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BF9140DF-03A5-4DCC-8E9B-408252AB0139}" xr6:coauthVersionLast="47" xr6:coauthVersionMax="47" xr10:uidLastSave="{00000000-0000-0000-0000-000000000000}"/>
  <bookViews>
    <workbookView xWindow="-120" yWindow="-120" windowWidth="29040" windowHeight="15720" activeTab="7" xr2:uid="{0A3504D5-6BD8-472D-8D6C-3D29C3829462}"/>
  </bookViews>
  <sheets>
    <sheet name="Joël.Leboucher" sheetId="98" r:id="rId1"/>
    <sheet name="Nota.FR" sheetId="20" r:id="rId2"/>
    <sheet name="Note.EN" sheetId="21" r:id="rId3"/>
    <sheet name="Nota.ES" sheetId="22" r:id="rId4"/>
    <sheet name="Couleurs.pour.vos.documents" sheetId="107" r:id="rId5"/>
    <sheet name="IMPORTANT" sheetId="96" r:id="rId6"/>
    <sheet name="Notice.utilisateur" sheetId="97" r:id="rId7"/>
    <sheet name="Modes.d.emploi" sheetId="74" r:id="rId8"/>
    <sheet name="Identité.FR-EN-ES." sheetId="13" r:id="rId9"/>
    <sheet name="OK.à.dupliquer" sheetId="105" r:id="rId10"/>
    <sheet name="20.col.de.6.à.55.lignes" sheetId="54" r:id="rId11"/>
    <sheet name="Créez.vos.fiches.05.01.2026" sheetId="100" r:id="rId12"/>
    <sheet name="Créez.vos.fiches.2" sheetId="106" r:id="rId13"/>
    <sheet name="Recette.Mille.feuille.05.01.26" sheetId="60" r:id="rId14"/>
    <sheet name="7.recettes.beignets.acacia" sheetId="63" r:id="rId15"/>
    <sheet name="Fiche.préformatée.Modèle" sheetId="104" r:id="rId16"/>
    <sheet name="Répertoire.Modèle" sheetId="71" r:id="rId17"/>
    <sheet name="Répertoire.J" sheetId="70" r:id="rId18"/>
    <sheet name="quelques.traductions" sheetId="95" r:id="rId19"/>
    <sheet name="Vocabulaire.(1).2025" sheetId="94" r:id="rId20"/>
    <sheet name="Vocabulaire.(2).2025" sheetId="93" r:id="rId21"/>
    <sheet name="peser.sans.balance.31.01.2025" sheetId="92" r:id="rId22"/>
    <sheet name="ChatGPT" sheetId="91" r:id="rId23"/>
    <sheet name="aides cuisine " sheetId="90" r:id="rId24"/>
    <sheet name="pourcentages " sheetId="89" r:id="rId25"/>
    <sheet name="Couleurs " sheetId="88" r:id="rId26"/>
    <sheet name="Transmission des savoirs.2025" sheetId="87" r:id="rId27"/>
  </sheets>
  <externalReferences>
    <externalReference r:id="rId28"/>
    <externalReference r:id="rId29"/>
  </externalReferences>
  <definedNames>
    <definedName name="_xlnm._FilterDatabase" localSheetId="25" hidden="1">'Couleurs '!#REF!</definedName>
    <definedName name="_xlnm._FilterDatabase" localSheetId="15" hidden="1">'Fiche.préformatée.Modèle'!$N$14:$O$552</definedName>
    <definedName name="_xlnm._FilterDatabase" localSheetId="6" hidden="1">Notice.utilisateur!#REF!</definedName>
    <definedName name="_xlnm._FilterDatabase" localSheetId="21" hidden="1">'peser.sans.balance.31.01.2025'!#REF!</definedName>
    <definedName name="_xlnm._FilterDatabase" localSheetId="13" hidden="1">'Recette.Mille.feuille.05.01.26'!$N$14:$O$552</definedName>
    <definedName name="Bananes">[1]!tbl_TypeFruit6[Bananes]</definedName>
    <definedName name="CatCodes">[2]Listes!$A$2:$A$7</definedName>
    <definedName name="Citrons">[1]!tbl_TypeFruit5[Citrons]</definedName>
    <definedName name="date">#REF!</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lst_TypeFruit">[1]!tbl_TypeFruit[Pommes]</definedName>
    <definedName name="matriceFeuilles">"lire.classeur(1)"</definedName>
    <definedName name="mois">#REF!</definedName>
    <definedName name="Oranges">[1]!tbl_TypeFruit4[Oranges]</definedName>
    <definedName name="Pommes">[1]!tbl_TypeFruit[Pommes]</definedName>
    <definedName name="TaxeVente">0.0825</definedName>
    <definedName name="X_Werte">OFFSET(#REF!,1,0,COUNTA(#REF!),1)</definedName>
    <definedName name="Y1_Werte">OFFSET(#REF!,1,0,COUNT(#REF!),1)</definedName>
    <definedName name="Y2_Werte">OFFSET(#REF!,1,0,COUNT(#REF!),1)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40" i="107" l="1"/>
  <c r="AL50" i="106" a="1"/>
  <c r="AL50" i="106" s="1"/>
  <c r="U76" i="105"/>
  <c r="T76" i="105"/>
  <c r="S76" i="105"/>
  <c r="R76" i="105"/>
  <c r="Q76" i="105"/>
  <c r="P76" i="105"/>
  <c r="O76" i="105"/>
  <c r="N76" i="105"/>
  <c r="M76" i="105"/>
  <c r="L76" i="105"/>
  <c r="K76" i="105"/>
  <c r="J76" i="105"/>
  <c r="I76" i="105"/>
  <c r="H76" i="105"/>
  <c r="G76" i="105"/>
  <c r="H75" i="105"/>
  <c r="I75" i="105"/>
  <c r="J75" i="105"/>
  <c r="K75" i="105"/>
  <c r="L75" i="105"/>
  <c r="M75" i="105"/>
  <c r="N75" i="105"/>
  <c r="O75" i="105"/>
  <c r="P75" i="105"/>
  <c r="Q75" i="105"/>
  <c r="R75" i="105"/>
  <c r="S75" i="105"/>
  <c r="T75" i="105"/>
  <c r="U75" i="105"/>
  <c r="G75" i="105"/>
  <c r="F75" i="105"/>
  <c r="E75" i="105"/>
  <c r="D75" i="105"/>
  <c r="C75" i="105"/>
  <c r="AF7" i="97"/>
  <c r="AF6" i="97"/>
  <c r="AC3" i="97"/>
  <c r="AG179" i="97"/>
  <c r="AE179" i="97"/>
  <c r="BT779" i="106"/>
  <c r="BR779" i="106"/>
  <c r="H777" i="106"/>
  <c r="H776" i="106"/>
  <c r="H775" i="106"/>
  <c r="H774" i="106"/>
  <c r="H773" i="106"/>
  <c r="H772" i="106"/>
  <c r="H771" i="106"/>
  <c r="C771" i="106"/>
  <c r="C772" i="106" s="1"/>
  <c r="C773" i="106" s="1"/>
  <c r="C774" i="106" s="1"/>
  <c r="C775" i="106" s="1"/>
  <c r="C776" i="106" s="1"/>
  <c r="C777" i="106" s="1"/>
  <c r="H770" i="106"/>
  <c r="C767" i="106"/>
  <c r="C768" i="106" s="1"/>
  <c r="C769" i="106" s="1"/>
  <c r="C770" i="106" s="1"/>
  <c r="I766" i="106"/>
  <c r="D764" i="106"/>
  <c r="C764" i="106"/>
  <c r="C765" i="106" s="1"/>
  <c r="C766" i="106" s="1"/>
  <c r="H763" i="106"/>
  <c r="H762" i="106"/>
  <c r="H761" i="106"/>
  <c r="C761" i="106"/>
  <c r="C762" i="106" s="1"/>
  <c r="C763" i="106" s="1"/>
  <c r="H760" i="106"/>
  <c r="H759" i="106"/>
  <c r="H758" i="106"/>
  <c r="H757" i="106"/>
  <c r="H756" i="106"/>
  <c r="I752" i="106"/>
  <c r="I750" i="106"/>
  <c r="D750" i="106"/>
  <c r="C750" i="106"/>
  <c r="C751" i="106" s="1"/>
  <c r="C752" i="106" s="1"/>
  <c r="C753" i="106" s="1"/>
  <c r="C754" i="106" s="1"/>
  <c r="C755" i="106" s="1"/>
  <c r="C756" i="106" s="1"/>
  <c r="C757" i="106" s="1"/>
  <c r="C758" i="106" s="1"/>
  <c r="C759" i="106" s="1"/>
  <c r="C760" i="106" s="1"/>
  <c r="H749" i="106"/>
  <c r="H748" i="106"/>
  <c r="C748" i="106"/>
  <c r="C749" i="106" s="1"/>
  <c r="H747" i="106"/>
  <c r="C747" i="106"/>
  <c r="H746" i="106"/>
  <c r="H745" i="106"/>
  <c r="H744" i="106"/>
  <c r="H743" i="106"/>
  <c r="H742" i="106"/>
  <c r="I738" i="106"/>
  <c r="F738" i="106"/>
  <c r="C738" i="106"/>
  <c r="C739" i="106" s="1"/>
  <c r="C740" i="106" s="1"/>
  <c r="C741" i="106" s="1"/>
  <c r="C742" i="106" s="1"/>
  <c r="C743" i="106" s="1"/>
  <c r="C744" i="106" s="1"/>
  <c r="C745" i="106" s="1"/>
  <c r="C746" i="106" s="1"/>
  <c r="C737" i="106"/>
  <c r="I736" i="106"/>
  <c r="F736" i="106"/>
  <c r="E736" i="106" s="1"/>
  <c r="D738" i="106" s="1" a="1"/>
  <c r="D738" i="106" s="1"/>
  <c r="D736" i="106"/>
  <c r="C736" i="106"/>
  <c r="H735" i="106"/>
  <c r="H734" i="106"/>
  <c r="H733" i="106"/>
  <c r="C733" i="106"/>
  <c r="C734" i="106" s="1"/>
  <c r="C735" i="106" s="1"/>
  <c r="H732" i="106"/>
  <c r="H731" i="106"/>
  <c r="H730" i="106"/>
  <c r="H729" i="106"/>
  <c r="H728" i="106"/>
  <c r="I724" i="106"/>
  <c r="C723" i="106"/>
  <c r="C724" i="106" s="1"/>
  <c r="C725" i="106" s="1"/>
  <c r="C726" i="106" s="1"/>
  <c r="C727" i="106" s="1"/>
  <c r="C728" i="106" s="1"/>
  <c r="C729" i="106" s="1"/>
  <c r="C730" i="106" s="1"/>
  <c r="C731" i="106" s="1"/>
  <c r="C732" i="106" s="1"/>
  <c r="D722" i="106"/>
  <c r="C722" i="106"/>
  <c r="H721" i="106"/>
  <c r="H720" i="106"/>
  <c r="H719" i="106"/>
  <c r="H718" i="106"/>
  <c r="H717" i="106"/>
  <c r="H716" i="106"/>
  <c r="H715" i="106"/>
  <c r="C715" i="106"/>
  <c r="C716" i="106" s="1"/>
  <c r="C717" i="106" s="1"/>
  <c r="C718" i="106" s="1"/>
  <c r="C719" i="106" s="1"/>
  <c r="C720" i="106" s="1"/>
  <c r="C721" i="106" s="1"/>
  <c r="H714" i="106"/>
  <c r="I710" i="106"/>
  <c r="D708" i="106"/>
  <c r="C708" i="106"/>
  <c r="C709" i="106" s="1"/>
  <c r="C710" i="106" s="1"/>
  <c r="C711" i="106" s="1"/>
  <c r="C712" i="106" s="1"/>
  <c r="C713" i="106" s="1"/>
  <c r="C714" i="106" s="1"/>
  <c r="H707" i="106"/>
  <c r="H706" i="106"/>
  <c r="H705" i="106"/>
  <c r="H704" i="106"/>
  <c r="H703" i="106"/>
  <c r="H702" i="106"/>
  <c r="H701" i="106"/>
  <c r="H700" i="106"/>
  <c r="I696" i="106"/>
  <c r="C695" i="106"/>
  <c r="C696" i="106" s="1"/>
  <c r="C697" i="106" s="1"/>
  <c r="C698" i="106" s="1"/>
  <c r="C699" i="106" s="1"/>
  <c r="C700" i="106" s="1"/>
  <c r="C701" i="106" s="1"/>
  <c r="C702" i="106" s="1"/>
  <c r="C703" i="106" s="1"/>
  <c r="C704" i="106" s="1"/>
  <c r="C705" i="106" s="1"/>
  <c r="C706" i="106" s="1"/>
  <c r="C707" i="106" s="1"/>
  <c r="I694" i="106"/>
  <c r="D694" i="106"/>
  <c r="C694" i="106"/>
  <c r="H693" i="106"/>
  <c r="H692" i="106"/>
  <c r="H691" i="106"/>
  <c r="H690" i="106"/>
  <c r="H689" i="106"/>
  <c r="H688" i="106"/>
  <c r="H687" i="106"/>
  <c r="H686" i="106"/>
  <c r="I682" i="106"/>
  <c r="C682" i="106"/>
  <c r="C683" i="106" s="1"/>
  <c r="C684" i="106" s="1"/>
  <c r="C685" i="106" s="1"/>
  <c r="C686" i="106" s="1"/>
  <c r="C687" i="106" s="1"/>
  <c r="C688" i="106" s="1"/>
  <c r="C689" i="106" s="1"/>
  <c r="C690" i="106" s="1"/>
  <c r="C691" i="106" s="1"/>
  <c r="C692" i="106" s="1"/>
  <c r="C693" i="106" s="1"/>
  <c r="D680" i="106"/>
  <c r="C680" i="106"/>
  <c r="C681" i="106" s="1"/>
  <c r="H679" i="106"/>
  <c r="H678" i="106"/>
  <c r="H677" i="106"/>
  <c r="H676" i="106"/>
  <c r="H675" i="106"/>
  <c r="H674" i="106"/>
  <c r="H673" i="106"/>
  <c r="H672" i="106"/>
  <c r="C669" i="106"/>
  <c r="C670" i="106" s="1"/>
  <c r="C671" i="106" s="1"/>
  <c r="C672" i="106" s="1"/>
  <c r="C673" i="106" s="1"/>
  <c r="C674" i="106" s="1"/>
  <c r="C675" i="106" s="1"/>
  <c r="C676" i="106" s="1"/>
  <c r="C677" i="106" s="1"/>
  <c r="C678" i="106" s="1"/>
  <c r="C679" i="106" s="1"/>
  <c r="I668" i="106"/>
  <c r="C668" i="106"/>
  <c r="D666" i="106"/>
  <c r="C666" i="106"/>
  <c r="C667" i="106" s="1"/>
  <c r="H665" i="106"/>
  <c r="H664" i="106"/>
  <c r="H663" i="106"/>
  <c r="H662" i="106"/>
  <c r="H661" i="106"/>
  <c r="H660" i="106"/>
  <c r="H659" i="106"/>
  <c r="H658" i="106"/>
  <c r="I654" i="106"/>
  <c r="C653" i="106"/>
  <c r="C654" i="106" s="1"/>
  <c r="C655" i="106" s="1"/>
  <c r="C656" i="106" s="1"/>
  <c r="C657" i="106" s="1"/>
  <c r="C658" i="106" s="1"/>
  <c r="C659" i="106" s="1"/>
  <c r="C660" i="106" s="1"/>
  <c r="C661" i="106" s="1"/>
  <c r="C662" i="106" s="1"/>
  <c r="C663" i="106" s="1"/>
  <c r="C664" i="106" s="1"/>
  <c r="C665" i="106" s="1"/>
  <c r="D652" i="106"/>
  <c r="C652" i="106"/>
  <c r="H651" i="106"/>
  <c r="H650" i="106"/>
  <c r="H649" i="106"/>
  <c r="H648" i="106"/>
  <c r="H647" i="106"/>
  <c r="H646" i="106"/>
  <c r="C646" i="106"/>
  <c r="C647" i="106" s="1"/>
  <c r="C648" i="106" s="1"/>
  <c r="C649" i="106" s="1"/>
  <c r="C650" i="106" s="1"/>
  <c r="C651" i="106" s="1"/>
  <c r="H645" i="106"/>
  <c r="H644" i="106"/>
  <c r="I640" i="106"/>
  <c r="D638" i="106"/>
  <c r="C638" i="106"/>
  <c r="C639" i="106" s="1"/>
  <c r="C640" i="106" s="1"/>
  <c r="C641" i="106" s="1"/>
  <c r="C642" i="106" s="1"/>
  <c r="C643" i="106" s="1"/>
  <c r="C644" i="106" s="1"/>
  <c r="C645" i="106" s="1"/>
  <c r="H637" i="106"/>
  <c r="H636" i="106"/>
  <c r="H635" i="106"/>
  <c r="H634" i="106"/>
  <c r="H633" i="106"/>
  <c r="H632" i="106"/>
  <c r="H631" i="106"/>
  <c r="H630" i="106"/>
  <c r="I626" i="106"/>
  <c r="C625" i="106"/>
  <c r="C626" i="106" s="1"/>
  <c r="C627" i="106" s="1"/>
  <c r="C628" i="106" s="1"/>
  <c r="C629" i="106" s="1"/>
  <c r="C630" i="106" s="1"/>
  <c r="C631" i="106" s="1"/>
  <c r="C632" i="106" s="1"/>
  <c r="C633" i="106" s="1"/>
  <c r="C634" i="106" s="1"/>
  <c r="C635" i="106" s="1"/>
  <c r="C636" i="106" s="1"/>
  <c r="C637" i="106" s="1"/>
  <c r="D624" i="106"/>
  <c r="C624" i="106"/>
  <c r="H623" i="106"/>
  <c r="H622" i="106"/>
  <c r="H621" i="106"/>
  <c r="H620" i="106"/>
  <c r="C620" i="106"/>
  <c r="C621" i="106" s="1"/>
  <c r="C622" i="106" s="1"/>
  <c r="C623" i="106" s="1"/>
  <c r="H619" i="106"/>
  <c r="H618" i="106"/>
  <c r="H617" i="106"/>
  <c r="H616" i="106"/>
  <c r="I614" i="106"/>
  <c r="I612" i="106"/>
  <c r="C612" i="106"/>
  <c r="C613" i="106" s="1"/>
  <c r="C614" i="106" s="1"/>
  <c r="C615" i="106" s="1"/>
  <c r="C616" i="106" s="1"/>
  <c r="C617" i="106" s="1"/>
  <c r="C618" i="106" s="1"/>
  <c r="C619" i="106" s="1"/>
  <c r="J610" i="106"/>
  <c r="I610" i="106"/>
  <c r="F610" i="106"/>
  <c r="E610" i="106"/>
  <c r="D612" i="106" s="1" a="1"/>
  <c r="D612" i="106" s="1"/>
  <c r="D610" i="106"/>
  <c r="C610" i="106"/>
  <c r="C611" i="106" s="1"/>
  <c r="H609" i="106"/>
  <c r="H608" i="106"/>
  <c r="H607" i="106"/>
  <c r="H606" i="106"/>
  <c r="H605" i="106"/>
  <c r="H604" i="106"/>
  <c r="H603" i="106"/>
  <c r="H602" i="106"/>
  <c r="I598" i="106"/>
  <c r="C597" i="106"/>
  <c r="C598" i="106" s="1"/>
  <c r="C599" i="106" s="1"/>
  <c r="C600" i="106" s="1"/>
  <c r="C601" i="106" s="1"/>
  <c r="C602" i="106" s="1"/>
  <c r="C603" i="106" s="1"/>
  <c r="C604" i="106" s="1"/>
  <c r="C605" i="106" s="1"/>
  <c r="C606" i="106" s="1"/>
  <c r="C607" i="106" s="1"/>
  <c r="C608" i="106" s="1"/>
  <c r="C609" i="106" s="1"/>
  <c r="I596" i="106"/>
  <c r="F596" i="106"/>
  <c r="E596" i="106"/>
  <c r="D598" i="106" s="1" a="1"/>
  <c r="D598" i="106" s="1"/>
  <c r="D596" i="106"/>
  <c r="C596" i="106"/>
  <c r="H595" i="106"/>
  <c r="H594" i="106"/>
  <c r="H593" i="106"/>
  <c r="H592" i="106"/>
  <c r="H591" i="106"/>
  <c r="C591" i="106"/>
  <c r="C592" i="106" s="1"/>
  <c r="C593" i="106" s="1"/>
  <c r="C594" i="106" s="1"/>
  <c r="C595" i="106" s="1"/>
  <c r="H590" i="106"/>
  <c r="C590" i="106"/>
  <c r="H589" i="106"/>
  <c r="H588" i="106"/>
  <c r="C587" i="106"/>
  <c r="C588" i="106" s="1"/>
  <c r="C589" i="106" s="1"/>
  <c r="C585" i="106"/>
  <c r="C586" i="106" s="1"/>
  <c r="I584" i="106"/>
  <c r="C583" i="106"/>
  <c r="C584" i="106" s="1"/>
  <c r="D582" i="106"/>
  <c r="C582" i="106"/>
  <c r="H581" i="106"/>
  <c r="H580" i="106"/>
  <c r="H579" i="106"/>
  <c r="H578" i="106"/>
  <c r="H577" i="106"/>
  <c r="H576" i="106"/>
  <c r="H575" i="106"/>
  <c r="H574" i="106"/>
  <c r="I572" i="106"/>
  <c r="I570" i="106"/>
  <c r="C569" i="106"/>
  <c r="C570" i="106" s="1"/>
  <c r="C571" i="106" s="1"/>
  <c r="C572" i="106" s="1"/>
  <c r="C573" i="106" s="1"/>
  <c r="C574" i="106" s="1"/>
  <c r="C575" i="106" s="1"/>
  <c r="C576" i="106" s="1"/>
  <c r="C577" i="106" s="1"/>
  <c r="C578" i="106" s="1"/>
  <c r="C579" i="106" s="1"/>
  <c r="C580" i="106" s="1"/>
  <c r="C581" i="106" s="1"/>
  <c r="I568" i="106"/>
  <c r="D568" i="106"/>
  <c r="C568" i="106"/>
  <c r="F568" i="106" s="1"/>
  <c r="E568" i="106" s="1"/>
  <c r="D570" i="106" s="1" a="1"/>
  <c r="D570" i="106" s="1"/>
  <c r="H567" i="106"/>
  <c r="H566" i="106"/>
  <c r="H565" i="106"/>
  <c r="H564" i="106"/>
  <c r="H563" i="106"/>
  <c r="H562" i="106"/>
  <c r="H561" i="106"/>
  <c r="C561" i="106"/>
  <c r="C562" i="106" s="1"/>
  <c r="C563" i="106" s="1"/>
  <c r="C564" i="106" s="1"/>
  <c r="C565" i="106" s="1"/>
  <c r="C566" i="106" s="1"/>
  <c r="C567" i="106" s="1"/>
  <c r="H560" i="106"/>
  <c r="I556" i="106"/>
  <c r="I554" i="106"/>
  <c r="D554" i="106"/>
  <c r="C554" i="106"/>
  <c r="C555" i="106" s="1"/>
  <c r="C556" i="106" s="1"/>
  <c r="C557" i="106" s="1"/>
  <c r="C558" i="106" s="1"/>
  <c r="C559" i="106" s="1"/>
  <c r="C560" i="106" s="1"/>
  <c r="H553" i="106"/>
  <c r="H552" i="106"/>
  <c r="H551" i="106"/>
  <c r="H550" i="106"/>
  <c r="H549" i="106"/>
  <c r="H548" i="106"/>
  <c r="H547" i="106"/>
  <c r="H546" i="106"/>
  <c r="C544" i="106"/>
  <c r="C545" i="106" s="1"/>
  <c r="C546" i="106" s="1"/>
  <c r="C547" i="106" s="1"/>
  <c r="C548" i="106" s="1"/>
  <c r="C549" i="106" s="1"/>
  <c r="C550" i="106" s="1"/>
  <c r="C551" i="106" s="1"/>
  <c r="C552" i="106" s="1"/>
  <c r="C553" i="106" s="1"/>
  <c r="C543" i="106"/>
  <c r="I542" i="106"/>
  <c r="C542" i="106"/>
  <c r="C541" i="106"/>
  <c r="D540" i="106"/>
  <c r="F540" i="106" s="1"/>
  <c r="C540" i="106"/>
  <c r="H539" i="106"/>
  <c r="H538" i="106"/>
  <c r="H537" i="106"/>
  <c r="C537" i="106"/>
  <c r="C538" i="106" s="1"/>
  <c r="C539" i="106" s="1"/>
  <c r="H536" i="106"/>
  <c r="H535" i="106"/>
  <c r="H534" i="106"/>
  <c r="H533" i="106"/>
  <c r="H532" i="106"/>
  <c r="I528" i="106"/>
  <c r="F528" i="106"/>
  <c r="C527" i="106"/>
  <c r="C528" i="106" s="1"/>
  <c r="C529" i="106" s="1"/>
  <c r="C530" i="106" s="1"/>
  <c r="C531" i="106" s="1"/>
  <c r="C532" i="106" s="1"/>
  <c r="C533" i="106" s="1"/>
  <c r="C534" i="106" s="1"/>
  <c r="C535" i="106" s="1"/>
  <c r="C536" i="106" s="1"/>
  <c r="F526" i="106"/>
  <c r="E526" i="106" s="1"/>
  <c r="D528" i="106" s="1" a="1"/>
  <c r="D528" i="106" s="1"/>
  <c r="D526" i="106"/>
  <c r="I526" i="106" s="1"/>
  <c r="I530" i="106" s="1"/>
  <c r="C526" i="106"/>
  <c r="H525" i="106"/>
  <c r="H524" i="106"/>
  <c r="H523" i="106"/>
  <c r="H522" i="106"/>
  <c r="H521" i="106"/>
  <c r="H520" i="106"/>
  <c r="H519" i="106"/>
  <c r="C519" i="106"/>
  <c r="C520" i="106" s="1"/>
  <c r="C521" i="106" s="1"/>
  <c r="C522" i="106" s="1"/>
  <c r="C523" i="106" s="1"/>
  <c r="C524" i="106" s="1"/>
  <c r="C525" i="106" s="1"/>
  <c r="H518" i="106"/>
  <c r="C518" i="106"/>
  <c r="I514" i="106"/>
  <c r="I512" i="106"/>
  <c r="D512" i="106"/>
  <c r="F512" i="106" s="1"/>
  <c r="C512" i="106"/>
  <c r="C513" i="106" s="1"/>
  <c r="C514" i="106" s="1"/>
  <c r="C515" i="106" s="1"/>
  <c r="C516" i="106" s="1"/>
  <c r="C517" i="106" s="1"/>
  <c r="H511" i="106"/>
  <c r="H510" i="106"/>
  <c r="H509" i="106"/>
  <c r="H508" i="106"/>
  <c r="H507" i="106"/>
  <c r="H506" i="106"/>
  <c r="H505" i="106"/>
  <c r="H504" i="106"/>
  <c r="I500" i="106"/>
  <c r="C499" i="106"/>
  <c r="C500" i="106" s="1"/>
  <c r="C501" i="106" s="1"/>
  <c r="C502" i="106" s="1"/>
  <c r="C503" i="106" s="1"/>
  <c r="C504" i="106" s="1"/>
  <c r="C505" i="106" s="1"/>
  <c r="C506" i="106" s="1"/>
  <c r="C507" i="106" s="1"/>
  <c r="C508" i="106" s="1"/>
  <c r="C509" i="106" s="1"/>
  <c r="C510" i="106" s="1"/>
  <c r="C511" i="106" s="1"/>
  <c r="I498" i="106"/>
  <c r="D498" i="106"/>
  <c r="C498" i="106"/>
  <c r="H497" i="106"/>
  <c r="H496" i="106"/>
  <c r="H495" i="106"/>
  <c r="H494" i="106"/>
  <c r="H493" i="106"/>
  <c r="H492" i="106"/>
  <c r="H491" i="106"/>
  <c r="H490" i="106"/>
  <c r="I486" i="106"/>
  <c r="C486" i="106"/>
  <c r="C485" i="106"/>
  <c r="I484" i="106"/>
  <c r="F484" i="106"/>
  <c r="E484" i="106"/>
  <c r="D486" i="106" s="1" a="1"/>
  <c r="D486" i="106" s="1"/>
  <c r="D484" i="106"/>
  <c r="C484" i="106"/>
  <c r="H483" i="106"/>
  <c r="H482" i="106"/>
  <c r="H481" i="106"/>
  <c r="H480" i="106"/>
  <c r="H479" i="106"/>
  <c r="H478" i="106"/>
  <c r="H477" i="106"/>
  <c r="H476" i="106"/>
  <c r="I473" i="106"/>
  <c r="K470" i="106" s="1"/>
  <c r="J471" i="106" s="1"/>
  <c r="I472" i="106"/>
  <c r="D472" i="106" a="1"/>
  <c r="D472" i="106" s="1"/>
  <c r="K471" i="106"/>
  <c r="C471" i="106"/>
  <c r="C472" i="106" s="1"/>
  <c r="C473" i="106" s="1"/>
  <c r="C474" i="106" s="1"/>
  <c r="C475" i="106" s="1"/>
  <c r="C476" i="106" s="1"/>
  <c r="C477" i="106" s="1"/>
  <c r="C478" i="106" s="1"/>
  <c r="C479" i="106" s="1"/>
  <c r="C480" i="106" s="1"/>
  <c r="C481" i="106" s="1"/>
  <c r="C482" i="106" s="1"/>
  <c r="C483" i="106" s="1"/>
  <c r="J470" i="106"/>
  <c r="F470" i="106"/>
  <c r="E470" i="106"/>
  <c r="D470" i="106"/>
  <c r="I470" i="106" s="1"/>
  <c r="I474" i="106" s="1"/>
  <c r="C470" i="106"/>
  <c r="H469" i="106"/>
  <c r="H468" i="106"/>
  <c r="H467" i="106"/>
  <c r="H466" i="106"/>
  <c r="H465" i="106"/>
  <c r="H464" i="106"/>
  <c r="H463" i="106"/>
  <c r="H462" i="106"/>
  <c r="C460" i="106"/>
  <c r="C461" i="106" s="1"/>
  <c r="C462" i="106" s="1"/>
  <c r="C463" i="106" s="1"/>
  <c r="C464" i="106" s="1"/>
  <c r="C465" i="106" s="1"/>
  <c r="C466" i="106" s="1"/>
  <c r="C467" i="106" s="1"/>
  <c r="C468" i="106" s="1"/>
  <c r="C469" i="106" s="1"/>
  <c r="I458" i="106"/>
  <c r="C458" i="106"/>
  <c r="C459" i="106" s="1"/>
  <c r="I456" i="106"/>
  <c r="F456" i="106"/>
  <c r="E456" i="106" s="1"/>
  <c r="D458" i="106" s="1" a="1"/>
  <c r="D458" i="106" s="1"/>
  <c r="D456" i="106"/>
  <c r="C456" i="106"/>
  <c r="C457" i="106" s="1"/>
  <c r="H455" i="106"/>
  <c r="H454" i="106"/>
  <c r="H453" i="106"/>
  <c r="H452" i="106"/>
  <c r="H451" i="106"/>
  <c r="H450" i="106"/>
  <c r="H449" i="106"/>
  <c r="H448" i="106"/>
  <c r="C447" i="106"/>
  <c r="C448" i="106" s="1"/>
  <c r="C449" i="106" s="1"/>
  <c r="C450" i="106" s="1"/>
  <c r="C451" i="106" s="1"/>
  <c r="C452" i="106" s="1"/>
  <c r="C453" i="106" s="1"/>
  <c r="C454" i="106" s="1"/>
  <c r="C455" i="106" s="1"/>
  <c r="I444" i="106"/>
  <c r="I442" i="106"/>
  <c r="D442" i="106"/>
  <c r="C442" i="106"/>
  <c r="C443" i="106" s="1"/>
  <c r="C444" i="106" s="1"/>
  <c r="C445" i="106" s="1"/>
  <c r="C446" i="106" s="1"/>
  <c r="H441" i="106"/>
  <c r="H440" i="106"/>
  <c r="H439" i="106"/>
  <c r="H438" i="106"/>
  <c r="H437" i="106"/>
  <c r="H436" i="106"/>
  <c r="H435" i="106"/>
  <c r="H434" i="106"/>
  <c r="I432" i="106"/>
  <c r="I430" i="106"/>
  <c r="I428" i="106"/>
  <c r="D428" i="106"/>
  <c r="C428" i="106"/>
  <c r="C429" i="106" s="1"/>
  <c r="C430" i="106" s="1"/>
  <c r="C431" i="106" s="1"/>
  <c r="C432" i="106" s="1"/>
  <c r="C433" i="106" s="1"/>
  <c r="C434" i="106" s="1"/>
  <c r="C435" i="106" s="1"/>
  <c r="C436" i="106" s="1"/>
  <c r="C437" i="106" s="1"/>
  <c r="C438" i="106" s="1"/>
  <c r="C439" i="106" s="1"/>
  <c r="C440" i="106" s="1"/>
  <c r="C441" i="106" s="1"/>
  <c r="H427" i="106"/>
  <c r="H426" i="106"/>
  <c r="C426" i="106"/>
  <c r="C427" i="106" s="1"/>
  <c r="H425" i="106"/>
  <c r="H424" i="106"/>
  <c r="H423" i="106"/>
  <c r="H422" i="106"/>
  <c r="H421" i="106"/>
  <c r="H420" i="106"/>
  <c r="C417" i="106"/>
  <c r="C418" i="106" s="1"/>
  <c r="C419" i="106" s="1"/>
  <c r="C420" i="106" s="1"/>
  <c r="C421" i="106" s="1"/>
  <c r="C422" i="106" s="1"/>
  <c r="C423" i="106" s="1"/>
  <c r="C424" i="106" s="1"/>
  <c r="C425" i="106" s="1"/>
  <c r="I416" i="106"/>
  <c r="D414" i="106"/>
  <c r="F414" i="106" s="1"/>
  <c r="C414" i="106"/>
  <c r="C415" i="106" s="1"/>
  <c r="C416" i="106" s="1"/>
  <c r="H413" i="106"/>
  <c r="H412" i="106"/>
  <c r="H411" i="106"/>
  <c r="H410" i="106"/>
  <c r="H409" i="106"/>
  <c r="H408" i="106"/>
  <c r="H407" i="106"/>
  <c r="H406" i="106"/>
  <c r="C406" i="106"/>
  <c r="C407" i="106" s="1"/>
  <c r="C408" i="106" s="1"/>
  <c r="C409" i="106" s="1"/>
  <c r="C410" i="106" s="1"/>
  <c r="C411" i="106" s="1"/>
  <c r="C412" i="106" s="1"/>
  <c r="C413" i="106" s="1"/>
  <c r="C405" i="106"/>
  <c r="I402" i="106"/>
  <c r="I400" i="106"/>
  <c r="D400" i="106"/>
  <c r="C400" i="106"/>
  <c r="C401" i="106" s="1"/>
  <c r="C402" i="106" s="1"/>
  <c r="C403" i="106" s="1"/>
  <c r="C404" i="106" s="1"/>
  <c r="H399" i="106"/>
  <c r="H398" i="106"/>
  <c r="H397" i="106"/>
  <c r="H396" i="106"/>
  <c r="H395" i="106"/>
  <c r="H394" i="106"/>
  <c r="H393" i="106"/>
  <c r="H392" i="106"/>
  <c r="I388" i="106"/>
  <c r="J386" i="106"/>
  <c r="I389" i="106" s="1"/>
  <c r="I386" i="106"/>
  <c r="D386" i="106"/>
  <c r="C386" i="106"/>
  <c r="C387" i="106" s="1"/>
  <c r="C388" i="106" s="1"/>
  <c r="C389" i="106" s="1"/>
  <c r="C390" i="106" s="1"/>
  <c r="C391" i="106" s="1"/>
  <c r="C392" i="106" s="1"/>
  <c r="C393" i="106" s="1"/>
  <c r="C394" i="106" s="1"/>
  <c r="C395" i="106" s="1"/>
  <c r="C396" i="106" s="1"/>
  <c r="C397" i="106" s="1"/>
  <c r="C398" i="106" s="1"/>
  <c r="C399" i="106" s="1"/>
  <c r="H385" i="106"/>
  <c r="H384" i="106"/>
  <c r="H383" i="106"/>
  <c r="H382" i="106"/>
  <c r="H381" i="106"/>
  <c r="H380" i="106"/>
  <c r="H379" i="106"/>
  <c r="H378" i="106"/>
  <c r="I374" i="106"/>
  <c r="D372" i="106"/>
  <c r="C372" i="106"/>
  <c r="C373" i="106" s="1"/>
  <c r="C374" i="106" s="1"/>
  <c r="C375" i="106" s="1"/>
  <c r="C376" i="106" s="1"/>
  <c r="C377" i="106" s="1"/>
  <c r="C378" i="106" s="1"/>
  <c r="C379" i="106" s="1"/>
  <c r="C380" i="106" s="1"/>
  <c r="C381" i="106" s="1"/>
  <c r="C382" i="106" s="1"/>
  <c r="C383" i="106" s="1"/>
  <c r="C384" i="106" s="1"/>
  <c r="C385" i="106" s="1"/>
  <c r="H371" i="106"/>
  <c r="H370" i="106"/>
  <c r="H369" i="106"/>
  <c r="H368" i="106"/>
  <c r="H367" i="106"/>
  <c r="H366" i="106"/>
  <c r="H365" i="106"/>
  <c r="H364" i="106"/>
  <c r="D362" i="106" a="1"/>
  <c r="D362" i="106" s="1"/>
  <c r="C362" i="106"/>
  <c r="C363" i="106" s="1"/>
  <c r="C364" i="106" s="1"/>
  <c r="C365" i="106" s="1"/>
  <c r="C366" i="106" s="1"/>
  <c r="C367" i="106" s="1"/>
  <c r="C368" i="106" s="1"/>
  <c r="C369" i="106" s="1"/>
  <c r="C370" i="106" s="1"/>
  <c r="C371" i="106" s="1"/>
  <c r="C361" i="106"/>
  <c r="I360" i="106"/>
  <c r="C359" i="106"/>
  <c r="C360" i="106" s="1"/>
  <c r="F360" i="106" s="1"/>
  <c r="I358" i="106"/>
  <c r="D358" i="106"/>
  <c r="C358" i="106"/>
  <c r="F358" i="106" s="1"/>
  <c r="E358" i="106" s="1"/>
  <c r="D360" i="106" s="1" a="1"/>
  <c r="D360" i="106" s="1"/>
  <c r="E360" i="106" s="1"/>
  <c r="H357" i="106"/>
  <c r="H356" i="106"/>
  <c r="H355" i="106"/>
  <c r="H354" i="106"/>
  <c r="H353" i="106"/>
  <c r="H352" i="106"/>
  <c r="H351" i="106"/>
  <c r="H350" i="106"/>
  <c r="C350" i="106"/>
  <c r="C351" i="106" s="1"/>
  <c r="C352" i="106" s="1"/>
  <c r="C353" i="106" s="1"/>
  <c r="C354" i="106" s="1"/>
  <c r="C355" i="106" s="1"/>
  <c r="C356" i="106" s="1"/>
  <c r="C357" i="106" s="1"/>
  <c r="I346" i="106"/>
  <c r="C345" i="106"/>
  <c r="C346" i="106" s="1"/>
  <c r="C347" i="106" s="1"/>
  <c r="C348" i="106" s="1"/>
  <c r="C349" i="106" s="1"/>
  <c r="I344" i="106"/>
  <c r="D344" i="106"/>
  <c r="C344" i="106"/>
  <c r="F344" i="106" s="1"/>
  <c r="H343" i="106"/>
  <c r="H342" i="106"/>
  <c r="H341" i="106"/>
  <c r="H340" i="106"/>
  <c r="H339" i="106"/>
  <c r="H338" i="106"/>
  <c r="H337" i="106"/>
  <c r="H336" i="106"/>
  <c r="I332" i="106"/>
  <c r="I330" i="106"/>
  <c r="D330" i="106"/>
  <c r="C330" i="106"/>
  <c r="C331" i="106" s="1"/>
  <c r="C332" i="106" s="1"/>
  <c r="C333" i="106" s="1"/>
  <c r="C334" i="106" s="1"/>
  <c r="C335" i="106" s="1"/>
  <c r="C336" i="106" s="1"/>
  <c r="C337" i="106" s="1"/>
  <c r="C338" i="106" s="1"/>
  <c r="C339" i="106" s="1"/>
  <c r="C340" i="106" s="1"/>
  <c r="C341" i="106" s="1"/>
  <c r="C342" i="106" s="1"/>
  <c r="C343" i="106" s="1"/>
  <c r="H329" i="106"/>
  <c r="H328" i="106"/>
  <c r="H327" i="106"/>
  <c r="H326" i="106"/>
  <c r="H325" i="106"/>
  <c r="H324" i="106"/>
  <c r="H323" i="106"/>
  <c r="H322" i="106"/>
  <c r="C321" i="106"/>
  <c r="C322" i="106" s="1"/>
  <c r="C323" i="106" s="1"/>
  <c r="C324" i="106" s="1"/>
  <c r="C325" i="106" s="1"/>
  <c r="C326" i="106" s="1"/>
  <c r="C327" i="106" s="1"/>
  <c r="C328" i="106" s="1"/>
  <c r="C329" i="106" s="1"/>
  <c r="I319" i="106"/>
  <c r="K316" i="106" s="1"/>
  <c r="I318" i="106"/>
  <c r="D318" i="106"/>
  <c r="C317" i="106"/>
  <c r="C318" i="106" s="1"/>
  <c r="C319" i="106" s="1"/>
  <c r="C320" i="106" s="1"/>
  <c r="J316" i="106"/>
  <c r="F316" i="106"/>
  <c r="E316" i="106"/>
  <c r="D318" i="106" s="1" a="1"/>
  <c r="D316" i="106"/>
  <c r="I316" i="106" s="1"/>
  <c r="I320" i="106" s="1"/>
  <c r="C316" i="106"/>
  <c r="H315" i="106"/>
  <c r="H314" i="106"/>
  <c r="H313" i="106"/>
  <c r="H312" i="106"/>
  <c r="H311" i="106"/>
  <c r="H310" i="106"/>
  <c r="H309" i="106"/>
  <c r="H308" i="106"/>
  <c r="I306" i="106"/>
  <c r="J303" i="106" s="1"/>
  <c r="I304" i="106"/>
  <c r="C303" i="106"/>
  <c r="C304" i="106" s="1"/>
  <c r="C305" i="106" s="1"/>
  <c r="C306" i="106" s="1"/>
  <c r="C307" i="106" s="1"/>
  <c r="C308" i="106" s="1"/>
  <c r="C309" i="106" s="1"/>
  <c r="C310" i="106" s="1"/>
  <c r="C311" i="106" s="1"/>
  <c r="C312" i="106" s="1"/>
  <c r="C313" i="106" s="1"/>
  <c r="C314" i="106" s="1"/>
  <c r="C315" i="106" s="1"/>
  <c r="J302" i="106"/>
  <c r="I305" i="106" s="1"/>
  <c r="F302" i="106"/>
  <c r="D302" i="106"/>
  <c r="I302" i="106" s="1"/>
  <c r="K302" i="106" s="1"/>
  <c r="C302" i="106"/>
  <c r="H301" i="106"/>
  <c r="H300" i="106"/>
  <c r="H299" i="106"/>
  <c r="H298" i="106"/>
  <c r="H297" i="106"/>
  <c r="H296" i="106"/>
  <c r="H295" i="106"/>
  <c r="H294" i="106"/>
  <c r="I290" i="106"/>
  <c r="C290" i="106"/>
  <c r="C291" i="106" s="1"/>
  <c r="C292" i="106" s="1"/>
  <c r="C293" i="106" s="1"/>
  <c r="C294" i="106" s="1"/>
  <c r="C295" i="106" s="1"/>
  <c r="C296" i="106" s="1"/>
  <c r="C297" i="106" s="1"/>
  <c r="C298" i="106" s="1"/>
  <c r="C299" i="106" s="1"/>
  <c r="C300" i="106" s="1"/>
  <c r="C301" i="106" s="1"/>
  <c r="D288" i="106"/>
  <c r="C288" i="106"/>
  <c r="C289" i="106" s="1"/>
  <c r="H287" i="106"/>
  <c r="H286" i="106"/>
  <c r="H285" i="106"/>
  <c r="H284" i="106"/>
  <c r="H283" i="106"/>
  <c r="H282" i="106"/>
  <c r="H281" i="106"/>
  <c r="H280" i="106"/>
  <c r="C278" i="106"/>
  <c r="C279" i="106" s="1"/>
  <c r="C280" i="106" s="1"/>
  <c r="C281" i="106" s="1"/>
  <c r="C282" i="106" s="1"/>
  <c r="C283" i="106" s="1"/>
  <c r="C284" i="106" s="1"/>
  <c r="C285" i="106" s="1"/>
  <c r="C286" i="106" s="1"/>
  <c r="C287" i="106" s="1"/>
  <c r="I276" i="106"/>
  <c r="D274" i="106"/>
  <c r="C274" i="106"/>
  <c r="C275" i="106" s="1"/>
  <c r="C276" i="106" s="1"/>
  <c r="C277" i="106" s="1"/>
  <c r="H273" i="106"/>
  <c r="H272" i="106"/>
  <c r="H271" i="106"/>
  <c r="H270" i="106"/>
  <c r="H269" i="106"/>
  <c r="H268" i="106"/>
  <c r="H267" i="106"/>
  <c r="H266" i="106"/>
  <c r="I264" i="106"/>
  <c r="C264" i="106"/>
  <c r="C265" i="106" s="1"/>
  <c r="C266" i="106" s="1"/>
  <c r="C267" i="106" s="1"/>
  <c r="C268" i="106" s="1"/>
  <c r="C269" i="106" s="1"/>
  <c r="C270" i="106" s="1"/>
  <c r="C271" i="106" s="1"/>
  <c r="C272" i="106" s="1"/>
  <c r="C273" i="106" s="1"/>
  <c r="I262" i="106"/>
  <c r="C261" i="106"/>
  <c r="C262" i="106" s="1"/>
  <c r="C263" i="106" s="1"/>
  <c r="I260" i="106"/>
  <c r="D260" i="106"/>
  <c r="C260" i="106"/>
  <c r="H259" i="106"/>
  <c r="H258" i="106"/>
  <c r="H257" i="106"/>
  <c r="H256" i="106"/>
  <c r="H255" i="106"/>
  <c r="H254" i="106"/>
  <c r="H253" i="106"/>
  <c r="H252" i="106"/>
  <c r="C251" i="106"/>
  <c r="C252" i="106" s="1"/>
  <c r="C253" i="106" s="1"/>
  <c r="C254" i="106" s="1"/>
  <c r="C255" i="106" s="1"/>
  <c r="C256" i="106" s="1"/>
  <c r="C257" i="106" s="1"/>
  <c r="C258" i="106" s="1"/>
  <c r="C259" i="106" s="1"/>
  <c r="I250" i="106"/>
  <c r="I249" i="106"/>
  <c r="I248" i="106"/>
  <c r="C248" i="106"/>
  <c r="C249" i="106" s="1"/>
  <c r="C250" i="106" s="1"/>
  <c r="K246" i="106"/>
  <c r="J246" i="106"/>
  <c r="I246" i="106"/>
  <c r="F246" i="106"/>
  <c r="E246" i="106" s="1"/>
  <c r="D248" i="106" s="1" a="1"/>
  <c r="D248" i="106" s="1"/>
  <c r="D246" i="106"/>
  <c r="C246" i="106"/>
  <c r="C247" i="106" s="1"/>
  <c r="H245" i="106"/>
  <c r="H244" i="106"/>
  <c r="H243" i="106"/>
  <c r="H242" i="106"/>
  <c r="H241" i="106"/>
  <c r="H240" i="106"/>
  <c r="H239" i="106"/>
  <c r="H238" i="106"/>
  <c r="I236" i="106"/>
  <c r="I234" i="106"/>
  <c r="I232" i="106"/>
  <c r="D232" i="106"/>
  <c r="C232" i="106"/>
  <c r="C233" i="106" s="1"/>
  <c r="C234" i="106" s="1"/>
  <c r="C235" i="106" s="1"/>
  <c r="C236" i="106" s="1"/>
  <c r="C237" i="106" s="1"/>
  <c r="C238" i="106" s="1"/>
  <c r="C239" i="106" s="1"/>
  <c r="C240" i="106" s="1"/>
  <c r="C241" i="106" s="1"/>
  <c r="C242" i="106" s="1"/>
  <c r="C243" i="106" s="1"/>
  <c r="C244" i="106" s="1"/>
  <c r="C245" i="106" s="1"/>
  <c r="H231" i="106"/>
  <c r="H230" i="106"/>
  <c r="H229" i="106"/>
  <c r="H228" i="106"/>
  <c r="H227" i="106"/>
  <c r="H226" i="106"/>
  <c r="H225" i="106"/>
  <c r="C225" i="106"/>
  <c r="C226" i="106" s="1"/>
  <c r="C227" i="106" s="1"/>
  <c r="C228" i="106" s="1"/>
  <c r="C229" i="106" s="1"/>
  <c r="C230" i="106" s="1"/>
  <c r="C231" i="106" s="1"/>
  <c r="H224" i="106"/>
  <c r="I220" i="106"/>
  <c r="D218" i="106"/>
  <c r="C218" i="106"/>
  <c r="C219" i="106" s="1"/>
  <c r="C220" i="106" s="1"/>
  <c r="C221" i="106" s="1"/>
  <c r="C222" i="106" s="1"/>
  <c r="C223" i="106" s="1"/>
  <c r="C224" i="106" s="1"/>
  <c r="H217" i="106"/>
  <c r="H216" i="106"/>
  <c r="H215" i="106"/>
  <c r="H214" i="106"/>
  <c r="H213" i="106"/>
  <c r="H212" i="106"/>
  <c r="H211" i="106"/>
  <c r="H210" i="106"/>
  <c r="C210" i="106"/>
  <c r="C211" i="106" s="1"/>
  <c r="C212" i="106" s="1"/>
  <c r="C213" i="106" s="1"/>
  <c r="C214" i="106" s="1"/>
  <c r="C215" i="106" s="1"/>
  <c r="C216" i="106" s="1"/>
  <c r="C217" i="106" s="1"/>
  <c r="C208" i="106"/>
  <c r="C209" i="106" s="1"/>
  <c r="I206" i="106"/>
  <c r="C206" i="106"/>
  <c r="C207" i="106" s="1"/>
  <c r="D204" i="106"/>
  <c r="F204" i="106" s="1"/>
  <c r="C204" i="106"/>
  <c r="C205" i="106" s="1"/>
  <c r="H203" i="106"/>
  <c r="H202" i="106"/>
  <c r="H201" i="106"/>
  <c r="H200" i="106"/>
  <c r="H199" i="106"/>
  <c r="H198" i="106"/>
  <c r="H197" i="106"/>
  <c r="H196" i="106"/>
  <c r="I192" i="106"/>
  <c r="D192" i="106" a="1"/>
  <c r="D192" i="106" s="1"/>
  <c r="C191" i="106"/>
  <c r="C192" i="106" s="1"/>
  <c r="C193" i="106" s="1"/>
  <c r="C194" i="106" s="1"/>
  <c r="C195" i="106" s="1"/>
  <c r="C196" i="106" s="1"/>
  <c r="C197" i="106" s="1"/>
  <c r="C198" i="106" s="1"/>
  <c r="C199" i="106" s="1"/>
  <c r="C200" i="106" s="1"/>
  <c r="C201" i="106" s="1"/>
  <c r="C202" i="106" s="1"/>
  <c r="C203" i="106" s="1"/>
  <c r="I190" i="106"/>
  <c r="I194" i="106" s="1"/>
  <c r="F190" i="106"/>
  <c r="E190" i="106"/>
  <c r="D190" i="106"/>
  <c r="C190" i="106"/>
  <c r="H189" i="106"/>
  <c r="H188" i="106"/>
  <c r="H187" i="106"/>
  <c r="H186" i="106"/>
  <c r="H185" i="106"/>
  <c r="H184" i="106"/>
  <c r="H183" i="106"/>
  <c r="H182" i="106"/>
  <c r="C181" i="106"/>
  <c r="C182" i="106" s="1"/>
  <c r="C183" i="106" s="1"/>
  <c r="C184" i="106" s="1"/>
  <c r="C185" i="106" s="1"/>
  <c r="C186" i="106" s="1"/>
  <c r="C187" i="106" s="1"/>
  <c r="C188" i="106" s="1"/>
  <c r="C189" i="106" s="1"/>
  <c r="I180" i="106"/>
  <c r="I178" i="106"/>
  <c r="D178" i="106" a="1"/>
  <c r="D178" i="106" s="1"/>
  <c r="C178" i="106"/>
  <c r="C179" i="106" s="1"/>
  <c r="C180" i="106" s="1"/>
  <c r="J176" i="106"/>
  <c r="I179" i="106" s="1"/>
  <c r="F176" i="106"/>
  <c r="E176" i="106"/>
  <c r="D176" i="106"/>
  <c r="I176" i="106" s="1"/>
  <c r="C176" i="106"/>
  <c r="C177" i="106" s="1"/>
  <c r="H175" i="106"/>
  <c r="H174" i="106"/>
  <c r="H173" i="106"/>
  <c r="H172" i="106"/>
  <c r="H171" i="106"/>
  <c r="H170" i="106"/>
  <c r="H169" i="106"/>
  <c r="H168" i="106"/>
  <c r="I164" i="106"/>
  <c r="C164" i="106"/>
  <c r="C165" i="106" s="1"/>
  <c r="C166" i="106" s="1"/>
  <c r="C167" i="106" s="1"/>
  <c r="C168" i="106" s="1"/>
  <c r="C169" i="106" s="1"/>
  <c r="C170" i="106" s="1"/>
  <c r="C171" i="106" s="1"/>
  <c r="C172" i="106" s="1"/>
  <c r="C173" i="106" s="1"/>
  <c r="C174" i="106" s="1"/>
  <c r="C175" i="106" s="1"/>
  <c r="D162" i="106"/>
  <c r="C162" i="106"/>
  <c r="C163" i="106" s="1"/>
  <c r="H161" i="106"/>
  <c r="H160" i="106"/>
  <c r="H159" i="106"/>
  <c r="H158" i="106"/>
  <c r="H157" i="106"/>
  <c r="H156" i="106"/>
  <c r="H155" i="106"/>
  <c r="H154" i="106"/>
  <c r="I152" i="106"/>
  <c r="I150" i="106"/>
  <c r="C150" i="106"/>
  <c r="C151" i="106" s="1"/>
  <c r="C152" i="106" s="1"/>
  <c r="C153" i="106" s="1"/>
  <c r="C154" i="106" s="1"/>
  <c r="C155" i="106" s="1"/>
  <c r="C156" i="106" s="1"/>
  <c r="C157" i="106" s="1"/>
  <c r="C158" i="106" s="1"/>
  <c r="C159" i="106" s="1"/>
  <c r="C160" i="106" s="1"/>
  <c r="C161" i="106" s="1"/>
  <c r="J149" i="106"/>
  <c r="C149" i="106"/>
  <c r="K148" i="106"/>
  <c r="J148" i="106"/>
  <c r="I151" i="106" s="1"/>
  <c r="I148" i="106"/>
  <c r="F148" i="106"/>
  <c r="E148" i="106"/>
  <c r="D150" i="106" s="1" a="1"/>
  <c r="D150" i="106" s="1"/>
  <c r="D148" i="106"/>
  <c r="C148" i="106"/>
  <c r="H147" i="106"/>
  <c r="H146" i="106"/>
  <c r="H145" i="106"/>
  <c r="H144" i="106"/>
  <c r="H143" i="106"/>
  <c r="H142" i="106"/>
  <c r="H141" i="106"/>
  <c r="H140" i="106"/>
  <c r="C140" i="106"/>
  <c r="C141" i="106" s="1"/>
  <c r="C142" i="106" s="1"/>
  <c r="C143" i="106" s="1"/>
  <c r="C144" i="106" s="1"/>
  <c r="C145" i="106" s="1"/>
  <c r="C146" i="106" s="1"/>
  <c r="C147" i="106" s="1"/>
  <c r="C137" i="106"/>
  <c r="C138" i="106" s="1"/>
  <c r="C139" i="106" s="1"/>
  <c r="I136" i="106"/>
  <c r="C136" i="106"/>
  <c r="C135" i="106"/>
  <c r="D134" i="106"/>
  <c r="F134" i="106" s="1"/>
  <c r="C134" i="106"/>
  <c r="H133" i="106"/>
  <c r="H132" i="106"/>
  <c r="H131" i="106"/>
  <c r="H130" i="106"/>
  <c r="H129" i="106"/>
  <c r="H128" i="106"/>
  <c r="H127" i="106"/>
  <c r="H126" i="106"/>
  <c r="I122" i="106"/>
  <c r="D120" i="106"/>
  <c r="I120" i="106" s="1"/>
  <c r="C120" i="106"/>
  <c r="C121" i="106" s="1"/>
  <c r="C122" i="106" s="1"/>
  <c r="C123" i="106" s="1"/>
  <c r="C124" i="106" s="1"/>
  <c r="C125" i="106" s="1"/>
  <c r="C126" i="106" s="1"/>
  <c r="C127" i="106" s="1"/>
  <c r="C128" i="106" s="1"/>
  <c r="C129" i="106" s="1"/>
  <c r="C130" i="106" s="1"/>
  <c r="C131" i="106" s="1"/>
  <c r="C132" i="106" s="1"/>
  <c r="C133" i="106" s="1"/>
  <c r="H119" i="106"/>
  <c r="H118" i="106"/>
  <c r="H117" i="106"/>
  <c r="H116" i="106"/>
  <c r="H115" i="106"/>
  <c r="AS114" i="106"/>
  <c r="AR114" i="106"/>
  <c r="AG114" i="106"/>
  <c r="H114" i="106"/>
  <c r="C114" i="106"/>
  <c r="C115" i="106" s="1"/>
  <c r="C116" i="106" s="1"/>
  <c r="C117" i="106" s="1"/>
  <c r="C118" i="106" s="1"/>
  <c r="C119" i="106" s="1"/>
  <c r="H113" i="106"/>
  <c r="AK112" i="106"/>
  <c r="H112" i="106"/>
  <c r="AK111" i="106"/>
  <c r="AG111" i="106"/>
  <c r="AG111" i="106" a="1"/>
  <c r="AF111" i="106" a="1"/>
  <c r="AF111" i="106" s="1"/>
  <c r="AK110" i="106"/>
  <c r="AG110" i="106" a="1"/>
  <c r="AG110" i="106" s="1"/>
  <c r="AF110" i="106" a="1"/>
  <c r="AF110" i="106" s="1"/>
  <c r="AK109" i="106"/>
  <c r="AG109" i="106"/>
  <c r="AG109" i="106" a="1"/>
  <c r="AF109" i="106"/>
  <c r="AF109" i="106" a="1"/>
  <c r="AK108" i="106"/>
  <c r="AG108" i="106"/>
  <c r="AG108" i="106" a="1"/>
  <c r="AF108" i="106" a="1"/>
  <c r="AF108" i="106" s="1"/>
  <c r="I108" i="106"/>
  <c r="AK107" i="106"/>
  <c r="AG107" i="106" a="1"/>
  <c r="AG107" i="106" s="1"/>
  <c r="AF107" i="106" a="1"/>
  <c r="AF107" i="106" s="1"/>
  <c r="C107" i="106"/>
  <c r="C108" i="106" s="1"/>
  <c r="C109" i="106" s="1"/>
  <c r="C110" i="106" s="1"/>
  <c r="C111" i="106" s="1"/>
  <c r="C112" i="106" s="1"/>
  <c r="C113" i="106" s="1"/>
  <c r="AK106" i="106"/>
  <c r="AG106" i="106"/>
  <c r="AG106" i="106" a="1"/>
  <c r="AF106" i="106" a="1"/>
  <c r="AF106" i="106" s="1"/>
  <c r="D106" i="106"/>
  <c r="C106" i="106"/>
  <c r="AK105" i="106"/>
  <c r="AG105" i="106" a="1"/>
  <c r="AG105" i="106" s="1"/>
  <c r="AF105" i="106" a="1"/>
  <c r="AF105" i="106" s="1"/>
  <c r="H105" i="106"/>
  <c r="AK104" i="106"/>
  <c r="AG104" i="106"/>
  <c r="AG104" i="106" a="1"/>
  <c r="AF104" i="106" a="1"/>
  <c r="AF104" i="106" s="1"/>
  <c r="H104" i="106"/>
  <c r="AK103" i="106"/>
  <c r="AG103" i="106"/>
  <c r="AG103" i="106" a="1"/>
  <c r="AF103" i="106" a="1"/>
  <c r="AF103" i="106" s="1"/>
  <c r="H103" i="106"/>
  <c r="AK102" i="106"/>
  <c r="AG102" i="106" a="1"/>
  <c r="AG102" i="106" s="1"/>
  <c r="AF102" i="106" a="1"/>
  <c r="AF102" i="106" s="1"/>
  <c r="H102" i="106"/>
  <c r="AK101" i="106"/>
  <c r="AC101" i="106"/>
  <c r="AI101" i="106" s="1"/>
  <c r="AB101" i="106"/>
  <c r="Y101" i="106"/>
  <c r="X101" i="106"/>
  <c r="S101" i="106"/>
  <c r="T101" i="106" s="1"/>
  <c r="U101" i="106" s="1"/>
  <c r="V101" i="106" s="1"/>
  <c r="P101" i="106"/>
  <c r="Q101" i="106" s="1"/>
  <c r="R101" i="106" s="1"/>
  <c r="H101" i="106"/>
  <c r="AK100" i="106"/>
  <c r="AI100" i="106"/>
  <c r="AC100" i="106"/>
  <c r="AB100" i="106"/>
  <c r="Y100" i="106"/>
  <c r="X100" i="106"/>
  <c r="P100" i="106"/>
  <c r="Q100" i="106" s="1"/>
  <c r="R100" i="106" s="1"/>
  <c r="S100" i="106" s="1"/>
  <c r="T100" i="106" s="1"/>
  <c r="U100" i="106" s="1"/>
  <c r="V100" i="106" s="1"/>
  <c r="H100" i="106"/>
  <c r="C100" i="106"/>
  <c r="C101" i="106" s="1"/>
  <c r="C102" i="106" s="1"/>
  <c r="C103" i="106" s="1"/>
  <c r="C104" i="106" s="1"/>
  <c r="C105" i="106" s="1"/>
  <c r="AK99" i="106"/>
  <c r="AC99" i="106"/>
  <c r="AI99" i="106" s="1"/>
  <c r="AB99" i="106"/>
  <c r="Y99" i="106"/>
  <c r="X99" i="106"/>
  <c r="P99" i="106"/>
  <c r="Q99" i="106" s="1"/>
  <c r="R99" i="106" s="1"/>
  <c r="S99" i="106" s="1"/>
  <c r="T99" i="106" s="1"/>
  <c r="U99" i="106" s="1"/>
  <c r="V99" i="106" s="1"/>
  <c r="H99" i="106"/>
  <c r="AK98" i="106"/>
  <c r="AC98" i="106"/>
  <c r="AI98" i="106" s="1"/>
  <c r="AB98" i="106"/>
  <c r="Y98" i="106"/>
  <c r="X98" i="106"/>
  <c r="T98" i="106"/>
  <c r="U98" i="106" s="1"/>
  <c r="V98" i="106" s="1"/>
  <c r="R98" i="106"/>
  <c r="S98" i="106" s="1"/>
  <c r="Q98" i="106"/>
  <c r="P98" i="106"/>
  <c r="H98" i="106"/>
  <c r="AK97" i="106"/>
  <c r="AC97" i="106"/>
  <c r="AI97" i="106" s="1"/>
  <c r="AB97" i="106"/>
  <c r="Y97" i="106"/>
  <c r="X97" i="106"/>
  <c r="P97" i="106"/>
  <c r="Q97" i="106" s="1"/>
  <c r="R97" i="106" s="1"/>
  <c r="S97" i="106" s="1"/>
  <c r="T97" i="106" s="1"/>
  <c r="U97" i="106" s="1"/>
  <c r="V97" i="106" s="1"/>
  <c r="AK96" i="106"/>
  <c r="AI96" i="106"/>
  <c r="AC96" i="106"/>
  <c r="AB96" i="106"/>
  <c r="Y96" i="106"/>
  <c r="X96" i="106"/>
  <c r="Q96" i="106"/>
  <c r="R96" i="106" s="1"/>
  <c r="S96" i="106" s="1"/>
  <c r="T96" i="106" s="1"/>
  <c r="U96" i="106" s="1"/>
  <c r="V96" i="106" s="1"/>
  <c r="P96" i="106"/>
  <c r="I96" i="106"/>
  <c r="AK95" i="106"/>
  <c r="AI95" i="106"/>
  <c r="AC95" i="106"/>
  <c r="AB95" i="106"/>
  <c r="Y95" i="106"/>
  <c r="X95" i="106"/>
  <c r="Q95" i="106"/>
  <c r="R95" i="106" s="1"/>
  <c r="S95" i="106" s="1"/>
  <c r="T95" i="106" s="1"/>
  <c r="U95" i="106" s="1"/>
  <c r="V95" i="106" s="1"/>
  <c r="P95" i="106"/>
  <c r="AK94" i="106"/>
  <c r="AC94" i="106"/>
  <c r="AI94" i="106" s="1"/>
  <c r="AB94" i="106"/>
  <c r="Y94" i="106"/>
  <c r="X94" i="106"/>
  <c r="T94" i="106"/>
  <c r="U94" i="106" s="1"/>
  <c r="V94" i="106" s="1"/>
  <c r="Q94" i="106"/>
  <c r="R94" i="106" s="1"/>
  <c r="S94" i="106" s="1"/>
  <c r="P94" i="106"/>
  <c r="I94" i="106"/>
  <c r="C94" i="106"/>
  <c r="C95" i="106" s="1"/>
  <c r="C96" i="106" s="1"/>
  <c r="C97" i="106" s="1"/>
  <c r="C98" i="106" s="1"/>
  <c r="C99" i="106" s="1"/>
  <c r="AK93" i="106"/>
  <c r="AI93" i="106"/>
  <c r="AC93" i="106"/>
  <c r="AB93" i="106"/>
  <c r="Y93" i="106"/>
  <c r="X93" i="106"/>
  <c r="R93" i="106"/>
  <c r="S93" i="106" s="1"/>
  <c r="T93" i="106" s="1"/>
  <c r="U93" i="106" s="1"/>
  <c r="V93" i="106" s="1"/>
  <c r="Q93" i="106"/>
  <c r="P93" i="106"/>
  <c r="AK92" i="106"/>
  <c r="AC92" i="106"/>
  <c r="AI92" i="106" s="1"/>
  <c r="AB92" i="106"/>
  <c r="Y92" i="106"/>
  <c r="X92" i="106"/>
  <c r="Q92" i="106"/>
  <c r="R92" i="106" s="1"/>
  <c r="S92" i="106" s="1"/>
  <c r="T92" i="106" s="1"/>
  <c r="U92" i="106" s="1"/>
  <c r="V92" i="106" s="1"/>
  <c r="P92" i="106"/>
  <c r="I92" i="106"/>
  <c r="D92" i="106"/>
  <c r="C92" i="106"/>
  <c r="C93" i="106" s="1"/>
  <c r="AK91" i="106"/>
  <c r="AC91" i="106"/>
  <c r="AI91" i="106" s="1"/>
  <c r="AB91" i="106"/>
  <c r="Y91" i="106"/>
  <c r="X91" i="106"/>
  <c r="S91" i="106"/>
  <c r="T91" i="106" s="1"/>
  <c r="U91" i="106" s="1"/>
  <c r="V91" i="106" s="1"/>
  <c r="Q91" i="106"/>
  <c r="R91" i="106" s="1"/>
  <c r="P91" i="106"/>
  <c r="H91" i="106"/>
  <c r="AK90" i="106"/>
  <c r="AC90" i="106"/>
  <c r="AI90" i="106" s="1"/>
  <c r="AB90" i="106"/>
  <c r="Y90" i="106"/>
  <c r="X90" i="106"/>
  <c r="P90" i="106"/>
  <c r="Q90" i="106" s="1"/>
  <c r="R90" i="106" s="1"/>
  <c r="S90" i="106" s="1"/>
  <c r="T90" i="106" s="1"/>
  <c r="U90" i="106" s="1"/>
  <c r="V90" i="106" s="1"/>
  <c r="H90" i="106"/>
  <c r="AK89" i="106"/>
  <c r="AC89" i="106"/>
  <c r="AI89" i="106" s="1"/>
  <c r="AB89" i="106"/>
  <c r="Y89" i="106"/>
  <c r="X89" i="106"/>
  <c r="Q89" i="106"/>
  <c r="R89" i="106" s="1"/>
  <c r="S89" i="106" s="1"/>
  <c r="T89" i="106" s="1"/>
  <c r="U89" i="106" s="1"/>
  <c r="V89" i="106" s="1"/>
  <c r="P89" i="106"/>
  <c r="H89" i="106"/>
  <c r="AK88" i="106"/>
  <c r="AC88" i="106"/>
  <c r="AI88" i="106" s="1"/>
  <c r="AB88" i="106"/>
  <c r="Y88" i="106"/>
  <c r="X88" i="106"/>
  <c r="V88" i="106"/>
  <c r="R88" i="106"/>
  <c r="S88" i="106" s="1"/>
  <c r="T88" i="106" s="1"/>
  <c r="U88" i="106" s="1"/>
  <c r="Q88" i="106"/>
  <c r="P88" i="106"/>
  <c r="H88" i="106"/>
  <c r="AK87" i="106"/>
  <c r="AI87" i="106"/>
  <c r="AC87" i="106"/>
  <c r="AB87" i="106"/>
  <c r="Y87" i="106"/>
  <c r="X87" i="106"/>
  <c r="P87" i="106"/>
  <c r="Q87" i="106" s="1"/>
  <c r="R87" i="106" s="1"/>
  <c r="S87" i="106" s="1"/>
  <c r="T87" i="106" s="1"/>
  <c r="U87" i="106" s="1"/>
  <c r="V87" i="106" s="1"/>
  <c r="H87" i="106"/>
  <c r="AK86" i="106"/>
  <c r="AI86" i="106"/>
  <c r="AC86" i="106"/>
  <c r="AB86" i="106"/>
  <c r="Y86" i="106"/>
  <c r="X86" i="106"/>
  <c r="P86" i="106"/>
  <c r="Q86" i="106" s="1"/>
  <c r="R86" i="106" s="1"/>
  <c r="S86" i="106" s="1"/>
  <c r="T86" i="106" s="1"/>
  <c r="U86" i="106" s="1"/>
  <c r="V86" i="106" s="1"/>
  <c r="H86" i="106"/>
  <c r="AK85" i="106"/>
  <c r="AI85" i="106"/>
  <c r="AC85" i="106"/>
  <c r="AB85" i="106"/>
  <c r="Y85" i="106"/>
  <c r="X85" i="106"/>
  <c r="Q85" i="106"/>
  <c r="R85" i="106" s="1"/>
  <c r="S85" i="106" s="1"/>
  <c r="T85" i="106" s="1"/>
  <c r="U85" i="106" s="1"/>
  <c r="V85" i="106" s="1"/>
  <c r="P85" i="106"/>
  <c r="H85" i="106"/>
  <c r="AK84" i="106"/>
  <c r="AC84" i="106"/>
  <c r="AI84" i="106" s="1"/>
  <c r="AB84" i="106"/>
  <c r="Y84" i="106"/>
  <c r="X84" i="106"/>
  <c r="P84" i="106"/>
  <c r="Q84" i="106" s="1"/>
  <c r="R84" i="106" s="1"/>
  <c r="S84" i="106" s="1"/>
  <c r="T84" i="106" s="1"/>
  <c r="U84" i="106" s="1"/>
  <c r="V84" i="106" s="1"/>
  <c r="H84" i="106"/>
  <c r="AK83" i="106"/>
  <c r="AC83" i="106"/>
  <c r="AI83" i="106" s="1"/>
  <c r="AB83" i="106"/>
  <c r="Y83" i="106"/>
  <c r="X83" i="106"/>
  <c r="P83" i="106"/>
  <c r="Q83" i="106" s="1"/>
  <c r="R83" i="106" s="1"/>
  <c r="S83" i="106" s="1"/>
  <c r="T83" i="106" s="1"/>
  <c r="U83" i="106" s="1"/>
  <c r="V83" i="106" s="1"/>
  <c r="AK82" i="106"/>
  <c r="AI82" i="106"/>
  <c r="AC82" i="106"/>
  <c r="AB82" i="106"/>
  <c r="Y82" i="106"/>
  <c r="X82" i="106"/>
  <c r="P82" i="106"/>
  <c r="Q82" i="106" s="1"/>
  <c r="R82" i="106" s="1"/>
  <c r="S82" i="106" s="1"/>
  <c r="T82" i="106" s="1"/>
  <c r="U82" i="106" s="1"/>
  <c r="V82" i="106" s="1"/>
  <c r="AK81" i="106"/>
  <c r="AC81" i="106"/>
  <c r="AI81" i="106" s="1"/>
  <c r="AB81" i="106"/>
  <c r="Y81" i="106"/>
  <c r="X81" i="106"/>
  <c r="P81" i="106"/>
  <c r="Q81" i="106" s="1"/>
  <c r="R81" i="106" s="1"/>
  <c r="S81" i="106" s="1"/>
  <c r="T81" i="106" s="1"/>
  <c r="U81" i="106" s="1"/>
  <c r="V81" i="106" s="1"/>
  <c r="AK80" i="106"/>
  <c r="AI80" i="106"/>
  <c r="AC80" i="106"/>
  <c r="AB80" i="106"/>
  <c r="Y80" i="106"/>
  <c r="X80" i="106"/>
  <c r="P80" i="106"/>
  <c r="Q80" i="106" s="1"/>
  <c r="R80" i="106" s="1"/>
  <c r="S80" i="106" s="1"/>
  <c r="T80" i="106" s="1"/>
  <c r="U80" i="106" s="1"/>
  <c r="V80" i="106" s="1"/>
  <c r="I80" i="106"/>
  <c r="AK79" i="106"/>
  <c r="AC79" i="106"/>
  <c r="AI79" i="106" s="1"/>
  <c r="AB79" i="106"/>
  <c r="Y79" i="106"/>
  <c r="X79" i="106"/>
  <c r="Q79" i="106"/>
  <c r="R79" i="106" s="1"/>
  <c r="S79" i="106" s="1"/>
  <c r="T79" i="106" s="1"/>
  <c r="U79" i="106" s="1"/>
  <c r="V79" i="106" s="1"/>
  <c r="P79" i="106"/>
  <c r="C79" i="106"/>
  <c r="C80" i="106" s="1"/>
  <c r="C81" i="106" s="1"/>
  <c r="C82" i="106" s="1"/>
  <c r="C83" i="106" s="1"/>
  <c r="C84" i="106" s="1"/>
  <c r="C85" i="106" s="1"/>
  <c r="C86" i="106" s="1"/>
  <c r="C87" i="106" s="1"/>
  <c r="C88" i="106" s="1"/>
  <c r="C89" i="106" s="1"/>
  <c r="C90" i="106" s="1"/>
  <c r="C91" i="106" s="1"/>
  <c r="AK78" i="106"/>
  <c r="AC78" i="106"/>
  <c r="AI78" i="106" s="1"/>
  <c r="AB78" i="106"/>
  <c r="Y78" i="106"/>
  <c r="X78" i="106"/>
  <c r="R78" i="106"/>
  <c r="S78" i="106" s="1"/>
  <c r="T78" i="106" s="1"/>
  <c r="U78" i="106" s="1"/>
  <c r="V78" i="106" s="1"/>
  <c r="P78" i="106"/>
  <c r="Q78" i="106" s="1"/>
  <c r="I78" i="106"/>
  <c r="J78" i="106" s="1"/>
  <c r="F78" i="106"/>
  <c r="D78" i="106"/>
  <c r="C78" i="106"/>
  <c r="AK77" i="106"/>
  <c r="AI77" i="106"/>
  <c r="AC77" i="106"/>
  <c r="AB77" i="106"/>
  <c r="Y77" i="106"/>
  <c r="X77" i="106"/>
  <c r="P77" i="106"/>
  <c r="Q77" i="106" s="1"/>
  <c r="R77" i="106" s="1"/>
  <c r="S77" i="106" s="1"/>
  <c r="T77" i="106" s="1"/>
  <c r="U77" i="106" s="1"/>
  <c r="V77" i="106" s="1"/>
  <c r="H77" i="106"/>
  <c r="AK76" i="106"/>
  <c r="AC76" i="106"/>
  <c r="AI76" i="106" s="1"/>
  <c r="AB76" i="106"/>
  <c r="Y76" i="106"/>
  <c r="X76" i="106"/>
  <c r="R76" i="106"/>
  <c r="S76" i="106" s="1"/>
  <c r="T76" i="106" s="1"/>
  <c r="U76" i="106" s="1"/>
  <c r="V76" i="106" s="1"/>
  <c r="Q76" i="106"/>
  <c r="P76" i="106"/>
  <c r="H76" i="106"/>
  <c r="AK75" i="106"/>
  <c r="AC75" i="106"/>
  <c r="AI75" i="106" s="1"/>
  <c r="AB75" i="106"/>
  <c r="Y75" i="106"/>
  <c r="X75" i="106"/>
  <c r="S75" i="106"/>
  <c r="T75" i="106" s="1"/>
  <c r="U75" i="106" s="1"/>
  <c r="V75" i="106" s="1"/>
  <c r="P75" i="106"/>
  <c r="Q75" i="106" s="1"/>
  <c r="R75" i="106" s="1"/>
  <c r="H75" i="106"/>
  <c r="AK74" i="106"/>
  <c r="AI74" i="106"/>
  <c r="AC74" i="106"/>
  <c r="AB74" i="106"/>
  <c r="Y74" i="106"/>
  <c r="X74" i="106"/>
  <c r="Q74" i="106"/>
  <c r="R74" i="106" s="1"/>
  <c r="S74" i="106" s="1"/>
  <c r="T74" i="106" s="1"/>
  <c r="U74" i="106" s="1"/>
  <c r="V74" i="106" s="1"/>
  <c r="P74" i="106"/>
  <c r="H74" i="106"/>
  <c r="AK73" i="106"/>
  <c r="AI73" i="106"/>
  <c r="AC73" i="106"/>
  <c r="AB73" i="106"/>
  <c r="Y73" i="106"/>
  <c r="X73" i="106"/>
  <c r="Q73" i="106"/>
  <c r="R73" i="106" s="1"/>
  <c r="S73" i="106" s="1"/>
  <c r="T73" i="106" s="1"/>
  <c r="U73" i="106" s="1"/>
  <c r="V73" i="106" s="1"/>
  <c r="P73" i="106"/>
  <c r="H73" i="106"/>
  <c r="AK72" i="106"/>
  <c r="AC72" i="106"/>
  <c r="AI72" i="106" s="1"/>
  <c r="AB72" i="106"/>
  <c r="Y72" i="106"/>
  <c r="X72" i="106"/>
  <c r="Q72" i="106"/>
  <c r="R72" i="106" s="1"/>
  <c r="S72" i="106" s="1"/>
  <c r="T72" i="106" s="1"/>
  <c r="U72" i="106" s="1"/>
  <c r="V72" i="106" s="1"/>
  <c r="P72" i="106"/>
  <c r="H72" i="106"/>
  <c r="AK71" i="106"/>
  <c r="AI71" i="106"/>
  <c r="AC71" i="106"/>
  <c r="AB71" i="106"/>
  <c r="Y71" i="106"/>
  <c r="X71" i="106"/>
  <c r="Q71" i="106"/>
  <c r="R71" i="106" s="1"/>
  <c r="S71" i="106" s="1"/>
  <c r="T71" i="106" s="1"/>
  <c r="U71" i="106" s="1"/>
  <c r="V71" i="106" s="1"/>
  <c r="P71" i="106"/>
  <c r="H71" i="106"/>
  <c r="AK70" i="106"/>
  <c r="AI70" i="106"/>
  <c r="AC70" i="106"/>
  <c r="AB70" i="106"/>
  <c r="Y70" i="106"/>
  <c r="X70" i="106"/>
  <c r="P70" i="106"/>
  <c r="Q70" i="106" s="1"/>
  <c r="R70" i="106" s="1"/>
  <c r="S70" i="106" s="1"/>
  <c r="T70" i="106" s="1"/>
  <c r="U70" i="106" s="1"/>
  <c r="V70" i="106" s="1"/>
  <c r="H70" i="106"/>
  <c r="AK69" i="106"/>
  <c r="AC69" i="106"/>
  <c r="AI69" i="106" s="1"/>
  <c r="AB69" i="106"/>
  <c r="Y69" i="106"/>
  <c r="X69" i="106"/>
  <c r="P69" i="106"/>
  <c r="Q69" i="106" s="1"/>
  <c r="R69" i="106" s="1"/>
  <c r="S69" i="106" s="1"/>
  <c r="T69" i="106" s="1"/>
  <c r="U69" i="106" s="1"/>
  <c r="V69" i="106" s="1"/>
  <c r="C69" i="106"/>
  <c r="C70" i="106" s="1"/>
  <c r="C71" i="106" s="1"/>
  <c r="C72" i="106" s="1"/>
  <c r="C73" i="106" s="1"/>
  <c r="C74" i="106" s="1"/>
  <c r="C75" i="106" s="1"/>
  <c r="C76" i="106" s="1"/>
  <c r="C77" i="106" s="1"/>
  <c r="AK68" i="106"/>
  <c r="AI68" i="106"/>
  <c r="AC68" i="106"/>
  <c r="AB68" i="106"/>
  <c r="Y68" i="106"/>
  <c r="X68" i="106"/>
  <c r="P68" i="106"/>
  <c r="Q68" i="106" s="1"/>
  <c r="R68" i="106" s="1"/>
  <c r="S68" i="106" s="1"/>
  <c r="T68" i="106" s="1"/>
  <c r="U68" i="106" s="1"/>
  <c r="V68" i="106" s="1"/>
  <c r="BB67" i="106"/>
  <c r="AK67" i="106"/>
  <c r="AC67" i="106"/>
  <c r="AI67" i="106" s="1"/>
  <c r="AB67" i="106"/>
  <c r="Y67" i="106"/>
  <c r="X67" i="106"/>
  <c r="P67" i="106"/>
  <c r="Q67" i="106" s="1"/>
  <c r="R67" i="106" s="1"/>
  <c r="S67" i="106" s="1"/>
  <c r="T67" i="106" s="1"/>
  <c r="U67" i="106" s="1"/>
  <c r="V67" i="106" s="1"/>
  <c r="AX66" i="106"/>
  <c r="AK66" i="106"/>
  <c r="AC66" i="106"/>
  <c r="AI66" i="106" s="1"/>
  <c r="AB66" i="106"/>
  <c r="Y66" i="106"/>
  <c r="X66" i="106"/>
  <c r="T66" i="106"/>
  <c r="U66" i="106" s="1"/>
  <c r="V66" i="106" s="1"/>
  <c r="P66" i="106"/>
  <c r="Q66" i="106" s="1"/>
  <c r="R66" i="106" s="1"/>
  <c r="S66" i="106" s="1"/>
  <c r="I66" i="106"/>
  <c r="AX65" i="106"/>
  <c r="AK65" i="106"/>
  <c r="AC65" i="106"/>
  <c r="AI65" i="106" s="1"/>
  <c r="AB65" i="106"/>
  <c r="Y65" i="106"/>
  <c r="X65" i="106"/>
  <c r="P65" i="106"/>
  <c r="Q65" i="106" s="1"/>
  <c r="R65" i="106" s="1"/>
  <c r="S65" i="106" s="1"/>
  <c r="T65" i="106" s="1"/>
  <c r="U65" i="106" s="1"/>
  <c r="V65" i="106" s="1"/>
  <c r="AZ64" i="106"/>
  <c r="AX64" i="106"/>
  <c r="AK64" i="106"/>
  <c r="AI64" i="106"/>
  <c r="AC64" i="106"/>
  <c r="AB64" i="106"/>
  <c r="Y64" i="106"/>
  <c r="X64" i="106"/>
  <c r="P64" i="106"/>
  <c r="Q64" i="106" s="1"/>
  <c r="R64" i="106" s="1"/>
  <c r="S64" i="106" s="1"/>
  <c r="T64" i="106" s="1"/>
  <c r="U64" i="106" s="1"/>
  <c r="V64" i="106" s="1"/>
  <c r="I64" i="106"/>
  <c r="D64" i="106"/>
  <c r="C64" i="106"/>
  <c r="C65" i="106" s="1"/>
  <c r="C66" i="106" s="1"/>
  <c r="C67" i="106" s="1"/>
  <c r="C68" i="106" s="1"/>
  <c r="AZ63" i="106"/>
  <c r="AX63" i="106"/>
  <c r="AK63" i="106"/>
  <c r="AC63" i="106"/>
  <c r="AI63" i="106" s="1"/>
  <c r="AB63" i="106"/>
  <c r="Y63" i="106"/>
  <c r="X63" i="106"/>
  <c r="Q63" i="106"/>
  <c r="R63" i="106" s="1"/>
  <c r="S63" i="106" s="1"/>
  <c r="T63" i="106" s="1"/>
  <c r="U63" i="106" s="1"/>
  <c r="V63" i="106" s="1"/>
  <c r="P63" i="106"/>
  <c r="H63" i="106"/>
  <c r="AX62" i="106"/>
  <c r="AK62" i="106"/>
  <c r="AC62" i="106"/>
  <c r="AI62" i="106" s="1"/>
  <c r="AB62" i="106"/>
  <c r="Y62" i="106"/>
  <c r="X62" i="106"/>
  <c r="P62" i="106"/>
  <c r="Q62" i="106" s="1"/>
  <c r="R62" i="106" s="1"/>
  <c r="S62" i="106" s="1"/>
  <c r="T62" i="106" s="1"/>
  <c r="U62" i="106" s="1"/>
  <c r="V62" i="106" s="1"/>
  <c r="H62" i="106"/>
  <c r="AZ61" i="106"/>
  <c r="AX61" i="106"/>
  <c r="AV61" i="106"/>
  <c r="AK61" i="106"/>
  <c r="AC61" i="106"/>
  <c r="AI61" i="106" s="1"/>
  <c r="AB61" i="106"/>
  <c r="Y61" i="106"/>
  <c r="X61" i="106"/>
  <c r="P61" i="106"/>
  <c r="Q61" i="106" s="1"/>
  <c r="R61" i="106" s="1"/>
  <c r="S61" i="106" s="1"/>
  <c r="T61" i="106" s="1"/>
  <c r="U61" i="106" s="1"/>
  <c r="V61" i="106" s="1"/>
  <c r="H61" i="106"/>
  <c r="AX60" i="106"/>
  <c r="AV60" i="106"/>
  <c r="AK60" i="106"/>
  <c r="AI60" i="106"/>
  <c r="AC60" i="106"/>
  <c r="AB60" i="106"/>
  <c r="Y60" i="106"/>
  <c r="X60" i="106"/>
  <c r="Q60" i="106"/>
  <c r="R60" i="106" s="1"/>
  <c r="S60" i="106" s="1"/>
  <c r="T60" i="106" s="1"/>
  <c r="U60" i="106" s="1"/>
  <c r="V60" i="106" s="1"/>
  <c r="P60" i="106"/>
  <c r="H60" i="106"/>
  <c r="AX59" i="106"/>
  <c r="AV59" i="106"/>
  <c r="AK59" i="106"/>
  <c r="AC59" i="106"/>
  <c r="AI59" i="106" s="1"/>
  <c r="AB59" i="106"/>
  <c r="Y59" i="106"/>
  <c r="X59" i="106"/>
  <c r="Q59" i="106"/>
  <c r="R59" i="106" s="1"/>
  <c r="S59" i="106" s="1"/>
  <c r="T59" i="106" s="1"/>
  <c r="U59" i="106" s="1"/>
  <c r="V59" i="106" s="1"/>
  <c r="P59" i="106"/>
  <c r="H59" i="106"/>
  <c r="AY58" i="106"/>
  <c r="AX58" i="106"/>
  <c r="AV58" i="106"/>
  <c r="AK58" i="106"/>
  <c r="AI58" i="106"/>
  <c r="AC58" i="106"/>
  <c r="AB58" i="106"/>
  <c r="Y58" i="106"/>
  <c r="X58" i="106"/>
  <c r="Q58" i="106"/>
  <c r="R58" i="106" s="1"/>
  <c r="S58" i="106" s="1"/>
  <c r="T58" i="106" s="1"/>
  <c r="U58" i="106" s="1"/>
  <c r="V58" i="106" s="1"/>
  <c r="P58" i="106"/>
  <c r="H58" i="106"/>
  <c r="AZ57" i="106"/>
  <c r="AY57" i="106"/>
  <c r="AX57" i="106"/>
  <c r="AV57" i="106"/>
  <c r="AK57" i="106"/>
  <c r="AI57" i="106"/>
  <c r="AC57" i="106"/>
  <c r="AB57" i="106"/>
  <c r="Y57" i="106"/>
  <c r="X57" i="106"/>
  <c r="R57" i="106"/>
  <c r="S57" i="106" s="1"/>
  <c r="T57" i="106" s="1"/>
  <c r="U57" i="106" s="1"/>
  <c r="V57" i="106" s="1"/>
  <c r="Q57" i="106"/>
  <c r="P57" i="106"/>
  <c r="H57" i="106"/>
  <c r="AX56" i="106"/>
  <c r="AK56" i="106"/>
  <c r="AI56" i="106"/>
  <c r="AC56" i="106"/>
  <c r="AB56" i="106"/>
  <c r="Y56" i="106"/>
  <c r="X56" i="106"/>
  <c r="P56" i="106"/>
  <c r="Q56" i="106" s="1"/>
  <c r="R56" i="106" s="1"/>
  <c r="S56" i="106" s="1"/>
  <c r="T56" i="106" s="1"/>
  <c r="U56" i="106" s="1"/>
  <c r="V56" i="106" s="1"/>
  <c r="H56" i="106"/>
  <c r="C56" i="106"/>
  <c r="C57" i="106" s="1"/>
  <c r="C58" i="106" s="1"/>
  <c r="C59" i="106" s="1"/>
  <c r="C60" i="106" s="1"/>
  <c r="C61" i="106" s="1"/>
  <c r="C62" i="106" s="1"/>
  <c r="C63" i="106" s="1"/>
  <c r="BK55" i="106"/>
  <c r="AX55" i="106"/>
  <c r="AK55" i="106"/>
  <c r="AI55" i="106"/>
  <c r="AC55" i="106"/>
  <c r="AB55" i="106"/>
  <c r="Y55" i="106"/>
  <c r="X55" i="106"/>
  <c r="P55" i="106"/>
  <c r="Q55" i="106" s="1"/>
  <c r="R55" i="106" s="1"/>
  <c r="S55" i="106" s="1"/>
  <c r="T55" i="106" s="1"/>
  <c r="U55" i="106" s="1"/>
  <c r="V55" i="106" s="1"/>
  <c r="AX54" i="106"/>
  <c r="AT54" i="106"/>
  <c r="AK54" i="106"/>
  <c r="AC54" i="106"/>
  <c r="AI54" i="106" s="1"/>
  <c r="AB54" i="106"/>
  <c r="Y54" i="106"/>
  <c r="X54" i="106"/>
  <c r="S54" i="106"/>
  <c r="T54" i="106" s="1"/>
  <c r="U54" i="106" s="1"/>
  <c r="V54" i="106" s="1"/>
  <c r="Q54" i="106"/>
  <c r="R54" i="106" s="1"/>
  <c r="P54" i="106"/>
  <c r="AW53" i="106"/>
  <c r="AK53" i="106"/>
  <c r="AI53" i="106"/>
  <c r="AC53" i="106"/>
  <c r="AB53" i="106"/>
  <c r="Y53" i="106"/>
  <c r="X53" i="106"/>
  <c r="Q53" i="106"/>
  <c r="R53" i="106" s="1"/>
  <c r="S53" i="106" s="1"/>
  <c r="T53" i="106" s="1"/>
  <c r="U53" i="106" s="1"/>
  <c r="V53" i="106" s="1"/>
  <c r="P53" i="106"/>
  <c r="C53" i="106"/>
  <c r="C54" i="106" s="1"/>
  <c r="C55" i="106" s="1"/>
  <c r="AX52" i="106"/>
  <c r="AW52" i="106"/>
  <c r="AK52" i="106"/>
  <c r="AC52" i="106"/>
  <c r="AI52" i="106" s="1"/>
  <c r="AB52" i="106"/>
  <c r="Y52" i="106"/>
  <c r="X52" i="106"/>
  <c r="R52" i="106"/>
  <c r="S52" i="106" s="1"/>
  <c r="T52" i="106" s="1"/>
  <c r="U52" i="106" s="1"/>
  <c r="V52" i="106" s="1"/>
  <c r="Q52" i="106"/>
  <c r="P52" i="106"/>
  <c r="I52" i="106"/>
  <c r="AK51" i="106"/>
  <c r="AI51" i="106"/>
  <c r="AC51" i="106"/>
  <c r="AB51" i="106"/>
  <c r="Y51" i="106"/>
  <c r="X51" i="106"/>
  <c r="P51" i="106"/>
  <c r="Q51" i="106" s="1"/>
  <c r="R51" i="106" s="1"/>
  <c r="S51" i="106" s="1"/>
  <c r="T51" i="106" s="1"/>
  <c r="U51" i="106" s="1"/>
  <c r="V51" i="106" s="1"/>
  <c r="D51" i="106"/>
  <c r="D51" i="106" a="1"/>
  <c r="AX50" i="106"/>
  <c r="AK50" i="106"/>
  <c r="AC50" i="106"/>
  <c r="AI50" i="106" s="1"/>
  <c r="AB50" i="106"/>
  <c r="Y50" i="106"/>
  <c r="X50" i="106"/>
  <c r="P50" i="106"/>
  <c r="Q50" i="106" s="1"/>
  <c r="R50" i="106" s="1"/>
  <c r="S50" i="106" s="1"/>
  <c r="T50" i="106" s="1"/>
  <c r="U50" i="106" s="1"/>
  <c r="V50" i="106" s="1"/>
  <c r="D50" i="106"/>
  <c r="I50" i="106" s="1"/>
  <c r="C50" i="106"/>
  <c r="C51" i="106" s="1"/>
  <c r="C52" i="106" s="1"/>
  <c r="BK49" i="106"/>
  <c r="BJ49" i="106"/>
  <c r="BI49" i="106"/>
  <c r="BH49" i="106"/>
  <c r="BG49" i="106"/>
  <c r="BF49" i="106"/>
  <c r="BE49" i="106"/>
  <c r="BD49" i="106"/>
  <c r="BC49" i="106"/>
  <c r="BB49" i="106"/>
  <c r="BA49" i="106"/>
  <c r="AZ49" i="106"/>
  <c r="AY49" i="106"/>
  <c r="AX49" i="106"/>
  <c r="AW49" i="106"/>
  <c r="V49" i="106"/>
  <c r="P47" i="106" s="1"/>
  <c r="O49" i="106"/>
  <c r="BK48" i="106"/>
  <c r="BJ48" i="106"/>
  <c r="BI48" i="106"/>
  <c r="BH48" i="106"/>
  <c r="BG48" i="106"/>
  <c r="BF48" i="106"/>
  <c r="BE48" i="106"/>
  <c r="BD48" i="106"/>
  <c r="BC48" i="106"/>
  <c r="BB48" i="106"/>
  <c r="BA48" i="106"/>
  <c r="AZ48" i="106"/>
  <c r="AY48" i="106"/>
  <c r="AX48" i="106"/>
  <c r="AW48" i="106"/>
  <c r="AJ48" i="106"/>
  <c r="AE48" i="106"/>
  <c r="G24" i="106" s="1"/>
  <c r="AA48" i="106"/>
  <c r="BB47" i="106"/>
  <c r="BA47" i="106"/>
  <c r="AX47" i="106"/>
  <c r="AL47" i="106"/>
  <c r="AB47" i="106"/>
  <c r="X47" i="106"/>
  <c r="AZ46" i="106"/>
  <c r="AY46" i="106"/>
  <c r="AX46" i="106"/>
  <c r="AT46" i="106"/>
  <c r="AS46" i="106"/>
  <c r="AR46" i="106"/>
  <c r="AQ46" i="106"/>
  <c r="AP46" i="106"/>
  <c r="AO46" i="106"/>
  <c r="AN46" i="106"/>
  <c r="AM46" i="106"/>
  <c r="AL46" i="106"/>
  <c r="AG46" i="106"/>
  <c r="AF46" i="106"/>
  <c r="M46" i="106"/>
  <c r="L46" i="106"/>
  <c r="K46" i="106"/>
  <c r="J46" i="106"/>
  <c r="I46" i="106"/>
  <c r="H46" i="106"/>
  <c r="G46" i="106"/>
  <c r="F46" i="106"/>
  <c r="E46" i="106"/>
  <c r="D46" i="106"/>
  <c r="C46" i="106"/>
  <c r="AX45" i="106"/>
  <c r="AT45" i="106"/>
  <c r="AS45" i="106"/>
  <c r="AL40" i="106" s="1"/>
  <c r="AR45" i="106"/>
  <c r="AQ45" i="106"/>
  <c r="AP45" i="106"/>
  <c r="AO45" i="106"/>
  <c r="AN45" i="106"/>
  <c r="AM45" i="106"/>
  <c r="AL45" i="106"/>
  <c r="AG45" i="106"/>
  <c r="AF45" i="106"/>
  <c r="V45" i="106"/>
  <c r="U45" i="106"/>
  <c r="T45" i="106"/>
  <c r="S45" i="106"/>
  <c r="R45" i="106"/>
  <c r="Q45" i="106"/>
  <c r="P45" i="106"/>
  <c r="O45" i="106"/>
  <c r="O46" i="106" s="1"/>
  <c r="M45" i="106"/>
  <c r="L45" i="106"/>
  <c r="K45" i="106"/>
  <c r="J45" i="106"/>
  <c r="I45" i="106"/>
  <c r="H45" i="106"/>
  <c r="G45" i="106"/>
  <c r="F45" i="106"/>
  <c r="E45" i="106"/>
  <c r="D45" i="106"/>
  <c r="C45" i="106"/>
  <c r="X44" i="106"/>
  <c r="V44" i="106"/>
  <c r="U44" i="106"/>
  <c r="T44" i="106"/>
  <c r="S44" i="106"/>
  <c r="R44" i="106"/>
  <c r="Q44" i="106"/>
  <c r="P44" i="106"/>
  <c r="O44" i="106"/>
  <c r="AY43" i="106"/>
  <c r="AX43" i="106"/>
  <c r="AX42" i="106"/>
  <c r="X42" i="106"/>
  <c r="B43" i="106" s="1"/>
  <c r="BK41" i="106"/>
  <c r="BJ41" i="106" a="1"/>
  <c r="BJ41" i="106" s="1"/>
  <c r="BI41" i="106"/>
  <c r="BG41" i="106"/>
  <c r="BC41" i="106"/>
  <c r="AX41" i="106"/>
  <c r="AV41" i="106"/>
  <c r="BK40" i="106"/>
  <c r="BI40" i="106"/>
  <c r="BG40" i="106"/>
  <c r="BC40" i="106"/>
  <c r="AX40" i="106"/>
  <c r="AV40" i="106"/>
  <c r="AS40" i="106"/>
  <c r="X40" i="106"/>
  <c r="BJ39" i="106" a="1"/>
  <c r="BJ39" i="106" s="1"/>
  <c r="BK39" i="106" s="1"/>
  <c r="BI39" i="106"/>
  <c r="BG39" i="106"/>
  <c r="BC39" i="106"/>
  <c r="AZ39" i="106"/>
  <c r="AY39" i="106"/>
  <c r="AX39" i="106"/>
  <c r="AW39" i="106"/>
  <c r="AV39" i="106"/>
  <c r="BI38" i="106"/>
  <c r="BG38" i="106"/>
  <c r="BC38" i="106"/>
  <c r="AX38" i="106"/>
  <c r="AV38" i="106"/>
  <c r="X38" i="106"/>
  <c r="BK37" i="106"/>
  <c r="BJ37" i="106" a="1"/>
  <c r="BJ37" i="106" s="1"/>
  <c r="BI37" i="106"/>
  <c r="BG37" i="106"/>
  <c r="BC37" i="106"/>
  <c r="AZ37" i="106"/>
  <c r="AX37" i="106"/>
  <c r="AV37" i="106"/>
  <c r="BK36" i="106"/>
  <c r="BG36" i="106"/>
  <c r="BC36" i="106"/>
  <c r="AX36" i="106"/>
  <c r="AV36" i="106"/>
  <c r="BJ35" i="106" a="1"/>
  <c r="BJ35" i="106" s="1"/>
  <c r="BK35" i="106" s="1"/>
  <c r="BG35" i="106"/>
  <c r="BC35" i="106"/>
  <c r="AZ35" i="106"/>
  <c r="AX35" i="106"/>
  <c r="AV35" i="106"/>
  <c r="BG34" i="106"/>
  <c r="BC34" i="106"/>
  <c r="AV34" i="106"/>
  <c r="G34" i="106"/>
  <c r="BJ33" i="106" a="1"/>
  <c r="BJ33" i="106" s="1"/>
  <c r="BK33" i="106" s="1"/>
  <c r="BI33" i="106"/>
  <c r="BG33" i="106"/>
  <c r="BC33" i="106"/>
  <c r="AX33" i="106"/>
  <c r="AV33" i="106"/>
  <c r="BG32" i="106"/>
  <c r="BC32" i="106"/>
  <c r="AX32" i="106"/>
  <c r="AV32" i="106"/>
  <c r="BJ31" i="106" a="1"/>
  <c r="BJ31" i="106" s="1"/>
  <c r="BK31" i="106" s="1"/>
  <c r="BI31" i="106"/>
  <c r="BG31" i="106"/>
  <c r="BC31" i="106"/>
  <c r="AX31" i="106"/>
  <c r="AV31" i="106"/>
  <c r="G31" i="106"/>
  <c r="BI30" i="106"/>
  <c r="BG30" i="106"/>
  <c r="BC30" i="106"/>
  <c r="AX30" i="106"/>
  <c r="AW30" i="106"/>
  <c r="AV30" i="106"/>
  <c r="BJ29" i="106" a="1"/>
  <c r="BJ29" i="106" s="1"/>
  <c r="BK29" i="106" s="1"/>
  <c r="BG29" i="106"/>
  <c r="BC29" i="106"/>
  <c r="AY29" i="106"/>
  <c r="AX29" i="106"/>
  <c r="AV29" i="106"/>
  <c r="G29" i="106"/>
  <c r="BJ28" i="106" a="1"/>
  <c r="BJ28" i="106" s="1"/>
  <c r="BK28" i="106" s="1"/>
  <c r="BG28" i="106"/>
  <c r="BC28" i="106"/>
  <c r="AX28" i="106"/>
  <c r="AV28" i="106"/>
  <c r="BI27" i="106"/>
  <c r="BG27" i="106"/>
  <c r="BC27" i="106"/>
  <c r="AZ27" i="106"/>
  <c r="AY27" i="106"/>
  <c r="G27" i="106"/>
  <c r="AX26" i="106"/>
  <c r="AX25" i="106"/>
  <c r="AX24" i="106"/>
  <c r="BF23" i="106"/>
  <c r="BA23" i="106"/>
  <c r="AZ23" i="106"/>
  <c r="AY23" i="106"/>
  <c r="AX23" i="106"/>
  <c r="AX51" i="106" s="1"/>
  <c r="AW23" i="106"/>
  <c r="G23" i="106"/>
  <c r="BF22" i="106"/>
  <c r="AX22" i="106"/>
  <c r="BJ21" i="106"/>
  <c r="AX21" i="106"/>
  <c r="BE20" i="106"/>
  <c r="AZ20" i="106"/>
  <c r="AX20" i="106"/>
  <c r="G20" i="106"/>
  <c r="AX19" i="106"/>
  <c r="AX18" i="106"/>
  <c r="BK17" i="106"/>
  <c r="AX17" i="106"/>
  <c r="BS7" i="106" a="1"/>
  <c r="BS7" i="106" s="1"/>
  <c r="BS6" i="106"/>
  <c r="BJ6" i="106"/>
  <c r="BO4" i="106"/>
  <c r="BT3" i="106"/>
  <c r="BO2" i="106"/>
  <c r="BN2" i="106"/>
  <c r="BM2" i="106"/>
  <c r="BL2" i="106"/>
  <c r="BK2" i="106"/>
  <c r="BJ2" i="106"/>
  <c r="BI2" i="106"/>
  <c r="BH2" i="106"/>
  <c r="BG2" i="106"/>
  <c r="BF2" i="106"/>
  <c r="BE2" i="106"/>
  <c r="BD2" i="106"/>
  <c r="BC2" i="106"/>
  <c r="BB2" i="106"/>
  <c r="BA2" i="106"/>
  <c r="AZ2" i="106"/>
  <c r="AY2" i="106"/>
  <c r="AX2" i="106"/>
  <c r="AW2" i="106"/>
  <c r="AV2" i="106"/>
  <c r="AT2" i="106"/>
  <c r="AS2" i="106"/>
  <c r="AR2" i="106"/>
  <c r="AQ2" i="106"/>
  <c r="AP2" i="106"/>
  <c r="AO2" i="106"/>
  <c r="AN2" i="106"/>
  <c r="AM2" i="106"/>
  <c r="AL2" i="106"/>
  <c r="AK2" i="106"/>
  <c r="AJ2" i="106"/>
  <c r="AI2" i="106"/>
  <c r="AH2" i="106"/>
  <c r="AG2" i="106"/>
  <c r="AF2" i="106"/>
  <c r="V2" i="106"/>
  <c r="U2" i="106"/>
  <c r="T2" i="106"/>
  <c r="S2" i="106"/>
  <c r="R2" i="106"/>
  <c r="Q2" i="106"/>
  <c r="P2" i="106"/>
  <c r="O2" i="106"/>
  <c r="O3" i="106" s="1"/>
  <c r="N2" i="106"/>
  <c r="M2" i="106"/>
  <c r="L2" i="106"/>
  <c r="K2" i="106"/>
  <c r="J2" i="106"/>
  <c r="I2" i="106"/>
  <c r="H2" i="106"/>
  <c r="G2" i="106"/>
  <c r="F2" i="106"/>
  <c r="E2" i="106"/>
  <c r="D2" i="106"/>
  <c r="C2" i="106"/>
  <c r="B2" i="106"/>
  <c r="BT1" i="106"/>
  <c r="BS1" i="106"/>
  <c r="BO1" i="106"/>
  <c r="BN1" i="106"/>
  <c r="BM1" i="106"/>
  <c r="BL1" i="106"/>
  <c r="BK1" i="106"/>
  <c r="BJ1" i="106"/>
  <c r="BI1" i="106"/>
  <c r="BH1" i="106"/>
  <c r="BG1" i="106"/>
  <c r="BF1" i="106"/>
  <c r="BE1" i="106"/>
  <c r="BD1" i="106"/>
  <c r="BC1" i="106"/>
  <c r="BB1" i="106"/>
  <c r="BA1" i="106"/>
  <c r="AZ1" i="106"/>
  <c r="AY1" i="106"/>
  <c r="AX1" i="106"/>
  <c r="AW1" i="106"/>
  <c r="AV1" i="106"/>
  <c r="AT1" i="106"/>
  <c r="AS1" i="106"/>
  <c r="AR1" i="106"/>
  <c r="AQ1" i="106"/>
  <c r="AP1" i="106"/>
  <c r="AO1" i="106"/>
  <c r="AN1" i="106"/>
  <c r="AM1" i="106"/>
  <c r="AL1" i="106"/>
  <c r="AK1" i="106"/>
  <c r="AJ1" i="106"/>
  <c r="AI1" i="106"/>
  <c r="AH1" i="106"/>
  <c r="AG1" i="106"/>
  <c r="AF1" i="106"/>
  <c r="V1" i="106"/>
  <c r="U1" i="106"/>
  <c r="T1" i="106"/>
  <c r="S1" i="106"/>
  <c r="R1" i="106"/>
  <c r="Q1" i="106"/>
  <c r="P1" i="106"/>
  <c r="O1" i="106"/>
  <c r="N1" i="106"/>
  <c r="M1" i="106"/>
  <c r="L1" i="106"/>
  <c r="K1" i="106"/>
  <c r="J1" i="106"/>
  <c r="I1" i="106"/>
  <c r="H1" i="106"/>
  <c r="G1" i="106"/>
  <c r="F1" i="106"/>
  <c r="E1" i="106"/>
  <c r="D1" i="106"/>
  <c r="C1" i="106"/>
  <c r="B1" i="106"/>
  <c r="A1" i="106"/>
  <c r="Q15" i="105"/>
  <c r="U69" i="105"/>
  <c r="U68" i="105"/>
  <c r="U67" i="105"/>
  <c r="U66" i="105"/>
  <c r="U65" i="105"/>
  <c r="U64" i="105"/>
  <c r="U63" i="105"/>
  <c r="U62" i="105"/>
  <c r="U61" i="105"/>
  <c r="U60" i="105"/>
  <c r="U59" i="105"/>
  <c r="U58" i="105"/>
  <c r="U57" i="105"/>
  <c r="U56" i="105"/>
  <c r="U55" i="105"/>
  <c r="U54" i="105"/>
  <c r="U53" i="105"/>
  <c r="U52" i="105"/>
  <c r="U51" i="105"/>
  <c r="U50" i="105"/>
  <c r="U48" i="105"/>
  <c r="U46" i="105"/>
  <c r="U45" i="105"/>
  <c r="U44" i="105"/>
  <c r="U43" i="105"/>
  <c r="U42" i="105"/>
  <c r="U41" i="105"/>
  <c r="U40" i="105"/>
  <c r="U39" i="105"/>
  <c r="U38" i="105"/>
  <c r="U37" i="105"/>
  <c r="U36" i="105"/>
  <c r="U35" i="105"/>
  <c r="U34" i="105"/>
  <c r="U33" i="105"/>
  <c r="U32" i="105"/>
  <c r="U31" i="105"/>
  <c r="U30" i="105"/>
  <c r="U29" i="105"/>
  <c r="U28" i="105"/>
  <c r="U27" i="105"/>
  <c r="U26" i="105"/>
  <c r="U25" i="105"/>
  <c r="U24" i="105"/>
  <c r="U23" i="105"/>
  <c r="U22" i="105"/>
  <c r="U21" i="105"/>
  <c r="U20" i="105"/>
  <c r="U19" i="105"/>
  <c r="U18" i="105"/>
  <c r="U17" i="105"/>
  <c r="U84" i="105"/>
  <c r="H139" i="105"/>
  <c r="T137" i="105"/>
  <c r="S137" i="105"/>
  <c r="L134" i="105"/>
  <c r="K134" i="105" a="1"/>
  <c r="K134" i="105" s="1"/>
  <c r="J134" i="105" a="1"/>
  <c r="J134" i="105" s="1"/>
  <c r="I134" i="105"/>
  <c r="L133" i="105"/>
  <c r="K133" i="105" a="1"/>
  <c r="K133" i="105" s="1"/>
  <c r="J133" i="105" a="1"/>
  <c r="J133" i="105" s="1"/>
  <c r="I133" i="105"/>
  <c r="L132" i="105"/>
  <c r="K132" i="105" a="1"/>
  <c r="K132" i="105" s="1"/>
  <c r="J132" i="105" a="1"/>
  <c r="J132" i="105" s="1"/>
  <c r="I132" i="105"/>
  <c r="B132" i="105"/>
  <c r="L131" i="105"/>
  <c r="K131" i="105" a="1"/>
  <c r="K131" i="105" s="1"/>
  <c r="J131" i="105" a="1"/>
  <c r="J131" i="105" s="1"/>
  <c r="I131" i="105"/>
  <c r="B131" i="105"/>
  <c r="L130" i="105"/>
  <c r="K130" i="105" a="1"/>
  <c r="K130" i="105" s="1"/>
  <c r="J130" i="105" a="1"/>
  <c r="J130" i="105" s="1"/>
  <c r="I130" i="105"/>
  <c r="B130" i="105"/>
  <c r="L129" i="105"/>
  <c r="K129" i="105" a="1"/>
  <c r="K129" i="105" s="1"/>
  <c r="J129" i="105" a="1"/>
  <c r="J129" i="105" s="1"/>
  <c r="I129" i="105"/>
  <c r="E129" i="105"/>
  <c r="B129" i="105"/>
  <c r="L128" i="105"/>
  <c r="K128" i="105" a="1"/>
  <c r="K128" i="105" s="1"/>
  <c r="J128" i="105" a="1"/>
  <c r="J128" i="105" s="1"/>
  <c r="I128" i="105"/>
  <c r="B128" i="105"/>
  <c r="L127" i="105"/>
  <c r="K127" i="105" a="1"/>
  <c r="K127" i="105" s="1"/>
  <c r="J127" i="105" a="1"/>
  <c r="J127" i="105" s="1"/>
  <c r="I127" i="105"/>
  <c r="B127" i="105"/>
  <c r="L126" i="105"/>
  <c r="K126" i="105" a="1"/>
  <c r="K126" i="105" s="1"/>
  <c r="J126" i="105" a="1"/>
  <c r="J126" i="105" s="1"/>
  <c r="I126" i="105"/>
  <c r="B126" i="105"/>
  <c r="L125" i="105"/>
  <c r="K125" i="105" a="1"/>
  <c r="K125" i="105" s="1"/>
  <c r="J125" i="105" a="1"/>
  <c r="J125" i="105" s="1"/>
  <c r="I125" i="105"/>
  <c r="B125" i="105"/>
  <c r="L124" i="105"/>
  <c r="K124" i="105" a="1"/>
  <c r="K124" i="105" s="1"/>
  <c r="J124" i="105" a="1"/>
  <c r="J124" i="105" s="1"/>
  <c r="I124" i="105"/>
  <c r="B124" i="105"/>
  <c r="L123" i="105"/>
  <c r="K123" i="105" a="1"/>
  <c r="K123" i="105" s="1"/>
  <c r="J123" i="105" a="1"/>
  <c r="J123" i="105" s="1"/>
  <c r="I123" i="105"/>
  <c r="B123" i="105"/>
  <c r="L122" i="105"/>
  <c r="K122" i="105" a="1"/>
  <c r="K122" i="105" s="1"/>
  <c r="J122" i="105" a="1"/>
  <c r="J122" i="105" s="1"/>
  <c r="I122" i="105"/>
  <c r="B122" i="105"/>
  <c r="L121" i="105"/>
  <c r="K121" i="105" a="1"/>
  <c r="K121" i="105" s="1"/>
  <c r="J121" i="105" a="1"/>
  <c r="J121" i="105" s="1"/>
  <c r="I121" i="105"/>
  <c r="B121" i="105"/>
  <c r="L120" i="105"/>
  <c r="K120" i="105" a="1"/>
  <c r="K120" i="105" s="1"/>
  <c r="J120" i="105" a="1"/>
  <c r="J120" i="105" s="1"/>
  <c r="I120" i="105"/>
  <c r="B120" i="105"/>
  <c r="L119" i="105"/>
  <c r="K119" i="105" a="1"/>
  <c r="K119" i="105" s="1"/>
  <c r="J119" i="105" a="1"/>
  <c r="J119" i="105" s="1"/>
  <c r="I119" i="105"/>
  <c r="B119" i="105"/>
  <c r="L118" i="105"/>
  <c r="K118" i="105" a="1"/>
  <c r="K118" i="105" s="1"/>
  <c r="J118" i="105" a="1"/>
  <c r="J118" i="105" s="1"/>
  <c r="I118" i="105"/>
  <c r="B118" i="105"/>
  <c r="L117" i="105"/>
  <c r="K117" i="105" a="1"/>
  <c r="K117" i="105" s="1"/>
  <c r="J117" i="105" a="1"/>
  <c r="J117" i="105" s="1"/>
  <c r="I117" i="105"/>
  <c r="B117" i="105"/>
  <c r="L116" i="105"/>
  <c r="K116" i="105" a="1"/>
  <c r="K116" i="105" s="1"/>
  <c r="J116" i="105" a="1"/>
  <c r="J116" i="105" s="1"/>
  <c r="I116" i="105"/>
  <c r="B116" i="105"/>
  <c r="L115" i="105"/>
  <c r="K115" i="105" a="1"/>
  <c r="K115" i="105" s="1"/>
  <c r="J115" i="105" a="1"/>
  <c r="J115" i="105" s="1"/>
  <c r="I115" i="105"/>
  <c r="B115" i="105"/>
  <c r="L114" i="105"/>
  <c r="K114" i="105" a="1"/>
  <c r="K114" i="105" s="1"/>
  <c r="J114" i="105" a="1"/>
  <c r="J114" i="105" s="1"/>
  <c r="I114" i="105"/>
  <c r="B114" i="105"/>
  <c r="L113" i="105"/>
  <c r="K113" i="105" a="1"/>
  <c r="K113" i="105" s="1"/>
  <c r="J113" i="105" a="1"/>
  <c r="J113" i="105" s="1"/>
  <c r="I113" i="105"/>
  <c r="B113" i="105"/>
  <c r="L112" i="105"/>
  <c r="K112" i="105" a="1"/>
  <c r="K112" i="105" s="1"/>
  <c r="J112" i="105" a="1"/>
  <c r="J112" i="105" s="1"/>
  <c r="I112" i="105"/>
  <c r="B112" i="105"/>
  <c r="L111" i="105"/>
  <c r="K111" i="105" a="1"/>
  <c r="K111" i="105" s="1"/>
  <c r="J111" i="105" a="1"/>
  <c r="J111" i="105" s="1"/>
  <c r="I111" i="105"/>
  <c r="B111" i="105"/>
  <c r="L110" i="105"/>
  <c r="K110" i="105" a="1"/>
  <c r="K110" i="105" s="1"/>
  <c r="J110" i="105" a="1"/>
  <c r="J110" i="105" s="1"/>
  <c r="I110" i="105"/>
  <c r="B110" i="105"/>
  <c r="L109" i="105"/>
  <c r="K109" i="105" a="1"/>
  <c r="K109" i="105" s="1"/>
  <c r="J109" i="105" a="1"/>
  <c r="J109" i="105" s="1"/>
  <c r="I109" i="105"/>
  <c r="B109" i="105"/>
  <c r="L108" i="105"/>
  <c r="K108" i="105" a="1"/>
  <c r="K108" i="105" s="1"/>
  <c r="J108" i="105" a="1"/>
  <c r="J108" i="105" s="1"/>
  <c r="I108" i="105"/>
  <c r="B108" i="105"/>
  <c r="L107" i="105"/>
  <c r="K107" i="105" a="1"/>
  <c r="K107" i="105" s="1"/>
  <c r="J107" i="105" a="1"/>
  <c r="J107" i="105" s="1"/>
  <c r="I107" i="105"/>
  <c r="B107" i="105"/>
  <c r="L106" i="105"/>
  <c r="K106" i="105" a="1"/>
  <c r="K106" i="105" s="1"/>
  <c r="J106" i="105" a="1"/>
  <c r="J106" i="105" s="1"/>
  <c r="I106" i="105"/>
  <c r="B106" i="105"/>
  <c r="L105" i="105"/>
  <c r="K105" i="105" a="1"/>
  <c r="K105" i="105" s="1"/>
  <c r="J105" i="105" a="1"/>
  <c r="J105" i="105" s="1"/>
  <c r="I105" i="105"/>
  <c r="B105" i="105"/>
  <c r="K104" i="105" a="1"/>
  <c r="K104" i="105" s="1"/>
  <c r="J104" i="105" a="1"/>
  <c r="J104" i="105" s="1"/>
  <c r="I104" i="105"/>
  <c r="B104" i="105"/>
  <c r="K103" i="105" a="1"/>
  <c r="K103" i="105" s="1"/>
  <c r="J103" i="105" a="1"/>
  <c r="J103" i="105" s="1"/>
  <c r="I103" i="105"/>
  <c r="B103" i="105"/>
  <c r="L102" i="105"/>
  <c r="K102" i="105" a="1"/>
  <c r="K102" i="105" s="1"/>
  <c r="J102" i="105" a="1"/>
  <c r="J102" i="105" s="1"/>
  <c r="I102" i="105"/>
  <c r="B102" i="105"/>
  <c r="L101" i="105"/>
  <c r="K101" i="105" a="1"/>
  <c r="K101" i="105" s="1"/>
  <c r="J101" i="105" a="1"/>
  <c r="J101" i="105" s="1"/>
  <c r="I101" i="105"/>
  <c r="B101" i="105"/>
  <c r="L100" i="105"/>
  <c r="K100" i="105" a="1"/>
  <c r="K100" i="105" s="1"/>
  <c r="J100" i="105" a="1"/>
  <c r="J100" i="105" s="1"/>
  <c r="I100" i="105"/>
  <c r="B100" i="105"/>
  <c r="L99" i="105"/>
  <c r="K99" i="105" a="1"/>
  <c r="K99" i="105" s="1"/>
  <c r="J99" i="105" a="1"/>
  <c r="J99" i="105" s="1"/>
  <c r="I99" i="105"/>
  <c r="B99" i="105"/>
  <c r="L98" i="105"/>
  <c r="K98" i="105" a="1"/>
  <c r="K98" i="105" s="1"/>
  <c r="J98" i="105" a="1"/>
  <c r="J98" i="105" s="1"/>
  <c r="I98" i="105"/>
  <c r="B98" i="105"/>
  <c r="K97" i="105" a="1"/>
  <c r="K97" i="105" s="1"/>
  <c r="J97" i="105" a="1"/>
  <c r="J97" i="105" s="1"/>
  <c r="I97" i="105"/>
  <c r="K96" i="105" a="1"/>
  <c r="K96" i="105" s="1"/>
  <c r="J96" i="105" a="1"/>
  <c r="J96" i="105" s="1"/>
  <c r="I96" i="105"/>
  <c r="L95" i="105"/>
  <c r="K95" i="105" a="1"/>
  <c r="K95" i="105" s="1"/>
  <c r="J95" i="105" a="1"/>
  <c r="J95" i="105" s="1"/>
  <c r="I95" i="105"/>
  <c r="L94" i="105"/>
  <c r="K94" i="105" a="1"/>
  <c r="K94" i="105" s="1"/>
  <c r="J94" i="105" a="1"/>
  <c r="J94" i="105" s="1"/>
  <c r="I94" i="105"/>
  <c r="L93" i="105"/>
  <c r="K93" i="105" a="1"/>
  <c r="K93" i="105" s="1"/>
  <c r="J93" i="105" a="1"/>
  <c r="J93" i="105" s="1"/>
  <c r="I93" i="105"/>
  <c r="L92" i="105"/>
  <c r="K92" i="105" a="1"/>
  <c r="K92" i="105" s="1"/>
  <c r="J92" i="105" a="1"/>
  <c r="J92" i="105" s="1"/>
  <c r="I92" i="105"/>
  <c r="L91" i="105"/>
  <c r="K91" i="105" a="1"/>
  <c r="K91" i="105" s="1"/>
  <c r="J91" i="105" a="1"/>
  <c r="J91" i="105" s="1"/>
  <c r="I91" i="105"/>
  <c r="L90" i="105"/>
  <c r="K90" i="105" a="1"/>
  <c r="K90" i="105" s="1"/>
  <c r="J90" i="105" a="1"/>
  <c r="J90" i="105" s="1"/>
  <c r="I90" i="105"/>
  <c r="L89" i="105"/>
  <c r="K89" i="105" a="1"/>
  <c r="K89" i="105" s="1"/>
  <c r="J89" i="105" a="1"/>
  <c r="J89" i="105" s="1"/>
  <c r="I89" i="105"/>
  <c r="L88" i="105"/>
  <c r="K88" i="105" a="1"/>
  <c r="K88" i="105" s="1"/>
  <c r="J88" i="105" a="1"/>
  <c r="J88" i="105" s="1"/>
  <c r="I88" i="105"/>
  <c r="L87" i="105"/>
  <c r="K87" i="105" a="1"/>
  <c r="K87" i="105" s="1"/>
  <c r="J87" i="105" a="1"/>
  <c r="J87" i="105" s="1"/>
  <c r="I87" i="105"/>
  <c r="L86" i="105"/>
  <c r="K86" i="105" a="1"/>
  <c r="K86" i="105" s="1"/>
  <c r="J86" i="105" a="1"/>
  <c r="J86" i="105" s="1"/>
  <c r="I86" i="105"/>
  <c r="K85" i="105" a="1"/>
  <c r="K85" i="105" s="1"/>
  <c r="J85" i="105" a="1"/>
  <c r="J85" i="105" s="1"/>
  <c r="I85" i="105"/>
  <c r="L84" i="105"/>
  <c r="K84" i="105" a="1"/>
  <c r="K84" i="105" s="1"/>
  <c r="J84" i="105" a="1"/>
  <c r="J84" i="105" s="1"/>
  <c r="I84" i="105"/>
  <c r="L83" i="105"/>
  <c r="K83" i="105" a="1"/>
  <c r="K83" i="105" s="1"/>
  <c r="J83" i="105" a="1"/>
  <c r="J83" i="105" s="1"/>
  <c r="I83" i="105"/>
  <c r="L82" i="105"/>
  <c r="K82" i="105" a="1"/>
  <c r="K82" i="105" s="1"/>
  <c r="J82" i="105" a="1"/>
  <c r="J82" i="105" s="1"/>
  <c r="I82" i="105"/>
  <c r="L81" i="105"/>
  <c r="K81" i="105" a="1"/>
  <c r="K81" i="105" s="1"/>
  <c r="J81" i="105" a="1"/>
  <c r="J81" i="105" s="1"/>
  <c r="I81" i="105"/>
  <c r="L80" i="105"/>
  <c r="K80" i="105" a="1"/>
  <c r="K80" i="105" s="1"/>
  <c r="J80" i="105" a="1"/>
  <c r="J80" i="105" s="1"/>
  <c r="I80" i="105"/>
  <c r="U77" i="105"/>
  <c r="T77" i="105"/>
  <c r="S77" i="105"/>
  <c r="R77" i="105"/>
  <c r="Q77" i="105"/>
  <c r="P77" i="105"/>
  <c r="O77" i="105"/>
  <c r="N77" i="105"/>
  <c r="M77" i="105"/>
  <c r="L77" i="105"/>
  <c r="K77" i="105"/>
  <c r="J77" i="105"/>
  <c r="I77" i="105"/>
  <c r="H77" i="105"/>
  <c r="G77" i="105"/>
  <c r="S70" i="105"/>
  <c r="S69" i="105"/>
  <c r="Q69" i="105"/>
  <c r="M69" i="105"/>
  <c r="I69" i="105"/>
  <c r="S68" i="105"/>
  <c r="Q68" i="105"/>
  <c r="M68" i="105"/>
  <c r="I68" i="105"/>
  <c r="S67" i="105"/>
  <c r="Q67" i="105"/>
  <c r="M67" i="105"/>
  <c r="I67" i="105"/>
  <c r="B67" i="105"/>
  <c r="S66" i="105"/>
  <c r="Q66" i="105"/>
  <c r="M66" i="105"/>
  <c r="I66" i="105"/>
  <c r="B66" i="105"/>
  <c r="S65" i="105"/>
  <c r="Q65" i="105"/>
  <c r="M65" i="105"/>
  <c r="I65" i="105"/>
  <c r="B65" i="105"/>
  <c r="S64" i="105"/>
  <c r="Q64" i="105"/>
  <c r="M64" i="105"/>
  <c r="I64" i="105"/>
  <c r="B64" i="105"/>
  <c r="S63" i="105"/>
  <c r="Q63" i="105"/>
  <c r="M63" i="105"/>
  <c r="I63" i="105"/>
  <c r="B63" i="105"/>
  <c r="S62" i="105"/>
  <c r="Q62" i="105"/>
  <c r="M62" i="105"/>
  <c r="I62" i="105"/>
  <c r="B62" i="105"/>
  <c r="S61" i="105"/>
  <c r="Q61" i="105"/>
  <c r="M61" i="105"/>
  <c r="I61" i="105"/>
  <c r="B61" i="105"/>
  <c r="S60" i="105"/>
  <c r="Q60" i="105"/>
  <c r="M60" i="105"/>
  <c r="I60" i="105"/>
  <c r="B60" i="105"/>
  <c r="S59" i="105"/>
  <c r="Q59" i="105"/>
  <c r="M59" i="105"/>
  <c r="I59" i="105"/>
  <c r="B59" i="105"/>
  <c r="S58" i="105"/>
  <c r="Q58" i="105"/>
  <c r="M58" i="105"/>
  <c r="I58" i="105"/>
  <c r="B58" i="105"/>
  <c r="S57" i="105"/>
  <c r="Q57" i="105"/>
  <c r="M57" i="105"/>
  <c r="I57" i="105"/>
  <c r="B57" i="105"/>
  <c r="S56" i="105"/>
  <c r="Q56" i="105"/>
  <c r="M56" i="105"/>
  <c r="I56" i="105"/>
  <c r="B56" i="105"/>
  <c r="S55" i="105"/>
  <c r="Q55" i="105"/>
  <c r="M55" i="105"/>
  <c r="I55" i="105"/>
  <c r="B55" i="105"/>
  <c r="S54" i="105"/>
  <c r="Q54" i="105"/>
  <c r="M54" i="105"/>
  <c r="I54" i="105"/>
  <c r="B54" i="105"/>
  <c r="S53" i="105"/>
  <c r="Q53" i="105"/>
  <c r="M53" i="105"/>
  <c r="I53" i="105"/>
  <c r="B53" i="105"/>
  <c r="S52" i="105"/>
  <c r="Q52" i="105"/>
  <c r="M52" i="105"/>
  <c r="I52" i="105"/>
  <c r="B52" i="105"/>
  <c r="S51" i="105"/>
  <c r="Q51" i="105"/>
  <c r="M51" i="105"/>
  <c r="I51" i="105"/>
  <c r="B51" i="105"/>
  <c r="S50" i="105"/>
  <c r="Q50" i="105"/>
  <c r="M50" i="105"/>
  <c r="I50" i="105"/>
  <c r="B50" i="105"/>
  <c r="S49" i="105"/>
  <c r="Q49" i="105"/>
  <c r="M49" i="105"/>
  <c r="I49" i="105"/>
  <c r="B49" i="105"/>
  <c r="S48" i="105"/>
  <c r="Q48" i="105"/>
  <c r="M48" i="105"/>
  <c r="I48" i="105"/>
  <c r="B48" i="105"/>
  <c r="S47" i="105"/>
  <c r="Q47" i="105"/>
  <c r="M47" i="105"/>
  <c r="I47" i="105"/>
  <c r="B47" i="105"/>
  <c r="S46" i="105"/>
  <c r="Q46" i="105"/>
  <c r="M46" i="105"/>
  <c r="I46" i="105"/>
  <c r="B46" i="105"/>
  <c r="S45" i="105"/>
  <c r="Q45" i="105"/>
  <c r="M45" i="105"/>
  <c r="I45" i="105"/>
  <c r="B45" i="105"/>
  <c r="S44" i="105"/>
  <c r="Q44" i="105"/>
  <c r="M44" i="105"/>
  <c r="I44" i="105"/>
  <c r="B44" i="105"/>
  <c r="S43" i="105"/>
  <c r="Q43" i="105"/>
  <c r="M43" i="105"/>
  <c r="I43" i="105"/>
  <c r="B43" i="105"/>
  <c r="S42" i="105"/>
  <c r="Q42" i="105"/>
  <c r="M42" i="105"/>
  <c r="I42" i="105"/>
  <c r="B42" i="105"/>
  <c r="S41" i="105"/>
  <c r="Q41" i="105"/>
  <c r="M41" i="105"/>
  <c r="I41" i="105"/>
  <c r="B41" i="105"/>
  <c r="S40" i="105"/>
  <c r="Q40" i="105"/>
  <c r="M40" i="105"/>
  <c r="I40" i="105"/>
  <c r="B40" i="105"/>
  <c r="S39" i="105"/>
  <c r="Q39" i="105"/>
  <c r="M39" i="105"/>
  <c r="I39" i="105"/>
  <c r="B39" i="105"/>
  <c r="S38" i="105"/>
  <c r="Q38" i="105"/>
  <c r="M38" i="105"/>
  <c r="I38" i="105"/>
  <c r="B38" i="105"/>
  <c r="S37" i="105"/>
  <c r="Q37" i="105"/>
  <c r="M37" i="105"/>
  <c r="I37" i="105"/>
  <c r="B37" i="105"/>
  <c r="S36" i="105"/>
  <c r="Q36" i="105"/>
  <c r="M36" i="105"/>
  <c r="I36" i="105"/>
  <c r="B36" i="105"/>
  <c r="S35" i="105"/>
  <c r="Q35" i="105"/>
  <c r="M35" i="105"/>
  <c r="I35" i="105"/>
  <c r="B35" i="105"/>
  <c r="S34" i="105"/>
  <c r="Q34" i="105"/>
  <c r="M34" i="105"/>
  <c r="I34" i="105"/>
  <c r="B34" i="105"/>
  <c r="S33" i="105"/>
  <c r="Q33" i="105"/>
  <c r="M33" i="105"/>
  <c r="I33" i="105"/>
  <c r="B33" i="105"/>
  <c r="S32" i="105"/>
  <c r="Q32" i="105"/>
  <c r="M32" i="105"/>
  <c r="I32" i="105"/>
  <c r="B32" i="105"/>
  <c r="S31" i="105"/>
  <c r="Q31" i="105"/>
  <c r="M31" i="105"/>
  <c r="I31" i="105"/>
  <c r="B31" i="105"/>
  <c r="S30" i="105"/>
  <c r="Q30" i="105"/>
  <c r="M30" i="105"/>
  <c r="I30" i="105"/>
  <c r="B30" i="105"/>
  <c r="S29" i="105"/>
  <c r="Q29" i="105"/>
  <c r="M29" i="105"/>
  <c r="I29" i="105"/>
  <c r="B29" i="105"/>
  <c r="S28" i="105"/>
  <c r="Q28" i="105"/>
  <c r="M28" i="105"/>
  <c r="I28" i="105"/>
  <c r="B28" i="105"/>
  <c r="S27" i="105"/>
  <c r="Q27" i="105"/>
  <c r="M27" i="105"/>
  <c r="I27" i="105"/>
  <c r="B27" i="105"/>
  <c r="S26" i="105"/>
  <c r="Q26" i="105"/>
  <c r="M26" i="105"/>
  <c r="I26" i="105"/>
  <c r="B26" i="105"/>
  <c r="S25" i="105"/>
  <c r="Q25" i="105"/>
  <c r="M25" i="105"/>
  <c r="I25" i="105"/>
  <c r="B25" i="105"/>
  <c r="S24" i="105"/>
  <c r="Q24" i="105"/>
  <c r="M24" i="105"/>
  <c r="I24" i="105"/>
  <c r="B24" i="105"/>
  <c r="S23" i="105"/>
  <c r="Q23" i="105"/>
  <c r="M23" i="105"/>
  <c r="I23" i="105"/>
  <c r="B23" i="105"/>
  <c r="S22" i="105"/>
  <c r="Q22" i="105"/>
  <c r="M22" i="105"/>
  <c r="I22" i="105"/>
  <c r="B22" i="105"/>
  <c r="S21" i="105"/>
  <c r="Q21" i="105"/>
  <c r="M21" i="105"/>
  <c r="I21" i="105"/>
  <c r="B21" i="105"/>
  <c r="S20" i="105"/>
  <c r="Q20" i="105"/>
  <c r="M20" i="105"/>
  <c r="I20" i="105"/>
  <c r="B20" i="105"/>
  <c r="S19" i="105"/>
  <c r="Q19" i="105"/>
  <c r="M19" i="105"/>
  <c r="I19" i="105"/>
  <c r="B19" i="105"/>
  <c r="S18" i="105"/>
  <c r="Q18" i="105"/>
  <c r="M18" i="105"/>
  <c r="I18" i="105"/>
  <c r="B18" i="105"/>
  <c r="S17" i="105"/>
  <c r="Q17" i="105"/>
  <c r="M17" i="105"/>
  <c r="I17" i="105"/>
  <c r="B17" i="105"/>
  <c r="S16" i="105"/>
  <c r="Q16" i="105"/>
  <c r="M16" i="105"/>
  <c r="I16" i="105"/>
  <c r="S15" i="105"/>
  <c r="M15" i="105"/>
  <c r="I15" i="105"/>
  <c r="U11" i="105"/>
  <c r="M11" i="105"/>
  <c r="F11" i="105" s="1"/>
  <c r="E11" i="105"/>
  <c r="E100" i="105" s="1"/>
  <c r="D11" i="105"/>
  <c r="D128" i="105" s="1"/>
  <c r="C11" i="105"/>
  <c r="C137" i="105" s="1"/>
  <c r="L10" i="105"/>
  <c r="R52" i="105" s="1"/>
  <c r="U8" i="105"/>
  <c r="U5" i="105"/>
  <c r="M31" i="100"/>
  <c r="U7" i="105" l="1" a="1"/>
  <c r="U7" i="105" s="1"/>
  <c r="D81" i="105"/>
  <c r="E81" i="105"/>
  <c r="AN48" i="106"/>
  <c r="F248" i="106"/>
  <c r="E248" i="106" s="1"/>
  <c r="D250" i="106" s="1" a="1"/>
  <c r="D250" i="106" s="1"/>
  <c r="F570" i="106"/>
  <c r="E570" i="106"/>
  <c r="D572" i="106" s="1" a="1"/>
  <c r="D572" i="106" s="1"/>
  <c r="F178" i="106"/>
  <c r="E178" i="106" s="1"/>
  <c r="D180" i="106" s="1" a="1"/>
  <c r="D180" i="106" s="1"/>
  <c r="E106" i="106"/>
  <c r="D108" i="106" s="1" a="1"/>
  <c r="D108" i="106" s="1"/>
  <c r="K303" i="106"/>
  <c r="J304" i="106"/>
  <c r="J64" i="106"/>
  <c r="I67" i="106" s="1"/>
  <c r="K64" i="106"/>
  <c r="I404" i="106"/>
  <c r="K400" i="106"/>
  <c r="J400" i="106"/>
  <c r="I403" i="106" s="1"/>
  <c r="I516" i="106"/>
  <c r="J512" i="106"/>
  <c r="I515" i="106" s="1"/>
  <c r="J150" i="106"/>
  <c r="I204" i="106"/>
  <c r="F458" i="106"/>
  <c r="E458" i="106" s="1"/>
  <c r="D460" i="106" s="1" a="1"/>
  <c r="D460" i="106" s="1"/>
  <c r="J498" i="106"/>
  <c r="I501" i="106" s="1"/>
  <c r="K498" i="106" s="1"/>
  <c r="I502" i="106"/>
  <c r="K120" i="106"/>
  <c r="I124" i="106"/>
  <c r="J121" i="106" s="1"/>
  <c r="J120" i="106"/>
  <c r="I123" i="106" s="1"/>
  <c r="AW66" i="106"/>
  <c r="AW59" i="106"/>
  <c r="AW37" i="106"/>
  <c r="AW19" i="106"/>
  <c r="AW61" i="106"/>
  <c r="AW46" i="106"/>
  <c r="AW42" i="106"/>
  <c r="AW38" i="106"/>
  <c r="AW21" i="106"/>
  <c r="AW18" i="106"/>
  <c r="AW51" i="106"/>
  <c r="AW41" i="106"/>
  <c r="AW35" i="106"/>
  <c r="AW22" i="106"/>
  <c r="AW54" i="106"/>
  <c r="AW33" i="106"/>
  <c r="AW47" i="106" s="1"/>
  <c r="AW43" i="106"/>
  <c r="AW36" i="106"/>
  <c r="AW31" i="106"/>
  <c r="AW64" i="106"/>
  <c r="AW57" i="106"/>
  <c r="AW29" i="106"/>
  <c r="AW27" i="106"/>
  <c r="AW63" i="106"/>
  <c r="AW45" i="106"/>
  <c r="AW44" i="106"/>
  <c r="AW40" i="106"/>
  <c r="AW34" i="106"/>
  <c r="AW32" i="106"/>
  <c r="AW26" i="106"/>
  <c r="AW62" i="106"/>
  <c r="AW25" i="106"/>
  <c r="AW56" i="106"/>
  <c r="AW50" i="106"/>
  <c r="AW17" i="106"/>
  <c r="AW65" i="106"/>
  <c r="I68" i="106"/>
  <c r="F120" i="106"/>
  <c r="I134" i="106"/>
  <c r="F598" i="106"/>
  <c r="E598" i="106" s="1"/>
  <c r="D600" i="106" s="1" a="1"/>
  <c r="D600" i="106" s="1"/>
  <c r="AW28" i="106"/>
  <c r="F51" i="106"/>
  <c r="I81" i="106"/>
  <c r="J484" i="106"/>
  <c r="I487" i="106" s="1"/>
  <c r="K484" i="106" s="1"/>
  <c r="I488" i="106"/>
  <c r="I558" i="106"/>
  <c r="I698" i="106"/>
  <c r="AY60" i="106"/>
  <c r="AY54" i="106"/>
  <c r="AY35" i="106"/>
  <c r="AY28" i="106"/>
  <c r="AY26" i="106"/>
  <c r="AY61" i="106"/>
  <c r="AY37" i="106"/>
  <c r="AY55" i="106"/>
  <c r="AY59" i="106"/>
  <c r="AY52" i="106"/>
  <c r="AY38" i="106"/>
  <c r="AY50" i="106"/>
  <c r="AY41" i="106"/>
  <c r="AY25" i="106"/>
  <c r="AY19" i="106"/>
  <c r="AY62" i="106"/>
  <c r="AY45" i="106"/>
  <c r="AY24" i="106"/>
  <c r="AY34" i="106"/>
  <c r="AY63" i="106"/>
  <c r="AY42" i="106"/>
  <c r="AY40" i="106"/>
  <c r="AY18" i="106"/>
  <c r="AY44" i="106"/>
  <c r="AY32" i="106"/>
  <c r="AY66" i="106"/>
  <c r="AY51" i="106"/>
  <c r="AY22" i="106"/>
  <c r="AY36" i="106"/>
  <c r="AY56" i="106"/>
  <c r="AY17" i="106"/>
  <c r="AY30" i="106"/>
  <c r="AY53" i="106"/>
  <c r="AY21" i="106"/>
  <c r="BK19" i="106" a="1"/>
  <c r="BK19" i="106" s="1"/>
  <c r="J50" i="106"/>
  <c r="I53" i="106" s="1"/>
  <c r="K50" i="106" s="1"/>
  <c r="AY65" i="106"/>
  <c r="K78" i="106"/>
  <c r="J260" i="106"/>
  <c r="I263" i="106" s="1"/>
  <c r="K260" i="106" s="1"/>
  <c r="K330" i="106"/>
  <c r="I334" i="106"/>
  <c r="J331" i="106" s="1"/>
  <c r="J554" i="106"/>
  <c r="I557" i="106" s="1"/>
  <c r="K554" i="106" s="1"/>
  <c r="J694" i="106"/>
  <c r="I697" i="106" s="1"/>
  <c r="K694" i="106" s="1"/>
  <c r="AZ52" i="106"/>
  <c r="AZ31" i="106"/>
  <c r="AZ62" i="106"/>
  <c r="AZ58" i="106"/>
  <c r="AZ32" i="106"/>
  <c r="AZ29" i="106"/>
  <c r="AZ24" i="106"/>
  <c r="AZ45" i="106"/>
  <c r="AZ38" i="106"/>
  <c r="AZ18" i="106"/>
  <c r="AZ50" i="106"/>
  <c r="AZ41" i="106"/>
  <c r="AZ28" i="106"/>
  <c r="AZ25" i="106"/>
  <c r="AZ19" i="106"/>
  <c r="AZ43" i="106"/>
  <c r="AZ36" i="106"/>
  <c r="AZ34" i="106"/>
  <c r="AZ60" i="106"/>
  <c r="AZ55" i="106"/>
  <c r="AZ44" i="106"/>
  <c r="AZ40" i="106"/>
  <c r="AZ66" i="106"/>
  <c r="AZ51" i="106"/>
  <c r="AZ26" i="106"/>
  <c r="AZ22" i="106"/>
  <c r="AZ54" i="106"/>
  <c r="AZ56" i="106"/>
  <c r="AZ17" i="106"/>
  <c r="AZ59" i="106"/>
  <c r="AZ30" i="106"/>
  <c r="AZ53" i="106"/>
  <c r="AZ21" i="106"/>
  <c r="AZ65" i="106"/>
  <c r="AY33" i="106"/>
  <c r="AY47" i="106" s="1"/>
  <c r="AZ42" i="106"/>
  <c r="J330" i="106"/>
  <c r="I333" i="106" s="1"/>
  <c r="I362" i="106"/>
  <c r="J358" i="106"/>
  <c r="I361" i="106" s="1"/>
  <c r="K358" i="106" s="1"/>
  <c r="AZ33" i="106"/>
  <c r="AZ47" i="106" s="1"/>
  <c r="F50" i="106"/>
  <c r="AY64" i="106"/>
  <c r="K512" i="106"/>
  <c r="K149" i="106"/>
  <c r="E204" i="106"/>
  <c r="D206" i="106" s="1" a="1"/>
  <c r="D206" i="106" s="1"/>
  <c r="F362" i="106"/>
  <c r="E362" i="106"/>
  <c r="D364" i="106" s="1" a="1"/>
  <c r="D364" i="106" s="1"/>
  <c r="F150" i="106"/>
  <c r="I106" i="106"/>
  <c r="F106" i="106"/>
  <c r="E120" i="106"/>
  <c r="D122" i="106" s="1" a="1"/>
  <c r="D122" i="106" s="1"/>
  <c r="E134" i="106"/>
  <c r="D136" i="106" s="1" a="1"/>
  <c r="D136" i="106" s="1"/>
  <c r="BK47" i="106"/>
  <c r="BI47" i="106"/>
  <c r="AW20" i="106"/>
  <c r="AW24" i="106"/>
  <c r="AW60" i="106"/>
  <c r="E274" i="106"/>
  <c r="D276" i="106" s="1" a="1"/>
  <c r="D276" i="106" s="1"/>
  <c r="I274" i="106"/>
  <c r="F274" i="106"/>
  <c r="J428" i="106"/>
  <c r="I431" i="106" s="1"/>
  <c r="K428" i="106" s="1"/>
  <c r="C487" i="106"/>
  <c r="C488" i="106" s="1"/>
  <c r="C489" i="106" s="1"/>
  <c r="C490" i="106" s="1"/>
  <c r="C491" i="106" s="1"/>
  <c r="C492" i="106" s="1"/>
  <c r="C493" i="106" s="1"/>
  <c r="C494" i="106" s="1"/>
  <c r="C495" i="106" s="1"/>
  <c r="C496" i="106" s="1"/>
  <c r="C497" i="106" s="1"/>
  <c r="F486" i="106"/>
  <c r="AY31" i="106"/>
  <c r="AW55" i="106"/>
  <c r="E64" i="106"/>
  <c r="D66" i="106" s="1" a="1"/>
  <c r="D66" i="106" s="1"/>
  <c r="I82" i="106"/>
  <c r="J191" i="106"/>
  <c r="J247" i="106"/>
  <c r="E288" i="106"/>
  <c r="D290" i="106" s="1" a="1"/>
  <c r="D290" i="106" s="1"/>
  <c r="I288" i="106"/>
  <c r="F318" i="106"/>
  <c r="E318" i="106" s="1"/>
  <c r="D320" i="106" s="1" a="1"/>
  <c r="D320" i="106" s="1"/>
  <c r="E414" i="106"/>
  <c r="D416" i="106" s="1" a="1"/>
  <c r="D416" i="106" s="1"/>
  <c r="E472" i="106"/>
  <c r="D474" i="106" s="1" a="1"/>
  <c r="D474" i="106" s="1"/>
  <c r="F472" i="106"/>
  <c r="F638" i="106"/>
  <c r="E638" i="106"/>
  <c r="D640" i="106" s="1" a="1"/>
  <c r="D640" i="106" s="1"/>
  <c r="AY20" i="106"/>
  <c r="AW58" i="106"/>
  <c r="F64" i="106"/>
  <c r="J190" i="106"/>
  <c r="I193" i="106" s="1"/>
  <c r="K190" i="106" s="1"/>
  <c r="F288" i="106"/>
  <c r="I414" i="106"/>
  <c r="I638" i="106"/>
  <c r="I460" i="106"/>
  <c r="F582" i="106"/>
  <c r="E582" i="106"/>
  <c r="D584" i="106" s="1" a="1"/>
  <c r="D584" i="106" s="1"/>
  <c r="E150" i="106"/>
  <c r="D152" i="106" s="1" a="1"/>
  <c r="D152" i="106" s="1"/>
  <c r="F192" i="106"/>
  <c r="E192" i="106"/>
  <c r="D194" i="106" s="1" a="1"/>
  <c r="D194" i="106" s="1"/>
  <c r="F372" i="106"/>
  <c r="I372" i="106"/>
  <c r="E372" i="106"/>
  <c r="D374" i="106" s="1" a="1"/>
  <c r="D374" i="106" s="1"/>
  <c r="J456" i="106"/>
  <c r="I459" i="106" s="1"/>
  <c r="K456" i="106" s="1"/>
  <c r="I582" i="106"/>
  <c r="J472" i="106"/>
  <c r="E162" i="106"/>
  <c r="D164" i="106" s="1" a="1"/>
  <c r="D164" i="106" s="1"/>
  <c r="I162" i="106"/>
  <c r="F612" i="106"/>
  <c r="E612" i="106" s="1"/>
  <c r="D614" i="106" s="1" a="1"/>
  <c r="D614" i="106" s="1"/>
  <c r="E738" i="106"/>
  <c r="D740" i="106" s="1" a="1"/>
  <c r="D740" i="106" s="1"/>
  <c r="AO48" i="106"/>
  <c r="F162" i="106"/>
  <c r="F232" i="106"/>
  <c r="E232" i="106" s="1"/>
  <c r="D234" i="106" s="1" a="1"/>
  <c r="D234" i="106" s="1"/>
  <c r="K386" i="106"/>
  <c r="I390" i="106"/>
  <c r="J387" i="106" s="1"/>
  <c r="F218" i="106"/>
  <c r="E218" i="106" s="1"/>
  <c r="D220" i="106" s="1" a="1"/>
  <c r="D220" i="106" s="1"/>
  <c r="I218" i="106"/>
  <c r="K176" i="106"/>
  <c r="I740" i="106"/>
  <c r="J736" i="106"/>
  <c r="I739" i="106" s="1"/>
  <c r="K736" i="106" s="1"/>
  <c r="E51" i="106"/>
  <c r="D53" i="106" s="1" a="1"/>
  <c r="D53" i="106" s="1"/>
  <c r="K92" i="106"/>
  <c r="K232" i="106"/>
  <c r="E540" i="106"/>
  <c r="D542" i="106" s="1" a="1"/>
  <c r="D542" i="106" s="1"/>
  <c r="I613" i="106"/>
  <c r="BI35" i="106"/>
  <c r="BI28" i="106"/>
  <c r="BJ40" i="106" a="1"/>
  <c r="BJ40" i="106" s="1"/>
  <c r="BJ36" i="106" a="1"/>
  <c r="BJ36" i="106" s="1"/>
  <c r="BI29" i="106"/>
  <c r="BJ38" i="106" a="1"/>
  <c r="BJ38" i="106" s="1"/>
  <c r="BK38" i="106" s="1"/>
  <c r="BJ34" i="106" a="1"/>
  <c r="BJ34" i="106" s="1"/>
  <c r="BK34" i="106" s="1"/>
  <c r="BI34" i="106"/>
  <c r="BJ32" i="106" a="1"/>
  <c r="BJ32" i="106" s="1"/>
  <c r="BK32" i="106" s="1"/>
  <c r="BI32" i="106"/>
  <c r="BJ27" i="106" a="1"/>
  <c r="BJ27" i="106" s="1"/>
  <c r="BJ30" i="106" a="1"/>
  <c r="BJ30" i="106" s="1"/>
  <c r="BK30" i="106" s="1"/>
  <c r="BI36" i="106"/>
  <c r="J92" i="106"/>
  <c r="I95" i="106" s="1"/>
  <c r="E512" i="106"/>
  <c r="D514" i="106" s="1" a="1"/>
  <c r="D514" i="106" s="1"/>
  <c r="F554" i="106"/>
  <c r="F680" i="106"/>
  <c r="I680" i="106"/>
  <c r="E78" i="106"/>
  <c r="D80" i="106" s="1" a="1"/>
  <c r="D80" i="106" s="1"/>
  <c r="J344" i="106"/>
  <c r="I347" i="106" s="1"/>
  <c r="K344" i="106" s="1"/>
  <c r="I348" i="106"/>
  <c r="J345" i="106" s="1"/>
  <c r="E486" i="106"/>
  <c r="D488" i="106" s="1" a="1"/>
  <c r="D488" i="106" s="1"/>
  <c r="E528" i="106"/>
  <c r="D530" i="106" s="1" a="1"/>
  <c r="D530" i="106" s="1"/>
  <c r="I540" i="106"/>
  <c r="F624" i="106"/>
  <c r="I624" i="106"/>
  <c r="E624" i="106"/>
  <c r="D626" i="106" s="1" a="1"/>
  <c r="D626" i="106" s="1"/>
  <c r="E680" i="106"/>
  <c r="D682" i="106" s="1" a="1"/>
  <c r="D682" i="106" s="1"/>
  <c r="F92" i="106"/>
  <c r="I446" i="106"/>
  <c r="J442" i="106"/>
  <c r="I445" i="106" s="1"/>
  <c r="I652" i="106"/>
  <c r="E92" i="106"/>
  <c r="D94" i="106" s="1" a="1"/>
  <c r="D94" i="106" s="1"/>
  <c r="J232" i="106"/>
  <c r="I235" i="106" s="1"/>
  <c r="K442" i="106"/>
  <c r="J568" i="106"/>
  <c r="I571" i="106" s="1"/>
  <c r="K568" i="106" s="1"/>
  <c r="F652" i="106"/>
  <c r="E652" i="106" s="1"/>
  <c r="D654" i="106" s="1" a="1"/>
  <c r="D654" i="106" s="1"/>
  <c r="X41" i="106"/>
  <c r="E302" i="106"/>
  <c r="D304" i="106" s="1" a="1"/>
  <c r="D304" i="106" s="1"/>
  <c r="F400" i="106"/>
  <c r="E400" i="106" s="1"/>
  <c r="D402" i="106" s="1" a="1"/>
  <c r="D402" i="106" s="1"/>
  <c r="I764" i="106"/>
  <c r="F764" i="106"/>
  <c r="E764" i="106" s="1"/>
  <c r="D766" i="106" s="1" a="1"/>
  <c r="D766" i="106" s="1"/>
  <c r="J317" i="106"/>
  <c r="E330" i="106"/>
  <c r="D332" i="106" s="1" a="1"/>
  <c r="D332" i="106" s="1"/>
  <c r="E708" i="106"/>
  <c r="D710" i="106" s="1" a="1"/>
  <c r="D710" i="106" s="1"/>
  <c r="F708" i="106"/>
  <c r="F260" i="106"/>
  <c r="F330" i="106"/>
  <c r="F428" i="106"/>
  <c r="I600" i="106"/>
  <c r="I666" i="106"/>
  <c r="F666" i="106"/>
  <c r="E666" i="106" s="1"/>
  <c r="D668" i="106" s="1" a="1"/>
  <c r="D668" i="106" s="1"/>
  <c r="E260" i="106"/>
  <c r="D262" i="106" s="1" a="1"/>
  <c r="D262" i="106" s="1"/>
  <c r="E428" i="106"/>
  <c r="D430" i="106" s="1" a="1"/>
  <c r="D430" i="106" s="1"/>
  <c r="J596" i="106"/>
  <c r="I599" i="106" s="1"/>
  <c r="K596" i="106" s="1"/>
  <c r="I708" i="106"/>
  <c r="I754" i="106"/>
  <c r="J750" i="106"/>
  <c r="I753" i="106" s="1"/>
  <c r="K750" i="106"/>
  <c r="F750" i="106"/>
  <c r="E750" i="106"/>
  <c r="D752" i="106" s="1" a="1"/>
  <c r="D752" i="106" s="1"/>
  <c r="E344" i="106"/>
  <c r="D346" i="106" s="1" a="1"/>
  <c r="D346" i="106" s="1"/>
  <c r="F386" i="106"/>
  <c r="E386" i="106" s="1"/>
  <c r="D388" i="106" s="1" a="1"/>
  <c r="D388" i="106" s="1"/>
  <c r="F498" i="106"/>
  <c r="E498" i="106" s="1"/>
  <c r="D500" i="106" s="1" a="1"/>
  <c r="D500" i="106" s="1"/>
  <c r="K610" i="106"/>
  <c r="I722" i="106"/>
  <c r="F722" i="106"/>
  <c r="E722" i="106" s="1"/>
  <c r="D724" i="106" s="1" a="1"/>
  <c r="D724" i="106" s="1"/>
  <c r="AX53" i="106"/>
  <c r="AX27" i="106"/>
  <c r="AX34" i="106"/>
  <c r="AX44" i="106"/>
  <c r="F442" i="106"/>
  <c r="E442" i="106" s="1"/>
  <c r="D444" i="106" s="1" a="1"/>
  <c r="D444" i="106" s="1"/>
  <c r="J526" i="106"/>
  <c r="I529" i="106" s="1"/>
  <c r="K526" i="106" s="1"/>
  <c r="E554" i="106"/>
  <c r="D556" i="106" s="1" a="1"/>
  <c r="D556" i="106" s="1"/>
  <c r="F694" i="106"/>
  <c r="E694" i="106" s="1"/>
  <c r="D696" i="106" s="1" a="1"/>
  <c r="D696" i="106" s="1"/>
  <c r="G78" i="105"/>
  <c r="T60" i="105"/>
  <c r="T68" i="105"/>
  <c r="E69" i="105"/>
  <c r="E115" i="105"/>
  <c r="E40" i="105"/>
  <c r="D30" i="105"/>
  <c r="E9" i="105"/>
  <c r="E30" i="105"/>
  <c r="D115" i="105"/>
  <c r="C10" i="105"/>
  <c r="C124" i="105"/>
  <c r="R25" i="105"/>
  <c r="D122" i="105"/>
  <c r="E15" i="105"/>
  <c r="D54" i="105"/>
  <c r="E122" i="105"/>
  <c r="D44" i="105"/>
  <c r="C52" i="105"/>
  <c r="D83" i="105"/>
  <c r="D108" i="105"/>
  <c r="T39" i="105"/>
  <c r="D52" i="105"/>
  <c r="E74" i="105"/>
  <c r="E83" i="105"/>
  <c r="E87" i="105"/>
  <c r="E108" i="105"/>
  <c r="D124" i="105"/>
  <c r="D127" i="105"/>
  <c r="C122" i="105"/>
  <c r="C44" i="105"/>
  <c r="T21" i="105"/>
  <c r="E95" i="105"/>
  <c r="T25" i="105"/>
  <c r="E113" i="105"/>
  <c r="T29" i="105"/>
  <c r="T53" i="105"/>
  <c r="D56" i="105"/>
  <c r="T33" i="105"/>
  <c r="C9" i="105"/>
  <c r="E124" i="105"/>
  <c r="T58" i="105"/>
  <c r="E56" i="105"/>
  <c r="E54" i="105"/>
  <c r="E105" i="105"/>
  <c r="C108" i="105"/>
  <c r="D9" i="105"/>
  <c r="C40" i="105"/>
  <c r="C81" i="105"/>
  <c r="R21" i="105"/>
  <c r="C38" i="105"/>
  <c r="T54" i="105"/>
  <c r="T19" i="105"/>
  <c r="D38" i="105"/>
  <c r="T66" i="105"/>
  <c r="C36" i="105"/>
  <c r="E38" i="105"/>
  <c r="E64" i="105"/>
  <c r="R66" i="105"/>
  <c r="E24" i="105"/>
  <c r="T26" i="105"/>
  <c r="D36" i="105"/>
  <c r="C48" i="105"/>
  <c r="C62" i="105"/>
  <c r="T69" i="105"/>
  <c r="C89" i="105"/>
  <c r="C103" i="105"/>
  <c r="D106" i="105"/>
  <c r="D131" i="105"/>
  <c r="T17" i="105"/>
  <c r="D48" i="105"/>
  <c r="D62" i="105"/>
  <c r="D89" i="105"/>
  <c r="D103" i="105"/>
  <c r="E106" i="105"/>
  <c r="E131" i="105"/>
  <c r="E14" i="105"/>
  <c r="R17" i="105"/>
  <c r="C20" i="105"/>
  <c r="C22" i="105"/>
  <c r="T31" i="105"/>
  <c r="E48" i="105"/>
  <c r="E62" i="105"/>
  <c r="T64" i="105"/>
  <c r="E86" i="105"/>
  <c r="E89" i="105"/>
  <c r="C15" i="105"/>
  <c r="D20" i="105"/>
  <c r="D22" i="105"/>
  <c r="T36" i="105"/>
  <c r="R57" i="105"/>
  <c r="E112" i="105"/>
  <c r="D15" i="105"/>
  <c r="E46" i="105"/>
  <c r="D74" i="105"/>
  <c r="C83" i="105"/>
  <c r="C115" i="105"/>
  <c r="T41" i="105"/>
  <c r="R60" i="105"/>
  <c r="C30" i="105"/>
  <c r="T46" i="105"/>
  <c r="T51" i="105"/>
  <c r="C56" i="105"/>
  <c r="T52" i="105"/>
  <c r="T34" i="105"/>
  <c r="R50" i="105"/>
  <c r="T42" i="105"/>
  <c r="D65" i="105"/>
  <c r="C136" i="105"/>
  <c r="C5" i="105"/>
  <c r="C16" i="105"/>
  <c r="T67" i="105"/>
  <c r="D136" i="105"/>
  <c r="D5" i="105"/>
  <c r="D16" i="105"/>
  <c r="R20" i="105"/>
  <c r="T24" i="105"/>
  <c r="R40" i="105"/>
  <c r="E53" i="105"/>
  <c r="D61" i="105"/>
  <c r="R67" i="105"/>
  <c r="E136" i="105"/>
  <c r="E5" i="105"/>
  <c r="R18" i="105"/>
  <c r="C29" i="105"/>
  <c r="C99" i="105"/>
  <c r="D137" i="105"/>
  <c r="C12" i="105"/>
  <c r="D33" i="105"/>
  <c r="C37" i="105"/>
  <c r="D47" i="105"/>
  <c r="C55" i="105"/>
  <c r="D99" i="105"/>
  <c r="T35" i="105"/>
  <c r="D37" i="105"/>
  <c r="E47" i="105"/>
  <c r="C68" i="105"/>
  <c r="C73" i="105"/>
  <c r="D77" i="105"/>
  <c r="C97" i="105"/>
  <c r="E99" i="105"/>
  <c r="E102" i="105"/>
  <c r="T16" i="105"/>
  <c r="U16" i="105" s="1"/>
  <c r="C23" i="105"/>
  <c r="E31" i="105"/>
  <c r="R35" i="105"/>
  <c r="E37" i="105"/>
  <c r="D39" i="105"/>
  <c r="D41" i="105"/>
  <c r="T59" i="105"/>
  <c r="D68" i="105"/>
  <c r="C91" i="105"/>
  <c r="E8" i="105"/>
  <c r="C14" i="105"/>
  <c r="D23" i="105"/>
  <c r="D25" i="105"/>
  <c r="E41" i="105"/>
  <c r="R43" i="105"/>
  <c r="E73" i="105"/>
  <c r="D79" i="105"/>
  <c r="D91" i="105"/>
  <c r="E97" i="105"/>
  <c r="C105" i="105"/>
  <c r="C112" i="105"/>
  <c r="D119" i="105"/>
  <c r="E128" i="105"/>
  <c r="L85" i="105"/>
  <c r="T28" i="105"/>
  <c r="T50" i="105"/>
  <c r="R28" i="105"/>
  <c r="T32" i="105"/>
  <c r="R36" i="105"/>
  <c r="T44" i="105"/>
  <c r="R32" i="105"/>
  <c r="D132" i="105"/>
  <c r="T20" i="105"/>
  <c r="T40" i="105"/>
  <c r="C61" i="105"/>
  <c r="E65" i="105"/>
  <c r="T18" i="105"/>
  <c r="E16" i="105"/>
  <c r="R24" i="105"/>
  <c r="C45" i="105"/>
  <c r="E70" i="105"/>
  <c r="D116" i="105"/>
  <c r="E29" i="105"/>
  <c r="D45" i="105"/>
  <c r="D49" i="105"/>
  <c r="T63" i="105"/>
  <c r="C77" i="105"/>
  <c r="E116" i="105"/>
  <c r="C121" i="105"/>
  <c r="E137" i="105"/>
  <c r="D6" i="105"/>
  <c r="D12" i="105"/>
  <c r="D31" i="105"/>
  <c r="E45" i="105"/>
  <c r="E49" i="105"/>
  <c r="D55" i="105"/>
  <c r="D78" i="105"/>
  <c r="D121" i="105"/>
  <c r="E6" i="105"/>
  <c r="E12" i="105"/>
  <c r="T43" i="105"/>
  <c r="R53" i="105"/>
  <c r="E55" i="105"/>
  <c r="D73" i="105"/>
  <c r="E78" i="105"/>
  <c r="D97" i="105"/>
  <c r="C119" i="105"/>
  <c r="C133" i="105"/>
  <c r="K8" i="105"/>
  <c r="D14" i="105"/>
  <c r="E23" i="105"/>
  <c r="T27" i="105"/>
  <c r="R33" i="105"/>
  <c r="T47" i="105"/>
  <c r="U47" i="105" s="1"/>
  <c r="T49" i="105"/>
  <c r="U49" i="105" s="1"/>
  <c r="T57" i="105"/>
  <c r="D64" i="105"/>
  <c r="C74" i="105"/>
  <c r="E79" i="105"/>
  <c r="E91" i="105"/>
  <c r="D105" i="105"/>
  <c r="D112" i="105"/>
  <c r="E119" i="105"/>
  <c r="C131" i="105"/>
  <c r="L78" i="105"/>
  <c r="F123" i="105"/>
  <c r="F107" i="105"/>
  <c r="F104" i="105"/>
  <c r="F101" i="105"/>
  <c r="F90" i="105"/>
  <c r="F13" i="105"/>
  <c r="F138" i="105"/>
  <c r="F120" i="105"/>
  <c r="F98" i="105"/>
  <c r="F82" i="105"/>
  <c r="F76" i="105"/>
  <c r="F67" i="105"/>
  <c r="F59" i="105"/>
  <c r="F51" i="105"/>
  <c r="F43" i="105"/>
  <c r="F35" i="105"/>
  <c r="F27" i="105"/>
  <c r="F19" i="105"/>
  <c r="F117" i="105"/>
  <c r="F93" i="105"/>
  <c r="F85" i="105"/>
  <c r="F10" i="105"/>
  <c r="F7" i="105"/>
  <c r="F133" i="105"/>
  <c r="F130" i="105"/>
  <c r="F114" i="105"/>
  <c r="F71" i="105"/>
  <c r="F60" i="105"/>
  <c r="F52" i="105"/>
  <c r="F44" i="105"/>
  <c r="F36" i="105"/>
  <c r="F28" i="105"/>
  <c r="F20" i="105"/>
  <c r="F80" i="105"/>
  <c r="F61" i="105"/>
  <c r="F53" i="105"/>
  <c r="F127" i="105"/>
  <c r="F111" i="105"/>
  <c r="F96" i="105"/>
  <c r="F88" i="105"/>
  <c r="F77" i="105"/>
  <c r="F68" i="105"/>
  <c r="F12" i="105"/>
  <c r="F124" i="105"/>
  <c r="F108" i="105"/>
  <c r="F102" i="105"/>
  <c r="F100" i="105"/>
  <c r="F94" i="105"/>
  <c r="F92" i="105"/>
  <c r="F39" i="105"/>
  <c r="F25" i="105"/>
  <c r="F15" i="105"/>
  <c r="F103" i="105"/>
  <c r="F5" i="105"/>
  <c r="F23" i="105"/>
  <c r="F135" i="105"/>
  <c r="F122" i="105"/>
  <c r="F115" i="105"/>
  <c r="F129" i="105"/>
  <c r="F31" i="105"/>
  <c r="F66" i="105"/>
  <c r="F46" i="105"/>
  <c r="F8" i="105"/>
  <c r="F134" i="105"/>
  <c r="F118" i="105"/>
  <c r="F109" i="105"/>
  <c r="F57" i="105"/>
  <c r="F50" i="105"/>
  <c r="F32" i="105"/>
  <c r="F21" i="105"/>
  <c r="F110" i="105"/>
  <c r="F97" i="105"/>
  <c r="F95" i="105"/>
  <c r="F45" i="105"/>
  <c r="F34" i="105"/>
  <c r="F73" i="105"/>
  <c r="F86" i="105"/>
  <c r="F17" i="105"/>
  <c r="F132" i="105"/>
  <c r="F70" i="105"/>
  <c r="F40" i="105"/>
  <c r="F41" i="105"/>
  <c r="F30" i="105"/>
  <c r="F14" i="105"/>
  <c r="F99" i="105"/>
  <c r="F131" i="105"/>
  <c r="F106" i="105"/>
  <c r="F42" i="105"/>
  <c r="F69" i="105"/>
  <c r="F24" i="105"/>
  <c r="F137" i="105"/>
  <c r="F116" i="105"/>
  <c r="F79" i="105"/>
  <c r="F64" i="105"/>
  <c r="F54" i="105"/>
  <c r="F47" i="105"/>
  <c r="F6" i="105"/>
  <c r="F128" i="105"/>
  <c r="F29" i="105"/>
  <c r="F18" i="105"/>
  <c r="F121" i="105"/>
  <c r="F33" i="105"/>
  <c r="F22" i="105"/>
  <c r="F55" i="105"/>
  <c r="F48" i="105"/>
  <c r="F9" i="105"/>
  <c r="F38" i="105"/>
  <c r="F56" i="105"/>
  <c r="F49" i="105"/>
  <c r="F125" i="105"/>
  <c r="F84" i="105"/>
  <c r="F112" i="105"/>
  <c r="F105" i="105"/>
  <c r="F136" i="105"/>
  <c r="F119" i="105"/>
  <c r="F89" i="105"/>
  <c r="F83" i="105"/>
  <c r="F81" i="105"/>
  <c r="F78" i="105"/>
  <c r="F74" i="105"/>
  <c r="F58" i="105"/>
  <c r="F37" i="105"/>
  <c r="F26" i="105"/>
  <c r="F126" i="105"/>
  <c r="F91" i="105"/>
  <c r="F87" i="105"/>
  <c r="F65" i="105"/>
  <c r="F62" i="105"/>
  <c r="F16" i="105"/>
  <c r="F113" i="105"/>
  <c r="F72" i="105"/>
  <c r="F63" i="105"/>
  <c r="R27" i="105"/>
  <c r="R42" i="105"/>
  <c r="T56" i="105"/>
  <c r="R59" i="105"/>
  <c r="C70" i="105"/>
  <c r="C128" i="105"/>
  <c r="C6" i="105"/>
  <c r="E22" i="105"/>
  <c r="D29" i="105"/>
  <c r="E33" i="105"/>
  <c r="T38" i="105"/>
  <c r="D40" i="105"/>
  <c r="R45" i="105"/>
  <c r="C47" i="105"/>
  <c r="R49" i="105"/>
  <c r="C54" i="105"/>
  <c r="E61" i="105"/>
  <c r="C64" i="105"/>
  <c r="D70" i="105"/>
  <c r="C79" i="105"/>
  <c r="E103" i="105"/>
  <c r="C114" i="105"/>
  <c r="E121" i="105"/>
  <c r="T15" i="105"/>
  <c r="U15" i="105" s="1"/>
  <c r="R69" i="105"/>
  <c r="R62" i="105"/>
  <c r="R54" i="105"/>
  <c r="R46" i="105"/>
  <c r="R38" i="105"/>
  <c r="R30" i="105"/>
  <c r="R22" i="105"/>
  <c r="R15" i="105"/>
  <c r="R63" i="105"/>
  <c r="R55" i="105"/>
  <c r="R47" i="105"/>
  <c r="R39" i="105"/>
  <c r="R31" i="105"/>
  <c r="R23" i="105"/>
  <c r="R64" i="105"/>
  <c r="R56" i="105"/>
  <c r="T23" i="105"/>
  <c r="T62" i="105"/>
  <c r="R68" i="105"/>
  <c r="C132" i="105"/>
  <c r="C116" i="105"/>
  <c r="C84" i="105"/>
  <c r="C78" i="105"/>
  <c r="C65" i="105"/>
  <c r="C57" i="105"/>
  <c r="C49" i="105"/>
  <c r="C41" i="105"/>
  <c r="C33" i="105"/>
  <c r="C25" i="105"/>
  <c r="C17" i="105"/>
  <c r="C129" i="105"/>
  <c r="C113" i="105"/>
  <c r="C95" i="105"/>
  <c r="C87" i="105"/>
  <c r="C34" i="105"/>
  <c r="C117" i="105"/>
  <c r="C135" i="105"/>
  <c r="C126" i="105"/>
  <c r="C110" i="105"/>
  <c r="C72" i="105"/>
  <c r="C66" i="105"/>
  <c r="C58" i="105"/>
  <c r="C50" i="105"/>
  <c r="C42" i="105"/>
  <c r="C26" i="105"/>
  <c r="C18" i="105"/>
  <c r="C123" i="105"/>
  <c r="C107" i="105"/>
  <c r="C104" i="105"/>
  <c r="C101" i="105"/>
  <c r="C90" i="105"/>
  <c r="C13" i="105"/>
  <c r="C35" i="105"/>
  <c r="C27" i="105"/>
  <c r="C85" i="105"/>
  <c r="C138" i="105"/>
  <c r="C120" i="105"/>
  <c r="C98" i="105"/>
  <c r="C82" i="105"/>
  <c r="C76" i="105"/>
  <c r="C67" i="105"/>
  <c r="C59" i="105"/>
  <c r="C51" i="105"/>
  <c r="C43" i="105"/>
  <c r="C19" i="105"/>
  <c r="C93" i="105"/>
  <c r="C32" i="105"/>
  <c r="T45" i="105"/>
  <c r="C118" i="105"/>
  <c r="D129" i="105"/>
  <c r="D113" i="105"/>
  <c r="D95" i="105"/>
  <c r="D87" i="105"/>
  <c r="D135" i="105"/>
  <c r="D126" i="105"/>
  <c r="D110" i="105"/>
  <c r="D72" i="105"/>
  <c r="D66" i="105"/>
  <c r="D58" i="105"/>
  <c r="D50" i="105"/>
  <c r="D42" i="105"/>
  <c r="D34" i="105"/>
  <c r="D26" i="105"/>
  <c r="D18" i="105"/>
  <c r="D123" i="105"/>
  <c r="D107" i="105"/>
  <c r="D104" i="105"/>
  <c r="D101" i="105"/>
  <c r="D90" i="105"/>
  <c r="D13" i="105"/>
  <c r="D133" i="105"/>
  <c r="D138" i="105"/>
  <c r="D120" i="105"/>
  <c r="D98" i="105"/>
  <c r="D82" i="105"/>
  <c r="D76" i="105"/>
  <c r="D67" i="105"/>
  <c r="D59" i="105"/>
  <c r="D51" i="105"/>
  <c r="D43" i="105"/>
  <c r="D35" i="105"/>
  <c r="D27" i="105"/>
  <c r="D19" i="105"/>
  <c r="D130" i="105"/>
  <c r="D114" i="105"/>
  <c r="D71" i="105"/>
  <c r="D60" i="105"/>
  <c r="D117" i="105"/>
  <c r="D93" i="105"/>
  <c r="D85" i="105"/>
  <c r="D10" i="105"/>
  <c r="D7" i="105"/>
  <c r="D21" i="105"/>
  <c r="E25" i="105"/>
  <c r="T30" i="105"/>
  <c r="D32" i="105"/>
  <c r="R37" i="105"/>
  <c r="C39" i="105"/>
  <c r="T48" i="105"/>
  <c r="T55" i="105"/>
  <c r="D57" i="105"/>
  <c r="T65" i="105"/>
  <c r="Q70" i="105"/>
  <c r="C92" i="105"/>
  <c r="C94" i="105"/>
  <c r="C96" i="105"/>
  <c r="C100" i="105"/>
  <c r="D109" i="105"/>
  <c r="D118" i="105"/>
  <c r="E132" i="105"/>
  <c r="D134" i="105"/>
  <c r="R16" i="105"/>
  <c r="C21" i="105"/>
  <c r="R34" i="105"/>
  <c r="C134" i="105"/>
  <c r="C7" i="105"/>
  <c r="C28" i="105"/>
  <c r="R44" i="105"/>
  <c r="E57" i="105"/>
  <c r="C60" i="105"/>
  <c r="R61" i="105"/>
  <c r="C63" i="105"/>
  <c r="R65" i="105"/>
  <c r="C80" i="105"/>
  <c r="D92" i="105"/>
  <c r="D94" i="105"/>
  <c r="D96" i="105"/>
  <c r="D100" i="105"/>
  <c r="E109" i="105"/>
  <c r="C111" i="105"/>
  <c r="E118" i="105"/>
  <c r="C125" i="105"/>
  <c r="E134" i="105"/>
  <c r="R19" i="105"/>
  <c r="C130" i="105"/>
  <c r="R41" i="105"/>
  <c r="C8" i="105"/>
  <c r="D17" i="105"/>
  <c r="C24" i="105"/>
  <c r="R26" i="105"/>
  <c r="D28" i="105"/>
  <c r="T37" i="105"/>
  <c r="E39" i="105"/>
  <c r="C46" i="105"/>
  <c r="R51" i="105"/>
  <c r="C53" i="105"/>
  <c r="R58" i="105"/>
  <c r="D63" i="105"/>
  <c r="C69" i="105"/>
  <c r="D80" i="105"/>
  <c r="D84" i="105"/>
  <c r="C86" i="105"/>
  <c r="C88" i="105"/>
  <c r="E92" i="105"/>
  <c r="E94" i="105"/>
  <c r="C102" i="105"/>
  <c r="D111" i="105"/>
  <c r="D125" i="105"/>
  <c r="C109" i="105"/>
  <c r="E135" i="105"/>
  <c r="E126" i="105"/>
  <c r="E110" i="105"/>
  <c r="E72" i="105"/>
  <c r="E66" i="105"/>
  <c r="E58" i="105"/>
  <c r="E50" i="105"/>
  <c r="E42" i="105"/>
  <c r="E34" i="105"/>
  <c r="E26" i="105"/>
  <c r="E18" i="105"/>
  <c r="E123" i="105"/>
  <c r="E107" i="105"/>
  <c r="E104" i="105"/>
  <c r="E101" i="105"/>
  <c r="E90" i="105"/>
  <c r="E13" i="105"/>
  <c r="E35" i="105"/>
  <c r="E68" i="105"/>
  <c r="E138" i="105"/>
  <c r="E120" i="105"/>
  <c r="E98" i="105"/>
  <c r="E82" i="105"/>
  <c r="E76" i="105"/>
  <c r="E67" i="105"/>
  <c r="E59" i="105"/>
  <c r="E51" i="105"/>
  <c r="E43" i="105"/>
  <c r="E27" i="105"/>
  <c r="E19" i="105"/>
  <c r="E88" i="105"/>
  <c r="E77" i="105"/>
  <c r="E117" i="105"/>
  <c r="E93" i="105"/>
  <c r="E85" i="105"/>
  <c r="E10" i="105"/>
  <c r="E7" i="105"/>
  <c r="E36" i="105"/>
  <c r="E28" i="105"/>
  <c r="E96" i="105"/>
  <c r="E133" i="105"/>
  <c r="E130" i="105"/>
  <c r="E114" i="105"/>
  <c r="E71" i="105"/>
  <c r="E60" i="105"/>
  <c r="E52" i="105"/>
  <c r="E44" i="105"/>
  <c r="E20" i="105"/>
  <c r="E127" i="105"/>
  <c r="E111" i="105"/>
  <c r="E21" i="105"/>
  <c r="E32" i="105"/>
  <c r="R48" i="105"/>
  <c r="D8" i="105"/>
  <c r="E17" i="105"/>
  <c r="T22" i="105"/>
  <c r="D24" i="105"/>
  <c r="R29" i="105"/>
  <c r="C31" i="105"/>
  <c r="D46" i="105"/>
  <c r="D53" i="105"/>
  <c r="T61" i="105"/>
  <c r="E63" i="105"/>
  <c r="D69" i="105"/>
  <c r="C71" i="105"/>
  <c r="E80" i="105"/>
  <c r="E84" i="105"/>
  <c r="D86" i="105"/>
  <c r="D88" i="105"/>
  <c r="D102" i="105"/>
  <c r="C106" i="105"/>
  <c r="E125" i="105"/>
  <c r="C127" i="105"/>
  <c r="AK18" i="104"/>
  <c r="AK19" i="104"/>
  <c r="AK20" i="104"/>
  <c r="AK21" i="104"/>
  <c r="AK22" i="104"/>
  <c r="AK23" i="104"/>
  <c r="AK24" i="104"/>
  <c r="AK25" i="104"/>
  <c r="AK26" i="104"/>
  <c r="AK27" i="104"/>
  <c r="AK28" i="104"/>
  <c r="AK29" i="104"/>
  <c r="AK30" i="104"/>
  <c r="AK31" i="104"/>
  <c r="AK32" i="104"/>
  <c r="AK33" i="104"/>
  <c r="AK34" i="104"/>
  <c r="AK35" i="104"/>
  <c r="AK36" i="104"/>
  <c r="AK37" i="104"/>
  <c r="AK38" i="104"/>
  <c r="AK39" i="104"/>
  <c r="AK40" i="104"/>
  <c r="AK41" i="104"/>
  <c r="AK42" i="104"/>
  <c r="AK43" i="104"/>
  <c r="AK44" i="104"/>
  <c r="AK45" i="104"/>
  <c r="AK46" i="104"/>
  <c r="AK47" i="104"/>
  <c r="AK48" i="104"/>
  <c r="AK49" i="104"/>
  <c r="AK50" i="104"/>
  <c r="AK51" i="104"/>
  <c r="AK52" i="104"/>
  <c r="AK53" i="104"/>
  <c r="AK54" i="104"/>
  <c r="AK55" i="104"/>
  <c r="AK56" i="104"/>
  <c r="AK57" i="104"/>
  <c r="AK58" i="104"/>
  <c r="AK59" i="104"/>
  <c r="AK60" i="104"/>
  <c r="AK61" i="104"/>
  <c r="AK62" i="104"/>
  <c r="AK63" i="104"/>
  <c r="AK64" i="104"/>
  <c r="AK65" i="104"/>
  <c r="AK66" i="104"/>
  <c r="AK67" i="104"/>
  <c r="AK68" i="104"/>
  <c r="AK69" i="104"/>
  <c r="AK70" i="104"/>
  <c r="AK71" i="104"/>
  <c r="AK72" i="104"/>
  <c r="AK73" i="104"/>
  <c r="AK74" i="104"/>
  <c r="AK75" i="104"/>
  <c r="AK76" i="104"/>
  <c r="AK77" i="104"/>
  <c r="AK78" i="104"/>
  <c r="AK79" i="104"/>
  <c r="AK80" i="104"/>
  <c r="AK81" i="104"/>
  <c r="AK82" i="104"/>
  <c r="AK83" i="104"/>
  <c r="AK84" i="104"/>
  <c r="AK85" i="104"/>
  <c r="AK86" i="104"/>
  <c r="AK87" i="104"/>
  <c r="AK88" i="104"/>
  <c r="AK89" i="104"/>
  <c r="AK90" i="104"/>
  <c r="AK91" i="104"/>
  <c r="AK92" i="104"/>
  <c r="AK93" i="104"/>
  <c r="AK94" i="104"/>
  <c r="AK95" i="104"/>
  <c r="AK96" i="104"/>
  <c r="AK97" i="104"/>
  <c r="AK98" i="104"/>
  <c r="AK99" i="104"/>
  <c r="AK100" i="104"/>
  <c r="AK101" i="104"/>
  <c r="AK102" i="104"/>
  <c r="AK103" i="104"/>
  <c r="AK104" i="104"/>
  <c r="AK105" i="104"/>
  <c r="AK106" i="104"/>
  <c r="AK107" i="104"/>
  <c r="AK108" i="104"/>
  <c r="AK109" i="104"/>
  <c r="AK110" i="104"/>
  <c r="AK111" i="104"/>
  <c r="AK112" i="104"/>
  <c r="AK113" i="104"/>
  <c r="AK114" i="104"/>
  <c r="AK115" i="104"/>
  <c r="AK116" i="104"/>
  <c r="AK117" i="104"/>
  <c r="AK118" i="104"/>
  <c r="AK119" i="104"/>
  <c r="AK120" i="104"/>
  <c r="AK121" i="104"/>
  <c r="AK122" i="104"/>
  <c r="AK123" i="104"/>
  <c r="AK124" i="104"/>
  <c r="AK125" i="104"/>
  <c r="AK126" i="104"/>
  <c r="AK127" i="104"/>
  <c r="AK128" i="104"/>
  <c r="AK129" i="104"/>
  <c r="AK130" i="104"/>
  <c r="AK131" i="104"/>
  <c r="AK132" i="104"/>
  <c r="AK133" i="104"/>
  <c r="AK134" i="104"/>
  <c r="AK135" i="104"/>
  <c r="AK136" i="104"/>
  <c r="AK137" i="104"/>
  <c r="AK138" i="104"/>
  <c r="AK139" i="104"/>
  <c r="AK140" i="104"/>
  <c r="AK141" i="104"/>
  <c r="AK142" i="104"/>
  <c r="AK143" i="104"/>
  <c r="AK144" i="104"/>
  <c r="AK145" i="104"/>
  <c r="AK146" i="104"/>
  <c r="AK147" i="104"/>
  <c r="AK148" i="104"/>
  <c r="AK149" i="104"/>
  <c r="AK150" i="104"/>
  <c r="AK151" i="104"/>
  <c r="AK152" i="104"/>
  <c r="AK153" i="104"/>
  <c r="AK154" i="104"/>
  <c r="AK155" i="104"/>
  <c r="AK156" i="104"/>
  <c r="AK157" i="104"/>
  <c r="AK158" i="104"/>
  <c r="AK159" i="104"/>
  <c r="AK160" i="104"/>
  <c r="AK161" i="104"/>
  <c r="AK162" i="104"/>
  <c r="AK163" i="104"/>
  <c r="AK164" i="104"/>
  <c r="AK165" i="104"/>
  <c r="AK166" i="104"/>
  <c r="AK167" i="104"/>
  <c r="AK168" i="104"/>
  <c r="AK169" i="104"/>
  <c r="AK170" i="104"/>
  <c r="AK171" i="104"/>
  <c r="AK172" i="104"/>
  <c r="AK173" i="104"/>
  <c r="AK174" i="104"/>
  <c r="AK175" i="104"/>
  <c r="AK176" i="104"/>
  <c r="AK177" i="104"/>
  <c r="AK178" i="104"/>
  <c r="AK179" i="104"/>
  <c r="AK180" i="104"/>
  <c r="AK181" i="104"/>
  <c r="AK182" i="104"/>
  <c r="AK183" i="104"/>
  <c r="AK184" i="104"/>
  <c r="AK185" i="104"/>
  <c r="AK186" i="104"/>
  <c r="AK187" i="104"/>
  <c r="AK188" i="104"/>
  <c r="AK189" i="104"/>
  <c r="AK190" i="104"/>
  <c r="AK191" i="104"/>
  <c r="AK192" i="104"/>
  <c r="AK193" i="104"/>
  <c r="AK194" i="104"/>
  <c r="AK195" i="104"/>
  <c r="AK196" i="104"/>
  <c r="AK197" i="104"/>
  <c r="AK198" i="104"/>
  <c r="AK199" i="104"/>
  <c r="AK200" i="104"/>
  <c r="AK201" i="104"/>
  <c r="AK202" i="104"/>
  <c r="AK203" i="104"/>
  <c r="AK204" i="104"/>
  <c r="AK205" i="104"/>
  <c r="AK206" i="104"/>
  <c r="AK207" i="104"/>
  <c r="AK208" i="104"/>
  <c r="AK209" i="104"/>
  <c r="AK210" i="104"/>
  <c r="AK211" i="104"/>
  <c r="AK212" i="104"/>
  <c r="AK213" i="104"/>
  <c r="AK214" i="104"/>
  <c r="AK215" i="104"/>
  <c r="AK216" i="104"/>
  <c r="AK217" i="104"/>
  <c r="AK218" i="104"/>
  <c r="AK219" i="104"/>
  <c r="AK220" i="104"/>
  <c r="AK221" i="104"/>
  <c r="AK222" i="104"/>
  <c r="AK223" i="104"/>
  <c r="AK224" i="104"/>
  <c r="AK225" i="104"/>
  <c r="AK226" i="104"/>
  <c r="AK227" i="104"/>
  <c r="AK228" i="104"/>
  <c r="AK229" i="104"/>
  <c r="AK230" i="104"/>
  <c r="AK231" i="104"/>
  <c r="AK232" i="104"/>
  <c r="AK233" i="104"/>
  <c r="AK234" i="104"/>
  <c r="AK235" i="104"/>
  <c r="AK236" i="104"/>
  <c r="AK237" i="104"/>
  <c r="AK238" i="104"/>
  <c r="AK239" i="104"/>
  <c r="AK240" i="104"/>
  <c r="AK241" i="104"/>
  <c r="AK242" i="104"/>
  <c r="AK243" i="104"/>
  <c r="AK244" i="104"/>
  <c r="AK245" i="104"/>
  <c r="AK246" i="104"/>
  <c r="AK247" i="104"/>
  <c r="AK248" i="104"/>
  <c r="AK249" i="104"/>
  <c r="AK250" i="104"/>
  <c r="AK251" i="104"/>
  <c r="AK252" i="104"/>
  <c r="AK253" i="104"/>
  <c r="AK254" i="104"/>
  <c r="AK255" i="104"/>
  <c r="AK256" i="104"/>
  <c r="AK257" i="104"/>
  <c r="AK258" i="104"/>
  <c r="AK259" i="104"/>
  <c r="AK260" i="104"/>
  <c r="AK261" i="104"/>
  <c r="AK262" i="104"/>
  <c r="AK263" i="104"/>
  <c r="AK264" i="104"/>
  <c r="AK265" i="104"/>
  <c r="AK266" i="104"/>
  <c r="AK267" i="104"/>
  <c r="AK268" i="104"/>
  <c r="AK269" i="104"/>
  <c r="AK270" i="104"/>
  <c r="AK271" i="104"/>
  <c r="AK272" i="104"/>
  <c r="AK273" i="104"/>
  <c r="AK274" i="104"/>
  <c r="AK275" i="104"/>
  <c r="AK276" i="104"/>
  <c r="AK277" i="104"/>
  <c r="AK278" i="104"/>
  <c r="AK279" i="104"/>
  <c r="AK280" i="104"/>
  <c r="AK281" i="104"/>
  <c r="AK282" i="104"/>
  <c r="AK283" i="104"/>
  <c r="AK284" i="104"/>
  <c r="AK285" i="104"/>
  <c r="AK286" i="104"/>
  <c r="AK287" i="104"/>
  <c r="AK288" i="104"/>
  <c r="AK289" i="104"/>
  <c r="AK290" i="104"/>
  <c r="AK291" i="104"/>
  <c r="AK292" i="104"/>
  <c r="AK293" i="104"/>
  <c r="AK294" i="104"/>
  <c r="AK295" i="104"/>
  <c r="AK296" i="104"/>
  <c r="AK297" i="104"/>
  <c r="AK298" i="104"/>
  <c r="AK299" i="104"/>
  <c r="AK300" i="104"/>
  <c r="AK301" i="104"/>
  <c r="AK302" i="104"/>
  <c r="AK303" i="104"/>
  <c r="AK304" i="104"/>
  <c r="AK305" i="104"/>
  <c r="AK306" i="104"/>
  <c r="AK307" i="104"/>
  <c r="AK308" i="104"/>
  <c r="AK309" i="104"/>
  <c r="AK310" i="104"/>
  <c r="AK311" i="104"/>
  <c r="AK312" i="104"/>
  <c r="AK313" i="104"/>
  <c r="AK314" i="104"/>
  <c r="AK315" i="104"/>
  <c r="AK316" i="104"/>
  <c r="AK317" i="104"/>
  <c r="AK318" i="104"/>
  <c r="AK319" i="104"/>
  <c r="AK320" i="104"/>
  <c r="AK321" i="104"/>
  <c r="AK322" i="104"/>
  <c r="AK323" i="104"/>
  <c r="AK324" i="104"/>
  <c r="AK325" i="104"/>
  <c r="AK326" i="104"/>
  <c r="AK327" i="104"/>
  <c r="AK328" i="104"/>
  <c r="AK329" i="104"/>
  <c r="AK330" i="104"/>
  <c r="AK331" i="104"/>
  <c r="AK332" i="104"/>
  <c r="AK333" i="104"/>
  <c r="AK334" i="104"/>
  <c r="AK335" i="104"/>
  <c r="AK336" i="104"/>
  <c r="AK337" i="104"/>
  <c r="AK338" i="104"/>
  <c r="AK339" i="104"/>
  <c r="AK340" i="104"/>
  <c r="AK341" i="104"/>
  <c r="AK342" i="104"/>
  <c r="AK343" i="104"/>
  <c r="AK344" i="104"/>
  <c r="AK345" i="104"/>
  <c r="AK346" i="104"/>
  <c r="AK347" i="104"/>
  <c r="AK348" i="104"/>
  <c r="AK349" i="104"/>
  <c r="AK350" i="104"/>
  <c r="AK351" i="104"/>
  <c r="AK352" i="104"/>
  <c r="AK353" i="104"/>
  <c r="AK354" i="104"/>
  <c r="AK355" i="104"/>
  <c r="AK356" i="104"/>
  <c r="AK357" i="104"/>
  <c r="AK358" i="104"/>
  <c r="AK359" i="104"/>
  <c r="AK360" i="104"/>
  <c r="AK361" i="104"/>
  <c r="AK362" i="104"/>
  <c r="AK363" i="104"/>
  <c r="AK364" i="104"/>
  <c r="AK365" i="104"/>
  <c r="AK366" i="104"/>
  <c r="AK367" i="104"/>
  <c r="AK368" i="104"/>
  <c r="AK369" i="104"/>
  <c r="AK370" i="104"/>
  <c r="AK371" i="104"/>
  <c r="AK372" i="104"/>
  <c r="AK373" i="104"/>
  <c r="AK374" i="104"/>
  <c r="AK375" i="104"/>
  <c r="AK376" i="104"/>
  <c r="AK377" i="104"/>
  <c r="AK378" i="104"/>
  <c r="AK379" i="104"/>
  <c r="AK380" i="104"/>
  <c r="AK381" i="104"/>
  <c r="AK382" i="104"/>
  <c r="AK383" i="104"/>
  <c r="AK384" i="104"/>
  <c r="AK385" i="104"/>
  <c r="AK386" i="104"/>
  <c r="AK387" i="104"/>
  <c r="AK388" i="104"/>
  <c r="AK389" i="104"/>
  <c r="AK390" i="104"/>
  <c r="AK391" i="104"/>
  <c r="AK392" i="104"/>
  <c r="AK393" i="104"/>
  <c r="AK394" i="104"/>
  <c r="AK395" i="104"/>
  <c r="AK396" i="104"/>
  <c r="AK397" i="104"/>
  <c r="AK398" i="104"/>
  <c r="AK399" i="104"/>
  <c r="AK400" i="104"/>
  <c r="AK401" i="104"/>
  <c r="AK402" i="104"/>
  <c r="AK403" i="104"/>
  <c r="AK404" i="104"/>
  <c r="AK405" i="104"/>
  <c r="AK406" i="104"/>
  <c r="AK407" i="104"/>
  <c r="AK408" i="104"/>
  <c r="AK409" i="104"/>
  <c r="AK410" i="104"/>
  <c r="AK411" i="104"/>
  <c r="AK412" i="104"/>
  <c r="AK413" i="104"/>
  <c r="AK414" i="104"/>
  <c r="AK415" i="104"/>
  <c r="AK416" i="104"/>
  <c r="AK417" i="104"/>
  <c r="AK418" i="104"/>
  <c r="AK419" i="104"/>
  <c r="AK420" i="104"/>
  <c r="AK421" i="104"/>
  <c r="AK422" i="104"/>
  <c r="AK423" i="104"/>
  <c r="AK424" i="104"/>
  <c r="AK425" i="104"/>
  <c r="AK426" i="104"/>
  <c r="AK427" i="104"/>
  <c r="AK428" i="104"/>
  <c r="AK429" i="104"/>
  <c r="AK430" i="104"/>
  <c r="AK431" i="104"/>
  <c r="AK432" i="104"/>
  <c r="AK433" i="104"/>
  <c r="AK434" i="104"/>
  <c r="AK435" i="104"/>
  <c r="AK436" i="104"/>
  <c r="AK437" i="104"/>
  <c r="AK438" i="104"/>
  <c r="AK439" i="104"/>
  <c r="AK440" i="104"/>
  <c r="AK441" i="104"/>
  <c r="AK442" i="104"/>
  <c r="AK443" i="104"/>
  <c r="AK444" i="104"/>
  <c r="AK445" i="104"/>
  <c r="AK446" i="104"/>
  <c r="AK447" i="104"/>
  <c r="AK448" i="104"/>
  <c r="AK449" i="104"/>
  <c r="AK450" i="104"/>
  <c r="AK451" i="104"/>
  <c r="AK452" i="104"/>
  <c r="AK453" i="104"/>
  <c r="AK454" i="104"/>
  <c r="AK455" i="104"/>
  <c r="AK456" i="104"/>
  <c r="AK457" i="104"/>
  <c r="AK458" i="104"/>
  <c r="AK459" i="104"/>
  <c r="AK460" i="104"/>
  <c r="AK461" i="104"/>
  <c r="AK462" i="104"/>
  <c r="AK463" i="104"/>
  <c r="AK464" i="104"/>
  <c r="AK465" i="104"/>
  <c r="AK466" i="104"/>
  <c r="AK467" i="104"/>
  <c r="AK468" i="104"/>
  <c r="AK469" i="104"/>
  <c r="AK470" i="104"/>
  <c r="AK471" i="104"/>
  <c r="AK472" i="104"/>
  <c r="AK473" i="104"/>
  <c r="AK474" i="104"/>
  <c r="AK475" i="104"/>
  <c r="AK476" i="104"/>
  <c r="AK477" i="104"/>
  <c r="AK478" i="104"/>
  <c r="AK479" i="104"/>
  <c r="AK480" i="104"/>
  <c r="AK481" i="104"/>
  <c r="AK482" i="104"/>
  <c r="AK483" i="104"/>
  <c r="AK484" i="104"/>
  <c r="AK485" i="104"/>
  <c r="AK486" i="104"/>
  <c r="AK487" i="104"/>
  <c r="AK488" i="104"/>
  <c r="AK489" i="104"/>
  <c r="AK490" i="104"/>
  <c r="AK491" i="104"/>
  <c r="AK492" i="104"/>
  <c r="AK493" i="104"/>
  <c r="AK494" i="104"/>
  <c r="AK495" i="104"/>
  <c r="AK496" i="104"/>
  <c r="AK497" i="104"/>
  <c r="AK498" i="104"/>
  <c r="AK499" i="104"/>
  <c r="AK500" i="104"/>
  <c r="AK501" i="104"/>
  <c r="AK502" i="104"/>
  <c r="AK503" i="104"/>
  <c r="AK504" i="104"/>
  <c r="AK505" i="104"/>
  <c r="AK506" i="104"/>
  <c r="AK507" i="104"/>
  <c r="AK508" i="104"/>
  <c r="AK509" i="104"/>
  <c r="AK510" i="104"/>
  <c r="AK511" i="104"/>
  <c r="AK512" i="104"/>
  <c r="AK513" i="104"/>
  <c r="AK514" i="104"/>
  <c r="AK515" i="104"/>
  <c r="AK516" i="104"/>
  <c r="AK517" i="104"/>
  <c r="AK518" i="104"/>
  <c r="AK519" i="104"/>
  <c r="AK520" i="104"/>
  <c r="AK521" i="104"/>
  <c r="AK522" i="104"/>
  <c r="AK523" i="104"/>
  <c r="AK524" i="104"/>
  <c r="AK525" i="104"/>
  <c r="AK526" i="104"/>
  <c r="AK527" i="104"/>
  <c r="AK528" i="104"/>
  <c r="AK529" i="104"/>
  <c r="AK530" i="104"/>
  <c r="AK531" i="104"/>
  <c r="AK532" i="104"/>
  <c r="AK533" i="104"/>
  <c r="AK534" i="104"/>
  <c r="AK535" i="104"/>
  <c r="AK536" i="104"/>
  <c r="AK537" i="104"/>
  <c r="AK538" i="104"/>
  <c r="AK539" i="104"/>
  <c r="AK540" i="104"/>
  <c r="AK541" i="104"/>
  <c r="AK542" i="104"/>
  <c r="AK543" i="104"/>
  <c r="AK544" i="104"/>
  <c r="AK545" i="104"/>
  <c r="AK546" i="104"/>
  <c r="AK547" i="104"/>
  <c r="AK548" i="104"/>
  <c r="AK549" i="104"/>
  <c r="AK550" i="104"/>
  <c r="AK6" i="104"/>
  <c r="AK7" i="104"/>
  <c r="AK8" i="104"/>
  <c r="AK9" i="104"/>
  <c r="AK10" i="104"/>
  <c r="AK11" i="104"/>
  <c r="AK12" i="104"/>
  <c r="AK13" i="104"/>
  <c r="AK14" i="104"/>
  <c r="AK15" i="104"/>
  <c r="AK16" i="104"/>
  <c r="AK17" i="104"/>
  <c r="AK550" i="60"/>
  <c r="AK25" i="60"/>
  <c r="AK26" i="60"/>
  <c r="AK27" i="60"/>
  <c r="AK28" i="60"/>
  <c r="AK29" i="60"/>
  <c r="AK30" i="60"/>
  <c r="AK31" i="60"/>
  <c r="AK32" i="60"/>
  <c r="AK33" i="60"/>
  <c r="AK34" i="60"/>
  <c r="AK35" i="60"/>
  <c r="AK36" i="60"/>
  <c r="AK37" i="60"/>
  <c r="AK38" i="60"/>
  <c r="AK39" i="60"/>
  <c r="AK40" i="60"/>
  <c r="AK41" i="60"/>
  <c r="AK42" i="60"/>
  <c r="AK43" i="60"/>
  <c r="AK44" i="60"/>
  <c r="AK46" i="60"/>
  <c r="AK47" i="60"/>
  <c r="AK48" i="60"/>
  <c r="AK49" i="60"/>
  <c r="AK50" i="60"/>
  <c r="AK51" i="60"/>
  <c r="AK52" i="60"/>
  <c r="AK53" i="60"/>
  <c r="AK54" i="60"/>
  <c r="AK55" i="60"/>
  <c r="AK56" i="60"/>
  <c r="AK57" i="60"/>
  <c r="AK58" i="60"/>
  <c r="AK59" i="60"/>
  <c r="AK60" i="60"/>
  <c r="AK61" i="60"/>
  <c r="AK62" i="60"/>
  <c r="AK63" i="60"/>
  <c r="AK64" i="60"/>
  <c r="AK65" i="60"/>
  <c r="AK66" i="60"/>
  <c r="AK67" i="60"/>
  <c r="AK68" i="60"/>
  <c r="AK69" i="60"/>
  <c r="AK70" i="60"/>
  <c r="AK71" i="60"/>
  <c r="AK72" i="60"/>
  <c r="AK73" i="60"/>
  <c r="AK74" i="60"/>
  <c r="AK75" i="60"/>
  <c r="AK76" i="60"/>
  <c r="AK77" i="60"/>
  <c r="AK78" i="60"/>
  <c r="AK79" i="60"/>
  <c r="AK80" i="60"/>
  <c r="AK81" i="60"/>
  <c r="AK82" i="60"/>
  <c r="AK83" i="60"/>
  <c r="AK84" i="60"/>
  <c r="AK85" i="60"/>
  <c r="AK86" i="60"/>
  <c r="AK87" i="60"/>
  <c r="AK88" i="60"/>
  <c r="AK89" i="60"/>
  <c r="AK90" i="60"/>
  <c r="AK91" i="60"/>
  <c r="AK92" i="60"/>
  <c r="AK93" i="60"/>
  <c r="AK94" i="60"/>
  <c r="AK95" i="60"/>
  <c r="AK97" i="60"/>
  <c r="AK98" i="60"/>
  <c r="AK99" i="60"/>
  <c r="AK100" i="60"/>
  <c r="AK101" i="60"/>
  <c r="AK102" i="60"/>
  <c r="AK103" i="60"/>
  <c r="AK104" i="60"/>
  <c r="AK105" i="60"/>
  <c r="AK106" i="60"/>
  <c r="AK107" i="60"/>
  <c r="AK108" i="60"/>
  <c r="AK109" i="60"/>
  <c r="AK110" i="60"/>
  <c r="AK111" i="60"/>
  <c r="AK112" i="60"/>
  <c r="AK113" i="60"/>
  <c r="AK114" i="60"/>
  <c r="AK115" i="60"/>
  <c r="AK116" i="60"/>
  <c r="AK117" i="60"/>
  <c r="AK118" i="60"/>
  <c r="AK119" i="60"/>
  <c r="AK120" i="60"/>
  <c r="AK121" i="60"/>
  <c r="AK122" i="60"/>
  <c r="AK123" i="60"/>
  <c r="AK124" i="60"/>
  <c r="AK125" i="60"/>
  <c r="AK126" i="60"/>
  <c r="AK127" i="60"/>
  <c r="AK128" i="60"/>
  <c r="AK129" i="60"/>
  <c r="AK130" i="60"/>
  <c r="AK131" i="60"/>
  <c r="AK132" i="60"/>
  <c r="AK133" i="60"/>
  <c r="AK134" i="60"/>
  <c r="AK135" i="60"/>
  <c r="AK136" i="60"/>
  <c r="AK137" i="60"/>
  <c r="AK138" i="60"/>
  <c r="AK140" i="60"/>
  <c r="AK141" i="60"/>
  <c r="AK142" i="60"/>
  <c r="AK143" i="60"/>
  <c r="AK144" i="60"/>
  <c r="AK145" i="60"/>
  <c r="AK146" i="60"/>
  <c r="AK147" i="60"/>
  <c r="AK148" i="60"/>
  <c r="AK149" i="60"/>
  <c r="AK150" i="60"/>
  <c r="AK151" i="60"/>
  <c r="AK152" i="60"/>
  <c r="AK153" i="60"/>
  <c r="AK154" i="60"/>
  <c r="AK155" i="60"/>
  <c r="AK156" i="60"/>
  <c r="AK157" i="60"/>
  <c r="AK158" i="60"/>
  <c r="AK159" i="60"/>
  <c r="AK160" i="60"/>
  <c r="AK161" i="60"/>
  <c r="AK162" i="60"/>
  <c r="AK163" i="60"/>
  <c r="AK164" i="60"/>
  <c r="AK165" i="60"/>
  <c r="AK166" i="60"/>
  <c r="AK167" i="60"/>
  <c r="AK168" i="60"/>
  <c r="AK169" i="60"/>
  <c r="AK170" i="60"/>
  <c r="AK171" i="60"/>
  <c r="AK172" i="60"/>
  <c r="AK173" i="60"/>
  <c r="AK174" i="60"/>
  <c r="AK175" i="60"/>
  <c r="AK176" i="60"/>
  <c r="AK177" i="60"/>
  <c r="AK178" i="60"/>
  <c r="AK179" i="60"/>
  <c r="AK180" i="60"/>
  <c r="AK181" i="60"/>
  <c r="AK183" i="60"/>
  <c r="AK184" i="60"/>
  <c r="AK185" i="60"/>
  <c r="AK186" i="60"/>
  <c r="AK187" i="60"/>
  <c r="AK188" i="60"/>
  <c r="AK189" i="60"/>
  <c r="AK190" i="60"/>
  <c r="AK191" i="60"/>
  <c r="AK192" i="60"/>
  <c r="AK193" i="60"/>
  <c r="AK194" i="60"/>
  <c r="AK195" i="60"/>
  <c r="AK196" i="60"/>
  <c r="AK197" i="60"/>
  <c r="AK198" i="60"/>
  <c r="AK199" i="60"/>
  <c r="AK200" i="60"/>
  <c r="AK201" i="60"/>
  <c r="AK202" i="60"/>
  <c r="AK203" i="60"/>
  <c r="AK204" i="60"/>
  <c r="AK205" i="60"/>
  <c r="AK206" i="60"/>
  <c r="AK207" i="60"/>
  <c r="AK208" i="60"/>
  <c r="AK209" i="60"/>
  <c r="AK210" i="60"/>
  <c r="AK211" i="60"/>
  <c r="AK212" i="60"/>
  <c r="AK213" i="60"/>
  <c r="AK214" i="60"/>
  <c r="AK215" i="60"/>
  <c r="AK216" i="60"/>
  <c r="AK217" i="60"/>
  <c r="AK218" i="60"/>
  <c r="AK219" i="60"/>
  <c r="AK220" i="60"/>
  <c r="AK221" i="60"/>
  <c r="AK222" i="60"/>
  <c r="AK223" i="60"/>
  <c r="AK224" i="60"/>
  <c r="AK225" i="60"/>
  <c r="AK226" i="60"/>
  <c r="AK227" i="60"/>
  <c r="AK228" i="60"/>
  <c r="AK229" i="60"/>
  <c r="AK230" i="60"/>
  <c r="AK231" i="60"/>
  <c r="AK232" i="60"/>
  <c r="AK233" i="60"/>
  <c r="AK234" i="60"/>
  <c r="AK235" i="60"/>
  <c r="AK236" i="60"/>
  <c r="AK237" i="60"/>
  <c r="AK238" i="60"/>
  <c r="AK239" i="60"/>
  <c r="AK240" i="60"/>
  <c r="AK241" i="60"/>
  <c r="AK242" i="60"/>
  <c r="AK243" i="60"/>
  <c r="AK244" i="60"/>
  <c r="AK245" i="60"/>
  <c r="AK246" i="60"/>
  <c r="AK247" i="60"/>
  <c r="AK248" i="60"/>
  <c r="AK249" i="60"/>
  <c r="AK250" i="60"/>
  <c r="AK251" i="60"/>
  <c r="AK252" i="60"/>
  <c r="AK253" i="60"/>
  <c r="AK254" i="60"/>
  <c r="AK256" i="60"/>
  <c r="AK257" i="60"/>
  <c r="AK258" i="60"/>
  <c r="AK259" i="60"/>
  <c r="AK260" i="60"/>
  <c r="AK261" i="60"/>
  <c r="AK262" i="60"/>
  <c r="AK263" i="60"/>
  <c r="AK264" i="60"/>
  <c r="AK265" i="60"/>
  <c r="AK266" i="60"/>
  <c r="AK267" i="60"/>
  <c r="AK268" i="60"/>
  <c r="AK269" i="60"/>
  <c r="AK270" i="60"/>
  <c r="AK271" i="60"/>
  <c r="AK272" i="60"/>
  <c r="AK273" i="60"/>
  <c r="AK274" i="60"/>
  <c r="AK275" i="60"/>
  <c r="AK276" i="60"/>
  <c r="AK277" i="60"/>
  <c r="AK278" i="60"/>
  <c r="AK279" i="60"/>
  <c r="AK280" i="60"/>
  <c r="AK281" i="60"/>
  <c r="AK282" i="60"/>
  <c r="AK283" i="60"/>
  <c r="AK284" i="60"/>
  <c r="AK285" i="60"/>
  <c r="AK286" i="60"/>
  <c r="AK287" i="60"/>
  <c r="AK288" i="60"/>
  <c r="AK289" i="60"/>
  <c r="AK290" i="60"/>
  <c r="AK291" i="60"/>
  <c r="AK292" i="60"/>
  <c r="AK293" i="60"/>
  <c r="AK294" i="60"/>
  <c r="AK295" i="60"/>
  <c r="AK296" i="60"/>
  <c r="AK297" i="60"/>
  <c r="AK298" i="60"/>
  <c r="AK299" i="60"/>
  <c r="AK300" i="60"/>
  <c r="AK301" i="60"/>
  <c r="AK302" i="60"/>
  <c r="AK303" i="60"/>
  <c r="AK304" i="60"/>
  <c r="AK305" i="60"/>
  <c r="AK306" i="60"/>
  <c r="AK307" i="60"/>
  <c r="AK308" i="60"/>
  <c r="AK309" i="60"/>
  <c r="AK310" i="60"/>
  <c r="AK311" i="60"/>
  <c r="AK312" i="60"/>
  <c r="AK313" i="60"/>
  <c r="AK314" i="60"/>
  <c r="AK315" i="60"/>
  <c r="AK316" i="60"/>
  <c r="AK317" i="60"/>
  <c r="AK318" i="60"/>
  <c r="AK319" i="60"/>
  <c r="AK320" i="60"/>
  <c r="AK321" i="60"/>
  <c r="AK322" i="60"/>
  <c r="AK323" i="60"/>
  <c r="AK324" i="60"/>
  <c r="AK325" i="60"/>
  <c r="AK326" i="60"/>
  <c r="AK327" i="60"/>
  <c r="AK328" i="60"/>
  <c r="AK329" i="60"/>
  <c r="AK330" i="60"/>
  <c r="AK331" i="60"/>
  <c r="AK332" i="60"/>
  <c r="AK333" i="60"/>
  <c r="AK334" i="60"/>
  <c r="AK335" i="60"/>
  <c r="AK336" i="60"/>
  <c r="AK337" i="60"/>
  <c r="AK338" i="60"/>
  <c r="AK339" i="60"/>
  <c r="AK340" i="60"/>
  <c r="AK341" i="60"/>
  <c r="AK342" i="60"/>
  <c r="AK343" i="60"/>
  <c r="AK344" i="60"/>
  <c r="AK345" i="60"/>
  <c r="AK346" i="60"/>
  <c r="AK347" i="60"/>
  <c r="AK348" i="60"/>
  <c r="AK349" i="60"/>
  <c r="AK350" i="60"/>
  <c r="AK351" i="60"/>
  <c r="AK352" i="60"/>
  <c r="AK353" i="60"/>
  <c r="AK354" i="60"/>
  <c r="AK355" i="60"/>
  <c r="AK356" i="60"/>
  <c r="AK357" i="60"/>
  <c r="AK358" i="60"/>
  <c r="AK359" i="60"/>
  <c r="AK360" i="60"/>
  <c r="AK361" i="60"/>
  <c r="AK362" i="60"/>
  <c r="AK363" i="60"/>
  <c r="AK364" i="60"/>
  <c r="AK365" i="60"/>
  <c r="AK366" i="60"/>
  <c r="AK367" i="60"/>
  <c r="AK368" i="60"/>
  <c r="AK369" i="60"/>
  <c r="AK370" i="60"/>
  <c r="AK371" i="60"/>
  <c r="AK372" i="60"/>
  <c r="AK373" i="60"/>
  <c r="AK374" i="60"/>
  <c r="AK375" i="60"/>
  <c r="AK376" i="60"/>
  <c r="AK377" i="60"/>
  <c r="AK378" i="60"/>
  <c r="AK379" i="60"/>
  <c r="AK380" i="60"/>
  <c r="AK381" i="60"/>
  <c r="AK382" i="60"/>
  <c r="AK383" i="60"/>
  <c r="AK384" i="60"/>
  <c r="AK385" i="60"/>
  <c r="AK386" i="60"/>
  <c r="AK387" i="60"/>
  <c r="AK388" i="60"/>
  <c r="AK389" i="60"/>
  <c r="AK390" i="60"/>
  <c r="AK391" i="60"/>
  <c r="AK392" i="60"/>
  <c r="AK393" i="60"/>
  <c r="AK394" i="60"/>
  <c r="AK395" i="60"/>
  <c r="AK396" i="60"/>
  <c r="AK397" i="60"/>
  <c r="AK398" i="60"/>
  <c r="AK399" i="60"/>
  <c r="AK400" i="60"/>
  <c r="AK401" i="60"/>
  <c r="AK402" i="60"/>
  <c r="AK403" i="60"/>
  <c r="AK404" i="60"/>
  <c r="AK405" i="60"/>
  <c r="AK406" i="60"/>
  <c r="AK407" i="60"/>
  <c r="AK408" i="60"/>
  <c r="AK409" i="60"/>
  <c r="AK410" i="60"/>
  <c r="AK411" i="60"/>
  <c r="AK412" i="60"/>
  <c r="AK413" i="60"/>
  <c r="AK414" i="60"/>
  <c r="AK415" i="60"/>
  <c r="AK416" i="60"/>
  <c r="AK417" i="60"/>
  <c r="AK418" i="60"/>
  <c r="AK419" i="60"/>
  <c r="AK420" i="60"/>
  <c r="AK421" i="60"/>
  <c r="AK422" i="60"/>
  <c r="AK423" i="60"/>
  <c r="AK424" i="60"/>
  <c r="AK425" i="60"/>
  <c r="AK426" i="60"/>
  <c r="AK427" i="60"/>
  <c r="AK428" i="60"/>
  <c r="AK429" i="60"/>
  <c r="AK430" i="60"/>
  <c r="AK431" i="60"/>
  <c r="AK432" i="60"/>
  <c r="AK433" i="60"/>
  <c r="AK434" i="60"/>
  <c r="AK435" i="60"/>
  <c r="AK436" i="60"/>
  <c r="AK437" i="60"/>
  <c r="AK438" i="60"/>
  <c r="AK439" i="60"/>
  <c r="AK440" i="60"/>
  <c r="AK441" i="60"/>
  <c r="AK442" i="60"/>
  <c r="AK443" i="60"/>
  <c r="AK444" i="60"/>
  <c r="AK445" i="60"/>
  <c r="AK446" i="60"/>
  <c r="AK447" i="60"/>
  <c r="AK448" i="60"/>
  <c r="AK449" i="60"/>
  <c r="AK450" i="60"/>
  <c r="AK451" i="60"/>
  <c r="AK452" i="60"/>
  <c r="AK453" i="60"/>
  <c r="AK454" i="60"/>
  <c r="AK455" i="60"/>
  <c r="AK456" i="60"/>
  <c r="AK457" i="60"/>
  <c r="AK458" i="60"/>
  <c r="AK459" i="60"/>
  <c r="AK460" i="60"/>
  <c r="AK461" i="60"/>
  <c r="AK462" i="60"/>
  <c r="AK463" i="60"/>
  <c r="AK464" i="60"/>
  <c r="AK465" i="60"/>
  <c r="AK466" i="60"/>
  <c r="AK467" i="60"/>
  <c r="AK468" i="60"/>
  <c r="AK469" i="60"/>
  <c r="AK470" i="60"/>
  <c r="AK471" i="60"/>
  <c r="AK472" i="60"/>
  <c r="AK473" i="60"/>
  <c r="AK474" i="60"/>
  <c r="AK475" i="60"/>
  <c r="AK476" i="60"/>
  <c r="AK477" i="60"/>
  <c r="AK478" i="60"/>
  <c r="AK479" i="60"/>
  <c r="AK480" i="60"/>
  <c r="AK481" i="60"/>
  <c r="AK482" i="60"/>
  <c r="AK483" i="60"/>
  <c r="AK484" i="60"/>
  <c r="AK485" i="60"/>
  <c r="AK486" i="60"/>
  <c r="AK487" i="60"/>
  <c r="AK488" i="60"/>
  <c r="AK489" i="60"/>
  <c r="AK490" i="60"/>
  <c r="AK491" i="60"/>
  <c r="AK492" i="60"/>
  <c r="AK493" i="60"/>
  <c r="AK494" i="60"/>
  <c r="AK495" i="60"/>
  <c r="AK496" i="60"/>
  <c r="AK497" i="60"/>
  <c r="AK498" i="60"/>
  <c r="AK499" i="60"/>
  <c r="AK500" i="60"/>
  <c r="AK501" i="60"/>
  <c r="AK502" i="60"/>
  <c r="AK503" i="60"/>
  <c r="AK504" i="60"/>
  <c r="AK505" i="60"/>
  <c r="AK506" i="60"/>
  <c r="AK507" i="60"/>
  <c r="AK508" i="60"/>
  <c r="AK509" i="60"/>
  <c r="AK510" i="60"/>
  <c r="AK511" i="60"/>
  <c r="AK512" i="60"/>
  <c r="AK513" i="60"/>
  <c r="AK514" i="60"/>
  <c r="AK515" i="60"/>
  <c r="AK516" i="60"/>
  <c r="AK517" i="60"/>
  <c r="AK518" i="60"/>
  <c r="AK519" i="60"/>
  <c r="AK520" i="60"/>
  <c r="AK521" i="60"/>
  <c r="AK522" i="60"/>
  <c r="AK523" i="60"/>
  <c r="AK524" i="60"/>
  <c r="AK525" i="60"/>
  <c r="AK526" i="60"/>
  <c r="AK527" i="60"/>
  <c r="AK528" i="60"/>
  <c r="AK529" i="60"/>
  <c r="AK530" i="60"/>
  <c r="AK531" i="60"/>
  <c r="AK532" i="60"/>
  <c r="AK533" i="60"/>
  <c r="AK534" i="60"/>
  <c r="AK535" i="60"/>
  <c r="AK536" i="60"/>
  <c r="AK537" i="60"/>
  <c r="AK538" i="60"/>
  <c r="AK539" i="60"/>
  <c r="AK540" i="60"/>
  <c r="AK541" i="60"/>
  <c r="AK542" i="60"/>
  <c r="AK543" i="60"/>
  <c r="AK544" i="60"/>
  <c r="AK545" i="60"/>
  <c r="AK546" i="60"/>
  <c r="AK547" i="60"/>
  <c r="AK548" i="60"/>
  <c r="AK549" i="60"/>
  <c r="AK6" i="60"/>
  <c r="AK7" i="60"/>
  <c r="AK8" i="60"/>
  <c r="AK9" i="60"/>
  <c r="AK10" i="60"/>
  <c r="AK11" i="60"/>
  <c r="AK12" i="60"/>
  <c r="AK13" i="60"/>
  <c r="AK14" i="60"/>
  <c r="AK15" i="60"/>
  <c r="AK16" i="60"/>
  <c r="AK17" i="60"/>
  <c r="AK18" i="60"/>
  <c r="AK19" i="60"/>
  <c r="AK20" i="60"/>
  <c r="AK21" i="60"/>
  <c r="AK22" i="60"/>
  <c r="AK23" i="60"/>
  <c r="AK24" i="60"/>
  <c r="AB24" i="60"/>
  <c r="AB38" i="60"/>
  <c r="AB37" i="60"/>
  <c r="AB36" i="60"/>
  <c r="AB35" i="60"/>
  <c r="AB34" i="60"/>
  <c r="AB33" i="60"/>
  <c r="AB32" i="60"/>
  <c r="AB31" i="60"/>
  <c r="AB30" i="60"/>
  <c r="AB29" i="60"/>
  <c r="AB28" i="60"/>
  <c r="AB27" i="60"/>
  <c r="AB26" i="60"/>
  <c r="AB25" i="60"/>
  <c r="F600" i="106" l="1"/>
  <c r="E600" i="106"/>
  <c r="D602" i="106" s="1" a="1"/>
  <c r="D602" i="106" s="1"/>
  <c r="J51" i="106"/>
  <c r="F654" i="106"/>
  <c r="E654" i="106" s="1"/>
  <c r="D656" i="106" s="1" a="1"/>
  <c r="D656" i="106" s="1"/>
  <c r="F320" i="106"/>
  <c r="E320" i="106"/>
  <c r="D322" i="106" s="1" a="1"/>
  <c r="D322" i="106" s="1"/>
  <c r="F668" i="106"/>
  <c r="E668" i="106"/>
  <c r="D670" i="106" s="1" a="1"/>
  <c r="D670" i="106" s="1"/>
  <c r="J569" i="106"/>
  <c r="E180" i="106"/>
  <c r="D182" i="106" s="1" a="1"/>
  <c r="D182" i="106" s="1"/>
  <c r="F180" i="106"/>
  <c r="E614" i="106"/>
  <c r="D616" i="106" s="1" a="1"/>
  <c r="D616" i="106" s="1"/>
  <c r="F614" i="106"/>
  <c r="F696" i="106"/>
  <c r="E696" i="106"/>
  <c r="D698" i="106" s="1" a="1"/>
  <c r="D698" i="106" s="1"/>
  <c r="J429" i="106"/>
  <c r="J261" i="106"/>
  <c r="F402" i="106"/>
  <c r="E402" i="106"/>
  <c r="D404" i="106" s="1" a="1"/>
  <c r="D404" i="106" s="1"/>
  <c r="F220" i="106"/>
  <c r="E220" i="106"/>
  <c r="D222" i="106" s="1" a="1"/>
  <c r="D222" i="106" s="1"/>
  <c r="F460" i="106"/>
  <c r="E460" i="106"/>
  <c r="D462" i="106" s="1" a="1"/>
  <c r="D462" i="106" s="1"/>
  <c r="F250" i="106"/>
  <c r="E250" i="106"/>
  <c r="D252" i="106" s="1" a="1"/>
  <c r="D252" i="106" s="1"/>
  <c r="J764" i="106"/>
  <c r="I767" i="106" s="1"/>
  <c r="I768" i="106"/>
  <c r="K764" i="106"/>
  <c r="F682" i="106"/>
  <c r="E682" i="106"/>
  <c r="D684" i="106" s="1" a="1"/>
  <c r="D684" i="106" s="1"/>
  <c r="J457" i="106"/>
  <c r="I292" i="106"/>
  <c r="J288" i="106"/>
  <c r="I291" i="106" s="1"/>
  <c r="K288" i="106" s="1"/>
  <c r="K331" i="106"/>
  <c r="J332" i="106" s="1"/>
  <c r="J485" i="106"/>
  <c r="K121" i="106"/>
  <c r="F430" i="106"/>
  <c r="E430" i="106"/>
  <c r="D432" i="106" s="1" a="1"/>
  <c r="D432" i="106" s="1"/>
  <c r="F626" i="106"/>
  <c r="E626" i="106" s="1"/>
  <c r="D628" i="106" s="1" a="1"/>
  <c r="D628" i="106" s="1"/>
  <c r="J638" i="106"/>
  <c r="I641" i="106" s="1"/>
  <c r="K638" i="106" s="1"/>
  <c r="I642" i="106"/>
  <c r="F290" i="106"/>
  <c r="E290" i="106"/>
  <c r="D292" i="106" s="1" a="1"/>
  <c r="D292" i="106" s="1"/>
  <c r="K304" i="106"/>
  <c r="J305" i="106"/>
  <c r="F262" i="106"/>
  <c r="E262" i="106"/>
  <c r="D264" i="106" s="1" a="1"/>
  <c r="D264" i="106" s="1"/>
  <c r="F304" i="106"/>
  <c r="E304" i="106" s="1"/>
  <c r="D306" i="106" s="1" a="1"/>
  <c r="D306" i="106" s="1"/>
  <c r="I628" i="106"/>
  <c r="J624" i="106"/>
  <c r="I627" i="106" s="1"/>
  <c r="K624" i="106" s="1"/>
  <c r="BJ42" i="106"/>
  <c r="BK27" i="106"/>
  <c r="F53" i="106"/>
  <c r="E53" i="106"/>
  <c r="D55" i="106" s="1" a="1"/>
  <c r="D55" i="106" s="1"/>
  <c r="I166" i="106"/>
  <c r="J163" i="106" s="1"/>
  <c r="J162" i="106"/>
  <c r="I165" i="106" s="1"/>
  <c r="K162" i="106"/>
  <c r="I418" i="106"/>
  <c r="J414" i="106"/>
  <c r="I417" i="106" s="1"/>
  <c r="K414" i="106"/>
  <c r="K247" i="106"/>
  <c r="J248" i="106"/>
  <c r="J499" i="106"/>
  <c r="F164" i="106"/>
  <c r="E164" i="106"/>
  <c r="D166" i="106" s="1" a="1"/>
  <c r="D166" i="106" s="1"/>
  <c r="J192" i="106"/>
  <c r="K191" i="106"/>
  <c r="F136" i="106"/>
  <c r="E136" i="106"/>
  <c r="D138" i="106" s="1" a="1"/>
  <c r="D138" i="106" s="1"/>
  <c r="J233" i="106"/>
  <c r="F724" i="106"/>
  <c r="E724" i="106" s="1"/>
  <c r="D726" i="106" s="1" a="1"/>
  <c r="D726" i="106" s="1"/>
  <c r="I670" i="106"/>
  <c r="J666" i="106"/>
  <c r="I669" i="106" s="1"/>
  <c r="K666" i="106"/>
  <c r="I544" i="106"/>
  <c r="J540" i="106"/>
  <c r="I543" i="106" s="1"/>
  <c r="K540" i="106" s="1"/>
  <c r="J737" i="106"/>
  <c r="K472" i="106"/>
  <c r="J79" i="106"/>
  <c r="E122" i="106"/>
  <c r="D124" i="106" s="1" a="1"/>
  <c r="D124" i="106" s="1"/>
  <c r="F122" i="106"/>
  <c r="F108" i="106"/>
  <c r="E108" i="106"/>
  <c r="D110" i="106" s="1" a="1"/>
  <c r="D110" i="106" s="1"/>
  <c r="I726" i="106"/>
  <c r="J722" i="106"/>
  <c r="I725" i="106" s="1"/>
  <c r="K722" i="106" s="1"/>
  <c r="E530" i="106"/>
  <c r="D532" i="106" s="1" a="1"/>
  <c r="D532" i="106" s="1"/>
  <c r="F530" i="106"/>
  <c r="I586" i="106"/>
  <c r="J582" i="106"/>
  <c r="I585" i="106" s="1"/>
  <c r="K582" i="106" s="1"/>
  <c r="F66" i="106"/>
  <c r="E66" i="106"/>
  <c r="D68" i="106" s="1" a="1"/>
  <c r="D68" i="106" s="1"/>
  <c r="J597" i="106"/>
  <c r="F488" i="106"/>
  <c r="E488" i="106"/>
  <c r="D490" i="106" s="1" a="1"/>
  <c r="D490" i="106" s="1"/>
  <c r="J218" i="106"/>
  <c r="I221" i="106" s="1"/>
  <c r="K218" i="106"/>
  <c r="I222" i="106"/>
  <c r="J219" i="106" s="1"/>
  <c r="J106" i="106"/>
  <c r="I109" i="106" s="1"/>
  <c r="K106" i="106" s="1"/>
  <c r="I110" i="106"/>
  <c r="J359" i="106"/>
  <c r="J177" i="106"/>
  <c r="F374" i="106"/>
  <c r="E374" i="106" s="1"/>
  <c r="D376" i="106" s="1" a="1"/>
  <c r="D376" i="106" s="1"/>
  <c r="F388" i="106"/>
  <c r="E388" i="106"/>
  <c r="D390" i="106" s="1" a="1"/>
  <c r="D390" i="106" s="1"/>
  <c r="J372" i="106"/>
  <c r="I375" i="106" s="1"/>
  <c r="K372" i="106" s="1"/>
  <c r="I376" i="106"/>
  <c r="E50" i="106"/>
  <c r="D52" i="106" s="1" a="1"/>
  <c r="D52" i="106" s="1"/>
  <c r="I138" i="106"/>
  <c r="J134" i="106"/>
  <c r="I137" i="106" s="1"/>
  <c r="K134" i="106" s="1"/>
  <c r="K150" i="106"/>
  <c r="J151" i="106"/>
  <c r="F346" i="106"/>
  <c r="E346" i="106"/>
  <c r="D348" i="106" s="1" a="1"/>
  <c r="D348" i="106" s="1"/>
  <c r="E80" i="106"/>
  <c r="D82" i="106" s="1" a="1"/>
  <c r="D82" i="106" s="1"/>
  <c r="F80" i="106"/>
  <c r="F640" i="106"/>
  <c r="E640" i="106"/>
  <c r="D642" i="106" s="1" a="1"/>
  <c r="D642" i="106" s="1"/>
  <c r="E572" i="106"/>
  <c r="D574" i="106" s="1" a="1"/>
  <c r="D574" i="106" s="1"/>
  <c r="F572" i="106"/>
  <c r="F752" i="106"/>
  <c r="E752" i="106" s="1"/>
  <c r="D754" i="106" s="1" a="1"/>
  <c r="D754" i="106" s="1"/>
  <c r="F94" i="106"/>
  <c r="E94" i="106"/>
  <c r="D96" i="106" s="1" a="1"/>
  <c r="D96" i="106" s="1"/>
  <c r="I684" i="106"/>
  <c r="J680" i="106"/>
  <c r="I683" i="106" s="1"/>
  <c r="K680" i="106" s="1"/>
  <c r="K387" i="106"/>
  <c r="J388" i="106"/>
  <c r="F194" i="106"/>
  <c r="E194" i="106"/>
  <c r="D196" i="106" s="1" a="1"/>
  <c r="D196" i="106" s="1"/>
  <c r="J65" i="106"/>
  <c r="J513" i="106"/>
  <c r="I656" i="106"/>
  <c r="J652" i="106"/>
  <c r="I655" i="106" s="1"/>
  <c r="K652" i="106" s="1"/>
  <c r="J93" i="106"/>
  <c r="F500" i="106"/>
  <c r="E500" i="106" s="1"/>
  <c r="D502" i="106" s="1" a="1"/>
  <c r="D502" i="106" s="1"/>
  <c r="K345" i="106"/>
  <c r="J346" i="106"/>
  <c r="I208" i="106"/>
  <c r="J204" i="106"/>
  <c r="I207" i="106" s="1"/>
  <c r="K204" i="106" s="1"/>
  <c r="F556" i="106"/>
  <c r="E556" i="106"/>
  <c r="D558" i="106" s="1" a="1"/>
  <c r="D558" i="106" s="1"/>
  <c r="F710" i="106"/>
  <c r="E710" i="106"/>
  <c r="D712" i="106" s="1" a="1"/>
  <c r="D712" i="106" s="1"/>
  <c r="F234" i="106"/>
  <c r="E234" i="106" s="1"/>
  <c r="D236" i="106" s="1" a="1"/>
  <c r="D236" i="106" s="1"/>
  <c r="F152" i="106"/>
  <c r="E152" i="106"/>
  <c r="D154" i="106" s="1" a="1"/>
  <c r="D154" i="106" s="1"/>
  <c r="F474" i="106"/>
  <c r="E474" i="106"/>
  <c r="D476" i="106" s="1" a="1"/>
  <c r="D476" i="106" s="1"/>
  <c r="J274" i="106"/>
  <c r="I277" i="106" s="1"/>
  <c r="I278" i="106"/>
  <c r="K274" i="106"/>
  <c r="E364" i="106"/>
  <c r="D366" i="106" s="1" a="1"/>
  <c r="D366" i="106" s="1"/>
  <c r="F364" i="106"/>
  <c r="J695" i="106"/>
  <c r="J527" i="106"/>
  <c r="F332" i="106"/>
  <c r="E332" i="106"/>
  <c r="D334" i="106" s="1" a="1"/>
  <c r="D334" i="106" s="1"/>
  <c r="F514" i="106"/>
  <c r="E514" i="106"/>
  <c r="D516" i="106" s="1" a="1"/>
  <c r="D516" i="106" s="1"/>
  <c r="F584" i="106"/>
  <c r="E584" i="106" s="1"/>
  <c r="D586" i="106" s="1" a="1"/>
  <c r="D586" i="106" s="1"/>
  <c r="F416" i="106"/>
  <c r="E416" i="106" s="1"/>
  <c r="D418" i="106" s="1" a="1"/>
  <c r="D418" i="106" s="1"/>
  <c r="F276" i="106"/>
  <c r="E276" i="106"/>
  <c r="D278" i="106" s="1" a="1"/>
  <c r="D278" i="106" s="1"/>
  <c r="J611" i="106"/>
  <c r="J401" i="106"/>
  <c r="F444" i="106"/>
  <c r="E444" i="106"/>
  <c r="D446" i="106" s="1" a="1"/>
  <c r="D446" i="106" s="1"/>
  <c r="J751" i="106"/>
  <c r="K317" i="106"/>
  <c r="J443" i="106"/>
  <c r="F206" i="106"/>
  <c r="E206" i="106"/>
  <c r="D208" i="106" s="1" a="1"/>
  <c r="D208" i="106" s="1"/>
  <c r="J555" i="106"/>
  <c r="I712" i="106"/>
  <c r="J708" i="106"/>
  <c r="I711" i="106" s="1"/>
  <c r="K708" i="106" s="1"/>
  <c r="F766" i="106"/>
  <c r="E766" i="106"/>
  <c r="D768" i="106" s="1" a="1"/>
  <c r="D768" i="106" s="1"/>
  <c r="F542" i="106"/>
  <c r="E542" i="106"/>
  <c r="D544" i="106" s="1" a="1"/>
  <c r="D544" i="106" s="1"/>
  <c r="F740" i="106"/>
  <c r="E740" i="106"/>
  <c r="D742" i="106" s="1" a="1"/>
  <c r="D742" i="106" s="1"/>
  <c r="T70" i="105"/>
  <c r="P68" i="105"/>
  <c r="O60" i="105"/>
  <c r="O52" i="105"/>
  <c r="O44" i="105"/>
  <c r="O36" i="105"/>
  <c r="O28" i="105"/>
  <c r="O20" i="105"/>
  <c r="O68" i="105"/>
  <c r="P61" i="105"/>
  <c r="P53" i="105"/>
  <c r="P45" i="105"/>
  <c r="P37" i="105"/>
  <c r="P29" i="105"/>
  <c r="P21" i="105"/>
  <c r="I10" i="105"/>
  <c r="K10" i="105" s="1" a="1"/>
  <c r="K10" i="105" s="1"/>
  <c r="O37" i="105"/>
  <c r="O21" i="105"/>
  <c r="O61" i="105"/>
  <c r="O53" i="105"/>
  <c r="O45" i="105"/>
  <c r="O29" i="105"/>
  <c r="P69" i="105"/>
  <c r="P62" i="105"/>
  <c r="P54" i="105"/>
  <c r="P46" i="105"/>
  <c r="P38" i="105"/>
  <c r="P30" i="105"/>
  <c r="P22" i="105"/>
  <c r="O38" i="105"/>
  <c r="O30" i="105"/>
  <c r="O69" i="105"/>
  <c r="O62" i="105"/>
  <c r="O54" i="105"/>
  <c r="O46" i="105"/>
  <c r="O22" i="105"/>
  <c r="P15" i="105"/>
  <c r="P67" i="105"/>
  <c r="O64" i="105"/>
  <c r="O47" i="105"/>
  <c r="O43" i="105"/>
  <c r="P40" i="105"/>
  <c r="P18" i="105"/>
  <c r="O58" i="105"/>
  <c r="P44" i="105"/>
  <c r="O26" i="105"/>
  <c r="O48" i="105"/>
  <c r="P56" i="105"/>
  <c r="P49" i="105"/>
  <c r="P31" i="105"/>
  <c r="O31" i="105"/>
  <c r="P20" i="105"/>
  <c r="O17" i="105"/>
  <c r="P28" i="105"/>
  <c r="O67" i="105"/>
  <c r="O40" i="105"/>
  <c r="P36" i="105"/>
  <c r="P33" i="105"/>
  <c r="O18" i="105"/>
  <c r="O15" i="105"/>
  <c r="P41" i="105"/>
  <c r="O59" i="105"/>
  <c r="O42" i="105"/>
  <c r="P24" i="105"/>
  <c r="P32" i="105"/>
  <c r="O57" i="105"/>
  <c r="O50" i="105"/>
  <c r="P60" i="105"/>
  <c r="P47" i="105"/>
  <c r="P43" i="105"/>
  <c r="O33" i="105"/>
  <c r="P65" i="105"/>
  <c r="P55" i="105"/>
  <c r="O55" i="105"/>
  <c r="P27" i="105"/>
  <c r="P57" i="105"/>
  <c r="P50" i="105"/>
  <c r="O39" i="105"/>
  <c r="O32" i="105"/>
  <c r="P25" i="105"/>
  <c r="P58" i="105"/>
  <c r="P51" i="105"/>
  <c r="P26" i="105"/>
  <c r="O51" i="105"/>
  <c r="P48" i="105"/>
  <c r="O65" i="105"/>
  <c r="O41" i="105"/>
  <c r="P52" i="105"/>
  <c r="P59" i="105"/>
  <c r="O49" i="105"/>
  <c r="P42" i="105"/>
  <c r="O27" i="105"/>
  <c r="O66" i="105"/>
  <c r="P63" i="105"/>
  <c r="P17" i="105"/>
  <c r="O63" i="105"/>
  <c r="P39" i="105"/>
  <c r="P35" i="105"/>
  <c r="O35" i="105"/>
  <c r="P34" i="105"/>
  <c r="P23" i="105"/>
  <c r="P19" i="105"/>
  <c r="P16" i="105"/>
  <c r="O34" i="105"/>
  <c r="O23" i="105"/>
  <c r="O19" i="105"/>
  <c r="O16" i="105"/>
  <c r="O56" i="105"/>
  <c r="P66" i="105"/>
  <c r="O24" i="105"/>
  <c r="P64" i="105"/>
  <c r="O25" i="105"/>
  <c r="AN87" i="104"/>
  <c r="AN87" i="60"/>
  <c r="AN24" i="60"/>
  <c r="AN24" i="104"/>
  <c r="Y1" i="104"/>
  <c r="Z1" i="104"/>
  <c r="AA1" i="104"/>
  <c r="AB1" i="104"/>
  <c r="AC1" i="104"/>
  <c r="AD1" i="104"/>
  <c r="AE1" i="104"/>
  <c r="AF1" i="104"/>
  <c r="AG1" i="104"/>
  <c r="AH1" i="104"/>
  <c r="AI1" i="104"/>
  <c r="AJ1" i="104"/>
  <c r="N33" i="104"/>
  <c r="N32" i="104"/>
  <c r="AQ31" i="104"/>
  <c r="AQ30" i="104"/>
  <c r="N29" i="104"/>
  <c r="AQ28" i="104"/>
  <c r="AQ26" i="104"/>
  <c r="N25" i="104"/>
  <c r="S10" i="104"/>
  <c r="AJ2" i="104"/>
  <c r="AI2" i="104"/>
  <c r="AH2" i="104"/>
  <c r="AG2" i="104"/>
  <c r="AF2" i="104"/>
  <c r="AE2" i="104"/>
  <c r="AD2" i="104"/>
  <c r="AC2" i="104"/>
  <c r="AB2" i="104"/>
  <c r="AA2" i="104"/>
  <c r="Z2" i="104"/>
  <c r="Y2" i="104"/>
  <c r="X2" i="104"/>
  <c r="W2" i="104"/>
  <c r="V2" i="104"/>
  <c r="U2" i="104"/>
  <c r="T2" i="104"/>
  <c r="S2" i="104"/>
  <c r="R2" i="104"/>
  <c r="Q2" i="104"/>
  <c r="X1" i="104"/>
  <c r="W1" i="104"/>
  <c r="V1" i="104"/>
  <c r="U1" i="104"/>
  <c r="T1" i="104"/>
  <c r="S1" i="104"/>
  <c r="R1" i="104"/>
  <c r="Q1" i="104"/>
  <c r="DK552" i="104"/>
  <c r="DI552" i="104"/>
  <c r="DE4" i="104" s="1"/>
  <c r="N551" i="104"/>
  <c r="AQ550" i="104"/>
  <c r="N550" i="104"/>
  <c r="C550" i="104"/>
  <c r="B550" i="104" a="1"/>
  <c r="B550" i="104" s="1"/>
  <c r="AQ549" i="104"/>
  <c r="N549" i="104"/>
  <c r="C549" i="104"/>
  <c r="B549" i="104" a="1"/>
  <c r="B549" i="104" s="1"/>
  <c r="AQ548" i="104"/>
  <c r="BC548" i="104" s="1" a="1"/>
  <c r="BC548" i="104" s="1"/>
  <c r="BK548" i="104"/>
  <c r="N548" i="104"/>
  <c r="C548" i="104"/>
  <c r="B548" i="104" a="1"/>
  <c r="B548" i="104" s="1"/>
  <c r="BA547" i="104"/>
  <c r="BE547" i="104" s="1"/>
  <c r="AQ547" i="104"/>
  <c r="BC547" i="104" s="1" a="1"/>
  <c r="BC547" i="104" s="1"/>
  <c r="AO547" i="104"/>
  <c r="N547" i="104"/>
  <c r="C547" i="104"/>
  <c r="B547" i="104" a="1"/>
  <c r="B547" i="104" s="1"/>
  <c r="AQ546" i="104"/>
  <c r="N546" i="104"/>
  <c r="C546" i="104"/>
  <c r="B546" i="104" a="1"/>
  <c r="B546" i="104" s="1"/>
  <c r="AQ545" i="104"/>
  <c r="N545" i="104"/>
  <c r="C545" i="104"/>
  <c r="B545" i="104" a="1"/>
  <c r="B545" i="104" s="1"/>
  <c r="AQ544" i="104"/>
  <c r="BC544" i="104" s="1" a="1"/>
  <c r="BC544" i="104" s="1"/>
  <c r="AP544" i="104"/>
  <c r="N544" i="104"/>
  <c r="C544" i="104"/>
  <c r="B544" i="104" a="1"/>
  <c r="B544" i="104" s="1"/>
  <c r="AQ543" i="104"/>
  <c r="BA543" i="104"/>
  <c r="BE543" i="104" s="1"/>
  <c r="N543" i="104"/>
  <c r="C543" i="104"/>
  <c r="B543" i="104" a="1"/>
  <c r="B543" i="104" s="1"/>
  <c r="BB542" i="104"/>
  <c r="AX542" i="104"/>
  <c r="AW542" i="104"/>
  <c r="AV542" i="104"/>
  <c r="AS542" i="104"/>
  <c r="AQ542" i="104"/>
  <c r="AM542" i="104"/>
  <c r="AN542" i="104"/>
  <c r="N542" i="104"/>
  <c r="C542" i="104"/>
  <c r="B542" i="104" a="1"/>
  <c r="B542" i="104" s="1"/>
  <c r="AQ541" i="104"/>
  <c r="BF541" i="104" s="1"/>
  <c r="N541" i="104"/>
  <c r="C541" i="104"/>
  <c r="B541" i="104" a="1"/>
  <c r="B541" i="104" s="1"/>
  <c r="AU540" i="104"/>
  <c r="AQ540" i="104"/>
  <c r="BA540" i="104"/>
  <c r="BE540" i="104" s="1"/>
  <c r="N540" i="104"/>
  <c r="C540" i="104"/>
  <c r="B540" i="104" a="1"/>
  <c r="B540" i="104" s="1"/>
  <c r="AQ539" i="104"/>
  <c r="N539" i="104"/>
  <c r="C539" i="104"/>
  <c r="B539" i="104" a="1"/>
  <c r="B539" i="104" s="1"/>
  <c r="AQ538" i="104"/>
  <c r="N538" i="104"/>
  <c r="C538" i="104"/>
  <c r="B538" i="104" a="1"/>
  <c r="B538" i="104" s="1"/>
  <c r="BA537" i="104"/>
  <c r="BE537" i="104" s="1"/>
  <c r="AT537" i="104"/>
  <c r="AS537" i="104"/>
  <c r="AQ537" i="104"/>
  <c r="AP537" i="104"/>
  <c r="N537" i="104"/>
  <c r="C537" i="104"/>
  <c r="B537" i="104" a="1"/>
  <c r="B537" i="104" s="1"/>
  <c r="AQ536" i="104"/>
  <c r="N536" i="104"/>
  <c r="C536" i="104"/>
  <c r="B536" i="104" a="1"/>
  <c r="B536" i="104" s="1"/>
  <c r="BF535" i="104"/>
  <c r="BB535" i="104"/>
  <c r="AV535" i="104"/>
  <c r="AU535" i="104"/>
  <c r="AT535" i="104"/>
  <c r="AQ535" i="104"/>
  <c r="BC535" i="104" s="1" a="1"/>
  <c r="BC535" i="104" s="1"/>
  <c r="AN535" i="104"/>
  <c r="N535" i="104"/>
  <c r="C535" i="104"/>
  <c r="B535" i="104" a="1"/>
  <c r="B535" i="104" s="1"/>
  <c r="AQ534" i="104"/>
  <c r="N534" i="104"/>
  <c r="C534" i="104"/>
  <c r="B534" i="104" a="1"/>
  <c r="B534" i="104" s="1"/>
  <c r="AQ533" i="104"/>
  <c r="N533" i="104"/>
  <c r="C533" i="104"/>
  <c r="B533" i="104" a="1"/>
  <c r="B533" i="104" s="1"/>
  <c r="AQ532" i="104"/>
  <c r="BF532" i="104" s="1"/>
  <c r="AX532" i="104"/>
  <c r="N532" i="104"/>
  <c r="C532" i="104"/>
  <c r="B532" i="104" a="1"/>
  <c r="B532" i="104" s="1"/>
  <c r="AQ531" i="104"/>
  <c r="BF531" i="104" s="1"/>
  <c r="AP531" i="104"/>
  <c r="AO531" i="104"/>
  <c r="AM531" i="104"/>
  <c r="N531" i="104"/>
  <c r="C531" i="104"/>
  <c r="B531" i="104" a="1"/>
  <c r="B531" i="104" s="1"/>
  <c r="AQ530" i="104"/>
  <c r="BF530" i="104" s="1"/>
  <c r="N530" i="104"/>
  <c r="C530" i="104"/>
  <c r="B530" i="104"/>
  <c r="B530" i="104" a="1"/>
  <c r="AQ529" i="104"/>
  <c r="AN529" i="104"/>
  <c r="AM529" i="104"/>
  <c r="N529" i="104"/>
  <c r="C529" i="104"/>
  <c r="B529" i="104" a="1"/>
  <c r="B529" i="104" s="1"/>
  <c r="AQ528" i="104"/>
  <c r="BC528" i="104" s="1" a="1"/>
  <c r="BC528" i="104" s="1"/>
  <c r="N528" i="104"/>
  <c r="C528" i="104"/>
  <c r="B528" i="104" a="1"/>
  <c r="B528" i="104" s="1"/>
  <c r="AQ527" i="104"/>
  <c r="N527" i="104"/>
  <c r="C527" i="104"/>
  <c r="B527" i="104" a="1"/>
  <c r="B527" i="104" s="1"/>
  <c r="BF526" i="104"/>
  <c r="BB526" i="104"/>
  <c r="BA526" i="104"/>
  <c r="BE526" i="104" s="1"/>
  <c r="AW526" i="104"/>
  <c r="AQ526" i="104"/>
  <c r="BC526" i="104" s="1" a="1"/>
  <c r="BC526" i="104" s="1"/>
  <c r="AU526" i="104"/>
  <c r="N526" i="104"/>
  <c r="C526" i="104"/>
  <c r="B526" i="104" a="1"/>
  <c r="B526" i="104" s="1"/>
  <c r="AQ525" i="104"/>
  <c r="BF525" i="104" s="1"/>
  <c r="AT525" i="104"/>
  <c r="N525" i="104"/>
  <c r="C525" i="104"/>
  <c r="B525" i="104" a="1"/>
  <c r="B525" i="104" s="1"/>
  <c r="BC524" i="104" a="1"/>
  <c r="BC524" i="104" s="1"/>
  <c r="AU524" i="104"/>
  <c r="AT524" i="104"/>
  <c r="AQ524" i="104"/>
  <c r="BF524" i="104" s="1"/>
  <c r="AO524" i="104"/>
  <c r="N524" i="104"/>
  <c r="C524" i="104"/>
  <c r="B524" i="104" a="1"/>
  <c r="B524" i="104" s="1"/>
  <c r="AQ523" i="104"/>
  <c r="AO523" i="104"/>
  <c r="N523" i="104"/>
  <c r="C523" i="104"/>
  <c r="B523" i="104" a="1"/>
  <c r="B523" i="104" s="1"/>
  <c r="BC522" i="104" a="1"/>
  <c r="BC522" i="104" s="1"/>
  <c r="AQ522" i="104"/>
  <c r="BF522" i="104" s="1"/>
  <c r="N522" i="104"/>
  <c r="C522" i="104"/>
  <c r="B522" i="104" a="1"/>
  <c r="B522" i="104" s="1"/>
  <c r="AQ521" i="104"/>
  <c r="N521" i="104"/>
  <c r="C521" i="104"/>
  <c r="B521" i="104" a="1"/>
  <c r="B521" i="104" s="1"/>
  <c r="AQ520" i="104"/>
  <c r="BC520" i="104" s="1" a="1"/>
  <c r="BC520" i="104" s="1"/>
  <c r="AX520" i="104"/>
  <c r="N520" i="104"/>
  <c r="C520" i="104"/>
  <c r="B520" i="104" a="1"/>
  <c r="B520" i="104" s="1"/>
  <c r="BF519" i="104"/>
  <c r="BC519" i="104" a="1"/>
  <c r="BC519" i="104" s="1"/>
  <c r="AX519" i="104"/>
  <c r="AQ519" i="104"/>
  <c r="BB519" i="104"/>
  <c r="N519" i="104"/>
  <c r="C519" i="104"/>
  <c r="B519" i="104"/>
  <c r="B519" i="104" a="1"/>
  <c r="BB518" i="104"/>
  <c r="AQ518" i="104"/>
  <c r="N518" i="104"/>
  <c r="C518" i="104"/>
  <c r="B518" i="104" a="1"/>
  <c r="B518" i="104" s="1"/>
  <c r="AQ517" i="104"/>
  <c r="BB517" i="104"/>
  <c r="N517" i="104"/>
  <c r="C517" i="104"/>
  <c r="B517" i="104" a="1"/>
  <c r="B517" i="104" s="1"/>
  <c r="AQ516" i="104"/>
  <c r="AN516" i="104"/>
  <c r="AM516" i="104"/>
  <c r="N516" i="104"/>
  <c r="C516" i="104"/>
  <c r="B516" i="104"/>
  <c r="B516" i="104" a="1"/>
  <c r="AQ515" i="104"/>
  <c r="AN515" i="104"/>
  <c r="N515" i="104"/>
  <c r="C515" i="104"/>
  <c r="B515" i="104"/>
  <c r="B515" i="104" a="1"/>
  <c r="AQ514" i="104"/>
  <c r="N514" i="104"/>
  <c r="C514" i="104"/>
  <c r="B514" i="104" a="1"/>
  <c r="B514" i="104" s="1"/>
  <c r="BF513" i="104"/>
  <c r="BC513" i="104"/>
  <c r="AQ513" i="104"/>
  <c r="BC513" i="104" s="1" a="1"/>
  <c r="BB513" i="104"/>
  <c r="N513" i="104"/>
  <c r="C513" i="104"/>
  <c r="B513" i="104" a="1"/>
  <c r="B513" i="104" s="1"/>
  <c r="AQ512" i="104"/>
  <c r="N512" i="104"/>
  <c r="C512" i="104"/>
  <c r="B512" i="104" a="1"/>
  <c r="B512" i="104" s="1"/>
  <c r="BC511" i="104" a="1"/>
  <c r="BC511" i="104" s="1"/>
  <c r="BB511" i="104"/>
  <c r="BA511" i="104"/>
  <c r="BE511" i="104" s="1"/>
  <c r="AQ511" i="104"/>
  <c r="BF511" i="104" s="1"/>
  <c r="AS511" i="104"/>
  <c r="N511" i="104"/>
  <c r="C511" i="104"/>
  <c r="B511" i="104" a="1"/>
  <c r="B511" i="104" s="1"/>
  <c r="AQ510" i="104"/>
  <c r="N510" i="104"/>
  <c r="C510" i="104"/>
  <c r="B510" i="104" a="1"/>
  <c r="B510" i="104" s="1"/>
  <c r="AU509" i="104"/>
  <c r="AT509" i="104"/>
  <c r="AS509" i="104"/>
  <c r="AQ509" i="104"/>
  <c r="N509" i="104"/>
  <c r="C509" i="104"/>
  <c r="B509" i="104" a="1"/>
  <c r="B509" i="104" s="1"/>
  <c r="AQ508" i="104"/>
  <c r="N508" i="104"/>
  <c r="C508" i="104"/>
  <c r="B508" i="104" a="1"/>
  <c r="B508" i="104" s="1"/>
  <c r="BA507" i="104"/>
  <c r="BE507" i="104" s="1"/>
  <c r="AW507" i="104"/>
  <c r="AQ507" i="104"/>
  <c r="BF507" i="104" s="1"/>
  <c r="N507" i="104"/>
  <c r="C507" i="104"/>
  <c r="B507" i="104" a="1"/>
  <c r="B507" i="104" s="1"/>
  <c r="AQ506" i="104"/>
  <c r="BF506" i="104" s="1"/>
  <c r="N506" i="104"/>
  <c r="C506" i="104"/>
  <c r="B506" i="104" a="1"/>
  <c r="B506" i="104" s="1"/>
  <c r="BA505" i="104"/>
  <c r="BE505" i="104" s="1"/>
  <c r="AQ505" i="104"/>
  <c r="AP505" i="104"/>
  <c r="N505" i="104"/>
  <c r="C505" i="104"/>
  <c r="B505" i="104" a="1"/>
  <c r="B505" i="104" s="1"/>
  <c r="BK504" i="104"/>
  <c r="BF504" i="104"/>
  <c r="BC504" i="104" a="1"/>
  <c r="BC504" i="104" s="1"/>
  <c r="AS504" i="104"/>
  <c r="AQ504" i="104"/>
  <c r="AX504" i="104"/>
  <c r="N504" i="104"/>
  <c r="C504" i="104"/>
  <c r="B504" i="104" a="1"/>
  <c r="B504" i="104" s="1"/>
  <c r="AQ503" i="104"/>
  <c r="N503" i="104"/>
  <c r="C503" i="104"/>
  <c r="B503" i="104"/>
  <c r="B503" i="104" a="1"/>
  <c r="AQ502" i="104"/>
  <c r="BF502" i="104" s="1"/>
  <c r="BK502" i="104"/>
  <c r="N502" i="104"/>
  <c r="C502" i="104"/>
  <c r="B502" i="104" a="1"/>
  <c r="B502" i="104" s="1"/>
  <c r="AQ501" i="104"/>
  <c r="N501" i="104"/>
  <c r="C501" i="104"/>
  <c r="B501" i="104" a="1"/>
  <c r="B501" i="104" s="1"/>
  <c r="BB500" i="104"/>
  <c r="BA500" i="104"/>
  <c r="BE500" i="104" s="1"/>
  <c r="AT500" i="104"/>
  <c r="AQ500" i="104"/>
  <c r="AM500" i="104"/>
  <c r="N500" i="104"/>
  <c r="C500" i="104"/>
  <c r="B500" i="104" a="1"/>
  <c r="B500" i="104" s="1"/>
  <c r="AQ499" i="104"/>
  <c r="N499" i="104"/>
  <c r="C499" i="104"/>
  <c r="B499" i="104" a="1"/>
  <c r="B499" i="104" s="1"/>
  <c r="AQ498" i="104"/>
  <c r="N498" i="104"/>
  <c r="C498" i="104"/>
  <c r="B498" i="104" a="1"/>
  <c r="B498" i="104" s="1"/>
  <c r="AQ497" i="104"/>
  <c r="BF497" i="104" s="1"/>
  <c r="N497" i="104"/>
  <c r="C497" i="104"/>
  <c r="B497" i="104" a="1"/>
  <c r="B497" i="104" s="1"/>
  <c r="AQ496" i="104"/>
  <c r="BC496" i="104" s="1" a="1"/>
  <c r="BC496" i="104" s="1"/>
  <c r="N496" i="104"/>
  <c r="C496" i="104"/>
  <c r="B496" i="104" a="1"/>
  <c r="B496" i="104" s="1"/>
  <c r="AQ495" i="104"/>
  <c r="BF495" i="104" s="1"/>
  <c r="BB495" i="104"/>
  <c r="N495" i="104"/>
  <c r="C495" i="104"/>
  <c r="B495" i="104" a="1"/>
  <c r="B495" i="104" s="1"/>
  <c r="BB494" i="104"/>
  <c r="BA494" i="104"/>
  <c r="BE494" i="104" s="1"/>
  <c r="AU494" i="104"/>
  <c r="AT494" i="104"/>
  <c r="AS494" i="104"/>
  <c r="AQ494" i="104"/>
  <c r="AO494" i="104"/>
  <c r="AN494" i="104"/>
  <c r="AM494" i="104"/>
  <c r="N494" i="104"/>
  <c r="C494" i="104"/>
  <c r="B494" i="104" a="1"/>
  <c r="B494" i="104" s="1"/>
  <c r="AQ493" i="104"/>
  <c r="N493" i="104"/>
  <c r="C493" i="104"/>
  <c r="B493" i="104" a="1"/>
  <c r="B493" i="104" s="1"/>
  <c r="AQ492" i="104"/>
  <c r="AP492" i="104"/>
  <c r="N492" i="104"/>
  <c r="C492" i="104"/>
  <c r="B492" i="104" a="1"/>
  <c r="B492" i="104" s="1"/>
  <c r="AQ491" i="104"/>
  <c r="N491" i="104"/>
  <c r="C491" i="104"/>
  <c r="B491" i="104" a="1"/>
  <c r="B491" i="104" s="1"/>
  <c r="AQ490" i="104"/>
  <c r="N490" i="104"/>
  <c r="C490" i="104"/>
  <c r="B490" i="104" a="1"/>
  <c r="B490" i="104" s="1"/>
  <c r="AQ489" i="104"/>
  <c r="BC489" i="104" s="1" a="1"/>
  <c r="BC489" i="104" s="1"/>
  <c r="AP489" i="104"/>
  <c r="N489" i="104"/>
  <c r="C489" i="104"/>
  <c r="B489" i="104" a="1"/>
  <c r="B489" i="104" s="1"/>
  <c r="AQ488" i="104"/>
  <c r="AX488" i="104"/>
  <c r="N488" i="104"/>
  <c r="C488" i="104"/>
  <c r="B488" i="104" a="1"/>
  <c r="B488" i="104" s="1"/>
  <c r="AQ487" i="104"/>
  <c r="AN487" i="104"/>
  <c r="N487" i="104"/>
  <c r="C487" i="104"/>
  <c r="B487" i="104" a="1"/>
  <c r="B487" i="104" s="1"/>
  <c r="AQ486" i="104"/>
  <c r="AW486" i="104"/>
  <c r="N486" i="104"/>
  <c r="C486" i="104"/>
  <c r="B486" i="104" a="1"/>
  <c r="B486" i="104" s="1"/>
  <c r="BK485" i="104"/>
  <c r="AQ485" i="104"/>
  <c r="N485" i="104"/>
  <c r="C485" i="104"/>
  <c r="B485" i="104" a="1"/>
  <c r="B485" i="104" s="1"/>
  <c r="AQ484" i="104"/>
  <c r="AX484" i="104"/>
  <c r="N484" i="104"/>
  <c r="C484" i="104"/>
  <c r="B484" i="104" a="1"/>
  <c r="B484" i="104" s="1"/>
  <c r="BK483" i="104"/>
  <c r="BF483" i="104"/>
  <c r="AQ483" i="104"/>
  <c r="BC483" i="104" s="1" a="1"/>
  <c r="BC483" i="104" s="1"/>
  <c r="AM483" i="104"/>
  <c r="N483" i="104"/>
  <c r="C483" i="104"/>
  <c r="B483" i="104"/>
  <c r="B483" i="104" a="1"/>
  <c r="BK482" i="104"/>
  <c r="AV482" i="104"/>
  <c r="AQ482" i="104"/>
  <c r="AO482" i="104"/>
  <c r="AN482" i="104"/>
  <c r="N482" i="104"/>
  <c r="C482" i="104"/>
  <c r="B482" i="104" a="1"/>
  <c r="B482" i="104" s="1"/>
  <c r="BA481" i="104"/>
  <c r="BE481" i="104" s="1"/>
  <c r="AX481" i="104"/>
  <c r="AQ481" i="104"/>
  <c r="AN481" i="104"/>
  <c r="AO481" i="104"/>
  <c r="N481" i="104"/>
  <c r="C481" i="104"/>
  <c r="B481" i="104"/>
  <c r="B481" i="104" a="1"/>
  <c r="AQ480" i="104"/>
  <c r="AS480" i="104"/>
  <c r="N480" i="104"/>
  <c r="C480" i="104"/>
  <c r="B480" i="104"/>
  <c r="B480" i="104" a="1"/>
  <c r="AU479" i="104"/>
  <c r="AQ479" i="104"/>
  <c r="BC479" i="104" s="1" a="1"/>
  <c r="BC479" i="104" s="1"/>
  <c r="N479" i="104"/>
  <c r="C479" i="104"/>
  <c r="B479" i="104" a="1"/>
  <c r="B479" i="104" s="1"/>
  <c r="BB478" i="104"/>
  <c r="BA478" i="104"/>
  <c r="BE478" i="104" s="1"/>
  <c r="AX478" i="104"/>
  <c r="AV478" i="104"/>
  <c r="AQ478" i="104"/>
  <c r="AM478" i="104"/>
  <c r="N478" i="104"/>
  <c r="C478" i="104"/>
  <c r="B478" i="104" a="1"/>
  <c r="B478" i="104" s="1"/>
  <c r="BC477" i="104" a="1"/>
  <c r="BC477" i="104" s="1"/>
  <c r="AQ477" i="104"/>
  <c r="BF477" i="104" s="1"/>
  <c r="N477" i="104"/>
  <c r="C477" i="104"/>
  <c r="B477" i="104" a="1"/>
  <c r="B477" i="104" s="1"/>
  <c r="BB476" i="104"/>
  <c r="AV476" i="104"/>
  <c r="AT476" i="104"/>
  <c r="AQ476" i="104"/>
  <c r="N476" i="104"/>
  <c r="C476" i="104"/>
  <c r="B476" i="104" a="1"/>
  <c r="B476" i="104" s="1"/>
  <c r="BK475" i="104"/>
  <c r="AW475" i="104"/>
  <c r="AQ475" i="104"/>
  <c r="N475" i="104"/>
  <c r="C475" i="104"/>
  <c r="B475" i="104" a="1"/>
  <c r="B475" i="104" s="1"/>
  <c r="BC474" i="104" a="1"/>
  <c r="BC474" i="104" s="1"/>
  <c r="AX474" i="104"/>
  <c r="AW474" i="104"/>
  <c r="AU474" i="104"/>
  <c r="AT474" i="104"/>
  <c r="AQ474" i="104"/>
  <c r="BF474" i="104" s="1"/>
  <c r="AP474" i="104"/>
  <c r="AN474" i="104"/>
  <c r="AM474" i="104"/>
  <c r="N474" i="104"/>
  <c r="C474" i="104"/>
  <c r="B474" i="104" a="1"/>
  <c r="B474" i="104" s="1"/>
  <c r="BF473" i="104"/>
  <c r="AQ473" i="104"/>
  <c r="BC473" i="104" s="1" a="1"/>
  <c r="BC473" i="104" s="1"/>
  <c r="N473" i="104"/>
  <c r="C473" i="104"/>
  <c r="B473" i="104" a="1"/>
  <c r="B473" i="104" s="1"/>
  <c r="BK472" i="104"/>
  <c r="BF472" i="104"/>
  <c r="BC472" i="104" a="1"/>
  <c r="BC472" i="104" s="1"/>
  <c r="BB472" i="104"/>
  <c r="AU472" i="104"/>
  <c r="AT472" i="104"/>
  <c r="AQ472" i="104"/>
  <c r="AO472" i="104"/>
  <c r="N472" i="104"/>
  <c r="C472" i="104"/>
  <c r="B472" i="104" a="1"/>
  <c r="B472" i="104" s="1"/>
  <c r="BK471" i="104"/>
  <c r="AQ471" i="104"/>
  <c r="BF471" i="104" s="1"/>
  <c r="N471" i="104"/>
  <c r="C471" i="104"/>
  <c r="B471" i="104" a="1"/>
  <c r="B471" i="104" s="1"/>
  <c r="AQ470" i="104"/>
  <c r="BB470" i="104"/>
  <c r="N470" i="104"/>
  <c r="C470" i="104"/>
  <c r="B470" i="104"/>
  <c r="B470" i="104" a="1"/>
  <c r="AQ469" i="104"/>
  <c r="N469" i="104"/>
  <c r="C469" i="104"/>
  <c r="B469" i="104" a="1"/>
  <c r="B469" i="104" s="1"/>
  <c r="AQ468" i="104"/>
  <c r="BF468" i="104" s="1"/>
  <c r="N468" i="104"/>
  <c r="C468" i="104"/>
  <c r="B468" i="104" a="1"/>
  <c r="B468" i="104" s="1"/>
  <c r="AQ467" i="104"/>
  <c r="BC467" i="104" s="1" a="1"/>
  <c r="BC467" i="104" s="1"/>
  <c r="N467" i="104"/>
  <c r="C467" i="104"/>
  <c r="B467" i="104" a="1"/>
  <c r="B467" i="104" s="1"/>
  <c r="BK466" i="104"/>
  <c r="BB466" i="104"/>
  <c r="BA466" i="104"/>
  <c r="BE466" i="104" s="1"/>
  <c r="AW466" i="104"/>
  <c r="AV466" i="104"/>
  <c r="AU466" i="104"/>
  <c r="AT466" i="104"/>
  <c r="AS466" i="104"/>
  <c r="AQ466" i="104"/>
  <c r="AP466" i="104"/>
  <c r="AO466" i="104"/>
  <c r="AN466" i="104"/>
  <c r="N466" i="104"/>
  <c r="C466" i="104"/>
  <c r="B466" i="104" a="1"/>
  <c r="B466" i="104" s="1"/>
  <c r="BA465" i="104"/>
  <c r="BE465" i="104" s="1"/>
  <c r="AX465" i="104"/>
  <c r="AW465" i="104"/>
  <c r="AV465" i="104"/>
  <c r="AU465" i="104"/>
  <c r="AQ465" i="104"/>
  <c r="AT465" i="104"/>
  <c r="N465" i="104"/>
  <c r="C465" i="104"/>
  <c r="B465" i="104" a="1"/>
  <c r="B465" i="104" s="1"/>
  <c r="AQ464" i="104"/>
  <c r="AW464" i="104"/>
  <c r="N464" i="104"/>
  <c r="C464" i="104"/>
  <c r="B464" i="104" a="1"/>
  <c r="B464" i="104" s="1"/>
  <c r="BK463" i="104"/>
  <c r="BA463" i="104"/>
  <c r="BE463" i="104" s="1"/>
  <c r="AV463" i="104"/>
  <c r="AQ463" i="104"/>
  <c r="N463" i="104"/>
  <c r="C463" i="104"/>
  <c r="B463" i="104" a="1"/>
  <c r="B463" i="104" s="1"/>
  <c r="AQ462" i="104"/>
  <c r="BF462" i="104" s="1"/>
  <c r="N462" i="104"/>
  <c r="C462" i="104"/>
  <c r="B462" i="104" a="1"/>
  <c r="B462" i="104" s="1"/>
  <c r="BB461" i="104"/>
  <c r="AQ461" i="104"/>
  <c r="N461" i="104"/>
  <c r="C461" i="104"/>
  <c r="B461" i="104" a="1"/>
  <c r="B461" i="104" s="1"/>
  <c r="AQ460" i="104"/>
  <c r="BF460" i="104" s="1"/>
  <c r="N460" i="104"/>
  <c r="C460" i="104"/>
  <c r="B460" i="104" a="1"/>
  <c r="B460" i="104" s="1"/>
  <c r="BB459" i="104"/>
  <c r="AQ459" i="104"/>
  <c r="AU459" i="104"/>
  <c r="N459" i="104"/>
  <c r="C459" i="104"/>
  <c r="B459" i="104" a="1"/>
  <c r="B459" i="104" s="1"/>
  <c r="BB458" i="104"/>
  <c r="AX458" i="104"/>
  <c r="AW458" i="104"/>
  <c r="AV458" i="104"/>
  <c r="AU458" i="104"/>
  <c r="AT458" i="104"/>
  <c r="AQ458" i="104"/>
  <c r="AP458" i="104"/>
  <c r="AM458" i="104"/>
  <c r="AN458" i="104"/>
  <c r="N458" i="104"/>
  <c r="C458" i="104"/>
  <c r="B458" i="104" a="1"/>
  <c r="B458" i="104" s="1"/>
  <c r="AQ457" i="104"/>
  <c r="BC457" i="104" s="1" a="1"/>
  <c r="BC457" i="104" s="1"/>
  <c r="N457" i="104"/>
  <c r="C457" i="104"/>
  <c r="B457" i="104" a="1"/>
  <c r="B457" i="104" s="1"/>
  <c r="AQ456" i="104"/>
  <c r="BK456" i="104"/>
  <c r="N456" i="104"/>
  <c r="C456" i="104"/>
  <c r="B456" i="104" a="1"/>
  <c r="B456" i="104" s="1"/>
  <c r="AW455" i="104"/>
  <c r="AV455" i="104"/>
  <c r="AU455" i="104"/>
  <c r="AS455" i="104"/>
  <c r="AQ455" i="104"/>
  <c r="AO455" i="104"/>
  <c r="AN455" i="104"/>
  <c r="N455" i="104"/>
  <c r="C455" i="104"/>
  <c r="B455" i="104"/>
  <c r="B455" i="104" a="1"/>
  <c r="AQ454" i="104"/>
  <c r="N454" i="104"/>
  <c r="C454" i="104"/>
  <c r="B454" i="104" a="1"/>
  <c r="B454" i="104" s="1"/>
  <c r="AV453" i="104"/>
  <c r="AU453" i="104"/>
  <c r="AQ453" i="104"/>
  <c r="AO453" i="104"/>
  <c r="N453" i="104"/>
  <c r="C453" i="104"/>
  <c r="B453" i="104" a="1"/>
  <c r="B453" i="104" s="1"/>
  <c r="AQ452" i="104"/>
  <c r="BB452" i="104"/>
  <c r="N452" i="104"/>
  <c r="C452" i="104"/>
  <c r="B452" i="104" a="1"/>
  <c r="B452" i="104" s="1"/>
  <c r="BK451" i="104"/>
  <c r="BC451" i="104" a="1"/>
  <c r="BC451" i="104" s="1"/>
  <c r="BB451" i="104"/>
  <c r="BA451" i="104"/>
  <c r="BE451" i="104" s="1"/>
  <c r="AW451" i="104"/>
  <c r="AV451" i="104"/>
  <c r="AT451" i="104"/>
  <c r="AQ451" i="104"/>
  <c r="BF451" i="104" s="1"/>
  <c r="AO451" i="104"/>
  <c r="AS451" i="104"/>
  <c r="N451" i="104"/>
  <c r="C451" i="104"/>
  <c r="B451" i="104" a="1"/>
  <c r="B451" i="104" s="1"/>
  <c r="AQ450" i="104"/>
  <c r="BA450" i="104"/>
  <c r="BE450" i="104" s="1"/>
  <c r="N450" i="104"/>
  <c r="C450" i="104"/>
  <c r="B450" i="104"/>
  <c r="B450" i="104" a="1"/>
  <c r="AQ449" i="104"/>
  <c r="BC449" i="104" s="1" a="1"/>
  <c r="BC449" i="104" s="1"/>
  <c r="N449" i="104"/>
  <c r="C449" i="104"/>
  <c r="B449" i="104" a="1"/>
  <c r="B449" i="104" s="1"/>
  <c r="BF448" i="104"/>
  <c r="AQ448" i="104"/>
  <c r="BC448" i="104" s="1" a="1"/>
  <c r="BC448" i="104" s="1"/>
  <c r="N448" i="104"/>
  <c r="C448" i="104"/>
  <c r="B448" i="104" a="1"/>
  <c r="B448" i="104" s="1"/>
  <c r="BK447" i="104"/>
  <c r="BB447" i="104"/>
  <c r="BA447" i="104"/>
  <c r="BE447" i="104" s="1"/>
  <c r="AV447" i="104"/>
  <c r="AU447" i="104"/>
  <c r="AS447" i="104"/>
  <c r="AQ447" i="104"/>
  <c r="N447" i="104"/>
  <c r="C447" i="104"/>
  <c r="B447" i="104" a="1"/>
  <c r="B447" i="104" s="1"/>
  <c r="AQ446" i="104"/>
  <c r="BC446" i="104" s="1" a="1"/>
  <c r="BC446" i="104" s="1"/>
  <c r="AS446" i="104"/>
  <c r="N446" i="104"/>
  <c r="C446" i="104"/>
  <c r="B446" i="104" a="1"/>
  <c r="B446" i="104" s="1"/>
  <c r="AQ445" i="104"/>
  <c r="AT445" i="104"/>
  <c r="N445" i="104"/>
  <c r="C445" i="104"/>
  <c r="B445" i="104" a="1"/>
  <c r="B445" i="104" s="1"/>
  <c r="AQ444" i="104"/>
  <c r="BB444" i="104"/>
  <c r="N444" i="104"/>
  <c r="C444" i="104"/>
  <c r="B444" i="104" a="1"/>
  <c r="B444" i="104" s="1"/>
  <c r="AQ443" i="104"/>
  <c r="BF443" i="104" s="1"/>
  <c r="N443" i="104"/>
  <c r="C443" i="104"/>
  <c r="B443" i="104" a="1"/>
  <c r="B443" i="104" s="1"/>
  <c r="BF442" i="104"/>
  <c r="BC442" i="104" a="1"/>
  <c r="BC442" i="104" s="1"/>
  <c r="AQ442" i="104"/>
  <c r="N442" i="104"/>
  <c r="C442" i="104"/>
  <c r="B442" i="104"/>
  <c r="B442" i="104" a="1"/>
  <c r="AQ441" i="104"/>
  <c r="N441" i="104"/>
  <c r="C441" i="104"/>
  <c r="B441" i="104" a="1"/>
  <c r="B441" i="104" s="1"/>
  <c r="AQ440" i="104"/>
  <c r="N440" i="104"/>
  <c r="C440" i="104"/>
  <c r="B440" i="104" a="1"/>
  <c r="B440" i="104" s="1"/>
  <c r="AQ439" i="104"/>
  <c r="AW439" i="104"/>
  <c r="N439" i="104"/>
  <c r="C439" i="104"/>
  <c r="B439" i="104" a="1"/>
  <c r="B439" i="104" s="1"/>
  <c r="AQ438" i="104"/>
  <c r="N438" i="104"/>
  <c r="C438" i="104"/>
  <c r="B438" i="104" a="1"/>
  <c r="B438" i="104" s="1"/>
  <c r="AX437" i="104"/>
  <c r="AU437" i="104"/>
  <c r="AS437" i="104"/>
  <c r="AQ437" i="104"/>
  <c r="AM437" i="104"/>
  <c r="N437" i="104"/>
  <c r="C437" i="104"/>
  <c r="B437" i="104" a="1"/>
  <c r="B437" i="104" s="1"/>
  <c r="AQ436" i="104"/>
  <c r="BK436" i="104"/>
  <c r="N436" i="104"/>
  <c r="C436" i="104"/>
  <c r="B436" i="104"/>
  <c r="B436" i="104" a="1"/>
  <c r="BC435" i="104" a="1"/>
  <c r="BC435" i="104" s="1"/>
  <c r="AQ435" i="104"/>
  <c r="BF435" i="104" s="1"/>
  <c r="N435" i="104"/>
  <c r="C435" i="104"/>
  <c r="B435" i="104" a="1"/>
  <c r="B435" i="104" s="1"/>
  <c r="BC434" i="104" a="1"/>
  <c r="BC434" i="104" s="1"/>
  <c r="BB434" i="104"/>
  <c r="AX434" i="104"/>
  <c r="AU434" i="104"/>
  <c r="AQ434" i="104"/>
  <c r="BF434" i="104" s="1"/>
  <c r="AN434" i="104"/>
  <c r="N434" i="104"/>
  <c r="C434" i="104"/>
  <c r="B434" i="104" a="1"/>
  <c r="B434" i="104" s="1"/>
  <c r="AQ433" i="104"/>
  <c r="N433" i="104"/>
  <c r="C433" i="104"/>
  <c r="B433" i="104" a="1"/>
  <c r="B433" i="104" s="1"/>
  <c r="BC432" i="104" a="1"/>
  <c r="BC432" i="104" s="1"/>
  <c r="BB432" i="104"/>
  <c r="AX432" i="104"/>
  <c r="AQ432" i="104"/>
  <c r="BF432" i="104" s="1"/>
  <c r="N432" i="104"/>
  <c r="C432" i="104"/>
  <c r="B432" i="104" a="1"/>
  <c r="B432" i="104" s="1"/>
  <c r="AT431" i="104"/>
  <c r="AQ431" i="104"/>
  <c r="N431" i="104"/>
  <c r="C431" i="104"/>
  <c r="B431" i="104" a="1"/>
  <c r="B431" i="104" s="1"/>
  <c r="BK430" i="104"/>
  <c r="AQ430" i="104"/>
  <c r="BB430" i="104"/>
  <c r="N430" i="104"/>
  <c r="C430" i="104"/>
  <c r="B430" i="104" a="1"/>
  <c r="B430" i="104" s="1"/>
  <c r="AQ429" i="104"/>
  <c r="N429" i="104"/>
  <c r="C429" i="104"/>
  <c r="B429" i="104" a="1"/>
  <c r="B429" i="104" s="1"/>
  <c r="AQ428" i="104"/>
  <c r="N428" i="104"/>
  <c r="C428" i="104"/>
  <c r="B428" i="104" a="1"/>
  <c r="B428" i="104" s="1"/>
  <c r="BF427" i="104"/>
  <c r="AQ427" i="104"/>
  <c r="BC427" i="104" s="1" a="1"/>
  <c r="BC427" i="104" s="1"/>
  <c r="N427" i="104"/>
  <c r="C427" i="104"/>
  <c r="B427" i="104" a="1"/>
  <c r="B427" i="104" s="1"/>
  <c r="AQ426" i="104"/>
  <c r="N426" i="104"/>
  <c r="C426" i="104"/>
  <c r="B426" i="104" a="1"/>
  <c r="B426" i="104" s="1"/>
  <c r="AV425" i="104"/>
  <c r="AT425" i="104"/>
  <c r="AS425" i="104"/>
  <c r="AQ425" i="104"/>
  <c r="AP425" i="104"/>
  <c r="AN425" i="104"/>
  <c r="AM425" i="104"/>
  <c r="N425" i="104"/>
  <c r="C425" i="104"/>
  <c r="B425" i="104" a="1"/>
  <c r="B425" i="104" s="1"/>
  <c r="AQ424" i="104"/>
  <c r="N424" i="104"/>
  <c r="C424" i="104"/>
  <c r="B424" i="104" a="1"/>
  <c r="B424" i="104" s="1"/>
  <c r="BF423" i="104"/>
  <c r="AQ423" i="104"/>
  <c r="BC423" i="104" s="1" a="1"/>
  <c r="BC423" i="104" s="1"/>
  <c r="N423" i="104"/>
  <c r="C423" i="104"/>
  <c r="B423" i="104" a="1"/>
  <c r="B423" i="104" s="1"/>
  <c r="BK422" i="104"/>
  <c r="BB422" i="104"/>
  <c r="BA422" i="104"/>
  <c r="BE422" i="104" s="1"/>
  <c r="AW422" i="104"/>
  <c r="AQ422" i="104"/>
  <c r="N422" i="104"/>
  <c r="C422" i="104"/>
  <c r="B422" i="104" a="1"/>
  <c r="B422" i="104" s="1"/>
  <c r="AQ421" i="104"/>
  <c r="BK421" i="104"/>
  <c r="N421" i="104"/>
  <c r="C421" i="104"/>
  <c r="B421" i="104" a="1"/>
  <c r="B421" i="104" s="1"/>
  <c r="AQ420" i="104"/>
  <c r="N420" i="104"/>
  <c r="C420" i="104"/>
  <c r="B420" i="104" a="1"/>
  <c r="B420" i="104" s="1"/>
  <c r="AQ419" i="104"/>
  <c r="N419" i="104"/>
  <c r="C419" i="104"/>
  <c r="B419" i="104"/>
  <c r="B419" i="104" a="1"/>
  <c r="BF418" i="104"/>
  <c r="BC418" i="104" a="1"/>
  <c r="BC418" i="104" s="1"/>
  <c r="AQ418" i="104"/>
  <c r="AN418" i="104"/>
  <c r="N418" i="104"/>
  <c r="C418" i="104"/>
  <c r="B418" i="104" a="1"/>
  <c r="B418" i="104" s="1"/>
  <c r="BB417" i="104"/>
  <c r="AS417" i="104"/>
  <c r="AQ417" i="104"/>
  <c r="AN417" i="104"/>
  <c r="AM417" i="104"/>
  <c r="N417" i="104"/>
  <c r="C417" i="104"/>
  <c r="B417" i="104" a="1"/>
  <c r="B417" i="104" s="1"/>
  <c r="AQ416" i="104"/>
  <c r="BK416" i="104"/>
  <c r="N416" i="104"/>
  <c r="C416" i="104"/>
  <c r="B416" i="104" a="1"/>
  <c r="B416" i="104" s="1"/>
  <c r="AQ415" i="104"/>
  <c r="AW415" i="104"/>
  <c r="N415" i="104"/>
  <c r="C415" i="104"/>
  <c r="B415" i="104" a="1"/>
  <c r="B415" i="104" s="1"/>
  <c r="BC414" i="104" a="1"/>
  <c r="BC414" i="104" s="1"/>
  <c r="AQ414" i="104"/>
  <c r="BF414" i="104" s="1"/>
  <c r="AU414" i="104"/>
  <c r="N414" i="104"/>
  <c r="C414" i="104"/>
  <c r="B414" i="104" a="1"/>
  <c r="B414" i="104" s="1"/>
  <c r="AQ413" i="104"/>
  <c r="BF413" i="104" s="1"/>
  <c r="AN413" i="104"/>
  <c r="N413" i="104"/>
  <c r="C413" i="104"/>
  <c r="B413" i="104" a="1"/>
  <c r="B413" i="104" s="1"/>
  <c r="AQ412" i="104"/>
  <c r="AP412" i="104"/>
  <c r="N412" i="104"/>
  <c r="C412" i="104"/>
  <c r="B412" i="104"/>
  <c r="B412" i="104" a="1"/>
  <c r="AQ411" i="104"/>
  <c r="BC411" i="104" s="1" a="1"/>
  <c r="BC411" i="104" s="1"/>
  <c r="AP411" i="104"/>
  <c r="N411" i="104"/>
  <c r="C411" i="104"/>
  <c r="B411" i="104" a="1"/>
  <c r="B411" i="104" s="1"/>
  <c r="AQ410" i="104"/>
  <c r="BK410" i="104"/>
  <c r="N410" i="104"/>
  <c r="C410" i="104"/>
  <c r="B410" i="104"/>
  <c r="B410" i="104" a="1"/>
  <c r="AQ409" i="104"/>
  <c r="AP409" i="104"/>
  <c r="N409" i="104"/>
  <c r="C409" i="104"/>
  <c r="B409" i="104" a="1"/>
  <c r="B409" i="104" s="1"/>
  <c r="BC408" i="104" a="1"/>
  <c r="BC408" i="104" s="1"/>
  <c r="BB408" i="104"/>
  <c r="BA408" i="104"/>
  <c r="BE408" i="104" s="1"/>
  <c r="AV408" i="104"/>
  <c r="AU408" i="104"/>
  <c r="AQ408" i="104"/>
  <c r="BF408" i="104" s="1"/>
  <c r="AP408" i="104"/>
  <c r="N408" i="104"/>
  <c r="C408" i="104"/>
  <c r="B408" i="104" a="1"/>
  <c r="B408" i="104" s="1"/>
  <c r="AQ407" i="104"/>
  <c r="AM407" i="104"/>
  <c r="N407" i="104"/>
  <c r="C407" i="104"/>
  <c r="B407" i="104" a="1"/>
  <c r="B407" i="104" s="1"/>
  <c r="BK406" i="104"/>
  <c r="AQ406" i="104"/>
  <c r="AO406" i="104"/>
  <c r="N406" i="104"/>
  <c r="C406" i="104"/>
  <c r="B406" i="104" a="1"/>
  <c r="B406" i="104" s="1"/>
  <c r="BK405" i="104"/>
  <c r="BB405" i="104"/>
  <c r="AU405" i="104"/>
  <c r="AQ405" i="104"/>
  <c r="AS405" i="104"/>
  <c r="N405" i="104"/>
  <c r="C405" i="104"/>
  <c r="B405" i="104"/>
  <c r="B405" i="104" a="1"/>
  <c r="BF404" i="104"/>
  <c r="BC404" i="104" a="1"/>
  <c r="BC404" i="104" s="1"/>
  <c r="AQ404" i="104"/>
  <c r="N404" i="104"/>
  <c r="C404" i="104"/>
  <c r="B404" i="104" a="1"/>
  <c r="B404" i="104" s="1"/>
  <c r="AQ403" i="104"/>
  <c r="BF403" i="104" s="1"/>
  <c r="N403" i="104"/>
  <c r="C403" i="104"/>
  <c r="B403" i="104" a="1"/>
  <c r="B403" i="104" s="1"/>
  <c r="AQ402" i="104"/>
  <c r="AP402" i="104"/>
  <c r="N402" i="104"/>
  <c r="C402" i="104"/>
  <c r="B402" i="104" a="1"/>
  <c r="B402" i="104" s="1"/>
  <c r="AX401" i="104"/>
  <c r="AW401" i="104"/>
  <c r="AQ401" i="104"/>
  <c r="AN401" i="104"/>
  <c r="N401" i="104"/>
  <c r="C401" i="104"/>
  <c r="B401" i="104" a="1"/>
  <c r="B401" i="104" s="1"/>
  <c r="AQ400" i="104"/>
  <c r="AP400" i="104"/>
  <c r="N400" i="104"/>
  <c r="C400" i="104"/>
  <c r="B400" i="104" a="1"/>
  <c r="B400" i="104" s="1"/>
  <c r="BK399" i="104"/>
  <c r="BB399" i="104"/>
  <c r="BA399" i="104"/>
  <c r="BE399" i="104" s="1"/>
  <c r="AX399" i="104"/>
  <c r="AU399" i="104"/>
  <c r="AQ399" i="104"/>
  <c r="AW399" i="104"/>
  <c r="N399" i="104"/>
  <c r="C399" i="104"/>
  <c r="B399" i="104" a="1"/>
  <c r="B399" i="104" s="1"/>
  <c r="AV398" i="104"/>
  <c r="AQ398" i="104"/>
  <c r="BF398" i="104" s="1"/>
  <c r="N398" i="104"/>
  <c r="C398" i="104"/>
  <c r="B398" i="104" a="1"/>
  <c r="B398" i="104" s="1"/>
  <c r="BA397" i="104"/>
  <c r="BE397" i="104" s="1"/>
  <c r="AX397" i="104"/>
  <c r="AQ397" i="104"/>
  <c r="N397" i="104"/>
  <c r="C397" i="104"/>
  <c r="B397" i="104" a="1"/>
  <c r="B397" i="104" s="1"/>
  <c r="AQ396" i="104"/>
  <c r="N396" i="104"/>
  <c r="C396" i="104"/>
  <c r="B396" i="104" a="1"/>
  <c r="B396" i="104" s="1"/>
  <c r="AQ395" i="104"/>
  <c r="AS395" i="104"/>
  <c r="N395" i="104"/>
  <c r="C395" i="104"/>
  <c r="B395" i="104" a="1"/>
  <c r="B395" i="104" s="1"/>
  <c r="AQ394" i="104"/>
  <c r="AM394" i="104"/>
  <c r="N394" i="104"/>
  <c r="C394" i="104"/>
  <c r="B394" i="104" a="1"/>
  <c r="B394" i="104" s="1"/>
  <c r="AQ393" i="104"/>
  <c r="BF393" i="104" s="1"/>
  <c r="N393" i="104"/>
  <c r="C393" i="104"/>
  <c r="B393" i="104" a="1"/>
  <c r="B393" i="104" s="1"/>
  <c r="BK392" i="104"/>
  <c r="BB392" i="104"/>
  <c r="BA392" i="104"/>
  <c r="BE392" i="104" s="1"/>
  <c r="AT392" i="104"/>
  <c r="AQ392" i="104"/>
  <c r="AP392" i="104"/>
  <c r="AO392" i="104"/>
  <c r="AN392" i="104"/>
  <c r="AM392" i="104"/>
  <c r="N392" i="104"/>
  <c r="C392" i="104"/>
  <c r="B392" i="104" a="1"/>
  <c r="B392" i="104" s="1"/>
  <c r="AQ391" i="104"/>
  <c r="N391" i="104"/>
  <c r="C391" i="104"/>
  <c r="B391" i="104"/>
  <c r="B391" i="104" a="1"/>
  <c r="BF390" i="104"/>
  <c r="AQ390" i="104"/>
  <c r="BC390" i="104" s="1" a="1"/>
  <c r="BC390" i="104" s="1"/>
  <c r="BB390" i="104"/>
  <c r="N390" i="104"/>
  <c r="C390" i="104"/>
  <c r="B390" i="104" a="1"/>
  <c r="B390" i="104" s="1"/>
  <c r="AQ389" i="104"/>
  <c r="BC389" i="104" s="1" a="1"/>
  <c r="BC389" i="104" s="1"/>
  <c r="N389" i="104"/>
  <c r="C389" i="104"/>
  <c r="B389" i="104"/>
  <c r="B389" i="104" a="1"/>
  <c r="AQ388" i="104"/>
  <c r="N388" i="104"/>
  <c r="C388" i="104"/>
  <c r="B388" i="104" a="1"/>
  <c r="B388" i="104" s="1"/>
  <c r="AQ387" i="104"/>
  <c r="N387" i="104"/>
  <c r="C387" i="104"/>
  <c r="B387" i="104" a="1"/>
  <c r="B387" i="104" s="1"/>
  <c r="AT386" i="104"/>
  <c r="AQ386" i="104"/>
  <c r="BB386" i="104"/>
  <c r="N386" i="104"/>
  <c r="C386" i="104"/>
  <c r="B386" i="104" a="1"/>
  <c r="B386" i="104" s="1"/>
  <c r="AQ385" i="104"/>
  <c r="N385" i="104"/>
  <c r="C385" i="104"/>
  <c r="B385" i="104" a="1"/>
  <c r="B385" i="104" s="1"/>
  <c r="AQ384" i="104"/>
  <c r="BC384" i="104" s="1" a="1"/>
  <c r="BC384" i="104" s="1"/>
  <c r="N384" i="104"/>
  <c r="C384" i="104"/>
  <c r="B384" i="104" a="1"/>
  <c r="B384" i="104" s="1"/>
  <c r="AQ383" i="104"/>
  <c r="N383" i="104"/>
  <c r="C383" i="104"/>
  <c r="B383" i="104" a="1"/>
  <c r="B383" i="104" s="1"/>
  <c r="AQ382" i="104"/>
  <c r="N382" i="104"/>
  <c r="C382" i="104"/>
  <c r="B382" i="104"/>
  <c r="B382" i="104" a="1"/>
  <c r="AQ381" i="104"/>
  <c r="BF381" i="104" s="1"/>
  <c r="AV381" i="104"/>
  <c r="N381" i="104"/>
  <c r="C381" i="104"/>
  <c r="B381" i="104" a="1"/>
  <c r="B381" i="104" s="1"/>
  <c r="AQ380" i="104"/>
  <c r="BC380" i="104" s="1" a="1"/>
  <c r="BC380" i="104" s="1"/>
  <c r="AW380" i="104"/>
  <c r="N380" i="104"/>
  <c r="C380" i="104"/>
  <c r="B380" i="104" a="1"/>
  <c r="B380" i="104" s="1"/>
  <c r="BC379" i="104" a="1"/>
  <c r="BC379" i="104" s="1"/>
  <c r="AQ379" i="104"/>
  <c r="BF379" i="104" s="1"/>
  <c r="AT379" i="104"/>
  <c r="N379" i="104"/>
  <c r="C379" i="104"/>
  <c r="B379" i="104" a="1"/>
  <c r="B379" i="104" s="1"/>
  <c r="BF378" i="104"/>
  <c r="BC378" i="104" a="1"/>
  <c r="BC378" i="104" s="1"/>
  <c r="AQ378" i="104"/>
  <c r="N378" i="104"/>
  <c r="C378" i="104"/>
  <c r="B378" i="104" a="1"/>
  <c r="B378" i="104" s="1"/>
  <c r="AQ377" i="104"/>
  <c r="N377" i="104"/>
  <c r="C377" i="104"/>
  <c r="B377" i="104" a="1"/>
  <c r="B377" i="104" s="1"/>
  <c r="AQ376" i="104"/>
  <c r="AO376" i="104"/>
  <c r="N376" i="104"/>
  <c r="C376" i="104"/>
  <c r="B376" i="104" a="1"/>
  <c r="B376" i="104" s="1"/>
  <c r="AQ375" i="104"/>
  <c r="N375" i="104"/>
  <c r="C375" i="104"/>
  <c r="B375" i="104" a="1"/>
  <c r="B375" i="104" s="1"/>
  <c r="BK374" i="104"/>
  <c r="AQ374" i="104"/>
  <c r="BB374" i="104"/>
  <c r="N374" i="104"/>
  <c r="C374" i="104"/>
  <c r="B374" i="104"/>
  <c r="B374" i="104" a="1"/>
  <c r="AQ373" i="104"/>
  <c r="AV373" i="104"/>
  <c r="N373" i="104"/>
  <c r="C373" i="104"/>
  <c r="B373" i="104" a="1"/>
  <c r="B373" i="104" s="1"/>
  <c r="BA372" i="104"/>
  <c r="BE372" i="104" s="1"/>
  <c r="AQ372" i="104"/>
  <c r="AP372" i="104"/>
  <c r="AO372" i="104"/>
  <c r="N372" i="104"/>
  <c r="C372" i="104"/>
  <c r="B372" i="104" a="1"/>
  <c r="B372" i="104" s="1"/>
  <c r="BF371" i="104"/>
  <c r="AQ371" i="104"/>
  <c r="BC371" i="104" s="1" a="1"/>
  <c r="BC371" i="104" s="1"/>
  <c r="N371" i="104"/>
  <c r="C371" i="104"/>
  <c r="B371" i="104" a="1"/>
  <c r="B371" i="104" s="1"/>
  <c r="BF370" i="104"/>
  <c r="AW370" i="104"/>
  <c r="AQ370" i="104"/>
  <c r="BC370" i="104" s="1" a="1"/>
  <c r="BC370" i="104" s="1"/>
  <c r="BK370" i="104"/>
  <c r="N370" i="104"/>
  <c r="C370" i="104"/>
  <c r="B370" i="104" a="1"/>
  <c r="B370" i="104" s="1"/>
  <c r="AW369" i="104"/>
  <c r="AV369" i="104"/>
  <c r="AU369" i="104"/>
  <c r="AT369" i="104"/>
  <c r="AS369" i="104"/>
  <c r="AQ369" i="104"/>
  <c r="AX369" i="104"/>
  <c r="N369" i="104"/>
  <c r="C369" i="104"/>
  <c r="B369" i="104" a="1"/>
  <c r="B369" i="104" s="1"/>
  <c r="BF368" i="104"/>
  <c r="BC368" i="104" a="1"/>
  <c r="BC368" i="104" s="1"/>
  <c r="AQ368" i="104"/>
  <c r="AM368" i="104"/>
  <c r="N368" i="104"/>
  <c r="C368" i="104"/>
  <c r="B368" i="104" a="1"/>
  <c r="B368" i="104" s="1"/>
  <c r="AQ367" i="104"/>
  <c r="N367" i="104"/>
  <c r="C367" i="104"/>
  <c r="B367" i="104"/>
  <c r="B367" i="104" a="1"/>
  <c r="BF366" i="104"/>
  <c r="BC366" i="104" a="1"/>
  <c r="BC366" i="104" s="1"/>
  <c r="BB366" i="104"/>
  <c r="AV366" i="104"/>
  <c r="AQ366" i="104"/>
  <c r="BA366" i="104"/>
  <c r="BE366" i="104" s="1"/>
  <c r="N366" i="104"/>
  <c r="C366" i="104"/>
  <c r="B366" i="104" a="1"/>
  <c r="B366" i="104" s="1"/>
  <c r="AQ365" i="104"/>
  <c r="BF365" i="104" s="1"/>
  <c r="N365" i="104"/>
  <c r="C365" i="104"/>
  <c r="B365" i="104" a="1"/>
  <c r="B365" i="104" s="1"/>
  <c r="AQ364" i="104"/>
  <c r="N364" i="104"/>
  <c r="C364" i="104"/>
  <c r="B364" i="104" a="1"/>
  <c r="B364" i="104" s="1"/>
  <c r="AQ363" i="104"/>
  <c r="N363" i="104"/>
  <c r="C363" i="104"/>
  <c r="B363" i="104" a="1"/>
  <c r="B363" i="104" s="1"/>
  <c r="AQ362" i="104"/>
  <c r="BF362" i="104" s="1"/>
  <c r="N362" i="104"/>
  <c r="C362" i="104"/>
  <c r="B362" i="104"/>
  <c r="B362" i="104" a="1"/>
  <c r="BC361" i="104" a="1"/>
  <c r="BC361" i="104" s="1"/>
  <c r="BA361" i="104"/>
  <c r="BE361" i="104" s="1"/>
  <c r="AV361" i="104"/>
  <c r="AQ361" i="104"/>
  <c r="BF361" i="104" s="1"/>
  <c r="N361" i="104"/>
  <c r="C361" i="104"/>
  <c r="B361" i="104" a="1"/>
  <c r="B361" i="104" s="1"/>
  <c r="AQ360" i="104"/>
  <c r="AO360" i="104"/>
  <c r="AN360" i="104"/>
  <c r="AM360" i="104"/>
  <c r="N360" i="104"/>
  <c r="C360" i="104"/>
  <c r="B360" i="104" a="1"/>
  <c r="B360" i="104" s="1"/>
  <c r="BC359" i="104" a="1"/>
  <c r="BC359" i="104" s="1"/>
  <c r="AQ359" i="104"/>
  <c r="BF359" i="104" s="1"/>
  <c r="N359" i="104"/>
  <c r="C359" i="104"/>
  <c r="B359" i="104" a="1"/>
  <c r="B359" i="104" s="1"/>
  <c r="BA358" i="104"/>
  <c r="BE358" i="104" s="1"/>
  <c r="AX358" i="104"/>
  <c r="AW358" i="104"/>
  <c r="AV358" i="104"/>
  <c r="AQ358" i="104"/>
  <c r="AN358" i="104"/>
  <c r="AP358" i="104"/>
  <c r="N358" i="104"/>
  <c r="C358" i="104"/>
  <c r="B358" i="104"/>
  <c r="B358" i="104" a="1"/>
  <c r="AQ357" i="104"/>
  <c r="BK357" i="104"/>
  <c r="N357" i="104"/>
  <c r="C357" i="104"/>
  <c r="B357" i="104" a="1"/>
  <c r="B357" i="104" s="1"/>
  <c r="AQ356" i="104"/>
  <c r="AM356" i="104"/>
  <c r="N356" i="104"/>
  <c r="C356" i="104"/>
  <c r="B356" i="104" a="1"/>
  <c r="B356" i="104" s="1"/>
  <c r="BC355" i="104" a="1"/>
  <c r="BC355" i="104" s="1"/>
  <c r="AQ355" i="104"/>
  <c r="BF355" i="104" s="1"/>
  <c r="BB355" i="104"/>
  <c r="N355" i="104"/>
  <c r="C355" i="104"/>
  <c r="B355" i="104" a="1"/>
  <c r="B355" i="104" s="1"/>
  <c r="BF354" i="104"/>
  <c r="BC354" i="104" a="1"/>
  <c r="BC354" i="104" s="1"/>
  <c r="BB354" i="104"/>
  <c r="BA354" i="104"/>
  <c r="BE354" i="104" s="1"/>
  <c r="AX354" i="104"/>
  <c r="AQ354" i="104"/>
  <c r="AM354" i="104"/>
  <c r="N354" i="104"/>
  <c r="C354" i="104"/>
  <c r="B354" i="104" a="1"/>
  <c r="B354" i="104" s="1"/>
  <c r="AQ353" i="104"/>
  <c r="BC353" i="104" s="1" a="1"/>
  <c r="BC353" i="104" s="1"/>
  <c r="N353" i="104"/>
  <c r="C353" i="104"/>
  <c r="B353" i="104" a="1"/>
  <c r="B353" i="104" s="1"/>
  <c r="AQ352" i="104"/>
  <c r="AP352" i="104"/>
  <c r="N352" i="104"/>
  <c r="C352" i="104"/>
  <c r="B352" i="104" a="1"/>
  <c r="B352" i="104" s="1"/>
  <c r="AQ351" i="104"/>
  <c r="AT351" i="104"/>
  <c r="N351" i="104"/>
  <c r="C351" i="104"/>
  <c r="B351" i="104" a="1"/>
  <c r="B351" i="104" s="1"/>
  <c r="AQ350" i="104"/>
  <c r="N350" i="104"/>
  <c r="C350" i="104"/>
  <c r="B350" i="104" a="1"/>
  <c r="B350" i="104" s="1"/>
  <c r="AV349" i="104"/>
  <c r="AU349" i="104"/>
  <c r="AQ349" i="104"/>
  <c r="BA349" i="104"/>
  <c r="BE349" i="104" s="1"/>
  <c r="N349" i="104"/>
  <c r="C349" i="104"/>
  <c r="B349" i="104" a="1"/>
  <c r="B349" i="104" s="1"/>
  <c r="AQ348" i="104"/>
  <c r="BA348" i="104"/>
  <c r="BE348" i="104" s="1"/>
  <c r="N348" i="104"/>
  <c r="C348" i="104"/>
  <c r="B348" i="104" a="1"/>
  <c r="B348" i="104" s="1"/>
  <c r="BF347" i="104"/>
  <c r="BC347" i="104" a="1"/>
  <c r="BC347" i="104" s="1"/>
  <c r="AT347" i="104"/>
  <c r="AQ347" i="104"/>
  <c r="N347" i="104"/>
  <c r="C347" i="104"/>
  <c r="B347" i="104" a="1"/>
  <c r="B347" i="104" s="1"/>
  <c r="AQ346" i="104"/>
  <c r="AW346" i="104"/>
  <c r="N346" i="104"/>
  <c r="C346" i="104"/>
  <c r="B346" i="104" a="1"/>
  <c r="B346" i="104" s="1"/>
  <c r="BC345" i="104" a="1"/>
  <c r="BC345" i="104" s="1"/>
  <c r="AQ345" i="104"/>
  <c r="BF345" i="104" s="1"/>
  <c r="N345" i="104"/>
  <c r="C345" i="104"/>
  <c r="B345" i="104" a="1"/>
  <c r="B345" i="104" s="1"/>
  <c r="BK344" i="104"/>
  <c r="BF344" i="104"/>
  <c r="BC344" i="104" a="1"/>
  <c r="BC344" i="104" s="1"/>
  <c r="AV344" i="104"/>
  <c r="AU344" i="104"/>
  <c r="AT344" i="104"/>
  <c r="AQ344" i="104"/>
  <c r="N344" i="104"/>
  <c r="C344" i="104"/>
  <c r="B344" i="104" a="1"/>
  <c r="B344" i="104" s="1"/>
  <c r="AQ343" i="104"/>
  <c r="AP343" i="104"/>
  <c r="N343" i="104"/>
  <c r="C343" i="104"/>
  <c r="B343" i="104"/>
  <c r="B343" i="104" a="1"/>
  <c r="AQ342" i="104"/>
  <c r="BF342" i="104" s="1"/>
  <c r="N342" i="104"/>
  <c r="C342" i="104"/>
  <c r="B342" i="104" a="1"/>
  <c r="B342" i="104" s="1"/>
  <c r="AQ341" i="104"/>
  <c r="N341" i="104"/>
  <c r="C341" i="104"/>
  <c r="B341" i="104" a="1"/>
  <c r="B341" i="104" s="1"/>
  <c r="AQ340" i="104"/>
  <c r="BA340" i="104"/>
  <c r="BE340" i="104" s="1"/>
  <c r="N340" i="104"/>
  <c r="C340" i="104"/>
  <c r="B340" i="104" a="1"/>
  <c r="B340" i="104" s="1"/>
  <c r="AQ339" i="104"/>
  <c r="AN339" i="104"/>
  <c r="N339" i="104"/>
  <c r="C339" i="104"/>
  <c r="B339" i="104" a="1"/>
  <c r="B339" i="104" s="1"/>
  <c r="AQ338" i="104"/>
  <c r="N338" i="104"/>
  <c r="C338" i="104"/>
  <c r="B338" i="104" a="1"/>
  <c r="B338" i="104" s="1"/>
  <c r="AQ337" i="104"/>
  <c r="BF337" i="104" s="1"/>
  <c r="BA337" i="104"/>
  <c r="BE337" i="104" s="1"/>
  <c r="N337" i="104"/>
  <c r="C337" i="104"/>
  <c r="B337" i="104" a="1"/>
  <c r="B337" i="104" s="1"/>
  <c r="AQ336" i="104"/>
  <c r="BF336" i="104" s="1"/>
  <c r="N336" i="104"/>
  <c r="C336" i="104"/>
  <c r="B336" i="104" a="1"/>
  <c r="B336" i="104" s="1"/>
  <c r="AQ335" i="104"/>
  <c r="N335" i="104"/>
  <c r="C335" i="104"/>
  <c r="B335" i="104" a="1"/>
  <c r="B335" i="104" s="1"/>
  <c r="AQ334" i="104"/>
  <c r="N334" i="104"/>
  <c r="C334" i="104"/>
  <c r="B334" i="104" a="1"/>
  <c r="B334" i="104" s="1"/>
  <c r="AQ333" i="104"/>
  <c r="N333" i="104"/>
  <c r="C333" i="104"/>
  <c r="B333" i="104" a="1"/>
  <c r="B333" i="104" s="1"/>
  <c r="AQ332" i="104"/>
  <c r="AM332" i="104"/>
  <c r="N332" i="104"/>
  <c r="C332" i="104"/>
  <c r="B332" i="104"/>
  <c r="B332" i="104" a="1"/>
  <c r="BF331" i="104"/>
  <c r="BC331" i="104" a="1"/>
  <c r="BC331" i="104" s="1"/>
  <c r="AQ331" i="104"/>
  <c r="BK331" i="104"/>
  <c r="N331" i="104"/>
  <c r="C331" i="104"/>
  <c r="B331" i="104" a="1"/>
  <c r="B331" i="104" s="1"/>
  <c r="AQ330" i="104"/>
  <c r="BF330" i="104" s="1"/>
  <c r="N330" i="104"/>
  <c r="C330" i="104"/>
  <c r="B330" i="104" a="1"/>
  <c r="B330" i="104" s="1"/>
  <c r="AQ329" i="104"/>
  <c r="BF329" i="104" s="1"/>
  <c r="N329" i="104"/>
  <c r="C329" i="104"/>
  <c r="B329" i="104" a="1"/>
  <c r="B329" i="104" s="1"/>
  <c r="BA328" i="104"/>
  <c r="BE328" i="104" s="1"/>
  <c r="AQ328" i="104"/>
  <c r="AT328" i="104"/>
  <c r="N328" i="104"/>
  <c r="C328" i="104"/>
  <c r="B328" i="104" a="1"/>
  <c r="B328" i="104" s="1"/>
  <c r="BC327" i="104" a="1"/>
  <c r="BC327" i="104" s="1"/>
  <c r="AQ327" i="104"/>
  <c r="BF327" i="104" s="1"/>
  <c r="N327" i="104"/>
  <c r="C327" i="104"/>
  <c r="B327" i="104" a="1"/>
  <c r="B327" i="104" s="1"/>
  <c r="BF326" i="104"/>
  <c r="AQ326" i="104"/>
  <c r="BC326" i="104" s="1" a="1"/>
  <c r="BC326" i="104" s="1"/>
  <c r="AN326" i="104"/>
  <c r="N326" i="104"/>
  <c r="C326" i="104"/>
  <c r="B326" i="104" a="1"/>
  <c r="B326" i="104" s="1"/>
  <c r="AQ325" i="104"/>
  <c r="N325" i="104"/>
  <c r="C325" i="104"/>
  <c r="B325" i="104" a="1"/>
  <c r="B325" i="104" s="1"/>
  <c r="BF324" i="104"/>
  <c r="BC324" i="104" a="1"/>
  <c r="BC324" i="104" s="1"/>
  <c r="AQ324" i="104"/>
  <c r="AN324" i="104"/>
  <c r="N324" i="104"/>
  <c r="C324" i="104"/>
  <c r="B324" i="104" a="1"/>
  <c r="B324" i="104" s="1"/>
  <c r="AQ323" i="104"/>
  <c r="AW323" i="104"/>
  <c r="N323" i="104"/>
  <c r="C323" i="104"/>
  <c r="B323" i="104" a="1"/>
  <c r="B323" i="104" s="1"/>
  <c r="AQ322" i="104"/>
  <c r="N322" i="104"/>
  <c r="C322" i="104"/>
  <c r="B322" i="104" a="1"/>
  <c r="B322" i="104" s="1"/>
  <c r="BK321" i="104"/>
  <c r="BC321" i="104" a="1"/>
  <c r="BC321" i="104" s="1"/>
  <c r="BB321" i="104"/>
  <c r="BA321" i="104"/>
  <c r="BE321" i="104" s="1"/>
  <c r="AX321" i="104"/>
  <c r="AW321" i="104"/>
  <c r="AV321" i="104"/>
  <c r="AU321" i="104"/>
  <c r="AT321" i="104"/>
  <c r="AQ321" i="104"/>
  <c r="BF321" i="104" s="1"/>
  <c r="AP321" i="104"/>
  <c r="AN321" i="104"/>
  <c r="N321" i="104"/>
  <c r="C321" i="104"/>
  <c r="B321" i="104"/>
  <c r="B321" i="104" a="1"/>
  <c r="BK320" i="104"/>
  <c r="BC320" i="104" a="1"/>
  <c r="BC320" i="104" s="1"/>
  <c r="AX320" i="104"/>
  <c r="AU320" i="104"/>
  <c r="AT320" i="104"/>
  <c r="AS320" i="104"/>
  <c r="AQ320" i="104"/>
  <c r="BF320" i="104" s="1"/>
  <c r="AM320" i="104"/>
  <c r="N320" i="104"/>
  <c r="C320" i="104"/>
  <c r="B320" i="104" a="1"/>
  <c r="B320" i="104" s="1"/>
  <c r="AQ319" i="104"/>
  <c r="AO319" i="104"/>
  <c r="N319" i="104"/>
  <c r="C319" i="104"/>
  <c r="B319" i="104"/>
  <c r="B319" i="104" a="1"/>
  <c r="AQ318" i="104"/>
  <c r="BC318" i="104" s="1" a="1"/>
  <c r="BC318" i="104" s="1"/>
  <c r="AM318" i="104"/>
  <c r="N318" i="104"/>
  <c r="C318" i="104"/>
  <c r="B318" i="104" a="1"/>
  <c r="B318" i="104" s="1"/>
  <c r="AQ317" i="104"/>
  <c r="BF317" i="104" s="1"/>
  <c r="AN317" i="104"/>
  <c r="N317" i="104"/>
  <c r="C317" i="104"/>
  <c r="B317" i="104" a="1"/>
  <c r="B317" i="104" s="1"/>
  <c r="BF316" i="104"/>
  <c r="BC316" i="104" a="1"/>
  <c r="BC316" i="104" s="1"/>
  <c r="AQ316" i="104"/>
  <c r="N316" i="104"/>
  <c r="C316" i="104"/>
  <c r="B316" i="104" a="1"/>
  <c r="B316" i="104" s="1"/>
  <c r="AQ315" i="104"/>
  <c r="AV315" i="104"/>
  <c r="N315" i="104"/>
  <c r="C315" i="104"/>
  <c r="B315" i="104" a="1"/>
  <c r="B315" i="104" s="1"/>
  <c r="AQ314" i="104"/>
  <c r="AN314" i="104"/>
  <c r="N314" i="104"/>
  <c r="C314" i="104"/>
  <c r="B314" i="104" a="1"/>
  <c r="B314" i="104" s="1"/>
  <c r="BF313" i="104"/>
  <c r="AQ313" i="104"/>
  <c r="BC313" i="104" s="1" a="1"/>
  <c r="BC313" i="104" s="1"/>
  <c r="N313" i="104"/>
  <c r="C313" i="104"/>
  <c r="B313" i="104" a="1"/>
  <c r="B313" i="104" s="1"/>
  <c r="BK312" i="104"/>
  <c r="AQ312" i="104"/>
  <c r="N312" i="104"/>
  <c r="C312" i="104"/>
  <c r="B312" i="104" a="1"/>
  <c r="B312" i="104" s="1"/>
  <c r="BK311" i="104"/>
  <c r="BF311" i="104"/>
  <c r="BC311" i="104" a="1"/>
  <c r="BC311" i="104" s="1"/>
  <c r="BB311" i="104"/>
  <c r="AQ311" i="104"/>
  <c r="BA311" i="104"/>
  <c r="BE311" i="104" s="1"/>
  <c r="N311" i="104"/>
  <c r="C311" i="104"/>
  <c r="B311" i="104" a="1"/>
  <c r="B311" i="104" s="1"/>
  <c r="AQ310" i="104"/>
  <c r="BC310" i="104" s="1" a="1"/>
  <c r="BC310" i="104" s="1"/>
  <c r="N310" i="104"/>
  <c r="C310" i="104"/>
  <c r="B310" i="104" a="1"/>
  <c r="B310" i="104" s="1"/>
  <c r="AQ309" i="104"/>
  <c r="AU309" i="104"/>
  <c r="N309" i="104"/>
  <c r="C309" i="104"/>
  <c r="B309" i="104" a="1"/>
  <c r="B309" i="104" s="1"/>
  <c r="AQ308" i="104"/>
  <c r="AN308" i="104"/>
  <c r="AM308" i="104"/>
  <c r="N308" i="104"/>
  <c r="C308" i="104"/>
  <c r="B308" i="104" a="1"/>
  <c r="B308" i="104" s="1"/>
  <c r="AQ307" i="104"/>
  <c r="BK307" i="104"/>
  <c r="N307" i="104"/>
  <c r="C307" i="104"/>
  <c r="B307" i="104" a="1"/>
  <c r="B307" i="104" s="1"/>
  <c r="BC306" i="104" a="1"/>
  <c r="BC306" i="104" s="1"/>
  <c r="BB306" i="104"/>
  <c r="AX306" i="104"/>
  <c r="AQ306" i="104"/>
  <c r="BF306" i="104" s="1"/>
  <c r="N306" i="104"/>
  <c r="C306" i="104"/>
  <c r="B306" i="104" a="1"/>
  <c r="B306" i="104" s="1"/>
  <c r="AQ305" i="104"/>
  <c r="N305" i="104"/>
  <c r="C305" i="104"/>
  <c r="B305" i="104" a="1"/>
  <c r="B305" i="104" s="1"/>
  <c r="AQ304" i="104"/>
  <c r="BF304" i="104" s="1"/>
  <c r="N304" i="104"/>
  <c r="C304" i="104"/>
  <c r="B304" i="104" a="1"/>
  <c r="B304" i="104" s="1"/>
  <c r="BK303" i="104"/>
  <c r="BB303" i="104"/>
  <c r="BA303" i="104"/>
  <c r="BE303" i="104" s="1"/>
  <c r="AW303" i="104"/>
  <c r="AT303" i="104"/>
  <c r="AS303" i="104"/>
  <c r="AQ303" i="104"/>
  <c r="N303" i="104"/>
  <c r="C303" i="104"/>
  <c r="B303" i="104" a="1"/>
  <c r="B303" i="104" s="1"/>
  <c r="BK302" i="104"/>
  <c r="BB302" i="104"/>
  <c r="AQ302" i="104"/>
  <c r="AO302" i="104"/>
  <c r="AX302" i="104"/>
  <c r="N302" i="104"/>
  <c r="C302" i="104"/>
  <c r="B302" i="104" a="1"/>
  <c r="B302" i="104" s="1"/>
  <c r="BK301" i="104"/>
  <c r="BB301" i="104"/>
  <c r="BA301" i="104"/>
  <c r="BE301" i="104" s="1"/>
  <c r="AX301" i="104"/>
  <c r="AW301" i="104"/>
  <c r="AV301" i="104"/>
  <c r="AU301" i="104"/>
  <c r="AT301" i="104"/>
  <c r="AS301" i="104"/>
  <c r="AQ301" i="104"/>
  <c r="AP301" i="104"/>
  <c r="AO301" i="104"/>
  <c r="AM301" i="104"/>
  <c r="AN301" i="104"/>
  <c r="N301" i="104"/>
  <c r="C301" i="104"/>
  <c r="B301" i="104"/>
  <c r="B301" i="104" a="1"/>
  <c r="N300" i="104"/>
  <c r="C300" i="104"/>
  <c r="B300" i="104" a="1"/>
  <c r="B300" i="104" s="1"/>
  <c r="AQ299" i="104"/>
  <c r="N299" i="104"/>
  <c r="C299" i="104"/>
  <c r="B299" i="104" a="1"/>
  <c r="B299" i="104" s="1"/>
  <c r="AQ298" i="104"/>
  <c r="N298" i="104"/>
  <c r="C298" i="104"/>
  <c r="B298" i="104" a="1"/>
  <c r="B298" i="104" s="1"/>
  <c r="BK297" i="104"/>
  <c r="AP297" i="104"/>
  <c r="AO297" i="104"/>
  <c r="AQ297" i="104"/>
  <c r="N297" i="104"/>
  <c r="C297" i="104"/>
  <c r="B297" i="104" a="1"/>
  <c r="B297" i="104" s="1"/>
  <c r="AQ296" i="104"/>
  <c r="BC296" i="104" s="1" a="1"/>
  <c r="BC296" i="104" s="1"/>
  <c r="C296" i="104"/>
  <c r="B296" i="104" a="1"/>
  <c r="B296" i="104" s="1"/>
  <c r="AX295" i="104"/>
  <c r="AW295" i="104"/>
  <c r="AV295" i="104"/>
  <c r="N295" i="104"/>
  <c r="C295" i="104"/>
  <c r="B295" i="104" a="1"/>
  <c r="B295" i="104" s="1"/>
  <c r="AQ294" i="104"/>
  <c r="BF294" i="104" s="1"/>
  <c r="N294" i="104"/>
  <c r="C294" i="104"/>
  <c r="B294" i="104" a="1"/>
  <c r="B294" i="104" s="1"/>
  <c r="N293" i="104"/>
  <c r="C293" i="104"/>
  <c r="B293" i="104" a="1"/>
  <c r="B293" i="104" s="1"/>
  <c r="AX292" i="104"/>
  <c r="AQ292" i="104"/>
  <c r="N292" i="104"/>
  <c r="C292" i="104"/>
  <c r="B292" i="104" a="1"/>
  <c r="B292" i="104" s="1"/>
  <c r="N291" i="104"/>
  <c r="C291" i="104"/>
  <c r="B291" i="104" a="1"/>
  <c r="B291" i="104" s="1"/>
  <c r="AQ290" i="104"/>
  <c r="BF290" i="104" s="1"/>
  <c r="N290" i="104"/>
  <c r="C290" i="104"/>
  <c r="B290" i="104"/>
  <c r="B290" i="104" a="1"/>
  <c r="BK289" i="104"/>
  <c r="AQ289" i="104"/>
  <c r="BC289" i="104" s="1" a="1"/>
  <c r="BC289" i="104" s="1"/>
  <c r="N289" i="104"/>
  <c r="C289" i="104"/>
  <c r="B289" i="104" a="1"/>
  <c r="B289" i="104" s="1"/>
  <c r="BK288" i="104"/>
  <c r="AQ288" i="104"/>
  <c r="N288" i="104"/>
  <c r="C288" i="104"/>
  <c r="B288" i="104" a="1"/>
  <c r="B288" i="104" s="1"/>
  <c r="BK287" i="104"/>
  <c r="BC287" i="104" a="1"/>
  <c r="BC287" i="104" s="1"/>
  <c r="BB287" i="104"/>
  <c r="BA287" i="104"/>
  <c r="BE287" i="104" s="1"/>
  <c r="AQ287" i="104"/>
  <c r="BF287" i="104" s="1"/>
  <c r="N287" i="104"/>
  <c r="C287" i="104"/>
  <c r="B287" i="104" a="1"/>
  <c r="B287" i="104" s="1"/>
  <c r="C286" i="104"/>
  <c r="B286" i="104" a="1"/>
  <c r="B286" i="104" s="1"/>
  <c r="BF285" i="104"/>
  <c r="AV285" i="104"/>
  <c r="AU285" i="104"/>
  <c r="AQ285" i="104"/>
  <c r="BC285" i="104" s="1" a="1"/>
  <c r="BC285" i="104" s="1"/>
  <c r="N285" i="104"/>
  <c r="C285" i="104"/>
  <c r="B285" i="104" a="1"/>
  <c r="B285" i="104" s="1"/>
  <c r="BB284" i="104"/>
  <c r="AW284" i="104"/>
  <c r="AV284" i="104"/>
  <c r="AU284" i="104"/>
  <c r="AT284" i="104"/>
  <c r="BK284" i="104"/>
  <c r="AQ284" i="104"/>
  <c r="N284" i="104"/>
  <c r="C284" i="104"/>
  <c r="B284" i="104" a="1"/>
  <c r="B284" i="104" s="1"/>
  <c r="BA283" i="104"/>
  <c r="BE283" i="104" s="1"/>
  <c r="AQ283" i="104"/>
  <c r="BF283" i="104" s="1"/>
  <c r="N283" i="104"/>
  <c r="C283" i="104"/>
  <c r="B283" i="104" a="1"/>
  <c r="B283" i="104" s="1"/>
  <c r="AN282" i="104"/>
  <c r="AQ282" i="104"/>
  <c r="N282" i="104"/>
  <c r="C282" i="104"/>
  <c r="B282" i="104" a="1"/>
  <c r="B282" i="104" s="1"/>
  <c r="BB281" i="104"/>
  <c r="C281" i="104"/>
  <c r="B281" i="104" a="1"/>
  <c r="B281" i="104" s="1"/>
  <c r="BB280" i="104"/>
  <c r="BA280" i="104"/>
  <c r="BE280" i="104" s="1"/>
  <c r="N280" i="104"/>
  <c r="C280" i="104"/>
  <c r="B280" i="104" a="1"/>
  <c r="B280" i="104" s="1"/>
  <c r="AT279" i="104"/>
  <c r="AQ279" i="104"/>
  <c r="AO279" i="104"/>
  <c r="AN279" i="104"/>
  <c r="N279" i="104"/>
  <c r="C279" i="104"/>
  <c r="B279" i="104"/>
  <c r="B279" i="104" a="1"/>
  <c r="BB278" i="104"/>
  <c r="AX278" i="104"/>
  <c r="AW278" i="104"/>
  <c r="AT278" i="104"/>
  <c r="BA278" i="104"/>
  <c r="BE278" i="104" s="1"/>
  <c r="AQ278" i="104"/>
  <c r="N278" i="104"/>
  <c r="C278" i="104"/>
  <c r="B278" i="104" a="1"/>
  <c r="B278" i="104" s="1"/>
  <c r="BK277" i="104"/>
  <c r="AT277" i="104"/>
  <c r="AN277" i="104"/>
  <c r="AS277" i="104"/>
  <c r="AQ277" i="104"/>
  <c r="N277" i="104"/>
  <c r="C277" i="104"/>
  <c r="B277" i="104" a="1"/>
  <c r="B277" i="104" s="1"/>
  <c r="BK276" i="104"/>
  <c r="AV276" i="104"/>
  <c r="AU276" i="104"/>
  <c r="AT276" i="104"/>
  <c r="N276" i="104"/>
  <c r="C276" i="104"/>
  <c r="B276" i="104" a="1"/>
  <c r="B276" i="104" s="1"/>
  <c r="BA275" i="104"/>
  <c r="BE275" i="104" s="1"/>
  <c r="AQ275" i="104"/>
  <c r="BC275" i="104" s="1" a="1"/>
  <c r="BC275" i="104" s="1"/>
  <c r="N275" i="104"/>
  <c r="C275" i="104"/>
  <c r="B275" i="104" a="1"/>
  <c r="B275" i="104" s="1"/>
  <c r="AQ274" i="104"/>
  <c r="N274" i="104"/>
  <c r="C274" i="104"/>
  <c r="B274" i="104" a="1"/>
  <c r="B274" i="104" s="1"/>
  <c r="AM273" i="104"/>
  <c r="AQ273" i="104"/>
  <c r="N273" i="104"/>
  <c r="C273" i="104"/>
  <c r="B273" i="104" a="1"/>
  <c r="B273" i="104" s="1"/>
  <c r="AU272" i="104"/>
  <c r="AT272" i="104"/>
  <c r="AQ272" i="104"/>
  <c r="N272" i="104"/>
  <c r="C272" i="104"/>
  <c r="B272" i="104"/>
  <c r="B272" i="104" a="1"/>
  <c r="AO271" i="104"/>
  <c r="AQ271" i="104"/>
  <c r="N271" i="104"/>
  <c r="C271" i="104"/>
  <c r="B271" i="104" a="1"/>
  <c r="B271" i="104" s="1"/>
  <c r="BB270" i="104"/>
  <c r="BA270" i="104"/>
  <c r="BE270" i="104" s="1"/>
  <c r="AX270" i="104"/>
  <c r="AQ270" i="104"/>
  <c r="BF270" i="104" s="1"/>
  <c r="N270" i="104"/>
  <c r="C270" i="104"/>
  <c r="B270" i="104" a="1"/>
  <c r="B270" i="104" s="1"/>
  <c r="AQ269" i="104"/>
  <c r="N269" i="104"/>
  <c r="C269" i="104"/>
  <c r="B269" i="104" a="1"/>
  <c r="B269" i="104" s="1"/>
  <c r="BA268" i="104"/>
  <c r="BE268" i="104" s="1"/>
  <c r="AQ268" i="104"/>
  <c r="N268" i="104"/>
  <c r="C268" i="104"/>
  <c r="B268" i="104" a="1"/>
  <c r="B268" i="104" s="1"/>
  <c r="AQ267" i="104"/>
  <c r="N267" i="104"/>
  <c r="C267" i="104"/>
  <c r="B267" i="104" a="1"/>
  <c r="B267" i="104" s="1"/>
  <c r="BK266" i="104"/>
  <c r="BC266" i="104" a="1"/>
  <c r="BC266" i="104" s="1"/>
  <c r="BB266" i="104"/>
  <c r="BA266" i="104"/>
  <c r="BE266" i="104" s="1"/>
  <c r="AX266" i="104"/>
  <c r="AW266" i="104"/>
  <c r="AV266" i="104"/>
  <c r="AU266" i="104"/>
  <c r="AT266" i="104"/>
  <c r="AP266" i="104"/>
  <c r="AN266" i="104"/>
  <c r="AO266" i="104"/>
  <c r="AQ266" i="104"/>
  <c r="BF266" i="104" s="1"/>
  <c r="N266" i="104"/>
  <c r="C266" i="104"/>
  <c r="B266" i="104" a="1"/>
  <c r="B266" i="104" s="1"/>
  <c r="BB265" i="104"/>
  <c r="AQ265" i="104"/>
  <c r="N265" i="104"/>
  <c r="C265" i="104"/>
  <c r="B265" i="104" a="1"/>
  <c r="B265" i="104" s="1"/>
  <c r="BA264" i="104"/>
  <c r="BE264" i="104" s="1"/>
  <c r="AX264" i="104"/>
  <c r="AW264" i="104"/>
  <c r="AT264" i="104"/>
  <c r="AQ264" i="104"/>
  <c r="AN264" i="104"/>
  <c r="N264" i="104"/>
  <c r="C264" i="104"/>
  <c r="B264" i="104" a="1"/>
  <c r="B264" i="104" s="1"/>
  <c r="BA263" i="104"/>
  <c r="BE263" i="104" s="1"/>
  <c r="AX263" i="104"/>
  <c r="AW263" i="104"/>
  <c r="AV263" i="104"/>
  <c r="AU263" i="104"/>
  <c r="AP263" i="104"/>
  <c r="AO263" i="104"/>
  <c r="AQ263" i="104"/>
  <c r="N263" i="104"/>
  <c r="C263" i="104"/>
  <c r="B263" i="104" a="1"/>
  <c r="B263" i="104" s="1"/>
  <c r="AQ262" i="104"/>
  <c r="AN262" i="104"/>
  <c r="N262" i="104"/>
  <c r="C262" i="104"/>
  <c r="B262" i="104" a="1"/>
  <c r="B262" i="104" s="1"/>
  <c r="AQ261" i="104"/>
  <c r="N261" i="104"/>
  <c r="C261" i="104"/>
  <c r="B261" i="104" a="1"/>
  <c r="B261" i="104" s="1"/>
  <c r="BA260" i="104"/>
  <c r="BE260" i="104" s="1"/>
  <c r="AX260" i="104"/>
  <c r="AU260" i="104"/>
  <c r="AQ260" i="104"/>
  <c r="N260" i="104"/>
  <c r="C260" i="104"/>
  <c r="B260" i="104" a="1"/>
  <c r="B260" i="104" s="1"/>
  <c r="AT259" i="104"/>
  <c r="AQ259" i="104"/>
  <c r="N259" i="104"/>
  <c r="C259" i="104"/>
  <c r="B259" i="104" a="1"/>
  <c r="B259" i="104" s="1"/>
  <c r="AU258" i="104"/>
  <c r="AQ258" i="104"/>
  <c r="N258" i="104"/>
  <c r="C258" i="104"/>
  <c r="B258" i="104" a="1"/>
  <c r="B258" i="104" s="1"/>
  <c r="AO257" i="104"/>
  <c r="AN257" i="104"/>
  <c r="N257" i="104"/>
  <c r="C257" i="104"/>
  <c r="B257" i="104"/>
  <c r="B257" i="104" a="1"/>
  <c r="BK256" i="104"/>
  <c r="AQ256" i="104"/>
  <c r="N256" i="104"/>
  <c r="C256" i="104"/>
  <c r="B256" i="104"/>
  <c r="B256" i="104" a="1"/>
  <c r="AN255" i="104"/>
  <c r="AQ255" i="104"/>
  <c r="N255" i="104"/>
  <c r="C255" i="104"/>
  <c r="B255" i="104" a="1"/>
  <c r="B255" i="104" s="1"/>
  <c r="BA254" i="104"/>
  <c r="AT254" i="104"/>
  <c r="AW254" i="104"/>
  <c r="AQ254" i="104"/>
  <c r="AX254" i="104"/>
  <c r="N254" i="104"/>
  <c r="C254" i="104"/>
  <c r="B254" i="104" a="1"/>
  <c r="B254" i="104" s="1"/>
  <c r="AQ253" i="104"/>
  <c r="BC253" i="104" s="1" a="1"/>
  <c r="BC253" i="104" s="1"/>
  <c r="N253" i="104"/>
  <c r="C253" i="104"/>
  <c r="B253" i="104"/>
  <c r="B253" i="104" a="1"/>
  <c r="AQ252" i="104"/>
  <c r="N252" i="104"/>
  <c r="C252" i="104"/>
  <c r="B252" i="104" a="1"/>
  <c r="B252" i="104" s="1"/>
  <c r="BC251" i="104" a="1"/>
  <c r="BC251" i="104" s="1"/>
  <c r="AQ251" i="104"/>
  <c r="BF251" i="104" s="1"/>
  <c r="N251" i="104"/>
  <c r="C251" i="104"/>
  <c r="B251" i="104" a="1"/>
  <c r="B251" i="104" s="1"/>
  <c r="AQ250" i="104"/>
  <c r="AP250" i="104"/>
  <c r="N250" i="104"/>
  <c r="C250" i="104"/>
  <c r="B250" i="104" a="1"/>
  <c r="B250" i="104" s="1"/>
  <c r="AQ249" i="104"/>
  <c r="N249" i="104"/>
  <c r="C249" i="104"/>
  <c r="B249" i="104" a="1"/>
  <c r="B249" i="104" s="1"/>
  <c r="AQ248" i="104"/>
  <c r="AT248" i="104"/>
  <c r="N248" i="104"/>
  <c r="C248" i="104"/>
  <c r="B248" i="104" a="1"/>
  <c r="B248" i="104" s="1"/>
  <c r="AW247" i="104"/>
  <c r="AQ247" i="104"/>
  <c r="BC247" i="104" s="1" a="1"/>
  <c r="BC247" i="104" s="1"/>
  <c r="N247" i="104"/>
  <c r="C247" i="104"/>
  <c r="B247" i="104" a="1"/>
  <c r="B247" i="104" s="1"/>
  <c r="BC246" i="104" a="1"/>
  <c r="BC246" i="104" s="1"/>
  <c r="AQ246" i="104"/>
  <c r="BF246" i="104" s="1"/>
  <c r="N246" i="104"/>
  <c r="C246" i="104"/>
  <c r="B246" i="104" a="1"/>
  <c r="B246" i="104" s="1"/>
  <c r="AP245" i="104"/>
  <c r="AM245" i="104"/>
  <c r="AQ245" i="104"/>
  <c r="N245" i="104"/>
  <c r="C245" i="104"/>
  <c r="B245" i="104" a="1"/>
  <c r="B245" i="104" s="1"/>
  <c r="AQ244" i="104"/>
  <c r="N244" i="104"/>
  <c r="C244" i="104"/>
  <c r="B244" i="104" a="1"/>
  <c r="B244" i="104" s="1"/>
  <c r="C243" i="104"/>
  <c r="B243" i="104" a="1"/>
  <c r="B243" i="104" s="1"/>
  <c r="AQ242" i="104"/>
  <c r="AW242" i="104"/>
  <c r="N242" i="104"/>
  <c r="C242" i="104"/>
  <c r="B242" i="104"/>
  <c r="B242" i="104" a="1"/>
  <c r="AQ241" i="104"/>
  <c r="BC241" i="104" s="1" a="1"/>
  <c r="BC241" i="104" s="1"/>
  <c r="AP241" i="104"/>
  <c r="N241" i="104"/>
  <c r="C241" i="104"/>
  <c r="B241" i="104" a="1"/>
  <c r="B241" i="104" s="1"/>
  <c r="AQ240" i="104"/>
  <c r="N240" i="104"/>
  <c r="C240" i="104"/>
  <c r="B240" i="104" a="1"/>
  <c r="B240" i="104" s="1"/>
  <c r="AX239" i="104"/>
  <c r="AQ239" i="104"/>
  <c r="N239" i="104"/>
  <c r="C239" i="104"/>
  <c r="B239" i="104" a="1"/>
  <c r="B239" i="104" s="1"/>
  <c r="AT238" i="104"/>
  <c r="AQ238" i="104"/>
  <c r="N238" i="104"/>
  <c r="C238" i="104"/>
  <c r="B238" i="104" a="1"/>
  <c r="B238" i="104" s="1"/>
  <c r="AQ237" i="104"/>
  <c r="N237" i="104"/>
  <c r="C237" i="104"/>
  <c r="B237" i="104" a="1"/>
  <c r="B237" i="104" s="1"/>
  <c r="BF236" i="104"/>
  <c r="AQ236" i="104"/>
  <c r="BC236" i="104" s="1" a="1"/>
  <c r="BC236" i="104" s="1"/>
  <c r="BB236" i="104"/>
  <c r="N236" i="104"/>
  <c r="C236" i="104"/>
  <c r="B236" i="104" a="1"/>
  <c r="B236" i="104" s="1"/>
  <c r="AT235" i="104"/>
  <c r="AQ235" i="104"/>
  <c r="BF235" i="104" s="1"/>
  <c r="C235" i="104"/>
  <c r="B235" i="104" a="1"/>
  <c r="B235" i="104" s="1"/>
  <c r="AQ234" i="104"/>
  <c r="BF234" i="104" s="1"/>
  <c r="N234" i="104"/>
  <c r="C234" i="104"/>
  <c r="B234" i="104"/>
  <c r="B234" i="104" a="1"/>
  <c r="AX233" i="104"/>
  <c r="N233" i="104"/>
  <c r="C233" i="104"/>
  <c r="B233" i="104" a="1"/>
  <c r="B233" i="104" s="1"/>
  <c r="AQ232" i="104"/>
  <c r="N232" i="104"/>
  <c r="C232" i="104"/>
  <c r="B232" i="104" a="1"/>
  <c r="B232" i="104" s="1"/>
  <c r="AT231" i="104"/>
  <c r="AQ231" i="104"/>
  <c r="N231" i="104"/>
  <c r="C231" i="104"/>
  <c r="B231" i="104"/>
  <c r="B231" i="104" a="1"/>
  <c r="AQ230" i="104"/>
  <c r="N230" i="104"/>
  <c r="C230" i="104"/>
  <c r="B230" i="104"/>
  <c r="B230" i="104" a="1"/>
  <c r="AQ229" i="104"/>
  <c r="BF229" i="104" s="1"/>
  <c r="N229" i="104"/>
  <c r="C229" i="104"/>
  <c r="B229" i="104"/>
  <c r="B229" i="104" a="1"/>
  <c r="AQ228" i="104"/>
  <c r="BF228" i="104" s="1"/>
  <c r="N228" i="104"/>
  <c r="C228" i="104"/>
  <c r="B228" i="104" a="1"/>
  <c r="B228" i="104" s="1"/>
  <c r="AQ227" i="104"/>
  <c r="N227" i="104"/>
  <c r="C227" i="104"/>
  <c r="B227" i="104" a="1"/>
  <c r="B227" i="104" s="1"/>
  <c r="AT226" i="104"/>
  <c r="AQ226" i="104"/>
  <c r="N226" i="104"/>
  <c r="C226" i="104"/>
  <c r="B226" i="104" a="1"/>
  <c r="B226" i="104" s="1"/>
  <c r="AX225" i="104"/>
  <c r="AQ225" i="104"/>
  <c r="N225" i="104"/>
  <c r="C225" i="104"/>
  <c r="B225" i="104" a="1"/>
  <c r="B225" i="104" s="1"/>
  <c r="AV224" i="104"/>
  <c r="AQ224" i="104"/>
  <c r="C224" i="104"/>
  <c r="B224" i="104" a="1"/>
  <c r="B224" i="104" s="1"/>
  <c r="AQ223" i="104"/>
  <c r="N223" i="104"/>
  <c r="C223" i="104"/>
  <c r="B223" i="104" a="1"/>
  <c r="B223" i="104" s="1"/>
  <c r="AU222" i="104"/>
  <c r="C222" i="104"/>
  <c r="B222" i="104" a="1"/>
  <c r="B222" i="104" s="1"/>
  <c r="AQ221" i="104"/>
  <c r="N221" i="104"/>
  <c r="C221" i="104"/>
  <c r="B221" i="104" a="1"/>
  <c r="B221" i="104" s="1"/>
  <c r="AQ220" i="104"/>
  <c r="AX220" i="104"/>
  <c r="N220" i="104"/>
  <c r="C220" i="104"/>
  <c r="B220" i="104" a="1"/>
  <c r="B220" i="104" s="1"/>
  <c r="BF219" i="104"/>
  <c r="AQ219" i="104"/>
  <c r="BC219" i="104" s="1" a="1"/>
  <c r="BC219" i="104" s="1"/>
  <c r="N219" i="104"/>
  <c r="C219" i="104"/>
  <c r="B219" i="104" a="1"/>
  <c r="B219" i="104" s="1"/>
  <c r="AQ218" i="104"/>
  <c r="BC218" i="104" s="1" a="1"/>
  <c r="BC218" i="104" s="1"/>
  <c r="AP218" i="104"/>
  <c r="N218" i="104"/>
  <c r="C218" i="104"/>
  <c r="B218" i="104" a="1"/>
  <c r="B218" i="104" s="1"/>
  <c r="AQ217" i="104"/>
  <c r="N217" i="104"/>
  <c r="C217" i="104"/>
  <c r="B217" i="104" a="1"/>
  <c r="B217" i="104" s="1"/>
  <c r="BK216" i="104"/>
  <c r="BB216" i="104"/>
  <c r="BA216" i="104"/>
  <c r="BE216" i="104" s="1"/>
  <c r="AX216" i="104"/>
  <c r="AW216" i="104"/>
  <c r="AV216" i="104"/>
  <c r="AU216" i="104"/>
  <c r="AT216" i="104"/>
  <c r="AQ216" i="104"/>
  <c r="N216" i="104"/>
  <c r="C216" i="104"/>
  <c r="B216" i="104" a="1"/>
  <c r="B216" i="104" s="1"/>
  <c r="AQ215" i="104"/>
  <c r="BK215" i="104"/>
  <c r="N215" i="104"/>
  <c r="C215" i="104"/>
  <c r="B215" i="104"/>
  <c r="B215" i="104" a="1"/>
  <c r="N214" i="104"/>
  <c r="C214" i="104"/>
  <c r="B214" i="104" a="1"/>
  <c r="B214" i="104" s="1"/>
  <c r="AQ213" i="104"/>
  <c r="AX213" i="104"/>
  <c r="N213" i="104"/>
  <c r="C213" i="104"/>
  <c r="B213" i="104" a="1"/>
  <c r="B213" i="104" s="1"/>
  <c r="AS212" i="104"/>
  <c r="AQ212" i="104"/>
  <c r="BF212" i="104" s="1"/>
  <c r="N212" i="104"/>
  <c r="C212" i="104"/>
  <c r="B212" i="104" a="1"/>
  <c r="B212" i="104" s="1"/>
  <c r="AQ211" i="104"/>
  <c r="N211" i="104"/>
  <c r="C211" i="104"/>
  <c r="B211" i="104" a="1"/>
  <c r="B211" i="104" s="1"/>
  <c r="BK210" i="104"/>
  <c r="BA210" i="104"/>
  <c r="BE210" i="104" s="1"/>
  <c r="AX210" i="104"/>
  <c r="AW210" i="104"/>
  <c r="AV210" i="104"/>
  <c r="AQ210" i="104"/>
  <c r="AN210" i="104"/>
  <c r="N210" i="104"/>
  <c r="C210" i="104"/>
  <c r="B210" i="104"/>
  <c r="B210" i="104" a="1"/>
  <c r="AQ209" i="104"/>
  <c r="N209" i="104"/>
  <c r="C209" i="104"/>
  <c r="B209" i="104" a="1"/>
  <c r="B209" i="104" s="1"/>
  <c r="BB208" i="104"/>
  <c r="BA208" i="104"/>
  <c r="BE208" i="104" s="1"/>
  <c r="AX208" i="104"/>
  <c r="AW208" i="104"/>
  <c r="AV208" i="104"/>
  <c r="AU208" i="104"/>
  <c r="AQ208" i="104"/>
  <c r="AM208" i="104"/>
  <c r="N208" i="104"/>
  <c r="C208" i="104"/>
  <c r="B208" i="104" a="1"/>
  <c r="B208" i="104" s="1"/>
  <c r="BB207" i="104"/>
  <c r="BA207" i="104"/>
  <c r="BE207" i="104" s="1"/>
  <c r="AQ207" i="104"/>
  <c r="N207" i="104"/>
  <c r="C207" i="104"/>
  <c r="B207" i="104" a="1"/>
  <c r="B207" i="104" s="1"/>
  <c r="BK206" i="104"/>
  <c r="BF206" i="104"/>
  <c r="BC206" i="104" a="1"/>
  <c r="BC206" i="104" s="1"/>
  <c r="BA206" i="104"/>
  <c r="BE206" i="104" s="1"/>
  <c r="AX206" i="104"/>
  <c r="AW206" i="104"/>
  <c r="AV206" i="104"/>
  <c r="AQ206" i="104"/>
  <c r="N206" i="104"/>
  <c r="C206" i="104"/>
  <c r="B206" i="104" a="1"/>
  <c r="B206" i="104" s="1"/>
  <c r="AV205" i="104"/>
  <c r="N205" i="104"/>
  <c r="C205" i="104"/>
  <c r="B205" i="104" a="1"/>
  <c r="B205" i="104" s="1"/>
  <c r="AQ204" i="104"/>
  <c r="N204" i="104"/>
  <c r="C204" i="104"/>
  <c r="B204" i="104" a="1"/>
  <c r="B204" i="104" s="1"/>
  <c r="BB203" i="104"/>
  <c r="AQ203" i="104"/>
  <c r="AO203" i="104"/>
  <c r="N203" i="104"/>
  <c r="C203" i="104"/>
  <c r="B203" i="104" a="1"/>
  <c r="B203" i="104" s="1"/>
  <c r="AP202" i="104"/>
  <c r="AS202" i="104"/>
  <c r="AQ202" i="104"/>
  <c r="N202" i="104"/>
  <c r="C202" i="104"/>
  <c r="B202" i="104" a="1"/>
  <c r="B202" i="104" s="1"/>
  <c r="AU201" i="104"/>
  <c r="AQ201" i="104"/>
  <c r="N201" i="104"/>
  <c r="C201" i="104"/>
  <c r="B201" i="104" a="1"/>
  <c r="B201" i="104" s="1"/>
  <c r="AQ200" i="104"/>
  <c r="N200" i="104"/>
  <c r="C200" i="104"/>
  <c r="B200" i="104" a="1"/>
  <c r="B200" i="104" s="1"/>
  <c r="AQ199" i="104"/>
  <c r="N199" i="104"/>
  <c r="C199" i="104"/>
  <c r="B199" i="104"/>
  <c r="B199" i="104" a="1"/>
  <c r="AQ198" i="104"/>
  <c r="N198" i="104"/>
  <c r="C198" i="104"/>
  <c r="B198" i="104" a="1"/>
  <c r="B198" i="104" s="1"/>
  <c r="AQ197" i="104"/>
  <c r="AW197" i="104"/>
  <c r="N197" i="104"/>
  <c r="C197" i="104"/>
  <c r="B197" i="104" a="1"/>
  <c r="B197" i="104" s="1"/>
  <c r="AX196" i="104"/>
  <c r="AV196" i="104"/>
  <c r="AT196" i="104"/>
  <c r="AQ196" i="104"/>
  <c r="AW196" i="104"/>
  <c r="N196" i="104"/>
  <c r="C196" i="104"/>
  <c r="B196" i="104" a="1"/>
  <c r="B196" i="104" s="1"/>
  <c r="AW195" i="104"/>
  <c r="AQ195" i="104"/>
  <c r="N195" i="104"/>
  <c r="C195" i="104"/>
  <c r="B195" i="104" a="1"/>
  <c r="B195" i="104" s="1"/>
  <c r="BF194" i="104"/>
  <c r="AQ194" i="104"/>
  <c r="BC194" i="104" s="1" a="1"/>
  <c r="BC194" i="104" s="1"/>
  <c r="N194" i="104"/>
  <c r="C194" i="104"/>
  <c r="B194" i="104" a="1"/>
  <c r="B194" i="104" s="1"/>
  <c r="AW193" i="104"/>
  <c r="AV193" i="104"/>
  <c r="AU193" i="104"/>
  <c r="AM193" i="104"/>
  <c r="AQ193" i="104"/>
  <c r="N193" i="104"/>
  <c r="C193" i="104"/>
  <c r="B193" i="104" a="1"/>
  <c r="B193" i="104" s="1"/>
  <c r="AQ192" i="104"/>
  <c r="N192" i="104"/>
  <c r="C192" i="104"/>
  <c r="B192" i="104" a="1"/>
  <c r="B192" i="104" s="1"/>
  <c r="BB191" i="104"/>
  <c r="BA191" i="104"/>
  <c r="BE191" i="104" s="1"/>
  <c r="AP191" i="104"/>
  <c r="AO191" i="104"/>
  <c r="AN191" i="104"/>
  <c r="AQ191" i="104"/>
  <c r="N191" i="104"/>
  <c r="C191" i="104"/>
  <c r="B191" i="104" a="1"/>
  <c r="B191" i="104" s="1"/>
  <c r="AQ190" i="104"/>
  <c r="N190" i="104"/>
  <c r="C190" i="104"/>
  <c r="B190" i="104" a="1"/>
  <c r="B190" i="104" s="1"/>
  <c r="AQ189" i="104"/>
  <c r="N189" i="104"/>
  <c r="C189" i="104"/>
  <c r="B189" i="104"/>
  <c r="B189" i="104" a="1"/>
  <c r="AQ188" i="104"/>
  <c r="AX188" i="104"/>
  <c r="N188" i="104"/>
  <c r="C188" i="104"/>
  <c r="B188" i="104" a="1"/>
  <c r="B188" i="104" s="1"/>
  <c r="BC187" i="104" a="1"/>
  <c r="BC187" i="104" s="1"/>
  <c r="BA187" i="104"/>
  <c r="BE187" i="104" s="1"/>
  <c r="AU187" i="104"/>
  <c r="AT187" i="104"/>
  <c r="AS187" i="104"/>
  <c r="AQ187" i="104"/>
  <c r="BF187" i="104" s="1"/>
  <c r="N187" i="104"/>
  <c r="C187" i="104"/>
  <c r="B187" i="104" a="1"/>
  <c r="B187" i="104" s="1"/>
  <c r="AQ186" i="104"/>
  <c r="N186" i="104"/>
  <c r="C186" i="104"/>
  <c r="B186" i="104" a="1"/>
  <c r="B186" i="104" s="1"/>
  <c r="BF185" i="104"/>
  <c r="BC185" i="104" a="1"/>
  <c r="BC185" i="104" s="1"/>
  <c r="BB185" i="104"/>
  <c r="AX185" i="104"/>
  <c r="AV185" i="104"/>
  <c r="AU185" i="104"/>
  <c r="AM185" i="104"/>
  <c r="AQ185" i="104"/>
  <c r="N185" i="104"/>
  <c r="C185" i="104"/>
  <c r="B185" i="104" a="1"/>
  <c r="B185" i="104" s="1"/>
  <c r="N184" i="104"/>
  <c r="C184" i="104"/>
  <c r="B184" i="104" a="1"/>
  <c r="B184" i="104" s="1"/>
  <c r="BK183" i="104"/>
  <c r="BF183" i="104"/>
  <c r="BC183" i="104" a="1"/>
  <c r="BC183" i="104" s="1"/>
  <c r="BB183" i="104"/>
  <c r="BA183" i="104"/>
  <c r="BE183" i="104" s="1"/>
  <c r="AQ183" i="104"/>
  <c r="AN183" i="104"/>
  <c r="N183" i="104"/>
  <c r="C183" i="104"/>
  <c r="B183" i="104"/>
  <c r="B183" i="104" a="1"/>
  <c r="AQ182" i="104"/>
  <c r="BC182" i="104" s="1" a="1"/>
  <c r="BC182" i="104" s="1"/>
  <c r="N182" i="104"/>
  <c r="C182" i="104"/>
  <c r="B182" i="104" a="1"/>
  <c r="B182" i="104" s="1"/>
  <c r="AX181" i="104"/>
  <c r="AU181" i="104"/>
  <c r="AS181" i="104"/>
  <c r="AQ181" i="104"/>
  <c r="AP181" i="104"/>
  <c r="BB181" i="104"/>
  <c r="N181" i="104"/>
  <c r="C181" i="104"/>
  <c r="B181" i="104"/>
  <c r="B181" i="104" a="1"/>
  <c r="AQ180" i="104"/>
  <c r="AO180" i="104"/>
  <c r="N180" i="104"/>
  <c r="C180" i="104"/>
  <c r="B180" i="104"/>
  <c r="B180" i="104" a="1"/>
  <c r="BK179" i="104"/>
  <c r="AQ179" i="104"/>
  <c r="N179" i="104"/>
  <c r="C179" i="104"/>
  <c r="B179" i="104" a="1"/>
  <c r="B179" i="104" s="1"/>
  <c r="BF178" i="104"/>
  <c r="BC178" i="104" a="1"/>
  <c r="BC178" i="104" s="1"/>
  <c r="AQ178" i="104"/>
  <c r="N178" i="104"/>
  <c r="C178" i="104"/>
  <c r="B178" i="104" a="1"/>
  <c r="B178" i="104" s="1"/>
  <c r="BK177" i="104"/>
  <c r="BB177" i="104"/>
  <c r="AQ177" i="104"/>
  <c r="AV177" i="104"/>
  <c r="N177" i="104"/>
  <c r="C177" i="104"/>
  <c r="B177" i="104" a="1"/>
  <c r="B177" i="104" s="1"/>
  <c r="AQ176" i="104"/>
  <c r="N176" i="104"/>
  <c r="C176" i="104"/>
  <c r="B176" i="104" a="1"/>
  <c r="B176" i="104" s="1"/>
  <c r="AX175" i="104"/>
  <c r="AW175" i="104"/>
  <c r="AT175" i="104"/>
  <c r="AQ175" i="104"/>
  <c r="AP175" i="104"/>
  <c r="AO175" i="104"/>
  <c r="AM175" i="104"/>
  <c r="N175" i="104"/>
  <c r="C175" i="104"/>
  <c r="B175" i="104" a="1"/>
  <c r="B175" i="104" s="1"/>
  <c r="BF174" i="104"/>
  <c r="AQ174" i="104"/>
  <c r="BC174" i="104" s="1" a="1"/>
  <c r="BC174" i="104" s="1"/>
  <c r="AT174" i="104"/>
  <c r="N174" i="104"/>
  <c r="C174" i="104"/>
  <c r="B174" i="104" a="1"/>
  <c r="B174" i="104" s="1"/>
  <c r="AQ173" i="104"/>
  <c r="BF173" i="104" s="1"/>
  <c r="N173" i="104"/>
  <c r="C173" i="104"/>
  <c r="B173" i="104" a="1"/>
  <c r="B173" i="104" s="1"/>
  <c r="AX172" i="104"/>
  <c r="C172" i="104"/>
  <c r="B172" i="104" a="1"/>
  <c r="B172" i="104" s="1"/>
  <c r="AQ171" i="104"/>
  <c r="N171" i="104"/>
  <c r="C171" i="104"/>
  <c r="B171" i="104" a="1"/>
  <c r="B171" i="104" s="1"/>
  <c r="AQ170" i="104"/>
  <c r="N170" i="104"/>
  <c r="C170" i="104"/>
  <c r="B170" i="104" a="1"/>
  <c r="B170" i="104" s="1"/>
  <c r="AQ169" i="104"/>
  <c r="BC169" i="104" s="1" a="1"/>
  <c r="BC169" i="104" s="1"/>
  <c r="BK169" i="104"/>
  <c r="N169" i="104"/>
  <c r="C169" i="104"/>
  <c r="B169" i="104" a="1"/>
  <c r="B169" i="104" s="1"/>
  <c r="AQ168" i="104"/>
  <c r="BF168" i="104" s="1"/>
  <c r="AP168" i="104"/>
  <c r="N168" i="104"/>
  <c r="C168" i="104"/>
  <c r="B168" i="104" a="1"/>
  <c r="B168" i="104" s="1"/>
  <c r="BF167" i="104"/>
  <c r="BC167" i="104" a="1"/>
  <c r="BC167" i="104" s="1"/>
  <c r="AQ167" i="104"/>
  <c r="N167" i="104"/>
  <c r="C167" i="104"/>
  <c r="B167" i="104" a="1"/>
  <c r="B167" i="104" s="1"/>
  <c r="AQ166" i="104"/>
  <c r="BF166" i="104" s="1"/>
  <c r="N166" i="104"/>
  <c r="C166" i="104"/>
  <c r="B166" i="104" a="1"/>
  <c r="B166" i="104" s="1"/>
  <c r="BA165" i="104"/>
  <c r="BE165" i="104" s="1"/>
  <c r="AX165" i="104"/>
  <c r="AW165" i="104"/>
  <c r="AV165" i="104"/>
  <c r="AT165" i="104"/>
  <c r="AP165" i="104"/>
  <c r="AO165" i="104"/>
  <c r="AQ165" i="104"/>
  <c r="N165" i="104"/>
  <c r="C165" i="104"/>
  <c r="B165" i="104" a="1"/>
  <c r="B165" i="104" s="1"/>
  <c r="AX164" i="104"/>
  <c r="AW164" i="104"/>
  <c r="AV164" i="104"/>
  <c r="AU164" i="104"/>
  <c r="AT164" i="104"/>
  <c r="AS164" i="104"/>
  <c r="AQ164" i="104"/>
  <c r="AP164" i="104"/>
  <c r="AO164" i="104"/>
  <c r="AN164" i="104"/>
  <c r="BK164" i="104"/>
  <c r="N164" i="104"/>
  <c r="C164" i="104"/>
  <c r="B164" i="104" a="1"/>
  <c r="B164" i="104" s="1"/>
  <c r="N163" i="104"/>
  <c r="C163" i="104"/>
  <c r="B163" i="104" a="1"/>
  <c r="B163" i="104" s="1"/>
  <c r="BB162" i="104"/>
  <c r="BA162" i="104"/>
  <c r="BE162" i="104" s="1"/>
  <c r="AX162" i="104"/>
  <c r="AS162" i="104"/>
  <c r="AQ162" i="104"/>
  <c r="BC162" i="104" s="1" a="1"/>
  <c r="BC162" i="104" s="1"/>
  <c r="AP162" i="104"/>
  <c r="AO162" i="104"/>
  <c r="AM162" i="104"/>
  <c r="N162" i="104"/>
  <c r="C162" i="104"/>
  <c r="B162" i="104" a="1"/>
  <c r="B162" i="104" s="1"/>
  <c r="AQ161" i="104"/>
  <c r="N161" i="104"/>
  <c r="C161" i="104"/>
  <c r="B161" i="104" a="1"/>
  <c r="B161" i="104" s="1"/>
  <c r="BA160" i="104"/>
  <c r="BE160" i="104" s="1"/>
  <c r="AX160" i="104"/>
  <c r="AS160" i="104"/>
  <c r="AQ160" i="104"/>
  <c r="N160" i="104"/>
  <c r="C160" i="104"/>
  <c r="B160" i="104" a="1"/>
  <c r="B160" i="104" s="1"/>
  <c r="AQ159" i="104"/>
  <c r="N159" i="104"/>
  <c r="C159" i="104"/>
  <c r="B159" i="104" a="1"/>
  <c r="B159" i="104" s="1"/>
  <c r="AQ158" i="104"/>
  <c r="BB158" i="104"/>
  <c r="N158" i="104"/>
  <c r="C158" i="104"/>
  <c r="B158" i="104" a="1"/>
  <c r="B158" i="104" s="1"/>
  <c r="AQ157" i="104"/>
  <c r="N157" i="104"/>
  <c r="C157" i="104"/>
  <c r="B157" i="104" a="1"/>
  <c r="B157" i="104" s="1"/>
  <c r="N156" i="104"/>
  <c r="C156" i="104"/>
  <c r="B156" i="104" a="1"/>
  <c r="B156" i="104" s="1"/>
  <c r="AQ155" i="104"/>
  <c r="N155" i="104"/>
  <c r="C155" i="104"/>
  <c r="B155" i="104"/>
  <c r="B155" i="104" a="1"/>
  <c r="AQ154" i="104"/>
  <c r="AM154" i="104"/>
  <c r="N154" i="104"/>
  <c r="C154" i="104"/>
  <c r="B154" i="104" a="1"/>
  <c r="B154" i="104" s="1"/>
  <c r="AQ153" i="104"/>
  <c r="N153" i="104"/>
  <c r="C153" i="104"/>
  <c r="B153" i="104" a="1"/>
  <c r="B153" i="104" s="1"/>
  <c r="AQ152" i="104"/>
  <c r="N152" i="104"/>
  <c r="C152" i="104"/>
  <c r="B152" i="104" a="1"/>
  <c r="B152" i="104" s="1"/>
  <c r="AS151" i="104"/>
  <c r="AV151" i="104"/>
  <c r="AQ151" i="104"/>
  <c r="N151" i="104"/>
  <c r="C151" i="104"/>
  <c r="B151" i="104" a="1"/>
  <c r="B151" i="104" s="1"/>
  <c r="AO150" i="104"/>
  <c r="AQ150" i="104"/>
  <c r="N150" i="104"/>
  <c r="C150" i="104"/>
  <c r="B150" i="104" a="1"/>
  <c r="B150" i="104" s="1"/>
  <c r="AS149" i="104"/>
  <c r="AQ149" i="104"/>
  <c r="N149" i="104"/>
  <c r="C149" i="104"/>
  <c r="B149" i="104" a="1"/>
  <c r="B149" i="104" s="1"/>
  <c r="BB148" i="104"/>
  <c r="AU148" i="104"/>
  <c r="AQ148" i="104"/>
  <c r="N148" i="104"/>
  <c r="C148" i="104"/>
  <c r="B148" i="104" a="1"/>
  <c r="B148" i="104" s="1"/>
  <c r="AW147" i="104"/>
  <c r="AQ147" i="104"/>
  <c r="N147" i="104"/>
  <c r="C147" i="104"/>
  <c r="B147" i="104"/>
  <c r="B147" i="104" a="1"/>
  <c r="AP146" i="104"/>
  <c r="AQ146" i="104"/>
  <c r="N146" i="104"/>
  <c r="C146" i="104"/>
  <c r="B146" i="104" a="1"/>
  <c r="B146" i="104" s="1"/>
  <c r="BK145" i="104"/>
  <c r="BB145" i="104"/>
  <c r="BA145" i="104"/>
  <c r="BE145" i="104" s="1"/>
  <c r="AS145" i="104"/>
  <c r="AQ145" i="104"/>
  <c r="N145" i="104"/>
  <c r="C145" i="104"/>
  <c r="B145" i="104" a="1"/>
  <c r="B145" i="104" s="1"/>
  <c r="BB144" i="104"/>
  <c r="AQ144" i="104"/>
  <c r="BF144" i="104" s="1"/>
  <c r="N144" i="104"/>
  <c r="C144" i="104"/>
  <c r="B144" i="104" a="1"/>
  <c r="B144" i="104" s="1"/>
  <c r="AX143" i="104"/>
  <c r="AV143" i="104"/>
  <c r="AU143" i="104"/>
  <c r="AS143" i="104"/>
  <c r="AQ143" i="104"/>
  <c r="N143" i="104"/>
  <c r="C143" i="104"/>
  <c r="B143" i="104" a="1"/>
  <c r="B143" i="104" s="1"/>
  <c r="AX142" i="104"/>
  <c r="AW142" i="104"/>
  <c r="AV142" i="104"/>
  <c r="AT142" i="104"/>
  <c r="AQ142" i="104"/>
  <c r="BA142" i="104"/>
  <c r="BE142" i="104" s="1"/>
  <c r="N142" i="104"/>
  <c r="C142" i="104"/>
  <c r="B142" i="104" a="1"/>
  <c r="B142" i="104" s="1"/>
  <c r="AM141" i="104"/>
  <c r="N141" i="104"/>
  <c r="C141" i="104"/>
  <c r="B141" i="104" a="1"/>
  <c r="B141" i="104" s="1"/>
  <c r="AQ140" i="104"/>
  <c r="BC140" i="104" s="1" a="1"/>
  <c r="BC140" i="104" s="1"/>
  <c r="N140" i="104"/>
  <c r="C140" i="104"/>
  <c r="B140" i="104"/>
  <c r="B140" i="104" a="1"/>
  <c r="BB139" i="104"/>
  <c r="AQ139" i="104"/>
  <c r="N139" i="104"/>
  <c r="C139" i="104"/>
  <c r="B139" i="104" a="1"/>
  <c r="B139" i="104" s="1"/>
  <c r="BB138" i="104"/>
  <c r="AQ138" i="104"/>
  <c r="BF138" i="104" s="1"/>
  <c r="N138" i="104"/>
  <c r="C138" i="104"/>
  <c r="B138" i="104" a="1"/>
  <c r="B138" i="104" s="1"/>
  <c r="AQ137" i="104"/>
  <c r="BK137" i="104"/>
  <c r="N137" i="104"/>
  <c r="C137" i="104"/>
  <c r="B137" i="104" a="1"/>
  <c r="B137" i="104" s="1"/>
  <c r="AQ136" i="104"/>
  <c r="AV136" i="104"/>
  <c r="N136" i="104"/>
  <c r="C136" i="104"/>
  <c r="B136" i="104"/>
  <c r="B136" i="104" a="1"/>
  <c r="AQ135" i="104"/>
  <c r="BK135" i="104"/>
  <c r="N135" i="104"/>
  <c r="C135" i="104"/>
  <c r="B135" i="104" a="1"/>
  <c r="B135" i="104" s="1"/>
  <c r="AQ134" i="104"/>
  <c r="AS134" i="104"/>
  <c r="N134" i="104"/>
  <c r="C134" i="104"/>
  <c r="B134" i="104" a="1"/>
  <c r="B134" i="104" s="1"/>
  <c r="AQ133" i="104"/>
  <c r="BC133" i="104" s="1" a="1"/>
  <c r="BC133" i="104" s="1"/>
  <c r="N133" i="104"/>
  <c r="C133" i="104"/>
  <c r="B133" i="104" a="1"/>
  <c r="B133" i="104" s="1"/>
  <c r="AQ132" i="104"/>
  <c r="N132" i="104"/>
  <c r="C132" i="104"/>
  <c r="B132" i="104" a="1"/>
  <c r="B132" i="104" s="1"/>
  <c r="AU131" i="104"/>
  <c r="C131" i="104"/>
  <c r="B131" i="104" a="1"/>
  <c r="B131" i="104" s="1"/>
  <c r="AQ130" i="104"/>
  <c r="BF130" i="104" s="1"/>
  <c r="N130" i="104"/>
  <c r="C130" i="104"/>
  <c r="B130" i="104" a="1"/>
  <c r="B130" i="104" s="1"/>
  <c r="AT129" i="104"/>
  <c r="AQ129" i="104"/>
  <c r="N129" i="104"/>
  <c r="C129" i="104"/>
  <c r="B129" i="104" a="1"/>
  <c r="B129" i="104" s="1"/>
  <c r="AQ128" i="104"/>
  <c r="C128" i="104"/>
  <c r="B128" i="104" a="1"/>
  <c r="B128" i="104" s="1"/>
  <c r="AQ127" i="104"/>
  <c r="AX127" i="104"/>
  <c r="N127" i="104"/>
  <c r="C127" i="104"/>
  <c r="B127" i="104" a="1"/>
  <c r="B127" i="104" s="1"/>
  <c r="AT126" i="104"/>
  <c r="AS126" i="104"/>
  <c r="AQ126" i="104"/>
  <c r="AN126" i="104"/>
  <c r="N126" i="104"/>
  <c r="C126" i="104"/>
  <c r="B126" i="104" a="1"/>
  <c r="B126" i="104" s="1"/>
  <c r="AQ125" i="104"/>
  <c r="AM125" i="104"/>
  <c r="N125" i="104"/>
  <c r="C125" i="104"/>
  <c r="B125" i="104" a="1"/>
  <c r="B125" i="104" s="1"/>
  <c r="BK124" i="104"/>
  <c r="BF124" i="104"/>
  <c r="BC124" i="104" a="1"/>
  <c r="BC124" i="104" s="1"/>
  <c r="BB124" i="104"/>
  <c r="BA124" i="104"/>
  <c r="BE124" i="104" s="1"/>
  <c r="AX124" i="104"/>
  <c r="AU124" i="104"/>
  <c r="AT124" i="104"/>
  <c r="AS124" i="104"/>
  <c r="AQ124" i="104"/>
  <c r="AP124" i="104"/>
  <c r="AO124" i="104"/>
  <c r="N124" i="104"/>
  <c r="C124" i="104"/>
  <c r="B124" i="104" a="1"/>
  <c r="B124" i="104" s="1"/>
  <c r="BC123" i="104" a="1"/>
  <c r="BC123" i="104" s="1"/>
  <c r="AQ123" i="104"/>
  <c r="BF123" i="104" s="1"/>
  <c r="AN123" i="104"/>
  <c r="N123" i="104"/>
  <c r="C123" i="104"/>
  <c r="B123" i="104" a="1"/>
  <c r="B123" i="104" s="1"/>
  <c r="BF122" i="104"/>
  <c r="BC122" i="104"/>
  <c r="AV122" i="104"/>
  <c r="AT122" i="104"/>
  <c r="AU122" i="104"/>
  <c r="AQ122" i="104"/>
  <c r="BC122" i="104" s="1" a="1"/>
  <c r="N122" i="104"/>
  <c r="C122" i="104"/>
  <c r="B122" i="104" a="1"/>
  <c r="B122" i="104" s="1"/>
  <c r="AQ121" i="104"/>
  <c r="AM121" i="104"/>
  <c r="N121" i="104"/>
  <c r="C121" i="104"/>
  <c r="B121" i="104" a="1"/>
  <c r="B121" i="104" s="1"/>
  <c r="AP120" i="104"/>
  <c r="AQ120" i="104"/>
  <c r="BC120" i="104" s="1" a="1"/>
  <c r="BC120" i="104" s="1"/>
  <c r="N120" i="104"/>
  <c r="C120" i="104"/>
  <c r="B120" i="104" a="1"/>
  <c r="B120" i="104" s="1"/>
  <c r="AQ119" i="104"/>
  <c r="AM119" i="104"/>
  <c r="N119" i="104"/>
  <c r="C119" i="104"/>
  <c r="B119" i="104" a="1"/>
  <c r="B119" i="104" s="1"/>
  <c r="AW118" i="104"/>
  <c r="AV118" i="104"/>
  <c r="AQ118" i="104"/>
  <c r="N118" i="104"/>
  <c r="C118" i="104"/>
  <c r="B118" i="104" a="1"/>
  <c r="B118" i="104" s="1"/>
  <c r="BF117" i="104"/>
  <c r="AU117" i="104"/>
  <c r="AT117" i="104"/>
  <c r="AQ117" i="104"/>
  <c r="BC117" i="104" s="1" a="1"/>
  <c r="BC117" i="104" s="1"/>
  <c r="N117" i="104"/>
  <c r="C117" i="104"/>
  <c r="B117" i="104" a="1"/>
  <c r="B117" i="104" s="1"/>
  <c r="AQ116" i="104"/>
  <c r="N116" i="104"/>
  <c r="C116" i="104"/>
  <c r="B116" i="104" a="1"/>
  <c r="B116" i="104" s="1"/>
  <c r="AQ115" i="104"/>
  <c r="BK115" i="104"/>
  <c r="N115" i="104"/>
  <c r="C115" i="104"/>
  <c r="B115" i="104" a="1"/>
  <c r="B115" i="104" s="1"/>
  <c r="AQ114" i="104"/>
  <c r="AS114" i="104"/>
  <c r="N114" i="104"/>
  <c r="C114" i="104"/>
  <c r="B114" i="104" a="1"/>
  <c r="B114" i="104" s="1"/>
  <c r="BK113" i="104"/>
  <c r="AV113" i="104"/>
  <c r="AU113" i="104"/>
  <c r="AT113" i="104"/>
  <c r="AS113" i="104"/>
  <c r="N113" i="104"/>
  <c r="C113" i="104"/>
  <c r="B113" i="104" a="1"/>
  <c r="B113" i="104" s="1"/>
  <c r="AQ112" i="104"/>
  <c r="BC112" i="104" s="1" a="1"/>
  <c r="BC112" i="104" s="1"/>
  <c r="BK112" i="104"/>
  <c r="N112" i="104"/>
  <c r="C112" i="104"/>
  <c r="B112" i="104" a="1"/>
  <c r="B112" i="104" s="1"/>
  <c r="AQ111" i="104"/>
  <c r="N111" i="104"/>
  <c r="C111" i="104"/>
  <c r="B111" i="104" a="1"/>
  <c r="B111" i="104" s="1"/>
  <c r="AM110" i="104"/>
  <c r="AQ110" i="104"/>
  <c r="N110" i="104"/>
  <c r="C110" i="104"/>
  <c r="B110" i="104" a="1"/>
  <c r="B110" i="104" s="1"/>
  <c r="AQ109" i="104"/>
  <c r="N109" i="104"/>
  <c r="C109" i="104"/>
  <c r="B109" i="104" a="1"/>
  <c r="B109" i="104" s="1"/>
  <c r="AQ108" i="104"/>
  <c r="N108" i="104"/>
  <c r="C108" i="104"/>
  <c r="B108" i="104" a="1"/>
  <c r="B108" i="104" s="1"/>
  <c r="AM107" i="104"/>
  <c r="AQ107" i="104"/>
  <c r="N107" i="104"/>
  <c r="C107" i="104"/>
  <c r="B107" i="104" a="1"/>
  <c r="B107" i="104" s="1"/>
  <c r="AQ106" i="104"/>
  <c r="N106" i="104"/>
  <c r="C106" i="104"/>
  <c r="B106" i="104" a="1"/>
  <c r="B106" i="104" s="1"/>
  <c r="AQ105" i="104"/>
  <c r="BF105" i="104" s="1"/>
  <c r="N105" i="104"/>
  <c r="C105" i="104"/>
  <c r="B105" i="104" a="1"/>
  <c r="B105" i="104" s="1"/>
  <c r="AM104" i="104"/>
  <c r="AQ104" i="104"/>
  <c r="N104" i="104"/>
  <c r="C104" i="104"/>
  <c r="B104" i="104" a="1"/>
  <c r="B104" i="104" s="1"/>
  <c r="AQ103" i="104"/>
  <c r="N103" i="104"/>
  <c r="C103" i="104"/>
  <c r="B103" i="104" a="1"/>
  <c r="B103" i="104" s="1"/>
  <c r="AQ102" i="104"/>
  <c r="N102" i="104"/>
  <c r="C102" i="104"/>
  <c r="B102" i="104" a="1"/>
  <c r="B102" i="104" s="1"/>
  <c r="BK101" i="104"/>
  <c r="AQ101" i="104"/>
  <c r="N101" i="104"/>
  <c r="C101" i="104"/>
  <c r="B101" i="104" a="1"/>
  <c r="B101" i="104" s="1"/>
  <c r="AN100" i="104"/>
  <c r="AQ100" i="104"/>
  <c r="N100" i="104"/>
  <c r="C100" i="104"/>
  <c r="B100" i="104" a="1"/>
  <c r="B100" i="104" s="1"/>
  <c r="AU99" i="104"/>
  <c r="AQ99" i="104"/>
  <c r="AO99" i="104"/>
  <c r="AN99" i="104"/>
  <c r="N99" i="104"/>
  <c r="C99" i="104"/>
  <c r="B99" i="104" a="1"/>
  <c r="B99" i="104" s="1"/>
  <c r="AT98" i="104"/>
  <c r="N98" i="104"/>
  <c r="C98" i="104"/>
  <c r="B98" i="104" a="1"/>
  <c r="B98" i="104" s="1"/>
  <c r="BK97" i="104"/>
  <c r="AX97" i="104"/>
  <c r="AW97" i="104"/>
  <c r="AV97" i="104"/>
  <c r="AQ97" i="104"/>
  <c r="AP97" i="104"/>
  <c r="N97" i="104"/>
  <c r="C97" i="104"/>
  <c r="B97" i="104" a="1"/>
  <c r="B97" i="104" s="1"/>
  <c r="AQ96" i="104"/>
  <c r="N96" i="104"/>
  <c r="C96" i="104"/>
  <c r="B96" i="104" a="1"/>
  <c r="B96" i="104" s="1"/>
  <c r="AQ95" i="104"/>
  <c r="N95" i="104"/>
  <c r="C95" i="104"/>
  <c r="B95" i="104" a="1"/>
  <c r="B95" i="104" s="1"/>
  <c r="AQ94" i="104"/>
  <c r="N94" i="104"/>
  <c r="C94" i="104"/>
  <c r="B94" i="104"/>
  <c r="B94" i="104" a="1"/>
  <c r="AQ93" i="104"/>
  <c r="N93" i="104"/>
  <c r="C93" i="104"/>
  <c r="B93" i="104" a="1"/>
  <c r="B93" i="104" s="1"/>
  <c r="AW92" i="104"/>
  <c r="AV92" i="104"/>
  <c r="AU92" i="104"/>
  <c r="AT92" i="104"/>
  <c r="AS92" i="104"/>
  <c r="AQ92" i="104"/>
  <c r="N92" i="104"/>
  <c r="C92" i="104"/>
  <c r="B92" i="104" a="1"/>
  <c r="B92" i="104" s="1"/>
  <c r="AQ91" i="104"/>
  <c r="AO91" i="104"/>
  <c r="N91" i="104"/>
  <c r="C91" i="104"/>
  <c r="B91" i="104"/>
  <c r="B91" i="104" a="1"/>
  <c r="AQ90" i="104"/>
  <c r="BC90" i="104" s="1" a="1"/>
  <c r="BC90" i="104" s="1"/>
  <c r="AO90" i="104"/>
  <c r="N90" i="104"/>
  <c r="C90" i="104"/>
  <c r="B90" i="104" a="1"/>
  <c r="B90" i="104" s="1"/>
  <c r="AQ89" i="104"/>
  <c r="BF89" i="104" s="1"/>
  <c r="AX89" i="104"/>
  <c r="N89" i="104"/>
  <c r="C89" i="104"/>
  <c r="B89" i="104" a="1"/>
  <c r="B89" i="104" s="1"/>
  <c r="BC88" i="104" a="1"/>
  <c r="BC88" i="104" s="1"/>
  <c r="AQ88" i="104"/>
  <c r="BF88" i="104" s="1"/>
  <c r="N88" i="104"/>
  <c r="C88" i="104"/>
  <c r="B88" i="104" a="1"/>
  <c r="B88" i="104" s="1"/>
  <c r="AX87" i="104"/>
  <c r="N87" i="104"/>
  <c r="C87" i="104"/>
  <c r="B87" i="104" a="1"/>
  <c r="B87" i="104" s="1"/>
  <c r="AW86" i="104"/>
  <c r="AQ86" i="104"/>
  <c r="N86" i="104"/>
  <c r="C86" i="104"/>
  <c r="B86" i="104" a="1"/>
  <c r="B86" i="104" s="1"/>
  <c r="AQ85" i="104"/>
  <c r="N85" i="104"/>
  <c r="C85" i="104"/>
  <c r="B85" i="104" a="1"/>
  <c r="B85" i="104" s="1"/>
  <c r="AQ84" i="104"/>
  <c r="N84" i="104"/>
  <c r="C84" i="104"/>
  <c r="B84" i="104" a="1"/>
  <c r="B84" i="104" s="1"/>
  <c r="AQ83" i="104"/>
  <c r="AX83" i="104"/>
  <c r="N83" i="104"/>
  <c r="C83" i="104"/>
  <c r="B83" i="104" a="1"/>
  <c r="B83" i="104" s="1"/>
  <c r="AQ82" i="104"/>
  <c r="BK82" i="104"/>
  <c r="N82" i="104"/>
  <c r="C82" i="104"/>
  <c r="B82" i="104" a="1"/>
  <c r="B82" i="104" s="1"/>
  <c r="AQ81" i="104"/>
  <c r="BC81" i="104" s="1" a="1"/>
  <c r="BC81" i="104" s="1"/>
  <c r="AN81" i="104"/>
  <c r="N81" i="104"/>
  <c r="C81" i="104"/>
  <c r="B81" i="104" a="1"/>
  <c r="B81" i="104" s="1"/>
  <c r="BC80" i="104" a="1"/>
  <c r="BC80" i="104" s="1"/>
  <c r="AQ80" i="104"/>
  <c r="BF80" i="104" s="1"/>
  <c r="N80" i="104"/>
  <c r="C80" i="104"/>
  <c r="B80" i="104" a="1"/>
  <c r="B80" i="104" s="1"/>
  <c r="AV79" i="104"/>
  <c r="AT79" i="104"/>
  <c r="AS79" i="104"/>
  <c r="AQ79" i="104"/>
  <c r="N79" i="104"/>
  <c r="C79" i="104"/>
  <c r="B79" i="104" a="1"/>
  <c r="B79" i="104" s="1"/>
  <c r="DG78" i="104"/>
  <c r="DF78" i="104"/>
  <c r="DE78" i="104"/>
  <c r="DD78" i="104"/>
  <c r="DC78" i="104"/>
  <c r="DB78" i="104"/>
  <c r="DA78" i="104"/>
  <c r="CY78" i="104"/>
  <c r="CX78" i="104"/>
  <c r="CW78" i="104"/>
  <c r="CV78" i="104"/>
  <c r="CU78" i="104"/>
  <c r="CT78" i="104"/>
  <c r="CS78" i="104"/>
  <c r="CQ78" i="104"/>
  <c r="CP78" i="104"/>
  <c r="CO78" i="104"/>
  <c r="CN78" i="104"/>
  <c r="CM78" i="104"/>
  <c r="CL78" i="104"/>
  <c r="CK78" i="104"/>
  <c r="AQ78" i="104"/>
  <c r="N78" i="104"/>
  <c r="C78" i="104"/>
  <c r="B78" i="104" a="1"/>
  <c r="B78" i="104" s="1"/>
  <c r="N77" i="104"/>
  <c r="C77" i="104"/>
  <c r="B77" i="104" a="1"/>
  <c r="B77" i="104" s="1"/>
  <c r="AQ76" i="104"/>
  <c r="BF76" i="104" s="1"/>
  <c r="AU76" i="104"/>
  <c r="N76" i="104"/>
  <c r="C76" i="104"/>
  <c r="B76" i="104" a="1"/>
  <c r="B76" i="104" s="1"/>
  <c r="AQ75" i="104"/>
  <c r="BB75" i="104"/>
  <c r="N75" i="104"/>
  <c r="C75" i="104"/>
  <c r="B75" i="104"/>
  <c r="B75" i="104" a="1"/>
  <c r="BC74" i="104" a="1"/>
  <c r="BC74" i="104" s="1"/>
  <c r="BB74" i="104"/>
  <c r="BA74" i="104"/>
  <c r="BE74" i="104" s="1"/>
  <c r="AQ74" i="104"/>
  <c r="BF74" i="104" s="1"/>
  <c r="AN74" i="104"/>
  <c r="AM74" i="104"/>
  <c r="N74" i="104"/>
  <c r="C74" i="104"/>
  <c r="B74" i="104" a="1"/>
  <c r="B74" i="104" s="1"/>
  <c r="AQ73" i="104"/>
  <c r="BC73" i="104" s="1" a="1"/>
  <c r="BC73" i="104" s="1"/>
  <c r="AM73" i="104"/>
  <c r="N73" i="104"/>
  <c r="C73" i="104"/>
  <c r="B73" i="104"/>
  <c r="B73" i="104" a="1"/>
  <c r="BK72" i="104"/>
  <c r="BB72" i="104"/>
  <c r="AQ72" i="104"/>
  <c r="AM72" i="104"/>
  <c r="N72" i="104"/>
  <c r="C72" i="104"/>
  <c r="B72" i="104" a="1"/>
  <c r="B72" i="104" s="1"/>
  <c r="AS71" i="104"/>
  <c r="AQ71" i="104"/>
  <c r="N71" i="104"/>
  <c r="C71" i="104"/>
  <c r="B71" i="104"/>
  <c r="B71" i="104" a="1"/>
  <c r="BK70" i="104"/>
  <c r="AO70" i="104"/>
  <c r="N70" i="104"/>
  <c r="C70" i="104"/>
  <c r="B70" i="104" a="1"/>
  <c r="B70" i="104" s="1"/>
  <c r="AQ69" i="104"/>
  <c r="N69" i="104"/>
  <c r="C69" i="104"/>
  <c r="B69" i="104" a="1"/>
  <c r="B69" i="104" s="1"/>
  <c r="AQ68" i="104"/>
  <c r="AN68" i="104"/>
  <c r="N68" i="104"/>
  <c r="C68" i="104"/>
  <c r="B68" i="104"/>
  <c r="B68" i="104" a="1"/>
  <c r="AN67" i="104"/>
  <c r="AQ67" i="104"/>
  <c r="N67" i="104"/>
  <c r="C67" i="104"/>
  <c r="B67" i="104" a="1"/>
  <c r="B67" i="104" s="1"/>
  <c r="AQ66" i="104"/>
  <c r="BF66" i="104" s="1"/>
  <c r="N66" i="104"/>
  <c r="C66" i="104"/>
  <c r="B66" i="104"/>
  <c r="B66" i="104" a="1"/>
  <c r="AQ65" i="104"/>
  <c r="N65" i="104"/>
  <c r="C65" i="104"/>
  <c r="B65" i="104" a="1"/>
  <c r="B65" i="104" s="1"/>
  <c r="AM64" i="104"/>
  <c r="AQ64" i="104"/>
  <c r="BC64" i="104" s="1" a="1"/>
  <c r="BC64" i="104" s="1"/>
  <c r="N64" i="104"/>
  <c r="C64" i="104"/>
  <c r="B64" i="104" a="1"/>
  <c r="B64" i="104" s="1"/>
  <c r="BS63" i="104"/>
  <c r="BV63" i="104" s="1"/>
  <c r="AQ63" i="104"/>
  <c r="N63" i="104"/>
  <c r="C63" i="104"/>
  <c r="B63" i="104" a="1"/>
  <c r="B63" i="104" s="1"/>
  <c r="BS62" i="104"/>
  <c r="BV62" i="104" s="1"/>
  <c r="AQ62" i="104"/>
  <c r="N62" i="104"/>
  <c r="C62" i="104"/>
  <c r="B62" i="104" a="1"/>
  <c r="B62" i="104" s="1"/>
  <c r="BS61" i="104"/>
  <c r="BV61" i="104" s="1"/>
  <c r="BF61" i="104"/>
  <c r="AQ61" i="104"/>
  <c r="BC61" i="104" s="1" a="1"/>
  <c r="BC61" i="104" s="1"/>
  <c r="N61" i="104"/>
  <c r="C61" i="104"/>
  <c r="B61" i="104" a="1"/>
  <c r="B61" i="104" s="1"/>
  <c r="BS60" i="104"/>
  <c r="BV60" i="104" s="1"/>
  <c r="AV60" i="104"/>
  <c r="AQ60" i="104"/>
  <c r="N60" i="104"/>
  <c r="C60" i="104"/>
  <c r="B60" i="104" a="1"/>
  <c r="B60" i="104" s="1"/>
  <c r="BS59" i="104"/>
  <c r="BV59" i="104" s="1"/>
  <c r="AU59" i="104"/>
  <c r="AQ59" i="104"/>
  <c r="N59" i="104"/>
  <c r="C59" i="104"/>
  <c r="B59" i="104" a="1"/>
  <c r="B59" i="104" s="1"/>
  <c r="BS58" i="104"/>
  <c r="BV58" i="104" s="1"/>
  <c r="AT58" i="104"/>
  <c r="AS58" i="104"/>
  <c r="AQ58" i="104"/>
  <c r="N58" i="104"/>
  <c r="C58" i="104"/>
  <c r="B58" i="104" a="1"/>
  <c r="B58" i="104" s="1"/>
  <c r="BS57" i="104"/>
  <c r="BV57" i="104" s="1"/>
  <c r="AQ57" i="104"/>
  <c r="BB57" i="104"/>
  <c r="N57" i="104"/>
  <c r="C57" i="104"/>
  <c r="B57" i="104" a="1"/>
  <c r="B57" i="104" s="1"/>
  <c r="BS56" i="104"/>
  <c r="BV56" i="104" s="1"/>
  <c r="BK56" i="104"/>
  <c r="AV56" i="104"/>
  <c r="AU56" i="104"/>
  <c r="AO56" i="104"/>
  <c r="AN56" i="104"/>
  <c r="AM56" i="104"/>
  <c r="AQ56" i="104"/>
  <c r="N56" i="104"/>
  <c r="C56" i="104"/>
  <c r="B56" i="104" a="1"/>
  <c r="B56" i="104" s="1"/>
  <c r="BS55" i="104"/>
  <c r="BV55" i="104" s="1"/>
  <c r="AX55" i="104"/>
  <c r="AQ55" i="104"/>
  <c r="BF55" i="104" s="1"/>
  <c r="N55" i="104"/>
  <c r="C55" i="104"/>
  <c r="B55" i="104" a="1"/>
  <c r="B55" i="104" s="1"/>
  <c r="BS54" i="104"/>
  <c r="BV54" i="104" s="1"/>
  <c r="AT54" i="104"/>
  <c r="AS54" i="104"/>
  <c r="AQ54" i="104"/>
  <c r="AU54" i="104"/>
  <c r="N54" i="104"/>
  <c r="C54" i="104"/>
  <c r="B54" i="104" a="1"/>
  <c r="B54" i="104" s="1"/>
  <c r="BS53" i="104"/>
  <c r="BV53" i="104" s="1"/>
  <c r="AW53" i="104"/>
  <c r="AQ53" i="104"/>
  <c r="BF53" i="104" s="1"/>
  <c r="N53" i="104"/>
  <c r="C53" i="104"/>
  <c r="B53" i="104" a="1"/>
  <c r="B53" i="104" s="1"/>
  <c r="BS52" i="104"/>
  <c r="BV52" i="104" s="1"/>
  <c r="AQ52" i="104"/>
  <c r="N52" i="104"/>
  <c r="C52" i="104"/>
  <c r="B52" i="104" a="1"/>
  <c r="B52" i="104" s="1"/>
  <c r="BS51" i="104"/>
  <c r="BV51" i="104" s="1"/>
  <c r="BK51" i="104"/>
  <c r="BB51" i="104"/>
  <c r="BA51" i="104"/>
  <c r="BE51" i="104" s="1"/>
  <c r="AX51" i="104"/>
  <c r="AW51" i="104"/>
  <c r="AP51" i="104"/>
  <c r="AO51" i="104"/>
  <c r="AN51" i="104"/>
  <c r="AM51" i="104"/>
  <c r="AQ51" i="104"/>
  <c r="N51" i="104"/>
  <c r="C51" i="104"/>
  <c r="B51" i="104" a="1"/>
  <c r="B51" i="104" s="1"/>
  <c r="BS50" i="104"/>
  <c r="BV50" i="104" s="1"/>
  <c r="BB50" i="104"/>
  <c r="BA50" i="104"/>
  <c r="BE50" i="104" s="1"/>
  <c r="AX50" i="104"/>
  <c r="AQ50" i="104"/>
  <c r="N50" i="104"/>
  <c r="C50" i="104"/>
  <c r="B50" i="104" a="1"/>
  <c r="B50" i="104" s="1"/>
  <c r="BS49" i="104"/>
  <c r="BV49" i="104" s="1"/>
  <c r="AX49" i="104"/>
  <c r="AW49" i="104"/>
  <c r="AV49" i="104"/>
  <c r="AU49" i="104"/>
  <c r="AT49" i="104"/>
  <c r="AS49" i="104"/>
  <c r="AP49" i="104"/>
  <c r="AO49" i="104"/>
  <c r="AN49" i="104"/>
  <c r="AM49" i="104"/>
  <c r="AQ49" i="104"/>
  <c r="N49" i="104"/>
  <c r="C49" i="104"/>
  <c r="B49" i="104" a="1"/>
  <c r="B49" i="104" s="1"/>
  <c r="BV48" i="104"/>
  <c r="BS48" i="104"/>
  <c r="AU48" i="104"/>
  <c r="AQ48" i="104"/>
  <c r="N48" i="104"/>
  <c r="C48" i="104"/>
  <c r="B48" i="104"/>
  <c r="B48" i="104" a="1"/>
  <c r="BV47" i="104"/>
  <c r="BS47" i="104"/>
  <c r="AN47" i="104"/>
  <c r="N47" i="104"/>
  <c r="C47" i="104"/>
  <c r="B47" i="104" a="1"/>
  <c r="B47" i="104" s="1"/>
  <c r="BS46" i="104"/>
  <c r="BV46" i="104" s="1"/>
  <c r="AQ46" i="104"/>
  <c r="N46" i="104"/>
  <c r="C46" i="104"/>
  <c r="B46" i="104" a="1"/>
  <c r="B46" i="104" s="1"/>
  <c r="BV45" i="104"/>
  <c r="BS45" i="104"/>
  <c r="AQ45" i="104"/>
  <c r="N45" i="104"/>
  <c r="C45" i="104"/>
  <c r="B45" i="104" a="1"/>
  <c r="B45" i="104" s="1"/>
  <c r="BS44" i="104"/>
  <c r="BV44" i="104" s="1"/>
  <c r="AQ44" i="104"/>
  <c r="N44" i="104"/>
  <c r="C44" i="104"/>
  <c r="B44" i="104" a="1"/>
  <c r="B44" i="104" s="1"/>
  <c r="BS43" i="104"/>
  <c r="BV43" i="104" s="1"/>
  <c r="BC43" i="104" a="1"/>
  <c r="BC43" i="104" s="1"/>
  <c r="AQ43" i="104"/>
  <c r="BF43" i="104" s="1"/>
  <c r="N43" i="104"/>
  <c r="C43" i="104"/>
  <c r="B43" i="104" a="1"/>
  <c r="B43" i="104" s="1"/>
  <c r="BS42" i="104"/>
  <c r="BV42" i="104" s="1"/>
  <c r="AQ42" i="104"/>
  <c r="AW42" i="104"/>
  <c r="N42" i="104"/>
  <c r="C42" i="104"/>
  <c r="B42" i="104"/>
  <c r="B42" i="104" a="1"/>
  <c r="BS41" i="104"/>
  <c r="BV41" i="104" s="1"/>
  <c r="AQ41" i="104"/>
  <c r="BF41" i="104" s="1"/>
  <c r="AT41" i="104"/>
  <c r="N41" i="104"/>
  <c r="C41" i="104"/>
  <c r="B41" i="104" a="1"/>
  <c r="B41" i="104" s="1"/>
  <c r="BS40" i="104"/>
  <c r="BV40" i="104" s="1"/>
  <c r="AQ40" i="104"/>
  <c r="BK40" i="104"/>
  <c r="N40" i="104"/>
  <c r="C40" i="104"/>
  <c r="B40" i="104" a="1"/>
  <c r="B40" i="104" s="1"/>
  <c r="BS39" i="104"/>
  <c r="BV39" i="104" s="1"/>
  <c r="AQ39" i="104"/>
  <c r="BA39" i="104"/>
  <c r="BE39" i="104" s="1"/>
  <c r="N39" i="104"/>
  <c r="C39" i="104"/>
  <c r="B39" i="104" a="1"/>
  <c r="B39" i="104" s="1"/>
  <c r="BS38" i="104"/>
  <c r="BV38" i="104" s="1"/>
  <c r="AQ38" i="104"/>
  <c r="BC38" i="104" s="1" a="1"/>
  <c r="BC38" i="104" s="1"/>
  <c r="N38" i="104"/>
  <c r="C38" i="104"/>
  <c r="B38" i="104" a="1"/>
  <c r="B38" i="104" s="1"/>
  <c r="BS37" i="104"/>
  <c r="BV37" i="104" s="1"/>
  <c r="AQ37" i="104"/>
  <c r="BF37" i="104" s="1"/>
  <c r="N37" i="104"/>
  <c r="C37" i="104"/>
  <c r="B37" i="104" a="1"/>
  <c r="B37" i="104" s="1"/>
  <c r="BS36" i="104"/>
  <c r="BV36" i="104" s="1"/>
  <c r="AQ36" i="104"/>
  <c r="BC36" i="104" s="1" a="1"/>
  <c r="BC36" i="104" s="1"/>
  <c r="N36" i="104"/>
  <c r="C36" i="104"/>
  <c r="B36" i="104" a="1"/>
  <c r="B36" i="104" s="1"/>
  <c r="BV35" i="104"/>
  <c r="BS35" i="104"/>
  <c r="AQ35" i="104"/>
  <c r="N35" i="104"/>
  <c r="C35" i="104"/>
  <c r="B35" i="104" a="1"/>
  <c r="B35" i="104" s="1"/>
  <c r="BS34" i="104"/>
  <c r="BV34" i="104" s="1"/>
  <c r="AQ34" i="104"/>
  <c r="N34" i="104"/>
  <c r="C34" i="104"/>
  <c r="B34" i="104" a="1"/>
  <c r="B34" i="104" s="1"/>
  <c r="BS33" i="104"/>
  <c r="BV33" i="104" s="1"/>
  <c r="C33" i="104"/>
  <c r="B33" i="104" a="1"/>
  <c r="B33" i="104" s="1"/>
  <c r="BS32" i="104"/>
  <c r="BV32" i="104" s="1"/>
  <c r="C32" i="104"/>
  <c r="B32" i="104" a="1"/>
  <c r="B32" i="104" s="1"/>
  <c r="BS31" i="104"/>
  <c r="BV31" i="104" s="1"/>
  <c r="C31" i="104"/>
  <c r="B31" i="104" a="1"/>
  <c r="B31" i="104" s="1"/>
  <c r="BV30" i="104"/>
  <c r="BS30" i="104"/>
  <c r="C30" i="104"/>
  <c r="B30" i="104" a="1"/>
  <c r="B30" i="104" s="1"/>
  <c r="BS29" i="104"/>
  <c r="BV29" i="104" s="1"/>
  <c r="AQ29" i="104"/>
  <c r="AV29" i="104"/>
  <c r="C29" i="104"/>
  <c r="B29" i="104" a="1"/>
  <c r="B29" i="104" s="1"/>
  <c r="BS28" i="104"/>
  <c r="BV28" i="104" s="1"/>
  <c r="C28" i="104"/>
  <c r="B28" i="104" a="1"/>
  <c r="B28" i="104" s="1"/>
  <c r="BV27" i="104"/>
  <c r="N27" i="104"/>
  <c r="C27" i="104"/>
  <c r="B27" i="104" a="1"/>
  <c r="B27" i="104" s="1"/>
  <c r="C26" i="104"/>
  <c r="B26" i="104" a="1"/>
  <c r="B26" i="104" s="1"/>
  <c r="BV25" i="104"/>
  <c r="C25" i="104"/>
  <c r="B25" i="104" a="1"/>
  <c r="B25" i="104" s="1"/>
  <c r="BV24" i="104"/>
  <c r="AQ24" i="104"/>
  <c r="N24" i="104"/>
  <c r="C24" i="104"/>
  <c r="B24" i="104"/>
  <c r="B24" i="104" a="1"/>
  <c r="BS23" i="104"/>
  <c r="BV23" i="104" s="1"/>
  <c r="AQ23" i="104"/>
  <c r="AN23" i="104"/>
  <c r="N23" i="104"/>
  <c r="C23" i="104"/>
  <c r="B23" i="104" a="1"/>
  <c r="B23" i="104" s="1"/>
  <c r="CD22" i="104"/>
  <c r="BS22" i="104"/>
  <c r="BV22" i="104" s="1"/>
  <c r="BN22" i="104"/>
  <c r="BM22" i="104"/>
  <c r="N22" i="104"/>
  <c r="C22" i="104"/>
  <c r="B22" i="104" a="1"/>
  <c r="B22" i="104" s="1"/>
  <c r="CD21" i="104"/>
  <c r="BV21" i="104"/>
  <c r="BS21" i="104"/>
  <c r="BN21" i="104"/>
  <c r="BM21" i="104" s="1"/>
  <c r="O21" i="104"/>
  <c r="N21" i="104"/>
  <c r="C21" i="104"/>
  <c r="B21" i="104" a="1"/>
  <c r="B21" i="104" s="1"/>
  <c r="CD20" i="104"/>
  <c r="BS20" i="104"/>
  <c r="BV20" i="104" s="1"/>
  <c r="N20" i="104"/>
  <c r="C20" i="104"/>
  <c r="B20" i="104" a="1"/>
  <c r="B20" i="104" s="1"/>
  <c r="CD19" i="104"/>
  <c r="BS19" i="104"/>
  <c r="BV19" i="104" s="1"/>
  <c r="BN19" i="104"/>
  <c r="BM19" i="104"/>
  <c r="BK19" i="104"/>
  <c r="BJ19" i="104"/>
  <c r="BI19" i="104"/>
  <c r="BH19" i="104"/>
  <c r="BG19" i="104"/>
  <c r="BF19" i="104"/>
  <c r="BE19" i="104"/>
  <c r="BD19" i="104"/>
  <c r="BC19" i="104"/>
  <c r="BB19" i="104"/>
  <c r="BA19" i="104"/>
  <c r="AZ19" i="104"/>
  <c r="AY19" i="104"/>
  <c r="AX19" i="104"/>
  <c r="AW19" i="104"/>
  <c r="AV19" i="104"/>
  <c r="AU19" i="104"/>
  <c r="AT19" i="104"/>
  <c r="AS19" i="104"/>
  <c r="AR19" i="104"/>
  <c r="AQ19" i="104"/>
  <c r="AP19" i="104"/>
  <c r="AO19" i="104"/>
  <c r="AN19" i="104"/>
  <c r="AM19" i="104"/>
  <c r="N19" i="104"/>
  <c r="C19" i="104"/>
  <c r="B19" i="104" a="1"/>
  <c r="B19" i="104" s="1"/>
  <c r="CD18" i="104"/>
  <c r="BV18" i="104"/>
  <c r="N18" i="104"/>
  <c r="C18" i="104"/>
  <c r="B18" i="104" a="1"/>
  <c r="B18" i="104" s="1"/>
  <c r="CD17" i="104"/>
  <c r="BV17" i="104"/>
  <c r="N17" i="104"/>
  <c r="C17" i="104"/>
  <c r="B17" i="104" a="1"/>
  <c r="B17" i="104" s="1"/>
  <c r="CD16" i="104"/>
  <c r="BV16" i="104"/>
  <c r="N16" i="104"/>
  <c r="C16" i="104"/>
  <c r="B16" i="104" a="1"/>
  <c r="B16" i="104" s="1"/>
  <c r="CD15" i="104"/>
  <c r="BW15" i="104"/>
  <c r="BV15" i="104"/>
  <c r="BU15" i="104"/>
  <c r="BT15" i="104"/>
  <c r="BS15" i="104"/>
  <c r="BR15" i="104"/>
  <c r="BQ15" i="104"/>
  <c r="BP15" i="104"/>
  <c r="N15" i="104"/>
  <c r="C15" i="104"/>
  <c r="B15" i="104" a="1"/>
  <c r="B15" i="104" s="1"/>
  <c r="CD14" i="104"/>
  <c r="N14" i="104"/>
  <c r="C14" i="104"/>
  <c r="B14" i="104" a="1"/>
  <c r="B14" i="104" s="1"/>
  <c r="CD13" i="104"/>
  <c r="CD12" i="104"/>
  <c r="B12" i="104"/>
  <c r="CD11" i="104"/>
  <c r="L11" i="104"/>
  <c r="B13" i="104" s="1"/>
  <c r="B11" i="104"/>
  <c r="CD10" i="104"/>
  <c r="CD9" i="104"/>
  <c r="CD8" i="104"/>
  <c r="DJ7" i="104"/>
  <c r="CD7" i="104"/>
  <c r="D7" i="104"/>
  <c r="CG6" i="104"/>
  <c r="CD6" i="104"/>
  <c r="BJ6" i="104"/>
  <c r="DG4" i="104"/>
  <c r="DG2" i="104"/>
  <c r="DF2" i="104"/>
  <c r="DE2" i="104"/>
  <c r="DD2" i="104"/>
  <c r="DC2" i="104"/>
  <c r="DB2" i="104"/>
  <c r="DA2" i="104"/>
  <c r="CY2" i="104"/>
  <c r="CX2" i="104"/>
  <c r="CW2" i="104"/>
  <c r="CV2" i="104"/>
  <c r="CU2" i="104"/>
  <c r="CT2" i="104"/>
  <c r="CS2" i="104"/>
  <c r="CQ2" i="104"/>
  <c r="CP2" i="104"/>
  <c r="CO2" i="104"/>
  <c r="CN2" i="104"/>
  <c r="CM2" i="104"/>
  <c r="CL2" i="104"/>
  <c r="CK2" i="104"/>
  <c r="CI2" i="104"/>
  <c r="CH2" i="104"/>
  <c r="CG2" i="104"/>
  <c r="CF2" i="104"/>
  <c r="CE2" i="104"/>
  <c r="CD2" i="104"/>
  <c r="BW2" i="104"/>
  <c r="BV2" i="104"/>
  <c r="BU2" i="104"/>
  <c r="BT2" i="104"/>
  <c r="BS2" i="104"/>
  <c r="BP2" i="104"/>
  <c r="BO2" i="104"/>
  <c r="BN2" i="104"/>
  <c r="BK2" i="104"/>
  <c r="BJ2" i="104"/>
  <c r="BI2" i="104"/>
  <c r="BH2" i="104"/>
  <c r="BG2" i="104"/>
  <c r="BF2" i="104"/>
  <c r="BE2" i="104"/>
  <c r="BD2" i="104"/>
  <c r="BC2" i="104"/>
  <c r="BB2" i="104"/>
  <c r="BA2" i="104"/>
  <c r="AZ2" i="104"/>
  <c r="AY2" i="104"/>
  <c r="AX2" i="104"/>
  <c r="AW2" i="104"/>
  <c r="AV2" i="104"/>
  <c r="AU2" i="104"/>
  <c r="AT2" i="104"/>
  <c r="AS2" i="104"/>
  <c r="AR2" i="104"/>
  <c r="AQ2" i="104"/>
  <c r="AP2" i="104"/>
  <c r="AO2" i="104"/>
  <c r="AN2" i="104"/>
  <c r="AM2" i="104"/>
  <c r="AL2" i="104"/>
  <c r="O2" i="104"/>
  <c r="N2" i="104"/>
  <c r="L2" i="104"/>
  <c r="K2" i="104"/>
  <c r="J2" i="104"/>
  <c r="I2" i="104"/>
  <c r="H2" i="104"/>
  <c r="G2" i="104"/>
  <c r="F2" i="104"/>
  <c r="E2" i="104"/>
  <c r="D2" i="104"/>
  <c r="C2" i="104"/>
  <c r="B2" i="104"/>
  <c r="DK1" i="104"/>
  <c r="DJ1" i="104"/>
  <c r="DG1" i="104"/>
  <c r="DF1" i="104"/>
  <c r="DE1" i="104"/>
  <c r="DD1" i="104"/>
  <c r="DC1" i="104"/>
  <c r="DB1" i="104"/>
  <c r="DA1" i="104"/>
  <c r="CY1" i="104"/>
  <c r="CX1" i="104"/>
  <c r="CW1" i="104"/>
  <c r="CV1" i="104"/>
  <c r="CU1" i="104"/>
  <c r="CT1" i="104"/>
  <c r="CS1" i="104"/>
  <c r="CQ1" i="104"/>
  <c r="CP1" i="104"/>
  <c r="CO1" i="104"/>
  <c r="CN1" i="104"/>
  <c r="CM1" i="104"/>
  <c r="CL1" i="104"/>
  <c r="CK1" i="104"/>
  <c r="CI1" i="104"/>
  <c r="CH1" i="104"/>
  <c r="CG1" i="104"/>
  <c r="CF1" i="104"/>
  <c r="CE1" i="104"/>
  <c r="CD1" i="104"/>
  <c r="BW1" i="104"/>
  <c r="BV1" i="104"/>
  <c r="BU1" i="104"/>
  <c r="BT1" i="104"/>
  <c r="BS1" i="104"/>
  <c r="BP1" i="104"/>
  <c r="BO1" i="104"/>
  <c r="BN1" i="104"/>
  <c r="BK1" i="104"/>
  <c r="BJ1" i="104"/>
  <c r="BI1" i="104"/>
  <c r="BH1" i="104"/>
  <c r="BG1" i="104"/>
  <c r="BF1" i="104"/>
  <c r="BE1" i="104"/>
  <c r="BD1" i="104"/>
  <c r="BC1" i="104"/>
  <c r="BB1" i="104"/>
  <c r="BA1" i="104"/>
  <c r="AZ1" i="104"/>
  <c r="AY1" i="104"/>
  <c r="AX1" i="104"/>
  <c r="AW1" i="104"/>
  <c r="AV1" i="104"/>
  <c r="AU1" i="104"/>
  <c r="AT1" i="104"/>
  <c r="AS1" i="104"/>
  <c r="AR1" i="104"/>
  <c r="AQ1" i="104"/>
  <c r="AP1" i="104"/>
  <c r="AO1" i="104"/>
  <c r="AN1" i="104"/>
  <c r="AM1" i="104"/>
  <c r="AL1" i="104"/>
  <c r="O1" i="104"/>
  <c r="N1" i="104"/>
  <c r="L1" i="104"/>
  <c r="K1" i="104"/>
  <c r="J1" i="104"/>
  <c r="I1" i="104"/>
  <c r="H1" i="104"/>
  <c r="G1" i="104"/>
  <c r="F1" i="104"/>
  <c r="E1" i="104"/>
  <c r="D1" i="104"/>
  <c r="C1" i="104"/>
  <c r="B1" i="104"/>
  <c r="A1" i="104"/>
  <c r="BK550" i="60"/>
  <c r="BK549" i="60"/>
  <c r="BK548" i="60"/>
  <c r="BK547" i="60"/>
  <c r="BK546" i="60"/>
  <c r="BK545" i="60"/>
  <c r="BK544" i="60"/>
  <c r="BK543" i="60"/>
  <c r="BK542" i="60"/>
  <c r="BK541" i="60"/>
  <c r="BK540" i="60"/>
  <c r="BK539" i="60"/>
  <c r="BK538" i="60"/>
  <c r="BK537" i="60"/>
  <c r="BK536" i="60"/>
  <c r="BK535" i="60"/>
  <c r="BK534" i="60"/>
  <c r="BK533" i="60"/>
  <c r="BK532" i="60"/>
  <c r="BK531" i="60"/>
  <c r="BK530" i="60"/>
  <c r="BK529" i="60"/>
  <c r="BK528" i="60"/>
  <c r="BK527" i="60"/>
  <c r="BK526" i="60"/>
  <c r="BK525" i="60"/>
  <c r="BK524" i="60"/>
  <c r="BK523" i="60"/>
  <c r="BK522" i="60"/>
  <c r="BK521" i="60"/>
  <c r="BK520" i="60"/>
  <c r="BK519" i="60"/>
  <c r="BK518" i="60"/>
  <c r="BK517" i="60"/>
  <c r="BK516" i="60"/>
  <c r="BK515" i="60"/>
  <c r="BK514" i="60"/>
  <c r="BK513" i="60"/>
  <c r="BK512" i="60"/>
  <c r="BK511" i="60"/>
  <c r="BK510" i="60"/>
  <c r="BK509" i="60"/>
  <c r="BK508" i="60"/>
  <c r="BK507" i="60"/>
  <c r="BK506" i="60"/>
  <c r="BK505" i="60"/>
  <c r="BK504" i="60"/>
  <c r="BK503" i="60"/>
  <c r="BK502" i="60"/>
  <c r="BK501" i="60"/>
  <c r="BK500" i="60"/>
  <c r="BK499" i="60"/>
  <c r="BK498" i="60"/>
  <c r="BK497" i="60"/>
  <c r="BK496" i="60"/>
  <c r="BK495" i="60"/>
  <c r="BK494" i="60"/>
  <c r="BK493" i="60"/>
  <c r="BK492" i="60"/>
  <c r="BK491" i="60"/>
  <c r="BK490" i="60"/>
  <c r="BK489" i="60"/>
  <c r="BK488" i="60"/>
  <c r="BK487" i="60"/>
  <c r="BK486" i="60"/>
  <c r="BK485" i="60"/>
  <c r="BK484" i="60"/>
  <c r="BK483" i="60"/>
  <c r="BK482" i="60"/>
  <c r="BK481" i="60"/>
  <c r="BK480" i="60"/>
  <c r="BK479" i="60"/>
  <c r="BK478" i="60"/>
  <c r="BK477" i="60"/>
  <c r="BK476" i="60"/>
  <c r="BK475" i="60"/>
  <c r="BK474" i="60"/>
  <c r="BK473" i="60"/>
  <c r="BK472" i="60"/>
  <c r="BK471" i="60"/>
  <c r="BK470" i="60"/>
  <c r="BK469" i="60"/>
  <c r="BK468" i="60"/>
  <c r="BK467" i="60"/>
  <c r="BK466" i="60"/>
  <c r="BK465" i="60"/>
  <c r="BK464" i="60"/>
  <c r="BK463" i="60"/>
  <c r="BK462" i="60"/>
  <c r="BK461" i="60"/>
  <c r="BK460" i="60"/>
  <c r="BK459" i="60"/>
  <c r="BK458" i="60"/>
  <c r="BK457" i="60"/>
  <c r="BK456" i="60"/>
  <c r="BK455" i="60"/>
  <c r="BK454" i="60"/>
  <c r="BK453" i="60"/>
  <c r="BK452" i="60"/>
  <c r="BK451" i="60"/>
  <c r="BK450" i="60"/>
  <c r="BK449" i="60"/>
  <c r="BK448" i="60"/>
  <c r="BK447" i="60"/>
  <c r="BK446" i="60"/>
  <c r="BK445" i="60"/>
  <c r="BK444" i="60"/>
  <c r="BK443" i="60"/>
  <c r="BK442" i="60"/>
  <c r="BK441" i="60"/>
  <c r="BK440" i="60"/>
  <c r="BK439" i="60"/>
  <c r="BK438" i="60"/>
  <c r="BK437" i="60"/>
  <c r="BK436" i="60"/>
  <c r="BK435" i="60"/>
  <c r="BK434" i="60"/>
  <c r="BK433" i="60"/>
  <c r="BK432" i="60"/>
  <c r="BK431" i="60"/>
  <c r="BK430" i="60"/>
  <c r="BK429" i="60"/>
  <c r="BK428" i="60"/>
  <c r="BK427" i="60"/>
  <c r="BK426" i="60"/>
  <c r="BK425" i="60"/>
  <c r="BK424" i="60"/>
  <c r="BK423" i="60"/>
  <c r="BK422" i="60"/>
  <c r="BK421" i="60"/>
  <c r="BK420" i="60"/>
  <c r="BK419" i="60"/>
  <c r="BK418" i="60"/>
  <c r="BK417" i="60"/>
  <c r="BK416" i="60"/>
  <c r="BK415" i="60"/>
  <c r="BK414" i="60"/>
  <c r="BK413" i="60"/>
  <c r="BK412" i="60"/>
  <c r="BK411" i="60"/>
  <c r="BK410" i="60"/>
  <c r="BK409" i="60"/>
  <c r="BK408" i="60"/>
  <c r="BK407" i="60"/>
  <c r="BK406" i="60"/>
  <c r="BK405" i="60"/>
  <c r="BK404" i="60"/>
  <c r="BK403" i="60"/>
  <c r="BK402" i="60"/>
  <c r="BK401" i="60"/>
  <c r="BK400" i="60"/>
  <c r="BK399" i="60"/>
  <c r="BK398" i="60"/>
  <c r="BK397" i="60"/>
  <c r="BK396" i="60"/>
  <c r="BK395" i="60"/>
  <c r="BK394" i="60"/>
  <c r="BK393" i="60"/>
  <c r="BK392" i="60"/>
  <c r="BK391" i="60"/>
  <c r="BK390" i="60"/>
  <c r="BK389" i="60"/>
  <c r="BK388" i="60"/>
  <c r="BK387" i="60"/>
  <c r="BK386" i="60"/>
  <c r="BK385" i="60"/>
  <c r="BK384" i="60"/>
  <c r="BK383" i="60"/>
  <c r="BK382" i="60"/>
  <c r="BK381" i="60"/>
  <c r="BK380" i="60"/>
  <c r="BK379" i="60"/>
  <c r="BK378" i="60"/>
  <c r="BK377" i="60"/>
  <c r="BK376" i="60"/>
  <c r="BK375" i="60"/>
  <c r="BK374" i="60"/>
  <c r="BK373" i="60"/>
  <c r="BK372" i="60"/>
  <c r="BK371" i="60"/>
  <c r="BK370" i="60"/>
  <c r="BK369" i="60"/>
  <c r="BK368" i="60"/>
  <c r="BK367" i="60"/>
  <c r="BK366" i="60"/>
  <c r="BK365" i="60"/>
  <c r="BK364" i="60"/>
  <c r="BK363" i="60"/>
  <c r="BK362" i="60"/>
  <c r="BK361" i="60"/>
  <c r="BK360" i="60"/>
  <c r="BK359" i="60"/>
  <c r="BK358" i="60"/>
  <c r="BK357" i="60"/>
  <c r="BK356" i="60"/>
  <c r="BK355" i="60"/>
  <c r="BK354" i="60"/>
  <c r="BK353" i="60"/>
  <c r="BK352" i="60"/>
  <c r="BK351" i="60"/>
  <c r="BK350" i="60"/>
  <c r="BK349" i="60"/>
  <c r="BK348" i="60"/>
  <c r="BK347" i="60"/>
  <c r="BK346" i="60"/>
  <c r="BK345" i="60"/>
  <c r="BK344" i="60"/>
  <c r="BK343" i="60"/>
  <c r="BK342" i="60"/>
  <c r="BK341" i="60"/>
  <c r="BK340" i="60"/>
  <c r="BK339" i="60"/>
  <c r="BK338" i="60"/>
  <c r="BK337" i="60"/>
  <c r="BK336" i="60"/>
  <c r="BK335" i="60"/>
  <c r="BK334" i="60"/>
  <c r="BK333" i="60"/>
  <c r="BK332" i="60"/>
  <c r="BK331" i="60"/>
  <c r="BK330" i="60"/>
  <c r="BK329" i="60"/>
  <c r="BK328" i="60"/>
  <c r="BK327" i="60"/>
  <c r="BK326" i="60"/>
  <c r="BK325" i="60"/>
  <c r="BK324" i="60"/>
  <c r="BK323" i="60"/>
  <c r="BK322" i="60"/>
  <c r="BK321" i="60"/>
  <c r="BK320" i="60"/>
  <c r="BK319" i="60"/>
  <c r="BK318" i="60"/>
  <c r="BK317" i="60"/>
  <c r="BK316" i="60"/>
  <c r="BK315" i="60"/>
  <c r="BK314" i="60"/>
  <c r="BK313" i="60"/>
  <c r="BK312" i="60"/>
  <c r="BK311" i="60"/>
  <c r="BK310" i="60"/>
  <c r="BK309" i="60"/>
  <c r="BK308" i="60"/>
  <c r="BK307" i="60"/>
  <c r="BK306" i="60"/>
  <c r="BK305" i="60"/>
  <c r="BK304" i="60"/>
  <c r="BK303" i="60"/>
  <c r="BK302" i="60"/>
  <c r="BK301" i="60"/>
  <c r="BK300" i="60"/>
  <c r="BK299" i="60"/>
  <c r="BK298" i="60"/>
  <c r="BK297" i="60"/>
  <c r="BK296" i="60"/>
  <c r="BK295" i="60"/>
  <c r="BK294" i="60"/>
  <c r="BK293" i="60"/>
  <c r="BK292" i="60"/>
  <c r="BK291" i="60"/>
  <c r="BK290" i="60"/>
  <c r="BK289" i="60"/>
  <c r="BK288" i="60"/>
  <c r="BK287" i="60"/>
  <c r="BK286" i="60"/>
  <c r="BK285" i="60"/>
  <c r="BK284" i="60"/>
  <c r="BK283" i="60"/>
  <c r="BK282" i="60"/>
  <c r="BK281" i="60"/>
  <c r="BK280" i="60"/>
  <c r="BK279" i="60"/>
  <c r="BK278" i="60"/>
  <c r="BK277" i="60"/>
  <c r="BK276" i="60"/>
  <c r="BK275" i="60"/>
  <c r="BK274" i="60"/>
  <c r="BK273" i="60"/>
  <c r="BK272" i="60"/>
  <c r="BK271" i="60"/>
  <c r="BK270" i="60"/>
  <c r="BK269" i="60"/>
  <c r="BK268" i="60"/>
  <c r="BK267" i="60"/>
  <c r="BK266" i="60"/>
  <c r="BK265" i="60"/>
  <c r="BK264" i="60"/>
  <c r="BK263" i="60"/>
  <c r="BK262" i="60"/>
  <c r="BK261" i="60"/>
  <c r="BK260" i="60"/>
  <c r="BK259" i="60"/>
  <c r="BK258" i="60"/>
  <c r="BK257" i="60"/>
  <c r="BK256" i="60"/>
  <c r="BK254" i="60"/>
  <c r="BK253" i="60"/>
  <c r="BK252" i="60"/>
  <c r="BK251" i="60"/>
  <c r="BK250" i="60"/>
  <c r="BK249" i="60"/>
  <c r="BK248" i="60"/>
  <c r="BK247" i="60"/>
  <c r="BK246" i="60"/>
  <c r="BK245" i="60"/>
  <c r="BK240" i="60"/>
  <c r="BK235" i="60"/>
  <c r="BK228" i="60"/>
  <c r="BK218" i="60"/>
  <c r="BK217" i="60"/>
  <c r="BK216" i="60"/>
  <c r="BK215" i="60"/>
  <c r="BK214" i="60"/>
  <c r="BK213" i="60"/>
  <c r="BK212" i="60"/>
  <c r="BK211" i="60"/>
  <c r="BK210" i="60"/>
  <c r="BK209" i="60"/>
  <c r="BK208" i="60"/>
  <c r="BK207" i="60"/>
  <c r="BK206" i="60"/>
  <c r="BK205" i="60"/>
  <c r="BK204" i="60"/>
  <c r="BK203" i="60"/>
  <c r="BK202" i="60"/>
  <c r="BK201" i="60"/>
  <c r="BK200" i="60"/>
  <c r="BK199" i="60"/>
  <c r="BK198" i="60"/>
  <c r="BK197" i="60"/>
  <c r="BK196" i="60"/>
  <c r="BK195" i="60"/>
  <c r="BK194" i="60"/>
  <c r="BK193" i="60"/>
  <c r="BK192" i="60"/>
  <c r="BK191" i="60"/>
  <c r="BK190" i="60"/>
  <c r="BK189" i="60"/>
  <c r="BK188" i="60"/>
  <c r="BK187" i="60"/>
  <c r="BK186" i="60"/>
  <c r="BK185" i="60"/>
  <c r="BK184" i="60"/>
  <c r="BK183" i="60"/>
  <c r="BK181" i="60"/>
  <c r="BK180" i="60"/>
  <c r="BK179" i="60"/>
  <c r="BK178" i="60"/>
  <c r="BK177" i="60"/>
  <c r="BK176" i="60"/>
  <c r="BK175" i="60"/>
  <c r="BK174" i="60"/>
  <c r="BK173" i="60"/>
  <c r="BK169" i="60"/>
  <c r="BK168" i="60"/>
  <c r="BK167" i="60"/>
  <c r="BK166" i="60"/>
  <c r="BK165" i="60"/>
  <c r="BK164" i="60"/>
  <c r="BK163" i="60"/>
  <c r="BK162" i="60"/>
  <c r="BK161" i="60"/>
  <c r="BK160" i="60"/>
  <c r="BK159" i="60"/>
  <c r="BK158" i="60"/>
  <c r="BK157" i="60"/>
  <c r="BK156" i="60"/>
  <c r="BK155" i="60"/>
  <c r="BK154" i="60"/>
  <c r="BK153" i="60"/>
  <c r="BK152" i="60"/>
  <c r="BK151" i="60"/>
  <c r="BK150" i="60"/>
  <c r="BK149" i="60"/>
  <c r="BK148" i="60"/>
  <c r="BK147" i="60"/>
  <c r="BK146" i="60"/>
  <c r="BK145" i="60"/>
  <c r="BK144" i="60"/>
  <c r="BK143" i="60"/>
  <c r="BK142" i="60"/>
  <c r="BK141" i="60"/>
  <c r="BK140" i="60"/>
  <c r="BK138" i="60"/>
  <c r="BK137" i="60"/>
  <c r="BK136" i="60"/>
  <c r="BK135" i="60"/>
  <c r="BK134" i="60"/>
  <c r="BK133" i="60"/>
  <c r="BK132" i="60"/>
  <c r="BK131" i="60"/>
  <c r="BK130" i="60"/>
  <c r="BK126" i="60"/>
  <c r="BK125" i="60"/>
  <c r="BK124" i="60"/>
  <c r="BK123" i="60"/>
  <c r="BK122" i="60"/>
  <c r="BK121" i="60"/>
  <c r="BK120" i="60"/>
  <c r="BK119" i="60"/>
  <c r="BK118" i="60"/>
  <c r="BK117" i="60"/>
  <c r="BK116" i="60"/>
  <c r="BK115" i="60"/>
  <c r="BK114" i="60"/>
  <c r="BK113" i="60"/>
  <c r="BK112" i="60"/>
  <c r="BK111" i="60"/>
  <c r="BK110" i="60"/>
  <c r="BK109" i="60"/>
  <c r="BK108" i="60"/>
  <c r="BK107" i="60"/>
  <c r="BK106" i="60"/>
  <c r="BK105" i="60"/>
  <c r="BK104" i="60"/>
  <c r="BK103" i="60"/>
  <c r="BK102" i="60"/>
  <c r="BK101" i="60"/>
  <c r="BK100" i="60"/>
  <c r="BK99" i="60"/>
  <c r="BK98" i="60"/>
  <c r="BK97" i="60"/>
  <c r="BK95" i="60"/>
  <c r="BK94" i="60"/>
  <c r="BK93" i="60"/>
  <c r="BK92" i="60"/>
  <c r="BK91" i="60"/>
  <c r="BK90" i="60"/>
  <c r="BK89" i="60"/>
  <c r="BK83" i="60"/>
  <c r="BK82" i="60"/>
  <c r="BK81" i="60"/>
  <c r="BK80" i="60"/>
  <c r="BK79" i="60"/>
  <c r="BK78" i="60"/>
  <c r="BK77" i="60"/>
  <c r="BK76" i="60"/>
  <c r="BK75" i="60"/>
  <c r="BK74" i="60"/>
  <c r="BK73" i="60"/>
  <c r="BK72" i="60"/>
  <c r="BK71" i="60"/>
  <c r="BK70" i="60"/>
  <c r="BK69" i="60"/>
  <c r="BK68" i="60"/>
  <c r="BK67" i="60"/>
  <c r="BK66" i="60"/>
  <c r="BK65" i="60"/>
  <c r="BK64" i="60"/>
  <c r="BK63" i="60"/>
  <c r="BK62" i="60"/>
  <c r="BK61" i="60"/>
  <c r="BK60" i="60"/>
  <c r="BK59" i="60"/>
  <c r="BK58" i="60"/>
  <c r="BK57" i="60"/>
  <c r="BK56" i="60"/>
  <c r="BK55" i="60"/>
  <c r="BK54" i="60"/>
  <c r="BK53" i="60"/>
  <c r="BK52" i="60"/>
  <c r="BK51" i="60"/>
  <c r="BK50" i="60"/>
  <c r="BK49" i="60"/>
  <c r="BK48" i="60"/>
  <c r="BK47" i="60"/>
  <c r="BK46" i="60"/>
  <c r="BK44" i="60"/>
  <c r="BK43" i="60"/>
  <c r="BK42" i="60"/>
  <c r="BK41" i="60"/>
  <c r="BK40" i="60"/>
  <c r="BK39" i="60"/>
  <c r="BK23" i="60"/>
  <c r="BB550" i="60"/>
  <c r="AX550" i="60"/>
  <c r="AW550" i="60"/>
  <c r="BB549" i="60"/>
  <c r="AX549" i="60"/>
  <c r="AW549" i="60"/>
  <c r="BB548" i="60"/>
  <c r="AX548" i="60"/>
  <c r="AW548" i="60"/>
  <c r="BB547" i="60"/>
  <c r="AX547" i="60"/>
  <c r="AW547" i="60"/>
  <c r="BB546" i="60"/>
  <c r="AX546" i="60"/>
  <c r="AW546" i="60"/>
  <c r="BB545" i="60"/>
  <c r="AX545" i="60"/>
  <c r="AW545" i="60"/>
  <c r="BB544" i="60"/>
  <c r="AX544" i="60"/>
  <c r="AW544" i="60"/>
  <c r="BB543" i="60"/>
  <c r="AX543" i="60"/>
  <c r="AW543" i="60"/>
  <c r="BB542" i="60"/>
  <c r="AX542" i="60"/>
  <c r="AW542" i="60"/>
  <c r="BB541" i="60"/>
  <c r="AX541" i="60"/>
  <c r="AW541" i="60"/>
  <c r="BB540" i="60"/>
  <c r="AX540" i="60"/>
  <c r="AW540" i="60"/>
  <c r="BB539" i="60"/>
  <c r="AX539" i="60"/>
  <c r="AW539" i="60"/>
  <c r="BB538" i="60"/>
  <c r="AX538" i="60"/>
  <c r="AW538" i="60"/>
  <c r="BB537" i="60"/>
  <c r="AX537" i="60"/>
  <c r="AW537" i="60"/>
  <c r="BB536" i="60"/>
  <c r="AX536" i="60"/>
  <c r="AW536" i="60"/>
  <c r="BB535" i="60"/>
  <c r="AX535" i="60"/>
  <c r="AW535" i="60"/>
  <c r="BB534" i="60"/>
  <c r="AX534" i="60"/>
  <c r="AW534" i="60"/>
  <c r="BB533" i="60"/>
  <c r="AX533" i="60"/>
  <c r="AW533" i="60"/>
  <c r="BB532" i="60"/>
  <c r="AX532" i="60"/>
  <c r="AW532" i="60"/>
  <c r="BB531" i="60"/>
  <c r="AX531" i="60"/>
  <c r="AW531" i="60"/>
  <c r="BB530" i="60"/>
  <c r="AX530" i="60"/>
  <c r="AW530" i="60"/>
  <c r="BB529" i="60"/>
  <c r="AX529" i="60"/>
  <c r="AW529" i="60"/>
  <c r="BB528" i="60"/>
  <c r="AX528" i="60"/>
  <c r="AW528" i="60"/>
  <c r="BB527" i="60"/>
  <c r="AX527" i="60"/>
  <c r="AW527" i="60"/>
  <c r="BB526" i="60"/>
  <c r="AX526" i="60"/>
  <c r="AW526" i="60"/>
  <c r="BB525" i="60"/>
  <c r="AX525" i="60"/>
  <c r="AW525" i="60"/>
  <c r="BB524" i="60"/>
  <c r="AX524" i="60"/>
  <c r="AW524" i="60"/>
  <c r="BB523" i="60"/>
  <c r="AX523" i="60"/>
  <c r="AW523" i="60"/>
  <c r="BB522" i="60"/>
  <c r="AX522" i="60"/>
  <c r="AW522" i="60"/>
  <c r="BB521" i="60"/>
  <c r="AX521" i="60"/>
  <c r="AW521" i="60"/>
  <c r="BB520" i="60"/>
  <c r="AX520" i="60"/>
  <c r="AW520" i="60"/>
  <c r="BB519" i="60"/>
  <c r="AX519" i="60"/>
  <c r="AW519" i="60"/>
  <c r="BB518" i="60"/>
  <c r="AX518" i="60"/>
  <c r="AW518" i="60"/>
  <c r="BB517" i="60"/>
  <c r="AX517" i="60"/>
  <c r="AW517" i="60"/>
  <c r="BB516" i="60"/>
  <c r="AX516" i="60"/>
  <c r="AW516" i="60"/>
  <c r="BB515" i="60"/>
  <c r="AX515" i="60"/>
  <c r="AW515" i="60"/>
  <c r="BB514" i="60"/>
  <c r="AX514" i="60"/>
  <c r="AW514" i="60"/>
  <c r="BB513" i="60"/>
  <c r="AX513" i="60"/>
  <c r="AW513" i="60"/>
  <c r="BB512" i="60"/>
  <c r="AX512" i="60"/>
  <c r="AW512" i="60"/>
  <c r="BB511" i="60"/>
  <c r="AX511" i="60"/>
  <c r="AW511" i="60"/>
  <c r="BB510" i="60"/>
  <c r="AX510" i="60"/>
  <c r="AW510" i="60"/>
  <c r="BB509" i="60"/>
  <c r="AX509" i="60"/>
  <c r="AW509" i="60"/>
  <c r="BB508" i="60"/>
  <c r="AX508" i="60"/>
  <c r="AW508" i="60"/>
  <c r="BB507" i="60"/>
  <c r="AX507" i="60"/>
  <c r="AW507" i="60"/>
  <c r="BB506" i="60"/>
  <c r="AX506" i="60"/>
  <c r="AW506" i="60"/>
  <c r="BB505" i="60"/>
  <c r="AX505" i="60"/>
  <c r="AW505" i="60"/>
  <c r="BB504" i="60"/>
  <c r="AX504" i="60"/>
  <c r="AW504" i="60"/>
  <c r="BB503" i="60"/>
  <c r="AX503" i="60"/>
  <c r="AW503" i="60"/>
  <c r="BB502" i="60"/>
  <c r="AX502" i="60"/>
  <c r="AW502" i="60"/>
  <c r="BB501" i="60"/>
  <c r="AX501" i="60"/>
  <c r="AW501" i="60"/>
  <c r="BB500" i="60"/>
  <c r="AX500" i="60"/>
  <c r="AW500" i="60"/>
  <c r="BB499" i="60"/>
  <c r="AX499" i="60"/>
  <c r="AW499" i="60"/>
  <c r="BB498" i="60"/>
  <c r="AX498" i="60"/>
  <c r="AW498" i="60"/>
  <c r="BB497" i="60"/>
  <c r="AX497" i="60"/>
  <c r="AW497" i="60"/>
  <c r="BB496" i="60"/>
  <c r="AX496" i="60"/>
  <c r="AW496" i="60"/>
  <c r="BB495" i="60"/>
  <c r="AX495" i="60"/>
  <c r="AW495" i="60"/>
  <c r="BB494" i="60"/>
  <c r="AX494" i="60"/>
  <c r="AW494" i="60"/>
  <c r="BB493" i="60"/>
  <c r="AX493" i="60"/>
  <c r="AW493" i="60"/>
  <c r="BB492" i="60"/>
  <c r="AX492" i="60"/>
  <c r="AW492" i="60"/>
  <c r="BB491" i="60"/>
  <c r="AX491" i="60"/>
  <c r="AW491" i="60"/>
  <c r="BB490" i="60"/>
  <c r="AX490" i="60"/>
  <c r="AW490" i="60"/>
  <c r="BB489" i="60"/>
  <c r="AX489" i="60"/>
  <c r="AW489" i="60"/>
  <c r="BB488" i="60"/>
  <c r="AX488" i="60"/>
  <c r="AW488" i="60"/>
  <c r="BB487" i="60"/>
  <c r="AX487" i="60"/>
  <c r="AW487" i="60"/>
  <c r="BB486" i="60"/>
  <c r="AX486" i="60"/>
  <c r="AW486" i="60"/>
  <c r="BB485" i="60"/>
  <c r="AX485" i="60"/>
  <c r="AW485" i="60"/>
  <c r="BB484" i="60"/>
  <c r="AX484" i="60"/>
  <c r="AW484" i="60"/>
  <c r="BB483" i="60"/>
  <c r="AX483" i="60"/>
  <c r="AW483" i="60"/>
  <c r="BB482" i="60"/>
  <c r="AX482" i="60"/>
  <c r="AW482" i="60"/>
  <c r="BB481" i="60"/>
  <c r="AX481" i="60"/>
  <c r="AW481" i="60"/>
  <c r="BB480" i="60"/>
  <c r="AX480" i="60"/>
  <c r="AW480" i="60"/>
  <c r="BB479" i="60"/>
  <c r="AX479" i="60"/>
  <c r="AW479" i="60"/>
  <c r="BB478" i="60"/>
  <c r="AX478" i="60"/>
  <c r="AW478" i="60"/>
  <c r="BB477" i="60"/>
  <c r="AX477" i="60"/>
  <c r="AW477" i="60"/>
  <c r="BB476" i="60"/>
  <c r="AX476" i="60"/>
  <c r="AW476" i="60"/>
  <c r="BB475" i="60"/>
  <c r="AX475" i="60"/>
  <c r="AW475" i="60"/>
  <c r="BB474" i="60"/>
  <c r="AX474" i="60"/>
  <c r="AW474" i="60"/>
  <c r="BB473" i="60"/>
  <c r="AX473" i="60"/>
  <c r="AW473" i="60"/>
  <c r="BB472" i="60"/>
  <c r="AX472" i="60"/>
  <c r="AW472" i="60"/>
  <c r="BB471" i="60"/>
  <c r="AX471" i="60"/>
  <c r="AW471" i="60"/>
  <c r="BB470" i="60"/>
  <c r="AX470" i="60"/>
  <c r="AW470" i="60"/>
  <c r="BB469" i="60"/>
  <c r="AX469" i="60"/>
  <c r="AW469" i="60"/>
  <c r="BB468" i="60"/>
  <c r="AX468" i="60"/>
  <c r="AW468" i="60"/>
  <c r="BB467" i="60"/>
  <c r="AX467" i="60"/>
  <c r="AW467" i="60"/>
  <c r="BB466" i="60"/>
  <c r="AX466" i="60"/>
  <c r="AW466" i="60"/>
  <c r="BB465" i="60"/>
  <c r="AX465" i="60"/>
  <c r="AW465" i="60"/>
  <c r="BB464" i="60"/>
  <c r="AX464" i="60"/>
  <c r="AW464" i="60"/>
  <c r="BB463" i="60"/>
  <c r="AX463" i="60"/>
  <c r="AW463" i="60"/>
  <c r="BB462" i="60"/>
  <c r="AX462" i="60"/>
  <c r="AW462" i="60"/>
  <c r="BB461" i="60"/>
  <c r="AX461" i="60"/>
  <c r="AW461" i="60"/>
  <c r="BB460" i="60"/>
  <c r="AX460" i="60"/>
  <c r="AW460" i="60"/>
  <c r="BB459" i="60"/>
  <c r="AX459" i="60"/>
  <c r="AW459" i="60"/>
  <c r="BB458" i="60"/>
  <c r="AX458" i="60"/>
  <c r="AW458" i="60"/>
  <c r="BB457" i="60"/>
  <c r="AX457" i="60"/>
  <c r="AW457" i="60"/>
  <c r="BB456" i="60"/>
  <c r="AX456" i="60"/>
  <c r="AW456" i="60"/>
  <c r="BB455" i="60"/>
  <c r="AX455" i="60"/>
  <c r="AW455" i="60"/>
  <c r="BB454" i="60"/>
  <c r="AX454" i="60"/>
  <c r="AW454" i="60"/>
  <c r="BB453" i="60"/>
  <c r="AX453" i="60"/>
  <c r="AW453" i="60"/>
  <c r="BB452" i="60"/>
  <c r="AX452" i="60"/>
  <c r="AW452" i="60"/>
  <c r="BB451" i="60"/>
  <c r="AX451" i="60"/>
  <c r="AW451" i="60"/>
  <c r="BB450" i="60"/>
  <c r="AX450" i="60"/>
  <c r="AW450" i="60"/>
  <c r="BB449" i="60"/>
  <c r="AX449" i="60"/>
  <c r="AW449" i="60"/>
  <c r="BB448" i="60"/>
  <c r="AX448" i="60"/>
  <c r="AW448" i="60"/>
  <c r="BB447" i="60"/>
  <c r="AX447" i="60"/>
  <c r="AW447" i="60"/>
  <c r="BB446" i="60"/>
  <c r="AX446" i="60"/>
  <c r="AW446" i="60"/>
  <c r="BB445" i="60"/>
  <c r="AX445" i="60"/>
  <c r="AW445" i="60"/>
  <c r="BB444" i="60"/>
  <c r="AX444" i="60"/>
  <c r="AW444" i="60"/>
  <c r="BB443" i="60"/>
  <c r="AX443" i="60"/>
  <c r="AW443" i="60"/>
  <c r="BB442" i="60"/>
  <c r="AX442" i="60"/>
  <c r="AW442" i="60"/>
  <c r="BB441" i="60"/>
  <c r="AX441" i="60"/>
  <c r="AW441" i="60"/>
  <c r="BB440" i="60"/>
  <c r="AX440" i="60"/>
  <c r="AW440" i="60"/>
  <c r="BB439" i="60"/>
  <c r="AX439" i="60"/>
  <c r="AW439" i="60"/>
  <c r="BB438" i="60"/>
  <c r="AX438" i="60"/>
  <c r="AW438" i="60"/>
  <c r="BB437" i="60"/>
  <c r="AX437" i="60"/>
  <c r="AW437" i="60"/>
  <c r="BB436" i="60"/>
  <c r="AX436" i="60"/>
  <c r="AW436" i="60"/>
  <c r="BB435" i="60"/>
  <c r="AX435" i="60"/>
  <c r="AW435" i="60"/>
  <c r="BB434" i="60"/>
  <c r="AX434" i="60"/>
  <c r="AW434" i="60"/>
  <c r="BB433" i="60"/>
  <c r="AX433" i="60"/>
  <c r="AW433" i="60"/>
  <c r="BB432" i="60"/>
  <c r="AX432" i="60"/>
  <c r="AW432" i="60"/>
  <c r="BB431" i="60"/>
  <c r="AX431" i="60"/>
  <c r="AW431" i="60"/>
  <c r="BB430" i="60"/>
  <c r="AX430" i="60"/>
  <c r="AW430" i="60"/>
  <c r="BB429" i="60"/>
  <c r="AX429" i="60"/>
  <c r="AW429" i="60"/>
  <c r="BB428" i="60"/>
  <c r="AX428" i="60"/>
  <c r="AW428" i="60"/>
  <c r="BB427" i="60"/>
  <c r="AX427" i="60"/>
  <c r="AW427" i="60"/>
  <c r="BB426" i="60"/>
  <c r="AX426" i="60"/>
  <c r="AW426" i="60"/>
  <c r="BB425" i="60"/>
  <c r="AX425" i="60"/>
  <c r="AW425" i="60"/>
  <c r="BB424" i="60"/>
  <c r="AX424" i="60"/>
  <c r="AW424" i="60"/>
  <c r="BB423" i="60"/>
  <c r="AX423" i="60"/>
  <c r="AW423" i="60"/>
  <c r="BB422" i="60"/>
  <c r="AX422" i="60"/>
  <c r="AW422" i="60"/>
  <c r="BB421" i="60"/>
  <c r="AX421" i="60"/>
  <c r="AW421" i="60"/>
  <c r="BB420" i="60"/>
  <c r="AX420" i="60"/>
  <c r="AW420" i="60"/>
  <c r="BB419" i="60"/>
  <c r="AX419" i="60"/>
  <c r="AW419" i="60"/>
  <c r="BB418" i="60"/>
  <c r="AX418" i="60"/>
  <c r="AW418" i="60"/>
  <c r="BB417" i="60"/>
  <c r="AX417" i="60"/>
  <c r="AW417" i="60"/>
  <c r="BB416" i="60"/>
  <c r="AX416" i="60"/>
  <c r="AW416" i="60"/>
  <c r="BB415" i="60"/>
  <c r="AX415" i="60"/>
  <c r="AW415" i="60"/>
  <c r="BB414" i="60"/>
  <c r="AX414" i="60"/>
  <c r="AW414" i="60"/>
  <c r="BB413" i="60"/>
  <c r="AX413" i="60"/>
  <c r="AW413" i="60"/>
  <c r="BB412" i="60"/>
  <c r="AX412" i="60"/>
  <c r="AW412" i="60"/>
  <c r="BB411" i="60"/>
  <c r="AX411" i="60"/>
  <c r="AW411" i="60"/>
  <c r="BB410" i="60"/>
  <c r="AX410" i="60"/>
  <c r="AW410" i="60"/>
  <c r="BB409" i="60"/>
  <c r="AX409" i="60"/>
  <c r="AW409" i="60"/>
  <c r="BB408" i="60"/>
  <c r="AX408" i="60"/>
  <c r="AW408" i="60"/>
  <c r="BB407" i="60"/>
  <c r="AX407" i="60"/>
  <c r="AW407" i="60"/>
  <c r="BB406" i="60"/>
  <c r="AX406" i="60"/>
  <c r="AW406" i="60"/>
  <c r="BB405" i="60"/>
  <c r="AX405" i="60"/>
  <c r="AW405" i="60"/>
  <c r="BB404" i="60"/>
  <c r="AX404" i="60"/>
  <c r="AW404" i="60"/>
  <c r="BB403" i="60"/>
  <c r="AX403" i="60"/>
  <c r="AW403" i="60"/>
  <c r="BB402" i="60"/>
  <c r="AX402" i="60"/>
  <c r="AW402" i="60"/>
  <c r="BB401" i="60"/>
  <c r="AX401" i="60"/>
  <c r="AW401" i="60"/>
  <c r="BB400" i="60"/>
  <c r="AX400" i="60"/>
  <c r="AW400" i="60"/>
  <c r="BB399" i="60"/>
  <c r="AX399" i="60"/>
  <c r="AW399" i="60"/>
  <c r="BB398" i="60"/>
  <c r="AX398" i="60"/>
  <c r="AW398" i="60"/>
  <c r="BB397" i="60"/>
  <c r="AX397" i="60"/>
  <c r="AW397" i="60"/>
  <c r="BB396" i="60"/>
  <c r="AX396" i="60"/>
  <c r="AW396" i="60"/>
  <c r="BB395" i="60"/>
  <c r="AX395" i="60"/>
  <c r="AW395" i="60"/>
  <c r="BB394" i="60"/>
  <c r="AX394" i="60"/>
  <c r="AW394" i="60"/>
  <c r="BB393" i="60"/>
  <c r="AX393" i="60"/>
  <c r="AW393" i="60"/>
  <c r="BB392" i="60"/>
  <c r="AX392" i="60"/>
  <c r="AW392" i="60"/>
  <c r="BB391" i="60"/>
  <c r="AX391" i="60"/>
  <c r="AW391" i="60"/>
  <c r="BB390" i="60"/>
  <c r="AX390" i="60"/>
  <c r="AW390" i="60"/>
  <c r="BB389" i="60"/>
  <c r="AX389" i="60"/>
  <c r="AW389" i="60"/>
  <c r="BB388" i="60"/>
  <c r="AX388" i="60"/>
  <c r="AW388" i="60"/>
  <c r="BB387" i="60"/>
  <c r="AX387" i="60"/>
  <c r="AW387" i="60"/>
  <c r="BB386" i="60"/>
  <c r="AX386" i="60"/>
  <c r="AW386" i="60"/>
  <c r="BB385" i="60"/>
  <c r="AX385" i="60"/>
  <c r="AW385" i="60"/>
  <c r="BB384" i="60"/>
  <c r="AX384" i="60"/>
  <c r="AW384" i="60"/>
  <c r="BB383" i="60"/>
  <c r="AX383" i="60"/>
  <c r="AW383" i="60"/>
  <c r="BB382" i="60"/>
  <c r="AX382" i="60"/>
  <c r="AW382" i="60"/>
  <c r="BB381" i="60"/>
  <c r="AX381" i="60"/>
  <c r="AW381" i="60"/>
  <c r="BB380" i="60"/>
  <c r="AX380" i="60"/>
  <c r="AW380" i="60"/>
  <c r="BB379" i="60"/>
  <c r="AX379" i="60"/>
  <c r="AW379" i="60"/>
  <c r="BB378" i="60"/>
  <c r="AX378" i="60"/>
  <c r="AW378" i="60"/>
  <c r="BB377" i="60"/>
  <c r="AX377" i="60"/>
  <c r="AW377" i="60"/>
  <c r="BB376" i="60"/>
  <c r="AX376" i="60"/>
  <c r="AW376" i="60"/>
  <c r="BB375" i="60"/>
  <c r="AX375" i="60"/>
  <c r="AW375" i="60"/>
  <c r="BB374" i="60"/>
  <c r="AX374" i="60"/>
  <c r="AW374" i="60"/>
  <c r="BB373" i="60"/>
  <c r="AX373" i="60"/>
  <c r="AW373" i="60"/>
  <c r="BB372" i="60"/>
  <c r="AX372" i="60"/>
  <c r="AW372" i="60"/>
  <c r="BB371" i="60"/>
  <c r="AX371" i="60"/>
  <c r="AW371" i="60"/>
  <c r="BB370" i="60"/>
  <c r="AX370" i="60"/>
  <c r="AW370" i="60"/>
  <c r="BB369" i="60"/>
  <c r="AX369" i="60"/>
  <c r="AW369" i="60"/>
  <c r="BB368" i="60"/>
  <c r="AX368" i="60"/>
  <c r="AW368" i="60"/>
  <c r="BB367" i="60"/>
  <c r="AX367" i="60"/>
  <c r="AW367" i="60"/>
  <c r="BB366" i="60"/>
  <c r="AX366" i="60"/>
  <c r="AW366" i="60"/>
  <c r="BB365" i="60"/>
  <c r="AX365" i="60"/>
  <c r="AW365" i="60"/>
  <c r="BB364" i="60"/>
  <c r="AX364" i="60"/>
  <c r="AW364" i="60"/>
  <c r="BB363" i="60"/>
  <c r="AX363" i="60"/>
  <c r="AW363" i="60"/>
  <c r="BB362" i="60"/>
  <c r="AX362" i="60"/>
  <c r="AW362" i="60"/>
  <c r="BB361" i="60"/>
  <c r="AX361" i="60"/>
  <c r="AW361" i="60"/>
  <c r="BB360" i="60"/>
  <c r="AX360" i="60"/>
  <c r="AW360" i="60"/>
  <c r="BB359" i="60"/>
  <c r="AX359" i="60"/>
  <c r="AW359" i="60"/>
  <c r="BB358" i="60"/>
  <c r="AX358" i="60"/>
  <c r="AW358" i="60"/>
  <c r="BB357" i="60"/>
  <c r="AX357" i="60"/>
  <c r="AW357" i="60"/>
  <c r="BB356" i="60"/>
  <c r="AX356" i="60"/>
  <c r="AW356" i="60"/>
  <c r="BB355" i="60"/>
  <c r="AX355" i="60"/>
  <c r="AW355" i="60"/>
  <c r="BB354" i="60"/>
  <c r="AX354" i="60"/>
  <c r="AW354" i="60"/>
  <c r="BB353" i="60"/>
  <c r="AX353" i="60"/>
  <c r="AW353" i="60"/>
  <c r="BB352" i="60"/>
  <c r="AX352" i="60"/>
  <c r="AW352" i="60"/>
  <c r="BB351" i="60"/>
  <c r="AX351" i="60"/>
  <c r="AW351" i="60"/>
  <c r="BB350" i="60"/>
  <c r="AX350" i="60"/>
  <c r="AW350" i="60"/>
  <c r="BB349" i="60"/>
  <c r="AX349" i="60"/>
  <c r="AW349" i="60"/>
  <c r="BB348" i="60"/>
  <c r="AX348" i="60"/>
  <c r="AW348" i="60"/>
  <c r="BB347" i="60"/>
  <c r="AX347" i="60"/>
  <c r="AW347" i="60"/>
  <c r="BB346" i="60"/>
  <c r="AX346" i="60"/>
  <c r="AW346" i="60"/>
  <c r="BB345" i="60"/>
  <c r="AX345" i="60"/>
  <c r="AW345" i="60"/>
  <c r="BB344" i="60"/>
  <c r="AX344" i="60"/>
  <c r="AW344" i="60"/>
  <c r="BB343" i="60"/>
  <c r="AX343" i="60"/>
  <c r="AW343" i="60"/>
  <c r="BB342" i="60"/>
  <c r="AX342" i="60"/>
  <c r="AW342" i="60"/>
  <c r="BB341" i="60"/>
  <c r="AX341" i="60"/>
  <c r="AW341" i="60"/>
  <c r="BB340" i="60"/>
  <c r="AX340" i="60"/>
  <c r="AW340" i="60"/>
  <c r="BB339" i="60"/>
  <c r="AX339" i="60"/>
  <c r="AW339" i="60"/>
  <c r="BB338" i="60"/>
  <c r="AX338" i="60"/>
  <c r="AW338" i="60"/>
  <c r="BB337" i="60"/>
  <c r="AX337" i="60"/>
  <c r="AW337" i="60"/>
  <c r="BB336" i="60"/>
  <c r="AX336" i="60"/>
  <c r="AW336" i="60"/>
  <c r="BB335" i="60"/>
  <c r="AX335" i="60"/>
  <c r="AW335" i="60"/>
  <c r="BB334" i="60"/>
  <c r="AX334" i="60"/>
  <c r="AW334" i="60"/>
  <c r="BB333" i="60"/>
  <c r="AX333" i="60"/>
  <c r="AW333" i="60"/>
  <c r="BB332" i="60"/>
  <c r="AX332" i="60"/>
  <c r="AW332" i="60"/>
  <c r="BB331" i="60"/>
  <c r="AX331" i="60"/>
  <c r="AW331" i="60"/>
  <c r="BB330" i="60"/>
  <c r="AX330" i="60"/>
  <c r="AW330" i="60"/>
  <c r="BB329" i="60"/>
  <c r="AX329" i="60"/>
  <c r="AW329" i="60"/>
  <c r="BB328" i="60"/>
  <c r="AX328" i="60"/>
  <c r="AW328" i="60"/>
  <c r="BB327" i="60"/>
  <c r="AX327" i="60"/>
  <c r="AW327" i="60"/>
  <c r="BB326" i="60"/>
  <c r="AX326" i="60"/>
  <c r="AW326" i="60"/>
  <c r="BB325" i="60"/>
  <c r="AX325" i="60"/>
  <c r="AW325" i="60"/>
  <c r="BB324" i="60"/>
  <c r="AX324" i="60"/>
  <c r="AW324" i="60"/>
  <c r="BB323" i="60"/>
  <c r="AX323" i="60"/>
  <c r="AW323" i="60"/>
  <c r="BB322" i="60"/>
  <c r="AX322" i="60"/>
  <c r="AW322" i="60"/>
  <c r="BB321" i="60"/>
  <c r="AX321" i="60"/>
  <c r="AW321" i="60"/>
  <c r="BB320" i="60"/>
  <c r="AX320" i="60"/>
  <c r="AW320" i="60"/>
  <c r="BB319" i="60"/>
  <c r="AX319" i="60"/>
  <c r="AW319" i="60"/>
  <c r="BB318" i="60"/>
  <c r="AX318" i="60"/>
  <c r="AW318" i="60"/>
  <c r="BB317" i="60"/>
  <c r="AX317" i="60"/>
  <c r="AW317" i="60"/>
  <c r="BB316" i="60"/>
  <c r="AX316" i="60"/>
  <c r="AW316" i="60"/>
  <c r="BB315" i="60"/>
  <c r="AX315" i="60"/>
  <c r="AW315" i="60"/>
  <c r="BB314" i="60"/>
  <c r="AX314" i="60"/>
  <c r="AW314" i="60"/>
  <c r="BB313" i="60"/>
  <c r="AX313" i="60"/>
  <c r="AW313" i="60"/>
  <c r="BB312" i="60"/>
  <c r="AX312" i="60"/>
  <c r="AW312" i="60"/>
  <c r="BB311" i="60"/>
  <c r="AX311" i="60"/>
  <c r="AW311" i="60"/>
  <c r="BB310" i="60"/>
  <c r="AX310" i="60"/>
  <c r="AW310" i="60"/>
  <c r="BB309" i="60"/>
  <c r="AX309" i="60"/>
  <c r="AW309" i="60"/>
  <c r="BB308" i="60"/>
  <c r="AX308" i="60"/>
  <c r="AW308" i="60"/>
  <c r="BB307" i="60"/>
  <c r="AX307" i="60"/>
  <c r="AW307" i="60"/>
  <c r="BB306" i="60"/>
  <c r="AX306" i="60"/>
  <c r="AW306" i="60"/>
  <c r="BB305" i="60"/>
  <c r="AX305" i="60"/>
  <c r="AW305" i="60"/>
  <c r="BB304" i="60"/>
  <c r="AX304" i="60"/>
  <c r="AW304" i="60"/>
  <c r="BB303" i="60"/>
  <c r="AX303" i="60"/>
  <c r="AW303" i="60"/>
  <c r="BB302" i="60"/>
  <c r="AW302" i="60"/>
  <c r="BB301" i="60"/>
  <c r="AX301" i="60"/>
  <c r="AW301" i="60"/>
  <c r="BB300" i="60"/>
  <c r="AX300" i="60"/>
  <c r="AW300" i="60"/>
  <c r="BB299" i="60"/>
  <c r="AX299" i="60"/>
  <c r="AW299" i="60"/>
  <c r="BB298" i="60"/>
  <c r="AX298" i="60"/>
  <c r="AW298" i="60"/>
  <c r="BB297" i="60"/>
  <c r="AX297" i="60"/>
  <c r="AW297" i="60"/>
  <c r="BB296" i="60"/>
  <c r="AX296" i="60"/>
  <c r="AW296" i="60"/>
  <c r="BB295" i="60"/>
  <c r="AX295" i="60"/>
  <c r="AW295" i="60"/>
  <c r="BB294" i="60"/>
  <c r="AX294" i="60"/>
  <c r="AW294" i="60"/>
  <c r="BB293" i="60"/>
  <c r="AX293" i="60"/>
  <c r="AW293" i="60"/>
  <c r="BB292" i="60"/>
  <c r="AX292" i="60"/>
  <c r="AW292" i="60"/>
  <c r="BB291" i="60"/>
  <c r="AX291" i="60"/>
  <c r="AW291" i="60"/>
  <c r="BB290" i="60"/>
  <c r="AX290" i="60"/>
  <c r="AW290" i="60"/>
  <c r="BB289" i="60"/>
  <c r="AX289" i="60"/>
  <c r="AW289" i="60"/>
  <c r="BB288" i="60"/>
  <c r="AX288" i="60"/>
  <c r="AW288" i="60"/>
  <c r="BB287" i="60"/>
  <c r="AX287" i="60"/>
  <c r="AW287" i="60"/>
  <c r="BB286" i="60"/>
  <c r="AX286" i="60"/>
  <c r="AW286" i="60"/>
  <c r="BB285" i="60"/>
  <c r="AX285" i="60"/>
  <c r="AW285" i="60"/>
  <c r="BB284" i="60"/>
  <c r="AX284" i="60"/>
  <c r="AW284" i="60"/>
  <c r="BB283" i="60"/>
  <c r="AX283" i="60"/>
  <c r="AW283" i="60"/>
  <c r="BB282" i="60"/>
  <c r="AX282" i="60"/>
  <c r="AW282" i="60"/>
  <c r="BB281" i="60"/>
  <c r="AX281" i="60"/>
  <c r="AW281" i="60"/>
  <c r="BB280" i="60"/>
  <c r="AX280" i="60"/>
  <c r="AW280" i="60"/>
  <c r="BB279" i="60"/>
  <c r="AX279" i="60"/>
  <c r="AW279" i="60"/>
  <c r="BB278" i="60"/>
  <c r="AX278" i="60"/>
  <c r="AW278" i="60"/>
  <c r="BB277" i="60"/>
  <c r="AX277" i="60"/>
  <c r="AW277" i="60"/>
  <c r="BB276" i="60"/>
  <c r="AX276" i="60"/>
  <c r="AW276" i="60"/>
  <c r="BB275" i="60"/>
  <c r="AX275" i="60"/>
  <c r="AW275" i="60"/>
  <c r="BB274" i="60"/>
  <c r="AX274" i="60"/>
  <c r="AW274" i="60"/>
  <c r="BB273" i="60"/>
  <c r="AX273" i="60"/>
  <c r="AW273" i="60"/>
  <c r="BB272" i="60"/>
  <c r="AX272" i="60"/>
  <c r="AW272" i="60"/>
  <c r="BB271" i="60"/>
  <c r="AX271" i="60"/>
  <c r="AW271" i="60"/>
  <c r="BB270" i="60"/>
  <c r="AX270" i="60"/>
  <c r="AW270" i="60"/>
  <c r="BB269" i="60"/>
  <c r="AX269" i="60"/>
  <c r="AW269" i="60"/>
  <c r="BB268" i="60"/>
  <c r="AX268" i="60"/>
  <c r="AW268" i="60"/>
  <c r="BB267" i="60"/>
  <c r="AX267" i="60"/>
  <c r="AW267" i="60"/>
  <c r="BB266" i="60"/>
  <c r="AX266" i="60"/>
  <c r="AW266" i="60"/>
  <c r="BB265" i="60"/>
  <c r="AX265" i="60"/>
  <c r="AW265" i="60"/>
  <c r="BB264" i="60"/>
  <c r="AX264" i="60"/>
  <c r="AW264" i="60"/>
  <c r="BB263" i="60"/>
  <c r="AX263" i="60"/>
  <c r="AW263" i="60"/>
  <c r="BB262" i="60"/>
  <c r="AX262" i="60"/>
  <c r="AW262" i="60"/>
  <c r="BB261" i="60"/>
  <c r="AX261" i="60"/>
  <c r="AW261" i="60"/>
  <c r="BB260" i="60"/>
  <c r="AX260" i="60"/>
  <c r="AW260" i="60"/>
  <c r="BB259" i="60"/>
  <c r="AX259" i="60"/>
  <c r="AW259" i="60"/>
  <c r="BB258" i="60"/>
  <c r="AX258" i="60"/>
  <c r="AW258" i="60"/>
  <c r="BB257" i="60"/>
  <c r="AX257" i="60"/>
  <c r="AW257" i="60"/>
  <c r="BB256" i="60"/>
  <c r="AX256" i="60"/>
  <c r="AW256" i="60"/>
  <c r="BB254" i="60"/>
  <c r="AX254" i="60"/>
  <c r="AW254" i="60"/>
  <c r="BB253" i="60"/>
  <c r="AX253" i="60"/>
  <c r="AW253" i="60"/>
  <c r="BB252" i="60"/>
  <c r="AX252" i="60"/>
  <c r="AW252" i="60"/>
  <c r="BB251" i="60"/>
  <c r="AX251" i="60"/>
  <c r="AW251" i="60"/>
  <c r="BB250" i="60"/>
  <c r="AX250" i="60"/>
  <c r="AW250" i="60"/>
  <c r="BB249" i="60"/>
  <c r="AX249" i="60"/>
  <c r="AW249" i="60"/>
  <c r="BB248" i="60"/>
  <c r="AX248" i="60"/>
  <c r="AW248" i="60"/>
  <c r="BB247" i="60"/>
  <c r="AX247" i="60"/>
  <c r="AW247" i="60"/>
  <c r="BB246" i="60"/>
  <c r="AX246" i="60"/>
  <c r="AW246" i="60"/>
  <c r="BB245" i="60"/>
  <c r="AX245" i="60"/>
  <c r="AW245" i="60"/>
  <c r="AX244" i="60"/>
  <c r="AW244" i="60"/>
  <c r="AX243" i="60"/>
  <c r="AW243" i="60"/>
  <c r="AX242" i="60"/>
  <c r="AW242" i="60"/>
  <c r="BB241" i="60"/>
  <c r="AX241" i="60"/>
  <c r="AW241" i="60"/>
  <c r="BB240" i="60"/>
  <c r="AX240" i="60"/>
  <c r="AW240" i="60"/>
  <c r="AX239" i="60"/>
  <c r="AW239" i="60"/>
  <c r="AX238" i="60"/>
  <c r="AW238" i="60"/>
  <c r="AX237" i="60"/>
  <c r="AW237" i="60"/>
  <c r="BB237" i="60" s="1"/>
  <c r="BB236" i="60"/>
  <c r="AX236" i="60"/>
  <c r="AW236" i="60"/>
  <c r="BB235" i="60"/>
  <c r="AX235" i="60"/>
  <c r="AW235" i="60"/>
  <c r="BB234" i="60"/>
  <c r="AX234" i="60"/>
  <c r="AW234" i="60"/>
  <c r="AX233" i="60"/>
  <c r="AW233" i="60"/>
  <c r="AX232" i="60"/>
  <c r="AW232" i="60"/>
  <c r="AX231" i="60"/>
  <c r="AW231" i="60"/>
  <c r="BB231" i="60" s="1"/>
  <c r="AX230" i="60"/>
  <c r="AW230" i="60"/>
  <c r="BB230" i="60" s="1"/>
  <c r="BB229" i="60"/>
  <c r="AX229" i="60"/>
  <c r="AW229" i="60"/>
  <c r="BB228" i="60"/>
  <c r="AX228" i="60"/>
  <c r="AW228" i="60"/>
  <c r="AX227" i="60"/>
  <c r="AW227" i="60"/>
  <c r="AX226" i="60"/>
  <c r="AW226" i="60"/>
  <c r="BB226" i="60" s="1"/>
  <c r="AX225" i="60"/>
  <c r="AW225" i="60"/>
  <c r="BB225" i="60" s="1"/>
  <c r="AX224" i="60"/>
  <c r="AW224" i="60"/>
  <c r="BB224" i="60" s="1"/>
  <c r="AX223" i="60"/>
  <c r="AW223" i="60"/>
  <c r="AX222" i="60"/>
  <c r="AW222" i="60"/>
  <c r="AX221" i="60"/>
  <c r="AW221" i="60"/>
  <c r="AX220" i="60"/>
  <c r="AW220" i="60"/>
  <c r="BB219" i="60"/>
  <c r="AX219" i="60"/>
  <c r="AW219" i="60"/>
  <c r="BB218" i="60"/>
  <c r="AX218" i="60"/>
  <c r="AW218" i="60"/>
  <c r="BB217" i="60"/>
  <c r="AX217" i="60"/>
  <c r="AW217" i="60"/>
  <c r="BB216" i="60"/>
  <c r="AX216" i="60"/>
  <c r="AW216" i="60"/>
  <c r="BB215" i="60"/>
  <c r="AX215" i="60"/>
  <c r="AW215" i="60"/>
  <c r="BB214" i="60"/>
  <c r="AX214" i="60"/>
  <c r="AW214" i="60"/>
  <c r="BB213" i="60"/>
  <c r="AX213" i="60"/>
  <c r="AW213" i="60"/>
  <c r="BB212" i="60"/>
  <c r="AX212" i="60"/>
  <c r="AW212" i="60"/>
  <c r="BB211" i="60"/>
  <c r="AX211" i="60"/>
  <c r="AW211" i="60"/>
  <c r="BB210" i="60"/>
  <c r="AX210" i="60"/>
  <c r="AW210" i="60"/>
  <c r="BB209" i="60"/>
  <c r="AX209" i="60"/>
  <c r="AW209" i="60"/>
  <c r="BB208" i="60"/>
  <c r="AX208" i="60"/>
  <c r="AW208" i="60"/>
  <c r="BB207" i="60"/>
  <c r="AW207" i="60"/>
  <c r="BB206" i="60"/>
  <c r="AX206" i="60"/>
  <c r="AW206" i="60"/>
  <c r="BB205" i="60"/>
  <c r="AX205" i="60"/>
  <c r="AW205" i="60"/>
  <c r="BB204" i="60"/>
  <c r="AX204" i="60"/>
  <c r="AW204" i="60"/>
  <c r="BB203" i="60"/>
  <c r="AX203" i="60"/>
  <c r="AW203" i="60"/>
  <c r="BB202" i="60"/>
  <c r="AX202" i="60"/>
  <c r="AW202" i="60"/>
  <c r="BB201" i="60"/>
  <c r="AX201" i="60"/>
  <c r="AW201" i="60"/>
  <c r="BB200" i="60"/>
  <c r="AX200" i="60"/>
  <c r="AW200" i="60"/>
  <c r="BB199" i="60"/>
  <c r="AX199" i="60"/>
  <c r="AW199" i="60"/>
  <c r="BB198" i="60"/>
  <c r="AX198" i="60"/>
  <c r="AW198" i="60"/>
  <c r="BB197" i="60"/>
  <c r="AX197" i="60"/>
  <c r="AW197" i="60"/>
  <c r="BB196" i="60"/>
  <c r="AX196" i="60"/>
  <c r="AW196" i="60"/>
  <c r="BB195" i="60"/>
  <c r="AX195" i="60"/>
  <c r="AW195" i="60"/>
  <c r="BB194" i="60"/>
  <c r="AX194" i="60"/>
  <c r="AW194" i="60"/>
  <c r="BB193" i="60"/>
  <c r="AX193" i="60"/>
  <c r="AW193" i="60"/>
  <c r="BB192" i="60"/>
  <c r="AX192" i="60"/>
  <c r="AW192" i="60"/>
  <c r="BB191" i="60"/>
  <c r="AX191" i="60"/>
  <c r="AW191" i="60"/>
  <c r="BB190" i="60"/>
  <c r="AX190" i="60"/>
  <c r="AW190" i="60"/>
  <c r="BB189" i="60"/>
  <c r="AX189" i="60"/>
  <c r="AW189" i="60"/>
  <c r="BB188" i="60"/>
  <c r="AX188" i="60"/>
  <c r="AW188" i="60"/>
  <c r="BB187" i="60"/>
  <c r="AX187" i="60"/>
  <c r="AW187" i="60"/>
  <c r="BB186" i="60"/>
  <c r="AX186" i="60"/>
  <c r="AW186" i="60"/>
  <c r="BB185" i="60"/>
  <c r="AX185" i="60"/>
  <c r="AW185" i="60"/>
  <c r="BB184" i="60"/>
  <c r="AX184" i="60"/>
  <c r="AW184" i="60"/>
  <c r="BB183" i="60"/>
  <c r="AX183" i="60"/>
  <c r="AW183" i="60"/>
  <c r="BB181" i="60"/>
  <c r="AX181" i="60"/>
  <c r="AW181" i="60"/>
  <c r="BB180" i="60"/>
  <c r="AX180" i="60"/>
  <c r="AW180" i="60"/>
  <c r="BB179" i="60"/>
  <c r="AX179" i="60"/>
  <c r="AW179" i="60"/>
  <c r="BB178" i="60"/>
  <c r="AX178" i="60"/>
  <c r="AW178" i="60"/>
  <c r="BB177" i="60"/>
  <c r="AX177" i="60"/>
  <c r="AW177" i="60"/>
  <c r="BB176" i="60"/>
  <c r="AX176" i="60"/>
  <c r="AW176" i="60"/>
  <c r="BB175" i="60"/>
  <c r="AX175" i="60"/>
  <c r="AW175" i="60"/>
  <c r="BB174" i="60"/>
  <c r="AX174" i="60"/>
  <c r="AW174" i="60"/>
  <c r="BB173" i="60"/>
  <c r="AX173" i="60"/>
  <c r="AW173" i="60"/>
  <c r="AX172" i="60"/>
  <c r="AW172" i="60"/>
  <c r="AX171" i="60"/>
  <c r="AW171" i="60"/>
  <c r="AX170" i="60"/>
  <c r="AW170" i="60"/>
  <c r="BB169" i="60"/>
  <c r="AX169" i="60"/>
  <c r="AW169" i="60"/>
  <c r="BB168" i="60"/>
  <c r="AX168" i="60"/>
  <c r="AW168" i="60"/>
  <c r="BB167" i="60"/>
  <c r="AX167" i="60"/>
  <c r="AW167" i="60"/>
  <c r="BB166" i="60"/>
  <c r="AX166" i="60"/>
  <c r="AW166" i="60"/>
  <c r="BB165" i="60"/>
  <c r="AX165" i="60"/>
  <c r="AW165" i="60"/>
  <c r="BB164" i="60"/>
  <c r="AX164" i="60"/>
  <c r="AW164" i="60"/>
  <c r="BB163" i="60"/>
  <c r="AX163" i="60"/>
  <c r="AW163" i="60"/>
  <c r="BB162" i="60"/>
  <c r="AX162" i="60"/>
  <c r="AW162" i="60"/>
  <c r="BB161" i="60"/>
  <c r="AX161" i="60"/>
  <c r="AW161" i="60"/>
  <c r="BB160" i="60"/>
  <c r="AX160" i="60"/>
  <c r="AW160" i="60"/>
  <c r="BB159" i="60"/>
  <c r="AX159" i="60"/>
  <c r="AW159" i="60"/>
  <c r="BB158" i="60"/>
  <c r="AW158" i="60"/>
  <c r="BB157" i="60"/>
  <c r="AX157" i="60"/>
  <c r="AW157" i="60"/>
  <c r="BB156" i="60"/>
  <c r="AX156" i="60"/>
  <c r="AW156" i="60"/>
  <c r="BB155" i="60"/>
  <c r="AX155" i="60"/>
  <c r="AW155" i="60"/>
  <c r="BB154" i="60"/>
  <c r="AX154" i="60"/>
  <c r="AW154" i="60"/>
  <c r="BB153" i="60"/>
  <c r="AX153" i="60"/>
  <c r="AW153" i="60"/>
  <c r="BB152" i="60"/>
  <c r="AX152" i="60"/>
  <c r="AW152" i="60"/>
  <c r="BB151" i="60"/>
  <c r="AX151" i="60"/>
  <c r="AW151" i="60"/>
  <c r="BB150" i="60"/>
  <c r="AX150" i="60"/>
  <c r="AW150" i="60"/>
  <c r="BB149" i="60"/>
  <c r="AX149" i="60"/>
  <c r="AW149" i="60"/>
  <c r="BB148" i="60"/>
  <c r="AX148" i="60"/>
  <c r="AW148" i="60"/>
  <c r="BB147" i="60"/>
  <c r="AX147" i="60"/>
  <c r="AW147" i="60"/>
  <c r="BB146" i="60"/>
  <c r="AX146" i="60"/>
  <c r="AW146" i="60"/>
  <c r="BB145" i="60"/>
  <c r="AX145" i="60"/>
  <c r="AW145" i="60"/>
  <c r="BB144" i="60"/>
  <c r="AX144" i="60"/>
  <c r="AW144" i="60"/>
  <c r="BB143" i="60"/>
  <c r="AX143" i="60"/>
  <c r="AW143" i="60"/>
  <c r="BB142" i="60"/>
  <c r="AX142" i="60"/>
  <c r="AW142" i="60"/>
  <c r="BB141" i="60"/>
  <c r="AX141" i="60"/>
  <c r="AW141" i="60"/>
  <c r="BB140" i="60"/>
  <c r="AX140" i="60"/>
  <c r="AW140" i="60"/>
  <c r="BB138" i="60"/>
  <c r="AX138" i="60"/>
  <c r="AW138" i="60"/>
  <c r="BB137" i="60"/>
  <c r="AX137" i="60"/>
  <c r="AW137" i="60"/>
  <c r="BB136" i="60"/>
  <c r="AX136" i="60"/>
  <c r="AW136" i="60"/>
  <c r="BB135" i="60"/>
  <c r="AX135" i="60"/>
  <c r="AW135" i="60"/>
  <c r="BB134" i="60"/>
  <c r="AX134" i="60"/>
  <c r="AW134" i="60"/>
  <c r="BB133" i="60"/>
  <c r="AX133" i="60"/>
  <c r="AW133" i="60"/>
  <c r="BB132" i="60"/>
  <c r="AX132" i="60"/>
  <c r="AW132" i="60"/>
  <c r="BB131" i="60"/>
  <c r="AX131" i="60"/>
  <c r="AW131" i="60"/>
  <c r="BB130" i="60"/>
  <c r="AX130" i="60"/>
  <c r="AW130" i="60"/>
  <c r="AX129" i="60"/>
  <c r="AW129" i="60"/>
  <c r="AX128" i="60"/>
  <c r="AW128" i="60"/>
  <c r="AX127" i="60"/>
  <c r="AW127" i="60"/>
  <c r="BB126" i="60"/>
  <c r="AX126" i="60"/>
  <c r="AW126" i="60"/>
  <c r="BB125" i="60"/>
  <c r="AX125" i="60"/>
  <c r="AW125" i="60"/>
  <c r="BB124" i="60"/>
  <c r="AX124" i="60"/>
  <c r="AW124" i="60"/>
  <c r="BB123" i="60"/>
  <c r="AX123" i="60"/>
  <c r="AW123" i="60"/>
  <c r="BB122" i="60"/>
  <c r="AX122" i="60"/>
  <c r="AW122" i="60"/>
  <c r="BB121" i="60"/>
  <c r="AX121" i="60"/>
  <c r="AW121" i="60"/>
  <c r="BB120" i="60"/>
  <c r="AX120" i="60"/>
  <c r="AW120" i="60"/>
  <c r="BB119" i="60"/>
  <c r="AX119" i="60"/>
  <c r="AW119" i="60"/>
  <c r="BB118" i="60"/>
  <c r="AX118" i="60"/>
  <c r="AW118" i="60"/>
  <c r="BB117" i="60"/>
  <c r="AX117" i="60"/>
  <c r="AW117" i="60"/>
  <c r="BB116" i="60"/>
  <c r="AX116" i="60"/>
  <c r="AW116" i="60"/>
  <c r="BB115" i="60"/>
  <c r="AW115" i="60"/>
  <c r="BB114" i="60"/>
  <c r="AX114" i="60"/>
  <c r="AW114" i="60"/>
  <c r="BB113" i="60"/>
  <c r="AX113" i="60"/>
  <c r="AW113" i="60"/>
  <c r="BB112" i="60"/>
  <c r="AX112" i="60"/>
  <c r="AW112" i="60"/>
  <c r="BB111" i="60"/>
  <c r="AX111" i="60"/>
  <c r="AW111" i="60"/>
  <c r="BB110" i="60"/>
  <c r="AX110" i="60"/>
  <c r="AW110" i="60"/>
  <c r="BB109" i="60"/>
  <c r="AX109" i="60"/>
  <c r="AW109" i="60"/>
  <c r="BB108" i="60"/>
  <c r="AX108" i="60"/>
  <c r="AW108" i="60"/>
  <c r="BB107" i="60"/>
  <c r="AX107" i="60"/>
  <c r="AW107" i="60"/>
  <c r="BB106" i="60"/>
  <c r="AX106" i="60"/>
  <c r="AW106" i="60"/>
  <c r="BB105" i="60"/>
  <c r="AX105" i="60"/>
  <c r="AW105" i="60"/>
  <c r="BB104" i="60"/>
  <c r="AX104" i="60"/>
  <c r="AW104" i="60"/>
  <c r="BB103" i="60"/>
  <c r="AX103" i="60"/>
  <c r="AW103" i="60"/>
  <c r="BB102" i="60"/>
  <c r="AX102" i="60"/>
  <c r="AW102" i="60"/>
  <c r="BB101" i="60"/>
  <c r="AX101" i="60"/>
  <c r="AW101" i="60"/>
  <c r="BB100" i="60"/>
  <c r="AX100" i="60"/>
  <c r="AW100" i="60"/>
  <c r="BB99" i="60"/>
  <c r="AX99" i="60"/>
  <c r="AW99" i="60"/>
  <c r="BB98" i="60"/>
  <c r="AX98" i="60"/>
  <c r="AW98" i="60"/>
  <c r="BB97" i="60"/>
  <c r="AX97" i="60"/>
  <c r="AW97" i="60"/>
  <c r="BB95" i="60"/>
  <c r="AX95" i="60"/>
  <c r="AW95" i="60"/>
  <c r="BB94" i="60"/>
  <c r="AX94" i="60"/>
  <c r="AW94" i="60"/>
  <c r="BB93" i="60"/>
  <c r="AX93" i="60"/>
  <c r="AW93" i="60"/>
  <c r="BB92" i="60"/>
  <c r="AX92" i="60"/>
  <c r="AW92" i="60"/>
  <c r="BB91" i="60"/>
  <c r="AX91" i="60"/>
  <c r="AW91" i="60"/>
  <c r="BB90" i="60"/>
  <c r="AX90" i="60"/>
  <c r="AW90" i="60"/>
  <c r="BB89" i="60"/>
  <c r="AX89" i="60"/>
  <c r="AW89" i="60"/>
  <c r="BB88" i="60"/>
  <c r="AX88" i="60"/>
  <c r="AW88" i="60"/>
  <c r="AX87" i="60"/>
  <c r="AW87" i="60"/>
  <c r="AX86" i="60"/>
  <c r="AW86" i="60"/>
  <c r="AX85" i="60"/>
  <c r="AW85" i="60"/>
  <c r="AX84" i="60"/>
  <c r="AW84" i="60"/>
  <c r="BB83" i="60"/>
  <c r="AX83" i="60"/>
  <c r="AW83" i="60"/>
  <c r="BB82" i="60"/>
  <c r="AX82" i="60"/>
  <c r="AW82" i="60"/>
  <c r="BB81" i="60"/>
  <c r="AX81" i="60"/>
  <c r="AW81" i="60"/>
  <c r="BB80" i="60"/>
  <c r="AX80" i="60"/>
  <c r="AW80" i="60"/>
  <c r="BB79" i="60"/>
  <c r="AX79" i="60"/>
  <c r="AW79" i="60"/>
  <c r="BB78" i="60"/>
  <c r="AX78" i="60"/>
  <c r="AW78" i="60"/>
  <c r="BB77" i="60"/>
  <c r="AX77" i="60"/>
  <c r="AW77" i="60"/>
  <c r="BB76" i="60"/>
  <c r="AX76" i="60"/>
  <c r="AW76" i="60"/>
  <c r="BB75" i="60"/>
  <c r="AX75" i="60"/>
  <c r="AW75" i="60"/>
  <c r="BB74" i="60"/>
  <c r="AX74" i="60"/>
  <c r="AW74" i="60"/>
  <c r="BB73" i="60"/>
  <c r="AX73" i="60"/>
  <c r="AW73" i="60"/>
  <c r="BB72" i="60"/>
  <c r="AW72" i="60"/>
  <c r="BB71" i="60"/>
  <c r="AX71" i="60"/>
  <c r="AW71" i="60"/>
  <c r="BB70" i="60"/>
  <c r="AX70" i="60"/>
  <c r="AW70" i="60"/>
  <c r="BB69" i="60"/>
  <c r="AX69" i="60"/>
  <c r="AW69" i="60"/>
  <c r="BB68" i="60"/>
  <c r="AX68" i="60"/>
  <c r="AW68" i="60"/>
  <c r="BB67" i="60"/>
  <c r="AX67" i="60"/>
  <c r="AW67" i="60"/>
  <c r="BB66" i="60"/>
  <c r="AX66" i="60"/>
  <c r="AW66" i="60"/>
  <c r="BB65" i="60"/>
  <c r="AX65" i="60"/>
  <c r="AW65" i="60"/>
  <c r="BB64" i="60"/>
  <c r="AX64" i="60"/>
  <c r="AW64" i="60"/>
  <c r="BB63" i="60"/>
  <c r="AX63" i="60"/>
  <c r="AW63" i="60"/>
  <c r="BB62" i="60"/>
  <c r="AX62" i="60"/>
  <c r="AW62" i="60"/>
  <c r="BB61" i="60"/>
  <c r="AX61" i="60"/>
  <c r="AW61" i="60"/>
  <c r="BB60" i="60"/>
  <c r="AX60" i="60"/>
  <c r="AW60" i="60"/>
  <c r="BB59" i="60"/>
  <c r="AX59" i="60"/>
  <c r="AW59" i="60"/>
  <c r="BB58" i="60"/>
  <c r="AX58" i="60"/>
  <c r="AW58" i="60"/>
  <c r="BB57" i="60"/>
  <c r="AX57" i="60"/>
  <c r="AW57" i="60"/>
  <c r="BB56" i="60"/>
  <c r="AX56" i="60"/>
  <c r="AW56" i="60"/>
  <c r="BB55" i="60"/>
  <c r="AX55" i="60"/>
  <c r="AW55" i="60"/>
  <c r="BB54" i="60"/>
  <c r="AX54" i="60"/>
  <c r="AW54" i="60"/>
  <c r="BB53" i="60"/>
  <c r="AX53" i="60"/>
  <c r="AW53" i="60"/>
  <c r="BB52" i="60"/>
  <c r="AX52" i="60"/>
  <c r="AW52" i="60"/>
  <c r="BB51" i="60"/>
  <c r="AX51" i="60"/>
  <c r="AW51" i="60"/>
  <c r="BB50" i="60"/>
  <c r="AX50" i="60"/>
  <c r="AW50" i="60"/>
  <c r="BB49" i="60"/>
  <c r="AX49" i="60"/>
  <c r="AW49" i="60"/>
  <c r="BB48" i="60"/>
  <c r="AX48" i="60"/>
  <c r="AW48" i="60"/>
  <c r="BB47" i="60"/>
  <c r="AX47" i="60"/>
  <c r="AW47" i="60"/>
  <c r="BB46" i="60"/>
  <c r="AX46" i="60"/>
  <c r="AW46" i="60"/>
  <c r="BB44" i="60"/>
  <c r="AX44" i="60"/>
  <c r="AW44" i="60"/>
  <c r="BB43" i="60"/>
  <c r="AX43" i="60"/>
  <c r="AW43" i="60"/>
  <c r="BB42" i="60"/>
  <c r="AX42" i="60"/>
  <c r="AW42" i="60"/>
  <c r="BB41" i="60"/>
  <c r="AX41" i="60"/>
  <c r="AW41" i="60"/>
  <c r="BB40" i="60"/>
  <c r="AX40" i="60"/>
  <c r="AW40" i="60"/>
  <c r="BB39" i="60"/>
  <c r="AX39" i="60"/>
  <c r="AW39" i="60"/>
  <c r="AX24" i="60"/>
  <c r="AW24" i="60"/>
  <c r="BB23" i="60"/>
  <c r="AX23" i="60"/>
  <c r="AW23" i="60"/>
  <c r="AP127" i="60"/>
  <c r="AS550" i="60"/>
  <c r="AS549" i="60"/>
  <c r="AS548" i="60"/>
  <c r="AS547" i="60"/>
  <c r="AS546" i="60"/>
  <c r="AS545" i="60"/>
  <c r="AS544" i="60"/>
  <c r="AS543" i="60"/>
  <c r="AS542" i="60"/>
  <c r="AS541" i="60"/>
  <c r="AS540" i="60"/>
  <c r="AS539" i="60"/>
  <c r="AS538" i="60"/>
  <c r="AS537" i="60"/>
  <c r="AS536" i="60"/>
  <c r="AS535" i="60"/>
  <c r="AS534" i="60"/>
  <c r="AS533" i="60"/>
  <c r="AS532" i="60"/>
  <c r="AS531" i="60"/>
  <c r="AS530" i="60"/>
  <c r="AS529" i="60"/>
  <c r="AS528" i="60"/>
  <c r="AS527" i="60"/>
  <c r="AS526" i="60"/>
  <c r="AS525" i="60"/>
  <c r="AS524" i="60"/>
  <c r="AS523" i="60"/>
  <c r="AS522" i="60"/>
  <c r="AS521" i="60"/>
  <c r="AS520" i="60"/>
  <c r="AS519" i="60"/>
  <c r="AS518" i="60"/>
  <c r="AS517" i="60"/>
  <c r="AS516" i="60"/>
  <c r="AS515" i="60"/>
  <c r="AS514" i="60"/>
  <c r="AS513" i="60"/>
  <c r="AS512" i="60"/>
  <c r="AS511" i="60"/>
  <c r="AS510" i="60"/>
  <c r="AS509" i="60"/>
  <c r="AS508" i="60"/>
  <c r="AS507" i="60"/>
  <c r="AS506" i="60"/>
  <c r="AS505" i="60"/>
  <c r="AS504" i="60"/>
  <c r="AS503" i="60"/>
  <c r="AS502" i="60"/>
  <c r="AS501" i="60"/>
  <c r="AS500" i="60"/>
  <c r="AS499" i="60"/>
  <c r="AS498" i="60"/>
  <c r="AS497" i="60"/>
  <c r="AS496" i="60"/>
  <c r="AS495" i="60"/>
  <c r="AS494" i="60"/>
  <c r="AS493" i="60"/>
  <c r="AS492" i="60"/>
  <c r="AS491" i="60"/>
  <c r="AS490" i="60"/>
  <c r="AS489" i="60"/>
  <c r="AS488" i="60"/>
  <c r="AS487" i="60"/>
  <c r="AS486" i="60"/>
  <c r="AS485" i="60"/>
  <c r="AS484" i="60"/>
  <c r="AS483" i="60"/>
  <c r="AS482" i="60"/>
  <c r="AS481" i="60"/>
  <c r="AS480" i="60"/>
  <c r="AS479" i="60"/>
  <c r="AS478" i="60"/>
  <c r="AS477" i="60"/>
  <c r="AS476" i="60"/>
  <c r="AS475" i="60"/>
  <c r="AS474" i="60"/>
  <c r="AS473" i="60"/>
  <c r="AS472" i="60"/>
  <c r="AS471" i="60"/>
  <c r="AS470" i="60"/>
  <c r="AS469" i="60"/>
  <c r="AS468" i="60"/>
  <c r="AS467" i="60"/>
  <c r="AS466" i="60"/>
  <c r="AS465" i="60"/>
  <c r="AS464" i="60"/>
  <c r="AS463" i="60"/>
  <c r="AS462" i="60"/>
  <c r="AS461" i="60"/>
  <c r="AS460" i="60"/>
  <c r="AS459" i="60"/>
  <c r="AS458" i="60"/>
  <c r="AS457" i="60"/>
  <c r="AS456" i="60"/>
  <c r="AS455" i="60"/>
  <c r="AS454" i="60"/>
  <c r="AS453" i="60"/>
  <c r="AS452" i="60"/>
  <c r="AS451" i="60"/>
  <c r="AS450" i="60"/>
  <c r="AS449" i="60"/>
  <c r="AS448" i="60"/>
  <c r="AS447" i="60"/>
  <c r="AS446" i="60"/>
  <c r="AS445" i="60"/>
  <c r="AS444" i="60"/>
  <c r="AS443" i="60"/>
  <c r="AS442" i="60"/>
  <c r="AS441" i="60"/>
  <c r="AS440" i="60"/>
  <c r="AS439" i="60"/>
  <c r="AS438" i="60"/>
  <c r="AS437" i="60"/>
  <c r="AS436" i="60"/>
  <c r="AS435" i="60"/>
  <c r="AS434" i="60"/>
  <c r="AS433" i="60"/>
  <c r="AS432" i="60"/>
  <c r="AS431" i="60"/>
  <c r="AS430" i="60"/>
  <c r="AS429" i="60"/>
  <c r="AS428" i="60"/>
  <c r="AS427" i="60"/>
  <c r="AS426" i="60"/>
  <c r="AS425" i="60"/>
  <c r="AS424" i="60"/>
  <c r="AS423" i="60"/>
  <c r="AS422" i="60"/>
  <c r="AS421" i="60"/>
  <c r="AS420" i="60"/>
  <c r="AS419" i="60"/>
  <c r="AS418" i="60"/>
  <c r="AS417" i="60"/>
  <c r="AS416" i="60"/>
  <c r="AS415" i="60"/>
  <c r="AS414" i="60"/>
  <c r="AS413" i="60"/>
  <c r="AS412" i="60"/>
  <c r="AS411" i="60"/>
  <c r="AS410" i="60"/>
  <c r="AS409" i="60"/>
  <c r="AS408" i="60"/>
  <c r="AS407" i="60"/>
  <c r="AS406" i="60"/>
  <c r="AS405" i="60"/>
  <c r="AS404" i="60"/>
  <c r="AS403" i="60"/>
  <c r="AS402" i="60"/>
  <c r="AS401" i="60"/>
  <c r="AS400" i="60"/>
  <c r="AS399" i="60"/>
  <c r="AS398" i="60"/>
  <c r="AS397" i="60"/>
  <c r="AS396" i="60"/>
  <c r="AS395" i="60"/>
  <c r="AS394" i="60"/>
  <c r="AS393" i="60"/>
  <c r="AS392" i="60"/>
  <c r="AS391" i="60"/>
  <c r="AS390" i="60"/>
  <c r="AS389" i="60"/>
  <c r="AS388" i="60"/>
  <c r="AS387" i="60"/>
  <c r="AS386" i="60"/>
  <c r="AS385" i="60"/>
  <c r="AS384" i="60"/>
  <c r="AS383" i="60"/>
  <c r="AS382" i="60"/>
  <c r="AS381" i="60"/>
  <c r="AS380" i="60"/>
  <c r="AS379" i="60"/>
  <c r="AS378" i="60"/>
  <c r="AS377" i="60"/>
  <c r="AS376" i="60"/>
  <c r="AS375" i="60"/>
  <c r="AS374" i="60"/>
  <c r="AS373" i="60"/>
  <c r="AS372" i="60"/>
  <c r="AS371" i="60"/>
  <c r="AS370" i="60"/>
  <c r="AS369" i="60"/>
  <c r="AS368" i="60"/>
  <c r="AS367" i="60"/>
  <c r="AS366" i="60"/>
  <c r="AS365" i="60"/>
  <c r="AS364" i="60"/>
  <c r="AS363" i="60"/>
  <c r="AS362" i="60"/>
  <c r="AS361" i="60"/>
  <c r="AS360" i="60"/>
  <c r="AS359" i="60"/>
  <c r="AS358" i="60"/>
  <c r="AS357" i="60"/>
  <c r="AS356" i="60"/>
  <c r="AS355" i="60"/>
  <c r="AS354" i="60"/>
  <c r="AS353" i="60"/>
  <c r="AS352" i="60"/>
  <c r="AS351" i="60"/>
  <c r="AS350" i="60"/>
  <c r="AS349" i="60"/>
  <c r="AS348" i="60"/>
  <c r="AS347" i="60"/>
  <c r="AS346" i="60"/>
  <c r="AS345" i="60"/>
  <c r="AS344" i="60"/>
  <c r="AS343" i="60"/>
  <c r="AS342" i="60"/>
  <c r="AS341" i="60"/>
  <c r="AS340" i="60"/>
  <c r="AS339" i="60"/>
  <c r="AS338" i="60"/>
  <c r="AS337" i="60"/>
  <c r="AS336" i="60"/>
  <c r="AS335" i="60"/>
  <c r="AS334" i="60"/>
  <c r="AS333" i="60"/>
  <c r="AS332" i="60"/>
  <c r="AS331" i="60"/>
  <c r="AS330" i="60"/>
  <c r="AS329" i="60"/>
  <c r="AS328" i="60"/>
  <c r="AS327" i="60"/>
  <c r="AS326" i="60"/>
  <c r="AS325" i="60"/>
  <c r="AS324" i="60"/>
  <c r="AS323" i="60"/>
  <c r="AS322" i="60"/>
  <c r="AS321" i="60"/>
  <c r="AS320" i="60"/>
  <c r="AS319" i="60"/>
  <c r="AS318" i="60"/>
  <c r="AS317" i="60"/>
  <c r="AS316" i="60"/>
  <c r="AS315" i="60"/>
  <c r="AS314" i="60"/>
  <c r="AS313" i="60"/>
  <c r="AS312" i="60"/>
  <c r="AS311" i="60"/>
  <c r="AS310" i="60"/>
  <c r="AS309" i="60"/>
  <c r="AS308" i="60"/>
  <c r="AS307" i="60"/>
  <c r="AS306" i="60"/>
  <c r="AS305" i="60"/>
  <c r="AS304" i="60"/>
  <c r="AS303" i="60"/>
  <c r="AS302" i="60"/>
  <c r="AS301" i="60"/>
  <c r="AS300" i="60"/>
  <c r="AS299" i="60"/>
  <c r="AS298" i="60"/>
  <c r="AS297" i="60"/>
  <c r="AS296" i="60"/>
  <c r="AS295" i="60"/>
  <c r="AS294" i="60"/>
  <c r="AS293" i="60"/>
  <c r="AS292" i="60"/>
  <c r="AS291" i="60"/>
  <c r="AS290" i="60"/>
  <c r="AS289" i="60"/>
  <c r="AS288" i="60"/>
  <c r="AS287" i="60"/>
  <c r="AS286" i="60"/>
  <c r="AS285" i="60"/>
  <c r="AS284" i="60"/>
  <c r="AS283" i="60"/>
  <c r="AS282" i="60"/>
  <c r="AS281" i="60"/>
  <c r="AS280" i="60"/>
  <c r="AS279" i="60"/>
  <c r="AS278" i="60"/>
  <c r="AS277" i="60"/>
  <c r="AS276" i="60"/>
  <c r="AS275" i="60"/>
  <c r="AS274" i="60"/>
  <c r="AS273" i="60"/>
  <c r="AS272" i="60"/>
  <c r="AS271" i="60"/>
  <c r="AS270" i="60"/>
  <c r="AS269" i="60"/>
  <c r="AS268" i="60"/>
  <c r="AS267" i="60"/>
  <c r="AS266" i="60"/>
  <c r="AS265" i="60"/>
  <c r="AS264" i="60"/>
  <c r="AS263" i="60"/>
  <c r="AS262" i="60"/>
  <c r="AS261" i="60"/>
  <c r="AS260" i="60"/>
  <c r="AS259" i="60"/>
  <c r="AS258" i="60"/>
  <c r="AS257" i="60"/>
  <c r="AS256" i="60"/>
  <c r="AS254" i="60"/>
  <c r="AS253" i="60"/>
  <c r="AS252" i="60"/>
  <c r="AS251" i="60"/>
  <c r="AS250" i="60"/>
  <c r="AS249" i="60"/>
  <c r="AS248" i="60"/>
  <c r="BA248" i="60" s="1"/>
  <c r="BE248" i="60" s="1"/>
  <c r="AS247" i="60"/>
  <c r="BA247" i="60" s="1"/>
  <c r="BE247" i="60" s="1"/>
  <c r="AS246" i="60"/>
  <c r="AS245" i="60"/>
  <c r="AS240" i="60"/>
  <c r="BA240" i="60" s="1"/>
  <c r="BE240" i="60" s="1"/>
  <c r="AS235" i="60"/>
  <c r="BA235" i="60" s="1"/>
  <c r="BE235" i="60" s="1"/>
  <c r="AS228" i="60"/>
  <c r="AS218" i="60"/>
  <c r="AS217" i="60"/>
  <c r="AS216" i="60"/>
  <c r="AS215" i="60"/>
  <c r="AS214" i="60"/>
  <c r="AS213" i="60"/>
  <c r="AS212" i="60"/>
  <c r="AS211" i="60"/>
  <c r="AS210" i="60"/>
  <c r="AS209" i="60"/>
  <c r="AS208" i="60"/>
  <c r="AS207" i="60"/>
  <c r="AS206" i="60"/>
  <c r="AS205" i="60"/>
  <c r="AS204" i="60"/>
  <c r="AS203" i="60"/>
  <c r="AS202" i="60"/>
  <c r="AS201" i="60"/>
  <c r="AS200" i="60"/>
  <c r="AS199" i="60"/>
  <c r="AS198" i="60"/>
  <c r="AS197" i="60"/>
  <c r="AS196" i="60"/>
  <c r="AS195" i="60"/>
  <c r="AS194" i="60"/>
  <c r="AS193" i="60"/>
  <c r="AS192" i="60"/>
  <c r="AS191" i="60"/>
  <c r="AS190" i="60"/>
  <c r="AS189" i="60"/>
  <c r="AS188" i="60"/>
  <c r="AS187" i="60"/>
  <c r="AS186" i="60"/>
  <c r="AS185" i="60"/>
  <c r="AS184" i="60"/>
  <c r="AS183" i="60"/>
  <c r="AS181" i="60"/>
  <c r="AS180" i="60"/>
  <c r="AS179" i="60"/>
  <c r="AS178" i="60"/>
  <c r="AS177" i="60"/>
  <c r="AS176" i="60"/>
  <c r="AS175" i="60"/>
  <c r="BA175" i="60" s="1"/>
  <c r="BE175" i="60" s="1"/>
  <c r="AS174" i="60"/>
  <c r="BA174" i="60" s="1"/>
  <c r="BE174" i="60" s="1"/>
  <c r="AS173" i="60"/>
  <c r="BA173" i="60" s="1"/>
  <c r="BE173" i="60" s="1"/>
  <c r="AS169" i="60"/>
  <c r="AS168" i="60"/>
  <c r="AS167" i="60"/>
  <c r="AS166" i="60"/>
  <c r="AS165" i="60"/>
  <c r="AS164" i="60"/>
  <c r="AS163" i="60"/>
  <c r="AS162" i="60"/>
  <c r="AS161" i="60"/>
  <c r="AS160" i="60"/>
  <c r="AS159" i="60"/>
  <c r="AS158" i="60"/>
  <c r="AS157" i="60"/>
  <c r="AS156" i="60"/>
  <c r="AS155" i="60"/>
  <c r="AS154" i="60"/>
  <c r="AS153" i="60"/>
  <c r="AS152" i="60"/>
  <c r="AS151" i="60"/>
  <c r="AS150" i="60"/>
  <c r="AS149" i="60"/>
  <c r="AS148" i="60"/>
  <c r="AS147" i="60"/>
  <c r="AS146" i="60"/>
  <c r="AS145" i="60"/>
  <c r="AS144" i="60"/>
  <c r="AS143" i="60"/>
  <c r="AS142" i="60"/>
  <c r="AS141" i="60"/>
  <c r="AS140" i="60"/>
  <c r="AS138" i="60"/>
  <c r="AS137" i="60"/>
  <c r="AS136" i="60"/>
  <c r="AS135" i="60"/>
  <c r="AS133" i="60"/>
  <c r="AS132" i="60"/>
  <c r="AS131" i="60"/>
  <c r="AS130" i="60"/>
  <c r="AS126" i="60"/>
  <c r="AS125" i="60"/>
  <c r="AS124" i="60"/>
  <c r="AS123" i="60"/>
  <c r="AS122" i="60"/>
  <c r="AS121" i="60"/>
  <c r="AS120" i="60"/>
  <c r="AS119" i="60"/>
  <c r="AS118" i="60"/>
  <c r="AS117" i="60"/>
  <c r="AS116" i="60"/>
  <c r="AS115" i="60"/>
  <c r="AS114" i="60"/>
  <c r="AS113" i="60"/>
  <c r="AS112" i="60"/>
  <c r="AS111" i="60"/>
  <c r="AS110" i="60"/>
  <c r="AS109" i="60"/>
  <c r="AS108" i="60"/>
  <c r="AS107" i="60"/>
  <c r="AS106" i="60"/>
  <c r="AS105" i="60"/>
  <c r="AS104" i="60"/>
  <c r="AS103" i="60"/>
  <c r="AS102" i="60"/>
  <c r="AS101" i="60"/>
  <c r="AS100" i="60"/>
  <c r="AS99" i="60"/>
  <c r="AS98" i="60"/>
  <c r="AS97" i="60"/>
  <c r="AS95" i="60"/>
  <c r="AS94" i="60"/>
  <c r="AS93" i="60"/>
  <c r="AS92" i="60"/>
  <c r="AS91" i="60"/>
  <c r="AS90" i="60"/>
  <c r="AS83" i="60"/>
  <c r="AS82" i="60"/>
  <c r="AS81" i="60"/>
  <c r="AS80" i="60"/>
  <c r="AS79" i="60"/>
  <c r="AS78" i="60"/>
  <c r="AS77" i="60"/>
  <c r="AS76" i="60"/>
  <c r="AS75" i="60"/>
  <c r="AS74" i="60"/>
  <c r="AS73" i="60"/>
  <c r="AS72" i="60"/>
  <c r="AS71" i="60"/>
  <c r="AS70" i="60"/>
  <c r="AS69" i="60"/>
  <c r="AS68" i="60"/>
  <c r="AS67" i="60"/>
  <c r="AS66" i="60"/>
  <c r="AS65" i="60"/>
  <c r="AS64" i="60"/>
  <c r="AS63" i="60"/>
  <c r="AS62" i="60"/>
  <c r="AS61" i="60"/>
  <c r="AS60" i="60"/>
  <c r="AS59" i="60"/>
  <c r="AS58" i="60"/>
  <c r="AS57" i="60"/>
  <c r="AS56" i="60"/>
  <c r="AS55" i="60"/>
  <c r="AS54" i="60"/>
  <c r="AS53" i="60"/>
  <c r="AS52" i="60"/>
  <c r="AS51" i="60"/>
  <c r="AS50" i="60"/>
  <c r="AS49" i="60"/>
  <c r="AS48" i="60"/>
  <c r="AS47" i="60"/>
  <c r="AS46" i="60"/>
  <c r="AS44" i="60"/>
  <c r="AS43" i="60"/>
  <c r="AS42" i="60"/>
  <c r="AS41" i="60"/>
  <c r="AS40" i="60"/>
  <c r="AS39" i="60"/>
  <c r="AS23" i="60"/>
  <c r="AS134" i="60"/>
  <c r="BE550" i="60"/>
  <c r="BE545" i="60"/>
  <c r="BE544" i="60"/>
  <c r="BE543" i="60"/>
  <c r="BE542" i="60"/>
  <c r="BE503" i="60"/>
  <c r="BE502" i="60"/>
  <c r="BE498" i="60"/>
  <c r="BE423" i="60"/>
  <c r="BE422" i="60"/>
  <c r="BE407" i="60"/>
  <c r="BE406" i="60"/>
  <c r="BE390" i="60"/>
  <c r="BE375" i="60"/>
  <c r="BE374" i="60"/>
  <c r="BE368" i="60"/>
  <c r="BE343" i="60"/>
  <c r="BE298" i="60"/>
  <c r="BE295" i="60"/>
  <c r="BE263" i="60"/>
  <c r="BE203" i="60"/>
  <c r="BE154" i="60"/>
  <c r="BE111" i="60"/>
  <c r="BE106" i="60"/>
  <c r="BE90" i="60"/>
  <c r="BE68" i="60"/>
  <c r="BE57" i="60"/>
  <c r="BE56" i="60"/>
  <c r="BA550" i="60"/>
  <c r="BA549" i="60"/>
  <c r="BE549" i="60" s="1"/>
  <c r="BA548" i="60"/>
  <c r="BE548" i="60" s="1"/>
  <c r="BA547" i="60"/>
  <c r="BE547" i="60" s="1"/>
  <c r="BA546" i="60"/>
  <c r="BE546" i="60" s="1"/>
  <c r="BA545" i="60"/>
  <c r="BA544" i="60"/>
  <c r="BA543" i="60"/>
  <c r="BA542" i="60"/>
  <c r="BA541" i="60"/>
  <c r="BE541" i="60" s="1"/>
  <c r="BA540" i="60"/>
  <c r="BE540" i="60" s="1"/>
  <c r="BA539" i="60"/>
  <c r="BE539" i="60" s="1"/>
  <c r="BA538" i="60"/>
  <c r="BE538" i="60" s="1"/>
  <c r="BA537" i="60"/>
  <c r="BE537" i="60" s="1"/>
  <c r="BA536" i="60"/>
  <c r="BE536" i="60" s="1"/>
  <c r="BA535" i="60"/>
  <c r="BE535" i="60" s="1"/>
  <c r="BA534" i="60"/>
  <c r="BE534" i="60" s="1"/>
  <c r="BA533" i="60"/>
  <c r="BE533" i="60" s="1"/>
  <c r="BA532" i="60"/>
  <c r="BE532" i="60" s="1"/>
  <c r="BA531" i="60"/>
  <c r="BE531" i="60" s="1"/>
  <c r="BA530" i="60"/>
  <c r="BE530" i="60" s="1"/>
  <c r="BA529" i="60"/>
  <c r="BE529" i="60" s="1"/>
  <c r="BA528" i="60"/>
  <c r="BE528" i="60" s="1"/>
  <c r="BA527" i="60"/>
  <c r="BE527" i="60" s="1"/>
  <c r="BA526" i="60"/>
  <c r="BE526" i="60" s="1"/>
  <c r="BA525" i="60"/>
  <c r="BE525" i="60" s="1"/>
  <c r="BA524" i="60"/>
  <c r="BE524" i="60" s="1"/>
  <c r="BA523" i="60"/>
  <c r="BE523" i="60" s="1"/>
  <c r="BA522" i="60"/>
  <c r="BE522" i="60" s="1"/>
  <c r="BA521" i="60"/>
  <c r="BE521" i="60" s="1"/>
  <c r="BA520" i="60"/>
  <c r="BE520" i="60" s="1"/>
  <c r="BA519" i="60"/>
  <c r="BE519" i="60" s="1"/>
  <c r="BA518" i="60"/>
  <c r="BE518" i="60" s="1"/>
  <c r="BA517" i="60"/>
  <c r="BE517" i="60" s="1"/>
  <c r="BA516" i="60"/>
  <c r="BE516" i="60" s="1"/>
  <c r="BA515" i="60"/>
  <c r="BE515" i="60" s="1"/>
  <c r="BA514" i="60"/>
  <c r="BE514" i="60" s="1"/>
  <c r="BA513" i="60"/>
  <c r="BE513" i="60" s="1"/>
  <c r="BA512" i="60"/>
  <c r="BE512" i="60" s="1"/>
  <c r="BA511" i="60"/>
  <c r="BE511" i="60" s="1"/>
  <c r="BA510" i="60"/>
  <c r="BE510" i="60" s="1"/>
  <c r="BA509" i="60"/>
  <c r="BE509" i="60" s="1"/>
  <c r="BA508" i="60"/>
  <c r="BE508" i="60" s="1"/>
  <c r="BA507" i="60"/>
  <c r="BE507" i="60" s="1"/>
  <c r="BA506" i="60"/>
  <c r="BE506" i="60" s="1"/>
  <c r="BA505" i="60"/>
  <c r="BE505" i="60" s="1"/>
  <c r="BA504" i="60"/>
  <c r="BE504" i="60" s="1"/>
  <c r="BA503" i="60"/>
  <c r="BA502" i="60"/>
  <c r="BA501" i="60"/>
  <c r="BE501" i="60" s="1"/>
  <c r="BA500" i="60"/>
  <c r="BE500" i="60" s="1"/>
  <c r="BA499" i="60"/>
  <c r="BE499" i="60" s="1"/>
  <c r="BA498" i="60"/>
  <c r="BA497" i="60"/>
  <c r="BE497" i="60" s="1"/>
  <c r="BA496" i="60"/>
  <c r="BE496" i="60" s="1"/>
  <c r="BA495" i="60"/>
  <c r="BE495" i="60" s="1"/>
  <c r="BA494" i="60"/>
  <c r="BE494" i="60" s="1"/>
  <c r="BA493" i="60"/>
  <c r="BE493" i="60" s="1"/>
  <c r="BA492" i="60"/>
  <c r="BE492" i="60" s="1"/>
  <c r="BA491" i="60"/>
  <c r="BE491" i="60" s="1"/>
  <c r="BA490" i="60"/>
  <c r="BE490" i="60" s="1"/>
  <c r="BA489" i="60"/>
  <c r="BE489" i="60" s="1"/>
  <c r="BA488" i="60"/>
  <c r="BE488" i="60" s="1"/>
  <c r="BA487" i="60"/>
  <c r="BE487" i="60" s="1"/>
  <c r="BA486" i="60"/>
  <c r="BE486" i="60" s="1"/>
  <c r="BA485" i="60"/>
  <c r="BE485" i="60" s="1"/>
  <c r="BA484" i="60"/>
  <c r="BE484" i="60" s="1"/>
  <c r="BA483" i="60"/>
  <c r="BE483" i="60" s="1"/>
  <c r="BA482" i="60"/>
  <c r="BE482" i="60" s="1"/>
  <c r="BA481" i="60"/>
  <c r="BE481" i="60" s="1"/>
  <c r="BA480" i="60"/>
  <c r="BE480" i="60" s="1"/>
  <c r="BA479" i="60"/>
  <c r="BE479" i="60" s="1"/>
  <c r="BA478" i="60"/>
  <c r="BE478" i="60" s="1"/>
  <c r="BA477" i="60"/>
  <c r="BE477" i="60" s="1"/>
  <c r="BA476" i="60"/>
  <c r="BE476" i="60" s="1"/>
  <c r="BA475" i="60"/>
  <c r="BE475" i="60" s="1"/>
  <c r="BA474" i="60"/>
  <c r="BE474" i="60" s="1"/>
  <c r="BA473" i="60"/>
  <c r="BE473" i="60" s="1"/>
  <c r="BA472" i="60"/>
  <c r="BE472" i="60" s="1"/>
  <c r="BA471" i="60"/>
  <c r="BE471" i="60" s="1"/>
  <c r="BA470" i="60"/>
  <c r="BE470" i="60" s="1"/>
  <c r="BA469" i="60"/>
  <c r="BE469" i="60" s="1"/>
  <c r="BA468" i="60"/>
  <c r="BE468" i="60" s="1"/>
  <c r="BA467" i="60"/>
  <c r="BE467" i="60" s="1"/>
  <c r="BA466" i="60"/>
  <c r="BE466" i="60" s="1"/>
  <c r="BA465" i="60"/>
  <c r="BE465" i="60" s="1"/>
  <c r="BA464" i="60"/>
  <c r="BE464" i="60" s="1"/>
  <c r="BA463" i="60"/>
  <c r="BE463" i="60" s="1"/>
  <c r="BA462" i="60"/>
  <c r="BE462" i="60" s="1"/>
  <c r="BA461" i="60"/>
  <c r="BE461" i="60" s="1"/>
  <c r="BA460" i="60"/>
  <c r="BE460" i="60" s="1"/>
  <c r="BA459" i="60"/>
  <c r="BE459" i="60" s="1"/>
  <c r="BA458" i="60"/>
  <c r="BE458" i="60" s="1"/>
  <c r="BA457" i="60"/>
  <c r="BE457" i="60" s="1"/>
  <c r="BA456" i="60"/>
  <c r="BE456" i="60" s="1"/>
  <c r="BA455" i="60"/>
  <c r="BE455" i="60" s="1"/>
  <c r="BA454" i="60"/>
  <c r="BE454" i="60" s="1"/>
  <c r="BA453" i="60"/>
  <c r="BE453" i="60" s="1"/>
  <c r="BA452" i="60"/>
  <c r="BE452" i="60" s="1"/>
  <c r="BA451" i="60"/>
  <c r="BE451" i="60" s="1"/>
  <c r="BA450" i="60"/>
  <c r="BE450" i="60" s="1"/>
  <c r="BA449" i="60"/>
  <c r="BE449" i="60" s="1"/>
  <c r="BA448" i="60"/>
  <c r="BE448" i="60" s="1"/>
  <c r="BA447" i="60"/>
  <c r="BE447" i="60" s="1"/>
  <c r="BA446" i="60"/>
  <c r="BE446" i="60" s="1"/>
  <c r="BA445" i="60"/>
  <c r="BE445" i="60" s="1"/>
  <c r="BA444" i="60"/>
  <c r="BE444" i="60" s="1"/>
  <c r="BA443" i="60"/>
  <c r="BE443" i="60" s="1"/>
  <c r="BA442" i="60"/>
  <c r="BE442" i="60" s="1"/>
  <c r="BA441" i="60"/>
  <c r="BE441" i="60" s="1"/>
  <c r="BA440" i="60"/>
  <c r="BE440" i="60" s="1"/>
  <c r="BA439" i="60"/>
  <c r="BE439" i="60" s="1"/>
  <c r="BA438" i="60"/>
  <c r="BE438" i="60" s="1"/>
  <c r="BA437" i="60"/>
  <c r="BE437" i="60" s="1"/>
  <c r="BA436" i="60"/>
  <c r="BE436" i="60" s="1"/>
  <c r="BA435" i="60"/>
  <c r="BE435" i="60" s="1"/>
  <c r="BA434" i="60"/>
  <c r="BE434" i="60" s="1"/>
  <c r="BA433" i="60"/>
  <c r="BE433" i="60" s="1"/>
  <c r="BA432" i="60"/>
  <c r="BE432" i="60" s="1"/>
  <c r="BA431" i="60"/>
  <c r="BE431" i="60" s="1"/>
  <c r="BA430" i="60"/>
  <c r="BE430" i="60" s="1"/>
  <c r="BA429" i="60"/>
  <c r="BE429" i="60" s="1"/>
  <c r="BA428" i="60"/>
  <c r="BE428" i="60" s="1"/>
  <c r="BA427" i="60"/>
  <c r="BE427" i="60" s="1"/>
  <c r="BA426" i="60"/>
  <c r="BE426" i="60" s="1"/>
  <c r="BA425" i="60"/>
  <c r="BE425" i="60" s="1"/>
  <c r="BA424" i="60"/>
  <c r="BE424" i="60" s="1"/>
  <c r="BA423" i="60"/>
  <c r="BA422" i="60"/>
  <c r="BA421" i="60"/>
  <c r="BE421" i="60" s="1"/>
  <c r="BA420" i="60"/>
  <c r="BE420" i="60" s="1"/>
  <c r="BA419" i="60"/>
  <c r="BE419" i="60" s="1"/>
  <c r="BA418" i="60"/>
  <c r="BE418" i="60" s="1"/>
  <c r="BA417" i="60"/>
  <c r="BE417" i="60" s="1"/>
  <c r="BA416" i="60"/>
  <c r="BE416" i="60" s="1"/>
  <c r="BA415" i="60"/>
  <c r="BE415" i="60" s="1"/>
  <c r="BA414" i="60"/>
  <c r="BE414" i="60" s="1"/>
  <c r="BA413" i="60"/>
  <c r="BE413" i="60" s="1"/>
  <c r="BA412" i="60"/>
  <c r="BE412" i="60" s="1"/>
  <c r="BA411" i="60"/>
  <c r="BE411" i="60" s="1"/>
  <c r="BA410" i="60"/>
  <c r="BE410" i="60" s="1"/>
  <c r="BA409" i="60"/>
  <c r="BE409" i="60" s="1"/>
  <c r="BA408" i="60"/>
  <c r="BE408" i="60" s="1"/>
  <c r="BA407" i="60"/>
  <c r="BA406" i="60"/>
  <c r="BA405" i="60"/>
  <c r="BE405" i="60" s="1"/>
  <c r="BA404" i="60"/>
  <c r="BE404" i="60" s="1"/>
  <c r="BA403" i="60"/>
  <c r="BE403" i="60" s="1"/>
  <c r="BA402" i="60"/>
  <c r="BE402" i="60" s="1"/>
  <c r="BA401" i="60"/>
  <c r="BE401" i="60" s="1"/>
  <c r="BA400" i="60"/>
  <c r="BE400" i="60" s="1"/>
  <c r="BA399" i="60"/>
  <c r="BE399" i="60" s="1"/>
  <c r="BA398" i="60"/>
  <c r="BE398" i="60" s="1"/>
  <c r="BA397" i="60"/>
  <c r="BE397" i="60" s="1"/>
  <c r="BA396" i="60"/>
  <c r="BE396" i="60" s="1"/>
  <c r="BA395" i="60"/>
  <c r="BE395" i="60" s="1"/>
  <c r="BA394" i="60"/>
  <c r="BE394" i="60" s="1"/>
  <c r="BA393" i="60"/>
  <c r="BE393" i="60" s="1"/>
  <c r="BA392" i="60"/>
  <c r="BE392" i="60" s="1"/>
  <c r="BA391" i="60"/>
  <c r="BE391" i="60" s="1"/>
  <c r="BA390" i="60"/>
  <c r="BA389" i="60"/>
  <c r="BE389" i="60" s="1"/>
  <c r="BA388" i="60"/>
  <c r="BE388" i="60" s="1"/>
  <c r="BA387" i="60"/>
  <c r="BE387" i="60" s="1"/>
  <c r="BA386" i="60"/>
  <c r="BE386" i="60" s="1"/>
  <c r="BA385" i="60"/>
  <c r="BE385" i="60" s="1"/>
  <c r="BA384" i="60"/>
  <c r="BE384" i="60" s="1"/>
  <c r="BA383" i="60"/>
  <c r="BE383" i="60" s="1"/>
  <c r="BA382" i="60"/>
  <c r="BE382" i="60" s="1"/>
  <c r="BA381" i="60"/>
  <c r="BE381" i="60" s="1"/>
  <c r="BA380" i="60"/>
  <c r="BE380" i="60" s="1"/>
  <c r="BA379" i="60"/>
  <c r="BE379" i="60" s="1"/>
  <c r="BA378" i="60"/>
  <c r="BE378" i="60" s="1"/>
  <c r="BA377" i="60"/>
  <c r="BE377" i="60" s="1"/>
  <c r="BA376" i="60"/>
  <c r="BE376" i="60" s="1"/>
  <c r="BA375" i="60"/>
  <c r="BA374" i="60"/>
  <c r="BA373" i="60"/>
  <c r="BE373" i="60" s="1"/>
  <c r="BA372" i="60"/>
  <c r="BE372" i="60" s="1"/>
  <c r="BA371" i="60"/>
  <c r="BE371" i="60" s="1"/>
  <c r="BA370" i="60"/>
  <c r="BE370" i="60" s="1"/>
  <c r="BA369" i="60"/>
  <c r="BE369" i="60" s="1"/>
  <c r="BA368" i="60"/>
  <c r="BA367" i="60"/>
  <c r="BE367" i="60" s="1"/>
  <c r="BA366" i="60"/>
  <c r="BE366" i="60" s="1"/>
  <c r="BA365" i="60"/>
  <c r="BE365" i="60" s="1"/>
  <c r="BA364" i="60"/>
  <c r="BE364" i="60" s="1"/>
  <c r="BA363" i="60"/>
  <c r="BE363" i="60" s="1"/>
  <c r="BA362" i="60"/>
  <c r="BE362" i="60" s="1"/>
  <c r="BA361" i="60"/>
  <c r="BE361" i="60" s="1"/>
  <c r="BA360" i="60"/>
  <c r="BE360" i="60" s="1"/>
  <c r="BA359" i="60"/>
  <c r="BE359" i="60" s="1"/>
  <c r="BA358" i="60"/>
  <c r="BE358" i="60" s="1"/>
  <c r="BA357" i="60"/>
  <c r="BE357" i="60" s="1"/>
  <c r="BA356" i="60"/>
  <c r="BE356" i="60" s="1"/>
  <c r="BA355" i="60"/>
  <c r="BE355" i="60" s="1"/>
  <c r="BA354" i="60"/>
  <c r="BE354" i="60" s="1"/>
  <c r="BA353" i="60"/>
  <c r="BE353" i="60" s="1"/>
  <c r="BA352" i="60"/>
  <c r="BE352" i="60" s="1"/>
  <c r="BA351" i="60"/>
  <c r="BE351" i="60" s="1"/>
  <c r="BA350" i="60"/>
  <c r="BE350" i="60" s="1"/>
  <c r="BA349" i="60"/>
  <c r="BE349" i="60" s="1"/>
  <c r="BA348" i="60"/>
  <c r="BE348" i="60" s="1"/>
  <c r="BA347" i="60"/>
  <c r="BE347" i="60" s="1"/>
  <c r="BA346" i="60"/>
  <c r="BE346" i="60" s="1"/>
  <c r="BA345" i="60"/>
  <c r="BE345" i="60" s="1"/>
  <c r="BA344" i="60"/>
  <c r="BE344" i="60" s="1"/>
  <c r="BA343" i="60"/>
  <c r="BA342" i="60"/>
  <c r="BE342" i="60" s="1"/>
  <c r="BA341" i="60"/>
  <c r="BE341" i="60" s="1"/>
  <c r="BA340" i="60"/>
  <c r="BE340" i="60" s="1"/>
  <c r="BA339" i="60"/>
  <c r="BE339" i="60" s="1"/>
  <c r="BA338" i="60"/>
  <c r="BE338" i="60" s="1"/>
  <c r="BA337" i="60"/>
  <c r="BE337" i="60" s="1"/>
  <c r="BA336" i="60"/>
  <c r="BE336" i="60" s="1"/>
  <c r="BA335" i="60"/>
  <c r="BE335" i="60" s="1"/>
  <c r="BA334" i="60"/>
  <c r="BE334" i="60" s="1"/>
  <c r="BA333" i="60"/>
  <c r="BE333" i="60" s="1"/>
  <c r="BA332" i="60"/>
  <c r="BE332" i="60" s="1"/>
  <c r="BA331" i="60"/>
  <c r="BE331" i="60" s="1"/>
  <c r="BA330" i="60"/>
  <c r="BE330" i="60" s="1"/>
  <c r="BA329" i="60"/>
  <c r="BE329" i="60" s="1"/>
  <c r="BA328" i="60"/>
  <c r="BE328" i="60" s="1"/>
  <c r="BA327" i="60"/>
  <c r="BE327" i="60" s="1"/>
  <c r="BA326" i="60"/>
  <c r="BE326" i="60" s="1"/>
  <c r="BA325" i="60"/>
  <c r="BE325" i="60" s="1"/>
  <c r="BA324" i="60"/>
  <c r="BE324" i="60" s="1"/>
  <c r="BA323" i="60"/>
  <c r="BE323" i="60" s="1"/>
  <c r="BA322" i="60"/>
  <c r="BE322" i="60" s="1"/>
  <c r="BA321" i="60"/>
  <c r="BE321" i="60" s="1"/>
  <c r="BA320" i="60"/>
  <c r="BE320" i="60" s="1"/>
  <c r="BA319" i="60"/>
  <c r="BE319" i="60" s="1"/>
  <c r="BA318" i="60"/>
  <c r="BE318" i="60" s="1"/>
  <c r="BA317" i="60"/>
  <c r="BE317" i="60" s="1"/>
  <c r="BA316" i="60"/>
  <c r="BE316" i="60" s="1"/>
  <c r="BA315" i="60"/>
  <c r="BE315" i="60" s="1"/>
  <c r="BA314" i="60"/>
  <c r="BE314" i="60" s="1"/>
  <c r="BA313" i="60"/>
  <c r="BE313" i="60" s="1"/>
  <c r="BA312" i="60"/>
  <c r="BE312" i="60" s="1"/>
  <c r="BA311" i="60"/>
  <c r="BE311" i="60" s="1"/>
  <c r="BA310" i="60"/>
  <c r="BE310" i="60" s="1"/>
  <c r="BA309" i="60"/>
  <c r="BE309" i="60" s="1"/>
  <c r="BA308" i="60"/>
  <c r="BE308" i="60" s="1"/>
  <c r="BA307" i="60"/>
  <c r="BE307" i="60" s="1"/>
  <c r="BA306" i="60"/>
  <c r="BE306" i="60" s="1"/>
  <c r="BA305" i="60"/>
  <c r="BE305" i="60" s="1"/>
  <c r="BA304" i="60"/>
  <c r="BE304" i="60" s="1"/>
  <c r="BA303" i="60"/>
  <c r="BE303" i="60" s="1"/>
  <c r="BA302" i="60"/>
  <c r="BA301" i="60"/>
  <c r="BE301" i="60" s="1"/>
  <c r="BA300" i="60"/>
  <c r="BE300" i="60" s="1"/>
  <c r="BA299" i="60"/>
  <c r="BE299" i="60" s="1"/>
  <c r="BA298" i="60"/>
  <c r="BA297" i="60"/>
  <c r="BE297" i="60" s="1"/>
  <c r="BA296" i="60"/>
  <c r="BE296" i="60" s="1"/>
  <c r="BA295" i="60"/>
  <c r="BA294" i="60"/>
  <c r="BE294" i="60" s="1"/>
  <c r="BA293" i="60"/>
  <c r="BE293" i="60" s="1"/>
  <c r="BA292" i="60"/>
  <c r="BE292" i="60" s="1"/>
  <c r="BA291" i="60"/>
  <c r="BE291" i="60" s="1"/>
  <c r="BA290" i="60"/>
  <c r="BE290" i="60" s="1"/>
  <c r="BA289" i="60"/>
  <c r="BE289" i="60" s="1"/>
  <c r="BA288" i="60"/>
  <c r="BE288" i="60" s="1"/>
  <c r="BA287" i="60"/>
  <c r="BE287" i="60" s="1"/>
  <c r="BA286" i="60"/>
  <c r="BE286" i="60" s="1"/>
  <c r="BA285" i="60"/>
  <c r="BE285" i="60" s="1"/>
  <c r="BA284" i="60"/>
  <c r="BE284" i="60" s="1"/>
  <c r="BA283" i="60"/>
  <c r="BE283" i="60" s="1"/>
  <c r="BA282" i="60"/>
  <c r="BE282" i="60" s="1"/>
  <c r="BA281" i="60"/>
  <c r="BE281" i="60" s="1"/>
  <c r="BA280" i="60"/>
  <c r="BE280" i="60" s="1"/>
  <c r="BA279" i="60"/>
  <c r="BE279" i="60" s="1"/>
  <c r="BA278" i="60"/>
  <c r="BE278" i="60" s="1"/>
  <c r="BA277" i="60"/>
  <c r="BE277" i="60" s="1"/>
  <c r="BA276" i="60"/>
  <c r="BE276" i="60" s="1"/>
  <c r="BA275" i="60"/>
  <c r="BE275" i="60" s="1"/>
  <c r="BA274" i="60"/>
  <c r="BE274" i="60" s="1"/>
  <c r="BA273" i="60"/>
  <c r="BE273" i="60" s="1"/>
  <c r="BA272" i="60"/>
  <c r="BE272" i="60" s="1"/>
  <c r="BA271" i="60"/>
  <c r="BE271" i="60" s="1"/>
  <c r="BA270" i="60"/>
  <c r="BE270" i="60" s="1"/>
  <c r="BA269" i="60"/>
  <c r="BE269" i="60" s="1"/>
  <c r="BA268" i="60"/>
  <c r="BE268" i="60" s="1"/>
  <c r="BA267" i="60"/>
  <c r="BE267" i="60" s="1"/>
  <c r="BA266" i="60"/>
  <c r="BE266" i="60" s="1"/>
  <c r="BA265" i="60"/>
  <c r="BE265" i="60" s="1"/>
  <c r="BA264" i="60"/>
  <c r="BE264" i="60" s="1"/>
  <c r="BA263" i="60"/>
  <c r="BA262" i="60"/>
  <c r="BE262" i="60" s="1"/>
  <c r="BA261" i="60"/>
  <c r="BE261" i="60" s="1"/>
  <c r="BA260" i="60"/>
  <c r="BE260" i="60" s="1"/>
  <c r="BA259" i="60"/>
  <c r="BE259" i="60" s="1"/>
  <c r="BA258" i="60"/>
  <c r="BE258" i="60" s="1"/>
  <c r="BA257" i="60"/>
  <c r="BE257" i="60" s="1"/>
  <c r="BA256" i="60"/>
  <c r="BE256" i="60" s="1"/>
  <c r="BA254" i="60"/>
  <c r="BE254" i="60" s="1"/>
  <c r="BA253" i="60"/>
  <c r="BE253" i="60" s="1"/>
  <c r="BA252" i="60"/>
  <c r="BE252" i="60" s="1"/>
  <c r="BA251" i="60"/>
  <c r="BE251" i="60" s="1"/>
  <c r="BA250" i="60"/>
  <c r="BE250" i="60" s="1"/>
  <c r="BA249" i="60"/>
  <c r="BE249" i="60" s="1"/>
  <c r="BA246" i="60"/>
  <c r="BE246" i="60" s="1"/>
  <c r="BA245" i="60"/>
  <c r="BE245" i="60" s="1"/>
  <c r="BA228" i="60"/>
  <c r="BE228" i="60" s="1"/>
  <c r="BA218" i="60"/>
  <c r="BE218" i="60" s="1"/>
  <c r="BA217" i="60"/>
  <c r="BE217" i="60" s="1"/>
  <c r="BA216" i="60"/>
  <c r="BE216" i="60" s="1"/>
  <c r="BA215" i="60"/>
  <c r="BE215" i="60" s="1"/>
  <c r="BA214" i="60"/>
  <c r="BE214" i="60" s="1"/>
  <c r="BA213" i="60"/>
  <c r="BE213" i="60" s="1"/>
  <c r="BA212" i="60"/>
  <c r="BE212" i="60" s="1"/>
  <c r="BA211" i="60"/>
  <c r="BE211" i="60" s="1"/>
  <c r="BA210" i="60"/>
  <c r="BE210" i="60" s="1"/>
  <c r="BA209" i="60"/>
  <c r="BE209" i="60" s="1"/>
  <c r="BA208" i="60"/>
  <c r="BE208" i="60" s="1"/>
  <c r="BA207" i="60"/>
  <c r="BA206" i="60"/>
  <c r="BE206" i="60" s="1"/>
  <c r="BA205" i="60"/>
  <c r="BE205" i="60" s="1"/>
  <c r="BA204" i="60"/>
  <c r="BE204" i="60" s="1"/>
  <c r="BA203" i="60"/>
  <c r="BA202" i="60"/>
  <c r="BE202" i="60" s="1"/>
  <c r="BA201" i="60"/>
  <c r="BE201" i="60" s="1"/>
  <c r="BA200" i="60"/>
  <c r="BE200" i="60" s="1"/>
  <c r="BA199" i="60"/>
  <c r="BE199" i="60" s="1"/>
  <c r="BA198" i="60"/>
  <c r="BE198" i="60" s="1"/>
  <c r="BA197" i="60"/>
  <c r="BE197" i="60" s="1"/>
  <c r="BA196" i="60"/>
  <c r="BE196" i="60" s="1"/>
  <c r="BA195" i="60"/>
  <c r="BE195" i="60" s="1"/>
  <c r="BA194" i="60"/>
  <c r="BE194" i="60" s="1"/>
  <c r="BA193" i="60"/>
  <c r="BE193" i="60" s="1"/>
  <c r="BA192" i="60"/>
  <c r="BE192" i="60" s="1"/>
  <c r="BA191" i="60"/>
  <c r="BE191" i="60" s="1"/>
  <c r="BA190" i="60"/>
  <c r="BE190" i="60" s="1"/>
  <c r="BA189" i="60"/>
  <c r="BE189" i="60" s="1"/>
  <c r="BA188" i="60"/>
  <c r="BE188" i="60" s="1"/>
  <c r="BA187" i="60"/>
  <c r="BE187" i="60" s="1"/>
  <c r="BA186" i="60"/>
  <c r="BE186" i="60" s="1"/>
  <c r="BA185" i="60"/>
  <c r="BE185" i="60" s="1"/>
  <c r="BA184" i="60"/>
  <c r="BE184" i="60" s="1"/>
  <c r="BA183" i="60"/>
  <c r="BE183" i="60" s="1"/>
  <c r="BA181" i="60"/>
  <c r="BE181" i="60" s="1"/>
  <c r="BA180" i="60"/>
  <c r="BE180" i="60" s="1"/>
  <c r="BA179" i="60"/>
  <c r="BE179" i="60" s="1"/>
  <c r="BA178" i="60"/>
  <c r="BE178" i="60" s="1"/>
  <c r="BA177" i="60"/>
  <c r="BE177" i="60" s="1"/>
  <c r="BA176" i="60"/>
  <c r="BE176" i="60" s="1"/>
  <c r="BA169" i="60"/>
  <c r="BE169" i="60" s="1"/>
  <c r="BA168" i="60"/>
  <c r="BE168" i="60" s="1"/>
  <c r="BA167" i="60"/>
  <c r="BE167" i="60" s="1"/>
  <c r="BA166" i="60"/>
  <c r="BE166" i="60" s="1"/>
  <c r="BA165" i="60"/>
  <c r="BE165" i="60" s="1"/>
  <c r="BA164" i="60"/>
  <c r="BE164" i="60" s="1"/>
  <c r="BA163" i="60"/>
  <c r="BE163" i="60" s="1"/>
  <c r="BA162" i="60"/>
  <c r="BE162" i="60" s="1"/>
  <c r="BA161" i="60"/>
  <c r="BE161" i="60" s="1"/>
  <c r="BA160" i="60"/>
  <c r="BE160" i="60" s="1"/>
  <c r="BA159" i="60"/>
  <c r="BE159" i="60" s="1"/>
  <c r="BA158" i="60"/>
  <c r="BA157" i="60"/>
  <c r="BE157" i="60" s="1"/>
  <c r="BA156" i="60"/>
  <c r="BE156" i="60" s="1"/>
  <c r="BA155" i="60"/>
  <c r="BE155" i="60" s="1"/>
  <c r="BA154" i="60"/>
  <c r="BA153" i="60"/>
  <c r="BE153" i="60" s="1"/>
  <c r="BA152" i="60"/>
  <c r="BE152" i="60" s="1"/>
  <c r="BA151" i="60"/>
  <c r="BE151" i="60" s="1"/>
  <c r="BA150" i="60"/>
  <c r="BE150" i="60" s="1"/>
  <c r="BA149" i="60"/>
  <c r="BE149" i="60" s="1"/>
  <c r="BA148" i="60"/>
  <c r="BE148" i="60" s="1"/>
  <c r="BA147" i="60"/>
  <c r="BE147" i="60" s="1"/>
  <c r="BA146" i="60"/>
  <c r="BE146" i="60" s="1"/>
  <c r="BA145" i="60"/>
  <c r="BE145" i="60" s="1"/>
  <c r="BA144" i="60"/>
  <c r="BE144" i="60" s="1"/>
  <c r="BA143" i="60"/>
  <c r="BE143" i="60" s="1"/>
  <c r="BA142" i="60"/>
  <c r="BE142" i="60" s="1"/>
  <c r="BA141" i="60"/>
  <c r="BE141" i="60" s="1"/>
  <c r="BA140" i="60"/>
  <c r="BE140" i="60" s="1"/>
  <c r="BA138" i="60"/>
  <c r="BE138" i="60" s="1"/>
  <c r="BA137" i="60"/>
  <c r="BE137" i="60" s="1"/>
  <c r="BA136" i="60"/>
  <c r="BE136" i="60" s="1"/>
  <c r="BA135" i="60"/>
  <c r="BE135" i="60" s="1"/>
  <c r="BA134" i="60"/>
  <c r="BE134" i="60" s="1"/>
  <c r="BA133" i="60"/>
  <c r="BE133" i="60" s="1"/>
  <c r="BA132" i="60"/>
  <c r="BE132" i="60" s="1"/>
  <c r="BA131" i="60"/>
  <c r="BE131" i="60" s="1"/>
  <c r="BA130" i="60"/>
  <c r="BE130" i="60" s="1"/>
  <c r="BA126" i="60"/>
  <c r="BE126" i="60" s="1"/>
  <c r="BA125" i="60"/>
  <c r="BE125" i="60" s="1"/>
  <c r="BA124" i="60"/>
  <c r="BE124" i="60" s="1"/>
  <c r="BA123" i="60"/>
  <c r="BE123" i="60" s="1"/>
  <c r="BA122" i="60"/>
  <c r="BE122" i="60" s="1"/>
  <c r="BA121" i="60"/>
  <c r="BE121" i="60" s="1"/>
  <c r="BA120" i="60"/>
  <c r="BE120" i="60" s="1"/>
  <c r="BA119" i="60"/>
  <c r="BE119" i="60" s="1"/>
  <c r="BA118" i="60"/>
  <c r="BE118" i="60" s="1"/>
  <c r="BA117" i="60"/>
  <c r="BE117" i="60" s="1"/>
  <c r="BA116" i="60"/>
  <c r="BE116" i="60" s="1"/>
  <c r="BA115" i="60"/>
  <c r="BA114" i="60"/>
  <c r="BE114" i="60" s="1"/>
  <c r="BA113" i="60"/>
  <c r="BE113" i="60" s="1"/>
  <c r="BA112" i="60"/>
  <c r="BE112" i="60" s="1"/>
  <c r="BA111" i="60"/>
  <c r="BA110" i="60"/>
  <c r="BE110" i="60" s="1"/>
  <c r="BA109" i="60"/>
  <c r="BE109" i="60" s="1"/>
  <c r="BA108" i="60"/>
  <c r="BE108" i="60" s="1"/>
  <c r="BA107" i="60"/>
  <c r="BE107" i="60" s="1"/>
  <c r="BA106" i="60"/>
  <c r="BA105" i="60"/>
  <c r="BE105" i="60" s="1"/>
  <c r="BA104" i="60"/>
  <c r="BE104" i="60" s="1"/>
  <c r="BA103" i="60"/>
  <c r="BE103" i="60" s="1"/>
  <c r="BA102" i="60"/>
  <c r="BE102" i="60" s="1"/>
  <c r="BA101" i="60"/>
  <c r="BE101" i="60" s="1"/>
  <c r="BA100" i="60"/>
  <c r="BE100" i="60" s="1"/>
  <c r="BA99" i="60"/>
  <c r="BE99" i="60" s="1"/>
  <c r="BA98" i="60"/>
  <c r="BE98" i="60" s="1"/>
  <c r="BA97" i="60"/>
  <c r="BE97" i="60" s="1"/>
  <c r="BA95" i="60"/>
  <c r="BE95" i="60" s="1"/>
  <c r="BA94" i="60"/>
  <c r="BE94" i="60" s="1"/>
  <c r="BA93" i="60"/>
  <c r="BE93" i="60" s="1"/>
  <c r="BA92" i="60"/>
  <c r="BE92" i="60" s="1"/>
  <c r="BA91" i="60"/>
  <c r="BE91" i="60" s="1"/>
  <c r="BA90" i="60"/>
  <c r="BA82" i="60"/>
  <c r="BE82" i="60" s="1"/>
  <c r="BA81" i="60"/>
  <c r="BE81" i="60" s="1"/>
  <c r="BA80" i="60"/>
  <c r="BE80" i="60" s="1"/>
  <c r="BA79" i="60"/>
  <c r="BE79" i="60" s="1"/>
  <c r="BA78" i="60"/>
  <c r="BE78" i="60" s="1"/>
  <c r="BA77" i="60"/>
  <c r="BE77" i="60" s="1"/>
  <c r="BA76" i="60"/>
  <c r="BE76" i="60" s="1"/>
  <c r="BA75" i="60"/>
  <c r="BE75" i="60" s="1"/>
  <c r="BA74" i="60"/>
  <c r="BE74" i="60" s="1"/>
  <c r="BA73" i="60"/>
  <c r="BE73" i="60" s="1"/>
  <c r="BA72" i="60"/>
  <c r="BA71" i="60"/>
  <c r="BE71" i="60" s="1"/>
  <c r="BA70" i="60"/>
  <c r="BE70" i="60" s="1"/>
  <c r="BA69" i="60"/>
  <c r="BE69" i="60" s="1"/>
  <c r="BA68" i="60"/>
  <c r="BA67" i="60"/>
  <c r="BE67" i="60" s="1"/>
  <c r="BA66" i="60"/>
  <c r="BE66" i="60" s="1"/>
  <c r="BA65" i="60"/>
  <c r="BE65" i="60" s="1"/>
  <c r="BA64" i="60"/>
  <c r="BE64" i="60" s="1"/>
  <c r="BA63" i="60"/>
  <c r="BE63" i="60" s="1"/>
  <c r="BA62" i="60"/>
  <c r="BE62" i="60" s="1"/>
  <c r="BA61" i="60"/>
  <c r="BE61" i="60" s="1"/>
  <c r="BA60" i="60"/>
  <c r="BE60" i="60" s="1"/>
  <c r="BA59" i="60"/>
  <c r="BE59" i="60" s="1"/>
  <c r="BA58" i="60"/>
  <c r="BE58" i="60" s="1"/>
  <c r="BA57" i="60"/>
  <c r="BA56" i="60"/>
  <c r="BA55" i="60"/>
  <c r="BE55" i="60" s="1"/>
  <c r="BA54" i="60"/>
  <c r="BE54" i="60" s="1"/>
  <c r="BA53" i="60"/>
  <c r="BE53" i="60" s="1"/>
  <c r="BA52" i="60"/>
  <c r="BE52" i="60" s="1"/>
  <c r="BA51" i="60"/>
  <c r="BE51" i="60" s="1"/>
  <c r="BA50" i="60"/>
  <c r="BE50" i="60" s="1"/>
  <c r="BA49" i="60"/>
  <c r="BE49" i="60" s="1"/>
  <c r="BA48" i="60"/>
  <c r="BE48" i="60" s="1"/>
  <c r="BA47" i="60"/>
  <c r="BE47" i="60" s="1"/>
  <c r="BA46" i="60"/>
  <c r="BE46" i="60" s="1"/>
  <c r="BA44" i="60"/>
  <c r="BE44" i="60" s="1"/>
  <c r="BA43" i="60"/>
  <c r="BE43" i="60" s="1"/>
  <c r="BA42" i="60"/>
  <c r="BE42" i="60" s="1"/>
  <c r="BA41" i="60"/>
  <c r="BE41" i="60" s="1"/>
  <c r="BA40" i="60"/>
  <c r="BE40" i="60" s="1"/>
  <c r="BA39" i="60"/>
  <c r="BE39" i="60" s="1"/>
  <c r="BA23" i="60"/>
  <c r="BE23" i="60" s="1"/>
  <c r="BA83" i="60"/>
  <c r="BE83" i="60" s="1"/>
  <c r="AV550" i="60"/>
  <c r="AU550" i="60"/>
  <c r="AT550" i="60"/>
  <c r="AV549" i="60"/>
  <c r="AU549" i="60"/>
  <c r="AT549" i="60"/>
  <c r="AV548" i="60"/>
  <c r="AU548" i="60"/>
  <c r="AT548" i="60"/>
  <c r="AV547" i="60"/>
  <c r="AU547" i="60"/>
  <c r="AT547" i="60"/>
  <c r="AV546" i="60"/>
  <c r="AU546" i="60"/>
  <c r="AT546" i="60"/>
  <c r="AV545" i="60"/>
  <c r="AU545" i="60"/>
  <c r="AT545" i="60"/>
  <c r="AV544" i="60"/>
  <c r="AU544" i="60"/>
  <c r="AT544" i="60"/>
  <c r="AV543" i="60"/>
  <c r="AU543" i="60"/>
  <c r="AT543" i="60"/>
  <c r="AV542" i="60"/>
  <c r="AU542" i="60"/>
  <c r="AT542" i="60"/>
  <c r="AV541" i="60"/>
  <c r="AU541" i="60"/>
  <c r="AT541" i="60"/>
  <c r="AV540" i="60"/>
  <c r="AU540" i="60"/>
  <c r="AT540" i="60"/>
  <c r="AV539" i="60"/>
  <c r="AU539" i="60"/>
  <c r="AT539" i="60"/>
  <c r="AV538" i="60"/>
  <c r="AU538" i="60"/>
  <c r="AT538" i="60"/>
  <c r="AV537" i="60"/>
  <c r="AU537" i="60"/>
  <c r="AT537" i="60"/>
  <c r="AV536" i="60"/>
  <c r="AU536" i="60"/>
  <c r="AT536" i="60"/>
  <c r="AV535" i="60"/>
  <c r="AU535" i="60"/>
  <c r="AT535" i="60"/>
  <c r="AV534" i="60"/>
  <c r="AU534" i="60"/>
  <c r="AT534" i="60"/>
  <c r="AV533" i="60"/>
  <c r="AU533" i="60"/>
  <c r="AT533" i="60"/>
  <c r="AV532" i="60"/>
  <c r="AU532" i="60"/>
  <c r="AT532" i="60"/>
  <c r="AV531" i="60"/>
  <c r="AU531" i="60"/>
  <c r="AT531" i="60"/>
  <c r="AV530" i="60"/>
  <c r="AU530" i="60"/>
  <c r="AT530" i="60"/>
  <c r="AV529" i="60"/>
  <c r="AU529" i="60"/>
  <c r="AT529" i="60"/>
  <c r="AV528" i="60"/>
  <c r="AU528" i="60"/>
  <c r="AT528" i="60"/>
  <c r="AV527" i="60"/>
  <c r="AU527" i="60"/>
  <c r="AT527" i="60"/>
  <c r="AV526" i="60"/>
  <c r="AU526" i="60"/>
  <c r="AT526" i="60"/>
  <c r="AV525" i="60"/>
  <c r="AU525" i="60"/>
  <c r="AT525" i="60"/>
  <c r="AV524" i="60"/>
  <c r="AU524" i="60"/>
  <c r="AT524" i="60"/>
  <c r="AV523" i="60"/>
  <c r="AU523" i="60"/>
  <c r="AT523" i="60"/>
  <c r="AV522" i="60"/>
  <c r="AU522" i="60"/>
  <c r="AT522" i="60"/>
  <c r="AV521" i="60"/>
  <c r="AU521" i="60"/>
  <c r="AT521" i="60"/>
  <c r="AV520" i="60"/>
  <c r="AU520" i="60"/>
  <c r="AT520" i="60"/>
  <c r="AV519" i="60"/>
  <c r="AU519" i="60"/>
  <c r="AT519" i="60"/>
  <c r="AV518" i="60"/>
  <c r="AU518" i="60"/>
  <c r="AT518" i="60"/>
  <c r="AV517" i="60"/>
  <c r="AU517" i="60"/>
  <c r="AT517" i="60"/>
  <c r="AV516" i="60"/>
  <c r="AU516" i="60"/>
  <c r="AT516" i="60"/>
  <c r="AV515" i="60"/>
  <c r="AU515" i="60"/>
  <c r="AT515" i="60"/>
  <c r="AV514" i="60"/>
  <c r="AU514" i="60"/>
  <c r="AT514" i="60"/>
  <c r="AV513" i="60"/>
  <c r="AU513" i="60"/>
  <c r="AT513" i="60"/>
  <c r="AV512" i="60"/>
  <c r="AU512" i="60"/>
  <c r="AT512" i="60"/>
  <c r="AV511" i="60"/>
  <c r="AU511" i="60"/>
  <c r="AT511" i="60"/>
  <c r="AV510" i="60"/>
  <c r="AU510" i="60"/>
  <c r="AT510" i="60"/>
  <c r="AV509" i="60"/>
  <c r="AU509" i="60"/>
  <c r="AT509" i="60"/>
  <c r="AV508" i="60"/>
  <c r="AU508" i="60"/>
  <c r="AT508" i="60"/>
  <c r="AV507" i="60"/>
  <c r="AU507" i="60"/>
  <c r="AT507" i="60"/>
  <c r="AV506" i="60"/>
  <c r="AU506" i="60"/>
  <c r="AT506" i="60"/>
  <c r="AV505" i="60"/>
  <c r="AU505" i="60"/>
  <c r="AT505" i="60"/>
  <c r="AV504" i="60"/>
  <c r="AU504" i="60"/>
  <c r="AT504" i="60"/>
  <c r="AV503" i="60"/>
  <c r="AU503" i="60"/>
  <c r="AT503" i="60"/>
  <c r="AV502" i="60"/>
  <c r="AU502" i="60"/>
  <c r="AT502" i="60"/>
  <c r="AV501" i="60"/>
  <c r="AU501" i="60"/>
  <c r="AT501" i="60"/>
  <c r="AV500" i="60"/>
  <c r="AU500" i="60"/>
  <c r="AT500" i="60"/>
  <c r="AV499" i="60"/>
  <c r="AU499" i="60"/>
  <c r="AT499" i="60"/>
  <c r="AV498" i="60"/>
  <c r="AU498" i="60"/>
  <c r="AT498" i="60"/>
  <c r="AV497" i="60"/>
  <c r="AU497" i="60"/>
  <c r="AT497" i="60"/>
  <c r="AV496" i="60"/>
  <c r="AU496" i="60"/>
  <c r="AT496" i="60"/>
  <c r="AV495" i="60"/>
  <c r="AU495" i="60"/>
  <c r="AT495" i="60"/>
  <c r="AV494" i="60"/>
  <c r="AU494" i="60"/>
  <c r="AT494" i="60"/>
  <c r="AV493" i="60"/>
  <c r="AU493" i="60"/>
  <c r="AT493" i="60"/>
  <c r="AV492" i="60"/>
  <c r="AU492" i="60"/>
  <c r="AT492" i="60"/>
  <c r="AV491" i="60"/>
  <c r="AU491" i="60"/>
  <c r="AT491" i="60"/>
  <c r="AV490" i="60"/>
  <c r="AU490" i="60"/>
  <c r="AT490" i="60"/>
  <c r="AV489" i="60"/>
  <c r="AU489" i="60"/>
  <c r="AT489" i="60"/>
  <c r="AV488" i="60"/>
  <c r="AU488" i="60"/>
  <c r="AT488" i="60"/>
  <c r="AV487" i="60"/>
  <c r="AU487" i="60"/>
  <c r="AT487" i="60"/>
  <c r="AV486" i="60"/>
  <c r="AU486" i="60"/>
  <c r="AT486" i="60"/>
  <c r="AV485" i="60"/>
  <c r="AU485" i="60"/>
  <c r="AT485" i="60"/>
  <c r="AV484" i="60"/>
  <c r="AU484" i="60"/>
  <c r="AT484" i="60"/>
  <c r="AV483" i="60"/>
  <c r="AU483" i="60"/>
  <c r="AT483" i="60"/>
  <c r="AV482" i="60"/>
  <c r="AU482" i="60"/>
  <c r="AT482" i="60"/>
  <c r="AV481" i="60"/>
  <c r="AU481" i="60"/>
  <c r="AT481" i="60"/>
  <c r="AV480" i="60"/>
  <c r="AU480" i="60"/>
  <c r="AT480" i="60"/>
  <c r="AV479" i="60"/>
  <c r="AU479" i="60"/>
  <c r="AT479" i="60"/>
  <c r="AV478" i="60"/>
  <c r="AU478" i="60"/>
  <c r="AT478" i="60"/>
  <c r="AV477" i="60"/>
  <c r="AU477" i="60"/>
  <c r="AT477" i="60"/>
  <c r="AV476" i="60"/>
  <c r="AU476" i="60"/>
  <c r="AT476" i="60"/>
  <c r="AV475" i="60"/>
  <c r="AU475" i="60"/>
  <c r="AT475" i="60"/>
  <c r="AV474" i="60"/>
  <c r="AU474" i="60"/>
  <c r="AT474" i="60"/>
  <c r="AV473" i="60"/>
  <c r="AU473" i="60"/>
  <c r="AT473" i="60"/>
  <c r="AV472" i="60"/>
  <c r="AU472" i="60"/>
  <c r="AT472" i="60"/>
  <c r="AV471" i="60"/>
  <c r="AU471" i="60"/>
  <c r="AT471" i="60"/>
  <c r="AV470" i="60"/>
  <c r="AU470" i="60"/>
  <c r="AT470" i="60"/>
  <c r="AV469" i="60"/>
  <c r="AU469" i="60"/>
  <c r="AT469" i="60"/>
  <c r="AV468" i="60"/>
  <c r="AU468" i="60"/>
  <c r="AT468" i="60"/>
  <c r="AV467" i="60"/>
  <c r="AU467" i="60"/>
  <c r="AT467" i="60"/>
  <c r="AV466" i="60"/>
  <c r="AU466" i="60"/>
  <c r="AT466" i="60"/>
  <c r="AV465" i="60"/>
  <c r="AU465" i="60"/>
  <c r="AT465" i="60"/>
  <c r="AV464" i="60"/>
  <c r="AU464" i="60"/>
  <c r="AT464" i="60"/>
  <c r="AV463" i="60"/>
  <c r="AU463" i="60"/>
  <c r="AT463" i="60"/>
  <c r="AV462" i="60"/>
  <c r="AU462" i="60"/>
  <c r="AT462" i="60"/>
  <c r="AV461" i="60"/>
  <c r="AU461" i="60"/>
  <c r="AT461" i="60"/>
  <c r="AV460" i="60"/>
  <c r="AU460" i="60"/>
  <c r="AT460" i="60"/>
  <c r="AV459" i="60"/>
  <c r="AU459" i="60"/>
  <c r="AT459" i="60"/>
  <c r="AV458" i="60"/>
  <c r="AU458" i="60"/>
  <c r="AT458" i="60"/>
  <c r="AV457" i="60"/>
  <c r="AU457" i="60"/>
  <c r="AT457" i="60"/>
  <c r="AV456" i="60"/>
  <c r="AU456" i="60"/>
  <c r="AT456" i="60"/>
  <c r="AV455" i="60"/>
  <c r="AU455" i="60"/>
  <c r="AT455" i="60"/>
  <c r="AV454" i="60"/>
  <c r="AU454" i="60"/>
  <c r="AT454" i="60"/>
  <c r="AV453" i="60"/>
  <c r="AU453" i="60"/>
  <c r="AT453" i="60"/>
  <c r="AV452" i="60"/>
  <c r="AU452" i="60"/>
  <c r="AT452" i="60"/>
  <c r="AV451" i="60"/>
  <c r="AU451" i="60"/>
  <c r="AT451" i="60"/>
  <c r="AV450" i="60"/>
  <c r="AU450" i="60"/>
  <c r="AT450" i="60"/>
  <c r="AV449" i="60"/>
  <c r="AU449" i="60"/>
  <c r="AT449" i="60"/>
  <c r="AV448" i="60"/>
  <c r="AU448" i="60"/>
  <c r="AT448" i="60"/>
  <c r="AV447" i="60"/>
  <c r="AU447" i="60"/>
  <c r="AT447" i="60"/>
  <c r="AV446" i="60"/>
  <c r="AU446" i="60"/>
  <c r="AT446" i="60"/>
  <c r="AV445" i="60"/>
  <c r="AU445" i="60"/>
  <c r="AT445" i="60"/>
  <c r="AV444" i="60"/>
  <c r="AU444" i="60"/>
  <c r="AT444" i="60"/>
  <c r="AV443" i="60"/>
  <c r="AU443" i="60"/>
  <c r="AT443" i="60"/>
  <c r="AV442" i="60"/>
  <c r="AU442" i="60"/>
  <c r="AT442" i="60"/>
  <c r="AV441" i="60"/>
  <c r="AU441" i="60"/>
  <c r="AT441" i="60"/>
  <c r="AV440" i="60"/>
  <c r="AU440" i="60"/>
  <c r="AT440" i="60"/>
  <c r="AV439" i="60"/>
  <c r="AU439" i="60"/>
  <c r="AT439" i="60"/>
  <c r="AV438" i="60"/>
  <c r="AU438" i="60"/>
  <c r="AT438" i="60"/>
  <c r="AV437" i="60"/>
  <c r="AU437" i="60"/>
  <c r="AT437" i="60"/>
  <c r="AV436" i="60"/>
  <c r="AU436" i="60"/>
  <c r="AT436" i="60"/>
  <c r="AV435" i="60"/>
  <c r="AU435" i="60"/>
  <c r="AT435" i="60"/>
  <c r="AV434" i="60"/>
  <c r="AU434" i="60"/>
  <c r="AT434" i="60"/>
  <c r="AV433" i="60"/>
  <c r="AU433" i="60"/>
  <c r="AT433" i="60"/>
  <c r="AV432" i="60"/>
  <c r="AU432" i="60"/>
  <c r="AT432" i="60"/>
  <c r="AV431" i="60"/>
  <c r="AU431" i="60"/>
  <c r="AT431" i="60"/>
  <c r="AV430" i="60"/>
  <c r="AU430" i="60"/>
  <c r="AT430" i="60"/>
  <c r="AV429" i="60"/>
  <c r="AU429" i="60"/>
  <c r="AT429" i="60"/>
  <c r="AV428" i="60"/>
  <c r="AU428" i="60"/>
  <c r="AT428" i="60"/>
  <c r="AV427" i="60"/>
  <c r="AU427" i="60"/>
  <c r="AT427" i="60"/>
  <c r="AV426" i="60"/>
  <c r="AU426" i="60"/>
  <c r="AT426" i="60"/>
  <c r="AV425" i="60"/>
  <c r="AU425" i="60"/>
  <c r="AT425" i="60"/>
  <c r="AV424" i="60"/>
  <c r="AU424" i="60"/>
  <c r="AT424" i="60"/>
  <c r="AV423" i="60"/>
  <c r="AU423" i="60"/>
  <c r="AT423" i="60"/>
  <c r="AV422" i="60"/>
  <c r="AU422" i="60"/>
  <c r="AT422" i="60"/>
  <c r="AV421" i="60"/>
  <c r="AU421" i="60"/>
  <c r="AT421" i="60"/>
  <c r="AV420" i="60"/>
  <c r="AU420" i="60"/>
  <c r="AT420" i="60"/>
  <c r="AV419" i="60"/>
  <c r="AU419" i="60"/>
  <c r="AT419" i="60"/>
  <c r="AV418" i="60"/>
  <c r="AU418" i="60"/>
  <c r="AT418" i="60"/>
  <c r="AV417" i="60"/>
  <c r="AU417" i="60"/>
  <c r="AT417" i="60"/>
  <c r="AV416" i="60"/>
  <c r="AU416" i="60"/>
  <c r="AT416" i="60"/>
  <c r="AV415" i="60"/>
  <c r="AU415" i="60"/>
  <c r="AT415" i="60"/>
  <c r="AV414" i="60"/>
  <c r="AU414" i="60"/>
  <c r="AT414" i="60"/>
  <c r="AV413" i="60"/>
  <c r="AU413" i="60"/>
  <c r="AT413" i="60"/>
  <c r="AV412" i="60"/>
  <c r="AU412" i="60"/>
  <c r="AT412" i="60"/>
  <c r="AV411" i="60"/>
  <c r="AU411" i="60"/>
  <c r="AT411" i="60"/>
  <c r="AV410" i="60"/>
  <c r="AU410" i="60"/>
  <c r="AT410" i="60"/>
  <c r="AV409" i="60"/>
  <c r="AU409" i="60"/>
  <c r="AT409" i="60"/>
  <c r="AV408" i="60"/>
  <c r="AU408" i="60"/>
  <c r="AT408" i="60"/>
  <c r="AV407" i="60"/>
  <c r="AU407" i="60"/>
  <c r="AT407" i="60"/>
  <c r="AV406" i="60"/>
  <c r="AU406" i="60"/>
  <c r="AT406" i="60"/>
  <c r="AV405" i="60"/>
  <c r="AU405" i="60"/>
  <c r="AT405" i="60"/>
  <c r="AV404" i="60"/>
  <c r="AU404" i="60"/>
  <c r="AT404" i="60"/>
  <c r="AV403" i="60"/>
  <c r="AU403" i="60"/>
  <c r="AT403" i="60"/>
  <c r="AV402" i="60"/>
  <c r="AU402" i="60"/>
  <c r="AT402" i="60"/>
  <c r="AV401" i="60"/>
  <c r="AU401" i="60"/>
  <c r="AT401" i="60"/>
  <c r="AV400" i="60"/>
  <c r="AU400" i="60"/>
  <c r="AT400" i="60"/>
  <c r="AV399" i="60"/>
  <c r="AU399" i="60"/>
  <c r="AT399" i="60"/>
  <c r="AV398" i="60"/>
  <c r="AU398" i="60"/>
  <c r="AT398" i="60"/>
  <c r="AV397" i="60"/>
  <c r="AU397" i="60"/>
  <c r="AT397" i="60"/>
  <c r="AV396" i="60"/>
  <c r="AU396" i="60"/>
  <c r="AT396" i="60"/>
  <c r="AV395" i="60"/>
  <c r="AU395" i="60"/>
  <c r="AT395" i="60"/>
  <c r="AV394" i="60"/>
  <c r="AU394" i="60"/>
  <c r="AT394" i="60"/>
  <c r="AV393" i="60"/>
  <c r="AU393" i="60"/>
  <c r="AT393" i="60"/>
  <c r="AV392" i="60"/>
  <c r="AU392" i="60"/>
  <c r="AT392" i="60"/>
  <c r="AV391" i="60"/>
  <c r="AU391" i="60"/>
  <c r="AT391" i="60"/>
  <c r="AV390" i="60"/>
  <c r="AU390" i="60"/>
  <c r="AT390" i="60"/>
  <c r="AV389" i="60"/>
  <c r="AU389" i="60"/>
  <c r="AT389" i="60"/>
  <c r="AV388" i="60"/>
  <c r="AU388" i="60"/>
  <c r="AT388" i="60"/>
  <c r="AV387" i="60"/>
  <c r="AU387" i="60"/>
  <c r="AT387" i="60"/>
  <c r="AV386" i="60"/>
  <c r="AU386" i="60"/>
  <c r="AT386" i="60"/>
  <c r="AV385" i="60"/>
  <c r="AU385" i="60"/>
  <c r="AT385" i="60"/>
  <c r="AV384" i="60"/>
  <c r="AU384" i="60"/>
  <c r="AT384" i="60"/>
  <c r="AV383" i="60"/>
  <c r="AU383" i="60"/>
  <c r="AT383" i="60"/>
  <c r="AV382" i="60"/>
  <c r="AU382" i="60"/>
  <c r="AT382" i="60"/>
  <c r="AV381" i="60"/>
  <c r="AU381" i="60"/>
  <c r="AT381" i="60"/>
  <c r="AV380" i="60"/>
  <c r="AU380" i="60"/>
  <c r="AT380" i="60"/>
  <c r="AV379" i="60"/>
  <c r="AU379" i="60"/>
  <c r="AT379" i="60"/>
  <c r="AV378" i="60"/>
  <c r="AU378" i="60"/>
  <c r="AT378" i="60"/>
  <c r="AV377" i="60"/>
  <c r="AU377" i="60"/>
  <c r="AT377" i="60"/>
  <c r="AV376" i="60"/>
  <c r="AU376" i="60"/>
  <c r="AT376" i="60"/>
  <c r="AV375" i="60"/>
  <c r="AU375" i="60"/>
  <c r="AT375" i="60"/>
  <c r="AV374" i="60"/>
  <c r="AU374" i="60"/>
  <c r="AT374" i="60"/>
  <c r="AV373" i="60"/>
  <c r="AU373" i="60"/>
  <c r="AT373" i="60"/>
  <c r="AV372" i="60"/>
  <c r="AU372" i="60"/>
  <c r="AT372" i="60"/>
  <c r="AV371" i="60"/>
  <c r="AU371" i="60"/>
  <c r="AT371" i="60"/>
  <c r="AV370" i="60"/>
  <c r="AU370" i="60"/>
  <c r="AT370" i="60"/>
  <c r="AV369" i="60"/>
  <c r="AU369" i="60"/>
  <c r="AT369" i="60"/>
  <c r="AV368" i="60"/>
  <c r="AU368" i="60"/>
  <c r="AT368" i="60"/>
  <c r="AV367" i="60"/>
  <c r="AU367" i="60"/>
  <c r="AT367" i="60"/>
  <c r="AV366" i="60"/>
  <c r="AU366" i="60"/>
  <c r="AT366" i="60"/>
  <c r="AV365" i="60"/>
  <c r="AU365" i="60"/>
  <c r="AT365" i="60"/>
  <c r="AV364" i="60"/>
  <c r="AU364" i="60"/>
  <c r="AT364" i="60"/>
  <c r="AV363" i="60"/>
  <c r="AU363" i="60"/>
  <c r="AT363" i="60"/>
  <c r="AV362" i="60"/>
  <c r="AU362" i="60"/>
  <c r="AT362" i="60"/>
  <c r="AV361" i="60"/>
  <c r="AU361" i="60"/>
  <c r="AT361" i="60"/>
  <c r="AV360" i="60"/>
  <c r="AU360" i="60"/>
  <c r="AT360" i="60"/>
  <c r="AV359" i="60"/>
  <c r="AU359" i="60"/>
  <c r="AT359" i="60"/>
  <c r="AV358" i="60"/>
  <c r="AU358" i="60"/>
  <c r="AT358" i="60"/>
  <c r="AV357" i="60"/>
  <c r="AU357" i="60"/>
  <c r="AT357" i="60"/>
  <c r="AV356" i="60"/>
  <c r="AU356" i="60"/>
  <c r="AT356" i="60"/>
  <c r="AV355" i="60"/>
  <c r="AU355" i="60"/>
  <c r="AT355" i="60"/>
  <c r="AV354" i="60"/>
  <c r="AU354" i="60"/>
  <c r="AT354" i="60"/>
  <c r="AV353" i="60"/>
  <c r="AU353" i="60"/>
  <c r="AT353" i="60"/>
  <c r="AV352" i="60"/>
  <c r="AU352" i="60"/>
  <c r="AT352" i="60"/>
  <c r="AV351" i="60"/>
  <c r="AU351" i="60"/>
  <c r="AT351" i="60"/>
  <c r="AV350" i="60"/>
  <c r="AU350" i="60"/>
  <c r="AT350" i="60"/>
  <c r="AV349" i="60"/>
  <c r="AU349" i="60"/>
  <c r="AT349" i="60"/>
  <c r="AV348" i="60"/>
  <c r="AU348" i="60"/>
  <c r="AT348" i="60"/>
  <c r="AV347" i="60"/>
  <c r="AU347" i="60"/>
  <c r="AT347" i="60"/>
  <c r="AV346" i="60"/>
  <c r="AU346" i="60"/>
  <c r="AT346" i="60"/>
  <c r="AV345" i="60"/>
  <c r="AU345" i="60"/>
  <c r="AT345" i="60"/>
  <c r="AV344" i="60"/>
  <c r="AU344" i="60"/>
  <c r="AT344" i="60"/>
  <c r="AV343" i="60"/>
  <c r="AU343" i="60"/>
  <c r="AT343" i="60"/>
  <c r="AV342" i="60"/>
  <c r="AU342" i="60"/>
  <c r="AT342" i="60"/>
  <c r="AV341" i="60"/>
  <c r="AU341" i="60"/>
  <c r="AT341" i="60"/>
  <c r="AV340" i="60"/>
  <c r="AU340" i="60"/>
  <c r="AT340" i="60"/>
  <c r="AV339" i="60"/>
  <c r="AU339" i="60"/>
  <c r="AT339" i="60"/>
  <c r="AV338" i="60"/>
  <c r="AU338" i="60"/>
  <c r="AT338" i="60"/>
  <c r="AV337" i="60"/>
  <c r="AU337" i="60"/>
  <c r="AT337" i="60"/>
  <c r="AV336" i="60"/>
  <c r="AU336" i="60"/>
  <c r="AT336" i="60"/>
  <c r="AV335" i="60"/>
  <c r="AU335" i="60"/>
  <c r="AT335" i="60"/>
  <c r="AV334" i="60"/>
  <c r="AU334" i="60"/>
  <c r="AT334" i="60"/>
  <c r="AV333" i="60"/>
  <c r="AU333" i="60"/>
  <c r="AT333" i="60"/>
  <c r="AV332" i="60"/>
  <c r="AU332" i="60"/>
  <c r="AT332" i="60"/>
  <c r="AV331" i="60"/>
  <c r="AU331" i="60"/>
  <c r="AT331" i="60"/>
  <c r="AV330" i="60"/>
  <c r="AU330" i="60"/>
  <c r="AT330" i="60"/>
  <c r="AV329" i="60"/>
  <c r="AU329" i="60"/>
  <c r="AT329" i="60"/>
  <c r="AV328" i="60"/>
  <c r="AU328" i="60"/>
  <c r="AT328" i="60"/>
  <c r="AV327" i="60"/>
  <c r="AU327" i="60"/>
  <c r="AT327" i="60"/>
  <c r="AV326" i="60"/>
  <c r="AU326" i="60"/>
  <c r="AT326" i="60"/>
  <c r="AV325" i="60"/>
  <c r="AU325" i="60"/>
  <c r="AT325" i="60"/>
  <c r="AV324" i="60"/>
  <c r="AU324" i="60"/>
  <c r="AT324" i="60"/>
  <c r="AV323" i="60"/>
  <c r="AU323" i="60"/>
  <c r="AT323" i="60"/>
  <c r="AV322" i="60"/>
  <c r="AU322" i="60"/>
  <c r="AT322" i="60"/>
  <c r="AV321" i="60"/>
  <c r="AU321" i="60"/>
  <c r="AT321" i="60"/>
  <c r="AV320" i="60"/>
  <c r="AU320" i="60"/>
  <c r="AT320" i="60"/>
  <c r="AV319" i="60"/>
  <c r="AU319" i="60"/>
  <c r="AT319" i="60"/>
  <c r="AV318" i="60"/>
  <c r="AU318" i="60"/>
  <c r="AT318" i="60"/>
  <c r="AV317" i="60"/>
  <c r="AU317" i="60"/>
  <c r="AT317" i="60"/>
  <c r="AV316" i="60"/>
  <c r="AU316" i="60"/>
  <c r="AT316" i="60"/>
  <c r="AV315" i="60"/>
  <c r="AU315" i="60"/>
  <c r="AT315" i="60"/>
  <c r="AV314" i="60"/>
  <c r="AU314" i="60"/>
  <c r="AT314" i="60"/>
  <c r="AV313" i="60"/>
  <c r="AU313" i="60"/>
  <c r="AT313" i="60"/>
  <c r="AV312" i="60"/>
  <c r="AU312" i="60"/>
  <c r="AT312" i="60"/>
  <c r="AV311" i="60"/>
  <c r="AU311" i="60"/>
  <c r="AT311" i="60"/>
  <c r="AV310" i="60"/>
  <c r="AU310" i="60"/>
  <c r="AT310" i="60"/>
  <c r="AV309" i="60"/>
  <c r="AU309" i="60"/>
  <c r="AT309" i="60"/>
  <c r="AV308" i="60"/>
  <c r="AU308" i="60"/>
  <c r="AT308" i="60"/>
  <c r="AV307" i="60"/>
  <c r="AU307" i="60"/>
  <c r="AT307" i="60"/>
  <c r="AV306" i="60"/>
  <c r="AU306" i="60"/>
  <c r="AT306" i="60"/>
  <c r="AV305" i="60"/>
  <c r="AU305" i="60"/>
  <c r="AT305" i="60"/>
  <c r="AV304" i="60"/>
  <c r="AU304" i="60"/>
  <c r="AT304" i="60"/>
  <c r="AV303" i="60"/>
  <c r="AU303" i="60"/>
  <c r="AT303" i="60"/>
  <c r="AV302" i="60"/>
  <c r="AU302" i="60"/>
  <c r="AT302" i="60"/>
  <c r="AV301" i="60"/>
  <c r="AU301" i="60"/>
  <c r="AT301" i="60"/>
  <c r="AV300" i="60"/>
  <c r="AU300" i="60"/>
  <c r="AT300" i="60"/>
  <c r="AV299" i="60"/>
  <c r="AU299" i="60"/>
  <c r="AT299" i="60"/>
  <c r="AV298" i="60"/>
  <c r="AU298" i="60"/>
  <c r="AT298" i="60"/>
  <c r="AV297" i="60"/>
  <c r="AU297" i="60"/>
  <c r="AT297" i="60"/>
  <c r="AV296" i="60"/>
  <c r="AU296" i="60"/>
  <c r="AT296" i="60"/>
  <c r="AV295" i="60"/>
  <c r="AU295" i="60"/>
  <c r="AT295" i="60"/>
  <c r="AV294" i="60"/>
  <c r="AU294" i="60"/>
  <c r="AT294" i="60"/>
  <c r="AV293" i="60"/>
  <c r="AU293" i="60"/>
  <c r="AT293" i="60"/>
  <c r="AV292" i="60"/>
  <c r="AU292" i="60"/>
  <c r="AT292" i="60"/>
  <c r="AV291" i="60"/>
  <c r="AU291" i="60"/>
  <c r="AT291" i="60"/>
  <c r="AV290" i="60"/>
  <c r="AU290" i="60"/>
  <c r="AT290" i="60"/>
  <c r="AV289" i="60"/>
  <c r="AU289" i="60"/>
  <c r="AT289" i="60"/>
  <c r="AV288" i="60"/>
  <c r="AU288" i="60"/>
  <c r="AT288" i="60"/>
  <c r="AV287" i="60"/>
  <c r="AU287" i="60"/>
  <c r="AT287" i="60"/>
  <c r="AV286" i="60"/>
  <c r="AU286" i="60"/>
  <c r="AT286" i="60"/>
  <c r="AV285" i="60"/>
  <c r="AU285" i="60"/>
  <c r="AT285" i="60"/>
  <c r="AV284" i="60"/>
  <c r="AU284" i="60"/>
  <c r="AT284" i="60"/>
  <c r="AV283" i="60"/>
  <c r="AU283" i="60"/>
  <c r="AT283" i="60"/>
  <c r="AV282" i="60"/>
  <c r="AU282" i="60"/>
  <c r="AT282" i="60"/>
  <c r="AV281" i="60"/>
  <c r="AU281" i="60"/>
  <c r="AT281" i="60"/>
  <c r="AV280" i="60"/>
  <c r="AU280" i="60"/>
  <c r="AT280" i="60"/>
  <c r="AV279" i="60"/>
  <c r="AU279" i="60"/>
  <c r="AT279" i="60"/>
  <c r="AV278" i="60"/>
  <c r="AU278" i="60"/>
  <c r="AT278" i="60"/>
  <c r="AV277" i="60"/>
  <c r="AU277" i="60"/>
  <c r="AT277" i="60"/>
  <c r="AV276" i="60"/>
  <c r="AU276" i="60"/>
  <c r="AT276" i="60"/>
  <c r="AV275" i="60"/>
  <c r="AU275" i="60"/>
  <c r="AT275" i="60"/>
  <c r="AV274" i="60"/>
  <c r="AU274" i="60"/>
  <c r="AT274" i="60"/>
  <c r="AV273" i="60"/>
  <c r="AU273" i="60"/>
  <c r="AT273" i="60"/>
  <c r="AV272" i="60"/>
  <c r="AU272" i="60"/>
  <c r="AT272" i="60"/>
  <c r="AV271" i="60"/>
  <c r="AU271" i="60"/>
  <c r="AT271" i="60"/>
  <c r="AV270" i="60"/>
  <c r="AU270" i="60"/>
  <c r="AT270" i="60"/>
  <c r="AV269" i="60"/>
  <c r="AU269" i="60"/>
  <c r="AT269" i="60"/>
  <c r="AV268" i="60"/>
  <c r="AU268" i="60"/>
  <c r="AT268" i="60"/>
  <c r="AV267" i="60"/>
  <c r="AU267" i="60"/>
  <c r="AT267" i="60"/>
  <c r="AV266" i="60"/>
  <c r="AU266" i="60"/>
  <c r="AT266" i="60"/>
  <c r="AV265" i="60"/>
  <c r="AU265" i="60"/>
  <c r="AT265" i="60"/>
  <c r="AV264" i="60"/>
  <c r="AU264" i="60"/>
  <c r="AT264" i="60"/>
  <c r="AV263" i="60"/>
  <c r="AU263" i="60"/>
  <c r="AT263" i="60"/>
  <c r="AV262" i="60"/>
  <c r="AU262" i="60"/>
  <c r="AT262" i="60"/>
  <c r="AV261" i="60"/>
  <c r="AU261" i="60"/>
  <c r="AT261" i="60"/>
  <c r="AV260" i="60"/>
  <c r="AU260" i="60"/>
  <c r="AT260" i="60"/>
  <c r="AV259" i="60"/>
  <c r="AU259" i="60"/>
  <c r="AT259" i="60"/>
  <c r="AV258" i="60"/>
  <c r="AU258" i="60"/>
  <c r="AT258" i="60"/>
  <c r="AV257" i="60"/>
  <c r="AU257" i="60"/>
  <c r="AT257" i="60"/>
  <c r="AV256" i="60"/>
  <c r="AU256" i="60"/>
  <c r="AT256" i="60"/>
  <c r="AV254" i="60"/>
  <c r="AU254" i="60"/>
  <c r="AT254" i="60"/>
  <c r="AV253" i="60"/>
  <c r="AU253" i="60"/>
  <c r="AT253" i="60"/>
  <c r="AV252" i="60"/>
  <c r="AU252" i="60"/>
  <c r="AT252" i="60"/>
  <c r="AV251" i="60"/>
  <c r="AU251" i="60"/>
  <c r="AT251" i="60"/>
  <c r="AV250" i="60"/>
  <c r="AU250" i="60"/>
  <c r="AT250" i="60"/>
  <c r="AV249" i="60"/>
  <c r="AU249" i="60"/>
  <c r="AT249" i="60"/>
  <c r="AV248" i="60"/>
  <c r="AU248" i="60"/>
  <c r="AT248" i="60"/>
  <c r="AV247" i="60"/>
  <c r="AU247" i="60"/>
  <c r="AT247" i="60"/>
  <c r="AV246" i="60"/>
  <c r="AU246" i="60"/>
  <c r="AT246" i="60"/>
  <c r="AV245" i="60"/>
  <c r="AU245" i="60"/>
  <c r="AT245" i="60"/>
  <c r="AV244" i="60"/>
  <c r="AU244" i="60"/>
  <c r="AT244" i="60"/>
  <c r="AV243" i="60"/>
  <c r="AU243" i="60"/>
  <c r="AT243" i="60"/>
  <c r="AV242" i="60"/>
  <c r="AU242" i="60"/>
  <c r="AT242" i="60"/>
  <c r="AV241" i="60"/>
  <c r="AU241" i="60"/>
  <c r="AT241" i="60"/>
  <c r="AV240" i="60"/>
  <c r="AU240" i="60"/>
  <c r="AT240" i="60"/>
  <c r="AV239" i="60"/>
  <c r="AU239" i="60"/>
  <c r="AT239" i="60"/>
  <c r="AV238" i="60"/>
  <c r="AU238" i="60"/>
  <c r="AT238" i="60"/>
  <c r="AV237" i="60"/>
  <c r="AU237" i="60"/>
  <c r="AT237" i="60"/>
  <c r="AV236" i="60"/>
  <c r="AU236" i="60"/>
  <c r="AT236" i="60"/>
  <c r="AV235" i="60"/>
  <c r="AU235" i="60"/>
  <c r="AT235" i="60"/>
  <c r="AV234" i="60"/>
  <c r="AU234" i="60"/>
  <c r="AT234" i="60"/>
  <c r="AV233" i="60"/>
  <c r="AU233" i="60"/>
  <c r="AT233" i="60"/>
  <c r="AV232" i="60"/>
  <c r="AU232" i="60"/>
  <c r="AT232" i="60"/>
  <c r="AV231" i="60"/>
  <c r="AU231" i="60"/>
  <c r="AT231" i="60"/>
  <c r="AV230" i="60"/>
  <c r="AU230" i="60"/>
  <c r="AT230" i="60"/>
  <c r="AV229" i="60"/>
  <c r="AU229" i="60"/>
  <c r="AT229" i="60"/>
  <c r="AV228" i="60"/>
  <c r="AU228" i="60"/>
  <c r="AT228" i="60"/>
  <c r="AV227" i="60"/>
  <c r="AU227" i="60"/>
  <c r="AT227" i="60"/>
  <c r="AV226" i="60"/>
  <c r="AU226" i="60"/>
  <c r="AT226" i="60"/>
  <c r="AV225" i="60"/>
  <c r="AU225" i="60"/>
  <c r="AT225" i="60"/>
  <c r="AV224" i="60"/>
  <c r="AU224" i="60"/>
  <c r="AT224" i="60"/>
  <c r="AV223" i="60"/>
  <c r="AU223" i="60"/>
  <c r="AT223" i="60"/>
  <c r="AV222" i="60"/>
  <c r="AU222" i="60"/>
  <c r="AT222" i="60"/>
  <c r="AV221" i="60"/>
  <c r="AU221" i="60"/>
  <c r="AT221" i="60"/>
  <c r="AV220" i="60"/>
  <c r="AU220" i="60"/>
  <c r="AT220" i="60"/>
  <c r="AV219" i="60"/>
  <c r="AU219" i="60"/>
  <c r="AT219" i="60"/>
  <c r="AV218" i="60"/>
  <c r="AU218" i="60"/>
  <c r="AT218" i="60"/>
  <c r="AV217" i="60"/>
  <c r="AU217" i="60"/>
  <c r="AT217" i="60"/>
  <c r="AV216" i="60"/>
  <c r="AU216" i="60"/>
  <c r="AT216" i="60"/>
  <c r="AV215" i="60"/>
  <c r="AU215" i="60"/>
  <c r="AT215" i="60"/>
  <c r="AV214" i="60"/>
  <c r="AU214" i="60"/>
  <c r="AT214" i="60"/>
  <c r="AV213" i="60"/>
  <c r="AU213" i="60"/>
  <c r="AT213" i="60"/>
  <c r="AV212" i="60"/>
  <c r="AU212" i="60"/>
  <c r="AT212" i="60"/>
  <c r="AV211" i="60"/>
  <c r="AU211" i="60"/>
  <c r="AT211" i="60"/>
  <c r="AV210" i="60"/>
  <c r="AU210" i="60"/>
  <c r="AT210" i="60"/>
  <c r="AV209" i="60"/>
  <c r="AU209" i="60"/>
  <c r="AT209" i="60"/>
  <c r="AV208" i="60"/>
  <c r="AU208" i="60"/>
  <c r="AT208" i="60"/>
  <c r="AV207" i="60"/>
  <c r="AU207" i="60"/>
  <c r="AT207" i="60"/>
  <c r="AV206" i="60"/>
  <c r="AU206" i="60"/>
  <c r="AT206" i="60"/>
  <c r="AV205" i="60"/>
  <c r="AU205" i="60"/>
  <c r="AT205" i="60"/>
  <c r="AV204" i="60"/>
  <c r="AU204" i="60"/>
  <c r="AT204" i="60"/>
  <c r="AV203" i="60"/>
  <c r="AU203" i="60"/>
  <c r="AT203" i="60"/>
  <c r="AV202" i="60"/>
  <c r="AU202" i="60"/>
  <c r="AT202" i="60"/>
  <c r="AV201" i="60"/>
  <c r="AU201" i="60"/>
  <c r="AT201" i="60"/>
  <c r="AV200" i="60"/>
  <c r="AU200" i="60"/>
  <c r="AT200" i="60"/>
  <c r="AV199" i="60"/>
  <c r="AU199" i="60"/>
  <c r="AT199" i="60"/>
  <c r="AV198" i="60"/>
  <c r="AU198" i="60"/>
  <c r="AT198" i="60"/>
  <c r="AV197" i="60"/>
  <c r="AU197" i="60"/>
  <c r="AT197" i="60"/>
  <c r="AV196" i="60"/>
  <c r="AU196" i="60"/>
  <c r="AT196" i="60"/>
  <c r="AV195" i="60"/>
  <c r="AU195" i="60"/>
  <c r="AT195" i="60"/>
  <c r="AV194" i="60"/>
  <c r="AU194" i="60"/>
  <c r="AT194" i="60"/>
  <c r="AV193" i="60"/>
  <c r="AU193" i="60"/>
  <c r="AT193" i="60"/>
  <c r="AV192" i="60"/>
  <c r="AU192" i="60"/>
  <c r="AT192" i="60"/>
  <c r="AV191" i="60"/>
  <c r="AU191" i="60"/>
  <c r="AT191" i="60"/>
  <c r="AV190" i="60"/>
  <c r="AU190" i="60"/>
  <c r="AT190" i="60"/>
  <c r="AV189" i="60"/>
  <c r="AU189" i="60"/>
  <c r="AT189" i="60"/>
  <c r="AV188" i="60"/>
  <c r="AU188" i="60"/>
  <c r="AT188" i="60"/>
  <c r="AV187" i="60"/>
  <c r="AU187" i="60"/>
  <c r="AT187" i="60"/>
  <c r="AV186" i="60"/>
  <c r="AU186" i="60"/>
  <c r="AT186" i="60"/>
  <c r="AV185" i="60"/>
  <c r="AU185" i="60"/>
  <c r="AT185" i="60"/>
  <c r="AV184" i="60"/>
  <c r="AU184" i="60"/>
  <c r="AT184" i="60"/>
  <c r="AV183" i="60"/>
  <c r="AU183" i="60"/>
  <c r="AT183" i="60"/>
  <c r="AV181" i="60"/>
  <c r="AU181" i="60"/>
  <c r="AT181" i="60"/>
  <c r="AV180" i="60"/>
  <c r="AU180" i="60"/>
  <c r="AT180" i="60"/>
  <c r="AV179" i="60"/>
  <c r="AU179" i="60"/>
  <c r="AT179" i="60"/>
  <c r="AV178" i="60"/>
  <c r="AU178" i="60"/>
  <c r="AT178" i="60"/>
  <c r="AV177" i="60"/>
  <c r="AU177" i="60"/>
  <c r="AT177" i="60"/>
  <c r="AV176" i="60"/>
  <c r="AU176" i="60"/>
  <c r="AT176" i="60"/>
  <c r="AV175" i="60"/>
  <c r="AU175" i="60"/>
  <c r="AT175" i="60"/>
  <c r="AV174" i="60"/>
  <c r="AU174" i="60"/>
  <c r="AT174" i="60"/>
  <c r="AV173" i="60"/>
  <c r="AU173" i="60"/>
  <c r="AT173" i="60"/>
  <c r="AV172" i="60"/>
  <c r="AU172" i="60"/>
  <c r="AT172" i="60"/>
  <c r="AV171" i="60"/>
  <c r="AU171" i="60"/>
  <c r="AT171" i="60"/>
  <c r="AV170" i="60"/>
  <c r="AU170" i="60"/>
  <c r="AT170" i="60"/>
  <c r="AV169" i="60"/>
  <c r="AU169" i="60"/>
  <c r="AT169" i="60"/>
  <c r="AV168" i="60"/>
  <c r="AU168" i="60"/>
  <c r="AT168" i="60"/>
  <c r="AV167" i="60"/>
  <c r="AU167" i="60"/>
  <c r="AT167" i="60"/>
  <c r="AV166" i="60"/>
  <c r="AU166" i="60"/>
  <c r="AT166" i="60"/>
  <c r="AV165" i="60"/>
  <c r="AU165" i="60"/>
  <c r="AT165" i="60"/>
  <c r="AV164" i="60"/>
  <c r="AU164" i="60"/>
  <c r="AT164" i="60"/>
  <c r="AV163" i="60"/>
  <c r="AU163" i="60"/>
  <c r="AT163" i="60"/>
  <c r="AV162" i="60"/>
  <c r="AU162" i="60"/>
  <c r="AT162" i="60"/>
  <c r="AV161" i="60"/>
  <c r="AU161" i="60"/>
  <c r="AT161" i="60"/>
  <c r="AV160" i="60"/>
  <c r="AU160" i="60"/>
  <c r="AT160" i="60"/>
  <c r="AV159" i="60"/>
  <c r="AU159" i="60"/>
  <c r="AT159" i="60"/>
  <c r="AV158" i="60"/>
  <c r="AU158" i="60"/>
  <c r="AT158" i="60"/>
  <c r="AV157" i="60"/>
  <c r="AU157" i="60"/>
  <c r="AT157" i="60"/>
  <c r="AV156" i="60"/>
  <c r="AU156" i="60"/>
  <c r="AT156" i="60"/>
  <c r="AV155" i="60"/>
  <c r="AU155" i="60"/>
  <c r="AT155" i="60"/>
  <c r="AV154" i="60"/>
  <c r="AU154" i="60"/>
  <c r="AT154" i="60"/>
  <c r="AV153" i="60"/>
  <c r="AU153" i="60"/>
  <c r="AT153" i="60"/>
  <c r="AV152" i="60"/>
  <c r="AU152" i="60"/>
  <c r="AT152" i="60"/>
  <c r="AV151" i="60"/>
  <c r="AU151" i="60"/>
  <c r="AT151" i="60"/>
  <c r="AV150" i="60"/>
  <c r="AU150" i="60"/>
  <c r="AT150" i="60"/>
  <c r="AV149" i="60"/>
  <c r="AU149" i="60"/>
  <c r="AT149" i="60"/>
  <c r="AV148" i="60"/>
  <c r="AU148" i="60"/>
  <c r="AT148" i="60"/>
  <c r="AV147" i="60"/>
  <c r="AU147" i="60"/>
  <c r="AT147" i="60"/>
  <c r="AV146" i="60"/>
  <c r="AU146" i="60"/>
  <c r="AT146" i="60"/>
  <c r="AV145" i="60"/>
  <c r="AU145" i="60"/>
  <c r="AT145" i="60"/>
  <c r="AV144" i="60"/>
  <c r="AU144" i="60"/>
  <c r="AT144" i="60"/>
  <c r="AV143" i="60"/>
  <c r="AU143" i="60"/>
  <c r="AT143" i="60"/>
  <c r="AV142" i="60"/>
  <c r="AU142" i="60"/>
  <c r="AT142" i="60"/>
  <c r="AV141" i="60"/>
  <c r="AU141" i="60"/>
  <c r="AT141" i="60"/>
  <c r="AV140" i="60"/>
  <c r="AU140" i="60"/>
  <c r="AT140" i="60"/>
  <c r="AV138" i="60"/>
  <c r="AU138" i="60"/>
  <c r="AT138" i="60"/>
  <c r="AV137" i="60"/>
  <c r="AU137" i="60"/>
  <c r="AT137" i="60"/>
  <c r="AV136" i="60"/>
  <c r="AU136" i="60"/>
  <c r="AT136" i="60"/>
  <c r="AV135" i="60"/>
  <c r="AU135" i="60"/>
  <c r="AT135" i="60"/>
  <c r="AV134" i="60"/>
  <c r="AU134" i="60"/>
  <c r="AT134" i="60"/>
  <c r="AV133" i="60"/>
  <c r="AU133" i="60"/>
  <c r="AT133" i="60"/>
  <c r="AV132" i="60"/>
  <c r="AU132" i="60"/>
  <c r="AT132" i="60"/>
  <c r="AV131" i="60"/>
  <c r="AU131" i="60"/>
  <c r="AT131" i="60"/>
  <c r="AV130" i="60"/>
  <c r="AU130" i="60"/>
  <c r="AT130" i="60"/>
  <c r="AV129" i="60"/>
  <c r="AU129" i="60"/>
  <c r="AT129" i="60"/>
  <c r="AV128" i="60"/>
  <c r="AU128" i="60"/>
  <c r="AT128" i="60"/>
  <c r="AV127" i="60"/>
  <c r="AU127" i="60"/>
  <c r="AT127" i="60"/>
  <c r="AV126" i="60"/>
  <c r="AU126" i="60"/>
  <c r="AT126" i="60"/>
  <c r="AV125" i="60"/>
  <c r="AU125" i="60"/>
  <c r="AT125" i="60"/>
  <c r="AV124" i="60"/>
  <c r="AU124" i="60"/>
  <c r="AT124" i="60"/>
  <c r="AV123" i="60"/>
  <c r="AU123" i="60"/>
  <c r="AT123" i="60"/>
  <c r="AV122" i="60"/>
  <c r="AU122" i="60"/>
  <c r="AT122" i="60"/>
  <c r="AV121" i="60"/>
  <c r="AU121" i="60"/>
  <c r="AT121" i="60"/>
  <c r="AV120" i="60"/>
  <c r="AU120" i="60"/>
  <c r="AT120" i="60"/>
  <c r="AV119" i="60"/>
  <c r="AU119" i="60"/>
  <c r="AT119" i="60"/>
  <c r="AV118" i="60"/>
  <c r="AU118" i="60"/>
  <c r="AT118" i="60"/>
  <c r="AV117" i="60"/>
  <c r="AU117" i="60"/>
  <c r="AT117" i="60"/>
  <c r="AV116" i="60"/>
  <c r="AU116" i="60"/>
  <c r="AT116" i="60"/>
  <c r="AV115" i="60"/>
  <c r="AU115" i="60"/>
  <c r="AT115" i="60"/>
  <c r="AV114" i="60"/>
  <c r="AU114" i="60"/>
  <c r="AT114" i="60"/>
  <c r="AV113" i="60"/>
  <c r="AU113" i="60"/>
  <c r="AT113" i="60"/>
  <c r="AV112" i="60"/>
  <c r="AU112" i="60"/>
  <c r="AT112" i="60"/>
  <c r="AV111" i="60"/>
  <c r="AU111" i="60"/>
  <c r="AT111" i="60"/>
  <c r="AV110" i="60"/>
  <c r="AU110" i="60"/>
  <c r="AT110" i="60"/>
  <c r="AV109" i="60"/>
  <c r="AU109" i="60"/>
  <c r="AT109" i="60"/>
  <c r="AV108" i="60"/>
  <c r="AU108" i="60"/>
  <c r="AT108" i="60"/>
  <c r="AV107" i="60"/>
  <c r="AU107" i="60"/>
  <c r="AT107" i="60"/>
  <c r="AV106" i="60"/>
  <c r="AU106" i="60"/>
  <c r="AT106" i="60"/>
  <c r="AV105" i="60"/>
  <c r="AU105" i="60"/>
  <c r="AT105" i="60"/>
  <c r="AV104" i="60"/>
  <c r="AU104" i="60"/>
  <c r="AT104" i="60"/>
  <c r="AV103" i="60"/>
  <c r="AU103" i="60"/>
  <c r="AT103" i="60"/>
  <c r="AV102" i="60"/>
  <c r="AU102" i="60"/>
  <c r="AT102" i="60"/>
  <c r="AV101" i="60"/>
  <c r="AU101" i="60"/>
  <c r="AT101" i="60"/>
  <c r="AV100" i="60"/>
  <c r="AU100" i="60"/>
  <c r="AT100" i="60"/>
  <c r="AV99" i="60"/>
  <c r="AU99" i="60"/>
  <c r="AT99" i="60"/>
  <c r="AV98" i="60"/>
  <c r="AU98" i="60"/>
  <c r="AT98" i="60"/>
  <c r="AV97" i="60"/>
  <c r="AU97" i="60"/>
  <c r="AT97" i="60"/>
  <c r="AV95" i="60"/>
  <c r="AU95" i="60"/>
  <c r="AT95" i="60"/>
  <c r="AV94" i="60"/>
  <c r="AU94" i="60"/>
  <c r="AT94" i="60"/>
  <c r="AV93" i="60"/>
  <c r="AU93" i="60"/>
  <c r="AT93" i="60"/>
  <c r="AV92" i="60"/>
  <c r="AU92" i="60"/>
  <c r="AT92" i="60"/>
  <c r="AV91" i="60"/>
  <c r="AU91" i="60"/>
  <c r="AT91" i="60"/>
  <c r="AV90" i="60"/>
  <c r="AU90" i="60"/>
  <c r="AT90" i="60"/>
  <c r="AV89" i="60"/>
  <c r="AU89" i="60"/>
  <c r="AT89" i="60"/>
  <c r="AV88" i="60"/>
  <c r="AU88" i="60"/>
  <c r="AT88" i="60"/>
  <c r="AV86" i="60"/>
  <c r="AU86" i="60"/>
  <c r="AT86" i="60"/>
  <c r="AV85" i="60"/>
  <c r="AU85" i="60"/>
  <c r="AT85" i="60"/>
  <c r="AV84" i="60"/>
  <c r="AU84" i="60"/>
  <c r="AT84" i="60"/>
  <c r="AV83" i="60"/>
  <c r="AU83" i="60"/>
  <c r="AT83" i="60"/>
  <c r="AV82" i="60"/>
  <c r="AU82" i="60"/>
  <c r="AT82" i="60"/>
  <c r="AV81" i="60"/>
  <c r="AU81" i="60"/>
  <c r="AT81" i="60"/>
  <c r="AV80" i="60"/>
  <c r="AU80" i="60"/>
  <c r="AT80" i="60"/>
  <c r="AV79" i="60"/>
  <c r="AU79" i="60"/>
  <c r="AT79" i="60"/>
  <c r="AV78" i="60"/>
  <c r="AU78" i="60"/>
  <c r="AT78" i="60"/>
  <c r="AV77" i="60"/>
  <c r="AU77" i="60"/>
  <c r="AT77" i="60"/>
  <c r="AV76" i="60"/>
  <c r="AU76" i="60"/>
  <c r="AT76" i="60"/>
  <c r="AV75" i="60"/>
  <c r="AU75" i="60"/>
  <c r="AT75" i="60"/>
  <c r="AV74" i="60"/>
  <c r="AU74" i="60"/>
  <c r="AT74" i="60"/>
  <c r="AV73" i="60"/>
  <c r="AU73" i="60"/>
  <c r="AT73" i="60"/>
  <c r="AV72" i="60"/>
  <c r="AU72" i="60"/>
  <c r="AT72" i="60"/>
  <c r="AV71" i="60"/>
  <c r="AU71" i="60"/>
  <c r="AT71" i="60"/>
  <c r="AV70" i="60"/>
  <c r="AU70" i="60"/>
  <c r="AT70" i="60"/>
  <c r="AV69" i="60"/>
  <c r="AU69" i="60"/>
  <c r="AT69" i="60"/>
  <c r="AV68" i="60"/>
  <c r="AU68" i="60"/>
  <c r="AT68" i="60"/>
  <c r="AV67" i="60"/>
  <c r="AU67" i="60"/>
  <c r="AT67" i="60"/>
  <c r="AV66" i="60"/>
  <c r="AU66" i="60"/>
  <c r="AT66" i="60"/>
  <c r="AV65" i="60"/>
  <c r="AU65" i="60"/>
  <c r="AT65" i="60"/>
  <c r="AV64" i="60"/>
  <c r="AU64" i="60"/>
  <c r="AT64" i="60"/>
  <c r="AV63" i="60"/>
  <c r="AU63" i="60"/>
  <c r="AT63" i="60"/>
  <c r="AV62" i="60"/>
  <c r="AU62" i="60"/>
  <c r="AT62" i="60"/>
  <c r="AV61" i="60"/>
  <c r="AU61" i="60"/>
  <c r="AT61" i="60"/>
  <c r="AV60" i="60"/>
  <c r="AU60" i="60"/>
  <c r="AT60" i="60"/>
  <c r="AV59" i="60"/>
  <c r="AU59" i="60"/>
  <c r="AT59" i="60"/>
  <c r="AV58" i="60"/>
  <c r="AU58" i="60"/>
  <c r="AT58" i="60"/>
  <c r="AV57" i="60"/>
  <c r="AU57" i="60"/>
  <c r="AT57" i="60"/>
  <c r="AV56" i="60"/>
  <c r="AU56" i="60"/>
  <c r="AT56" i="60"/>
  <c r="AV55" i="60"/>
  <c r="AU55" i="60"/>
  <c r="AT55" i="60"/>
  <c r="AV54" i="60"/>
  <c r="AU54" i="60"/>
  <c r="AT54" i="60"/>
  <c r="AV53" i="60"/>
  <c r="AU53" i="60"/>
  <c r="AT53" i="60"/>
  <c r="AV52" i="60"/>
  <c r="AU52" i="60"/>
  <c r="AT52" i="60"/>
  <c r="AV51" i="60"/>
  <c r="AU51" i="60"/>
  <c r="AT51" i="60"/>
  <c r="AV50" i="60"/>
  <c r="AU50" i="60"/>
  <c r="AT50" i="60"/>
  <c r="AV49" i="60"/>
  <c r="AU49" i="60"/>
  <c r="AT49" i="60"/>
  <c r="AV48" i="60"/>
  <c r="AU48" i="60"/>
  <c r="AT48" i="60"/>
  <c r="AV47" i="60"/>
  <c r="AU47" i="60"/>
  <c r="AT47" i="60"/>
  <c r="AV46" i="60"/>
  <c r="AU46" i="60"/>
  <c r="AT46" i="60"/>
  <c r="AV44" i="60"/>
  <c r="AU44" i="60"/>
  <c r="AT44" i="60"/>
  <c r="AV43" i="60"/>
  <c r="AU43" i="60"/>
  <c r="AT43" i="60"/>
  <c r="AV42" i="60"/>
  <c r="AU42" i="60"/>
  <c r="AT42" i="60"/>
  <c r="AV41" i="60"/>
  <c r="AU41" i="60"/>
  <c r="AT41" i="60"/>
  <c r="AV40" i="60"/>
  <c r="AU40" i="60"/>
  <c r="AT40" i="60"/>
  <c r="AV39" i="60"/>
  <c r="AU39" i="60"/>
  <c r="AT39" i="60"/>
  <c r="AV24" i="60"/>
  <c r="AU24" i="60"/>
  <c r="AT24" i="60"/>
  <c r="AV23" i="60"/>
  <c r="AU23" i="60"/>
  <c r="AT23" i="60"/>
  <c r="AP550" i="60"/>
  <c r="AO550" i="60"/>
  <c r="AN550" i="60"/>
  <c r="AP549" i="60"/>
  <c r="AO549" i="60"/>
  <c r="AN549" i="60"/>
  <c r="AP548" i="60"/>
  <c r="AO548" i="60"/>
  <c r="AN548" i="60"/>
  <c r="AP547" i="60"/>
  <c r="AO547" i="60"/>
  <c r="AN547" i="60"/>
  <c r="AP546" i="60"/>
  <c r="AO546" i="60"/>
  <c r="AN546" i="60"/>
  <c r="AP545" i="60"/>
  <c r="AO545" i="60"/>
  <c r="AN545" i="60"/>
  <c r="AP544" i="60"/>
  <c r="AO544" i="60"/>
  <c r="AN544" i="60"/>
  <c r="AP543" i="60"/>
  <c r="AO543" i="60"/>
  <c r="AN543" i="60"/>
  <c r="AP542" i="60"/>
  <c r="AO542" i="60"/>
  <c r="AN542" i="60"/>
  <c r="AP541" i="60"/>
  <c r="AO541" i="60"/>
  <c r="AN541" i="60"/>
  <c r="AP540" i="60"/>
  <c r="AO540" i="60"/>
  <c r="AN540" i="60"/>
  <c r="AP539" i="60"/>
  <c r="AO539" i="60"/>
  <c r="AN539" i="60"/>
  <c r="AP538" i="60"/>
  <c r="AO538" i="60"/>
  <c r="AN538" i="60"/>
  <c r="AP537" i="60"/>
  <c r="AO537" i="60"/>
  <c r="AN537" i="60"/>
  <c r="AP536" i="60"/>
  <c r="AO536" i="60"/>
  <c r="AN536" i="60"/>
  <c r="AP535" i="60"/>
  <c r="AO535" i="60"/>
  <c r="AN535" i="60"/>
  <c r="AP534" i="60"/>
  <c r="AO534" i="60"/>
  <c r="AN534" i="60"/>
  <c r="AP533" i="60"/>
  <c r="AO533" i="60"/>
  <c r="AN533" i="60"/>
  <c r="AP532" i="60"/>
  <c r="AO532" i="60"/>
  <c r="AN532" i="60"/>
  <c r="AP531" i="60"/>
  <c r="AO531" i="60"/>
  <c r="AN531" i="60"/>
  <c r="AP530" i="60"/>
  <c r="AO530" i="60"/>
  <c r="AN530" i="60"/>
  <c r="AP529" i="60"/>
  <c r="AO529" i="60"/>
  <c r="AN529" i="60"/>
  <c r="AP528" i="60"/>
  <c r="AO528" i="60"/>
  <c r="AN528" i="60"/>
  <c r="AP527" i="60"/>
  <c r="AO527" i="60"/>
  <c r="AN527" i="60"/>
  <c r="AP526" i="60"/>
  <c r="AO526" i="60"/>
  <c r="AN526" i="60"/>
  <c r="AP525" i="60"/>
  <c r="AO525" i="60"/>
  <c r="AN525" i="60"/>
  <c r="AP524" i="60"/>
  <c r="AO524" i="60"/>
  <c r="AN524" i="60"/>
  <c r="AP523" i="60"/>
  <c r="AO523" i="60"/>
  <c r="AN523" i="60"/>
  <c r="AP522" i="60"/>
  <c r="AO522" i="60"/>
  <c r="AN522" i="60"/>
  <c r="AP521" i="60"/>
  <c r="AO521" i="60"/>
  <c r="AN521" i="60"/>
  <c r="AP520" i="60"/>
  <c r="AO520" i="60"/>
  <c r="AN520" i="60"/>
  <c r="AP519" i="60"/>
  <c r="AO519" i="60"/>
  <c r="AN519" i="60"/>
  <c r="AP518" i="60"/>
  <c r="AO518" i="60"/>
  <c r="AN518" i="60"/>
  <c r="AP517" i="60"/>
  <c r="AO517" i="60"/>
  <c r="AN517" i="60"/>
  <c r="AP516" i="60"/>
  <c r="AO516" i="60"/>
  <c r="AN516" i="60"/>
  <c r="AP515" i="60"/>
  <c r="AO515" i="60"/>
  <c r="AN515" i="60"/>
  <c r="AP514" i="60"/>
  <c r="AO514" i="60"/>
  <c r="AN514" i="60"/>
  <c r="AP513" i="60"/>
  <c r="AO513" i="60"/>
  <c r="AN513" i="60"/>
  <c r="AP512" i="60"/>
  <c r="AO512" i="60"/>
  <c r="AN512" i="60"/>
  <c r="AP511" i="60"/>
  <c r="AO511" i="60"/>
  <c r="AN511" i="60"/>
  <c r="AP510" i="60"/>
  <c r="AO510" i="60"/>
  <c r="AN510" i="60"/>
  <c r="AP509" i="60"/>
  <c r="AO509" i="60"/>
  <c r="AN509" i="60"/>
  <c r="AP508" i="60"/>
  <c r="AO508" i="60"/>
  <c r="AN508" i="60"/>
  <c r="AP507" i="60"/>
  <c r="AO507" i="60"/>
  <c r="AN507" i="60"/>
  <c r="AP506" i="60"/>
  <c r="AO506" i="60"/>
  <c r="AN506" i="60"/>
  <c r="AP505" i="60"/>
  <c r="AO505" i="60"/>
  <c r="AN505" i="60"/>
  <c r="AP504" i="60"/>
  <c r="AO504" i="60"/>
  <c r="AN504" i="60"/>
  <c r="AP503" i="60"/>
  <c r="AO503" i="60"/>
  <c r="AN503" i="60"/>
  <c r="AP502" i="60"/>
  <c r="AO502" i="60"/>
  <c r="AN502" i="60"/>
  <c r="AP501" i="60"/>
  <c r="AO501" i="60"/>
  <c r="AN501" i="60"/>
  <c r="AP500" i="60"/>
  <c r="AO500" i="60"/>
  <c r="AN500" i="60"/>
  <c r="AP499" i="60"/>
  <c r="AO499" i="60"/>
  <c r="AN499" i="60"/>
  <c r="AP498" i="60"/>
  <c r="AO498" i="60"/>
  <c r="AN498" i="60"/>
  <c r="AP497" i="60"/>
  <c r="AO497" i="60"/>
  <c r="AN497" i="60"/>
  <c r="AP496" i="60"/>
  <c r="AO496" i="60"/>
  <c r="AN496" i="60"/>
  <c r="AP495" i="60"/>
  <c r="AO495" i="60"/>
  <c r="AN495" i="60"/>
  <c r="AP494" i="60"/>
  <c r="AO494" i="60"/>
  <c r="AN494" i="60"/>
  <c r="AP493" i="60"/>
  <c r="AO493" i="60"/>
  <c r="AN493" i="60"/>
  <c r="AP492" i="60"/>
  <c r="AO492" i="60"/>
  <c r="AN492" i="60"/>
  <c r="AP491" i="60"/>
  <c r="AO491" i="60"/>
  <c r="AN491" i="60"/>
  <c r="AP490" i="60"/>
  <c r="AO490" i="60"/>
  <c r="AN490" i="60"/>
  <c r="AP489" i="60"/>
  <c r="AO489" i="60"/>
  <c r="AN489" i="60"/>
  <c r="AP488" i="60"/>
  <c r="AO488" i="60"/>
  <c r="AN488" i="60"/>
  <c r="AP487" i="60"/>
  <c r="AO487" i="60"/>
  <c r="AN487" i="60"/>
  <c r="AP486" i="60"/>
  <c r="AO486" i="60"/>
  <c r="AN486" i="60"/>
  <c r="AP485" i="60"/>
  <c r="AO485" i="60"/>
  <c r="AN485" i="60"/>
  <c r="AP484" i="60"/>
  <c r="AO484" i="60"/>
  <c r="AN484" i="60"/>
  <c r="AP483" i="60"/>
  <c r="AO483" i="60"/>
  <c r="AN483" i="60"/>
  <c r="AP482" i="60"/>
  <c r="AO482" i="60"/>
  <c r="AN482" i="60"/>
  <c r="AP481" i="60"/>
  <c r="AO481" i="60"/>
  <c r="AN481" i="60"/>
  <c r="AP480" i="60"/>
  <c r="AO480" i="60"/>
  <c r="AN480" i="60"/>
  <c r="AP479" i="60"/>
  <c r="AO479" i="60"/>
  <c r="AN479" i="60"/>
  <c r="AP478" i="60"/>
  <c r="AO478" i="60"/>
  <c r="AN478" i="60"/>
  <c r="AP477" i="60"/>
  <c r="AO477" i="60"/>
  <c r="AN477" i="60"/>
  <c r="AP476" i="60"/>
  <c r="AO476" i="60"/>
  <c r="AN476" i="60"/>
  <c r="AP475" i="60"/>
  <c r="AO475" i="60"/>
  <c r="AN475" i="60"/>
  <c r="AP474" i="60"/>
  <c r="AO474" i="60"/>
  <c r="AN474" i="60"/>
  <c r="AP473" i="60"/>
  <c r="AO473" i="60"/>
  <c r="AN473" i="60"/>
  <c r="AP472" i="60"/>
  <c r="AO472" i="60"/>
  <c r="AN472" i="60"/>
  <c r="AP471" i="60"/>
  <c r="AO471" i="60"/>
  <c r="AN471" i="60"/>
  <c r="AP470" i="60"/>
  <c r="AO470" i="60"/>
  <c r="AN470" i="60"/>
  <c r="AP469" i="60"/>
  <c r="AO469" i="60"/>
  <c r="AN469" i="60"/>
  <c r="AP468" i="60"/>
  <c r="AO468" i="60"/>
  <c r="AN468" i="60"/>
  <c r="AP467" i="60"/>
  <c r="AO467" i="60"/>
  <c r="AN467" i="60"/>
  <c r="AP466" i="60"/>
  <c r="AO466" i="60"/>
  <c r="AN466" i="60"/>
  <c r="AP465" i="60"/>
  <c r="AO465" i="60"/>
  <c r="AN465" i="60"/>
  <c r="AP464" i="60"/>
  <c r="AO464" i="60"/>
  <c r="AN464" i="60"/>
  <c r="AP463" i="60"/>
  <c r="AO463" i="60"/>
  <c r="AN463" i="60"/>
  <c r="AP462" i="60"/>
  <c r="AO462" i="60"/>
  <c r="AN462" i="60"/>
  <c r="AP461" i="60"/>
  <c r="AO461" i="60"/>
  <c r="AN461" i="60"/>
  <c r="AP460" i="60"/>
  <c r="AO460" i="60"/>
  <c r="AN460" i="60"/>
  <c r="AP459" i="60"/>
  <c r="AO459" i="60"/>
  <c r="AN459" i="60"/>
  <c r="AP458" i="60"/>
  <c r="AO458" i="60"/>
  <c r="AN458" i="60"/>
  <c r="AP457" i="60"/>
  <c r="AO457" i="60"/>
  <c r="AN457" i="60"/>
  <c r="AP456" i="60"/>
  <c r="AO456" i="60"/>
  <c r="AN456" i="60"/>
  <c r="AP455" i="60"/>
  <c r="AO455" i="60"/>
  <c r="AN455" i="60"/>
  <c r="AP454" i="60"/>
  <c r="AO454" i="60"/>
  <c r="AN454" i="60"/>
  <c r="AP453" i="60"/>
  <c r="AO453" i="60"/>
  <c r="AN453" i="60"/>
  <c r="AP452" i="60"/>
  <c r="AO452" i="60"/>
  <c r="AN452" i="60"/>
  <c r="AP451" i="60"/>
  <c r="AO451" i="60"/>
  <c r="AN451" i="60"/>
  <c r="AP450" i="60"/>
  <c r="AO450" i="60"/>
  <c r="AN450" i="60"/>
  <c r="AP449" i="60"/>
  <c r="AO449" i="60"/>
  <c r="AN449" i="60"/>
  <c r="AP448" i="60"/>
  <c r="AO448" i="60"/>
  <c r="AN448" i="60"/>
  <c r="AP447" i="60"/>
  <c r="AO447" i="60"/>
  <c r="AN447" i="60"/>
  <c r="AP446" i="60"/>
  <c r="AO446" i="60"/>
  <c r="AN446" i="60"/>
  <c r="AP445" i="60"/>
  <c r="AO445" i="60"/>
  <c r="AN445" i="60"/>
  <c r="AP444" i="60"/>
  <c r="AO444" i="60"/>
  <c r="AN444" i="60"/>
  <c r="AP443" i="60"/>
  <c r="AO443" i="60"/>
  <c r="AN443" i="60"/>
  <c r="AP442" i="60"/>
  <c r="AO442" i="60"/>
  <c r="AN442" i="60"/>
  <c r="AP441" i="60"/>
  <c r="AO441" i="60"/>
  <c r="AN441" i="60"/>
  <c r="AP440" i="60"/>
  <c r="AO440" i="60"/>
  <c r="AN440" i="60"/>
  <c r="AP439" i="60"/>
  <c r="AO439" i="60"/>
  <c r="AN439" i="60"/>
  <c r="AP438" i="60"/>
  <c r="AO438" i="60"/>
  <c r="AN438" i="60"/>
  <c r="AP437" i="60"/>
  <c r="AO437" i="60"/>
  <c r="AN437" i="60"/>
  <c r="AP436" i="60"/>
  <c r="AO436" i="60"/>
  <c r="AN436" i="60"/>
  <c r="AP435" i="60"/>
  <c r="AO435" i="60"/>
  <c r="AN435" i="60"/>
  <c r="AP434" i="60"/>
  <c r="AO434" i="60"/>
  <c r="AN434" i="60"/>
  <c r="AP433" i="60"/>
  <c r="AO433" i="60"/>
  <c r="AN433" i="60"/>
  <c r="AP432" i="60"/>
  <c r="AO432" i="60"/>
  <c r="AN432" i="60"/>
  <c r="AP431" i="60"/>
  <c r="AO431" i="60"/>
  <c r="AN431" i="60"/>
  <c r="AP430" i="60"/>
  <c r="AO430" i="60"/>
  <c r="AN430" i="60"/>
  <c r="AP429" i="60"/>
  <c r="AO429" i="60"/>
  <c r="AN429" i="60"/>
  <c r="AP428" i="60"/>
  <c r="AO428" i="60"/>
  <c r="AN428" i="60"/>
  <c r="AP427" i="60"/>
  <c r="AO427" i="60"/>
  <c r="AN427" i="60"/>
  <c r="AP426" i="60"/>
  <c r="AO426" i="60"/>
  <c r="AN426" i="60"/>
  <c r="AP425" i="60"/>
  <c r="AO425" i="60"/>
  <c r="AN425" i="60"/>
  <c r="AP424" i="60"/>
  <c r="AO424" i="60"/>
  <c r="AN424" i="60"/>
  <c r="AP423" i="60"/>
  <c r="AO423" i="60"/>
  <c r="AN423" i="60"/>
  <c r="AP422" i="60"/>
  <c r="AO422" i="60"/>
  <c r="AN422" i="60"/>
  <c r="AP421" i="60"/>
  <c r="AO421" i="60"/>
  <c r="AN421" i="60"/>
  <c r="AP420" i="60"/>
  <c r="AO420" i="60"/>
  <c r="AN420" i="60"/>
  <c r="AP419" i="60"/>
  <c r="AO419" i="60"/>
  <c r="AN419" i="60"/>
  <c r="AP418" i="60"/>
  <c r="AO418" i="60"/>
  <c r="AN418" i="60"/>
  <c r="AP417" i="60"/>
  <c r="AO417" i="60"/>
  <c r="AN417" i="60"/>
  <c r="AP416" i="60"/>
  <c r="AO416" i="60"/>
  <c r="AN416" i="60"/>
  <c r="AP415" i="60"/>
  <c r="AO415" i="60"/>
  <c r="AN415" i="60"/>
  <c r="AP414" i="60"/>
  <c r="AO414" i="60"/>
  <c r="AN414" i="60"/>
  <c r="AP413" i="60"/>
  <c r="AO413" i="60"/>
  <c r="AN413" i="60"/>
  <c r="AP412" i="60"/>
  <c r="AO412" i="60"/>
  <c r="AN412" i="60"/>
  <c r="AP411" i="60"/>
  <c r="AO411" i="60"/>
  <c r="AN411" i="60"/>
  <c r="AP410" i="60"/>
  <c r="AO410" i="60"/>
  <c r="AN410" i="60"/>
  <c r="AP409" i="60"/>
  <c r="AO409" i="60"/>
  <c r="AN409" i="60"/>
  <c r="AP408" i="60"/>
  <c r="AO408" i="60"/>
  <c r="AN408" i="60"/>
  <c r="AP407" i="60"/>
  <c r="AO407" i="60"/>
  <c r="AN407" i="60"/>
  <c r="AP406" i="60"/>
  <c r="AO406" i="60"/>
  <c r="AN406" i="60"/>
  <c r="AP405" i="60"/>
  <c r="AO405" i="60"/>
  <c r="AN405" i="60"/>
  <c r="AP404" i="60"/>
  <c r="AO404" i="60"/>
  <c r="AN404" i="60"/>
  <c r="AP403" i="60"/>
  <c r="AO403" i="60"/>
  <c r="AN403" i="60"/>
  <c r="AP402" i="60"/>
  <c r="AO402" i="60"/>
  <c r="AN402" i="60"/>
  <c r="AP401" i="60"/>
  <c r="AO401" i="60"/>
  <c r="AN401" i="60"/>
  <c r="AP400" i="60"/>
  <c r="AO400" i="60"/>
  <c r="AN400" i="60"/>
  <c r="AP399" i="60"/>
  <c r="AO399" i="60"/>
  <c r="AN399" i="60"/>
  <c r="AP398" i="60"/>
  <c r="AO398" i="60"/>
  <c r="AN398" i="60"/>
  <c r="AP397" i="60"/>
  <c r="AO397" i="60"/>
  <c r="AN397" i="60"/>
  <c r="AP396" i="60"/>
  <c r="AO396" i="60"/>
  <c r="AN396" i="60"/>
  <c r="AP395" i="60"/>
  <c r="AO395" i="60"/>
  <c r="AN395" i="60"/>
  <c r="AP394" i="60"/>
  <c r="AO394" i="60"/>
  <c r="AN394" i="60"/>
  <c r="AP393" i="60"/>
  <c r="AO393" i="60"/>
  <c r="AN393" i="60"/>
  <c r="AP392" i="60"/>
  <c r="AO392" i="60"/>
  <c r="AN392" i="60"/>
  <c r="AP391" i="60"/>
  <c r="AO391" i="60"/>
  <c r="AN391" i="60"/>
  <c r="AP390" i="60"/>
  <c r="AO390" i="60"/>
  <c r="AN390" i="60"/>
  <c r="AP389" i="60"/>
  <c r="AO389" i="60"/>
  <c r="AN389" i="60"/>
  <c r="AP388" i="60"/>
  <c r="AO388" i="60"/>
  <c r="AN388" i="60"/>
  <c r="AP387" i="60"/>
  <c r="AO387" i="60"/>
  <c r="AN387" i="60"/>
  <c r="AP386" i="60"/>
  <c r="AO386" i="60"/>
  <c r="AN386" i="60"/>
  <c r="AP385" i="60"/>
  <c r="AO385" i="60"/>
  <c r="AN385" i="60"/>
  <c r="AP384" i="60"/>
  <c r="AO384" i="60"/>
  <c r="AN384" i="60"/>
  <c r="AP383" i="60"/>
  <c r="AO383" i="60"/>
  <c r="AN383" i="60"/>
  <c r="AP382" i="60"/>
  <c r="AO382" i="60"/>
  <c r="AN382" i="60"/>
  <c r="AP381" i="60"/>
  <c r="AO381" i="60"/>
  <c r="AN381" i="60"/>
  <c r="AP380" i="60"/>
  <c r="AO380" i="60"/>
  <c r="AN380" i="60"/>
  <c r="AP379" i="60"/>
  <c r="AO379" i="60"/>
  <c r="AN379" i="60"/>
  <c r="AP378" i="60"/>
  <c r="AO378" i="60"/>
  <c r="AN378" i="60"/>
  <c r="AP377" i="60"/>
  <c r="AO377" i="60"/>
  <c r="AN377" i="60"/>
  <c r="AP376" i="60"/>
  <c r="AO376" i="60"/>
  <c r="AN376" i="60"/>
  <c r="AP375" i="60"/>
  <c r="AO375" i="60"/>
  <c r="AN375" i="60"/>
  <c r="AP374" i="60"/>
  <c r="AO374" i="60"/>
  <c r="AN374" i="60"/>
  <c r="AP373" i="60"/>
  <c r="AO373" i="60"/>
  <c r="AN373" i="60"/>
  <c r="AP372" i="60"/>
  <c r="AO372" i="60"/>
  <c r="AN372" i="60"/>
  <c r="AP371" i="60"/>
  <c r="AO371" i="60"/>
  <c r="AN371" i="60"/>
  <c r="AP370" i="60"/>
  <c r="AO370" i="60"/>
  <c r="AN370" i="60"/>
  <c r="AP369" i="60"/>
  <c r="AO369" i="60"/>
  <c r="AN369" i="60"/>
  <c r="AP368" i="60"/>
  <c r="AO368" i="60"/>
  <c r="AN368" i="60"/>
  <c r="AP367" i="60"/>
  <c r="AO367" i="60"/>
  <c r="AN367" i="60"/>
  <c r="AP366" i="60"/>
  <c r="AO366" i="60"/>
  <c r="AN366" i="60"/>
  <c r="AP365" i="60"/>
  <c r="AO365" i="60"/>
  <c r="AN365" i="60"/>
  <c r="AP364" i="60"/>
  <c r="AO364" i="60"/>
  <c r="AN364" i="60"/>
  <c r="AP363" i="60"/>
  <c r="AO363" i="60"/>
  <c r="AN363" i="60"/>
  <c r="AP362" i="60"/>
  <c r="AO362" i="60"/>
  <c r="AN362" i="60"/>
  <c r="AP361" i="60"/>
  <c r="AO361" i="60"/>
  <c r="AN361" i="60"/>
  <c r="AP360" i="60"/>
  <c r="AO360" i="60"/>
  <c r="AN360" i="60"/>
  <c r="AP359" i="60"/>
  <c r="AO359" i="60"/>
  <c r="AN359" i="60"/>
  <c r="AP358" i="60"/>
  <c r="AO358" i="60"/>
  <c r="AN358" i="60"/>
  <c r="AP357" i="60"/>
  <c r="AO357" i="60"/>
  <c r="AN357" i="60"/>
  <c r="AP356" i="60"/>
  <c r="AO356" i="60"/>
  <c r="AN356" i="60"/>
  <c r="AP355" i="60"/>
  <c r="AO355" i="60"/>
  <c r="AN355" i="60"/>
  <c r="AP354" i="60"/>
  <c r="AO354" i="60"/>
  <c r="AN354" i="60"/>
  <c r="AP353" i="60"/>
  <c r="AO353" i="60"/>
  <c r="AN353" i="60"/>
  <c r="AP352" i="60"/>
  <c r="AO352" i="60"/>
  <c r="AN352" i="60"/>
  <c r="AP351" i="60"/>
  <c r="AO351" i="60"/>
  <c r="AN351" i="60"/>
  <c r="AP350" i="60"/>
  <c r="AO350" i="60"/>
  <c r="AN350" i="60"/>
  <c r="AP349" i="60"/>
  <c r="AO349" i="60"/>
  <c r="AN349" i="60"/>
  <c r="AP348" i="60"/>
  <c r="AO348" i="60"/>
  <c r="AN348" i="60"/>
  <c r="AP347" i="60"/>
  <c r="AO347" i="60"/>
  <c r="AN347" i="60"/>
  <c r="AP346" i="60"/>
  <c r="AO346" i="60"/>
  <c r="AN346" i="60"/>
  <c r="AP345" i="60"/>
  <c r="AO345" i="60"/>
  <c r="AN345" i="60"/>
  <c r="AP344" i="60"/>
  <c r="AO344" i="60"/>
  <c r="AN344" i="60"/>
  <c r="AP343" i="60"/>
  <c r="AO343" i="60"/>
  <c r="AN343" i="60"/>
  <c r="AP342" i="60"/>
  <c r="AO342" i="60"/>
  <c r="AN342" i="60"/>
  <c r="AP341" i="60"/>
  <c r="AO341" i="60"/>
  <c r="AN341" i="60"/>
  <c r="AP340" i="60"/>
  <c r="AO340" i="60"/>
  <c r="AN340" i="60"/>
  <c r="AP339" i="60"/>
  <c r="AO339" i="60"/>
  <c r="AN339" i="60"/>
  <c r="AP338" i="60"/>
  <c r="AO338" i="60"/>
  <c r="AN338" i="60"/>
  <c r="AP337" i="60"/>
  <c r="AO337" i="60"/>
  <c r="AN337" i="60"/>
  <c r="AP336" i="60"/>
  <c r="AO336" i="60"/>
  <c r="AN336" i="60"/>
  <c r="AP335" i="60"/>
  <c r="AO335" i="60"/>
  <c r="AN335" i="60"/>
  <c r="AP334" i="60"/>
  <c r="AO334" i="60"/>
  <c r="AN334" i="60"/>
  <c r="AP333" i="60"/>
  <c r="AO333" i="60"/>
  <c r="AN333" i="60"/>
  <c r="AP332" i="60"/>
  <c r="AO332" i="60"/>
  <c r="AN332" i="60"/>
  <c r="AP331" i="60"/>
  <c r="AO331" i="60"/>
  <c r="AN331" i="60"/>
  <c r="AP330" i="60"/>
  <c r="AO330" i="60"/>
  <c r="AN330" i="60"/>
  <c r="AP329" i="60"/>
  <c r="AO329" i="60"/>
  <c r="AN329" i="60"/>
  <c r="AP328" i="60"/>
  <c r="AO328" i="60"/>
  <c r="AN328" i="60"/>
  <c r="AP327" i="60"/>
  <c r="AO327" i="60"/>
  <c r="AN327" i="60"/>
  <c r="AP326" i="60"/>
  <c r="AO326" i="60"/>
  <c r="AN326" i="60"/>
  <c r="AP325" i="60"/>
  <c r="AO325" i="60"/>
  <c r="AN325" i="60"/>
  <c r="AP324" i="60"/>
  <c r="AO324" i="60"/>
  <c r="AN324" i="60"/>
  <c r="AP323" i="60"/>
  <c r="AO323" i="60"/>
  <c r="AN323" i="60"/>
  <c r="AP322" i="60"/>
  <c r="AO322" i="60"/>
  <c r="AN322" i="60"/>
  <c r="AP321" i="60"/>
  <c r="AO321" i="60"/>
  <c r="AN321" i="60"/>
  <c r="AP320" i="60"/>
  <c r="AO320" i="60"/>
  <c r="AN320" i="60"/>
  <c r="AP319" i="60"/>
  <c r="AO319" i="60"/>
  <c r="AN319" i="60"/>
  <c r="AP318" i="60"/>
  <c r="AO318" i="60"/>
  <c r="AN318" i="60"/>
  <c r="AP317" i="60"/>
  <c r="AO317" i="60"/>
  <c r="AN317" i="60"/>
  <c r="AP316" i="60"/>
  <c r="AO316" i="60"/>
  <c r="AN316" i="60"/>
  <c r="AP315" i="60"/>
  <c r="AO315" i="60"/>
  <c r="AN315" i="60"/>
  <c r="AP314" i="60"/>
  <c r="AO314" i="60"/>
  <c r="AN314" i="60"/>
  <c r="AP313" i="60"/>
  <c r="AO313" i="60"/>
  <c r="AN313" i="60"/>
  <c r="AP312" i="60"/>
  <c r="AO312" i="60"/>
  <c r="AN312" i="60"/>
  <c r="AP311" i="60"/>
  <c r="AO311" i="60"/>
  <c r="AN311" i="60"/>
  <c r="AP310" i="60"/>
  <c r="AO310" i="60"/>
  <c r="AN310" i="60"/>
  <c r="AP309" i="60"/>
  <c r="AO309" i="60"/>
  <c r="AN309" i="60"/>
  <c r="AP308" i="60"/>
  <c r="AO308" i="60"/>
  <c r="AN308" i="60"/>
  <c r="AP307" i="60"/>
  <c r="AO307" i="60"/>
  <c r="AN307" i="60"/>
  <c r="AP306" i="60"/>
  <c r="AO306" i="60"/>
  <c r="AN306" i="60"/>
  <c r="AP305" i="60"/>
  <c r="AO305" i="60"/>
  <c r="AN305" i="60"/>
  <c r="AP304" i="60"/>
  <c r="AO304" i="60"/>
  <c r="AN304" i="60"/>
  <c r="AP303" i="60"/>
  <c r="AO303" i="60"/>
  <c r="AN303" i="60"/>
  <c r="AP302" i="60"/>
  <c r="AO302" i="60"/>
  <c r="AN302" i="60"/>
  <c r="AP301" i="60"/>
  <c r="AO301" i="60"/>
  <c r="AN301" i="60"/>
  <c r="AP300" i="60"/>
  <c r="AO300" i="60"/>
  <c r="AN300" i="60"/>
  <c r="AP299" i="60"/>
  <c r="AO299" i="60"/>
  <c r="AN299" i="60"/>
  <c r="AP298" i="60"/>
  <c r="AO298" i="60"/>
  <c r="AN298" i="60"/>
  <c r="AP297" i="60"/>
  <c r="AO297" i="60"/>
  <c r="AN297" i="60"/>
  <c r="AP296" i="60"/>
  <c r="AO296" i="60"/>
  <c r="AN296" i="60"/>
  <c r="AP295" i="60"/>
  <c r="AO295" i="60"/>
  <c r="AN295" i="60"/>
  <c r="AP294" i="60"/>
  <c r="AO294" i="60"/>
  <c r="AN294" i="60"/>
  <c r="AP293" i="60"/>
  <c r="AO293" i="60"/>
  <c r="AN293" i="60"/>
  <c r="AP292" i="60"/>
  <c r="AO292" i="60"/>
  <c r="AN292" i="60"/>
  <c r="AP291" i="60"/>
  <c r="AO291" i="60"/>
  <c r="AN291" i="60"/>
  <c r="AP290" i="60"/>
  <c r="AO290" i="60"/>
  <c r="AN290" i="60"/>
  <c r="AP289" i="60"/>
  <c r="AO289" i="60"/>
  <c r="AN289" i="60"/>
  <c r="AP288" i="60"/>
  <c r="AO288" i="60"/>
  <c r="AN288" i="60"/>
  <c r="AP287" i="60"/>
  <c r="AO287" i="60"/>
  <c r="AN287" i="60"/>
  <c r="AP286" i="60"/>
  <c r="AO286" i="60"/>
  <c r="AN286" i="60"/>
  <c r="AP285" i="60"/>
  <c r="AO285" i="60"/>
  <c r="AN285" i="60"/>
  <c r="AP284" i="60"/>
  <c r="AO284" i="60"/>
  <c r="AN284" i="60"/>
  <c r="AP283" i="60"/>
  <c r="AO283" i="60"/>
  <c r="AN283" i="60"/>
  <c r="AP282" i="60"/>
  <c r="AO282" i="60"/>
  <c r="AN282" i="60"/>
  <c r="AP281" i="60"/>
  <c r="AO281" i="60"/>
  <c r="AN281" i="60"/>
  <c r="AP280" i="60"/>
  <c r="AO280" i="60"/>
  <c r="AN280" i="60"/>
  <c r="AP279" i="60"/>
  <c r="AO279" i="60"/>
  <c r="AN279" i="60"/>
  <c r="AP278" i="60"/>
  <c r="AO278" i="60"/>
  <c r="AN278" i="60"/>
  <c r="AP277" i="60"/>
  <c r="AO277" i="60"/>
  <c r="AN277" i="60"/>
  <c r="AP276" i="60"/>
  <c r="AO276" i="60"/>
  <c r="AN276" i="60"/>
  <c r="AP275" i="60"/>
  <c r="AO275" i="60"/>
  <c r="AN275" i="60"/>
  <c r="AP274" i="60"/>
  <c r="AO274" i="60"/>
  <c r="AN274" i="60"/>
  <c r="AP273" i="60"/>
  <c r="AO273" i="60"/>
  <c r="AN273" i="60"/>
  <c r="AP272" i="60"/>
  <c r="AO272" i="60"/>
  <c r="AN272" i="60"/>
  <c r="AP271" i="60"/>
  <c r="AO271" i="60"/>
  <c r="AN271" i="60"/>
  <c r="AP270" i="60"/>
  <c r="AO270" i="60"/>
  <c r="AN270" i="60"/>
  <c r="AP269" i="60"/>
  <c r="AO269" i="60"/>
  <c r="AN269" i="60"/>
  <c r="AP268" i="60"/>
  <c r="AO268" i="60"/>
  <c r="AN268" i="60"/>
  <c r="AP267" i="60"/>
  <c r="AO267" i="60"/>
  <c r="AN267" i="60"/>
  <c r="AP266" i="60"/>
  <c r="AO266" i="60"/>
  <c r="AN266" i="60"/>
  <c r="AP265" i="60"/>
  <c r="AO265" i="60"/>
  <c r="AN265" i="60"/>
  <c r="AP264" i="60"/>
  <c r="AO264" i="60"/>
  <c r="AN264" i="60"/>
  <c r="AP263" i="60"/>
  <c r="AO263" i="60"/>
  <c r="AN263" i="60"/>
  <c r="AP262" i="60"/>
  <c r="AO262" i="60"/>
  <c r="AN262" i="60"/>
  <c r="AP261" i="60"/>
  <c r="AO261" i="60"/>
  <c r="AN261" i="60"/>
  <c r="AP260" i="60"/>
  <c r="AO260" i="60"/>
  <c r="AN260" i="60"/>
  <c r="AP259" i="60"/>
  <c r="AO259" i="60"/>
  <c r="AN259" i="60"/>
  <c r="AP258" i="60"/>
  <c r="AO258" i="60"/>
  <c r="AN258" i="60"/>
  <c r="AP257" i="60"/>
  <c r="AO257" i="60"/>
  <c r="AN257" i="60"/>
  <c r="AP256" i="60"/>
  <c r="AO256" i="60"/>
  <c r="AN256" i="60"/>
  <c r="AP254" i="60"/>
  <c r="AO254" i="60"/>
  <c r="AN254" i="60"/>
  <c r="AP253" i="60"/>
  <c r="AO253" i="60"/>
  <c r="AN253" i="60"/>
  <c r="AP252" i="60"/>
  <c r="AO252" i="60"/>
  <c r="AN252" i="60"/>
  <c r="AP251" i="60"/>
  <c r="AO251" i="60"/>
  <c r="AN251" i="60"/>
  <c r="AP250" i="60"/>
  <c r="AO250" i="60"/>
  <c r="AN250" i="60"/>
  <c r="AP249" i="60"/>
  <c r="AO249" i="60"/>
  <c r="AN249" i="60"/>
  <c r="AP248" i="60"/>
  <c r="AO248" i="60"/>
  <c r="AN248" i="60"/>
  <c r="AP247" i="60"/>
  <c r="AO247" i="60"/>
  <c r="AN247" i="60"/>
  <c r="AP246" i="60"/>
  <c r="AO246" i="60"/>
  <c r="AN246" i="60"/>
  <c r="AP245" i="60"/>
  <c r="AO245" i="60"/>
  <c r="AN245" i="60"/>
  <c r="AP244" i="60"/>
  <c r="AO244" i="60"/>
  <c r="AN244" i="60"/>
  <c r="AP243" i="60"/>
  <c r="AO243" i="60"/>
  <c r="AN243" i="60"/>
  <c r="AP242" i="60"/>
  <c r="AO242" i="60"/>
  <c r="AN242" i="60"/>
  <c r="AP241" i="60"/>
  <c r="AO241" i="60"/>
  <c r="AN241" i="60"/>
  <c r="AP240" i="60"/>
  <c r="AO240" i="60"/>
  <c r="AN240" i="60"/>
  <c r="AP239" i="60"/>
  <c r="AO239" i="60"/>
  <c r="AN239" i="60"/>
  <c r="AP238" i="60"/>
  <c r="AO238" i="60"/>
  <c r="AN238" i="60"/>
  <c r="AP237" i="60"/>
  <c r="AO237" i="60"/>
  <c r="AN237" i="60"/>
  <c r="AP236" i="60"/>
  <c r="AO236" i="60"/>
  <c r="AN236" i="60"/>
  <c r="AP235" i="60"/>
  <c r="AO235" i="60"/>
  <c r="AN235" i="60"/>
  <c r="AP234" i="60"/>
  <c r="AO234" i="60"/>
  <c r="AN234" i="60"/>
  <c r="AP233" i="60"/>
  <c r="AO233" i="60"/>
  <c r="AN233" i="60"/>
  <c r="AP232" i="60"/>
  <c r="AO232" i="60"/>
  <c r="AN232" i="60"/>
  <c r="AP231" i="60"/>
  <c r="AO231" i="60"/>
  <c r="AN231" i="60"/>
  <c r="AP230" i="60"/>
  <c r="AO230" i="60"/>
  <c r="AN230" i="60"/>
  <c r="AP229" i="60"/>
  <c r="AO229" i="60"/>
  <c r="AN229" i="60"/>
  <c r="AP228" i="60"/>
  <c r="AO228" i="60"/>
  <c r="AN228" i="60"/>
  <c r="AP227" i="60"/>
  <c r="AO227" i="60"/>
  <c r="AN227" i="60"/>
  <c r="AP226" i="60"/>
  <c r="AO226" i="60"/>
  <c r="AN226" i="60"/>
  <c r="AP225" i="60"/>
  <c r="AO225" i="60"/>
  <c r="AN225" i="60"/>
  <c r="AP224" i="60"/>
  <c r="AO224" i="60"/>
  <c r="AN224" i="60"/>
  <c r="AP223" i="60"/>
  <c r="AO223" i="60"/>
  <c r="AN223" i="60"/>
  <c r="AP222" i="60"/>
  <c r="AO222" i="60"/>
  <c r="AN222" i="60"/>
  <c r="AP221" i="60"/>
  <c r="AO221" i="60"/>
  <c r="AN221" i="60"/>
  <c r="AP220" i="60"/>
  <c r="BB220" i="60" s="1"/>
  <c r="AO220" i="60"/>
  <c r="AN220" i="60"/>
  <c r="AP219" i="60"/>
  <c r="AO219" i="60"/>
  <c r="AN219" i="60"/>
  <c r="AP218" i="60"/>
  <c r="AO218" i="60"/>
  <c r="AN218" i="60"/>
  <c r="AP217" i="60"/>
  <c r="AO217" i="60"/>
  <c r="AN217" i="60"/>
  <c r="AP216" i="60"/>
  <c r="AO216" i="60"/>
  <c r="AN216" i="60"/>
  <c r="AP215" i="60"/>
  <c r="AO215" i="60"/>
  <c r="AN215" i="60"/>
  <c r="AP214" i="60"/>
  <c r="AO214" i="60"/>
  <c r="AN214" i="60"/>
  <c r="AP213" i="60"/>
  <c r="AO213" i="60"/>
  <c r="AN213" i="60"/>
  <c r="AP212" i="60"/>
  <c r="AO212" i="60"/>
  <c r="AN212" i="60"/>
  <c r="AP211" i="60"/>
  <c r="AO211" i="60"/>
  <c r="AN211" i="60"/>
  <c r="AP210" i="60"/>
  <c r="AO210" i="60"/>
  <c r="AN210" i="60"/>
  <c r="AP209" i="60"/>
  <c r="AO209" i="60"/>
  <c r="AN209" i="60"/>
  <c r="AP208" i="60"/>
  <c r="AO208" i="60"/>
  <c r="AN208" i="60"/>
  <c r="AP207" i="60"/>
  <c r="AO207" i="60"/>
  <c r="AN207" i="60"/>
  <c r="AP206" i="60"/>
  <c r="AO206" i="60"/>
  <c r="AN206" i="60"/>
  <c r="AP205" i="60"/>
  <c r="AO205" i="60"/>
  <c r="AN205" i="60"/>
  <c r="AP204" i="60"/>
  <c r="AO204" i="60"/>
  <c r="AN204" i="60"/>
  <c r="AP203" i="60"/>
  <c r="AO203" i="60"/>
  <c r="AN203" i="60"/>
  <c r="AP202" i="60"/>
  <c r="AO202" i="60"/>
  <c r="AN202" i="60"/>
  <c r="AP201" i="60"/>
  <c r="AO201" i="60"/>
  <c r="AN201" i="60"/>
  <c r="AP200" i="60"/>
  <c r="AO200" i="60"/>
  <c r="AN200" i="60"/>
  <c r="AP199" i="60"/>
  <c r="AO199" i="60"/>
  <c r="AN199" i="60"/>
  <c r="AP198" i="60"/>
  <c r="AO198" i="60"/>
  <c r="AN198" i="60"/>
  <c r="AP197" i="60"/>
  <c r="AO197" i="60"/>
  <c r="AN197" i="60"/>
  <c r="AP196" i="60"/>
  <c r="AO196" i="60"/>
  <c r="AN196" i="60"/>
  <c r="AP195" i="60"/>
  <c r="AO195" i="60"/>
  <c r="AN195" i="60"/>
  <c r="AP194" i="60"/>
  <c r="AO194" i="60"/>
  <c r="AN194" i="60"/>
  <c r="AP193" i="60"/>
  <c r="AO193" i="60"/>
  <c r="AN193" i="60"/>
  <c r="AP192" i="60"/>
  <c r="AO192" i="60"/>
  <c r="AN192" i="60"/>
  <c r="AP191" i="60"/>
  <c r="AO191" i="60"/>
  <c r="AN191" i="60"/>
  <c r="AP190" i="60"/>
  <c r="AO190" i="60"/>
  <c r="AN190" i="60"/>
  <c r="AP189" i="60"/>
  <c r="AO189" i="60"/>
  <c r="AN189" i="60"/>
  <c r="AP188" i="60"/>
  <c r="AO188" i="60"/>
  <c r="AN188" i="60"/>
  <c r="AP187" i="60"/>
  <c r="AO187" i="60"/>
  <c r="AN187" i="60"/>
  <c r="AP186" i="60"/>
  <c r="AO186" i="60"/>
  <c r="AN186" i="60"/>
  <c r="AP185" i="60"/>
  <c r="AO185" i="60"/>
  <c r="AN185" i="60"/>
  <c r="AP184" i="60"/>
  <c r="AO184" i="60"/>
  <c r="AN184" i="60"/>
  <c r="AP183" i="60"/>
  <c r="AO183" i="60"/>
  <c r="AN183" i="60"/>
  <c r="AP181" i="60"/>
  <c r="AO181" i="60"/>
  <c r="AN181" i="60"/>
  <c r="AP180" i="60"/>
  <c r="AO180" i="60"/>
  <c r="AN180" i="60"/>
  <c r="AP179" i="60"/>
  <c r="AO179" i="60"/>
  <c r="AN179" i="60"/>
  <c r="AP178" i="60"/>
  <c r="AO178" i="60"/>
  <c r="AN178" i="60"/>
  <c r="AP177" i="60"/>
  <c r="AO177" i="60"/>
  <c r="AN177" i="60"/>
  <c r="AP176" i="60"/>
  <c r="AO176" i="60"/>
  <c r="AN176" i="60"/>
  <c r="AP175" i="60"/>
  <c r="AO175" i="60"/>
  <c r="AN175" i="60"/>
  <c r="AP174" i="60"/>
  <c r="AO174" i="60"/>
  <c r="AN174" i="60"/>
  <c r="AP173" i="60"/>
  <c r="AO173" i="60"/>
  <c r="AN173" i="60"/>
  <c r="AP172" i="60"/>
  <c r="AO172" i="60"/>
  <c r="AN172" i="60"/>
  <c r="AP171" i="60"/>
  <c r="AO171" i="60"/>
  <c r="AN171" i="60"/>
  <c r="AP170" i="60"/>
  <c r="AO170" i="60"/>
  <c r="AN170" i="60"/>
  <c r="AP169" i="60"/>
  <c r="AO169" i="60"/>
  <c r="AN169" i="60"/>
  <c r="AP168" i="60"/>
  <c r="AO168" i="60"/>
  <c r="AN168" i="60"/>
  <c r="AP167" i="60"/>
  <c r="AO167" i="60"/>
  <c r="AN167" i="60"/>
  <c r="AP166" i="60"/>
  <c r="AO166" i="60"/>
  <c r="AN166" i="60"/>
  <c r="AP165" i="60"/>
  <c r="AO165" i="60"/>
  <c r="AN165" i="60"/>
  <c r="AP164" i="60"/>
  <c r="AO164" i="60"/>
  <c r="AN164" i="60"/>
  <c r="AP163" i="60"/>
  <c r="AO163" i="60"/>
  <c r="AN163" i="60"/>
  <c r="AP162" i="60"/>
  <c r="AO162" i="60"/>
  <c r="AN162" i="60"/>
  <c r="AP161" i="60"/>
  <c r="AO161" i="60"/>
  <c r="AN161" i="60"/>
  <c r="AP160" i="60"/>
  <c r="AO160" i="60"/>
  <c r="AN160" i="60"/>
  <c r="AP159" i="60"/>
  <c r="AO159" i="60"/>
  <c r="AN159" i="60"/>
  <c r="AP158" i="60"/>
  <c r="AO158" i="60"/>
  <c r="AN158" i="60"/>
  <c r="AP157" i="60"/>
  <c r="AO157" i="60"/>
  <c r="AN157" i="60"/>
  <c r="AP156" i="60"/>
  <c r="AO156" i="60"/>
  <c r="AN156" i="60"/>
  <c r="AP155" i="60"/>
  <c r="AO155" i="60"/>
  <c r="AN155" i="60"/>
  <c r="AP154" i="60"/>
  <c r="AO154" i="60"/>
  <c r="AN154" i="60"/>
  <c r="AP153" i="60"/>
  <c r="AO153" i="60"/>
  <c r="AN153" i="60"/>
  <c r="AP152" i="60"/>
  <c r="AO152" i="60"/>
  <c r="AN152" i="60"/>
  <c r="AP151" i="60"/>
  <c r="AO151" i="60"/>
  <c r="AN151" i="60"/>
  <c r="AP150" i="60"/>
  <c r="AO150" i="60"/>
  <c r="AN150" i="60"/>
  <c r="AP149" i="60"/>
  <c r="AO149" i="60"/>
  <c r="AN149" i="60"/>
  <c r="AP148" i="60"/>
  <c r="AO148" i="60"/>
  <c r="AN148" i="60"/>
  <c r="AP147" i="60"/>
  <c r="AO147" i="60"/>
  <c r="AN147" i="60"/>
  <c r="AP146" i="60"/>
  <c r="AO146" i="60"/>
  <c r="AN146" i="60"/>
  <c r="AP145" i="60"/>
  <c r="AO145" i="60"/>
  <c r="AN145" i="60"/>
  <c r="AP144" i="60"/>
  <c r="AO144" i="60"/>
  <c r="AN144" i="60"/>
  <c r="AP143" i="60"/>
  <c r="AO143" i="60"/>
  <c r="AN143" i="60"/>
  <c r="AP142" i="60"/>
  <c r="AO142" i="60"/>
  <c r="AN142" i="60"/>
  <c r="AP141" i="60"/>
  <c r="AO141" i="60"/>
  <c r="AN141" i="60"/>
  <c r="AP140" i="60"/>
  <c r="AO140" i="60"/>
  <c r="AN140" i="60"/>
  <c r="AP138" i="60"/>
  <c r="AO138" i="60"/>
  <c r="AN138" i="60"/>
  <c r="AP137" i="60"/>
  <c r="AO137" i="60"/>
  <c r="AN137" i="60"/>
  <c r="AP136" i="60"/>
  <c r="AO136" i="60"/>
  <c r="AN136" i="60"/>
  <c r="AP135" i="60"/>
  <c r="AO135" i="60"/>
  <c r="AN135" i="60"/>
  <c r="AP134" i="60"/>
  <c r="AO134" i="60"/>
  <c r="AN134" i="60"/>
  <c r="AP133" i="60"/>
  <c r="AO133" i="60"/>
  <c r="AN133" i="60"/>
  <c r="AP132" i="60"/>
  <c r="AO132" i="60"/>
  <c r="AN132" i="60"/>
  <c r="AP131" i="60"/>
  <c r="AO131" i="60"/>
  <c r="AN131" i="60"/>
  <c r="AP130" i="60"/>
  <c r="AO130" i="60"/>
  <c r="AN130" i="60"/>
  <c r="AP129" i="60"/>
  <c r="AO129" i="60"/>
  <c r="AN129" i="60"/>
  <c r="AP128" i="60"/>
  <c r="AO128" i="60"/>
  <c r="AN128" i="60"/>
  <c r="AO127" i="60"/>
  <c r="AN127" i="60"/>
  <c r="AP126" i="60"/>
  <c r="AO126" i="60"/>
  <c r="AN126" i="60"/>
  <c r="AP125" i="60"/>
  <c r="AO125" i="60"/>
  <c r="AN125" i="60"/>
  <c r="AP124" i="60"/>
  <c r="AO124" i="60"/>
  <c r="AN124" i="60"/>
  <c r="AP123" i="60"/>
  <c r="AO123" i="60"/>
  <c r="AN123" i="60"/>
  <c r="AP122" i="60"/>
  <c r="AO122" i="60"/>
  <c r="AN122" i="60"/>
  <c r="AP121" i="60"/>
  <c r="AO121" i="60"/>
  <c r="AN121" i="60"/>
  <c r="AP120" i="60"/>
  <c r="AO120" i="60"/>
  <c r="AN120" i="60"/>
  <c r="AP119" i="60"/>
  <c r="AO119" i="60"/>
  <c r="AN119" i="60"/>
  <c r="AP118" i="60"/>
  <c r="AO118" i="60"/>
  <c r="AN118" i="60"/>
  <c r="AP117" i="60"/>
  <c r="AO117" i="60"/>
  <c r="AN117" i="60"/>
  <c r="AP116" i="60"/>
  <c r="AO116" i="60"/>
  <c r="AN116" i="60"/>
  <c r="AP115" i="60"/>
  <c r="AO115" i="60"/>
  <c r="AN115" i="60"/>
  <c r="AP114" i="60"/>
  <c r="AO114" i="60"/>
  <c r="AN114" i="60"/>
  <c r="AP113" i="60"/>
  <c r="AO113" i="60"/>
  <c r="AN113" i="60"/>
  <c r="AP112" i="60"/>
  <c r="AO112" i="60"/>
  <c r="AN112" i="60"/>
  <c r="AP111" i="60"/>
  <c r="AO111" i="60"/>
  <c r="AN111" i="60"/>
  <c r="AP110" i="60"/>
  <c r="AO110" i="60"/>
  <c r="AN110" i="60"/>
  <c r="AP109" i="60"/>
  <c r="AO109" i="60"/>
  <c r="AN109" i="60"/>
  <c r="AP108" i="60"/>
  <c r="AO108" i="60"/>
  <c r="AN108" i="60"/>
  <c r="AP107" i="60"/>
  <c r="AO107" i="60"/>
  <c r="AN107" i="60"/>
  <c r="AP106" i="60"/>
  <c r="AO106" i="60"/>
  <c r="AN106" i="60"/>
  <c r="AP105" i="60"/>
  <c r="AO105" i="60"/>
  <c r="AN105" i="60"/>
  <c r="AP104" i="60"/>
  <c r="AO104" i="60"/>
  <c r="AN104" i="60"/>
  <c r="AP103" i="60"/>
  <c r="AO103" i="60"/>
  <c r="AN103" i="60"/>
  <c r="AP102" i="60"/>
  <c r="AO102" i="60"/>
  <c r="AN102" i="60"/>
  <c r="AP101" i="60"/>
  <c r="AO101" i="60"/>
  <c r="AN101" i="60"/>
  <c r="AP100" i="60"/>
  <c r="AO100" i="60"/>
  <c r="AN100" i="60"/>
  <c r="AP99" i="60"/>
  <c r="AO99" i="60"/>
  <c r="AN99" i="60"/>
  <c r="AP98" i="60"/>
  <c r="AO98" i="60"/>
  <c r="AN98" i="60"/>
  <c r="AP97" i="60"/>
  <c r="AO97" i="60"/>
  <c r="AN97" i="60"/>
  <c r="AP95" i="60"/>
  <c r="AO95" i="60"/>
  <c r="AN95" i="60"/>
  <c r="AP94" i="60"/>
  <c r="AO94" i="60"/>
  <c r="AN94" i="60"/>
  <c r="AP93" i="60"/>
  <c r="AO93" i="60"/>
  <c r="AN93" i="60"/>
  <c r="AP92" i="60"/>
  <c r="AO92" i="60"/>
  <c r="AN92" i="60"/>
  <c r="AP91" i="60"/>
  <c r="AO91" i="60"/>
  <c r="AN91" i="60"/>
  <c r="AP90" i="60"/>
  <c r="AO90" i="60"/>
  <c r="AN90" i="60"/>
  <c r="AP89" i="60"/>
  <c r="AO89" i="60"/>
  <c r="AN89" i="60"/>
  <c r="AP88" i="60"/>
  <c r="AO88" i="60"/>
  <c r="AN88" i="60"/>
  <c r="AP86" i="60"/>
  <c r="AO86" i="60"/>
  <c r="AN86" i="60"/>
  <c r="AP85" i="60"/>
  <c r="AO85" i="60"/>
  <c r="AN85" i="60"/>
  <c r="AP84" i="60"/>
  <c r="AO84" i="60"/>
  <c r="AN84" i="60"/>
  <c r="AP83" i="60"/>
  <c r="AO83" i="60"/>
  <c r="AN83" i="60"/>
  <c r="AP82" i="60"/>
  <c r="AO82" i="60"/>
  <c r="AN82" i="60"/>
  <c r="AP81" i="60"/>
  <c r="AO81" i="60"/>
  <c r="AN81" i="60"/>
  <c r="AP80" i="60"/>
  <c r="AO80" i="60"/>
  <c r="AN80" i="60"/>
  <c r="AP79" i="60"/>
  <c r="AO79" i="60"/>
  <c r="AN79" i="60"/>
  <c r="AP78" i="60"/>
  <c r="AO78" i="60"/>
  <c r="AN78" i="60"/>
  <c r="AP77" i="60"/>
  <c r="AO77" i="60"/>
  <c r="AN77" i="60"/>
  <c r="AP76" i="60"/>
  <c r="AO76" i="60"/>
  <c r="AN76" i="60"/>
  <c r="AP75" i="60"/>
  <c r="AO75" i="60"/>
  <c r="AN75" i="60"/>
  <c r="AP74" i="60"/>
  <c r="AO74" i="60"/>
  <c r="AN74" i="60"/>
  <c r="AP73" i="60"/>
  <c r="AO73" i="60"/>
  <c r="AN73" i="60"/>
  <c r="AP72" i="60"/>
  <c r="AO72" i="60"/>
  <c r="AN72" i="60"/>
  <c r="AP71" i="60"/>
  <c r="AO71" i="60"/>
  <c r="AN71" i="60"/>
  <c r="AP70" i="60"/>
  <c r="AO70" i="60"/>
  <c r="AN70" i="60"/>
  <c r="AP69" i="60"/>
  <c r="AO69" i="60"/>
  <c r="AN69" i="60"/>
  <c r="AP68" i="60"/>
  <c r="AO68" i="60"/>
  <c r="AN68" i="60"/>
  <c r="AP67" i="60"/>
  <c r="AO67" i="60"/>
  <c r="AN67" i="60"/>
  <c r="AP66" i="60"/>
  <c r="AO66" i="60"/>
  <c r="AN66" i="60"/>
  <c r="AP65" i="60"/>
  <c r="AO65" i="60"/>
  <c r="AN65" i="60"/>
  <c r="AP64" i="60"/>
  <c r="AO64" i="60"/>
  <c r="AN64" i="60"/>
  <c r="AP63" i="60"/>
  <c r="AO63" i="60"/>
  <c r="AN63" i="60"/>
  <c r="AP62" i="60"/>
  <c r="AO62" i="60"/>
  <c r="AN62" i="60"/>
  <c r="AP61" i="60"/>
  <c r="AO61" i="60"/>
  <c r="AN61" i="60"/>
  <c r="AP60" i="60"/>
  <c r="AO60" i="60"/>
  <c r="AN60" i="60"/>
  <c r="AP59" i="60"/>
  <c r="AO59" i="60"/>
  <c r="AN59" i="60"/>
  <c r="AP58" i="60"/>
  <c r="AO58" i="60"/>
  <c r="AN58" i="60"/>
  <c r="AP57" i="60"/>
  <c r="AO57" i="60"/>
  <c r="AN57" i="60"/>
  <c r="AP56" i="60"/>
  <c r="AO56" i="60"/>
  <c r="AN56" i="60"/>
  <c r="AP55" i="60"/>
  <c r="AO55" i="60"/>
  <c r="AN55" i="60"/>
  <c r="AP54" i="60"/>
  <c r="AO54" i="60"/>
  <c r="AN54" i="60"/>
  <c r="AP53" i="60"/>
  <c r="AO53" i="60"/>
  <c r="AN53" i="60"/>
  <c r="AP52" i="60"/>
  <c r="AO52" i="60"/>
  <c r="AN52" i="60"/>
  <c r="AP51" i="60"/>
  <c r="AO51" i="60"/>
  <c r="AN51" i="60"/>
  <c r="AP50" i="60"/>
  <c r="AO50" i="60"/>
  <c r="AN50" i="60"/>
  <c r="AP49" i="60"/>
  <c r="AO49" i="60"/>
  <c r="AN49" i="60"/>
  <c r="AP48" i="60"/>
  <c r="AO48" i="60"/>
  <c r="AN48" i="60"/>
  <c r="AP47" i="60"/>
  <c r="AO47" i="60"/>
  <c r="AN47" i="60"/>
  <c r="AP46" i="60"/>
  <c r="AO46" i="60"/>
  <c r="AN46" i="60"/>
  <c r="AP44" i="60"/>
  <c r="AO44" i="60"/>
  <c r="AN44" i="60"/>
  <c r="AP43" i="60"/>
  <c r="AO43" i="60"/>
  <c r="AN43" i="60"/>
  <c r="AP42" i="60"/>
  <c r="AO42" i="60"/>
  <c r="AN42" i="60"/>
  <c r="AP41" i="60"/>
  <c r="AO41" i="60"/>
  <c r="AN41" i="60"/>
  <c r="AP40" i="60"/>
  <c r="AO40" i="60"/>
  <c r="AN40" i="60"/>
  <c r="AP39" i="60"/>
  <c r="AO39" i="60"/>
  <c r="AN39" i="60"/>
  <c r="AP24" i="60"/>
  <c r="AO24" i="60"/>
  <c r="AP23" i="60"/>
  <c r="AO23" i="60"/>
  <c r="AN23" i="60"/>
  <c r="AM550" i="60"/>
  <c r="AM549" i="60"/>
  <c r="AM548" i="60"/>
  <c r="AM547" i="60"/>
  <c r="AM546" i="60"/>
  <c r="AM545" i="60"/>
  <c r="AM544" i="60"/>
  <c r="AM543" i="60"/>
  <c r="AM542" i="60"/>
  <c r="AM541" i="60"/>
  <c r="AM540" i="60"/>
  <c r="AM539" i="60"/>
  <c r="AM538" i="60"/>
  <c r="AM537" i="60"/>
  <c r="AM536" i="60"/>
  <c r="AM535" i="60"/>
  <c r="AM534" i="60"/>
  <c r="AM533" i="60"/>
  <c r="AM532" i="60"/>
  <c r="AM531" i="60"/>
  <c r="AM530" i="60"/>
  <c r="AM529" i="60"/>
  <c r="AM528" i="60"/>
  <c r="AM527" i="60"/>
  <c r="AM526" i="60"/>
  <c r="AM525" i="60"/>
  <c r="AM524" i="60"/>
  <c r="AM523" i="60"/>
  <c r="AM522" i="60"/>
  <c r="AM521" i="60"/>
  <c r="AM520" i="60"/>
  <c r="AM519" i="60"/>
  <c r="AM518" i="60"/>
  <c r="AM517" i="60"/>
  <c r="AM516" i="60"/>
  <c r="AM515" i="60"/>
  <c r="AM514" i="60"/>
  <c r="AM513" i="60"/>
  <c r="AM512" i="60"/>
  <c r="AM511" i="60"/>
  <c r="AM510" i="60"/>
  <c r="AM509" i="60"/>
  <c r="AM508" i="60"/>
  <c r="AM507" i="60"/>
  <c r="AM506" i="60"/>
  <c r="AM505" i="60"/>
  <c r="AM504" i="60"/>
  <c r="AM503" i="60"/>
  <c r="AM502" i="60"/>
  <c r="AM501" i="60"/>
  <c r="AM500" i="60"/>
  <c r="AM499" i="60"/>
  <c r="AM498" i="60"/>
  <c r="AM497" i="60"/>
  <c r="AM496" i="60"/>
  <c r="AM495" i="60"/>
  <c r="AM494" i="60"/>
  <c r="AM493" i="60"/>
  <c r="AM492" i="60"/>
  <c r="AM491" i="60"/>
  <c r="AM490" i="60"/>
  <c r="AM489" i="60"/>
  <c r="AM488" i="60"/>
  <c r="AM487" i="60"/>
  <c r="AM486" i="60"/>
  <c r="AM485" i="60"/>
  <c r="AM484" i="60"/>
  <c r="AM483" i="60"/>
  <c r="AM482" i="60"/>
  <c r="AM481" i="60"/>
  <c r="AM480" i="60"/>
  <c r="AM479" i="60"/>
  <c r="AM478" i="60"/>
  <c r="AM477" i="60"/>
  <c r="AM476" i="60"/>
  <c r="AM475" i="60"/>
  <c r="AM474" i="60"/>
  <c r="AM473" i="60"/>
  <c r="AM472" i="60"/>
  <c r="AM471" i="60"/>
  <c r="AM470" i="60"/>
  <c r="AM469" i="60"/>
  <c r="AM468" i="60"/>
  <c r="AM467" i="60"/>
  <c r="AM466" i="60"/>
  <c r="AM465" i="60"/>
  <c r="AM464" i="60"/>
  <c r="AM463" i="60"/>
  <c r="AM462" i="60"/>
  <c r="AM461" i="60"/>
  <c r="AM460" i="60"/>
  <c r="AM459" i="60"/>
  <c r="AM458" i="60"/>
  <c r="AM457" i="60"/>
  <c r="AM456" i="60"/>
  <c r="AM455" i="60"/>
  <c r="AM454" i="60"/>
  <c r="AM453" i="60"/>
  <c r="AM452" i="60"/>
  <c r="AM451" i="60"/>
  <c r="AM450" i="60"/>
  <c r="AM449" i="60"/>
  <c r="AM448" i="60"/>
  <c r="AM447" i="60"/>
  <c r="AM446" i="60"/>
  <c r="AM445" i="60"/>
  <c r="AM444" i="60"/>
  <c r="AM443" i="60"/>
  <c r="AM442" i="60"/>
  <c r="AM441" i="60"/>
  <c r="AM440" i="60"/>
  <c r="AM439" i="60"/>
  <c r="AM438" i="60"/>
  <c r="AM437" i="60"/>
  <c r="AM436" i="60"/>
  <c r="AM435" i="60"/>
  <c r="AM434" i="60"/>
  <c r="AM433" i="60"/>
  <c r="AM432" i="60"/>
  <c r="AM431" i="60"/>
  <c r="AM430" i="60"/>
  <c r="AM429" i="60"/>
  <c r="AM428" i="60"/>
  <c r="AM427" i="60"/>
  <c r="AM426" i="60"/>
  <c r="AM425" i="60"/>
  <c r="AM424" i="60"/>
  <c r="AM423" i="60"/>
  <c r="AM422" i="60"/>
  <c r="AM421" i="60"/>
  <c r="AM420" i="60"/>
  <c r="AM419" i="60"/>
  <c r="AM418" i="60"/>
  <c r="AM417" i="60"/>
  <c r="AM416" i="60"/>
  <c r="AM415" i="60"/>
  <c r="AM414" i="60"/>
  <c r="AM413" i="60"/>
  <c r="AM412" i="60"/>
  <c r="AM411" i="60"/>
  <c r="AM410" i="60"/>
  <c r="AM409" i="60"/>
  <c r="AM408" i="60"/>
  <c r="AM407" i="60"/>
  <c r="AM406" i="60"/>
  <c r="AM405" i="60"/>
  <c r="AM404" i="60"/>
  <c r="AM403" i="60"/>
  <c r="AM402" i="60"/>
  <c r="AM401" i="60"/>
  <c r="AM400" i="60"/>
  <c r="AM399" i="60"/>
  <c r="AM398" i="60"/>
  <c r="AM397" i="60"/>
  <c r="AM396" i="60"/>
  <c r="AM395" i="60"/>
  <c r="AM394" i="60"/>
  <c r="AM393" i="60"/>
  <c r="AM392" i="60"/>
  <c r="AM391" i="60"/>
  <c r="AM390" i="60"/>
  <c r="AM389" i="60"/>
  <c r="AM388" i="60"/>
  <c r="AM387" i="60"/>
  <c r="AM386" i="60"/>
  <c r="AM385" i="60"/>
  <c r="AM384" i="60"/>
  <c r="AM383" i="60"/>
  <c r="AM382" i="60"/>
  <c r="AM381" i="60"/>
  <c r="AM380" i="60"/>
  <c r="AM379" i="60"/>
  <c r="AM378" i="60"/>
  <c r="AM377" i="60"/>
  <c r="AM376" i="60"/>
  <c r="AM375" i="60"/>
  <c r="AM374" i="60"/>
  <c r="AM373" i="60"/>
  <c r="AM372" i="60"/>
  <c r="AM371" i="60"/>
  <c r="AM370" i="60"/>
  <c r="AM369" i="60"/>
  <c r="AM368" i="60"/>
  <c r="AM367" i="60"/>
  <c r="AM366" i="60"/>
  <c r="AM365" i="60"/>
  <c r="AM364" i="60"/>
  <c r="AM363" i="60"/>
  <c r="AM362" i="60"/>
  <c r="AM361" i="60"/>
  <c r="AM360" i="60"/>
  <c r="AM359" i="60"/>
  <c r="AM358" i="60"/>
  <c r="AM357" i="60"/>
  <c r="AM356" i="60"/>
  <c r="AM355" i="60"/>
  <c r="AM354" i="60"/>
  <c r="AM353" i="60"/>
  <c r="AM352" i="60"/>
  <c r="AM351" i="60"/>
  <c r="AM350" i="60"/>
  <c r="AM349" i="60"/>
  <c r="AM348" i="60"/>
  <c r="AM347" i="60"/>
  <c r="AM346" i="60"/>
  <c r="AM345" i="60"/>
  <c r="AM344" i="60"/>
  <c r="AM343" i="60"/>
  <c r="AM342" i="60"/>
  <c r="AM341" i="60"/>
  <c r="AM340" i="60"/>
  <c r="AM339" i="60"/>
  <c r="AM338" i="60"/>
  <c r="AM337" i="60"/>
  <c r="AM336" i="60"/>
  <c r="AM335" i="60"/>
  <c r="AM334" i="60"/>
  <c r="AM333" i="60"/>
  <c r="AM332" i="60"/>
  <c r="AM331" i="60"/>
  <c r="AM330" i="60"/>
  <c r="AM329" i="60"/>
  <c r="AM328" i="60"/>
  <c r="AM327" i="60"/>
  <c r="AM326" i="60"/>
  <c r="AM325" i="60"/>
  <c r="AM324" i="60"/>
  <c r="AM323" i="60"/>
  <c r="AM322" i="60"/>
  <c r="AM321" i="60"/>
  <c r="AM320" i="60"/>
  <c r="AM319" i="60"/>
  <c r="AM318" i="60"/>
  <c r="AM317" i="60"/>
  <c r="AM316" i="60"/>
  <c r="AM315" i="60"/>
  <c r="AM314" i="60"/>
  <c r="AM313" i="60"/>
  <c r="AM312" i="60"/>
  <c r="AM311" i="60"/>
  <c r="AM310" i="60"/>
  <c r="AM309" i="60"/>
  <c r="AM308" i="60"/>
  <c r="AM307" i="60"/>
  <c r="AM306" i="60"/>
  <c r="AM305" i="60"/>
  <c r="AM304" i="60"/>
  <c r="AM303" i="60"/>
  <c r="AM301" i="60"/>
  <c r="AM300" i="60"/>
  <c r="AM299" i="60"/>
  <c r="AM298" i="60"/>
  <c r="AM297" i="60"/>
  <c r="AM296" i="60"/>
  <c r="AM295" i="60"/>
  <c r="AM294" i="60"/>
  <c r="AM293" i="60"/>
  <c r="AM292" i="60"/>
  <c r="AM291" i="60"/>
  <c r="AM290" i="60"/>
  <c r="AM289" i="60"/>
  <c r="AM288" i="60"/>
  <c r="AM287" i="60"/>
  <c r="AM286" i="60"/>
  <c r="AM285" i="60"/>
  <c r="AM284" i="60"/>
  <c r="AM283" i="60"/>
  <c r="AM282" i="60"/>
  <c r="AM281" i="60"/>
  <c r="AM280" i="60"/>
  <c r="AM279" i="60"/>
  <c r="AM278" i="60"/>
  <c r="AM277" i="60"/>
  <c r="AM276" i="60"/>
  <c r="AM275" i="60"/>
  <c r="AM274" i="60"/>
  <c r="AM273" i="60"/>
  <c r="AM272" i="60"/>
  <c r="AM271" i="60"/>
  <c r="AM270" i="60"/>
  <c r="AM269" i="60"/>
  <c r="AM268" i="60"/>
  <c r="AM267" i="60"/>
  <c r="AM266" i="60"/>
  <c r="AM265" i="60"/>
  <c r="AM264" i="60"/>
  <c r="AM263" i="60"/>
  <c r="AM262" i="60"/>
  <c r="AM261" i="60"/>
  <c r="AM260" i="60"/>
  <c r="AM259" i="60"/>
  <c r="AM258" i="60"/>
  <c r="AM257" i="60"/>
  <c r="AM256" i="60"/>
  <c r="AM254" i="60"/>
  <c r="AM253" i="60"/>
  <c r="AM252" i="60"/>
  <c r="AM251" i="60"/>
  <c r="AM250" i="60"/>
  <c r="AM249" i="60"/>
  <c r="AM248" i="60"/>
  <c r="AM247" i="60"/>
  <c r="AM246" i="60"/>
  <c r="AM245" i="60"/>
  <c r="AM244" i="60"/>
  <c r="AM243" i="60"/>
  <c r="AM242" i="60"/>
  <c r="AM241" i="60"/>
  <c r="AM240" i="60"/>
  <c r="AM239" i="60"/>
  <c r="AM238" i="60"/>
  <c r="AM237" i="60"/>
  <c r="AM236" i="60"/>
  <c r="AM235" i="60"/>
  <c r="AM234" i="60"/>
  <c r="AM233" i="60"/>
  <c r="AM232" i="60"/>
  <c r="AM231" i="60"/>
  <c r="AM230" i="60"/>
  <c r="AM229" i="60"/>
  <c r="AM228" i="60"/>
  <c r="AM227" i="60"/>
  <c r="AM226" i="60"/>
  <c r="AM225" i="60"/>
  <c r="AM224" i="60"/>
  <c r="AM223" i="60"/>
  <c r="AM222" i="60"/>
  <c r="AM221" i="60"/>
  <c r="AM220" i="60"/>
  <c r="AM219" i="60"/>
  <c r="AM218" i="60"/>
  <c r="AM217" i="60"/>
  <c r="AM216" i="60"/>
  <c r="AM215" i="60"/>
  <c r="AM214" i="60"/>
  <c r="AM213" i="60"/>
  <c r="AM212" i="60"/>
  <c r="AM211" i="60"/>
  <c r="AM210" i="60"/>
  <c r="AM209" i="60"/>
  <c r="AM208" i="60"/>
  <c r="AM206" i="60"/>
  <c r="AM205" i="60"/>
  <c r="AM204" i="60"/>
  <c r="AM203" i="60"/>
  <c r="AM202" i="60"/>
  <c r="AM201" i="60"/>
  <c r="AM200" i="60"/>
  <c r="AM199" i="60"/>
  <c r="AM198" i="60"/>
  <c r="AM197" i="60"/>
  <c r="AM196" i="60"/>
  <c r="AM195" i="60"/>
  <c r="AM194" i="60"/>
  <c r="AM193" i="60"/>
  <c r="AM192" i="60"/>
  <c r="AM191" i="60"/>
  <c r="AM190" i="60"/>
  <c r="AM189" i="60"/>
  <c r="AM188" i="60"/>
  <c r="AM187" i="60"/>
  <c r="AM186" i="60"/>
  <c r="AM185" i="60"/>
  <c r="AM184" i="60"/>
  <c r="AM183" i="60"/>
  <c r="AM181" i="60"/>
  <c r="AM180" i="60"/>
  <c r="AM179" i="60"/>
  <c r="AM178" i="60"/>
  <c r="AM177" i="60"/>
  <c r="AM176" i="60"/>
  <c r="AM175" i="60"/>
  <c r="AM174" i="60"/>
  <c r="AM173" i="60"/>
  <c r="AM172" i="60"/>
  <c r="AM171" i="60"/>
  <c r="AM170" i="60"/>
  <c r="AM169" i="60"/>
  <c r="AM168" i="60"/>
  <c r="AM167" i="60"/>
  <c r="AM166" i="60"/>
  <c r="AM165" i="60"/>
  <c r="AM164" i="60"/>
  <c r="AM163" i="60"/>
  <c r="AM162" i="60"/>
  <c r="AM161" i="60"/>
  <c r="AM160" i="60"/>
  <c r="AM159" i="60"/>
  <c r="AM157" i="60"/>
  <c r="AM156" i="60"/>
  <c r="AM155" i="60"/>
  <c r="AM154" i="60"/>
  <c r="AM153" i="60"/>
  <c r="AM152" i="60"/>
  <c r="AM151" i="60"/>
  <c r="AM150" i="60"/>
  <c r="AM149" i="60"/>
  <c r="AM148" i="60"/>
  <c r="AM147" i="60"/>
  <c r="AM146" i="60"/>
  <c r="AM145" i="60"/>
  <c r="AM144" i="60"/>
  <c r="AM143" i="60"/>
  <c r="AM142" i="60"/>
  <c r="AM141" i="60"/>
  <c r="AM140" i="60"/>
  <c r="AM138" i="60"/>
  <c r="AM137" i="60"/>
  <c r="AM136" i="60"/>
  <c r="AM135" i="60"/>
  <c r="AM134" i="60"/>
  <c r="AM133" i="60"/>
  <c r="AM132" i="60"/>
  <c r="AM131" i="60"/>
  <c r="AM130" i="60"/>
  <c r="AM129" i="60"/>
  <c r="AM128" i="60"/>
  <c r="AM127" i="60"/>
  <c r="AM126" i="60"/>
  <c r="AM125" i="60"/>
  <c r="AM124" i="60"/>
  <c r="AM123" i="60"/>
  <c r="AM122" i="60"/>
  <c r="AM121" i="60"/>
  <c r="AM120" i="60"/>
  <c r="AM119" i="60"/>
  <c r="AM118" i="60"/>
  <c r="AM117" i="60"/>
  <c r="AM116" i="60"/>
  <c r="AM114" i="60"/>
  <c r="AM113" i="60"/>
  <c r="AM112" i="60"/>
  <c r="AM111" i="60"/>
  <c r="AM110" i="60"/>
  <c r="AM109" i="60"/>
  <c r="AM108" i="60"/>
  <c r="AM107" i="60"/>
  <c r="AM106" i="60"/>
  <c r="AM105" i="60"/>
  <c r="AM104" i="60"/>
  <c r="AM103" i="60"/>
  <c r="AM102" i="60"/>
  <c r="AM101" i="60"/>
  <c r="AM100" i="60"/>
  <c r="AM99" i="60"/>
  <c r="AM98" i="60"/>
  <c r="AM97" i="60"/>
  <c r="AM95" i="60"/>
  <c r="AM94" i="60"/>
  <c r="AM93" i="60"/>
  <c r="AM92" i="60"/>
  <c r="AM91" i="60"/>
  <c r="AM90" i="60"/>
  <c r="AM89" i="60"/>
  <c r="AM88" i="60"/>
  <c r="AM86" i="60"/>
  <c r="AM85" i="60"/>
  <c r="AM84" i="60"/>
  <c r="AM83" i="60"/>
  <c r="AM82" i="60"/>
  <c r="AM81" i="60"/>
  <c r="AM80" i="60"/>
  <c r="AM79" i="60"/>
  <c r="AM78" i="60"/>
  <c r="AM77" i="60"/>
  <c r="AM76" i="60"/>
  <c r="AM75" i="60"/>
  <c r="AM74" i="60"/>
  <c r="AM73" i="60"/>
  <c r="AM71" i="60"/>
  <c r="AM70" i="60"/>
  <c r="AM69" i="60"/>
  <c r="AM68" i="60"/>
  <c r="AM67" i="60"/>
  <c r="AM66" i="60"/>
  <c r="AM65" i="60"/>
  <c r="AM64" i="60"/>
  <c r="AM63" i="60"/>
  <c r="AM62" i="60"/>
  <c r="AM61" i="60"/>
  <c r="AM60" i="60"/>
  <c r="AM59" i="60"/>
  <c r="AM58" i="60"/>
  <c r="AM57" i="60"/>
  <c r="AM56" i="60"/>
  <c r="AM55" i="60"/>
  <c r="AM54" i="60"/>
  <c r="AM53" i="60"/>
  <c r="AM52" i="60"/>
  <c r="AM51" i="60"/>
  <c r="AM50" i="60"/>
  <c r="AM49" i="60"/>
  <c r="AM48" i="60"/>
  <c r="AM47" i="60"/>
  <c r="AM46" i="60"/>
  <c r="AM44" i="60"/>
  <c r="AM43" i="60"/>
  <c r="AM42" i="60"/>
  <c r="AM41" i="60"/>
  <c r="AM40" i="60"/>
  <c r="AM39" i="60"/>
  <c r="AM24" i="60"/>
  <c r="AM23" i="60"/>
  <c r="AM87" i="60"/>
  <c r="AV87" i="60"/>
  <c r="AU87" i="60"/>
  <c r="AT87" i="60"/>
  <c r="AP87" i="60"/>
  <c r="AO87" i="60"/>
  <c r="AB88" i="60"/>
  <c r="AQ97" i="60"/>
  <c r="AQ95" i="60"/>
  <c r="BC95" i="60" s="1" a="1"/>
  <c r="BC95" i="60" s="1"/>
  <c r="AQ94" i="60"/>
  <c r="BC94" i="60" s="1" a="1"/>
  <c r="BC94" i="60" s="1"/>
  <c r="AQ93" i="60"/>
  <c r="BC92" i="60" a="1"/>
  <c r="BC92" i="60" s="1"/>
  <c r="AQ92" i="60"/>
  <c r="AQ91" i="60"/>
  <c r="O87" i="60"/>
  <c r="F306" i="106" l="1"/>
  <c r="E306" i="106"/>
  <c r="D308" i="106" s="1" a="1"/>
  <c r="D308" i="106" s="1"/>
  <c r="F236" i="106"/>
  <c r="E236" i="106"/>
  <c r="D238" i="106" s="1" a="1"/>
  <c r="D238" i="106" s="1"/>
  <c r="E726" i="106"/>
  <c r="D728" i="106" s="1" a="1"/>
  <c r="D728" i="106" s="1"/>
  <c r="F726" i="106"/>
  <c r="F628" i="106"/>
  <c r="E628" i="106"/>
  <c r="D630" i="106" s="1" a="1"/>
  <c r="D630" i="106" s="1"/>
  <c r="E502" i="106"/>
  <c r="D504" i="106" s="1" a="1"/>
  <c r="D504" i="106" s="1"/>
  <c r="F502" i="106"/>
  <c r="F376" i="106"/>
  <c r="E376" i="106"/>
  <c r="D378" i="106" s="1" a="1"/>
  <c r="D378" i="106" s="1"/>
  <c r="E418" i="106"/>
  <c r="D420" i="106" s="1" a="1"/>
  <c r="D420" i="106" s="1"/>
  <c r="F418" i="106"/>
  <c r="E586" i="106"/>
  <c r="D588" i="106" s="1" a="1"/>
  <c r="D588" i="106" s="1"/>
  <c r="F586" i="106"/>
  <c r="F656" i="106"/>
  <c r="E656" i="106"/>
  <c r="D658" i="106" s="1" a="1"/>
  <c r="D658" i="106" s="1"/>
  <c r="J333" i="106"/>
  <c r="K332" i="106"/>
  <c r="E754" i="106"/>
  <c r="D756" i="106" s="1" a="1"/>
  <c r="D756" i="106" s="1"/>
  <c r="F754" i="106"/>
  <c r="F446" i="106"/>
  <c r="E446" i="106"/>
  <c r="D448" i="106" s="1" a="1"/>
  <c r="D448" i="106" s="1"/>
  <c r="F558" i="106"/>
  <c r="E558" i="106"/>
  <c r="D560" i="106" s="1" a="1"/>
  <c r="D560" i="106" s="1"/>
  <c r="F196" i="106"/>
  <c r="E196" i="106"/>
  <c r="D198" i="106" s="1" a="1"/>
  <c r="D198" i="106" s="1"/>
  <c r="F82" i="106"/>
  <c r="E82" i="106"/>
  <c r="D84" i="106" s="1" a="1"/>
  <c r="D84" i="106" s="1"/>
  <c r="J193" i="106"/>
  <c r="K192" i="106"/>
  <c r="BC22" i="106"/>
  <c r="BJ22" i="106"/>
  <c r="K261" i="106"/>
  <c r="J262" i="106" s="1"/>
  <c r="E544" i="106"/>
  <c r="D546" i="106" s="1" a="1"/>
  <c r="D546" i="106" s="1"/>
  <c r="F544" i="106"/>
  <c r="K737" i="106"/>
  <c r="J738" i="106"/>
  <c r="E166" i="106"/>
  <c r="D168" i="106" s="1" a="1"/>
  <c r="D168" i="106" s="1"/>
  <c r="F166" i="106"/>
  <c r="F670" i="106"/>
  <c r="E670" i="106"/>
  <c r="D672" i="106" s="1" a="1"/>
  <c r="D672" i="106" s="1"/>
  <c r="K401" i="106"/>
  <c r="J402" i="106"/>
  <c r="K177" i="106"/>
  <c r="J583" i="106"/>
  <c r="J430" i="106"/>
  <c r="K429" i="106"/>
  <c r="E768" i="106"/>
  <c r="D770" i="106" s="1" a="1"/>
  <c r="D770" i="106" s="1"/>
  <c r="F768" i="106"/>
  <c r="E366" i="106"/>
  <c r="D368" i="106" s="1" a="1"/>
  <c r="D368" i="106" s="1"/>
  <c r="F366" i="106"/>
  <c r="K151" i="106"/>
  <c r="J152" i="106" s="1"/>
  <c r="K359" i="106"/>
  <c r="J360" i="106"/>
  <c r="J107" i="106"/>
  <c r="J541" i="106"/>
  <c r="J275" i="106"/>
  <c r="J765" i="106"/>
  <c r="J709" i="106"/>
  <c r="F476" i="106"/>
  <c r="E476" i="106"/>
  <c r="D478" i="106" s="1" a="1"/>
  <c r="D478" i="106" s="1"/>
  <c r="J135" i="106"/>
  <c r="K219" i="106"/>
  <c r="J220" i="106" s="1"/>
  <c r="K51" i="106"/>
  <c r="J52" i="106"/>
  <c r="F52" i="106"/>
  <c r="E52" i="106"/>
  <c r="D54" i="106" s="1" a="1"/>
  <c r="D54" i="106" s="1"/>
  <c r="J723" i="106"/>
  <c r="J667" i="106"/>
  <c r="K305" i="106"/>
  <c r="J306" i="106"/>
  <c r="J122" i="106"/>
  <c r="K555" i="106"/>
  <c r="J556" i="106"/>
  <c r="F154" i="106"/>
  <c r="E154" i="106"/>
  <c r="D156" i="106" s="1" a="1"/>
  <c r="D156" i="106" s="1"/>
  <c r="K93" i="106"/>
  <c r="J373" i="106"/>
  <c r="F110" i="106"/>
  <c r="E110" i="106"/>
  <c r="D112" i="106" s="1" a="1"/>
  <c r="D112" i="106" s="1"/>
  <c r="J415" i="106"/>
  <c r="K485" i="106"/>
  <c r="F462" i="106"/>
  <c r="E462" i="106"/>
  <c r="D464" i="106" s="1" a="1"/>
  <c r="D464" i="106" s="1"/>
  <c r="E208" i="106"/>
  <c r="D210" i="106" s="1" a="1"/>
  <c r="D210" i="106" s="1"/>
  <c r="F208" i="106"/>
  <c r="F516" i="106"/>
  <c r="E516" i="106"/>
  <c r="D518" i="106" s="1" a="1"/>
  <c r="D518" i="106" s="1"/>
  <c r="F490" i="106"/>
  <c r="E490" i="106"/>
  <c r="D492" i="106" s="1" a="1"/>
  <c r="D492" i="106" s="1"/>
  <c r="K233" i="106"/>
  <c r="J234" i="106"/>
  <c r="F616" i="106"/>
  <c r="E616" i="106"/>
  <c r="D618" i="106" s="1" a="1"/>
  <c r="D618" i="106" s="1"/>
  <c r="J696" i="106"/>
  <c r="K695" i="106"/>
  <c r="E348" i="106"/>
  <c r="D350" i="106" s="1" a="1"/>
  <c r="D350" i="106" s="1"/>
  <c r="F348" i="106"/>
  <c r="K388" i="106"/>
  <c r="J389" i="106" s="1"/>
  <c r="J625" i="106"/>
  <c r="F684" i="106"/>
  <c r="E684" i="106"/>
  <c r="D686" i="106" s="1" a="1"/>
  <c r="D686" i="106" s="1"/>
  <c r="K611" i="106"/>
  <c r="J612" i="106"/>
  <c r="J205" i="106"/>
  <c r="K499" i="106"/>
  <c r="J500" i="106" s="1"/>
  <c r="F322" i="106"/>
  <c r="E322" i="106"/>
  <c r="D324" i="106" s="1" a="1"/>
  <c r="D324" i="106" s="1"/>
  <c r="F278" i="106"/>
  <c r="E278" i="106"/>
  <c r="D280" i="106" s="1" a="1"/>
  <c r="D280" i="106" s="1"/>
  <c r="J347" i="106"/>
  <c r="K346" i="106"/>
  <c r="E532" i="106"/>
  <c r="D534" i="106" s="1" a="1"/>
  <c r="D534" i="106" s="1"/>
  <c r="F532" i="106"/>
  <c r="K248" i="106"/>
  <c r="J249" i="106" s="1"/>
  <c r="J681" i="106"/>
  <c r="F96" i="106"/>
  <c r="E96" i="106"/>
  <c r="D98" i="106" s="1" a="1"/>
  <c r="D98" i="106" s="1"/>
  <c r="E574" i="106"/>
  <c r="D576" i="106" s="1" a="1"/>
  <c r="D576" i="106" s="1"/>
  <c r="F574" i="106"/>
  <c r="K457" i="106"/>
  <c r="J458" i="106"/>
  <c r="F432" i="106"/>
  <c r="E432" i="106"/>
  <c r="D434" i="106" s="1" a="1"/>
  <c r="D434" i="106" s="1"/>
  <c r="E698" i="106"/>
  <c r="D700" i="106" s="1" a="1"/>
  <c r="D700" i="106" s="1"/>
  <c r="F698" i="106"/>
  <c r="E264" i="106"/>
  <c r="D266" i="106" s="1" a="1"/>
  <c r="D266" i="106" s="1"/>
  <c r="F264" i="106"/>
  <c r="E252" i="106"/>
  <c r="D254" i="106" s="1" a="1"/>
  <c r="D254" i="106" s="1"/>
  <c r="F252" i="106"/>
  <c r="K443" i="106"/>
  <c r="J444" i="106"/>
  <c r="E334" i="106"/>
  <c r="D336" i="106" s="1" a="1"/>
  <c r="D336" i="106" s="1"/>
  <c r="F334" i="106"/>
  <c r="K597" i="106"/>
  <c r="J598" i="106"/>
  <c r="E124" i="106"/>
  <c r="D126" i="106" s="1" a="1"/>
  <c r="D126" i="106" s="1"/>
  <c r="F124" i="106"/>
  <c r="K163" i="106"/>
  <c r="J164" i="106" s="1"/>
  <c r="E292" i="106"/>
  <c r="D294" i="106" s="1" a="1"/>
  <c r="D294" i="106" s="1"/>
  <c r="F292" i="106"/>
  <c r="F222" i="106"/>
  <c r="E222" i="106"/>
  <c r="D224" i="106" s="1" a="1"/>
  <c r="D224" i="106" s="1"/>
  <c r="E602" i="106"/>
  <c r="D604" i="106" s="1" a="1"/>
  <c r="D604" i="106" s="1"/>
  <c r="F602" i="106"/>
  <c r="F712" i="106"/>
  <c r="E712" i="106"/>
  <c r="D714" i="106" s="1" a="1"/>
  <c r="D714" i="106" s="1"/>
  <c r="J653" i="106"/>
  <c r="F642" i="106"/>
  <c r="E642" i="106"/>
  <c r="D644" i="106" s="1" a="1"/>
  <c r="D644" i="106" s="1"/>
  <c r="K79" i="106"/>
  <c r="J80" i="106"/>
  <c r="F138" i="106"/>
  <c r="E138" i="106"/>
  <c r="D140" i="106" s="1" a="1"/>
  <c r="D140" i="106" s="1"/>
  <c r="F55" i="106"/>
  <c r="E55" i="106"/>
  <c r="D57" i="106" s="1" a="1"/>
  <c r="D57" i="106" s="1"/>
  <c r="F182" i="106"/>
  <c r="E182" i="106"/>
  <c r="D184" i="106" s="1" a="1"/>
  <c r="D184" i="106" s="1"/>
  <c r="J318" i="106"/>
  <c r="K527" i="106"/>
  <c r="J528" i="106"/>
  <c r="K513" i="106"/>
  <c r="J514" i="106"/>
  <c r="E390" i="106"/>
  <c r="D392" i="106" s="1" a="1"/>
  <c r="D392" i="106" s="1"/>
  <c r="F390" i="106"/>
  <c r="F68" i="106"/>
  <c r="E68" i="106"/>
  <c r="D70" i="106" s="1" a="1"/>
  <c r="D70" i="106" s="1"/>
  <c r="F404" i="106"/>
  <c r="E404" i="106"/>
  <c r="D406" i="106" s="1" a="1"/>
  <c r="D406" i="106" s="1"/>
  <c r="E742" i="106"/>
  <c r="D744" i="106" s="1" a="1"/>
  <c r="D744" i="106" s="1"/>
  <c r="F742" i="106"/>
  <c r="K751" i="106"/>
  <c r="J752" i="106" s="1"/>
  <c r="K65" i="106"/>
  <c r="J66" i="106" s="1"/>
  <c r="J473" i="106"/>
  <c r="J639" i="106"/>
  <c r="J289" i="106"/>
  <c r="K569" i="106"/>
  <c r="J570" i="106"/>
  <c r="BM301" i="104"/>
  <c r="BG301" i="104" s="1"/>
  <c r="BM465" i="104"/>
  <c r="BG465" i="104" s="1"/>
  <c r="BH465" i="104" s="1"/>
  <c r="BB129" i="60"/>
  <c r="BB172" i="60"/>
  <c r="BB244" i="60"/>
  <c r="BB85" i="60"/>
  <c r="BB86" i="60"/>
  <c r="BB170" i="60"/>
  <c r="BB227" i="60"/>
  <c r="BB87" i="60"/>
  <c r="BF87" i="60" s="1"/>
  <c r="BB171" i="60"/>
  <c r="BB238" i="60"/>
  <c r="BB84" i="60"/>
  <c r="BB221" i="60"/>
  <c r="BB232" i="60"/>
  <c r="BB239" i="60"/>
  <c r="BB127" i="60"/>
  <c r="BB222" i="60"/>
  <c r="BB242" i="60"/>
  <c r="BB233" i="60"/>
  <c r="BB128" i="60"/>
  <c r="BB223" i="60"/>
  <c r="BB243" i="60"/>
  <c r="BB24" i="60"/>
  <c r="AN209" i="104"/>
  <c r="AV209" i="104"/>
  <c r="AT209" i="104"/>
  <c r="AS209" i="104"/>
  <c r="AU209" i="104"/>
  <c r="BK209" i="104"/>
  <c r="AW209" i="104"/>
  <c r="BM209" i="104" s="1"/>
  <c r="BG209" i="104" s="1"/>
  <c r="BH209" i="104" s="1"/>
  <c r="AX209" i="104"/>
  <c r="BF367" i="104"/>
  <c r="BC367" i="104" a="1"/>
  <c r="BC367" i="104" s="1"/>
  <c r="BC176" i="104" a="1"/>
  <c r="BC176" i="104" s="1"/>
  <c r="BF176" i="104"/>
  <c r="AV171" i="104"/>
  <c r="AU171" i="104"/>
  <c r="BM171" i="104" s="1"/>
  <c r="BG171" i="104" s="1"/>
  <c r="BH171" i="104" s="1"/>
  <c r="AW171" i="104"/>
  <c r="AT171" i="104"/>
  <c r="AS108" i="104"/>
  <c r="BA108" i="104"/>
  <c r="BE108" i="104" s="1"/>
  <c r="AX108" i="104"/>
  <c r="AW108" i="104"/>
  <c r="AV108" i="104"/>
  <c r="BK108" i="104"/>
  <c r="BB108" i="104"/>
  <c r="AP108" i="104"/>
  <c r="AM108" i="104"/>
  <c r="BC447" i="104" a="1"/>
  <c r="BC447" i="104" s="1"/>
  <c r="BF447" i="104"/>
  <c r="AM106" i="104"/>
  <c r="BA106" i="104"/>
  <c r="BE106" i="104" s="1"/>
  <c r="BB106" i="104"/>
  <c r="AX106" i="104"/>
  <c r="AO387" i="104"/>
  <c r="AV387" i="104"/>
  <c r="AS387" i="104"/>
  <c r="AN387" i="104"/>
  <c r="AP387" i="104"/>
  <c r="AM387" i="104"/>
  <c r="AT69" i="104"/>
  <c r="AU69" i="104"/>
  <c r="BM69" i="104" s="1"/>
  <c r="BG69" i="104" s="1"/>
  <c r="BF67" i="104"/>
  <c r="BC67" i="104" a="1"/>
  <c r="BC67" i="104" s="1"/>
  <c r="BB499" i="104"/>
  <c r="BA499" i="104"/>
  <c r="BE499" i="104" s="1"/>
  <c r="AW499" i="104"/>
  <c r="BC212" i="104" a="1"/>
  <c r="BC212" i="104" s="1"/>
  <c r="BA332" i="104"/>
  <c r="BE332" i="104" s="1"/>
  <c r="AV332" i="104"/>
  <c r="AU332" i="104"/>
  <c r="AL332" i="104" s="1"/>
  <c r="AT332" i="104"/>
  <c r="AX332" i="104"/>
  <c r="BB332" i="104"/>
  <c r="AP332" i="104"/>
  <c r="BK103" i="104"/>
  <c r="BB103" i="104"/>
  <c r="BA103" i="104"/>
  <c r="BE103" i="104" s="1"/>
  <c r="AX103" i="104"/>
  <c r="AW103" i="104"/>
  <c r="AP103" i="104"/>
  <c r="AU103" i="104"/>
  <c r="BM103" i="104" s="1"/>
  <c r="BG103" i="104" s="1"/>
  <c r="BJ103" i="104" s="1"/>
  <c r="AT103" i="104"/>
  <c r="AO103" i="104"/>
  <c r="AS103" i="104"/>
  <c r="AP327" i="104"/>
  <c r="AX327" i="104"/>
  <c r="AO327" i="104"/>
  <c r="AN327" i="104"/>
  <c r="BK327" i="104"/>
  <c r="BA327" i="104"/>
  <c r="BE327" i="104" s="1"/>
  <c r="BB327" i="104"/>
  <c r="BF384" i="104"/>
  <c r="AN492" i="104"/>
  <c r="AX67" i="104"/>
  <c r="AT67" i="104"/>
  <c r="AS67" i="104"/>
  <c r="AP67" i="104"/>
  <c r="AO67" i="104"/>
  <c r="BK67" i="104"/>
  <c r="AU67" i="104"/>
  <c r="AL67" i="104" s="1"/>
  <c r="AW67" i="104"/>
  <c r="BB67" i="104"/>
  <c r="BA67" i="104"/>
  <c r="BE67" i="104" s="1"/>
  <c r="AV67" i="104"/>
  <c r="BF550" i="104"/>
  <c r="BC550" i="104" a="1"/>
  <c r="BC550" i="104" s="1"/>
  <c r="AO108" i="104"/>
  <c r="AN499" i="104"/>
  <c r="BC142" i="104" a="1"/>
  <c r="BC142" i="104" s="1"/>
  <c r="BF142" i="104"/>
  <c r="BB215" i="104"/>
  <c r="BB545" i="104"/>
  <c r="AX545" i="104"/>
  <c r="AV71" i="104"/>
  <c r="AX71" i="104"/>
  <c r="AW71" i="104"/>
  <c r="BC196" i="104" a="1"/>
  <c r="BC196" i="104" s="1"/>
  <c r="BF196" i="104"/>
  <c r="BB334" i="104"/>
  <c r="BA334" i="104"/>
  <c r="BE334" i="104" s="1"/>
  <c r="AS334" i="104"/>
  <c r="AN334" i="104"/>
  <c r="AT334" i="104"/>
  <c r="BA550" i="104"/>
  <c r="BE550" i="104" s="1"/>
  <c r="BB550" i="104"/>
  <c r="AN356" i="104"/>
  <c r="BA356" i="104"/>
  <c r="BE356" i="104" s="1"/>
  <c r="AW356" i="104"/>
  <c r="BK356" i="104"/>
  <c r="BB356" i="104"/>
  <c r="AV356" i="104"/>
  <c r="AU356" i="104"/>
  <c r="AP356" i="104"/>
  <c r="AT356" i="104"/>
  <c r="AO356" i="104"/>
  <c r="AM67" i="104"/>
  <c r="BA146" i="104"/>
  <c r="BE146" i="104" s="1"/>
  <c r="AX146" i="104"/>
  <c r="AW146" i="104"/>
  <c r="AV146" i="104"/>
  <c r="AU146" i="104"/>
  <c r="BM146" i="104" s="1"/>
  <c r="BG146" i="104" s="1"/>
  <c r="AT146" i="104"/>
  <c r="AS146" i="104"/>
  <c r="BK146" i="104"/>
  <c r="BB146" i="104"/>
  <c r="BF210" i="104"/>
  <c r="BC210" i="104" a="1"/>
  <c r="BC210" i="104" s="1"/>
  <c r="BF499" i="104"/>
  <c r="BC499" i="104" a="1"/>
  <c r="BC499" i="104" s="1"/>
  <c r="BC71" i="104" a="1"/>
  <c r="BC71" i="104" s="1"/>
  <c r="BF71" i="104"/>
  <c r="BK118" i="104"/>
  <c r="BB118" i="104"/>
  <c r="AS116" i="104"/>
  <c r="BB116" i="104"/>
  <c r="AW116" i="104"/>
  <c r="BA490" i="104"/>
  <c r="BE490" i="104" s="1"/>
  <c r="AT490" i="104"/>
  <c r="AX490" i="104"/>
  <c r="AW490" i="104"/>
  <c r="AV490" i="104"/>
  <c r="AM490" i="104"/>
  <c r="AP209" i="104"/>
  <c r="BF209" i="104"/>
  <c r="BC209" i="104" a="1"/>
  <c r="BC209" i="104" s="1"/>
  <c r="AX168" i="104"/>
  <c r="BK168" i="104"/>
  <c r="AO58" i="104"/>
  <c r="BA58" i="104"/>
  <c r="BE58" i="104" s="1"/>
  <c r="AU58" i="104"/>
  <c r="BM58" i="104" s="1"/>
  <c r="BG58" i="104" s="1"/>
  <c r="AW58" i="104"/>
  <c r="BB58" i="104"/>
  <c r="AV58" i="104"/>
  <c r="BF407" i="104"/>
  <c r="BC407" i="104" a="1"/>
  <c r="BC407" i="104" s="1"/>
  <c r="BC69" i="104" a="1"/>
  <c r="BC69" i="104" s="1"/>
  <c r="BF69" i="104"/>
  <c r="AU396" i="104"/>
  <c r="AT396" i="104"/>
  <c r="AP396" i="104"/>
  <c r="BK338" i="104"/>
  <c r="BB338" i="104"/>
  <c r="BA338" i="104"/>
  <c r="BE338" i="104" s="1"/>
  <c r="AW338" i="104"/>
  <c r="AU338" i="104"/>
  <c r="BM338" i="104" s="1"/>
  <c r="BG338" i="104" s="1"/>
  <c r="BH338" i="104" s="1"/>
  <c r="AV338" i="104"/>
  <c r="AP338" i="104"/>
  <c r="AX419" i="104"/>
  <c r="AW419" i="104"/>
  <c r="BM419" i="104" s="1"/>
  <c r="BG419" i="104" s="1"/>
  <c r="BH419" i="104" s="1"/>
  <c r="AV419" i="104"/>
  <c r="AT419" i="104"/>
  <c r="AU419" i="104"/>
  <c r="AX53" i="104"/>
  <c r="BA138" i="104"/>
  <c r="BE138" i="104" s="1"/>
  <c r="BB251" i="104"/>
  <c r="AP251" i="104"/>
  <c r="BA53" i="104"/>
  <c r="BE53" i="104" s="1"/>
  <c r="BF213" i="104"/>
  <c r="BC213" i="104" a="1"/>
  <c r="BC213" i="104" s="1"/>
  <c r="AM251" i="104"/>
  <c r="BC319" i="104" a="1"/>
  <c r="BC319" i="104" s="1"/>
  <c r="BF319" i="104"/>
  <c r="AM338" i="104"/>
  <c r="AW396" i="104"/>
  <c r="AV428" i="104"/>
  <c r="AT428" i="104"/>
  <c r="BB428" i="104"/>
  <c r="AU428" i="104"/>
  <c r="BA428" i="104"/>
  <c r="BE428" i="104" s="1"/>
  <c r="AX428" i="104"/>
  <c r="AW428" i="104"/>
  <c r="AP428" i="104"/>
  <c r="AO428" i="104"/>
  <c r="AM488" i="104"/>
  <c r="BB53" i="104"/>
  <c r="AM83" i="104"/>
  <c r="BK93" i="104"/>
  <c r="AV93" i="104"/>
  <c r="BA93" i="104"/>
  <c r="BE93" i="104" s="1"/>
  <c r="AX93" i="104"/>
  <c r="AW93" i="104"/>
  <c r="BM93" i="104" s="1"/>
  <c r="BG93" i="104" s="1"/>
  <c r="BH93" i="104" s="1"/>
  <c r="BC138" i="104" a="1"/>
  <c r="BC138" i="104" s="1"/>
  <c r="AN251" i="104"/>
  <c r="AO348" i="104"/>
  <c r="AN428" i="104"/>
  <c r="AO251" i="104"/>
  <c r="BA333" i="104"/>
  <c r="BE333" i="104" s="1"/>
  <c r="AX333" i="104"/>
  <c r="AU333" i="104"/>
  <c r="AT333" i="104"/>
  <c r="AS333" i="104"/>
  <c r="AO338" i="104"/>
  <c r="BK375" i="104"/>
  <c r="BB375" i="104"/>
  <c r="AT375" i="104"/>
  <c r="AS375" i="104"/>
  <c r="AP375" i="104"/>
  <c r="BC515" i="104" a="1"/>
  <c r="BC515" i="104" s="1"/>
  <c r="BF515" i="104"/>
  <c r="AU450" i="104"/>
  <c r="BF510" i="104"/>
  <c r="BC510" i="104" a="1"/>
  <c r="BC510" i="104" s="1"/>
  <c r="AP527" i="104"/>
  <c r="BK527" i="104"/>
  <c r="AN527" i="104"/>
  <c r="AO527" i="104"/>
  <c r="AS197" i="104"/>
  <c r="AU205" i="104"/>
  <c r="AX283" i="104"/>
  <c r="AS314" i="104"/>
  <c r="AU375" i="104"/>
  <c r="AM413" i="104"/>
  <c r="AM441" i="104"/>
  <c r="AX441" i="104"/>
  <c r="AO48" i="104"/>
  <c r="BC83" i="104" a="1"/>
  <c r="BC83" i="104" s="1"/>
  <c r="BF83" i="104"/>
  <c r="AN141" i="104"/>
  <c r="BK200" i="104"/>
  <c r="BA200" i="104"/>
  <c r="BE200" i="104" s="1"/>
  <c r="AV200" i="104"/>
  <c r="AU200" i="104"/>
  <c r="AN200" i="104"/>
  <c r="AM200" i="104"/>
  <c r="AN203" i="104"/>
  <c r="BK251" i="104"/>
  <c r="BF254" i="104"/>
  <c r="BC254" i="104" a="1"/>
  <c r="BC254" i="104" s="1"/>
  <c r="BK305" i="104"/>
  <c r="AU305" i="104"/>
  <c r="AW333" i="104"/>
  <c r="AV348" i="104"/>
  <c r="AW375" i="104"/>
  <c r="AX380" i="104"/>
  <c r="BB383" i="104"/>
  <c r="BA383" i="104"/>
  <c r="BE383" i="104" s="1"/>
  <c r="AU383" i="104"/>
  <c r="AT383" i="104"/>
  <c r="AX450" i="104"/>
  <c r="AU484" i="104"/>
  <c r="AO530" i="104"/>
  <c r="BK530" i="104"/>
  <c r="AO544" i="104"/>
  <c r="BF75" i="104"/>
  <c r="BC75" i="104" a="1"/>
  <c r="BC75" i="104" s="1"/>
  <c r="BC95" i="104" a="1"/>
  <c r="BC95" i="104" s="1"/>
  <c r="BF95" i="104"/>
  <c r="BB534" i="104"/>
  <c r="AV534" i="104"/>
  <c r="AO534" i="104"/>
  <c r="BA534" i="104"/>
  <c r="BE534" i="104" s="1"/>
  <c r="BK534" i="104"/>
  <c r="AW155" i="104"/>
  <c r="AO155" i="104"/>
  <c r="AN155" i="104"/>
  <c r="AV268" i="104"/>
  <c r="BF258" i="104"/>
  <c r="BC258" i="104" a="1"/>
  <c r="BC258" i="104" s="1"/>
  <c r="BB268" i="104"/>
  <c r="AP419" i="104"/>
  <c r="AL455" i="104"/>
  <c r="CD455" i="104" s="1"/>
  <c r="BF548" i="104"/>
  <c r="AN150" i="104"/>
  <c r="AM205" i="104"/>
  <c r="BA205" i="104"/>
  <c r="BE205" i="104" s="1"/>
  <c r="AM283" i="104"/>
  <c r="BB283" i="104"/>
  <c r="AT309" i="104"/>
  <c r="AP480" i="104"/>
  <c r="BK480" i="104"/>
  <c r="AX480" i="104"/>
  <c r="AT480" i="104"/>
  <c r="AW480" i="104"/>
  <c r="BK126" i="104"/>
  <c r="BB126" i="104"/>
  <c r="AV126" i="104"/>
  <c r="AU126" i="104"/>
  <c r="BM126" i="104" s="1"/>
  <c r="BG126" i="104" s="1"/>
  <c r="BJ126" i="104" s="1"/>
  <c r="AW126" i="104"/>
  <c r="AT205" i="104"/>
  <c r="AS283" i="104"/>
  <c r="BA413" i="104"/>
  <c r="BE413" i="104" s="1"/>
  <c r="AX413" i="104"/>
  <c r="AV486" i="104"/>
  <c r="BK523" i="104"/>
  <c r="BA523" i="104"/>
  <c r="BE523" i="104" s="1"/>
  <c r="BB523" i="104"/>
  <c r="AM544" i="104"/>
  <c r="BC57" i="104" a="1"/>
  <c r="BC57" i="104" s="1"/>
  <c r="BF57" i="104"/>
  <c r="AV107" i="104"/>
  <c r="AU107" i="104"/>
  <c r="BM107" i="104" s="1"/>
  <c r="BG107" i="104" s="1"/>
  <c r="BH107" i="104" s="1"/>
  <c r="AT107" i="104"/>
  <c r="AP107" i="104"/>
  <c r="BK107" i="104"/>
  <c r="AO107" i="104"/>
  <c r="BB107" i="104"/>
  <c r="BA107" i="104"/>
  <c r="BE107" i="104" s="1"/>
  <c r="AN107" i="104"/>
  <c r="AX107" i="104"/>
  <c r="AV309" i="104"/>
  <c r="AV333" i="104"/>
  <c r="AX336" i="104"/>
  <c r="AN336" i="104"/>
  <c r="BK336" i="104"/>
  <c r="AS348" i="104"/>
  <c r="BK418" i="104"/>
  <c r="BB418" i="104"/>
  <c r="AW418" i="104"/>
  <c r="AV418" i="104"/>
  <c r="AU418" i="104"/>
  <c r="AL418" i="104" s="1"/>
  <c r="AX486" i="104"/>
  <c r="AN523" i="104"/>
  <c r="AN544" i="104"/>
  <c r="BC41" i="104" a="1"/>
  <c r="BC41" i="104" s="1"/>
  <c r="AT48" i="104"/>
  <c r="BA79" i="104"/>
  <c r="BE79" i="104" s="1"/>
  <c r="AX79" i="104"/>
  <c r="AW79" i="104"/>
  <c r="AS83" i="104"/>
  <c r="BC115" i="104" a="1"/>
  <c r="BC115" i="104" s="1"/>
  <c r="BF115" i="104"/>
  <c r="AO126" i="104"/>
  <c r="AW205" i="104"/>
  <c r="BM205" i="104" s="1"/>
  <c r="BG205" i="104" s="1"/>
  <c r="BJ205" i="104" s="1"/>
  <c r="AS281" i="104"/>
  <c r="AP291" i="104"/>
  <c r="BK291" i="104"/>
  <c r="AO291" i="104"/>
  <c r="AN291" i="104"/>
  <c r="BB291" i="104"/>
  <c r="BA291" i="104"/>
  <c r="BE291" i="104" s="1"/>
  <c r="AN305" i="104"/>
  <c r="BB307" i="104"/>
  <c r="AX348" i="104"/>
  <c r="BF380" i="104"/>
  <c r="AO418" i="104"/>
  <c r="AU441" i="104"/>
  <c r="BM441" i="104" s="1"/>
  <c r="BG441" i="104" s="1"/>
  <c r="AU454" i="104"/>
  <c r="AX454" i="104"/>
  <c r="AN530" i="104"/>
  <c r="BK217" i="104"/>
  <c r="AX217" i="104"/>
  <c r="BA217" i="104"/>
  <c r="BE217" i="104" s="1"/>
  <c r="BF490" i="104"/>
  <c r="BC490" i="104" a="1"/>
  <c r="BC490" i="104" s="1"/>
  <c r="AN534" i="104"/>
  <c r="BF140" i="104"/>
  <c r="AT161" i="104"/>
  <c r="BB161" i="104"/>
  <c r="AU161" i="104"/>
  <c r="BF360" i="104"/>
  <c r="BC360" i="104" a="1"/>
  <c r="BC360" i="104" s="1"/>
  <c r="BF389" i="104"/>
  <c r="AM419" i="104"/>
  <c r="BK464" i="104"/>
  <c r="AX464" i="104"/>
  <c r="BB464" i="104"/>
  <c r="BC130" i="104" a="1"/>
  <c r="BC130" i="104" s="1"/>
  <c r="AU352" i="104"/>
  <c r="AV424" i="104"/>
  <c r="AS424" i="104"/>
  <c r="AT548" i="104"/>
  <c r="AN136" i="104"/>
  <c r="BB150" i="104"/>
  <c r="BA150" i="104"/>
  <c r="BE150" i="104" s="1"/>
  <c r="AX150" i="104"/>
  <c r="AS161" i="104"/>
  <c r="AN338" i="104"/>
  <c r="AW450" i="104"/>
  <c r="AO450" i="104"/>
  <c r="AN450" i="104"/>
  <c r="AT450" i="104"/>
  <c r="AS450" i="104"/>
  <c r="AM450" i="104"/>
  <c r="AL450" i="104" s="1"/>
  <c r="AP450" i="104"/>
  <c r="AV464" i="104"/>
  <c r="AM486" i="104"/>
  <c r="AN83" i="104"/>
  <c r="BB261" i="104"/>
  <c r="AT261" i="104"/>
  <c r="BA544" i="104"/>
  <c r="BE544" i="104" s="1"/>
  <c r="BB544" i="104"/>
  <c r="AW544" i="104"/>
  <c r="AX544" i="104"/>
  <c r="AS544" i="104"/>
  <c r="AX134" i="104"/>
  <c r="AU134" i="104"/>
  <c r="AS261" i="104"/>
  <c r="BM455" i="104"/>
  <c r="BG455" i="104" s="1"/>
  <c r="BH455" i="104" s="1"/>
  <c r="BC462" i="104" a="1"/>
  <c r="BC462" i="104" s="1"/>
  <c r="AO480" i="104"/>
  <c r="AT488" i="104"/>
  <c r="BF546" i="104"/>
  <c r="BC546" i="104" a="1"/>
  <c r="BC546" i="104" s="1"/>
  <c r="AP83" i="104"/>
  <c r="AM134" i="104"/>
  <c r="AV150" i="104"/>
  <c r="AM203" i="104"/>
  <c r="BK203" i="104"/>
  <c r="BF458" i="104"/>
  <c r="BC458" i="104" a="1"/>
  <c r="BC458" i="104" s="1"/>
  <c r="DJ6" i="104"/>
  <c r="AO79" i="104"/>
  <c r="AP126" i="104"/>
  <c r="AW188" i="104"/>
  <c r="BF191" i="104"/>
  <c r="BC191" i="104" a="1"/>
  <c r="BC191" i="104" s="1"/>
  <c r="AX205" i="104"/>
  <c r="AV281" i="104"/>
  <c r="AM291" i="104"/>
  <c r="AU347" i="104"/>
  <c r="AL347" i="104" s="1"/>
  <c r="AS347" i="104"/>
  <c r="AX347" i="104"/>
  <c r="BA347" i="104"/>
  <c r="BE347" i="104" s="1"/>
  <c r="BK402" i="104"/>
  <c r="BA402" i="104"/>
  <c r="BE402" i="104" s="1"/>
  <c r="AX402" i="104"/>
  <c r="BC413" i="104" a="1"/>
  <c r="BC413" i="104" s="1"/>
  <c r="BA432" i="104"/>
  <c r="BE432" i="104" s="1"/>
  <c r="AW432" i="104"/>
  <c r="AV441" i="104"/>
  <c r="BB450" i="104"/>
  <c r="AW523" i="104"/>
  <c r="AT65" i="104"/>
  <c r="AO65" i="104"/>
  <c r="BF391" i="104"/>
  <c r="BC391" i="104" a="1"/>
  <c r="BC391" i="104" s="1"/>
  <c r="AN65" i="104"/>
  <c r="AO396" i="104"/>
  <c r="AW83" i="104"/>
  <c r="AV83" i="104"/>
  <c r="AU83" i="104"/>
  <c r="AT83" i="104"/>
  <c r="BB83" i="104"/>
  <c r="BK83" i="104"/>
  <c r="BF133" i="104"/>
  <c r="AN253" i="104"/>
  <c r="BK253" i="104"/>
  <c r="AT253" i="104"/>
  <c r="BA293" i="104"/>
  <c r="BE293" i="104" s="1"/>
  <c r="BB293" i="104"/>
  <c r="AW348" i="104"/>
  <c r="AU348" i="104"/>
  <c r="BM348" i="104" s="1"/>
  <c r="BG348" i="104" s="1"/>
  <c r="AT348" i="104"/>
  <c r="AO293" i="104"/>
  <c r="AN424" i="104"/>
  <c r="AP136" i="104"/>
  <c r="BK290" i="104"/>
  <c r="AX290" i="104"/>
  <c r="AW290" i="104"/>
  <c r="BA290" i="104"/>
  <c r="BE290" i="104" s="1"/>
  <c r="AT290" i="104"/>
  <c r="AP348" i="104"/>
  <c r="AS419" i="104"/>
  <c r="AO424" i="104"/>
  <c r="AS488" i="104"/>
  <c r="AU63" i="104"/>
  <c r="AT63" i="104"/>
  <c r="AS63" i="104"/>
  <c r="AP63" i="104"/>
  <c r="BC76" i="104" a="1"/>
  <c r="BC76" i="104" s="1"/>
  <c r="AO83" i="104"/>
  <c r="AU93" i="104"/>
  <c r="AU141" i="104"/>
  <c r="AT141" i="104"/>
  <c r="AS141" i="104"/>
  <c r="AO141" i="104"/>
  <c r="AX141" i="104"/>
  <c r="AW141" i="104"/>
  <c r="BM141" i="104" s="1"/>
  <c r="BG141" i="104" s="1"/>
  <c r="AV141" i="104"/>
  <c r="AV380" i="104"/>
  <c r="AP484" i="104"/>
  <c r="BA484" i="104"/>
  <c r="BE484" i="104" s="1"/>
  <c r="AW48" i="104"/>
  <c r="BA48" i="104"/>
  <c r="BE48" i="104" s="1"/>
  <c r="AX48" i="104"/>
  <c r="BB48" i="104"/>
  <c r="AM126" i="104"/>
  <c r="AV446" i="104"/>
  <c r="BB446" i="104"/>
  <c r="BK446" i="104"/>
  <c r="AV450" i="104"/>
  <c r="BC484" i="104" a="1"/>
  <c r="BC484" i="104" s="1"/>
  <c r="BF484" i="104"/>
  <c r="AP79" i="104"/>
  <c r="BA83" i="104"/>
  <c r="BE83" i="104" s="1"/>
  <c r="BA203" i="104"/>
  <c r="BE203" i="104" s="1"/>
  <c r="AW272" i="104"/>
  <c r="BM272" i="104" s="1"/>
  <c r="BG272" i="104" s="1"/>
  <c r="AV272" i="104"/>
  <c r="AW279" i="104"/>
  <c r="AU279" i="104"/>
  <c r="BM279" i="104" s="1"/>
  <c r="BG279" i="104" s="1"/>
  <c r="BH279" i="104" s="1"/>
  <c r="AW281" i="104"/>
  <c r="AT305" i="104"/>
  <c r="AM347" i="104"/>
  <c r="BB348" i="104"/>
  <c r="AM402" i="104"/>
  <c r="AP432" i="104"/>
  <c r="AW441" i="104"/>
  <c r="BK450" i="104"/>
  <c r="BC468" i="104" a="1"/>
  <c r="BC468" i="104" s="1"/>
  <c r="BC521" i="104" a="1"/>
  <c r="BC521" i="104" s="1"/>
  <c r="BF521" i="104"/>
  <c r="AX523" i="104"/>
  <c r="AT540" i="104"/>
  <c r="BB296" i="104"/>
  <c r="BA296" i="104"/>
  <c r="BE296" i="104" s="1"/>
  <c r="AP390" i="104"/>
  <c r="AP452" i="104"/>
  <c r="AT52" i="104"/>
  <c r="AS52" i="104"/>
  <c r="AN143" i="104"/>
  <c r="AN302" i="104"/>
  <c r="BC374" i="104" a="1"/>
  <c r="BC374" i="104" s="1"/>
  <c r="BF374" i="104"/>
  <c r="BF456" i="104"/>
  <c r="BC456" i="104" a="1"/>
  <c r="BC456" i="104" s="1"/>
  <c r="BK522" i="104"/>
  <c r="BB522" i="104"/>
  <c r="BA522" i="104"/>
  <c r="BE522" i="104" s="1"/>
  <c r="AV522" i="104"/>
  <c r="AU522" i="104"/>
  <c r="AN522" i="104"/>
  <c r="AP522" i="104"/>
  <c r="BC530" i="104" a="1"/>
  <c r="BC530" i="104" s="1"/>
  <c r="AS47" i="104"/>
  <c r="AV51" i="104"/>
  <c r="AU51" i="104"/>
  <c r="AT51" i="104"/>
  <c r="AS51" i="104"/>
  <c r="AS98" i="104"/>
  <c r="AO143" i="104"/>
  <c r="AW241" i="104"/>
  <c r="AN271" i="104"/>
  <c r="AS280" i="104"/>
  <c r="AO280" i="104"/>
  <c r="AN280" i="104"/>
  <c r="AS282" i="104"/>
  <c r="AN284" i="104"/>
  <c r="AP285" i="104"/>
  <c r="AT287" i="104"/>
  <c r="AX296" i="104"/>
  <c r="AW318" i="104"/>
  <c r="AT326" i="104"/>
  <c r="BA357" i="104"/>
  <c r="BE357" i="104" s="1"/>
  <c r="AP379" i="104"/>
  <c r="BB397" i="104"/>
  <c r="AV397" i="104"/>
  <c r="AO397" i="104"/>
  <c r="AN397" i="104"/>
  <c r="BF409" i="104"/>
  <c r="BC409" i="104" a="1"/>
  <c r="BC409" i="104" s="1"/>
  <c r="AX423" i="104"/>
  <c r="AT423" i="104"/>
  <c r="AS423" i="104"/>
  <c r="BK423" i="104"/>
  <c r="AP423" i="104"/>
  <c r="AU423" i="104"/>
  <c r="AO465" i="104"/>
  <c r="AM522" i="104"/>
  <c r="AW532" i="104"/>
  <c r="BB345" i="104"/>
  <c r="BK345" i="104"/>
  <c r="BA351" i="104"/>
  <c r="BE351" i="104" s="1"/>
  <c r="AP351" i="104"/>
  <c r="AO351" i="104"/>
  <c r="AM351" i="104"/>
  <c r="AN390" i="104"/>
  <c r="AM390" i="104"/>
  <c r="BA390" i="104"/>
  <c r="BE390" i="104" s="1"/>
  <c r="AW390" i="104"/>
  <c r="AV390" i="104"/>
  <c r="BK452" i="104"/>
  <c r="AV452" i="104"/>
  <c r="AO409" i="104"/>
  <c r="AP47" i="104"/>
  <c r="AN207" i="104"/>
  <c r="AT207" i="104"/>
  <c r="AS207" i="104"/>
  <c r="AO207" i="104"/>
  <c r="AM271" i="104"/>
  <c r="AM284" i="104"/>
  <c r="AL284" i="104" s="1"/>
  <c r="AO285" i="104"/>
  <c r="AS287" i="104"/>
  <c r="AS326" i="104"/>
  <c r="AS351" i="104"/>
  <c r="AO379" i="104"/>
  <c r="AX483" i="104"/>
  <c r="AW483" i="104"/>
  <c r="BM483" i="104" s="1"/>
  <c r="BG483" i="104" s="1"/>
  <c r="BA483" i="104"/>
  <c r="BE483" i="104" s="1"/>
  <c r="AV483" i="104"/>
  <c r="AU483" i="104"/>
  <c r="AS483" i="104"/>
  <c r="AT483" i="104"/>
  <c r="BK505" i="104"/>
  <c r="BB505" i="104"/>
  <c r="BF528" i="104"/>
  <c r="AT47" i="104"/>
  <c r="AX74" i="104"/>
  <c r="AT74" i="104"/>
  <c r="AS74" i="104"/>
  <c r="BB92" i="104"/>
  <c r="BA92" i="104"/>
  <c r="BE92" i="104" s="1"/>
  <c r="AX92" i="104"/>
  <c r="AP143" i="104"/>
  <c r="AX145" i="104"/>
  <c r="AW145" i="104"/>
  <c r="AV145" i="104"/>
  <c r="AT145" i="104"/>
  <c r="BK160" i="104"/>
  <c r="AW160" i="104"/>
  <c r="AV160" i="104"/>
  <c r="AU160" i="104"/>
  <c r="AT160" i="104"/>
  <c r="AN206" i="104"/>
  <c r="AM206" i="104"/>
  <c r="AU206" i="104"/>
  <c r="BM206" i="104" s="1"/>
  <c r="BG206" i="104" s="1"/>
  <c r="BH206" i="104" s="1"/>
  <c r="AT206" i="104"/>
  <c r="AS206" i="104"/>
  <c r="AU207" i="104"/>
  <c r="AS210" i="104"/>
  <c r="AP210" i="104"/>
  <c r="AO210" i="104"/>
  <c r="BF218" i="104"/>
  <c r="AW233" i="104"/>
  <c r="BF247" i="104"/>
  <c r="AP280" i="104"/>
  <c r="BA282" i="104"/>
  <c r="BE282" i="104" s="1"/>
  <c r="AO284" i="104"/>
  <c r="AS285" i="104"/>
  <c r="AU287" i="104"/>
  <c r="BA306" i="104"/>
  <c r="BE306" i="104" s="1"/>
  <c r="AW306" i="104"/>
  <c r="AT306" i="104"/>
  <c r="BK318" i="104"/>
  <c r="AX326" i="104"/>
  <c r="BB357" i="104"/>
  <c r="AW361" i="104"/>
  <c r="AO361" i="104"/>
  <c r="AM397" i="104"/>
  <c r="BA406" i="104"/>
  <c r="BE406" i="104" s="1"/>
  <c r="AW406" i="104"/>
  <c r="AT406" i="104"/>
  <c r="AS406" i="104"/>
  <c r="AX406" i="104"/>
  <c r="AV406" i="104"/>
  <c r="AP406" i="104"/>
  <c r="AM423" i="104"/>
  <c r="BK476" i="104"/>
  <c r="AX476" i="104"/>
  <c r="AW476" i="104"/>
  <c r="AO483" i="104"/>
  <c r="BC507" i="104" a="1"/>
  <c r="BC507" i="104" s="1"/>
  <c r="BB409" i="104"/>
  <c r="AV409" i="104"/>
  <c r="BK532" i="104"/>
  <c r="BB532" i="104"/>
  <c r="BA532" i="104"/>
  <c r="BE532" i="104" s="1"/>
  <c r="BB82" i="104"/>
  <c r="AX82" i="104"/>
  <c r="AS82" i="104"/>
  <c r="AU271" i="104"/>
  <c r="AL271" i="104" s="1"/>
  <c r="AS271" i="104"/>
  <c r="AP271" i="104"/>
  <c r="BK271" i="104"/>
  <c r="BA271" i="104"/>
  <c r="BE271" i="104" s="1"/>
  <c r="AX271" i="104"/>
  <c r="AW271" i="104"/>
  <c r="AN285" i="104"/>
  <c r="AT302" i="104"/>
  <c r="AS302" i="104"/>
  <c r="AP302" i="104"/>
  <c r="BF411" i="104"/>
  <c r="AN532" i="104"/>
  <c r="AU296" i="104"/>
  <c r="BF479" i="104"/>
  <c r="AU47" i="104"/>
  <c r="AS117" i="104"/>
  <c r="BB117" i="104"/>
  <c r="BA117" i="104"/>
  <c r="BE117" i="104" s="1"/>
  <c r="AV117" i="104"/>
  <c r="AN145" i="104"/>
  <c r="AX154" i="104"/>
  <c r="AO160" i="104"/>
  <c r="AM202" i="104"/>
  <c r="AU204" i="104"/>
  <c r="AS204" i="104"/>
  <c r="AO206" i="104"/>
  <c r="AV207" i="104"/>
  <c r="AM210" i="104"/>
  <c r="BK218" i="104"/>
  <c r="AV257" i="104"/>
  <c r="AP257" i="104"/>
  <c r="BF260" i="104"/>
  <c r="BC260" i="104" a="1"/>
  <c r="BC260" i="104" s="1"/>
  <c r="AT271" i="104"/>
  <c r="AT280" i="104"/>
  <c r="AP284" i="104"/>
  <c r="AT285" i="104"/>
  <c r="AX287" i="104"/>
  <c r="AN299" i="104"/>
  <c r="BB299" i="104"/>
  <c r="BA299" i="104"/>
  <c r="BE299" i="104" s="1"/>
  <c r="AX299" i="104"/>
  <c r="AU302" i="104"/>
  <c r="BA326" i="104"/>
  <c r="BE326" i="104" s="1"/>
  <c r="AN354" i="104"/>
  <c r="AM361" i="104"/>
  <c r="BF377" i="104"/>
  <c r="BC377" i="104" a="1"/>
  <c r="BC377" i="104" s="1"/>
  <c r="AM406" i="104"/>
  <c r="AN423" i="104"/>
  <c r="AS465" i="104"/>
  <c r="AM476" i="104"/>
  <c r="AU478" i="104"/>
  <c r="AL478" i="104" s="1"/>
  <c r="AR478" i="104" s="1"/>
  <c r="AO478" i="104"/>
  <c r="AN478" i="104"/>
  <c r="BK478" i="104"/>
  <c r="AP483" i="104"/>
  <c r="AW505" i="104"/>
  <c r="AW522" i="104"/>
  <c r="BC532" i="104" a="1"/>
  <c r="BC532" i="104" s="1"/>
  <c r="AW143" i="104"/>
  <c r="BM143" i="104" s="1"/>
  <c r="BG143" i="104" s="1"/>
  <c r="BJ143" i="104" s="1"/>
  <c r="BK143" i="104"/>
  <c r="BB143" i="104"/>
  <c r="BA143" i="104"/>
  <c r="BE143" i="104" s="1"/>
  <c r="AN132" i="104"/>
  <c r="AP132" i="104"/>
  <c r="AM143" i="104"/>
  <c r="BF338" i="104"/>
  <c r="BC338" i="104" a="1"/>
  <c r="BC338" i="104" s="1"/>
  <c r="AN345" i="104"/>
  <c r="AT143" i="104"/>
  <c r="AW207" i="104"/>
  <c r="AS284" i="104"/>
  <c r="BA302" i="104"/>
  <c r="BE302" i="104" s="1"/>
  <c r="AN361" i="104"/>
  <c r="AW397" i="104"/>
  <c r="AN406" i="104"/>
  <c r="AT434" i="104"/>
  <c r="AP434" i="104"/>
  <c r="AO434" i="104"/>
  <c r="BK461" i="104"/>
  <c r="AW461" i="104"/>
  <c r="AU461" i="104"/>
  <c r="AO476" i="104"/>
  <c r="AX505" i="104"/>
  <c r="AX529" i="104"/>
  <c r="AT529" i="104"/>
  <c r="AU529" i="104"/>
  <c r="AO529" i="104"/>
  <c r="AM181" i="104"/>
  <c r="AV264" i="104"/>
  <c r="AS264" i="104"/>
  <c r="BF278" i="104"/>
  <c r="BC278" i="104" a="1"/>
  <c r="BC278" i="104" s="1"/>
  <c r="AP414" i="104"/>
  <c r="BK437" i="104"/>
  <c r="AW437" i="104"/>
  <c r="BM437" i="104" s="1"/>
  <c r="BG437" i="104" s="1"/>
  <c r="AV437" i="104"/>
  <c r="BB482" i="104"/>
  <c r="BA482" i="104"/>
  <c r="BE482" i="104" s="1"/>
  <c r="AN500" i="104"/>
  <c r="AO511" i="104"/>
  <c r="AM216" i="104"/>
  <c r="AL216" i="104" s="1"/>
  <c r="AS216" i="104"/>
  <c r="AP216" i="104"/>
  <c r="AO216" i="104"/>
  <c r="AX422" i="104"/>
  <c r="AV422" i="104"/>
  <c r="AT422" i="104"/>
  <c r="AX455" i="104"/>
  <c r="BK455" i="104"/>
  <c r="AO500" i="104"/>
  <c r="AP511" i="104"/>
  <c r="AU520" i="104"/>
  <c r="BB537" i="104"/>
  <c r="AW537" i="104"/>
  <c r="AU537" i="104"/>
  <c r="BM537" i="104" s="1"/>
  <c r="BG537" i="104" s="1"/>
  <c r="BH537" i="104" s="1"/>
  <c r="AP122" i="104"/>
  <c r="AM164" i="104"/>
  <c r="AL164" i="104" s="1"/>
  <c r="AN175" i="104"/>
  <c r="AO181" i="104"/>
  <c r="AN216" i="104"/>
  <c r="AS278" i="104"/>
  <c r="BF312" i="104"/>
  <c r="BC312" i="104" a="1"/>
  <c r="BC312" i="104" s="1"/>
  <c r="AN422" i="104"/>
  <c r="AM455" i="104"/>
  <c r="AX466" i="104"/>
  <c r="AM466" i="104"/>
  <c r="BC495" i="104" a="1"/>
  <c r="BC495" i="104" s="1"/>
  <c r="BC502" i="104" a="1"/>
  <c r="BC502" i="104" s="1"/>
  <c r="AW520" i="104"/>
  <c r="AM537" i="104"/>
  <c r="BC211" i="104" a="1"/>
  <c r="BC211" i="104" s="1"/>
  <c r="BF211" i="104"/>
  <c r="AX335" i="104"/>
  <c r="AO335" i="104"/>
  <c r="AM335" i="104"/>
  <c r="BF351" i="104"/>
  <c r="BC351" i="104" a="1"/>
  <c r="BC351" i="104" s="1"/>
  <c r="AW417" i="104"/>
  <c r="AU417" i="104"/>
  <c r="AU463" i="104"/>
  <c r="AP463" i="104"/>
  <c r="AM463" i="104"/>
  <c r="BB479" i="104"/>
  <c r="BK479" i="104"/>
  <c r="AS500" i="104"/>
  <c r="BM399" i="104"/>
  <c r="BG399" i="104" s="1"/>
  <c r="BH399" i="104" s="1"/>
  <c r="AP208" i="104"/>
  <c r="AS254" i="104"/>
  <c r="AM277" i="104"/>
  <c r="BC294" i="104" a="1"/>
  <c r="BC294" i="104" s="1"/>
  <c r="BC317" i="104" a="1"/>
  <c r="BC317" i="104" s="1"/>
  <c r="AP399" i="104"/>
  <c r="AP405" i="104"/>
  <c r="AN451" i="104"/>
  <c r="AT208" i="104"/>
  <c r="BF275" i="104"/>
  <c r="AO358" i="104"/>
  <c r="AS368" i="104"/>
  <c r="AT399" i="104"/>
  <c r="AT401" i="104"/>
  <c r="BF547" i="104"/>
  <c r="AP35" i="104"/>
  <c r="AT35" i="104"/>
  <c r="AW29" i="104"/>
  <c r="BF36" i="104"/>
  <c r="AQ32" i="104"/>
  <c r="N28" i="104"/>
  <c r="AM25" i="104"/>
  <c r="AU26" i="104"/>
  <c r="AV27" i="104"/>
  <c r="AQ33" i="104"/>
  <c r="BF33" i="104" s="1"/>
  <c r="AN38" i="104"/>
  <c r="N31" i="104"/>
  <c r="AM37" i="104"/>
  <c r="N26" i="104"/>
  <c r="AM36" i="104"/>
  <c r="N30" i="104"/>
  <c r="AM27" i="104"/>
  <c r="AU24" i="104"/>
  <c r="AO25" i="104"/>
  <c r="AO24" i="104"/>
  <c r="AV38" i="104"/>
  <c r="AS199" i="104"/>
  <c r="AP199" i="104"/>
  <c r="AX199" i="104"/>
  <c r="BA199" i="104"/>
  <c r="BE199" i="104" s="1"/>
  <c r="AW199" i="104"/>
  <c r="BC301" i="104" a="1"/>
  <c r="BC301" i="104" s="1"/>
  <c r="BF301" i="104"/>
  <c r="BF489" i="104"/>
  <c r="AS491" i="104"/>
  <c r="AM491" i="104"/>
  <c r="AP491" i="104"/>
  <c r="BK491" i="104"/>
  <c r="BB491" i="104"/>
  <c r="BA491" i="104"/>
  <c r="BE491" i="104" s="1"/>
  <c r="AM199" i="104"/>
  <c r="AX378" i="104"/>
  <c r="AP378" i="104"/>
  <c r="AV378" i="104"/>
  <c r="AW378" i="104"/>
  <c r="AU378" i="104"/>
  <c r="BB378" i="104"/>
  <c r="AO378" i="104"/>
  <c r="AN378" i="104"/>
  <c r="AW105" i="104"/>
  <c r="AP105" i="104"/>
  <c r="AN105" i="104"/>
  <c r="AM105" i="104"/>
  <c r="AN199" i="104"/>
  <c r="BC217" i="104" a="1"/>
  <c r="BC217" i="104" s="1"/>
  <c r="BF217" i="104"/>
  <c r="BC429" i="104" a="1"/>
  <c r="BC429" i="104" s="1"/>
  <c r="BF429" i="104"/>
  <c r="BF449" i="104"/>
  <c r="BF73" i="104"/>
  <c r="AO105" i="104"/>
  <c r="AO133" i="104"/>
  <c r="AV133" i="104"/>
  <c r="AU133" i="104"/>
  <c r="AT133" i="104"/>
  <c r="AU329" i="104"/>
  <c r="BM329" i="104" s="1"/>
  <c r="BG329" i="104" s="1"/>
  <c r="BH329" i="104" s="1"/>
  <c r="AT329" i="104"/>
  <c r="AW329" i="104"/>
  <c r="AV329" i="104"/>
  <c r="AS329" i="104"/>
  <c r="BB329" i="104"/>
  <c r="AO329" i="104"/>
  <c r="AS388" i="104"/>
  <c r="AN388" i="104"/>
  <c r="BK388" i="104"/>
  <c r="AW388" i="104"/>
  <c r="AT388" i="104"/>
  <c r="AV388" i="104"/>
  <c r="AM388" i="104"/>
  <c r="BB388" i="104"/>
  <c r="BA388" i="104"/>
  <c r="BE388" i="104" s="1"/>
  <c r="AX388" i="104"/>
  <c r="AP388" i="104"/>
  <c r="AT410" i="104"/>
  <c r="BC455" i="104" a="1"/>
  <c r="BC455" i="104" s="1"/>
  <c r="BF455" i="104"/>
  <c r="AM68" i="104"/>
  <c r="BF81" i="104"/>
  <c r="AU176" i="104"/>
  <c r="BM176" i="104" s="1"/>
  <c r="BG176" i="104" s="1"/>
  <c r="BH176" i="104" s="1"/>
  <c r="AX176" i="104"/>
  <c r="AW176" i="104"/>
  <c r="BB176" i="104"/>
  <c r="AV176" i="104"/>
  <c r="BF277" i="104"/>
  <c r="BC277" i="104" a="1"/>
  <c r="BC277" i="104" s="1"/>
  <c r="AO315" i="104"/>
  <c r="AW341" i="104"/>
  <c r="AX341" i="104"/>
  <c r="AV341" i="104"/>
  <c r="AO388" i="104"/>
  <c r="AV410" i="104"/>
  <c r="BC488" i="104" a="1"/>
  <c r="BC488" i="104" s="1"/>
  <c r="BF488" i="104"/>
  <c r="AX498" i="104"/>
  <c r="AS498" i="104"/>
  <c r="AU498" i="104"/>
  <c r="AN498" i="104"/>
  <c r="AM498" i="104"/>
  <c r="BB498" i="104"/>
  <c r="BA498" i="104"/>
  <c r="BE498" i="104" s="1"/>
  <c r="AW498" i="104"/>
  <c r="AP498" i="104"/>
  <c r="AO498" i="104"/>
  <c r="BK498" i="104"/>
  <c r="AV498" i="104"/>
  <c r="AP315" i="104"/>
  <c r="BC343" i="104" a="1"/>
  <c r="BC343" i="104" s="1"/>
  <c r="BF343" i="104"/>
  <c r="BB410" i="104"/>
  <c r="BA521" i="104"/>
  <c r="BE521" i="104" s="1"/>
  <c r="AT521" i="104"/>
  <c r="AP521" i="104"/>
  <c r="BB521" i="104"/>
  <c r="AX521" i="104"/>
  <c r="AW521" i="104"/>
  <c r="BK521" i="104"/>
  <c r="AV521" i="104"/>
  <c r="AU521" i="104"/>
  <c r="AS521" i="104"/>
  <c r="AP367" i="104"/>
  <c r="AV367" i="104"/>
  <c r="AU367" i="104"/>
  <c r="BA367" i="104"/>
  <c r="BE367" i="104" s="1"/>
  <c r="AS367" i="104"/>
  <c r="AM367" i="104"/>
  <c r="BK367" i="104"/>
  <c r="AO367" i="104"/>
  <c r="BF402" i="104"/>
  <c r="BC402" i="104" a="1"/>
  <c r="BC402" i="104" s="1"/>
  <c r="AP190" i="104"/>
  <c r="BB190" i="104"/>
  <c r="BA190" i="104"/>
  <c r="BE190" i="104" s="1"/>
  <c r="AX190" i="104"/>
  <c r="AN190" i="104"/>
  <c r="BK190" i="104"/>
  <c r="AV190" i="104"/>
  <c r="AU190" i="104"/>
  <c r="AL190" i="104" s="1"/>
  <c r="AW190" i="104"/>
  <c r="AX315" i="104"/>
  <c r="BC329" i="104" a="1"/>
  <c r="BC329" i="104" s="1"/>
  <c r="AN395" i="104"/>
  <c r="BA440" i="104"/>
  <c r="BE440" i="104" s="1"/>
  <c r="AM440" i="104"/>
  <c r="AV440" i="104"/>
  <c r="AU440" i="104"/>
  <c r="AL440" i="104" s="1"/>
  <c r="AS440" i="104"/>
  <c r="AX440" i="104"/>
  <c r="AT440" i="104"/>
  <c r="BC471" i="104" a="1"/>
  <c r="BC471" i="104" s="1"/>
  <c r="BC543" i="104" a="1"/>
  <c r="BC543" i="104" s="1"/>
  <c r="BF543" i="104"/>
  <c r="BC92" i="104" a="1"/>
  <c r="BC92" i="104" s="1"/>
  <c r="BF92" i="104"/>
  <c r="AS252" i="104"/>
  <c r="BB252" i="104"/>
  <c r="BF252" i="104" s="1"/>
  <c r="AW252" i="104"/>
  <c r="AU252" i="104"/>
  <c r="BB442" i="104"/>
  <c r="BA442" i="104"/>
  <c r="BE442" i="104" s="1"/>
  <c r="AU442" i="104"/>
  <c r="AT442" i="104"/>
  <c r="BF454" i="104"/>
  <c r="BC454" i="104" a="1"/>
  <c r="BC454" i="104" s="1"/>
  <c r="BA517" i="104"/>
  <c r="BE517" i="104" s="1"/>
  <c r="BC534" i="104" a="1"/>
  <c r="BC534" i="104" s="1"/>
  <c r="BF534" i="104"/>
  <c r="BF39" i="104"/>
  <c r="BC39" i="104" a="1"/>
  <c r="BC39" i="104" s="1"/>
  <c r="AN198" i="104"/>
  <c r="AV198" i="104"/>
  <c r="AU198" i="104"/>
  <c r="AX198" i="104"/>
  <c r="BB198" i="104"/>
  <c r="AW198" i="104"/>
  <c r="AT198" i="104"/>
  <c r="BA198" i="104"/>
  <c r="BE198" i="104" s="1"/>
  <c r="AW304" i="104"/>
  <c r="AV304" i="104"/>
  <c r="AN304" i="104"/>
  <c r="AM304" i="104"/>
  <c r="AL304" i="104" s="1"/>
  <c r="AX304" i="104"/>
  <c r="BK319" i="104"/>
  <c r="BC393" i="104" a="1"/>
  <c r="BC393" i="104" s="1"/>
  <c r="BF440" i="104"/>
  <c r="BC440" i="104" a="1"/>
  <c r="BC440" i="104" s="1"/>
  <c r="AO521" i="104"/>
  <c r="AN41" i="104"/>
  <c r="AU55" i="104"/>
  <c r="AP159" i="104"/>
  <c r="AO159" i="104"/>
  <c r="BK159" i="104"/>
  <c r="AT159" i="104"/>
  <c r="BA159" i="104"/>
  <c r="BE159" i="104" s="1"/>
  <c r="AX159" i="104"/>
  <c r="AW159" i="104"/>
  <c r="AV159" i="104"/>
  <c r="AM159" i="104"/>
  <c r="AU159" i="104"/>
  <c r="BB159" i="104"/>
  <c r="BB295" i="104"/>
  <c r="BA295" i="104"/>
  <c r="BE295" i="104" s="1"/>
  <c r="BB440" i="104"/>
  <c r="AV55" i="104"/>
  <c r="BF60" i="104"/>
  <c r="BC60" i="104" a="1"/>
  <c r="BC60" i="104" s="1"/>
  <c r="AL143" i="104"/>
  <c r="CD143" i="104" s="1"/>
  <c r="AV147" i="104"/>
  <c r="AS190" i="104"/>
  <c r="AX224" i="104"/>
  <c r="AS295" i="104"/>
  <c r="AT304" i="104"/>
  <c r="AS316" i="104"/>
  <c r="AO316" i="104"/>
  <c r="AU316" i="104"/>
  <c r="AW316" i="104"/>
  <c r="AV316" i="104"/>
  <c r="AT316" i="104"/>
  <c r="AM316" i="104"/>
  <c r="AN316" i="104"/>
  <c r="BF350" i="104"/>
  <c r="BC350" i="104" a="1"/>
  <c r="BC350" i="104" s="1"/>
  <c r="BF118" i="104"/>
  <c r="BC118" i="104" a="1"/>
  <c r="BC118" i="104" s="1"/>
  <c r="AN259" i="104"/>
  <c r="BB259" i="104"/>
  <c r="BA259" i="104"/>
  <c r="BE259" i="104" s="1"/>
  <c r="AW259" i="104"/>
  <c r="AV259" i="104"/>
  <c r="AX259" i="104"/>
  <c r="AU259" i="104"/>
  <c r="BM259" i="104" s="1"/>
  <c r="BG259" i="104" s="1"/>
  <c r="BH259" i="104" s="1"/>
  <c r="AN491" i="104"/>
  <c r="BC497" i="104" a="1"/>
  <c r="BC497" i="104" s="1"/>
  <c r="BC23" i="104" a="1"/>
  <c r="BC23" i="104" s="1"/>
  <c r="BF23" i="104"/>
  <c r="AX410" i="104"/>
  <c r="AU410" i="104"/>
  <c r="AP410" i="104"/>
  <c r="AO410" i="104"/>
  <c r="AW410" i="104"/>
  <c r="AN410" i="104"/>
  <c r="AM410" i="104"/>
  <c r="AO491" i="104"/>
  <c r="AO121" i="104"/>
  <c r="AT121" i="104"/>
  <c r="AS121" i="104"/>
  <c r="BA121" i="104"/>
  <c r="BE121" i="104" s="1"/>
  <c r="AU121" i="104"/>
  <c r="AL121" i="104" s="1"/>
  <c r="AP121" i="104"/>
  <c r="AO199" i="104"/>
  <c r="AT317" i="104"/>
  <c r="AP317" i="104"/>
  <c r="BB317" i="104"/>
  <c r="BK317" i="104"/>
  <c r="AW317" i="104"/>
  <c r="BK343" i="104"/>
  <c r="AO343" i="104"/>
  <c r="AM343" i="104"/>
  <c r="AN343" i="104"/>
  <c r="AS343" i="104"/>
  <c r="AU343" i="104"/>
  <c r="AL343" i="104" s="1"/>
  <c r="AO426" i="104"/>
  <c r="BB426" i="104"/>
  <c r="AX426" i="104"/>
  <c r="AW426" i="104"/>
  <c r="BK426" i="104"/>
  <c r="AV426" i="104"/>
  <c r="AN426" i="104"/>
  <c r="AT426" i="104"/>
  <c r="AS426" i="104"/>
  <c r="AU426" i="104"/>
  <c r="AT199" i="104"/>
  <c r="AW376" i="104"/>
  <c r="AM376" i="104"/>
  <c r="BB376" i="104"/>
  <c r="AP376" i="104"/>
  <c r="BK376" i="104"/>
  <c r="BA376" i="104"/>
  <c r="BE376" i="104" s="1"/>
  <c r="AN376" i="104"/>
  <c r="AX376" i="104"/>
  <c r="AV376" i="104"/>
  <c r="AT376" i="104"/>
  <c r="AS376" i="104"/>
  <c r="AU376" i="104"/>
  <c r="BM376" i="104" s="1"/>
  <c r="BG376" i="104" s="1"/>
  <c r="AP426" i="104"/>
  <c r="BF486" i="104"/>
  <c r="BC486" i="104" a="1"/>
  <c r="BC486" i="104" s="1"/>
  <c r="AU199" i="104"/>
  <c r="BC273" i="104" a="1"/>
  <c r="BC273" i="104" s="1"/>
  <c r="BF273" i="104"/>
  <c r="AO317" i="104"/>
  <c r="BF426" i="104"/>
  <c r="BC426" i="104" a="1"/>
  <c r="BC426" i="104" s="1"/>
  <c r="BK495" i="104"/>
  <c r="AP176" i="104"/>
  <c r="BK199" i="104"/>
  <c r="AT273" i="104"/>
  <c r="AS273" i="104"/>
  <c r="AP273" i="104"/>
  <c r="BK273" i="104"/>
  <c r="AX273" i="104"/>
  <c r="AN273" i="104"/>
  <c r="AW273" i="104"/>
  <c r="BM273" i="104" s="1"/>
  <c r="BG273" i="104" s="1"/>
  <c r="BB273" i="104"/>
  <c r="BA273" i="104"/>
  <c r="BE273" i="104" s="1"/>
  <c r="AU273" i="104"/>
  <c r="AO273" i="104"/>
  <c r="AM319" i="104"/>
  <c r="BB395" i="104"/>
  <c r="BK395" i="104"/>
  <c r="AV395" i="104"/>
  <c r="BA395" i="104"/>
  <c r="BE395" i="104" s="1"/>
  <c r="AX395" i="104"/>
  <c r="AU395" i="104"/>
  <c r="AW395" i="104"/>
  <c r="AO395" i="104"/>
  <c r="AT395" i="104"/>
  <c r="BF446" i="104"/>
  <c r="AX517" i="104"/>
  <c r="BK517" i="104"/>
  <c r="BB212" i="104"/>
  <c r="BB275" i="104"/>
  <c r="BA329" i="104"/>
  <c r="BE329" i="104" s="1"/>
  <c r="AT343" i="104"/>
  <c r="BC365" i="104" a="1"/>
  <c r="BC365" i="104" s="1"/>
  <c r="AM384" i="104"/>
  <c r="AS384" i="104"/>
  <c r="AT384" i="104"/>
  <c r="AP384" i="104"/>
  <c r="AN384" i="104"/>
  <c r="AU388" i="104"/>
  <c r="AM395" i="104"/>
  <c r="AL395" i="104" s="1"/>
  <c r="AT498" i="104"/>
  <c r="AN517" i="104"/>
  <c r="BB262" i="104"/>
  <c r="AV262" i="104"/>
  <c r="AS262" i="104"/>
  <c r="AU341" i="104"/>
  <c r="BF517" i="104"/>
  <c r="BC517" i="104" a="1"/>
  <c r="BC517" i="104" s="1"/>
  <c r="AM521" i="104"/>
  <c r="AP39" i="104"/>
  <c r="AW39" i="104"/>
  <c r="AV39" i="104"/>
  <c r="AX111" i="104"/>
  <c r="AT111" i="104"/>
  <c r="AS111" i="104"/>
  <c r="AM190" i="104"/>
  <c r="AP395" i="104"/>
  <c r="AP440" i="104"/>
  <c r="AN521" i="104"/>
  <c r="AM549" i="104"/>
  <c r="BA549" i="104"/>
  <c r="BE549" i="104" s="1"/>
  <c r="AX549" i="104"/>
  <c r="AU549" i="104"/>
  <c r="AT549" i="104"/>
  <c r="BB549" i="104"/>
  <c r="AS549" i="104"/>
  <c r="AP549" i="104"/>
  <c r="AM41" i="104"/>
  <c r="AT55" i="104"/>
  <c r="AM111" i="104"/>
  <c r="AO149" i="104"/>
  <c r="AO190" i="104"/>
  <c r="AO262" i="104"/>
  <c r="AV314" i="104"/>
  <c r="AX314" i="104"/>
  <c r="AW314" i="104"/>
  <c r="AP314" i="104"/>
  <c r="BB314" i="104"/>
  <c r="BA314" i="104"/>
  <c r="BE314" i="104" s="1"/>
  <c r="AU314" i="104"/>
  <c r="AT314" i="104"/>
  <c r="BK314" i="104"/>
  <c r="BB367" i="104"/>
  <c r="BC527" i="104" a="1"/>
  <c r="BC527" i="104" s="1"/>
  <c r="BF527" i="104"/>
  <c r="AN549" i="104"/>
  <c r="AX39" i="104"/>
  <c r="AW224" i="104"/>
  <c r="BC229" i="104" a="1"/>
  <c r="BC229" i="104" s="1"/>
  <c r="BF248" i="104"/>
  <c r="BC248" i="104" a="1"/>
  <c r="BC248" i="104" s="1"/>
  <c r="AP262" i="104"/>
  <c r="AM314" i="104"/>
  <c r="BB39" i="104"/>
  <c r="AM52" i="104"/>
  <c r="BA52" i="104"/>
  <c r="BE52" i="104" s="1"/>
  <c r="BK52" i="104"/>
  <c r="BB52" i="104"/>
  <c r="BF90" i="104"/>
  <c r="AT190" i="104"/>
  <c r="BC235" i="104" a="1"/>
  <c r="BC235" i="104" s="1"/>
  <c r="AT295" i="104"/>
  <c r="AU304" i="104"/>
  <c r="AO314" i="104"/>
  <c r="BA431" i="104"/>
  <c r="BE431" i="104" s="1"/>
  <c r="AS431" i="104"/>
  <c r="AV431" i="104"/>
  <c r="AT438" i="104"/>
  <c r="BB438" i="104"/>
  <c r="AS438" i="104"/>
  <c r="BA438" i="104"/>
  <c r="BE438" i="104" s="1"/>
  <c r="AV438" i="104"/>
  <c r="AX438" i="104"/>
  <c r="BF161" i="104"/>
  <c r="BC161" i="104" a="1"/>
  <c r="BC161" i="104" s="1"/>
  <c r="AO323" i="104"/>
  <c r="AP23" i="104"/>
  <c r="AT189" i="104"/>
  <c r="AU189" i="104"/>
  <c r="AS189" i="104"/>
  <c r="BK189" i="104"/>
  <c r="AM189" i="104"/>
  <c r="BA189" i="104"/>
  <c r="BE189" i="104" s="1"/>
  <c r="AX189" i="104"/>
  <c r="BB189" i="104"/>
  <c r="AW189" i="104"/>
  <c r="AO189" i="104"/>
  <c r="AV189" i="104"/>
  <c r="AP189" i="104"/>
  <c r="AO337" i="104"/>
  <c r="AX337" i="104"/>
  <c r="AU337" i="104"/>
  <c r="AW337" i="104"/>
  <c r="BK337" i="104"/>
  <c r="BB337" i="104"/>
  <c r="AT337" i="104"/>
  <c r="AU415" i="104"/>
  <c r="BM415" i="104" s="1"/>
  <c r="BG415" i="104" s="1"/>
  <c r="BH415" i="104" s="1"/>
  <c r="AT415" i="104"/>
  <c r="BK415" i="104"/>
  <c r="AN429" i="104"/>
  <c r="BK429" i="104"/>
  <c r="AU429" i="104"/>
  <c r="AS429" i="104"/>
  <c r="AX91" i="104"/>
  <c r="AV91" i="104"/>
  <c r="AU91" i="104"/>
  <c r="AL91" i="104" s="1"/>
  <c r="AS91" i="104"/>
  <c r="AT91" i="104"/>
  <c r="AN91" i="104"/>
  <c r="AM91" i="104"/>
  <c r="BA91" i="104"/>
  <c r="BE91" i="104" s="1"/>
  <c r="AW91" i="104"/>
  <c r="BB91" i="104"/>
  <c r="BF91" i="104" s="1"/>
  <c r="AT127" i="104"/>
  <c r="AX137" i="104"/>
  <c r="AN189" i="104"/>
  <c r="BC255" i="104" a="1"/>
  <c r="BC255" i="104" s="1"/>
  <c r="BF255" i="104"/>
  <c r="AM378" i="104"/>
  <c r="AW127" i="104"/>
  <c r="BC135" i="104" a="1"/>
  <c r="BC135" i="104" s="1"/>
  <c r="BF135" i="104"/>
  <c r="AX195" i="104"/>
  <c r="BC357" i="104" a="1"/>
  <c r="BC357" i="104" s="1"/>
  <c r="BF357" i="104"/>
  <c r="BK68" i="104"/>
  <c r="AW68" i="104"/>
  <c r="AX68" i="104"/>
  <c r="AN180" i="104"/>
  <c r="AM180" i="104"/>
  <c r="AV180" i="104"/>
  <c r="AW180" i="104"/>
  <c r="BK180" i="104"/>
  <c r="AX180" i="104"/>
  <c r="BC386" i="104" a="1"/>
  <c r="BC386" i="104" s="1"/>
  <c r="BF386" i="104"/>
  <c r="AN121" i="104"/>
  <c r="AW275" i="104"/>
  <c r="BA294" i="104"/>
  <c r="BE294" i="104" s="1"/>
  <c r="BB294" i="104"/>
  <c r="AP294" i="104"/>
  <c r="AV294" i="104"/>
  <c r="BB319" i="104"/>
  <c r="AT319" i="104"/>
  <c r="AS319" i="104"/>
  <c r="AN319" i="104"/>
  <c r="BA319" i="104"/>
  <c r="BE319" i="104" s="1"/>
  <c r="AX319" i="104"/>
  <c r="AP319" i="104"/>
  <c r="AW319" i="104"/>
  <c r="AV319" i="104"/>
  <c r="AU319" i="104"/>
  <c r="AL319" i="104" s="1"/>
  <c r="AP329" i="104"/>
  <c r="AX275" i="104"/>
  <c r="AM286" i="104"/>
  <c r="AV286" i="104"/>
  <c r="AP286" i="104"/>
  <c r="AU286" i="104"/>
  <c r="AO286" i="104"/>
  <c r="BA286" i="104"/>
  <c r="BE286" i="104" s="1"/>
  <c r="BC341" i="104" a="1"/>
  <c r="BC341" i="104" s="1"/>
  <c r="BF341" i="104"/>
  <c r="AO68" i="104"/>
  <c r="AO78" i="104"/>
  <c r="BK78" i="104"/>
  <c r="BF282" i="104"/>
  <c r="BC282" i="104" a="1"/>
  <c r="BC282" i="104" s="1"/>
  <c r="AX317" i="104"/>
  <c r="AS341" i="104"/>
  <c r="AU412" i="104"/>
  <c r="BM412" i="104" s="1"/>
  <c r="BG412" i="104" s="1"/>
  <c r="BH412" i="104" s="1"/>
  <c r="AO412" i="104"/>
  <c r="AV412" i="104"/>
  <c r="AW412" i="104"/>
  <c r="AT412" i="104"/>
  <c r="AS412" i="104"/>
  <c r="AM412" i="104"/>
  <c r="BK412" i="104"/>
  <c r="BA412" i="104"/>
  <c r="BE412" i="104" s="1"/>
  <c r="AX412" i="104"/>
  <c r="BB412" i="104"/>
  <c r="AP68" i="104"/>
  <c r="AW100" i="104"/>
  <c r="AU100" i="104"/>
  <c r="AL100" i="104" s="1"/>
  <c r="BB100" i="104"/>
  <c r="BA100" i="104"/>
  <c r="BE100" i="104" s="1"/>
  <c r="BK100" i="104"/>
  <c r="AX100" i="104"/>
  <c r="AT100" i="104"/>
  <c r="AS100" i="104"/>
  <c r="AP100" i="104"/>
  <c r="AV100" i="104"/>
  <c r="AO100" i="104"/>
  <c r="AX258" i="104"/>
  <c r="BB258" i="104"/>
  <c r="BA258" i="104"/>
  <c r="BE258" i="104" s="1"/>
  <c r="AW258" i="104"/>
  <c r="BM258" i="104" s="1"/>
  <c r="BG258" i="104" s="1"/>
  <c r="BH258" i="104" s="1"/>
  <c r="AV258" i="104"/>
  <c r="AP258" i="104"/>
  <c r="AO258" i="104"/>
  <c r="AV273" i="104"/>
  <c r="AN412" i="104"/>
  <c r="BB41" i="104"/>
  <c r="BA41" i="104"/>
  <c r="BE41" i="104" s="1"/>
  <c r="AV41" i="104"/>
  <c r="AU41" i="104"/>
  <c r="AO41" i="104"/>
  <c r="AW55" i="104"/>
  <c r="BB55" i="104"/>
  <c r="BA55" i="104"/>
  <c r="BE55" i="104" s="1"/>
  <c r="AM100" i="104"/>
  <c r="BH301" i="104"/>
  <c r="BK341" i="104"/>
  <c r="BC55" i="104" a="1"/>
  <c r="BC55" i="104" s="1"/>
  <c r="AX243" i="104"/>
  <c r="AW243" i="104"/>
  <c r="AP243" i="104"/>
  <c r="AN274" i="104"/>
  <c r="AM274" i="104"/>
  <c r="BK274" i="104"/>
  <c r="BB274" i="104"/>
  <c r="AW274" i="104"/>
  <c r="AP274" i="104"/>
  <c r="BA274" i="104"/>
  <c r="BE274" i="104" s="1"/>
  <c r="AV274" i="104"/>
  <c r="AU274" i="104"/>
  <c r="AT274" i="104"/>
  <c r="AO274" i="104"/>
  <c r="AX274" i="104"/>
  <c r="AS274" i="104"/>
  <c r="AW293" i="104"/>
  <c r="AT293" i="104"/>
  <c r="AX293" i="104"/>
  <c r="AP293" i="104"/>
  <c r="AS293" i="104"/>
  <c r="AN293" i="104"/>
  <c r="AU295" i="104"/>
  <c r="BM295" i="104" s="1"/>
  <c r="BG295" i="104" s="1"/>
  <c r="AP308" i="104"/>
  <c r="AW308" i="104"/>
  <c r="AV308" i="104"/>
  <c r="AX308" i="104"/>
  <c r="AU308" i="104"/>
  <c r="BM308" i="104" s="1"/>
  <c r="BG308" i="104" s="1"/>
  <c r="BH308" i="104" s="1"/>
  <c r="AT308" i="104"/>
  <c r="AO308" i="104"/>
  <c r="BK308" i="104"/>
  <c r="BA308" i="104"/>
  <c r="BE308" i="104" s="1"/>
  <c r="AS308" i="104"/>
  <c r="BB308" i="104"/>
  <c r="AN310" i="104"/>
  <c r="AT310" i="104"/>
  <c r="BA325" i="104"/>
  <c r="BE325" i="104" s="1"/>
  <c r="AS325" i="104"/>
  <c r="AX325" i="104"/>
  <c r="AV325" i="104"/>
  <c r="AU325" i="104"/>
  <c r="AW360" i="104"/>
  <c r="BK360" i="104"/>
  <c r="AT360" i="104"/>
  <c r="AS360" i="104"/>
  <c r="AV360" i="104"/>
  <c r="BB360" i="104"/>
  <c r="AU360" i="104"/>
  <c r="AP360" i="104"/>
  <c r="BA360" i="104"/>
  <c r="BE360" i="104" s="1"/>
  <c r="AX360" i="104"/>
  <c r="AM433" i="104"/>
  <c r="AN433" i="104"/>
  <c r="AT433" i="104"/>
  <c r="AS433" i="104"/>
  <c r="BK433" i="104"/>
  <c r="AX433" i="104"/>
  <c r="AU433" i="104"/>
  <c r="BF503" i="104"/>
  <c r="BC503" i="104" a="1"/>
  <c r="BC503" i="104" s="1"/>
  <c r="AV516" i="104"/>
  <c r="AX516" i="104"/>
  <c r="AT516" i="104"/>
  <c r="AS516" i="104"/>
  <c r="BK516" i="104"/>
  <c r="BB516" i="104"/>
  <c r="AP516" i="104"/>
  <c r="AW516" i="104"/>
  <c r="AU516" i="104"/>
  <c r="BM516" i="104" s="1"/>
  <c r="BG516" i="104" s="1"/>
  <c r="BH516" i="104" s="1"/>
  <c r="BA516" i="104"/>
  <c r="BE516" i="104" s="1"/>
  <c r="AO516" i="104"/>
  <c r="BF433" i="104"/>
  <c r="BC433" i="104" a="1"/>
  <c r="BC433" i="104" s="1"/>
  <c r="BC54" i="104" a="1"/>
  <c r="BC54" i="104" s="1"/>
  <c r="BF54" i="104"/>
  <c r="BC261" i="104" a="1"/>
  <c r="BC261" i="104" s="1"/>
  <c r="BF261" i="104"/>
  <c r="BB364" i="104"/>
  <c r="BK364" i="104"/>
  <c r="AV364" i="104"/>
  <c r="AT364" i="104"/>
  <c r="AU364" i="104"/>
  <c r="AL364" i="104" s="1"/>
  <c r="AN364" i="104"/>
  <c r="AX364" i="104"/>
  <c r="AW364" i="104"/>
  <c r="AS364" i="104"/>
  <c r="AO364" i="104"/>
  <c r="AM364" i="104"/>
  <c r="BF401" i="104"/>
  <c r="BC401" i="104" a="1"/>
  <c r="BC401" i="104" s="1"/>
  <c r="AX538" i="104"/>
  <c r="AS538" i="104"/>
  <c r="BK538" i="104"/>
  <c r="AN538" i="104"/>
  <c r="AM538" i="104"/>
  <c r="AU538" i="104"/>
  <c r="AT538" i="104"/>
  <c r="AP538" i="104"/>
  <c r="AO538" i="104"/>
  <c r="BC545" i="104" a="1"/>
  <c r="BC545" i="104" s="1"/>
  <c r="BF545" i="104"/>
  <c r="BC549" i="104" a="1"/>
  <c r="BC549" i="104" s="1"/>
  <c r="BF549" i="104"/>
  <c r="AT31" i="104"/>
  <c r="AP31" i="104"/>
  <c r="AM112" i="104"/>
  <c r="AP116" i="104"/>
  <c r="AP215" i="104"/>
  <c r="AN215" i="104"/>
  <c r="AM215" i="104"/>
  <c r="AX215" i="104"/>
  <c r="AU215" i="104"/>
  <c r="AW215" i="104"/>
  <c r="AV215" i="104"/>
  <c r="AS215" i="104"/>
  <c r="BC336" i="104" a="1"/>
  <c r="BC336" i="104" s="1"/>
  <c r="AS373" i="104"/>
  <c r="AJ8" i="104" a="1"/>
  <c r="AJ8" i="104" s="1"/>
  <c r="O12" i="104" a="1"/>
  <c r="O12" i="104" s="1"/>
  <c r="AV57" i="104"/>
  <c r="BK66" i="104"/>
  <c r="BA66" i="104"/>
  <c r="BE66" i="104" s="1"/>
  <c r="AP66" i="104"/>
  <c r="AO97" i="104"/>
  <c r="AO110" i="104"/>
  <c r="AN112" i="104"/>
  <c r="BA157" i="104"/>
  <c r="BE157" i="104" s="1"/>
  <c r="AX157" i="104"/>
  <c r="AW157" i="104"/>
  <c r="AP157" i="104"/>
  <c r="BK157" i="104"/>
  <c r="BB157" i="104"/>
  <c r="AU157" i="104"/>
  <c r="AT157" i="104"/>
  <c r="AO215" i="104"/>
  <c r="AM292" i="104"/>
  <c r="AX300" i="104"/>
  <c r="AW300" i="104"/>
  <c r="AV300" i="104"/>
  <c r="BA300" i="104"/>
  <c r="BE300" i="104" s="1"/>
  <c r="BA380" i="104"/>
  <c r="BE380" i="104" s="1"/>
  <c r="AT380" i="104"/>
  <c r="BB380" i="104"/>
  <c r="AP380" i="104"/>
  <c r="BK380" i="104"/>
  <c r="AU380" i="104"/>
  <c r="AN380" i="104"/>
  <c r="AO380" i="104"/>
  <c r="AM380" i="104"/>
  <c r="BF405" i="104"/>
  <c r="BC405" i="104" a="1"/>
  <c r="BC405" i="104" s="1"/>
  <c r="AV538" i="104"/>
  <c r="AW57" i="104"/>
  <c r="BB66" i="104"/>
  <c r="AW99" i="104"/>
  <c r="BM99" i="104" s="1"/>
  <c r="BG99" i="104" s="1"/>
  <c r="BB99" i="104"/>
  <c r="BK99" i="104"/>
  <c r="BA99" i="104"/>
  <c r="BE99" i="104" s="1"/>
  <c r="AX99" i="104"/>
  <c r="AV99" i="104"/>
  <c r="AT99" i="104"/>
  <c r="AU106" i="104"/>
  <c r="AL106" i="104" s="1"/>
  <c r="AP110" i="104"/>
  <c r="AO119" i="104"/>
  <c r="AL126" i="104"/>
  <c r="AO157" i="104"/>
  <c r="BF289" i="104"/>
  <c r="AS292" i="104"/>
  <c r="AX298" i="104"/>
  <c r="BK298" i="104"/>
  <c r="BB300" i="104"/>
  <c r="AP313" i="104"/>
  <c r="BK313" i="104"/>
  <c r="AO313" i="104"/>
  <c r="AN313" i="104"/>
  <c r="BF353" i="104"/>
  <c r="BA364" i="104"/>
  <c r="BE364" i="104" s="1"/>
  <c r="AW373" i="104"/>
  <c r="AN439" i="104"/>
  <c r="AX439" i="104"/>
  <c r="AO475" i="104"/>
  <c r="AM475" i="104"/>
  <c r="AV475" i="104"/>
  <c r="AP475" i="104"/>
  <c r="AN475" i="104"/>
  <c r="BC523" i="104" a="1"/>
  <c r="BC523" i="104" s="1"/>
  <c r="BF523" i="104"/>
  <c r="AW538" i="104"/>
  <c r="BC412" i="104" a="1"/>
  <c r="BC412" i="104" s="1"/>
  <c r="BF412" i="104"/>
  <c r="AP33" i="104"/>
  <c r="BB33" i="104"/>
  <c r="AW33" i="104"/>
  <c r="AM97" i="104"/>
  <c r="AT97" i="104"/>
  <c r="AS97" i="104"/>
  <c r="BB97" i="104"/>
  <c r="BA97" i="104"/>
  <c r="BE97" i="104" s="1"/>
  <c r="AN116" i="104"/>
  <c r="BK116" i="104"/>
  <c r="BC339" i="104" a="1"/>
  <c r="BC339" i="104" s="1"/>
  <c r="BF339" i="104"/>
  <c r="AN445" i="104"/>
  <c r="BC121" i="104" a="1"/>
  <c r="BC121" i="104" s="1"/>
  <c r="BF121" i="104"/>
  <c r="AP364" i="104"/>
  <c r="AV443" i="104"/>
  <c r="AM443" i="104"/>
  <c r="BK443" i="104"/>
  <c r="AO443" i="104"/>
  <c r="AN443" i="104"/>
  <c r="AW443" i="104"/>
  <c r="BB443" i="104"/>
  <c r="BA443" i="104"/>
  <c r="BE443" i="104" s="1"/>
  <c r="AX443" i="104"/>
  <c r="AX512" i="104"/>
  <c r="AM512" i="104"/>
  <c r="AW512" i="104"/>
  <c r="BA512" i="104"/>
  <c r="BE512" i="104" s="1"/>
  <c r="AT512" i="104"/>
  <c r="AS512" i="104"/>
  <c r="BC302" i="104" a="1"/>
  <c r="BC302" i="104" s="1"/>
  <c r="BF302" i="104"/>
  <c r="AV318" i="104"/>
  <c r="AP318" i="104"/>
  <c r="BA318" i="104"/>
  <c r="BE318" i="104" s="1"/>
  <c r="AX318" i="104"/>
  <c r="AN368" i="104"/>
  <c r="AU368" i="104"/>
  <c r="AL368" i="104" s="1"/>
  <c r="AR368" i="104" s="1"/>
  <c r="BN368" i="104" s="1"/>
  <c r="AT368" i="104"/>
  <c r="BA368" i="104"/>
  <c r="BE368" i="104" s="1"/>
  <c r="AV368" i="104"/>
  <c r="AX368" i="104"/>
  <c r="BB368" i="104"/>
  <c r="BK368" i="104"/>
  <c r="BA394" i="104"/>
  <c r="BE394" i="104" s="1"/>
  <c r="AN394" i="104"/>
  <c r="BK394" i="104"/>
  <c r="BB394" i="104"/>
  <c r="AW394" i="104"/>
  <c r="AU394" i="104"/>
  <c r="AV394" i="104"/>
  <c r="AS394" i="104"/>
  <c r="AX394" i="104"/>
  <c r="AT394" i="104"/>
  <c r="AP394" i="104"/>
  <c r="AO394" i="104"/>
  <c r="BC421" i="104" a="1"/>
  <c r="BC421" i="104" s="1"/>
  <c r="BF421" i="104"/>
  <c r="AP443" i="104"/>
  <c r="BM540" i="104"/>
  <c r="BG540" i="104" s="1"/>
  <c r="BH540" i="104" s="1"/>
  <c r="AN82" i="104"/>
  <c r="AM82" i="104"/>
  <c r="AP82" i="104"/>
  <c r="BA82" i="104"/>
  <c r="BE82" i="104" s="1"/>
  <c r="AW82" i="104"/>
  <c r="AU82" i="104"/>
  <c r="AV82" i="104"/>
  <c r="AT82" i="104"/>
  <c r="AO82" i="104"/>
  <c r="AM99" i="104"/>
  <c r="AL99" i="104" s="1"/>
  <c r="AV106" i="104"/>
  <c r="BK110" i="104"/>
  <c r="BF112" i="104"/>
  <c r="AT116" i="104"/>
  <c r="AM155" i="104"/>
  <c r="AP155" i="104"/>
  <c r="BK155" i="104"/>
  <c r="AU155" i="104"/>
  <c r="BF157" i="104"/>
  <c r="BC157" i="104" a="1"/>
  <c r="BC157" i="104" s="1"/>
  <c r="AN204" i="104"/>
  <c r="BB204" i="104"/>
  <c r="AX204" i="104"/>
  <c r="AW204" i="104"/>
  <c r="AT204" i="104"/>
  <c r="AV204" i="104"/>
  <c r="AN213" i="104"/>
  <c r="AV213" i="104"/>
  <c r="AT213" i="104"/>
  <c r="AS213" i="104"/>
  <c r="AW213" i="104"/>
  <c r="AT215" i="104"/>
  <c r="AM298" i="104"/>
  <c r="BK300" i="104"/>
  <c r="AM313" i="104"/>
  <c r="AN318" i="104"/>
  <c r="AP368" i="104"/>
  <c r="BC381" i="104" a="1"/>
  <c r="BC381" i="104" s="1"/>
  <c r="BC403" i="104" a="1"/>
  <c r="BC403" i="104" s="1"/>
  <c r="AP413" i="104"/>
  <c r="AS413" i="104"/>
  <c r="AW413" i="104"/>
  <c r="AV413" i="104"/>
  <c r="AO413" i="104"/>
  <c r="BK413" i="104"/>
  <c r="BC443" i="104" a="1"/>
  <c r="BC443" i="104" s="1"/>
  <c r="BF481" i="104"/>
  <c r="BC481" i="104" a="1"/>
  <c r="BC481" i="104" s="1"/>
  <c r="AW506" i="104"/>
  <c r="BB506" i="104"/>
  <c r="BA538" i="104"/>
  <c r="BE538" i="104" s="1"/>
  <c r="BA373" i="104"/>
  <c r="BE373" i="104" s="1"/>
  <c r="AM373" i="104"/>
  <c r="BB373" i="104"/>
  <c r="AN373" i="104"/>
  <c r="AX373" i="104"/>
  <c r="AV445" i="104"/>
  <c r="AW445" i="104"/>
  <c r="AP445" i="104"/>
  <c r="BK445" i="104"/>
  <c r="BA445" i="104"/>
  <c r="BE445" i="104" s="1"/>
  <c r="BB445" i="104"/>
  <c r="AM445" i="104"/>
  <c r="AX445" i="104"/>
  <c r="AU445" i="104"/>
  <c r="AS445" i="104"/>
  <c r="AO445" i="104"/>
  <c r="BF269" i="104"/>
  <c r="BC269" i="104" a="1"/>
  <c r="BC269" i="104" s="1"/>
  <c r="AN97" i="104"/>
  <c r="AP119" i="104"/>
  <c r="BB119" i="104"/>
  <c r="AU292" i="104"/>
  <c r="AL292" i="104" s="1"/>
  <c r="AT292" i="104"/>
  <c r="AP292" i="104"/>
  <c r="AO292" i="104"/>
  <c r="AN292" i="104"/>
  <c r="BK292" i="104"/>
  <c r="BA292" i="104"/>
  <c r="BE292" i="104" s="1"/>
  <c r="BB292" i="104"/>
  <c r="AW292" i="104"/>
  <c r="AV292" i="104"/>
  <c r="BC428" i="104" a="1"/>
  <c r="BC428" i="104" s="1"/>
  <c r="BF428" i="104"/>
  <c r="BF463" i="104"/>
  <c r="BC463" i="104" a="1"/>
  <c r="BC463" i="104" s="1"/>
  <c r="AT42" i="104"/>
  <c r="BA42" i="104"/>
  <c r="BE42" i="104" s="1"/>
  <c r="AX42" i="104"/>
  <c r="BB42" i="104"/>
  <c r="BF42" i="104" s="1"/>
  <c r="AV42" i="104"/>
  <c r="AV53" i="104"/>
  <c r="AS53" i="104"/>
  <c r="BB56" i="104"/>
  <c r="BA56" i="104"/>
  <c r="BE56" i="104" s="1"/>
  <c r="AP56" i="104"/>
  <c r="AX56" i="104"/>
  <c r="AW56" i="104"/>
  <c r="BM56" i="104" s="1"/>
  <c r="BG56" i="104" s="1"/>
  <c r="BH56" i="104" s="1"/>
  <c r="AU97" i="104"/>
  <c r="BM97" i="104" s="1"/>
  <c r="BG97" i="104" s="1"/>
  <c r="BC104" i="104" a="1"/>
  <c r="BC104" i="104" s="1"/>
  <c r="BF104" i="104"/>
  <c r="AW106" i="104"/>
  <c r="AV116" i="104"/>
  <c r="AO134" i="104"/>
  <c r="AN134" i="104"/>
  <c r="BA134" i="104"/>
  <c r="BE134" i="104" s="1"/>
  <c r="AT134" i="104"/>
  <c r="AW134" i="104"/>
  <c r="AV134" i="104"/>
  <c r="BK136" i="104"/>
  <c r="AT136" i="104"/>
  <c r="AS136" i="104"/>
  <c r="AM136" i="104"/>
  <c r="AW136" i="104"/>
  <c r="BA136" i="104"/>
  <c r="BE136" i="104" s="1"/>
  <c r="AX136" i="104"/>
  <c r="AU136" i="104"/>
  <c r="AV157" i="104"/>
  <c r="AN161" i="104"/>
  <c r="AM161" i="104"/>
  <c r="BK161" i="104"/>
  <c r="AV161" i="104"/>
  <c r="AP161" i="104"/>
  <c r="BA161" i="104"/>
  <c r="BE161" i="104" s="1"/>
  <c r="AX161" i="104"/>
  <c r="BA215" i="104"/>
  <c r="BE215" i="104" s="1"/>
  <c r="AV218" i="104"/>
  <c r="AU218" i="104"/>
  <c r="AT218" i="104"/>
  <c r="AS218" i="104"/>
  <c r="AX245" i="104"/>
  <c r="AW245" i="104"/>
  <c r="AW270" i="104"/>
  <c r="AU270" i="104"/>
  <c r="BM270" i="104" s="1"/>
  <c r="BG270" i="104" s="1"/>
  <c r="BH270" i="104" s="1"/>
  <c r="AV270" i="104"/>
  <c r="BC298" i="104" a="1"/>
  <c r="BC298" i="104" s="1"/>
  <c r="BF298" i="104"/>
  <c r="BC309" i="104" a="1"/>
  <c r="BC309" i="104" s="1"/>
  <c r="BF309" i="104"/>
  <c r="AO318" i="104"/>
  <c r="AW335" i="104"/>
  <c r="AV335" i="104"/>
  <c r="AS335" i="104"/>
  <c r="BB335" i="104"/>
  <c r="BA335" i="104"/>
  <c r="BE335" i="104" s="1"/>
  <c r="BB344" i="104"/>
  <c r="AX344" i="104"/>
  <c r="AO344" i="104"/>
  <c r="AP344" i="104"/>
  <c r="AS344" i="104"/>
  <c r="AN344" i="104"/>
  <c r="AM344" i="104"/>
  <c r="AL344" i="104" s="1"/>
  <c r="AS380" i="104"/>
  <c r="AX386" i="104"/>
  <c r="BA386" i="104"/>
  <c r="BE386" i="104" s="1"/>
  <c r="AU386" i="104"/>
  <c r="AW386" i="104"/>
  <c r="AX453" i="104"/>
  <c r="AS453" i="104"/>
  <c r="AW453" i="104"/>
  <c r="BM453" i="104" s="1"/>
  <c r="BG453" i="104" s="1"/>
  <c r="BH453" i="104" s="1"/>
  <c r="AP453" i="104"/>
  <c r="BA453" i="104"/>
  <c r="BE453" i="104" s="1"/>
  <c r="BK453" i="104"/>
  <c r="AT453" i="104"/>
  <c r="AM519" i="104"/>
  <c r="AV519" i="104"/>
  <c r="AS519" i="104"/>
  <c r="BB538" i="104"/>
  <c r="AO473" i="104"/>
  <c r="BB473" i="104"/>
  <c r="AN473" i="104"/>
  <c r="AM473" i="104"/>
  <c r="AT485" i="104"/>
  <c r="AU485" i="104"/>
  <c r="AS485" i="104"/>
  <c r="BC514" i="104" a="1"/>
  <c r="BC514" i="104" s="1"/>
  <c r="BF514" i="104"/>
  <c r="AN518" i="104"/>
  <c r="AV518" i="104"/>
  <c r="AU518" i="104"/>
  <c r="AS525" i="104"/>
  <c r="BB525" i="104"/>
  <c r="BA525" i="104"/>
  <c r="BE525" i="104" s="1"/>
  <c r="AX525" i="104"/>
  <c r="AW525" i="104"/>
  <c r="AN525" i="104"/>
  <c r="BC111" i="104" a="1"/>
  <c r="BC111" i="104" s="1"/>
  <c r="BF111" i="104"/>
  <c r="AP151" i="104"/>
  <c r="AO151" i="104"/>
  <c r="AX151" i="104"/>
  <c r="AW151" i="104"/>
  <c r="AU151" i="104"/>
  <c r="AO170" i="104"/>
  <c r="AN170" i="104"/>
  <c r="AP170" i="104"/>
  <c r="AM170" i="104"/>
  <c r="AX238" i="104"/>
  <c r="AW238" i="104"/>
  <c r="AP265" i="104"/>
  <c r="AW265" i="104"/>
  <c r="AV265" i="104"/>
  <c r="AU265" i="104"/>
  <c r="AX265" i="104"/>
  <c r="BB279" i="104"/>
  <c r="BA279" i="104"/>
  <c r="BE279" i="104" s="1"/>
  <c r="BK279" i="104"/>
  <c r="AX279" i="104"/>
  <c r="AV279" i="104"/>
  <c r="AX282" i="104"/>
  <c r="AW282" i="104"/>
  <c r="BB282" i="104"/>
  <c r="BK282" i="104"/>
  <c r="AU297" i="104"/>
  <c r="AT297" i="104"/>
  <c r="AX297" i="104"/>
  <c r="AW297" i="104"/>
  <c r="AV297" i="104"/>
  <c r="BB297" i="104"/>
  <c r="AN297" i="104"/>
  <c r="AO328" i="104"/>
  <c r="AX328" i="104"/>
  <c r="AX345" i="104"/>
  <c r="AV345" i="104"/>
  <c r="AU345" i="104"/>
  <c r="AO345" i="104"/>
  <c r="AP345" i="104"/>
  <c r="AT345" i="104"/>
  <c r="AW355" i="104"/>
  <c r="AP355" i="104"/>
  <c r="AX372" i="104"/>
  <c r="AN372" i="104"/>
  <c r="AW372" i="104"/>
  <c r="AV372" i="104"/>
  <c r="BB372" i="104"/>
  <c r="BC382" i="104" a="1"/>
  <c r="BC382" i="104" s="1"/>
  <c r="BF382" i="104"/>
  <c r="BK411" i="104"/>
  <c r="AX411" i="104"/>
  <c r="AV411" i="104"/>
  <c r="AT411" i="104"/>
  <c r="AS411" i="104"/>
  <c r="BC445" i="104" a="1"/>
  <c r="BC445" i="104" s="1"/>
  <c r="BF445" i="104"/>
  <c r="BC460" i="104" a="1"/>
  <c r="BC460" i="104" s="1"/>
  <c r="BB462" i="104"/>
  <c r="AP462" i="104"/>
  <c r="BA462" i="104"/>
  <c r="BE462" i="104" s="1"/>
  <c r="AU462" i="104"/>
  <c r="AX462" i="104"/>
  <c r="AW487" i="104"/>
  <c r="BA487" i="104"/>
  <c r="BE487" i="104" s="1"/>
  <c r="AO487" i="104"/>
  <c r="AW492" i="104"/>
  <c r="AO492" i="104"/>
  <c r="BA492" i="104"/>
  <c r="BE492" i="104" s="1"/>
  <c r="AX492" i="104"/>
  <c r="BK492" i="104"/>
  <c r="AP525" i="104"/>
  <c r="AP530" i="104"/>
  <c r="BA530" i="104"/>
  <c r="BE530" i="104" s="1"/>
  <c r="AW530" i="104"/>
  <c r="AV530" i="104"/>
  <c r="AP29" i="104"/>
  <c r="BB29" i="104" s="1"/>
  <c r="BF29" i="104" s="1"/>
  <c r="AM151" i="104"/>
  <c r="AW153" i="104"/>
  <c r="AU153" i="104"/>
  <c r="AX153" i="104"/>
  <c r="AO188" i="104"/>
  <c r="AV188" i="104"/>
  <c r="AU188" i="104"/>
  <c r="BM188" i="104" s="1"/>
  <c r="BG188" i="104" s="1"/>
  <c r="BH188" i="104" s="1"/>
  <c r="BB188" i="104"/>
  <c r="BA188" i="104"/>
  <c r="BE188" i="104" s="1"/>
  <c r="AT222" i="104"/>
  <c r="BA265" i="104"/>
  <c r="BE265" i="104" s="1"/>
  <c r="AM279" i="104"/>
  <c r="AL279" i="104" s="1"/>
  <c r="AM282" i="104"/>
  <c r="AM297" i="104"/>
  <c r="AL297" i="104" s="1"/>
  <c r="CD297" i="104" s="1"/>
  <c r="AV324" i="104"/>
  <c r="AU324" i="104"/>
  <c r="AP324" i="104"/>
  <c r="AO324" i="104"/>
  <c r="BK324" i="104"/>
  <c r="AM324" i="104"/>
  <c r="AM345" i="104"/>
  <c r="AT352" i="104"/>
  <c r="AS352" i="104"/>
  <c r="AX352" i="104"/>
  <c r="BA352" i="104"/>
  <c r="BE352" i="104" s="1"/>
  <c r="AW352" i="104"/>
  <c r="AN352" i="104"/>
  <c r="BK354" i="104"/>
  <c r="AO354" i="104"/>
  <c r="AP354" i="104"/>
  <c r="AU354" i="104"/>
  <c r="AM372" i="104"/>
  <c r="AM411" i="104"/>
  <c r="BF424" i="104"/>
  <c r="BC424" i="104" a="1"/>
  <c r="BC424" i="104" s="1"/>
  <c r="AV448" i="104"/>
  <c r="AX448" i="104"/>
  <c r="AO448" i="104"/>
  <c r="BF467" i="104"/>
  <c r="AP479" i="104"/>
  <c r="AX485" i="104"/>
  <c r="AM487" i="104"/>
  <c r="AM492" i="104"/>
  <c r="AW518" i="104"/>
  <c r="AM530" i="104"/>
  <c r="AW543" i="104"/>
  <c r="AV543" i="104"/>
  <c r="AU543" i="104"/>
  <c r="AP548" i="104"/>
  <c r="AT72" i="104"/>
  <c r="AW72" i="104"/>
  <c r="AS72" i="104"/>
  <c r="AW77" i="104"/>
  <c r="BB77" i="104"/>
  <c r="AX77" i="104"/>
  <c r="AP142" i="104"/>
  <c r="AO142" i="104"/>
  <c r="AN142" i="104"/>
  <c r="BK142" i="104"/>
  <c r="BB142" i="104"/>
  <c r="AU142" i="104"/>
  <c r="BM142" i="104" s="1"/>
  <c r="BG142" i="104" s="1"/>
  <c r="AT148" i="104"/>
  <c r="AS148" i="104"/>
  <c r="AW148" i="104"/>
  <c r="BM148" i="104" s="1"/>
  <c r="BG148" i="104" s="1"/>
  <c r="BH148" i="104" s="1"/>
  <c r="AV148" i="104"/>
  <c r="BK148" i="104"/>
  <c r="AN148" i="104"/>
  <c r="AS312" i="104"/>
  <c r="BB312" i="104"/>
  <c r="AX312" i="104"/>
  <c r="BA312" i="104"/>
  <c r="BE312" i="104" s="1"/>
  <c r="AU312" i="104"/>
  <c r="AL312" i="104" s="1"/>
  <c r="AT349" i="104"/>
  <c r="AX349" i="104"/>
  <c r="AW349" i="104"/>
  <c r="BM349" i="104" s="1"/>
  <c r="BG349" i="104" s="1"/>
  <c r="BH349" i="104" s="1"/>
  <c r="BK349" i="104"/>
  <c r="BB349" i="104"/>
  <c r="AS349" i="104"/>
  <c r="AM349" i="104"/>
  <c r="AL349" i="104" s="1"/>
  <c r="AT430" i="104"/>
  <c r="AN430" i="104"/>
  <c r="AS430" i="104"/>
  <c r="AX430" i="104"/>
  <c r="AU430" i="104"/>
  <c r="AV430" i="104"/>
  <c r="AO430" i="104"/>
  <c r="AT470" i="104"/>
  <c r="AP470" i="104"/>
  <c r="BB507" i="104"/>
  <c r="AT507" i="104"/>
  <c r="AX507" i="104"/>
  <c r="AP507" i="104"/>
  <c r="AU525" i="104"/>
  <c r="BK63" i="104"/>
  <c r="BA63" i="104"/>
  <c r="BE63" i="104" s="1"/>
  <c r="AX63" i="104"/>
  <c r="BB63" i="104"/>
  <c r="AO131" i="104"/>
  <c r="AM142" i="104"/>
  <c r="AM148" i="104"/>
  <c r="AL148" i="104" s="1"/>
  <c r="BA151" i="104"/>
  <c r="BE151" i="104" s="1"/>
  <c r="BC166" i="104" a="1"/>
  <c r="BC166" i="104" s="1"/>
  <c r="BF208" i="104"/>
  <c r="BC208" i="104" a="1"/>
  <c r="BC208" i="104" s="1"/>
  <c r="AT244" i="104"/>
  <c r="AP244" i="104"/>
  <c r="AM253" i="104"/>
  <c r="BK265" i="104"/>
  <c r="AP279" i="104"/>
  <c r="AT282" i="104"/>
  <c r="AV290" i="104"/>
  <c r="AU290" i="104"/>
  <c r="BM290" i="104" s="1"/>
  <c r="BG290" i="104" s="1"/>
  <c r="BH290" i="104" s="1"/>
  <c r="BB290" i="104"/>
  <c r="AS290" i="104"/>
  <c r="AS297" i="104"/>
  <c r="AV307" i="104"/>
  <c r="AP307" i="104"/>
  <c r="AM307" i="104"/>
  <c r="AN307" i="104"/>
  <c r="AM312" i="104"/>
  <c r="AM326" i="104"/>
  <c r="BK328" i="104"/>
  <c r="BC330" i="104" a="1"/>
  <c r="BC330" i="104" s="1"/>
  <c r="BC337" i="104" a="1"/>
  <c r="BC337" i="104" s="1"/>
  <c r="AS345" i="104"/>
  <c r="AN349" i="104"/>
  <c r="BC362" i="104" a="1"/>
  <c r="BC362" i="104" s="1"/>
  <c r="BC372" i="104" a="1"/>
  <c r="BC372" i="104" s="1"/>
  <c r="BF372" i="104"/>
  <c r="AS381" i="104"/>
  <c r="AU381" i="104"/>
  <c r="BB381" i="104"/>
  <c r="AW381" i="104"/>
  <c r="BA381" i="104"/>
  <c r="BE381" i="104" s="1"/>
  <c r="AT381" i="104"/>
  <c r="AX396" i="104"/>
  <c r="AS396" i="104"/>
  <c r="BA396" i="104"/>
  <c r="BE396" i="104" s="1"/>
  <c r="BK396" i="104"/>
  <c r="BB396" i="104"/>
  <c r="AV396" i="104"/>
  <c r="AW411" i="104"/>
  <c r="AP430" i="104"/>
  <c r="AX461" i="104"/>
  <c r="AP461" i="104"/>
  <c r="AO461" i="104"/>
  <c r="AN461" i="104"/>
  <c r="BA461" i="104"/>
  <c r="BE461" i="104" s="1"/>
  <c r="AM461" i="104"/>
  <c r="BK462" i="104"/>
  <c r="BA464" i="104"/>
  <c r="BE464" i="104" s="1"/>
  <c r="AT464" i="104"/>
  <c r="AN464" i="104"/>
  <c r="AP464" i="104"/>
  <c r="AO464" i="104"/>
  <c r="AM464" i="104"/>
  <c r="AU464" i="104"/>
  <c r="AL464" i="104" s="1"/>
  <c r="BJ465" i="104"/>
  <c r="AN470" i="104"/>
  <c r="AW479" i="104"/>
  <c r="BM479" i="104" s="1"/>
  <c r="BG479" i="104" s="1"/>
  <c r="BH479" i="104" s="1"/>
  <c r="AU482" i="104"/>
  <c r="AP482" i="104"/>
  <c r="AX482" i="104"/>
  <c r="AW482" i="104"/>
  <c r="AT482" i="104"/>
  <c r="AS482" i="104"/>
  <c r="BB487" i="104"/>
  <c r="AO489" i="104"/>
  <c r="BB489" i="104"/>
  <c r="AS501" i="104"/>
  <c r="AM501" i="104"/>
  <c r="BC505" i="104" a="1"/>
  <c r="BC505" i="104" s="1"/>
  <c r="BF505" i="104"/>
  <c r="AV525" i="104"/>
  <c r="BF533" i="104"/>
  <c r="BC533" i="104" a="1"/>
  <c r="BC533" i="104" s="1"/>
  <c r="AP540" i="104"/>
  <c r="AW540" i="104"/>
  <c r="AV540" i="104"/>
  <c r="BK540" i="104"/>
  <c r="AX540" i="104"/>
  <c r="AO540" i="104"/>
  <c r="BB548" i="104"/>
  <c r="AV48" i="104"/>
  <c r="BB59" i="104"/>
  <c r="AN63" i="104"/>
  <c r="AS65" i="104"/>
  <c r="AP65" i="104"/>
  <c r="AP72" i="104"/>
  <c r="BK77" i="104"/>
  <c r="AM79" i="104"/>
  <c r="AU79" i="104"/>
  <c r="BM79" i="104" s="1"/>
  <c r="BG79" i="104" s="1"/>
  <c r="BH79" i="104" s="1"/>
  <c r="AW87" i="104"/>
  <c r="AS120" i="104"/>
  <c r="AN124" i="104"/>
  <c r="AW124" i="104"/>
  <c r="AV124" i="104"/>
  <c r="AP131" i="104"/>
  <c r="BA144" i="104"/>
  <c r="BE144" i="104" s="1"/>
  <c r="AO148" i="104"/>
  <c r="BB151" i="104"/>
  <c r="BC168" i="104" a="1"/>
  <c r="BC168" i="104" s="1"/>
  <c r="AO205" i="104"/>
  <c r="BC228" i="104" a="1"/>
  <c r="BC228" i="104" s="1"/>
  <c r="BB263" i="104"/>
  <c r="AM263" i="104"/>
  <c r="AL263" i="104" s="1"/>
  <c r="AU282" i="104"/>
  <c r="AM290" i="104"/>
  <c r="BA297" i="104"/>
  <c r="BE297" i="104" s="1"/>
  <c r="BF299" i="104"/>
  <c r="BC299" i="104" a="1"/>
  <c r="BC299" i="104" s="1"/>
  <c r="AN312" i="104"/>
  <c r="AO326" i="104"/>
  <c r="AS327" i="104"/>
  <c r="AO332" i="104"/>
  <c r="AN332" i="104"/>
  <c r="AS332" i="104"/>
  <c r="BK332" i="104"/>
  <c r="AW332" i="104"/>
  <c r="BM332" i="104" s="1"/>
  <c r="BG332" i="104" s="1"/>
  <c r="AW345" i="104"/>
  <c r="AO349" i="104"/>
  <c r="AV352" i="104"/>
  <c r="AV354" i="104"/>
  <c r="AT361" i="104"/>
  <c r="AS361" i="104"/>
  <c r="BB361" i="104"/>
  <c r="BF369" i="104"/>
  <c r="BC369" i="104" a="1"/>
  <c r="BC369" i="104" s="1"/>
  <c r="AT372" i="104"/>
  <c r="AO381" i="104"/>
  <c r="AX383" i="104"/>
  <c r="BK383" i="104"/>
  <c r="AO383" i="104"/>
  <c r="AP383" i="104"/>
  <c r="AS383" i="104"/>
  <c r="AM396" i="104"/>
  <c r="AV414" i="104"/>
  <c r="AW414" i="104"/>
  <c r="BM414" i="104" s="1"/>
  <c r="BG414" i="104" s="1"/>
  <c r="AX414" i="104"/>
  <c r="BK414" i="104"/>
  <c r="AO414" i="104"/>
  <c r="BF416" i="104"/>
  <c r="BC416" i="104" a="1"/>
  <c r="BC416" i="104" s="1"/>
  <c r="AM434" i="104"/>
  <c r="AS434" i="104"/>
  <c r="AW434" i="104"/>
  <c r="BM434" i="104" s="1"/>
  <c r="BG434" i="104" s="1"/>
  <c r="BH434" i="104" s="1"/>
  <c r="AV434" i="104"/>
  <c r="BK434" i="104"/>
  <c r="BA434" i="104"/>
  <c r="BE434" i="104" s="1"/>
  <c r="BF464" i="104"/>
  <c r="BC464" i="104" a="1"/>
  <c r="BC464" i="104" s="1"/>
  <c r="BA474" i="104"/>
  <c r="BE474" i="104" s="1"/>
  <c r="BB474" i="104"/>
  <c r="BK474" i="104"/>
  <c r="BF475" i="104"/>
  <c r="BC475" i="104" a="1"/>
  <c r="BC475" i="104" s="1"/>
  <c r="BA479" i="104"/>
  <c r="BE479" i="104" s="1"/>
  <c r="BK487" i="104"/>
  <c r="AM489" i="104"/>
  <c r="AS492" i="104"/>
  <c r="AS507" i="104"/>
  <c r="BF520" i="104"/>
  <c r="BC525" i="104" a="1"/>
  <c r="BC525" i="104" s="1"/>
  <c r="AT527" i="104"/>
  <c r="AM527" i="104"/>
  <c r="AX527" i="104"/>
  <c r="AU527" i="104"/>
  <c r="AU530" i="104"/>
  <c r="AV537" i="104"/>
  <c r="AO537" i="104"/>
  <c r="AN537" i="104"/>
  <c r="BK537" i="104"/>
  <c r="AX537" i="104"/>
  <c r="BC538" i="104" a="1"/>
  <c r="BC538" i="104" s="1"/>
  <c r="BF538" i="104"/>
  <c r="BF177" i="104"/>
  <c r="BK299" i="104"/>
  <c r="AM299" i="104"/>
  <c r="AP401" i="104"/>
  <c r="BK401" i="104"/>
  <c r="AM401" i="104"/>
  <c r="BB401" i="104"/>
  <c r="AS401" i="104"/>
  <c r="AV401" i="104"/>
  <c r="AU401" i="104"/>
  <c r="BA401" i="104"/>
  <c r="BE401" i="104" s="1"/>
  <c r="BK58" i="104"/>
  <c r="AX58" i="104"/>
  <c r="AO72" i="104"/>
  <c r="AV77" i="104"/>
  <c r="BC89" i="104" a="1"/>
  <c r="BC89" i="104" s="1"/>
  <c r="AO117" i="104"/>
  <c r="BF38" i="104"/>
  <c r="AP58" i="104"/>
  <c r="AO63" i="104"/>
  <c r="AV103" i="104"/>
  <c r="AN103" i="104"/>
  <c r="AM103" i="104"/>
  <c r="AL103" i="104" s="1"/>
  <c r="BK120" i="104"/>
  <c r="AT131" i="104"/>
  <c r="AS142" i="104"/>
  <c r="BK144" i="104"/>
  <c r="AP148" i="104"/>
  <c r="BK151" i="104"/>
  <c r="BC154" i="104" a="1"/>
  <c r="BC154" i="104" s="1"/>
  <c r="BF154" i="104"/>
  <c r="AP205" i="104"/>
  <c r="BC207" i="104" a="1"/>
  <c r="BC207" i="104" s="1"/>
  <c r="BF207" i="104"/>
  <c r="BF249" i="104"/>
  <c r="BC249" i="104" a="1"/>
  <c r="BC249" i="104" s="1"/>
  <c r="AS279" i="104"/>
  <c r="AV282" i="104"/>
  <c r="AN290" i="104"/>
  <c r="AW299" i="104"/>
  <c r="AW307" i="104"/>
  <c r="BF310" i="104"/>
  <c r="AO312" i="104"/>
  <c r="AW320" i="104"/>
  <c r="BM320" i="104" s="1"/>
  <c r="BG320" i="104" s="1"/>
  <c r="BH320" i="104" s="1"/>
  <c r="AV320" i="104"/>
  <c r="AP320" i="104"/>
  <c r="AO320" i="104"/>
  <c r="AN320" i="104"/>
  <c r="AT327" i="104"/>
  <c r="BA345" i="104"/>
  <c r="BE345" i="104" s="1"/>
  <c r="AP349" i="104"/>
  <c r="AW354" i="104"/>
  <c r="AU372" i="104"/>
  <c r="AP381" i="104"/>
  <c r="AV393" i="104"/>
  <c r="AT393" i="104"/>
  <c r="AU393" i="104"/>
  <c r="BM393" i="104" s="1"/>
  <c r="BG393" i="104" s="1"/>
  <c r="BH393" i="104" s="1"/>
  <c r="AN396" i="104"/>
  <c r="AO401" i="104"/>
  <c r="AX418" i="104"/>
  <c r="AS418" i="104"/>
  <c r="AM418" i="104"/>
  <c r="BA418" i="104"/>
  <c r="BE418" i="104" s="1"/>
  <c r="AT418" i="104"/>
  <c r="AP418" i="104"/>
  <c r="BA430" i="104"/>
  <c r="BE430" i="104" s="1"/>
  <c r="AX459" i="104"/>
  <c r="AW459" i="104"/>
  <c r="BM459" i="104" s="1"/>
  <c r="BG459" i="104" s="1"/>
  <c r="BH459" i="104" s="1"/>
  <c r="AV459" i="104"/>
  <c r="AS461" i="104"/>
  <c r="AS464" i="104"/>
  <c r="AW470" i="104"/>
  <c r="BC478" i="104" a="1"/>
  <c r="BC478" i="104" s="1"/>
  <c r="BF478" i="104"/>
  <c r="AM482" i="104"/>
  <c r="AN489" i="104"/>
  <c r="AT492" i="104"/>
  <c r="AV501" i="104"/>
  <c r="AW504" i="104"/>
  <c r="AV504" i="104"/>
  <c r="AU504" i="104"/>
  <c r="BM504" i="104" s="1"/>
  <c r="BG504" i="104" s="1"/>
  <c r="BH504" i="104" s="1"/>
  <c r="AT504" i="104"/>
  <c r="AU507" i="104"/>
  <c r="BM507" i="104" s="1"/>
  <c r="BG507" i="104" s="1"/>
  <c r="BH507" i="104" s="1"/>
  <c r="AV513" i="104"/>
  <c r="AU513" i="104"/>
  <c r="AT513" i="104"/>
  <c r="BA513" i="104"/>
  <c r="BE513" i="104" s="1"/>
  <c r="AX513" i="104"/>
  <c r="AW513" i="104"/>
  <c r="AM513" i="104"/>
  <c r="AP524" i="104"/>
  <c r="BA524" i="104"/>
  <c r="BE524" i="104" s="1"/>
  <c r="AV524" i="104"/>
  <c r="AS524" i="104"/>
  <c r="BB530" i="104"/>
  <c r="AS532" i="104"/>
  <c r="AM532" i="104"/>
  <c r="AP532" i="104"/>
  <c r="AO532" i="104"/>
  <c r="AT532" i="104"/>
  <c r="AS540" i="104"/>
  <c r="BF544" i="104"/>
  <c r="AP203" i="104"/>
  <c r="AX203" i="104"/>
  <c r="AW203" i="104"/>
  <c r="AV203" i="104"/>
  <c r="AT203" i="104"/>
  <c r="AU203" i="104"/>
  <c r="AL203" i="104" s="1"/>
  <c r="BA257" i="104"/>
  <c r="BE257" i="104" s="1"/>
  <c r="AX257" i="104"/>
  <c r="AW261" i="104"/>
  <c r="AV261" i="104"/>
  <c r="BA261" i="104"/>
  <c r="BE261" i="104" s="1"/>
  <c r="AU261" i="104"/>
  <c r="BM261" i="104" s="1"/>
  <c r="BG261" i="104" s="1"/>
  <c r="BH261" i="104" s="1"/>
  <c r="AX261" i="104"/>
  <c r="BB277" i="104"/>
  <c r="AW277" i="104"/>
  <c r="AV277" i="104"/>
  <c r="AV303" i="104"/>
  <c r="AU303" i="104"/>
  <c r="BM303" i="104" s="1"/>
  <c r="BG303" i="104" s="1"/>
  <c r="AX309" i="104"/>
  <c r="AW309" i="104"/>
  <c r="BB309" i="104"/>
  <c r="BA309" i="104"/>
  <c r="BE309" i="104" s="1"/>
  <c r="BC348" i="104" a="1"/>
  <c r="BC348" i="104" s="1"/>
  <c r="BF348" i="104"/>
  <c r="AN416" i="104"/>
  <c r="AX416" i="104"/>
  <c r="BA436" i="104"/>
  <c r="BE436" i="104" s="1"/>
  <c r="AW436" i="104"/>
  <c r="BM450" i="104"/>
  <c r="BG450" i="104" s="1"/>
  <c r="BH450" i="104" s="1"/>
  <c r="AP488" i="104"/>
  <c r="BA488" i="104"/>
  <c r="BE488" i="104" s="1"/>
  <c r="AV511" i="104"/>
  <c r="AN511" i="104"/>
  <c r="BK49" i="104"/>
  <c r="BB49" i="104"/>
  <c r="BA49" i="104"/>
  <c r="BE49" i="104" s="1"/>
  <c r="BB60" i="104"/>
  <c r="BA60" i="104"/>
  <c r="BE60" i="104" s="1"/>
  <c r="AN146" i="104"/>
  <c r="AM146" i="104"/>
  <c r="AO146" i="104"/>
  <c r="AO197" i="104"/>
  <c r="BB197" i="104"/>
  <c r="AX197" i="104"/>
  <c r="BA197" i="104"/>
  <c r="BE197" i="104" s="1"/>
  <c r="AS203" i="104"/>
  <c r="AP207" i="104"/>
  <c r="BK207" i="104"/>
  <c r="AW257" i="104"/>
  <c r="AO272" i="104"/>
  <c r="AX272" i="104"/>
  <c r="AU277" i="104"/>
  <c r="AL277" i="104" s="1"/>
  <c r="AX303" i="104"/>
  <c r="BC394" i="104" a="1"/>
  <c r="BC394" i="104" s="1"/>
  <c r="BF394" i="104"/>
  <c r="AW402" i="104"/>
  <c r="AO402" i="104"/>
  <c r="AT402" i="104"/>
  <c r="AS402" i="104"/>
  <c r="AX425" i="104"/>
  <c r="AU425" i="104"/>
  <c r="AO425" i="104"/>
  <c r="BK425" i="104"/>
  <c r="BB425" i="104"/>
  <c r="BA425" i="104"/>
  <c r="BE425" i="104" s="1"/>
  <c r="AW425" i="104"/>
  <c r="AU488" i="104"/>
  <c r="AL488" i="104" s="1"/>
  <c r="AX511" i="104"/>
  <c r="AN531" i="104"/>
  <c r="BK531" i="104"/>
  <c r="BB531" i="104"/>
  <c r="BF422" i="104"/>
  <c r="BC422" i="104" a="1"/>
  <c r="BC422" i="104" s="1"/>
  <c r="AS472" i="104"/>
  <c r="AV472" i="104"/>
  <c r="BA472" i="104"/>
  <c r="BE472" i="104" s="1"/>
  <c r="AX472" i="104"/>
  <c r="AS505" i="104"/>
  <c r="AM505" i="104"/>
  <c r="AU505" i="104"/>
  <c r="AV505" i="104"/>
  <c r="AT505" i="104"/>
  <c r="AW107" i="104"/>
  <c r="AS107" i="104"/>
  <c r="BA126" i="104"/>
  <c r="BE126" i="104" s="1"/>
  <c r="AX126" i="104"/>
  <c r="AV168" i="104"/>
  <c r="AU168" i="104"/>
  <c r="AX251" i="104"/>
  <c r="AU251" i="104"/>
  <c r="AX276" i="104"/>
  <c r="AW276" i="104"/>
  <c r="BM276" i="104" s="1"/>
  <c r="BG276" i="104" s="1"/>
  <c r="AT291" i="104"/>
  <c r="AS291" i="104"/>
  <c r="AW302" i="104"/>
  <c r="BM302" i="104" s="1"/>
  <c r="BG302" i="104" s="1"/>
  <c r="BH302" i="104" s="1"/>
  <c r="AV302" i="104"/>
  <c r="BK348" i="104"/>
  <c r="AN348" i="104"/>
  <c r="AM348" i="104"/>
  <c r="AU366" i="104"/>
  <c r="BM366" i="104" s="1"/>
  <c r="BG366" i="104" s="1"/>
  <c r="BH366" i="104" s="1"/>
  <c r="AX366" i="104"/>
  <c r="AW366" i="104"/>
  <c r="AM374" i="104"/>
  <c r="AX392" i="104"/>
  <c r="AU392" i="104"/>
  <c r="AL392" i="104" s="1"/>
  <c r="AS392" i="104"/>
  <c r="AN405" i="104"/>
  <c r="AV405" i="104"/>
  <c r="AM409" i="104"/>
  <c r="AS409" i="104"/>
  <c r="AT452" i="104"/>
  <c r="AO452" i="104"/>
  <c r="AM472" i="104"/>
  <c r="AL472" i="104" s="1"/>
  <c r="AN484" i="104"/>
  <c r="AN505" i="104"/>
  <c r="AV547" i="104"/>
  <c r="BB547" i="104"/>
  <c r="AP547" i="104"/>
  <c r="AM209" i="104"/>
  <c r="BB209" i="104"/>
  <c r="BA209" i="104"/>
  <c r="BE209" i="104" s="1"/>
  <c r="AM321" i="104"/>
  <c r="AL321" i="104" s="1"/>
  <c r="AS321" i="104"/>
  <c r="AP145" i="104"/>
  <c r="AO145" i="104"/>
  <c r="AS200" i="104"/>
  <c r="AP200" i="104"/>
  <c r="AO209" i="104"/>
  <c r="BB210" i="104"/>
  <c r="AU210" i="104"/>
  <c r="AL210" i="104" s="1"/>
  <c r="AT210" i="104"/>
  <c r="AV254" i="104"/>
  <c r="AU254" i="104"/>
  <c r="BM254" i="104" s="1"/>
  <c r="BG254" i="104" s="1"/>
  <c r="BH254" i="104" s="1"/>
  <c r="AP260" i="104"/>
  <c r="AT260" i="104"/>
  <c r="AS260" i="104"/>
  <c r="BF263" i="104"/>
  <c r="BC263" i="104" a="1"/>
  <c r="BC263" i="104" s="1"/>
  <c r="BA284" i="104"/>
  <c r="BE284" i="104" s="1"/>
  <c r="AX284" i="104"/>
  <c r="AX285" i="104"/>
  <c r="AW285" i="104"/>
  <c r="BM285" i="104" s="1"/>
  <c r="BG285" i="104" s="1"/>
  <c r="BH285" i="104" s="1"/>
  <c r="BJ301" i="104"/>
  <c r="AO321" i="104"/>
  <c r="AN374" i="104"/>
  <c r="BC398" i="104" a="1"/>
  <c r="BC398" i="104" s="1"/>
  <c r="BF441" i="104"/>
  <c r="BC441" i="104" a="1"/>
  <c r="BC441" i="104" s="1"/>
  <c r="BF444" i="104"/>
  <c r="BC444" i="104" a="1"/>
  <c r="BC444" i="104" s="1"/>
  <c r="AL458" i="104"/>
  <c r="CD458" i="104" s="1"/>
  <c r="AN472" i="104"/>
  <c r="AU476" i="104"/>
  <c r="AL476" i="104" s="1"/>
  <c r="CD476" i="104" s="1"/>
  <c r="BA476" i="104"/>
  <c r="BE476" i="104" s="1"/>
  <c r="AS476" i="104"/>
  <c r="AN476" i="104"/>
  <c r="AP476" i="104"/>
  <c r="BF493" i="104"/>
  <c r="BC493" i="104" a="1"/>
  <c r="BC493" i="104" s="1"/>
  <c r="AW500" i="104"/>
  <c r="BK500" i="104"/>
  <c r="AX500" i="104"/>
  <c r="AU500" i="104"/>
  <c r="BM500" i="104" s="1"/>
  <c r="BG500" i="104" s="1"/>
  <c r="BH500" i="104" s="1"/>
  <c r="AO505" i="104"/>
  <c r="BC506" i="104" a="1"/>
  <c r="BC506" i="104" s="1"/>
  <c r="AV526" i="104"/>
  <c r="AS428" i="104"/>
  <c r="BK428" i="104"/>
  <c r="AM428" i="104"/>
  <c r="AP465" i="104"/>
  <c r="BK465" i="104"/>
  <c r="AN465" i="104"/>
  <c r="BC487" i="104" a="1"/>
  <c r="BC487" i="104" s="1"/>
  <c r="BF487" i="104"/>
  <c r="BK544" i="104"/>
  <c r="AV544" i="104"/>
  <c r="AU544" i="104"/>
  <c r="BM544" i="104" s="1"/>
  <c r="BG544" i="104" s="1"/>
  <c r="BH544" i="104" s="1"/>
  <c r="AT544" i="104"/>
  <c r="AO417" i="104"/>
  <c r="AT417" i="104"/>
  <c r="AS458" i="104"/>
  <c r="BK458" i="104"/>
  <c r="BA458" i="104"/>
  <c r="BE458" i="104" s="1"/>
  <c r="AO458" i="104"/>
  <c r="AW463" i="104"/>
  <c r="AO463" i="104"/>
  <c r="AN463" i="104"/>
  <c r="AU490" i="104"/>
  <c r="BM490" i="104" s="1"/>
  <c r="BG490" i="104" s="1"/>
  <c r="BH490" i="104" s="1"/>
  <c r="BB490" i="104"/>
  <c r="BC494" i="104" a="1"/>
  <c r="BC494" i="104" s="1"/>
  <c r="BF494" i="104"/>
  <c r="AN520" i="104"/>
  <c r="AV520" i="104"/>
  <c r="AX522" i="104"/>
  <c r="AO522" i="104"/>
  <c r="AT522" i="104"/>
  <c r="AS522" i="104"/>
  <c r="AX390" i="104"/>
  <c r="AO390" i="104"/>
  <c r="AX408" i="104"/>
  <c r="AO408" i="104"/>
  <c r="BF459" i="104"/>
  <c r="BC459" i="104" a="1"/>
  <c r="BC459" i="104" s="1"/>
  <c r="AN483" i="104"/>
  <c r="BB483" i="104"/>
  <c r="BK542" i="104"/>
  <c r="AU542" i="104"/>
  <c r="BF45" i="104"/>
  <c r="BC45" i="104" a="1"/>
  <c r="BC45" i="104" s="1"/>
  <c r="BF182" i="104"/>
  <c r="AQ184" i="104"/>
  <c r="AO139" i="104"/>
  <c r="AX72" i="104"/>
  <c r="AP139" i="104"/>
  <c r="AT139" i="104"/>
  <c r="BK13" i="104" a="1"/>
  <c r="BK13" i="104" s="1"/>
  <c r="BA139" i="104"/>
  <c r="BE139" i="104" s="1"/>
  <c r="AQ141" i="104"/>
  <c r="BF79" i="104"/>
  <c r="BC79" i="104" a="1"/>
  <c r="BC79" i="104" s="1"/>
  <c r="BC107" i="104" a="1"/>
  <c r="BC107" i="104" s="1"/>
  <c r="BF107" i="104"/>
  <c r="BF153" i="104"/>
  <c r="BC153" i="104" a="1"/>
  <c r="BC153" i="104" s="1"/>
  <c r="BF198" i="104"/>
  <c r="BC198" i="104" a="1"/>
  <c r="BC198" i="104" s="1"/>
  <c r="BF145" i="104"/>
  <c r="BC145" i="104" a="1"/>
  <c r="BC145" i="104" s="1"/>
  <c r="BF110" i="104"/>
  <c r="BC110" i="104" a="1"/>
  <c r="BC110" i="104" s="1"/>
  <c r="BF59" i="104"/>
  <c r="BC59" i="104" a="1"/>
  <c r="BC59" i="104" s="1"/>
  <c r="BC146" i="104" a="1"/>
  <c r="BC146" i="104" s="1"/>
  <c r="BF146" i="104"/>
  <c r="BF143" i="104"/>
  <c r="BC143" i="104" a="1"/>
  <c r="BC143" i="104" s="1"/>
  <c r="BC50" i="104" a="1"/>
  <c r="BC50" i="104" s="1"/>
  <c r="BF50" i="104"/>
  <c r="BF63" i="104"/>
  <c r="BC63" i="104" a="1"/>
  <c r="BC63" i="104" s="1"/>
  <c r="BF151" i="104"/>
  <c r="BC151" i="104" a="1"/>
  <c r="BC151" i="104" s="1"/>
  <c r="BC62" i="104" a="1"/>
  <c r="BC62" i="104" s="1"/>
  <c r="BF62" i="104"/>
  <c r="BC147" i="104" a="1"/>
  <c r="BC147" i="104" s="1"/>
  <c r="BF147" i="104"/>
  <c r="BF152" i="104"/>
  <c r="BC152" i="104" a="1"/>
  <c r="BC152" i="104" s="1"/>
  <c r="BF199" i="104"/>
  <c r="BC199" i="104" a="1"/>
  <c r="BC199" i="104" s="1"/>
  <c r="AP186" i="104"/>
  <c r="AO186" i="104"/>
  <c r="AS186" i="104"/>
  <c r="AN186" i="104"/>
  <c r="AM186" i="104"/>
  <c r="BB186" i="104"/>
  <c r="AW186" i="104"/>
  <c r="AU186" i="104"/>
  <c r="BA186" i="104"/>
  <c r="BE186" i="104" s="1"/>
  <c r="AX186" i="104"/>
  <c r="AV186" i="104"/>
  <c r="AT186" i="104"/>
  <c r="AT232" i="104"/>
  <c r="AW232" i="104"/>
  <c r="AU232" i="104"/>
  <c r="AX232" i="104"/>
  <c r="AP232" i="104"/>
  <c r="BB232" i="104" s="1"/>
  <c r="BF232" i="104" s="1"/>
  <c r="AO232" i="104"/>
  <c r="BF148" i="104"/>
  <c r="BC148" i="104" a="1"/>
  <c r="BC148" i="104" s="1"/>
  <c r="AM163" i="104"/>
  <c r="BB163" i="104"/>
  <c r="BA163" i="104"/>
  <c r="BE163" i="104" s="1"/>
  <c r="AW163" i="104"/>
  <c r="AV163" i="104"/>
  <c r="AX163" i="104"/>
  <c r="AT163" i="104"/>
  <c r="AO163" i="104"/>
  <c r="AU163" i="104"/>
  <c r="AS163" i="104"/>
  <c r="AP163" i="104"/>
  <c r="AV178" i="104"/>
  <c r="AW178" i="104"/>
  <c r="AT178" i="104"/>
  <c r="AS178" i="104"/>
  <c r="AX178" i="104"/>
  <c r="AP178" i="104"/>
  <c r="AU178" i="104"/>
  <c r="BA178" i="104"/>
  <c r="BE178" i="104" s="1"/>
  <c r="BK178" i="104"/>
  <c r="AM350" i="104"/>
  <c r="AW350" i="104"/>
  <c r="BK350" i="104"/>
  <c r="AO350" i="104"/>
  <c r="AN350" i="104"/>
  <c r="AT350" i="104"/>
  <c r="AS350" i="104"/>
  <c r="BB350" i="104"/>
  <c r="AX350" i="104"/>
  <c r="BA350" i="104"/>
  <c r="BE350" i="104" s="1"/>
  <c r="AU350" i="104"/>
  <c r="BF106" i="104"/>
  <c r="BC106" i="104" a="1"/>
  <c r="BC106" i="104" s="1"/>
  <c r="BC165" i="104" a="1"/>
  <c r="BC165" i="104" s="1"/>
  <c r="BF165" i="104"/>
  <c r="BF109" i="104"/>
  <c r="BC109" i="104" a="1"/>
  <c r="BC109" i="104" s="1"/>
  <c r="BC201" i="104" a="1"/>
  <c r="BC201" i="104" s="1"/>
  <c r="BF201" i="104"/>
  <c r="N222" i="104"/>
  <c r="AQ222" i="104"/>
  <c r="AN232" i="104"/>
  <c r="BC65" i="104" a="1"/>
  <c r="BC65" i="104" s="1"/>
  <c r="BF65" i="104"/>
  <c r="BC180" i="104" a="1"/>
  <c r="BC180" i="104" s="1"/>
  <c r="BF180" i="104"/>
  <c r="AV350" i="104"/>
  <c r="BM369" i="104"/>
  <c r="BG369" i="104" s="1"/>
  <c r="BH369" i="104" s="1"/>
  <c r="AN36" i="104"/>
  <c r="AN32" i="104"/>
  <c r="AU25" i="104"/>
  <c r="AN33" i="104"/>
  <c r="AP30" i="104"/>
  <c r="AX34" i="104"/>
  <c r="AW34" i="104"/>
  <c r="AV34" i="104"/>
  <c r="BB34" i="104"/>
  <c r="AO34" i="104"/>
  <c r="AN34" i="104"/>
  <c r="AM34" i="104"/>
  <c r="AP34" i="104"/>
  <c r="BK62" i="104"/>
  <c r="AV62" i="104"/>
  <c r="AT62" i="104"/>
  <c r="AU62" i="104"/>
  <c r="AS62" i="104"/>
  <c r="BB62" i="104"/>
  <c r="AX62" i="104"/>
  <c r="AW62" i="104"/>
  <c r="AP62" i="104"/>
  <c r="AO62" i="104"/>
  <c r="AM62" i="104"/>
  <c r="BA62" i="104"/>
  <c r="BE62" i="104" s="1"/>
  <c r="AN62" i="104"/>
  <c r="AU109" i="104"/>
  <c r="AM109" i="104"/>
  <c r="BB109" i="104"/>
  <c r="BA109" i="104"/>
  <c r="BE109" i="104" s="1"/>
  <c r="AX109" i="104"/>
  <c r="AV109" i="104"/>
  <c r="AP109" i="104"/>
  <c r="AW109" i="104"/>
  <c r="AT109" i="104"/>
  <c r="AS109" i="104"/>
  <c r="AO109" i="104"/>
  <c r="AN109" i="104"/>
  <c r="BF253" i="104"/>
  <c r="BM265" i="104"/>
  <c r="BG265" i="104" s="1"/>
  <c r="BH265" i="104" s="1"/>
  <c r="AX27" i="104"/>
  <c r="AW27" i="104"/>
  <c r="AT27" i="104"/>
  <c r="AO27" i="104"/>
  <c r="AP27" i="104"/>
  <c r="BF139" i="104"/>
  <c r="BC139" i="104" a="1"/>
  <c r="BC139" i="104" s="1"/>
  <c r="AN158" i="104"/>
  <c r="BK163" i="104"/>
  <c r="AP230" i="104"/>
  <c r="AM230" i="104"/>
  <c r="AT230" i="104"/>
  <c r="AN230" i="104"/>
  <c r="AU230" i="104"/>
  <c r="AX37" i="104"/>
  <c r="AU37" i="104"/>
  <c r="AT37" i="104"/>
  <c r="BB37" i="104"/>
  <c r="AP37" i="104"/>
  <c r="AN37" i="104"/>
  <c r="AW37" i="104"/>
  <c r="AV37" i="104"/>
  <c r="AN46" i="104"/>
  <c r="AM46" i="104"/>
  <c r="BA46" i="104"/>
  <c r="BE46" i="104" s="1"/>
  <c r="BB46" i="104"/>
  <c r="AX46" i="104"/>
  <c r="AW46" i="104"/>
  <c r="AV46" i="104"/>
  <c r="AU46" i="104"/>
  <c r="AT46" i="104"/>
  <c r="BK46" i="104"/>
  <c r="AX115" i="104"/>
  <c r="AM115" i="104"/>
  <c r="BA154" i="104"/>
  <c r="BE154" i="104" s="1"/>
  <c r="AU154" i="104"/>
  <c r="AT154" i="104"/>
  <c r="AS154" i="104"/>
  <c r="AV154" i="104"/>
  <c r="AW154" i="104"/>
  <c r="BB154" i="104"/>
  <c r="AO154" i="104"/>
  <c r="AP154" i="104"/>
  <c r="AN154" i="104"/>
  <c r="BK154" i="104"/>
  <c r="AV26" i="104"/>
  <c r="AX26" i="104"/>
  <c r="AT26" i="104"/>
  <c r="AW26" i="104"/>
  <c r="BB26" i="104" s="1"/>
  <c r="BF26" i="104" s="1"/>
  <c r="AP26" i="104"/>
  <c r="AN29" i="104"/>
  <c r="BB38" i="104"/>
  <c r="AW38" i="104"/>
  <c r="AX38" i="104"/>
  <c r="AP38" i="104"/>
  <c r="AU38" i="104"/>
  <c r="AT38" i="104"/>
  <c r="AN250" i="104"/>
  <c r="BF82" i="104"/>
  <c r="BC82" i="104" a="1"/>
  <c r="BC82" i="104" s="1"/>
  <c r="AT87" i="104"/>
  <c r="AP87" i="104"/>
  <c r="AX128" i="104"/>
  <c r="AP156" i="104"/>
  <c r="AN156" i="104"/>
  <c r="AX156" i="104"/>
  <c r="BB156" i="104"/>
  <c r="BA156" i="104"/>
  <c r="BE156" i="104" s="1"/>
  <c r="AW156" i="104"/>
  <c r="AU156" i="104"/>
  <c r="AS156" i="104"/>
  <c r="AM156" i="104"/>
  <c r="AV156" i="104"/>
  <c r="AT156" i="104"/>
  <c r="AO156" i="104"/>
  <c r="BK156" i="104"/>
  <c r="AM76" i="104"/>
  <c r="AL76" i="104" s="1"/>
  <c r="AN78" i="104"/>
  <c r="BF120" i="104"/>
  <c r="BA158" i="104"/>
  <c r="BK184" i="104"/>
  <c r="AM184" i="104"/>
  <c r="AW184" i="104"/>
  <c r="AV184" i="104"/>
  <c r="AX184" i="104"/>
  <c r="AS184" i="104"/>
  <c r="AU184" i="104"/>
  <c r="AT184" i="104"/>
  <c r="BB184" i="104"/>
  <c r="BA184" i="104"/>
  <c r="BE184" i="104" s="1"/>
  <c r="AP184" i="104"/>
  <c r="AO184" i="104"/>
  <c r="AT228" i="104"/>
  <c r="AP228" i="104"/>
  <c r="AW228" i="104"/>
  <c r="BB228" i="104"/>
  <c r="AX228" i="104"/>
  <c r="AO228" i="104"/>
  <c r="BF241" i="104"/>
  <c r="BC267" i="104" a="1"/>
  <c r="BC267" i="104" s="1"/>
  <c r="BF267" i="104"/>
  <c r="BF334" i="104"/>
  <c r="BC334" i="104" a="1"/>
  <c r="BC334" i="104" s="1"/>
  <c r="AM382" i="104"/>
  <c r="AU382" i="104"/>
  <c r="AT382" i="104"/>
  <c r="AW382" i="104"/>
  <c r="AV382" i="104"/>
  <c r="AO382" i="104"/>
  <c r="AN382" i="104"/>
  <c r="AP382" i="104"/>
  <c r="AS382" i="104"/>
  <c r="BK382" i="104"/>
  <c r="BA382" i="104"/>
  <c r="BE382" i="104" s="1"/>
  <c r="BB382" i="104"/>
  <c r="BF518" i="104"/>
  <c r="BC518" i="104" a="1"/>
  <c r="BC518" i="104" s="1"/>
  <c r="AV45" i="104"/>
  <c r="AU45" i="104"/>
  <c r="AO45" i="104"/>
  <c r="AN45" i="104"/>
  <c r="BA45" i="104"/>
  <c r="BE45" i="104" s="1"/>
  <c r="AT45" i="104"/>
  <c r="AS45" i="104"/>
  <c r="AP45" i="104"/>
  <c r="AX45" i="104"/>
  <c r="AW45" i="104"/>
  <c r="BK45" i="104"/>
  <c r="BF46" i="104"/>
  <c r="BC46" i="104" a="1"/>
  <c r="BC46" i="104" s="1"/>
  <c r="BC53" i="104" a="1"/>
  <c r="BC53" i="104" s="1"/>
  <c r="AM70" i="104"/>
  <c r="BF72" i="104"/>
  <c r="BC72" i="104" a="1"/>
  <c r="BC72" i="104" s="1"/>
  <c r="AO76" i="104"/>
  <c r="AO81" i="104"/>
  <c r="AW94" i="104"/>
  <c r="AO94" i="104"/>
  <c r="AN94" i="104"/>
  <c r="AV94" i="104"/>
  <c r="AT94" i="104"/>
  <c r="AU94" i="104"/>
  <c r="AS94" i="104"/>
  <c r="AX94" i="104"/>
  <c r="BB94" i="104"/>
  <c r="BA94" i="104"/>
  <c r="BE94" i="104" s="1"/>
  <c r="AP94" i="104"/>
  <c r="AM94" i="104"/>
  <c r="BF132" i="104"/>
  <c r="BC132" i="104" a="1"/>
  <c r="BC132" i="104" s="1"/>
  <c r="AU138" i="104"/>
  <c r="AN138" i="104"/>
  <c r="BK138" i="104"/>
  <c r="AP138" i="104"/>
  <c r="AO138" i="104"/>
  <c r="AT138" i="104"/>
  <c r="AS138" i="104"/>
  <c r="AX138" i="104"/>
  <c r="AW138" i="104"/>
  <c r="AV138" i="104"/>
  <c r="AP149" i="104"/>
  <c r="BK149" i="104"/>
  <c r="AW149" i="104"/>
  <c r="AV149" i="104"/>
  <c r="BA149" i="104"/>
  <c r="BE149" i="104" s="1"/>
  <c r="AU149" i="104"/>
  <c r="AX149" i="104"/>
  <c r="AT149" i="104"/>
  <c r="BB149" i="104"/>
  <c r="BC150" i="104" a="1"/>
  <c r="BC150" i="104" s="1"/>
  <c r="BF150" i="104"/>
  <c r="BF192" i="104"/>
  <c r="BC192" i="104" a="1"/>
  <c r="BC192" i="104" s="1"/>
  <c r="AW220" i="104"/>
  <c r="AU220" i="104"/>
  <c r="AP220" i="104"/>
  <c r="AV220" i="104"/>
  <c r="AT220" i="104"/>
  <c r="AO220" i="104"/>
  <c r="BB220" i="104"/>
  <c r="BF220" i="104" s="1"/>
  <c r="AX229" i="104"/>
  <c r="AP229" i="104"/>
  <c r="BB229" i="104"/>
  <c r="AW229" i="104"/>
  <c r="AU229" i="104"/>
  <c r="AT229" i="104"/>
  <c r="AV230" i="104"/>
  <c r="BF244" i="104"/>
  <c r="AO249" i="104"/>
  <c r="AV249" i="104"/>
  <c r="AU249" i="104"/>
  <c r="AP249" i="104"/>
  <c r="AT249" i="104"/>
  <c r="AS249" i="104"/>
  <c r="AN249" i="104"/>
  <c r="BA249" i="104"/>
  <c r="BE249" i="104" s="1"/>
  <c r="BK249" i="104"/>
  <c r="BB249" i="104"/>
  <c r="AX249" i="104"/>
  <c r="AW249" i="104"/>
  <c r="BF262" i="104"/>
  <c r="BC262" i="104" a="1"/>
  <c r="BC262" i="104" s="1"/>
  <c r="BC290" i="104" a="1"/>
  <c r="BC290" i="104" s="1"/>
  <c r="BF296" i="104"/>
  <c r="AM539" i="104"/>
  <c r="AU539" i="104"/>
  <c r="AT539" i="104"/>
  <c r="AW539" i="104"/>
  <c r="AV539" i="104"/>
  <c r="AS539" i="104"/>
  <c r="BB539" i="104"/>
  <c r="AO539" i="104"/>
  <c r="BA539" i="104"/>
  <c r="BE539" i="104" s="1"/>
  <c r="AX539" i="104"/>
  <c r="AP539" i="104"/>
  <c r="BK539" i="104"/>
  <c r="AN539" i="104"/>
  <c r="AW89" i="104"/>
  <c r="AP89" i="104"/>
  <c r="AN125" i="104"/>
  <c r="AS125" i="104"/>
  <c r="AT125" i="104"/>
  <c r="AP125" i="104"/>
  <c r="AO125" i="104"/>
  <c r="BA125" i="104"/>
  <c r="BE125" i="104" s="1"/>
  <c r="AX125" i="104"/>
  <c r="AW125" i="104"/>
  <c r="AU125" i="104"/>
  <c r="BB125" i="104"/>
  <c r="AV125" i="104"/>
  <c r="BK125" i="104"/>
  <c r="BC323" i="104" a="1"/>
  <c r="BC323" i="104" s="1"/>
  <c r="BF323" i="104"/>
  <c r="AV493" i="104"/>
  <c r="BA493" i="104"/>
  <c r="BE493" i="104" s="1"/>
  <c r="AN493" i="104"/>
  <c r="AM493" i="104"/>
  <c r="AU493" i="104"/>
  <c r="AT493" i="104"/>
  <c r="AO493" i="104"/>
  <c r="AS493" i="104"/>
  <c r="AX493" i="104"/>
  <c r="AW493" i="104"/>
  <c r="BB493" i="104"/>
  <c r="BK493" i="104"/>
  <c r="BK64" i="104"/>
  <c r="AO64" i="104"/>
  <c r="AN64" i="104"/>
  <c r="BA64" i="104"/>
  <c r="BE64" i="104" s="1"/>
  <c r="AX64" i="104"/>
  <c r="BB64" i="104"/>
  <c r="AV64" i="104"/>
  <c r="AU64" i="104"/>
  <c r="AW64" i="104"/>
  <c r="AT64" i="104"/>
  <c r="AS64" i="104"/>
  <c r="BC68" i="104" a="1"/>
  <c r="BC68" i="104" s="1"/>
  <c r="BF68" i="104"/>
  <c r="AU102" i="104"/>
  <c r="AN102" i="104"/>
  <c r="AM102" i="104"/>
  <c r="AT102" i="104"/>
  <c r="AS102" i="104"/>
  <c r="BA102" i="104"/>
  <c r="BE102" i="104" s="1"/>
  <c r="AW102" i="104"/>
  <c r="AO102" i="104"/>
  <c r="BB102" i="104"/>
  <c r="AX102" i="104"/>
  <c r="AV102" i="104"/>
  <c r="AP102" i="104"/>
  <c r="BM124" i="104"/>
  <c r="BG124" i="104" s="1"/>
  <c r="BH124" i="104" s="1"/>
  <c r="BC202" i="104" a="1"/>
  <c r="BC202" i="104" s="1"/>
  <c r="BF202" i="104"/>
  <c r="AN237" i="104"/>
  <c r="BB237" i="104"/>
  <c r="AP237" i="104"/>
  <c r="AM237" i="104"/>
  <c r="AX237" i="104"/>
  <c r="AT237" i="104"/>
  <c r="AW237" i="104"/>
  <c r="BC292" i="104" a="1"/>
  <c r="BC292" i="104" s="1"/>
  <c r="BF292" i="104"/>
  <c r="BM312" i="104"/>
  <c r="BG312" i="104" s="1"/>
  <c r="BH312" i="104" s="1"/>
  <c r="BC482" i="104" a="1"/>
  <c r="BC482" i="104" s="1"/>
  <c r="BF482" i="104"/>
  <c r="AP493" i="104"/>
  <c r="BF52" i="104"/>
  <c r="BC52" i="104" a="1"/>
  <c r="BC52" i="104" s="1"/>
  <c r="AM61" i="104"/>
  <c r="BA61" i="104"/>
  <c r="BE61" i="104" s="1"/>
  <c r="BB61" i="104"/>
  <c r="AX61" i="104"/>
  <c r="AU61" i="104"/>
  <c r="AT61" i="104"/>
  <c r="AS61" i="104"/>
  <c r="AP61" i="104"/>
  <c r="AO61" i="104"/>
  <c r="AN61" i="104"/>
  <c r="BC93" i="104" a="1"/>
  <c r="BC93" i="104" s="1"/>
  <c r="BF181" i="104"/>
  <c r="BC181" i="104" a="1"/>
  <c r="BC181" i="104" s="1"/>
  <c r="AM232" i="104"/>
  <c r="BF245" i="104"/>
  <c r="BC245" i="104" a="1"/>
  <c r="BC245" i="104" s="1"/>
  <c r="AP350" i="104"/>
  <c r="AP385" i="104"/>
  <c r="AT385" i="104"/>
  <c r="AN385" i="104"/>
  <c r="AM385" i="104"/>
  <c r="BB385" i="104"/>
  <c r="BA385" i="104"/>
  <c r="BE385" i="104" s="1"/>
  <c r="AO385" i="104"/>
  <c r="AW385" i="104"/>
  <c r="AU385" i="104"/>
  <c r="AS385" i="104"/>
  <c r="AV385" i="104"/>
  <c r="BK385" i="104"/>
  <c r="AX385" i="104"/>
  <c r="AN400" i="104"/>
  <c r="AN84" i="104"/>
  <c r="AP84" i="104"/>
  <c r="BB84" i="104" s="1"/>
  <c r="BF84" i="104" s="1"/>
  <c r="AT84" i="104"/>
  <c r="AP128" i="104"/>
  <c r="AT128" i="104"/>
  <c r="AU128" i="104"/>
  <c r="AO128" i="104"/>
  <c r="AN128" i="104"/>
  <c r="AN163" i="104"/>
  <c r="AM178" i="104"/>
  <c r="BC179" i="104" a="1"/>
  <c r="BC179" i="104" s="1"/>
  <c r="BK186" i="104"/>
  <c r="AX269" i="104"/>
  <c r="BB269" i="104"/>
  <c r="BA269" i="104"/>
  <c r="BE269" i="104" s="1"/>
  <c r="AO269" i="104"/>
  <c r="AM269" i="104"/>
  <c r="AP269" i="104"/>
  <c r="BK269" i="104"/>
  <c r="AN269" i="104"/>
  <c r="AT269" i="104"/>
  <c r="AS269" i="104"/>
  <c r="AW269" i="104"/>
  <c r="AV269" i="104"/>
  <c r="AU269" i="104"/>
  <c r="AL314" i="104"/>
  <c r="BM314" i="104"/>
  <c r="BG314" i="104" s="1"/>
  <c r="BH314" i="104" s="1"/>
  <c r="BF397" i="104"/>
  <c r="BC397" i="104" a="1"/>
  <c r="BC397" i="104" s="1"/>
  <c r="BF417" i="104"/>
  <c r="BC417" i="104" a="1"/>
  <c r="BC417" i="104" s="1"/>
  <c r="AS420" i="104"/>
  <c r="AM420" i="104"/>
  <c r="AU420" i="104"/>
  <c r="AT420" i="104"/>
  <c r="AP420" i="104"/>
  <c r="AO420" i="104"/>
  <c r="BB420" i="104"/>
  <c r="AV420" i="104"/>
  <c r="AX420" i="104"/>
  <c r="AN420" i="104"/>
  <c r="AW420" i="104"/>
  <c r="BK420" i="104"/>
  <c r="BA420" i="104"/>
  <c r="BE420" i="104" s="1"/>
  <c r="AU460" i="104"/>
  <c r="BK460" i="104"/>
  <c r="AX460" i="104"/>
  <c r="AS460" i="104"/>
  <c r="AW460" i="104"/>
  <c r="AV460" i="104"/>
  <c r="AP460" i="104"/>
  <c r="BA460" i="104"/>
  <c r="BE460" i="104" s="1"/>
  <c r="AT460" i="104"/>
  <c r="AO460" i="104"/>
  <c r="BF461" i="104"/>
  <c r="BC461" i="104" a="1"/>
  <c r="BC461" i="104" s="1"/>
  <c r="AO541" i="104"/>
  <c r="AN541" i="104"/>
  <c r="AM541" i="104"/>
  <c r="AV541" i="104"/>
  <c r="AU541" i="104"/>
  <c r="BK541" i="104"/>
  <c r="AP541" i="104"/>
  <c r="AW541" i="104"/>
  <c r="BA541" i="104"/>
  <c r="BE541" i="104" s="1"/>
  <c r="AX541" i="104"/>
  <c r="AS541" i="104"/>
  <c r="AM33" i="104"/>
  <c r="AM26" i="104"/>
  <c r="AM31" i="104"/>
  <c r="AM24" i="104"/>
  <c r="AM38" i="104"/>
  <c r="AM35" i="104"/>
  <c r="AW61" i="104"/>
  <c r="AP64" i="104"/>
  <c r="AV214" i="104"/>
  <c r="AP214" i="104"/>
  <c r="AM214" i="104"/>
  <c r="BB214" i="104"/>
  <c r="AW214" i="104"/>
  <c r="BA214" i="104"/>
  <c r="BE214" i="104" s="1"/>
  <c r="AX214" i="104"/>
  <c r="AT214" i="104"/>
  <c r="BK214" i="104"/>
  <c r="AU214" i="104"/>
  <c r="AS214" i="104"/>
  <c r="BF349" i="104"/>
  <c r="BC349" i="104" a="1"/>
  <c r="BC349" i="104" s="1"/>
  <c r="AN365" i="104"/>
  <c r="AO365" i="104"/>
  <c r="AM365" i="104"/>
  <c r="AT365" i="104"/>
  <c r="AS365" i="104"/>
  <c r="AX365" i="104"/>
  <c r="AW365" i="104"/>
  <c r="BA365" i="104"/>
  <c r="BE365" i="104" s="1"/>
  <c r="AV365" i="104"/>
  <c r="AU365" i="104"/>
  <c r="BK365" i="104"/>
  <c r="AM468" i="104"/>
  <c r="AU468" i="104"/>
  <c r="AW468" i="104"/>
  <c r="AT468" i="104"/>
  <c r="AS468" i="104"/>
  <c r="BK468" i="104"/>
  <c r="BB468" i="104"/>
  <c r="BA468" i="104"/>
  <c r="BE468" i="104" s="1"/>
  <c r="AX468" i="104"/>
  <c r="AV468" i="104"/>
  <c r="AP468" i="104"/>
  <c r="AO468" i="104"/>
  <c r="BC480" i="104" a="1"/>
  <c r="BC480" i="104" s="1"/>
  <c r="BF480" i="104"/>
  <c r="BF540" i="104"/>
  <c r="BC540" i="104" a="1"/>
  <c r="BC540" i="104" s="1"/>
  <c r="BF64" i="104"/>
  <c r="AP158" i="104"/>
  <c r="AW158" i="104"/>
  <c r="AV158" i="104"/>
  <c r="AT158" i="104"/>
  <c r="AS158" i="104"/>
  <c r="AU158" i="104"/>
  <c r="BK158" i="104"/>
  <c r="AO178" i="104"/>
  <c r="BF268" i="104"/>
  <c r="BC268" i="104" a="1"/>
  <c r="BC268" i="104" s="1"/>
  <c r="BC364" i="104" a="1"/>
  <c r="BC364" i="104" s="1"/>
  <c r="BF364" i="104"/>
  <c r="AP365" i="104"/>
  <c r="AM460" i="104"/>
  <c r="AT541" i="104"/>
  <c r="BF100" i="104"/>
  <c r="BC100" i="104" a="1"/>
  <c r="BC100" i="104" s="1"/>
  <c r="AM207" i="104"/>
  <c r="AX207" i="104"/>
  <c r="BC274" i="104" a="1"/>
  <c r="BC274" i="104" s="1"/>
  <c r="BF274" i="104"/>
  <c r="BM309" i="104"/>
  <c r="BG309" i="104" s="1"/>
  <c r="BH309" i="104" s="1"/>
  <c r="AS404" i="104"/>
  <c r="AT404" i="104"/>
  <c r="AU404" i="104"/>
  <c r="AX404" i="104"/>
  <c r="AW404" i="104"/>
  <c r="AV404" i="104"/>
  <c r="AP404" i="104"/>
  <c r="AN404" i="104"/>
  <c r="AO404" i="104"/>
  <c r="BK404" i="104"/>
  <c r="BB404" i="104"/>
  <c r="BA404" i="104"/>
  <c r="BE404" i="104" s="1"/>
  <c r="AM404" i="104"/>
  <c r="AN460" i="104"/>
  <c r="AN468" i="104"/>
  <c r="BB541" i="104"/>
  <c r="BC42" i="104" a="1"/>
  <c r="BC42" i="104" s="1"/>
  <c r="AT89" i="104"/>
  <c r="AN90" i="104"/>
  <c r="BK102" i="104"/>
  <c r="BC105" i="104" a="1"/>
  <c r="BC105" i="104" s="1"/>
  <c r="BK109" i="104"/>
  <c r="BB178" i="104"/>
  <c r="BC215" i="104" a="1"/>
  <c r="BC215" i="104" s="1"/>
  <c r="BF215" i="104"/>
  <c r="BB363" i="104"/>
  <c r="BA363" i="104"/>
  <c r="BE363" i="104" s="1"/>
  <c r="AW363" i="104"/>
  <c r="AV363" i="104"/>
  <c r="AU363" i="104"/>
  <c r="AT363" i="104"/>
  <c r="AP363" i="104"/>
  <c r="AM363" i="104"/>
  <c r="AO363" i="104"/>
  <c r="AN363" i="104"/>
  <c r="AS363" i="104"/>
  <c r="BK363" i="104"/>
  <c r="BB365" i="104"/>
  <c r="BC541" i="104" a="1"/>
  <c r="BC541" i="104" s="1"/>
  <c r="BF48" i="104"/>
  <c r="BC48" i="104" a="1"/>
  <c r="BC48" i="104" s="1"/>
  <c r="BC66" i="104" a="1"/>
  <c r="BC66" i="104" s="1"/>
  <c r="BF116" i="104"/>
  <c r="BC116" i="104" a="1"/>
  <c r="BC116" i="104" s="1"/>
  <c r="AO158" i="104"/>
  <c r="BM164" i="104"/>
  <c r="BG164" i="104" s="1"/>
  <c r="BH164" i="104" s="1"/>
  <c r="AN322" i="104"/>
  <c r="BK322" i="104"/>
  <c r="AP322" i="104"/>
  <c r="AO322" i="104"/>
  <c r="BA322" i="104"/>
  <c r="BE322" i="104" s="1"/>
  <c r="AX322" i="104"/>
  <c r="BB322" i="104"/>
  <c r="AW322" i="104"/>
  <c r="AU322" i="104"/>
  <c r="AS322" i="104"/>
  <c r="AM322" i="104"/>
  <c r="AV322" i="104"/>
  <c r="AT322" i="104"/>
  <c r="BC363" i="104" a="1"/>
  <c r="BC363" i="104" s="1"/>
  <c r="BF363" i="104"/>
  <c r="BB460" i="104"/>
  <c r="BF96" i="104"/>
  <c r="BC96" i="104" a="1"/>
  <c r="BC96" i="104" s="1"/>
  <c r="AT115" i="104"/>
  <c r="AO115" i="104"/>
  <c r="AS115" i="104"/>
  <c r="AV115" i="104"/>
  <c r="AP115" i="104"/>
  <c r="AU115" i="104"/>
  <c r="BA115" i="104"/>
  <c r="BE115" i="104" s="1"/>
  <c r="AW115" i="104"/>
  <c r="AN115" i="104"/>
  <c r="BB115" i="104"/>
  <c r="BF430" i="104"/>
  <c r="BC430" i="104" a="1"/>
  <c r="BC430" i="104" s="1"/>
  <c r="BB497" i="104"/>
  <c r="BK497" i="104"/>
  <c r="AM497" i="104"/>
  <c r="AP497" i="104"/>
  <c r="AO497" i="104"/>
  <c r="AS497" i="104"/>
  <c r="AN497" i="104"/>
  <c r="AV497" i="104"/>
  <c r="AU497" i="104"/>
  <c r="AX497" i="104"/>
  <c r="AW497" i="104"/>
  <c r="AT497" i="104"/>
  <c r="BA497" i="104"/>
  <c r="BE497" i="104" s="1"/>
  <c r="BC37" i="104" a="1"/>
  <c r="BC37" i="104" s="1"/>
  <c r="AO46" i="104"/>
  <c r="AL56" i="104"/>
  <c r="AV78" i="104"/>
  <c r="AM78" i="104"/>
  <c r="AX78" i="104"/>
  <c r="AU78" i="104"/>
  <c r="AW78" i="104"/>
  <c r="AT78" i="104"/>
  <c r="BB78" i="104"/>
  <c r="BA78" i="104"/>
  <c r="BE78" i="104" s="1"/>
  <c r="AS78" i="104"/>
  <c r="BB89" i="104"/>
  <c r="BF149" i="104"/>
  <c r="BC149" i="104" a="1"/>
  <c r="BC149" i="104" s="1"/>
  <c r="BF259" i="104"/>
  <c r="BC259" i="104" a="1"/>
  <c r="BC259" i="104" s="1"/>
  <c r="BC387" i="104" a="1"/>
  <c r="BC387" i="104" s="1"/>
  <c r="BF387" i="104"/>
  <c r="BF195" i="104"/>
  <c r="BC195" i="104" a="1"/>
  <c r="BC195" i="104" s="1"/>
  <c r="BM210" i="104"/>
  <c r="BG210" i="104" s="1"/>
  <c r="BH210" i="104" s="1"/>
  <c r="AM40" i="104"/>
  <c r="AT40" i="104"/>
  <c r="AS40" i="104"/>
  <c r="BB40" i="104"/>
  <c r="BF40" i="104" s="1"/>
  <c r="AW40" i="104"/>
  <c r="AV40" i="104"/>
  <c r="AP40" i="104"/>
  <c r="BA40" i="104"/>
  <c r="AX40" i="104"/>
  <c r="AU40" i="104"/>
  <c r="AN70" i="104"/>
  <c r="AP78" i="104"/>
  <c r="BF108" i="104"/>
  <c r="BC108" i="104" a="1"/>
  <c r="BC108" i="104" s="1"/>
  <c r="AV153" i="104"/>
  <c r="AS153" i="104"/>
  <c r="AP153" i="104"/>
  <c r="AN153" i="104"/>
  <c r="AM153" i="104"/>
  <c r="AL153" i="104" s="1"/>
  <c r="AO153" i="104"/>
  <c r="BK153" i="104"/>
  <c r="BB153" i="104"/>
  <c r="BA153" i="104"/>
  <c r="BE153" i="104" s="1"/>
  <c r="AN184" i="104"/>
  <c r="AN195" i="104"/>
  <c r="AO195" i="104"/>
  <c r="AM195" i="104"/>
  <c r="AU195" i="104"/>
  <c r="AS195" i="104"/>
  <c r="AT195" i="104"/>
  <c r="AP195" i="104"/>
  <c r="BA195" i="104"/>
  <c r="BE195" i="104" s="1"/>
  <c r="BB195" i="104"/>
  <c r="BK195" i="104"/>
  <c r="AM226" i="104"/>
  <c r="AM233" i="104"/>
  <c r="AM229" i="104"/>
  <c r="AM228" i="104"/>
  <c r="AM220" i="104"/>
  <c r="AM244" i="104"/>
  <c r="AM243" i="104"/>
  <c r="AM221" i="104"/>
  <c r="AM248" i="104"/>
  <c r="BF224" i="104"/>
  <c r="AW230" i="104"/>
  <c r="BC240" i="104" a="1"/>
  <c r="BC240" i="104" s="1"/>
  <c r="BF240" i="104"/>
  <c r="AM241" i="104"/>
  <c r="AO255" i="104"/>
  <c r="BK255" i="104"/>
  <c r="AP255" i="104"/>
  <c r="AS255" i="104"/>
  <c r="AV255" i="104"/>
  <c r="AU255" i="104"/>
  <c r="AW255" i="104"/>
  <c r="AT255" i="104"/>
  <c r="BB255" i="104"/>
  <c r="BA255" i="104"/>
  <c r="BE255" i="104" s="1"/>
  <c r="BF272" i="104"/>
  <c r="BC272" i="104" a="1"/>
  <c r="BC272" i="104" s="1"/>
  <c r="AX382" i="104"/>
  <c r="AT34" i="104"/>
  <c r="AN40" i="104"/>
  <c r="BB45" i="104"/>
  <c r="AS46" i="104"/>
  <c r="BF78" i="104"/>
  <c r="BC78" i="104" a="1"/>
  <c r="BC78" i="104" s="1"/>
  <c r="AX84" i="104"/>
  <c r="BK104" i="104"/>
  <c r="AO104" i="104"/>
  <c r="AN104" i="104"/>
  <c r="BB104" i="104"/>
  <c r="AX104" i="104"/>
  <c r="AW104" i="104"/>
  <c r="BA104" i="104"/>
  <c r="BE104" i="104" s="1"/>
  <c r="AV104" i="104"/>
  <c r="AT104" i="104"/>
  <c r="AP104" i="104"/>
  <c r="AU104" i="104"/>
  <c r="AS104" i="104"/>
  <c r="BC119" i="104" a="1"/>
  <c r="BC119" i="104" s="1"/>
  <c r="BF119" i="104"/>
  <c r="AT130" i="104"/>
  <c r="AO130" i="104"/>
  <c r="AN130" i="104"/>
  <c r="BB130" i="104"/>
  <c r="AX130" i="104"/>
  <c r="AW130" i="104"/>
  <c r="AP130" i="104"/>
  <c r="AM140" i="104"/>
  <c r="BK140" i="104"/>
  <c r="AP140" i="104"/>
  <c r="BA140" i="104"/>
  <c r="BE140" i="104" s="1"/>
  <c r="AW140" i="104"/>
  <c r="AX140" i="104"/>
  <c r="AV140" i="104"/>
  <c r="BB140" i="104"/>
  <c r="AT140" i="104"/>
  <c r="AO140" i="104"/>
  <c r="AU140" i="104"/>
  <c r="AS140" i="104"/>
  <c r="AN140" i="104"/>
  <c r="AM149" i="104"/>
  <c r="AX173" i="104"/>
  <c r="AW173" i="104"/>
  <c r="AV173" i="104"/>
  <c r="AU173" i="104"/>
  <c r="AT173" i="104"/>
  <c r="AP173" i="104"/>
  <c r="BB173" i="104"/>
  <c r="AO173" i="104"/>
  <c r="AN173" i="104"/>
  <c r="AU245" i="104"/>
  <c r="AU237" i="104"/>
  <c r="AN229" i="104"/>
  <c r="AN221" i="104"/>
  <c r="AN234" i="104"/>
  <c r="AU219" i="104"/>
  <c r="AU227" i="104"/>
  <c r="AN223" i="104"/>
  <c r="AU224" i="104"/>
  <c r="AU248" i="104"/>
  <c r="AN239" i="104"/>
  <c r="AN228" i="104"/>
  <c r="AN243" i="104"/>
  <c r="AN240" i="104"/>
  <c r="AN220" i="104"/>
  <c r="AU247" i="104"/>
  <c r="AU238" i="104"/>
  <c r="AU233" i="104"/>
  <c r="AN231" i="104"/>
  <c r="AM219" i="104"/>
  <c r="AX230" i="104"/>
  <c r="BB245" i="104"/>
  <c r="AT247" i="104"/>
  <c r="BB247" i="104"/>
  <c r="AP247" i="104"/>
  <c r="AM247" i="104"/>
  <c r="AX247" i="104"/>
  <c r="AM249" i="104"/>
  <c r="BC283" i="104" a="1"/>
  <c r="BC283" i="104" s="1"/>
  <c r="BJ290" i="104"/>
  <c r="BA362" i="104"/>
  <c r="BE362" i="104" s="1"/>
  <c r="AW362" i="104"/>
  <c r="AT362" i="104"/>
  <c r="AS362" i="104"/>
  <c r="AN362" i="104"/>
  <c r="BK362" i="104"/>
  <c r="AM362" i="104"/>
  <c r="BB362" i="104"/>
  <c r="AX362" i="104"/>
  <c r="AV362" i="104"/>
  <c r="AU362" i="104"/>
  <c r="AP362" i="104"/>
  <c r="AO362" i="104"/>
  <c r="AV391" i="104"/>
  <c r="AT391" i="104"/>
  <c r="BB391" i="104"/>
  <c r="BA391" i="104"/>
  <c r="BE391" i="104" s="1"/>
  <c r="AX391" i="104"/>
  <c r="AS391" i="104"/>
  <c r="AW391" i="104"/>
  <c r="AU391" i="104"/>
  <c r="AP391" i="104"/>
  <c r="AO391" i="104"/>
  <c r="AN391" i="104"/>
  <c r="AM391" i="104"/>
  <c r="BK391" i="104"/>
  <c r="AV407" i="104"/>
  <c r="BK407" i="104"/>
  <c r="AP407" i="104"/>
  <c r="AO407" i="104"/>
  <c r="BA407" i="104"/>
  <c r="BE407" i="104" s="1"/>
  <c r="AX407" i="104"/>
  <c r="AT407" i="104"/>
  <c r="AS407" i="104"/>
  <c r="BB407" i="104"/>
  <c r="AW407" i="104"/>
  <c r="AU407" i="104"/>
  <c r="AN407" i="104"/>
  <c r="BF469" i="104"/>
  <c r="BC469" i="104" a="1"/>
  <c r="BC469" i="104" s="1"/>
  <c r="BB536" i="104"/>
  <c r="BA536" i="104"/>
  <c r="BE536" i="104" s="1"/>
  <c r="AW536" i="104"/>
  <c r="AU536" i="104"/>
  <c r="AT536" i="104"/>
  <c r="AX536" i="104"/>
  <c r="AS536" i="104"/>
  <c r="AM536" i="104"/>
  <c r="BK536" i="104"/>
  <c r="AV536" i="104"/>
  <c r="AP536" i="104"/>
  <c r="AO536" i="104"/>
  <c r="AN536" i="104"/>
  <c r="AT24" i="104"/>
  <c r="AX24" i="104"/>
  <c r="AW24" i="104"/>
  <c r="AP24" i="104"/>
  <c r="BC103" i="104" a="1"/>
  <c r="BC103" i="104" s="1"/>
  <c r="BF103" i="104"/>
  <c r="BC126" i="104" a="1"/>
  <c r="BC126" i="104" s="1"/>
  <c r="BF126" i="104"/>
  <c r="AM254" i="104"/>
  <c r="BE254" i="104"/>
  <c r="AX30" i="104"/>
  <c r="AW30" i="104"/>
  <c r="BB30" i="104" s="1"/>
  <c r="BF30" i="104" s="1"/>
  <c r="AV30" i="104"/>
  <c r="AM30" i="104"/>
  <c r="BC197" i="104" a="1"/>
  <c r="BC197" i="104" s="1"/>
  <c r="BF197" i="104"/>
  <c r="AT288" i="104"/>
  <c r="AS288" i="104"/>
  <c r="BB288" i="104"/>
  <c r="AV288" i="104"/>
  <c r="AU288" i="104"/>
  <c r="AO288" i="104"/>
  <c r="AP288" i="104"/>
  <c r="AN288" i="104"/>
  <c r="AM288" i="104"/>
  <c r="BA288" i="104"/>
  <c r="BE288" i="104" s="1"/>
  <c r="AX288" i="104"/>
  <c r="AW288" i="104"/>
  <c r="BF315" i="104"/>
  <c r="BC315" i="104" a="1"/>
  <c r="BC315" i="104" s="1"/>
  <c r="AO400" i="104"/>
  <c r="BA400" i="104"/>
  <c r="BE400" i="104" s="1"/>
  <c r="AS400" i="104"/>
  <c r="BB400" i="104"/>
  <c r="AM400" i="104"/>
  <c r="AV400" i="104"/>
  <c r="AU400" i="104"/>
  <c r="AX400" i="104"/>
  <c r="AW400" i="104"/>
  <c r="BK400" i="104"/>
  <c r="AT400" i="104"/>
  <c r="BF35" i="104"/>
  <c r="BC35" i="104" a="1"/>
  <c r="BC35" i="104" s="1"/>
  <c r="AL41" i="104"/>
  <c r="AN43" i="104"/>
  <c r="AM43" i="104"/>
  <c r="AP43" i="104"/>
  <c r="BK43" i="104"/>
  <c r="AO43" i="104"/>
  <c r="BB43" i="104"/>
  <c r="AW43" i="104"/>
  <c r="AV43" i="104"/>
  <c r="AU43" i="104"/>
  <c r="AT43" i="104"/>
  <c r="AS43" i="104"/>
  <c r="BA43" i="104"/>
  <c r="BE43" i="104" s="1"/>
  <c r="AX43" i="104"/>
  <c r="BF188" i="104"/>
  <c r="BC188" i="104" a="1"/>
  <c r="BC188" i="104" s="1"/>
  <c r="BA346" i="104"/>
  <c r="BE346" i="104" s="1"/>
  <c r="AM346" i="104"/>
  <c r="AS346" i="104"/>
  <c r="BB346" i="104"/>
  <c r="AU346" i="104"/>
  <c r="AT346" i="104"/>
  <c r="AV346" i="104"/>
  <c r="AP346" i="104"/>
  <c r="AO346" i="104"/>
  <c r="AN346" i="104"/>
  <c r="AX346" i="104"/>
  <c r="BK346" i="104"/>
  <c r="AV61" i="104"/>
  <c r="AT25" i="104"/>
  <c r="AP25" i="104"/>
  <c r="AN25" i="104"/>
  <c r="AW25" i="104"/>
  <c r="AX25" i="104"/>
  <c r="AO30" i="104"/>
  <c r="AS90" i="104"/>
  <c r="BK90" i="104"/>
  <c r="BB90" i="104"/>
  <c r="BA90" i="104"/>
  <c r="BE90" i="104" s="1"/>
  <c r="AV90" i="104"/>
  <c r="AU90" i="104"/>
  <c r="AX90" i="104"/>
  <c r="AW90" i="104"/>
  <c r="AT90" i="104"/>
  <c r="BF164" i="104"/>
  <c r="BC164" i="104" a="1"/>
  <c r="BC164" i="104" s="1"/>
  <c r="AN178" i="104"/>
  <c r="N286" i="104"/>
  <c r="AQ286" i="104"/>
  <c r="AL49" i="104"/>
  <c r="BM49" i="104"/>
  <c r="BG49" i="104" s="1"/>
  <c r="BH49" i="104" s="1"/>
  <c r="BF99" i="104"/>
  <c r="BC99" i="104" a="1"/>
  <c r="BC99" i="104" s="1"/>
  <c r="AT169" i="104"/>
  <c r="AN169" i="104"/>
  <c r="BB169" i="104"/>
  <c r="BA169" i="104"/>
  <c r="BE169" i="104" s="1"/>
  <c r="AX169" i="104"/>
  <c r="AW169" i="104"/>
  <c r="AV169" i="104"/>
  <c r="AU169" i="104"/>
  <c r="AS169" i="104"/>
  <c r="AP169" i="104"/>
  <c r="AO169" i="104"/>
  <c r="AM169" i="104"/>
  <c r="BF175" i="104"/>
  <c r="BC175" i="104" a="1"/>
  <c r="BC175" i="104" s="1"/>
  <c r="BB175" i="104"/>
  <c r="AN214" i="104"/>
  <c r="AP85" i="104"/>
  <c r="AU85" i="104"/>
  <c r="AT85" i="104"/>
  <c r="BB85" i="104"/>
  <c r="BF85" i="104" s="1"/>
  <c r="AO85" i="104"/>
  <c r="AN85" i="104"/>
  <c r="AX85" i="104"/>
  <c r="AV85" i="104"/>
  <c r="AW85" i="104"/>
  <c r="AM90" i="104"/>
  <c r="AL97" i="104"/>
  <c r="BM106" i="104"/>
  <c r="BG106" i="104" s="1"/>
  <c r="BH106" i="104" s="1"/>
  <c r="AM135" i="104"/>
  <c r="AP135" i="104"/>
  <c r="AO135" i="104"/>
  <c r="AN135" i="104"/>
  <c r="AX135" i="104"/>
  <c r="AV135" i="104"/>
  <c r="AU135" i="104"/>
  <c r="AW135" i="104"/>
  <c r="AT135" i="104"/>
  <c r="AS135" i="104"/>
  <c r="BB135" i="104"/>
  <c r="BA135" i="104"/>
  <c r="BE135" i="104" s="1"/>
  <c r="BC144" i="104" a="1"/>
  <c r="BC144" i="104" s="1"/>
  <c r="AO214" i="104"/>
  <c r="AX28" i="104"/>
  <c r="AO28" i="104"/>
  <c r="AP28" i="104"/>
  <c r="AN28" i="104"/>
  <c r="AU28" i="104"/>
  <c r="AT28" i="104"/>
  <c r="AM28" i="104"/>
  <c r="BC279" i="104" a="1"/>
  <c r="BC279" i="104" s="1"/>
  <c r="BF279" i="104"/>
  <c r="BF307" i="104"/>
  <c r="BC307" i="104" a="1"/>
  <c r="BC307" i="104" s="1"/>
  <c r="AU250" i="104"/>
  <c r="AT250" i="104"/>
  <c r="AS250" i="104"/>
  <c r="BB250" i="104"/>
  <c r="BF250" i="104" s="1"/>
  <c r="BA250" i="104"/>
  <c r="BE250" i="104" s="1"/>
  <c r="AX250" i="104"/>
  <c r="AM250" i="104"/>
  <c r="BK250" i="104"/>
  <c r="AW250" i="104"/>
  <c r="AV250" i="104"/>
  <c r="DK3" i="104"/>
  <c r="AT30" i="104"/>
  <c r="BK61" i="104"/>
  <c r="AN76" i="104"/>
  <c r="BK76" i="104"/>
  <c r="AT76" i="104"/>
  <c r="AS76" i="104"/>
  <c r="AP76" i="104"/>
  <c r="BA76" i="104"/>
  <c r="BE76" i="104" s="1"/>
  <c r="AV76" i="104"/>
  <c r="BB76" i="104"/>
  <c r="AX76" i="104"/>
  <c r="AW76" i="104"/>
  <c r="BM76" i="104" s="1"/>
  <c r="BG76" i="104" s="1"/>
  <c r="AP90" i="104"/>
  <c r="AW128" i="104"/>
  <c r="BB128" i="104" s="1"/>
  <c r="BF128" i="104" s="1"/>
  <c r="BF158" i="104"/>
  <c r="BC158" i="104" a="1"/>
  <c r="BC158" i="104" s="1"/>
  <c r="BB35" i="104"/>
  <c r="AS75" i="104"/>
  <c r="AU75" i="104"/>
  <c r="AT75" i="104"/>
  <c r="AP75" i="104"/>
  <c r="BK75" i="104"/>
  <c r="AO75" i="104"/>
  <c r="BA75" i="104"/>
  <c r="BE75" i="104" s="1"/>
  <c r="AN75" i="104"/>
  <c r="AX75" i="104"/>
  <c r="AW75" i="104"/>
  <c r="AV75" i="104"/>
  <c r="AM75" i="104"/>
  <c r="AM81" i="104"/>
  <c r="AS81" i="104"/>
  <c r="AP81" i="104"/>
  <c r="AX81" i="104"/>
  <c r="AT81" i="104"/>
  <c r="BB81" i="104"/>
  <c r="BA81" i="104"/>
  <c r="BE81" i="104" s="1"/>
  <c r="AW81" i="104"/>
  <c r="AV81" i="104"/>
  <c r="AU81" i="104"/>
  <c r="BK81" i="104"/>
  <c r="BC160" i="104" a="1"/>
  <c r="BC160" i="104" s="1"/>
  <c r="BF160" i="104"/>
  <c r="BF162" i="104"/>
  <c r="AU211" i="104"/>
  <c r="BA211" i="104"/>
  <c r="BE211" i="104" s="1"/>
  <c r="BK211" i="104"/>
  <c r="AP211" i="104"/>
  <c r="AO211" i="104"/>
  <c r="AT211" i="104"/>
  <c r="AS211" i="104"/>
  <c r="AN211" i="104"/>
  <c r="BB211" i="104"/>
  <c r="AV211" i="104"/>
  <c r="AM211" i="104"/>
  <c r="AX211" i="104"/>
  <c r="AW211" i="104"/>
  <c r="AX234" i="104"/>
  <c r="AM234" i="104"/>
  <c r="AW234" i="104"/>
  <c r="AV234" i="104"/>
  <c r="AO234" i="104"/>
  <c r="AU234" i="104"/>
  <c r="AT234" i="104"/>
  <c r="BB234" i="104"/>
  <c r="AP234" i="104"/>
  <c r="BB248" i="104"/>
  <c r="AP248" i="104"/>
  <c r="AX248" i="104"/>
  <c r="AW248" i="104"/>
  <c r="AV248" i="104"/>
  <c r="AO250" i="104"/>
  <c r="BM266" i="104"/>
  <c r="BG266" i="104" s="1"/>
  <c r="BH266" i="104" s="1"/>
  <c r="BC270" i="104" a="1"/>
  <c r="BC270" i="104" s="1"/>
  <c r="AX363" i="104"/>
  <c r="BK23" i="104"/>
  <c r="AV23" i="104"/>
  <c r="AT23" i="104"/>
  <c r="AS23" i="104"/>
  <c r="AU23" i="104"/>
  <c r="BA23" i="104"/>
  <c r="BE23" i="104" s="1"/>
  <c r="AX23" i="104"/>
  <c r="BB23" i="104"/>
  <c r="AW23" i="104"/>
  <c r="AP46" i="104"/>
  <c r="AV70" i="104"/>
  <c r="AU70" i="104"/>
  <c r="BA70" i="104"/>
  <c r="BE70" i="104" s="1"/>
  <c r="AX70" i="104"/>
  <c r="BB70" i="104"/>
  <c r="AW70" i="104"/>
  <c r="AT70" i="104"/>
  <c r="AS70" i="104"/>
  <c r="AT123" i="104"/>
  <c r="AM123" i="104"/>
  <c r="BK123" i="104"/>
  <c r="AP123" i="104"/>
  <c r="BB123" i="104"/>
  <c r="BA123" i="104"/>
  <c r="BE123" i="104" s="1"/>
  <c r="AX123" i="104"/>
  <c r="AV123" i="104"/>
  <c r="AU123" i="104"/>
  <c r="AS123" i="104"/>
  <c r="AW123" i="104"/>
  <c r="AO123" i="104"/>
  <c r="BC189" i="104" a="1"/>
  <c r="BC189" i="104" s="1"/>
  <c r="BF189" i="104"/>
  <c r="AM23" i="104"/>
  <c r="AW28" i="104"/>
  <c r="AW84" i="104"/>
  <c r="BF101" i="104"/>
  <c r="BC101" i="104" a="1"/>
  <c r="BC101" i="104" s="1"/>
  <c r="AO23" i="104"/>
  <c r="AU34" i="104"/>
  <c r="AO40" i="104"/>
  <c r="BC44" i="104" a="1"/>
  <c r="BC44" i="104" s="1"/>
  <c r="BF44" i="104"/>
  <c r="AL51" i="104"/>
  <c r="BM51" i="104"/>
  <c r="BG51" i="104" s="1"/>
  <c r="BH51" i="104" s="1"/>
  <c r="AP70" i="104"/>
  <c r="BK94" i="104"/>
  <c r="AL107" i="104"/>
  <c r="AN149" i="104"/>
  <c r="AT153" i="104"/>
  <c r="AO174" i="104"/>
  <c r="AX174" i="104"/>
  <c r="AN174" i="104"/>
  <c r="AP174" i="104"/>
  <c r="BB174" i="104"/>
  <c r="AW174" i="104"/>
  <c r="AU174" i="104"/>
  <c r="AL185" i="104"/>
  <c r="BC186" i="104" a="1"/>
  <c r="BC186" i="104" s="1"/>
  <c r="BF186" i="104"/>
  <c r="BM193" i="104"/>
  <c r="BG193" i="104" s="1"/>
  <c r="BH193" i="104" s="1"/>
  <c r="BJ193" i="104"/>
  <c r="AL193" i="104"/>
  <c r="AV195" i="104"/>
  <c r="AW221" i="104"/>
  <c r="AT221" i="104"/>
  <c r="AX221" i="104"/>
  <c r="AP221" i="104"/>
  <c r="BB221" i="104" s="1"/>
  <c r="BF221" i="104" s="1"/>
  <c r="AX255" i="104"/>
  <c r="AM255" i="104"/>
  <c r="BC288" i="104" a="1"/>
  <c r="BC288" i="104" s="1"/>
  <c r="BF288" i="104"/>
  <c r="N296" i="104"/>
  <c r="BF314" i="104"/>
  <c r="BC314" i="104" a="1"/>
  <c r="BC314" i="104" s="1"/>
  <c r="BM474" i="104"/>
  <c r="BG474" i="104" s="1"/>
  <c r="BH474" i="104" s="1"/>
  <c r="AL474" i="104"/>
  <c r="BM526" i="104"/>
  <c r="BG526" i="104" s="1"/>
  <c r="BH526" i="104" s="1"/>
  <c r="BJ526" i="104"/>
  <c r="BA192" i="104"/>
  <c r="BE192" i="104" s="1"/>
  <c r="AV192" i="104"/>
  <c r="AM192" i="104"/>
  <c r="AW192" i="104"/>
  <c r="AT192" i="104"/>
  <c r="AS192" i="104"/>
  <c r="AU192" i="104"/>
  <c r="AP192" i="104"/>
  <c r="AO192" i="104"/>
  <c r="BB192" i="104"/>
  <c r="AX192" i="104"/>
  <c r="AN192" i="104"/>
  <c r="BB267" i="104"/>
  <c r="AW267" i="104"/>
  <c r="AV267" i="104"/>
  <c r="BK267" i="104"/>
  <c r="AP267" i="104"/>
  <c r="AO267" i="104"/>
  <c r="AN267" i="104"/>
  <c r="AM267" i="104"/>
  <c r="AS267" i="104"/>
  <c r="BA267" i="104"/>
  <c r="BE267" i="104" s="1"/>
  <c r="AX267" i="104"/>
  <c r="AU267" i="104"/>
  <c r="AT267" i="104"/>
  <c r="AP353" i="104"/>
  <c r="AO353" i="104"/>
  <c r="BK353" i="104"/>
  <c r="AN353" i="104"/>
  <c r="AM353" i="104"/>
  <c r="AW353" i="104"/>
  <c r="AV353" i="104"/>
  <c r="BB353" i="104"/>
  <c r="AX353" i="104"/>
  <c r="AT353" i="104"/>
  <c r="BA353" i="104"/>
  <c r="BE353" i="104" s="1"/>
  <c r="AU353" i="104"/>
  <c r="BF385" i="104"/>
  <c r="BC385" i="104" a="1"/>
  <c r="BC385" i="104" s="1"/>
  <c r="BC452" i="104" a="1"/>
  <c r="BC452" i="104" s="1"/>
  <c r="BF452" i="104"/>
  <c r="AO36" i="104"/>
  <c r="AV32" i="104"/>
  <c r="AV28" i="104"/>
  <c r="AV25" i="104"/>
  <c r="AO26" i="104"/>
  <c r="AO35" i="104"/>
  <c r="AO37" i="104"/>
  <c r="BF56" i="104"/>
  <c r="BC56" i="104" a="1"/>
  <c r="BC56" i="104" s="1"/>
  <c r="BA98" i="104"/>
  <c r="BE98" i="104" s="1"/>
  <c r="BB98" i="104"/>
  <c r="AP98" i="104"/>
  <c r="BK98" i="104"/>
  <c r="AO98" i="104"/>
  <c r="AN98" i="104"/>
  <c r="AM98" i="104"/>
  <c r="AX98" i="104"/>
  <c r="AU98" i="104"/>
  <c r="AW98" i="104"/>
  <c r="AV98" i="104"/>
  <c r="AT114" i="104"/>
  <c r="AM114" i="104"/>
  <c r="AO114" i="104"/>
  <c r="AN114" i="104"/>
  <c r="BB114" i="104"/>
  <c r="BA114" i="104"/>
  <c r="BE114" i="104" s="1"/>
  <c r="AX114" i="104"/>
  <c r="AU114" i="104"/>
  <c r="BK114" i="104"/>
  <c r="AW114" i="104"/>
  <c r="AV114" i="104"/>
  <c r="BA119" i="104"/>
  <c r="BE119" i="104" s="1"/>
  <c r="AX119" i="104"/>
  <c r="AW119" i="104"/>
  <c r="AV119" i="104"/>
  <c r="AS119" i="104"/>
  <c r="AU119" i="104"/>
  <c r="AT119" i="104"/>
  <c r="BK119" i="104"/>
  <c r="N128" i="104"/>
  <c r="AV132" i="104"/>
  <c r="BB132" i="104"/>
  <c r="AX132" i="104"/>
  <c r="AW132" i="104"/>
  <c r="AT132" i="104"/>
  <c r="AU132" i="104"/>
  <c r="AS139" i="104"/>
  <c r="AN139" i="104"/>
  <c r="AV139" i="104"/>
  <c r="AW139" i="104"/>
  <c r="AU139" i="104"/>
  <c r="BK139" i="104"/>
  <c r="BC155" i="104" a="1"/>
  <c r="BC155" i="104" s="1"/>
  <c r="BF155" i="104"/>
  <c r="BC193" i="104" a="1"/>
  <c r="BC193" i="104" s="1"/>
  <c r="BF193" i="104"/>
  <c r="AO202" i="104"/>
  <c r="BK202" i="104"/>
  <c r="AX202" i="104"/>
  <c r="AV202" i="104"/>
  <c r="AU202" i="104"/>
  <c r="AW202" i="104"/>
  <c r="AT202" i="104"/>
  <c r="BB202" i="104"/>
  <c r="BA202" i="104"/>
  <c r="BE202" i="104" s="1"/>
  <c r="AV225" i="104"/>
  <c r="AN225" i="104"/>
  <c r="AM225" i="104"/>
  <c r="AU225" i="104"/>
  <c r="AW225" i="104"/>
  <c r="AO225" i="104"/>
  <c r="AT225" i="104"/>
  <c r="AP225" i="104"/>
  <c r="BB235" i="104"/>
  <c r="AP235" i="104"/>
  <c r="AM235" i="104"/>
  <c r="AX235" i="104"/>
  <c r="AW235" i="104"/>
  <c r="AP246" i="104"/>
  <c r="AM246" i="104"/>
  <c r="AU246" i="104"/>
  <c r="AT246" i="104"/>
  <c r="BB246" i="104"/>
  <c r="AW246" i="104"/>
  <c r="AN246" i="104"/>
  <c r="AX246" i="104"/>
  <c r="BM333" i="104"/>
  <c r="BG333" i="104" s="1"/>
  <c r="BH333" i="104" s="1"/>
  <c r="BC375" i="104" a="1"/>
  <c r="BC375" i="104" s="1"/>
  <c r="BF375" i="104"/>
  <c r="AT389" i="104"/>
  <c r="AN389" i="104"/>
  <c r="BK389" i="104"/>
  <c r="AP389" i="104"/>
  <c r="AO389" i="104"/>
  <c r="AW389" i="104"/>
  <c r="AV389" i="104"/>
  <c r="BB389" i="104"/>
  <c r="AS389" i="104"/>
  <c r="AM389" i="104"/>
  <c r="AU389" i="104"/>
  <c r="BA389" i="104"/>
  <c r="BE389" i="104" s="1"/>
  <c r="AX389" i="104"/>
  <c r="BK457" i="104"/>
  <c r="BA457" i="104"/>
  <c r="BE457" i="104" s="1"/>
  <c r="AT457" i="104"/>
  <c r="AS457" i="104"/>
  <c r="AM457" i="104"/>
  <c r="AO457" i="104"/>
  <c r="AN457" i="104"/>
  <c r="AW457" i="104"/>
  <c r="AX457" i="104"/>
  <c r="AV457" i="104"/>
  <c r="AU457" i="104"/>
  <c r="BB457" i="104"/>
  <c r="AP457" i="104"/>
  <c r="BF539" i="104"/>
  <c r="BC539" i="104" a="1"/>
  <c r="BC539" i="104" s="1"/>
  <c r="BC51" i="104" a="1"/>
  <c r="BC51" i="104" s="1"/>
  <c r="BF51" i="104"/>
  <c r="AV88" i="104"/>
  <c r="AT88" i="104"/>
  <c r="AP88" i="104"/>
  <c r="BB88" i="104"/>
  <c r="AX88" i="104"/>
  <c r="AO88" i="104"/>
  <c r="AW88" i="104"/>
  <c r="AN88" i="104"/>
  <c r="BC91" i="104" a="1"/>
  <c r="BC91" i="104" s="1"/>
  <c r="AN127" i="104"/>
  <c r="AO127" i="104"/>
  <c r="BB127" i="104"/>
  <c r="AP127" i="104"/>
  <c r="BF136" i="104"/>
  <c r="BC136" i="104" a="1"/>
  <c r="BC136" i="104" s="1"/>
  <c r="BB167" i="104"/>
  <c r="AP167" i="104"/>
  <c r="AX167" i="104"/>
  <c r="AW167" i="104"/>
  <c r="AO167" i="104"/>
  <c r="AN167" i="104"/>
  <c r="BK167" i="104"/>
  <c r="AM167" i="104"/>
  <c r="BA167" i="104"/>
  <c r="BE167" i="104" s="1"/>
  <c r="AU167" i="104"/>
  <c r="AV167" i="104"/>
  <c r="AT167" i="104"/>
  <c r="AS167" i="104"/>
  <c r="AX223" i="104"/>
  <c r="AU223" i="104"/>
  <c r="AT223" i="104"/>
  <c r="AP223" i="104"/>
  <c r="AM223" i="104"/>
  <c r="AW223" i="104"/>
  <c r="BB223" i="104" s="1"/>
  <c r="BF223" i="104" s="1"/>
  <c r="AT240" i="104"/>
  <c r="AX240" i="104"/>
  <c r="AW240" i="104"/>
  <c r="BB240" i="104"/>
  <c r="AP240" i="104"/>
  <c r="AU240" i="104"/>
  <c r="BC297" i="104" a="1"/>
  <c r="BC297" i="104" s="1"/>
  <c r="BF297" i="104"/>
  <c r="BF376" i="104"/>
  <c r="BC376" i="104" a="1"/>
  <c r="BC376" i="104" s="1"/>
  <c r="AX377" i="104"/>
  <c r="AO377" i="104"/>
  <c r="BK377" i="104"/>
  <c r="AP377" i="104"/>
  <c r="AW377" i="104"/>
  <c r="AV377" i="104"/>
  <c r="AM377" i="104"/>
  <c r="AT377" i="104"/>
  <c r="AN377" i="104"/>
  <c r="AS377" i="104"/>
  <c r="BB377" i="104"/>
  <c r="BA377" i="104"/>
  <c r="BE377" i="104" s="1"/>
  <c r="AU377" i="104"/>
  <c r="BM417" i="104"/>
  <c r="BG417" i="104" s="1"/>
  <c r="BH417" i="104" s="1"/>
  <c r="AL417" i="104"/>
  <c r="BC425" i="104" a="1"/>
  <c r="BC425" i="104" s="1"/>
  <c r="BF425" i="104"/>
  <c r="AV467" i="104"/>
  <c r="AU467" i="104"/>
  <c r="AT467" i="104"/>
  <c r="AS467" i="104"/>
  <c r="AP467" i="104"/>
  <c r="BK467" i="104"/>
  <c r="BB467" i="104"/>
  <c r="BA467" i="104"/>
  <c r="BE467" i="104" s="1"/>
  <c r="AX467" i="104"/>
  <c r="AW467" i="104"/>
  <c r="AO467" i="104"/>
  <c r="AN467" i="104"/>
  <c r="AV477" i="104"/>
  <c r="AN477" i="104"/>
  <c r="BK477" i="104"/>
  <c r="AO477" i="104"/>
  <c r="AM477" i="104"/>
  <c r="AU477" i="104"/>
  <c r="AT477" i="104"/>
  <c r="AW477" i="104"/>
  <c r="BB477" i="104"/>
  <c r="BA477" i="104"/>
  <c r="BE477" i="104" s="1"/>
  <c r="AX477" i="104"/>
  <c r="AP477" i="104"/>
  <c r="AS477" i="104"/>
  <c r="BB73" i="104"/>
  <c r="AX73" i="104"/>
  <c r="AW73" i="104"/>
  <c r="AP73" i="104"/>
  <c r="BK73" i="104"/>
  <c r="AO73" i="104"/>
  <c r="AS73" i="104"/>
  <c r="AN73" i="104"/>
  <c r="BA73" i="104"/>
  <c r="BE73" i="104" s="1"/>
  <c r="AV73" i="104"/>
  <c r="AU73" i="104"/>
  <c r="AT73" i="104"/>
  <c r="AN101" i="104"/>
  <c r="AV101" i="104"/>
  <c r="AU101" i="104"/>
  <c r="BB101" i="104"/>
  <c r="BA101" i="104"/>
  <c r="BE101" i="104" s="1"/>
  <c r="AX101" i="104"/>
  <c r="AW101" i="104"/>
  <c r="AT101" i="104"/>
  <c r="AS101" i="104"/>
  <c r="AP101" i="104"/>
  <c r="AO101" i="104"/>
  <c r="AM101" i="104"/>
  <c r="AV112" i="104"/>
  <c r="AT112" i="104"/>
  <c r="AS112" i="104"/>
  <c r="AX112" i="104"/>
  <c r="BB112" i="104"/>
  <c r="BA112" i="104"/>
  <c r="BE112" i="104" s="1"/>
  <c r="AO112" i="104"/>
  <c r="AW112" i="104"/>
  <c r="AU112" i="104"/>
  <c r="AP112" i="104"/>
  <c r="AP114" i="104"/>
  <c r="AN119" i="104"/>
  <c r="AO132" i="104"/>
  <c r="AW137" i="104"/>
  <c r="AN137" i="104"/>
  <c r="AM137" i="104"/>
  <c r="BB137" i="104"/>
  <c r="BA137" i="104"/>
  <c r="BE137" i="104" s="1"/>
  <c r="AV137" i="104"/>
  <c r="AT137" i="104"/>
  <c r="AP137" i="104"/>
  <c r="AU137" i="104"/>
  <c r="AS137" i="104"/>
  <c r="AO137" i="104"/>
  <c r="AX139" i="104"/>
  <c r="AM139" i="104"/>
  <c r="BM160" i="104"/>
  <c r="BG160" i="104" s="1"/>
  <c r="BH160" i="104" s="1"/>
  <c r="AL168" i="104"/>
  <c r="BK192" i="104"/>
  <c r="AP193" i="104"/>
  <c r="AN193" i="104"/>
  <c r="BA193" i="104"/>
  <c r="BE193" i="104" s="1"/>
  <c r="AX193" i="104"/>
  <c r="AT193" i="104"/>
  <c r="AO193" i="104"/>
  <c r="AS193" i="104"/>
  <c r="BK193" i="104"/>
  <c r="BB193" i="104"/>
  <c r="AN202" i="104"/>
  <c r="BF204" i="104"/>
  <c r="BC204" i="104" a="1"/>
  <c r="BC204" i="104" s="1"/>
  <c r="AL215" i="104"/>
  <c r="BM215" i="104"/>
  <c r="BG215" i="104" s="1"/>
  <c r="BH215" i="104" s="1"/>
  <c r="AO235" i="104"/>
  <c r="AX242" i="104"/>
  <c r="AO242" i="104"/>
  <c r="AN242" i="104"/>
  <c r="AT242" i="104"/>
  <c r="AP242" i="104"/>
  <c r="BB242" i="104" s="1"/>
  <c r="AU242" i="104"/>
  <c r="AM242" i="104"/>
  <c r="BC305" i="104" a="1"/>
  <c r="BC305" i="104" s="1"/>
  <c r="BF305" i="104"/>
  <c r="BC352" i="104" a="1"/>
  <c r="BC352" i="104" s="1"/>
  <c r="BF352" i="104"/>
  <c r="AS353" i="104"/>
  <c r="AL366" i="104"/>
  <c r="BC388" i="104" a="1"/>
  <c r="BC388" i="104" s="1"/>
  <c r="BF388" i="104"/>
  <c r="BC439" i="104" a="1"/>
  <c r="BC439" i="104" s="1"/>
  <c r="BF439" i="104"/>
  <c r="AM467" i="104"/>
  <c r="AU515" i="104"/>
  <c r="AX515" i="104"/>
  <c r="BA515" i="104"/>
  <c r="BE515" i="104" s="1"/>
  <c r="BK515" i="104"/>
  <c r="AM515" i="104"/>
  <c r="AP515" i="104"/>
  <c r="AS515" i="104"/>
  <c r="AV515" i="104"/>
  <c r="AT515" i="104"/>
  <c r="AW515" i="104"/>
  <c r="AO515" i="104"/>
  <c r="BB515" i="104"/>
  <c r="AX36" i="104"/>
  <c r="AP36" i="104"/>
  <c r="AW36" i="104"/>
  <c r="AV36" i="104"/>
  <c r="AT36" i="104"/>
  <c r="BB36" i="104"/>
  <c r="AU36" i="104"/>
  <c r="AM44" i="104"/>
  <c r="BF58" i="104"/>
  <c r="BC58" i="104" a="1"/>
  <c r="BC58" i="104" s="1"/>
  <c r="AW110" i="104"/>
  <c r="AV110" i="104"/>
  <c r="AX110" i="104"/>
  <c r="AT110" i="104"/>
  <c r="AU110" i="104"/>
  <c r="AS110" i="104"/>
  <c r="BB110" i="104"/>
  <c r="BA110" i="104"/>
  <c r="BE110" i="104" s="1"/>
  <c r="AX32" i="104"/>
  <c r="AO32" i="104"/>
  <c r="AP32" i="104"/>
  <c r="BB32" i="104"/>
  <c r="AW32" i="104"/>
  <c r="AU32" i="104"/>
  <c r="AT32" i="104"/>
  <c r="AM32" i="104"/>
  <c r="BC34" i="104" a="1"/>
  <c r="BC34" i="104" s="1"/>
  <c r="BF34" i="104"/>
  <c r="BM48" i="104"/>
  <c r="BG48" i="104" s="1"/>
  <c r="BH48" i="104" s="1"/>
  <c r="AU68" i="104"/>
  <c r="BB68" i="104"/>
  <c r="AV68" i="104"/>
  <c r="AS68" i="104"/>
  <c r="AT68" i="104"/>
  <c r="BA68" i="104"/>
  <c r="BE68" i="104" s="1"/>
  <c r="BC94" i="104" a="1"/>
  <c r="BC94" i="104" s="1"/>
  <c r="BF94" i="104"/>
  <c r="BF102" i="104"/>
  <c r="BC102" i="104" a="1"/>
  <c r="BC102" i="104" s="1"/>
  <c r="AN110" i="104"/>
  <c r="BF114" i="104"/>
  <c r="BC114" i="104" a="1"/>
  <c r="BC114" i="104" s="1"/>
  <c r="AL141" i="104"/>
  <c r="AX171" i="104"/>
  <c r="AP171" i="104"/>
  <c r="BB171" i="104" s="1"/>
  <c r="BF171" i="104" s="1"/>
  <c r="AO171" i="104"/>
  <c r="AN171" i="104"/>
  <c r="AM171" i="104"/>
  <c r="AL171" i="104" s="1"/>
  <c r="AP172" i="104"/>
  <c r="AW172" i="104"/>
  <c r="AT172" i="104"/>
  <c r="AM172" i="104"/>
  <c r="BC190" i="104" a="1"/>
  <c r="BC190" i="104" s="1"/>
  <c r="BF190" i="104"/>
  <c r="AM240" i="104"/>
  <c r="BC264" i="104" a="1"/>
  <c r="BC264" i="104" s="1"/>
  <c r="BF264" i="104"/>
  <c r="BC265" i="104" a="1"/>
  <c r="BC265" i="104" s="1"/>
  <c r="BF265" i="104"/>
  <c r="BC284" i="104" a="1"/>
  <c r="BC284" i="104" s="1"/>
  <c r="BF284" i="104"/>
  <c r="AW315" i="104"/>
  <c r="AN315" i="104"/>
  <c r="AM315" i="104"/>
  <c r="AS315" i="104"/>
  <c r="AU315" i="104"/>
  <c r="AT315" i="104"/>
  <c r="BB315" i="104"/>
  <c r="BK315" i="104"/>
  <c r="BA315" i="104"/>
  <c r="BE315" i="104" s="1"/>
  <c r="BF383" i="104"/>
  <c r="BC383" i="104" a="1"/>
  <c r="BC383" i="104" s="1"/>
  <c r="AT421" i="104"/>
  <c r="AP421" i="104"/>
  <c r="BB421" i="104"/>
  <c r="BA421" i="104"/>
  <c r="BE421" i="104" s="1"/>
  <c r="AX421" i="104"/>
  <c r="AS421" i="104"/>
  <c r="AV421" i="104"/>
  <c r="AO421" i="104"/>
  <c r="AN421" i="104"/>
  <c r="AM421" i="104"/>
  <c r="AW421" i="104"/>
  <c r="AU421" i="104"/>
  <c r="AN469" i="104"/>
  <c r="AX469" i="104"/>
  <c r="AP469" i="104"/>
  <c r="BK469" i="104"/>
  <c r="AO469" i="104"/>
  <c r="AT469" i="104"/>
  <c r="AS469" i="104"/>
  <c r="BB469" i="104"/>
  <c r="AM469" i="104"/>
  <c r="BA469" i="104"/>
  <c r="BE469" i="104" s="1"/>
  <c r="AW469" i="104"/>
  <c r="AV469" i="104"/>
  <c r="AU469" i="104"/>
  <c r="BF476" i="104"/>
  <c r="BC476" i="104" a="1"/>
  <c r="BC476" i="104" s="1"/>
  <c r="AW533" i="104"/>
  <c r="AV533" i="104"/>
  <c r="AO533" i="104"/>
  <c r="BB533" i="104"/>
  <c r="BA533" i="104"/>
  <c r="BE533" i="104" s="1"/>
  <c r="AS533" i="104"/>
  <c r="AN533" i="104"/>
  <c r="AM533" i="104"/>
  <c r="AP533" i="104"/>
  <c r="AX533" i="104"/>
  <c r="AU533" i="104"/>
  <c r="AS59" i="104"/>
  <c r="BK59" i="104"/>
  <c r="BA59" i="104"/>
  <c r="BE59" i="104" s="1"/>
  <c r="AW59" i="104"/>
  <c r="BM59" i="104" s="1"/>
  <c r="BG59" i="104" s="1"/>
  <c r="AV59" i="104"/>
  <c r="AX59" i="104"/>
  <c r="BK69" i="104"/>
  <c r="BB69" i="104"/>
  <c r="BA69" i="104"/>
  <c r="BE69" i="104" s="1"/>
  <c r="AW69" i="104"/>
  <c r="AX69" i="104"/>
  <c r="AV69" i="104"/>
  <c r="BA71" i="104"/>
  <c r="BE71" i="104" s="1"/>
  <c r="AU71" i="104"/>
  <c r="AT71" i="104"/>
  <c r="BB71" i="104"/>
  <c r="BK71" i="104"/>
  <c r="AX129" i="104"/>
  <c r="AW129" i="104"/>
  <c r="BB129" i="104" s="1"/>
  <c r="BF129" i="104" s="1"/>
  <c r="AV129" i="104"/>
  <c r="AU129" i="104"/>
  <c r="AU152" i="104"/>
  <c r="BA152" i="104"/>
  <c r="BE152" i="104" s="1"/>
  <c r="AX152" i="104"/>
  <c r="AO152" i="104"/>
  <c r="AP152" i="104"/>
  <c r="BK152" i="104"/>
  <c r="AN152" i="104"/>
  <c r="AS179" i="104"/>
  <c r="AU179" i="104"/>
  <c r="AT179" i="104"/>
  <c r="BB179" i="104"/>
  <c r="BF179" i="104" s="1"/>
  <c r="AW179" i="104"/>
  <c r="AV179" i="104"/>
  <c r="BA179" i="104"/>
  <c r="BE179" i="104" s="1"/>
  <c r="AX179" i="104"/>
  <c r="AT182" i="104"/>
  <c r="BA182" i="104"/>
  <c r="BE182" i="104" s="1"/>
  <c r="AO182" i="104"/>
  <c r="AP182" i="104"/>
  <c r="BK182" i="104"/>
  <c r="AN182" i="104"/>
  <c r="AX201" i="104"/>
  <c r="BA201" i="104"/>
  <c r="BE201" i="104" s="1"/>
  <c r="BK201" i="104"/>
  <c r="AP201" i="104"/>
  <c r="AW201" i="104"/>
  <c r="BM201" i="104" s="1"/>
  <c r="BG201" i="104" s="1"/>
  <c r="BB201" i="104"/>
  <c r="AV201" i="104"/>
  <c r="AV233" i="104"/>
  <c r="AP233" i="104"/>
  <c r="AO233" i="104"/>
  <c r="BA256" i="104"/>
  <c r="BE256" i="104" s="1"/>
  <c r="AM256" i="104"/>
  <c r="AS256" i="104"/>
  <c r="BB256" i="104"/>
  <c r="AX256" i="104"/>
  <c r="AW256" i="104"/>
  <c r="AQ276" i="104"/>
  <c r="BB331" i="104"/>
  <c r="AU331" i="104"/>
  <c r="AV331" i="104"/>
  <c r="AT331" i="104"/>
  <c r="BA331" i="104"/>
  <c r="BE331" i="104" s="1"/>
  <c r="AX331" i="104"/>
  <c r="AN331" i="104"/>
  <c r="AM331" i="104"/>
  <c r="AS331" i="104"/>
  <c r="AO331" i="104"/>
  <c r="AP331" i="104"/>
  <c r="AU342" i="104"/>
  <c r="AS342" i="104"/>
  <c r="AT342" i="104"/>
  <c r="AP342" i="104"/>
  <c r="AO342" i="104"/>
  <c r="AW342" i="104"/>
  <c r="AV342" i="104"/>
  <c r="BK342" i="104"/>
  <c r="BA342" i="104"/>
  <c r="BE342" i="104" s="1"/>
  <c r="AX342" i="104"/>
  <c r="AN342" i="104"/>
  <c r="BC400" i="104" a="1"/>
  <c r="BC400" i="104" s="1"/>
  <c r="BF400" i="104"/>
  <c r="BF406" i="104"/>
  <c r="BC406" i="104" a="1"/>
  <c r="BC406" i="104" s="1"/>
  <c r="BA503" i="104"/>
  <c r="BE503" i="104" s="1"/>
  <c r="AW503" i="104"/>
  <c r="AX503" i="104"/>
  <c r="AV503" i="104"/>
  <c r="AU503" i="104"/>
  <c r="BK503" i="104"/>
  <c r="AS503" i="104"/>
  <c r="BB503" i="104"/>
  <c r="AT503" i="104"/>
  <c r="AP503" i="104"/>
  <c r="AO503" i="104"/>
  <c r="AN508" i="104"/>
  <c r="AT508" i="104"/>
  <c r="AS508" i="104"/>
  <c r="AU508" i="104"/>
  <c r="BA508" i="104"/>
  <c r="BE508" i="104" s="1"/>
  <c r="AX508" i="104"/>
  <c r="AO508" i="104"/>
  <c r="BB508" i="104"/>
  <c r="AW50" i="104"/>
  <c r="AV50" i="104"/>
  <c r="AU50" i="104"/>
  <c r="AT50" i="104"/>
  <c r="AS50" i="104"/>
  <c r="BA57" i="104"/>
  <c r="BE57" i="104" s="1"/>
  <c r="AX57" i="104"/>
  <c r="AU57" i="104"/>
  <c r="AS57" i="104"/>
  <c r="AT57" i="104"/>
  <c r="AX60" i="104"/>
  <c r="AW60" i="104"/>
  <c r="AO60" i="104"/>
  <c r="BK60" i="104"/>
  <c r="AP60" i="104"/>
  <c r="AN60" i="104"/>
  <c r="AU84" i="104"/>
  <c r="AN86" i="104"/>
  <c r="AU88" i="104"/>
  <c r="AX86" i="104"/>
  <c r="AP86" i="104"/>
  <c r="BB86" i="104" s="1"/>
  <c r="BF86" i="104" s="1"/>
  <c r="BM92" i="104"/>
  <c r="BG92" i="104" s="1"/>
  <c r="AX96" i="104"/>
  <c r="BA111" i="104"/>
  <c r="BE111" i="104" s="1"/>
  <c r="AV111" i="104"/>
  <c r="AU111" i="104"/>
  <c r="AW111" i="104"/>
  <c r="BB111" i="104"/>
  <c r="BK147" i="104"/>
  <c r="AN147" i="104"/>
  <c r="AP147" i="104"/>
  <c r="AO147" i="104"/>
  <c r="BA147" i="104"/>
  <c r="BE147" i="104" s="1"/>
  <c r="BB147" i="104"/>
  <c r="AX147" i="104"/>
  <c r="AM152" i="104"/>
  <c r="BF159" i="104"/>
  <c r="BC159" i="104" a="1"/>
  <c r="BC159" i="104" s="1"/>
  <c r="AM182" i="104"/>
  <c r="AW194" i="104"/>
  <c r="BA194" i="104"/>
  <c r="BE194" i="104" s="1"/>
  <c r="AS194" i="104"/>
  <c r="AT194" i="104"/>
  <c r="AO194" i="104"/>
  <c r="AP194" i="104"/>
  <c r="BK194" i="104"/>
  <c r="AN194" i="104"/>
  <c r="AO221" i="104"/>
  <c r="AP227" i="104"/>
  <c r="BB227" i="104" s="1"/>
  <c r="BF227" i="104" s="1"/>
  <c r="AO227" i="104"/>
  <c r="AW227" i="104"/>
  <c r="AX227" i="104"/>
  <c r="AQ291" i="104"/>
  <c r="BF322" i="104"/>
  <c r="BC322" i="104" a="1"/>
  <c r="BC322" i="104" s="1"/>
  <c r="BF399" i="104"/>
  <c r="BC399" i="104" a="1"/>
  <c r="BC399" i="104" s="1"/>
  <c r="BF438" i="104"/>
  <c r="BC438" i="104" a="1"/>
  <c r="BC438" i="104" s="1"/>
  <c r="BA496" i="104"/>
  <c r="BE496" i="104" s="1"/>
  <c r="AO496" i="104"/>
  <c r="BB496" i="104"/>
  <c r="AX496" i="104"/>
  <c r="AW496" i="104"/>
  <c r="AT496" i="104"/>
  <c r="AS496" i="104"/>
  <c r="AN496" i="104"/>
  <c r="AU496" i="104"/>
  <c r="AP496" i="104"/>
  <c r="AM496" i="104"/>
  <c r="AV496" i="104"/>
  <c r="AL500" i="104"/>
  <c r="BK528" i="104"/>
  <c r="BA528" i="104"/>
  <c r="BE528" i="104" s="1"/>
  <c r="AM528" i="104"/>
  <c r="AS528" i="104"/>
  <c r="BB528" i="104"/>
  <c r="AO528" i="104"/>
  <c r="AX528" i="104"/>
  <c r="AT528" i="104"/>
  <c r="AN528" i="104"/>
  <c r="AT533" i="104"/>
  <c r="AT546" i="104"/>
  <c r="AS546" i="104"/>
  <c r="AV546" i="104"/>
  <c r="AM546" i="104"/>
  <c r="BB546" i="104"/>
  <c r="BA546" i="104"/>
  <c r="BE546" i="104" s="1"/>
  <c r="AP546" i="104"/>
  <c r="AO546" i="104"/>
  <c r="AU546" i="104"/>
  <c r="BK546" i="104"/>
  <c r="BK50" i="104"/>
  <c r="BB54" i="104"/>
  <c r="BA54" i="104"/>
  <c r="BE54" i="104" s="1"/>
  <c r="AW54" i="104"/>
  <c r="BM54" i="104" s="1"/>
  <c r="BG54" i="104" s="1"/>
  <c r="AX54" i="104"/>
  <c r="AV54" i="104"/>
  <c r="BK57" i="104"/>
  <c r="AN118" i="104"/>
  <c r="AO118" i="104"/>
  <c r="BA118" i="104"/>
  <c r="BE118" i="104" s="1"/>
  <c r="AX118" i="104"/>
  <c r="AS118" i="104"/>
  <c r="AP118" i="104"/>
  <c r="AM120" i="104"/>
  <c r="AM133" i="104"/>
  <c r="AN144" i="104"/>
  <c r="AU144" i="104"/>
  <c r="AS144" i="104"/>
  <c r="AW144" i="104"/>
  <c r="AV144" i="104"/>
  <c r="AT144" i="104"/>
  <c r="AM179" i="104"/>
  <c r="AS182" i="104"/>
  <c r="BB217" i="104"/>
  <c r="AN217" i="104"/>
  <c r="AM217" i="104"/>
  <c r="AV217" i="104"/>
  <c r="AS217" i="104"/>
  <c r="AU217" i="104"/>
  <c r="AT217" i="104"/>
  <c r="AV226" i="104"/>
  <c r="AV238" i="104"/>
  <c r="AW239" i="104"/>
  <c r="BB239" i="104" s="1"/>
  <c r="BF239" i="104" s="1"/>
  <c r="AM302" i="104"/>
  <c r="AL302" i="104" s="1"/>
  <c r="BM304" i="104"/>
  <c r="BG304" i="104" s="1"/>
  <c r="BH304" i="104" s="1"/>
  <c r="BC356" i="104" a="1"/>
  <c r="BC356" i="104" s="1"/>
  <c r="BF356" i="104"/>
  <c r="AV359" i="104"/>
  <c r="AP359" i="104"/>
  <c r="BB359" i="104"/>
  <c r="BA359" i="104"/>
  <c r="BE359" i="104" s="1"/>
  <c r="AN359" i="104"/>
  <c r="BK359" i="104"/>
  <c r="AM359" i="104"/>
  <c r="AX359" i="104"/>
  <c r="AW359" i="104"/>
  <c r="AO359" i="104"/>
  <c r="BF395" i="104"/>
  <c r="BC395" i="104" a="1"/>
  <c r="BC395" i="104" s="1"/>
  <c r="BB427" i="104"/>
  <c r="AO427" i="104"/>
  <c r="BK427" i="104"/>
  <c r="AP427" i="104"/>
  <c r="AM427" i="104"/>
  <c r="BA427" i="104"/>
  <c r="BE427" i="104" s="1"/>
  <c r="AW427" i="104"/>
  <c r="AV427" i="104"/>
  <c r="AU427" i="104"/>
  <c r="AT427" i="104"/>
  <c r="BM466" i="104"/>
  <c r="BG466" i="104" s="1"/>
  <c r="BH466" i="104" s="1"/>
  <c r="AL466" i="104"/>
  <c r="AM503" i="104"/>
  <c r="AM508" i="104"/>
  <c r="AT514" i="104"/>
  <c r="AU514" i="104"/>
  <c r="AS514" i="104"/>
  <c r="AX514" i="104"/>
  <c r="AW514" i="104"/>
  <c r="BB514" i="104"/>
  <c r="BA514" i="104"/>
  <c r="BE514" i="104" s="1"/>
  <c r="AV514" i="104"/>
  <c r="AP514" i="104"/>
  <c r="AO514" i="104"/>
  <c r="AN514" i="104"/>
  <c r="AM514" i="104"/>
  <c r="AP528" i="104"/>
  <c r="AM50" i="104"/>
  <c r="BK54" i="104"/>
  <c r="AM57" i="104"/>
  <c r="AN59" i="104"/>
  <c r="AT66" i="104"/>
  <c r="AS66" i="104"/>
  <c r="AX66" i="104"/>
  <c r="AU66" i="104"/>
  <c r="AW66" i="104"/>
  <c r="AV66" i="104"/>
  <c r="AN69" i="104"/>
  <c r="AN71" i="104"/>
  <c r="BA77" i="104"/>
  <c r="BE77" i="104" s="1"/>
  <c r="AO77" i="104"/>
  <c r="AN77" i="104"/>
  <c r="AU77" i="104"/>
  <c r="AT77" i="104"/>
  <c r="AS77" i="104"/>
  <c r="BB93" i="104"/>
  <c r="BF93" i="104" s="1"/>
  <c r="AP93" i="104"/>
  <c r="AO93" i="104"/>
  <c r="AS93" i="104"/>
  <c r="AN93" i="104"/>
  <c r="BB122" i="104"/>
  <c r="BK122" i="104"/>
  <c r="AS122" i="104"/>
  <c r="AX122" i="104"/>
  <c r="BA122" i="104"/>
  <c r="BE122" i="104" s="1"/>
  <c r="AW122" i="104"/>
  <c r="BM122" i="104" s="1"/>
  <c r="BG122" i="104" s="1"/>
  <c r="AN133" i="104"/>
  <c r="AS152" i="104"/>
  <c r="AM194" i="104"/>
  <c r="AN201" i="104"/>
  <c r="AP256" i="104"/>
  <c r="BB289" i="104"/>
  <c r="BA289" i="104"/>
  <c r="BE289" i="104" s="1"/>
  <c r="AT289" i="104"/>
  <c r="AS289" i="104"/>
  <c r="AU289" i="104"/>
  <c r="AX289" i="104"/>
  <c r="AW289" i="104"/>
  <c r="AV289" i="104"/>
  <c r="AP289" i="104"/>
  <c r="AM289" i="104"/>
  <c r="BC328" i="104" a="1"/>
  <c r="BC328" i="104" s="1"/>
  <c r="BF328" i="104"/>
  <c r="BA330" i="104"/>
  <c r="BE330" i="104" s="1"/>
  <c r="AS330" i="104"/>
  <c r="BK330" i="104"/>
  <c r="AP330" i="104"/>
  <c r="AO330" i="104"/>
  <c r="AN330" i="104"/>
  <c r="AW330" i="104"/>
  <c r="AV330" i="104"/>
  <c r="AU330" i="104"/>
  <c r="AT330" i="104"/>
  <c r="BB330" i="104"/>
  <c r="AX330" i="104"/>
  <c r="AW331" i="104"/>
  <c r="AT370" i="104"/>
  <c r="AS370" i="104"/>
  <c r="BA370" i="104"/>
  <c r="BE370" i="104" s="1"/>
  <c r="AX370" i="104"/>
  <c r="BB370" i="104"/>
  <c r="AV370" i="104"/>
  <c r="AU370" i="104"/>
  <c r="AP370" i="104"/>
  <c r="BK371" i="104"/>
  <c r="AN371" i="104"/>
  <c r="BA371" i="104"/>
  <c r="BE371" i="104" s="1"/>
  <c r="AX371" i="104"/>
  <c r="AM371" i="104"/>
  <c r="AV371" i="104"/>
  <c r="AU371" i="104"/>
  <c r="AT371" i="104"/>
  <c r="AS371" i="104"/>
  <c r="AW371" i="104"/>
  <c r="AO371" i="104"/>
  <c r="AL378" i="104"/>
  <c r="BM378" i="104"/>
  <c r="BG378" i="104" s="1"/>
  <c r="BH378" i="104" s="1"/>
  <c r="AM398" i="104"/>
  <c r="AS398" i="104"/>
  <c r="BB398" i="104"/>
  <c r="BA398" i="104"/>
  <c r="BE398" i="104" s="1"/>
  <c r="AU398" i="104"/>
  <c r="AT398" i="104"/>
  <c r="AX398" i="104"/>
  <c r="AW398" i="104"/>
  <c r="BK398" i="104"/>
  <c r="BK403" i="104"/>
  <c r="AP403" i="104"/>
  <c r="AM403" i="104"/>
  <c r="AS403" i="104"/>
  <c r="BA403" i="104"/>
  <c r="BE403" i="104" s="1"/>
  <c r="AW403" i="104"/>
  <c r="AV403" i="104"/>
  <c r="AU403" i="104"/>
  <c r="AX403" i="104"/>
  <c r="BB403" i="104"/>
  <c r="AN427" i="104"/>
  <c r="BB449" i="104"/>
  <c r="AS449" i="104"/>
  <c r="BA449" i="104"/>
  <c r="BE449" i="104" s="1"/>
  <c r="AN449" i="104"/>
  <c r="BK449" i="104"/>
  <c r="AM449" i="104"/>
  <c r="AT449" i="104"/>
  <c r="AX449" i="104"/>
  <c r="AW449" i="104"/>
  <c r="AV449" i="104"/>
  <c r="AU449" i="104"/>
  <c r="AP449" i="104"/>
  <c r="AN503" i="104"/>
  <c r="AN506" i="104"/>
  <c r="BA506" i="104"/>
  <c r="BE506" i="104" s="1"/>
  <c r="AX506" i="104"/>
  <c r="AP506" i="104"/>
  <c r="AS506" i="104"/>
  <c r="AU506" i="104"/>
  <c r="AT506" i="104"/>
  <c r="BK506" i="104"/>
  <c r="AP508" i="104"/>
  <c r="AN546" i="104"/>
  <c r="AN111" i="104"/>
  <c r="AO129" i="104"/>
  <c r="BC134" i="104" a="1"/>
  <c r="BC134" i="104" s="1"/>
  <c r="AM144" i="104"/>
  <c r="AT152" i="104"/>
  <c r="AN177" i="104"/>
  <c r="AO179" i="104"/>
  <c r="AU194" i="104"/>
  <c r="AU196" i="104"/>
  <c r="BB196" i="104"/>
  <c r="BA196" i="104"/>
  <c r="BE196" i="104" s="1"/>
  <c r="AP196" i="104"/>
  <c r="BK196" i="104"/>
  <c r="AM196" i="104"/>
  <c r="AO196" i="104"/>
  <c r="AN196" i="104"/>
  <c r="BM198" i="104"/>
  <c r="BG198" i="104" s="1"/>
  <c r="BH198" i="104" s="1"/>
  <c r="AO201" i="104"/>
  <c r="AP212" i="104"/>
  <c r="AV212" i="104"/>
  <c r="BK212" i="104"/>
  <c r="AO212" i="104"/>
  <c r="AN212" i="104"/>
  <c r="BA212" i="104"/>
  <c r="BE212" i="104" s="1"/>
  <c r="AU212" i="104"/>
  <c r="AX212" i="104"/>
  <c r="AW212" i="104"/>
  <c r="AT212" i="104"/>
  <c r="AP238" i="104"/>
  <c r="BB238" i="104" s="1"/>
  <c r="BF238" i="104" s="1"/>
  <c r="AN238" i="104"/>
  <c r="AM238" i="104"/>
  <c r="AO238" i="104"/>
  <c r="AM239" i="104"/>
  <c r="BF256" i="104"/>
  <c r="BC256" i="104" a="1"/>
  <c r="BC256" i="104" s="1"/>
  <c r="AS311" i="104"/>
  <c r="AT311" i="104"/>
  <c r="AP311" i="104"/>
  <c r="AU311" i="104"/>
  <c r="AO311" i="104"/>
  <c r="AN311" i="104"/>
  <c r="AM311" i="104"/>
  <c r="AX311" i="104"/>
  <c r="AW311" i="104"/>
  <c r="BB342" i="104"/>
  <c r="AM370" i="104"/>
  <c r="AP371" i="104"/>
  <c r="AX393" i="104"/>
  <c r="BB393" i="104"/>
  <c r="BK393" i="104"/>
  <c r="AP393" i="104"/>
  <c r="AO393" i="104"/>
  <c r="AN393" i="104"/>
  <c r="BA393" i="104"/>
  <c r="BE393" i="104" s="1"/>
  <c r="AW393" i="104"/>
  <c r="AM393" i="104"/>
  <c r="AN403" i="104"/>
  <c r="AV456" i="104"/>
  <c r="AW456" i="104"/>
  <c r="AN456" i="104"/>
  <c r="AM456" i="104"/>
  <c r="AX456" i="104"/>
  <c r="AU456" i="104"/>
  <c r="AT456" i="104"/>
  <c r="AS456" i="104"/>
  <c r="AO456" i="104"/>
  <c r="BA456" i="104"/>
  <c r="BE456" i="104" s="1"/>
  <c r="BB456" i="104"/>
  <c r="AP456" i="104"/>
  <c r="AM506" i="104"/>
  <c r="AU528" i="104"/>
  <c r="AM29" i="104"/>
  <c r="AM47" i="104"/>
  <c r="AO50" i="104"/>
  <c r="AN54" i="104"/>
  <c r="AO55" i="104"/>
  <c r="AN55" i="104"/>
  <c r="AS55" i="104"/>
  <c r="BK55" i="104"/>
  <c r="AP55" i="104"/>
  <c r="AO57" i="104"/>
  <c r="AP59" i="104"/>
  <c r="AS60" i="104"/>
  <c r="BB65" i="104"/>
  <c r="BA65" i="104"/>
  <c r="BE65" i="104" s="1"/>
  <c r="AX65" i="104"/>
  <c r="AV65" i="104"/>
  <c r="AW65" i="104"/>
  <c r="AU65" i="104"/>
  <c r="BK65" i="104"/>
  <c r="AM66" i="104"/>
  <c r="AP69" i="104"/>
  <c r="AP71" i="104"/>
  <c r="AM77" i="104"/>
  <c r="AQ77" i="104"/>
  <c r="AM93" i="104"/>
  <c r="AL93" i="104" s="1"/>
  <c r="AM116" i="104"/>
  <c r="AO144" i="104"/>
  <c r="AS147" i="104"/>
  <c r="AW150" i="104"/>
  <c r="BK150" i="104"/>
  <c r="AP150" i="104"/>
  <c r="AU150" i="104"/>
  <c r="AS150" i="104"/>
  <c r="AT150" i="104"/>
  <c r="AV152" i="104"/>
  <c r="AW182" i="104"/>
  <c r="AV194" i="104"/>
  <c r="AW218" i="104"/>
  <c r="BB218" i="104"/>
  <c r="AO218" i="104"/>
  <c r="AN218" i="104"/>
  <c r="AX218" i="104"/>
  <c r="BA218" i="104"/>
  <c r="BE218" i="104" s="1"/>
  <c r="AX226" i="104"/>
  <c r="AP226" i="104"/>
  <c r="AW226" i="104"/>
  <c r="BB226" i="104" s="1"/>
  <c r="BF226" i="104" s="1"/>
  <c r="AN236" i="104"/>
  <c r="AT256" i="104"/>
  <c r="BK268" i="104"/>
  <c r="AP268" i="104"/>
  <c r="AO268" i="104"/>
  <c r="AX268" i="104"/>
  <c r="AW268" i="104"/>
  <c r="AS268" i="104"/>
  <c r="AN268" i="104"/>
  <c r="AM268" i="104"/>
  <c r="AO289" i="104"/>
  <c r="BF318" i="104"/>
  <c r="AO336" i="104"/>
  <c r="AS336" i="104"/>
  <c r="BB336" i="104"/>
  <c r="BA336" i="104"/>
  <c r="BE336" i="104" s="1"/>
  <c r="AU336" i="104"/>
  <c r="AT336" i="104"/>
  <c r="AW336" i="104"/>
  <c r="AP336" i="104"/>
  <c r="AV336" i="104"/>
  <c r="AS359" i="104"/>
  <c r="AN370" i="104"/>
  <c r="AN398" i="104"/>
  <c r="AO403" i="104"/>
  <c r="AS442" i="104"/>
  <c r="BK442" i="104"/>
  <c r="AO442" i="104"/>
  <c r="AW442" i="104"/>
  <c r="AV442" i="104"/>
  <c r="AP442" i="104"/>
  <c r="AX442" i="104"/>
  <c r="AN442" i="104"/>
  <c r="AM442" i="104"/>
  <c r="BA448" i="104"/>
  <c r="BE448" i="104" s="1"/>
  <c r="BK448" i="104"/>
  <c r="AW448" i="104"/>
  <c r="AU448" i="104"/>
  <c r="AT448" i="104"/>
  <c r="BB448" i="104"/>
  <c r="AM448" i="104"/>
  <c r="AS448" i="104"/>
  <c r="AP448" i="104"/>
  <c r="AO449" i="104"/>
  <c r="AP471" i="104"/>
  <c r="AM471" i="104"/>
  <c r="AS471" i="104"/>
  <c r="AU471" i="104"/>
  <c r="AT471" i="104"/>
  <c r="AO471" i="104"/>
  <c r="BA471" i="104"/>
  <c r="BE471" i="104" s="1"/>
  <c r="AN471" i="104"/>
  <c r="AX471" i="104"/>
  <c r="AW471" i="104"/>
  <c r="AV471" i="104"/>
  <c r="BB471" i="104"/>
  <c r="AO506" i="104"/>
  <c r="AV508" i="104"/>
  <c r="AV528" i="104"/>
  <c r="BF542" i="104"/>
  <c r="BC542" i="104" a="1"/>
  <c r="BC542" i="104" s="1"/>
  <c r="AW546" i="104"/>
  <c r="AX31" i="104"/>
  <c r="AW31" i="104"/>
  <c r="BB31" i="104" s="1"/>
  <c r="BF31" i="104" s="1"/>
  <c r="AX41" i="104"/>
  <c r="AW41" i="104"/>
  <c r="BM41" i="104" s="1"/>
  <c r="BG41" i="104" s="1"/>
  <c r="BH41" i="104" s="1"/>
  <c r="AS41" i="104"/>
  <c r="AP41" i="104"/>
  <c r="BK41" i="104"/>
  <c r="AM48" i="104"/>
  <c r="AL48" i="104" s="1"/>
  <c r="AS48" i="104"/>
  <c r="AP48" i="104"/>
  <c r="BK48" i="104"/>
  <c r="AP50" i="104"/>
  <c r="AO54" i="104"/>
  <c r="AP57" i="104"/>
  <c r="AT60" i="104"/>
  <c r="AN66" i="104"/>
  <c r="AV74" i="104"/>
  <c r="AW74" i="104"/>
  <c r="AU74" i="104"/>
  <c r="AP74" i="104"/>
  <c r="BK74" i="104"/>
  <c r="AO74" i="104"/>
  <c r="AP77" i="104"/>
  <c r="AV87" i="104"/>
  <c r="AV89" i="104"/>
  <c r="BC97" i="104" a="1"/>
  <c r="BC97" i="104" s="1"/>
  <c r="BF97" i="104"/>
  <c r="BA105" i="104"/>
  <c r="BE105" i="104" s="1"/>
  <c r="BB105" i="104"/>
  <c r="AX105" i="104"/>
  <c r="AV105" i="104"/>
  <c r="AS105" i="104"/>
  <c r="AU105" i="104"/>
  <c r="AT105" i="104"/>
  <c r="BK105" i="104"/>
  <c r="AP106" i="104"/>
  <c r="BK106" i="104"/>
  <c r="AT106" i="104"/>
  <c r="AS106" i="104"/>
  <c r="AO106" i="104"/>
  <c r="AN106" i="104"/>
  <c r="AP111" i="104"/>
  <c r="AT118" i="104"/>
  <c r="AW121" i="104"/>
  <c r="AX121" i="104"/>
  <c r="AV121" i="104"/>
  <c r="BB121" i="104"/>
  <c r="BK121" i="104"/>
  <c r="AN122" i="104"/>
  <c r="AV131" i="104"/>
  <c r="AX131" i="104"/>
  <c r="AW131" i="104"/>
  <c r="BM131" i="104" s="1"/>
  <c r="BG131" i="104" s="1"/>
  <c r="AN131" i="104"/>
  <c r="AP144" i="104"/>
  <c r="AT147" i="104"/>
  <c r="AW152" i="104"/>
  <c r="AQ163" i="104"/>
  <c r="BF169" i="104"/>
  <c r="AP180" i="104"/>
  <c r="AT180" i="104"/>
  <c r="AU180" i="104"/>
  <c r="AS180" i="104"/>
  <c r="BB180" i="104"/>
  <c r="BA180" i="104"/>
  <c r="BE180" i="104" s="1"/>
  <c r="BB182" i="104"/>
  <c r="BK191" i="104"/>
  <c r="AS191" i="104"/>
  <c r="AX191" i="104"/>
  <c r="AV191" i="104"/>
  <c r="AU191" i="104"/>
  <c r="AT191" i="104"/>
  <c r="AW191" i="104"/>
  <c r="AX194" i="104"/>
  <c r="AO200" i="104"/>
  <c r="AX200" i="104"/>
  <c r="AW200" i="104"/>
  <c r="BB200" i="104"/>
  <c r="AT200" i="104"/>
  <c r="AS201" i="104"/>
  <c r="AM212" i="104"/>
  <c r="AT239" i="104"/>
  <c r="AS253" i="104"/>
  <c r="AP253" i="104"/>
  <c r="AO253" i="104"/>
  <c r="BB253" i="104"/>
  <c r="BA253" i="104"/>
  <c r="BE253" i="104" s="1"/>
  <c r="AV253" i="104"/>
  <c r="AX253" i="104"/>
  <c r="AW253" i="104"/>
  <c r="AU253" i="104"/>
  <c r="AU256" i="104"/>
  <c r="AT268" i="104"/>
  <c r="BC271" i="104" a="1"/>
  <c r="BC271" i="104" s="1"/>
  <c r="BF271" i="104"/>
  <c r="BC304" i="104" a="1"/>
  <c r="BC304" i="104" s="1"/>
  <c r="BK310" i="104"/>
  <c r="AP310" i="104"/>
  <c r="AO310" i="104"/>
  <c r="AV310" i="104"/>
  <c r="AU310" i="104"/>
  <c r="AX310" i="104"/>
  <c r="AW310" i="104"/>
  <c r="BB310" i="104"/>
  <c r="BA310" i="104"/>
  <c r="BE310" i="104" s="1"/>
  <c r="AS310" i="104"/>
  <c r="AM310" i="104"/>
  <c r="BC332" i="104" a="1"/>
  <c r="BC332" i="104" s="1"/>
  <c r="BF332" i="104"/>
  <c r="AT359" i="104"/>
  <c r="AO370" i="104"/>
  <c r="BB371" i="104"/>
  <c r="AU374" i="104"/>
  <c r="AX374" i="104"/>
  <c r="AT374" i="104"/>
  <c r="AS374" i="104"/>
  <c r="AV374" i="104"/>
  <c r="BA374" i="104"/>
  <c r="BE374" i="104" s="1"/>
  <c r="AP374" i="104"/>
  <c r="AO374" i="104"/>
  <c r="AW374" i="104"/>
  <c r="AO398" i="104"/>
  <c r="AS427" i="104"/>
  <c r="AN431" i="104"/>
  <c r="BB431" i="104"/>
  <c r="BK431" i="104"/>
  <c r="AP431" i="104"/>
  <c r="AO431" i="104"/>
  <c r="AX431" i="104"/>
  <c r="AW431" i="104"/>
  <c r="AU431" i="104"/>
  <c r="AM431" i="104"/>
  <c r="AU444" i="104"/>
  <c r="AX444" i="104"/>
  <c r="BA444" i="104"/>
  <c r="BE444" i="104" s="1"/>
  <c r="AP444" i="104"/>
  <c r="BK444" i="104"/>
  <c r="AO444" i="104"/>
  <c r="AS444" i="104"/>
  <c r="AN444" i="104"/>
  <c r="AW444" i="104"/>
  <c r="AT444" i="104"/>
  <c r="AM444" i="104"/>
  <c r="AV444" i="104"/>
  <c r="BF465" i="104"/>
  <c r="BC465" i="104" a="1"/>
  <c r="BC465" i="104" s="1"/>
  <c r="BB481" i="104"/>
  <c r="AW481" i="104"/>
  <c r="AS481" i="104"/>
  <c r="AU481" i="104"/>
  <c r="AT481" i="104"/>
  <c r="AV481" i="104"/>
  <c r="AP481" i="104"/>
  <c r="BK481" i="104"/>
  <c r="BK496" i="104"/>
  <c r="AW508" i="104"/>
  <c r="AW528" i="104"/>
  <c r="BK533" i="104"/>
  <c r="AX546" i="104"/>
  <c r="AX33" i="104"/>
  <c r="AU33" i="104"/>
  <c r="AT33" i="104"/>
  <c r="AT120" i="104"/>
  <c r="BA120" i="104"/>
  <c r="BE120" i="104" s="1"/>
  <c r="AW120" i="104"/>
  <c r="AV120" i="104"/>
  <c r="AU120" i="104"/>
  <c r="BB120" i="104"/>
  <c r="AX120" i="104"/>
  <c r="AS133" i="104"/>
  <c r="BK133" i="104"/>
  <c r="BB133" i="104"/>
  <c r="AX133" i="104"/>
  <c r="BA133" i="104"/>
  <c r="BE133" i="104" s="1"/>
  <c r="AW133" i="104"/>
  <c r="AO246" i="104"/>
  <c r="AV242" i="104"/>
  <c r="AV227" i="104"/>
  <c r="AO223" i="104"/>
  <c r="AO248" i="104"/>
  <c r="AV228" i="104"/>
  <c r="AO230" i="104"/>
  <c r="AV237" i="104"/>
  <c r="AV232" i="104"/>
  <c r="AO236" i="104"/>
  <c r="AO241" i="104"/>
  <c r="AO229" i="104"/>
  <c r="AL405" i="104"/>
  <c r="BK39" i="104"/>
  <c r="AU39" i="104"/>
  <c r="AS39" i="104"/>
  <c r="AT39" i="104"/>
  <c r="AM45" i="104"/>
  <c r="BF49" i="104"/>
  <c r="BC49" i="104" a="1"/>
  <c r="BC49" i="104" s="1"/>
  <c r="AQ131" i="104"/>
  <c r="N131" i="104"/>
  <c r="AM173" i="104"/>
  <c r="AM174" i="104"/>
  <c r="BA177" i="104"/>
  <c r="AX177" i="104"/>
  <c r="AU177" i="104"/>
  <c r="AT177" i="104"/>
  <c r="AS177" i="104"/>
  <c r="AO177" i="104"/>
  <c r="AP177" i="104"/>
  <c r="AL181" i="104"/>
  <c r="BB219" i="104"/>
  <c r="AN219" i="104"/>
  <c r="AW219" i="104"/>
  <c r="AV219" i="104"/>
  <c r="AT219" i="104"/>
  <c r="AP231" i="104"/>
  <c r="AX231" i="104"/>
  <c r="AW231" i="104"/>
  <c r="BB231" i="104" s="1"/>
  <c r="BF231" i="104" s="1"/>
  <c r="AV231" i="104"/>
  <c r="AM231" i="104"/>
  <c r="AV235" i="104"/>
  <c r="BK254" i="104"/>
  <c r="AP254" i="104"/>
  <c r="AO254" i="104"/>
  <c r="AN254" i="104"/>
  <c r="BB254" i="104"/>
  <c r="AN256" i="104"/>
  <c r="BM282" i="104"/>
  <c r="BG282" i="104" s="1"/>
  <c r="BC308" i="104" a="1"/>
  <c r="BC308" i="104" s="1"/>
  <c r="BF308" i="104"/>
  <c r="BK14" i="104"/>
  <c r="AQ25" i="104"/>
  <c r="AS42" i="104"/>
  <c r="BK42" i="104"/>
  <c r="AN42" i="104"/>
  <c r="AP42" i="104"/>
  <c r="AO42" i="104"/>
  <c r="AM59" i="104"/>
  <c r="AL59" i="104" s="1"/>
  <c r="AM69" i="104"/>
  <c r="AM71" i="104"/>
  <c r="AV84" i="104"/>
  <c r="BK111" i="104"/>
  <c r="BF137" i="104"/>
  <c r="BC137" i="104" a="1"/>
  <c r="BC137" i="104" s="1"/>
  <c r="AM201" i="104"/>
  <c r="AL201" i="104" s="1"/>
  <c r="BF203" i="104"/>
  <c r="BC203" i="104" a="1"/>
  <c r="BC203" i="104" s="1"/>
  <c r="AO256" i="104"/>
  <c r="AL273" i="104"/>
  <c r="AW298" i="104"/>
  <c r="AU298" i="104"/>
  <c r="AT298" i="104"/>
  <c r="AN298" i="104"/>
  <c r="BB298" i="104"/>
  <c r="AS298" i="104"/>
  <c r="BA298" i="104"/>
  <c r="BE298" i="104" s="1"/>
  <c r="AV298" i="104"/>
  <c r="AP298" i="104"/>
  <c r="AO298" i="104"/>
  <c r="BM321" i="104"/>
  <c r="BG321" i="104" s="1"/>
  <c r="BH321" i="104" s="1"/>
  <c r="AM342" i="104"/>
  <c r="AX29" i="104"/>
  <c r="AT29" i="104"/>
  <c r="AX35" i="104"/>
  <c r="AM39" i="104"/>
  <c r="AX47" i="104"/>
  <c r="AW47" i="104"/>
  <c r="BA47" i="104"/>
  <c r="BE47" i="104" s="1"/>
  <c r="BB47" i="104"/>
  <c r="AV47" i="104"/>
  <c r="AM60" i="104"/>
  <c r="AQ87" i="104"/>
  <c r="AU116" i="104"/>
  <c r="BA116" i="104"/>
  <c r="BE116" i="104" s="1"/>
  <c r="AX116" i="104"/>
  <c r="AN120" i="104"/>
  <c r="AN129" i="104"/>
  <c r="AM147" i="104"/>
  <c r="AM177" i="104"/>
  <c r="AN179" i="104"/>
  <c r="AN181" i="104"/>
  <c r="AT181" i="104"/>
  <c r="AW181" i="104"/>
  <c r="BM181" i="104" s="1"/>
  <c r="BG181" i="104" s="1"/>
  <c r="BH181" i="104" s="1"/>
  <c r="AV181" i="104"/>
  <c r="BK181" i="104"/>
  <c r="BA181" i="104"/>
  <c r="BE181" i="104" s="1"/>
  <c r="AU182" i="104"/>
  <c r="AM227" i="104"/>
  <c r="AU236" i="104"/>
  <c r="AT236" i="104"/>
  <c r="AX236" i="104"/>
  <c r="AW236" i="104"/>
  <c r="AO244" i="104"/>
  <c r="AV247" i="104"/>
  <c r="AV252" i="104"/>
  <c r="BK252" i="104"/>
  <c r="BA252" i="104"/>
  <c r="AX252" i="104"/>
  <c r="AO252" i="104"/>
  <c r="AN252" i="104"/>
  <c r="AP252" i="104"/>
  <c r="AM252" i="104"/>
  <c r="AL252" i="104" s="1"/>
  <c r="AQ27" i="104"/>
  <c r="AO33" i="104"/>
  <c r="AW35" i="104"/>
  <c r="AN39" i="104"/>
  <c r="AM42" i="104"/>
  <c r="BK47" i="104"/>
  <c r="AN50" i="104"/>
  <c r="AP52" i="104"/>
  <c r="AO52" i="104"/>
  <c r="AX52" i="104"/>
  <c r="AU52" i="104"/>
  <c r="AW52" i="104"/>
  <c r="AV52" i="104"/>
  <c r="AU53" i="104"/>
  <c r="AT53" i="104"/>
  <c r="BK53" i="104"/>
  <c r="AP53" i="104"/>
  <c r="AN53" i="104"/>
  <c r="AO53" i="104"/>
  <c r="AM53" i="104"/>
  <c r="AM54" i="104"/>
  <c r="AL54" i="104" s="1"/>
  <c r="AN57" i="104"/>
  <c r="AO59" i="104"/>
  <c r="AO69" i="104"/>
  <c r="AO71" i="104"/>
  <c r="AM118" i="104"/>
  <c r="AO120" i="104"/>
  <c r="AV182" i="104"/>
  <c r="BF200" i="104"/>
  <c r="BC200" i="104" a="1"/>
  <c r="BC200" i="104" s="1"/>
  <c r="BM216" i="104"/>
  <c r="BG216" i="104" s="1"/>
  <c r="BH216" i="104" s="1"/>
  <c r="AO217" i="104"/>
  <c r="AO219" i="104"/>
  <c r="AO231" i="104"/>
  <c r="AM236" i="104"/>
  <c r="N243" i="104"/>
  <c r="AQ243" i="104"/>
  <c r="BB243" i="104" s="1"/>
  <c r="AN289" i="104"/>
  <c r="AM330" i="104"/>
  <c r="AO39" i="104"/>
  <c r="AT86" i="104"/>
  <c r="AU87" i="104"/>
  <c r="AU89" i="104"/>
  <c r="AO111" i="104"/>
  <c r="AP113" i="104"/>
  <c r="AO113" i="104"/>
  <c r="AN113" i="104"/>
  <c r="BB113" i="104"/>
  <c r="BA113" i="104"/>
  <c r="BE113" i="104" s="1"/>
  <c r="AX113" i="104"/>
  <c r="AW113" i="104"/>
  <c r="BM113" i="104" s="1"/>
  <c r="BG113" i="104" s="1"/>
  <c r="AM122" i="104"/>
  <c r="AL122" i="104" s="1"/>
  <c r="AP129" i="104"/>
  <c r="AP133" i="104"/>
  <c r="BK162" i="104"/>
  <c r="AW162" i="104"/>
  <c r="AT162" i="104"/>
  <c r="AV162" i="104"/>
  <c r="AU162" i="104"/>
  <c r="AW168" i="104"/>
  <c r="BM168" i="104" s="1"/>
  <c r="BG168" i="104" s="1"/>
  <c r="AO168" i="104"/>
  <c r="BB168" i="104"/>
  <c r="BA168" i="104"/>
  <c r="BE168" i="104" s="1"/>
  <c r="AT168" i="104"/>
  <c r="AS168" i="104"/>
  <c r="AN168" i="104"/>
  <c r="BC173" i="104" a="1"/>
  <c r="BC173" i="104" s="1"/>
  <c r="AP179" i="104"/>
  <c r="AV183" i="104"/>
  <c r="AP183" i="104"/>
  <c r="AX183" i="104"/>
  <c r="AW183" i="104"/>
  <c r="AT183" i="104"/>
  <c r="AS183" i="104"/>
  <c r="AO183" i="104"/>
  <c r="AU183" i="104"/>
  <c r="AM213" i="104"/>
  <c r="AU213" i="104"/>
  <c r="BK213" i="104"/>
  <c r="AP213" i="104"/>
  <c r="BB213" i="104"/>
  <c r="BA213" i="104"/>
  <c r="BE213" i="104" s="1"/>
  <c r="AP217" i="104"/>
  <c r="AP219" i="104"/>
  <c r="AP239" i="104"/>
  <c r="AS340" i="104"/>
  <c r="AM340" i="104"/>
  <c r="BB340" i="104"/>
  <c r="AP340" i="104"/>
  <c r="AN340" i="104"/>
  <c r="BK340" i="104"/>
  <c r="AU340" i="104"/>
  <c r="AT340" i="104"/>
  <c r="AO340" i="104"/>
  <c r="AX340" i="104"/>
  <c r="AW340" i="104"/>
  <c r="BC342" i="104" a="1"/>
  <c r="BC342" i="104" s="1"/>
  <c r="BF358" i="104"/>
  <c r="BC358" i="104" a="1"/>
  <c r="BC358" i="104" s="1"/>
  <c r="AO29" i="104"/>
  <c r="AV33" i="104"/>
  <c r="AU42" i="104"/>
  <c r="AO47" i="104"/>
  <c r="AN48" i="104"/>
  <c r="AN52" i="104"/>
  <c r="AP54" i="104"/>
  <c r="AM55" i="104"/>
  <c r="AT59" i="104"/>
  <c r="AU60" i="104"/>
  <c r="AM65" i="104"/>
  <c r="AO66" i="104"/>
  <c r="AS69" i="104"/>
  <c r="AT93" i="104"/>
  <c r="AM113" i="104"/>
  <c r="AL113" i="104" s="1"/>
  <c r="AO116" i="104"/>
  <c r="AU118" i="104"/>
  <c r="AO122" i="104"/>
  <c r="AU127" i="104"/>
  <c r="AU130" i="104"/>
  <c r="AM138" i="104"/>
  <c r="AX144" i="104"/>
  <c r="AU147" i="104"/>
  <c r="AM150" i="104"/>
  <c r="BB152" i="104"/>
  <c r="AV155" i="104"/>
  <c r="AS155" i="104"/>
  <c r="AT155" i="104"/>
  <c r="AX155" i="104"/>
  <c r="BB155" i="104"/>
  <c r="BA155" i="104"/>
  <c r="BE155" i="104" s="1"/>
  <c r="BE158" i="104"/>
  <c r="AM158" i="104"/>
  <c r="AX158" i="104"/>
  <c r="AN162" i="104"/>
  <c r="AM168" i="104"/>
  <c r="AW170" i="104"/>
  <c r="BB170" i="104" s="1"/>
  <c r="BF170" i="104" s="1"/>
  <c r="AT170" i="104"/>
  <c r="AX170" i="104"/>
  <c r="AV170" i="104"/>
  <c r="AU170" i="104"/>
  <c r="N172" i="104"/>
  <c r="AQ172" i="104"/>
  <c r="AW177" i="104"/>
  <c r="AM183" i="104"/>
  <c r="BA185" i="104"/>
  <c r="BE185" i="104" s="1"/>
  <c r="AW185" i="104"/>
  <c r="BM185" i="104" s="1"/>
  <c r="BG185" i="104" s="1"/>
  <c r="BK185" i="104"/>
  <c r="AP185" i="104"/>
  <c r="AT185" i="104"/>
  <c r="AO185" i="104"/>
  <c r="AN185" i="104"/>
  <c r="AS185" i="104"/>
  <c r="AM191" i="104"/>
  <c r="BB194" i="104"/>
  <c r="AS196" i="104"/>
  <c r="AT201" i="104"/>
  <c r="BM208" i="104"/>
  <c r="BG208" i="104" s="1"/>
  <c r="BH208" i="104" s="1"/>
  <c r="AL208" i="104"/>
  <c r="AO213" i="104"/>
  <c r="AW217" i="104"/>
  <c r="AM218" i="104"/>
  <c r="AX219" i="104"/>
  <c r="AT227" i="104"/>
  <c r="AT233" i="104"/>
  <c r="BC234" i="104" a="1"/>
  <c r="BC234" i="104" s="1"/>
  <c r="AP236" i="104"/>
  <c r="AU239" i="104"/>
  <c r="AT252" i="104"/>
  <c r="AV256" i="104"/>
  <c r="AU268" i="104"/>
  <c r="AQ295" i="104"/>
  <c r="AV311" i="104"/>
  <c r="BF335" i="104"/>
  <c r="BC335" i="104" a="1"/>
  <c r="BC335" i="104" s="1"/>
  <c r="AM336" i="104"/>
  <c r="BK339" i="104"/>
  <c r="AV339" i="104"/>
  <c r="AU339" i="104"/>
  <c r="AW339" i="104"/>
  <c r="AT339" i="104"/>
  <c r="BB339" i="104"/>
  <c r="AX339" i="104"/>
  <c r="BA339" i="104"/>
  <c r="BE339" i="104" s="1"/>
  <c r="AS339" i="104"/>
  <c r="AP339" i="104"/>
  <c r="AO339" i="104"/>
  <c r="AM339" i="104"/>
  <c r="AV340" i="104"/>
  <c r="AU359" i="104"/>
  <c r="BF373" i="104"/>
  <c r="BC373" i="104" a="1"/>
  <c r="BC373" i="104" s="1"/>
  <c r="AS393" i="104"/>
  <c r="AP398" i="104"/>
  <c r="AT403" i="104"/>
  <c r="AX427" i="104"/>
  <c r="AN448" i="104"/>
  <c r="AM481" i="104"/>
  <c r="AL483" i="104"/>
  <c r="AX502" i="104"/>
  <c r="AU502" i="104"/>
  <c r="AT502" i="104"/>
  <c r="BA502" i="104"/>
  <c r="BE502" i="104" s="1"/>
  <c r="AW502" i="104"/>
  <c r="AV502" i="104"/>
  <c r="AS502" i="104"/>
  <c r="AN502" i="104"/>
  <c r="AM502" i="104"/>
  <c r="BB502" i="104"/>
  <c r="AP502" i="104"/>
  <c r="AO502" i="104"/>
  <c r="BM505" i="104"/>
  <c r="BG505" i="104" s="1"/>
  <c r="BH505" i="104" s="1"/>
  <c r="AV506" i="104"/>
  <c r="BK508" i="104"/>
  <c r="BK514" i="104"/>
  <c r="BM284" i="104"/>
  <c r="BG284" i="104" s="1"/>
  <c r="BH284" i="104" s="1"/>
  <c r="AT296" i="104"/>
  <c r="AS296" i="104"/>
  <c r="AO296" i="104"/>
  <c r="BK296" i="104"/>
  <c r="AN296" i="104"/>
  <c r="AM296" i="104"/>
  <c r="AL296" i="104" s="1"/>
  <c r="AP296" i="104"/>
  <c r="AT357" i="104"/>
  <c r="AO357" i="104"/>
  <c r="AN357" i="104"/>
  <c r="AP357" i="104"/>
  <c r="AU357" i="104"/>
  <c r="AS357" i="104"/>
  <c r="AW357" i="104"/>
  <c r="AM357" i="104"/>
  <c r="AV357" i="104"/>
  <c r="AL434" i="104"/>
  <c r="BK435" i="104"/>
  <c r="AU435" i="104"/>
  <c r="AP435" i="104"/>
  <c r="AV435" i="104"/>
  <c r="AT435" i="104"/>
  <c r="AN435" i="104"/>
  <c r="AM435" i="104"/>
  <c r="AX435" i="104"/>
  <c r="BA435" i="104"/>
  <c r="BE435" i="104" s="1"/>
  <c r="AW435" i="104"/>
  <c r="BB435" i="104"/>
  <c r="AO435" i="104"/>
  <c r="AS435" i="104"/>
  <c r="AL437" i="104"/>
  <c r="AN485" i="104"/>
  <c r="BB485" i="104"/>
  <c r="AP485" i="104"/>
  <c r="AW485" i="104"/>
  <c r="BM485" i="104" s="1"/>
  <c r="BG485" i="104" s="1"/>
  <c r="BH485" i="104" s="1"/>
  <c r="AV485" i="104"/>
  <c r="AM485" i="104"/>
  <c r="BA485" i="104"/>
  <c r="BE485" i="104" s="1"/>
  <c r="AP510" i="104"/>
  <c r="BB510" i="104"/>
  <c r="AS510" i="104"/>
  <c r="BK510" i="104"/>
  <c r="AN510" i="104"/>
  <c r="AM510" i="104"/>
  <c r="AV510" i="104"/>
  <c r="AU510" i="104"/>
  <c r="AT510" i="104"/>
  <c r="AX510" i="104"/>
  <c r="BA510" i="104"/>
  <c r="BE510" i="104" s="1"/>
  <c r="AO510" i="104"/>
  <c r="AW510" i="104"/>
  <c r="BF529" i="104"/>
  <c r="BC529" i="104" a="1"/>
  <c r="BC529" i="104" s="1"/>
  <c r="AL542" i="104"/>
  <c r="BM542" i="104"/>
  <c r="BG542" i="104" s="1"/>
  <c r="AW187" i="104"/>
  <c r="BM187" i="104" s="1"/>
  <c r="BG187" i="104" s="1"/>
  <c r="BB187" i="104"/>
  <c r="AX187" i="104"/>
  <c r="AV187" i="104"/>
  <c r="AO187" i="104"/>
  <c r="AN187" i="104"/>
  <c r="AP187" i="104"/>
  <c r="BK187" i="104"/>
  <c r="AM187" i="104"/>
  <c r="AL187" i="104" s="1"/>
  <c r="AT224" i="104"/>
  <c r="AP224" i="104"/>
  <c r="BB224" i="104" s="1"/>
  <c r="AO224" i="104"/>
  <c r="AM224" i="104"/>
  <c r="AN224" i="104"/>
  <c r="BM263" i="104"/>
  <c r="BG263" i="104" s="1"/>
  <c r="BH263" i="104" s="1"/>
  <c r="AV296" i="104"/>
  <c r="AM305" i="104"/>
  <c r="AS305" i="104"/>
  <c r="BB305" i="104"/>
  <c r="BA305" i="104"/>
  <c r="BE305" i="104" s="1"/>
  <c r="AP305" i="104"/>
  <c r="AO305" i="104"/>
  <c r="AX305" i="104"/>
  <c r="AW305" i="104"/>
  <c r="AV305" i="104"/>
  <c r="AN306" i="104"/>
  <c r="AV306" i="104"/>
  <c r="AU306" i="104"/>
  <c r="BK306" i="104"/>
  <c r="AO306" i="104"/>
  <c r="AM306" i="104"/>
  <c r="AS306" i="104"/>
  <c r="AP306" i="104"/>
  <c r="AU313" i="104"/>
  <c r="BB313" i="104"/>
  <c r="BA313" i="104"/>
  <c r="BE313" i="104" s="1"/>
  <c r="AX313" i="104"/>
  <c r="AW313" i="104"/>
  <c r="AS313" i="104"/>
  <c r="AV313" i="104"/>
  <c r="AT313" i="104"/>
  <c r="BB379" i="104"/>
  <c r="AS379" i="104"/>
  <c r="AX379" i="104"/>
  <c r="AW379" i="104"/>
  <c r="AN379" i="104"/>
  <c r="BK379" i="104"/>
  <c r="AM379" i="104"/>
  <c r="BA379" i="104"/>
  <c r="BE379" i="104" s="1"/>
  <c r="AV379" i="104"/>
  <c r="AU379" i="104"/>
  <c r="AO384" i="104"/>
  <c r="BK384" i="104"/>
  <c r="BB384" i="104"/>
  <c r="AW384" i="104"/>
  <c r="AV384" i="104"/>
  <c r="BA384" i="104"/>
  <c r="BE384" i="104" s="1"/>
  <c r="AX384" i="104"/>
  <c r="AU384" i="104"/>
  <c r="AW424" i="104"/>
  <c r="BA424" i="104"/>
  <c r="BE424" i="104" s="1"/>
  <c r="AU424" i="104"/>
  <c r="AT424" i="104"/>
  <c r="AM424" i="104"/>
  <c r="AP424" i="104"/>
  <c r="AX424" i="104"/>
  <c r="BB424" i="104"/>
  <c r="BK424" i="104"/>
  <c r="BF431" i="104"/>
  <c r="BC431" i="104" a="1"/>
  <c r="BC431" i="104" s="1"/>
  <c r="AO454" i="104"/>
  <c r="BK454" i="104"/>
  <c r="AM454" i="104"/>
  <c r="AT454" i="104"/>
  <c r="AS454" i="104"/>
  <c r="AW454" i="104"/>
  <c r="BM454" i="104" s="1"/>
  <c r="BG454" i="104" s="1"/>
  <c r="AV454" i="104"/>
  <c r="AN454" i="104"/>
  <c r="AP454" i="104"/>
  <c r="BB454" i="104"/>
  <c r="BA454" i="104"/>
  <c r="BE454" i="104" s="1"/>
  <c r="BF457" i="104"/>
  <c r="AM484" i="104"/>
  <c r="AO484" i="104"/>
  <c r="AW484" i="104"/>
  <c r="BM484" i="104" s="1"/>
  <c r="BG484" i="104" s="1"/>
  <c r="AV484" i="104"/>
  <c r="AT484" i="104"/>
  <c r="AS484" i="104"/>
  <c r="BK484" i="104"/>
  <c r="BB484" i="104"/>
  <c r="AO485" i="104"/>
  <c r="AW296" i="104"/>
  <c r="BM296" i="104" s="1"/>
  <c r="BG296" i="104" s="1"/>
  <c r="AP304" i="104"/>
  <c r="AO304" i="104"/>
  <c r="AS304" i="104"/>
  <c r="BB304" i="104"/>
  <c r="BA304" i="104"/>
  <c r="BE304" i="104" s="1"/>
  <c r="BK304" i="104"/>
  <c r="BK323" i="104"/>
  <c r="AP323" i="104"/>
  <c r="AU323" i="104"/>
  <c r="AT323" i="104"/>
  <c r="AN323" i="104"/>
  <c r="AM323" i="104"/>
  <c r="AV323" i="104"/>
  <c r="AS323" i="104"/>
  <c r="AX323" i="104"/>
  <c r="BB323" i="104"/>
  <c r="BA323" i="104"/>
  <c r="BE323" i="104" s="1"/>
  <c r="AX357" i="104"/>
  <c r="BF392" i="104"/>
  <c r="BC392" i="104" a="1"/>
  <c r="BC392" i="104" s="1"/>
  <c r="AM452" i="104"/>
  <c r="AU452" i="104"/>
  <c r="AX452" i="104"/>
  <c r="AW452" i="104"/>
  <c r="AS452" i="104"/>
  <c r="BA452" i="104"/>
  <c r="BE452" i="104" s="1"/>
  <c r="AN452" i="104"/>
  <c r="BF453" i="104"/>
  <c r="BC453" i="104" a="1"/>
  <c r="BC453" i="104" s="1"/>
  <c r="BC470" i="104" a="1"/>
  <c r="BC470" i="104" s="1"/>
  <c r="BF470" i="104"/>
  <c r="BF501" i="104"/>
  <c r="BC501" i="104" a="1"/>
  <c r="BC501" i="104" s="1"/>
  <c r="AP526" i="104"/>
  <c r="AT526" i="104"/>
  <c r="AS526" i="104"/>
  <c r="AM526" i="104"/>
  <c r="AL526" i="104" s="1"/>
  <c r="BK526" i="104"/>
  <c r="AO526" i="104"/>
  <c r="AN526" i="104"/>
  <c r="AX526" i="104"/>
  <c r="AX182" i="104"/>
  <c r="AX244" i="104"/>
  <c r="BK261" i="104"/>
  <c r="AP261" i="104"/>
  <c r="AO261" i="104"/>
  <c r="AO270" i="104"/>
  <c r="BK270" i="104"/>
  <c r="AM270" i="104"/>
  <c r="AL270" i="104" s="1"/>
  <c r="AT275" i="104"/>
  <c r="AS275" i="104"/>
  <c r="AV275" i="104"/>
  <c r="AU275" i="104"/>
  <c r="AP275" i="104"/>
  <c r="AV278" i="104"/>
  <c r="AU278" i="104"/>
  <c r="BK278" i="104"/>
  <c r="AP278" i="104"/>
  <c r="BA281" i="104"/>
  <c r="BE281" i="104" s="1"/>
  <c r="AX281" i="104"/>
  <c r="BK281" i="104"/>
  <c r="AP281" i="104"/>
  <c r="AU281" i="104"/>
  <c r="AT281" i="104"/>
  <c r="AX294" i="104"/>
  <c r="AW294" i="104"/>
  <c r="AU294" i="104"/>
  <c r="AT294" i="104"/>
  <c r="AS294" i="104"/>
  <c r="AO300" i="104"/>
  <c r="AN300" i="104"/>
  <c r="AT300" i="104"/>
  <c r="AS300" i="104"/>
  <c r="AU300" i="104"/>
  <c r="BB333" i="104"/>
  <c r="BK333" i="104"/>
  <c r="AN333" i="104"/>
  <c r="AM333" i="104"/>
  <c r="BK355" i="104"/>
  <c r="AU355" i="104"/>
  <c r="BA355" i="104"/>
  <c r="BE355" i="104" s="1"/>
  <c r="AX355" i="104"/>
  <c r="AT355" i="104"/>
  <c r="AS355" i="104"/>
  <c r="AV355" i="104"/>
  <c r="AM366" i="104"/>
  <c r="BK366" i="104"/>
  <c r="AS366" i="104"/>
  <c r="AO366" i="104"/>
  <c r="AN366" i="104"/>
  <c r="BC419" i="104" a="1"/>
  <c r="BC419" i="104" s="1"/>
  <c r="BF419" i="104"/>
  <c r="BA72" i="104"/>
  <c r="BE72" i="104" s="1"/>
  <c r="AV72" i="104"/>
  <c r="AU72" i="104"/>
  <c r="AM92" i="104"/>
  <c r="AL92" i="104" s="1"/>
  <c r="BK92" i="104"/>
  <c r="AP92" i="104"/>
  <c r="AP117" i="104"/>
  <c r="AX117" i="104"/>
  <c r="AW117" i="104"/>
  <c r="BM117" i="104" s="1"/>
  <c r="BG117" i="104" s="1"/>
  <c r="AV128" i="104"/>
  <c r="AS165" i="104"/>
  <c r="AU165" i="104"/>
  <c r="BB165" i="104"/>
  <c r="BA176" i="104"/>
  <c r="BE176" i="104" s="1"/>
  <c r="AT176" i="104"/>
  <c r="AS176" i="104"/>
  <c r="BF242" i="104"/>
  <c r="AN260" i="104"/>
  <c r="AN270" i="104"/>
  <c r="AN287" i="104"/>
  <c r="AM287" i="104"/>
  <c r="AL287" i="104" s="1"/>
  <c r="AO287" i="104"/>
  <c r="AW287" i="104"/>
  <c r="AV287" i="104"/>
  <c r="BK294" i="104"/>
  <c r="AL320" i="104"/>
  <c r="AO333" i="104"/>
  <c r="AV386" i="104"/>
  <c r="AS386" i="104"/>
  <c r="AO386" i="104"/>
  <c r="BK386" i="104"/>
  <c r="AN386" i="104"/>
  <c r="AM176" i="104"/>
  <c r="AP222" i="104"/>
  <c r="AN222" i="104"/>
  <c r="AM222" i="104"/>
  <c r="AL222" i="104" s="1"/>
  <c r="AW222" i="104"/>
  <c r="BM222" i="104" s="1"/>
  <c r="BG222" i="104" s="1"/>
  <c r="BF237" i="104"/>
  <c r="AV241" i="104"/>
  <c r="AT241" i="104"/>
  <c r="AX241" i="104"/>
  <c r="AU257" i="104"/>
  <c r="BB257" i="104"/>
  <c r="AT257" i="104"/>
  <c r="AS257" i="104"/>
  <c r="AT258" i="104"/>
  <c r="AS258" i="104"/>
  <c r="AW262" i="104"/>
  <c r="BA262" i="104"/>
  <c r="BE262" i="104" s="1"/>
  <c r="AX262" i="104"/>
  <c r="AU262" i="104"/>
  <c r="AT262" i="104"/>
  <c r="AN272" i="104"/>
  <c r="BK280" i="104"/>
  <c r="AW280" i="104"/>
  <c r="AV280" i="104"/>
  <c r="AX280" i="104"/>
  <c r="AU280" i="104"/>
  <c r="AM303" i="104"/>
  <c r="AO303" i="104"/>
  <c r="AN303" i="104"/>
  <c r="AT325" i="104"/>
  <c r="AW325" i="104"/>
  <c r="BM325" i="104" s="1"/>
  <c r="BG325" i="104" s="1"/>
  <c r="AM325" i="104"/>
  <c r="AL325" i="104" s="1"/>
  <c r="AO325" i="104"/>
  <c r="BK325" i="104"/>
  <c r="AN325" i="104"/>
  <c r="BB325" i="104"/>
  <c r="AM328" i="104"/>
  <c r="AP333" i="104"/>
  <c r="AT341" i="104"/>
  <c r="AP341" i="104"/>
  <c r="AN341" i="104"/>
  <c r="AM341" i="104"/>
  <c r="BB341" i="104"/>
  <c r="BA341" i="104"/>
  <c r="BE341" i="104" s="1"/>
  <c r="AM355" i="104"/>
  <c r="AT56" i="104"/>
  <c r="AS56" i="104"/>
  <c r="AN58" i="104"/>
  <c r="AM58" i="104"/>
  <c r="AP91" i="104"/>
  <c r="BK91" i="104"/>
  <c r="AN92" i="104"/>
  <c r="AP99" i="104"/>
  <c r="AS99" i="104"/>
  <c r="AN108" i="104"/>
  <c r="AU108" i="104"/>
  <c r="AT108" i="104"/>
  <c r="AM117" i="104"/>
  <c r="AL117" i="104" s="1"/>
  <c r="BK117" i="104"/>
  <c r="AM124" i="104"/>
  <c r="AL124" i="104" s="1"/>
  <c r="BF125" i="104"/>
  <c r="BC125" i="104" a="1"/>
  <c r="BC125" i="104" s="1"/>
  <c r="BF127" i="104"/>
  <c r="AV130" i="104"/>
  <c r="AP134" i="104"/>
  <c r="BK134" i="104"/>
  <c r="BB134" i="104"/>
  <c r="BF134" i="104" s="1"/>
  <c r="AM157" i="104"/>
  <c r="AN157" i="104"/>
  <c r="AS157" i="104"/>
  <c r="AM160" i="104"/>
  <c r="AM165" i="104"/>
  <c r="AV175" i="104"/>
  <c r="AU175" i="104"/>
  <c r="AN176" i="104"/>
  <c r="BK176" i="104"/>
  <c r="AX222" i="104"/>
  <c r="N224" i="104"/>
  <c r="AQ233" i="104"/>
  <c r="AT243" i="104"/>
  <c r="BA251" i="104"/>
  <c r="BE251" i="104" s="1"/>
  <c r="AT251" i="104"/>
  <c r="AS251" i="104"/>
  <c r="AW251" i="104"/>
  <c r="AV251" i="104"/>
  <c r="AM258" i="104"/>
  <c r="AL258" i="104" s="1"/>
  <c r="BK258" i="104"/>
  <c r="AN261" i="104"/>
  <c r="AS270" i="104"/>
  <c r="AN275" i="104"/>
  <c r="AN278" i="104"/>
  <c r="AN281" i="104"/>
  <c r="AN294" i="104"/>
  <c r="AN295" i="104"/>
  <c r="AM295" i="104"/>
  <c r="BK295" i="104"/>
  <c r="AP295" i="104"/>
  <c r="AO295" i="104"/>
  <c r="AP300" i="104"/>
  <c r="AP303" i="104"/>
  <c r="AO307" i="104"/>
  <c r="BA307" i="104"/>
  <c r="BE307" i="104" s="1"/>
  <c r="AX307" i="104"/>
  <c r="AU307" i="104"/>
  <c r="AT307" i="104"/>
  <c r="AS307" i="104"/>
  <c r="AP325" i="104"/>
  <c r="BC333" i="104" a="1"/>
  <c r="BC333" i="104" s="1"/>
  <c r="BF333" i="104"/>
  <c r="BF346" i="104"/>
  <c r="BC346" i="104" a="1"/>
  <c r="BC346" i="104" s="1"/>
  <c r="AN355" i="104"/>
  <c r="AP369" i="104"/>
  <c r="BB369" i="104"/>
  <c r="BK369" i="104"/>
  <c r="AO369" i="104"/>
  <c r="AN369" i="104"/>
  <c r="AM369" i="104"/>
  <c r="AL369" i="104" s="1"/>
  <c r="BA369" i="104"/>
  <c r="BE369" i="104" s="1"/>
  <c r="AM386" i="104"/>
  <c r="AL386" i="104" s="1"/>
  <c r="BK387" i="104"/>
  <c r="BA387" i="104"/>
  <c r="BE387" i="104" s="1"/>
  <c r="AX387" i="104"/>
  <c r="AW387" i="104"/>
  <c r="BB387" i="104"/>
  <c r="AU387" i="104"/>
  <c r="AT387" i="104"/>
  <c r="BC396" i="104" a="1"/>
  <c r="BC396" i="104" s="1"/>
  <c r="BF396" i="104"/>
  <c r="AV423" i="104"/>
  <c r="AW423" i="104"/>
  <c r="BB423" i="104"/>
  <c r="BA423" i="104"/>
  <c r="BE423" i="104" s="1"/>
  <c r="AO423" i="104"/>
  <c r="BF436" i="104"/>
  <c r="BC436" i="104" a="1"/>
  <c r="BC436" i="104" s="1"/>
  <c r="AW446" i="104"/>
  <c r="AO446" i="104"/>
  <c r="BA446" i="104"/>
  <c r="BE446" i="104" s="1"/>
  <c r="AX446" i="104"/>
  <c r="AU446" i="104"/>
  <c r="AT446" i="104"/>
  <c r="AP446" i="104"/>
  <c r="AN446" i="104"/>
  <c r="AX451" i="104"/>
  <c r="AP451" i="104"/>
  <c r="AU451" i="104"/>
  <c r="BK473" i="104"/>
  <c r="AS473" i="104"/>
  <c r="AX473" i="104"/>
  <c r="AW473" i="104"/>
  <c r="AU473" i="104"/>
  <c r="AT473" i="104"/>
  <c r="BA473" i="104"/>
  <c r="BE473" i="104" s="1"/>
  <c r="AV473" i="104"/>
  <c r="AP473" i="104"/>
  <c r="BA480" i="104"/>
  <c r="BE480" i="104" s="1"/>
  <c r="AU480" i="104"/>
  <c r="AN480" i="104"/>
  <c r="AM480" i="104"/>
  <c r="BB480" i="104"/>
  <c r="AV480" i="104"/>
  <c r="BC498" i="104" a="1"/>
  <c r="BC498" i="104" s="1"/>
  <c r="BF498" i="104"/>
  <c r="AU499" i="104"/>
  <c r="AM499" i="104"/>
  <c r="AX499" i="104"/>
  <c r="AV499" i="104"/>
  <c r="AT499" i="104"/>
  <c r="AP499" i="104"/>
  <c r="AO499" i="104"/>
  <c r="AS499" i="104"/>
  <c r="BK499" i="104"/>
  <c r="AW501" i="104"/>
  <c r="AO501" i="104"/>
  <c r="AP501" i="104"/>
  <c r="BK501" i="104"/>
  <c r="AN501" i="104"/>
  <c r="AU501" i="104"/>
  <c r="AT501" i="104"/>
  <c r="BB501" i="104"/>
  <c r="BA501" i="104"/>
  <c r="BE501" i="104" s="1"/>
  <c r="AX501" i="104"/>
  <c r="BC509" i="104" a="1"/>
  <c r="BC509" i="104" s="1"/>
  <c r="BF509" i="104"/>
  <c r="BC516" i="104" a="1"/>
  <c r="BC516" i="104" s="1"/>
  <c r="BF516" i="104"/>
  <c r="AW517" i="104"/>
  <c r="AO517" i="104"/>
  <c r="AU517" i="104"/>
  <c r="AT517" i="104"/>
  <c r="AP517" i="104"/>
  <c r="AV517" i="104"/>
  <c r="AS517" i="104"/>
  <c r="BC531" i="104" a="1"/>
  <c r="BC531" i="104" s="1"/>
  <c r="BC536" i="104" a="1"/>
  <c r="BC536" i="104" s="1"/>
  <c r="BF536" i="104"/>
  <c r="AX550" i="104"/>
  <c r="AW550" i="104"/>
  <c r="AV550" i="104"/>
  <c r="AU550" i="104"/>
  <c r="AT550" i="104"/>
  <c r="AS550" i="104"/>
  <c r="AP550" i="104"/>
  <c r="AO550" i="104"/>
  <c r="BK550" i="104"/>
  <c r="AN550" i="104"/>
  <c r="AM550" i="104"/>
  <c r="AN188" i="104"/>
  <c r="AS188" i="104"/>
  <c r="AT188" i="104"/>
  <c r="AT197" i="104"/>
  <c r="AV197" i="104"/>
  <c r="AU197" i="104"/>
  <c r="AW244" i="104"/>
  <c r="BB244" i="104" s="1"/>
  <c r="AV244" i="104"/>
  <c r="BB260" i="104"/>
  <c r="AW260" i="104"/>
  <c r="BM260" i="104" s="1"/>
  <c r="BG260" i="104" s="1"/>
  <c r="AV260" i="104"/>
  <c r="AM260" i="104"/>
  <c r="AL260" i="104" s="1"/>
  <c r="BK260" i="104"/>
  <c r="AM272" i="104"/>
  <c r="AL272" i="104" s="1"/>
  <c r="AS272" i="104"/>
  <c r="BB272" i="104"/>
  <c r="BA272" i="104"/>
  <c r="BE272" i="104" s="1"/>
  <c r="BB276" i="104"/>
  <c r="BA276" i="104"/>
  <c r="BE276" i="104" s="1"/>
  <c r="AO276" i="104"/>
  <c r="AN276" i="104"/>
  <c r="AP276" i="104"/>
  <c r="AW328" i="104"/>
  <c r="AN328" i="104"/>
  <c r="BB328" i="104"/>
  <c r="AS328" i="104"/>
  <c r="AV328" i="104"/>
  <c r="AU328" i="104"/>
  <c r="AN415" i="104"/>
  <c r="AP415" i="104"/>
  <c r="AM415" i="104"/>
  <c r="BB415" i="104"/>
  <c r="BA415" i="104"/>
  <c r="BE415" i="104" s="1"/>
  <c r="AV415" i="104"/>
  <c r="AX415" i="104"/>
  <c r="AO416" i="104"/>
  <c r="AS416" i="104"/>
  <c r="AT416" i="104"/>
  <c r="AV416" i="104"/>
  <c r="AU416" i="104"/>
  <c r="AW416" i="104"/>
  <c r="AP416" i="104"/>
  <c r="BB416" i="104"/>
  <c r="BA416" i="104"/>
  <c r="BE416" i="104" s="1"/>
  <c r="AS436" i="104"/>
  <c r="AX436" i="104"/>
  <c r="AV436" i="104"/>
  <c r="AU436" i="104"/>
  <c r="BB436" i="104"/>
  <c r="AT436" i="104"/>
  <c r="AM436" i="104"/>
  <c r="AO436" i="104"/>
  <c r="AN436" i="104"/>
  <c r="BF491" i="104"/>
  <c r="BC491" i="104" a="1"/>
  <c r="BC491" i="104" s="1"/>
  <c r="BC492" i="104" a="1"/>
  <c r="BC492" i="104" s="1"/>
  <c r="BF492" i="104"/>
  <c r="AX495" i="104"/>
  <c r="AM495" i="104"/>
  <c r="AV495" i="104"/>
  <c r="AU495" i="104"/>
  <c r="AO495" i="104"/>
  <c r="AN495" i="104"/>
  <c r="AS495" i="104"/>
  <c r="BA495" i="104"/>
  <c r="BE495" i="104" s="1"/>
  <c r="AW495" i="104"/>
  <c r="BB79" i="104"/>
  <c r="BK79" i="104"/>
  <c r="BB160" i="104"/>
  <c r="AP160" i="104"/>
  <c r="AM197" i="104"/>
  <c r="AS198" i="104"/>
  <c r="AM198" i="104"/>
  <c r="AL198" i="104" s="1"/>
  <c r="BK198" i="104"/>
  <c r="AP198" i="104"/>
  <c r="AS205" i="104"/>
  <c r="BB205" i="104"/>
  <c r="AN208" i="104"/>
  <c r="AS208" i="104"/>
  <c r="AT265" i="104"/>
  <c r="AS265" i="104"/>
  <c r="AN265" i="104"/>
  <c r="AM265" i="104"/>
  <c r="AL265" i="104" s="1"/>
  <c r="BK272" i="104"/>
  <c r="BK275" i="104"/>
  <c r="AV283" i="104"/>
  <c r="AU283" i="104"/>
  <c r="AW283" i="104"/>
  <c r="AT283" i="104"/>
  <c r="AO283" i="104"/>
  <c r="BK283" i="104"/>
  <c r="AN283" i="104"/>
  <c r="AX286" i="104"/>
  <c r="AW286" i="104"/>
  <c r="AT286" i="104"/>
  <c r="AS286" i="104"/>
  <c r="BB286" i="104"/>
  <c r="AP337" i="104"/>
  <c r="AV337" i="104"/>
  <c r="AM337" i="104"/>
  <c r="AS337" i="104"/>
  <c r="AX409" i="104"/>
  <c r="BK409" i="104"/>
  <c r="BA409" i="104"/>
  <c r="BE409" i="104" s="1"/>
  <c r="AW409" i="104"/>
  <c r="AU409" i="104"/>
  <c r="AT409" i="104"/>
  <c r="AO415" i="104"/>
  <c r="AT429" i="104"/>
  <c r="AX429" i="104"/>
  <c r="AW429" i="104"/>
  <c r="BA429" i="104"/>
  <c r="BE429" i="104" s="1"/>
  <c r="AV429" i="104"/>
  <c r="BB429" i="104"/>
  <c r="AO429" i="104"/>
  <c r="BC512" i="104" a="1"/>
  <c r="BC512" i="104" s="1"/>
  <c r="BF512" i="104"/>
  <c r="BA519" i="104"/>
  <c r="BE519" i="104" s="1"/>
  <c r="BK519" i="104"/>
  <c r="AW519" i="104"/>
  <c r="AO519" i="104"/>
  <c r="AN519" i="104"/>
  <c r="AU519" i="104"/>
  <c r="AT519" i="104"/>
  <c r="AW63" i="104"/>
  <c r="AV63" i="104"/>
  <c r="AM188" i="104"/>
  <c r="BK188" i="104"/>
  <c r="AN197" i="104"/>
  <c r="BK197" i="104"/>
  <c r="BA204" i="104"/>
  <c r="BE204" i="104" s="1"/>
  <c r="AO204" i="104"/>
  <c r="AM204" i="104"/>
  <c r="AL204" i="104" s="1"/>
  <c r="BK204" i="104"/>
  <c r="AS259" i="104"/>
  <c r="AM259" i="104"/>
  <c r="AP259" i="104"/>
  <c r="BK259" i="104"/>
  <c r="AO260" i="104"/>
  <c r="AM261" i="104"/>
  <c r="AU264" i="104"/>
  <c r="BB264" i="104"/>
  <c r="AP264" i="104"/>
  <c r="BK264" i="104"/>
  <c r="AO264" i="104"/>
  <c r="AO265" i="104"/>
  <c r="AP270" i="104"/>
  <c r="AM275" i="104"/>
  <c r="AM276" i="104"/>
  <c r="AL276" i="104" s="1"/>
  <c r="AM278" i="104"/>
  <c r="AM281" i="104"/>
  <c r="BK285" i="104"/>
  <c r="BB285" i="104"/>
  <c r="BA285" i="104"/>
  <c r="BE285" i="104" s="1"/>
  <c r="BK286" i="104"/>
  <c r="AP287" i="104"/>
  <c r="BK293" i="104"/>
  <c r="AV293" i="104"/>
  <c r="AU293" i="104"/>
  <c r="AM294" i="104"/>
  <c r="AM300" i="104"/>
  <c r="AN337" i="104"/>
  <c r="AP366" i="104"/>
  <c r="AV375" i="104"/>
  <c r="BA375" i="104"/>
  <c r="BE375" i="104" s="1"/>
  <c r="AX375" i="104"/>
  <c r="AN375" i="104"/>
  <c r="AM375" i="104"/>
  <c r="AT405" i="104"/>
  <c r="AW405" i="104"/>
  <c r="BM405" i="104" s="1"/>
  <c r="BG405" i="104" s="1"/>
  <c r="BH405" i="104" s="1"/>
  <c r="BA405" i="104"/>
  <c r="BE405" i="104" s="1"/>
  <c r="AX405" i="104"/>
  <c r="AM405" i="104"/>
  <c r="BF415" i="104"/>
  <c r="BC415" i="104" a="1"/>
  <c r="BC415" i="104" s="1"/>
  <c r="AM416" i="104"/>
  <c r="BF420" i="104"/>
  <c r="BC420" i="104" a="1"/>
  <c r="BC420" i="104" s="1"/>
  <c r="AM429" i="104"/>
  <c r="AL429" i="104" s="1"/>
  <c r="AP436" i="104"/>
  <c r="AP439" i="104"/>
  <c r="BB439" i="104"/>
  <c r="AS439" i="104"/>
  <c r="AV439" i="104"/>
  <c r="AU439" i="104"/>
  <c r="AT439" i="104"/>
  <c r="BA439" i="104"/>
  <c r="BE439" i="104" s="1"/>
  <c r="AO439" i="104"/>
  <c r="BK439" i="104"/>
  <c r="AP495" i="104"/>
  <c r="AO509" i="104"/>
  <c r="AW509" i="104"/>
  <c r="BM509" i="104" s="1"/>
  <c r="BG509" i="104" s="1"/>
  <c r="BH509" i="104" s="1"/>
  <c r="AN509" i="104"/>
  <c r="BB509" i="104"/>
  <c r="AP509" i="104"/>
  <c r="AM509" i="104"/>
  <c r="AL509" i="104" s="1"/>
  <c r="BA509" i="104"/>
  <c r="BE509" i="104" s="1"/>
  <c r="AX509" i="104"/>
  <c r="AV509" i="104"/>
  <c r="BK509" i="104"/>
  <c r="AX518" i="104"/>
  <c r="AO518" i="104"/>
  <c r="AT518" i="104"/>
  <c r="AS518" i="104"/>
  <c r="BK518" i="104"/>
  <c r="AM518" i="104"/>
  <c r="BA518" i="104"/>
  <c r="BE518" i="104" s="1"/>
  <c r="BB520" i="104"/>
  <c r="AS520" i="104"/>
  <c r="AT520" i="104"/>
  <c r="AP520" i="104"/>
  <c r="AM520" i="104"/>
  <c r="BK520" i="104"/>
  <c r="BA520" i="104"/>
  <c r="BE520" i="104" s="1"/>
  <c r="AO520" i="104"/>
  <c r="AM63" i="104"/>
  <c r="AL63" i="104" s="1"/>
  <c r="AN72" i="104"/>
  <c r="AN79" i="104"/>
  <c r="AO92" i="104"/>
  <c r="AN117" i="104"/>
  <c r="AV127" i="104"/>
  <c r="BA141" i="104"/>
  <c r="BE141" i="104" s="1"/>
  <c r="BB141" i="104"/>
  <c r="BK141" i="104"/>
  <c r="AP141" i="104"/>
  <c r="AN159" i="104"/>
  <c r="AS159" i="104"/>
  <c r="AN160" i="104"/>
  <c r="AN165" i="104"/>
  <c r="BK165" i="104"/>
  <c r="AO176" i="104"/>
  <c r="AP188" i="104"/>
  <c r="AP197" i="104"/>
  <c r="AO198" i="104"/>
  <c r="AP204" i="104"/>
  <c r="AN205" i="104"/>
  <c r="BK205" i="104"/>
  <c r="AO208" i="104"/>
  <c r="BK208" i="104"/>
  <c r="BC216" i="104" a="1"/>
  <c r="BC216" i="104" s="1"/>
  <c r="BF216" i="104"/>
  <c r="BB241" i="104"/>
  <c r="AM257" i="104"/>
  <c r="BK257" i="104"/>
  <c r="AN258" i="104"/>
  <c r="AO259" i="104"/>
  <c r="AM262" i="104"/>
  <c r="BK262" i="104"/>
  <c r="AN263" i="104"/>
  <c r="BK263" i="104"/>
  <c r="AT263" i="104"/>
  <c r="AS263" i="104"/>
  <c r="AM264" i="104"/>
  <c r="AT270" i="104"/>
  <c r="AP272" i="104"/>
  <c r="AO275" i="104"/>
  <c r="AS276" i="104"/>
  <c r="AO278" i="104"/>
  <c r="AM280" i="104"/>
  <c r="AO281" i="104"/>
  <c r="AP283" i="104"/>
  <c r="AM285" i="104"/>
  <c r="AL285" i="104" s="1"/>
  <c r="AN286" i="104"/>
  <c r="AM293" i="104"/>
  <c r="AO294" i="104"/>
  <c r="AU299" i="104"/>
  <c r="AT299" i="104"/>
  <c r="AV299" i="104"/>
  <c r="AS299" i="104"/>
  <c r="AP299" i="104"/>
  <c r="AO299" i="104"/>
  <c r="BC303" i="104" a="1"/>
  <c r="BC303" i="104" s="1"/>
  <c r="BF303" i="104"/>
  <c r="AN309" i="104"/>
  <c r="AM309" i="104"/>
  <c r="AL309" i="104" s="1"/>
  <c r="BK309" i="104"/>
  <c r="AP309" i="104"/>
  <c r="AO309" i="104"/>
  <c r="AS309" i="104"/>
  <c r="AT312" i="104"/>
  <c r="AW312" i="104"/>
  <c r="AV312" i="104"/>
  <c r="AP312" i="104"/>
  <c r="BA317" i="104"/>
  <c r="BE317" i="104" s="1"/>
  <c r="AS317" i="104"/>
  <c r="AM317" i="104"/>
  <c r="AV317" i="104"/>
  <c r="AU317" i="104"/>
  <c r="BF325" i="104"/>
  <c r="BC325" i="104" a="1"/>
  <c r="BC325" i="104" s="1"/>
  <c r="AU326" i="104"/>
  <c r="BB326" i="104"/>
  <c r="BK326" i="104"/>
  <c r="AP326" i="104"/>
  <c r="AW326" i="104"/>
  <c r="AV326" i="104"/>
  <c r="AP328" i="104"/>
  <c r="AM334" i="104"/>
  <c r="BK334" i="104"/>
  <c r="AP334" i="104"/>
  <c r="AO334" i="104"/>
  <c r="AW334" i="104"/>
  <c r="AV334" i="104"/>
  <c r="AX334" i="104"/>
  <c r="AU334" i="104"/>
  <c r="AO341" i="104"/>
  <c r="AO355" i="104"/>
  <c r="AT366" i="104"/>
  <c r="AN367" i="104"/>
  <c r="AT367" i="104"/>
  <c r="AX367" i="104"/>
  <c r="AW367" i="104"/>
  <c r="AO375" i="104"/>
  <c r="AP386" i="104"/>
  <c r="AP397" i="104"/>
  <c r="AU397" i="104"/>
  <c r="AT397" i="104"/>
  <c r="AS397" i="104"/>
  <c r="BK397" i="104"/>
  <c r="AN402" i="104"/>
  <c r="BB402" i="104"/>
  <c r="AV402" i="104"/>
  <c r="AU402" i="104"/>
  <c r="AO405" i="104"/>
  <c r="AN409" i="104"/>
  <c r="AS415" i="104"/>
  <c r="AP429" i="104"/>
  <c r="AO438" i="104"/>
  <c r="AW438" i="104"/>
  <c r="AN438" i="104"/>
  <c r="AP438" i="104"/>
  <c r="BK438" i="104"/>
  <c r="AM438" i="104"/>
  <c r="AU438" i="104"/>
  <c r="AM439" i="104"/>
  <c r="AM446" i="104"/>
  <c r="AM451" i="104"/>
  <c r="BC466" i="104" a="1"/>
  <c r="BC466" i="104" s="1"/>
  <c r="BF466" i="104"/>
  <c r="AO486" i="104"/>
  <c r="AU486" i="104"/>
  <c r="BK486" i="104"/>
  <c r="AP486" i="104"/>
  <c r="AN486" i="104"/>
  <c r="AS486" i="104"/>
  <c r="AT486" i="104"/>
  <c r="BB486" i="104"/>
  <c r="BA486" i="104"/>
  <c r="BE486" i="104" s="1"/>
  <c r="AT495" i="104"/>
  <c r="BF496" i="104"/>
  <c r="BC500" i="104" a="1"/>
  <c r="BC500" i="104" s="1"/>
  <c r="BF500" i="104"/>
  <c r="AM517" i="104"/>
  <c r="AP518" i="104"/>
  <c r="AP519" i="104"/>
  <c r="AP543" i="104"/>
  <c r="AX543" i="104"/>
  <c r="AT543" i="104"/>
  <c r="AS543" i="104"/>
  <c r="AO543" i="104"/>
  <c r="AN543" i="104"/>
  <c r="AM543" i="104"/>
  <c r="BK543" i="104"/>
  <c r="BB543" i="104"/>
  <c r="AV548" i="104"/>
  <c r="AU548" i="104"/>
  <c r="AN548" i="104"/>
  <c r="AX548" i="104"/>
  <c r="AW548" i="104"/>
  <c r="AO548" i="104"/>
  <c r="AM548" i="104"/>
  <c r="BA548" i="104"/>
  <c r="BE548" i="104" s="1"/>
  <c r="AS548" i="104"/>
  <c r="AS545" i="104"/>
  <c r="BK545" i="104"/>
  <c r="AO545" i="104"/>
  <c r="BA545" i="104"/>
  <c r="BE545" i="104" s="1"/>
  <c r="AN545" i="104"/>
  <c r="AM545" i="104"/>
  <c r="AP545" i="104"/>
  <c r="AW545" i="104"/>
  <c r="AV545" i="104"/>
  <c r="AT545" i="104"/>
  <c r="BB136" i="104"/>
  <c r="AO136" i="104"/>
  <c r="AU145" i="104"/>
  <c r="AM145" i="104"/>
  <c r="BA148" i="104"/>
  <c r="BE148" i="104" s="1"/>
  <c r="AX148" i="104"/>
  <c r="AN151" i="104"/>
  <c r="AT151" i="104"/>
  <c r="BB164" i="104"/>
  <c r="BA164" i="104"/>
  <c r="BE164" i="104" s="1"/>
  <c r="AN172" i="104"/>
  <c r="N235" i="104"/>
  <c r="AN245" i="104"/>
  <c r="AT245" i="104"/>
  <c r="AP277" i="104"/>
  <c r="AO277" i="104"/>
  <c r="BA277" i="104"/>
  <c r="BE277" i="104" s="1"/>
  <c r="AX277" i="104"/>
  <c r="AQ280" i="104"/>
  <c r="AQ281" i="104"/>
  <c r="N281" i="104"/>
  <c r="AQ293" i="104"/>
  <c r="AL301" i="104"/>
  <c r="BB318" i="104"/>
  <c r="AU318" i="104"/>
  <c r="AT318" i="104"/>
  <c r="AS318" i="104"/>
  <c r="AS324" i="104"/>
  <c r="AT324" i="104"/>
  <c r="BB324" i="104"/>
  <c r="BA324" i="104"/>
  <c r="BE324" i="104" s="1"/>
  <c r="AX324" i="104"/>
  <c r="AW324" i="104"/>
  <c r="AX329" i="104"/>
  <c r="BK329" i="104"/>
  <c r="AN329" i="104"/>
  <c r="AM329" i="104"/>
  <c r="BB347" i="104"/>
  <c r="AO347" i="104"/>
  <c r="AW347" i="104"/>
  <c r="AV347" i="104"/>
  <c r="AP347" i="104"/>
  <c r="AN347" i="104"/>
  <c r="BK347" i="104"/>
  <c r="AN383" i="104"/>
  <c r="AM383" i="104"/>
  <c r="AW383" i="104"/>
  <c r="AV383" i="104"/>
  <c r="AL419" i="104"/>
  <c r="AX447" i="104"/>
  <c r="AO447" i="104"/>
  <c r="AT447" i="104"/>
  <c r="AP447" i="104"/>
  <c r="AN447" i="104"/>
  <c r="AM447" i="104"/>
  <c r="AL447" i="104" s="1"/>
  <c r="AW447" i="104"/>
  <c r="BM447" i="104" s="1"/>
  <c r="BG447" i="104" s="1"/>
  <c r="BH447" i="104" s="1"/>
  <c r="AT459" i="104"/>
  <c r="AN459" i="104"/>
  <c r="AS459" i="104"/>
  <c r="AM459" i="104"/>
  <c r="AL459" i="104" s="1"/>
  <c r="BK459" i="104"/>
  <c r="AP459" i="104"/>
  <c r="BA459" i="104"/>
  <c r="BE459" i="104" s="1"/>
  <c r="AX479" i="104"/>
  <c r="AS479" i="104"/>
  <c r="AV479" i="104"/>
  <c r="AT479" i="104"/>
  <c r="AN479" i="104"/>
  <c r="AM479" i="104"/>
  <c r="AL479" i="104" s="1"/>
  <c r="AO479" i="104"/>
  <c r="AL494" i="104"/>
  <c r="AW161" i="104"/>
  <c r="AO161" i="104"/>
  <c r="AV174" i="104"/>
  <c r="BB199" i="104"/>
  <c r="AV199" i="104"/>
  <c r="AP206" i="104"/>
  <c r="BB206" i="104"/>
  <c r="AS266" i="104"/>
  <c r="AM266" i="104"/>
  <c r="AL266" i="104" s="1"/>
  <c r="AV271" i="104"/>
  <c r="BB271" i="104"/>
  <c r="AV291" i="104"/>
  <c r="AU291" i="104"/>
  <c r="AX291" i="104"/>
  <c r="AW291" i="104"/>
  <c r="AX316" i="104"/>
  <c r="BK316" i="104"/>
  <c r="AP316" i="104"/>
  <c r="BB316" i="104"/>
  <c r="BA316" i="104"/>
  <c r="BE316" i="104" s="1"/>
  <c r="AX338" i="104"/>
  <c r="AT338" i="104"/>
  <c r="AS338" i="104"/>
  <c r="AV343" i="104"/>
  <c r="AW343" i="104"/>
  <c r="BB343" i="104"/>
  <c r="BA343" i="104"/>
  <c r="BE343" i="104" s="1"/>
  <c r="AX343" i="104"/>
  <c r="AN351" i="104"/>
  <c r="BB351" i="104"/>
  <c r="AV351" i="104"/>
  <c r="AU351" i="104"/>
  <c r="AX351" i="104"/>
  <c r="AW351" i="104"/>
  <c r="BK351" i="104"/>
  <c r="AU358" i="104"/>
  <c r="AM358" i="104"/>
  <c r="AT358" i="104"/>
  <c r="AS358" i="104"/>
  <c r="BB358" i="104"/>
  <c r="BK358" i="104"/>
  <c r="BF410" i="104"/>
  <c r="BC410" i="104" a="1"/>
  <c r="BC410" i="104" s="1"/>
  <c r="BB411" i="104"/>
  <c r="AU411" i="104"/>
  <c r="AO411" i="104"/>
  <c r="AN411" i="104"/>
  <c r="BA411" i="104"/>
  <c r="BE411" i="104" s="1"/>
  <c r="AO432" i="104"/>
  <c r="AU432" i="104"/>
  <c r="AT432" i="104"/>
  <c r="AN432" i="104"/>
  <c r="BK432" i="104"/>
  <c r="AM432" i="104"/>
  <c r="AV432" i="104"/>
  <c r="AS432" i="104"/>
  <c r="AT437" i="104"/>
  <c r="BB437" i="104"/>
  <c r="BA437" i="104"/>
  <c r="BE437" i="104" s="1"/>
  <c r="AP437" i="104"/>
  <c r="AO437" i="104"/>
  <c r="AN437" i="104"/>
  <c r="BC450" i="104" a="1"/>
  <c r="BC450" i="104" s="1"/>
  <c r="BF450" i="104"/>
  <c r="AO459" i="104"/>
  <c r="AO470" i="104"/>
  <c r="AM470" i="104"/>
  <c r="AV470" i="104"/>
  <c r="AU470" i="104"/>
  <c r="BA470" i="104"/>
  <c r="BE470" i="104" s="1"/>
  <c r="AX470" i="104"/>
  <c r="BK470" i="104"/>
  <c r="AS470" i="104"/>
  <c r="AL537" i="104"/>
  <c r="AU545" i="104"/>
  <c r="AW440" i="104"/>
  <c r="AO440" i="104"/>
  <c r="BK440" i="104"/>
  <c r="AN440" i="104"/>
  <c r="AT475" i="104"/>
  <c r="BA475" i="104"/>
  <c r="BE475" i="104" s="1"/>
  <c r="AU475" i="104"/>
  <c r="AS475" i="104"/>
  <c r="BB475" i="104"/>
  <c r="AX475" i="104"/>
  <c r="BK489" i="104"/>
  <c r="AV489" i="104"/>
  <c r="AU489" i="104"/>
  <c r="BA489" i="104"/>
  <c r="BE489" i="104" s="1"/>
  <c r="AX489" i="104"/>
  <c r="AT489" i="104"/>
  <c r="AS489" i="104"/>
  <c r="AU531" i="104"/>
  <c r="AT531" i="104"/>
  <c r="AX531" i="104"/>
  <c r="AV531" i="104"/>
  <c r="AS531" i="104"/>
  <c r="AW531" i="104"/>
  <c r="BK441" i="104"/>
  <c r="AN441" i="104"/>
  <c r="AP441" i="104"/>
  <c r="AO441" i="104"/>
  <c r="AT441" i="104"/>
  <c r="AS441" i="104"/>
  <c r="BB441" i="104"/>
  <c r="BA441" i="104"/>
  <c r="BE441" i="104" s="1"/>
  <c r="AW489" i="104"/>
  <c r="AT491" i="104"/>
  <c r="AV491" i="104"/>
  <c r="AU491" i="104"/>
  <c r="AX491" i="104"/>
  <c r="AW491" i="104"/>
  <c r="BK512" i="104"/>
  <c r="AN512" i="104"/>
  <c r="BB512" i="104"/>
  <c r="AV512" i="104"/>
  <c r="AU512" i="104"/>
  <c r="AP512" i="104"/>
  <c r="AO512" i="104"/>
  <c r="BA531" i="104"/>
  <c r="BE531" i="104" s="1"/>
  <c r="AP290" i="104"/>
  <c r="AO290" i="104"/>
  <c r="AV327" i="104"/>
  <c r="AW327" i="104"/>
  <c r="AU327" i="104"/>
  <c r="AN335" i="104"/>
  <c r="AP335" i="104"/>
  <c r="AU335" i="104"/>
  <c r="AT335" i="104"/>
  <c r="AO352" i="104"/>
  <c r="BB352" i="104"/>
  <c r="AT354" i="104"/>
  <c r="AS354" i="104"/>
  <c r="BM360" i="104"/>
  <c r="BG360" i="104" s="1"/>
  <c r="AL360" i="104"/>
  <c r="AX361" i="104"/>
  <c r="AU361" i="104"/>
  <c r="BK361" i="104"/>
  <c r="AP361" i="104"/>
  <c r="BA378" i="104"/>
  <c r="BE378" i="104" s="1"/>
  <c r="BK378" i="104"/>
  <c r="AT378" i="104"/>
  <c r="AS378" i="104"/>
  <c r="AU390" i="104"/>
  <c r="BK390" i="104"/>
  <c r="AT390" i="104"/>
  <c r="AS390" i="104"/>
  <c r="AN399" i="104"/>
  <c r="AV399" i="104"/>
  <c r="AM399" i="104"/>
  <c r="AL399" i="104" s="1"/>
  <c r="AS399" i="104"/>
  <c r="AM414" i="104"/>
  <c r="AL414" i="104" s="1"/>
  <c r="BB414" i="104"/>
  <c r="BA414" i="104"/>
  <c r="BE414" i="104" s="1"/>
  <c r="AT414" i="104"/>
  <c r="AS414" i="104"/>
  <c r="BK419" i="104"/>
  <c r="AO419" i="104"/>
  <c r="AN419" i="104"/>
  <c r="BB419" i="104"/>
  <c r="BA419" i="104"/>
  <c r="BE419" i="104" s="1"/>
  <c r="AP433" i="104"/>
  <c r="AO433" i="104"/>
  <c r="BB433" i="104"/>
  <c r="BA433" i="104"/>
  <c r="BE433" i="104" s="1"/>
  <c r="AW433" i="104"/>
  <c r="AV433" i="104"/>
  <c r="AW462" i="104"/>
  <c r="BM462" i="104" s="1"/>
  <c r="BG462" i="104" s="1"/>
  <c r="BH462" i="104" s="1"/>
  <c r="AV462" i="104"/>
  <c r="AO462" i="104"/>
  <c r="AM462" i="104"/>
  <c r="AT462" i="104"/>
  <c r="AS462" i="104"/>
  <c r="AW494" i="104"/>
  <c r="BM494" i="104" s="1"/>
  <c r="BG494" i="104" s="1"/>
  <c r="BK494" i="104"/>
  <c r="AP494" i="104"/>
  <c r="AX494" i="104"/>
  <c r="AV494" i="104"/>
  <c r="BB504" i="104"/>
  <c r="BA504" i="104"/>
  <c r="BE504" i="104" s="1"/>
  <c r="AN504" i="104"/>
  <c r="AM504" i="104"/>
  <c r="AP504" i="104"/>
  <c r="AO504" i="104"/>
  <c r="AM507" i="104"/>
  <c r="BK507" i="104"/>
  <c r="AV507" i="104"/>
  <c r="AN507" i="104"/>
  <c r="AM523" i="104"/>
  <c r="AU523" i="104"/>
  <c r="AP523" i="104"/>
  <c r="AT523" i="104"/>
  <c r="AS523" i="104"/>
  <c r="AV523" i="104"/>
  <c r="AL529" i="104"/>
  <c r="AX534" i="104"/>
  <c r="AW534" i="104"/>
  <c r="AS534" i="104"/>
  <c r="AM534" i="104"/>
  <c r="AU534" i="104"/>
  <c r="AT534" i="104"/>
  <c r="AP534" i="104"/>
  <c r="BC537" i="104" a="1"/>
  <c r="BC537" i="104" s="1"/>
  <c r="BF537" i="104"/>
  <c r="AP282" i="104"/>
  <c r="AO282" i="104"/>
  <c r="BB320" i="104"/>
  <c r="BA320" i="104"/>
  <c r="BE320" i="104" s="1"/>
  <c r="AM327" i="104"/>
  <c r="BK335" i="104"/>
  <c r="BF340" i="104"/>
  <c r="BC340" i="104" a="1"/>
  <c r="BC340" i="104" s="1"/>
  <c r="AM352" i="104"/>
  <c r="BK352" i="104"/>
  <c r="AT373" i="104"/>
  <c r="AU373" i="104"/>
  <c r="BK373" i="104"/>
  <c r="AP373" i="104"/>
  <c r="AO373" i="104"/>
  <c r="AX381" i="104"/>
  <c r="AN381" i="104"/>
  <c r="AM381" i="104"/>
  <c r="BK381" i="104"/>
  <c r="AO399" i="104"/>
  <c r="AW408" i="104"/>
  <c r="BM408" i="104" s="1"/>
  <c r="BG408" i="104" s="1"/>
  <c r="AN408" i="104"/>
  <c r="AT408" i="104"/>
  <c r="AS408" i="104"/>
  <c r="BK408" i="104"/>
  <c r="AM408" i="104"/>
  <c r="AL408" i="104" s="1"/>
  <c r="AN414" i="104"/>
  <c r="AP417" i="104"/>
  <c r="AV417" i="104"/>
  <c r="BA417" i="104"/>
  <c r="BE417" i="104" s="1"/>
  <c r="AX417" i="104"/>
  <c r="BK417" i="104"/>
  <c r="AU422" i="104"/>
  <c r="AS422" i="104"/>
  <c r="AM422" i="104"/>
  <c r="AP422" i="104"/>
  <c r="AO422" i="104"/>
  <c r="AN462" i="104"/>
  <c r="AP487" i="104"/>
  <c r="AX487" i="104"/>
  <c r="AT487" i="104"/>
  <c r="AS487" i="104"/>
  <c r="AV487" i="104"/>
  <c r="AU487" i="104"/>
  <c r="AO507" i="104"/>
  <c r="AV527" i="104"/>
  <c r="AW527" i="104"/>
  <c r="BB527" i="104"/>
  <c r="BA527" i="104"/>
  <c r="BE527" i="104" s="1"/>
  <c r="AS527" i="104"/>
  <c r="AS372" i="104"/>
  <c r="BK372" i="104"/>
  <c r="AW392" i="104"/>
  <c r="BM392" i="104" s="1"/>
  <c r="BG392" i="104" s="1"/>
  <c r="AV392" i="104"/>
  <c r="BM458" i="104"/>
  <c r="BG458" i="104" s="1"/>
  <c r="BB488" i="104"/>
  <c r="AW488" i="104"/>
  <c r="AV488" i="104"/>
  <c r="AO488" i="104"/>
  <c r="BK488" i="104"/>
  <c r="AN488" i="104"/>
  <c r="BA535" i="104"/>
  <c r="BE535" i="104" s="1"/>
  <c r="AX535" i="104"/>
  <c r="AW535" i="104"/>
  <c r="BM535" i="104" s="1"/>
  <c r="BG535" i="104" s="1"/>
  <c r="AS535" i="104"/>
  <c r="AP535" i="104"/>
  <c r="AO535" i="104"/>
  <c r="AM535" i="104"/>
  <c r="AL535" i="104" s="1"/>
  <c r="BK535" i="104"/>
  <c r="AW344" i="104"/>
  <c r="BM344" i="104" s="1"/>
  <c r="BG344" i="104" s="1"/>
  <c r="BA344" i="104"/>
  <c r="BE344" i="104" s="1"/>
  <c r="AS356" i="104"/>
  <c r="AX356" i="104"/>
  <c r="AO368" i="104"/>
  <c r="AW368" i="104"/>
  <c r="BM368" i="104" s="1"/>
  <c r="BG368" i="104" s="1"/>
  <c r="BB413" i="104"/>
  <c r="AU413" i="104"/>
  <c r="AT413" i="104"/>
  <c r="BF437" i="104"/>
  <c r="BC437" i="104" a="1"/>
  <c r="BC437" i="104" s="1"/>
  <c r="AP455" i="104"/>
  <c r="AT455" i="104"/>
  <c r="BB455" i="104"/>
  <c r="BA455" i="104"/>
  <c r="BE455" i="104" s="1"/>
  <c r="AX463" i="104"/>
  <c r="BB463" i="104"/>
  <c r="AS463" i="104"/>
  <c r="AT463" i="104"/>
  <c r="AP472" i="104"/>
  <c r="AW472" i="104"/>
  <c r="BM472" i="104" s="1"/>
  <c r="BG472" i="104" s="1"/>
  <c r="BH472" i="104" s="1"/>
  <c r="AW478" i="104"/>
  <c r="AP478" i="104"/>
  <c r="AT478" i="104"/>
  <c r="AS478" i="104"/>
  <c r="BF485" i="104"/>
  <c r="BC485" i="104" a="1"/>
  <c r="BC485" i="104" s="1"/>
  <c r="AS529" i="104"/>
  <c r="BK529" i="104"/>
  <c r="AP529" i="104"/>
  <c r="AW529" i="104"/>
  <c r="AV529" i="104"/>
  <c r="BB529" i="104"/>
  <c r="BA529" i="104"/>
  <c r="BE529" i="104" s="1"/>
  <c r="AU547" i="104"/>
  <c r="AT547" i="104"/>
  <c r="AS547" i="104"/>
  <c r="BK547" i="104"/>
  <c r="AN547" i="104"/>
  <c r="AM547" i="104"/>
  <c r="AX547" i="104"/>
  <c r="AW547" i="104"/>
  <c r="BA426" i="104"/>
  <c r="BE426" i="104" s="1"/>
  <c r="AM426" i="104"/>
  <c r="AN453" i="104"/>
  <c r="AM453" i="104"/>
  <c r="AL453" i="104" s="1"/>
  <c r="BB453" i="104"/>
  <c r="AS474" i="104"/>
  <c r="AV474" i="104"/>
  <c r="AO474" i="104"/>
  <c r="AU492" i="104"/>
  <c r="AV492" i="104"/>
  <c r="BB492" i="104"/>
  <c r="BF508" i="104"/>
  <c r="BC508" i="104" a="1"/>
  <c r="BC508" i="104" s="1"/>
  <c r="AW511" i="104"/>
  <c r="AU511" i="104"/>
  <c r="AT511" i="104"/>
  <c r="AS513" i="104"/>
  <c r="BK513" i="104"/>
  <c r="AO513" i="104"/>
  <c r="AP513" i="104"/>
  <c r="AN513" i="104"/>
  <c r="AU406" i="104"/>
  <c r="BB406" i="104"/>
  <c r="BA410" i="104"/>
  <c r="BE410" i="104" s="1"/>
  <c r="AS410" i="104"/>
  <c r="AM430" i="104"/>
  <c r="AW430" i="104"/>
  <c r="AT443" i="104"/>
  <c r="AU443" i="104"/>
  <c r="AS443" i="104"/>
  <c r="BB465" i="104"/>
  <c r="AM465" i="104"/>
  <c r="AL465" i="104" s="1"/>
  <c r="AS490" i="104"/>
  <c r="AO490" i="104"/>
  <c r="BK490" i="104"/>
  <c r="AP490" i="104"/>
  <c r="AN490" i="104"/>
  <c r="AM511" i="104"/>
  <c r="BK511" i="104"/>
  <c r="AN524" i="104"/>
  <c r="AM524" i="104"/>
  <c r="AL524" i="104" s="1"/>
  <c r="BB524" i="104"/>
  <c r="AX524" i="104"/>
  <c r="AW524" i="104"/>
  <c r="BM524" i="104" s="1"/>
  <c r="BG524" i="104" s="1"/>
  <c r="BH524" i="104" s="1"/>
  <c r="BK524" i="104"/>
  <c r="AO525" i="104"/>
  <c r="BK525" i="104"/>
  <c r="AM525" i="104"/>
  <c r="AT530" i="104"/>
  <c r="AS530" i="104"/>
  <c r="AX530" i="104"/>
  <c r="AW549" i="104"/>
  <c r="AV549" i="104"/>
  <c r="BK549" i="104"/>
  <c r="AO549" i="104"/>
  <c r="AV461" i="104"/>
  <c r="AT461" i="104"/>
  <c r="AN540" i="104"/>
  <c r="AM540" i="104"/>
  <c r="AL540" i="104" s="1"/>
  <c r="BB540" i="104"/>
  <c r="AP542" i="104"/>
  <c r="AO542" i="104"/>
  <c r="AT542" i="104"/>
  <c r="BA542" i="104"/>
  <c r="BE542" i="104" s="1"/>
  <c r="AV500" i="104"/>
  <c r="AP500" i="104"/>
  <c r="AV532" i="104"/>
  <c r="AU532" i="104"/>
  <c r="K164" i="106" l="1"/>
  <c r="J165" i="106"/>
  <c r="K249" i="106"/>
  <c r="J250" i="106" s="1"/>
  <c r="K389" i="106"/>
  <c r="J390" i="106" s="1"/>
  <c r="K262" i="106"/>
  <c r="J263" i="106"/>
  <c r="K66" i="106"/>
  <c r="J67" i="106"/>
  <c r="K500" i="106"/>
  <c r="J501" i="106" s="1"/>
  <c r="K752" i="106"/>
  <c r="J753" i="106"/>
  <c r="J153" i="106"/>
  <c r="K152" i="106"/>
  <c r="K220" i="106"/>
  <c r="K80" i="106"/>
  <c r="J81" i="106" s="1"/>
  <c r="J682" i="106"/>
  <c r="K681" i="106"/>
  <c r="K473" i="106"/>
  <c r="J474" i="106" s="1"/>
  <c r="E686" i="106"/>
  <c r="D688" i="106" s="1" a="1"/>
  <c r="D688" i="106" s="1"/>
  <c r="F686" i="106"/>
  <c r="E492" i="106"/>
  <c r="D494" i="106" s="1" a="1"/>
  <c r="D494" i="106" s="1"/>
  <c r="F492" i="106"/>
  <c r="E156" i="106"/>
  <c r="D158" i="106" s="1" a="1"/>
  <c r="D158" i="106" s="1"/>
  <c r="F156" i="106"/>
  <c r="J697" i="106"/>
  <c r="K696" i="106"/>
  <c r="K723" i="106"/>
  <c r="K333" i="106"/>
  <c r="F126" i="106"/>
  <c r="E126" i="106"/>
  <c r="D128" i="106" s="1" a="1"/>
  <c r="D128" i="106" s="1"/>
  <c r="K402" i="106"/>
  <c r="J403" i="106" s="1"/>
  <c r="F54" i="106"/>
  <c r="E54" i="106" s="1"/>
  <c r="D56" i="106" s="1" a="1"/>
  <c r="D56" i="106" s="1"/>
  <c r="E392" i="106"/>
  <c r="D394" i="106" s="1" a="1"/>
  <c r="D394" i="106" s="1"/>
  <c r="F392" i="106"/>
  <c r="K738" i="106"/>
  <c r="J739" i="106"/>
  <c r="K318" i="106"/>
  <c r="J319" i="106"/>
  <c r="E604" i="106"/>
  <c r="D606" i="106" s="1" a="1"/>
  <c r="D606" i="106" s="1"/>
  <c r="F604" i="106"/>
  <c r="E254" i="106"/>
  <c r="D256" i="106" s="1" a="1"/>
  <c r="D256" i="106" s="1"/>
  <c r="F254" i="106"/>
  <c r="K135" i="106"/>
  <c r="J136" i="106"/>
  <c r="E368" i="106"/>
  <c r="D370" i="106" s="1" a="1"/>
  <c r="D370" i="106" s="1"/>
  <c r="F368" i="106"/>
  <c r="E728" i="106"/>
  <c r="D730" i="106" s="1" a="1"/>
  <c r="D730" i="106" s="1"/>
  <c r="F728" i="106"/>
  <c r="K193" i="106"/>
  <c r="J194" i="106"/>
  <c r="F70" i="106"/>
  <c r="E70" i="106"/>
  <c r="D72" i="106" s="1" a="1"/>
  <c r="D72" i="106" s="1"/>
  <c r="K458" i="106"/>
  <c r="J459" i="106" s="1"/>
  <c r="K107" i="106"/>
  <c r="J108" i="106" s="1"/>
  <c r="F420" i="106"/>
  <c r="E420" i="106"/>
  <c r="D422" i="106" s="1" a="1"/>
  <c r="D422" i="106" s="1"/>
  <c r="F644" i="106"/>
  <c r="E644" i="106"/>
  <c r="D646" i="106" s="1" a="1"/>
  <c r="D646" i="106" s="1"/>
  <c r="K598" i="106"/>
  <c r="F618" i="106"/>
  <c r="E618" i="106"/>
  <c r="D620" i="106" s="1" a="1"/>
  <c r="D620" i="106" s="1"/>
  <c r="K415" i="106"/>
  <c r="E378" i="106"/>
  <c r="D380" i="106" s="1" a="1"/>
  <c r="D380" i="106" s="1"/>
  <c r="F378" i="106"/>
  <c r="F112" i="106"/>
  <c r="E112" i="106"/>
  <c r="D114" i="106" s="1" a="1"/>
  <c r="D114" i="106" s="1"/>
  <c r="F672" i="106"/>
  <c r="E672" i="106"/>
  <c r="D674" i="106" s="1" a="1"/>
  <c r="D674" i="106" s="1"/>
  <c r="K52" i="106"/>
  <c r="J53" i="106" s="1"/>
  <c r="K514" i="106"/>
  <c r="J515" i="106"/>
  <c r="K639" i="106"/>
  <c r="J640" i="106" s="1"/>
  <c r="K528" i="106"/>
  <c r="J529" i="106" s="1"/>
  <c r="J94" i="106"/>
  <c r="E658" i="106"/>
  <c r="D660" i="106" s="1" a="1"/>
  <c r="D660" i="106" s="1"/>
  <c r="F658" i="106"/>
  <c r="F184" i="106"/>
  <c r="E184" i="106"/>
  <c r="D186" i="106" s="1" a="1"/>
  <c r="D186" i="106" s="1"/>
  <c r="F224" i="106"/>
  <c r="E224" i="106"/>
  <c r="D226" i="106" s="1" a="1"/>
  <c r="D226" i="106" s="1"/>
  <c r="K625" i="106"/>
  <c r="J626" i="106"/>
  <c r="E518" i="106"/>
  <c r="D520" i="106" s="1" a="1"/>
  <c r="D520" i="106" s="1"/>
  <c r="F518" i="106"/>
  <c r="K556" i="106"/>
  <c r="J557" i="106" s="1"/>
  <c r="F478" i="106"/>
  <c r="E478" i="106"/>
  <c r="D480" i="106" s="1" a="1"/>
  <c r="D480" i="106" s="1"/>
  <c r="F546" i="106"/>
  <c r="E546" i="106"/>
  <c r="D548" i="106" s="1" a="1"/>
  <c r="D548" i="106" s="1"/>
  <c r="F266" i="106"/>
  <c r="E266" i="106"/>
  <c r="D268" i="106" s="1" a="1"/>
  <c r="D268" i="106" s="1"/>
  <c r="F534" i="106"/>
  <c r="E534" i="106"/>
  <c r="D536" i="106" s="1" a="1"/>
  <c r="D536" i="106" s="1"/>
  <c r="F770" i="106"/>
  <c r="E770" i="106"/>
  <c r="D772" i="106" s="1" a="1"/>
  <c r="D772" i="106" s="1"/>
  <c r="J486" i="106"/>
  <c r="E84" i="106"/>
  <c r="D86" i="106" s="1" a="1"/>
  <c r="D86" i="106" s="1"/>
  <c r="F84" i="106"/>
  <c r="J571" i="106"/>
  <c r="K570" i="106"/>
  <c r="F336" i="106"/>
  <c r="E336" i="106"/>
  <c r="D338" i="106" s="1" a="1"/>
  <c r="D338" i="106" s="1"/>
  <c r="K234" i="106"/>
  <c r="J235" i="106"/>
  <c r="E630" i="106"/>
  <c r="D632" i="106" s="1" a="1"/>
  <c r="D632" i="106" s="1"/>
  <c r="F630" i="106"/>
  <c r="E448" i="106"/>
  <c r="D450" i="106" s="1" a="1"/>
  <c r="D450" i="106" s="1"/>
  <c r="F448" i="106"/>
  <c r="E57" i="106"/>
  <c r="D59" i="106" s="1" a="1"/>
  <c r="D59" i="106" s="1"/>
  <c r="F57" i="106"/>
  <c r="K122" i="106"/>
  <c r="J123" i="106" s="1"/>
  <c r="J710" i="106"/>
  <c r="K709" i="106"/>
  <c r="F756" i="106"/>
  <c r="E756" i="106"/>
  <c r="D758" i="106" s="1" a="1"/>
  <c r="D758" i="106" s="1"/>
  <c r="F238" i="106"/>
  <c r="E238" i="106"/>
  <c r="D240" i="106" s="1" a="1"/>
  <c r="D240" i="106" s="1"/>
  <c r="E198" i="106"/>
  <c r="D200" i="106" s="1" a="1"/>
  <c r="D200" i="106" s="1"/>
  <c r="F198" i="106"/>
  <c r="J654" i="106"/>
  <c r="K653" i="106"/>
  <c r="F576" i="106"/>
  <c r="E576" i="106"/>
  <c r="D578" i="106" s="1" a="1"/>
  <c r="D578" i="106" s="1"/>
  <c r="F98" i="106"/>
  <c r="E98" i="106"/>
  <c r="D100" i="106" s="1" a="1"/>
  <c r="D100" i="106" s="1"/>
  <c r="E560" i="106"/>
  <c r="D562" i="106" s="1" a="1"/>
  <c r="D562" i="106" s="1"/>
  <c r="F560" i="106"/>
  <c r="E744" i="106"/>
  <c r="D746" i="106" s="1" a="1"/>
  <c r="D746" i="106" s="1"/>
  <c r="F744" i="106"/>
  <c r="F140" i="106"/>
  <c r="E140" i="106"/>
  <c r="D142" i="106" s="1" a="1"/>
  <c r="D142" i="106" s="1"/>
  <c r="E700" i="106"/>
  <c r="D702" i="106" s="1" a="1"/>
  <c r="D702" i="106" s="1"/>
  <c r="F700" i="106"/>
  <c r="F350" i="106"/>
  <c r="E350" i="106"/>
  <c r="D352" i="106" s="1" a="1"/>
  <c r="D352" i="106" s="1"/>
  <c r="E464" i="106"/>
  <c r="D466" i="106" s="1" a="1"/>
  <c r="D466" i="106" s="1"/>
  <c r="F464" i="106"/>
  <c r="K765" i="106"/>
  <c r="J766" i="106"/>
  <c r="K583" i="106"/>
  <c r="J584" i="106"/>
  <c r="BE22" i="106" a="1"/>
  <c r="BE22" i="106" s="1"/>
  <c r="BS3" i="106" s="1"/>
  <c r="BF54" i="106"/>
  <c r="BF53" i="106"/>
  <c r="F308" i="106"/>
  <c r="E308" i="106"/>
  <c r="D310" i="106" s="1" a="1"/>
  <c r="D310" i="106" s="1"/>
  <c r="K541" i="106"/>
  <c r="F324" i="106"/>
  <c r="E324" i="106"/>
  <c r="D326" i="106" s="1" a="1"/>
  <c r="D326" i="106" s="1"/>
  <c r="J361" i="106"/>
  <c r="K360" i="106"/>
  <c r="F714" i="106"/>
  <c r="E714" i="106"/>
  <c r="D716" i="106" s="1" a="1"/>
  <c r="D716" i="106" s="1"/>
  <c r="K205" i="106"/>
  <c r="J206" i="106" s="1"/>
  <c r="K373" i="106"/>
  <c r="J374" i="106" s="1"/>
  <c r="F504" i="106"/>
  <c r="E504" i="106"/>
  <c r="D506" i="106" s="1" a="1"/>
  <c r="D506" i="106" s="1"/>
  <c r="J290" i="106"/>
  <c r="K289" i="106"/>
  <c r="K444" i="106"/>
  <c r="J445" i="106" s="1"/>
  <c r="J613" i="106"/>
  <c r="K612" i="106"/>
  <c r="F168" i="106"/>
  <c r="E168" i="106"/>
  <c r="D170" i="106" s="1" a="1"/>
  <c r="D170" i="106" s="1"/>
  <c r="F294" i="106"/>
  <c r="E294" i="106"/>
  <c r="D296" i="106" s="1" a="1"/>
  <c r="D296" i="106" s="1"/>
  <c r="K347" i="106"/>
  <c r="F210" i="106"/>
  <c r="E210" i="106"/>
  <c r="D212" i="106" s="1" a="1"/>
  <c r="D212" i="106" s="1"/>
  <c r="K306" i="106"/>
  <c r="J431" i="106"/>
  <c r="K430" i="106"/>
  <c r="E406" i="106"/>
  <c r="D408" i="106" s="1" a="1"/>
  <c r="D408" i="106" s="1"/>
  <c r="F406" i="106"/>
  <c r="E434" i="106"/>
  <c r="D436" i="106" s="1" a="1"/>
  <c r="D436" i="106" s="1"/>
  <c r="F434" i="106"/>
  <c r="F280" i="106"/>
  <c r="E280" i="106"/>
  <c r="D282" i="106" s="1" a="1"/>
  <c r="D282" i="106" s="1"/>
  <c r="K667" i="106"/>
  <c r="J668" i="106" s="1"/>
  <c r="K275" i="106"/>
  <c r="J178" i="106"/>
  <c r="F588" i="106"/>
  <c r="E588" i="106"/>
  <c r="D590" i="106" s="1" a="1"/>
  <c r="D590" i="106" s="1"/>
  <c r="AL305" i="104"/>
  <c r="CD368" i="104"/>
  <c r="AL352" i="104"/>
  <c r="AL463" i="104"/>
  <c r="AR463" i="104" s="1"/>
  <c r="BN463" i="104" s="1"/>
  <c r="BM530" i="104"/>
  <c r="BG530" i="104" s="1"/>
  <c r="AL454" i="104"/>
  <c r="BM375" i="104"/>
  <c r="BG375" i="104" s="1"/>
  <c r="BH375" i="104" s="1"/>
  <c r="BM529" i="104"/>
  <c r="BG529" i="104" s="1"/>
  <c r="BJ529" i="104" s="1"/>
  <c r="AL329" i="104"/>
  <c r="CD329" i="104" s="1"/>
  <c r="BM218" i="104"/>
  <c r="BG218" i="104" s="1"/>
  <c r="BH218" i="104" s="1"/>
  <c r="AL83" i="104"/>
  <c r="BM47" i="104"/>
  <c r="BG47" i="104" s="1"/>
  <c r="BJ47" i="104" s="1"/>
  <c r="BM352" i="104"/>
  <c r="BG352" i="104" s="1"/>
  <c r="BH352" i="104" s="1"/>
  <c r="AL155" i="104"/>
  <c r="CD155" i="104" s="1"/>
  <c r="AL538" i="104"/>
  <c r="AR538" i="104" s="1"/>
  <c r="BN538" i="104" s="1"/>
  <c r="AL200" i="104"/>
  <c r="BJ540" i="104"/>
  <c r="BM305" i="104"/>
  <c r="BG305" i="104" s="1"/>
  <c r="BH305" i="104" s="1"/>
  <c r="BM277" i="104"/>
  <c r="BG277" i="104" s="1"/>
  <c r="BH277" i="104" s="1"/>
  <c r="BM513" i="104"/>
  <c r="BG513" i="104" s="1"/>
  <c r="BH513" i="104" s="1"/>
  <c r="BM372" i="104"/>
  <c r="BG372" i="104" s="1"/>
  <c r="AL345" i="104"/>
  <c r="AL151" i="104"/>
  <c r="BM292" i="104"/>
  <c r="BG292" i="104" s="1"/>
  <c r="BH292" i="104" s="1"/>
  <c r="BM538" i="104"/>
  <c r="BG538" i="104" s="1"/>
  <c r="BH538" i="104" s="1"/>
  <c r="BM83" i="104"/>
  <c r="BG83" i="104" s="1"/>
  <c r="AL520" i="104"/>
  <c r="AL254" i="104"/>
  <c r="CD254" i="104" s="1"/>
  <c r="BM418" i="104"/>
  <c r="BG418" i="104" s="1"/>
  <c r="BH418" i="104" s="1"/>
  <c r="AL58" i="104"/>
  <c r="AR58" i="104" s="1"/>
  <c r="BN58" i="104" s="1"/>
  <c r="AL69" i="104"/>
  <c r="CD69" i="104" s="1"/>
  <c r="AL218" i="104"/>
  <c r="BM426" i="104"/>
  <c r="BG426" i="104" s="1"/>
  <c r="BH426" i="104" s="1"/>
  <c r="AL423" i="104"/>
  <c r="AR143" i="104"/>
  <c r="BN143" i="104" s="1"/>
  <c r="AL134" i="104"/>
  <c r="CD134" i="104" s="1"/>
  <c r="AL251" i="104"/>
  <c r="AR251" i="104" s="1"/>
  <c r="BN251" i="104" s="1"/>
  <c r="BM207" i="104"/>
  <c r="BG207" i="104" s="1"/>
  <c r="BH207" i="104" s="1"/>
  <c r="BM396" i="104"/>
  <c r="BG396" i="104" s="1"/>
  <c r="BH396" i="104" s="1"/>
  <c r="AL462" i="104"/>
  <c r="AL290" i="104"/>
  <c r="AR290" i="104" s="1"/>
  <c r="BN290" i="104" s="1"/>
  <c r="BM463" i="104"/>
  <c r="BG463" i="104" s="1"/>
  <c r="BM55" i="104"/>
  <c r="BG55" i="104" s="1"/>
  <c r="BH55" i="104" s="1"/>
  <c r="AL133" i="104"/>
  <c r="AR133" i="104" s="1"/>
  <c r="BN133" i="104" s="1"/>
  <c r="BM155" i="104"/>
  <c r="BG155" i="104" s="1"/>
  <c r="BH155" i="104" s="1"/>
  <c r="AL146" i="104"/>
  <c r="AL430" i="104"/>
  <c r="AR430" i="104" s="1"/>
  <c r="BN430" i="104" s="1"/>
  <c r="BM386" i="104"/>
  <c r="BG386" i="104" s="1"/>
  <c r="BH386" i="104" s="1"/>
  <c r="BM134" i="104"/>
  <c r="BG134" i="104" s="1"/>
  <c r="BM388" i="104"/>
  <c r="BG388" i="104" s="1"/>
  <c r="BH388" i="104" s="1"/>
  <c r="BM520" i="104"/>
  <c r="BG520" i="104" s="1"/>
  <c r="BM522" i="104"/>
  <c r="BG522" i="104" s="1"/>
  <c r="BH522" i="104" s="1"/>
  <c r="AL205" i="104"/>
  <c r="CD205" i="104" s="1"/>
  <c r="AL428" i="104"/>
  <c r="CD428" i="104" s="1"/>
  <c r="BJ419" i="104"/>
  <c r="AL157" i="104"/>
  <c r="BJ472" i="104"/>
  <c r="AL142" i="104"/>
  <c r="AR142" i="104" s="1"/>
  <c r="BN142" i="104" s="1"/>
  <c r="BJ284" i="104"/>
  <c r="AL47" i="104"/>
  <c r="AR47" i="104" s="1"/>
  <c r="BN47" i="104" s="1"/>
  <c r="AL484" i="104"/>
  <c r="CD484" i="104" s="1"/>
  <c r="BM271" i="104"/>
  <c r="BG271" i="104" s="1"/>
  <c r="BH271" i="104" s="1"/>
  <c r="AL544" i="104"/>
  <c r="AR544" i="104" s="1"/>
  <c r="BN544" i="104" s="1"/>
  <c r="AL375" i="104"/>
  <c r="BJ544" i="104"/>
  <c r="BJ537" i="104"/>
  <c r="BJ207" i="104"/>
  <c r="AL160" i="104"/>
  <c r="CD160" i="104" s="1"/>
  <c r="BM121" i="104"/>
  <c r="BG121" i="104" s="1"/>
  <c r="BH121" i="104" s="1"/>
  <c r="BJ321" i="104"/>
  <c r="BM488" i="104"/>
  <c r="BG488" i="104" s="1"/>
  <c r="BH488" i="104" s="1"/>
  <c r="AL209" i="104"/>
  <c r="BM153" i="104"/>
  <c r="BG153" i="104" s="1"/>
  <c r="BH153" i="104" s="1"/>
  <c r="AL461" i="104"/>
  <c r="CD461" i="104" s="1"/>
  <c r="BJ83" i="104"/>
  <c r="BH83" i="104"/>
  <c r="BH273" i="104"/>
  <c r="BJ273" i="104"/>
  <c r="BH272" i="104"/>
  <c r="BJ272" i="104"/>
  <c r="BH168" i="104"/>
  <c r="BJ168" i="104"/>
  <c r="AR472" i="104"/>
  <c r="BN472" i="104" s="1"/>
  <c r="CD472" i="104"/>
  <c r="BH483" i="104"/>
  <c r="BJ483" i="104"/>
  <c r="AL527" i="104"/>
  <c r="AR527" i="104" s="1"/>
  <c r="BN527" i="104" s="1"/>
  <c r="BM518" i="104"/>
  <c r="BG518" i="104" s="1"/>
  <c r="BH518" i="104" s="1"/>
  <c r="BJ198" i="104"/>
  <c r="BJ378" i="104"/>
  <c r="BJ155" i="104"/>
  <c r="BH276" i="104"/>
  <c r="BM356" i="104"/>
  <c r="BG356" i="104" s="1"/>
  <c r="BH356" i="104" s="1"/>
  <c r="AL348" i="104"/>
  <c r="AL383" i="104"/>
  <c r="BM287" i="104"/>
  <c r="BG287" i="104" s="1"/>
  <c r="BJ287" i="104" s="1"/>
  <c r="AL442" i="104"/>
  <c r="CD442" i="104" s="1"/>
  <c r="AR455" i="104"/>
  <c r="BN455" i="104" s="1"/>
  <c r="AL516" i="104"/>
  <c r="CD516" i="104" s="1"/>
  <c r="BM100" i="104"/>
  <c r="BG100" i="104" s="1"/>
  <c r="BH100" i="104" s="1"/>
  <c r="BM157" i="104"/>
  <c r="BG157" i="104" s="1"/>
  <c r="BH157" i="104" s="1"/>
  <c r="AL367" i="104"/>
  <c r="CD367" i="104" s="1"/>
  <c r="AL381" i="104"/>
  <c r="AR381" i="104" s="1"/>
  <c r="BN381" i="104" s="1"/>
  <c r="BJ455" i="104"/>
  <c r="BJ412" i="104"/>
  <c r="AL549" i="104"/>
  <c r="AR549" i="104" s="1"/>
  <c r="BN549" i="104" s="1"/>
  <c r="BM190" i="104"/>
  <c r="BG190" i="104" s="1"/>
  <c r="BH190" i="104" s="1"/>
  <c r="BJ93" i="104"/>
  <c r="AL207" i="104"/>
  <c r="CD207" i="104" s="1"/>
  <c r="BM252" i="104"/>
  <c r="BG252" i="104" s="1"/>
  <c r="BH252" i="104" s="1"/>
  <c r="BM423" i="104"/>
  <c r="BG423" i="104" s="1"/>
  <c r="BH423" i="104" s="1"/>
  <c r="BJ396" i="104"/>
  <c r="BM478" i="104"/>
  <c r="BG478" i="104" s="1"/>
  <c r="BH478" i="104" s="1"/>
  <c r="AL522" i="104"/>
  <c r="BM161" i="104"/>
  <c r="BG161" i="104" s="1"/>
  <c r="AL388" i="104"/>
  <c r="CD388" i="104" s="1"/>
  <c r="AL333" i="104"/>
  <c r="AR333" i="104" s="1"/>
  <c r="BN333" i="104" s="1"/>
  <c r="BJ277" i="104"/>
  <c r="BM319" i="104"/>
  <c r="BG319" i="104" s="1"/>
  <c r="BH319" i="104" s="1"/>
  <c r="BM200" i="104"/>
  <c r="BG200" i="104" s="1"/>
  <c r="BH200" i="104" s="1"/>
  <c r="BM442" i="104"/>
  <c r="BG442" i="104" s="1"/>
  <c r="BH442" i="104" s="1"/>
  <c r="BJ399" i="104"/>
  <c r="AL274" i="104"/>
  <c r="CD274" i="104" s="1"/>
  <c r="BM341" i="104"/>
  <c r="BG341" i="104" s="1"/>
  <c r="BH341" i="104" s="1"/>
  <c r="AL376" i="104"/>
  <c r="BM430" i="104"/>
  <c r="BG430" i="104" s="1"/>
  <c r="BM63" i="104"/>
  <c r="BG63" i="104" s="1"/>
  <c r="AL295" i="104"/>
  <c r="AR295" i="104" s="1"/>
  <c r="BN295" i="104" s="1"/>
  <c r="BJ206" i="104"/>
  <c r="BJ171" i="104"/>
  <c r="AL79" i="104"/>
  <c r="AR79" i="104" s="1"/>
  <c r="BN79" i="104" s="1"/>
  <c r="AL324" i="104"/>
  <c r="AR324" i="104" s="1"/>
  <c r="BN324" i="104" s="1"/>
  <c r="AL161" i="104"/>
  <c r="CD161" i="104" s="1"/>
  <c r="AL412" i="104"/>
  <c r="AR412" i="104" s="1"/>
  <c r="BN412" i="104" s="1"/>
  <c r="BM91" i="104"/>
  <c r="BG91" i="104" s="1"/>
  <c r="BH91" i="104" s="1"/>
  <c r="BJ461" i="104"/>
  <c r="AL426" i="104"/>
  <c r="CD426" i="104" s="1"/>
  <c r="BM383" i="104"/>
  <c r="BG383" i="104" s="1"/>
  <c r="BH126" i="104"/>
  <c r="BM429" i="104"/>
  <c r="BG429" i="104" s="1"/>
  <c r="AL261" i="104"/>
  <c r="AR261" i="104" s="1"/>
  <c r="BN261" i="104" s="1"/>
  <c r="BM67" i="104"/>
  <c r="BG67" i="104" s="1"/>
  <c r="BJ67" i="104" s="1"/>
  <c r="BJ266" i="104"/>
  <c r="AL206" i="104"/>
  <c r="AR206" i="104" s="1"/>
  <c r="BN206" i="104" s="1"/>
  <c r="BM364" i="104"/>
  <c r="BG364" i="104" s="1"/>
  <c r="BH364" i="104" s="1"/>
  <c r="BM204" i="104"/>
  <c r="BG204" i="104" s="1"/>
  <c r="BH204" i="104" s="1"/>
  <c r="AL433" i="104"/>
  <c r="CD433" i="104" s="1"/>
  <c r="AL189" i="104"/>
  <c r="CD189" i="104" s="1"/>
  <c r="BM461" i="104"/>
  <c r="BG461" i="104" s="1"/>
  <c r="BH461" i="104" s="1"/>
  <c r="AL441" i="104"/>
  <c r="AL338" i="104"/>
  <c r="BJ261" i="104"/>
  <c r="AL176" i="104"/>
  <c r="CD176" i="104" s="1"/>
  <c r="AL356" i="104"/>
  <c r="BM347" i="104"/>
  <c r="BG347" i="104" s="1"/>
  <c r="AL485" i="104"/>
  <c r="AR485" i="104" s="1"/>
  <c r="BN485" i="104" s="1"/>
  <c r="AL505" i="104"/>
  <c r="AL525" i="104"/>
  <c r="CD525" i="104" s="1"/>
  <c r="BM428" i="104"/>
  <c r="BG428" i="104" s="1"/>
  <c r="BH428" i="104" s="1"/>
  <c r="AL286" i="104"/>
  <c r="CD286" i="104" s="1"/>
  <c r="AL518" i="104"/>
  <c r="AL188" i="104"/>
  <c r="CD188" i="104" s="1"/>
  <c r="BH143" i="104"/>
  <c r="BJ51" i="104"/>
  <c r="AL396" i="104"/>
  <c r="CD396" i="104" s="1"/>
  <c r="BM345" i="104"/>
  <c r="BG345" i="104" s="1"/>
  <c r="BH345" i="104" s="1"/>
  <c r="AL282" i="104"/>
  <c r="AR282" i="104" s="1"/>
  <c r="BN282" i="104" s="1"/>
  <c r="AL136" i="104"/>
  <c r="AR136" i="104" s="1"/>
  <c r="BN136" i="104" s="1"/>
  <c r="AL82" i="104"/>
  <c r="BM394" i="104"/>
  <c r="BG394" i="104" s="1"/>
  <c r="BH394" i="104" s="1"/>
  <c r="BM199" i="104"/>
  <c r="BG199" i="104" s="1"/>
  <c r="BH199" i="104" s="1"/>
  <c r="BM440" i="104"/>
  <c r="BG440" i="104" s="1"/>
  <c r="BH440" i="104" s="1"/>
  <c r="BC33" i="104" a="1"/>
  <c r="BC33" i="104" s="1"/>
  <c r="BB24" i="104"/>
  <c r="BF24" i="104" s="1"/>
  <c r="AO38" i="104"/>
  <c r="BF32" i="104"/>
  <c r="BC32" i="104" a="1"/>
  <c r="BC32" i="104" s="1"/>
  <c r="BB25" i="104"/>
  <c r="BH185" i="104"/>
  <c r="BJ185" i="104"/>
  <c r="BH99" i="104"/>
  <c r="BJ99" i="104"/>
  <c r="BH463" i="104"/>
  <c r="BJ463" i="104"/>
  <c r="CD146" i="104"/>
  <c r="AR146" i="104"/>
  <c r="BN146" i="104" s="1"/>
  <c r="AR263" i="104"/>
  <c r="BN263" i="104" s="1"/>
  <c r="CD263" i="104"/>
  <c r="BH76" i="104"/>
  <c r="BJ76" i="104"/>
  <c r="BH494" i="104"/>
  <c r="BJ494" i="104"/>
  <c r="BH59" i="104"/>
  <c r="BJ59" i="104"/>
  <c r="CD103" i="104"/>
  <c r="AR103" i="104"/>
  <c r="BN103" i="104" s="1"/>
  <c r="BJ332" i="104"/>
  <c r="BH332" i="104"/>
  <c r="BH134" i="104"/>
  <c r="BJ134" i="104"/>
  <c r="BH344" i="104"/>
  <c r="BJ344" i="104"/>
  <c r="BM543" i="104"/>
  <c r="BG543" i="104" s="1"/>
  <c r="BH543" i="104" s="1"/>
  <c r="BJ388" i="104"/>
  <c r="BJ366" i="104"/>
  <c r="BJ474" i="104"/>
  <c r="BJ106" i="104"/>
  <c r="BJ210" i="104"/>
  <c r="BM401" i="104"/>
  <c r="BG401" i="104" s="1"/>
  <c r="AL401" i="104"/>
  <c r="BJ208" i="104"/>
  <c r="AR343" i="104"/>
  <c r="BN343" i="104" s="1"/>
  <c r="CD343" i="104"/>
  <c r="AL530" i="104"/>
  <c r="AR530" i="104" s="1"/>
  <c r="BN530" i="104" s="1"/>
  <c r="AL303" i="104"/>
  <c r="CD303" i="104" s="1"/>
  <c r="BJ308" i="104"/>
  <c r="AR450" i="104"/>
  <c r="BN450" i="104" s="1"/>
  <c r="CD450" i="104"/>
  <c r="BM316" i="104"/>
  <c r="BG316" i="104" s="1"/>
  <c r="AL316" i="104"/>
  <c r="BJ320" i="104"/>
  <c r="BM82" i="104"/>
  <c r="BG82" i="104" s="1"/>
  <c r="AR126" i="104"/>
  <c r="BN126" i="104" s="1"/>
  <c r="CD126" i="104"/>
  <c r="BM337" i="104"/>
  <c r="BG337" i="104" s="1"/>
  <c r="BH337" i="104" s="1"/>
  <c r="BM159" i="104"/>
  <c r="BG159" i="104" s="1"/>
  <c r="BH159" i="104" s="1"/>
  <c r="AL159" i="104"/>
  <c r="BM521" i="104"/>
  <c r="BG521" i="104" s="1"/>
  <c r="BH521" i="104" s="1"/>
  <c r="BJ521" i="104"/>
  <c r="AL521" i="104"/>
  <c r="BJ259" i="104"/>
  <c r="AL507" i="104"/>
  <c r="CD507" i="104" s="1"/>
  <c r="AL337" i="104"/>
  <c r="CD337" i="104" s="1"/>
  <c r="AL354" i="104"/>
  <c r="AR354" i="104" s="1"/>
  <c r="BN354" i="104" s="1"/>
  <c r="BJ434" i="104"/>
  <c r="BM464" i="104"/>
  <c r="BG464" i="104" s="1"/>
  <c r="BH464" i="104" s="1"/>
  <c r="AL259" i="104"/>
  <c r="AR259" i="104" s="1"/>
  <c r="BN259" i="104" s="1"/>
  <c r="AL394" i="104"/>
  <c r="CD394" i="104" s="1"/>
  <c r="BM255" i="104"/>
  <c r="BG255" i="104" s="1"/>
  <c r="BH255" i="104" s="1"/>
  <c r="BJ500" i="104"/>
  <c r="BJ164" i="104"/>
  <c r="CD332" i="104"/>
  <c r="AR332" i="104"/>
  <c r="BN332" i="104" s="1"/>
  <c r="BM151" i="104"/>
  <c r="BG151" i="104" s="1"/>
  <c r="BM136" i="104"/>
  <c r="BG136" i="104" s="1"/>
  <c r="BM354" i="104"/>
  <c r="BG354" i="104" s="1"/>
  <c r="BH354" i="104" s="1"/>
  <c r="BM133" i="104"/>
  <c r="BG133" i="104" s="1"/>
  <c r="BH133" i="104" s="1"/>
  <c r="AR476" i="104"/>
  <c r="BN476" i="104" s="1"/>
  <c r="BJ302" i="104"/>
  <c r="BJ176" i="104"/>
  <c r="AL490" i="104"/>
  <c r="AR490" i="104" s="1"/>
  <c r="BN490" i="104" s="1"/>
  <c r="BM286" i="104"/>
  <c r="BG286" i="104" s="1"/>
  <c r="BH286" i="104" s="1"/>
  <c r="AR297" i="104"/>
  <c r="BN297" i="104" s="1"/>
  <c r="BM189" i="104"/>
  <c r="BG189" i="104" s="1"/>
  <c r="BH189" i="104" s="1"/>
  <c r="BM445" i="104"/>
  <c r="BG445" i="104" s="1"/>
  <c r="BH445" i="104" s="1"/>
  <c r="BJ348" i="104"/>
  <c r="BH348" i="104"/>
  <c r="AL513" i="104"/>
  <c r="CD513" i="104" s="1"/>
  <c r="BM251" i="104"/>
  <c r="BG251" i="104" s="1"/>
  <c r="BH251" i="104" s="1"/>
  <c r="AL393" i="104"/>
  <c r="CD393" i="104" s="1"/>
  <c r="AL504" i="104"/>
  <c r="CD504" i="104" s="1"/>
  <c r="AL372" i="104"/>
  <c r="CD372" i="104" s="1"/>
  <c r="BJ513" i="104"/>
  <c r="BM367" i="104"/>
  <c r="BG367" i="104" s="1"/>
  <c r="BH367" i="104" s="1"/>
  <c r="AL341" i="104"/>
  <c r="BJ270" i="104"/>
  <c r="CD478" i="104"/>
  <c r="BJ295" i="104"/>
  <c r="AR428" i="104"/>
  <c r="BN428" i="104" s="1"/>
  <c r="BM274" i="104"/>
  <c r="BG274" i="104" s="1"/>
  <c r="BH274" i="104" s="1"/>
  <c r="BJ148" i="104"/>
  <c r="BM381" i="104"/>
  <c r="BG381" i="104" s="1"/>
  <c r="AL445" i="104"/>
  <c r="AL380" i="104"/>
  <c r="BM380" i="104"/>
  <c r="BG380" i="104" s="1"/>
  <c r="BM410" i="104"/>
  <c r="BG410" i="104" s="1"/>
  <c r="AL410" i="104"/>
  <c r="BM498" i="104"/>
  <c r="BG498" i="104" s="1"/>
  <c r="AL498" i="104"/>
  <c r="BJ453" i="104"/>
  <c r="BM324" i="104"/>
  <c r="BG324" i="104" s="1"/>
  <c r="BH324" i="104" s="1"/>
  <c r="AL55" i="104"/>
  <c r="AR55" i="104" s="1"/>
  <c r="BN55" i="104" s="1"/>
  <c r="AL199" i="104"/>
  <c r="AR199" i="104" s="1"/>
  <c r="BN199" i="104" s="1"/>
  <c r="BJ450" i="104"/>
  <c r="BM476" i="104"/>
  <c r="BG476" i="104" s="1"/>
  <c r="BH476" i="104" s="1"/>
  <c r="BH103" i="104"/>
  <c r="AL425" i="104"/>
  <c r="BM425" i="104"/>
  <c r="BG425" i="104" s="1"/>
  <c r="BH425" i="104" s="1"/>
  <c r="BM527" i="104"/>
  <c r="BG527" i="104" s="1"/>
  <c r="BH527" i="104" s="1"/>
  <c r="BM549" i="104"/>
  <c r="BG549" i="104" s="1"/>
  <c r="BH549" i="104" s="1"/>
  <c r="BJ504" i="104"/>
  <c r="AL415" i="104"/>
  <c r="AR415" i="104" s="1"/>
  <c r="BN415" i="104" s="1"/>
  <c r="BJ263" i="104"/>
  <c r="BJ48" i="104"/>
  <c r="BM123" i="104"/>
  <c r="BG123" i="104" s="1"/>
  <c r="BH123" i="104" s="1"/>
  <c r="AR458" i="104"/>
  <c r="BN458" i="104" s="1"/>
  <c r="AL482" i="104"/>
  <c r="BM482" i="104"/>
  <c r="BG482" i="104" s="1"/>
  <c r="BM395" i="104"/>
  <c r="BG395" i="104" s="1"/>
  <c r="AL308" i="104"/>
  <c r="AL543" i="104"/>
  <c r="BM433" i="104"/>
  <c r="BG433" i="104" s="1"/>
  <c r="BH433" i="104" s="1"/>
  <c r="BJ258" i="104"/>
  <c r="BJ314" i="104"/>
  <c r="BM203" i="104"/>
  <c r="BG203" i="104" s="1"/>
  <c r="BM297" i="104"/>
  <c r="BG297" i="104" s="1"/>
  <c r="BM525" i="104"/>
  <c r="BG525" i="104" s="1"/>
  <c r="BH525" i="104" s="1"/>
  <c r="AQ205" i="104"/>
  <c r="BH205" i="104" s="1"/>
  <c r="BF141" i="104"/>
  <c r="BC141" i="104" a="1"/>
  <c r="BC141" i="104" s="1"/>
  <c r="AR92" i="104"/>
  <c r="BN92" i="104" s="1"/>
  <c r="CD92" i="104"/>
  <c r="BM89" i="104"/>
  <c r="BG89" i="104" s="1"/>
  <c r="BH89" i="104" s="1"/>
  <c r="BJ296" i="104"/>
  <c r="BH296" i="104"/>
  <c r="BM87" i="104"/>
  <c r="BG87" i="104" s="1"/>
  <c r="BH87" i="104" s="1"/>
  <c r="AR442" i="104"/>
  <c r="BN442" i="104" s="1"/>
  <c r="AR509" i="104"/>
  <c r="BN509" i="104" s="1"/>
  <c r="CD509" i="104"/>
  <c r="CD375" i="104"/>
  <c r="AR375" i="104"/>
  <c r="BN375" i="104" s="1"/>
  <c r="BH222" i="104"/>
  <c r="BJ222" i="104"/>
  <c r="AR222" i="104"/>
  <c r="CD222" i="104"/>
  <c r="BH454" i="104"/>
  <c r="BJ454" i="104"/>
  <c r="AR540" i="104"/>
  <c r="BN540" i="104" s="1"/>
  <c r="CD540" i="104"/>
  <c r="CD325" i="104"/>
  <c r="AR325" i="104"/>
  <c r="BN325" i="104" s="1"/>
  <c r="BH131" i="104"/>
  <c r="BJ131" i="104"/>
  <c r="CD408" i="104"/>
  <c r="AR408" i="104"/>
  <c r="BN408" i="104" s="1"/>
  <c r="CD198" i="104"/>
  <c r="AR198" i="104"/>
  <c r="BN198" i="104" s="1"/>
  <c r="BH260" i="104"/>
  <c r="BJ260" i="104"/>
  <c r="BJ423" i="104"/>
  <c r="BM26" i="104"/>
  <c r="BG26" i="104" s="1"/>
  <c r="BH26" i="104" s="1"/>
  <c r="AL26" i="104"/>
  <c r="BM130" i="104"/>
  <c r="BG130" i="104" s="1"/>
  <c r="BH130" i="104" s="1"/>
  <c r="BH325" i="104"/>
  <c r="BJ325" i="104"/>
  <c r="AR48" i="104"/>
  <c r="BN48" i="104" s="1"/>
  <c r="CD48" i="104"/>
  <c r="CD352" i="104"/>
  <c r="AR352" i="104"/>
  <c r="BN352" i="104" s="1"/>
  <c r="BH392" i="104"/>
  <c r="BJ392" i="104"/>
  <c r="BH383" i="104"/>
  <c r="BJ383" i="104"/>
  <c r="CD171" i="104"/>
  <c r="AR171" i="104"/>
  <c r="CD63" i="104"/>
  <c r="AR63" i="104"/>
  <c r="BN63" i="104" s="1"/>
  <c r="AR414" i="104"/>
  <c r="BN414" i="104" s="1"/>
  <c r="CD414" i="104"/>
  <c r="CD386" i="104"/>
  <c r="AR386" i="104"/>
  <c r="BN386" i="104" s="1"/>
  <c r="CD383" i="104"/>
  <c r="AR383" i="104"/>
  <c r="BN383" i="104" s="1"/>
  <c r="BH347" i="104"/>
  <c r="BJ347" i="104"/>
  <c r="AR285" i="104"/>
  <c r="BN285" i="104" s="1"/>
  <c r="CD285" i="104"/>
  <c r="CD93" i="104"/>
  <c r="AR93" i="104"/>
  <c r="BN93" i="104" s="1"/>
  <c r="CD459" i="104"/>
  <c r="AR459" i="104"/>
  <c r="BN459" i="104" s="1"/>
  <c r="CD153" i="104"/>
  <c r="AR153" i="104"/>
  <c r="BN153" i="104" s="1"/>
  <c r="AR76" i="104"/>
  <c r="BN76" i="104" s="1"/>
  <c r="CD76" i="104"/>
  <c r="BH360" i="104"/>
  <c r="BJ360" i="104"/>
  <c r="AL351" i="104"/>
  <c r="BM351" i="104"/>
  <c r="BG351" i="104" s="1"/>
  <c r="BH351" i="104" s="1"/>
  <c r="AL175" i="104"/>
  <c r="BM175" i="104"/>
  <c r="BG175" i="104" s="1"/>
  <c r="BH175" i="104" s="1"/>
  <c r="BH542" i="104"/>
  <c r="BJ542" i="104"/>
  <c r="AV245" i="104"/>
  <c r="AO245" i="104"/>
  <c r="AL138" i="104"/>
  <c r="CD216" i="104"/>
  <c r="AR216" i="104"/>
  <c r="BN216" i="104" s="1"/>
  <c r="AL528" i="104"/>
  <c r="BM528" i="104"/>
  <c r="BG528" i="104" s="1"/>
  <c r="BH528" i="104" s="1"/>
  <c r="BM398" i="104"/>
  <c r="BG398" i="104" s="1"/>
  <c r="BH398" i="104" s="1"/>
  <c r="AL398" i="104"/>
  <c r="BJ417" i="104"/>
  <c r="CD429" i="104"/>
  <c r="AR429" i="104"/>
  <c r="BN429" i="104" s="1"/>
  <c r="CD210" i="104"/>
  <c r="AR210" i="104"/>
  <c r="BN210" i="104" s="1"/>
  <c r="BM420" i="104"/>
  <c r="BG420" i="104" s="1"/>
  <c r="BH420" i="104" s="1"/>
  <c r="AL420" i="104"/>
  <c r="BJ522" i="104"/>
  <c r="BJ329" i="104"/>
  <c r="AL471" i="104"/>
  <c r="BM471" i="104"/>
  <c r="BG471" i="104" s="1"/>
  <c r="BH471" i="104" s="1"/>
  <c r="AV223" i="104"/>
  <c r="AR201" i="104"/>
  <c r="BN201" i="104" s="1"/>
  <c r="CD201" i="104"/>
  <c r="BM468" i="104"/>
  <c r="BG468" i="104" s="1"/>
  <c r="BH468" i="104" s="1"/>
  <c r="BJ468" i="104"/>
  <c r="AL468" i="104"/>
  <c r="BM25" i="104"/>
  <c r="BG25" i="104" s="1"/>
  <c r="BH25" i="104" s="1"/>
  <c r="AL25" i="104"/>
  <c r="BJ369" i="104"/>
  <c r="CD67" i="104"/>
  <c r="AR67" i="104"/>
  <c r="BN67" i="104" s="1"/>
  <c r="AV236" i="104"/>
  <c r="BM144" i="104"/>
  <c r="BG144" i="104" s="1"/>
  <c r="BH144" i="104" s="1"/>
  <c r="AL144" i="104"/>
  <c r="BJ524" i="104"/>
  <c r="BM246" i="104"/>
  <c r="BG246" i="104" s="1"/>
  <c r="BH246" i="104" s="1"/>
  <c r="AL246" i="104"/>
  <c r="BH201" i="104"/>
  <c r="BJ201" i="104"/>
  <c r="AR107" i="104"/>
  <c r="BN107" i="104" s="1"/>
  <c r="CD107" i="104"/>
  <c r="BM85" i="104"/>
  <c r="BG85" i="104" s="1"/>
  <c r="BH85" i="104" s="1"/>
  <c r="BM247" i="104"/>
  <c r="BG247" i="104" s="1"/>
  <c r="BH247" i="104" s="1"/>
  <c r="AL247" i="104"/>
  <c r="AL219" i="104"/>
  <c r="BM219" i="104"/>
  <c r="BG219" i="104" s="1"/>
  <c r="BH219" i="104" s="1"/>
  <c r="BJ219" i="104"/>
  <c r="BH122" i="104"/>
  <c r="BJ122" i="104"/>
  <c r="CD265" i="104"/>
  <c r="AR265" i="104"/>
  <c r="BN265" i="104" s="1"/>
  <c r="AN27" i="104"/>
  <c r="AU27" i="104"/>
  <c r="BM264" i="104"/>
  <c r="BG264" i="104" s="1"/>
  <c r="BH264" i="104" s="1"/>
  <c r="AL264" i="104"/>
  <c r="AL517" i="104"/>
  <c r="BM517" i="104"/>
  <c r="BG517" i="104" s="1"/>
  <c r="BH517" i="104" s="1"/>
  <c r="AL480" i="104"/>
  <c r="BM480" i="104"/>
  <c r="BG480" i="104" s="1"/>
  <c r="BH480" i="104" s="1"/>
  <c r="AR287" i="104"/>
  <c r="BN287" i="104" s="1"/>
  <c r="CD287" i="104"/>
  <c r="AL118" i="104"/>
  <c r="BM118" i="104"/>
  <c r="BG118" i="104" s="1"/>
  <c r="BH118" i="104" s="1"/>
  <c r="BM253" i="104"/>
  <c r="BG253" i="104" s="1"/>
  <c r="BH253" i="104" s="1"/>
  <c r="AL253" i="104"/>
  <c r="AL217" i="104"/>
  <c r="BM217" i="104"/>
  <c r="BG217" i="104" s="1"/>
  <c r="BH217" i="104" s="1"/>
  <c r="BM36" i="104"/>
  <c r="BG36" i="104" s="1"/>
  <c r="BH36" i="104" s="1"/>
  <c r="BJ36" i="104"/>
  <c r="AL36" i="104"/>
  <c r="AV246" i="104"/>
  <c r="BM234" i="104"/>
  <c r="BG234" i="104" s="1"/>
  <c r="BH234" i="104" s="1"/>
  <c r="AL234" i="104"/>
  <c r="BJ309" i="104"/>
  <c r="CD276" i="104"/>
  <c r="AR276" i="104"/>
  <c r="BN276" i="104" s="1"/>
  <c r="AL548" i="104"/>
  <c r="BM548" i="104"/>
  <c r="BG548" i="104" s="1"/>
  <c r="BH548" i="104" s="1"/>
  <c r="CD151" i="104"/>
  <c r="AR151" i="104"/>
  <c r="BN151" i="104" s="1"/>
  <c r="AR520" i="104"/>
  <c r="BN520" i="104" s="1"/>
  <c r="CD520" i="104"/>
  <c r="AL336" i="104"/>
  <c r="BM336" i="104"/>
  <c r="BG336" i="104" s="1"/>
  <c r="BH336" i="104" s="1"/>
  <c r="BM536" i="104"/>
  <c r="BG536" i="104" s="1"/>
  <c r="BH536" i="104" s="1"/>
  <c r="AL536" i="104"/>
  <c r="CD190" i="104"/>
  <c r="AR190" i="104"/>
  <c r="BN190" i="104" s="1"/>
  <c r="AL335" i="104"/>
  <c r="BM335" i="104"/>
  <c r="BG335" i="104" s="1"/>
  <c r="BH335" i="104" s="1"/>
  <c r="AU231" i="104"/>
  <c r="BC131" i="104" a="1"/>
  <c r="BC131" i="104" s="1"/>
  <c r="BB131" i="104"/>
  <c r="BF131" i="104"/>
  <c r="BM256" i="104"/>
  <c r="BG256" i="104" s="1"/>
  <c r="BH256" i="104" s="1"/>
  <c r="BM75" i="104"/>
  <c r="BG75" i="104" s="1"/>
  <c r="BH75" i="104" s="1"/>
  <c r="AL75" i="104"/>
  <c r="BJ75" i="104"/>
  <c r="BM362" i="104"/>
  <c r="BG362" i="104" s="1"/>
  <c r="BH362" i="104" s="1"/>
  <c r="AL362" i="104"/>
  <c r="BJ405" i="104"/>
  <c r="AL236" i="104"/>
  <c r="BM236" i="104"/>
  <c r="BG236" i="104" s="1"/>
  <c r="BH236" i="104" s="1"/>
  <c r="AL250" i="104"/>
  <c r="BM250" i="104"/>
  <c r="BG250" i="104" s="1"/>
  <c r="BH250" i="104" s="1"/>
  <c r="BC293" i="104" a="1"/>
  <c r="BC293" i="104" s="1"/>
  <c r="BF293" i="104"/>
  <c r="CD321" i="104"/>
  <c r="AR321" i="104"/>
  <c r="BN321" i="104" s="1"/>
  <c r="AL163" i="104"/>
  <c r="BM163" i="104"/>
  <c r="BG163" i="104" s="1"/>
  <c r="BH163" i="104" s="1"/>
  <c r="AR405" i="104"/>
  <c r="BN405" i="104" s="1"/>
  <c r="CD405" i="104"/>
  <c r="AL78" i="104"/>
  <c r="BM78" i="104"/>
  <c r="BG78" i="104" s="1"/>
  <c r="BH78" i="104" s="1"/>
  <c r="AR396" i="104"/>
  <c r="BN396" i="104" s="1"/>
  <c r="AL416" i="104"/>
  <c r="BM416" i="104"/>
  <c r="BG416" i="104" s="1"/>
  <c r="BH416" i="104" s="1"/>
  <c r="AL424" i="104"/>
  <c r="BM424" i="104"/>
  <c r="BG424" i="104" s="1"/>
  <c r="BH424" i="104" s="1"/>
  <c r="CD113" i="104"/>
  <c r="AR113" i="104"/>
  <c r="BN113" i="104" s="1"/>
  <c r="AR309" i="104"/>
  <c r="BN309" i="104" s="1"/>
  <c r="CD309" i="104"/>
  <c r="BJ146" i="104"/>
  <c r="BH146" i="104"/>
  <c r="CD181" i="104"/>
  <c r="AR181" i="104"/>
  <c r="BN181" i="104" s="1"/>
  <c r="BM444" i="104"/>
  <c r="BG444" i="104" s="1"/>
  <c r="BH444" i="104" s="1"/>
  <c r="BJ444" i="104"/>
  <c r="AL444" i="104"/>
  <c r="BM84" i="104"/>
  <c r="BG84" i="104" s="1"/>
  <c r="BH84" i="104" s="1"/>
  <c r="BM73" i="104"/>
  <c r="BG73" i="104" s="1"/>
  <c r="BH73" i="104" s="1"/>
  <c r="AL73" i="104"/>
  <c r="AN26" i="104"/>
  <c r="BM438" i="104"/>
  <c r="BG438" i="104" s="1"/>
  <c r="BH438" i="104" s="1"/>
  <c r="AL438" i="104"/>
  <c r="AL387" i="104"/>
  <c r="BM387" i="104"/>
  <c r="BG387" i="104" s="1"/>
  <c r="BH387" i="104" s="1"/>
  <c r="BM179" i="104"/>
  <c r="BG179" i="104" s="1"/>
  <c r="BH179" i="104" s="1"/>
  <c r="AL179" i="104"/>
  <c r="CD366" i="104"/>
  <c r="AR366" i="104"/>
  <c r="BN366" i="104" s="1"/>
  <c r="CD215" i="104"/>
  <c r="AR215" i="104"/>
  <c r="BN215" i="104" s="1"/>
  <c r="BJ276" i="104"/>
  <c r="BM184" i="104"/>
  <c r="BG184" i="104" s="1"/>
  <c r="BH184" i="104" s="1"/>
  <c r="AL184" i="104"/>
  <c r="AR418" i="104"/>
  <c r="BN418" i="104" s="1"/>
  <c r="CD418" i="104"/>
  <c r="BJ520" i="104"/>
  <c r="BH520" i="104"/>
  <c r="BM359" i="104"/>
  <c r="BG359" i="104" s="1"/>
  <c r="BH359" i="104" s="1"/>
  <c r="AL359" i="104"/>
  <c r="CD543" i="104"/>
  <c r="AR543" i="104"/>
  <c r="BN543" i="104" s="1"/>
  <c r="BH54" i="104"/>
  <c r="BJ54" i="104"/>
  <c r="BM71" i="104"/>
  <c r="BG71" i="104" s="1"/>
  <c r="BH71" i="104" s="1"/>
  <c r="AL71" i="104"/>
  <c r="BJ215" i="104"/>
  <c r="BM460" i="104"/>
  <c r="BG460" i="104" s="1"/>
  <c r="BH460" i="104" s="1"/>
  <c r="BJ460" i="104"/>
  <c r="AL460" i="104"/>
  <c r="CD266" i="104"/>
  <c r="AR266" i="104"/>
  <c r="BN266" i="104" s="1"/>
  <c r="AU243" i="104"/>
  <c r="CD187" i="104"/>
  <c r="AR187" i="104"/>
  <c r="BN187" i="104" s="1"/>
  <c r="BM502" i="104"/>
  <c r="BG502" i="104" s="1"/>
  <c r="BH502" i="104" s="1"/>
  <c r="AL502" i="104"/>
  <c r="AL370" i="104"/>
  <c r="BM370" i="104"/>
  <c r="BG370" i="104" s="1"/>
  <c r="BH370" i="104" s="1"/>
  <c r="AL365" i="104"/>
  <c r="BM365" i="104"/>
  <c r="BG365" i="104" s="1"/>
  <c r="BH365" i="104" s="1"/>
  <c r="BM170" i="104"/>
  <c r="BG170" i="104" s="1"/>
  <c r="BH170" i="104" s="1"/>
  <c r="AL170" i="104"/>
  <c r="AL310" i="104"/>
  <c r="BM310" i="104"/>
  <c r="BG310" i="104" s="1"/>
  <c r="BH310" i="104" s="1"/>
  <c r="AL77" i="104"/>
  <c r="BM77" i="104"/>
  <c r="BG77" i="104" s="1"/>
  <c r="BH77" i="104" s="1"/>
  <c r="BM503" i="104"/>
  <c r="BG503" i="104" s="1"/>
  <c r="BH503" i="104" s="1"/>
  <c r="AL503" i="104"/>
  <c r="BM174" i="104"/>
  <c r="BG174" i="104" s="1"/>
  <c r="BH174" i="104" s="1"/>
  <c r="AL174" i="104"/>
  <c r="BM23" i="104"/>
  <c r="BG23" i="104" s="1"/>
  <c r="BH23" i="104" s="1"/>
  <c r="AL23" i="104"/>
  <c r="AV24" i="104"/>
  <c r="BM322" i="104"/>
  <c r="BG322" i="104" s="1"/>
  <c r="BH322" i="104" s="1"/>
  <c r="AL322" i="104"/>
  <c r="BH97" i="104"/>
  <c r="BJ97" i="104"/>
  <c r="BM532" i="104"/>
  <c r="BG532" i="104" s="1"/>
  <c r="BH532" i="104" s="1"/>
  <c r="AL532" i="104"/>
  <c r="CD535" i="104"/>
  <c r="AR535" i="104"/>
  <c r="BN535" i="104" s="1"/>
  <c r="AR453" i="104"/>
  <c r="BN453" i="104" s="1"/>
  <c r="CD453" i="104"/>
  <c r="AL327" i="104"/>
  <c r="BM327" i="104"/>
  <c r="BG327" i="104" s="1"/>
  <c r="BH327" i="104" s="1"/>
  <c r="AL470" i="104"/>
  <c r="BM470" i="104"/>
  <c r="BG470" i="104" s="1"/>
  <c r="BH470" i="104" s="1"/>
  <c r="AR376" i="104"/>
  <c r="BN376" i="104" s="1"/>
  <c r="CD376" i="104"/>
  <c r="AL550" i="104"/>
  <c r="BM550" i="104"/>
  <c r="BG550" i="104" s="1"/>
  <c r="BH550" i="104" s="1"/>
  <c r="BJ550" i="104"/>
  <c r="CD440" i="104"/>
  <c r="AR440" i="104"/>
  <c r="BN440" i="104" s="1"/>
  <c r="BJ160" i="104"/>
  <c r="AR91" i="104"/>
  <c r="BN91" i="104" s="1"/>
  <c r="CD91" i="104"/>
  <c r="BJ459" i="104"/>
  <c r="AR99" i="104"/>
  <c r="BN99" i="104" s="1"/>
  <c r="CD99" i="104"/>
  <c r="BM128" i="104"/>
  <c r="BG128" i="104" s="1"/>
  <c r="BH128" i="104" s="1"/>
  <c r="BJ128" i="104"/>
  <c r="BH372" i="104"/>
  <c r="BJ372" i="104"/>
  <c r="AR117" i="104"/>
  <c r="BN117" i="104" s="1"/>
  <c r="CD117" i="104"/>
  <c r="CD347" i="104"/>
  <c r="AR347" i="104"/>
  <c r="BN347" i="104" s="1"/>
  <c r="AL313" i="104"/>
  <c r="BM313" i="104"/>
  <c r="BG313" i="104" s="1"/>
  <c r="BH313" i="104" s="1"/>
  <c r="BJ440" i="104"/>
  <c r="AR434" i="104"/>
  <c r="BN434" i="104" s="1"/>
  <c r="CD434" i="104"/>
  <c r="CD302" i="104"/>
  <c r="AR302" i="104"/>
  <c r="BN302" i="104" s="1"/>
  <c r="CD505" i="104"/>
  <c r="AR505" i="104"/>
  <c r="BN505" i="104" s="1"/>
  <c r="CD296" i="104"/>
  <c r="AR296" i="104"/>
  <c r="BN296" i="104" s="1"/>
  <c r="BM116" i="104"/>
  <c r="BG116" i="104" s="1"/>
  <c r="BH116" i="104" s="1"/>
  <c r="AL116" i="104"/>
  <c r="AU29" i="104"/>
  <c r="BM177" i="104"/>
  <c r="BG177" i="104" s="1"/>
  <c r="BH177" i="104" s="1"/>
  <c r="AL177" i="104"/>
  <c r="AO240" i="104"/>
  <c r="AV240" i="104"/>
  <c r="CD378" i="104"/>
  <c r="AR378" i="104"/>
  <c r="BN378" i="104" s="1"/>
  <c r="AV35" i="104"/>
  <c r="BH303" i="104"/>
  <c r="BJ303" i="104"/>
  <c r="CD200" i="104"/>
  <c r="AR200" i="104"/>
  <c r="BN200" i="104" s="1"/>
  <c r="O16" i="104"/>
  <c r="O19" i="104" s="1"/>
  <c r="AU221" i="104"/>
  <c r="BM43" i="104"/>
  <c r="BG43" i="104" s="1"/>
  <c r="BH43" i="104" s="1"/>
  <c r="AL43" i="104"/>
  <c r="AO247" i="104"/>
  <c r="BM237" i="104"/>
  <c r="BG237" i="104" s="1"/>
  <c r="BH237" i="104" s="1"/>
  <c r="AL237" i="104"/>
  <c r="BJ255" i="104"/>
  <c r="AL255" i="104"/>
  <c r="AR59" i="104"/>
  <c r="BN59" i="104" s="1"/>
  <c r="CD59" i="104"/>
  <c r="AV229" i="104"/>
  <c r="AL94" i="104"/>
  <c r="BM94" i="104"/>
  <c r="BG94" i="104" s="1"/>
  <c r="BH94" i="104" s="1"/>
  <c r="BM350" i="104"/>
  <c r="BG350" i="104" s="1"/>
  <c r="BH350" i="104" s="1"/>
  <c r="BJ350" i="104"/>
  <c r="AL350" i="104"/>
  <c r="BM186" i="104"/>
  <c r="BG186" i="104" s="1"/>
  <c r="BH186" i="104" s="1"/>
  <c r="AL186" i="104"/>
  <c r="BC205" i="104" a="1"/>
  <c r="BC205" i="104" s="1"/>
  <c r="AR529" i="104"/>
  <c r="BN529" i="104" s="1"/>
  <c r="CD529" i="104"/>
  <c r="AR494" i="104"/>
  <c r="BN494" i="104" s="1"/>
  <c r="CD494" i="104"/>
  <c r="BH63" i="104"/>
  <c r="BJ63" i="104"/>
  <c r="BH117" i="104"/>
  <c r="BJ117" i="104"/>
  <c r="BM275" i="104"/>
  <c r="BG275" i="104" s="1"/>
  <c r="BH275" i="104" s="1"/>
  <c r="AL275" i="104"/>
  <c r="BM452" i="104"/>
  <c r="BG452" i="104" s="1"/>
  <c r="BH452" i="104" s="1"/>
  <c r="AL452" i="104"/>
  <c r="CD437" i="104"/>
  <c r="AR437" i="104"/>
  <c r="BN437" i="104" s="1"/>
  <c r="BJ505" i="104"/>
  <c r="BM147" i="104"/>
  <c r="BG147" i="104" s="1"/>
  <c r="BH147" i="104" s="1"/>
  <c r="AL147" i="104"/>
  <c r="AL182" i="104"/>
  <c r="BM182" i="104"/>
  <c r="BG182" i="104" s="1"/>
  <c r="BH182" i="104" s="1"/>
  <c r="BJ182" i="104"/>
  <c r="BB87" i="104"/>
  <c r="BF87" i="104" s="1"/>
  <c r="BH282" i="104"/>
  <c r="BJ282" i="104"/>
  <c r="BM150" i="104"/>
  <c r="BG150" i="104" s="1"/>
  <c r="BH150" i="104" s="1"/>
  <c r="AL150" i="104"/>
  <c r="BM194" i="104"/>
  <c r="BG194" i="104" s="1"/>
  <c r="BH194" i="104" s="1"/>
  <c r="AL194" i="104"/>
  <c r="BH414" i="104"/>
  <c r="BJ414" i="104"/>
  <c r="BM546" i="104"/>
  <c r="BG546" i="104" s="1"/>
  <c r="BH546" i="104" s="1"/>
  <c r="AL546" i="104"/>
  <c r="BM111" i="104"/>
  <c r="BG111" i="104" s="1"/>
  <c r="BH111" i="104" s="1"/>
  <c r="AL111" i="104"/>
  <c r="BM88" i="104"/>
  <c r="BG88" i="104" s="1"/>
  <c r="BH88" i="104" s="1"/>
  <c r="AU172" i="104"/>
  <c r="AL110" i="104"/>
  <c r="BM110" i="104"/>
  <c r="BG110" i="104" s="1"/>
  <c r="BH110" i="104" s="1"/>
  <c r="AV221" i="104"/>
  <c r="CD51" i="104"/>
  <c r="AR51" i="104"/>
  <c r="BN51" i="104" s="1"/>
  <c r="AN248" i="104"/>
  <c r="AL400" i="104"/>
  <c r="BM400" i="104"/>
  <c r="BG400" i="104" s="1"/>
  <c r="BH400" i="104" s="1"/>
  <c r="BM288" i="104"/>
  <c r="BG288" i="104" s="1"/>
  <c r="BH288" i="104" s="1"/>
  <c r="AL288" i="104"/>
  <c r="BJ153" i="104"/>
  <c r="AO237" i="104"/>
  <c r="AN89" i="104"/>
  <c r="BM382" i="104"/>
  <c r="BG382" i="104" s="1"/>
  <c r="BH382" i="104" s="1"/>
  <c r="AL382" i="104"/>
  <c r="AU228" i="104"/>
  <c r="BJ252" i="104"/>
  <c r="BF184" i="104"/>
  <c r="BC184" i="104" a="1"/>
  <c r="BC184" i="104" s="1"/>
  <c r="BM443" i="104"/>
  <c r="BG443" i="104" s="1"/>
  <c r="BH443" i="104" s="1"/>
  <c r="AL443" i="104"/>
  <c r="AL451" i="104"/>
  <c r="BM451" i="104"/>
  <c r="BG451" i="104" s="1"/>
  <c r="BH451" i="104" s="1"/>
  <c r="AL306" i="104"/>
  <c r="BM306" i="104"/>
  <c r="BG306" i="104" s="1"/>
  <c r="BH306" i="104" s="1"/>
  <c r="AR537" i="104"/>
  <c r="BN537" i="104" s="1"/>
  <c r="CD537" i="104"/>
  <c r="BB27" i="104"/>
  <c r="BF27" i="104" s="1"/>
  <c r="AR305" i="104"/>
  <c r="BN305" i="104" s="1"/>
  <c r="CD305" i="104"/>
  <c r="AL256" i="104"/>
  <c r="AL413" i="104"/>
  <c r="BM413" i="104"/>
  <c r="BG413" i="104" s="1"/>
  <c r="BH413" i="104" s="1"/>
  <c r="BM317" i="104"/>
  <c r="BG317" i="104" s="1"/>
  <c r="BH317" i="104" s="1"/>
  <c r="AL317" i="104"/>
  <c r="BJ485" i="104"/>
  <c r="BH484" i="104"/>
  <c r="BJ484" i="104"/>
  <c r="BH141" i="104"/>
  <c r="BJ141" i="104"/>
  <c r="BH69" i="104"/>
  <c r="BJ69" i="104"/>
  <c r="AU226" i="104"/>
  <c r="AN226" i="104"/>
  <c r="AR207" i="104"/>
  <c r="BN207" i="104" s="1"/>
  <c r="AL145" i="104"/>
  <c r="BM145" i="104"/>
  <c r="BG145" i="104" s="1"/>
  <c r="BH145" i="104" s="1"/>
  <c r="BH429" i="104"/>
  <c r="BJ429" i="104"/>
  <c r="CD55" i="104"/>
  <c r="AU95" i="104"/>
  <c r="AO95" i="104"/>
  <c r="AN95" i="104"/>
  <c r="BA95" i="104"/>
  <c r="BE95" i="104" s="1"/>
  <c r="BB95" i="104"/>
  <c r="AP95" i="104"/>
  <c r="BK95" i="104"/>
  <c r="AW95" i="104"/>
  <c r="AV95" i="104"/>
  <c r="AT95" i="104"/>
  <c r="AS95" i="104"/>
  <c r="AX95" i="104"/>
  <c r="AM95" i="104"/>
  <c r="BM358" i="104"/>
  <c r="BG358" i="104" s="1"/>
  <c r="BH358" i="104" s="1"/>
  <c r="AL358" i="104"/>
  <c r="CD447" i="104"/>
  <c r="AR447" i="104"/>
  <c r="BN447" i="104" s="1"/>
  <c r="BJ437" i="104"/>
  <c r="BH437" i="104"/>
  <c r="BE252" i="104"/>
  <c r="BC252" i="104" a="1"/>
  <c r="BC252" i="104" s="1"/>
  <c r="BM65" i="104"/>
  <c r="BG65" i="104" s="1"/>
  <c r="BH65" i="104" s="1"/>
  <c r="AL65" i="104"/>
  <c r="BM183" i="104"/>
  <c r="BG183" i="104" s="1"/>
  <c r="BH183" i="104" s="1"/>
  <c r="AL139" i="104"/>
  <c r="AL227" i="104"/>
  <c r="BM227" i="104"/>
  <c r="BG227" i="104" s="1"/>
  <c r="BH227" i="104" s="1"/>
  <c r="CD465" i="104"/>
  <c r="AR465" i="104"/>
  <c r="BN465" i="104" s="1"/>
  <c r="BH535" i="104"/>
  <c r="BJ535" i="104"/>
  <c r="BM361" i="104"/>
  <c r="BG361" i="104" s="1"/>
  <c r="BH361" i="104" s="1"/>
  <c r="AL361" i="104"/>
  <c r="AL432" i="104"/>
  <c r="BM432" i="104"/>
  <c r="BG432" i="104" s="1"/>
  <c r="BH432" i="104" s="1"/>
  <c r="AL318" i="104"/>
  <c r="BM318" i="104"/>
  <c r="BG318" i="104" s="1"/>
  <c r="BH318" i="104" s="1"/>
  <c r="BM294" i="104"/>
  <c r="BG294" i="104" s="1"/>
  <c r="BH294" i="104" s="1"/>
  <c r="AL294" i="104"/>
  <c r="BJ294" i="104"/>
  <c r="BM379" i="104"/>
  <c r="BG379" i="104" s="1"/>
  <c r="BH379" i="104" s="1"/>
  <c r="AL379" i="104"/>
  <c r="BJ379" i="104"/>
  <c r="BJ426" i="104"/>
  <c r="CD54" i="104"/>
  <c r="AR54" i="104"/>
  <c r="BN54" i="104" s="1"/>
  <c r="BJ79" i="104"/>
  <c r="CD273" i="104"/>
  <c r="AR273" i="104"/>
  <c r="BN273" i="104" s="1"/>
  <c r="AO243" i="104"/>
  <c r="AV243" i="104"/>
  <c r="AL191" i="104"/>
  <c r="BM191" i="104"/>
  <c r="BG191" i="104" s="1"/>
  <c r="BH191" i="104" s="1"/>
  <c r="BJ285" i="104"/>
  <c r="BJ304" i="104"/>
  <c r="BJ279" i="104"/>
  <c r="BC250" i="104" a="1"/>
  <c r="BC250" i="104" s="1"/>
  <c r="AL202" i="104"/>
  <c r="BM202" i="104"/>
  <c r="BG202" i="104" s="1"/>
  <c r="BH202" i="104" s="1"/>
  <c r="AL119" i="104"/>
  <c r="BM119" i="104"/>
  <c r="BG119" i="104" s="1"/>
  <c r="BH119" i="104" s="1"/>
  <c r="BJ119" i="104"/>
  <c r="BJ479" i="104"/>
  <c r="AO89" i="104"/>
  <c r="BM37" i="104"/>
  <c r="BG37" i="104" s="1"/>
  <c r="BH37" i="104" s="1"/>
  <c r="AL37" i="104"/>
  <c r="BJ254" i="104"/>
  <c r="BM165" i="104"/>
  <c r="BG165" i="104" s="1"/>
  <c r="BH165" i="104" s="1"/>
  <c r="AL165" i="104"/>
  <c r="AL355" i="104"/>
  <c r="BM355" i="104"/>
  <c r="BG355" i="104" s="1"/>
  <c r="BH355" i="104" s="1"/>
  <c r="BJ355" i="104"/>
  <c r="AR500" i="104"/>
  <c r="BN500" i="104" s="1"/>
  <c r="CD500" i="104"/>
  <c r="CD100" i="104"/>
  <c r="AR100" i="104"/>
  <c r="BN100" i="104" s="1"/>
  <c r="BM28" i="104"/>
  <c r="BG28" i="104" s="1"/>
  <c r="BH28" i="104" s="1"/>
  <c r="AL28" i="104"/>
  <c r="CD312" i="104"/>
  <c r="AR312" i="104"/>
  <c r="BN312" i="104" s="1"/>
  <c r="AL109" i="104"/>
  <c r="BM109" i="104"/>
  <c r="BG109" i="104" s="1"/>
  <c r="BH109" i="104" s="1"/>
  <c r="BM281" i="104"/>
  <c r="BG281" i="104" s="1"/>
  <c r="BH281" i="104" s="1"/>
  <c r="AL281" i="104"/>
  <c r="AR329" i="104"/>
  <c r="BN329" i="104" s="1"/>
  <c r="AL33" i="104"/>
  <c r="BM33" i="104"/>
  <c r="BG33" i="104" s="1"/>
  <c r="BH33" i="104" s="1"/>
  <c r="BH142" i="104"/>
  <c r="BJ142" i="104"/>
  <c r="CD369" i="104"/>
  <c r="AR369" i="104"/>
  <c r="BN369" i="104" s="1"/>
  <c r="BJ368" i="104"/>
  <c r="BH368" i="104"/>
  <c r="AL534" i="104"/>
  <c r="BM534" i="104"/>
  <c r="BG534" i="104" s="1"/>
  <c r="BH534" i="104" s="1"/>
  <c r="AR399" i="104"/>
  <c r="BN399" i="104" s="1"/>
  <c r="CD399" i="104"/>
  <c r="AM127" i="104"/>
  <c r="AL127" i="104" s="1"/>
  <c r="AM130" i="104"/>
  <c r="AL130" i="104" s="1"/>
  <c r="AM129" i="104"/>
  <c r="AM131" i="104"/>
  <c r="AL131" i="104" s="1"/>
  <c r="AM128" i="104"/>
  <c r="AL128" i="104" s="1"/>
  <c r="AM132" i="104"/>
  <c r="AL132" i="104" s="1"/>
  <c r="BJ121" i="104"/>
  <c r="BM431" i="104"/>
  <c r="BG431" i="104" s="1"/>
  <c r="BH431" i="104" s="1"/>
  <c r="AL431" i="104"/>
  <c r="AL289" i="104"/>
  <c r="BM289" i="104"/>
  <c r="BG289" i="104" s="1"/>
  <c r="BH289" i="104" s="1"/>
  <c r="BM496" i="104"/>
  <c r="BG496" i="104" s="1"/>
  <c r="BH496" i="104" s="1"/>
  <c r="BJ496" i="104"/>
  <c r="AL496" i="104"/>
  <c r="AR168" i="104"/>
  <c r="BN168" i="104" s="1"/>
  <c r="CD168" i="104"/>
  <c r="AR106" i="104"/>
  <c r="BN106" i="104" s="1"/>
  <c r="CD106" i="104"/>
  <c r="BM224" i="104"/>
  <c r="BG224" i="104" s="1"/>
  <c r="BH224" i="104" s="1"/>
  <c r="AL224" i="104"/>
  <c r="CD122" i="104"/>
  <c r="AR122" i="104"/>
  <c r="BN122" i="104" s="1"/>
  <c r="AL240" i="104"/>
  <c r="BM240" i="104"/>
  <c r="BG240" i="104" s="1"/>
  <c r="BH240" i="104" s="1"/>
  <c r="BM24" i="104"/>
  <c r="BG24" i="104" s="1"/>
  <c r="BH24" i="104" s="1"/>
  <c r="AL24" i="104"/>
  <c r="AL363" i="104"/>
  <c r="BM363" i="104"/>
  <c r="BG363" i="104" s="1"/>
  <c r="BH363" i="104" s="1"/>
  <c r="BJ363" i="104"/>
  <c r="BM229" i="104"/>
  <c r="BG229" i="104" s="1"/>
  <c r="BH229" i="104" s="1"/>
  <c r="AL229" i="104"/>
  <c r="BM491" i="104"/>
  <c r="BG491" i="104" s="1"/>
  <c r="BH491" i="104" s="1"/>
  <c r="BJ491" i="104"/>
  <c r="AL491" i="104"/>
  <c r="BM475" i="104"/>
  <c r="BG475" i="104" s="1"/>
  <c r="BH475" i="104" s="1"/>
  <c r="AL475" i="104"/>
  <c r="BJ475" i="104"/>
  <c r="BH376" i="104"/>
  <c r="BJ376" i="104"/>
  <c r="AL397" i="104"/>
  <c r="BM397" i="104"/>
  <c r="BG397" i="104" s="1"/>
  <c r="BH397" i="104" s="1"/>
  <c r="BM374" i="104"/>
  <c r="BG374" i="104" s="1"/>
  <c r="BH374" i="104" s="1"/>
  <c r="AL374" i="104"/>
  <c r="BM514" i="104"/>
  <c r="BG514" i="104" s="1"/>
  <c r="BH514" i="104" s="1"/>
  <c r="AL514" i="104"/>
  <c r="BM211" i="104"/>
  <c r="BG211" i="104" s="1"/>
  <c r="BH211" i="104" s="1"/>
  <c r="AL211" i="104"/>
  <c r="AN235" i="104"/>
  <c r="AU235" i="104"/>
  <c r="AL173" i="104"/>
  <c r="BM173" i="104"/>
  <c r="BG173" i="104" s="1"/>
  <c r="BH173" i="104" s="1"/>
  <c r="BE40" i="104"/>
  <c r="BC40" i="104" a="1"/>
  <c r="BC40" i="104" s="1"/>
  <c r="BH58" i="104"/>
  <c r="BJ58" i="104"/>
  <c r="BF243" i="104"/>
  <c r="AL120" i="104"/>
  <c r="BM120" i="104"/>
  <c r="BG120" i="104" s="1"/>
  <c r="BH120" i="104" s="1"/>
  <c r="AL456" i="104"/>
  <c r="BM456" i="104"/>
  <c r="BG456" i="104" s="1"/>
  <c r="BH456" i="104" s="1"/>
  <c r="BM196" i="104"/>
  <c r="BG196" i="104" s="1"/>
  <c r="BH196" i="104" s="1"/>
  <c r="AL196" i="104"/>
  <c r="BM331" i="104"/>
  <c r="BG331" i="104" s="1"/>
  <c r="BH331" i="104" s="1"/>
  <c r="AL331" i="104"/>
  <c r="AN247" i="104"/>
  <c r="BH408" i="104"/>
  <c r="BJ408" i="104"/>
  <c r="CD341" i="104"/>
  <c r="AR341" i="104"/>
  <c r="BN341" i="104" s="1"/>
  <c r="AR483" i="104"/>
  <c r="BN483" i="104" s="1"/>
  <c r="CD483" i="104"/>
  <c r="AR69" i="104"/>
  <c r="BN69" i="104" s="1"/>
  <c r="AO226" i="104"/>
  <c r="BC286" i="104" a="1"/>
  <c r="BC286" i="104" s="1"/>
  <c r="BF286" i="104"/>
  <c r="AL539" i="104"/>
  <c r="BM539" i="104"/>
  <c r="BG539" i="104" s="1"/>
  <c r="BH539" i="104" s="1"/>
  <c r="AL46" i="104"/>
  <c r="AL531" i="104"/>
  <c r="BM531" i="104"/>
  <c r="BG531" i="104" s="1"/>
  <c r="BH531" i="104" s="1"/>
  <c r="AO172" i="104"/>
  <c r="AV172" i="104"/>
  <c r="AR479" i="104"/>
  <c r="BN479" i="104" s="1"/>
  <c r="CD479" i="104"/>
  <c r="BM486" i="104"/>
  <c r="BG486" i="104" s="1"/>
  <c r="BH486" i="104" s="1"/>
  <c r="AL486" i="104"/>
  <c r="CD258" i="104"/>
  <c r="AR258" i="104"/>
  <c r="BN258" i="104" s="1"/>
  <c r="AR272" i="104"/>
  <c r="BN272" i="104" s="1"/>
  <c r="CD272" i="104"/>
  <c r="AV86" i="104"/>
  <c r="AO86" i="104"/>
  <c r="AR319" i="104"/>
  <c r="BN319" i="104" s="1"/>
  <c r="CD319" i="104"/>
  <c r="BM448" i="104"/>
  <c r="BG448" i="104" s="1"/>
  <c r="BH448" i="104" s="1"/>
  <c r="AL448" i="104"/>
  <c r="AR395" i="104"/>
  <c r="BN395" i="104" s="1"/>
  <c r="CD395" i="104"/>
  <c r="BH295" i="104"/>
  <c r="BJ466" i="104"/>
  <c r="CD304" i="104"/>
  <c r="AR304" i="104"/>
  <c r="BN304" i="104" s="1"/>
  <c r="BM57" i="104"/>
  <c r="BG57" i="104" s="1"/>
  <c r="BH57" i="104" s="1"/>
  <c r="AL57" i="104"/>
  <c r="AL508" i="104"/>
  <c r="BM508" i="104"/>
  <c r="BG508" i="104" s="1"/>
  <c r="BH508" i="104" s="1"/>
  <c r="BM139" i="104"/>
  <c r="BG139" i="104" s="1"/>
  <c r="BH139" i="104" s="1"/>
  <c r="CD260" i="104"/>
  <c r="AR260" i="104"/>
  <c r="BN260" i="104" s="1"/>
  <c r="CD474" i="104"/>
  <c r="AR474" i="104"/>
  <c r="BN474" i="104" s="1"/>
  <c r="AR423" i="104"/>
  <c r="BN423" i="104" s="1"/>
  <c r="CD423" i="104"/>
  <c r="AL497" i="104"/>
  <c r="BM497" i="104"/>
  <c r="BG497" i="104" s="1"/>
  <c r="BH497" i="104" s="1"/>
  <c r="AO84" i="104"/>
  <c r="BJ393" i="104"/>
  <c r="BB222" i="104"/>
  <c r="BF222" i="104" s="1"/>
  <c r="AL422" i="104"/>
  <c r="BM422" i="104"/>
  <c r="BG422" i="104" s="1"/>
  <c r="BH422" i="104" s="1"/>
  <c r="BJ441" i="104"/>
  <c r="BH441" i="104"/>
  <c r="BM32" i="104"/>
  <c r="BG32" i="104" s="1"/>
  <c r="BH32" i="104" s="1"/>
  <c r="AL32" i="104"/>
  <c r="AL123" i="104"/>
  <c r="AU30" i="104"/>
  <c r="AN30" i="104"/>
  <c r="BM149" i="104"/>
  <c r="BG149" i="104" s="1"/>
  <c r="BH149" i="104" s="1"/>
  <c r="BJ149" i="104"/>
  <c r="AL149" i="104"/>
  <c r="BM283" i="104"/>
  <c r="BG283" i="104" s="1"/>
  <c r="BH283" i="104" s="1"/>
  <c r="AL283" i="104"/>
  <c r="AL262" i="104"/>
  <c r="BM262" i="104"/>
  <c r="BG262" i="104" s="1"/>
  <c r="BH262" i="104" s="1"/>
  <c r="AL72" i="104"/>
  <c r="BM72" i="104"/>
  <c r="BG72" i="104" s="1"/>
  <c r="BH72" i="104" s="1"/>
  <c r="AL481" i="104"/>
  <c r="BM481" i="104"/>
  <c r="BG481" i="104" s="1"/>
  <c r="BH481" i="104" s="1"/>
  <c r="BM138" i="104"/>
  <c r="BG138" i="104" s="1"/>
  <c r="BH138" i="104" s="1"/>
  <c r="AQ113" i="104"/>
  <c r="BH113" i="104" s="1"/>
  <c r="AQ98" i="104"/>
  <c r="AQ156" i="104"/>
  <c r="BM238" i="104"/>
  <c r="BG238" i="104" s="1"/>
  <c r="BH238" i="104" s="1"/>
  <c r="AL238" i="104"/>
  <c r="BJ238" i="104"/>
  <c r="BJ189" i="104"/>
  <c r="BH430" i="104"/>
  <c r="BJ430" i="104"/>
  <c r="AL293" i="104"/>
  <c r="BM293" i="104"/>
  <c r="BG293" i="104" s="1"/>
  <c r="BH293" i="104" s="1"/>
  <c r="BM239" i="104"/>
  <c r="BG239" i="104" s="1"/>
  <c r="BH239" i="104" s="1"/>
  <c r="BJ239" i="104"/>
  <c r="AL239" i="104"/>
  <c r="AR205" i="104"/>
  <c r="BN205" i="104" s="1"/>
  <c r="CD524" i="104"/>
  <c r="AR524" i="104"/>
  <c r="BN524" i="104" s="1"/>
  <c r="BM377" i="104"/>
  <c r="BG377" i="104" s="1"/>
  <c r="BH377" i="104" s="1"/>
  <c r="AL377" i="104"/>
  <c r="BM167" i="104"/>
  <c r="BG167" i="104" s="1"/>
  <c r="BH167" i="104" s="1"/>
  <c r="AL167" i="104"/>
  <c r="BM34" i="104"/>
  <c r="BG34" i="104" s="1"/>
  <c r="BH34" i="104" s="1"/>
  <c r="AL34" i="104"/>
  <c r="BJ34" i="104"/>
  <c r="AU244" i="104"/>
  <c r="AN244" i="104"/>
  <c r="AL61" i="104"/>
  <c r="BM61" i="104"/>
  <c r="BG61" i="104" s="1"/>
  <c r="BH61" i="104" s="1"/>
  <c r="BJ265" i="104"/>
  <c r="AL334" i="104"/>
  <c r="BM334" i="104"/>
  <c r="BG334" i="104" s="1"/>
  <c r="BH334" i="104" s="1"/>
  <c r="AR121" i="104"/>
  <c r="BN121" i="104" s="1"/>
  <c r="CD121" i="104"/>
  <c r="CD203" i="104"/>
  <c r="AR203" i="104"/>
  <c r="BN203" i="104" s="1"/>
  <c r="CD218" i="104"/>
  <c r="AR218" i="104"/>
  <c r="BN218" i="104" s="1"/>
  <c r="CD462" i="104"/>
  <c r="AR462" i="104"/>
  <c r="BN462" i="104" s="1"/>
  <c r="AL439" i="104"/>
  <c r="BM439" i="104"/>
  <c r="BG439" i="104" s="1"/>
  <c r="BH439" i="104" s="1"/>
  <c r="AR124" i="104"/>
  <c r="BN124" i="104" s="1"/>
  <c r="CD124" i="104"/>
  <c r="AR292" i="104"/>
  <c r="BN292" i="104" s="1"/>
  <c r="CD292" i="104"/>
  <c r="AL53" i="104"/>
  <c r="BM53" i="104"/>
  <c r="BG53" i="104" s="1"/>
  <c r="BH53" i="104" s="1"/>
  <c r="AU86" i="104"/>
  <c r="BH92" i="104"/>
  <c r="BJ92" i="104"/>
  <c r="BB225" i="104"/>
  <c r="BF225" i="104" s="1"/>
  <c r="BJ107" i="104"/>
  <c r="BM248" i="104"/>
  <c r="BG248" i="104" s="1"/>
  <c r="BH248" i="104" s="1"/>
  <c r="AL248" i="104"/>
  <c r="BJ113" i="104"/>
  <c r="CD157" i="104"/>
  <c r="AR157" i="104"/>
  <c r="BN157" i="104" s="1"/>
  <c r="BF172" i="104"/>
  <c r="BB172" i="104"/>
  <c r="BJ181" i="104"/>
  <c r="BM225" i="104"/>
  <c r="BG225" i="104" s="1"/>
  <c r="BH225" i="104" s="1"/>
  <c r="AL225" i="104"/>
  <c r="BM90" i="104"/>
  <c r="BG90" i="104" s="1"/>
  <c r="BH90" i="104" s="1"/>
  <c r="BJ90" i="104"/>
  <c r="AL90" i="104"/>
  <c r="BM541" i="104"/>
  <c r="BG541" i="104" s="1"/>
  <c r="BH541" i="104" s="1"/>
  <c r="AL541" i="104"/>
  <c r="BH458" i="104"/>
  <c r="BJ458" i="104"/>
  <c r="AL446" i="104"/>
  <c r="BM446" i="104"/>
  <c r="BG446" i="104" s="1"/>
  <c r="BH446" i="104" s="1"/>
  <c r="BJ305" i="104"/>
  <c r="CD185" i="104"/>
  <c r="AR185" i="104"/>
  <c r="BN185" i="104" s="1"/>
  <c r="AL220" i="104"/>
  <c r="BM220" i="104"/>
  <c r="BG220" i="104" s="1"/>
  <c r="BH220" i="104" s="1"/>
  <c r="BJ220" i="104"/>
  <c r="AO87" i="104"/>
  <c r="BM406" i="104"/>
  <c r="BG406" i="104" s="1"/>
  <c r="BH406" i="104" s="1"/>
  <c r="AL406" i="104"/>
  <c r="BM343" i="104"/>
  <c r="BG343" i="104" s="1"/>
  <c r="BM60" i="104"/>
  <c r="BG60" i="104" s="1"/>
  <c r="BH60" i="104" s="1"/>
  <c r="BJ60" i="104"/>
  <c r="AL60" i="104"/>
  <c r="AR252" i="104"/>
  <c r="BN252" i="104" s="1"/>
  <c r="CD252" i="104"/>
  <c r="AL180" i="104"/>
  <c r="BM180" i="104"/>
  <c r="BG180" i="104" s="1"/>
  <c r="BH180" i="104" s="1"/>
  <c r="BM435" i="104"/>
  <c r="BG435" i="104" s="1"/>
  <c r="BH435" i="104" s="1"/>
  <c r="AL435" i="104"/>
  <c r="AQ70" i="104"/>
  <c r="AQ47" i="104"/>
  <c r="AR97" i="104"/>
  <c r="BN97" i="104" s="1"/>
  <c r="CD97" i="104"/>
  <c r="BJ549" i="104"/>
  <c r="BH161" i="104"/>
  <c r="BJ161" i="104"/>
  <c r="BM510" i="104"/>
  <c r="BG510" i="104" s="1"/>
  <c r="BH510" i="104" s="1"/>
  <c r="AL510" i="104"/>
  <c r="AL298" i="104"/>
  <c r="BM298" i="104"/>
  <c r="BG298" i="104" s="1"/>
  <c r="BH298" i="104" s="1"/>
  <c r="AV239" i="104"/>
  <c r="AO239" i="104"/>
  <c r="BJ509" i="104"/>
  <c r="BB28" i="104"/>
  <c r="BF28" i="104" s="1"/>
  <c r="BF295" i="104"/>
  <c r="BC295" i="104" a="1"/>
  <c r="BC295" i="104" s="1"/>
  <c r="AL506" i="104"/>
  <c r="BM506" i="104"/>
  <c r="BG506" i="104" s="1"/>
  <c r="BH506" i="104" s="1"/>
  <c r="BJ506" i="104"/>
  <c r="AL515" i="104"/>
  <c r="BM515" i="104"/>
  <c r="BG515" i="104" s="1"/>
  <c r="BH515" i="104" s="1"/>
  <c r="AV31" i="104"/>
  <c r="AO31" i="104"/>
  <c r="CD526" i="104"/>
  <c r="AR526" i="104"/>
  <c r="BN526" i="104" s="1"/>
  <c r="AL511" i="104"/>
  <c r="BM511" i="104"/>
  <c r="BG511" i="104" s="1"/>
  <c r="BH511" i="104" s="1"/>
  <c r="AR360" i="104"/>
  <c r="BN360" i="104" s="1"/>
  <c r="CD360" i="104"/>
  <c r="BM545" i="104"/>
  <c r="BG545" i="104" s="1"/>
  <c r="BH545" i="104" s="1"/>
  <c r="BJ545" i="104"/>
  <c r="AL545" i="104"/>
  <c r="BJ462" i="104"/>
  <c r="CD204" i="104"/>
  <c r="AR204" i="104"/>
  <c r="BN204" i="104" s="1"/>
  <c r="BM501" i="104"/>
  <c r="BG501" i="104" s="1"/>
  <c r="BH501" i="104" s="1"/>
  <c r="BJ501" i="104"/>
  <c r="AL501" i="104"/>
  <c r="AQ257" i="104"/>
  <c r="AQ300" i="104"/>
  <c r="CD320" i="104"/>
  <c r="AR320" i="104"/>
  <c r="BN320" i="104" s="1"/>
  <c r="AR270" i="104"/>
  <c r="BN270" i="104" s="1"/>
  <c r="CD270" i="104"/>
  <c r="BJ338" i="104"/>
  <c r="BH187" i="104"/>
  <c r="BJ187" i="104"/>
  <c r="BJ447" i="104"/>
  <c r="AL162" i="104"/>
  <c r="BM162" i="104"/>
  <c r="BG162" i="104" s="1"/>
  <c r="BH162" i="104" s="1"/>
  <c r="BJ216" i="104"/>
  <c r="BJ319" i="104"/>
  <c r="BM371" i="104"/>
  <c r="BG371" i="104" s="1"/>
  <c r="BH371" i="104" s="1"/>
  <c r="AL371" i="104"/>
  <c r="CD466" i="104"/>
  <c r="AR466" i="104"/>
  <c r="BN466" i="104" s="1"/>
  <c r="AS96" i="104"/>
  <c r="AO96" i="104"/>
  <c r="AN96" i="104"/>
  <c r="BB96" i="104"/>
  <c r="BA96" i="104"/>
  <c r="BE96" i="104" s="1"/>
  <c r="AV96" i="104"/>
  <c r="BK96" i="104"/>
  <c r="AW96" i="104"/>
  <c r="AU96" i="104"/>
  <c r="AT96" i="104"/>
  <c r="AM96" i="104"/>
  <c r="AP96" i="104"/>
  <c r="AL70" i="104"/>
  <c r="BM70" i="104"/>
  <c r="BG70" i="104" s="1"/>
  <c r="AL169" i="104"/>
  <c r="BM169" i="104"/>
  <c r="BG169" i="104" s="1"/>
  <c r="BH169" i="104" s="1"/>
  <c r="BM346" i="104"/>
  <c r="BG346" i="104" s="1"/>
  <c r="BH346" i="104" s="1"/>
  <c r="AL346" i="104"/>
  <c r="AL140" i="104"/>
  <c r="CD454" i="104"/>
  <c r="AR454" i="104"/>
  <c r="BN454" i="104" s="1"/>
  <c r="BJ312" i="104"/>
  <c r="AL102" i="104"/>
  <c r="BM102" i="104"/>
  <c r="BG102" i="104" s="1"/>
  <c r="BH102" i="104" s="1"/>
  <c r="BJ102" i="104"/>
  <c r="BM125" i="104"/>
  <c r="BG125" i="104" s="1"/>
  <c r="BH125" i="104" s="1"/>
  <c r="AL125" i="104"/>
  <c r="BM342" i="104"/>
  <c r="BG342" i="104" s="1"/>
  <c r="BH342" i="104" s="1"/>
  <c r="AL342" i="104"/>
  <c r="CD279" i="104"/>
  <c r="AR279" i="104"/>
  <c r="BN279" i="104" s="1"/>
  <c r="AL152" i="104"/>
  <c r="BM152" i="104"/>
  <c r="BG152" i="104" s="1"/>
  <c r="BH152" i="104" s="1"/>
  <c r="CD490" i="104"/>
  <c r="BM223" i="104"/>
  <c r="BG223" i="104" s="1"/>
  <c r="BH223" i="104" s="1"/>
  <c r="AL223" i="104"/>
  <c r="BM457" i="104"/>
  <c r="BG457" i="104" s="1"/>
  <c r="BH457" i="104" s="1"/>
  <c r="AL457" i="104"/>
  <c r="CD392" i="104"/>
  <c r="AR392" i="104"/>
  <c r="BN392" i="104" s="1"/>
  <c r="BM132" i="104"/>
  <c r="BG132" i="104" s="1"/>
  <c r="BH132" i="104" s="1"/>
  <c r="CD41" i="104"/>
  <c r="AR41" i="104"/>
  <c r="BN41" i="104" s="1"/>
  <c r="AL407" i="104"/>
  <c r="BM407" i="104"/>
  <c r="BG407" i="104" s="1"/>
  <c r="BH407" i="104" s="1"/>
  <c r="AL391" i="104"/>
  <c r="BM391" i="104"/>
  <c r="BG391" i="104" s="1"/>
  <c r="BH391" i="104" s="1"/>
  <c r="BM233" i="104"/>
  <c r="BG233" i="104" s="1"/>
  <c r="BH233" i="104" s="1"/>
  <c r="AL233" i="104"/>
  <c r="BB230" i="104"/>
  <c r="BF230" i="104" s="1"/>
  <c r="BM195" i="104"/>
  <c r="BG195" i="104" s="1"/>
  <c r="BH195" i="104" s="1"/>
  <c r="AL195" i="104"/>
  <c r="BM158" i="104"/>
  <c r="BG158" i="104" s="1"/>
  <c r="BH158" i="104" s="1"/>
  <c r="AL158" i="104"/>
  <c r="AL214" i="104"/>
  <c r="BM214" i="104"/>
  <c r="BG214" i="104" s="1"/>
  <c r="CD314" i="104"/>
  <c r="AR314" i="104"/>
  <c r="BN314" i="104" s="1"/>
  <c r="AL493" i="104"/>
  <c r="BM493" i="104"/>
  <c r="BG493" i="104" s="1"/>
  <c r="BH493" i="104" s="1"/>
  <c r="AR518" i="104"/>
  <c r="BN518" i="104" s="1"/>
  <c r="CD518" i="104"/>
  <c r="AL45" i="104"/>
  <c r="BM45" i="104"/>
  <c r="BG45" i="104" s="1"/>
  <c r="BH45" i="104" s="1"/>
  <c r="BM38" i="104"/>
  <c r="BG38" i="104" s="1"/>
  <c r="BH38" i="104" s="1"/>
  <c r="AL38" i="104"/>
  <c r="AR344" i="104"/>
  <c r="BN344" i="104" s="1"/>
  <c r="CD344" i="104"/>
  <c r="BM523" i="104"/>
  <c r="BG523" i="104" s="1"/>
  <c r="BH523" i="104" s="1"/>
  <c r="AL523" i="104"/>
  <c r="BM512" i="104"/>
  <c r="BG512" i="104" s="1"/>
  <c r="BH512" i="104" s="1"/>
  <c r="AL512" i="104"/>
  <c r="CD301" i="104"/>
  <c r="AR301" i="104"/>
  <c r="BN301" i="104" s="1"/>
  <c r="BM299" i="104"/>
  <c r="BG299" i="104" s="1"/>
  <c r="BH299" i="104" s="1"/>
  <c r="AL299" i="104"/>
  <c r="BM436" i="104"/>
  <c r="BG436" i="104" s="1"/>
  <c r="BH436" i="104" s="1"/>
  <c r="AL436" i="104"/>
  <c r="BM473" i="104"/>
  <c r="BG473" i="104" s="1"/>
  <c r="BH473" i="104" s="1"/>
  <c r="AL473" i="104"/>
  <c r="AL384" i="104"/>
  <c r="BM384" i="104"/>
  <c r="BG384" i="104" s="1"/>
  <c r="BH384" i="104" s="1"/>
  <c r="BJ384" i="104"/>
  <c r="CD542" i="104"/>
  <c r="AR542" i="104"/>
  <c r="BN542" i="104" s="1"/>
  <c r="BM340" i="104"/>
  <c r="BG340" i="104" s="1"/>
  <c r="BH340" i="104" s="1"/>
  <c r="AL340" i="104"/>
  <c r="BM213" i="104"/>
  <c r="BG213" i="104" s="1"/>
  <c r="BH213" i="104" s="1"/>
  <c r="AL213" i="104"/>
  <c r="BJ213" i="104"/>
  <c r="AV222" i="104"/>
  <c r="AO222" i="104"/>
  <c r="BJ507" i="104"/>
  <c r="CD464" i="104"/>
  <c r="AR464" i="104"/>
  <c r="BN464" i="104" s="1"/>
  <c r="CD251" i="104"/>
  <c r="AT80" i="104"/>
  <c r="AN80" i="104"/>
  <c r="AM80" i="104"/>
  <c r="AP80" i="104"/>
  <c r="BK80" i="104"/>
  <c r="AO80" i="104"/>
  <c r="BB80" i="104"/>
  <c r="AW80" i="104"/>
  <c r="AU80" i="104"/>
  <c r="BA80" i="104"/>
  <c r="BE80" i="104" s="1"/>
  <c r="AV80" i="104"/>
  <c r="AS80" i="104"/>
  <c r="AX80" i="104"/>
  <c r="BM311" i="104"/>
  <c r="BG311" i="104" s="1"/>
  <c r="BH311" i="104" s="1"/>
  <c r="AL311" i="104"/>
  <c r="AR488" i="104"/>
  <c r="BN488" i="104" s="1"/>
  <c r="CD488" i="104"/>
  <c r="AL66" i="104"/>
  <c r="BM66" i="104"/>
  <c r="BG66" i="104" s="1"/>
  <c r="BH66" i="104" s="1"/>
  <c r="BJ415" i="104"/>
  <c r="AL129" i="104"/>
  <c r="BM129" i="104"/>
  <c r="BG129" i="104" s="1"/>
  <c r="BH129" i="104" s="1"/>
  <c r="BJ129" i="104"/>
  <c r="AL421" i="104"/>
  <c r="BM421" i="104"/>
  <c r="BG421" i="104" s="1"/>
  <c r="BH421" i="104" s="1"/>
  <c r="BJ490" i="104"/>
  <c r="BM242" i="104"/>
  <c r="BG242" i="104" s="1"/>
  <c r="BH242" i="104" s="1"/>
  <c r="AL242" i="104"/>
  <c r="AL477" i="104"/>
  <c r="BM477" i="104"/>
  <c r="BG477" i="104" s="1"/>
  <c r="BH477" i="104" s="1"/>
  <c r="AL467" i="104"/>
  <c r="BM467" i="104"/>
  <c r="BG467" i="104" s="1"/>
  <c r="BH467" i="104" s="1"/>
  <c r="BJ467" i="104"/>
  <c r="BJ333" i="104"/>
  <c r="BM267" i="104"/>
  <c r="BG267" i="104" s="1"/>
  <c r="BH267" i="104" s="1"/>
  <c r="AL267" i="104"/>
  <c r="BJ41" i="104"/>
  <c r="BM245" i="104"/>
  <c r="BG245" i="104" s="1"/>
  <c r="BH245" i="104" s="1"/>
  <c r="AL245" i="104"/>
  <c r="AR364" i="104"/>
  <c r="BN364" i="104" s="1"/>
  <c r="CD364" i="104"/>
  <c r="BM404" i="104"/>
  <c r="BG404" i="104" s="1"/>
  <c r="BH404" i="104" s="1"/>
  <c r="AL404" i="104"/>
  <c r="BM269" i="104"/>
  <c r="BG269" i="104" s="1"/>
  <c r="BH269" i="104" s="1"/>
  <c r="AL269" i="104"/>
  <c r="BJ386" i="104"/>
  <c r="BM154" i="104"/>
  <c r="BG154" i="104" s="1"/>
  <c r="BH154" i="104" s="1"/>
  <c r="AL154" i="104"/>
  <c r="BB233" i="104"/>
  <c r="BF233" i="104" s="1"/>
  <c r="AL280" i="104"/>
  <c r="BM280" i="104"/>
  <c r="BG280" i="104" s="1"/>
  <c r="BH280" i="104" s="1"/>
  <c r="AL257" i="104"/>
  <c r="BM257" i="104"/>
  <c r="BG257" i="104" s="1"/>
  <c r="BJ257" i="104" s="1"/>
  <c r="AR277" i="104"/>
  <c r="BN277" i="104" s="1"/>
  <c r="CD277" i="104"/>
  <c r="CD209" i="104"/>
  <c r="AR209" i="104"/>
  <c r="BN209" i="104" s="1"/>
  <c r="BC177" i="104" a="1"/>
  <c r="BC177" i="104" s="1"/>
  <c r="BE177" i="104"/>
  <c r="BM105" i="104"/>
  <c r="BG105" i="104" s="1"/>
  <c r="BH105" i="104" s="1"/>
  <c r="AL105" i="104"/>
  <c r="BN478" i="104"/>
  <c r="BM427" i="104"/>
  <c r="BG427" i="104" s="1"/>
  <c r="BH427" i="104" s="1"/>
  <c r="AL427" i="104"/>
  <c r="BM98" i="104"/>
  <c r="BG98" i="104" s="1"/>
  <c r="BJ98" i="104" s="1"/>
  <c r="AL98" i="104"/>
  <c r="BM140" i="104"/>
  <c r="BG140" i="104" s="1"/>
  <c r="BH140" i="104" s="1"/>
  <c r="CD522" i="104"/>
  <c r="AR522" i="104"/>
  <c r="BN522" i="104" s="1"/>
  <c r="AL489" i="104"/>
  <c r="BM489" i="104"/>
  <c r="BG489" i="104" s="1"/>
  <c r="BH489" i="104" s="1"/>
  <c r="AL197" i="104"/>
  <c r="BM197" i="104"/>
  <c r="BG197" i="104" s="1"/>
  <c r="BH197" i="104" s="1"/>
  <c r="AL307" i="104"/>
  <c r="BM307" i="104"/>
  <c r="BG307" i="104" s="1"/>
  <c r="BH307" i="104" s="1"/>
  <c r="BJ349" i="104"/>
  <c r="CD485" i="104"/>
  <c r="AR208" i="104"/>
  <c r="BN208" i="104" s="1"/>
  <c r="CD208" i="104"/>
  <c r="AL183" i="104"/>
  <c r="AL52" i="104"/>
  <c r="BM52" i="104"/>
  <c r="BG52" i="104" s="1"/>
  <c r="BH52" i="104" s="1"/>
  <c r="BJ52" i="104"/>
  <c r="AR148" i="104"/>
  <c r="BN148" i="104" s="1"/>
  <c r="CD148" i="104"/>
  <c r="BJ209" i="104"/>
  <c r="AL39" i="104"/>
  <c r="BM39" i="104"/>
  <c r="BG39" i="104" s="1"/>
  <c r="BH39" i="104" s="1"/>
  <c r="BM74" i="104"/>
  <c r="BG74" i="104" s="1"/>
  <c r="BH74" i="104" s="1"/>
  <c r="AL74" i="104"/>
  <c r="AL212" i="104"/>
  <c r="BM212" i="104"/>
  <c r="BG212" i="104" s="1"/>
  <c r="BH212" i="104" s="1"/>
  <c r="BJ488" i="104"/>
  <c r="BF291" i="104"/>
  <c r="BC291" i="104" a="1"/>
  <c r="BC291" i="104" s="1"/>
  <c r="BM50" i="104"/>
  <c r="BG50" i="104" s="1"/>
  <c r="BH50" i="104" s="1"/>
  <c r="AL50" i="104"/>
  <c r="CD271" i="104"/>
  <c r="AR271" i="104"/>
  <c r="BN271" i="104" s="1"/>
  <c r="AN233" i="104"/>
  <c r="BM533" i="104"/>
  <c r="BG533" i="104" s="1"/>
  <c r="BH533" i="104" s="1"/>
  <c r="AL533" i="104"/>
  <c r="BM315" i="104"/>
  <c r="BG315" i="104" s="1"/>
  <c r="BH315" i="104" s="1"/>
  <c r="AL315" i="104"/>
  <c r="BM68" i="104"/>
  <c r="BG68" i="104" s="1"/>
  <c r="BH68" i="104" s="1"/>
  <c r="AL68" i="104"/>
  <c r="AL112" i="104"/>
  <c r="BM112" i="104"/>
  <c r="BG112" i="104" s="1"/>
  <c r="BH112" i="104" s="1"/>
  <c r="BJ112" i="104"/>
  <c r="AL389" i="104"/>
  <c r="BM389" i="104"/>
  <c r="BG389" i="104" s="1"/>
  <c r="BH389" i="104" s="1"/>
  <c r="AR49" i="104"/>
  <c r="BN49" i="104" s="1"/>
  <c r="CD49" i="104"/>
  <c r="BJ56" i="104"/>
  <c r="BM115" i="104"/>
  <c r="BG115" i="104" s="1"/>
  <c r="BH115" i="104" s="1"/>
  <c r="AL115" i="104"/>
  <c r="CD164" i="104"/>
  <c r="AR164" i="104"/>
  <c r="BN164" i="104" s="1"/>
  <c r="BJ124" i="104"/>
  <c r="BM62" i="104"/>
  <c r="BG62" i="104" s="1"/>
  <c r="BH62" i="104" s="1"/>
  <c r="AL62" i="104"/>
  <c r="BC77" i="104" a="1"/>
  <c r="BC77" i="104" s="1"/>
  <c r="BF77" i="104"/>
  <c r="BM330" i="104"/>
  <c r="BG330" i="104" s="1"/>
  <c r="BH330" i="104" s="1"/>
  <c r="AL330" i="104"/>
  <c r="AL104" i="104"/>
  <c r="BM104" i="104"/>
  <c r="BG104" i="104" s="1"/>
  <c r="BH104" i="104" s="1"/>
  <c r="AL390" i="104"/>
  <c r="BM390" i="104"/>
  <c r="BG390" i="104" s="1"/>
  <c r="BH390" i="104" s="1"/>
  <c r="BJ390" i="104"/>
  <c r="BJ530" i="104"/>
  <c r="BH530" i="104"/>
  <c r="BM411" i="104"/>
  <c r="BG411" i="104" s="1"/>
  <c r="BH411" i="104" s="1"/>
  <c r="AL411" i="104"/>
  <c r="AR419" i="104"/>
  <c r="BN419" i="104" s="1"/>
  <c r="CD419" i="104"/>
  <c r="BF281" i="104"/>
  <c r="BC281" i="104" a="1"/>
  <c r="BC281" i="104" s="1"/>
  <c r="CD290" i="104"/>
  <c r="BM519" i="104"/>
  <c r="BG519" i="104" s="1"/>
  <c r="BH519" i="104" s="1"/>
  <c r="AL519" i="104"/>
  <c r="BM495" i="104"/>
  <c r="BG495" i="104" s="1"/>
  <c r="BH495" i="104" s="1"/>
  <c r="AL495" i="104"/>
  <c r="AL499" i="104"/>
  <c r="BM499" i="104"/>
  <c r="BG499" i="104" s="1"/>
  <c r="BH499" i="104" s="1"/>
  <c r="AL108" i="104"/>
  <c r="BM108" i="104"/>
  <c r="BG108" i="104" s="1"/>
  <c r="BH108" i="104" s="1"/>
  <c r="BM278" i="104"/>
  <c r="BG278" i="104" s="1"/>
  <c r="BH278" i="104" s="1"/>
  <c r="AL278" i="104"/>
  <c r="BM323" i="104"/>
  <c r="BG323" i="104" s="1"/>
  <c r="BH323" i="104" s="1"/>
  <c r="AL323" i="104"/>
  <c r="AL268" i="104"/>
  <c r="BM268" i="104"/>
  <c r="BG268" i="104" s="1"/>
  <c r="BH268" i="104" s="1"/>
  <c r="AN227" i="104"/>
  <c r="AM84" i="104"/>
  <c r="AL84" i="104" s="1"/>
  <c r="AM86" i="104"/>
  <c r="AM85" i="104"/>
  <c r="AL85" i="104" s="1"/>
  <c r="AM88" i="104"/>
  <c r="AL88" i="104" s="1"/>
  <c r="AM89" i="104"/>
  <c r="AL89" i="104" s="1"/>
  <c r="AM166" i="104"/>
  <c r="BK166" i="104"/>
  <c r="AW166" i="104"/>
  <c r="AV166" i="104"/>
  <c r="AN166" i="104"/>
  <c r="BA166" i="104"/>
  <c r="BE166" i="104" s="1"/>
  <c r="BB166" i="104"/>
  <c r="AP166" i="104"/>
  <c r="AO166" i="104"/>
  <c r="AS166" i="104"/>
  <c r="AX166" i="104"/>
  <c r="AU166" i="104"/>
  <c r="AT166" i="104"/>
  <c r="AL403" i="104"/>
  <c r="BM403" i="104"/>
  <c r="BG403" i="104" s="1"/>
  <c r="BH403" i="104" s="1"/>
  <c r="CD199" i="104"/>
  <c r="BM469" i="104"/>
  <c r="BG469" i="104" s="1"/>
  <c r="BH469" i="104" s="1"/>
  <c r="AL469" i="104"/>
  <c r="CD141" i="104"/>
  <c r="AR141" i="104"/>
  <c r="BN141" i="104" s="1"/>
  <c r="BB44" i="104"/>
  <c r="BA44" i="104"/>
  <c r="BE44" i="104" s="1"/>
  <c r="BK44" i="104"/>
  <c r="AP44" i="104"/>
  <c r="AN44" i="104"/>
  <c r="AO44" i="104"/>
  <c r="AX44" i="104"/>
  <c r="AW44" i="104"/>
  <c r="AT44" i="104"/>
  <c r="AV44" i="104"/>
  <c r="AU44" i="104"/>
  <c r="AS44" i="104"/>
  <c r="AL137" i="104"/>
  <c r="BM137" i="104"/>
  <c r="BG137" i="104" s="1"/>
  <c r="BH137" i="104" s="1"/>
  <c r="BJ188" i="104"/>
  <c r="BJ49" i="104"/>
  <c r="AL40" i="104"/>
  <c r="BM40" i="104"/>
  <c r="BG40" i="104" s="1"/>
  <c r="BH40" i="104" s="1"/>
  <c r="CD56" i="104"/>
  <c r="AR56" i="104"/>
  <c r="BN56" i="104" s="1"/>
  <c r="AL385" i="104"/>
  <c r="BM385" i="104"/>
  <c r="BG385" i="104" s="1"/>
  <c r="BH385" i="104" s="1"/>
  <c r="AL300" i="104"/>
  <c r="BM300" i="104"/>
  <c r="BG300" i="104" s="1"/>
  <c r="BJ300" i="104" s="1"/>
  <c r="BF276" i="104"/>
  <c r="BC276" i="104" a="1"/>
  <c r="BC276" i="104" s="1"/>
  <c r="BM353" i="104"/>
  <c r="BG353" i="104" s="1"/>
  <c r="BH353" i="104" s="1"/>
  <c r="AL353" i="104"/>
  <c r="AQ214" i="104"/>
  <c r="BM249" i="104"/>
  <c r="BG249" i="104" s="1"/>
  <c r="BH249" i="104" s="1"/>
  <c r="BJ249" i="104"/>
  <c r="AL249" i="104"/>
  <c r="BM156" i="104"/>
  <c r="BG156" i="104" s="1"/>
  <c r="BJ156" i="104" s="1"/>
  <c r="AL156" i="104"/>
  <c r="AL230" i="104"/>
  <c r="BM230" i="104"/>
  <c r="BG230" i="104" s="1"/>
  <c r="BH230" i="104" s="1"/>
  <c r="AU31" i="104"/>
  <c r="AN31" i="104"/>
  <c r="BM232" i="104"/>
  <c r="BG232" i="104" s="1"/>
  <c r="BH232" i="104" s="1"/>
  <c r="AL232" i="104"/>
  <c r="AL492" i="104"/>
  <c r="BM492" i="104"/>
  <c r="BG492" i="104" s="1"/>
  <c r="BH492" i="104" s="1"/>
  <c r="BM547" i="104"/>
  <c r="BG547" i="104" s="1"/>
  <c r="BH547" i="104" s="1"/>
  <c r="AL547" i="104"/>
  <c r="BM487" i="104"/>
  <c r="BG487" i="104" s="1"/>
  <c r="BH487" i="104" s="1"/>
  <c r="BJ487" i="104"/>
  <c r="AL487" i="104"/>
  <c r="AL373" i="104"/>
  <c r="BM373" i="104"/>
  <c r="BG373" i="104" s="1"/>
  <c r="BH373" i="104" s="1"/>
  <c r="BM291" i="104"/>
  <c r="BG291" i="104" s="1"/>
  <c r="BH291" i="104" s="1"/>
  <c r="AL291" i="104"/>
  <c r="BF280" i="104"/>
  <c r="BC280" i="104" a="1"/>
  <c r="BC280" i="104" s="1"/>
  <c r="AL402" i="104"/>
  <c r="BM402" i="104"/>
  <c r="BG402" i="104" s="1"/>
  <c r="BH402" i="104" s="1"/>
  <c r="BM326" i="104"/>
  <c r="BG326" i="104" s="1"/>
  <c r="BH326" i="104" s="1"/>
  <c r="BJ326" i="104"/>
  <c r="AL326" i="104"/>
  <c r="AL409" i="104"/>
  <c r="BM409" i="104"/>
  <c r="BG409" i="104" s="1"/>
  <c r="BH409" i="104" s="1"/>
  <c r="BJ409" i="104"/>
  <c r="AL328" i="104"/>
  <c r="BM328" i="104"/>
  <c r="BG328" i="104" s="1"/>
  <c r="BH328" i="104" s="1"/>
  <c r="CD349" i="104"/>
  <c r="AR349" i="104"/>
  <c r="BN349" i="104" s="1"/>
  <c r="AL357" i="104"/>
  <c r="BM357" i="104"/>
  <c r="BG357" i="104" s="1"/>
  <c r="BH357" i="104" s="1"/>
  <c r="AR284" i="104"/>
  <c r="BN284" i="104" s="1"/>
  <c r="CD284" i="104"/>
  <c r="AL339" i="104"/>
  <c r="BM339" i="104"/>
  <c r="BG339" i="104" s="1"/>
  <c r="BH339" i="104" s="1"/>
  <c r="BJ339" i="104"/>
  <c r="BM127" i="104"/>
  <c r="BG127" i="104" s="1"/>
  <c r="BH127" i="104" s="1"/>
  <c r="BM42" i="104"/>
  <c r="BG42" i="104" s="1"/>
  <c r="BH42" i="104" s="1"/>
  <c r="BJ42" i="104"/>
  <c r="AL42" i="104"/>
  <c r="BF25" i="104"/>
  <c r="AR134" i="104"/>
  <c r="BN134" i="104" s="1"/>
  <c r="BC163" i="104" a="1"/>
  <c r="BC163" i="104" s="1"/>
  <c r="BF163" i="104"/>
  <c r="BM449" i="104"/>
  <c r="BG449" i="104" s="1"/>
  <c r="BH449" i="104" s="1"/>
  <c r="AL449" i="104"/>
  <c r="BJ516" i="104"/>
  <c r="BM46" i="104"/>
  <c r="BG46" i="104" s="1"/>
  <c r="BH46" i="104" s="1"/>
  <c r="AL101" i="104"/>
  <c r="BM101" i="104"/>
  <c r="BG101" i="104" s="1"/>
  <c r="BH101" i="104" s="1"/>
  <c r="CD417" i="104"/>
  <c r="AR417" i="104"/>
  <c r="BN417" i="104" s="1"/>
  <c r="BM114" i="104"/>
  <c r="BG114" i="104" s="1"/>
  <c r="BH114" i="104" s="1"/>
  <c r="AL114" i="104"/>
  <c r="AL192" i="104"/>
  <c r="BM192" i="104"/>
  <c r="BG192" i="104" s="1"/>
  <c r="BH192" i="104" s="1"/>
  <c r="BJ192" i="104"/>
  <c r="AR193" i="104"/>
  <c r="BN193" i="104" s="1"/>
  <c r="CD193" i="104"/>
  <c r="AL81" i="104"/>
  <c r="BM81" i="104"/>
  <c r="BG81" i="104" s="1"/>
  <c r="BH81" i="104" s="1"/>
  <c r="BM135" i="104"/>
  <c r="BG135" i="104" s="1"/>
  <c r="BH135" i="104" s="1"/>
  <c r="AL135" i="104"/>
  <c r="AU241" i="104"/>
  <c r="AN241" i="104"/>
  <c r="AR345" i="104"/>
  <c r="BN345" i="104" s="1"/>
  <c r="CD345" i="104"/>
  <c r="BM64" i="104"/>
  <c r="BG64" i="104" s="1"/>
  <c r="BH64" i="104" s="1"/>
  <c r="BJ64" i="104"/>
  <c r="AL64" i="104"/>
  <c r="AU35" i="104"/>
  <c r="AN35" i="104"/>
  <c r="BM178" i="104"/>
  <c r="BG178" i="104" s="1"/>
  <c r="BH178" i="104" s="1"/>
  <c r="AL178" i="104"/>
  <c r="E56" i="106" l="1"/>
  <c r="D58" i="106" s="1" a="1"/>
  <c r="D58" i="106" s="1"/>
  <c r="F56" i="106"/>
  <c r="K123" i="106"/>
  <c r="K403" i="106"/>
  <c r="J404" i="106"/>
  <c r="K81" i="106"/>
  <c r="J82" i="106"/>
  <c r="K501" i="106"/>
  <c r="J502" i="106" s="1"/>
  <c r="K108" i="106"/>
  <c r="J109" i="106"/>
  <c r="K459" i="106"/>
  <c r="J460" i="106"/>
  <c r="J669" i="106"/>
  <c r="K668" i="106"/>
  <c r="K250" i="106"/>
  <c r="J251" i="106" s="1"/>
  <c r="K374" i="106"/>
  <c r="J375" i="106" s="1"/>
  <c r="K206" i="106"/>
  <c r="J207" i="106" s="1"/>
  <c r="K529" i="106"/>
  <c r="K640" i="106"/>
  <c r="K557" i="106"/>
  <c r="J558" i="106" s="1"/>
  <c r="K53" i="106"/>
  <c r="K390" i="106"/>
  <c r="J391" i="106" s="1"/>
  <c r="K474" i="106"/>
  <c r="J475" i="106"/>
  <c r="K445" i="106"/>
  <c r="J446" i="106"/>
  <c r="F352" i="106"/>
  <c r="E352" i="106"/>
  <c r="D354" i="106" s="1" a="1"/>
  <c r="D354" i="106" s="1"/>
  <c r="E520" i="106"/>
  <c r="D522" i="106" s="1" a="1"/>
  <c r="D522" i="106" s="1"/>
  <c r="F520" i="106"/>
  <c r="J154" i="106"/>
  <c r="K153" i="106"/>
  <c r="F506" i="106"/>
  <c r="E506" i="106"/>
  <c r="D508" i="106" s="1" a="1"/>
  <c r="D508" i="106" s="1"/>
  <c r="F200" i="106"/>
  <c r="E200" i="106"/>
  <c r="D202" i="106" s="1" a="1"/>
  <c r="D202" i="106" s="1"/>
  <c r="F450" i="106"/>
  <c r="E450" i="106"/>
  <c r="D452" i="106" s="1" a="1"/>
  <c r="D452" i="106" s="1"/>
  <c r="K626" i="106"/>
  <c r="J627" i="106"/>
  <c r="F310" i="106"/>
  <c r="E310" i="106"/>
  <c r="D312" i="106" s="1" a="1"/>
  <c r="D312" i="106" s="1"/>
  <c r="J599" i="106"/>
  <c r="F158" i="106"/>
  <c r="E158" i="106"/>
  <c r="D160" i="106" s="1" a="1"/>
  <c r="D160" i="106" s="1"/>
  <c r="E688" i="106"/>
  <c r="D690" i="106" s="1" a="1"/>
  <c r="D690" i="106" s="1"/>
  <c r="F688" i="106"/>
  <c r="F296" i="106"/>
  <c r="E296" i="106"/>
  <c r="D298" i="106" s="1" a="1"/>
  <c r="D298" i="106" s="1"/>
  <c r="F114" i="106"/>
  <c r="E114" i="106"/>
  <c r="D116" i="106" s="1" a="1"/>
  <c r="D116" i="106" s="1"/>
  <c r="K263" i="106"/>
  <c r="J264" i="106"/>
  <c r="F562" i="106"/>
  <c r="E562" i="106"/>
  <c r="D564" i="106" s="1" a="1"/>
  <c r="D564" i="106" s="1"/>
  <c r="F548" i="106"/>
  <c r="E548" i="106"/>
  <c r="D550" i="106" s="1" a="1"/>
  <c r="D550" i="106" s="1"/>
  <c r="F660" i="106"/>
  <c r="E660" i="106"/>
  <c r="D662" i="106" s="1" a="1"/>
  <c r="D662" i="106" s="1"/>
  <c r="E606" i="106"/>
  <c r="D608" i="106" s="1" a="1"/>
  <c r="D608" i="106" s="1"/>
  <c r="F606" i="106"/>
  <c r="E142" i="106"/>
  <c r="D144" i="106" s="1" a="1"/>
  <c r="D144" i="106" s="1"/>
  <c r="F142" i="106"/>
  <c r="E632" i="106"/>
  <c r="D634" i="106" s="1" a="1"/>
  <c r="D634" i="106" s="1"/>
  <c r="F632" i="106"/>
  <c r="E494" i="106"/>
  <c r="D496" i="106" s="1" a="1"/>
  <c r="D496" i="106" s="1"/>
  <c r="F494" i="106"/>
  <c r="F186" i="106"/>
  <c r="E186" i="106"/>
  <c r="D188" i="106" s="1" a="1"/>
  <c r="D188" i="106" s="1"/>
  <c r="F674" i="106"/>
  <c r="E674" i="106"/>
  <c r="D676" i="106" s="1" a="1"/>
  <c r="D676" i="106" s="1"/>
  <c r="F422" i="106"/>
  <c r="E422" i="106"/>
  <c r="D424" i="106" s="1" a="1"/>
  <c r="D424" i="106" s="1"/>
  <c r="K67" i="106"/>
  <c r="J68" i="106" s="1"/>
  <c r="F268" i="106"/>
  <c r="E268" i="106"/>
  <c r="D270" i="106" s="1" a="1"/>
  <c r="D270" i="106" s="1"/>
  <c r="E256" i="106"/>
  <c r="D258" i="106" s="1" a="1"/>
  <c r="D258" i="106" s="1"/>
  <c r="F256" i="106"/>
  <c r="E338" i="106"/>
  <c r="D340" i="106" s="1" a="1"/>
  <c r="D340" i="106" s="1"/>
  <c r="F338" i="106"/>
  <c r="F128" i="106"/>
  <c r="E128" i="106"/>
  <c r="D130" i="106" s="1" a="1"/>
  <c r="D130" i="106" s="1"/>
  <c r="F282" i="106"/>
  <c r="E282" i="106"/>
  <c r="D284" i="106" s="1" a="1"/>
  <c r="D284" i="106" s="1"/>
  <c r="F170" i="106"/>
  <c r="E170" i="106"/>
  <c r="D172" i="106" s="1" a="1"/>
  <c r="D172" i="106" s="1"/>
  <c r="F716" i="106"/>
  <c r="E716" i="106"/>
  <c r="D718" i="106" s="1" a="1"/>
  <c r="D718" i="106" s="1"/>
  <c r="K584" i="106"/>
  <c r="J585" i="106" s="1"/>
  <c r="E100" i="106"/>
  <c r="D102" i="106" s="1" a="1"/>
  <c r="D102" i="106" s="1"/>
  <c r="F100" i="106"/>
  <c r="K710" i="106"/>
  <c r="J711" i="106"/>
  <c r="K94" i="106"/>
  <c r="J95" i="106"/>
  <c r="K319" i="106"/>
  <c r="K682" i="106"/>
  <c r="F480" i="106"/>
  <c r="E480" i="106"/>
  <c r="D482" i="106" s="1" a="1"/>
  <c r="D482" i="106" s="1"/>
  <c r="E380" i="106"/>
  <c r="D382" i="106" s="1" a="1"/>
  <c r="D382" i="106" s="1"/>
  <c r="F380" i="106"/>
  <c r="F72" i="106"/>
  <c r="E72" i="106"/>
  <c r="D74" i="106" s="1" a="1"/>
  <c r="D74" i="106" s="1"/>
  <c r="J334" i="106"/>
  <c r="F590" i="106"/>
  <c r="E590" i="106"/>
  <c r="D592" i="106" s="1" a="1"/>
  <c r="D592" i="106" s="1"/>
  <c r="K431" i="106"/>
  <c r="J432" i="106"/>
  <c r="K290" i="106"/>
  <c r="J291" i="106"/>
  <c r="K486" i="106"/>
  <c r="J487" i="106"/>
  <c r="J542" i="106"/>
  <c r="J516" i="106"/>
  <c r="K515" i="106"/>
  <c r="E730" i="106"/>
  <c r="D732" i="106" s="1" a="1"/>
  <c r="D732" i="106" s="1"/>
  <c r="F730" i="106"/>
  <c r="K753" i="106"/>
  <c r="J754" i="106" s="1"/>
  <c r="J307" i="106"/>
  <c r="F772" i="106"/>
  <c r="E772" i="106"/>
  <c r="D774" i="106" s="1" a="1"/>
  <c r="D774" i="106" s="1"/>
  <c r="K178" i="106"/>
  <c r="J179" i="106"/>
  <c r="F212" i="106"/>
  <c r="E212" i="106"/>
  <c r="D214" i="106" s="1" a="1"/>
  <c r="D214" i="106" s="1"/>
  <c r="K136" i="106"/>
  <c r="J137" i="106" s="1"/>
  <c r="E758" i="106"/>
  <c r="D760" i="106" s="1" a="1"/>
  <c r="D760" i="106" s="1"/>
  <c r="F758" i="106"/>
  <c r="E536" i="106"/>
  <c r="D538" i="106" s="1" a="1"/>
  <c r="D538" i="106" s="1"/>
  <c r="F536" i="106"/>
  <c r="J348" i="106"/>
  <c r="K235" i="106"/>
  <c r="J236" i="106"/>
  <c r="E436" i="106"/>
  <c r="D438" i="106" s="1" a="1"/>
  <c r="D438" i="106" s="1"/>
  <c r="F436" i="106"/>
  <c r="K613" i="106"/>
  <c r="J614" i="106"/>
  <c r="K361" i="106"/>
  <c r="K766" i="106"/>
  <c r="J767" i="106" s="1"/>
  <c r="F578" i="106"/>
  <c r="E578" i="106"/>
  <c r="D580" i="106" s="1" a="1"/>
  <c r="D580" i="106" s="1"/>
  <c r="J572" i="106"/>
  <c r="K571" i="106"/>
  <c r="F326" i="106"/>
  <c r="E326" i="106"/>
  <c r="D328" i="106" s="1" a="1"/>
  <c r="D328" i="106" s="1"/>
  <c r="J416" i="106"/>
  <c r="K194" i="106"/>
  <c r="J195" i="106"/>
  <c r="K739" i="106"/>
  <c r="J740" i="106" s="1"/>
  <c r="J724" i="106"/>
  <c r="K165" i="106"/>
  <c r="J166" i="106" s="1"/>
  <c r="E408" i="106"/>
  <c r="D410" i="106" s="1" a="1"/>
  <c r="D410" i="106" s="1"/>
  <c r="F408" i="106"/>
  <c r="E59" i="106"/>
  <c r="D61" i="106" s="1" a="1"/>
  <c r="D61" i="106" s="1"/>
  <c r="F59" i="106"/>
  <c r="E620" i="106"/>
  <c r="D622" i="106" s="1" a="1"/>
  <c r="D622" i="106" s="1"/>
  <c r="F620" i="106"/>
  <c r="J221" i="106"/>
  <c r="F394" i="106"/>
  <c r="E394" i="106"/>
  <c r="D396" i="106" s="1" a="1"/>
  <c r="D396" i="106" s="1"/>
  <c r="E702" i="106"/>
  <c r="D704" i="106" s="1" a="1"/>
  <c r="D704" i="106" s="1"/>
  <c r="F702" i="106"/>
  <c r="E240" i="106"/>
  <c r="D242" i="106" s="1" a="1"/>
  <c r="D242" i="106" s="1"/>
  <c r="F240" i="106"/>
  <c r="E226" i="106"/>
  <c r="D228" i="106" s="1" a="1"/>
  <c r="D228" i="106" s="1"/>
  <c r="F226" i="106"/>
  <c r="E646" i="106"/>
  <c r="D648" i="106" s="1" a="1"/>
  <c r="D648" i="106" s="1"/>
  <c r="F646" i="106"/>
  <c r="F370" i="106"/>
  <c r="E370" i="106"/>
  <c r="J276" i="106"/>
  <c r="E746" i="106"/>
  <c r="D748" i="106" s="1" a="1"/>
  <c r="D748" i="106" s="1"/>
  <c r="F746" i="106"/>
  <c r="F466" i="106"/>
  <c r="E466" i="106"/>
  <c r="D468" i="106" s="1" a="1"/>
  <c r="D468" i="106" s="1"/>
  <c r="K654" i="106"/>
  <c r="J655" i="106" s="1"/>
  <c r="F86" i="106"/>
  <c r="E86" i="106"/>
  <c r="D88" i="106" s="1" a="1"/>
  <c r="D88" i="106" s="1"/>
  <c r="K697" i="106"/>
  <c r="CD430" i="104"/>
  <c r="BJ217" i="104"/>
  <c r="CD83" i="104"/>
  <c r="AR83" i="104"/>
  <c r="BN83" i="104" s="1"/>
  <c r="CD282" i="104"/>
  <c r="CD142" i="104"/>
  <c r="AR426" i="104"/>
  <c r="BN426" i="104" s="1"/>
  <c r="CD549" i="104"/>
  <c r="BH47" i="104"/>
  <c r="CD259" i="104"/>
  <c r="AR160" i="104"/>
  <c r="BN160" i="104" s="1"/>
  <c r="AR461" i="104"/>
  <c r="BN461" i="104" s="1"/>
  <c r="CD538" i="104"/>
  <c r="BJ55" i="104"/>
  <c r="AR254" i="104"/>
  <c r="BN254" i="104" s="1"/>
  <c r="BJ330" i="104"/>
  <c r="BJ292" i="104"/>
  <c r="BJ527" i="104"/>
  <c r="BJ418" i="104"/>
  <c r="BJ510" i="104"/>
  <c r="AR274" i="104"/>
  <c r="BN274" i="104" s="1"/>
  <c r="BJ200" i="104"/>
  <c r="BJ352" i="104"/>
  <c r="BJ345" i="104"/>
  <c r="BJ123" i="104"/>
  <c r="CD412" i="104"/>
  <c r="AR176" i="104"/>
  <c r="BN176" i="104" s="1"/>
  <c r="AR155" i="104"/>
  <c r="BN155" i="104" s="1"/>
  <c r="AR484" i="104"/>
  <c r="BN484" i="104" s="1"/>
  <c r="BJ218" i="104"/>
  <c r="BJ190" i="104"/>
  <c r="CD136" i="104"/>
  <c r="CD463" i="104"/>
  <c r="BJ439" i="104"/>
  <c r="BJ251" i="104"/>
  <c r="BJ456" i="104"/>
  <c r="BJ111" i="104"/>
  <c r="CD381" i="104"/>
  <c r="CD47" i="104"/>
  <c r="CD133" i="104"/>
  <c r="BJ442" i="104"/>
  <c r="BJ538" i="104"/>
  <c r="BJ271" i="104"/>
  <c r="CD544" i="104"/>
  <c r="CD58" i="104"/>
  <c r="BJ424" i="104"/>
  <c r="BH529" i="104"/>
  <c r="AR433" i="104"/>
  <c r="BN433" i="104" s="1"/>
  <c r="BJ299" i="104"/>
  <c r="BJ248" i="104"/>
  <c r="BJ478" i="104"/>
  <c r="BJ375" i="104"/>
  <c r="AR516" i="104"/>
  <c r="BN516" i="104" s="1"/>
  <c r="BJ367" i="104"/>
  <c r="AR372" i="104"/>
  <c r="BN372" i="104" s="1"/>
  <c r="BJ127" i="104"/>
  <c r="CD354" i="104"/>
  <c r="BJ342" i="104"/>
  <c r="BJ422" i="104"/>
  <c r="CD527" i="104"/>
  <c r="BJ147" i="104"/>
  <c r="BJ420" i="104"/>
  <c r="BJ525" i="104"/>
  <c r="BJ125" i="104"/>
  <c r="BJ371" i="104"/>
  <c r="BJ165" i="104"/>
  <c r="BJ400" i="104"/>
  <c r="CD206" i="104"/>
  <c r="BJ177" i="104"/>
  <c r="BJ163" i="104"/>
  <c r="AR189" i="104"/>
  <c r="BN189" i="104" s="1"/>
  <c r="CD295" i="104"/>
  <c r="BH287" i="104"/>
  <c r="BJ428" i="104"/>
  <c r="AR356" i="104"/>
  <c r="BN356" i="104" s="1"/>
  <c r="CD356" i="104"/>
  <c r="BJ356" i="104"/>
  <c r="CD333" i="104"/>
  <c r="CD79" i="104"/>
  <c r="AR367" i="104"/>
  <c r="BN367" i="104" s="1"/>
  <c r="BJ68" i="104"/>
  <c r="BJ100" i="104"/>
  <c r="CD324" i="104"/>
  <c r="AR525" i="104"/>
  <c r="BN525" i="104" s="1"/>
  <c r="AR393" i="104"/>
  <c r="BN393" i="104" s="1"/>
  <c r="AR504" i="104"/>
  <c r="BN504" i="104" s="1"/>
  <c r="CD82" i="104"/>
  <c r="AR82" i="104"/>
  <c r="BN82" i="104" s="1"/>
  <c r="BJ233" i="104"/>
  <c r="AR388" i="104"/>
  <c r="BN388" i="104" s="1"/>
  <c r="BJ354" i="104"/>
  <c r="BJ358" i="104"/>
  <c r="AR161" i="104"/>
  <c r="BN161" i="104" s="1"/>
  <c r="BJ477" i="104"/>
  <c r="BJ473" i="104"/>
  <c r="BJ518" i="104"/>
  <c r="BJ464" i="104"/>
  <c r="BJ246" i="104"/>
  <c r="AR337" i="104"/>
  <c r="BN337" i="104" s="1"/>
  <c r="BJ341" i="104"/>
  <c r="BJ91" i="104"/>
  <c r="BJ421" i="104"/>
  <c r="BJ323" i="104"/>
  <c r="CD348" i="104"/>
  <c r="AR348" i="104"/>
  <c r="BN348" i="104" s="1"/>
  <c r="BJ499" i="104"/>
  <c r="BJ457" i="104"/>
  <c r="BJ515" i="104"/>
  <c r="BJ298" i="104"/>
  <c r="BJ180" i="104"/>
  <c r="BJ364" i="104"/>
  <c r="BJ289" i="104"/>
  <c r="AR188" i="104"/>
  <c r="BN188" i="104" s="1"/>
  <c r="BJ443" i="104"/>
  <c r="AR286" i="104"/>
  <c r="BN286" i="104" s="1"/>
  <c r="BJ116" i="104"/>
  <c r="BH67" i="104"/>
  <c r="BJ157" i="104"/>
  <c r="BJ175" i="104"/>
  <c r="BJ543" i="104"/>
  <c r="BJ394" i="104"/>
  <c r="AR338" i="104"/>
  <c r="BN338" i="104" s="1"/>
  <c r="CD338" i="104"/>
  <c r="AR513" i="104"/>
  <c r="BN513" i="104" s="1"/>
  <c r="BJ133" i="104"/>
  <c r="CD261" i="104"/>
  <c r="CD441" i="104"/>
  <c r="AR441" i="104"/>
  <c r="BN441" i="104" s="1"/>
  <c r="BJ328" i="104"/>
  <c r="CD530" i="104"/>
  <c r="BJ204" i="104"/>
  <c r="BJ61" i="104"/>
  <c r="BJ413" i="104"/>
  <c r="BJ199" i="104"/>
  <c r="BJ38" i="104"/>
  <c r="BJ39" i="104"/>
  <c r="BJ25" i="104"/>
  <c r="BJ184" i="104"/>
  <c r="AR482" i="104"/>
  <c r="BN482" i="104" s="1"/>
  <c r="CD482" i="104"/>
  <c r="BJ436" i="104"/>
  <c r="BJ158" i="104"/>
  <c r="BJ511" i="104"/>
  <c r="BJ229" i="104"/>
  <c r="AR394" i="104"/>
  <c r="BN394" i="104" s="1"/>
  <c r="BJ237" i="104"/>
  <c r="BJ71" i="104"/>
  <c r="BJ337" i="104"/>
  <c r="BJ411" i="104"/>
  <c r="BJ194" i="104"/>
  <c r="BJ73" i="104"/>
  <c r="BJ536" i="104"/>
  <c r="BJ159" i="104"/>
  <c r="BH395" i="104"/>
  <c r="BJ395" i="104"/>
  <c r="BJ446" i="104"/>
  <c r="BJ114" i="104"/>
  <c r="BJ212" i="104"/>
  <c r="BJ541" i="104"/>
  <c r="BJ274" i="104"/>
  <c r="BJ286" i="104"/>
  <c r="BJ370" i="104"/>
  <c r="CD498" i="104"/>
  <c r="AR498" i="104"/>
  <c r="BN498" i="104" s="1"/>
  <c r="AR401" i="104"/>
  <c r="BN401" i="104" s="1"/>
  <c r="CD401" i="104"/>
  <c r="BJ74" i="104"/>
  <c r="BJ340" i="104"/>
  <c r="BJ223" i="104"/>
  <c r="BJ435" i="104"/>
  <c r="BJ481" i="104"/>
  <c r="BJ497" i="104"/>
  <c r="BJ150" i="104"/>
  <c r="BJ275" i="104"/>
  <c r="BJ503" i="104"/>
  <c r="BJ324" i="104"/>
  <c r="BH498" i="104"/>
  <c r="BJ498" i="104"/>
  <c r="BJ82" i="104"/>
  <c r="BH82" i="104"/>
  <c r="BJ401" i="104"/>
  <c r="BH401" i="104"/>
  <c r="BJ425" i="104"/>
  <c r="AR159" i="104"/>
  <c r="BN159" i="104" s="1"/>
  <c r="CD159" i="104"/>
  <c r="BJ519" i="104"/>
  <c r="BJ493" i="104"/>
  <c r="BJ380" i="104"/>
  <c r="BH380" i="104"/>
  <c r="BJ482" i="104"/>
  <c r="BH482" i="104"/>
  <c r="BJ169" i="104"/>
  <c r="BJ445" i="104"/>
  <c r="BH203" i="104"/>
  <c r="BJ203" i="104"/>
  <c r="BJ152" i="104"/>
  <c r="BJ225" i="104"/>
  <c r="BJ32" i="104"/>
  <c r="BJ531" i="104"/>
  <c r="BJ387" i="104"/>
  <c r="BJ253" i="104"/>
  <c r="AR380" i="104"/>
  <c r="BN380" i="104" s="1"/>
  <c r="CD380" i="104"/>
  <c r="AR316" i="104"/>
  <c r="BN316" i="104" s="1"/>
  <c r="CD316" i="104"/>
  <c r="BJ232" i="104"/>
  <c r="BJ476" i="104"/>
  <c r="BJ240" i="104"/>
  <c r="CD415" i="104"/>
  <c r="BJ94" i="104"/>
  <c r="BJ335" i="104"/>
  <c r="BJ548" i="104"/>
  <c r="CD445" i="104"/>
  <c r="AR445" i="104"/>
  <c r="BN445" i="104" s="1"/>
  <c r="BH136" i="104"/>
  <c r="BJ136" i="104"/>
  <c r="BJ433" i="104"/>
  <c r="BH316" i="104"/>
  <c r="BJ316" i="104"/>
  <c r="BJ489" i="104"/>
  <c r="BJ178" i="104"/>
  <c r="BJ449" i="104"/>
  <c r="BJ492" i="104"/>
  <c r="BJ50" i="104"/>
  <c r="BJ269" i="104"/>
  <c r="AR303" i="104"/>
  <c r="BN303" i="104" s="1"/>
  <c r="BJ331" i="104"/>
  <c r="BJ432" i="104"/>
  <c r="BJ306" i="104"/>
  <c r="BJ288" i="104"/>
  <c r="AR507" i="104"/>
  <c r="BN507" i="104" s="1"/>
  <c r="BJ118" i="104"/>
  <c r="BJ87" i="104"/>
  <c r="CD425" i="104"/>
  <c r="AR425" i="104"/>
  <c r="BN425" i="104" s="1"/>
  <c r="BH381" i="104"/>
  <c r="BJ381" i="104"/>
  <c r="BJ151" i="104"/>
  <c r="BH151" i="104"/>
  <c r="BJ297" i="104"/>
  <c r="BH297" i="104"/>
  <c r="CD410" i="104"/>
  <c r="AR410" i="104"/>
  <c r="BN410" i="104" s="1"/>
  <c r="BJ109" i="104"/>
  <c r="BJ410" i="104"/>
  <c r="BH410" i="104"/>
  <c r="BJ402" i="104"/>
  <c r="BJ137" i="104"/>
  <c r="BJ389" i="104"/>
  <c r="BH214" i="104"/>
  <c r="BJ53" i="104"/>
  <c r="BJ283" i="104"/>
  <c r="BJ170" i="104"/>
  <c r="BJ362" i="104"/>
  <c r="AR308" i="104"/>
  <c r="BN308" i="104" s="1"/>
  <c r="CD308" i="104"/>
  <c r="CD521" i="104"/>
  <c r="AR521" i="104"/>
  <c r="BN521" i="104" s="1"/>
  <c r="BF205" i="104"/>
  <c r="BJ256" i="104"/>
  <c r="CD132" i="104"/>
  <c r="AR132" i="104"/>
  <c r="AR130" i="104"/>
  <c r="CD130" i="104"/>
  <c r="AR89" i="104"/>
  <c r="CD89" i="104"/>
  <c r="CD128" i="104"/>
  <c r="AR128" i="104"/>
  <c r="AR84" i="104"/>
  <c r="CD84" i="104"/>
  <c r="O87" i="104"/>
  <c r="AM87" i="104"/>
  <c r="AL87" i="104" s="1"/>
  <c r="CD278" i="104"/>
  <c r="AR278" i="104"/>
  <c r="BN278" i="104" s="1"/>
  <c r="CD315" i="104"/>
  <c r="AR315" i="104"/>
  <c r="BN315" i="104" s="1"/>
  <c r="CD183" i="104"/>
  <c r="AR183" i="104"/>
  <c r="BN183" i="104" s="1"/>
  <c r="BJ154" i="104"/>
  <c r="AR421" i="104"/>
  <c r="BN421" i="104" s="1"/>
  <c r="CD421" i="104"/>
  <c r="BJ523" i="104"/>
  <c r="BH70" i="104"/>
  <c r="CD238" i="104"/>
  <c r="AR238" i="104"/>
  <c r="CD283" i="104"/>
  <c r="AR283" i="104"/>
  <c r="BN283" i="104" s="1"/>
  <c r="AR448" i="104"/>
  <c r="BN448" i="104" s="1"/>
  <c r="CD448" i="104"/>
  <c r="CD229" i="104"/>
  <c r="AR229" i="104"/>
  <c r="AR28" i="104"/>
  <c r="CD28" i="104"/>
  <c r="BJ37" i="104"/>
  <c r="AR294" i="104"/>
  <c r="BN294" i="104" s="1"/>
  <c r="CD294" i="104"/>
  <c r="AR227" i="104"/>
  <c r="CD227" i="104"/>
  <c r="BM172" i="104"/>
  <c r="BG172" i="104" s="1"/>
  <c r="BH172" i="104" s="1"/>
  <c r="AL172" i="104"/>
  <c r="BJ172" i="104"/>
  <c r="CD237" i="104"/>
  <c r="AR237" i="104"/>
  <c r="BJ532" i="104"/>
  <c r="CD71" i="104"/>
  <c r="AR71" i="104"/>
  <c r="BN71" i="104" s="1"/>
  <c r="CD264" i="104"/>
  <c r="AR264" i="104"/>
  <c r="BN264" i="104" s="1"/>
  <c r="AR247" i="104"/>
  <c r="CD247" i="104"/>
  <c r="CD178" i="104"/>
  <c r="AR178" i="104"/>
  <c r="BN178" i="104" s="1"/>
  <c r="BJ135" i="104"/>
  <c r="BJ101" i="104"/>
  <c r="AR328" i="104"/>
  <c r="BN328" i="104" s="1"/>
  <c r="CD328" i="104"/>
  <c r="BH300" i="104"/>
  <c r="AL44" i="104"/>
  <c r="BM44" i="104"/>
  <c r="BG44" i="104" s="1"/>
  <c r="BH44" i="104" s="1"/>
  <c r="BJ278" i="104"/>
  <c r="AR104" i="104"/>
  <c r="BN104" i="104" s="1"/>
  <c r="CD104" i="104"/>
  <c r="BJ115" i="104"/>
  <c r="BJ315" i="104"/>
  <c r="BJ183" i="104"/>
  <c r="CD154" i="104"/>
  <c r="AR154" i="104"/>
  <c r="BN154" i="104" s="1"/>
  <c r="BJ267" i="104"/>
  <c r="AR523" i="104"/>
  <c r="BN523" i="104" s="1"/>
  <c r="CD523" i="104"/>
  <c r="CD493" i="104"/>
  <c r="AR493" i="104"/>
  <c r="BN493" i="104" s="1"/>
  <c r="BJ391" i="104"/>
  <c r="BJ70" i="104"/>
  <c r="AR511" i="104"/>
  <c r="BN511" i="104" s="1"/>
  <c r="CD511" i="104"/>
  <c r="BC47" i="104" a="1"/>
  <c r="BC47" i="104" s="1"/>
  <c r="BF47" i="104"/>
  <c r="AR90" i="104"/>
  <c r="BN90" i="104" s="1"/>
  <c r="CD90" i="104"/>
  <c r="BJ448" i="104"/>
  <c r="BJ374" i="104"/>
  <c r="BJ28" i="104"/>
  <c r="CD37" i="104"/>
  <c r="AR37" i="104"/>
  <c r="BJ191" i="104"/>
  <c r="BJ227" i="104"/>
  <c r="BJ451" i="104"/>
  <c r="AR288" i="104"/>
  <c r="BN288" i="104" s="1"/>
  <c r="CD288" i="104"/>
  <c r="BJ88" i="104"/>
  <c r="BJ452" i="104"/>
  <c r="CD186" i="104"/>
  <c r="AR186" i="104"/>
  <c r="BN186" i="104" s="1"/>
  <c r="CD532" i="104"/>
  <c r="AR532" i="104"/>
  <c r="BN532" i="104" s="1"/>
  <c r="CD370" i="104"/>
  <c r="AR370" i="104"/>
  <c r="BN370" i="104" s="1"/>
  <c r="BJ438" i="104"/>
  <c r="BJ78" i="104"/>
  <c r="CD236" i="104"/>
  <c r="AR236" i="104"/>
  <c r="CD335" i="104"/>
  <c r="AR335" i="104"/>
  <c r="BN335" i="104" s="1"/>
  <c r="AR217" i="104"/>
  <c r="BN217" i="104" s="1"/>
  <c r="CD217" i="104"/>
  <c r="BJ264" i="104"/>
  <c r="BJ247" i="104"/>
  <c r="BJ471" i="104"/>
  <c r="CD26" i="104"/>
  <c r="AR26" i="104"/>
  <c r="CD149" i="104"/>
  <c r="AR149" i="104"/>
  <c r="BN149" i="104" s="1"/>
  <c r="BJ186" i="104"/>
  <c r="BJ385" i="104"/>
  <c r="AR436" i="104"/>
  <c r="BN436" i="104" s="1"/>
  <c r="CD436" i="104"/>
  <c r="CD180" i="104"/>
  <c r="AR180" i="104"/>
  <c r="BN180" i="104" s="1"/>
  <c r="CD400" i="104"/>
  <c r="AR400" i="104"/>
  <c r="BN400" i="104" s="1"/>
  <c r="BJ470" i="104"/>
  <c r="AR310" i="104"/>
  <c r="BN310" i="104" s="1"/>
  <c r="CD310" i="104"/>
  <c r="AR359" i="104"/>
  <c r="BN359" i="104" s="1"/>
  <c r="CD359" i="104"/>
  <c r="AR339" i="104"/>
  <c r="BN339" i="104" s="1"/>
  <c r="CD339" i="104"/>
  <c r="AR156" i="104"/>
  <c r="BN156" i="104" s="1"/>
  <c r="CD156" i="104"/>
  <c r="AL166" i="104"/>
  <c r="BM166" i="104"/>
  <c r="BG166" i="104" s="1"/>
  <c r="BH166" i="104" s="1"/>
  <c r="CD108" i="104"/>
  <c r="AR108" i="104"/>
  <c r="BN108" i="104" s="1"/>
  <c r="AR411" i="104"/>
  <c r="BN411" i="104" s="1"/>
  <c r="CD411" i="104"/>
  <c r="AR98" i="104"/>
  <c r="BN98" i="104" s="1"/>
  <c r="CD98" i="104"/>
  <c r="BH257" i="104"/>
  <c r="CD404" i="104"/>
  <c r="AR404" i="104"/>
  <c r="BN404" i="104" s="1"/>
  <c r="AR467" i="104"/>
  <c r="BN467" i="104" s="1"/>
  <c r="CD467" i="104"/>
  <c r="CD66" i="104"/>
  <c r="AR66" i="104"/>
  <c r="BN66" i="104" s="1"/>
  <c r="CD38" i="104"/>
  <c r="AR38" i="104"/>
  <c r="CD158" i="104"/>
  <c r="AR158" i="104"/>
  <c r="BN158" i="104" s="1"/>
  <c r="AL96" i="104"/>
  <c r="BM96" i="104"/>
  <c r="BG96" i="104" s="1"/>
  <c r="BH96" i="104" s="1"/>
  <c r="BJ57" i="104"/>
  <c r="BJ196" i="104"/>
  <c r="AL235" i="104"/>
  <c r="BM235" i="104"/>
  <c r="BG235" i="104" s="1"/>
  <c r="BH235" i="104" s="1"/>
  <c r="AR432" i="104"/>
  <c r="BN432" i="104" s="1"/>
  <c r="CD432" i="104"/>
  <c r="BJ65" i="104"/>
  <c r="BJ317" i="104"/>
  <c r="BJ546" i="104"/>
  <c r="BJ322" i="104"/>
  <c r="BJ310" i="104"/>
  <c r="CD179" i="104"/>
  <c r="AR179" i="104"/>
  <c r="BN179" i="104" s="1"/>
  <c r="AR163" i="104"/>
  <c r="BN163" i="104" s="1"/>
  <c r="CD163" i="104"/>
  <c r="CD75" i="104"/>
  <c r="AR75" i="104"/>
  <c r="BN75" i="104" s="1"/>
  <c r="AR536" i="104"/>
  <c r="BN536" i="104" s="1"/>
  <c r="CD536" i="104"/>
  <c r="AR118" i="104"/>
  <c r="BN118" i="104" s="1"/>
  <c r="CD118" i="104"/>
  <c r="AR528" i="104"/>
  <c r="BN528" i="104" s="1"/>
  <c r="CD528" i="104"/>
  <c r="CD330" i="104"/>
  <c r="AR330" i="104"/>
  <c r="BN330" i="104" s="1"/>
  <c r="AR351" i="104"/>
  <c r="BN351" i="104" s="1"/>
  <c r="CD351" i="104"/>
  <c r="CD547" i="104"/>
  <c r="AR547" i="104"/>
  <c r="BN547" i="104" s="1"/>
  <c r="BH156" i="104"/>
  <c r="BJ40" i="104"/>
  <c r="AR389" i="104"/>
  <c r="BN389" i="104" s="1"/>
  <c r="CD389" i="104"/>
  <c r="AR39" i="104"/>
  <c r="BN39" i="104" s="1"/>
  <c r="CD39" i="104"/>
  <c r="CD257" i="104"/>
  <c r="AR257" i="104"/>
  <c r="BN257" i="104" s="1"/>
  <c r="BJ404" i="104"/>
  <c r="BJ66" i="104"/>
  <c r="CD299" i="104"/>
  <c r="AR299" i="104"/>
  <c r="BN299" i="104" s="1"/>
  <c r="BJ140" i="104"/>
  <c r="BJ162" i="104"/>
  <c r="CD515" i="104"/>
  <c r="AR515" i="104"/>
  <c r="BN515" i="104" s="1"/>
  <c r="CD298" i="104"/>
  <c r="AR298" i="104"/>
  <c r="BN298" i="104" s="1"/>
  <c r="AR53" i="104"/>
  <c r="BN53" i="104" s="1"/>
  <c r="CD53" i="104"/>
  <c r="CD167" i="104"/>
  <c r="AR167" i="104"/>
  <c r="BN167" i="104" s="1"/>
  <c r="CD481" i="104"/>
  <c r="AR481" i="104"/>
  <c r="BN481" i="104" s="1"/>
  <c r="AL30" i="104"/>
  <c r="BM30" i="104"/>
  <c r="BG30" i="104" s="1"/>
  <c r="BH30" i="104" s="1"/>
  <c r="CD57" i="104"/>
  <c r="AR57" i="104"/>
  <c r="BN57" i="104" s="1"/>
  <c r="BJ539" i="104"/>
  <c r="BJ281" i="104"/>
  <c r="BJ361" i="104"/>
  <c r="AR317" i="104"/>
  <c r="BN317" i="104" s="1"/>
  <c r="CD317" i="104"/>
  <c r="AR546" i="104"/>
  <c r="BN546" i="104" s="1"/>
  <c r="CD546" i="104"/>
  <c r="CD182" i="104"/>
  <c r="AR182" i="104"/>
  <c r="BN182" i="104" s="1"/>
  <c r="CD94" i="104"/>
  <c r="AR94" i="104"/>
  <c r="BN94" i="104" s="1"/>
  <c r="CD177" i="104"/>
  <c r="AR177" i="104"/>
  <c r="BN177" i="104" s="1"/>
  <c r="BJ313" i="104"/>
  <c r="BJ327" i="104"/>
  <c r="CD170" i="104"/>
  <c r="AR170" i="104"/>
  <c r="BM243" i="104"/>
  <c r="BG243" i="104" s="1"/>
  <c r="BH243" i="104" s="1"/>
  <c r="AL243" i="104"/>
  <c r="BJ359" i="104"/>
  <c r="BJ179" i="104"/>
  <c r="BJ234" i="104"/>
  <c r="AR468" i="104"/>
  <c r="BN468" i="104" s="1"/>
  <c r="CD468" i="104"/>
  <c r="BJ528" i="104"/>
  <c r="AR212" i="104"/>
  <c r="BN212" i="104" s="1"/>
  <c r="CD212" i="104"/>
  <c r="AR223" i="104"/>
  <c r="CD223" i="104"/>
  <c r="AR70" i="104"/>
  <c r="BN70" i="104" s="1"/>
  <c r="CD70" i="104"/>
  <c r="AR61" i="104"/>
  <c r="BN61" i="104" s="1"/>
  <c r="CD61" i="104"/>
  <c r="CD422" i="104"/>
  <c r="AR422" i="104"/>
  <c r="BN422" i="104" s="1"/>
  <c r="AR88" i="104"/>
  <c r="CD88" i="104"/>
  <c r="AR253" i="104"/>
  <c r="BN253" i="104" s="1"/>
  <c r="CD253" i="104"/>
  <c r="AR101" i="104"/>
  <c r="BN101" i="104" s="1"/>
  <c r="CD101" i="104"/>
  <c r="AR489" i="104"/>
  <c r="BN489" i="104" s="1"/>
  <c r="CD489" i="104"/>
  <c r="AR331" i="104"/>
  <c r="BN331" i="104" s="1"/>
  <c r="CD331" i="104"/>
  <c r="CD318" i="104"/>
  <c r="AR318" i="104"/>
  <c r="BN318" i="104" s="1"/>
  <c r="AR43" i="104"/>
  <c r="BN43" i="104" s="1"/>
  <c r="CD43" i="104"/>
  <c r="CD398" i="104"/>
  <c r="AR398" i="104"/>
  <c r="BN398" i="104" s="1"/>
  <c r="BJ230" i="104"/>
  <c r="CD269" i="104"/>
  <c r="AR269" i="104"/>
  <c r="BN269" i="104" s="1"/>
  <c r="AR129" i="104"/>
  <c r="CD129" i="104"/>
  <c r="CD102" i="104"/>
  <c r="AR102" i="104"/>
  <c r="BN102" i="104" s="1"/>
  <c r="AR435" i="104"/>
  <c r="BN435" i="104" s="1"/>
  <c r="CD435" i="104"/>
  <c r="AR220" i="104"/>
  <c r="CD220" i="104"/>
  <c r="AL244" i="104"/>
  <c r="BM244" i="104"/>
  <c r="BG244" i="104" s="1"/>
  <c r="BH244" i="104" s="1"/>
  <c r="AR350" i="104"/>
  <c r="BN350" i="104" s="1"/>
  <c r="CD350" i="104"/>
  <c r="BJ77" i="104"/>
  <c r="CD73" i="104"/>
  <c r="AR73" i="104"/>
  <c r="BN73" i="104" s="1"/>
  <c r="CD326" i="104"/>
  <c r="AR326" i="104"/>
  <c r="BN326" i="104" s="1"/>
  <c r="BJ403" i="104"/>
  <c r="AL27" i="104"/>
  <c r="BM27" i="104"/>
  <c r="BG27" i="104" s="1"/>
  <c r="BH27" i="104" s="1"/>
  <c r="BJ27" i="104"/>
  <c r="BJ108" i="104"/>
  <c r="BJ214" i="104"/>
  <c r="BM86" i="104"/>
  <c r="BG86" i="104" s="1"/>
  <c r="BH86" i="104" s="1"/>
  <c r="AL86" i="104"/>
  <c r="BJ46" i="104"/>
  <c r="AR397" i="104"/>
  <c r="BN397" i="104" s="1"/>
  <c r="CD397" i="104"/>
  <c r="BJ351" i="104"/>
  <c r="AR192" i="104"/>
  <c r="BN192" i="104" s="1"/>
  <c r="CD192" i="104"/>
  <c r="AR402" i="104"/>
  <c r="BN402" i="104" s="1"/>
  <c r="CD402" i="104"/>
  <c r="AR62" i="104"/>
  <c r="BN62" i="104" s="1"/>
  <c r="CD62" i="104"/>
  <c r="AR140" i="104"/>
  <c r="BN140" i="104" s="1"/>
  <c r="CD140" i="104"/>
  <c r="CD211" i="104"/>
  <c r="AR211" i="104"/>
  <c r="BN211" i="104" s="1"/>
  <c r="AR114" i="104"/>
  <c r="BN114" i="104" s="1"/>
  <c r="CD114" i="104"/>
  <c r="BJ547" i="104"/>
  <c r="AR40" i="104"/>
  <c r="BN40" i="104" s="1"/>
  <c r="CD40" i="104"/>
  <c r="BJ307" i="104"/>
  <c r="CD427" i="104"/>
  <c r="AR427" i="104"/>
  <c r="BN427" i="104" s="1"/>
  <c r="AR477" i="104"/>
  <c r="BN477" i="104" s="1"/>
  <c r="CD477" i="104"/>
  <c r="AR195" i="104"/>
  <c r="BN195" i="104" s="1"/>
  <c r="CD195" i="104"/>
  <c r="CD346" i="104"/>
  <c r="AR346" i="104"/>
  <c r="BN346" i="104" s="1"/>
  <c r="AR162" i="104"/>
  <c r="BN162" i="104" s="1"/>
  <c r="CD162" i="104"/>
  <c r="CD510" i="104"/>
  <c r="AR510" i="104"/>
  <c r="BN510" i="104" s="1"/>
  <c r="AR446" i="104"/>
  <c r="BN446" i="104" s="1"/>
  <c r="CD446" i="104"/>
  <c r="BJ167" i="104"/>
  <c r="AR293" i="104"/>
  <c r="BN293" i="104" s="1"/>
  <c r="CD293" i="104"/>
  <c r="CD72" i="104"/>
  <c r="AR72" i="104"/>
  <c r="BN72" i="104" s="1"/>
  <c r="AR475" i="104"/>
  <c r="BN475" i="104" s="1"/>
  <c r="CD475" i="104"/>
  <c r="AL228" i="104"/>
  <c r="BM228" i="104"/>
  <c r="BG228" i="104" s="1"/>
  <c r="BH228" i="104" s="1"/>
  <c r="BJ228" i="104"/>
  <c r="CD313" i="104"/>
  <c r="AR313" i="104"/>
  <c r="BN313" i="104" s="1"/>
  <c r="AR246" i="104"/>
  <c r="CD246" i="104"/>
  <c r="CD420" i="104"/>
  <c r="AR420" i="104"/>
  <c r="BN420" i="104" s="1"/>
  <c r="BC70" i="104" a="1"/>
  <c r="BC70" i="104" s="1"/>
  <c r="BF70" i="104"/>
  <c r="BC98" i="104" a="1"/>
  <c r="BC98" i="104" s="1"/>
  <c r="BF98" i="104"/>
  <c r="CD275" i="104"/>
  <c r="AR275" i="104"/>
  <c r="BN275" i="104" s="1"/>
  <c r="CD77" i="104"/>
  <c r="AR77" i="104"/>
  <c r="BN77" i="104" s="1"/>
  <c r="BC257" i="104" a="1"/>
  <c r="BC257" i="104" s="1"/>
  <c r="BF257" i="104"/>
  <c r="AR225" i="104"/>
  <c r="CD225" i="104"/>
  <c r="BJ533" i="104"/>
  <c r="BJ407" i="104"/>
  <c r="CD65" i="104"/>
  <c r="AR65" i="104"/>
  <c r="BN65" i="104" s="1"/>
  <c r="AR249" i="104"/>
  <c r="BN249" i="104" s="1"/>
  <c r="CD249" i="104"/>
  <c r="BH98" i="104"/>
  <c r="AR539" i="104"/>
  <c r="BN539" i="104" s="1"/>
  <c r="CD539" i="104"/>
  <c r="CD456" i="104"/>
  <c r="AR456" i="104"/>
  <c r="BN456" i="104" s="1"/>
  <c r="CD281" i="104"/>
  <c r="AR281" i="104"/>
  <c r="BN281" i="104" s="1"/>
  <c r="CD444" i="104"/>
  <c r="AR444" i="104"/>
  <c r="BN444" i="104" s="1"/>
  <c r="CD357" i="104"/>
  <c r="AR357" i="104"/>
  <c r="BN357" i="104" s="1"/>
  <c r="AR353" i="104"/>
  <c r="BN353" i="104" s="1"/>
  <c r="CD353" i="104"/>
  <c r="AR268" i="104"/>
  <c r="BN268" i="104" s="1"/>
  <c r="CD268" i="104"/>
  <c r="BJ495" i="104"/>
  <c r="BJ62" i="104"/>
  <c r="AR307" i="104"/>
  <c r="BN307" i="104" s="1"/>
  <c r="CD307" i="104"/>
  <c r="BJ427" i="104"/>
  <c r="AR280" i="104"/>
  <c r="BN280" i="104" s="1"/>
  <c r="CD280" i="104"/>
  <c r="BJ242" i="104"/>
  <c r="BJ311" i="104"/>
  <c r="AR45" i="104"/>
  <c r="BN45" i="104" s="1"/>
  <c r="CD45" i="104"/>
  <c r="BJ195" i="104"/>
  <c r="BJ132" i="104"/>
  <c r="BJ346" i="104"/>
  <c r="AR545" i="104"/>
  <c r="BN545" i="104" s="1"/>
  <c r="CD545" i="104"/>
  <c r="BJ377" i="104"/>
  <c r="BJ293" i="104"/>
  <c r="BJ72" i="104"/>
  <c r="AR32" i="104"/>
  <c r="CD32" i="104"/>
  <c r="AR486" i="104"/>
  <c r="BN486" i="104" s="1"/>
  <c r="CD486" i="104"/>
  <c r="BJ120" i="104"/>
  <c r="BJ211" i="104"/>
  <c r="CD289" i="104"/>
  <c r="AR289" i="104"/>
  <c r="BN289" i="104" s="1"/>
  <c r="CD131" i="104"/>
  <c r="AR131" i="104"/>
  <c r="BJ534" i="104"/>
  <c r="AR355" i="104"/>
  <c r="BN355" i="104" s="1"/>
  <c r="CD355" i="104"/>
  <c r="BJ202" i="104"/>
  <c r="BJ382" i="104"/>
  <c r="AL29" i="104"/>
  <c r="BM29" i="104"/>
  <c r="BG29" i="104" s="1"/>
  <c r="BH29" i="104" s="1"/>
  <c r="BJ23" i="104"/>
  <c r="CD460" i="104"/>
  <c r="AR460" i="104"/>
  <c r="BN460" i="104" s="1"/>
  <c r="BJ416" i="104"/>
  <c r="AR336" i="104"/>
  <c r="BN336" i="104" s="1"/>
  <c r="CD336" i="104"/>
  <c r="CD480" i="104"/>
  <c r="AR480" i="104"/>
  <c r="BN480" i="104" s="1"/>
  <c r="CD138" i="104"/>
  <c r="AR138" i="104"/>
  <c r="BN138" i="104" s="1"/>
  <c r="AS222" i="104"/>
  <c r="BA222" i="104" s="1"/>
  <c r="BN222" i="104"/>
  <c r="BJ89" i="104"/>
  <c r="BF300" i="104"/>
  <c r="BC300" i="104" a="1"/>
  <c r="BC300" i="104" s="1"/>
  <c r="BJ81" i="104"/>
  <c r="BJ33" i="104"/>
  <c r="BJ318" i="104"/>
  <c r="AR443" i="104"/>
  <c r="BN443" i="104" s="1"/>
  <c r="CD443" i="104"/>
  <c r="CD85" i="104"/>
  <c r="AR85" i="104"/>
  <c r="AL35" i="104"/>
  <c r="BM35" i="104"/>
  <c r="BG35" i="104" s="1"/>
  <c r="BH35" i="104" s="1"/>
  <c r="BJ35" i="104"/>
  <c r="CD487" i="104"/>
  <c r="AR487" i="104"/>
  <c r="BN487" i="104" s="1"/>
  <c r="AR214" i="104"/>
  <c r="BN214" i="104" s="1"/>
  <c r="CD214" i="104"/>
  <c r="CD196" i="104"/>
  <c r="AR196" i="104"/>
  <c r="BN196" i="104" s="1"/>
  <c r="CD111" i="104"/>
  <c r="AR111" i="104"/>
  <c r="BN111" i="104" s="1"/>
  <c r="AR25" i="104"/>
  <c r="CD25" i="104"/>
  <c r="AR407" i="104"/>
  <c r="BN407" i="104" s="1"/>
  <c r="CD407" i="104"/>
  <c r="CD50" i="104"/>
  <c r="AR50" i="104"/>
  <c r="BN50" i="104" s="1"/>
  <c r="CD152" i="104"/>
  <c r="AR152" i="104"/>
  <c r="BN152" i="104" s="1"/>
  <c r="BJ357" i="104"/>
  <c r="BJ268" i="104"/>
  <c r="AR495" i="104"/>
  <c r="BN495" i="104" s="1"/>
  <c r="CD495" i="104"/>
  <c r="CD112" i="104"/>
  <c r="AR112" i="104"/>
  <c r="BN112" i="104" s="1"/>
  <c r="BJ280" i="104"/>
  <c r="AR242" i="104"/>
  <c r="CD242" i="104"/>
  <c r="CD311" i="104"/>
  <c r="AR311" i="104"/>
  <c r="BN311" i="104" s="1"/>
  <c r="CD384" i="104"/>
  <c r="AR384" i="104"/>
  <c r="BN384" i="104" s="1"/>
  <c r="BJ45" i="104"/>
  <c r="CD342" i="104"/>
  <c r="AR342" i="104"/>
  <c r="BN342" i="104" s="1"/>
  <c r="AR506" i="104"/>
  <c r="BN506" i="104" s="1"/>
  <c r="CD506" i="104"/>
  <c r="BH343" i="104"/>
  <c r="BJ343" i="104"/>
  <c r="CD377" i="104"/>
  <c r="AR377" i="104"/>
  <c r="BN377" i="104" s="1"/>
  <c r="AR497" i="104"/>
  <c r="BN497" i="104" s="1"/>
  <c r="CD497" i="104"/>
  <c r="AR491" i="104"/>
  <c r="BN491" i="104" s="1"/>
  <c r="CD491" i="104"/>
  <c r="CD431" i="104"/>
  <c r="AR431" i="104"/>
  <c r="BN431" i="104" s="1"/>
  <c r="CD534" i="104"/>
  <c r="AR534" i="104"/>
  <c r="BN534" i="104" s="1"/>
  <c r="AR165" i="104"/>
  <c r="BN165" i="104" s="1"/>
  <c r="CD165" i="104"/>
  <c r="AR202" i="104"/>
  <c r="BN202" i="104" s="1"/>
  <c r="CD202" i="104"/>
  <c r="AL226" i="104"/>
  <c r="BM226" i="104"/>
  <c r="BG226" i="104" s="1"/>
  <c r="BH226" i="104" s="1"/>
  <c r="AR382" i="104"/>
  <c r="BN382" i="104" s="1"/>
  <c r="CD382" i="104"/>
  <c r="AR174" i="104"/>
  <c r="CD174" i="104"/>
  <c r="AR387" i="104"/>
  <c r="BN387" i="104" s="1"/>
  <c r="CD387" i="104"/>
  <c r="BJ336" i="104"/>
  <c r="CD36" i="104"/>
  <c r="AR36" i="104"/>
  <c r="BJ480" i="104"/>
  <c r="BJ138" i="104"/>
  <c r="AR127" i="104"/>
  <c r="CD127" i="104"/>
  <c r="AL31" i="104"/>
  <c r="BM31" i="104"/>
  <c r="BG31" i="104" s="1"/>
  <c r="BH31" i="104" s="1"/>
  <c r="CD300" i="104"/>
  <c r="AR300" i="104"/>
  <c r="BN300" i="104" s="1"/>
  <c r="CD267" i="104"/>
  <c r="AR267" i="104"/>
  <c r="BN267" i="104" s="1"/>
  <c r="AL80" i="104"/>
  <c r="BM80" i="104"/>
  <c r="BG80" i="104" s="1"/>
  <c r="BH80" i="104" s="1"/>
  <c r="AR239" i="104"/>
  <c r="CD239" i="104"/>
  <c r="CD374" i="104"/>
  <c r="AR374" i="104"/>
  <c r="BN374" i="104" s="1"/>
  <c r="CD139" i="104"/>
  <c r="AR139" i="104"/>
  <c r="BN139" i="104" s="1"/>
  <c r="AR78" i="104"/>
  <c r="BN78" i="104" s="1"/>
  <c r="CD78" i="104"/>
  <c r="CD81" i="104"/>
  <c r="AR81" i="104"/>
  <c r="BN81" i="104" s="1"/>
  <c r="CD373" i="104"/>
  <c r="AR373" i="104"/>
  <c r="BN373" i="104" s="1"/>
  <c r="CD213" i="104"/>
  <c r="AR213" i="104"/>
  <c r="BN213" i="104" s="1"/>
  <c r="AR371" i="104"/>
  <c r="BN371" i="104" s="1"/>
  <c r="CD371" i="104"/>
  <c r="AR191" i="104"/>
  <c r="BN191" i="104" s="1"/>
  <c r="CD191" i="104"/>
  <c r="BJ139" i="104"/>
  <c r="BJ145" i="104"/>
  <c r="CD451" i="104"/>
  <c r="AR451" i="104"/>
  <c r="BN451" i="104" s="1"/>
  <c r="CD502" i="104"/>
  <c r="AR502" i="104"/>
  <c r="BN502" i="104" s="1"/>
  <c r="AR175" i="104"/>
  <c r="CD175" i="104"/>
  <c r="CD409" i="104"/>
  <c r="AR409" i="104"/>
  <c r="BN409" i="104" s="1"/>
  <c r="BJ373" i="104"/>
  <c r="CD385" i="104"/>
  <c r="AR385" i="104"/>
  <c r="BN385" i="104" s="1"/>
  <c r="AR403" i="104"/>
  <c r="BN403" i="104" s="1"/>
  <c r="CD403" i="104"/>
  <c r="BF214" i="104"/>
  <c r="BC214" i="104" a="1"/>
  <c r="BC214" i="104" s="1"/>
  <c r="CD508" i="104"/>
  <c r="AR508" i="104"/>
  <c r="BN508" i="104" s="1"/>
  <c r="AR173" i="104"/>
  <c r="CD173" i="104"/>
  <c r="BJ43" i="104"/>
  <c r="AR470" i="104"/>
  <c r="BN470" i="104" s="1"/>
  <c r="CD470" i="104"/>
  <c r="AR322" i="104"/>
  <c r="BN322" i="104" s="1"/>
  <c r="CD322" i="104"/>
  <c r="BJ502" i="104"/>
  <c r="BJ398" i="104"/>
  <c r="AR24" i="104"/>
  <c r="CD24" i="104"/>
  <c r="AR123" i="104"/>
  <c r="BN123" i="104" s="1"/>
  <c r="CD123" i="104"/>
  <c r="AR240" i="104"/>
  <c r="CD240" i="104"/>
  <c r="AR119" i="104"/>
  <c r="BN119" i="104" s="1"/>
  <c r="CD119" i="104"/>
  <c r="CD361" i="104"/>
  <c r="AR361" i="104"/>
  <c r="BN361" i="104" s="1"/>
  <c r="BM221" i="104"/>
  <c r="BG221" i="104" s="1"/>
  <c r="BH221" i="104" s="1"/>
  <c r="AL221" i="104"/>
  <c r="AR327" i="104"/>
  <c r="BN327" i="104" s="1"/>
  <c r="CD327" i="104"/>
  <c r="CD424" i="104"/>
  <c r="AR424" i="104"/>
  <c r="BN424" i="104" s="1"/>
  <c r="CD291" i="104"/>
  <c r="AR291" i="104"/>
  <c r="BN291" i="104" s="1"/>
  <c r="CD492" i="104"/>
  <c r="AR492" i="104"/>
  <c r="BN492" i="104" s="1"/>
  <c r="BJ353" i="104"/>
  <c r="AR323" i="104"/>
  <c r="BN323" i="104" s="1"/>
  <c r="CD323" i="104"/>
  <c r="CD68" i="104"/>
  <c r="AR68" i="104"/>
  <c r="BN68" i="104" s="1"/>
  <c r="BJ197" i="104"/>
  <c r="AR245" i="104"/>
  <c r="CD245" i="104"/>
  <c r="BJ512" i="104"/>
  <c r="CD541" i="104"/>
  <c r="AR541" i="104"/>
  <c r="BN541" i="104" s="1"/>
  <c r="BJ334" i="104"/>
  <c r="CD262" i="104"/>
  <c r="AR262" i="104"/>
  <c r="BN262" i="104" s="1"/>
  <c r="BJ486" i="104"/>
  <c r="AR120" i="104"/>
  <c r="BN120" i="104" s="1"/>
  <c r="CD120" i="104"/>
  <c r="CD224" i="104"/>
  <c r="AR224" i="104"/>
  <c r="CD109" i="104"/>
  <c r="AR109" i="104"/>
  <c r="BN109" i="104" s="1"/>
  <c r="AR379" i="104"/>
  <c r="BN379" i="104" s="1"/>
  <c r="CD379" i="104"/>
  <c r="AL95" i="104"/>
  <c r="BM95" i="104"/>
  <c r="BG95" i="104" s="1"/>
  <c r="BH95" i="104" s="1"/>
  <c r="BJ95" i="104"/>
  <c r="CD194" i="104"/>
  <c r="AR194" i="104"/>
  <c r="BN194" i="104" s="1"/>
  <c r="CD255" i="104"/>
  <c r="AR255" i="104"/>
  <c r="BN255" i="104" s="1"/>
  <c r="CD116" i="104"/>
  <c r="AR116" i="104"/>
  <c r="BN116" i="104" s="1"/>
  <c r="AR184" i="104"/>
  <c r="BN184" i="104" s="1"/>
  <c r="CD184" i="104"/>
  <c r="CD416" i="104"/>
  <c r="AR416" i="104"/>
  <c r="BN416" i="104" s="1"/>
  <c r="BJ250" i="104"/>
  <c r="BJ130" i="104"/>
  <c r="BC156" i="104" a="1"/>
  <c r="BC156" i="104" s="1"/>
  <c r="BF156" i="104"/>
  <c r="CD548" i="104"/>
  <c r="AR548" i="104"/>
  <c r="BN548" i="104" s="1"/>
  <c r="AR533" i="104"/>
  <c r="BN533" i="104" s="1"/>
  <c r="CD533" i="104"/>
  <c r="AR473" i="104"/>
  <c r="BN473" i="104" s="1"/>
  <c r="CD473" i="104"/>
  <c r="CD391" i="104"/>
  <c r="AR391" i="104"/>
  <c r="BN391" i="104" s="1"/>
  <c r="CD362" i="104"/>
  <c r="AR362" i="104"/>
  <c r="BN362" i="104" s="1"/>
  <c r="CD471" i="104"/>
  <c r="AR471" i="104"/>
  <c r="BN471" i="104" s="1"/>
  <c r="BJ26" i="104"/>
  <c r="BF113" i="104"/>
  <c r="BC113" i="104" a="1"/>
  <c r="BC113" i="104" s="1"/>
  <c r="CD531" i="104"/>
  <c r="AR531" i="104"/>
  <c r="BN531" i="104" s="1"/>
  <c r="CD363" i="104"/>
  <c r="AR363" i="104"/>
  <c r="BN363" i="104" s="1"/>
  <c r="CD145" i="104"/>
  <c r="AR145" i="104"/>
  <c r="BN145" i="104" s="1"/>
  <c r="AR413" i="104"/>
  <c r="BN413" i="104" s="1"/>
  <c r="CD413" i="104"/>
  <c r="CD230" i="104"/>
  <c r="AR230" i="104"/>
  <c r="CD74" i="104"/>
  <c r="AR74" i="104"/>
  <c r="BN74" i="104" s="1"/>
  <c r="AR501" i="104"/>
  <c r="BN501" i="104" s="1"/>
  <c r="CD501" i="104"/>
  <c r="AR46" i="104"/>
  <c r="BN46" i="104" s="1"/>
  <c r="CD46" i="104"/>
  <c r="BJ397" i="104"/>
  <c r="CD33" i="104"/>
  <c r="AR33" i="104"/>
  <c r="AR64" i="104"/>
  <c r="BN64" i="104" s="1"/>
  <c r="CD64" i="104"/>
  <c r="AR449" i="104"/>
  <c r="BN449" i="104" s="1"/>
  <c r="CD449" i="104"/>
  <c r="CD340" i="104"/>
  <c r="AR340" i="104"/>
  <c r="BN340" i="104" s="1"/>
  <c r="CD34" i="104"/>
  <c r="AR34" i="104"/>
  <c r="BJ508" i="104"/>
  <c r="BJ173" i="104"/>
  <c r="AR496" i="104"/>
  <c r="BN496" i="104" s="1"/>
  <c r="CD496" i="104"/>
  <c r="CD256" i="104"/>
  <c r="AR256" i="104"/>
  <c r="BN256" i="104" s="1"/>
  <c r="CD499" i="104"/>
  <c r="AR499" i="104"/>
  <c r="BN499" i="104" s="1"/>
  <c r="CD60" i="104"/>
  <c r="AR60" i="104"/>
  <c r="BN60" i="104" s="1"/>
  <c r="AR147" i="104"/>
  <c r="BN147" i="104" s="1"/>
  <c r="CD147" i="104"/>
  <c r="AR23" i="104"/>
  <c r="CD23" i="104"/>
  <c r="AR234" i="104"/>
  <c r="CD234" i="104"/>
  <c r="AL241" i="104"/>
  <c r="BM241" i="104"/>
  <c r="BG241" i="104" s="1"/>
  <c r="BH241" i="104" s="1"/>
  <c r="BJ241" i="104"/>
  <c r="BJ291" i="104"/>
  <c r="CD232" i="104"/>
  <c r="AR232" i="104"/>
  <c r="CD469" i="104"/>
  <c r="AR469" i="104"/>
  <c r="BN469" i="104" s="1"/>
  <c r="CD519" i="104"/>
  <c r="AR519" i="104"/>
  <c r="BN519" i="104" s="1"/>
  <c r="CD390" i="104"/>
  <c r="AR390" i="104"/>
  <c r="BN390" i="104" s="1"/>
  <c r="CD197" i="104"/>
  <c r="AR197" i="104"/>
  <c r="BN197" i="104" s="1"/>
  <c r="BJ105" i="104"/>
  <c r="BJ245" i="104"/>
  <c r="AR512" i="104"/>
  <c r="BN512" i="104" s="1"/>
  <c r="CD512" i="104"/>
  <c r="AR233" i="104"/>
  <c r="CD233" i="104"/>
  <c r="AR169" i="104"/>
  <c r="BN169" i="104" s="1"/>
  <c r="CD169" i="104"/>
  <c r="CD406" i="104"/>
  <c r="AR406" i="104"/>
  <c r="BN406" i="104" s="1"/>
  <c r="CD334" i="104"/>
  <c r="AR334" i="104"/>
  <c r="BN334" i="104" s="1"/>
  <c r="BJ262" i="104"/>
  <c r="BJ514" i="104"/>
  <c r="BJ224" i="104"/>
  <c r="BJ431" i="104"/>
  <c r="CD358" i="104"/>
  <c r="AR358" i="104"/>
  <c r="BN358" i="104" s="1"/>
  <c r="BJ110" i="104"/>
  <c r="BJ174" i="104"/>
  <c r="BJ365" i="104"/>
  <c r="CD250" i="104"/>
  <c r="AR250" i="104"/>
  <c r="BN250" i="104" s="1"/>
  <c r="BJ517" i="104"/>
  <c r="BJ144" i="104"/>
  <c r="BN171" i="104"/>
  <c r="AS171" i="104"/>
  <c r="BA171" i="104" s="1"/>
  <c r="AR135" i="104"/>
  <c r="BN135" i="104" s="1"/>
  <c r="CD135" i="104"/>
  <c r="AR42" i="104"/>
  <c r="BN42" i="104" s="1"/>
  <c r="CD42" i="104"/>
  <c r="AR137" i="104"/>
  <c r="BN137" i="104" s="1"/>
  <c r="CD137" i="104"/>
  <c r="BJ469" i="104"/>
  <c r="BJ104" i="104"/>
  <c r="CD115" i="104"/>
  <c r="AR115" i="104"/>
  <c r="BN115" i="104" s="1"/>
  <c r="CD52" i="104"/>
  <c r="AR52" i="104"/>
  <c r="BN52" i="104" s="1"/>
  <c r="CD105" i="104"/>
  <c r="AR105" i="104"/>
  <c r="BN105" i="104" s="1"/>
  <c r="AR457" i="104"/>
  <c r="BN457" i="104" s="1"/>
  <c r="CD457" i="104"/>
  <c r="CD125" i="104"/>
  <c r="AR125" i="104"/>
  <c r="BN125" i="104" s="1"/>
  <c r="BJ406" i="104"/>
  <c r="CD248" i="104"/>
  <c r="AR248" i="104"/>
  <c r="CD439" i="104"/>
  <c r="AR439" i="104"/>
  <c r="BN439" i="104" s="1"/>
  <c r="AR514" i="104"/>
  <c r="BN514" i="104" s="1"/>
  <c r="CD514" i="104"/>
  <c r="AR306" i="104"/>
  <c r="BN306" i="104" s="1"/>
  <c r="CD306" i="104"/>
  <c r="CD110" i="104"/>
  <c r="AR110" i="104"/>
  <c r="BN110" i="104" s="1"/>
  <c r="AR150" i="104"/>
  <c r="BN150" i="104" s="1"/>
  <c r="CD150" i="104"/>
  <c r="AR452" i="104"/>
  <c r="BN452" i="104" s="1"/>
  <c r="CD452" i="104"/>
  <c r="AR550" i="104"/>
  <c r="BN550" i="104" s="1"/>
  <c r="CD550" i="104"/>
  <c r="AR503" i="104"/>
  <c r="BN503" i="104" s="1"/>
  <c r="CD503" i="104"/>
  <c r="AR365" i="104"/>
  <c r="BN365" i="104" s="1"/>
  <c r="CD365" i="104"/>
  <c r="CD438" i="104"/>
  <c r="AR438" i="104"/>
  <c r="BN438" i="104" s="1"/>
  <c r="BJ236" i="104"/>
  <c r="BM231" i="104"/>
  <c r="BG231" i="104" s="1"/>
  <c r="BH231" i="104" s="1"/>
  <c r="AL231" i="104"/>
  <c r="CD517" i="104"/>
  <c r="AR517" i="104"/>
  <c r="BN517" i="104" s="1"/>
  <c r="AR219" i="104"/>
  <c r="CD219" i="104"/>
  <c r="CD144" i="104"/>
  <c r="AR144" i="104"/>
  <c r="BN144" i="104" s="1"/>
  <c r="K655" i="106" l="1"/>
  <c r="K375" i="106"/>
  <c r="K137" i="106"/>
  <c r="J138" i="106"/>
  <c r="K767" i="106"/>
  <c r="J768" i="106" s="1"/>
  <c r="K68" i="106"/>
  <c r="K585" i="106"/>
  <c r="J586" i="106"/>
  <c r="K502" i="106"/>
  <c r="J503" i="106"/>
  <c r="K166" i="106"/>
  <c r="K754" i="106"/>
  <c r="J755" i="106"/>
  <c r="J392" i="106"/>
  <c r="K391" i="106"/>
  <c r="K740" i="106"/>
  <c r="J741" i="106"/>
  <c r="K251" i="106"/>
  <c r="J252" i="106" s="1"/>
  <c r="K558" i="106"/>
  <c r="J559" i="106" s="1"/>
  <c r="K207" i="106"/>
  <c r="K195" i="106"/>
  <c r="J196" i="106" s="1"/>
  <c r="E760" i="106"/>
  <c r="D762" i="106" s="1" a="1"/>
  <c r="D762" i="106" s="1"/>
  <c r="F760" i="106"/>
  <c r="F718" i="106"/>
  <c r="E718" i="106"/>
  <c r="D720" i="106" s="1" a="1"/>
  <c r="D720" i="106" s="1"/>
  <c r="K460" i="106"/>
  <c r="F160" i="106"/>
  <c r="E160" i="106"/>
  <c r="K221" i="106"/>
  <c r="K416" i="106"/>
  <c r="E172" i="106"/>
  <c r="D174" i="106" s="1" a="1"/>
  <c r="D174" i="106" s="1"/>
  <c r="F172" i="106"/>
  <c r="F676" i="106"/>
  <c r="E676" i="106"/>
  <c r="D678" i="106" s="1" a="1"/>
  <c r="D678" i="106" s="1"/>
  <c r="F662" i="106"/>
  <c r="E662" i="106"/>
  <c r="D664" i="106" s="1" a="1"/>
  <c r="D664" i="106" s="1"/>
  <c r="F522" i="106"/>
  <c r="E522" i="106"/>
  <c r="D524" i="106" s="1" a="1"/>
  <c r="D524" i="106" s="1"/>
  <c r="J641" i="106"/>
  <c r="K109" i="106"/>
  <c r="J110" i="106"/>
  <c r="K276" i="106"/>
  <c r="J277" i="106" s="1"/>
  <c r="J362" i="106"/>
  <c r="E214" i="106"/>
  <c r="D216" i="106" s="1" a="1"/>
  <c r="D216" i="106" s="1"/>
  <c r="F214" i="106"/>
  <c r="J292" i="106"/>
  <c r="K291" i="106"/>
  <c r="K599" i="106"/>
  <c r="F354" i="106"/>
  <c r="E354" i="106"/>
  <c r="D356" i="106" s="1" a="1"/>
  <c r="D356" i="106" s="1"/>
  <c r="J698" i="106"/>
  <c r="F622" i="106"/>
  <c r="E622" i="106"/>
  <c r="K614" i="106"/>
  <c r="J615" i="106"/>
  <c r="J683" i="106"/>
  <c r="E284" i="106"/>
  <c r="D286" i="106" s="1" a="1"/>
  <c r="D286" i="106" s="1"/>
  <c r="F284" i="106"/>
  <c r="E188" i="106"/>
  <c r="F188" i="106"/>
  <c r="F550" i="106"/>
  <c r="E550" i="106"/>
  <c r="D552" i="106" s="1" a="1"/>
  <c r="D552" i="106" s="1"/>
  <c r="J530" i="106"/>
  <c r="F328" i="106"/>
  <c r="E328" i="106"/>
  <c r="K179" i="106"/>
  <c r="J180" i="106"/>
  <c r="K432" i="106"/>
  <c r="J433" i="106"/>
  <c r="F312" i="106"/>
  <c r="E312" i="106"/>
  <c r="D314" i="106" s="1" a="1"/>
  <c r="D314" i="106" s="1"/>
  <c r="E88" i="106"/>
  <c r="D90" i="106" s="1" a="1"/>
  <c r="D90" i="106" s="1"/>
  <c r="F88" i="106"/>
  <c r="F61" i="106"/>
  <c r="E61" i="106"/>
  <c r="D63" i="106" s="1" a="1"/>
  <c r="D63" i="106" s="1"/>
  <c r="F130" i="106"/>
  <c r="E130" i="106"/>
  <c r="D132" i="106" s="1" a="1"/>
  <c r="D132" i="106" s="1"/>
  <c r="K446" i="106"/>
  <c r="E438" i="106"/>
  <c r="D440" i="106" s="1" a="1"/>
  <c r="D440" i="106" s="1"/>
  <c r="F438" i="106"/>
  <c r="F774" i="106"/>
  <c r="E774" i="106"/>
  <c r="D776" i="106" s="1" a="1"/>
  <c r="D776" i="106" s="1"/>
  <c r="F592" i="106"/>
  <c r="E592" i="106"/>
  <c r="D594" i="106" s="1" a="1"/>
  <c r="D594" i="106" s="1"/>
  <c r="J320" i="106"/>
  <c r="F564" i="106"/>
  <c r="E564" i="106"/>
  <c r="D566" i="106" s="1" a="1"/>
  <c r="D566" i="106" s="1"/>
  <c r="K627" i="106"/>
  <c r="J628" i="106" s="1"/>
  <c r="K82" i="106"/>
  <c r="J83" i="106"/>
  <c r="F648" i="106"/>
  <c r="E648" i="106"/>
  <c r="D650" i="106" s="1" a="1"/>
  <c r="D650" i="106" s="1"/>
  <c r="K95" i="106"/>
  <c r="E496" i="106"/>
  <c r="F496" i="106"/>
  <c r="K475" i="106"/>
  <c r="J476" i="106" s="1"/>
  <c r="F410" i="106"/>
  <c r="E410" i="106"/>
  <c r="D412" i="106" s="1" a="1"/>
  <c r="D412" i="106" s="1"/>
  <c r="K236" i="106"/>
  <c r="J237" i="106" s="1"/>
  <c r="K307" i="106"/>
  <c r="J308" i="106"/>
  <c r="K334" i="106"/>
  <c r="F340" i="106"/>
  <c r="E340" i="106"/>
  <c r="D342" i="106" s="1" a="1"/>
  <c r="D342" i="106" s="1"/>
  <c r="K264" i="106"/>
  <c r="F452" i="106"/>
  <c r="E452" i="106"/>
  <c r="D454" i="106" s="1" a="1"/>
  <c r="D454" i="106" s="1"/>
  <c r="K404" i="106"/>
  <c r="E468" i="106"/>
  <c r="F468" i="106"/>
  <c r="E228" i="106"/>
  <c r="D230" i="106" s="1" a="1"/>
  <c r="D230" i="106" s="1"/>
  <c r="F228" i="106"/>
  <c r="K711" i="106"/>
  <c r="E634" i="106"/>
  <c r="D636" i="106" s="1" a="1"/>
  <c r="D636" i="106" s="1"/>
  <c r="F634" i="106"/>
  <c r="K348" i="106"/>
  <c r="E74" i="106"/>
  <c r="D76" i="106" s="1" a="1"/>
  <c r="D76" i="106" s="1"/>
  <c r="F74" i="106"/>
  <c r="E258" i="106"/>
  <c r="F258" i="106"/>
  <c r="F116" i="106"/>
  <c r="E116" i="106"/>
  <c r="D118" i="106" s="1" a="1"/>
  <c r="D118" i="106" s="1"/>
  <c r="F202" i="106"/>
  <c r="E202" i="106"/>
  <c r="J124" i="106"/>
  <c r="E704" i="106"/>
  <c r="D706" i="106" s="1" a="1"/>
  <c r="D706" i="106" s="1"/>
  <c r="F704" i="106"/>
  <c r="F580" i="106"/>
  <c r="E580" i="106"/>
  <c r="F538" i="106"/>
  <c r="E538" i="106"/>
  <c r="E382" i="106"/>
  <c r="D384" i="106" s="1" a="1"/>
  <c r="D384" i="106" s="1"/>
  <c r="F382" i="106"/>
  <c r="F58" i="106"/>
  <c r="E58" i="106"/>
  <c r="D60" i="106" s="1" a="1"/>
  <c r="D60" i="106" s="1"/>
  <c r="J543" i="106"/>
  <c r="K542" i="106"/>
  <c r="F424" i="106"/>
  <c r="E424" i="106"/>
  <c r="D426" i="106" s="1" a="1"/>
  <c r="D426" i="106" s="1"/>
  <c r="F608" i="106"/>
  <c r="E608" i="106"/>
  <c r="E690" i="106"/>
  <c r="D692" i="106" s="1" a="1"/>
  <c r="D692" i="106" s="1"/>
  <c r="F690" i="106"/>
  <c r="K154" i="106"/>
  <c r="K487" i="106"/>
  <c r="F242" i="106"/>
  <c r="E242" i="106"/>
  <c r="D244" i="106" s="1" a="1"/>
  <c r="D244" i="106" s="1"/>
  <c r="J573" i="106"/>
  <c r="K572" i="106"/>
  <c r="F270" i="106"/>
  <c r="E270" i="106"/>
  <c r="D272" i="106" s="1" a="1"/>
  <c r="D272" i="106" s="1"/>
  <c r="F144" i="106"/>
  <c r="E144" i="106"/>
  <c r="D146" i="106" s="1" a="1"/>
  <c r="D146" i="106" s="1"/>
  <c r="K724" i="106"/>
  <c r="E732" i="106"/>
  <c r="D734" i="106" s="1" a="1"/>
  <c r="D734" i="106" s="1"/>
  <c r="F732" i="106"/>
  <c r="F102" i="106"/>
  <c r="E102" i="106"/>
  <c r="D104" i="106" s="1" a="1"/>
  <c r="D104" i="106" s="1"/>
  <c r="E298" i="106"/>
  <c r="D300" i="106" s="1" a="1"/>
  <c r="D300" i="106" s="1"/>
  <c r="F298" i="106"/>
  <c r="F508" i="106"/>
  <c r="E508" i="106"/>
  <c r="D510" i="106" s="1" a="1"/>
  <c r="D510" i="106" s="1"/>
  <c r="J54" i="106"/>
  <c r="F748" i="106"/>
  <c r="E748" i="106"/>
  <c r="F396" i="106"/>
  <c r="E396" i="106"/>
  <c r="D398" i="106" s="1" a="1"/>
  <c r="D398" i="106" s="1"/>
  <c r="K516" i="106"/>
  <c r="J517" i="106"/>
  <c r="F482" i="106"/>
  <c r="E482" i="106"/>
  <c r="K669" i="106"/>
  <c r="BJ243" i="104"/>
  <c r="BJ231" i="104"/>
  <c r="BJ235" i="104"/>
  <c r="BJ29" i="104"/>
  <c r="BJ226" i="104"/>
  <c r="BN34" i="104"/>
  <c r="AS34" i="104"/>
  <c r="BA34" i="104" s="1"/>
  <c r="BE34" i="104" s="1"/>
  <c r="BK34" i="104" s="1"/>
  <c r="BN230" i="104"/>
  <c r="AS230" i="104"/>
  <c r="BA230" i="104" s="1"/>
  <c r="AR243" i="104"/>
  <c r="CD243" i="104"/>
  <c r="AR86" i="104"/>
  <c r="CD86" i="104"/>
  <c r="CD44" i="104"/>
  <c r="AR44" i="104"/>
  <c r="BN44" i="104" s="1"/>
  <c r="BN36" i="104"/>
  <c r="AS36" i="104"/>
  <c r="BA36" i="104" s="1"/>
  <c r="BE36" i="104" s="1"/>
  <c r="BK36" i="104" s="1"/>
  <c r="BN239" i="104"/>
  <c r="AS239" i="104"/>
  <c r="BA239" i="104" s="1"/>
  <c r="BN170" i="104"/>
  <c r="AS170" i="104"/>
  <c r="BN84" i="104"/>
  <c r="AS84" i="104"/>
  <c r="BA84" i="104" s="1"/>
  <c r="BN24" i="104"/>
  <c r="AS24" i="104"/>
  <c r="BA24" i="104" s="1"/>
  <c r="BN37" i="104"/>
  <c r="AS37" i="104"/>
  <c r="BA37" i="104" s="1"/>
  <c r="BE37" i="104" s="1"/>
  <c r="BK37" i="104" s="1"/>
  <c r="BN223" i="104"/>
  <c r="AS223" i="104"/>
  <c r="BA223" i="104" s="1"/>
  <c r="BN128" i="104"/>
  <c r="AS128" i="104"/>
  <c r="BA128" i="104" s="1"/>
  <c r="BN25" i="104"/>
  <c r="AS25" i="104"/>
  <c r="BA25" i="104" s="1"/>
  <c r="BN232" i="104"/>
  <c r="AS232" i="104"/>
  <c r="BA232" i="104" s="1"/>
  <c r="CD95" i="104"/>
  <c r="AR95" i="104"/>
  <c r="BN95" i="104" s="1"/>
  <c r="BN174" i="104"/>
  <c r="AS174" i="104"/>
  <c r="BA174" i="104" s="1"/>
  <c r="BE174" i="104" s="1"/>
  <c r="BK174" i="104" s="1"/>
  <c r="BN242" i="104"/>
  <c r="AS242" i="104"/>
  <c r="BA242" i="104" s="1"/>
  <c r="AR27" i="104"/>
  <c r="CD27" i="104"/>
  <c r="AR30" i="104"/>
  <c r="CD30" i="104"/>
  <c r="BN248" i="104"/>
  <c r="AS248" i="104"/>
  <c r="BA248" i="104" s="1"/>
  <c r="BE248" i="104" s="1"/>
  <c r="BK248" i="104" s="1"/>
  <c r="BE222" i="104"/>
  <c r="BK222" i="104" s="1"/>
  <c r="BC222" i="104" a="1"/>
  <c r="BC222" i="104" s="1"/>
  <c r="BN85" i="104"/>
  <c r="AS85" i="104"/>
  <c r="CD244" i="104"/>
  <c r="AR244" i="104"/>
  <c r="BJ96" i="104"/>
  <c r="AR172" i="104"/>
  <c r="CD172" i="104"/>
  <c r="BJ80" i="104"/>
  <c r="BJ166" i="104"/>
  <c r="BN233" i="104"/>
  <c r="AS233" i="104"/>
  <c r="BA233" i="104" s="1"/>
  <c r="CD221" i="104"/>
  <c r="AR221" i="104"/>
  <c r="BN89" i="104"/>
  <c r="AS89" i="104"/>
  <c r="BA89" i="104" s="1"/>
  <c r="BE89" i="104" s="1"/>
  <c r="BK89" i="104" s="1"/>
  <c r="AS131" i="104"/>
  <c r="BA131" i="104" s="1"/>
  <c r="BE131" i="104" s="1"/>
  <c r="BK131" i="104" s="1"/>
  <c r="BN131" i="104"/>
  <c r="BN237" i="104"/>
  <c r="AS237" i="104"/>
  <c r="BN246" i="104"/>
  <c r="AS246" i="104"/>
  <c r="BA246" i="104" s="1"/>
  <c r="BE246" i="104" s="1"/>
  <c r="BK246" i="104" s="1"/>
  <c r="BJ244" i="104"/>
  <c r="BJ44" i="104"/>
  <c r="BN219" i="104"/>
  <c r="AS219" i="104"/>
  <c r="BA219" i="104" s="1"/>
  <c r="BE219" i="104" s="1"/>
  <c r="BK219" i="104" s="1"/>
  <c r="BN238" i="104"/>
  <c r="AS238" i="104"/>
  <c r="BA238" i="104" s="1"/>
  <c r="BN225" i="104"/>
  <c r="AS225" i="104"/>
  <c r="BA225" i="104" s="1"/>
  <c r="BN220" i="104"/>
  <c r="AS220" i="104"/>
  <c r="BA220" i="104" s="1"/>
  <c r="BN38" i="104"/>
  <c r="AS38" i="104"/>
  <c r="BA38" i="104" s="1"/>
  <c r="BE38" i="104" s="1"/>
  <c r="BK38" i="104" s="1"/>
  <c r="CD228" i="104"/>
  <c r="AR228" i="104"/>
  <c r="AS245" i="104"/>
  <c r="BA245" i="104" s="1"/>
  <c r="BE245" i="104" s="1"/>
  <c r="BK245" i="104" s="1"/>
  <c r="BN245" i="104"/>
  <c r="BJ221" i="104"/>
  <c r="BN32" i="104"/>
  <c r="AS32" i="104"/>
  <c r="BA32" i="104" s="1"/>
  <c r="BE32" i="104" s="1"/>
  <c r="BK32" i="104" s="1"/>
  <c r="BN88" i="104"/>
  <c r="AS88" i="104"/>
  <c r="BA88" i="104" s="1"/>
  <c r="BE88" i="104" s="1"/>
  <c r="BK88" i="104" s="1"/>
  <c r="BN127" i="104"/>
  <c r="AS127" i="104"/>
  <c r="BA127" i="104" s="1"/>
  <c r="AR87" i="104"/>
  <c r="CD87" i="104"/>
  <c r="CD35" i="104"/>
  <c r="AR35" i="104"/>
  <c r="AR96" i="104"/>
  <c r="BN96" i="104" s="1"/>
  <c r="CD96" i="104"/>
  <c r="BE171" i="104"/>
  <c r="BK171" i="104" s="1"/>
  <c r="BC171" i="104" a="1"/>
  <c r="BC171" i="104" s="1"/>
  <c r="AR231" i="104"/>
  <c r="CD231" i="104"/>
  <c r="BN175" i="104"/>
  <c r="AS175" i="104"/>
  <c r="BA175" i="104" s="1"/>
  <c r="BE175" i="104" s="1"/>
  <c r="BK175" i="104" s="1"/>
  <c r="CD29" i="104"/>
  <c r="AR29" i="104"/>
  <c r="BN129" i="104"/>
  <c r="AS129" i="104"/>
  <c r="BA129" i="104" s="1"/>
  <c r="BN26" i="104"/>
  <c r="AS26" i="104"/>
  <c r="BA26" i="104" s="1"/>
  <c r="BN247" i="104"/>
  <c r="AS247" i="104"/>
  <c r="BA247" i="104" s="1"/>
  <c r="BE247" i="104" s="1"/>
  <c r="BK247" i="104" s="1"/>
  <c r="BN130" i="104"/>
  <c r="AS130" i="104"/>
  <c r="BA130" i="104" s="1"/>
  <c r="BE130" i="104" s="1"/>
  <c r="BK130" i="104" s="1"/>
  <c r="BN173" i="104"/>
  <c r="AS173" i="104"/>
  <c r="BA173" i="104" s="1"/>
  <c r="BE173" i="104" s="1"/>
  <c r="BK173" i="104" s="1"/>
  <c r="BN234" i="104"/>
  <c r="AS234" i="104"/>
  <c r="BA234" i="104" s="1"/>
  <c r="BE234" i="104" s="1"/>
  <c r="BK234" i="104" s="1"/>
  <c r="BN240" i="104"/>
  <c r="AS240" i="104"/>
  <c r="BA240" i="104" s="1"/>
  <c r="BE240" i="104" s="1"/>
  <c r="BK240" i="104" s="1"/>
  <c r="BN28" i="104"/>
  <c r="AS28" i="104"/>
  <c r="BN132" i="104"/>
  <c r="AS132" i="104"/>
  <c r="BA132" i="104" s="1"/>
  <c r="BE132" i="104" s="1"/>
  <c r="BK132" i="104" s="1"/>
  <c r="BN23" i="104"/>
  <c r="BN236" i="104"/>
  <c r="AS236" i="104"/>
  <c r="BA236" i="104" s="1"/>
  <c r="BE236" i="104" s="1"/>
  <c r="BK236" i="104" s="1"/>
  <c r="CD80" i="104"/>
  <c r="AR80" i="104"/>
  <c r="BN80" i="104" s="1"/>
  <c r="BN33" i="104"/>
  <c r="AS33" i="104"/>
  <c r="BA33" i="104" s="1"/>
  <c r="BE33" i="104" s="1"/>
  <c r="BK33" i="104" s="1"/>
  <c r="CD166" i="104"/>
  <c r="AR166" i="104"/>
  <c r="BN166" i="104" s="1"/>
  <c r="BN227" i="104"/>
  <c r="AS227" i="104"/>
  <c r="BA227" i="104" s="1"/>
  <c r="CD241" i="104"/>
  <c r="AR241" i="104"/>
  <c r="BN224" i="104"/>
  <c r="AS224" i="104"/>
  <c r="BA224" i="104" s="1"/>
  <c r="AR31" i="104"/>
  <c r="CD31" i="104"/>
  <c r="CD226" i="104"/>
  <c r="AR226" i="104"/>
  <c r="CD235" i="104"/>
  <c r="AR235" i="104"/>
  <c r="BN229" i="104"/>
  <c r="AS229" i="104"/>
  <c r="BA229" i="104" s="1"/>
  <c r="BE229" i="104" s="1"/>
  <c r="BK229" i="104" s="1"/>
  <c r="K628" i="106" l="1"/>
  <c r="J629" i="106" s="1"/>
  <c r="K196" i="106"/>
  <c r="J197" i="106"/>
  <c r="K768" i="106"/>
  <c r="J769" i="106" s="1"/>
  <c r="K476" i="106"/>
  <c r="J477" i="106"/>
  <c r="K277" i="106"/>
  <c r="J278" i="106" s="1"/>
  <c r="K237" i="106"/>
  <c r="J238" i="106" s="1"/>
  <c r="K559" i="106"/>
  <c r="J560" i="106" s="1"/>
  <c r="K252" i="106"/>
  <c r="J253" i="106"/>
  <c r="F104" i="106"/>
  <c r="E104" i="106"/>
  <c r="E384" i="106"/>
  <c r="F384" i="106"/>
  <c r="F76" i="106"/>
  <c r="E76" i="106"/>
  <c r="E454" i="106"/>
  <c r="F454" i="106"/>
  <c r="F594" i="106"/>
  <c r="E594" i="106"/>
  <c r="E90" i="106"/>
  <c r="F90" i="106"/>
  <c r="K683" i="106"/>
  <c r="J684" i="106"/>
  <c r="J488" i="106"/>
  <c r="F314" i="106"/>
  <c r="E314" i="106"/>
  <c r="K615" i="106"/>
  <c r="J616" i="106"/>
  <c r="J417" i="106"/>
  <c r="J504" i="106"/>
  <c r="K503" i="106"/>
  <c r="J349" i="106"/>
  <c r="F776" i="106"/>
  <c r="E776" i="106"/>
  <c r="K517" i="106"/>
  <c r="J518" i="106"/>
  <c r="F734" i="106"/>
  <c r="E734" i="106"/>
  <c r="J265" i="106"/>
  <c r="K433" i="106"/>
  <c r="J434" i="106"/>
  <c r="K110" i="106"/>
  <c r="J111" i="106" s="1"/>
  <c r="J222" i="106"/>
  <c r="J155" i="106"/>
  <c r="F342" i="106"/>
  <c r="E342" i="106"/>
  <c r="K586" i="106"/>
  <c r="J587" i="106"/>
  <c r="J725" i="106"/>
  <c r="J96" i="106"/>
  <c r="E440" i="106"/>
  <c r="F440" i="106"/>
  <c r="K180" i="106"/>
  <c r="J181" i="106"/>
  <c r="K641" i="106"/>
  <c r="J642" i="106"/>
  <c r="F398" i="106"/>
  <c r="E398" i="106"/>
  <c r="E692" i="106"/>
  <c r="F692" i="106"/>
  <c r="E706" i="106"/>
  <c r="F706" i="106"/>
  <c r="E636" i="106"/>
  <c r="F636" i="106"/>
  <c r="E650" i="106"/>
  <c r="F650" i="106"/>
  <c r="K698" i="106"/>
  <c r="J699" i="106"/>
  <c r="E524" i="106"/>
  <c r="F524" i="106"/>
  <c r="F146" i="106"/>
  <c r="E146" i="106"/>
  <c r="F356" i="106"/>
  <c r="E356" i="106"/>
  <c r="J461" i="106"/>
  <c r="J69" i="106"/>
  <c r="K124" i="106"/>
  <c r="J125" i="106"/>
  <c r="J712" i="106"/>
  <c r="J335" i="106"/>
  <c r="K83" i="106"/>
  <c r="J84" i="106"/>
  <c r="J447" i="106"/>
  <c r="F664" i="106"/>
  <c r="E664" i="106"/>
  <c r="F720" i="106"/>
  <c r="E720" i="106"/>
  <c r="F272" i="106"/>
  <c r="E272" i="106"/>
  <c r="F426" i="106"/>
  <c r="E426" i="106"/>
  <c r="K308" i="106"/>
  <c r="J309" i="106"/>
  <c r="F132" i="106"/>
  <c r="E132" i="106"/>
  <c r="K530" i="106"/>
  <c r="J531" i="106"/>
  <c r="K741" i="106"/>
  <c r="K54" i="106"/>
  <c r="J55" i="106" s="1"/>
  <c r="F552" i="106"/>
  <c r="E552" i="106"/>
  <c r="J600" i="106"/>
  <c r="F678" i="106"/>
  <c r="E678" i="106"/>
  <c r="K138" i="106"/>
  <c r="J139" i="106"/>
  <c r="F510" i="106"/>
  <c r="E510" i="106"/>
  <c r="F118" i="106"/>
  <c r="E118" i="106"/>
  <c r="F230" i="106"/>
  <c r="E230" i="106"/>
  <c r="E762" i="106"/>
  <c r="F762" i="106"/>
  <c r="K573" i="106"/>
  <c r="K543" i="106"/>
  <c r="J544" i="106"/>
  <c r="K292" i="106"/>
  <c r="J293" i="106"/>
  <c r="K392" i="106"/>
  <c r="J393" i="106" s="1"/>
  <c r="E244" i="106"/>
  <c r="F244" i="106"/>
  <c r="F60" i="106"/>
  <c r="E60" i="106"/>
  <c r="D62" i="106" s="1" a="1"/>
  <c r="D62" i="106" s="1"/>
  <c r="E412" i="106"/>
  <c r="F412" i="106"/>
  <c r="E566" i="106"/>
  <c r="F566" i="106"/>
  <c r="E63" i="106"/>
  <c r="D65" i="106" s="1" a="1"/>
  <c r="D65" i="106" s="1"/>
  <c r="F63" i="106"/>
  <c r="F174" i="106"/>
  <c r="E174" i="106"/>
  <c r="K755" i="106"/>
  <c r="J756" i="106" s="1"/>
  <c r="J376" i="106"/>
  <c r="F300" i="106"/>
  <c r="E300" i="106"/>
  <c r="E216" i="106"/>
  <c r="F216" i="106"/>
  <c r="J670" i="106"/>
  <c r="J405" i="106"/>
  <c r="K320" i="106"/>
  <c r="F286" i="106"/>
  <c r="E286" i="106"/>
  <c r="K362" i="106"/>
  <c r="J363" i="106" s="1"/>
  <c r="J208" i="106"/>
  <c r="J167" i="106"/>
  <c r="J656" i="106"/>
  <c r="BA28" i="104"/>
  <c r="BE28" i="104" s="1"/>
  <c r="BK28" i="104" s="1"/>
  <c r="BE232" i="104"/>
  <c r="BK232" i="104" s="1"/>
  <c r="BC232" i="104" a="1"/>
  <c r="BC232" i="104" s="1"/>
  <c r="AS35" i="104"/>
  <c r="BA35" i="104" s="1"/>
  <c r="BE35" i="104" s="1"/>
  <c r="BK35" i="104" s="1"/>
  <c r="BN35" i="104"/>
  <c r="AS31" i="104"/>
  <c r="BN31" i="104"/>
  <c r="BE26" i="104"/>
  <c r="BK26" i="104" s="1"/>
  <c r="BC26" i="104" a="1"/>
  <c r="BC26" i="104" s="1"/>
  <c r="BE220" i="104"/>
  <c r="BK220" i="104" s="1"/>
  <c r="BC220" i="104" a="1"/>
  <c r="BC220" i="104" s="1"/>
  <c r="BE25" i="104"/>
  <c r="BK25" i="104" s="1"/>
  <c r="BC25" i="104" a="1"/>
  <c r="BC25" i="104" s="1"/>
  <c r="BE224" i="104"/>
  <c r="BK224" i="104" s="1"/>
  <c r="BC224" i="104" a="1"/>
  <c r="BC224" i="104" s="1"/>
  <c r="BE129" i="104"/>
  <c r="BK129" i="104" s="1"/>
  <c r="BC129" i="104" a="1"/>
  <c r="BC129" i="104" s="1"/>
  <c r="BN241" i="104"/>
  <c r="AS241" i="104"/>
  <c r="BA241" i="104" s="1"/>
  <c r="BE241" i="104" s="1"/>
  <c r="BK241" i="104" s="1"/>
  <c r="BC28" i="104" a="1"/>
  <c r="BC28" i="104" s="1"/>
  <c r="BE223" i="104"/>
  <c r="BK223" i="104" s="1"/>
  <c r="BC223" i="104" a="1"/>
  <c r="BC223" i="104" s="1"/>
  <c r="BE227" i="104"/>
  <c r="BK227" i="104" s="1"/>
  <c r="BC227" i="104" a="1"/>
  <c r="BC227" i="104" s="1"/>
  <c r="BN27" i="104"/>
  <c r="AS27" i="104"/>
  <c r="BA27" i="104" s="1"/>
  <c r="BE230" i="104"/>
  <c r="BK230" i="104" s="1"/>
  <c r="BC230" i="104" a="1"/>
  <c r="BC230" i="104" s="1"/>
  <c r="BN172" i="104"/>
  <c r="AS172" i="104"/>
  <c r="BA172" i="104" s="1"/>
  <c r="BE128" i="104"/>
  <c r="BK128" i="104" s="1"/>
  <c r="BC128" i="104" a="1"/>
  <c r="BC128" i="104" s="1"/>
  <c r="BE127" i="104"/>
  <c r="BK127" i="104" s="1"/>
  <c r="BC127" i="104" a="1"/>
  <c r="BC127" i="104" s="1"/>
  <c r="BN29" i="104"/>
  <c r="AS29" i="104"/>
  <c r="BA29" i="104" s="1"/>
  <c r="BN30" i="104"/>
  <c r="AS30" i="104"/>
  <c r="BA30" i="104" s="1"/>
  <c r="BN86" i="104"/>
  <c r="AS86" i="104"/>
  <c r="BA86" i="104" s="1"/>
  <c r="BE242" i="104"/>
  <c r="BK242" i="104" s="1"/>
  <c r="BC242" i="104" a="1"/>
  <c r="BC242" i="104" s="1"/>
  <c r="BE24" i="104"/>
  <c r="BK24" i="104" s="1"/>
  <c r="BC24" i="104" a="1"/>
  <c r="BC24" i="104" s="1"/>
  <c r="BJ24" i="104"/>
  <c r="BE84" i="104"/>
  <c r="BK84" i="104" s="1"/>
  <c r="BC84" i="104" a="1"/>
  <c r="BC84" i="104" s="1"/>
  <c r="BJ84" i="104"/>
  <c r="BN235" i="104"/>
  <c r="AS235" i="104"/>
  <c r="BA235" i="104" s="1"/>
  <c r="BE235" i="104" s="1"/>
  <c r="BK235" i="104" s="1"/>
  <c r="AS244" i="104"/>
  <c r="BN244" i="104"/>
  <c r="BN87" i="104"/>
  <c r="AS87" i="104"/>
  <c r="BA87" i="104" s="1"/>
  <c r="BE225" i="104"/>
  <c r="BK225" i="104" s="1"/>
  <c r="BC225" i="104" a="1"/>
  <c r="BC225" i="104" s="1"/>
  <c r="BN221" i="104"/>
  <c r="AS221" i="104"/>
  <c r="BA221" i="104" s="1"/>
  <c r="BE238" i="104"/>
  <c r="BK238" i="104" s="1"/>
  <c r="BC238" i="104" a="1"/>
  <c r="BC238" i="104" s="1"/>
  <c r="BE233" i="104"/>
  <c r="BK233" i="104" s="1"/>
  <c r="BC233" i="104" a="1"/>
  <c r="BC233" i="104" s="1"/>
  <c r="BN243" i="104"/>
  <c r="AS243" i="104"/>
  <c r="BN231" i="104"/>
  <c r="AS231" i="104"/>
  <c r="BA231" i="104" s="1"/>
  <c r="BN228" i="104"/>
  <c r="AS228" i="104"/>
  <c r="BA228" i="104" s="1"/>
  <c r="BE228" i="104" s="1"/>
  <c r="BK228" i="104" s="1"/>
  <c r="BA237" i="104"/>
  <c r="BA170" i="104"/>
  <c r="BE239" i="104"/>
  <c r="BK239" i="104" s="1"/>
  <c r="BC239" i="104" a="1"/>
  <c r="BC239" i="104" s="1"/>
  <c r="BN226" i="104"/>
  <c r="AS226" i="104"/>
  <c r="BA226" i="104" s="1"/>
  <c r="BA85" i="104"/>
  <c r="K111" i="106" l="1"/>
  <c r="J112" i="106" s="1"/>
  <c r="K560" i="106"/>
  <c r="J561" i="106"/>
  <c r="K238" i="106"/>
  <c r="K756" i="106"/>
  <c r="J757" i="106"/>
  <c r="K278" i="106"/>
  <c r="K55" i="106"/>
  <c r="J394" i="106"/>
  <c r="K393" i="106"/>
  <c r="K769" i="106"/>
  <c r="J770" i="106" s="1"/>
  <c r="K363" i="106"/>
  <c r="J364" i="106"/>
  <c r="K629" i="106"/>
  <c r="K405" i="106"/>
  <c r="J406" i="106"/>
  <c r="K544" i="106"/>
  <c r="J545" i="106"/>
  <c r="J435" i="106"/>
  <c r="K434" i="106"/>
  <c r="K417" i="106"/>
  <c r="J418" i="106"/>
  <c r="K670" i="106"/>
  <c r="E65" i="106"/>
  <c r="D67" i="106" s="1" a="1"/>
  <c r="D67" i="106" s="1"/>
  <c r="F65" i="106"/>
  <c r="K335" i="106"/>
  <c r="K139" i="106"/>
  <c r="J140" i="106"/>
  <c r="J574" i="106"/>
  <c r="K309" i="106"/>
  <c r="J310" i="106"/>
  <c r="K125" i="106"/>
  <c r="J126" i="106" s="1"/>
  <c r="K96" i="106"/>
  <c r="K600" i="106"/>
  <c r="J601" i="106"/>
  <c r="K461" i="106"/>
  <c r="J462" i="106"/>
  <c r="K518" i="106"/>
  <c r="J519" i="106" s="1"/>
  <c r="K488" i="106"/>
  <c r="K656" i="106"/>
  <c r="J198" i="106"/>
  <c r="K197" i="106"/>
  <c r="K167" i="106"/>
  <c r="K253" i="106"/>
  <c r="J254" i="106" s="1"/>
  <c r="K208" i="106"/>
  <c r="K684" i="106"/>
  <c r="K155" i="106"/>
  <c r="K531" i="106"/>
  <c r="J532" i="106" s="1"/>
  <c r="K84" i="106"/>
  <c r="J85" i="106"/>
  <c r="K181" i="106"/>
  <c r="J182" i="106"/>
  <c r="K504" i="106"/>
  <c r="K699" i="106"/>
  <c r="J700" i="106"/>
  <c r="K616" i="106"/>
  <c r="J617" i="106"/>
  <c r="K712" i="106"/>
  <c r="J713" i="106"/>
  <c r="K265" i="106"/>
  <c r="J266" i="106"/>
  <c r="K477" i="106"/>
  <c r="K725" i="106"/>
  <c r="J726" i="106"/>
  <c r="K69" i="106"/>
  <c r="J70" i="106"/>
  <c r="K587" i="106"/>
  <c r="F62" i="106"/>
  <c r="E62" i="106"/>
  <c r="K376" i="106"/>
  <c r="J377" i="106"/>
  <c r="K349" i="106"/>
  <c r="K293" i="106"/>
  <c r="J294" i="106"/>
  <c r="J742" i="106"/>
  <c r="K642" i="106"/>
  <c r="K222" i="106"/>
  <c r="J223" i="106"/>
  <c r="J321" i="106"/>
  <c r="K447" i="106"/>
  <c r="BE226" i="104"/>
  <c r="BK226" i="104" s="1"/>
  <c r="BC226" i="104" a="1"/>
  <c r="BC226" i="104" s="1"/>
  <c r="BE221" i="104"/>
  <c r="BK221" i="104" s="1"/>
  <c r="BC221" i="104" a="1"/>
  <c r="BC221" i="104" s="1"/>
  <c r="BE27" i="104"/>
  <c r="BK27" i="104" s="1"/>
  <c r="BC27" i="104" a="1"/>
  <c r="BC27" i="104" s="1"/>
  <c r="BE87" i="104"/>
  <c r="BK87" i="104" s="1"/>
  <c r="BC87" i="104" a="1"/>
  <c r="BC87" i="104" s="1"/>
  <c r="BE237" i="104"/>
  <c r="BK237" i="104" s="1"/>
  <c r="BC237" i="104" a="1"/>
  <c r="BC237" i="104" s="1"/>
  <c r="BE30" i="104"/>
  <c r="BK30" i="104" s="1"/>
  <c r="BC30" i="104" a="1"/>
  <c r="BC30" i="104" s="1"/>
  <c r="BJ30" i="104"/>
  <c r="BE29" i="104"/>
  <c r="BK29" i="104" s="1"/>
  <c r="BC29" i="104" a="1"/>
  <c r="BC29" i="104" s="1"/>
  <c r="BE231" i="104"/>
  <c r="BK231" i="104" s="1"/>
  <c r="BC231" i="104" a="1"/>
  <c r="BC231" i="104" s="1"/>
  <c r="BA244" i="104"/>
  <c r="BA243" i="104"/>
  <c r="BE172" i="104"/>
  <c r="BK172" i="104" s="1"/>
  <c r="BC172" i="104" a="1"/>
  <c r="BC172" i="104" s="1"/>
  <c r="BE85" i="104"/>
  <c r="BK85" i="104" s="1"/>
  <c r="BC85" i="104" a="1"/>
  <c r="BC85" i="104" s="1"/>
  <c r="BJ85" i="104"/>
  <c r="BC86" i="104" a="1"/>
  <c r="BC86" i="104" s="1"/>
  <c r="BE86" i="104"/>
  <c r="BK86" i="104" s="1"/>
  <c r="BJ86" i="104"/>
  <c r="BE170" i="104"/>
  <c r="BK170" i="104" s="1"/>
  <c r="BC170" i="104" a="1"/>
  <c r="BC170" i="104" s="1"/>
  <c r="BA31" i="104"/>
  <c r="K519" i="106" l="1"/>
  <c r="K532" i="106"/>
  <c r="J533" i="106"/>
  <c r="K126" i="106"/>
  <c r="K254" i="106"/>
  <c r="J255" i="106"/>
  <c r="K770" i="106"/>
  <c r="J771" i="106"/>
  <c r="K112" i="106"/>
  <c r="J113" i="106"/>
  <c r="K223" i="106"/>
  <c r="J224" i="106"/>
  <c r="J56" i="106"/>
  <c r="J643" i="106"/>
  <c r="K700" i="106"/>
  <c r="J630" i="106"/>
  <c r="K742" i="106"/>
  <c r="J743" i="106"/>
  <c r="J588" i="106"/>
  <c r="J685" i="106"/>
  <c r="K462" i="106"/>
  <c r="J463" i="106"/>
  <c r="J336" i="106"/>
  <c r="J279" i="106"/>
  <c r="K294" i="106"/>
  <c r="K70" i="106"/>
  <c r="K757" i="106"/>
  <c r="J758" i="106" s="1"/>
  <c r="J209" i="106"/>
  <c r="K601" i="106"/>
  <c r="E67" i="106"/>
  <c r="D69" i="106" s="1" a="1"/>
  <c r="D69" i="106" s="1"/>
  <c r="F67" i="106"/>
  <c r="K364" i="106"/>
  <c r="J365" i="106"/>
  <c r="K726" i="106"/>
  <c r="J727" i="106" s="1"/>
  <c r="J505" i="106"/>
  <c r="J350" i="106"/>
  <c r="K182" i="106"/>
  <c r="J671" i="106"/>
  <c r="J239" i="106"/>
  <c r="K418" i="106"/>
  <c r="J419" i="106"/>
  <c r="K85" i="106"/>
  <c r="J168" i="106"/>
  <c r="J97" i="106"/>
  <c r="J562" i="106"/>
  <c r="K561" i="106"/>
  <c r="J478" i="106"/>
  <c r="K617" i="106"/>
  <c r="J618" i="106" s="1"/>
  <c r="K140" i="106"/>
  <c r="J141" i="106"/>
  <c r="K406" i="106"/>
  <c r="J156" i="106"/>
  <c r="J489" i="106"/>
  <c r="K266" i="106"/>
  <c r="J267" i="106" s="1"/>
  <c r="K198" i="106"/>
  <c r="J199" i="106" s="1"/>
  <c r="K435" i="106"/>
  <c r="J436" i="106"/>
  <c r="K394" i="106"/>
  <c r="K377" i="106"/>
  <c r="J378" i="106"/>
  <c r="K310" i="106"/>
  <c r="J311" i="106"/>
  <c r="J448" i="106"/>
  <c r="K713" i="106"/>
  <c r="J714" i="106"/>
  <c r="K545" i="106"/>
  <c r="J546" i="106"/>
  <c r="K321" i="106"/>
  <c r="J657" i="106"/>
  <c r="K574" i="106"/>
  <c r="J575" i="106" s="1"/>
  <c r="BE31" i="104"/>
  <c r="BK31" i="104" s="1"/>
  <c r="BC31" i="104" a="1"/>
  <c r="BC31" i="104" s="1"/>
  <c r="BJ31" i="104"/>
  <c r="BE244" i="104"/>
  <c r="BK244" i="104" s="1"/>
  <c r="BC244" i="104" a="1"/>
  <c r="BC244" i="104" s="1"/>
  <c r="BE243" i="104"/>
  <c r="BK243" i="104" s="1"/>
  <c r="BC243" i="104" a="1"/>
  <c r="BC243" i="104" s="1"/>
  <c r="K199" i="106" l="1"/>
  <c r="J200" i="106"/>
  <c r="K575" i="106"/>
  <c r="J576" i="106" s="1"/>
  <c r="K267" i="106"/>
  <c r="K618" i="106"/>
  <c r="J619" i="106"/>
  <c r="K758" i="106"/>
  <c r="K727" i="106"/>
  <c r="J728" i="106"/>
  <c r="K505" i="106"/>
  <c r="J506" i="106" s="1"/>
  <c r="K255" i="106"/>
  <c r="K311" i="106"/>
  <c r="J312" i="106" s="1"/>
  <c r="J701" i="106"/>
  <c r="J407" i="106"/>
  <c r="J127" i="106"/>
  <c r="K657" i="106"/>
  <c r="J658" i="106"/>
  <c r="K279" i="106"/>
  <c r="K533" i="106"/>
  <c r="J534" i="106" s="1"/>
  <c r="K239" i="106"/>
  <c r="J240" i="106"/>
  <c r="K336" i="106"/>
  <c r="K224" i="106"/>
  <c r="J395" i="106"/>
  <c r="K671" i="106"/>
  <c r="J672" i="106"/>
  <c r="E69" i="106"/>
  <c r="D71" i="106" s="1" a="1"/>
  <c r="D71" i="106" s="1"/>
  <c r="F69" i="106"/>
  <c r="K463" i="106"/>
  <c r="J322" i="106"/>
  <c r="K436" i="106"/>
  <c r="K113" i="106"/>
  <c r="J114" i="106" s="1"/>
  <c r="J520" i="106"/>
  <c r="J547" i="106"/>
  <c r="K546" i="106"/>
  <c r="K478" i="106"/>
  <c r="J183" i="106"/>
  <c r="J602" i="106"/>
  <c r="K685" i="106"/>
  <c r="J686" i="106"/>
  <c r="K209" i="106"/>
  <c r="J210" i="106" s="1"/>
  <c r="K588" i="106"/>
  <c r="J589" i="106"/>
  <c r="J449" i="106"/>
  <c r="K448" i="106"/>
  <c r="K156" i="106"/>
  <c r="J86" i="106"/>
  <c r="K419" i="106"/>
  <c r="K643" i="106"/>
  <c r="J71" i="106"/>
  <c r="K56" i="106"/>
  <c r="K378" i="106"/>
  <c r="J379" i="106"/>
  <c r="K141" i="106"/>
  <c r="J142" i="106" s="1"/>
  <c r="K365" i="106"/>
  <c r="J295" i="106"/>
  <c r="K562" i="106"/>
  <c r="J563" i="106" s="1"/>
  <c r="K350" i="106"/>
  <c r="K743" i="106"/>
  <c r="J744" i="106"/>
  <c r="K714" i="106"/>
  <c r="J715" i="106"/>
  <c r="K771" i="106"/>
  <c r="J772" i="106" s="1"/>
  <c r="K97" i="106"/>
  <c r="J98" i="106"/>
  <c r="K630" i="106"/>
  <c r="K489" i="106"/>
  <c r="J490" i="106"/>
  <c r="K168" i="106"/>
  <c r="DJ3" i="104"/>
  <c r="DJ4" i="104"/>
  <c r="DJ5" i="104"/>
  <c r="K114" i="106" l="1"/>
  <c r="J115" i="106" s="1"/>
  <c r="K772" i="106"/>
  <c r="J773" i="106"/>
  <c r="K506" i="106"/>
  <c r="J507" i="106"/>
  <c r="K563" i="106"/>
  <c r="J564" i="106"/>
  <c r="K210" i="106"/>
  <c r="K142" i="106"/>
  <c r="J143" i="106"/>
  <c r="K312" i="106"/>
  <c r="K534" i="106"/>
  <c r="J535" i="106"/>
  <c r="K576" i="106"/>
  <c r="K547" i="106"/>
  <c r="K701" i="106"/>
  <c r="J702" i="106" s="1"/>
  <c r="K589" i="106"/>
  <c r="J590" i="106" s="1"/>
  <c r="J256" i="106"/>
  <c r="J745" i="106"/>
  <c r="K744" i="106"/>
  <c r="J57" i="106"/>
  <c r="J337" i="106"/>
  <c r="J268" i="106"/>
  <c r="J437" i="106"/>
  <c r="K240" i="106"/>
  <c r="K322" i="106"/>
  <c r="J169" i="106"/>
  <c r="J351" i="106"/>
  <c r="J644" i="106"/>
  <c r="K686" i="106"/>
  <c r="J687" i="106" s="1"/>
  <c r="K200" i="106"/>
  <c r="J201" i="106"/>
  <c r="K490" i="106"/>
  <c r="J491" i="106" s="1"/>
  <c r="J420" i="106"/>
  <c r="K602" i="106"/>
  <c r="J464" i="106"/>
  <c r="K728" i="106"/>
  <c r="J729" i="106"/>
  <c r="K183" i="106"/>
  <c r="J184" i="106" s="1"/>
  <c r="J280" i="106"/>
  <c r="K449" i="106"/>
  <c r="K379" i="106"/>
  <c r="J380" i="106"/>
  <c r="K520" i="106"/>
  <c r="J521" i="106"/>
  <c r="K619" i="106"/>
  <c r="J620" i="106"/>
  <c r="K715" i="106"/>
  <c r="J716" i="106" s="1"/>
  <c r="J225" i="106"/>
  <c r="K71" i="106"/>
  <c r="K295" i="106"/>
  <c r="J296" i="106" s="1"/>
  <c r="K86" i="106"/>
  <c r="J87" i="106" s="1"/>
  <c r="F71" i="106"/>
  <c r="E71" i="106"/>
  <c r="D73" i="106" s="1" a="1"/>
  <c r="D73" i="106" s="1"/>
  <c r="K658" i="106"/>
  <c r="J659" i="106" s="1"/>
  <c r="J631" i="106"/>
  <c r="J479" i="106"/>
  <c r="K672" i="106"/>
  <c r="J673" i="106" s="1"/>
  <c r="K98" i="106"/>
  <c r="J99" i="106"/>
  <c r="J366" i="106"/>
  <c r="J157" i="106"/>
  <c r="K127" i="106"/>
  <c r="K395" i="106"/>
  <c r="K407" i="106"/>
  <c r="J408" i="106" s="1"/>
  <c r="J759" i="106"/>
  <c r="AM7" i="100" a="1"/>
  <c r="AM7" i="100" s="1"/>
  <c r="AM6" i="100"/>
  <c r="L23" i="100"/>
  <c r="L26" i="100"/>
  <c r="L28" i="100"/>
  <c r="L37" i="100"/>
  <c r="L30" i="100" s="1"/>
  <c r="M37" i="100"/>
  <c r="L38" i="100"/>
  <c r="L41" i="100" s="1"/>
  <c r="M38" i="100"/>
  <c r="L39" i="100"/>
  <c r="M46" i="100"/>
  <c r="K673" i="106" l="1"/>
  <c r="J674" i="106" s="1"/>
  <c r="K408" i="106"/>
  <c r="J409" i="106" s="1"/>
  <c r="K491" i="106"/>
  <c r="J492" i="106"/>
  <c r="K590" i="106"/>
  <c r="J591" i="106"/>
  <c r="K115" i="106"/>
  <c r="J116" i="106" s="1"/>
  <c r="K716" i="106"/>
  <c r="K702" i="106"/>
  <c r="J703" i="106" s="1"/>
  <c r="K687" i="106"/>
  <c r="J688" i="106" s="1"/>
  <c r="J660" i="106"/>
  <c r="K659" i="106"/>
  <c r="K184" i="106"/>
  <c r="J185" i="106"/>
  <c r="K87" i="106"/>
  <c r="J88" i="106" s="1"/>
  <c r="K296" i="106"/>
  <c r="J297" i="106"/>
  <c r="K366" i="106"/>
  <c r="J367" i="106" s="1"/>
  <c r="J450" i="106"/>
  <c r="K280" i="106"/>
  <c r="J281" i="106" s="1"/>
  <c r="J241" i="106"/>
  <c r="J211" i="106"/>
  <c r="J72" i="106"/>
  <c r="K479" i="106"/>
  <c r="J480" i="106"/>
  <c r="K268" i="106"/>
  <c r="J548" i="106"/>
  <c r="J396" i="106"/>
  <c r="J226" i="106"/>
  <c r="K225" i="106"/>
  <c r="K337" i="106"/>
  <c r="J508" i="106"/>
  <c r="K507" i="106"/>
  <c r="K631" i="106"/>
  <c r="J632" i="106"/>
  <c r="K729" i="106"/>
  <c r="J730" i="106"/>
  <c r="K57" i="106"/>
  <c r="J58" i="106"/>
  <c r="J645" i="106"/>
  <c r="K644" i="106"/>
  <c r="J577" i="106"/>
  <c r="K157" i="106"/>
  <c r="J158" i="106" s="1"/>
  <c r="J760" i="106"/>
  <c r="K759" i="106"/>
  <c r="K143" i="106"/>
  <c r="J144" i="106"/>
  <c r="K521" i="106"/>
  <c r="J522" i="106"/>
  <c r="K99" i="106"/>
  <c r="K420" i="106"/>
  <c r="K380" i="106"/>
  <c r="K201" i="106"/>
  <c r="K437" i="106"/>
  <c r="J438" i="106"/>
  <c r="K564" i="106"/>
  <c r="K351" i="106"/>
  <c r="J352" i="106"/>
  <c r="K745" i="106"/>
  <c r="J746" i="106" s="1"/>
  <c r="K535" i="106"/>
  <c r="J536" i="106" s="1"/>
  <c r="K773" i="106"/>
  <c r="E73" i="106"/>
  <c r="D75" i="106" s="1" a="1"/>
  <c r="D75" i="106" s="1"/>
  <c r="F73" i="106"/>
  <c r="K620" i="106"/>
  <c r="J621" i="106"/>
  <c r="K464" i="106"/>
  <c r="K169" i="106"/>
  <c r="J170" i="106"/>
  <c r="K256" i="106"/>
  <c r="J257" i="106" s="1"/>
  <c r="J128" i="106"/>
  <c r="J603" i="106"/>
  <c r="J323" i="106"/>
  <c r="J313" i="106"/>
  <c r="L25" i="100"/>
  <c r="L21" i="100"/>
  <c r="K326" i="100"/>
  <c r="J326" i="100"/>
  <c r="I326" i="100"/>
  <c r="K325" i="100"/>
  <c r="J325" i="100"/>
  <c r="I325" i="100"/>
  <c r="K324" i="100"/>
  <c r="J324" i="100"/>
  <c r="I324" i="100"/>
  <c r="K323" i="100"/>
  <c r="J323" i="100"/>
  <c r="I323" i="100"/>
  <c r="K322" i="100"/>
  <c r="J322" i="100"/>
  <c r="I322" i="100"/>
  <c r="K321" i="100"/>
  <c r="J321" i="100"/>
  <c r="I321" i="100"/>
  <c r="K320" i="100"/>
  <c r="J320" i="100"/>
  <c r="I320" i="100"/>
  <c r="K319" i="100"/>
  <c r="J319" i="100"/>
  <c r="I319" i="100"/>
  <c r="K318" i="100"/>
  <c r="J318" i="100"/>
  <c r="I318" i="100"/>
  <c r="K317" i="100"/>
  <c r="J317" i="100"/>
  <c r="I317" i="100"/>
  <c r="K316" i="100"/>
  <c r="J316" i="100"/>
  <c r="I316" i="100"/>
  <c r="K315" i="100"/>
  <c r="J315" i="100"/>
  <c r="I315" i="100"/>
  <c r="C315" i="100"/>
  <c r="K314" i="100"/>
  <c r="J314" i="100"/>
  <c r="I314" i="100"/>
  <c r="K313" i="100"/>
  <c r="J313" i="100"/>
  <c r="I313" i="100"/>
  <c r="C313" i="100"/>
  <c r="C314" i="100" s="1"/>
  <c r="C317" i="100" s="1"/>
  <c r="C318" i="100" s="1"/>
  <c r="C319" i="100" s="1"/>
  <c r="C320" i="100" s="1"/>
  <c r="C316" i="100" s="1"/>
  <c r="D313" i="100" s="1" a="1"/>
  <c r="D313" i="100" s="1"/>
  <c r="K312" i="100"/>
  <c r="J312" i="100"/>
  <c r="I312" i="100"/>
  <c r="K311" i="100"/>
  <c r="J311" i="100"/>
  <c r="I311" i="100"/>
  <c r="K310" i="100"/>
  <c r="J310" i="100"/>
  <c r="I310" i="100"/>
  <c r="K309" i="100"/>
  <c r="J309" i="100"/>
  <c r="I309" i="100"/>
  <c r="K308" i="100"/>
  <c r="J308" i="100"/>
  <c r="I308" i="100"/>
  <c r="K307" i="100"/>
  <c r="J307" i="100"/>
  <c r="I307" i="100"/>
  <c r="K306" i="100"/>
  <c r="J306" i="100"/>
  <c r="I306" i="100"/>
  <c r="K305" i="100"/>
  <c r="J305" i="100"/>
  <c r="I305" i="100"/>
  <c r="K304" i="100"/>
  <c r="J304" i="100"/>
  <c r="I304" i="100"/>
  <c r="K303" i="100"/>
  <c r="J303" i="100"/>
  <c r="I303" i="100"/>
  <c r="C303" i="100"/>
  <c r="C304" i="100" s="1"/>
  <c r="C305" i="100" s="1"/>
  <c r="C306" i="100" s="1"/>
  <c r="C302" i="100" s="1"/>
  <c r="D299" i="100" s="1" a="1"/>
  <c r="D299" i="100" s="1"/>
  <c r="K302" i="100"/>
  <c r="J302" i="100"/>
  <c r="I302" i="100"/>
  <c r="K301" i="100"/>
  <c r="J301" i="100"/>
  <c r="I301" i="100"/>
  <c r="C301" i="100"/>
  <c r="K300" i="100"/>
  <c r="J300" i="100"/>
  <c r="I300" i="100"/>
  <c r="K299" i="100"/>
  <c r="J299" i="100"/>
  <c r="I299" i="100"/>
  <c r="C299" i="100"/>
  <c r="C300" i="100" s="1"/>
  <c r="K298" i="100"/>
  <c r="J298" i="100"/>
  <c r="I298" i="100"/>
  <c r="K297" i="100"/>
  <c r="J297" i="100"/>
  <c r="I297" i="100"/>
  <c r="K296" i="100"/>
  <c r="J296" i="100"/>
  <c r="I296" i="100"/>
  <c r="K295" i="100"/>
  <c r="J295" i="100"/>
  <c r="I295" i="100"/>
  <c r="K294" i="100"/>
  <c r="J294" i="100"/>
  <c r="I294" i="100"/>
  <c r="K293" i="100"/>
  <c r="J293" i="100"/>
  <c r="I293" i="100"/>
  <c r="K292" i="100"/>
  <c r="J292" i="100"/>
  <c r="I292" i="100"/>
  <c r="K291" i="100"/>
  <c r="J291" i="100"/>
  <c r="I291" i="100"/>
  <c r="K290" i="100"/>
  <c r="J290" i="100"/>
  <c r="I290" i="100"/>
  <c r="K289" i="100"/>
  <c r="J289" i="100"/>
  <c r="I289" i="100"/>
  <c r="K288" i="100"/>
  <c r="J288" i="100"/>
  <c r="I288" i="100"/>
  <c r="K287" i="100"/>
  <c r="J287" i="100"/>
  <c r="I287" i="100"/>
  <c r="C287" i="100"/>
  <c r="K286" i="100"/>
  <c r="J286" i="100"/>
  <c r="I286" i="100"/>
  <c r="K285" i="100"/>
  <c r="J285" i="100"/>
  <c r="I285" i="100"/>
  <c r="C285" i="100"/>
  <c r="C286" i="100" s="1"/>
  <c r="C289" i="100" s="1"/>
  <c r="C290" i="100" s="1"/>
  <c r="C291" i="100" s="1"/>
  <c r="C292" i="100" s="1"/>
  <c r="C288" i="100" s="1"/>
  <c r="D285" i="100" s="1" a="1"/>
  <c r="D285" i="100" s="1"/>
  <c r="K284" i="100"/>
  <c r="J284" i="100"/>
  <c r="I284" i="100"/>
  <c r="K283" i="100"/>
  <c r="J283" i="100"/>
  <c r="I283" i="100"/>
  <c r="K282" i="100"/>
  <c r="J282" i="100"/>
  <c r="I282" i="100"/>
  <c r="K281" i="100"/>
  <c r="J281" i="100"/>
  <c r="I281" i="100"/>
  <c r="K280" i="100"/>
  <c r="J280" i="100"/>
  <c r="I280" i="100"/>
  <c r="K279" i="100"/>
  <c r="J279" i="100"/>
  <c r="I279" i="100"/>
  <c r="K278" i="100"/>
  <c r="J278" i="100"/>
  <c r="I278" i="100"/>
  <c r="K277" i="100"/>
  <c r="J277" i="100"/>
  <c r="I277" i="100"/>
  <c r="K276" i="100"/>
  <c r="J276" i="100"/>
  <c r="I276" i="100"/>
  <c r="K275" i="100"/>
  <c r="J275" i="100"/>
  <c r="I275" i="100"/>
  <c r="K274" i="100"/>
  <c r="J274" i="100"/>
  <c r="I274" i="100"/>
  <c r="K273" i="100"/>
  <c r="J273" i="100"/>
  <c r="I273" i="100"/>
  <c r="C273" i="100"/>
  <c r="K272" i="100"/>
  <c r="J272" i="100"/>
  <c r="I272" i="100"/>
  <c r="K271" i="100"/>
  <c r="J271" i="100"/>
  <c r="I271" i="100"/>
  <c r="C271" i="100"/>
  <c r="C272" i="100" s="1"/>
  <c r="C275" i="100" s="1"/>
  <c r="C276" i="100" s="1"/>
  <c r="C277" i="100" s="1"/>
  <c r="C278" i="100" s="1"/>
  <c r="C274" i="100" s="1"/>
  <c r="D271" i="100" s="1" a="1"/>
  <c r="D271" i="100" s="1"/>
  <c r="K270" i="100"/>
  <c r="J270" i="100"/>
  <c r="I270" i="100"/>
  <c r="K269" i="100"/>
  <c r="J269" i="100"/>
  <c r="I269" i="100"/>
  <c r="K268" i="100"/>
  <c r="J268" i="100"/>
  <c r="I268" i="100"/>
  <c r="K267" i="100"/>
  <c r="J267" i="100"/>
  <c r="I267" i="100"/>
  <c r="K266" i="100"/>
  <c r="J266" i="100"/>
  <c r="I266" i="100"/>
  <c r="K265" i="100"/>
  <c r="J265" i="100"/>
  <c r="I265" i="100"/>
  <c r="K264" i="100"/>
  <c r="J264" i="100"/>
  <c r="I264" i="100"/>
  <c r="K263" i="100"/>
  <c r="J263" i="100"/>
  <c r="I263" i="100"/>
  <c r="K262" i="100"/>
  <c r="J262" i="100"/>
  <c r="I262" i="100"/>
  <c r="K261" i="100"/>
  <c r="J261" i="100"/>
  <c r="I261" i="100"/>
  <c r="K260" i="100"/>
  <c r="J260" i="100"/>
  <c r="I260" i="100"/>
  <c r="K259" i="100"/>
  <c r="J259" i="100"/>
  <c r="I259" i="100"/>
  <c r="C259" i="100"/>
  <c r="K258" i="100"/>
  <c r="J258" i="100"/>
  <c r="I258" i="100"/>
  <c r="C258" i="100"/>
  <c r="C261" i="100" s="1"/>
  <c r="C262" i="100" s="1"/>
  <c r="C263" i="100" s="1"/>
  <c r="C264" i="100" s="1"/>
  <c r="C260" i="100" s="1"/>
  <c r="D257" i="100" s="1" a="1"/>
  <c r="D257" i="100" s="1"/>
  <c r="K257" i="100"/>
  <c r="J257" i="100"/>
  <c r="I257" i="100"/>
  <c r="C257" i="100"/>
  <c r="K256" i="100"/>
  <c r="J256" i="100"/>
  <c r="I256" i="100"/>
  <c r="K255" i="100"/>
  <c r="J255" i="100"/>
  <c r="I255" i="100"/>
  <c r="K254" i="100"/>
  <c r="J254" i="100"/>
  <c r="I254" i="100"/>
  <c r="K253" i="100"/>
  <c r="J253" i="100"/>
  <c r="I253" i="100"/>
  <c r="K252" i="100"/>
  <c r="J252" i="100"/>
  <c r="I252" i="100"/>
  <c r="K251" i="100"/>
  <c r="J251" i="100"/>
  <c r="I251" i="100"/>
  <c r="K250" i="100"/>
  <c r="J250" i="100"/>
  <c r="I250" i="100"/>
  <c r="K249" i="100"/>
  <c r="J249" i="100"/>
  <c r="I249" i="100"/>
  <c r="K248" i="100"/>
  <c r="J248" i="100"/>
  <c r="I248" i="100"/>
  <c r="K247" i="100"/>
  <c r="J247" i="100"/>
  <c r="I247" i="100"/>
  <c r="K246" i="100"/>
  <c r="J246" i="100"/>
  <c r="I246" i="100"/>
  <c r="K245" i="100"/>
  <c r="J245" i="100"/>
  <c r="I245" i="100"/>
  <c r="C245" i="100"/>
  <c r="K244" i="100"/>
  <c r="J244" i="100"/>
  <c r="I244" i="100"/>
  <c r="K243" i="100"/>
  <c r="J243" i="100"/>
  <c r="I243" i="100"/>
  <c r="C243" i="100"/>
  <c r="C244" i="100" s="1"/>
  <c r="C247" i="100" s="1"/>
  <c r="C248" i="100" s="1"/>
  <c r="C249" i="100" s="1"/>
  <c r="C250" i="100" s="1"/>
  <c r="C246" i="100" s="1"/>
  <c r="D243" i="100" s="1" a="1"/>
  <c r="D243" i="100" s="1"/>
  <c r="K242" i="100"/>
  <c r="J242" i="100"/>
  <c r="I242" i="100"/>
  <c r="K241" i="100"/>
  <c r="J241" i="100"/>
  <c r="I241" i="100"/>
  <c r="K240" i="100"/>
  <c r="J240" i="100"/>
  <c r="I240" i="100"/>
  <c r="K239" i="100"/>
  <c r="J239" i="100"/>
  <c r="I239" i="100"/>
  <c r="K238" i="100"/>
  <c r="J238" i="100"/>
  <c r="I238" i="100"/>
  <c r="K237" i="100"/>
  <c r="J237" i="100"/>
  <c r="I237" i="100"/>
  <c r="K236" i="100"/>
  <c r="J236" i="100"/>
  <c r="I236" i="100"/>
  <c r="K235" i="100"/>
  <c r="J235" i="100"/>
  <c r="I235" i="100"/>
  <c r="K234" i="100"/>
  <c r="J234" i="100"/>
  <c r="I234" i="100"/>
  <c r="K233" i="100"/>
  <c r="J233" i="100"/>
  <c r="I233" i="100"/>
  <c r="K232" i="100"/>
  <c r="J232" i="100"/>
  <c r="I232" i="100"/>
  <c r="K231" i="100"/>
  <c r="J231" i="100"/>
  <c r="I231" i="100"/>
  <c r="C231" i="100"/>
  <c r="K230" i="100"/>
  <c r="J230" i="100"/>
  <c r="I230" i="100"/>
  <c r="K229" i="100"/>
  <c r="J229" i="100"/>
  <c r="I229" i="100"/>
  <c r="C229" i="100"/>
  <c r="C230" i="100" s="1"/>
  <c r="C233" i="100" s="1"/>
  <c r="C234" i="100" s="1"/>
  <c r="C235" i="100" s="1"/>
  <c r="C236" i="100" s="1"/>
  <c r="C232" i="100" s="1"/>
  <c r="D229" i="100" s="1" a="1"/>
  <c r="D229" i="100" s="1"/>
  <c r="K228" i="100"/>
  <c r="J228" i="100"/>
  <c r="I228" i="100"/>
  <c r="K227" i="100"/>
  <c r="J227" i="100"/>
  <c r="I227" i="100"/>
  <c r="K226" i="100"/>
  <c r="J226" i="100"/>
  <c r="I226" i="100"/>
  <c r="K225" i="100"/>
  <c r="J225" i="100"/>
  <c r="I225" i="100"/>
  <c r="K224" i="100"/>
  <c r="J224" i="100"/>
  <c r="I224" i="100"/>
  <c r="K223" i="100"/>
  <c r="J223" i="100"/>
  <c r="I223" i="100"/>
  <c r="K222" i="100"/>
  <c r="J222" i="100"/>
  <c r="I222" i="100"/>
  <c r="K221" i="100"/>
  <c r="J221" i="100"/>
  <c r="I221" i="100"/>
  <c r="K220" i="100"/>
  <c r="J220" i="100"/>
  <c r="I220" i="100"/>
  <c r="K219" i="100"/>
  <c r="J219" i="100"/>
  <c r="I219" i="100"/>
  <c r="C219" i="100"/>
  <c r="C220" i="100" s="1"/>
  <c r="C221" i="100" s="1"/>
  <c r="C222" i="100" s="1"/>
  <c r="C218" i="100" s="1"/>
  <c r="D215" i="100" s="1" a="1"/>
  <c r="D215" i="100" s="1"/>
  <c r="K218" i="100"/>
  <c r="J218" i="100"/>
  <c r="I218" i="100"/>
  <c r="K217" i="100"/>
  <c r="J217" i="100"/>
  <c r="I217" i="100"/>
  <c r="C217" i="100"/>
  <c r="K216" i="100"/>
  <c r="J216" i="100"/>
  <c r="I216" i="100"/>
  <c r="K215" i="100"/>
  <c r="J215" i="100"/>
  <c r="I215" i="100"/>
  <c r="C215" i="100"/>
  <c r="C216" i="100" s="1"/>
  <c r="K214" i="100"/>
  <c r="J214" i="100"/>
  <c r="I214" i="100"/>
  <c r="K213" i="100"/>
  <c r="J213" i="100"/>
  <c r="I213" i="100"/>
  <c r="K212" i="100"/>
  <c r="J212" i="100"/>
  <c r="I212" i="100"/>
  <c r="K211" i="100"/>
  <c r="J211" i="100"/>
  <c r="I211" i="100"/>
  <c r="K210" i="100"/>
  <c r="J210" i="100"/>
  <c r="I210" i="100"/>
  <c r="K209" i="100"/>
  <c r="J209" i="100"/>
  <c r="I209" i="100"/>
  <c r="K208" i="100"/>
  <c r="J208" i="100"/>
  <c r="I208" i="100"/>
  <c r="K207" i="100"/>
  <c r="J207" i="100"/>
  <c r="I207" i="100"/>
  <c r="K206" i="100"/>
  <c r="J206" i="100"/>
  <c r="I206" i="100"/>
  <c r="K205" i="100"/>
  <c r="J205" i="100"/>
  <c r="I205" i="100"/>
  <c r="C205" i="100"/>
  <c r="C206" i="100" s="1"/>
  <c r="C207" i="100" s="1"/>
  <c r="C208" i="100" s="1"/>
  <c r="C204" i="100" s="1"/>
  <c r="D201" i="100" s="1" a="1"/>
  <c r="D201" i="100" s="1"/>
  <c r="K204" i="100"/>
  <c r="J204" i="100"/>
  <c r="I204" i="100"/>
  <c r="K203" i="100"/>
  <c r="J203" i="100"/>
  <c r="I203" i="100"/>
  <c r="C203" i="100"/>
  <c r="K202" i="100"/>
  <c r="J202" i="100"/>
  <c r="I202" i="100"/>
  <c r="K201" i="100"/>
  <c r="J201" i="100"/>
  <c r="I201" i="100"/>
  <c r="C201" i="100"/>
  <c r="C202" i="100" s="1"/>
  <c r="K200" i="100"/>
  <c r="J200" i="100"/>
  <c r="I200" i="100"/>
  <c r="K199" i="100"/>
  <c r="J199" i="100"/>
  <c r="I199" i="100"/>
  <c r="K198" i="100"/>
  <c r="J198" i="100"/>
  <c r="I198" i="100"/>
  <c r="K197" i="100"/>
  <c r="J197" i="100"/>
  <c r="I197" i="100"/>
  <c r="K196" i="100"/>
  <c r="J196" i="100"/>
  <c r="I196" i="100"/>
  <c r="K195" i="100"/>
  <c r="J195" i="100"/>
  <c r="I195" i="100"/>
  <c r="K194" i="100"/>
  <c r="J194" i="100"/>
  <c r="I194" i="100"/>
  <c r="K193" i="100"/>
  <c r="J193" i="100"/>
  <c r="I193" i="100"/>
  <c r="K192" i="100"/>
  <c r="J192" i="100"/>
  <c r="I192" i="100"/>
  <c r="K191" i="100"/>
  <c r="J191" i="100"/>
  <c r="I191" i="100"/>
  <c r="C191" i="100"/>
  <c r="C192" i="100" s="1"/>
  <c r="C193" i="100" s="1"/>
  <c r="C194" i="100" s="1"/>
  <c r="K190" i="100"/>
  <c r="J190" i="100"/>
  <c r="I190" i="100"/>
  <c r="C190" i="100"/>
  <c r="D187" i="100" s="1" a="1"/>
  <c r="D187" i="100" s="1"/>
  <c r="K189" i="100"/>
  <c r="J189" i="100"/>
  <c r="I189" i="100"/>
  <c r="C189" i="100"/>
  <c r="K188" i="100"/>
  <c r="J188" i="100"/>
  <c r="I188" i="100"/>
  <c r="K187" i="100"/>
  <c r="J187" i="100"/>
  <c r="I187" i="100"/>
  <c r="C187" i="100"/>
  <c r="C188" i="100" s="1"/>
  <c r="K186" i="100"/>
  <c r="J186" i="100"/>
  <c r="I186" i="100"/>
  <c r="K185" i="100"/>
  <c r="J185" i="100"/>
  <c r="I185" i="100"/>
  <c r="K184" i="100"/>
  <c r="J184" i="100"/>
  <c r="I184" i="100"/>
  <c r="K183" i="100"/>
  <c r="J183" i="100"/>
  <c r="I183" i="100"/>
  <c r="K182" i="100"/>
  <c r="J182" i="100"/>
  <c r="I182" i="100"/>
  <c r="K181" i="100"/>
  <c r="J181" i="100"/>
  <c r="I181" i="100"/>
  <c r="K180" i="100"/>
  <c r="J180" i="100"/>
  <c r="I180" i="100"/>
  <c r="K179" i="100"/>
  <c r="J179" i="100"/>
  <c r="I179" i="100"/>
  <c r="K178" i="100"/>
  <c r="J178" i="100"/>
  <c r="I178" i="100"/>
  <c r="K177" i="100"/>
  <c r="J177" i="100"/>
  <c r="I177" i="100"/>
  <c r="K176" i="100"/>
  <c r="J176" i="100"/>
  <c r="I176" i="100"/>
  <c r="K175" i="100"/>
  <c r="J175" i="100"/>
  <c r="I175" i="100"/>
  <c r="C175" i="100"/>
  <c r="K174" i="100"/>
  <c r="J174" i="100"/>
  <c r="I174" i="100"/>
  <c r="K173" i="100"/>
  <c r="J173" i="100"/>
  <c r="I173" i="100"/>
  <c r="C173" i="100"/>
  <c r="C174" i="100" s="1"/>
  <c r="C177" i="100" s="1"/>
  <c r="C178" i="100" s="1"/>
  <c r="C179" i="100" s="1"/>
  <c r="C180" i="100" s="1"/>
  <c r="C176" i="100" s="1"/>
  <c r="D173" i="100" s="1" a="1"/>
  <c r="D173" i="100" s="1"/>
  <c r="K172" i="100"/>
  <c r="J172" i="100"/>
  <c r="I172" i="100"/>
  <c r="K171" i="100"/>
  <c r="J171" i="100"/>
  <c r="I171" i="100"/>
  <c r="K170" i="100"/>
  <c r="J170" i="100"/>
  <c r="I170" i="100"/>
  <c r="K169" i="100"/>
  <c r="J169" i="100"/>
  <c r="I169" i="100"/>
  <c r="K168" i="100"/>
  <c r="J168" i="100"/>
  <c r="I168" i="100"/>
  <c r="K167" i="100"/>
  <c r="J167" i="100"/>
  <c r="I167" i="100"/>
  <c r="K166" i="100"/>
  <c r="J166" i="100"/>
  <c r="I166" i="100"/>
  <c r="K165" i="100"/>
  <c r="J165" i="100"/>
  <c r="I165" i="100"/>
  <c r="K164" i="100"/>
  <c r="J164" i="100"/>
  <c r="I164" i="100"/>
  <c r="K163" i="100"/>
  <c r="J163" i="100"/>
  <c r="I163" i="100"/>
  <c r="K162" i="100"/>
  <c r="J162" i="100"/>
  <c r="I162" i="100"/>
  <c r="K161" i="100"/>
  <c r="J161" i="100"/>
  <c r="I161" i="100"/>
  <c r="C161" i="100"/>
  <c r="K160" i="100"/>
  <c r="J160" i="100"/>
  <c r="I160" i="100"/>
  <c r="C160" i="100"/>
  <c r="C163" i="100" s="1"/>
  <c r="C164" i="100" s="1"/>
  <c r="C165" i="100" s="1"/>
  <c r="C166" i="100" s="1"/>
  <c r="C162" i="100" s="1"/>
  <c r="D159" i="100" s="1" a="1"/>
  <c r="D159" i="100" s="1"/>
  <c r="K159" i="100"/>
  <c r="J159" i="100"/>
  <c r="I159" i="100"/>
  <c r="C159" i="100"/>
  <c r="K158" i="100"/>
  <c r="J158" i="100"/>
  <c r="I158" i="100"/>
  <c r="K157" i="100"/>
  <c r="J157" i="100"/>
  <c r="I157" i="100"/>
  <c r="K156" i="100"/>
  <c r="J156" i="100"/>
  <c r="I156" i="100"/>
  <c r="K155" i="100"/>
  <c r="J155" i="100"/>
  <c r="I155" i="100"/>
  <c r="K154" i="100"/>
  <c r="J154" i="100"/>
  <c r="I154" i="100"/>
  <c r="K153" i="100"/>
  <c r="J153" i="100"/>
  <c r="I153" i="100"/>
  <c r="K152" i="100"/>
  <c r="J152" i="100"/>
  <c r="I152" i="100"/>
  <c r="K151" i="100"/>
  <c r="J151" i="100"/>
  <c r="I151" i="100"/>
  <c r="K150" i="100"/>
  <c r="J150" i="100"/>
  <c r="I150" i="100"/>
  <c r="K149" i="100"/>
  <c r="J149" i="100"/>
  <c r="I149" i="100"/>
  <c r="K148" i="100"/>
  <c r="J148" i="100"/>
  <c r="I148" i="100"/>
  <c r="K147" i="100"/>
  <c r="J147" i="100"/>
  <c r="I147" i="100"/>
  <c r="C147" i="100"/>
  <c r="K146" i="100"/>
  <c r="J146" i="100"/>
  <c r="I146" i="100"/>
  <c r="K145" i="100"/>
  <c r="J145" i="100"/>
  <c r="I145" i="100"/>
  <c r="C145" i="100"/>
  <c r="C146" i="100" s="1"/>
  <c r="C149" i="100" s="1"/>
  <c r="C150" i="100" s="1"/>
  <c r="C151" i="100" s="1"/>
  <c r="C152" i="100" s="1"/>
  <c r="C148" i="100" s="1"/>
  <c r="D145" i="100" s="1" a="1"/>
  <c r="D145" i="100" s="1"/>
  <c r="K144" i="100"/>
  <c r="J144" i="100"/>
  <c r="I144" i="100"/>
  <c r="K143" i="100"/>
  <c r="J143" i="100"/>
  <c r="I143" i="100"/>
  <c r="K142" i="100"/>
  <c r="J142" i="100"/>
  <c r="I142" i="100"/>
  <c r="K141" i="100"/>
  <c r="J141" i="100"/>
  <c r="I141" i="100"/>
  <c r="K140" i="100"/>
  <c r="J140" i="100"/>
  <c r="I140" i="100"/>
  <c r="K139" i="100"/>
  <c r="J139" i="100"/>
  <c r="I139" i="100"/>
  <c r="K138" i="100"/>
  <c r="J138" i="100"/>
  <c r="I138" i="100"/>
  <c r="K137" i="100"/>
  <c r="J137" i="100"/>
  <c r="I137" i="100"/>
  <c r="K136" i="100"/>
  <c r="J136" i="100"/>
  <c r="I136" i="100"/>
  <c r="K135" i="100"/>
  <c r="J135" i="100"/>
  <c r="I135" i="100"/>
  <c r="K134" i="100"/>
  <c r="J134" i="100"/>
  <c r="I134" i="100"/>
  <c r="K133" i="100"/>
  <c r="J133" i="100"/>
  <c r="I133" i="100"/>
  <c r="C133" i="100"/>
  <c r="K132" i="100"/>
  <c r="J132" i="100"/>
  <c r="I132" i="100"/>
  <c r="K131" i="100"/>
  <c r="J131" i="100"/>
  <c r="I131" i="100"/>
  <c r="C131" i="100"/>
  <c r="C132" i="100" s="1"/>
  <c r="C135" i="100" s="1"/>
  <c r="C136" i="100" s="1"/>
  <c r="C137" i="100" s="1"/>
  <c r="C138" i="100" s="1"/>
  <c r="C134" i="100" s="1"/>
  <c r="D131" i="100" s="1" a="1"/>
  <c r="D131" i="100" s="1"/>
  <c r="G131" i="100" s="1"/>
  <c r="K130" i="100"/>
  <c r="J130" i="100"/>
  <c r="I130" i="100"/>
  <c r="K129" i="100"/>
  <c r="J129" i="100"/>
  <c r="I129" i="100"/>
  <c r="K128" i="100"/>
  <c r="J128" i="100"/>
  <c r="I128" i="100"/>
  <c r="K127" i="100"/>
  <c r="J127" i="100"/>
  <c r="I127" i="100"/>
  <c r="K126" i="100"/>
  <c r="J126" i="100"/>
  <c r="I126" i="100"/>
  <c r="K125" i="100"/>
  <c r="J125" i="100"/>
  <c r="I125" i="100"/>
  <c r="K124" i="100"/>
  <c r="J124" i="100"/>
  <c r="I124" i="100"/>
  <c r="K123" i="100"/>
  <c r="J123" i="100"/>
  <c r="I123" i="100"/>
  <c r="K122" i="100"/>
  <c r="J122" i="100"/>
  <c r="I122" i="100"/>
  <c r="K121" i="100"/>
  <c r="J121" i="100"/>
  <c r="I121" i="100"/>
  <c r="K120" i="100"/>
  <c r="J120" i="100"/>
  <c r="I120" i="100"/>
  <c r="K119" i="100"/>
  <c r="J119" i="100"/>
  <c r="I119" i="100"/>
  <c r="C119" i="100"/>
  <c r="K118" i="100"/>
  <c r="J118" i="100"/>
  <c r="I118" i="100"/>
  <c r="K117" i="100"/>
  <c r="J117" i="100"/>
  <c r="I117" i="100"/>
  <c r="C117" i="100"/>
  <c r="C118" i="100" s="1"/>
  <c r="C121" i="100" s="1"/>
  <c r="C122" i="100" s="1"/>
  <c r="C123" i="100" s="1"/>
  <c r="C124" i="100" s="1"/>
  <c r="C120" i="100" s="1"/>
  <c r="D117" i="100" s="1" a="1"/>
  <c r="D117" i="100" s="1"/>
  <c r="K116" i="100"/>
  <c r="J116" i="100"/>
  <c r="I116" i="100"/>
  <c r="K115" i="100"/>
  <c r="J115" i="100"/>
  <c r="I115" i="100"/>
  <c r="K114" i="100"/>
  <c r="J114" i="100"/>
  <c r="I114" i="100"/>
  <c r="K113" i="100"/>
  <c r="J113" i="100"/>
  <c r="I113" i="100"/>
  <c r="K112" i="100"/>
  <c r="J112" i="100"/>
  <c r="I112" i="100"/>
  <c r="K111" i="100"/>
  <c r="J111" i="100"/>
  <c r="I111" i="100"/>
  <c r="K110" i="100"/>
  <c r="J110" i="100"/>
  <c r="I110" i="100"/>
  <c r="K109" i="100"/>
  <c r="J109" i="100"/>
  <c r="I109" i="100"/>
  <c r="K108" i="100"/>
  <c r="J108" i="100"/>
  <c r="I108" i="100"/>
  <c r="K107" i="100"/>
  <c r="J107" i="100"/>
  <c r="I107" i="100"/>
  <c r="K106" i="100"/>
  <c r="J106" i="100"/>
  <c r="I106" i="100"/>
  <c r="K105" i="100"/>
  <c r="J105" i="100"/>
  <c r="I105" i="100"/>
  <c r="C105" i="100"/>
  <c r="K104" i="100"/>
  <c r="J104" i="100"/>
  <c r="I104" i="100"/>
  <c r="K103" i="100"/>
  <c r="J103" i="100"/>
  <c r="I103" i="100"/>
  <c r="C103" i="100"/>
  <c r="C104" i="100" s="1"/>
  <c r="C107" i="100" s="1"/>
  <c r="C108" i="100" s="1"/>
  <c r="C109" i="100" s="1"/>
  <c r="C110" i="100" s="1"/>
  <c r="C106" i="100" s="1"/>
  <c r="D103" i="100" s="1" a="1"/>
  <c r="D103" i="100" s="1"/>
  <c r="K102" i="100"/>
  <c r="J102" i="100"/>
  <c r="I102" i="100"/>
  <c r="K101" i="100"/>
  <c r="J101" i="100"/>
  <c r="I101" i="100"/>
  <c r="K100" i="100"/>
  <c r="J100" i="100"/>
  <c r="I100" i="100"/>
  <c r="K99" i="100"/>
  <c r="J99" i="100"/>
  <c r="I99" i="100"/>
  <c r="K98" i="100"/>
  <c r="J98" i="100"/>
  <c r="I98" i="100"/>
  <c r="K97" i="100"/>
  <c r="J97" i="100"/>
  <c r="I97" i="100"/>
  <c r="K96" i="100"/>
  <c r="J96" i="100"/>
  <c r="I96" i="100"/>
  <c r="K95" i="100"/>
  <c r="J95" i="100"/>
  <c r="I95" i="100"/>
  <c r="K94" i="100"/>
  <c r="J94" i="100"/>
  <c r="I94" i="100"/>
  <c r="K93" i="100"/>
  <c r="J93" i="100"/>
  <c r="I93" i="100"/>
  <c r="K92" i="100"/>
  <c r="J92" i="100"/>
  <c r="I92" i="100"/>
  <c r="K91" i="100"/>
  <c r="J91" i="100"/>
  <c r="I91" i="100"/>
  <c r="C91" i="100"/>
  <c r="K90" i="100"/>
  <c r="J90" i="100"/>
  <c r="I90" i="100"/>
  <c r="K89" i="100"/>
  <c r="J89" i="100"/>
  <c r="I89" i="100"/>
  <c r="C89" i="100"/>
  <c r="C90" i="100" s="1"/>
  <c r="C93" i="100" s="1"/>
  <c r="C94" i="100" s="1"/>
  <c r="C95" i="100" s="1"/>
  <c r="C96" i="100" s="1"/>
  <c r="C92" i="100" s="1"/>
  <c r="D89" i="100" s="1" a="1"/>
  <c r="D89" i="100" s="1"/>
  <c r="K88" i="100"/>
  <c r="J88" i="100"/>
  <c r="I88" i="100"/>
  <c r="K87" i="100"/>
  <c r="J87" i="100"/>
  <c r="I87" i="100"/>
  <c r="K86" i="100"/>
  <c r="J86" i="100"/>
  <c r="I86" i="100"/>
  <c r="K85" i="100"/>
  <c r="J85" i="100"/>
  <c r="I85" i="100"/>
  <c r="K84" i="100"/>
  <c r="J84" i="100"/>
  <c r="I84" i="100"/>
  <c r="K83" i="100"/>
  <c r="J83" i="100"/>
  <c r="I83" i="100"/>
  <c r="K82" i="100"/>
  <c r="J82" i="100"/>
  <c r="I82" i="100"/>
  <c r="K81" i="100"/>
  <c r="J81" i="100"/>
  <c r="I81" i="100"/>
  <c r="K80" i="100"/>
  <c r="J80" i="100"/>
  <c r="I80" i="100"/>
  <c r="K79" i="100"/>
  <c r="J79" i="100"/>
  <c r="I79" i="100"/>
  <c r="K78" i="100"/>
  <c r="J78" i="100"/>
  <c r="I78" i="100"/>
  <c r="K77" i="100"/>
  <c r="J77" i="100"/>
  <c r="I77" i="100"/>
  <c r="C77" i="100"/>
  <c r="K76" i="100"/>
  <c r="J76" i="100"/>
  <c r="I76" i="100"/>
  <c r="K75" i="100"/>
  <c r="J75" i="100"/>
  <c r="I75" i="100"/>
  <c r="C75" i="100"/>
  <c r="C76" i="100" s="1"/>
  <c r="C79" i="100" s="1"/>
  <c r="C80" i="100" s="1"/>
  <c r="C81" i="100" s="1"/>
  <c r="C82" i="100" s="1"/>
  <c r="C78" i="100" s="1"/>
  <c r="D75" i="100" s="1" a="1"/>
  <c r="D75" i="100" s="1"/>
  <c r="K74" i="100"/>
  <c r="J74" i="100"/>
  <c r="I74" i="100"/>
  <c r="K73" i="100"/>
  <c r="J73" i="100"/>
  <c r="I73" i="100"/>
  <c r="K72" i="100"/>
  <c r="J72" i="100"/>
  <c r="I72" i="100"/>
  <c r="K71" i="100"/>
  <c r="J71" i="100"/>
  <c r="I71" i="100"/>
  <c r="K70" i="100"/>
  <c r="J70" i="100"/>
  <c r="I70" i="100"/>
  <c r="K69" i="100"/>
  <c r="J69" i="100"/>
  <c r="I69" i="100"/>
  <c r="K68" i="100"/>
  <c r="J68" i="100"/>
  <c r="I68" i="100"/>
  <c r="N67" i="100"/>
  <c r="M67" i="100"/>
  <c r="K67" i="100"/>
  <c r="J67" i="100"/>
  <c r="I67" i="100"/>
  <c r="N66" i="100"/>
  <c r="K66" i="100"/>
  <c r="J66" i="100"/>
  <c r="I66" i="100"/>
  <c r="N65" i="100"/>
  <c r="K65" i="100"/>
  <c r="J65" i="100"/>
  <c r="I65" i="100"/>
  <c r="N64" i="100"/>
  <c r="K64" i="100"/>
  <c r="J64" i="100"/>
  <c r="I64" i="100"/>
  <c r="N63" i="100"/>
  <c r="K63" i="100"/>
  <c r="J63" i="100"/>
  <c r="I63" i="100"/>
  <c r="C63" i="100"/>
  <c r="N62" i="100"/>
  <c r="K62" i="100"/>
  <c r="J62" i="100"/>
  <c r="I62" i="100"/>
  <c r="N61" i="100"/>
  <c r="K61" i="100"/>
  <c r="J61" i="100"/>
  <c r="I61" i="100"/>
  <c r="C61" i="100"/>
  <c r="C62" i="100" s="1"/>
  <c r="C65" i="100" s="1"/>
  <c r="C66" i="100" s="1"/>
  <c r="C67" i="100" s="1"/>
  <c r="C68" i="100" s="1"/>
  <c r="C64" i="100" s="1"/>
  <c r="D61" i="100" s="1" a="1"/>
  <c r="D61" i="100" s="1"/>
  <c r="N60" i="100"/>
  <c r="K60" i="100"/>
  <c r="J60" i="100"/>
  <c r="I60" i="100"/>
  <c r="N59" i="100"/>
  <c r="K59" i="100"/>
  <c r="J59" i="100"/>
  <c r="I59" i="100"/>
  <c r="N58" i="100"/>
  <c r="K58" i="100"/>
  <c r="J58" i="100"/>
  <c r="I58" i="100"/>
  <c r="N57" i="100"/>
  <c r="K57" i="100"/>
  <c r="J57" i="100"/>
  <c r="I57" i="100"/>
  <c r="N56" i="100"/>
  <c r="K56" i="100"/>
  <c r="J56" i="100"/>
  <c r="I56" i="100"/>
  <c r="N55" i="100"/>
  <c r="K55" i="100"/>
  <c r="J55" i="100"/>
  <c r="I55" i="100"/>
  <c r="N54" i="100"/>
  <c r="K54" i="100"/>
  <c r="J54" i="100"/>
  <c r="I54" i="100"/>
  <c r="N53" i="100"/>
  <c r="N52" i="100"/>
  <c r="N51" i="100"/>
  <c r="N50" i="100"/>
  <c r="N49" i="100"/>
  <c r="C49" i="100"/>
  <c r="N48" i="100"/>
  <c r="N47" i="100"/>
  <c r="C47" i="100"/>
  <c r="C48" i="100" s="1"/>
  <c r="C51" i="100" s="1"/>
  <c r="C52" i="100" s="1"/>
  <c r="C53" i="100" s="1"/>
  <c r="C54" i="100" s="1"/>
  <c r="C50" i="100" s="1"/>
  <c r="D47" i="100" s="1" a="1"/>
  <c r="D47" i="100" s="1"/>
  <c r="N38" i="100"/>
  <c r="K38" i="100"/>
  <c r="J38" i="100"/>
  <c r="I38" i="100"/>
  <c r="H38" i="100"/>
  <c r="G38" i="100"/>
  <c r="F38" i="100"/>
  <c r="E38" i="100"/>
  <c r="D38" i="100"/>
  <c r="C38" i="100"/>
  <c r="N37" i="100"/>
  <c r="K37" i="100"/>
  <c r="J37" i="100"/>
  <c r="I37" i="100"/>
  <c r="H37" i="100"/>
  <c r="G37" i="100"/>
  <c r="F37" i="100"/>
  <c r="E37" i="100"/>
  <c r="D37" i="100"/>
  <c r="C37" i="100"/>
  <c r="AN329" i="100"/>
  <c r="AL329" i="100"/>
  <c r="AJ4" i="100" s="1"/>
  <c r="V71" i="100"/>
  <c r="R70" i="100"/>
  <c r="AH69" i="100"/>
  <c r="AG69" i="100"/>
  <c r="Z66" i="100"/>
  <c r="Y66" i="100" a="1"/>
  <c r="Y66" i="100" s="1"/>
  <c r="W66" i="100"/>
  <c r="Z65" i="100"/>
  <c r="Y65" i="100" a="1"/>
  <c r="Y65" i="100" s="1"/>
  <c r="W65" i="100"/>
  <c r="Y64" i="100" a="1"/>
  <c r="Y64" i="100" s="1"/>
  <c r="W64" i="100"/>
  <c r="Y63" i="100" a="1"/>
  <c r="Y63" i="100" s="1"/>
  <c r="W63" i="100"/>
  <c r="Z62" i="100"/>
  <c r="Y62" i="100" a="1"/>
  <c r="Y62" i="100" s="1"/>
  <c r="W62" i="100"/>
  <c r="Z61" i="100"/>
  <c r="Y61" i="100" a="1"/>
  <c r="Y61" i="100" s="1"/>
  <c r="W61" i="100"/>
  <c r="Z60" i="100"/>
  <c r="Y60" i="100" a="1"/>
  <c r="Y60" i="100" s="1"/>
  <c r="W60" i="100"/>
  <c r="Z59" i="100"/>
  <c r="Y59" i="100" a="1"/>
  <c r="Y59" i="100" s="1"/>
  <c r="W59" i="100"/>
  <c r="Q59" i="100"/>
  <c r="Z58" i="100"/>
  <c r="Y58" i="100" a="1"/>
  <c r="Y58" i="100" s="1"/>
  <c r="W58" i="100"/>
  <c r="Z57" i="100"/>
  <c r="Y57" i="100" a="1"/>
  <c r="Y57" i="100" s="1"/>
  <c r="W57" i="100"/>
  <c r="Z56" i="100"/>
  <c r="Y56" i="100" a="1"/>
  <c r="Y56" i="100" s="1"/>
  <c r="W56" i="100"/>
  <c r="Z55" i="100"/>
  <c r="Y55" i="100" a="1"/>
  <c r="Y55" i="100" s="1"/>
  <c r="W55" i="100"/>
  <c r="Z54" i="100"/>
  <c r="Y54" i="100" a="1"/>
  <c r="Y54" i="100" s="1"/>
  <c r="W54" i="100"/>
  <c r="Z53" i="100"/>
  <c r="Y53" i="100" a="1"/>
  <c r="Y53" i="100" s="1"/>
  <c r="W53" i="100"/>
  <c r="Z52" i="100"/>
  <c r="Y52" i="100" a="1"/>
  <c r="Y52" i="100" s="1"/>
  <c r="W52" i="100"/>
  <c r="AI51" i="100"/>
  <c r="Y51" i="100" a="1"/>
  <c r="Y51" i="100" s="1"/>
  <c r="W51" i="100"/>
  <c r="Y50" i="100" a="1"/>
  <c r="Y50" i="100" s="1"/>
  <c r="W50" i="100"/>
  <c r="Y49" i="100" a="1"/>
  <c r="Y49" i="100" s="1"/>
  <c r="W49" i="100"/>
  <c r="Y48" i="100" a="1"/>
  <c r="Y48" i="100" s="1"/>
  <c r="W48" i="100"/>
  <c r="Z47" i="100"/>
  <c r="Y47" i="100" a="1"/>
  <c r="Y47" i="100" s="1"/>
  <c r="W47" i="100"/>
  <c r="S45" i="100"/>
  <c r="R45" i="100"/>
  <c r="AI44" i="100"/>
  <c r="AH44" i="100"/>
  <c r="AG44" i="100"/>
  <c r="AF44" i="100"/>
  <c r="AE44" i="100"/>
  <c r="AD44" i="100"/>
  <c r="AC44" i="100"/>
  <c r="AB44" i="100"/>
  <c r="AA44" i="100"/>
  <c r="Z44" i="100"/>
  <c r="Y44" i="100"/>
  <c r="X44" i="100"/>
  <c r="W44" i="100"/>
  <c r="V44" i="100"/>
  <c r="U44" i="100"/>
  <c r="T44" i="100"/>
  <c r="S44" i="100"/>
  <c r="R44" i="100"/>
  <c r="Q44" i="100"/>
  <c r="AI43" i="100"/>
  <c r="AH43" i="100"/>
  <c r="AG43" i="100"/>
  <c r="AF43" i="100"/>
  <c r="AE43" i="100"/>
  <c r="AD43" i="100"/>
  <c r="AC43" i="100"/>
  <c r="AB43" i="100"/>
  <c r="AA43" i="100"/>
  <c r="Z43" i="100"/>
  <c r="Y43" i="100"/>
  <c r="X43" i="100"/>
  <c r="W43" i="100"/>
  <c r="V43" i="100"/>
  <c r="U43" i="100"/>
  <c r="T43" i="100"/>
  <c r="S43" i="100"/>
  <c r="R43" i="100"/>
  <c r="Q43" i="100"/>
  <c r="AG38" i="100"/>
  <c r="AI37" i="100"/>
  <c r="AG37" i="100"/>
  <c r="AE37" i="100" a="1"/>
  <c r="AE37" i="100" s="1"/>
  <c r="AA37" i="100"/>
  <c r="W37" i="100"/>
  <c r="AI36" i="100"/>
  <c r="AG36" i="100"/>
  <c r="AE36" i="100" a="1"/>
  <c r="AE36" i="100" s="1"/>
  <c r="AA36" i="100"/>
  <c r="W36" i="100"/>
  <c r="P36" i="100"/>
  <c r="AI35" i="100"/>
  <c r="AG35" i="100"/>
  <c r="AE35" i="100" a="1"/>
  <c r="AE35" i="100" s="1"/>
  <c r="AA35" i="100"/>
  <c r="W35" i="100"/>
  <c r="P35" i="100"/>
  <c r="AI34" i="100"/>
  <c r="AG34" i="100"/>
  <c r="AE34" i="100" a="1"/>
  <c r="AE34" i="100" s="1"/>
  <c r="AA34" i="100"/>
  <c r="W34" i="100"/>
  <c r="T34" i="100"/>
  <c r="S34" i="100"/>
  <c r="P34" i="100"/>
  <c r="AI33" i="100"/>
  <c r="AG33" i="100"/>
  <c r="AE33" i="100" a="1"/>
  <c r="AE33" i="100" s="1"/>
  <c r="AH33" i="100" s="1"/>
  <c r="AA33" i="100"/>
  <c r="W33" i="100"/>
  <c r="P33" i="100"/>
  <c r="AG32" i="100"/>
  <c r="AE32" i="100" a="1"/>
  <c r="AE32" i="100" s="1"/>
  <c r="AA32" i="100"/>
  <c r="W32" i="100"/>
  <c r="Q32" i="100"/>
  <c r="P32" i="100"/>
  <c r="AI31" i="100"/>
  <c r="AG31" i="100"/>
  <c r="AE31" i="100" a="1"/>
  <c r="AE31" i="100" s="1"/>
  <c r="AH31" i="100" s="1"/>
  <c r="AA31" i="100"/>
  <c r="W31" i="100"/>
  <c r="P31" i="100"/>
  <c r="AG30" i="100"/>
  <c r="AE30" i="100" a="1"/>
  <c r="AE30" i="100" s="1"/>
  <c r="AH30" i="100" s="1"/>
  <c r="AI30" i="100" s="1"/>
  <c r="AA30" i="100"/>
  <c r="W30" i="100"/>
  <c r="P30" i="100"/>
  <c r="AG29" i="100"/>
  <c r="AE29" i="100" a="1"/>
  <c r="AE29" i="100" s="1"/>
  <c r="AA29" i="100"/>
  <c r="W29" i="100"/>
  <c r="P29" i="100"/>
  <c r="AG28" i="100"/>
  <c r="AE28" i="100" a="1"/>
  <c r="AE28" i="100" s="1"/>
  <c r="AA28" i="100"/>
  <c r="W28" i="100"/>
  <c r="P28" i="100"/>
  <c r="AI27" i="100"/>
  <c r="AG27" i="100"/>
  <c r="AF27" i="100"/>
  <c r="AE27" i="100" a="1"/>
  <c r="AE27" i="100" s="1"/>
  <c r="AA27" i="100"/>
  <c r="W27" i="100"/>
  <c r="AI23" i="100"/>
  <c r="AA23" i="100"/>
  <c r="U23" i="100"/>
  <c r="Q23" i="100" s="1"/>
  <c r="Q19" i="100" s="1"/>
  <c r="T23" i="100"/>
  <c r="T60" i="100" s="1"/>
  <c r="S23" i="100"/>
  <c r="S70" i="100" s="1"/>
  <c r="R23" i="100"/>
  <c r="R61" i="100" s="1"/>
  <c r="Z22" i="100"/>
  <c r="S22" i="100"/>
  <c r="R22" i="100"/>
  <c r="S21" i="100"/>
  <c r="AI20" i="100"/>
  <c r="AI17" i="100"/>
  <c r="Q17" i="100"/>
  <c r="AI2" i="100"/>
  <c r="AH2" i="100"/>
  <c r="AG2" i="100"/>
  <c r="AF2" i="100"/>
  <c r="AE2" i="100"/>
  <c r="AD2" i="100"/>
  <c r="AC2" i="100"/>
  <c r="AB2" i="100"/>
  <c r="AA2" i="100"/>
  <c r="Z2" i="100"/>
  <c r="Y2" i="100"/>
  <c r="X2" i="100"/>
  <c r="W2" i="100"/>
  <c r="V2" i="100"/>
  <c r="U2" i="100"/>
  <c r="T2" i="100"/>
  <c r="S2" i="100"/>
  <c r="R2" i="100"/>
  <c r="Q2" i="100"/>
  <c r="P2" i="100"/>
  <c r="AN1" i="100"/>
  <c r="AM1" i="100"/>
  <c r="AI1" i="100"/>
  <c r="AH1" i="100"/>
  <c r="AG1" i="100"/>
  <c r="AF1" i="100"/>
  <c r="AE1" i="100"/>
  <c r="AD1" i="100"/>
  <c r="AC1" i="100"/>
  <c r="AB1" i="100"/>
  <c r="AA1" i="100"/>
  <c r="Z1" i="100"/>
  <c r="Y1" i="100"/>
  <c r="X1" i="100"/>
  <c r="W1" i="100"/>
  <c r="V1" i="100"/>
  <c r="U1" i="100"/>
  <c r="T1" i="100"/>
  <c r="S1" i="100"/>
  <c r="R1" i="100"/>
  <c r="Q1" i="100"/>
  <c r="P1" i="100"/>
  <c r="A1" i="100"/>
  <c r="BC5" i="87"/>
  <c r="AU4" i="74"/>
  <c r="AG39" i="70"/>
  <c r="U155" i="54"/>
  <c r="T155" i="54"/>
  <c r="S155" i="54"/>
  <c r="R155" i="54"/>
  <c r="Q155" i="54"/>
  <c r="P155" i="54"/>
  <c r="O155" i="54"/>
  <c r="N155" i="54"/>
  <c r="M155" i="54"/>
  <c r="U154" i="54"/>
  <c r="T154" i="54"/>
  <c r="S154" i="54"/>
  <c r="R154" i="54"/>
  <c r="Q154" i="54"/>
  <c r="P154" i="54"/>
  <c r="O154" i="54"/>
  <c r="N154" i="54"/>
  <c r="M154" i="54"/>
  <c r="U220" i="54"/>
  <c r="T220" i="54"/>
  <c r="S220" i="54"/>
  <c r="R220" i="54"/>
  <c r="Q220" i="54"/>
  <c r="P220" i="54"/>
  <c r="O220" i="54"/>
  <c r="N220" i="54"/>
  <c r="M220" i="54"/>
  <c r="U219" i="54"/>
  <c r="T219" i="54"/>
  <c r="S219" i="54"/>
  <c r="R219" i="54"/>
  <c r="Q219" i="54"/>
  <c r="P219" i="54"/>
  <c r="O219" i="54"/>
  <c r="N219" i="54"/>
  <c r="M219" i="54"/>
  <c r="U315" i="54"/>
  <c r="T315" i="54"/>
  <c r="S315" i="54"/>
  <c r="R315" i="54"/>
  <c r="Q315" i="54"/>
  <c r="P315" i="54"/>
  <c r="O315" i="54"/>
  <c r="N315" i="54"/>
  <c r="M315" i="54"/>
  <c r="U314" i="54"/>
  <c r="T314" i="54"/>
  <c r="S314" i="54"/>
  <c r="R314" i="54"/>
  <c r="Q314" i="54"/>
  <c r="P314" i="54"/>
  <c r="O314" i="54"/>
  <c r="N314" i="54"/>
  <c r="M314" i="54"/>
  <c r="K746" i="106" l="1"/>
  <c r="J747" i="106"/>
  <c r="K688" i="106"/>
  <c r="J689" i="106" s="1"/>
  <c r="K703" i="106"/>
  <c r="J704" i="106"/>
  <c r="K88" i="106"/>
  <c r="J89" i="106"/>
  <c r="K536" i="106"/>
  <c r="J537" i="106"/>
  <c r="K257" i="106"/>
  <c r="J258" i="106"/>
  <c r="K158" i="106"/>
  <c r="J159" i="106" s="1"/>
  <c r="K116" i="106"/>
  <c r="J117" i="106"/>
  <c r="K281" i="106"/>
  <c r="J282" i="106"/>
  <c r="K367" i="106"/>
  <c r="K409" i="106"/>
  <c r="K674" i="106"/>
  <c r="J675" i="106" s="1"/>
  <c r="K72" i="106"/>
  <c r="J622" i="106"/>
  <c r="K621" i="106"/>
  <c r="J212" i="106"/>
  <c r="K211" i="106"/>
  <c r="K591" i="106"/>
  <c r="J592" i="106" s="1"/>
  <c r="J202" i="106"/>
  <c r="K241" i="106"/>
  <c r="K480" i="106"/>
  <c r="J481" i="106" s="1"/>
  <c r="K548" i="106"/>
  <c r="J565" i="106"/>
  <c r="J717" i="106"/>
  <c r="K438" i="106"/>
  <c r="K313" i="106"/>
  <c r="J314" i="106"/>
  <c r="K760" i="106"/>
  <c r="J761" i="106"/>
  <c r="J509" i="106"/>
  <c r="K508" i="106"/>
  <c r="K660" i="106"/>
  <c r="J661" i="106"/>
  <c r="K603" i="106"/>
  <c r="J604" i="106"/>
  <c r="J338" i="106"/>
  <c r="K58" i="106"/>
  <c r="J59" i="106" s="1"/>
  <c r="J269" i="106"/>
  <c r="K522" i="106"/>
  <c r="J523" i="106" s="1"/>
  <c r="K730" i="106"/>
  <c r="J731" i="106" s="1"/>
  <c r="K632" i="106"/>
  <c r="J633" i="106"/>
  <c r="K185" i="106"/>
  <c r="K492" i="106"/>
  <c r="J493" i="106" s="1"/>
  <c r="K323" i="106"/>
  <c r="J324" i="106"/>
  <c r="F75" i="106"/>
  <c r="E75" i="106"/>
  <c r="D77" i="106" s="1" a="1"/>
  <c r="D77" i="106" s="1"/>
  <c r="K128" i="106"/>
  <c r="J774" i="106"/>
  <c r="J381" i="106"/>
  <c r="K577" i="106"/>
  <c r="J578" i="106"/>
  <c r="J451" i="106"/>
  <c r="K450" i="106"/>
  <c r="K352" i="106"/>
  <c r="J465" i="106"/>
  <c r="K144" i="106"/>
  <c r="J145" i="106" s="1"/>
  <c r="K226" i="106"/>
  <c r="J227" i="106" s="1"/>
  <c r="K297" i="106"/>
  <c r="K170" i="106"/>
  <c r="J171" i="106" s="1"/>
  <c r="J100" i="106"/>
  <c r="K396" i="106"/>
  <c r="J397" i="106" s="1"/>
  <c r="J421" i="106"/>
  <c r="K645" i="106"/>
  <c r="J646" i="106" s="1"/>
  <c r="AN3" i="100"/>
  <c r="L33" i="100"/>
  <c r="G243" i="100"/>
  <c r="G201" i="100"/>
  <c r="H131" i="100"/>
  <c r="F131" i="100"/>
  <c r="E131" i="100" s="1"/>
  <c r="D132" i="100" s="1" a="1"/>
  <c r="D132" i="100" s="1"/>
  <c r="G47" i="100"/>
  <c r="G89" i="100"/>
  <c r="G117" i="100"/>
  <c r="G75" i="100"/>
  <c r="G103" i="100"/>
  <c r="G285" i="100"/>
  <c r="G61" i="100"/>
  <c r="G271" i="100"/>
  <c r="G313" i="100"/>
  <c r="G173" i="100"/>
  <c r="G215" i="100"/>
  <c r="G299" i="100"/>
  <c r="G229" i="100"/>
  <c r="G159" i="100"/>
  <c r="G257" i="100"/>
  <c r="G145" i="100"/>
  <c r="G187" i="100"/>
  <c r="S56" i="100"/>
  <c r="S59" i="100"/>
  <c r="T59" i="100"/>
  <c r="R65" i="100"/>
  <c r="S65" i="100"/>
  <c r="R56" i="100"/>
  <c r="R62" i="100"/>
  <c r="AH32" i="100"/>
  <c r="AI32" i="100" s="1"/>
  <c r="AH29" i="100"/>
  <c r="AI29" i="100" s="1"/>
  <c r="Q49" i="100"/>
  <c r="S52" i="100"/>
  <c r="Y20" i="100"/>
  <c r="AF37" i="100"/>
  <c r="S62" i="100"/>
  <c r="R49" i="100"/>
  <c r="T62" i="100"/>
  <c r="S49" i="100"/>
  <c r="T28" i="100"/>
  <c r="AF30" i="100"/>
  <c r="R47" i="100"/>
  <c r="Q57" i="100"/>
  <c r="R18" i="100"/>
  <c r="AF34" i="100"/>
  <c r="T40" i="100"/>
  <c r="S47" i="100"/>
  <c r="R54" i="100"/>
  <c r="R57" i="100"/>
  <c r="R60" i="100"/>
  <c r="R28" i="100"/>
  <c r="R32" i="100"/>
  <c r="S46" i="100"/>
  <c r="R51" i="100"/>
  <c r="R67" i="100"/>
  <c r="R19" i="100"/>
  <c r="R25" i="100"/>
  <c r="S42" i="100"/>
  <c r="S51" i="100"/>
  <c r="R64" i="100"/>
  <c r="S19" i="100"/>
  <c r="T31" i="100"/>
  <c r="Q35" i="100"/>
  <c r="R20" i="100"/>
  <c r="S26" i="100"/>
  <c r="T29" i="100"/>
  <c r="R35" i="100"/>
  <c r="S48" i="100"/>
  <c r="Q58" i="100"/>
  <c r="T64" i="100"/>
  <c r="S69" i="100"/>
  <c r="R46" i="100"/>
  <c r="R53" i="100"/>
  <c r="R39" i="100"/>
  <c r="R66" i="100"/>
  <c r="S28" i="100"/>
  <c r="R36" i="100"/>
  <c r="S39" i="100"/>
  <c r="Q47" i="100"/>
  <c r="S50" i="100"/>
  <c r="S66" i="100"/>
  <c r="AH34" i="100"/>
  <c r="S36" i="100"/>
  <c r="Q40" i="100"/>
  <c r="S18" i="100"/>
  <c r="Q24" i="100"/>
  <c r="Q42" i="100"/>
  <c r="S54" i="100"/>
  <c r="S57" i="100"/>
  <c r="S60" i="100"/>
  <c r="R24" i="100"/>
  <c r="AH28" i="100"/>
  <c r="AI28" i="100" s="1"/>
  <c r="R31" i="100"/>
  <c r="AF32" i="100"/>
  <c r="AH36" i="100"/>
  <c r="R42" i="100"/>
  <c r="S31" i="100"/>
  <c r="R68" i="100"/>
  <c r="S25" i="100"/>
  <c r="S64" i="100"/>
  <c r="R69" i="100"/>
  <c r="S35" i="100"/>
  <c r="S55" i="100"/>
  <c r="T61" i="100"/>
  <c r="AI19" i="100" a="1"/>
  <c r="AI19" i="100" s="1"/>
  <c r="AH27" i="100"/>
  <c r="AE38" i="100"/>
  <c r="Q36" i="100"/>
  <c r="Q18" i="100"/>
  <c r="Q69" i="100"/>
  <c r="Q64" i="100"/>
  <c r="Q54" i="100"/>
  <c r="Q50" i="100"/>
  <c r="Q34" i="100"/>
  <c r="Q63" i="100"/>
  <c r="Q29" i="100"/>
  <c r="Q56" i="100"/>
  <c r="Q39" i="100"/>
  <c r="Q52" i="100"/>
  <c r="Q33" i="100"/>
  <c r="Q65" i="100"/>
  <c r="Q62" i="100"/>
  <c r="Q60" i="100"/>
  <c r="Q25" i="100"/>
  <c r="Q30" i="100"/>
  <c r="Q26" i="100"/>
  <c r="Q21" i="100"/>
  <c r="Q41" i="100"/>
  <c r="Q27" i="100"/>
  <c r="Q70" i="100"/>
  <c r="Q68" i="100"/>
  <c r="Q67" i="100"/>
  <c r="Q53" i="100"/>
  <c r="Q22" i="100"/>
  <c r="Q20" i="100"/>
  <c r="Q51" i="100"/>
  <c r="Q61" i="100"/>
  <c r="T35" i="100"/>
  <c r="T47" i="100"/>
  <c r="Q48" i="100"/>
  <c r="T41" i="100"/>
  <c r="Q46" i="100"/>
  <c r="Q66" i="100"/>
  <c r="Q55" i="100"/>
  <c r="AD45" i="100"/>
  <c r="Y46" i="100"/>
  <c r="AC45" i="100"/>
  <c r="T38" i="100"/>
  <c r="U45" i="100"/>
  <c r="Q45" i="100"/>
  <c r="T55" i="100"/>
  <c r="Q28" i="100"/>
  <c r="Q31" i="100"/>
  <c r="T51" i="100"/>
  <c r="T30" i="100"/>
  <c r="T63" i="100"/>
  <c r="T58" i="100"/>
  <c r="T37" i="100"/>
  <c r="T17" i="100"/>
  <c r="T53" i="100"/>
  <c r="T32" i="100"/>
  <c r="T20" i="100"/>
  <c r="T70" i="100"/>
  <c r="T49" i="100"/>
  <c r="T27" i="100"/>
  <c r="T26" i="100"/>
  <c r="T25" i="100"/>
  <c r="T24" i="100"/>
  <c r="T69" i="100"/>
  <c r="T18" i="100"/>
  <c r="T68" i="100"/>
  <c r="T67" i="100"/>
  <c r="T22" i="100"/>
  <c r="T54" i="100"/>
  <c r="T50" i="100"/>
  <c r="T48" i="100"/>
  <c r="T46" i="100"/>
  <c r="T36" i="100"/>
  <c r="T52" i="100"/>
  <c r="T33" i="100"/>
  <c r="T45" i="100"/>
  <c r="T42" i="100"/>
  <c r="T19" i="100"/>
  <c r="Q37" i="100"/>
  <c r="T56" i="100"/>
  <c r="T57" i="100"/>
  <c r="T39" i="100"/>
  <c r="Q38" i="100"/>
  <c r="T66" i="100"/>
  <c r="AF33" i="100"/>
  <c r="AF28" i="100"/>
  <c r="AF29" i="100"/>
  <c r="AF35" i="100"/>
  <c r="AH37" i="100"/>
  <c r="AF31" i="100"/>
  <c r="T21" i="100"/>
  <c r="AF36" i="100"/>
  <c r="T65" i="100"/>
  <c r="R41" i="100"/>
  <c r="S67" i="100"/>
  <c r="S68" i="100"/>
  <c r="AH35" i="100"/>
  <c r="Z48" i="100"/>
  <c r="Z49" i="100"/>
  <c r="R63" i="100"/>
  <c r="R59" i="100"/>
  <c r="R55" i="100"/>
  <c r="R48" i="100"/>
  <c r="R50" i="100"/>
  <c r="R34" i="100"/>
  <c r="R29" i="100"/>
  <c r="R58" i="100"/>
  <c r="R37" i="100"/>
  <c r="R17" i="100"/>
  <c r="R52" i="100"/>
  <c r="R33" i="100"/>
  <c r="R40" i="100"/>
  <c r="R38" i="100"/>
  <c r="R27" i="100"/>
  <c r="R21" i="100"/>
  <c r="S33" i="100"/>
  <c r="S29" i="100"/>
  <c r="S63" i="100"/>
  <c r="S58" i="100"/>
  <c r="S37" i="100"/>
  <c r="S17" i="100"/>
  <c r="S53" i="100"/>
  <c r="S32" i="100"/>
  <c r="S20" i="100"/>
  <c r="S40" i="100"/>
  <c r="S38" i="100"/>
  <c r="S30" i="100"/>
  <c r="S24" i="100"/>
  <c r="R26" i="100"/>
  <c r="S27" i="100"/>
  <c r="R30" i="100"/>
  <c r="S41" i="100"/>
  <c r="Z50" i="100"/>
  <c r="S61" i="100"/>
  <c r="G316" i="54"/>
  <c r="G221" i="54"/>
  <c r="G156" i="54"/>
  <c r="K731" i="106" l="1"/>
  <c r="J732" i="106" s="1"/>
  <c r="K159" i="106"/>
  <c r="K523" i="106"/>
  <c r="J524" i="106"/>
  <c r="K59" i="106"/>
  <c r="J60" i="106"/>
  <c r="K481" i="106"/>
  <c r="J482" i="106"/>
  <c r="K592" i="106"/>
  <c r="J593" i="106"/>
  <c r="J647" i="106"/>
  <c r="K646" i="106"/>
  <c r="K397" i="106"/>
  <c r="J398" i="106" s="1"/>
  <c r="K171" i="106"/>
  <c r="K145" i="106"/>
  <c r="J146" i="106"/>
  <c r="K493" i="106"/>
  <c r="J494" i="106"/>
  <c r="K675" i="106"/>
  <c r="J676" i="106"/>
  <c r="K689" i="106"/>
  <c r="J690" i="106"/>
  <c r="J228" i="106"/>
  <c r="K227" i="106"/>
  <c r="K537" i="106"/>
  <c r="J538" i="106" s="1"/>
  <c r="J353" i="106"/>
  <c r="K717" i="106"/>
  <c r="J368" i="106"/>
  <c r="K761" i="106"/>
  <c r="J762" i="106" s="1"/>
  <c r="K89" i="106"/>
  <c r="J90" i="106"/>
  <c r="J466" i="106"/>
  <c r="K465" i="106"/>
  <c r="K269" i="106"/>
  <c r="J270" i="106" s="1"/>
  <c r="J315" i="106"/>
  <c r="K315" i="106" s="1"/>
  <c r="K314" i="106"/>
  <c r="K324" i="106"/>
  <c r="J325" i="106" s="1"/>
  <c r="J439" i="106"/>
  <c r="K704" i="106"/>
  <c r="J705" i="106"/>
  <c r="J186" i="106"/>
  <c r="K604" i="106"/>
  <c r="J605" i="106"/>
  <c r="J283" i="106"/>
  <c r="K282" i="106"/>
  <c r="K578" i="106"/>
  <c r="J579" i="106" s="1"/>
  <c r="J634" i="106"/>
  <c r="K633" i="106"/>
  <c r="K509" i="106"/>
  <c r="J510" i="106" s="1"/>
  <c r="J242" i="106"/>
  <c r="J566" i="106"/>
  <c r="K565" i="106"/>
  <c r="J298" i="106"/>
  <c r="J549" i="106"/>
  <c r="J213" i="106"/>
  <c r="K212" i="106"/>
  <c r="K421" i="106"/>
  <c r="J422" i="106" s="1"/>
  <c r="K258" i="106"/>
  <c r="L246" i="106" s="1" a="1"/>
  <c r="J259" i="106"/>
  <c r="K259" i="106" s="1"/>
  <c r="J410" i="106"/>
  <c r="K381" i="106"/>
  <c r="J382" i="106"/>
  <c r="K661" i="106"/>
  <c r="J662" i="106" s="1"/>
  <c r="J118" i="106"/>
  <c r="K117" i="106"/>
  <c r="J748" i="106"/>
  <c r="K747" i="106"/>
  <c r="J775" i="106"/>
  <c r="K774" i="106"/>
  <c r="J73" i="106"/>
  <c r="E77" i="106"/>
  <c r="D79" i="106" s="1" a="1"/>
  <c r="D79" i="106" s="1"/>
  <c r="F77" i="106"/>
  <c r="L302" i="106" a="1"/>
  <c r="K338" i="106"/>
  <c r="J339" i="106"/>
  <c r="K202" i="106"/>
  <c r="J101" i="106"/>
  <c r="K100" i="106"/>
  <c r="K451" i="106"/>
  <c r="J452" i="106" s="1"/>
  <c r="J129" i="106"/>
  <c r="K622" i="106"/>
  <c r="J623" i="106"/>
  <c r="K623" i="106" s="1"/>
  <c r="G132" i="100"/>
  <c r="H229" i="100"/>
  <c r="F229" i="100"/>
  <c r="E229" i="100" s="1"/>
  <c r="D230" i="100" s="1" a="1"/>
  <c r="D230" i="100" s="1"/>
  <c r="F117" i="100"/>
  <c r="E117" i="100" s="1"/>
  <c r="D118" i="100" s="1" a="1"/>
  <c r="D118" i="100" s="1"/>
  <c r="H117" i="100"/>
  <c r="H173" i="100"/>
  <c r="F173" i="100"/>
  <c r="E173" i="100" s="1"/>
  <c r="D174" i="100" s="1" a="1"/>
  <c r="D174" i="100" s="1"/>
  <c r="H313" i="100"/>
  <c r="F313" i="100" s="1"/>
  <c r="E313" i="100" s="1"/>
  <c r="D314" i="100" s="1" a="1"/>
  <c r="D314" i="100" s="1"/>
  <c r="F201" i="100"/>
  <c r="E201" i="100" s="1"/>
  <c r="D202" i="100" s="1" a="1"/>
  <c r="D202" i="100" s="1"/>
  <c r="H201" i="100"/>
  <c r="F103" i="100"/>
  <c r="E103" i="100" s="1"/>
  <c r="D104" i="100" s="1" a="1"/>
  <c r="D104" i="100" s="1"/>
  <c r="H103" i="100"/>
  <c r="F75" i="100"/>
  <c r="E75" i="100" s="1"/>
  <c r="D76" i="100" s="1" a="1"/>
  <c r="D76" i="100" s="1"/>
  <c r="H75" i="100"/>
  <c r="H89" i="100"/>
  <c r="F89" i="100"/>
  <c r="E89" i="100" s="1"/>
  <c r="D90" i="100" s="1" a="1"/>
  <c r="D90" i="100" s="1"/>
  <c r="H187" i="100"/>
  <c r="F187" i="100"/>
  <c r="E187" i="100" s="1"/>
  <c r="D188" i="100" s="1" a="1"/>
  <c r="D188" i="100" s="1"/>
  <c r="F61" i="100"/>
  <c r="E61" i="100" s="1"/>
  <c r="D62" i="100" s="1" a="1"/>
  <c r="D62" i="100" s="1"/>
  <c r="H61" i="100"/>
  <c r="H243" i="100"/>
  <c r="F243" i="100"/>
  <c r="E243" i="100" s="1"/>
  <c r="D244" i="100" s="1" a="1"/>
  <c r="D244" i="100" s="1"/>
  <c r="F299" i="100"/>
  <c r="E299" i="100" s="1"/>
  <c r="D300" i="100" s="1" a="1"/>
  <c r="D300" i="100" s="1"/>
  <c r="H299" i="100"/>
  <c r="H215" i="100"/>
  <c r="F215" i="100"/>
  <c r="E215" i="100" s="1"/>
  <c r="D216" i="100" s="1" a="1"/>
  <c r="D216" i="100" s="1"/>
  <c r="H47" i="100"/>
  <c r="F47" i="100" s="1"/>
  <c r="H145" i="100"/>
  <c r="F145" i="100"/>
  <c r="E145" i="100" s="1"/>
  <c r="D146" i="100" s="1" a="1"/>
  <c r="D146" i="100" s="1"/>
  <c r="H271" i="100"/>
  <c r="F271" i="100"/>
  <c r="E271" i="100" s="1"/>
  <c r="D272" i="100" s="1" a="1"/>
  <c r="D272" i="100" s="1"/>
  <c r="H257" i="100"/>
  <c r="F257" i="100"/>
  <c r="E257" i="100" s="1"/>
  <c r="D258" i="100" s="1" a="1"/>
  <c r="D258" i="100" s="1"/>
  <c r="H159" i="100"/>
  <c r="F159" i="100"/>
  <c r="E159" i="100" s="1"/>
  <c r="D160" i="100" s="1" a="1"/>
  <c r="D160" i="100" s="1"/>
  <c r="H285" i="100"/>
  <c r="F285" i="100"/>
  <c r="E285" i="100" s="1"/>
  <c r="D286" i="100" s="1" a="1"/>
  <c r="D286" i="100" s="1"/>
  <c r="AH38" i="100"/>
  <c r="AD34" i="100"/>
  <c r="AD35" i="100"/>
  <c r="AD30" i="100"/>
  <c r="AC35" i="100"/>
  <c r="AC30" i="100"/>
  <c r="AD32" i="100"/>
  <c r="AC27" i="100"/>
  <c r="AD36" i="100"/>
  <c r="W22" i="100"/>
  <c r="Y22" i="100" s="1" a="1"/>
  <c r="Y22" i="100" s="1"/>
  <c r="AD29" i="100"/>
  <c r="AC36" i="100"/>
  <c r="AC32" i="100"/>
  <c r="AC29" i="100"/>
  <c r="AC37" i="100"/>
  <c r="AD33" i="100"/>
  <c r="AC34" i="100"/>
  <c r="AD31" i="100"/>
  <c r="AD27" i="100"/>
  <c r="AD37" i="100"/>
  <c r="AC33" i="100"/>
  <c r="AD28" i="100"/>
  <c r="AC31" i="100"/>
  <c r="AC28" i="100"/>
  <c r="Z51" i="100"/>
  <c r="K662" i="106" l="1"/>
  <c r="J663" i="106"/>
  <c r="J511" i="106"/>
  <c r="K511" i="106" s="1"/>
  <c r="K510" i="106"/>
  <c r="K398" i="106"/>
  <c r="K422" i="106"/>
  <c r="J423" i="106"/>
  <c r="K325" i="106"/>
  <c r="K270" i="106"/>
  <c r="K732" i="106"/>
  <c r="J733" i="106"/>
  <c r="J453" i="106"/>
  <c r="K452" i="106"/>
  <c r="K579" i="106"/>
  <c r="J763" i="106"/>
  <c r="K763" i="106" s="1"/>
  <c r="K762" i="106"/>
  <c r="K538" i="106"/>
  <c r="K566" i="106"/>
  <c r="J567" i="106"/>
  <c r="K567" i="106" s="1"/>
  <c r="K605" i="106"/>
  <c r="J606" i="106" s="1"/>
  <c r="K228" i="106"/>
  <c r="J229" i="106"/>
  <c r="K339" i="106"/>
  <c r="K524" i="106"/>
  <c r="J525" i="106" s="1"/>
  <c r="K525" i="106" s="1"/>
  <c r="L610" i="106" a="1"/>
  <c r="J718" i="106"/>
  <c r="K705" i="106"/>
  <c r="J706" i="106"/>
  <c r="K676" i="106"/>
  <c r="J677" i="106" s="1"/>
  <c r="K482" i="106"/>
  <c r="K129" i="106"/>
  <c r="J130" i="106"/>
  <c r="K353" i="106"/>
  <c r="J354" i="106" s="1"/>
  <c r="H248" i="106"/>
  <c r="H249" i="106" s="1"/>
  <c r="H250" i="106" s="1"/>
  <c r="H251" i="106" s="1"/>
  <c r="L246" i="106"/>
  <c r="H246" i="106" s="1"/>
  <c r="H247" i="106"/>
  <c r="K213" i="106"/>
  <c r="K634" i="106"/>
  <c r="L190" i="106" a="1"/>
  <c r="K382" i="106"/>
  <c r="J383" i="106"/>
  <c r="K242" i="106"/>
  <c r="J243" i="106"/>
  <c r="K186" i="106"/>
  <c r="K90" i="106"/>
  <c r="J91" i="106"/>
  <c r="K91" i="106" s="1"/>
  <c r="L498" i="106" a="1"/>
  <c r="L750" i="106" a="1"/>
  <c r="K60" i="106"/>
  <c r="J61" i="106" s="1"/>
  <c r="K775" i="106"/>
  <c r="J776" i="106"/>
  <c r="K146" i="106"/>
  <c r="K748" i="106"/>
  <c r="L736" i="106" s="1" a="1"/>
  <c r="J749" i="106"/>
  <c r="K749" i="106" s="1"/>
  <c r="K549" i="106"/>
  <c r="J550" i="106" s="1"/>
  <c r="J172" i="106"/>
  <c r="J160" i="106"/>
  <c r="K690" i="106"/>
  <c r="J691" i="106" s="1"/>
  <c r="K593" i="106"/>
  <c r="J594" i="106" s="1"/>
  <c r="L302" i="106"/>
  <c r="H302" i="106" s="1"/>
  <c r="H303" i="106" s="1"/>
  <c r="H304" i="106" s="1"/>
  <c r="H305" i="106" s="1"/>
  <c r="H306" i="106" s="1"/>
  <c r="H307" i="106" s="1"/>
  <c r="K410" i="106"/>
  <c r="E79" i="106"/>
  <c r="D81" i="106" s="1" a="1"/>
  <c r="D81" i="106" s="1"/>
  <c r="F79" i="106"/>
  <c r="K439" i="106"/>
  <c r="J440" i="106"/>
  <c r="K368" i="106"/>
  <c r="J369" i="106"/>
  <c r="K494" i="106"/>
  <c r="J495" i="106"/>
  <c r="K118" i="106"/>
  <c r="J119" i="106" s="1"/>
  <c r="K119" i="106" s="1"/>
  <c r="K647" i="106"/>
  <c r="J648" i="106" s="1"/>
  <c r="K73" i="106"/>
  <c r="K101" i="106"/>
  <c r="J102" i="106" s="1"/>
  <c r="K298" i="106"/>
  <c r="J299" i="106" s="1"/>
  <c r="J203" i="106"/>
  <c r="K203" i="106" s="1"/>
  <c r="L554" i="106" a="1"/>
  <c r="K283" i="106"/>
  <c r="J284" i="106" s="1"/>
  <c r="K466" i="106"/>
  <c r="J467" i="106" s="1"/>
  <c r="E47" i="100"/>
  <c r="G76" i="100"/>
  <c r="G174" i="100"/>
  <c r="G62" i="100"/>
  <c r="G258" i="100"/>
  <c r="G146" i="100"/>
  <c r="G216" i="100"/>
  <c r="G314" i="100"/>
  <c r="G286" i="100"/>
  <c r="G272" i="100"/>
  <c r="H132" i="100"/>
  <c r="F132" i="100"/>
  <c r="E132" i="100" s="1"/>
  <c r="D133" i="100" s="1" a="1"/>
  <c r="D133" i="100" s="1"/>
  <c r="G104" i="100"/>
  <c r="G202" i="100"/>
  <c r="G300" i="100"/>
  <c r="G244" i="100"/>
  <c r="G160" i="100"/>
  <c r="G118" i="100"/>
  <c r="G188" i="100"/>
  <c r="G230" i="100"/>
  <c r="G90" i="100"/>
  <c r="K354" i="106" l="1"/>
  <c r="J355" i="106" s="1"/>
  <c r="K284" i="106"/>
  <c r="J285" i="106" s="1"/>
  <c r="J678" i="106"/>
  <c r="K677" i="106"/>
  <c r="K594" i="106"/>
  <c r="J595" i="106"/>
  <c r="K595" i="106" s="1"/>
  <c r="L582" i="106" s="1" a="1"/>
  <c r="K691" i="106"/>
  <c r="J692" i="106"/>
  <c r="K102" i="106"/>
  <c r="J103" i="106" s="1"/>
  <c r="H737" i="106"/>
  <c r="H738" i="106" s="1"/>
  <c r="H739" i="106" s="1"/>
  <c r="H740" i="106" s="1"/>
  <c r="H741" i="106" s="1"/>
  <c r="L736" i="106"/>
  <c r="H736" i="106" s="1"/>
  <c r="K61" i="106"/>
  <c r="J62" i="106" s="1"/>
  <c r="K467" i="106"/>
  <c r="J468" i="106"/>
  <c r="K299" i="106"/>
  <c r="J300" i="106"/>
  <c r="K648" i="106"/>
  <c r="J649" i="106" s="1"/>
  <c r="J551" i="106"/>
  <c r="K550" i="106"/>
  <c r="K606" i="106"/>
  <c r="J607" i="106" s="1"/>
  <c r="J454" i="106"/>
  <c r="K453" i="106"/>
  <c r="K733" i="106"/>
  <c r="J734" i="106" s="1"/>
  <c r="K495" i="106"/>
  <c r="J496" i="106"/>
  <c r="J635" i="106"/>
  <c r="J271" i="106"/>
  <c r="H751" i="106"/>
  <c r="H752" i="106" s="1"/>
  <c r="H753" i="106" s="1"/>
  <c r="H754" i="106" s="1"/>
  <c r="H755" i="106" s="1"/>
  <c r="L750" i="106"/>
  <c r="H750" i="106" s="1"/>
  <c r="K440" i="106"/>
  <c r="J441" i="106"/>
  <c r="K441" i="106" s="1"/>
  <c r="K160" i="106"/>
  <c r="J161" i="106" s="1"/>
  <c r="K161" i="106" s="1"/>
  <c r="L498" i="106"/>
  <c r="H498" i="106" s="1"/>
  <c r="H499" i="106" s="1"/>
  <c r="H500" i="106" s="1"/>
  <c r="H501" i="106" s="1"/>
  <c r="H502" i="106" s="1"/>
  <c r="H503" i="106" s="1"/>
  <c r="J326" i="106"/>
  <c r="L428" i="106" a="1"/>
  <c r="K172" i="106"/>
  <c r="J173" i="106" s="1"/>
  <c r="J707" i="106"/>
  <c r="K707" i="106" s="1"/>
  <c r="K706" i="106"/>
  <c r="J424" i="106"/>
  <c r="K423" i="106"/>
  <c r="J74" i="106"/>
  <c r="L78" i="106" a="1"/>
  <c r="K776" i="106"/>
  <c r="K229" i="106"/>
  <c r="J230" i="106"/>
  <c r="J214" i="106"/>
  <c r="J719" i="106"/>
  <c r="K718" i="106"/>
  <c r="L106" i="106" a="1"/>
  <c r="J187" i="106"/>
  <c r="J411" i="106"/>
  <c r="K243" i="106"/>
  <c r="J244" i="106"/>
  <c r="L610" i="106"/>
  <c r="H610" i="106" s="1"/>
  <c r="H611" i="106" s="1"/>
  <c r="H612" i="106" s="1"/>
  <c r="H613" i="106" s="1"/>
  <c r="H614" i="106" s="1"/>
  <c r="H615" i="106" s="1"/>
  <c r="J399" i="106"/>
  <c r="K399" i="106" s="1"/>
  <c r="L386" i="106" s="1" a="1"/>
  <c r="J340" i="106"/>
  <c r="L526" i="106" a="1"/>
  <c r="J539" i="106"/>
  <c r="K539" i="106" s="1"/>
  <c r="L190" i="106"/>
  <c r="H190" i="106" s="1"/>
  <c r="H191" i="106" s="1"/>
  <c r="H192" i="106" s="1"/>
  <c r="H193" i="106" s="1"/>
  <c r="H194" i="106" s="1"/>
  <c r="H195" i="106" s="1"/>
  <c r="K130" i="106"/>
  <c r="J131" i="106"/>
  <c r="F81" i="106"/>
  <c r="E81" i="106"/>
  <c r="D83" i="106" s="1" a="1"/>
  <c r="D83" i="106" s="1"/>
  <c r="L554" i="106"/>
  <c r="H554" i="106" s="1"/>
  <c r="H555" i="106"/>
  <c r="H556" i="106" s="1"/>
  <c r="H557" i="106" s="1"/>
  <c r="H558" i="106" s="1"/>
  <c r="H559" i="106" s="1"/>
  <c r="K383" i="106"/>
  <c r="J580" i="106"/>
  <c r="K663" i="106"/>
  <c r="J664" i="106"/>
  <c r="K369" i="106"/>
  <c r="J370" i="106" s="1"/>
  <c r="J483" i="106"/>
  <c r="K483" i="106" s="1"/>
  <c r="L470" i="106" s="1" a="1"/>
  <c r="L512" i="106" a="1"/>
  <c r="J147" i="106"/>
  <c r="K147" i="106" s="1"/>
  <c r="L134" i="106" s="1" a="1"/>
  <c r="D48" i="100" a="1"/>
  <c r="D48" i="100" s="1"/>
  <c r="G48" i="100" s="1"/>
  <c r="H314" i="100"/>
  <c r="F314" i="100"/>
  <c r="E314" i="100" s="1"/>
  <c r="D315" i="100" s="1" a="1"/>
  <c r="D315" i="100" s="1"/>
  <c r="H244" i="100"/>
  <c r="F244" i="100"/>
  <c r="E244" i="100" s="1"/>
  <c r="D245" i="100" s="1" a="1"/>
  <c r="D245" i="100" s="1"/>
  <c r="F300" i="100"/>
  <c r="E300" i="100" s="1"/>
  <c r="D301" i="100" s="1" a="1"/>
  <c r="D301" i="100" s="1"/>
  <c r="H300" i="100"/>
  <c r="F202" i="100"/>
  <c r="E202" i="100" s="1"/>
  <c r="D203" i="100" s="1" a="1"/>
  <c r="D203" i="100" s="1"/>
  <c r="H202" i="100"/>
  <c r="F104" i="100"/>
  <c r="E104" i="100" s="1"/>
  <c r="D105" i="100" s="1" a="1"/>
  <c r="D105" i="100" s="1"/>
  <c r="H104" i="100"/>
  <c r="G133" i="100"/>
  <c r="H174" i="100"/>
  <c r="F174" i="100"/>
  <c r="E174" i="100" s="1"/>
  <c r="D175" i="100" s="1" a="1"/>
  <c r="D175" i="100" s="1"/>
  <c r="H272" i="100"/>
  <c r="F272" i="100"/>
  <c r="E272" i="100" s="1"/>
  <c r="D273" i="100" s="1" a="1"/>
  <c r="D273" i="100" s="1"/>
  <c r="F160" i="100"/>
  <c r="E160" i="100" s="1"/>
  <c r="D161" i="100" s="1" a="1"/>
  <c r="D161" i="100" s="1"/>
  <c r="H160" i="100"/>
  <c r="F216" i="100"/>
  <c r="E216" i="100" s="1"/>
  <c r="D217" i="100" s="1" a="1"/>
  <c r="D217" i="100" s="1"/>
  <c r="H216" i="100"/>
  <c r="H146" i="100"/>
  <c r="F146" i="100"/>
  <c r="E146" i="100" s="1"/>
  <c r="D147" i="100" s="1" a="1"/>
  <c r="D147" i="100" s="1"/>
  <c r="F258" i="100"/>
  <c r="E258" i="100" s="1"/>
  <c r="D259" i="100" s="1" a="1"/>
  <c r="D259" i="100" s="1"/>
  <c r="H258" i="100"/>
  <c r="F62" i="100"/>
  <c r="E62" i="100" s="1"/>
  <c r="D63" i="100" s="1" a="1"/>
  <c r="D63" i="100" s="1"/>
  <c r="H62" i="100"/>
  <c r="F90" i="100"/>
  <c r="E90" i="100" s="1"/>
  <c r="D91" i="100" s="1" a="1"/>
  <c r="D91" i="100" s="1"/>
  <c r="H90" i="100"/>
  <c r="F230" i="100"/>
  <c r="E230" i="100" s="1"/>
  <c r="D231" i="100" s="1" a="1"/>
  <c r="D231" i="100" s="1"/>
  <c r="H230" i="100"/>
  <c r="F188" i="100"/>
  <c r="E188" i="100" s="1"/>
  <c r="D189" i="100" s="1" a="1"/>
  <c r="D189" i="100" s="1"/>
  <c r="H188" i="100"/>
  <c r="H76" i="100"/>
  <c r="F76" i="100"/>
  <c r="E76" i="100" s="1"/>
  <c r="D77" i="100" s="1" a="1"/>
  <c r="D77" i="100" s="1"/>
  <c r="F118" i="100"/>
  <c r="E118" i="100" s="1"/>
  <c r="D119" i="100" s="1" a="1"/>
  <c r="D119" i="100" s="1"/>
  <c r="H118" i="100"/>
  <c r="H286" i="100"/>
  <c r="F286" i="100"/>
  <c r="E286" i="100" s="1"/>
  <c r="D287" i="100" s="1" a="1"/>
  <c r="D287" i="100" s="1"/>
  <c r="L134" i="106" l="1"/>
  <c r="H134" i="106" s="1"/>
  <c r="H135" i="106" s="1"/>
  <c r="H136" i="106" s="1"/>
  <c r="H137" i="106" s="1"/>
  <c r="H138" i="106" s="1"/>
  <c r="H139" i="106" s="1"/>
  <c r="K103" i="106"/>
  <c r="J104" i="106" s="1"/>
  <c r="K62" i="106"/>
  <c r="L484" i="106" a="1"/>
  <c r="H583" i="106"/>
  <c r="H584" i="106" s="1"/>
  <c r="H585" i="106" s="1"/>
  <c r="H586" i="106" s="1"/>
  <c r="H587" i="106" s="1"/>
  <c r="L582" i="106"/>
  <c r="H582" i="106" s="1"/>
  <c r="L386" i="106"/>
  <c r="H386" i="106" s="1"/>
  <c r="H387" i="106"/>
  <c r="H388" i="106" s="1"/>
  <c r="H389" i="106" s="1"/>
  <c r="H390" i="106" s="1"/>
  <c r="H391" i="106" s="1"/>
  <c r="K173" i="106"/>
  <c r="J174" i="106" s="1"/>
  <c r="K607" i="106"/>
  <c r="J608" i="106" s="1"/>
  <c r="L470" i="106"/>
  <c r="H470" i="106" s="1"/>
  <c r="H471" i="106" s="1"/>
  <c r="H472" i="106" s="1"/>
  <c r="H473" i="106" s="1"/>
  <c r="H474" i="106" s="1"/>
  <c r="H475" i="106" s="1"/>
  <c r="K734" i="106"/>
  <c r="J735" i="106"/>
  <c r="K735" i="106" s="1"/>
  <c r="K370" i="106"/>
  <c r="J371" i="106" s="1"/>
  <c r="K371" i="106" s="1"/>
  <c r="K285" i="106"/>
  <c r="J286" i="106" s="1"/>
  <c r="K649" i="106"/>
  <c r="J650" i="106"/>
  <c r="K355" i="106"/>
  <c r="K131" i="106"/>
  <c r="J132" i="106" s="1"/>
  <c r="L512" i="106"/>
  <c r="H512" i="106" s="1"/>
  <c r="H513" i="106" s="1"/>
  <c r="H514" i="106" s="1"/>
  <c r="H515" i="106" s="1"/>
  <c r="H516" i="106" s="1"/>
  <c r="H517" i="106" s="1"/>
  <c r="K468" i="106"/>
  <c r="J469" i="106" s="1"/>
  <c r="K469" i="106" s="1"/>
  <c r="L456" i="106" s="1" a="1"/>
  <c r="K580" i="106"/>
  <c r="K326" i="106"/>
  <c r="J327" i="106"/>
  <c r="K551" i="106"/>
  <c r="J552" i="106"/>
  <c r="J301" i="106"/>
  <c r="K301" i="106" s="1"/>
  <c r="K300" i="106"/>
  <c r="L288" i="106" s="1" a="1"/>
  <c r="K74" i="106"/>
  <c r="L148" i="106" a="1"/>
  <c r="K187" i="106"/>
  <c r="K424" i="106"/>
  <c r="J425" i="106"/>
  <c r="K678" i="106"/>
  <c r="J679" i="106" s="1"/>
  <c r="K679" i="106" s="1"/>
  <c r="L666" i="106" s="1" a="1"/>
  <c r="L106" i="106"/>
  <c r="H106" i="106" s="1"/>
  <c r="H107" i="106"/>
  <c r="H108" i="106" s="1"/>
  <c r="H109" i="106" s="1"/>
  <c r="H110" i="106" s="1"/>
  <c r="H111" i="106" s="1"/>
  <c r="L694" i="106" a="1"/>
  <c r="K244" i="106"/>
  <c r="J245" i="106" s="1"/>
  <c r="K245" i="106" s="1"/>
  <c r="J777" i="106"/>
  <c r="K777" i="106" s="1"/>
  <c r="K635" i="106"/>
  <c r="K692" i="106"/>
  <c r="J455" i="106"/>
  <c r="K455" i="106" s="1"/>
  <c r="K454" i="106"/>
  <c r="K230" i="106"/>
  <c r="J231" i="106" s="1"/>
  <c r="K231" i="106" s="1"/>
  <c r="L78" i="106"/>
  <c r="H78" i="106" s="1"/>
  <c r="H79" i="106"/>
  <c r="H80" i="106" s="1"/>
  <c r="H81" i="106" s="1"/>
  <c r="H82" i="106" s="1"/>
  <c r="H83" i="106" s="1"/>
  <c r="K496" i="106"/>
  <c r="J497" i="106"/>
  <c r="K497" i="106" s="1"/>
  <c r="J384" i="106"/>
  <c r="K411" i="106"/>
  <c r="L526" i="106"/>
  <c r="H526" i="106" s="1"/>
  <c r="H527" i="106"/>
  <c r="H528" i="106" s="1"/>
  <c r="H529" i="106" s="1"/>
  <c r="H530" i="106" s="1"/>
  <c r="H531" i="106" s="1"/>
  <c r="K340" i="106"/>
  <c r="F83" i="106"/>
  <c r="E83" i="106"/>
  <c r="D85" i="106" s="1" a="1"/>
  <c r="D85" i="106" s="1"/>
  <c r="K719" i="106"/>
  <c r="J720" i="106"/>
  <c r="J272" i="106"/>
  <c r="K271" i="106"/>
  <c r="L428" i="106"/>
  <c r="H428" i="106" s="1"/>
  <c r="H429" i="106"/>
  <c r="H430" i="106" s="1"/>
  <c r="H431" i="106" s="1"/>
  <c r="H432" i="106" s="1"/>
  <c r="H433" i="106" s="1"/>
  <c r="K664" i="106"/>
  <c r="J665" i="106"/>
  <c r="K665" i="106" s="1"/>
  <c r="L652" i="106" a="1"/>
  <c r="K214" i="106"/>
  <c r="G189" i="100"/>
  <c r="G63" i="100"/>
  <c r="G203" i="100"/>
  <c r="G175" i="100"/>
  <c r="F133" i="100"/>
  <c r="E133" i="100" s="1"/>
  <c r="D134" i="100" s="1" a="1"/>
  <c r="D134" i="100" s="1"/>
  <c r="H133" i="100"/>
  <c r="G105" i="100"/>
  <c r="H48" i="100"/>
  <c r="F48" i="100" s="1"/>
  <c r="G301" i="100"/>
  <c r="G119" i="100"/>
  <c r="G77" i="100"/>
  <c r="G315" i="100"/>
  <c r="G273" i="100"/>
  <c r="G231" i="100"/>
  <c r="G91" i="100"/>
  <c r="G287" i="100"/>
  <c r="G259" i="100"/>
  <c r="G147" i="100"/>
  <c r="G245" i="100"/>
  <c r="G217" i="100"/>
  <c r="G161" i="100"/>
  <c r="K286" i="106" l="1"/>
  <c r="J287" i="106" s="1"/>
  <c r="K287" i="106" s="1"/>
  <c r="L274" i="106" s="1" a="1"/>
  <c r="K608" i="106"/>
  <c r="L456" i="106"/>
  <c r="H456" i="106" s="1"/>
  <c r="H457" i="106" s="1"/>
  <c r="H458" i="106" s="1"/>
  <c r="H459" i="106" s="1"/>
  <c r="H460" i="106" s="1"/>
  <c r="H461" i="106" s="1"/>
  <c r="K132" i="106"/>
  <c r="L666" i="106"/>
  <c r="H666" i="106" s="1"/>
  <c r="H667" i="106" s="1"/>
  <c r="H668" i="106" s="1"/>
  <c r="H669" i="106" s="1"/>
  <c r="H670" i="106" s="1"/>
  <c r="H671" i="106" s="1"/>
  <c r="K104" i="106"/>
  <c r="L680" i="106" a="1"/>
  <c r="K174" i="106"/>
  <c r="J175" i="106"/>
  <c r="K175" i="106" s="1"/>
  <c r="L232" i="106" a="1"/>
  <c r="L218" i="106" a="1"/>
  <c r="K425" i="106"/>
  <c r="J426" i="106"/>
  <c r="L484" i="106"/>
  <c r="H484" i="106" s="1"/>
  <c r="H485" i="106" s="1"/>
  <c r="H486" i="106" s="1"/>
  <c r="H487" i="106" s="1"/>
  <c r="H488" i="106" s="1"/>
  <c r="H489" i="106" s="1"/>
  <c r="L652" i="106"/>
  <c r="H652" i="106" s="1"/>
  <c r="H653" i="106"/>
  <c r="H654" i="106" s="1"/>
  <c r="H655" i="106" s="1"/>
  <c r="H656" i="106" s="1"/>
  <c r="H657" i="106" s="1"/>
  <c r="H289" i="106"/>
  <c r="H290" i="106"/>
  <c r="H291" i="106" s="1"/>
  <c r="H292" i="106" s="1"/>
  <c r="H293" i="106" s="1"/>
  <c r="L288" i="106"/>
  <c r="H288" i="106" s="1"/>
  <c r="J693" i="106"/>
  <c r="K693" i="106" s="1"/>
  <c r="J188" i="106"/>
  <c r="L50" i="106" a="1"/>
  <c r="L694" i="106"/>
  <c r="H694" i="106" s="1"/>
  <c r="H695" i="106" s="1"/>
  <c r="H696" i="106" s="1"/>
  <c r="H697" i="106" s="1"/>
  <c r="H698" i="106" s="1"/>
  <c r="H699" i="106" s="1"/>
  <c r="L722" i="106" a="1"/>
  <c r="H149" i="106"/>
  <c r="H150" i="106" s="1"/>
  <c r="H151" i="106" s="1"/>
  <c r="H152" i="106" s="1"/>
  <c r="H153" i="106" s="1"/>
  <c r="L148" i="106"/>
  <c r="H148" i="106" s="1"/>
  <c r="J75" i="106"/>
  <c r="K552" i="106"/>
  <c r="J553" i="106" s="1"/>
  <c r="K553" i="106" s="1"/>
  <c r="K327" i="106"/>
  <c r="J328" i="106" s="1"/>
  <c r="K272" i="106"/>
  <c r="K720" i="106"/>
  <c r="L708" i="106" s="1" a="1"/>
  <c r="J721" i="106"/>
  <c r="K721" i="106" s="1"/>
  <c r="J412" i="106"/>
  <c r="K384" i="106"/>
  <c r="J385" i="106"/>
  <c r="K385" i="106" s="1"/>
  <c r="F85" i="106"/>
  <c r="E85" i="106"/>
  <c r="D87" i="106" s="1" a="1"/>
  <c r="D87" i="106" s="1"/>
  <c r="L764" i="106" a="1"/>
  <c r="J63" i="106"/>
  <c r="K63" i="106" s="1"/>
  <c r="L358" i="106" a="1"/>
  <c r="J341" i="106"/>
  <c r="L568" i="106" a="1"/>
  <c r="K650" i="106"/>
  <c r="J636" i="106"/>
  <c r="J215" i="106"/>
  <c r="L442" i="106" a="1"/>
  <c r="J581" i="106"/>
  <c r="K581" i="106" s="1"/>
  <c r="J356" i="106"/>
  <c r="E48" i="100"/>
  <c r="D49" i="100" s="1" a="1"/>
  <c r="D49" i="100" s="1"/>
  <c r="H259" i="100"/>
  <c r="F259" i="100"/>
  <c r="E259" i="100" s="1"/>
  <c r="D260" i="100" s="1" a="1"/>
  <c r="D260" i="100" s="1"/>
  <c r="H301" i="100"/>
  <c r="F301" i="100"/>
  <c r="E301" i="100" s="1"/>
  <c r="D302" i="100" s="1" a="1"/>
  <c r="D302" i="100" s="1"/>
  <c r="F287" i="100"/>
  <c r="E287" i="100" s="1"/>
  <c r="D288" i="100" s="1" a="1"/>
  <c r="D288" i="100" s="1"/>
  <c r="H287" i="100"/>
  <c r="H91" i="100"/>
  <c r="F91" i="100"/>
  <c r="E91" i="100" s="1"/>
  <c r="D92" i="100" s="1" a="1"/>
  <c r="D92" i="100" s="1"/>
  <c r="F105" i="100"/>
  <c r="E105" i="100" s="1"/>
  <c r="D106" i="100" s="1" a="1"/>
  <c r="D106" i="100" s="1"/>
  <c r="H105" i="100"/>
  <c r="F231" i="100"/>
  <c r="E231" i="100" s="1"/>
  <c r="D232" i="100" s="1" a="1"/>
  <c r="D232" i="100" s="1"/>
  <c r="H231" i="100"/>
  <c r="G134" i="100"/>
  <c r="H161" i="100"/>
  <c r="F161" i="100"/>
  <c r="E161" i="100" s="1"/>
  <c r="D162" i="100" s="1" a="1"/>
  <c r="D162" i="100" s="1"/>
  <c r="H273" i="100"/>
  <c r="F273" i="100"/>
  <c r="E273" i="100" s="1"/>
  <c r="D274" i="100" s="1" a="1"/>
  <c r="D274" i="100" s="1"/>
  <c r="H175" i="100"/>
  <c r="F175" i="100"/>
  <c r="E175" i="100" s="1"/>
  <c r="D176" i="100" s="1" a="1"/>
  <c r="D176" i="100" s="1"/>
  <c r="H217" i="100"/>
  <c r="F217" i="100"/>
  <c r="E217" i="100" s="1"/>
  <c r="D218" i="100" s="1" a="1"/>
  <c r="D218" i="100" s="1"/>
  <c r="H315" i="100"/>
  <c r="F315" i="100"/>
  <c r="E315" i="100" s="1"/>
  <c r="D316" i="100" s="1" a="1"/>
  <c r="D316" i="100" s="1"/>
  <c r="F203" i="100"/>
  <c r="E203" i="100" s="1"/>
  <c r="D204" i="100" s="1" a="1"/>
  <c r="D204" i="100" s="1"/>
  <c r="H203" i="100"/>
  <c r="F245" i="100"/>
  <c r="E245" i="100" s="1"/>
  <c r="D246" i="100" s="1" a="1"/>
  <c r="D246" i="100" s="1"/>
  <c r="H245" i="100"/>
  <c r="F77" i="100"/>
  <c r="E77" i="100" s="1"/>
  <c r="D78" i="100" s="1" a="1"/>
  <c r="D78" i="100" s="1"/>
  <c r="H77" i="100"/>
  <c r="F63" i="100"/>
  <c r="E63" i="100" s="1"/>
  <c r="D64" i="100" s="1" a="1"/>
  <c r="D64" i="100" s="1"/>
  <c r="H63" i="100"/>
  <c r="H119" i="100"/>
  <c r="F119" i="100"/>
  <c r="E119" i="100" s="1"/>
  <c r="D120" i="100" s="1" a="1"/>
  <c r="D120" i="100" s="1"/>
  <c r="F147" i="100"/>
  <c r="E147" i="100" s="1"/>
  <c r="D148" i="100" s="1" a="1"/>
  <c r="D148" i="100" s="1"/>
  <c r="H147" i="100"/>
  <c r="H189" i="100"/>
  <c r="F189" i="100"/>
  <c r="E189" i="100" s="1"/>
  <c r="D190" i="100" s="1" a="1"/>
  <c r="D190" i="100" s="1"/>
  <c r="L708" i="106" l="1"/>
  <c r="H708" i="106" s="1"/>
  <c r="H709" i="106"/>
  <c r="H710" i="106" s="1"/>
  <c r="H711" i="106" s="1"/>
  <c r="H712" i="106" s="1"/>
  <c r="H713" i="106" s="1"/>
  <c r="K328" i="106"/>
  <c r="L316" i="106" s="1" a="1"/>
  <c r="J329" i="106"/>
  <c r="K329" i="106" s="1"/>
  <c r="L274" i="106"/>
  <c r="H274" i="106" s="1"/>
  <c r="H275" i="106" s="1"/>
  <c r="H276" i="106" s="1"/>
  <c r="H277" i="106" s="1"/>
  <c r="H278" i="106" s="1"/>
  <c r="H279" i="106" s="1"/>
  <c r="L568" i="106"/>
  <c r="H568" i="106" s="1"/>
  <c r="H569" i="106" s="1"/>
  <c r="H570" i="106" s="1"/>
  <c r="H571" i="106" s="1"/>
  <c r="H572" i="106" s="1"/>
  <c r="H573" i="106" s="1"/>
  <c r="K426" i="106"/>
  <c r="J427" i="106"/>
  <c r="K427" i="106" s="1"/>
  <c r="L764" i="106"/>
  <c r="H764" i="106" s="1"/>
  <c r="H765" i="106" s="1"/>
  <c r="H766" i="106" s="1"/>
  <c r="H767" i="106" s="1"/>
  <c r="H768" i="106" s="1"/>
  <c r="H769" i="106" s="1"/>
  <c r="L540" i="106" a="1"/>
  <c r="L162" i="106" a="1"/>
  <c r="L722" i="106"/>
  <c r="H722" i="106" s="1"/>
  <c r="H723" i="106"/>
  <c r="H724" i="106" s="1"/>
  <c r="H725" i="106" s="1"/>
  <c r="H726" i="106" s="1"/>
  <c r="H727" i="106" s="1"/>
  <c r="L50" i="106"/>
  <c r="H50" i="106" s="1"/>
  <c r="H51" i="106"/>
  <c r="H52" i="106" s="1"/>
  <c r="H53" i="106" s="1"/>
  <c r="H54" i="106" s="1"/>
  <c r="H55" i="106" s="1"/>
  <c r="L596" i="106" a="1"/>
  <c r="L414" i="106" a="1"/>
  <c r="L232" i="106"/>
  <c r="H232" i="106" s="1"/>
  <c r="H233" i="106" s="1"/>
  <c r="H234" i="106" s="1"/>
  <c r="H235" i="106" s="1"/>
  <c r="H236" i="106" s="1"/>
  <c r="H237" i="106" s="1"/>
  <c r="K341" i="106"/>
  <c r="L680" i="106"/>
  <c r="H680" i="106" s="1"/>
  <c r="H681" i="106"/>
  <c r="H682" i="106" s="1"/>
  <c r="H683" i="106" s="1"/>
  <c r="H684" i="106" s="1"/>
  <c r="H685" i="106" s="1"/>
  <c r="J609" i="106"/>
  <c r="K609" i="106" s="1"/>
  <c r="L120" i="106" a="1"/>
  <c r="J651" i="106"/>
  <c r="K651" i="106" s="1"/>
  <c r="L638" i="106" s="1" a="1"/>
  <c r="J273" i="106"/>
  <c r="K273" i="106" s="1"/>
  <c r="L260" i="106" s="1" a="1"/>
  <c r="L442" i="106"/>
  <c r="H442" i="106" s="1"/>
  <c r="H443" i="106" s="1"/>
  <c r="H444" i="106" s="1"/>
  <c r="H445" i="106" s="1"/>
  <c r="H446" i="106" s="1"/>
  <c r="H447" i="106" s="1"/>
  <c r="K356" i="106"/>
  <c r="F87" i="106"/>
  <c r="E87" i="106"/>
  <c r="D89" i="106" s="1" a="1"/>
  <c r="D89" i="106" s="1"/>
  <c r="J105" i="106"/>
  <c r="K105" i="106" s="1"/>
  <c r="L92" i="106" s="1" a="1"/>
  <c r="L372" i="106" a="1"/>
  <c r="K636" i="106"/>
  <c r="L624" i="106" s="1" a="1"/>
  <c r="J637" i="106"/>
  <c r="K637" i="106" s="1"/>
  <c r="L218" i="106"/>
  <c r="H218" i="106" s="1"/>
  <c r="H219" i="106" s="1"/>
  <c r="H220" i="106" s="1"/>
  <c r="H221" i="106" s="1"/>
  <c r="H222" i="106" s="1"/>
  <c r="H223" i="106" s="1"/>
  <c r="J133" i="106"/>
  <c r="K133" i="106" s="1"/>
  <c r="L358" i="106"/>
  <c r="H358" i="106" s="1"/>
  <c r="H359" i="106" s="1"/>
  <c r="H360" i="106" s="1"/>
  <c r="H361" i="106" s="1"/>
  <c r="H362" i="106" s="1"/>
  <c r="H363" i="106" s="1"/>
  <c r="K75" i="106"/>
  <c r="J76" i="106" s="1"/>
  <c r="K188" i="106"/>
  <c r="K215" i="106"/>
  <c r="K412" i="106"/>
  <c r="G232" i="100"/>
  <c r="G204" i="100"/>
  <c r="G316" i="100"/>
  <c r="G218" i="100"/>
  <c r="G288" i="100"/>
  <c r="G176" i="100"/>
  <c r="G148" i="100"/>
  <c r="G120" i="100"/>
  <c r="G274" i="100"/>
  <c r="G162" i="100"/>
  <c r="G49" i="100"/>
  <c r="G78" i="100"/>
  <c r="F134" i="100"/>
  <c r="E134" i="100" s="1"/>
  <c r="D135" i="100" s="1" a="1"/>
  <c r="D135" i="100" s="1"/>
  <c r="H134" i="100"/>
  <c r="G246" i="100"/>
  <c r="G106" i="100"/>
  <c r="G92" i="100"/>
  <c r="G190" i="100"/>
  <c r="G302" i="100"/>
  <c r="G260" i="100"/>
  <c r="G64" i="100"/>
  <c r="L260" i="106" l="1"/>
  <c r="H260" i="106" s="1"/>
  <c r="H261" i="106" s="1"/>
  <c r="H262" i="106" s="1"/>
  <c r="H263" i="106" s="1"/>
  <c r="H264" i="106" s="1"/>
  <c r="H265" i="106" s="1"/>
  <c r="L638" i="106"/>
  <c r="H638" i="106" s="1"/>
  <c r="H639" i="106" s="1"/>
  <c r="H640" i="106" s="1"/>
  <c r="H641" i="106" s="1"/>
  <c r="H642" i="106" s="1"/>
  <c r="H643" i="106" s="1"/>
  <c r="L92" i="106"/>
  <c r="H92" i="106" s="1"/>
  <c r="H93" i="106"/>
  <c r="H94" i="106" s="1"/>
  <c r="H95" i="106" s="1"/>
  <c r="H96" i="106" s="1"/>
  <c r="H97" i="106" s="1"/>
  <c r="K76" i="106"/>
  <c r="J77" i="106"/>
  <c r="K77" i="106" s="1"/>
  <c r="L120" i="106"/>
  <c r="H120" i="106" s="1"/>
  <c r="H121" i="106"/>
  <c r="H122" i="106"/>
  <c r="H123" i="106" s="1"/>
  <c r="H124" i="106" s="1"/>
  <c r="H125" i="106" s="1"/>
  <c r="L176" i="106" a="1"/>
  <c r="L372" i="106"/>
  <c r="H372" i="106" s="1"/>
  <c r="H373" i="106"/>
  <c r="H374" i="106" s="1"/>
  <c r="H375" i="106" s="1"/>
  <c r="H376" i="106" s="1"/>
  <c r="H377" i="106" s="1"/>
  <c r="F89" i="106"/>
  <c r="E89" i="106"/>
  <c r="D91" i="106" s="1" a="1"/>
  <c r="D91" i="106" s="1"/>
  <c r="L624" i="106"/>
  <c r="H624" i="106" s="1"/>
  <c r="H625" i="106" s="1"/>
  <c r="H626" i="106" s="1"/>
  <c r="H627" i="106" s="1"/>
  <c r="H628" i="106" s="1"/>
  <c r="H629" i="106" s="1"/>
  <c r="L540" i="106"/>
  <c r="H540" i="106" s="1"/>
  <c r="H541" i="106" s="1"/>
  <c r="H542" i="106" s="1"/>
  <c r="H543" i="106" s="1"/>
  <c r="H544" i="106" s="1"/>
  <c r="H545" i="106" s="1"/>
  <c r="L64" i="106" a="1"/>
  <c r="L316" i="106"/>
  <c r="H316" i="106" s="1"/>
  <c r="H317" i="106"/>
  <c r="H318" i="106" s="1"/>
  <c r="H319" i="106" s="1"/>
  <c r="H320" i="106" s="1"/>
  <c r="H321" i="106" s="1"/>
  <c r="L400" i="106" a="1"/>
  <c r="J413" i="106"/>
  <c r="K413" i="106" s="1"/>
  <c r="L162" i="106"/>
  <c r="H162" i="106" s="1"/>
  <c r="H163" i="106"/>
  <c r="H164" i="106"/>
  <c r="H165" i="106" s="1"/>
  <c r="H166" i="106" s="1"/>
  <c r="H167" i="106" s="1"/>
  <c r="J189" i="106"/>
  <c r="K189" i="106" s="1"/>
  <c r="L596" i="106"/>
  <c r="H596" i="106" s="1"/>
  <c r="H597" i="106"/>
  <c r="H598" i="106" s="1"/>
  <c r="H599" i="106" s="1"/>
  <c r="H600" i="106" s="1"/>
  <c r="H601" i="106" s="1"/>
  <c r="J342" i="106"/>
  <c r="L414" i="106"/>
  <c r="H414" i="106" s="1"/>
  <c r="H415" i="106"/>
  <c r="H416" i="106"/>
  <c r="H417" i="106" s="1"/>
  <c r="H418" i="106" s="1"/>
  <c r="H419" i="106" s="1"/>
  <c r="L344" i="106" a="1"/>
  <c r="J357" i="106"/>
  <c r="K357" i="106" s="1"/>
  <c r="J216" i="106"/>
  <c r="F92" i="100"/>
  <c r="E92" i="100" s="1"/>
  <c r="D93" i="100" s="1" a="1"/>
  <c r="D93" i="100" s="1"/>
  <c r="H92" i="100"/>
  <c r="H120" i="100"/>
  <c r="F120" i="100"/>
  <c r="E120" i="100" s="1"/>
  <c r="D121" i="100" s="1" a="1"/>
  <c r="D121" i="100" s="1"/>
  <c r="F148" i="100"/>
  <c r="E148" i="100" s="1"/>
  <c r="D149" i="100" s="1" a="1"/>
  <c r="D149" i="100" s="1"/>
  <c r="H148" i="100"/>
  <c r="H106" i="100"/>
  <c r="F106" i="100"/>
  <c r="E106" i="100" s="1"/>
  <c r="D107" i="100" s="1" a="1"/>
  <c r="D107" i="100" s="1"/>
  <c r="H176" i="100"/>
  <c r="F176" i="100"/>
  <c r="E176" i="100" s="1"/>
  <c r="D177" i="100" s="1" a="1"/>
  <c r="D177" i="100" s="1"/>
  <c r="F246" i="100"/>
  <c r="E246" i="100" s="1"/>
  <c r="D247" i="100" s="1" a="1"/>
  <c r="D247" i="100" s="1"/>
  <c r="H246" i="100"/>
  <c r="H288" i="100"/>
  <c r="F288" i="100"/>
  <c r="E288" i="100" s="1"/>
  <c r="D289" i="100" s="1" a="1"/>
  <c r="D289" i="100" s="1"/>
  <c r="G135" i="100"/>
  <c r="H64" i="100"/>
  <c r="F64" i="100"/>
  <c r="E64" i="100" s="1"/>
  <c r="D65" i="100" s="1" a="1"/>
  <c r="D65" i="100" s="1"/>
  <c r="H78" i="100"/>
  <c r="F78" i="100"/>
  <c r="E78" i="100" s="1"/>
  <c r="D79" i="100" s="1" a="1"/>
  <c r="D79" i="100" s="1"/>
  <c r="F218" i="100"/>
  <c r="E218" i="100" s="1"/>
  <c r="D219" i="100" s="1" a="1"/>
  <c r="D219" i="100" s="1"/>
  <c r="H218" i="100"/>
  <c r="F260" i="100"/>
  <c r="E260" i="100" s="1"/>
  <c r="D261" i="100" s="1" a="1"/>
  <c r="D261" i="100" s="1"/>
  <c r="H260" i="100"/>
  <c r="H49" i="100"/>
  <c r="F49" i="100" s="1"/>
  <c r="H316" i="100"/>
  <c r="F316" i="100"/>
  <c r="E316" i="100" s="1"/>
  <c r="D317" i="100" s="1" a="1"/>
  <c r="D317" i="100" s="1"/>
  <c r="H302" i="100"/>
  <c r="F302" i="100"/>
  <c r="E302" i="100" s="1"/>
  <c r="D303" i="100" s="1" a="1"/>
  <c r="D303" i="100" s="1"/>
  <c r="F162" i="100"/>
  <c r="E162" i="100" s="1"/>
  <c r="D163" i="100" s="1" a="1"/>
  <c r="D163" i="100" s="1"/>
  <c r="H162" i="100"/>
  <c r="H204" i="100"/>
  <c r="F204" i="100"/>
  <c r="E204" i="100" s="1"/>
  <c r="D205" i="100" s="1" a="1"/>
  <c r="D205" i="100" s="1"/>
  <c r="F190" i="100"/>
  <c r="E190" i="100" s="1"/>
  <c r="D191" i="100" s="1" a="1"/>
  <c r="D191" i="100" s="1"/>
  <c r="H190" i="100"/>
  <c r="H274" i="100"/>
  <c r="F274" i="100"/>
  <c r="E274" i="100" s="1"/>
  <c r="D275" i="100" s="1" a="1"/>
  <c r="D275" i="100" s="1"/>
  <c r="H232" i="100"/>
  <c r="F232" i="100"/>
  <c r="E232" i="100" s="1"/>
  <c r="D233" i="100" s="1" a="1"/>
  <c r="D233" i="100" s="1"/>
  <c r="L400" i="106" l="1"/>
  <c r="H400" i="106" s="1"/>
  <c r="H401" i="106" s="1"/>
  <c r="H402" i="106" s="1"/>
  <c r="H403" i="106" s="1"/>
  <c r="H404" i="106" s="1"/>
  <c r="H405" i="106" s="1"/>
  <c r="H177" i="106"/>
  <c r="L176" i="106"/>
  <c r="H176" i="106" s="1"/>
  <c r="H178" i="106"/>
  <c r="H179" i="106" s="1"/>
  <c r="H180" i="106" s="1"/>
  <c r="H181" i="106" s="1"/>
  <c r="L344" i="106"/>
  <c r="H344" i="106" s="1"/>
  <c r="H345" i="106" s="1"/>
  <c r="H346" i="106" s="1"/>
  <c r="H347" i="106" s="1"/>
  <c r="H348" i="106" s="1"/>
  <c r="H349" i="106" s="1"/>
  <c r="E91" i="106"/>
  <c r="D93" i="106" s="1" a="1"/>
  <c r="D93" i="106" s="1"/>
  <c r="F91" i="106"/>
  <c r="K342" i="106"/>
  <c r="L330" i="106" s="1" a="1"/>
  <c r="J343" i="106"/>
  <c r="K343" i="106" s="1"/>
  <c r="K216" i="106"/>
  <c r="J217" i="106" s="1"/>
  <c r="K217" i="106" s="1"/>
  <c r="L64" i="106"/>
  <c r="H64" i="106" s="1"/>
  <c r="H65" i="106"/>
  <c r="H66" i="106" s="1"/>
  <c r="H67" i="106" s="1"/>
  <c r="H68" i="106" s="1"/>
  <c r="H69" i="106" s="1"/>
  <c r="E49" i="100"/>
  <c r="D50" i="100" s="1" a="1"/>
  <c r="D50" i="100" s="1"/>
  <c r="H135" i="100"/>
  <c r="F135" i="100"/>
  <c r="E135" i="100" s="1"/>
  <c r="D136" i="100" s="1" a="1"/>
  <c r="D136" i="100" s="1"/>
  <c r="G107" i="100"/>
  <c r="G219" i="100"/>
  <c r="G205" i="100"/>
  <c r="G163" i="100"/>
  <c r="G303" i="100"/>
  <c r="G289" i="100"/>
  <c r="G317" i="100"/>
  <c r="G247" i="100"/>
  <c r="G177" i="100"/>
  <c r="G233" i="100"/>
  <c r="G261" i="100"/>
  <c r="G275" i="100"/>
  <c r="G149" i="100"/>
  <c r="G79" i="100"/>
  <c r="G121" i="100"/>
  <c r="G191" i="100"/>
  <c r="G65" i="100"/>
  <c r="G93" i="100"/>
  <c r="L204" i="106" l="1" a="1"/>
  <c r="L330" i="106"/>
  <c r="H330" i="106" s="1"/>
  <c r="H331" i="106"/>
  <c r="H332" i="106" s="1"/>
  <c r="H333" i="106" s="1"/>
  <c r="H334" i="106" s="1"/>
  <c r="H335" i="106" s="1"/>
  <c r="F93" i="106"/>
  <c r="E93" i="106"/>
  <c r="D95" i="106" s="1" a="1"/>
  <c r="D95" i="106" s="1"/>
  <c r="M50" i="106" a="1"/>
  <c r="M50" i="106" s="1"/>
  <c r="H289" i="100"/>
  <c r="F289" i="100"/>
  <c r="E289" i="100" s="1"/>
  <c r="D290" i="100" s="1" a="1"/>
  <c r="D290" i="100" s="1"/>
  <c r="F303" i="100"/>
  <c r="E303" i="100" s="1"/>
  <c r="D304" i="100" s="1" a="1"/>
  <c r="D304" i="100" s="1"/>
  <c r="H303" i="100"/>
  <c r="F149" i="100"/>
  <c r="E149" i="100" s="1"/>
  <c r="D150" i="100" s="1" a="1"/>
  <c r="D150" i="100" s="1"/>
  <c r="H149" i="100"/>
  <c r="H163" i="100"/>
  <c r="F163" i="100"/>
  <c r="E163" i="100" s="1"/>
  <c r="D164" i="100" s="1" a="1"/>
  <c r="D164" i="100" s="1"/>
  <c r="H275" i="100"/>
  <c r="F275" i="100"/>
  <c r="E275" i="100" s="1"/>
  <c r="D276" i="100" s="1" a="1"/>
  <c r="D276" i="100" s="1"/>
  <c r="H205" i="100"/>
  <c r="F205" i="100"/>
  <c r="E205" i="100" s="1"/>
  <c r="D206" i="100" s="1" a="1"/>
  <c r="D206" i="100" s="1"/>
  <c r="F261" i="100"/>
  <c r="E261" i="100" s="1"/>
  <c r="D262" i="100" s="1" a="1"/>
  <c r="D262" i="100" s="1"/>
  <c r="H261" i="100"/>
  <c r="F93" i="100"/>
  <c r="E93" i="100" s="1"/>
  <c r="D94" i="100" s="1" a="1"/>
  <c r="D94" i="100" s="1"/>
  <c r="H93" i="100"/>
  <c r="F233" i="100"/>
  <c r="E233" i="100" s="1"/>
  <c r="D234" i="100" s="1" a="1"/>
  <c r="D234" i="100" s="1"/>
  <c r="H233" i="100"/>
  <c r="H219" i="100"/>
  <c r="F219" i="100"/>
  <c r="E219" i="100" s="1"/>
  <c r="D220" i="100" s="1" a="1"/>
  <c r="D220" i="100" s="1"/>
  <c r="F65" i="100"/>
  <c r="E65" i="100" s="1"/>
  <c r="D66" i="100" s="1" a="1"/>
  <c r="D66" i="100" s="1"/>
  <c r="H65" i="100"/>
  <c r="F177" i="100"/>
  <c r="E177" i="100" s="1"/>
  <c r="D178" i="100" s="1" a="1"/>
  <c r="D178" i="100" s="1"/>
  <c r="H177" i="100"/>
  <c r="H107" i="100"/>
  <c r="F107" i="100"/>
  <c r="E107" i="100" s="1"/>
  <c r="D108" i="100" s="1" a="1"/>
  <c r="D108" i="100" s="1"/>
  <c r="F191" i="100"/>
  <c r="E191" i="100" s="1"/>
  <c r="D192" i="100" s="1" a="1"/>
  <c r="D192" i="100" s="1"/>
  <c r="H191" i="100"/>
  <c r="G136" i="100"/>
  <c r="F247" i="100"/>
  <c r="E247" i="100" s="1"/>
  <c r="D248" i="100" s="1" a="1"/>
  <c r="D248" i="100" s="1"/>
  <c r="H247" i="100"/>
  <c r="G50" i="100"/>
  <c r="H79" i="100"/>
  <c r="F79" i="100"/>
  <c r="E79" i="100" s="1"/>
  <c r="D80" i="100" s="1" a="1"/>
  <c r="D80" i="100" s="1"/>
  <c r="H121" i="100"/>
  <c r="F121" i="100"/>
  <c r="E121" i="100" s="1"/>
  <c r="D122" i="100" s="1" a="1"/>
  <c r="D122" i="100" s="1"/>
  <c r="H317" i="100"/>
  <c r="F317" i="100"/>
  <c r="E317" i="100" s="1"/>
  <c r="D318" i="100" s="1" a="1"/>
  <c r="D318" i="100" s="1"/>
  <c r="F95" i="106" l="1"/>
  <c r="E95" i="106"/>
  <c r="D97" i="106" s="1" a="1"/>
  <c r="D97" i="106" s="1"/>
  <c r="L204" i="106"/>
  <c r="H204" i="106" s="1"/>
  <c r="H205" i="106" s="1"/>
  <c r="H206" i="106" s="1"/>
  <c r="H207" i="106" s="1"/>
  <c r="H208" i="106" s="1"/>
  <c r="H209" i="106" s="1"/>
  <c r="G94" i="100"/>
  <c r="G262" i="100"/>
  <c r="G192" i="100"/>
  <c r="G276" i="100"/>
  <c r="G164" i="100"/>
  <c r="G66" i="100"/>
  <c r="G80" i="100"/>
  <c r="G290" i="100"/>
  <c r="G248" i="100"/>
  <c r="H136" i="100"/>
  <c r="F136" i="100"/>
  <c r="E136" i="100" s="1"/>
  <c r="D137" i="100" s="1" a="1"/>
  <c r="D137" i="100" s="1"/>
  <c r="G206" i="100"/>
  <c r="G108" i="100"/>
  <c r="G318" i="100"/>
  <c r="G178" i="100"/>
  <c r="G122" i="100"/>
  <c r="G150" i="100"/>
  <c r="G220" i="100"/>
  <c r="G304" i="100"/>
  <c r="H50" i="100"/>
  <c r="F50" i="100" s="1"/>
  <c r="G234" i="100"/>
  <c r="E97" i="106" l="1"/>
  <c r="D99" i="106" s="1" a="1"/>
  <c r="D99" i="106" s="1"/>
  <c r="F97" i="106"/>
  <c r="H290" i="100"/>
  <c r="F290" i="100"/>
  <c r="E290" i="100" s="1"/>
  <c r="D291" i="100" s="1" a="1"/>
  <c r="D291" i="100" s="1"/>
  <c r="F122" i="100"/>
  <c r="E122" i="100" s="1"/>
  <c r="D123" i="100" s="1" a="1"/>
  <c r="D123" i="100" s="1"/>
  <c r="H122" i="100"/>
  <c r="H80" i="100"/>
  <c r="F80" i="100"/>
  <c r="E80" i="100" s="1"/>
  <c r="D81" i="100" s="1" a="1"/>
  <c r="D81" i="100" s="1"/>
  <c r="E50" i="100"/>
  <c r="D51" i="100" s="1" a="1"/>
  <c r="D51" i="100" s="1"/>
  <c r="H206" i="100"/>
  <c r="F206" i="100"/>
  <c r="E206" i="100" s="1"/>
  <c r="D207" i="100" s="1" a="1"/>
  <c r="D207" i="100" s="1"/>
  <c r="F192" i="100"/>
  <c r="E192" i="100" s="1"/>
  <c r="D193" i="100" s="1" a="1"/>
  <c r="D193" i="100" s="1"/>
  <c r="H192" i="100"/>
  <c r="H304" i="100"/>
  <c r="F304" i="100"/>
  <c r="E304" i="100" s="1"/>
  <c r="D305" i="100" s="1" a="1"/>
  <c r="D305" i="100" s="1"/>
  <c r="F248" i="100"/>
  <c r="E248" i="100" s="1"/>
  <c r="D249" i="100" s="1" a="1"/>
  <c r="D249" i="100" s="1"/>
  <c r="H248" i="100"/>
  <c r="H94" i="100"/>
  <c r="F94" i="100"/>
  <c r="E94" i="100" s="1"/>
  <c r="D95" i="100" s="1" a="1"/>
  <c r="D95" i="100" s="1"/>
  <c r="F150" i="100"/>
  <c r="E150" i="100" s="1"/>
  <c r="D151" i="100" s="1" a="1"/>
  <c r="D151" i="100" s="1"/>
  <c r="H150" i="100"/>
  <c r="F178" i="100"/>
  <c r="E178" i="100" s="1"/>
  <c r="D179" i="100" s="1" a="1"/>
  <c r="D179" i="100" s="1"/>
  <c r="H178" i="100"/>
  <c r="F66" i="100"/>
  <c r="E66" i="100" s="1"/>
  <c r="D67" i="100" s="1" a="1"/>
  <c r="D67" i="100" s="1"/>
  <c r="H66" i="100"/>
  <c r="H318" i="100"/>
  <c r="F318" i="100"/>
  <c r="E318" i="100" s="1"/>
  <c r="D319" i="100" s="1" a="1"/>
  <c r="D319" i="100" s="1"/>
  <c r="F164" i="100"/>
  <c r="E164" i="100" s="1"/>
  <c r="D165" i="100" s="1" a="1"/>
  <c r="D165" i="100" s="1"/>
  <c r="H164" i="100"/>
  <c r="H234" i="100"/>
  <c r="F234" i="100"/>
  <c r="E234" i="100" s="1"/>
  <c r="D235" i="100" s="1" a="1"/>
  <c r="D235" i="100" s="1"/>
  <c r="H108" i="100"/>
  <c r="F108" i="100"/>
  <c r="E108" i="100" s="1"/>
  <c r="D109" i="100" s="1" a="1"/>
  <c r="D109" i="100" s="1"/>
  <c r="F276" i="100"/>
  <c r="E276" i="100" s="1"/>
  <c r="D277" i="100" s="1" a="1"/>
  <c r="D277" i="100" s="1"/>
  <c r="H276" i="100"/>
  <c r="G137" i="100"/>
  <c r="F262" i="100"/>
  <c r="E262" i="100" s="1"/>
  <c r="D263" i="100" s="1" a="1"/>
  <c r="D263" i="100" s="1"/>
  <c r="H262" i="100"/>
  <c r="H220" i="100"/>
  <c r="F220" i="100"/>
  <c r="E220" i="100" s="1"/>
  <c r="D221" i="100" s="1" a="1"/>
  <c r="D221" i="100" s="1"/>
  <c r="E99" i="106" l="1"/>
  <c r="D101" i="106" s="1" a="1"/>
  <c r="D101" i="106" s="1"/>
  <c r="F99" i="106"/>
  <c r="G235" i="100"/>
  <c r="G193" i="100"/>
  <c r="G207" i="100"/>
  <c r="G221" i="100"/>
  <c r="G67" i="100"/>
  <c r="G263" i="100"/>
  <c r="G151" i="100"/>
  <c r="G123" i="100"/>
  <c r="G179" i="100"/>
  <c r="H137" i="100"/>
  <c r="F137" i="100"/>
  <c r="E137" i="100" s="1"/>
  <c r="D138" i="100" s="1" a="1"/>
  <c r="D138" i="100" s="1"/>
  <c r="G95" i="100"/>
  <c r="G291" i="100"/>
  <c r="G109" i="100"/>
  <c r="G249" i="100"/>
  <c r="G305" i="100"/>
  <c r="G165" i="100"/>
  <c r="G319" i="100"/>
  <c r="G51" i="100"/>
  <c r="G81" i="100"/>
  <c r="G277" i="100"/>
  <c r="F101" i="106" l="1"/>
  <c r="E101" i="106"/>
  <c r="D103" i="106" s="1" a="1"/>
  <c r="D103" i="106" s="1"/>
  <c r="F123" i="100"/>
  <c r="E123" i="100" s="1"/>
  <c r="D124" i="100" s="1" a="1"/>
  <c r="D124" i="100" s="1"/>
  <c r="H123" i="100"/>
  <c r="F67" i="100"/>
  <c r="E67" i="100" s="1"/>
  <c r="D68" i="100" s="1" a="1"/>
  <c r="D68" i="100" s="1"/>
  <c r="H67" i="100"/>
  <c r="H221" i="100"/>
  <c r="F221" i="100"/>
  <c r="E221" i="100" s="1"/>
  <c r="D222" i="100" s="1" a="1"/>
  <c r="D222" i="100" s="1"/>
  <c r="F95" i="100"/>
  <c r="E95" i="100" s="1"/>
  <c r="D96" i="100" s="1" a="1"/>
  <c r="D96" i="100" s="1"/>
  <c r="H95" i="100"/>
  <c r="F305" i="100"/>
  <c r="E305" i="100" s="1"/>
  <c r="D306" i="100" s="1" a="1"/>
  <c r="D306" i="100" s="1"/>
  <c r="H305" i="100"/>
  <c r="H263" i="100"/>
  <c r="F263" i="100"/>
  <c r="E263" i="100" s="1"/>
  <c r="D264" i="100" s="1" a="1"/>
  <c r="D264" i="100" s="1"/>
  <c r="H277" i="100"/>
  <c r="F277" i="100"/>
  <c r="E277" i="100" s="1"/>
  <c r="D278" i="100" s="1" a="1"/>
  <c r="D278" i="100" s="1"/>
  <c r="H51" i="100"/>
  <c r="F51" i="100" s="1"/>
  <c r="H235" i="100"/>
  <c r="F235" i="100"/>
  <c r="E235" i="100" s="1"/>
  <c r="D236" i="100" s="1" a="1"/>
  <c r="D236" i="100" s="1"/>
  <c r="H165" i="100"/>
  <c r="F165" i="100"/>
  <c r="E165" i="100" s="1"/>
  <c r="D166" i="100" s="1" a="1"/>
  <c r="D166" i="100" s="1"/>
  <c r="H151" i="100"/>
  <c r="F151" i="100"/>
  <c r="E151" i="100" s="1"/>
  <c r="D152" i="100" s="1" a="1"/>
  <c r="D152" i="100" s="1"/>
  <c r="H249" i="100"/>
  <c r="F249" i="100"/>
  <c r="E249" i="100" s="1"/>
  <c r="D250" i="100" s="1" a="1"/>
  <c r="D250" i="100" s="1"/>
  <c r="F109" i="100"/>
  <c r="E109" i="100" s="1"/>
  <c r="D110" i="100" s="1" a="1"/>
  <c r="D110" i="100" s="1"/>
  <c r="H109" i="100"/>
  <c r="F291" i="100"/>
  <c r="E291" i="100" s="1"/>
  <c r="D292" i="100" s="1" a="1"/>
  <c r="D292" i="100" s="1"/>
  <c r="H291" i="100"/>
  <c r="F81" i="100"/>
  <c r="E81" i="100" s="1"/>
  <c r="D82" i="100" s="1" a="1"/>
  <c r="D82" i="100" s="1"/>
  <c r="H81" i="100"/>
  <c r="H207" i="100"/>
  <c r="F207" i="100"/>
  <c r="E207" i="100" s="1"/>
  <c r="D208" i="100" s="1" a="1"/>
  <c r="D208" i="100" s="1"/>
  <c r="G138" i="100"/>
  <c r="F193" i="100"/>
  <c r="E193" i="100" s="1"/>
  <c r="D194" i="100" s="1" a="1"/>
  <c r="D194" i="100" s="1"/>
  <c r="H193" i="100"/>
  <c r="H319" i="100"/>
  <c r="F319" i="100"/>
  <c r="E319" i="100" s="1"/>
  <c r="D320" i="100" s="1" a="1"/>
  <c r="D320" i="100" s="1"/>
  <c r="F179" i="100"/>
  <c r="E179" i="100" s="1"/>
  <c r="D180" i="100" s="1" a="1"/>
  <c r="D180" i="100" s="1"/>
  <c r="H179" i="100"/>
  <c r="E103" i="106" l="1"/>
  <c r="D105" i="106" s="1" a="1"/>
  <c r="D105" i="106" s="1"/>
  <c r="F103" i="106"/>
  <c r="E51" i="100"/>
  <c r="D52" i="100" s="1" a="1"/>
  <c r="D52" i="100" s="1"/>
  <c r="G278" i="100"/>
  <c r="G264" i="100"/>
  <c r="G110" i="100"/>
  <c r="G180" i="100"/>
  <c r="G320" i="100"/>
  <c r="G208" i="100"/>
  <c r="G292" i="100"/>
  <c r="G306" i="100"/>
  <c r="G222" i="100"/>
  <c r="G194" i="100"/>
  <c r="G236" i="100"/>
  <c r="G82" i="100"/>
  <c r="G250" i="100"/>
  <c r="G96" i="100"/>
  <c r="G152" i="100"/>
  <c r="G166" i="100"/>
  <c r="G68" i="100"/>
  <c r="F138" i="100"/>
  <c r="E138" i="100" s="1"/>
  <c r="D139" i="100" s="1" a="1"/>
  <c r="D139" i="100" s="1"/>
  <c r="H138" i="100"/>
  <c r="G124" i="100"/>
  <c r="F105" i="106" l="1"/>
  <c r="E105" i="106"/>
  <c r="D107" i="106" s="1" a="1"/>
  <c r="D107" i="106" s="1"/>
  <c r="F166" i="100"/>
  <c r="E166" i="100" s="1"/>
  <c r="D167" i="100" s="1" a="1"/>
  <c r="D167" i="100" s="1"/>
  <c r="H166" i="100"/>
  <c r="F292" i="100"/>
  <c r="E292" i="100" s="1"/>
  <c r="D293" i="100" s="1" a="1"/>
  <c r="D293" i="100" s="1"/>
  <c r="H292" i="100"/>
  <c r="H208" i="100"/>
  <c r="F208" i="100"/>
  <c r="E208" i="100" s="1"/>
  <c r="D209" i="100" s="1" a="1"/>
  <c r="D209" i="100" s="1"/>
  <c r="F250" i="100"/>
  <c r="E250" i="100" s="1"/>
  <c r="D251" i="100" s="1" a="1"/>
  <c r="D251" i="100" s="1"/>
  <c r="H250" i="100"/>
  <c r="H82" i="100"/>
  <c r="F82" i="100"/>
  <c r="E82" i="100" s="1"/>
  <c r="D83" i="100" s="1" a="1"/>
  <c r="D83" i="100" s="1"/>
  <c r="F124" i="100"/>
  <c r="E124" i="100" s="1"/>
  <c r="D125" i="100" s="1" a="1"/>
  <c r="D125" i="100" s="1"/>
  <c r="H124" i="100"/>
  <c r="G139" i="100"/>
  <c r="F194" i="100"/>
  <c r="E194" i="100" s="1"/>
  <c r="D195" i="100" s="1" a="1"/>
  <c r="D195" i="100" s="1"/>
  <c r="H194" i="100"/>
  <c r="H68" i="100"/>
  <c r="F68" i="100"/>
  <c r="E68" i="100" s="1"/>
  <c r="D69" i="100" s="1" a="1"/>
  <c r="D69" i="100" s="1"/>
  <c r="F278" i="100"/>
  <c r="E278" i="100" s="1"/>
  <c r="D279" i="100" s="1" a="1"/>
  <c r="D279" i="100" s="1"/>
  <c r="H278" i="100"/>
  <c r="F306" i="100"/>
  <c r="E306" i="100" s="1"/>
  <c r="D307" i="100" s="1" a="1"/>
  <c r="D307" i="100" s="1"/>
  <c r="H306" i="100"/>
  <c r="H152" i="100"/>
  <c r="F152" i="100"/>
  <c r="E152" i="100" s="1"/>
  <c r="D153" i="100" s="1" a="1"/>
  <c r="D153" i="100" s="1"/>
  <c r="F96" i="100"/>
  <c r="E96" i="100" s="1"/>
  <c r="D97" i="100" s="1" a="1"/>
  <c r="D97" i="100" s="1"/>
  <c r="H96" i="100"/>
  <c r="H320" i="100"/>
  <c r="F320" i="100"/>
  <c r="E320" i="100" s="1"/>
  <c r="D321" i="100" s="1" a="1"/>
  <c r="D321" i="100" s="1"/>
  <c r="F180" i="100"/>
  <c r="E180" i="100" s="1"/>
  <c r="D181" i="100" s="1" a="1"/>
  <c r="D181" i="100" s="1"/>
  <c r="H180" i="100"/>
  <c r="H236" i="100"/>
  <c r="F236" i="100"/>
  <c r="E236" i="100" s="1"/>
  <c r="D237" i="100" s="1" a="1"/>
  <c r="D237" i="100" s="1"/>
  <c r="H110" i="100"/>
  <c r="F110" i="100"/>
  <c r="E110" i="100" s="1"/>
  <c r="D111" i="100" s="1" a="1"/>
  <c r="D111" i="100" s="1"/>
  <c r="H264" i="100"/>
  <c r="F264" i="100"/>
  <c r="E264" i="100" s="1"/>
  <c r="D265" i="100" s="1" a="1"/>
  <c r="D265" i="100" s="1"/>
  <c r="F222" i="100"/>
  <c r="E222" i="100" s="1"/>
  <c r="D223" i="100" s="1" a="1"/>
  <c r="D223" i="100" s="1"/>
  <c r="H222" i="100"/>
  <c r="G52" i="100"/>
  <c r="E107" i="106" l="1"/>
  <c r="D109" i="106" s="1" a="1"/>
  <c r="D109" i="106" s="1"/>
  <c r="F107" i="106"/>
  <c r="G237" i="100"/>
  <c r="G181" i="100"/>
  <c r="G83" i="100"/>
  <c r="G153" i="100"/>
  <c r="G209" i="100"/>
  <c r="G279" i="100"/>
  <c r="F139" i="100"/>
  <c r="E139" i="100" s="1"/>
  <c r="D140" i="100" s="1" a="1"/>
  <c r="D140" i="100" s="1"/>
  <c r="H139" i="100"/>
  <c r="G125" i="100"/>
  <c r="G97" i="100"/>
  <c r="G251" i="100"/>
  <c r="G223" i="100"/>
  <c r="G265" i="100"/>
  <c r="G111" i="100"/>
  <c r="G69" i="100"/>
  <c r="G195" i="100"/>
  <c r="G321" i="100"/>
  <c r="H52" i="100"/>
  <c r="F52" i="100"/>
  <c r="E52" i="100" s="1"/>
  <c r="D53" i="100" s="1" a="1"/>
  <c r="D53" i="100" s="1"/>
  <c r="G307" i="100"/>
  <c r="G293" i="100"/>
  <c r="G167" i="100"/>
  <c r="F109" i="106" l="1"/>
  <c r="E109" i="106"/>
  <c r="D111" i="106" s="1" a="1"/>
  <c r="D111" i="106" s="1"/>
  <c r="H321" i="100"/>
  <c r="F321" i="100"/>
  <c r="E321" i="100" s="1"/>
  <c r="D322" i="100" s="1" a="1"/>
  <c r="D322" i="100" s="1"/>
  <c r="F69" i="100"/>
  <c r="E69" i="100" s="1"/>
  <c r="D70" i="100" s="1" a="1"/>
  <c r="D70" i="100" s="1"/>
  <c r="H69" i="100"/>
  <c r="F265" i="100"/>
  <c r="E265" i="100" s="1"/>
  <c r="D266" i="100" s="1" a="1"/>
  <c r="D266" i="100" s="1"/>
  <c r="H265" i="100"/>
  <c r="H293" i="100"/>
  <c r="F293" i="100"/>
  <c r="E293" i="100" s="1"/>
  <c r="D294" i="100" s="1" a="1"/>
  <c r="D294" i="100" s="1"/>
  <c r="G140" i="100"/>
  <c r="H209" i="100"/>
  <c r="F209" i="100"/>
  <c r="E209" i="100" s="1"/>
  <c r="D210" i="100" s="1" a="1"/>
  <c r="D210" i="100" s="1"/>
  <c r="F83" i="100"/>
  <c r="E83" i="100" s="1"/>
  <c r="D84" i="100" s="1" a="1"/>
  <c r="D84" i="100" s="1"/>
  <c r="H83" i="100"/>
  <c r="G53" i="100"/>
  <c r="H97" i="100"/>
  <c r="F97" i="100"/>
  <c r="E97" i="100" s="1"/>
  <c r="D98" i="100" s="1" a="1"/>
  <c r="D98" i="100" s="1"/>
  <c r="F125" i="100"/>
  <c r="E125" i="100" s="1"/>
  <c r="D126" i="100" s="1" a="1"/>
  <c r="D126" i="100" s="1"/>
  <c r="H125" i="100"/>
  <c r="H195" i="100"/>
  <c r="F195" i="100"/>
  <c r="E195" i="100" s="1"/>
  <c r="D196" i="100" s="1" a="1"/>
  <c r="D196" i="100" s="1"/>
  <c r="H279" i="100"/>
  <c r="F279" i="100"/>
  <c r="E279" i="100" s="1"/>
  <c r="D280" i="100" s="1" a="1"/>
  <c r="D280" i="100" s="1"/>
  <c r="H111" i="100"/>
  <c r="F111" i="100"/>
  <c r="E111" i="100" s="1"/>
  <c r="D112" i="100" s="1" a="1"/>
  <c r="D112" i="100" s="1"/>
  <c r="H167" i="100"/>
  <c r="F167" i="100"/>
  <c r="E167" i="100" s="1"/>
  <c r="D168" i="100" s="1" a="1"/>
  <c r="D168" i="100" s="1"/>
  <c r="H153" i="100"/>
  <c r="F153" i="100"/>
  <c r="E153" i="100" s="1"/>
  <c r="D154" i="100" s="1" a="1"/>
  <c r="D154" i="100" s="1"/>
  <c r="F223" i="100"/>
  <c r="E223" i="100" s="1"/>
  <c r="D224" i="100" s="1" a="1"/>
  <c r="D224" i="100" s="1"/>
  <c r="H223" i="100"/>
  <c r="F251" i="100"/>
  <c r="E251" i="100" s="1"/>
  <c r="D252" i="100" s="1" a="1"/>
  <c r="D252" i="100" s="1"/>
  <c r="H251" i="100"/>
  <c r="F181" i="100"/>
  <c r="E181" i="100" s="1"/>
  <c r="D182" i="100" s="1" a="1"/>
  <c r="D182" i="100" s="1"/>
  <c r="H181" i="100"/>
  <c r="F307" i="100"/>
  <c r="E307" i="100" s="1"/>
  <c r="D308" i="100" s="1" a="1"/>
  <c r="D308" i="100" s="1"/>
  <c r="H307" i="100"/>
  <c r="H237" i="100"/>
  <c r="F237" i="100"/>
  <c r="E237" i="100" s="1"/>
  <c r="D238" i="100" s="1" a="1"/>
  <c r="D238" i="100" s="1"/>
  <c r="F111" i="106" l="1"/>
  <c r="E111" i="106"/>
  <c r="D113" i="106" s="1" a="1"/>
  <c r="D113" i="106" s="1"/>
  <c r="G154" i="100"/>
  <c r="G168" i="100"/>
  <c r="G112" i="100"/>
  <c r="G280" i="100"/>
  <c r="G126" i="100"/>
  <c r="G224" i="100"/>
  <c r="G210" i="100"/>
  <c r="H140" i="100"/>
  <c r="F140" i="100"/>
  <c r="E140" i="100" s="1"/>
  <c r="D141" i="100" s="1" a="1"/>
  <c r="D141" i="100" s="1"/>
  <c r="G238" i="100"/>
  <c r="G266" i="100"/>
  <c r="G182" i="100"/>
  <c r="G98" i="100"/>
  <c r="G322" i="100"/>
  <c r="H53" i="100"/>
  <c r="F53" i="100"/>
  <c r="E53" i="100" s="1"/>
  <c r="D54" i="100" s="1" a="1"/>
  <c r="D54" i="100" s="1"/>
  <c r="G84" i="100"/>
  <c r="G294" i="100"/>
  <c r="G196" i="100"/>
  <c r="G308" i="100"/>
  <c r="G70" i="100"/>
  <c r="G252" i="100"/>
  <c r="F113" i="106" l="1"/>
  <c r="E113" i="106"/>
  <c r="D115" i="106" s="1" a="1"/>
  <c r="D115" i="106" s="1"/>
  <c r="F84" i="100"/>
  <c r="E84" i="100" s="1"/>
  <c r="D85" i="100" s="1" a="1"/>
  <c r="D85" i="100" s="1"/>
  <c r="H84" i="100"/>
  <c r="H126" i="100"/>
  <c r="F126" i="100"/>
  <c r="E126" i="100" s="1"/>
  <c r="D127" i="100" s="1" a="1"/>
  <c r="D127" i="100" s="1"/>
  <c r="H252" i="100"/>
  <c r="F252" i="100"/>
  <c r="E252" i="100" s="1"/>
  <c r="D253" i="100" s="1" a="1"/>
  <c r="D253" i="100" s="1"/>
  <c r="F280" i="100"/>
  <c r="E280" i="100" s="1"/>
  <c r="D281" i="100" s="1" a="1"/>
  <c r="D281" i="100" s="1"/>
  <c r="H280" i="100"/>
  <c r="H182" i="100"/>
  <c r="F182" i="100"/>
  <c r="E182" i="100" s="1"/>
  <c r="D183" i="100" s="1" a="1"/>
  <c r="D183" i="100" s="1"/>
  <c r="G54" i="100"/>
  <c r="H224" i="100"/>
  <c r="F224" i="100"/>
  <c r="E224" i="100" s="1"/>
  <c r="D225" i="100" s="1" a="1"/>
  <c r="D225" i="100" s="1"/>
  <c r="H98" i="100"/>
  <c r="F98" i="100"/>
  <c r="E98" i="100" s="1"/>
  <c r="D99" i="100" s="1" a="1"/>
  <c r="D99" i="100" s="1"/>
  <c r="H70" i="100"/>
  <c r="F70" i="100"/>
  <c r="E70" i="100" s="1"/>
  <c r="D71" i="100" s="1" a="1"/>
  <c r="D71" i="100" s="1"/>
  <c r="H112" i="100"/>
  <c r="F112" i="100"/>
  <c r="E112" i="100" s="1"/>
  <c r="D113" i="100" s="1" a="1"/>
  <c r="D113" i="100" s="1"/>
  <c r="H308" i="100"/>
  <c r="F308" i="100"/>
  <c r="E308" i="100" s="1"/>
  <c r="D309" i="100" s="1" a="1"/>
  <c r="D309" i="100" s="1"/>
  <c r="H168" i="100"/>
  <c r="F168" i="100"/>
  <c r="E168" i="100" s="1"/>
  <c r="D169" i="100" s="1" a="1"/>
  <c r="D169" i="100" s="1"/>
  <c r="F266" i="100"/>
  <c r="E266" i="100" s="1"/>
  <c r="D267" i="100" s="1" a="1"/>
  <c r="D267" i="100" s="1"/>
  <c r="H266" i="100"/>
  <c r="F196" i="100"/>
  <c r="E196" i="100" s="1"/>
  <c r="D197" i="100" s="1" a="1"/>
  <c r="D197" i="100" s="1"/>
  <c r="H196" i="100"/>
  <c r="G141" i="100"/>
  <c r="F294" i="100"/>
  <c r="E294" i="100" s="1"/>
  <c r="D295" i="100" s="1" a="1"/>
  <c r="D295" i="100" s="1"/>
  <c r="H294" i="100"/>
  <c r="F210" i="100"/>
  <c r="E210" i="100" s="1"/>
  <c r="D211" i="100" s="1" a="1"/>
  <c r="D211" i="100" s="1"/>
  <c r="H210" i="100"/>
  <c r="H322" i="100"/>
  <c r="F322" i="100"/>
  <c r="E322" i="100" s="1"/>
  <c r="D323" i="100" s="1" a="1"/>
  <c r="D323" i="100" s="1"/>
  <c r="H238" i="100"/>
  <c r="F238" i="100"/>
  <c r="E238" i="100" s="1"/>
  <c r="D239" i="100" s="1" a="1"/>
  <c r="D239" i="100" s="1"/>
  <c r="F154" i="100"/>
  <c r="E154" i="100" s="1"/>
  <c r="D155" i="100" s="1" a="1"/>
  <c r="D155" i="100" s="1"/>
  <c r="H154" i="100"/>
  <c r="F115" i="106" l="1"/>
  <c r="E115" i="106"/>
  <c r="D117" i="106" s="1" a="1"/>
  <c r="D117" i="106" s="1"/>
  <c r="G99" i="100"/>
  <c r="G225" i="100"/>
  <c r="F54" i="100"/>
  <c r="E54" i="100" s="1"/>
  <c r="D55" i="100" s="1" a="1"/>
  <c r="D55" i="100" s="1"/>
  <c r="H54" i="100"/>
  <c r="G155" i="100"/>
  <c r="G239" i="100"/>
  <c r="G323" i="100"/>
  <c r="H141" i="100"/>
  <c r="F141" i="100"/>
  <c r="E141" i="100" s="1"/>
  <c r="D142" i="100" s="1" a="1"/>
  <c r="D142" i="100" s="1"/>
  <c r="G183" i="100"/>
  <c r="G169" i="100"/>
  <c r="G281" i="100"/>
  <c r="G253" i="100"/>
  <c r="G127" i="100"/>
  <c r="G71" i="100"/>
  <c r="G295" i="100"/>
  <c r="G197" i="100"/>
  <c r="G267" i="100"/>
  <c r="G309" i="100"/>
  <c r="G113" i="100"/>
  <c r="G211" i="100"/>
  <c r="G85" i="100"/>
  <c r="F117" i="106" l="1"/>
  <c r="E117" i="106"/>
  <c r="D119" i="106" s="1" a="1"/>
  <c r="D119" i="106" s="1"/>
  <c r="H183" i="100"/>
  <c r="F183" i="100"/>
  <c r="E183" i="100" s="1"/>
  <c r="D184" i="100" s="1" a="1"/>
  <c r="D184" i="100" s="1"/>
  <c r="F85" i="100"/>
  <c r="E85" i="100" s="1"/>
  <c r="D86" i="100" s="1" a="1"/>
  <c r="D86" i="100" s="1"/>
  <c r="H85" i="100"/>
  <c r="H267" i="100"/>
  <c r="F267" i="100"/>
  <c r="E267" i="100" s="1"/>
  <c r="D268" i="100" s="1" a="1"/>
  <c r="D268" i="100" s="1"/>
  <c r="F197" i="100"/>
  <c r="E197" i="100" s="1"/>
  <c r="D198" i="100" s="1" a="1"/>
  <c r="D198" i="100" s="1"/>
  <c r="H197" i="100"/>
  <c r="H295" i="100"/>
  <c r="F295" i="100"/>
  <c r="E295" i="100" s="1"/>
  <c r="D296" i="100" s="1" a="1"/>
  <c r="D296" i="100" s="1"/>
  <c r="H71" i="100"/>
  <c r="F71" i="100"/>
  <c r="E71" i="100" s="1"/>
  <c r="D72" i="100" s="1" a="1"/>
  <c r="D72" i="100" s="1"/>
  <c r="H155" i="100"/>
  <c r="F155" i="100"/>
  <c r="E155" i="100" s="1"/>
  <c r="D156" i="100" s="1" a="1"/>
  <c r="D156" i="100" s="1"/>
  <c r="F211" i="100"/>
  <c r="E211" i="100" s="1"/>
  <c r="D212" i="100" s="1" a="1"/>
  <c r="D212" i="100" s="1"/>
  <c r="H211" i="100"/>
  <c r="H253" i="100"/>
  <c r="F253" i="100"/>
  <c r="E253" i="100" s="1"/>
  <c r="D254" i="100" s="1" a="1"/>
  <c r="D254" i="100" s="1"/>
  <c r="H113" i="100"/>
  <c r="F113" i="100"/>
  <c r="E113" i="100" s="1"/>
  <c r="D114" i="100" s="1" a="1"/>
  <c r="D114" i="100" s="1"/>
  <c r="F99" i="100"/>
  <c r="E99" i="100" s="1"/>
  <c r="D100" i="100" s="1" a="1"/>
  <c r="D100" i="100" s="1"/>
  <c r="H99" i="100"/>
  <c r="G142" i="100"/>
  <c r="F323" i="100"/>
  <c r="E323" i="100" s="1"/>
  <c r="D324" i="100" s="1" a="1"/>
  <c r="D324" i="100" s="1"/>
  <c r="H323" i="100"/>
  <c r="H239" i="100"/>
  <c r="F239" i="100"/>
  <c r="E239" i="100" s="1"/>
  <c r="D240" i="100" s="1" a="1"/>
  <c r="D240" i="100" s="1"/>
  <c r="H127" i="100"/>
  <c r="F127" i="100"/>
  <c r="E127" i="100" s="1"/>
  <c r="D128" i="100" s="1" a="1"/>
  <c r="D128" i="100" s="1"/>
  <c r="G55" i="100"/>
  <c r="H281" i="100"/>
  <c r="F281" i="100"/>
  <c r="E281" i="100" s="1"/>
  <c r="D282" i="100" s="1" a="1"/>
  <c r="D282" i="100" s="1"/>
  <c r="F225" i="100"/>
  <c r="E225" i="100" s="1"/>
  <c r="D226" i="100" s="1" a="1"/>
  <c r="D226" i="100" s="1"/>
  <c r="H225" i="100"/>
  <c r="H309" i="100"/>
  <c r="F309" i="100"/>
  <c r="E309" i="100" s="1"/>
  <c r="D310" i="100" s="1" a="1"/>
  <c r="D310" i="100" s="1"/>
  <c r="H169" i="100"/>
  <c r="F169" i="100"/>
  <c r="E169" i="100" s="1"/>
  <c r="D170" i="100" s="1" a="1"/>
  <c r="D170" i="100" s="1"/>
  <c r="F119" i="106" l="1"/>
  <c r="E119" i="106"/>
  <c r="D121" i="106" s="1" a="1"/>
  <c r="D121" i="106" s="1"/>
  <c r="H55" i="100"/>
  <c r="F55" i="100"/>
  <c r="E55" i="100" s="1"/>
  <c r="D56" i="100" s="1" a="1"/>
  <c r="D56" i="100" s="1"/>
  <c r="G128" i="100"/>
  <c r="G240" i="100"/>
  <c r="G170" i="100"/>
  <c r="G198" i="100"/>
  <c r="G212" i="100"/>
  <c r="G324" i="100"/>
  <c r="H142" i="100"/>
  <c r="F142" i="100"/>
  <c r="E142" i="100" s="1"/>
  <c r="D143" i="100" s="1" a="1"/>
  <c r="D143" i="100" s="1"/>
  <c r="G268" i="100"/>
  <c r="G114" i="100"/>
  <c r="G226" i="100"/>
  <c r="G282" i="100"/>
  <c r="G184" i="100"/>
  <c r="G156" i="100"/>
  <c r="G72" i="100"/>
  <c r="G296" i="100"/>
  <c r="G310" i="100"/>
  <c r="G100" i="100"/>
  <c r="G86" i="100"/>
  <c r="G254" i="100"/>
  <c r="F121" i="106" l="1"/>
  <c r="E121" i="106"/>
  <c r="D123" i="106" s="1" a="1"/>
  <c r="D123" i="106" s="1"/>
  <c r="H296" i="100"/>
  <c r="F296" i="100"/>
  <c r="E296" i="100" s="1"/>
  <c r="D297" i="100" s="1" a="1"/>
  <c r="D297" i="100" s="1"/>
  <c r="H156" i="100"/>
  <c r="F156" i="100"/>
  <c r="E156" i="100" s="1"/>
  <c r="D157" i="100" s="1" a="1"/>
  <c r="D157" i="100" s="1"/>
  <c r="F198" i="100"/>
  <c r="E198" i="100" s="1"/>
  <c r="D199" i="100" s="1" a="1"/>
  <c r="D199" i="100" s="1"/>
  <c r="H198" i="100"/>
  <c r="H282" i="100"/>
  <c r="F282" i="100"/>
  <c r="E282" i="100" s="1"/>
  <c r="D283" i="100" s="1" a="1"/>
  <c r="D283" i="100" s="1"/>
  <c r="G143" i="100"/>
  <c r="H72" i="100"/>
  <c r="F72" i="100"/>
  <c r="E72" i="100" s="1"/>
  <c r="D73" i="100" s="1" a="1"/>
  <c r="D73" i="100" s="1"/>
  <c r="H324" i="100"/>
  <c r="F324" i="100"/>
  <c r="E324" i="100" s="1"/>
  <c r="D325" i="100" s="1" a="1"/>
  <c r="D325" i="100" s="1"/>
  <c r="H184" i="100"/>
  <c r="F184" i="100"/>
  <c r="E184" i="100" s="1"/>
  <c r="D185" i="100" s="1" a="1"/>
  <c r="D185" i="100" s="1"/>
  <c r="H254" i="100"/>
  <c r="F254" i="100"/>
  <c r="E254" i="100" s="1"/>
  <c r="D255" i="100" s="1" a="1"/>
  <c r="D255" i="100" s="1"/>
  <c r="H86" i="100"/>
  <c r="F86" i="100"/>
  <c r="E86" i="100" s="1"/>
  <c r="D87" i="100" s="1" a="1"/>
  <c r="D87" i="100" s="1"/>
  <c r="H240" i="100"/>
  <c r="F240" i="100"/>
  <c r="E240" i="100" s="1"/>
  <c r="D241" i="100" s="1" a="1"/>
  <c r="D241" i="100" s="1"/>
  <c r="H310" i="100"/>
  <c r="F310" i="100"/>
  <c r="E310" i="100" s="1"/>
  <c r="D311" i="100" s="1" a="1"/>
  <c r="D311" i="100" s="1"/>
  <c r="G56" i="100"/>
  <c r="H212" i="100"/>
  <c r="F212" i="100"/>
  <c r="E212" i="100" s="1"/>
  <c r="D213" i="100" s="1" a="1"/>
  <c r="D213" i="100" s="1"/>
  <c r="F170" i="100"/>
  <c r="E170" i="100" s="1"/>
  <c r="D171" i="100" s="1" a="1"/>
  <c r="D171" i="100" s="1"/>
  <c r="H170" i="100"/>
  <c r="F226" i="100"/>
  <c r="E226" i="100" s="1"/>
  <c r="D227" i="100" s="1" a="1"/>
  <c r="D227" i="100" s="1"/>
  <c r="H226" i="100"/>
  <c r="H100" i="100"/>
  <c r="F100" i="100"/>
  <c r="E100" i="100" s="1"/>
  <c r="D101" i="100" s="1" a="1"/>
  <c r="D101" i="100" s="1"/>
  <c r="H114" i="100"/>
  <c r="F114" i="100"/>
  <c r="E114" i="100" s="1"/>
  <c r="D115" i="100" s="1" a="1"/>
  <c r="D115" i="100" s="1"/>
  <c r="F128" i="100"/>
  <c r="E128" i="100" s="1"/>
  <c r="D129" i="100" s="1" a="1"/>
  <c r="D129" i="100" s="1"/>
  <c r="H128" i="100"/>
  <c r="H268" i="100"/>
  <c r="F268" i="100"/>
  <c r="E268" i="100" s="1"/>
  <c r="D269" i="100" s="1" a="1"/>
  <c r="D269" i="100" s="1"/>
  <c r="E123" i="106" l="1"/>
  <c r="D125" i="106" s="1" a="1"/>
  <c r="D125" i="106" s="1"/>
  <c r="F123" i="106"/>
  <c r="G185" i="100"/>
  <c r="G213" i="100"/>
  <c r="H143" i="100"/>
  <c r="F143" i="100"/>
  <c r="E143" i="100" s="1"/>
  <c r="D144" i="100" s="1" a="1"/>
  <c r="D144" i="100" s="1"/>
  <c r="G283" i="100"/>
  <c r="G241" i="100"/>
  <c r="G115" i="100"/>
  <c r="G325" i="100"/>
  <c r="G73" i="100"/>
  <c r="F56" i="100"/>
  <c r="E56" i="100" s="1"/>
  <c r="D57" i="100" s="1" a="1"/>
  <c r="D57" i="100" s="1"/>
  <c r="H56" i="100"/>
  <c r="G311" i="100"/>
  <c r="G129" i="100"/>
  <c r="G87" i="100"/>
  <c r="G255" i="100"/>
  <c r="G297" i="100"/>
  <c r="G227" i="100"/>
  <c r="G171" i="100"/>
  <c r="G269" i="100"/>
  <c r="G199" i="100"/>
  <c r="G157" i="100"/>
  <c r="G101" i="100"/>
  <c r="E125" i="106" l="1"/>
  <c r="D127" i="106" s="1" a="1"/>
  <c r="D127" i="106" s="1"/>
  <c r="F125" i="106"/>
  <c r="H325" i="100"/>
  <c r="F325" i="100"/>
  <c r="E325" i="100" s="1"/>
  <c r="D326" i="100" s="1" a="1"/>
  <c r="D326" i="100" s="1"/>
  <c r="H87" i="100"/>
  <c r="F87" i="100"/>
  <c r="E87" i="100" s="1"/>
  <c r="D88" i="100" s="1" a="1"/>
  <c r="D88" i="100" s="1"/>
  <c r="G144" i="100"/>
  <c r="H199" i="100"/>
  <c r="F199" i="100"/>
  <c r="E199" i="100" s="1"/>
  <c r="D200" i="100" s="1" a="1"/>
  <c r="D200" i="100" s="1"/>
  <c r="H311" i="100"/>
  <c r="F311" i="100"/>
  <c r="E311" i="100" s="1"/>
  <c r="D312" i="100" s="1" a="1"/>
  <c r="D312" i="100" s="1"/>
  <c r="H73" i="100"/>
  <c r="F73" i="100"/>
  <c r="E73" i="100" s="1"/>
  <c r="D74" i="100" s="1" a="1"/>
  <c r="D74" i="100" s="1"/>
  <c r="F115" i="100"/>
  <c r="E115" i="100" s="1"/>
  <c r="D116" i="100" s="1" a="1"/>
  <c r="D116" i="100" s="1"/>
  <c r="H115" i="100"/>
  <c r="H241" i="100"/>
  <c r="F241" i="100"/>
  <c r="E241" i="100" s="1"/>
  <c r="D242" i="100" s="1" a="1"/>
  <c r="D242" i="100" s="1"/>
  <c r="H101" i="100"/>
  <c r="F101" i="100"/>
  <c r="E101" i="100" s="1"/>
  <c r="D102" i="100" s="1" a="1"/>
  <c r="D102" i="100" s="1"/>
  <c r="H129" i="100"/>
  <c r="F129" i="100"/>
  <c r="E129" i="100" s="1"/>
  <c r="D130" i="100" s="1" a="1"/>
  <c r="D130" i="100" s="1"/>
  <c r="F171" i="100"/>
  <c r="E171" i="100" s="1"/>
  <c r="D172" i="100" s="1" a="1"/>
  <c r="D172" i="100" s="1"/>
  <c r="H171" i="100"/>
  <c r="H227" i="100"/>
  <c r="F227" i="100"/>
  <c r="E227" i="100" s="1"/>
  <c r="D228" i="100" s="1" a="1"/>
  <c r="D228" i="100" s="1"/>
  <c r="F297" i="100"/>
  <c r="E297" i="100" s="1"/>
  <c r="D298" i="100" s="1" a="1"/>
  <c r="D298" i="100" s="1"/>
  <c r="H297" i="100"/>
  <c r="H255" i="100"/>
  <c r="F255" i="100"/>
  <c r="E255" i="100" s="1"/>
  <c r="D256" i="100" s="1" a="1"/>
  <c r="D256" i="100" s="1"/>
  <c r="F283" i="100"/>
  <c r="E283" i="100" s="1"/>
  <c r="D284" i="100" s="1" a="1"/>
  <c r="D284" i="100" s="1"/>
  <c r="H283" i="100"/>
  <c r="H157" i="100"/>
  <c r="F157" i="100"/>
  <c r="E157" i="100" s="1"/>
  <c r="D158" i="100" s="1" a="1"/>
  <c r="D158" i="100" s="1"/>
  <c r="H213" i="100"/>
  <c r="F213" i="100"/>
  <c r="E213" i="100" s="1"/>
  <c r="D214" i="100" s="1" a="1"/>
  <c r="D214" i="100" s="1"/>
  <c r="H269" i="100"/>
  <c r="F269" i="100"/>
  <c r="E269" i="100" s="1"/>
  <c r="D270" i="100" s="1" a="1"/>
  <c r="D270" i="100" s="1"/>
  <c r="G57" i="100"/>
  <c r="F185" i="100"/>
  <c r="E185" i="100" s="1"/>
  <c r="D186" i="100" s="1" a="1"/>
  <c r="D186" i="100" s="1"/>
  <c r="H185" i="100"/>
  <c r="F127" i="106" l="1"/>
  <c r="E127" i="106"/>
  <c r="D129" i="106" s="1" a="1"/>
  <c r="D129" i="106" s="1"/>
  <c r="G242" i="100"/>
  <c r="G284" i="100"/>
  <c r="G74" i="100"/>
  <c r="G312" i="100"/>
  <c r="G228" i="100"/>
  <c r="F57" i="100"/>
  <c r="E57" i="100" s="1"/>
  <c r="D58" i="100" s="1" a="1"/>
  <c r="D58" i="100" s="1"/>
  <c r="H57" i="100"/>
  <c r="G270" i="100"/>
  <c r="G256" i="100"/>
  <c r="G298" i="100"/>
  <c r="G200" i="100"/>
  <c r="H144" i="100"/>
  <c r="F144" i="100"/>
  <c r="E144" i="100" s="1"/>
  <c r="G130" i="100"/>
  <c r="G214" i="100"/>
  <c r="G102" i="100"/>
  <c r="G326" i="100"/>
  <c r="G158" i="100"/>
  <c r="G116" i="100"/>
  <c r="G186" i="100"/>
  <c r="G172" i="100"/>
  <c r="G88" i="100"/>
  <c r="Y13" i="21"/>
  <c r="O115" i="98"/>
  <c r="M115" i="98"/>
  <c r="N7" i="98" a="1"/>
  <c r="N7" i="98" s="1"/>
  <c r="N6" i="98"/>
  <c r="O3" i="98"/>
  <c r="N3" i="98"/>
  <c r="O1" i="98"/>
  <c r="N1" i="98"/>
  <c r="A1" i="98"/>
  <c r="N5" i="98" s="1"/>
  <c r="J7" i="97"/>
  <c r="F7" i="97"/>
  <c r="B7" i="97"/>
  <c r="AG3" i="97"/>
  <c r="P3" i="97"/>
  <c r="AD2" i="97"/>
  <c r="AC2" i="97"/>
  <c r="AB2" i="97"/>
  <c r="AA2" i="97"/>
  <c r="Z2" i="97"/>
  <c r="Y2" i="97"/>
  <c r="X2" i="97"/>
  <c r="W2" i="97"/>
  <c r="V2" i="97"/>
  <c r="U2" i="97"/>
  <c r="T2" i="97"/>
  <c r="S2" i="97"/>
  <c r="R2" i="97"/>
  <c r="Q2" i="97"/>
  <c r="P2" i="97"/>
  <c r="O2" i="97"/>
  <c r="N2" i="97"/>
  <c r="L2" i="97"/>
  <c r="K2" i="97"/>
  <c r="J2" i="97"/>
  <c r="H2" i="97"/>
  <c r="G2" i="97"/>
  <c r="F2" i="97"/>
  <c r="D2" i="97"/>
  <c r="C2" i="97"/>
  <c r="B2" i="97"/>
  <c r="AG1" i="97"/>
  <c r="AF1" i="97"/>
  <c r="AD1" i="97"/>
  <c r="AC1" i="97"/>
  <c r="AB1" i="97"/>
  <c r="AA1" i="97"/>
  <c r="Z1" i="97"/>
  <c r="Y1" i="97"/>
  <c r="X1" i="97"/>
  <c r="W1" i="97"/>
  <c r="V1" i="97"/>
  <c r="U1" i="97"/>
  <c r="T1" i="97"/>
  <c r="S1" i="97"/>
  <c r="R1" i="97"/>
  <c r="Q1" i="97"/>
  <c r="P1" i="97"/>
  <c r="O1" i="97"/>
  <c r="N1" i="97"/>
  <c r="L1" i="97"/>
  <c r="K1" i="97"/>
  <c r="J1" i="97"/>
  <c r="H1" i="97"/>
  <c r="G1" i="97"/>
  <c r="F1" i="97"/>
  <c r="D1" i="97"/>
  <c r="C1" i="97"/>
  <c r="B1" i="97"/>
  <c r="A1" i="97"/>
  <c r="Q294" i="96"/>
  <c r="O294" i="96"/>
  <c r="B119" i="96"/>
  <c r="B118" i="96"/>
  <c r="B117" i="96"/>
  <c r="A117" i="96"/>
  <c r="C107" i="96"/>
  <c r="A103" i="96"/>
  <c r="B73" i="96"/>
  <c r="A71" i="96"/>
  <c r="B70" i="96"/>
  <c r="B64" i="96"/>
  <c r="B62" i="96"/>
  <c r="A58" i="96"/>
  <c r="B58" i="96" s="1"/>
  <c r="M10" i="96"/>
  <c r="P6" i="96"/>
  <c r="P5" i="96"/>
  <c r="Q2" i="96"/>
  <c r="N2" i="96"/>
  <c r="M2" i="96"/>
  <c r="L2" i="96"/>
  <c r="K2" i="96"/>
  <c r="J2" i="96"/>
  <c r="I2" i="96"/>
  <c r="H2" i="96"/>
  <c r="G2" i="96"/>
  <c r="F2" i="96"/>
  <c r="E2" i="96"/>
  <c r="D2" i="96"/>
  <c r="C2" i="96"/>
  <c r="B2" i="96"/>
  <c r="N1" i="96"/>
  <c r="M1" i="96"/>
  <c r="L1" i="96"/>
  <c r="K1" i="96"/>
  <c r="J1" i="96"/>
  <c r="I1" i="96"/>
  <c r="H1" i="96"/>
  <c r="G1" i="96"/>
  <c r="F1" i="96"/>
  <c r="E1" i="96"/>
  <c r="D1" i="96"/>
  <c r="C1" i="96"/>
  <c r="B1" i="96"/>
  <c r="A1" i="96"/>
  <c r="Y11" i="20"/>
  <c r="Z11" i="22"/>
  <c r="L466" i="95"/>
  <c r="I428" i="95"/>
  <c r="H428" i="95"/>
  <c r="F428" i="95"/>
  <c r="E428" i="95"/>
  <c r="C428" i="95"/>
  <c r="B428" i="95"/>
  <c r="I427" i="95"/>
  <c r="H427" i="95"/>
  <c r="F427" i="95"/>
  <c r="E427" i="95"/>
  <c r="C427" i="95"/>
  <c r="B427" i="95"/>
  <c r="I426" i="95"/>
  <c r="H426" i="95"/>
  <c r="F426" i="95"/>
  <c r="E426" i="95"/>
  <c r="C426" i="95"/>
  <c r="B426" i="95"/>
  <c r="I425" i="95"/>
  <c r="H425" i="95"/>
  <c r="F425" i="95"/>
  <c r="E425" i="95"/>
  <c r="C425" i="95"/>
  <c r="B425" i="95"/>
  <c r="I424" i="95"/>
  <c r="H424" i="95"/>
  <c r="F424" i="95"/>
  <c r="E424" i="95"/>
  <c r="C424" i="95"/>
  <c r="B424" i="95"/>
  <c r="I423" i="95"/>
  <c r="H423" i="95"/>
  <c r="F423" i="95"/>
  <c r="E423" i="95"/>
  <c r="C423" i="95"/>
  <c r="B423" i="95"/>
  <c r="I422" i="95"/>
  <c r="H422" i="95"/>
  <c r="F422" i="95"/>
  <c r="E422" i="95"/>
  <c r="C422" i="95"/>
  <c r="B422" i="95"/>
  <c r="I421" i="95"/>
  <c r="H421" i="95"/>
  <c r="F421" i="95"/>
  <c r="E421" i="95"/>
  <c r="C421" i="95"/>
  <c r="B421" i="95"/>
  <c r="I420" i="95"/>
  <c r="H420" i="95"/>
  <c r="F420" i="95"/>
  <c r="E420" i="95"/>
  <c r="C420" i="95"/>
  <c r="B420" i="95"/>
  <c r="I419" i="95"/>
  <c r="H419" i="95"/>
  <c r="F419" i="95"/>
  <c r="E419" i="95"/>
  <c r="C419" i="95"/>
  <c r="B419" i="95"/>
  <c r="I418" i="95"/>
  <c r="H418" i="95"/>
  <c r="F418" i="95"/>
  <c r="E418" i="95"/>
  <c r="C418" i="95"/>
  <c r="B418" i="95"/>
  <c r="I417" i="95"/>
  <c r="H417" i="95"/>
  <c r="F417" i="95"/>
  <c r="E417" i="95"/>
  <c r="C417" i="95"/>
  <c r="B417" i="95"/>
  <c r="I416" i="95"/>
  <c r="H416" i="95"/>
  <c r="F416" i="95"/>
  <c r="E416" i="95"/>
  <c r="C416" i="95"/>
  <c r="B416" i="95"/>
  <c r="I415" i="95"/>
  <c r="H415" i="95"/>
  <c r="F415" i="95"/>
  <c r="E415" i="95"/>
  <c r="C415" i="95"/>
  <c r="B415" i="95"/>
  <c r="I414" i="95"/>
  <c r="H414" i="95"/>
  <c r="F414" i="95"/>
  <c r="E414" i="95"/>
  <c r="C414" i="95"/>
  <c r="B414" i="95"/>
  <c r="I413" i="95"/>
  <c r="H413" i="95"/>
  <c r="F413" i="95"/>
  <c r="E413" i="95"/>
  <c r="C413" i="95"/>
  <c r="B413" i="95"/>
  <c r="I412" i="95"/>
  <c r="H412" i="95"/>
  <c r="F412" i="95"/>
  <c r="E412" i="95"/>
  <c r="C412" i="95"/>
  <c r="B412" i="95"/>
  <c r="I411" i="95"/>
  <c r="H411" i="95"/>
  <c r="F411" i="95"/>
  <c r="E411" i="95"/>
  <c r="C411" i="95"/>
  <c r="B411" i="95"/>
  <c r="I410" i="95"/>
  <c r="H410" i="95"/>
  <c r="F410" i="95"/>
  <c r="E410" i="95"/>
  <c r="C410" i="95"/>
  <c r="B410" i="95"/>
  <c r="I409" i="95"/>
  <c r="H409" i="95"/>
  <c r="F409" i="95"/>
  <c r="E409" i="95"/>
  <c r="C409" i="95"/>
  <c r="B409" i="95"/>
  <c r="I408" i="95"/>
  <c r="H408" i="95"/>
  <c r="F408" i="95"/>
  <c r="E408" i="95"/>
  <c r="C408" i="95"/>
  <c r="B408" i="95"/>
  <c r="I407" i="95"/>
  <c r="H407" i="95"/>
  <c r="F407" i="95"/>
  <c r="E407" i="95"/>
  <c r="C407" i="95"/>
  <c r="B407" i="95"/>
  <c r="I406" i="95"/>
  <c r="H406" i="95"/>
  <c r="F406" i="95"/>
  <c r="E406" i="95"/>
  <c r="C406" i="95"/>
  <c r="B406" i="95"/>
  <c r="I405" i="95"/>
  <c r="H405" i="95"/>
  <c r="F405" i="95"/>
  <c r="E405" i="95"/>
  <c r="C405" i="95"/>
  <c r="B405" i="95"/>
  <c r="I404" i="95"/>
  <c r="H404" i="95"/>
  <c r="F404" i="95"/>
  <c r="E404" i="95"/>
  <c r="C404" i="95"/>
  <c r="B404" i="95"/>
  <c r="I403" i="95"/>
  <c r="H403" i="95"/>
  <c r="F403" i="95"/>
  <c r="E403" i="95"/>
  <c r="C403" i="95"/>
  <c r="B403" i="95"/>
  <c r="I402" i="95"/>
  <c r="H402" i="95"/>
  <c r="F402" i="95"/>
  <c r="E402" i="95"/>
  <c r="C402" i="95"/>
  <c r="B402" i="95"/>
  <c r="I401" i="95"/>
  <c r="H401" i="95"/>
  <c r="F401" i="95"/>
  <c r="E401" i="95"/>
  <c r="C401" i="95"/>
  <c r="B401" i="95"/>
  <c r="I400" i="95"/>
  <c r="H400" i="95"/>
  <c r="F400" i="95"/>
  <c r="E400" i="95"/>
  <c r="C400" i="95"/>
  <c r="B400" i="95"/>
  <c r="I399" i="95"/>
  <c r="H399" i="95"/>
  <c r="F399" i="95"/>
  <c r="E399" i="95"/>
  <c r="C399" i="95"/>
  <c r="B399" i="95"/>
  <c r="I398" i="95"/>
  <c r="H398" i="95"/>
  <c r="F398" i="95"/>
  <c r="E398" i="95"/>
  <c r="C398" i="95"/>
  <c r="B398" i="95"/>
  <c r="I397" i="95"/>
  <c r="H397" i="95"/>
  <c r="F397" i="95"/>
  <c r="E397" i="95"/>
  <c r="C397" i="95"/>
  <c r="B397" i="95"/>
  <c r="I396" i="95"/>
  <c r="H396" i="95"/>
  <c r="F396" i="95"/>
  <c r="E396" i="95"/>
  <c r="C396" i="95"/>
  <c r="B396" i="95"/>
  <c r="I395" i="95"/>
  <c r="H395" i="95"/>
  <c r="F395" i="95"/>
  <c r="E395" i="95"/>
  <c r="C395" i="95"/>
  <c r="B395" i="95"/>
  <c r="I394" i="95"/>
  <c r="H394" i="95"/>
  <c r="F394" i="95"/>
  <c r="E394" i="95"/>
  <c r="C394" i="95"/>
  <c r="B394" i="95"/>
  <c r="I393" i="95"/>
  <c r="H393" i="95"/>
  <c r="F393" i="95"/>
  <c r="E393" i="95"/>
  <c r="C393" i="95"/>
  <c r="B393" i="95"/>
  <c r="I392" i="95"/>
  <c r="H392" i="95"/>
  <c r="F392" i="95"/>
  <c r="E392" i="95"/>
  <c r="C392" i="95"/>
  <c r="B392" i="95"/>
  <c r="I391" i="95"/>
  <c r="H391" i="95"/>
  <c r="F391" i="95"/>
  <c r="E391" i="95"/>
  <c r="C391" i="95"/>
  <c r="B391" i="95"/>
  <c r="I390" i="95"/>
  <c r="H390" i="95"/>
  <c r="F390" i="95"/>
  <c r="E390" i="95"/>
  <c r="C390" i="95"/>
  <c r="B390" i="95"/>
  <c r="I389" i="95"/>
  <c r="H389" i="95"/>
  <c r="F389" i="95"/>
  <c r="E389" i="95"/>
  <c r="C389" i="95"/>
  <c r="B389" i="95"/>
  <c r="I388" i="95"/>
  <c r="H388" i="95"/>
  <c r="F388" i="95"/>
  <c r="E388" i="95"/>
  <c r="C388" i="95"/>
  <c r="B388" i="95"/>
  <c r="I387" i="95"/>
  <c r="H387" i="95"/>
  <c r="F387" i="95"/>
  <c r="E387" i="95"/>
  <c r="C387" i="95"/>
  <c r="B387" i="95"/>
  <c r="I386" i="95"/>
  <c r="H386" i="95"/>
  <c r="F386" i="95"/>
  <c r="E386" i="95"/>
  <c r="C386" i="95"/>
  <c r="B386" i="95"/>
  <c r="I385" i="95"/>
  <c r="H385" i="95"/>
  <c r="F385" i="95"/>
  <c r="E385" i="95"/>
  <c r="C385" i="95"/>
  <c r="B385" i="95"/>
  <c r="I384" i="95"/>
  <c r="H384" i="95"/>
  <c r="F384" i="95"/>
  <c r="E384" i="95"/>
  <c r="C384" i="95"/>
  <c r="B384" i="95"/>
  <c r="I383" i="95"/>
  <c r="H383" i="95"/>
  <c r="F383" i="95"/>
  <c r="E383" i="95"/>
  <c r="C383" i="95"/>
  <c r="B383" i="95"/>
  <c r="I382" i="95"/>
  <c r="H382" i="95"/>
  <c r="F382" i="95"/>
  <c r="E382" i="95"/>
  <c r="C382" i="95"/>
  <c r="B382" i="95"/>
  <c r="I381" i="95"/>
  <c r="H381" i="95"/>
  <c r="F381" i="95"/>
  <c r="E381" i="95"/>
  <c r="C381" i="95"/>
  <c r="B381" i="95"/>
  <c r="I380" i="95"/>
  <c r="H380" i="95"/>
  <c r="F380" i="95"/>
  <c r="E380" i="95"/>
  <c r="C380" i="95"/>
  <c r="B380" i="95"/>
  <c r="I379" i="95"/>
  <c r="H379" i="95"/>
  <c r="F379" i="95"/>
  <c r="E379" i="95"/>
  <c r="C379" i="95"/>
  <c r="B379" i="95"/>
  <c r="I378" i="95"/>
  <c r="H378" i="95"/>
  <c r="F378" i="95"/>
  <c r="E378" i="95"/>
  <c r="C378" i="95"/>
  <c r="B378" i="95"/>
  <c r="I377" i="95"/>
  <c r="H377" i="95"/>
  <c r="F377" i="95"/>
  <c r="E377" i="95"/>
  <c r="C377" i="95"/>
  <c r="B377" i="95"/>
  <c r="I376" i="95"/>
  <c r="H376" i="95"/>
  <c r="F376" i="95"/>
  <c r="E376" i="95"/>
  <c r="C376" i="95"/>
  <c r="B376" i="95"/>
  <c r="I375" i="95"/>
  <c r="H375" i="95"/>
  <c r="F375" i="95"/>
  <c r="E375" i="95"/>
  <c r="C375" i="95"/>
  <c r="B375" i="95"/>
  <c r="I374" i="95"/>
  <c r="H374" i="95"/>
  <c r="F374" i="95"/>
  <c r="E374" i="95"/>
  <c r="C374" i="95"/>
  <c r="B374" i="95"/>
  <c r="I373" i="95"/>
  <c r="H373" i="95"/>
  <c r="F373" i="95"/>
  <c r="E373" i="95"/>
  <c r="C373" i="95"/>
  <c r="B373" i="95"/>
  <c r="I372" i="95"/>
  <c r="H372" i="95"/>
  <c r="F372" i="95"/>
  <c r="E372" i="95"/>
  <c r="C372" i="95"/>
  <c r="B372" i="95"/>
  <c r="I371" i="95"/>
  <c r="H371" i="95"/>
  <c r="F371" i="95"/>
  <c r="E371" i="95"/>
  <c r="C371" i="95"/>
  <c r="B371" i="95"/>
  <c r="I370" i="95"/>
  <c r="H370" i="95"/>
  <c r="F370" i="95"/>
  <c r="E370" i="95"/>
  <c r="C370" i="95"/>
  <c r="B370" i="95"/>
  <c r="I369" i="95"/>
  <c r="H369" i="95"/>
  <c r="F369" i="95"/>
  <c r="E369" i="95"/>
  <c r="C369" i="95"/>
  <c r="B369" i="95"/>
  <c r="I368" i="95"/>
  <c r="H368" i="95"/>
  <c r="F368" i="95"/>
  <c r="E368" i="95"/>
  <c r="C368" i="95"/>
  <c r="B368" i="95"/>
  <c r="I367" i="95"/>
  <c r="H367" i="95"/>
  <c r="F367" i="95"/>
  <c r="E367" i="95"/>
  <c r="C367" i="95"/>
  <c r="B367" i="95"/>
  <c r="I366" i="95"/>
  <c r="H366" i="95"/>
  <c r="F366" i="95"/>
  <c r="E366" i="95"/>
  <c r="C366" i="95"/>
  <c r="B366" i="95"/>
  <c r="I365" i="95"/>
  <c r="H365" i="95"/>
  <c r="F365" i="95"/>
  <c r="E365" i="95"/>
  <c r="C365" i="95"/>
  <c r="B365" i="95"/>
  <c r="I364" i="95"/>
  <c r="H364" i="95"/>
  <c r="F364" i="95"/>
  <c r="E364" i="95"/>
  <c r="C364" i="95"/>
  <c r="B364" i="95"/>
  <c r="I363" i="95"/>
  <c r="H363" i="95"/>
  <c r="F363" i="95"/>
  <c r="E363" i="95"/>
  <c r="C363" i="95"/>
  <c r="B363" i="95"/>
  <c r="I362" i="95"/>
  <c r="H362" i="95"/>
  <c r="F362" i="95"/>
  <c r="E362" i="95"/>
  <c r="C362" i="95"/>
  <c r="B362" i="95"/>
  <c r="I360" i="95"/>
  <c r="H360" i="95"/>
  <c r="F360" i="95"/>
  <c r="E360" i="95"/>
  <c r="C360" i="95"/>
  <c r="B360" i="95"/>
  <c r="I359" i="95"/>
  <c r="H359" i="95"/>
  <c r="F359" i="95"/>
  <c r="E359" i="95"/>
  <c r="C359" i="95"/>
  <c r="B359" i="95"/>
  <c r="I358" i="95"/>
  <c r="H358" i="95"/>
  <c r="F358" i="95"/>
  <c r="E358" i="95"/>
  <c r="C358" i="95"/>
  <c r="B358" i="95"/>
  <c r="I357" i="95"/>
  <c r="H357" i="95"/>
  <c r="F357" i="95"/>
  <c r="E357" i="95"/>
  <c r="C357" i="95"/>
  <c r="B357" i="95"/>
  <c r="I356" i="95"/>
  <c r="H356" i="95"/>
  <c r="F356" i="95"/>
  <c r="E356" i="95"/>
  <c r="C356" i="95"/>
  <c r="B356" i="95"/>
  <c r="I355" i="95"/>
  <c r="H355" i="95"/>
  <c r="F355" i="95"/>
  <c r="E355" i="95"/>
  <c r="C355" i="95"/>
  <c r="B355" i="95"/>
  <c r="I354" i="95"/>
  <c r="H354" i="95"/>
  <c r="F354" i="95"/>
  <c r="E354" i="95"/>
  <c r="C354" i="95"/>
  <c r="B354" i="95"/>
  <c r="I353" i="95"/>
  <c r="H353" i="95"/>
  <c r="F353" i="95"/>
  <c r="E353" i="95"/>
  <c r="C353" i="95"/>
  <c r="B353" i="95"/>
  <c r="I352" i="95"/>
  <c r="H352" i="95"/>
  <c r="F352" i="95"/>
  <c r="E352" i="95"/>
  <c r="C352" i="95"/>
  <c r="B352" i="95"/>
  <c r="I351" i="95"/>
  <c r="H351" i="95"/>
  <c r="F351" i="95"/>
  <c r="E351" i="95"/>
  <c r="C351" i="95"/>
  <c r="B351" i="95"/>
  <c r="I350" i="95"/>
  <c r="H350" i="95"/>
  <c r="F350" i="95"/>
  <c r="E350" i="95"/>
  <c r="C350" i="95"/>
  <c r="B350" i="95"/>
  <c r="I349" i="95"/>
  <c r="H349" i="95"/>
  <c r="F349" i="95"/>
  <c r="E349" i="95"/>
  <c r="C349" i="95"/>
  <c r="B349" i="95"/>
  <c r="I348" i="95"/>
  <c r="H348" i="95"/>
  <c r="F348" i="95"/>
  <c r="E348" i="95"/>
  <c r="C348" i="95"/>
  <c r="B348" i="95"/>
  <c r="I347" i="95"/>
  <c r="H347" i="95"/>
  <c r="F347" i="95"/>
  <c r="E347" i="95"/>
  <c r="C347" i="95"/>
  <c r="B347" i="95"/>
  <c r="I346" i="95"/>
  <c r="H346" i="95"/>
  <c r="F346" i="95"/>
  <c r="E346" i="95"/>
  <c r="C346" i="95"/>
  <c r="B346" i="95"/>
  <c r="I345" i="95"/>
  <c r="H345" i="95"/>
  <c r="F345" i="95"/>
  <c r="E345" i="95"/>
  <c r="C345" i="95"/>
  <c r="B345" i="95"/>
  <c r="I344" i="95"/>
  <c r="H344" i="95"/>
  <c r="F344" i="95"/>
  <c r="E344" i="95"/>
  <c r="C344" i="95"/>
  <c r="B344" i="95"/>
  <c r="I343" i="95"/>
  <c r="H343" i="95"/>
  <c r="F343" i="95"/>
  <c r="E343" i="95"/>
  <c r="C343" i="95"/>
  <c r="B343" i="95"/>
  <c r="I342" i="95"/>
  <c r="H342" i="95"/>
  <c r="F342" i="95"/>
  <c r="E342" i="95"/>
  <c r="C342" i="95"/>
  <c r="B342" i="95"/>
  <c r="I341" i="95"/>
  <c r="H341" i="95"/>
  <c r="F341" i="95"/>
  <c r="E341" i="95"/>
  <c r="C341" i="95"/>
  <c r="B341" i="95"/>
  <c r="I340" i="95"/>
  <c r="H340" i="95"/>
  <c r="F340" i="95"/>
  <c r="E340" i="95"/>
  <c r="C340" i="95"/>
  <c r="B340" i="95"/>
  <c r="I339" i="95"/>
  <c r="H339" i="95"/>
  <c r="F339" i="95"/>
  <c r="E339" i="95"/>
  <c r="C339" i="95"/>
  <c r="B339" i="95"/>
  <c r="I338" i="95"/>
  <c r="H338" i="95"/>
  <c r="F338" i="95"/>
  <c r="E338" i="95"/>
  <c r="C338" i="95"/>
  <c r="B338" i="95"/>
  <c r="I337" i="95"/>
  <c r="H337" i="95"/>
  <c r="F337" i="95"/>
  <c r="E337" i="95"/>
  <c r="C337" i="95"/>
  <c r="B337" i="95"/>
  <c r="I336" i="95"/>
  <c r="H336" i="95"/>
  <c r="F336" i="95"/>
  <c r="E336" i="95"/>
  <c r="C336" i="95"/>
  <c r="B336" i="95"/>
  <c r="I335" i="95"/>
  <c r="H335" i="95"/>
  <c r="F335" i="95"/>
  <c r="E335" i="95"/>
  <c r="C335" i="95"/>
  <c r="B335" i="95"/>
  <c r="I334" i="95"/>
  <c r="H334" i="95"/>
  <c r="F334" i="95"/>
  <c r="E334" i="95"/>
  <c r="C334" i="95"/>
  <c r="B334" i="95"/>
  <c r="I333" i="95"/>
  <c r="H333" i="95"/>
  <c r="F333" i="95"/>
  <c r="E333" i="95"/>
  <c r="C333" i="95"/>
  <c r="B333" i="95"/>
  <c r="I332" i="95"/>
  <c r="H332" i="95"/>
  <c r="F332" i="95"/>
  <c r="E332" i="95"/>
  <c r="C332" i="95"/>
  <c r="B332" i="95"/>
  <c r="I331" i="95"/>
  <c r="H331" i="95"/>
  <c r="F331" i="95"/>
  <c r="E331" i="95"/>
  <c r="C331" i="95"/>
  <c r="B331" i="95"/>
  <c r="I330" i="95"/>
  <c r="H330" i="95"/>
  <c r="F330" i="95"/>
  <c r="E330" i="95"/>
  <c r="C330" i="95"/>
  <c r="B330" i="95"/>
  <c r="I329" i="95"/>
  <c r="H329" i="95"/>
  <c r="F329" i="95"/>
  <c r="E329" i="95"/>
  <c r="C329" i="95"/>
  <c r="B329" i="95"/>
  <c r="I328" i="95"/>
  <c r="H328" i="95"/>
  <c r="F328" i="95"/>
  <c r="E328" i="95"/>
  <c r="C328" i="95"/>
  <c r="B328" i="95"/>
  <c r="I327" i="95"/>
  <c r="H327" i="95"/>
  <c r="F327" i="95"/>
  <c r="E327" i="95"/>
  <c r="C327" i="95"/>
  <c r="B327" i="95"/>
  <c r="I326" i="95"/>
  <c r="H326" i="95"/>
  <c r="F326" i="95"/>
  <c r="E326" i="95"/>
  <c r="C326" i="95"/>
  <c r="B326" i="95"/>
  <c r="I325" i="95"/>
  <c r="H325" i="95"/>
  <c r="F325" i="95"/>
  <c r="E325" i="95"/>
  <c r="C325" i="95"/>
  <c r="B325" i="95"/>
  <c r="I324" i="95"/>
  <c r="H324" i="95"/>
  <c r="F324" i="95"/>
  <c r="E324" i="95"/>
  <c r="C324" i="95"/>
  <c r="B324" i="95"/>
  <c r="I323" i="95"/>
  <c r="H323" i="95"/>
  <c r="F323" i="95"/>
  <c r="E323" i="95"/>
  <c r="C323" i="95"/>
  <c r="B323" i="95"/>
  <c r="I322" i="95"/>
  <c r="H322" i="95"/>
  <c r="F322" i="95"/>
  <c r="E322" i="95"/>
  <c r="C322" i="95"/>
  <c r="B322" i="95"/>
  <c r="I321" i="95"/>
  <c r="H321" i="95"/>
  <c r="F321" i="95"/>
  <c r="E321" i="95"/>
  <c r="C321" i="95"/>
  <c r="B321" i="95"/>
  <c r="I320" i="95"/>
  <c r="H320" i="95"/>
  <c r="F320" i="95"/>
  <c r="E320" i="95"/>
  <c r="C320" i="95"/>
  <c r="B320" i="95"/>
  <c r="I319" i="95"/>
  <c r="H319" i="95"/>
  <c r="F319" i="95"/>
  <c r="E319" i="95"/>
  <c r="C319" i="95"/>
  <c r="B319" i="95"/>
  <c r="I318" i="95"/>
  <c r="H318" i="95"/>
  <c r="F318" i="95"/>
  <c r="E318" i="95"/>
  <c r="C318" i="95"/>
  <c r="B318" i="95"/>
  <c r="I317" i="95"/>
  <c r="H317" i="95"/>
  <c r="F317" i="95"/>
  <c r="E317" i="95"/>
  <c r="C317" i="95"/>
  <c r="B317" i="95"/>
  <c r="I316" i="95"/>
  <c r="H316" i="95"/>
  <c r="F316" i="95"/>
  <c r="E316" i="95"/>
  <c r="C316" i="95"/>
  <c r="B316" i="95"/>
  <c r="I315" i="95"/>
  <c r="H315" i="95"/>
  <c r="F315" i="95"/>
  <c r="E315" i="95"/>
  <c r="C315" i="95"/>
  <c r="B315" i="95"/>
  <c r="I314" i="95"/>
  <c r="H314" i="95"/>
  <c r="F314" i="95"/>
  <c r="E314" i="95"/>
  <c r="C314" i="95"/>
  <c r="B314" i="95"/>
  <c r="I313" i="95"/>
  <c r="H313" i="95"/>
  <c r="F313" i="95"/>
  <c r="E313" i="95"/>
  <c r="C313" i="95"/>
  <c r="B313" i="95"/>
  <c r="I312" i="95"/>
  <c r="H312" i="95"/>
  <c r="F312" i="95"/>
  <c r="E312" i="95"/>
  <c r="C312" i="95"/>
  <c r="B312" i="95"/>
  <c r="I311" i="95"/>
  <c r="H311" i="95"/>
  <c r="F311" i="95"/>
  <c r="E311" i="95"/>
  <c r="C311" i="95"/>
  <c r="B311" i="95"/>
  <c r="I310" i="95"/>
  <c r="H310" i="95"/>
  <c r="F310" i="95"/>
  <c r="E310" i="95"/>
  <c r="C310" i="95"/>
  <c r="B310" i="95"/>
  <c r="I309" i="95"/>
  <c r="H309" i="95"/>
  <c r="F309" i="95"/>
  <c r="E309" i="95"/>
  <c r="C309" i="95"/>
  <c r="B309" i="95"/>
  <c r="I308" i="95"/>
  <c r="H308" i="95"/>
  <c r="F308" i="95"/>
  <c r="E308" i="95"/>
  <c r="C308" i="95"/>
  <c r="B308" i="95"/>
  <c r="I307" i="95"/>
  <c r="H307" i="95"/>
  <c r="F307" i="95"/>
  <c r="E307" i="95"/>
  <c r="C307" i="95"/>
  <c r="B307" i="95"/>
  <c r="I306" i="95"/>
  <c r="H306" i="95"/>
  <c r="F306" i="95"/>
  <c r="E306" i="95"/>
  <c r="C306" i="95"/>
  <c r="B306" i="95"/>
  <c r="I305" i="95"/>
  <c r="H305" i="95"/>
  <c r="F305" i="95"/>
  <c r="E305" i="95"/>
  <c r="C305" i="95"/>
  <c r="B305" i="95"/>
  <c r="I304" i="95"/>
  <c r="H304" i="95"/>
  <c r="F304" i="95"/>
  <c r="E304" i="95"/>
  <c r="C304" i="95"/>
  <c r="B304" i="95"/>
  <c r="I303" i="95"/>
  <c r="H303" i="95"/>
  <c r="F303" i="95"/>
  <c r="E303" i="95"/>
  <c r="C303" i="95"/>
  <c r="B303" i="95"/>
  <c r="I302" i="95"/>
  <c r="H302" i="95"/>
  <c r="F302" i="95"/>
  <c r="E302" i="95"/>
  <c r="C302" i="95"/>
  <c r="B302" i="95"/>
  <c r="I301" i="95"/>
  <c r="H301" i="95"/>
  <c r="F301" i="95"/>
  <c r="E301" i="95"/>
  <c r="C301" i="95"/>
  <c r="B301" i="95"/>
  <c r="I300" i="95"/>
  <c r="H300" i="95"/>
  <c r="F300" i="95"/>
  <c r="E300" i="95"/>
  <c r="C300" i="95"/>
  <c r="B300" i="95"/>
  <c r="I299" i="95"/>
  <c r="H299" i="95"/>
  <c r="F299" i="95"/>
  <c r="E299" i="95"/>
  <c r="C299" i="95"/>
  <c r="B299" i="95"/>
  <c r="I298" i="95"/>
  <c r="H298" i="95"/>
  <c r="F298" i="95"/>
  <c r="E298" i="95"/>
  <c r="C298" i="95"/>
  <c r="B298" i="95"/>
  <c r="I297" i="95"/>
  <c r="H297" i="95"/>
  <c r="F297" i="95"/>
  <c r="E297" i="95"/>
  <c r="C297" i="95"/>
  <c r="B297" i="95"/>
  <c r="I296" i="95"/>
  <c r="H296" i="95"/>
  <c r="F296" i="95"/>
  <c r="E296" i="95"/>
  <c r="C296" i="95"/>
  <c r="B296" i="95"/>
  <c r="I295" i="95"/>
  <c r="H295" i="95"/>
  <c r="F295" i="95"/>
  <c r="E295" i="95"/>
  <c r="C295" i="95"/>
  <c r="B295" i="95"/>
  <c r="I294" i="95"/>
  <c r="H294" i="95"/>
  <c r="F294" i="95"/>
  <c r="E294" i="95"/>
  <c r="C294" i="95"/>
  <c r="B294" i="95"/>
  <c r="I293" i="95"/>
  <c r="H293" i="95"/>
  <c r="F293" i="95"/>
  <c r="E293" i="95"/>
  <c r="C293" i="95"/>
  <c r="B293" i="95"/>
  <c r="I292" i="95"/>
  <c r="H292" i="95"/>
  <c r="F292" i="95"/>
  <c r="E292" i="95"/>
  <c r="C292" i="95"/>
  <c r="B292" i="95"/>
  <c r="I291" i="95"/>
  <c r="H291" i="95"/>
  <c r="F291" i="95"/>
  <c r="E291" i="95"/>
  <c r="C291" i="95"/>
  <c r="B291" i="95"/>
  <c r="I290" i="95"/>
  <c r="H290" i="95"/>
  <c r="F290" i="95"/>
  <c r="E290" i="95"/>
  <c r="C290" i="95"/>
  <c r="B290" i="95"/>
  <c r="I289" i="95"/>
  <c r="H289" i="95"/>
  <c r="F289" i="95"/>
  <c r="E289" i="95"/>
  <c r="C289" i="95"/>
  <c r="B289" i="95"/>
  <c r="I288" i="95"/>
  <c r="H288" i="95"/>
  <c r="F288" i="95"/>
  <c r="E288" i="95"/>
  <c r="C288" i="95"/>
  <c r="B288" i="95"/>
  <c r="I287" i="95"/>
  <c r="H287" i="95"/>
  <c r="F287" i="95"/>
  <c r="E287" i="95"/>
  <c r="C287" i="95"/>
  <c r="B287" i="95"/>
  <c r="I286" i="95"/>
  <c r="H286" i="95"/>
  <c r="F286" i="95"/>
  <c r="E286" i="95"/>
  <c r="C286" i="95"/>
  <c r="B286" i="95"/>
  <c r="I285" i="95"/>
  <c r="H285" i="95"/>
  <c r="F285" i="95"/>
  <c r="E285" i="95"/>
  <c r="C285" i="95"/>
  <c r="B285" i="95"/>
  <c r="I284" i="95"/>
  <c r="H284" i="95"/>
  <c r="F284" i="95"/>
  <c r="E284" i="95"/>
  <c r="C284" i="95"/>
  <c r="B284" i="95"/>
  <c r="I283" i="95"/>
  <c r="H283" i="95"/>
  <c r="F283" i="95"/>
  <c r="E283" i="95"/>
  <c r="C283" i="95"/>
  <c r="B283" i="95"/>
  <c r="I282" i="95"/>
  <c r="H282" i="95"/>
  <c r="F282" i="95"/>
  <c r="E282" i="95"/>
  <c r="C282" i="95"/>
  <c r="B282" i="95"/>
  <c r="I281" i="95"/>
  <c r="H281" i="95"/>
  <c r="F281" i="95"/>
  <c r="E281" i="95"/>
  <c r="C281" i="95"/>
  <c r="B281" i="95"/>
  <c r="I280" i="95"/>
  <c r="H280" i="95"/>
  <c r="F280" i="95"/>
  <c r="E280" i="95"/>
  <c r="C280" i="95"/>
  <c r="B280" i="95"/>
  <c r="I279" i="95"/>
  <c r="H279" i="95"/>
  <c r="F279" i="95"/>
  <c r="E279" i="95"/>
  <c r="C279" i="95"/>
  <c r="B279" i="95"/>
  <c r="I278" i="95"/>
  <c r="H278" i="95"/>
  <c r="F278" i="95"/>
  <c r="E278" i="95"/>
  <c r="C278" i="95"/>
  <c r="B278" i="95"/>
  <c r="I277" i="95"/>
  <c r="H277" i="95"/>
  <c r="F277" i="95"/>
  <c r="E277" i="95"/>
  <c r="C277" i="95"/>
  <c r="B277" i="95"/>
  <c r="I276" i="95"/>
  <c r="H276" i="95"/>
  <c r="F276" i="95"/>
  <c r="E276" i="95"/>
  <c r="C276" i="95"/>
  <c r="B276" i="95"/>
  <c r="I275" i="95"/>
  <c r="H275" i="95"/>
  <c r="F275" i="95"/>
  <c r="E275" i="95"/>
  <c r="C275" i="95"/>
  <c r="B275" i="95"/>
  <c r="I274" i="95"/>
  <c r="H274" i="95"/>
  <c r="F274" i="95"/>
  <c r="E274" i="95"/>
  <c r="C274" i="95"/>
  <c r="B274" i="95"/>
  <c r="I273" i="95"/>
  <c r="H273" i="95"/>
  <c r="F273" i="95"/>
  <c r="E273" i="95"/>
  <c r="C273" i="95"/>
  <c r="B273" i="95"/>
  <c r="I272" i="95"/>
  <c r="H272" i="95"/>
  <c r="F272" i="95"/>
  <c r="E272" i="95"/>
  <c r="C272" i="95"/>
  <c r="B272" i="95"/>
  <c r="I271" i="95"/>
  <c r="H271" i="95"/>
  <c r="F271" i="95"/>
  <c r="E271" i="95"/>
  <c r="C271" i="95"/>
  <c r="B271" i="95"/>
  <c r="I270" i="95"/>
  <c r="H270" i="95"/>
  <c r="F270" i="95"/>
  <c r="E270" i="95"/>
  <c r="C270" i="95"/>
  <c r="B270" i="95"/>
  <c r="I269" i="95"/>
  <c r="H269" i="95"/>
  <c r="F269" i="95"/>
  <c r="E269" i="95"/>
  <c r="C269" i="95"/>
  <c r="B269" i="95"/>
  <c r="I268" i="95"/>
  <c r="H268" i="95"/>
  <c r="F268" i="95"/>
  <c r="E268" i="95"/>
  <c r="C268" i="95"/>
  <c r="B268" i="95"/>
  <c r="I267" i="95"/>
  <c r="H267" i="95"/>
  <c r="F267" i="95"/>
  <c r="E267" i="95"/>
  <c r="C267" i="95"/>
  <c r="B267" i="95"/>
  <c r="I266" i="95"/>
  <c r="H266" i="95"/>
  <c r="F266" i="95"/>
  <c r="E266" i="95"/>
  <c r="C266" i="95"/>
  <c r="B266" i="95"/>
  <c r="I265" i="95"/>
  <c r="H265" i="95"/>
  <c r="F265" i="95"/>
  <c r="E265" i="95"/>
  <c r="C265" i="95"/>
  <c r="B265" i="95"/>
  <c r="I264" i="95"/>
  <c r="H264" i="95"/>
  <c r="F264" i="95"/>
  <c r="E264" i="95"/>
  <c r="C264" i="95"/>
  <c r="B264" i="95"/>
  <c r="I263" i="95"/>
  <c r="H263" i="95"/>
  <c r="F263" i="95"/>
  <c r="E263" i="95"/>
  <c r="C263" i="95"/>
  <c r="B263" i="95"/>
  <c r="I262" i="95"/>
  <c r="H262" i="95"/>
  <c r="F262" i="95"/>
  <c r="E262" i="95"/>
  <c r="C262" i="95"/>
  <c r="B262" i="95"/>
  <c r="I261" i="95"/>
  <c r="H261" i="95"/>
  <c r="F261" i="95"/>
  <c r="E261" i="95"/>
  <c r="C261" i="95"/>
  <c r="B261" i="95"/>
  <c r="I260" i="95"/>
  <c r="H260" i="95"/>
  <c r="F260" i="95"/>
  <c r="E260" i="95"/>
  <c r="C260" i="95"/>
  <c r="B260" i="95"/>
  <c r="I259" i="95"/>
  <c r="H259" i="95"/>
  <c r="F259" i="95"/>
  <c r="E259" i="95"/>
  <c r="C259" i="95"/>
  <c r="B259" i="95"/>
  <c r="I258" i="95"/>
  <c r="H258" i="95"/>
  <c r="F258" i="95"/>
  <c r="E258" i="95"/>
  <c r="C258" i="95"/>
  <c r="B258" i="95"/>
  <c r="I257" i="95"/>
  <c r="H257" i="95"/>
  <c r="F257" i="95"/>
  <c r="E257" i="95"/>
  <c r="C257" i="95"/>
  <c r="B257" i="95"/>
  <c r="I256" i="95"/>
  <c r="H256" i="95"/>
  <c r="F256" i="95"/>
  <c r="E256" i="95"/>
  <c r="C256" i="95"/>
  <c r="B256" i="95"/>
  <c r="I255" i="95"/>
  <c r="H255" i="95"/>
  <c r="F255" i="95"/>
  <c r="E255" i="95"/>
  <c r="C255" i="95"/>
  <c r="B255" i="95"/>
  <c r="I254" i="95"/>
  <c r="H254" i="95"/>
  <c r="F254" i="95"/>
  <c r="E254" i="95"/>
  <c r="C254" i="95"/>
  <c r="B254" i="95"/>
  <c r="I253" i="95"/>
  <c r="H253" i="95"/>
  <c r="F253" i="95"/>
  <c r="E253" i="95"/>
  <c r="C253" i="95"/>
  <c r="B253" i="95"/>
  <c r="I252" i="95"/>
  <c r="H252" i="95"/>
  <c r="F252" i="95"/>
  <c r="E252" i="95"/>
  <c r="C252" i="95"/>
  <c r="B252" i="95"/>
  <c r="I251" i="95"/>
  <c r="H251" i="95"/>
  <c r="F251" i="95"/>
  <c r="E251" i="95"/>
  <c r="C251" i="95"/>
  <c r="B251" i="95"/>
  <c r="I250" i="95"/>
  <c r="H250" i="95"/>
  <c r="F250" i="95"/>
  <c r="E250" i="95"/>
  <c r="C250" i="95"/>
  <c r="B250" i="95"/>
  <c r="I249" i="95"/>
  <c r="H249" i="95"/>
  <c r="F249" i="95"/>
  <c r="E249" i="95"/>
  <c r="C249" i="95"/>
  <c r="B249" i="95"/>
  <c r="I248" i="95"/>
  <c r="H248" i="95"/>
  <c r="F248" i="95"/>
  <c r="E248" i="95"/>
  <c r="C248" i="95"/>
  <c r="B248" i="95"/>
  <c r="I247" i="95"/>
  <c r="H247" i="95"/>
  <c r="F247" i="95"/>
  <c r="E247" i="95"/>
  <c r="C247" i="95"/>
  <c r="B247" i="95"/>
  <c r="I246" i="95"/>
  <c r="H246" i="95"/>
  <c r="F246" i="95"/>
  <c r="E246" i="95"/>
  <c r="C246" i="95"/>
  <c r="B246" i="95"/>
  <c r="I245" i="95"/>
  <c r="H245" i="95"/>
  <c r="F245" i="95"/>
  <c r="E245" i="95"/>
  <c r="C245" i="95"/>
  <c r="B245" i="95"/>
  <c r="I244" i="95"/>
  <c r="H244" i="95"/>
  <c r="F244" i="95"/>
  <c r="E244" i="95"/>
  <c r="C244" i="95"/>
  <c r="B244" i="95"/>
  <c r="I243" i="95"/>
  <c r="H243" i="95"/>
  <c r="F243" i="95"/>
  <c r="E243" i="95"/>
  <c r="C243" i="95"/>
  <c r="B243" i="95"/>
  <c r="I242" i="95"/>
  <c r="H242" i="95"/>
  <c r="F242" i="95"/>
  <c r="E242" i="95"/>
  <c r="C242" i="95"/>
  <c r="B242" i="95"/>
  <c r="I241" i="95"/>
  <c r="H241" i="95"/>
  <c r="F241" i="95"/>
  <c r="E241" i="95"/>
  <c r="C241" i="95"/>
  <c r="B241" i="95"/>
  <c r="I240" i="95"/>
  <c r="H240" i="95"/>
  <c r="F240" i="95"/>
  <c r="E240" i="95"/>
  <c r="C240" i="95"/>
  <c r="B240" i="95"/>
  <c r="I239" i="95"/>
  <c r="H239" i="95"/>
  <c r="F239" i="95"/>
  <c r="E239" i="95"/>
  <c r="C239" i="95"/>
  <c r="B239" i="95"/>
  <c r="I238" i="95"/>
  <c r="H238" i="95"/>
  <c r="F238" i="95"/>
  <c r="E238" i="95"/>
  <c r="C238" i="95"/>
  <c r="B238" i="95"/>
  <c r="I237" i="95"/>
  <c r="H237" i="95"/>
  <c r="F237" i="95"/>
  <c r="E237" i="95"/>
  <c r="C237" i="95"/>
  <c r="B237" i="95"/>
  <c r="I236" i="95"/>
  <c r="H236" i="95"/>
  <c r="F236" i="95"/>
  <c r="E236" i="95"/>
  <c r="C236" i="95"/>
  <c r="B236" i="95"/>
  <c r="I235" i="95"/>
  <c r="H235" i="95"/>
  <c r="F235" i="95"/>
  <c r="E235" i="95"/>
  <c r="C235" i="95"/>
  <c r="B235" i="95"/>
  <c r="I234" i="95"/>
  <c r="H234" i="95"/>
  <c r="F234" i="95"/>
  <c r="E234" i="95"/>
  <c r="C234" i="95"/>
  <c r="B234" i="95"/>
  <c r="I233" i="95"/>
  <c r="H233" i="95"/>
  <c r="F233" i="95"/>
  <c r="E233" i="95"/>
  <c r="C233" i="95"/>
  <c r="B233" i="95"/>
  <c r="I232" i="95"/>
  <c r="H232" i="95"/>
  <c r="F232" i="95"/>
  <c r="E232" i="95"/>
  <c r="C232" i="95"/>
  <c r="B232" i="95"/>
  <c r="I231" i="95"/>
  <c r="H231" i="95"/>
  <c r="F231" i="95"/>
  <c r="E231" i="95"/>
  <c r="C231" i="95"/>
  <c r="B231" i="95"/>
  <c r="I230" i="95"/>
  <c r="H230" i="95"/>
  <c r="F230" i="95"/>
  <c r="E230" i="95"/>
  <c r="C230" i="95"/>
  <c r="B230" i="95"/>
  <c r="I229" i="95"/>
  <c r="H229" i="95"/>
  <c r="F229" i="95"/>
  <c r="E229" i="95"/>
  <c r="C229" i="95"/>
  <c r="B229" i="95"/>
  <c r="I228" i="95"/>
  <c r="H228" i="95"/>
  <c r="F228" i="95"/>
  <c r="E228" i="95"/>
  <c r="C228" i="95"/>
  <c r="B228" i="95"/>
  <c r="I227" i="95"/>
  <c r="H227" i="95"/>
  <c r="F227" i="95"/>
  <c r="E227" i="95"/>
  <c r="C227" i="95"/>
  <c r="B227" i="95"/>
  <c r="I226" i="95"/>
  <c r="H226" i="95"/>
  <c r="F226" i="95"/>
  <c r="E226" i="95"/>
  <c r="C226" i="95"/>
  <c r="B226" i="95"/>
  <c r="I225" i="95"/>
  <c r="H225" i="95"/>
  <c r="F225" i="95"/>
  <c r="E225" i="95"/>
  <c r="C225" i="95"/>
  <c r="B225" i="95"/>
  <c r="I224" i="95"/>
  <c r="H224" i="95"/>
  <c r="F224" i="95"/>
  <c r="E224" i="95"/>
  <c r="C224" i="95"/>
  <c r="B224" i="95"/>
  <c r="I223" i="95"/>
  <c r="H223" i="95"/>
  <c r="F223" i="95"/>
  <c r="E223" i="95"/>
  <c r="C223" i="95"/>
  <c r="B223" i="95"/>
  <c r="I222" i="95"/>
  <c r="H222" i="95"/>
  <c r="F222" i="95"/>
  <c r="E222" i="95"/>
  <c r="C222" i="95"/>
  <c r="B222" i="95"/>
  <c r="I221" i="95"/>
  <c r="H221" i="95"/>
  <c r="F221" i="95"/>
  <c r="E221" i="95"/>
  <c r="C221" i="95"/>
  <c r="B221" i="95"/>
  <c r="I220" i="95"/>
  <c r="H220" i="95"/>
  <c r="F220" i="95"/>
  <c r="E220" i="95"/>
  <c r="C220" i="95"/>
  <c r="B220" i="95"/>
  <c r="I219" i="95"/>
  <c r="H219" i="95"/>
  <c r="F219" i="95"/>
  <c r="E219" i="95"/>
  <c r="C219" i="95"/>
  <c r="B219" i="95"/>
  <c r="I218" i="95"/>
  <c r="H218" i="95"/>
  <c r="F218" i="95"/>
  <c r="E218" i="95"/>
  <c r="C218" i="95"/>
  <c r="B218" i="95"/>
  <c r="I217" i="95"/>
  <c r="H217" i="95"/>
  <c r="F217" i="95"/>
  <c r="E217" i="95"/>
  <c r="C217" i="95"/>
  <c r="B217" i="95"/>
  <c r="I216" i="95"/>
  <c r="H216" i="95"/>
  <c r="F216" i="95"/>
  <c r="E216" i="95"/>
  <c r="C216" i="95"/>
  <c r="B216" i="95"/>
  <c r="I215" i="95"/>
  <c r="H215" i="95"/>
  <c r="F215" i="95"/>
  <c r="E215" i="95"/>
  <c r="C215" i="95"/>
  <c r="B215" i="95"/>
  <c r="I214" i="95"/>
  <c r="H214" i="95"/>
  <c r="F214" i="95"/>
  <c r="E214" i="95"/>
  <c r="C214" i="95"/>
  <c r="B214" i="95"/>
  <c r="I213" i="95"/>
  <c r="H213" i="95"/>
  <c r="F213" i="95"/>
  <c r="E213" i="95"/>
  <c r="C213" i="95"/>
  <c r="B213" i="95"/>
  <c r="I212" i="95"/>
  <c r="H212" i="95"/>
  <c r="F212" i="95"/>
  <c r="E212" i="95"/>
  <c r="C212" i="95"/>
  <c r="B212" i="95"/>
  <c r="I211" i="95"/>
  <c r="H211" i="95"/>
  <c r="F211" i="95"/>
  <c r="E211" i="95"/>
  <c r="C211" i="95"/>
  <c r="B211" i="95"/>
  <c r="I210" i="95"/>
  <c r="H210" i="95"/>
  <c r="F210" i="95"/>
  <c r="E210" i="95"/>
  <c r="C210" i="95"/>
  <c r="B210" i="95"/>
  <c r="I209" i="95"/>
  <c r="H209" i="95"/>
  <c r="F209" i="95"/>
  <c r="E209" i="95"/>
  <c r="C209" i="95"/>
  <c r="B209" i="95"/>
  <c r="I208" i="95"/>
  <c r="H208" i="95"/>
  <c r="F208" i="95"/>
  <c r="E208" i="95"/>
  <c r="C208" i="95"/>
  <c r="B208" i="95"/>
  <c r="I207" i="95"/>
  <c r="H207" i="95"/>
  <c r="F207" i="95"/>
  <c r="E207" i="95"/>
  <c r="C207" i="95"/>
  <c r="B207" i="95"/>
  <c r="I206" i="95"/>
  <c r="H206" i="95"/>
  <c r="F206" i="95"/>
  <c r="E206" i="95"/>
  <c r="C206" i="95"/>
  <c r="B206" i="95"/>
  <c r="I205" i="95"/>
  <c r="H205" i="95"/>
  <c r="F205" i="95"/>
  <c r="E205" i="95"/>
  <c r="C205" i="95"/>
  <c r="B205" i="95"/>
  <c r="I204" i="95"/>
  <c r="H204" i="95"/>
  <c r="F204" i="95"/>
  <c r="E204" i="95"/>
  <c r="C204" i="95"/>
  <c r="B204" i="95"/>
  <c r="I203" i="95"/>
  <c r="H203" i="95"/>
  <c r="F203" i="95"/>
  <c r="E203" i="95"/>
  <c r="C203" i="95"/>
  <c r="B203" i="95"/>
  <c r="I202" i="95"/>
  <c r="H202" i="95"/>
  <c r="F202" i="95"/>
  <c r="E202" i="95"/>
  <c r="C202" i="95"/>
  <c r="B202" i="95"/>
  <c r="I201" i="95"/>
  <c r="H201" i="95"/>
  <c r="F201" i="95"/>
  <c r="E201" i="95"/>
  <c r="C201" i="95"/>
  <c r="B201" i="95"/>
  <c r="I200" i="95"/>
  <c r="H200" i="95"/>
  <c r="F200" i="95"/>
  <c r="E200" i="95"/>
  <c r="C200" i="95"/>
  <c r="B200" i="95"/>
  <c r="I199" i="95"/>
  <c r="H199" i="95"/>
  <c r="F199" i="95"/>
  <c r="E199" i="95"/>
  <c r="C199" i="95"/>
  <c r="B199" i="95"/>
  <c r="I198" i="95"/>
  <c r="H198" i="95"/>
  <c r="F198" i="95"/>
  <c r="E198" i="95"/>
  <c r="C198" i="95"/>
  <c r="B198" i="95"/>
  <c r="I197" i="95"/>
  <c r="H197" i="95"/>
  <c r="F197" i="95"/>
  <c r="E197" i="95"/>
  <c r="C197" i="95"/>
  <c r="B197" i="95"/>
  <c r="I196" i="95"/>
  <c r="H196" i="95"/>
  <c r="F196" i="95"/>
  <c r="E196" i="95"/>
  <c r="C196" i="95"/>
  <c r="B196" i="95"/>
  <c r="I195" i="95"/>
  <c r="H195" i="95"/>
  <c r="F195" i="95"/>
  <c r="E195" i="95"/>
  <c r="C195" i="95"/>
  <c r="B195" i="95"/>
  <c r="I194" i="95"/>
  <c r="H194" i="95"/>
  <c r="F194" i="95"/>
  <c r="E194" i="95"/>
  <c r="C194" i="95"/>
  <c r="B194" i="95"/>
  <c r="I193" i="95"/>
  <c r="H193" i="95"/>
  <c r="F193" i="95"/>
  <c r="E193" i="95"/>
  <c r="C193" i="95"/>
  <c r="B193" i="95"/>
  <c r="I192" i="95"/>
  <c r="H192" i="95"/>
  <c r="F192" i="95"/>
  <c r="E192" i="95"/>
  <c r="C192" i="95"/>
  <c r="B192" i="95"/>
  <c r="I191" i="95"/>
  <c r="H191" i="95"/>
  <c r="F191" i="95"/>
  <c r="E191" i="95"/>
  <c r="C191" i="95"/>
  <c r="B191" i="95"/>
  <c r="I190" i="95"/>
  <c r="H190" i="95"/>
  <c r="F190" i="95"/>
  <c r="E190" i="95"/>
  <c r="C190" i="95"/>
  <c r="B190" i="95"/>
  <c r="I189" i="95"/>
  <c r="H189" i="95"/>
  <c r="F189" i="95"/>
  <c r="E189" i="95"/>
  <c r="C189" i="95"/>
  <c r="B189" i="95"/>
  <c r="I188" i="95"/>
  <c r="H188" i="95"/>
  <c r="F188" i="95"/>
  <c r="E188" i="95"/>
  <c r="C188" i="95"/>
  <c r="B188" i="95"/>
  <c r="I187" i="95"/>
  <c r="H187" i="95"/>
  <c r="F187" i="95"/>
  <c r="E187" i="95"/>
  <c r="C187" i="95"/>
  <c r="B187" i="95"/>
  <c r="I186" i="95"/>
  <c r="H186" i="95"/>
  <c r="F186" i="95"/>
  <c r="E186" i="95"/>
  <c r="C186" i="95"/>
  <c r="B186" i="95"/>
  <c r="I185" i="95"/>
  <c r="H185" i="95"/>
  <c r="F185" i="95"/>
  <c r="E185" i="95"/>
  <c r="C185" i="95"/>
  <c r="B185" i="95"/>
  <c r="I184" i="95"/>
  <c r="H184" i="95"/>
  <c r="F184" i="95"/>
  <c r="E184" i="95"/>
  <c r="C184" i="95"/>
  <c r="B184" i="95"/>
  <c r="I183" i="95"/>
  <c r="H183" i="95"/>
  <c r="F183" i="95"/>
  <c r="E183" i="95"/>
  <c r="C183" i="95"/>
  <c r="B183" i="95"/>
  <c r="I182" i="95"/>
  <c r="H182" i="95"/>
  <c r="F182" i="95"/>
  <c r="E182" i="95"/>
  <c r="C182" i="95"/>
  <c r="B182" i="95"/>
  <c r="I181" i="95"/>
  <c r="H181" i="95"/>
  <c r="F181" i="95"/>
  <c r="E181" i="95"/>
  <c r="C181" i="95"/>
  <c r="B181" i="95"/>
  <c r="I180" i="95"/>
  <c r="H180" i="95"/>
  <c r="F180" i="95"/>
  <c r="E180" i="95"/>
  <c r="C180" i="95"/>
  <c r="B180" i="95"/>
  <c r="I179" i="95"/>
  <c r="H179" i="95"/>
  <c r="F179" i="95"/>
  <c r="E179" i="95"/>
  <c r="C179" i="95"/>
  <c r="B179" i="95"/>
  <c r="I178" i="95"/>
  <c r="H178" i="95"/>
  <c r="F178" i="95"/>
  <c r="E178" i="95"/>
  <c r="C178" i="95"/>
  <c r="B178" i="95"/>
  <c r="I177" i="95"/>
  <c r="H177" i="95"/>
  <c r="F177" i="95"/>
  <c r="E177" i="95"/>
  <c r="C177" i="95"/>
  <c r="B177" i="95"/>
  <c r="I176" i="95"/>
  <c r="H176" i="95"/>
  <c r="F176" i="95"/>
  <c r="E176" i="95"/>
  <c r="C176" i="95"/>
  <c r="B176" i="95"/>
  <c r="I175" i="95"/>
  <c r="H175" i="95"/>
  <c r="F175" i="95"/>
  <c r="E175" i="95"/>
  <c r="C175" i="95"/>
  <c r="B175" i="95"/>
  <c r="I174" i="95"/>
  <c r="H174" i="95"/>
  <c r="F174" i="95"/>
  <c r="E174" i="95"/>
  <c r="C174" i="95"/>
  <c r="B174" i="95"/>
  <c r="I173" i="95"/>
  <c r="H173" i="95"/>
  <c r="F173" i="95"/>
  <c r="E173" i="95"/>
  <c r="C173" i="95"/>
  <c r="B173" i="95"/>
  <c r="I172" i="95"/>
  <c r="H172" i="95"/>
  <c r="F172" i="95"/>
  <c r="E172" i="95"/>
  <c r="C172" i="95"/>
  <c r="B172" i="95"/>
  <c r="I171" i="95"/>
  <c r="H171" i="95"/>
  <c r="F171" i="95"/>
  <c r="E171" i="95"/>
  <c r="C171" i="95"/>
  <c r="B171" i="95"/>
  <c r="I170" i="95"/>
  <c r="H170" i="95"/>
  <c r="F170" i="95"/>
  <c r="E170" i="95"/>
  <c r="C170" i="95"/>
  <c r="B170" i="95"/>
  <c r="I169" i="95"/>
  <c r="H169" i="95"/>
  <c r="F169" i="95"/>
  <c r="E169" i="95"/>
  <c r="C169" i="95"/>
  <c r="B169" i="95"/>
  <c r="I168" i="95"/>
  <c r="H168" i="95"/>
  <c r="F168" i="95"/>
  <c r="E168" i="95"/>
  <c r="C168" i="95"/>
  <c r="B168" i="95"/>
  <c r="I167" i="95"/>
  <c r="H167" i="95"/>
  <c r="F167" i="95"/>
  <c r="E167" i="95"/>
  <c r="C167" i="95"/>
  <c r="B167" i="95"/>
  <c r="I166" i="95"/>
  <c r="H166" i="95"/>
  <c r="F166" i="95"/>
  <c r="E166" i="95"/>
  <c r="C166" i="95"/>
  <c r="B166" i="95"/>
  <c r="I165" i="95"/>
  <c r="H165" i="95"/>
  <c r="F165" i="95"/>
  <c r="E165" i="95"/>
  <c r="C165" i="95"/>
  <c r="B165" i="95"/>
  <c r="I164" i="95"/>
  <c r="H164" i="95"/>
  <c r="F164" i="95"/>
  <c r="E164" i="95"/>
  <c r="C164" i="95"/>
  <c r="B164" i="95"/>
  <c r="I163" i="95"/>
  <c r="H163" i="95"/>
  <c r="F163" i="95"/>
  <c r="E163" i="95"/>
  <c r="C163" i="95"/>
  <c r="B163" i="95"/>
  <c r="I162" i="95"/>
  <c r="H162" i="95"/>
  <c r="F162" i="95"/>
  <c r="E162" i="95"/>
  <c r="C162" i="95"/>
  <c r="B162" i="95"/>
  <c r="I161" i="95"/>
  <c r="H161" i="95"/>
  <c r="F161" i="95"/>
  <c r="E161" i="95"/>
  <c r="C161" i="95"/>
  <c r="B161" i="95"/>
  <c r="I160" i="95"/>
  <c r="H160" i="95"/>
  <c r="F160" i="95"/>
  <c r="E160" i="95"/>
  <c r="C160" i="95"/>
  <c r="B160" i="95"/>
  <c r="I159" i="95"/>
  <c r="H159" i="95"/>
  <c r="F159" i="95"/>
  <c r="E159" i="95"/>
  <c r="C159" i="95"/>
  <c r="B159" i="95"/>
  <c r="I158" i="95"/>
  <c r="H158" i="95"/>
  <c r="F158" i="95"/>
  <c r="E158" i="95"/>
  <c r="C158" i="95"/>
  <c r="B158" i="95"/>
  <c r="I157" i="95"/>
  <c r="H157" i="95"/>
  <c r="F157" i="95"/>
  <c r="E157" i="95"/>
  <c r="C157" i="95"/>
  <c r="B157" i="95"/>
  <c r="I156" i="95"/>
  <c r="H156" i="95"/>
  <c r="F156" i="95"/>
  <c r="E156" i="95"/>
  <c r="C156" i="95"/>
  <c r="B156" i="95"/>
  <c r="I155" i="95"/>
  <c r="H155" i="95"/>
  <c r="F155" i="95"/>
  <c r="E155" i="95"/>
  <c r="C155" i="95"/>
  <c r="B155" i="95"/>
  <c r="I154" i="95"/>
  <c r="H154" i="95"/>
  <c r="F154" i="95"/>
  <c r="E154" i="95"/>
  <c r="C154" i="95"/>
  <c r="B154" i="95"/>
  <c r="I153" i="95"/>
  <c r="H153" i="95"/>
  <c r="F153" i="95"/>
  <c r="E153" i="95"/>
  <c r="C153" i="95"/>
  <c r="B153" i="95"/>
  <c r="I152" i="95"/>
  <c r="H152" i="95"/>
  <c r="F152" i="95"/>
  <c r="E152" i="95"/>
  <c r="C152" i="95"/>
  <c r="B152" i="95"/>
  <c r="I151" i="95"/>
  <c r="H151" i="95"/>
  <c r="F151" i="95"/>
  <c r="E151" i="95"/>
  <c r="C151" i="95"/>
  <c r="B151" i="95"/>
  <c r="I150" i="95"/>
  <c r="H150" i="95"/>
  <c r="F150" i="95"/>
  <c r="E150" i="95"/>
  <c r="C150" i="95"/>
  <c r="B150" i="95"/>
  <c r="I149" i="95"/>
  <c r="H149" i="95"/>
  <c r="F149" i="95"/>
  <c r="E149" i="95"/>
  <c r="C149" i="95"/>
  <c r="B149" i="95"/>
  <c r="I148" i="95"/>
  <c r="H148" i="95"/>
  <c r="F148" i="95"/>
  <c r="E148" i="95"/>
  <c r="C148" i="95"/>
  <c r="B148" i="95"/>
  <c r="I147" i="95"/>
  <c r="H147" i="95"/>
  <c r="F147" i="95"/>
  <c r="E147" i="95"/>
  <c r="C147" i="95"/>
  <c r="B147" i="95"/>
  <c r="I146" i="95"/>
  <c r="H146" i="95"/>
  <c r="F146" i="95"/>
  <c r="E146" i="95"/>
  <c r="C146" i="95"/>
  <c r="B146" i="95"/>
  <c r="I145" i="95"/>
  <c r="H145" i="95"/>
  <c r="F145" i="95"/>
  <c r="E145" i="95"/>
  <c r="C145" i="95"/>
  <c r="B145" i="95"/>
  <c r="I144" i="95"/>
  <c r="H144" i="95"/>
  <c r="F144" i="95"/>
  <c r="E144" i="95"/>
  <c r="C144" i="95"/>
  <c r="B144" i="95"/>
  <c r="I143" i="95"/>
  <c r="H143" i="95"/>
  <c r="F143" i="95"/>
  <c r="E143" i="95"/>
  <c r="C143" i="95"/>
  <c r="B143" i="95"/>
  <c r="I142" i="95"/>
  <c r="H142" i="95"/>
  <c r="F142" i="95"/>
  <c r="E142" i="95"/>
  <c r="C142" i="95"/>
  <c r="B142" i="95"/>
  <c r="I141" i="95"/>
  <c r="H141" i="95"/>
  <c r="F141" i="95"/>
  <c r="E141" i="95"/>
  <c r="C141" i="95"/>
  <c r="B141" i="95"/>
  <c r="I140" i="95"/>
  <c r="H140" i="95"/>
  <c r="F140" i="95"/>
  <c r="E140" i="95"/>
  <c r="C140" i="95"/>
  <c r="B140" i="95"/>
  <c r="I139" i="95"/>
  <c r="H139" i="95"/>
  <c r="F139" i="95"/>
  <c r="E139" i="95"/>
  <c r="C139" i="95"/>
  <c r="B139" i="95"/>
  <c r="I138" i="95"/>
  <c r="H138" i="95"/>
  <c r="F138" i="95"/>
  <c r="E138" i="95"/>
  <c r="C138" i="95"/>
  <c r="B138" i="95"/>
  <c r="I137" i="95"/>
  <c r="H137" i="95"/>
  <c r="F137" i="95"/>
  <c r="E137" i="95"/>
  <c r="C137" i="95"/>
  <c r="B137" i="95"/>
  <c r="I136" i="95"/>
  <c r="H136" i="95"/>
  <c r="F136" i="95"/>
  <c r="E136" i="95"/>
  <c r="C136" i="95"/>
  <c r="B136" i="95"/>
  <c r="I135" i="95"/>
  <c r="H135" i="95"/>
  <c r="F135" i="95"/>
  <c r="E135" i="95"/>
  <c r="C135" i="95"/>
  <c r="B135" i="95"/>
  <c r="I134" i="95"/>
  <c r="H134" i="95"/>
  <c r="F134" i="95"/>
  <c r="E134" i="95"/>
  <c r="C134" i="95"/>
  <c r="B134" i="95"/>
  <c r="I133" i="95"/>
  <c r="H133" i="95"/>
  <c r="F133" i="95"/>
  <c r="E133" i="95"/>
  <c r="C133" i="95"/>
  <c r="B133" i="95"/>
  <c r="I132" i="95"/>
  <c r="H132" i="95"/>
  <c r="F132" i="95"/>
  <c r="E132" i="95"/>
  <c r="C132" i="95"/>
  <c r="B132" i="95"/>
  <c r="I131" i="95"/>
  <c r="H131" i="95"/>
  <c r="F131" i="95"/>
  <c r="E131" i="95"/>
  <c r="C131" i="95"/>
  <c r="B131" i="95"/>
  <c r="I130" i="95"/>
  <c r="H130" i="95"/>
  <c r="F130" i="95"/>
  <c r="E130" i="95"/>
  <c r="C130" i="95"/>
  <c r="B130" i="95"/>
  <c r="I129" i="95"/>
  <c r="H129" i="95"/>
  <c r="F129" i="95"/>
  <c r="E129" i="95"/>
  <c r="C129" i="95"/>
  <c r="B129" i="95"/>
  <c r="I128" i="95"/>
  <c r="H128" i="95"/>
  <c r="F128" i="95"/>
  <c r="E128" i="95"/>
  <c r="C128" i="95"/>
  <c r="B128" i="95"/>
  <c r="I127" i="95"/>
  <c r="H127" i="95"/>
  <c r="F127" i="95"/>
  <c r="E127" i="95"/>
  <c r="C127" i="95"/>
  <c r="B127" i="95"/>
  <c r="I126" i="95"/>
  <c r="H126" i="95"/>
  <c r="F126" i="95"/>
  <c r="E126" i="95"/>
  <c r="C126" i="95"/>
  <c r="B126" i="95"/>
  <c r="I125" i="95"/>
  <c r="H125" i="95"/>
  <c r="F125" i="95"/>
  <c r="E125" i="95"/>
  <c r="C125" i="95"/>
  <c r="B125" i="95"/>
  <c r="I124" i="95"/>
  <c r="H124" i="95"/>
  <c r="F124" i="95"/>
  <c r="E124" i="95"/>
  <c r="C124" i="95"/>
  <c r="B124" i="95"/>
  <c r="I123" i="95"/>
  <c r="H123" i="95"/>
  <c r="F123" i="95"/>
  <c r="E123" i="95"/>
  <c r="C123" i="95"/>
  <c r="B123" i="95"/>
  <c r="I122" i="95"/>
  <c r="H122" i="95"/>
  <c r="F122" i="95"/>
  <c r="E122" i="95"/>
  <c r="C122" i="95"/>
  <c r="B122" i="95"/>
  <c r="I121" i="95"/>
  <c r="H121" i="95"/>
  <c r="F121" i="95"/>
  <c r="E121" i="95"/>
  <c r="C121" i="95"/>
  <c r="B121" i="95"/>
  <c r="I120" i="95"/>
  <c r="H120" i="95"/>
  <c r="F120" i="95"/>
  <c r="E120" i="95"/>
  <c r="C120" i="95"/>
  <c r="B120" i="95"/>
  <c r="I119" i="95"/>
  <c r="H119" i="95"/>
  <c r="F119" i="95"/>
  <c r="E119" i="95"/>
  <c r="C119" i="95"/>
  <c r="B119" i="95"/>
  <c r="I118" i="95"/>
  <c r="H118" i="95"/>
  <c r="F118" i="95"/>
  <c r="E118" i="95"/>
  <c r="C118" i="95"/>
  <c r="B118" i="95"/>
  <c r="I117" i="95"/>
  <c r="H117" i="95"/>
  <c r="F117" i="95"/>
  <c r="E117" i="95"/>
  <c r="C117" i="95"/>
  <c r="B117" i="95"/>
  <c r="I116" i="95"/>
  <c r="H116" i="95"/>
  <c r="F116" i="95"/>
  <c r="E116" i="95"/>
  <c r="C116" i="95"/>
  <c r="B116" i="95"/>
  <c r="I115" i="95"/>
  <c r="H115" i="95"/>
  <c r="F115" i="95"/>
  <c r="E115" i="95"/>
  <c r="C115" i="95"/>
  <c r="B115" i="95"/>
  <c r="I114" i="95"/>
  <c r="H114" i="95"/>
  <c r="F114" i="95"/>
  <c r="E114" i="95"/>
  <c r="C114" i="95"/>
  <c r="B114" i="95"/>
  <c r="I113" i="95"/>
  <c r="H113" i="95"/>
  <c r="F113" i="95"/>
  <c r="E113" i="95"/>
  <c r="C113" i="95"/>
  <c r="B113" i="95"/>
  <c r="I112" i="95"/>
  <c r="H112" i="95"/>
  <c r="F112" i="95"/>
  <c r="E112" i="95"/>
  <c r="C112" i="95"/>
  <c r="B112" i="95"/>
  <c r="I111" i="95"/>
  <c r="H111" i="95"/>
  <c r="F111" i="95"/>
  <c r="E111" i="95"/>
  <c r="C111" i="95"/>
  <c r="B111" i="95"/>
  <c r="I110" i="95"/>
  <c r="H110" i="95"/>
  <c r="F110" i="95"/>
  <c r="E110" i="95"/>
  <c r="C110" i="95"/>
  <c r="B110" i="95"/>
  <c r="I109" i="95"/>
  <c r="H109" i="95"/>
  <c r="F109" i="95"/>
  <c r="E109" i="95"/>
  <c r="C109" i="95"/>
  <c r="B109" i="95"/>
  <c r="I108" i="95"/>
  <c r="H108" i="95"/>
  <c r="F108" i="95"/>
  <c r="E108" i="95"/>
  <c r="C108" i="95"/>
  <c r="B108" i="95"/>
  <c r="I107" i="95"/>
  <c r="H107" i="95"/>
  <c r="F107" i="95"/>
  <c r="E107" i="95"/>
  <c r="C107" i="95"/>
  <c r="B107" i="95"/>
  <c r="I106" i="95"/>
  <c r="H106" i="95"/>
  <c r="F106" i="95"/>
  <c r="E106" i="95"/>
  <c r="C106" i="95"/>
  <c r="B106" i="95"/>
  <c r="I105" i="95"/>
  <c r="H105" i="95"/>
  <c r="F105" i="95"/>
  <c r="E105" i="95"/>
  <c r="C105" i="95"/>
  <c r="B105" i="95"/>
  <c r="I104" i="95"/>
  <c r="H104" i="95"/>
  <c r="F104" i="95"/>
  <c r="E104" i="95"/>
  <c r="C104" i="95"/>
  <c r="B104" i="95"/>
  <c r="I103" i="95"/>
  <c r="H103" i="95"/>
  <c r="F103" i="95"/>
  <c r="E103" i="95"/>
  <c r="C103" i="95"/>
  <c r="B103" i="95"/>
  <c r="I102" i="95"/>
  <c r="H102" i="95"/>
  <c r="F102" i="95"/>
  <c r="E102" i="95"/>
  <c r="C102" i="95"/>
  <c r="B102" i="95"/>
  <c r="I101" i="95"/>
  <c r="H101" i="95"/>
  <c r="F101" i="95"/>
  <c r="E101" i="95"/>
  <c r="C101" i="95"/>
  <c r="B101" i="95"/>
  <c r="I100" i="95"/>
  <c r="H100" i="95"/>
  <c r="F100" i="95"/>
  <c r="E100" i="95"/>
  <c r="C100" i="95"/>
  <c r="B100" i="95"/>
  <c r="I99" i="95"/>
  <c r="H99" i="95"/>
  <c r="F99" i="95"/>
  <c r="E99" i="95"/>
  <c r="C99" i="95"/>
  <c r="B99" i="95"/>
  <c r="I98" i="95"/>
  <c r="H98" i="95"/>
  <c r="F98" i="95"/>
  <c r="E98" i="95"/>
  <c r="C98" i="95"/>
  <c r="B98" i="95"/>
  <c r="I97" i="95"/>
  <c r="H97" i="95"/>
  <c r="F97" i="95"/>
  <c r="E97" i="95"/>
  <c r="C97" i="95"/>
  <c r="B97" i="95"/>
  <c r="I96" i="95"/>
  <c r="H96" i="95"/>
  <c r="F96" i="95"/>
  <c r="E96" i="95"/>
  <c r="C96" i="95"/>
  <c r="B96" i="95"/>
  <c r="I95" i="95"/>
  <c r="H95" i="95"/>
  <c r="F95" i="95"/>
  <c r="E95" i="95"/>
  <c r="C95" i="95"/>
  <c r="B95" i="95"/>
  <c r="I94" i="95"/>
  <c r="H94" i="95"/>
  <c r="F94" i="95"/>
  <c r="E94" i="95"/>
  <c r="C94" i="95"/>
  <c r="B94" i="95"/>
  <c r="I93" i="95"/>
  <c r="H93" i="95"/>
  <c r="F93" i="95"/>
  <c r="E93" i="95"/>
  <c r="C93" i="95"/>
  <c r="B93" i="95"/>
  <c r="I92" i="95"/>
  <c r="H92" i="95"/>
  <c r="F92" i="95"/>
  <c r="E92" i="95"/>
  <c r="C92" i="95"/>
  <c r="B92" i="95"/>
  <c r="I91" i="95"/>
  <c r="H91" i="95"/>
  <c r="F91" i="95"/>
  <c r="E91" i="95"/>
  <c r="C91" i="95"/>
  <c r="B91" i="95"/>
  <c r="I90" i="95"/>
  <c r="H90" i="95"/>
  <c r="F90" i="95"/>
  <c r="E90" i="95"/>
  <c r="C90" i="95"/>
  <c r="B90" i="95"/>
  <c r="I89" i="95"/>
  <c r="H89" i="95"/>
  <c r="F89" i="95"/>
  <c r="E89" i="95"/>
  <c r="C89" i="95"/>
  <c r="B89" i="95"/>
  <c r="I88" i="95"/>
  <c r="H88" i="95"/>
  <c r="F88" i="95"/>
  <c r="E88" i="95"/>
  <c r="C88" i="95"/>
  <c r="B88" i="95"/>
  <c r="I87" i="95"/>
  <c r="H87" i="95"/>
  <c r="F87" i="95"/>
  <c r="E87" i="95"/>
  <c r="C87" i="95"/>
  <c r="B87" i="95"/>
  <c r="I86" i="95"/>
  <c r="H86" i="95"/>
  <c r="F86" i="95"/>
  <c r="E86" i="95"/>
  <c r="C86" i="95"/>
  <c r="B86" i="95"/>
  <c r="I85" i="95"/>
  <c r="H85" i="95"/>
  <c r="F85" i="95"/>
  <c r="E85" i="95"/>
  <c r="C85" i="95"/>
  <c r="B85" i="95"/>
  <c r="I84" i="95"/>
  <c r="H84" i="95"/>
  <c r="F84" i="95"/>
  <c r="E84" i="95"/>
  <c r="C84" i="95"/>
  <c r="B84" i="95"/>
  <c r="I83" i="95"/>
  <c r="H83" i="95"/>
  <c r="F83" i="95"/>
  <c r="E83" i="95"/>
  <c r="C83" i="95"/>
  <c r="B83" i="95"/>
  <c r="I82" i="95"/>
  <c r="H82" i="95"/>
  <c r="F82" i="95"/>
  <c r="E82" i="95"/>
  <c r="C82" i="95"/>
  <c r="B82" i="95"/>
  <c r="I81" i="95"/>
  <c r="H81" i="95"/>
  <c r="F81" i="95"/>
  <c r="E81" i="95"/>
  <c r="C81" i="95"/>
  <c r="B81" i="95"/>
  <c r="I80" i="95"/>
  <c r="H80" i="95"/>
  <c r="F80" i="95"/>
  <c r="E80" i="95"/>
  <c r="C80" i="95"/>
  <c r="B80" i="95"/>
  <c r="I79" i="95"/>
  <c r="H79" i="95"/>
  <c r="F79" i="95"/>
  <c r="E79" i="95"/>
  <c r="C79" i="95"/>
  <c r="B79" i="95"/>
  <c r="I78" i="95"/>
  <c r="H78" i="95"/>
  <c r="F78" i="95"/>
  <c r="E78" i="95"/>
  <c r="C78" i="95"/>
  <c r="B78" i="95"/>
  <c r="I77" i="95"/>
  <c r="H77" i="95"/>
  <c r="F77" i="95"/>
  <c r="E77" i="95"/>
  <c r="C77" i="95"/>
  <c r="B77" i="95"/>
  <c r="I76" i="95"/>
  <c r="H76" i="95"/>
  <c r="F76" i="95"/>
  <c r="E76" i="95"/>
  <c r="C76" i="95"/>
  <c r="B76" i="95"/>
  <c r="I75" i="95"/>
  <c r="H75" i="95"/>
  <c r="F75" i="95"/>
  <c r="E75" i="95"/>
  <c r="C75" i="95"/>
  <c r="B75" i="95"/>
  <c r="I74" i="95"/>
  <c r="H74" i="95"/>
  <c r="F74" i="95"/>
  <c r="E74" i="95"/>
  <c r="C74" i="95"/>
  <c r="B74" i="95"/>
  <c r="I73" i="95"/>
  <c r="H73" i="95"/>
  <c r="F73" i="95"/>
  <c r="E73" i="95"/>
  <c r="C73" i="95"/>
  <c r="B73" i="95"/>
  <c r="I72" i="95"/>
  <c r="H72" i="95"/>
  <c r="F72" i="95"/>
  <c r="E72" i="95"/>
  <c r="C72" i="95"/>
  <c r="B72" i="95"/>
  <c r="I71" i="95"/>
  <c r="H71" i="95"/>
  <c r="F71" i="95"/>
  <c r="E71" i="95"/>
  <c r="C71" i="95"/>
  <c r="B71" i="95"/>
  <c r="I70" i="95"/>
  <c r="H70" i="95"/>
  <c r="F70" i="95"/>
  <c r="E70" i="95"/>
  <c r="C70" i="95"/>
  <c r="B70" i="95"/>
  <c r="I69" i="95"/>
  <c r="H69" i="95"/>
  <c r="F69" i="95"/>
  <c r="E69" i="95"/>
  <c r="C69" i="95"/>
  <c r="B69" i="95"/>
  <c r="I68" i="95"/>
  <c r="H68" i="95"/>
  <c r="F68" i="95"/>
  <c r="E68" i="95"/>
  <c r="C68" i="95"/>
  <c r="B68" i="95"/>
  <c r="I67" i="95"/>
  <c r="H67" i="95"/>
  <c r="F67" i="95"/>
  <c r="E67" i="95"/>
  <c r="C67" i="95"/>
  <c r="B67" i="95"/>
  <c r="I66" i="95"/>
  <c r="H66" i="95"/>
  <c r="F66" i="95"/>
  <c r="E66" i="95"/>
  <c r="C66" i="95"/>
  <c r="B66" i="95"/>
  <c r="I65" i="95"/>
  <c r="H65" i="95"/>
  <c r="F65" i="95"/>
  <c r="E65" i="95"/>
  <c r="C65" i="95"/>
  <c r="B65" i="95"/>
  <c r="I64" i="95"/>
  <c r="H64" i="95"/>
  <c r="F64" i="95"/>
  <c r="E64" i="95"/>
  <c r="C64" i="95"/>
  <c r="B64" i="95"/>
  <c r="I63" i="95"/>
  <c r="H63" i="95"/>
  <c r="F63" i="95"/>
  <c r="E63" i="95"/>
  <c r="C63" i="95"/>
  <c r="B63" i="95"/>
  <c r="I62" i="95"/>
  <c r="H62" i="95"/>
  <c r="F62" i="95"/>
  <c r="E62" i="95"/>
  <c r="C62" i="95"/>
  <c r="B62" i="95"/>
  <c r="I61" i="95"/>
  <c r="H61" i="95"/>
  <c r="F61" i="95"/>
  <c r="E61" i="95"/>
  <c r="C61" i="95"/>
  <c r="B61" i="95"/>
  <c r="I60" i="95"/>
  <c r="H60" i="95"/>
  <c r="F60" i="95"/>
  <c r="E60" i="95"/>
  <c r="C60" i="95"/>
  <c r="B60" i="95"/>
  <c r="I59" i="95"/>
  <c r="H59" i="95"/>
  <c r="F59" i="95"/>
  <c r="E59" i="95"/>
  <c r="C59" i="95"/>
  <c r="B59" i="95"/>
  <c r="I58" i="95"/>
  <c r="H58" i="95"/>
  <c r="F58" i="95"/>
  <c r="E58" i="95"/>
  <c r="C58" i="95"/>
  <c r="B58" i="95"/>
  <c r="I57" i="95"/>
  <c r="H57" i="95"/>
  <c r="F57" i="95"/>
  <c r="E57" i="95"/>
  <c r="C57" i="95"/>
  <c r="B57" i="95"/>
  <c r="I56" i="95"/>
  <c r="H56" i="95"/>
  <c r="F56" i="95"/>
  <c r="E56" i="95"/>
  <c r="C56" i="95"/>
  <c r="B56" i="95"/>
  <c r="I55" i="95"/>
  <c r="H55" i="95"/>
  <c r="F55" i="95"/>
  <c r="E55" i="95"/>
  <c r="C55" i="95"/>
  <c r="B55" i="95"/>
  <c r="I54" i="95"/>
  <c r="H54" i="95"/>
  <c r="F54" i="95"/>
  <c r="E54" i="95"/>
  <c r="C54" i="95"/>
  <c r="B54" i="95"/>
  <c r="I53" i="95"/>
  <c r="H53" i="95"/>
  <c r="F53" i="95"/>
  <c r="E53" i="95"/>
  <c r="C53" i="95"/>
  <c r="B53" i="95"/>
  <c r="I52" i="95"/>
  <c r="H52" i="95"/>
  <c r="F52" i="95"/>
  <c r="E52" i="95"/>
  <c r="C52" i="95"/>
  <c r="B52" i="95"/>
  <c r="I51" i="95"/>
  <c r="H51" i="95"/>
  <c r="F51" i="95"/>
  <c r="E51" i="95"/>
  <c r="C51" i="95"/>
  <c r="B51" i="95"/>
  <c r="I50" i="95"/>
  <c r="H50" i="95"/>
  <c r="F50" i="95"/>
  <c r="E50" i="95"/>
  <c r="C50" i="95"/>
  <c r="B50" i="95"/>
  <c r="I49" i="95"/>
  <c r="H49" i="95"/>
  <c r="F49" i="95"/>
  <c r="E49" i="95"/>
  <c r="C49" i="95"/>
  <c r="B49" i="95"/>
  <c r="I48" i="95"/>
  <c r="H48" i="95"/>
  <c r="F48" i="95"/>
  <c r="E48" i="95"/>
  <c r="C48" i="95"/>
  <c r="B48" i="95"/>
  <c r="I47" i="95"/>
  <c r="H47" i="95"/>
  <c r="F47" i="95"/>
  <c r="E47" i="95"/>
  <c r="C47" i="95"/>
  <c r="B47" i="95"/>
  <c r="I46" i="95"/>
  <c r="H46" i="95"/>
  <c r="F46" i="95"/>
  <c r="E46" i="95"/>
  <c r="C46" i="95"/>
  <c r="B46" i="95"/>
  <c r="I45" i="95"/>
  <c r="H45" i="95"/>
  <c r="F45" i="95"/>
  <c r="E45" i="95"/>
  <c r="C45" i="95"/>
  <c r="B45" i="95"/>
  <c r="I44" i="95"/>
  <c r="H44" i="95"/>
  <c r="F44" i="95"/>
  <c r="E44" i="95"/>
  <c r="C44" i="95"/>
  <c r="B44" i="95"/>
  <c r="I43" i="95"/>
  <c r="H43" i="95"/>
  <c r="F43" i="95"/>
  <c r="E43" i="95"/>
  <c r="C43" i="95"/>
  <c r="B43" i="95"/>
  <c r="I42" i="95"/>
  <c r="H42" i="95"/>
  <c r="F42" i="95"/>
  <c r="E42" i="95"/>
  <c r="C42" i="95"/>
  <c r="B42" i="95"/>
  <c r="I41" i="95"/>
  <c r="H41" i="95"/>
  <c r="F41" i="95"/>
  <c r="E41" i="95"/>
  <c r="C41" i="95"/>
  <c r="B41" i="95"/>
  <c r="I40" i="95"/>
  <c r="H40" i="95"/>
  <c r="F40" i="95"/>
  <c r="E40" i="95"/>
  <c r="C40" i="95"/>
  <c r="B40" i="95"/>
  <c r="I39" i="95"/>
  <c r="H39" i="95"/>
  <c r="F39" i="95"/>
  <c r="E39" i="95"/>
  <c r="C39" i="95"/>
  <c r="B39" i="95"/>
  <c r="I38" i="95"/>
  <c r="H38" i="95"/>
  <c r="F38" i="95"/>
  <c r="E38" i="95"/>
  <c r="C38" i="95"/>
  <c r="B38" i="95"/>
  <c r="I37" i="95"/>
  <c r="H37" i="95"/>
  <c r="F37" i="95"/>
  <c r="E37" i="95"/>
  <c r="C37" i="95"/>
  <c r="B37" i="95"/>
  <c r="I36" i="95"/>
  <c r="H36" i="95"/>
  <c r="F36" i="95"/>
  <c r="E36" i="95"/>
  <c r="C36" i="95"/>
  <c r="B36" i="95"/>
  <c r="I35" i="95"/>
  <c r="H35" i="95"/>
  <c r="F35" i="95"/>
  <c r="E35" i="95"/>
  <c r="C35" i="95"/>
  <c r="B35" i="95"/>
  <c r="I34" i="95"/>
  <c r="H34" i="95"/>
  <c r="F34" i="95"/>
  <c r="E34" i="95"/>
  <c r="C34" i="95"/>
  <c r="B34" i="95"/>
  <c r="I33" i="95"/>
  <c r="H33" i="95"/>
  <c r="F33" i="95"/>
  <c r="E33" i="95"/>
  <c r="C33" i="95"/>
  <c r="B33" i="95"/>
  <c r="I32" i="95"/>
  <c r="H32" i="95"/>
  <c r="F32" i="95"/>
  <c r="E32" i="95"/>
  <c r="C32" i="95"/>
  <c r="B32" i="95"/>
  <c r="I31" i="95"/>
  <c r="H31" i="95"/>
  <c r="F31" i="95"/>
  <c r="E31" i="95"/>
  <c r="C31" i="95"/>
  <c r="B31" i="95"/>
  <c r="I30" i="95"/>
  <c r="H30" i="95"/>
  <c r="F30" i="95"/>
  <c r="E30" i="95"/>
  <c r="C30" i="95"/>
  <c r="B30" i="95"/>
  <c r="I29" i="95"/>
  <c r="H29" i="95"/>
  <c r="F29" i="95"/>
  <c r="E29" i="95"/>
  <c r="C29" i="95"/>
  <c r="B29" i="95"/>
  <c r="I28" i="95"/>
  <c r="H28" i="95"/>
  <c r="F28" i="95"/>
  <c r="E28" i="95"/>
  <c r="C28" i="95"/>
  <c r="B28" i="95"/>
  <c r="I27" i="95"/>
  <c r="H27" i="95"/>
  <c r="F27" i="95"/>
  <c r="E27" i="95"/>
  <c r="C27" i="95"/>
  <c r="B27" i="95"/>
  <c r="I26" i="95"/>
  <c r="H26" i="95"/>
  <c r="F26" i="95"/>
  <c r="E26" i="95"/>
  <c r="C26" i="95"/>
  <c r="B26" i="95"/>
  <c r="I25" i="95"/>
  <c r="H25" i="95"/>
  <c r="F25" i="95"/>
  <c r="E25" i="95"/>
  <c r="C25" i="95"/>
  <c r="B25" i="95"/>
  <c r="I24" i="95"/>
  <c r="H24" i="95"/>
  <c r="F24" i="95"/>
  <c r="E24" i="95"/>
  <c r="C24" i="95"/>
  <c r="B24" i="95"/>
  <c r="I23" i="95"/>
  <c r="H23" i="95"/>
  <c r="F23" i="95"/>
  <c r="E23" i="95"/>
  <c r="C23" i="95"/>
  <c r="B23" i="95"/>
  <c r="I22" i="95"/>
  <c r="H22" i="95"/>
  <c r="F22" i="95"/>
  <c r="E22" i="95"/>
  <c r="C22" i="95"/>
  <c r="B22" i="95"/>
  <c r="I21" i="95"/>
  <c r="H21" i="95"/>
  <c r="F21" i="95"/>
  <c r="E21" i="95"/>
  <c r="C21" i="95"/>
  <c r="B21" i="95"/>
  <c r="I20" i="95"/>
  <c r="H20" i="95"/>
  <c r="F20" i="95"/>
  <c r="E20" i="95"/>
  <c r="C20" i="95"/>
  <c r="B20" i="95"/>
  <c r="I19" i="95"/>
  <c r="H19" i="95"/>
  <c r="F19" i="95"/>
  <c r="E19" i="95"/>
  <c r="C19" i="95"/>
  <c r="B19" i="95"/>
  <c r="I18" i="95"/>
  <c r="H18" i="95"/>
  <c r="F18" i="95"/>
  <c r="E18" i="95"/>
  <c r="C18" i="95"/>
  <c r="B18" i="95"/>
  <c r="I17" i="95"/>
  <c r="H17" i="95"/>
  <c r="F17" i="95"/>
  <c r="E17" i="95"/>
  <c r="C17" i="95"/>
  <c r="B17" i="95"/>
  <c r="I16" i="95"/>
  <c r="H16" i="95"/>
  <c r="F16" i="95"/>
  <c r="E16" i="95"/>
  <c r="C16" i="95"/>
  <c r="B16" i="95"/>
  <c r="I15" i="95"/>
  <c r="H15" i="95"/>
  <c r="F15" i="95"/>
  <c r="E15" i="95"/>
  <c r="C15" i="95"/>
  <c r="B15" i="95"/>
  <c r="I14" i="95"/>
  <c r="H14" i="95"/>
  <c r="F14" i="95"/>
  <c r="E14" i="95"/>
  <c r="C14" i="95"/>
  <c r="B14" i="95"/>
  <c r="I13" i="95"/>
  <c r="H13" i="95"/>
  <c r="F13" i="95"/>
  <c r="E13" i="95"/>
  <c r="C13" i="95"/>
  <c r="B13" i="95"/>
  <c r="I12" i="95"/>
  <c r="H12" i="95"/>
  <c r="F12" i="95"/>
  <c r="E12" i="95"/>
  <c r="C12" i="95"/>
  <c r="B12" i="95"/>
  <c r="I11" i="95"/>
  <c r="H11" i="95"/>
  <c r="F11" i="95"/>
  <c r="E11" i="95"/>
  <c r="C11" i="95"/>
  <c r="B11" i="95"/>
  <c r="I10" i="95"/>
  <c r="H10" i="95"/>
  <c r="F10" i="95"/>
  <c r="E10" i="95"/>
  <c r="C10" i="95"/>
  <c r="B10" i="95"/>
  <c r="I9" i="95"/>
  <c r="H9" i="95"/>
  <c r="F9" i="95"/>
  <c r="E9" i="95"/>
  <c r="C9" i="95"/>
  <c r="B9" i="95"/>
  <c r="I8" i="95"/>
  <c r="H8" i="95"/>
  <c r="F8" i="95"/>
  <c r="E8" i="95"/>
  <c r="C8" i="95"/>
  <c r="B8" i="95"/>
  <c r="J2" i="95"/>
  <c r="I2" i="95"/>
  <c r="H2" i="95"/>
  <c r="G2" i="95"/>
  <c r="F2" i="95"/>
  <c r="E2" i="95"/>
  <c r="D2" i="95"/>
  <c r="C2" i="95"/>
  <c r="B2" i="95"/>
  <c r="J1" i="95"/>
  <c r="I1" i="95"/>
  <c r="H1" i="95"/>
  <c r="G1" i="95"/>
  <c r="F1" i="95"/>
  <c r="E1" i="95"/>
  <c r="D1" i="95"/>
  <c r="C1" i="95"/>
  <c r="B1" i="95"/>
  <c r="AH469" i="94"/>
  <c r="AF469" i="94"/>
  <c r="W459" i="94"/>
  <c r="W460" i="94" s="1"/>
  <c r="W461" i="94" s="1"/>
  <c r="W462" i="94" s="1"/>
  <c r="W463" i="94" s="1"/>
  <c r="W464" i="94" s="1"/>
  <c r="W465" i="94" s="1"/>
  <c r="W456" i="94"/>
  <c r="W432" i="94"/>
  <c r="W433" i="94" s="1"/>
  <c r="W434" i="94" s="1"/>
  <c r="W435" i="94" s="1"/>
  <c r="W436" i="94" s="1"/>
  <c r="W437" i="94" s="1"/>
  <c r="W438" i="94" s="1"/>
  <c r="W439" i="94" s="1"/>
  <c r="W440" i="94" s="1"/>
  <c r="W441" i="94" s="1"/>
  <c r="W442" i="94" s="1"/>
  <c r="W443" i="94" s="1"/>
  <c r="W444" i="94" s="1"/>
  <c r="W445" i="94" s="1"/>
  <c r="W446" i="94" s="1"/>
  <c r="W447" i="94" s="1"/>
  <c r="W448" i="94" s="1"/>
  <c r="W449" i="94" s="1"/>
  <c r="W450" i="94" s="1"/>
  <c r="W451" i="94" s="1"/>
  <c r="W452" i="94" s="1"/>
  <c r="W453" i="94" s="1"/>
  <c r="W431" i="94"/>
  <c r="W405" i="94"/>
  <c r="W406" i="94" s="1"/>
  <c r="W407" i="94" s="1"/>
  <c r="W408" i="94" s="1"/>
  <c r="W409" i="94" s="1"/>
  <c r="W410" i="94" s="1"/>
  <c r="W411" i="94" s="1"/>
  <c r="W412" i="94" s="1"/>
  <c r="W413" i="94" s="1"/>
  <c r="W414" i="94" s="1"/>
  <c r="W415" i="94" s="1"/>
  <c r="W416" i="94" s="1"/>
  <c r="W417" i="94" s="1"/>
  <c r="W418" i="94" s="1"/>
  <c r="W419" i="94" s="1"/>
  <c r="W420" i="94" s="1"/>
  <c r="W421" i="94" s="1"/>
  <c r="W422" i="94" s="1"/>
  <c r="W423" i="94" s="1"/>
  <c r="W424" i="94" s="1"/>
  <c r="W425" i="94" s="1"/>
  <c r="W426" i="94" s="1"/>
  <c r="W427" i="94" s="1"/>
  <c r="W428" i="94" s="1"/>
  <c r="W401" i="94"/>
  <c r="W399" i="94"/>
  <c r="W397" i="94"/>
  <c r="W395" i="94"/>
  <c r="W393" i="94"/>
  <c r="W391" i="94"/>
  <c r="W389" i="94"/>
  <c r="W387" i="94"/>
  <c r="W385" i="94"/>
  <c r="W383" i="94"/>
  <c r="W381" i="94"/>
  <c r="W379" i="94"/>
  <c r="W377" i="94"/>
  <c r="W375" i="94"/>
  <c r="W373" i="94"/>
  <c r="W371" i="94"/>
  <c r="W369" i="94"/>
  <c r="W367" i="94"/>
  <c r="W365" i="94"/>
  <c r="W363" i="94"/>
  <c r="W361" i="94"/>
  <c r="W359" i="94"/>
  <c r="W357" i="94"/>
  <c r="W355" i="94"/>
  <c r="W353" i="94"/>
  <c r="W351" i="94"/>
  <c r="W349" i="94"/>
  <c r="W308" i="94"/>
  <c r="W309" i="94" s="1"/>
  <c r="W310" i="94" s="1"/>
  <c r="W311" i="94" s="1"/>
  <c r="W312" i="94" s="1"/>
  <c r="W313" i="94" s="1"/>
  <c r="W314" i="94" s="1"/>
  <c r="W315" i="94" s="1"/>
  <c r="W316" i="94" s="1"/>
  <c r="W317" i="94" s="1"/>
  <c r="W318" i="94" s="1"/>
  <c r="W319" i="94" s="1"/>
  <c r="W320" i="94" s="1"/>
  <c r="W321" i="94" s="1"/>
  <c r="W322" i="94" s="1"/>
  <c r="W323" i="94" s="1"/>
  <c r="W324" i="94" s="1"/>
  <c r="W325" i="94" s="1"/>
  <c r="W326" i="94" s="1"/>
  <c r="W327" i="94" s="1"/>
  <c r="W328" i="94" s="1"/>
  <c r="W329" i="94" s="1"/>
  <c r="W330" i="94" s="1"/>
  <c r="W331" i="94" s="1"/>
  <c r="W332" i="94" s="1"/>
  <c r="W333" i="94" s="1"/>
  <c r="W334" i="94" s="1"/>
  <c r="W335" i="94" s="1"/>
  <c r="W336" i="94" s="1"/>
  <c r="W337" i="94" s="1"/>
  <c r="W338" i="94" s="1"/>
  <c r="W339" i="94" s="1"/>
  <c r="W340" i="94" s="1"/>
  <c r="W341" i="94" s="1"/>
  <c r="W342" i="94" s="1"/>
  <c r="W302" i="94"/>
  <c r="W267" i="94"/>
  <c r="W268" i="94" s="1"/>
  <c r="W269" i="94" s="1"/>
  <c r="W270" i="94" s="1"/>
  <c r="W271" i="94" s="1"/>
  <c r="W272" i="94" s="1"/>
  <c r="W273" i="94" s="1"/>
  <c r="W274" i="94" s="1"/>
  <c r="W275" i="94" s="1"/>
  <c r="W276" i="94" s="1"/>
  <c r="W277" i="94" s="1"/>
  <c r="W278" i="94" s="1"/>
  <c r="W279" i="94" s="1"/>
  <c r="W280" i="94" s="1"/>
  <c r="W281" i="94" s="1"/>
  <c r="W282" i="94" s="1"/>
  <c r="W283" i="94" s="1"/>
  <c r="W284" i="94" s="1"/>
  <c r="W285" i="94" s="1"/>
  <c r="W286" i="94" s="1"/>
  <c r="W287" i="94" s="1"/>
  <c r="W288" i="94" s="1"/>
  <c r="W289" i="94" s="1"/>
  <c r="W290" i="94" s="1"/>
  <c r="W291" i="94" s="1"/>
  <c r="W292" i="94" s="1"/>
  <c r="W293" i="94" s="1"/>
  <c r="W294" i="94" s="1"/>
  <c r="W295" i="94" s="1"/>
  <c r="W296" i="94" s="1"/>
  <c r="W297" i="94" s="1"/>
  <c r="W298" i="94" s="1"/>
  <c r="W299" i="94" s="1"/>
  <c r="W256" i="94"/>
  <c r="W257" i="94" s="1"/>
  <c r="W258" i="94" s="1"/>
  <c r="W259" i="94" s="1"/>
  <c r="W260" i="94" s="1"/>
  <c r="W261" i="94" s="1"/>
  <c r="W262" i="94" s="1"/>
  <c r="W263" i="94" s="1"/>
  <c r="W264" i="94" s="1"/>
  <c r="W245" i="94"/>
  <c r="W246" i="94" s="1"/>
  <c r="W247" i="94" s="1"/>
  <c r="W248" i="94" s="1"/>
  <c r="W249" i="94" s="1"/>
  <c r="W244" i="94"/>
  <c r="W238" i="94"/>
  <c r="W239" i="94" s="1"/>
  <c r="W240" i="94" s="1"/>
  <c r="W227" i="94"/>
  <c r="W228" i="94" s="1"/>
  <c r="W229" i="94" s="1"/>
  <c r="W230" i="94" s="1"/>
  <c r="W231" i="94" s="1"/>
  <c r="W232" i="94" s="1"/>
  <c r="W233" i="94" s="1"/>
  <c r="W234" i="94" s="1"/>
  <c r="W235" i="94" s="1"/>
  <c r="W223" i="94"/>
  <c r="W221" i="94"/>
  <c r="W219" i="94"/>
  <c r="W217" i="94"/>
  <c r="W215" i="94"/>
  <c r="W213" i="94"/>
  <c r="W211" i="94"/>
  <c r="W209" i="94"/>
  <c r="W207" i="94"/>
  <c r="W205" i="94"/>
  <c r="W203" i="94"/>
  <c r="W201" i="94"/>
  <c r="W199" i="94"/>
  <c r="W197" i="94"/>
  <c r="W195" i="94"/>
  <c r="W158" i="94"/>
  <c r="W159" i="94" s="1"/>
  <c r="W160" i="94" s="1"/>
  <c r="W161" i="94" s="1"/>
  <c r="W162" i="94" s="1"/>
  <c r="W163" i="94" s="1"/>
  <c r="W164" i="94" s="1"/>
  <c r="W165" i="94" s="1"/>
  <c r="W166" i="94" s="1"/>
  <c r="W167" i="94" s="1"/>
  <c r="W168" i="94" s="1"/>
  <c r="W169" i="94" s="1"/>
  <c r="W170" i="94" s="1"/>
  <c r="W171" i="94" s="1"/>
  <c r="W172" i="94" s="1"/>
  <c r="W173" i="94" s="1"/>
  <c r="W174" i="94" s="1"/>
  <c r="W175" i="94" s="1"/>
  <c r="W176" i="94" s="1"/>
  <c r="W177" i="94" s="1"/>
  <c r="W178" i="94" s="1"/>
  <c r="W179" i="94" s="1"/>
  <c r="W180" i="94" s="1"/>
  <c r="W181" i="94" s="1"/>
  <c r="W182" i="94" s="1"/>
  <c r="W183" i="94" s="1"/>
  <c r="W184" i="94" s="1"/>
  <c r="W185" i="94" s="1"/>
  <c r="W186" i="94" s="1"/>
  <c r="W187" i="94" s="1"/>
  <c r="W188" i="94" s="1"/>
  <c r="W189" i="94" s="1"/>
  <c r="W190" i="94" s="1"/>
  <c r="W191" i="94" s="1"/>
  <c r="R108" i="94"/>
  <c r="W107" i="94"/>
  <c r="W108" i="94" s="1"/>
  <c r="W109" i="94" s="1"/>
  <c r="W110" i="94" s="1"/>
  <c r="W111" i="94" s="1"/>
  <c r="W112" i="94" s="1"/>
  <c r="W113" i="94" s="1"/>
  <c r="W114" i="94" s="1"/>
  <c r="W115" i="94" s="1"/>
  <c r="W116" i="94" s="1"/>
  <c r="W117" i="94" s="1"/>
  <c r="W118" i="94" s="1"/>
  <c r="W119" i="94" s="1"/>
  <c r="W120" i="94" s="1"/>
  <c r="W121" i="94" s="1"/>
  <c r="W122" i="94" s="1"/>
  <c r="W123" i="94" s="1"/>
  <c r="W124" i="94" s="1"/>
  <c r="W125" i="94" s="1"/>
  <c r="W126" i="94" s="1"/>
  <c r="W127" i="94" s="1"/>
  <c r="W128" i="94" s="1"/>
  <c r="W129" i="94" s="1"/>
  <c r="W130" i="94" s="1"/>
  <c r="W131" i="94" s="1"/>
  <c r="W132" i="94" s="1"/>
  <c r="W133" i="94" s="1"/>
  <c r="W134" i="94" s="1"/>
  <c r="W135" i="94" s="1"/>
  <c r="W136" i="94" s="1"/>
  <c r="W137" i="94" s="1"/>
  <c r="W138" i="94" s="1"/>
  <c r="W139" i="94" s="1"/>
  <c r="W140" i="94" s="1"/>
  <c r="W141" i="94" s="1"/>
  <c r="W142" i="94" s="1"/>
  <c r="W143" i="94" s="1"/>
  <c r="W144" i="94" s="1"/>
  <c r="W145" i="94" s="1"/>
  <c r="W146" i="94" s="1"/>
  <c r="W147" i="94" s="1"/>
  <c r="W148" i="94" s="1"/>
  <c r="W149" i="94" s="1"/>
  <c r="W150" i="94" s="1"/>
  <c r="W151" i="94" s="1"/>
  <c r="W152" i="94" s="1"/>
  <c r="W153" i="94" s="1"/>
  <c r="W154" i="94" s="1"/>
  <c r="W155" i="94" s="1"/>
  <c r="R102" i="94"/>
  <c r="R103" i="94" s="1"/>
  <c r="R95" i="94"/>
  <c r="R96" i="94" s="1"/>
  <c r="R97" i="94" s="1"/>
  <c r="R85" i="94"/>
  <c r="R86" i="94" s="1"/>
  <c r="R87" i="94" s="1"/>
  <c r="R88" i="94" s="1"/>
  <c r="R89" i="94" s="1"/>
  <c r="R90" i="94" s="1"/>
  <c r="R91" i="94" s="1"/>
  <c r="R92" i="94" s="1"/>
  <c r="R77" i="94"/>
  <c r="R78" i="94" s="1"/>
  <c r="R79" i="94" s="1"/>
  <c r="R80" i="94" s="1"/>
  <c r="R74" i="94"/>
  <c r="R68" i="94"/>
  <c r="R69" i="94" s="1"/>
  <c r="R70" i="94" s="1"/>
  <c r="R71" i="94" s="1"/>
  <c r="R67" i="94"/>
  <c r="W61" i="94"/>
  <c r="W62" i="94" s="1"/>
  <c r="W63" i="94" s="1"/>
  <c r="W64" i="94" s="1"/>
  <c r="W65" i="94" s="1"/>
  <c r="W66" i="94" s="1"/>
  <c r="W67" i="94" s="1"/>
  <c r="W68" i="94" s="1"/>
  <c r="W69" i="94" s="1"/>
  <c r="W70" i="94" s="1"/>
  <c r="W71" i="94" s="1"/>
  <c r="W72" i="94" s="1"/>
  <c r="W73" i="94" s="1"/>
  <c r="W74" i="94" s="1"/>
  <c r="W75" i="94" s="1"/>
  <c r="W76" i="94" s="1"/>
  <c r="W77" i="94" s="1"/>
  <c r="W78" i="94" s="1"/>
  <c r="W79" i="94" s="1"/>
  <c r="W80" i="94" s="1"/>
  <c r="W81" i="94" s="1"/>
  <c r="W82" i="94" s="1"/>
  <c r="W83" i="94" s="1"/>
  <c r="W84" i="94" s="1"/>
  <c r="W85" i="94" s="1"/>
  <c r="W86" i="94" s="1"/>
  <c r="W87" i="94" s="1"/>
  <c r="W88" i="94" s="1"/>
  <c r="W89" i="94" s="1"/>
  <c r="W90" i="94" s="1"/>
  <c r="W91" i="94" s="1"/>
  <c r="W92" i="94" s="1"/>
  <c r="W93" i="94" s="1"/>
  <c r="W94" i="94" s="1"/>
  <c r="W95" i="94" s="1"/>
  <c r="W96" i="94" s="1"/>
  <c r="W97" i="94" s="1"/>
  <c r="W98" i="94" s="1"/>
  <c r="W99" i="94" s="1"/>
  <c r="W100" i="94" s="1"/>
  <c r="W101" i="94" s="1"/>
  <c r="W102" i="94" s="1"/>
  <c r="W103" i="94" s="1"/>
  <c r="R59" i="94"/>
  <c r="R60" i="94" s="1"/>
  <c r="R61" i="94" s="1"/>
  <c r="R62" i="94" s="1"/>
  <c r="R63" i="94" s="1"/>
  <c r="R64" i="94" s="1"/>
  <c r="R55" i="94"/>
  <c r="R56" i="94" s="1"/>
  <c r="R54" i="94"/>
  <c r="R49" i="94"/>
  <c r="R50" i="94" s="1"/>
  <c r="R51" i="94" s="1"/>
  <c r="R48" i="94"/>
  <c r="W43" i="94"/>
  <c r="W44" i="94" s="1"/>
  <c r="W45" i="94" s="1"/>
  <c r="W46" i="94" s="1"/>
  <c r="W47" i="94" s="1"/>
  <c r="W48" i="94" s="1"/>
  <c r="W49" i="94" s="1"/>
  <c r="W50" i="94" s="1"/>
  <c r="W51" i="94" s="1"/>
  <c r="W52" i="94" s="1"/>
  <c r="W53" i="94" s="1"/>
  <c r="W54" i="94" s="1"/>
  <c r="W55" i="94" s="1"/>
  <c r="W56" i="94" s="1"/>
  <c r="W57" i="94" s="1"/>
  <c r="W58" i="94" s="1"/>
  <c r="L43" i="94"/>
  <c r="L44" i="94" s="1"/>
  <c r="L45" i="94" s="1"/>
  <c r="L46" i="94" s="1"/>
  <c r="L47" i="94" s="1"/>
  <c r="L48" i="94" s="1"/>
  <c r="L49" i="94" s="1"/>
  <c r="L50" i="94" s="1"/>
  <c r="L51" i="94" s="1"/>
  <c r="L52" i="94" s="1"/>
  <c r="L53" i="94" s="1"/>
  <c r="L54" i="94" s="1"/>
  <c r="L55" i="94" s="1"/>
  <c r="L56" i="94" s="1"/>
  <c r="L57" i="94" s="1"/>
  <c r="L58" i="94" s="1"/>
  <c r="L59" i="94" s="1"/>
  <c r="L60" i="94" s="1"/>
  <c r="L61" i="94" s="1"/>
  <c r="L62" i="94" s="1"/>
  <c r="L63" i="94" s="1"/>
  <c r="L64" i="94" s="1"/>
  <c r="L65" i="94" s="1"/>
  <c r="L66" i="94" s="1"/>
  <c r="L67" i="94" s="1"/>
  <c r="L68" i="94" s="1"/>
  <c r="L69" i="94" s="1"/>
  <c r="L70" i="94" s="1"/>
  <c r="L71" i="94" s="1"/>
  <c r="L72" i="94" s="1"/>
  <c r="R33" i="94"/>
  <c r="R34" i="94" s="1"/>
  <c r="R35" i="94" s="1"/>
  <c r="R36" i="94" s="1"/>
  <c r="R37" i="94" s="1"/>
  <c r="R38" i="94" s="1"/>
  <c r="R39" i="94" s="1"/>
  <c r="R40" i="94" s="1"/>
  <c r="R41" i="94" s="1"/>
  <c r="R42" i="94" s="1"/>
  <c r="R43" i="94" s="1"/>
  <c r="R44" i="94" s="1"/>
  <c r="R45" i="94" s="1"/>
  <c r="B27" i="94"/>
  <c r="E26" i="94"/>
  <c r="C26" i="94"/>
  <c r="R21" i="94"/>
  <c r="R22" i="94" s="1"/>
  <c r="R23" i="94" s="1"/>
  <c r="R24" i="94" s="1"/>
  <c r="R25" i="94" s="1"/>
  <c r="R26" i="94" s="1"/>
  <c r="R27" i="94" s="1"/>
  <c r="R28" i="94" s="1"/>
  <c r="R29" i="94" s="1"/>
  <c r="R30" i="94" s="1"/>
  <c r="W14" i="94"/>
  <c r="W15" i="94" s="1"/>
  <c r="W16" i="94" s="1"/>
  <c r="W17" i="94" s="1"/>
  <c r="W18" i="94" s="1"/>
  <c r="W19" i="94" s="1"/>
  <c r="W20" i="94" s="1"/>
  <c r="W21" i="94" s="1"/>
  <c r="W22" i="94" s="1"/>
  <c r="W23" i="94" s="1"/>
  <c r="W24" i="94" s="1"/>
  <c r="W25" i="94" s="1"/>
  <c r="W26" i="94" s="1"/>
  <c r="W27" i="94" s="1"/>
  <c r="W28" i="94" s="1"/>
  <c r="W29" i="94" s="1"/>
  <c r="W30" i="94" s="1"/>
  <c r="W31" i="94" s="1"/>
  <c r="W32" i="94" s="1"/>
  <c r="W33" i="94" s="1"/>
  <c r="W34" i="94" s="1"/>
  <c r="W35" i="94" s="1"/>
  <c r="W36" i="94" s="1"/>
  <c r="W37" i="94" s="1"/>
  <c r="W38" i="94" s="1"/>
  <c r="W39" i="94" s="1"/>
  <c r="W40" i="94" s="1"/>
  <c r="W13" i="94"/>
  <c r="R13" i="94"/>
  <c r="R14" i="94" s="1"/>
  <c r="R15" i="94" s="1"/>
  <c r="R16" i="94" s="1"/>
  <c r="R17" i="94" s="1"/>
  <c r="R18" i="94" s="1"/>
  <c r="L11" i="94"/>
  <c r="L12" i="94" s="1"/>
  <c r="L13" i="94" s="1"/>
  <c r="L14" i="94" s="1"/>
  <c r="L15" i="94" s="1"/>
  <c r="L16" i="94" s="1"/>
  <c r="L17" i="94" s="1"/>
  <c r="L18" i="94" s="1"/>
  <c r="L19" i="94" s="1"/>
  <c r="L20" i="94" s="1"/>
  <c r="L21" i="94" s="1"/>
  <c r="L22" i="94" s="1"/>
  <c r="L23" i="94" s="1"/>
  <c r="L24" i="94" s="1"/>
  <c r="L25" i="94" s="1"/>
  <c r="L26" i="94" s="1"/>
  <c r="L27" i="94" s="1"/>
  <c r="L28" i="94" s="1"/>
  <c r="L29" i="94" s="1"/>
  <c r="L30" i="94" s="1"/>
  <c r="L31" i="94" s="1"/>
  <c r="L32" i="94" s="1"/>
  <c r="L33" i="94" s="1"/>
  <c r="L34" i="94" s="1"/>
  <c r="L35" i="94" s="1"/>
  <c r="L36" i="94" s="1"/>
  <c r="L37" i="94" s="1"/>
  <c r="L38" i="94" s="1"/>
  <c r="L39" i="94" s="1"/>
  <c r="L40" i="94" s="1"/>
  <c r="AG7" i="94"/>
  <c r="J7" i="94"/>
  <c r="AG6" i="94"/>
  <c r="AD2" i="94"/>
  <c r="AC2" i="94"/>
  <c r="AB2" i="94"/>
  <c r="AA2" i="94"/>
  <c r="Z2" i="94"/>
  <c r="Y2" i="94"/>
  <c r="X2" i="94"/>
  <c r="W2" i="94"/>
  <c r="U2" i="94"/>
  <c r="T2" i="94"/>
  <c r="S2" i="94"/>
  <c r="R2" i="94"/>
  <c r="P2" i="94"/>
  <c r="O2" i="94"/>
  <c r="N2" i="94"/>
  <c r="M2" i="94"/>
  <c r="L2" i="94"/>
  <c r="J2" i="94"/>
  <c r="I2" i="94"/>
  <c r="H2" i="94"/>
  <c r="G2" i="94"/>
  <c r="E2" i="94"/>
  <c r="D2" i="94"/>
  <c r="C2" i="94"/>
  <c r="B2" i="94"/>
  <c r="AH1" i="94"/>
  <c r="AG1" i="94"/>
  <c r="AD1" i="94"/>
  <c r="AC1" i="94"/>
  <c r="AB1" i="94"/>
  <c r="AA1" i="94"/>
  <c r="Z1" i="94"/>
  <c r="Y1" i="94"/>
  <c r="X1" i="94"/>
  <c r="W1" i="94"/>
  <c r="U1" i="94"/>
  <c r="T1" i="94"/>
  <c r="S1" i="94"/>
  <c r="R1" i="94"/>
  <c r="P1" i="94"/>
  <c r="O1" i="94"/>
  <c r="N1" i="94"/>
  <c r="M1" i="94"/>
  <c r="L1" i="94"/>
  <c r="J1" i="94"/>
  <c r="I1" i="94"/>
  <c r="H1" i="94"/>
  <c r="G1" i="94"/>
  <c r="E1" i="94"/>
  <c r="D1" i="94"/>
  <c r="C1" i="94"/>
  <c r="B1" i="94"/>
  <c r="A1" i="94"/>
  <c r="AH3" i="94" s="1"/>
  <c r="AH469" i="93"/>
  <c r="AF469" i="93"/>
  <c r="N148" i="93"/>
  <c r="N146" i="93"/>
  <c r="N138" i="93"/>
  <c r="N139" i="93" s="1"/>
  <c r="N140" i="93" s="1"/>
  <c r="N141" i="93" s="1"/>
  <c r="N142" i="93" s="1"/>
  <c r="N143" i="93" s="1"/>
  <c r="N144" i="93" s="1"/>
  <c r="N128" i="93"/>
  <c r="N129" i="93" s="1"/>
  <c r="N130" i="93" s="1"/>
  <c r="N131" i="93" s="1"/>
  <c r="N132" i="93" s="1"/>
  <c r="N133" i="93" s="1"/>
  <c r="N134" i="93" s="1"/>
  <c r="N135" i="93" s="1"/>
  <c r="N136" i="93" s="1"/>
  <c r="N121" i="93"/>
  <c r="N122" i="93" s="1"/>
  <c r="N123" i="93" s="1"/>
  <c r="N124" i="93" s="1"/>
  <c r="N125" i="93" s="1"/>
  <c r="N117" i="93"/>
  <c r="N118" i="93" s="1"/>
  <c r="N112" i="93"/>
  <c r="N105" i="93"/>
  <c r="N103" i="93"/>
  <c r="N101" i="93"/>
  <c r="N98" i="93"/>
  <c r="N80" i="93"/>
  <c r="N81" i="93" s="1"/>
  <c r="N82" i="93" s="1"/>
  <c r="N83" i="93" s="1"/>
  <c r="N84" i="93" s="1"/>
  <c r="N85" i="93" s="1"/>
  <c r="N86" i="93" s="1"/>
  <c r="N87" i="93" s="1"/>
  <c r="N88" i="93" s="1"/>
  <c r="N89" i="93" s="1"/>
  <c r="N90" i="93" s="1"/>
  <c r="N91" i="93" s="1"/>
  <c r="N92" i="93" s="1"/>
  <c r="N93" i="93" s="1"/>
  <c r="N94" i="93" s="1"/>
  <c r="N95" i="93" s="1"/>
  <c r="N79" i="93"/>
  <c r="B75" i="93"/>
  <c r="B76" i="93" s="1"/>
  <c r="B77" i="93" s="1"/>
  <c r="B70" i="93"/>
  <c r="B71" i="93" s="1"/>
  <c r="B72" i="93" s="1"/>
  <c r="B65" i="93"/>
  <c r="B66" i="93" s="1"/>
  <c r="B67" i="93" s="1"/>
  <c r="B64" i="93"/>
  <c r="N61" i="93"/>
  <c r="N62" i="93" s="1"/>
  <c r="N63" i="93" s="1"/>
  <c r="N64" i="93" s="1"/>
  <c r="N65" i="93" s="1"/>
  <c r="N66" i="93" s="1"/>
  <c r="N67" i="93" s="1"/>
  <c r="N68" i="93" s="1"/>
  <c r="N69" i="93" s="1"/>
  <c r="N70" i="93" s="1"/>
  <c r="N71" i="93" s="1"/>
  <c r="N72" i="93" s="1"/>
  <c r="N73" i="93" s="1"/>
  <c r="N74" i="93" s="1"/>
  <c r="N75" i="93" s="1"/>
  <c r="N76" i="93" s="1"/>
  <c r="B61" i="93"/>
  <c r="B59" i="93"/>
  <c r="B57" i="93"/>
  <c r="B55" i="93"/>
  <c r="N49" i="93"/>
  <c r="N50" i="93" s="1"/>
  <c r="N51" i="93" s="1"/>
  <c r="N52" i="93" s="1"/>
  <c r="N53" i="93" s="1"/>
  <c r="N54" i="93" s="1"/>
  <c r="N55" i="93" s="1"/>
  <c r="N56" i="93" s="1"/>
  <c r="N57" i="93" s="1"/>
  <c r="N58" i="93" s="1"/>
  <c r="B49" i="93"/>
  <c r="B44" i="93"/>
  <c r="B41" i="93"/>
  <c r="B38" i="93"/>
  <c r="B37" i="93"/>
  <c r="B30" i="93"/>
  <c r="B31" i="93" s="1"/>
  <c r="B32" i="93" s="1"/>
  <c r="B33" i="93" s="1"/>
  <c r="B34" i="93" s="1"/>
  <c r="V27" i="93"/>
  <c r="Y26" i="93"/>
  <c r="W26" i="93"/>
  <c r="B17" i="93"/>
  <c r="B18" i="93" s="1"/>
  <c r="B19" i="93" s="1"/>
  <c r="B20" i="93" s="1"/>
  <c r="B21" i="93" s="1"/>
  <c r="B22" i="93" s="1"/>
  <c r="B23" i="93" s="1"/>
  <c r="B24" i="93" s="1"/>
  <c r="B25" i="93" s="1"/>
  <c r="B13" i="93"/>
  <c r="B11" i="93"/>
  <c r="N9" i="93"/>
  <c r="N10" i="93" s="1"/>
  <c r="N11" i="93" s="1"/>
  <c r="N12" i="93" s="1"/>
  <c r="N13" i="93" s="1"/>
  <c r="N14" i="93" s="1"/>
  <c r="N15" i="93" s="1"/>
  <c r="N16" i="93" s="1"/>
  <c r="N17" i="93" s="1"/>
  <c r="N18" i="93" s="1"/>
  <c r="N19" i="93" s="1"/>
  <c r="N20" i="93" s="1"/>
  <c r="N21" i="93" s="1"/>
  <c r="N22" i="93" s="1"/>
  <c r="N23" i="93" s="1"/>
  <c r="N24" i="93" s="1"/>
  <c r="N25" i="93" s="1"/>
  <c r="N26" i="93" s="1"/>
  <c r="N27" i="93" s="1"/>
  <c r="N28" i="93" s="1"/>
  <c r="N29" i="93" s="1"/>
  <c r="N30" i="93" s="1"/>
  <c r="N31" i="93" s="1"/>
  <c r="N32" i="93" s="1"/>
  <c r="N33" i="93" s="1"/>
  <c r="N34" i="93" s="1"/>
  <c r="N35" i="93" s="1"/>
  <c r="N36" i="93" s="1"/>
  <c r="N37" i="93" s="1"/>
  <c r="N38" i="93" s="1"/>
  <c r="N39" i="93" s="1"/>
  <c r="N40" i="93" s="1"/>
  <c r="N41" i="93" s="1"/>
  <c r="N42" i="93" s="1"/>
  <c r="N43" i="93" s="1"/>
  <c r="N44" i="93" s="1"/>
  <c r="N45" i="93" s="1"/>
  <c r="N46" i="93" s="1"/>
  <c r="AG7" i="93"/>
  <c r="AD7" i="93"/>
  <c r="AG6" i="93"/>
  <c r="AH3" i="93"/>
  <c r="AD2" i="93"/>
  <c r="AC2" i="93"/>
  <c r="AB2" i="93"/>
  <c r="AA2" i="93"/>
  <c r="Y2" i="93"/>
  <c r="X2" i="93"/>
  <c r="W2" i="93"/>
  <c r="V2" i="93"/>
  <c r="T2" i="93"/>
  <c r="S2" i="93"/>
  <c r="R2" i="93"/>
  <c r="Q2" i="93"/>
  <c r="P2" i="93"/>
  <c r="O2" i="93"/>
  <c r="N2" i="93"/>
  <c r="L2" i="93"/>
  <c r="K2" i="93"/>
  <c r="J2" i="93"/>
  <c r="H2" i="93"/>
  <c r="G2" i="93"/>
  <c r="F2" i="93"/>
  <c r="E2" i="93"/>
  <c r="D2" i="93"/>
  <c r="C2" i="93"/>
  <c r="B2" i="93"/>
  <c r="AH1" i="93"/>
  <c r="AG1" i="93"/>
  <c r="AD1" i="93"/>
  <c r="AC1" i="93"/>
  <c r="AB1" i="93"/>
  <c r="AA1" i="93"/>
  <c r="Y1" i="93"/>
  <c r="X1" i="93"/>
  <c r="W1" i="93"/>
  <c r="V1" i="93"/>
  <c r="T1" i="93"/>
  <c r="S1" i="93"/>
  <c r="R1" i="93"/>
  <c r="Q1" i="93"/>
  <c r="P1" i="93"/>
  <c r="O1" i="93"/>
  <c r="N1" i="93"/>
  <c r="L1" i="93"/>
  <c r="K1" i="93"/>
  <c r="J1" i="93"/>
  <c r="H1" i="93"/>
  <c r="G1" i="93"/>
  <c r="F1" i="93"/>
  <c r="E1" i="93"/>
  <c r="D1" i="93"/>
  <c r="C1" i="93"/>
  <c r="B1" i="93"/>
  <c r="A1" i="93"/>
  <c r="G4" i="92"/>
  <c r="A89" i="91"/>
  <c r="A88" i="91"/>
  <c r="A87" i="91"/>
  <c r="A85" i="91"/>
  <c r="A84" i="91"/>
  <c r="A82" i="91"/>
  <c r="A81" i="91"/>
  <c r="A80" i="91"/>
  <c r="A78" i="91"/>
  <c r="A77" i="91"/>
  <c r="A75" i="91"/>
  <c r="A74" i="91"/>
  <c r="A73" i="91"/>
  <c r="A71" i="91"/>
  <c r="A70" i="91"/>
  <c r="A64" i="91"/>
  <c r="H4" i="91"/>
  <c r="AA497" i="90"/>
  <c r="I489" i="90"/>
  <c r="I490" i="90" s="1"/>
  <c r="H489" i="90"/>
  <c r="H490" i="90" s="1"/>
  <c r="G489" i="90"/>
  <c r="G490" i="90" s="1"/>
  <c r="F489" i="90"/>
  <c r="F490" i="90" s="1"/>
  <c r="J490" i="90" s="1"/>
  <c r="J486" i="90"/>
  <c r="B482" i="90"/>
  <c r="J43" i="90" s="1"/>
  <c r="A482" i="90"/>
  <c r="C469" i="90"/>
  <c r="B469" i="90"/>
  <c r="C467" i="90" s="1"/>
  <c r="C468" i="90"/>
  <c r="I468" i="90" s="1"/>
  <c r="H468" i="90" s="1"/>
  <c r="B468" i="90" s="1"/>
  <c r="C466" i="90"/>
  <c r="I465" i="90"/>
  <c r="H465" i="90" s="1"/>
  <c r="B465" i="90" s="1"/>
  <c r="C465" i="90"/>
  <c r="D465" i="90" s="1"/>
  <c r="C464" i="90"/>
  <c r="I464" i="90" s="1"/>
  <c r="H464" i="90" s="1"/>
  <c r="B464" i="90" s="1"/>
  <c r="B449" i="90"/>
  <c r="A449" i="90"/>
  <c r="K443" i="90"/>
  <c r="K441" i="90"/>
  <c r="K439" i="90"/>
  <c r="G437" i="90"/>
  <c r="F437" i="90"/>
  <c r="E437" i="90"/>
  <c r="D437" i="90"/>
  <c r="C437" i="90"/>
  <c r="K435" i="90"/>
  <c r="K434" i="90"/>
  <c r="K433" i="90"/>
  <c r="K432" i="90"/>
  <c r="K431" i="90"/>
  <c r="K427" i="90"/>
  <c r="I424" i="90"/>
  <c r="F424" i="90"/>
  <c r="B422" i="90"/>
  <c r="B419" i="90"/>
  <c r="A419" i="90"/>
  <c r="F415" i="90"/>
  <c r="E414" i="90"/>
  <c r="F412" i="90"/>
  <c r="G412" i="90" s="1"/>
  <c r="J412" i="90" s="1"/>
  <c r="F406" i="90"/>
  <c r="F413" i="90" s="1"/>
  <c r="G413" i="90" s="1"/>
  <c r="J413" i="90" s="1"/>
  <c r="B405" i="90"/>
  <c r="A405" i="90"/>
  <c r="K396" i="90"/>
  <c r="G396" i="90"/>
  <c r="B396" i="90"/>
  <c r="K395" i="90"/>
  <c r="M395" i="90" s="1"/>
  <c r="G395" i="90"/>
  <c r="J395" i="90" s="1"/>
  <c r="M393" i="90"/>
  <c r="I393" i="90"/>
  <c r="D393" i="90"/>
  <c r="B395" i="90" s="1"/>
  <c r="N392" i="90"/>
  <c r="J392" i="90"/>
  <c r="B385" i="90"/>
  <c r="A385" i="90"/>
  <c r="B384" i="90"/>
  <c r="B380" i="90"/>
  <c r="F375" i="90"/>
  <c r="B358" i="90"/>
  <c r="J25" i="90" s="1"/>
  <c r="A358" i="90"/>
  <c r="B357" i="90"/>
  <c r="C353" i="90"/>
  <c r="N347" i="90"/>
  <c r="I349" i="90" s="1"/>
  <c r="I352" i="90" s="1"/>
  <c r="E346" i="90"/>
  <c r="E353" i="90" s="1"/>
  <c r="H345" i="90"/>
  <c r="G345" i="90"/>
  <c r="B345" i="90"/>
  <c r="A345" i="90"/>
  <c r="C339" i="90"/>
  <c r="K332" i="90"/>
  <c r="J332" i="90"/>
  <c r="I332" i="90"/>
  <c r="H332" i="90"/>
  <c r="G332" i="90"/>
  <c r="M331" i="90"/>
  <c r="K331" i="90"/>
  <c r="J331" i="90"/>
  <c r="I331" i="90"/>
  <c r="H331" i="90"/>
  <c r="G331" i="90"/>
  <c r="L331" i="90" s="1"/>
  <c r="K329" i="90"/>
  <c r="J329" i="90"/>
  <c r="I329" i="90"/>
  <c r="H329" i="90"/>
  <c r="G329" i="90"/>
  <c r="M328" i="90"/>
  <c r="K328" i="90"/>
  <c r="J328" i="90"/>
  <c r="I328" i="90"/>
  <c r="H328" i="90"/>
  <c r="G328" i="90"/>
  <c r="L328" i="90" s="1"/>
  <c r="L327" i="90"/>
  <c r="K321" i="90"/>
  <c r="J321" i="90"/>
  <c r="I321" i="90"/>
  <c r="H321" i="90"/>
  <c r="G321" i="90"/>
  <c r="L320" i="90"/>
  <c r="B308" i="90"/>
  <c r="C46" i="90" s="1"/>
  <c r="A308" i="90"/>
  <c r="C302" i="90"/>
  <c r="K295" i="90"/>
  <c r="J295" i="90"/>
  <c r="I295" i="90"/>
  <c r="H295" i="90"/>
  <c r="G295" i="90"/>
  <c r="M294" i="90"/>
  <c r="K294" i="90"/>
  <c r="J294" i="90"/>
  <c r="I294" i="90"/>
  <c r="K292" i="90"/>
  <c r="J292" i="90"/>
  <c r="I292" i="90"/>
  <c r="H292" i="90"/>
  <c r="G292" i="90"/>
  <c r="M291" i="90"/>
  <c r="K291" i="90"/>
  <c r="J291" i="90"/>
  <c r="I291" i="90"/>
  <c r="H291" i="90"/>
  <c r="H294" i="90" s="1"/>
  <c r="G291" i="90"/>
  <c r="G294" i="90" s="1"/>
  <c r="L294" i="90" s="1"/>
  <c r="L290" i="90"/>
  <c r="L289" i="90"/>
  <c r="B278" i="90"/>
  <c r="A278" i="90"/>
  <c r="Q271" i="90"/>
  <c r="Q270" i="90"/>
  <c r="D268" i="90"/>
  <c r="D267" i="90"/>
  <c r="D266" i="90"/>
  <c r="D265" i="90"/>
  <c r="Q264" i="90"/>
  <c r="D264" i="90"/>
  <c r="Q263" i="90"/>
  <c r="D263" i="90"/>
  <c r="D262" i="90"/>
  <c r="D261" i="90"/>
  <c r="D260" i="90"/>
  <c r="D259" i="90"/>
  <c r="D258" i="90"/>
  <c r="D257" i="90"/>
  <c r="Q255" i="90"/>
  <c r="Q254" i="90"/>
  <c r="D254" i="90"/>
  <c r="M250" i="90"/>
  <c r="J22" i="90" s="1"/>
  <c r="B250" i="90"/>
  <c r="A250" i="90"/>
  <c r="H246" i="90"/>
  <c r="G246" i="90"/>
  <c r="E246" i="90"/>
  <c r="J246" i="90" s="1"/>
  <c r="B241" i="90"/>
  <c r="C37" i="90" s="1"/>
  <c r="A241" i="90"/>
  <c r="T240" i="90"/>
  <c r="R240" i="90"/>
  <c r="Q240" i="90"/>
  <c r="S240" i="90" s="1"/>
  <c r="T239" i="90"/>
  <c r="S239" i="90"/>
  <c r="U239" i="90" s="1"/>
  <c r="Z236" i="90"/>
  <c r="N233" i="90"/>
  <c r="J19" i="90" s="1"/>
  <c r="M233" i="90"/>
  <c r="E233" i="90"/>
  <c r="B233" i="90"/>
  <c r="D233" i="90" s="1"/>
  <c r="P229" i="90"/>
  <c r="O229" i="90"/>
  <c r="R229" i="90" s="1"/>
  <c r="N229" i="90"/>
  <c r="N221" i="90"/>
  <c r="J16" i="90" s="1"/>
  <c r="M221" i="90"/>
  <c r="B221" i="90"/>
  <c r="C34" i="90" s="1"/>
  <c r="A221" i="90"/>
  <c r="D212" i="90"/>
  <c r="C210" i="90"/>
  <c r="D209" i="90"/>
  <c r="C207" i="90"/>
  <c r="D213" i="90" s="1"/>
  <c r="E206" i="90"/>
  <c r="D208" i="90" s="1"/>
  <c r="R205" i="90"/>
  <c r="N205" i="90"/>
  <c r="K205" i="90"/>
  <c r="N204" i="90" s="1"/>
  <c r="R204" i="90"/>
  <c r="S204" i="90" s="1"/>
  <c r="O204" i="90"/>
  <c r="Q203" i="90"/>
  <c r="M203" i="90"/>
  <c r="R202" i="90"/>
  <c r="H202" i="90"/>
  <c r="G202" i="90"/>
  <c r="B202" i="90"/>
  <c r="A202" i="90"/>
  <c r="C193" i="90"/>
  <c r="D192" i="90"/>
  <c r="C191" i="90"/>
  <c r="D195" i="90" s="1"/>
  <c r="K190" i="90"/>
  <c r="N189" i="90" s="1"/>
  <c r="E190" i="90"/>
  <c r="Q188" i="90"/>
  <c r="M188" i="90"/>
  <c r="R189" i="90" s="1"/>
  <c r="S189" i="90" s="1"/>
  <c r="R187" i="90"/>
  <c r="H187" i="90"/>
  <c r="G187" i="90"/>
  <c r="B187" i="90"/>
  <c r="C28" i="90" s="1"/>
  <c r="A187" i="90"/>
  <c r="C182" i="90"/>
  <c r="H177" i="90"/>
  <c r="J177" i="90" s="1"/>
  <c r="G177" i="90"/>
  <c r="J176" i="90"/>
  <c r="G176" i="90"/>
  <c r="F176" i="90"/>
  <c r="F174" i="90"/>
  <c r="J172" i="90"/>
  <c r="B172" i="90"/>
  <c r="C25" i="90" s="1"/>
  <c r="A172" i="90"/>
  <c r="C168" i="90"/>
  <c r="J163" i="90"/>
  <c r="I163" i="90"/>
  <c r="K163" i="90" s="1"/>
  <c r="G163" i="90"/>
  <c r="F163" i="90"/>
  <c r="G161" i="90"/>
  <c r="K159" i="90"/>
  <c r="B159" i="90"/>
  <c r="C22" i="90" s="1"/>
  <c r="A159" i="90"/>
  <c r="H152" i="90"/>
  <c r="H151" i="90"/>
  <c r="H150" i="90"/>
  <c r="I147" i="90"/>
  <c r="H147" i="90" s="1"/>
  <c r="H153" i="90" s="1"/>
  <c r="G147" i="90"/>
  <c r="F147" i="90"/>
  <c r="F146" i="90"/>
  <c r="F144" i="90"/>
  <c r="E144" i="90"/>
  <c r="D144" i="90"/>
  <c r="C144" i="90"/>
  <c r="F143" i="90"/>
  <c r="E143" i="90"/>
  <c r="K142" i="90"/>
  <c r="I142" i="90"/>
  <c r="B138" i="90"/>
  <c r="C19" i="90" s="1"/>
  <c r="A138" i="90"/>
  <c r="B123" i="90"/>
  <c r="A123" i="90"/>
  <c r="M117" i="90"/>
  <c r="L117" i="90"/>
  <c r="O116" i="90"/>
  <c r="P116" i="90" s="1"/>
  <c r="M116" i="90"/>
  <c r="L116" i="90"/>
  <c r="M115" i="90"/>
  <c r="L115" i="90"/>
  <c r="O113" i="90"/>
  <c r="P113" i="90" s="1"/>
  <c r="M113" i="90"/>
  <c r="L113" i="90"/>
  <c r="M112" i="90"/>
  <c r="L112" i="90"/>
  <c r="O111" i="90"/>
  <c r="P111" i="90" s="1"/>
  <c r="M111" i="90"/>
  <c r="L111" i="90"/>
  <c r="M110" i="90"/>
  <c r="L110" i="90"/>
  <c r="L108" i="90"/>
  <c r="B103" i="90"/>
  <c r="C13" i="90" s="1"/>
  <c r="A103" i="90"/>
  <c r="B73" i="90"/>
  <c r="C10" i="90" s="1"/>
  <c r="A72" i="90"/>
  <c r="J56" i="90"/>
  <c r="J7" i="90" s="1"/>
  <c r="B56" i="90"/>
  <c r="I55" i="90"/>
  <c r="A55" i="90"/>
  <c r="C49" i="90"/>
  <c r="C43" i="90"/>
  <c r="J40" i="90"/>
  <c r="C40" i="90"/>
  <c r="J37" i="90"/>
  <c r="J34" i="90"/>
  <c r="J31" i="90"/>
  <c r="C31" i="90"/>
  <c r="J28" i="90"/>
  <c r="C16" i="90"/>
  <c r="J13" i="90"/>
  <c r="J10" i="90"/>
  <c r="C7" i="90"/>
  <c r="Q6" i="90"/>
  <c r="U4" i="90"/>
  <c r="A4" i="90"/>
  <c r="Q2" i="90"/>
  <c r="P2" i="90"/>
  <c r="O2" i="90"/>
  <c r="N2" i="90"/>
  <c r="M2" i="90"/>
  <c r="L2" i="90"/>
  <c r="K2" i="90"/>
  <c r="J2" i="90"/>
  <c r="I2" i="90"/>
  <c r="H2" i="90"/>
  <c r="G2" i="90"/>
  <c r="F2" i="90"/>
  <c r="E2" i="90"/>
  <c r="D2" i="90"/>
  <c r="C2" i="90"/>
  <c r="B2" i="90"/>
  <c r="A2" i="90"/>
  <c r="Q1" i="90"/>
  <c r="P1" i="90"/>
  <c r="O1" i="90"/>
  <c r="N1" i="90"/>
  <c r="M1" i="90"/>
  <c r="L1" i="90"/>
  <c r="K1" i="90"/>
  <c r="J1" i="90"/>
  <c r="I1" i="90"/>
  <c r="H1" i="90"/>
  <c r="G1" i="90"/>
  <c r="F1" i="90"/>
  <c r="E1" i="90"/>
  <c r="D1" i="90"/>
  <c r="C1" i="90"/>
  <c r="B1" i="90"/>
  <c r="A1" i="90"/>
  <c r="S165" i="89"/>
  <c r="A136" i="89"/>
  <c r="N127" i="89"/>
  <c r="P127" i="89" s="1"/>
  <c r="N126" i="89"/>
  <c r="P126" i="89" s="1"/>
  <c r="F126" i="89"/>
  <c r="N125" i="89"/>
  <c r="P125" i="89" s="1"/>
  <c r="N124" i="89"/>
  <c r="P124" i="89" s="1"/>
  <c r="F124" i="89"/>
  <c r="E124" i="89"/>
  <c r="P123" i="89"/>
  <c r="N123" i="89"/>
  <c r="N122" i="89"/>
  <c r="P122" i="89" s="1"/>
  <c r="F122" i="89"/>
  <c r="F128" i="89" s="1"/>
  <c r="E122" i="89"/>
  <c r="E128" i="89" s="1"/>
  <c r="N121" i="89"/>
  <c r="P121" i="89" s="1"/>
  <c r="N120" i="89"/>
  <c r="P120" i="89" s="1"/>
  <c r="N119" i="89"/>
  <c r="P119" i="89" s="1"/>
  <c r="F119" i="89"/>
  <c r="N118" i="89"/>
  <c r="P118" i="89" s="1"/>
  <c r="J117" i="89"/>
  <c r="P114" i="89" s="1"/>
  <c r="F116" i="89"/>
  <c r="K114" i="89"/>
  <c r="F114" i="89"/>
  <c r="E126" i="89" s="1"/>
  <c r="J111" i="89"/>
  <c r="J82" i="89" s="1"/>
  <c r="I111" i="89"/>
  <c r="B111" i="89"/>
  <c r="A111" i="89"/>
  <c r="C82" i="89"/>
  <c r="A78" i="89"/>
  <c r="B76" i="89"/>
  <c r="C76" i="89" s="1"/>
  <c r="C73" i="89"/>
  <c r="B73" i="89"/>
  <c r="K69" i="89"/>
  <c r="L69" i="89" s="1"/>
  <c r="L66" i="89"/>
  <c r="C65" i="89"/>
  <c r="C66" i="89" s="1"/>
  <c r="C64" i="89"/>
  <c r="K61" i="89"/>
  <c r="B61" i="89"/>
  <c r="C19" i="89" s="1"/>
  <c r="J60" i="89"/>
  <c r="A60" i="89"/>
  <c r="C57" i="89"/>
  <c r="L56" i="89"/>
  <c r="L57" i="89" s="1"/>
  <c r="C56" i="89"/>
  <c r="K53" i="89"/>
  <c r="B53" i="89"/>
  <c r="J52" i="89"/>
  <c r="A52" i="89"/>
  <c r="N46" i="89"/>
  <c r="E46" i="89"/>
  <c r="C46" i="89"/>
  <c r="P45" i="89"/>
  <c r="P46" i="89" s="1"/>
  <c r="N45" i="89"/>
  <c r="L45" i="89"/>
  <c r="L46" i="89" s="1"/>
  <c r="G45" i="89"/>
  <c r="G46" i="89" s="1"/>
  <c r="E45" i="89"/>
  <c r="C45" i="89"/>
  <c r="P42" i="89"/>
  <c r="G42" i="89"/>
  <c r="P41" i="89"/>
  <c r="N41" i="89"/>
  <c r="N42" i="89" s="1"/>
  <c r="L41" i="89"/>
  <c r="L42" i="89" s="1"/>
  <c r="G41" i="89"/>
  <c r="E41" i="89"/>
  <c r="E42" i="89" s="1"/>
  <c r="C41" i="89"/>
  <c r="C42" i="89" s="1"/>
  <c r="K38" i="89"/>
  <c r="J13" i="89" s="1"/>
  <c r="J38" i="89"/>
  <c r="B38" i="89"/>
  <c r="C13" i="89" s="1"/>
  <c r="A38" i="89"/>
  <c r="G32" i="89"/>
  <c r="J31" i="89"/>
  <c r="J32" i="89" s="1"/>
  <c r="G31" i="89"/>
  <c r="D31" i="89"/>
  <c r="D32" i="89" s="1"/>
  <c r="J27" i="89"/>
  <c r="G27" i="89"/>
  <c r="D27" i="89"/>
  <c r="J26" i="89"/>
  <c r="G26" i="89"/>
  <c r="D26" i="89"/>
  <c r="B23" i="89"/>
  <c r="C10" i="89" s="1"/>
  <c r="A23" i="89"/>
  <c r="J19" i="89"/>
  <c r="J16" i="89"/>
  <c r="C16" i="89"/>
  <c r="Q8" i="89"/>
  <c r="Q5" i="89"/>
  <c r="A4" i="89"/>
  <c r="Q2" i="89"/>
  <c r="P2" i="89"/>
  <c r="O2" i="89"/>
  <c r="N2" i="89"/>
  <c r="M2" i="89"/>
  <c r="L2" i="89"/>
  <c r="K2" i="89"/>
  <c r="J2" i="89"/>
  <c r="I2" i="89"/>
  <c r="H2" i="89"/>
  <c r="G2" i="89"/>
  <c r="F2" i="89"/>
  <c r="E2" i="89"/>
  <c r="D2" i="89"/>
  <c r="C2" i="89"/>
  <c r="B2" i="89"/>
  <c r="A2" i="89"/>
  <c r="Q1" i="89"/>
  <c r="P1" i="89"/>
  <c r="O1" i="89"/>
  <c r="N1" i="89"/>
  <c r="M1" i="89"/>
  <c r="L1" i="89"/>
  <c r="K1" i="89"/>
  <c r="J1" i="89"/>
  <c r="I1" i="89"/>
  <c r="H1" i="89"/>
  <c r="G1" i="89"/>
  <c r="F1" i="89"/>
  <c r="E1" i="89"/>
  <c r="D1" i="89"/>
  <c r="C1" i="89"/>
  <c r="B1" i="89"/>
  <c r="A1" i="89"/>
  <c r="AS408" i="88"/>
  <c r="AQ408" i="88"/>
  <c r="AO406" i="88"/>
  <c r="AN406" i="88"/>
  <c r="AM406" i="88"/>
  <c r="AL406" i="88"/>
  <c r="AK406" i="88"/>
  <c r="AJ406" i="88"/>
  <c r="AH406" i="88"/>
  <c r="AG406" i="88"/>
  <c r="AF406" i="88"/>
  <c r="AE406" i="88"/>
  <c r="AD406" i="88"/>
  <c r="AC406" i="88"/>
  <c r="AA406" i="88"/>
  <c r="Z406" i="88"/>
  <c r="Y406" i="88"/>
  <c r="X406" i="88"/>
  <c r="W406" i="88"/>
  <c r="V406" i="88"/>
  <c r="Q12" i="88"/>
  <c r="AR7" i="88"/>
  <c r="AR6" i="88"/>
  <c r="AS3" i="88"/>
  <c r="AO2" i="88"/>
  <c r="AN2" i="88"/>
  <c r="AM2" i="88"/>
  <c r="AL2" i="88"/>
  <c r="AK2" i="88"/>
  <c r="AJ2" i="88"/>
  <c r="AH2" i="88"/>
  <c r="AG2" i="88"/>
  <c r="AF2" i="88"/>
  <c r="AE2" i="88"/>
  <c r="AD2" i="88"/>
  <c r="AC2" i="88"/>
  <c r="Z2" i="88"/>
  <c r="Y2" i="88"/>
  <c r="X2" i="88"/>
  <c r="W2" i="88"/>
  <c r="V2" i="88"/>
  <c r="T2" i="88"/>
  <c r="S2" i="88"/>
  <c r="R2" i="88"/>
  <c r="Q2" i="88"/>
  <c r="P2" i="88"/>
  <c r="O2" i="88"/>
  <c r="N2" i="88"/>
  <c r="M2" i="88"/>
  <c r="L2" i="88"/>
  <c r="K2" i="88"/>
  <c r="I2" i="88"/>
  <c r="H2" i="88"/>
  <c r="F2" i="88"/>
  <c r="E2" i="88"/>
  <c r="C2" i="88"/>
  <c r="B2" i="88"/>
  <c r="AS1" i="88"/>
  <c r="AR1" i="88"/>
  <c r="AO1" i="88"/>
  <c r="AN1" i="88"/>
  <c r="AM1" i="88"/>
  <c r="AL1" i="88"/>
  <c r="AK1" i="88"/>
  <c r="AJ1" i="88"/>
  <c r="AH1" i="88"/>
  <c r="AG1" i="88"/>
  <c r="AF1" i="88"/>
  <c r="AE1" i="88"/>
  <c r="AD1" i="88"/>
  <c r="AC1" i="88"/>
  <c r="Z1" i="88"/>
  <c r="Y1" i="88"/>
  <c r="X1" i="88"/>
  <c r="W1" i="88"/>
  <c r="V1" i="88"/>
  <c r="T1" i="88"/>
  <c r="S1" i="88"/>
  <c r="R1" i="88"/>
  <c r="Q1" i="88"/>
  <c r="P1" i="88"/>
  <c r="O1" i="88"/>
  <c r="N1" i="88"/>
  <c r="M1" i="88"/>
  <c r="L1" i="88"/>
  <c r="K1" i="88"/>
  <c r="I1" i="88"/>
  <c r="H1" i="88"/>
  <c r="F1" i="88"/>
  <c r="E1" i="88"/>
  <c r="C1" i="88"/>
  <c r="B1" i="88"/>
  <c r="A1" i="88"/>
  <c r="BD244" i="87"/>
  <c r="H242" i="87"/>
  <c r="G242" i="87"/>
  <c r="F242" i="87"/>
  <c r="E242" i="87"/>
  <c r="D242" i="87"/>
  <c r="C242" i="87"/>
  <c r="T240" i="87"/>
  <c r="S240" i="87"/>
  <c r="R240" i="87"/>
  <c r="Q240" i="87"/>
  <c r="P240" i="87"/>
  <c r="O240" i="87"/>
  <c r="N240" i="87"/>
  <c r="G239" i="87"/>
  <c r="H239" i="87" s="1"/>
  <c r="H238" i="87"/>
  <c r="G238" i="87"/>
  <c r="G237" i="87"/>
  <c r="H237" i="87" s="1"/>
  <c r="G236" i="87"/>
  <c r="H236" i="87" s="1"/>
  <c r="R235" i="87"/>
  <c r="T235" i="87" s="1"/>
  <c r="G235" i="87"/>
  <c r="H235" i="87" s="1"/>
  <c r="D235" i="87"/>
  <c r="R234" i="87"/>
  <c r="T234" i="87" s="1"/>
  <c r="R233" i="87"/>
  <c r="T233" i="87" s="1"/>
  <c r="C233" i="87"/>
  <c r="T232" i="87"/>
  <c r="R232" i="87"/>
  <c r="R231" i="87"/>
  <c r="T231" i="87" s="1"/>
  <c r="R230" i="87"/>
  <c r="T230" i="87" s="1"/>
  <c r="K230" i="87"/>
  <c r="J230" i="87"/>
  <c r="I230" i="87"/>
  <c r="H230" i="87"/>
  <c r="G230" i="87"/>
  <c r="F230" i="87"/>
  <c r="E230" i="87"/>
  <c r="D230" i="87"/>
  <c r="C230" i="87"/>
  <c r="T229" i="87"/>
  <c r="R229" i="87"/>
  <c r="R228" i="87"/>
  <c r="T228" i="87" s="1"/>
  <c r="R227" i="87"/>
  <c r="T227" i="87" s="1"/>
  <c r="H227" i="87"/>
  <c r="R226" i="87"/>
  <c r="T226" i="87" s="1"/>
  <c r="K226" i="87"/>
  <c r="K227" i="87" s="1"/>
  <c r="H226" i="87"/>
  <c r="E226" i="87"/>
  <c r="E227" i="87" s="1"/>
  <c r="N225" i="87"/>
  <c r="P222" i="87" s="1"/>
  <c r="K223" i="87"/>
  <c r="K222" i="87" s="1"/>
  <c r="O222" i="87"/>
  <c r="H222" i="87"/>
  <c r="H223" i="87" s="1"/>
  <c r="E222" i="87"/>
  <c r="E223" i="87" s="1"/>
  <c r="N219" i="87"/>
  <c r="C219" i="87"/>
  <c r="K216" i="87"/>
  <c r="J216" i="87"/>
  <c r="I216" i="87"/>
  <c r="H216" i="87"/>
  <c r="G216" i="87"/>
  <c r="F216" i="87"/>
  <c r="E216" i="87"/>
  <c r="D216" i="87"/>
  <c r="C216" i="87"/>
  <c r="L213" i="87"/>
  <c r="H213" i="87"/>
  <c r="L212" i="87"/>
  <c r="K212" i="87"/>
  <c r="K213" i="87" s="1"/>
  <c r="H212" i="87"/>
  <c r="E212" i="87"/>
  <c r="E213" i="87" s="1"/>
  <c r="L208" i="87"/>
  <c r="K208" i="87"/>
  <c r="H208" i="87"/>
  <c r="E208" i="87"/>
  <c r="L207" i="87"/>
  <c r="K207" i="87"/>
  <c r="H207" i="87"/>
  <c r="E207" i="87"/>
  <c r="C204" i="87"/>
  <c r="H201" i="87"/>
  <c r="G201" i="87"/>
  <c r="F201" i="87"/>
  <c r="E201" i="87"/>
  <c r="D201" i="87"/>
  <c r="C201" i="87"/>
  <c r="E198" i="87"/>
  <c r="G187" i="87"/>
  <c r="F184" i="87"/>
  <c r="E184" i="87"/>
  <c r="D172" i="87" s="1"/>
  <c r="G182" i="87"/>
  <c r="E185" i="87" s="1"/>
  <c r="F172" i="87" s="1"/>
  <c r="F182" i="87"/>
  <c r="D179" i="87"/>
  <c r="F178" i="87"/>
  <c r="F185" i="87" s="1"/>
  <c r="F177" i="87"/>
  <c r="C172" i="87"/>
  <c r="E171" i="87"/>
  <c r="H171" i="87" s="1"/>
  <c r="C171" i="87"/>
  <c r="D171" i="87" s="1"/>
  <c r="F170" i="87"/>
  <c r="E170" i="87"/>
  <c r="E187" i="87" s="1"/>
  <c r="C169" i="87"/>
  <c r="G168" i="87"/>
  <c r="H167" i="87"/>
  <c r="H165" i="87"/>
  <c r="G165" i="87"/>
  <c r="F165" i="87"/>
  <c r="E165" i="87"/>
  <c r="D165" i="87"/>
  <c r="C165" i="87"/>
  <c r="H162" i="87"/>
  <c r="I152" i="87"/>
  <c r="I151" i="87"/>
  <c r="G151" i="87"/>
  <c r="J152" i="87" s="1"/>
  <c r="M150" i="87"/>
  <c r="I150" i="87"/>
  <c r="H150" i="87"/>
  <c r="G150" i="87"/>
  <c r="F150" i="87"/>
  <c r="E150" i="87"/>
  <c r="E151" i="87" s="1"/>
  <c r="J151" i="87" s="1"/>
  <c r="J148" i="87"/>
  <c r="I148" i="87"/>
  <c r="J147" i="87"/>
  <c r="I147" i="87"/>
  <c r="H147" i="87"/>
  <c r="G147" i="87"/>
  <c r="F147" i="87"/>
  <c r="I145" i="87"/>
  <c r="H145" i="87"/>
  <c r="G145" i="87"/>
  <c r="J145" i="87" s="1"/>
  <c r="I144" i="87"/>
  <c r="H144" i="87"/>
  <c r="G144" i="87"/>
  <c r="J144" i="87" s="1"/>
  <c r="I142" i="87"/>
  <c r="I141" i="87"/>
  <c r="I140" i="87"/>
  <c r="E140" i="87"/>
  <c r="F140" i="87" s="1"/>
  <c r="J139" i="87"/>
  <c r="I139" i="87"/>
  <c r="C139" i="87"/>
  <c r="J138" i="87"/>
  <c r="I138" i="87"/>
  <c r="G138" i="87"/>
  <c r="H137" i="87"/>
  <c r="H134" i="87"/>
  <c r="G134" i="87"/>
  <c r="F134" i="87"/>
  <c r="E134" i="87"/>
  <c r="D134" i="87"/>
  <c r="C134" i="87"/>
  <c r="H131" i="87"/>
  <c r="J121" i="87"/>
  <c r="I121" i="87"/>
  <c r="I120" i="87"/>
  <c r="G120" i="87"/>
  <c r="I119" i="87"/>
  <c r="F119" i="87"/>
  <c r="E119" i="87"/>
  <c r="E120" i="87" s="1"/>
  <c r="J120" i="87" s="1"/>
  <c r="I116" i="87"/>
  <c r="F116" i="87"/>
  <c r="E114" i="87" s="1"/>
  <c r="I114" i="87"/>
  <c r="I113" i="87"/>
  <c r="G113" i="87"/>
  <c r="J113" i="87" s="1"/>
  <c r="I111" i="87"/>
  <c r="I110" i="87"/>
  <c r="I109" i="87"/>
  <c r="I108" i="87"/>
  <c r="C108" i="87"/>
  <c r="I107" i="87"/>
  <c r="G107" i="87"/>
  <c r="J107" i="87" s="1"/>
  <c r="I106" i="87"/>
  <c r="I103" i="87"/>
  <c r="S84" i="87"/>
  <c r="R84" i="87"/>
  <c r="Q84" i="87"/>
  <c r="P84" i="87"/>
  <c r="O84" i="87"/>
  <c r="C82" i="87"/>
  <c r="C80" i="87"/>
  <c r="R79" i="87"/>
  <c r="C78" i="87"/>
  <c r="P69" i="87"/>
  <c r="O69" i="87"/>
  <c r="N69" i="87"/>
  <c r="M69" i="87"/>
  <c r="L69" i="87"/>
  <c r="K69" i="87"/>
  <c r="J69" i="87"/>
  <c r="E69" i="87"/>
  <c r="C66" i="87"/>
  <c r="C63" i="87"/>
  <c r="C60" i="87"/>
  <c r="O58" i="87"/>
  <c r="O57" i="87"/>
  <c r="C57" i="87"/>
  <c r="O56" i="87"/>
  <c r="O55" i="87"/>
  <c r="C54" i="87"/>
  <c r="P52" i="87"/>
  <c r="P51" i="87"/>
  <c r="C51" i="87"/>
  <c r="D43" i="87"/>
  <c r="C43" i="87"/>
  <c r="B43" i="87"/>
  <c r="D29" i="87"/>
  <c r="BE7" i="87"/>
  <c r="BE6" i="87"/>
  <c r="AZ2" i="87"/>
  <c r="AY2" i="87"/>
  <c r="AX2" i="87"/>
  <c r="AW2" i="87"/>
  <c r="AV2" i="87"/>
  <c r="AU2" i="87"/>
  <c r="AT2" i="87"/>
  <c r="AS2" i="87"/>
  <c r="AR2" i="87"/>
  <c r="AQ2" i="87"/>
  <c r="AP2" i="87"/>
  <c r="AO2" i="87"/>
  <c r="AN2" i="87"/>
  <c r="AM2" i="87"/>
  <c r="AL2" i="87"/>
  <c r="AJ2" i="87"/>
  <c r="AI2" i="87"/>
  <c r="AH2" i="87"/>
  <c r="AG2" i="87"/>
  <c r="AF2" i="87"/>
  <c r="AE2" i="87"/>
  <c r="AD2" i="87"/>
  <c r="AC2" i="87"/>
  <c r="AB2" i="87"/>
  <c r="AA2" i="87"/>
  <c r="Z2" i="87"/>
  <c r="Y2" i="87"/>
  <c r="X2" i="87"/>
  <c r="W2" i="87"/>
  <c r="V2" i="87"/>
  <c r="T2" i="87"/>
  <c r="S2" i="87"/>
  <c r="R2" i="87"/>
  <c r="Q2" i="87"/>
  <c r="P2" i="87"/>
  <c r="O2" i="87"/>
  <c r="N2" i="87"/>
  <c r="M2" i="87"/>
  <c r="L2" i="87"/>
  <c r="K2" i="87"/>
  <c r="J2" i="87"/>
  <c r="I2" i="87"/>
  <c r="H2" i="87"/>
  <c r="G2" i="87"/>
  <c r="F2" i="87"/>
  <c r="E2" i="87"/>
  <c r="D2" i="87"/>
  <c r="C2" i="87"/>
  <c r="BF1" i="87"/>
  <c r="BE1" i="87"/>
  <c r="AZ1" i="87"/>
  <c r="AY1" i="87"/>
  <c r="AX1" i="87"/>
  <c r="AW1" i="87"/>
  <c r="AV1" i="87"/>
  <c r="AU1" i="87"/>
  <c r="AT1" i="87"/>
  <c r="AS1" i="87"/>
  <c r="AR1" i="87"/>
  <c r="AQ1" i="87"/>
  <c r="AP1" i="87"/>
  <c r="AO1" i="87"/>
  <c r="AN1" i="87"/>
  <c r="AM1" i="87"/>
  <c r="AL1" i="87"/>
  <c r="AJ1" i="87"/>
  <c r="AI1" i="87"/>
  <c r="AH1" i="87"/>
  <c r="AG1" i="87"/>
  <c r="AF1" i="87"/>
  <c r="AE1" i="87"/>
  <c r="AD1" i="87"/>
  <c r="AC1" i="87"/>
  <c r="AB1" i="87"/>
  <c r="AA1" i="87"/>
  <c r="Z1" i="87"/>
  <c r="Y1" i="87"/>
  <c r="X1" i="87"/>
  <c r="W1" i="87"/>
  <c r="V1" i="87"/>
  <c r="T1" i="87"/>
  <c r="S1" i="87"/>
  <c r="R1" i="87"/>
  <c r="Q1" i="87"/>
  <c r="P1" i="87"/>
  <c r="O1" i="87"/>
  <c r="N1" i="87"/>
  <c r="M1" i="87"/>
  <c r="L1" i="87"/>
  <c r="K1" i="87"/>
  <c r="J1" i="87"/>
  <c r="I1" i="87"/>
  <c r="H1" i="87"/>
  <c r="G1" i="87"/>
  <c r="F1" i="87"/>
  <c r="E1" i="87"/>
  <c r="D1" i="87"/>
  <c r="C1" i="87"/>
  <c r="A1" i="87"/>
  <c r="AG32" i="70"/>
  <c r="AF32" i="70"/>
  <c r="AE32" i="70"/>
  <c r="AD32" i="70"/>
  <c r="AC32" i="70"/>
  <c r="AB32" i="70"/>
  <c r="AA32" i="70"/>
  <c r="Z32" i="70"/>
  <c r="Y32" i="70"/>
  <c r="X32" i="70"/>
  <c r="W32" i="70"/>
  <c r="V32" i="70"/>
  <c r="U32" i="70"/>
  <c r="T32" i="70"/>
  <c r="S32" i="70"/>
  <c r="R32" i="70"/>
  <c r="Q32" i="70"/>
  <c r="P32" i="70"/>
  <c r="O32" i="70"/>
  <c r="AG31" i="70"/>
  <c r="AF31" i="70"/>
  <c r="AE31" i="70"/>
  <c r="AD31" i="70"/>
  <c r="AC31" i="70"/>
  <c r="AB31" i="70"/>
  <c r="AA31" i="70"/>
  <c r="Z31" i="70"/>
  <c r="Y31" i="70"/>
  <c r="X31" i="70"/>
  <c r="W31" i="70"/>
  <c r="V31" i="70"/>
  <c r="U31" i="70"/>
  <c r="T31" i="70"/>
  <c r="S31" i="70"/>
  <c r="R31" i="70"/>
  <c r="Q31" i="70"/>
  <c r="P31" i="70"/>
  <c r="O31" i="70"/>
  <c r="AJ255" i="60"/>
  <c r="AI255" i="60"/>
  <c r="AH255" i="60"/>
  <c r="AG255" i="60"/>
  <c r="AF255" i="60"/>
  <c r="AE255" i="60"/>
  <c r="AD255" i="60"/>
  <c r="AC255" i="60"/>
  <c r="AB255" i="60"/>
  <c r="AA255" i="60"/>
  <c r="Z255" i="60"/>
  <c r="Y255" i="60"/>
  <c r="X255" i="60"/>
  <c r="W255" i="60"/>
  <c r="V255" i="60"/>
  <c r="U255" i="60"/>
  <c r="T255" i="60"/>
  <c r="S255" i="60"/>
  <c r="R255" i="60"/>
  <c r="AJ254" i="60"/>
  <c r="AI254" i="60"/>
  <c r="AH254" i="60"/>
  <c r="AG254" i="60"/>
  <c r="AF254" i="60"/>
  <c r="AE254" i="60"/>
  <c r="AD254" i="60"/>
  <c r="AC254" i="60"/>
  <c r="AB254" i="60"/>
  <c r="AA254" i="60"/>
  <c r="Z254" i="60"/>
  <c r="Y254" i="60"/>
  <c r="X254" i="60"/>
  <c r="W254" i="60"/>
  <c r="V254" i="60"/>
  <c r="U254" i="60"/>
  <c r="T254" i="60"/>
  <c r="S254" i="60"/>
  <c r="R254" i="60"/>
  <c r="AJ182" i="60"/>
  <c r="AI182" i="60"/>
  <c r="AH182" i="60"/>
  <c r="AG182" i="60"/>
  <c r="AF182" i="60"/>
  <c r="AE182" i="60"/>
  <c r="AD182" i="60"/>
  <c r="AC182" i="60"/>
  <c r="AB182" i="60"/>
  <c r="AA182" i="60"/>
  <c r="Z182" i="60"/>
  <c r="Y182" i="60"/>
  <c r="X182" i="60"/>
  <c r="W182" i="60"/>
  <c r="V182" i="60"/>
  <c r="U182" i="60"/>
  <c r="T182" i="60"/>
  <c r="S182" i="60"/>
  <c r="R182" i="60"/>
  <c r="AJ181" i="60"/>
  <c r="AI181" i="60"/>
  <c r="AH181" i="60"/>
  <c r="AG181" i="60"/>
  <c r="AF181" i="60"/>
  <c r="AE181" i="60"/>
  <c r="AD181" i="60"/>
  <c r="AC181" i="60"/>
  <c r="AB181" i="60"/>
  <c r="AA181" i="60"/>
  <c r="Z181" i="60"/>
  <c r="Y181" i="60"/>
  <c r="X181" i="60"/>
  <c r="W181" i="60"/>
  <c r="V181" i="60"/>
  <c r="U181" i="60"/>
  <c r="T181" i="60"/>
  <c r="S181" i="60"/>
  <c r="R181" i="60"/>
  <c r="AJ139" i="60"/>
  <c r="AI139" i="60"/>
  <c r="AH139" i="60"/>
  <c r="AG139" i="60"/>
  <c r="AF139" i="60"/>
  <c r="AE139" i="60"/>
  <c r="AD139" i="60"/>
  <c r="AC139" i="60"/>
  <c r="AB139" i="60"/>
  <c r="AA139" i="60"/>
  <c r="Z139" i="60"/>
  <c r="Y139" i="60"/>
  <c r="X139" i="60"/>
  <c r="W139" i="60"/>
  <c r="V139" i="60"/>
  <c r="U139" i="60"/>
  <c r="T139" i="60"/>
  <c r="S139" i="60"/>
  <c r="R139" i="60"/>
  <c r="AJ138" i="60"/>
  <c r="AI138" i="60"/>
  <c r="AH138" i="60"/>
  <c r="AG138" i="60"/>
  <c r="AF138" i="60"/>
  <c r="AE138" i="60"/>
  <c r="AD138" i="60"/>
  <c r="AC138" i="60"/>
  <c r="AB138" i="60"/>
  <c r="AA138" i="60"/>
  <c r="Z138" i="60"/>
  <c r="Y138" i="60"/>
  <c r="X138" i="60"/>
  <c r="W138" i="60"/>
  <c r="V138" i="60"/>
  <c r="U138" i="60"/>
  <c r="T138" i="60"/>
  <c r="S138" i="60"/>
  <c r="R138" i="60"/>
  <c r="AJ96" i="60"/>
  <c r="AI96" i="60"/>
  <c r="AH96" i="60"/>
  <c r="AG96" i="60"/>
  <c r="AF96" i="60"/>
  <c r="AE96" i="60"/>
  <c r="AD96" i="60"/>
  <c r="AC96" i="60"/>
  <c r="AB96" i="60"/>
  <c r="AA96" i="60"/>
  <c r="Z96" i="60"/>
  <c r="AQ96" i="60" s="1"/>
  <c r="Y96" i="60"/>
  <c r="X96" i="60"/>
  <c r="W96" i="60"/>
  <c r="V96" i="60"/>
  <c r="U96" i="60"/>
  <c r="T96" i="60"/>
  <c r="S96" i="60"/>
  <c r="R96" i="60"/>
  <c r="AJ95" i="60"/>
  <c r="AI95" i="60"/>
  <c r="AH95" i="60"/>
  <c r="AG95" i="60"/>
  <c r="AF95" i="60"/>
  <c r="AE95" i="60"/>
  <c r="AD95" i="60"/>
  <c r="AC95" i="60"/>
  <c r="AB95" i="60"/>
  <c r="AA95" i="60"/>
  <c r="Z95" i="60"/>
  <c r="Y95" i="60"/>
  <c r="X95" i="60"/>
  <c r="W95" i="60"/>
  <c r="V95" i="60"/>
  <c r="U95" i="60"/>
  <c r="T95" i="60"/>
  <c r="S95" i="60"/>
  <c r="R95" i="60"/>
  <c r="AJ45" i="60"/>
  <c r="AI45" i="60"/>
  <c r="AH45" i="60"/>
  <c r="AG45" i="60"/>
  <c r="AF45" i="60"/>
  <c r="AE45" i="60"/>
  <c r="AD45" i="60"/>
  <c r="AC45" i="60"/>
  <c r="AB45" i="60"/>
  <c r="AA45" i="60"/>
  <c r="Z45" i="60"/>
  <c r="Y45" i="60"/>
  <c r="X45" i="60"/>
  <c r="W45" i="60"/>
  <c r="V45" i="60"/>
  <c r="U45" i="60"/>
  <c r="T45" i="60"/>
  <c r="S45" i="60"/>
  <c r="R45" i="60"/>
  <c r="AJ44" i="60"/>
  <c r="AI44" i="60"/>
  <c r="AH44" i="60"/>
  <c r="AG44" i="60"/>
  <c r="AF44" i="60"/>
  <c r="AE44" i="60"/>
  <c r="AD44" i="60"/>
  <c r="AC44" i="60"/>
  <c r="AB44" i="60"/>
  <c r="AA44" i="60"/>
  <c r="Z44" i="60"/>
  <c r="Y44" i="60"/>
  <c r="X44" i="60"/>
  <c r="W44" i="60"/>
  <c r="V44" i="60"/>
  <c r="U44" i="60"/>
  <c r="T44" i="60"/>
  <c r="S44" i="60"/>
  <c r="R44" i="60"/>
  <c r="BK435" i="54"/>
  <c r="BJ435" i="54"/>
  <c r="BI435" i="54"/>
  <c r="BH435" i="54"/>
  <c r="BG435" i="54"/>
  <c r="BF435" i="54"/>
  <c r="BE435" i="54"/>
  <c r="BD435" i="54"/>
  <c r="BC435" i="54"/>
  <c r="BB435" i="54"/>
  <c r="BA435" i="54"/>
  <c r="AZ435" i="54"/>
  <c r="AY435" i="54"/>
  <c r="AX435" i="54"/>
  <c r="AW435" i="54"/>
  <c r="AV435" i="54"/>
  <c r="AU435" i="54"/>
  <c r="AT435" i="54"/>
  <c r="AS435" i="54"/>
  <c r="AP435" i="54"/>
  <c r="AO435" i="54"/>
  <c r="AN435" i="54"/>
  <c r="AM435" i="54"/>
  <c r="AL435" i="54"/>
  <c r="AK435" i="54"/>
  <c r="AJ435" i="54"/>
  <c r="AI435" i="54"/>
  <c r="AH435" i="54"/>
  <c r="AG435" i="54"/>
  <c r="AF435" i="54"/>
  <c r="AE435" i="54"/>
  <c r="AD435" i="54"/>
  <c r="AC435" i="54"/>
  <c r="AB435" i="54"/>
  <c r="AA435" i="54"/>
  <c r="Z435" i="54"/>
  <c r="Y435" i="54"/>
  <c r="X435" i="54"/>
  <c r="U435" i="54"/>
  <c r="T435" i="54"/>
  <c r="S435" i="54"/>
  <c r="R435" i="54"/>
  <c r="Q435" i="54"/>
  <c r="P435" i="54"/>
  <c r="O435" i="54"/>
  <c r="N435" i="54"/>
  <c r="M435" i="54"/>
  <c r="L435" i="54"/>
  <c r="K435" i="54"/>
  <c r="J435" i="54"/>
  <c r="I435" i="54"/>
  <c r="H435" i="54"/>
  <c r="G435" i="54"/>
  <c r="F435" i="54"/>
  <c r="E435" i="54"/>
  <c r="D435" i="54"/>
  <c r="C435" i="54"/>
  <c r="BK434" i="54"/>
  <c r="BJ434" i="54"/>
  <c r="BI434" i="54"/>
  <c r="BH434" i="54"/>
  <c r="BG434" i="54"/>
  <c r="BF434" i="54"/>
  <c r="BE434" i="54"/>
  <c r="BD434" i="54"/>
  <c r="BC434" i="54"/>
  <c r="BB434" i="54"/>
  <c r="BA434" i="54"/>
  <c r="AZ434" i="54"/>
  <c r="AY434" i="54"/>
  <c r="AX434" i="54"/>
  <c r="AW434" i="54"/>
  <c r="AV434" i="54"/>
  <c r="AU434" i="54"/>
  <c r="AT434" i="54"/>
  <c r="AS434" i="54"/>
  <c r="AP434" i="54"/>
  <c r="AO434" i="54"/>
  <c r="AN434" i="54"/>
  <c r="AM434" i="54"/>
  <c r="AL434" i="54"/>
  <c r="AK434" i="54"/>
  <c r="AJ434" i="54"/>
  <c r="AI434" i="54"/>
  <c r="AH434" i="54"/>
  <c r="AG434" i="54"/>
  <c r="AF434" i="54"/>
  <c r="AE434" i="54"/>
  <c r="AD434" i="54"/>
  <c r="AC434" i="54"/>
  <c r="AB434" i="54"/>
  <c r="AA434" i="54"/>
  <c r="Z434" i="54"/>
  <c r="Y434" i="54"/>
  <c r="X434" i="54"/>
  <c r="U434" i="54"/>
  <c r="T434" i="54"/>
  <c r="S434" i="54"/>
  <c r="R434" i="54"/>
  <c r="Q434" i="54"/>
  <c r="P434" i="54"/>
  <c r="O434" i="54"/>
  <c r="N434" i="54"/>
  <c r="M434" i="54"/>
  <c r="L434" i="54"/>
  <c r="K434" i="54"/>
  <c r="J434" i="54"/>
  <c r="I434" i="54"/>
  <c r="H434" i="54"/>
  <c r="G434" i="54"/>
  <c r="F434" i="54"/>
  <c r="E434" i="54"/>
  <c r="D434" i="54"/>
  <c r="C434" i="54"/>
  <c r="BK315" i="54"/>
  <c r="BJ315" i="54"/>
  <c r="BI315" i="54"/>
  <c r="BH315" i="54"/>
  <c r="BG315" i="54"/>
  <c r="BF315" i="54"/>
  <c r="BE315" i="54"/>
  <c r="BD315" i="54"/>
  <c r="BC315" i="54"/>
  <c r="BB315" i="54"/>
  <c r="BA315" i="54"/>
  <c r="AZ315" i="54"/>
  <c r="AY315" i="54"/>
  <c r="AX315" i="54"/>
  <c r="AW315" i="54"/>
  <c r="AV315" i="54"/>
  <c r="AU315" i="54"/>
  <c r="AT315" i="54"/>
  <c r="AS315" i="54"/>
  <c r="AP315" i="54"/>
  <c r="AO315" i="54"/>
  <c r="AN315" i="54"/>
  <c r="AM315" i="54"/>
  <c r="AL315" i="54"/>
  <c r="AK315" i="54"/>
  <c r="AJ315" i="54"/>
  <c r="AI315" i="54"/>
  <c r="AH315" i="54"/>
  <c r="AG315" i="54"/>
  <c r="AF315" i="54"/>
  <c r="AE315" i="54"/>
  <c r="AD315" i="54"/>
  <c r="AC315" i="54"/>
  <c r="AB315" i="54"/>
  <c r="AA315" i="54"/>
  <c r="Z315" i="54"/>
  <c r="Y315" i="54"/>
  <c r="X315" i="54"/>
  <c r="L315" i="54"/>
  <c r="K315" i="54"/>
  <c r="J315" i="54"/>
  <c r="I315" i="54"/>
  <c r="H315" i="54"/>
  <c r="G315" i="54"/>
  <c r="F315" i="54"/>
  <c r="E315" i="54"/>
  <c r="D315" i="54"/>
  <c r="C315" i="54"/>
  <c r="BK314" i="54"/>
  <c r="BJ314" i="54"/>
  <c r="BI314" i="54"/>
  <c r="BH314" i="54"/>
  <c r="BG314" i="54"/>
  <c r="BF314" i="54"/>
  <c r="BE314" i="54"/>
  <c r="BD314" i="54"/>
  <c r="BC314" i="54"/>
  <c r="BB314" i="54"/>
  <c r="BA314" i="54"/>
  <c r="AZ314" i="54"/>
  <c r="AY314" i="54"/>
  <c r="AX314" i="54"/>
  <c r="AW314" i="54"/>
  <c r="AV314" i="54"/>
  <c r="AU314" i="54"/>
  <c r="AT314" i="54"/>
  <c r="AS314" i="54"/>
  <c r="AP314" i="54"/>
  <c r="AO314" i="54"/>
  <c r="AN314" i="54"/>
  <c r="AM314" i="54"/>
  <c r="AL314" i="54"/>
  <c r="AK314" i="54"/>
  <c r="AJ314" i="54"/>
  <c r="AI314" i="54"/>
  <c r="AH314" i="54"/>
  <c r="AG314" i="54"/>
  <c r="AF314" i="54"/>
  <c r="AE314" i="54"/>
  <c r="AD314" i="54"/>
  <c r="AC314" i="54"/>
  <c r="AB314" i="54"/>
  <c r="AA314" i="54"/>
  <c r="Z314" i="54"/>
  <c r="Y314" i="54"/>
  <c r="X314" i="54"/>
  <c r="L314" i="54"/>
  <c r="K314" i="54"/>
  <c r="J314" i="54"/>
  <c r="I314" i="54"/>
  <c r="H314" i="54"/>
  <c r="G314" i="54"/>
  <c r="F314" i="54"/>
  <c r="E314" i="54"/>
  <c r="D314" i="54"/>
  <c r="C314" i="54"/>
  <c r="BK220" i="54"/>
  <c r="BJ220" i="54"/>
  <c r="BI220" i="54"/>
  <c r="BH220" i="54"/>
  <c r="BG220" i="54"/>
  <c r="BF220" i="54"/>
  <c r="BE220" i="54"/>
  <c r="BD220" i="54"/>
  <c r="BC220" i="54"/>
  <c r="BB220" i="54"/>
  <c r="BA220" i="54"/>
  <c r="AZ220" i="54"/>
  <c r="AY220" i="54"/>
  <c r="AX220" i="54"/>
  <c r="AW220" i="54"/>
  <c r="AV220" i="54"/>
  <c r="AU220" i="54"/>
  <c r="AT220" i="54"/>
  <c r="AS220" i="54"/>
  <c r="AP220" i="54"/>
  <c r="AO220" i="54"/>
  <c r="AN220" i="54"/>
  <c r="AM220" i="54"/>
  <c r="AL220" i="54"/>
  <c r="AK220" i="54"/>
  <c r="AJ220" i="54"/>
  <c r="AI220" i="54"/>
  <c r="AH220" i="54"/>
  <c r="AG220" i="54"/>
  <c r="AF220" i="54"/>
  <c r="AE220" i="54"/>
  <c r="AD220" i="54"/>
  <c r="AC220" i="54"/>
  <c r="AB220" i="54"/>
  <c r="AA220" i="54"/>
  <c r="Z220" i="54"/>
  <c r="Y220" i="54"/>
  <c r="X220" i="54"/>
  <c r="L220" i="54"/>
  <c r="K220" i="54"/>
  <c r="J220" i="54"/>
  <c r="I220" i="54"/>
  <c r="H220" i="54"/>
  <c r="G220" i="54"/>
  <c r="F220" i="54"/>
  <c r="E220" i="54"/>
  <c r="D220" i="54"/>
  <c r="C220" i="54"/>
  <c r="BK219" i="54"/>
  <c r="BJ219" i="54"/>
  <c r="BI219" i="54"/>
  <c r="BH219" i="54"/>
  <c r="BG219" i="54"/>
  <c r="BF219" i="54"/>
  <c r="BE219" i="54"/>
  <c r="BD219" i="54"/>
  <c r="BC219" i="54"/>
  <c r="BB219" i="54"/>
  <c r="BA219" i="54"/>
  <c r="AZ219" i="54"/>
  <c r="AY219" i="54"/>
  <c r="AX219" i="54"/>
  <c r="AW219" i="54"/>
  <c r="AV219" i="54"/>
  <c r="AU219" i="54"/>
  <c r="AT219" i="54"/>
  <c r="AS219" i="54"/>
  <c r="AP219" i="54"/>
  <c r="AO219" i="54"/>
  <c r="AN219" i="54"/>
  <c r="AM219" i="54"/>
  <c r="AL219" i="54"/>
  <c r="AK219" i="54"/>
  <c r="AJ219" i="54"/>
  <c r="AI219" i="54"/>
  <c r="AH219" i="54"/>
  <c r="AG219" i="54"/>
  <c r="AF219" i="54"/>
  <c r="AE219" i="54"/>
  <c r="AD219" i="54"/>
  <c r="AC219" i="54"/>
  <c r="AB219" i="54"/>
  <c r="AA219" i="54"/>
  <c r="Z219" i="54"/>
  <c r="Y219" i="54"/>
  <c r="X219" i="54"/>
  <c r="L219" i="54"/>
  <c r="K219" i="54"/>
  <c r="J219" i="54"/>
  <c r="I219" i="54"/>
  <c r="H219" i="54"/>
  <c r="G219" i="54"/>
  <c r="F219" i="54"/>
  <c r="E219" i="54"/>
  <c r="D219" i="54"/>
  <c r="C219" i="54"/>
  <c r="BK155" i="54"/>
  <c r="BJ155" i="54"/>
  <c r="BI155" i="54"/>
  <c r="BH155" i="54"/>
  <c r="BG155" i="54"/>
  <c r="BF155" i="54"/>
  <c r="BE155" i="54"/>
  <c r="BD155" i="54"/>
  <c r="BC155" i="54"/>
  <c r="BB155" i="54"/>
  <c r="BA155" i="54"/>
  <c r="AZ155" i="54"/>
  <c r="AY155" i="54"/>
  <c r="AX155" i="54"/>
  <c r="AW155" i="54"/>
  <c r="AV155" i="54"/>
  <c r="AU155" i="54"/>
  <c r="AT155" i="54"/>
  <c r="AS155" i="54"/>
  <c r="AP155" i="54"/>
  <c r="AO155" i="54"/>
  <c r="AN155" i="54"/>
  <c r="AM155" i="54"/>
  <c r="AL155" i="54"/>
  <c r="AK155" i="54"/>
  <c r="AJ155" i="54"/>
  <c r="AI155" i="54"/>
  <c r="AH155" i="54"/>
  <c r="AG155" i="54"/>
  <c r="AF155" i="54"/>
  <c r="AE155" i="54"/>
  <c r="AD155" i="54"/>
  <c r="AC155" i="54"/>
  <c r="AB155" i="54"/>
  <c r="AA155" i="54"/>
  <c r="Z155" i="54"/>
  <c r="Y155" i="54"/>
  <c r="X155" i="54"/>
  <c r="L155" i="54"/>
  <c r="K155" i="54"/>
  <c r="J155" i="54"/>
  <c r="I155" i="54"/>
  <c r="H155" i="54"/>
  <c r="G155" i="54"/>
  <c r="F155" i="54"/>
  <c r="E155" i="54"/>
  <c r="D155" i="54"/>
  <c r="C155" i="54"/>
  <c r="BK154" i="54"/>
  <c r="BJ154" i="54"/>
  <c r="BI154" i="54"/>
  <c r="BH154" i="54"/>
  <c r="BG154" i="54"/>
  <c r="BF154" i="54"/>
  <c r="BE154" i="54"/>
  <c r="BD154" i="54"/>
  <c r="BC154" i="54"/>
  <c r="BB154" i="54"/>
  <c r="BA154" i="54"/>
  <c r="AZ154" i="54"/>
  <c r="AY154" i="54"/>
  <c r="AX154" i="54"/>
  <c r="AW154" i="54"/>
  <c r="AV154" i="54"/>
  <c r="AU154" i="54"/>
  <c r="AT154" i="54"/>
  <c r="AS154" i="54"/>
  <c r="AP154" i="54"/>
  <c r="AO154" i="54"/>
  <c r="AN154" i="54"/>
  <c r="AM154" i="54"/>
  <c r="AL154" i="54"/>
  <c r="AK154" i="54"/>
  <c r="AJ154" i="54"/>
  <c r="AI154" i="54"/>
  <c r="AH154" i="54"/>
  <c r="AG154" i="54"/>
  <c r="AF154" i="54"/>
  <c r="AE154" i="54"/>
  <c r="AD154" i="54"/>
  <c r="AC154" i="54"/>
  <c r="AB154" i="54"/>
  <c r="AA154" i="54"/>
  <c r="Z154" i="54"/>
  <c r="Y154" i="54"/>
  <c r="X154" i="54"/>
  <c r="L154" i="54"/>
  <c r="K154" i="54"/>
  <c r="J154" i="54"/>
  <c r="I154" i="54"/>
  <c r="H154" i="54"/>
  <c r="G154" i="54"/>
  <c r="F154" i="54"/>
  <c r="E154" i="54"/>
  <c r="D154" i="54"/>
  <c r="C154" i="54"/>
  <c r="BK95" i="54"/>
  <c r="BJ95" i="54"/>
  <c r="BI95" i="54"/>
  <c r="BH95" i="54"/>
  <c r="BG95" i="54"/>
  <c r="BF95" i="54"/>
  <c r="BE95" i="54"/>
  <c r="BD95" i="54"/>
  <c r="BC95" i="54"/>
  <c r="BB95" i="54"/>
  <c r="BA95" i="54"/>
  <c r="AZ95" i="54"/>
  <c r="AY95" i="54"/>
  <c r="AX95" i="54"/>
  <c r="AW95" i="54"/>
  <c r="AV95" i="54"/>
  <c r="AU95" i="54"/>
  <c r="AT95" i="54"/>
  <c r="AS95" i="54"/>
  <c r="AP95" i="54"/>
  <c r="AO95" i="54"/>
  <c r="AN95" i="54"/>
  <c r="AM95" i="54"/>
  <c r="AL95" i="54"/>
  <c r="AK95" i="54"/>
  <c r="AJ95" i="54"/>
  <c r="AI95" i="54"/>
  <c r="AH95" i="54"/>
  <c r="AG95" i="54"/>
  <c r="AF95" i="54"/>
  <c r="AE95" i="54"/>
  <c r="AD95" i="54"/>
  <c r="AC95" i="54"/>
  <c r="AB95" i="54"/>
  <c r="AA95" i="54"/>
  <c r="Z95" i="54"/>
  <c r="Y95" i="54"/>
  <c r="X95" i="54"/>
  <c r="U95" i="54"/>
  <c r="T95" i="54"/>
  <c r="S95" i="54"/>
  <c r="R95" i="54"/>
  <c r="Q95" i="54"/>
  <c r="P95" i="54"/>
  <c r="O95" i="54"/>
  <c r="N95" i="54"/>
  <c r="M95" i="54"/>
  <c r="L95" i="54"/>
  <c r="K95" i="54"/>
  <c r="J95" i="54"/>
  <c r="I95" i="54"/>
  <c r="H95" i="54"/>
  <c r="G95" i="54"/>
  <c r="F95" i="54"/>
  <c r="E95" i="54"/>
  <c r="D95" i="54"/>
  <c r="C95" i="54"/>
  <c r="BK94" i="54"/>
  <c r="BJ94" i="54"/>
  <c r="BI94" i="54"/>
  <c r="BH94" i="54"/>
  <c r="BG94" i="54"/>
  <c r="BF94" i="54"/>
  <c r="BE94" i="54"/>
  <c r="BD94" i="54"/>
  <c r="BC94" i="54"/>
  <c r="BB94" i="54"/>
  <c r="BA94" i="54"/>
  <c r="AZ94" i="54"/>
  <c r="AY94" i="54"/>
  <c r="AX94" i="54"/>
  <c r="AW94" i="54"/>
  <c r="AV94" i="54"/>
  <c r="AU94" i="54"/>
  <c r="AT94" i="54"/>
  <c r="AS94" i="54"/>
  <c r="AP94" i="54"/>
  <c r="AO94" i="54"/>
  <c r="AN94" i="54"/>
  <c r="AM94" i="54"/>
  <c r="AL94" i="54"/>
  <c r="AK94" i="54"/>
  <c r="AJ94" i="54"/>
  <c r="AI94" i="54"/>
  <c r="AH94" i="54"/>
  <c r="AG94" i="54"/>
  <c r="AF94" i="54"/>
  <c r="AE94" i="54"/>
  <c r="AD94" i="54"/>
  <c r="AC94" i="54"/>
  <c r="AB94" i="54"/>
  <c r="AA94" i="54"/>
  <c r="Z94" i="54"/>
  <c r="Y94" i="54"/>
  <c r="X94" i="54"/>
  <c r="U94" i="54"/>
  <c r="T94" i="54"/>
  <c r="S94" i="54"/>
  <c r="R94" i="54"/>
  <c r="Q94" i="54"/>
  <c r="P94" i="54"/>
  <c r="O94" i="54"/>
  <c r="N94" i="54"/>
  <c r="M94" i="54"/>
  <c r="L94" i="54"/>
  <c r="K94" i="54"/>
  <c r="J94" i="54"/>
  <c r="I94" i="54"/>
  <c r="H94" i="54"/>
  <c r="G94" i="54"/>
  <c r="F94" i="54"/>
  <c r="E94" i="54"/>
  <c r="D94" i="54"/>
  <c r="C94" i="54"/>
  <c r="BK42" i="54"/>
  <c r="BJ42" i="54"/>
  <c r="BI42" i="54"/>
  <c r="BH42" i="54"/>
  <c r="BG42" i="54"/>
  <c r="BF42" i="54"/>
  <c r="BE42" i="54"/>
  <c r="BD42" i="54"/>
  <c r="BC42" i="54"/>
  <c r="BK41" i="54"/>
  <c r="BJ41" i="54"/>
  <c r="BI41" i="54"/>
  <c r="BH41" i="54"/>
  <c r="BG41" i="54"/>
  <c r="BF41" i="54"/>
  <c r="BE41" i="54"/>
  <c r="BD41" i="54"/>
  <c r="BC41" i="54"/>
  <c r="AP42" i="54"/>
  <c r="AO42" i="54"/>
  <c r="AN42" i="54"/>
  <c r="AM42" i="54"/>
  <c r="AL42" i="54"/>
  <c r="AK42" i="54"/>
  <c r="AJ42" i="54"/>
  <c r="AI42" i="54"/>
  <c r="AH42" i="54"/>
  <c r="AP41" i="54"/>
  <c r="AO41" i="54"/>
  <c r="AN41" i="54"/>
  <c r="AM41" i="54"/>
  <c r="AL41" i="54"/>
  <c r="AK41" i="54"/>
  <c r="AJ41" i="54"/>
  <c r="AI41" i="54"/>
  <c r="AH41" i="54"/>
  <c r="U42" i="54"/>
  <c r="T42" i="54"/>
  <c r="S42" i="54"/>
  <c r="R42" i="54"/>
  <c r="Q42" i="54"/>
  <c r="P42" i="54"/>
  <c r="O42" i="54"/>
  <c r="N42" i="54"/>
  <c r="M42" i="54"/>
  <c r="U41" i="54"/>
  <c r="T41" i="54"/>
  <c r="S41" i="54"/>
  <c r="R41" i="54"/>
  <c r="Q41" i="54"/>
  <c r="P41" i="54"/>
  <c r="O41" i="54"/>
  <c r="N41" i="54"/>
  <c r="M41" i="54"/>
  <c r="O12" i="60" a="1"/>
  <c r="O12" i="60" s="1"/>
  <c r="O21" i="60"/>
  <c r="N14" i="60"/>
  <c r="N15" i="60"/>
  <c r="N16" i="60"/>
  <c r="N17" i="60"/>
  <c r="N18" i="60"/>
  <c r="N19" i="60"/>
  <c r="N20" i="60"/>
  <c r="N21" i="60"/>
  <c r="N22" i="60"/>
  <c r="N23" i="60"/>
  <c r="N24" i="60"/>
  <c r="N38" i="60"/>
  <c r="N39" i="60"/>
  <c r="N40" i="60"/>
  <c r="N41" i="60"/>
  <c r="N42" i="60"/>
  <c r="N43" i="60"/>
  <c r="N44" i="60"/>
  <c r="N45" i="60"/>
  <c r="N46" i="60"/>
  <c r="N47" i="60"/>
  <c r="N48" i="60"/>
  <c r="N49" i="60"/>
  <c r="N50" i="60"/>
  <c r="N51" i="60"/>
  <c r="N52" i="60"/>
  <c r="N53" i="60"/>
  <c r="N54" i="60"/>
  <c r="N55" i="60"/>
  <c r="N56" i="60"/>
  <c r="N57" i="60"/>
  <c r="N58" i="60"/>
  <c r="N59" i="60"/>
  <c r="N60" i="60"/>
  <c r="N61" i="60"/>
  <c r="N62" i="60"/>
  <c r="N63" i="60"/>
  <c r="N64" i="60"/>
  <c r="N65" i="60"/>
  <c r="N66" i="60"/>
  <c r="N67" i="60"/>
  <c r="N68" i="60"/>
  <c r="N69" i="60"/>
  <c r="N70" i="60"/>
  <c r="N71" i="60"/>
  <c r="N72" i="60"/>
  <c r="N73" i="60"/>
  <c r="N74" i="60"/>
  <c r="N75" i="60"/>
  <c r="N76" i="60"/>
  <c r="N77" i="60"/>
  <c r="N78" i="60"/>
  <c r="N79" i="60"/>
  <c r="N80" i="60"/>
  <c r="N81" i="60"/>
  <c r="N82" i="60"/>
  <c r="N83" i="60"/>
  <c r="N84" i="60"/>
  <c r="N89" i="60"/>
  <c r="N90" i="60"/>
  <c r="N91" i="60"/>
  <c r="N92" i="60"/>
  <c r="N93" i="60"/>
  <c r="N94" i="60"/>
  <c r="N95" i="60"/>
  <c r="N96" i="60"/>
  <c r="N97" i="60"/>
  <c r="N98" i="60"/>
  <c r="N99" i="60"/>
  <c r="N100" i="60"/>
  <c r="N101" i="60"/>
  <c r="N102" i="60"/>
  <c r="N103" i="60"/>
  <c r="N104" i="60"/>
  <c r="N105" i="60"/>
  <c r="N106" i="60"/>
  <c r="N107" i="60"/>
  <c r="N108" i="60"/>
  <c r="N109" i="60"/>
  <c r="N110" i="60"/>
  <c r="N111" i="60"/>
  <c r="N112" i="60"/>
  <c r="N113" i="60"/>
  <c r="N114" i="60"/>
  <c r="N115" i="60"/>
  <c r="N116" i="60"/>
  <c r="N117" i="60"/>
  <c r="N118" i="60"/>
  <c r="N119" i="60"/>
  <c r="N120" i="60"/>
  <c r="N121" i="60"/>
  <c r="N122" i="60"/>
  <c r="N123" i="60"/>
  <c r="N124" i="60"/>
  <c r="N125" i="60"/>
  <c r="N126" i="60"/>
  <c r="N127" i="60"/>
  <c r="N132" i="60"/>
  <c r="N133" i="60"/>
  <c r="N134" i="60"/>
  <c r="N135" i="60"/>
  <c r="N136" i="60"/>
  <c r="N137" i="60"/>
  <c r="N138" i="60"/>
  <c r="N139" i="60"/>
  <c r="N140" i="60"/>
  <c r="N141" i="60"/>
  <c r="N142" i="60"/>
  <c r="N143" i="60"/>
  <c r="N144" i="60"/>
  <c r="N145" i="60"/>
  <c r="N146" i="60"/>
  <c r="N147" i="60"/>
  <c r="N148" i="60"/>
  <c r="N149" i="60"/>
  <c r="N150" i="60"/>
  <c r="N151" i="60"/>
  <c r="N152" i="60"/>
  <c r="N153" i="60"/>
  <c r="N154" i="60"/>
  <c r="N155" i="60"/>
  <c r="N156" i="60"/>
  <c r="N157" i="60"/>
  <c r="N158" i="60"/>
  <c r="N159" i="60"/>
  <c r="N160" i="60"/>
  <c r="N161" i="60"/>
  <c r="N162" i="60"/>
  <c r="N163" i="60"/>
  <c r="N164" i="60"/>
  <c r="N165" i="60"/>
  <c r="N166" i="60"/>
  <c r="N167" i="60"/>
  <c r="N168" i="60"/>
  <c r="N169" i="60"/>
  <c r="N170" i="60"/>
  <c r="N175" i="60"/>
  <c r="N176" i="60"/>
  <c r="N177" i="60"/>
  <c r="N178" i="60"/>
  <c r="N179" i="60"/>
  <c r="N180" i="60"/>
  <c r="N181" i="60"/>
  <c r="N182" i="60"/>
  <c r="N183" i="60"/>
  <c r="N184" i="60"/>
  <c r="N185" i="60"/>
  <c r="N186" i="60"/>
  <c r="N187" i="60"/>
  <c r="N188" i="60"/>
  <c r="N189" i="60"/>
  <c r="N190" i="60"/>
  <c r="N191" i="60"/>
  <c r="N192" i="60"/>
  <c r="N193" i="60"/>
  <c r="N194" i="60"/>
  <c r="N195" i="60"/>
  <c r="N196" i="60"/>
  <c r="N197" i="60"/>
  <c r="N198" i="60"/>
  <c r="N199" i="60"/>
  <c r="N200" i="60"/>
  <c r="N201" i="60"/>
  <c r="N202" i="60"/>
  <c r="N203" i="60"/>
  <c r="N204" i="60"/>
  <c r="N205" i="60"/>
  <c r="N206" i="60"/>
  <c r="N207" i="60"/>
  <c r="N208" i="60"/>
  <c r="N209" i="60"/>
  <c r="N210" i="60"/>
  <c r="N211" i="60"/>
  <c r="N212" i="60"/>
  <c r="N213" i="60"/>
  <c r="N214" i="60"/>
  <c r="N215" i="60"/>
  <c r="N216" i="60"/>
  <c r="N217" i="60"/>
  <c r="N218" i="60"/>
  <c r="N219" i="60"/>
  <c r="N248" i="60"/>
  <c r="N249" i="60"/>
  <c r="N250" i="60"/>
  <c r="N251" i="60"/>
  <c r="N252" i="60"/>
  <c r="N253" i="60"/>
  <c r="N254" i="60"/>
  <c r="N255" i="60"/>
  <c r="N256" i="60"/>
  <c r="N257" i="60"/>
  <c r="N258" i="60"/>
  <c r="N259" i="60"/>
  <c r="N260" i="60"/>
  <c r="N261" i="60"/>
  <c r="N262" i="60"/>
  <c r="N263" i="60"/>
  <c r="N264" i="60"/>
  <c r="N265" i="60"/>
  <c r="N266" i="60"/>
  <c r="N267" i="60"/>
  <c r="N268" i="60"/>
  <c r="N269" i="60"/>
  <c r="N270" i="60"/>
  <c r="N271" i="60"/>
  <c r="N272" i="60"/>
  <c r="N273" i="60"/>
  <c r="N274" i="60"/>
  <c r="N275" i="60"/>
  <c r="N297" i="60"/>
  <c r="N298" i="60"/>
  <c r="N299" i="60"/>
  <c r="N300" i="60"/>
  <c r="N301" i="60"/>
  <c r="N302" i="60"/>
  <c r="N303" i="60"/>
  <c r="N304" i="60"/>
  <c r="N305" i="60"/>
  <c r="N306" i="60"/>
  <c r="N307" i="60"/>
  <c r="N308" i="60"/>
  <c r="N309" i="60"/>
  <c r="N310" i="60"/>
  <c r="N311" i="60"/>
  <c r="N312" i="60"/>
  <c r="N313" i="60"/>
  <c r="N314" i="60"/>
  <c r="N315" i="60"/>
  <c r="N316" i="60"/>
  <c r="N317" i="60"/>
  <c r="N318" i="60"/>
  <c r="N319" i="60"/>
  <c r="N320" i="60"/>
  <c r="N321" i="60"/>
  <c r="N322" i="60"/>
  <c r="N323" i="60"/>
  <c r="N324" i="60"/>
  <c r="N325" i="60"/>
  <c r="N326" i="60"/>
  <c r="N327" i="60"/>
  <c r="N328" i="60"/>
  <c r="N329" i="60"/>
  <c r="N330" i="60"/>
  <c r="N331" i="60"/>
  <c r="N332" i="60"/>
  <c r="N333" i="60"/>
  <c r="N334" i="60"/>
  <c r="N335" i="60"/>
  <c r="N336" i="60"/>
  <c r="N337" i="60"/>
  <c r="N338" i="60"/>
  <c r="N339" i="60"/>
  <c r="N340" i="60"/>
  <c r="N341" i="60"/>
  <c r="N342" i="60"/>
  <c r="N343" i="60"/>
  <c r="N344" i="60"/>
  <c r="N345" i="60"/>
  <c r="N346" i="60"/>
  <c r="N347" i="60"/>
  <c r="N348" i="60"/>
  <c r="N349" i="60"/>
  <c r="N350" i="60"/>
  <c r="N351" i="60"/>
  <c r="N352" i="60"/>
  <c r="N353" i="60"/>
  <c r="N354" i="60"/>
  <c r="N355" i="60"/>
  <c r="N356" i="60"/>
  <c r="N357" i="60"/>
  <c r="N358" i="60"/>
  <c r="N359" i="60"/>
  <c r="N360" i="60"/>
  <c r="N361" i="60"/>
  <c r="N362" i="60"/>
  <c r="N363" i="60"/>
  <c r="N364" i="60"/>
  <c r="N365" i="60"/>
  <c r="N366" i="60"/>
  <c r="N367" i="60"/>
  <c r="N368" i="60"/>
  <c r="N369" i="60"/>
  <c r="N370" i="60"/>
  <c r="N371" i="60"/>
  <c r="N372" i="60"/>
  <c r="N373" i="60"/>
  <c r="N374" i="60"/>
  <c r="N375" i="60"/>
  <c r="N376" i="60"/>
  <c r="N377" i="60"/>
  <c r="N378" i="60"/>
  <c r="N379" i="60"/>
  <c r="N380" i="60"/>
  <c r="N381" i="60"/>
  <c r="N382" i="60"/>
  <c r="N383" i="60"/>
  <c r="N384" i="60"/>
  <c r="N385" i="60"/>
  <c r="N386" i="60"/>
  <c r="N387" i="60"/>
  <c r="N388" i="60"/>
  <c r="N389" i="60"/>
  <c r="N390" i="60"/>
  <c r="N391" i="60"/>
  <c r="N392" i="60"/>
  <c r="N393" i="60"/>
  <c r="N394" i="60"/>
  <c r="N395" i="60"/>
  <c r="N396" i="60"/>
  <c r="N397" i="60"/>
  <c r="N398" i="60"/>
  <c r="N399" i="60"/>
  <c r="N400" i="60"/>
  <c r="N401" i="60"/>
  <c r="N402" i="60"/>
  <c r="N403" i="60"/>
  <c r="N404" i="60"/>
  <c r="N405" i="60"/>
  <c r="N406" i="60"/>
  <c r="N407" i="60"/>
  <c r="N408" i="60"/>
  <c r="N409" i="60"/>
  <c r="N410" i="60"/>
  <c r="N411" i="60"/>
  <c r="N412" i="60"/>
  <c r="N413" i="60"/>
  <c r="N414" i="60"/>
  <c r="N415" i="60"/>
  <c r="N416" i="60"/>
  <c r="N417" i="60"/>
  <c r="N418" i="60"/>
  <c r="N419" i="60"/>
  <c r="N420" i="60"/>
  <c r="N421" i="60"/>
  <c r="N422" i="60"/>
  <c r="N423" i="60"/>
  <c r="N424" i="60"/>
  <c r="N425" i="60"/>
  <c r="N426" i="60"/>
  <c r="N427" i="60"/>
  <c r="N428" i="60"/>
  <c r="N429" i="60"/>
  <c r="N430" i="60"/>
  <c r="N431" i="60"/>
  <c r="N432" i="60"/>
  <c r="N433" i="60"/>
  <c r="N434" i="60"/>
  <c r="N435" i="60"/>
  <c r="N436" i="60"/>
  <c r="N437" i="60"/>
  <c r="N438" i="60"/>
  <c r="N439" i="60"/>
  <c r="N440" i="60"/>
  <c r="N441" i="60"/>
  <c r="N442" i="60"/>
  <c r="N443" i="60"/>
  <c r="N444" i="60"/>
  <c r="N445" i="60"/>
  <c r="N446" i="60"/>
  <c r="N447" i="60"/>
  <c r="N448" i="60"/>
  <c r="N449" i="60"/>
  <c r="N450" i="60"/>
  <c r="N451" i="60"/>
  <c r="N452" i="60"/>
  <c r="N453" i="60"/>
  <c r="N454" i="60"/>
  <c r="N455" i="60"/>
  <c r="N456" i="60"/>
  <c r="N457" i="60"/>
  <c r="N458" i="60"/>
  <c r="N459" i="60"/>
  <c r="N460" i="60"/>
  <c r="N461" i="60"/>
  <c r="N462" i="60"/>
  <c r="N463" i="60"/>
  <c r="N464" i="60"/>
  <c r="N465" i="60"/>
  <c r="N466" i="60"/>
  <c r="N467" i="60"/>
  <c r="N468" i="60"/>
  <c r="N469" i="60"/>
  <c r="N470" i="60"/>
  <c r="N471" i="60"/>
  <c r="N472" i="60"/>
  <c r="N473" i="60"/>
  <c r="N474" i="60"/>
  <c r="N475" i="60"/>
  <c r="N476" i="60"/>
  <c r="N477" i="60"/>
  <c r="N478" i="60"/>
  <c r="N479" i="60"/>
  <c r="N480" i="60"/>
  <c r="N481" i="60"/>
  <c r="N482" i="60"/>
  <c r="N483" i="60"/>
  <c r="N484" i="60"/>
  <c r="N485" i="60"/>
  <c r="N486" i="60"/>
  <c r="N487" i="60"/>
  <c r="N488" i="60"/>
  <c r="N489" i="60"/>
  <c r="N490" i="60"/>
  <c r="N491" i="60"/>
  <c r="N492" i="60"/>
  <c r="N493" i="60"/>
  <c r="N494" i="60"/>
  <c r="N495" i="60"/>
  <c r="N496" i="60"/>
  <c r="N497" i="60"/>
  <c r="N498" i="60"/>
  <c r="N499" i="60"/>
  <c r="N500" i="60"/>
  <c r="N501" i="60"/>
  <c r="N502" i="60"/>
  <c r="N503" i="60"/>
  <c r="N504" i="60"/>
  <c r="N505" i="60"/>
  <c r="N506" i="60"/>
  <c r="N507" i="60"/>
  <c r="N508" i="60"/>
  <c r="N509" i="60"/>
  <c r="N510" i="60"/>
  <c r="N511" i="60"/>
  <c r="N512" i="60"/>
  <c r="N513" i="60"/>
  <c r="N514" i="60"/>
  <c r="N515" i="60"/>
  <c r="N516" i="60"/>
  <c r="N517" i="60"/>
  <c r="N518" i="60"/>
  <c r="N519" i="60"/>
  <c r="N520" i="60"/>
  <c r="N521" i="60"/>
  <c r="N522" i="60"/>
  <c r="N523" i="60"/>
  <c r="N524" i="60"/>
  <c r="N525" i="60"/>
  <c r="N526" i="60"/>
  <c r="N527" i="60"/>
  <c r="N528" i="60"/>
  <c r="N529" i="60"/>
  <c r="N530" i="60"/>
  <c r="N531" i="60"/>
  <c r="N532" i="60"/>
  <c r="N533" i="60"/>
  <c r="N534" i="60"/>
  <c r="N535" i="60"/>
  <c r="N536" i="60"/>
  <c r="N537" i="60"/>
  <c r="N538" i="60"/>
  <c r="N539" i="60"/>
  <c r="N540" i="60"/>
  <c r="N541" i="60"/>
  <c r="N542" i="60"/>
  <c r="N543" i="60"/>
  <c r="N544" i="60"/>
  <c r="N545" i="60"/>
  <c r="N546" i="60"/>
  <c r="N547" i="60"/>
  <c r="N548" i="60"/>
  <c r="N549" i="60"/>
  <c r="N550" i="60"/>
  <c r="N551" i="60"/>
  <c r="O2" i="60"/>
  <c r="N2" i="60"/>
  <c r="O1" i="60"/>
  <c r="N1" i="60"/>
  <c r="AJ11" i="63"/>
  <c r="AJ12" i="63"/>
  <c r="AJ13" i="63"/>
  <c r="AJ14" i="63"/>
  <c r="AJ15" i="63"/>
  <c r="AJ16" i="63"/>
  <c r="AJ17" i="63"/>
  <c r="AJ18" i="63"/>
  <c r="AJ19" i="63"/>
  <c r="AJ20" i="63"/>
  <c r="AJ21" i="63"/>
  <c r="AJ22" i="63"/>
  <c r="AJ23" i="63"/>
  <c r="AJ24" i="63"/>
  <c r="AJ25" i="63"/>
  <c r="AJ26" i="63"/>
  <c r="AJ27" i="63"/>
  <c r="AJ28" i="63"/>
  <c r="AJ29" i="63"/>
  <c r="AJ30" i="63"/>
  <c r="AJ31" i="63"/>
  <c r="AJ32" i="63"/>
  <c r="AJ33" i="63"/>
  <c r="AJ34" i="63"/>
  <c r="AJ35" i="63"/>
  <c r="AJ36" i="63"/>
  <c r="AJ37" i="63"/>
  <c r="AJ38" i="63"/>
  <c r="AJ39" i="63"/>
  <c r="AJ40" i="63"/>
  <c r="AJ41" i="63"/>
  <c r="AJ42" i="63"/>
  <c r="AJ43" i="63"/>
  <c r="AJ44" i="63"/>
  <c r="AJ45" i="63"/>
  <c r="AJ46" i="63"/>
  <c r="AJ47" i="63"/>
  <c r="AJ48" i="63"/>
  <c r="AJ49" i="63"/>
  <c r="AJ50" i="63"/>
  <c r="AJ51" i="63"/>
  <c r="AJ52" i="63"/>
  <c r="AJ53" i="63"/>
  <c r="AJ54" i="63"/>
  <c r="AJ55" i="63"/>
  <c r="AJ56" i="63"/>
  <c r="AJ57" i="63"/>
  <c r="AJ58" i="63"/>
  <c r="AJ59" i="63"/>
  <c r="AJ60" i="63"/>
  <c r="AJ61" i="63"/>
  <c r="AJ62" i="63"/>
  <c r="AJ63" i="63"/>
  <c r="AJ64" i="63"/>
  <c r="AJ65" i="63"/>
  <c r="AJ66" i="63"/>
  <c r="AJ67" i="63"/>
  <c r="AJ68" i="63"/>
  <c r="AJ69" i="63"/>
  <c r="AJ70" i="63"/>
  <c r="AJ71" i="63"/>
  <c r="AJ72" i="63"/>
  <c r="AJ73" i="63"/>
  <c r="AJ74" i="63"/>
  <c r="AJ75" i="63"/>
  <c r="AJ76" i="63"/>
  <c r="AJ77" i="63"/>
  <c r="AJ78" i="63"/>
  <c r="AJ79" i="63"/>
  <c r="AJ80" i="63"/>
  <c r="AJ81" i="63"/>
  <c r="AJ82" i="63"/>
  <c r="AJ83" i="63"/>
  <c r="AJ84" i="63"/>
  <c r="AJ85" i="63"/>
  <c r="AJ86" i="63"/>
  <c r="AJ87" i="63"/>
  <c r="AJ88" i="63"/>
  <c r="AJ89" i="63"/>
  <c r="AJ90" i="63"/>
  <c r="AJ91" i="63"/>
  <c r="AJ92" i="63"/>
  <c r="AJ93" i="63"/>
  <c r="AJ94" i="63"/>
  <c r="AJ95" i="63"/>
  <c r="AJ96" i="63"/>
  <c r="AJ97" i="63"/>
  <c r="AJ98" i="63"/>
  <c r="AJ99" i="63"/>
  <c r="AJ100" i="63"/>
  <c r="AJ101" i="63"/>
  <c r="AJ102" i="63"/>
  <c r="AJ103" i="63"/>
  <c r="AJ104" i="63"/>
  <c r="AJ105" i="63"/>
  <c r="AJ106" i="63"/>
  <c r="AJ107" i="63"/>
  <c r="AJ108" i="63"/>
  <c r="AJ109" i="63"/>
  <c r="AJ110" i="63"/>
  <c r="AJ111" i="63"/>
  <c r="AJ112" i="63"/>
  <c r="AJ113" i="63"/>
  <c r="AJ114" i="63"/>
  <c r="AJ115" i="63"/>
  <c r="AJ116" i="63"/>
  <c r="AJ117" i="63"/>
  <c r="AJ118" i="63"/>
  <c r="AJ119" i="63"/>
  <c r="AJ120" i="63"/>
  <c r="AJ121" i="63"/>
  <c r="AJ122" i="63"/>
  <c r="AJ123" i="63"/>
  <c r="AJ124" i="63"/>
  <c r="AJ125" i="63"/>
  <c r="AJ126" i="63"/>
  <c r="AJ127" i="63"/>
  <c r="AJ128" i="63"/>
  <c r="AJ129" i="63"/>
  <c r="AJ130" i="63"/>
  <c r="AJ131" i="63"/>
  <c r="AJ132" i="63"/>
  <c r="AJ133" i="63"/>
  <c r="AJ134" i="63"/>
  <c r="AJ135" i="63"/>
  <c r="AJ136" i="63"/>
  <c r="AJ137" i="63"/>
  <c r="AJ138" i="63"/>
  <c r="AJ139" i="63"/>
  <c r="AJ140" i="63"/>
  <c r="AJ141" i="63"/>
  <c r="AJ142" i="63"/>
  <c r="AJ143" i="63"/>
  <c r="AJ144" i="63"/>
  <c r="AJ145" i="63"/>
  <c r="AJ146" i="63"/>
  <c r="AJ147" i="63"/>
  <c r="AJ148" i="63"/>
  <c r="AJ149" i="63"/>
  <c r="AJ150" i="63"/>
  <c r="AJ151" i="63"/>
  <c r="AJ152" i="63"/>
  <c r="AJ153" i="63"/>
  <c r="AJ154" i="63"/>
  <c r="AJ155" i="63"/>
  <c r="AJ156" i="63"/>
  <c r="AJ157" i="63"/>
  <c r="AJ158" i="63"/>
  <c r="AJ159" i="63"/>
  <c r="AJ160" i="63"/>
  <c r="AJ161" i="63"/>
  <c r="AJ162" i="63"/>
  <c r="AJ163" i="63"/>
  <c r="AJ164" i="63"/>
  <c r="AJ165" i="63"/>
  <c r="AJ166" i="63"/>
  <c r="AJ167" i="63"/>
  <c r="AJ168" i="63"/>
  <c r="AJ169" i="63"/>
  <c r="AJ170" i="63"/>
  <c r="AJ171" i="63"/>
  <c r="AJ172" i="63"/>
  <c r="AJ173" i="63"/>
  <c r="AJ174" i="63"/>
  <c r="AJ175" i="63"/>
  <c r="AJ176" i="63"/>
  <c r="AJ177" i="63"/>
  <c r="AJ178" i="63"/>
  <c r="AJ179" i="63"/>
  <c r="AJ180" i="63"/>
  <c r="AJ181" i="63"/>
  <c r="AJ182" i="63"/>
  <c r="AJ183" i="63"/>
  <c r="AJ184" i="63"/>
  <c r="AJ185" i="63"/>
  <c r="AJ186" i="63"/>
  <c r="AJ187" i="63"/>
  <c r="AJ188" i="63"/>
  <c r="AJ189" i="63"/>
  <c r="AJ190" i="63"/>
  <c r="AJ191" i="63"/>
  <c r="AJ192" i="63"/>
  <c r="AJ193" i="63"/>
  <c r="AJ194" i="63"/>
  <c r="AJ195" i="63"/>
  <c r="AJ196" i="63"/>
  <c r="AJ197" i="63"/>
  <c r="AJ198" i="63"/>
  <c r="AJ199" i="63"/>
  <c r="AJ200" i="63"/>
  <c r="AJ201" i="63"/>
  <c r="AJ202" i="63"/>
  <c r="AJ203" i="63"/>
  <c r="AJ204" i="63"/>
  <c r="AJ205" i="63"/>
  <c r="AJ206" i="63"/>
  <c r="AJ207" i="63"/>
  <c r="AJ208" i="63"/>
  <c r="AJ209" i="63"/>
  <c r="AJ210" i="63"/>
  <c r="AJ211" i="63"/>
  <c r="AJ212" i="63"/>
  <c r="AJ213" i="63"/>
  <c r="AJ214" i="63"/>
  <c r="AJ215" i="63"/>
  <c r="AJ216" i="63"/>
  <c r="AJ217" i="63"/>
  <c r="AJ218" i="63"/>
  <c r="AJ219" i="63"/>
  <c r="AJ220" i="63"/>
  <c r="AJ221" i="63"/>
  <c r="AJ222" i="63"/>
  <c r="AJ223" i="63"/>
  <c r="AJ224" i="63"/>
  <c r="AJ225" i="63"/>
  <c r="AJ226" i="63"/>
  <c r="AJ227" i="63"/>
  <c r="AJ228" i="63"/>
  <c r="AJ229" i="63"/>
  <c r="AJ230" i="63"/>
  <c r="AJ231" i="63"/>
  <c r="AJ232" i="63"/>
  <c r="AJ233" i="63"/>
  <c r="AJ234" i="63"/>
  <c r="AJ235" i="63"/>
  <c r="AJ236" i="63"/>
  <c r="AJ237" i="63"/>
  <c r="AJ238" i="63"/>
  <c r="AJ239" i="63"/>
  <c r="AJ240" i="63"/>
  <c r="AJ241" i="63"/>
  <c r="AJ242" i="63"/>
  <c r="AJ243" i="63"/>
  <c r="AJ244" i="63"/>
  <c r="AJ245" i="63"/>
  <c r="AJ246" i="63"/>
  <c r="AJ247" i="63"/>
  <c r="AJ248" i="63"/>
  <c r="AJ249" i="63"/>
  <c r="AJ250" i="63"/>
  <c r="AJ251" i="63"/>
  <c r="AJ252" i="63"/>
  <c r="AJ253" i="63"/>
  <c r="AJ254" i="63"/>
  <c r="AJ255" i="63"/>
  <c r="AJ256" i="63"/>
  <c r="AJ257" i="63"/>
  <c r="AJ258" i="63"/>
  <c r="AJ259" i="63"/>
  <c r="AJ260" i="63"/>
  <c r="AJ261" i="63"/>
  <c r="AJ262" i="63"/>
  <c r="AJ263" i="63"/>
  <c r="AJ264" i="63"/>
  <c r="AJ265" i="63"/>
  <c r="AJ266" i="63"/>
  <c r="AJ267" i="63"/>
  <c r="AJ268" i="63"/>
  <c r="AJ269" i="63"/>
  <c r="AJ270" i="63"/>
  <c r="AJ271" i="63"/>
  <c r="AJ272" i="63"/>
  <c r="AJ273" i="63"/>
  <c r="AJ274" i="63"/>
  <c r="AJ275" i="63"/>
  <c r="AJ276" i="63"/>
  <c r="AJ277" i="63"/>
  <c r="AJ278" i="63"/>
  <c r="AJ279" i="63"/>
  <c r="AJ280" i="63"/>
  <c r="AJ281" i="63"/>
  <c r="AJ282" i="63"/>
  <c r="AJ283" i="63"/>
  <c r="AJ284" i="63"/>
  <c r="AJ285" i="63"/>
  <c r="AJ286" i="63"/>
  <c r="AJ287" i="63"/>
  <c r="AJ288" i="63"/>
  <c r="AJ289" i="63"/>
  <c r="AJ290" i="63"/>
  <c r="AJ291" i="63"/>
  <c r="AJ292" i="63"/>
  <c r="AJ293" i="63"/>
  <c r="AJ294" i="63"/>
  <c r="AJ295" i="63"/>
  <c r="AJ296" i="63"/>
  <c r="AJ297" i="63"/>
  <c r="AJ298" i="63"/>
  <c r="AJ299" i="63"/>
  <c r="AJ300" i="63"/>
  <c r="AJ301" i="63"/>
  <c r="AJ302" i="63"/>
  <c r="AJ303" i="63"/>
  <c r="AJ304" i="63"/>
  <c r="AJ305" i="63"/>
  <c r="AJ306" i="63"/>
  <c r="AJ307" i="63"/>
  <c r="AJ308" i="63"/>
  <c r="AJ309" i="63"/>
  <c r="AJ310" i="63"/>
  <c r="AJ311" i="63"/>
  <c r="AJ312" i="63"/>
  <c r="AJ313" i="63"/>
  <c r="AJ314" i="63"/>
  <c r="AJ315" i="63"/>
  <c r="AJ316" i="63"/>
  <c r="AJ317" i="63"/>
  <c r="AJ318" i="63"/>
  <c r="AJ319" i="63"/>
  <c r="AJ320" i="63"/>
  <c r="AJ321" i="63"/>
  <c r="AJ322" i="63"/>
  <c r="AJ323" i="63"/>
  <c r="AJ324" i="63"/>
  <c r="AJ325" i="63"/>
  <c r="AJ326" i="63"/>
  <c r="AJ327" i="63"/>
  <c r="AJ328" i="63"/>
  <c r="AJ329" i="63"/>
  <c r="AJ330" i="63"/>
  <c r="AJ331" i="63"/>
  <c r="AJ332" i="63"/>
  <c r="AJ333" i="63"/>
  <c r="AJ334" i="63"/>
  <c r="AJ335" i="63"/>
  <c r="AJ336" i="63"/>
  <c r="AJ337" i="63"/>
  <c r="AJ338" i="63"/>
  <c r="AJ339" i="63"/>
  <c r="AJ340" i="63"/>
  <c r="AJ341" i="63"/>
  <c r="AJ342" i="63"/>
  <c r="AJ343" i="63"/>
  <c r="AJ344" i="63"/>
  <c r="AJ345" i="63"/>
  <c r="AJ346" i="63"/>
  <c r="AJ347" i="63"/>
  <c r="AJ348" i="63"/>
  <c r="AJ349" i="63"/>
  <c r="AJ350" i="63"/>
  <c r="AJ351" i="63"/>
  <c r="AJ352" i="63"/>
  <c r="AJ353" i="63"/>
  <c r="AJ354" i="63"/>
  <c r="AJ355" i="63"/>
  <c r="AJ356" i="63"/>
  <c r="AJ357" i="63"/>
  <c r="AJ358" i="63"/>
  <c r="AJ359" i="63"/>
  <c r="AJ360" i="63"/>
  <c r="AJ361" i="63"/>
  <c r="AJ362" i="63"/>
  <c r="AJ363" i="63"/>
  <c r="AJ364" i="63"/>
  <c r="AJ365" i="63"/>
  <c r="AJ366" i="63"/>
  <c r="AJ367" i="63"/>
  <c r="AJ368" i="63"/>
  <c r="AJ369" i="63"/>
  <c r="AJ370" i="63"/>
  <c r="AJ371" i="63"/>
  <c r="AJ372" i="63"/>
  <c r="AJ373" i="63"/>
  <c r="AJ374" i="63"/>
  <c r="AJ375" i="63"/>
  <c r="AJ376" i="63"/>
  <c r="AJ377" i="63"/>
  <c r="AJ378" i="63"/>
  <c r="AJ379" i="63"/>
  <c r="AJ380" i="63"/>
  <c r="AJ381" i="63"/>
  <c r="AJ382" i="63"/>
  <c r="AJ383" i="63"/>
  <c r="AJ384" i="63"/>
  <c r="AJ385" i="63"/>
  <c r="AJ386" i="63"/>
  <c r="AJ387" i="63"/>
  <c r="AJ388" i="63"/>
  <c r="AJ389" i="63"/>
  <c r="AJ390" i="63"/>
  <c r="AJ391" i="63"/>
  <c r="AJ392" i="63"/>
  <c r="AJ393" i="63"/>
  <c r="AJ394" i="63"/>
  <c r="AJ395" i="63"/>
  <c r="AJ396" i="63"/>
  <c r="AJ397" i="63"/>
  <c r="AJ398" i="63"/>
  <c r="AJ399" i="63"/>
  <c r="AJ400" i="63"/>
  <c r="AJ401" i="63"/>
  <c r="AJ402" i="63"/>
  <c r="AJ403" i="63"/>
  <c r="AJ404" i="63"/>
  <c r="AJ405" i="63"/>
  <c r="AJ406" i="63"/>
  <c r="BK505" i="54"/>
  <c r="BK442" i="54"/>
  <c r="BK322" i="54"/>
  <c r="BK227" i="54"/>
  <c r="BK162" i="54"/>
  <c r="BK102" i="54"/>
  <c r="U505" i="54"/>
  <c r="AP505" i="54"/>
  <c r="AP442" i="54"/>
  <c r="AP322" i="54"/>
  <c r="AP227" i="54"/>
  <c r="AP162" i="54"/>
  <c r="AP102" i="54"/>
  <c r="BK49" i="54"/>
  <c r="AP49" i="54"/>
  <c r="M213" i="87"/>
  <c r="H235" i="90"/>
  <c r="K150" i="87"/>
  <c r="M212" i="87"/>
  <c r="D80" i="87"/>
  <c r="I154" i="90"/>
  <c r="K120" i="87"/>
  <c r="I151" i="90"/>
  <c r="K145" i="87"/>
  <c r="K147" i="87"/>
  <c r="D54" i="87"/>
  <c r="B235" i="90"/>
  <c r="K109" i="87"/>
  <c r="M207" i="87"/>
  <c r="N150" i="87"/>
  <c r="K144" i="87"/>
  <c r="K114" i="87"/>
  <c r="D66" i="87"/>
  <c r="P58" i="87"/>
  <c r="F235" i="90"/>
  <c r="K116" i="87"/>
  <c r="D107" i="96"/>
  <c r="D57" i="87"/>
  <c r="D235" i="90"/>
  <c r="K142" i="87"/>
  <c r="I143" i="90"/>
  <c r="K143" i="90"/>
  <c r="K119" i="87"/>
  <c r="K152" i="87"/>
  <c r="K141" i="87"/>
  <c r="D60" i="87"/>
  <c r="J104" i="87"/>
  <c r="D82" i="87"/>
  <c r="K151" i="87"/>
  <c r="I152" i="90"/>
  <c r="J103" i="87"/>
  <c r="K108" i="87"/>
  <c r="K107" i="87"/>
  <c r="D51" i="87"/>
  <c r="I153" i="90"/>
  <c r="K138" i="87"/>
  <c r="K148" i="87"/>
  <c r="M208" i="87"/>
  <c r="P56" i="87"/>
  <c r="K113" i="87"/>
  <c r="I236" i="90"/>
  <c r="K121" i="87"/>
  <c r="I150" i="90"/>
  <c r="D63" i="87"/>
  <c r="K111" i="87"/>
  <c r="E43" i="87"/>
  <c r="J235" i="90"/>
  <c r="G236" i="90"/>
  <c r="K110" i="87"/>
  <c r="Q52" i="87"/>
  <c r="Q51" i="87"/>
  <c r="K140" i="87"/>
  <c r="P57" i="87"/>
  <c r="K139" i="87"/>
  <c r="D78" i="87"/>
  <c r="U126" i="54" l="1" a="1"/>
  <c r="U126" i="54" s="1"/>
  <c r="AF5" i="97"/>
  <c r="AF4" i="97"/>
  <c r="AF3" i="97"/>
  <c r="E129" i="106"/>
  <c r="D131" i="106" s="1" a="1"/>
  <c r="D131" i="106" s="1"/>
  <c r="F129" i="106"/>
  <c r="AK45" i="60"/>
  <c r="BK45" i="60" s="1"/>
  <c r="AK182" i="60"/>
  <c r="BA182" i="60" s="1"/>
  <c r="BE182" i="60" s="1"/>
  <c r="AK96" i="60"/>
  <c r="AT96" i="60" s="1"/>
  <c r="AK139" i="60"/>
  <c r="AP139" i="60" s="1"/>
  <c r="AK255" i="60"/>
  <c r="AW255" i="60" s="1"/>
  <c r="BC96" i="60" a="1"/>
  <c r="BC96" i="60" s="1"/>
  <c r="H158" i="100"/>
  <c r="F158" i="100"/>
  <c r="E158" i="100" s="1"/>
  <c r="G58" i="100"/>
  <c r="H312" i="100"/>
  <c r="F312" i="100"/>
  <c r="E312" i="100" s="1"/>
  <c r="F88" i="100"/>
  <c r="E88" i="100" s="1"/>
  <c r="H88" i="100"/>
  <c r="H74" i="100"/>
  <c r="F74" i="100"/>
  <c r="E74" i="100" s="1"/>
  <c r="H284" i="100"/>
  <c r="F284" i="100"/>
  <c r="E284" i="100" s="1"/>
  <c r="F186" i="100"/>
  <c r="E186" i="100" s="1"/>
  <c r="H186" i="100"/>
  <c r="F270" i="100"/>
  <c r="E270" i="100" s="1"/>
  <c r="H270" i="100"/>
  <c r="H102" i="100"/>
  <c r="F102" i="100"/>
  <c r="E102" i="100" s="1"/>
  <c r="H228" i="100"/>
  <c r="F228" i="100"/>
  <c r="E228" i="100" s="1"/>
  <c r="F130" i="100"/>
  <c r="E130" i="100" s="1"/>
  <c r="H130" i="100"/>
  <c r="H172" i="100"/>
  <c r="F172" i="100"/>
  <c r="E172" i="100" s="1"/>
  <c r="H200" i="100"/>
  <c r="F200" i="100"/>
  <c r="E200" i="100" s="1"/>
  <c r="H256" i="100"/>
  <c r="F256" i="100"/>
  <c r="E256" i="100" s="1"/>
  <c r="H326" i="100"/>
  <c r="F326" i="100"/>
  <c r="F214" i="100"/>
  <c r="E214" i="100" s="1"/>
  <c r="H214" i="100"/>
  <c r="H116" i="100"/>
  <c r="F116" i="100"/>
  <c r="E116" i="100" s="1"/>
  <c r="F298" i="100"/>
  <c r="E298" i="100" s="1"/>
  <c r="H298" i="100"/>
  <c r="H242" i="100"/>
  <c r="F242" i="100"/>
  <c r="E242" i="100" s="1"/>
  <c r="AB43" i="54"/>
  <c r="AB96" i="54"/>
  <c r="AB156" i="54"/>
  <c r="AB221" i="54"/>
  <c r="AB316" i="54"/>
  <c r="AW156" i="54"/>
  <c r="AW221" i="54"/>
  <c r="AW316" i="54"/>
  <c r="AW436" i="54"/>
  <c r="AB436" i="54"/>
  <c r="G436" i="54"/>
  <c r="G96" i="54"/>
  <c r="G43" i="54"/>
  <c r="AB33" i="70"/>
  <c r="AA33" i="70"/>
  <c r="S33" i="70"/>
  <c r="AE256" i="60"/>
  <c r="AD256" i="60"/>
  <c r="V256" i="60"/>
  <c r="AE183" i="60"/>
  <c r="AD183" i="60"/>
  <c r="AE140" i="60"/>
  <c r="AD140" i="60"/>
  <c r="V97" i="60"/>
  <c r="AE97" i="60"/>
  <c r="AD97" i="60"/>
  <c r="AE46" i="60"/>
  <c r="AD46" i="60"/>
  <c r="V46" i="60"/>
  <c r="V140" i="60"/>
  <c r="V183" i="60"/>
  <c r="AK436" i="54"/>
  <c r="AJ436" i="54"/>
  <c r="AK316" i="54"/>
  <c r="AJ316" i="54"/>
  <c r="AK221" i="54"/>
  <c r="AJ221" i="54"/>
  <c r="AK156" i="54"/>
  <c r="AJ156" i="54"/>
  <c r="AK96" i="54"/>
  <c r="AJ96" i="54"/>
  <c r="AJ43" i="54"/>
  <c r="AK43" i="54"/>
  <c r="BF436" i="54"/>
  <c r="BE436" i="54"/>
  <c r="BF316" i="54"/>
  <c r="BE316" i="54"/>
  <c r="BF221" i="54"/>
  <c r="BE221" i="54"/>
  <c r="BF156" i="54"/>
  <c r="BE156" i="54"/>
  <c r="BF96" i="54"/>
  <c r="BE96" i="54"/>
  <c r="BF43" i="54"/>
  <c r="BE43" i="54"/>
  <c r="P436" i="54"/>
  <c r="O436" i="54"/>
  <c r="P316" i="54"/>
  <c r="O316" i="54"/>
  <c r="P221" i="54"/>
  <c r="O221" i="54"/>
  <c r="P156" i="54"/>
  <c r="O156" i="54"/>
  <c r="P96" i="54"/>
  <c r="O96" i="54"/>
  <c r="P43" i="54"/>
  <c r="O43" i="54"/>
  <c r="AX96" i="54"/>
  <c r="AX43" i="54"/>
  <c r="N4" i="98"/>
  <c r="P2" i="96"/>
  <c r="P4" i="96"/>
  <c r="P3" i="96"/>
  <c r="AG3" i="94"/>
  <c r="AG4" i="94"/>
  <c r="AG5" i="94"/>
  <c r="AG4" i="93"/>
  <c r="AG5" i="93"/>
  <c r="AG3" i="93"/>
  <c r="R111" i="90"/>
  <c r="Q111" i="90"/>
  <c r="S111" i="90"/>
  <c r="T111" i="90" s="1"/>
  <c r="I467" i="90"/>
  <c r="H467" i="90" s="1"/>
  <c r="B467" i="90"/>
  <c r="D467" i="90" s="1"/>
  <c r="P112" i="90"/>
  <c r="Q113" i="90"/>
  <c r="R113" i="90"/>
  <c r="S113" i="90"/>
  <c r="T113" i="90" s="1"/>
  <c r="S116" i="90"/>
  <c r="T116" i="90" s="1"/>
  <c r="Q116" i="90"/>
  <c r="R116" i="90"/>
  <c r="V240" i="90"/>
  <c r="U240" i="90"/>
  <c r="P115" i="90"/>
  <c r="J164" i="90"/>
  <c r="I164" i="90"/>
  <c r="K164" i="90" s="1"/>
  <c r="H164" i="90"/>
  <c r="C395" i="90"/>
  <c r="D395" i="90"/>
  <c r="E395" i="90"/>
  <c r="F233" i="90"/>
  <c r="G233" i="90"/>
  <c r="D464" i="90"/>
  <c r="O110" i="90"/>
  <c r="P110" i="90" s="1"/>
  <c r="O112" i="90"/>
  <c r="O115" i="90"/>
  <c r="M349" i="90"/>
  <c r="M352" i="90" s="1"/>
  <c r="L395" i="90"/>
  <c r="D468" i="90"/>
  <c r="N395" i="90"/>
  <c r="F410" i="90"/>
  <c r="G410" i="90" s="1"/>
  <c r="J410" i="90" s="1"/>
  <c r="I466" i="90"/>
  <c r="H466" i="90" s="1"/>
  <c r="B466" i="90" s="1"/>
  <c r="D466" i="90" s="1"/>
  <c r="E192" i="90"/>
  <c r="V239" i="90"/>
  <c r="H349" i="90"/>
  <c r="H352" i="90" s="1"/>
  <c r="J349" i="90"/>
  <c r="J352" i="90" s="1"/>
  <c r="K349" i="90"/>
  <c r="K352" i="90" s="1"/>
  <c r="O117" i="90"/>
  <c r="P117" i="90" s="1"/>
  <c r="S229" i="90"/>
  <c r="J489" i="90"/>
  <c r="J491" i="90" s="1"/>
  <c r="J492" i="90" s="1"/>
  <c r="O189" i="90"/>
  <c r="D211" i="90"/>
  <c r="E211" i="90" s="1"/>
  <c r="F407" i="90"/>
  <c r="G407" i="90" s="1"/>
  <c r="J407" i="90" s="1"/>
  <c r="I395" i="90"/>
  <c r="F411" i="90"/>
  <c r="G411" i="90" s="1"/>
  <c r="J411" i="90" s="1"/>
  <c r="H395" i="90"/>
  <c r="F408" i="90"/>
  <c r="G408" i="90" s="1"/>
  <c r="J408" i="90" s="1"/>
  <c r="D194" i="90"/>
  <c r="E194" i="90" s="1"/>
  <c r="L291" i="90"/>
  <c r="L349" i="90"/>
  <c r="L352" i="90" s="1"/>
  <c r="F409" i="90"/>
  <c r="G409" i="90" s="1"/>
  <c r="J409" i="90" s="1"/>
  <c r="H154" i="90"/>
  <c r="E208" i="90"/>
  <c r="P117" i="89"/>
  <c r="B69" i="89"/>
  <c r="C69" i="89" s="1"/>
  <c r="L114" i="89"/>
  <c r="AR5" i="88"/>
  <c r="AR3" i="88" a="1"/>
  <c r="AR3" i="88" s="1"/>
  <c r="AR4" i="88"/>
  <c r="G171" i="87"/>
  <c r="F171" i="87"/>
  <c r="J114" i="87"/>
  <c r="H106" i="87"/>
  <c r="T225" i="87"/>
  <c r="J140" i="87"/>
  <c r="H140" i="87"/>
  <c r="J142" i="87" s="1"/>
  <c r="G140" i="87"/>
  <c r="J141" i="87" s="1"/>
  <c r="G178" i="87"/>
  <c r="G183" i="87" s="1"/>
  <c r="E186" i="87" s="1"/>
  <c r="H172" i="87" s="1"/>
  <c r="G116" i="87"/>
  <c r="H178" i="87"/>
  <c r="H116" i="87"/>
  <c r="H182" i="87"/>
  <c r="E172" i="87" s="1"/>
  <c r="BF3" i="87"/>
  <c r="E109" i="87"/>
  <c r="T222" i="87"/>
  <c r="J119" i="87"/>
  <c r="J150" i="87"/>
  <c r="AG45" i="63"/>
  <c r="AG102" i="63"/>
  <c r="AG159" i="63"/>
  <c r="AG213" i="63"/>
  <c r="AG270" i="63"/>
  <c r="AG327" i="63"/>
  <c r="AG385" i="63"/>
  <c r="AG415" i="63"/>
  <c r="AJ262" i="60"/>
  <c r="AJ189" i="60"/>
  <c r="AJ146" i="60"/>
  <c r="AJ103" i="60"/>
  <c r="AJ52" i="60"/>
  <c r="BB42" i="54"/>
  <c r="BA42" i="54"/>
  <c r="AZ42" i="54"/>
  <c r="AY42" i="54"/>
  <c r="AX42" i="54"/>
  <c r="AW42" i="54"/>
  <c r="AV42" i="54"/>
  <c r="AU42" i="54"/>
  <c r="AT42" i="54"/>
  <c r="AS42" i="54"/>
  <c r="AG42" i="54"/>
  <c r="AF42" i="54"/>
  <c r="AE42" i="54"/>
  <c r="AD42" i="54"/>
  <c r="AC42" i="54"/>
  <c r="AB42" i="54"/>
  <c r="AA42" i="54"/>
  <c r="Z42" i="54"/>
  <c r="Y42" i="54"/>
  <c r="X42" i="54"/>
  <c r="L42" i="54"/>
  <c r="K42" i="54"/>
  <c r="J42" i="54"/>
  <c r="I42" i="54"/>
  <c r="H42" i="54"/>
  <c r="G42" i="54"/>
  <c r="F42" i="54"/>
  <c r="E42" i="54"/>
  <c r="D42" i="54"/>
  <c r="C42" i="54"/>
  <c r="BB41" i="54"/>
  <c r="BA41" i="54"/>
  <c r="AZ41" i="54"/>
  <c r="AY41" i="54"/>
  <c r="AX41" i="54"/>
  <c r="AW41" i="54"/>
  <c r="AV41" i="54"/>
  <c r="AU41" i="54"/>
  <c r="AT41" i="54"/>
  <c r="AS41" i="54"/>
  <c r="AG41" i="54"/>
  <c r="AF41" i="54"/>
  <c r="AE41" i="54"/>
  <c r="AD41" i="54"/>
  <c r="AC41" i="54"/>
  <c r="AB41" i="54"/>
  <c r="AA41" i="54"/>
  <c r="Z41" i="54"/>
  <c r="Y41" i="54"/>
  <c r="X41" i="54"/>
  <c r="L41" i="54"/>
  <c r="K41" i="54"/>
  <c r="J41" i="54"/>
  <c r="I41" i="54"/>
  <c r="H41" i="54"/>
  <c r="G41" i="54"/>
  <c r="F41" i="54"/>
  <c r="E41" i="54"/>
  <c r="D41" i="54"/>
  <c r="C41" i="54"/>
  <c r="U49" i="54"/>
  <c r="U102" i="54"/>
  <c r="U162" i="54"/>
  <c r="U442" i="54"/>
  <c r="U322" i="54"/>
  <c r="U227" i="54"/>
  <c r="V20" i="60"/>
  <c r="V382" i="63" a="1"/>
  <c r="V382" i="63" s="1"/>
  <c r="W382" i="63" a="1"/>
  <c r="W382" i="63" s="1"/>
  <c r="V383" i="63" a="1"/>
  <c r="V383" i="63" s="1"/>
  <c r="W383" i="63" a="1"/>
  <c r="W383" i="63" s="1"/>
  <c r="V384" i="63" a="1"/>
  <c r="V384" i="63" s="1"/>
  <c r="W384" i="63" a="1"/>
  <c r="W384" i="63"/>
  <c r="V385" i="63" a="1"/>
  <c r="V385" i="63"/>
  <c r="W385" i="63" a="1"/>
  <c r="W385" i="63"/>
  <c r="V386" i="63" a="1"/>
  <c r="V386" i="63" s="1"/>
  <c r="W386" i="63" a="1"/>
  <c r="W386" i="63" s="1"/>
  <c r="V387" i="63" a="1"/>
  <c r="V387" i="63" s="1"/>
  <c r="W387" i="63" a="1"/>
  <c r="W387" i="63" s="1"/>
  <c r="V388" i="63" a="1"/>
  <c r="V388" i="63" s="1"/>
  <c r="W388" i="63" a="1"/>
  <c r="W388" i="63"/>
  <c r="V389" i="63" a="1"/>
  <c r="V389" i="63"/>
  <c r="W389" i="63" a="1"/>
  <c r="W389" i="63"/>
  <c r="V390" i="63" a="1"/>
  <c r="V390" i="63" s="1"/>
  <c r="W390" i="63" a="1"/>
  <c r="W390" i="63" s="1"/>
  <c r="V391" i="63" a="1"/>
  <c r="V391" i="63" s="1"/>
  <c r="W391" i="63" a="1"/>
  <c r="W391" i="63" s="1"/>
  <c r="V392" i="63" a="1"/>
  <c r="V392" i="63" s="1"/>
  <c r="W392" i="63" a="1"/>
  <c r="W392" i="63"/>
  <c r="V393" i="63" a="1"/>
  <c r="V393" i="63"/>
  <c r="W393" i="63" a="1"/>
  <c r="W393" i="63"/>
  <c r="V394" i="63" a="1"/>
  <c r="V394" i="63" s="1"/>
  <c r="W394" i="63" a="1"/>
  <c r="W394" i="63" s="1"/>
  <c r="V395" i="63" a="1"/>
  <c r="V395" i="63" s="1"/>
  <c r="W395" i="63" a="1"/>
  <c r="W395" i="63" s="1"/>
  <c r="V396" i="63" a="1"/>
  <c r="V396" i="63" s="1"/>
  <c r="W396" i="63" a="1"/>
  <c r="W396" i="63"/>
  <c r="V397" i="63" a="1"/>
  <c r="V397" i="63"/>
  <c r="W397" i="63" a="1"/>
  <c r="W397" i="63"/>
  <c r="V398" i="63" a="1"/>
  <c r="V398" i="63" s="1"/>
  <c r="W398" i="63" a="1"/>
  <c r="W398" i="63" s="1"/>
  <c r="V399" i="63" a="1"/>
  <c r="V399" i="63" s="1"/>
  <c r="W399" i="63" a="1"/>
  <c r="W399" i="63" s="1"/>
  <c r="V400" i="63" a="1"/>
  <c r="V400" i="63" s="1"/>
  <c r="W400" i="63" a="1"/>
  <c r="W400" i="63"/>
  <c r="V401" i="63" a="1"/>
  <c r="V401" i="63"/>
  <c r="W401" i="63" a="1"/>
  <c r="W401" i="63" s="1"/>
  <c r="W381" i="63" a="1"/>
  <c r="W381" i="63" s="1"/>
  <c r="V381" i="63" a="1"/>
  <c r="V381" i="63" s="1"/>
  <c r="V324" i="63" a="1"/>
  <c r="V324" i="63" s="1"/>
  <c r="W324" i="63" a="1"/>
  <c r="W324" i="63" s="1"/>
  <c r="V325" i="63" a="1"/>
  <c r="V325" i="63" s="1"/>
  <c r="W325" i="63" a="1"/>
  <c r="W325" i="63" s="1"/>
  <c r="V326" i="63" a="1"/>
  <c r="V326" i="63"/>
  <c r="W326" i="63" a="1"/>
  <c r="W326" i="63"/>
  <c r="V327" i="63" a="1"/>
  <c r="V327" i="63"/>
  <c r="W327" i="63" a="1"/>
  <c r="W327" i="63"/>
  <c r="V328" i="63" a="1"/>
  <c r="V328" i="63" s="1"/>
  <c r="W328" i="63" a="1"/>
  <c r="W328" i="63" s="1"/>
  <c r="V329" i="63" a="1"/>
  <c r="V329" i="63" s="1"/>
  <c r="W329" i="63" a="1"/>
  <c r="W329" i="63" s="1"/>
  <c r="V330" i="63" a="1"/>
  <c r="V330" i="63"/>
  <c r="W330" i="63" a="1"/>
  <c r="W330" i="63"/>
  <c r="V331" i="63" a="1"/>
  <c r="V331" i="63"/>
  <c r="W331" i="63" a="1"/>
  <c r="W331" i="63"/>
  <c r="V332" i="63" a="1"/>
  <c r="V332" i="63" s="1"/>
  <c r="W332" i="63" a="1"/>
  <c r="W332" i="63" s="1"/>
  <c r="V333" i="63" a="1"/>
  <c r="V333" i="63" s="1"/>
  <c r="W333" i="63" a="1"/>
  <c r="W333" i="63" s="1"/>
  <c r="V334" i="63" a="1"/>
  <c r="V334" i="63"/>
  <c r="W334" i="63" a="1"/>
  <c r="W334" i="63"/>
  <c r="V335" i="63" a="1"/>
  <c r="V335" i="63"/>
  <c r="W335" i="63" a="1"/>
  <c r="W335" i="63"/>
  <c r="V336" i="63" a="1"/>
  <c r="V336" i="63" s="1"/>
  <c r="W336" i="63" a="1"/>
  <c r="W336" i="63" s="1"/>
  <c r="V337" i="63" a="1"/>
  <c r="V337" i="63" s="1"/>
  <c r="W337" i="63" a="1"/>
  <c r="W337" i="63" s="1"/>
  <c r="V338" i="63" a="1"/>
  <c r="V338" i="63"/>
  <c r="W338" i="63" a="1"/>
  <c r="W338" i="63"/>
  <c r="V339" i="63" a="1"/>
  <c r="V339" i="63"/>
  <c r="W339" i="63" a="1"/>
  <c r="W339" i="63"/>
  <c r="V340" i="63" a="1"/>
  <c r="V340" i="63" s="1"/>
  <c r="W340" i="63" a="1"/>
  <c r="W340" i="63" s="1"/>
  <c r="V341" i="63" a="1"/>
  <c r="V341" i="63" s="1"/>
  <c r="W341" i="63" a="1"/>
  <c r="W341" i="63" s="1"/>
  <c r="V342" i="63" a="1"/>
  <c r="V342" i="63" s="1"/>
  <c r="W342" i="63" a="1"/>
  <c r="W342" i="63" s="1"/>
  <c r="W323" i="63" a="1"/>
  <c r="W323" i="63" s="1"/>
  <c r="V323" i="63" a="1"/>
  <c r="V323" i="63" s="1"/>
  <c r="V267" i="63" a="1"/>
  <c r="V267" i="63" s="1"/>
  <c r="W267" i="63" a="1"/>
  <c r="W267" i="63" s="1"/>
  <c r="V268" i="63" a="1"/>
  <c r="V268" i="63" s="1"/>
  <c r="W268" i="63" a="1"/>
  <c r="W268" i="63" s="1"/>
  <c r="V269" i="63" a="1"/>
  <c r="V269" i="63" s="1"/>
  <c r="W269" i="63" a="1"/>
  <c r="W269" i="63" s="1"/>
  <c r="V270" i="63" a="1"/>
  <c r="V270" i="63" s="1"/>
  <c r="W270" i="63" a="1"/>
  <c r="W270" i="63"/>
  <c r="V271" i="63" a="1"/>
  <c r="V271" i="63" s="1"/>
  <c r="W271" i="63" a="1"/>
  <c r="W271" i="63" s="1"/>
  <c r="V272" i="63" a="1"/>
  <c r="V272" i="63"/>
  <c r="W272" i="63" a="1"/>
  <c r="W272" i="63" s="1"/>
  <c r="V273" i="63" a="1"/>
  <c r="V273" i="63"/>
  <c r="W273" i="63" a="1"/>
  <c r="W273" i="63"/>
  <c r="V274" i="63" a="1"/>
  <c r="V274" i="63" s="1"/>
  <c r="W274" i="63" a="1"/>
  <c r="W274" i="63"/>
  <c r="V275" i="63" a="1"/>
  <c r="V275" i="63" s="1"/>
  <c r="W275" i="63" a="1"/>
  <c r="W275" i="63" s="1"/>
  <c r="V276" i="63" a="1"/>
  <c r="V276" i="63"/>
  <c r="W276" i="63" a="1"/>
  <c r="W276" i="63" s="1"/>
  <c r="V277" i="63" a="1"/>
  <c r="V277" i="63"/>
  <c r="W277" i="63" a="1"/>
  <c r="W277" i="63"/>
  <c r="V278" i="63" a="1"/>
  <c r="V278" i="63" s="1"/>
  <c r="W278" i="63" a="1"/>
  <c r="W278" i="63"/>
  <c r="V279" i="63" a="1"/>
  <c r="V279" i="63" s="1"/>
  <c r="W279" i="63" a="1"/>
  <c r="W279" i="63" s="1"/>
  <c r="V280" i="63" a="1"/>
  <c r="V280" i="63"/>
  <c r="W280" i="63" a="1"/>
  <c r="W280" i="63" s="1"/>
  <c r="V281" i="63" a="1"/>
  <c r="V281" i="63"/>
  <c r="W281" i="63" a="1"/>
  <c r="W281" i="63"/>
  <c r="V282" i="63" a="1"/>
  <c r="V282" i="63" s="1"/>
  <c r="W282" i="63" a="1"/>
  <c r="W282" i="63"/>
  <c r="V283" i="63" a="1"/>
  <c r="V283" i="63" s="1"/>
  <c r="W283" i="63" a="1"/>
  <c r="W283" i="63" s="1"/>
  <c r="V284" i="63" a="1"/>
  <c r="V284" i="63"/>
  <c r="W284" i="63" a="1"/>
  <c r="W284" i="63" s="1"/>
  <c r="V285" i="63" a="1"/>
  <c r="V285" i="63"/>
  <c r="W285" i="63" a="1"/>
  <c r="W285" i="63"/>
  <c r="V286" i="63" a="1"/>
  <c r="V286" i="63" s="1"/>
  <c r="W286" i="63" a="1"/>
  <c r="W286" i="63"/>
  <c r="W266" i="63" a="1"/>
  <c r="W266" i="63" s="1"/>
  <c r="V266" i="63" a="1"/>
  <c r="V266" i="63" s="1"/>
  <c r="V210" i="63" a="1"/>
  <c r="V210" i="63" s="1"/>
  <c r="W210" i="63" a="1"/>
  <c r="W210" i="63" s="1"/>
  <c r="V211" i="63" a="1"/>
  <c r="V211" i="63"/>
  <c r="W211" i="63" a="1"/>
  <c r="W211" i="63"/>
  <c r="V212" i="63" a="1"/>
  <c r="V212" i="63"/>
  <c r="W212" i="63" a="1"/>
  <c r="W212" i="63"/>
  <c r="V213" i="63" a="1"/>
  <c r="V213" i="63"/>
  <c r="W213" i="63" a="1"/>
  <c r="W213" i="63"/>
  <c r="V214" i="63" a="1"/>
  <c r="V214" i="63" s="1"/>
  <c r="W214" i="63" a="1"/>
  <c r="W214" i="63" s="1"/>
  <c r="V215" i="63" a="1"/>
  <c r="V215" i="63"/>
  <c r="W215" i="63" a="1"/>
  <c r="W215" i="63"/>
  <c r="V216" i="63" a="1"/>
  <c r="V216" i="63"/>
  <c r="W216" i="63" a="1"/>
  <c r="W216" i="63"/>
  <c r="V217" i="63" a="1"/>
  <c r="V217" i="63"/>
  <c r="W217" i="63" a="1"/>
  <c r="W217" i="63"/>
  <c r="V218" i="63" a="1"/>
  <c r="V218" i="63" s="1"/>
  <c r="W218" i="63" a="1"/>
  <c r="W218" i="63" s="1"/>
  <c r="V219" i="63" a="1"/>
  <c r="V219" i="63"/>
  <c r="W219" i="63" a="1"/>
  <c r="W219" i="63"/>
  <c r="V220" i="63" a="1"/>
  <c r="V220" i="63"/>
  <c r="W220" i="63" a="1"/>
  <c r="W220" i="63"/>
  <c r="V221" i="63" a="1"/>
  <c r="V221" i="63"/>
  <c r="W221" i="63" a="1"/>
  <c r="W221" i="63"/>
  <c r="V222" i="63" a="1"/>
  <c r="V222" i="63" s="1"/>
  <c r="W222" i="63" a="1"/>
  <c r="W222" i="63" s="1"/>
  <c r="V223" i="63" a="1"/>
  <c r="V223" i="63"/>
  <c r="W223" i="63" a="1"/>
  <c r="W223" i="63"/>
  <c r="V224" i="63" a="1"/>
  <c r="V224" i="63"/>
  <c r="W224" i="63" a="1"/>
  <c r="W224" i="63"/>
  <c r="V225" i="63" a="1"/>
  <c r="V225" i="63"/>
  <c r="W225" i="63" a="1"/>
  <c r="W225" i="63"/>
  <c r="V226" i="63" a="1"/>
  <c r="V226" i="63" s="1"/>
  <c r="W226" i="63" a="1"/>
  <c r="W226" i="63" s="1"/>
  <c r="V227" i="63" a="1"/>
  <c r="V227" i="63"/>
  <c r="W227" i="63" a="1"/>
  <c r="W227" i="63"/>
  <c r="V228" i="63" a="1"/>
  <c r="V228" i="63"/>
  <c r="W228" i="63" a="1"/>
  <c r="W228" i="63"/>
  <c r="W209" i="63" a="1"/>
  <c r="W209" i="63" s="1"/>
  <c r="V209" i="63" a="1"/>
  <c r="V209" i="63" s="1"/>
  <c r="V156" i="63" a="1"/>
  <c r="V156" i="63"/>
  <c r="W156" i="63" a="1"/>
  <c r="W156" i="63" s="1"/>
  <c r="V157" i="63" a="1"/>
  <c r="V157" i="63"/>
  <c r="W157" i="63" a="1"/>
  <c r="W157" i="63"/>
  <c r="V158" i="63" a="1"/>
  <c r="V158" i="63"/>
  <c r="W158" i="63" a="1"/>
  <c r="W158" i="63"/>
  <c r="V159" i="63" a="1"/>
  <c r="V159" i="63"/>
  <c r="W159" i="63" a="1"/>
  <c r="W159" i="63"/>
  <c r="V160" i="63" a="1"/>
  <c r="V160" i="63"/>
  <c r="W160" i="63" a="1"/>
  <c r="W160" i="63" s="1"/>
  <c r="V161" i="63" a="1"/>
  <c r="V161" i="63"/>
  <c r="W161" i="63" a="1"/>
  <c r="W161" i="63"/>
  <c r="V162" i="63" a="1"/>
  <c r="V162" i="63"/>
  <c r="W162" i="63" a="1"/>
  <c r="W162" i="63"/>
  <c r="V163" i="63" a="1"/>
  <c r="V163" i="63"/>
  <c r="W163" i="63" a="1"/>
  <c r="W163" i="63"/>
  <c r="V164" i="63" a="1"/>
  <c r="V164" i="63"/>
  <c r="W164" i="63" a="1"/>
  <c r="W164" i="63" s="1"/>
  <c r="V165" i="63" a="1"/>
  <c r="V165" i="63"/>
  <c r="W165" i="63" a="1"/>
  <c r="W165" i="63"/>
  <c r="V166" i="63" a="1"/>
  <c r="V166" i="63"/>
  <c r="W166" i="63" a="1"/>
  <c r="W166" i="63"/>
  <c r="V167" i="63" a="1"/>
  <c r="V167" i="63"/>
  <c r="W167" i="63" a="1"/>
  <c r="W167" i="63"/>
  <c r="V168" i="63" a="1"/>
  <c r="V168" i="63"/>
  <c r="W168" i="63" a="1"/>
  <c r="W168" i="63" s="1"/>
  <c r="V169" i="63" a="1"/>
  <c r="V169" i="63"/>
  <c r="W169" i="63" a="1"/>
  <c r="W169" i="63"/>
  <c r="V170" i="63" a="1"/>
  <c r="V170" i="63"/>
  <c r="W170" i="63" a="1"/>
  <c r="W170" i="63"/>
  <c r="V171" i="63" a="1"/>
  <c r="V171" i="63"/>
  <c r="W171" i="63" a="1"/>
  <c r="W171" i="63"/>
  <c r="V172" i="63" a="1"/>
  <c r="V172" i="63"/>
  <c r="W172" i="63" a="1"/>
  <c r="W172" i="63" s="1"/>
  <c r="V173" i="63" a="1"/>
  <c r="V173" i="63"/>
  <c r="W173" i="63" a="1"/>
  <c r="W173" i="63"/>
  <c r="V174" i="63" a="1"/>
  <c r="V174" i="63"/>
  <c r="W174" i="63" a="1"/>
  <c r="W174" i="63"/>
  <c r="W155" i="63" a="1"/>
  <c r="W155" i="63" s="1"/>
  <c r="V155" i="63"/>
  <c r="V155" i="63" a="1"/>
  <c r="V99" i="63" a="1"/>
  <c r="V99" i="63" s="1"/>
  <c r="W99" i="63" a="1"/>
  <c r="W99" i="63" s="1"/>
  <c r="V100" i="63" a="1"/>
  <c r="V100" i="63"/>
  <c r="W100" i="63" a="1"/>
  <c r="W100" i="63" s="1"/>
  <c r="V101" i="63" a="1"/>
  <c r="V101" i="63" s="1"/>
  <c r="W101" i="63" a="1"/>
  <c r="W101" i="63" s="1"/>
  <c r="V102" i="63" a="1"/>
  <c r="V102" i="63" s="1"/>
  <c r="W102" i="63" a="1"/>
  <c r="W102" i="63" s="1"/>
  <c r="V103" i="63" a="1"/>
  <c r="V103" i="63" s="1"/>
  <c r="W103" i="63" a="1"/>
  <c r="W103" i="63" s="1"/>
  <c r="V104" i="63" a="1"/>
  <c r="V104" i="63"/>
  <c r="W104" i="63" a="1"/>
  <c r="W104" i="63" s="1"/>
  <c r="V105" i="63" a="1"/>
  <c r="V105" i="63"/>
  <c r="W105" i="63" a="1"/>
  <c r="W105" i="63"/>
  <c r="V106" i="63" a="1"/>
  <c r="V106" i="63"/>
  <c r="W106" i="63" a="1"/>
  <c r="W106" i="63"/>
  <c r="V107" i="63" a="1"/>
  <c r="V107" i="63" s="1"/>
  <c r="W107" i="63" a="1"/>
  <c r="W107" i="63" s="1"/>
  <c r="V108" i="63" a="1"/>
  <c r="V108" i="63"/>
  <c r="W108" i="63" a="1"/>
  <c r="W108" i="63" s="1"/>
  <c r="V109" i="63" a="1"/>
  <c r="V109" i="63"/>
  <c r="W109" i="63" a="1"/>
  <c r="W109" i="63"/>
  <c r="V110" i="63" a="1"/>
  <c r="V110" i="63"/>
  <c r="W110" i="63" a="1"/>
  <c r="W110" i="63"/>
  <c r="V111" i="63" a="1"/>
  <c r="V111" i="63" s="1"/>
  <c r="W111" i="63" a="1"/>
  <c r="W111" i="63" s="1"/>
  <c r="V112" i="63" a="1"/>
  <c r="V112" i="63"/>
  <c r="W112" i="63" a="1"/>
  <c r="W112" i="63" s="1"/>
  <c r="V113" i="63" a="1"/>
  <c r="V113" i="63"/>
  <c r="W113" i="63" a="1"/>
  <c r="W113" i="63"/>
  <c r="V114" i="63" a="1"/>
  <c r="V114" i="63"/>
  <c r="W114" i="63" a="1"/>
  <c r="W114" i="63"/>
  <c r="V115" i="63" a="1"/>
  <c r="V115" i="63" s="1"/>
  <c r="W115" i="63" a="1"/>
  <c r="W115" i="63" s="1"/>
  <c r="V116" i="63" a="1"/>
  <c r="V116" i="63"/>
  <c r="W116" i="63" a="1"/>
  <c r="W116" i="63" s="1"/>
  <c r="V117" i="63" a="1"/>
  <c r="V117" i="63"/>
  <c r="W117" i="63" a="1"/>
  <c r="W117" i="63"/>
  <c r="W98" i="63" a="1"/>
  <c r="W98" i="63" s="1"/>
  <c r="V98" i="63" a="1"/>
  <c r="V98" i="63" s="1"/>
  <c r="V42" i="63" a="1"/>
  <c r="V42" i="63" s="1"/>
  <c r="W42" i="63" a="1"/>
  <c r="W42" i="63" s="1"/>
  <c r="V43" i="63" a="1"/>
  <c r="V43" i="63"/>
  <c r="W43" i="63" a="1"/>
  <c r="W43" i="63" s="1"/>
  <c r="V44" i="63" a="1"/>
  <c r="V44" i="63"/>
  <c r="W44" i="63" a="1"/>
  <c r="W44" i="63"/>
  <c r="V45" i="63" a="1"/>
  <c r="V45" i="63" s="1"/>
  <c r="W45" i="63" a="1"/>
  <c r="W45" i="63"/>
  <c r="V46" i="63" a="1"/>
  <c r="V46" i="63" s="1"/>
  <c r="W46" i="63" a="1"/>
  <c r="W46" i="63" s="1"/>
  <c r="V47" i="63" a="1"/>
  <c r="V47" i="63"/>
  <c r="W47" i="63" a="1"/>
  <c r="W47" i="63" s="1"/>
  <c r="V48" i="63" a="1"/>
  <c r="V48" i="63"/>
  <c r="W48" i="63" a="1"/>
  <c r="W48" i="63"/>
  <c r="V49" i="63" a="1"/>
  <c r="V49" i="63" s="1"/>
  <c r="W49" i="63" a="1"/>
  <c r="W49" i="63"/>
  <c r="V50" i="63" a="1"/>
  <c r="V50" i="63" s="1"/>
  <c r="W50" i="63" a="1"/>
  <c r="W50" i="63" s="1"/>
  <c r="V51" i="63" a="1"/>
  <c r="V51" i="63"/>
  <c r="W51" i="63" a="1"/>
  <c r="W51" i="63" s="1"/>
  <c r="V52" i="63" a="1"/>
  <c r="V52" i="63"/>
  <c r="W52" i="63" a="1"/>
  <c r="W52" i="63"/>
  <c r="V53" i="63" a="1"/>
  <c r="V53" i="63" s="1"/>
  <c r="W53" i="63" a="1"/>
  <c r="W53" i="63"/>
  <c r="V54" i="63" a="1"/>
  <c r="V54" i="63" s="1"/>
  <c r="W54" i="63" a="1"/>
  <c r="W54" i="63" s="1"/>
  <c r="V55" i="63" a="1"/>
  <c r="V55" i="63"/>
  <c r="W55" i="63" a="1"/>
  <c r="W55" i="63" s="1"/>
  <c r="V56" i="63" a="1"/>
  <c r="V56" i="63"/>
  <c r="W56" i="63" a="1"/>
  <c r="W56" i="63"/>
  <c r="V57" i="63" a="1"/>
  <c r="V57" i="63" s="1"/>
  <c r="W57" i="63" a="1"/>
  <c r="W57" i="63"/>
  <c r="V58" i="63" a="1"/>
  <c r="V58" i="63" s="1"/>
  <c r="W58" i="63" a="1"/>
  <c r="W58" i="63" s="1"/>
  <c r="V59" i="63" a="1"/>
  <c r="V59" i="63"/>
  <c r="W59" i="63" a="1"/>
  <c r="W59" i="63" s="1"/>
  <c r="V60" i="63" a="1"/>
  <c r="V60" i="63"/>
  <c r="W60" i="63" a="1"/>
  <c r="W60" i="63"/>
  <c r="W41" i="63" a="1"/>
  <c r="W41" i="63" s="1"/>
  <c r="V41" i="63" a="1"/>
  <c r="V41" i="63" s="1"/>
  <c r="Y259" i="60" a="1"/>
  <c r="Y259" i="60" s="1"/>
  <c r="Z259" i="60" a="1"/>
  <c r="Z259" i="60" s="1"/>
  <c r="Y260" i="60" a="1"/>
  <c r="Y260" i="60" s="1"/>
  <c r="Z260" i="60" a="1"/>
  <c r="Z260" i="60" s="1"/>
  <c r="Y261" i="60" a="1"/>
  <c r="Y261" i="60"/>
  <c r="Z261" i="60" a="1"/>
  <c r="Z261" i="60"/>
  <c r="Y262" i="60" a="1"/>
  <c r="Y262" i="60"/>
  <c r="Z262" i="60" a="1"/>
  <c r="Z262" i="60" s="1"/>
  <c r="Y263" i="60" a="1"/>
  <c r="Y263" i="60" s="1"/>
  <c r="Z263" i="60" a="1"/>
  <c r="Z263" i="60" s="1"/>
  <c r="Y264" i="60" a="1"/>
  <c r="Y264" i="60" s="1"/>
  <c r="Z264" i="60" a="1"/>
  <c r="Z264" i="60" s="1"/>
  <c r="Y265" i="60" a="1"/>
  <c r="Y265" i="60" s="1"/>
  <c r="Z265" i="60" a="1"/>
  <c r="Z265" i="60"/>
  <c r="Y266" i="60" a="1"/>
  <c r="Y266" i="60"/>
  <c r="Z266" i="60" a="1"/>
  <c r="Z266" i="60"/>
  <c r="Y267" i="60" a="1"/>
  <c r="Y267" i="60" s="1"/>
  <c r="Z267" i="60" a="1"/>
  <c r="Z267" i="60" s="1"/>
  <c r="Y268" i="60" a="1"/>
  <c r="Y268" i="60" s="1"/>
  <c r="Z268" i="60" a="1"/>
  <c r="Z268" i="60" s="1"/>
  <c r="Y269" i="60" a="1"/>
  <c r="Y269" i="60" s="1"/>
  <c r="Z269" i="60" a="1"/>
  <c r="Z269" i="60" s="1"/>
  <c r="Y270" i="60" a="1"/>
  <c r="Y270" i="60" s="1"/>
  <c r="Z270" i="60" a="1"/>
  <c r="Z270" i="60" s="1"/>
  <c r="Y271" i="60" a="1"/>
  <c r="Y271" i="60" s="1"/>
  <c r="Z271" i="60" a="1"/>
  <c r="Z271" i="60" s="1"/>
  <c r="Y272" i="60" a="1"/>
  <c r="Y272" i="60" s="1"/>
  <c r="Z272" i="60" a="1"/>
  <c r="Z272" i="60"/>
  <c r="Y273" i="60" a="1"/>
  <c r="Y273" i="60" s="1"/>
  <c r="Z273" i="60" a="1"/>
  <c r="Z273" i="60" s="1"/>
  <c r="Y274" i="60" a="1"/>
  <c r="Y274" i="60" s="1"/>
  <c r="Z274" i="60" a="1"/>
  <c r="Z274" i="60" s="1"/>
  <c r="Y275" i="60" a="1"/>
  <c r="Y275" i="60" s="1"/>
  <c r="Z275" i="60" a="1"/>
  <c r="Z275" i="60" s="1"/>
  <c r="Y276" i="60" a="1"/>
  <c r="Y276" i="60" s="1"/>
  <c r="Z276" i="60" a="1"/>
  <c r="Z276" i="60" s="1"/>
  <c r="Y277" i="60" a="1"/>
  <c r="Y277" i="60"/>
  <c r="Z277" i="60" a="1"/>
  <c r="Z277" i="60"/>
  <c r="Y278" i="60" a="1"/>
  <c r="Y278" i="60" s="1"/>
  <c r="Z278" i="60" a="1"/>
  <c r="Z278" i="60" s="1"/>
  <c r="Y279" i="60" a="1"/>
  <c r="Y279" i="60" s="1"/>
  <c r="Z279" i="60" a="1"/>
  <c r="Z279" i="60" s="1"/>
  <c r="Y280" i="60" a="1"/>
  <c r="Y280" i="60" s="1"/>
  <c r="Z280" i="60" a="1"/>
  <c r="Z280" i="60"/>
  <c r="Y281" i="60" a="1"/>
  <c r="Y281" i="60"/>
  <c r="Z281" i="60" a="1"/>
  <c r="Z281" i="60" s="1"/>
  <c r="Y282" i="60" a="1"/>
  <c r="Y282" i="60" s="1"/>
  <c r="Z282" i="60" a="1"/>
  <c r="Z282" i="60" s="1"/>
  <c r="Y283" i="60" a="1"/>
  <c r="Y283" i="60" s="1"/>
  <c r="Z283" i="60" a="1"/>
  <c r="Z283" i="60" s="1"/>
  <c r="Y284" i="60" a="1"/>
  <c r="Y284" i="60" s="1"/>
  <c r="Z284" i="60" a="1"/>
  <c r="Z284" i="60" s="1"/>
  <c r="Y285" i="60" a="1"/>
  <c r="Y285" i="60"/>
  <c r="Z285" i="60" a="1"/>
  <c r="Z285" i="60" s="1"/>
  <c r="Y286" i="60" a="1"/>
  <c r="Y286" i="60"/>
  <c r="Z286" i="60" a="1"/>
  <c r="Z286" i="60" s="1"/>
  <c r="Y287" i="60" a="1"/>
  <c r="Y287" i="60" s="1"/>
  <c r="Z287" i="60" a="1"/>
  <c r="Z287" i="60" s="1"/>
  <c r="Y288" i="60" a="1"/>
  <c r="Y288" i="60" s="1"/>
  <c r="Z288" i="60" a="1"/>
  <c r="Z288" i="60" s="1"/>
  <c r="Y289" i="60" a="1"/>
  <c r="Y289" i="60" s="1"/>
  <c r="Z289" i="60" a="1"/>
  <c r="Z289" i="60" s="1"/>
  <c r="Y290" i="60" a="1"/>
  <c r="Y290" i="60" s="1"/>
  <c r="Z290" i="60" a="1"/>
  <c r="Z290" i="60"/>
  <c r="Y291" i="60" a="1"/>
  <c r="Y291" i="60" s="1"/>
  <c r="Z291" i="60" a="1"/>
  <c r="Z291" i="60" s="1"/>
  <c r="Y292" i="60" a="1"/>
  <c r="Y292" i="60" s="1"/>
  <c r="Z292" i="60" a="1"/>
  <c r="Z292" i="60" s="1"/>
  <c r="Y293" i="60" a="1"/>
  <c r="Y293" i="60" s="1"/>
  <c r="Z293" i="60" a="1"/>
  <c r="Z293" i="60" s="1"/>
  <c r="Y294" i="60" a="1"/>
  <c r="Y294" i="60" s="1"/>
  <c r="Z294" i="60" a="1"/>
  <c r="Z294" i="60" s="1"/>
  <c r="Y295" i="60" a="1"/>
  <c r="Y295" i="60" s="1"/>
  <c r="Z295" i="60" a="1"/>
  <c r="Z295" i="60" s="1"/>
  <c r="Y296" i="60" a="1"/>
  <c r="Y296" i="60"/>
  <c r="Z296" i="60" a="1"/>
  <c r="Z296" i="60" s="1"/>
  <c r="Y297" i="60" a="1"/>
  <c r="Y297" i="60" s="1"/>
  <c r="Z297" i="60" a="1"/>
  <c r="Z297" i="60" s="1"/>
  <c r="Z258" i="60" a="1"/>
  <c r="Z258" i="60" s="1"/>
  <c r="Y258" i="60" a="1"/>
  <c r="Y258" i="60" s="1"/>
  <c r="Y186" i="60" a="1"/>
  <c r="Y186" i="60" s="1"/>
  <c r="Z186" i="60" a="1"/>
  <c r="Z186" i="60" s="1"/>
  <c r="Y187" i="60" a="1"/>
  <c r="Y187" i="60" s="1"/>
  <c r="Z187" i="60" a="1"/>
  <c r="Z187" i="60" s="1"/>
  <c r="Y188" i="60" a="1"/>
  <c r="Y188" i="60" s="1"/>
  <c r="Z188" i="60" a="1"/>
  <c r="Z188" i="60" s="1"/>
  <c r="Y189" i="60" a="1"/>
  <c r="Y189" i="60" s="1"/>
  <c r="Z189" i="60" a="1"/>
  <c r="Z189" i="60" s="1"/>
  <c r="Y190" i="60" a="1"/>
  <c r="Y190" i="60" s="1"/>
  <c r="Z190" i="60" a="1"/>
  <c r="Z190" i="60" s="1"/>
  <c r="Y191" i="60" a="1"/>
  <c r="Y191" i="60" s="1"/>
  <c r="Z191" i="60" a="1"/>
  <c r="Z191" i="60" s="1"/>
  <c r="Y192" i="60" a="1"/>
  <c r="Y192" i="60" s="1"/>
  <c r="Z192" i="60" a="1"/>
  <c r="Z192" i="60" s="1"/>
  <c r="Y193" i="60" a="1"/>
  <c r="Y193" i="60" s="1"/>
  <c r="Z193" i="60" a="1"/>
  <c r="Z193" i="60" s="1"/>
  <c r="Y194" i="60" a="1"/>
  <c r="Y194" i="60" s="1"/>
  <c r="Z194" i="60" a="1"/>
  <c r="Z194" i="60" s="1"/>
  <c r="Y195" i="60" a="1"/>
  <c r="Y195" i="60" s="1"/>
  <c r="Z195" i="60" a="1"/>
  <c r="Z195" i="60" s="1"/>
  <c r="Y196" i="60" a="1"/>
  <c r="Y196" i="60" s="1"/>
  <c r="Z196" i="60" a="1"/>
  <c r="Z196" i="60" s="1"/>
  <c r="Y197" i="60" a="1"/>
  <c r="Y197" i="60" s="1"/>
  <c r="Z197" i="60" a="1"/>
  <c r="Z197" i="60" s="1"/>
  <c r="Y198" i="60" a="1"/>
  <c r="Y198" i="60" s="1"/>
  <c r="Z198" i="60" a="1"/>
  <c r="Z198" i="60" s="1"/>
  <c r="Y199" i="60" a="1"/>
  <c r="Y199" i="60"/>
  <c r="Z199" i="60" a="1"/>
  <c r="Z199" i="60" s="1"/>
  <c r="Y200" i="60" a="1"/>
  <c r="Y200" i="60" s="1"/>
  <c r="Z200" i="60" a="1"/>
  <c r="Z200" i="60" s="1"/>
  <c r="Y201" i="60" a="1"/>
  <c r="Y201" i="60" s="1"/>
  <c r="Z201" i="60" a="1"/>
  <c r="Z201" i="60" s="1"/>
  <c r="Y202" i="60" a="1"/>
  <c r="Y202" i="60" s="1"/>
  <c r="Z202" i="60" a="1"/>
  <c r="Z202" i="60" s="1"/>
  <c r="Z185" i="60" a="1"/>
  <c r="Z185" i="60" s="1"/>
  <c r="Y185" i="60" a="1"/>
  <c r="Y185" i="60" s="1"/>
  <c r="Y143" i="60" a="1"/>
  <c r="Y143" i="60" s="1"/>
  <c r="Z143" i="60" a="1"/>
  <c r="Z143" i="60" s="1"/>
  <c r="Y144" i="60" a="1"/>
  <c r="Y144" i="60"/>
  <c r="Z144" i="60" a="1"/>
  <c r="Z144" i="60" s="1"/>
  <c r="Y145" i="60" a="1"/>
  <c r="Y145" i="60" s="1"/>
  <c r="Z145" i="60" a="1"/>
  <c r="Z145" i="60" s="1"/>
  <c r="Y146" i="60" a="1"/>
  <c r="Y146" i="60" s="1"/>
  <c r="Z146" i="60" a="1"/>
  <c r="Z146" i="60" s="1"/>
  <c r="Y147" i="60" a="1"/>
  <c r="Y147" i="60" s="1"/>
  <c r="Z147" i="60" a="1"/>
  <c r="Z147" i="60" s="1"/>
  <c r="Y148" i="60" a="1"/>
  <c r="Y148" i="60"/>
  <c r="Z148" i="60" a="1"/>
  <c r="Z148" i="60" s="1"/>
  <c r="Y149" i="60" a="1"/>
  <c r="Y149" i="60"/>
  <c r="Z149" i="60" a="1"/>
  <c r="Z149" i="60" s="1"/>
  <c r="Y150" i="60" a="1"/>
  <c r="Y150" i="60" s="1"/>
  <c r="Z150" i="60" a="1"/>
  <c r="Z150" i="60"/>
  <c r="Y151" i="60" a="1"/>
  <c r="Y151" i="60" s="1"/>
  <c r="Z151" i="60" a="1"/>
  <c r="Z151" i="60" s="1"/>
  <c r="Y152" i="60" a="1"/>
  <c r="Y152" i="60" s="1"/>
  <c r="Z152" i="60" a="1"/>
  <c r="Z152" i="60" s="1"/>
  <c r="Y153" i="60" a="1"/>
  <c r="Y153" i="60" s="1"/>
  <c r="Z153" i="60" a="1"/>
  <c r="Z153" i="60"/>
  <c r="Z142" i="60" a="1"/>
  <c r="Z142" i="60" s="1"/>
  <c r="Y142" i="60" a="1"/>
  <c r="Y142" i="60" s="1"/>
  <c r="Y100" i="60" a="1"/>
  <c r="Y100" i="60" s="1"/>
  <c r="Z100" i="60" a="1"/>
  <c r="Z100" i="60" s="1"/>
  <c r="Y101" i="60" a="1"/>
  <c r="Y101" i="60" s="1"/>
  <c r="Z101" i="60" a="1"/>
  <c r="Z101" i="60" s="1"/>
  <c r="Y102" i="60" a="1"/>
  <c r="Y102" i="60"/>
  <c r="Z102" i="60" a="1"/>
  <c r="Z102" i="60" s="1"/>
  <c r="Y103" i="60" a="1"/>
  <c r="Y103" i="60" s="1"/>
  <c r="Z103" i="60" a="1"/>
  <c r="Z103" i="60" s="1"/>
  <c r="Y104" i="60" a="1"/>
  <c r="Y104" i="60" s="1"/>
  <c r="Z104" i="60" a="1"/>
  <c r="Z104" i="60" s="1"/>
  <c r="Y105" i="60" a="1"/>
  <c r="Y105" i="60" s="1"/>
  <c r="Z105" i="60" a="1"/>
  <c r="Z105" i="60" s="1"/>
  <c r="Y106" i="60" a="1"/>
  <c r="Y106" i="60"/>
  <c r="Z106" i="60" a="1"/>
  <c r="Z106" i="60" s="1"/>
  <c r="Y107" i="60" a="1"/>
  <c r="Y107" i="60" s="1"/>
  <c r="Z107" i="60" a="1"/>
  <c r="Z107" i="60" s="1"/>
  <c r="Y108" i="60" a="1"/>
  <c r="Y108" i="60" s="1"/>
  <c r="Z108" i="60" a="1"/>
  <c r="Z108" i="60" s="1"/>
  <c r="Y109" i="60" a="1"/>
  <c r="Y109" i="60" s="1"/>
  <c r="Z109" i="60" a="1"/>
  <c r="Z109" i="60" s="1"/>
  <c r="Y110" i="60" a="1"/>
  <c r="Y110" i="60" s="1"/>
  <c r="Z110" i="60" a="1"/>
  <c r="Z110" i="60" s="1"/>
  <c r="Z99" i="60" a="1"/>
  <c r="Z99" i="60" s="1"/>
  <c r="Y99" i="60" a="1"/>
  <c r="Y99" i="60" s="1"/>
  <c r="Y49" i="60" a="1"/>
  <c r="Y49" i="60" s="1"/>
  <c r="Z49" i="60" a="1"/>
  <c r="Z49" i="60" s="1"/>
  <c r="Y50" i="60" a="1"/>
  <c r="Y50" i="60" s="1"/>
  <c r="Z50" i="60" a="1"/>
  <c r="Z50" i="60" s="1"/>
  <c r="Y51" i="60" a="1"/>
  <c r="Y51" i="60" s="1"/>
  <c r="Z51" i="60" a="1"/>
  <c r="Z51" i="60" s="1"/>
  <c r="Y52" i="60" a="1"/>
  <c r="Y52" i="60" s="1"/>
  <c r="Z52" i="60" a="1"/>
  <c r="Z52" i="60"/>
  <c r="Y53" i="60" a="1"/>
  <c r="Y53" i="60" s="1"/>
  <c r="Z53" i="60" a="1"/>
  <c r="Z53" i="60" s="1"/>
  <c r="Y54" i="60" a="1"/>
  <c r="Y54" i="60" s="1"/>
  <c r="Z54" i="60" a="1"/>
  <c r="Z54" i="60"/>
  <c r="Y55" i="60" a="1"/>
  <c r="Y55" i="60"/>
  <c r="Z55" i="60" a="1"/>
  <c r="Z55" i="60"/>
  <c r="Y56" i="60" a="1"/>
  <c r="Y56" i="60" s="1"/>
  <c r="Z56" i="60" a="1"/>
  <c r="Z56" i="60" s="1"/>
  <c r="Y57" i="60" a="1"/>
  <c r="Y57" i="60" s="1"/>
  <c r="Z57" i="60" a="1"/>
  <c r="Z57" i="60" s="1"/>
  <c r="Y58" i="60" a="1"/>
  <c r="Y58" i="60" s="1"/>
  <c r="Z58" i="60" a="1"/>
  <c r="Z58" i="60"/>
  <c r="Y59" i="60" a="1"/>
  <c r="Y59" i="60" s="1"/>
  <c r="Z59" i="60" a="1"/>
  <c r="Z59" i="60" s="1"/>
  <c r="Y60" i="60" a="1"/>
  <c r="Y60" i="60"/>
  <c r="Z60" i="60" a="1"/>
  <c r="Z60" i="60" s="1"/>
  <c r="Y61" i="60" a="1"/>
  <c r="Y61" i="60" s="1"/>
  <c r="Z61" i="60" a="1"/>
  <c r="Z61" i="60" s="1"/>
  <c r="Y62" i="60" a="1"/>
  <c r="Y62" i="60" s="1"/>
  <c r="Z62" i="60" a="1"/>
  <c r="Z62" i="60" s="1"/>
  <c r="Y63" i="60" a="1"/>
  <c r="Y63" i="60" s="1"/>
  <c r="Z63" i="60" a="1"/>
  <c r="Z63" i="60" s="1"/>
  <c r="Y64" i="60" a="1"/>
  <c r="Y64" i="60" s="1"/>
  <c r="Z64" i="60" a="1"/>
  <c r="Z64" i="60"/>
  <c r="Y65" i="60" a="1"/>
  <c r="Y65" i="60" s="1"/>
  <c r="Z65" i="60" a="1"/>
  <c r="Z65" i="60" s="1"/>
  <c r="Y66" i="60" a="1"/>
  <c r="Y66" i="60" s="1"/>
  <c r="Z66" i="60" a="1"/>
  <c r="Z66" i="60" s="1"/>
  <c r="Y67" i="60" a="1"/>
  <c r="Y67" i="60" s="1"/>
  <c r="Z67" i="60" a="1"/>
  <c r="Z67" i="60" s="1"/>
  <c r="Z48" i="60" a="1"/>
  <c r="Z48" i="60" s="1"/>
  <c r="Y48" i="60" a="1"/>
  <c r="Y48" i="60" s="1"/>
  <c r="AZ439" i="54" a="1"/>
  <c r="AZ439" i="54" s="1"/>
  <c r="BA439" i="54" a="1"/>
  <c r="BA439" i="54" s="1"/>
  <c r="AZ440" i="54" a="1"/>
  <c r="AZ440" i="54" s="1"/>
  <c r="BA440" i="54" a="1"/>
  <c r="BA440" i="54"/>
  <c r="AZ441" i="54" a="1"/>
  <c r="AZ441" i="54"/>
  <c r="BA441" i="54" a="1"/>
  <c r="BA441" i="54"/>
  <c r="AZ442" i="54" a="1"/>
  <c r="AZ442" i="54"/>
  <c r="BA442" i="54" a="1"/>
  <c r="BA442" i="54"/>
  <c r="AZ443" i="54" a="1"/>
  <c r="AZ443" i="54" s="1"/>
  <c r="BA443" i="54" a="1"/>
  <c r="BA443" i="54" s="1"/>
  <c r="AZ444" i="54" a="1"/>
  <c r="AZ444" i="54" s="1"/>
  <c r="BA444" i="54" a="1"/>
  <c r="BA444" i="54"/>
  <c r="AZ445" i="54" a="1"/>
  <c r="AZ445" i="54"/>
  <c r="BA445" i="54" a="1"/>
  <c r="BA445" i="54"/>
  <c r="AZ446" i="54" a="1"/>
  <c r="AZ446" i="54"/>
  <c r="BA446" i="54" a="1"/>
  <c r="BA446" i="54"/>
  <c r="AZ447" i="54" a="1"/>
  <c r="AZ447" i="54" s="1"/>
  <c r="BA447" i="54" a="1"/>
  <c r="BA447" i="54" s="1"/>
  <c r="AZ448" i="54" a="1"/>
  <c r="AZ448" i="54" s="1"/>
  <c r="BA448" i="54" a="1"/>
  <c r="BA448" i="54"/>
  <c r="AZ449" i="54" a="1"/>
  <c r="AZ449" i="54"/>
  <c r="BA449" i="54" a="1"/>
  <c r="BA449" i="54"/>
  <c r="AZ450" i="54" a="1"/>
  <c r="AZ450" i="54"/>
  <c r="BA450" i="54" a="1"/>
  <c r="BA450" i="54"/>
  <c r="AZ451" i="54" a="1"/>
  <c r="AZ451" i="54" s="1"/>
  <c r="BA451" i="54" a="1"/>
  <c r="BA451" i="54" s="1"/>
  <c r="AZ452" i="54" a="1"/>
  <c r="AZ452" i="54" s="1"/>
  <c r="BA452" i="54" a="1"/>
  <c r="BA452" i="54"/>
  <c r="AZ453" i="54" a="1"/>
  <c r="AZ453" i="54"/>
  <c r="BA453" i="54" a="1"/>
  <c r="BA453" i="54"/>
  <c r="AZ454" i="54" a="1"/>
  <c r="AZ454" i="54"/>
  <c r="BA454" i="54" a="1"/>
  <c r="BA454" i="54"/>
  <c r="AZ455" i="54" a="1"/>
  <c r="AZ455" i="54" s="1"/>
  <c r="BA455" i="54" a="1"/>
  <c r="BA455" i="54" s="1"/>
  <c r="AZ456" i="54" a="1"/>
  <c r="AZ456" i="54" s="1"/>
  <c r="BA456" i="54" a="1"/>
  <c r="BA456" i="54"/>
  <c r="AZ457" i="54" a="1"/>
  <c r="AZ457" i="54"/>
  <c r="BA457" i="54" a="1"/>
  <c r="BA457" i="54"/>
  <c r="AZ458" i="54" a="1"/>
  <c r="AZ458" i="54"/>
  <c r="BA458" i="54" a="1"/>
  <c r="BA458" i="54"/>
  <c r="AZ459" i="54" a="1"/>
  <c r="AZ459" i="54" s="1"/>
  <c r="BA459" i="54" a="1"/>
  <c r="BA459" i="54" s="1"/>
  <c r="AZ460" i="54" a="1"/>
  <c r="AZ460" i="54" s="1"/>
  <c r="BA460" i="54" a="1"/>
  <c r="BA460" i="54"/>
  <c r="AZ461" i="54" a="1"/>
  <c r="AZ461" i="54"/>
  <c r="BA461" i="54" a="1"/>
  <c r="BA461" i="54"/>
  <c r="AZ462" i="54" a="1"/>
  <c r="AZ462" i="54"/>
  <c r="BA462" i="54" a="1"/>
  <c r="BA462" i="54"/>
  <c r="AZ463" i="54" a="1"/>
  <c r="AZ463" i="54" s="1"/>
  <c r="BA463" i="54" a="1"/>
  <c r="BA463" i="54" s="1"/>
  <c r="AZ464" i="54" a="1"/>
  <c r="AZ464" i="54" s="1"/>
  <c r="BA464" i="54" a="1"/>
  <c r="BA464" i="54"/>
  <c r="AZ465" i="54" a="1"/>
  <c r="AZ465" i="54"/>
  <c r="BA465" i="54" a="1"/>
  <c r="BA465" i="54"/>
  <c r="AZ466" i="54" a="1"/>
  <c r="AZ466" i="54"/>
  <c r="BA466" i="54" a="1"/>
  <c r="BA466" i="54"/>
  <c r="AZ467" i="54" a="1"/>
  <c r="AZ467" i="54" s="1"/>
  <c r="BA467" i="54" a="1"/>
  <c r="BA467" i="54" s="1"/>
  <c r="AZ468" i="54" a="1"/>
  <c r="AZ468" i="54" s="1"/>
  <c r="BA468" i="54" a="1"/>
  <c r="BA468" i="54"/>
  <c r="AZ469" i="54" a="1"/>
  <c r="AZ469" i="54"/>
  <c r="BA469" i="54" a="1"/>
  <c r="BA469" i="54"/>
  <c r="AZ470" i="54" a="1"/>
  <c r="AZ470" i="54"/>
  <c r="BA470" i="54" a="1"/>
  <c r="BA470" i="54"/>
  <c r="AZ471" i="54" a="1"/>
  <c r="AZ471" i="54" s="1"/>
  <c r="BA471" i="54" a="1"/>
  <c r="BA471" i="54" s="1"/>
  <c r="AZ472" i="54" a="1"/>
  <c r="AZ472" i="54" s="1"/>
  <c r="BA472" i="54" a="1"/>
  <c r="BA472" i="54"/>
  <c r="AZ473" i="54" a="1"/>
  <c r="AZ473" i="54"/>
  <c r="BA473" i="54" a="1"/>
  <c r="BA473" i="54"/>
  <c r="AZ474" i="54" a="1"/>
  <c r="AZ474" i="54"/>
  <c r="BA474" i="54" a="1"/>
  <c r="BA474" i="54"/>
  <c r="AZ475" i="54" a="1"/>
  <c r="AZ475" i="54" s="1"/>
  <c r="BA475" i="54" a="1"/>
  <c r="BA475" i="54" s="1"/>
  <c r="AZ476" i="54" a="1"/>
  <c r="AZ476" i="54" s="1"/>
  <c r="BA476" i="54" a="1"/>
  <c r="BA476" i="54"/>
  <c r="AZ477" i="54" a="1"/>
  <c r="AZ477" i="54"/>
  <c r="BA477" i="54" a="1"/>
  <c r="BA477" i="54"/>
  <c r="AZ478" i="54" a="1"/>
  <c r="AZ478" i="54"/>
  <c r="BA478" i="54" a="1"/>
  <c r="BA478" i="54"/>
  <c r="AZ479" i="54" a="1"/>
  <c r="AZ479" i="54" s="1"/>
  <c r="BA479" i="54" a="1"/>
  <c r="BA479" i="54" s="1"/>
  <c r="AZ480" i="54" a="1"/>
  <c r="AZ480" i="54" s="1"/>
  <c r="BA480" i="54" a="1"/>
  <c r="BA480" i="54"/>
  <c r="AZ481" i="54" a="1"/>
  <c r="AZ481" i="54"/>
  <c r="BA481" i="54" a="1"/>
  <c r="BA481" i="54"/>
  <c r="AZ482" i="54" a="1"/>
  <c r="AZ482" i="54"/>
  <c r="BA482" i="54" a="1"/>
  <c r="BA482" i="54"/>
  <c r="AZ483" i="54" a="1"/>
  <c r="AZ483" i="54" s="1"/>
  <c r="BA483" i="54" a="1"/>
  <c r="BA483" i="54" s="1"/>
  <c r="AZ484" i="54" a="1"/>
  <c r="AZ484" i="54" s="1"/>
  <c r="BA484" i="54" a="1"/>
  <c r="BA484" i="54"/>
  <c r="AZ485" i="54" a="1"/>
  <c r="AZ485" i="54"/>
  <c r="BA485" i="54" a="1"/>
  <c r="BA485" i="54"/>
  <c r="AZ486" i="54" a="1"/>
  <c r="AZ486" i="54"/>
  <c r="BA486" i="54" a="1"/>
  <c r="BA486" i="54"/>
  <c r="AZ487" i="54" a="1"/>
  <c r="AZ487" i="54" s="1"/>
  <c r="BA487" i="54" a="1"/>
  <c r="BA487" i="54" s="1"/>
  <c r="AZ488" i="54" a="1"/>
  <c r="AZ488" i="54" s="1"/>
  <c r="BA488" i="54" a="1"/>
  <c r="BA488" i="54"/>
  <c r="AZ489" i="54" a="1"/>
  <c r="AZ489" i="54"/>
  <c r="BA489" i="54" a="1"/>
  <c r="BA489" i="54"/>
  <c r="AZ490" i="54" a="1"/>
  <c r="AZ490" i="54"/>
  <c r="BA490" i="54" a="1"/>
  <c r="BA490" i="54"/>
  <c r="AZ491" i="54" a="1"/>
  <c r="AZ491" i="54" s="1"/>
  <c r="BA491" i="54" a="1"/>
  <c r="BA491" i="54" s="1"/>
  <c r="AZ492" i="54" a="1"/>
  <c r="AZ492" i="54" s="1"/>
  <c r="BA492" i="54" a="1"/>
  <c r="BA492" i="54" s="1"/>
  <c r="BA438" i="54" a="1"/>
  <c r="BA438" i="54" s="1"/>
  <c r="AZ438" i="54" a="1"/>
  <c r="AZ438" i="54" s="1"/>
  <c r="AZ319" i="54" a="1"/>
  <c r="AZ319" i="54" s="1"/>
  <c r="BA319" i="54" a="1"/>
  <c r="BA319" i="54"/>
  <c r="AZ320" i="54" a="1"/>
  <c r="AZ320" i="54"/>
  <c r="BA320" i="54" a="1"/>
  <c r="BA320" i="54"/>
  <c r="AZ321" i="54" a="1"/>
  <c r="AZ321" i="54"/>
  <c r="BA321" i="54" a="1"/>
  <c r="BA321" i="54"/>
  <c r="AZ322" i="54" a="1"/>
  <c r="AZ322" i="54"/>
  <c r="BA322" i="54" a="1"/>
  <c r="BA322" i="54"/>
  <c r="AZ323" i="54" a="1"/>
  <c r="AZ323" i="54" s="1"/>
  <c r="BA323" i="54" a="1"/>
  <c r="BA323" i="54"/>
  <c r="AZ324" i="54" a="1"/>
  <c r="AZ324" i="54"/>
  <c r="BA324" i="54" a="1"/>
  <c r="BA324" i="54"/>
  <c r="AZ325" i="54" a="1"/>
  <c r="AZ325" i="54"/>
  <c r="BA325" i="54" a="1"/>
  <c r="BA325" i="54"/>
  <c r="AZ326" i="54" a="1"/>
  <c r="AZ326" i="54"/>
  <c r="BA326" i="54" a="1"/>
  <c r="BA326" i="54"/>
  <c r="AZ327" i="54" a="1"/>
  <c r="AZ327" i="54" s="1"/>
  <c r="BA327" i="54" a="1"/>
  <c r="BA327" i="54"/>
  <c r="AZ328" i="54" a="1"/>
  <c r="AZ328" i="54"/>
  <c r="BA328" i="54" a="1"/>
  <c r="BA328" i="54"/>
  <c r="AZ329" i="54" a="1"/>
  <c r="AZ329" i="54"/>
  <c r="BA329" i="54" a="1"/>
  <c r="BA329" i="54"/>
  <c r="AZ330" i="54" a="1"/>
  <c r="AZ330" i="54"/>
  <c r="BA330" i="54" a="1"/>
  <c r="BA330" i="54"/>
  <c r="AZ331" i="54" a="1"/>
  <c r="AZ331" i="54" s="1"/>
  <c r="BA331" i="54" a="1"/>
  <c r="BA331" i="54"/>
  <c r="AZ332" i="54" a="1"/>
  <c r="AZ332" i="54"/>
  <c r="BA332" i="54" a="1"/>
  <c r="BA332" i="54"/>
  <c r="AZ333" i="54" a="1"/>
  <c r="AZ333" i="54"/>
  <c r="BA333" i="54" a="1"/>
  <c r="BA333" i="54"/>
  <c r="AZ334" i="54" a="1"/>
  <c r="AZ334" i="54"/>
  <c r="BA334" i="54" a="1"/>
  <c r="BA334" i="54"/>
  <c r="AZ335" i="54" a="1"/>
  <c r="AZ335" i="54" s="1"/>
  <c r="BA335" i="54" a="1"/>
  <c r="BA335" i="54"/>
  <c r="AZ336" i="54" a="1"/>
  <c r="AZ336" i="54"/>
  <c r="BA336" i="54" a="1"/>
  <c r="BA336" i="54"/>
  <c r="AZ337" i="54" a="1"/>
  <c r="AZ337" i="54"/>
  <c r="BA337" i="54" a="1"/>
  <c r="BA337" i="54"/>
  <c r="AZ338" i="54" a="1"/>
  <c r="AZ338" i="54"/>
  <c r="BA338" i="54" a="1"/>
  <c r="BA338" i="54"/>
  <c r="AZ339" i="54" a="1"/>
  <c r="AZ339" i="54" s="1"/>
  <c r="BA339" i="54" a="1"/>
  <c r="BA339" i="54"/>
  <c r="AZ340" i="54" a="1"/>
  <c r="AZ340" i="54"/>
  <c r="BA340" i="54" a="1"/>
  <c r="BA340" i="54"/>
  <c r="AZ341" i="54" a="1"/>
  <c r="AZ341" i="54"/>
  <c r="BA341" i="54" a="1"/>
  <c r="BA341" i="54"/>
  <c r="AZ342" i="54" a="1"/>
  <c r="AZ342" i="54"/>
  <c r="BA342" i="54" a="1"/>
  <c r="BA342" i="54"/>
  <c r="AZ343" i="54" a="1"/>
  <c r="AZ343" i="54" s="1"/>
  <c r="BA343" i="54" a="1"/>
  <c r="BA343" i="54"/>
  <c r="AZ344" i="54" a="1"/>
  <c r="AZ344" i="54"/>
  <c r="BA344" i="54" a="1"/>
  <c r="BA344" i="54"/>
  <c r="AZ345" i="54" a="1"/>
  <c r="AZ345" i="54"/>
  <c r="BA345" i="54" a="1"/>
  <c r="BA345" i="54"/>
  <c r="AZ346" i="54" a="1"/>
  <c r="AZ346" i="54"/>
  <c r="BA346" i="54" a="1"/>
  <c r="BA346" i="54"/>
  <c r="AZ347" i="54" a="1"/>
  <c r="AZ347" i="54" s="1"/>
  <c r="BA347" i="54" a="1"/>
  <c r="BA347" i="54"/>
  <c r="AZ348" i="54" a="1"/>
  <c r="AZ348" i="54"/>
  <c r="BA348" i="54" a="1"/>
  <c r="BA348" i="54"/>
  <c r="AZ349" i="54" a="1"/>
  <c r="AZ349" i="54"/>
  <c r="BA349" i="54" a="1"/>
  <c r="BA349" i="54"/>
  <c r="AZ350" i="54" a="1"/>
  <c r="AZ350" i="54"/>
  <c r="BA350" i="54" a="1"/>
  <c r="BA350" i="54"/>
  <c r="AZ351" i="54" a="1"/>
  <c r="AZ351" i="54" s="1"/>
  <c r="BA351" i="54" a="1"/>
  <c r="BA351" i="54"/>
  <c r="AZ352" i="54" a="1"/>
  <c r="AZ352" i="54"/>
  <c r="BA352" i="54" a="1"/>
  <c r="BA352" i="54"/>
  <c r="AZ353" i="54" a="1"/>
  <c r="AZ353" i="54"/>
  <c r="BA353" i="54" a="1"/>
  <c r="BA353" i="54"/>
  <c r="AZ354" i="54" a="1"/>
  <c r="AZ354" i="54"/>
  <c r="BA354" i="54" a="1"/>
  <c r="BA354" i="54"/>
  <c r="AZ355" i="54" a="1"/>
  <c r="AZ355" i="54" s="1"/>
  <c r="BA355" i="54" a="1"/>
  <c r="BA355" i="54"/>
  <c r="AZ356" i="54" a="1"/>
  <c r="AZ356" i="54"/>
  <c r="BA356" i="54" a="1"/>
  <c r="BA356" i="54"/>
  <c r="AZ357" i="54" a="1"/>
  <c r="AZ357" i="54" s="1"/>
  <c r="BA357" i="54" a="1"/>
  <c r="BA357" i="54"/>
  <c r="BA318" i="54" a="1"/>
  <c r="BA318" i="54" s="1"/>
  <c r="AZ318" i="54" a="1"/>
  <c r="AZ318" i="54" s="1"/>
  <c r="AZ224" i="54" a="1"/>
  <c r="AZ224" i="54" s="1"/>
  <c r="BA224" i="54" a="1"/>
  <c r="BA224" i="54" s="1"/>
  <c r="AZ225" i="54" a="1"/>
  <c r="AZ225" i="54"/>
  <c r="BA225" i="54" a="1"/>
  <c r="BA225" i="54"/>
  <c r="AZ226" i="54" a="1"/>
  <c r="AZ226" i="54"/>
  <c r="BA226" i="54" a="1"/>
  <c r="BA226" i="54"/>
  <c r="AZ227" i="54" a="1"/>
  <c r="AZ227" i="54"/>
  <c r="BA227" i="54" a="1"/>
  <c r="BA227" i="54"/>
  <c r="AZ228" i="54" a="1"/>
  <c r="AZ228" i="54" s="1"/>
  <c r="BA228" i="54" a="1"/>
  <c r="BA228" i="54" s="1"/>
  <c r="AZ229" i="54" a="1"/>
  <c r="AZ229" i="54"/>
  <c r="BA229" i="54" a="1"/>
  <c r="BA229" i="54" s="1"/>
  <c r="AZ230" i="54" a="1"/>
  <c r="AZ230" i="54"/>
  <c r="BA230" i="54" a="1"/>
  <c r="BA230" i="54"/>
  <c r="AZ231" i="54" a="1"/>
  <c r="AZ231" i="54"/>
  <c r="BA231" i="54" a="1"/>
  <c r="BA231" i="54"/>
  <c r="AZ232" i="54" a="1"/>
  <c r="AZ232" i="54" s="1"/>
  <c r="BA232" i="54" a="1"/>
  <c r="BA232" i="54" s="1"/>
  <c r="AZ233" i="54" a="1"/>
  <c r="AZ233" i="54"/>
  <c r="BA233" i="54" a="1"/>
  <c r="BA233" i="54" s="1"/>
  <c r="AZ234" i="54" a="1"/>
  <c r="AZ234" i="54"/>
  <c r="BA234" i="54" a="1"/>
  <c r="BA234" i="54"/>
  <c r="AZ235" i="54" a="1"/>
  <c r="AZ235" i="54"/>
  <c r="BA235" i="54" a="1"/>
  <c r="BA235" i="54"/>
  <c r="AZ236" i="54" a="1"/>
  <c r="AZ236" i="54" s="1"/>
  <c r="BA236" i="54" a="1"/>
  <c r="BA236" i="54" s="1"/>
  <c r="AZ237" i="54" a="1"/>
  <c r="AZ237" i="54"/>
  <c r="BA237" i="54" a="1"/>
  <c r="BA237" i="54"/>
  <c r="AZ238" i="54" a="1"/>
  <c r="AZ238" i="54"/>
  <c r="BA238" i="54" a="1"/>
  <c r="BA238" i="54"/>
  <c r="AZ239" i="54" a="1"/>
  <c r="AZ239" i="54"/>
  <c r="BA239" i="54" a="1"/>
  <c r="BA239" i="54"/>
  <c r="AZ240" i="54" a="1"/>
  <c r="AZ240" i="54" s="1"/>
  <c r="BA240" i="54" a="1"/>
  <c r="BA240" i="54" s="1"/>
  <c r="AZ241" i="54" a="1"/>
  <c r="AZ241" i="54"/>
  <c r="BA241" i="54" a="1"/>
  <c r="BA241" i="54"/>
  <c r="AZ242" i="54" a="1"/>
  <c r="AZ242" i="54"/>
  <c r="BA242" i="54" a="1"/>
  <c r="BA242" i="54"/>
  <c r="AZ243" i="54" a="1"/>
  <c r="AZ243" i="54"/>
  <c r="BA243" i="54" a="1"/>
  <c r="BA243" i="54"/>
  <c r="AZ244" i="54" a="1"/>
  <c r="AZ244" i="54" s="1"/>
  <c r="BA244" i="54" a="1"/>
  <c r="BA244" i="54" s="1"/>
  <c r="AZ245" i="54" a="1"/>
  <c r="AZ245" i="54"/>
  <c r="BA245" i="54" a="1"/>
  <c r="BA245" i="54"/>
  <c r="AZ246" i="54" a="1"/>
  <c r="AZ246" i="54"/>
  <c r="BA246" i="54" a="1"/>
  <c r="BA246" i="54"/>
  <c r="AZ247" i="54" a="1"/>
  <c r="AZ247" i="54"/>
  <c r="BA247" i="54" a="1"/>
  <c r="BA247" i="54"/>
  <c r="AZ248" i="54" a="1"/>
  <c r="AZ248" i="54" s="1"/>
  <c r="BA248" i="54" a="1"/>
  <c r="BA248" i="54" s="1"/>
  <c r="AZ249" i="54" a="1"/>
  <c r="AZ249" i="54"/>
  <c r="BA249" i="54" a="1"/>
  <c r="BA249" i="54"/>
  <c r="AZ250" i="54" a="1"/>
  <c r="AZ250" i="54"/>
  <c r="BA250" i="54" a="1"/>
  <c r="BA250" i="54"/>
  <c r="AZ251" i="54" a="1"/>
  <c r="AZ251" i="54"/>
  <c r="BA251" i="54" a="1"/>
  <c r="BA251" i="54"/>
  <c r="AZ252" i="54" a="1"/>
  <c r="AZ252" i="54" s="1"/>
  <c r="BA252" i="54" a="1"/>
  <c r="BA252" i="54" s="1"/>
  <c r="AZ253" i="54" a="1"/>
  <c r="AZ253" i="54"/>
  <c r="BA253" i="54" a="1"/>
  <c r="BA253" i="54"/>
  <c r="AZ254" i="54" a="1"/>
  <c r="AZ254" i="54"/>
  <c r="BA254" i="54" a="1"/>
  <c r="BA254" i="54"/>
  <c r="AZ255" i="54" a="1"/>
  <c r="AZ255" i="54"/>
  <c r="BA255" i="54" a="1"/>
  <c r="BA255" i="54"/>
  <c r="AZ256" i="54" a="1"/>
  <c r="AZ256" i="54" s="1"/>
  <c r="BA256" i="54" a="1"/>
  <c r="BA256" i="54" s="1"/>
  <c r="AZ257" i="54" a="1"/>
  <c r="AZ257" i="54"/>
  <c r="BA257" i="54" a="1"/>
  <c r="BA257" i="54"/>
  <c r="AZ258" i="54" a="1"/>
  <c r="AZ258" i="54"/>
  <c r="BA258" i="54" a="1"/>
  <c r="BA258" i="54"/>
  <c r="AZ259" i="54" a="1"/>
  <c r="AZ259" i="54"/>
  <c r="BA259" i="54" a="1"/>
  <c r="BA259" i="54"/>
  <c r="AZ260" i="54" a="1"/>
  <c r="AZ260" i="54" s="1"/>
  <c r="BA260" i="54" a="1"/>
  <c r="BA260" i="54" s="1"/>
  <c r="AZ261" i="54" a="1"/>
  <c r="AZ261" i="54"/>
  <c r="BA261" i="54" a="1"/>
  <c r="BA261" i="54"/>
  <c r="AZ262" i="54" a="1"/>
  <c r="AZ262" i="54"/>
  <c r="BA262" i="54" a="1"/>
  <c r="BA262" i="54"/>
  <c r="BA223" i="54" a="1"/>
  <c r="BA223" i="54" s="1"/>
  <c r="AZ223" i="54" a="1"/>
  <c r="AZ223" i="54" s="1"/>
  <c r="AZ159" i="54" a="1"/>
  <c r="AZ159" i="54" s="1"/>
  <c r="BA159" i="54" a="1"/>
  <c r="BA159" i="54" s="1"/>
  <c r="AZ160" i="54" a="1"/>
  <c r="AZ160" i="54" s="1"/>
  <c r="BA160" i="54" a="1"/>
  <c r="BA160" i="54" s="1"/>
  <c r="AZ161" i="54" a="1"/>
  <c r="AZ161" i="54"/>
  <c r="BA161" i="54" a="1"/>
  <c r="BA161" i="54"/>
  <c r="AZ162" i="54" a="1"/>
  <c r="AZ162" i="54"/>
  <c r="BA162" i="54" a="1"/>
  <c r="BA162" i="54"/>
  <c r="AZ163" i="54" a="1"/>
  <c r="AZ163" i="54" s="1"/>
  <c r="BA163" i="54" a="1"/>
  <c r="BA163" i="54" s="1"/>
  <c r="AZ164" i="54" a="1"/>
  <c r="AZ164" i="54" s="1"/>
  <c r="BA164" i="54" a="1"/>
  <c r="BA164" i="54" s="1"/>
  <c r="AZ165" i="54" a="1"/>
  <c r="AZ165" i="54"/>
  <c r="BA165" i="54" a="1"/>
  <c r="BA165" i="54"/>
  <c r="AZ166" i="54" a="1"/>
  <c r="AZ166" i="54"/>
  <c r="BA166" i="54" a="1"/>
  <c r="BA166" i="54"/>
  <c r="AZ167" i="54" a="1"/>
  <c r="AZ167" i="54" s="1"/>
  <c r="BA167" i="54" a="1"/>
  <c r="BA167" i="54" s="1"/>
  <c r="AZ168" i="54" a="1"/>
  <c r="AZ168" i="54" s="1"/>
  <c r="BA168" i="54" a="1"/>
  <c r="BA168" i="54" s="1"/>
  <c r="AZ169" i="54" a="1"/>
  <c r="AZ169" i="54"/>
  <c r="BA169" i="54" a="1"/>
  <c r="BA169" i="54" s="1"/>
  <c r="AZ170" i="54" a="1"/>
  <c r="AZ170" i="54"/>
  <c r="BA170" i="54" a="1"/>
  <c r="BA170" i="54"/>
  <c r="AZ171" i="54" a="1"/>
  <c r="AZ171" i="54" s="1"/>
  <c r="BA171" i="54" a="1"/>
  <c r="BA171" i="54" s="1"/>
  <c r="AZ172" i="54" a="1"/>
  <c r="AZ172" i="54" s="1"/>
  <c r="BA172" i="54" a="1"/>
  <c r="BA172" i="54" s="1"/>
  <c r="AZ173" i="54" a="1"/>
  <c r="AZ173" i="54"/>
  <c r="BA173" i="54" a="1"/>
  <c r="BA173" i="54"/>
  <c r="AZ174" i="54" a="1"/>
  <c r="AZ174" i="54"/>
  <c r="BA174" i="54" a="1"/>
  <c r="BA174" i="54"/>
  <c r="AZ175" i="54" a="1"/>
  <c r="AZ175" i="54" s="1"/>
  <c r="BA175" i="54" a="1"/>
  <c r="BA175" i="54" s="1"/>
  <c r="AZ176" i="54" a="1"/>
  <c r="AZ176" i="54" s="1"/>
  <c r="BA176" i="54" a="1"/>
  <c r="BA176" i="54" s="1"/>
  <c r="AZ177" i="54" a="1"/>
  <c r="AZ177" i="54"/>
  <c r="BA177" i="54" a="1"/>
  <c r="BA177" i="54"/>
  <c r="BA158" i="54" a="1"/>
  <c r="BA158" i="54" s="1"/>
  <c r="AZ158" i="54" a="1"/>
  <c r="AZ158" i="54" s="1"/>
  <c r="AZ99" i="54" a="1"/>
  <c r="AZ99" i="54" s="1"/>
  <c r="BA99" i="54" a="1"/>
  <c r="BA99" i="54" s="1"/>
  <c r="AZ100" i="54" a="1"/>
  <c r="AZ100" i="54" s="1"/>
  <c r="BA100" i="54" a="1"/>
  <c r="BA100" i="54"/>
  <c r="AZ101" i="54" a="1"/>
  <c r="AZ101" i="54"/>
  <c r="BA101" i="54" a="1"/>
  <c r="BA101" i="54"/>
  <c r="AZ102" i="54" a="1"/>
  <c r="AZ102" i="54" s="1"/>
  <c r="BA102" i="54" a="1"/>
  <c r="BA102" i="54"/>
  <c r="AZ103" i="54" a="1"/>
  <c r="AZ103" i="54" s="1"/>
  <c r="BA103" i="54" a="1"/>
  <c r="BA103" i="54" s="1"/>
  <c r="AZ104" i="54" a="1"/>
  <c r="AZ104" i="54" s="1"/>
  <c r="BA104" i="54" a="1"/>
  <c r="BA104" i="54"/>
  <c r="AZ105" i="54" a="1"/>
  <c r="AZ105" i="54"/>
  <c r="BA105" i="54" a="1"/>
  <c r="BA105" i="54"/>
  <c r="AZ106" i="54" a="1"/>
  <c r="AZ106" i="54" s="1"/>
  <c r="BA106" i="54" a="1"/>
  <c r="BA106" i="54"/>
  <c r="AZ107" i="54" a="1"/>
  <c r="AZ107" i="54" s="1"/>
  <c r="BA107" i="54" a="1"/>
  <c r="BA107" i="54" s="1"/>
  <c r="AZ108" i="54" a="1"/>
  <c r="AZ108" i="54" s="1"/>
  <c r="BA108" i="54" a="1"/>
  <c r="BA108" i="54"/>
  <c r="AZ109" i="54" a="1"/>
  <c r="AZ109" i="54"/>
  <c r="BA109" i="54" a="1"/>
  <c r="BA109" i="54"/>
  <c r="AZ110" i="54" a="1"/>
  <c r="AZ110" i="54" s="1"/>
  <c r="BA110" i="54" a="1"/>
  <c r="BA110" i="54"/>
  <c r="AZ111" i="54" a="1"/>
  <c r="AZ111" i="54" s="1"/>
  <c r="BA111" i="54" a="1"/>
  <c r="BA111" i="54" s="1"/>
  <c r="AZ112" i="54" a="1"/>
  <c r="AZ112" i="54" s="1"/>
  <c r="BA112" i="54" a="1"/>
  <c r="BA112" i="54"/>
  <c r="AZ113" i="54" a="1"/>
  <c r="AZ113" i="54"/>
  <c r="BA113" i="54" a="1"/>
  <c r="BA113" i="54"/>
  <c r="AZ114" i="54" a="1"/>
  <c r="AZ114" i="54" s="1"/>
  <c r="BA114" i="54" a="1"/>
  <c r="BA114" i="54"/>
  <c r="AZ115" i="54" a="1"/>
  <c r="AZ115" i="54" s="1"/>
  <c r="BA115" i="54" a="1"/>
  <c r="BA115" i="54" s="1"/>
  <c r="AZ116" i="54" a="1"/>
  <c r="AZ116" i="54" s="1"/>
  <c r="BA116" i="54" a="1"/>
  <c r="BA116" i="54"/>
  <c r="AZ117" i="54" a="1"/>
  <c r="AZ117" i="54"/>
  <c r="BA117" i="54" a="1"/>
  <c r="BA117" i="54" s="1"/>
  <c r="BA98" i="54" a="1"/>
  <c r="BA98" i="54" s="1"/>
  <c r="AZ98" i="54" a="1"/>
  <c r="AZ98" i="54" s="1"/>
  <c r="AZ46" i="54" a="1"/>
  <c r="AZ46" i="54" s="1"/>
  <c r="BA46" i="54" a="1"/>
  <c r="BA46" i="54" s="1"/>
  <c r="AZ47" i="54" a="1"/>
  <c r="AZ47" i="54" s="1"/>
  <c r="BA47" i="54" a="1"/>
  <c r="BA47" i="54"/>
  <c r="AZ48" i="54" a="1"/>
  <c r="AZ48" i="54"/>
  <c r="BA48" i="54" a="1"/>
  <c r="BA48" i="54"/>
  <c r="AZ49" i="54" a="1"/>
  <c r="AZ49" i="54"/>
  <c r="BA49" i="54" a="1"/>
  <c r="BA49" i="54"/>
  <c r="AZ50" i="54" a="1"/>
  <c r="AZ50" i="54" s="1"/>
  <c r="BA50" i="54" a="1"/>
  <c r="BA50" i="54" s="1"/>
  <c r="AZ51" i="54" a="1"/>
  <c r="AZ51" i="54" s="1"/>
  <c r="BA51" i="54" a="1"/>
  <c r="BA51" i="54"/>
  <c r="AZ52" i="54" a="1"/>
  <c r="AZ52" i="54"/>
  <c r="BA52" i="54" a="1"/>
  <c r="BA52" i="54"/>
  <c r="AZ53" i="54" a="1"/>
  <c r="AZ53" i="54"/>
  <c r="BA53" i="54" a="1"/>
  <c r="BA53" i="54"/>
  <c r="AZ54" i="54" a="1"/>
  <c r="AZ54" i="54" s="1"/>
  <c r="BA54" i="54" a="1"/>
  <c r="BA54" i="54" s="1"/>
  <c r="AZ55" i="54" a="1"/>
  <c r="AZ55" i="54" s="1"/>
  <c r="BA55" i="54" a="1"/>
  <c r="BA55" i="54"/>
  <c r="AZ56" i="54" a="1"/>
  <c r="AZ56" i="54"/>
  <c r="BA56" i="54" a="1"/>
  <c r="BA56" i="54"/>
  <c r="AZ57" i="54" a="1"/>
  <c r="AZ57" i="54"/>
  <c r="BA57" i="54" a="1"/>
  <c r="BA57" i="54"/>
  <c r="AZ58" i="54" a="1"/>
  <c r="AZ58" i="54" s="1"/>
  <c r="BA58" i="54" a="1"/>
  <c r="BA58" i="54" s="1"/>
  <c r="AZ59" i="54" a="1"/>
  <c r="AZ59" i="54" s="1"/>
  <c r="BA59" i="54" a="1"/>
  <c r="BA59" i="54"/>
  <c r="AZ60" i="54" a="1"/>
  <c r="AZ60" i="54" s="1"/>
  <c r="BA60" i="54" a="1"/>
  <c r="BA60" i="54"/>
  <c r="AZ61" i="54" a="1"/>
  <c r="AZ61" i="54" s="1"/>
  <c r="BA61" i="54" a="1"/>
  <c r="BA61" i="54" s="1"/>
  <c r="AZ62" i="54" a="1"/>
  <c r="AZ62" i="54" s="1"/>
  <c r="BA62" i="54" a="1"/>
  <c r="BA62" i="54" s="1"/>
  <c r="BA45" i="54" a="1"/>
  <c r="BA45" i="54" s="1"/>
  <c r="AZ45" i="54" a="1"/>
  <c r="AZ45" i="54" s="1"/>
  <c r="AE439" i="54" a="1"/>
  <c r="AE439" i="54" s="1"/>
  <c r="AF439" i="54" a="1"/>
  <c r="AF439" i="54" s="1"/>
  <c r="AE440" i="54" a="1"/>
  <c r="AE440" i="54"/>
  <c r="AF440" i="54" a="1"/>
  <c r="AF440" i="54"/>
  <c r="AE441" i="54" a="1"/>
  <c r="AE441" i="54"/>
  <c r="AF441" i="54" a="1"/>
  <c r="AF441" i="54"/>
  <c r="AE442" i="54" a="1"/>
  <c r="AE442" i="54"/>
  <c r="AF442" i="54" a="1"/>
  <c r="AF442" i="54"/>
  <c r="AE443" i="54" a="1"/>
  <c r="AE443" i="54" s="1"/>
  <c r="AF443" i="54" a="1"/>
  <c r="AF443" i="54" s="1"/>
  <c r="AE444" i="54" a="1"/>
  <c r="AE444" i="54"/>
  <c r="AF444" i="54" a="1"/>
  <c r="AF444" i="54"/>
  <c r="AE445" i="54" a="1"/>
  <c r="AE445" i="54"/>
  <c r="AF445" i="54" a="1"/>
  <c r="AF445" i="54"/>
  <c r="AE446" i="54" a="1"/>
  <c r="AE446" i="54"/>
  <c r="AF446" i="54" a="1"/>
  <c r="AF446" i="54"/>
  <c r="AE447" i="54" a="1"/>
  <c r="AE447" i="54" s="1"/>
  <c r="AF447" i="54" a="1"/>
  <c r="AF447" i="54" s="1"/>
  <c r="AE448" i="54" a="1"/>
  <c r="AE448" i="54"/>
  <c r="AF448" i="54" a="1"/>
  <c r="AF448" i="54"/>
  <c r="AE449" i="54" a="1"/>
  <c r="AE449" i="54"/>
  <c r="AF449" i="54" a="1"/>
  <c r="AF449" i="54"/>
  <c r="AE450" i="54" a="1"/>
  <c r="AE450" i="54" s="1"/>
  <c r="AF450" i="54" a="1"/>
  <c r="AF450" i="54"/>
  <c r="AE451" i="54" a="1"/>
  <c r="AE451" i="54" s="1"/>
  <c r="AF451" i="54" a="1"/>
  <c r="AF451" i="54" s="1"/>
  <c r="AE452" i="54" a="1"/>
  <c r="AE452" i="54"/>
  <c r="AF452" i="54" a="1"/>
  <c r="AF452" i="54"/>
  <c r="AE453" i="54" a="1"/>
  <c r="AE453" i="54"/>
  <c r="AF453" i="54" a="1"/>
  <c r="AF453" i="54"/>
  <c r="AE454" i="54" a="1"/>
  <c r="AE454" i="54" s="1"/>
  <c r="AF454" i="54" a="1"/>
  <c r="AF454" i="54"/>
  <c r="AE455" i="54" a="1"/>
  <c r="AE455" i="54" s="1"/>
  <c r="AF455" i="54" a="1"/>
  <c r="AF455" i="54" s="1"/>
  <c r="AE456" i="54" a="1"/>
  <c r="AE456" i="54"/>
  <c r="AF456" i="54" a="1"/>
  <c r="AF456" i="54"/>
  <c r="AE457" i="54" a="1"/>
  <c r="AE457" i="54"/>
  <c r="AF457" i="54" a="1"/>
  <c r="AF457" i="54"/>
  <c r="AE458" i="54" a="1"/>
  <c r="AE458" i="54"/>
  <c r="AF458" i="54" a="1"/>
  <c r="AF458" i="54"/>
  <c r="AE459" i="54" a="1"/>
  <c r="AE459" i="54" s="1"/>
  <c r="AF459" i="54" a="1"/>
  <c r="AF459" i="54" s="1"/>
  <c r="AE460" i="54" a="1"/>
  <c r="AE460" i="54"/>
  <c r="AF460" i="54" a="1"/>
  <c r="AF460" i="54"/>
  <c r="AE461" i="54" a="1"/>
  <c r="AE461" i="54"/>
  <c r="AF461" i="54" a="1"/>
  <c r="AF461" i="54"/>
  <c r="AE462" i="54" a="1"/>
  <c r="AE462" i="54"/>
  <c r="AF462" i="54" a="1"/>
  <c r="AF462" i="54"/>
  <c r="AE463" i="54" a="1"/>
  <c r="AE463" i="54" s="1"/>
  <c r="AF463" i="54" a="1"/>
  <c r="AF463" i="54" s="1"/>
  <c r="AE464" i="54" a="1"/>
  <c r="AE464" i="54"/>
  <c r="AF464" i="54" a="1"/>
  <c r="AF464" i="54"/>
  <c r="AE465" i="54" a="1"/>
  <c r="AE465" i="54"/>
  <c r="AF465" i="54" a="1"/>
  <c r="AF465" i="54"/>
  <c r="AE466" i="54" a="1"/>
  <c r="AE466" i="54"/>
  <c r="AF466" i="54" a="1"/>
  <c r="AF466" i="54"/>
  <c r="AE467" i="54" a="1"/>
  <c r="AE467" i="54" s="1"/>
  <c r="AF467" i="54" a="1"/>
  <c r="AF467" i="54" s="1"/>
  <c r="AE468" i="54" a="1"/>
  <c r="AE468" i="54"/>
  <c r="AF468" i="54" a="1"/>
  <c r="AF468" i="54"/>
  <c r="AE469" i="54" a="1"/>
  <c r="AE469" i="54"/>
  <c r="AF469" i="54" a="1"/>
  <c r="AF469" i="54"/>
  <c r="AE470" i="54" a="1"/>
  <c r="AE470" i="54"/>
  <c r="AF470" i="54" a="1"/>
  <c r="AF470" i="54"/>
  <c r="AE471" i="54" a="1"/>
  <c r="AE471" i="54" s="1"/>
  <c r="AF471" i="54" a="1"/>
  <c r="AF471" i="54" s="1"/>
  <c r="AE472" i="54" a="1"/>
  <c r="AE472" i="54"/>
  <c r="AF472" i="54" a="1"/>
  <c r="AF472" i="54"/>
  <c r="AE473" i="54" a="1"/>
  <c r="AE473" i="54"/>
  <c r="AF473" i="54" a="1"/>
  <c r="AF473" i="54"/>
  <c r="AE474" i="54" a="1"/>
  <c r="AE474" i="54"/>
  <c r="AF474" i="54" a="1"/>
  <c r="AF474" i="54"/>
  <c r="AE475" i="54" a="1"/>
  <c r="AE475" i="54" s="1"/>
  <c r="AF475" i="54" a="1"/>
  <c r="AF475" i="54" s="1"/>
  <c r="AE476" i="54" a="1"/>
  <c r="AE476" i="54"/>
  <c r="AF476" i="54" a="1"/>
  <c r="AF476" i="54"/>
  <c r="AE477" i="54" a="1"/>
  <c r="AE477" i="54"/>
  <c r="AF477" i="54" a="1"/>
  <c r="AF477" i="54"/>
  <c r="AE478" i="54" a="1"/>
  <c r="AE478" i="54"/>
  <c r="AF478" i="54" a="1"/>
  <c r="AF478" i="54"/>
  <c r="AE479" i="54" a="1"/>
  <c r="AE479" i="54" s="1"/>
  <c r="AF479" i="54" a="1"/>
  <c r="AF479" i="54" s="1"/>
  <c r="AE480" i="54" a="1"/>
  <c r="AE480" i="54"/>
  <c r="AF480" i="54" a="1"/>
  <c r="AF480" i="54"/>
  <c r="AE481" i="54" a="1"/>
  <c r="AE481" i="54"/>
  <c r="AF481" i="54" a="1"/>
  <c r="AF481" i="54"/>
  <c r="AE482" i="54" a="1"/>
  <c r="AE482" i="54"/>
  <c r="AF482" i="54" a="1"/>
  <c r="AF482" i="54"/>
  <c r="AE483" i="54" a="1"/>
  <c r="AE483" i="54" s="1"/>
  <c r="AF483" i="54" a="1"/>
  <c r="AF483" i="54" s="1"/>
  <c r="AE484" i="54" a="1"/>
  <c r="AE484" i="54"/>
  <c r="AF484" i="54" a="1"/>
  <c r="AF484" i="54"/>
  <c r="AE485" i="54" a="1"/>
  <c r="AE485" i="54"/>
  <c r="AF485" i="54" a="1"/>
  <c r="AF485" i="54"/>
  <c r="AE486" i="54" a="1"/>
  <c r="AE486" i="54"/>
  <c r="AF486" i="54" a="1"/>
  <c r="AF486" i="54"/>
  <c r="AE487" i="54" a="1"/>
  <c r="AE487" i="54" s="1"/>
  <c r="AF487" i="54" a="1"/>
  <c r="AF487" i="54" s="1"/>
  <c r="AE488" i="54" a="1"/>
  <c r="AE488" i="54"/>
  <c r="AF488" i="54" a="1"/>
  <c r="AF488" i="54"/>
  <c r="AE489" i="54" a="1"/>
  <c r="AE489" i="54"/>
  <c r="AF489" i="54" a="1"/>
  <c r="AF489" i="54"/>
  <c r="AE490" i="54" a="1"/>
  <c r="AE490" i="54"/>
  <c r="AF490" i="54" a="1"/>
  <c r="AF490" i="54"/>
  <c r="AE491" i="54" a="1"/>
  <c r="AE491" i="54" s="1"/>
  <c r="AF491" i="54" a="1"/>
  <c r="AF491" i="54" s="1"/>
  <c r="AE492" i="54" a="1"/>
  <c r="AE492" i="54"/>
  <c r="AF492" i="54" a="1"/>
  <c r="AF492" i="54"/>
  <c r="AF438" i="54" a="1"/>
  <c r="AF438" i="54" s="1"/>
  <c r="AE438" i="54" a="1"/>
  <c r="AE438" i="54" s="1"/>
  <c r="AE319" i="54" a="1"/>
  <c r="AE319" i="54" s="1"/>
  <c r="AF319" i="54" a="1"/>
  <c r="AF319" i="54" s="1"/>
  <c r="AE320" i="54" a="1"/>
  <c r="AE320" i="54"/>
  <c r="AF320" i="54" a="1"/>
  <c r="AF320" i="54" s="1"/>
  <c r="AE321" i="54" a="1"/>
  <c r="AE321" i="54"/>
  <c r="AF321" i="54" a="1"/>
  <c r="AF321" i="54"/>
  <c r="AE322" i="54" a="1"/>
  <c r="AE322" i="54"/>
  <c r="AF322" i="54" a="1"/>
  <c r="AF322" i="54" s="1"/>
  <c r="AE323" i="54" a="1"/>
  <c r="AE323" i="54" s="1"/>
  <c r="AF323" i="54" a="1"/>
  <c r="AF323" i="54" s="1"/>
  <c r="AE324" i="54" a="1"/>
  <c r="AE324" i="54" s="1"/>
  <c r="AF324" i="54" a="1"/>
  <c r="AF324" i="54" s="1"/>
  <c r="AE325" i="54" a="1"/>
  <c r="AE325" i="54"/>
  <c r="AF325" i="54" a="1"/>
  <c r="AF325" i="54"/>
  <c r="AE326" i="54" a="1"/>
  <c r="AE326" i="54"/>
  <c r="AF326" i="54" a="1"/>
  <c r="AF326" i="54"/>
  <c r="AE327" i="54" a="1"/>
  <c r="AE327" i="54" s="1"/>
  <c r="AF327" i="54" a="1"/>
  <c r="AF327" i="54" s="1"/>
  <c r="AE328" i="54" a="1"/>
  <c r="AE328" i="54" s="1"/>
  <c r="AF328" i="54" a="1"/>
  <c r="AF328" i="54" s="1"/>
  <c r="AE329" i="54" a="1"/>
  <c r="AE329" i="54"/>
  <c r="AF329" i="54" a="1"/>
  <c r="AF329" i="54"/>
  <c r="AE330" i="54" a="1"/>
  <c r="AE330" i="54" s="1"/>
  <c r="AF330" i="54" a="1"/>
  <c r="AF330" i="54"/>
  <c r="AE331" i="54" a="1"/>
  <c r="AE331" i="54" s="1"/>
  <c r="AF331" i="54" a="1"/>
  <c r="AF331" i="54" s="1"/>
  <c r="AE332" i="54" a="1"/>
  <c r="AE332" i="54" s="1"/>
  <c r="AF332" i="54" a="1"/>
  <c r="AF332" i="54" s="1"/>
  <c r="AE333" i="54" a="1"/>
  <c r="AE333" i="54"/>
  <c r="AF333" i="54" a="1"/>
  <c r="AF333" i="54"/>
  <c r="AE334" i="54" a="1"/>
  <c r="AE334" i="54"/>
  <c r="AF334" i="54" a="1"/>
  <c r="AF334" i="54"/>
  <c r="AE335" i="54" a="1"/>
  <c r="AE335" i="54" s="1"/>
  <c r="AF335" i="54" a="1"/>
  <c r="AF335" i="54" s="1"/>
  <c r="AE336" i="54" a="1"/>
  <c r="AE336" i="54" s="1"/>
  <c r="AF336" i="54" a="1"/>
  <c r="AF336" i="54" s="1"/>
  <c r="AE337" i="54" a="1"/>
  <c r="AE337" i="54"/>
  <c r="AF337" i="54" a="1"/>
  <c r="AF337" i="54"/>
  <c r="AE338" i="54" a="1"/>
  <c r="AE338" i="54"/>
  <c r="AF338" i="54" a="1"/>
  <c r="AF338" i="54"/>
  <c r="AE339" i="54" a="1"/>
  <c r="AE339" i="54" s="1"/>
  <c r="AF339" i="54" a="1"/>
  <c r="AF339" i="54" s="1"/>
  <c r="AE340" i="54" a="1"/>
  <c r="AE340" i="54" s="1"/>
  <c r="AF340" i="54" a="1"/>
  <c r="AF340" i="54" s="1"/>
  <c r="AE341" i="54" a="1"/>
  <c r="AE341" i="54"/>
  <c r="AF341" i="54" a="1"/>
  <c r="AF341" i="54"/>
  <c r="AE342" i="54" a="1"/>
  <c r="AE342" i="54"/>
  <c r="AF342" i="54" a="1"/>
  <c r="AF342" i="54"/>
  <c r="AE343" i="54" a="1"/>
  <c r="AE343" i="54" s="1"/>
  <c r="AF343" i="54" a="1"/>
  <c r="AF343" i="54" s="1"/>
  <c r="AE344" i="54" a="1"/>
  <c r="AE344" i="54" s="1"/>
  <c r="AF344" i="54" a="1"/>
  <c r="AF344" i="54" s="1"/>
  <c r="AE345" i="54" a="1"/>
  <c r="AE345" i="54"/>
  <c r="AF345" i="54" a="1"/>
  <c r="AF345" i="54"/>
  <c r="AE346" i="54" a="1"/>
  <c r="AE346" i="54"/>
  <c r="AF346" i="54" a="1"/>
  <c r="AF346" i="54"/>
  <c r="AE347" i="54" a="1"/>
  <c r="AE347" i="54" s="1"/>
  <c r="AF347" i="54" a="1"/>
  <c r="AF347" i="54" s="1"/>
  <c r="AE348" i="54" a="1"/>
  <c r="AE348" i="54" s="1"/>
  <c r="AF348" i="54" a="1"/>
  <c r="AF348" i="54" s="1"/>
  <c r="AE349" i="54" a="1"/>
  <c r="AE349" i="54"/>
  <c r="AF349" i="54" a="1"/>
  <c r="AF349" i="54"/>
  <c r="AE350" i="54" a="1"/>
  <c r="AE350" i="54"/>
  <c r="AF350" i="54" a="1"/>
  <c r="AF350" i="54"/>
  <c r="AE351" i="54" a="1"/>
  <c r="AE351" i="54" s="1"/>
  <c r="AF351" i="54" a="1"/>
  <c r="AF351" i="54" s="1"/>
  <c r="AE352" i="54" a="1"/>
  <c r="AE352" i="54" s="1"/>
  <c r="AF352" i="54" a="1"/>
  <c r="AF352" i="54" s="1"/>
  <c r="AE353" i="54" a="1"/>
  <c r="AE353" i="54"/>
  <c r="AF353" i="54" a="1"/>
  <c r="AF353" i="54"/>
  <c r="AE354" i="54" a="1"/>
  <c r="AE354" i="54"/>
  <c r="AF354" i="54" a="1"/>
  <c r="AF354" i="54"/>
  <c r="AE355" i="54" a="1"/>
  <c r="AE355" i="54" s="1"/>
  <c r="AF355" i="54" a="1"/>
  <c r="AF355" i="54" s="1"/>
  <c r="AE356" i="54" a="1"/>
  <c r="AE356" i="54" s="1"/>
  <c r="AF356" i="54" a="1"/>
  <c r="AF356" i="54" s="1"/>
  <c r="AE357" i="54" a="1"/>
  <c r="AE357" i="54" s="1"/>
  <c r="AF357" i="54" a="1"/>
  <c r="AF357" i="54"/>
  <c r="AF318" i="54" a="1"/>
  <c r="AF318" i="54" s="1"/>
  <c r="AE318" i="54" a="1"/>
  <c r="AE318" i="54" s="1"/>
  <c r="AE224" i="54" a="1"/>
  <c r="AE224" i="54" s="1"/>
  <c r="AF224" i="54" a="1"/>
  <c r="AF224" i="54"/>
  <c r="AE225" i="54" a="1"/>
  <c r="AE225" i="54"/>
  <c r="AF225" i="54" a="1"/>
  <c r="AF225" i="54"/>
  <c r="AE226" i="54" a="1"/>
  <c r="AE226" i="54"/>
  <c r="AF226" i="54" a="1"/>
  <c r="AF226" i="54"/>
  <c r="AE227" i="54" a="1"/>
  <c r="AE227" i="54"/>
  <c r="AF227" i="54" a="1"/>
  <c r="AF227" i="54"/>
  <c r="AE228" i="54" a="1"/>
  <c r="AE228" i="54" s="1"/>
  <c r="AF228" i="54" a="1"/>
  <c r="AF228" i="54"/>
  <c r="AE229" i="54" a="1"/>
  <c r="AE229" i="54"/>
  <c r="AF229" i="54" a="1"/>
  <c r="AF229" i="54"/>
  <c r="AE230" i="54" a="1"/>
  <c r="AE230" i="54" s="1"/>
  <c r="AF230" i="54" a="1"/>
  <c r="AF230" i="54"/>
  <c r="AE231" i="54" a="1"/>
  <c r="AE231" i="54"/>
  <c r="AF231" i="54" a="1"/>
  <c r="AF231" i="54"/>
  <c r="AE232" i="54" a="1"/>
  <c r="AE232" i="54" s="1"/>
  <c r="AF232" i="54" a="1"/>
  <c r="AF232" i="54"/>
  <c r="AE233" i="54" a="1"/>
  <c r="AE233" i="54"/>
  <c r="AF233" i="54" a="1"/>
  <c r="AF233" i="54"/>
  <c r="AE234" i="54" a="1"/>
  <c r="AE234" i="54"/>
  <c r="AF234" i="54" a="1"/>
  <c r="AF234" i="54"/>
  <c r="AE235" i="54" a="1"/>
  <c r="AE235" i="54"/>
  <c r="AF235" i="54" a="1"/>
  <c r="AF235" i="54"/>
  <c r="AE236" i="54" a="1"/>
  <c r="AE236" i="54" s="1"/>
  <c r="AF236" i="54" a="1"/>
  <c r="AF236" i="54"/>
  <c r="AE237" i="54" a="1"/>
  <c r="AE237" i="54"/>
  <c r="AF237" i="54" a="1"/>
  <c r="AF237" i="54"/>
  <c r="AE238" i="54" a="1"/>
  <c r="AE238" i="54"/>
  <c r="AF238" i="54" a="1"/>
  <c r="AF238" i="54"/>
  <c r="AE239" i="54" a="1"/>
  <c r="AE239" i="54"/>
  <c r="AF239" i="54" a="1"/>
  <c r="AF239" i="54"/>
  <c r="AE240" i="54" a="1"/>
  <c r="AE240" i="54" s="1"/>
  <c r="AF240" i="54" a="1"/>
  <c r="AF240" i="54"/>
  <c r="AE241" i="54" a="1"/>
  <c r="AE241" i="54"/>
  <c r="AF241" i="54" a="1"/>
  <c r="AF241" i="54"/>
  <c r="AE242" i="54" a="1"/>
  <c r="AE242" i="54"/>
  <c r="AF242" i="54" a="1"/>
  <c r="AF242" i="54"/>
  <c r="AE243" i="54" a="1"/>
  <c r="AE243" i="54"/>
  <c r="AF243" i="54" a="1"/>
  <c r="AF243" i="54"/>
  <c r="AE244" i="54" a="1"/>
  <c r="AE244" i="54" s="1"/>
  <c r="AF244" i="54" a="1"/>
  <c r="AF244" i="54"/>
  <c r="AE245" i="54" a="1"/>
  <c r="AE245" i="54"/>
  <c r="AF245" i="54" a="1"/>
  <c r="AF245" i="54"/>
  <c r="AE246" i="54" a="1"/>
  <c r="AE246" i="54"/>
  <c r="AF246" i="54" a="1"/>
  <c r="AF246" i="54"/>
  <c r="AE247" i="54" a="1"/>
  <c r="AE247" i="54"/>
  <c r="AF247" i="54" a="1"/>
  <c r="AF247" i="54"/>
  <c r="AE248" i="54" a="1"/>
  <c r="AE248" i="54" s="1"/>
  <c r="AF248" i="54" a="1"/>
  <c r="AF248" i="54"/>
  <c r="AE249" i="54" a="1"/>
  <c r="AE249" i="54"/>
  <c r="AF249" i="54" a="1"/>
  <c r="AF249" i="54"/>
  <c r="AE250" i="54" a="1"/>
  <c r="AE250" i="54"/>
  <c r="AF250" i="54" a="1"/>
  <c r="AF250" i="54"/>
  <c r="AE251" i="54" a="1"/>
  <c r="AE251" i="54"/>
  <c r="AF251" i="54" a="1"/>
  <c r="AF251" i="54"/>
  <c r="AE252" i="54" a="1"/>
  <c r="AE252" i="54" s="1"/>
  <c r="AF252" i="54" a="1"/>
  <c r="AF252" i="54"/>
  <c r="AE253" i="54" a="1"/>
  <c r="AE253" i="54"/>
  <c r="AF253" i="54" a="1"/>
  <c r="AF253" i="54"/>
  <c r="AE254" i="54" a="1"/>
  <c r="AE254" i="54"/>
  <c r="AF254" i="54" a="1"/>
  <c r="AF254" i="54"/>
  <c r="AE255" i="54" a="1"/>
  <c r="AE255" i="54"/>
  <c r="AF255" i="54" a="1"/>
  <c r="AF255" i="54"/>
  <c r="AE256" i="54" a="1"/>
  <c r="AE256" i="54" s="1"/>
  <c r="AF256" i="54" a="1"/>
  <c r="AF256" i="54"/>
  <c r="AE257" i="54" a="1"/>
  <c r="AE257" i="54"/>
  <c r="AF257" i="54" a="1"/>
  <c r="AF257" i="54"/>
  <c r="AE258" i="54" a="1"/>
  <c r="AE258" i="54"/>
  <c r="AF258" i="54" a="1"/>
  <c r="AF258" i="54"/>
  <c r="AE259" i="54" a="1"/>
  <c r="AE259" i="54"/>
  <c r="AF259" i="54" a="1"/>
  <c r="AF259" i="54"/>
  <c r="AE260" i="54" a="1"/>
  <c r="AE260" i="54" s="1"/>
  <c r="AF260" i="54" a="1"/>
  <c r="AF260" i="54"/>
  <c r="AE261" i="54" a="1"/>
  <c r="AE261" i="54"/>
  <c r="AF261" i="54" a="1"/>
  <c r="AF261" i="54"/>
  <c r="AE262" i="54" a="1"/>
  <c r="AE262" i="54" s="1"/>
  <c r="AF262" i="54" a="1"/>
  <c r="AF262" i="54" s="1"/>
  <c r="AF223" i="54" a="1"/>
  <c r="AF223" i="54" s="1"/>
  <c r="AE223" i="54" a="1"/>
  <c r="AE223" i="54" s="1"/>
  <c r="AE159" i="54" a="1"/>
  <c r="AE159" i="54" s="1"/>
  <c r="AF159" i="54" a="1"/>
  <c r="AF159" i="54" s="1"/>
  <c r="AE160" i="54" a="1"/>
  <c r="AE160" i="54" s="1"/>
  <c r="AF160" i="54" a="1"/>
  <c r="AF160" i="54" s="1"/>
  <c r="AE161" i="54" a="1"/>
  <c r="AE161" i="54"/>
  <c r="AF161" i="54" a="1"/>
  <c r="AF161" i="54"/>
  <c r="AE162" i="54" a="1"/>
  <c r="AE162" i="54"/>
  <c r="AF162" i="54" a="1"/>
  <c r="AF162" i="54"/>
  <c r="AE163" i="54" a="1"/>
  <c r="AE163" i="54" s="1"/>
  <c r="AF163" i="54" a="1"/>
  <c r="AF163" i="54" s="1"/>
  <c r="AE164" i="54" a="1"/>
  <c r="AE164" i="54" s="1"/>
  <c r="AF164" i="54" a="1"/>
  <c r="AF164" i="54" s="1"/>
  <c r="AE165" i="54" a="1"/>
  <c r="AE165" i="54"/>
  <c r="AF165" i="54" a="1"/>
  <c r="AF165" i="54"/>
  <c r="AE166" i="54" a="1"/>
  <c r="AE166" i="54"/>
  <c r="AF166" i="54" a="1"/>
  <c r="AF166" i="54"/>
  <c r="AE167" i="54" a="1"/>
  <c r="AE167" i="54" s="1"/>
  <c r="AF167" i="54" a="1"/>
  <c r="AF167" i="54" s="1"/>
  <c r="AE168" i="54" a="1"/>
  <c r="AE168" i="54" s="1"/>
  <c r="AF168" i="54" a="1"/>
  <c r="AF168" i="54" s="1"/>
  <c r="AE169" i="54" a="1"/>
  <c r="AE169" i="54"/>
  <c r="AF169" i="54" a="1"/>
  <c r="AF169" i="54"/>
  <c r="AE170" i="54" a="1"/>
  <c r="AE170" i="54"/>
  <c r="AF170" i="54" a="1"/>
  <c r="AF170" i="54"/>
  <c r="AE171" i="54" a="1"/>
  <c r="AE171" i="54" s="1"/>
  <c r="AF171" i="54" a="1"/>
  <c r="AF171" i="54" s="1"/>
  <c r="AE172" i="54" a="1"/>
  <c r="AE172" i="54" s="1"/>
  <c r="AF172" i="54" a="1"/>
  <c r="AF172" i="54" s="1"/>
  <c r="AE173" i="54" a="1"/>
  <c r="AE173" i="54"/>
  <c r="AF173" i="54" a="1"/>
  <c r="AF173" i="54"/>
  <c r="AE174" i="54" a="1"/>
  <c r="AE174" i="54"/>
  <c r="AF174" i="54" a="1"/>
  <c r="AF174" i="54"/>
  <c r="AE175" i="54" a="1"/>
  <c r="AE175" i="54" s="1"/>
  <c r="AF175" i="54" a="1"/>
  <c r="AF175" i="54" s="1"/>
  <c r="AE176" i="54" a="1"/>
  <c r="AE176" i="54" s="1"/>
  <c r="AF176" i="54" a="1"/>
  <c r="AF176" i="54" s="1"/>
  <c r="AE177" i="54" a="1"/>
  <c r="AE177" i="54"/>
  <c r="AF177" i="54" a="1"/>
  <c r="AF177" i="54" s="1"/>
  <c r="AF158" i="54" a="1"/>
  <c r="AF158" i="54" s="1"/>
  <c r="AE158" i="54" a="1"/>
  <c r="AE158" i="54" s="1"/>
  <c r="AE99" i="54" a="1"/>
  <c r="AE99" i="54" s="1"/>
  <c r="AF99" i="54" a="1"/>
  <c r="AF99" i="54" s="1"/>
  <c r="AE100" i="54" a="1"/>
  <c r="AE100" i="54"/>
  <c r="AF100" i="54" a="1"/>
  <c r="AF100" i="54"/>
  <c r="AE101" i="54" a="1"/>
  <c r="AE101" i="54"/>
  <c r="AF101" i="54" a="1"/>
  <c r="AF101" i="54"/>
  <c r="AE102" i="54" a="1"/>
  <c r="AE102" i="54"/>
  <c r="AF102" i="54" a="1"/>
  <c r="AF102" i="54"/>
  <c r="AE103" i="54" a="1"/>
  <c r="AE103" i="54" s="1"/>
  <c r="AF103" i="54" a="1"/>
  <c r="AF103" i="54" s="1"/>
  <c r="AE104" i="54" a="1"/>
  <c r="AE104" i="54"/>
  <c r="AF104" i="54" a="1"/>
  <c r="AF104" i="54"/>
  <c r="AE105" i="54" a="1"/>
  <c r="AE105" i="54"/>
  <c r="AF105" i="54" a="1"/>
  <c r="AF105" i="54"/>
  <c r="AE106" i="54" a="1"/>
  <c r="AE106" i="54"/>
  <c r="AF106" i="54" a="1"/>
  <c r="AF106" i="54"/>
  <c r="AE107" i="54" a="1"/>
  <c r="AE107" i="54" s="1"/>
  <c r="AF107" i="54" a="1"/>
  <c r="AF107" i="54" s="1"/>
  <c r="AE108" i="54" a="1"/>
  <c r="AE108" i="54"/>
  <c r="AF108" i="54" a="1"/>
  <c r="AF108" i="54"/>
  <c r="AE109" i="54" a="1"/>
  <c r="AE109" i="54"/>
  <c r="AF109" i="54" a="1"/>
  <c r="AF109" i="54"/>
  <c r="AE110" i="54" a="1"/>
  <c r="AE110" i="54"/>
  <c r="AF110" i="54" a="1"/>
  <c r="AF110" i="54"/>
  <c r="AE111" i="54" a="1"/>
  <c r="AE111" i="54" s="1"/>
  <c r="AF111" i="54" a="1"/>
  <c r="AF111" i="54" s="1"/>
  <c r="AE112" i="54" a="1"/>
  <c r="AE112" i="54"/>
  <c r="AF112" i="54" a="1"/>
  <c r="AF112" i="54"/>
  <c r="AE113" i="54" a="1"/>
  <c r="AE113" i="54"/>
  <c r="AF113" i="54" a="1"/>
  <c r="AF113" i="54"/>
  <c r="AE114" i="54" a="1"/>
  <c r="AE114" i="54"/>
  <c r="AF114" i="54" a="1"/>
  <c r="AF114" i="54"/>
  <c r="AE115" i="54" a="1"/>
  <c r="AE115" i="54" s="1"/>
  <c r="AF115" i="54" a="1"/>
  <c r="AF115" i="54" s="1"/>
  <c r="AE116" i="54" a="1"/>
  <c r="AE116" i="54"/>
  <c r="AF116" i="54" a="1"/>
  <c r="AF116" i="54"/>
  <c r="AE117" i="54" a="1"/>
  <c r="AE117" i="54" s="1"/>
  <c r="AF117" i="54" a="1"/>
  <c r="AF117" i="54" s="1"/>
  <c r="AF98" i="54" a="1"/>
  <c r="AF98" i="54" s="1"/>
  <c r="AE98" i="54" a="1"/>
  <c r="AE98" i="54" s="1"/>
  <c r="AE46" i="54" a="1"/>
  <c r="AE46" i="54" s="1"/>
  <c r="AF46" i="54" a="1"/>
  <c r="AF46" i="54" s="1"/>
  <c r="AE47" i="54" a="1"/>
  <c r="AE47" i="54" s="1"/>
  <c r="AF47" i="54" a="1"/>
  <c r="AF47" i="54" s="1"/>
  <c r="AE48" i="54" a="1"/>
  <c r="AE48" i="54"/>
  <c r="AF48" i="54" a="1"/>
  <c r="AF48" i="54"/>
  <c r="AE49" i="54" a="1"/>
  <c r="AE49" i="54"/>
  <c r="AF49" i="54" a="1"/>
  <c r="AF49" i="54"/>
  <c r="AE50" i="54" a="1"/>
  <c r="AE50" i="54" s="1"/>
  <c r="AF50" i="54" a="1"/>
  <c r="AF50" i="54" s="1"/>
  <c r="AE51" i="54" a="1"/>
  <c r="AE51" i="54" s="1"/>
  <c r="AF51" i="54" a="1"/>
  <c r="AF51" i="54" s="1"/>
  <c r="AE52" i="54" a="1"/>
  <c r="AE52" i="54"/>
  <c r="AF52" i="54" a="1"/>
  <c r="AF52" i="54"/>
  <c r="AE53" i="54" a="1"/>
  <c r="AE53" i="54"/>
  <c r="AF53" i="54" a="1"/>
  <c r="AF53" i="54"/>
  <c r="AE54" i="54" a="1"/>
  <c r="AE54" i="54" s="1"/>
  <c r="AF54" i="54" a="1"/>
  <c r="AF54" i="54" s="1"/>
  <c r="AE55" i="54" a="1"/>
  <c r="AE55" i="54" s="1"/>
  <c r="AF55" i="54" a="1"/>
  <c r="AF55" i="54" s="1"/>
  <c r="AE56" i="54" a="1"/>
  <c r="AE56" i="54"/>
  <c r="AF56" i="54" a="1"/>
  <c r="AF56" i="54"/>
  <c r="AE57" i="54" a="1"/>
  <c r="AE57" i="54"/>
  <c r="AF57" i="54" a="1"/>
  <c r="AF57" i="54"/>
  <c r="AE58" i="54" a="1"/>
  <c r="AE58" i="54" s="1"/>
  <c r="AF58" i="54" a="1"/>
  <c r="AF58" i="54" s="1"/>
  <c r="AE59" i="54" a="1"/>
  <c r="AE59" i="54" s="1"/>
  <c r="AF59" i="54" a="1"/>
  <c r="AF59" i="54" s="1"/>
  <c r="AE60" i="54" a="1"/>
  <c r="AE60" i="54" s="1"/>
  <c r="AF60" i="54" a="1"/>
  <c r="AF60" i="54"/>
  <c r="AE61" i="54" a="1"/>
  <c r="AE61" i="54"/>
  <c r="AF61" i="54" a="1"/>
  <c r="AF61" i="54"/>
  <c r="AE62" i="54" a="1"/>
  <c r="AE62" i="54" s="1"/>
  <c r="AF62" i="54" a="1"/>
  <c r="AF62" i="54" s="1"/>
  <c r="AF45" i="54" a="1"/>
  <c r="AF45" i="54" s="1"/>
  <c r="AE45" i="54" a="1"/>
  <c r="AE45" i="54" s="1"/>
  <c r="J439" i="54" a="1"/>
  <c r="J439" i="54" s="1"/>
  <c r="K439" i="54" a="1"/>
  <c r="K439" i="54"/>
  <c r="J440" i="54" a="1"/>
  <c r="J440" i="54"/>
  <c r="K440" i="54" a="1"/>
  <c r="K440" i="54"/>
  <c r="J441" i="54" a="1"/>
  <c r="J441" i="54"/>
  <c r="K441" i="54" a="1"/>
  <c r="K441" i="54"/>
  <c r="J442" i="54" a="1"/>
  <c r="J442" i="54"/>
  <c r="K442" i="54" a="1"/>
  <c r="K442" i="54"/>
  <c r="J443" i="54" a="1"/>
  <c r="J443" i="54" s="1"/>
  <c r="K443" i="54" a="1"/>
  <c r="K443" i="54"/>
  <c r="J444" i="54" a="1"/>
  <c r="J444" i="54"/>
  <c r="K444" i="54" a="1"/>
  <c r="K444" i="54"/>
  <c r="J445" i="54" a="1"/>
  <c r="J445" i="54"/>
  <c r="K445" i="54" a="1"/>
  <c r="K445" i="54"/>
  <c r="J446" i="54" a="1"/>
  <c r="J446" i="54"/>
  <c r="K446" i="54" a="1"/>
  <c r="K446" i="54"/>
  <c r="J447" i="54" a="1"/>
  <c r="J447" i="54" s="1"/>
  <c r="K447" i="54" a="1"/>
  <c r="K447" i="54"/>
  <c r="J448" i="54" a="1"/>
  <c r="J448" i="54"/>
  <c r="K448" i="54" a="1"/>
  <c r="K448" i="54"/>
  <c r="J449" i="54" a="1"/>
  <c r="J449" i="54"/>
  <c r="K449" i="54" a="1"/>
  <c r="K449" i="54"/>
  <c r="J450" i="54" a="1"/>
  <c r="J450" i="54"/>
  <c r="K450" i="54" a="1"/>
  <c r="K450" i="54"/>
  <c r="J451" i="54" a="1"/>
  <c r="J451" i="54" s="1"/>
  <c r="K451" i="54" a="1"/>
  <c r="K451" i="54"/>
  <c r="J452" i="54" a="1"/>
  <c r="J452" i="54"/>
  <c r="K452" i="54" a="1"/>
  <c r="K452" i="54"/>
  <c r="J453" i="54" a="1"/>
  <c r="J453" i="54"/>
  <c r="K453" i="54" a="1"/>
  <c r="K453" i="54"/>
  <c r="J454" i="54" a="1"/>
  <c r="J454" i="54"/>
  <c r="K454" i="54" a="1"/>
  <c r="K454" i="54"/>
  <c r="J455" i="54" a="1"/>
  <c r="J455" i="54" s="1"/>
  <c r="K455" i="54" a="1"/>
  <c r="K455" i="54"/>
  <c r="J456" i="54" a="1"/>
  <c r="J456" i="54"/>
  <c r="K456" i="54" a="1"/>
  <c r="K456" i="54"/>
  <c r="J457" i="54" a="1"/>
  <c r="J457" i="54"/>
  <c r="K457" i="54" a="1"/>
  <c r="K457" i="54"/>
  <c r="J458" i="54" a="1"/>
  <c r="J458" i="54"/>
  <c r="K458" i="54" a="1"/>
  <c r="K458" i="54"/>
  <c r="J459" i="54" a="1"/>
  <c r="J459" i="54" s="1"/>
  <c r="K459" i="54" a="1"/>
  <c r="K459" i="54"/>
  <c r="J460" i="54" a="1"/>
  <c r="J460" i="54"/>
  <c r="K460" i="54" a="1"/>
  <c r="K460" i="54"/>
  <c r="J461" i="54" a="1"/>
  <c r="J461" i="54"/>
  <c r="K461" i="54" a="1"/>
  <c r="K461" i="54"/>
  <c r="J462" i="54" a="1"/>
  <c r="J462" i="54"/>
  <c r="K462" i="54" a="1"/>
  <c r="K462" i="54"/>
  <c r="J463" i="54" a="1"/>
  <c r="J463" i="54" s="1"/>
  <c r="K463" i="54" a="1"/>
  <c r="K463" i="54"/>
  <c r="J464" i="54" a="1"/>
  <c r="J464" i="54"/>
  <c r="K464" i="54" a="1"/>
  <c r="K464" i="54"/>
  <c r="J465" i="54" a="1"/>
  <c r="J465" i="54"/>
  <c r="K465" i="54" a="1"/>
  <c r="K465" i="54"/>
  <c r="J466" i="54" a="1"/>
  <c r="J466" i="54"/>
  <c r="K466" i="54" a="1"/>
  <c r="K466" i="54"/>
  <c r="J467" i="54" a="1"/>
  <c r="J467" i="54" s="1"/>
  <c r="K467" i="54" a="1"/>
  <c r="K467" i="54"/>
  <c r="J468" i="54" a="1"/>
  <c r="J468" i="54"/>
  <c r="K468" i="54" a="1"/>
  <c r="K468" i="54"/>
  <c r="J469" i="54" a="1"/>
  <c r="J469" i="54"/>
  <c r="K469" i="54" a="1"/>
  <c r="K469" i="54"/>
  <c r="J470" i="54" a="1"/>
  <c r="J470" i="54"/>
  <c r="K470" i="54" a="1"/>
  <c r="K470" i="54"/>
  <c r="J471" i="54" a="1"/>
  <c r="J471" i="54" s="1"/>
  <c r="K471" i="54" a="1"/>
  <c r="K471" i="54"/>
  <c r="J472" i="54" a="1"/>
  <c r="J472" i="54"/>
  <c r="K472" i="54" a="1"/>
  <c r="K472" i="54"/>
  <c r="J473" i="54" a="1"/>
  <c r="J473" i="54"/>
  <c r="K473" i="54" a="1"/>
  <c r="K473" i="54"/>
  <c r="J474" i="54" a="1"/>
  <c r="J474" i="54"/>
  <c r="K474" i="54" a="1"/>
  <c r="K474" i="54"/>
  <c r="J475" i="54" a="1"/>
  <c r="J475" i="54" s="1"/>
  <c r="K475" i="54" a="1"/>
  <c r="K475" i="54"/>
  <c r="J476" i="54" a="1"/>
  <c r="J476" i="54"/>
  <c r="K476" i="54" a="1"/>
  <c r="K476" i="54"/>
  <c r="J477" i="54" a="1"/>
  <c r="J477" i="54"/>
  <c r="K477" i="54" a="1"/>
  <c r="K477" i="54"/>
  <c r="J478" i="54" a="1"/>
  <c r="J478" i="54"/>
  <c r="K478" i="54" a="1"/>
  <c r="K478" i="54"/>
  <c r="J479" i="54" a="1"/>
  <c r="J479" i="54" s="1"/>
  <c r="K479" i="54" a="1"/>
  <c r="K479" i="54"/>
  <c r="J480" i="54" a="1"/>
  <c r="J480" i="54"/>
  <c r="K480" i="54" a="1"/>
  <c r="K480" i="54"/>
  <c r="J481" i="54" a="1"/>
  <c r="J481" i="54"/>
  <c r="K481" i="54" a="1"/>
  <c r="K481" i="54"/>
  <c r="J482" i="54" a="1"/>
  <c r="J482" i="54"/>
  <c r="K482" i="54" a="1"/>
  <c r="K482" i="54"/>
  <c r="J483" i="54" a="1"/>
  <c r="J483" i="54" s="1"/>
  <c r="K483" i="54" a="1"/>
  <c r="K483" i="54"/>
  <c r="J484" i="54" a="1"/>
  <c r="J484" i="54"/>
  <c r="K484" i="54" a="1"/>
  <c r="K484" i="54"/>
  <c r="J485" i="54" a="1"/>
  <c r="J485" i="54"/>
  <c r="K485" i="54" a="1"/>
  <c r="K485" i="54"/>
  <c r="J486" i="54" a="1"/>
  <c r="J486" i="54"/>
  <c r="K486" i="54" a="1"/>
  <c r="K486" i="54"/>
  <c r="J487" i="54" a="1"/>
  <c r="J487" i="54" s="1"/>
  <c r="K487" i="54" a="1"/>
  <c r="K487" i="54"/>
  <c r="J488" i="54" a="1"/>
  <c r="J488" i="54"/>
  <c r="K488" i="54" a="1"/>
  <c r="K488" i="54"/>
  <c r="J489" i="54" a="1"/>
  <c r="J489" i="54" s="1"/>
  <c r="K489" i="54" a="1"/>
  <c r="K489" i="54"/>
  <c r="J490" i="54" a="1"/>
  <c r="J490" i="54"/>
  <c r="K490" i="54" a="1"/>
  <c r="K490" i="54"/>
  <c r="J491" i="54" a="1"/>
  <c r="J491" i="54" s="1"/>
  <c r="K491" i="54" a="1"/>
  <c r="K491" i="54" s="1"/>
  <c r="J492" i="54" a="1"/>
  <c r="J492" i="54" s="1"/>
  <c r="K492" i="54" a="1"/>
  <c r="K492" i="54"/>
  <c r="K438" i="54" a="1"/>
  <c r="K438" i="54" s="1"/>
  <c r="J438" i="54" a="1"/>
  <c r="J438" i="54" s="1"/>
  <c r="J319" i="54" a="1"/>
  <c r="J319" i="54" s="1"/>
  <c r="K319" i="54" a="1"/>
  <c r="K319" i="54" s="1"/>
  <c r="J320" i="54" a="1"/>
  <c r="J320" i="54"/>
  <c r="K320" i="54" a="1"/>
  <c r="K320" i="54"/>
  <c r="J321" i="54" a="1"/>
  <c r="J321" i="54"/>
  <c r="K321" i="54" a="1"/>
  <c r="K321" i="54"/>
  <c r="J322" i="54" a="1"/>
  <c r="J322" i="54"/>
  <c r="K322" i="54" a="1"/>
  <c r="K322" i="54"/>
  <c r="J323" i="54" a="1"/>
  <c r="J323" i="54" s="1"/>
  <c r="K323" i="54" a="1"/>
  <c r="K323" i="54" s="1"/>
  <c r="J324" i="54" a="1"/>
  <c r="J324" i="54"/>
  <c r="K324" i="54" a="1"/>
  <c r="K324" i="54"/>
  <c r="J325" i="54" a="1"/>
  <c r="J325" i="54"/>
  <c r="K325" i="54" a="1"/>
  <c r="K325" i="54"/>
  <c r="J326" i="54" a="1"/>
  <c r="J326" i="54"/>
  <c r="K326" i="54" a="1"/>
  <c r="K326" i="54"/>
  <c r="J327" i="54" a="1"/>
  <c r="J327" i="54" s="1"/>
  <c r="K327" i="54" a="1"/>
  <c r="K327" i="54" s="1"/>
  <c r="J328" i="54" a="1"/>
  <c r="J328" i="54"/>
  <c r="K328" i="54" a="1"/>
  <c r="K328" i="54"/>
  <c r="J329" i="54" a="1"/>
  <c r="J329" i="54"/>
  <c r="K329" i="54" a="1"/>
  <c r="K329" i="54"/>
  <c r="J330" i="54" a="1"/>
  <c r="J330" i="54"/>
  <c r="K330" i="54" a="1"/>
  <c r="K330" i="54" s="1"/>
  <c r="J331" i="54" a="1"/>
  <c r="J331" i="54" s="1"/>
  <c r="K331" i="54" a="1"/>
  <c r="K331" i="54" s="1"/>
  <c r="J332" i="54" a="1"/>
  <c r="J332" i="54"/>
  <c r="K332" i="54" a="1"/>
  <c r="K332" i="54"/>
  <c r="J333" i="54" a="1"/>
  <c r="J333" i="54"/>
  <c r="K333" i="54" a="1"/>
  <c r="K333" i="54"/>
  <c r="J334" i="54" a="1"/>
  <c r="J334" i="54"/>
  <c r="K334" i="54" a="1"/>
  <c r="K334" i="54"/>
  <c r="J335" i="54" a="1"/>
  <c r="J335" i="54" s="1"/>
  <c r="K335" i="54" a="1"/>
  <c r="K335" i="54" s="1"/>
  <c r="J336" i="54" a="1"/>
  <c r="J336" i="54"/>
  <c r="K336" i="54" a="1"/>
  <c r="K336" i="54"/>
  <c r="J337" i="54" a="1"/>
  <c r="J337" i="54"/>
  <c r="K337" i="54" a="1"/>
  <c r="K337" i="54"/>
  <c r="J338" i="54" a="1"/>
  <c r="J338" i="54"/>
  <c r="K338" i="54" a="1"/>
  <c r="K338" i="54"/>
  <c r="J339" i="54" a="1"/>
  <c r="J339" i="54" s="1"/>
  <c r="K339" i="54" a="1"/>
  <c r="K339" i="54" s="1"/>
  <c r="J340" i="54" a="1"/>
  <c r="J340" i="54"/>
  <c r="K340" i="54" a="1"/>
  <c r="K340" i="54"/>
  <c r="J341" i="54" a="1"/>
  <c r="J341" i="54"/>
  <c r="K341" i="54" a="1"/>
  <c r="K341" i="54"/>
  <c r="J342" i="54" a="1"/>
  <c r="J342" i="54"/>
  <c r="K342" i="54" a="1"/>
  <c r="K342" i="54"/>
  <c r="J343" i="54" a="1"/>
  <c r="J343" i="54" s="1"/>
  <c r="K343" i="54" a="1"/>
  <c r="K343" i="54" s="1"/>
  <c r="J344" i="54" a="1"/>
  <c r="J344" i="54"/>
  <c r="K344" i="54" a="1"/>
  <c r="K344" i="54"/>
  <c r="J345" i="54" a="1"/>
  <c r="J345" i="54"/>
  <c r="K345" i="54" a="1"/>
  <c r="K345" i="54"/>
  <c r="J346" i="54" a="1"/>
  <c r="J346" i="54"/>
  <c r="K346" i="54" a="1"/>
  <c r="K346" i="54"/>
  <c r="J347" i="54" a="1"/>
  <c r="J347" i="54" s="1"/>
  <c r="K347" i="54" a="1"/>
  <c r="K347" i="54" s="1"/>
  <c r="J348" i="54" a="1"/>
  <c r="J348" i="54"/>
  <c r="K348" i="54" a="1"/>
  <c r="K348" i="54"/>
  <c r="J349" i="54" a="1"/>
  <c r="J349" i="54"/>
  <c r="K349" i="54" a="1"/>
  <c r="K349" i="54"/>
  <c r="J350" i="54" a="1"/>
  <c r="J350" i="54"/>
  <c r="K350" i="54" a="1"/>
  <c r="K350" i="54"/>
  <c r="J351" i="54" a="1"/>
  <c r="J351" i="54" s="1"/>
  <c r="K351" i="54" a="1"/>
  <c r="K351" i="54" s="1"/>
  <c r="J352" i="54" a="1"/>
  <c r="J352" i="54"/>
  <c r="K352" i="54" a="1"/>
  <c r="K352" i="54"/>
  <c r="J353" i="54" a="1"/>
  <c r="J353" i="54"/>
  <c r="K353" i="54" a="1"/>
  <c r="K353" i="54"/>
  <c r="J354" i="54" a="1"/>
  <c r="J354" i="54" s="1"/>
  <c r="K354" i="54" a="1"/>
  <c r="K354" i="54" s="1"/>
  <c r="J355" i="54" a="1"/>
  <c r="J355" i="54" s="1"/>
  <c r="K355" i="54" a="1"/>
  <c r="K355" i="54" s="1"/>
  <c r="J356" i="54" a="1"/>
  <c r="J356" i="54"/>
  <c r="K356" i="54" a="1"/>
  <c r="K356" i="54"/>
  <c r="J357" i="54" a="1"/>
  <c r="J357" i="54" s="1"/>
  <c r="K357" i="54" a="1"/>
  <c r="K357" i="54" s="1"/>
  <c r="K318" i="54" a="1"/>
  <c r="K318" i="54" s="1"/>
  <c r="J318" i="54" a="1"/>
  <c r="J318" i="54" s="1"/>
  <c r="J224" i="54" a="1"/>
  <c r="J224" i="54" s="1"/>
  <c r="K224" i="54" a="1"/>
  <c r="K224" i="54"/>
  <c r="J225" i="54" a="1"/>
  <c r="J225" i="54" s="1"/>
  <c r="K225" i="54" a="1"/>
  <c r="K225" i="54"/>
  <c r="J226" i="54" a="1"/>
  <c r="J226" i="54"/>
  <c r="K226" i="54" a="1"/>
  <c r="K226" i="54"/>
  <c r="J227" i="54" a="1"/>
  <c r="J227" i="54"/>
  <c r="K227" i="54" a="1"/>
  <c r="K227" i="54"/>
  <c r="J228" i="54" a="1"/>
  <c r="J228" i="54" s="1"/>
  <c r="K228" i="54" a="1"/>
  <c r="K228" i="54"/>
  <c r="J229" i="54" a="1"/>
  <c r="J229" i="54"/>
  <c r="K229" i="54" a="1"/>
  <c r="K229" i="54"/>
  <c r="J230" i="54" a="1"/>
  <c r="J230" i="54"/>
  <c r="K230" i="54" a="1"/>
  <c r="K230" i="54"/>
  <c r="J231" i="54" a="1"/>
  <c r="J231" i="54"/>
  <c r="K231" i="54" a="1"/>
  <c r="K231" i="54"/>
  <c r="J232" i="54" a="1"/>
  <c r="J232" i="54" s="1"/>
  <c r="K232" i="54" a="1"/>
  <c r="K232" i="54"/>
  <c r="J233" i="54" a="1"/>
  <c r="J233" i="54"/>
  <c r="K233" i="54" a="1"/>
  <c r="K233" i="54"/>
  <c r="J234" i="54" a="1"/>
  <c r="J234" i="54"/>
  <c r="K234" i="54" a="1"/>
  <c r="K234" i="54"/>
  <c r="J235" i="54" a="1"/>
  <c r="J235" i="54"/>
  <c r="K235" i="54" a="1"/>
  <c r="K235" i="54"/>
  <c r="J236" i="54" a="1"/>
  <c r="J236" i="54" s="1"/>
  <c r="K236" i="54" a="1"/>
  <c r="K236" i="54"/>
  <c r="J237" i="54" a="1"/>
  <c r="J237" i="54"/>
  <c r="K237" i="54" a="1"/>
  <c r="K237" i="54"/>
  <c r="J238" i="54" a="1"/>
  <c r="J238" i="54"/>
  <c r="K238" i="54" a="1"/>
  <c r="K238" i="54"/>
  <c r="J239" i="54" a="1"/>
  <c r="J239" i="54"/>
  <c r="K239" i="54" a="1"/>
  <c r="K239" i="54"/>
  <c r="J240" i="54" a="1"/>
  <c r="J240" i="54" s="1"/>
  <c r="K240" i="54" a="1"/>
  <c r="K240" i="54"/>
  <c r="J241" i="54" a="1"/>
  <c r="J241" i="54"/>
  <c r="K241" i="54" a="1"/>
  <c r="K241" i="54"/>
  <c r="J242" i="54" a="1"/>
  <c r="J242" i="54"/>
  <c r="K242" i="54" a="1"/>
  <c r="K242" i="54"/>
  <c r="J243" i="54" a="1"/>
  <c r="J243" i="54"/>
  <c r="K243" i="54" a="1"/>
  <c r="K243" i="54"/>
  <c r="J244" i="54" a="1"/>
  <c r="J244" i="54" s="1"/>
  <c r="K244" i="54" a="1"/>
  <c r="K244" i="54"/>
  <c r="J245" i="54" a="1"/>
  <c r="J245" i="54"/>
  <c r="K245" i="54" a="1"/>
  <c r="K245" i="54"/>
  <c r="J246" i="54" a="1"/>
  <c r="J246" i="54"/>
  <c r="K246" i="54" a="1"/>
  <c r="K246" i="54"/>
  <c r="J247" i="54" a="1"/>
  <c r="J247" i="54"/>
  <c r="K247" i="54" a="1"/>
  <c r="K247" i="54"/>
  <c r="J248" i="54" a="1"/>
  <c r="J248" i="54" s="1"/>
  <c r="K248" i="54" a="1"/>
  <c r="K248" i="54"/>
  <c r="J249" i="54" a="1"/>
  <c r="J249" i="54"/>
  <c r="K249" i="54" a="1"/>
  <c r="K249" i="54"/>
  <c r="J250" i="54" a="1"/>
  <c r="J250" i="54"/>
  <c r="K250" i="54" a="1"/>
  <c r="K250" i="54"/>
  <c r="J251" i="54" a="1"/>
  <c r="J251" i="54"/>
  <c r="K251" i="54" a="1"/>
  <c r="K251" i="54"/>
  <c r="J252" i="54" a="1"/>
  <c r="J252" i="54" s="1"/>
  <c r="K252" i="54" a="1"/>
  <c r="K252" i="54"/>
  <c r="J253" i="54" a="1"/>
  <c r="J253" i="54"/>
  <c r="K253" i="54" a="1"/>
  <c r="K253" i="54"/>
  <c r="J254" i="54" a="1"/>
  <c r="J254" i="54"/>
  <c r="K254" i="54" a="1"/>
  <c r="K254" i="54"/>
  <c r="J255" i="54" a="1"/>
  <c r="J255" i="54"/>
  <c r="K255" i="54" a="1"/>
  <c r="K255" i="54"/>
  <c r="J256" i="54" a="1"/>
  <c r="J256" i="54" s="1"/>
  <c r="K256" i="54" a="1"/>
  <c r="K256" i="54"/>
  <c r="J257" i="54" a="1"/>
  <c r="J257" i="54"/>
  <c r="K257" i="54" a="1"/>
  <c r="K257" i="54"/>
  <c r="J258" i="54" a="1"/>
  <c r="J258" i="54"/>
  <c r="K258" i="54" a="1"/>
  <c r="K258" i="54"/>
  <c r="J259" i="54" a="1"/>
  <c r="J259" i="54" s="1"/>
  <c r="K259" i="54" a="1"/>
  <c r="K259" i="54" s="1"/>
  <c r="J260" i="54" a="1"/>
  <c r="J260" i="54" s="1"/>
  <c r="K260" i="54" a="1"/>
  <c r="K260" i="54"/>
  <c r="J261" i="54" a="1"/>
  <c r="J261" i="54"/>
  <c r="K261" i="54" a="1"/>
  <c r="K261" i="54"/>
  <c r="J262" i="54" a="1"/>
  <c r="J262" i="54" s="1"/>
  <c r="K262" i="54" a="1"/>
  <c r="K262" i="54" s="1"/>
  <c r="K223" i="54" a="1"/>
  <c r="K223" i="54" s="1"/>
  <c r="J223" i="54" a="1"/>
  <c r="J223" i="54" s="1"/>
  <c r="J159" i="54" a="1"/>
  <c r="J159" i="54" s="1"/>
  <c r="K159" i="54" a="1"/>
  <c r="K159" i="54" s="1"/>
  <c r="J160" i="54" a="1"/>
  <c r="J160" i="54" s="1"/>
  <c r="K160" i="54" a="1"/>
  <c r="K160" i="54" s="1"/>
  <c r="J161" i="54" a="1"/>
  <c r="J161" i="54"/>
  <c r="K161" i="54" a="1"/>
  <c r="K161" i="54"/>
  <c r="J162" i="54" a="1"/>
  <c r="J162" i="54"/>
  <c r="K162" i="54" a="1"/>
  <c r="K162" i="54"/>
  <c r="J163" i="54" a="1"/>
  <c r="J163" i="54" s="1"/>
  <c r="K163" i="54" a="1"/>
  <c r="K163" i="54" s="1"/>
  <c r="J164" i="54" a="1"/>
  <c r="J164" i="54" s="1"/>
  <c r="K164" i="54" a="1"/>
  <c r="K164" i="54" s="1"/>
  <c r="J165" i="54" a="1"/>
  <c r="J165" i="54"/>
  <c r="K165" i="54" a="1"/>
  <c r="K165" i="54"/>
  <c r="J166" i="54" a="1"/>
  <c r="J166" i="54"/>
  <c r="K166" i="54" a="1"/>
  <c r="K166" i="54"/>
  <c r="J167" i="54" a="1"/>
  <c r="J167" i="54" s="1"/>
  <c r="K167" i="54" a="1"/>
  <c r="K167" i="54" s="1"/>
  <c r="J168" i="54" a="1"/>
  <c r="J168" i="54" s="1"/>
  <c r="K168" i="54" a="1"/>
  <c r="K168" i="54" s="1"/>
  <c r="J169" i="54" a="1"/>
  <c r="J169" i="54"/>
  <c r="K169" i="54" a="1"/>
  <c r="K169" i="54" s="1"/>
  <c r="J170" i="54" a="1"/>
  <c r="J170" i="54"/>
  <c r="K170" i="54" a="1"/>
  <c r="K170" i="54"/>
  <c r="J171" i="54" a="1"/>
  <c r="J171" i="54" s="1"/>
  <c r="K171" i="54" a="1"/>
  <c r="K171" i="54" s="1"/>
  <c r="J172" i="54" a="1"/>
  <c r="J172" i="54" s="1"/>
  <c r="K172" i="54" a="1"/>
  <c r="K172" i="54" s="1"/>
  <c r="J173" i="54" a="1"/>
  <c r="J173" i="54"/>
  <c r="K173" i="54" a="1"/>
  <c r="K173" i="54"/>
  <c r="J174" i="54" a="1"/>
  <c r="J174" i="54" s="1"/>
  <c r="K174" i="54" a="1"/>
  <c r="K174" i="54" s="1"/>
  <c r="J175" i="54" a="1"/>
  <c r="J175" i="54" s="1"/>
  <c r="K175" i="54" a="1"/>
  <c r="K175" i="54" s="1"/>
  <c r="J176" i="54" a="1"/>
  <c r="J176" i="54" s="1"/>
  <c r="K176" i="54" a="1"/>
  <c r="K176" i="54" s="1"/>
  <c r="J177" i="54" a="1"/>
  <c r="J177" i="54"/>
  <c r="K177" i="54" a="1"/>
  <c r="K177" i="54"/>
  <c r="K158" i="54" a="1"/>
  <c r="K158" i="54" s="1"/>
  <c r="J158" i="54" a="1"/>
  <c r="J158" i="54" s="1"/>
  <c r="J99" i="54" a="1"/>
  <c r="J99" i="54" s="1"/>
  <c r="K99" i="54" a="1"/>
  <c r="K99" i="54" s="1"/>
  <c r="J100" i="54" a="1"/>
  <c r="J100" i="54" s="1"/>
  <c r="K100" i="54" a="1"/>
  <c r="K100" i="54" s="1"/>
  <c r="J101" i="54" a="1"/>
  <c r="J101" i="54"/>
  <c r="K101" i="54" a="1"/>
  <c r="K101" i="54"/>
  <c r="J102" i="54" a="1"/>
  <c r="J102" i="54"/>
  <c r="K102" i="54" a="1"/>
  <c r="K102" i="54"/>
  <c r="J103" i="54" a="1"/>
  <c r="J103" i="54" s="1"/>
  <c r="K103" i="54" a="1"/>
  <c r="K103" i="54" s="1"/>
  <c r="J104" i="54" a="1"/>
  <c r="J104" i="54" s="1"/>
  <c r="K104" i="54" a="1"/>
  <c r="K104" i="54" s="1"/>
  <c r="J105" i="54" a="1"/>
  <c r="J105" i="54"/>
  <c r="K105" i="54" a="1"/>
  <c r="K105" i="54"/>
  <c r="J106" i="54" a="1"/>
  <c r="J106" i="54"/>
  <c r="K106" i="54" a="1"/>
  <c r="K106" i="54"/>
  <c r="J107" i="54" a="1"/>
  <c r="J107" i="54" s="1"/>
  <c r="K107" i="54" a="1"/>
  <c r="K107" i="54" s="1"/>
  <c r="J108" i="54" a="1"/>
  <c r="J108" i="54" s="1"/>
  <c r="K108" i="54" a="1"/>
  <c r="K108" i="54" s="1"/>
  <c r="J109" i="54" a="1"/>
  <c r="J109" i="54"/>
  <c r="K109" i="54" a="1"/>
  <c r="K109" i="54"/>
  <c r="J110" i="54" a="1"/>
  <c r="J110" i="54"/>
  <c r="K110" i="54" a="1"/>
  <c r="K110" i="54"/>
  <c r="J111" i="54" a="1"/>
  <c r="J111" i="54" s="1"/>
  <c r="K111" i="54" a="1"/>
  <c r="K111" i="54" s="1"/>
  <c r="J112" i="54" a="1"/>
  <c r="J112" i="54" s="1"/>
  <c r="K112" i="54" a="1"/>
  <c r="K112" i="54" s="1"/>
  <c r="J113" i="54" a="1"/>
  <c r="J113" i="54"/>
  <c r="K113" i="54" a="1"/>
  <c r="K113" i="54"/>
  <c r="J114" i="54" a="1"/>
  <c r="J114" i="54"/>
  <c r="K114" i="54" a="1"/>
  <c r="K114" i="54"/>
  <c r="J115" i="54" a="1"/>
  <c r="J115" i="54" s="1"/>
  <c r="K115" i="54" a="1"/>
  <c r="K115" i="54" s="1"/>
  <c r="J116" i="54" a="1"/>
  <c r="J116" i="54" s="1"/>
  <c r="K116" i="54" a="1"/>
  <c r="K116" i="54" s="1"/>
  <c r="J117" i="54" a="1"/>
  <c r="J117" i="54" s="1"/>
  <c r="K117" i="54" a="1"/>
  <c r="K117" i="54" s="1"/>
  <c r="K98" i="54" a="1"/>
  <c r="K98" i="54" s="1"/>
  <c r="J98" i="54" a="1"/>
  <c r="J98" i="54" s="1"/>
  <c r="J46" i="54" a="1"/>
  <c r="J46" i="54" s="1"/>
  <c r="K46" i="54" a="1"/>
  <c r="K46" i="54"/>
  <c r="J47" i="54" a="1"/>
  <c r="J47" i="54"/>
  <c r="K47" i="54" a="1"/>
  <c r="K47" i="54"/>
  <c r="J48" i="54" a="1"/>
  <c r="J48" i="54"/>
  <c r="K48" i="54" a="1"/>
  <c r="K48" i="54"/>
  <c r="J49" i="54" a="1"/>
  <c r="J49" i="54"/>
  <c r="K49" i="54" a="1"/>
  <c r="K49" i="54"/>
  <c r="J50" i="54" a="1"/>
  <c r="J50" i="54" s="1"/>
  <c r="K50" i="54" a="1"/>
  <c r="K50" i="54"/>
  <c r="J51" i="54" a="1"/>
  <c r="J51" i="54"/>
  <c r="K51" i="54" a="1"/>
  <c r="K51" i="54"/>
  <c r="J52" i="54" a="1"/>
  <c r="J52" i="54"/>
  <c r="K52" i="54" a="1"/>
  <c r="K52" i="54"/>
  <c r="J53" i="54" a="1"/>
  <c r="J53" i="54"/>
  <c r="K53" i="54" a="1"/>
  <c r="K53" i="54"/>
  <c r="J54" i="54" a="1"/>
  <c r="J54" i="54" s="1"/>
  <c r="K54" i="54" a="1"/>
  <c r="K54" i="54"/>
  <c r="J55" i="54" a="1"/>
  <c r="J55" i="54"/>
  <c r="K55" i="54" a="1"/>
  <c r="K55" i="54"/>
  <c r="J56" i="54" a="1"/>
  <c r="J56" i="54"/>
  <c r="K56" i="54" a="1"/>
  <c r="K56" i="54"/>
  <c r="J57" i="54" a="1"/>
  <c r="J57" i="54"/>
  <c r="K57" i="54" a="1"/>
  <c r="K57" i="54"/>
  <c r="J58" i="54" a="1"/>
  <c r="J58" i="54" s="1"/>
  <c r="K58" i="54" a="1"/>
  <c r="K58" i="54"/>
  <c r="J59" i="54" a="1"/>
  <c r="J59" i="54" s="1"/>
  <c r="K59" i="54" a="1"/>
  <c r="K59" i="54"/>
  <c r="J60" i="54" a="1"/>
  <c r="J60" i="54"/>
  <c r="K60" i="54" a="1"/>
  <c r="K60" i="54" s="1"/>
  <c r="J61" i="54" a="1"/>
  <c r="J61" i="54" s="1"/>
  <c r="K61" i="54" a="1"/>
  <c r="K61" i="54" s="1"/>
  <c r="J62" i="54" a="1"/>
  <c r="J62" i="54" s="1"/>
  <c r="K62" i="54" a="1"/>
  <c r="K62" i="54" s="1"/>
  <c r="K45" i="54" a="1"/>
  <c r="K45" i="54" s="1"/>
  <c r="J45" i="54" a="1"/>
  <c r="J45" i="54" s="1"/>
  <c r="AZ442" i="74"/>
  <c r="AX497" i="54"/>
  <c r="AC497" i="54"/>
  <c r="H497" i="54"/>
  <c r="BJ495" i="54"/>
  <c r="BI495" i="54"/>
  <c r="AO495" i="54"/>
  <c r="AN495" i="54"/>
  <c r="T495" i="54"/>
  <c r="S495" i="54"/>
  <c r="BB492" i="54"/>
  <c r="AY492" i="54"/>
  <c r="AG492" i="54"/>
  <c r="AD492" i="54"/>
  <c r="L492" i="54"/>
  <c r="I492" i="54"/>
  <c r="BB491" i="54"/>
  <c r="AY491" i="54"/>
  <c r="AG491" i="54"/>
  <c r="AD491" i="54"/>
  <c r="L491" i="54"/>
  <c r="I491" i="54"/>
  <c r="BB490" i="54"/>
  <c r="AY490" i="54"/>
  <c r="AR490" i="54"/>
  <c r="AG490" i="54"/>
  <c r="AD490" i="54"/>
  <c r="W490" i="54"/>
  <c r="L490" i="54"/>
  <c r="I490" i="54"/>
  <c r="B490" i="54"/>
  <c r="BB489" i="54"/>
  <c r="AY489" i="54"/>
  <c r="AR489" i="54"/>
  <c r="AG489" i="54"/>
  <c r="AD489" i="54"/>
  <c r="W489" i="54"/>
  <c r="L489" i="54"/>
  <c r="I489" i="54"/>
  <c r="B489" i="54"/>
  <c r="BB488" i="54"/>
  <c r="AY488" i="54"/>
  <c r="AR488" i="54"/>
  <c r="AG488" i="54"/>
  <c r="AD488" i="54"/>
  <c r="W488" i="54"/>
  <c r="L488" i="54"/>
  <c r="I488" i="54"/>
  <c r="B488" i="54"/>
  <c r="BB487" i="54"/>
  <c r="AY487" i="54"/>
  <c r="AR487" i="54"/>
  <c r="AG487" i="54"/>
  <c r="AD487" i="54"/>
  <c r="W487" i="54"/>
  <c r="L487" i="54"/>
  <c r="I487" i="54"/>
  <c r="B487" i="54"/>
  <c r="BB486" i="54"/>
  <c r="AY486" i="54"/>
  <c r="AR486" i="54"/>
  <c r="AG486" i="54"/>
  <c r="AD486" i="54"/>
  <c r="W486" i="54"/>
  <c r="L486" i="54"/>
  <c r="I486" i="54"/>
  <c r="B486" i="54"/>
  <c r="BB485" i="54"/>
  <c r="AY485" i="54"/>
  <c r="AR485" i="54"/>
  <c r="AG485" i="54"/>
  <c r="AD485" i="54"/>
  <c r="W485" i="54"/>
  <c r="L485" i="54"/>
  <c r="I485" i="54"/>
  <c r="B485" i="54"/>
  <c r="BB484" i="54"/>
  <c r="AY484" i="54"/>
  <c r="AR484" i="54"/>
  <c r="AG484" i="54"/>
  <c r="AD484" i="54"/>
  <c r="W484" i="54"/>
  <c r="L484" i="54"/>
  <c r="I484" i="54"/>
  <c r="B484" i="54"/>
  <c r="BB483" i="54"/>
  <c r="AY483" i="54"/>
  <c r="AR483" i="54"/>
  <c r="AG483" i="54"/>
  <c r="AD483" i="54"/>
  <c r="W483" i="54"/>
  <c r="L483" i="54"/>
  <c r="I483" i="54"/>
  <c r="B483" i="54"/>
  <c r="BB482" i="54"/>
  <c r="AY482" i="54"/>
  <c r="AR482" i="54"/>
  <c r="AG482" i="54"/>
  <c r="AD482" i="54"/>
  <c r="W482" i="54"/>
  <c r="L482" i="54"/>
  <c r="I482" i="54"/>
  <c r="B482" i="54"/>
  <c r="BB481" i="54"/>
  <c r="AY481" i="54"/>
  <c r="AR481" i="54"/>
  <c r="AG481" i="54"/>
  <c r="AD481" i="54"/>
  <c r="W481" i="54"/>
  <c r="L481" i="54"/>
  <c r="I481" i="54"/>
  <c r="B481" i="54"/>
  <c r="BB480" i="54"/>
  <c r="AY480" i="54"/>
  <c r="AR480" i="54"/>
  <c r="AG480" i="54"/>
  <c r="AD480" i="54"/>
  <c r="W480" i="54"/>
  <c r="L480" i="54"/>
  <c r="I480" i="54"/>
  <c r="B480" i="54"/>
  <c r="BB479" i="54"/>
  <c r="AY479" i="54"/>
  <c r="AR479" i="54"/>
  <c r="AG479" i="54"/>
  <c r="AD479" i="54"/>
  <c r="W479" i="54"/>
  <c r="L479" i="54"/>
  <c r="I479" i="54"/>
  <c r="B479" i="54"/>
  <c r="BB478" i="54"/>
  <c r="AY478" i="54"/>
  <c r="AR478" i="54"/>
  <c r="AG478" i="54"/>
  <c r="AD478" i="54"/>
  <c r="W478" i="54"/>
  <c r="L478" i="54"/>
  <c r="I478" i="54"/>
  <c r="B478" i="54"/>
  <c r="BB477" i="54"/>
  <c r="AY477" i="54"/>
  <c r="AR477" i="54"/>
  <c r="AG477" i="54"/>
  <c r="AD477" i="54"/>
  <c r="W477" i="54"/>
  <c r="L477" i="54"/>
  <c r="I477" i="54"/>
  <c r="B477" i="54"/>
  <c r="BB476" i="54"/>
  <c r="AY476" i="54"/>
  <c r="AR476" i="54"/>
  <c r="AG476" i="54"/>
  <c r="AD476" i="54"/>
  <c r="W476" i="54"/>
  <c r="L476" i="54"/>
  <c r="I476" i="54"/>
  <c r="B476" i="54"/>
  <c r="BB475" i="54"/>
  <c r="AY475" i="54"/>
  <c r="AR475" i="54"/>
  <c r="AG475" i="54"/>
  <c r="AD475" i="54"/>
  <c r="W475" i="54"/>
  <c r="L475" i="54"/>
  <c r="I475" i="54"/>
  <c r="B475" i="54"/>
  <c r="BB474" i="54"/>
  <c r="AY474" i="54"/>
  <c r="AR474" i="54"/>
  <c r="AG474" i="54"/>
  <c r="AD474" i="54"/>
  <c r="W474" i="54"/>
  <c r="L474" i="54"/>
  <c r="I474" i="54"/>
  <c r="B474" i="54"/>
  <c r="BB473" i="54"/>
  <c r="AY473" i="54"/>
  <c r="AR473" i="54"/>
  <c r="AG473" i="54"/>
  <c r="AD473" i="54"/>
  <c r="W473" i="54"/>
  <c r="L473" i="54"/>
  <c r="I473" i="54"/>
  <c r="B473" i="54"/>
  <c r="BB472" i="54"/>
  <c r="AY472" i="54"/>
  <c r="AR472" i="54"/>
  <c r="AG472" i="54"/>
  <c r="AD472" i="54"/>
  <c r="W472" i="54"/>
  <c r="L472" i="54"/>
  <c r="I472" i="54"/>
  <c r="B472" i="54"/>
  <c r="BB471" i="54"/>
  <c r="AY471" i="54"/>
  <c r="AR471" i="54"/>
  <c r="AG471" i="54"/>
  <c r="AD471" i="54"/>
  <c r="W471" i="54"/>
  <c r="L471" i="54"/>
  <c r="I471" i="54"/>
  <c r="B471" i="54"/>
  <c r="BB470" i="54"/>
  <c r="AY470" i="54"/>
  <c r="AR470" i="54"/>
  <c r="AG470" i="54"/>
  <c r="AD470" i="54"/>
  <c r="W470" i="54"/>
  <c r="L470" i="54"/>
  <c r="I470" i="54"/>
  <c r="B470" i="54"/>
  <c r="BB469" i="54"/>
  <c r="AY469" i="54"/>
  <c r="AR469" i="54"/>
  <c r="AG469" i="54"/>
  <c r="AD469" i="54"/>
  <c r="W469" i="54"/>
  <c r="L469" i="54"/>
  <c r="I469" i="54"/>
  <c r="B469" i="54"/>
  <c r="BB468" i="54"/>
  <c r="AY468" i="54"/>
  <c r="AR468" i="54"/>
  <c r="AG468" i="54"/>
  <c r="AD468" i="54"/>
  <c r="W468" i="54"/>
  <c r="L468" i="54"/>
  <c r="I468" i="54"/>
  <c r="B468" i="54"/>
  <c r="BB467" i="54"/>
  <c r="AY467" i="54"/>
  <c r="AR467" i="54"/>
  <c r="AG467" i="54"/>
  <c r="AD467" i="54"/>
  <c r="W467" i="54"/>
  <c r="L467" i="54"/>
  <c r="I467" i="54"/>
  <c r="B467" i="54"/>
  <c r="BB466" i="54"/>
  <c r="AY466" i="54"/>
  <c r="AR466" i="54"/>
  <c r="AG466" i="54"/>
  <c r="AD466" i="54"/>
  <c r="W466" i="54"/>
  <c r="L466" i="54"/>
  <c r="I466" i="54"/>
  <c r="B466" i="54"/>
  <c r="BB465" i="54"/>
  <c r="AY465" i="54"/>
  <c r="AR465" i="54"/>
  <c r="AG465" i="54"/>
  <c r="AD465" i="54"/>
  <c r="W465" i="54"/>
  <c r="L465" i="54"/>
  <c r="I465" i="54"/>
  <c r="B465" i="54"/>
  <c r="BB464" i="54"/>
  <c r="AY464" i="54"/>
  <c r="AR464" i="54"/>
  <c r="AG464" i="54"/>
  <c r="AD464" i="54"/>
  <c r="W464" i="54"/>
  <c r="L464" i="54"/>
  <c r="I464" i="54"/>
  <c r="B464" i="54"/>
  <c r="BB463" i="54"/>
  <c r="AY463" i="54"/>
  <c r="AR463" i="54"/>
  <c r="AG463" i="54"/>
  <c r="AD463" i="54"/>
  <c r="W463" i="54"/>
  <c r="L463" i="54"/>
  <c r="I463" i="54"/>
  <c r="B463" i="54"/>
  <c r="AY462" i="54"/>
  <c r="AR462" i="54"/>
  <c r="AD462" i="54"/>
  <c r="W462" i="54"/>
  <c r="I462" i="54"/>
  <c r="B462" i="54"/>
  <c r="AY461" i="54"/>
  <c r="AR461" i="54"/>
  <c r="AD461" i="54"/>
  <c r="W461" i="54"/>
  <c r="I461" i="54"/>
  <c r="B461" i="54"/>
  <c r="BB460" i="54"/>
  <c r="AY460" i="54"/>
  <c r="AR460" i="54"/>
  <c r="AG460" i="54"/>
  <c r="AD460" i="54"/>
  <c r="W460" i="54"/>
  <c r="L460" i="54"/>
  <c r="I460" i="54"/>
  <c r="B460" i="54"/>
  <c r="BB459" i="54"/>
  <c r="AY459" i="54"/>
  <c r="AR459" i="54"/>
  <c r="AG459" i="54"/>
  <c r="AD459" i="54"/>
  <c r="W459" i="54"/>
  <c r="L459" i="54"/>
  <c r="I459" i="54"/>
  <c r="B459" i="54"/>
  <c r="BB458" i="54"/>
  <c r="AY458" i="54"/>
  <c r="AR458" i="54"/>
  <c r="AG458" i="54"/>
  <c r="AD458" i="54"/>
  <c r="W458" i="54"/>
  <c r="L458" i="54"/>
  <c r="I458" i="54"/>
  <c r="B458" i="54"/>
  <c r="BB457" i="54"/>
  <c r="AY457" i="54"/>
  <c r="AR457" i="54"/>
  <c r="AG457" i="54"/>
  <c r="AD457" i="54"/>
  <c r="W457" i="54"/>
  <c r="L457" i="54"/>
  <c r="I457" i="54"/>
  <c r="B457" i="54"/>
  <c r="BB456" i="54"/>
  <c r="AY456" i="54"/>
  <c r="AR456" i="54"/>
  <c r="AG456" i="54"/>
  <c r="AD456" i="54"/>
  <c r="W456" i="54"/>
  <c r="L456" i="54"/>
  <c r="I456" i="54"/>
  <c r="B456" i="54"/>
  <c r="BB455" i="54"/>
  <c r="AY455" i="54"/>
  <c r="AG455" i="54"/>
  <c r="AD455" i="54"/>
  <c r="I455" i="54"/>
  <c r="BB454" i="54"/>
  <c r="AY454" i="54"/>
  <c r="AG454" i="54"/>
  <c r="AD454" i="54"/>
  <c r="I454" i="54"/>
  <c r="BB453" i="54"/>
  <c r="AY453" i="54"/>
  <c r="AG453" i="54"/>
  <c r="AD453" i="54"/>
  <c r="L453" i="54"/>
  <c r="I453" i="54"/>
  <c r="BB452" i="54"/>
  <c r="AY452" i="54"/>
  <c r="AG452" i="54"/>
  <c r="AD452" i="54"/>
  <c r="L452" i="54"/>
  <c r="I452" i="54"/>
  <c r="BB451" i="54"/>
  <c r="AY451" i="54"/>
  <c r="AG451" i="54"/>
  <c r="AD451" i="54"/>
  <c r="L451" i="54"/>
  <c r="I451" i="54"/>
  <c r="BB450" i="54"/>
  <c r="AY450" i="54"/>
  <c r="AG450" i="54"/>
  <c r="AD450" i="54"/>
  <c r="L450" i="54"/>
  <c r="I450" i="54"/>
  <c r="BB449" i="54"/>
  <c r="AY449" i="54"/>
  <c r="AG449" i="54"/>
  <c r="AD449" i="54"/>
  <c r="L449" i="54"/>
  <c r="I449" i="54"/>
  <c r="BB448" i="54"/>
  <c r="AY448" i="54"/>
  <c r="AG448" i="54"/>
  <c r="AD448" i="54"/>
  <c r="L448" i="54"/>
  <c r="I448" i="54"/>
  <c r="BB447" i="54"/>
  <c r="AY447" i="54"/>
  <c r="AG447" i="54"/>
  <c r="AD447" i="54"/>
  <c r="L447" i="54"/>
  <c r="I447" i="54"/>
  <c r="BB446" i="54"/>
  <c r="AY446" i="54"/>
  <c r="AG446" i="54"/>
  <c r="AD446" i="54"/>
  <c r="L446" i="54"/>
  <c r="I446" i="54"/>
  <c r="BB445" i="54"/>
  <c r="AY445" i="54"/>
  <c r="AG445" i="54"/>
  <c r="AD445" i="54"/>
  <c r="L445" i="54"/>
  <c r="I445" i="54"/>
  <c r="BB444" i="54"/>
  <c r="AY444" i="54"/>
  <c r="AG444" i="54"/>
  <c r="AD444" i="54"/>
  <c r="L444" i="54"/>
  <c r="I444" i="54"/>
  <c r="AY443" i="54"/>
  <c r="AD443" i="54"/>
  <c r="I443" i="54"/>
  <c r="BB442" i="54"/>
  <c r="AY442" i="54"/>
  <c r="AG442" i="54"/>
  <c r="AD442" i="54"/>
  <c r="L442" i="54"/>
  <c r="I442" i="54"/>
  <c r="BB441" i="54"/>
  <c r="AY441" i="54"/>
  <c r="AG441" i="54"/>
  <c r="AD441" i="54"/>
  <c r="L441" i="54"/>
  <c r="I441" i="54"/>
  <c r="BB440" i="54"/>
  <c r="AY440" i="54"/>
  <c r="AG440" i="54"/>
  <c r="AD440" i="54"/>
  <c r="L440" i="54"/>
  <c r="I440" i="54"/>
  <c r="BB439" i="54"/>
  <c r="AY439" i="54"/>
  <c r="AG439" i="54"/>
  <c r="AD439" i="54"/>
  <c r="L439" i="54"/>
  <c r="I439" i="54"/>
  <c r="BB438" i="54"/>
  <c r="BB443" i="54" s="1"/>
  <c r="AY438" i="54"/>
  <c r="AG438" i="54"/>
  <c r="AD438" i="54"/>
  <c r="L438" i="54"/>
  <c r="I438" i="54"/>
  <c r="BI429" i="54"/>
  <c r="AN429" i="54"/>
  <c r="S429" i="54"/>
  <c r="BK428" i="54"/>
  <c r="BI428" i="54"/>
  <c r="BG428" i="54" a="1"/>
  <c r="BG428" i="54" s="1"/>
  <c r="BJ428" i="54" s="1"/>
  <c r="BC428" i="54"/>
  <c r="AY428" i="54"/>
  <c r="AP428" i="54"/>
  <c r="AN428" i="54"/>
  <c r="AL428" i="54" a="1"/>
  <c r="AL428" i="54" s="1"/>
  <c r="AH428" i="54"/>
  <c r="AD428" i="54"/>
  <c r="U428" i="54"/>
  <c r="S428" i="54"/>
  <c r="Q428" i="54" a="1"/>
  <c r="Q428" i="54" s="1"/>
  <c r="M428" i="54"/>
  <c r="I428" i="54"/>
  <c r="BK427" i="54"/>
  <c r="BI427" i="54"/>
  <c r="BG427" i="54" a="1"/>
  <c r="BG427" i="54" s="1"/>
  <c r="BC427" i="54"/>
  <c r="AY427" i="54"/>
  <c r="AP427" i="54"/>
  <c r="AN427" i="54"/>
  <c r="AL427" i="54" a="1"/>
  <c r="AL427" i="54" s="1"/>
  <c r="AH427" i="54"/>
  <c r="AD427" i="54"/>
  <c r="U427" i="54"/>
  <c r="S427" i="54"/>
  <c r="Q427" i="54" a="1"/>
  <c r="Q427" i="54" s="1"/>
  <c r="M427" i="54"/>
  <c r="I427" i="54"/>
  <c r="BK426" i="54"/>
  <c r="BI426" i="54"/>
  <c r="BG426" i="54" a="1"/>
  <c r="BG426" i="54" s="1"/>
  <c r="BJ426" i="54" s="1"/>
  <c r="BC426" i="54"/>
  <c r="AY426" i="54"/>
  <c r="AR426" i="54"/>
  <c r="AP426" i="54"/>
  <c r="AN426" i="54"/>
  <c r="AL426" i="54" a="1"/>
  <c r="AL426" i="54" s="1"/>
  <c r="AH426" i="54"/>
  <c r="AD426" i="54"/>
  <c r="W426" i="54"/>
  <c r="U426" i="54"/>
  <c r="S426" i="54"/>
  <c r="Q426" i="54" a="1"/>
  <c r="Q426" i="54" s="1"/>
  <c r="M426" i="54"/>
  <c r="I426" i="54"/>
  <c r="B426" i="54"/>
  <c r="BK425" i="54"/>
  <c r="BI425" i="54"/>
  <c r="BG425" i="54" a="1"/>
  <c r="BG425" i="54" s="1"/>
  <c r="BC425" i="54"/>
  <c r="AY425" i="54"/>
  <c r="AR425" i="54"/>
  <c r="AP425" i="54"/>
  <c r="AN425" i="54"/>
  <c r="AL425" i="54" a="1"/>
  <c r="AL425" i="54" s="1"/>
  <c r="AH425" i="54"/>
  <c r="AD425" i="54"/>
  <c r="W425" i="54"/>
  <c r="U425" i="54"/>
  <c r="S425" i="54"/>
  <c r="Q425" i="54" a="1"/>
  <c r="Q425" i="54" s="1"/>
  <c r="M425" i="54"/>
  <c r="I425" i="54"/>
  <c r="B425" i="54"/>
  <c r="BK424" i="54"/>
  <c r="BI424" i="54"/>
  <c r="BG424" i="54" a="1"/>
  <c r="BG424" i="54" s="1"/>
  <c r="BC424" i="54"/>
  <c r="AY424" i="54"/>
  <c r="AR424" i="54"/>
  <c r="AP424" i="54"/>
  <c r="AN424" i="54"/>
  <c r="AL424" i="54" a="1"/>
  <c r="AL424" i="54" s="1"/>
  <c r="AH424" i="54"/>
  <c r="AD424" i="54"/>
  <c r="W424" i="54"/>
  <c r="U424" i="54"/>
  <c r="S424" i="54"/>
  <c r="Q424" i="54" a="1"/>
  <c r="Q424" i="54" s="1"/>
  <c r="T424" i="54" s="1"/>
  <c r="M424" i="54"/>
  <c r="I424" i="54"/>
  <c r="B424" i="54"/>
  <c r="BK423" i="54"/>
  <c r="BI423" i="54"/>
  <c r="BG423" i="54" a="1"/>
  <c r="BG423" i="54" s="1"/>
  <c r="BC423" i="54"/>
  <c r="AY423" i="54"/>
  <c r="AR423" i="54"/>
  <c r="AP423" i="54"/>
  <c r="AN423" i="54"/>
  <c r="AL423" i="54" a="1"/>
  <c r="AL423" i="54" s="1"/>
  <c r="AH423" i="54"/>
  <c r="AD423" i="54"/>
  <c r="W423" i="54"/>
  <c r="U423" i="54"/>
  <c r="S423" i="54"/>
  <c r="Q423" i="54" a="1"/>
  <c r="Q423" i="54" s="1"/>
  <c r="M423" i="54"/>
  <c r="I423" i="54"/>
  <c r="B423" i="54"/>
  <c r="BK422" i="54"/>
  <c r="BI422" i="54"/>
  <c r="BG422" i="54" a="1"/>
  <c r="BG422" i="54" s="1"/>
  <c r="BC422" i="54"/>
  <c r="AY422" i="54"/>
  <c r="AR422" i="54"/>
  <c r="AP422" i="54"/>
  <c r="AN422" i="54"/>
  <c r="AL422" i="54" a="1"/>
  <c r="AL422" i="54" s="1"/>
  <c r="AH422" i="54"/>
  <c r="AD422" i="54"/>
  <c r="W422" i="54"/>
  <c r="U422" i="54"/>
  <c r="S422" i="54"/>
  <c r="Q422" i="54" a="1"/>
  <c r="Q422" i="54" s="1"/>
  <c r="M422" i="54"/>
  <c r="I422" i="54"/>
  <c r="B422" i="54"/>
  <c r="BK421" i="54"/>
  <c r="BI421" i="54"/>
  <c r="BG421" i="54" a="1"/>
  <c r="BG421" i="54" s="1"/>
  <c r="BJ421" i="54" s="1"/>
  <c r="BC421" i="54"/>
  <c r="AY421" i="54"/>
  <c r="AR421" i="54"/>
  <c r="AP421" i="54"/>
  <c r="AN421" i="54"/>
  <c r="AL421" i="54" a="1"/>
  <c r="AL421" i="54" s="1"/>
  <c r="AH421" i="54"/>
  <c r="AD421" i="54"/>
  <c r="W421" i="54"/>
  <c r="U421" i="54"/>
  <c r="S421" i="54"/>
  <c r="Q421" i="54" a="1"/>
  <c r="Q421" i="54" s="1"/>
  <c r="M421" i="54"/>
  <c r="I421" i="54"/>
  <c r="B421" i="54"/>
  <c r="BK420" i="54"/>
  <c r="BI420" i="54"/>
  <c r="BH420" i="54"/>
  <c r="BG420" i="54" a="1"/>
  <c r="BG420" i="54" s="1"/>
  <c r="BJ420" i="54" s="1"/>
  <c r="BC420" i="54"/>
  <c r="AY420" i="54"/>
  <c r="AR420" i="54"/>
  <c r="AP420" i="54"/>
  <c r="AN420" i="54"/>
  <c r="AL420" i="54" a="1"/>
  <c r="AL420" i="54" s="1"/>
  <c r="AH420" i="54"/>
  <c r="AD420" i="54"/>
  <c r="W420" i="54"/>
  <c r="U420" i="54"/>
  <c r="S420" i="54"/>
  <c r="Q420" i="54" a="1"/>
  <c r="Q420" i="54" s="1"/>
  <c r="T420" i="54" s="1"/>
  <c r="M420" i="54"/>
  <c r="I420" i="54"/>
  <c r="B420" i="54"/>
  <c r="BK419" i="54"/>
  <c r="BI419" i="54"/>
  <c r="BG419" i="54" a="1"/>
  <c r="BG419" i="54" s="1"/>
  <c r="BJ419" i="54" s="1"/>
  <c r="BC419" i="54"/>
  <c r="AY419" i="54"/>
  <c r="AR419" i="54"/>
  <c r="AP419" i="54"/>
  <c r="AN419" i="54"/>
  <c r="AL419" i="54" a="1"/>
  <c r="AL419" i="54" s="1"/>
  <c r="AH419" i="54"/>
  <c r="AD419" i="54"/>
  <c r="W419" i="54"/>
  <c r="U419" i="54"/>
  <c r="S419" i="54"/>
  <c r="Q419" i="54" a="1"/>
  <c r="Q419" i="54" s="1"/>
  <c r="M419" i="54"/>
  <c r="I419" i="54"/>
  <c r="B419" i="54"/>
  <c r="BK418" i="54"/>
  <c r="BI418" i="54"/>
  <c r="BG418" i="54" a="1"/>
  <c r="BG418" i="54" s="1"/>
  <c r="BJ418" i="54" s="1"/>
  <c r="BC418" i="54"/>
  <c r="AY418" i="54"/>
  <c r="AR418" i="54"/>
  <c r="AP418" i="54"/>
  <c r="AN418" i="54"/>
  <c r="AL418" i="54" a="1"/>
  <c r="AL418" i="54" s="1"/>
  <c r="AH418" i="54"/>
  <c r="AD418" i="54"/>
  <c r="W418" i="54"/>
  <c r="U418" i="54"/>
  <c r="S418" i="54"/>
  <c r="Q418" i="54" a="1"/>
  <c r="Q418" i="54" s="1"/>
  <c r="M418" i="54"/>
  <c r="I418" i="54"/>
  <c r="B418" i="54"/>
  <c r="BK417" i="54"/>
  <c r="BI417" i="54"/>
  <c r="BG417" i="54" a="1"/>
  <c r="BG417" i="54" s="1"/>
  <c r="BC417" i="54"/>
  <c r="AY417" i="54"/>
  <c r="AR417" i="54"/>
  <c r="AP417" i="54"/>
  <c r="AN417" i="54"/>
  <c r="AL417" i="54" a="1"/>
  <c r="AL417" i="54" s="1"/>
  <c r="AH417" i="54"/>
  <c r="AD417" i="54"/>
  <c r="W417" i="54"/>
  <c r="U417" i="54"/>
  <c r="S417" i="54"/>
  <c r="Q417" i="54" a="1"/>
  <c r="Q417" i="54" s="1"/>
  <c r="T417" i="54" s="1"/>
  <c r="M417" i="54"/>
  <c r="I417" i="54"/>
  <c r="B417" i="54"/>
  <c r="BK416" i="54"/>
  <c r="BI416" i="54"/>
  <c r="BG416" i="54" a="1"/>
  <c r="BG416" i="54" s="1"/>
  <c r="BC416" i="54"/>
  <c r="AY416" i="54"/>
  <c r="AR416" i="54"/>
  <c r="AP416" i="54"/>
  <c r="AN416" i="54"/>
  <c r="AL416" i="54" a="1"/>
  <c r="AL416" i="54" s="1"/>
  <c r="AH416" i="54"/>
  <c r="AD416" i="54"/>
  <c r="W416" i="54"/>
  <c r="U416" i="54"/>
  <c r="S416" i="54"/>
  <c r="Q416" i="54" a="1"/>
  <c r="Q416" i="54" s="1"/>
  <c r="M416" i="54"/>
  <c r="I416" i="54"/>
  <c r="B416" i="54"/>
  <c r="BK415" i="54"/>
  <c r="BI415" i="54"/>
  <c r="BG415" i="54" a="1"/>
  <c r="BG415" i="54" s="1"/>
  <c r="BC415" i="54"/>
  <c r="AY415" i="54"/>
  <c r="AR415" i="54"/>
  <c r="AP415" i="54"/>
  <c r="AN415" i="54"/>
  <c r="AL415" i="54" a="1"/>
  <c r="AL415" i="54" s="1"/>
  <c r="AH415" i="54"/>
  <c r="AD415" i="54"/>
  <c r="W415" i="54"/>
  <c r="U415" i="54"/>
  <c r="S415" i="54"/>
  <c r="Q415" i="54" a="1"/>
  <c r="Q415" i="54" s="1"/>
  <c r="M415" i="54"/>
  <c r="I415" i="54"/>
  <c r="B415" i="54"/>
  <c r="BK414" i="54"/>
  <c r="BI414" i="54"/>
  <c r="BG414" i="54" a="1"/>
  <c r="BG414" i="54" s="1"/>
  <c r="BJ414" i="54" s="1"/>
  <c r="BC414" i="54"/>
  <c r="AY414" i="54"/>
  <c r="AR414" i="54"/>
  <c r="AP414" i="54"/>
  <c r="AN414" i="54"/>
  <c r="AL414" i="54" a="1"/>
  <c r="AL414" i="54" s="1"/>
  <c r="AH414" i="54"/>
  <c r="AD414" i="54"/>
  <c r="W414" i="54"/>
  <c r="U414" i="54"/>
  <c r="S414" i="54"/>
  <c r="Q414" i="54" a="1"/>
  <c r="Q414" i="54" s="1"/>
  <c r="M414" i="54"/>
  <c r="I414" i="54"/>
  <c r="B414" i="54"/>
  <c r="BK413" i="54"/>
  <c r="BI413" i="54"/>
  <c r="BG413" i="54" a="1"/>
  <c r="BG413" i="54" s="1"/>
  <c r="BC413" i="54"/>
  <c r="AY413" i="54"/>
  <c r="AR413" i="54"/>
  <c r="AP413" i="54"/>
  <c r="AN413" i="54"/>
  <c r="AL413" i="54" a="1"/>
  <c r="AL413" i="54" s="1"/>
  <c r="AH413" i="54"/>
  <c r="AD413" i="54"/>
  <c r="W413" i="54"/>
  <c r="U413" i="54"/>
  <c r="S413" i="54"/>
  <c r="Q413" i="54" a="1"/>
  <c r="Q413" i="54" s="1"/>
  <c r="M413" i="54"/>
  <c r="I413" i="54"/>
  <c r="B413" i="54"/>
  <c r="BK412" i="54"/>
  <c r="BI412" i="54"/>
  <c r="BG412" i="54" a="1"/>
  <c r="BG412" i="54" s="1"/>
  <c r="BC412" i="54"/>
  <c r="AY412" i="54"/>
  <c r="AR412" i="54"/>
  <c r="AP412" i="54"/>
  <c r="AN412" i="54"/>
  <c r="AL412" i="54" a="1"/>
  <c r="AL412" i="54" s="1"/>
  <c r="AH412" i="54"/>
  <c r="AD412" i="54"/>
  <c r="W412" i="54"/>
  <c r="U412" i="54"/>
  <c r="S412" i="54"/>
  <c r="Q412" i="54" a="1"/>
  <c r="Q412" i="54" s="1"/>
  <c r="M412" i="54"/>
  <c r="I412" i="54"/>
  <c r="B412" i="54"/>
  <c r="BK411" i="54"/>
  <c r="BI411" i="54"/>
  <c r="BG411" i="54" a="1"/>
  <c r="BG411" i="54" s="1"/>
  <c r="BJ411" i="54" s="1"/>
  <c r="BC411" i="54"/>
  <c r="AY411" i="54"/>
  <c r="AR411" i="54"/>
  <c r="AP411" i="54"/>
  <c r="AN411" i="54"/>
  <c r="AL411" i="54" a="1"/>
  <c r="AL411" i="54" s="1"/>
  <c r="AH411" i="54"/>
  <c r="AD411" i="54"/>
  <c r="W411" i="54"/>
  <c r="U411" i="54"/>
  <c r="S411" i="54"/>
  <c r="Q411" i="54" a="1"/>
  <c r="Q411" i="54" s="1"/>
  <c r="T411" i="54" s="1"/>
  <c r="M411" i="54"/>
  <c r="I411" i="54"/>
  <c r="B411" i="54"/>
  <c r="BK410" i="54"/>
  <c r="BI410" i="54"/>
  <c r="BG410" i="54" a="1"/>
  <c r="BG410" i="54" s="1"/>
  <c r="BC410" i="54"/>
  <c r="AY410" i="54"/>
  <c r="AR410" i="54"/>
  <c r="AP410" i="54"/>
  <c r="AN410" i="54"/>
  <c r="AL410" i="54" a="1"/>
  <c r="AL410" i="54" s="1"/>
  <c r="AO410" i="54" s="1"/>
  <c r="AH410" i="54"/>
  <c r="AD410" i="54"/>
  <c r="W410" i="54"/>
  <c r="U410" i="54"/>
  <c r="S410" i="54"/>
  <c r="Q410" i="54" a="1"/>
  <c r="Q410" i="54" s="1"/>
  <c r="M410" i="54"/>
  <c r="I410" i="54"/>
  <c r="B410" i="54"/>
  <c r="BK409" i="54"/>
  <c r="BI409" i="54"/>
  <c r="BG409" i="54" a="1"/>
  <c r="BG409" i="54" s="1"/>
  <c r="BC409" i="54"/>
  <c r="AY409" i="54"/>
  <c r="AR409" i="54"/>
  <c r="AP409" i="54"/>
  <c r="AN409" i="54"/>
  <c r="AL409" i="54" a="1"/>
  <c r="AL409" i="54" s="1"/>
  <c r="AH409" i="54"/>
  <c r="AD409" i="54"/>
  <c r="W409" i="54"/>
  <c r="U409" i="54"/>
  <c r="S409" i="54"/>
  <c r="Q409" i="54" a="1"/>
  <c r="Q409" i="54" s="1"/>
  <c r="T409" i="54" s="1"/>
  <c r="M409" i="54"/>
  <c r="I409" i="54"/>
  <c r="B409" i="54"/>
  <c r="BK408" i="54"/>
  <c r="BI408" i="54"/>
  <c r="BG408" i="54" a="1"/>
  <c r="BG408" i="54" s="1"/>
  <c r="BC408" i="54"/>
  <c r="AY408" i="54"/>
  <c r="AR408" i="54"/>
  <c r="AP408" i="54"/>
  <c r="AN408" i="54"/>
  <c r="AL408" i="54" a="1"/>
  <c r="AL408" i="54" s="1"/>
  <c r="AH408" i="54"/>
  <c r="AD408" i="54"/>
  <c r="W408" i="54"/>
  <c r="U408" i="54"/>
  <c r="S408" i="54"/>
  <c r="Q408" i="54" a="1"/>
  <c r="Q408" i="54" s="1"/>
  <c r="M408" i="54"/>
  <c r="I408" i="54"/>
  <c r="B408" i="54"/>
  <c r="BK407" i="54"/>
  <c r="BI407" i="54"/>
  <c r="BH407" i="54"/>
  <c r="BG407" i="54" a="1"/>
  <c r="BG407" i="54" s="1"/>
  <c r="BC407" i="54"/>
  <c r="AY407" i="54"/>
  <c r="AR407" i="54"/>
  <c r="AP407" i="54"/>
  <c r="AN407" i="54"/>
  <c r="AL407" i="54" a="1"/>
  <c r="AL407" i="54" s="1"/>
  <c r="AH407" i="54"/>
  <c r="AD407" i="54"/>
  <c r="W407" i="54"/>
  <c r="U407" i="54"/>
  <c r="S407" i="54"/>
  <c r="Q407" i="54" a="1"/>
  <c r="Q407" i="54" s="1"/>
  <c r="M407" i="54"/>
  <c r="I407" i="54"/>
  <c r="B407" i="54"/>
  <c r="BK406" i="54"/>
  <c r="BI406" i="54"/>
  <c r="BG406" i="54" a="1"/>
  <c r="BG406" i="54" s="1"/>
  <c r="BC406" i="54"/>
  <c r="AY406" i="54"/>
  <c r="AR406" i="54"/>
  <c r="AP406" i="54"/>
  <c r="AN406" i="54"/>
  <c r="AL406" i="54" a="1"/>
  <c r="AL406" i="54" s="1"/>
  <c r="AH406" i="54"/>
  <c r="AD406" i="54"/>
  <c r="W406" i="54"/>
  <c r="U406" i="54"/>
  <c r="S406" i="54"/>
  <c r="Q406" i="54" a="1"/>
  <c r="Q406" i="54" s="1"/>
  <c r="M406" i="54"/>
  <c r="I406" i="54"/>
  <c r="B406" i="54"/>
  <c r="BK405" i="54"/>
  <c r="BI405" i="54"/>
  <c r="BG405" i="54" a="1"/>
  <c r="BG405" i="54" s="1"/>
  <c r="BC405" i="54"/>
  <c r="AY405" i="54"/>
  <c r="AR405" i="54"/>
  <c r="AP405" i="54"/>
  <c r="AN405" i="54"/>
  <c r="AL405" i="54" a="1"/>
  <c r="AL405" i="54" s="1"/>
  <c r="AH405" i="54"/>
  <c r="AD405" i="54"/>
  <c r="W405" i="54"/>
  <c r="U405" i="54"/>
  <c r="S405" i="54"/>
  <c r="Q405" i="54" a="1"/>
  <c r="Q405" i="54" s="1"/>
  <c r="M405" i="54"/>
  <c r="I405" i="54"/>
  <c r="B405" i="54"/>
  <c r="BK404" i="54"/>
  <c r="BI404" i="54"/>
  <c r="BG404" i="54" a="1"/>
  <c r="BG404" i="54" s="1"/>
  <c r="BC404" i="54"/>
  <c r="AY404" i="54"/>
  <c r="AR404" i="54"/>
  <c r="AP404" i="54"/>
  <c r="AN404" i="54"/>
  <c r="AL404" i="54" a="1"/>
  <c r="AL404" i="54" s="1"/>
  <c r="AH404" i="54"/>
  <c r="AD404" i="54"/>
  <c r="W404" i="54"/>
  <c r="U404" i="54"/>
  <c r="S404" i="54"/>
  <c r="R404" i="54"/>
  <c r="Q404" i="54" a="1"/>
  <c r="Q404" i="54" s="1"/>
  <c r="M404" i="54"/>
  <c r="I404" i="54"/>
  <c r="B404" i="54"/>
  <c r="BK403" i="54"/>
  <c r="BI403" i="54"/>
  <c r="BG403" i="54" a="1"/>
  <c r="BG403" i="54" s="1"/>
  <c r="BJ403" i="54" s="1"/>
  <c r="BC403" i="54"/>
  <c r="AY403" i="54"/>
  <c r="AR403" i="54"/>
  <c r="AP403" i="54"/>
  <c r="AN403" i="54"/>
  <c r="AL403" i="54" a="1"/>
  <c r="AL403" i="54" s="1"/>
  <c r="AH403" i="54"/>
  <c r="AD403" i="54"/>
  <c r="W403" i="54"/>
  <c r="U403" i="54"/>
  <c r="S403" i="54"/>
  <c r="Q403" i="54" a="1"/>
  <c r="Q403" i="54" s="1"/>
  <c r="M403" i="54"/>
  <c r="I403" i="54"/>
  <c r="B403" i="54"/>
  <c r="BK402" i="54"/>
  <c r="BI402" i="54"/>
  <c r="BG402" i="54" a="1"/>
  <c r="BG402" i="54" s="1"/>
  <c r="BC402" i="54"/>
  <c r="AY402" i="54"/>
  <c r="AR402" i="54"/>
  <c r="AP402" i="54"/>
  <c r="AN402" i="54"/>
  <c r="AL402" i="54" a="1"/>
  <c r="AL402" i="54" s="1"/>
  <c r="AH402" i="54"/>
  <c r="AD402" i="54"/>
  <c r="W402" i="54"/>
  <c r="U402" i="54"/>
  <c r="S402" i="54"/>
  <c r="Q402" i="54" a="1"/>
  <c r="Q402" i="54" s="1"/>
  <c r="M402" i="54"/>
  <c r="I402" i="54"/>
  <c r="B402" i="54"/>
  <c r="BK401" i="54"/>
  <c r="BI401" i="54"/>
  <c r="BG401" i="54" a="1"/>
  <c r="BG401" i="54" s="1"/>
  <c r="BC401" i="54"/>
  <c r="AY401" i="54"/>
  <c r="AT401" i="54"/>
  <c r="AR401" i="54"/>
  <c r="AP401" i="54"/>
  <c r="AN401" i="54"/>
  <c r="AL401" i="54" a="1"/>
  <c r="AL401" i="54" s="1"/>
  <c r="AH401" i="54"/>
  <c r="AD401" i="54"/>
  <c r="W401" i="54"/>
  <c r="U401" i="54"/>
  <c r="S401" i="54"/>
  <c r="Q401" i="54" a="1"/>
  <c r="Q401" i="54" s="1"/>
  <c r="M401" i="54"/>
  <c r="I401" i="54"/>
  <c r="B401" i="54"/>
  <c r="BK400" i="54"/>
  <c r="BI400" i="54"/>
  <c r="BH400" i="54"/>
  <c r="BG400" i="54" a="1"/>
  <c r="BG400" i="54" s="1"/>
  <c r="BJ400" i="54" s="1"/>
  <c r="BC400" i="54"/>
  <c r="AY400" i="54"/>
  <c r="AR400" i="54"/>
  <c r="AP400" i="54"/>
  <c r="AN400" i="54"/>
  <c r="AL400" i="54" a="1"/>
  <c r="AL400" i="54" s="1"/>
  <c r="AH400" i="54"/>
  <c r="AD400" i="54"/>
  <c r="W400" i="54"/>
  <c r="U400" i="54"/>
  <c r="S400" i="54"/>
  <c r="Q400" i="54" a="1"/>
  <c r="Q400" i="54" s="1"/>
  <c r="T400" i="54" s="1"/>
  <c r="M400" i="54"/>
  <c r="I400" i="54"/>
  <c r="B400" i="54"/>
  <c r="BK399" i="54"/>
  <c r="BI399" i="54"/>
  <c r="BG399" i="54" a="1"/>
  <c r="BG399" i="54" s="1"/>
  <c r="BJ399" i="54" s="1"/>
  <c r="BC399" i="54"/>
  <c r="AY399" i="54"/>
  <c r="AR399" i="54"/>
  <c r="AP399" i="54"/>
  <c r="AN399" i="54"/>
  <c r="AL399" i="54" a="1"/>
  <c r="AL399" i="54" s="1"/>
  <c r="AH399" i="54"/>
  <c r="AD399" i="54"/>
  <c r="W399" i="54"/>
  <c r="U399" i="54"/>
  <c r="S399" i="54"/>
  <c r="R399" i="54"/>
  <c r="Q399" i="54" a="1"/>
  <c r="Q399" i="54" s="1"/>
  <c r="M399" i="54"/>
  <c r="I399" i="54"/>
  <c r="B399" i="54"/>
  <c r="BK398" i="54"/>
  <c r="BI398" i="54"/>
  <c r="BG398" i="54" a="1"/>
  <c r="BG398" i="54" s="1"/>
  <c r="BJ398" i="54" s="1"/>
  <c r="BC398" i="54"/>
  <c r="AY398" i="54"/>
  <c r="AR398" i="54"/>
  <c r="AP398" i="54"/>
  <c r="AN398" i="54"/>
  <c r="AL398" i="54" a="1"/>
  <c r="AL398" i="54" s="1"/>
  <c r="AH398" i="54"/>
  <c r="AD398" i="54"/>
  <c r="W398" i="54"/>
  <c r="U398" i="54"/>
  <c r="S398" i="54"/>
  <c r="Q398" i="54" a="1"/>
  <c r="Q398" i="54" s="1"/>
  <c r="T398" i="54" s="1"/>
  <c r="M398" i="54"/>
  <c r="I398" i="54"/>
  <c r="B398" i="54"/>
  <c r="BK397" i="54"/>
  <c r="BI397" i="54"/>
  <c r="BG397" i="54" a="1"/>
  <c r="BG397" i="54" s="1"/>
  <c r="BJ397" i="54" s="1"/>
  <c r="BC397" i="54"/>
  <c r="AY397" i="54"/>
  <c r="AU397" i="54"/>
  <c r="AT397" i="54"/>
  <c r="AS397" i="54"/>
  <c r="AR397" i="54"/>
  <c r="AP397" i="54"/>
  <c r="AN397" i="54"/>
  <c r="AL397" i="54" a="1"/>
  <c r="AL397" i="54" s="1"/>
  <c r="AH397" i="54"/>
  <c r="AD397" i="54"/>
  <c r="W397" i="54"/>
  <c r="U397" i="54"/>
  <c r="S397" i="54"/>
  <c r="Q397" i="54" a="1"/>
  <c r="Q397" i="54" s="1"/>
  <c r="M397" i="54"/>
  <c r="I397" i="54"/>
  <c r="B397" i="54"/>
  <c r="BK396" i="54"/>
  <c r="BI396" i="54"/>
  <c r="BG396" i="54" a="1"/>
  <c r="BG396" i="54" s="1"/>
  <c r="BJ396" i="54" s="1"/>
  <c r="BC396" i="54"/>
  <c r="AY396" i="54"/>
  <c r="AR396" i="54"/>
  <c r="AP396" i="54"/>
  <c r="AN396" i="54"/>
  <c r="AL396" i="54" a="1"/>
  <c r="AL396" i="54" s="1"/>
  <c r="AH396" i="54"/>
  <c r="AD396" i="54"/>
  <c r="W396" i="54"/>
  <c r="U396" i="54"/>
  <c r="S396" i="54"/>
  <c r="Q396" i="54" a="1"/>
  <c r="Q396" i="54" s="1"/>
  <c r="M396" i="54"/>
  <c r="I396" i="54"/>
  <c r="B396" i="54"/>
  <c r="BK395" i="54"/>
  <c r="BI395" i="54"/>
  <c r="BG395" i="54" a="1"/>
  <c r="BG395" i="54" s="1"/>
  <c r="BJ395" i="54" s="1"/>
  <c r="BC395" i="54"/>
  <c r="AY395" i="54"/>
  <c r="AR395" i="54"/>
  <c r="AP395" i="54"/>
  <c r="AN395" i="54"/>
  <c r="AL395" i="54" a="1"/>
  <c r="AL395" i="54" s="1"/>
  <c r="AH395" i="54"/>
  <c r="AD395" i="54"/>
  <c r="W395" i="54"/>
  <c r="U395" i="54"/>
  <c r="S395" i="54"/>
  <c r="Q395" i="54" a="1"/>
  <c r="Q395" i="54" s="1"/>
  <c r="T395" i="54" s="1"/>
  <c r="M395" i="54"/>
  <c r="I395" i="54"/>
  <c r="B395" i="54"/>
  <c r="BK394" i="54"/>
  <c r="BI394" i="54"/>
  <c r="BG394" i="54" a="1"/>
  <c r="BG394" i="54" s="1"/>
  <c r="BJ394" i="54" s="1"/>
  <c r="BC394" i="54"/>
  <c r="AY394" i="54"/>
  <c r="AR394" i="54"/>
  <c r="AP394" i="54"/>
  <c r="AN394" i="54"/>
  <c r="AL394" i="54" a="1"/>
  <c r="AL394" i="54" s="1"/>
  <c r="AH394" i="54"/>
  <c r="AD394" i="54"/>
  <c r="W394" i="54"/>
  <c r="U394" i="54"/>
  <c r="S394" i="54"/>
  <c r="R394" i="54"/>
  <c r="Q394" i="54" a="1"/>
  <c r="Q394" i="54" s="1"/>
  <c r="T394" i="54" s="1"/>
  <c r="M394" i="54"/>
  <c r="I394" i="54"/>
  <c r="B394" i="54"/>
  <c r="BK393" i="54"/>
  <c r="BI393" i="54"/>
  <c r="BG393" i="54" a="1"/>
  <c r="BG393" i="54" s="1"/>
  <c r="BC393" i="54"/>
  <c r="AY393" i="54"/>
  <c r="AR393" i="54"/>
  <c r="AP393" i="54"/>
  <c r="AN393" i="54"/>
  <c r="AL393" i="54" a="1"/>
  <c r="AL393" i="54" s="1"/>
  <c r="AH393" i="54"/>
  <c r="AD393" i="54"/>
  <c r="W393" i="54"/>
  <c r="U393" i="54"/>
  <c r="S393" i="54"/>
  <c r="R393" i="54"/>
  <c r="Q393" i="54" a="1"/>
  <c r="Q393" i="54" s="1"/>
  <c r="M393" i="54"/>
  <c r="I393" i="54"/>
  <c r="B393" i="54"/>
  <c r="BK392" i="54"/>
  <c r="BI392" i="54"/>
  <c r="BH392" i="54"/>
  <c r="BG392" i="54" a="1"/>
  <c r="BG392" i="54" s="1"/>
  <c r="BC392" i="54"/>
  <c r="AY392" i="54"/>
  <c r="AR392" i="54"/>
  <c r="AP392" i="54"/>
  <c r="AN392" i="54"/>
  <c r="AL392" i="54" a="1"/>
  <c r="AL392" i="54" s="1"/>
  <c r="AH392" i="54"/>
  <c r="AD392" i="54"/>
  <c r="W392" i="54"/>
  <c r="U392" i="54"/>
  <c r="S392" i="54"/>
  <c r="Q392" i="54" a="1"/>
  <c r="Q392" i="54" s="1"/>
  <c r="M392" i="54"/>
  <c r="I392" i="54"/>
  <c r="B392" i="54"/>
  <c r="BK391" i="54"/>
  <c r="BI391" i="54"/>
  <c r="BG391" i="54" a="1"/>
  <c r="BG391" i="54" s="1"/>
  <c r="BJ391" i="54" s="1"/>
  <c r="BC391" i="54"/>
  <c r="AY391" i="54"/>
  <c r="AR391" i="54"/>
  <c r="AP391" i="54"/>
  <c r="AN391" i="54"/>
  <c r="AL391" i="54" a="1"/>
  <c r="AL391" i="54" s="1"/>
  <c r="AH391" i="54"/>
  <c r="AD391" i="54"/>
  <c r="W391" i="54"/>
  <c r="U391" i="54"/>
  <c r="S391" i="54"/>
  <c r="Q391" i="54" a="1"/>
  <c r="Q391" i="54" s="1"/>
  <c r="M391" i="54"/>
  <c r="I391" i="54"/>
  <c r="B391" i="54"/>
  <c r="BK390" i="54"/>
  <c r="BI390" i="54"/>
  <c r="BG390" i="54" a="1"/>
  <c r="BG390" i="54" s="1"/>
  <c r="BC390" i="54"/>
  <c r="AY390" i="54"/>
  <c r="AR390" i="54"/>
  <c r="AP390" i="54"/>
  <c r="AN390" i="54"/>
  <c r="AL390" i="54" a="1"/>
  <c r="AL390" i="54" s="1"/>
  <c r="AH390" i="54"/>
  <c r="AD390" i="54"/>
  <c r="W390" i="54"/>
  <c r="U390" i="54"/>
  <c r="S390" i="54"/>
  <c r="Q390" i="54" a="1"/>
  <c r="Q390" i="54" s="1"/>
  <c r="T390" i="54" s="1"/>
  <c r="M390" i="54"/>
  <c r="I390" i="54"/>
  <c r="B390" i="54"/>
  <c r="BK389" i="54"/>
  <c r="BI389" i="54"/>
  <c r="BG389" i="54" a="1"/>
  <c r="BG389" i="54" s="1"/>
  <c r="BC389" i="54"/>
  <c r="AY389" i="54"/>
  <c r="AR389" i="54"/>
  <c r="AP389" i="54"/>
  <c r="AN389" i="54"/>
  <c r="AL389" i="54" a="1"/>
  <c r="AL389" i="54" s="1"/>
  <c r="AO389" i="54" s="1"/>
  <c r="AH389" i="54"/>
  <c r="AD389" i="54"/>
  <c r="W389" i="54"/>
  <c r="U389" i="54"/>
  <c r="S389" i="54"/>
  <c r="Q389" i="54" a="1"/>
  <c r="Q389" i="54" s="1"/>
  <c r="T389" i="54" s="1"/>
  <c r="M389" i="54"/>
  <c r="I389" i="54"/>
  <c r="B389" i="54"/>
  <c r="BK388" i="54"/>
  <c r="BI388" i="54"/>
  <c r="BG388" i="54" a="1"/>
  <c r="BG388" i="54" s="1"/>
  <c r="BC388" i="54"/>
  <c r="AY388" i="54"/>
  <c r="AR388" i="54"/>
  <c r="AP388" i="54"/>
  <c r="AN388" i="54"/>
  <c r="AL388" i="54" a="1"/>
  <c r="AL388" i="54" s="1"/>
  <c r="AH388" i="54"/>
  <c r="AD388" i="54"/>
  <c r="W388" i="54"/>
  <c r="U388" i="54"/>
  <c r="S388" i="54"/>
  <c r="Q388" i="54" a="1"/>
  <c r="Q388" i="54" s="1"/>
  <c r="M388" i="54"/>
  <c r="I388" i="54"/>
  <c r="B388" i="54"/>
  <c r="BK387" i="54"/>
  <c r="BI387" i="54"/>
  <c r="BG387" i="54" a="1"/>
  <c r="BG387" i="54" s="1"/>
  <c r="BJ387" i="54" s="1"/>
  <c r="BC387" i="54"/>
  <c r="AY387" i="54"/>
  <c r="AR387" i="54"/>
  <c r="AP387" i="54"/>
  <c r="AN387" i="54"/>
  <c r="AL387" i="54" a="1"/>
  <c r="AL387" i="54" s="1"/>
  <c r="AH387" i="54"/>
  <c r="AD387" i="54"/>
  <c r="W387" i="54"/>
  <c r="U387" i="54"/>
  <c r="S387" i="54"/>
  <c r="Q387" i="54" a="1"/>
  <c r="Q387" i="54" s="1"/>
  <c r="T387" i="54" s="1"/>
  <c r="M387" i="54"/>
  <c r="I387" i="54"/>
  <c r="B387" i="54"/>
  <c r="BK386" i="54"/>
  <c r="BI386" i="54"/>
  <c r="BH386" i="54"/>
  <c r="BG386" i="54" a="1"/>
  <c r="BG386" i="54" s="1"/>
  <c r="BJ386" i="54" s="1"/>
  <c r="BC386" i="54"/>
  <c r="AY386" i="54"/>
  <c r="AR386" i="54"/>
  <c r="AP386" i="54"/>
  <c r="AN386" i="54"/>
  <c r="AL386" i="54" a="1"/>
  <c r="AL386" i="54" s="1"/>
  <c r="AH386" i="54"/>
  <c r="AD386" i="54"/>
  <c r="W386" i="54"/>
  <c r="U386" i="54"/>
  <c r="S386" i="54"/>
  <c r="Q386" i="54" a="1"/>
  <c r="Q386" i="54" s="1"/>
  <c r="T386" i="54" s="1"/>
  <c r="M386" i="54"/>
  <c r="I386" i="54"/>
  <c r="B386" i="54"/>
  <c r="BK385" i="54"/>
  <c r="BI385" i="54"/>
  <c r="BH385" i="54"/>
  <c r="BG385" i="54" a="1"/>
  <c r="BG385" i="54" s="1"/>
  <c r="BJ385" i="54" s="1"/>
  <c r="BC385" i="54"/>
  <c r="AY385" i="54"/>
  <c r="AR385" i="54"/>
  <c r="AP385" i="54"/>
  <c r="AN385" i="54"/>
  <c r="AL385" i="54" a="1"/>
  <c r="AL385" i="54" s="1"/>
  <c r="AH385" i="54"/>
  <c r="AD385" i="54"/>
  <c r="W385" i="54"/>
  <c r="U385" i="54"/>
  <c r="S385" i="54"/>
  <c r="R385" i="54"/>
  <c r="Q385" i="54" a="1"/>
  <c r="Q385" i="54" s="1"/>
  <c r="T385" i="54" s="1"/>
  <c r="M385" i="54"/>
  <c r="I385" i="54"/>
  <c r="B385" i="54"/>
  <c r="BK384" i="54"/>
  <c r="BI384" i="54"/>
  <c r="BG384" i="54" a="1"/>
  <c r="BG384" i="54" s="1"/>
  <c r="BJ384" i="54" s="1"/>
  <c r="BC384" i="54"/>
  <c r="AY384" i="54"/>
  <c r="AU384" i="54"/>
  <c r="AT384" i="54"/>
  <c r="AR384" i="54"/>
  <c r="AP384" i="54"/>
  <c r="AN384" i="54"/>
  <c r="AL384" i="54" a="1"/>
  <c r="AL384" i="54" s="1"/>
  <c r="AH384" i="54"/>
  <c r="AD384" i="54"/>
  <c r="W384" i="54"/>
  <c r="U384" i="54"/>
  <c r="S384" i="54"/>
  <c r="Q384" i="54" a="1"/>
  <c r="Q384" i="54" s="1"/>
  <c r="T384" i="54" s="1"/>
  <c r="M384" i="54"/>
  <c r="I384" i="54"/>
  <c r="B384" i="54"/>
  <c r="BK383" i="54"/>
  <c r="BI383" i="54"/>
  <c r="BG383" i="54" a="1"/>
  <c r="BG383" i="54" s="1"/>
  <c r="BJ383" i="54" s="1"/>
  <c r="BC383" i="54"/>
  <c r="AY383" i="54"/>
  <c r="AS383" i="54"/>
  <c r="AR383" i="54"/>
  <c r="AP383" i="54"/>
  <c r="AN383" i="54"/>
  <c r="AL383" i="54" a="1"/>
  <c r="AL383" i="54" s="1"/>
  <c r="AH383" i="54"/>
  <c r="AD383" i="54"/>
  <c r="W383" i="54"/>
  <c r="U383" i="54"/>
  <c r="S383" i="54"/>
  <c r="Q383" i="54" a="1"/>
  <c r="Q383" i="54" s="1"/>
  <c r="M383" i="54"/>
  <c r="I383" i="54"/>
  <c r="D383" i="54"/>
  <c r="B383" i="54"/>
  <c r="BK382" i="54"/>
  <c r="BI382" i="54"/>
  <c r="BH382" i="54"/>
  <c r="BG382" i="54" a="1"/>
  <c r="BG382" i="54" s="1"/>
  <c r="BC382" i="54"/>
  <c r="AY382" i="54"/>
  <c r="AR382" i="54"/>
  <c r="AP382" i="54"/>
  <c r="AN382" i="54"/>
  <c r="AL382" i="54" a="1"/>
  <c r="AL382" i="54" s="1"/>
  <c r="AO382" i="54" s="1"/>
  <c r="AH382" i="54"/>
  <c r="AD382" i="54"/>
  <c r="W382" i="54"/>
  <c r="U382" i="54"/>
  <c r="S382" i="54"/>
  <c r="R382" i="54"/>
  <c r="Q382" i="54" a="1"/>
  <c r="Q382" i="54" s="1"/>
  <c r="M382" i="54"/>
  <c r="I382" i="54"/>
  <c r="B382" i="54"/>
  <c r="BK381" i="54"/>
  <c r="BI381" i="54"/>
  <c r="BH381" i="54"/>
  <c r="BG381" i="54" a="1"/>
  <c r="BG381" i="54" s="1"/>
  <c r="BJ381" i="54" s="1"/>
  <c r="BC381" i="54"/>
  <c r="AY381" i="54"/>
  <c r="AT381" i="54"/>
  <c r="AS381" i="54"/>
  <c r="AR381" i="54"/>
  <c r="AP381" i="54"/>
  <c r="AN381" i="54"/>
  <c r="AL381" i="54" a="1"/>
  <c r="AL381" i="54" s="1"/>
  <c r="AH381" i="54"/>
  <c r="AD381" i="54"/>
  <c r="W381" i="54"/>
  <c r="U381" i="54"/>
  <c r="S381" i="54"/>
  <c r="Q381" i="54" a="1"/>
  <c r="Q381" i="54" s="1"/>
  <c r="M381" i="54"/>
  <c r="I381" i="54"/>
  <c r="B381" i="54"/>
  <c r="BK380" i="54"/>
  <c r="BI380" i="54"/>
  <c r="BH380" i="54"/>
  <c r="BG380" i="54" a="1"/>
  <c r="BG380" i="54" s="1"/>
  <c r="BJ380" i="54" s="1"/>
  <c r="BC380" i="54"/>
  <c r="AY380" i="54"/>
  <c r="AR380" i="54"/>
  <c r="AP380" i="54"/>
  <c r="AN380" i="54"/>
  <c r="AL380" i="54" a="1"/>
  <c r="AL380" i="54" s="1"/>
  <c r="AH380" i="54"/>
  <c r="AD380" i="54"/>
  <c r="W380" i="54"/>
  <c r="U380" i="54"/>
  <c r="S380" i="54"/>
  <c r="Q380" i="54" a="1"/>
  <c r="Q380" i="54" s="1"/>
  <c r="T380" i="54" s="1"/>
  <c r="M380" i="54"/>
  <c r="I380" i="54"/>
  <c r="B380" i="54"/>
  <c r="BK379" i="54"/>
  <c r="BI379" i="54"/>
  <c r="BH379" i="54"/>
  <c r="BG379" i="54" a="1"/>
  <c r="BG379" i="54" s="1"/>
  <c r="BJ379" i="54" s="1"/>
  <c r="BC379" i="54"/>
  <c r="AY379" i="54"/>
  <c r="AR379" i="54"/>
  <c r="AP379" i="54"/>
  <c r="AN379" i="54"/>
  <c r="AL379" i="54" a="1"/>
  <c r="AL379" i="54" s="1"/>
  <c r="AH379" i="54"/>
  <c r="AD379" i="54"/>
  <c r="W379" i="54"/>
  <c r="U379" i="54"/>
  <c r="S379" i="54"/>
  <c r="R379" i="54"/>
  <c r="Q379" i="54" a="1"/>
  <c r="Q379" i="54" s="1"/>
  <c r="T379" i="54" s="1"/>
  <c r="M379" i="54"/>
  <c r="I379" i="54"/>
  <c r="B379" i="54"/>
  <c r="BK378" i="54"/>
  <c r="BI378" i="54"/>
  <c r="BG378" i="54" a="1"/>
  <c r="BG378" i="54" s="1"/>
  <c r="BC378" i="54"/>
  <c r="AY378" i="54"/>
  <c r="AR378" i="54"/>
  <c r="AP378" i="54"/>
  <c r="AN378" i="54"/>
  <c r="AL378" i="54" a="1"/>
  <c r="AL378" i="54" s="1"/>
  <c r="AO378" i="54" s="1"/>
  <c r="AH378" i="54"/>
  <c r="AD378" i="54"/>
  <c r="W378" i="54"/>
  <c r="U378" i="54"/>
  <c r="S378" i="54"/>
  <c r="R378" i="54"/>
  <c r="Q378" i="54" a="1"/>
  <c r="Q378" i="54" s="1"/>
  <c r="T378" i="54" s="1"/>
  <c r="M378" i="54"/>
  <c r="I378" i="54"/>
  <c r="B378" i="54"/>
  <c r="BK377" i="54"/>
  <c r="BI377" i="54"/>
  <c r="BG377" i="54" a="1"/>
  <c r="BG377" i="54" s="1"/>
  <c r="BJ377" i="54" s="1"/>
  <c r="BC377" i="54"/>
  <c r="AY377" i="54"/>
  <c r="AT377" i="54"/>
  <c r="AS377" i="54"/>
  <c r="AR377" i="54"/>
  <c r="AP377" i="54"/>
  <c r="AN377" i="54"/>
  <c r="AL377" i="54" a="1"/>
  <c r="AL377" i="54" s="1"/>
  <c r="AO377" i="54" s="1"/>
  <c r="AH377" i="54"/>
  <c r="AD377" i="54"/>
  <c r="W377" i="54"/>
  <c r="U377" i="54"/>
  <c r="S377" i="54"/>
  <c r="Q377" i="54" a="1"/>
  <c r="Q377" i="54" s="1"/>
  <c r="M377" i="54"/>
  <c r="I377" i="54"/>
  <c r="B377" i="54"/>
  <c r="BK376" i="54"/>
  <c r="BI376" i="54"/>
  <c r="BG376" i="54" a="1"/>
  <c r="BG376" i="54" s="1"/>
  <c r="BJ376" i="54" s="1"/>
  <c r="BC376" i="54"/>
  <c r="AY376" i="54"/>
  <c r="AU376" i="54"/>
  <c r="AT376" i="54"/>
  <c r="AR376" i="54"/>
  <c r="AP376" i="54"/>
  <c r="AN376" i="54"/>
  <c r="AL376" i="54" a="1"/>
  <c r="AL376" i="54" s="1"/>
  <c r="AH376" i="54"/>
  <c r="AD376" i="54"/>
  <c r="W376" i="54"/>
  <c r="U376" i="54"/>
  <c r="S376" i="54"/>
  <c r="Q376" i="54" a="1"/>
  <c r="Q376" i="54" s="1"/>
  <c r="T376" i="54" s="1"/>
  <c r="M376" i="54"/>
  <c r="I376" i="54"/>
  <c r="B376" i="54"/>
  <c r="BK375" i="54"/>
  <c r="BI375" i="54"/>
  <c r="BH375" i="54"/>
  <c r="BG375" i="54" a="1"/>
  <c r="BG375" i="54" s="1"/>
  <c r="BJ375" i="54" s="1"/>
  <c r="BC375" i="54"/>
  <c r="AY375" i="54"/>
  <c r="AP375" i="54"/>
  <c r="AN375" i="54"/>
  <c r="AL375" i="54" a="1"/>
  <c r="AL375" i="54" s="1"/>
  <c r="AO375" i="54" s="1"/>
  <c r="AH375" i="54"/>
  <c r="AD375" i="54"/>
  <c r="U375" i="54"/>
  <c r="S375" i="54"/>
  <c r="Q375" i="54" a="1"/>
  <c r="Q375" i="54" s="1"/>
  <c r="T375" i="54" s="1"/>
  <c r="M375" i="54"/>
  <c r="I375" i="54"/>
  <c r="BK374" i="54"/>
  <c r="BI374" i="54"/>
  <c r="BG374" i="54" a="1"/>
  <c r="BG374" i="54" s="1"/>
  <c r="BC374" i="54"/>
  <c r="AY374" i="54"/>
  <c r="AP374" i="54"/>
  <c r="AN374" i="54"/>
  <c r="AL374" i="54" a="1"/>
  <c r="AL374" i="54" s="1"/>
  <c r="AO374" i="54" s="1"/>
  <c r="AH374" i="54"/>
  <c r="AD374" i="54"/>
  <c r="U374" i="54"/>
  <c r="S374" i="54"/>
  <c r="Q374" i="54" a="1"/>
  <c r="Q374" i="54" s="1"/>
  <c r="M374" i="54"/>
  <c r="I374" i="54"/>
  <c r="AU372" i="54"/>
  <c r="AT372" i="54"/>
  <c r="BK370" i="54"/>
  <c r="BC370" i="54"/>
  <c r="AW370" i="54"/>
  <c r="AS370" i="54" s="1"/>
  <c r="AS456" i="54" s="1"/>
  <c r="AU370" i="54"/>
  <c r="AU470" i="54" s="1"/>
  <c r="AT370" i="54"/>
  <c r="AT489" i="54" s="1"/>
  <c r="AP370" i="54"/>
  <c r="AH370" i="54"/>
  <c r="AB370" i="54"/>
  <c r="X370" i="54" s="1"/>
  <c r="AA370" i="54"/>
  <c r="AA459" i="54" s="1"/>
  <c r="Z370" i="54"/>
  <c r="Z420" i="54" s="1"/>
  <c r="Y370" i="54"/>
  <c r="Y440" i="54" s="1"/>
  <c r="U370" i="54"/>
  <c r="M370" i="54"/>
  <c r="F370" i="54" s="1"/>
  <c r="E370" i="54"/>
  <c r="E426" i="54" s="1"/>
  <c r="D370" i="54"/>
  <c r="D463" i="54" s="1"/>
  <c r="C370" i="54"/>
  <c r="C462" i="54" s="1"/>
  <c r="BB369" i="54"/>
  <c r="BH427" i="54" s="1"/>
  <c r="AG369" i="54"/>
  <c r="AM399" i="54" s="1"/>
  <c r="L369" i="54"/>
  <c r="R390" i="54" s="1"/>
  <c r="AT368" i="54"/>
  <c r="AS368" i="54"/>
  <c r="BK367" i="54"/>
  <c r="AU367" i="54"/>
  <c r="AT367" i="54"/>
  <c r="AS367" i="54"/>
  <c r="AP367" i="54"/>
  <c r="U367" i="54"/>
  <c r="C366" i="54"/>
  <c r="BK364" i="54"/>
  <c r="AP364" i="54"/>
  <c r="U364" i="54"/>
  <c r="S419" i="74"/>
  <c r="S417" i="74"/>
  <c r="K419" i="74"/>
  <c r="K417" i="74"/>
  <c r="Y429" i="74"/>
  <c r="X429" i="74"/>
  <c r="W429" i="74"/>
  <c r="V429" i="74"/>
  <c r="U429" i="74"/>
  <c r="T429" i="74"/>
  <c r="S429" i="74"/>
  <c r="Q429" i="74"/>
  <c r="P429" i="74"/>
  <c r="O429" i="74"/>
  <c r="N429" i="74"/>
  <c r="M429" i="74"/>
  <c r="L429" i="74"/>
  <c r="K429" i="74"/>
  <c r="T411" i="74"/>
  <c r="T410" i="74"/>
  <c r="T409" i="74"/>
  <c r="T382" i="74"/>
  <c r="S359" i="74" a="1"/>
  <c r="S359" i="74" s="1"/>
  <c r="S355" i="74"/>
  <c r="S354" i="74"/>
  <c r="S353" i="74"/>
  <c r="S352" i="74"/>
  <c r="S351" i="74"/>
  <c r="S350" i="74"/>
  <c r="S349" i="74"/>
  <c r="S348" i="74"/>
  <c r="S347" i="74"/>
  <c r="S346" i="74"/>
  <c r="S345" i="74"/>
  <c r="S344" i="74"/>
  <c r="S343" i="74"/>
  <c r="S342" i="74"/>
  <c r="S341" i="74"/>
  <c r="S340" i="74"/>
  <c r="S339" i="74"/>
  <c r="S338" i="74"/>
  <c r="S337" i="74"/>
  <c r="S336" i="74"/>
  <c r="S335" i="74"/>
  <c r="S334" i="74"/>
  <c r="S333" i="74"/>
  <c r="S332" i="74"/>
  <c r="S331" i="74"/>
  <c r="S330" i="74"/>
  <c r="S329" i="74"/>
  <c r="U312" i="74"/>
  <c r="W311" i="74"/>
  <c r="T313" i="74" s="1"/>
  <c r="U308" i="74"/>
  <c r="W307" i="74"/>
  <c r="T309" i="74" s="1"/>
  <c r="W302" i="74"/>
  <c r="L411" i="74"/>
  <c r="L410" i="74"/>
  <c r="L409" i="74"/>
  <c r="L382" i="74"/>
  <c r="K359" i="74" a="1"/>
  <c r="K359" i="74" s="1"/>
  <c r="K355" i="74"/>
  <c r="K354" i="74"/>
  <c r="K353" i="74"/>
  <c r="K352" i="74"/>
  <c r="K351" i="74"/>
  <c r="K350" i="74"/>
  <c r="K349" i="74"/>
  <c r="K348" i="74"/>
  <c r="K347" i="74"/>
  <c r="K346" i="74"/>
  <c r="K345" i="74"/>
  <c r="K344" i="74"/>
  <c r="K343" i="74"/>
  <c r="K342" i="74"/>
  <c r="K341" i="74"/>
  <c r="K340" i="74"/>
  <c r="K339" i="74"/>
  <c r="K338" i="74"/>
  <c r="K337" i="74"/>
  <c r="K336" i="74"/>
  <c r="K335" i="74"/>
  <c r="K334" i="74"/>
  <c r="K333" i="74"/>
  <c r="K332" i="74"/>
  <c r="K331" i="74"/>
  <c r="K330" i="74"/>
  <c r="K329" i="74"/>
  <c r="M312" i="74"/>
  <c r="O311" i="74"/>
  <c r="L313" i="74" s="1"/>
  <c r="M308" i="74"/>
  <c r="O307" i="74"/>
  <c r="L309" i="74" s="1"/>
  <c r="O302" i="74"/>
  <c r="M411" i="74"/>
  <c r="U411" i="74"/>
  <c r="M409" i="74"/>
  <c r="U410" i="74"/>
  <c r="M359" i="74"/>
  <c r="M410" i="74"/>
  <c r="U359" i="74"/>
  <c r="U409" i="74"/>
  <c r="AP22" i="54" l="1" a="1"/>
  <c r="AP22" i="54" s="1"/>
  <c r="BK22" i="54" a="1"/>
  <c r="BK22" i="54" s="1"/>
  <c r="U22" i="54" a="1"/>
  <c r="U22" i="54" s="1"/>
  <c r="F131" i="106"/>
  <c r="E131" i="106"/>
  <c r="D133" i="106" s="1" a="1"/>
  <c r="D133" i="106" s="1"/>
  <c r="AS45" i="60"/>
  <c r="AS182" i="60"/>
  <c r="AX45" i="60"/>
  <c r="AM182" i="60"/>
  <c r="BA96" i="60"/>
  <c r="BE96" i="60" s="1"/>
  <c r="BA45" i="60"/>
  <c r="BE45" i="60" s="1"/>
  <c r="AP45" i="60"/>
  <c r="AT45" i="60"/>
  <c r="AV45" i="60"/>
  <c r="AM45" i="60"/>
  <c r="BB45" i="60"/>
  <c r="AX182" i="60"/>
  <c r="AP96" i="60"/>
  <c r="AO182" i="60"/>
  <c r="AW182" i="60"/>
  <c r="AN96" i="60"/>
  <c r="BB182" i="60"/>
  <c r="AT182" i="60"/>
  <c r="AO96" i="60"/>
  <c r="AU182" i="60"/>
  <c r="AV182" i="60"/>
  <c r="AV255" i="60"/>
  <c r="AN255" i="60"/>
  <c r="AO255" i="60"/>
  <c r="AP255" i="60"/>
  <c r="AP182" i="60"/>
  <c r="AX96" i="60"/>
  <c r="AT139" i="60"/>
  <c r="AN139" i="60"/>
  <c r="AS139" i="60"/>
  <c r="AV96" i="60"/>
  <c r="BB96" i="60"/>
  <c r="AM139" i="60"/>
  <c r="AU255" i="60"/>
  <c r="AN45" i="60"/>
  <c r="AT255" i="60"/>
  <c r="AW45" i="60"/>
  <c r="AN182" i="60"/>
  <c r="AS96" i="60"/>
  <c r="AX255" i="60"/>
  <c r="AU139" i="60"/>
  <c r="AS255" i="60"/>
  <c r="AW96" i="60"/>
  <c r="AV139" i="60"/>
  <c r="BK139" i="60"/>
  <c r="BK255" i="60"/>
  <c r="AM96" i="60"/>
  <c r="BB139" i="60"/>
  <c r="BK96" i="60"/>
  <c r="AW139" i="60"/>
  <c r="AO45" i="60"/>
  <c r="AU45" i="60"/>
  <c r="BA139" i="60"/>
  <c r="BE139" i="60" s="1"/>
  <c r="AX139" i="60"/>
  <c r="BK182" i="60"/>
  <c r="AM255" i="60"/>
  <c r="AO139" i="60"/>
  <c r="AU96" i="60"/>
  <c r="BA255" i="60"/>
  <c r="BE255" i="60" s="1"/>
  <c r="BB255" i="60"/>
  <c r="E326" i="100"/>
  <c r="H58" i="100"/>
  <c r="F58" i="100"/>
  <c r="E58" i="100" s="1"/>
  <c r="D59" i="100" s="1" a="1"/>
  <c r="D59" i="100" s="1"/>
  <c r="S110" i="90"/>
  <c r="T110" i="90" s="1"/>
  <c r="R110" i="90"/>
  <c r="Q110" i="90"/>
  <c r="E467" i="90"/>
  <c r="R117" i="90"/>
  <c r="S117" i="90" s="1"/>
  <c r="T117" i="90" s="1"/>
  <c r="Q117" i="90"/>
  <c r="Q112" i="90"/>
  <c r="R112" i="90"/>
  <c r="S112" i="90" s="1"/>
  <c r="T112" i="90" s="1"/>
  <c r="H233" i="90"/>
  <c r="I233" i="90"/>
  <c r="J233" i="90"/>
  <c r="K233" i="90" s="1"/>
  <c r="N352" i="90"/>
  <c r="S115" i="90"/>
  <c r="T115" i="90" s="1"/>
  <c r="R115" i="90"/>
  <c r="Q115" i="90"/>
  <c r="K463" i="90"/>
  <c r="E465" i="90" s="1"/>
  <c r="E464" i="90"/>
  <c r="E468" i="90"/>
  <c r="X240" i="90"/>
  <c r="Y240" i="90"/>
  <c r="Z240" i="90" s="1"/>
  <c r="W240" i="90"/>
  <c r="T229" i="90"/>
  <c r="U229" i="90"/>
  <c r="V229" i="90" s="1"/>
  <c r="W229" i="90" s="1"/>
  <c r="W239" i="90"/>
  <c r="X239" i="90"/>
  <c r="Y239" i="90"/>
  <c r="Z239" i="90" s="1"/>
  <c r="F186" i="87"/>
  <c r="H183" i="87"/>
  <c r="G172" i="87" s="1"/>
  <c r="G119" i="87"/>
  <c r="J116" i="87"/>
  <c r="F109" i="87"/>
  <c r="J108" i="87"/>
  <c r="H119" i="87"/>
  <c r="H113" i="87"/>
  <c r="I104" i="87" s="1"/>
  <c r="AM375" i="54"/>
  <c r="R387" i="54"/>
  <c r="R392" i="54"/>
  <c r="AT393" i="54"/>
  <c r="T407" i="54"/>
  <c r="Y369" i="54"/>
  <c r="R383" i="54"/>
  <c r="R377" i="54"/>
  <c r="AT365" i="54"/>
  <c r="AU374" i="54"/>
  <c r="BJ378" i="54"/>
  <c r="R381" i="54"/>
  <c r="AT382" i="54"/>
  <c r="BH398" i="54"/>
  <c r="T402" i="54"/>
  <c r="BJ409" i="54"/>
  <c r="T421" i="54"/>
  <c r="BJ423" i="54"/>
  <c r="AT388" i="54"/>
  <c r="AT364" i="54"/>
  <c r="Z369" i="54"/>
  <c r="AU364" i="54"/>
  <c r="AT369" i="54"/>
  <c r="AT374" i="54"/>
  <c r="AU365" i="54"/>
  <c r="C371" i="54"/>
  <c r="AT379" i="54"/>
  <c r="T388" i="54"/>
  <c r="BJ389" i="54"/>
  <c r="BJ393" i="54"/>
  <c r="T408" i="54"/>
  <c r="T391" i="54"/>
  <c r="R380" i="54"/>
  <c r="T401" i="54"/>
  <c r="T381" i="54"/>
  <c r="D371" i="54"/>
  <c r="AO380" i="54"/>
  <c r="AT390" i="54"/>
  <c r="T393" i="54"/>
  <c r="AO406" i="54"/>
  <c r="BJ424" i="54"/>
  <c r="X377" i="54"/>
  <c r="X379" i="54"/>
  <c r="X419" i="54"/>
  <c r="X364" i="54"/>
  <c r="E367" i="54"/>
  <c r="E375" i="54"/>
  <c r="C377" i="54"/>
  <c r="AO381" i="54"/>
  <c r="D382" i="54"/>
  <c r="AA386" i="54"/>
  <c r="AU387" i="54"/>
  <c r="BH390" i="54"/>
  <c r="T392" i="54"/>
  <c r="BJ392" i="54"/>
  <c r="AU394" i="54"/>
  <c r="AU396" i="54"/>
  <c r="D401" i="54"/>
  <c r="AS401" i="54"/>
  <c r="T404" i="54"/>
  <c r="R406" i="54"/>
  <c r="BH406" i="54"/>
  <c r="AO407" i="54"/>
  <c r="E408" i="54"/>
  <c r="D414" i="54"/>
  <c r="AU414" i="54"/>
  <c r="R417" i="54"/>
  <c r="R419" i="54"/>
  <c r="AS421" i="54"/>
  <c r="C423" i="54"/>
  <c r="C425" i="54"/>
  <c r="E431" i="54"/>
  <c r="AT439" i="54"/>
  <c r="C447" i="54"/>
  <c r="D450" i="54"/>
  <c r="D460" i="54"/>
  <c r="C461" i="54"/>
  <c r="C474" i="54"/>
  <c r="AS494" i="54"/>
  <c r="C373" i="54"/>
  <c r="D377" i="54"/>
  <c r="AO379" i="54"/>
  <c r="AM381" i="54"/>
  <c r="E382" i="54"/>
  <c r="AU382" i="54"/>
  <c r="AS389" i="54"/>
  <c r="AM393" i="54"/>
  <c r="C394" i="54"/>
  <c r="C396" i="54"/>
  <c r="AA402" i="54"/>
  <c r="C403" i="54"/>
  <c r="AS405" i="54"/>
  <c r="T410" i="54"/>
  <c r="BJ410" i="54"/>
  <c r="C412" i="54"/>
  <c r="AT421" i="54"/>
  <c r="BJ425" i="54"/>
  <c r="D432" i="54"/>
  <c r="AS462" i="54"/>
  <c r="AT463" i="54"/>
  <c r="C472" i="54"/>
  <c r="E474" i="54"/>
  <c r="AT494" i="54"/>
  <c r="AA369" i="54"/>
  <c r="AF367" i="54"/>
  <c r="D373" i="54"/>
  <c r="AO376" i="54"/>
  <c r="AU377" i="54"/>
  <c r="C389" i="54"/>
  <c r="AT389" i="54"/>
  <c r="AS391" i="54"/>
  <c r="D394" i="54"/>
  <c r="AO395" i="54"/>
  <c r="E396" i="54"/>
  <c r="T399" i="54"/>
  <c r="BH399" i="54"/>
  <c r="AU401" i="54"/>
  <c r="D403" i="54"/>
  <c r="C405" i="54"/>
  <c r="AT405" i="54"/>
  <c r="BJ406" i="54"/>
  <c r="R410" i="54"/>
  <c r="BH410" i="54"/>
  <c r="D412" i="54"/>
  <c r="AT412" i="54"/>
  <c r="C416" i="54"/>
  <c r="AS418" i="54"/>
  <c r="AO420" i="54"/>
  <c r="AU421" i="54"/>
  <c r="BH425" i="54"/>
  <c r="T427" i="54"/>
  <c r="E432" i="54"/>
  <c r="L443" i="54"/>
  <c r="C443" i="54"/>
  <c r="AS445" i="54"/>
  <c r="C453" i="54"/>
  <c r="AT462" i="54"/>
  <c r="C468" i="54"/>
  <c r="E472" i="54"/>
  <c r="D473" i="54"/>
  <c r="Y478" i="54"/>
  <c r="AU494" i="54"/>
  <c r="E373" i="54"/>
  <c r="AO386" i="54"/>
  <c r="AO388" i="54"/>
  <c r="AU389" i="54"/>
  <c r="AS398" i="54"/>
  <c r="E403" i="54"/>
  <c r="AU403" i="54"/>
  <c r="AU405" i="54"/>
  <c r="BJ408" i="54"/>
  <c r="E412" i="54"/>
  <c r="T414" i="54"/>
  <c r="E416" i="54"/>
  <c r="AS416" i="54"/>
  <c r="C418" i="54"/>
  <c r="R421" i="54"/>
  <c r="T423" i="54"/>
  <c r="BH423" i="54"/>
  <c r="T425" i="54"/>
  <c r="T428" i="54"/>
  <c r="AU432" i="54"/>
  <c r="D443" i="54"/>
  <c r="D453" i="54"/>
  <c r="AS454" i="54"/>
  <c r="D468" i="54"/>
  <c r="Z478" i="54"/>
  <c r="AS369" i="54"/>
  <c r="AT373" i="54"/>
  <c r="R375" i="54"/>
  <c r="T377" i="54"/>
  <c r="T382" i="54"/>
  <c r="BJ382" i="54"/>
  <c r="AA383" i="54"/>
  <c r="C384" i="54"/>
  <c r="BH387" i="54"/>
  <c r="AM388" i="54"/>
  <c r="BH396" i="54"/>
  <c r="C398" i="54"/>
  <c r="AT398" i="54"/>
  <c r="AO402" i="54"/>
  <c r="AS407" i="54"/>
  <c r="BH408" i="54"/>
  <c r="R414" i="54"/>
  <c r="AO415" i="54"/>
  <c r="D418" i="54"/>
  <c r="R423" i="54"/>
  <c r="R425" i="54"/>
  <c r="R428" i="54"/>
  <c r="C433" i="54"/>
  <c r="AG443" i="54"/>
  <c r="AT444" i="54"/>
  <c r="C456" i="54"/>
  <c r="D457" i="54"/>
  <c r="C465" i="54"/>
  <c r="E466" i="54"/>
  <c r="E468" i="54"/>
  <c r="C469" i="54"/>
  <c r="AS486" i="54"/>
  <c r="C365" i="54"/>
  <c r="AU373" i="54"/>
  <c r="C379" i="54"/>
  <c r="C393" i="54"/>
  <c r="AS393" i="54"/>
  <c r="T396" i="54"/>
  <c r="D398" i="54"/>
  <c r="AU398" i="54"/>
  <c r="R401" i="54"/>
  <c r="BJ401" i="54"/>
  <c r="C407" i="54"/>
  <c r="AT407" i="54"/>
  <c r="R408" i="54"/>
  <c r="AS409" i="54"/>
  <c r="BJ412" i="54"/>
  <c r="BH414" i="54"/>
  <c r="E418" i="54"/>
  <c r="Y419" i="54"/>
  <c r="AO422" i="54"/>
  <c r="Z433" i="54"/>
  <c r="C449" i="54"/>
  <c r="AT451" i="54"/>
  <c r="E456" i="54"/>
  <c r="Z471" i="54"/>
  <c r="AU484" i="54"/>
  <c r="AT486" i="54"/>
  <c r="AT488" i="54"/>
  <c r="E365" i="54"/>
  <c r="AU369" i="54"/>
  <c r="C374" i="54"/>
  <c r="AS374" i="54"/>
  <c r="AS376" i="54"/>
  <c r="AA378" i="54"/>
  <c r="AU379" i="54"/>
  <c r="C381" i="54"/>
  <c r="AS395" i="54"/>
  <c r="R396" i="54"/>
  <c r="E398" i="54"/>
  <c r="C400" i="54"/>
  <c r="T403" i="54"/>
  <c r="T405" i="54"/>
  <c r="BJ405" i="54"/>
  <c r="D407" i="54"/>
  <c r="AU407" i="54"/>
  <c r="D411" i="54"/>
  <c r="AS411" i="54"/>
  <c r="T416" i="54"/>
  <c r="BJ416" i="54"/>
  <c r="Z419" i="54"/>
  <c r="C420" i="54"/>
  <c r="C426" i="54"/>
  <c r="AS426" i="54"/>
  <c r="C429" i="54"/>
  <c r="AS433" i="54"/>
  <c r="D446" i="54"/>
  <c r="D449" i="54"/>
  <c r="C463" i="54"/>
  <c r="C464" i="54"/>
  <c r="AU485" i="54"/>
  <c r="AU486" i="54"/>
  <c r="AU488" i="54"/>
  <c r="C491" i="54"/>
  <c r="AS365" i="54"/>
  <c r="C368" i="54"/>
  <c r="D374" i="54"/>
  <c r="C376" i="54"/>
  <c r="BH377" i="54"/>
  <c r="AU381" i="54"/>
  <c r="BH384" i="54"/>
  <c r="C386" i="54"/>
  <c r="BH389" i="54"/>
  <c r="AO390" i="54"/>
  <c r="R391" i="54"/>
  <c r="BH391" i="54"/>
  <c r="AO392" i="54"/>
  <c r="AU393" i="54"/>
  <c r="AT395" i="54"/>
  <c r="D400" i="54"/>
  <c r="AU400" i="54"/>
  <c r="R403" i="54"/>
  <c r="AO404" i="54"/>
  <c r="R405" i="54"/>
  <c r="BH405" i="54"/>
  <c r="E407" i="54"/>
  <c r="E411" i="54"/>
  <c r="AT411" i="54"/>
  <c r="R412" i="54"/>
  <c r="R416" i="54"/>
  <c r="BH416" i="54"/>
  <c r="BH418" i="54"/>
  <c r="C424" i="54"/>
  <c r="AU424" i="54"/>
  <c r="D426" i="54"/>
  <c r="AT426" i="54"/>
  <c r="AS447" i="54"/>
  <c r="AU461" i="54"/>
  <c r="AA472" i="54"/>
  <c r="AT475" i="54"/>
  <c r="AT483" i="54"/>
  <c r="AS495" i="54"/>
  <c r="D368" i="54"/>
  <c r="E374" i="54"/>
  <c r="D376" i="54"/>
  <c r="E386" i="54"/>
  <c r="C388" i="54"/>
  <c r="AM392" i="54"/>
  <c r="C395" i="54"/>
  <c r="C397" i="54"/>
  <c r="AS402" i="54"/>
  <c r="AU411" i="54"/>
  <c r="AT413" i="54"/>
  <c r="Z414" i="54"/>
  <c r="AS415" i="54"/>
  <c r="T418" i="54"/>
  <c r="Z421" i="54"/>
  <c r="Y429" i="54"/>
  <c r="D442" i="54"/>
  <c r="AT443" i="54"/>
  <c r="AT450" i="54"/>
  <c r="C455" i="54"/>
  <c r="AU475" i="54"/>
  <c r="AS478" i="54"/>
  <c r="AU480" i="54"/>
  <c r="AS482" i="54"/>
  <c r="AU483" i="54"/>
  <c r="C490" i="54"/>
  <c r="E368" i="54"/>
  <c r="AM380" i="54"/>
  <c r="C383" i="54"/>
  <c r="AO385" i="54"/>
  <c r="AU388" i="54"/>
  <c r="D397" i="54"/>
  <c r="AT402" i="54"/>
  <c r="BJ407" i="54"/>
  <c r="BH409" i="54"/>
  <c r="T412" i="54"/>
  <c r="C413" i="54"/>
  <c r="AT415" i="54"/>
  <c r="AO419" i="54"/>
  <c r="Z429" i="54"/>
  <c r="C436" i="54"/>
  <c r="C439" i="54"/>
  <c r="C445" i="54"/>
  <c r="AT478" i="54"/>
  <c r="AU482" i="54"/>
  <c r="C415" i="54"/>
  <c r="AU415" i="54"/>
  <c r="AS417" i="54"/>
  <c r="T426" i="54"/>
  <c r="AS427" i="54"/>
  <c r="D436" i="54"/>
  <c r="AT440" i="54"/>
  <c r="D445" i="54"/>
  <c r="AT453" i="54"/>
  <c r="AT460" i="54"/>
  <c r="AU478" i="54"/>
  <c r="C496" i="54"/>
  <c r="E366" i="54"/>
  <c r="C390" i="54"/>
  <c r="AT404" i="54"/>
  <c r="D406" i="54"/>
  <c r="AS406" i="54"/>
  <c r="AO408" i="54"/>
  <c r="R409" i="54"/>
  <c r="BJ413" i="54"/>
  <c r="C417" i="54"/>
  <c r="AT417" i="54"/>
  <c r="C419" i="54"/>
  <c r="E422" i="54"/>
  <c r="BJ422" i="54"/>
  <c r="R426" i="54"/>
  <c r="AU427" i="54"/>
  <c r="AU429" i="54"/>
  <c r="E436" i="54"/>
  <c r="D448" i="54"/>
  <c r="AU460" i="54"/>
  <c r="AS470" i="54"/>
  <c r="AT471" i="54"/>
  <c r="AU473" i="54"/>
  <c r="C478" i="54"/>
  <c r="C485" i="54"/>
  <c r="D496" i="54"/>
  <c r="AS366" i="54"/>
  <c r="AU368" i="54"/>
  <c r="AS371" i="54"/>
  <c r="BH374" i="54"/>
  <c r="R376" i="54"/>
  <c r="BH376" i="54"/>
  <c r="C378" i="54"/>
  <c r="AT383" i="54"/>
  <c r="D385" i="54"/>
  <c r="R386" i="54"/>
  <c r="R388" i="54"/>
  <c r="D390" i="54"/>
  <c r="AU390" i="54"/>
  <c r="C392" i="54"/>
  <c r="AT392" i="54"/>
  <c r="BH393" i="54"/>
  <c r="AO394" i="54"/>
  <c r="R395" i="54"/>
  <c r="BH395" i="54"/>
  <c r="AO396" i="54"/>
  <c r="T397" i="54"/>
  <c r="R400" i="54"/>
  <c r="BJ402" i="54"/>
  <c r="E404" i="54"/>
  <c r="E406" i="54"/>
  <c r="AU406" i="54"/>
  <c r="R411" i="54"/>
  <c r="AU417" i="54"/>
  <c r="D419" i="54"/>
  <c r="BH422" i="54"/>
  <c r="R424" i="54"/>
  <c r="BH424" i="54"/>
  <c r="AU436" i="54"/>
  <c r="D444" i="54"/>
  <c r="AU472" i="54"/>
  <c r="D477" i="54"/>
  <c r="D478" i="54"/>
  <c r="D485" i="54"/>
  <c r="D487" i="54"/>
  <c r="C488" i="54"/>
  <c r="E496" i="54"/>
  <c r="E383" i="54"/>
  <c r="C385" i="54"/>
  <c r="C364" i="54"/>
  <c r="AT366" i="54"/>
  <c r="C369" i="54"/>
  <c r="AT371" i="54"/>
  <c r="R374" i="54"/>
  <c r="D378" i="54"/>
  <c r="AT378" i="54"/>
  <c r="AU380" i="54"/>
  <c r="AU383" i="54"/>
  <c r="E385" i="54"/>
  <c r="AT385" i="54"/>
  <c r="BH388" i="54"/>
  <c r="E390" i="54"/>
  <c r="D392" i="54"/>
  <c r="R397" i="54"/>
  <c r="C399" i="54"/>
  <c r="BH402" i="54"/>
  <c r="AO405" i="54"/>
  <c r="AS410" i="54"/>
  <c r="BH411" i="54"/>
  <c r="T413" i="54"/>
  <c r="T415" i="54"/>
  <c r="BJ415" i="54"/>
  <c r="AT419" i="54"/>
  <c r="AS428" i="54"/>
  <c r="AU430" i="54"/>
  <c r="C437" i="54"/>
  <c r="C451" i="54"/>
  <c r="AS457" i="54"/>
  <c r="AS458" i="54"/>
  <c r="AS468" i="54"/>
  <c r="C476" i="54"/>
  <c r="D481" i="54"/>
  <c r="D482" i="54"/>
  <c r="E371" i="54"/>
  <c r="D364" i="54"/>
  <c r="AU366" i="54"/>
  <c r="E369" i="54"/>
  <c r="AU371" i="54"/>
  <c r="AS375" i="54"/>
  <c r="E378" i="54"/>
  <c r="AU378" i="54"/>
  <c r="Y379" i="54"/>
  <c r="C380" i="54"/>
  <c r="AU385" i="54"/>
  <c r="C387" i="54"/>
  <c r="AS387" i="54"/>
  <c r="D399" i="54"/>
  <c r="AS399" i="54"/>
  <c r="AO403" i="54"/>
  <c r="BJ404" i="54"/>
  <c r="C408" i="54"/>
  <c r="C410" i="54"/>
  <c r="AT410" i="54"/>
  <c r="R413" i="54"/>
  <c r="R415" i="54"/>
  <c r="BH415" i="54"/>
  <c r="AO416" i="54"/>
  <c r="AO418" i="54"/>
  <c r="AU419" i="54"/>
  <c r="Y420" i="54"/>
  <c r="C421" i="54"/>
  <c r="AU423" i="54"/>
  <c r="AT425" i="54"/>
  <c r="BJ427" i="54"/>
  <c r="AT428" i="54"/>
  <c r="C431" i="54"/>
  <c r="AU437" i="54"/>
  <c r="C441" i="54"/>
  <c r="D451" i="54"/>
  <c r="AT457" i="54"/>
  <c r="AS465" i="54"/>
  <c r="AS466" i="54"/>
  <c r="AU468" i="54"/>
  <c r="AU469" i="54"/>
  <c r="D476" i="54"/>
  <c r="C480" i="54"/>
  <c r="E481" i="54"/>
  <c r="E482" i="54"/>
  <c r="AU491" i="54"/>
  <c r="E493" i="54"/>
  <c r="C367" i="54"/>
  <c r="C375" i="54"/>
  <c r="C382" i="54"/>
  <c r="AS382" i="54"/>
  <c r="T383" i="54"/>
  <c r="D387" i="54"/>
  <c r="AT387" i="54"/>
  <c r="BJ388" i="54"/>
  <c r="BJ390" i="54"/>
  <c r="AO391" i="54"/>
  <c r="BH397" i="54"/>
  <c r="E399" i="54"/>
  <c r="C401" i="54"/>
  <c r="AM403" i="54"/>
  <c r="T406" i="54"/>
  <c r="D408" i="54"/>
  <c r="AS408" i="54"/>
  <c r="C414" i="54"/>
  <c r="AM416" i="54"/>
  <c r="BJ417" i="54"/>
  <c r="T419" i="54"/>
  <c r="R422" i="54"/>
  <c r="E427" i="54"/>
  <c r="AU428" i="54"/>
  <c r="D431" i="54"/>
  <c r="D438" i="54"/>
  <c r="AU457" i="54"/>
  <c r="C460" i="54"/>
  <c r="AT465" i="54"/>
  <c r="AU466" i="54"/>
  <c r="E494" i="54"/>
  <c r="U366" i="54" a="1"/>
  <c r="U366" i="54" s="1"/>
  <c r="BK366" i="54" a="1"/>
  <c r="BK366" i="54" s="1"/>
  <c r="K437" i="54"/>
  <c r="K495" i="54" s="1"/>
  <c r="BA437" i="54"/>
  <c r="BA495" i="54" s="1"/>
  <c r="AP366" i="54" a="1"/>
  <c r="AP366" i="54" s="1"/>
  <c r="F495" i="54"/>
  <c r="F492" i="54"/>
  <c r="F480" i="54"/>
  <c r="F464" i="54"/>
  <c r="F437" i="54"/>
  <c r="F477" i="54"/>
  <c r="F459" i="54"/>
  <c r="F454" i="54"/>
  <c r="F452" i="54"/>
  <c r="F450" i="54"/>
  <c r="F448" i="54"/>
  <c r="F446" i="54"/>
  <c r="F444" i="54"/>
  <c r="F442" i="54"/>
  <c r="F440" i="54"/>
  <c r="F438" i="54"/>
  <c r="F490" i="54"/>
  <c r="F474" i="54"/>
  <c r="F456" i="54"/>
  <c r="F487" i="54"/>
  <c r="F484" i="54"/>
  <c r="F468" i="54"/>
  <c r="F482" i="54"/>
  <c r="F466" i="54"/>
  <c r="F455" i="54"/>
  <c r="F433" i="54"/>
  <c r="F423" i="54"/>
  <c r="F476" i="54"/>
  <c r="F447" i="54"/>
  <c r="F439" i="54"/>
  <c r="F429" i="54"/>
  <c r="F410" i="54"/>
  <c r="F481" i="54"/>
  <c r="F405" i="54"/>
  <c r="F469" i="54"/>
  <c r="F414" i="54"/>
  <c r="F409" i="54"/>
  <c r="F396" i="54"/>
  <c r="F491" i="54"/>
  <c r="F470" i="54"/>
  <c r="F458" i="54"/>
  <c r="F400" i="54"/>
  <c r="F392" i="54"/>
  <c r="F376" i="54"/>
  <c r="F364" i="54"/>
  <c r="F493" i="54"/>
  <c r="F461" i="54"/>
  <c r="F387" i="54"/>
  <c r="F373" i="54"/>
  <c r="F368" i="54"/>
  <c r="F365" i="54"/>
  <c r="F457" i="54"/>
  <c r="F431" i="54"/>
  <c r="F426" i="54"/>
  <c r="F407" i="54"/>
  <c r="F393" i="54"/>
  <c r="F475" i="54"/>
  <c r="F424" i="54"/>
  <c r="F402" i="54"/>
  <c r="F395" i="54"/>
  <c r="F391" i="54"/>
  <c r="F389" i="54"/>
  <c r="F471" i="54"/>
  <c r="F465" i="54"/>
  <c r="F417" i="54"/>
  <c r="F377" i="54"/>
  <c r="F399" i="54"/>
  <c r="F397" i="54"/>
  <c r="F382" i="54"/>
  <c r="F430" i="54"/>
  <c r="F425" i="54"/>
  <c r="F416" i="54"/>
  <c r="F415" i="54"/>
  <c r="F403" i="54"/>
  <c r="F398" i="54"/>
  <c r="F385" i="54"/>
  <c r="F394" i="54"/>
  <c r="F372" i="54"/>
  <c r="F496" i="54"/>
  <c r="F485" i="54"/>
  <c r="F453" i="54"/>
  <c r="F427" i="54"/>
  <c r="F422" i="54"/>
  <c r="F369" i="54"/>
  <c r="F478" i="54"/>
  <c r="F463" i="54"/>
  <c r="F462" i="54"/>
  <c r="F460" i="54"/>
  <c r="F374" i="54"/>
  <c r="F436" i="54"/>
  <c r="F441" i="54"/>
  <c r="F413" i="54"/>
  <c r="F401" i="54"/>
  <c r="F432" i="54"/>
  <c r="F412" i="54"/>
  <c r="F421" i="54"/>
  <c r="F428" i="54"/>
  <c r="F494" i="54"/>
  <c r="F479" i="54"/>
  <c r="F473" i="54"/>
  <c r="F367" i="54"/>
  <c r="F420" i="54"/>
  <c r="F388" i="54"/>
  <c r="F379" i="54"/>
  <c r="F489" i="54"/>
  <c r="F408" i="54"/>
  <c r="F472" i="54"/>
  <c r="F384" i="54"/>
  <c r="F406" i="54"/>
  <c r="F445" i="54"/>
  <c r="F449" i="54"/>
  <c r="F375" i="54"/>
  <c r="F366" i="54"/>
  <c r="F418" i="54"/>
  <c r="F411" i="54"/>
  <c r="F386" i="54"/>
  <c r="F419" i="54"/>
  <c r="F378" i="54"/>
  <c r="F488" i="54"/>
  <c r="F380" i="54"/>
  <c r="F467" i="54"/>
  <c r="F404" i="54"/>
  <c r="F486" i="54"/>
  <c r="F381" i="54"/>
  <c r="F483" i="54"/>
  <c r="F451" i="54"/>
  <c r="F443" i="54"/>
  <c r="F383" i="54"/>
  <c r="F390" i="54"/>
  <c r="F371" i="54"/>
  <c r="X402" i="54"/>
  <c r="X386" i="54"/>
  <c r="X387" i="54"/>
  <c r="Z488" i="54"/>
  <c r="Z472" i="54"/>
  <c r="Z428" i="54"/>
  <c r="Z491" i="54"/>
  <c r="Z485" i="54"/>
  <c r="Z469" i="54"/>
  <c r="Z482" i="54"/>
  <c r="Z466" i="54"/>
  <c r="Z453" i="54"/>
  <c r="Z451" i="54"/>
  <c r="Z449" i="54"/>
  <c r="Z447" i="54"/>
  <c r="Z445" i="54"/>
  <c r="Z443" i="54"/>
  <c r="Z441" i="54"/>
  <c r="Z439" i="54"/>
  <c r="Z476" i="54"/>
  <c r="Z461" i="54"/>
  <c r="Z458" i="54"/>
  <c r="Z455" i="54"/>
  <c r="Z495" i="54"/>
  <c r="Z490" i="54"/>
  <c r="Z474" i="54"/>
  <c r="Z456" i="54"/>
  <c r="Z452" i="54"/>
  <c r="Z450" i="54"/>
  <c r="Z448" i="54"/>
  <c r="Z446" i="54"/>
  <c r="Z444" i="54"/>
  <c r="Z442" i="54"/>
  <c r="Z440" i="54"/>
  <c r="Z438" i="54"/>
  <c r="Z427" i="54"/>
  <c r="Z470" i="54"/>
  <c r="Z404" i="54"/>
  <c r="Z492" i="54"/>
  <c r="Z480" i="54"/>
  <c r="Z462" i="54"/>
  <c r="Z457" i="54"/>
  <c r="Z415" i="54"/>
  <c r="Z486" i="54"/>
  <c r="Z468" i="54"/>
  <c r="Z465" i="54"/>
  <c r="Z416" i="54"/>
  <c r="Z411" i="54"/>
  <c r="Z489" i="54"/>
  <c r="Z412" i="54"/>
  <c r="Z402" i="54"/>
  <c r="Z386" i="54"/>
  <c r="Z366" i="54"/>
  <c r="Z460" i="54"/>
  <c r="Z424" i="54"/>
  <c r="Z410" i="54"/>
  <c r="Z396" i="54"/>
  <c r="Z381" i="54"/>
  <c r="Z464" i="54"/>
  <c r="Z400" i="54"/>
  <c r="Z387" i="54"/>
  <c r="Z454" i="54"/>
  <c r="Z437" i="54"/>
  <c r="Z473" i="54"/>
  <c r="Z463" i="54"/>
  <c r="Z418" i="54"/>
  <c r="Z426" i="54"/>
  <c r="Z406" i="54"/>
  <c r="Z384" i="54"/>
  <c r="Z379" i="54"/>
  <c r="Z373" i="54"/>
  <c r="Z477" i="54"/>
  <c r="Z459" i="54"/>
  <c r="Z408" i="54"/>
  <c r="Z383" i="54"/>
  <c r="Z378" i="54"/>
  <c r="Z376" i="54"/>
  <c r="Z365" i="54"/>
  <c r="Z407" i="54"/>
  <c r="Z392" i="54"/>
  <c r="Z432" i="54"/>
  <c r="Z417" i="54"/>
  <c r="Z399" i="54"/>
  <c r="Z389" i="54"/>
  <c r="Z405" i="54"/>
  <c r="Z372" i="54"/>
  <c r="Z403" i="54"/>
  <c r="Z494" i="54"/>
  <c r="Z481" i="54"/>
  <c r="Z483" i="54"/>
  <c r="Z467" i="54"/>
  <c r="Z375" i="54"/>
  <c r="Z496" i="54"/>
  <c r="Z436" i="54"/>
  <c r="Z388" i="54"/>
  <c r="Z385" i="54"/>
  <c r="Z380" i="54"/>
  <c r="Z487" i="54"/>
  <c r="Z475" i="54"/>
  <c r="Z423" i="54"/>
  <c r="Z425" i="54"/>
  <c r="Z398" i="54"/>
  <c r="Z395" i="54"/>
  <c r="Z382" i="54"/>
  <c r="Z431" i="54"/>
  <c r="AA387" i="54"/>
  <c r="X397" i="54"/>
  <c r="Z479" i="54"/>
  <c r="AO411" i="54"/>
  <c r="Y441" i="54"/>
  <c r="AM386" i="54"/>
  <c r="AO400" i="54"/>
  <c r="K367" i="54"/>
  <c r="AA390" i="54"/>
  <c r="Z391" i="54"/>
  <c r="Y394" i="54"/>
  <c r="AO417" i="54"/>
  <c r="AM423" i="54"/>
  <c r="X478" i="54"/>
  <c r="X460" i="54"/>
  <c r="X475" i="54"/>
  <c r="X457" i="54"/>
  <c r="X431" i="54"/>
  <c r="X424" i="54"/>
  <c r="X488" i="54"/>
  <c r="X472" i="54"/>
  <c r="X491" i="54"/>
  <c r="X482" i="54"/>
  <c r="X466" i="54"/>
  <c r="X453" i="54"/>
  <c r="X451" i="54"/>
  <c r="X449" i="54"/>
  <c r="X447" i="54"/>
  <c r="X445" i="54"/>
  <c r="X443" i="54"/>
  <c r="X441" i="54"/>
  <c r="X439" i="54"/>
  <c r="X496" i="54"/>
  <c r="X480" i="54"/>
  <c r="X464" i="54"/>
  <c r="X485" i="54"/>
  <c r="X414" i="54"/>
  <c r="X465" i="54"/>
  <c r="X433" i="54"/>
  <c r="X427" i="54"/>
  <c r="X425" i="54"/>
  <c r="X409" i="54"/>
  <c r="X481" i="54"/>
  <c r="X461" i="54"/>
  <c r="X458" i="54"/>
  <c r="X450" i="54"/>
  <c r="X418" i="54"/>
  <c r="X413" i="54"/>
  <c r="X408" i="54"/>
  <c r="X400" i="54"/>
  <c r="X493" i="54"/>
  <c r="X483" i="54"/>
  <c r="X422" i="54"/>
  <c r="X420" i="54"/>
  <c r="X380" i="54"/>
  <c r="X375" i="54"/>
  <c r="X373" i="54"/>
  <c r="X369" i="54"/>
  <c r="X368" i="54"/>
  <c r="X367" i="54"/>
  <c r="X365" i="54"/>
  <c r="X406" i="54"/>
  <c r="X399" i="54"/>
  <c r="X391" i="54"/>
  <c r="X495" i="54"/>
  <c r="X468" i="54"/>
  <c r="X410" i="54"/>
  <c r="X396" i="54"/>
  <c r="X444" i="54"/>
  <c r="X429" i="54"/>
  <c r="X403" i="54"/>
  <c r="X398" i="54"/>
  <c r="X381" i="54"/>
  <c r="X437" i="54"/>
  <c r="X407" i="54"/>
  <c r="X376" i="54"/>
  <c r="X463" i="54"/>
  <c r="X455" i="54"/>
  <c r="X454" i="54"/>
  <c r="X446" i="54"/>
  <c r="X486" i="54"/>
  <c r="X473" i="54"/>
  <c r="X477" i="54"/>
  <c r="X484" i="54"/>
  <c r="X459" i="54"/>
  <c r="X476" i="54"/>
  <c r="X456" i="54"/>
  <c r="X448" i="54"/>
  <c r="X383" i="54"/>
  <c r="X378" i="54"/>
  <c r="X385" i="54"/>
  <c r="X487" i="54"/>
  <c r="X490" i="54"/>
  <c r="X489" i="54"/>
  <c r="X442" i="54"/>
  <c r="X432" i="54"/>
  <c r="X417" i="54"/>
  <c r="X404" i="54"/>
  <c r="X392" i="54"/>
  <c r="X389" i="54"/>
  <c r="X492" i="54"/>
  <c r="X405" i="54"/>
  <c r="X372" i="54"/>
  <c r="X474" i="54"/>
  <c r="X467" i="54"/>
  <c r="X436" i="54"/>
  <c r="X416" i="54"/>
  <c r="X388" i="54"/>
  <c r="X366" i="54"/>
  <c r="X494" i="54"/>
  <c r="X426" i="54"/>
  <c r="X423" i="54"/>
  <c r="Y475" i="54"/>
  <c r="Y457" i="54"/>
  <c r="Y431" i="54"/>
  <c r="Y488" i="54"/>
  <c r="Y472" i="54"/>
  <c r="Y428" i="54"/>
  <c r="Y491" i="54"/>
  <c r="Y485" i="54"/>
  <c r="Y469" i="54"/>
  <c r="Y479" i="54"/>
  <c r="Y463" i="54"/>
  <c r="Y494" i="54"/>
  <c r="Y492" i="54"/>
  <c r="Y477" i="54"/>
  <c r="Y459" i="54"/>
  <c r="Y436" i="54"/>
  <c r="Y422" i="54"/>
  <c r="Y465" i="54"/>
  <c r="Y433" i="54"/>
  <c r="Y427" i="54"/>
  <c r="Y425" i="54"/>
  <c r="Y409" i="54"/>
  <c r="Y470" i="54"/>
  <c r="Y452" i="54"/>
  <c r="Y444" i="54"/>
  <c r="Y404" i="54"/>
  <c r="Y493" i="54"/>
  <c r="Y448" i="54"/>
  <c r="Y395" i="54"/>
  <c r="Y414" i="54"/>
  <c r="Y408" i="54"/>
  <c r="Y406" i="54"/>
  <c r="Y399" i="54"/>
  <c r="Y391" i="54"/>
  <c r="Y489" i="54"/>
  <c r="Y456" i="54"/>
  <c r="Y412" i="54"/>
  <c r="Y402" i="54"/>
  <c r="Y386" i="54"/>
  <c r="Y366" i="54"/>
  <c r="Y482" i="54"/>
  <c r="Y437" i="54"/>
  <c r="Y392" i="54"/>
  <c r="Y495" i="54"/>
  <c r="Y483" i="54"/>
  <c r="Y464" i="54"/>
  <c r="Y445" i="54"/>
  <c r="Y407" i="54"/>
  <c r="Y400" i="54"/>
  <c r="Y376" i="54"/>
  <c r="Y468" i="54"/>
  <c r="Y455" i="54"/>
  <c r="Y454" i="54"/>
  <c r="Y446" i="54"/>
  <c r="Y486" i="54"/>
  <c r="Y473" i="54"/>
  <c r="Y418" i="54"/>
  <c r="Y484" i="54"/>
  <c r="Y458" i="54"/>
  <c r="Y410" i="54"/>
  <c r="Y381" i="54"/>
  <c r="Y417" i="54"/>
  <c r="Y423" i="54"/>
  <c r="Y450" i="54"/>
  <c r="Y476" i="54"/>
  <c r="Y383" i="54"/>
  <c r="Y378" i="54"/>
  <c r="Y365" i="54"/>
  <c r="Y490" i="54"/>
  <c r="Y442" i="54"/>
  <c r="Y432" i="54"/>
  <c r="Y396" i="54"/>
  <c r="Y389" i="54"/>
  <c r="Y388" i="54"/>
  <c r="Y385" i="54"/>
  <c r="Y380" i="54"/>
  <c r="Y487" i="54"/>
  <c r="Y426" i="54"/>
  <c r="Y415" i="54"/>
  <c r="Y403" i="54"/>
  <c r="Y481" i="54"/>
  <c r="Y451" i="54"/>
  <c r="Y449" i="54"/>
  <c r="Y405" i="54"/>
  <c r="Y372" i="54"/>
  <c r="Y474" i="54"/>
  <c r="Y467" i="54"/>
  <c r="Y443" i="54"/>
  <c r="Y416" i="54"/>
  <c r="Y375" i="54"/>
  <c r="Y496" i="54"/>
  <c r="Y424" i="54"/>
  <c r="Y480" i="54"/>
  <c r="Y382" i="54"/>
  <c r="Y384" i="54"/>
  <c r="Y387" i="54"/>
  <c r="AA412" i="54"/>
  <c r="AA427" i="54"/>
  <c r="Z430" i="54"/>
  <c r="Y453" i="54"/>
  <c r="AA465" i="54"/>
  <c r="Z484" i="54"/>
  <c r="AO387" i="54"/>
  <c r="AM411" i="54"/>
  <c r="AA368" i="54"/>
  <c r="AM383" i="54"/>
  <c r="Y398" i="54"/>
  <c r="Z409" i="54"/>
  <c r="Y462" i="54"/>
  <c r="AA365" i="54"/>
  <c r="Z390" i="54"/>
  <c r="Z393" i="54"/>
  <c r="X394" i="54"/>
  <c r="AA409" i="54"/>
  <c r="X374" i="54"/>
  <c r="BG429" i="54"/>
  <c r="BJ374" i="54"/>
  <c r="Y377" i="54"/>
  <c r="Z394" i="54"/>
  <c r="X428" i="54"/>
  <c r="AA440" i="54"/>
  <c r="X469" i="54"/>
  <c r="X470" i="54"/>
  <c r="Z493" i="54"/>
  <c r="X438" i="54"/>
  <c r="Y364" i="54"/>
  <c r="X411" i="54"/>
  <c r="Y413" i="54"/>
  <c r="Y438" i="54"/>
  <c r="Z364" i="54"/>
  <c r="Z371" i="54"/>
  <c r="X401" i="54"/>
  <c r="Y411" i="54"/>
  <c r="Z413" i="54"/>
  <c r="AA491" i="54"/>
  <c r="AA485" i="54"/>
  <c r="AA469" i="54"/>
  <c r="AA482" i="54"/>
  <c r="AA466" i="54"/>
  <c r="AA453" i="54"/>
  <c r="AA451" i="54"/>
  <c r="AA449" i="54"/>
  <c r="AA447" i="54"/>
  <c r="AA445" i="54"/>
  <c r="AA443" i="54"/>
  <c r="AA441" i="54"/>
  <c r="AA439" i="54"/>
  <c r="AA425" i="54"/>
  <c r="AA479" i="54"/>
  <c r="AA463" i="54"/>
  <c r="AA432" i="54"/>
  <c r="AA493" i="54"/>
  <c r="AA489" i="54"/>
  <c r="AA473" i="54"/>
  <c r="AA487" i="54"/>
  <c r="AA471" i="54"/>
  <c r="AA454" i="54"/>
  <c r="AA430" i="54"/>
  <c r="AA492" i="54"/>
  <c r="AA480" i="54"/>
  <c r="AA462" i="54"/>
  <c r="AA457" i="54"/>
  <c r="AA452" i="54"/>
  <c r="AA444" i="54"/>
  <c r="AA415" i="54"/>
  <c r="AA475" i="54"/>
  <c r="AA431" i="54"/>
  <c r="AA420" i="54"/>
  <c r="AA410" i="54"/>
  <c r="AA474" i="54"/>
  <c r="AA446" i="54"/>
  <c r="AA437" i="54"/>
  <c r="AA406" i="54"/>
  <c r="AA401" i="54"/>
  <c r="AA460" i="54"/>
  <c r="AA456" i="54"/>
  <c r="AA424" i="54"/>
  <c r="AA396" i="54"/>
  <c r="AA381" i="54"/>
  <c r="AA495" i="54"/>
  <c r="AA468" i="54"/>
  <c r="AA392" i="54"/>
  <c r="AA376" i="54"/>
  <c r="AA478" i="54"/>
  <c r="AA433" i="54"/>
  <c r="AA428" i="54"/>
  <c r="AA419" i="54"/>
  <c r="AA455" i="54"/>
  <c r="AA418" i="54"/>
  <c r="AA486" i="54"/>
  <c r="AA426" i="54"/>
  <c r="AA384" i="54"/>
  <c r="AA379" i="54"/>
  <c r="AA373" i="54"/>
  <c r="AA477" i="54"/>
  <c r="AA461" i="54"/>
  <c r="AA421" i="54"/>
  <c r="AA414" i="54"/>
  <c r="AA393" i="54"/>
  <c r="AA364" i="54"/>
  <c r="AA481" i="54"/>
  <c r="AA476" i="54"/>
  <c r="AA417" i="54"/>
  <c r="AA399" i="54"/>
  <c r="AA389" i="54"/>
  <c r="AA450" i="54"/>
  <c r="AA422" i="54"/>
  <c r="AA391" i="54"/>
  <c r="AA490" i="54"/>
  <c r="AA448" i="54"/>
  <c r="AA442" i="54"/>
  <c r="AA407" i="54"/>
  <c r="AA405" i="54"/>
  <c r="AA372" i="54"/>
  <c r="AA483" i="54"/>
  <c r="AA467" i="54"/>
  <c r="AA404" i="54"/>
  <c r="AA375" i="54"/>
  <c r="AA398" i="54"/>
  <c r="AA382" i="54"/>
  <c r="AA374" i="54"/>
  <c r="AA496" i="54"/>
  <c r="AA488" i="54"/>
  <c r="AA436" i="54"/>
  <c r="AA416" i="54"/>
  <c r="AA388" i="54"/>
  <c r="AA385" i="54"/>
  <c r="AA380" i="54"/>
  <c r="AA423" i="54"/>
  <c r="AA403" i="54"/>
  <c r="AA494" i="54"/>
  <c r="AA395" i="54"/>
  <c r="AA366" i="54"/>
  <c r="AA394" i="54"/>
  <c r="AA367" i="54"/>
  <c r="AA438" i="54"/>
  <c r="AA429" i="54"/>
  <c r="AA371" i="54"/>
  <c r="X479" i="54"/>
  <c r="Y430" i="54"/>
  <c r="AM422" i="54"/>
  <c r="AM425" i="54"/>
  <c r="AM412" i="54"/>
  <c r="AM424" i="54"/>
  <c r="AM407" i="54"/>
  <c r="AM428" i="54"/>
  <c r="AM417" i="54"/>
  <c r="AM402" i="54"/>
  <c r="AM398" i="54"/>
  <c r="AM426" i="54"/>
  <c r="AM415" i="54"/>
  <c r="AM413" i="54"/>
  <c r="AM409" i="54"/>
  <c r="AM405" i="54"/>
  <c r="AM394" i="54"/>
  <c r="AM378" i="54"/>
  <c r="AM374" i="54"/>
  <c r="AM389" i="54"/>
  <c r="AM420" i="54"/>
  <c r="AM408" i="54"/>
  <c r="AM404" i="54"/>
  <c r="AM401" i="54"/>
  <c r="AO426" i="54"/>
  <c r="AM395" i="54"/>
  <c r="AM391" i="54"/>
  <c r="AM382" i="54"/>
  <c r="AO421" i="54"/>
  <c r="AM400" i="54"/>
  <c r="AO425" i="54"/>
  <c r="AM414" i="54"/>
  <c r="AM377" i="54"/>
  <c r="AM387" i="54"/>
  <c r="AM421" i="54"/>
  <c r="AO397" i="54"/>
  <c r="AM390" i="54"/>
  <c r="AM384" i="54"/>
  <c r="AM379" i="54"/>
  <c r="AM427" i="54"/>
  <c r="AM397" i="54"/>
  <c r="Z397" i="54"/>
  <c r="AO414" i="54"/>
  <c r="AA484" i="54"/>
  <c r="Z368" i="54"/>
  <c r="T374" i="54"/>
  <c r="Q429" i="54"/>
  <c r="AM410" i="54"/>
  <c r="AM418" i="54"/>
  <c r="AM419" i="54"/>
  <c r="X462" i="54"/>
  <c r="AA464" i="54"/>
  <c r="Y466" i="54"/>
  <c r="Y367" i="54"/>
  <c r="Y374" i="54"/>
  <c r="Z377" i="54"/>
  <c r="AA408" i="54"/>
  <c r="AO409" i="54"/>
  <c r="X421" i="54"/>
  <c r="Y460" i="54"/>
  <c r="Y461" i="54"/>
  <c r="AA470" i="54"/>
  <c r="X471" i="54"/>
  <c r="X371" i="54"/>
  <c r="Y371" i="54"/>
  <c r="X382" i="54"/>
  <c r="X384" i="54"/>
  <c r="Y401" i="54"/>
  <c r="AA411" i="54"/>
  <c r="X412" i="54"/>
  <c r="AA413" i="54"/>
  <c r="X430" i="54"/>
  <c r="AA400" i="54"/>
  <c r="Z401" i="54"/>
  <c r="Y397" i="54"/>
  <c r="Y368" i="54"/>
  <c r="AM385" i="54"/>
  <c r="AM406" i="54"/>
  <c r="AO383" i="54"/>
  <c r="AO384" i="54"/>
  <c r="X390" i="54"/>
  <c r="X393" i="54"/>
  <c r="X395" i="54"/>
  <c r="AA397" i="54"/>
  <c r="AO424" i="54"/>
  <c r="Y390" i="54"/>
  <c r="Y393" i="54"/>
  <c r="X452" i="54"/>
  <c r="X440" i="54"/>
  <c r="Z367" i="54"/>
  <c r="Y373" i="54"/>
  <c r="Z374" i="54"/>
  <c r="AL429" i="54"/>
  <c r="AM376" i="54"/>
  <c r="AA377" i="54"/>
  <c r="AO393" i="54"/>
  <c r="AM396" i="54"/>
  <c r="AO399" i="54"/>
  <c r="X415" i="54"/>
  <c r="Y421" i="54"/>
  <c r="Z422" i="54"/>
  <c r="Y439" i="54"/>
  <c r="Y447" i="54"/>
  <c r="AA458" i="54"/>
  <c r="Y471" i="54"/>
  <c r="AO412" i="54"/>
  <c r="AF437" i="54"/>
  <c r="AF495" i="54" s="1"/>
  <c r="D365" i="54"/>
  <c r="D369" i="54"/>
  <c r="AS483" i="54"/>
  <c r="AS467" i="54"/>
  <c r="AS480" i="54"/>
  <c r="AS464" i="54"/>
  <c r="AS432" i="54"/>
  <c r="AS477" i="54"/>
  <c r="AS459" i="54"/>
  <c r="AS493" i="54"/>
  <c r="AS492" i="54"/>
  <c r="AS490" i="54"/>
  <c r="AS487" i="54"/>
  <c r="AS471" i="54"/>
  <c r="AS452" i="54"/>
  <c r="AS450" i="54"/>
  <c r="AS448" i="54"/>
  <c r="AS446" i="54"/>
  <c r="AS444" i="54"/>
  <c r="AS442" i="54"/>
  <c r="AS440" i="54"/>
  <c r="AS438" i="54"/>
  <c r="AS485" i="54"/>
  <c r="AS469" i="54"/>
  <c r="AS479" i="54"/>
  <c r="AS431" i="54"/>
  <c r="AS422" i="54"/>
  <c r="AS419" i="54"/>
  <c r="AS403" i="54"/>
  <c r="AS461" i="54"/>
  <c r="AS436" i="54"/>
  <c r="AS414" i="54"/>
  <c r="AS488" i="54"/>
  <c r="AS439" i="54"/>
  <c r="AS424" i="54"/>
  <c r="AS484" i="54"/>
  <c r="AS463" i="54"/>
  <c r="AS385" i="54"/>
  <c r="AS481" i="54"/>
  <c r="AS474" i="54"/>
  <c r="AS449" i="54"/>
  <c r="AS437" i="54"/>
  <c r="AS380" i="54"/>
  <c r="AS453" i="54"/>
  <c r="AS451" i="54"/>
  <c r="AS443" i="54"/>
  <c r="AS441" i="54"/>
  <c r="AS425" i="54"/>
  <c r="AS404" i="54"/>
  <c r="AS476" i="54"/>
  <c r="AS460" i="54"/>
  <c r="AS392" i="54"/>
  <c r="AS390" i="54"/>
  <c r="AS388" i="54"/>
  <c r="AS378" i="54"/>
  <c r="AS373" i="54"/>
  <c r="AS364" i="54"/>
  <c r="AS491" i="54"/>
  <c r="AS423" i="54"/>
  <c r="AS396" i="54"/>
  <c r="AS394" i="54"/>
  <c r="AS386" i="54"/>
  <c r="AS472" i="54"/>
  <c r="AS430" i="54"/>
  <c r="AS496" i="54"/>
  <c r="AS489" i="54"/>
  <c r="E394" i="54"/>
  <c r="E414" i="54"/>
  <c r="AS420" i="54"/>
  <c r="D422" i="54"/>
  <c r="AS429" i="54"/>
  <c r="D454" i="54"/>
  <c r="E460" i="54"/>
  <c r="AS473" i="54"/>
  <c r="E478" i="54"/>
  <c r="AV370" i="54"/>
  <c r="BA367" i="54"/>
  <c r="AO401" i="54"/>
  <c r="D486" i="54"/>
  <c r="D470" i="54"/>
  <c r="D430" i="54"/>
  <c r="D483" i="54"/>
  <c r="D467" i="54"/>
  <c r="D495" i="54"/>
  <c r="D492" i="54"/>
  <c r="D480" i="54"/>
  <c r="D464" i="54"/>
  <c r="D437" i="54"/>
  <c r="D490" i="54"/>
  <c r="D474" i="54"/>
  <c r="D456" i="54"/>
  <c r="D493" i="54"/>
  <c r="D491" i="54"/>
  <c r="D488" i="54"/>
  <c r="D472" i="54"/>
  <c r="D494" i="54"/>
  <c r="D471" i="54"/>
  <c r="D466" i="54"/>
  <c r="D404" i="54"/>
  <c r="D489" i="54"/>
  <c r="D458" i="54"/>
  <c r="D455" i="54"/>
  <c r="D447" i="54"/>
  <c r="D439" i="54"/>
  <c r="D423" i="54"/>
  <c r="D420" i="54"/>
  <c r="D415" i="54"/>
  <c r="D429" i="54"/>
  <c r="D421" i="54"/>
  <c r="D416" i="54"/>
  <c r="D462" i="54"/>
  <c r="D427" i="54"/>
  <c r="D396" i="54"/>
  <c r="D386" i="54"/>
  <c r="D381" i="54"/>
  <c r="D469" i="54"/>
  <c r="D461" i="54"/>
  <c r="D459" i="54"/>
  <c r="D441" i="54"/>
  <c r="D440" i="54"/>
  <c r="D425" i="54"/>
  <c r="D410" i="54"/>
  <c r="D367" i="54"/>
  <c r="D366" i="54"/>
  <c r="D484" i="54"/>
  <c r="D479" i="54"/>
  <c r="D452" i="54"/>
  <c r="D433" i="54"/>
  <c r="D428" i="54"/>
  <c r="D413" i="54"/>
  <c r="D409" i="54"/>
  <c r="D405" i="54"/>
  <c r="D393" i="54"/>
  <c r="D384" i="54"/>
  <c r="D379" i="54"/>
  <c r="D372" i="54"/>
  <c r="D475" i="54"/>
  <c r="D424" i="54"/>
  <c r="D417" i="54"/>
  <c r="D402" i="54"/>
  <c r="D395" i="54"/>
  <c r="D391" i="54"/>
  <c r="D389" i="54"/>
  <c r="D380" i="54"/>
  <c r="D388" i="54"/>
  <c r="AS412" i="54"/>
  <c r="AS413" i="54"/>
  <c r="E483" i="54"/>
  <c r="E467" i="54"/>
  <c r="E495" i="54"/>
  <c r="E492" i="54"/>
  <c r="E480" i="54"/>
  <c r="E464" i="54"/>
  <c r="E437" i="54"/>
  <c r="E425" i="54"/>
  <c r="E477" i="54"/>
  <c r="E459" i="54"/>
  <c r="E454" i="54"/>
  <c r="E452" i="54"/>
  <c r="E450" i="54"/>
  <c r="E448" i="54"/>
  <c r="E446" i="54"/>
  <c r="E444" i="54"/>
  <c r="E442" i="54"/>
  <c r="E440" i="54"/>
  <c r="E438" i="54"/>
  <c r="E490" i="54"/>
  <c r="E487" i="54"/>
  <c r="E471" i="54"/>
  <c r="E462" i="54"/>
  <c r="E485" i="54"/>
  <c r="E469" i="54"/>
  <c r="E453" i="54"/>
  <c r="E451" i="54"/>
  <c r="E449" i="54"/>
  <c r="E447" i="54"/>
  <c r="E445" i="54"/>
  <c r="E443" i="54"/>
  <c r="E441" i="54"/>
  <c r="E439" i="54"/>
  <c r="E489" i="54"/>
  <c r="E458" i="54"/>
  <c r="E455" i="54"/>
  <c r="E423" i="54"/>
  <c r="E420" i="54"/>
  <c r="E415" i="54"/>
  <c r="E476" i="54"/>
  <c r="E429" i="54"/>
  <c r="E410" i="54"/>
  <c r="E463" i="54"/>
  <c r="E430" i="54"/>
  <c r="E401" i="54"/>
  <c r="E381" i="54"/>
  <c r="E491" i="54"/>
  <c r="E470" i="54"/>
  <c r="E400" i="54"/>
  <c r="E392" i="54"/>
  <c r="E376" i="54"/>
  <c r="E364" i="54"/>
  <c r="E473" i="54"/>
  <c r="E421" i="54"/>
  <c r="E419" i="54"/>
  <c r="E417" i="54"/>
  <c r="E409" i="54"/>
  <c r="E397" i="54"/>
  <c r="E488" i="54"/>
  <c r="E484" i="54"/>
  <c r="E479" i="54"/>
  <c r="E433" i="54"/>
  <c r="E428" i="54"/>
  <c r="E413" i="54"/>
  <c r="E405" i="54"/>
  <c r="E393" i="54"/>
  <c r="E384" i="54"/>
  <c r="E379" i="54"/>
  <c r="E372" i="54"/>
  <c r="E475" i="54"/>
  <c r="E424" i="54"/>
  <c r="E402" i="54"/>
  <c r="E395" i="54"/>
  <c r="E391" i="54"/>
  <c r="E389" i="54"/>
  <c r="E465" i="54"/>
  <c r="E457" i="54"/>
  <c r="E387" i="54"/>
  <c r="E377" i="54"/>
  <c r="AS372" i="54"/>
  <c r="D375" i="54"/>
  <c r="AS379" i="54"/>
  <c r="E380" i="54"/>
  <c r="AS384" i="54"/>
  <c r="E388" i="54"/>
  <c r="AO398" i="54"/>
  <c r="AS400" i="54"/>
  <c r="AO423" i="54"/>
  <c r="AS455" i="54"/>
  <c r="E461" i="54"/>
  <c r="D465" i="54"/>
  <c r="AS475" i="54"/>
  <c r="E486" i="54"/>
  <c r="AT480" i="54"/>
  <c r="AT464" i="54"/>
  <c r="AT432" i="54"/>
  <c r="AT477" i="54"/>
  <c r="AT459" i="54"/>
  <c r="AT424" i="54"/>
  <c r="AT493" i="54"/>
  <c r="AT492" i="54"/>
  <c r="AT490" i="54"/>
  <c r="AT474" i="54"/>
  <c r="AT456" i="54"/>
  <c r="AT487" i="54"/>
  <c r="AT495" i="54"/>
  <c r="AT484" i="54"/>
  <c r="AT468" i="54"/>
  <c r="AT454" i="54"/>
  <c r="AT491" i="54"/>
  <c r="AT482" i="54"/>
  <c r="AT466" i="54"/>
  <c r="AT469" i="54"/>
  <c r="AT461" i="54"/>
  <c r="AT436" i="54"/>
  <c r="AT414" i="54"/>
  <c r="AT458" i="54"/>
  <c r="AT449" i="54"/>
  <c r="AT441" i="54"/>
  <c r="AT409" i="54"/>
  <c r="AT485" i="54"/>
  <c r="AT479" i="54"/>
  <c r="AT476" i="54"/>
  <c r="AT473" i="54"/>
  <c r="AT470" i="54"/>
  <c r="AT467" i="54"/>
  <c r="AT427" i="54"/>
  <c r="AT408" i="54"/>
  <c r="AT403" i="54"/>
  <c r="AT400" i="54"/>
  <c r="AT481" i="54"/>
  <c r="AT437" i="54"/>
  <c r="AT380" i="54"/>
  <c r="AT455" i="54"/>
  <c r="AT448" i="54"/>
  <c r="AT447" i="54"/>
  <c r="AT446" i="54"/>
  <c r="AT445" i="54"/>
  <c r="AT438" i="54"/>
  <c r="AT433" i="54"/>
  <c r="AT431" i="54"/>
  <c r="AT420" i="54"/>
  <c r="AT418" i="54"/>
  <c r="AT416" i="54"/>
  <c r="AT399" i="54"/>
  <c r="AT391" i="54"/>
  <c r="AT375" i="54"/>
  <c r="AT496" i="54"/>
  <c r="AT452" i="54"/>
  <c r="AT442" i="54"/>
  <c r="AT429" i="54"/>
  <c r="AT422" i="54"/>
  <c r="AT406" i="54"/>
  <c r="AT396" i="54"/>
  <c r="AO428" i="54"/>
  <c r="AT430" i="54"/>
  <c r="AT472" i="54"/>
  <c r="AT386" i="54"/>
  <c r="AT394" i="54"/>
  <c r="AO413" i="54"/>
  <c r="AT423" i="54"/>
  <c r="AO427" i="54"/>
  <c r="AU392" i="54"/>
  <c r="AU402" i="54"/>
  <c r="AU410" i="54"/>
  <c r="AU412" i="54"/>
  <c r="BH413" i="54"/>
  <c r="C493" i="54"/>
  <c r="R427" i="54"/>
  <c r="R420" i="54"/>
  <c r="R407" i="54"/>
  <c r="R418" i="54"/>
  <c r="R402" i="54"/>
  <c r="BH428" i="54"/>
  <c r="BH426" i="54"/>
  <c r="BH417" i="54"/>
  <c r="BH401" i="54"/>
  <c r="BH412" i="54"/>
  <c r="BH404" i="54"/>
  <c r="AU477" i="54"/>
  <c r="AU459" i="54"/>
  <c r="AU493" i="54"/>
  <c r="AU492" i="54"/>
  <c r="AU490" i="54"/>
  <c r="AU474" i="54"/>
  <c r="AU456" i="54"/>
  <c r="AU487" i="54"/>
  <c r="AU471" i="54"/>
  <c r="AU452" i="54"/>
  <c r="AU450" i="54"/>
  <c r="AU448" i="54"/>
  <c r="AU446" i="54"/>
  <c r="AU444" i="54"/>
  <c r="AU442" i="54"/>
  <c r="AU440" i="54"/>
  <c r="AU438" i="54"/>
  <c r="AU495" i="54"/>
  <c r="AU496" i="54"/>
  <c r="AU481" i="54"/>
  <c r="AU465" i="54"/>
  <c r="AU462" i="54"/>
  <c r="AU479" i="54"/>
  <c r="AU463" i="54"/>
  <c r="AU453" i="54"/>
  <c r="AU451" i="54"/>
  <c r="AU449" i="54"/>
  <c r="AU447" i="54"/>
  <c r="AU445" i="54"/>
  <c r="AU443" i="54"/>
  <c r="AU441" i="54"/>
  <c r="AU439" i="54"/>
  <c r="AU422" i="54"/>
  <c r="AU464" i="54"/>
  <c r="AU458" i="54"/>
  <c r="AU409" i="54"/>
  <c r="AU489" i="54"/>
  <c r="AU476" i="54"/>
  <c r="AU404" i="54"/>
  <c r="AU433" i="54"/>
  <c r="AU426" i="54"/>
  <c r="AU418" i="54"/>
  <c r="AU413" i="54"/>
  <c r="AU395" i="54"/>
  <c r="BH378" i="54"/>
  <c r="R384" i="54"/>
  <c r="AU386" i="54"/>
  <c r="BH394" i="54"/>
  <c r="R398" i="54"/>
  <c r="BH403" i="54"/>
  <c r="AU408" i="54"/>
  <c r="BH421" i="54"/>
  <c r="AU425" i="54"/>
  <c r="AU454" i="54"/>
  <c r="C458" i="54"/>
  <c r="C489" i="54"/>
  <c r="C473" i="54"/>
  <c r="C428" i="54"/>
  <c r="C486" i="54"/>
  <c r="C470" i="54"/>
  <c r="C430" i="54"/>
  <c r="C483" i="54"/>
  <c r="C467" i="54"/>
  <c r="C495" i="54"/>
  <c r="C492" i="54"/>
  <c r="C477" i="54"/>
  <c r="C459" i="54"/>
  <c r="C454" i="54"/>
  <c r="C452" i="54"/>
  <c r="C450" i="54"/>
  <c r="C448" i="54"/>
  <c r="C446" i="54"/>
  <c r="C444" i="54"/>
  <c r="C442" i="54"/>
  <c r="C440" i="54"/>
  <c r="C438" i="54"/>
  <c r="C475" i="54"/>
  <c r="C457" i="54"/>
  <c r="C427" i="54"/>
  <c r="C422" i="54"/>
  <c r="C479" i="54"/>
  <c r="C409" i="54"/>
  <c r="C494" i="54"/>
  <c r="C471" i="54"/>
  <c r="C466" i="54"/>
  <c r="C404" i="54"/>
  <c r="C482" i="54"/>
  <c r="C432" i="54"/>
  <c r="C411" i="54"/>
  <c r="C406" i="54"/>
  <c r="C372" i="54"/>
  <c r="AU375" i="54"/>
  <c r="BH383" i="54"/>
  <c r="R389" i="54"/>
  <c r="C391" i="54"/>
  <c r="AU391" i="54"/>
  <c r="AU399" i="54"/>
  <c r="C402" i="54"/>
  <c r="AU416" i="54"/>
  <c r="BH419" i="54"/>
  <c r="AU420" i="54"/>
  <c r="AU431" i="54"/>
  <c r="AU455" i="54"/>
  <c r="AU467" i="54"/>
  <c r="C481" i="54"/>
  <c r="C484" i="54"/>
  <c r="C487" i="54"/>
  <c r="T422" i="54"/>
  <c r="E133" i="106" l="1"/>
  <c r="D135" i="106" s="1" a="1"/>
  <c r="D135" i="106" s="1"/>
  <c r="F133" i="106"/>
  <c r="G59" i="100"/>
  <c r="E466" i="90"/>
  <c r="F465" i="90"/>
  <c r="J465" i="90"/>
  <c r="K465" i="90" s="1"/>
  <c r="J467" i="90"/>
  <c r="K467" i="90" s="1"/>
  <c r="F467" i="90"/>
  <c r="F468" i="90"/>
  <c r="J468" i="90" s="1"/>
  <c r="K468" i="90" s="1"/>
  <c r="E454" i="90"/>
  <c r="C458" i="90" s="1"/>
  <c r="J464" i="90"/>
  <c r="K464" i="90" s="1"/>
  <c r="F464" i="90"/>
  <c r="H109" i="87"/>
  <c r="J111" i="87" s="1"/>
  <c r="J109" i="87"/>
  <c r="T429" i="54"/>
  <c r="BJ429" i="54"/>
  <c r="AO429" i="54"/>
  <c r="O428" i="54"/>
  <c r="O424" i="54"/>
  <c r="P421" i="54"/>
  <c r="O411" i="54"/>
  <c r="P406" i="54"/>
  <c r="P424" i="54"/>
  <c r="O421" i="54"/>
  <c r="P417" i="54"/>
  <c r="O406" i="54"/>
  <c r="P427" i="54"/>
  <c r="P412" i="54"/>
  <c r="P407" i="54"/>
  <c r="O397" i="54"/>
  <c r="O426" i="54"/>
  <c r="P415" i="54"/>
  <c r="P413" i="54"/>
  <c r="O409" i="54"/>
  <c r="O407" i="54"/>
  <c r="P403" i="54"/>
  <c r="O393" i="54"/>
  <c r="P388" i="54"/>
  <c r="O377" i="54"/>
  <c r="O415" i="54"/>
  <c r="O413" i="54"/>
  <c r="P411" i="54"/>
  <c r="P405" i="54"/>
  <c r="O403" i="54"/>
  <c r="O388" i="54"/>
  <c r="P383" i="54"/>
  <c r="P374" i="54"/>
  <c r="O423" i="54"/>
  <c r="O401" i="54"/>
  <c r="P398" i="54"/>
  <c r="O394" i="54"/>
  <c r="P389" i="54"/>
  <c r="O420" i="54"/>
  <c r="P380" i="54"/>
  <c r="O375" i="54"/>
  <c r="O412" i="54"/>
  <c r="P408" i="54"/>
  <c r="P404" i="54"/>
  <c r="P385" i="54"/>
  <c r="O380" i="54"/>
  <c r="O408" i="54"/>
  <c r="O404" i="54"/>
  <c r="P401" i="54"/>
  <c r="O385" i="54"/>
  <c r="I369" i="54"/>
  <c r="K369" i="54" s="1" a="1"/>
  <c r="K369" i="54" s="1"/>
  <c r="O414" i="54"/>
  <c r="O402" i="54"/>
  <c r="O391" i="54"/>
  <c r="P382" i="54"/>
  <c r="O390" i="54"/>
  <c r="P397" i="54"/>
  <c r="O382" i="54"/>
  <c r="P387" i="54"/>
  <c r="P377" i="54"/>
  <c r="O400" i="54"/>
  <c r="P386" i="54"/>
  <c r="O387" i="54"/>
  <c r="P384" i="54"/>
  <c r="P379" i="54"/>
  <c r="P428" i="54"/>
  <c r="P420" i="54"/>
  <c r="P400" i="54"/>
  <c r="P390" i="54"/>
  <c r="O384" i="54"/>
  <c r="O379" i="54"/>
  <c r="P419" i="54"/>
  <c r="P418" i="54"/>
  <c r="P393" i="54"/>
  <c r="P410" i="54"/>
  <c r="P381" i="54"/>
  <c r="O389" i="54"/>
  <c r="O374" i="54"/>
  <c r="P416" i="54"/>
  <c r="P376" i="54"/>
  <c r="O376" i="54"/>
  <c r="O417" i="54"/>
  <c r="O405" i="54"/>
  <c r="O418" i="54"/>
  <c r="O410" i="54"/>
  <c r="P422" i="54"/>
  <c r="P426" i="54"/>
  <c r="O416" i="54"/>
  <c r="P409" i="54"/>
  <c r="O398" i="54"/>
  <c r="P423" i="54"/>
  <c r="P399" i="54"/>
  <c r="O395" i="54"/>
  <c r="O386" i="54"/>
  <c r="O383" i="54"/>
  <c r="P375" i="54"/>
  <c r="P394" i="54"/>
  <c r="O392" i="54"/>
  <c r="P391" i="54"/>
  <c r="O396" i="54"/>
  <c r="P378" i="54"/>
  <c r="P425" i="54"/>
  <c r="O419" i="54"/>
  <c r="P414" i="54"/>
  <c r="P402" i="54"/>
  <c r="O378" i="54"/>
  <c r="O425" i="54"/>
  <c r="O422" i="54"/>
  <c r="O381" i="54"/>
  <c r="P392" i="54"/>
  <c r="P395" i="54"/>
  <c r="O427" i="54"/>
  <c r="P396" i="54"/>
  <c r="O399" i="54"/>
  <c r="AJ426" i="54"/>
  <c r="AK424" i="54"/>
  <c r="AJ416" i="54"/>
  <c r="AK411" i="54"/>
  <c r="AK426" i="54"/>
  <c r="AK421" i="54"/>
  <c r="AJ411" i="54"/>
  <c r="AK406" i="54"/>
  <c r="AJ423" i="54"/>
  <c r="AJ409" i="54"/>
  <c r="AK404" i="54"/>
  <c r="AK397" i="54"/>
  <c r="AJ428" i="54"/>
  <c r="AJ419" i="54"/>
  <c r="AK417" i="54"/>
  <c r="AK393" i="54"/>
  <c r="AJ382" i="54"/>
  <c r="AK377" i="54"/>
  <c r="AJ417" i="54"/>
  <c r="AK403" i="54"/>
  <c r="AJ397" i="54"/>
  <c r="AJ393" i="54"/>
  <c r="AK388" i="54"/>
  <c r="AJ377" i="54"/>
  <c r="AJ427" i="54"/>
  <c r="AK415" i="54"/>
  <c r="AK413" i="54"/>
  <c r="AK409" i="54"/>
  <c r="AK407" i="54"/>
  <c r="AK405" i="54"/>
  <c r="AK394" i="54"/>
  <c r="AJ405" i="54"/>
  <c r="AK402" i="54"/>
  <c r="AK395" i="54"/>
  <c r="AJ391" i="54"/>
  <c r="AK389" i="54"/>
  <c r="AK387" i="54"/>
  <c r="AK382" i="54"/>
  <c r="AK427" i="54"/>
  <c r="AK425" i="54"/>
  <c r="AJ413" i="54"/>
  <c r="AK410" i="54"/>
  <c r="AJ402" i="54"/>
  <c r="AJ395" i="54"/>
  <c r="AJ389" i="54"/>
  <c r="AJ387" i="54"/>
  <c r="AJ425" i="54"/>
  <c r="AJ410" i="54"/>
  <c r="AK399" i="54"/>
  <c r="AK385" i="54"/>
  <c r="AK380" i="54"/>
  <c r="AK375" i="54"/>
  <c r="AK416" i="54"/>
  <c r="AJ388" i="54"/>
  <c r="AJ385" i="54"/>
  <c r="AJ380" i="54"/>
  <c r="AK422" i="54"/>
  <c r="AK412" i="54"/>
  <c r="AK423" i="54"/>
  <c r="AJ403" i="54"/>
  <c r="AK398" i="54"/>
  <c r="AJ424" i="54"/>
  <c r="AJ398" i="54"/>
  <c r="AK374" i="54"/>
  <c r="AJ422" i="54"/>
  <c r="AJ415" i="54"/>
  <c r="AK401" i="54"/>
  <c r="AJ394" i="54"/>
  <c r="AK391" i="54"/>
  <c r="AJ374" i="54"/>
  <c r="AK414" i="54"/>
  <c r="AJ401" i="54"/>
  <c r="AJ414" i="54"/>
  <c r="AK392" i="54"/>
  <c r="AJ390" i="54"/>
  <c r="AJ400" i="54"/>
  <c r="AK386" i="54"/>
  <c r="AJ383" i="54"/>
  <c r="AK419" i="54"/>
  <c r="AK420" i="54"/>
  <c r="AJ418" i="54"/>
  <c r="AJ406" i="54"/>
  <c r="AK428" i="54"/>
  <c r="AJ404" i="54"/>
  <c r="AK390" i="54"/>
  <c r="AJ381" i="54"/>
  <c r="AJ392" i="54"/>
  <c r="AJ375" i="54"/>
  <c r="AJ376" i="54"/>
  <c r="AJ412" i="54"/>
  <c r="AK383" i="54"/>
  <c r="AK379" i="54"/>
  <c r="AJ420" i="54"/>
  <c r="AD369" i="54"/>
  <c r="AF369" i="54" s="1" a="1"/>
  <c r="AF369" i="54" s="1"/>
  <c r="AJ421" i="54"/>
  <c r="AJ396" i="54"/>
  <c r="AK400" i="54"/>
  <c r="AJ399" i="54"/>
  <c r="AK384" i="54"/>
  <c r="AJ378" i="54"/>
  <c r="AJ379" i="54"/>
  <c r="AK396" i="54"/>
  <c r="AK376" i="54"/>
  <c r="AJ386" i="54"/>
  <c r="AJ384" i="54"/>
  <c r="AK418" i="54"/>
  <c r="AK378" i="54"/>
  <c r="AK408" i="54"/>
  <c r="AJ407" i="54"/>
  <c r="AJ408" i="54"/>
  <c r="AK381" i="54"/>
  <c r="BF426" i="54"/>
  <c r="BE423" i="54"/>
  <c r="BF416" i="54"/>
  <c r="BE405" i="54"/>
  <c r="BE416" i="54"/>
  <c r="BF411" i="54"/>
  <c r="BE421" i="54"/>
  <c r="BF419" i="54"/>
  <c r="BF400" i="54"/>
  <c r="BE387" i="54"/>
  <c r="BF382" i="54"/>
  <c r="BF424" i="54"/>
  <c r="BE400" i="54"/>
  <c r="BF393" i="54"/>
  <c r="BE382" i="54"/>
  <c r="BF377" i="54"/>
  <c r="BF417" i="54"/>
  <c r="BE397" i="54"/>
  <c r="BE388" i="54"/>
  <c r="BE415" i="54"/>
  <c r="BE384" i="54"/>
  <c r="BE379" i="54"/>
  <c r="BF421" i="54"/>
  <c r="BF418" i="54"/>
  <c r="BE418" i="54"/>
  <c r="BF414" i="54"/>
  <c r="BF406" i="54"/>
  <c r="BF395" i="54"/>
  <c r="BE393" i="54"/>
  <c r="BF391" i="54"/>
  <c r="BF389" i="54"/>
  <c r="BF428" i="54"/>
  <c r="BF410" i="54"/>
  <c r="BF399" i="54"/>
  <c r="BE386" i="54"/>
  <c r="BE378" i="54"/>
  <c r="BF409" i="54"/>
  <c r="BE408" i="54"/>
  <c r="BF407" i="54"/>
  <c r="BF396" i="54"/>
  <c r="BE392" i="54"/>
  <c r="BF404" i="54"/>
  <c r="BF403" i="54"/>
  <c r="BE395" i="54"/>
  <c r="BE428" i="54"/>
  <c r="BE410" i="54"/>
  <c r="BF408" i="54"/>
  <c r="BE399" i="54"/>
  <c r="BF392" i="54"/>
  <c r="BE389" i="54"/>
  <c r="BE417" i="54"/>
  <c r="BE404" i="54"/>
  <c r="BE403" i="54"/>
  <c r="BE409" i="54"/>
  <c r="BE407" i="54"/>
  <c r="BE406" i="54"/>
  <c r="BF405" i="54"/>
  <c r="BE396" i="54"/>
  <c r="BF388" i="54"/>
  <c r="BF385" i="54"/>
  <c r="BE385" i="54"/>
  <c r="BF380" i="54"/>
  <c r="BF375" i="54"/>
  <c r="AY369" i="54"/>
  <c r="BA369" i="54" s="1" a="1"/>
  <c r="BA369" i="54" s="1"/>
  <c r="BE380" i="54"/>
  <c r="BE375" i="54"/>
  <c r="BF398" i="54"/>
  <c r="BE402" i="54"/>
  <c r="BF381" i="54"/>
  <c r="BF379" i="54"/>
  <c r="BF425" i="54"/>
  <c r="BE374" i="54"/>
  <c r="BF394" i="54"/>
  <c r="BF397" i="54"/>
  <c r="BE398" i="54"/>
  <c r="BE383" i="54"/>
  <c r="BF427" i="54"/>
  <c r="BE419" i="54"/>
  <c r="BF413" i="54"/>
  <c r="BE424" i="54"/>
  <c r="BF402" i="54"/>
  <c r="BE414" i="54"/>
  <c r="BE381" i="54"/>
  <c r="BE426" i="54"/>
  <c r="BE422" i="54"/>
  <c r="BE394" i="54"/>
  <c r="BE391" i="54"/>
  <c r="BF412" i="54"/>
  <c r="BF384" i="54"/>
  <c r="BE427" i="54"/>
  <c r="BE413" i="54"/>
  <c r="BF420" i="54"/>
  <c r="BE377" i="54"/>
  <c r="BF390" i="54"/>
  <c r="BE425" i="54"/>
  <c r="BF422" i="54"/>
  <c r="BE390" i="54"/>
  <c r="BF401" i="54"/>
  <c r="BF383" i="54"/>
  <c r="BE401" i="54"/>
  <c r="BE412" i="54"/>
  <c r="BE411" i="54"/>
  <c r="BF387" i="54"/>
  <c r="BF386" i="54"/>
  <c r="BF378" i="54"/>
  <c r="BE420" i="54"/>
  <c r="BF374" i="54"/>
  <c r="BF415" i="54"/>
  <c r="BF376" i="54"/>
  <c r="BE376" i="54"/>
  <c r="BF423" i="54"/>
  <c r="AV493" i="54"/>
  <c r="AV492" i="54"/>
  <c r="AV490" i="54"/>
  <c r="AV474" i="54"/>
  <c r="AV456" i="54"/>
  <c r="AV487" i="54"/>
  <c r="AV471" i="54"/>
  <c r="AV452" i="54"/>
  <c r="AV450" i="54"/>
  <c r="AV448" i="54"/>
  <c r="AV446" i="54"/>
  <c r="AV444" i="54"/>
  <c r="AV442" i="54"/>
  <c r="AV440" i="54"/>
  <c r="AV438" i="54"/>
  <c r="AV428" i="54"/>
  <c r="AV495" i="54"/>
  <c r="AV484" i="54"/>
  <c r="AV468" i="54"/>
  <c r="AV454" i="54"/>
  <c r="AV433" i="54"/>
  <c r="AV496" i="54"/>
  <c r="AV494" i="54"/>
  <c r="AV478" i="54"/>
  <c r="AV460" i="54"/>
  <c r="AV436" i="54"/>
  <c r="AV476" i="54"/>
  <c r="AV458" i="54"/>
  <c r="AV431" i="54"/>
  <c r="AV489" i="54"/>
  <c r="AV449" i="54"/>
  <c r="AV441" i="54"/>
  <c r="AV404" i="54"/>
  <c r="AV486" i="54"/>
  <c r="AV481" i="54"/>
  <c r="AV466" i="54"/>
  <c r="AV425" i="54"/>
  <c r="AV415" i="54"/>
  <c r="AV482" i="54"/>
  <c r="AV463" i="54"/>
  <c r="AV447" i="54"/>
  <c r="AV445" i="54"/>
  <c r="AV418" i="54"/>
  <c r="AV408" i="54"/>
  <c r="AV386" i="54"/>
  <c r="AV459" i="54"/>
  <c r="AV453" i="54"/>
  <c r="AV451" i="54"/>
  <c r="AV443" i="54"/>
  <c r="AV439" i="54"/>
  <c r="AV429" i="54"/>
  <c r="AV414" i="54"/>
  <c r="AV406" i="54"/>
  <c r="AV396" i="54"/>
  <c r="AV381" i="54"/>
  <c r="AV371" i="54"/>
  <c r="AV462" i="54"/>
  <c r="AV387" i="54"/>
  <c r="AV480" i="54"/>
  <c r="AV376" i="54"/>
  <c r="AV374" i="54"/>
  <c r="AV403" i="54"/>
  <c r="AV400" i="54"/>
  <c r="AV398" i="54"/>
  <c r="AV488" i="54"/>
  <c r="AV479" i="54"/>
  <c r="AV422" i="54"/>
  <c r="AV411" i="54"/>
  <c r="AV407" i="54"/>
  <c r="AV365" i="54"/>
  <c r="AV475" i="54"/>
  <c r="AV427" i="54"/>
  <c r="AV367" i="54"/>
  <c r="AV392" i="54"/>
  <c r="AV368" i="54"/>
  <c r="AV461" i="54"/>
  <c r="AV473" i="54"/>
  <c r="AV419" i="54"/>
  <c r="AV420" i="54"/>
  <c r="AV383" i="54"/>
  <c r="AV409" i="54"/>
  <c r="AV405" i="54"/>
  <c r="AV388" i="54"/>
  <c r="AV464" i="54"/>
  <c r="AV472" i="54"/>
  <c r="AV465" i="54"/>
  <c r="AV378" i="54"/>
  <c r="AV410" i="54"/>
  <c r="AV399" i="54"/>
  <c r="AV389" i="54"/>
  <c r="AV485" i="54"/>
  <c r="AV417" i="54"/>
  <c r="AV369" i="54"/>
  <c r="AV373" i="54"/>
  <c r="AV364" i="54"/>
  <c r="AV412" i="54"/>
  <c r="AV385" i="54"/>
  <c r="AV384" i="54"/>
  <c r="AV382" i="54"/>
  <c r="AV390" i="54"/>
  <c r="AV366" i="54"/>
  <c r="AV426" i="54"/>
  <c r="AV457" i="54"/>
  <c r="AV455" i="54"/>
  <c r="AV467" i="54"/>
  <c r="AV432" i="54"/>
  <c r="AV401" i="54"/>
  <c r="AV483" i="54"/>
  <c r="AV377" i="54"/>
  <c r="AV393" i="54"/>
  <c r="AV469" i="54"/>
  <c r="AV397" i="54"/>
  <c r="AV424" i="54"/>
  <c r="AV413" i="54"/>
  <c r="AV372" i="54"/>
  <c r="AV380" i="54"/>
  <c r="AV375" i="54"/>
  <c r="AV470" i="54"/>
  <c r="AV491" i="54"/>
  <c r="AV437" i="54"/>
  <c r="AV421" i="54"/>
  <c r="AV402" i="54"/>
  <c r="AV379" i="54"/>
  <c r="AV430" i="54"/>
  <c r="AV477" i="54"/>
  <c r="AV416" i="54"/>
  <c r="AV394" i="54"/>
  <c r="AV391" i="54"/>
  <c r="AV395" i="54"/>
  <c r="AV423" i="54"/>
  <c r="F135" i="106" l="1"/>
  <c r="E135" i="106"/>
  <c r="D137" i="106" s="1" a="1"/>
  <c r="D137" i="106" s="1"/>
  <c r="H59" i="100"/>
  <c r="F59" i="100"/>
  <c r="C460" i="90"/>
  <c r="H458" i="90"/>
  <c r="B460" i="90"/>
  <c r="G458" i="90"/>
  <c r="B458" i="90"/>
  <c r="F466" i="90"/>
  <c r="H454" i="90" s="1"/>
  <c r="J466" i="90"/>
  <c r="K466" i="90" s="1"/>
  <c r="J463" i="90" s="1"/>
  <c r="K452" i="90" s="1"/>
  <c r="I452" i="90" s="1"/>
  <c r="G109" i="87"/>
  <c r="Y2" i="74"/>
  <c r="X2" i="74"/>
  <c r="W2" i="74"/>
  <c r="V2" i="74"/>
  <c r="U2" i="74"/>
  <c r="T2" i="74"/>
  <c r="S2" i="74"/>
  <c r="Y1" i="74"/>
  <c r="X1" i="74"/>
  <c r="W1" i="74"/>
  <c r="V1" i="74"/>
  <c r="U1" i="74"/>
  <c r="T1" i="74"/>
  <c r="S1" i="74"/>
  <c r="Q2" i="74"/>
  <c r="P2" i="74"/>
  <c r="O2" i="74"/>
  <c r="N2" i="74"/>
  <c r="M2" i="74"/>
  <c r="L2" i="74"/>
  <c r="K2" i="74"/>
  <c r="Q1" i="74"/>
  <c r="P1" i="74"/>
  <c r="O1" i="74"/>
  <c r="N1" i="74"/>
  <c r="M1" i="74"/>
  <c r="L1" i="74"/>
  <c r="K1" i="74"/>
  <c r="I429" i="74"/>
  <c r="H429" i="74"/>
  <c r="G429" i="74"/>
  <c r="F429" i="74"/>
  <c r="E429" i="74"/>
  <c r="D429" i="74"/>
  <c r="C429" i="74"/>
  <c r="C419" i="74"/>
  <c r="C417" i="74"/>
  <c r="D411" i="74"/>
  <c r="D410" i="74"/>
  <c r="D409" i="74"/>
  <c r="D382" i="74"/>
  <c r="C359" i="74" a="1"/>
  <c r="C359" i="74" s="1"/>
  <c r="C355" i="74"/>
  <c r="C354" i="74"/>
  <c r="C353" i="74"/>
  <c r="C352" i="74"/>
  <c r="C351" i="74"/>
  <c r="C350" i="74"/>
  <c r="C349" i="74"/>
  <c r="C348" i="74"/>
  <c r="C347" i="74"/>
  <c r="C346" i="74"/>
  <c r="C345" i="74"/>
  <c r="C344" i="74"/>
  <c r="C343" i="74"/>
  <c r="C342" i="74"/>
  <c r="C341" i="74"/>
  <c r="C340" i="74"/>
  <c r="C339" i="74"/>
  <c r="C338" i="74"/>
  <c r="C337" i="74"/>
  <c r="C336" i="74"/>
  <c r="C335" i="74"/>
  <c r="C334" i="74"/>
  <c r="C333" i="74"/>
  <c r="C332" i="74"/>
  <c r="C331" i="74"/>
  <c r="C330" i="74"/>
  <c r="C329" i="74"/>
  <c r="E312" i="74"/>
  <c r="G311" i="74"/>
  <c r="D313" i="74" s="1"/>
  <c r="E308" i="74"/>
  <c r="E307" i="74"/>
  <c r="G304" i="74"/>
  <c r="D309" i="74" s="1"/>
  <c r="G302" i="74"/>
  <c r="E58" i="74"/>
  <c r="I2" i="74"/>
  <c r="H2" i="74"/>
  <c r="G2" i="74"/>
  <c r="F2" i="74"/>
  <c r="E2" i="74"/>
  <c r="D2" i="74"/>
  <c r="C2" i="74"/>
  <c r="I1" i="74"/>
  <c r="H1" i="74"/>
  <c r="G1" i="74"/>
  <c r="F1" i="74"/>
  <c r="E1" i="74"/>
  <c r="D1" i="74"/>
  <c r="C1" i="74"/>
  <c r="E409" i="74"/>
  <c r="E411" i="74"/>
  <c r="E410" i="74"/>
  <c r="E359" i="74"/>
  <c r="F137" i="106" l="1"/>
  <c r="E137" i="106"/>
  <c r="D139" i="106" s="1" a="1"/>
  <c r="D139" i="106" s="1"/>
  <c r="E59" i="100"/>
  <c r="D60" i="100" s="1" a="1"/>
  <c r="D60" i="100" s="1"/>
  <c r="K460" i="90"/>
  <c r="F458" i="90"/>
  <c r="I460" i="90"/>
  <c r="D460" i="90"/>
  <c r="J110" i="87"/>
  <c r="BE3" i="87"/>
  <c r="BE5" i="87"/>
  <c r="BE4" i="87"/>
  <c r="CD7" i="60"/>
  <c r="CD8" i="60"/>
  <c r="CD9" i="60"/>
  <c r="CD10" i="60"/>
  <c r="CD11" i="60"/>
  <c r="CD12" i="60"/>
  <c r="CD13" i="60"/>
  <c r="CD14" i="60"/>
  <c r="CD15" i="60"/>
  <c r="CD16" i="60"/>
  <c r="CD17" i="60"/>
  <c r="CD18" i="60"/>
  <c r="CD19" i="60"/>
  <c r="CD20" i="60"/>
  <c r="CD21" i="60"/>
  <c r="CD22" i="60"/>
  <c r="AW2" i="74"/>
  <c r="AV2" i="74"/>
  <c r="AU2" i="74"/>
  <c r="AT2" i="74"/>
  <c r="AS2" i="74"/>
  <c r="AR2" i="74"/>
  <c r="AQ2" i="74"/>
  <c r="AW1" i="74"/>
  <c r="AV1" i="74"/>
  <c r="AU1" i="74"/>
  <c r="AT1" i="74"/>
  <c r="AS1" i="74"/>
  <c r="AR1" i="74"/>
  <c r="AQ1" i="74"/>
  <c r="AO2" i="74"/>
  <c r="AN2" i="74"/>
  <c r="AM2" i="74"/>
  <c r="AL2" i="74"/>
  <c r="AK2" i="74"/>
  <c r="AJ2" i="74"/>
  <c r="AI2" i="74"/>
  <c r="AO1" i="74"/>
  <c r="AN1" i="74"/>
  <c r="AM1" i="74"/>
  <c r="AL1" i="74"/>
  <c r="AK1" i="74"/>
  <c r="AJ1" i="74"/>
  <c r="AI1" i="74"/>
  <c r="AG2" i="74"/>
  <c r="AF2" i="74"/>
  <c r="AE2" i="74"/>
  <c r="AD2" i="74"/>
  <c r="AC2" i="74"/>
  <c r="AB2" i="74"/>
  <c r="AA2" i="74"/>
  <c r="AG1" i="74"/>
  <c r="AF1" i="74"/>
  <c r="AE1" i="74"/>
  <c r="AD1" i="74"/>
  <c r="AC1" i="74"/>
  <c r="AB1" i="74"/>
  <c r="AA1" i="74"/>
  <c r="E139" i="106" l="1"/>
  <c r="D141" i="106" s="1" a="1"/>
  <c r="D141" i="106" s="1"/>
  <c r="F139" i="106"/>
  <c r="G60" i="100"/>
  <c r="G460" i="90"/>
  <c r="F460" i="90"/>
  <c r="J460" i="90" s="1"/>
  <c r="J458" i="90"/>
  <c r="D458" i="90"/>
  <c r="E141" i="106" l="1"/>
  <c r="D143" i="106" s="1" a="1"/>
  <c r="D143" i="106" s="1"/>
  <c r="F141" i="106"/>
  <c r="H60" i="100"/>
  <c r="F60" i="100"/>
  <c r="L47" i="100" s="1" a="1"/>
  <c r="L47" i="100" s="1"/>
  <c r="E143" i="106" l="1"/>
  <c r="D145" i="106" s="1" a="1"/>
  <c r="D145" i="106" s="1"/>
  <c r="F143" i="106"/>
  <c r="E60" i="100"/>
  <c r="E145" i="106" l="1"/>
  <c r="D147" i="106" s="1" a="1"/>
  <c r="D147" i="106" s="1"/>
  <c r="F145" i="106"/>
  <c r="J52" i="100"/>
  <c r="I52" i="100"/>
  <c r="J49" i="100"/>
  <c r="I49" i="100"/>
  <c r="J50" i="100"/>
  <c r="I50" i="100"/>
  <c r="J48" i="100"/>
  <c r="J51" i="100"/>
  <c r="I48" i="100"/>
  <c r="J53" i="100"/>
  <c r="I51" i="100"/>
  <c r="I53" i="100"/>
  <c r="E147" i="106" l="1"/>
  <c r="D149" i="106" s="1" a="1"/>
  <c r="D149" i="106" s="1"/>
  <c r="F147" i="106"/>
  <c r="I47" i="100"/>
  <c r="K47" i="100"/>
  <c r="J47" i="100"/>
  <c r="F149" i="106" l="1"/>
  <c r="E149" i="106"/>
  <c r="D151" i="106" s="1" a="1"/>
  <c r="D151" i="106" s="1"/>
  <c r="K48" i="100"/>
  <c r="F151" i="106" l="1"/>
  <c r="E151" i="106"/>
  <c r="D153" i="106" s="1" a="1"/>
  <c r="D153" i="106" s="1"/>
  <c r="K49" i="100"/>
  <c r="K50" i="100"/>
  <c r="E153" i="106" l="1"/>
  <c r="D155" i="106" s="1" a="1"/>
  <c r="D155" i="106" s="1"/>
  <c r="F153" i="106"/>
  <c r="K51" i="100"/>
  <c r="K52" i="100"/>
  <c r="AW78" i="74"/>
  <c r="AV78" i="74"/>
  <c r="AU78" i="74"/>
  <c r="AT78" i="74"/>
  <c r="AS78" i="74"/>
  <c r="AR78" i="74"/>
  <c r="AQ78" i="74"/>
  <c r="AO77" i="74"/>
  <c r="AN77" i="74"/>
  <c r="AM77" i="74"/>
  <c r="AL77" i="74"/>
  <c r="AK77" i="74"/>
  <c r="AJ77" i="74"/>
  <c r="AI77" i="74"/>
  <c r="AG77" i="74"/>
  <c r="AF77" i="74"/>
  <c r="AE77" i="74"/>
  <c r="AD77" i="74"/>
  <c r="AC77" i="74"/>
  <c r="AB77" i="74"/>
  <c r="AA77" i="74"/>
  <c r="AW4" i="74"/>
  <c r="DG78" i="60"/>
  <c r="DF78" i="60"/>
  <c r="DE78" i="60"/>
  <c r="DD78" i="60"/>
  <c r="DC78" i="60"/>
  <c r="DB78" i="60"/>
  <c r="DA78" i="60"/>
  <c r="CY78" i="60"/>
  <c r="CX78" i="60"/>
  <c r="CW78" i="60"/>
  <c r="CV78" i="60"/>
  <c r="CU78" i="60"/>
  <c r="CT78" i="60"/>
  <c r="CS78" i="60"/>
  <c r="CQ78" i="60"/>
  <c r="CP78" i="60"/>
  <c r="CO78" i="60"/>
  <c r="CN78" i="60"/>
  <c r="CM78" i="60"/>
  <c r="CL78" i="60"/>
  <c r="CK78" i="60"/>
  <c r="DG4" i="60"/>
  <c r="DG2" i="60"/>
  <c r="DF2" i="60"/>
  <c r="DE2" i="60"/>
  <c r="DD2" i="60"/>
  <c r="DC2" i="60"/>
  <c r="DB2" i="60"/>
  <c r="DA2" i="60"/>
  <c r="CY2" i="60"/>
  <c r="CX2" i="60"/>
  <c r="CW2" i="60"/>
  <c r="CV2" i="60"/>
  <c r="CU2" i="60"/>
  <c r="CT2" i="60"/>
  <c r="CS2" i="60"/>
  <c r="CQ2" i="60"/>
  <c r="CP2" i="60"/>
  <c r="CO2" i="60"/>
  <c r="CN2" i="60"/>
  <c r="CM2" i="60"/>
  <c r="CL2" i="60"/>
  <c r="CK2" i="60"/>
  <c r="DG1" i="60"/>
  <c r="DF1" i="60"/>
  <c r="DE1" i="60"/>
  <c r="DD1" i="60"/>
  <c r="DC1" i="60"/>
  <c r="DB1" i="60"/>
  <c r="DA1" i="60"/>
  <c r="CY1" i="60"/>
  <c r="CX1" i="60"/>
  <c r="CW1" i="60"/>
  <c r="CV1" i="60"/>
  <c r="CU1" i="60"/>
  <c r="CT1" i="60"/>
  <c r="CS1" i="60"/>
  <c r="CQ1" i="60"/>
  <c r="CP1" i="60"/>
  <c r="CO1" i="60"/>
  <c r="CN1" i="60"/>
  <c r="CM1" i="60"/>
  <c r="CL1" i="60"/>
  <c r="CK1" i="60"/>
  <c r="A1" i="74"/>
  <c r="S10" i="60"/>
  <c r="AJ8" i="60" a="1"/>
  <c r="AJ8" i="60" s="1"/>
  <c r="BI65" i="54"/>
  <c r="AN65" i="54"/>
  <c r="AN120" i="54"/>
  <c r="BI120" i="54"/>
  <c r="BI180" i="54"/>
  <c r="AN180" i="54"/>
  <c r="AN265" i="54"/>
  <c r="BI265" i="54"/>
  <c r="BI360" i="54"/>
  <c r="AN360" i="54"/>
  <c r="C550" i="60"/>
  <c r="C549" i="60"/>
  <c r="C548" i="60"/>
  <c r="C547" i="60"/>
  <c r="C546" i="60"/>
  <c r="C545" i="60"/>
  <c r="C544" i="60"/>
  <c r="C543" i="60"/>
  <c r="C542" i="60"/>
  <c r="C541" i="60"/>
  <c r="C540" i="60"/>
  <c r="C539" i="60"/>
  <c r="C538" i="60"/>
  <c r="C537" i="60"/>
  <c r="C536" i="60"/>
  <c r="C535" i="60"/>
  <c r="C534" i="60"/>
  <c r="C533" i="60"/>
  <c r="C532" i="60"/>
  <c r="C531" i="60"/>
  <c r="C530" i="60"/>
  <c r="C529" i="60"/>
  <c r="C528" i="60"/>
  <c r="C527" i="60"/>
  <c r="C526" i="60"/>
  <c r="C525" i="60"/>
  <c r="C524" i="60"/>
  <c r="C523" i="60"/>
  <c r="C522" i="60"/>
  <c r="C521" i="60"/>
  <c r="C520" i="60"/>
  <c r="C519" i="60"/>
  <c r="C518" i="60"/>
  <c r="C517" i="60"/>
  <c r="C516" i="60"/>
  <c r="C515" i="60"/>
  <c r="C514" i="60"/>
  <c r="C513" i="60"/>
  <c r="C512" i="60"/>
  <c r="C511" i="60"/>
  <c r="C510" i="60"/>
  <c r="C509" i="60"/>
  <c r="C508" i="60"/>
  <c r="C507" i="60"/>
  <c r="C506" i="60"/>
  <c r="C505" i="60"/>
  <c r="C504" i="60"/>
  <c r="C503" i="60"/>
  <c r="C502" i="60"/>
  <c r="C501" i="60"/>
  <c r="C500" i="60"/>
  <c r="C499" i="60"/>
  <c r="C498" i="60"/>
  <c r="C497" i="60"/>
  <c r="C496" i="60"/>
  <c r="C495" i="60"/>
  <c r="C494" i="60"/>
  <c r="C493" i="60"/>
  <c r="C492" i="60"/>
  <c r="C491" i="60"/>
  <c r="C490" i="60"/>
  <c r="C489" i="60"/>
  <c r="C488" i="60"/>
  <c r="C487" i="60"/>
  <c r="C486" i="60"/>
  <c r="C485" i="60"/>
  <c r="C484" i="60"/>
  <c r="C483" i="60"/>
  <c r="C482" i="60"/>
  <c r="C481" i="60"/>
  <c r="C480" i="60"/>
  <c r="C479" i="60"/>
  <c r="C478" i="60"/>
  <c r="C477" i="60"/>
  <c r="C476" i="60"/>
  <c r="C475" i="60"/>
  <c r="C474" i="60"/>
  <c r="C473" i="60"/>
  <c r="C472" i="60"/>
  <c r="C471" i="60"/>
  <c r="C470" i="60"/>
  <c r="C469" i="60"/>
  <c r="C468" i="60"/>
  <c r="C467" i="60"/>
  <c r="C466" i="60"/>
  <c r="C465" i="60"/>
  <c r="C464" i="60"/>
  <c r="C463" i="60"/>
  <c r="C462" i="60"/>
  <c r="C461" i="60"/>
  <c r="C460" i="60"/>
  <c r="C459" i="60"/>
  <c r="C458" i="60"/>
  <c r="C457" i="60"/>
  <c r="C456" i="60"/>
  <c r="C455" i="60"/>
  <c r="C454" i="60"/>
  <c r="C453" i="60"/>
  <c r="C452" i="60"/>
  <c r="C451" i="60"/>
  <c r="C450" i="60"/>
  <c r="C449" i="60"/>
  <c r="C448" i="60"/>
  <c r="C447" i="60"/>
  <c r="C446" i="60"/>
  <c r="C445" i="60"/>
  <c r="C444" i="60"/>
  <c r="C443" i="60"/>
  <c r="C442" i="60"/>
  <c r="C441" i="60"/>
  <c r="C440" i="60"/>
  <c r="C439" i="60"/>
  <c r="C438" i="60"/>
  <c r="C437" i="60"/>
  <c r="C436" i="60"/>
  <c r="C435" i="60"/>
  <c r="C434" i="60"/>
  <c r="C433" i="60"/>
  <c r="C432" i="60"/>
  <c r="C431" i="60"/>
  <c r="C430" i="60"/>
  <c r="C429" i="60"/>
  <c r="C428" i="60"/>
  <c r="C427" i="60"/>
  <c r="C426" i="60"/>
  <c r="C425" i="60"/>
  <c r="C424" i="60"/>
  <c r="C423" i="60"/>
  <c r="C422" i="60"/>
  <c r="C421" i="60"/>
  <c r="C420" i="60"/>
  <c r="C419" i="60"/>
  <c r="C418" i="60"/>
  <c r="C417" i="60"/>
  <c r="C416" i="60"/>
  <c r="C415" i="60"/>
  <c r="C414" i="60"/>
  <c r="C413" i="60"/>
  <c r="C412" i="60"/>
  <c r="C411" i="60"/>
  <c r="C410" i="60"/>
  <c r="C409" i="60"/>
  <c r="C408" i="60"/>
  <c r="C407" i="60"/>
  <c r="C406" i="60"/>
  <c r="C405" i="60"/>
  <c r="C404" i="60"/>
  <c r="C403" i="60"/>
  <c r="C402" i="60"/>
  <c r="C401" i="60"/>
  <c r="C400" i="60"/>
  <c r="C399" i="60"/>
  <c r="C398" i="60"/>
  <c r="C397" i="60"/>
  <c r="C396" i="60"/>
  <c r="C395" i="60"/>
  <c r="C394" i="60"/>
  <c r="C393" i="60"/>
  <c r="C392" i="60"/>
  <c r="C391" i="60"/>
  <c r="C390" i="60"/>
  <c r="C389" i="60"/>
  <c r="C388" i="60"/>
  <c r="C387" i="60"/>
  <c r="C386" i="60"/>
  <c r="C385" i="60"/>
  <c r="C384" i="60"/>
  <c r="C383" i="60"/>
  <c r="C382" i="60"/>
  <c r="C381" i="60"/>
  <c r="C380" i="60"/>
  <c r="C379" i="60"/>
  <c r="C378" i="60"/>
  <c r="C377" i="60"/>
  <c r="C376" i="60"/>
  <c r="C375" i="60"/>
  <c r="C374" i="60"/>
  <c r="C373" i="60"/>
  <c r="C372" i="60"/>
  <c r="C371" i="60"/>
  <c r="C370" i="60"/>
  <c r="C369" i="60"/>
  <c r="C368" i="60"/>
  <c r="C367" i="60"/>
  <c r="C366" i="60"/>
  <c r="C365" i="60"/>
  <c r="C364" i="60"/>
  <c r="C363" i="60"/>
  <c r="C362" i="60"/>
  <c r="C361" i="60"/>
  <c r="C360" i="60"/>
  <c r="C359" i="60"/>
  <c r="C358" i="60"/>
  <c r="C357" i="60"/>
  <c r="C356" i="60"/>
  <c r="C355" i="60"/>
  <c r="C354" i="60"/>
  <c r="C353" i="60"/>
  <c r="C352" i="60"/>
  <c r="C351" i="60"/>
  <c r="C350" i="60"/>
  <c r="C349" i="60"/>
  <c r="C348" i="60"/>
  <c r="C347" i="60"/>
  <c r="C346" i="60"/>
  <c r="C345" i="60"/>
  <c r="C344" i="60"/>
  <c r="C343" i="60"/>
  <c r="C342" i="60"/>
  <c r="C341" i="60"/>
  <c r="B342" i="60" a="1"/>
  <c r="B342" i="60" s="1"/>
  <c r="B343" i="60" a="1"/>
  <c r="B343" i="60" s="1"/>
  <c r="B344" i="60" a="1"/>
  <c r="B344" i="60" s="1"/>
  <c r="B345" i="60" a="1"/>
  <c r="B345" i="60" s="1"/>
  <c r="B346" i="60" a="1"/>
  <c r="B346" i="60" s="1"/>
  <c r="B347" i="60" a="1"/>
  <c r="B347" i="60" s="1"/>
  <c r="B348" i="60" a="1"/>
  <c r="B348" i="60" s="1"/>
  <c r="B349" i="60" a="1"/>
  <c r="B349" i="60" s="1"/>
  <c r="B350" i="60" a="1"/>
  <c r="B350" i="60" s="1"/>
  <c r="B351" i="60" a="1"/>
  <c r="B351" i="60" s="1"/>
  <c r="B352" i="60" a="1"/>
  <c r="B352" i="60" s="1"/>
  <c r="B353" i="60" a="1"/>
  <c r="B353" i="60" s="1"/>
  <c r="B354" i="60" a="1"/>
  <c r="B354" i="60" s="1"/>
  <c r="B355" i="60" a="1"/>
  <c r="B355" i="60" s="1"/>
  <c r="B356" i="60" a="1"/>
  <c r="B356" i="60"/>
  <c r="B357" i="60" a="1"/>
  <c r="B357" i="60" s="1"/>
  <c r="B358" i="60" a="1"/>
  <c r="B358" i="60" s="1"/>
  <c r="B359" i="60" a="1"/>
  <c r="B359" i="60" s="1"/>
  <c r="B360" i="60" a="1"/>
  <c r="B360" i="60" s="1"/>
  <c r="B361" i="60" a="1"/>
  <c r="B361" i="60" s="1"/>
  <c r="B362" i="60" a="1"/>
  <c r="B362" i="60" s="1"/>
  <c r="B363" i="60" a="1"/>
  <c r="B363" i="60" s="1"/>
  <c r="B364" i="60" a="1"/>
  <c r="B364" i="60" s="1"/>
  <c r="B365" i="60" a="1"/>
  <c r="B365" i="60" s="1"/>
  <c r="B366" i="60" a="1"/>
  <c r="B366" i="60" s="1"/>
  <c r="B367" i="60" a="1"/>
  <c r="B367" i="60" s="1"/>
  <c r="B368" i="60" a="1"/>
  <c r="B368" i="60" s="1"/>
  <c r="B369" i="60" a="1"/>
  <c r="B369" i="60" s="1"/>
  <c r="B370" i="60" a="1"/>
  <c r="B370" i="60" s="1"/>
  <c r="B371" i="60" a="1"/>
  <c r="B371" i="60" s="1"/>
  <c r="B372" i="60" a="1"/>
  <c r="B372" i="60" s="1"/>
  <c r="B373" i="60" a="1"/>
  <c r="B373" i="60" s="1"/>
  <c r="B374" i="60" a="1"/>
  <c r="B374" i="60" s="1"/>
  <c r="B375" i="60" a="1"/>
  <c r="B375" i="60" s="1"/>
  <c r="B376" i="60" a="1"/>
  <c r="B376" i="60" s="1"/>
  <c r="B377" i="60" a="1"/>
  <c r="B377" i="60" s="1"/>
  <c r="B378" i="60" a="1"/>
  <c r="B378" i="60" s="1"/>
  <c r="B379" i="60" a="1"/>
  <c r="B379" i="60" s="1"/>
  <c r="B380" i="60" a="1"/>
  <c r="B380" i="60" s="1"/>
  <c r="B381" i="60" a="1"/>
  <c r="B381" i="60" s="1"/>
  <c r="B382" i="60" a="1"/>
  <c r="B382" i="60" s="1"/>
  <c r="B383" i="60" a="1"/>
  <c r="B383" i="60" s="1"/>
  <c r="B384" i="60" a="1"/>
  <c r="B384" i="60" s="1"/>
  <c r="B385" i="60" a="1"/>
  <c r="B385" i="60" s="1"/>
  <c r="B386" i="60" a="1"/>
  <c r="B386" i="60" s="1"/>
  <c r="B387" i="60" a="1"/>
  <c r="B387" i="60" s="1"/>
  <c r="B388" i="60" a="1"/>
  <c r="B388" i="60" s="1"/>
  <c r="B389" i="60" a="1"/>
  <c r="B389" i="60" s="1"/>
  <c r="B390" i="60" a="1"/>
  <c r="B390" i="60" s="1"/>
  <c r="B391" i="60" a="1"/>
  <c r="B391" i="60" s="1"/>
  <c r="B392" i="60" a="1"/>
  <c r="B392" i="60" s="1"/>
  <c r="B393" i="60" a="1"/>
  <c r="B393" i="60" s="1"/>
  <c r="B394" i="60" a="1"/>
  <c r="B394" i="60" s="1"/>
  <c r="B395" i="60" a="1"/>
  <c r="B395" i="60" s="1"/>
  <c r="B396" i="60" a="1"/>
  <c r="B396" i="60" s="1"/>
  <c r="B397" i="60" a="1"/>
  <c r="B397" i="60" s="1"/>
  <c r="B398" i="60" a="1"/>
  <c r="B398" i="60" s="1"/>
  <c r="B399" i="60" a="1"/>
  <c r="B399" i="60" s="1"/>
  <c r="B400" i="60" a="1"/>
  <c r="B400" i="60" s="1"/>
  <c r="B401" i="60" a="1"/>
  <c r="B401" i="60" s="1"/>
  <c r="B402" i="60" a="1"/>
  <c r="B402" i="60" s="1"/>
  <c r="B403" i="60" a="1"/>
  <c r="B403" i="60" s="1"/>
  <c r="B404" i="60" a="1"/>
  <c r="B404" i="60" s="1"/>
  <c r="B405" i="60" a="1"/>
  <c r="B405" i="60" s="1"/>
  <c r="B406" i="60" a="1"/>
  <c r="B406" i="60" s="1"/>
  <c r="B407" i="60" a="1"/>
  <c r="B407" i="60" s="1"/>
  <c r="B408" i="60" a="1"/>
  <c r="B408" i="60" s="1"/>
  <c r="B409" i="60" a="1"/>
  <c r="B409" i="60" s="1"/>
  <c r="B410" i="60" a="1"/>
  <c r="B410" i="60" s="1"/>
  <c r="B411" i="60" a="1"/>
  <c r="B411" i="60" s="1"/>
  <c r="B412" i="60" a="1"/>
  <c r="B412" i="60" s="1"/>
  <c r="B413" i="60" a="1"/>
  <c r="B413" i="60" s="1"/>
  <c r="B414" i="60" a="1"/>
  <c r="B414" i="60" s="1"/>
  <c r="B415" i="60" a="1"/>
  <c r="B415" i="60"/>
  <c r="B416" i="60" a="1"/>
  <c r="B416" i="60" s="1"/>
  <c r="B417" i="60" a="1"/>
  <c r="B417" i="60" s="1"/>
  <c r="B418" i="60" a="1"/>
  <c r="B418" i="60" s="1"/>
  <c r="B419" i="60" a="1"/>
  <c r="B419" i="60" s="1"/>
  <c r="B420" i="60" a="1"/>
  <c r="B420" i="60" s="1"/>
  <c r="B421" i="60" a="1"/>
  <c r="B421" i="60" s="1"/>
  <c r="B422" i="60" a="1"/>
  <c r="B422" i="60" s="1"/>
  <c r="B423" i="60" a="1"/>
  <c r="B423" i="60" s="1"/>
  <c r="B424" i="60" a="1"/>
  <c r="B424" i="60" s="1"/>
  <c r="B425" i="60" a="1"/>
  <c r="B425" i="60" s="1"/>
  <c r="B426" i="60" a="1"/>
  <c r="B426" i="60" s="1"/>
  <c r="B427" i="60" a="1"/>
  <c r="B427" i="60" s="1"/>
  <c r="B428" i="60" a="1"/>
  <c r="B428" i="60" s="1"/>
  <c r="B429" i="60" a="1"/>
  <c r="B429" i="60" s="1"/>
  <c r="B430" i="60" a="1"/>
  <c r="B430" i="60" s="1"/>
  <c r="B431" i="60" a="1"/>
  <c r="B431" i="60" s="1"/>
  <c r="B432" i="60" a="1"/>
  <c r="B432" i="60" s="1"/>
  <c r="B433" i="60" a="1"/>
  <c r="B433" i="60" s="1"/>
  <c r="B434" i="60" a="1"/>
  <c r="B434" i="60" s="1"/>
  <c r="B435" i="60" a="1"/>
  <c r="B435" i="60" s="1"/>
  <c r="B436" i="60" a="1"/>
  <c r="B436" i="60" s="1"/>
  <c r="B437" i="60" a="1"/>
  <c r="B437" i="60" s="1"/>
  <c r="B438" i="60" a="1"/>
  <c r="B438" i="60" s="1"/>
  <c r="B439" i="60" a="1"/>
  <c r="B439" i="60" s="1"/>
  <c r="B440" i="60" a="1"/>
  <c r="B440" i="60" s="1"/>
  <c r="B441" i="60" a="1"/>
  <c r="B441" i="60" s="1"/>
  <c r="B442" i="60" a="1"/>
  <c r="B442" i="60" s="1"/>
  <c r="B443" i="60" a="1"/>
  <c r="B443" i="60" s="1"/>
  <c r="B444" i="60" a="1"/>
  <c r="B444" i="60" s="1"/>
  <c r="B445" i="60" a="1"/>
  <c r="B445" i="60" s="1"/>
  <c r="B446" i="60" a="1"/>
  <c r="B446" i="60" s="1"/>
  <c r="B447" i="60" a="1"/>
  <c r="B447" i="60" s="1"/>
  <c r="B448" i="60" a="1"/>
  <c r="B448" i="60" s="1"/>
  <c r="B449" i="60" a="1"/>
  <c r="B449" i="60" s="1"/>
  <c r="B450" i="60" a="1"/>
  <c r="B450" i="60" s="1"/>
  <c r="B451" i="60" a="1"/>
  <c r="B451" i="60"/>
  <c r="B452" i="60" a="1"/>
  <c r="B452" i="60" s="1"/>
  <c r="B453" i="60" a="1"/>
  <c r="B453" i="60" s="1"/>
  <c r="B454" i="60" a="1"/>
  <c r="B454" i="60" s="1"/>
  <c r="B455" i="60" a="1"/>
  <c r="B455" i="60" s="1"/>
  <c r="B456" i="60" a="1"/>
  <c r="B456" i="60" s="1"/>
  <c r="B457" i="60" a="1"/>
  <c r="B457" i="60" s="1"/>
  <c r="B458" i="60" a="1"/>
  <c r="B458" i="60" s="1"/>
  <c r="B459" i="60" a="1"/>
  <c r="B459" i="60" s="1"/>
  <c r="B460" i="60" a="1"/>
  <c r="B460" i="60" s="1"/>
  <c r="B461" i="60" a="1"/>
  <c r="B461" i="60" s="1"/>
  <c r="B462" i="60" a="1"/>
  <c r="B462" i="60" s="1"/>
  <c r="B463" i="60" a="1"/>
  <c r="B463" i="60" s="1"/>
  <c r="B464" i="60" a="1"/>
  <c r="B464" i="60" s="1"/>
  <c r="B465" i="60" a="1"/>
  <c r="B465" i="60"/>
  <c r="B466" i="60" a="1"/>
  <c r="B466" i="60" s="1"/>
  <c r="B467" i="60" a="1"/>
  <c r="B467" i="60" s="1"/>
  <c r="B468" i="60" a="1"/>
  <c r="B468" i="60" s="1"/>
  <c r="B469" i="60" a="1"/>
  <c r="B469" i="60" s="1"/>
  <c r="B470" i="60" a="1"/>
  <c r="B470" i="60" s="1"/>
  <c r="B471" i="60" a="1"/>
  <c r="B471" i="60" s="1"/>
  <c r="B472" i="60" a="1"/>
  <c r="B472" i="60" s="1"/>
  <c r="B473" i="60" a="1"/>
  <c r="B473" i="60" s="1"/>
  <c r="B474" i="60" a="1"/>
  <c r="B474" i="60" s="1"/>
  <c r="B475" i="60" a="1"/>
  <c r="B475" i="60" s="1"/>
  <c r="B476" i="60" a="1"/>
  <c r="B476" i="60" s="1"/>
  <c r="B477" i="60" a="1"/>
  <c r="B477" i="60" s="1"/>
  <c r="B478" i="60" a="1"/>
  <c r="B478" i="60" s="1"/>
  <c r="B479" i="60" a="1"/>
  <c r="B479" i="60" s="1"/>
  <c r="B480" i="60" a="1"/>
  <c r="B480" i="60" s="1"/>
  <c r="B481" i="60" a="1"/>
  <c r="B481" i="60" s="1"/>
  <c r="B482" i="60" a="1"/>
  <c r="B482" i="60" s="1"/>
  <c r="B483" i="60" a="1"/>
  <c r="B483" i="60" s="1"/>
  <c r="B484" i="60" a="1"/>
  <c r="B484" i="60" s="1"/>
  <c r="B485" i="60" a="1"/>
  <c r="B485" i="60" s="1"/>
  <c r="B486" i="60" a="1"/>
  <c r="B486" i="60" s="1"/>
  <c r="B487" i="60" a="1"/>
  <c r="B487" i="60" s="1"/>
  <c r="B488" i="60" a="1"/>
  <c r="B488" i="60" s="1"/>
  <c r="B489" i="60" a="1"/>
  <c r="B489" i="60" s="1"/>
  <c r="B490" i="60" a="1"/>
  <c r="B490" i="60" s="1"/>
  <c r="B491" i="60" a="1"/>
  <c r="B491" i="60" s="1"/>
  <c r="B492" i="60" a="1"/>
  <c r="B492" i="60" s="1"/>
  <c r="B493" i="60" a="1"/>
  <c r="B493" i="60" s="1"/>
  <c r="B494" i="60" a="1"/>
  <c r="B494" i="60" s="1"/>
  <c r="B495" i="60" a="1"/>
  <c r="B495" i="60"/>
  <c r="B496" i="60" a="1"/>
  <c r="B496" i="60" s="1"/>
  <c r="B497" i="60" a="1"/>
  <c r="B497" i="60" s="1"/>
  <c r="B498" i="60" a="1"/>
  <c r="B498" i="60" s="1"/>
  <c r="B499" i="60" a="1"/>
  <c r="B499" i="60" s="1"/>
  <c r="B500" i="60" a="1"/>
  <c r="B500" i="60" s="1"/>
  <c r="B501" i="60" a="1"/>
  <c r="B501" i="60" s="1"/>
  <c r="B502" i="60" a="1"/>
  <c r="B502" i="60" s="1"/>
  <c r="B503" i="60" a="1"/>
  <c r="B503" i="60" s="1"/>
  <c r="B504" i="60" a="1"/>
  <c r="B504" i="60" s="1"/>
  <c r="B505" i="60" a="1"/>
  <c r="B505" i="60" s="1"/>
  <c r="B506" i="60" a="1"/>
  <c r="B506" i="60" s="1"/>
  <c r="B507" i="60" a="1"/>
  <c r="B507" i="60" s="1"/>
  <c r="B508" i="60" a="1"/>
  <c r="B508" i="60" s="1"/>
  <c r="B509" i="60" a="1"/>
  <c r="B509" i="60"/>
  <c r="B510" i="60" a="1"/>
  <c r="B510" i="60" s="1"/>
  <c r="B511" i="60" a="1"/>
  <c r="B511" i="60" s="1"/>
  <c r="B512" i="60" a="1"/>
  <c r="B512" i="60" s="1"/>
  <c r="B513" i="60" a="1"/>
  <c r="B513" i="60" s="1"/>
  <c r="B514" i="60" a="1"/>
  <c r="B514" i="60" s="1"/>
  <c r="B515" i="60" a="1"/>
  <c r="B515" i="60" s="1"/>
  <c r="B516" i="60" a="1"/>
  <c r="B516" i="60" s="1"/>
  <c r="B517" i="60" a="1"/>
  <c r="B517" i="60" s="1"/>
  <c r="B518" i="60" a="1"/>
  <c r="B518" i="60" s="1"/>
  <c r="B519" i="60" a="1"/>
  <c r="B519" i="60" s="1"/>
  <c r="B520" i="60" a="1"/>
  <c r="B520" i="60" s="1"/>
  <c r="B521" i="60" a="1"/>
  <c r="B521" i="60" s="1"/>
  <c r="B522" i="60" a="1"/>
  <c r="B522" i="60" s="1"/>
  <c r="B523" i="60" a="1"/>
  <c r="B523" i="60" s="1"/>
  <c r="B524" i="60" a="1"/>
  <c r="B524" i="60" s="1"/>
  <c r="B525" i="60" a="1"/>
  <c r="B525" i="60" s="1"/>
  <c r="B526" i="60" a="1"/>
  <c r="B526" i="60" s="1"/>
  <c r="B527" i="60" a="1"/>
  <c r="B527" i="60" s="1"/>
  <c r="B528" i="60" a="1"/>
  <c r="B528" i="60" s="1"/>
  <c r="B529" i="60" a="1"/>
  <c r="B529" i="60" s="1"/>
  <c r="B530" i="60" a="1"/>
  <c r="B530" i="60" s="1"/>
  <c r="B531" i="60" a="1"/>
  <c r="B531" i="60" s="1"/>
  <c r="B532" i="60" a="1"/>
  <c r="B532" i="60" s="1"/>
  <c r="B533" i="60" a="1"/>
  <c r="B533" i="60" s="1"/>
  <c r="B534" i="60" a="1"/>
  <c r="B534" i="60" s="1"/>
  <c r="B535" i="60" a="1"/>
  <c r="B535" i="60" s="1"/>
  <c r="B536" i="60" a="1"/>
  <c r="B536" i="60" s="1"/>
  <c r="B537" i="60" a="1"/>
  <c r="B537" i="60" s="1"/>
  <c r="B538" i="60" a="1"/>
  <c r="B538" i="60" s="1"/>
  <c r="B539" i="60" a="1"/>
  <c r="B539" i="60" s="1"/>
  <c r="B540" i="60" a="1"/>
  <c r="B540" i="60" s="1"/>
  <c r="B541" i="60" a="1"/>
  <c r="B541" i="60" s="1"/>
  <c r="B542" i="60" a="1"/>
  <c r="B542" i="60" s="1"/>
  <c r="B543" i="60" a="1"/>
  <c r="B543" i="60" s="1"/>
  <c r="B544" i="60" a="1"/>
  <c r="B544" i="60" s="1"/>
  <c r="B545" i="60" a="1"/>
  <c r="B545" i="60" s="1"/>
  <c r="B546" i="60" a="1"/>
  <c r="B546" i="60" s="1"/>
  <c r="B547" i="60" a="1"/>
  <c r="B547" i="60" s="1"/>
  <c r="B548" i="60" a="1"/>
  <c r="B548" i="60" s="1"/>
  <c r="B549" i="60" a="1"/>
  <c r="B549" i="60" s="1"/>
  <c r="B550" i="60" a="1"/>
  <c r="B550" i="60" s="1"/>
  <c r="B341" i="60" a="1"/>
  <c r="B341" i="60" s="1"/>
  <c r="C340" i="60"/>
  <c r="B340" i="60" a="1"/>
  <c r="B340" i="60" s="1"/>
  <c r="C339" i="60"/>
  <c r="B339" i="60" a="1"/>
  <c r="B339" i="60" s="1"/>
  <c r="C338" i="60"/>
  <c r="B338" i="60" a="1"/>
  <c r="B338" i="60" s="1"/>
  <c r="C337" i="60"/>
  <c r="B337" i="60" a="1"/>
  <c r="B337" i="60" s="1"/>
  <c r="C336" i="60"/>
  <c r="B336" i="60" a="1"/>
  <c r="B336" i="60" s="1"/>
  <c r="C335" i="60"/>
  <c r="B335" i="60" a="1"/>
  <c r="B335" i="60" s="1"/>
  <c r="C334" i="60"/>
  <c r="B334" i="60" a="1"/>
  <c r="B334" i="60" s="1"/>
  <c r="C333" i="60"/>
  <c r="B333" i="60" a="1"/>
  <c r="B333" i="60" s="1"/>
  <c r="C332" i="60"/>
  <c r="B332" i="60" a="1"/>
  <c r="B332" i="60" s="1"/>
  <c r="C331" i="60"/>
  <c r="B331" i="60" a="1"/>
  <c r="B331" i="60" s="1"/>
  <c r="C330" i="60"/>
  <c r="B330" i="60" a="1"/>
  <c r="B330" i="60" s="1"/>
  <c r="C329" i="60"/>
  <c r="B329" i="60" a="1"/>
  <c r="B329" i="60" s="1"/>
  <c r="C328" i="60"/>
  <c r="B328" i="60" a="1"/>
  <c r="B328" i="60" s="1"/>
  <c r="C327" i="60"/>
  <c r="B327" i="60" a="1"/>
  <c r="B327" i="60" s="1"/>
  <c r="C326" i="60"/>
  <c r="B326" i="60" a="1"/>
  <c r="B326" i="60" s="1"/>
  <c r="C325" i="60"/>
  <c r="B325" i="60" a="1"/>
  <c r="B325" i="60" s="1"/>
  <c r="C324" i="60"/>
  <c r="B324" i="60" a="1"/>
  <c r="B324" i="60" s="1"/>
  <c r="C323" i="60"/>
  <c r="B323" i="60" a="1"/>
  <c r="B323" i="60" s="1"/>
  <c r="C322" i="60"/>
  <c r="B322" i="60" a="1"/>
  <c r="B322" i="60" s="1"/>
  <c r="C321" i="60"/>
  <c r="B321" i="60" a="1"/>
  <c r="B321" i="60" s="1"/>
  <c r="C320" i="60"/>
  <c r="B320" i="60" a="1"/>
  <c r="B320" i="60" s="1"/>
  <c r="C319" i="60"/>
  <c r="B319" i="60" a="1"/>
  <c r="B319" i="60" s="1"/>
  <c r="C318" i="60"/>
  <c r="B318" i="60" a="1"/>
  <c r="B318" i="60" s="1"/>
  <c r="C317" i="60"/>
  <c r="B317" i="60" a="1"/>
  <c r="B317" i="60" s="1"/>
  <c r="C316" i="60"/>
  <c r="B316" i="60" a="1"/>
  <c r="B316" i="60" s="1"/>
  <c r="C315" i="60"/>
  <c r="B315" i="60" a="1"/>
  <c r="B315" i="60" s="1"/>
  <c r="C314" i="60"/>
  <c r="B314" i="60" a="1"/>
  <c r="B314" i="60" s="1"/>
  <c r="C313" i="60"/>
  <c r="B313" i="60" a="1"/>
  <c r="B313" i="60" s="1"/>
  <c r="C312" i="60"/>
  <c r="B312" i="60" a="1"/>
  <c r="B312" i="60" s="1"/>
  <c r="C311" i="60"/>
  <c r="B311" i="60" a="1"/>
  <c r="B311" i="60" s="1"/>
  <c r="C310" i="60"/>
  <c r="B310" i="60" a="1"/>
  <c r="B310" i="60" s="1"/>
  <c r="C309" i="60"/>
  <c r="B309" i="60" a="1"/>
  <c r="B309" i="60" s="1"/>
  <c r="C308" i="60"/>
  <c r="B308" i="60" a="1"/>
  <c r="B308" i="60" s="1"/>
  <c r="C307" i="60"/>
  <c r="B307" i="60" a="1"/>
  <c r="B307" i="60" s="1"/>
  <c r="C306" i="60"/>
  <c r="B306" i="60" a="1"/>
  <c r="B306" i="60" s="1"/>
  <c r="C305" i="60"/>
  <c r="B305" i="60" a="1"/>
  <c r="B305" i="60" s="1"/>
  <c r="C304" i="60"/>
  <c r="B304" i="60" a="1"/>
  <c r="B304" i="60" s="1"/>
  <c r="C303" i="60"/>
  <c r="B303" i="60" a="1"/>
  <c r="B303" i="60" s="1"/>
  <c r="C302" i="60"/>
  <c r="B302" i="60" a="1"/>
  <c r="B302" i="60" s="1"/>
  <c r="C301" i="60"/>
  <c r="B301" i="60" a="1"/>
  <c r="B301" i="60" s="1"/>
  <c r="C300" i="60"/>
  <c r="B300" i="60" a="1"/>
  <c r="B300" i="60" s="1"/>
  <c r="C299" i="60"/>
  <c r="B299" i="60" a="1"/>
  <c r="B299" i="60" s="1"/>
  <c r="C298" i="60"/>
  <c r="B298" i="60" a="1"/>
  <c r="B298" i="60" s="1"/>
  <c r="C297" i="60"/>
  <c r="B297" i="60" a="1"/>
  <c r="B297" i="60" s="1"/>
  <c r="C296" i="60"/>
  <c r="B296" i="60" a="1"/>
  <c r="B296" i="60" s="1"/>
  <c r="C295" i="60"/>
  <c r="B295" i="60" a="1"/>
  <c r="B295" i="60" s="1"/>
  <c r="C294" i="60"/>
  <c r="B294" i="60" a="1"/>
  <c r="B294" i="60" s="1"/>
  <c r="C293" i="60"/>
  <c r="B293" i="60" a="1"/>
  <c r="B293" i="60" s="1"/>
  <c r="C292" i="60"/>
  <c r="B292" i="60" a="1"/>
  <c r="B292" i="60" s="1"/>
  <c r="C291" i="60"/>
  <c r="B291" i="60" a="1"/>
  <c r="B291" i="60" s="1"/>
  <c r="C290" i="60"/>
  <c r="B290" i="60" a="1"/>
  <c r="B290" i="60" s="1"/>
  <c r="C289" i="60"/>
  <c r="B289" i="60" a="1"/>
  <c r="B289" i="60" s="1"/>
  <c r="C288" i="60"/>
  <c r="B288" i="60" a="1"/>
  <c r="B288" i="60" s="1"/>
  <c r="C287" i="60"/>
  <c r="B287" i="60" a="1"/>
  <c r="B287" i="60" s="1"/>
  <c r="C286" i="60"/>
  <c r="B286" i="60" a="1"/>
  <c r="B286" i="60" s="1"/>
  <c r="C285" i="60"/>
  <c r="B285" i="60" a="1"/>
  <c r="B285" i="60" s="1"/>
  <c r="C284" i="60"/>
  <c r="B284" i="60" a="1"/>
  <c r="B284" i="60" s="1"/>
  <c r="C283" i="60"/>
  <c r="B283" i="60" a="1"/>
  <c r="B283" i="60" s="1"/>
  <c r="C282" i="60"/>
  <c r="B282" i="60" a="1"/>
  <c r="B282" i="60" s="1"/>
  <c r="C281" i="60"/>
  <c r="B281" i="60" a="1"/>
  <c r="B281" i="60" s="1"/>
  <c r="C280" i="60"/>
  <c r="B280" i="60" a="1"/>
  <c r="B280" i="60" s="1"/>
  <c r="C279" i="60"/>
  <c r="B279" i="60" a="1"/>
  <c r="B279" i="60" s="1"/>
  <c r="C278" i="60"/>
  <c r="B278" i="60" a="1"/>
  <c r="B278" i="60" s="1"/>
  <c r="C277" i="60"/>
  <c r="B277" i="60" a="1"/>
  <c r="B277" i="60" s="1"/>
  <c r="C276" i="60"/>
  <c r="B276" i="60" a="1"/>
  <c r="B276" i="60" s="1"/>
  <c r="C275" i="60"/>
  <c r="B275" i="60" a="1"/>
  <c r="B275" i="60" s="1"/>
  <c r="C274" i="60"/>
  <c r="B274" i="60" a="1"/>
  <c r="B274" i="60" s="1"/>
  <c r="C273" i="60"/>
  <c r="B273" i="60" a="1"/>
  <c r="B273" i="60" s="1"/>
  <c r="C272" i="60"/>
  <c r="B272" i="60" a="1"/>
  <c r="B272" i="60" s="1"/>
  <c r="C271" i="60"/>
  <c r="B271" i="60" a="1"/>
  <c r="B271" i="60" s="1"/>
  <c r="C270" i="60"/>
  <c r="B270" i="60" a="1"/>
  <c r="B270" i="60" s="1"/>
  <c r="C269" i="60"/>
  <c r="B269" i="60" a="1"/>
  <c r="B269" i="60" s="1"/>
  <c r="C268" i="60"/>
  <c r="B268" i="60" a="1"/>
  <c r="B268" i="60" s="1"/>
  <c r="C267" i="60"/>
  <c r="B267" i="60" a="1"/>
  <c r="B267" i="60" s="1"/>
  <c r="C266" i="60"/>
  <c r="B266" i="60" a="1"/>
  <c r="B266" i="60" s="1"/>
  <c r="C265" i="60"/>
  <c r="B265" i="60" a="1"/>
  <c r="B265" i="60" s="1"/>
  <c r="C264" i="60"/>
  <c r="B264" i="60" a="1"/>
  <c r="B264" i="60" s="1"/>
  <c r="C263" i="60"/>
  <c r="B263" i="60" a="1"/>
  <c r="B263" i="60" s="1"/>
  <c r="C262" i="60"/>
  <c r="B262" i="60" a="1"/>
  <c r="B262" i="60" s="1"/>
  <c r="C261" i="60"/>
  <c r="B261" i="60" a="1"/>
  <c r="B261" i="60" s="1"/>
  <c r="C260" i="60"/>
  <c r="B260" i="60" a="1"/>
  <c r="B260" i="60" s="1"/>
  <c r="C259" i="60"/>
  <c r="B259" i="60" a="1"/>
  <c r="B259" i="60" s="1"/>
  <c r="C258" i="60"/>
  <c r="B258" i="60" a="1"/>
  <c r="B258" i="60" s="1"/>
  <c r="C257" i="60"/>
  <c r="B257" i="60" a="1"/>
  <c r="B257" i="60" s="1"/>
  <c r="C256" i="60"/>
  <c r="B256" i="60" a="1"/>
  <c r="B256" i="60" s="1"/>
  <c r="C255" i="60"/>
  <c r="B255" i="60" a="1"/>
  <c r="B255" i="60" s="1"/>
  <c r="C254" i="60"/>
  <c r="B254" i="60" a="1"/>
  <c r="B254" i="60" s="1"/>
  <c r="C253" i="60"/>
  <c r="B253" i="60" a="1"/>
  <c r="B253" i="60" s="1"/>
  <c r="C252" i="60"/>
  <c r="B252" i="60" a="1"/>
  <c r="B252" i="60" s="1"/>
  <c r="C251" i="60"/>
  <c r="B251" i="60" a="1"/>
  <c r="B251" i="60" s="1"/>
  <c r="C250" i="60"/>
  <c r="B250" i="60" a="1"/>
  <c r="B250" i="60" s="1"/>
  <c r="C249" i="60"/>
  <c r="B249" i="60" a="1"/>
  <c r="B249" i="60" s="1"/>
  <c r="C248" i="60"/>
  <c r="B248" i="60" a="1"/>
  <c r="B248" i="60" s="1"/>
  <c r="C247" i="60"/>
  <c r="B247" i="60" a="1"/>
  <c r="B247" i="60" s="1"/>
  <c r="C246" i="60"/>
  <c r="B246" i="60" a="1"/>
  <c r="B246" i="60" s="1"/>
  <c r="C245" i="60"/>
  <c r="B245" i="60" a="1"/>
  <c r="B245" i="60" s="1"/>
  <c r="C244" i="60"/>
  <c r="B244" i="60" a="1"/>
  <c r="B244" i="60" s="1"/>
  <c r="C243" i="60"/>
  <c r="B243" i="60" a="1"/>
  <c r="B243" i="60" s="1"/>
  <c r="C242" i="60"/>
  <c r="B242" i="60" a="1"/>
  <c r="B242" i="60" s="1"/>
  <c r="C241" i="60"/>
  <c r="B241" i="60" a="1"/>
  <c r="B241" i="60" s="1"/>
  <c r="C240" i="60"/>
  <c r="B240" i="60" a="1"/>
  <c r="B240" i="60" s="1"/>
  <c r="C239" i="60"/>
  <c r="B239" i="60" a="1"/>
  <c r="B239" i="60" s="1"/>
  <c r="C238" i="60"/>
  <c r="B238" i="60" a="1"/>
  <c r="B238" i="60" s="1"/>
  <c r="C237" i="60"/>
  <c r="B237" i="60" a="1"/>
  <c r="B237" i="60" s="1"/>
  <c r="C236" i="60"/>
  <c r="B236" i="60" a="1"/>
  <c r="B236" i="60" s="1"/>
  <c r="C235" i="60"/>
  <c r="B235" i="60" a="1"/>
  <c r="B235" i="60" s="1"/>
  <c r="C234" i="60"/>
  <c r="B234" i="60" a="1"/>
  <c r="B234" i="60" s="1"/>
  <c r="C233" i="60"/>
  <c r="B233" i="60" a="1"/>
  <c r="B233" i="60" s="1"/>
  <c r="C232" i="60"/>
  <c r="B232" i="60" a="1"/>
  <c r="B232" i="60" s="1"/>
  <c r="C231" i="60"/>
  <c r="B231" i="60" a="1"/>
  <c r="B231" i="60" s="1"/>
  <c r="C230" i="60"/>
  <c r="B230" i="60" a="1"/>
  <c r="B230" i="60" s="1"/>
  <c r="C229" i="60"/>
  <c r="B229" i="60" a="1"/>
  <c r="B229" i="60" s="1"/>
  <c r="C228" i="60"/>
  <c r="B228" i="60" a="1"/>
  <c r="B228" i="60" s="1"/>
  <c r="C227" i="60"/>
  <c r="B227" i="60" a="1"/>
  <c r="B227" i="60" s="1"/>
  <c r="C226" i="60"/>
  <c r="B226" i="60" a="1"/>
  <c r="B226" i="60" s="1"/>
  <c r="C225" i="60"/>
  <c r="B225" i="60" a="1"/>
  <c r="B225" i="60" s="1"/>
  <c r="C224" i="60"/>
  <c r="B224" i="60" a="1"/>
  <c r="B224" i="60" s="1"/>
  <c r="C223" i="60"/>
  <c r="B223" i="60" a="1"/>
  <c r="B223" i="60" s="1"/>
  <c r="C222" i="60"/>
  <c r="B222" i="60" a="1"/>
  <c r="B222" i="60" s="1"/>
  <c r="C221" i="60"/>
  <c r="B221" i="60" a="1"/>
  <c r="B221" i="60" s="1"/>
  <c r="C220" i="60"/>
  <c r="B220" i="60" a="1"/>
  <c r="B220" i="60" s="1"/>
  <c r="C219" i="60"/>
  <c r="B219" i="60" a="1"/>
  <c r="B219" i="60" s="1"/>
  <c r="C218" i="60"/>
  <c r="B218" i="60" a="1"/>
  <c r="B218" i="60" s="1"/>
  <c r="C217" i="60"/>
  <c r="B217" i="60" a="1"/>
  <c r="B217" i="60" s="1"/>
  <c r="C216" i="60"/>
  <c r="B216" i="60" a="1"/>
  <c r="B216" i="60" s="1"/>
  <c r="C215" i="60"/>
  <c r="B215" i="60" a="1"/>
  <c r="B215" i="60" s="1"/>
  <c r="C214" i="60"/>
  <c r="B214" i="60" a="1"/>
  <c r="B214" i="60" s="1"/>
  <c r="C213" i="60"/>
  <c r="B213" i="60" a="1"/>
  <c r="B213" i="60" s="1"/>
  <c r="C212" i="60"/>
  <c r="B212" i="60" a="1"/>
  <c r="B212" i="60" s="1"/>
  <c r="C211" i="60"/>
  <c r="B211" i="60" a="1"/>
  <c r="B211" i="60" s="1"/>
  <c r="C210" i="60"/>
  <c r="B210" i="60" a="1"/>
  <c r="B210" i="60" s="1"/>
  <c r="C209" i="60"/>
  <c r="B209" i="60" a="1"/>
  <c r="B209" i="60" s="1"/>
  <c r="C208" i="60"/>
  <c r="B208" i="60" a="1"/>
  <c r="B208" i="60" s="1"/>
  <c r="C207" i="60"/>
  <c r="B207" i="60" a="1"/>
  <c r="B207" i="60" s="1"/>
  <c r="C206" i="60"/>
  <c r="B206" i="60" a="1"/>
  <c r="B206" i="60" s="1"/>
  <c r="C205" i="60"/>
  <c r="B205" i="60" a="1"/>
  <c r="B205" i="60" s="1"/>
  <c r="C204" i="60"/>
  <c r="B204" i="60" a="1"/>
  <c r="B204" i="60" s="1"/>
  <c r="C203" i="60"/>
  <c r="B203" i="60" a="1"/>
  <c r="B203" i="60" s="1"/>
  <c r="C202" i="60"/>
  <c r="B202" i="60" a="1"/>
  <c r="B202" i="60" s="1"/>
  <c r="C201" i="60"/>
  <c r="B201" i="60" a="1"/>
  <c r="B201" i="60" s="1"/>
  <c r="C200" i="60"/>
  <c r="B200" i="60" a="1"/>
  <c r="B200" i="60" s="1"/>
  <c r="C199" i="60"/>
  <c r="B199" i="60" a="1"/>
  <c r="B199" i="60" s="1"/>
  <c r="C198" i="60"/>
  <c r="B198" i="60" a="1"/>
  <c r="B198" i="60" s="1"/>
  <c r="C197" i="60"/>
  <c r="B197" i="60" a="1"/>
  <c r="B197" i="60" s="1"/>
  <c r="C196" i="60"/>
  <c r="B196" i="60" a="1"/>
  <c r="B196" i="60" s="1"/>
  <c r="C195" i="60"/>
  <c r="B195" i="60" a="1"/>
  <c r="B195" i="60" s="1"/>
  <c r="C194" i="60"/>
  <c r="B194" i="60" a="1"/>
  <c r="B194" i="60" s="1"/>
  <c r="C193" i="60"/>
  <c r="B193" i="60" a="1"/>
  <c r="B193" i="60" s="1"/>
  <c r="C192" i="60"/>
  <c r="B192" i="60" a="1"/>
  <c r="B192" i="60" s="1"/>
  <c r="C191" i="60"/>
  <c r="B191" i="60" a="1"/>
  <c r="B191" i="60" s="1"/>
  <c r="C190" i="60"/>
  <c r="B190" i="60" a="1"/>
  <c r="B190" i="60" s="1"/>
  <c r="C189" i="60"/>
  <c r="B189" i="60" a="1"/>
  <c r="B189" i="60" s="1"/>
  <c r="C188" i="60"/>
  <c r="B188" i="60" a="1"/>
  <c r="B188" i="60" s="1"/>
  <c r="C187" i="60"/>
  <c r="B187" i="60" a="1"/>
  <c r="B187" i="60" s="1"/>
  <c r="C186" i="60"/>
  <c r="B186" i="60" a="1"/>
  <c r="B186" i="60" s="1"/>
  <c r="C185" i="60"/>
  <c r="B185" i="60" a="1"/>
  <c r="B185" i="60" s="1"/>
  <c r="C184" i="60"/>
  <c r="B184" i="60" a="1"/>
  <c r="B184" i="60" s="1"/>
  <c r="C183" i="60"/>
  <c r="B183" i="60" a="1"/>
  <c r="B183" i="60" s="1"/>
  <c r="C182" i="60"/>
  <c r="B182" i="60" a="1"/>
  <c r="B182" i="60" s="1"/>
  <c r="C181" i="60"/>
  <c r="B181" i="60" a="1"/>
  <c r="B181" i="60" s="1"/>
  <c r="C180" i="60"/>
  <c r="B180" i="60" a="1"/>
  <c r="B180" i="60" s="1"/>
  <c r="C179" i="60"/>
  <c r="B179" i="60" a="1"/>
  <c r="B179" i="60" s="1"/>
  <c r="C178" i="60"/>
  <c r="B178" i="60" a="1"/>
  <c r="B178" i="60" s="1"/>
  <c r="C177" i="60"/>
  <c r="B177" i="60" a="1"/>
  <c r="B177" i="60" s="1"/>
  <c r="C176" i="60"/>
  <c r="B176" i="60" a="1"/>
  <c r="B176" i="60" s="1"/>
  <c r="C175" i="60"/>
  <c r="B175" i="60" a="1"/>
  <c r="B175" i="60" s="1"/>
  <c r="C174" i="60"/>
  <c r="B174" i="60" a="1"/>
  <c r="B174" i="60" s="1"/>
  <c r="C173" i="60"/>
  <c r="B173" i="60" a="1"/>
  <c r="B173" i="60" s="1"/>
  <c r="C172" i="60"/>
  <c r="B172" i="60" a="1"/>
  <c r="B172" i="60" s="1"/>
  <c r="C171" i="60"/>
  <c r="B171" i="60" a="1"/>
  <c r="B171" i="60" s="1"/>
  <c r="C170" i="60"/>
  <c r="B170" i="60" a="1"/>
  <c r="B170" i="60" s="1"/>
  <c r="C169" i="60"/>
  <c r="B169" i="60" a="1"/>
  <c r="B169" i="60" s="1"/>
  <c r="C168" i="60"/>
  <c r="B168" i="60" a="1"/>
  <c r="B168" i="60" s="1"/>
  <c r="C167" i="60"/>
  <c r="B167" i="60" a="1"/>
  <c r="B167" i="60" s="1"/>
  <c r="C166" i="60"/>
  <c r="B166" i="60" a="1"/>
  <c r="B166" i="60" s="1"/>
  <c r="C165" i="60"/>
  <c r="B165" i="60" a="1"/>
  <c r="B165" i="60" s="1"/>
  <c r="C164" i="60"/>
  <c r="B164" i="60" a="1"/>
  <c r="B164" i="60" s="1"/>
  <c r="C163" i="60"/>
  <c r="B163" i="60" a="1"/>
  <c r="B163" i="60" s="1"/>
  <c r="C162" i="60"/>
  <c r="B162" i="60" a="1"/>
  <c r="B162" i="60" s="1"/>
  <c r="C161" i="60"/>
  <c r="B161" i="60" a="1"/>
  <c r="B161" i="60" s="1"/>
  <c r="C160" i="60"/>
  <c r="B160" i="60" a="1"/>
  <c r="B160" i="60" s="1"/>
  <c r="C159" i="60"/>
  <c r="B159" i="60" a="1"/>
  <c r="B159" i="60" s="1"/>
  <c r="C158" i="60"/>
  <c r="B158" i="60" a="1"/>
  <c r="B158" i="60" s="1"/>
  <c r="C157" i="60"/>
  <c r="B157" i="60" a="1"/>
  <c r="B157" i="60" s="1"/>
  <c r="C156" i="60"/>
  <c r="B156" i="60" a="1"/>
  <c r="B156" i="60" s="1"/>
  <c r="C155" i="60"/>
  <c r="B155" i="60" a="1"/>
  <c r="B155" i="60" s="1"/>
  <c r="C154" i="60"/>
  <c r="B154" i="60" a="1"/>
  <c r="B154" i="60" s="1"/>
  <c r="C153" i="60"/>
  <c r="B153" i="60" a="1"/>
  <c r="B153" i="60" s="1"/>
  <c r="C152" i="60"/>
  <c r="B152" i="60" a="1"/>
  <c r="B152" i="60" s="1"/>
  <c r="C151" i="60"/>
  <c r="B151" i="60" a="1"/>
  <c r="B151" i="60" s="1"/>
  <c r="C150" i="60"/>
  <c r="B150" i="60" a="1"/>
  <c r="B150" i="60" s="1"/>
  <c r="C149" i="60"/>
  <c r="B149" i="60" a="1"/>
  <c r="B149" i="60" s="1"/>
  <c r="C148" i="60"/>
  <c r="B148" i="60" a="1"/>
  <c r="B148" i="60" s="1"/>
  <c r="C147" i="60"/>
  <c r="B147" i="60" a="1"/>
  <c r="B147" i="60" s="1"/>
  <c r="C146" i="60"/>
  <c r="B146" i="60" a="1"/>
  <c r="B146" i="60" s="1"/>
  <c r="C145" i="60"/>
  <c r="B145" i="60" a="1"/>
  <c r="B145" i="60" s="1"/>
  <c r="C144" i="60"/>
  <c r="B144" i="60" a="1"/>
  <c r="B144" i="60" s="1"/>
  <c r="C143" i="60"/>
  <c r="B143" i="60" a="1"/>
  <c r="B143" i="60" s="1"/>
  <c r="C142" i="60"/>
  <c r="B142" i="60" a="1"/>
  <c r="B142" i="60" s="1"/>
  <c r="C141" i="60"/>
  <c r="B141" i="60" a="1"/>
  <c r="B141" i="60" s="1"/>
  <c r="C140" i="60"/>
  <c r="B140" i="60" a="1"/>
  <c r="B140" i="60" s="1"/>
  <c r="C139" i="60"/>
  <c r="B139" i="60" a="1"/>
  <c r="B139" i="60" s="1"/>
  <c r="C138" i="60"/>
  <c r="B138" i="60" a="1"/>
  <c r="B138" i="60" s="1"/>
  <c r="C137" i="60"/>
  <c r="B137" i="60" a="1"/>
  <c r="B137" i="60" s="1"/>
  <c r="C136" i="60"/>
  <c r="B136" i="60" a="1"/>
  <c r="B136" i="60" s="1"/>
  <c r="C135" i="60"/>
  <c r="B135" i="60" a="1"/>
  <c r="B135" i="60" s="1"/>
  <c r="C134" i="60"/>
  <c r="B134" i="60" a="1"/>
  <c r="B134" i="60" s="1"/>
  <c r="C133" i="60"/>
  <c r="B133" i="60" a="1"/>
  <c r="B133" i="60" s="1"/>
  <c r="C132" i="60"/>
  <c r="B132" i="60" a="1"/>
  <c r="B132" i="60" s="1"/>
  <c r="C131" i="60"/>
  <c r="B131" i="60" a="1"/>
  <c r="B131" i="60" s="1"/>
  <c r="C130" i="60"/>
  <c r="B130" i="60" a="1"/>
  <c r="B130" i="60" s="1"/>
  <c r="C129" i="60"/>
  <c r="B129" i="60" a="1"/>
  <c r="B129" i="60" s="1"/>
  <c r="C128" i="60"/>
  <c r="B128" i="60" a="1"/>
  <c r="B128" i="60" s="1"/>
  <c r="C127" i="60"/>
  <c r="B127" i="60" a="1"/>
  <c r="B127" i="60" s="1"/>
  <c r="C126" i="60"/>
  <c r="B126" i="60" a="1"/>
  <c r="B126" i="60" s="1"/>
  <c r="C125" i="60"/>
  <c r="B125" i="60" a="1"/>
  <c r="B125" i="60" s="1"/>
  <c r="C124" i="60"/>
  <c r="B124" i="60" a="1"/>
  <c r="B124" i="60" s="1"/>
  <c r="C123" i="60"/>
  <c r="B123" i="60" a="1"/>
  <c r="B123" i="60" s="1"/>
  <c r="C122" i="60"/>
  <c r="B122" i="60" a="1"/>
  <c r="B122" i="60" s="1"/>
  <c r="C121" i="60"/>
  <c r="B121" i="60" a="1"/>
  <c r="B121" i="60" s="1"/>
  <c r="C120" i="60"/>
  <c r="B120" i="60" a="1"/>
  <c r="B120" i="60" s="1"/>
  <c r="C119" i="60"/>
  <c r="B119" i="60" a="1"/>
  <c r="B119" i="60" s="1"/>
  <c r="C118" i="60"/>
  <c r="B118" i="60" a="1"/>
  <c r="B118" i="60" s="1"/>
  <c r="C117" i="60"/>
  <c r="B117" i="60" a="1"/>
  <c r="B117" i="60" s="1"/>
  <c r="C116" i="60"/>
  <c r="B116" i="60" a="1"/>
  <c r="B116" i="60" s="1"/>
  <c r="C115" i="60"/>
  <c r="B115" i="60" a="1"/>
  <c r="B115" i="60" s="1"/>
  <c r="C114" i="60"/>
  <c r="B114" i="60" a="1"/>
  <c r="B114" i="60" s="1"/>
  <c r="C113" i="60"/>
  <c r="B113" i="60" a="1"/>
  <c r="B113" i="60" s="1"/>
  <c r="C112" i="60"/>
  <c r="B112" i="60" a="1"/>
  <c r="B112" i="60" s="1"/>
  <c r="C111" i="60"/>
  <c r="B111" i="60" a="1"/>
  <c r="B111" i="60" s="1"/>
  <c r="C110" i="60"/>
  <c r="B110" i="60" a="1"/>
  <c r="B110" i="60" s="1"/>
  <c r="C109" i="60"/>
  <c r="B109" i="60" a="1"/>
  <c r="B109" i="60" s="1"/>
  <c r="C108" i="60"/>
  <c r="B108" i="60" a="1"/>
  <c r="B108" i="60" s="1"/>
  <c r="C107" i="60"/>
  <c r="B107" i="60" a="1"/>
  <c r="B107" i="60" s="1"/>
  <c r="C106" i="60"/>
  <c r="B106" i="60" a="1"/>
  <c r="B106" i="60" s="1"/>
  <c r="C105" i="60"/>
  <c r="B105" i="60" a="1"/>
  <c r="B105" i="60" s="1"/>
  <c r="C104" i="60"/>
  <c r="B104" i="60" a="1"/>
  <c r="B104" i="60" s="1"/>
  <c r="C103" i="60"/>
  <c r="B103" i="60" a="1"/>
  <c r="B103" i="60" s="1"/>
  <c r="C102" i="60"/>
  <c r="B102" i="60" a="1"/>
  <c r="B102" i="60" s="1"/>
  <c r="C101" i="60"/>
  <c r="B101" i="60" a="1"/>
  <c r="B101" i="60" s="1"/>
  <c r="C100" i="60"/>
  <c r="B100" i="60" a="1"/>
  <c r="B100" i="60" s="1"/>
  <c r="C99" i="60"/>
  <c r="B99" i="60" a="1"/>
  <c r="B99" i="60" s="1"/>
  <c r="C98" i="60"/>
  <c r="B98" i="60" a="1"/>
  <c r="B98" i="60" s="1"/>
  <c r="C97" i="60"/>
  <c r="B97" i="60" a="1"/>
  <c r="B97" i="60" s="1"/>
  <c r="C96" i="60"/>
  <c r="B96" i="60" a="1"/>
  <c r="B96" i="60" s="1"/>
  <c r="C95" i="60"/>
  <c r="B95" i="60" a="1"/>
  <c r="B95" i="60" s="1"/>
  <c r="C94" i="60"/>
  <c r="B94" i="60" a="1"/>
  <c r="B94" i="60" s="1"/>
  <c r="C93" i="60"/>
  <c r="B93" i="60" a="1"/>
  <c r="B93" i="60" s="1"/>
  <c r="C92" i="60"/>
  <c r="B92" i="60" a="1"/>
  <c r="B92" i="60" s="1"/>
  <c r="C91" i="60"/>
  <c r="B91" i="60" a="1"/>
  <c r="B91" i="60" s="1"/>
  <c r="C90" i="60"/>
  <c r="B90" i="60" a="1"/>
  <c r="B90" i="60" s="1"/>
  <c r="C89" i="60"/>
  <c r="B89" i="60" a="1"/>
  <c r="B89" i="60" s="1"/>
  <c r="C88" i="60"/>
  <c r="B88" i="60" a="1"/>
  <c r="B88" i="60" s="1"/>
  <c r="C87" i="60"/>
  <c r="B87" i="60" a="1"/>
  <c r="B87" i="60" s="1"/>
  <c r="C86" i="60"/>
  <c r="B86" i="60" a="1"/>
  <c r="B86" i="60" s="1"/>
  <c r="C85" i="60"/>
  <c r="B85" i="60" a="1"/>
  <c r="B85" i="60" s="1"/>
  <c r="C84" i="60"/>
  <c r="B84" i="60" a="1"/>
  <c r="B84" i="60" s="1"/>
  <c r="C83" i="60"/>
  <c r="B83" i="60" a="1"/>
  <c r="B83" i="60" s="1"/>
  <c r="C82" i="60"/>
  <c r="B82" i="60" a="1"/>
  <c r="B82" i="60" s="1"/>
  <c r="C81" i="60"/>
  <c r="B81" i="60" a="1"/>
  <c r="B81" i="60" s="1"/>
  <c r="C80" i="60"/>
  <c r="B80" i="60" a="1"/>
  <c r="B80" i="60" s="1"/>
  <c r="C79" i="60"/>
  <c r="B79" i="60" a="1"/>
  <c r="B79" i="60" s="1"/>
  <c r="C78" i="60"/>
  <c r="B78" i="60" a="1"/>
  <c r="B78" i="60" s="1"/>
  <c r="C77" i="60"/>
  <c r="B77" i="60" a="1"/>
  <c r="B77" i="60" s="1"/>
  <c r="C76" i="60"/>
  <c r="B76" i="60" a="1"/>
  <c r="B76" i="60" s="1"/>
  <c r="C75" i="60"/>
  <c r="B75" i="60" a="1"/>
  <c r="B75" i="60" s="1"/>
  <c r="C74" i="60"/>
  <c r="B74" i="60" a="1"/>
  <c r="B74" i="60" s="1"/>
  <c r="C73" i="60"/>
  <c r="B73" i="60" a="1"/>
  <c r="B73" i="60" s="1"/>
  <c r="C72" i="60"/>
  <c r="B72" i="60" a="1"/>
  <c r="B72" i="60" s="1"/>
  <c r="C71" i="60"/>
  <c r="B71" i="60" a="1"/>
  <c r="B71" i="60" s="1"/>
  <c r="C70" i="60"/>
  <c r="B70" i="60" a="1"/>
  <c r="B70" i="60" s="1"/>
  <c r="C69" i="60"/>
  <c r="B69" i="60" a="1"/>
  <c r="B69" i="60" s="1"/>
  <c r="C68" i="60"/>
  <c r="B68" i="60" a="1"/>
  <c r="B68" i="60" s="1"/>
  <c r="C67" i="60"/>
  <c r="B67" i="60" a="1"/>
  <c r="B67" i="60" s="1"/>
  <c r="C66" i="60"/>
  <c r="B66" i="60" a="1"/>
  <c r="B66" i="60" s="1"/>
  <c r="C65" i="60"/>
  <c r="B65" i="60" a="1"/>
  <c r="B65" i="60" s="1"/>
  <c r="C64" i="60"/>
  <c r="B64" i="60" a="1"/>
  <c r="B64" i="60" s="1"/>
  <c r="C63" i="60"/>
  <c r="B63" i="60" a="1"/>
  <c r="B63" i="60" s="1"/>
  <c r="C62" i="60"/>
  <c r="B62" i="60" a="1"/>
  <c r="B62" i="60" s="1"/>
  <c r="C61" i="60"/>
  <c r="B61" i="60" a="1"/>
  <c r="B61" i="60" s="1"/>
  <c r="C60" i="60"/>
  <c r="B60" i="60" a="1"/>
  <c r="B60" i="60" s="1"/>
  <c r="C59" i="60"/>
  <c r="B59" i="60" a="1"/>
  <c r="B59" i="60" s="1"/>
  <c r="C58" i="60"/>
  <c r="B58" i="60" a="1"/>
  <c r="B58" i="60" s="1"/>
  <c r="C57" i="60"/>
  <c r="B57" i="60" a="1"/>
  <c r="B57" i="60" s="1"/>
  <c r="C56" i="60"/>
  <c r="B56" i="60" a="1"/>
  <c r="B56" i="60" s="1"/>
  <c r="C55" i="60"/>
  <c r="B55" i="60" a="1"/>
  <c r="B55" i="60" s="1"/>
  <c r="C54" i="60"/>
  <c r="B54" i="60" a="1"/>
  <c r="B54" i="60" s="1"/>
  <c r="C53" i="60"/>
  <c r="B53" i="60" a="1"/>
  <c r="B53" i="60" s="1"/>
  <c r="C52" i="60"/>
  <c r="B52" i="60" a="1"/>
  <c r="B52" i="60" s="1"/>
  <c r="C51" i="60"/>
  <c r="B51" i="60" a="1"/>
  <c r="B51" i="60" s="1"/>
  <c r="C50" i="60"/>
  <c r="B50" i="60" a="1"/>
  <c r="B50" i="60" s="1"/>
  <c r="C49" i="60"/>
  <c r="B49" i="60" a="1"/>
  <c r="B49" i="60" s="1"/>
  <c r="C48" i="60"/>
  <c r="B48" i="60" a="1"/>
  <c r="B48" i="60" s="1"/>
  <c r="C47" i="60"/>
  <c r="B47" i="60" a="1"/>
  <c r="B47" i="60" s="1"/>
  <c r="C46" i="60"/>
  <c r="B46" i="60" a="1"/>
  <c r="B46" i="60" s="1"/>
  <c r="C45" i="60"/>
  <c r="B45" i="60" a="1"/>
  <c r="B45" i="60" s="1"/>
  <c r="C44" i="60"/>
  <c r="B44" i="60" a="1"/>
  <c r="B44" i="60" s="1"/>
  <c r="C43" i="60"/>
  <c r="B43" i="60" a="1"/>
  <c r="B43" i="60" s="1"/>
  <c r="C42" i="60"/>
  <c r="B42" i="60" a="1"/>
  <c r="B42" i="60" s="1"/>
  <c r="C41" i="60"/>
  <c r="B41" i="60" a="1"/>
  <c r="B41" i="60" s="1"/>
  <c r="C40" i="60"/>
  <c r="B40" i="60" a="1"/>
  <c r="B40" i="60" s="1"/>
  <c r="C39" i="60"/>
  <c r="B39" i="60" a="1"/>
  <c r="B39" i="60" s="1"/>
  <c r="C38" i="60"/>
  <c r="B38" i="60" a="1"/>
  <c r="B38" i="60" s="1"/>
  <c r="C37" i="60"/>
  <c r="B37" i="60" a="1"/>
  <c r="B37" i="60" s="1"/>
  <c r="C36" i="60"/>
  <c r="B36" i="60" a="1"/>
  <c r="B36" i="60" s="1"/>
  <c r="C35" i="60"/>
  <c r="B35" i="60" a="1"/>
  <c r="B35" i="60" s="1"/>
  <c r="C34" i="60"/>
  <c r="B34" i="60" a="1"/>
  <c r="B34" i="60" s="1"/>
  <c r="C33" i="60"/>
  <c r="B33" i="60" a="1"/>
  <c r="B33" i="60" s="1"/>
  <c r="C32" i="60"/>
  <c r="B32" i="60" a="1"/>
  <c r="B32" i="60" s="1"/>
  <c r="C31" i="60"/>
  <c r="B31" i="60" a="1"/>
  <c r="B31" i="60" s="1"/>
  <c r="C30" i="60"/>
  <c r="B30" i="60" a="1"/>
  <c r="B30" i="60" s="1"/>
  <c r="C29" i="60"/>
  <c r="B29" i="60" a="1"/>
  <c r="B29" i="60" s="1"/>
  <c r="C28" i="60"/>
  <c r="B28" i="60" a="1"/>
  <c r="B28" i="60" s="1"/>
  <c r="C27" i="60"/>
  <c r="B27" i="60" a="1"/>
  <c r="B27" i="60" s="1"/>
  <c r="C26" i="60"/>
  <c r="B26" i="60" a="1"/>
  <c r="B26" i="60" s="1"/>
  <c r="C25" i="60"/>
  <c r="B25" i="60" a="1"/>
  <c r="B25" i="60" s="1"/>
  <c r="C24" i="60"/>
  <c r="B24" i="60" a="1"/>
  <c r="B24" i="60" s="1"/>
  <c r="C23" i="60"/>
  <c r="B23" i="60" a="1"/>
  <c r="B23" i="60" s="1"/>
  <c r="C22" i="60"/>
  <c r="B22" i="60" a="1"/>
  <c r="B22" i="60" s="1"/>
  <c r="C21" i="60"/>
  <c r="B21" i="60" a="1"/>
  <c r="B21" i="60" s="1"/>
  <c r="C20" i="60"/>
  <c r="B20" i="60" a="1"/>
  <c r="B20" i="60" s="1"/>
  <c r="C19" i="60"/>
  <c r="B19" i="60" a="1"/>
  <c r="B19" i="60" s="1"/>
  <c r="C18" i="60"/>
  <c r="B18" i="60" a="1"/>
  <c r="B18" i="60" s="1"/>
  <c r="C17" i="60"/>
  <c r="B17" i="60" a="1"/>
  <c r="B17" i="60" s="1"/>
  <c r="C16" i="60"/>
  <c r="B16" i="60" a="1"/>
  <c r="B16" i="60" s="1"/>
  <c r="C15" i="60"/>
  <c r="B15" i="60" a="1"/>
  <c r="B15" i="60" s="1"/>
  <c r="C14" i="60"/>
  <c r="B14" i="60" a="1"/>
  <c r="B14" i="60" s="1"/>
  <c r="B12" i="60"/>
  <c r="L11" i="60"/>
  <c r="B13" i="60" s="1"/>
  <c r="B11" i="60"/>
  <c r="D7" i="60"/>
  <c r="L2" i="60"/>
  <c r="K2" i="60"/>
  <c r="J2" i="60"/>
  <c r="I2" i="60"/>
  <c r="H2" i="60"/>
  <c r="G2" i="60"/>
  <c r="F2" i="60"/>
  <c r="E2" i="60"/>
  <c r="D2" i="60"/>
  <c r="C2" i="60"/>
  <c r="B2" i="60"/>
  <c r="L1" i="60"/>
  <c r="K1" i="60"/>
  <c r="J1" i="60"/>
  <c r="I1" i="60"/>
  <c r="H1" i="60"/>
  <c r="G1" i="60"/>
  <c r="F1" i="60"/>
  <c r="E1" i="60"/>
  <c r="D1" i="60"/>
  <c r="C1" i="60"/>
  <c r="B1" i="60"/>
  <c r="CA343" i="71"/>
  <c r="BY343" i="71"/>
  <c r="C342" i="71"/>
  <c r="B342" i="71" a="1"/>
  <c r="B342" i="71" s="1"/>
  <c r="C341" i="71"/>
  <c r="B341" i="71"/>
  <c r="B341" i="71" a="1"/>
  <c r="C340" i="71"/>
  <c r="B340" i="71" a="1"/>
  <c r="B340" i="71" s="1"/>
  <c r="C339" i="71"/>
  <c r="B339" i="71"/>
  <c r="B339" i="71" a="1"/>
  <c r="C338" i="71"/>
  <c r="B338" i="71"/>
  <c r="B338" i="71" a="1"/>
  <c r="C337" i="71"/>
  <c r="B337" i="71" a="1"/>
  <c r="B337" i="71" s="1"/>
  <c r="C336" i="71"/>
  <c r="B336" i="71" a="1"/>
  <c r="B336" i="71" s="1"/>
  <c r="C335" i="71"/>
  <c r="B335" i="71" a="1"/>
  <c r="B335" i="71" s="1"/>
  <c r="C334" i="71"/>
  <c r="B334" i="71" a="1"/>
  <c r="B334" i="71" s="1"/>
  <c r="C333" i="71"/>
  <c r="B333" i="71" a="1"/>
  <c r="B333" i="71" s="1"/>
  <c r="C332" i="71"/>
  <c r="B332" i="71"/>
  <c r="B332" i="71" a="1"/>
  <c r="C331" i="71"/>
  <c r="B331" i="71" a="1"/>
  <c r="B331" i="71" s="1"/>
  <c r="C330" i="71"/>
  <c r="B330" i="71" a="1"/>
  <c r="B330" i="71" s="1"/>
  <c r="C329" i="71"/>
  <c r="B329" i="71" a="1"/>
  <c r="B329" i="71" s="1"/>
  <c r="C328" i="71"/>
  <c r="B328" i="71" a="1"/>
  <c r="B328" i="71" s="1"/>
  <c r="C327" i="71"/>
  <c r="B327" i="71" a="1"/>
  <c r="B327" i="71" s="1"/>
  <c r="C326" i="71"/>
  <c r="B326" i="71" a="1"/>
  <c r="B326" i="71" s="1"/>
  <c r="C325" i="71"/>
  <c r="B325" i="71"/>
  <c r="B325" i="71" a="1"/>
  <c r="C324" i="71"/>
  <c r="B324" i="71" a="1"/>
  <c r="B324" i="71" s="1"/>
  <c r="C323" i="71"/>
  <c r="B323" i="71"/>
  <c r="B323" i="71" a="1"/>
  <c r="C322" i="71"/>
  <c r="B322" i="71"/>
  <c r="B322" i="71" a="1"/>
  <c r="C321" i="71"/>
  <c r="B321" i="71" a="1"/>
  <c r="B321" i="71" s="1"/>
  <c r="C320" i="71"/>
  <c r="B320" i="71" a="1"/>
  <c r="B320" i="71" s="1"/>
  <c r="C319" i="71"/>
  <c r="B319" i="71" a="1"/>
  <c r="B319" i="71" s="1"/>
  <c r="C318" i="71"/>
  <c r="B318" i="71" a="1"/>
  <c r="B318" i="71" s="1"/>
  <c r="C317" i="71"/>
  <c r="B317" i="71" a="1"/>
  <c r="B317" i="71" s="1"/>
  <c r="C316" i="71"/>
  <c r="B316" i="71"/>
  <c r="B316" i="71" a="1"/>
  <c r="C315" i="71"/>
  <c r="B315" i="71" a="1"/>
  <c r="B315" i="71" s="1"/>
  <c r="C314" i="71"/>
  <c r="B314" i="71" a="1"/>
  <c r="B314" i="71" s="1"/>
  <c r="C313" i="71"/>
  <c r="B313" i="71" a="1"/>
  <c r="B313" i="71" s="1"/>
  <c r="C312" i="71"/>
  <c r="B312" i="71" a="1"/>
  <c r="B312" i="71" s="1"/>
  <c r="C311" i="71"/>
  <c r="B311" i="71" a="1"/>
  <c r="B311" i="71" s="1"/>
  <c r="C310" i="71"/>
  <c r="B310" i="71" a="1"/>
  <c r="B310" i="71" s="1"/>
  <c r="C309" i="71"/>
  <c r="B309" i="71"/>
  <c r="B309" i="71" a="1"/>
  <c r="C308" i="71"/>
  <c r="B308" i="71" a="1"/>
  <c r="B308" i="71" s="1"/>
  <c r="C307" i="71"/>
  <c r="B307" i="71"/>
  <c r="B307" i="71" a="1"/>
  <c r="C306" i="71"/>
  <c r="B306" i="71"/>
  <c r="B306" i="71" a="1"/>
  <c r="C305" i="71"/>
  <c r="B305" i="71" a="1"/>
  <c r="B305" i="71" s="1"/>
  <c r="C304" i="71"/>
  <c r="B304" i="71" a="1"/>
  <c r="B304" i="71" s="1"/>
  <c r="C303" i="71"/>
  <c r="B303" i="71" a="1"/>
  <c r="B303" i="71" s="1"/>
  <c r="C302" i="71"/>
  <c r="B302" i="71" a="1"/>
  <c r="B302" i="71" s="1"/>
  <c r="C301" i="71"/>
  <c r="B301" i="71" a="1"/>
  <c r="B301" i="71" s="1"/>
  <c r="C300" i="71"/>
  <c r="B300" i="71"/>
  <c r="B300" i="71" a="1"/>
  <c r="C299" i="71"/>
  <c r="B299" i="71" a="1"/>
  <c r="B299" i="71" s="1"/>
  <c r="C298" i="71"/>
  <c r="B298" i="71" a="1"/>
  <c r="B298" i="71" s="1"/>
  <c r="C297" i="71"/>
  <c r="B297" i="71" a="1"/>
  <c r="B297" i="71" s="1"/>
  <c r="C296" i="71"/>
  <c r="B296" i="71" a="1"/>
  <c r="B296" i="71" s="1"/>
  <c r="C295" i="71"/>
  <c r="B295" i="71" a="1"/>
  <c r="B295" i="71" s="1"/>
  <c r="C294" i="71"/>
  <c r="B294" i="71" a="1"/>
  <c r="B294" i="71" s="1"/>
  <c r="C293" i="71"/>
  <c r="B293" i="71"/>
  <c r="B293" i="71" a="1"/>
  <c r="C292" i="71"/>
  <c r="B292" i="71" a="1"/>
  <c r="B292" i="71" s="1"/>
  <c r="C291" i="71"/>
  <c r="B291" i="71"/>
  <c r="B291" i="71" a="1"/>
  <c r="C290" i="71"/>
  <c r="B290" i="71"/>
  <c r="B290" i="71" a="1"/>
  <c r="C289" i="71"/>
  <c r="B289" i="71" a="1"/>
  <c r="B289" i="71" s="1"/>
  <c r="C288" i="71"/>
  <c r="B288" i="71"/>
  <c r="B288" i="71" a="1"/>
  <c r="C287" i="71"/>
  <c r="B287" i="71" a="1"/>
  <c r="B287" i="71" s="1"/>
  <c r="C286" i="71"/>
  <c r="B286" i="71" a="1"/>
  <c r="B286" i="71" s="1"/>
  <c r="C285" i="71"/>
  <c r="B285" i="71" a="1"/>
  <c r="B285" i="71" s="1"/>
  <c r="C284" i="71"/>
  <c r="B284" i="71"/>
  <c r="B284" i="71" a="1"/>
  <c r="C283" i="71"/>
  <c r="B283" i="71" a="1"/>
  <c r="B283" i="71" s="1"/>
  <c r="C282" i="71"/>
  <c r="B282" i="71" a="1"/>
  <c r="B282" i="71" s="1"/>
  <c r="C281" i="71"/>
  <c r="B281" i="71" a="1"/>
  <c r="B281" i="71" s="1"/>
  <c r="C280" i="71"/>
  <c r="B280" i="71" a="1"/>
  <c r="B280" i="71" s="1"/>
  <c r="C279" i="71"/>
  <c r="B279" i="71" a="1"/>
  <c r="B279" i="71" s="1"/>
  <c r="C278" i="71"/>
  <c r="B278" i="71" a="1"/>
  <c r="B278" i="71" s="1"/>
  <c r="C277" i="71"/>
  <c r="B277" i="71"/>
  <c r="B277" i="71" a="1"/>
  <c r="C276" i="71"/>
  <c r="B276" i="71" a="1"/>
  <c r="B276" i="71" s="1"/>
  <c r="C275" i="71"/>
  <c r="B275" i="71"/>
  <c r="B275" i="71" a="1"/>
  <c r="C274" i="71"/>
  <c r="B274" i="71"/>
  <c r="B274" i="71" a="1"/>
  <c r="C273" i="71"/>
  <c r="B273" i="71" a="1"/>
  <c r="B273" i="71" s="1"/>
  <c r="C272" i="71"/>
  <c r="B272" i="71"/>
  <c r="B272" i="71" a="1"/>
  <c r="C271" i="71"/>
  <c r="B271" i="71" a="1"/>
  <c r="B271" i="71" s="1"/>
  <c r="C270" i="71"/>
  <c r="B270" i="71" a="1"/>
  <c r="B270" i="71" s="1"/>
  <c r="C269" i="71"/>
  <c r="B269" i="71" a="1"/>
  <c r="B269" i="71" s="1"/>
  <c r="C268" i="71"/>
  <c r="B268" i="71"/>
  <c r="B268" i="71" a="1"/>
  <c r="C267" i="71"/>
  <c r="B267" i="71" a="1"/>
  <c r="B267" i="71" s="1"/>
  <c r="C266" i="71"/>
  <c r="B266" i="71" a="1"/>
  <c r="B266" i="71" s="1"/>
  <c r="C265" i="71"/>
  <c r="B265" i="71" a="1"/>
  <c r="B265" i="71" s="1"/>
  <c r="C264" i="71"/>
  <c r="B264" i="71" a="1"/>
  <c r="B264" i="71" s="1"/>
  <c r="C263" i="71"/>
  <c r="B263" i="71" a="1"/>
  <c r="B263" i="71" s="1"/>
  <c r="C262" i="71"/>
  <c r="B262" i="71" a="1"/>
  <c r="B262" i="71" s="1"/>
  <c r="C261" i="71"/>
  <c r="B261" i="71"/>
  <c r="B261" i="71" a="1"/>
  <c r="C260" i="71"/>
  <c r="B260" i="71" a="1"/>
  <c r="B260" i="71" s="1"/>
  <c r="C259" i="71"/>
  <c r="B259" i="71"/>
  <c r="B259" i="71" a="1"/>
  <c r="C258" i="71"/>
  <c r="B258" i="71"/>
  <c r="B258" i="71" a="1"/>
  <c r="C257" i="71"/>
  <c r="B257" i="71" a="1"/>
  <c r="B257" i="71" s="1"/>
  <c r="C256" i="71"/>
  <c r="B256" i="71"/>
  <c r="B256" i="71" a="1"/>
  <c r="C255" i="71"/>
  <c r="B255" i="71" a="1"/>
  <c r="B255" i="71" s="1"/>
  <c r="C254" i="71"/>
  <c r="B254" i="71" a="1"/>
  <c r="B254" i="71" s="1"/>
  <c r="C253" i="71"/>
  <c r="B253" i="71" a="1"/>
  <c r="B253" i="71" s="1"/>
  <c r="C252" i="71"/>
  <c r="B252" i="71"/>
  <c r="B252" i="71" a="1"/>
  <c r="C251" i="71"/>
  <c r="B251" i="71" a="1"/>
  <c r="B251" i="71" s="1"/>
  <c r="C250" i="71"/>
  <c r="B250" i="71" a="1"/>
  <c r="B250" i="71" s="1"/>
  <c r="C249" i="71"/>
  <c r="B249" i="71" a="1"/>
  <c r="B249" i="71" s="1"/>
  <c r="C248" i="71"/>
  <c r="B248" i="71" a="1"/>
  <c r="B248" i="71" s="1"/>
  <c r="C247" i="71"/>
  <c r="B247" i="71" a="1"/>
  <c r="B247" i="71" s="1"/>
  <c r="C246" i="71"/>
  <c r="B246" i="71" a="1"/>
  <c r="B246" i="71" s="1"/>
  <c r="C245" i="71"/>
  <c r="B245" i="71"/>
  <c r="B245" i="71" a="1"/>
  <c r="C244" i="71"/>
  <c r="B244" i="71" a="1"/>
  <c r="B244" i="71" s="1"/>
  <c r="C243" i="71"/>
  <c r="B243" i="71"/>
  <c r="B243" i="71" a="1"/>
  <c r="C242" i="71"/>
  <c r="B242" i="71"/>
  <c r="B242" i="71" a="1"/>
  <c r="C241" i="71"/>
  <c r="B241" i="71" a="1"/>
  <c r="B241" i="71" s="1"/>
  <c r="C240" i="71"/>
  <c r="B240" i="71" a="1"/>
  <c r="B240" i="71" s="1"/>
  <c r="C239" i="71"/>
  <c r="B239" i="71" a="1"/>
  <c r="B239" i="71" s="1"/>
  <c r="C238" i="71"/>
  <c r="B238" i="71" a="1"/>
  <c r="B238" i="71" s="1"/>
  <c r="C237" i="71"/>
  <c r="B237" i="71" a="1"/>
  <c r="B237" i="71" s="1"/>
  <c r="C236" i="71"/>
  <c r="B236" i="71"/>
  <c r="B236" i="71" a="1"/>
  <c r="C235" i="71"/>
  <c r="B235" i="71" a="1"/>
  <c r="B235" i="71" s="1"/>
  <c r="C234" i="71"/>
  <c r="B234" i="71" a="1"/>
  <c r="B234" i="71" s="1"/>
  <c r="C233" i="71"/>
  <c r="B233" i="71" a="1"/>
  <c r="B233" i="71" s="1"/>
  <c r="C232" i="71"/>
  <c r="B232" i="71" a="1"/>
  <c r="B232" i="71" s="1"/>
  <c r="C231" i="71"/>
  <c r="B231" i="71" a="1"/>
  <c r="B231" i="71" s="1"/>
  <c r="C230" i="71"/>
  <c r="B230" i="71" a="1"/>
  <c r="B230" i="71" s="1"/>
  <c r="C229" i="71"/>
  <c r="B229" i="71"/>
  <c r="B229" i="71" a="1"/>
  <c r="C228" i="71"/>
  <c r="B228" i="71" a="1"/>
  <c r="B228" i="71" s="1"/>
  <c r="C227" i="71"/>
  <c r="B227" i="71"/>
  <c r="B227" i="71" a="1"/>
  <c r="C226" i="71"/>
  <c r="B226" i="71"/>
  <c r="B226" i="71" a="1"/>
  <c r="C225" i="71"/>
  <c r="B225" i="71" a="1"/>
  <c r="B225" i="71" s="1"/>
  <c r="C224" i="71"/>
  <c r="B224" i="71" a="1"/>
  <c r="B224" i="71" s="1"/>
  <c r="C223" i="71"/>
  <c r="B223" i="71" a="1"/>
  <c r="B223" i="71" s="1"/>
  <c r="C222" i="71"/>
  <c r="B222" i="71" a="1"/>
  <c r="B222" i="71" s="1"/>
  <c r="C221" i="71"/>
  <c r="B221" i="71" a="1"/>
  <c r="B221" i="71" s="1"/>
  <c r="C220" i="71"/>
  <c r="B220" i="71"/>
  <c r="B220" i="71" a="1"/>
  <c r="C219" i="71"/>
  <c r="B219" i="71" a="1"/>
  <c r="B219" i="71" s="1"/>
  <c r="C218" i="71"/>
  <c r="B218" i="71" a="1"/>
  <c r="B218" i="71" s="1"/>
  <c r="C217" i="71"/>
  <c r="B217" i="71" a="1"/>
  <c r="B217" i="71" s="1"/>
  <c r="C216" i="71"/>
  <c r="B216" i="71" a="1"/>
  <c r="B216" i="71" s="1"/>
  <c r="C215" i="71"/>
  <c r="B215" i="71" a="1"/>
  <c r="B215" i="71" s="1"/>
  <c r="C214" i="71"/>
  <c r="B214" i="71" a="1"/>
  <c r="B214" i="71" s="1"/>
  <c r="C213" i="71"/>
  <c r="B213" i="71"/>
  <c r="B213" i="71" a="1"/>
  <c r="C212" i="71"/>
  <c r="B212" i="71" a="1"/>
  <c r="B212" i="71" s="1"/>
  <c r="C211" i="71"/>
  <c r="B211" i="71"/>
  <c r="B211" i="71" a="1"/>
  <c r="C210" i="71"/>
  <c r="B210" i="71"/>
  <c r="B210" i="71" a="1"/>
  <c r="C209" i="71"/>
  <c r="B209" i="71" a="1"/>
  <c r="B209" i="71" s="1"/>
  <c r="C208" i="71"/>
  <c r="B208" i="71" a="1"/>
  <c r="B208" i="71" s="1"/>
  <c r="C207" i="71"/>
  <c r="B207" i="71" a="1"/>
  <c r="B207" i="71" s="1"/>
  <c r="C206" i="71"/>
  <c r="B206" i="71" a="1"/>
  <c r="B206" i="71" s="1"/>
  <c r="C205" i="71"/>
  <c r="B205" i="71" a="1"/>
  <c r="B205" i="71" s="1"/>
  <c r="C204" i="71"/>
  <c r="B204" i="71"/>
  <c r="B204" i="71" a="1"/>
  <c r="C203" i="71"/>
  <c r="B203" i="71" a="1"/>
  <c r="B203" i="71" s="1"/>
  <c r="C202" i="71"/>
  <c r="B202" i="71" a="1"/>
  <c r="B202" i="71" s="1"/>
  <c r="C201" i="71"/>
  <c r="B201" i="71" a="1"/>
  <c r="B201" i="71" s="1"/>
  <c r="C200" i="71"/>
  <c r="B200" i="71" a="1"/>
  <c r="B200" i="71" s="1"/>
  <c r="C199" i="71"/>
  <c r="B199" i="71" a="1"/>
  <c r="B199" i="71" s="1"/>
  <c r="C198" i="71"/>
  <c r="B198" i="71" a="1"/>
  <c r="B198" i="71" s="1"/>
  <c r="C197" i="71"/>
  <c r="B197" i="71"/>
  <c r="B197" i="71" a="1"/>
  <c r="C196" i="71"/>
  <c r="B196" i="71" a="1"/>
  <c r="B196" i="71" s="1"/>
  <c r="C195" i="71"/>
  <c r="B195" i="71"/>
  <c r="B195" i="71" a="1"/>
  <c r="C194" i="71"/>
  <c r="B194" i="71"/>
  <c r="B194" i="71" a="1"/>
  <c r="C193" i="71"/>
  <c r="B193" i="71" a="1"/>
  <c r="B193" i="71" s="1"/>
  <c r="C192" i="71"/>
  <c r="B192" i="71"/>
  <c r="B192" i="71" a="1"/>
  <c r="C191" i="71"/>
  <c r="B191" i="71" a="1"/>
  <c r="B191" i="71" s="1"/>
  <c r="C190" i="71"/>
  <c r="B190" i="71" a="1"/>
  <c r="B190" i="71" s="1"/>
  <c r="C189" i="71"/>
  <c r="B189" i="71" a="1"/>
  <c r="B189" i="71" s="1"/>
  <c r="C188" i="71"/>
  <c r="B188" i="71"/>
  <c r="B188" i="71" a="1"/>
  <c r="C187" i="71"/>
  <c r="B187" i="71" a="1"/>
  <c r="B187" i="71" s="1"/>
  <c r="C186" i="71"/>
  <c r="B186" i="71" a="1"/>
  <c r="B186" i="71" s="1"/>
  <c r="C185" i="71"/>
  <c r="B185" i="71" a="1"/>
  <c r="B185" i="71" s="1"/>
  <c r="C184" i="71"/>
  <c r="B184" i="71" a="1"/>
  <c r="B184" i="71" s="1"/>
  <c r="C183" i="71"/>
  <c r="B183" i="71" a="1"/>
  <c r="B183" i="71" s="1"/>
  <c r="C182" i="71"/>
  <c r="B182" i="71" a="1"/>
  <c r="B182" i="71" s="1"/>
  <c r="C181" i="71"/>
  <c r="B181" i="71"/>
  <c r="B181" i="71" a="1"/>
  <c r="C180" i="71"/>
  <c r="B180" i="71" a="1"/>
  <c r="B180" i="71" s="1"/>
  <c r="C179" i="71"/>
  <c r="B179" i="71"/>
  <c r="B179" i="71" a="1"/>
  <c r="C178" i="71"/>
  <c r="B178" i="71"/>
  <c r="B178" i="71" a="1"/>
  <c r="C177" i="71"/>
  <c r="B177" i="71" a="1"/>
  <c r="B177" i="71" s="1"/>
  <c r="C176" i="71"/>
  <c r="B176" i="71"/>
  <c r="B176" i="71" a="1"/>
  <c r="C175" i="71"/>
  <c r="B175" i="71" a="1"/>
  <c r="B175" i="71" s="1"/>
  <c r="C174" i="71"/>
  <c r="B174" i="71" a="1"/>
  <c r="B174" i="71" s="1"/>
  <c r="C173" i="71"/>
  <c r="B173" i="71" a="1"/>
  <c r="B173" i="71" s="1"/>
  <c r="C172" i="71"/>
  <c r="B172" i="71"/>
  <c r="B172" i="71" a="1"/>
  <c r="C171" i="71"/>
  <c r="B171" i="71" a="1"/>
  <c r="B171" i="71" s="1"/>
  <c r="C170" i="71"/>
  <c r="B170" i="71" a="1"/>
  <c r="B170" i="71" s="1"/>
  <c r="C169" i="71"/>
  <c r="B169" i="71" a="1"/>
  <c r="B169" i="71" s="1"/>
  <c r="C168" i="71"/>
  <c r="B168" i="71" a="1"/>
  <c r="B168" i="71" s="1"/>
  <c r="C167" i="71"/>
  <c r="B167" i="71" a="1"/>
  <c r="B167" i="71" s="1"/>
  <c r="C166" i="71"/>
  <c r="B166" i="71" a="1"/>
  <c r="B166" i="71" s="1"/>
  <c r="C165" i="71"/>
  <c r="B165" i="71"/>
  <c r="B165" i="71" a="1"/>
  <c r="C164" i="71"/>
  <c r="B164" i="71" a="1"/>
  <c r="B164" i="71" s="1"/>
  <c r="C163" i="71"/>
  <c r="B163" i="71"/>
  <c r="B163" i="71" a="1"/>
  <c r="C162" i="71"/>
  <c r="B162" i="71"/>
  <c r="B162" i="71" a="1"/>
  <c r="C161" i="71"/>
  <c r="B161" i="71" a="1"/>
  <c r="B161" i="71" s="1"/>
  <c r="C160" i="71"/>
  <c r="B160" i="71"/>
  <c r="B160" i="71" a="1"/>
  <c r="C159" i="71"/>
  <c r="B159" i="71" a="1"/>
  <c r="B159" i="71" s="1"/>
  <c r="C158" i="71"/>
  <c r="B158" i="71" a="1"/>
  <c r="B158" i="71" s="1"/>
  <c r="C157" i="71"/>
  <c r="B157" i="71" a="1"/>
  <c r="B157" i="71" s="1"/>
  <c r="C156" i="71"/>
  <c r="B156" i="71"/>
  <c r="B156" i="71" a="1"/>
  <c r="C155" i="71"/>
  <c r="B155" i="71" a="1"/>
  <c r="B155" i="71" s="1"/>
  <c r="C154" i="71"/>
  <c r="B154" i="71" a="1"/>
  <c r="B154" i="71" s="1"/>
  <c r="C153" i="71"/>
  <c r="B153" i="71" a="1"/>
  <c r="B153" i="71" s="1"/>
  <c r="C152" i="71"/>
  <c r="B152" i="71" a="1"/>
  <c r="B152" i="71" s="1"/>
  <c r="C151" i="71"/>
  <c r="B151" i="71" a="1"/>
  <c r="B151" i="71" s="1"/>
  <c r="C150" i="71"/>
  <c r="B150" i="71" a="1"/>
  <c r="B150" i="71" s="1"/>
  <c r="C149" i="71"/>
  <c r="B149" i="71"/>
  <c r="B149" i="71" a="1"/>
  <c r="C148" i="71"/>
  <c r="B148" i="71" a="1"/>
  <c r="B148" i="71" s="1"/>
  <c r="C147" i="71"/>
  <c r="B147" i="71"/>
  <c r="B147" i="71" a="1"/>
  <c r="C146" i="71"/>
  <c r="B146" i="71"/>
  <c r="B146" i="71" a="1"/>
  <c r="C145" i="71"/>
  <c r="B145" i="71" a="1"/>
  <c r="B145" i="71" s="1"/>
  <c r="C144" i="71"/>
  <c r="B144" i="71"/>
  <c r="B144" i="71" a="1"/>
  <c r="C143" i="71"/>
  <c r="B143" i="71" a="1"/>
  <c r="B143" i="71" s="1"/>
  <c r="C142" i="71"/>
  <c r="B142" i="71" a="1"/>
  <c r="B142" i="71" s="1"/>
  <c r="C141" i="71"/>
  <c r="B141" i="71" a="1"/>
  <c r="B141" i="71" s="1"/>
  <c r="C140" i="71"/>
  <c r="B140" i="71"/>
  <c r="B140" i="71" a="1"/>
  <c r="C139" i="71"/>
  <c r="B139" i="71" a="1"/>
  <c r="B139" i="71" s="1"/>
  <c r="C138" i="71"/>
  <c r="B138" i="71" a="1"/>
  <c r="B138" i="71" s="1"/>
  <c r="C137" i="71"/>
  <c r="B137" i="71" a="1"/>
  <c r="B137" i="71" s="1"/>
  <c r="C136" i="71"/>
  <c r="B136" i="71" a="1"/>
  <c r="B136" i="71" s="1"/>
  <c r="C135" i="71"/>
  <c r="B135" i="71" a="1"/>
  <c r="B135" i="71" s="1"/>
  <c r="C134" i="71"/>
  <c r="B134" i="71" a="1"/>
  <c r="B134" i="71" s="1"/>
  <c r="C133" i="71"/>
  <c r="B133" i="71"/>
  <c r="B133" i="71" a="1"/>
  <c r="C132" i="71"/>
  <c r="B132" i="71" a="1"/>
  <c r="B132" i="71" s="1"/>
  <c r="C131" i="71"/>
  <c r="B131" i="71"/>
  <c r="B131" i="71" a="1"/>
  <c r="C130" i="71"/>
  <c r="B130" i="71"/>
  <c r="B130" i="71" a="1"/>
  <c r="C129" i="71"/>
  <c r="B129" i="71" a="1"/>
  <c r="B129" i="71" s="1"/>
  <c r="C128" i="71"/>
  <c r="B128" i="71"/>
  <c r="B128" i="71" a="1"/>
  <c r="C127" i="71"/>
  <c r="B127" i="71" a="1"/>
  <c r="B127" i="71" s="1"/>
  <c r="C126" i="71"/>
  <c r="B126" i="71" a="1"/>
  <c r="B126" i="71" s="1"/>
  <c r="C125" i="71"/>
  <c r="B125" i="71" a="1"/>
  <c r="B125" i="71" s="1"/>
  <c r="C124" i="71"/>
  <c r="B124" i="71"/>
  <c r="B124" i="71" a="1"/>
  <c r="C123" i="71"/>
  <c r="B123" i="71" a="1"/>
  <c r="B123" i="71" s="1"/>
  <c r="C122" i="71"/>
  <c r="B122" i="71" a="1"/>
  <c r="B122" i="71" s="1"/>
  <c r="C121" i="71"/>
  <c r="B121" i="71" a="1"/>
  <c r="B121" i="71" s="1"/>
  <c r="C120" i="71"/>
  <c r="B120" i="71" a="1"/>
  <c r="B120" i="71" s="1"/>
  <c r="C119" i="71"/>
  <c r="B119" i="71" a="1"/>
  <c r="B119" i="71" s="1"/>
  <c r="C118" i="71"/>
  <c r="B118" i="71" a="1"/>
  <c r="B118" i="71" s="1"/>
  <c r="C117" i="71"/>
  <c r="B117" i="71"/>
  <c r="B117" i="71" a="1"/>
  <c r="C116" i="71"/>
  <c r="B116" i="71" a="1"/>
  <c r="B116" i="71" s="1"/>
  <c r="C115" i="71"/>
  <c r="B115" i="71"/>
  <c r="B115" i="71" a="1"/>
  <c r="C114" i="71"/>
  <c r="B114" i="71"/>
  <c r="B114" i="71" a="1"/>
  <c r="C113" i="71"/>
  <c r="B113" i="71" a="1"/>
  <c r="B113" i="71" s="1"/>
  <c r="C112" i="71"/>
  <c r="B112" i="71"/>
  <c r="B112" i="71" a="1"/>
  <c r="C111" i="71"/>
  <c r="B111" i="71" a="1"/>
  <c r="B111" i="71" s="1"/>
  <c r="C110" i="71"/>
  <c r="B110" i="71" a="1"/>
  <c r="B110" i="71" s="1"/>
  <c r="C109" i="71"/>
  <c r="B109" i="71" a="1"/>
  <c r="B109" i="71" s="1"/>
  <c r="C108" i="71"/>
  <c r="B108" i="71"/>
  <c r="B108" i="71" a="1"/>
  <c r="C107" i="71"/>
  <c r="B107" i="71" a="1"/>
  <c r="B107" i="71" s="1"/>
  <c r="C106" i="71"/>
  <c r="B106" i="71" a="1"/>
  <c r="B106" i="71" s="1"/>
  <c r="C105" i="71"/>
  <c r="B105" i="71" a="1"/>
  <c r="B105" i="71" s="1"/>
  <c r="C104" i="71"/>
  <c r="B104" i="71" a="1"/>
  <c r="B104" i="71" s="1"/>
  <c r="C103" i="71"/>
  <c r="B103" i="71" a="1"/>
  <c r="B103" i="71" s="1"/>
  <c r="C102" i="71"/>
  <c r="B102" i="71" a="1"/>
  <c r="B102" i="71" s="1"/>
  <c r="C101" i="71"/>
  <c r="B101" i="71"/>
  <c r="B101" i="71" a="1"/>
  <c r="C100" i="71"/>
  <c r="B100" i="71" a="1"/>
  <c r="B100" i="71" s="1"/>
  <c r="C99" i="71"/>
  <c r="B99" i="71"/>
  <c r="B99" i="71" a="1"/>
  <c r="C98" i="71"/>
  <c r="B98" i="71"/>
  <c r="B98" i="71" a="1"/>
  <c r="C97" i="71"/>
  <c r="B97" i="71" a="1"/>
  <c r="B97" i="71" s="1"/>
  <c r="C96" i="71"/>
  <c r="B96" i="71"/>
  <c r="B96" i="71" a="1"/>
  <c r="C95" i="71"/>
  <c r="B95" i="71" a="1"/>
  <c r="B95" i="71" s="1"/>
  <c r="C94" i="71"/>
  <c r="B94" i="71" a="1"/>
  <c r="B94" i="71" s="1"/>
  <c r="C93" i="71"/>
  <c r="B93" i="71" a="1"/>
  <c r="B93" i="71" s="1"/>
  <c r="C92" i="71"/>
  <c r="B92" i="71"/>
  <c r="B92" i="71" a="1"/>
  <c r="C91" i="71"/>
  <c r="B91" i="71" a="1"/>
  <c r="B91" i="71" s="1"/>
  <c r="C90" i="71"/>
  <c r="B90" i="71" a="1"/>
  <c r="B90" i="71" s="1"/>
  <c r="C89" i="71"/>
  <c r="B89" i="71" a="1"/>
  <c r="B89" i="71" s="1"/>
  <c r="C88" i="71"/>
  <c r="B88" i="71" a="1"/>
  <c r="B88" i="71" s="1"/>
  <c r="C87" i="71"/>
  <c r="B87" i="71" a="1"/>
  <c r="B87" i="71" s="1"/>
  <c r="C86" i="71"/>
  <c r="B86" i="71" a="1"/>
  <c r="B86" i="71" s="1"/>
  <c r="C85" i="71"/>
  <c r="B85" i="71"/>
  <c r="B85" i="71" a="1"/>
  <c r="C84" i="71"/>
  <c r="B84" i="71" a="1"/>
  <c r="B84" i="71" s="1"/>
  <c r="C83" i="71"/>
  <c r="B83" i="71"/>
  <c r="B83" i="71" a="1"/>
  <c r="C82" i="71"/>
  <c r="B82" i="71"/>
  <c r="B82" i="71" a="1"/>
  <c r="C81" i="71"/>
  <c r="B81" i="71" a="1"/>
  <c r="B81" i="71" s="1"/>
  <c r="C80" i="71"/>
  <c r="B80" i="71"/>
  <c r="B80" i="71" a="1"/>
  <c r="C79" i="71"/>
  <c r="B79" i="71" a="1"/>
  <c r="B79" i="71" s="1"/>
  <c r="C78" i="71"/>
  <c r="B78" i="71" a="1"/>
  <c r="B78" i="71" s="1"/>
  <c r="C77" i="71"/>
  <c r="B77" i="71" a="1"/>
  <c r="B77" i="71" s="1"/>
  <c r="C76" i="71"/>
  <c r="B76" i="71"/>
  <c r="B76" i="71" a="1"/>
  <c r="C75" i="71"/>
  <c r="B75" i="71" a="1"/>
  <c r="B75" i="71" s="1"/>
  <c r="C74" i="71"/>
  <c r="B74" i="71" a="1"/>
  <c r="B74" i="71" s="1"/>
  <c r="C73" i="71"/>
  <c r="B73" i="71" a="1"/>
  <c r="B73" i="71" s="1"/>
  <c r="C72" i="71"/>
  <c r="B72" i="71" a="1"/>
  <c r="B72" i="71" s="1"/>
  <c r="C71" i="71"/>
  <c r="B71" i="71" a="1"/>
  <c r="B71" i="71" s="1"/>
  <c r="C70" i="71"/>
  <c r="B70" i="71" a="1"/>
  <c r="B70" i="71" s="1"/>
  <c r="C69" i="71"/>
  <c r="B69" i="71"/>
  <c r="B69" i="71" a="1"/>
  <c r="C68" i="71"/>
  <c r="B68" i="71" a="1"/>
  <c r="B68" i="71" s="1"/>
  <c r="C67" i="71"/>
  <c r="B67" i="71"/>
  <c r="B67" i="71" a="1"/>
  <c r="C66" i="71"/>
  <c r="B66" i="71"/>
  <c r="B66" i="71" a="1"/>
  <c r="C65" i="71"/>
  <c r="B65" i="71" a="1"/>
  <c r="B65" i="71" s="1"/>
  <c r="C64" i="71"/>
  <c r="B64" i="71" a="1"/>
  <c r="B64" i="71" s="1"/>
  <c r="C63" i="71"/>
  <c r="B63" i="71" a="1"/>
  <c r="B63" i="71" s="1"/>
  <c r="C62" i="71"/>
  <c r="B62" i="71" a="1"/>
  <c r="B62" i="71" s="1"/>
  <c r="C61" i="71"/>
  <c r="B61" i="71" a="1"/>
  <c r="B61" i="71" s="1"/>
  <c r="C60" i="71"/>
  <c r="B60" i="71"/>
  <c r="B60" i="71" a="1"/>
  <c r="C59" i="71"/>
  <c r="B59" i="71" a="1"/>
  <c r="B59" i="71" s="1"/>
  <c r="C58" i="71"/>
  <c r="B58" i="71" a="1"/>
  <c r="B58" i="71" s="1"/>
  <c r="C57" i="71"/>
  <c r="B57" i="71" a="1"/>
  <c r="B57" i="71" s="1"/>
  <c r="C56" i="71"/>
  <c r="B56" i="71" a="1"/>
  <c r="B56" i="71" s="1"/>
  <c r="C55" i="71"/>
  <c r="B55" i="71"/>
  <c r="B55" i="71" a="1"/>
  <c r="C54" i="71"/>
  <c r="B54" i="71" a="1"/>
  <c r="B54" i="71" s="1"/>
  <c r="C53" i="71"/>
  <c r="B53" i="71" a="1"/>
  <c r="B53" i="71" s="1"/>
  <c r="C52" i="71"/>
  <c r="B52" i="71"/>
  <c r="B52" i="71" a="1"/>
  <c r="C51" i="71"/>
  <c r="B51" i="71" a="1"/>
  <c r="B51" i="71" s="1"/>
  <c r="C50" i="71"/>
  <c r="B50" i="71" a="1"/>
  <c r="B50" i="71" s="1"/>
  <c r="C49" i="71"/>
  <c r="B49" i="71"/>
  <c r="B49" i="71" a="1"/>
  <c r="C48" i="71"/>
  <c r="B48" i="71"/>
  <c r="B48" i="71" a="1"/>
  <c r="C47" i="71"/>
  <c r="B47" i="71"/>
  <c r="B47" i="71" a="1"/>
  <c r="C46" i="71"/>
  <c r="B46" i="71" a="1"/>
  <c r="B46" i="71" s="1"/>
  <c r="C45" i="71"/>
  <c r="B45" i="71" a="1"/>
  <c r="B45" i="71" s="1"/>
  <c r="C44" i="71"/>
  <c r="B44" i="71" a="1"/>
  <c r="B44" i="71" s="1"/>
  <c r="C43" i="71"/>
  <c r="B43" i="71" a="1"/>
  <c r="B43" i="71" s="1"/>
  <c r="C42" i="71"/>
  <c r="B42" i="71" a="1"/>
  <c r="B42" i="71" s="1"/>
  <c r="C41" i="71"/>
  <c r="B41" i="71" a="1"/>
  <c r="B41" i="71" s="1"/>
  <c r="C40" i="71"/>
  <c r="B40" i="71" a="1"/>
  <c r="B40" i="71" s="1"/>
  <c r="C39" i="71"/>
  <c r="B39" i="71" a="1"/>
  <c r="B39" i="71" s="1"/>
  <c r="C38" i="71"/>
  <c r="B38" i="71"/>
  <c r="B38" i="71" a="1"/>
  <c r="C37" i="71"/>
  <c r="B37" i="71" a="1"/>
  <c r="B37" i="71" s="1"/>
  <c r="C36" i="71"/>
  <c r="B36" i="71" a="1"/>
  <c r="B36" i="71" s="1"/>
  <c r="C35" i="71"/>
  <c r="B35" i="71" a="1"/>
  <c r="B35" i="71" s="1"/>
  <c r="C34" i="71"/>
  <c r="B34" i="71" a="1"/>
  <c r="B34" i="71" s="1"/>
  <c r="C33" i="71"/>
  <c r="B33" i="71"/>
  <c r="B33" i="71" a="1"/>
  <c r="C32" i="71"/>
  <c r="B32" i="71" a="1"/>
  <c r="B32" i="71" s="1"/>
  <c r="C31" i="71"/>
  <c r="B31" i="71" a="1"/>
  <c r="B31" i="71" s="1"/>
  <c r="C30" i="71"/>
  <c r="B30" i="71" a="1"/>
  <c r="B30" i="71" s="1"/>
  <c r="C29" i="71"/>
  <c r="B29" i="71" a="1"/>
  <c r="B29" i="71" s="1"/>
  <c r="C28" i="71"/>
  <c r="B28" i="71" a="1"/>
  <c r="B28" i="71" s="1"/>
  <c r="C27" i="71"/>
  <c r="B27" i="71" a="1"/>
  <c r="B27" i="71" s="1"/>
  <c r="C26" i="71"/>
  <c r="B26" i="71"/>
  <c r="B26" i="71" a="1"/>
  <c r="C25" i="71"/>
  <c r="B25" i="71" a="1"/>
  <c r="B25" i="71" s="1"/>
  <c r="C24" i="71"/>
  <c r="B24" i="71" a="1"/>
  <c r="B24" i="71" s="1"/>
  <c r="C23" i="71"/>
  <c r="B23" i="71"/>
  <c r="B23" i="71" a="1"/>
  <c r="C22" i="71"/>
  <c r="B22" i="71" a="1"/>
  <c r="B22" i="71" s="1"/>
  <c r="C21" i="71"/>
  <c r="B21" i="71" a="1"/>
  <c r="B21" i="71" s="1"/>
  <c r="C20" i="71"/>
  <c r="B20" i="71" a="1"/>
  <c r="B20" i="71" s="1"/>
  <c r="C19" i="71"/>
  <c r="B19" i="71" a="1"/>
  <c r="B19" i="71" s="1"/>
  <c r="C18" i="71"/>
  <c r="B18" i="71" a="1"/>
  <c r="B18" i="71" s="1"/>
  <c r="C17" i="71"/>
  <c r="B17" i="71" a="1"/>
  <c r="B17" i="71" s="1"/>
  <c r="C16" i="71"/>
  <c r="B16" i="71" a="1"/>
  <c r="B16" i="71" s="1"/>
  <c r="C15" i="71"/>
  <c r="B15" i="71" a="1"/>
  <c r="B15" i="71" s="1"/>
  <c r="C14" i="71"/>
  <c r="B14" i="71"/>
  <c r="B14" i="71" a="1"/>
  <c r="B12" i="71"/>
  <c r="L11" i="71"/>
  <c r="B13" i="71" s="1"/>
  <c r="B11" i="71"/>
  <c r="BE9" i="71"/>
  <c r="AJ9" i="71"/>
  <c r="P9" i="71"/>
  <c r="BW8" i="71"/>
  <c r="O8" i="71"/>
  <c r="BZ7" i="71"/>
  <c r="D7" i="71"/>
  <c r="BZ6" i="71"/>
  <c r="CA3" i="71"/>
  <c r="BW2" i="71"/>
  <c r="BV2" i="71"/>
  <c r="BU2" i="71"/>
  <c r="BT2" i="71"/>
  <c r="BS2" i="71"/>
  <c r="BR2" i="71"/>
  <c r="BQ2" i="71"/>
  <c r="BP2" i="71"/>
  <c r="BO2" i="71"/>
  <c r="BN2" i="71"/>
  <c r="BM2" i="71"/>
  <c r="BL2" i="71"/>
  <c r="BK2" i="71"/>
  <c r="BJ2" i="71"/>
  <c r="BI2" i="71"/>
  <c r="BH2" i="71"/>
  <c r="BG2" i="71"/>
  <c r="BF2" i="71"/>
  <c r="BE2" i="71"/>
  <c r="BD2" i="71"/>
  <c r="BB2" i="71"/>
  <c r="BA2" i="71"/>
  <c r="AZ2" i="71"/>
  <c r="AY2" i="71"/>
  <c r="AX2" i="71"/>
  <c r="AW2" i="71"/>
  <c r="AV2" i="71"/>
  <c r="AU2" i="71"/>
  <c r="AT2" i="71"/>
  <c r="AS2" i="71"/>
  <c r="AR2" i="71"/>
  <c r="AQ2" i="71"/>
  <c r="AP2" i="71"/>
  <c r="AO2" i="71"/>
  <c r="AN2" i="71"/>
  <c r="AM2" i="71"/>
  <c r="AL2" i="71"/>
  <c r="AK2" i="71"/>
  <c r="AJ2" i="71"/>
  <c r="AI2" i="71"/>
  <c r="AG2" i="71"/>
  <c r="AF2" i="71"/>
  <c r="AE2" i="71"/>
  <c r="AD2" i="71"/>
  <c r="AC2" i="71"/>
  <c r="AB2" i="71"/>
  <c r="AA2" i="71"/>
  <c r="Z2" i="71"/>
  <c r="Y2" i="71"/>
  <c r="X2" i="71"/>
  <c r="W2" i="71"/>
  <c r="V2" i="71"/>
  <c r="U2" i="71"/>
  <c r="T2" i="71"/>
  <c r="S2" i="71"/>
  <c r="R2" i="71"/>
  <c r="Q2" i="71"/>
  <c r="P2" i="71"/>
  <c r="O2" i="71"/>
  <c r="N2" i="71"/>
  <c r="L2" i="71"/>
  <c r="K2" i="71"/>
  <c r="J2" i="71"/>
  <c r="I2" i="71"/>
  <c r="H2" i="71"/>
  <c r="G2" i="71"/>
  <c r="F2" i="71"/>
  <c r="E2" i="71"/>
  <c r="D2" i="71"/>
  <c r="C2" i="71"/>
  <c r="B2" i="71"/>
  <c r="CA1" i="71"/>
  <c r="BZ1" i="71"/>
  <c r="BW1" i="71"/>
  <c r="BV1" i="71"/>
  <c r="BU1" i="71"/>
  <c r="BT1" i="71"/>
  <c r="BS1" i="71"/>
  <c r="BR1" i="71"/>
  <c r="BQ1" i="71"/>
  <c r="BP1" i="71"/>
  <c r="BO1" i="71"/>
  <c r="BN1" i="71"/>
  <c r="BM1" i="71"/>
  <c r="BL1" i="71"/>
  <c r="BK1" i="71"/>
  <c r="BJ1" i="71"/>
  <c r="BI1" i="71"/>
  <c r="BH1" i="71"/>
  <c r="BG1" i="71"/>
  <c r="BF1" i="71"/>
  <c r="BE1" i="71"/>
  <c r="BD1" i="71"/>
  <c r="BB1" i="71"/>
  <c r="BA1" i="71"/>
  <c r="AZ1" i="71"/>
  <c r="AY1" i="71"/>
  <c r="AX1" i="71"/>
  <c r="AW1" i="71"/>
  <c r="AV1" i="71"/>
  <c r="AU1" i="71"/>
  <c r="AT1" i="71"/>
  <c r="AS1" i="71"/>
  <c r="AR1" i="71"/>
  <c r="AQ1" i="71"/>
  <c r="AP1" i="71"/>
  <c r="AO1" i="71"/>
  <c r="AN1" i="71"/>
  <c r="AM1" i="71"/>
  <c r="AL1" i="71"/>
  <c r="AK1" i="71"/>
  <c r="AJ1" i="71"/>
  <c r="AI1" i="71"/>
  <c r="AG1" i="71"/>
  <c r="AF1" i="71"/>
  <c r="AE1" i="71"/>
  <c r="AD1" i="71"/>
  <c r="AC1" i="71"/>
  <c r="AB1" i="71"/>
  <c r="AA1" i="71"/>
  <c r="Z1" i="71"/>
  <c r="Y1" i="71"/>
  <c r="X1" i="71"/>
  <c r="W1" i="71"/>
  <c r="V1" i="71"/>
  <c r="U1" i="71"/>
  <c r="T1" i="71"/>
  <c r="S1" i="71"/>
  <c r="R1" i="71"/>
  <c r="Q1" i="71"/>
  <c r="P1" i="71"/>
  <c r="O1" i="71"/>
  <c r="N1" i="71"/>
  <c r="L1" i="71"/>
  <c r="K1" i="71"/>
  <c r="J1" i="71"/>
  <c r="I1" i="71"/>
  <c r="H1" i="71"/>
  <c r="G1" i="71"/>
  <c r="F1" i="71"/>
  <c r="E1" i="71"/>
  <c r="D1" i="71"/>
  <c r="C1" i="71"/>
  <c r="B1" i="71"/>
  <c r="A1" i="71"/>
  <c r="AG2" i="70"/>
  <c r="AF2" i="70"/>
  <c r="AE2" i="70"/>
  <c r="AD2" i="70"/>
  <c r="AC2" i="70"/>
  <c r="AB2" i="70"/>
  <c r="AA2" i="70"/>
  <c r="Z2" i="70"/>
  <c r="Y2" i="70"/>
  <c r="X2" i="70"/>
  <c r="W2" i="70"/>
  <c r="V2" i="70"/>
  <c r="U2" i="70"/>
  <c r="T2" i="70"/>
  <c r="S2" i="70"/>
  <c r="R2" i="70"/>
  <c r="Q2" i="70"/>
  <c r="P2" i="70"/>
  <c r="O2" i="70"/>
  <c r="N2" i="70"/>
  <c r="CA343" i="70"/>
  <c r="BY343" i="70"/>
  <c r="C342" i="70"/>
  <c r="B342" i="70" a="1"/>
  <c r="B342" i="70" s="1"/>
  <c r="C341" i="70"/>
  <c r="B341" i="70" a="1"/>
  <c r="B341" i="70" s="1"/>
  <c r="C340" i="70"/>
  <c r="B340" i="70" a="1"/>
  <c r="B340" i="70" s="1"/>
  <c r="C339" i="70"/>
  <c r="B339" i="70" a="1"/>
  <c r="B339" i="70" s="1"/>
  <c r="C338" i="70"/>
  <c r="B338" i="70" a="1"/>
  <c r="B338" i="70" s="1"/>
  <c r="C337" i="70"/>
  <c r="B337" i="70" a="1"/>
  <c r="B337" i="70" s="1"/>
  <c r="C336" i="70"/>
  <c r="B336" i="70" a="1"/>
  <c r="B336" i="70" s="1"/>
  <c r="C335" i="70"/>
  <c r="B335" i="70" a="1"/>
  <c r="B335" i="70" s="1"/>
  <c r="C334" i="70"/>
  <c r="B334" i="70" a="1"/>
  <c r="B334" i="70" s="1"/>
  <c r="C333" i="70"/>
  <c r="B333" i="70" a="1"/>
  <c r="B333" i="70" s="1"/>
  <c r="C332" i="70"/>
  <c r="B332" i="70" a="1"/>
  <c r="B332" i="70" s="1"/>
  <c r="C331" i="70"/>
  <c r="B331" i="70" a="1"/>
  <c r="B331" i="70" s="1"/>
  <c r="C330" i="70"/>
  <c r="B330" i="70" a="1"/>
  <c r="B330" i="70" s="1"/>
  <c r="C329" i="70"/>
  <c r="B329" i="70" a="1"/>
  <c r="B329" i="70" s="1"/>
  <c r="C328" i="70"/>
  <c r="B328" i="70" a="1"/>
  <c r="B328" i="70" s="1"/>
  <c r="C327" i="70"/>
  <c r="B327" i="70" a="1"/>
  <c r="B327" i="70" s="1"/>
  <c r="C326" i="70"/>
  <c r="B326" i="70" a="1"/>
  <c r="B326" i="70" s="1"/>
  <c r="C325" i="70"/>
  <c r="B325" i="70" a="1"/>
  <c r="B325" i="70" s="1"/>
  <c r="C324" i="70"/>
  <c r="B324" i="70" a="1"/>
  <c r="B324" i="70" s="1"/>
  <c r="C323" i="70"/>
  <c r="B323" i="70" a="1"/>
  <c r="B323" i="70" s="1"/>
  <c r="C322" i="70"/>
  <c r="B322" i="70" a="1"/>
  <c r="B322" i="70" s="1"/>
  <c r="C321" i="70"/>
  <c r="B321" i="70" a="1"/>
  <c r="B321" i="70" s="1"/>
  <c r="C320" i="70"/>
  <c r="B320" i="70" a="1"/>
  <c r="B320" i="70" s="1"/>
  <c r="C319" i="70"/>
  <c r="B319" i="70" a="1"/>
  <c r="B319" i="70" s="1"/>
  <c r="C318" i="70"/>
  <c r="B318" i="70" a="1"/>
  <c r="B318" i="70" s="1"/>
  <c r="C317" i="70"/>
  <c r="B317" i="70" a="1"/>
  <c r="B317" i="70" s="1"/>
  <c r="C316" i="70"/>
  <c r="B316" i="70" a="1"/>
  <c r="B316" i="70" s="1"/>
  <c r="C315" i="70"/>
  <c r="B315" i="70" a="1"/>
  <c r="B315" i="70" s="1"/>
  <c r="C314" i="70"/>
  <c r="B314" i="70" a="1"/>
  <c r="B314" i="70" s="1"/>
  <c r="C313" i="70"/>
  <c r="B313" i="70" a="1"/>
  <c r="B313" i="70" s="1"/>
  <c r="C312" i="70"/>
  <c r="B312" i="70" a="1"/>
  <c r="B312" i="70" s="1"/>
  <c r="C311" i="70"/>
  <c r="B311" i="70" a="1"/>
  <c r="B311" i="70" s="1"/>
  <c r="C310" i="70"/>
  <c r="B310" i="70" a="1"/>
  <c r="B310" i="70" s="1"/>
  <c r="C309" i="70"/>
  <c r="B309" i="70" a="1"/>
  <c r="B309" i="70" s="1"/>
  <c r="C308" i="70"/>
  <c r="B308" i="70" a="1"/>
  <c r="B308" i="70" s="1"/>
  <c r="C307" i="70"/>
  <c r="B307" i="70" a="1"/>
  <c r="B307" i="70" s="1"/>
  <c r="C306" i="70"/>
  <c r="B306" i="70" a="1"/>
  <c r="B306" i="70" s="1"/>
  <c r="C305" i="70"/>
  <c r="B305" i="70" a="1"/>
  <c r="B305" i="70" s="1"/>
  <c r="C304" i="70"/>
  <c r="B304" i="70" a="1"/>
  <c r="B304" i="70" s="1"/>
  <c r="C303" i="70"/>
  <c r="B303" i="70" a="1"/>
  <c r="B303" i="70" s="1"/>
  <c r="C302" i="70"/>
  <c r="B302" i="70" a="1"/>
  <c r="B302" i="70" s="1"/>
  <c r="C301" i="70"/>
  <c r="B301" i="70" a="1"/>
  <c r="B301" i="70" s="1"/>
  <c r="C300" i="70"/>
  <c r="B300" i="70" a="1"/>
  <c r="B300" i="70" s="1"/>
  <c r="C299" i="70"/>
  <c r="B299" i="70" a="1"/>
  <c r="B299" i="70" s="1"/>
  <c r="C298" i="70"/>
  <c r="B298" i="70" a="1"/>
  <c r="B298" i="70" s="1"/>
  <c r="C297" i="70"/>
  <c r="B297" i="70" a="1"/>
  <c r="B297" i="70" s="1"/>
  <c r="C296" i="70"/>
  <c r="B296" i="70" a="1"/>
  <c r="B296" i="70" s="1"/>
  <c r="C295" i="70"/>
  <c r="B295" i="70" a="1"/>
  <c r="B295" i="70" s="1"/>
  <c r="C294" i="70"/>
  <c r="B294" i="70" a="1"/>
  <c r="B294" i="70" s="1"/>
  <c r="C293" i="70"/>
  <c r="B293" i="70" a="1"/>
  <c r="B293" i="70" s="1"/>
  <c r="C292" i="70"/>
  <c r="B292" i="70" a="1"/>
  <c r="B292" i="70" s="1"/>
  <c r="C291" i="70"/>
  <c r="B291" i="70" a="1"/>
  <c r="B291" i="70" s="1"/>
  <c r="C290" i="70"/>
  <c r="B290" i="70" a="1"/>
  <c r="B290" i="70" s="1"/>
  <c r="C289" i="70"/>
  <c r="B289" i="70" a="1"/>
  <c r="B289" i="70" s="1"/>
  <c r="C288" i="70"/>
  <c r="B288" i="70" a="1"/>
  <c r="B288" i="70" s="1"/>
  <c r="C287" i="70"/>
  <c r="B287" i="70" a="1"/>
  <c r="B287" i="70" s="1"/>
  <c r="C286" i="70"/>
  <c r="B286" i="70" a="1"/>
  <c r="B286" i="70" s="1"/>
  <c r="C285" i="70"/>
  <c r="B285" i="70" a="1"/>
  <c r="B285" i="70" s="1"/>
  <c r="C284" i="70"/>
  <c r="B284" i="70" a="1"/>
  <c r="B284" i="70" s="1"/>
  <c r="C283" i="70"/>
  <c r="B283" i="70" a="1"/>
  <c r="B283" i="70" s="1"/>
  <c r="C282" i="70"/>
  <c r="B282" i="70" a="1"/>
  <c r="B282" i="70" s="1"/>
  <c r="C281" i="70"/>
  <c r="B281" i="70" a="1"/>
  <c r="B281" i="70" s="1"/>
  <c r="C280" i="70"/>
  <c r="B280" i="70" a="1"/>
  <c r="B280" i="70" s="1"/>
  <c r="C279" i="70"/>
  <c r="B279" i="70" a="1"/>
  <c r="B279" i="70" s="1"/>
  <c r="C278" i="70"/>
  <c r="B278" i="70" a="1"/>
  <c r="B278" i="70" s="1"/>
  <c r="C277" i="70"/>
  <c r="B277" i="70" a="1"/>
  <c r="B277" i="70" s="1"/>
  <c r="C276" i="70"/>
  <c r="B276" i="70" a="1"/>
  <c r="B276" i="70" s="1"/>
  <c r="C275" i="70"/>
  <c r="B275" i="70" a="1"/>
  <c r="B275" i="70" s="1"/>
  <c r="C274" i="70"/>
  <c r="B274" i="70"/>
  <c r="B274" i="70" a="1"/>
  <c r="C273" i="70"/>
  <c r="B273" i="70" a="1"/>
  <c r="B273" i="70" s="1"/>
  <c r="C272" i="70"/>
  <c r="B272" i="70" a="1"/>
  <c r="B272" i="70" s="1"/>
  <c r="C271" i="70"/>
  <c r="B271" i="70" a="1"/>
  <c r="B271" i="70" s="1"/>
  <c r="C270" i="70"/>
  <c r="B270" i="70" a="1"/>
  <c r="B270" i="70" s="1"/>
  <c r="C269" i="70"/>
  <c r="B269" i="70" a="1"/>
  <c r="B269" i="70" s="1"/>
  <c r="C268" i="70"/>
  <c r="B268" i="70" a="1"/>
  <c r="B268" i="70" s="1"/>
  <c r="C267" i="70"/>
  <c r="B267" i="70" a="1"/>
  <c r="B267" i="70" s="1"/>
  <c r="C266" i="70"/>
  <c r="B266" i="70" a="1"/>
  <c r="B266" i="70" s="1"/>
  <c r="C265" i="70"/>
  <c r="B265" i="70" a="1"/>
  <c r="B265" i="70" s="1"/>
  <c r="C264" i="70"/>
  <c r="B264" i="70" a="1"/>
  <c r="B264" i="70" s="1"/>
  <c r="C263" i="70"/>
  <c r="B263" i="70" a="1"/>
  <c r="B263" i="70" s="1"/>
  <c r="C262" i="70"/>
  <c r="B262" i="70" a="1"/>
  <c r="B262" i="70" s="1"/>
  <c r="C261" i="70"/>
  <c r="B261" i="70" a="1"/>
  <c r="B261" i="70" s="1"/>
  <c r="C260" i="70"/>
  <c r="B260" i="70" a="1"/>
  <c r="B260" i="70" s="1"/>
  <c r="C259" i="70"/>
  <c r="B259" i="70" a="1"/>
  <c r="B259" i="70" s="1"/>
  <c r="C258" i="70"/>
  <c r="B258" i="70"/>
  <c r="B258" i="70" a="1"/>
  <c r="C257" i="70"/>
  <c r="B257" i="70" a="1"/>
  <c r="B257" i="70" s="1"/>
  <c r="C256" i="70"/>
  <c r="B256" i="70" a="1"/>
  <c r="B256" i="70" s="1"/>
  <c r="C255" i="70"/>
  <c r="B255" i="70" a="1"/>
  <c r="B255" i="70" s="1"/>
  <c r="C254" i="70"/>
  <c r="B254" i="70" a="1"/>
  <c r="B254" i="70" s="1"/>
  <c r="C253" i="70"/>
  <c r="B253" i="70" a="1"/>
  <c r="B253" i="70" s="1"/>
  <c r="C252" i="70"/>
  <c r="B252" i="70" a="1"/>
  <c r="B252" i="70" s="1"/>
  <c r="C251" i="70"/>
  <c r="B251" i="70" a="1"/>
  <c r="B251" i="70" s="1"/>
  <c r="C250" i="70"/>
  <c r="B250" i="70" a="1"/>
  <c r="B250" i="70" s="1"/>
  <c r="C249" i="70"/>
  <c r="B249" i="70" a="1"/>
  <c r="B249" i="70" s="1"/>
  <c r="C248" i="70"/>
  <c r="B248" i="70" a="1"/>
  <c r="B248" i="70" s="1"/>
  <c r="C247" i="70"/>
  <c r="B247" i="70" a="1"/>
  <c r="B247" i="70" s="1"/>
  <c r="C246" i="70"/>
  <c r="B246" i="70" a="1"/>
  <c r="B246" i="70" s="1"/>
  <c r="C245" i="70"/>
  <c r="B245" i="70" a="1"/>
  <c r="B245" i="70" s="1"/>
  <c r="C244" i="70"/>
  <c r="B244" i="70" a="1"/>
  <c r="B244" i="70" s="1"/>
  <c r="C243" i="70"/>
  <c r="B243" i="70" a="1"/>
  <c r="B243" i="70" s="1"/>
  <c r="C242" i="70"/>
  <c r="B242" i="70" a="1"/>
  <c r="B242" i="70" s="1"/>
  <c r="C241" i="70"/>
  <c r="B241" i="70" a="1"/>
  <c r="B241" i="70" s="1"/>
  <c r="C240" i="70"/>
  <c r="B240" i="70" a="1"/>
  <c r="B240" i="70" s="1"/>
  <c r="C239" i="70"/>
  <c r="B239" i="70" a="1"/>
  <c r="B239" i="70" s="1"/>
  <c r="C238" i="70"/>
  <c r="B238" i="70" a="1"/>
  <c r="B238" i="70" s="1"/>
  <c r="C237" i="70"/>
  <c r="B237" i="70" a="1"/>
  <c r="B237" i="70" s="1"/>
  <c r="C236" i="70"/>
  <c r="B236" i="70" a="1"/>
  <c r="B236" i="70" s="1"/>
  <c r="C235" i="70"/>
  <c r="B235" i="70" a="1"/>
  <c r="B235" i="70" s="1"/>
  <c r="C234" i="70"/>
  <c r="B234" i="70" a="1"/>
  <c r="B234" i="70" s="1"/>
  <c r="C233" i="70"/>
  <c r="B233" i="70" a="1"/>
  <c r="B233" i="70" s="1"/>
  <c r="C232" i="70"/>
  <c r="B232" i="70" a="1"/>
  <c r="B232" i="70" s="1"/>
  <c r="C231" i="70"/>
  <c r="B231" i="70" a="1"/>
  <c r="B231" i="70" s="1"/>
  <c r="C230" i="70"/>
  <c r="B230" i="70" a="1"/>
  <c r="B230" i="70" s="1"/>
  <c r="C229" i="70"/>
  <c r="B229" i="70" a="1"/>
  <c r="B229" i="70" s="1"/>
  <c r="C228" i="70"/>
  <c r="B228" i="70" a="1"/>
  <c r="B228" i="70" s="1"/>
  <c r="C227" i="70"/>
  <c r="B227" i="70" a="1"/>
  <c r="B227" i="70" s="1"/>
  <c r="C226" i="70"/>
  <c r="B226" i="70" a="1"/>
  <c r="B226" i="70" s="1"/>
  <c r="C225" i="70"/>
  <c r="B225" i="70" a="1"/>
  <c r="B225" i="70" s="1"/>
  <c r="C224" i="70"/>
  <c r="B224" i="70" a="1"/>
  <c r="B224" i="70" s="1"/>
  <c r="C223" i="70"/>
  <c r="B223" i="70" a="1"/>
  <c r="B223" i="70" s="1"/>
  <c r="C222" i="70"/>
  <c r="B222" i="70" a="1"/>
  <c r="B222" i="70" s="1"/>
  <c r="C221" i="70"/>
  <c r="B221" i="70" a="1"/>
  <c r="B221" i="70" s="1"/>
  <c r="C220" i="70"/>
  <c r="B220" i="70" a="1"/>
  <c r="B220" i="70" s="1"/>
  <c r="C219" i="70"/>
  <c r="B219" i="70" a="1"/>
  <c r="B219" i="70" s="1"/>
  <c r="C218" i="70"/>
  <c r="B218" i="70" a="1"/>
  <c r="B218" i="70" s="1"/>
  <c r="C217" i="70"/>
  <c r="B217" i="70" a="1"/>
  <c r="B217" i="70" s="1"/>
  <c r="C216" i="70"/>
  <c r="B216" i="70" a="1"/>
  <c r="B216" i="70" s="1"/>
  <c r="C215" i="70"/>
  <c r="B215" i="70" a="1"/>
  <c r="B215" i="70" s="1"/>
  <c r="C214" i="70"/>
  <c r="B214" i="70" a="1"/>
  <c r="B214" i="70" s="1"/>
  <c r="C213" i="70"/>
  <c r="B213" i="70" a="1"/>
  <c r="B213" i="70" s="1"/>
  <c r="C212" i="70"/>
  <c r="B212" i="70" a="1"/>
  <c r="B212" i="70" s="1"/>
  <c r="C211" i="70"/>
  <c r="B211" i="70" a="1"/>
  <c r="B211" i="70" s="1"/>
  <c r="C210" i="70"/>
  <c r="B210" i="70" a="1"/>
  <c r="B210" i="70" s="1"/>
  <c r="C209" i="70"/>
  <c r="B209" i="70" a="1"/>
  <c r="B209" i="70" s="1"/>
  <c r="C208" i="70"/>
  <c r="B208" i="70" a="1"/>
  <c r="B208" i="70" s="1"/>
  <c r="C207" i="70"/>
  <c r="B207" i="70" a="1"/>
  <c r="B207" i="70" s="1"/>
  <c r="C206" i="70"/>
  <c r="B206" i="70" a="1"/>
  <c r="B206" i="70" s="1"/>
  <c r="C205" i="70"/>
  <c r="B205" i="70" a="1"/>
  <c r="B205" i="70" s="1"/>
  <c r="C204" i="70"/>
  <c r="B204" i="70" a="1"/>
  <c r="B204" i="70" s="1"/>
  <c r="C203" i="70"/>
  <c r="B203" i="70" a="1"/>
  <c r="B203" i="70" s="1"/>
  <c r="C202" i="70"/>
  <c r="B202" i="70" a="1"/>
  <c r="B202" i="70" s="1"/>
  <c r="C201" i="70"/>
  <c r="B201" i="70" a="1"/>
  <c r="B201" i="70" s="1"/>
  <c r="C200" i="70"/>
  <c r="B200" i="70" a="1"/>
  <c r="B200" i="70" s="1"/>
  <c r="C199" i="70"/>
  <c r="B199" i="70" a="1"/>
  <c r="B199" i="70" s="1"/>
  <c r="C198" i="70"/>
  <c r="B198" i="70" a="1"/>
  <c r="B198" i="70" s="1"/>
  <c r="C197" i="70"/>
  <c r="B197" i="70" a="1"/>
  <c r="B197" i="70" s="1"/>
  <c r="C196" i="70"/>
  <c r="B196" i="70" a="1"/>
  <c r="B196" i="70" s="1"/>
  <c r="C195" i="70"/>
  <c r="B195" i="70" a="1"/>
  <c r="B195" i="70" s="1"/>
  <c r="C194" i="70"/>
  <c r="B194" i="70" a="1"/>
  <c r="B194" i="70" s="1"/>
  <c r="C193" i="70"/>
  <c r="B193" i="70" a="1"/>
  <c r="B193" i="70" s="1"/>
  <c r="C192" i="70"/>
  <c r="B192" i="70" a="1"/>
  <c r="B192" i="70" s="1"/>
  <c r="C191" i="70"/>
  <c r="B191" i="70" a="1"/>
  <c r="B191" i="70" s="1"/>
  <c r="C190" i="70"/>
  <c r="B190" i="70" a="1"/>
  <c r="B190" i="70" s="1"/>
  <c r="C189" i="70"/>
  <c r="B189" i="70" a="1"/>
  <c r="B189" i="70" s="1"/>
  <c r="C188" i="70"/>
  <c r="B188" i="70" a="1"/>
  <c r="B188" i="70" s="1"/>
  <c r="C187" i="70"/>
  <c r="B187" i="70" a="1"/>
  <c r="B187" i="70" s="1"/>
  <c r="C186" i="70"/>
  <c r="B186" i="70" a="1"/>
  <c r="B186" i="70" s="1"/>
  <c r="C185" i="70"/>
  <c r="B185" i="70" a="1"/>
  <c r="B185" i="70" s="1"/>
  <c r="C184" i="70"/>
  <c r="B184" i="70" a="1"/>
  <c r="B184" i="70" s="1"/>
  <c r="C183" i="70"/>
  <c r="B183" i="70" a="1"/>
  <c r="B183" i="70" s="1"/>
  <c r="C182" i="70"/>
  <c r="B182" i="70" a="1"/>
  <c r="B182" i="70" s="1"/>
  <c r="C181" i="70"/>
  <c r="B181" i="70" a="1"/>
  <c r="B181" i="70" s="1"/>
  <c r="C180" i="70"/>
  <c r="B180" i="70" a="1"/>
  <c r="B180" i="70" s="1"/>
  <c r="C179" i="70"/>
  <c r="B179" i="70" a="1"/>
  <c r="B179" i="70" s="1"/>
  <c r="C178" i="70"/>
  <c r="B178" i="70" a="1"/>
  <c r="B178" i="70" s="1"/>
  <c r="C177" i="70"/>
  <c r="B177" i="70" a="1"/>
  <c r="B177" i="70" s="1"/>
  <c r="C176" i="70"/>
  <c r="B176" i="70" a="1"/>
  <c r="B176" i="70" s="1"/>
  <c r="C175" i="70"/>
  <c r="B175" i="70" a="1"/>
  <c r="B175" i="70" s="1"/>
  <c r="C174" i="70"/>
  <c r="B174" i="70" a="1"/>
  <c r="B174" i="70" s="1"/>
  <c r="C173" i="70"/>
  <c r="B173" i="70" a="1"/>
  <c r="B173" i="70" s="1"/>
  <c r="C172" i="70"/>
  <c r="B172" i="70" a="1"/>
  <c r="B172" i="70" s="1"/>
  <c r="C171" i="70"/>
  <c r="B171" i="70" a="1"/>
  <c r="B171" i="70" s="1"/>
  <c r="C170" i="70"/>
  <c r="B170" i="70" a="1"/>
  <c r="B170" i="70" s="1"/>
  <c r="C169" i="70"/>
  <c r="B169" i="70"/>
  <c r="B169" i="70" a="1"/>
  <c r="C168" i="70"/>
  <c r="B168" i="70" a="1"/>
  <c r="B168" i="70" s="1"/>
  <c r="C167" i="70"/>
  <c r="B167" i="70" a="1"/>
  <c r="B167" i="70" s="1"/>
  <c r="C166" i="70"/>
  <c r="B166" i="70" a="1"/>
  <c r="B166" i="70" s="1"/>
  <c r="C165" i="70"/>
  <c r="B165" i="70" a="1"/>
  <c r="B165" i="70" s="1"/>
  <c r="C164" i="70"/>
  <c r="B164" i="70" a="1"/>
  <c r="B164" i="70" s="1"/>
  <c r="C163" i="70"/>
  <c r="B163" i="70" a="1"/>
  <c r="B163" i="70" s="1"/>
  <c r="C162" i="70"/>
  <c r="B162" i="70" a="1"/>
  <c r="B162" i="70" s="1"/>
  <c r="C161" i="70"/>
  <c r="B161" i="70" a="1"/>
  <c r="B161" i="70" s="1"/>
  <c r="C160" i="70"/>
  <c r="B160" i="70" a="1"/>
  <c r="B160" i="70" s="1"/>
  <c r="C159" i="70"/>
  <c r="B159" i="70" a="1"/>
  <c r="B159" i="70" s="1"/>
  <c r="C158" i="70"/>
  <c r="B158" i="70" a="1"/>
  <c r="B158" i="70" s="1"/>
  <c r="C157" i="70"/>
  <c r="B157" i="70" a="1"/>
  <c r="B157" i="70" s="1"/>
  <c r="C156" i="70"/>
  <c r="B156" i="70" a="1"/>
  <c r="B156" i="70" s="1"/>
  <c r="C155" i="70"/>
  <c r="B155" i="70" a="1"/>
  <c r="B155" i="70" s="1"/>
  <c r="C154" i="70"/>
  <c r="B154" i="70" a="1"/>
  <c r="B154" i="70" s="1"/>
  <c r="C153" i="70"/>
  <c r="B153" i="70" a="1"/>
  <c r="B153" i="70" s="1"/>
  <c r="C152" i="70"/>
  <c r="B152" i="70" a="1"/>
  <c r="B152" i="70" s="1"/>
  <c r="C151" i="70"/>
  <c r="B151" i="70" a="1"/>
  <c r="B151" i="70" s="1"/>
  <c r="C150" i="70"/>
  <c r="B150" i="70" a="1"/>
  <c r="B150" i="70" s="1"/>
  <c r="C149" i="70"/>
  <c r="B149" i="70" a="1"/>
  <c r="B149" i="70" s="1"/>
  <c r="C148" i="70"/>
  <c r="B148" i="70" a="1"/>
  <c r="B148" i="70" s="1"/>
  <c r="C147" i="70"/>
  <c r="B147" i="70" a="1"/>
  <c r="B147" i="70" s="1"/>
  <c r="C146" i="70"/>
  <c r="B146" i="70" a="1"/>
  <c r="B146" i="70" s="1"/>
  <c r="C145" i="70"/>
  <c r="B145" i="70" a="1"/>
  <c r="B145" i="70" s="1"/>
  <c r="C144" i="70"/>
  <c r="B144" i="70" a="1"/>
  <c r="B144" i="70" s="1"/>
  <c r="C143" i="70"/>
  <c r="B143" i="70" a="1"/>
  <c r="B143" i="70" s="1"/>
  <c r="C142" i="70"/>
  <c r="B142" i="70" a="1"/>
  <c r="B142" i="70" s="1"/>
  <c r="C141" i="70"/>
  <c r="B141" i="70" a="1"/>
  <c r="B141" i="70" s="1"/>
  <c r="C140" i="70"/>
  <c r="B140" i="70" a="1"/>
  <c r="B140" i="70" s="1"/>
  <c r="C139" i="70"/>
  <c r="B139" i="70" a="1"/>
  <c r="B139" i="70" s="1"/>
  <c r="C138" i="70"/>
  <c r="B138" i="70" a="1"/>
  <c r="B138" i="70" s="1"/>
  <c r="C137" i="70"/>
  <c r="B137" i="70" a="1"/>
  <c r="B137" i="70" s="1"/>
  <c r="C136" i="70"/>
  <c r="B136" i="70" a="1"/>
  <c r="B136" i="70" s="1"/>
  <c r="C135" i="70"/>
  <c r="B135" i="70" a="1"/>
  <c r="B135" i="70" s="1"/>
  <c r="C134" i="70"/>
  <c r="B134" i="70" a="1"/>
  <c r="B134" i="70" s="1"/>
  <c r="C133" i="70"/>
  <c r="B133" i="70" a="1"/>
  <c r="B133" i="70" s="1"/>
  <c r="C132" i="70"/>
  <c r="B132" i="70" a="1"/>
  <c r="B132" i="70" s="1"/>
  <c r="C131" i="70"/>
  <c r="B131" i="70" a="1"/>
  <c r="B131" i="70" s="1"/>
  <c r="C130" i="70"/>
  <c r="B130" i="70"/>
  <c r="B130" i="70" a="1"/>
  <c r="C129" i="70"/>
  <c r="B129" i="70" a="1"/>
  <c r="B129" i="70" s="1"/>
  <c r="C128" i="70"/>
  <c r="B128" i="70" a="1"/>
  <c r="B128" i="70" s="1"/>
  <c r="C127" i="70"/>
  <c r="B127" i="70" a="1"/>
  <c r="B127" i="70" s="1"/>
  <c r="C126" i="70"/>
  <c r="B126" i="70" a="1"/>
  <c r="B126" i="70" s="1"/>
  <c r="C125" i="70"/>
  <c r="B125" i="70" a="1"/>
  <c r="B125" i="70" s="1"/>
  <c r="C124" i="70"/>
  <c r="B124" i="70" a="1"/>
  <c r="B124" i="70" s="1"/>
  <c r="C123" i="70"/>
  <c r="B123" i="70" a="1"/>
  <c r="B123" i="70" s="1"/>
  <c r="C122" i="70"/>
  <c r="B122" i="70" a="1"/>
  <c r="B122" i="70" s="1"/>
  <c r="C121" i="70"/>
  <c r="B121" i="70" a="1"/>
  <c r="B121" i="70" s="1"/>
  <c r="C120" i="70"/>
  <c r="B120" i="70" a="1"/>
  <c r="B120" i="70" s="1"/>
  <c r="C119" i="70"/>
  <c r="B119" i="70" a="1"/>
  <c r="B119" i="70" s="1"/>
  <c r="C118" i="70"/>
  <c r="B118" i="70" a="1"/>
  <c r="B118" i="70" s="1"/>
  <c r="C117" i="70"/>
  <c r="B117" i="70" a="1"/>
  <c r="B117" i="70" s="1"/>
  <c r="C116" i="70"/>
  <c r="B116" i="70" a="1"/>
  <c r="B116" i="70" s="1"/>
  <c r="C115" i="70"/>
  <c r="B115" i="70" a="1"/>
  <c r="B115" i="70" s="1"/>
  <c r="C114" i="70"/>
  <c r="B114" i="70" a="1"/>
  <c r="B114" i="70" s="1"/>
  <c r="C113" i="70"/>
  <c r="B113" i="70" a="1"/>
  <c r="B113" i="70" s="1"/>
  <c r="C112" i="70"/>
  <c r="B112" i="70" a="1"/>
  <c r="B112" i="70" s="1"/>
  <c r="C111" i="70"/>
  <c r="B111" i="70" a="1"/>
  <c r="B111" i="70" s="1"/>
  <c r="C110" i="70"/>
  <c r="B110" i="70" a="1"/>
  <c r="B110" i="70" s="1"/>
  <c r="C109" i="70"/>
  <c r="B109" i="70" a="1"/>
  <c r="B109" i="70" s="1"/>
  <c r="C108" i="70"/>
  <c r="B108" i="70" a="1"/>
  <c r="B108" i="70" s="1"/>
  <c r="C107" i="70"/>
  <c r="B107" i="70" a="1"/>
  <c r="B107" i="70" s="1"/>
  <c r="C106" i="70"/>
  <c r="B106" i="70" a="1"/>
  <c r="B106" i="70" s="1"/>
  <c r="C105" i="70"/>
  <c r="B105" i="70" a="1"/>
  <c r="B105" i="70" s="1"/>
  <c r="C104" i="70"/>
  <c r="B104" i="70" a="1"/>
  <c r="B104" i="70" s="1"/>
  <c r="C103" i="70"/>
  <c r="B103" i="70" a="1"/>
  <c r="B103" i="70" s="1"/>
  <c r="C102" i="70"/>
  <c r="B102" i="70" a="1"/>
  <c r="B102" i="70" s="1"/>
  <c r="C101" i="70"/>
  <c r="B101" i="70" a="1"/>
  <c r="B101" i="70" s="1"/>
  <c r="C100" i="70"/>
  <c r="B100" i="70" a="1"/>
  <c r="B100" i="70" s="1"/>
  <c r="C99" i="70"/>
  <c r="B99" i="70" a="1"/>
  <c r="B99" i="70" s="1"/>
  <c r="C98" i="70"/>
  <c r="B98" i="70" a="1"/>
  <c r="B98" i="70" s="1"/>
  <c r="C97" i="70"/>
  <c r="B97" i="70" a="1"/>
  <c r="B97" i="70" s="1"/>
  <c r="C96" i="70"/>
  <c r="B96" i="70" a="1"/>
  <c r="B96" i="70" s="1"/>
  <c r="C95" i="70"/>
  <c r="B95" i="70" a="1"/>
  <c r="B95" i="70" s="1"/>
  <c r="C94" i="70"/>
  <c r="B94" i="70" a="1"/>
  <c r="B94" i="70" s="1"/>
  <c r="C93" i="70"/>
  <c r="B93" i="70" a="1"/>
  <c r="B93" i="70" s="1"/>
  <c r="C92" i="70"/>
  <c r="B92" i="70" a="1"/>
  <c r="B92" i="70" s="1"/>
  <c r="C91" i="70"/>
  <c r="B91" i="70" a="1"/>
  <c r="B91" i="70" s="1"/>
  <c r="C90" i="70"/>
  <c r="B90" i="70" a="1"/>
  <c r="B90" i="70" s="1"/>
  <c r="C89" i="70"/>
  <c r="B89" i="70" a="1"/>
  <c r="B89" i="70" s="1"/>
  <c r="C88" i="70"/>
  <c r="B88" i="70" a="1"/>
  <c r="B88" i="70" s="1"/>
  <c r="C87" i="70"/>
  <c r="B87" i="70" a="1"/>
  <c r="B87" i="70" s="1"/>
  <c r="C86" i="70"/>
  <c r="B86" i="70" a="1"/>
  <c r="B86" i="70" s="1"/>
  <c r="C85" i="70"/>
  <c r="B85" i="70" a="1"/>
  <c r="B85" i="70" s="1"/>
  <c r="C84" i="70"/>
  <c r="B84" i="70" a="1"/>
  <c r="B84" i="70" s="1"/>
  <c r="C83" i="70"/>
  <c r="B83" i="70" a="1"/>
  <c r="B83" i="70" s="1"/>
  <c r="C82" i="70"/>
  <c r="B82" i="70" a="1"/>
  <c r="B82" i="70" s="1"/>
  <c r="C81" i="70"/>
  <c r="B81" i="70" a="1"/>
  <c r="B81" i="70" s="1"/>
  <c r="C80" i="70"/>
  <c r="B80" i="70" a="1"/>
  <c r="B80" i="70" s="1"/>
  <c r="C79" i="70"/>
  <c r="B79" i="70" a="1"/>
  <c r="B79" i="70" s="1"/>
  <c r="C78" i="70"/>
  <c r="B78" i="70" a="1"/>
  <c r="B78" i="70" s="1"/>
  <c r="C77" i="70"/>
  <c r="B77" i="70" a="1"/>
  <c r="B77" i="70" s="1"/>
  <c r="C76" i="70"/>
  <c r="B76" i="70" a="1"/>
  <c r="B76" i="70" s="1"/>
  <c r="C75" i="70"/>
  <c r="B75" i="70" a="1"/>
  <c r="B75" i="70" s="1"/>
  <c r="C74" i="70"/>
  <c r="B74" i="70" a="1"/>
  <c r="B74" i="70" s="1"/>
  <c r="C73" i="70"/>
  <c r="B73" i="70" a="1"/>
  <c r="B73" i="70" s="1"/>
  <c r="C72" i="70"/>
  <c r="B72" i="70" a="1"/>
  <c r="B72" i="70" s="1"/>
  <c r="C71" i="70"/>
  <c r="B71" i="70" a="1"/>
  <c r="B71" i="70" s="1"/>
  <c r="C70" i="70"/>
  <c r="B70" i="70" a="1"/>
  <c r="B70" i="70" s="1"/>
  <c r="C69" i="70"/>
  <c r="B69" i="70" a="1"/>
  <c r="B69" i="70" s="1"/>
  <c r="C68" i="70"/>
  <c r="B68" i="70" a="1"/>
  <c r="B68" i="70" s="1"/>
  <c r="C67" i="70"/>
  <c r="B67" i="70" a="1"/>
  <c r="B67" i="70" s="1"/>
  <c r="C66" i="70"/>
  <c r="B66" i="70" a="1"/>
  <c r="B66" i="70" s="1"/>
  <c r="C65" i="70"/>
  <c r="B65" i="70" a="1"/>
  <c r="B65" i="70" s="1"/>
  <c r="C64" i="70"/>
  <c r="B64" i="70" a="1"/>
  <c r="B64" i="70" s="1"/>
  <c r="C63" i="70"/>
  <c r="B63" i="70" a="1"/>
  <c r="B63" i="70" s="1"/>
  <c r="C62" i="70"/>
  <c r="B62" i="70" a="1"/>
  <c r="B62" i="70" s="1"/>
  <c r="C61" i="70"/>
  <c r="B61" i="70" a="1"/>
  <c r="B61" i="70" s="1"/>
  <c r="C60" i="70"/>
  <c r="B60" i="70" a="1"/>
  <c r="B60" i="70" s="1"/>
  <c r="C59" i="70"/>
  <c r="B59" i="70" a="1"/>
  <c r="B59" i="70" s="1"/>
  <c r="C58" i="70"/>
  <c r="B58" i="70" a="1"/>
  <c r="B58" i="70" s="1"/>
  <c r="T57" i="70"/>
  <c r="C57" i="70"/>
  <c r="B57" i="70" a="1"/>
  <c r="B57" i="70" s="1"/>
  <c r="C56" i="70"/>
  <c r="B56" i="70" a="1"/>
  <c r="B56" i="70" s="1"/>
  <c r="AF55" i="70"/>
  <c r="AE55" i="70"/>
  <c r="Q55" i="70"/>
  <c r="C55" i="70"/>
  <c r="B55" i="70" a="1"/>
  <c r="B55" i="70" s="1"/>
  <c r="C54" i="70"/>
  <c r="B54" i="70" a="1"/>
  <c r="B54" i="70" s="1"/>
  <c r="C53" i="70"/>
  <c r="B53" i="70" a="1"/>
  <c r="B53" i="70" s="1"/>
  <c r="X52" i="70"/>
  <c r="W52" i="70" a="1"/>
  <c r="W52" i="70" s="1"/>
  <c r="U52" i="70"/>
  <c r="C52" i="70"/>
  <c r="B52" i="70" a="1"/>
  <c r="B52" i="70" s="1"/>
  <c r="X51" i="70"/>
  <c r="W51" i="70" a="1"/>
  <c r="W51" i="70" s="1"/>
  <c r="U51" i="70"/>
  <c r="Q51" i="70"/>
  <c r="P51" i="70"/>
  <c r="C51" i="70"/>
  <c r="B51" i="70" a="1"/>
  <c r="B51" i="70" s="1"/>
  <c r="X50" i="70"/>
  <c r="W50" i="70" a="1"/>
  <c r="W50" i="70" s="1"/>
  <c r="U50" i="70"/>
  <c r="C50" i="70"/>
  <c r="B50" i="70" a="1"/>
  <c r="B50" i="70" s="1"/>
  <c r="X49" i="70"/>
  <c r="W49" i="70" a="1"/>
  <c r="W49" i="70" s="1"/>
  <c r="U49" i="70"/>
  <c r="C49" i="70"/>
  <c r="B49" i="70" a="1"/>
  <c r="B49" i="70" s="1"/>
  <c r="X48" i="70"/>
  <c r="W48" i="70" a="1"/>
  <c r="W48" i="70" s="1"/>
  <c r="U48" i="70"/>
  <c r="C48" i="70"/>
  <c r="B48" i="70" a="1"/>
  <c r="B48" i="70" s="1"/>
  <c r="X47" i="70"/>
  <c r="W47" i="70" a="1"/>
  <c r="W47" i="70" s="1"/>
  <c r="U47" i="70"/>
  <c r="C47" i="70"/>
  <c r="B47" i="70" a="1"/>
  <c r="B47" i="70" s="1"/>
  <c r="X46" i="70"/>
  <c r="W46" i="70" a="1"/>
  <c r="W46" i="70" s="1"/>
  <c r="U46" i="70"/>
  <c r="C46" i="70"/>
  <c r="B46" i="70" a="1"/>
  <c r="B46" i="70" s="1"/>
  <c r="X45" i="70"/>
  <c r="W45" i="70" a="1"/>
  <c r="W45" i="70" s="1"/>
  <c r="U45" i="70"/>
  <c r="Q45" i="70"/>
  <c r="C45" i="70"/>
  <c r="B45" i="70" a="1"/>
  <c r="B45" i="70" s="1"/>
  <c r="X44" i="70"/>
  <c r="W44" i="70" a="1"/>
  <c r="W44" i="70" s="1"/>
  <c r="U44" i="70"/>
  <c r="C44" i="70"/>
  <c r="B44" i="70" a="1"/>
  <c r="B44" i="70" s="1"/>
  <c r="X43" i="70"/>
  <c r="W43" i="70" a="1"/>
  <c r="W43" i="70" s="1"/>
  <c r="U43" i="70"/>
  <c r="C43" i="70"/>
  <c r="B43" i="70" a="1"/>
  <c r="B43" i="70" s="1"/>
  <c r="X42" i="70"/>
  <c r="W42" i="70" a="1"/>
  <c r="W42" i="70" s="1"/>
  <c r="U42" i="70"/>
  <c r="C42" i="70"/>
  <c r="B42" i="70" a="1"/>
  <c r="B42" i="70" s="1"/>
  <c r="X41" i="70"/>
  <c r="W41" i="70" a="1"/>
  <c r="W41" i="70" s="1"/>
  <c r="U41" i="70"/>
  <c r="C41" i="70"/>
  <c r="B41" i="70" a="1"/>
  <c r="B41" i="70" s="1"/>
  <c r="X40" i="70"/>
  <c r="W40" i="70" a="1"/>
  <c r="W40" i="70" s="1"/>
  <c r="U40" i="70"/>
  <c r="C40" i="70"/>
  <c r="B40" i="70" a="1"/>
  <c r="B40" i="70" s="1"/>
  <c r="X39" i="70"/>
  <c r="W39" i="70" a="1"/>
  <c r="W39" i="70" s="1"/>
  <c r="U39" i="70"/>
  <c r="C39" i="70"/>
  <c r="B39" i="70" a="1"/>
  <c r="B39" i="70" s="1"/>
  <c r="X38" i="70"/>
  <c r="W38" i="70" a="1"/>
  <c r="W38" i="70" s="1"/>
  <c r="U38" i="70"/>
  <c r="C38" i="70"/>
  <c r="B38" i="70"/>
  <c r="B38" i="70" a="1"/>
  <c r="W37" i="70" a="1"/>
  <c r="W37" i="70" s="1"/>
  <c r="U37" i="70"/>
  <c r="C37" i="70"/>
  <c r="B37" i="70" a="1"/>
  <c r="B37" i="70" s="1"/>
  <c r="W36" i="70" a="1"/>
  <c r="W36" i="70" s="1"/>
  <c r="U36" i="70"/>
  <c r="C36" i="70"/>
  <c r="B36" i="70" a="1"/>
  <c r="B36" i="70" s="1"/>
  <c r="X35" i="70"/>
  <c r="X36" i="70" s="1"/>
  <c r="W35" i="70" a="1"/>
  <c r="W35" i="70" s="1"/>
  <c r="U35" i="70"/>
  <c r="C35" i="70"/>
  <c r="B35" i="70" a="1"/>
  <c r="B35" i="70" s="1"/>
  <c r="C34" i="70"/>
  <c r="B34" i="70" a="1"/>
  <c r="B34" i="70" s="1"/>
  <c r="C33" i="70"/>
  <c r="B33" i="70" a="1"/>
  <c r="B33" i="70" s="1"/>
  <c r="C32" i="70"/>
  <c r="B32" i="70" a="1"/>
  <c r="B32" i="70" s="1"/>
  <c r="C31" i="70"/>
  <c r="B31" i="70" a="1"/>
  <c r="B31" i="70" s="1"/>
  <c r="C30" i="70"/>
  <c r="B30" i="70" a="1"/>
  <c r="B30" i="70" s="1"/>
  <c r="C29" i="70"/>
  <c r="B29" i="70" a="1"/>
  <c r="B29" i="70" s="1"/>
  <c r="C28" i="70"/>
  <c r="B28" i="70" a="1"/>
  <c r="B28" i="70" s="1"/>
  <c r="C27" i="70"/>
  <c r="B27" i="70" a="1"/>
  <c r="B27" i="70" s="1"/>
  <c r="AE26" i="70"/>
  <c r="Q26" i="70"/>
  <c r="C26" i="70"/>
  <c r="B26" i="70" a="1"/>
  <c r="B26" i="70" s="1"/>
  <c r="AG25" i="70"/>
  <c r="AE25" i="70"/>
  <c r="AC25" i="70" a="1"/>
  <c r="AC25" i="70" s="1"/>
  <c r="Y25" i="70"/>
  <c r="U25" i="70"/>
  <c r="C25" i="70"/>
  <c r="B25" i="70" a="1"/>
  <c r="B25" i="70" s="1"/>
  <c r="AG24" i="70"/>
  <c r="AE24" i="70"/>
  <c r="AC24" i="70" a="1"/>
  <c r="AC24" i="70" s="1"/>
  <c r="Y24" i="70"/>
  <c r="U24" i="70"/>
  <c r="N24" i="70"/>
  <c r="C24" i="70"/>
  <c r="B24" i="70" a="1"/>
  <c r="B24" i="70" s="1"/>
  <c r="AG23" i="70"/>
  <c r="AE23" i="70"/>
  <c r="AC23" i="70" a="1"/>
  <c r="AC23" i="70" s="1"/>
  <c r="Y23" i="70"/>
  <c r="U23" i="70"/>
  <c r="N23" i="70"/>
  <c r="C23" i="70"/>
  <c r="B23" i="70" a="1"/>
  <c r="B23" i="70" s="1"/>
  <c r="AE22" i="70"/>
  <c r="AC22" i="70" a="1"/>
  <c r="AC22" i="70" s="1"/>
  <c r="Y22" i="70"/>
  <c r="U22" i="70"/>
  <c r="N22" i="70"/>
  <c r="C22" i="70"/>
  <c r="B22" i="70" a="1"/>
  <c r="B22" i="70" s="1"/>
  <c r="AE21" i="70"/>
  <c r="AC21" i="70" a="1"/>
  <c r="AC21" i="70" s="1"/>
  <c r="Y21" i="70"/>
  <c r="U21" i="70"/>
  <c r="N21" i="70"/>
  <c r="C21" i="70"/>
  <c r="B21" i="70" a="1"/>
  <c r="B21" i="70" s="1"/>
  <c r="AE20" i="70"/>
  <c r="AC20" i="70" a="1"/>
  <c r="AC20" i="70" s="1"/>
  <c r="Y20" i="70"/>
  <c r="U20" i="70"/>
  <c r="C20" i="70"/>
  <c r="B20" i="70" a="1"/>
  <c r="B20" i="70" s="1"/>
  <c r="C19" i="70"/>
  <c r="B19" i="70" a="1"/>
  <c r="B19" i="70" s="1"/>
  <c r="C18" i="70"/>
  <c r="B18" i="70" a="1"/>
  <c r="B18" i="70" s="1"/>
  <c r="C17" i="70"/>
  <c r="B17" i="70" a="1"/>
  <c r="B17" i="70" s="1"/>
  <c r="AG16" i="70"/>
  <c r="Y16" i="70"/>
  <c r="R16" i="70" s="1"/>
  <c r="S16" i="70"/>
  <c r="Q16" i="70"/>
  <c r="Q39" i="70" s="1"/>
  <c r="P16" i="70"/>
  <c r="P54" i="70" s="1"/>
  <c r="O16" i="70"/>
  <c r="O56" i="70" s="1"/>
  <c r="C16" i="70"/>
  <c r="B16" i="70" a="1"/>
  <c r="B16" i="70" s="1"/>
  <c r="X15" i="70"/>
  <c r="AD22" i="70" s="1"/>
  <c r="U15" i="70"/>
  <c r="W15" i="70" s="1" a="1"/>
  <c r="W15" i="70" s="1"/>
  <c r="C15" i="70"/>
  <c r="B15" i="70" a="1"/>
  <c r="B15" i="70" s="1"/>
  <c r="C14" i="70"/>
  <c r="B14" i="70" a="1"/>
  <c r="B14" i="70" s="1"/>
  <c r="AG13" i="70"/>
  <c r="W13" i="70"/>
  <c r="B13" i="70"/>
  <c r="P12" i="70"/>
  <c r="B12" i="70"/>
  <c r="L11" i="70"/>
  <c r="B11" i="70"/>
  <c r="AG10" i="70"/>
  <c r="BE9" i="70"/>
  <c r="AJ9" i="70"/>
  <c r="P9" i="70"/>
  <c r="BW8" i="70"/>
  <c r="O8" i="70"/>
  <c r="BZ7" i="70"/>
  <c r="D7" i="70"/>
  <c r="BZ6" i="70"/>
  <c r="BW2" i="70"/>
  <c r="BV2" i="70"/>
  <c r="BU2" i="70"/>
  <c r="BT2" i="70"/>
  <c r="BS2" i="70"/>
  <c r="BR2" i="70"/>
  <c r="BQ2" i="70"/>
  <c r="BP2" i="70"/>
  <c r="BO2" i="70"/>
  <c r="BN2" i="70"/>
  <c r="BM2" i="70"/>
  <c r="BL2" i="70"/>
  <c r="BK2" i="70"/>
  <c r="BJ2" i="70"/>
  <c r="BI2" i="70"/>
  <c r="BH2" i="70"/>
  <c r="BG2" i="70"/>
  <c r="BF2" i="70"/>
  <c r="BE2" i="70"/>
  <c r="BD2" i="70"/>
  <c r="BB2" i="70"/>
  <c r="BA2" i="70"/>
  <c r="AZ2" i="70"/>
  <c r="AY2" i="70"/>
  <c r="AX2" i="70"/>
  <c r="AW2" i="70"/>
  <c r="AV2" i="70"/>
  <c r="AU2" i="70"/>
  <c r="AT2" i="70"/>
  <c r="AS2" i="70"/>
  <c r="AR2" i="70"/>
  <c r="AQ2" i="70"/>
  <c r="AP2" i="70"/>
  <c r="AO2" i="70"/>
  <c r="AN2" i="70"/>
  <c r="AM2" i="70"/>
  <c r="AL2" i="70"/>
  <c r="AK2" i="70"/>
  <c r="AJ2" i="70"/>
  <c r="AI2" i="70"/>
  <c r="L2" i="70"/>
  <c r="K2" i="70"/>
  <c r="J2" i="70"/>
  <c r="I2" i="70"/>
  <c r="H2" i="70"/>
  <c r="G2" i="70"/>
  <c r="F2" i="70"/>
  <c r="E2" i="70"/>
  <c r="D2" i="70"/>
  <c r="C2" i="70"/>
  <c r="B2" i="70"/>
  <c r="CA1" i="70"/>
  <c r="BZ1" i="70"/>
  <c r="BW1" i="70"/>
  <c r="BV1" i="70"/>
  <c r="BU1" i="70"/>
  <c r="BT1" i="70"/>
  <c r="BS1" i="70"/>
  <c r="BR1" i="70"/>
  <c r="BQ1" i="70"/>
  <c r="BP1" i="70"/>
  <c r="BO1" i="70"/>
  <c r="BN1" i="70"/>
  <c r="BM1" i="70"/>
  <c r="BL1" i="70"/>
  <c r="BK1" i="70"/>
  <c r="BJ1" i="70"/>
  <c r="BI1" i="70"/>
  <c r="BH1" i="70"/>
  <c r="BG1" i="70"/>
  <c r="BF1" i="70"/>
  <c r="BE1" i="70"/>
  <c r="BD1" i="70"/>
  <c r="BB1" i="70"/>
  <c r="BA1" i="70"/>
  <c r="AZ1" i="70"/>
  <c r="AY1" i="70"/>
  <c r="AX1" i="70"/>
  <c r="AW1" i="70"/>
  <c r="AV1" i="70"/>
  <c r="AU1" i="70"/>
  <c r="AT1" i="70"/>
  <c r="AS1" i="70"/>
  <c r="AR1" i="70"/>
  <c r="AQ1" i="70"/>
  <c r="AP1" i="70"/>
  <c r="AO1" i="70"/>
  <c r="AN1" i="70"/>
  <c r="AM1" i="70"/>
  <c r="AL1" i="70"/>
  <c r="AK1" i="70"/>
  <c r="AJ1" i="70"/>
  <c r="AI1" i="70"/>
  <c r="AG1" i="70"/>
  <c r="AF1" i="70"/>
  <c r="AE1" i="70"/>
  <c r="AD1" i="70"/>
  <c r="AC1" i="70"/>
  <c r="AB1" i="70"/>
  <c r="AA1" i="70"/>
  <c r="Z1" i="70"/>
  <c r="Y1" i="70"/>
  <c r="X1" i="70"/>
  <c r="W1" i="70"/>
  <c r="V1" i="70"/>
  <c r="U1" i="70"/>
  <c r="T1" i="70"/>
  <c r="S1" i="70"/>
  <c r="R1" i="70"/>
  <c r="Q1" i="70"/>
  <c r="P1" i="70"/>
  <c r="O1" i="70"/>
  <c r="N1" i="70"/>
  <c r="L1" i="70"/>
  <c r="K1" i="70"/>
  <c r="J1" i="70"/>
  <c r="I1" i="70"/>
  <c r="H1" i="70"/>
  <c r="G1" i="70"/>
  <c r="F1" i="70"/>
  <c r="E1" i="70"/>
  <c r="D1" i="70"/>
  <c r="C1" i="70"/>
  <c r="B1" i="70"/>
  <c r="A1" i="70"/>
  <c r="F155" i="106" l="1"/>
  <c r="E155" i="106"/>
  <c r="D157" i="106" s="1" a="1"/>
  <c r="D157" i="106" s="1"/>
  <c r="AM5" i="100"/>
  <c r="K53" i="100"/>
  <c r="Q12" i="70"/>
  <c r="P30" i="70"/>
  <c r="Q47" i="70"/>
  <c r="AD21" i="70"/>
  <c r="Q30" i="70"/>
  <c r="O26" i="70"/>
  <c r="P26" i="70"/>
  <c r="P45" i="70"/>
  <c r="R52" i="70"/>
  <c r="R56" i="70"/>
  <c r="R24" i="70"/>
  <c r="R17" i="70"/>
  <c r="R54" i="70"/>
  <c r="R35" i="70"/>
  <c r="R28" i="70"/>
  <c r="R11" i="70"/>
  <c r="R14" i="70"/>
  <c r="R12" i="70"/>
  <c r="R47" i="70"/>
  <c r="R42" i="70"/>
  <c r="R20" i="70"/>
  <c r="R39" i="70"/>
  <c r="R48" i="70"/>
  <c r="R44" i="70"/>
  <c r="R50" i="70"/>
  <c r="R45" i="70"/>
  <c r="R25" i="70"/>
  <c r="R55" i="70"/>
  <c r="R51" i="70"/>
  <c r="R38" i="70"/>
  <c r="R41" i="70"/>
  <c r="R33" i="70"/>
  <c r="R19" i="70"/>
  <c r="R30" i="70"/>
  <c r="R26" i="70"/>
  <c r="Q19" i="70"/>
  <c r="Q33" i="70"/>
  <c r="Q41" i="70"/>
  <c r="O55" i="70"/>
  <c r="P55" i="70"/>
  <c r="O33" i="70"/>
  <c r="O14" i="70"/>
  <c r="P44" i="70"/>
  <c r="P48" i="70"/>
  <c r="Q50" i="70"/>
  <c r="P19" i="70"/>
  <c r="O50" i="70"/>
  <c r="Q25" i="70"/>
  <c r="O20" i="70"/>
  <c r="Q48" i="70"/>
  <c r="O11" i="70"/>
  <c r="Q14" i="70"/>
  <c r="P20" i="70"/>
  <c r="O28" i="70"/>
  <c r="O35" i="70"/>
  <c r="P25" i="70"/>
  <c r="P50" i="70"/>
  <c r="P14" i="70"/>
  <c r="P28" i="70"/>
  <c r="P35" i="70"/>
  <c r="Q42" i="70"/>
  <c r="P33" i="70"/>
  <c r="Q44" i="70"/>
  <c r="Q11" i="70"/>
  <c r="Q35" i="70"/>
  <c r="P56" i="70"/>
  <c r="P11" i="70"/>
  <c r="O17" i="70"/>
  <c r="Q20" i="70"/>
  <c r="P17" i="70"/>
  <c r="Q28" i="70"/>
  <c r="Q17" i="70"/>
  <c r="Q24" i="70"/>
  <c r="O38" i="70"/>
  <c r="Q56" i="70"/>
  <c r="O41" i="70"/>
  <c r="AF22" i="70"/>
  <c r="AG22" i="70" s="1"/>
  <c r="P38" i="70"/>
  <c r="O47" i="70"/>
  <c r="P41" i="70"/>
  <c r="O44" i="70"/>
  <c r="O48" i="70"/>
  <c r="O12" i="70"/>
  <c r="AF20" i="70"/>
  <c r="AG20" i="70" s="1"/>
  <c r="Q38" i="70"/>
  <c r="P47" i="70"/>
  <c r="O51" i="70"/>
  <c r="Q54" i="70"/>
  <c r="W34" i="70"/>
  <c r="W55" i="70" s="1"/>
  <c r="AC26" i="70"/>
  <c r="AF21" i="70"/>
  <c r="AG21" i="70" s="1"/>
  <c r="AF25" i="70"/>
  <c r="AD25" i="70"/>
  <c r="AD24" i="70"/>
  <c r="AF23" i="70"/>
  <c r="AD23" i="70"/>
  <c r="AD20" i="70"/>
  <c r="AF24" i="70"/>
  <c r="X37" i="70"/>
  <c r="O21" i="70"/>
  <c r="O40" i="70"/>
  <c r="O10" i="70"/>
  <c r="P21" i="70"/>
  <c r="O34" i="70"/>
  <c r="P10" i="70"/>
  <c r="Q18" i="70"/>
  <c r="Q21" i="70"/>
  <c r="O22" i="70"/>
  <c r="O27" i="70"/>
  <c r="Q40" i="70"/>
  <c r="Q10" i="70"/>
  <c r="P22" i="70"/>
  <c r="R29" i="70"/>
  <c r="Q34" i="70"/>
  <c r="R40" i="70"/>
  <c r="O13" i="70"/>
  <c r="O23" i="70"/>
  <c r="R34" i="70"/>
  <c r="O36" i="70"/>
  <c r="R43" i="70"/>
  <c r="Q46" i="70"/>
  <c r="P49" i="70"/>
  <c r="O52" i="70"/>
  <c r="O53" i="70"/>
  <c r="P53" i="70"/>
  <c r="R21" i="70"/>
  <c r="O49" i="70"/>
  <c r="R10" i="70"/>
  <c r="O15" i="70"/>
  <c r="Q22" i="70"/>
  <c r="Q27" i="70"/>
  <c r="P13" i="70"/>
  <c r="P15" i="70"/>
  <c r="R22" i="70"/>
  <c r="P23" i="70"/>
  <c r="R27" i="70"/>
  <c r="P36" i="70"/>
  <c r="O39" i="70"/>
  <c r="R46" i="70"/>
  <c r="Q49" i="70"/>
  <c r="P52" i="70"/>
  <c r="O37" i="70"/>
  <c r="P18" i="70"/>
  <c r="P29" i="70"/>
  <c r="Q29" i="70"/>
  <c r="P34" i="70"/>
  <c r="R37" i="70"/>
  <c r="P43" i="70"/>
  <c r="O46" i="70"/>
  <c r="R53" i="70"/>
  <c r="R18" i="70"/>
  <c r="P27" i="70"/>
  <c r="Q43" i="70"/>
  <c r="Q13" i="70"/>
  <c r="Q23" i="70"/>
  <c r="O24" i="70"/>
  <c r="Q36" i="70"/>
  <c r="P39" i="70"/>
  <c r="O42" i="70"/>
  <c r="R49" i="70"/>
  <c r="Q52" i="70"/>
  <c r="O54" i="70"/>
  <c r="O18" i="70"/>
  <c r="O29" i="70"/>
  <c r="P37" i="70"/>
  <c r="Q37" i="70"/>
  <c r="P40" i="70"/>
  <c r="O43" i="70"/>
  <c r="Q53" i="70"/>
  <c r="P46" i="70"/>
  <c r="CA3" i="70"/>
  <c r="Q15" i="70"/>
  <c r="R13" i="70"/>
  <c r="R15" i="70"/>
  <c r="O19" i="70"/>
  <c r="R23" i="70"/>
  <c r="P24" i="70"/>
  <c r="O25" i="70"/>
  <c r="O30" i="70"/>
  <c r="R36" i="70"/>
  <c r="P42" i="70"/>
  <c r="O45" i="70"/>
  <c r="F157" i="106" l="1"/>
  <c r="E157" i="106"/>
  <c r="D159" i="106" s="1" a="1"/>
  <c r="D159" i="106" s="1"/>
  <c r="AM3" i="100"/>
  <c r="AM4" i="100"/>
  <c r="AG12" i="70" a="1"/>
  <c r="AG12" i="70" s="1"/>
  <c r="BZ4" i="71"/>
  <c r="BZ5" i="71"/>
  <c r="AB21" i="70"/>
  <c r="AA21" i="70"/>
  <c r="AB20" i="70"/>
  <c r="AA20" i="70"/>
  <c r="AB22" i="70"/>
  <c r="AA24" i="70"/>
  <c r="AA22" i="70"/>
  <c r="AB23" i="70"/>
  <c r="AA23" i="70"/>
  <c r="AB24" i="70"/>
  <c r="AB25" i="70"/>
  <c r="AA25" i="70"/>
  <c r="AF26" i="70"/>
  <c r="F159" i="106" l="1"/>
  <c r="E159" i="106"/>
  <c r="D161" i="106" s="1" a="1"/>
  <c r="D161" i="106" s="1"/>
  <c r="BZ5" i="70"/>
  <c r="BZ4" i="70"/>
  <c r="BZ3" i="71"/>
  <c r="BZ3" i="70"/>
  <c r="F161" i="106" l="1"/>
  <c r="E161" i="106"/>
  <c r="D163" i="106" s="1" a="1"/>
  <c r="D163" i="106" s="1"/>
  <c r="AF404" i="63"/>
  <c r="AE404" i="63"/>
  <c r="AF345" i="63"/>
  <c r="AE345" i="63"/>
  <c r="AF289" i="63"/>
  <c r="AE289" i="63"/>
  <c r="AF231" i="63"/>
  <c r="AE231" i="63"/>
  <c r="AF177" i="63"/>
  <c r="AE177" i="63"/>
  <c r="AF120" i="63"/>
  <c r="AE120" i="63"/>
  <c r="AF63" i="63"/>
  <c r="AE63" i="63"/>
  <c r="AI70" i="60"/>
  <c r="AH70" i="60"/>
  <c r="AI113" i="60"/>
  <c r="AH113" i="60"/>
  <c r="AI156" i="60"/>
  <c r="AH156" i="60"/>
  <c r="AI205" i="60"/>
  <c r="AH205" i="60"/>
  <c r="AI300" i="60"/>
  <c r="AH300" i="60"/>
  <c r="S65" i="54"/>
  <c r="T360" i="54"/>
  <c r="S360" i="54"/>
  <c r="T265" i="54"/>
  <c r="S265" i="54"/>
  <c r="T180" i="54"/>
  <c r="S180" i="54"/>
  <c r="T120" i="54"/>
  <c r="S120" i="54"/>
  <c r="T65" i="54"/>
  <c r="AJ1" i="60"/>
  <c r="AJ215" i="60"/>
  <c r="AJ166" i="60"/>
  <c r="AJ123" i="60"/>
  <c r="AJ80" i="60"/>
  <c r="AJ20" i="60"/>
  <c r="AG77" i="63"/>
  <c r="AC77" i="63" a="1"/>
  <c r="AC77" i="63" s="1"/>
  <c r="AW7" i="63"/>
  <c r="AW6" i="63"/>
  <c r="AM365" i="63"/>
  <c r="V409" i="63"/>
  <c r="AN346" i="63"/>
  <c r="AM323" i="63" a="1"/>
  <c r="AM323" i="63" s="1"/>
  <c r="AM319" i="63"/>
  <c r="AM318" i="63"/>
  <c r="AM317" i="63"/>
  <c r="AM316" i="63"/>
  <c r="AM315" i="63"/>
  <c r="AM314" i="63"/>
  <c r="AM313" i="63"/>
  <c r="AM312" i="63"/>
  <c r="AM311" i="63"/>
  <c r="AM310" i="63"/>
  <c r="AM309" i="63"/>
  <c r="AM308" i="63"/>
  <c r="AM307" i="63"/>
  <c r="AM306" i="63"/>
  <c r="AM305" i="63"/>
  <c r="AM304" i="63"/>
  <c r="AM303" i="63"/>
  <c r="AM302" i="63"/>
  <c r="AM301" i="63"/>
  <c r="AM300" i="63"/>
  <c r="AM299" i="63"/>
  <c r="AM298" i="63"/>
  <c r="AM297" i="63"/>
  <c r="AM296" i="63"/>
  <c r="AM295" i="63"/>
  <c r="AM294" i="63"/>
  <c r="AM293" i="63"/>
  <c r="AO323" i="63"/>
  <c r="F163" i="106" l="1"/>
  <c r="E163" i="106"/>
  <c r="D165" i="106" s="1" a="1"/>
  <c r="D165" i="106" s="1"/>
  <c r="X721" i="63"/>
  <c r="X720" i="63"/>
  <c r="AC719" i="63"/>
  <c r="AD719" i="63" s="1"/>
  <c r="X719" i="63"/>
  <c r="AC718" i="63"/>
  <c r="AD718" i="63" s="1"/>
  <c r="X718" i="63"/>
  <c r="AC717" i="63"/>
  <c r="AD717" i="63" s="1"/>
  <c r="X717" i="63"/>
  <c r="AC716" i="63"/>
  <c r="X716" i="63"/>
  <c r="Z715" i="63"/>
  <c r="X715" i="63"/>
  <c r="AF714" i="63"/>
  <c r="AB714" i="63"/>
  <c r="X714" i="63"/>
  <c r="AA713" i="63"/>
  <c r="X713" i="63"/>
  <c r="AF712" i="63"/>
  <c r="AC712" i="63"/>
  <c r="Z719" i="63" s="1"/>
  <c r="AB712" i="63"/>
  <c r="Z718" i="63" s="1"/>
  <c r="AA712" i="63"/>
  <c r="Z717" i="63" s="1"/>
  <c r="Z712" i="63"/>
  <c r="Z716" i="63" s="1"/>
  <c r="X712" i="63"/>
  <c r="AC711" i="63"/>
  <c r="AG714" i="63" s="1"/>
  <c r="AB711" i="63"/>
  <c r="AG712" i="63" s="1"/>
  <c r="AA711" i="63"/>
  <c r="AG710" i="63" s="1"/>
  <c r="Z711" i="63"/>
  <c r="AG708" i="63" s="1"/>
  <c r="X711" i="63"/>
  <c r="AF710" i="63"/>
  <c r="X710" i="63"/>
  <c r="X709" i="63"/>
  <c r="AF708" i="63"/>
  <c r="X708" i="63"/>
  <c r="AF707" i="63"/>
  <c r="X707" i="63"/>
  <c r="X706" i="63"/>
  <c r="AF705" i="63"/>
  <c r="X702" i="63"/>
  <c r="X701" i="63"/>
  <c r="X700" i="63"/>
  <c r="X699" i="63"/>
  <c r="X698" i="63"/>
  <c r="X697" i="63"/>
  <c r="X696" i="63"/>
  <c r="X695" i="63"/>
  <c r="X692" i="63"/>
  <c r="X691" i="63"/>
  <c r="AG690" i="63"/>
  <c r="AF690" i="63"/>
  <c r="AE690" i="63"/>
  <c r="AD690" i="63"/>
  <c r="AC690" i="63"/>
  <c r="X690" i="63"/>
  <c r="X689" i="63"/>
  <c r="AC688" i="63"/>
  <c r="X688" i="63"/>
  <c r="AG687" i="63"/>
  <c r="AF687" i="63"/>
  <c r="AE687" i="63"/>
  <c r="AD687" i="63"/>
  <c r="AC687" i="63"/>
  <c r="X687" i="63"/>
  <c r="X686" i="63"/>
  <c r="AC685" i="63"/>
  <c r="X685" i="63"/>
  <c r="X681" i="63"/>
  <c r="X680" i="63"/>
  <c r="X679" i="63"/>
  <c r="X678" i="63"/>
  <c r="X677" i="63"/>
  <c r="X676" i="63"/>
  <c r="Y673" i="63"/>
  <c r="AD673" i="63" s="1"/>
  <c r="Y672" i="63"/>
  <c r="AD672" i="63" s="1"/>
  <c r="Y671" i="63"/>
  <c r="AD671" i="63" s="1"/>
  <c r="Y670" i="63"/>
  <c r="AD670" i="63" s="1"/>
  <c r="Y669" i="63"/>
  <c r="AD669" i="63" s="1"/>
  <c r="Y668" i="63"/>
  <c r="AD668" i="63" s="1"/>
  <c r="Y667" i="63"/>
  <c r="AD667" i="63" s="1"/>
  <c r="Y666" i="63"/>
  <c r="AD666" i="63" s="1"/>
  <c r="Y665" i="63"/>
  <c r="AD665" i="63" s="1"/>
  <c r="X658" i="63"/>
  <c r="AF657" i="63"/>
  <c r="AF658" i="63" s="1"/>
  <c r="X657" i="63"/>
  <c r="X656" i="63"/>
  <c r="X655" i="63"/>
  <c r="AF654" i="63"/>
  <c r="AF655" i="63" s="1"/>
  <c r="X654" i="63"/>
  <c r="X653" i="63"/>
  <c r="X652" i="63"/>
  <c r="X651" i="63"/>
  <c r="AF650" i="63"/>
  <c r="X650" i="63"/>
  <c r="AF649" i="63"/>
  <c r="X649" i="63"/>
  <c r="X648" i="63"/>
  <c r="X647" i="63"/>
  <c r="X646" i="63"/>
  <c r="AF645" i="63"/>
  <c r="AF646" i="63" s="1"/>
  <c r="X645" i="63"/>
  <c r="X644" i="63"/>
  <c r="X643" i="63"/>
  <c r="X639" i="63"/>
  <c r="X638" i="63"/>
  <c r="X637" i="63"/>
  <c r="X636" i="63"/>
  <c r="X635" i="63"/>
  <c r="X634" i="63"/>
  <c r="X633" i="63"/>
  <c r="X632" i="63"/>
  <c r="X631" i="63"/>
  <c r="X630" i="63"/>
  <c r="X627" i="63"/>
  <c r="X626" i="63"/>
  <c r="X625" i="63"/>
  <c r="AE624" i="63"/>
  <c r="Z626" i="63" s="1"/>
  <c r="X624" i="63"/>
  <c r="AE623" i="63"/>
  <c r="Z625" i="63" s="1"/>
  <c r="X623" i="63"/>
  <c r="X622" i="63"/>
  <c r="X618" i="63"/>
  <c r="X617" i="63"/>
  <c r="X616" i="63"/>
  <c r="X615" i="63"/>
  <c r="X614" i="63"/>
  <c r="X613" i="63"/>
  <c r="AE612" i="63"/>
  <c r="X612" i="63"/>
  <c r="X611" i="63"/>
  <c r="X610" i="63"/>
  <c r="X609" i="63"/>
  <c r="X608" i="63"/>
  <c r="X607" i="63"/>
  <c r="X606" i="63"/>
  <c r="X605" i="63"/>
  <c r="X604" i="63"/>
  <c r="X603" i="63"/>
  <c r="X602" i="63"/>
  <c r="X601" i="63"/>
  <c r="X597" i="63"/>
  <c r="X596" i="63"/>
  <c r="X595" i="63"/>
  <c r="X594" i="63"/>
  <c r="X593" i="63"/>
  <c r="X592" i="63"/>
  <c r="X591" i="63"/>
  <c r="X590" i="63"/>
  <c r="X589" i="63"/>
  <c r="X588" i="63"/>
  <c r="X587" i="63"/>
  <c r="X586" i="63"/>
  <c r="X585" i="63"/>
  <c r="X584" i="63"/>
  <c r="X583" i="63"/>
  <c r="X582" i="63"/>
  <c r="X581" i="63"/>
  <c r="X580" i="63"/>
  <c r="X576" i="63"/>
  <c r="X575" i="63"/>
  <c r="X574" i="63"/>
  <c r="X573" i="63"/>
  <c r="X572" i="63"/>
  <c r="X571" i="63"/>
  <c r="X570" i="63"/>
  <c r="X569" i="63"/>
  <c r="X566" i="63"/>
  <c r="X565" i="63"/>
  <c r="X564" i="63"/>
  <c r="AD563" i="63"/>
  <c r="AE563" i="63" s="1"/>
  <c r="X563" i="63"/>
  <c r="AD562" i="63"/>
  <c r="AE562" i="63" s="1"/>
  <c r="X562" i="63"/>
  <c r="AD561" i="63"/>
  <c r="AE561" i="63" s="1"/>
  <c r="X561" i="63"/>
  <c r="AD560" i="63"/>
  <c r="AE560" i="63" s="1"/>
  <c r="X560" i="63"/>
  <c r="X559" i="63"/>
  <c r="X555" i="63"/>
  <c r="X554" i="63"/>
  <c r="X553" i="63"/>
  <c r="X552" i="63"/>
  <c r="X551" i="63"/>
  <c r="X550" i="63"/>
  <c r="X549" i="63"/>
  <c r="X548" i="63"/>
  <c r="X547" i="63"/>
  <c r="X546" i="63"/>
  <c r="X545" i="63"/>
  <c r="X544" i="63"/>
  <c r="X543" i="63"/>
  <c r="AD540" i="63"/>
  <c r="X540" i="63"/>
  <c r="X539" i="63"/>
  <c r="X538" i="63"/>
  <c r="X534" i="63"/>
  <c r="X533" i="63"/>
  <c r="X532" i="63"/>
  <c r="X531" i="63"/>
  <c r="X530" i="63"/>
  <c r="X529" i="63"/>
  <c r="X528" i="63"/>
  <c r="X527" i="63"/>
  <c r="X526" i="63"/>
  <c r="X525" i="63"/>
  <c r="X524" i="63"/>
  <c r="AB521" i="63"/>
  <c r="X521" i="63"/>
  <c r="X520" i="63"/>
  <c r="X519" i="63"/>
  <c r="X518" i="63"/>
  <c r="X517" i="63"/>
  <c r="X511" i="63"/>
  <c r="X510" i="63"/>
  <c r="X509" i="63"/>
  <c r="X508" i="63"/>
  <c r="X507" i="63"/>
  <c r="X506" i="63"/>
  <c r="X505" i="63"/>
  <c r="AC504" i="63"/>
  <c r="X504" i="63"/>
  <c r="AC503" i="63"/>
  <c r="X503" i="63"/>
  <c r="X502" i="63"/>
  <c r="X501" i="63"/>
  <c r="X500" i="63"/>
  <c r="X499" i="63"/>
  <c r="X498" i="63"/>
  <c r="X497" i="63"/>
  <c r="X496" i="63"/>
  <c r="X492" i="63"/>
  <c r="X491" i="63"/>
  <c r="X490" i="63"/>
  <c r="X489" i="63"/>
  <c r="X488" i="63"/>
  <c r="X487" i="63"/>
  <c r="X486" i="63"/>
  <c r="X483" i="63"/>
  <c r="X482" i="63"/>
  <c r="X481" i="63"/>
  <c r="X480" i="63"/>
  <c r="X479" i="63"/>
  <c r="X478" i="63"/>
  <c r="X477" i="63"/>
  <c r="X476" i="63"/>
  <c r="X475" i="63"/>
  <c r="X469" i="63"/>
  <c r="X468" i="63"/>
  <c r="X467" i="63"/>
  <c r="X466" i="63"/>
  <c r="X465" i="63"/>
  <c r="X464" i="63"/>
  <c r="X463" i="63"/>
  <c r="X462" i="63"/>
  <c r="X461" i="63"/>
  <c r="X460" i="63"/>
  <c r="X459" i="63"/>
  <c r="X458" i="63"/>
  <c r="X457" i="63"/>
  <c r="X456" i="63"/>
  <c r="X455" i="63"/>
  <c r="X454" i="63"/>
  <c r="X450" i="63"/>
  <c r="X449" i="63"/>
  <c r="X448" i="63"/>
  <c r="X447" i="63"/>
  <c r="AD446" i="63"/>
  <c r="X446" i="63"/>
  <c r="AG445" i="63"/>
  <c r="AC447" i="63" s="1"/>
  <c r="X445" i="63"/>
  <c r="X444" i="63"/>
  <c r="X443" i="63"/>
  <c r="AD442" i="63"/>
  <c r="X442" i="63"/>
  <c r="AD441" i="63"/>
  <c r="X441" i="63"/>
  <c r="X440" i="63"/>
  <c r="X439" i="63"/>
  <c r="AG438" i="63"/>
  <c r="AC443" i="63" s="1"/>
  <c r="X438" i="63"/>
  <c r="X437" i="63"/>
  <c r="AG436" i="63"/>
  <c r="X436" i="63"/>
  <c r="X435" i="63"/>
  <c r="X433" i="63"/>
  <c r="X434" i="63" s="1"/>
  <c r="X429" i="63"/>
  <c r="X428" i="63"/>
  <c r="X427" i="63"/>
  <c r="X426" i="63"/>
  <c r="X425" i="63"/>
  <c r="X424" i="63"/>
  <c r="X423" i="63"/>
  <c r="X422" i="63"/>
  <c r="X419" i="63"/>
  <c r="X416" i="63"/>
  <c r="X412" i="63"/>
  <c r="AG14" i="63"/>
  <c r="AK18" i="63"/>
  <c r="AJ408" i="63"/>
  <c r="AK408" i="63"/>
  <c r="D11" i="63"/>
  <c r="L10" i="63"/>
  <c r="B10" i="63"/>
  <c r="K2" i="63"/>
  <c r="J2" i="63"/>
  <c r="I2" i="63"/>
  <c r="H2" i="63"/>
  <c r="G2" i="63"/>
  <c r="F2" i="63"/>
  <c r="E2" i="63"/>
  <c r="D2" i="63"/>
  <c r="C2" i="63"/>
  <c r="B2" i="63"/>
  <c r="K1" i="63"/>
  <c r="J1" i="63"/>
  <c r="I1" i="63"/>
  <c r="H1" i="63"/>
  <c r="G1" i="63"/>
  <c r="F1" i="63"/>
  <c r="E1" i="63"/>
  <c r="D1" i="63"/>
  <c r="C1" i="63"/>
  <c r="B1" i="63"/>
  <c r="B405" i="63" a="1"/>
  <c r="B405" i="63" s="1"/>
  <c r="B404" i="63" a="1"/>
  <c r="B404" i="63" s="1"/>
  <c r="B403" i="63" a="1"/>
  <c r="B403" i="63" s="1"/>
  <c r="B402" i="63" a="1"/>
  <c r="B402" i="63" s="1"/>
  <c r="B401" i="63" a="1"/>
  <c r="B401" i="63" s="1"/>
  <c r="B400" i="63" a="1"/>
  <c r="B400" i="63" s="1"/>
  <c r="B399" i="63" a="1"/>
  <c r="B399" i="63" s="1"/>
  <c r="B398" i="63" a="1"/>
  <c r="B398" i="63" s="1"/>
  <c r="B397" i="63" a="1"/>
  <c r="B397" i="63" s="1"/>
  <c r="B396" i="63" a="1"/>
  <c r="B396" i="63" s="1"/>
  <c r="B395" i="63" a="1"/>
  <c r="B395" i="63" s="1"/>
  <c r="B394" i="63" a="1"/>
  <c r="B394" i="63" s="1"/>
  <c r="B393" i="63" a="1"/>
  <c r="B393" i="63" s="1"/>
  <c r="B392" i="63" a="1"/>
  <c r="B392" i="63" s="1"/>
  <c r="B391" i="63" a="1"/>
  <c r="B391" i="63" s="1"/>
  <c r="B390" i="63" a="1"/>
  <c r="B390" i="63" s="1"/>
  <c r="B389" i="63" a="1"/>
  <c r="B389" i="63" s="1"/>
  <c r="B388" i="63" a="1"/>
  <c r="B388" i="63" s="1"/>
  <c r="B387" i="63" a="1"/>
  <c r="B387" i="63" s="1"/>
  <c r="B386" i="63" a="1"/>
  <c r="B386" i="63" s="1"/>
  <c r="B385" i="63" a="1"/>
  <c r="B385" i="63" s="1"/>
  <c r="B384" i="63" a="1"/>
  <c r="B384" i="63" s="1"/>
  <c r="B383" i="63" a="1"/>
  <c r="B383" i="63" s="1"/>
  <c r="B382" i="63" a="1"/>
  <c r="B382" i="63" s="1"/>
  <c r="B381" i="63" a="1"/>
  <c r="B381" i="63" s="1"/>
  <c r="B380" i="63" a="1"/>
  <c r="B380" i="63" s="1"/>
  <c r="B379" i="63" a="1"/>
  <c r="B379" i="63" s="1"/>
  <c r="B378" i="63" a="1"/>
  <c r="B378" i="63" s="1"/>
  <c r="B377" i="63" a="1"/>
  <c r="B377" i="63" s="1"/>
  <c r="B376" i="63" a="1"/>
  <c r="B376" i="63" s="1"/>
  <c r="B375" i="63" a="1"/>
  <c r="B375" i="63" s="1"/>
  <c r="B374" i="63" a="1"/>
  <c r="B374" i="63" s="1"/>
  <c r="B373" i="63" a="1"/>
  <c r="B373" i="63" s="1"/>
  <c r="B372" i="63" a="1"/>
  <c r="B372" i="63" s="1"/>
  <c r="B371" i="63" a="1"/>
  <c r="B371" i="63" s="1"/>
  <c r="B370" i="63" a="1"/>
  <c r="B370" i="63" s="1"/>
  <c r="B369" i="63" a="1"/>
  <c r="B369" i="63" s="1"/>
  <c r="B368" i="63" a="1"/>
  <c r="B368" i="63" s="1"/>
  <c r="B367" i="63" a="1"/>
  <c r="B367" i="63" s="1"/>
  <c r="B366" i="63" a="1"/>
  <c r="B366" i="63" s="1"/>
  <c r="B365" i="63" a="1"/>
  <c r="B365" i="63" s="1"/>
  <c r="B364" i="63" a="1"/>
  <c r="B364" i="63" s="1"/>
  <c r="B363" i="63" a="1"/>
  <c r="B363" i="63" s="1"/>
  <c r="B362" i="63" a="1"/>
  <c r="B362" i="63" s="1"/>
  <c r="B361" i="63" a="1"/>
  <c r="B361" i="63" s="1"/>
  <c r="B360" i="63" a="1"/>
  <c r="B360" i="63" s="1"/>
  <c r="B359" i="63" a="1"/>
  <c r="B359" i="63" s="1"/>
  <c r="B358" i="63" a="1"/>
  <c r="B358" i="63" s="1"/>
  <c r="B357" i="63" a="1"/>
  <c r="B357" i="63" s="1"/>
  <c r="B356" i="63" a="1"/>
  <c r="B356" i="63" s="1"/>
  <c r="B353" i="63"/>
  <c r="L378" i="63" s="1" a="1"/>
  <c r="L378" i="63" s="1"/>
  <c r="L350" i="63"/>
  <c r="K350" i="63"/>
  <c r="J350" i="63"/>
  <c r="I350" i="63"/>
  <c r="H350" i="63"/>
  <c r="G350" i="63"/>
  <c r="F350" i="63"/>
  <c r="E350" i="63"/>
  <c r="D350" i="63"/>
  <c r="C350" i="63"/>
  <c r="B350" i="63"/>
  <c r="B346" i="63" a="1"/>
  <c r="B346" i="63" s="1"/>
  <c r="B345" i="63" a="1"/>
  <c r="B345" i="63" s="1"/>
  <c r="B344" i="63" a="1"/>
  <c r="B344" i="63" s="1"/>
  <c r="B343" i="63" a="1"/>
  <c r="B343" i="63" s="1"/>
  <c r="B342" i="63" a="1"/>
  <c r="B342" i="63" s="1"/>
  <c r="B341" i="63" a="1"/>
  <c r="B341" i="63" s="1"/>
  <c r="B340" i="63" a="1"/>
  <c r="B340" i="63" s="1"/>
  <c r="B339" i="63" a="1"/>
  <c r="B339" i="63" s="1"/>
  <c r="B338" i="63" a="1"/>
  <c r="B338" i="63" s="1"/>
  <c r="B337" i="63" a="1"/>
  <c r="B337" i="63" s="1"/>
  <c r="B336" i="63" a="1"/>
  <c r="B336" i="63" s="1"/>
  <c r="B335" i="63" a="1"/>
  <c r="B335" i="63" s="1"/>
  <c r="B334" i="63" a="1"/>
  <c r="B334" i="63" s="1"/>
  <c r="B333" i="63" a="1"/>
  <c r="B333" i="63" s="1"/>
  <c r="B332" i="63" a="1"/>
  <c r="B332" i="63" s="1"/>
  <c r="B331" i="63" a="1"/>
  <c r="B331" i="63" s="1"/>
  <c r="B330" i="63" a="1"/>
  <c r="B330" i="63" s="1"/>
  <c r="B329" i="63" a="1"/>
  <c r="B329" i="63" s="1"/>
  <c r="B328" i="63" a="1"/>
  <c r="B328" i="63" s="1"/>
  <c r="B327" i="63" a="1"/>
  <c r="B327" i="63" s="1"/>
  <c r="B326" i="63" a="1"/>
  <c r="B326" i="63" s="1"/>
  <c r="B325" i="63" a="1"/>
  <c r="B325" i="63" s="1"/>
  <c r="B324" i="63" a="1"/>
  <c r="B324" i="63" s="1"/>
  <c r="B323" i="63" a="1"/>
  <c r="B323" i="63" s="1"/>
  <c r="B322" i="63" a="1"/>
  <c r="B322" i="63" s="1"/>
  <c r="B321" i="63" a="1"/>
  <c r="B321" i="63" s="1"/>
  <c r="B320" i="63" a="1"/>
  <c r="B320" i="63" s="1"/>
  <c r="B319" i="63" a="1"/>
  <c r="B319" i="63" s="1"/>
  <c r="B318" i="63" a="1"/>
  <c r="B318" i="63" s="1"/>
  <c r="B317" i="63" a="1"/>
  <c r="B317" i="63" s="1"/>
  <c r="B316" i="63" a="1"/>
  <c r="B316" i="63" s="1"/>
  <c r="B315" i="63" a="1"/>
  <c r="B315" i="63" s="1"/>
  <c r="B314" i="63" a="1"/>
  <c r="B314" i="63" s="1"/>
  <c r="B313" i="63" a="1"/>
  <c r="B313" i="63" s="1"/>
  <c r="B312" i="63" a="1"/>
  <c r="B312" i="63" s="1"/>
  <c r="B311" i="63" a="1"/>
  <c r="B311" i="63" s="1"/>
  <c r="B310" i="63" a="1"/>
  <c r="B310" i="63" s="1"/>
  <c r="B309" i="63" a="1"/>
  <c r="B309" i="63" s="1"/>
  <c r="B308" i="63" a="1"/>
  <c r="B308" i="63" s="1"/>
  <c r="B307" i="63" a="1"/>
  <c r="B307" i="63" s="1"/>
  <c r="B306" i="63" a="1"/>
  <c r="B306" i="63" s="1"/>
  <c r="B305" i="63" a="1"/>
  <c r="B305" i="63" s="1"/>
  <c r="B304" i="63" a="1"/>
  <c r="B304" i="63" s="1"/>
  <c r="B303" i="63" a="1"/>
  <c r="B303" i="63" s="1"/>
  <c r="B302" i="63" a="1"/>
  <c r="B302" i="63" s="1"/>
  <c r="B301" i="63" a="1"/>
  <c r="B301" i="63" s="1"/>
  <c r="B300" i="63" a="1"/>
  <c r="B300" i="63" s="1"/>
  <c r="B297" i="63"/>
  <c r="L323" i="63" s="1" a="1"/>
  <c r="L323" i="63" s="1"/>
  <c r="L294" i="63"/>
  <c r="K294" i="63"/>
  <c r="J294" i="63"/>
  <c r="I294" i="63"/>
  <c r="H294" i="63"/>
  <c r="G294" i="63"/>
  <c r="F294" i="63"/>
  <c r="E294" i="63"/>
  <c r="D294" i="63"/>
  <c r="C294" i="63"/>
  <c r="B294" i="63"/>
  <c r="B290" i="63" a="1"/>
  <c r="B290" i="63" s="1"/>
  <c r="B289" i="63" a="1"/>
  <c r="B289" i="63" s="1"/>
  <c r="B288" i="63" a="1"/>
  <c r="B288" i="63" s="1"/>
  <c r="B287" i="63" a="1"/>
  <c r="B287" i="63" s="1"/>
  <c r="B286" i="63" a="1"/>
  <c r="B286" i="63" s="1"/>
  <c r="B285" i="63" a="1"/>
  <c r="B285" i="63" s="1"/>
  <c r="B284" i="63" a="1"/>
  <c r="B284" i="63" s="1"/>
  <c r="B283" i="63" a="1"/>
  <c r="B283" i="63" s="1"/>
  <c r="B282" i="63" a="1"/>
  <c r="B282" i="63" s="1"/>
  <c r="B281" i="63" a="1"/>
  <c r="B281" i="63" s="1"/>
  <c r="B280" i="63" a="1"/>
  <c r="B280" i="63" s="1"/>
  <c r="B279" i="63" a="1"/>
  <c r="B279" i="63" s="1"/>
  <c r="B278" i="63" a="1"/>
  <c r="B278" i="63" s="1"/>
  <c r="B277" i="63" a="1"/>
  <c r="B277" i="63" s="1"/>
  <c r="B276" i="63" a="1"/>
  <c r="B276" i="63" s="1"/>
  <c r="B275" i="63" a="1"/>
  <c r="B275" i="63" s="1"/>
  <c r="B274" i="63" a="1"/>
  <c r="B274" i="63" s="1"/>
  <c r="B273" i="63" a="1"/>
  <c r="B273" i="63" s="1"/>
  <c r="B272" i="63" a="1"/>
  <c r="B272" i="63" s="1"/>
  <c r="B271" i="63" a="1"/>
  <c r="B271" i="63" s="1"/>
  <c r="B270" i="63" a="1"/>
  <c r="B270" i="63" s="1"/>
  <c r="B269" i="63" a="1"/>
  <c r="B269" i="63" s="1"/>
  <c r="B268" i="63" a="1"/>
  <c r="B268" i="63" s="1"/>
  <c r="B267" i="63" a="1"/>
  <c r="B267" i="63" s="1"/>
  <c r="B266" i="63" a="1"/>
  <c r="B266" i="63" s="1"/>
  <c r="B265" i="63" a="1"/>
  <c r="B265" i="63" s="1"/>
  <c r="B264" i="63" a="1"/>
  <c r="B264" i="63" s="1"/>
  <c r="B263" i="63" a="1"/>
  <c r="B263" i="63" s="1"/>
  <c r="B262" i="63" a="1"/>
  <c r="B262" i="63" s="1"/>
  <c r="B261" i="63" a="1"/>
  <c r="B261" i="63" s="1"/>
  <c r="B260" i="63" a="1"/>
  <c r="B260" i="63" s="1"/>
  <c r="B259" i="63" a="1"/>
  <c r="B259" i="63" s="1"/>
  <c r="B258" i="63" a="1"/>
  <c r="B258" i="63" s="1"/>
  <c r="B257" i="63" a="1"/>
  <c r="B257" i="63" s="1"/>
  <c r="B256" i="63" a="1"/>
  <c r="B256" i="63" s="1"/>
  <c r="B255" i="63" a="1"/>
  <c r="B255" i="63" s="1"/>
  <c r="B254" i="63" a="1"/>
  <c r="B254" i="63" s="1"/>
  <c r="B253" i="63" a="1"/>
  <c r="B253" i="63" s="1"/>
  <c r="B252" i="63" a="1"/>
  <c r="B252" i="63" s="1"/>
  <c r="B251" i="63" a="1"/>
  <c r="B251" i="63" s="1"/>
  <c r="B250" i="63" a="1"/>
  <c r="B250" i="63" s="1"/>
  <c r="B249" i="63" a="1"/>
  <c r="B249" i="63" s="1"/>
  <c r="B248" i="63" a="1"/>
  <c r="B248" i="63" s="1"/>
  <c r="B247" i="63" a="1"/>
  <c r="B247" i="63" s="1"/>
  <c r="B246" i="63" a="1"/>
  <c r="B246" i="63" s="1"/>
  <c r="B245" i="63" a="1"/>
  <c r="B245" i="63" s="1"/>
  <c r="B244" i="63" a="1"/>
  <c r="B244" i="63" s="1"/>
  <c r="B243" i="63" a="1"/>
  <c r="B243" i="63" s="1"/>
  <c r="B242" i="63" a="1"/>
  <c r="B242" i="63" s="1"/>
  <c r="B239" i="63"/>
  <c r="L245" i="63" s="1" a="1"/>
  <c r="L245" i="63" s="1"/>
  <c r="L236" i="63"/>
  <c r="K236" i="63"/>
  <c r="J236" i="63"/>
  <c r="I236" i="63"/>
  <c r="H236" i="63"/>
  <c r="G236" i="63"/>
  <c r="F236" i="63"/>
  <c r="E236" i="63"/>
  <c r="D236" i="63"/>
  <c r="C236" i="63"/>
  <c r="B236" i="63"/>
  <c r="B232" i="63" a="1"/>
  <c r="B232" i="63" s="1"/>
  <c r="B231" i="63" a="1"/>
  <c r="B231" i="63" s="1"/>
  <c r="B230" i="63" a="1"/>
  <c r="B230" i="63" s="1"/>
  <c r="B229" i="63" a="1"/>
  <c r="B229" i="63" s="1"/>
  <c r="B228" i="63" a="1"/>
  <c r="B228" i="63" s="1"/>
  <c r="B227" i="63" a="1"/>
  <c r="B227" i="63" s="1"/>
  <c r="B226" i="63" a="1"/>
  <c r="B226" i="63" s="1"/>
  <c r="B225" i="63" a="1"/>
  <c r="B225" i="63" s="1"/>
  <c r="B224" i="63" a="1"/>
  <c r="B224" i="63" s="1"/>
  <c r="B223" i="63" a="1"/>
  <c r="B223" i="63" s="1"/>
  <c r="B222" i="63" a="1"/>
  <c r="B222" i="63" s="1"/>
  <c r="B221" i="63" a="1"/>
  <c r="B221" i="63" s="1"/>
  <c r="B220" i="63" a="1"/>
  <c r="B220" i="63" s="1"/>
  <c r="B219" i="63" a="1"/>
  <c r="B219" i="63" s="1"/>
  <c r="B218" i="63" a="1"/>
  <c r="B218" i="63" s="1"/>
  <c r="B217" i="63" a="1"/>
  <c r="B217" i="63" s="1"/>
  <c r="B216" i="63" a="1"/>
  <c r="B216" i="63" s="1"/>
  <c r="B215" i="63" a="1"/>
  <c r="B215" i="63" s="1"/>
  <c r="B214" i="63" a="1"/>
  <c r="B214" i="63" s="1"/>
  <c r="B213" i="63" a="1"/>
  <c r="B213" i="63" s="1"/>
  <c r="B212" i="63" a="1"/>
  <c r="B212" i="63" s="1"/>
  <c r="B211" i="63" a="1"/>
  <c r="B211" i="63" s="1"/>
  <c r="B210" i="63" a="1"/>
  <c r="B210" i="63" s="1"/>
  <c r="B209" i="63" a="1"/>
  <c r="B209" i="63" s="1"/>
  <c r="B208" i="63" a="1"/>
  <c r="B208" i="63" s="1"/>
  <c r="B207" i="63" a="1"/>
  <c r="B207" i="63" s="1"/>
  <c r="B206" i="63" a="1"/>
  <c r="B206" i="63" s="1"/>
  <c r="B205" i="63" a="1"/>
  <c r="B205" i="63" s="1"/>
  <c r="B204" i="63" a="1"/>
  <c r="B204" i="63" s="1"/>
  <c r="B203" i="63" a="1"/>
  <c r="B203" i="63" s="1"/>
  <c r="B202" i="63" a="1"/>
  <c r="B202" i="63" s="1"/>
  <c r="B201" i="63" a="1"/>
  <c r="B201" i="63" s="1"/>
  <c r="B200" i="63" a="1"/>
  <c r="B200" i="63" s="1"/>
  <c r="B199" i="63" a="1"/>
  <c r="B199" i="63" s="1"/>
  <c r="B198" i="63" a="1"/>
  <c r="B198" i="63" s="1"/>
  <c r="B197" i="63" a="1"/>
  <c r="B197" i="63" s="1"/>
  <c r="B196" i="63" a="1"/>
  <c r="B196" i="63" s="1"/>
  <c r="B195" i="63" a="1"/>
  <c r="B195" i="63" s="1"/>
  <c r="B194" i="63" a="1"/>
  <c r="B194" i="63" s="1"/>
  <c r="B193" i="63" a="1"/>
  <c r="B193" i="63" s="1"/>
  <c r="B192" i="63" a="1"/>
  <c r="B192" i="63" s="1"/>
  <c r="B191" i="63" a="1"/>
  <c r="B191" i="63" s="1"/>
  <c r="B190" i="63" a="1"/>
  <c r="B190" i="63" s="1"/>
  <c r="B189" i="63" a="1"/>
  <c r="B189" i="63" s="1"/>
  <c r="B188" i="63" a="1"/>
  <c r="B188" i="63" s="1"/>
  <c r="B185" i="63"/>
  <c r="L196" i="63" s="1" a="1"/>
  <c r="L196" i="63" s="1"/>
  <c r="L182" i="63"/>
  <c r="K182" i="63"/>
  <c r="J182" i="63"/>
  <c r="I182" i="63"/>
  <c r="H182" i="63"/>
  <c r="G182" i="63"/>
  <c r="F182" i="63"/>
  <c r="E182" i="63"/>
  <c r="D182" i="63"/>
  <c r="C182" i="63"/>
  <c r="B182" i="63"/>
  <c r="B178" i="63" a="1"/>
  <c r="B178" i="63" s="1"/>
  <c r="B177" i="63" a="1"/>
  <c r="B177" i="63" s="1"/>
  <c r="B176" i="63" a="1"/>
  <c r="B176" i="63" s="1"/>
  <c r="B175" i="63" a="1"/>
  <c r="B175" i="63" s="1"/>
  <c r="B174" i="63" a="1"/>
  <c r="B174" i="63" s="1"/>
  <c r="B173" i="63" a="1"/>
  <c r="B173" i="63" s="1"/>
  <c r="B172" i="63" a="1"/>
  <c r="B172" i="63" s="1"/>
  <c r="B171" i="63" a="1"/>
  <c r="B171" i="63" s="1"/>
  <c r="B170" i="63" a="1"/>
  <c r="B170" i="63" s="1"/>
  <c r="B169" i="63" a="1"/>
  <c r="B169" i="63" s="1"/>
  <c r="B168" i="63" a="1"/>
  <c r="B168" i="63" s="1"/>
  <c r="B167" i="63" a="1"/>
  <c r="B167" i="63" s="1"/>
  <c r="B166" i="63" a="1"/>
  <c r="B166" i="63" s="1"/>
  <c r="B165" i="63" a="1"/>
  <c r="B165" i="63" s="1"/>
  <c r="B164" i="63" a="1"/>
  <c r="B164" i="63" s="1"/>
  <c r="B163" i="63" a="1"/>
  <c r="B163" i="63" s="1"/>
  <c r="B162" i="63" a="1"/>
  <c r="B162" i="63" s="1"/>
  <c r="B161" i="63" a="1"/>
  <c r="B161" i="63" s="1"/>
  <c r="B160" i="63" a="1"/>
  <c r="B160" i="63" s="1"/>
  <c r="B159" i="63" a="1"/>
  <c r="B159" i="63" s="1"/>
  <c r="B158" i="63" a="1"/>
  <c r="B158" i="63" s="1"/>
  <c r="B157" i="63" a="1"/>
  <c r="B157" i="63" s="1"/>
  <c r="B156" i="63" a="1"/>
  <c r="B156" i="63" s="1"/>
  <c r="B155" i="63" a="1"/>
  <c r="B155" i="63" s="1"/>
  <c r="B154" i="63" a="1"/>
  <c r="B154" i="63" s="1"/>
  <c r="B153" i="63" a="1"/>
  <c r="B153" i="63" s="1"/>
  <c r="B152" i="63" a="1"/>
  <c r="B152" i="63" s="1"/>
  <c r="B151" i="63" a="1"/>
  <c r="B151" i="63" s="1"/>
  <c r="B150" i="63" a="1"/>
  <c r="B150" i="63" s="1"/>
  <c r="B149" i="63" a="1"/>
  <c r="B149" i="63" s="1"/>
  <c r="B148" i="63" a="1"/>
  <c r="B148" i="63" s="1"/>
  <c r="B147" i="63" a="1"/>
  <c r="B147" i="63" s="1"/>
  <c r="B146" i="63" a="1"/>
  <c r="B146" i="63" s="1"/>
  <c r="B145" i="63" a="1"/>
  <c r="B145" i="63" s="1"/>
  <c r="B144" i="63" a="1"/>
  <c r="B144" i="63" s="1"/>
  <c r="B143" i="63" a="1"/>
  <c r="B143" i="63" s="1"/>
  <c r="B142" i="63" a="1"/>
  <c r="B142" i="63" s="1"/>
  <c r="B141" i="63" a="1"/>
  <c r="B141" i="63" s="1"/>
  <c r="B140" i="63" a="1"/>
  <c r="B140" i="63" s="1"/>
  <c r="B139" i="63" a="1"/>
  <c r="B139" i="63" s="1"/>
  <c r="B138" i="63" a="1"/>
  <c r="B138" i="63" s="1"/>
  <c r="B137" i="63" a="1"/>
  <c r="B137" i="63" s="1"/>
  <c r="B136" i="63" a="1"/>
  <c r="B136" i="63" s="1"/>
  <c r="B135" i="63" a="1"/>
  <c r="B135" i="63" s="1"/>
  <c r="B134" i="63" a="1"/>
  <c r="B134" i="63" s="1"/>
  <c r="B133" i="63" a="1"/>
  <c r="B133" i="63" s="1"/>
  <c r="B132" i="63" a="1"/>
  <c r="B132" i="63" s="1"/>
  <c r="B131" i="63" a="1"/>
  <c r="B131" i="63" s="1"/>
  <c r="B128" i="63"/>
  <c r="L153" i="63" s="1" a="1"/>
  <c r="L153" i="63" s="1"/>
  <c r="L125" i="63"/>
  <c r="K125" i="63"/>
  <c r="J125" i="63"/>
  <c r="I125" i="63"/>
  <c r="H125" i="63"/>
  <c r="G125" i="63"/>
  <c r="F125" i="63"/>
  <c r="E125" i="63"/>
  <c r="D125" i="63"/>
  <c r="C125" i="63"/>
  <c r="B125" i="63"/>
  <c r="B121" i="63" a="1"/>
  <c r="B121" i="63" s="1"/>
  <c r="B120" i="63" a="1"/>
  <c r="B120" i="63" s="1"/>
  <c r="B119" i="63" a="1"/>
  <c r="B119" i="63" s="1"/>
  <c r="B118" i="63" a="1"/>
  <c r="B118" i="63" s="1"/>
  <c r="B117" i="63" a="1"/>
  <c r="B117" i="63" s="1"/>
  <c r="B116" i="63" a="1"/>
  <c r="B116" i="63" s="1"/>
  <c r="B115" i="63" a="1"/>
  <c r="B115" i="63" s="1"/>
  <c r="B114" i="63" a="1"/>
  <c r="B114" i="63" s="1"/>
  <c r="B113" i="63" a="1"/>
  <c r="B113" i="63" s="1"/>
  <c r="B112" i="63" a="1"/>
  <c r="B112" i="63" s="1"/>
  <c r="B111" i="63" a="1"/>
  <c r="B111" i="63" s="1"/>
  <c r="B110" i="63" a="1"/>
  <c r="B110" i="63" s="1"/>
  <c r="B109" i="63" a="1"/>
  <c r="B109" i="63" s="1"/>
  <c r="B108" i="63" a="1"/>
  <c r="B108" i="63" s="1"/>
  <c r="B107" i="63" a="1"/>
  <c r="B107" i="63" s="1"/>
  <c r="B106" i="63" a="1"/>
  <c r="B106" i="63" s="1"/>
  <c r="B105" i="63" a="1"/>
  <c r="B105" i="63" s="1"/>
  <c r="B104" i="63" a="1"/>
  <c r="B104" i="63" s="1"/>
  <c r="B103" i="63" a="1"/>
  <c r="B103" i="63" s="1"/>
  <c r="B102" i="63" a="1"/>
  <c r="B102" i="63" s="1"/>
  <c r="B101" i="63" a="1"/>
  <c r="B101" i="63" s="1"/>
  <c r="B100" i="63" a="1"/>
  <c r="B100" i="63" s="1"/>
  <c r="B99" i="63" a="1"/>
  <c r="B99" i="63" s="1"/>
  <c r="B98" i="63" a="1"/>
  <c r="B98" i="63" s="1"/>
  <c r="B97" i="63" a="1"/>
  <c r="B97" i="63" s="1"/>
  <c r="B96" i="63" a="1"/>
  <c r="B96" i="63" s="1"/>
  <c r="B95" i="63" a="1"/>
  <c r="B95" i="63" s="1"/>
  <c r="B94" i="63" a="1"/>
  <c r="B94" i="63" s="1"/>
  <c r="B93" i="63" a="1"/>
  <c r="B93" i="63" s="1"/>
  <c r="B92" i="63" a="1"/>
  <c r="B92" i="63" s="1"/>
  <c r="B91" i="63" a="1"/>
  <c r="B91" i="63" s="1"/>
  <c r="B90" i="63" a="1"/>
  <c r="B90" i="63" s="1"/>
  <c r="B89" i="63" a="1"/>
  <c r="B89" i="63" s="1"/>
  <c r="B88" i="63" a="1"/>
  <c r="B88" i="63" s="1"/>
  <c r="B87" i="63" a="1"/>
  <c r="B87" i="63" s="1"/>
  <c r="B86" i="63" a="1"/>
  <c r="B86" i="63" s="1"/>
  <c r="B85" i="63" a="1"/>
  <c r="B85" i="63" s="1"/>
  <c r="B84" i="63" a="1"/>
  <c r="B84" i="63" s="1"/>
  <c r="B83" i="63" a="1"/>
  <c r="B83" i="63" s="1"/>
  <c r="B82" i="63" a="1"/>
  <c r="B82" i="63" s="1"/>
  <c r="B81" i="63" a="1"/>
  <c r="B81" i="63" s="1"/>
  <c r="B80" i="63" a="1"/>
  <c r="B80" i="63" s="1"/>
  <c r="B79" i="63" a="1"/>
  <c r="B79" i="63" s="1"/>
  <c r="B78" i="63" a="1"/>
  <c r="B78" i="63" s="1"/>
  <c r="B77" i="63" a="1"/>
  <c r="B77" i="63" s="1"/>
  <c r="B76" i="63" a="1"/>
  <c r="B76" i="63" s="1"/>
  <c r="B75" i="63" a="1"/>
  <c r="B75" i="63" s="1"/>
  <c r="B74" i="63" a="1"/>
  <c r="B74" i="63" s="1"/>
  <c r="B71" i="63"/>
  <c r="L117" i="63" s="1" a="1"/>
  <c r="L117" i="63" s="1"/>
  <c r="L68" i="63"/>
  <c r="K68" i="63"/>
  <c r="J68" i="63"/>
  <c r="I68" i="63"/>
  <c r="H68" i="63"/>
  <c r="G68" i="63"/>
  <c r="F68" i="63"/>
  <c r="E68" i="63"/>
  <c r="D68" i="63"/>
  <c r="C68" i="63"/>
  <c r="B68" i="63"/>
  <c r="B64" i="63" a="1"/>
  <c r="B64" i="63" s="1"/>
  <c r="B63" i="63" a="1"/>
  <c r="B63" i="63" s="1"/>
  <c r="B62" i="63" a="1"/>
  <c r="B62" i="63" s="1"/>
  <c r="B61" i="63" a="1"/>
  <c r="B61" i="63" s="1"/>
  <c r="B60" i="63" a="1"/>
  <c r="B60" i="63" s="1"/>
  <c r="B59" i="63" a="1"/>
  <c r="B59" i="63" s="1"/>
  <c r="B58" i="63" a="1"/>
  <c r="B58" i="63" s="1"/>
  <c r="B57" i="63" a="1"/>
  <c r="B57" i="63" s="1"/>
  <c r="B56" i="63" a="1"/>
  <c r="B56" i="63" s="1"/>
  <c r="B55" i="63" a="1"/>
  <c r="B55" i="63" s="1"/>
  <c r="B54" i="63" a="1"/>
  <c r="B54" i="63" s="1"/>
  <c r="B53" i="63" a="1"/>
  <c r="B53" i="63" s="1"/>
  <c r="B52" i="63" a="1"/>
  <c r="B52" i="63" s="1"/>
  <c r="B51" i="63" a="1"/>
  <c r="B51" i="63" s="1"/>
  <c r="B50" i="63" a="1"/>
  <c r="B50" i="63" s="1"/>
  <c r="B49" i="63" a="1"/>
  <c r="B49" i="63" s="1"/>
  <c r="B48" i="63" a="1"/>
  <c r="B48" i="63" s="1"/>
  <c r="B47" i="63" a="1"/>
  <c r="B47" i="63" s="1"/>
  <c r="B46" i="63" a="1"/>
  <c r="B46" i="63" s="1"/>
  <c r="B45" i="63" a="1"/>
  <c r="B45" i="63" s="1"/>
  <c r="B44" i="63" a="1"/>
  <c r="B44" i="63" s="1"/>
  <c r="B43" i="63" a="1"/>
  <c r="B43" i="63" s="1"/>
  <c r="B42" i="63" a="1"/>
  <c r="B42" i="63" s="1"/>
  <c r="B41" i="63" a="1"/>
  <c r="B41" i="63" s="1"/>
  <c r="B40" i="63" a="1"/>
  <c r="B40" i="63" s="1"/>
  <c r="B39" i="63" a="1"/>
  <c r="B39" i="63" s="1"/>
  <c r="B38" i="63" a="1"/>
  <c r="B38" i="63" s="1"/>
  <c r="B37" i="63" a="1"/>
  <c r="B37" i="63" s="1"/>
  <c r="B36" i="63" a="1"/>
  <c r="B36" i="63" s="1"/>
  <c r="B35" i="63" a="1"/>
  <c r="B35" i="63" s="1"/>
  <c r="B34" i="63" a="1"/>
  <c r="B34" i="63" s="1"/>
  <c r="B33" i="63" a="1"/>
  <c r="B33" i="63" s="1"/>
  <c r="B32" i="63" a="1"/>
  <c r="B32" i="63" s="1"/>
  <c r="B31" i="63" a="1"/>
  <c r="B31" i="63" s="1"/>
  <c r="B30" i="63" a="1"/>
  <c r="B30" i="63" s="1"/>
  <c r="B29" i="63" a="1"/>
  <c r="B29" i="63" s="1"/>
  <c r="B28" i="63" a="1"/>
  <c r="B28" i="63" s="1"/>
  <c r="B27" i="63" a="1"/>
  <c r="B27" i="63" s="1"/>
  <c r="B26" i="63" a="1"/>
  <c r="B26" i="63" s="1"/>
  <c r="B25" i="63" a="1"/>
  <c r="B25" i="63" s="1"/>
  <c r="B24" i="63" a="1"/>
  <c r="B24" i="63" s="1"/>
  <c r="B23" i="63" a="1"/>
  <c r="B23" i="63" s="1"/>
  <c r="B22" i="63" a="1"/>
  <c r="B22" i="63" s="1"/>
  <c r="B21" i="63" a="1"/>
  <c r="B21" i="63" s="1"/>
  <c r="B20" i="63" a="1"/>
  <c r="B20" i="63" s="1"/>
  <c r="B19" i="63" a="1"/>
  <c r="B19" i="63" s="1"/>
  <c r="B18" i="63" a="1"/>
  <c r="B18" i="63" s="1"/>
  <c r="B15" i="63"/>
  <c r="L46" i="63" s="1" a="1"/>
  <c r="L46" i="63" s="1"/>
  <c r="L12" i="63"/>
  <c r="K12" i="63"/>
  <c r="J12" i="63"/>
  <c r="I12" i="63"/>
  <c r="H12" i="63"/>
  <c r="G12" i="63"/>
  <c r="F12" i="63"/>
  <c r="E12" i="63"/>
  <c r="D12" i="63"/>
  <c r="C12" i="63"/>
  <c r="B12" i="63"/>
  <c r="T406" i="63"/>
  <c r="X401" i="63"/>
  <c r="U401" i="63"/>
  <c r="X400" i="63"/>
  <c r="U400" i="63"/>
  <c r="X399" i="63"/>
  <c r="U399" i="63"/>
  <c r="N399" i="63"/>
  <c r="U398" i="63"/>
  <c r="U397" i="63"/>
  <c r="X396" i="63"/>
  <c r="U396" i="63"/>
  <c r="X395" i="63"/>
  <c r="U395" i="63"/>
  <c r="X394" i="63"/>
  <c r="U394" i="63"/>
  <c r="X393" i="63"/>
  <c r="U393" i="63"/>
  <c r="X392" i="63"/>
  <c r="U392" i="63"/>
  <c r="X391" i="63"/>
  <c r="U391" i="63"/>
  <c r="U390" i="63"/>
  <c r="U389" i="63"/>
  <c r="X388" i="63"/>
  <c r="U388" i="63"/>
  <c r="U387" i="63"/>
  <c r="U386" i="63"/>
  <c r="X385" i="63"/>
  <c r="U385" i="63"/>
  <c r="U384" i="63"/>
  <c r="U383" i="63"/>
  <c r="U382" i="63"/>
  <c r="X381" i="63"/>
  <c r="U381" i="63"/>
  <c r="AG378" i="63"/>
  <c r="AF378" i="63"/>
  <c r="AE378" i="63"/>
  <c r="AD378" i="63"/>
  <c r="AC378" i="63"/>
  <c r="AB378" i="63"/>
  <c r="AA378" i="63"/>
  <c r="Z378" i="63"/>
  <c r="Y378" i="63"/>
  <c r="X378" i="63"/>
  <c r="W378" i="63"/>
  <c r="V378" i="63"/>
  <c r="U378" i="63"/>
  <c r="T378" i="63"/>
  <c r="S378" i="63"/>
  <c r="R378" i="63"/>
  <c r="Q378" i="63"/>
  <c r="P378" i="63"/>
  <c r="O378" i="63"/>
  <c r="AG377" i="63"/>
  <c r="AF377" i="63"/>
  <c r="AE377" i="63"/>
  <c r="AD377" i="63"/>
  <c r="AC377" i="63"/>
  <c r="AB377" i="63"/>
  <c r="AA377" i="63"/>
  <c r="Z377" i="63"/>
  <c r="Y377" i="63"/>
  <c r="X377" i="63"/>
  <c r="W377" i="63"/>
  <c r="V377" i="63"/>
  <c r="U377" i="63"/>
  <c r="T377" i="63"/>
  <c r="S377" i="63"/>
  <c r="R377" i="63"/>
  <c r="Q377" i="63"/>
  <c r="P377" i="63"/>
  <c r="O377" i="63"/>
  <c r="AE372" i="63"/>
  <c r="AG371" i="63"/>
  <c r="AE371" i="63"/>
  <c r="AC371" i="63" a="1"/>
  <c r="AC371" i="63" s="1"/>
  <c r="Y371" i="63"/>
  <c r="U371" i="63"/>
  <c r="AG370" i="63"/>
  <c r="AE370" i="63"/>
  <c r="AC370" i="63" a="1"/>
  <c r="AC370" i="63" s="1"/>
  <c r="Y370" i="63"/>
  <c r="U370" i="63"/>
  <c r="N370" i="63"/>
  <c r="AG369" i="63"/>
  <c r="AE369" i="63"/>
  <c r="AC369" i="63" a="1"/>
  <c r="AC369" i="63" s="1"/>
  <c r="Y369" i="63"/>
  <c r="U369" i="63"/>
  <c r="N369" i="63"/>
  <c r="AG368" i="63"/>
  <c r="AE368" i="63"/>
  <c r="AC368" i="63" a="1"/>
  <c r="AC368" i="63" s="1"/>
  <c r="Y368" i="63"/>
  <c r="U368" i="63"/>
  <c r="N368" i="63"/>
  <c r="AG367" i="63"/>
  <c r="AE367" i="63"/>
  <c r="AC367" i="63" a="1"/>
  <c r="AC367" i="63" s="1"/>
  <c r="Y367" i="63"/>
  <c r="U367" i="63"/>
  <c r="N367" i="63"/>
  <c r="AG366" i="63"/>
  <c r="AE366" i="63"/>
  <c r="AC366" i="63" a="1"/>
  <c r="AC366" i="63" s="1"/>
  <c r="Y366" i="63"/>
  <c r="U366" i="63"/>
  <c r="N366" i="63"/>
  <c r="AG365" i="63"/>
  <c r="AE365" i="63"/>
  <c r="AC365" i="63" a="1"/>
  <c r="AC365" i="63" s="1"/>
  <c r="Y365" i="63"/>
  <c r="U365" i="63"/>
  <c r="N365" i="63"/>
  <c r="AG364" i="63"/>
  <c r="AE364" i="63"/>
  <c r="AC364" i="63" a="1"/>
  <c r="AC364" i="63" s="1"/>
  <c r="Y364" i="63"/>
  <c r="U364" i="63"/>
  <c r="N364" i="63"/>
  <c r="AE363" i="63"/>
  <c r="AC363" i="63" a="1"/>
  <c r="AC363" i="63" s="1"/>
  <c r="Y363" i="63"/>
  <c r="U363" i="63"/>
  <c r="N363" i="63"/>
  <c r="AE362" i="63"/>
  <c r="AC362" i="63" a="1"/>
  <c r="AC362" i="63" s="1"/>
  <c r="Y362" i="63"/>
  <c r="U362" i="63"/>
  <c r="N362" i="63"/>
  <c r="AE361" i="63"/>
  <c r="AC361" i="63" a="1"/>
  <c r="AC361" i="63" s="1"/>
  <c r="Y361" i="63"/>
  <c r="U361" i="63"/>
  <c r="N361" i="63"/>
  <c r="AE360" i="63"/>
  <c r="AC360" i="63" a="1"/>
  <c r="AC360" i="63" s="1"/>
  <c r="Y360" i="63"/>
  <c r="U360" i="63"/>
  <c r="N360" i="63"/>
  <c r="AE359" i="63"/>
  <c r="AC359" i="63" a="1"/>
  <c r="AC359" i="63" s="1"/>
  <c r="Y359" i="63"/>
  <c r="U359" i="63"/>
  <c r="AG355" i="63"/>
  <c r="Y355" i="63"/>
  <c r="R355" i="63" s="1"/>
  <c r="R403" i="63" s="1"/>
  <c r="S355" i="63"/>
  <c r="O355" i="63" s="1"/>
  <c r="Q355" i="63"/>
  <c r="Q393" i="63" s="1"/>
  <c r="P355" i="63"/>
  <c r="P398" i="63" s="1"/>
  <c r="X354" i="63"/>
  <c r="AD363" i="63" s="1"/>
  <c r="AG352" i="63"/>
  <c r="AG349" i="63"/>
  <c r="T347" i="63"/>
  <c r="X342" i="63"/>
  <c r="U342" i="63"/>
  <c r="X341" i="63"/>
  <c r="U341" i="63"/>
  <c r="U340" i="63"/>
  <c r="U339" i="63"/>
  <c r="X338" i="63"/>
  <c r="U338" i="63"/>
  <c r="X337" i="63"/>
  <c r="U337" i="63"/>
  <c r="X336" i="63"/>
  <c r="U336" i="63"/>
  <c r="X335" i="63"/>
  <c r="U335" i="63"/>
  <c r="U334" i="63"/>
  <c r="X333" i="63"/>
  <c r="U333" i="63"/>
  <c r="U332" i="63"/>
  <c r="U331" i="63"/>
  <c r="X330" i="63"/>
  <c r="U330" i="63"/>
  <c r="X329" i="63"/>
  <c r="U329" i="63"/>
  <c r="U328" i="63"/>
  <c r="X327" i="63"/>
  <c r="U327" i="63"/>
  <c r="U326" i="63"/>
  <c r="X325" i="63"/>
  <c r="U325" i="63"/>
  <c r="X324" i="63"/>
  <c r="U324" i="63"/>
  <c r="X323" i="63"/>
  <c r="U323" i="63"/>
  <c r="AG320" i="63"/>
  <c r="AF320" i="63"/>
  <c r="AE320" i="63"/>
  <c r="AD320" i="63"/>
  <c r="AC320" i="63"/>
  <c r="AB320" i="63"/>
  <c r="AA320" i="63"/>
  <c r="Z320" i="63"/>
  <c r="Y320" i="63"/>
  <c r="X320" i="63"/>
  <c r="W320" i="63"/>
  <c r="V320" i="63"/>
  <c r="U320" i="63"/>
  <c r="T320" i="63"/>
  <c r="S320" i="63"/>
  <c r="R320" i="63"/>
  <c r="Q320" i="63"/>
  <c r="P320" i="63"/>
  <c r="O320" i="63"/>
  <c r="AG319" i="63"/>
  <c r="AF319" i="63"/>
  <c r="AE319" i="63"/>
  <c r="AD319" i="63"/>
  <c r="AC319" i="63"/>
  <c r="AB319" i="63"/>
  <c r="AA319" i="63"/>
  <c r="Z319" i="63"/>
  <c r="Y319" i="63"/>
  <c r="X319" i="63"/>
  <c r="W319" i="63"/>
  <c r="V319" i="63"/>
  <c r="U319" i="63"/>
  <c r="T319" i="63"/>
  <c r="S319" i="63"/>
  <c r="R319" i="63"/>
  <c r="Q319" i="63"/>
  <c r="P319" i="63"/>
  <c r="O319" i="63"/>
  <c r="AE314" i="63"/>
  <c r="AG313" i="63"/>
  <c r="AE313" i="63"/>
  <c r="AC313" i="63" a="1"/>
  <c r="AC313" i="63" s="1"/>
  <c r="Y313" i="63"/>
  <c r="U313" i="63"/>
  <c r="AG312" i="63"/>
  <c r="AE312" i="63"/>
  <c r="AC312" i="63" a="1"/>
  <c r="AC312" i="63" s="1"/>
  <c r="Y312" i="63"/>
  <c r="U312" i="63"/>
  <c r="N312" i="63"/>
  <c r="AG311" i="63"/>
  <c r="AE311" i="63"/>
  <c r="AC311" i="63" a="1"/>
  <c r="AC311" i="63" s="1"/>
  <c r="Y311" i="63"/>
  <c r="U311" i="63"/>
  <c r="N311" i="63"/>
  <c r="AE310" i="63"/>
  <c r="AC310" i="63" a="1"/>
  <c r="AC310" i="63" s="1"/>
  <c r="Y310" i="63"/>
  <c r="U310" i="63"/>
  <c r="N310" i="63"/>
  <c r="AE309" i="63"/>
  <c r="AC309" i="63" a="1"/>
  <c r="AC309" i="63" s="1"/>
  <c r="Y309" i="63"/>
  <c r="U309" i="63"/>
  <c r="N309" i="63"/>
  <c r="AE308" i="63"/>
  <c r="AC308" i="63" a="1"/>
  <c r="AC308" i="63" s="1"/>
  <c r="Y308" i="63"/>
  <c r="U308" i="63"/>
  <c r="N308" i="63"/>
  <c r="AE307" i="63"/>
  <c r="AC307" i="63" a="1"/>
  <c r="AC307" i="63" s="1"/>
  <c r="Y307" i="63"/>
  <c r="U307" i="63"/>
  <c r="N307" i="63"/>
  <c r="AG306" i="63"/>
  <c r="AE306" i="63"/>
  <c r="AC306" i="63" a="1"/>
  <c r="AC306" i="63" s="1"/>
  <c r="Y306" i="63"/>
  <c r="U306" i="63"/>
  <c r="N306" i="63"/>
  <c r="AG305" i="63"/>
  <c r="AE305" i="63"/>
  <c r="AC305" i="63" a="1"/>
  <c r="AC305" i="63" s="1"/>
  <c r="Y305" i="63"/>
  <c r="U305" i="63"/>
  <c r="N305" i="63"/>
  <c r="AE304" i="63"/>
  <c r="AC304" i="63" a="1"/>
  <c r="AC304" i="63" s="1"/>
  <c r="Y304" i="63"/>
  <c r="U304" i="63"/>
  <c r="N304" i="63"/>
  <c r="AG303" i="63"/>
  <c r="AE303" i="63"/>
  <c r="AC303" i="63" a="1"/>
  <c r="AC303" i="63" s="1"/>
  <c r="Y303" i="63"/>
  <c r="U303" i="63"/>
  <c r="AG299" i="63"/>
  <c r="Y299" i="63"/>
  <c r="S299" i="63"/>
  <c r="O299" i="63" s="1"/>
  <c r="Q299" i="63"/>
  <c r="Q317" i="63" s="1"/>
  <c r="P299" i="63"/>
  <c r="P304" i="63" s="1"/>
  <c r="X298" i="63"/>
  <c r="AD307" i="63" s="1"/>
  <c r="AG296" i="63"/>
  <c r="AG293" i="63"/>
  <c r="T291" i="63"/>
  <c r="X286" i="63"/>
  <c r="U286" i="63"/>
  <c r="X285" i="63"/>
  <c r="U285" i="63"/>
  <c r="X284" i="63"/>
  <c r="U284" i="63"/>
  <c r="N284" i="63"/>
  <c r="U283" i="63"/>
  <c r="U282" i="63"/>
  <c r="X281" i="63"/>
  <c r="U281" i="63"/>
  <c r="X280" i="63"/>
  <c r="U280" i="63"/>
  <c r="X279" i="63"/>
  <c r="U279" i="63"/>
  <c r="X278" i="63"/>
  <c r="U278" i="63"/>
  <c r="X277" i="63"/>
  <c r="U277" i="63"/>
  <c r="X276" i="63"/>
  <c r="U276" i="63"/>
  <c r="U275" i="63"/>
  <c r="U274" i="63"/>
  <c r="X273" i="63"/>
  <c r="U273" i="63"/>
  <c r="U272" i="63"/>
  <c r="U271" i="63"/>
  <c r="U270" i="63"/>
  <c r="X269" i="63"/>
  <c r="U269" i="63"/>
  <c r="U268" i="63"/>
  <c r="U267" i="63"/>
  <c r="X266" i="63"/>
  <c r="U266" i="63"/>
  <c r="AG263" i="63"/>
  <c r="AF263" i="63"/>
  <c r="AE263" i="63"/>
  <c r="AD263" i="63"/>
  <c r="AC263" i="63"/>
  <c r="AB263" i="63"/>
  <c r="AA263" i="63"/>
  <c r="Z263" i="63"/>
  <c r="Y263" i="63"/>
  <c r="X263" i="63"/>
  <c r="W263" i="63"/>
  <c r="V263" i="63"/>
  <c r="U263" i="63"/>
  <c r="T263" i="63"/>
  <c r="S263" i="63"/>
  <c r="R263" i="63"/>
  <c r="Q263" i="63"/>
  <c r="P263" i="63"/>
  <c r="O263" i="63"/>
  <c r="AG262" i="63"/>
  <c r="AF262" i="63"/>
  <c r="AE262" i="63"/>
  <c r="AD262" i="63"/>
  <c r="AC262" i="63"/>
  <c r="AB262" i="63"/>
  <c r="AA262" i="63"/>
  <c r="Z262" i="63"/>
  <c r="Y262" i="63"/>
  <c r="X262" i="63"/>
  <c r="W262" i="63"/>
  <c r="V262" i="63"/>
  <c r="U262" i="63"/>
  <c r="T262" i="63"/>
  <c r="S262" i="63"/>
  <c r="R262" i="63"/>
  <c r="Q262" i="63"/>
  <c r="P262" i="63"/>
  <c r="O262" i="63"/>
  <c r="AE257" i="63"/>
  <c r="AG256" i="63"/>
  <c r="AE256" i="63"/>
  <c r="AC256" i="63" a="1"/>
  <c r="AC256" i="63" s="1"/>
  <c r="Y256" i="63"/>
  <c r="U256" i="63"/>
  <c r="AG255" i="63"/>
  <c r="AE255" i="63"/>
  <c r="AC255" i="63" a="1"/>
  <c r="AC255" i="63" s="1"/>
  <c r="Y255" i="63"/>
  <c r="U255" i="63"/>
  <c r="N255" i="63"/>
  <c r="AG254" i="63"/>
  <c r="AE254" i="63"/>
  <c r="AC254" i="63" a="1"/>
  <c r="AC254" i="63" s="1"/>
  <c r="Y254" i="63"/>
  <c r="U254" i="63"/>
  <c r="N254" i="63"/>
  <c r="AE253" i="63"/>
  <c r="AC253" i="63" a="1"/>
  <c r="AC253" i="63" s="1"/>
  <c r="Y253" i="63"/>
  <c r="U253" i="63"/>
  <c r="N253" i="63"/>
  <c r="AE252" i="63"/>
  <c r="AC252" i="63" a="1"/>
  <c r="AC252" i="63" s="1"/>
  <c r="Y252" i="63"/>
  <c r="U252" i="63"/>
  <c r="N252" i="63"/>
  <c r="AE251" i="63"/>
  <c r="AC251" i="63" a="1"/>
  <c r="AC251" i="63" s="1"/>
  <c r="Y251" i="63"/>
  <c r="U251" i="63"/>
  <c r="N251" i="63"/>
  <c r="AE250" i="63"/>
  <c r="AC250" i="63" a="1"/>
  <c r="AC250" i="63" s="1"/>
  <c r="Y250" i="63"/>
  <c r="U250" i="63"/>
  <c r="N250" i="63"/>
  <c r="AE249" i="63"/>
  <c r="AC249" i="63" a="1"/>
  <c r="AC249" i="63" s="1"/>
  <c r="Y249" i="63"/>
  <c r="U249" i="63"/>
  <c r="N249" i="63"/>
  <c r="AE248" i="63"/>
  <c r="AC248" i="63" a="1"/>
  <c r="AC248" i="63" s="1"/>
  <c r="Y248" i="63"/>
  <c r="U248" i="63"/>
  <c r="N248" i="63"/>
  <c r="AE247" i="63"/>
  <c r="AC247" i="63" a="1"/>
  <c r="AC247" i="63" s="1"/>
  <c r="Y247" i="63"/>
  <c r="U247" i="63"/>
  <c r="N247" i="63"/>
  <c r="AE246" i="63"/>
  <c r="AC246" i="63" a="1"/>
  <c r="AC246" i="63" s="1"/>
  <c r="Y246" i="63"/>
  <c r="U246" i="63"/>
  <c r="N246" i="63"/>
  <c r="AE245" i="63"/>
  <c r="AC245" i="63" a="1"/>
  <c r="AC245" i="63" s="1"/>
  <c r="Y245" i="63"/>
  <c r="U245" i="63"/>
  <c r="AG241" i="63"/>
  <c r="Y241" i="63"/>
  <c r="R241" i="63" s="1"/>
  <c r="R265" i="63" s="1"/>
  <c r="S241" i="63"/>
  <c r="O241" i="63" s="1"/>
  <c r="O269" i="63" s="1"/>
  <c r="Q241" i="63"/>
  <c r="Q289" i="63" s="1"/>
  <c r="P241" i="63"/>
  <c r="P237" i="63" s="1"/>
  <c r="X240" i="63"/>
  <c r="AD245" i="63" s="1"/>
  <c r="AG238" i="63"/>
  <c r="AG235" i="63"/>
  <c r="T233" i="63"/>
  <c r="X228" i="63"/>
  <c r="U228" i="63"/>
  <c r="X227" i="63"/>
  <c r="U227" i="63"/>
  <c r="U226" i="63"/>
  <c r="U225" i="63"/>
  <c r="X224" i="63"/>
  <c r="U224" i="63"/>
  <c r="X223" i="63"/>
  <c r="U223" i="63"/>
  <c r="X222" i="63"/>
  <c r="U222" i="63"/>
  <c r="X221" i="63"/>
  <c r="U221" i="63"/>
  <c r="X220" i="63"/>
  <c r="U220" i="63"/>
  <c r="U219" i="63"/>
  <c r="U218" i="63"/>
  <c r="U217" i="63"/>
  <c r="X216" i="63"/>
  <c r="U216" i="63"/>
  <c r="U215" i="63"/>
  <c r="U214" i="63"/>
  <c r="U213" i="63"/>
  <c r="U212" i="63"/>
  <c r="U211" i="63"/>
  <c r="U210" i="63"/>
  <c r="X209" i="63"/>
  <c r="U209" i="63"/>
  <c r="AG206" i="63"/>
  <c r="AF206" i="63"/>
  <c r="AE206" i="63"/>
  <c r="AD206" i="63"/>
  <c r="AC206" i="63"/>
  <c r="AB206" i="63"/>
  <c r="AA206" i="63"/>
  <c r="Z206" i="63"/>
  <c r="Y206" i="63"/>
  <c r="X206" i="63"/>
  <c r="W206" i="63"/>
  <c r="V206" i="63"/>
  <c r="U206" i="63"/>
  <c r="T206" i="63"/>
  <c r="S206" i="63"/>
  <c r="R206" i="63"/>
  <c r="Q206" i="63"/>
  <c r="P206" i="63"/>
  <c r="O206" i="63"/>
  <c r="AG205" i="63"/>
  <c r="AF205" i="63"/>
  <c r="AE205" i="63"/>
  <c r="AD205" i="63"/>
  <c r="AC205" i="63"/>
  <c r="AB205" i="63"/>
  <c r="AA205" i="63"/>
  <c r="Z205" i="63"/>
  <c r="Y205" i="63"/>
  <c r="X205" i="63"/>
  <c r="W205" i="63"/>
  <c r="V205" i="63"/>
  <c r="U205" i="63"/>
  <c r="T205" i="63"/>
  <c r="S205" i="63"/>
  <c r="R205" i="63"/>
  <c r="Q205" i="63"/>
  <c r="P205" i="63"/>
  <c r="O205" i="63"/>
  <c r="AE200" i="63"/>
  <c r="AG199" i="63"/>
  <c r="AE199" i="63"/>
  <c r="AC199" i="63" a="1"/>
  <c r="AC199" i="63" s="1"/>
  <c r="Y199" i="63"/>
  <c r="U199" i="63"/>
  <c r="AG198" i="63"/>
  <c r="AE198" i="63"/>
  <c r="AC198" i="63" a="1"/>
  <c r="AC198" i="63" s="1"/>
  <c r="Y198" i="63"/>
  <c r="U198" i="63"/>
  <c r="N198" i="63"/>
  <c r="AG197" i="63"/>
  <c r="AE197" i="63"/>
  <c r="AC197" i="63" a="1"/>
  <c r="AC197" i="63" s="1"/>
  <c r="Y197" i="63"/>
  <c r="U197" i="63"/>
  <c r="N197" i="63"/>
  <c r="AG196" i="63"/>
  <c r="AE196" i="63"/>
  <c r="AC196" i="63" a="1"/>
  <c r="AC196" i="63" s="1"/>
  <c r="Y196" i="63"/>
  <c r="U196" i="63"/>
  <c r="N196" i="63"/>
  <c r="AE195" i="63"/>
  <c r="AC195" i="63" a="1"/>
  <c r="AC195" i="63" s="1"/>
  <c r="Y195" i="63"/>
  <c r="U195" i="63"/>
  <c r="N195" i="63"/>
  <c r="AG194" i="63"/>
  <c r="AE194" i="63"/>
  <c r="AC194" i="63" a="1"/>
  <c r="AC194" i="63" s="1"/>
  <c r="Y194" i="63"/>
  <c r="U194" i="63"/>
  <c r="N194" i="63"/>
  <c r="AE193" i="63"/>
  <c r="AC193" i="63" a="1"/>
  <c r="AC193" i="63" s="1"/>
  <c r="Y193" i="63"/>
  <c r="U193" i="63"/>
  <c r="N193" i="63"/>
  <c r="AG192" i="63"/>
  <c r="AE192" i="63"/>
  <c r="AC192" i="63" a="1"/>
  <c r="AC192" i="63" s="1"/>
  <c r="Y192" i="63"/>
  <c r="U192" i="63"/>
  <c r="N192" i="63"/>
  <c r="AE191" i="63"/>
  <c r="AC191" i="63" a="1"/>
  <c r="AC191" i="63" s="1"/>
  <c r="Y191" i="63"/>
  <c r="U191" i="63"/>
  <c r="AG187" i="63"/>
  <c r="Y187" i="63"/>
  <c r="S187" i="63"/>
  <c r="O187" i="63" s="1"/>
  <c r="Q187" i="63"/>
  <c r="Q232" i="63" s="1"/>
  <c r="P187" i="63"/>
  <c r="P195" i="63" s="1"/>
  <c r="X186" i="63"/>
  <c r="AD194" i="63" s="1"/>
  <c r="AG184" i="63"/>
  <c r="AG181" i="63"/>
  <c r="T179" i="63"/>
  <c r="X174" i="63"/>
  <c r="U174" i="63"/>
  <c r="X173" i="63"/>
  <c r="U173" i="63"/>
  <c r="U172" i="63"/>
  <c r="U171" i="63"/>
  <c r="X170" i="63"/>
  <c r="U170" i="63"/>
  <c r="X169" i="63"/>
  <c r="U169" i="63"/>
  <c r="X168" i="63"/>
  <c r="U168" i="63"/>
  <c r="U167" i="63"/>
  <c r="X166" i="63"/>
  <c r="U166" i="63"/>
  <c r="X165" i="63"/>
  <c r="U165" i="63"/>
  <c r="U164" i="63"/>
  <c r="U163" i="63"/>
  <c r="X162" i="63"/>
  <c r="U162" i="63"/>
  <c r="U161" i="63"/>
  <c r="X160" i="63"/>
  <c r="U160" i="63"/>
  <c r="X159" i="63"/>
  <c r="U159" i="63"/>
  <c r="X158" i="63"/>
  <c r="U158" i="63"/>
  <c r="U157" i="63"/>
  <c r="X156" i="63"/>
  <c r="U156" i="63"/>
  <c r="X155" i="63"/>
  <c r="U155" i="63"/>
  <c r="AG152" i="63"/>
  <c r="AF152" i="63"/>
  <c r="AE152" i="63"/>
  <c r="AD152" i="63"/>
  <c r="AC152" i="63"/>
  <c r="AB152" i="63"/>
  <c r="AA152" i="63"/>
  <c r="Z152" i="63"/>
  <c r="Y152" i="63"/>
  <c r="X152" i="63"/>
  <c r="W152" i="63"/>
  <c r="V152" i="63"/>
  <c r="U152" i="63"/>
  <c r="T152" i="63"/>
  <c r="S152" i="63"/>
  <c r="R152" i="63"/>
  <c r="Q152" i="63"/>
  <c r="P152" i="63"/>
  <c r="O152" i="63"/>
  <c r="AG151" i="63"/>
  <c r="AF151" i="63"/>
  <c r="AE151" i="63"/>
  <c r="AD151" i="63"/>
  <c r="AC151" i="63"/>
  <c r="AB151" i="63"/>
  <c r="AA151" i="63"/>
  <c r="Z151" i="63"/>
  <c r="Y151" i="63"/>
  <c r="X151" i="63"/>
  <c r="W151" i="63"/>
  <c r="V151" i="63"/>
  <c r="U151" i="63"/>
  <c r="T151" i="63"/>
  <c r="S151" i="63"/>
  <c r="R151" i="63"/>
  <c r="Q151" i="63"/>
  <c r="P151" i="63"/>
  <c r="O151" i="63"/>
  <c r="AE146" i="63"/>
  <c r="AG145" i="63"/>
  <c r="AE145" i="63"/>
  <c r="AC145" i="63" a="1"/>
  <c r="AC145" i="63" s="1"/>
  <c r="Y145" i="63"/>
  <c r="U145" i="63"/>
  <c r="AG144" i="63"/>
  <c r="AE144" i="63"/>
  <c r="AC144" i="63" a="1"/>
  <c r="AC144" i="63" s="1"/>
  <c r="Y144" i="63"/>
  <c r="U144" i="63"/>
  <c r="N144" i="63"/>
  <c r="AG143" i="63"/>
  <c r="AE143" i="63"/>
  <c r="AC143" i="63" a="1"/>
  <c r="AC143" i="63" s="1"/>
  <c r="Y143" i="63"/>
  <c r="U143" i="63"/>
  <c r="N143" i="63"/>
  <c r="AG142" i="63"/>
  <c r="AE142" i="63"/>
  <c r="AC142" i="63" a="1"/>
  <c r="AC142" i="63" s="1"/>
  <c r="Y142" i="63"/>
  <c r="U142" i="63"/>
  <c r="N142" i="63"/>
  <c r="AG141" i="63"/>
  <c r="AE141" i="63"/>
  <c r="AC141" i="63" a="1"/>
  <c r="AC141" i="63" s="1"/>
  <c r="Y141" i="63"/>
  <c r="U141" i="63"/>
  <c r="N141" i="63"/>
  <c r="AG140" i="63"/>
  <c r="AE140" i="63"/>
  <c r="AC140" i="63" a="1"/>
  <c r="AC140" i="63" s="1"/>
  <c r="Y140" i="63"/>
  <c r="U140" i="63"/>
  <c r="N140" i="63"/>
  <c r="AG139" i="63"/>
  <c r="AE139" i="63"/>
  <c r="AC139" i="63" a="1"/>
  <c r="AC139" i="63" s="1"/>
  <c r="Y139" i="63"/>
  <c r="U139" i="63"/>
  <c r="N139" i="63"/>
  <c r="AE138" i="63"/>
  <c r="AC138" i="63" a="1"/>
  <c r="AC138" i="63" s="1"/>
  <c r="Y138" i="63"/>
  <c r="U138" i="63"/>
  <c r="N138" i="63"/>
  <c r="AE137" i="63"/>
  <c r="AC137" i="63" a="1"/>
  <c r="AC137" i="63" s="1"/>
  <c r="Y137" i="63"/>
  <c r="U137" i="63"/>
  <c r="N137" i="63"/>
  <c r="AE136" i="63"/>
  <c r="AC136" i="63" a="1"/>
  <c r="AC136" i="63" s="1"/>
  <c r="Y136" i="63"/>
  <c r="U136" i="63"/>
  <c r="N136" i="63"/>
  <c r="AG135" i="63"/>
  <c r="AE135" i="63"/>
  <c r="AC135" i="63" a="1"/>
  <c r="AC135" i="63" s="1"/>
  <c r="Y135" i="63"/>
  <c r="U135" i="63"/>
  <c r="N135" i="63"/>
  <c r="AG134" i="63"/>
  <c r="AE134" i="63"/>
  <c r="AC134" i="63" a="1"/>
  <c r="AC134" i="63" s="1"/>
  <c r="Y134" i="63"/>
  <c r="U134" i="63"/>
  <c r="AG130" i="63"/>
  <c r="Y130" i="63"/>
  <c r="R130" i="63" s="1"/>
  <c r="R158" i="63" s="1"/>
  <c r="S130" i="63"/>
  <c r="O130" i="63" s="1"/>
  <c r="Q130" i="63"/>
  <c r="Q176" i="63" s="1"/>
  <c r="P130" i="63"/>
  <c r="P149" i="63" s="1"/>
  <c r="X129" i="63"/>
  <c r="AG127" i="63"/>
  <c r="AG124" i="63"/>
  <c r="T122" i="63"/>
  <c r="X117" i="63"/>
  <c r="U117" i="63"/>
  <c r="X116" i="63"/>
  <c r="U116" i="63"/>
  <c r="U115" i="63"/>
  <c r="U114" i="63"/>
  <c r="X113" i="63"/>
  <c r="U113" i="63"/>
  <c r="X112" i="63"/>
  <c r="U112" i="63"/>
  <c r="U111" i="63"/>
  <c r="X110" i="63"/>
  <c r="U110" i="63"/>
  <c r="U109" i="63"/>
  <c r="X108" i="63"/>
  <c r="U108" i="63"/>
  <c r="U107" i="63"/>
  <c r="U106" i="63"/>
  <c r="X105" i="63"/>
  <c r="U105" i="63"/>
  <c r="X104" i="63"/>
  <c r="U104" i="63"/>
  <c r="U103" i="63"/>
  <c r="X102" i="63"/>
  <c r="U102" i="63"/>
  <c r="U101" i="63"/>
  <c r="X100" i="63"/>
  <c r="U100" i="63"/>
  <c r="U99" i="63"/>
  <c r="X98" i="63"/>
  <c r="X99" i="63" s="1"/>
  <c r="U98" i="63"/>
  <c r="AG95" i="63"/>
  <c r="AF95" i="63"/>
  <c r="AE95" i="63"/>
  <c r="AD95" i="63"/>
  <c r="AC95" i="63"/>
  <c r="AB95" i="63"/>
  <c r="AA95" i="63"/>
  <c r="Z95" i="63"/>
  <c r="Y95" i="63"/>
  <c r="X95" i="63"/>
  <c r="W95" i="63"/>
  <c r="V95" i="63"/>
  <c r="U95" i="63"/>
  <c r="T95" i="63"/>
  <c r="S95" i="63"/>
  <c r="R95" i="63"/>
  <c r="Q95" i="63"/>
  <c r="P95" i="63"/>
  <c r="O95" i="63"/>
  <c r="AG94" i="63"/>
  <c r="AF94" i="63"/>
  <c r="AE94" i="63"/>
  <c r="AD94" i="63"/>
  <c r="AC94" i="63"/>
  <c r="AB94" i="63"/>
  <c r="AA94" i="63"/>
  <c r="Z94" i="63"/>
  <c r="Y94" i="63"/>
  <c r="X94" i="63"/>
  <c r="W94" i="63"/>
  <c r="V94" i="63"/>
  <c r="U94" i="63"/>
  <c r="T94" i="63"/>
  <c r="S94" i="63"/>
  <c r="R94" i="63"/>
  <c r="Q94" i="63"/>
  <c r="P94" i="63"/>
  <c r="O94" i="63"/>
  <c r="AE89" i="63"/>
  <c r="AG88" i="63"/>
  <c r="AE88" i="63"/>
  <c r="AC88" i="63" a="1"/>
  <c r="AC88" i="63" s="1"/>
  <c r="Y88" i="63"/>
  <c r="U88" i="63"/>
  <c r="AG87" i="63"/>
  <c r="AE87" i="63"/>
  <c r="AC87" i="63" a="1"/>
  <c r="AC87" i="63" s="1"/>
  <c r="Y87" i="63"/>
  <c r="U87" i="63"/>
  <c r="N87" i="63"/>
  <c r="AG86" i="63"/>
  <c r="AE86" i="63"/>
  <c r="AC86" i="63" a="1"/>
  <c r="AC86" i="63" s="1"/>
  <c r="Y86" i="63"/>
  <c r="U86" i="63"/>
  <c r="N86" i="63"/>
  <c r="AG85" i="63"/>
  <c r="AE85" i="63"/>
  <c r="AC85" i="63" a="1"/>
  <c r="AC85" i="63" s="1"/>
  <c r="Y85" i="63"/>
  <c r="U85" i="63"/>
  <c r="N85" i="63"/>
  <c r="AE84" i="63"/>
  <c r="AC84" i="63" a="1"/>
  <c r="AC84" i="63" s="1"/>
  <c r="Y84" i="63"/>
  <c r="U84" i="63"/>
  <c r="N84" i="63"/>
  <c r="AE83" i="63"/>
  <c r="AC83" i="63" a="1"/>
  <c r="AC83" i="63" s="1"/>
  <c r="Y83" i="63"/>
  <c r="U83" i="63"/>
  <c r="N83" i="63"/>
  <c r="AG82" i="63"/>
  <c r="AE82" i="63"/>
  <c r="AC82" i="63" a="1"/>
  <c r="AC82" i="63" s="1"/>
  <c r="Y82" i="63"/>
  <c r="U82" i="63"/>
  <c r="N82" i="63"/>
  <c r="AG81" i="63"/>
  <c r="AE81" i="63"/>
  <c r="AC81" i="63" a="1"/>
  <c r="AC81" i="63" s="1"/>
  <c r="Y81" i="63"/>
  <c r="U81" i="63"/>
  <c r="N81" i="63"/>
  <c r="AG80" i="63"/>
  <c r="AE80" i="63"/>
  <c r="AC80" i="63" a="1"/>
  <c r="AC80" i="63" s="1"/>
  <c r="Y80" i="63"/>
  <c r="U80" i="63"/>
  <c r="N80" i="63"/>
  <c r="AE79" i="63"/>
  <c r="AC79" i="63" a="1"/>
  <c r="AC79" i="63" s="1"/>
  <c r="Y79" i="63"/>
  <c r="U79" i="63"/>
  <c r="N79" i="63"/>
  <c r="AE78" i="63"/>
  <c r="AC78" i="63" a="1"/>
  <c r="AC78" i="63" s="1"/>
  <c r="Y78" i="63"/>
  <c r="U78" i="63"/>
  <c r="N78" i="63"/>
  <c r="AE77" i="63"/>
  <c r="Y77" i="63"/>
  <c r="U77" i="63"/>
  <c r="AG73" i="63"/>
  <c r="Y73" i="63"/>
  <c r="R73" i="63" s="1"/>
  <c r="R91" i="63" s="1"/>
  <c r="S73" i="63"/>
  <c r="O73" i="63" s="1"/>
  <c r="O105" i="63" s="1"/>
  <c r="Q73" i="63"/>
  <c r="Q100" i="63" s="1"/>
  <c r="P73" i="63"/>
  <c r="P100" i="63" s="1"/>
  <c r="X72" i="63"/>
  <c r="AD88" i="63" s="1"/>
  <c r="AG70" i="63"/>
  <c r="AG67" i="63"/>
  <c r="T65" i="63"/>
  <c r="X60" i="63"/>
  <c r="U60" i="63"/>
  <c r="X59" i="63"/>
  <c r="U59" i="63"/>
  <c r="U58" i="63"/>
  <c r="U57" i="63"/>
  <c r="X56" i="63"/>
  <c r="U56" i="63"/>
  <c r="X55" i="63"/>
  <c r="U55" i="63"/>
  <c r="X54" i="63"/>
  <c r="U54" i="63"/>
  <c r="X53" i="63"/>
  <c r="U53" i="63"/>
  <c r="X52" i="63"/>
  <c r="U52" i="63"/>
  <c r="X51" i="63"/>
  <c r="U51" i="63"/>
  <c r="X50" i="63"/>
  <c r="U50" i="63"/>
  <c r="X49" i="63"/>
  <c r="U49" i="63"/>
  <c r="U48" i="63"/>
  <c r="U47" i="63"/>
  <c r="U46" i="63"/>
  <c r="U45" i="63"/>
  <c r="U44" i="63"/>
  <c r="X43" i="63"/>
  <c r="U43" i="63"/>
  <c r="U42" i="63"/>
  <c r="X41" i="63"/>
  <c r="U41" i="63"/>
  <c r="AG38" i="63"/>
  <c r="AF38" i="63"/>
  <c r="AE38" i="63"/>
  <c r="AD38" i="63"/>
  <c r="AC38" i="63"/>
  <c r="AB38" i="63"/>
  <c r="AA38" i="63"/>
  <c r="Z38" i="63"/>
  <c r="Y38" i="63"/>
  <c r="X38" i="63"/>
  <c r="W38" i="63"/>
  <c r="V38" i="63"/>
  <c r="U38" i="63"/>
  <c r="T38" i="63"/>
  <c r="S38" i="63"/>
  <c r="R38" i="63"/>
  <c r="Q38" i="63"/>
  <c r="P38" i="63"/>
  <c r="O38" i="63"/>
  <c r="AG37" i="63"/>
  <c r="AF37" i="63"/>
  <c r="AE37" i="63"/>
  <c r="AD37" i="63"/>
  <c r="AC37" i="63"/>
  <c r="AB37" i="63"/>
  <c r="AA37" i="63"/>
  <c r="Z37" i="63"/>
  <c r="Y37" i="63"/>
  <c r="X37" i="63"/>
  <c r="W37" i="63"/>
  <c r="V37" i="63"/>
  <c r="U37" i="63"/>
  <c r="T37" i="63"/>
  <c r="S37" i="63"/>
  <c r="R37" i="63"/>
  <c r="Q37" i="63"/>
  <c r="P37" i="63"/>
  <c r="O37" i="63"/>
  <c r="AE32" i="63"/>
  <c r="AG31" i="63"/>
  <c r="AE31" i="63"/>
  <c r="AC31" i="63" a="1"/>
  <c r="AC31" i="63" s="1"/>
  <c r="Y31" i="63"/>
  <c r="U31" i="63"/>
  <c r="AG30" i="63"/>
  <c r="AE30" i="63"/>
  <c r="AC30" i="63" a="1"/>
  <c r="AC30" i="63" s="1"/>
  <c r="Y30" i="63"/>
  <c r="U30" i="63"/>
  <c r="N30" i="63"/>
  <c r="AG29" i="63"/>
  <c r="AE29" i="63"/>
  <c r="AC29" i="63" a="1"/>
  <c r="AC29" i="63" s="1"/>
  <c r="Y29" i="63"/>
  <c r="U29" i="63"/>
  <c r="N29" i="63"/>
  <c r="AG28" i="63"/>
  <c r="AE28" i="63"/>
  <c r="AC28" i="63" a="1"/>
  <c r="AC28" i="63" s="1"/>
  <c r="Y28" i="63"/>
  <c r="U28" i="63"/>
  <c r="N28" i="63"/>
  <c r="AG27" i="63"/>
  <c r="AE27" i="63"/>
  <c r="AC27" i="63" a="1"/>
  <c r="AC27" i="63" s="1"/>
  <c r="Y27" i="63"/>
  <c r="U27" i="63"/>
  <c r="N27" i="63"/>
  <c r="AE26" i="63"/>
  <c r="AC26" i="63" a="1"/>
  <c r="AC26" i="63" s="1"/>
  <c r="Y26" i="63"/>
  <c r="U26" i="63"/>
  <c r="N26" i="63"/>
  <c r="AG25" i="63"/>
  <c r="AE25" i="63"/>
  <c r="AC25" i="63" a="1"/>
  <c r="AC25" i="63" s="1"/>
  <c r="Y25" i="63"/>
  <c r="U25" i="63"/>
  <c r="N25" i="63"/>
  <c r="AE24" i="63"/>
  <c r="AC24" i="63" a="1"/>
  <c r="AC24" i="63" s="1"/>
  <c r="Y24" i="63"/>
  <c r="U24" i="63"/>
  <c r="N24" i="63"/>
  <c r="AE23" i="63"/>
  <c r="AC23" i="63" a="1"/>
  <c r="AC23" i="63" s="1"/>
  <c r="Y23" i="63"/>
  <c r="U23" i="63"/>
  <c r="N23" i="63"/>
  <c r="AE22" i="63"/>
  <c r="AC22" i="63" a="1"/>
  <c r="AC22" i="63" s="1"/>
  <c r="Y22" i="63"/>
  <c r="U22" i="63"/>
  <c r="N22" i="63"/>
  <c r="AG21" i="63"/>
  <c r="AE21" i="63"/>
  <c r="AC21" i="63" a="1"/>
  <c r="AC21" i="63" s="1"/>
  <c r="Y21" i="63"/>
  <c r="U21" i="63"/>
  <c r="AG17" i="63"/>
  <c r="Y17" i="63"/>
  <c r="S17" i="63"/>
  <c r="O17" i="63" s="1"/>
  <c r="R17" i="63"/>
  <c r="R41" i="63" s="1"/>
  <c r="Q17" i="63"/>
  <c r="Q35" i="63" s="1"/>
  <c r="P17" i="63"/>
  <c r="P46" i="63" s="1"/>
  <c r="X16" i="63"/>
  <c r="AG11" i="63"/>
  <c r="BJ360" i="54"/>
  <c r="BJ265" i="54"/>
  <c r="BJ180" i="54"/>
  <c r="BJ120" i="54"/>
  <c r="BJ65" i="54"/>
  <c r="AO65" i="54"/>
  <c r="AO120" i="54"/>
  <c r="AO180" i="54"/>
  <c r="AO265" i="54"/>
  <c r="AO360" i="54"/>
  <c r="E165" i="106" l="1"/>
  <c r="D167" i="106" s="1" a="1"/>
  <c r="D167" i="106" s="1"/>
  <c r="F165" i="106"/>
  <c r="S39" i="63"/>
  <c r="AB39" i="63"/>
  <c r="AA39" i="63"/>
  <c r="S96" i="63"/>
  <c r="AB96" i="63"/>
  <c r="AA96" i="63"/>
  <c r="S153" i="63"/>
  <c r="AB153" i="63"/>
  <c r="AA153" i="63"/>
  <c r="AB207" i="63"/>
  <c r="AA207" i="63"/>
  <c r="AB264" i="63"/>
  <c r="AA264" i="63"/>
  <c r="AB321" i="63"/>
  <c r="AA321" i="63"/>
  <c r="S379" i="63"/>
  <c r="AB379" i="63"/>
  <c r="AA379" i="63"/>
  <c r="S264" i="63"/>
  <c r="S321" i="63"/>
  <c r="S207" i="63"/>
  <c r="L85" i="63" a="1"/>
  <c r="L85" i="63" s="1"/>
  <c r="L387" i="63" a="1"/>
  <c r="L387" i="63" s="1"/>
  <c r="AC720" i="63"/>
  <c r="Z714" i="63" s="1"/>
  <c r="L360" i="63" a="1"/>
  <c r="L360" i="63" s="1"/>
  <c r="L388" i="63" a="1"/>
  <c r="L388" i="63" s="1"/>
  <c r="L362" i="63" a="1"/>
  <c r="L362" i="63" s="1"/>
  <c r="L363" i="63" a="1"/>
  <c r="L363" i="63" s="1"/>
  <c r="L110" i="63" a="1"/>
  <c r="L110" i="63" s="1"/>
  <c r="L379" i="63" a="1"/>
  <c r="L379" i="63" s="1"/>
  <c r="AD359" i="63"/>
  <c r="L307" i="63" a="1"/>
  <c r="L307" i="63" s="1"/>
  <c r="AD197" i="63"/>
  <c r="L143" i="63" a="1"/>
  <c r="L143" i="63" s="1"/>
  <c r="L331" i="63" a="1"/>
  <c r="L331" i="63" s="1"/>
  <c r="P341" i="63"/>
  <c r="L309" i="63" a="1"/>
  <c r="L309" i="63" s="1"/>
  <c r="L317" i="63" a="1"/>
  <c r="L317" i="63" s="1"/>
  <c r="P293" i="63"/>
  <c r="P182" i="63"/>
  <c r="AF304" i="63"/>
  <c r="AG304" i="63" s="1"/>
  <c r="AG709" i="63"/>
  <c r="AG713" i="63"/>
  <c r="AK13" i="63"/>
  <c r="AK16" i="63" s="1"/>
  <c r="AD716" i="63"/>
  <c r="AD720" i="63" s="1"/>
  <c r="AA714" i="63"/>
  <c r="Z720" i="63" s="1"/>
  <c r="L398" i="63" a="1"/>
  <c r="L398" i="63" s="1"/>
  <c r="L371" i="63" a="1"/>
  <c r="L371" i="63" s="1"/>
  <c r="AG711" i="63"/>
  <c r="X413" i="63"/>
  <c r="X414" i="63" s="1"/>
  <c r="AG715" i="63"/>
  <c r="Q354" i="63"/>
  <c r="Q304" i="63"/>
  <c r="Q293" i="63"/>
  <c r="AF192" i="63"/>
  <c r="Q195" i="63"/>
  <c r="AF83" i="63"/>
  <c r="AG83" i="63" s="1"/>
  <c r="P86" i="63"/>
  <c r="P71" i="63"/>
  <c r="P72" i="63"/>
  <c r="R16" i="63"/>
  <c r="P271" i="63"/>
  <c r="L26" i="63" a="1"/>
  <c r="L26" i="63" s="1"/>
  <c r="L58" i="63" a="1"/>
  <c r="L58" i="63" s="1"/>
  <c r="P111" i="63"/>
  <c r="AF197" i="63"/>
  <c r="Q203" i="63"/>
  <c r="AF245" i="63"/>
  <c r="AG245" i="63" s="1"/>
  <c r="Q340" i="63"/>
  <c r="L290" i="63" a="1"/>
  <c r="L290" i="63" s="1"/>
  <c r="AF81" i="63"/>
  <c r="AD81" i="63"/>
  <c r="Q356" i="63"/>
  <c r="P366" i="63"/>
  <c r="R371" i="63"/>
  <c r="P400" i="63"/>
  <c r="P77" i="63"/>
  <c r="AD83" i="63"/>
  <c r="AF370" i="63"/>
  <c r="P361" i="63"/>
  <c r="Q366" i="63"/>
  <c r="Q400" i="63"/>
  <c r="Q286" i="63"/>
  <c r="R271" i="63"/>
  <c r="P381" i="63"/>
  <c r="AF368" i="63"/>
  <c r="P326" i="63"/>
  <c r="P357" i="63"/>
  <c r="AD368" i="63"/>
  <c r="Q357" i="63"/>
  <c r="AD79" i="63"/>
  <c r="Q52" i="63"/>
  <c r="R256" i="63"/>
  <c r="P306" i="63"/>
  <c r="AF311" i="63"/>
  <c r="Q351" i="63"/>
  <c r="R394" i="63"/>
  <c r="P79" i="63"/>
  <c r="P349" i="63"/>
  <c r="AF79" i="63"/>
  <c r="AG79" i="63" s="1"/>
  <c r="P117" i="63"/>
  <c r="AF87" i="63"/>
  <c r="R253" i="63"/>
  <c r="L252" i="63" a="1"/>
  <c r="L252" i="63" s="1"/>
  <c r="Q25" i="63"/>
  <c r="P110" i="63"/>
  <c r="Q306" i="63"/>
  <c r="AF308" i="63"/>
  <c r="AG308" i="63" s="1"/>
  <c r="P362" i="63"/>
  <c r="P386" i="63"/>
  <c r="Q389" i="63"/>
  <c r="W127" i="63"/>
  <c r="P308" i="63"/>
  <c r="Q349" i="63"/>
  <c r="P364" i="63"/>
  <c r="Q308" i="63"/>
  <c r="P358" i="63"/>
  <c r="Q364" i="63"/>
  <c r="Q170" i="63"/>
  <c r="Q240" i="63"/>
  <c r="P317" i="63"/>
  <c r="P351" i="63"/>
  <c r="Q358" i="63"/>
  <c r="AD77" i="63"/>
  <c r="AF85" i="63"/>
  <c r="P88" i="63"/>
  <c r="P354" i="63"/>
  <c r="Q362" i="63"/>
  <c r="Q374" i="63"/>
  <c r="Q386" i="63"/>
  <c r="L109" i="63" a="1"/>
  <c r="L109" i="63" s="1"/>
  <c r="R156" i="63"/>
  <c r="Q111" i="63"/>
  <c r="P249" i="63"/>
  <c r="P243" i="63"/>
  <c r="L271" i="63" a="1"/>
  <c r="L271" i="63" s="1"/>
  <c r="Q243" i="63"/>
  <c r="Q258" i="63"/>
  <c r="R275" i="63"/>
  <c r="P33" i="63"/>
  <c r="R129" i="63"/>
  <c r="Q171" i="63"/>
  <c r="Q238" i="63"/>
  <c r="P244" i="63"/>
  <c r="P247" i="63"/>
  <c r="AF249" i="63"/>
  <c r="AG249" i="63" s="1"/>
  <c r="R258" i="63"/>
  <c r="Q269" i="63"/>
  <c r="AF312" i="63"/>
  <c r="R86" i="63"/>
  <c r="R77" i="63"/>
  <c r="O121" i="63"/>
  <c r="R274" i="63"/>
  <c r="R104" i="63"/>
  <c r="R242" i="63"/>
  <c r="Q249" i="63"/>
  <c r="AF26" i="63"/>
  <c r="AG26" i="63" s="1"/>
  <c r="R237" i="63"/>
  <c r="P275" i="63"/>
  <c r="P238" i="63"/>
  <c r="O247" i="63"/>
  <c r="P282" i="63"/>
  <c r="L284" i="63" a="1"/>
  <c r="L284" i="63" s="1"/>
  <c r="Q33" i="63"/>
  <c r="Q72" i="63"/>
  <c r="AF139" i="63"/>
  <c r="R238" i="63"/>
  <c r="Q244" i="63"/>
  <c r="O259" i="63"/>
  <c r="R269" i="63"/>
  <c r="R276" i="63"/>
  <c r="Q283" i="63"/>
  <c r="P395" i="63"/>
  <c r="L260" i="63" a="1"/>
  <c r="L260" i="63" s="1"/>
  <c r="Q88" i="63"/>
  <c r="Q86" i="63"/>
  <c r="Q110" i="63"/>
  <c r="L279" i="63" a="1"/>
  <c r="L279" i="63" s="1"/>
  <c r="R120" i="63"/>
  <c r="L280" i="63" a="1"/>
  <c r="L280" i="63" s="1"/>
  <c r="Q77" i="63"/>
  <c r="L257" i="63" a="1"/>
  <c r="L257" i="63" s="1"/>
  <c r="AF198" i="63"/>
  <c r="Q71" i="63"/>
  <c r="L259" i="63" a="1"/>
  <c r="L259" i="63" s="1"/>
  <c r="Q34" i="63"/>
  <c r="R72" i="63"/>
  <c r="W238" i="63"/>
  <c r="R244" i="63"/>
  <c r="P255" i="63"/>
  <c r="P259" i="63"/>
  <c r="P370" i="63"/>
  <c r="Q395" i="63"/>
  <c r="P403" i="63"/>
  <c r="L120" i="63" a="1"/>
  <c r="L120" i="63" s="1"/>
  <c r="L274" i="63" a="1"/>
  <c r="L274" i="63" s="1"/>
  <c r="P280" i="63"/>
  <c r="R267" i="63"/>
  <c r="AD254" i="63"/>
  <c r="Q268" i="63"/>
  <c r="L246" i="63" a="1"/>
  <c r="L246" i="63" s="1"/>
  <c r="AF362" i="63"/>
  <c r="AG362" i="63" s="1"/>
  <c r="Q30" i="63"/>
  <c r="AD85" i="63"/>
  <c r="AD199" i="63"/>
  <c r="P245" i="63"/>
  <c r="AF247" i="63"/>
  <c r="AG247" i="63" s="1"/>
  <c r="R250" i="63"/>
  <c r="P253" i="63"/>
  <c r="Q259" i="63"/>
  <c r="P368" i="63"/>
  <c r="Q403" i="63"/>
  <c r="L250" i="63" a="1"/>
  <c r="L250" i="63" s="1"/>
  <c r="L396" i="63" a="1"/>
  <c r="L396" i="63" s="1"/>
  <c r="R88" i="63"/>
  <c r="Q79" i="63"/>
  <c r="Q274" i="63"/>
  <c r="R287" i="63"/>
  <c r="AD246" i="63"/>
  <c r="L270" i="63" a="1"/>
  <c r="L270" i="63" s="1"/>
  <c r="AF254" i="63"/>
  <c r="R30" i="63"/>
  <c r="R116" i="63"/>
  <c r="X157" i="63"/>
  <c r="X161" i="63" s="1"/>
  <c r="X163" i="63" s="1"/>
  <c r="X164" i="63" s="1"/>
  <c r="P240" i="63"/>
  <c r="AD247" i="63"/>
  <c r="Q253" i="63"/>
  <c r="Q368" i="63"/>
  <c r="P389" i="63"/>
  <c r="L93" i="63" a="1"/>
  <c r="L93" i="63" s="1"/>
  <c r="L121" i="63" a="1"/>
  <c r="L121" i="63" s="1"/>
  <c r="L370" i="63" a="1"/>
  <c r="L370" i="63" s="1"/>
  <c r="P221" i="63"/>
  <c r="AF78" i="63"/>
  <c r="AG78" i="63" s="1"/>
  <c r="L276" i="63" a="1"/>
  <c r="L276" i="63" s="1"/>
  <c r="Q46" i="63"/>
  <c r="Q138" i="63"/>
  <c r="R46" i="63"/>
  <c r="Q62" i="63"/>
  <c r="Q172" i="63"/>
  <c r="P166" i="63"/>
  <c r="AF28" i="63"/>
  <c r="Q63" i="63"/>
  <c r="P105" i="63"/>
  <c r="Q136" i="63"/>
  <c r="Q148" i="63"/>
  <c r="Q166" i="63"/>
  <c r="P227" i="63"/>
  <c r="R63" i="63"/>
  <c r="AD84" i="63"/>
  <c r="AF193" i="63"/>
  <c r="AG193" i="63" s="1"/>
  <c r="L86" i="63" a="1"/>
  <c r="L86" i="63" s="1"/>
  <c r="Q56" i="63"/>
  <c r="Q64" i="63"/>
  <c r="L102" i="63" a="1"/>
  <c r="L102" i="63" s="1"/>
  <c r="Q41" i="63"/>
  <c r="P85" i="63"/>
  <c r="Q177" i="63"/>
  <c r="P404" i="63"/>
  <c r="L265" i="63" a="1"/>
  <c r="L265" i="63" s="1"/>
  <c r="AF21" i="63"/>
  <c r="Q32" i="63"/>
  <c r="Q51" i="63"/>
  <c r="P57" i="63"/>
  <c r="O68" i="63"/>
  <c r="Q74" i="63"/>
  <c r="AD78" i="63"/>
  <c r="P83" i="63"/>
  <c r="Q92" i="63"/>
  <c r="AD191" i="63"/>
  <c r="AF248" i="63"/>
  <c r="AG248" i="63" s="1"/>
  <c r="P279" i="63"/>
  <c r="X326" i="63"/>
  <c r="X328" i="63" s="1"/>
  <c r="X331" i="63" s="1"/>
  <c r="Q365" i="63"/>
  <c r="Q384" i="63"/>
  <c r="L78" i="63" a="1"/>
  <c r="L78" i="63" s="1"/>
  <c r="L118" i="63" a="1"/>
  <c r="L118" i="63" s="1"/>
  <c r="L266" i="63" a="1"/>
  <c r="L266" i="63" s="1"/>
  <c r="L342" i="63" a="1"/>
  <c r="L342" i="63" s="1"/>
  <c r="R138" i="63"/>
  <c r="R62" i="63"/>
  <c r="AF84" i="63"/>
  <c r="AG84" i="63" s="1"/>
  <c r="AF143" i="63"/>
  <c r="AF82" i="63"/>
  <c r="R166" i="63"/>
  <c r="Q20" i="63"/>
  <c r="Q40" i="63"/>
  <c r="AD82" i="63"/>
  <c r="Q99" i="63"/>
  <c r="P121" i="63"/>
  <c r="R133" i="63"/>
  <c r="Q149" i="63"/>
  <c r="Q191" i="63"/>
  <c r="AD193" i="63"/>
  <c r="R40" i="63"/>
  <c r="AF86" i="63"/>
  <c r="R99" i="63"/>
  <c r="Q134" i="63"/>
  <c r="R149" i="63"/>
  <c r="AF371" i="63"/>
  <c r="Q85" i="63"/>
  <c r="P92" i="63"/>
  <c r="Q107" i="63"/>
  <c r="Q125" i="63"/>
  <c r="R160" i="63"/>
  <c r="R177" i="63"/>
  <c r="P199" i="63"/>
  <c r="P365" i="63"/>
  <c r="W14" i="63"/>
  <c r="P27" i="63"/>
  <c r="R32" i="63"/>
  <c r="R51" i="63"/>
  <c r="Q57" i="63"/>
  <c r="R69" i="63"/>
  <c r="P75" i="63"/>
  <c r="Q83" i="63"/>
  <c r="P93" i="63"/>
  <c r="P116" i="63"/>
  <c r="R142" i="63"/>
  <c r="Q178" i="63"/>
  <c r="P235" i="63"/>
  <c r="P266" i="63"/>
  <c r="Q279" i="63"/>
  <c r="W296" i="63"/>
  <c r="AF310" i="63"/>
  <c r="AG310" i="63" s="1"/>
  <c r="P325" i="63"/>
  <c r="W352" i="63"/>
  <c r="AF360" i="63"/>
  <c r="AG360" i="63" s="1"/>
  <c r="P392" i="63"/>
  <c r="Q398" i="63"/>
  <c r="L277" i="63" a="1"/>
  <c r="L277" i="63" s="1"/>
  <c r="L380" i="63" a="1"/>
  <c r="L380" i="63" s="1"/>
  <c r="Q23" i="63"/>
  <c r="AF195" i="63"/>
  <c r="AG195" i="63" s="1"/>
  <c r="AD195" i="63"/>
  <c r="AF88" i="63"/>
  <c r="P99" i="63"/>
  <c r="Q105" i="63"/>
  <c r="R136" i="63"/>
  <c r="AF80" i="63"/>
  <c r="AF250" i="63"/>
  <c r="AG250" i="63" s="1"/>
  <c r="AD80" i="63"/>
  <c r="Q144" i="63"/>
  <c r="Q160" i="63"/>
  <c r="Q360" i="63"/>
  <c r="L286" i="63" a="1"/>
  <c r="L286" i="63" s="1"/>
  <c r="Q11" i="63"/>
  <c r="Q221" i="63"/>
  <c r="P384" i="63"/>
  <c r="Q404" i="63"/>
  <c r="L254" i="63" a="1"/>
  <c r="L254" i="63" s="1"/>
  <c r="Q16" i="63"/>
  <c r="P70" i="63"/>
  <c r="Q75" i="63"/>
  <c r="Q93" i="63"/>
  <c r="P101" i="63"/>
  <c r="Q116" i="63"/>
  <c r="Q129" i="63"/>
  <c r="AF199" i="63"/>
  <c r="Q212" i="63"/>
  <c r="R235" i="63"/>
  <c r="AF251" i="63"/>
  <c r="AG251" i="63" s="1"/>
  <c r="AF256" i="63"/>
  <c r="R279" i="63"/>
  <c r="AD310" i="63"/>
  <c r="P374" i="63"/>
  <c r="Q385" i="63"/>
  <c r="Q392" i="63"/>
  <c r="L356" i="63" a="1"/>
  <c r="L356" i="63" s="1"/>
  <c r="L183" i="63"/>
  <c r="L223" i="63" a="1"/>
  <c r="L223" i="63" s="1"/>
  <c r="L228" i="63" a="1"/>
  <c r="L228" i="63" s="1"/>
  <c r="L218" i="63" a="1"/>
  <c r="L218" i="63" s="1"/>
  <c r="L203" i="63" a="1"/>
  <c r="L203" i="63" s="1"/>
  <c r="L222" i="63" a="1"/>
  <c r="L222" i="63" s="1"/>
  <c r="L231" i="63" a="1"/>
  <c r="L231" i="63" s="1"/>
  <c r="L211" i="63" a="1"/>
  <c r="L211" i="63" s="1"/>
  <c r="L202" i="63" a="1"/>
  <c r="L202" i="63" s="1"/>
  <c r="L192" i="63" a="1"/>
  <c r="L192" i="63" s="1"/>
  <c r="L191" i="63" a="1"/>
  <c r="L191" i="63" s="1"/>
  <c r="L208" i="63" a="1"/>
  <c r="L208" i="63" s="1"/>
  <c r="L198" i="63" a="1"/>
  <c r="L198" i="63" s="1"/>
  <c r="L227" i="63" a="1"/>
  <c r="L227" i="63" s="1"/>
  <c r="P51" i="63"/>
  <c r="P40" i="63"/>
  <c r="P30" i="63"/>
  <c r="P16" i="63"/>
  <c r="P28" i="63"/>
  <c r="P19" i="63"/>
  <c r="P24" i="63"/>
  <c r="P44" i="63"/>
  <c r="P22" i="63"/>
  <c r="P26" i="63"/>
  <c r="P18" i="63"/>
  <c r="P54" i="63"/>
  <c r="P31" i="63"/>
  <c r="P13" i="63"/>
  <c r="P43" i="63"/>
  <c r="P29" i="63"/>
  <c r="P42" i="63"/>
  <c r="P11" i="63"/>
  <c r="L216" i="63" a="1"/>
  <c r="L216" i="63" s="1"/>
  <c r="AF25" i="63"/>
  <c r="R384" i="63"/>
  <c r="L36" i="63" a="1"/>
  <c r="L36" i="63" s="1"/>
  <c r="L45" i="63" a="1"/>
  <c r="L45" i="63" s="1"/>
  <c r="L35" i="63" a="1"/>
  <c r="L35" i="63" s="1"/>
  <c r="L60" i="63" a="1"/>
  <c r="L60" i="63" s="1"/>
  <c r="L54" i="63" a="1"/>
  <c r="L54" i="63" s="1"/>
  <c r="L64" i="63" a="1"/>
  <c r="L64" i="63" s="1"/>
  <c r="L44" i="63" a="1"/>
  <c r="L44" i="63" s="1"/>
  <c r="L22" i="63" a="1"/>
  <c r="L22" i="63" s="1"/>
  <c r="L41" i="63" a="1"/>
  <c r="L41" i="63" s="1"/>
  <c r="L53" i="63" a="1"/>
  <c r="L53" i="63" s="1"/>
  <c r="L20" i="63" a="1"/>
  <c r="L20" i="63" s="1"/>
  <c r="L32" i="63" a="1"/>
  <c r="L32" i="63" s="1"/>
  <c r="L21" i="63" a="1"/>
  <c r="L21" i="63" s="1"/>
  <c r="L63" i="63" a="1"/>
  <c r="L63" i="63" s="1"/>
  <c r="L50" i="63" a="1"/>
  <c r="L50" i="63" s="1"/>
  <c r="L30" i="63" a="1"/>
  <c r="L30" i="63" s="1"/>
  <c r="L40" i="63" a="1"/>
  <c r="L40" i="63" s="1"/>
  <c r="L48" i="63" a="1"/>
  <c r="L48" i="63" s="1"/>
  <c r="L39" i="63" a="1"/>
  <c r="L39" i="63" s="1"/>
  <c r="L18" i="63" a="1"/>
  <c r="L18" i="63" s="1"/>
  <c r="L27" i="63" a="1"/>
  <c r="L27" i="63" s="1"/>
  <c r="AD141" i="63"/>
  <c r="AD145" i="63"/>
  <c r="AD138" i="63"/>
  <c r="AD140" i="63"/>
  <c r="L330" i="63" a="1"/>
  <c r="L330" i="63" s="1"/>
  <c r="L326" i="63" a="1"/>
  <c r="L326" i="63" s="1"/>
  <c r="L339" i="63" a="1"/>
  <c r="L339" i="63" s="1"/>
  <c r="L314" i="63" a="1"/>
  <c r="L314" i="63" s="1"/>
  <c r="L306" i="63" a="1"/>
  <c r="L306" i="63" s="1"/>
  <c r="L345" i="63" a="1"/>
  <c r="L345" i="63" s="1"/>
  <c r="L318" i="63" a="1"/>
  <c r="L318" i="63" s="1"/>
  <c r="L322" i="63" a="1"/>
  <c r="L322" i="63" s="1"/>
  <c r="L338" i="63" a="1"/>
  <c r="L338" i="63" s="1"/>
  <c r="L329" i="63" a="1"/>
  <c r="L329" i="63" s="1"/>
  <c r="L313" i="63" a="1"/>
  <c r="L313" i="63" s="1"/>
  <c r="L305" i="63" a="1"/>
  <c r="L305" i="63" s="1"/>
  <c r="L301" i="63" a="1"/>
  <c r="L301" i="63" s="1"/>
  <c r="L346" i="63" a="1"/>
  <c r="L346" i="63" s="1"/>
  <c r="L321" i="63" a="1"/>
  <c r="L321" i="63" s="1"/>
  <c r="L337" i="63" a="1"/>
  <c r="L337" i="63" s="1"/>
  <c r="L343" i="63" a="1"/>
  <c r="L343" i="63" s="1"/>
  <c r="L327" i="63" a="1"/>
  <c r="L327" i="63" s="1"/>
  <c r="L319" i="63" a="1"/>
  <c r="L319" i="63" s="1"/>
  <c r="L311" i="63" a="1"/>
  <c r="L311" i="63" s="1"/>
  <c r="L302" i="63" a="1"/>
  <c r="L302" i="63" s="1"/>
  <c r="L335" i="63" a="1"/>
  <c r="L335" i="63" s="1"/>
  <c r="L334" i="63" a="1"/>
  <c r="L334" i="63" s="1"/>
  <c r="L310" i="63" a="1"/>
  <c r="L310" i="63" s="1"/>
  <c r="L325" i="63" a="1"/>
  <c r="L325" i="63" s="1"/>
  <c r="L174" i="63" a="1"/>
  <c r="L174" i="63" s="1"/>
  <c r="AD24" i="63"/>
  <c r="AD21" i="63"/>
  <c r="AD25" i="63"/>
  <c r="AD23" i="63"/>
  <c r="R399" i="63"/>
  <c r="R402" i="63"/>
  <c r="R383" i="63"/>
  <c r="R387" i="63"/>
  <c r="R376" i="63"/>
  <c r="R381" i="63"/>
  <c r="R363" i="63"/>
  <c r="R397" i="63"/>
  <c r="R392" i="63"/>
  <c r="R367" i="63"/>
  <c r="R365" i="63"/>
  <c r="R358" i="63"/>
  <c r="R368" i="63"/>
  <c r="R401" i="63"/>
  <c r="R386" i="63"/>
  <c r="R374" i="63"/>
  <c r="R361" i="63"/>
  <c r="R354" i="63"/>
  <c r="R352" i="63"/>
  <c r="R370" i="63"/>
  <c r="R400" i="63"/>
  <c r="R395" i="63"/>
  <c r="R357" i="63"/>
  <c r="R391" i="63"/>
  <c r="R373" i="63"/>
  <c r="R404" i="63"/>
  <c r="R379" i="63"/>
  <c r="R366" i="63"/>
  <c r="R356" i="63"/>
  <c r="R351" i="63"/>
  <c r="O403" i="63"/>
  <c r="O365" i="63"/>
  <c r="O358" i="63"/>
  <c r="O381" i="63"/>
  <c r="O374" i="63"/>
  <c r="O395" i="63"/>
  <c r="O385" i="63"/>
  <c r="R369" i="63"/>
  <c r="R389" i="63"/>
  <c r="O146" i="63"/>
  <c r="O132" i="63"/>
  <c r="O153" i="63"/>
  <c r="O143" i="63"/>
  <c r="O173" i="63"/>
  <c r="AF142" i="63"/>
  <c r="R349" i="63"/>
  <c r="L297" i="63" a="1"/>
  <c r="L297" i="63" s="1"/>
  <c r="W184" i="63"/>
  <c r="R187" i="63"/>
  <c r="R207" i="63" s="1"/>
  <c r="O47" i="63"/>
  <c r="O16" i="63"/>
  <c r="P148" i="63"/>
  <c r="P165" i="63"/>
  <c r="P169" i="63"/>
  <c r="P159" i="63"/>
  <c r="P143" i="63"/>
  <c r="P137" i="63"/>
  <c r="P131" i="63"/>
  <c r="AF135" i="63"/>
  <c r="P335" i="63"/>
  <c r="P324" i="63"/>
  <c r="P316" i="63"/>
  <c r="P298" i="63"/>
  <c r="P343" i="63"/>
  <c r="P305" i="63"/>
  <c r="P329" i="63"/>
  <c r="P296" i="63"/>
  <c r="P294" i="63"/>
  <c r="P344" i="63"/>
  <c r="P315" i="63"/>
  <c r="P297" i="63"/>
  <c r="P303" i="63"/>
  <c r="P334" i="63"/>
  <c r="P309" i="63"/>
  <c r="P307" i="63"/>
  <c r="P338" i="63"/>
  <c r="P333" i="63"/>
  <c r="P327" i="63"/>
  <c r="P321" i="63"/>
  <c r="P295" i="63"/>
  <c r="P302" i="63"/>
  <c r="P337" i="63"/>
  <c r="P332" i="63"/>
  <c r="P313" i="63"/>
  <c r="R398" i="63"/>
  <c r="L206" i="63" a="1"/>
  <c r="L206" i="63" s="1"/>
  <c r="L188" i="63" a="1"/>
  <c r="L188" i="63" s="1"/>
  <c r="P20" i="63"/>
  <c r="P47" i="63"/>
  <c r="Q331" i="63"/>
  <c r="Q335" i="63"/>
  <c r="Q316" i="63"/>
  <c r="Q329" i="63"/>
  <c r="Q300" i="63"/>
  <c r="Q315" i="63"/>
  <c r="Q297" i="63"/>
  <c r="Q342" i="63"/>
  <c r="Q339" i="63"/>
  <c r="Q334" i="63"/>
  <c r="Q321" i="63"/>
  <c r="Q323" i="63"/>
  <c r="Q309" i="63"/>
  <c r="Q307" i="63"/>
  <c r="Q327" i="63"/>
  <c r="Q343" i="63"/>
  <c r="Q322" i="63"/>
  <c r="Q305" i="63"/>
  <c r="Q303" i="63"/>
  <c r="Q296" i="63"/>
  <c r="Q302" i="63"/>
  <c r="Q294" i="63"/>
  <c r="Q337" i="63"/>
  <c r="Q332" i="63"/>
  <c r="Q326" i="63"/>
  <c r="P330" i="63"/>
  <c r="L341" i="63" a="1"/>
  <c r="L341" i="63" s="1"/>
  <c r="P63" i="63"/>
  <c r="R299" i="63"/>
  <c r="R333" i="63" s="1"/>
  <c r="L315" i="63" a="1"/>
  <c r="L315" i="63" s="1"/>
  <c r="L173" i="63" a="1"/>
  <c r="L173" i="63" s="1"/>
  <c r="L162" i="63" a="1"/>
  <c r="L162" i="63" s="1"/>
  <c r="L135" i="63" a="1"/>
  <c r="L135" i="63" s="1"/>
  <c r="L149" i="63" a="1"/>
  <c r="L149" i="63" s="1"/>
  <c r="L148" i="63" a="1"/>
  <c r="L148" i="63" s="1"/>
  <c r="L147" i="63" a="1"/>
  <c r="L147" i="63" s="1"/>
  <c r="L169" i="63" a="1"/>
  <c r="L169" i="63" s="1"/>
  <c r="L134" i="63" a="1"/>
  <c r="L134" i="63" s="1"/>
  <c r="L168" i="63" a="1"/>
  <c r="L168" i="63" s="1"/>
  <c r="L155" i="63" a="1"/>
  <c r="L155" i="63" s="1"/>
  <c r="O340" i="63"/>
  <c r="O344" i="63"/>
  <c r="Q310" i="63"/>
  <c r="P340" i="63"/>
  <c r="R364" i="63"/>
  <c r="AF23" i="63"/>
  <c r="AG23" i="63" s="1"/>
  <c r="Q27" i="63"/>
  <c r="R33" i="63"/>
  <c r="R47" i="63"/>
  <c r="R57" i="63"/>
  <c r="Q157" i="63"/>
  <c r="Q162" i="63"/>
  <c r="L96" i="63" a="1"/>
  <c r="L96" i="63" s="1"/>
  <c r="L104" i="63" a="1"/>
  <c r="L104" i="63" s="1"/>
  <c r="L112" i="63" a="1"/>
  <c r="L112" i="63" s="1"/>
  <c r="L372" i="63" a="1"/>
  <c r="L372" i="63" s="1"/>
  <c r="L390" i="63" a="1"/>
  <c r="L390" i="63" s="1"/>
  <c r="L399" i="63" a="1"/>
  <c r="L399" i="63" s="1"/>
  <c r="R27" i="63"/>
  <c r="X101" i="63"/>
  <c r="X103" i="63" s="1"/>
  <c r="Q58" i="63"/>
  <c r="AF138" i="63"/>
  <c r="AG138" i="63" s="1"/>
  <c r="L80" i="63" a="1"/>
  <c r="L80" i="63" s="1"/>
  <c r="L88" i="63" a="1"/>
  <c r="L88" i="63" s="1"/>
  <c r="L97" i="63" a="1"/>
  <c r="L97" i="63" s="1"/>
  <c r="L113" i="63" a="1"/>
  <c r="L113" i="63" s="1"/>
  <c r="Q29" i="63"/>
  <c r="Q36" i="63"/>
  <c r="Q43" i="63"/>
  <c r="P67" i="63"/>
  <c r="AF77" i="63"/>
  <c r="Q101" i="63"/>
  <c r="P107" i="63"/>
  <c r="Q117" i="63"/>
  <c r="Q126" i="63"/>
  <c r="Q135" i="63"/>
  <c r="Q168" i="63"/>
  <c r="P183" i="63"/>
  <c r="Q196" i="63"/>
  <c r="R247" i="63"/>
  <c r="Q256" i="63"/>
  <c r="Q276" i="63"/>
  <c r="AF313" i="63"/>
  <c r="AF366" i="63"/>
  <c r="Q370" i="63"/>
  <c r="Q381" i="63"/>
  <c r="L105" i="63" a="1"/>
  <c r="L105" i="63" s="1"/>
  <c r="L364" i="63" a="1"/>
  <c r="L364" i="63" s="1"/>
  <c r="L374" i="63" a="1"/>
  <c r="L374" i="63" s="1"/>
  <c r="L383" i="63" a="1"/>
  <c r="L383" i="63" s="1"/>
  <c r="L392" i="63" a="1"/>
  <c r="L392" i="63" s="1"/>
  <c r="Q31" i="63"/>
  <c r="R43" i="63"/>
  <c r="R168" i="63"/>
  <c r="R13" i="63"/>
  <c r="R24" i="63"/>
  <c r="R31" i="63"/>
  <c r="R49" i="63"/>
  <c r="Q54" i="63"/>
  <c r="P87" i="63"/>
  <c r="P96" i="63"/>
  <c r="P102" i="63"/>
  <c r="Q113" i="63"/>
  <c r="Q127" i="63"/>
  <c r="R163" i="63"/>
  <c r="P203" i="63"/>
  <c r="O235" i="63"/>
  <c r="P252" i="63"/>
  <c r="Q271" i="63"/>
  <c r="P287" i="63"/>
  <c r="L71" i="63" a="1"/>
  <c r="L71" i="63" s="1"/>
  <c r="L106" i="63" a="1"/>
  <c r="L106" i="63" s="1"/>
  <c r="L375" i="63" a="1"/>
  <c r="L375" i="63" s="1"/>
  <c r="L384" i="63" a="1"/>
  <c r="L384" i="63" s="1"/>
  <c r="L402" i="63" a="1"/>
  <c r="L402" i="63" s="1"/>
  <c r="AF136" i="63"/>
  <c r="AG136" i="63" s="1"/>
  <c r="P113" i="63"/>
  <c r="R145" i="63"/>
  <c r="Q14" i="63"/>
  <c r="Q18" i="63"/>
  <c r="Q26" i="63"/>
  <c r="AF29" i="63"/>
  <c r="R54" i="63"/>
  <c r="P68" i="63"/>
  <c r="Q87" i="63"/>
  <c r="P90" i="63"/>
  <c r="Q96" i="63"/>
  <c r="Q102" i="63"/>
  <c r="P108" i="63"/>
  <c r="R113" i="63"/>
  <c r="P118" i="63"/>
  <c r="R127" i="63"/>
  <c r="Q131" i="63"/>
  <c r="Q137" i="63"/>
  <c r="R139" i="63"/>
  <c r="AF194" i="63"/>
  <c r="Q252" i="63"/>
  <c r="Q287" i="63"/>
  <c r="L82" i="63" a="1"/>
  <c r="L82" i="63" s="1"/>
  <c r="L90" i="63" a="1"/>
  <c r="L90" i="63" s="1"/>
  <c r="L357" i="63" a="1"/>
  <c r="L357" i="63" s="1"/>
  <c r="L366" i="63" a="1"/>
  <c r="L366" i="63" s="1"/>
  <c r="L394" i="63" a="1"/>
  <c r="L394" i="63" s="1"/>
  <c r="AF140" i="63"/>
  <c r="R157" i="63"/>
  <c r="Q48" i="63"/>
  <c r="Q49" i="63"/>
  <c r="R126" i="63"/>
  <c r="R135" i="63"/>
  <c r="Q163" i="63"/>
  <c r="R173" i="63"/>
  <c r="R14" i="63"/>
  <c r="R18" i="63"/>
  <c r="R26" i="63"/>
  <c r="Q60" i="63"/>
  <c r="Q68" i="63"/>
  <c r="Q90" i="63"/>
  <c r="P98" i="63"/>
  <c r="Q108" i="63"/>
  <c r="P119" i="63"/>
  <c r="R131" i="63"/>
  <c r="R137" i="63"/>
  <c r="AF145" i="63"/>
  <c r="Q153" i="63"/>
  <c r="Q159" i="63"/>
  <c r="AF196" i="63"/>
  <c r="AD198" i="63"/>
  <c r="P216" i="63"/>
  <c r="Q235" i="63"/>
  <c r="Q266" i="63"/>
  <c r="Q282" i="63"/>
  <c r="AD311" i="63"/>
  <c r="AF363" i="63"/>
  <c r="AG363" i="63" s="1"/>
  <c r="P375" i="63"/>
  <c r="P382" i="63"/>
  <c r="L74" i="63" a="1"/>
  <c r="L74" i="63" s="1"/>
  <c r="L376" i="63" a="1"/>
  <c r="L376" i="63" s="1"/>
  <c r="L403" i="63" a="1"/>
  <c r="L403" i="63" s="1"/>
  <c r="AF144" i="63"/>
  <c r="R162" i="63"/>
  <c r="R35" i="63"/>
  <c r="R125" i="63"/>
  <c r="Q59" i="63"/>
  <c r="L81" i="63" a="1"/>
  <c r="L81" i="63" s="1"/>
  <c r="L98" i="63" a="1"/>
  <c r="L98" i="63" s="1"/>
  <c r="AF24" i="63"/>
  <c r="AG24" i="63" s="1"/>
  <c r="Q44" i="63"/>
  <c r="R60" i="63"/>
  <c r="R68" i="63"/>
  <c r="W70" i="63"/>
  <c r="P78" i="63"/>
  <c r="R90" i="63"/>
  <c r="Q98" i="63"/>
  <c r="Q119" i="63"/>
  <c r="AF141" i="63"/>
  <c r="R153" i="63"/>
  <c r="R159" i="63"/>
  <c r="Q169" i="63"/>
  <c r="AD196" i="63"/>
  <c r="P250" i="63"/>
  <c r="P272" i="63"/>
  <c r="R282" i="63"/>
  <c r="R288" i="63"/>
  <c r="Q376" i="63"/>
  <c r="Q382" i="63"/>
  <c r="Q387" i="63"/>
  <c r="L100" i="63" a="1"/>
  <c r="L100" i="63" s="1"/>
  <c r="L108" i="63" a="1"/>
  <c r="L108" i="63" s="1"/>
  <c r="L116" i="63" a="1"/>
  <c r="L116" i="63" s="1"/>
  <c r="L367" i="63" a="1"/>
  <c r="L367" i="63" s="1"/>
  <c r="Q13" i="63"/>
  <c r="L114" i="63" a="1"/>
  <c r="L114" i="63" s="1"/>
  <c r="Q19" i="63"/>
  <c r="Q28" i="63"/>
  <c r="P69" i="63"/>
  <c r="Q78" i="63"/>
  <c r="R80" i="63"/>
  <c r="P82" i="63"/>
  <c r="P84" i="63"/>
  <c r="Q91" i="63"/>
  <c r="P114" i="63"/>
  <c r="P120" i="63"/>
  <c r="Q128" i="63"/>
  <c r="R132" i="63"/>
  <c r="Q154" i="63"/>
  <c r="Q165" i="63"/>
  <c r="R169" i="63"/>
  <c r="R175" i="63"/>
  <c r="AD192" i="63"/>
  <c r="Q250" i="63"/>
  <c r="Q272" i="63"/>
  <c r="P278" i="63"/>
  <c r="P289" i="63"/>
  <c r="AF307" i="63"/>
  <c r="AG307" i="63" s="1"/>
  <c r="AF361" i="63"/>
  <c r="AG361" i="63" s="1"/>
  <c r="P369" i="63"/>
  <c r="Q402" i="63"/>
  <c r="L358" i="63" a="1"/>
  <c r="L358" i="63" s="1"/>
  <c r="L386" i="63" a="1"/>
  <c r="L386" i="63" s="1"/>
  <c r="L395" i="63" a="1"/>
  <c r="L395" i="63" s="1"/>
  <c r="L404" i="63" a="1"/>
  <c r="L404" i="63" s="1"/>
  <c r="L89" i="63" a="1"/>
  <c r="L89" i="63" s="1"/>
  <c r="R19" i="63"/>
  <c r="R28" i="63"/>
  <c r="Q69" i="63"/>
  <c r="P74" i="63"/>
  <c r="R78" i="63"/>
  <c r="Q84" i="63"/>
  <c r="Q114" i="63"/>
  <c r="Q120" i="63"/>
  <c r="R128" i="63"/>
  <c r="Q133" i="63"/>
  <c r="R154" i="63"/>
  <c r="R165" i="63"/>
  <c r="Q237" i="63"/>
  <c r="Q242" i="63"/>
  <c r="Q246" i="63"/>
  <c r="P267" i="63"/>
  <c r="P283" i="63"/>
  <c r="AF309" i="63"/>
  <c r="AG309" i="63" s="1"/>
  <c r="AF365" i="63"/>
  <c r="Q369" i="63"/>
  <c r="L76" i="63" a="1"/>
  <c r="L76" i="63" s="1"/>
  <c r="L84" i="63" a="1"/>
  <c r="L84" i="63" s="1"/>
  <c r="L92" i="63" a="1"/>
  <c r="L92" i="63" s="1"/>
  <c r="L101" i="63" a="1"/>
  <c r="L101" i="63" s="1"/>
  <c r="O362" i="63"/>
  <c r="O364" i="63"/>
  <c r="O393" i="63"/>
  <c r="O350" i="63"/>
  <c r="O389" i="63"/>
  <c r="O398" i="63"/>
  <c r="O367" i="63"/>
  <c r="O397" i="63"/>
  <c r="O260" i="63"/>
  <c r="O279" i="63"/>
  <c r="O283" i="63"/>
  <c r="O252" i="63"/>
  <c r="O275" i="63"/>
  <c r="O243" i="63"/>
  <c r="O266" i="63"/>
  <c r="O271" i="63"/>
  <c r="O253" i="63"/>
  <c r="O286" i="63"/>
  <c r="O239" i="63"/>
  <c r="O255" i="63"/>
  <c r="O249" i="63"/>
  <c r="O267" i="63"/>
  <c r="O282" i="63"/>
  <c r="O204" i="63"/>
  <c r="O213" i="63"/>
  <c r="O192" i="63"/>
  <c r="O221" i="63"/>
  <c r="O227" i="63"/>
  <c r="O183" i="63"/>
  <c r="O182" i="63"/>
  <c r="O216" i="63"/>
  <c r="O129" i="63"/>
  <c r="O142" i="63"/>
  <c r="O148" i="63"/>
  <c r="O154" i="63"/>
  <c r="O169" i="63"/>
  <c r="O149" i="63"/>
  <c r="O127" i="63"/>
  <c r="O135" i="63"/>
  <c r="O175" i="63"/>
  <c r="O150" i="63"/>
  <c r="O166" i="63"/>
  <c r="O176" i="63"/>
  <c r="O125" i="63"/>
  <c r="O136" i="63"/>
  <c r="O162" i="63"/>
  <c r="O90" i="63"/>
  <c r="O96" i="63"/>
  <c r="O98" i="63"/>
  <c r="O77" i="63"/>
  <c r="O88" i="63"/>
  <c r="O101" i="63"/>
  <c r="O120" i="63"/>
  <c r="O116" i="63"/>
  <c r="W40" i="63"/>
  <c r="W63" i="63" s="1"/>
  <c r="O33" i="63"/>
  <c r="O31" i="63"/>
  <c r="O34" i="63"/>
  <c r="O51" i="63"/>
  <c r="O19" i="63"/>
  <c r="W380" i="63"/>
  <c r="W404" i="63" s="1"/>
  <c r="L126" i="63"/>
  <c r="L295" i="63"/>
  <c r="L237" i="63"/>
  <c r="L69" i="63"/>
  <c r="W97" i="63"/>
  <c r="W120" i="63" s="1"/>
  <c r="L163" i="63" a="1"/>
  <c r="L163" i="63" s="1"/>
  <c r="L146" i="63" a="1"/>
  <c r="L146" i="63" s="1"/>
  <c r="L167" i="63" a="1"/>
  <c r="L167" i="63" s="1"/>
  <c r="L150" i="63" a="1"/>
  <c r="L150" i="63" s="1"/>
  <c r="L133" i="63" a="1"/>
  <c r="L133" i="63" s="1"/>
  <c r="L171" i="63" a="1"/>
  <c r="L171" i="63" s="1"/>
  <c r="L154" i="63" a="1"/>
  <c r="L154" i="63" s="1"/>
  <c r="L137" i="63" a="1"/>
  <c r="L137" i="63" s="1"/>
  <c r="L142" i="63" a="1"/>
  <c r="L142" i="63" s="1"/>
  <c r="L166" i="63" a="1"/>
  <c r="L166" i="63" s="1"/>
  <c r="L176" i="63" a="1"/>
  <c r="L176" i="63" s="1"/>
  <c r="L161" i="63" a="1"/>
  <c r="L161" i="63" s="1"/>
  <c r="L156" i="63" a="1"/>
  <c r="L156" i="63" s="1"/>
  <c r="L141" i="63" a="1"/>
  <c r="L141" i="63" s="1"/>
  <c r="L136" i="63" a="1"/>
  <c r="L136" i="63" s="1"/>
  <c r="L131" i="63" a="1"/>
  <c r="L131" i="63" s="1"/>
  <c r="L165" i="63" a="1"/>
  <c r="L165" i="63" s="1"/>
  <c r="L145" i="63" a="1"/>
  <c r="L145" i="63" s="1"/>
  <c r="L140" i="63" a="1"/>
  <c r="L140" i="63" s="1"/>
  <c r="L151" i="63" a="1"/>
  <c r="L151" i="63" s="1"/>
  <c r="L175" i="63" a="1"/>
  <c r="L175" i="63" s="1"/>
  <c r="L170" i="63" a="1"/>
  <c r="L170" i="63" s="1"/>
  <c r="L160" i="63" a="1"/>
  <c r="L160" i="63" s="1"/>
  <c r="L157" i="63" a="1"/>
  <c r="L157" i="63" s="1"/>
  <c r="L177" i="63" a="1"/>
  <c r="L177" i="63" s="1"/>
  <c r="L138" i="63" a="1"/>
  <c r="L138" i="63" s="1"/>
  <c r="L229" i="63" a="1"/>
  <c r="L229" i="63" s="1"/>
  <c r="L225" i="63" a="1"/>
  <c r="L225" i="63" s="1"/>
  <c r="L221" i="63" a="1"/>
  <c r="L221" i="63" s="1"/>
  <c r="L217" i="63" a="1"/>
  <c r="L217" i="63" s="1"/>
  <c r="L213" i="63" a="1"/>
  <c r="L213" i="63" s="1"/>
  <c r="L209" i="63" a="1"/>
  <c r="L209" i="63" s="1"/>
  <c r="L205" i="63" a="1"/>
  <c r="L205" i="63" s="1"/>
  <c r="L201" i="63" a="1"/>
  <c r="L201" i="63" s="1"/>
  <c r="L197" i="63" a="1"/>
  <c r="L197" i="63" s="1"/>
  <c r="L193" i="63" a="1"/>
  <c r="L193" i="63" s="1"/>
  <c r="L189" i="63" a="1"/>
  <c r="L189" i="63" s="1"/>
  <c r="L220" i="63" a="1"/>
  <c r="L220" i="63" s="1"/>
  <c r="L230" i="63" a="1"/>
  <c r="L230" i="63" s="1"/>
  <c r="L215" i="63" a="1"/>
  <c r="L215" i="63" s="1"/>
  <c r="L200" i="63" a="1"/>
  <c r="L200" i="63" s="1"/>
  <c r="L210" i="63" a="1"/>
  <c r="L210" i="63" s="1"/>
  <c r="L195" i="63" a="1"/>
  <c r="L195" i="63" s="1"/>
  <c r="L224" i="63" a="1"/>
  <c r="L224" i="63" s="1"/>
  <c r="L190" i="63" a="1"/>
  <c r="L190" i="63" s="1"/>
  <c r="L219" i="63" a="1"/>
  <c r="L219" i="63" s="1"/>
  <c r="L204" i="63" a="1"/>
  <c r="L204" i="63" s="1"/>
  <c r="L214" i="63" a="1"/>
  <c r="L214" i="63" s="1"/>
  <c r="L199" i="63" a="1"/>
  <c r="L199" i="63" s="1"/>
  <c r="L281" i="63" a="1"/>
  <c r="L281" i="63" s="1"/>
  <c r="L264" i="63" a="1"/>
  <c r="L264" i="63" s="1"/>
  <c r="L247" i="63" a="1"/>
  <c r="L247" i="63" s="1"/>
  <c r="L285" i="63" a="1"/>
  <c r="L285" i="63" s="1"/>
  <c r="L268" i="63" a="1"/>
  <c r="L268" i="63" s="1"/>
  <c r="L251" i="63" a="1"/>
  <c r="L251" i="63" s="1"/>
  <c r="L289" i="63" a="1"/>
  <c r="L289" i="63" s="1"/>
  <c r="L272" i="63" a="1"/>
  <c r="L272" i="63" s="1"/>
  <c r="L255" i="63" a="1"/>
  <c r="L255" i="63" s="1"/>
  <c r="L242" i="63" a="1"/>
  <c r="L242" i="63" s="1"/>
  <c r="L269" i="63" a="1"/>
  <c r="L269" i="63" s="1"/>
  <c r="L249" i="63" a="1"/>
  <c r="L249" i="63" s="1"/>
  <c r="L244" i="63" a="1"/>
  <c r="L244" i="63" s="1"/>
  <c r="L288" i="63" a="1"/>
  <c r="L288" i="63" s="1"/>
  <c r="L283" i="63" a="1"/>
  <c r="L283" i="63" s="1"/>
  <c r="L278" i="63" a="1"/>
  <c r="L278" i="63" s="1"/>
  <c r="L263" i="63" a="1"/>
  <c r="L263" i="63" s="1"/>
  <c r="L273" i="63" a="1"/>
  <c r="L273" i="63" s="1"/>
  <c r="L248" i="63" a="1"/>
  <c r="L248" i="63" s="1"/>
  <c r="L267" i="63" a="1"/>
  <c r="L267" i="63" s="1"/>
  <c r="L243" i="63" a="1"/>
  <c r="L243" i="63" s="1"/>
  <c r="L258" i="63" a="1"/>
  <c r="L258" i="63" s="1"/>
  <c r="L253" i="63" a="1"/>
  <c r="L253" i="63" s="1"/>
  <c r="L282" i="63" a="1"/>
  <c r="L282" i="63" s="1"/>
  <c r="L262" i="63" a="1"/>
  <c r="L262" i="63" s="1"/>
  <c r="L287" i="63" a="1"/>
  <c r="L287" i="63" s="1"/>
  <c r="AG183" i="63" a="1"/>
  <c r="AG183" i="63" s="1"/>
  <c r="L152" i="63" a="1"/>
  <c r="L152" i="63" s="1"/>
  <c r="L172" i="63" a="1"/>
  <c r="L172" i="63" s="1"/>
  <c r="L178" i="63" a="1"/>
  <c r="L178" i="63" s="1"/>
  <c r="L132" i="63" a="1"/>
  <c r="L132" i="63" s="1"/>
  <c r="L207" i="63" a="1"/>
  <c r="L207" i="63" s="1"/>
  <c r="L232" i="63" a="1"/>
  <c r="L232" i="63" s="1"/>
  <c r="L275" i="63" a="1"/>
  <c r="L275" i="63" s="1"/>
  <c r="L128" i="63" a="1"/>
  <c r="L128" i="63" s="1"/>
  <c r="L55" i="63" a="1"/>
  <c r="L55" i="63" s="1"/>
  <c r="L38" i="63" a="1"/>
  <c r="L38" i="63" s="1"/>
  <c r="L25" i="63" a="1"/>
  <c r="L25" i="63" s="1"/>
  <c r="L59" i="63" a="1"/>
  <c r="L59" i="63" s="1"/>
  <c r="L42" i="63" a="1"/>
  <c r="L42" i="63" s="1"/>
  <c r="L29" i="63" a="1"/>
  <c r="L29" i="63" s="1"/>
  <c r="L62" i="63" a="1"/>
  <c r="L62" i="63" s="1"/>
  <c r="L57" i="63" a="1"/>
  <c r="L57" i="63" s="1"/>
  <c r="L34" i="63" a="1"/>
  <c r="L34" i="63" s="1"/>
  <c r="L24" i="63" a="1"/>
  <c r="L24" i="63" s="1"/>
  <c r="L52" i="63" a="1"/>
  <c r="L52" i="63" s="1"/>
  <c r="L33" i="63" a="1"/>
  <c r="L33" i="63" s="1"/>
  <c r="L19" i="63" a="1"/>
  <c r="L19" i="63" s="1"/>
  <c r="L28" i="63" a="1"/>
  <c r="L28" i="63" s="1"/>
  <c r="L37" i="63" a="1"/>
  <c r="L37" i="63" s="1"/>
  <c r="L43" i="63" a="1"/>
  <c r="L43" i="63" s="1"/>
  <c r="L61" i="63" a="1"/>
  <c r="L61" i="63" s="1"/>
  <c r="L47" i="63" a="1"/>
  <c r="L47" i="63" s="1"/>
  <c r="L56" i="63" a="1"/>
  <c r="L56" i="63" s="1"/>
  <c r="L23" i="63" a="1"/>
  <c r="L23" i="63" s="1"/>
  <c r="L51" i="63" a="1"/>
  <c r="L51" i="63" s="1"/>
  <c r="L144" i="63" a="1"/>
  <c r="L144" i="63" s="1"/>
  <c r="L164" i="63" a="1"/>
  <c r="L164" i="63" s="1"/>
  <c r="L185" i="63" a="1"/>
  <c r="L185" i="63" s="1"/>
  <c r="L226" i="63" a="1"/>
  <c r="L226" i="63" s="1"/>
  <c r="L261" i="63" a="1"/>
  <c r="L261" i="63" s="1"/>
  <c r="L15" i="63" a="1"/>
  <c r="L15" i="63" s="1"/>
  <c r="L158" i="63" a="1"/>
  <c r="L158" i="63" s="1"/>
  <c r="L212" i="63" a="1"/>
  <c r="L212" i="63" s="1"/>
  <c r="L239" i="63" a="1"/>
  <c r="L239" i="63" s="1"/>
  <c r="W322" i="63"/>
  <c r="W345" i="63" s="1"/>
  <c r="L31" i="63" a="1"/>
  <c r="L31" i="63" s="1"/>
  <c r="L49" i="63" a="1"/>
  <c r="L49" i="63" s="1"/>
  <c r="L139" i="63" a="1"/>
  <c r="L139" i="63" s="1"/>
  <c r="L159" i="63" a="1"/>
  <c r="L159" i="63" s="1"/>
  <c r="L194" i="63" a="1"/>
  <c r="L194" i="63" s="1"/>
  <c r="L256" i="63" a="1"/>
  <c r="L256" i="63" s="1"/>
  <c r="L351" i="63"/>
  <c r="L13" i="63"/>
  <c r="W154" i="63"/>
  <c r="W177" i="63" s="1"/>
  <c r="W208" i="63"/>
  <c r="W231" i="63" s="1"/>
  <c r="AG351" i="63" a="1"/>
  <c r="AG351" i="63" s="1"/>
  <c r="L405" i="63" a="1"/>
  <c r="L405" i="63" s="1"/>
  <c r="L401" i="63" a="1"/>
  <c r="L401" i="63" s="1"/>
  <c r="L397" i="63" a="1"/>
  <c r="L397" i="63" s="1"/>
  <c r="L393" i="63" a="1"/>
  <c r="L393" i="63" s="1"/>
  <c r="L389" i="63" a="1"/>
  <c r="L389" i="63" s="1"/>
  <c r="L385" i="63" a="1"/>
  <c r="L385" i="63" s="1"/>
  <c r="L381" i="63" a="1"/>
  <c r="L381" i="63" s="1"/>
  <c r="L377" i="63" a="1"/>
  <c r="L377" i="63" s="1"/>
  <c r="L373" i="63" a="1"/>
  <c r="L373" i="63" s="1"/>
  <c r="L369" i="63" a="1"/>
  <c r="L369" i="63" s="1"/>
  <c r="L365" i="63" a="1"/>
  <c r="L365" i="63" s="1"/>
  <c r="L361" i="63" a="1"/>
  <c r="L361" i="63" s="1"/>
  <c r="L359" i="63" a="1"/>
  <c r="L359" i="63" s="1"/>
  <c r="L368" i="63" a="1"/>
  <c r="L368" i="63" s="1"/>
  <c r="L382" i="63" a="1"/>
  <c r="L382" i="63" s="1"/>
  <c r="L391" i="63" a="1"/>
  <c r="L391" i="63" s="1"/>
  <c r="L400" i="63" a="1"/>
  <c r="L400" i="63" s="1"/>
  <c r="AG69" i="63" a="1"/>
  <c r="AG69" i="63" s="1"/>
  <c r="W265" i="63"/>
  <c r="W289" i="63" s="1"/>
  <c r="L119" i="63" a="1"/>
  <c r="L119" i="63" s="1"/>
  <c r="L115" i="63" a="1"/>
  <c r="L115" i="63" s="1"/>
  <c r="L111" i="63" a="1"/>
  <c r="L111" i="63" s="1"/>
  <c r="L107" i="63" a="1"/>
  <c r="L107" i="63" s="1"/>
  <c r="L103" i="63" a="1"/>
  <c r="L103" i="63" s="1"/>
  <c r="L99" i="63" a="1"/>
  <c r="L99" i="63" s="1"/>
  <c r="L95" i="63" a="1"/>
  <c r="L95" i="63" s="1"/>
  <c r="L91" i="63" a="1"/>
  <c r="L91" i="63" s="1"/>
  <c r="L87" i="63" a="1"/>
  <c r="L87" i="63" s="1"/>
  <c r="L83" i="63" a="1"/>
  <c r="L83" i="63" s="1"/>
  <c r="L79" i="63" a="1"/>
  <c r="L79" i="63" s="1"/>
  <c r="L75" i="63" a="1"/>
  <c r="L75" i="63" s="1"/>
  <c r="L77" i="63" a="1"/>
  <c r="L77" i="63" s="1"/>
  <c r="L94" i="63" a="1"/>
  <c r="L94" i="63" s="1"/>
  <c r="L344" i="63" a="1"/>
  <c r="L344" i="63" s="1"/>
  <c r="L340" i="63" a="1"/>
  <c r="L340" i="63" s="1"/>
  <c r="L336" i="63" a="1"/>
  <c r="L336" i="63" s="1"/>
  <c r="L332" i="63" a="1"/>
  <c r="L332" i="63" s="1"/>
  <c r="L328" i="63" a="1"/>
  <c r="L328" i="63" s="1"/>
  <c r="L324" i="63" a="1"/>
  <c r="L324" i="63" s="1"/>
  <c r="L320" i="63" a="1"/>
  <c r="L320" i="63" s="1"/>
  <c r="L316" i="63" a="1"/>
  <c r="L316" i="63" s="1"/>
  <c r="L312" i="63" a="1"/>
  <c r="L312" i="63" s="1"/>
  <c r="L308" i="63" a="1"/>
  <c r="L308" i="63" s="1"/>
  <c r="L304" i="63" a="1"/>
  <c r="L304" i="63" s="1"/>
  <c r="L300" i="63" a="1"/>
  <c r="L300" i="63" s="1"/>
  <c r="L303" i="63" a="1"/>
  <c r="L303" i="63" s="1"/>
  <c r="L333" i="63" a="1"/>
  <c r="L333" i="63" s="1"/>
  <c r="L353" i="63" a="1"/>
  <c r="L353" i="63" s="1"/>
  <c r="AC32" i="63"/>
  <c r="O315" i="63"/>
  <c r="O309" i="63"/>
  <c r="O342" i="63"/>
  <c r="O339" i="63"/>
  <c r="O331" i="63"/>
  <c r="O323" i="63"/>
  <c r="O310" i="63"/>
  <c r="O311" i="63"/>
  <c r="O301" i="63"/>
  <c r="O345" i="63"/>
  <c r="O336" i="63"/>
  <c r="O328" i="63"/>
  <c r="O312" i="63"/>
  <c r="O333" i="63"/>
  <c r="O325" i="63"/>
  <c r="O313" i="63"/>
  <c r="O298" i="63"/>
  <c r="O295" i="63"/>
  <c r="O338" i="63"/>
  <c r="O306" i="63"/>
  <c r="O346" i="63"/>
  <c r="O314" i="63"/>
  <c r="O341" i="63"/>
  <c r="O324" i="63"/>
  <c r="O334" i="63"/>
  <c r="O330" i="63"/>
  <c r="O307" i="63"/>
  <c r="O293" i="63"/>
  <c r="O300" i="63"/>
  <c r="O316" i="63"/>
  <c r="O302" i="63"/>
  <c r="O297" i="63"/>
  <c r="O304" i="63"/>
  <c r="O337" i="63"/>
  <c r="O326" i="63"/>
  <c r="O321" i="63"/>
  <c r="O308" i="63"/>
  <c r="O305" i="63"/>
  <c r="O329" i="63"/>
  <c r="O318" i="63"/>
  <c r="O303" i="63"/>
  <c r="O317" i="63"/>
  <c r="O322" i="63"/>
  <c r="O327" i="63"/>
  <c r="O332" i="63"/>
  <c r="O294" i="63"/>
  <c r="O11" i="63"/>
  <c r="O30" i="63"/>
  <c r="O20" i="63"/>
  <c r="O27" i="63"/>
  <c r="O85" i="63"/>
  <c r="AF191" i="63"/>
  <c r="AC200" i="63"/>
  <c r="AC372" i="63"/>
  <c r="AF359" i="63"/>
  <c r="AD27" i="63"/>
  <c r="AD28" i="63"/>
  <c r="AD29" i="63"/>
  <c r="AD30" i="63"/>
  <c r="AD31" i="63"/>
  <c r="AF22" i="63"/>
  <c r="AG22" i="63" s="1"/>
  <c r="AD26" i="63"/>
  <c r="AD22" i="63"/>
  <c r="AF27" i="63"/>
  <c r="AF31" i="63"/>
  <c r="O43" i="63"/>
  <c r="O69" i="63"/>
  <c r="R121" i="63"/>
  <c r="R109" i="63"/>
  <c r="R101" i="63"/>
  <c r="R83" i="63"/>
  <c r="R112" i="63"/>
  <c r="R100" i="63"/>
  <c r="R97" i="63"/>
  <c r="R81" i="63"/>
  <c r="R76" i="63"/>
  <c r="R67" i="63"/>
  <c r="R111" i="63"/>
  <c r="R84" i="63"/>
  <c r="R118" i="63"/>
  <c r="R115" i="63"/>
  <c r="R82" i="63"/>
  <c r="R70" i="63"/>
  <c r="R114" i="63"/>
  <c r="R96" i="63"/>
  <c r="R92" i="63"/>
  <c r="R75" i="63"/>
  <c r="R108" i="63"/>
  <c r="R105" i="63"/>
  <c r="R102" i="63"/>
  <c r="R85" i="63"/>
  <c r="R119" i="63"/>
  <c r="R107" i="63"/>
  <c r="R103" i="63"/>
  <c r="R89" i="63"/>
  <c r="R79" i="63"/>
  <c r="R74" i="63"/>
  <c r="R71" i="63"/>
  <c r="R93" i="63"/>
  <c r="R87" i="63"/>
  <c r="R110" i="63"/>
  <c r="R117" i="63"/>
  <c r="R106" i="63"/>
  <c r="R98" i="63"/>
  <c r="O108" i="63"/>
  <c r="O113" i="63"/>
  <c r="O117" i="63"/>
  <c r="P157" i="63"/>
  <c r="P175" i="63"/>
  <c r="O40" i="63"/>
  <c r="O18" i="63"/>
  <c r="O62" i="63"/>
  <c r="O59" i="63"/>
  <c r="O56" i="63"/>
  <c r="O48" i="63"/>
  <c r="O32" i="63"/>
  <c r="O35" i="63"/>
  <c r="O53" i="63"/>
  <c r="O45" i="63"/>
  <c r="O15" i="63"/>
  <c r="O12" i="63"/>
  <c r="O61" i="63"/>
  <c r="O50" i="63"/>
  <c r="O42" i="63"/>
  <c r="O22" i="63"/>
  <c r="O46" i="63"/>
  <c r="O28" i="63"/>
  <c r="O24" i="63"/>
  <c r="O60" i="63"/>
  <c r="O49" i="63"/>
  <c r="O14" i="63"/>
  <c r="O52" i="63"/>
  <c r="O29" i="63"/>
  <c r="O64" i="63"/>
  <c r="O36" i="63"/>
  <c r="O25" i="63"/>
  <c r="O21" i="63"/>
  <c r="O55" i="63"/>
  <c r="O41" i="63"/>
  <c r="O13" i="63"/>
  <c r="O57" i="63"/>
  <c r="O104" i="63"/>
  <c r="AG126" i="63" a="1"/>
  <c r="AG126" i="63" s="1"/>
  <c r="O26" i="63"/>
  <c r="AG13" i="63" a="1"/>
  <c r="AG13" i="63" s="1"/>
  <c r="O63" i="63"/>
  <c r="P162" i="63"/>
  <c r="O23" i="63"/>
  <c r="O84" i="63"/>
  <c r="AC146" i="63"/>
  <c r="P147" i="63"/>
  <c r="O201" i="63"/>
  <c r="O195" i="63"/>
  <c r="O190" i="63"/>
  <c r="O181" i="63"/>
  <c r="O228" i="63"/>
  <c r="O225" i="63"/>
  <c r="O217" i="63"/>
  <c r="O209" i="63"/>
  <c r="O196" i="63"/>
  <c r="O231" i="63"/>
  <c r="O222" i="63"/>
  <c r="O214" i="63"/>
  <c r="O198" i="63"/>
  <c r="O219" i="63"/>
  <c r="O211" i="63"/>
  <c r="O199" i="63"/>
  <c r="O226" i="63"/>
  <c r="O193" i="63"/>
  <c r="O212" i="63"/>
  <c r="O189" i="63"/>
  <c r="O186" i="63"/>
  <c r="O223" i="63"/>
  <c r="O185" i="63"/>
  <c r="O215" i="63"/>
  <c r="O200" i="63"/>
  <c r="O188" i="63"/>
  <c r="O230" i="63"/>
  <c r="O197" i="63"/>
  <c r="O229" i="63"/>
  <c r="O218" i="63"/>
  <c r="O194" i="63"/>
  <c r="O203" i="63"/>
  <c r="O232" i="63"/>
  <c r="O191" i="63"/>
  <c r="O224" i="63"/>
  <c r="O202" i="63"/>
  <c r="O207" i="63"/>
  <c r="O220" i="63"/>
  <c r="O208" i="63"/>
  <c r="O184" i="63"/>
  <c r="AC257" i="63"/>
  <c r="AF246" i="63"/>
  <c r="AG246" i="63" s="1"/>
  <c r="O343" i="63"/>
  <c r="AC89" i="63"/>
  <c r="P136" i="63"/>
  <c r="P158" i="63"/>
  <c r="P228" i="63"/>
  <c r="P225" i="63"/>
  <c r="P217" i="63"/>
  <c r="P209" i="63"/>
  <c r="P196" i="63"/>
  <c r="P184" i="63"/>
  <c r="P197" i="63"/>
  <c r="P231" i="63"/>
  <c r="P222" i="63"/>
  <c r="P214" i="63"/>
  <c r="P204" i="63"/>
  <c r="P208" i="63"/>
  <c r="P212" i="63"/>
  <c r="P198" i="63"/>
  <c r="P189" i="63"/>
  <c r="P186" i="63"/>
  <c r="P229" i="63"/>
  <c r="P202" i="63"/>
  <c r="P219" i="63"/>
  <c r="P211" i="63"/>
  <c r="P185" i="63"/>
  <c r="P215" i="63"/>
  <c r="P200" i="63"/>
  <c r="P193" i="63"/>
  <c r="P188" i="63"/>
  <c r="P181" i="63"/>
  <c r="P218" i="63"/>
  <c r="P194" i="63"/>
  <c r="P230" i="63"/>
  <c r="P226" i="63"/>
  <c r="P210" i="63"/>
  <c r="P232" i="63"/>
  <c r="P191" i="63"/>
  <c r="P224" i="63"/>
  <c r="P213" i="63"/>
  <c r="P192" i="63"/>
  <c r="P220" i="63"/>
  <c r="P190" i="63"/>
  <c r="P207" i="63"/>
  <c r="P201" i="63"/>
  <c r="X210" i="63"/>
  <c r="P223" i="63"/>
  <c r="AF134" i="63"/>
  <c r="Q197" i="63"/>
  <c r="Q231" i="63"/>
  <c r="Q222" i="63"/>
  <c r="Q214" i="63"/>
  <c r="Q198" i="63"/>
  <c r="Q219" i="63"/>
  <c r="Q211" i="63"/>
  <c r="Q199" i="63"/>
  <c r="Q230" i="63"/>
  <c r="Q227" i="63"/>
  <c r="Q224" i="63"/>
  <c r="Q216" i="63"/>
  <c r="Q200" i="63"/>
  <c r="Q186" i="63"/>
  <c r="Q183" i="63"/>
  <c r="Q229" i="63"/>
  <c r="Q202" i="63"/>
  <c r="Q215" i="63"/>
  <c r="Q207" i="63"/>
  <c r="Q194" i="63"/>
  <c r="Q182" i="63"/>
  <c r="Q193" i="63"/>
  <c r="Q188" i="63"/>
  <c r="Q181" i="63"/>
  <c r="Q226" i="63"/>
  <c r="Q210" i="63"/>
  <c r="Q218" i="63"/>
  <c r="Q225" i="63"/>
  <c r="Q204" i="63"/>
  <c r="Q184" i="63"/>
  <c r="Q220" i="63"/>
  <c r="Q209" i="63"/>
  <c r="Q185" i="63"/>
  <c r="Q228" i="63"/>
  <c r="Q223" i="63"/>
  <c r="Q208" i="63"/>
  <c r="Q190" i="63"/>
  <c r="Q201" i="63"/>
  <c r="Q213" i="63"/>
  <c r="Q192" i="63"/>
  <c r="Q189" i="63"/>
  <c r="O210" i="63"/>
  <c r="Q217" i="63"/>
  <c r="AC314" i="63"/>
  <c r="AF303" i="63"/>
  <c r="O118" i="63"/>
  <c r="O107" i="63"/>
  <c r="O99" i="63"/>
  <c r="O115" i="63"/>
  <c r="O91" i="63"/>
  <c r="O119" i="63"/>
  <c r="O78" i="63"/>
  <c r="O112" i="63"/>
  <c r="O93" i="63"/>
  <c r="O79" i="63"/>
  <c r="O109" i="63"/>
  <c r="O106" i="63"/>
  <c r="O103" i="63"/>
  <c r="O89" i="63"/>
  <c r="O80" i="63"/>
  <c r="O82" i="63"/>
  <c r="O70" i="63"/>
  <c r="O100" i="63"/>
  <c r="O97" i="63"/>
  <c r="O81" i="63"/>
  <c r="O76" i="63"/>
  <c r="O67" i="63"/>
  <c r="O92" i="63"/>
  <c r="O83" i="63"/>
  <c r="O111" i="63"/>
  <c r="O86" i="63"/>
  <c r="O75" i="63"/>
  <c r="O72" i="63"/>
  <c r="O110" i="63"/>
  <c r="O114" i="63"/>
  <c r="O74" i="63"/>
  <c r="O71" i="63"/>
  <c r="O102" i="63"/>
  <c r="O87" i="63"/>
  <c r="O296" i="63"/>
  <c r="P153" i="63"/>
  <c r="P141" i="63"/>
  <c r="P173" i="63"/>
  <c r="P167" i="63"/>
  <c r="P164" i="63"/>
  <c r="P142" i="63"/>
  <c r="P132" i="63"/>
  <c r="P168" i="63"/>
  <c r="P128" i="63"/>
  <c r="P155" i="63"/>
  <c r="P145" i="63"/>
  <c r="P139" i="63"/>
  <c r="P174" i="63"/>
  <c r="P161" i="63"/>
  <c r="P140" i="63"/>
  <c r="P124" i="63"/>
  <c r="P178" i="63"/>
  <c r="P170" i="63"/>
  <c r="P134" i="63"/>
  <c r="P146" i="63"/>
  <c r="P160" i="63"/>
  <c r="P126" i="63"/>
  <c r="P172" i="63"/>
  <c r="P133" i="63"/>
  <c r="P171" i="63"/>
  <c r="P177" i="63"/>
  <c r="P144" i="63"/>
  <c r="P163" i="63"/>
  <c r="P156" i="63"/>
  <c r="P138" i="63"/>
  <c r="P176" i="63"/>
  <c r="P150" i="63"/>
  <c r="P135" i="63"/>
  <c r="P129" i="63"/>
  <c r="P125" i="63"/>
  <c r="O39" i="63"/>
  <c r="O44" i="63"/>
  <c r="O54" i="63"/>
  <c r="O58" i="63"/>
  <c r="P127" i="63"/>
  <c r="P154" i="63"/>
  <c r="O335" i="63"/>
  <c r="P62" i="63"/>
  <c r="P59" i="63"/>
  <c r="P56" i="63"/>
  <c r="P48" i="63"/>
  <c r="P32" i="63"/>
  <c r="P35" i="63"/>
  <c r="P53" i="63"/>
  <c r="P45" i="63"/>
  <c r="P15" i="63"/>
  <c r="P12" i="63"/>
  <c r="P61" i="63"/>
  <c r="P50" i="63"/>
  <c r="P39" i="63"/>
  <c r="P21" i="63"/>
  <c r="P58" i="63"/>
  <c r="P34" i="63"/>
  <c r="P23" i="63"/>
  <c r="P41" i="63"/>
  <c r="R44" i="63"/>
  <c r="R48" i="63"/>
  <c r="P55" i="63"/>
  <c r="R59" i="63"/>
  <c r="O163" i="63"/>
  <c r="AG237" i="63" a="1"/>
  <c r="AG237" i="63" s="1"/>
  <c r="AD364" i="63"/>
  <c r="AD365" i="63"/>
  <c r="AD366" i="63"/>
  <c r="AD367" i="63"/>
  <c r="AD369" i="63"/>
  <c r="AD360" i="63"/>
  <c r="AF364" i="63"/>
  <c r="AD361" i="63"/>
  <c r="AD371" i="63"/>
  <c r="AD362" i="63"/>
  <c r="AD370" i="63"/>
  <c r="P25" i="63"/>
  <c r="P36" i="63"/>
  <c r="P64" i="63"/>
  <c r="O133" i="63"/>
  <c r="O144" i="63"/>
  <c r="O394" i="63"/>
  <c r="O386" i="63"/>
  <c r="O370" i="63"/>
  <c r="O354" i="63"/>
  <c r="O351" i="63"/>
  <c r="O402" i="63"/>
  <c r="O376" i="63"/>
  <c r="O356" i="63"/>
  <c r="O391" i="63"/>
  <c r="O383" i="63"/>
  <c r="O371" i="63"/>
  <c r="O399" i="63"/>
  <c r="O380" i="63"/>
  <c r="O375" i="63"/>
  <c r="O359" i="63"/>
  <c r="O384" i="63"/>
  <c r="O405" i="63"/>
  <c r="O401" i="63"/>
  <c r="O387" i="63"/>
  <c r="O379" i="63"/>
  <c r="O373" i="63"/>
  <c r="O352" i="63"/>
  <c r="O390" i="63"/>
  <c r="O363" i="63"/>
  <c r="O372" i="63"/>
  <c r="O360" i="63"/>
  <c r="O349" i="63"/>
  <c r="O353" i="63"/>
  <c r="O396" i="63"/>
  <c r="O388" i="63"/>
  <c r="O369" i="63"/>
  <c r="O400" i="63"/>
  <c r="O366" i="63"/>
  <c r="O357" i="63"/>
  <c r="O404" i="63"/>
  <c r="O392" i="63"/>
  <c r="O361" i="63"/>
  <c r="X382" i="63"/>
  <c r="O172" i="63"/>
  <c r="O382" i="63"/>
  <c r="P52" i="63"/>
  <c r="R53" i="63"/>
  <c r="R45" i="63"/>
  <c r="R15" i="63"/>
  <c r="R12" i="63"/>
  <c r="R39" i="63"/>
  <c r="R21" i="63"/>
  <c r="R61" i="63"/>
  <c r="R50" i="63"/>
  <c r="R42" i="63"/>
  <c r="R22" i="63"/>
  <c r="R55" i="63"/>
  <c r="R58" i="63"/>
  <c r="R34" i="63"/>
  <c r="R23" i="63"/>
  <c r="R64" i="63"/>
  <c r="R25" i="63"/>
  <c r="R20" i="63"/>
  <c r="R11" i="63"/>
  <c r="P14" i="63"/>
  <c r="R36" i="63"/>
  <c r="O126" i="63"/>
  <c r="O160" i="63"/>
  <c r="R29" i="63"/>
  <c r="X42" i="63"/>
  <c r="P49" i="63"/>
  <c r="R52" i="63"/>
  <c r="R56" i="63"/>
  <c r="P60" i="63"/>
  <c r="AD144" i="63"/>
  <c r="AD134" i="63"/>
  <c r="AD135" i="63"/>
  <c r="AD142" i="63"/>
  <c r="AD136" i="63"/>
  <c r="AD143" i="63"/>
  <c r="AD137" i="63"/>
  <c r="AD139" i="63"/>
  <c r="O368" i="63"/>
  <c r="AF30" i="63"/>
  <c r="O167" i="63"/>
  <c r="O159" i="63"/>
  <c r="O178" i="63"/>
  <c r="O177" i="63"/>
  <c r="O170" i="63"/>
  <c r="O156" i="63"/>
  <c r="O140" i="63"/>
  <c r="O141" i="63"/>
  <c r="O171" i="63"/>
  <c r="O165" i="63"/>
  <c r="O147" i="63"/>
  <c r="O138" i="63"/>
  <c r="O131" i="63"/>
  <c r="O168" i="63"/>
  <c r="O128" i="63"/>
  <c r="O174" i="63"/>
  <c r="O161" i="63"/>
  <c r="O124" i="63"/>
  <c r="O145" i="63"/>
  <c r="O139" i="63"/>
  <c r="O164" i="63"/>
  <c r="O158" i="63"/>
  <c r="O155" i="63"/>
  <c r="O134" i="63"/>
  <c r="O137" i="63"/>
  <c r="O157" i="63"/>
  <c r="AD303" i="63"/>
  <c r="AD304" i="63"/>
  <c r="AD305" i="63"/>
  <c r="AD306" i="63"/>
  <c r="AD308" i="63"/>
  <c r="AD312" i="63"/>
  <c r="AD309" i="63"/>
  <c r="AD313" i="63"/>
  <c r="AF369" i="63"/>
  <c r="Q24" i="63"/>
  <c r="Q47" i="63"/>
  <c r="Q55" i="63"/>
  <c r="Q175" i="63"/>
  <c r="Q164" i="63"/>
  <c r="Q156" i="63"/>
  <c r="Q173" i="63"/>
  <c r="Q167" i="63"/>
  <c r="Q142" i="63"/>
  <c r="Q132" i="63"/>
  <c r="Q147" i="63"/>
  <c r="Q143" i="63"/>
  <c r="Q141" i="63"/>
  <c r="Q146" i="63"/>
  <c r="Q150" i="63"/>
  <c r="AD250" i="63"/>
  <c r="AD251" i="63"/>
  <c r="AD252" i="63"/>
  <c r="AD253" i="63"/>
  <c r="AD255" i="63"/>
  <c r="AD256" i="63"/>
  <c r="AD248" i="63"/>
  <c r="R249" i="63"/>
  <c r="R252" i="63"/>
  <c r="AF253" i="63"/>
  <c r="AG253" i="63" s="1"/>
  <c r="R268" i="63"/>
  <c r="O272" i="63"/>
  <c r="O280" i="63"/>
  <c r="O289" i="63"/>
  <c r="Q22" i="63"/>
  <c r="Q42" i="63"/>
  <c r="Q50" i="63"/>
  <c r="Q61" i="63"/>
  <c r="R134" i="63"/>
  <c r="Q155" i="63"/>
  <c r="Q158" i="63"/>
  <c r="R170" i="63"/>
  <c r="R178" i="63"/>
  <c r="P276" i="63"/>
  <c r="P268" i="63"/>
  <c r="P256" i="63"/>
  <c r="P242" i="63"/>
  <c r="P284" i="63"/>
  <c r="P265" i="63"/>
  <c r="P290" i="63"/>
  <c r="P281" i="63"/>
  <c r="P273" i="63"/>
  <c r="P257" i="63"/>
  <c r="P260" i="63"/>
  <c r="P239" i="63"/>
  <c r="P236" i="63"/>
  <c r="P286" i="63"/>
  <c r="P264" i="63"/>
  <c r="P246" i="63"/>
  <c r="P274" i="63"/>
  <c r="P254" i="63"/>
  <c r="P288" i="63"/>
  <c r="P270" i="63"/>
  <c r="P277" i="63"/>
  <c r="P261" i="63"/>
  <c r="O248" i="63"/>
  <c r="O264" i="63"/>
  <c r="O285" i="63"/>
  <c r="Q21" i="63"/>
  <c r="Q39" i="63"/>
  <c r="Q70" i="63"/>
  <c r="P76" i="63"/>
  <c r="P81" i="63"/>
  <c r="Q82" i="63"/>
  <c r="AD87" i="63"/>
  <c r="P97" i="63"/>
  <c r="Q115" i="63"/>
  <c r="Q118" i="63"/>
  <c r="Q124" i="63"/>
  <c r="Q140" i="63"/>
  <c r="R155" i="63"/>
  <c r="Q161" i="63"/>
  <c r="Q174" i="63"/>
  <c r="Q284" i="63"/>
  <c r="Q265" i="63"/>
  <c r="Q290" i="63"/>
  <c r="Q281" i="63"/>
  <c r="Q273" i="63"/>
  <c r="Q257" i="63"/>
  <c r="Q260" i="63"/>
  <c r="Q239" i="63"/>
  <c r="Q236" i="63"/>
  <c r="Q278" i="63"/>
  <c r="Q270" i="63"/>
  <c r="Q245" i="63"/>
  <c r="Q275" i="63"/>
  <c r="Q267" i="63"/>
  <c r="Q247" i="63"/>
  <c r="Q288" i="63"/>
  <c r="Q277" i="63"/>
  <c r="Q261" i="63"/>
  <c r="Q280" i="63"/>
  <c r="Q255" i="63"/>
  <c r="Q251" i="63"/>
  <c r="P248" i="63"/>
  <c r="O251" i="63"/>
  <c r="Q254" i="63"/>
  <c r="Q264" i="63"/>
  <c r="R272" i="63"/>
  <c r="P285" i="63"/>
  <c r="R172" i="63"/>
  <c r="R148" i="63"/>
  <c r="R174" i="63"/>
  <c r="R171" i="63"/>
  <c r="R164" i="63"/>
  <c r="R147" i="63"/>
  <c r="R143" i="63"/>
  <c r="R176" i="63"/>
  <c r="R161" i="63"/>
  <c r="R144" i="63"/>
  <c r="AF137" i="63"/>
  <c r="AG137" i="63" s="1"/>
  <c r="R141" i="63"/>
  <c r="R167" i="63"/>
  <c r="O287" i="63"/>
  <c r="O261" i="63"/>
  <c r="O240" i="63"/>
  <c r="O237" i="63"/>
  <c r="O276" i="63"/>
  <c r="O268" i="63"/>
  <c r="O256" i="63"/>
  <c r="O242" i="63"/>
  <c r="O284" i="63"/>
  <c r="O265" i="63"/>
  <c r="O290" i="63"/>
  <c r="O281" i="63"/>
  <c r="O273" i="63"/>
  <c r="O257" i="63"/>
  <c r="O278" i="63"/>
  <c r="O270" i="63"/>
  <c r="O245" i="63"/>
  <c r="O250" i="63"/>
  <c r="O246" i="63"/>
  <c r="O244" i="63"/>
  <c r="O236" i="63"/>
  <c r="O274" i="63"/>
  <c r="O254" i="63"/>
  <c r="O288" i="63"/>
  <c r="AF306" i="63"/>
  <c r="Q12" i="63"/>
  <c r="Q15" i="63"/>
  <c r="Q45" i="63"/>
  <c r="Q53" i="63"/>
  <c r="Q67" i="63"/>
  <c r="P115" i="63"/>
  <c r="P91" i="63"/>
  <c r="P112" i="63"/>
  <c r="P104" i="63"/>
  <c r="Q76" i="63"/>
  <c r="P80" i="63"/>
  <c r="Q81" i="63"/>
  <c r="P89" i="63"/>
  <c r="Q97" i="63"/>
  <c r="P103" i="63"/>
  <c r="P106" i="63"/>
  <c r="P109" i="63"/>
  <c r="R124" i="63"/>
  <c r="R140" i="63"/>
  <c r="Q248" i="63"/>
  <c r="AD249" i="63"/>
  <c r="P251" i="63"/>
  <c r="R254" i="63"/>
  <c r="O258" i="63"/>
  <c r="P269" i="63"/>
  <c r="O277" i="63"/>
  <c r="Q285" i="63"/>
  <c r="AF367" i="63"/>
  <c r="R146" i="63"/>
  <c r="R150" i="63"/>
  <c r="Q112" i="63"/>
  <c r="Q104" i="63"/>
  <c r="Q121" i="63"/>
  <c r="Q80" i="63"/>
  <c r="AD86" i="63"/>
  <c r="Q89" i="63"/>
  <c r="Q103" i="63"/>
  <c r="Q106" i="63"/>
  <c r="Q109" i="63"/>
  <c r="Q139" i="63"/>
  <c r="Q145" i="63"/>
  <c r="O238" i="63"/>
  <c r="R290" i="63"/>
  <c r="R281" i="63"/>
  <c r="R273" i="63"/>
  <c r="R257" i="63"/>
  <c r="R260" i="63"/>
  <c r="R239" i="63"/>
  <c r="R236" i="63"/>
  <c r="R278" i="63"/>
  <c r="R270" i="63"/>
  <c r="R245" i="63"/>
  <c r="R286" i="63"/>
  <c r="R264" i="63"/>
  <c r="R246" i="63"/>
  <c r="R289" i="63"/>
  <c r="R283" i="63"/>
  <c r="R259" i="63"/>
  <c r="R248" i="63"/>
  <c r="R277" i="63"/>
  <c r="R261" i="63"/>
  <c r="R280" i="63"/>
  <c r="R255" i="63"/>
  <c r="R251" i="63"/>
  <c r="R243" i="63"/>
  <c r="R240" i="63"/>
  <c r="R284" i="63"/>
  <c r="R266" i="63"/>
  <c r="AF255" i="63"/>
  <c r="P258" i="63"/>
  <c r="R285" i="63"/>
  <c r="AF305" i="63"/>
  <c r="P402" i="63"/>
  <c r="P376" i="63"/>
  <c r="P356" i="63"/>
  <c r="P391" i="63"/>
  <c r="P383" i="63"/>
  <c r="P371" i="63"/>
  <c r="P399" i="63"/>
  <c r="P380" i="63"/>
  <c r="P405" i="63"/>
  <c r="P396" i="63"/>
  <c r="P388" i="63"/>
  <c r="P372" i="63"/>
  <c r="P353" i="63"/>
  <c r="P350" i="63"/>
  <c r="P393" i="63"/>
  <c r="P385" i="63"/>
  <c r="P360" i="63"/>
  <c r="P359" i="63"/>
  <c r="P367" i="63"/>
  <c r="P397" i="63"/>
  <c r="Q391" i="63"/>
  <c r="Q383" i="63"/>
  <c r="Q371" i="63"/>
  <c r="Q399" i="63"/>
  <c r="Q380" i="63"/>
  <c r="Q405" i="63"/>
  <c r="Q396" i="63"/>
  <c r="Q388" i="63"/>
  <c r="Q372" i="63"/>
  <c r="Q353" i="63"/>
  <c r="Q350" i="63"/>
  <c r="Q375" i="63"/>
  <c r="Q359" i="63"/>
  <c r="Q401" i="63"/>
  <c r="Q379" i="63"/>
  <c r="Q361" i="63"/>
  <c r="P363" i="63"/>
  <c r="Q367" i="63"/>
  <c r="P390" i="63"/>
  <c r="P394" i="63"/>
  <c r="Q397" i="63"/>
  <c r="AF252" i="63"/>
  <c r="AG252" i="63" s="1"/>
  <c r="P342" i="63"/>
  <c r="P339" i="63"/>
  <c r="P331" i="63"/>
  <c r="P323" i="63"/>
  <c r="P310" i="63"/>
  <c r="P311" i="63"/>
  <c r="P301" i="63"/>
  <c r="P345" i="63"/>
  <c r="P336" i="63"/>
  <c r="P328" i="63"/>
  <c r="P312" i="63"/>
  <c r="P318" i="63"/>
  <c r="P322" i="63"/>
  <c r="P300" i="63"/>
  <c r="P314" i="63"/>
  <c r="Q324" i="63"/>
  <c r="P346" i="63"/>
  <c r="P352" i="63"/>
  <c r="Q363" i="63"/>
  <c r="P373" i="63"/>
  <c r="Q390" i="63"/>
  <c r="Q394" i="63"/>
  <c r="X267" i="63"/>
  <c r="Q311" i="63"/>
  <c r="Q301" i="63"/>
  <c r="Q345" i="63"/>
  <c r="Q336" i="63"/>
  <c r="Q328" i="63"/>
  <c r="Q312" i="63"/>
  <c r="Q318" i="63"/>
  <c r="Q333" i="63"/>
  <c r="Q325" i="63"/>
  <c r="Q313" i="63"/>
  <c r="Q298" i="63"/>
  <c r="Q295" i="63"/>
  <c r="Q344" i="63"/>
  <c r="Q341" i="63"/>
  <c r="Q338" i="63"/>
  <c r="Q330" i="63"/>
  <c r="Q314" i="63"/>
  <c r="AG295" i="63" a="1"/>
  <c r="AG295" i="63" s="1"/>
  <c r="Q346" i="63"/>
  <c r="Q352" i="63"/>
  <c r="Q373" i="63"/>
  <c r="P379" i="63"/>
  <c r="P387" i="63"/>
  <c r="P401" i="63"/>
  <c r="R362" i="63"/>
  <c r="R382" i="63"/>
  <c r="R390" i="63"/>
  <c r="R360" i="63"/>
  <c r="R385" i="63"/>
  <c r="R393" i="63"/>
  <c r="R359" i="63"/>
  <c r="R375" i="63"/>
  <c r="R350" i="63"/>
  <c r="R353" i="63"/>
  <c r="R372" i="63"/>
  <c r="R388" i="63"/>
  <c r="R396" i="63"/>
  <c r="R405" i="63"/>
  <c r="R380" i="63"/>
  <c r="BK275" i="54"/>
  <c r="BK190" i="54"/>
  <c r="BK130" i="54"/>
  <c r="BK75" i="54"/>
  <c r="BK26" i="54"/>
  <c r="AP26" i="54"/>
  <c r="AP75" i="54"/>
  <c r="AP130" i="54"/>
  <c r="AP190" i="54"/>
  <c r="AP275" i="54"/>
  <c r="U275" i="54"/>
  <c r="U190" i="54"/>
  <c r="U26" i="54"/>
  <c r="U75" i="54"/>
  <c r="U130" i="54"/>
  <c r="AG2" i="63"/>
  <c r="AF2" i="63"/>
  <c r="AE2" i="63"/>
  <c r="AD2" i="63"/>
  <c r="AC2" i="63"/>
  <c r="AB2" i="63"/>
  <c r="AA2" i="63"/>
  <c r="Z2" i="63"/>
  <c r="Y2" i="63"/>
  <c r="X2" i="63"/>
  <c r="W2" i="63"/>
  <c r="V2" i="63"/>
  <c r="U2" i="63"/>
  <c r="T2" i="63"/>
  <c r="S2" i="63"/>
  <c r="R2" i="63"/>
  <c r="Q2" i="63"/>
  <c r="P2" i="63"/>
  <c r="O2" i="63"/>
  <c r="N2" i="63"/>
  <c r="AG1" i="63"/>
  <c r="AF1" i="63"/>
  <c r="AE1" i="63"/>
  <c r="AD1" i="63"/>
  <c r="AC1" i="63"/>
  <c r="AB1" i="63"/>
  <c r="AA1" i="63"/>
  <c r="Z1" i="63"/>
  <c r="Y1" i="63"/>
  <c r="X1" i="63"/>
  <c r="W1" i="63"/>
  <c r="V1" i="63"/>
  <c r="U1" i="63"/>
  <c r="T1" i="63"/>
  <c r="S1" i="63"/>
  <c r="R1" i="63"/>
  <c r="Q1" i="63"/>
  <c r="P1" i="63"/>
  <c r="O1" i="63"/>
  <c r="N1" i="63"/>
  <c r="AX726" i="63"/>
  <c r="AV726" i="63"/>
  <c r="AS4" i="63" s="1"/>
  <c r="M656" i="63"/>
  <c r="M655" i="63"/>
  <c r="AS427" i="63"/>
  <c r="AR427" i="63"/>
  <c r="AQ427" i="63"/>
  <c r="AP427" i="63"/>
  <c r="AO427" i="63"/>
  <c r="AN427" i="63"/>
  <c r="AM427" i="63"/>
  <c r="AM417" i="63"/>
  <c r="AM415" i="63"/>
  <c r="AQ406" i="63"/>
  <c r="AP406" i="63"/>
  <c r="AN406" i="63"/>
  <c r="AM406" i="63"/>
  <c r="AQ405" i="63"/>
  <c r="AP405" i="63"/>
  <c r="AN405" i="63"/>
  <c r="AM405" i="63"/>
  <c r="AM394" i="63"/>
  <c r="AM393" i="63"/>
  <c r="AO276" i="63"/>
  <c r="AQ275" i="63"/>
  <c r="AN277" i="63" s="1"/>
  <c r="AO272" i="63"/>
  <c r="AO271" i="63"/>
  <c r="AQ268" i="63"/>
  <c r="AN273" i="63" s="1"/>
  <c r="AQ266" i="63"/>
  <c r="M42" i="63"/>
  <c r="M39" i="63"/>
  <c r="AO22" i="63"/>
  <c r="AS2" i="63"/>
  <c r="AR2" i="63"/>
  <c r="AQ2" i="63"/>
  <c r="AP2" i="63"/>
  <c r="AO2" i="63"/>
  <c r="AN2" i="63"/>
  <c r="AM2" i="63"/>
  <c r="AK2" i="63"/>
  <c r="AJ2" i="63"/>
  <c r="AX1" i="63"/>
  <c r="AW1" i="63"/>
  <c r="AS1" i="63"/>
  <c r="AR1" i="63"/>
  <c r="AQ1" i="63"/>
  <c r="AP1" i="63"/>
  <c r="AO1" i="63"/>
  <c r="AN1" i="63"/>
  <c r="AM1" i="63"/>
  <c r="AK1" i="63"/>
  <c r="AJ1" i="63"/>
  <c r="A1" i="63"/>
  <c r="CQ11" i="13"/>
  <c r="CQ10" i="13"/>
  <c r="BH11" i="13"/>
  <c r="BH10" i="13"/>
  <c r="U11" i="13"/>
  <c r="U10" i="13"/>
  <c r="BI11" i="13"/>
  <c r="CR11" i="13"/>
  <c r="CR10" i="13"/>
  <c r="BI10" i="13"/>
  <c r="F167" i="106" l="1"/>
  <c r="E167" i="106"/>
  <c r="D169" i="106" s="1" a="1"/>
  <c r="D169" i="106" s="1"/>
  <c r="X415" i="63"/>
  <c r="X417" i="63" s="1"/>
  <c r="R329" i="63"/>
  <c r="X418" i="63"/>
  <c r="R211" i="63"/>
  <c r="R208" i="63"/>
  <c r="R204" i="63"/>
  <c r="R197" i="63"/>
  <c r="R229" i="63"/>
  <c r="R189" i="63"/>
  <c r="R225" i="63"/>
  <c r="R203" i="63"/>
  <c r="R341" i="63"/>
  <c r="AF89" i="63"/>
  <c r="R343" i="63"/>
  <c r="R345" i="63"/>
  <c r="R217" i="63"/>
  <c r="R221" i="63"/>
  <c r="R210" i="63"/>
  <c r="R219" i="63"/>
  <c r="R223" i="63"/>
  <c r="R228" i="63"/>
  <c r="R224" i="63"/>
  <c r="R323" i="63"/>
  <c r="R198" i="63"/>
  <c r="R213" i="63"/>
  <c r="R184" i="63"/>
  <c r="R214" i="63"/>
  <c r="R340" i="63"/>
  <c r="R295" i="63"/>
  <c r="X106" i="63"/>
  <c r="X107" i="63" s="1"/>
  <c r="R201" i="63"/>
  <c r="R200" i="63"/>
  <c r="R222" i="63"/>
  <c r="R332" i="63"/>
  <c r="R321" i="63"/>
  <c r="R298" i="63"/>
  <c r="R195" i="63"/>
  <c r="R226" i="63"/>
  <c r="R231" i="63"/>
  <c r="R316" i="63"/>
  <c r="R297" i="63"/>
  <c r="R326" i="63"/>
  <c r="R313" i="63"/>
  <c r="R314" i="63"/>
  <c r="R331" i="63"/>
  <c r="R190" i="63"/>
  <c r="R218" i="63"/>
  <c r="R302" i="63"/>
  <c r="R337" i="63"/>
  <c r="R325" i="63"/>
  <c r="R338" i="63"/>
  <c r="R296" i="63"/>
  <c r="R192" i="63"/>
  <c r="R185" i="63"/>
  <c r="R182" i="63"/>
  <c r="R306" i="63"/>
  <c r="R294" i="63"/>
  <c r="R339" i="63"/>
  <c r="R309" i="63"/>
  <c r="R293" i="63"/>
  <c r="R335" i="63"/>
  <c r="R330" i="63"/>
  <c r="R324" i="63"/>
  <c r="R322" i="63"/>
  <c r="R202" i="63"/>
  <c r="R194" i="63"/>
  <c r="R304" i="63"/>
  <c r="R342" i="63"/>
  <c r="R303" i="63"/>
  <c r="R318" i="63"/>
  <c r="R209" i="63"/>
  <c r="R310" i="63"/>
  <c r="R307" i="63"/>
  <c r="R312" i="63"/>
  <c r="R346" i="63"/>
  <c r="R315" i="63"/>
  <c r="R232" i="63"/>
  <c r="R216" i="63"/>
  <c r="R196" i="63"/>
  <c r="R183" i="63"/>
  <c r="R212" i="63"/>
  <c r="R181" i="63"/>
  <c r="R191" i="63"/>
  <c r="R227" i="63"/>
  <c r="R199" i="63"/>
  <c r="R193" i="63"/>
  <c r="R230" i="63"/>
  <c r="R220" i="63"/>
  <c r="R215" i="63"/>
  <c r="R344" i="63"/>
  <c r="R327" i="63"/>
  <c r="R328" i="63"/>
  <c r="R301" i="63"/>
  <c r="R308" i="63"/>
  <c r="R317" i="63"/>
  <c r="R300" i="63"/>
  <c r="R305" i="63"/>
  <c r="R186" i="63"/>
  <c r="R188" i="63"/>
  <c r="R311" i="63"/>
  <c r="R334" i="63"/>
  <c r="R336" i="63"/>
  <c r="AF146" i="63"/>
  <c r="U298" i="63"/>
  <c r="W298" i="63" s="1" a="1"/>
  <c r="W298" i="63" s="1"/>
  <c r="AB303" i="63"/>
  <c r="AB305" i="63"/>
  <c r="AA304" i="63"/>
  <c r="AA311" i="63"/>
  <c r="AB308" i="63"/>
  <c r="AA308" i="63"/>
  <c r="AB304" i="63"/>
  <c r="AB311" i="63"/>
  <c r="AA305" i="63"/>
  <c r="AB312" i="63"/>
  <c r="AB309" i="63"/>
  <c r="AA303" i="63"/>
  <c r="AB306" i="63"/>
  <c r="AB313" i="63"/>
  <c r="AA306" i="63"/>
  <c r="AA313" i="63"/>
  <c r="AA309" i="63"/>
  <c r="AB307" i="63"/>
  <c r="AA307" i="63"/>
  <c r="AB310" i="63"/>
  <c r="AA312" i="63"/>
  <c r="AA310" i="63"/>
  <c r="AB361" i="63"/>
  <c r="AA360" i="63"/>
  <c r="AB362" i="63"/>
  <c r="AA361" i="63"/>
  <c r="AB363" i="63"/>
  <c r="AA362" i="63"/>
  <c r="AB364" i="63"/>
  <c r="AA363" i="63"/>
  <c r="AB366" i="63"/>
  <c r="AA365" i="63"/>
  <c r="AB368" i="63"/>
  <c r="AA359" i="63"/>
  <c r="AA368" i="63"/>
  <c r="AA364" i="63"/>
  <c r="AB369" i="63"/>
  <c r="AB360" i="63"/>
  <c r="U354" i="63"/>
  <c r="W354" i="63" s="1" a="1"/>
  <c r="W354" i="63" s="1"/>
  <c r="AB370" i="63"/>
  <c r="AA367" i="63"/>
  <c r="AA370" i="63"/>
  <c r="AB367" i="63"/>
  <c r="AA369" i="63"/>
  <c r="AB359" i="63"/>
  <c r="AA371" i="63"/>
  <c r="AB365" i="63"/>
  <c r="AA366" i="63"/>
  <c r="AB371" i="63"/>
  <c r="AF257" i="63"/>
  <c r="AB87" i="63"/>
  <c r="AA86" i="63"/>
  <c r="AB84" i="63"/>
  <c r="AA83" i="63"/>
  <c r="AB85" i="63"/>
  <c r="AA84" i="63"/>
  <c r="AA85" i="63"/>
  <c r="AB86" i="63"/>
  <c r="AA87" i="63"/>
  <c r="AB83" i="63"/>
  <c r="AB80" i="63"/>
  <c r="AB77" i="63"/>
  <c r="AB88" i="63"/>
  <c r="AA80" i="63"/>
  <c r="AA88" i="63"/>
  <c r="AB81" i="63"/>
  <c r="AB82" i="63"/>
  <c r="AA81" i="63"/>
  <c r="AA78" i="63"/>
  <c r="AB79" i="63"/>
  <c r="AA79" i="63"/>
  <c r="U72" i="63"/>
  <c r="W72" i="63" s="1" a="1"/>
  <c r="W72" i="63" s="1"/>
  <c r="AA82" i="63"/>
  <c r="AA77" i="63"/>
  <c r="AB78" i="63"/>
  <c r="X332" i="63"/>
  <c r="X334" i="63" s="1"/>
  <c r="AB191" i="63"/>
  <c r="AB199" i="63"/>
  <c r="AB195" i="63"/>
  <c r="AA199" i="63"/>
  <c r="AA195" i="63"/>
  <c r="AB194" i="63"/>
  <c r="AA194" i="63"/>
  <c r="AA198" i="63"/>
  <c r="AB198" i="63"/>
  <c r="AA191" i="63"/>
  <c r="AA197" i="63"/>
  <c r="AB192" i="63"/>
  <c r="AA192" i="63"/>
  <c r="AA193" i="63"/>
  <c r="AB193" i="63"/>
  <c r="AA196" i="63"/>
  <c r="AB197" i="63"/>
  <c r="U186" i="63"/>
  <c r="W186" i="63" s="1" a="1"/>
  <c r="W186" i="63" s="1"/>
  <c r="AB196" i="63"/>
  <c r="AF200" i="63"/>
  <c r="AG191" i="63"/>
  <c r="AB24" i="63"/>
  <c r="AA23" i="63"/>
  <c r="AB25" i="63"/>
  <c r="AA24" i="63"/>
  <c r="AB26" i="63"/>
  <c r="AA25" i="63"/>
  <c r="AB27" i="63"/>
  <c r="AA26" i="63"/>
  <c r="AB29" i="63"/>
  <c r="AA28" i="63"/>
  <c r="AB21" i="63"/>
  <c r="AB30" i="63"/>
  <c r="AA21" i="63"/>
  <c r="AA30" i="63"/>
  <c r="AB22" i="63"/>
  <c r="AA29" i="63"/>
  <c r="AA27" i="63"/>
  <c r="AB31" i="63"/>
  <c r="AB28" i="63"/>
  <c r="AA31" i="63"/>
  <c r="AA22" i="63"/>
  <c r="U16" i="63"/>
  <c r="W16" i="63" s="1" a="1"/>
  <c r="W16" i="63" s="1"/>
  <c r="AB23" i="63"/>
  <c r="AF314" i="63"/>
  <c r="X383" i="63"/>
  <c r="X384" i="63" s="1"/>
  <c r="X386" i="63" s="1"/>
  <c r="X211" i="63"/>
  <c r="AF32" i="63"/>
  <c r="AB145" i="63"/>
  <c r="AA145" i="63"/>
  <c r="U129" i="63"/>
  <c r="W129" i="63" s="1" a="1"/>
  <c r="W129" i="63" s="1"/>
  <c r="AB141" i="63"/>
  <c r="AA134" i="63"/>
  <c r="AA142" i="63"/>
  <c r="AB136" i="63"/>
  <c r="AA141" i="63"/>
  <c r="AB135" i="63"/>
  <c r="AB142" i="63"/>
  <c r="AA135" i="63"/>
  <c r="AA136" i="63"/>
  <c r="AB139" i="63"/>
  <c r="AA139" i="63"/>
  <c r="AB144" i="63"/>
  <c r="AA144" i="63"/>
  <c r="AB137" i="63"/>
  <c r="AA137" i="63"/>
  <c r="AB134" i="63"/>
  <c r="AB140" i="63"/>
  <c r="AA140" i="63"/>
  <c r="AB138" i="63"/>
  <c r="AB143" i="63"/>
  <c r="AA138" i="63"/>
  <c r="AA143" i="63"/>
  <c r="AF372" i="63"/>
  <c r="AG359" i="63"/>
  <c r="X167" i="63"/>
  <c r="AB247" i="63"/>
  <c r="AA246" i="63"/>
  <c r="AB248" i="63"/>
  <c r="AA247" i="63"/>
  <c r="AB249" i="63"/>
  <c r="AA248" i="63"/>
  <c r="AB250" i="63"/>
  <c r="AA249" i="63"/>
  <c r="AB252" i="63"/>
  <c r="AA251" i="63"/>
  <c r="U240" i="63"/>
  <c r="W240" i="63" s="1" a="1"/>
  <c r="W240" i="63" s="1"/>
  <c r="AA252" i="63"/>
  <c r="AB255" i="63"/>
  <c r="AB245" i="63"/>
  <c r="AA255" i="63"/>
  <c r="AA245" i="63"/>
  <c r="AB254" i="63"/>
  <c r="AB256" i="63"/>
  <c r="AB251" i="63"/>
  <c r="AA256" i="63"/>
  <c r="AA254" i="63"/>
  <c r="AA250" i="63"/>
  <c r="AB246" i="63"/>
  <c r="AB253" i="63"/>
  <c r="AA253" i="63"/>
  <c r="X44" i="63"/>
  <c r="X45" i="63" s="1"/>
  <c r="X46" i="63" s="1"/>
  <c r="X268" i="63"/>
  <c r="M31" i="63"/>
  <c r="M38" i="63"/>
  <c r="M28" i="63"/>
  <c r="M35" i="63"/>
  <c r="M30" i="63"/>
  <c r="M37" i="63"/>
  <c r="M36" i="63"/>
  <c r="M32" i="63"/>
  <c r="M34" i="63"/>
  <c r="M33" i="63"/>
  <c r="M29" i="63"/>
  <c r="AK9" i="63" a="1"/>
  <c r="AK9" i="63" s="1"/>
  <c r="AX3" i="63"/>
  <c r="BG308" i="54" a="1"/>
  <c r="BG308" i="54" s="1"/>
  <c r="BG307" i="54" a="1"/>
  <c r="BG307" i="54" s="1"/>
  <c r="BG306" i="54" a="1"/>
  <c r="BG306" i="54" s="1"/>
  <c r="BG305" i="54" a="1"/>
  <c r="BG305" i="54" s="1"/>
  <c r="BG304" i="54" a="1"/>
  <c r="BG304" i="54" s="1"/>
  <c r="BG303" i="54" a="1"/>
  <c r="BG303" i="54" s="1"/>
  <c r="BG302" i="54" a="1"/>
  <c r="BG302" i="54" s="1"/>
  <c r="BG301" i="54" a="1"/>
  <c r="BG301" i="54" s="1"/>
  <c r="BG300" i="54" a="1"/>
  <c r="BG300" i="54" s="1"/>
  <c r="BG299" i="54" a="1"/>
  <c r="BG299" i="54" s="1"/>
  <c r="BG298" i="54" a="1"/>
  <c r="BG298" i="54" s="1"/>
  <c r="BG297" i="54" a="1"/>
  <c r="BG297" i="54" s="1"/>
  <c r="BG296" i="54" a="1"/>
  <c r="BG296" i="54" s="1"/>
  <c r="BG295" i="54" a="1"/>
  <c r="BG295" i="54" s="1"/>
  <c r="BG294" i="54" a="1"/>
  <c r="BG294" i="54" s="1"/>
  <c r="BG293" i="54" a="1"/>
  <c r="BG293" i="54" s="1"/>
  <c r="BG292" i="54" a="1"/>
  <c r="BG292" i="54" s="1"/>
  <c r="BG291" i="54" a="1"/>
  <c r="BG291" i="54" s="1"/>
  <c r="BG290" i="54" a="1"/>
  <c r="BG290" i="54" s="1"/>
  <c r="BG289" i="54" a="1"/>
  <c r="BG289" i="54" s="1"/>
  <c r="BG288" i="54" a="1"/>
  <c r="BG288" i="54" s="1"/>
  <c r="BG287" i="54" a="1"/>
  <c r="BG287" i="54" s="1"/>
  <c r="BG286" i="54" a="1"/>
  <c r="BG286" i="54" s="1"/>
  <c r="BG285" i="54" a="1"/>
  <c r="BG285" i="54" s="1"/>
  <c r="BG284" i="54" a="1"/>
  <c r="BG284" i="54" s="1"/>
  <c r="BG283" i="54" a="1"/>
  <c r="BG283" i="54" s="1"/>
  <c r="BG282" i="54" a="1"/>
  <c r="BG282" i="54" s="1"/>
  <c r="BG281" i="54" a="1"/>
  <c r="BG281" i="54" s="1"/>
  <c r="BG280" i="54" a="1"/>
  <c r="BG280" i="54" s="1"/>
  <c r="BG279" i="54" a="1"/>
  <c r="BG279" i="54" s="1"/>
  <c r="AL308" i="54" a="1"/>
  <c r="AL308" i="54" s="1"/>
  <c r="AL307" i="54" a="1"/>
  <c r="AL307" i="54" s="1"/>
  <c r="AL306" i="54" a="1"/>
  <c r="AL306" i="54" s="1"/>
  <c r="AL305" i="54" a="1"/>
  <c r="AL305" i="54" s="1"/>
  <c r="AL304" i="54" a="1"/>
  <c r="AL304" i="54" s="1"/>
  <c r="AL303" i="54" a="1"/>
  <c r="AL303" i="54" s="1"/>
  <c r="AL302" i="54" a="1"/>
  <c r="AL302" i="54" s="1"/>
  <c r="AL301" i="54" a="1"/>
  <c r="AL301" i="54" s="1"/>
  <c r="AL300" i="54" a="1"/>
  <c r="AL300" i="54" s="1"/>
  <c r="AL299" i="54" a="1"/>
  <c r="AL299" i="54" s="1"/>
  <c r="AL298" i="54" a="1"/>
  <c r="AL298" i="54" s="1"/>
  <c r="AL297" i="54" a="1"/>
  <c r="AL297" i="54" s="1"/>
  <c r="AL296" i="54" a="1"/>
  <c r="AL296" i="54" s="1"/>
  <c r="AL295" i="54" a="1"/>
  <c r="AL295" i="54" s="1"/>
  <c r="AL294" i="54" a="1"/>
  <c r="AL294" i="54" s="1"/>
  <c r="AL293" i="54" a="1"/>
  <c r="AL293" i="54" s="1"/>
  <c r="AL292" i="54" a="1"/>
  <c r="AL292" i="54" s="1"/>
  <c r="AL291" i="54" a="1"/>
  <c r="AL291" i="54" s="1"/>
  <c r="AL290" i="54" a="1"/>
  <c r="AL290" i="54" s="1"/>
  <c r="AL289" i="54" a="1"/>
  <c r="AL289" i="54" s="1"/>
  <c r="AL288" i="54" a="1"/>
  <c r="AL288" i="54" s="1"/>
  <c r="AL287" i="54" a="1"/>
  <c r="AL287" i="54" s="1"/>
  <c r="AL286" i="54" a="1"/>
  <c r="AL286" i="54" s="1"/>
  <c r="AL285" i="54" a="1"/>
  <c r="AL285" i="54" s="1"/>
  <c r="AL284" i="54" a="1"/>
  <c r="AL284" i="54" s="1"/>
  <c r="AL283" i="54" a="1"/>
  <c r="AL283" i="54" s="1"/>
  <c r="AL282" i="54" a="1"/>
  <c r="AL282" i="54" s="1"/>
  <c r="AL281" i="54" a="1"/>
  <c r="AL281" i="54" s="1"/>
  <c r="AL280" i="54" a="1"/>
  <c r="AL280" i="54" s="1"/>
  <c r="AL279" i="54" a="1"/>
  <c r="AL279" i="54" s="1"/>
  <c r="Q308" i="54" a="1"/>
  <c r="Q308" i="54" s="1"/>
  <c r="Q307" i="54" a="1"/>
  <c r="Q307" i="54" s="1"/>
  <c r="Q306" i="54" a="1"/>
  <c r="Q306" i="54" s="1"/>
  <c r="Q305" i="54" a="1"/>
  <c r="Q305" i="54" s="1"/>
  <c r="Q304" i="54" a="1"/>
  <c r="Q304" i="54" s="1"/>
  <c r="Q303" i="54" a="1"/>
  <c r="Q303" i="54" s="1"/>
  <c r="Q302" i="54" a="1"/>
  <c r="Q302" i="54" s="1"/>
  <c r="Q301" i="54" a="1"/>
  <c r="Q301" i="54" s="1"/>
  <c r="Q300" i="54" a="1"/>
  <c r="Q300" i="54" s="1"/>
  <c r="Q299" i="54" a="1"/>
  <c r="Q299" i="54" s="1"/>
  <c r="Q298" i="54" a="1"/>
  <c r="Q298" i="54" s="1"/>
  <c r="Q297" i="54" a="1"/>
  <c r="Q297" i="54" s="1"/>
  <c r="Q296" i="54" a="1"/>
  <c r="Q296" i="54" s="1"/>
  <c r="Q295" i="54" a="1"/>
  <c r="Q295" i="54" s="1"/>
  <c r="Q294" i="54" a="1"/>
  <c r="Q294" i="54" s="1"/>
  <c r="Q293" i="54" a="1"/>
  <c r="Q293" i="54" s="1"/>
  <c r="Q292" i="54" a="1"/>
  <c r="Q292" i="54" s="1"/>
  <c r="Q291" i="54" a="1"/>
  <c r="Q291" i="54" s="1"/>
  <c r="Q290" i="54" a="1"/>
  <c r="Q290" i="54" s="1"/>
  <c r="Q289" i="54" a="1"/>
  <c r="Q289" i="54" s="1"/>
  <c r="Q288" i="54" a="1"/>
  <c r="Q288" i="54" s="1"/>
  <c r="Q287" i="54" a="1"/>
  <c r="Q287" i="54" s="1"/>
  <c r="Q286" i="54" a="1"/>
  <c r="Q286" i="54" s="1"/>
  <c r="Q285" i="54" a="1"/>
  <c r="Q285" i="54" s="1"/>
  <c r="Q284" i="54" a="1"/>
  <c r="Q284" i="54" s="1"/>
  <c r="Q283" i="54" a="1"/>
  <c r="Q283" i="54" s="1"/>
  <c r="Q282" i="54" a="1"/>
  <c r="Q282" i="54" s="1"/>
  <c r="Q281" i="54" a="1"/>
  <c r="Q281" i="54" s="1"/>
  <c r="Q280" i="54" a="1"/>
  <c r="Q280" i="54" s="1"/>
  <c r="Q279" i="54" a="1"/>
  <c r="Q279" i="54" s="1"/>
  <c r="BG213" i="54" a="1"/>
  <c r="BG213" i="54" s="1"/>
  <c r="BG212" i="54" a="1"/>
  <c r="BG212" i="54" s="1"/>
  <c r="BG211" i="54" a="1"/>
  <c r="BG211" i="54" s="1"/>
  <c r="BG210" i="54" a="1"/>
  <c r="BG210" i="54" s="1"/>
  <c r="BG209" i="54" a="1"/>
  <c r="BG209" i="54" s="1"/>
  <c r="BG208" i="54" a="1"/>
  <c r="BG208" i="54" s="1"/>
  <c r="BG207" i="54" a="1"/>
  <c r="BG207" i="54" s="1"/>
  <c r="BG206" i="54" a="1"/>
  <c r="BG206" i="54" s="1"/>
  <c r="BG205" i="54" a="1"/>
  <c r="BG205" i="54" s="1"/>
  <c r="BG204" i="54" a="1"/>
  <c r="BG204" i="54" s="1"/>
  <c r="BG203" i="54" a="1"/>
  <c r="BG203" i="54" s="1"/>
  <c r="BG202" i="54" a="1"/>
  <c r="BG202" i="54" s="1"/>
  <c r="BG201" i="54" a="1"/>
  <c r="BG201" i="54" s="1"/>
  <c r="BG200" i="54" a="1"/>
  <c r="BG200" i="54" s="1"/>
  <c r="BG199" i="54" a="1"/>
  <c r="BG199" i="54" s="1"/>
  <c r="BG198" i="54" a="1"/>
  <c r="BG198" i="54" s="1"/>
  <c r="BG197" i="54" a="1"/>
  <c r="BG197" i="54" s="1"/>
  <c r="BG196" i="54" a="1"/>
  <c r="BG196" i="54" s="1"/>
  <c r="BG195" i="54" a="1"/>
  <c r="BG195" i="54" s="1"/>
  <c r="BG194" i="54" a="1"/>
  <c r="BG194" i="54" s="1"/>
  <c r="AL213" i="54" a="1"/>
  <c r="AL213" i="54" s="1"/>
  <c r="AL212" i="54" a="1"/>
  <c r="AL212" i="54" s="1"/>
  <c r="AL211" i="54" a="1"/>
  <c r="AL211" i="54" s="1"/>
  <c r="AL210" i="54" a="1"/>
  <c r="AL210" i="54" s="1"/>
  <c r="AL209" i="54" a="1"/>
  <c r="AL209" i="54" s="1"/>
  <c r="AL208" i="54" a="1"/>
  <c r="AL208" i="54" s="1"/>
  <c r="AL207" i="54" a="1"/>
  <c r="AL207" i="54" s="1"/>
  <c r="AL206" i="54" a="1"/>
  <c r="AL206" i="54" s="1"/>
  <c r="AL205" i="54" a="1"/>
  <c r="AL205" i="54" s="1"/>
  <c r="AL204" i="54" a="1"/>
  <c r="AL204" i="54" s="1"/>
  <c r="AL203" i="54" a="1"/>
  <c r="AL203" i="54" s="1"/>
  <c r="AL202" i="54" a="1"/>
  <c r="AL202" i="54" s="1"/>
  <c r="AL201" i="54" a="1"/>
  <c r="AL201" i="54" s="1"/>
  <c r="AL200" i="54" a="1"/>
  <c r="AL200" i="54" s="1"/>
  <c r="AL199" i="54" a="1"/>
  <c r="AL199" i="54" s="1"/>
  <c r="AL198" i="54" a="1"/>
  <c r="AL198" i="54" s="1"/>
  <c r="AL197" i="54" a="1"/>
  <c r="AL197" i="54" s="1"/>
  <c r="AL196" i="54" a="1"/>
  <c r="AL196" i="54" s="1"/>
  <c r="AL195" i="54" a="1"/>
  <c r="AL195" i="54" s="1"/>
  <c r="AL194" i="54" a="1"/>
  <c r="AL194" i="54" s="1"/>
  <c r="Q213" i="54" a="1"/>
  <c r="Q213" i="54" s="1"/>
  <c r="Q212" i="54" a="1"/>
  <c r="Q212" i="54" s="1"/>
  <c r="Q211" i="54" a="1"/>
  <c r="Q211" i="54" s="1"/>
  <c r="Q210" i="54" a="1"/>
  <c r="Q210" i="54" s="1"/>
  <c r="Q209" i="54" a="1"/>
  <c r="Q209" i="54" s="1"/>
  <c r="Q208" i="54" a="1"/>
  <c r="Q208" i="54" s="1"/>
  <c r="Q207" i="54" a="1"/>
  <c r="Q207" i="54" s="1"/>
  <c r="Q206" i="54" a="1"/>
  <c r="Q206" i="54" s="1"/>
  <c r="Q205" i="54" a="1"/>
  <c r="Q205" i="54" s="1"/>
  <c r="Q204" i="54" a="1"/>
  <c r="Q204" i="54" s="1"/>
  <c r="Q203" i="54" a="1"/>
  <c r="Q203" i="54" s="1"/>
  <c r="Q202" i="54" a="1"/>
  <c r="Q202" i="54" s="1"/>
  <c r="Q201" i="54" a="1"/>
  <c r="Q201" i="54" s="1"/>
  <c r="Q200" i="54" a="1"/>
  <c r="Q200" i="54" s="1"/>
  <c r="Q199" i="54" a="1"/>
  <c r="Q199" i="54" s="1"/>
  <c r="Q198" i="54" a="1"/>
  <c r="Q198" i="54" s="1"/>
  <c r="Q197" i="54" a="1"/>
  <c r="Q197" i="54" s="1"/>
  <c r="Q196" i="54" a="1"/>
  <c r="Q196" i="54" s="1"/>
  <c r="Q195" i="54" a="1"/>
  <c r="Q195" i="54" s="1"/>
  <c r="Q194" i="54" a="1"/>
  <c r="Q194" i="54" s="1"/>
  <c r="BG148" i="54" a="1"/>
  <c r="BG148" i="54" s="1"/>
  <c r="BG147" i="54" a="1"/>
  <c r="BG147" i="54" s="1"/>
  <c r="BG146" i="54" a="1"/>
  <c r="BG146" i="54" s="1"/>
  <c r="BG145" i="54" a="1"/>
  <c r="BG145" i="54" s="1"/>
  <c r="BG144" i="54" a="1"/>
  <c r="BG144" i="54" s="1"/>
  <c r="BG143" i="54" a="1"/>
  <c r="BG143" i="54" s="1"/>
  <c r="BG142" i="54" a="1"/>
  <c r="BG142" i="54" s="1"/>
  <c r="BG141" i="54" a="1"/>
  <c r="BG141" i="54" s="1"/>
  <c r="BG140" i="54" a="1"/>
  <c r="BG140" i="54" s="1"/>
  <c r="BG139" i="54" a="1"/>
  <c r="BG139" i="54" s="1"/>
  <c r="BG138" i="54" a="1"/>
  <c r="BG138" i="54" s="1"/>
  <c r="BG137" i="54" a="1"/>
  <c r="BG137" i="54" s="1"/>
  <c r="BG136" i="54" a="1"/>
  <c r="BG136" i="54" s="1"/>
  <c r="BG135" i="54" a="1"/>
  <c r="BG135" i="54" s="1"/>
  <c r="BG134" i="54" a="1"/>
  <c r="BG134" i="54" s="1"/>
  <c r="AL148" i="54" a="1"/>
  <c r="AL148" i="54" s="1"/>
  <c r="AL147" i="54" a="1"/>
  <c r="AL147" i="54" s="1"/>
  <c r="AL146" i="54" a="1"/>
  <c r="AL146" i="54" s="1"/>
  <c r="AL145" i="54" a="1"/>
  <c r="AL145" i="54" s="1"/>
  <c r="AL144" i="54" a="1"/>
  <c r="AL144" i="54" s="1"/>
  <c r="AL143" i="54" a="1"/>
  <c r="AL143" i="54" s="1"/>
  <c r="AL142" i="54" a="1"/>
  <c r="AL142" i="54" s="1"/>
  <c r="AL141" i="54" a="1"/>
  <c r="AL141" i="54" s="1"/>
  <c r="AL140" i="54" a="1"/>
  <c r="AL140" i="54" s="1"/>
  <c r="AL139" i="54" a="1"/>
  <c r="AL139" i="54" s="1"/>
  <c r="AL138" i="54" a="1"/>
  <c r="AL138" i="54" s="1"/>
  <c r="AL137" i="54" a="1"/>
  <c r="AL137" i="54" s="1"/>
  <c r="AL136" i="54" a="1"/>
  <c r="AL136" i="54" s="1"/>
  <c r="AL135" i="54" a="1"/>
  <c r="AL135" i="54" s="1"/>
  <c r="AL134" i="54" a="1"/>
  <c r="AL134" i="54" s="1"/>
  <c r="Q148" i="54" a="1"/>
  <c r="Q148" i="54" s="1"/>
  <c r="Q147" i="54" a="1"/>
  <c r="Q147" i="54" s="1"/>
  <c r="Q146" i="54" a="1"/>
  <c r="Q146" i="54" s="1"/>
  <c r="Q145" i="54" a="1"/>
  <c r="Q145" i="54" s="1"/>
  <c r="Q144" i="54" a="1"/>
  <c r="Q144" i="54" s="1"/>
  <c r="Q143" i="54" a="1"/>
  <c r="Q143" i="54" s="1"/>
  <c r="Q142" i="54" a="1"/>
  <c r="Q142" i="54" s="1"/>
  <c r="Q141" i="54" a="1"/>
  <c r="Q141" i="54" s="1"/>
  <c r="Q140" i="54" a="1"/>
  <c r="Q140" i="54" s="1"/>
  <c r="Q139" i="54" a="1"/>
  <c r="Q139" i="54" s="1"/>
  <c r="Q138" i="54" a="1"/>
  <c r="Q138" i="54" s="1"/>
  <c r="Q137" i="54" a="1"/>
  <c r="Q137" i="54" s="1"/>
  <c r="Q136" i="54" a="1"/>
  <c r="Q136" i="54" s="1"/>
  <c r="Q135" i="54" a="1"/>
  <c r="Q135" i="54" s="1"/>
  <c r="Q134" i="54" a="1"/>
  <c r="Q134" i="54" s="1"/>
  <c r="BG88" i="54" a="1"/>
  <c r="BG88" i="54" s="1"/>
  <c r="BG87" i="54" a="1"/>
  <c r="BG87" i="54" s="1"/>
  <c r="BG86" i="54" a="1"/>
  <c r="BG86" i="54" s="1"/>
  <c r="BG85" i="54" a="1"/>
  <c r="BG85" i="54" s="1"/>
  <c r="BG84" i="54" a="1"/>
  <c r="BG84" i="54" s="1"/>
  <c r="BG83" i="54" a="1"/>
  <c r="BG83" i="54" s="1"/>
  <c r="BG82" i="54" a="1"/>
  <c r="BG82" i="54" s="1"/>
  <c r="BG81" i="54" a="1"/>
  <c r="BG81" i="54" s="1"/>
  <c r="BG80" i="54" a="1"/>
  <c r="BG80" i="54" s="1"/>
  <c r="BG79" i="54" a="1"/>
  <c r="BG79" i="54" s="1"/>
  <c r="AL88" i="54" a="1"/>
  <c r="AL88" i="54" s="1"/>
  <c r="AL87" i="54" a="1"/>
  <c r="AL87" i="54" s="1"/>
  <c r="AL86" i="54" a="1"/>
  <c r="AL86" i="54" s="1"/>
  <c r="AL85" i="54" a="1"/>
  <c r="AL85" i="54" s="1"/>
  <c r="AL84" i="54" a="1"/>
  <c r="AL84" i="54" s="1"/>
  <c r="AL83" i="54" a="1"/>
  <c r="AL83" i="54" s="1"/>
  <c r="AL82" i="54" a="1"/>
  <c r="AL82" i="54" s="1"/>
  <c r="AL81" i="54" a="1"/>
  <c r="AL81" i="54" s="1"/>
  <c r="AL80" i="54" a="1"/>
  <c r="AL80" i="54" s="1"/>
  <c r="AL79" i="54" a="1"/>
  <c r="AL79" i="54" s="1"/>
  <c r="Q88" i="54" a="1"/>
  <c r="Q88" i="54" s="1"/>
  <c r="Q87" i="54" a="1"/>
  <c r="Q87" i="54" s="1"/>
  <c r="Q86" i="54" a="1"/>
  <c r="Q86" i="54" s="1"/>
  <c r="Q85" i="54" a="1"/>
  <c r="Q85" i="54" s="1"/>
  <c r="Q84" i="54" a="1"/>
  <c r="Q84" i="54" s="1"/>
  <c r="Q83" i="54" a="1"/>
  <c r="Q83" i="54" s="1"/>
  <c r="Q82" i="54" a="1"/>
  <c r="Q82" i="54" s="1"/>
  <c r="Q81" i="54" a="1"/>
  <c r="Q81" i="54" s="1"/>
  <c r="Q80" i="54" a="1"/>
  <c r="Q80" i="54" s="1"/>
  <c r="Q79" i="54" a="1"/>
  <c r="Q79" i="54" s="1"/>
  <c r="BG35" i="54" a="1"/>
  <c r="BG35" i="54" s="1"/>
  <c r="BG34" i="54" a="1"/>
  <c r="BG34" i="54" s="1"/>
  <c r="BG33" i="54" a="1"/>
  <c r="BG33" i="54" s="1"/>
  <c r="BG32" i="54" a="1"/>
  <c r="BG32" i="54" s="1"/>
  <c r="BG31" i="54" a="1"/>
  <c r="BG31" i="54" s="1"/>
  <c r="BG30" i="54" a="1"/>
  <c r="BG30" i="54" s="1"/>
  <c r="AL35" i="54" a="1"/>
  <c r="AL35" i="54" s="1"/>
  <c r="AL34" i="54" a="1"/>
  <c r="AL34" i="54" s="1"/>
  <c r="AL33" i="54" a="1"/>
  <c r="AL33" i="54" s="1"/>
  <c r="AL32" i="54" a="1"/>
  <c r="AL32" i="54" s="1"/>
  <c r="AL31" i="54" a="1"/>
  <c r="AL31" i="54" s="1"/>
  <c r="AL30" i="54" a="1"/>
  <c r="AL30" i="54" s="1"/>
  <c r="Q35" i="54" a="1"/>
  <c r="Q35" i="54" s="1"/>
  <c r="Q34" i="54" a="1"/>
  <c r="Q34" i="54" s="1"/>
  <c r="Q33" i="54" a="1"/>
  <c r="Q33" i="54" s="1"/>
  <c r="Q32" i="54" a="1"/>
  <c r="Q32" i="54" s="1"/>
  <c r="Q31" i="54" a="1"/>
  <c r="Q31" i="54" s="1"/>
  <c r="Q30" i="54" a="1"/>
  <c r="Q30" i="54" s="1"/>
  <c r="AF248" i="60" a="1"/>
  <c r="AF248" i="60" s="1"/>
  <c r="AF247" i="60" a="1"/>
  <c r="AF247" i="60" s="1"/>
  <c r="AF246" i="60" a="1"/>
  <c r="AF246" i="60" s="1"/>
  <c r="AF245" i="60" a="1"/>
  <c r="AF245" i="60" s="1"/>
  <c r="AF244" i="60" a="1"/>
  <c r="AF244" i="60" s="1"/>
  <c r="AF243" i="60" a="1"/>
  <c r="AF243" i="60" s="1"/>
  <c r="AF242" i="60" a="1"/>
  <c r="AF242" i="60" s="1"/>
  <c r="AF241" i="60" a="1"/>
  <c r="AF241" i="60" s="1"/>
  <c r="AF240" i="60" a="1"/>
  <c r="AF240" i="60" s="1"/>
  <c r="AF239" i="60" a="1"/>
  <c r="AF239" i="60" s="1"/>
  <c r="AF238" i="60" a="1"/>
  <c r="AF238" i="60" s="1"/>
  <c r="AF237" i="60" a="1"/>
  <c r="AF237" i="60" s="1"/>
  <c r="AF236" i="60" a="1"/>
  <c r="AF236" i="60" s="1"/>
  <c r="AF235" i="60" a="1"/>
  <c r="AF235" i="60" s="1"/>
  <c r="AF234" i="60" a="1"/>
  <c r="AF234" i="60" s="1"/>
  <c r="AF233" i="60" a="1"/>
  <c r="AF233" i="60" s="1"/>
  <c r="AF232" i="60" a="1"/>
  <c r="AF232" i="60" s="1"/>
  <c r="AF231" i="60" a="1"/>
  <c r="AF231" i="60" s="1"/>
  <c r="AF230" i="60" a="1"/>
  <c r="AF230" i="60" s="1"/>
  <c r="AF229" i="60" a="1"/>
  <c r="AF229" i="60" s="1"/>
  <c r="AF228" i="60" a="1"/>
  <c r="AF228" i="60" s="1"/>
  <c r="AF227" i="60" a="1"/>
  <c r="AF227" i="60" s="1"/>
  <c r="AF226" i="60" a="1"/>
  <c r="AF226" i="60" s="1"/>
  <c r="AF225" i="60" a="1"/>
  <c r="AF225" i="60" s="1"/>
  <c r="AF224" i="60" a="1"/>
  <c r="AF224" i="60" s="1"/>
  <c r="AF223" i="60" a="1"/>
  <c r="AF223" i="60" s="1"/>
  <c r="AF222" i="60" a="1"/>
  <c r="AF222" i="60" s="1"/>
  <c r="AF221" i="60" a="1"/>
  <c r="AF221" i="60" s="1"/>
  <c r="AF220" i="60" a="1"/>
  <c r="AF220" i="60" s="1"/>
  <c r="AF219" i="60" a="1"/>
  <c r="AF219" i="60" s="1"/>
  <c r="AF175" i="60" a="1"/>
  <c r="AF175" i="60" s="1"/>
  <c r="AF174" i="60" a="1"/>
  <c r="AF174" i="60" s="1"/>
  <c r="AF173" i="60" a="1"/>
  <c r="AF173" i="60" s="1"/>
  <c r="AF172" i="60" a="1"/>
  <c r="AF172" i="60" s="1"/>
  <c r="AF171" i="60" a="1"/>
  <c r="AF171" i="60" s="1"/>
  <c r="AF170" i="60" a="1"/>
  <c r="AF170" i="60" s="1"/>
  <c r="AF132" i="60" a="1"/>
  <c r="AF132" i="60" s="1"/>
  <c r="AF131" i="60" a="1"/>
  <c r="AF131" i="60" s="1"/>
  <c r="AF130" i="60" a="1"/>
  <c r="AF130" i="60" s="1"/>
  <c r="AF129" i="60" a="1"/>
  <c r="AF129" i="60" s="1"/>
  <c r="AF128" i="60" a="1"/>
  <c r="AF128" i="60" s="1"/>
  <c r="AF127" i="60" a="1"/>
  <c r="AF127" i="60" s="1"/>
  <c r="AF89" i="60" a="1"/>
  <c r="AF89" i="60" s="1"/>
  <c r="AF88" i="60" a="1"/>
  <c r="AF88" i="60" s="1"/>
  <c r="AF87" i="60" a="1"/>
  <c r="AF87" i="60" s="1"/>
  <c r="AF86" i="60" a="1"/>
  <c r="AF86" i="60" s="1"/>
  <c r="AF85" i="60" a="1"/>
  <c r="AF85" i="60" s="1"/>
  <c r="AF84" i="60" a="1"/>
  <c r="AF84" i="60" s="1"/>
  <c r="AF38" i="60" a="1"/>
  <c r="AF38" i="60" s="1"/>
  <c r="AF37" i="60" a="1"/>
  <c r="AF37" i="60" s="1"/>
  <c r="AF36" i="60" a="1"/>
  <c r="AF36" i="60" s="1"/>
  <c r="AF35" i="60" a="1"/>
  <c r="AF35" i="60" s="1"/>
  <c r="AF34" i="60" a="1"/>
  <c r="AF34" i="60" s="1"/>
  <c r="AF33" i="60" a="1"/>
  <c r="AF33" i="60" s="1"/>
  <c r="AF32" i="60" a="1"/>
  <c r="AF32" i="60" s="1"/>
  <c r="AF31" i="60" a="1"/>
  <c r="AF31" i="60" s="1"/>
  <c r="AF30" i="60" a="1"/>
  <c r="AF30" i="60" s="1"/>
  <c r="AF29" i="60" a="1"/>
  <c r="AF29" i="60" s="1"/>
  <c r="AF28" i="60" a="1"/>
  <c r="AF28" i="60" s="1"/>
  <c r="AF27" i="60" a="1"/>
  <c r="AF27" i="60" s="1"/>
  <c r="AF26" i="60" a="1"/>
  <c r="AF26" i="60" s="1"/>
  <c r="AF25" i="60" a="1"/>
  <c r="AF25" i="60" s="1"/>
  <c r="AF24" i="60" a="1"/>
  <c r="AF24" i="60" s="1"/>
  <c r="AQ550" i="60"/>
  <c r="AQ549" i="60"/>
  <c r="AQ548" i="60"/>
  <c r="AQ547" i="60"/>
  <c r="AQ546" i="60"/>
  <c r="AQ545" i="60"/>
  <c r="AQ544" i="60"/>
  <c r="BF544" i="60" s="1"/>
  <c r="AQ543" i="60"/>
  <c r="AQ542" i="60"/>
  <c r="AQ541" i="60"/>
  <c r="AQ540" i="60"/>
  <c r="AQ539" i="60"/>
  <c r="AQ538" i="60"/>
  <c r="AQ537" i="60"/>
  <c r="BF537" i="60" s="1"/>
  <c r="AQ536" i="60"/>
  <c r="AQ535" i="60"/>
  <c r="AQ534" i="60"/>
  <c r="BF534" i="60" s="1"/>
  <c r="AQ533" i="60"/>
  <c r="AQ532" i="60"/>
  <c r="AQ531" i="60"/>
  <c r="AQ530" i="60"/>
  <c r="AQ529" i="60"/>
  <c r="BF529" i="60" s="1"/>
  <c r="AQ528" i="60"/>
  <c r="AQ527" i="60"/>
  <c r="BF527" i="60" s="1"/>
  <c r="AQ526" i="60"/>
  <c r="AQ525" i="60"/>
  <c r="AQ524" i="60"/>
  <c r="BF524" i="60" s="1"/>
  <c r="AQ523" i="60"/>
  <c r="AQ522" i="60"/>
  <c r="AQ521" i="60"/>
  <c r="BF521" i="60" s="1"/>
  <c r="AQ520" i="60"/>
  <c r="AQ519" i="60"/>
  <c r="AQ518" i="60"/>
  <c r="BF518" i="60" s="1"/>
  <c r="AQ517" i="60"/>
  <c r="BC517" i="60" s="1" a="1"/>
  <c r="BC517" i="60" s="1"/>
  <c r="AQ516" i="60"/>
  <c r="AQ515" i="60"/>
  <c r="BF515" i="60" s="1"/>
  <c r="AQ514" i="60"/>
  <c r="AQ513" i="60"/>
  <c r="AQ512" i="60"/>
  <c r="BC512" i="60" s="1" a="1"/>
  <c r="BC512" i="60" s="1"/>
  <c r="AQ511" i="60"/>
  <c r="AQ510" i="60"/>
  <c r="BC510" i="60" s="1" a="1"/>
  <c r="BC510" i="60" s="1"/>
  <c r="AQ509" i="60"/>
  <c r="AQ508" i="60"/>
  <c r="AQ507" i="60"/>
  <c r="AQ506" i="60"/>
  <c r="AQ505" i="60"/>
  <c r="AQ504" i="60"/>
  <c r="BF504" i="60" s="1"/>
  <c r="AQ503" i="60"/>
  <c r="AQ502" i="60"/>
  <c r="AQ501" i="60"/>
  <c r="AQ500" i="60"/>
  <c r="AQ499" i="60"/>
  <c r="AQ498" i="60"/>
  <c r="BC498" i="60" s="1" a="1"/>
  <c r="BC498" i="60" s="1"/>
  <c r="AQ497" i="60"/>
  <c r="BC497" i="60" s="1" a="1"/>
  <c r="BC497" i="60" s="1"/>
  <c r="AQ496" i="60"/>
  <c r="BF496" i="60" s="1"/>
  <c r="AQ495" i="60"/>
  <c r="BF495" i="60" s="1"/>
  <c r="AQ494" i="60"/>
  <c r="AQ493" i="60"/>
  <c r="AQ492" i="60"/>
  <c r="AQ491" i="60"/>
  <c r="AQ490" i="60"/>
  <c r="BC490" i="60" s="1" a="1"/>
  <c r="BC490" i="60" s="1"/>
  <c r="AQ489" i="60"/>
  <c r="BF489" i="60" s="1"/>
  <c r="AQ488" i="60"/>
  <c r="BF488" i="60" s="1"/>
  <c r="AQ487" i="60"/>
  <c r="AQ486" i="60"/>
  <c r="BF486" i="60" s="1"/>
  <c r="AQ485" i="60"/>
  <c r="AQ484" i="60"/>
  <c r="AQ483" i="60"/>
  <c r="BC483" i="60" s="1" a="1"/>
  <c r="BC483" i="60" s="1"/>
  <c r="AQ482" i="60"/>
  <c r="AQ481" i="60"/>
  <c r="AQ480" i="60"/>
  <c r="AQ479" i="60"/>
  <c r="BC479" i="60" s="1" a="1"/>
  <c r="BC479" i="60" s="1"/>
  <c r="AQ478" i="60"/>
  <c r="BC478" i="60" s="1" a="1"/>
  <c r="BC478" i="60" s="1"/>
  <c r="AQ477" i="60"/>
  <c r="AQ476" i="60"/>
  <c r="BC476" i="60" s="1" a="1"/>
  <c r="BC476" i="60" s="1"/>
  <c r="AQ475" i="60"/>
  <c r="AQ474" i="60"/>
  <c r="AQ473" i="60"/>
  <c r="BC473" i="60" s="1" a="1"/>
  <c r="BC473" i="60" s="1"/>
  <c r="AQ472" i="60"/>
  <c r="AQ471" i="60"/>
  <c r="BC471" i="60" s="1" a="1"/>
  <c r="BC471" i="60" s="1"/>
  <c r="AQ470" i="60"/>
  <c r="AQ469" i="60"/>
  <c r="AQ468" i="60"/>
  <c r="AQ467" i="60"/>
  <c r="BF467" i="60" s="1"/>
  <c r="AQ466" i="60"/>
  <c r="AQ465" i="60"/>
  <c r="AQ464" i="60"/>
  <c r="AQ463" i="60"/>
  <c r="AQ462" i="60"/>
  <c r="BC462" i="60" s="1" a="1"/>
  <c r="BC462" i="60" s="1"/>
  <c r="AQ461" i="60"/>
  <c r="BF461" i="60" s="1"/>
  <c r="AQ460" i="60"/>
  <c r="AQ459" i="60"/>
  <c r="BC459" i="60" s="1" a="1"/>
  <c r="BC459" i="60" s="1"/>
  <c r="AQ458" i="60"/>
  <c r="AQ457" i="60"/>
  <c r="AQ456" i="60"/>
  <c r="AQ455" i="60"/>
  <c r="AQ454" i="60"/>
  <c r="BC454" i="60" s="1" a="1"/>
  <c r="BC454" i="60" s="1"/>
  <c r="AQ453" i="60"/>
  <c r="AQ452" i="60"/>
  <c r="AQ451" i="60"/>
  <c r="AQ450" i="60"/>
  <c r="AQ449" i="60"/>
  <c r="AQ448" i="60"/>
  <c r="AQ447" i="60"/>
  <c r="AQ446" i="60"/>
  <c r="AQ445" i="60"/>
  <c r="AQ444" i="60"/>
  <c r="AQ443" i="60"/>
  <c r="BC443" i="60" s="1" a="1"/>
  <c r="BC443" i="60" s="1"/>
  <c r="AQ442" i="60"/>
  <c r="BF442" i="60" s="1"/>
  <c r="AQ441" i="60"/>
  <c r="BC441" i="60" s="1" a="1"/>
  <c r="BC441" i="60" s="1"/>
  <c r="AQ440" i="60"/>
  <c r="BF440" i="60" s="1"/>
  <c r="AQ439" i="60"/>
  <c r="BF439" i="60" s="1"/>
  <c r="AQ438" i="60"/>
  <c r="AQ437" i="60"/>
  <c r="AQ436" i="60"/>
  <c r="AQ435" i="60"/>
  <c r="BF435" i="60" s="1"/>
  <c r="AQ434" i="60"/>
  <c r="AQ433" i="60"/>
  <c r="BF433" i="60" s="1"/>
  <c r="AQ432" i="60"/>
  <c r="AQ431" i="60"/>
  <c r="AQ430" i="60"/>
  <c r="BC430" i="60" s="1" a="1"/>
  <c r="BC430" i="60" s="1"/>
  <c r="AQ429" i="60"/>
  <c r="BF429" i="60" s="1"/>
  <c r="AQ428" i="60"/>
  <c r="AQ427" i="60"/>
  <c r="AQ426" i="60"/>
  <c r="BF426" i="60" s="1"/>
  <c r="AQ425" i="60"/>
  <c r="AQ424" i="60"/>
  <c r="BF424" i="60" s="1"/>
  <c r="AQ423" i="60"/>
  <c r="AQ422" i="60"/>
  <c r="BF422" i="60" s="1"/>
  <c r="AQ421" i="60"/>
  <c r="AQ420" i="60"/>
  <c r="AQ419" i="60"/>
  <c r="BF419" i="60" s="1"/>
  <c r="AQ418" i="60"/>
  <c r="AQ417" i="60"/>
  <c r="BF417" i="60" s="1"/>
  <c r="AQ416" i="60"/>
  <c r="BC416" i="60" s="1" a="1"/>
  <c r="BC416" i="60" s="1"/>
  <c r="AQ415" i="60"/>
  <c r="BF415" i="60" s="1"/>
  <c r="AQ414" i="60"/>
  <c r="AQ413" i="60"/>
  <c r="AQ412" i="60"/>
  <c r="AQ411" i="60"/>
  <c r="BF411" i="60" s="1"/>
  <c r="AQ410" i="60"/>
  <c r="AQ409" i="60"/>
  <c r="AQ408" i="60"/>
  <c r="AQ407" i="60"/>
  <c r="BF407" i="60" s="1"/>
  <c r="AQ406" i="60"/>
  <c r="BF406" i="60" s="1"/>
  <c r="AQ405" i="60"/>
  <c r="AQ404" i="60"/>
  <c r="AQ403" i="60"/>
  <c r="AQ402" i="60"/>
  <c r="BF402" i="60" s="1"/>
  <c r="AQ401" i="60"/>
  <c r="AQ400" i="60"/>
  <c r="BF400" i="60" s="1"/>
  <c r="AQ399" i="60"/>
  <c r="BF399" i="60" s="1"/>
  <c r="AQ398" i="60"/>
  <c r="AQ397" i="60"/>
  <c r="AQ396" i="60"/>
  <c r="AQ395" i="60"/>
  <c r="BF395" i="60" s="1"/>
  <c r="AQ394" i="60"/>
  <c r="AQ393" i="60"/>
  <c r="AQ392" i="60"/>
  <c r="BF392" i="60" s="1"/>
  <c r="AQ391" i="60"/>
  <c r="BF391" i="60" s="1"/>
  <c r="AQ390" i="60"/>
  <c r="BF390" i="60" s="1"/>
  <c r="AQ389" i="60"/>
  <c r="AQ388" i="60"/>
  <c r="BC388" i="60" s="1" a="1"/>
  <c r="BC388" i="60" s="1"/>
  <c r="AQ387" i="60"/>
  <c r="AQ386" i="60"/>
  <c r="AQ385" i="60"/>
  <c r="AQ384" i="60"/>
  <c r="AQ383" i="60"/>
  <c r="AQ382" i="60"/>
  <c r="BF382" i="60" s="1"/>
  <c r="AQ381" i="60"/>
  <c r="AQ380" i="60"/>
  <c r="BF380" i="60" s="1"/>
  <c r="AQ379" i="60"/>
  <c r="AQ378" i="60"/>
  <c r="AQ377" i="60"/>
  <c r="AQ376" i="60"/>
  <c r="BF376" i="60" s="1"/>
  <c r="AQ375" i="60"/>
  <c r="AQ374" i="60"/>
  <c r="AQ373" i="60"/>
  <c r="AQ372" i="60"/>
  <c r="AQ371" i="60"/>
  <c r="AQ370" i="60"/>
  <c r="BF370" i="60" s="1"/>
  <c r="AQ369" i="60"/>
  <c r="AQ368" i="60"/>
  <c r="BC368" i="60" s="1" a="1"/>
  <c r="BC368" i="60" s="1"/>
  <c r="AQ367" i="60"/>
  <c r="BC367" i="60" s="1" a="1"/>
  <c r="BC367" i="60" s="1"/>
  <c r="AQ366" i="60"/>
  <c r="BF366" i="60" s="1"/>
  <c r="AQ365" i="60"/>
  <c r="AQ364" i="60"/>
  <c r="AQ363" i="60"/>
  <c r="AQ362" i="60"/>
  <c r="AQ361" i="60"/>
  <c r="BF361" i="60" s="1"/>
  <c r="AQ360" i="60"/>
  <c r="BF360" i="60" s="1"/>
  <c r="AQ359" i="60"/>
  <c r="BC359" i="60" s="1" a="1"/>
  <c r="BC359" i="60" s="1"/>
  <c r="AQ358" i="60"/>
  <c r="AQ357" i="60"/>
  <c r="AQ356" i="60"/>
  <c r="AQ355" i="60"/>
  <c r="AQ354" i="60"/>
  <c r="AQ353" i="60"/>
  <c r="AQ352" i="60"/>
  <c r="AQ351" i="60"/>
  <c r="AQ350" i="60"/>
  <c r="BF350" i="60" s="1"/>
  <c r="AQ349" i="60"/>
  <c r="AQ348" i="60"/>
  <c r="AQ347" i="60"/>
  <c r="BF347" i="60" s="1"/>
  <c r="AQ346" i="60"/>
  <c r="AQ345" i="60"/>
  <c r="AQ344" i="60"/>
  <c r="BC344" i="60" s="1" a="1"/>
  <c r="BC344" i="60" s="1"/>
  <c r="AQ343" i="60"/>
  <c r="AQ342" i="60"/>
  <c r="AQ341" i="60"/>
  <c r="BF341" i="60" s="1"/>
  <c r="AQ340" i="60"/>
  <c r="AQ339" i="60"/>
  <c r="BF339" i="60" s="1"/>
  <c r="AQ338" i="60"/>
  <c r="AQ337" i="60"/>
  <c r="AQ336" i="60"/>
  <c r="BC336" i="60" s="1" a="1"/>
  <c r="BC336" i="60" s="1"/>
  <c r="AQ335" i="60"/>
  <c r="BC335" i="60" s="1" a="1"/>
  <c r="BC335" i="60" s="1"/>
  <c r="AQ334" i="60"/>
  <c r="AQ333" i="60"/>
  <c r="AQ332" i="60"/>
  <c r="BF332" i="60" s="1"/>
  <c r="AQ331" i="60"/>
  <c r="AQ330" i="60"/>
  <c r="AQ329" i="60"/>
  <c r="AQ328" i="60"/>
  <c r="AQ327" i="60"/>
  <c r="AQ326" i="60"/>
  <c r="AQ325" i="60"/>
  <c r="BC325" i="60" s="1" a="1"/>
  <c r="BC325" i="60" s="1"/>
  <c r="AQ324" i="60"/>
  <c r="AQ323" i="60"/>
  <c r="AQ322" i="60"/>
  <c r="BF322" i="60" s="1"/>
  <c r="AQ321" i="60"/>
  <c r="AQ320" i="60"/>
  <c r="BF320" i="60" s="1"/>
  <c r="AQ319" i="60"/>
  <c r="AQ318" i="60"/>
  <c r="AQ317" i="60"/>
  <c r="BF317" i="60" s="1"/>
  <c r="AQ316" i="60"/>
  <c r="AQ315" i="60"/>
  <c r="AQ314" i="60"/>
  <c r="BC314" i="60" s="1" a="1"/>
  <c r="BC314" i="60" s="1"/>
  <c r="AQ313" i="60"/>
  <c r="AQ312" i="60"/>
  <c r="BC312" i="60" s="1" a="1"/>
  <c r="BC312" i="60" s="1"/>
  <c r="AQ311" i="60"/>
  <c r="BF311" i="60" s="1"/>
  <c r="AQ310" i="60"/>
  <c r="AQ309" i="60"/>
  <c r="AQ308" i="60"/>
  <c r="AQ307" i="60"/>
  <c r="BC307" i="60" s="1" a="1"/>
  <c r="BC307" i="60" s="1"/>
  <c r="AQ306" i="60"/>
  <c r="AQ305" i="60"/>
  <c r="AQ304" i="60"/>
  <c r="AQ303" i="60"/>
  <c r="BC303" i="60" s="1" a="1"/>
  <c r="BC303" i="60" s="1"/>
  <c r="AQ302" i="60"/>
  <c r="AQ301" i="60"/>
  <c r="AQ299" i="60"/>
  <c r="BF299" i="60" s="1"/>
  <c r="AQ298" i="60"/>
  <c r="AQ297" i="60"/>
  <c r="AQ275" i="60"/>
  <c r="AQ274" i="60"/>
  <c r="AQ273" i="60"/>
  <c r="AQ272" i="60"/>
  <c r="BF272" i="60" s="1"/>
  <c r="AQ271" i="60"/>
  <c r="BC271" i="60" s="1" a="1"/>
  <c r="BC271" i="60" s="1"/>
  <c r="AQ270" i="60"/>
  <c r="BC270" i="60" s="1" a="1"/>
  <c r="BC270" i="60" s="1"/>
  <c r="AQ269" i="60"/>
  <c r="AQ268" i="60"/>
  <c r="AQ267" i="60"/>
  <c r="AQ266" i="60"/>
  <c r="BC266" i="60" s="1" a="1"/>
  <c r="BC266" i="60" s="1"/>
  <c r="AQ265" i="60"/>
  <c r="AQ264" i="60"/>
  <c r="BF264" i="60" s="1"/>
  <c r="AQ263" i="60"/>
  <c r="BF263" i="60" s="1"/>
  <c r="AQ262" i="60"/>
  <c r="AQ261" i="60"/>
  <c r="AQ260" i="60"/>
  <c r="AQ259" i="60"/>
  <c r="AQ258" i="60"/>
  <c r="BC258" i="60" s="1" a="1"/>
  <c r="BC258" i="60" s="1"/>
  <c r="AQ256" i="60"/>
  <c r="BC256" i="60" s="1" a="1"/>
  <c r="BC256" i="60" s="1"/>
  <c r="AQ253" i="60"/>
  <c r="AQ252" i="60"/>
  <c r="AQ251" i="60"/>
  <c r="AQ250" i="60"/>
  <c r="AQ249" i="60"/>
  <c r="AQ248" i="60"/>
  <c r="AQ219" i="60"/>
  <c r="AQ218" i="60"/>
  <c r="AQ217" i="60"/>
  <c r="BF217" i="60" s="1"/>
  <c r="AQ216" i="60"/>
  <c r="AQ215" i="60"/>
  <c r="BF215" i="60" s="1"/>
  <c r="AQ213" i="60"/>
  <c r="BF213" i="60" s="1"/>
  <c r="AQ211" i="60"/>
  <c r="AQ210" i="60"/>
  <c r="AQ209" i="60"/>
  <c r="AQ208" i="60"/>
  <c r="AQ207" i="60"/>
  <c r="BC207" i="60" s="1" a="1"/>
  <c r="BC207" i="60" s="1"/>
  <c r="AQ206" i="60"/>
  <c r="BF206" i="60" s="1"/>
  <c r="AQ204" i="60"/>
  <c r="AQ203" i="60"/>
  <c r="BF203" i="60" s="1"/>
  <c r="AQ202" i="60"/>
  <c r="AQ201" i="60"/>
  <c r="AQ200" i="60"/>
  <c r="AQ199" i="60"/>
  <c r="BF199" i="60" s="1"/>
  <c r="AQ198" i="60"/>
  <c r="BC198" i="60" s="1" a="1"/>
  <c r="BC198" i="60" s="1"/>
  <c r="AQ197" i="60"/>
  <c r="BF197" i="60" s="1"/>
  <c r="AQ196" i="60"/>
  <c r="AQ195" i="60"/>
  <c r="AQ194" i="60"/>
  <c r="AQ193" i="60"/>
  <c r="AQ192" i="60"/>
  <c r="AQ191" i="60"/>
  <c r="BF191" i="60" s="1"/>
  <c r="AQ190" i="60"/>
  <c r="AQ189" i="60"/>
  <c r="AQ188" i="60"/>
  <c r="AQ187" i="60"/>
  <c r="BC187" i="60" s="1" a="1"/>
  <c r="BC187" i="60" s="1"/>
  <c r="AQ186" i="60"/>
  <c r="BC186" i="60" s="1" a="1"/>
  <c r="BC186" i="60" s="1"/>
  <c r="AQ185" i="60"/>
  <c r="AQ183" i="60"/>
  <c r="AQ180" i="60"/>
  <c r="AQ179" i="60"/>
  <c r="AQ178" i="60"/>
  <c r="BF178" i="60" s="1"/>
  <c r="AQ177" i="60"/>
  <c r="AQ176" i="60"/>
  <c r="BC176" i="60" s="1" a="1"/>
  <c r="BC176" i="60" s="1"/>
  <c r="AQ175" i="60"/>
  <c r="BF175" i="60" s="1"/>
  <c r="AQ170" i="60"/>
  <c r="AQ169" i="60"/>
  <c r="BC169" i="60" s="1" a="1"/>
  <c r="BC169" i="60" s="1"/>
  <c r="AQ168" i="60"/>
  <c r="AQ167" i="60"/>
  <c r="AQ166" i="60"/>
  <c r="AQ164" i="60"/>
  <c r="BF164" i="60" s="1"/>
  <c r="AQ162" i="60"/>
  <c r="AQ161" i="60"/>
  <c r="BF161" i="60" s="1"/>
  <c r="AQ160" i="60"/>
  <c r="AQ159" i="60"/>
  <c r="AQ158" i="60"/>
  <c r="AQ157" i="60"/>
  <c r="AQ155" i="60"/>
  <c r="AQ154" i="60"/>
  <c r="AQ153" i="60"/>
  <c r="AQ152" i="60"/>
  <c r="AQ151" i="60"/>
  <c r="BC151" i="60" s="1" a="1"/>
  <c r="BC151" i="60" s="1"/>
  <c r="AQ150" i="60"/>
  <c r="AQ149" i="60"/>
  <c r="BC149" i="60" s="1" a="1"/>
  <c r="BC149" i="60" s="1"/>
  <c r="AQ148" i="60"/>
  <c r="AQ147" i="60"/>
  <c r="AQ146" i="60"/>
  <c r="AQ145" i="60"/>
  <c r="BC145" i="60" s="1" a="1"/>
  <c r="BC145" i="60" s="1"/>
  <c r="AQ144" i="60"/>
  <c r="AQ143" i="60"/>
  <c r="AQ142" i="60"/>
  <c r="AQ140" i="60"/>
  <c r="AQ137" i="60"/>
  <c r="AQ136" i="60"/>
  <c r="AQ135" i="60"/>
  <c r="AQ134" i="60"/>
  <c r="AQ133" i="60"/>
  <c r="AQ132" i="60"/>
  <c r="AQ127" i="60"/>
  <c r="AQ126" i="60"/>
  <c r="BF126" i="60" s="1"/>
  <c r="AQ125" i="60"/>
  <c r="BC125" i="60" s="1" a="1"/>
  <c r="BC125" i="60" s="1"/>
  <c r="AQ124" i="60"/>
  <c r="BC124" i="60" s="1" a="1"/>
  <c r="BC124" i="60" s="1"/>
  <c r="AQ123" i="60"/>
  <c r="BF123" i="60" s="1"/>
  <c r="AQ121" i="60"/>
  <c r="AQ119" i="60"/>
  <c r="AQ118" i="60"/>
  <c r="BF118" i="60" s="1"/>
  <c r="AQ117" i="60"/>
  <c r="AQ116" i="60"/>
  <c r="AQ115" i="60"/>
  <c r="BF115" i="60" s="1"/>
  <c r="AQ114" i="60"/>
  <c r="AQ112" i="60"/>
  <c r="AQ111" i="60"/>
  <c r="AQ110" i="60"/>
  <c r="AQ109" i="60"/>
  <c r="AQ108" i="60"/>
  <c r="AQ107" i="60"/>
  <c r="AQ106" i="60"/>
  <c r="AQ105" i="60"/>
  <c r="AQ104" i="60"/>
  <c r="AQ103" i="60"/>
  <c r="BF103" i="60" s="1"/>
  <c r="AQ102" i="60"/>
  <c r="AQ101" i="60"/>
  <c r="AQ100" i="60"/>
  <c r="AQ99" i="60"/>
  <c r="AQ90" i="60"/>
  <c r="AQ89" i="60"/>
  <c r="AQ84" i="60"/>
  <c r="AQ83" i="60"/>
  <c r="AQ82" i="60"/>
  <c r="BF82" i="60" s="1"/>
  <c r="AQ81" i="60"/>
  <c r="AQ80" i="60"/>
  <c r="AQ78" i="60"/>
  <c r="AQ76" i="60"/>
  <c r="AQ75" i="60"/>
  <c r="BC75" i="60" s="1" a="1"/>
  <c r="BC75" i="60" s="1"/>
  <c r="AQ74" i="60"/>
  <c r="BC74" i="60" s="1" a="1"/>
  <c r="BC74" i="60" s="1"/>
  <c r="AQ73" i="60"/>
  <c r="BF73" i="60" s="1"/>
  <c r="AQ72" i="60"/>
  <c r="BF72" i="60" s="1"/>
  <c r="AQ71" i="60"/>
  <c r="AQ69" i="60"/>
  <c r="BC69" i="60" s="1" a="1"/>
  <c r="BC69" i="60" s="1"/>
  <c r="AQ68" i="60"/>
  <c r="BC68" i="60" s="1" a="1"/>
  <c r="BC68" i="60" s="1"/>
  <c r="AQ67" i="60"/>
  <c r="AQ66" i="60"/>
  <c r="AQ65" i="60"/>
  <c r="AQ64" i="60"/>
  <c r="AQ63" i="60"/>
  <c r="BC63" i="60" s="1" a="1"/>
  <c r="BC63" i="60" s="1"/>
  <c r="AQ62" i="60"/>
  <c r="AQ61" i="60"/>
  <c r="AQ60" i="60"/>
  <c r="AQ59" i="60"/>
  <c r="AQ58" i="60"/>
  <c r="BC58" i="60" s="1" a="1"/>
  <c r="BC58" i="60" s="1"/>
  <c r="AQ57" i="60"/>
  <c r="AQ56" i="60"/>
  <c r="BC56" i="60" s="1" a="1"/>
  <c r="BC56" i="60" s="1"/>
  <c r="AQ55" i="60"/>
  <c r="BC55" i="60" s="1" a="1"/>
  <c r="BC55" i="60" s="1"/>
  <c r="AQ54" i="60"/>
  <c r="AQ53" i="60"/>
  <c r="AQ52" i="60"/>
  <c r="AQ51" i="60"/>
  <c r="AQ50" i="60"/>
  <c r="AQ49" i="60"/>
  <c r="BF49" i="60" s="1"/>
  <c r="AQ48" i="60"/>
  <c r="AQ46" i="60"/>
  <c r="AQ43" i="60"/>
  <c r="AQ42" i="60"/>
  <c r="AQ41" i="60"/>
  <c r="BC41" i="60" s="1" a="1"/>
  <c r="BC41" i="60" s="1"/>
  <c r="AQ40" i="60"/>
  <c r="AQ39" i="60"/>
  <c r="AQ38" i="60"/>
  <c r="AQ24" i="60"/>
  <c r="AQ23" i="60"/>
  <c r="BF549" i="60"/>
  <c r="BF536" i="60"/>
  <c r="BF501" i="60"/>
  <c r="W302" i="60"/>
  <c r="X297" i="60"/>
  <c r="AA296" i="60"/>
  <c r="X296" i="60"/>
  <c r="Q296" i="60"/>
  <c r="N296" i="60" s="1"/>
  <c r="AA295" i="60"/>
  <c r="X295" i="60"/>
  <c r="Q295" i="60"/>
  <c r="N295" i="60" s="1"/>
  <c r="AA294" i="60"/>
  <c r="X294" i="60"/>
  <c r="Q294" i="60"/>
  <c r="AA293" i="60"/>
  <c r="X293" i="60"/>
  <c r="Q293" i="60"/>
  <c r="N293" i="60" s="1"/>
  <c r="AA292" i="60"/>
  <c r="X292" i="60"/>
  <c r="Q292" i="60"/>
  <c r="AA291" i="60"/>
  <c r="X291" i="60"/>
  <c r="Q291" i="60"/>
  <c r="AA290" i="60"/>
  <c r="X290" i="60"/>
  <c r="Q290" i="60"/>
  <c r="AA289" i="60"/>
  <c r="X289" i="60"/>
  <c r="Q289" i="60"/>
  <c r="AA288" i="60"/>
  <c r="X288" i="60"/>
  <c r="Q288" i="60"/>
  <c r="N288" i="60" s="1"/>
  <c r="AA287" i="60"/>
  <c r="X287" i="60"/>
  <c r="Q287" i="60"/>
  <c r="N287" i="60" s="1"/>
  <c r="AA286" i="60"/>
  <c r="X286" i="60"/>
  <c r="Q286" i="60"/>
  <c r="N286" i="60" s="1"/>
  <c r="AA285" i="60"/>
  <c r="X285" i="60"/>
  <c r="Q285" i="60"/>
  <c r="N285" i="60" s="1"/>
  <c r="AA284" i="60"/>
  <c r="X284" i="60"/>
  <c r="Q284" i="60"/>
  <c r="AA283" i="60"/>
  <c r="X283" i="60"/>
  <c r="Q283" i="60"/>
  <c r="N283" i="60" s="1"/>
  <c r="X282" i="60"/>
  <c r="Q282" i="60"/>
  <c r="X281" i="60"/>
  <c r="Q281" i="60"/>
  <c r="AA280" i="60"/>
  <c r="X280" i="60"/>
  <c r="Q280" i="60"/>
  <c r="N280" i="60" s="1"/>
  <c r="AA279" i="60"/>
  <c r="X279" i="60"/>
  <c r="Q279" i="60"/>
  <c r="AA278" i="60"/>
  <c r="X278" i="60"/>
  <c r="Q278" i="60"/>
  <c r="AA277" i="60"/>
  <c r="X277" i="60"/>
  <c r="Q277" i="60"/>
  <c r="N277" i="60" s="1"/>
  <c r="AA276" i="60"/>
  <c r="X276" i="60"/>
  <c r="Q276" i="60"/>
  <c r="X275" i="60"/>
  <c r="X274" i="60"/>
  <c r="AA273" i="60"/>
  <c r="X273" i="60"/>
  <c r="AA272" i="60"/>
  <c r="X272" i="60"/>
  <c r="AA271" i="60"/>
  <c r="X271" i="60"/>
  <c r="AA270" i="60"/>
  <c r="X270" i="60"/>
  <c r="X269" i="60"/>
  <c r="X268" i="60"/>
  <c r="X267" i="60"/>
  <c r="X266" i="60"/>
  <c r="X265" i="60"/>
  <c r="X264" i="60"/>
  <c r="AA263" i="60"/>
  <c r="X263" i="60"/>
  <c r="X262" i="60"/>
  <c r="X261" i="60"/>
  <c r="X260" i="60"/>
  <c r="X259" i="60"/>
  <c r="AA258" i="60"/>
  <c r="X258" i="60"/>
  <c r="AQ254" i="60"/>
  <c r="AH249" i="60"/>
  <c r="AJ248" i="60"/>
  <c r="AH248" i="60"/>
  <c r="AB248" i="60"/>
  <c r="X248" i="60"/>
  <c r="AJ247" i="60"/>
  <c r="AH247" i="60"/>
  <c r="AB247" i="60"/>
  <c r="X247" i="60"/>
  <c r="Q247" i="60"/>
  <c r="AJ246" i="60"/>
  <c r="AH246" i="60"/>
  <c r="AB246" i="60"/>
  <c r="X246" i="60"/>
  <c r="Q246" i="60"/>
  <c r="AJ245" i="60"/>
  <c r="AH245" i="60"/>
  <c r="AB245" i="60"/>
  <c r="X245" i="60"/>
  <c r="Q245" i="60"/>
  <c r="N245" i="60" s="1"/>
  <c r="AH244" i="60"/>
  <c r="AB244" i="60"/>
  <c r="X244" i="60"/>
  <c r="Q244" i="60"/>
  <c r="AH243" i="60"/>
  <c r="AB243" i="60"/>
  <c r="X243" i="60"/>
  <c r="Q243" i="60"/>
  <c r="AH242" i="60"/>
  <c r="AB242" i="60"/>
  <c r="X242" i="60"/>
  <c r="Q242" i="60"/>
  <c r="N242" i="60" s="1"/>
  <c r="AJ241" i="60"/>
  <c r="AH241" i="60"/>
  <c r="AB241" i="60"/>
  <c r="X241" i="60"/>
  <c r="Q241" i="60"/>
  <c r="N241" i="60" s="1"/>
  <c r="AJ240" i="60"/>
  <c r="AH240" i="60"/>
  <c r="AB240" i="60"/>
  <c r="X240" i="60"/>
  <c r="Q240" i="60"/>
  <c r="N240" i="60" s="1"/>
  <c r="AH239" i="60"/>
  <c r="AB239" i="60"/>
  <c r="X239" i="60"/>
  <c r="Q239" i="60"/>
  <c r="N239" i="60" s="1"/>
  <c r="AH238" i="60"/>
  <c r="AB238" i="60"/>
  <c r="X238" i="60"/>
  <c r="Q238" i="60"/>
  <c r="AH237" i="60"/>
  <c r="AB237" i="60"/>
  <c r="X237" i="60"/>
  <c r="Q237" i="60"/>
  <c r="N237" i="60" s="1"/>
  <c r="AJ236" i="60"/>
  <c r="AH236" i="60"/>
  <c r="AB236" i="60"/>
  <c r="X236" i="60"/>
  <c r="Q236" i="60"/>
  <c r="N236" i="60" s="1"/>
  <c r="AJ235" i="60"/>
  <c r="AH235" i="60"/>
  <c r="AB235" i="60"/>
  <c r="X235" i="60"/>
  <c r="Q235" i="60"/>
  <c r="N235" i="60" s="1"/>
  <c r="AJ234" i="60"/>
  <c r="AH234" i="60"/>
  <c r="AB234" i="60"/>
  <c r="X234" i="60"/>
  <c r="Q234" i="60"/>
  <c r="AH233" i="60"/>
  <c r="AB233" i="60"/>
  <c r="X233" i="60"/>
  <c r="Q233" i="60"/>
  <c r="AH232" i="60"/>
  <c r="AB232" i="60"/>
  <c r="X232" i="60"/>
  <c r="Q232" i="60"/>
  <c r="N232" i="60" s="1"/>
  <c r="AH231" i="60"/>
  <c r="AB231" i="60"/>
  <c r="X231" i="60"/>
  <c r="Q231" i="60"/>
  <c r="AH230" i="60"/>
  <c r="AB230" i="60"/>
  <c r="X230" i="60"/>
  <c r="Q230" i="60"/>
  <c r="AJ229" i="60"/>
  <c r="AH229" i="60"/>
  <c r="AB229" i="60"/>
  <c r="X229" i="60"/>
  <c r="Q229" i="60"/>
  <c r="N229" i="60" s="1"/>
  <c r="AJ228" i="60"/>
  <c r="AH228" i="60"/>
  <c r="AB228" i="60"/>
  <c r="X228" i="60"/>
  <c r="Q228" i="60"/>
  <c r="AH227" i="60"/>
  <c r="AB227" i="60"/>
  <c r="X227" i="60"/>
  <c r="Q227" i="60"/>
  <c r="AH226" i="60"/>
  <c r="AB226" i="60"/>
  <c r="X226" i="60"/>
  <c r="Q226" i="60"/>
  <c r="AH225" i="60"/>
  <c r="AB225" i="60"/>
  <c r="X225" i="60"/>
  <c r="Q225" i="60"/>
  <c r="AH224" i="60"/>
  <c r="AB224" i="60"/>
  <c r="X224" i="60"/>
  <c r="Q224" i="60"/>
  <c r="N224" i="60" s="1"/>
  <c r="AH223" i="60"/>
  <c r="AB223" i="60"/>
  <c r="X223" i="60"/>
  <c r="Q223" i="60"/>
  <c r="N223" i="60" s="1"/>
  <c r="AH222" i="60"/>
  <c r="AB222" i="60"/>
  <c r="X222" i="60"/>
  <c r="Q222" i="60"/>
  <c r="AH221" i="60"/>
  <c r="AB221" i="60"/>
  <c r="X221" i="60"/>
  <c r="Q221" i="60"/>
  <c r="AH220" i="60"/>
  <c r="AB220" i="60"/>
  <c r="X220" i="60"/>
  <c r="Q220" i="60"/>
  <c r="AJ219" i="60"/>
  <c r="AH219" i="60"/>
  <c r="AB219" i="60"/>
  <c r="X219" i="60"/>
  <c r="AB215" i="60"/>
  <c r="U215" i="60" s="1"/>
  <c r="V215" i="60"/>
  <c r="R215" i="60" s="1"/>
  <c r="R280" i="60" s="1"/>
  <c r="T215" i="60"/>
  <c r="S215" i="60"/>
  <c r="S242" i="60" s="1"/>
  <c r="AA214" i="60"/>
  <c r="AJ212" i="60"/>
  <c r="AJ209" i="60"/>
  <c r="W207" i="60"/>
  <c r="AA202" i="60"/>
  <c r="X202" i="60"/>
  <c r="AA201" i="60"/>
  <c r="X201" i="60"/>
  <c r="AA200" i="60"/>
  <c r="X200" i="60"/>
  <c r="AA199" i="60"/>
  <c r="X199" i="60"/>
  <c r="AA198" i="60"/>
  <c r="X198" i="60"/>
  <c r="AA197" i="60"/>
  <c r="X197" i="60"/>
  <c r="AA196" i="60"/>
  <c r="X196" i="60"/>
  <c r="AA195" i="60"/>
  <c r="X195" i="60"/>
  <c r="AA194" i="60"/>
  <c r="X194" i="60"/>
  <c r="AA193" i="60"/>
  <c r="X193" i="60"/>
  <c r="AA192" i="60"/>
  <c r="X192" i="60"/>
  <c r="AA191" i="60"/>
  <c r="X191" i="60"/>
  <c r="AA190" i="60"/>
  <c r="X190" i="60"/>
  <c r="AA189" i="60"/>
  <c r="X189" i="60"/>
  <c r="AA188" i="60"/>
  <c r="X188" i="60"/>
  <c r="X187" i="60"/>
  <c r="X186" i="60"/>
  <c r="AA185" i="60"/>
  <c r="AA186" i="60" s="1"/>
  <c r="AA187" i="60" s="1"/>
  <c r="X185" i="60"/>
  <c r="AQ182" i="60"/>
  <c r="AQ181" i="60"/>
  <c r="AH176" i="60"/>
  <c r="AJ175" i="60"/>
  <c r="AH175" i="60"/>
  <c r="AB175" i="60"/>
  <c r="X175" i="60"/>
  <c r="AJ174" i="60"/>
  <c r="AH174" i="60"/>
  <c r="AB174" i="60"/>
  <c r="X174" i="60"/>
  <c r="Q174" i="60"/>
  <c r="AJ173" i="60"/>
  <c r="AH173" i="60"/>
  <c r="AB173" i="60"/>
  <c r="X173" i="60"/>
  <c r="Q173" i="60"/>
  <c r="AH172" i="60"/>
  <c r="AB172" i="60"/>
  <c r="X172" i="60"/>
  <c r="Q172" i="60"/>
  <c r="AH171" i="60"/>
  <c r="AB171" i="60"/>
  <c r="X171" i="60"/>
  <c r="Q171" i="60"/>
  <c r="N171" i="60" s="1"/>
  <c r="AH170" i="60"/>
  <c r="AB170" i="60"/>
  <c r="X170" i="60"/>
  <c r="AB166" i="60"/>
  <c r="U166" i="60" s="1"/>
  <c r="V166" i="60"/>
  <c r="R166" i="60" s="1"/>
  <c r="T166" i="60"/>
  <c r="S166" i="60"/>
  <c r="AA165" i="60"/>
  <c r="X165" i="60"/>
  <c r="Z165" i="60" s="1" a="1"/>
  <c r="Z165" i="60" s="1"/>
  <c r="AQ165" i="60" s="1"/>
  <c r="BC165" i="60" s="1" a="1"/>
  <c r="BC165" i="60" s="1"/>
  <c r="AJ163" i="60"/>
  <c r="AJ160" i="60"/>
  <c r="W158" i="60"/>
  <c r="AA153" i="60"/>
  <c r="X153" i="60"/>
  <c r="AA152" i="60"/>
  <c r="X152" i="60"/>
  <c r="AA151" i="60"/>
  <c r="X151" i="60"/>
  <c r="AA150" i="60"/>
  <c r="X150" i="60"/>
  <c r="AA149" i="60"/>
  <c r="X149" i="60"/>
  <c r="AA148" i="60"/>
  <c r="X148" i="60"/>
  <c r="X147" i="60"/>
  <c r="AA146" i="60"/>
  <c r="X146" i="60"/>
  <c r="X145" i="60"/>
  <c r="X144" i="60"/>
  <c r="X143" i="60"/>
  <c r="AA142" i="60"/>
  <c r="AA143" i="60" s="1"/>
  <c r="X142" i="60"/>
  <c r="AQ139" i="60"/>
  <c r="BC139" i="60" s="1" a="1"/>
  <c r="BC139" i="60" s="1"/>
  <c r="AQ138" i="60"/>
  <c r="AH133" i="60"/>
  <c r="AJ132" i="60"/>
  <c r="AH132" i="60"/>
  <c r="AB132" i="60"/>
  <c r="X132" i="60"/>
  <c r="AJ131" i="60"/>
  <c r="AH131" i="60"/>
  <c r="AB131" i="60"/>
  <c r="X131" i="60"/>
  <c r="Q131" i="60"/>
  <c r="AJ130" i="60"/>
  <c r="AH130" i="60"/>
  <c r="AB130" i="60"/>
  <c r="X130" i="60"/>
  <c r="Q130" i="60"/>
  <c r="AH129" i="60"/>
  <c r="AB129" i="60"/>
  <c r="X129" i="60"/>
  <c r="Q129" i="60"/>
  <c r="AH128" i="60"/>
  <c r="AB128" i="60"/>
  <c r="X128" i="60"/>
  <c r="Q128" i="60"/>
  <c r="AH127" i="60"/>
  <c r="AB127" i="60"/>
  <c r="X127" i="60"/>
  <c r="AB123" i="60"/>
  <c r="V123" i="60"/>
  <c r="R123" i="60" s="1"/>
  <c r="R140" i="60" s="1"/>
  <c r="T123" i="60"/>
  <c r="T144" i="60" s="1"/>
  <c r="S123" i="60"/>
  <c r="S148" i="60" s="1"/>
  <c r="AA122" i="60"/>
  <c r="AG128" i="60" s="1"/>
  <c r="X122" i="60"/>
  <c r="Z122" i="60" s="1" a="1"/>
  <c r="Z122" i="60" s="1"/>
  <c r="AQ122" i="60" s="1"/>
  <c r="BF122" i="60" s="1"/>
  <c r="AJ120" i="60"/>
  <c r="AJ117" i="60"/>
  <c r="W115" i="60"/>
  <c r="AA110" i="60"/>
  <c r="X110" i="60"/>
  <c r="AA109" i="60"/>
  <c r="X109" i="60"/>
  <c r="AA108" i="60"/>
  <c r="X108" i="60"/>
  <c r="AA107" i="60"/>
  <c r="X107" i="60"/>
  <c r="AA106" i="60"/>
  <c r="X106" i="60"/>
  <c r="AA105" i="60"/>
  <c r="X105" i="60"/>
  <c r="X104" i="60"/>
  <c r="AA103" i="60"/>
  <c r="X103" i="60"/>
  <c r="X102" i="60"/>
  <c r="X101" i="60"/>
  <c r="X100" i="60"/>
  <c r="AA99" i="60"/>
  <c r="AA100" i="60" s="1"/>
  <c r="X99" i="60"/>
  <c r="BF95" i="60"/>
  <c r="AH90" i="60"/>
  <c r="AJ89" i="60"/>
  <c r="AH89" i="60"/>
  <c r="AB89" i="60"/>
  <c r="X89" i="60"/>
  <c r="AJ88" i="60"/>
  <c r="AH88" i="60"/>
  <c r="X88" i="60"/>
  <c r="Q88" i="60"/>
  <c r="AH87" i="60"/>
  <c r="AB87" i="60"/>
  <c r="X87" i="60"/>
  <c r="Q87" i="60"/>
  <c r="AH86" i="60"/>
  <c r="AB86" i="60"/>
  <c r="X86" i="60"/>
  <c r="Q86" i="60"/>
  <c r="AH85" i="60"/>
  <c r="AB85" i="60"/>
  <c r="X85" i="60"/>
  <c r="Q85" i="60"/>
  <c r="N85" i="60" s="1"/>
  <c r="AH84" i="60"/>
  <c r="AB84" i="60"/>
  <c r="X84" i="60"/>
  <c r="AB80" i="60"/>
  <c r="U80" i="60" s="1"/>
  <c r="U107" i="60" s="1"/>
  <c r="V80" i="60"/>
  <c r="R80" i="60" s="1"/>
  <c r="T80" i="60"/>
  <c r="T107" i="60" s="1"/>
  <c r="S80" i="60"/>
  <c r="S105" i="60" s="1"/>
  <c r="AA79" i="60"/>
  <c r="AG88" i="60" s="1"/>
  <c r="X79" i="60"/>
  <c r="Z79" i="60" s="1" a="1"/>
  <c r="Z79" i="60" s="1"/>
  <c r="AQ79" i="60" s="1"/>
  <c r="AJ77" i="60"/>
  <c r="AJ74" i="60"/>
  <c r="W72" i="60"/>
  <c r="AA67" i="60"/>
  <c r="X67" i="60"/>
  <c r="AA66" i="60"/>
  <c r="X66" i="60"/>
  <c r="X65" i="60"/>
  <c r="X64" i="60"/>
  <c r="AA63" i="60"/>
  <c r="X63" i="60"/>
  <c r="AA62" i="60"/>
  <c r="X62" i="60"/>
  <c r="AA61" i="60"/>
  <c r="X61" i="60"/>
  <c r="AA60" i="60"/>
  <c r="X60" i="60"/>
  <c r="AA59" i="60"/>
  <c r="X59" i="60"/>
  <c r="AA58" i="60"/>
  <c r="X58" i="60"/>
  <c r="AA57" i="60"/>
  <c r="X57" i="60"/>
  <c r="AA56" i="60"/>
  <c r="X56" i="60"/>
  <c r="AA55" i="60"/>
  <c r="X55" i="60"/>
  <c r="AA54" i="60"/>
  <c r="X54" i="60"/>
  <c r="AA53" i="60"/>
  <c r="X53" i="60"/>
  <c r="X52" i="60"/>
  <c r="X51" i="60"/>
  <c r="X50" i="60"/>
  <c r="X49" i="60"/>
  <c r="AA48" i="60"/>
  <c r="X48" i="60"/>
  <c r="AQ45" i="60"/>
  <c r="AQ44" i="60"/>
  <c r="AH39" i="60"/>
  <c r="AJ38" i="60"/>
  <c r="AH38" i="60"/>
  <c r="X38" i="60"/>
  <c r="AJ37" i="60"/>
  <c r="AH37" i="60"/>
  <c r="X37" i="60"/>
  <c r="Q37" i="60"/>
  <c r="N37" i="60" s="1"/>
  <c r="AJ36" i="60"/>
  <c r="AH36" i="60"/>
  <c r="X36" i="60"/>
  <c r="Q36" i="60"/>
  <c r="N36" i="60" s="1"/>
  <c r="AJ35" i="60"/>
  <c r="AH35" i="60"/>
  <c r="X35" i="60"/>
  <c r="Q35" i="60"/>
  <c r="AJ34" i="60"/>
  <c r="AH34" i="60"/>
  <c r="X34" i="60"/>
  <c r="Q34" i="60"/>
  <c r="AJ33" i="60"/>
  <c r="AH33" i="60"/>
  <c r="X33" i="60"/>
  <c r="Q33" i="60"/>
  <c r="AJ32" i="60"/>
  <c r="AH32" i="60"/>
  <c r="X32" i="60"/>
  <c r="Q32" i="60"/>
  <c r="AH31" i="60"/>
  <c r="X31" i="60"/>
  <c r="Q31" i="60"/>
  <c r="AH30" i="60"/>
  <c r="X30" i="60"/>
  <c r="Q30" i="60"/>
  <c r="AH29" i="60"/>
  <c r="X29" i="60"/>
  <c r="Q29" i="60"/>
  <c r="AH28" i="60"/>
  <c r="X28" i="60"/>
  <c r="Q28" i="60"/>
  <c r="AH27" i="60"/>
  <c r="X27" i="60"/>
  <c r="Q27" i="60"/>
  <c r="AH26" i="60"/>
  <c r="X26" i="60"/>
  <c r="Q26" i="60"/>
  <c r="AH25" i="60"/>
  <c r="X25" i="60"/>
  <c r="Q25" i="60"/>
  <c r="N25" i="60" s="1"/>
  <c r="AH24" i="60"/>
  <c r="X24" i="60"/>
  <c r="AB20" i="60"/>
  <c r="R20" i="60"/>
  <c r="T20" i="60"/>
  <c r="T66" i="60" s="1"/>
  <c r="S20" i="60"/>
  <c r="S19" i="60" s="1"/>
  <c r="AA19" i="60"/>
  <c r="AG27" i="60" s="1"/>
  <c r="AJ17" i="60"/>
  <c r="AJ14" i="60"/>
  <c r="BB62" i="54"/>
  <c r="AY62" i="54"/>
  <c r="BB61" i="54"/>
  <c r="AY61" i="54"/>
  <c r="BB60" i="54"/>
  <c r="AY60" i="54"/>
  <c r="BB59" i="54"/>
  <c r="AY59" i="54"/>
  <c r="BB58" i="54"/>
  <c r="AY58" i="54"/>
  <c r="BB57" i="54"/>
  <c r="AY57" i="54"/>
  <c r="BB56" i="54"/>
  <c r="AY56" i="54"/>
  <c r="BB55" i="54"/>
  <c r="AY55" i="54"/>
  <c r="BB54" i="54"/>
  <c r="AY54" i="54"/>
  <c r="BB53" i="54"/>
  <c r="AY53" i="54"/>
  <c r="BB52" i="54"/>
  <c r="AY52" i="54"/>
  <c r="BB51" i="54"/>
  <c r="AY51" i="54"/>
  <c r="AY50" i="54"/>
  <c r="BB49" i="54"/>
  <c r="AY49" i="54"/>
  <c r="BB48" i="54"/>
  <c r="AY48" i="54"/>
  <c r="BB47" i="54"/>
  <c r="AY47" i="54"/>
  <c r="BB46" i="54"/>
  <c r="AY46" i="54"/>
  <c r="BB45" i="54"/>
  <c r="AY45" i="54"/>
  <c r="AG62" i="54"/>
  <c r="AD62" i="54"/>
  <c r="AG61" i="54"/>
  <c r="AD61" i="54"/>
  <c r="AG60" i="54"/>
  <c r="AD60" i="54"/>
  <c r="AG59" i="54"/>
  <c r="AD59" i="54"/>
  <c r="AG58" i="54"/>
  <c r="AD58" i="54"/>
  <c r="AG57" i="54"/>
  <c r="AD57" i="54"/>
  <c r="AG56" i="54"/>
  <c r="AD56" i="54"/>
  <c r="AG55" i="54"/>
  <c r="AD55" i="54"/>
  <c r="AG54" i="54"/>
  <c r="AD54" i="54"/>
  <c r="AG53" i="54"/>
  <c r="AD53" i="54"/>
  <c r="AG52" i="54"/>
  <c r="AD52" i="54"/>
  <c r="AG51" i="54"/>
  <c r="AD51" i="54"/>
  <c r="AD50" i="54"/>
  <c r="AG49" i="54"/>
  <c r="AD49" i="54"/>
  <c r="AG48" i="54"/>
  <c r="AD48" i="54"/>
  <c r="AG47" i="54"/>
  <c r="AD47" i="54"/>
  <c r="AG46" i="54"/>
  <c r="AD46" i="54"/>
  <c r="AG45" i="54"/>
  <c r="AD45" i="54"/>
  <c r="I62" i="54"/>
  <c r="L61" i="54"/>
  <c r="I61" i="54"/>
  <c r="L60" i="54"/>
  <c r="I60" i="54"/>
  <c r="L59" i="54"/>
  <c r="I59" i="54"/>
  <c r="L58" i="54"/>
  <c r="I58" i="54"/>
  <c r="L57" i="54"/>
  <c r="I57" i="54"/>
  <c r="L56" i="54"/>
  <c r="I56" i="54"/>
  <c r="L55" i="54"/>
  <c r="I55" i="54"/>
  <c r="L54" i="54"/>
  <c r="I54" i="54"/>
  <c r="L53" i="54"/>
  <c r="I53" i="54"/>
  <c r="L52" i="54"/>
  <c r="I52" i="54"/>
  <c r="L51" i="54"/>
  <c r="DK552" i="60"/>
  <c r="DI552" i="60"/>
  <c r="DE4" i="60" s="1"/>
  <c r="BS63" i="60"/>
  <c r="BV63" i="60" s="1"/>
  <c r="BS62" i="60"/>
  <c r="BV62" i="60" s="1"/>
  <c r="BS61" i="60"/>
  <c r="BV61" i="60" s="1"/>
  <c r="BS60" i="60"/>
  <c r="BV60" i="60" s="1"/>
  <c r="BS59" i="60"/>
  <c r="BV59" i="60" s="1"/>
  <c r="BS58" i="60"/>
  <c r="BV58" i="60" s="1"/>
  <c r="BS57" i="60"/>
  <c r="BV57" i="60" s="1"/>
  <c r="BS56" i="60"/>
  <c r="BV56" i="60" s="1"/>
  <c r="BS55" i="60"/>
  <c r="BV55" i="60" s="1"/>
  <c r="BS54" i="60"/>
  <c r="BV54" i="60" s="1"/>
  <c r="BS53" i="60"/>
  <c r="BV53" i="60" s="1"/>
  <c r="BS52" i="60"/>
  <c r="BV52" i="60" s="1"/>
  <c r="BS51" i="60"/>
  <c r="BV51" i="60" s="1"/>
  <c r="BS50" i="60"/>
  <c r="BV50" i="60" s="1"/>
  <c r="BS49" i="60"/>
  <c r="BV49" i="60" s="1"/>
  <c r="BS48" i="60"/>
  <c r="BV48" i="60" s="1"/>
  <c r="BS47" i="60"/>
  <c r="BV47" i="60" s="1"/>
  <c r="BS46" i="60"/>
  <c r="BV46" i="60" s="1"/>
  <c r="BS45" i="60"/>
  <c r="BV45" i="60" s="1"/>
  <c r="BS44" i="60"/>
  <c r="BV44" i="60" s="1"/>
  <c r="BS43" i="60"/>
  <c r="BV43" i="60" s="1"/>
  <c r="BS42" i="60"/>
  <c r="BV42" i="60" s="1"/>
  <c r="BS41" i="60"/>
  <c r="BV41" i="60" s="1"/>
  <c r="BS40" i="60"/>
  <c r="BV40" i="60" s="1"/>
  <c r="BS39" i="60"/>
  <c r="BV39" i="60" s="1"/>
  <c r="BS38" i="60"/>
  <c r="BV38" i="60" s="1"/>
  <c r="BS37" i="60"/>
  <c r="BV37" i="60" s="1"/>
  <c r="BS36" i="60"/>
  <c r="BV36" i="60" s="1"/>
  <c r="BS35" i="60"/>
  <c r="BV35" i="60" s="1"/>
  <c r="BS34" i="60"/>
  <c r="BV34" i="60" s="1"/>
  <c r="BS33" i="60"/>
  <c r="BV33" i="60" s="1"/>
  <c r="BS32" i="60"/>
  <c r="BV32" i="60" s="1"/>
  <c r="BS31" i="60"/>
  <c r="BV31" i="60" s="1"/>
  <c r="BS30" i="60"/>
  <c r="BV30" i="60" s="1"/>
  <c r="BS29" i="60"/>
  <c r="BV29" i="60" s="1"/>
  <c r="BS28" i="60"/>
  <c r="BV28" i="60" s="1"/>
  <c r="BV27" i="60"/>
  <c r="BV25" i="60"/>
  <c r="BV24" i="60"/>
  <c r="BS23" i="60"/>
  <c r="BV23" i="60" s="1"/>
  <c r="BS22" i="60"/>
  <c r="BV22" i="60" s="1"/>
  <c r="BN22" i="60"/>
  <c r="BM22" i="60"/>
  <c r="BS21" i="60"/>
  <c r="BV21" i="60" s="1"/>
  <c r="BN21" i="60"/>
  <c r="BM21" i="60" s="1"/>
  <c r="BS20" i="60"/>
  <c r="BV20" i="60" s="1"/>
  <c r="BS19" i="60"/>
  <c r="BV19" i="60" s="1"/>
  <c r="BN19" i="60"/>
  <c r="BM19" i="60"/>
  <c r="BK19" i="60"/>
  <c r="BJ19" i="60"/>
  <c r="BI19" i="60"/>
  <c r="BH19" i="60"/>
  <c r="BG19" i="60"/>
  <c r="BF19" i="60"/>
  <c r="BE19" i="60"/>
  <c r="BD19" i="60"/>
  <c r="BC19" i="60"/>
  <c r="BB19" i="60"/>
  <c r="BA19" i="60"/>
  <c r="AZ19" i="60"/>
  <c r="AY19" i="60"/>
  <c r="AX19" i="60"/>
  <c r="AW19" i="60"/>
  <c r="AV19" i="60"/>
  <c r="AU19" i="60"/>
  <c r="AT19" i="60"/>
  <c r="AS19" i="60"/>
  <c r="AR19" i="60"/>
  <c r="AQ19" i="60"/>
  <c r="AP19" i="60"/>
  <c r="AO19" i="60"/>
  <c r="AN19" i="60"/>
  <c r="AM19" i="60"/>
  <c r="BV18" i="60"/>
  <c r="BV17" i="60"/>
  <c r="BV16" i="60"/>
  <c r="BW15" i="60"/>
  <c r="BV15" i="60"/>
  <c r="BU15" i="60"/>
  <c r="BT15" i="60"/>
  <c r="BS15" i="60"/>
  <c r="BR15" i="60"/>
  <c r="BQ15" i="60"/>
  <c r="BP15" i="60"/>
  <c r="CG6" i="60"/>
  <c r="CD6" i="60"/>
  <c r="BJ6" i="60"/>
  <c r="CI2" i="60"/>
  <c r="CH2" i="60"/>
  <c r="CG2" i="60"/>
  <c r="CF2" i="60"/>
  <c r="CE2" i="60"/>
  <c r="CD2" i="60"/>
  <c r="BW2" i="60"/>
  <c r="BV2" i="60"/>
  <c r="BU2" i="60"/>
  <c r="BT2" i="60"/>
  <c r="BS2" i="60"/>
  <c r="BP2" i="60"/>
  <c r="BO2" i="60"/>
  <c r="BN2" i="60"/>
  <c r="BK2" i="60"/>
  <c r="BJ2" i="60"/>
  <c r="BI2" i="60"/>
  <c r="BH2" i="60"/>
  <c r="BG2" i="60"/>
  <c r="BF2" i="60"/>
  <c r="BE2" i="60"/>
  <c r="BD2" i="60"/>
  <c r="BC2" i="60"/>
  <c r="BB2" i="60"/>
  <c r="BA2" i="60"/>
  <c r="AZ2" i="60"/>
  <c r="AY2" i="60"/>
  <c r="AX2" i="60"/>
  <c r="AW2" i="60"/>
  <c r="AV2" i="60"/>
  <c r="AU2" i="60"/>
  <c r="AT2" i="60"/>
  <c r="AS2" i="60"/>
  <c r="AR2" i="60"/>
  <c r="AQ2" i="60"/>
  <c r="AP2" i="60"/>
  <c r="AO2" i="60"/>
  <c r="AN2" i="60"/>
  <c r="AM2" i="60"/>
  <c r="AL2" i="60"/>
  <c r="DK1" i="60"/>
  <c r="DJ1" i="60"/>
  <c r="CI1" i="60"/>
  <c r="CH1" i="60"/>
  <c r="CG1" i="60"/>
  <c r="CF1" i="60"/>
  <c r="CE1" i="60"/>
  <c r="CD1" i="60"/>
  <c r="BW1" i="60"/>
  <c r="BV1" i="60"/>
  <c r="BU1" i="60"/>
  <c r="BT1" i="60"/>
  <c r="BS1" i="60"/>
  <c r="BP1" i="60"/>
  <c r="BO1" i="60"/>
  <c r="BN1" i="60"/>
  <c r="BK1" i="60"/>
  <c r="BJ1" i="60"/>
  <c r="BI1" i="60"/>
  <c r="BH1" i="60"/>
  <c r="BG1" i="60"/>
  <c r="BF1" i="60"/>
  <c r="BE1" i="60"/>
  <c r="BD1" i="60"/>
  <c r="BC1" i="60"/>
  <c r="BB1" i="60"/>
  <c r="BA1" i="60"/>
  <c r="AZ1" i="60"/>
  <c r="AY1" i="60"/>
  <c r="AX1" i="60"/>
  <c r="AW1" i="60"/>
  <c r="AV1" i="60"/>
  <c r="AU1" i="60"/>
  <c r="AT1" i="60"/>
  <c r="AS1" i="60"/>
  <c r="AR1" i="60"/>
  <c r="AQ1" i="60"/>
  <c r="AP1" i="60"/>
  <c r="AO1" i="60"/>
  <c r="AN1" i="60"/>
  <c r="AM1" i="60"/>
  <c r="AL1" i="60"/>
  <c r="AI1" i="60"/>
  <c r="AH1" i="60"/>
  <c r="AG1" i="60"/>
  <c r="AF1" i="60"/>
  <c r="AE1" i="60"/>
  <c r="AD1" i="60"/>
  <c r="AC1" i="60"/>
  <c r="AB1" i="60"/>
  <c r="AA1" i="60"/>
  <c r="Z1" i="60"/>
  <c r="Y1" i="60"/>
  <c r="X1" i="60"/>
  <c r="W1" i="60"/>
  <c r="V1" i="60"/>
  <c r="U1" i="60"/>
  <c r="T1" i="60"/>
  <c r="S1" i="60"/>
  <c r="R1" i="60"/>
  <c r="Q1" i="60"/>
  <c r="A1" i="60"/>
  <c r="F3" i="13"/>
  <c r="E3" i="13"/>
  <c r="C3" i="13"/>
  <c r="B3" i="13"/>
  <c r="C1" i="13"/>
  <c r="C2" i="13"/>
  <c r="B2" i="13"/>
  <c r="B1" i="13"/>
  <c r="BK308" i="54"/>
  <c r="BK307" i="54"/>
  <c r="BK306" i="54"/>
  <c r="BK305" i="54"/>
  <c r="BK304" i="54"/>
  <c r="BK303" i="54"/>
  <c r="BK302" i="54"/>
  <c r="BK301" i="54"/>
  <c r="BK300" i="54"/>
  <c r="BK299" i="54"/>
  <c r="BK298" i="54"/>
  <c r="BK297" i="54"/>
  <c r="BK296" i="54"/>
  <c r="BK295" i="54"/>
  <c r="BK294" i="54"/>
  <c r="BK293" i="54"/>
  <c r="BK292" i="54"/>
  <c r="BK291" i="54"/>
  <c r="BK290" i="54"/>
  <c r="BK289" i="54"/>
  <c r="BK288" i="54"/>
  <c r="BK287" i="54"/>
  <c r="BK286" i="54"/>
  <c r="BK285" i="54"/>
  <c r="BK284" i="54"/>
  <c r="BK283" i="54"/>
  <c r="BK282" i="54"/>
  <c r="BK281" i="54"/>
  <c r="BK280" i="54"/>
  <c r="BK279" i="54"/>
  <c r="AP308" i="54"/>
  <c r="AP307" i="54"/>
  <c r="AP306" i="54"/>
  <c r="AP305" i="54"/>
  <c r="AP304" i="54"/>
  <c r="AP303" i="54"/>
  <c r="AP302" i="54"/>
  <c r="AP301" i="54"/>
  <c r="AP300" i="54"/>
  <c r="AP299" i="54"/>
  <c r="AP298" i="54"/>
  <c r="AP297" i="54"/>
  <c r="AP296" i="54"/>
  <c r="AP295" i="54"/>
  <c r="AP294" i="54"/>
  <c r="AP293" i="54"/>
  <c r="AP292" i="54"/>
  <c r="AP291" i="54"/>
  <c r="AP290" i="54"/>
  <c r="AP289" i="54"/>
  <c r="AP288" i="54"/>
  <c r="AP287" i="54"/>
  <c r="AP286" i="54"/>
  <c r="AP285" i="54"/>
  <c r="AP284" i="54"/>
  <c r="AP283" i="54"/>
  <c r="AP282" i="54"/>
  <c r="AP281" i="54"/>
  <c r="AP280" i="54"/>
  <c r="AP279" i="54"/>
  <c r="BK213" i="54"/>
  <c r="BK212" i="54"/>
  <c r="BK211" i="54"/>
  <c r="BK210" i="54"/>
  <c r="BK209" i="54"/>
  <c r="BK208" i="54"/>
  <c r="BK207" i="54"/>
  <c r="BK206" i="54"/>
  <c r="BK205" i="54"/>
  <c r="BK204" i="54"/>
  <c r="BK203" i="54"/>
  <c r="BK202" i="54"/>
  <c r="BK201" i="54"/>
  <c r="BK200" i="54"/>
  <c r="BK199" i="54"/>
  <c r="BK198" i="54"/>
  <c r="BK197" i="54"/>
  <c r="BK196" i="54"/>
  <c r="BK195" i="54"/>
  <c r="BK194" i="54"/>
  <c r="AP213" i="54"/>
  <c r="AP212" i="54"/>
  <c r="AP211" i="54"/>
  <c r="AP210" i="54"/>
  <c r="AP209" i="54"/>
  <c r="AP208" i="54"/>
  <c r="AP207" i="54"/>
  <c r="AP206" i="54"/>
  <c r="AP205" i="54"/>
  <c r="AP204" i="54"/>
  <c r="AP203" i="54"/>
  <c r="AP202" i="54"/>
  <c r="AP201" i="54"/>
  <c r="AP200" i="54"/>
  <c r="AP199" i="54"/>
  <c r="AP198" i="54"/>
  <c r="AP197" i="54"/>
  <c r="AP196" i="54"/>
  <c r="AP195" i="54"/>
  <c r="AP194" i="54"/>
  <c r="BK148" i="54"/>
  <c r="BK147" i="54"/>
  <c r="BK146" i="54"/>
  <c r="BK145" i="54"/>
  <c r="BK144" i="54"/>
  <c r="BK143" i="54"/>
  <c r="BK142" i="54"/>
  <c r="BK141" i="54"/>
  <c r="BK140" i="54"/>
  <c r="BK139" i="54"/>
  <c r="BK138" i="54"/>
  <c r="BK137" i="54"/>
  <c r="BK136" i="54"/>
  <c r="BK135" i="54"/>
  <c r="BK134" i="54"/>
  <c r="AP148" i="54"/>
  <c r="AP147" i="54"/>
  <c r="AP146" i="54"/>
  <c r="AP145" i="54"/>
  <c r="AP144" i="54"/>
  <c r="AP143" i="54"/>
  <c r="AP142" i="54"/>
  <c r="AP141" i="54"/>
  <c r="AP140" i="54"/>
  <c r="AP139" i="54"/>
  <c r="AP138" i="54"/>
  <c r="AP137" i="54"/>
  <c r="AP136" i="54"/>
  <c r="AP135" i="54"/>
  <c r="AP134" i="54"/>
  <c r="BK88" i="54"/>
  <c r="BK87" i="54"/>
  <c r="BK86" i="54"/>
  <c r="BK85" i="54"/>
  <c r="BK84" i="54"/>
  <c r="BK83" i="54"/>
  <c r="BK82" i="54"/>
  <c r="BK81" i="54"/>
  <c r="BK80" i="54"/>
  <c r="BK79" i="54"/>
  <c r="AP88" i="54"/>
  <c r="AP87" i="54"/>
  <c r="AP86" i="54"/>
  <c r="AP85" i="54"/>
  <c r="AP84" i="54"/>
  <c r="AP83" i="54"/>
  <c r="AP82" i="54"/>
  <c r="AP81" i="54"/>
  <c r="AP80" i="54"/>
  <c r="AP79" i="54"/>
  <c r="BK35" i="54"/>
  <c r="BK34" i="54"/>
  <c r="BK33" i="54"/>
  <c r="BK32" i="54"/>
  <c r="BK31" i="54"/>
  <c r="BK30" i="54"/>
  <c r="AP35" i="54"/>
  <c r="AP34" i="54"/>
  <c r="AP33" i="54"/>
  <c r="AP32" i="54"/>
  <c r="AP31" i="54"/>
  <c r="AP30" i="54"/>
  <c r="U308" i="54"/>
  <c r="U307" i="54"/>
  <c r="U306" i="54"/>
  <c r="U305" i="54"/>
  <c r="U304" i="54"/>
  <c r="U303" i="54"/>
  <c r="U302" i="54"/>
  <c r="U301" i="54"/>
  <c r="U300" i="54"/>
  <c r="U299" i="54"/>
  <c r="U298" i="54"/>
  <c r="U297" i="54"/>
  <c r="U296" i="54"/>
  <c r="U295" i="54"/>
  <c r="U294" i="54"/>
  <c r="U293" i="54"/>
  <c r="U292" i="54"/>
  <c r="U291" i="54"/>
  <c r="U290" i="54"/>
  <c r="U289" i="54"/>
  <c r="U288" i="54"/>
  <c r="U287" i="54"/>
  <c r="U286" i="54"/>
  <c r="U285" i="54"/>
  <c r="U284" i="54"/>
  <c r="U283" i="54"/>
  <c r="U282" i="54"/>
  <c r="U281" i="54"/>
  <c r="U280" i="54"/>
  <c r="U279" i="54"/>
  <c r="U213" i="54"/>
  <c r="U212" i="54"/>
  <c r="U211" i="54"/>
  <c r="U210" i="54"/>
  <c r="U209" i="54"/>
  <c r="U208" i="54"/>
  <c r="U207" i="54"/>
  <c r="U206" i="54"/>
  <c r="U205" i="54"/>
  <c r="U204" i="54"/>
  <c r="U203" i="54"/>
  <c r="U202" i="54"/>
  <c r="U201" i="54"/>
  <c r="U200" i="54"/>
  <c r="U199" i="54"/>
  <c r="U198" i="54"/>
  <c r="U197" i="54"/>
  <c r="U196" i="54"/>
  <c r="U195" i="54"/>
  <c r="U194" i="54"/>
  <c r="U148" i="54"/>
  <c r="U147" i="54"/>
  <c r="U146" i="54"/>
  <c r="U145" i="54"/>
  <c r="U144" i="54"/>
  <c r="U143" i="54"/>
  <c r="U142" i="54"/>
  <c r="U141" i="54"/>
  <c r="U140" i="54"/>
  <c r="U139" i="54"/>
  <c r="U138" i="54"/>
  <c r="U137" i="54"/>
  <c r="U136" i="54"/>
  <c r="U135" i="54"/>
  <c r="U134" i="54"/>
  <c r="U88" i="54"/>
  <c r="U87" i="54"/>
  <c r="U86" i="54"/>
  <c r="U85" i="54"/>
  <c r="U84" i="54"/>
  <c r="U83" i="54"/>
  <c r="U82" i="54"/>
  <c r="U81" i="54"/>
  <c r="U80" i="54"/>
  <c r="U79" i="54"/>
  <c r="U35" i="54"/>
  <c r="U34" i="54"/>
  <c r="U33" i="54"/>
  <c r="U32" i="54"/>
  <c r="U31" i="54"/>
  <c r="U30" i="54"/>
  <c r="BK2" i="54"/>
  <c r="BC1" i="54"/>
  <c r="BD1" i="54"/>
  <c r="BC2" i="54"/>
  <c r="BD2" i="54"/>
  <c r="AH1" i="54"/>
  <c r="AI1" i="54"/>
  <c r="AJ1" i="54"/>
  <c r="AH2" i="54"/>
  <c r="AI2" i="54"/>
  <c r="AJ2" i="54"/>
  <c r="AY318" i="54"/>
  <c r="AY223" i="54"/>
  <c r="AY158" i="54"/>
  <c r="AY98" i="54"/>
  <c r="AD98" i="54"/>
  <c r="AD158" i="54"/>
  <c r="AD223" i="54"/>
  <c r="AD318" i="54"/>
  <c r="I318" i="54"/>
  <c r="I223" i="54"/>
  <c r="I158" i="54"/>
  <c r="I98" i="54"/>
  <c r="I45" i="54"/>
  <c r="F169" i="106" l="1"/>
  <c r="E169" i="106"/>
  <c r="D171" i="106" s="1" a="1"/>
  <c r="D171" i="106" s="1"/>
  <c r="AP29" i="60"/>
  <c r="AO29" i="60"/>
  <c r="AV29" i="60"/>
  <c r="AN29" i="60"/>
  <c r="AM29" i="60"/>
  <c r="AX29" i="60"/>
  <c r="AU29" i="60"/>
  <c r="AW29" i="60"/>
  <c r="BB29" i="60" s="1"/>
  <c r="AT29" i="60"/>
  <c r="AT26" i="60"/>
  <c r="AP26" i="60"/>
  <c r="AX26" i="60"/>
  <c r="AM26" i="60"/>
  <c r="AN26" i="60"/>
  <c r="AV26" i="60"/>
  <c r="AU26" i="60"/>
  <c r="AW26" i="60"/>
  <c r="AO26" i="60"/>
  <c r="AP30" i="60"/>
  <c r="AV30" i="60"/>
  <c r="AN30" i="60"/>
  <c r="AU30" i="60"/>
  <c r="AT30" i="60"/>
  <c r="AM30" i="60"/>
  <c r="AW30" i="60"/>
  <c r="BB30" i="60" s="1"/>
  <c r="AO30" i="60"/>
  <c r="AX30" i="60"/>
  <c r="BB37" i="60"/>
  <c r="AW37" i="60"/>
  <c r="AP37" i="60"/>
  <c r="AO37" i="60"/>
  <c r="AV37" i="60"/>
  <c r="AX37" i="60"/>
  <c r="AT37" i="60"/>
  <c r="AN37" i="60"/>
  <c r="AM37" i="60"/>
  <c r="AU37" i="60"/>
  <c r="AX28" i="60"/>
  <c r="AU28" i="60"/>
  <c r="AW28" i="60"/>
  <c r="AT28" i="60"/>
  <c r="AP28" i="60"/>
  <c r="AM28" i="60"/>
  <c r="AO28" i="60"/>
  <c r="BB28" i="60"/>
  <c r="AV28" i="60"/>
  <c r="AN28" i="60"/>
  <c r="AP27" i="60"/>
  <c r="AO27" i="60"/>
  <c r="AW27" i="60"/>
  <c r="AU27" i="60"/>
  <c r="AT27" i="60"/>
  <c r="AM27" i="60"/>
  <c r="AX27" i="60"/>
  <c r="AV27" i="60"/>
  <c r="AN27" i="60"/>
  <c r="AO38" i="60"/>
  <c r="AV38" i="60"/>
  <c r="AN38" i="60"/>
  <c r="AT38" i="60"/>
  <c r="AM38" i="60"/>
  <c r="BB38" i="60"/>
  <c r="AP38" i="60"/>
  <c r="AU38" i="60"/>
  <c r="AX38" i="60"/>
  <c r="AW38" i="60"/>
  <c r="AV36" i="60"/>
  <c r="AN36" i="60"/>
  <c r="AT36" i="60"/>
  <c r="BB36" i="60"/>
  <c r="AX36" i="60"/>
  <c r="AU36" i="60"/>
  <c r="AW36" i="60"/>
  <c r="AM36" i="60"/>
  <c r="AP36" i="60"/>
  <c r="AO36" i="60"/>
  <c r="AV33" i="60"/>
  <c r="AN33" i="60"/>
  <c r="AU33" i="60"/>
  <c r="BB33" i="60"/>
  <c r="AX33" i="60"/>
  <c r="AM33" i="60"/>
  <c r="AP33" i="60"/>
  <c r="AO33" i="60"/>
  <c r="AT33" i="60"/>
  <c r="AW33" i="60"/>
  <c r="AM34" i="60"/>
  <c r="AP34" i="60"/>
  <c r="BB34" i="60"/>
  <c r="AX34" i="60"/>
  <c r="AO34" i="60"/>
  <c r="AV34" i="60"/>
  <c r="AN34" i="60"/>
  <c r="AU34" i="60"/>
  <c r="AT34" i="60"/>
  <c r="AW34" i="60"/>
  <c r="AU31" i="60"/>
  <c r="AX31" i="60"/>
  <c r="AW31" i="60"/>
  <c r="AM31" i="60"/>
  <c r="AT31" i="60"/>
  <c r="AV31" i="60"/>
  <c r="AO31" i="60"/>
  <c r="AP31" i="60"/>
  <c r="AN31" i="60"/>
  <c r="AX32" i="60"/>
  <c r="AM32" i="60"/>
  <c r="AP32" i="60"/>
  <c r="AV32" i="60"/>
  <c r="AN32" i="60"/>
  <c r="AU32" i="60"/>
  <c r="AW32" i="60"/>
  <c r="AO32" i="60"/>
  <c r="AT32" i="60"/>
  <c r="BB32" i="60"/>
  <c r="AW25" i="60"/>
  <c r="AO25" i="60"/>
  <c r="AU25" i="60"/>
  <c r="AT25" i="60"/>
  <c r="AM25" i="60"/>
  <c r="AV25" i="60"/>
  <c r="AN25" i="60"/>
  <c r="AP25" i="60"/>
  <c r="AX25" i="60"/>
  <c r="AO35" i="60"/>
  <c r="AV35" i="60"/>
  <c r="AN35" i="60"/>
  <c r="AU35" i="60"/>
  <c r="AT35" i="60"/>
  <c r="AP35" i="60"/>
  <c r="BB35" i="60"/>
  <c r="AX35" i="60"/>
  <c r="AW35" i="60"/>
  <c r="AM35" i="60"/>
  <c r="BE158" i="60"/>
  <c r="AX158" i="60"/>
  <c r="BE72" i="60"/>
  <c r="AX72" i="60"/>
  <c r="BE207" i="60"/>
  <c r="AX207" i="60"/>
  <c r="BE115" i="60"/>
  <c r="AX115" i="60"/>
  <c r="BE302" i="60"/>
  <c r="AX302" i="60"/>
  <c r="AM158" i="60"/>
  <c r="AM207" i="60"/>
  <c r="AM302" i="60"/>
  <c r="AM115" i="60"/>
  <c r="AM72" i="60"/>
  <c r="AQ222" i="60"/>
  <c r="N222" i="60"/>
  <c r="AQ226" i="60"/>
  <c r="N226" i="60"/>
  <c r="AQ276" i="60"/>
  <c r="N276" i="60"/>
  <c r="AQ33" i="60"/>
  <c r="BF33" i="60" s="1"/>
  <c r="N33" i="60"/>
  <c r="AQ230" i="60"/>
  <c r="N230" i="60"/>
  <c r="AQ234" i="60"/>
  <c r="BF234" i="60" s="1"/>
  <c r="N234" i="60"/>
  <c r="AQ86" i="60"/>
  <c r="N86" i="60"/>
  <c r="AQ30" i="60"/>
  <c r="N30" i="60"/>
  <c r="AQ231" i="60"/>
  <c r="N231" i="60"/>
  <c r="AQ284" i="60"/>
  <c r="N284" i="60"/>
  <c r="AQ34" i="60"/>
  <c r="BF34" i="60" s="1"/>
  <c r="N34" i="60"/>
  <c r="AQ281" i="60"/>
  <c r="BF281" i="60" s="1"/>
  <c r="N281" i="60"/>
  <c r="AQ130" i="60"/>
  <c r="BC130" i="60" s="1" a="1"/>
  <c r="BC130" i="60" s="1"/>
  <c r="N130" i="60"/>
  <c r="AQ227" i="60"/>
  <c r="N227" i="60"/>
  <c r="AQ26" i="60"/>
  <c r="N26" i="60"/>
  <c r="AQ131" i="60"/>
  <c r="BC131" i="60" s="1" a="1"/>
  <c r="BC131" i="60" s="1"/>
  <c r="N131" i="60"/>
  <c r="AQ172" i="60"/>
  <c r="N172" i="60"/>
  <c r="AQ243" i="60"/>
  <c r="N243" i="60"/>
  <c r="AQ291" i="60"/>
  <c r="N291" i="60"/>
  <c r="AQ244" i="60"/>
  <c r="N244" i="60"/>
  <c r="AQ294" i="60"/>
  <c r="N294" i="60"/>
  <c r="AQ238" i="60"/>
  <c r="N238" i="60"/>
  <c r="AQ289" i="60"/>
  <c r="BC289" i="60" s="1" a="1"/>
  <c r="BC289" i="60" s="1"/>
  <c r="N289" i="60"/>
  <c r="AQ278" i="60"/>
  <c r="BF278" i="60" s="1"/>
  <c r="N278" i="60"/>
  <c r="AQ87" i="60"/>
  <c r="N87" i="60"/>
  <c r="AQ128" i="60"/>
  <c r="N128" i="60"/>
  <c r="AQ173" i="60"/>
  <c r="BF173" i="60" s="1"/>
  <c r="N173" i="60"/>
  <c r="AQ279" i="60"/>
  <c r="BC279" i="60" s="1" a="1"/>
  <c r="BC279" i="60" s="1"/>
  <c r="N279" i="60"/>
  <c r="AQ35" i="60"/>
  <c r="N35" i="60"/>
  <c r="AQ88" i="60"/>
  <c r="BF88" i="60" s="1"/>
  <c r="N88" i="60"/>
  <c r="AQ129" i="60"/>
  <c r="N129" i="60"/>
  <c r="AQ221" i="60"/>
  <c r="N221" i="60"/>
  <c r="AQ225" i="60"/>
  <c r="N225" i="60"/>
  <c r="AQ29" i="60"/>
  <c r="N29" i="60"/>
  <c r="AQ282" i="60"/>
  <c r="N282" i="60"/>
  <c r="AQ228" i="60"/>
  <c r="N228" i="60"/>
  <c r="AQ246" i="60"/>
  <c r="BF246" i="60" s="1"/>
  <c r="N246" i="60"/>
  <c r="AQ290" i="60"/>
  <c r="N290" i="60"/>
  <c r="AQ31" i="60"/>
  <c r="N31" i="60"/>
  <c r="AQ28" i="60"/>
  <c r="N28" i="60"/>
  <c r="AQ32" i="60"/>
  <c r="N32" i="60"/>
  <c r="AQ247" i="60"/>
  <c r="N247" i="60"/>
  <c r="AQ220" i="60"/>
  <c r="N220" i="60"/>
  <c r="AQ27" i="60"/>
  <c r="N27" i="60"/>
  <c r="AQ174" i="60"/>
  <c r="N174" i="60"/>
  <c r="AQ233" i="60"/>
  <c r="N233" i="60"/>
  <c r="AQ292" i="60"/>
  <c r="BF292" i="60" s="1"/>
  <c r="N292" i="60"/>
  <c r="S193" i="60"/>
  <c r="S177" i="60"/>
  <c r="S178" i="60"/>
  <c r="T202" i="60"/>
  <c r="T177" i="60"/>
  <c r="T178" i="60"/>
  <c r="R173" i="60"/>
  <c r="R177" i="60"/>
  <c r="R178" i="60"/>
  <c r="U177" i="60"/>
  <c r="U178" i="60"/>
  <c r="R19" i="60"/>
  <c r="BF500" i="60"/>
  <c r="BF151" i="60"/>
  <c r="BF487" i="60"/>
  <c r="BF490" i="60"/>
  <c r="BF152" i="60"/>
  <c r="AG25" i="60"/>
  <c r="AG36" i="60"/>
  <c r="AI28" i="60"/>
  <c r="AJ28" i="60" s="1"/>
  <c r="BF69" i="60"/>
  <c r="BF550" i="60"/>
  <c r="AI26" i="60"/>
  <c r="AJ26" i="60" s="1"/>
  <c r="AI87" i="60"/>
  <c r="AJ87" i="60" s="1"/>
  <c r="AI220" i="60"/>
  <c r="AJ220" i="60" s="1"/>
  <c r="AI236" i="60"/>
  <c r="BF192" i="60"/>
  <c r="AI27" i="60"/>
  <c r="AJ27" i="60" s="1"/>
  <c r="AL310" i="60"/>
  <c r="BF108" i="60"/>
  <c r="T55" i="60"/>
  <c r="BF338" i="60"/>
  <c r="BF386" i="60"/>
  <c r="BF265" i="60"/>
  <c r="BF211" i="60"/>
  <c r="BF367" i="60"/>
  <c r="BF94" i="60"/>
  <c r="T153" i="60"/>
  <c r="R51" i="60"/>
  <c r="S132" i="60"/>
  <c r="T31" i="60"/>
  <c r="T48" i="60"/>
  <c r="R63" i="60"/>
  <c r="T28" i="60"/>
  <c r="R39" i="60"/>
  <c r="R15" i="60"/>
  <c r="S39" i="60"/>
  <c r="S118" i="60"/>
  <c r="AL410" i="60"/>
  <c r="T57" i="60"/>
  <c r="BF378" i="60"/>
  <c r="T15" i="60"/>
  <c r="T68" i="60"/>
  <c r="S119" i="60"/>
  <c r="BF457" i="60"/>
  <c r="AI88" i="60"/>
  <c r="T56" i="60"/>
  <c r="BC302" i="60" a="1"/>
  <c r="BC302" i="60" s="1"/>
  <c r="BF377" i="60"/>
  <c r="BF58" i="60"/>
  <c r="R50" i="60"/>
  <c r="R30" i="60"/>
  <c r="AI89" i="60"/>
  <c r="BF476" i="60"/>
  <c r="S108" i="60"/>
  <c r="T108" i="60"/>
  <c r="BC339" i="60" a="1"/>
  <c r="BC339" i="60" s="1"/>
  <c r="BC500" i="60" a="1"/>
  <c r="BC500" i="60" s="1"/>
  <c r="BF430" i="60"/>
  <c r="BF512" i="60"/>
  <c r="S78" i="60"/>
  <c r="BF270" i="60"/>
  <c r="BF517" i="60"/>
  <c r="S85" i="60"/>
  <c r="S89" i="60"/>
  <c r="T78" i="60"/>
  <c r="AG131" i="60"/>
  <c r="T98" i="60"/>
  <c r="R217" i="60"/>
  <c r="R241" i="60"/>
  <c r="BF416" i="60"/>
  <c r="BF258" i="60"/>
  <c r="BF510" i="60"/>
  <c r="T89" i="60"/>
  <c r="S151" i="60"/>
  <c r="BF307" i="60"/>
  <c r="BF443" i="60"/>
  <c r="BF532" i="60"/>
  <c r="BF459" i="60"/>
  <c r="BC338" i="60" a="1"/>
  <c r="BC338" i="60" s="1"/>
  <c r="BC400" i="60" a="1"/>
  <c r="BC400" i="60" s="1"/>
  <c r="T101" i="60"/>
  <c r="BF511" i="60"/>
  <c r="T63" i="60"/>
  <c r="S117" i="60"/>
  <c r="S144" i="60"/>
  <c r="BF56" i="60"/>
  <c r="BF310" i="60"/>
  <c r="BF454" i="60"/>
  <c r="BC424" i="60" a="1"/>
  <c r="BC424" i="60" s="1"/>
  <c r="AA101" i="60"/>
  <c r="AA102" i="60" s="1"/>
  <c r="AA104" i="60" s="1"/>
  <c r="S102" i="60"/>
  <c r="S109" i="60"/>
  <c r="R251" i="60"/>
  <c r="BF121" i="60"/>
  <c r="BF336" i="60"/>
  <c r="BF483" i="60"/>
  <c r="BC199" i="60" a="1"/>
  <c r="BC199" i="60" s="1"/>
  <c r="BC196" i="60" a="1"/>
  <c r="BC196" i="60" s="1"/>
  <c r="S81" i="60"/>
  <c r="T87" i="60"/>
  <c r="T91" i="60"/>
  <c r="S137" i="60"/>
  <c r="BF145" i="60"/>
  <c r="BC211" i="60" a="1"/>
  <c r="BC211" i="60" s="1"/>
  <c r="BC306" i="60" a="1"/>
  <c r="BC306" i="60" s="1"/>
  <c r="S146" i="60"/>
  <c r="R18" i="60"/>
  <c r="T81" i="60"/>
  <c r="S94" i="60"/>
  <c r="R221" i="60"/>
  <c r="R267" i="60"/>
  <c r="BF538" i="60"/>
  <c r="S110" i="60"/>
  <c r="S124" i="60"/>
  <c r="BF423" i="60"/>
  <c r="BC317" i="60" a="1"/>
  <c r="BC317" i="60" s="1"/>
  <c r="R69" i="60"/>
  <c r="T110" i="60"/>
  <c r="S125" i="60"/>
  <c r="T180" i="60"/>
  <c r="R277" i="60"/>
  <c r="BF158" i="60"/>
  <c r="BF359" i="60"/>
  <c r="BC60" i="60" a="1"/>
  <c r="BC60" i="60" s="1"/>
  <c r="BF105" i="60"/>
  <c r="AG84" i="60"/>
  <c r="T62" i="60"/>
  <c r="T74" i="60"/>
  <c r="BF46" i="60"/>
  <c r="BF196" i="60"/>
  <c r="BC152" i="60" a="1"/>
  <c r="BC152" i="60" s="1"/>
  <c r="AQ240" i="60"/>
  <c r="BF240" i="60" s="1"/>
  <c r="BF448" i="60"/>
  <c r="BF464" i="60"/>
  <c r="R216" i="60"/>
  <c r="R226" i="60"/>
  <c r="BF55" i="60"/>
  <c r="BF198" i="60"/>
  <c r="BF498" i="60"/>
  <c r="BC342" i="60" a="1"/>
  <c r="BC342" i="60" s="1"/>
  <c r="AG175" i="60"/>
  <c r="AG174" i="60"/>
  <c r="AI237" i="60"/>
  <c r="AJ237" i="60" s="1"/>
  <c r="S292" i="60"/>
  <c r="S294" i="60"/>
  <c r="S276" i="60"/>
  <c r="S250" i="60"/>
  <c r="S210" i="60"/>
  <c r="S259" i="60"/>
  <c r="S237" i="60"/>
  <c r="S228" i="60"/>
  <c r="S267" i="60"/>
  <c r="S249" i="60"/>
  <c r="S289" i="60"/>
  <c r="S240" i="60"/>
  <c r="S234" i="60"/>
  <c r="S209" i="60"/>
  <c r="S298" i="60"/>
  <c r="S278" i="60"/>
  <c r="S265" i="60"/>
  <c r="S296" i="60"/>
  <c r="S270" i="60"/>
  <c r="S239" i="60"/>
  <c r="S226" i="60"/>
  <c r="S223" i="60"/>
  <c r="S220" i="60"/>
  <c r="S212" i="60"/>
  <c r="S290" i="60"/>
  <c r="S285" i="60"/>
  <c r="S244" i="60"/>
  <c r="S238" i="60"/>
  <c r="S232" i="60"/>
  <c r="S256" i="60"/>
  <c r="S217" i="60"/>
  <c r="S284" i="60"/>
  <c r="S221" i="60"/>
  <c r="S272" i="60"/>
  <c r="S251" i="60"/>
  <c r="S227" i="60"/>
  <c r="S224" i="60"/>
  <c r="AI238" i="60"/>
  <c r="AJ238" i="60" s="1"/>
  <c r="T245" i="60"/>
  <c r="T217" i="60"/>
  <c r="T212" i="60"/>
  <c r="T229" i="60"/>
  <c r="T241" i="60"/>
  <c r="T266" i="60"/>
  <c r="T256" i="60"/>
  <c r="T273" i="60"/>
  <c r="T221" i="60"/>
  <c r="T293" i="60"/>
  <c r="T251" i="60"/>
  <c r="BF396" i="60"/>
  <c r="BC408" i="60" a="1"/>
  <c r="BC408" i="60" s="1"/>
  <c r="S236" i="60"/>
  <c r="S297" i="60"/>
  <c r="BC114" i="60" a="1"/>
  <c r="BC114" i="60" s="1"/>
  <c r="BF114" i="60"/>
  <c r="BF261" i="60"/>
  <c r="BC261" i="60" a="1"/>
  <c r="BC261" i="60" s="1"/>
  <c r="AQ277" i="60"/>
  <c r="BC541" i="60" a="1"/>
  <c r="BC541" i="60" s="1"/>
  <c r="BF541" i="60"/>
  <c r="T297" i="60"/>
  <c r="BC352" i="60" a="1"/>
  <c r="BC352" i="60" s="1"/>
  <c r="BF352" i="60"/>
  <c r="S170" i="60"/>
  <c r="AQ287" i="60"/>
  <c r="BC62" i="60" a="1"/>
  <c r="BC62" i="60" s="1"/>
  <c r="BC421" i="60" a="1"/>
  <c r="BC421" i="60" s="1"/>
  <c r="BF421" i="60"/>
  <c r="BF111" i="60"/>
  <c r="BC111" i="60" a="1"/>
  <c r="BC111" i="60" s="1"/>
  <c r="BF394" i="60"/>
  <c r="S200" i="60"/>
  <c r="BC499" i="60" a="1"/>
  <c r="BC499" i="60" s="1"/>
  <c r="BF499" i="60"/>
  <c r="BF413" i="60"/>
  <c r="AQ283" i="60"/>
  <c r="BC356" i="60" a="1"/>
  <c r="BC356" i="60" s="1"/>
  <c r="AQ25" i="60"/>
  <c r="BF526" i="60"/>
  <c r="BC343" i="60" a="1"/>
  <c r="BC343" i="60" s="1"/>
  <c r="BF343" i="60"/>
  <c r="T261" i="60"/>
  <c r="T284" i="60"/>
  <c r="R108" i="60"/>
  <c r="R101" i="60"/>
  <c r="R87" i="60"/>
  <c r="R82" i="60"/>
  <c r="R110" i="60"/>
  <c r="R105" i="60"/>
  <c r="R78" i="60"/>
  <c r="R97" i="60"/>
  <c r="R99" i="60"/>
  <c r="R74" i="60"/>
  <c r="BF53" i="60"/>
  <c r="BC53" i="60" a="1"/>
  <c r="BC53" i="60" s="1"/>
  <c r="BF408" i="60"/>
  <c r="AQ224" i="60"/>
  <c r="AG245" i="60"/>
  <c r="AG219" i="60"/>
  <c r="AG230" i="60"/>
  <c r="AG225" i="60"/>
  <c r="AG231" i="60"/>
  <c r="AG246" i="60"/>
  <c r="BF147" i="60"/>
  <c r="S203" i="60"/>
  <c r="S176" i="60"/>
  <c r="S198" i="60"/>
  <c r="S185" i="60"/>
  <c r="S196" i="60"/>
  <c r="S184" i="60"/>
  <c r="S175" i="60"/>
  <c r="S164" i="60"/>
  <c r="S190" i="60"/>
  <c r="S183" i="60"/>
  <c r="S206" i="60"/>
  <c r="S160" i="60"/>
  <c r="S204" i="60"/>
  <c r="S163" i="60"/>
  <c r="S197" i="60"/>
  <c r="S171" i="60"/>
  <c r="S189" i="60"/>
  <c r="S188" i="60"/>
  <c r="S180" i="60"/>
  <c r="S169" i="60"/>
  <c r="S179" i="60"/>
  <c r="S187" i="60"/>
  <c r="BF539" i="60"/>
  <c r="AI222" i="60"/>
  <c r="AJ222" i="60" s="1"/>
  <c r="S282" i="60"/>
  <c r="BF471" i="60"/>
  <c r="AG243" i="60"/>
  <c r="AG129" i="60"/>
  <c r="AG127" i="60"/>
  <c r="AG130" i="60"/>
  <c r="AL265" i="60"/>
  <c r="S172" i="60"/>
  <c r="S273" i="60"/>
  <c r="BC305" i="60" a="1"/>
  <c r="BC305" i="60" s="1"/>
  <c r="BC447" i="60" a="1"/>
  <c r="BC447" i="60" s="1"/>
  <c r="BF447" i="60"/>
  <c r="BF318" i="60"/>
  <c r="BF381" i="60"/>
  <c r="AI223" i="60"/>
  <c r="AJ223" i="60" s="1"/>
  <c r="AI239" i="60"/>
  <c r="AJ239" i="60" s="1"/>
  <c r="U241" i="60"/>
  <c r="U222" i="60"/>
  <c r="U284" i="60"/>
  <c r="U249" i="60"/>
  <c r="BF397" i="60"/>
  <c r="BC38" i="60" a="1"/>
  <c r="BC38" i="60" s="1"/>
  <c r="BF78" i="60"/>
  <c r="BC78" i="60" a="1"/>
  <c r="BC78" i="60" s="1"/>
  <c r="BC99" i="60" a="1"/>
  <c r="BC99" i="60" s="1"/>
  <c r="AQ241" i="60"/>
  <c r="BC262" i="60" a="1"/>
  <c r="BC262" i="60" s="1"/>
  <c r="BF262" i="60"/>
  <c r="BF319" i="60"/>
  <c r="BC319" i="60" a="1"/>
  <c r="BC319" i="60" s="1"/>
  <c r="BC398" i="60" a="1"/>
  <c r="BC398" i="60" s="1"/>
  <c r="BF398" i="60"/>
  <c r="BF437" i="60"/>
  <c r="AI128" i="60"/>
  <c r="AJ128" i="60" s="1"/>
  <c r="AI224" i="60"/>
  <c r="AJ224" i="60" s="1"/>
  <c r="AI240" i="60"/>
  <c r="T18" i="60"/>
  <c r="AL467" i="60"/>
  <c r="BF438" i="60"/>
  <c r="BC438" i="60" a="1"/>
  <c r="BC438" i="60" s="1"/>
  <c r="BC448" i="60" a="1"/>
  <c r="BC448" i="60" s="1"/>
  <c r="BF502" i="60"/>
  <c r="AI225" i="60"/>
  <c r="AJ225" i="60" s="1"/>
  <c r="AI241" i="60"/>
  <c r="BF38" i="60"/>
  <c r="BF117" i="60"/>
  <c r="BF355" i="60"/>
  <c r="BF547" i="60"/>
  <c r="BF81" i="60"/>
  <c r="BC264" i="60" a="1"/>
  <c r="BC264" i="60" s="1"/>
  <c r="BC355" i="60" a="1"/>
  <c r="BC355" i="60" s="1"/>
  <c r="BC370" i="60" a="1"/>
  <c r="BC370" i="60" s="1"/>
  <c r="AQ85" i="60"/>
  <c r="BF132" i="60"/>
  <c r="BC401" i="60" a="1"/>
  <c r="BC401" i="60" s="1"/>
  <c r="BF401" i="60"/>
  <c r="AQ36" i="60"/>
  <c r="BF36" i="60" s="1"/>
  <c r="BC323" i="60" a="1"/>
  <c r="BC323" i="60" s="1"/>
  <c r="BF323" i="60"/>
  <c r="BC387" i="60" a="1"/>
  <c r="BC387" i="60" s="1"/>
  <c r="BF387" i="60"/>
  <c r="BF466" i="60"/>
  <c r="BC532" i="60" a="1"/>
  <c r="BC532" i="60" s="1"/>
  <c r="T33" i="60"/>
  <c r="T39" i="60"/>
  <c r="BC507" i="60" a="1"/>
  <c r="BC507" i="60" s="1"/>
  <c r="BF507" i="60"/>
  <c r="AI230" i="60"/>
  <c r="AJ230" i="60" s="1"/>
  <c r="R68" i="60"/>
  <c r="R59" i="60"/>
  <c r="R54" i="60"/>
  <c r="R65" i="60"/>
  <c r="R43" i="60"/>
  <c r="R28" i="60"/>
  <c r="BC442" i="60" a="1"/>
  <c r="BC442" i="60" s="1"/>
  <c r="T42" i="60"/>
  <c r="BF462" i="60"/>
  <c r="BC467" i="60" a="1"/>
  <c r="BC467" i="60" s="1"/>
  <c r="BC522" i="60" a="1"/>
  <c r="BC522" i="60" s="1"/>
  <c r="T21" i="60"/>
  <c r="T43" i="60"/>
  <c r="BF312" i="60"/>
  <c r="BF375" i="60"/>
  <c r="BC90" i="60" a="1"/>
  <c r="BC90" i="60" s="1"/>
  <c r="BC324" i="60" a="1"/>
  <c r="BC324" i="60" s="1"/>
  <c r="BC337" i="60" a="1"/>
  <c r="BC337" i="60" s="1"/>
  <c r="BC455" i="60" a="1"/>
  <c r="BC455" i="60" s="1"/>
  <c r="BF455" i="60"/>
  <c r="BC496" i="60" a="1"/>
  <c r="BC496" i="60" s="1"/>
  <c r="BC372" i="60" a="1"/>
  <c r="BC372" i="60" s="1"/>
  <c r="BC518" i="60" a="1"/>
  <c r="BC518" i="60" s="1"/>
  <c r="BC546" i="60" a="1"/>
  <c r="BC546" i="60" s="1"/>
  <c r="BF546" i="60"/>
  <c r="BF148" i="60"/>
  <c r="BC334" i="60" a="1"/>
  <c r="BC334" i="60" s="1"/>
  <c r="T52" i="60"/>
  <c r="T47" i="60"/>
  <c r="T65" i="60"/>
  <c r="T59" i="60"/>
  <c r="T54" i="60"/>
  <c r="T38" i="60"/>
  <c r="T32" i="60"/>
  <c r="T29" i="60"/>
  <c r="T19" i="60"/>
  <c r="T69" i="60"/>
  <c r="T51" i="60"/>
  <c r="T16" i="60"/>
  <c r="AQ235" i="60"/>
  <c r="BF149" i="60"/>
  <c r="BF185" i="60"/>
  <c r="BC403" i="60" a="1"/>
  <c r="BC403" i="60" s="1"/>
  <c r="BF403" i="60"/>
  <c r="BF493" i="60"/>
  <c r="T30" i="60"/>
  <c r="AQ295" i="60"/>
  <c r="BC295" i="60" s="1" a="1"/>
  <c r="BC295" i="60" s="1"/>
  <c r="BF63" i="60"/>
  <c r="BF368" i="60"/>
  <c r="BC89" i="60" a="1"/>
  <c r="BC89" i="60" s="1"/>
  <c r="BF389" i="60"/>
  <c r="T27" i="60"/>
  <c r="T22" i="60"/>
  <c r="S111" i="60"/>
  <c r="S87" i="60"/>
  <c r="S77" i="60"/>
  <c r="S76" i="60"/>
  <c r="S112" i="60"/>
  <c r="S75" i="60"/>
  <c r="S114" i="60"/>
  <c r="S83" i="60"/>
  <c r="S86" i="60"/>
  <c r="AQ223" i="60"/>
  <c r="AQ286" i="60"/>
  <c r="BC286" i="60" s="1" a="1"/>
  <c r="BC286" i="60" s="1"/>
  <c r="BF90" i="60"/>
  <c r="BF324" i="60"/>
  <c r="BF514" i="60"/>
  <c r="BF201" i="60"/>
  <c r="BF216" i="60"/>
  <c r="BC216" i="60" a="1"/>
  <c r="BC216" i="60" s="1"/>
  <c r="BF303" i="60"/>
  <c r="BC407" i="60" a="1"/>
  <c r="BC407" i="60" s="1"/>
  <c r="BF456" i="60"/>
  <c r="BF344" i="60"/>
  <c r="T58" i="60"/>
  <c r="BF520" i="60"/>
  <c r="AI246" i="60"/>
  <c r="BF135" i="60"/>
  <c r="BC105" i="60" a="1"/>
  <c r="BC105" i="60" s="1"/>
  <c r="BC117" i="60" a="1"/>
  <c r="BC117" i="60" s="1"/>
  <c r="BC135" i="60" a="1"/>
  <c r="BC135" i="60" s="1"/>
  <c r="T14" i="60"/>
  <c r="AQ37" i="60"/>
  <c r="T60" i="60"/>
  <c r="T150" i="60"/>
  <c r="AQ242" i="60"/>
  <c r="BF334" i="60"/>
  <c r="BF478" i="60"/>
  <c r="BC50" i="60" a="1"/>
  <c r="BC50" i="60" s="1"/>
  <c r="BF50" i="60"/>
  <c r="AI130" i="60"/>
  <c r="AI226" i="60"/>
  <c r="AJ226" i="60" s="1"/>
  <c r="AI242" i="60"/>
  <c r="AJ242" i="60" s="1"/>
  <c r="BF187" i="60"/>
  <c r="BF306" i="60"/>
  <c r="BC109" i="60" a="1"/>
  <c r="BC109" i="60" s="1"/>
  <c r="AI131" i="60"/>
  <c r="AI227" i="60"/>
  <c r="AJ227" i="60" s="1"/>
  <c r="AI243" i="60"/>
  <c r="AJ243" i="60" s="1"/>
  <c r="BF125" i="60"/>
  <c r="T75" i="60"/>
  <c r="T100" i="60"/>
  <c r="S126" i="60"/>
  <c r="S130" i="60"/>
  <c r="R259" i="60"/>
  <c r="BC112" i="60" a="1"/>
  <c r="BC112" i="60" s="1"/>
  <c r="BC377" i="60" a="1"/>
  <c r="BC377" i="60" s="1"/>
  <c r="BC511" i="60" a="1"/>
  <c r="BC511" i="60" s="1"/>
  <c r="T84" i="60"/>
  <c r="T114" i="60"/>
  <c r="S127" i="60"/>
  <c r="S145" i="60"/>
  <c r="S136" i="60"/>
  <c r="BC310" i="60" a="1"/>
  <c r="BC310" i="60" s="1"/>
  <c r="BC378" i="60" a="1"/>
  <c r="BC378" i="60" s="1"/>
  <c r="BC464" i="60" a="1"/>
  <c r="BC464" i="60" s="1"/>
  <c r="BC138" i="60" a="1"/>
  <c r="BC138" i="60" s="1"/>
  <c r="BF138" i="60"/>
  <c r="BC284" i="60" a="1"/>
  <c r="BC284" i="60" s="1"/>
  <c r="BC155" i="60" a="1"/>
  <c r="BC155" i="60" s="1"/>
  <c r="BC362" i="60" a="1"/>
  <c r="BC362" i="60" s="1"/>
  <c r="BC116" i="60" a="1"/>
  <c r="BC116" i="60" s="1"/>
  <c r="BF116" i="60"/>
  <c r="BC414" i="60" a="1"/>
  <c r="BC414" i="60" s="1"/>
  <c r="BF414" i="60"/>
  <c r="S58" i="60"/>
  <c r="S66" i="60"/>
  <c r="S47" i="60"/>
  <c r="S29" i="60"/>
  <c r="S57" i="60"/>
  <c r="S53" i="60"/>
  <c r="S31" i="60"/>
  <c r="S22" i="60"/>
  <c r="S16" i="60"/>
  <c r="S21" i="60"/>
  <c r="S33" i="60"/>
  <c r="S65" i="60"/>
  <c r="S60" i="60"/>
  <c r="S56" i="60"/>
  <c r="S69" i="60"/>
  <c r="S28" i="60"/>
  <c r="S42" i="60"/>
  <c r="AQ232" i="60"/>
  <c r="BC107" i="60" a="1"/>
  <c r="BC107" i="60" s="1"/>
  <c r="BF107" i="60"/>
  <c r="BC254" i="60" a="1"/>
  <c r="BC254" i="60" s="1"/>
  <c r="BF254" i="60"/>
  <c r="AI31" i="60"/>
  <c r="AJ31" i="60" s="1"/>
  <c r="BC188" i="60" a="1"/>
  <c r="BC188" i="60" s="1"/>
  <c r="BF326" i="60"/>
  <c r="BF425" i="60"/>
  <c r="AI32" i="60"/>
  <c r="S32" i="60"/>
  <c r="AG37" i="60"/>
  <c r="S62" i="60"/>
  <c r="R256" i="60"/>
  <c r="R238" i="60"/>
  <c r="R220" i="60"/>
  <c r="R233" i="60"/>
  <c r="R287" i="60"/>
  <c r="R222" i="60"/>
  <c r="R248" i="60"/>
  <c r="R213" i="60"/>
  <c r="R262" i="60"/>
  <c r="R237" i="60"/>
  <c r="R242" i="60"/>
  <c r="R232" i="60"/>
  <c r="AQ285" i="60"/>
  <c r="BF176" i="60"/>
  <c r="BC545" i="60" a="1"/>
  <c r="BC545" i="60" s="1"/>
  <c r="BF545" i="60"/>
  <c r="S27" i="60"/>
  <c r="AG87" i="60"/>
  <c r="S152" i="60"/>
  <c r="U194" i="60"/>
  <c r="U197" i="60"/>
  <c r="U202" i="60"/>
  <c r="Z212" i="60"/>
  <c r="AQ212" i="60" s="1"/>
  <c r="BF75" i="60"/>
  <c r="BF314" i="60"/>
  <c r="AQ236" i="60"/>
  <c r="BC326" i="60" a="1"/>
  <c r="BC326" i="60" s="1"/>
  <c r="BC425" i="60" a="1"/>
  <c r="BC425" i="60" s="1"/>
  <c r="BC446" i="60" a="1"/>
  <c r="BC446" i="60" s="1"/>
  <c r="BF446" i="60"/>
  <c r="DJ7" i="60"/>
  <c r="DJ6" i="60"/>
  <c r="BC59" i="60" a="1"/>
  <c r="BC59" i="60" s="1"/>
  <c r="BF59" i="60"/>
  <c r="BF530" i="60"/>
  <c r="BC530" i="60" a="1"/>
  <c r="BC530" i="60" s="1"/>
  <c r="U250" i="60"/>
  <c r="U275" i="60"/>
  <c r="U262" i="60"/>
  <c r="U273" i="60"/>
  <c r="U266" i="60"/>
  <c r="U229" i="60"/>
  <c r="U221" i="60"/>
  <c r="U212" i="60"/>
  <c r="BC544" i="60" a="1"/>
  <c r="BC544" i="60" s="1"/>
  <c r="S30" i="60"/>
  <c r="R209" i="60"/>
  <c r="AQ245" i="60"/>
  <c r="BF362" i="60"/>
  <c r="BF43" i="60"/>
  <c r="BF65" i="60"/>
  <c r="BC164" i="60" a="1"/>
  <c r="BC164" i="60" s="1"/>
  <c r="AQ171" i="60"/>
  <c r="BF531" i="60"/>
  <c r="BC531" i="60" a="1"/>
  <c r="BC531" i="60" s="1"/>
  <c r="AG171" i="60"/>
  <c r="BC209" i="60" a="1"/>
  <c r="BC209" i="60" s="1"/>
  <c r="BC247" i="60" a="1"/>
  <c r="BC247" i="60" s="1"/>
  <c r="BF247" i="60"/>
  <c r="BF267" i="60"/>
  <c r="BC267" i="60" a="1"/>
  <c r="BC267" i="60" s="1"/>
  <c r="BF260" i="60"/>
  <c r="BC260" i="60" a="1"/>
  <c r="BC260" i="60" s="1"/>
  <c r="BC417" i="60" a="1"/>
  <c r="BC417" i="60" s="1"/>
  <c r="S38" i="60"/>
  <c r="BF523" i="60"/>
  <c r="BC523" i="60" a="1"/>
  <c r="BC523" i="60" s="1"/>
  <c r="AG24" i="60"/>
  <c r="S63" i="60"/>
  <c r="U265" i="60"/>
  <c r="BC34" i="60" a="1"/>
  <c r="BC34" i="60" s="1"/>
  <c r="BC44" i="60" a="1"/>
  <c r="BC44" i="60" s="1"/>
  <c r="BF202" i="60"/>
  <c r="BC202" i="60" a="1"/>
  <c r="BC202" i="60" s="1"/>
  <c r="AQ293" i="60"/>
  <c r="BF503" i="60"/>
  <c r="BF353" i="60"/>
  <c r="BF451" i="60"/>
  <c r="U123" i="60"/>
  <c r="U132" i="60" s="1"/>
  <c r="Z120" i="60"/>
  <c r="AQ120" i="60" s="1"/>
  <c r="BC120" i="60" s="1" a="1"/>
  <c r="BC120" i="60" s="1"/>
  <c r="BF106" i="60"/>
  <c r="BF452" i="60"/>
  <c r="BF528" i="60"/>
  <c r="BC528" i="60" a="1"/>
  <c r="BC528" i="60" s="1"/>
  <c r="BC353" i="60" a="1"/>
  <c r="BC353" i="60" s="1"/>
  <c r="AG33" i="60"/>
  <c r="AG35" i="60"/>
  <c r="AG28" i="60"/>
  <c r="AG26" i="60"/>
  <c r="AG32" i="60"/>
  <c r="BC82" i="60" a="1"/>
  <c r="BC82" i="60" s="1"/>
  <c r="BF354" i="60"/>
  <c r="BC354" i="60" a="1"/>
  <c r="BC354" i="60" s="1"/>
  <c r="BC432" i="60" a="1"/>
  <c r="BC432" i="60" s="1"/>
  <c r="BF253" i="60"/>
  <c r="BC253" i="60" a="1"/>
  <c r="BC253" i="60" s="1"/>
  <c r="AL253" i="60"/>
  <c r="AI30" i="60"/>
  <c r="AJ30" i="60" s="1"/>
  <c r="BC118" i="60" a="1"/>
  <c r="BC118" i="60" s="1"/>
  <c r="BC394" i="60" a="1"/>
  <c r="BC394" i="60" s="1"/>
  <c r="BF480" i="60"/>
  <c r="BC480" i="60" a="1"/>
  <c r="BC480" i="60" s="1"/>
  <c r="U217" i="60"/>
  <c r="R278" i="60"/>
  <c r="BF284" i="60"/>
  <c r="BF432" i="60"/>
  <c r="BF35" i="60"/>
  <c r="BC65" i="60" a="1"/>
  <c r="BC65" i="60" s="1"/>
  <c r="BC140" i="60" a="1"/>
  <c r="BC140" i="60" s="1"/>
  <c r="BF140" i="60"/>
  <c r="BC181" i="60" a="1"/>
  <c r="BC181" i="60" s="1"/>
  <c r="BF181" i="60"/>
  <c r="BF315" i="60"/>
  <c r="BC315" i="60" a="1"/>
  <c r="BC315" i="60" s="1"/>
  <c r="BF372" i="60"/>
  <c r="AQ288" i="60"/>
  <c r="AI29" i="60"/>
  <c r="AJ29" i="60" s="1"/>
  <c r="U280" i="60"/>
  <c r="S15" i="60"/>
  <c r="S68" i="60"/>
  <c r="AQ239" i="60"/>
  <c r="BF327" i="60"/>
  <c r="BC327" i="60" a="1"/>
  <c r="BC327" i="60" s="1"/>
  <c r="BC395" i="60" a="1"/>
  <c r="BC395" i="60" s="1"/>
  <c r="S18" i="60"/>
  <c r="S54" i="60"/>
  <c r="S156" i="60"/>
  <c r="S157" i="60"/>
  <c r="S135" i="60"/>
  <c r="S155" i="60"/>
  <c r="S131" i="60"/>
  <c r="S154" i="60"/>
  <c r="S149" i="60"/>
  <c r="S143" i="60"/>
  <c r="S134" i="60"/>
  <c r="S128" i="60"/>
  <c r="S122" i="60"/>
  <c r="S133" i="60"/>
  <c r="S121" i="60"/>
  <c r="S153" i="60"/>
  <c r="S147" i="60"/>
  <c r="S140" i="60"/>
  <c r="S120" i="60"/>
  <c r="U256" i="60"/>
  <c r="AQ296" i="60"/>
  <c r="AL329" i="60"/>
  <c r="BF44" i="60"/>
  <c r="BF209" i="60"/>
  <c r="BC66" i="60" a="1"/>
  <c r="BC66" i="60" s="1"/>
  <c r="BF66" i="60"/>
  <c r="BF275" i="60"/>
  <c r="BC360" i="60" a="1"/>
  <c r="BC360" i="60" s="1"/>
  <c r="BF449" i="60"/>
  <c r="BC505" i="60" a="1"/>
  <c r="BC505" i="60" s="1"/>
  <c r="BF505" i="60"/>
  <c r="BF374" i="60"/>
  <c r="BC452" i="60" a="1"/>
  <c r="BC452" i="60" s="1"/>
  <c r="BC486" i="60" a="1"/>
  <c r="BC486" i="60" s="1"/>
  <c r="BF155" i="60"/>
  <c r="BF219" i="60"/>
  <c r="BC106" i="60" a="1"/>
  <c r="BC106" i="60" s="1"/>
  <c r="AQ229" i="60"/>
  <c r="AQ280" i="60"/>
  <c r="BF188" i="60"/>
  <c r="BC197" i="60" a="1"/>
  <c r="BC197" i="60" s="1"/>
  <c r="S50" i="60"/>
  <c r="BC108" i="60" a="1"/>
  <c r="BC108" i="60" s="1"/>
  <c r="BC219" i="60" a="1"/>
  <c r="BC219" i="60" s="1"/>
  <c r="BC345" i="60" a="1"/>
  <c r="BC345" i="60" s="1"/>
  <c r="BF345" i="60"/>
  <c r="BC487" i="60" a="1"/>
  <c r="BC487" i="60" s="1"/>
  <c r="AG34" i="60"/>
  <c r="U270" i="60"/>
  <c r="BF99" i="60"/>
  <c r="BF266" i="60"/>
  <c r="BF291" i="60"/>
  <c r="BC320" i="60" a="1"/>
  <c r="BC320" i="60" s="1"/>
  <c r="BC458" i="60" a="1"/>
  <c r="BC458" i="60" s="1"/>
  <c r="BC291" i="60" a="1"/>
  <c r="BC291" i="60" s="1"/>
  <c r="BF481" i="60"/>
  <c r="BC481" i="60" a="1"/>
  <c r="BC481" i="60" s="1"/>
  <c r="AG30" i="60"/>
  <c r="S48" i="60"/>
  <c r="T134" i="60"/>
  <c r="T140" i="60"/>
  <c r="S141" i="60"/>
  <c r="AG170" i="60"/>
  <c r="U187" i="60"/>
  <c r="R212" i="60"/>
  <c r="U234" i="60"/>
  <c r="U287" i="60"/>
  <c r="BC126" i="60" a="1"/>
  <c r="BC126" i="60" s="1"/>
  <c r="BF248" i="60"/>
  <c r="BC248" i="60" a="1"/>
  <c r="BC248" i="60" s="1"/>
  <c r="BF441" i="60"/>
  <c r="BF100" i="60"/>
  <c r="BC100" i="60" a="1"/>
  <c r="BC100" i="60" s="1"/>
  <c r="BF321" i="60"/>
  <c r="BF329" i="60"/>
  <c r="BC329" i="60" a="1"/>
  <c r="BC329" i="60" s="1"/>
  <c r="BF384" i="60"/>
  <c r="BC384" i="60" a="1"/>
  <c r="BC384" i="60" s="1"/>
  <c r="BC488" i="60" a="1"/>
  <c r="BC488" i="60" s="1"/>
  <c r="AI33" i="60"/>
  <c r="T50" i="60"/>
  <c r="S79" i="60"/>
  <c r="T97" i="60"/>
  <c r="AG132" i="60"/>
  <c r="S218" i="60"/>
  <c r="AG226" i="60"/>
  <c r="AG234" i="60"/>
  <c r="AQ237" i="60"/>
  <c r="AG244" i="60"/>
  <c r="AG247" i="60"/>
  <c r="S252" i="60"/>
  <c r="S260" i="60"/>
  <c r="S299" i="60"/>
  <c r="BF89" i="60"/>
  <c r="BF535" i="60"/>
  <c r="BC23" i="60" a="1"/>
  <c r="BC23" i="60" s="1"/>
  <c r="BF23" i="60"/>
  <c r="BC268" i="60" a="1"/>
  <c r="BC268" i="60" s="1"/>
  <c r="BF268" i="60"/>
  <c r="BC444" i="60" a="1"/>
  <c r="BC444" i="60" s="1"/>
  <c r="BC489" i="60" a="1"/>
  <c r="BC489" i="60" s="1"/>
  <c r="BC535" i="60" a="1"/>
  <c r="BC535" i="60" s="1"/>
  <c r="BF67" i="60"/>
  <c r="BC67" i="60" a="1"/>
  <c r="BC67" i="60" s="1"/>
  <c r="BF101" i="60"/>
  <c r="BC101" i="60" a="1"/>
  <c r="BC101" i="60" s="1"/>
  <c r="BC347" i="60" a="1"/>
  <c r="BC347" i="60" s="1"/>
  <c r="BC419" i="60" a="1"/>
  <c r="BC419" i="60" s="1"/>
  <c r="BF428" i="60"/>
  <c r="BC428" i="60" a="1"/>
  <c r="BC428" i="60" s="1"/>
  <c r="BC536" i="60" a="1"/>
  <c r="BC536" i="60" s="1"/>
  <c r="BC146" i="60" a="1"/>
  <c r="BC146" i="60" s="1"/>
  <c r="BC375" i="60" a="1"/>
  <c r="BC375" i="60" s="1"/>
  <c r="BC420" i="60" a="1"/>
  <c r="BC420" i="60" s="1"/>
  <c r="R16" i="60"/>
  <c r="S74" i="60"/>
  <c r="S91" i="60"/>
  <c r="Z163" i="60"/>
  <c r="AQ163" i="60" s="1"/>
  <c r="S213" i="60"/>
  <c r="S235" i="60"/>
  <c r="AG242" i="60"/>
  <c r="S248" i="60"/>
  <c r="S283" i="60"/>
  <c r="BF410" i="60"/>
  <c r="BF60" i="60"/>
  <c r="BC213" i="60" a="1"/>
  <c r="BC213" i="60" s="1"/>
  <c r="BC350" i="60" a="1"/>
  <c r="BC350" i="60" s="1"/>
  <c r="BC410" i="60" a="1"/>
  <c r="BC410" i="60" s="1"/>
  <c r="BC537" i="60" a="1"/>
  <c r="BC537" i="60" s="1"/>
  <c r="AI36" i="60"/>
  <c r="BF195" i="60"/>
  <c r="BC349" i="60" a="1"/>
  <c r="BC349" i="60" s="1"/>
  <c r="BF349" i="60"/>
  <c r="R22" i="60"/>
  <c r="R31" i="60"/>
  <c r="R57" i="60"/>
  <c r="R88" i="60"/>
  <c r="R191" i="60"/>
  <c r="S262" i="60"/>
  <c r="BF146" i="60"/>
  <c r="BF41" i="60"/>
  <c r="BC263" i="60" a="1"/>
  <c r="BC263" i="60" s="1"/>
  <c r="BF301" i="60"/>
  <c r="BF358" i="60"/>
  <c r="BC456" i="60" a="1"/>
  <c r="BC456" i="60" s="1"/>
  <c r="BF475" i="60"/>
  <c r="BC475" i="60" a="1"/>
  <c r="BC475" i="60" s="1"/>
  <c r="BC521" i="60" a="1"/>
  <c r="BC521" i="60" s="1"/>
  <c r="BC539" i="60" a="1"/>
  <c r="BC539" i="60" s="1"/>
  <c r="S99" i="60"/>
  <c r="R47" i="60"/>
  <c r="R66" i="60"/>
  <c r="S88" i="60"/>
  <c r="R92" i="60"/>
  <c r="R111" i="60"/>
  <c r="S222" i="60"/>
  <c r="AG227" i="60"/>
  <c r="T262" i="60"/>
  <c r="S269" i="60"/>
  <c r="S287" i="60"/>
  <c r="BC81" i="60" a="1"/>
  <c r="BC81" i="60" s="1"/>
  <c r="BF204" i="60"/>
  <c r="BC204" i="60" a="1"/>
  <c r="BC204" i="60" s="1"/>
  <c r="BF302" i="60"/>
  <c r="BC457" i="60" a="1"/>
  <c r="BC457" i="60" s="1"/>
  <c r="BC495" i="60" a="1"/>
  <c r="BC495" i="60" s="1"/>
  <c r="BC501" i="60" a="1"/>
  <c r="BC501" i="60" s="1"/>
  <c r="AI171" i="60"/>
  <c r="AJ171" i="60" s="1"/>
  <c r="BF133" i="60"/>
  <c r="BC133" i="60" a="1"/>
  <c r="BC133" i="60" s="1"/>
  <c r="R27" i="60"/>
  <c r="R62" i="60"/>
  <c r="R75" i="60"/>
  <c r="R81" i="60"/>
  <c r="R86" i="60"/>
  <c r="T88" i="60"/>
  <c r="T92" i="60"/>
  <c r="T222" i="60"/>
  <c r="S233" i="60"/>
  <c r="AG235" i="60"/>
  <c r="S243" i="60"/>
  <c r="T287" i="60"/>
  <c r="S291" i="60"/>
  <c r="BC71" i="60" a="1"/>
  <c r="BC71" i="60" s="1"/>
  <c r="BF71" i="60"/>
  <c r="BF325" i="60"/>
  <c r="BC358" i="60" a="1"/>
  <c r="BC358" i="60" s="1"/>
  <c r="BC413" i="60" a="1"/>
  <c r="BC413" i="60" s="1"/>
  <c r="BC440" i="60" a="1"/>
  <c r="BC440" i="60" s="1"/>
  <c r="BC466" i="60" a="1"/>
  <c r="BC466" i="60" s="1"/>
  <c r="BF522" i="60"/>
  <c r="BC529" i="60" a="1"/>
  <c r="BC529" i="60" s="1"/>
  <c r="BF62" i="60"/>
  <c r="AI34" i="60"/>
  <c r="AI132" i="60"/>
  <c r="AI228" i="60"/>
  <c r="AI35" i="60"/>
  <c r="AI170" i="60"/>
  <c r="AJ170" i="60" s="1"/>
  <c r="AI229" i="60"/>
  <c r="AI245" i="60"/>
  <c r="BC123" i="60" a="1"/>
  <c r="BC123" i="60" s="1"/>
  <c r="BC435" i="60" a="1"/>
  <c r="BC435" i="60" s="1"/>
  <c r="BC524" i="60" a="1"/>
  <c r="BC524" i="60" s="1"/>
  <c r="AI37" i="60"/>
  <c r="AI172" i="60"/>
  <c r="AJ172" i="60" s="1"/>
  <c r="AI231" i="60"/>
  <c r="AJ231" i="60" s="1"/>
  <c r="AI247" i="60"/>
  <c r="AI38" i="60"/>
  <c r="AI232" i="60"/>
  <c r="AJ232" i="60" s="1"/>
  <c r="AI248" i="60"/>
  <c r="BC192" i="60" a="1"/>
  <c r="BC192" i="60" s="1"/>
  <c r="BC206" i="60" a="1"/>
  <c r="BC206" i="60" s="1"/>
  <c r="BC318" i="60" a="1"/>
  <c r="BC318" i="60" s="1"/>
  <c r="AI174" i="60"/>
  <c r="AI233" i="60"/>
  <c r="AJ233" i="60" s="1"/>
  <c r="BC437" i="60" a="1"/>
  <c r="BC437" i="60" s="1"/>
  <c r="AI24" i="60"/>
  <c r="AJ24" i="60" s="1"/>
  <c r="AI85" i="60"/>
  <c r="AJ85" i="60" s="1"/>
  <c r="AI175" i="60"/>
  <c r="AI234" i="60"/>
  <c r="BC514" i="60" a="1"/>
  <c r="BC514" i="60" s="1"/>
  <c r="BC520" i="60" a="1"/>
  <c r="BC520" i="60" s="1"/>
  <c r="AI25" i="60"/>
  <c r="AJ25" i="60" s="1"/>
  <c r="AI86" i="60"/>
  <c r="AJ86" i="60" s="1"/>
  <c r="AI235" i="60"/>
  <c r="X420" i="63"/>
  <c r="X421" i="63" s="1"/>
  <c r="X109" i="63"/>
  <c r="X111" i="63" s="1"/>
  <c r="X47" i="63"/>
  <c r="X48" i="63" s="1"/>
  <c r="X212" i="63"/>
  <c r="X387" i="63"/>
  <c r="X389" i="63" s="1"/>
  <c r="X270" i="63"/>
  <c r="AF222" i="54"/>
  <c r="AF265" i="54" s="1"/>
  <c r="M40" i="63"/>
  <c r="BF165" i="60"/>
  <c r="AI129" i="60"/>
  <c r="AJ129" i="60" s="1"/>
  <c r="AI244" i="60"/>
  <c r="AJ244" i="60" s="1"/>
  <c r="BC182" i="60" a="1"/>
  <c r="BC182" i="60" s="1"/>
  <c r="BC282" i="60" a="1"/>
  <c r="BC282" i="60" s="1"/>
  <c r="BC450" i="60" a="1"/>
  <c r="BC450" i="60" s="1"/>
  <c r="BC470" i="60" a="1"/>
  <c r="BC470" i="60" s="1"/>
  <c r="BF470" i="60"/>
  <c r="BF76" i="60"/>
  <c r="BC76" i="60" a="1"/>
  <c r="BC76" i="60" s="1"/>
  <c r="BF383" i="60"/>
  <c r="BF357" i="60"/>
  <c r="BC357" i="60" a="1"/>
  <c r="BC357" i="60" s="1"/>
  <c r="BC369" i="60" a="1"/>
  <c r="BC369" i="60" s="1"/>
  <c r="BF369" i="60"/>
  <c r="BF150" i="60"/>
  <c r="BC150" i="60" a="1"/>
  <c r="BC150" i="60" s="1"/>
  <c r="BC309" i="60" a="1"/>
  <c r="BC309" i="60" s="1"/>
  <c r="BF309" i="60"/>
  <c r="BC383" i="60" a="1"/>
  <c r="BC383" i="60" s="1"/>
  <c r="BC418" i="60" a="1"/>
  <c r="BC418" i="60" s="1"/>
  <c r="BF418" i="60"/>
  <c r="BC477" i="60" a="1"/>
  <c r="BC477" i="60" s="1"/>
  <c r="BF477" i="60"/>
  <c r="BF450" i="60"/>
  <c r="BC72" i="60" a="1"/>
  <c r="BC72" i="60" s="1"/>
  <c r="BC83" i="60" a="1"/>
  <c r="BC83" i="60" s="1"/>
  <c r="BC290" i="60" a="1"/>
  <c r="BC290" i="60" s="1"/>
  <c r="BC365" i="60" a="1"/>
  <c r="BC365" i="60" s="1"/>
  <c r="BF365" i="60"/>
  <c r="BF251" i="60"/>
  <c r="BF159" i="60"/>
  <c r="BC393" i="60" a="1"/>
  <c r="BC393" i="60" s="1"/>
  <c r="BF393" i="60"/>
  <c r="BC399" i="60" a="1"/>
  <c r="BC399" i="60" s="1"/>
  <c r="BC43" i="60" a="1"/>
  <c r="BC43" i="60" s="1"/>
  <c r="BF57" i="60"/>
  <c r="BC57" i="60" a="1"/>
  <c r="BC57" i="60" s="1"/>
  <c r="BC492" i="60" a="1"/>
  <c r="BC492" i="60" s="1"/>
  <c r="BF492" i="60"/>
  <c r="BF104" i="60"/>
  <c r="BC104" i="60" a="1"/>
  <c r="BC104" i="60" s="1"/>
  <c r="BC153" i="60" a="1"/>
  <c r="BC153" i="60" s="1"/>
  <c r="BF153" i="60"/>
  <c r="BC361" i="60" a="1"/>
  <c r="BC361" i="60" s="1"/>
  <c r="BC469" i="60" a="1"/>
  <c r="BC469" i="60" s="1"/>
  <c r="BF469" i="60"/>
  <c r="BC39" i="60" a="1"/>
  <c r="BC39" i="60" s="1"/>
  <c r="BF39" i="60"/>
  <c r="BF154" i="60"/>
  <c r="BC154" i="60" a="1"/>
  <c r="BC154" i="60" s="1"/>
  <c r="BF180" i="60"/>
  <c r="BC180" i="60" a="1"/>
  <c r="BC180" i="60" s="1"/>
  <c r="BC193" i="60" a="1"/>
  <c r="BC193" i="60" s="1"/>
  <c r="BF193" i="60"/>
  <c r="BF388" i="60"/>
  <c r="BC64" i="60" a="1"/>
  <c r="BC64" i="60" s="1"/>
  <c r="BF64" i="60"/>
  <c r="BF92" i="60"/>
  <c r="BF348" i="60"/>
  <c r="BC348" i="60" a="1"/>
  <c r="BC348" i="60" s="1"/>
  <c r="BC200" i="60" a="1"/>
  <c r="BC200" i="60" s="1"/>
  <c r="BC251" i="60" a="1"/>
  <c r="BC251" i="60" s="1"/>
  <c r="BC534" i="60" a="1"/>
  <c r="BC534" i="60" s="1"/>
  <c r="BC45" i="60" a="1"/>
  <c r="BC45" i="60" s="1"/>
  <c r="BF200" i="60"/>
  <c r="BF465" i="60"/>
  <c r="BC465" i="60" a="1"/>
  <c r="BC465" i="60" s="1"/>
  <c r="BF497" i="60"/>
  <c r="BC137" i="60" a="1"/>
  <c r="BC137" i="60" s="1"/>
  <c r="BF137" i="60"/>
  <c r="BC269" i="60" a="1"/>
  <c r="BC269" i="60" s="1"/>
  <c r="BF269" i="60"/>
  <c r="BC431" i="60" a="1"/>
  <c r="BC431" i="60" s="1"/>
  <c r="BF431" i="60"/>
  <c r="BC515" i="60" a="1"/>
  <c r="BC515" i="60" s="1"/>
  <c r="BC316" i="60" a="1"/>
  <c r="BC316" i="60" s="1"/>
  <c r="BF316" i="60"/>
  <c r="BC159" i="60" a="1"/>
  <c r="BC159" i="60" s="1"/>
  <c r="BC304" i="60" a="1"/>
  <c r="BC304" i="60" s="1"/>
  <c r="BF304" i="60"/>
  <c r="BC439" i="60" a="1"/>
  <c r="BC439" i="60" s="1"/>
  <c r="BC351" i="60" a="1"/>
  <c r="BC351" i="60" s="1"/>
  <c r="BC461" i="60" a="1"/>
  <c r="BC461" i="60" s="1"/>
  <c r="BC474" i="60" a="1"/>
  <c r="BC474" i="60" s="1"/>
  <c r="BF474" i="60"/>
  <c r="BF83" i="60"/>
  <c r="BF351" i="60"/>
  <c r="BF52" i="60"/>
  <c r="BC52" i="60" a="1"/>
  <c r="BC52" i="60" s="1"/>
  <c r="BC80" i="60" a="1"/>
  <c r="BC80" i="60" s="1"/>
  <c r="BF80" i="60"/>
  <c r="BF166" i="60"/>
  <c r="BC166" i="60" a="1"/>
  <c r="BC166" i="60" s="1"/>
  <c r="BC274" i="60" a="1"/>
  <c r="BC274" i="60" s="1"/>
  <c r="BF274" i="60"/>
  <c r="BF313" i="60"/>
  <c r="BC313" i="60" a="1"/>
  <c r="BC313" i="60" s="1"/>
  <c r="BC379" i="60" a="1"/>
  <c r="BC379" i="60" s="1"/>
  <c r="BF379" i="60"/>
  <c r="BC183" i="60" a="1"/>
  <c r="BC183" i="60" s="1"/>
  <c r="BF183" i="60"/>
  <c r="BC191" i="60" a="1"/>
  <c r="BC191" i="60" s="1"/>
  <c r="BF218" i="60"/>
  <c r="BC218" i="60" a="1"/>
  <c r="BC218" i="60" s="1"/>
  <c r="BC272" i="60" a="1"/>
  <c r="BC272" i="60" s="1"/>
  <c r="BC422" i="60" a="1"/>
  <c r="BC422" i="60" s="1"/>
  <c r="BF32" i="60"/>
  <c r="BC32" i="60" a="1"/>
  <c r="BC32" i="60" s="1"/>
  <c r="BF48" i="60"/>
  <c r="BC48" i="60" a="1"/>
  <c r="BC48" i="60" s="1"/>
  <c r="BC79" i="60" a="1"/>
  <c r="BC79" i="60" s="1"/>
  <c r="BF79" i="60"/>
  <c r="BF124" i="60"/>
  <c r="BC427" i="60" a="1"/>
  <c r="BC427" i="60" s="1"/>
  <c r="BF427" i="60"/>
  <c r="BF460" i="60"/>
  <c r="BC460" i="60" a="1"/>
  <c r="BC460" i="60" s="1"/>
  <c r="BF540" i="60"/>
  <c r="BC540" i="60" a="1"/>
  <c r="BC540" i="60" s="1"/>
  <c r="BF404" i="60"/>
  <c r="BC404" i="60" a="1"/>
  <c r="BC404" i="60" s="1"/>
  <c r="BC330" i="60" a="1"/>
  <c r="BC330" i="60" s="1"/>
  <c r="BC371" i="60" a="1"/>
  <c r="BC371" i="60" s="1"/>
  <c r="BF516" i="60"/>
  <c r="BC49" i="60" a="1"/>
  <c r="BC49" i="60" s="1"/>
  <c r="BC121" i="60" a="1"/>
  <c r="BC121" i="60" s="1"/>
  <c r="BF189" i="60"/>
  <c r="BC376" i="60" a="1"/>
  <c r="BC376" i="60" s="1"/>
  <c r="BC453" i="60" a="1"/>
  <c r="BC453" i="60" s="1"/>
  <c r="BF453" i="60"/>
  <c r="BF519" i="60"/>
  <c r="BC142" i="60" a="1"/>
  <c r="BC142" i="60" s="1"/>
  <c r="BC210" i="60" a="1"/>
  <c r="BC210" i="60" s="1"/>
  <c r="BF210" i="60"/>
  <c r="BC228" i="60" a="1"/>
  <c r="BC228" i="60" s="1"/>
  <c r="BF331" i="60"/>
  <c r="BF484" i="60"/>
  <c r="BC484" i="60" a="1"/>
  <c r="BC484" i="60" s="1"/>
  <c r="BC504" i="60" a="1"/>
  <c r="BC504" i="60" s="1"/>
  <c r="BC519" i="60" a="1"/>
  <c r="BC519" i="60" s="1"/>
  <c r="BC527" i="60" a="1"/>
  <c r="BC527" i="60" s="1"/>
  <c r="BF142" i="60"/>
  <c r="BC297" i="60" a="1"/>
  <c r="BC297" i="60" s="1"/>
  <c r="BF340" i="60"/>
  <c r="BC340" i="60" a="1"/>
  <c r="BC340" i="60" s="1"/>
  <c r="BC380" i="60" a="1"/>
  <c r="BC380" i="60" s="1"/>
  <c r="BC411" i="60" a="1"/>
  <c r="BC411" i="60" s="1"/>
  <c r="BC513" i="60" a="1"/>
  <c r="BC513" i="60" s="1"/>
  <c r="BF513" i="60"/>
  <c r="BF548" i="60"/>
  <c r="BF110" i="60"/>
  <c r="BC110" i="60" a="1"/>
  <c r="BC110" i="60" s="1"/>
  <c r="BC143" i="60" a="1"/>
  <c r="BC143" i="60" s="1"/>
  <c r="BC189" i="60" a="1"/>
  <c r="BC189" i="60" s="1"/>
  <c r="BC194" i="60" a="1"/>
  <c r="BC194" i="60" s="1"/>
  <c r="BF194" i="60"/>
  <c r="BC275" i="60" a="1"/>
  <c r="BC275" i="60" s="1"/>
  <c r="BC331" i="60" a="1"/>
  <c r="BC331" i="60" s="1"/>
  <c r="BC363" i="60" a="1"/>
  <c r="BC363" i="60" s="1"/>
  <c r="BF363" i="60"/>
  <c r="BC391" i="60" a="1"/>
  <c r="BC391" i="60" s="1"/>
  <c r="BC445" i="60" a="1"/>
  <c r="BC445" i="60" s="1"/>
  <c r="BF445" i="60"/>
  <c r="BC485" i="60" a="1"/>
  <c r="BC485" i="60" s="1"/>
  <c r="BC516" i="60" a="1"/>
  <c r="BC516" i="60" s="1"/>
  <c r="BF143" i="60"/>
  <c r="BF169" i="60"/>
  <c r="BC472" i="60" a="1"/>
  <c r="BC472" i="60" s="1"/>
  <c r="BF472" i="60"/>
  <c r="BC548" i="60" a="1"/>
  <c r="BC548" i="60" s="1"/>
  <c r="BC190" i="60" a="1"/>
  <c r="BC190" i="60" s="1"/>
  <c r="BF190" i="60"/>
  <c r="BF276" i="60"/>
  <c r="BC276" i="60" a="1"/>
  <c r="BC276" i="60" s="1"/>
  <c r="BF337" i="60"/>
  <c r="BC396" i="60" a="1"/>
  <c r="BC396" i="60" s="1"/>
  <c r="BF297" i="60"/>
  <c r="BF458" i="60"/>
  <c r="BF485" i="60"/>
  <c r="BC46" i="60" a="1"/>
  <c r="BC46" i="60" s="1"/>
  <c r="BC144" i="60" a="1"/>
  <c r="BC144" i="60" s="1"/>
  <c r="BF144" i="60"/>
  <c r="BC157" i="60" a="1"/>
  <c r="BC157" i="60" s="1"/>
  <c r="BF157" i="60"/>
  <c r="BC161" i="60" a="1"/>
  <c r="BC161" i="60" s="1"/>
  <c r="BC299" i="60" a="1"/>
  <c r="BC299" i="60" s="1"/>
  <c r="BC333" i="60" a="1"/>
  <c r="BC333" i="60" s="1"/>
  <c r="BF333" i="60"/>
  <c r="BF342" i="60"/>
  <c r="BC392" i="60" a="1"/>
  <c r="BC392" i="60" s="1"/>
  <c r="BF412" i="60"/>
  <c r="BC412" i="60" a="1"/>
  <c r="BC412" i="60" s="1"/>
  <c r="BC434" i="60" a="1"/>
  <c r="BC434" i="60" s="1"/>
  <c r="BF434" i="60"/>
  <c r="BC449" i="60" a="1"/>
  <c r="BC449" i="60" s="1"/>
  <c r="BF506" i="60"/>
  <c r="BC506" i="60" a="1"/>
  <c r="BC506" i="60" s="1"/>
  <c r="BC533" i="60" a="1"/>
  <c r="BC533" i="60" s="1"/>
  <c r="BF533" i="60"/>
  <c r="BC494" i="60" a="1"/>
  <c r="BC494" i="60" s="1"/>
  <c r="BF494" i="60"/>
  <c r="BC61" i="60" a="1"/>
  <c r="BC61" i="60" s="1"/>
  <c r="BF61" i="60"/>
  <c r="AL494" i="60"/>
  <c r="AL308" i="60"/>
  <c r="BF160" i="60"/>
  <c r="BC167" i="60" a="1"/>
  <c r="BC167" i="60" s="1"/>
  <c r="BF167" i="60"/>
  <c r="BC322" i="60" a="1"/>
  <c r="BC322" i="60" s="1"/>
  <c r="BC385" i="60" a="1"/>
  <c r="BC385" i="60" s="1"/>
  <c r="BF385" i="60"/>
  <c r="BC542" i="60" a="1"/>
  <c r="BC542" i="60" s="1"/>
  <c r="BF542" i="60"/>
  <c r="BC54" i="60" a="1"/>
  <c r="BC54" i="60" s="1"/>
  <c r="BC73" i="60" a="1"/>
  <c r="BC73" i="60" s="1"/>
  <c r="BF186" i="60"/>
  <c r="BF259" i="60"/>
  <c r="BC259" i="60" a="1"/>
  <c r="BC259" i="60" s="1"/>
  <c r="BC406" i="60" a="1"/>
  <c r="BC406" i="60" s="1"/>
  <c r="BC509" i="60" a="1"/>
  <c r="BC509" i="60" s="1"/>
  <c r="BF54" i="60"/>
  <c r="BF330" i="60"/>
  <c r="BC341" i="60" a="1"/>
  <c r="BC341" i="60" s="1"/>
  <c r="BC386" i="60" a="1"/>
  <c r="BC386" i="60" s="1"/>
  <c r="BC463" i="60" a="1"/>
  <c r="BC463" i="60" s="1"/>
  <c r="BF463" i="60"/>
  <c r="BC543" i="60" a="1"/>
  <c r="BC543" i="60" s="1"/>
  <c r="BF543" i="60"/>
  <c r="BC147" i="60" a="1"/>
  <c r="BC147" i="60" s="1"/>
  <c r="BC160" i="60" a="1"/>
  <c r="BC160" i="60" s="1"/>
  <c r="BF509" i="60"/>
  <c r="BF271" i="60"/>
  <c r="BF335" i="60"/>
  <c r="BF371" i="60"/>
  <c r="BC51" i="60" a="1"/>
  <c r="BC51" i="60" s="1"/>
  <c r="BF51" i="60"/>
  <c r="BC115" i="60" a="1"/>
  <c r="BC115" i="60" s="1"/>
  <c r="BC119" i="60" a="1"/>
  <c r="BC119" i="60" s="1"/>
  <c r="BF119" i="60"/>
  <c r="BC203" i="60" a="1"/>
  <c r="BC203" i="60" s="1"/>
  <c r="BF207" i="60"/>
  <c r="BC364" i="60" a="1"/>
  <c r="BC364" i="60" s="1"/>
  <c r="BF364" i="60"/>
  <c r="BF373" i="60"/>
  <c r="BC373" i="60" a="1"/>
  <c r="BC373" i="60" s="1"/>
  <c r="BC402" i="60" a="1"/>
  <c r="BC402" i="60" s="1"/>
  <c r="BF473" i="60"/>
  <c r="BC132" i="60" a="1"/>
  <c r="BC132" i="60" s="1"/>
  <c r="BC148" i="60" a="1"/>
  <c r="BC148" i="60" s="1"/>
  <c r="BC208" i="60" a="1"/>
  <c r="BC208" i="60" s="1"/>
  <c r="BC249" i="60" a="1"/>
  <c r="BC249" i="60" s="1"/>
  <c r="BF249" i="60"/>
  <c r="BF273" i="60"/>
  <c r="BF346" i="60"/>
  <c r="BC436" i="60" a="1"/>
  <c r="BC436" i="60" s="1"/>
  <c r="BF436" i="60"/>
  <c r="BC482" i="60" a="1"/>
  <c r="BC482" i="60" s="1"/>
  <c r="BF109" i="60"/>
  <c r="BF482" i="60"/>
  <c r="BC168" i="60" a="1"/>
  <c r="BC168" i="60" s="1"/>
  <c r="BF168" i="60"/>
  <c r="BC366" i="60" a="1"/>
  <c r="BC366" i="60" s="1"/>
  <c r="BC451" i="60" a="1"/>
  <c r="BC451" i="60" s="1"/>
  <c r="BC502" i="60" a="1"/>
  <c r="BC502" i="60" s="1"/>
  <c r="BC162" i="60" a="1"/>
  <c r="BC162" i="60" s="1"/>
  <c r="BF162" i="60"/>
  <c r="BC175" i="60" a="1"/>
  <c r="BC175" i="60" s="1"/>
  <c r="BC374" i="60" a="1"/>
  <c r="BC374" i="60" s="1"/>
  <c r="BC405" i="60" a="1"/>
  <c r="BC405" i="60" s="1"/>
  <c r="BC409" i="60" a="1"/>
  <c r="BC409" i="60" s="1"/>
  <c r="BF409" i="60"/>
  <c r="BF444" i="60"/>
  <c r="BF491" i="60"/>
  <c r="BF208" i="60"/>
  <c r="BF305" i="60"/>
  <c r="BC103" i="60" a="1"/>
  <c r="BC103" i="60" s="1"/>
  <c r="BC178" i="60" a="1"/>
  <c r="BC178" i="60" s="1"/>
  <c r="BC195" i="60" a="1"/>
  <c r="BC195" i="60" s="1"/>
  <c r="BC273" i="60" a="1"/>
  <c r="BC273" i="60" s="1"/>
  <c r="BF298" i="60"/>
  <c r="BC298" i="60" a="1"/>
  <c r="BC298" i="60" s="1"/>
  <c r="BC321" i="60" a="1"/>
  <c r="BC321" i="60" s="1"/>
  <c r="BC332" i="60" a="1"/>
  <c r="BC332" i="60" s="1"/>
  <c r="BC346" i="60" a="1"/>
  <c r="BC346" i="60" s="1"/>
  <c r="BC390" i="60" a="1"/>
  <c r="BC390" i="60" s="1"/>
  <c r="BC429" i="60" a="1"/>
  <c r="BC429" i="60" s="1"/>
  <c r="BC503" i="60" a="1"/>
  <c r="BC503" i="60" s="1"/>
  <c r="BC525" i="60" a="1"/>
  <c r="BC525" i="60" s="1"/>
  <c r="BF525" i="60"/>
  <c r="BC389" i="60" a="1"/>
  <c r="BC389" i="60" s="1"/>
  <c r="BF479" i="60"/>
  <c r="BC549" i="60" a="1"/>
  <c r="BC549" i="60" s="1"/>
  <c r="BF74" i="60"/>
  <c r="BC328" i="60" a="1"/>
  <c r="BC328" i="60" s="1"/>
  <c r="BF328" i="60"/>
  <c r="BF256" i="60"/>
  <c r="BC122" i="60" a="1"/>
  <c r="BC122" i="60" s="1"/>
  <c r="AQ255" i="60"/>
  <c r="BF112" i="60"/>
  <c r="BF405" i="60"/>
  <c r="BF68" i="60"/>
  <c r="BC158" i="60" a="1"/>
  <c r="BC158" i="60" s="1"/>
  <c r="BC185" i="60" a="1"/>
  <c r="BC185" i="60" s="1"/>
  <c r="BC215" i="60" a="1"/>
  <c r="BC215" i="60" s="1"/>
  <c r="BC301" i="60" a="1"/>
  <c r="BC301" i="60" s="1"/>
  <c r="BC382" i="60" a="1"/>
  <c r="BC382" i="60" s="1"/>
  <c r="BC491" i="60" a="1"/>
  <c r="BC491" i="60" s="1"/>
  <c r="BC217" i="60" a="1"/>
  <c r="BC217" i="60" s="1"/>
  <c r="BF102" i="60"/>
  <c r="BC102" i="60" a="1"/>
  <c r="BC102" i="60" s="1"/>
  <c r="BF356" i="60"/>
  <c r="BC415" i="60" a="1"/>
  <c r="BC415" i="60" s="1"/>
  <c r="BC423" i="60" a="1"/>
  <c r="BC423" i="60" s="1"/>
  <c r="BC426" i="60" a="1"/>
  <c r="BC426" i="60" s="1"/>
  <c r="BC493" i="60" a="1"/>
  <c r="BC493" i="60" s="1"/>
  <c r="BC308" i="60" a="1"/>
  <c r="BC308" i="60" s="1"/>
  <c r="BF308" i="60"/>
  <c r="BC508" i="60" a="1"/>
  <c r="BC508" i="60" s="1"/>
  <c r="BF508" i="60"/>
  <c r="BC173" i="60" a="1"/>
  <c r="BC173" i="60" s="1"/>
  <c r="BC311" i="60" a="1"/>
  <c r="BC311" i="60" s="1"/>
  <c r="BC397" i="60" a="1"/>
  <c r="BC397" i="60" s="1"/>
  <c r="BF420" i="60"/>
  <c r="BC433" i="60" a="1"/>
  <c r="BC433" i="60" s="1"/>
  <c r="BC468" i="60" a="1"/>
  <c r="BC468" i="60" s="1"/>
  <c r="BF468" i="60"/>
  <c r="BC381" i="60" a="1"/>
  <c r="BC381" i="60" s="1"/>
  <c r="BC538" i="60" a="1"/>
  <c r="BC538" i="60" s="1"/>
  <c r="BC547" i="60" a="1"/>
  <c r="BC547" i="60" s="1"/>
  <c r="BC550" i="60" a="1"/>
  <c r="BC550" i="60" s="1"/>
  <c r="BC201" i="60" a="1"/>
  <c r="BC201" i="60" s="1"/>
  <c r="BC265" i="60" a="1"/>
  <c r="BC265" i="60" s="1"/>
  <c r="BC526" i="60" a="1"/>
  <c r="BC526" i="60" s="1"/>
  <c r="BF139" i="60"/>
  <c r="BF96" i="60"/>
  <c r="BF45" i="60"/>
  <c r="BF182" i="60"/>
  <c r="Z184" i="60"/>
  <c r="AJ211" i="60" a="1"/>
  <c r="AJ211" i="60" s="1"/>
  <c r="Z47" i="60"/>
  <c r="Z70" i="60" s="1"/>
  <c r="AQ70" i="60" s="1"/>
  <c r="Z141" i="60"/>
  <c r="AQ141" i="60" s="1"/>
  <c r="R118" i="60"/>
  <c r="AJ16" i="60" a="1"/>
  <c r="AJ16" i="60" s="1"/>
  <c r="AF249" i="60"/>
  <c r="AI219" i="60"/>
  <c r="T205" i="60"/>
  <c r="T199" i="60"/>
  <c r="T191" i="60"/>
  <c r="T164" i="60"/>
  <c r="T161" i="60"/>
  <c r="T198" i="60"/>
  <c r="T189" i="60"/>
  <c r="T200" i="60"/>
  <c r="T193" i="60"/>
  <c r="T186" i="60"/>
  <c r="T175" i="60"/>
  <c r="T170" i="60"/>
  <c r="T203" i="60"/>
  <c r="T196" i="60"/>
  <c r="T171" i="60"/>
  <c r="T162" i="60"/>
  <c r="T192" i="60"/>
  <c r="T185" i="60"/>
  <c r="T176" i="60"/>
  <c r="T169" i="60"/>
  <c r="T188" i="60"/>
  <c r="T172" i="60"/>
  <c r="T165" i="60"/>
  <c r="T197" i="60"/>
  <c r="T201" i="60"/>
  <c r="T173" i="60"/>
  <c r="T184" i="60"/>
  <c r="T179" i="60"/>
  <c r="T187" i="60"/>
  <c r="T168" i="60"/>
  <c r="T163" i="60"/>
  <c r="T204" i="60"/>
  <c r="T195" i="60"/>
  <c r="U81" i="60"/>
  <c r="U198" i="60"/>
  <c r="Z77" i="60"/>
  <c r="AQ77" i="60" s="1"/>
  <c r="R145" i="60"/>
  <c r="R183" i="60"/>
  <c r="R202" i="60"/>
  <c r="R194" i="60"/>
  <c r="R186" i="60"/>
  <c r="R167" i="60"/>
  <c r="R206" i="60"/>
  <c r="R198" i="60"/>
  <c r="R189" i="60"/>
  <c r="R204" i="60"/>
  <c r="R200" i="60"/>
  <c r="R193" i="60"/>
  <c r="R175" i="60"/>
  <c r="R170" i="60"/>
  <c r="R203" i="60"/>
  <c r="R196" i="60"/>
  <c r="R162" i="60"/>
  <c r="R199" i="60"/>
  <c r="R171" i="60"/>
  <c r="R161" i="60"/>
  <c r="R192" i="60"/>
  <c r="R180" i="60"/>
  <c r="R188" i="60"/>
  <c r="R184" i="60"/>
  <c r="R179" i="60"/>
  <c r="R201" i="60"/>
  <c r="R197" i="60"/>
  <c r="R165" i="60"/>
  <c r="R164" i="60"/>
  <c r="R168" i="60"/>
  <c r="R195" i="60"/>
  <c r="R187" i="60"/>
  <c r="R176" i="60"/>
  <c r="R205" i="60"/>
  <c r="Z98" i="60"/>
  <c r="Z113" i="60" s="1"/>
  <c r="AQ113" i="60" s="1"/>
  <c r="BF113" i="60" s="1"/>
  <c r="U101" i="60"/>
  <c r="R122" i="60"/>
  <c r="R160" i="60"/>
  <c r="T194" i="60"/>
  <c r="T167" i="60"/>
  <c r="R134" i="60"/>
  <c r="R128" i="60"/>
  <c r="R156" i="60"/>
  <c r="R150" i="60"/>
  <c r="R142" i="60"/>
  <c r="R129" i="60"/>
  <c r="R135" i="60"/>
  <c r="R119" i="60"/>
  <c r="R146" i="60"/>
  <c r="R143" i="60"/>
  <c r="R149" i="60"/>
  <c r="R132" i="60"/>
  <c r="R127" i="60"/>
  <c r="R152" i="60"/>
  <c r="R155" i="60"/>
  <c r="R126" i="60"/>
  <c r="R133" i="60"/>
  <c r="R148" i="60"/>
  <c r="R144" i="60"/>
  <c r="R125" i="60"/>
  <c r="R121" i="60"/>
  <c r="R157" i="60"/>
  <c r="R147" i="60"/>
  <c r="R124" i="60"/>
  <c r="R151" i="60"/>
  <c r="R131" i="60"/>
  <c r="R154" i="60"/>
  <c r="R120" i="60"/>
  <c r="R137" i="60"/>
  <c r="U111" i="60"/>
  <c r="U103" i="60"/>
  <c r="U79" i="60"/>
  <c r="U76" i="60"/>
  <c r="U97" i="60"/>
  <c r="U113" i="60"/>
  <c r="U92" i="60"/>
  <c r="U86" i="60"/>
  <c r="U109" i="60"/>
  <c r="U106" i="60"/>
  <c r="U85" i="60"/>
  <c r="U90" i="60"/>
  <c r="U83" i="60"/>
  <c r="U112" i="60"/>
  <c r="U94" i="60"/>
  <c r="U102" i="60"/>
  <c r="U99" i="60"/>
  <c r="U105" i="60"/>
  <c r="U82" i="60"/>
  <c r="U108" i="60"/>
  <c r="U114" i="60"/>
  <c r="U104" i="60"/>
  <c r="U93" i="60"/>
  <c r="U75" i="60"/>
  <c r="U89" i="60"/>
  <c r="U91" i="60"/>
  <c r="U87" i="60"/>
  <c r="U84" i="60"/>
  <c r="U110" i="60"/>
  <c r="U78" i="60"/>
  <c r="U100" i="60"/>
  <c r="R117" i="60"/>
  <c r="R130" i="60"/>
  <c r="R163" i="60"/>
  <c r="R172" i="60"/>
  <c r="T174" i="60"/>
  <c r="T190" i="60"/>
  <c r="U98" i="60"/>
  <c r="R136" i="60"/>
  <c r="R153" i="60"/>
  <c r="U77" i="60"/>
  <c r="U205" i="60"/>
  <c r="U199" i="60"/>
  <c r="U191" i="60"/>
  <c r="U164" i="60"/>
  <c r="U161" i="60"/>
  <c r="U196" i="60"/>
  <c r="U188" i="60"/>
  <c r="U201" i="60"/>
  <c r="U195" i="60"/>
  <c r="U192" i="60"/>
  <c r="U186" i="60"/>
  <c r="U174" i="60"/>
  <c r="U168" i="60"/>
  <c r="U165" i="60"/>
  <c r="U204" i="60"/>
  <c r="U175" i="60"/>
  <c r="U170" i="60"/>
  <c r="U203" i="60"/>
  <c r="U189" i="60"/>
  <c r="U171" i="60"/>
  <c r="U162" i="60"/>
  <c r="U185" i="60"/>
  <c r="U176" i="60"/>
  <c r="U169" i="60"/>
  <c r="U172" i="60"/>
  <c r="U180" i="60"/>
  <c r="U193" i="60"/>
  <c r="U184" i="60"/>
  <c r="U179" i="60"/>
  <c r="U173" i="60"/>
  <c r="U206" i="60"/>
  <c r="U200" i="60"/>
  <c r="U183" i="60"/>
  <c r="U163" i="60"/>
  <c r="U190" i="60"/>
  <c r="U167" i="60"/>
  <c r="T206" i="60"/>
  <c r="AF133" i="60"/>
  <c r="AI127" i="60"/>
  <c r="T160" i="60"/>
  <c r="R169" i="60"/>
  <c r="T183" i="60"/>
  <c r="U160" i="60"/>
  <c r="R190" i="60"/>
  <c r="AF39" i="60"/>
  <c r="R141" i="60"/>
  <c r="R174" i="60"/>
  <c r="R185" i="60"/>
  <c r="U74" i="60"/>
  <c r="U88" i="60"/>
  <c r="AF176" i="60"/>
  <c r="T226" i="60"/>
  <c r="T233" i="60"/>
  <c r="T238" i="60"/>
  <c r="U243" i="60"/>
  <c r="U277" i="60"/>
  <c r="R91" i="60"/>
  <c r="R102" i="60"/>
  <c r="R107" i="60"/>
  <c r="T130" i="60"/>
  <c r="T117" i="60"/>
  <c r="T147" i="60"/>
  <c r="T131" i="60"/>
  <c r="T126" i="60"/>
  <c r="T120" i="60"/>
  <c r="T135" i="60"/>
  <c r="T129" i="60"/>
  <c r="T119" i="60"/>
  <c r="T143" i="60"/>
  <c r="T122" i="60"/>
  <c r="T149" i="60"/>
  <c r="T132" i="60"/>
  <c r="T127" i="60"/>
  <c r="T156" i="60"/>
  <c r="T152" i="60"/>
  <c r="T155" i="60"/>
  <c r="T128" i="60"/>
  <c r="T133" i="60"/>
  <c r="T145" i="60"/>
  <c r="T142" i="60"/>
  <c r="T137" i="60"/>
  <c r="T125" i="60"/>
  <c r="T118" i="60"/>
  <c r="T154" i="60"/>
  <c r="T148" i="60"/>
  <c r="T136" i="60"/>
  <c r="T141" i="60"/>
  <c r="R79" i="60"/>
  <c r="T146" i="60"/>
  <c r="U226" i="60"/>
  <c r="U238" i="60"/>
  <c r="U245" i="60"/>
  <c r="T286" i="60"/>
  <c r="T246" i="60"/>
  <c r="T230" i="60"/>
  <c r="T295" i="60"/>
  <c r="T281" i="60"/>
  <c r="T271" i="60"/>
  <c r="T263" i="60"/>
  <c r="T247" i="60"/>
  <c r="T231" i="60"/>
  <c r="T216" i="60"/>
  <c r="T301" i="60"/>
  <c r="T288" i="60"/>
  <c r="T253" i="60"/>
  <c r="T232" i="60"/>
  <c r="T268" i="60"/>
  <c r="T260" i="60"/>
  <c r="T248" i="60"/>
  <c r="T280" i="60"/>
  <c r="T291" i="60"/>
  <c r="T283" i="60"/>
  <c r="T258" i="60"/>
  <c r="T252" i="60"/>
  <c r="T236" i="60"/>
  <c r="T300" i="60"/>
  <c r="T277" i="60"/>
  <c r="T242" i="60"/>
  <c r="T220" i="60"/>
  <c r="T296" i="60"/>
  <c r="T285" i="60"/>
  <c r="T274" i="60"/>
  <c r="T264" i="60"/>
  <c r="T265" i="60"/>
  <c r="T249" i="60"/>
  <c r="T243" i="60"/>
  <c r="T223" i="60"/>
  <c r="T211" i="60"/>
  <c r="T269" i="60"/>
  <c r="T239" i="60"/>
  <c r="T235" i="60"/>
  <c r="T227" i="60"/>
  <c r="T210" i="60"/>
  <c r="T292" i="60"/>
  <c r="T219" i="60"/>
  <c r="T289" i="60"/>
  <c r="T279" i="60"/>
  <c r="T276" i="60"/>
  <c r="T299" i="60"/>
  <c r="T272" i="60"/>
  <c r="T218" i="60"/>
  <c r="T282" i="60"/>
  <c r="T244" i="60"/>
  <c r="T240" i="60"/>
  <c r="T224" i="60"/>
  <c r="T214" i="60"/>
  <c r="T259" i="60"/>
  <c r="T228" i="60"/>
  <c r="T213" i="60"/>
  <c r="T209" i="60"/>
  <c r="T267" i="60"/>
  <c r="U20" i="60"/>
  <c r="Z17" i="60"/>
  <c r="T93" i="60"/>
  <c r="T111" i="60"/>
  <c r="T103" i="60"/>
  <c r="T83" i="60"/>
  <c r="T77" i="60"/>
  <c r="T113" i="60"/>
  <c r="T109" i="60"/>
  <c r="T106" i="60"/>
  <c r="T85" i="60"/>
  <c r="T90" i="60"/>
  <c r="T112" i="60"/>
  <c r="T94" i="60"/>
  <c r="T76" i="60"/>
  <c r="T102" i="60"/>
  <c r="T99" i="60"/>
  <c r="T86" i="60"/>
  <c r="T105" i="60"/>
  <c r="T82" i="60"/>
  <c r="T79" i="60"/>
  <c r="AF90" i="60"/>
  <c r="AI84" i="60"/>
  <c r="R93" i="60"/>
  <c r="T104" i="60"/>
  <c r="T124" i="60"/>
  <c r="T157" i="60"/>
  <c r="R298" i="60"/>
  <c r="R284" i="60"/>
  <c r="R250" i="60"/>
  <c r="R244" i="60"/>
  <c r="R228" i="60"/>
  <c r="R293" i="60"/>
  <c r="R279" i="60"/>
  <c r="R274" i="60"/>
  <c r="R266" i="60"/>
  <c r="R258" i="60"/>
  <c r="R245" i="60"/>
  <c r="R229" i="60"/>
  <c r="R214" i="60"/>
  <c r="R211" i="60"/>
  <c r="R286" i="60"/>
  <c r="R246" i="60"/>
  <c r="R230" i="60"/>
  <c r="R295" i="60"/>
  <c r="R281" i="60"/>
  <c r="R271" i="60"/>
  <c r="R263" i="60"/>
  <c r="R247" i="60"/>
  <c r="R297" i="60"/>
  <c r="R294" i="60"/>
  <c r="R289" i="60"/>
  <c r="R272" i="60"/>
  <c r="R265" i="60"/>
  <c r="R301" i="60"/>
  <c r="R275" i="60"/>
  <c r="R268" i="60"/>
  <c r="R224" i="60"/>
  <c r="R291" i="60"/>
  <c r="R283" i="60"/>
  <c r="R252" i="60"/>
  <c r="R236" i="60"/>
  <c r="R288" i="60"/>
  <c r="R261" i="60"/>
  <c r="R257" i="60"/>
  <c r="R296" i="60"/>
  <c r="R273" i="60"/>
  <c r="R234" i="60"/>
  <c r="R240" i="60"/>
  <c r="R300" i="60"/>
  <c r="R260" i="60"/>
  <c r="R249" i="60"/>
  <c r="R243" i="60"/>
  <c r="R223" i="60"/>
  <c r="R269" i="60"/>
  <c r="R239" i="60"/>
  <c r="R235" i="60"/>
  <c r="R231" i="60"/>
  <c r="R227" i="60"/>
  <c r="R219" i="60"/>
  <c r="R210" i="60"/>
  <c r="R292" i="60"/>
  <c r="R264" i="60"/>
  <c r="R276" i="60"/>
  <c r="R299" i="60"/>
  <c r="R253" i="60"/>
  <c r="R218" i="60"/>
  <c r="R285" i="60"/>
  <c r="R282" i="60"/>
  <c r="R225" i="60"/>
  <c r="U242" i="60"/>
  <c r="R270" i="60"/>
  <c r="T278" i="60"/>
  <c r="R290" i="60"/>
  <c r="T298" i="60"/>
  <c r="R56" i="60"/>
  <c r="R38" i="60"/>
  <c r="R33" i="60"/>
  <c r="R64" i="60"/>
  <c r="R24" i="60"/>
  <c r="R71" i="60"/>
  <c r="R46" i="60"/>
  <c r="R34" i="60"/>
  <c r="R67" i="60"/>
  <c r="R61" i="60"/>
  <c r="R41" i="60"/>
  <c r="R35" i="60"/>
  <c r="R25" i="60"/>
  <c r="R58" i="60"/>
  <c r="R55" i="60"/>
  <c r="R14" i="60"/>
  <c r="R52" i="60"/>
  <c r="R49" i="60"/>
  <c r="R36" i="60"/>
  <c r="R26" i="60"/>
  <c r="R23" i="60"/>
  <c r="R17" i="60"/>
  <c r="R70" i="60"/>
  <c r="R40" i="60"/>
  <c r="R37" i="60"/>
  <c r="R29" i="60"/>
  <c r="R32" i="60"/>
  <c r="R42" i="60"/>
  <c r="R104" i="60"/>
  <c r="T151" i="60"/>
  <c r="U295" i="60"/>
  <c r="U281" i="60"/>
  <c r="U271" i="60"/>
  <c r="U263" i="60"/>
  <c r="U247" i="60"/>
  <c r="U231" i="60"/>
  <c r="U216" i="60"/>
  <c r="U301" i="60"/>
  <c r="U288" i="60"/>
  <c r="U253" i="60"/>
  <c r="U232" i="60"/>
  <c r="U268" i="60"/>
  <c r="U260" i="60"/>
  <c r="U248" i="60"/>
  <c r="U233" i="60"/>
  <c r="U213" i="60"/>
  <c r="U210" i="60"/>
  <c r="U297" i="60"/>
  <c r="U290" i="60"/>
  <c r="U276" i="60"/>
  <c r="U257" i="60"/>
  <c r="U291" i="60"/>
  <c r="U283" i="60"/>
  <c r="U258" i="60"/>
  <c r="U252" i="60"/>
  <c r="U261" i="60"/>
  <c r="U246" i="60"/>
  <c r="U230" i="60"/>
  <c r="U225" i="60"/>
  <c r="U296" i="60"/>
  <c r="U285" i="60"/>
  <c r="U274" i="60"/>
  <c r="U264" i="60"/>
  <c r="U237" i="60"/>
  <c r="U218" i="60"/>
  <c r="U211" i="60"/>
  <c r="U293" i="60"/>
  <c r="U267" i="60"/>
  <c r="U251" i="60"/>
  <c r="U269" i="60"/>
  <c r="U239" i="60"/>
  <c r="U235" i="60"/>
  <c r="U227" i="60"/>
  <c r="U300" i="60"/>
  <c r="U292" i="60"/>
  <c r="U219" i="60"/>
  <c r="U289" i="60"/>
  <c r="U286" i="60"/>
  <c r="U279" i="60"/>
  <c r="U299" i="60"/>
  <c r="U272" i="60"/>
  <c r="U282" i="60"/>
  <c r="U244" i="60"/>
  <c r="U240" i="60"/>
  <c r="U224" i="60"/>
  <c r="U214" i="60"/>
  <c r="U259" i="60"/>
  <c r="U236" i="60"/>
  <c r="U228" i="60"/>
  <c r="U220" i="60"/>
  <c r="U209" i="60"/>
  <c r="U298" i="60"/>
  <c r="U294" i="60"/>
  <c r="U278" i="60"/>
  <c r="U223" i="60"/>
  <c r="T250" i="60"/>
  <c r="T257" i="60"/>
  <c r="R21" i="60"/>
  <c r="R48" i="60"/>
  <c r="R53" i="60"/>
  <c r="R60" i="60"/>
  <c r="T121" i="60"/>
  <c r="T225" i="60"/>
  <c r="T234" i="60"/>
  <c r="T237" i="60"/>
  <c r="AA259" i="60"/>
  <c r="T275" i="60"/>
  <c r="R98" i="60"/>
  <c r="R106" i="60"/>
  <c r="R90" i="60"/>
  <c r="R85" i="60"/>
  <c r="R77" i="60"/>
  <c r="R114" i="60"/>
  <c r="R89" i="60"/>
  <c r="R103" i="60"/>
  <c r="R100" i="60"/>
  <c r="R84" i="60"/>
  <c r="R113" i="60"/>
  <c r="R109" i="60"/>
  <c r="R83" i="60"/>
  <c r="R112" i="60"/>
  <c r="R94" i="60"/>
  <c r="R76" i="60"/>
  <c r="T270" i="60"/>
  <c r="T290" i="60"/>
  <c r="T294" i="60"/>
  <c r="S37" i="60"/>
  <c r="S40" i="60"/>
  <c r="S70" i="60"/>
  <c r="S17" i="60"/>
  <c r="S23" i="60"/>
  <c r="S26" i="60"/>
  <c r="S36" i="60"/>
  <c r="T37" i="60"/>
  <c r="S49" i="60"/>
  <c r="S52" i="60"/>
  <c r="T70" i="60"/>
  <c r="AG237" i="60"/>
  <c r="S14" i="60"/>
  <c r="T17" i="60"/>
  <c r="T23" i="60"/>
  <c r="T26" i="60"/>
  <c r="AG31" i="60"/>
  <c r="T36" i="60"/>
  <c r="T49" i="60"/>
  <c r="S55" i="60"/>
  <c r="AG173" i="60"/>
  <c r="AG221" i="60"/>
  <c r="AG229" i="60"/>
  <c r="S264" i="60"/>
  <c r="S71" i="60"/>
  <c r="S59" i="60"/>
  <c r="S51" i="60"/>
  <c r="S43" i="60"/>
  <c r="S24" i="60"/>
  <c r="S25" i="60"/>
  <c r="S35" i="60"/>
  <c r="S41" i="60"/>
  <c r="S61" i="60"/>
  <c r="S67" i="60"/>
  <c r="AA144" i="60"/>
  <c r="AA145" i="60" s="1"/>
  <c r="T40" i="60"/>
  <c r="T64" i="60"/>
  <c r="T53" i="60"/>
  <c r="T25" i="60"/>
  <c r="S34" i="60"/>
  <c r="T35" i="60"/>
  <c r="T41" i="60"/>
  <c r="S46" i="60"/>
  <c r="T61" i="60"/>
  <c r="T67" i="60"/>
  <c r="T71" i="60"/>
  <c r="AI173" i="60"/>
  <c r="AG238" i="60"/>
  <c r="AG222" i="60"/>
  <c r="AG239" i="60"/>
  <c r="AG223" i="60"/>
  <c r="AG240" i="60"/>
  <c r="AG224" i="60"/>
  <c r="AG241" i="60"/>
  <c r="AG232" i="60"/>
  <c r="AG248" i="60"/>
  <c r="AG233" i="60"/>
  <c r="AG228" i="60"/>
  <c r="AI221" i="60"/>
  <c r="AJ221" i="60" s="1"/>
  <c r="T24" i="60"/>
  <c r="AG29" i="60"/>
  <c r="T34" i="60"/>
  <c r="AG38" i="60"/>
  <c r="T46" i="60"/>
  <c r="AA49" i="60"/>
  <c r="AA50" i="60" s="1"/>
  <c r="S64" i="60"/>
  <c r="S106" i="60"/>
  <c r="S90" i="60"/>
  <c r="S82" i="60"/>
  <c r="S93" i="60"/>
  <c r="S107" i="60"/>
  <c r="S104" i="60"/>
  <c r="S101" i="60"/>
  <c r="S98" i="60"/>
  <c r="S113" i="60"/>
  <c r="S97" i="60"/>
  <c r="S92" i="60"/>
  <c r="S84" i="60"/>
  <c r="S100" i="60"/>
  <c r="S103" i="60"/>
  <c r="S202" i="60"/>
  <c r="S194" i="60"/>
  <c r="S186" i="60"/>
  <c r="S167" i="60"/>
  <c r="S205" i="60"/>
  <c r="S199" i="60"/>
  <c r="S191" i="60"/>
  <c r="S173" i="60"/>
  <c r="S162" i="60"/>
  <c r="S201" i="60"/>
  <c r="S195" i="60"/>
  <c r="S192" i="60"/>
  <c r="S174" i="60"/>
  <c r="S168" i="60"/>
  <c r="S165" i="60"/>
  <c r="S161" i="60"/>
  <c r="AG172" i="60"/>
  <c r="S293" i="60"/>
  <c r="S279" i="60"/>
  <c r="S274" i="60"/>
  <c r="S266" i="60"/>
  <c r="S258" i="60"/>
  <c r="S245" i="60"/>
  <c r="S229" i="60"/>
  <c r="S214" i="60"/>
  <c r="S211" i="60"/>
  <c r="S286" i="60"/>
  <c r="S246" i="60"/>
  <c r="S230" i="60"/>
  <c r="S295" i="60"/>
  <c r="S281" i="60"/>
  <c r="S271" i="60"/>
  <c r="S263" i="60"/>
  <c r="S247" i="60"/>
  <c r="S231" i="60"/>
  <c r="S216" i="60"/>
  <c r="S301" i="60"/>
  <c r="S288" i="60"/>
  <c r="S253" i="60"/>
  <c r="S275" i="60"/>
  <c r="S268" i="60"/>
  <c r="S280" i="60"/>
  <c r="S241" i="60"/>
  <c r="S219" i="60"/>
  <c r="S261" i="60"/>
  <c r="S257" i="60"/>
  <c r="S225" i="60"/>
  <c r="S300" i="60"/>
  <c r="S277" i="60"/>
  <c r="AG220" i="60"/>
  <c r="AG236" i="60"/>
  <c r="AG85" i="60"/>
  <c r="AG86" i="60"/>
  <c r="AG89" i="60"/>
  <c r="Z257" i="60"/>
  <c r="S129" i="60"/>
  <c r="S142" i="60"/>
  <c r="S150" i="60"/>
  <c r="AG50" i="54"/>
  <c r="BB50" i="54"/>
  <c r="AF44" i="54"/>
  <c r="AF65" i="54" s="1"/>
  <c r="BA44" i="54"/>
  <c r="BA65" i="54" s="1"/>
  <c r="BM71" i="60"/>
  <c r="BG71" i="60" s="1"/>
  <c r="BK13" i="60" a="1"/>
  <c r="BK13" i="60" s="1"/>
  <c r="BM330" i="60"/>
  <c r="BG330" i="60" s="1"/>
  <c r="BK14" i="60"/>
  <c r="DK3" i="60"/>
  <c r="BM538" i="60"/>
  <c r="BG538" i="60" s="1"/>
  <c r="BM520" i="60"/>
  <c r="BG520" i="60" s="1"/>
  <c r="BH520" i="60" s="1"/>
  <c r="AL520" i="60"/>
  <c r="U271" i="54" a="1"/>
  <c r="U271" i="54" s="1"/>
  <c r="U186" i="54" a="1"/>
  <c r="U186" i="54" s="1"/>
  <c r="U71" i="54" a="1"/>
  <c r="U71" i="54" s="1"/>
  <c r="BA317" i="54"/>
  <c r="BA360" i="54" s="1"/>
  <c r="BA222" i="54"/>
  <c r="BA265" i="54" s="1"/>
  <c r="BA157" i="54"/>
  <c r="BA180" i="54" s="1"/>
  <c r="BA97" i="54"/>
  <c r="BA120" i="54" s="1"/>
  <c r="AF97" i="54"/>
  <c r="AF120" i="54" s="1"/>
  <c r="AF157" i="54"/>
  <c r="AF180" i="54" s="1"/>
  <c r="K44" i="54"/>
  <c r="K65" i="54" s="1"/>
  <c r="K97" i="54"/>
  <c r="K120" i="54" s="1"/>
  <c r="AF317" i="54"/>
  <c r="AF360" i="54" s="1"/>
  <c r="K317" i="54"/>
  <c r="K360" i="54" s="1"/>
  <c r="K222" i="54"/>
  <c r="K265" i="54" s="1"/>
  <c r="K157" i="54"/>
  <c r="K180" i="54" s="1"/>
  <c r="BB811" i="54"/>
  <c r="AG811" i="54"/>
  <c r="L811" i="54"/>
  <c r="BB810" i="54"/>
  <c r="L810" i="54"/>
  <c r="BG809" i="54"/>
  <c r="BH809" i="54" s="1"/>
  <c r="BB809" i="54"/>
  <c r="AL809" i="54"/>
  <c r="AM809" i="54" s="1"/>
  <c r="Q809" i="54"/>
  <c r="R809" i="54" s="1"/>
  <c r="L809" i="54"/>
  <c r="BG808" i="54"/>
  <c r="BK803" i="54" s="1"/>
  <c r="BB808" i="54"/>
  <c r="AL808" i="54"/>
  <c r="AM808" i="54" s="1"/>
  <c r="Q808" i="54"/>
  <c r="R808" i="54" s="1"/>
  <c r="L808" i="54"/>
  <c r="BG807" i="54"/>
  <c r="BH807" i="54" s="1"/>
  <c r="BB807" i="54"/>
  <c r="AL807" i="54"/>
  <c r="AM807" i="54" s="1"/>
  <c r="Q807" i="54"/>
  <c r="U801" i="54" s="1"/>
  <c r="L807" i="54"/>
  <c r="BG806" i="54"/>
  <c r="BK799" i="54" s="1"/>
  <c r="BB806" i="54"/>
  <c r="AL806" i="54"/>
  <c r="AP799" i="54" s="1"/>
  <c r="Q806" i="54"/>
  <c r="R806" i="54" s="1"/>
  <c r="L806" i="54"/>
  <c r="BD805" i="54"/>
  <c r="BB805" i="54"/>
  <c r="AI805" i="54"/>
  <c r="N805" i="54"/>
  <c r="L805" i="54"/>
  <c r="BJ804" i="54"/>
  <c r="BF804" i="54"/>
  <c r="BB804" i="54"/>
  <c r="AO804" i="54"/>
  <c r="AK804" i="54"/>
  <c r="T804" i="54"/>
  <c r="P804" i="54"/>
  <c r="L804" i="54"/>
  <c r="BE803" i="54"/>
  <c r="BB803" i="54"/>
  <c r="AJ803" i="54"/>
  <c r="O803" i="54"/>
  <c r="L803" i="54"/>
  <c r="BJ802" i="54"/>
  <c r="BG802" i="54"/>
  <c r="BD809" i="54" s="1"/>
  <c r="BF802" i="54"/>
  <c r="BD808" i="54" s="1"/>
  <c r="BE802" i="54"/>
  <c r="BD807" i="54" s="1"/>
  <c r="BD802" i="54"/>
  <c r="BD806" i="54" s="1"/>
  <c r="BB802" i="54"/>
  <c r="AO802" i="54"/>
  <c r="AL802" i="54"/>
  <c r="AI809" i="54" s="1"/>
  <c r="AK802" i="54"/>
  <c r="AI808" i="54" s="1"/>
  <c r="AJ802" i="54"/>
  <c r="AI807" i="54" s="1"/>
  <c r="AI802" i="54"/>
  <c r="AI806" i="54" s="1"/>
  <c r="T802" i="54"/>
  <c r="Q802" i="54"/>
  <c r="N809" i="54" s="1"/>
  <c r="P802" i="54"/>
  <c r="N808" i="54" s="1"/>
  <c r="O802" i="54"/>
  <c r="N807" i="54" s="1"/>
  <c r="N802" i="54"/>
  <c r="N806" i="54" s="1"/>
  <c r="L802" i="54"/>
  <c r="BG801" i="54"/>
  <c r="BK804" i="54" s="1"/>
  <c r="BF801" i="54"/>
  <c r="BK802" i="54" s="1"/>
  <c r="BE801" i="54"/>
  <c r="BK800" i="54" s="1"/>
  <c r="BD801" i="54"/>
  <c r="BK798" i="54" s="1"/>
  <c r="BB801" i="54"/>
  <c r="AL801" i="54"/>
  <c r="AP804" i="54" s="1"/>
  <c r="AK801" i="54"/>
  <c r="AP802" i="54" s="1"/>
  <c r="AJ801" i="54"/>
  <c r="AP800" i="54" s="1"/>
  <c r="AI801" i="54"/>
  <c r="AP798" i="54" s="1"/>
  <c r="Q801" i="54"/>
  <c r="U804" i="54" s="1"/>
  <c r="P801" i="54"/>
  <c r="U802" i="54" s="1"/>
  <c r="O801" i="54"/>
  <c r="U800" i="54" s="1"/>
  <c r="N801" i="54"/>
  <c r="U798" i="54" s="1"/>
  <c r="L801" i="54"/>
  <c r="BJ800" i="54"/>
  <c r="BB800" i="54"/>
  <c r="AO800" i="54"/>
  <c r="T800" i="54"/>
  <c r="L800" i="54"/>
  <c r="BB799" i="54"/>
  <c r="L799" i="54"/>
  <c r="BJ798" i="54"/>
  <c r="BB798" i="54"/>
  <c r="AO798" i="54"/>
  <c r="T798" i="54"/>
  <c r="L798" i="54"/>
  <c r="BJ797" i="54"/>
  <c r="BB797" i="54"/>
  <c r="AN797" i="54"/>
  <c r="T797" i="54"/>
  <c r="L797" i="54"/>
  <c r="BB796" i="54"/>
  <c r="L796" i="54"/>
  <c r="BJ795" i="54"/>
  <c r="AN795" i="54"/>
  <c r="T795" i="54"/>
  <c r="BB792" i="54"/>
  <c r="AG792" i="54"/>
  <c r="L792" i="54"/>
  <c r="BB791" i="54"/>
  <c r="AG791" i="54"/>
  <c r="L791" i="54"/>
  <c r="BB790" i="54"/>
  <c r="AG790" i="54"/>
  <c r="L790" i="54"/>
  <c r="BB789" i="54"/>
  <c r="AG789" i="54"/>
  <c r="L789" i="54"/>
  <c r="BB788" i="54"/>
  <c r="AG788" i="54"/>
  <c r="L788" i="54"/>
  <c r="BB787" i="54"/>
  <c r="AG787" i="54"/>
  <c r="L787" i="54"/>
  <c r="BB786" i="54"/>
  <c r="AG786" i="54"/>
  <c r="L786" i="54"/>
  <c r="BB785" i="54"/>
  <c r="AG785" i="54"/>
  <c r="L785" i="54"/>
  <c r="BB782" i="54"/>
  <c r="AG782" i="54"/>
  <c r="L782" i="54"/>
  <c r="BB781" i="54"/>
  <c r="AG781" i="54"/>
  <c r="L781" i="54"/>
  <c r="BK780" i="54"/>
  <c r="BJ780" i="54"/>
  <c r="BI780" i="54"/>
  <c r="BH780" i="54"/>
  <c r="BG780" i="54"/>
  <c r="BB780" i="54"/>
  <c r="AP780" i="54"/>
  <c r="AO780" i="54"/>
  <c r="AN780" i="54"/>
  <c r="AM780" i="54"/>
  <c r="AL780" i="54"/>
  <c r="AG780" i="54"/>
  <c r="U780" i="54"/>
  <c r="T780" i="54"/>
  <c r="S780" i="54"/>
  <c r="R780" i="54"/>
  <c r="Q780" i="54"/>
  <c r="L780" i="54"/>
  <c r="BB779" i="54"/>
  <c r="AG779" i="54"/>
  <c r="L779" i="54"/>
  <c r="BG778" i="54"/>
  <c r="BB778" i="54"/>
  <c r="AL778" i="54"/>
  <c r="AG778" i="54"/>
  <c r="Q778" i="54"/>
  <c r="L778" i="54"/>
  <c r="BK777" i="54"/>
  <c r="BJ777" i="54"/>
  <c r="BI777" i="54"/>
  <c r="BH777" i="54"/>
  <c r="BG777" i="54"/>
  <c r="BB777" i="54"/>
  <c r="AP777" i="54"/>
  <c r="AO777" i="54"/>
  <c r="AN777" i="54"/>
  <c r="AM777" i="54"/>
  <c r="AL777" i="54"/>
  <c r="AG777" i="54"/>
  <c r="U777" i="54"/>
  <c r="T777" i="54"/>
  <c r="S777" i="54"/>
  <c r="R777" i="54"/>
  <c r="Q777" i="54"/>
  <c r="L777" i="54"/>
  <c r="BB776" i="54"/>
  <c r="AG776" i="54"/>
  <c r="L776" i="54"/>
  <c r="BG775" i="54"/>
  <c r="BB775" i="54"/>
  <c r="AL775" i="54"/>
  <c r="AG775" i="54"/>
  <c r="Q775" i="54"/>
  <c r="L775" i="54"/>
  <c r="BB771" i="54"/>
  <c r="AG771" i="54"/>
  <c r="L771" i="54"/>
  <c r="BB770" i="54"/>
  <c r="AG770" i="54"/>
  <c r="L770" i="54"/>
  <c r="BB769" i="54"/>
  <c r="AG769" i="54"/>
  <c r="L769" i="54"/>
  <c r="BB768" i="54"/>
  <c r="AG768" i="54"/>
  <c r="L768" i="54"/>
  <c r="BB767" i="54"/>
  <c r="AG767" i="54"/>
  <c r="L767" i="54"/>
  <c r="BB766" i="54"/>
  <c r="AG766" i="54"/>
  <c r="L766" i="54"/>
  <c r="BC763" i="54"/>
  <c r="BH763" i="54" s="1"/>
  <c r="AH763" i="54"/>
  <c r="AM763" i="54" s="1"/>
  <c r="M763" i="54"/>
  <c r="R763" i="54" s="1"/>
  <c r="BC762" i="54"/>
  <c r="BH762" i="54" s="1"/>
  <c r="AH762" i="54"/>
  <c r="AM762" i="54" s="1"/>
  <c r="M762" i="54"/>
  <c r="R762" i="54" s="1"/>
  <c r="BC761" i="54"/>
  <c r="BH761" i="54" s="1"/>
  <c r="AH761" i="54"/>
  <c r="AM761" i="54" s="1"/>
  <c r="M761" i="54"/>
  <c r="R761" i="54" s="1"/>
  <c r="BC760" i="54"/>
  <c r="BH760" i="54" s="1"/>
  <c r="AH760" i="54"/>
  <c r="AM760" i="54" s="1"/>
  <c r="M760" i="54"/>
  <c r="R760" i="54" s="1"/>
  <c r="BC759" i="54"/>
  <c r="BH759" i="54" s="1"/>
  <c r="AH759" i="54"/>
  <c r="AM759" i="54" s="1"/>
  <c r="M759" i="54"/>
  <c r="R759" i="54" s="1"/>
  <c r="BC758" i="54"/>
  <c r="BH758" i="54" s="1"/>
  <c r="AH758" i="54"/>
  <c r="AM758" i="54" s="1"/>
  <c r="M758" i="54"/>
  <c r="R758" i="54" s="1"/>
  <c r="BC757" i="54"/>
  <c r="BH757" i="54" s="1"/>
  <c r="AH757" i="54"/>
  <c r="AM757" i="54" s="1"/>
  <c r="M757" i="54"/>
  <c r="R757" i="54" s="1"/>
  <c r="BC756" i="54"/>
  <c r="BH756" i="54" s="1"/>
  <c r="AH756" i="54"/>
  <c r="AM756" i="54" s="1"/>
  <c r="M756" i="54"/>
  <c r="R756" i="54" s="1"/>
  <c r="BC755" i="54"/>
  <c r="BH755" i="54" s="1"/>
  <c r="AH755" i="54"/>
  <c r="AM755" i="54" s="1"/>
  <c r="M755" i="54"/>
  <c r="R755" i="54" s="1"/>
  <c r="BB748" i="54"/>
  <c r="AG748" i="54"/>
  <c r="L748" i="54"/>
  <c r="BJ747" i="54"/>
  <c r="BJ748" i="54" s="1"/>
  <c r="BB747" i="54"/>
  <c r="AO747" i="54"/>
  <c r="AO748" i="54" s="1"/>
  <c r="AG747" i="54"/>
  <c r="T747" i="54"/>
  <c r="T748" i="54" s="1"/>
  <c r="L747" i="54"/>
  <c r="BB746" i="54"/>
  <c r="AG746" i="54"/>
  <c r="L746" i="54"/>
  <c r="BB745" i="54"/>
  <c r="AG745" i="54"/>
  <c r="L745" i="54"/>
  <c r="BJ744" i="54"/>
  <c r="BJ745" i="54" s="1"/>
  <c r="BB744" i="54"/>
  <c r="AO744" i="54"/>
  <c r="AO745" i="54" s="1"/>
  <c r="AG744" i="54"/>
  <c r="T744" i="54"/>
  <c r="T745" i="54" s="1"/>
  <c r="L744" i="54"/>
  <c r="BB743" i="54"/>
  <c r="AG743" i="54"/>
  <c r="L743" i="54"/>
  <c r="BB742" i="54"/>
  <c r="AG742" i="54"/>
  <c r="L742" i="54"/>
  <c r="BB741" i="54"/>
  <c r="AG741" i="54"/>
  <c r="L741" i="54"/>
  <c r="BJ740" i="54"/>
  <c r="BB740" i="54"/>
  <c r="AO740" i="54"/>
  <c r="AG740" i="54"/>
  <c r="T740" i="54"/>
  <c r="L740" i="54"/>
  <c r="BJ739" i="54"/>
  <c r="BB739" i="54"/>
  <c r="AO739" i="54"/>
  <c r="AG739" i="54"/>
  <c r="T739" i="54"/>
  <c r="L739" i="54"/>
  <c r="BB738" i="54"/>
  <c r="AG738" i="54"/>
  <c r="L738" i="54"/>
  <c r="BB737" i="54"/>
  <c r="AG737" i="54"/>
  <c r="L737" i="54"/>
  <c r="BB736" i="54"/>
  <c r="AG736" i="54"/>
  <c r="L736" i="54"/>
  <c r="BJ735" i="54"/>
  <c r="BJ736" i="54" s="1"/>
  <c r="BB735" i="54"/>
  <c r="AO735" i="54"/>
  <c r="AO736" i="54" s="1"/>
  <c r="AG735" i="54"/>
  <c r="T735" i="54"/>
  <c r="T736" i="54" s="1"/>
  <c r="L735" i="54"/>
  <c r="BB734" i="54"/>
  <c r="AG734" i="54"/>
  <c r="L734" i="54"/>
  <c r="BB733" i="54"/>
  <c r="AG733" i="54"/>
  <c r="L733" i="54"/>
  <c r="BB729" i="54"/>
  <c r="AG729" i="54"/>
  <c r="L729" i="54"/>
  <c r="BB728" i="54"/>
  <c r="AG728" i="54"/>
  <c r="L728" i="54"/>
  <c r="BB727" i="54"/>
  <c r="AG727" i="54"/>
  <c r="L727" i="54"/>
  <c r="BB726" i="54"/>
  <c r="AG726" i="54"/>
  <c r="L726" i="54"/>
  <c r="BB725" i="54"/>
  <c r="AG725" i="54"/>
  <c r="L725" i="54"/>
  <c r="BB724" i="54"/>
  <c r="AG724" i="54"/>
  <c r="L724" i="54"/>
  <c r="BB723" i="54"/>
  <c r="AG723" i="54"/>
  <c r="L723" i="54"/>
  <c r="BB722" i="54"/>
  <c r="AG722" i="54"/>
  <c r="L722" i="54"/>
  <c r="BB721" i="54"/>
  <c r="AG721" i="54"/>
  <c r="L721" i="54"/>
  <c r="BB720" i="54"/>
  <c r="AG720" i="54"/>
  <c r="L720" i="54"/>
  <c r="BB717" i="54"/>
  <c r="AG717" i="54"/>
  <c r="L717" i="54"/>
  <c r="BB716" i="54"/>
  <c r="L716" i="54"/>
  <c r="BB715" i="54"/>
  <c r="L715" i="54"/>
  <c r="BI714" i="54"/>
  <c r="BD716" i="54" s="1"/>
  <c r="BB714" i="54"/>
  <c r="AM714" i="54"/>
  <c r="AH716" i="54" s="1"/>
  <c r="S714" i="54"/>
  <c r="N716" i="54" s="1"/>
  <c r="L714" i="54"/>
  <c r="BI713" i="54"/>
  <c r="BD715" i="54" s="1"/>
  <c r="BB713" i="54"/>
  <c r="AM713" i="54"/>
  <c r="AH715" i="54" s="1"/>
  <c r="S713" i="54"/>
  <c r="N715" i="54" s="1"/>
  <c r="L713" i="54"/>
  <c r="BB712" i="54"/>
  <c r="L712" i="54"/>
  <c r="BB708" i="54"/>
  <c r="AG708" i="54"/>
  <c r="L708" i="54"/>
  <c r="BB707" i="54"/>
  <c r="AG707" i="54"/>
  <c r="L707" i="54"/>
  <c r="BB706" i="54"/>
  <c r="AG706" i="54"/>
  <c r="L706" i="54"/>
  <c r="BB705" i="54"/>
  <c r="AG705" i="54"/>
  <c r="L705" i="54"/>
  <c r="BB704" i="54"/>
  <c r="AG704" i="54"/>
  <c r="L704" i="54"/>
  <c r="BB703" i="54"/>
  <c r="AG703" i="54"/>
  <c r="L703" i="54"/>
  <c r="BI702" i="54"/>
  <c r="BB702" i="54"/>
  <c r="AN702" i="54"/>
  <c r="AG702" i="54"/>
  <c r="S702" i="54"/>
  <c r="L702" i="54"/>
  <c r="BB701" i="54"/>
  <c r="AG701" i="54"/>
  <c r="L701" i="54"/>
  <c r="BB700" i="54"/>
  <c r="AG700" i="54"/>
  <c r="L700" i="54"/>
  <c r="BB699" i="54"/>
  <c r="AG699" i="54"/>
  <c r="L699" i="54"/>
  <c r="BB698" i="54"/>
  <c r="AG698" i="54"/>
  <c r="L698" i="54"/>
  <c r="BB697" i="54"/>
  <c r="AG697" i="54"/>
  <c r="L697" i="54"/>
  <c r="BB696" i="54"/>
  <c r="AG696" i="54"/>
  <c r="L696" i="54"/>
  <c r="BB695" i="54"/>
  <c r="AG695" i="54"/>
  <c r="L695" i="54"/>
  <c r="BB694" i="54"/>
  <c r="AG694" i="54"/>
  <c r="L694" i="54"/>
  <c r="BB693" i="54"/>
  <c r="AG693" i="54"/>
  <c r="L693" i="54"/>
  <c r="BB692" i="54"/>
  <c r="AG692" i="54"/>
  <c r="L692" i="54"/>
  <c r="BB691" i="54"/>
  <c r="AG691" i="54"/>
  <c r="L691" i="54"/>
  <c r="BB687" i="54"/>
  <c r="AG687" i="54"/>
  <c r="L687" i="54"/>
  <c r="BB686" i="54"/>
  <c r="AG686" i="54"/>
  <c r="L686" i="54"/>
  <c r="BB685" i="54"/>
  <c r="AG685" i="54"/>
  <c r="L685" i="54"/>
  <c r="BB684" i="54"/>
  <c r="AG684" i="54"/>
  <c r="L684" i="54"/>
  <c r="BB683" i="54"/>
  <c r="AG683" i="54"/>
  <c r="L683" i="54"/>
  <c r="BB682" i="54"/>
  <c r="AG682" i="54"/>
  <c r="L682" i="54"/>
  <c r="BB681" i="54"/>
  <c r="AG681" i="54"/>
  <c r="L681" i="54"/>
  <c r="BB680" i="54"/>
  <c r="AG680" i="54"/>
  <c r="L680" i="54"/>
  <c r="BB679" i="54"/>
  <c r="AG679" i="54"/>
  <c r="L679" i="54"/>
  <c r="BB678" i="54"/>
  <c r="AG678" i="54"/>
  <c r="L678" i="54"/>
  <c r="BB677" i="54"/>
  <c r="AG677" i="54"/>
  <c r="L677" i="54"/>
  <c r="BB676" i="54"/>
  <c r="AG676" i="54"/>
  <c r="L676" i="54"/>
  <c r="BB675" i="54"/>
  <c r="AG675" i="54"/>
  <c r="L675" i="54"/>
  <c r="BB674" i="54"/>
  <c r="AG674" i="54"/>
  <c r="L674" i="54"/>
  <c r="BB673" i="54"/>
  <c r="AG673" i="54"/>
  <c r="L673" i="54"/>
  <c r="BB672" i="54"/>
  <c r="AG672" i="54"/>
  <c r="L672" i="54"/>
  <c r="BB671" i="54"/>
  <c r="AG671" i="54"/>
  <c r="L671" i="54"/>
  <c r="BB670" i="54"/>
  <c r="AG670" i="54"/>
  <c r="L670" i="54"/>
  <c r="BB666" i="54"/>
  <c r="AG666" i="54"/>
  <c r="L666" i="54"/>
  <c r="BB665" i="54"/>
  <c r="AG665" i="54"/>
  <c r="L665" i="54"/>
  <c r="BB664" i="54"/>
  <c r="AG664" i="54"/>
  <c r="L664" i="54"/>
  <c r="BB663" i="54"/>
  <c r="AG663" i="54"/>
  <c r="L663" i="54"/>
  <c r="BB662" i="54"/>
  <c r="AG662" i="54"/>
  <c r="L662" i="54"/>
  <c r="BB661" i="54"/>
  <c r="AG661" i="54"/>
  <c r="L661" i="54"/>
  <c r="BB660" i="54"/>
  <c r="AG660" i="54"/>
  <c r="L660" i="54"/>
  <c r="BB659" i="54"/>
  <c r="AG659" i="54"/>
  <c r="L659" i="54"/>
  <c r="BB656" i="54"/>
  <c r="AG656" i="54"/>
  <c r="L656" i="54"/>
  <c r="BB655" i="54"/>
  <c r="AG655" i="54"/>
  <c r="L655" i="54"/>
  <c r="BB654" i="54"/>
  <c r="AG654" i="54"/>
  <c r="L654" i="54"/>
  <c r="BH653" i="54"/>
  <c r="BI653" i="54" s="1"/>
  <c r="BB653" i="54"/>
  <c r="AM653" i="54"/>
  <c r="AN653" i="54" s="1"/>
  <c r="AG653" i="54"/>
  <c r="R653" i="54"/>
  <c r="S653" i="54" s="1"/>
  <c r="L653" i="54"/>
  <c r="BH652" i="54"/>
  <c r="BI652" i="54" s="1"/>
  <c r="BB652" i="54"/>
  <c r="AM652" i="54"/>
  <c r="AN652" i="54" s="1"/>
  <c r="AG652" i="54"/>
  <c r="R652" i="54"/>
  <c r="S652" i="54" s="1"/>
  <c r="L652" i="54"/>
  <c r="BH651" i="54"/>
  <c r="BI651" i="54" s="1"/>
  <c r="BB651" i="54"/>
  <c r="AM651" i="54"/>
  <c r="AN651" i="54" s="1"/>
  <c r="AG651" i="54"/>
  <c r="R651" i="54"/>
  <c r="S651" i="54" s="1"/>
  <c r="L651" i="54"/>
  <c r="BH650" i="54"/>
  <c r="BI650" i="54" s="1"/>
  <c r="BB650" i="54"/>
  <c r="AM650" i="54"/>
  <c r="AN650" i="54" s="1"/>
  <c r="AG650" i="54"/>
  <c r="R650" i="54"/>
  <c r="S650" i="54" s="1"/>
  <c r="L650" i="54"/>
  <c r="BB649" i="54"/>
  <c r="AG649" i="54"/>
  <c r="L649" i="54"/>
  <c r="BB645" i="54"/>
  <c r="AG645" i="54"/>
  <c r="L645" i="54"/>
  <c r="BB644" i="54"/>
  <c r="AG644" i="54"/>
  <c r="L644" i="54"/>
  <c r="BB643" i="54"/>
  <c r="AG643" i="54"/>
  <c r="L643" i="54"/>
  <c r="BB642" i="54"/>
  <c r="AG642" i="54"/>
  <c r="L642" i="54"/>
  <c r="BB641" i="54"/>
  <c r="AG641" i="54"/>
  <c r="L641" i="54"/>
  <c r="BB640" i="54"/>
  <c r="AG640" i="54"/>
  <c r="L640" i="54"/>
  <c r="BB639" i="54"/>
  <c r="AG639" i="54"/>
  <c r="L639" i="54"/>
  <c r="BB638" i="54"/>
  <c r="AG638" i="54"/>
  <c r="L638" i="54"/>
  <c r="BB637" i="54"/>
  <c r="AG637" i="54"/>
  <c r="L637" i="54"/>
  <c r="BB636" i="54"/>
  <c r="AG636" i="54"/>
  <c r="L636" i="54"/>
  <c r="BB635" i="54"/>
  <c r="AG635" i="54"/>
  <c r="L635" i="54"/>
  <c r="BB634" i="54"/>
  <c r="AG634" i="54"/>
  <c r="L634" i="54"/>
  <c r="BB633" i="54"/>
  <c r="AG633" i="54"/>
  <c r="L633" i="54"/>
  <c r="BH630" i="54"/>
  <c r="BB630" i="54"/>
  <c r="AM630" i="54"/>
  <c r="AG630" i="54"/>
  <c r="R630" i="54"/>
  <c r="L630" i="54"/>
  <c r="BB629" i="54"/>
  <c r="AG629" i="54"/>
  <c r="L629" i="54"/>
  <c r="BB628" i="54"/>
  <c r="AG628" i="54"/>
  <c r="L628" i="54"/>
  <c r="BB624" i="54"/>
  <c r="AG624" i="54"/>
  <c r="L624" i="54"/>
  <c r="BB623" i="54"/>
  <c r="AG623" i="54"/>
  <c r="L623" i="54"/>
  <c r="BB622" i="54"/>
  <c r="AG622" i="54"/>
  <c r="L622" i="54"/>
  <c r="BB621" i="54"/>
  <c r="AG621" i="54"/>
  <c r="L621" i="54"/>
  <c r="BB620" i="54"/>
  <c r="AG620" i="54"/>
  <c r="L620" i="54"/>
  <c r="BB619" i="54"/>
  <c r="AG619" i="54"/>
  <c r="L619" i="54"/>
  <c r="BB618" i="54"/>
  <c r="AG618" i="54"/>
  <c r="L618" i="54"/>
  <c r="BB617" i="54"/>
  <c r="AG617" i="54"/>
  <c r="L617" i="54"/>
  <c r="BB616" i="54"/>
  <c r="AG616" i="54"/>
  <c r="L616" i="54"/>
  <c r="BB615" i="54"/>
  <c r="AG615" i="54"/>
  <c r="L615" i="54"/>
  <c r="BB614" i="54"/>
  <c r="AG614" i="54"/>
  <c r="L614" i="54"/>
  <c r="BF611" i="54"/>
  <c r="BB611" i="54"/>
  <c r="AK611" i="54"/>
  <c r="AG611" i="54"/>
  <c r="P611" i="54"/>
  <c r="L611" i="54"/>
  <c r="BB610" i="54"/>
  <c r="AG610" i="54"/>
  <c r="L610" i="54"/>
  <c r="BB609" i="54"/>
  <c r="AG609" i="54"/>
  <c r="L609" i="54"/>
  <c r="BB608" i="54"/>
  <c r="AG608" i="54"/>
  <c r="L608" i="54"/>
  <c r="BB607" i="54"/>
  <c r="AG607" i="54"/>
  <c r="L607" i="54"/>
  <c r="BB601" i="54"/>
  <c r="AG601" i="54"/>
  <c r="L601" i="54"/>
  <c r="BB600" i="54"/>
  <c r="AG600" i="54"/>
  <c r="L600" i="54"/>
  <c r="BB599" i="54"/>
  <c r="AG599" i="54"/>
  <c r="L599" i="54"/>
  <c r="BB598" i="54"/>
  <c r="AG598" i="54"/>
  <c r="L598" i="54"/>
  <c r="BB597" i="54"/>
  <c r="AG597" i="54"/>
  <c r="L597" i="54"/>
  <c r="BB596" i="54"/>
  <c r="AG596" i="54"/>
  <c r="L596" i="54"/>
  <c r="BB595" i="54"/>
  <c r="AG595" i="54"/>
  <c r="L595" i="54"/>
  <c r="BG594" i="54"/>
  <c r="BB594" i="54"/>
  <c r="AL594" i="54"/>
  <c r="AG594" i="54"/>
  <c r="Q594" i="54"/>
  <c r="L594" i="54"/>
  <c r="BG593" i="54"/>
  <c r="BB593" i="54"/>
  <c r="AL593" i="54"/>
  <c r="AG593" i="54"/>
  <c r="Q593" i="54"/>
  <c r="L593" i="54"/>
  <c r="BB592" i="54"/>
  <c r="AG592" i="54"/>
  <c r="L592" i="54"/>
  <c r="BB591" i="54"/>
  <c r="AG591" i="54"/>
  <c r="L591" i="54"/>
  <c r="BB590" i="54"/>
  <c r="AG590" i="54"/>
  <c r="L590" i="54"/>
  <c r="BB589" i="54"/>
  <c r="AG589" i="54"/>
  <c r="L589" i="54"/>
  <c r="BB588" i="54"/>
  <c r="AG588" i="54"/>
  <c r="L588" i="54"/>
  <c r="BB587" i="54"/>
  <c r="AG587" i="54"/>
  <c r="L587" i="54"/>
  <c r="BB586" i="54"/>
  <c r="AG586" i="54"/>
  <c r="L586" i="54"/>
  <c r="BB582" i="54"/>
  <c r="AG582" i="54"/>
  <c r="L582" i="54"/>
  <c r="BB581" i="54"/>
  <c r="AG581" i="54"/>
  <c r="L581" i="54"/>
  <c r="BB580" i="54"/>
  <c r="AG580" i="54"/>
  <c r="L580" i="54"/>
  <c r="BB579" i="54"/>
  <c r="AG579" i="54"/>
  <c r="L579" i="54"/>
  <c r="BB578" i="54"/>
  <c r="AG578" i="54"/>
  <c r="L578" i="54"/>
  <c r="BB577" i="54"/>
  <c r="AG577" i="54"/>
  <c r="L577" i="54"/>
  <c r="BB576" i="54"/>
  <c r="AG576" i="54"/>
  <c r="L576" i="54"/>
  <c r="BB573" i="54"/>
  <c r="AG573" i="54"/>
  <c r="L573" i="54"/>
  <c r="BB572" i="54"/>
  <c r="AG572" i="54"/>
  <c r="L572" i="54"/>
  <c r="BB571" i="54"/>
  <c r="AG571" i="54"/>
  <c r="L571" i="54"/>
  <c r="BB570" i="54"/>
  <c r="AG570" i="54"/>
  <c r="L570" i="54"/>
  <c r="BB569" i="54"/>
  <c r="AG569" i="54"/>
  <c r="L569" i="54"/>
  <c r="BB568" i="54"/>
  <c r="AG568" i="54"/>
  <c r="L568" i="54"/>
  <c r="BB567" i="54"/>
  <c r="AG567" i="54"/>
  <c r="L567" i="54"/>
  <c r="BB566" i="54"/>
  <c r="AG566" i="54"/>
  <c r="L566" i="54"/>
  <c r="BB565" i="54"/>
  <c r="AG565" i="54"/>
  <c r="L565" i="54"/>
  <c r="BB559" i="54"/>
  <c r="AG559" i="54"/>
  <c r="L559" i="54"/>
  <c r="BB558" i="54"/>
  <c r="AG558" i="54"/>
  <c r="L558" i="54"/>
  <c r="BB557" i="54"/>
  <c r="AG557" i="54"/>
  <c r="L557" i="54"/>
  <c r="BB556" i="54"/>
  <c r="AG556" i="54"/>
  <c r="L556" i="54"/>
  <c r="BB555" i="54"/>
  <c r="AG555" i="54"/>
  <c r="L555" i="54"/>
  <c r="BB554" i="54"/>
  <c r="AG554" i="54"/>
  <c r="L554" i="54"/>
  <c r="BB553" i="54"/>
  <c r="AG553" i="54"/>
  <c r="L553" i="54"/>
  <c r="BB552" i="54"/>
  <c r="AG552" i="54"/>
  <c r="L552" i="54"/>
  <c r="BB551" i="54"/>
  <c r="AG551" i="54"/>
  <c r="L551" i="54"/>
  <c r="BB550" i="54"/>
  <c r="AG550" i="54"/>
  <c r="L550" i="54"/>
  <c r="BB549" i="54"/>
  <c r="AG549" i="54"/>
  <c r="L549" i="54"/>
  <c r="BB548" i="54"/>
  <c r="AG548" i="54"/>
  <c r="L548" i="54"/>
  <c r="BB547" i="54"/>
  <c r="AG547" i="54"/>
  <c r="L547" i="54"/>
  <c r="BB546" i="54"/>
  <c r="AG546" i="54"/>
  <c r="L546" i="54"/>
  <c r="BB545" i="54"/>
  <c r="AG545" i="54"/>
  <c r="L545" i="54"/>
  <c r="BB544" i="54"/>
  <c r="AG544" i="54"/>
  <c r="L544" i="54"/>
  <c r="BB540" i="54"/>
  <c r="AG540" i="54"/>
  <c r="L540" i="54"/>
  <c r="BB539" i="54"/>
  <c r="AG539" i="54"/>
  <c r="L539" i="54"/>
  <c r="BB538" i="54"/>
  <c r="AG538" i="54"/>
  <c r="L538" i="54"/>
  <c r="BB537" i="54"/>
  <c r="AG537" i="54"/>
  <c r="L537" i="54"/>
  <c r="BH536" i="54"/>
  <c r="BB536" i="54"/>
  <c r="AM536" i="54"/>
  <c r="AG536" i="54"/>
  <c r="R536" i="54"/>
  <c r="L536" i="54"/>
  <c r="BK535" i="54"/>
  <c r="BG537" i="54" s="1"/>
  <c r="BB535" i="54"/>
  <c r="AP535" i="54"/>
  <c r="AL537" i="54" s="1"/>
  <c r="AG535" i="54"/>
  <c r="U535" i="54"/>
  <c r="Q537" i="54" s="1"/>
  <c r="L535" i="54"/>
  <c r="BB534" i="54"/>
  <c r="AG534" i="54"/>
  <c r="L534" i="54"/>
  <c r="BB533" i="54"/>
  <c r="AG533" i="54"/>
  <c r="L533" i="54"/>
  <c r="BH532" i="54"/>
  <c r="BB532" i="54"/>
  <c r="AM532" i="54"/>
  <c r="AG532" i="54"/>
  <c r="R532" i="54"/>
  <c r="L532" i="54"/>
  <c r="BH531" i="54"/>
  <c r="BB531" i="54"/>
  <c r="AM531" i="54"/>
  <c r="AG531" i="54"/>
  <c r="R531" i="54"/>
  <c r="L531" i="54"/>
  <c r="BB530" i="54"/>
  <c r="AG530" i="54"/>
  <c r="L530" i="54"/>
  <c r="BI529" i="54"/>
  <c r="BG533" i="54" s="1"/>
  <c r="BB529" i="54"/>
  <c r="AG529" i="54"/>
  <c r="L529" i="54"/>
  <c r="BB528" i="54"/>
  <c r="AP528" i="54"/>
  <c r="AL533" i="54" s="1"/>
  <c r="AG528" i="54"/>
  <c r="U528" i="54"/>
  <c r="Q533" i="54" s="1"/>
  <c r="L528" i="54"/>
  <c r="BB527" i="54"/>
  <c r="AG527" i="54"/>
  <c r="L527" i="54"/>
  <c r="BK526" i="54"/>
  <c r="BB526" i="54"/>
  <c r="AP526" i="54"/>
  <c r="AG526" i="54"/>
  <c r="U526" i="54"/>
  <c r="L526" i="54"/>
  <c r="BB525" i="54"/>
  <c r="AG525" i="54"/>
  <c r="L525" i="54"/>
  <c r="BB524" i="54"/>
  <c r="AG524" i="54"/>
  <c r="BB523" i="54"/>
  <c r="AG523" i="54"/>
  <c r="L523" i="54"/>
  <c r="L524" i="54" s="1"/>
  <c r="BB519" i="54"/>
  <c r="AG519" i="54"/>
  <c r="L519" i="54"/>
  <c r="BB518" i="54"/>
  <c r="AG518" i="54"/>
  <c r="L518" i="54"/>
  <c r="BB517" i="54"/>
  <c r="AG517" i="54"/>
  <c r="L517" i="54"/>
  <c r="BB516" i="54"/>
  <c r="AG516" i="54"/>
  <c r="L516" i="54"/>
  <c r="BB515" i="54"/>
  <c r="AG515" i="54"/>
  <c r="L515" i="54"/>
  <c r="BB514" i="54"/>
  <c r="AG514" i="54"/>
  <c r="L514" i="54"/>
  <c r="BB513" i="54"/>
  <c r="AG513" i="54"/>
  <c r="L513" i="54"/>
  <c r="BB512" i="54"/>
  <c r="AG512" i="54"/>
  <c r="L512" i="54"/>
  <c r="BB511" i="54"/>
  <c r="AG511" i="54"/>
  <c r="BB510" i="54"/>
  <c r="AG510" i="54"/>
  <c r="BB509" i="54"/>
  <c r="AG509" i="54"/>
  <c r="L509" i="54"/>
  <c r="BB508" i="54"/>
  <c r="AG508" i="54"/>
  <c r="BB507" i="54"/>
  <c r="AG507" i="54"/>
  <c r="BB506" i="54"/>
  <c r="AG506" i="54"/>
  <c r="L506" i="54"/>
  <c r="BB505" i="54"/>
  <c r="AG505" i="54"/>
  <c r="BB504" i="54"/>
  <c r="AG504" i="54"/>
  <c r="BB503" i="54"/>
  <c r="AG503" i="54"/>
  <c r="BB502" i="54"/>
  <c r="AG502" i="54"/>
  <c r="L502" i="54"/>
  <c r="L503" i="54" s="1"/>
  <c r="BN6" i="54"/>
  <c r="M1" i="54"/>
  <c r="N1" i="54"/>
  <c r="O1" i="54"/>
  <c r="P1" i="54"/>
  <c r="Q1" i="54"/>
  <c r="R1" i="54"/>
  <c r="S1" i="54"/>
  <c r="T1" i="54"/>
  <c r="U1" i="54"/>
  <c r="M2" i="54"/>
  <c r="N2" i="54"/>
  <c r="O2" i="54"/>
  <c r="P2" i="54"/>
  <c r="Q2" i="54"/>
  <c r="R2" i="54"/>
  <c r="S2" i="54"/>
  <c r="T2" i="54"/>
  <c r="U2" i="54"/>
  <c r="I80" i="54"/>
  <c r="M80" i="54"/>
  <c r="S80" i="54"/>
  <c r="AD80" i="54"/>
  <c r="AH80" i="54"/>
  <c r="AN80" i="54"/>
  <c r="AY80" i="54"/>
  <c r="BC80" i="54"/>
  <c r="BI80" i="54"/>
  <c r="B81" i="54"/>
  <c r="I81" i="54"/>
  <c r="M81" i="54"/>
  <c r="S81" i="54"/>
  <c r="W81" i="54"/>
  <c r="AD81" i="54"/>
  <c r="AH81" i="54"/>
  <c r="AN81" i="54"/>
  <c r="AR81" i="54"/>
  <c r="AY81" i="54"/>
  <c r="BC81" i="54"/>
  <c r="BI81" i="54"/>
  <c r="B82" i="54"/>
  <c r="I82" i="54"/>
  <c r="M82" i="54"/>
  <c r="S82" i="54"/>
  <c r="W82" i="54"/>
  <c r="AD82" i="54"/>
  <c r="AH82" i="54"/>
  <c r="AN82" i="54"/>
  <c r="AR82" i="54"/>
  <c r="AY82" i="54"/>
  <c r="BC82" i="54"/>
  <c r="BI82" i="54"/>
  <c r="B83" i="54"/>
  <c r="I83" i="54"/>
  <c r="M83" i="54"/>
  <c r="S83" i="54"/>
  <c r="W83" i="54"/>
  <c r="AD83" i="54"/>
  <c r="AH83" i="54"/>
  <c r="AN83" i="54"/>
  <c r="AR83" i="54"/>
  <c r="AY83" i="54"/>
  <c r="BC83" i="54"/>
  <c r="BI83" i="54"/>
  <c r="B84" i="54"/>
  <c r="I84" i="54"/>
  <c r="M84" i="54"/>
  <c r="S84" i="54"/>
  <c r="W84" i="54"/>
  <c r="AD84" i="54"/>
  <c r="AH84" i="54"/>
  <c r="AN84" i="54"/>
  <c r="AR84" i="54"/>
  <c r="AY84" i="54"/>
  <c r="BC84" i="54"/>
  <c r="BI84" i="54"/>
  <c r="B85" i="54"/>
  <c r="I85" i="54"/>
  <c r="M85" i="54"/>
  <c r="S85" i="54"/>
  <c r="W85" i="54"/>
  <c r="AD85" i="54"/>
  <c r="AH85" i="54"/>
  <c r="AN85" i="54"/>
  <c r="AR85" i="54"/>
  <c r="AY85" i="54"/>
  <c r="BC85" i="54"/>
  <c r="BI85" i="54"/>
  <c r="B86" i="54"/>
  <c r="I86" i="54"/>
  <c r="M86" i="54"/>
  <c r="S86" i="54"/>
  <c r="W86" i="54"/>
  <c r="AD86" i="54"/>
  <c r="AH86" i="54"/>
  <c r="AN86" i="54"/>
  <c r="AR86" i="54"/>
  <c r="AY86" i="54"/>
  <c r="BC86" i="54"/>
  <c r="BI86" i="54"/>
  <c r="L45" i="54"/>
  <c r="L46" i="54"/>
  <c r="L47" i="54"/>
  <c r="L48" i="54"/>
  <c r="L49" i="54"/>
  <c r="AX362" i="54"/>
  <c r="AC362" i="54"/>
  <c r="H362" i="54"/>
  <c r="BB357" i="54"/>
  <c r="AY357" i="54"/>
  <c r="AG357" i="54"/>
  <c r="AD357" i="54"/>
  <c r="I357" i="54"/>
  <c r="BB356" i="54"/>
  <c r="AY356" i="54"/>
  <c r="AR356" i="54"/>
  <c r="AG356" i="54"/>
  <c r="AD356" i="54"/>
  <c r="W356" i="54"/>
  <c r="L356" i="54"/>
  <c r="I356" i="54"/>
  <c r="B356" i="54"/>
  <c r="BB355" i="54"/>
  <c r="AY355" i="54"/>
  <c r="AR355" i="54"/>
  <c r="AG355" i="54"/>
  <c r="AD355" i="54"/>
  <c r="W355" i="54"/>
  <c r="L355" i="54"/>
  <c r="I355" i="54"/>
  <c r="B355" i="54"/>
  <c r="BB354" i="54"/>
  <c r="AY354" i="54"/>
  <c r="AR354" i="54"/>
  <c r="AG354" i="54"/>
  <c r="AD354" i="54"/>
  <c r="W354" i="54"/>
  <c r="L354" i="54"/>
  <c r="I354" i="54"/>
  <c r="B354" i="54"/>
  <c r="BB353" i="54"/>
  <c r="AY353" i="54"/>
  <c r="AR353" i="54"/>
  <c r="AG353" i="54"/>
  <c r="AD353" i="54"/>
  <c r="W353" i="54"/>
  <c r="L353" i="54"/>
  <c r="I353" i="54"/>
  <c r="B353" i="54"/>
  <c r="BB352" i="54"/>
  <c r="AY352" i="54"/>
  <c r="AR352" i="54"/>
  <c r="AG352" i="54"/>
  <c r="AD352" i="54"/>
  <c r="W352" i="54"/>
  <c r="L352" i="54"/>
  <c r="I352" i="54"/>
  <c r="B352" i="54"/>
  <c r="BB351" i="54"/>
  <c r="AY351" i="54"/>
  <c r="AR351" i="54"/>
  <c r="AG351" i="54"/>
  <c r="AD351" i="54"/>
  <c r="W351" i="54"/>
  <c r="L351" i="54"/>
  <c r="I351" i="54"/>
  <c r="B351" i="54"/>
  <c r="BB350" i="54"/>
  <c r="AY350" i="54"/>
  <c r="AR350" i="54"/>
  <c r="AG350" i="54"/>
  <c r="AD350" i="54"/>
  <c r="W350" i="54"/>
  <c r="L350" i="54"/>
  <c r="I350" i="54"/>
  <c r="B350" i="54"/>
  <c r="BB349" i="54"/>
  <c r="AY349" i="54"/>
  <c r="AR349" i="54"/>
  <c r="AG349" i="54"/>
  <c r="AD349" i="54"/>
  <c r="W349" i="54"/>
  <c r="L349" i="54"/>
  <c r="I349" i="54"/>
  <c r="B349" i="54"/>
  <c r="BB348" i="54"/>
  <c r="AY348" i="54"/>
  <c r="AR348" i="54"/>
  <c r="AG348" i="54"/>
  <c r="AD348" i="54"/>
  <c r="W348" i="54"/>
  <c r="L348" i="54"/>
  <c r="I348" i="54"/>
  <c r="B348" i="54"/>
  <c r="BB347" i="54"/>
  <c r="AY347" i="54"/>
  <c r="AR347" i="54"/>
  <c r="AG347" i="54"/>
  <c r="AD347" i="54"/>
  <c r="W347" i="54"/>
  <c r="L347" i="54"/>
  <c r="I347" i="54"/>
  <c r="B347" i="54"/>
  <c r="BB346" i="54"/>
  <c r="AY346" i="54"/>
  <c r="AR346" i="54"/>
  <c r="AG346" i="54"/>
  <c r="AD346" i="54"/>
  <c r="W346" i="54"/>
  <c r="L346" i="54"/>
  <c r="I346" i="54"/>
  <c r="B346" i="54"/>
  <c r="BB345" i="54"/>
  <c r="AY345" i="54"/>
  <c r="AR345" i="54"/>
  <c r="AG345" i="54"/>
  <c r="AD345" i="54"/>
  <c r="W345" i="54"/>
  <c r="L345" i="54"/>
  <c r="I345" i="54"/>
  <c r="B345" i="54"/>
  <c r="BB344" i="54"/>
  <c r="AY344" i="54"/>
  <c r="AR344" i="54"/>
  <c r="AG344" i="54"/>
  <c r="AD344" i="54"/>
  <c r="W344" i="54"/>
  <c r="L344" i="54"/>
  <c r="I344" i="54"/>
  <c r="B344" i="54"/>
  <c r="BB343" i="54"/>
  <c r="AY343" i="54"/>
  <c r="AR343" i="54"/>
  <c r="AG343" i="54"/>
  <c r="AD343" i="54"/>
  <c r="W343" i="54"/>
  <c r="L343" i="54"/>
  <c r="I343" i="54"/>
  <c r="B343" i="54"/>
  <c r="AY342" i="54"/>
  <c r="AR342" i="54"/>
  <c r="AD342" i="54"/>
  <c r="W342" i="54"/>
  <c r="I342" i="54"/>
  <c r="B342" i="54"/>
  <c r="AY341" i="54"/>
  <c r="AR341" i="54"/>
  <c r="AD341" i="54"/>
  <c r="W341" i="54"/>
  <c r="I341" i="54"/>
  <c r="B341" i="54"/>
  <c r="BB340" i="54"/>
  <c r="AY340" i="54"/>
  <c r="AR340" i="54"/>
  <c r="AG340" i="54"/>
  <c r="AD340" i="54"/>
  <c r="W340" i="54"/>
  <c r="L340" i="54"/>
  <c r="I340" i="54"/>
  <c r="B340" i="54"/>
  <c r="BB339" i="54"/>
  <c r="AY339" i="54"/>
  <c r="AR339" i="54"/>
  <c r="AG339" i="54"/>
  <c r="AD339" i="54"/>
  <c r="W339" i="54"/>
  <c r="L339" i="54"/>
  <c r="I339" i="54"/>
  <c r="B339" i="54"/>
  <c r="BB338" i="54"/>
  <c r="AY338" i="54"/>
  <c r="AR338" i="54"/>
  <c r="AG338" i="54"/>
  <c r="AD338" i="54"/>
  <c r="W338" i="54"/>
  <c r="L338" i="54"/>
  <c r="I338" i="54"/>
  <c r="B338" i="54"/>
  <c r="BB337" i="54"/>
  <c r="AY337" i="54"/>
  <c r="AR337" i="54"/>
  <c r="AG337" i="54"/>
  <c r="AD337" i="54"/>
  <c r="W337" i="54"/>
  <c r="L337" i="54"/>
  <c r="I337" i="54"/>
  <c r="B337" i="54"/>
  <c r="BB336" i="54"/>
  <c r="AY336" i="54"/>
  <c r="AR336" i="54"/>
  <c r="AG336" i="54"/>
  <c r="AD336" i="54"/>
  <c r="W336" i="54"/>
  <c r="L336" i="54"/>
  <c r="I336" i="54"/>
  <c r="B336" i="54"/>
  <c r="BB335" i="54"/>
  <c r="AY335" i="54"/>
  <c r="AG335" i="54"/>
  <c r="AD335" i="54"/>
  <c r="I335" i="54"/>
  <c r="BB334" i="54"/>
  <c r="AY334" i="54"/>
  <c r="AG334" i="54"/>
  <c r="AD334" i="54"/>
  <c r="I334" i="54"/>
  <c r="BB333" i="54"/>
  <c r="AY333" i="54"/>
  <c r="AG333" i="54"/>
  <c r="AD333" i="54"/>
  <c r="L333" i="54"/>
  <c r="I333" i="54"/>
  <c r="BB332" i="54"/>
  <c r="AY332" i="54"/>
  <c r="AG332" i="54"/>
  <c r="AD332" i="54"/>
  <c r="L332" i="54"/>
  <c r="I332" i="54"/>
  <c r="BB331" i="54"/>
  <c r="AY331" i="54"/>
  <c r="AG331" i="54"/>
  <c r="AD331" i="54"/>
  <c r="L331" i="54"/>
  <c r="I331" i="54"/>
  <c r="BB330" i="54"/>
  <c r="AY330" i="54"/>
  <c r="AG330" i="54"/>
  <c r="AD330" i="54"/>
  <c r="L330" i="54"/>
  <c r="I330" i="54"/>
  <c r="BB329" i="54"/>
  <c r="AY329" i="54"/>
  <c r="AG329" i="54"/>
  <c r="AD329" i="54"/>
  <c r="L329" i="54"/>
  <c r="I329" i="54"/>
  <c r="BB328" i="54"/>
  <c r="AY328" i="54"/>
  <c r="AG328" i="54"/>
  <c r="AD328" i="54"/>
  <c r="L328" i="54"/>
  <c r="I328" i="54"/>
  <c r="BB327" i="54"/>
  <c r="AY327" i="54"/>
  <c r="AG327" i="54"/>
  <c r="AD327" i="54"/>
  <c r="L327" i="54"/>
  <c r="I327" i="54"/>
  <c r="BB326" i="54"/>
  <c r="AY326" i="54"/>
  <c r="AG326" i="54"/>
  <c r="AD326" i="54"/>
  <c r="L326" i="54"/>
  <c r="I326" i="54"/>
  <c r="BB325" i="54"/>
  <c r="AY325" i="54"/>
  <c r="AG325" i="54"/>
  <c r="AD325" i="54"/>
  <c r="L325" i="54"/>
  <c r="I325" i="54"/>
  <c r="BB324" i="54"/>
  <c r="AY324" i="54"/>
  <c r="AG324" i="54"/>
  <c r="AD324" i="54"/>
  <c r="L324" i="54"/>
  <c r="I324" i="54"/>
  <c r="AY323" i="54"/>
  <c r="AD323" i="54"/>
  <c r="I323" i="54"/>
  <c r="BB322" i="54"/>
  <c r="AY322" i="54"/>
  <c r="AG322" i="54"/>
  <c r="AD322" i="54"/>
  <c r="L322" i="54"/>
  <c r="I322" i="54"/>
  <c r="BB321" i="54"/>
  <c r="AY321" i="54"/>
  <c r="AG321" i="54"/>
  <c r="AD321" i="54"/>
  <c r="L321" i="54"/>
  <c r="I321" i="54"/>
  <c r="BB320" i="54"/>
  <c r="AY320" i="54"/>
  <c r="AG320" i="54"/>
  <c r="AD320" i="54"/>
  <c r="L320" i="54"/>
  <c r="I320" i="54"/>
  <c r="BB319" i="54"/>
  <c r="AY319" i="54"/>
  <c r="AG319" i="54"/>
  <c r="AD319" i="54"/>
  <c r="L319" i="54"/>
  <c r="I319" i="54"/>
  <c r="BB318" i="54"/>
  <c r="AG318" i="54"/>
  <c r="L318" i="54"/>
  <c r="BI309" i="54"/>
  <c r="AN309" i="54"/>
  <c r="S309" i="54"/>
  <c r="BI308" i="54"/>
  <c r="BC308" i="54"/>
  <c r="AY308" i="54"/>
  <c r="AN308" i="54"/>
  <c r="AH308" i="54"/>
  <c r="AD308" i="54"/>
  <c r="S308" i="54"/>
  <c r="M308" i="54"/>
  <c r="I308" i="54"/>
  <c r="BI307" i="54"/>
  <c r="BC307" i="54"/>
  <c r="AY307" i="54"/>
  <c r="AR307" i="54"/>
  <c r="AN307" i="54"/>
  <c r="AH307" i="54"/>
  <c r="AD307" i="54"/>
  <c r="W307" i="54"/>
  <c r="S307" i="54"/>
  <c r="M307" i="54"/>
  <c r="I307" i="54"/>
  <c r="B307" i="54"/>
  <c r="BI306" i="54"/>
  <c r="BC306" i="54"/>
  <c r="AY306" i="54"/>
  <c r="AR306" i="54"/>
  <c r="AN306" i="54"/>
  <c r="AH306" i="54"/>
  <c r="AD306" i="54"/>
  <c r="W306" i="54"/>
  <c r="S306" i="54"/>
  <c r="M306" i="54"/>
  <c r="I306" i="54"/>
  <c r="B306" i="54"/>
  <c r="BI305" i="54"/>
  <c r="BC305" i="54"/>
  <c r="AY305" i="54"/>
  <c r="AR305" i="54"/>
  <c r="AN305" i="54"/>
  <c r="AH305" i="54"/>
  <c r="AD305" i="54"/>
  <c r="W305" i="54"/>
  <c r="S305" i="54"/>
  <c r="M305" i="54"/>
  <c r="I305" i="54"/>
  <c r="B305" i="54"/>
  <c r="BI304" i="54"/>
  <c r="BC304" i="54"/>
  <c r="AY304" i="54"/>
  <c r="AR304" i="54"/>
  <c r="AN304" i="54"/>
  <c r="AH304" i="54"/>
  <c r="AD304" i="54"/>
  <c r="W304" i="54"/>
  <c r="S304" i="54"/>
  <c r="M304" i="54"/>
  <c r="I304" i="54"/>
  <c r="B304" i="54"/>
  <c r="BI303" i="54"/>
  <c r="BC303" i="54"/>
  <c r="AY303" i="54"/>
  <c r="AR303" i="54"/>
  <c r="AN303" i="54"/>
  <c r="AH303" i="54"/>
  <c r="AD303" i="54"/>
  <c r="W303" i="54"/>
  <c r="S303" i="54"/>
  <c r="M303" i="54"/>
  <c r="I303" i="54"/>
  <c r="B303" i="54"/>
  <c r="BI302" i="54"/>
  <c r="BC302" i="54"/>
  <c r="AY302" i="54"/>
  <c r="AR302" i="54"/>
  <c r="AN302" i="54"/>
  <c r="AH302" i="54"/>
  <c r="AD302" i="54"/>
  <c r="W302" i="54"/>
  <c r="S302" i="54"/>
  <c r="M302" i="54"/>
  <c r="I302" i="54"/>
  <c r="B302" i="54"/>
  <c r="BI301" i="54"/>
  <c r="BC301" i="54"/>
  <c r="AY301" i="54"/>
  <c r="AR301" i="54"/>
  <c r="AN301" i="54"/>
  <c r="AH301" i="54"/>
  <c r="AD301" i="54"/>
  <c r="W301" i="54"/>
  <c r="S301" i="54"/>
  <c r="M301" i="54"/>
  <c r="I301" i="54"/>
  <c r="B301" i="54"/>
  <c r="BI300" i="54"/>
  <c r="BC300" i="54"/>
  <c r="AY300" i="54"/>
  <c r="AR300" i="54"/>
  <c r="AN300" i="54"/>
  <c r="AH300" i="54"/>
  <c r="AD300" i="54"/>
  <c r="W300" i="54"/>
  <c r="S300" i="54"/>
  <c r="M300" i="54"/>
  <c r="I300" i="54"/>
  <c r="B300" i="54"/>
  <c r="BI299" i="54"/>
  <c r="BC299" i="54"/>
  <c r="AY299" i="54"/>
  <c r="AR299" i="54"/>
  <c r="AN299" i="54"/>
  <c r="AH299" i="54"/>
  <c r="AD299" i="54"/>
  <c r="W299" i="54"/>
  <c r="S299" i="54"/>
  <c r="M299" i="54"/>
  <c r="I299" i="54"/>
  <c r="B299" i="54"/>
  <c r="BI298" i="54"/>
  <c r="BC298" i="54"/>
  <c r="AY298" i="54"/>
  <c r="AR298" i="54"/>
  <c r="AN298" i="54"/>
  <c r="AH298" i="54"/>
  <c r="AD298" i="54"/>
  <c r="W298" i="54"/>
  <c r="S298" i="54"/>
  <c r="M298" i="54"/>
  <c r="I298" i="54"/>
  <c r="B298" i="54"/>
  <c r="BI297" i="54"/>
  <c r="BC297" i="54"/>
  <c r="AY297" i="54"/>
  <c r="AR297" i="54"/>
  <c r="AN297" i="54"/>
  <c r="AH297" i="54"/>
  <c r="AD297" i="54"/>
  <c r="W297" i="54"/>
  <c r="S297" i="54"/>
  <c r="M297" i="54"/>
  <c r="I297" i="54"/>
  <c r="B297" i="54"/>
  <c r="BI296" i="54"/>
  <c r="BC296" i="54"/>
  <c r="AY296" i="54"/>
  <c r="AR296" i="54"/>
  <c r="AN296" i="54"/>
  <c r="AH296" i="54"/>
  <c r="AD296" i="54"/>
  <c r="W296" i="54"/>
  <c r="S296" i="54"/>
  <c r="M296" i="54"/>
  <c r="I296" i="54"/>
  <c r="B296" i="54"/>
  <c r="BI295" i="54"/>
  <c r="BC295" i="54"/>
  <c r="AY295" i="54"/>
  <c r="AR295" i="54"/>
  <c r="AN295" i="54"/>
  <c r="AH295" i="54"/>
  <c r="AD295" i="54"/>
  <c r="W295" i="54"/>
  <c r="S295" i="54"/>
  <c r="M295" i="54"/>
  <c r="I295" i="54"/>
  <c r="B295" i="54"/>
  <c r="BI294" i="54"/>
  <c r="BC294" i="54"/>
  <c r="AY294" i="54"/>
  <c r="AR294" i="54"/>
  <c r="AN294" i="54"/>
  <c r="AH294" i="54"/>
  <c r="AD294" i="54"/>
  <c r="W294" i="54"/>
  <c r="S294" i="54"/>
  <c r="M294" i="54"/>
  <c r="I294" i="54"/>
  <c r="B294" i="54"/>
  <c r="BI293" i="54"/>
  <c r="BC293" i="54"/>
  <c r="AY293" i="54"/>
  <c r="AR293" i="54"/>
  <c r="AN293" i="54"/>
  <c r="AH293" i="54"/>
  <c r="AD293" i="54"/>
  <c r="W293" i="54"/>
  <c r="S293" i="54"/>
  <c r="M293" i="54"/>
  <c r="I293" i="54"/>
  <c r="B293" i="54"/>
  <c r="BI292" i="54"/>
  <c r="BC292" i="54"/>
  <c r="AY292" i="54"/>
  <c r="AR292" i="54"/>
  <c r="AN292" i="54"/>
  <c r="AH292" i="54"/>
  <c r="AD292" i="54"/>
  <c r="W292" i="54"/>
  <c r="S292" i="54"/>
  <c r="M292" i="54"/>
  <c r="I292" i="54"/>
  <c r="B292" i="54"/>
  <c r="BI291" i="54"/>
  <c r="BC291" i="54"/>
  <c r="AY291" i="54"/>
  <c r="AR291" i="54"/>
  <c r="AN291" i="54"/>
  <c r="AH291" i="54"/>
  <c r="AD291" i="54"/>
  <c r="W291" i="54"/>
  <c r="S291" i="54"/>
  <c r="M291" i="54"/>
  <c r="I291" i="54"/>
  <c r="B291" i="54"/>
  <c r="BI290" i="54"/>
  <c r="BC290" i="54"/>
  <c r="AY290" i="54"/>
  <c r="AR290" i="54"/>
  <c r="AN290" i="54"/>
  <c r="AH290" i="54"/>
  <c r="AD290" i="54"/>
  <c r="W290" i="54"/>
  <c r="S290" i="54"/>
  <c r="M290" i="54"/>
  <c r="I290" i="54"/>
  <c r="B290" i="54"/>
  <c r="BI289" i="54"/>
  <c r="BC289" i="54"/>
  <c r="AY289" i="54"/>
  <c r="AR289" i="54"/>
  <c r="AN289" i="54"/>
  <c r="AH289" i="54"/>
  <c r="AD289" i="54"/>
  <c r="W289" i="54"/>
  <c r="S289" i="54"/>
  <c r="M289" i="54"/>
  <c r="I289" i="54"/>
  <c r="B289" i="54"/>
  <c r="BI288" i="54"/>
  <c r="BC288" i="54"/>
  <c r="AY288" i="54"/>
  <c r="AR288" i="54"/>
  <c r="AN288" i="54"/>
  <c r="AH288" i="54"/>
  <c r="AD288" i="54"/>
  <c r="W288" i="54"/>
  <c r="S288" i="54"/>
  <c r="M288" i="54"/>
  <c r="I288" i="54"/>
  <c r="B288" i="54"/>
  <c r="BI287" i="54"/>
  <c r="BC287" i="54"/>
  <c r="AY287" i="54"/>
  <c r="AR287" i="54"/>
  <c r="AN287" i="54"/>
  <c r="AH287" i="54"/>
  <c r="AD287" i="54"/>
  <c r="W287" i="54"/>
  <c r="S287" i="54"/>
  <c r="M287" i="54"/>
  <c r="I287" i="54"/>
  <c r="B287" i="54"/>
  <c r="BI286" i="54"/>
  <c r="BC286" i="54"/>
  <c r="AY286" i="54"/>
  <c r="AR286" i="54"/>
  <c r="AN286" i="54"/>
  <c r="AH286" i="54"/>
  <c r="AD286" i="54"/>
  <c r="W286" i="54"/>
  <c r="S286" i="54"/>
  <c r="M286" i="54"/>
  <c r="I286" i="54"/>
  <c r="B286" i="54"/>
  <c r="BI285" i="54"/>
  <c r="BC285" i="54"/>
  <c r="AY285" i="54"/>
  <c r="AR285" i="54"/>
  <c r="AN285" i="54"/>
  <c r="AH285" i="54"/>
  <c r="AD285" i="54"/>
  <c r="W285" i="54"/>
  <c r="S285" i="54"/>
  <c r="M285" i="54"/>
  <c r="I285" i="54"/>
  <c r="B285" i="54"/>
  <c r="BI284" i="54"/>
  <c r="BC284" i="54"/>
  <c r="AY284" i="54"/>
  <c r="AR284" i="54"/>
  <c r="AN284" i="54"/>
  <c r="AH284" i="54"/>
  <c r="AD284" i="54"/>
  <c r="W284" i="54"/>
  <c r="S284" i="54"/>
  <c r="M284" i="54"/>
  <c r="I284" i="54"/>
  <c r="B284" i="54"/>
  <c r="BI283" i="54"/>
  <c r="BC283" i="54"/>
  <c r="AY283" i="54"/>
  <c r="AR283" i="54"/>
  <c r="AN283" i="54"/>
  <c r="AH283" i="54"/>
  <c r="AD283" i="54"/>
  <c r="W283" i="54"/>
  <c r="S283" i="54"/>
  <c r="M283" i="54"/>
  <c r="I283" i="54"/>
  <c r="B283" i="54"/>
  <c r="BI282" i="54"/>
  <c r="BC282" i="54"/>
  <c r="AY282" i="54"/>
  <c r="AR282" i="54"/>
  <c r="AN282" i="54"/>
  <c r="AH282" i="54"/>
  <c r="AD282" i="54"/>
  <c r="W282" i="54"/>
  <c r="S282" i="54"/>
  <c r="M282" i="54"/>
  <c r="I282" i="54"/>
  <c r="B282" i="54"/>
  <c r="BI281" i="54"/>
  <c r="BC281" i="54"/>
  <c r="AY281" i="54"/>
  <c r="AR281" i="54"/>
  <c r="AN281" i="54"/>
  <c r="AH281" i="54"/>
  <c r="AD281" i="54"/>
  <c r="W281" i="54"/>
  <c r="S281" i="54"/>
  <c r="M281" i="54"/>
  <c r="I281" i="54"/>
  <c r="B281" i="54"/>
  <c r="BI280" i="54"/>
  <c r="BC280" i="54"/>
  <c r="AY280" i="54"/>
  <c r="AR280" i="54"/>
  <c r="AN280" i="54"/>
  <c r="AH280" i="54"/>
  <c r="AD280" i="54"/>
  <c r="W280" i="54"/>
  <c r="S280" i="54"/>
  <c r="M280" i="54"/>
  <c r="I280" i="54"/>
  <c r="B280" i="54"/>
  <c r="BI279" i="54"/>
  <c r="BC279" i="54"/>
  <c r="AY279" i="54"/>
  <c r="AN279" i="54"/>
  <c r="AH279" i="54"/>
  <c r="AD279" i="54"/>
  <c r="S279" i="54"/>
  <c r="M279" i="54"/>
  <c r="I279" i="54"/>
  <c r="BC275" i="54"/>
  <c r="AV275" i="54" s="1"/>
  <c r="AV270" i="54" s="1"/>
  <c r="AW275" i="54"/>
  <c r="AS275" i="54" s="1"/>
  <c r="AU275" i="54"/>
  <c r="AT275" i="54"/>
  <c r="AH275" i="54"/>
  <c r="AA275" i="54" s="1"/>
  <c r="AB275" i="54"/>
  <c r="X275" i="54" s="1"/>
  <c r="Z275" i="54"/>
  <c r="Y275" i="54"/>
  <c r="M275" i="54"/>
  <c r="G275" i="54"/>
  <c r="C275" i="54" s="1"/>
  <c r="E275" i="54"/>
  <c r="E293" i="54" s="1"/>
  <c r="D275" i="54"/>
  <c r="BB274" i="54"/>
  <c r="AG274" i="54"/>
  <c r="L274" i="54"/>
  <c r="BK272" i="54"/>
  <c r="AP272" i="54"/>
  <c r="U272" i="54"/>
  <c r="BK269" i="54"/>
  <c r="AP269" i="54"/>
  <c r="U269" i="54"/>
  <c r="AX267" i="54"/>
  <c r="AC267" i="54"/>
  <c r="H267" i="54"/>
  <c r="BB262" i="54"/>
  <c r="AY262" i="54"/>
  <c r="AG262" i="54"/>
  <c r="AD262" i="54"/>
  <c r="I262" i="54"/>
  <c r="BB261" i="54"/>
  <c r="AY261" i="54"/>
  <c r="AG261" i="54"/>
  <c r="AD261" i="54"/>
  <c r="I261" i="54"/>
  <c r="BB260" i="54"/>
  <c r="AY260" i="54"/>
  <c r="AR260" i="54"/>
  <c r="AG260" i="54"/>
  <c r="AD260" i="54"/>
  <c r="W260" i="54"/>
  <c r="L260" i="54"/>
  <c r="I260" i="54"/>
  <c r="B260" i="54"/>
  <c r="BB259" i="54"/>
  <c r="AY259" i="54"/>
  <c r="AR259" i="54"/>
  <c r="AG259" i="54"/>
  <c r="AD259" i="54"/>
  <c r="W259" i="54"/>
  <c r="L259" i="54"/>
  <c r="I259" i="54"/>
  <c r="B259" i="54"/>
  <c r="BB258" i="54"/>
  <c r="AY258" i="54"/>
  <c r="AR258" i="54"/>
  <c r="AG258" i="54"/>
  <c r="AD258" i="54"/>
  <c r="W258" i="54"/>
  <c r="L258" i="54"/>
  <c r="I258" i="54"/>
  <c r="B258" i="54"/>
  <c r="BB257" i="54"/>
  <c r="AY257" i="54"/>
  <c r="AR257" i="54"/>
  <c r="AG257" i="54"/>
  <c r="AD257" i="54"/>
  <c r="W257" i="54"/>
  <c r="L257" i="54"/>
  <c r="I257" i="54"/>
  <c r="B257" i="54"/>
  <c r="BB256" i="54"/>
  <c r="AY256" i="54"/>
  <c r="AR256" i="54"/>
  <c r="AG256" i="54"/>
  <c r="AD256" i="54"/>
  <c r="W256" i="54"/>
  <c r="L256" i="54"/>
  <c r="I256" i="54"/>
  <c r="B256" i="54"/>
  <c r="BB255" i="54"/>
  <c r="AY255" i="54"/>
  <c r="AR255" i="54"/>
  <c r="AG255" i="54"/>
  <c r="AD255" i="54"/>
  <c r="W255" i="54"/>
  <c r="L255" i="54"/>
  <c r="I255" i="54"/>
  <c r="B255" i="54"/>
  <c r="BB254" i="54"/>
  <c r="AY254" i="54"/>
  <c r="AR254" i="54"/>
  <c r="AG254" i="54"/>
  <c r="AD254" i="54"/>
  <c r="W254" i="54"/>
  <c r="L254" i="54"/>
  <c r="I254" i="54"/>
  <c r="B254" i="54"/>
  <c r="BB253" i="54"/>
  <c r="AY253" i="54"/>
  <c r="AR253" i="54"/>
  <c r="AG253" i="54"/>
  <c r="AD253" i="54"/>
  <c r="W253" i="54"/>
  <c r="L253" i="54"/>
  <c r="I253" i="54"/>
  <c r="B253" i="54"/>
  <c r="BB252" i="54"/>
  <c r="AY252" i="54"/>
  <c r="AR252" i="54"/>
  <c r="AG252" i="54"/>
  <c r="AD252" i="54"/>
  <c r="W252" i="54"/>
  <c r="L252" i="54"/>
  <c r="I252" i="54"/>
  <c r="B252" i="54"/>
  <c r="BB251" i="54"/>
  <c r="AY251" i="54"/>
  <c r="AR251" i="54"/>
  <c r="AG251" i="54"/>
  <c r="AD251" i="54"/>
  <c r="W251" i="54"/>
  <c r="L251" i="54"/>
  <c r="I251" i="54"/>
  <c r="B251" i="54"/>
  <c r="BB250" i="54"/>
  <c r="AY250" i="54"/>
  <c r="AR250" i="54"/>
  <c r="AG250" i="54"/>
  <c r="AD250" i="54"/>
  <c r="W250" i="54"/>
  <c r="L250" i="54"/>
  <c r="I250" i="54"/>
  <c r="B250" i="54"/>
  <c r="BB249" i="54"/>
  <c r="AY249" i="54"/>
  <c r="AR249" i="54"/>
  <c r="AG249" i="54"/>
  <c r="AD249" i="54"/>
  <c r="W249" i="54"/>
  <c r="L249" i="54"/>
  <c r="I249" i="54"/>
  <c r="B249" i="54"/>
  <c r="BB248" i="54"/>
  <c r="AY248" i="54"/>
  <c r="AR248" i="54"/>
  <c r="AG248" i="54"/>
  <c r="AD248" i="54"/>
  <c r="W248" i="54"/>
  <c r="L248" i="54"/>
  <c r="I248" i="54"/>
  <c r="B248" i="54"/>
  <c r="AY247" i="54"/>
  <c r="AR247" i="54"/>
  <c r="AD247" i="54"/>
  <c r="W247" i="54"/>
  <c r="I247" i="54"/>
  <c r="B247" i="54"/>
  <c r="AY246" i="54"/>
  <c r="AR246" i="54"/>
  <c r="AD246" i="54"/>
  <c r="W246" i="54"/>
  <c r="I246" i="54"/>
  <c r="B246" i="54"/>
  <c r="BB245" i="54"/>
  <c r="AY245" i="54"/>
  <c r="AR245" i="54"/>
  <c r="AG245" i="54"/>
  <c r="AD245" i="54"/>
  <c r="W245" i="54"/>
  <c r="L245" i="54"/>
  <c r="I245" i="54"/>
  <c r="B245" i="54"/>
  <c r="BB244" i="54"/>
  <c r="AY244" i="54"/>
  <c r="AR244" i="54"/>
  <c r="AG244" i="54"/>
  <c r="AD244" i="54"/>
  <c r="W244" i="54"/>
  <c r="L244" i="54"/>
  <c r="I244" i="54"/>
  <c r="B244" i="54"/>
  <c r="BB243" i="54"/>
  <c r="AY243" i="54"/>
  <c r="AR243" i="54"/>
  <c r="AG243" i="54"/>
  <c r="AD243" i="54"/>
  <c r="W243" i="54"/>
  <c r="L243" i="54"/>
  <c r="I243" i="54"/>
  <c r="B243" i="54"/>
  <c r="BB242" i="54"/>
  <c r="AY242" i="54"/>
  <c r="AR242" i="54"/>
  <c r="AG242" i="54"/>
  <c r="AD242" i="54"/>
  <c r="W242" i="54"/>
  <c r="L242" i="54"/>
  <c r="I242" i="54"/>
  <c r="B242" i="54"/>
  <c r="BB241" i="54"/>
  <c r="AY241" i="54"/>
  <c r="AR241" i="54"/>
  <c r="AG241" i="54"/>
  <c r="AD241" i="54"/>
  <c r="W241" i="54"/>
  <c r="L241" i="54"/>
  <c r="I241" i="54"/>
  <c r="B241" i="54"/>
  <c r="BB240" i="54"/>
  <c r="AY240" i="54"/>
  <c r="AG240" i="54"/>
  <c r="AD240" i="54"/>
  <c r="I240" i="54"/>
  <c r="BB239" i="54"/>
  <c r="AY239" i="54"/>
  <c r="AG239" i="54"/>
  <c r="AD239" i="54"/>
  <c r="I239" i="54"/>
  <c r="BB238" i="54"/>
  <c r="AY238" i="54"/>
  <c r="AG238" i="54"/>
  <c r="AD238" i="54"/>
  <c r="L238" i="54"/>
  <c r="I238" i="54"/>
  <c r="BB237" i="54"/>
  <c r="AY237" i="54"/>
  <c r="AG237" i="54"/>
  <c r="AD237" i="54"/>
  <c r="L237" i="54"/>
  <c r="I237" i="54"/>
  <c r="BB236" i="54"/>
  <c r="AY236" i="54"/>
  <c r="AG236" i="54"/>
  <c r="AD236" i="54"/>
  <c r="L236" i="54"/>
  <c r="I236" i="54"/>
  <c r="BB235" i="54"/>
  <c r="AY235" i="54"/>
  <c r="AG235" i="54"/>
  <c r="AD235" i="54"/>
  <c r="L235" i="54"/>
  <c r="I235" i="54"/>
  <c r="BB234" i="54"/>
  <c r="AY234" i="54"/>
  <c r="AG234" i="54"/>
  <c r="AD234" i="54"/>
  <c r="L234" i="54"/>
  <c r="I234" i="54"/>
  <c r="BB233" i="54"/>
  <c r="AY233" i="54"/>
  <c r="AG233" i="54"/>
  <c r="AD233" i="54"/>
  <c r="L233" i="54"/>
  <c r="I233" i="54"/>
  <c r="BB232" i="54"/>
  <c r="AY232" i="54"/>
  <c r="AG232" i="54"/>
  <c r="AD232" i="54"/>
  <c r="L232" i="54"/>
  <c r="I232" i="54"/>
  <c r="BB231" i="54"/>
  <c r="AY231" i="54"/>
  <c r="AG231" i="54"/>
  <c r="AD231" i="54"/>
  <c r="L231" i="54"/>
  <c r="I231" i="54"/>
  <c r="BB230" i="54"/>
  <c r="AY230" i="54"/>
  <c r="AG230" i="54"/>
  <c r="AD230" i="54"/>
  <c r="L230" i="54"/>
  <c r="I230" i="54"/>
  <c r="BB229" i="54"/>
  <c r="AY229" i="54"/>
  <c r="AG229" i="54"/>
  <c r="AD229" i="54"/>
  <c r="L229" i="54"/>
  <c r="I229" i="54"/>
  <c r="AY228" i="54"/>
  <c r="AD228" i="54"/>
  <c r="I228" i="54"/>
  <c r="BB227" i="54"/>
  <c r="AY227" i="54"/>
  <c r="AG227" i="54"/>
  <c r="AD227" i="54"/>
  <c r="L227" i="54"/>
  <c r="I227" i="54"/>
  <c r="BB226" i="54"/>
  <c r="AY226" i="54"/>
  <c r="AG226" i="54"/>
  <c r="AD226" i="54"/>
  <c r="L226" i="54"/>
  <c r="I226" i="54"/>
  <c r="BB225" i="54"/>
  <c r="AY225" i="54"/>
  <c r="AG225" i="54"/>
  <c r="AD225" i="54"/>
  <c r="L225" i="54"/>
  <c r="I225" i="54"/>
  <c r="BB224" i="54"/>
  <c r="AY224" i="54"/>
  <c r="AG224" i="54"/>
  <c r="AD224" i="54"/>
  <c r="L224" i="54"/>
  <c r="I224" i="54"/>
  <c r="BB223" i="54"/>
  <c r="AG223" i="54"/>
  <c r="L223" i="54"/>
  <c r="BI214" i="54"/>
  <c r="AN214" i="54"/>
  <c r="S214" i="54"/>
  <c r="BI213" i="54"/>
  <c r="BC213" i="54"/>
  <c r="AY213" i="54"/>
  <c r="AN213" i="54"/>
  <c r="AH213" i="54"/>
  <c r="AD213" i="54"/>
  <c r="S213" i="54"/>
  <c r="M213" i="54"/>
  <c r="I213" i="54"/>
  <c r="BI212" i="54"/>
  <c r="BC212" i="54"/>
  <c r="AY212" i="54"/>
  <c r="AR212" i="54"/>
  <c r="AN212" i="54"/>
  <c r="AH212" i="54"/>
  <c r="AD212" i="54"/>
  <c r="W212" i="54"/>
  <c r="S212" i="54"/>
  <c r="M212" i="54"/>
  <c r="I212" i="54"/>
  <c r="B212" i="54"/>
  <c r="BI211" i="54"/>
  <c r="BC211" i="54"/>
  <c r="AY211" i="54"/>
  <c r="AR211" i="54"/>
  <c r="AN211" i="54"/>
  <c r="AH211" i="54"/>
  <c r="AD211" i="54"/>
  <c r="W211" i="54"/>
  <c r="S211" i="54"/>
  <c r="M211" i="54"/>
  <c r="I211" i="54"/>
  <c r="B211" i="54"/>
  <c r="BI210" i="54"/>
  <c r="BC210" i="54"/>
  <c r="AY210" i="54"/>
  <c r="AR210" i="54"/>
  <c r="AN210" i="54"/>
  <c r="AH210" i="54"/>
  <c r="AD210" i="54"/>
  <c r="W210" i="54"/>
  <c r="S210" i="54"/>
  <c r="M210" i="54"/>
  <c r="I210" i="54"/>
  <c r="B210" i="54"/>
  <c r="BI209" i="54"/>
  <c r="BC209" i="54"/>
  <c r="AY209" i="54"/>
  <c r="AR209" i="54"/>
  <c r="AN209" i="54"/>
  <c r="AH209" i="54"/>
  <c r="AD209" i="54"/>
  <c r="W209" i="54"/>
  <c r="S209" i="54"/>
  <c r="M209" i="54"/>
  <c r="I209" i="54"/>
  <c r="B209" i="54"/>
  <c r="BI208" i="54"/>
  <c r="BC208" i="54"/>
  <c r="AY208" i="54"/>
  <c r="AR208" i="54"/>
  <c r="AN208" i="54"/>
  <c r="AH208" i="54"/>
  <c r="AD208" i="54"/>
  <c r="W208" i="54"/>
  <c r="S208" i="54"/>
  <c r="M208" i="54"/>
  <c r="I208" i="54"/>
  <c r="B208" i="54"/>
  <c r="BI207" i="54"/>
  <c r="BC207" i="54"/>
  <c r="AY207" i="54"/>
  <c r="AR207" i="54"/>
  <c r="AN207" i="54"/>
  <c r="AH207" i="54"/>
  <c r="AD207" i="54"/>
  <c r="W207" i="54"/>
  <c r="S207" i="54"/>
  <c r="M207" i="54"/>
  <c r="I207" i="54"/>
  <c r="B207" i="54"/>
  <c r="BI206" i="54"/>
  <c r="BC206" i="54"/>
  <c r="AY206" i="54"/>
  <c r="AR206" i="54"/>
  <c r="AN206" i="54"/>
  <c r="AH206" i="54"/>
  <c r="AD206" i="54"/>
  <c r="W206" i="54"/>
  <c r="S206" i="54"/>
  <c r="M206" i="54"/>
  <c r="I206" i="54"/>
  <c r="B206" i="54"/>
  <c r="BI205" i="54"/>
  <c r="BC205" i="54"/>
  <c r="AY205" i="54"/>
  <c r="AR205" i="54"/>
  <c r="AN205" i="54"/>
  <c r="AH205" i="54"/>
  <c r="AD205" i="54"/>
  <c r="W205" i="54"/>
  <c r="S205" i="54"/>
  <c r="M205" i="54"/>
  <c r="I205" i="54"/>
  <c r="B205" i="54"/>
  <c r="BI204" i="54"/>
  <c r="BC204" i="54"/>
  <c r="AY204" i="54"/>
  <c r="AR204" i="54"/>
  <c r="AN204" i="54"/>
  <c r="AH204" i="54"/>
  <c r="AD204" i="54"/>
  <c r="W204" i="54"/>
  <c r="S204" i="54"/>
  <c r="M204" i="54"/>
  <c r="I204" i="54"/>
  <c r="B204" i="54"/>
  <c r="BI203" i="54"/>
  <c r="BC203" i="54"/>
  <c r="AY203" i="54"/>
  <c r="AR203" i="54"/>
  <c r="AN203" i="54"/>
  <c r="AH203" i="54"/>
  <c r="AD203" i="54"/>
  <c r="W203" i="54"/>
  <c r="S203" i="54"/>
  <c r="M203" i="54"/>
  <c r="I203" i="54"/>
  <c r="B203" i="54"/>
  <c r="BI202" i="54"/>
  <c r="BC202" i="54"/>
  <c r="AY202" i="54"/>
  <c r="AR202" i="54"/>
  <c r="AN202" i="54"/>
  <c r="AH202" i="54"/>
  <c r="AD202" i="54"/>
  <c r="W202" i="54"/>
  <c r="S202" i="54"/>
  <c r="M202" i="54"/>
  <c r="I202" i="54"/>
  <c r="B202" i="54"/>
  <c r="BI201" i="54"/>
  <c r="BC201" i="54"/>
  <c r="AY201" i="54"/>
  <c r="AR201" i="54"/>
  <c r="AN201" i="54"/>
  <c r="AH201" i="54"/>
  <c r="AD201" i="54"/>
  <c r="W201" i="54"/>
  <c r="S201" i="54"/>
  <c r="M201" i="54"/>
  <c r="I201" i="54"/>
  <c r="B201" i="54"/>
  <c r="BI200" i="54"/>
  <c r="BC200" i="54"/>
  <c r="AY200" i="54"/>
  <c r="AR200" i="54"/>
  <c r="AN200" i="54"/>
  <c r="AH200" i="54"/>
  <c r="AD200" i="54"/>
  <c r="W200" i="54"/>
  <c r="S200" i="54"/>
  <c r="M200" i="54"/>
  <c r="I200" i="54"/>
  <c r="B200" i="54"/>
  <c r="BI199" i="54"/>
  <c r="BC199" i="54"/>
  <c r="AY199" i="54"/>
  <c r="AR199" i="54"/>
  <c r="AN199" i="54"/>
  <c r="AH199" i="54"/>
  <c r="AD199" i="54"/>
  <c r="W199" i="54"/>
  <c r="S199" i="54"/>
  <c r="M199" i="54"/>
  <c r="I199" i="54"/>
  <c r="B199" i="54"/>
  <c r="BI198" i="54"/>
  <c r="BC198" i="54"/>
  <c r="AY198" i="54"/>
  <c r="AR198" i="54"/>
  <c r="AN198" i="54"/>
  <c r="AH198" i="54"/>
  <c r="AD198" i="54"/>
  <c r="W198" i="54"/>
  <c r="S198" i="54"/>
  <c r="M198" i="54"/>
  <c r="I198" i="54"/>
  <c r="B198" i="54"/>
  <c r="BI197" i="54"/>
  <c r="BC197" i="54"/>
  <c r="AY197" i="54"/>
  <c r="AR197" i="54"/>
  <c r="AN197" i="54"/>
  <c r="AH197" i="54"/>
  <c r="AD197" i="54"/>
  <c r="W197" i="54"/>
  <c r="S197" i="54"/>
  <c r="M197" i="54"/>
  <c r="I197" i="54"/>
  <c r="B197" i="54"/>
  <c r="BI196" i="54"/>
  <c r="BC196" i="54"/>
  <c r="AY196" i="54"/>
  <c r="AR196" i="54"/>
  <c r="AN196" i="54"/>
  <c r="AH196" i="54"/>
  <c r="AD196" i="54"/>
  <c r="W196" i="54"/>
  <c r="S196" i="54"/>
  <c r="M196" i="54"/>
  <c r="I196" i="54"/>
  <c r="B196" i="54"/>
  <c r="BI195" i="54"/>
  <c r="BC195" i="54"/>
  <c r="AY195" i="54"/>
  <c r="AR195" i="54"/>
  <c r="AN195" i="54"/>
  <c r="AH195" i="54"/>
  <c r="AD195" i="54"/>
  <c r="W195" i="54"/>
  <c r="S195" i="54"/>
  <c r="M195" i="54"/>
  <c r="I195" i="54"/>
  <c r="B195" i="54"/>
  <c r="BI194" i="54"/>
  <c r="BC194" i="54"/>
  <c r="AY194" i="54"/>
  <c r="AN194" i="54"/>
  <c r="AH194" i="54"/>
  <c r="AD194" i="54"/>
  <c r="S194" i="54"/>
  <c r="M194" i="54"/>
  <c r="I194" i="54"/>
  <c r="BC190" i="54"/>
  <c r="AV190" i="54" s="1"/>
  <c r="AW190" i="54"/>
  <c r="AS190" i="54" s="1"/>
  <c r="AU190" i="54"/>
  <c r="AT190" i="54"/>
  <c r="AT226" i="54" s="1"/>
  <c r="AH190" i="54"/>
  <c r="AB190" i="54"/>
  <c r="X190" i="54" s="1"/>
  <c r="X248" i="54" s="1"/>
  <c r="Z190" i="54"/>
  <c r="Y190" i="54"/>
  <c r="M190" i="54"/>
  <c r="F190" i="54" s="1"/>
  <c r="G190" i="54"/>
  <c r="C190" i="54" s="1"/>
  <c r="E190" i="54"/>
  <c r="D190" i="54"/>
  <c r="D185" i="54" s="1"/>
  <c r="BB189" i="54"/>
  <c r="AG189" i="54"/>
  <c r="AM202" i="54" s="1"/>
  <c r="L189" i="54"/>
  <c r="BK187" i="54"/>
  <c r="AP187" i="54"/>
  <c r="U187" i="54"/>
  <c r="BK184" i="54"/>
  <c r="AP184" i="54"/>
  <c r="U184" i="54"/>
  <c r="AX182" i="54"/>
  <c r="AC182" i="54"/>
  <c r="H182" i="54"/>
  <c r="BB177" i="54"/>
  <c r="AY177" i="54"/>
  <c r="AG177" i="54"/>
  <c r="AD177" i="54"/>
  <c r="I177" i="54"/>
  <c r="BB176" i="54"/>
  <c r="AY176" i="54"/>
  <c r="AG176" i="54"/>
  <c r="AD176" i="54"/>
  <c r="I176" i="54"/>
  <c r="BB175" i="54"/>
  <c r="AY175" i="54"/>
  <c r="AG175" i="54"/>
  <c r="AD175" i="54"/>
  <c r="I175" i="54"/>
  <c r="BB174" i="54"/>
  <c r="AY174" i="54"/>
  <c r="AG174" i="54"/>
  <c r="AD174" i="54"/>
  <c r="I174" i="54"/>
  <c r="BB173" i="54"/>
  <c r="AY173" i="54"/>
  <c r="AG173" i="54"/>
  <c r="AD173" i="54"/>
  <c r="L173" i="54"/>
  <c r="I173" i="54"/>
  <c r="BB172" i="54"/>
  <c r="AY172" i="54"/>
  <c r="AG172" i="54"/>
  <c r="AD172" i="54"/>
  <c r="L172" i="54"/>
  <c r="I172" i="54"/>
  <c r="BB171" i="54"/>
  <c r="AY171" i="54"/>
  <c r="AG171" i="54"/>
  <c r="AD171" i="54"/>
  <c r="L171" i="54"/>
  <c r="I171" i="54"/>
  <c r="BB170" i="54"/>
  <c r="AY170" i="54"/>
  <c r="AG170" i="54"/>
  <c r="AD170" i="54"/>
  <c r="L170" i="54"/>
  <c r="I170" i="54"/>
  <c r="BB169" i="54"/>
  <c r="AY169" i="54"/>
  <c r="AG169" i="54"/>
  <c r="AD169" i="54"/>
  <c r="L169" i="54"/>
  <c r="I169" i="54"/>
  <c r="BB168" i="54"/>
  <c r="AY168" i="54"/>
  <c r="AG168" i="54"/>
  <c r="AD168" i="54"/>
  <c r="L168" i="54"/>
  <c r="I168" i="54"/>
  <c r="BB167" i="54"/>
  <c r="AY167" i="54"/>
  <c r="AG167" i="54"/>
  <c r="AD167" i="54"/>
  <c r="L167" i="54"/>
  <c r="I167" i="54"/>
  <c r="BB166" i="54"/>
  <c r="AY166" i="54"/>
  <c r="AG166" i="54"/>
  <c r="AD166" i="54"/>
  <c r="L166" i="54"/>
  <c r="I166" i="54"/>
  <c r="BB165" i="54"/>
  <c r="AY165" i="54"/>
  <c r="AG165" i="54"/>
  <c r="AD165" i="54"/>
  <c r="L165" i="54"/>
  <c r="I165" i="54"/>
  <c r="BB164" i="54"/>
  <c r="AY164" i="54"/>
  <c r="AG164" i="54"/>
  <c r="AD164" i="54"/>
  <c r="L164" i="54"/>
  <c r="I164" i="54"/>
  <c r="AY163" i="54"/>
  <c r="AD163" i="54"/>
  <c r="I163" i="54"/>
  <c r="BB162" i="54"/>
  <c r="AY162" i="54"/>
  <c r="AG162" i="54"/>
  <c r="AD162" i="54"/>
  <c r="L162" i="54"/>
  <c r="I162" i="54"/>
  <c r="BB161" i="54"/>
  <c r="AY161" i="54"/>
  <c r="AG161" i="54"/>
  <c r="AD161" i="54"/>
  <c r="L161" i="54"/>
  <c r="I161" i="54"/>
  <c r="BB160" i="54"/>
  <c r="AY160" i="54"/>
  <c r="AG160" i="54"/>
  <c r="AD160" i="54"/>
  <c r="L160" i="54"/>
  <c r="I160" i="54"/>
  <c r="BB159" i="54"/>
  <c r="AY159" i="54"/>
  <c r="AG159" i="54"/>
  <c r="AD159" i="54"/>
  <c r="L159" i="54"/>
  <c r="I159" i="54"/>
  <c r="BB158" i="54"/>
  <c r="AG158" i="54"/>
  <c r="L158" i="54"/>
  <c r="BI149" i="54"/>
  <c r="AN149" i="54"/>
  <c r="S149" i="54"/>
  <c r="BI148" i="54"/>
  <c r="BC148" i="54"/>
  <c r="AY148" i="54"/>
  <c r="AN148" i="54"/>
  <c r="AH148" i="54"/>
  <c r="AD148" i="54"/>
  <c r="S148" i="54"/>
  <c r="M148" i="54"/>
  <c r="I148" i="54"/>
  <c r="BI147" i="54"/>
  <c r="BC147" i="54"/>
  <c r="AY147" i="54"/>
  <c r="AR147" i="54"/>
  <c r="AN147" i="54"/>
  <c r="AH147" i="54"/>
  <c r="AD147" i="54"/>
  <c r="W147" i="54"/>
  <c r="S147" i="54"/>
  <c r="M147" i="54"/>
  <c r="I147" i="54"/>
  <c r="B147" i="54"/>
  <c r="BI146" i="54"/>
  <c r="BC146" i="54"/>
  <c r="AY146" i="54"/>
  <c r="AR146" i="54"/>
  <c r="AN146" i="54"/>
  <c r="AH146" i="54"/>
  <c r="AD146" i="54"/>
  <c r="W146" i="54"/>
  <c r="S146" i="54"/>
  <c r="M146" i="54"/>
  <c r="I146" i="54"/>
  <c r="B146" i="54"/>
  <c r="BI145" i="54"/>
  <c r="BC145" i="54"/>
  <c r="AY145" i="54"/>
  <c r="AR145" i="54"/>
  <c r="AN145" i="54"/>
  <c r="AH145" i="54"/>
  <c r="AD145" i="54"/>
  <c r="W145" i="54"/>
  <c r="S145" i="54"/>
  <c r="M145" i="54"/>
  <c r="I145" i="54"/>
  <c r="B145" i="54"/>
  <c r="BI144" i="54"/>
  <c r="BC144" i="54"/>
  <c r="AY144" i="54"/>
  <c r="AR144" i="54"/>
  <c r="AN144" i="54"/>
  <c r="AH144" i="54"/>
  <c r="AD144" i="54"/>
  <c r="W144" i="54"/>
  <c r="S144" i="54"/>
  <c r="M144" i="54"/>
  <c r="I144" i="54"/>
  <c r="B144" i="54"/>
  <c r="BI143" i="54"/>
  <c r="BC143" i="54"/>
  <c r="AY143" i="54"/>
  <c r="AR143" i="54"/>
  <c r="AN143" i="54"/>
  <c r="AH143" i="54"/>
  <c r="AD143" i="54"/>
  <c r="W143" i="54"/>
  <c r="S143" i="54"/>
  <c r="M143" i="54"/>
  <c r="I143" i="54"/>
  <c r="B143" i="54"/>
  <c r="BI142" i="54"/>
  <c r="BC142" i="54"/>
  <c r="AY142" i="54"/>
  <c r="AR142" i="54"/>
  <c r="AN142" i="54"/>
  <c r="AH142" i="54"/>
  <c r="AD142" i="54"/>
  <c r="W142" i="54"/>
  <c r="S142" i="54"/>
  <c r="M142" i="54"/>
  <c r="I142" i="54"/>
  <c r="B142" i="54"/>
  <c r="BI141" i="54"/>
  <c r="BC141" i="54"/>
  <c r="AY141" i="54"/>
  <c r="AR141" i="54"/>
  <c r="AN141" i="54"/>
  <c r="AH141" i="54"/>
  <c r="AD141" i="54"/>
  <c r="W141" i="54"/>
  <c r="S141" i="54"/>
  <c r="M141" i="54"/>
  <c r="I141" i="54"/>
  <c r="B141" i="54"/>
  <c r="BI140" i="54"/>
  <c r="BC140" i="54"/>
  <c r="AY140" i="54"/>
  <c r="AR140" i="54"/>
  <c r="AN140" i="54"/>
  <c r="AH140" i="54"/>
  <c r="AD140" i="54"/>
  <c r="W140" i="54"/>
  <c r="S140" i="54"/>
  <c r="M140" i="54"/>
  <c r="I140" i="54"/>
  <c r="B140" i="54"/>
  <c r="BI139" i="54"/>
  <c r="BC139" i="54"/>
  <c r="AY139" i="54"/>
  <c r="AR139" i="54"/>
  <c r="AN139" i="54"/>
  <c r="AH139" i="54"/>
  <c r="AD139" i="54"/>
  <c r="W139" i="54"/>
  <c r="S139" i="54"/>
  <c r="M139" i="54"/>
  <c r="I139" i="54"/>
  <c r="B139" i="54"/>
  <c r="BI138" i="54"/>
  <c r="BC138" i="54"/>
  <c r="AY138" i="54"/>
  <c r="AR138" i="54"/>
  <c r="AN138" i="54"/>
  <c r="AH138" i="54"/>
  <c r="AD138" i="54"/>
  <c r="W138" i="54"/>
  <c r="S138" i="54"/>
  <c r="M138" i="54"/>
  <c r="I138" i="54"/>
  <c r="B138" i="54"/>
  <c r="BI137" i="54"/>
  <c r="BC137" i="54"/>
  <c r="AY137" i="54"/>
  <c r="AR137" i="54"/>
  <c r="AN137" i="54"/>
  <c r="AH137" i="54"/>
  <c r="AD137" i="54"/>
  <c r="W137" i="54"/>
  <c r="S137" i="54"/>
  <c r="M137" i="54"/>
  <c r="I137" i="54"/>
  <c r="B137" i="54"/>
  <c r="BI136" i="54"/>
  <c r="BC136" i="54"/>
  <c r="AY136" i="54"/>
  <c r="AR136" i="54"/>
  <c r="AN136" i="54"/>
  <c r="AH136" i="54"/>
  <c r="AD136" i="54"/>
  <c r="W136" i="54"/>
  <c r="S136" i="54"/>
  <c r="M136" i="54"/>
  <c r="I136" i="54"/>
  <c r="B136" i="54"/>
  <c r="BI135" i="54"/>
  <c r="BC135" i="54"/>
  <c r="AY135" i="54"/>
  <c r="AR135" i="54"/>
  <c r="AN135" i="54"/>
  <c r="AH135" i="54"/>
  <c r="AD135" i="54"/>
  <c r="W135" i="54"/>
  <c r="S135" i="54"/>
  <c r="M135" i="54"/>
  <c r="I135" i="54"/>
  <c r="B135" i="54"/>
  <c r="BI134" i="54"/>
  <c r="BC134" i="54"/>
  <c r="AY134" i="54"/>
  <c r="AN134" i="54"/>
  <c r="AH134" i="54"/>
  <c r="AD134" i="54"/>
  <c r="S134" i="54"/>
  <c r="M134" i="54"/>
  <c r="I134" i="54"/>
  <c r="BC130" i="54"/>
  <c r="AW130" i="54"/>
  <c r="AS130" i="54" s="1"/>
  <c r="AU130" i="54"/>
  <c r="AU138" i="54" s="1"/>
  <c r="AT130" i="54"/>
  <c r="AH130" i="54"/>
  <c r="AB130" i="54"/>
  <c r="X130" i="54" s="1"/>
  <c r="X145" i="54" s="1"/>
  <c r="Z130" i="54"/>
  <c r="Y130" i="54"/>
  <c r="Y133" i="54" s="1"/>
  <c r="M130" i="54"/>
  <c r="F130" i="54" s="1"/>
  <c r="G130" i="54"/>
  <c r="C130" i="54" s="1"/>
  <c r="E130" i="54"/>
  <c r="E174" i="54" s="1"/>
  <c r="D130" i="54"/>
  <c r="BB129" i="54"/>
  <c r="AG129" i="54"/>
  <c r="L129" i="54"/>
  <c r="BK127" i="54"/>
  <c r="AP127" i="54"/>
  <c r="U127" i="54"/>
  <c r="BK124" i="54"/>
  <c r="AP124" i="54"/>
  <c r="U124" i="54"/>
  <c r="AX122" i="54"/>
  <c r="AC122" i="54"/>
  <c r="H122" i="54"/>
  <c r="BB117" i="54"/>
  <c r="AY117" i="54"/>
  <c r="AG117" i="54"/>
  <c r="AD117" i="54"/>
  <c r="I117" i="54"/>
  <c r="BB116" i="54"/>
  <c r="AY116" i="54"/>
  <c r="AG116" i="54"/>
  <c r="AD116" i="54"/>
  <c r="I116" i="54"/>
  <c r="BB115" i="54"/>
  <c r="AY115" i="54"/>
  <c r="AG115" i="54"/>
  <c r="AD115" i="54"/>
  <c r="I115" i="54"/>
  <c r="BB114" i="54"/>
  <c r="AY114" i="54"/>
  <c r="AG114" i="54"/>
  <c r="AD114" i="54"/>
  <c r="I114" i="54"/>
  <c r="BB113" i="54"/>
  <c r="AY113" i="54"/>
  <c r="AG113" i="54"/>
  <c r="AD113" i="54"/>
  <c r="L113" i="54"/>
  <c r="I113" i="54"/>
  <c r="BB112" i="54"/>
  <c r="AY112" i="54"/>
  <c r="AG112" i="54"/>
  <c r="AD112" i="54"/>
  <c r="L112" i="54"/>
  <c r="I112" i="54"/>
  <c r="BB111" i="54"/>
  <c r="AY111" i="54"/>
  <c r="AG111" i="54"/>
  <c r="AD111" i="54"/>
  <c r="L111" i="54"/>
  <c r="I111" i="54"/>
  <c r="BB110" i="54"/>
  <c r="AY110" i="54"/>
  <c r="AG110" i="54"/>
  <c r="AD110" i="54"/>
  <c r="L110" i="54"/>
  <c r="I110" i="54"/>
  <c r="BB109" i="54"/>
  <c r="AY109" i="54"/>
  <c r="AG109" i="54"/>
  <c r="AD109" i="54"/>
  <c r="L109" i="54"/>
  <c r="I109" i="54"/>
  <c r="BB108" i="54"/>
  <c r="AY108" i="54"/>
  <c r="AG108" i="54"/>
  <c r="AD108" i="54"/>
  <c r="L108" i="54"/>
  <c r="I108" i="54"/>
  <c r="BB107" i="54"/>
  <c r="AY107" i="54"/>
  <c r="AG107" i="54"/>
  <c r="AD107" i="54"/>
  <c r="L107" i="54"/>
  <c r="I107" i="54"/>
  <c r="BB106" i="54"/>
  <c r="AY106" i="54"/>
  <c r="AG106" i="54"/>
  <c r="AD106" i="54"/>
  <c r="L106" i="54"/>
  <c r="I106" i="54"/>
  <c r="BB105" i="54"/>
  <c r="AY105" i="54"/>
  <c r="AG105" i="54"/>
  <c r="AD105" i="54"/>
  <c r="L105" i="54"/>
  <c r="I105" i="54"/>
  <c r="BB104" i="54"/>
  <c r="AY104" i="54"/>
  <c r="AG104" i="54"/>
  <c r="AD104" i="54"/>
  <c r="L104" i="54"/>
  <c r="I104" i="54"/>
  <c r="AY103" i="54"/>
  <c r="AD103" i="54"/>
  <c r="I103" i="54"/>
  <c r="BB102" i="54"/>
  <c r="AY102" i="54"/>
  <c r="AG102" i="54"/>
  <c r="AD102" i="54"/>
  <c r="L102" i="54"/>
  <c r="I102" i="54"/>
  <c r="BB101" i="54"/>
  <c r="AY101" i="54"/>
  <c r="AG101" i="54"/>
  <c r="AD101" i="54"/>
  <c r="L101" i="54"/>
  <c r="I101" i="54"/>
  <c r="BB100" i="54"/>
  <c r="AY100" i="54"/>
  <c r="AG100" i="54"/>
  <c r="AD100" i="54"/>
  <c r="L100" i="54"/>
  <c r="I100" i="54"/>
  <c r="BB99" i="54"/>
  <c r="AY99" i="54"/>
  <c r="AG99" i="54"/>
  <c r="AD99" i="54"/>
  <c r="L99" i="54"/>
  <c r="I99" i="54"/>
  <c r="BB98" i="54"/>
  <c r="AG98" i="54"/>
  <c r="L98" i="54"/>
  <c r="BI89" i="54"/>
  <c r="AN89" i="54"/>
  <c r="S89" i="54"/>
  <c r="BI88" i="54"/>
  <c r="BC88" i="54"/>
  <c r="AY88" i="54"/>
  <c r="AN88" i="54"/>
  <c r="AH88" i="54"/>
  <c r="AD88" i="54"/>
  <c r="S88" i="54"/>
  <c r="M88" i="54"/>
  <c r="I88" i="54"/>
  <c r="BI87" i="54"/>
  <c r="BC87" i="54"/>
  <c r="AY87" i="54"/>
  <c r="AR87" i="54"/>
  <c r="AN87" i="54"/>
  <c r="AH87" i="54"/>
  <c r="AD87" i="54"/>
  <c r="W87" i="54"/>
  <c r="S87" i="54"/>
  <c r="M87" i="54"/>
  <c r="I87" i="54"/>
  <c r="B87" i="54"/>
  <c r="BI79" i="54"/>
  <c r="BC79" i="54"/>
  <c r="AY79" i="54"/>
  <c r="AN79" i="54"/>
  <c r="AH79" i="54"/>
  <c r="AD79" i="54"/>
  <c r="S79" i="54"/>
  <c r="M79" i="54"/>
  <c r="I79" i="54"/>
  <c r="BC75" i="54"/>
  <c r="AV75" i="54" s="1"/>
  <c r="AW75" i="54"/>
  <c r="AS75" i="54" s="1"/>
  <c r="AU75" i="54"/>
  <c r="AT75" i="54"/>
  <c r="AT83" i="54" s="1"/>
  <c r="AH75" i="54"/>
  <c r="AB75" i="54"/>
  <c r="X75" i="54" s="1"/>
  <c r="X80" i="54" s="1"/>
  <c r="Z75" i="54"/>
  <c r="Y75" i="54"/>
  <c r="Y85" i="54" s="1"/>
  <c r="M75" i="54"/>
  <c r="F75" i="54" s="1"/>
  <c r="G75" i="54"/>
  <c r="C75" i="54" s="1"/>
  <c r="C83" i="54" s="1"/>
  <c r="E75" i="54"/>
  <c r="E80" i="54" s="1"/>
  <c r="D75" i="54"/>
  <c r="D81" i="54" s="1"/>
  <c r="BB74" i="54"/>
  <c r="BH80" i="54" s="1"/>
  <c r="AG74" i="54"/>
  <c r="AM83" i="54" s="1"/>
  <c r="L74" i="54"/>
  <c r="BK72" i="54"/>
  <c r="AP72" i="54"/>
  <c r="U72" i="54"/>
  <c r="BK69" i="54"/>
  <c r="AP69" i="54"/>
  <c r="U69" i="54"/>
  <c r="AX67" i="54"/>
  <c r="AC67" i="54"/>
  <c r="H67" i="54"/>
  <c r="I51" i="54"/>
  <c r="I50" i="54"/>
  <c r="I49" i="54"/>
  <c r="I48" i="54"/>
  <c r="I47" i="54"/>
  <c r="I46" i="54"/>
  <c r="BI36" i="54"/>
  <c r="AN36" i="54"/>
  <c r="S36" i="54"/>
  <c r="BI35" i="54"/>
  <c r="BC35" i="54"/>
  <c r="AY35" i="54"/>
  <c r="AN35" i="54"/>
  <c r="AH35" i="54"/>
  <c r="AD35" i="54"/>
  <c r="S35" i="54"/>
  <c r="M35" i="54"/>
  <c r="I35" i="54"/>
  <c r="BI34" i="54"/>
  <c r="BC34" i="54"/>
  <c r="AY34" i="54"/>
  <c r="AR34" i="54"/>
  <c r="AN34" i="54"/>
  <c r="AH34" i="54"/>
  <c r="AD34" i="54"/>
  <c r="W34" i="54"/>
  <c r="S34" i="54"/>
  <c r="M34" i="54"/>
  <c r="I34" i="54"/>
  <c r="B34" i="54"/>
  <c r="BI33" i="54"/>
  <c r="BC33" i="54"/>
  <c r="AY33" i="54"/>
  <c r="AR33" i="54"/>
  <c r="AN33" i="54"/>
  <c r="AH33" i="54"/>
  <c r="AD33" i="54"/>
  <c r="W33" i="54"/>
  <c r="S33" i="54"/>
  <c r="M33" i="54"/>
  <c r="I33" i="54"/>
  <c r="B33" i="54"/>
  <c r="BI32" i="54"/>
  <c r="BC32" i="54"/>
  <c r="AY32" i="54"/>
  <c r="AR32" i="54"/>
  <c r="AN32" i="54"/>
  <c r="AH32" i="54"/>
  <c r="AD32" i="54"/>
  <c r="W32" i="54"/>
  <c r="S32" i="54"/>
  <c r="M32" i="54"/>
  <c r="I32" i="54"/>
  <c r="B32" i="54"/>
  <c r="BI31" i="54"/>
  <c r="BC31" i="54"/>
  <c r="AY31" i="54"/>
  <c r="AR31" i="54"/>
  <c r="AN31" i="54"/>
  <c r="AH31" i="54"/>
  <c r="AD31" i="54"/>
  <c r="W31" i="54"/>
  <c r="S31" i="54"/>
  <c r="M31" i="54"/>
  <c r="I31" i="54"/>
  <c r="B31" i="54"/>
  <c r="BI30" i="54"/>
  <c r="BC30" i="54"/>
  <c r="AY30" i="54"/>
  <c r="AN30" i="54"/>
  <c r="AH30" i="54"/>
  <c r="AD30" i="54"/>
  <c r="S30" i="54"/>
  <c r="M30" i="54"/>
  <c r="I30" i="54"/>
  <c r="BC26" i="54"/>
  <c r="AV26" i="54" s="1"/>
  <c r="AW26" i="54"/>
  <c r="AS26" i="54" s="1"/>
  <c r="AU26" i="54"/>
  <c r="AT26" i="54"/>
  <c r="AH26" i="54"/>
  <c r="AA26" i="54" s="1"/>
  <c r="AB26" i="54"/>
  <c r="X26" i="54" s="1"/>
  <c r="Z26" i="54"/>
  <c r="Y26" i="54"/>
  <c r="M26" i="54"/>
  <c r="G26" i="54"/>
  <c r="C26" i="54" s="1"/>
  <c r="E26" i="54"/>
  <c r="D26" i="54"/>
  <c r="BB25" i="54"/>
  <c r="BH31" i="54" s="1"/>
  <c r="AG25" i="54"/>
  <c r="L25" i="54"/>
  <c r="R34" i="54" s="1"/>
  <c r="BK23" i="54"/>
  <c r="AP23" i="54"/>
  <c r="U23" i="54"/>
  <c r="BK20" i="54"/>
  <c r="AP20" i="54"/>
  <c r="U20" i="54"/>
  <c r="AS6" i="54"/>
  <c r="X6" i="54"/>
  <c r="C6" i="54"/>
  <c r="BO815" i="54"/>
  <c r="BM815" i="54"/>
  <c r="BL4" i="54" s="1"/>
  <c r="BN7" i="54" a="1"/>
  <c r="BN7" i="54" s="1"/>
  <c r="BJ2" i="54"/>
  <c r="BI2" i="54"/>
  <c r="BH2" i="54"/>
  <c r="BG2" i="54"/>
  <c r="BF2" i="54"/>
  <c r="BE2" i="54"/>
  <c r="BB2" i="54"/>
  <c r="BA2" i="54"/>
  <c r="AZ2" i="54"/>
  <c r="AY2" i="54"/>
  <c r="AX2" i="54"/>
  <c r="AW2" i="54"/>
  <c r="AV2" i="54"/>
  <c r="AU2" i="54"/>
  <c r="AT2" i="54"/>
  <c r="AS2" i="54"/>
  <c r="AR2" i="54"/>
  <c r="AP2" i="54"/>
  <c r="AO2" i="54"/>
  <c r="AN2" i="54"/>
  <c r="AM2" i="54"/>
  <c r="AL2" i="54"/>
  <c r="AK2" i="54"/>
  <c r="AG2" i="54"/>
  <c r="AF2" i="54"/>
  <c r="AE2" i="54"/>
  <c r="AD2" i="54"/>
  <c r="AC2" i="54"/>
  <c r="AB2" i="54"/>
  <c r="AA2" i="54"/>
  <c r="Z2" i="54"/>
  <c r="Y2" i="54"/>
  <c r="X2" i="54"/>
  <c r="W2" i="54"/>
  <c r="L2" i="54"/>
  <c r="K2" i="54"/>
  <c r="J2" i="54"/>
  <c r="I2" i="54"/>
  <c r="H2" i="54"/>
  <c r="G2" i="54"/>
  <c r="F2" i="54"/>
  <c r="E2" i="54"/>
  <c r="D2" i="54"/>
  <c r="C2" i="54"/>
  <c r="B2" i="54"/>
  <c r="BO1" i="54"/>
  <c r="BN1" i="54"/>
  <c r="BK1" i="54"/>
  <c r="BJ1" i="54"/>
  <c r="BI1" i="54"/>
  <c r="BH1" i="54"/>
  <c r="BG1" i="54"/>
  <c r="BF1" i="54"/>
  <c r="BE1" i="54"/>
  <c r="BB1" i="54"/>
  <c r="BA1" i="54"/>
  <c r="AZ1" i="54"/>
  <c r="AY1" i="54"/>
  <c r="AX1" i="54"/>
  <c r="AW1" i="54"/>
  <c r="AV1" i="54"/>
  <c r="AU1" i="54"/>
  <c r="AT1" i="54"/>
  <c r="AS1" i="54"/>
  <c r="AR1" i="54"/>
  <c r="AP1" i="54"/>
  <c r="AO1" i="54"/>
  <c r="AN1" i="54"/>
  <c r="AM1" i="54"/>
  <c r="AL1" i="54"/>
  <c r="AK1" i="54"/>
  <c r="AG1" i="54"/>
  <c r="AF1" i="54"/>
  <c r="AE1" i="54"/>
  <c r="AD1" i="54"/>
  <c r="AC1" i="54"/>
  <c r="AB1" i="54"/>
  <c r="AA1" i="54"/>
  <c r="Z1" i="54"/>
  <c r="Y1" i="54"/>
  <c r="X1" i="54"/>
  <c r="W1" i="54"/>
  <c r="L1" i="54"/>
  <c r="K1" i="54"/>
  <c r="J1" i="54"/>
  <c r="I1" i="54"/>
  <c r="H1" i="54"/>
  <c r="G1" i="54"/>
  <c r="F1" i="54"/>
  <c r="E1" i="54"/>
  <c r="D1" i="54"/>
  <c r="C1" i="54"/>
  <c r="B1" i="54"/>
  <c r="A1" i="54"/>
  <c r="F171" i="106" l="1"/>
  <c r="E171" i="106"/>
  <c r="D173" i="106" s="1" a="1"/>
  <c r="D173" i="106" s="1"/>
  <c r="BB31" i="60"/>
  <c r="BB25" i="60"/>
  <c r="BB27" i="60"/>
  <c r="BM32" i="60"/>
  <c r="BG32" i="60" s="1"/>
  <c r="BH32" i="60" s="1"/>
  <c r="BB26" i="60"/>
  <c r="BM514" i="60"/>
  <c r="BG514" i="60" s="1"/>
  <c r="BM143" i="60"/>
  <c r="BG143" i="60" s="1"/>
  <c r="BH143" i="60" s="1"/>
  <c r="BM502" i="60"/>
  <c r="BG502" i="60" s="1"/>
  <c r="BM370" i="60"/>
  <c r="BG370" i="60" s="1"/>
  <c r="BH370" i="60" s="1"/>
  <c r="BM252" i="60"/>
  <c r="BG252" i="60" s="1"/>
  <c r="BH252" i="60" s="1"/>
  <c r="BM306" i="60"/>
  <c r="BG306" i="60" s="1"/>
  <c r="BH306" i="60" s="1"/>
  <c r="BM466" i="60"/>
  <c r="BG466" i="60" s="1"/>
  <c r="BJ466" i="60" s="1"/>
  <c r="BM337" i="60"/>
  <c r="BG337" i="60" s="1"/>
  <c r="BJ337" i="60" s="1"/>
  <c r="BM454" i="60"/>
  <c r="BG454" i="60" s="1"/>
  <c r="BH454" i="60" s="1"/>
  <c r="BM438" i="60"/>
  <c r="BG438" i="60" s="1"/>
  <c r="BH438" i="60" s="1"/>
  <c r="BM539" i="60"/>
  <c r="BG539" i="60" s="1"/>
  <c r="BJ539" i="60" s="1"/>
  <c r="BM318" i="60"/>
  <c r="BG318" i="60" s="1"/>
  <c r="BH318" i="60" s="1"/>
  <c r="BM185" i="60"/>
  <c r="BG185" i="60" s="1"/>
  <c r="BH185" i="60" s="1"/>
  <c r="BM511" i="60"/>
  <c r="BG511" i="60" s="1"/>
  <c r="BH511" i="60" s="1"/>
  <c r="BM188" i="60"/>
  <c r="BG188" i="60" s="1"/>
  <c r="BH188" i="60" s="1"/>
  <c r="BM146" i="60"/>
  <c r="BG146" i="60" s="1"/>
  <c r="BH146" i="60" s="1"/>
  <c r="BM148" i="60"/>
  <c r="BG148" i="60" s="1"/>
  <c r="BM405" i="60"/>
  <c r="BG405" i="60" s="1"/>
  <c r="BM413" i="60"/>
  <c r="BG413" i="60" s="1"/>
  <c r="BH413" i="60" s="1"/>
  <c r="BM308" i="60"/>
  <c r="BG308" i="60" s="1"/>
  <c r="BJ308" i="60" s="1"/>
  <c r="BM518" i="60"/>
  <c r="BG518" i="60" s="1"/>
  <c r="BJ518" i="60" s="1"/>
  <c r="BM64" i="60"/>
  <c r="BG64" i="60" s="1"/>
  <c r="BH64" i="60" s="1"/>
  <c r="BC70" i="60" a="1"/>
  <c r="BC70" i="60" s="1"/>
  <c r="BC33" i="60" a="1"/>
  <c r="BC33" i="60" s="1"/>
  <c r="O16" i="60"/>
  <c r="O19" i="60" s="1"/>
  <c r="BF130" i="60"/>
  <c r="BC292" i="60" a="1"/>
  <c r="BC292" i="60" s="1"/>
  <c r="BC294" i="60" a="1"/>
  <c r="BC294" i="60" s="1"/>
  <c r="BC88" i="60" a="1"/>
  <c r="BC88" i="60" s="1"/>
  <c r="BC278" i="60" a="1"/>
  <c r="BC278" i="60" s="1"/>
  <c r="BC246" i="60" a="1"/>
  <c r="BC246" i="60" s="1"/>
  <c r="BF174" i="60"/>
  <c r="BF290" i="60"/>
  <c r="BC35" i="60" a="1"/>
  <c r="BC35" i="60" s="1"/>
  <c r="BF282" i="60"/>
  <c r="BF289" i="60"/>
  <c r="BC174" i="60" a="1"/>
  <c r="BC174" i="60" s="1"/>
  <c r="BF294" i="60"/>
  <c r="BF279" i="60"/>
  <c r="BF131" i="60"/>
  <c r="BC281" i="60" a="1"/>
  <c r="BC281" i="60" s="1"/>
  <c r="BC234" i="60" a="1"/>
  <c r="BC234" i="60" s="1"/>
  <c r="AL282" i="60"/>
  <c r="BF228" i="60"/>
  <c r="AL100" i="60"/>
  <c r="C56" i="54"/>
  <c r="C60" i="54"/>
  <c r="C57" i="54"/>
  <c r="C54" i="54"/>
  <c r="C59" i="54"/>
  <c r="C58" i="54"/>
  <c r="C55" i="54"/>
  <c r="E60" i="54"/>
  <c r="E57" i="54"/>
  <c r="E56" i="54"/>
  <c r="E58" i="54"/>
  <c r="E54" i="54"/>
  <c r="E59" i="54"/>
  <c r="E55" i="54"/>
  <c r="Y51" i="54"/>
  <c r="Y48" i="54"/>
  <c r="Y56" i="54"/>
  <c r="Y58" i="54"/>
  <c r="Y44" i="54"/>
  <c r="Y55" i="54"/>
  <c r="Y60" i="54"/>
  <c r="Y52" i="54"/>
  <c r="Y62" i="54"/>
  <c r="Y54" i="54"/>
  <c r="Y61" i="54"/>
  <c r="Y50" i="54"/>
  <c r="Y47" i="54"/>
  <c r="Y49" i="54"/>
  <c r="Y57" i="54"/>
  <c r="Y45" i="54"/>
  <c r="Y46" i="54"/>
  <c r="Y59" i="54"/>
  <c r="Y53" i="54"/>
  <c r="Z60" i="54"/>
  <c r="Z52" i="54"/>
  <c r="Z61" i="54"/>
  <c r="Z44" i="54"/>
  <c r="Z49" i="54"/>
  <c r="Z59" i="54"/>
  <c r="Z51" i="54"/>
  <c r="Z56" i="54"/>
  <c r="Z50" i="54"/>
  <c r="Z55" i="54"/>
  <c r="Z57" i="54"/>
  <c r="Z58" i="54"/>
  <c r="Z46" i="54"/>
  <c r="Z48" i="54"/>
  <c r="Z47" i="54"/>
  <c r="Z62" i="54"/>
  <c r="Z54" i="54"/>
  <c r="Z45" i="54"/>
  <c r="Z53" i="54"/>
  <c r="AV60" i="54"/>
  <c r="AV52" i="54"/>
  <c r="AV48" i="54"/>
  <c r="AV61" i="54"/>
  <c r="AV58" i="54"/>
  <c r="AV44" i="54"/>
  <c r="AV55" i="54"/>
  <c r="AV49" i="54"/>
  <c r="AV59" i="54"/>
  <c r="AV51" i="54"/>
  <c r="AV53" i="54"/>
  <c r="AV47" i="54"/>
  <c r="AV57" i="54"/>
  <c r="AV46" i="54"/>
  <c r="AV56" i="54"/>
  <c r="AV45" i="54"/>
  <c r="AV62" i="54"/>
  <c r="AV54" i="54"/>
  <c r="AV50" i="54"/>
  <c r="AA49" i="54"/>
  <c r="AA59" i="54"/>
  <c r="AA56" i="54"/>
  <c r="AA47" i="54"/>
  <c r="AA57" i="54"/>
  <c r="AA45" i="54"/>
  <c r="AA60" i="54"/>
  <c r="AA46" i="54"/>
  <c r="AA50" i="54"/>
  <c r="AA44" i="54"/>
  <c r="AA62" i="54"/>
  <c r="AA54" i="54"/>
  <c r="AA48" i="54"/>
  <c r="AA61" i="54"/>
  <c r="AA53" i="54"/>
  <c r="AA58" i="54"/>
  <c r="AA55" i="54"/>
  <c r="AA52" i="54"/>
  <c r="AA51" i="54"/>
  <c r="AU28" i="54"/>
  <c r="AU59" i="54"/>
  <c r="AU51" i="54"/>
  <c r="AU56" i="54"/>
  <c r="AU58" i="54"/>
  <c r="AU60" i="54"/>
  <c r="AU52" i="54"/>
  <c r="AU54" i="54"/>
  <c r="AU48" i="54"/>
  <c r="AU50" i="54"/>
  <c r="AU44" i="54"/>
  <c r="AU49" i="54"/>
  <c r="AU45" i="54"/>
  <c r="AU57" i="54"/>
  <c r="AU47" i="54"/>
  <c r="AU55" i="54"/>
  <c r="AU46" i="54"/>
  <c r="AU62" i="54"/>
  <c r="AU61" i="54"/>
  <c r="AU53" i="54"/>
  <c r="D55" i="54"/>
  <c r="D56" i="54"/>
  <c r="D54" i="54"/>
  <c r="D57" i="54"/>
  <c r="D58" i="54"/>
  <c r="D59" i="54"/>
  <c r="D60" i="54"/>
  <c r="X38" i="54"/>
  <c r="X55" i="54"/>
  <c r="X46" i="54"/>
  <c r="X59" i="54"/>
  <c r="X56" i="54"/>
  <c r="X47" i="54"/>
  <c r="X54" i="54"/>
  <c r="X58" i="54"/>
  <c r="X60" i="54"/>
  <c r="X52" i="54"/>
  <c r="X45" i="54"/>
  <c r="X53" i="54"/>
  <c r="X50" i="54"/>
  <c r="X44" i="54"/>
  <c r="X49" i="54"/>
  <c r="X51" i="54"/>
  <c r="X48" i="54"/>
  <c r="X61" i="54"/>
  <c r="X57" i="54"/>
  <c r="X62" i="54"/>
  <c r="AT55" i="54"/>
  <c r="AT45" i="54"/>
  <c r="AT54" i="54"/>
  <c r="AT60" i="54"/>
  <c r="AT52" i="54"/>
  <c r="AT51" i="54"/>
  <c r="AT61" i="54"/>
  <c r="AT53" i="54"/>
  <c r="AT58" i="54"/>
  <c r="AT44" i="54"/>
  <c r="AT49" i="54"/>
  <c r="AT46" i="54"/>
  <c r="AT62" i="54"/>
  <c r="AT48" i="54"/>
  <c r="AT56" i="54"/>
  <c r="AT50" i="54"/>
  <c r="AT57" i="54"/>
  <c r="AT59" i="54"/>
  <c r="AT47" i="54"/>
  <c r="AS47" i="54"/>
  <c r="AS44" i="54"/>
  <c r="AS57" i="54"/>
  <c r="AS54" i="54"/>
  <c r="AS48" i="54"/>
  <c r="AS45" i="54"/>
  <c r="AS53" i="54"/>
  <c r="AS58" i="54"/>
  <c r="AS55" i="54"/>
  <c r="AS46" i="54"/>
  <c r="AS50" i="54"/>
  <c r="AS60" i="54"/>
  <c r="AS52" i="54"/>
  <c r="AS59" i="54"/>
  <c r="AS56" i="54"/>
  <c r="AS61" i="54"/>
  <c r="AS49" i="54"/>
  <c r="AS62" i="54"/>
  <c r="AS51" i="54"/>
  <c r="L50" i="54"/>
  <c r="AR410" i="60"/>
  <c r="CD410" i="60"/>
  <c r="AR520" i="60"/>
  <c r="CD520" i="60"/>
  <c r="AR329" i="60"/>
  <c r="CD329" i="60"/>
  <c r="AR265" i="60"/>
  <c r="CD265" i="60"/>
  <c r="AR308" i="60"/>
  <c r="CD308" i="60"/>
  <c r="AR467" i="60"/>
  <c r="CD467" i="60"/>
  <c r="AR494" i="60"/>
  <c r="CD494" i="60"/>
  <c r="AR253" i="60"/>
  <c r="CD253" i="60"/>
  <c r="AR310" i="60"/>
  <c r="CD310" i="60"/>
  <c r="AL192" i="60"/>
  <c r="AL372" i="60"/>
  <c r="BF70" i="60"/>
  <c r="BC113" i="60" a="1"/>
  <c r="BC113" i="60" s="1"/>
  <c r="AQ257" i="60"/>
  <c r="Z300" i="60"/>
  <c r="AQ300" i="60" s="1"/>
  <c r="AQ184" i="60"/>
  <c r="BF184" i="60" s="1"/>
  <c r="Z205" i="60"/>
  <c r="AQ205" i="60" s="1"/>
  <c r="AQ98" i="60"/>
  <c r="BF98" i="60" s="1"/>
  <c r="Z156" i="60"/>
  <c r="AQ156" i="60" s="1"/>
  <c r="AL429" i="60"/>
  <c r="AL419" i="60"/>
  <c r="BM356" i="60"/>
  <c r="BG356" i="60" s="1"/>
  <c r="BH356" i="60" s="1"/>
  <c r="AL319" i="60"/>
  <c r="AL144" i="60"/>
  <c r="AL297" i="60"/>
  <c r="BF37" i="60"/>
  <c r="BC37" i="60" a="1"/>
  <c r="BC37" i="60" s="1"/>
  <c r="BM297" i="60"/>
  <c r="BG297" i="60" s="1"/>
  <c r="BJ297" i="60" s="1"/>
  <c r="AL360" i="60"/>
  <c r="AL370" i="60"/>
  <c r="AL216" i="60"/>
  <c r="BF163" i="60"/>
  <c r="BC287" i="60" a="1"/>
  <c r="BC287" i="60" s="1"/>
  <c r="BF277" i="60"/>
  <c r="BM302" i="60"/>
  <c r="BG302" i="60" s="1"/>
  <c r="BH302" i="60" s="1"/>
  <c r="AL437" i="60"/>
  <c r="BM437" i="60"/>
  <c r="BG437" i="60" s="1"/>
  <c r="BJ437" i="60" s="1"/>
  <c r="BM346" i="60"/>
  <c r="BG346" i="60" s="1"/>
  <c r="BJ346" i="60" s="1"/>
  <c r="AL106" i="60"/>
  <c r="AL303" i="60"/>
  <c r="AL291" i="60"/>
  <c r="AL518" i="60"/>
  <c r="AL413" i="60"/>
  <c r="BM158" i="60"/>
  <c r="BG158" i="60" s="1"/>
  <c r="BH158" i="60" s="1"/>
  <c r="BM144" i="60"/>
  <c r="BG144" i="60" s="1"/>
  <c r="BH144" i="60" s="1"/>
  <c r="BM419" i="60"/>
  <c r="BG419" i="60" s="1"/>
  <c r="BH419" i="60" s="1"/>
  <c r="BM334" i="60"/>
  <c r="BG334" i="60" s="1"/>
  <c r="BH334" i="60" s="1"/>
  <c r="AL476" i="60"/>
  <c r="AL158" i="60"/>
  <c r="BM480" i="60"/>
  <c r="BG480" i="60" s="1"/>
  <c r="BJ480" i="60" s="1"/>
  <c r="AL355" i="60"/>
  <c r="BC277" i="60" a="1"/>
  <c r="BC277" i="60" s="1"/>
  <c r="AL252" i="60"/>
  <c r="BM162" i="60"/>
  <c r="BG162" i="60" s="1"/>
  <c r="BH162" i="60" s="1"/>
  <c r="AL420" i="60"/>
  <c r="AL396" i="60"/>
  <c r="CD396" i="60" s="1"/>
  <c r="U140" i="60"/>
  <c r="BM396" i="60"/>
  <c r="BG396" i="60" s="1"/>
  <c r="BH396" i="60" s="1"/>
  <c r="AL337" i="60"/>
  <c r="U150" i="60"/>
  <c r="AL317" i="60"/>
  <c r="U129" i="60"/>
  <c r="BF241" i="60"/>
  <c r="AL246" i="60"/>
  <c r="U119" i="60"/>
  <c r="BC241" i="60" a="1"/>
  <c r="BC241" i="60" s="1"/>
  <c r="U128" i="60"/>
  <c r="AL306" i="60"/>
  <c r="AL162" i="60"/>
  <c r="CD162" i="60" s="1"/>
  <c r="BC240" i="60" a="1"/>
  <c r="BC240" i="60" s="1"/>
  <c r="BF283" i="60"/>
  <c r="AL394" i="60"/>
  <c r="CD394" i="60" s="1"/>
  <c r="BM264" i="60"/>
  <c r="BG264" i="60" s="1"/>
  <c r="AA147" i="60"/>
  <c r="BF287" i="60"/>
  <c r="BC285" i="60" a="1"/>
  <c r="BC285" i="60" s="1"/>
  <c r="BM449" i="60"/>
  <c r="BG449" i="60" s="1"/>
  <c r="BF285" i="60"/>
  <c r="BC235" i="60" a="1"/>
  <c r="BC235" i="60" s="1"/>
  <c r="BF295" i="60"/>
  <c r="BF286" i="60"/>
  <c r="AL365" i="60"/>
  <c r="AL545" i="60"/>
  <c r="AL203" i="60"/>
  <c r="BC36" i="60" a="1"/>
  <c r="BC36" i="60" s="1"/>
  <c r="BF235" i="60"/>
  <c r="BM265" i="60"/>
  <c r="BG265" i="60" s="1"/>
  <c r="BM209" i="60"/>
  <c r="BG209" i="60" s="1"/>
  <c r="BH209" i="60" s="1"/>
  <c r="AL387" i="60"/>
  <c r="BJ520" i="60"/>
  <c r="AL287" i="60"/>
  <c r="BC283" i="60" a="1"/>
  <c r="BC283" i="60" s="1"/>
  <c r="BH405" i="60"/>
  <c r="BJ405" i="60"/>
  <c r="AL129" i="60"/>
  <c r="BF245" i="60"/>
  <c r="BC245" i="60" a="1"/>
  <c r="BC245" i="60" s="1"/>
  <c r="U146" i="60"/>
  <c r="BC280" i="60" a="1"/>
  <c r="BC280" i="60" s="1"/>
  <c r="BF280" i="60"/>
  <c r="U117" i="60"/>
  <c r="U135" i="60"/>
  <c r="U157" i="60"/>
  <c r="U152" i="60"/>
  <c r="U121" i="60"/>
  <c r="U155" i="60"/>
  <c r="AL353" i="60"/>
  <c r="U151" i="60"/>
  <c r="U137" i="60"/>
  <c r="BC163" i="60" a="1"/>
  <c r="BC163" i="60" s="1"/>
  <c r="AL414" i="60"/>
  <c r="AI39" i="60"/>
  <c r="U120" i="60"/>
  <c r="U126" i="60"/>
  <c r="U154" i="60"/>
  <c r="U131" i="60"/>
  <c r="AL206" i="60"/>
  <c r="BC236" i="60" a="1"/>
  <c r="BC236" i="60" s="1"/>
  <c r="BF236" i="60"/>
  <c r="U122" i="60"/>
  <c r="U118" i="60"/>
  <c r="U147" i="60"/>
  <c r="AL441" i="60"/>
  <c r="BF296" i="60"/>
  <c r="U156" i="60"/>
  <c r="U141" i="60"/>
  <c r="U143" i="60"/>
  <c r="BM477" i="60"/>
  <c r="BG477" i="60" s="1"/>
  <c r="BJ477" i="60" s="1"/>
  <c r="BC229" i="60" a="1"/>
  <c r="BC229" i="60" s="1"/>
  <c r="BF229" i="60"/>
  <c r="U144" i="60"/>
  <c r="AI176" i="60"/>
  <c r="U142" i="60"/>
  <c r="BC296" i="60" a="1"/>
  <c r="BC296" i="60" s="1"/>
  <c r="U136" i="60"/>
  <c r="U125" i="60"/>
  <c r="U149" i="60"/>
  <c r="AL354" i="60"/>
  <c r="BC293" i="60" a="1"/>
  <c r="BC293" i="60" s="1"/>
  <c r="BF293" i="60"/>
  <c r="U145" i="60"/>
  <c r="BM428" i="60"/>
  <c r="BG428" i="60" s="1"/>
  <c r="BJ428" i="60" s="1"/>
  <c r="BC212" i="60" a="1"/>
  <c r="BC212" i="60" s="1"/>
  <c r="BF212" i="60"/>
  <c r="U134" i="60"/>
  <c r="BC77" i="60" a="1"/>
  <c r="BC77" i="60" s="1"/>
  <c r="BF77" i="60"/>
  <c r="U130" i="60"/>
  <c r="U127" i="60"/>
  <c r="U124" i="60"/>
  <c r="U148" i="60"/>
  <c r="BM325" i="60"/>
  <c r="BG325" i="60" s="1"/>
  <c r="BH325" i="60" s="1"/>
  <c r="BM72" i="60"/>
  <c r="BG72" i="60" s="1"/>
  <c r="BJ72" i="60" s="1"/>
  <c r="U153" i="60"/>
  <c r="U133" i="60"/>
  <c r="AL428" i="60"/>
  <c r="BF120" i="60"/>
  <c r="BC288" i="60" a="1"/>
  <c r="BC288" i="60" s="1"/>
  <c r="BF288" i="60"/>
  <c r="X390" i="63"/>
  <c r="X213" i="63"/>
  <c r="X214" i="63" s="1"/>
  <c r="X271" i="63"/>
  <c r="X272" i="63" s="1"/>
  <c r="X274" i="63" s="1"/>
  <c r="AI249" i="60"/>
  <c r="BJ32" i="60"/>
  <c r="BJ330" i="60"/>
  <c r="BH330" i="60"/>
  <c r="AL516" i="60"/>
  <c r="BJ143" i="60"/>
  <c r="BH514" i="60"/>
  <c r="BJ514" i="60"/>
  <c r="BH148" i="60"/>
  <c r="BJ148" i="60"/>
  <c r="BC255" i="60" a="1"/>
  <c r="BC255" i="60" s="1"/>
  <c r="BF255" i="60"/>
  <c r="AL444" i="60"/>
  <c r="BH466" i="60"/>
  <c r="AL465" i="60"/>
  <c r="BH502" i="60"/>
  <c r="BJ502" i="60"/>
  <c r="BH71" i="60"/>
  <c r="BJ71" i="60"/>
  <c r="AL124" i="60"/>
  <c r="AL440" i="60"/>
  <c r="AL391" i="60"/>
  <c r="AL142" i="60"/>
  <c r="CD142" i="60" s="1"/>
  <c r="BC141" i="60" a="1"/>
  <c r="BC141" i="60" s="1"/>
  <c r="AQ47" i="60"/>
  <c r="AL345" i="60"/>
  <c r="AL200" i="60"/>
  <c r="AL409" i="60"/>
  <c r="AL281" i="60"/>
  <c r="AL328" i="60"/>
  <c r="AL542" i="60"/>
  <c r="AL316" i="60"/>
  <c r="AL497" i="60"/>
  <c r="AL389" i="60"/>
  <c r="AL342" i="60"/>
  <c r="CD342" i="60" s="1"/>
  <c r="AL145" i="60"/>
  <c r="CD145" i="60" s="1"/>
  <c r="BJ538" i="60"/>
  <c r="BH538" i="60"/>
  <c r="AL367" i="60"/>
  <c r="AL121" i="60"/>
  <c r="AL150" i="60"/>
  <c r="AL379" i="60"/>
  <c r="AL399" i="60"/>
  <c r="AL101" i="60"/>
  <c r="AL350" i="60"/>
  <c r="CD350" i="60" s="1"/>
  <c r="AL461" i="60"/>
  <c r="CD461" i="60" s="1"/>
  <c r="AL341" i="60"/>
  <c r="AL422" i="60"/>
  <c r="BM333" i="60"/>
  <c r="BG333" i="60" s="1"/>
  <c r="AL488" i="60"/>
  <c r="BM344" i="60"/>
  <c r="BG344" i="60" s="1"/>
  <c r="BM536" i="60"/>
  <c r="BG536" i="60" s="1"/>
  <c r="BM394" i="60"/>
  <c r="BG394" i="60" s="1"/>
  <c r="AL529" i="60"/>
  <c r="BM331" i="60"/>
  <c r="BG331" i="60" s="1"/>
  <c r="AL243" i="60"/>
  <c r="AL123" i="60"/>
  <c r="CD123" i="60" s="1"/>
  <c r="AL380" i="60"/>
  <c r="BM472" i="60"/>
  <c r="BG472" i="60" s="1"/>
  <c r="BM407" i="60"/>
  <c r="BG407" i="60" s="1"/>
  <c r="BM488" i="60"/>
  <c r="BG488" i="60" s="1"/>
  <c r="AL186" i="60"/>
  <c r="AL301" i="60"/>
  <c r="BM376" i="60"/>
  <c r="BG376" i="60" s="1"/>
  <c r="AL361" i="60"/>
  <c r="CD361" i="60" s="1"/>
  <c r="AL191" i="60"/>
  <c r="BM363" i="60"/>
  <c r="BG363" i="60" s="1"/>
  <c r="AL486" i="60"/>
  <c r="AL261" i="60"/>
  <c r="BM504" i="60"/>
  <c r="BG504" i="60" s="1"/>
  <c r="BM269" i="60"/>
  <c r="BG269" i="60" s="1"/>
  <c r="BM349" i="60"/>
  <c r="BG349" i="60" s="1"/>
  <c r="AL509" i="60"/>
  <c r="AL161" i="60"/>
  <c r="BM329" i="60"/>
  <c r="BG329" i="60" s="1"/>
  <c r="AL148" i="60"/>
  <c r="CD148" i="60" s="1"/>
  <c r="AL307" i="60"/>
  <c r="BM525" i="60"/>
  <c r="BG525" i="60" s="1"/>
  <c r="AL321" i="60"/>
  <c r="AL530" i="60"/>
  <c r="AL433" i="60"/>
  <c r="BM136" i="60"/>
  <c r="BG136" i="60" s="1"/>
  <c r="AL335" i="60"/>
  <c r="BM541" i="60"/>
  <c r="BG541" i="60" s="1"/>
  <c r="AL546" i="60"/>
  <c r="AL125" i="60"/>
  <c r="BM305" i="60"/>
  <c r="BG305" i="60" s="1"/>
  <c r="AL116" i="60"/>
  <c r="AL507" i="60"/>
  <c r="BM507" i="60"/>
  <c r="BG507" i="60" s="1"/>
  <c r="AL435" i="60"/>
  <c r="AL231" i="60"/>
  <c r="AL352" i="60"/>
  <c r="BM347" i="60"/>
  <c r="BG347" i="60" s="1"/>
  <c r="BF141" i="60"/>
  <c r="AL471" i="60"/>
  <c r="AL432" i="60"/>
  <c r="CD432" i="60" s="1"/>
  <c r="AL333" i="60"/>
  <c r="AL336" i="60"/>
  <c r="BM535" i="60"/>
  <c r="BG535" i="60" s="1"/>
  <c r="AL311" i="60"/>
  <c r="BM74" i="60"/>
  <c r="BG74" i="60" s="1"/>
  <c r="BH74" i="60" s="1"/>
  <c r="BM231" i="60"/>
  <c r="BG231" i="60" s="1"/>
  <c r="AL276" i="60"/>
  <c r="BM122" i="60"/>
  <c r="BG122" i="60" s="1"/>
  <c r="BM104" i="60"/>
  <c r="BG104" i="60" s="1"/>
  <c r="AL340" i="60"/>
  <c r="BM418" i="60"/>
  <c r="BG418" i="60" s="1"/>
  <c r="BM385" i="60"/>
  <c r="BG385" i="60" s="1"/>
  <c r="BM420" i="60"/>
  <c r="BG420" i="60" s="1"/>
  <c r="AL424" i="60"/>
  <c r="AL452" i="60"/>
  <c r="BM378" i="60"/>
  <c r="BG378" i="60" s="1"/>
  <c r="AL385" i="60"/>
  <c r="BM314" i="60"/>
  <c r="BG314" i="60" s="1"/>
  <c r="BM459" i="60"/>
  <c r="BG459" i="60" s="1"/>
  <c r="BM395" i="60"/>
  <c r="BG395" i="60" s="1"/>
  <c r="BM491" i="60"/>
  <c r="BG491" i="60" s="1"/>
  <c r="BM324" i="60"/>
  <c r="BG324" i="60" s="1"/>
  <c r="AL362" i="60"/>
  <c r="BM312" i="60"/>
  <c r="BG312" i="60" s="1"/>
  <c r="BM429" i="60"/>
  <c r="BG429" i="60" s="1"/>
  <c r="BM354" i="60"/>
  <c r="BG354" i="60" s="1"/>
  <c r="AJ84" i="60"/>
  <c r="AI90" i="60"/>
  <c r="AL68" i="60"/>
  <c r="AE88" i="60"/>
  <c r="AE86" i="60"/>
  <c r="AD86" i="60"/>
  <c r="AE87" i="60"/>
  <c r="AD87" i="60"/>
  <c r="AD88" i="60"/>
  <c r="AD89" i="60"/>
  <c r="AE84" i="60"/>
  <c r="AD84" i="60"/>
  <c r="AE89" i="60"/>
  <c r="AE85" i="60"/>
  <c r="AD85" i="60"/>
  <c r="AE131" i="60"/>
  <c r="AE132" i="60"/>
  <c r="AE129" i="60"/>
  <c r="AD129" i="60"/>
  <c r="AE130" i="60"/>
  <c r="AD130" i="60"/>
  <c r="AD131" i="60"/>
  <c r="AD132" i="60"/>
  <c r="AE127" i="60"/>
  <c r="AD127" i="60"/>
  <c r="AE128" i="60"/>
  <c r="AD128" i="60"/>
  <c r="AE172" i="60"/>
  <c r="AD171" i="60"/>
  <c r="AE173" i="60"/>
  <c r="AD172" i="60"/>
  <c r="AD175" i="60"/>
  <c r="AD173" i="60"/>
  <c r="AE170" i="60"/>
  <c r="AD170" i="60"/>
  <c r="AE174" i="60"/>
  <c r="AD174" i="60"/>
  <c r="AE171" i="60"/>
  <c r="AE175" i="60"/>
  <c r="AJ76" i="60" a="1"/>
  <c r="AJ76" i="60" s="1"/>
  <c r="U67" i="60"/>
  <c r="U64" i="60"/>
  <c r="U56" i="60"/>
  <c r="U48" i="60"/>
  <c r="U71" i="60"/>
  <c r="U50" i="60"/>
  <c r="U47" i="60"/>
  <c r="U39" i="60"/>
  <c r="U26" i="60"/>
  <c r="U61" i="60"/>
  <c r="U41" i="60"/>
  <c r="U35" i="60"/>
  <c r="U22" i="60"/>
  <c r="U58" i="60"/>
  <c r="U55" i="60"/>
  <c r="U25" i="60"/>
  <c r="U14" i="60"/>
  <c r="U52" i="60"/>
  <c r="U49" i="60"/>
  <c r="U36" i="60"/>
  <c r="U23" i="60"/>
  <c r="U17" i="60"/>
  <c r="U70" i="60"/>
  <c r="U37" i="60"/>
  <c r="U63" i="60"/>
  <c r="U40" i="60"/>
  <c r="U27" i="60"/>
  <c r="U28" i="60"/>
  <c r="U66" i="60"/>
  <c r="U60" i="60"/>
  <c r="U38" i="60"/>
  <c r="U29" i="60"/>
  <c r="U42" i="60"/>
  <c r="U32" i="60"/>
  <c r="U51" i="60"/>
  <c r="U16" i="60"/>
  <c r="U59" i="60"/>
  <c r="U33" i="60"/>
  <c r="U62" i="60"/>
  <c r="U19" i="60"/>
  <c r="U54" i="60"/>
  <c r="U18" i="60"/>
  <c r="U65" i="60"/>
  <c r="U53" i="60"/>
  <c r="U69" i="60"/>
  <c r="U21" i="60"/>
  <c r="U31" i="60"/>
  <c r="U34" i="60"/>
  <c r="U24" i="60"/>
  <c r="U57" i="60"/>
  <c r="U43" i="60"/>
  <c r="U46" i="60"/>
  <c r="U30" i="60"/>
  <c r="U15" i="60"/>
  <c r="U68" i="60"/>
  <c r="AE38" i="60"/>
  <c r="AE30" i="60"/>
  <c r="AD29" i="60"/>
  <c r="AD37" i="60"/>
  <c r="AE27" i="60"/>
  <c r="AD26" i="60"/>
  <c r="AE28" i="60"/>
  <c r="AD27" i="60"/>
  <c r="AD28" i="60"/>
  <c r="AD38" i="60"/>
  <c r="AE29" i="60"/>
  <c r="AD30" i="60"/>
  <c r="AE31" i="60"/>
  <c r="AE33" i="60"/>
  <c r="AD33" i="60"/>
  <c r="AD36" i="60"/>
  <c r="AE26" i="60"/>
  <c r="AE36" i="60"/>
  <c r="AD34" i="60"/>
  <c r="AD24" i="60"/>
  <c r="X19" i="60"/>
  <c r="Z19" i="60" s="1" a="1"/>
  <c r="Z19" i="60" s="1"/>
  <c r="AE37" i="60"/>
  <c r="AD31" i="60"/>
  <c r="AE32" i="60"/>
  <c r="AE35" i="60"/>
  <c r="AE34" i="60"/>
  <c r="AE24" i="60"/>
  <c r="AD32" i="60"/>
  <c r="AD35" i="60"/>
  <c r="AE25" i="60"/>
  <c r="AD25" i="60"/>
  <c r="AI133" i="60"/>
  <c r="AJ127" i="60"/>
  <c r="AL118" i="60"/>
  <c r="CD118" i="60" s="1"/>
  <c r="AL188" i="60"/>
  <c r="BM301" i="60"/>
  <c r="BG301" i="60" s="1"/>
  <c r="AE235" i="60"/>
  <c r="AD234" i="60"/>
  <c r="AE219" i="60"/>
  <c r="AE236" i="60"/>
  <c r="AD235" i="60"/>
  <c r="AE220" i="60"/>
  <c r="AD219" i="60"/>
  <c r="AE237" i="60"/>
  <c r="AD236" i="60"/>
  <c r="AE221" i="60"/>
  <c r="AD220" i="60"/>
  <c r="AE243" i="60"/>
  <c r="AE231" i="60"/>
  <c r="AD226" i="60"/>
  <c r="AD247" i="60"/>
  <c r="AD238" i="60"/>
  <c r="AE227" i="60"/>
  <c r="AE244" i="60"/>
  <c r="AE240" i="60"/>
  <c r="AD231" i="60"/>
  <c r="AE224" i="60"/>
  <c r="AD233" i="60"/>
  <c r="AD229" i="60"/>
  <c r="AD244" i="60"/>
  <c r="AD240" i="60"/>
  <c r="AE228" i="60"/>
  <c r="AD224" i="60"/>
  <c r="AE247" i="60"/>
  <c r="AD228" i="60"/>
  <c r="AE232" i="60"/>
  <c r="X214" i="60"/>
  <c r="Z214" i="60" s="1" a="1"/>
  <c r="Z214" i="60" s="1"/>
  <c r="AQ214" i="60" s="1"/>
  <c r="AD245" i="60"/>
  <c r="AE222" i="60"/>
  <c r="AE241" i="60"/>
  <c r="AD232" i="60"/>
  <c r="AD241" i="60"/>
  <c r="AE225" i="60"/>
  <c r="AD221" i="60"/>
  <c r="AE248" i="60"/>
  <c r="AE245" i="60"/>
  <c r="AD237" i="60"/>
  <c r="AE233" i="60"/>
  <c r="AE229" i="60"/>
  <c r="AD225" i="60"/>
  <c r="AD248" i="60"/>
  <c r="AD223" i="60"/>
  <c r="AE230" i="60"/>
  <c r="AE238" i="60"/>
  <c r="AD230" i="60"/>
  <c r="AE226" i="60"/>
  <c r="AD243" i="60"/>
  <c r="AD222" i="60"/>
  <c r="AD246" i="60"/>
  <c r="AE234" i="60"/>
  <c r="AE223" i="60"/>
  <c r="AE246" i="60"/>
  <c r="AD242" i="60"/>
  <c r="AE239" i="60"/>
  <c r="AD239" i="60"/>
  <c r="AE242" i="60"/>
  <c r="AD227" i="60"/>
  <c r="AA260" i="60"/>
  <c r="AA261" i="60" s="1"/>
  <c r="AJ162" i="60" a="1"/>
  <c r="AJ162" i="60" s="1"/>
  <c r="AA51" i="60"/>
  <c r="AA52" i="60" s="1"/>
  <c r="BM251" i="60"/>
  <c r="BG251" i="60" s="1"/>
  <c r="BM172" i="60"/>
  <c r="BG172" i="60" s="1"/>
  <c r="BM215" i="60"/>
  <c r="BG215" i="60" s="1"/>
  <c r="BH215" i="60" s="1"/>
  <c r="BM38" i="60"/>
  <c r="BG38" i="60" s="1"/>
  <c r="BM62" i="60"/>
  <c r="BG62" i="60" s="1"/>
  <c r="AL111" i="60"/>
  <c r="BM262" i="60"/>
  <c r="BG262" i="60" s="1"/>
  <c r="BM81" i="60"/>
  <c r="BG81" i="60" s="1"/>
  <c r="AL178" i="60"/>
  <c r="AL152" i="60"/>
  <c r="BM445" i="60"/>
  <c r="BG445" i="60" s="1"/>
  <c r="AL330" i="60"/>
  <c r="AL519" i="60"/>
  <c r="BM519" i="60"/>
  <c r="BG519" i="60" s="1"/>
  <c r="BM523" i="60"/>
  <c r="BG523" i="60" s="1"/>
  <c r="AL284" i="60"/>
  <c r="AL273" i="60"/>
  <c r="BM273" i="60"/>
  <c r="BG273" i="60" s="1"/>
  <c r="BM194" i="60"/>
  <c r="BG194" i="60" s="1"/>
  <c r="BM106" i="60"/>
  <c r="BG106" i="60" s="1"/>
  <c r="BM423" i="60"/>
  <c r="BG423" i="60" s="1"/>
  <c r="BM375" i="60"/>
  <c r="BG375" i="60" s="1"/>
  <c r="BM448" i="60"/>
  <c r="BG448" i="60" s="1"/>
  <c r="AL364" i="60"/>
  <c r="BM291" i="60"/>
  <c r="BG291" i="60" s="1"/>
  <c r="AL404" i="60"/>
  <c r="BM493" i="60"/>
  <c r="BG493" i="60" s="1"/>
  <c r="AL458" i="60"/>
  <c r="BM408" i="60"/>
  <c r="BG408" i="60" s="1"/>
  <c r="BM154" i="60"/>
  <c r="BG154" i="60" s="1"/>
  <c r="BM442" i="60"/>
  <c r="BG442" i="60" s="1"/>
  <c r="BM242" i="60"/>
  <c r="BG242" i="60" s="1"/>
  <c r="BM549" i="60"/>
  <c r="BG549" i="60" s="1"/>
  <c r="BM506" i="60"/>
  <c r="BG506" i="60" s="1"/>
  <c r="AL193" i="60"/>
  <c r="BM193" i="60"/>
  <c r="BG193" i="60" s="1"/>
  <c r="AL540" i="60"/>
  <c r="BM88" i="60"/>
  <c r="BG88" i="60" s="1"/>
  <c r="BM505" i="60"/>
  <c r="BG505" i="60" s="1"/>
  <c r="AL505" i="60"/>
  <c r="AL207" i="60"/>
  <c r="BM319" i="60"/>
  <c r="BG319" i="60" s="1"/>
  <c r="BM206" i="60"/>
  <c r="BG206" i="60" s="1"/>
  <c r="BM343" i="60"/>
  <c r="BG343" i="60" s="1"/>
  <c r="BM483" i="60"/>
  <c r="BG483" i="60" s="1"/>
  <c r="AL478" i="60"/>
  <c r="BM73" i="60"/>
  <c r="BG73" i="60" s="1"/>
  <c r="AL524" i="60"/>
  <c r="BM53" i="60"/>
  <c r="BG53" i="60" s="1"/>
  <c r="BM219" i="60"/>
  <c r="BG219" i="60" s="1"/>
  <c r="AL219" i="60"/>
  <c r="BM228" i="60"/>
  <c r="BG228" i="60" s="1"/>
  <c r="BM225" i="60"/>
  <c r="BG225" i="60" s="1"/>
  <c r="AL267" i="60"/>
  <c r="BM192" i="60"/>
  <c r="BG192" i="60" s="1"/>
  <c r="BM66" i="60"/>
  <c r="BG66" i="60" s="1"/>
  <c r="AL247" i="60"/>
  <c r="BM510" i="60"/>
  <c r="BG510" i="60" s="1"/>
  <c r="BM358" i="60"/>
  <c r="BG358" i="60" s="1"/>
  <c r="BM33" i="60"/>
  <c r="BG33" i="60" s="1"/>
  <c r="BM446" i="60"/>
  <c r="BG446" i="60" s="1"/>
  <c r="AL302" i="60"/>
  <c r="AL492" i="60"/>
  <c r="AL196" i="60"/>
  <c r="AL543" i="60"/>
  <c r="AL436" i="60"/>
  <c r="BM455" i="60"/>
  <c r="BG455" i="60" s="1"/>
  <c r="AL430" i="60"/>
  <c r="BM46" i="60"/>
  <c r="BG46" i="60" s="1"/>
  <c r="BM167" i="60"/>
  <c r="BG167" i="60" s="1"/>
  <c r="AL167" i="60"/>
  <c r="BM90" i="60"/>
  <c r="BG90" i="60" s="1"/>
  <c r="BM355" i="60"/>
  <c r="BG355" i="60" s="1"/>
  <c r="BM512" i="60"/>
  <c r="BG512" i="60" s="1"/>
  <c r="AL443" i="60"/>
  <c r="BM392" i="60"/>
  <c r="BG392" i="60" s="1"/>
  <c r="BH392" i="60" s="1"/>
  <c r="BM498" i="60"/>
  <c r="BG498" i="60" s="1"/>
  <c r="BM186" i="60"/>
  <c r="BG186" i="60" s="1"/>
  <c r="AL110" i="60"/>
  <c r="BM110" i="60"/>
  <c r="BG110" i="60" s="1"/>
  <c r="BM248" i="60"/>
  <c r="BG248" i="60" s="1"/>
  <c r="AL482" i="60"/>
  <c r="AL421" i="60"/>
  <c r="BM434" i="60"/>
  <c r="BG434" i="60" s="1"/>
  <c r="BM457" i="60"/>
  <c r="BG457" i="60" s="1"/>
  <c r="AL457" i="60"/>
  <c r="AL417" i="60"/>
  <c r="BM216" i="60"/>
  <c r="BG216" i="60" s="1"/>
  <c r="AL292" i="60"/>
  <c r="AL320" i="60"/>
  <c r="AL451" i="60"/>
  <c r="BM485" i="60"/>
  <c r="BG485" i="60" s="1"/>
  <c r="AL439" i="60"/>
  <c r="BM299" i="60"/>
  <c r="BG299" i="60" s="1"/>
  <c r="AL180" i="60"/>
  <c r="BM521" i="60"/>
  <c r="BG521" i="60" s="1"/>
  <c r="BM42" i="60"/>
  <c r="BG42" i="60" s="1"/>
  <c r="BM373" i="60"/>
  <c r="BG373" i="60" s="1"/>
  <c r="AL468" i="60"/>
  <c r="BM468" i="60"/>
  <c r="BG468" i="60" s="1"/>
  <c r="AL447" i="60"/>
  <c r="AL332" i="60"/>
  <c r="AL469" i="60"/>
  <c r="BM469" i="60"/>
  <c r="BG469" i="60" s="1"/>
  <c r="BM168" i="60"/>
  <c r="BG168" i="60" s="1"/>
  <c r="BM132" i="60"/>
  <c r="BG132" i="60" s="1"/>
  <c r="BM441" i="60"/>
  <c r="BG441" i="60" s="1"/>
  <c r="AL490" i="60"/>
  <c r="AL487" i="60"/>
  <c r="BM40" i="60"/>
  <c r="BG40" i="60" s="1"/>
  <c r="AL405" i="60"/>
  <c r="AL489" i="60"/>
  <c r="AL173" i="60"/>
  <c r="BM353" i="60"/>
  <c r="BG353" i="60" s="1"/>
  <c r="AL466" i="60"/>
  <c r="BM411" i="60"/>
  <c r="BG411" i="60" s="1"/>
  <c r="BM187" i="60"/>
  <c r="BG187" i="60" s="1"/>
  <c r="BM545" i="60"/>
  <c r="BG545" i="60" s="1"/>
  <c r="BM509" i="60"/>
  <c r="BG509" i="60" s="1"/>
  <c r="BM119" i="60"/>
  <c r="BG119" i="60" s="1"/>
  <c r="BM39" i="60"/>
  <c r="BG39" i="60" s="1"/>
  <c r="AL99" i="60"/>
  <c r="AL309" i="60"/>
  <c r="BM309" i="60"/>
  <c r="BG309" i="60" s="1"/>
  <c r="BM203" i="60"/>
  <c r="BG203" i="60" s="1"/>
  <c r="AL418" i="60"/>
  <c r="AL279" i="60"/>
  <c r="BM107" i="60"/>
  <c r="BG107" i="60" s="1"/>
  <c r="BM522" i="60"/>
  <c r="BG522" i="60" s="1"/>
  <c r="AL533" i="60"/>
  <c r="AL339" i="60"/>
  <c r="BM365" i="60"/>
  <c r="BG365" i="60" s="1"/>
  <c r="AL315" i="60"/>
  <c r="BM416" i="60"/>
  <c r="BG416" i="60" s="1"/>
  <c r="AL102" i="60"/>
  <c r="BM102" i="60"/>
  <c r="BG102" i="60" s="1"/>
  <c r="BM117" i="60"/>
  <c r="BG117" i="60" s="1"/>
  <c r="BM303" i="60"/>
  <c r="BG303" i="60" s="1"/>
  <c r="BM475" i="60"/>
  <c r="BG475" i="60" s="1"/>
  <c r="AL159" i="60"/>
  <c r="BM108" i="60"/>
  <c r="BG108" i="60" s="1"/>
  <c r="AL108" i="60"/>
  <c r="BM550" i="60"/>
  <c r="BG550" i="60" s="1"/>
  <c r="AL550" i="60"/>
  <c r="AL175" i="60"/>
  <c r="AL403" i="60"/>
  <c r="AL374" i="60"/>
  <c r="BM115" i="60"/>
  <c r="BG115" i="60" s="1"/>
  <c r="AL426" i="60"/>
  <c r="BM211" i="60"/>
  <c r="BG211" i="60" s="1"/>
  <c r="AL211" i="60"/>
  <c r="AL275" i="60"/>
  <c r="BM547" i="60"/>
  <c r="BG547" i="60" s="1"/>
  <c r="AL547" i="60"/>
  <c r="BM54" i="60"/>
  <c r="BG54" i="60" s="1"/>
  <c r="BM23" i="60"/>
  <c r="BG23" i="60" s="1"/>
  <c r="AL527" i="60"/>
  <c r="AL500" i="60"/>
  <c r="BM181" i="60"/>
  <c r="BG181" i="60" s="1"/>
  <c r="AL112" i="60"/>
  <c r="AL531" i="60"/>
  <c r="AL401" i="60"/>
  <c r="BM401" i="60"/>
  <c r="BG401" i="60" s="1"/>
  <c r="AL318" i="60"/>
  <c r="BM317" i="60"/>
  <c r="BG317" i="60" s="1"/>
  <c r="BM427" i="60"/>
  <c r="BG427" i="60" s="1"/>
  <c r="BM59" i="60"/>
  <c r="BG59" i="60" s="1"/>
  <c r="BM415" i="60"/>
  <c r="BG415" i="60" s="1"/>
  <c r="AL538" i="60"/>
  <c r="BM323" i="60"/>
  <c r="BG323" i="60" s="1"/>
  <c r="AL384" i="60"/>
  <c r="BM384" i="60"/>
  <c r="BG384" i="60" s="1"/>
  <c r="BM100" i="60"/>
  <c r="BG100" i="60" s="1"/>
  <c r="AL501" i="60"/>
  <c r="BK801" i="54"/>
  <c r="AJ804" i="54"/>
  <c r="AI810" i="54" s="1"/>
  <c r="AM806" i="54"/>
  <c r="AM810" i="54" s="1"/>
  <c r="O804" i="54"/>
  <c r="N810" i="54" s="1"/>
  <c r="U803" i="54"/>
  <c r="BE804" i="54"/>
  <c r="BD810" i="54" s="1"/>
  <c r="BG810" i="54"/>
  <c r="BD804" i="54" s="1"/>
  <c r="BH806" i="54"/>
  <c r="U805" i="54"/>
  <c r="U799" i="54"/>
  <c r="AP805" i="54"/>
  <c r="R807" i="54"/>
  <c r="R810" i="54" s="1"/>
  <c r="BK805" i="54"/>
  <c r="AP803" i="54"/>
  <c r="AP801" i="54"/>
  <c r="L504" i="54"/>
  <c r="BH808" i="54"/>
  <c r="Q810" i="54"/>
  <c r="N804" i="54" s="1"/>
  <c r="AL810" i="54"/>
  <c r="AI804" i="54" s="1"/>
  <c r="D127" i="54"/>
  <c r="D86" i="54"/>
  <c r="T81" i="54"/>
  <c r="AO84" i="54"/>
  <c r="X85" i="54"/>
  <c r="E82" i="54"/>
  <c r="D82" i="54"/>
  <c r="D84" i="54"/>
  <c r="AT84" i="54"/>
  <c r="AT80" i="54"/>
  <c r="BJ82" i="54"/>
  <c r="BH81" i="54"/>
  <c r="Y83" i="54"/>
  <c r="AO82" i="54"/>
  <c r="AM80" i="54"/>
  <c r="AO86" i="54"/>
  <c r="AT296" i="54"/>
  <c r="BJ84" i="54"/>
  <c r="Y194" i="54"/>
  <c r="BJ85" i="54"/>
  <c r="AO210" i="54"/>
  <c r="E84" i="54"/>
  <c r="Y82" i="54"/>
  <c r="X83" i="54"/>
  <c r="BH85" i="54"/>
  <c r="AM84" i="54"/>
  <c r="AM82" i="54"/>
  <c r="AO80" i="54"/>
  <c r="T86" i="54"/>
  <c r="BH83" i="54"/>
  <c r="BJ81" i="54"/>
  <c r="E85" i="54"/>
  <c r="BJ83" i="54"/>
  <c r="E81" i="54"/>
  <c r="Y80" i="54"/>
  <c r="AM85" i="54"/>
  <c r="BH86" i="54"/>
  <c r="AO85" i="54"/>
  <c r="T84" i="54"/>
  <c r="T80" i="54"/>
  <c r="BJ86" i="54"/>
  <c r="AO81" i="54"/>
  <c r="BJ80" i="54"/>
  <c r="E86" i="54"/>
  <c r="AO83" i="54"/>
  <c r="D277" i="54"/>
  <c r="D273" i="54"/>
  <c r="R85" i="54"/>
  <c r="R81" i="54"/>
  <c r="R82" i="54"/>
  <c r="R83" i="54"/>
  <c r="R80" i="54"/>
  <c r="T83" i="54"/>
  <c r="R84" i="54"/>
  <c r="F80" i="54"/>
  <c r="F83" i="54"/>
  <c r="F86" i="54"/>
  <c r="F81" i="54"/>
  <c r="F84" i="54"/>
  <c r="F85" i="54"/>
  <c r="R86" i="54"/>
  <c r="C80" i="54"/>
  <c r="C86" i="54"/>
  <c r="C81" i="54"/>
  <c r="C84" i="54"/>
  <c r="C82" i="54"/>
  <c r="D128" i="54"/>
  <c r="D163" i="54"/>
  <c r="F82" i="54"/>
  <c r="BH286" i="54"/>
  <c r="AU86" i="54"/>
  <c r="AU82" i="54"/>
  <c r="AU85" i="54"/>
  <c r="AU81" i="54"/>
  <c r="AU80" i="54"/>
  <c r="AU83" i="54"/>
  <c r="AU84" i="54"/>
  <c r="AS84" i="54"/>
  <c r="AS82" i="54"/>
  <c r="AS85" i="54"/>
  <c r="AS81" i="54"/>
  <c r="AS80" i="54"/>
  <c r="AS83" i="54"/>
  <c r="AS86" i="54"/>
  <c r="AV87" i="54"/>
  <c r="AV85" i="54"/>
  <c r="AV86" i="54"/>
  <c r="AV82" i="54"/>
  <c r="AV81" i="54"/>
  <c r="AV80" i="54"/>
  <c r="AV83" i="54"/>
  <c r="AV84" i="54"/>
  <c r="C85" i="54"/>
  <c r="Z82" i="54"/>
  <c r="Y86" i="54"/>
  <c r="Y81" i="54"/>
  <c r="Y84" i="54"/>
  <c r="X86" i="54"/>
  <c r="X82" i="54"/>
  <c r="X81" i="54"/>
  <c r="X84" i="54"/>
  <c r="AT81" i="54"/>
  <c r="Z80" i="54"/>
  <c r="Z85" i="54"/>
  <c r="Z83" i="54"/>
  <c r="Z86" i="54"/>
  <c r="Z81" i="54"/>
  <c r="Z84" i="54"/>
  <c r="AT86" i="54"/>
  <c r="AT82" i="54"/>
  <c r="AT85" i="54"/>
  <c r="AM81" i="54"/>
  <c r="AM86" i="54"/>
  <c r="T82" i="54"/>
  <c r="T85" i="54"/>
  <c r="BH82" i="54"/>
  <c r="BH84" i="54"/>
  <c r="D85" i="54"/>
  <c r="E83" i="54"/>
  <c r="D83" i="54"/>
  <c r="D80" i="54"/>
  <c r="AU296" i="54"/>
  <c r="BJ294" i="54"/>
  <c r="D169" i="54"/>
  <c r="Y238" i="54"/>
  <c r="AV30" i="54"/>
  <c r="T197" i="54"/>
  <c r="AV33" i="54"/>
  <c r="E77" i="54"/>
  <c r="AU233" i="54"/>
  <c r="BH281" i="54"/>
  <c r="D129" i="54"/>
  <c r="D131" i="54"/>
  <c r="T201" i="54"/>
  <c r="BJ296" i="54"/>
  <c r="AO144" i="54"/>
  <c r="Z291" i="54"/>
  <c r="AO139" i="54"/>
  <c r="AO137" i="54"/>
  <c r="Y69" i="54"/>
  <c r="Z69" i="54"/>
  <c r="Y213" i="54"/>
  <c r="X185" i="54"/>
  <c r="Y185" i="54"/>
  <c r="D125" i="54"/>
  <c r="Y191" i="54"/>
  <c r="AO204" i="54"/>
  <c r="T31" i="54"/>
  <c r="AO143" i="54"/>
  <c r="AM143" i="54"/>
  <c r="Z78" i="54"/>
  <c r="D124" i="54"/>
  <c r="AV34" i="54"/>
  <c r="D126" i="54"/>
  <c r="BJ200" i="54"/>
  <c r="E142" i="54"/>
  <c r="E159" i="54"/>
  <c r="BH304" i="54"/>
  <c r="AU291" i="54"/>
  <c r="T32" i="54"/>
  <c r="E129" i="54"/>
  <c r="E136" i="54"/>
  <c r="T194" i="54"/>
  <c r="T33" i="54"/>
  <c r="E133" i="54"/>
  <c r="Y70" i="54"/>
  <c r="T196" i="54"/>
  <c r="AU235" i="54"/>
  <c r="Z231" i="54"/>
  <c r="Z185" i="54"/>
  <c r="AU187" i="54"/>
  <c r="Z189" i="54"/>
  <c r="E128" i="54"/>
  <c r="BJ289" i="54"/>
  <c r="E127" i="54"/>
  <c r="AU210" i="54"/>
  <c r="BJ304" i="54"/>
  <c r="AV24" i="54"/>
  <c r="Z70" i="54"/>
  <c r="R196" i="54"/>
  <c r="BJ280" i="54"/>
  <c r="T137" i="54"/>
  <c r="Z194" i="54"/>
  <c r="AU201" i="54"/>
  <c r="BJ281" i="54"/>
  <c r="E320" i="54"/>
  <c r="F135" i="54"/>
  <c r="F129" i="54"/>
  <c r="F159" i="54"/>
  <c r="F141" i="54"/>
  <c r="F133" i="54"/>
  <c r="F137" i="54"/>
  <c r="F124" i="54"/>
  <c r="Z138" i="54"/>
  <c r="Z133" i="54"/>
  <c r="Z136" i="54"/>
  <c r="Z173" i="54"/>
  <c r="AM79" i="54"/>
  <c r="D120" i="54"/>
  <c r="D73" i="54"/>
  <c r="D74" i="54"/>
  <c r="D48" i="54"/>
  <c r="D30" i="54"/>
  <c r="D40" i="54"/>
  <c r="E273" i="54"/>
  <c r="R295" i="54"/>
  <c r="R287" i="54"/>
  <c r="E277" i="54"/>
  <c r="BJ79" i="54"/>
  <c r="F136" i="54"/>
  <c r="D188" i="54"/>
  <c r="D244" i="54"/>
  <c r="AM279" i="54"/>
  <c r="AM293" i="54"/>
  <c r="T292" i="54"/>
  <c r="BH295" i="54"/>
  <c r="E286" i="54"/>
  <c r="C132" i="54"/>
  <c r="C129" i="54"/>
  <c r="C127" i="54"/>
  <c r="F140" i="54"/>
  <c r="F127" i="54"/>
  <c r="K127" i="54"/>
  <c r="AT131" i="54"/>
  <c r="AT135" i="54"/>
  <c r="F157" i="54"/>
  <c r="AM207" i="54"/>
  <c r="AM204" i="54"/>
  <c r="E204" i="54"/>
  <c r="BH299" i="54"/>
  <c r="BH285" i="54"/>
  <c r="BH284" i="54"/>
  <c r="E359" i="54"/>
  <c r="E74" i="54"/>
  <c r="E73" i="54"/>
  <c r="F151" i="54"/>
  <c r="F170" i="54"/>
  <c r="C168" i="54"/>
  <c r="F87" i="54"/>
  <c r="BH199" i="54"/>
  <c r="D77" i="54"/>
  <c r="C255" i="54"/>
  <c r="C244" i="54"/>
  <c r="C204" i="54"/>
  <c r="C206" i="54"/>
  <c r="C188" i="54"/>
  <c r="D278" i="54"/>
  <c r="D293" i="54"/>
  <c r="D284" i="54"/>
  <c r="D272" i="54"/>
  <c r="D290" i="54"/>
  <c r="D269" i="54"/>
  <c r="AO290" i="54"/>
  <c r="BJ290" i="54"/>
  <c r="BJ284" i="54"/>
  <c r="BJ299" i="54"/>
  <c r="AU135" i="54"/>
  <c r="BJ31" i="54"/>
  <c r="Z73" i="54"/>
  <c r="BJ301" i="54"/>
  <c r="BJ283" i="54"/>
  <c r="AO87" i="54"/>
  <c r="AO32" i="54"/>
  <c r="Y73" i="54"/>
  <c r="AO140" i="54"/>
  <c r="BJ285" i="54"/>
  <c r="D135" i="54"/>
  <c r="AO136" i="54"/>
  <c r="X217" i="54"/>
  <c r="AO88" i="54"/>
  <c r="BA127" i="54"/>
  <c r="AS146" i="54"/>
  <c r="AU160" i="54"/>
  <c r="Z187" i="54"/>
  <c r="BJ308" i="54"/>
  <c r="X22" i="54"/>
  <c r="AO286" i="54"/>
  <c r="BJ298" i="54"/>
  <c r="BJ212" i="54"/>
  <c r="AU208" i="54"/>
  <c r="BJ300" i="54"/>
  <c r="E150" i="54"/>
  <c r="AU196" i="54"/>
  <c r="BJ208" i="54"/>
  <c r="AU217" i="54"/>
  <c r="BJ293" i="54"/>
  <c r="AU104" i="54"/>
  <c r="C356" i="54"/>
  <c r="C290" i="54"/>
  <c r="F275" i="54"/>
  <c r="F272" i="54" s="1"/>
  <c r="K272" i="54"/>
  <c r="X104" i="54"/>
  <c r="X106" i="54"/>
  <c r="X74" i="54"/>
  <c r="X70" i="54"/>
  <c r="X72" i="54"/>
  <c r="AA23" i="54"/>
  <c r="AA25" i="54"/>
  <c r="AA28" i="54"/>
  <c r="AT111" i="54"/>
  <c r="AT74" i="54"/>
  <c r="AT78" i="54"/>
  <c r="AT69" i="54"/>
  <c r="AT70" i="54"/>
  <c r="AU76" i="54"/>
  <c r="AU74" i="54"/>
  <c r="AU113" i="54"/>
  <c r="AU97" i="54"/>
  <c r="AU70" i="54"/>
  <c r="AA22" i="54"/>
  <c r="Y158" i="54"/>
  <c r="Y124" i="54"/>
  <c r="X278" i="54"/>
  <c r="X295" i="54"/>
  <c r="X289" i="54"/>
  <c r="Y258" i="54"/>
  <c r="Y187" i="54"/>
  <c r="Y197" i="54"/>
  <c r="Y186" i="54"/>
  <c r="Y193" i="54"/>
  <c r="Y234" i="54"/>
  <c r="AT300" i="54"/>
  <c r="AT293" i="54"/>
  <c r="AT270" i="54"/>
  <c r="AT354" i="54"/>
  <c r="AT274" i="54"/>
  <c r="AT269" i="54"/>
  <c r="AT287" i="54"/>
  <c r="Z266" i="54"/>
  <c r="Z193" i="54"/>
  <c r="Z241" i="54"/>
  <c r="Z239" i="54"/>
  <c r="Z197" i="54"/>
  <c r="Z191" i="54"/>
  <c r="X192" i="54"/>
  <c r="X197" i="54"/>
  <c r="E69" i="54"/>
  <c r="E72" i="54"/>
  <c r="E78" i="54"/>
  <c r="AS135" i="54"/>
  <c r="AS178" i="54"/>
  <c r="AF187" i="54"/>
  <c r="Z195" i="54"/>
  <c r="Z265" i="54"/>
  <c r="AV287" i="54"/>
  <c r="AV276" i="54"/>
  <c r="BJ32" i="54"/>
  <c r="F72" i="54"/>
  <c r="Z96" i="54"/>
  <c r="AT126" i="54"/>
  <c r="T207" i="54"/>
  <c r="X249" i="54"/>
  <c r="AS273" i="54"/>
  <c r="AT276" i="54"/>
  <c r="AU280" i="54"/>
  <c r="AV330" i="54"/>
  <c r="Z277" i="54"/>
  <c r="X124" i="54"/>
  <c r="D78" i="54"/>
  <c r="Y125" i="54"/>
  <c r="AS270" i="54"/>
  <c r="AS282" i="54"/>
  <c r="AS269" i="54"/>
  <c r="D25" i="54"/>
  <c r="D34" i="54"/>
  <c r="AM140" i="54"/>
  <c r="AU198" i="54"/>
  <c r="T284" i="54"/>
  <c r="K23" i="54"/>
  <c r="BJ35" i="54"/>
  <c r="K72" i="54"/>
  <c r="E98" i="54"/>
  <c r="E119" i="54"/>
  <c r="AT129" i="54"/>
  <c r="Z147" i="54"/>
  <c r="AO148" i="54"/>
  <c r="T202" i="54"/>
  <c r="X283" i="54"/>
  <c r="Z296" i="54"/>
  <c r="Z128" i="54"/>
  <c r="X150" i="54"/>
  <c r="Z258" i="54"/>
  <c r="AU300" i="54"/>
  <c r="AU279" i="54"/>
  <c r="AU126" i="54"/>
  <c r="AU127" i="54"/>
  <c r="Y188" i="54"/>
  <c r="AU261" i="54"/>
  <c r="AU204" i="54"/>
  <c r="AU259" i="54"/>
  <c r="AU236" i="54"/>
  <c r="AU186" i="54"/>
  <c r="AU191" i="54"/>
  <c r="AU185" i="54"/>
  <c r="Y30" i="54"/>
  <c r="Y27" i="54"/>
  <c r="Y79" i="54"/>
  <c r="Y71" i="54"/>
  <c r="AU129" i="54"/>
  <c r="AU131" i="54"/>
  <c r="Z184" i="54"/>
  <c r="X189" i="54"/>
  <c r="Z201" i="54"/>
  <c r="R202" i="54"/>
  <c r="Y251" i="54"/>
  <c r="AU278" i="54"/>
  <c r="AS300" i="54"/>
  <c r="Z124" i="54"/>
  <c r="Z132" i="54"/>
  <c r="Z175" i="54"/>
  <c r="Z286" i="54"/>
  <c r="X125" i="54"/>
  <c r="AT161" i="54"/>
  <c r="AT165" i="54"/>
  <c r="AT132" i="54"/>
  <c r="AT162" i="54"/>
  <c r="AT127" i="54"/>
  <c r="AT148" i="54"/>
  <c r="AT146" i="54"/>
  <c r="Y145" i="54"/>
  <c r="BH30" i="54"/>
  <c r="BH34" i="54"/>
  <c r="D117" i="54"/>
  <c r="D76" i="54"/>
  <c r="D72" i="54"/>
  <c r="D101" i="54"/>
  <c r="D71" i="54"/>
  <c r="Y195" i="54"/>
  <c r="AM134" i="54"/>
  <c r="AM138" i="54"/>
  <c r="AV339" i="54"/>
  <c r="Z24" i="54"/>
  <c r="Z27" i="54"/>
  <c r="BH33" i="54"/>
  <c r="Z104" i="54"/>
  <c r="Z106" i="54"/>
  <c r="Z111" i="54"/>
  <c r="L103" i="54"/>
  <c r="L116" i="54" s="1"/>
  <c r="L117" i="54" s="1"/>
  <c r="AT140" i="54"/>
  <c r="Y189" i="54"/>
  <c r="AU199" i="54"/>
  <c r="AO134" i="54"/>
  <c r="T198" i="54"/>
  <c r="AO293" i="54"/>
  <c r="BJ34" i="54"/>
  <c r="AG103" i="54"/>
  <c r="D132" i="54"/>
  <c r="BA72" i="54"/>
  <c r="AO138" i="54"/>
  <c r="AO201" i="54"/>
  <c r="D210" i="54"/>
  <c r="T203" i="54"/>
  <c r="BJ30" i="54"/>
  <c r="D180" i="54"/>
  <c r="BJ282" i="54"/>
  <c r="E287" i="54"/>
  <c r="D133" i="54"/>
  <c r="E181" i="54"/>
  <c r="BJ279" i="54"/>
  <c r="E292" i="54"/>
  <c r="E297" i="54"/>
  <c r="C113" i="54"/>
  <c r="C96" i="54"/>
  <c r="C117" i="54"/>
  <c r="C121" i="54"/>
  <c r="C99" i="54"/>
  <c r="C79" i="54"/>
  <c r="C91" i="54"/>
  <c r="C74" i="54"/>
  <c r="C69" i="54"/>
  <c r="C118" i="54"/>
  <c r="C110" i="54"/>
  <c r="C73" i="54"/>
  <c r="C102" i="54"/>
  <c r="C77" i="54"/>
  <c r="C72" i="54"/>
  <c r="C90" i="54"/>
  <c r="C103" i="54"/>
  <c r="AS30" i="54"/>
  <c r="AS33" i="54"/>
  <c r="AS28" i="54"/>
  <c r="AS25" i="54"/>
  <c r="AS23" i="54"/>
  <c r="AS31" i="54"/>
  <c r="AS29" i="54"/>
  <c r="AS22" i="54"/>
  <c r="AS32" i="54"/>
  <c r="F189" i="54"/>
  <c r="F231" i="54"/>
  <c r="F214" i="54"/>
  <c r="F199" i="54"/>
  <c r="F202" i="54"/>
  <c r="F191" i="54"/>
  <c r="F198" i="54"/>
  <c r="F244" i="54"/>
  <c r="F228" i="54"/>
  <c r="F185" i="54"/>
  <c r="F204" i="54"/>
  <c r="F194" i="54"/>
  <c r="F187" i="54"/>
  <c r="F210" i="54"/>
  <c r="F188" i="54"/>
  <c r="F184" i="54"/>
  <c r="F206" i="54"/>
  <c r="F251" i="54"/>
  <c r="F192" i="54"/>
  <c r="AT28" i="54"/>
  <c r="AT25" i="54"/>
  <c r="AF72" i="54"/>
  <c r="AA75" i="54"/>
  <c r="AA114" i="54" s="1"/>
  <c r="AS205" i="54"/>
  <c r="AS257" i="54"/>
  <c r="AS192" i="54"/>
  <c r="AS197" i="54"/>
  <c r="AS206" i="54"/>
  <c r="AS234" i="54"/>
  <c r="R31" i="54"/>
  <c r="AS79" i="54"/>
  <c r="BJ142" i="54"/>
  <c r="AM203" i="54"/>
  <c r="AM196" i="54"/>
  <c r="AM200" i="54"/>
  <c r="AM205" i="54"/>
  <c r="AM208" i="54"/>
  <c r="AM201" i="54"/>
  <c r="AO209" i="54"/>
  <c r="BH136" i="54"/>
  <c r="AT22" i="54"/>
  <c r="D46" i="54"/>
  <c r="D37" i="54"/>
  <c r="D31" i="54"/>
  <c r="D21" i="54"/>
  <c r="D20" i="54"/>
  <c r="D47" i="54"/>
  <c r="D33" i="54"/>
  <c r="D27" i="54"/>
  <c r="D23" i="54"/>
  <c r="D32" i="54"/>
  <c r="E187" i="54"/>
  <c r="E233" i="54"/>
  <c r="E231" i="54"/>
  <c r="E225" i="54"/>
  <c r="E195" i="54"/>
  <c r="E252" i="54"/>
  <c r="E265" i="54"/>
  <c r="E199" i="54"/>
  <c r="AG228" i="54"/>
  <c r="AU33" i="54"/>
  <c r="AU32" i="54"/>
  <c r="AU22" i="54"/>
  <c r="AU24" i="54"/>
  <c r="AV198" i="54"/>
  <c r="R290" i="54"/>
  <c r="R303" i="54"/>
  <c r="R308" i="54"/>
  <c r="R307" i="54"/>
  <c r="R301" i="54"/>
  <c r="R281" i="54"/>
  <c r="R293" i="54"/>
  <c r="R296" i="54"/>
  <c r="R300" i="54"/>
  <c r="AM280" i="54"/>
  <c r="AM283" i="54"/>
  <c r="AM285" i="54"/>
  <c r="AM288" i="54"/>
  <c r="AV120" i="54"/>
  <c r="AS186" i="54"/>
  <c r="AO298" i="54"/>
  <c r="AT30" i="54"/>
  <c r="BH142" i="54"/>
  <c r="AG163" i="54"/>
  <c r="AM290" i="54"/>
  <c r="F90" i="54"/>
  <c r="BB163" i="54"/>
  <c r="AM198" i="54"/>
  <c r="AO206" i="54"/>
  <c r="T288" i="54"/>
  <c r="D29" i="54"/>
  <c r="AT32" i="54"/>
  <c r="T34" i="54"/>
  <c r="D113" i="54"/>
  <c r="D96" i="54"/>
  <c r="D89" i="54"/>
  <c r="D121" i="54"/>
  <c r="D110" i="54"/>
  <c r="D119" i="54"/>
  <c r="D87" i="54"/>
  <c r="AV76" i="54"/>
  <c r="Z79" i="54"/>
  <c r="AO195" i="54"/>
  <c r="AT20" i="54"/>
  <c r="Y270" i="54"/>
  <c r="Y284" i="54"/>
  <c r="Y346" i="54"/>
  <c r="Y348" i="54"/>
  <c r="R35" i="54"/>
  <c r="F119" i="54"/>
  <c r="AO199" i="54"/>
  <c r="T286" i="54"/>
  <c r="AA24" i="54"/>
  <c r="AA21" i="54"/>
  <c r="AA33" i="54"/>
  <c r="AA30" i="54"/>
  <c r="AM199" i="54"/>
  <c r="X27" i="54"/>
  <c r="AT63" i="54"/>
  <c r="Y116" i="54"/>
  <c r="Y121" i="54"/>
  <c r="Y115" i="54"/>
  <c r="Y99" i="54"/>
  <c r="Y117" i="54"/>
  <c r="Y109" i="54"/>
  <c r="Y101" i="54"/>
  <c r="Y77" i="54"/>
  <c r="Y114" i="54"/>
  <c r="Y98" i="54"/>
  <c r="Y72" i="54"/>
  <c r="Y112" i="54"/>
  <c r="Y74" i="54"/>
  <c r="AS120" i="54"/>
  <c r="BJ140" i="54"/>
  <c r="BJ145" i="54"/>
  <c r="E255" i="54"/>
  <c r="BJ136" i="54"/>
  <c r="AO287" i="54"/>
  <c r="T289" i="54"/>
  <c r="AT29" i="54"/>
  <c r="F111" i="54"/>
  <c r="F107" i="54"/>
  <c r="F103" i="54"/>
  <c r="F106" i="54"/>
  <c r="F70" i="54"/>
  <c r="F77" i="54"/>
  <c r="F73" i="54"/>
  <c r="F69" i="54"/>
  <c r="F93" i="54"/>
  <c r="F98" i="54"/>
  <c r="X159" i="54"/>
  <c r="X142" i="54"/>
  <c r="X126" i="54"/>
  <c r="X131" i="54"/>
  <c r="X157" i="54"/>
  <c r="X133" i="54"/>
  <c r="X172" i="54"/>
  <c r="AT23" i="54"/>
  <c r="AU23" i="54"/>
  <c r="D24" i="54"/>
  <c r="T30" i="54"/>
  <c r="AU63" i="54"/>
  <c r="Z116" i="54"/>
  <c r="Z121" i="54"/>
  <c r="Z117" i="54"/>
  <c r="Z107" i="54"/>
  <c r="Z103" i="54"/>
  <c r="Z101" i="54"/>
  <c r="Z114" i="54"/>
  <c r="Z115" i="54"/>
  <c r="Z92" i="54"/>
  <c r="Z74" i="54"/>
  <c r="Z118" i="54"/>
  <c r="Y78" i="54"/>
  <c r="AV130" i="54"/>
  <c r="T282" i="54"/>
  <c r="F100" i="54"/>
  <c r="AM301" i="54"/>
  <c r="R32" i="54"/>
  <c r="AA34" i="54"/>
  <c r="T306" i="54"/>
  <c r="X20" i="54"/>
  <c r="AT24" i="54"/>
  <c r="BJ88" i="54"/>
  <c r="AS131" i="54"/>
  <c r="AS133" i="54"/>
  <c r="AS164" i="54"/>
  <c r="AS137" i="54"/>
  <c r="T287" i="54"/>
  <c r="AO289" i="54"/>
  <c r="AS301" i="54"/>
  <c r="AS318" i="54"/>
  <c r="AS296" i="54"/>
  <c r="AS276" i="54"/>
  <c r="AS289" i="54"/>
  <c r="AS297" i="54"/>
  <c r="AS340" i="54"/>
  <c r="AS299" i="54"/>
  <c r="AO294" i="54"/>
  <c r="T296" i="54"/>
  <c r="AO31" i="54"/>
  <c r="AO33" i="54"/>
  <c r="AU71" i="54"/>
  <c r="AU102" i="54"/>
  <c r="AT109" i="54"/>
  <c r="AU111" i="54"/>
  <c r="C150" i="54"/>
  <c r="C136" i="54"/>
  <c r="C128" i="54"/>
  <c r="C180" i="54"/>
  <c r="C179" i="54"/>
  <c r="C167" i="54"/>
  <c r="C139" i="54"/>
  <c r="C153" i="54"/>
  <c r="AV360" i="54"/>
  <c r="AV331" i="54"/>
  <c r="AV274" i="54"/>
  <c r="AV356" i="54"/>
  <c r="AV346" i="54"/>
  <c r="AV295" i="54"/>
  <c r="AV300" i="54"/>
  <c r="AV292" i="54"/>
  <c r="AV273" i="54"/>
  <c r="AV321" i="54"/>
  <c r="AV272" i="54"/>
  <c r="AV293" i="54"/>
  <c r="E326" i="54"/>
  <c r="AV271" i="54"/>
  <c r="AV277" i="54"/>
  <c r="AV284" i="54"/>
  <c r="AO285" i="54"/>
  <c r="AT88" i="54"/>
  <c r="AT76" i="54"/>
  <c r="AT71" i="54"/>
  <c r="BJ139" i="54"/>
  <c r="E301" i="54"/>
  <c r="E298" i="54"/>
  <c r="E334" i="54"/>
  <c r="E291" i="54"/>
  <c r="E288" i="54"/>
  <c r="E276" i="54"/>
  <c r="E270" i="54"/>
  <c r="E360" i="54"/>
  <c r="E274" i="54"/>
  <c r="E310" i="54"/>
  <c r="E304" i="54"/>
  <c r="E294" i="54"/>
  <c r="E279" i="54"/>
  <c r="E271" i="54"/>
  <c r="E306" i="54"/>
  <c r="E282" i="54"/>
  <c r="E269" i="54"/>
  <c r="E295" i="54"/>
  <c r="E290" i="54"/>
  <c r="E284" i="54"/>
  <c r="T290" i="54"/>
  <c r="AO292" i="54"/>
  <c r="BJ33" i="54"/>
  <c r="AU87" i="54"/>
  <c r="AU125" i="54"/>
  <c r="AU171" i="54"/>
  <c r="AU178" i="54"/>
  <c r="X263" i="54"/>
  <c r="X184" i="54"/>
  <c r="X201" i="54"/>
  <c r="X187" i="54"/>
  <c r="X214" i="54"/>
  <c r="X200" i="54"/>
  <c r="X188" i="54"/>
  <c r="E272" i="54"/>
  <c r="C280" i="54"/>
  <c r="C286" i="54"/>
  <c r="C274" i="54"/>
  <c r="E278" i="54"/>
  <c r="AO296" i="54"/>
  <c r="E89" i="54"/>
  <c r="E121" i="54"/>
  <c r="E111" i="54"/>
  <c r="E90" i="54"/>
  <c r="C210" i="54"/>
  <c r="C187" i="54"/>
  <c r="C195" i="54"/>
  <c r="AO202" i="54"/>
  <c r="AU242" i="54"/>
  <c r="AU258" i="54"/>
  <c r="D340" i="54"/>
  <c r="D286" i="54"/>
  <c r="D344" i="54"/>
  <c r="D298" i="54"/>
  <c r="D291" i="54"/>
  <c r="D297" i="54"/>
  <c r="D295" i="54"/>
  <c r="D292" i="54"/>
  <c r="D274" i="54"/>
  <c r="D360" i="54"/>
  <c r="D279" i="54"/>
  <c r="D271" i="54"/>
  <c r="T300" i="54"/>
  <c r="F132" i="54"/>
  <c r="F158" i="54"/>
  <c r="F144" i="54"/>
  <c r="F148" i="54"/>
  <c r="F126" i="54"/>
  <c r="T135" i="54"/>
  <c r="AO196" i="54"/>
  <c r="Z299" i="54"/>
  <c r="Z270" i="54"/>
  <c r="Z276" i="54"/>
  <c r="Z292" i="54"/>
  <c r="Z284" i="54"/>
  <c r="T281" i="54"/>
  <c r="T297" i="54"/>
  <c r="E110" i="54"/>
  <c r="Y177" i="54"/>
  <c r="Y175" i="54"/>
  <c r="Y132" i="54"/>
  <c r="Y129" i="54"/>
  <c r="Y139" i="54"/>
  <c r="Y135" i="54"/>
  <c r="Y157" i="54"/>
  <c r="F167" i="54"/>
  <c r="X345" i="54"/>
  <c r="T294" i="54"/>
  <c r="T305" i="54"/>
  <c r="D309" i="54"/>
  <c r="Z177" i="54"/>
  <c r="Z166" i="54"/>
  <c r="Z129" i="54"/>
  <c r="Z141" i="54"/>
  <c r="Z127" i="54"/>
  <c r="Z125" i="54"/>
  <c r="Z139" i="54"/>
  <c r="Z135" i="54"/>
  <c r="Z126" i="54"/>
  <c r="Z131" i="54"/>
  <c r="R210" i="54"/>
  <c r="AU255" i="54"/>
  <c r="AU202" i="54"/>
  <c r="AU192" i="54"/>
  <c r="AU207" i="54"/>
  <c r="AU197" i="54"/>
  <c r="AU188" i="54"/>
  <c r="AU230" i="54"/>
  <c r="AU213" i="54"/>
  <c r="AU206" i="54"/>
  <c r="AU184" i="54"/>
  <c r="AU266" i="54"/>
  <c r="AU260" i="54"/>
  <c r="AU257" i="54"/>
  <c r="AU203" i="54"/>
  <c r="AU241" i="54"/>
  <c r="AU195" i="54"/>
  <c r="AU189" i="54"/>
  <c r="AO197" i="54"/>
  <c r="AU205" i="54"/>
  <c r="BA272" i="54"/>
  <c r="E144" i="54"/>
  <c r="BA187" i="54"/>
  <c r="AO212" i="54"/>
  <c r="D218" i="54"/>
  <c r="T299" i="54"/>
  <c r="D136" i="54"/>
  <c r="D168" i="54"/>
  <c r="D138" i="54"/>
  <c r="D134" i="54"/>
  <c r="BH195" i="54"/>
  <c r="D195" i="54"/>
  <c r="AO213" i="54"/>
  <c r="AT289" i="54"/>
  <c r="AT281" i="54"/>
  <c r="AT272" i="54"/>
  <c r="AT304" i="54"/>
  <c r="AT352" i="54"/>
  <c r="AT297" i="54"/>
  <c r="E180" i="54"/>
  <c r="E132" i="54"/>
  <c r="E134" i="54"/>
  <c r="T138" i="54"/>
  <c r="AO200" i="54"/>
  <c r="AT271" i="54"/>
  <c r="AU289" i="54"/>
  <c r="AU281" i="54"/>
  <c r="AU272" i="54"/>
  <c r="AU274" i="54"/>
  <c r="T291" i="54"/>
  <c r="AU313" i="54"/>
  <c r="D150" i="54"/>
  <c r="D187" i="54"/>
  <c r="D197" i="54"/>
  <c r="BJ199" i="54"/>
  <c r="AO207" i="54"/>
  <c r="D233" i="54"/>
  <c r="AU271" i="54"/>
  <c r="AF127" i="54"/>
  <c r="AM139" i="54"/>
  <c r="BJ143" i="54"/>
  <c r="Z188" i="54"/>
  <c r="Y192" i="54"/>
  <c r="Y200" i="54"/>
  <c r="Z211" i="54"/>
  <c r="Y223" i="54"/>
  <c r="BH280" i="54"/>
  <c r="T285" i="54"/>
  <c r="BJ288" i="54"/>
  <c r="AO299" i="54"/>
  <c r="BJ138" i="54"/>
  <c r="BJ147" i="54"/>
  <c r="T195" i="54"/>
  <c r="AO203" i="54"/>
  <c r="Z223" i="54"/>
  <c r="T279" i="54"/>
  <c r="T280" i="54"/>
  <c r="T283" i="54"/>
  <c r="AT136" i="54"/>
  <c r="Y184" i="54"/>
  <c r="AO198" i="54"/>
  <c r="BJ204" i="54"/>
  <c r="AO205" i="54"/>
  <c r="AO208" i="54"/>
  <c r="Z263" i="54"/>
  <c r="BJ286" i="54"/>
  <c r="BJ291" i="54"/>
  <c r="T293" i="54"/>
  <c r="AA356" i="54"/>
  <c r="AA340" i="54"/>
  <c r="AA330" i="54"/>
  <c r="AA322" i="54"/>
  <c r="AA345" i="54"/>
  <c r="AA344" i="54"/>
  <c r="AA329" i="54"/>
  <c r="AA321" i="54"/>
  <c r="AA316" i="54"/>
  <c r="AA360" i="54"/>
  <c r="AA350" i="54"/>
  <c r="AA310" i="54"/>
  <c r="AA327" i="54"/>
  <c r="AA319" i="54"/>
  <c r="AA317" i="54"/>
  <c r="AA361" i="54"/>
  <c r="AA347" i="54"/>
  <c r="AA343" i="54"/>
  <c r="AA311" i="54"/>
  <c r="AA348" i="54"/>
  <c r="AA307" i="54"/>
  <c r="AA331" i="54"/>
  <c r="AA303" i="54"/>
  <c r="AA299" i="54"/>
  <c r="AA332" i="54"/>
  <c r="AA318" i="54"/>
  <c r="AA300" i="54"/>
  <c r="AA333" i="54"/>
  <c r="AA328" i="54"/>
  <c r="AA313" i="54"/>
  <c r="AA355" i="54"/>
  <c r="AA354" i="54"/>
  <c r="AA336" i="54"/>
  <c r="AA352" i="54"/>
  <c r="AA320" i="54"/>
  <c r="AA309" i="54"/>
  <c r="AA289" i="54"/>
  <c r="AA280" i="54"/>
  <c r="AA358" i="54"/>
  <c r="AA325" i="54"/>
  <c r="AA312" i="54"/>
  <c r="AA326" i="54"/>
  <c r="AA308" i="54"/>
  <c r="AA346" i="54"/>
  <c r="AA359" i="54"/>
  <c r="AA301" i="54"/>
  <c r="AA293" i="54"/>
  <c r="AA290" i="54"/>
  <c r="AA274" i="54"/>
  <c r="AA273" i="54"/>
  <c r="AA272" i="54"/>
  <c r="AA349" i="54"/>
  <c r="AA335" i="54"/>
  <c r="AA281" i="54"/>
  <c r="AA297" i="54"/>
  <c r="AA283" i="54"/>
  <c r="AA278" i="54"/>
  <c r="AA296" i="54"/>
  <c r="AA292" i="54"/>
  <c r="AA357" i="54"/>
  <c r="AA323" i="54"/>
  <c r="AA285" i="54"/>
  <c r="AA341" i="54"/>
  <c r="AA287" i="54"/>
  <c r="AA304" i="54"/>
  <c r="AA295" i="54"/>
  <c r="AA334" i="54"/>
  <c r="AA324" i="54"/>
  <c r="AA305" i="54"/>
  <c r="AA294" i="54"/>
  <c r="AA288" i="54"/>
  <c r="AA298" i="54"/>
  <c r="AA277" i="54"/>
  <c r="AA271" i="54"/>
  <c r="AA302" i="54"/>
  <c r="AA279" i="54"/>
  <c r="AA269" i="54"/>
  <c r="AA306" i="54"/>
  <c r="AA338" i="54"/>
  <c r="AA351" i="54"/>
  <c r="AA276" i="54"/>
  <c r="AA291" i="54"/>
  <c r="AA353" i="54"/>
  <c r="AA282" i="54"/>
  <c r="AA339" i="54"/>
  <c r="AA270" i="54"/>
  <c r="AA284" i="54"/>
  <c r="AA342" i="54"/>
  <c r="AA337" i="54"/>
  <c r="AA286" i="54"/>
  <c r="AO281" i="54"/>
  <c r="Z342" i="54"/>
  <c r="C272" i="54"/>
  <c r="Y276" i="54"/>
  <c r="AO280" i="54"/>
  <c r="X284" i="54"/>
  <c r="AO297" i="54"/>
  <c r="Q309" i="54"/>
  <c r="C335" i="54"/>
  <c r="C306" i="54"/>
  <c r="C347" i="54"/>
  <c r="C343" i="54"/>
  <c r="C334" i="54"/>
  <c r="C326" i="54"/>
  <c r="C318" i="54"/>
  <c r="C358" i="54"/>
  <c r="C349" i="54"/>
  <c r="C312" i="54"/>
  <c r="C352" i="54"/>
  <c r="C342" i="54"/>
  <c r="C333" i="54"/>
  <c r="C325" i="54"/>
  <c r="C359" i="54"/>
  <c r="C346" i="54"/>
  <c r="C313" i="54"/>
  <c r="C348" i="54"/>
  <c r="C331" i="54"/>
  <c r="C323" i="54"/>
  <c r="C303" i="54"/>
  <c r="C350" i="54"/>
  <c r="C328" i="54"/>
  <c r="C320" i="54"/>
  <c r="C317" i="54"/>
  <c r="C360" i="54"/>
  <c r="C330" i="54"/>
  <c r="C293" i="54"/>
  <c r="C351" i="54"/>
  <c r="C345" i="54"/>
  <c r="C299" i="54"/>
  <c r="C354" i="54"/>
  <c r="C353" i="54"/>
  <c r="C321" i="54"/>
  <c r="C305" i="54"/>
  <c r="C294" i="54"/>
  <c r="C316" i="54"/>
  <c r="C302" i="54"/>
  <c r="C324" i="54"/>
  <c r="C310" i="54"/>
  <c r="C355" i="54"/>
  <c r="C322" i="54"/>
  <c r="C304" i="54"/>
  <c r="C285" i="54"/>
  <c r="C309" i="54"/>
  <c r="C337" i="54"/>
  <c r="C311" i="54"/>
  <c r="C357" i="54"/>
  <c r="C344" i="54"/>
  <c r="C329" i="54"/>
  <c r="C338" i="54"/>
  <c r="C297" i="54"/>
  <c r="C269" i="54"/>
  <c r="C308" i="54"/>
  <c r="C296" i="54"/>
  <c r="C276" i="54"/>
  <c r="C270" i="54"/>
  <c r="C339" i="54"/>
  <c r="C300" i="54"/>
  <c r="C287" i="54"/>
  <c r="C283" i="54"/>
  <c r="C281" i="54"/>
  <c r="C340" i="54"/>
  <c r="C327" i="54"/>
  <c r="C361" i="54"/>
  <c r="C319" i="54"/>
  <c r="C273" i="54"/>
  <c r="C341" i="54"/>
  <c r="C298" i="54"/>
  <c r="C279" i="54"/>
  <c r="C301" i="54"/>
  <c r="AL309" i="54"/>
  <c r="AO279" i="54"/>
  <c r="Y351" i="54"/>
  <c r="Y331" i="54"/>
  <c r="Y323" i="54"/>
  <c r="Y306" i="54"/>
  <c r="Y359" i="54"/>
  <c r="Y353" i="54"/>
  <c r="Y337" i="54"/>
  <c r="Y313" i="54"/>
  <c r="Y356" i="54"/>
  <c r="Y340" i="54"/>
  <c r="Y330" i="54"/>
  <c r="Y322" i="54"/>
  <c r="Y345" i="54"/>
  <c r="Y336" i="54"/>
  <c r="Y328" i="54"/>
  <c r="Y320" i="54"/>
  <c r="Y355" i="54"/>
  <c r="Y339" i="54"/>
  <c r="Y309" i="54"/>
  <c r="Y303" i="54"/>
  <c r="Y358" i="54"/>
  <c r="Y357" i="54"/>
  <c r="Y312" i="54"/>
  <c r="Y341" i="54"/>
  <c r="Y338" i="54"/>
  <c r="Y326" i="54"/>
  <c r="Y308" i="54"/>
  <c r="Y293" i="54"/>
  <c r="Y327" i="54"/>
  <c r="Y332" i="54"/>
  <c r="Y299" i="54"/>
  <c r="Y316" i="54"/>
  <c r="Y311" i="54"/>
  <c r="Y294" i="54"/>
  <c r="Y361" i="54"/>
  <c r="Y342" i="54"/>
  <c r="Y305" i="54"/>
  <c r="Y360" i="54"/>
  <c r="Y350" i="54"/>
  <c r="Y349" i="54"/>
  <c r="Y352" i="54"/>
  <c r="Y333" i="54"/>
  <c r="Y285" i="54"/>
  <c r="Y344" i="54"/>
  <c r="Y318" i="54"/>
  <c r="Y304" i="54"/>
  <c r="Y334" i="54"/>
  <c r="Y329" i="54"/>
  <c r="Y298" i="54"/>
  <c r="Y290" i="54"/>
  <c r="Y335" i="54"/>
  <c r="Y343" i="54"/>
  <c r="Y277" i="54"/>
  <c r="Y271" i="54"/>
  <c r="Y307" i="54"/>
  <c r="Y301" i="54"/>
  <c r="Y317" i="54"/>
  <c r="Y274" i="54"/>
  <c r="Y273" i="54"/>
  <c r="Y272" i="54"/>
  <c r="Y325" i="54"/>
  <c r="Y347" i="54"/>
  <c r="Y319" i="54"/>
  <c r="Y281" i="54"/>
  <c r="Y300" i="54"/>
  <c r="Y321" i="54"/>
  <c r="Y310" i="54"/>
  <c r="Y297" i="54"/>
  <c r="Y283" i="54"/>
  <c r="Y278" i="54"/>
  <c r="Y296" i="54"/>
  <c r="Y292" i="54"/>
  <c r="Y289" i="54"/>
  <c r="Y302" i="54"/>
  <c r="Y354" i="54"/>
  <c r="Y324" i="54"/>
  <c r="Y288" i="54"/>
  <c r="Y279" i="54"/>
  <c r="C284" i="54"/>
  <c r="Y295" i="54"/>
  <c r="X312" i="54"/>
  <c r="AF272" i="54"/>
  <c r="Z359" i="54"/>
  <c r="Z353" i="54"/>
  <c r="Z337" i="54"/>
  <c r="Z313" i="54"/>
  <c r="Z356" i="54"/>
  <c r="Z340" i="54"/>
  <c r="Z330" i="54"/>
  <c r="Z322" i="54"/>
  <c r="Z345" i="54"/>
  <c r="Z344" i="54"/>
  <c r="Z329" i="54"/>
  <c r="Z321" i="54"/>
  <c r="Z316" i="54"/>
  <c r="Z302" i="54"/>
  <c r="Z355" i="54"/>
  <c r="Z339" i="54"/>
  <c r="Z309" i="54"/>
  <c r="Z327" i="54"/>
  <c r="Z319" i="54"/>
  <c r="Z317" i="54"/>
  <c r="Z346" i="54"/>
  <c r="Z341" i="54"/>
  <c r="Z332" i="54"/>
  <c r="Z324" i="54"/>
  <c r="Z288" i="54"/>
  <c r="Z331" i="54"/>
  <c r="Z303" i="54"/>
  <c r="Z311" i="54"/>
  <c r="Z294" i="54"/>
  <c r="Z318" i="54"/>
  <c r="Z343" i="54"/>
  <c r="Z323" i="54"/>
  <c r="Z352" i="54"/>
  <c r="Z351" i="54"/>
  <c r="Z335" i="54"/>
  <c r="Z325" i="54"/>
  <c r="Z312" i="54"/>
  <c r="Z336" i="54"/>
  <c r="Z333" i="54"/>
  <c r="Z285" i="54"/>
  <c r="Z320" i="54"/>
  <c r="Z289" i="54"/>
  <c r="Z280" i="54"/>
  <c r="Z348" i="54"/>
  <c r="Z328" i="54"/>
  <c r="Z349" i="54"/>
  <c r="Z334" i="54"/>
  <c r="Z305" i="54"/>
  <c r="Z326" i="54"/>
  <c r="Z308" i="54"/>
  <c r="Z300" i="54"/>
  <c r="Z287" i="54"/>
  <c r="Z282" i="54"/>
  <c r="Z307" i="54"/>
  <c r="Z306" i="54"/>
  <c r="Z301" i="54"/>
  <c r="Z293" i="54"/>
  <c r="Z290" i="54"/>
  <c r="Z274" i="54"/>
  <c r="Z273" i="54"/>
  <c r="Z272" i="54"/>
  <c r="Z347" i="54"/>
  <c r="Z281" i="54"/>
  <c r="Z310" i="54"/>
  <c r="Z297" i="54"/>
  <c r="Z283" i="54"/>
  <c r="Z278" i="54"/>
  <c r="Z361" i="54"/>
  <c r="Z357" i="54"/>
  <c r="Z350" i="54"/>
  <c r="Z304" i="54"/>
  <c r="Z360" i="54"/>
  <c r="Z358" i="54"/>
  <c r="Z354" i="54"/>
  <c r="Z279" i="54"/>
  <c r="C277" i="54"/>
  <c r="Y282" i="54"/>
  <c r="AT286" i="54"/>
  <c r="AS290" i="54"/>
  <c r="Z295" i="54"/>
  <c r="Z298" i="54"/>
  <c r="AS313" i="54"/>
  <c r="AO283" i="54"/>
  <c r="X288" i="54"/>
  <c r="Y291" i="54"/>
  <c r="AO306" i="54"/>
  <c r="AS324" i="54"/>
  <c r="AS329" i="54"/>
  <c r="AU358" i="54"/>
  <c r="X348" i="54"/>
  <c r="X307" i="54"/>
  <c r="X351" i="54"/>
  <c r="X331" i="54"/>
  <c r="X323" i="54"/>
  <c r="X306" i="54"/>
  <c r="X359" i="54"/>
  <c r="X353" i="54"/>
  <c r="X337" i="54"/>
  <c r="X313" i="54"/>
  <c r="X356" i="54"/>
  <c r="X340" i="54"/>
  <c r="X330" i="54"/>
  <c r="X322" i="54"/>
  <c r="X360" i="54"/>
  <c r="X350" i="54"/>
  <c r="X310" i="54"/>
  <c r="X336" i="54"/>
  <c r="X328" i="54"/>
  <c r="X320" i="54"/>
  <c r="X354" i="54"/>
  <c r="X342" i="54"/>
  <c r="X338" i="54"/>
  <c r="X333" i="54"/>
  <c r="X325" i="54"/>
  <c r="X298" i="54"/>
  <c r="X341" i="54"/>
  <c r="X326" i="54"/>
  <c r="X308" i="54"/>
  <c r="X327" i="54"/>
  <c r="X303" i="54"/>
  <c r="X332" i="54"/>
  <c r="X299" i="54"/>
  <c r="X357" i="54"/>
  <c r="X319" i="54"/>
  <c r="X321" i="54"/>
  <c r="X317" i="54"/>
  <c r="X301" i="54"/>
  <c r="X297" i="54"/>
  <c r="X316" i="54"/>
  <c r="X309" i="54"/>
  <c r="X352" i="54"/>
  <c r="X349" i="54"/>
  <c r="X344" i="54"/>
  <c r="X318" i="54"/>
  <c r="X305" i="54"/>
  <c r="X304" i="54"/>
  <c r="X302" i="54"/>
  <c r="X296" i="54"/>
  <c r="X292" i="54"/>
  <c r="X324" i="54"/>
  <c r="X346" i="54"/>
  <c r="X355" i="54"/>
  <c r="X343" i="54"/>
  <c r="X311" i="54"/>
  <c r="X277" i="54"/>
  <c r="X271" i="54"/>
  <c r="X361" i="54"/>
  <c r="X335" i="54"/>
  <c r="X329" i="54"/>
  <c r="X293" i="54"/>
  <c r="X290" i="54"/>
  <c r="X274" i="54"/>
  <c r="X273" i="54"/>
  <c r="X272" i="54"/>
  <c r="X347" i="54"/>
  <c r="X285" i="54"/>
  <c r="X281" i="54"/>
  <c r="X339" i="54"/>
  <c r="X291" i="54"/>
  <c r="X286" i="54"/>
  <c r="X282" i="54"/>
  <c r="X280" i="54"/>
  <c r="X276" i="54"/>
  <c r="X270" i="54"/>
  <c r="X358" i="54"/>
  <c r="X294" i="54"/>
  <c r="C307" i="54"/>
  <c r="X334" i="54"/>
  <c r="C271" i="54"/>
  <c r="AM308" i="54"/>
  <c r="AM304" i="54"/>
  <c r="AM307" i="54"/>
  <c r="AM306" i="54"/>
  <c r="AM302" i="54"/>
  <c r="AM296" i="54"/>
  <c r="AM297" i="54"/>
  <c r="AO308" i="54"/>
  <c r="AM305" i="54"/>
  <c r="AM303" i="54"/>
  <c r="AM300" i="54"/>
  <c r="AM292" i="54"/>
  <c r="AM289" i="54"/>
  <c r="AM295" i="54"/>
  <c r="AO291" i="54"/>
  <c r="AM284" i="54"/>
  <c r="AO282" i="54"/>
  <c r="AM286" i="54"/>
  <c r="AM299" i="54"/>
  <c r="AM291" i="54"/>
  <c r="AO288" i="54"/>
  <c r="AM282" i="54"/>
  <c r="AO302" i="54"/>
  <c r="AO305" i="54"/>
  <c r="AM294" i="54"/>
  <c r="AM287" i="54"/>
  <c r="AO300" i="54"/>
  <c r="AO284" i="54"/>
  <c r="C292" i="54"/>
  <c r="C295" i="54"/>
  <c r="AO295" i="54"/>
  <c r="AO303" i="54"/>
  <c r="C332" i="54"/>
  <c r="X269" i="54"/>
  <c r="AS274" i="54"/>
  <c r="AT355" i="54"/>
  <c r="AT339" i="54"/>
  <c r="AT328" i="54"/>
  <c r="AT320" i="54"/>
  <c r="AT316" i="54"/>
  <c r="AT309" i="54"/>
  <c r="AT307" i="54"/>
  <c r="AT360" i="54"/>
  <c r="AT310" i="54"/>
  <c r="AT306" i="54"/>
  <c r="AT347" i="54"/>
  <c r="AT343" i="54"/>
  <c r="AT327" i="54"/>
  <c r="AT319" i="54"/>
  <c r="AT349" i="54"/>
  <c r="AT342" i="54"/>
  <c r="AT333" i="54"/>
  <c r="AT325" i="54"/>
  <c r="AT357" i="54"/>
  <c r="AT346" i="54"/>
  <c r="AT359" i="54"/>
  <c r="AT344" i="54"/>
  <c r="AT313" i="54"/>
  <c r="AT298" i="54"/>
  <c r="AT323" i="54"/>
  <c r="AT311" i="54"/>
  <c r="AT324" i="54"/>
  <c r="AT299" i="54"/>
  <c r="AT348" i="54"/>
  <c r="AT334" i="54"/>
  <c r="AT332" i="54"/>
  <c r="AT358" i="54"/>
  <c r="AT331" i="54"/>
  <c r="AT312" i="54"/>
  <c r="AT295" i="54"/>
  <c r="AT291" i="54"/>
  <c r="AT345" i="54"/>
  <c r="AT340" i="54"/>
  <c r="AT326" i="54"/>
  <c r="AT318" i="54"/>
  <c r="AT308" i="54"/>
  <c r="AT341" i="54"/>
  <c r="AT321" i="54"/>
  <c r="AT280" i="54"/>
  <c r="AT279" i="54"/>
  <c r="AT278" i="54"/>
  <c r="AT356" i="54"/>
  <c r="AT317" i="54"/>
  <c r="AT294" i="54"/>
  <c r="AT288" i="54"/>
  <c r="AT337" i="54"/>
  <c r="AT336" i="54"/>
  <c r="AT361" i="54"/>
  <c r="AT350" i="54"/>
  <c r="AT302" i="54"/>
  <c r="AT305" i="54"/>
  <c r="AT290" i="54"/>
  <c r="AT351" i="54"/>
  <c r="AT338" i="54"/>
  <c r="AT330" i="54"/>
  <c r="AT303" i="54"/>
  <c r="AT301" i="54"/>
  <c r="AT322" i="54"/>
  <c r="AT335" i="54"/>
  <c r="AT284" i="54"/>
  <c r="AT329" i="54"/>
  <c r="AT282" i="54"/>
  <c r="AT273" i="54"/>
  <c r="AT277" i="54"/>
  <c r="Y280" i="54"/>
  <c r="AT285" i="54"/>
  <c r="X287" i="54"/>
  <c r="C289" i="54"/>
  <c r="X300" i="54"/>
  <c r="Z338" i="54"/>
  <c r="Y269" i="54"/>
  <c r="AU360" i="54"/>
  <c r="AU310" i="54"/>
  <c r="AU306" i="54"/>
  <c r="AU347" i="54"/>
  <c r="AU343" i="54"/>
  <c r="AU327" i="54"/>
  <c r="AU319" i="54"/>
  <c r="AU349" i="54"/>
  <c r="AU352" i="54"/>
  <c r="AU335" i="54"/>
  <c r="AU326" i="54"/>
  <c r="AU318" i="54"/>
  <c r="AU317" i="54"/>
  <c r="AU357" i="54"/>
  <c r="AU346" i="54"/>
  <c r="AU348" i="54"/>
  <c r="AU341" i="54"/>
  <c r="AU332" i="54"/>
  <c r="AU324" i="54"/>
  <c r="AU303" i="54"/>
  <c r="AU350" i="54"/>
  <c r="AU329" i="54"/>
  <c r="AU321" i="54"/>
  <c r="AU323" i="54"/>
  <c r="AU311" i="54"/>
  <c r="AU293" i="54"/>
  <c r="AU342" i="54"/>
  <c r="AU309" i="54"/>
  <c r="AU307" i="54"/>
  <c r="AU359" i="54"/>
  <c r="AU344" i="54"/>
  <c r="AU316" i="54"/>
  <c r="AU299" i="54"/>
  <c r="AU361" i="54"/>
  <c r="AU333" i="54"/>
  <c r="AU328" i="54"/>
  <c r="AU308" i="54"/>
  <c r="AU294" i="54"/>
  <c r="AU351" i="54"/>
  <c r="AU345" i="54"/>
  <c r="AU322" i="54"/>
  <c r="AU339" i="54"/>
  <c r="AU340" i="54"/>
  <c r="AU297" i="54"/>
  <c r="AU285" i="54"/>
  <c r="AU353" i="54"/>
  <c r="AU334" i="54"/>
  <c r="AU292" i="54"/>
  <c r="AU290" i="54"/>
  <c r="AU337" i="54"/>
  <c r="AU320" i="54"/>
  <c r="AU356" i="54"/>
  <c r="AU288" i="54"/>
  <c r="AU336" i="54"/>
  <c r="AU325" i="54"/>
  <c r="AU302" i="54"/>
  <c r="AU305" i="54"/>
  <c r="AU298" i="54"/>
  <c r="AU269" i="54"/>
  <c r="AU338" i="54"/>
  <c r="AU330" i="54"/>
  <c r="AU287" i="54"/>
  <c r="AU276" i="54"/>
  <c r="AU270" i="54"/>
  <c r="AU354" i="54"/>
  <c r="AU355" i="54"/>
  <c r="AU331" i="54"/>
  <c r="AU295" i="54"/>
  <c r="AU282" i="54"/>
  <c r="AU273" i="54"/>
  <c r="AU312" i="54"/>
  <c r="AU304" i="54"/>
  <c r="AU286" i="54"/>
  <c r="AU277" i="54"/>
  <c r="C282" i="54"/>
  <c r="Y287" i="54"/>
  <c r="AS292" i="54"/>
  <c r="AT353" i="54"/>
  <c r="Z269" i="54"/>
  <c r="Z271" i="54"/>
  <c r="X279" i="54"/>
  <c r="BG309" i="54"/>
  <c r="AT283" i="54"/>
  <c r="AT292" i="54"/>
  <c r="AM298" i="54"/>
  <c r="C336" i="54"/>
  <c r="AS336" i="54"/>
  <c r="AS355" i="54"/>
  <c r="AS339" i="54"/>
  <c r="AS328" i="54"/>
  <c r="AS320" i="54"/>
  <c r="AS316" i="54"/>
  <c r="AS309" i="54"/>
  <c r="AS307" i="54"/>
  <c r="AS360" i="54"/>
  <c r="AS310" i="54"/>
  <c r="AS347" i="54"/>
  <c r="AS343" i="54"/>
  <c r="AS327" i="54"/>
  <c r="AS319" i="54"/>
  <c r="AS361" i="54"/>
  <c r="AS354" i="54"/>
  <c r="AS338" i="54"/>
  <c r="AS334" i="54"/>
  <c r="AS311" i="54"/>
  <c r="AS342" i="54"/>
  <c r="AS333" i="54"/>
  <c r="AS325" i="54"/>
  <c r="AS345" i="54"/>
  <c r="AS330" i="54"/>
  <c r="AS322" i="54"/>
  <c r="AS308" i="54"/>
  <c r="AS304" i="54"/>
  <c r="AS287" i="54"/>
  <c r="AS357" i="54"/>
  <c r="AS323" i="54"/>
  <c r="AS293" i="54"/>
  <c r="AS359" i="54"/>
  <c r="AS344" i="54"/>
  <c r="AS306" i="54"/>
  <c r="AS346" i="54"/>
  <c r="AS331" i="54"/>
  <c r="AS288" i="54"/>
  <c r="AS284" i="54"/>
  <c r="AS358" i="54"/>
  <c r="AS349" i="54"/>
  <c r="AS312" i="54"/>
  <c r="AS295" i="54"/>
  <c r="AS291" i="54"/>
  <c r="AS350" i="54"/>
  <c r="AS332" i="54"/>
  <c r="AS286" i="54"/>
  <c r="AS281" i="54"/>
  <c r="AS317" i="54"/>
  <c r="AS341" i="54"/>
  <c r="AS321" i="54"/>
  <c r="AS280" i="54"/>
  <c r="AS279" i="54"/>
  <c r="AS278" i="54"/>
  <c r="AS356" i="54"/>
  <c r="AS294" i="54"/>
  <c r="AS305" i="54"/>
  <c r="AS302" i="54"/>
  <c r="AS298" i="54"/>
  <c r="AS353" i="54"/>
  <c r="AS337" i="54"/>
  <c r="AS285" i="54"/>
  <c r="AS283" i="54"/>
  <c r="AS351" i="54"/>
  <c r="AS348" i="54"/>
  <c r="AS326" i="54"/>
  <c r="AS303" i="54"/>
  <c r="AS352" i="54"/>
  <c r="AS277" i="54"/>
  <c r="AS272" i="54"/>
  <c r="AS271" i="54"/>
  <c r="AS335" i="54"/>
  <c r="C278" i="54"/>
  <c r="AM281" i="54"/>
  <c r="AU283" i="54"/>
  <c r="AU284" i="54"/>
  <c r="Y286" i="54"/>
  <c r="C288" i="54"/>
  <c r="C291" i="54"/>
  <c r="AU301" i="54"/>
  <c r="AV278" i="54"/>
  <c r="AV279" i="54"/>
  <c r="BH283" i="54"/>
  <c r="BJ287" i="54"/>
  <c r="AV291" i="54"/>
  <c r="AV299" i="54"/>
  <c r="BJ302" i="54"/>
  <c r="AV286" i="54"/>
  <c r="R289" i="54"/>
  <c r="T295" i="54"/>
  <c r="AO301" i="54"/>
  <c r="AV304" i="54"/>
  <c r="AO307" i="54"/>
  <c r="T308" i="54"/>
  <c r="D313" i="54"/>
  <c r="BH279" i="54"/>
  <c r="D299" i="54"/>
  <c r="AV322" i="54"/>
  <c r="D341" i="54"/>
  <c r="BJ307" i="54"/>
  <c r="D310" i="54"/>
  <c r="D319" i="54"/>
  <c r="D329" i="54"/>
  <c r="R304" i="54"/>
  <c r="R305" i="54"/>
  <c r="R291" i="54"/>
  <c r="T304" i="54"/>
  <c r="R297" i="54"/>
  <c r="R292" i="54"/>
  <c r="R283" i="54"/>
  <c r="R285" i="54"/>
  <c r="BH308" i="54"/>
  <c r="BH307" i="54"/>
  <c r="BH305" i="54"/>
  <c r="BH301" i="54"/>
  <c r="BH291" i="54"/>
  <c r="BH302" i="54"/>
  <c r="BH282" i="54"/>
  <c r="BH298" i="54"/>
  <c r="BH296" i="54"/>
  <c r="BH294" i="54"/>
  <c r="BH290" i="54"/>
  <c r="BH287" i="54"/>
  <c r="BH303" i="54"/>
  <c r="BH293" i="54"/>
  <c r="BH288" i="54"/>
  <c r="AV347" i="54"/>
  <c r="AV343" i="54"/>
  <c r="AV327" i="54"/>
  <c r="AV319" i="54"/>
  <c r="AV349" i="54"/>
  <c r="AV352" i="54"/>
  <c r="AV335" i="54"/>
  <c r="AV326" i="54"/>
  <c r="AV318" i="54"/>
  <c r="AV317" i="54"/>
  <c r="AV361" i="54"/>
  <c r="AV354" i="54"/>
  <c r="AV338" i="54"/>
  <c r="AV334" i="54"/>
  <c r="AV311" i="54"/>
  <c r="AV302" i="54"/>
  <c r="AV348" i="54"/>
  <c r="AV341" i="54"/>
  <c r="AV332" i="54"/>
  <c r="AV324" i="54"/>
  <c r="AV358" i="54"/>
  <c r="AV351" i="54"/>
  <c r="AV312" i="54"/>
  <c r="AV336" i="54"/>
  <c r="AV357" i="54"/>
  <c r="AV342" i="54"/>
  <c r="AV309" i="54"/>
  <c r="AV307" i="54"/>
  <c r="AV288" i="54"/>
  <c r="AV359" i="54"/>
  <c r="AV344" i="54"/>
  <c r="AV316" i="54"/>
  <c r="AV333" i="54"/>
  <c r="AV328" i="54"/>
  <c r="AV308" i="54"/>
  <c r="AV306" i="54"/>
  <c r="AV294" i="54"/>
  <c r="AV329" i="54"/>
  <c r="AV313" i="54"/>
  <c r="AV303" i="54"/>
  <c r="AV350" i="54"/>
  <c r="AV320" i="54"/>
  <c r="AV345" i="54"/>
  <c r="AV340" i="54"/>
  <c r="AV297" i="54"/>
  <c r="AV285" i="54"/>
  <c r="AV353" i="54"/>
  <c r="AV301" i="54"/>
  <c r="AV289" i="54"/>
  <c r="AV280" i="54"/>
  <c r="AV323" i="54"/>
  <c r="AV355" i="54"/>
  <c r="AV296" i="54"/>
  <c r="AV282" i="54"/>
  <c r="AV281" i="54"/>
  <c r="AV283" i="54"/>
  <c r="BH289" i="54"/>
  <c r="BJ295" i="54"/>
  <c r="T298" i="54"/>
  <c r="T301" i="54"/>
  <c r="R306" i="54"/>
  <c r="AV337" i="54"/>
  <c r="AV269" i="54"/>
  <c r="R279" i="54"/>
  <c r="R288" i="54"/>
  <c r="AV290" i="54"/>
  <c r="BH292" i="54"/>
  <c r="R294" i="54"/>
  <c r="R298" i="54"/>
  <c r="T303" i="54"/>
  <c r="BJ306" i="54"/>
  <c r="D347" i="54"/>
  <c r="D343" i="54"/>
  <c r="D334" i="54"/>
  <c r="D326" i="54"/>
  <c r="D318" i="54"/>
  <c r="D358" i="54"/>
  <c r="D349" i="54"/>
  <c r="D312" i="54"/>
  <c r="D352" i="54"/>
  <c r="D342" i="54"/>
  <c r="D333" i="54"/>
  <c r="D325" i="54"/>
  <c r="D357" i="54"/>
  <c r="D354" i="54"/>
  <c r="D338" i="54"/>
  <c r="D302" i="54"/>
  <c r="D348" i="54"/>
  <c r="D331" i="54"/>
  <c r="D323" i="54"/>
  <c r="D351" i="54"/>
  <c r="D361" i="54"/>
  <c r="D336" i="54"/>
  <c r="D311" i="54"/>
  <c r="D320" i="54"/>
  <c r="D317" i="54"/>
  <c r="D288" i="54"/>
  <c r="D346" i="54"/>
  <c r="D345" i="54"/>
  <c r="D353" i="54"/>
  <c r="D335" i="54"/>
  <c r="D321" i="54"/>
  <c r="D305" i="54"/>
  <c r="D294" i="54"/>
  <c r="D356" i="54"/>
  <c r="D355" i="54"/>
  <c r="D350" i="54"/>
  <c r="D337" i="54"/>
  <c r="D322" i="54"/>
  <c r="D359" i="54"/>
  <c r="D332" i="54"/>
  <c r="D327" i="54"/>
  <c r="D330" i="54"/>
  <c r="D324" i="54"/>
  <c r="D306" i="54"/>
  <c r="D304" i="54"/>
  <c r="D285" i="54"/>
  <c r="D303" i="54"/>
  <c r="D289" i="54"/>
  <c r="D280" i="54"/>
  <c r="D316" i="54"/>
  <c r="D328" i="54"/>
  <c r="D287" i="54"/>
  <c r="D282" i="54"/>
  <c r="D307" i="54"/>
  <c r="D301" i="54"/>
  <c r="R280" i="54"/>
  <c r="D281" i="54"/>
  <c r="R282" i="54"/>
  <c r="D283" i="54"/>
  <c r="R286" i="54"/>
  <c r="BJ297" i="54"/>
  <c r="AV298" i="54"/>
  <c r="BH300" i="54"/>
  <c r="R302" i="54"/>
  <c r="BJ303" i="54"/>
  <c r="AO304" i="54"/>
  <c r="AV305" i="54"/>
  <c r="BH306" i="54"/>
  <c r="AV310" i="54"/>
  <c r="E358" i="54"/>
  <c r="E349" i="54"/>
  <c r="E312" i="54"/>
  <c r="E352" i="54"/>
  <c r="E342" i="54"/>
  <c r="E333" i="54"/>
  <c r="E325" i="54"/>
  <c r="E357" i="54"/>
  <c r="E354" i="54"/>
  <c r="E338" i="54"/>
  <c r="E341" i="54"/>
  <c r="E332" i="54"/>
  <c r="E324" i="54"/>
  <c r="E351" i="54"/>
  <c r="E353" i="54"/>
  <c r="E337" i="54"/>
  <c r="E330" i="54"/>
  <c r="E322" i="54"/>
  <c r="E316" i="54"/>
  <c r="E308" i="54"/>
  <c r="E355" i="54"/>
  <c r="E339" i="54"/>
  <c r="E327" i="54"/>
  <c r="E319" i="54"/>
  <c r="E309" i="54"/>
  <c r="E307" i="54"/>
  <c r="E346" i="54"/>
  <c r="E345" i="54"/>
  <c r="E299" i="54"/>
  <c r="E348" i="54"/>
  <c r="E347" i="54"/>
  <c r="E335" i="54"/>
  <c r="E321" i="54"/>
  <c r="E305" i="54"/>
  <c r="E356" i="54"/>
  <c r="E350" i="54"/>
  <c r="E340" i="54"/>
  <c r="E336" i="54"/>
  <c r="E300" i="54"/>
  <c r="E311" i="54"/>
  <c r="E344" i="54"/>
  <c r="E343" i="54"/>
  <c r="E329" i="54"/>
  <c r="E317" i="54"/>
  <c r="E303" i="54"/>
  <c r="E289" i="54"/>
  <c r="E280" i="54"/>
  <c r="E302" i="54"/>
  <c r="E296" i="54"/>
  <c r="E331" i="54"/>
  <c r="E328" i="54"/>
  <c r="E361" i="54"/>
  <c r="E323" i="54"/>
  <c r="E313" i="54"/>
  <c r="E281" i="54"/>
  <c r="E283" i="54"/>
  <c r="R284" i="54"/>
  <c r="BH297" i="54"/>
  <c r="D300" i="54"/>
  <c r="AG323" i="54"/>
  <c r="AV325" i="54"/>
  <c r="D339" i="54"/>
  <c r="D270" i="54"/>
  <c r="D276" i="54"/>
  <c r="E285" i="54"/>
  <c r="D296" i="54"/>
  <c r="R299" i="54"/>
  <c r="T302" i="54"/>
  <c r="D308" i="54"/>
  <c r="E318" i="54"/>
  <c r="BJ292" i="54"/>
  <c r="L323" i="54"/>
  <c r="BJ305" i="54"/>
  <c r="BB323" i="54"/>
  <c r="T307" i="54"/>
  <c r="Q214" i="54"/>
  <c r="BG214" i="54"/>
  <c r="BJ194" i="54"/>
  <c r="AT257" i="54"/>
  <c r="AV197" i="54"/>
  <c r="AS218" i="54"/>
  <c r="AV242" i="54"/>
  <c r="C240" i="54"/>
  <c r="C248" i="54"/>
  <c r="C239" i="54"/>
  <c r="C231" i="54"/>
  <c r="C223" i="54"/>
  <c r="C263" i="54"/>
  <c r="C251" i="54"/>
  <c r="C217" i="54"/>
  <c r="C254" i="54"/>
  <c r="C247" i="54"/>
  <c r="C238" i="54"/>
  <c r="C230" i="54"/>
  <c r="C264" i="54"/>
  <c r="C261" i="54"/>
  <c r="C218" i="54"/>
  <c r="C250" i="54"/>
  <c r="C236" i="54"/>
  <c r="C228" i="54"/>
  <c r="C252" i="54"/>
  <c r="C233" i="54"/>
  <c r="C225" i="54"/>
  <c r="C222" i="54"/>
  <c r="C265" i="54"/>
  <c r="C235" i="54"/>
  <c r="C221" i="54"/>
  <c r="C237" i="54"/>
  <c r="C232" i="54"/>
  <c r="C216" i="54"/>
  <c r="C212" i="54"/>
  <c r="C229" i="54"/>
  <c r="C215" i="54"/>
  <c r="C259" i="54"/>
  <c r="C202" i="54"/>
  <c r="C234" i="54"/>
  <c r="C211" i="54"/>
  <c r="C227" i="54"/>
  <c r="C253" i="54"/>
  <c r="C207" i="54"/>
  <c r="C198" i="54"/>
  <c r="C192" i="54"/>
  <c r="C186" i="54"/>
  <c r="C257" i="54"/>
  <c r="C214" i="54"/>
  <c r="C199" i="54"/>
  <c r="C185" i="54"/>
  <c r="C213" i="54"/>
  <c r="C189" i="54"/>
  <c r="C246" i="54"/>
  <c r="C241" i="54"/>
  <c r="C226" i="54"/>
  <c r="C258" i="54"/>
  <c r="C196" i="54"/>
  <c r="C266" i="54"/>
  <c r="C249" i="54"/>
  <c r="C224" i="54"/>
  <c r="C242" i="54"/>
  <c r="C201" i="54"/>
  <c r="C193" i="54"/>
  <c r="C243" i="54"/>
  <c r="C191" i="54"/>
  <c r="AS196" i="54"/>
  <c r="D248" i="54"/>
  <c r="D239" i="54"/>
  <c r="D231" i="54"/>
  <c r="D223" i="54"/>
  <c r="D263" i="54"/>
  <c r="D251" i="54"/>
  <c r="D217" i="54"/>
  <c r="D254" i="54"/>
  <c r="D247" i="54"/>
  <c r="D238" i="54"/>
  <c r="D230" i="54"/>
  <c r="D262" i="54"/>
  <c r="D258" i="54"/>
  <c r="D243" i="54"/>
  <c r="D250" i="54"/>
  <c r="D236" i="54"/>
  <c r="D228" i="54"/>
  <c r="D253" i="54"/>
  <c r="D266" i="54"/>
  <c r="D255" i="54"/>
  <c r="D241" i="54"/>
  <c r="D216" i="54"/>
  <c r="D225" i="54"/>
  <c r="D222" i="54"/>
  <c r="D200" i="54"/>
  <c r="D257" i="54"/>
  <c r="D240" i="54"/>
  <c r="D226" i="54"/>
  <c r="D264" i="54"/>
  <c r="D237" i="54"/>
  <c r="D232" i="54"/>
  <c r="D212" i="54"/>
  <c r="D213" i="54"/>
  <c r="D209" i="54"/>
  <c r="D259" i="54"/>
  <c r="D234" i="54"/>
  <c r="D211" i="54"/>
  <c r="D184" i="54"/>
  <c r="D260" i="54"/>
  <c r="D215" i="54"/>
  <c r="D252" i="54"/>
  <c r="D207" i="54"/>
  <c r="D203" i="54"/>
  <c r="D249" i="54"/>
  <c r="D206" i="54"/>
  <c r="D204" i="54"/>
  <c r="D202" i="54"/>
  <c r="D189" i="54"/>
  <c r="D246" i="54"/>
  <c r="D198" i="54"/>
  <c r="D196" i="54"/>
  <c r="D224" i="54"/>
  <c r="D221" i="54"/>
  <c r="D242" i="54"/>
  <c r="D201" i="54"/>
  <c r="D193" i="54"/>
  <c r="D235" i="54"/>
  <c r="D186" i="54"/>
  <c r="D191" i="54"/>
  <c r="AT196" i="54"/>
  <c r="C200" i="54"/>
  <c r="C205" i="54"/>
  <c r="C208" i="54"/>
  <c r="AS226" i="54"/>
  <c r="D229" i="54"/>
  <c r="E263" i="54"/>
  <c r="E251" i="54"/>
  <c r="E217" i="54"/>
  <c r="E254" i="54"/>
  <c r="E247" i="54"/>
  <c r="E238" i="54"/>
  <c r="E230" i="54"/>
  <c r="E262" i="54"/>
  <c r="E258" i="54"/>
  <c r="E243" i="54"/>
  <c r="E246" i="54"/>
  <c r="E237" i="54"/>
  <c r="E229" i="54"/>
  <c r="E253" i="54"/>
  <c r="E257" i="54"/>
  <c r="E256" i="54"/>
  <c r="E242" i="54"/>
  <c r="E235" i="54"/>
  <c r="E227" i="54"/>
  <c r="E221" i="54"/>
  <c r="E213" i="54"/>
  <c r="E210" i="54"/>
  <c r="E259" i="54"/>
  <c r="E244" i="54"/>
  <c r="E232" i="54"/>
  <c r="E224" i="54"/>
  <c r="E214" i="54"/>
  <c r="E212" i="54"/>
  <c r="E200" i="54"/>
  <c r="E240" i="54"/>
  <c r="E226" i="54"/>
  <c r="E260" i="54"/>
  <c r="E216" i="54"/>
  <c r="E218" i="54"/>
  <c r="E211" i="54"/>
  <c r="E206" i="54"/>
  <c r="E250" i="54"/>
  <c r="E249" i="54"/>
  <c r="E248" i="54"/>
  <c r="E234" i="54"/>
  <c r="E223" i="54"/>
  <c r="E215" i="54"/>
  <c r="E191" i="54"/>
  <c r="E185" i="54"/>
  <c r="E197" i="54"/>
  <c r="E222" i="54"/>
  <c r="E203" i="54"/>
  <c r="E266" i="54"/>
  <c r="E241" i="54"/>
  <c r="E188" i="54"/>
  <c r="E208" i="54"/>
  <c r="E228" i="54"/>
  <c r="E198" i="54"/>
  <c r="E196" i="54"/>
  <c r="E201" i="54"/>
  <c r="E193" i="54"/>
  <c r="E239" i="54"/>
  <c r="E186" i="54"/>
  <c r="E209" i="54"/>
  <c r="AS193" i="54"/>
  <c r="C203" i="54"/>
  <c r="D205" i="54"/>
  <c r="D208" i="54"/>
  <c r="D261" i="54"/>
  <c r="E264" i="54"/>
  <c r="AT259" i="54"/>
  <c r="AT244" i="54"/>
  <c r="AT233" i="54"/>
  <c r="AT225" i="54"/>
  <c r="AT221" i="54"/>
  <c r="AT214" i="54"/>
  <c r="AT212" i="54"/>
  <c r="AT265" i="54"/>
  <c r="AT215" i="54"/>
  <c r="AT248" i="54"/>
  <c r="AT232" i="54"/>
  <c r="AT224" i="54"/>
  <c r="AT251" i="54"/>
  <c r="AT247" i="54"/>
  <c r="AT238" i="54"/>
  <c r="AT230" i="54"/>
  <c r="AT262" i="54"/>
  <c r="AT209" i="54"/>
  <c r="AT264" i="54"/>
  <c r="AT249" i="54"/>
  <c r="AT218" i="54"/>
  <c r="AT211" i="54"/>
  <c r="AT208" i="54"/>
  <c r="AT199" i="54"/>
  <c r="AT228" i="54"/>
  <c r="AT216" i="54"/>
  <c r="AT250" i="54"/>
  <c r="AT239" i="54"/>
  <c r="AT205" i="54"/>
  <c r="AT261" i="54"/>
  <c r="AT237" i="54"/>
  <c r="AT263" i="54"/>
  <c r="AT255" i="54"/>
  <c r="AT242" i="54"/>
  <c r="AT243" i="54"/>
  <c r="AT256" i="54"/>
  <c r="AT245" i="54"/>
  <c r="AT222" i="54"/>
  <c r="AT258" i="54"/>
  <c r="AT231" i="54"/>
  <c r="AT217" i="54"/>
  <c r="AT223" i="54"/>
  <c r="AT184" i="54"/>
  <c r="AT253" i="54"/>
  <c r="AT210" i="54"/>
  <c r="AT201" i="54"/>
  <c r="AT235" i="54"/>
  <c r="AT200" i="54"/>
  <c r="AT194" i="54"/>
  <c r="AT187" i="54"/>
  <c r="AT195" i="54"/>
  <c r="AT191" i="54"/>
  <c r="AT189" i="54"/>
  <c r="AT240" i="54"/>
  <c r="AT260" i="54"/>
  <c r="AT266" i="54"/>
  <c r="AT229" i="54"/>
  <c r="AT227" i="54"/>
  <c r="AT213" i="54"/>
  <c r="AT204" i="54"/>
  <c r="AT188" i="54"/>
  <c r="AT236" i="54"/>
  <c r="AT252" i="54"/>
  <c r="AT186" i="54"/>
  <c r="AT192" i="54"/>
  <c r="AV186" i="54"/>
  <c r="AS255" i="54"/>
  <c r="AS241" i="54"/>
  <c r="AS259" i="54"/>
  <c r="AS244" i="54"/>
  <c r="AS233" i="54"/>
  <c r="AS225" i="54"/>
  <c r="AS221" i="54"/>
  <c r="AS214" i="54"/>
  <c r="AS212" i="54"/>
  <c r="AS265" i="54"/>
  <c r="AS215" i="54"/>
  <c r="AS248" i="54"/>
  <c r="AS232" i="54"/>
  <c r="AS224" i="54"/>
  <c r="AS266" i="54"/>
  <c r="AS258" i="54"/>
  <c r="AS243" i="54"/>
  <c r="AS239" i="54"/>
  <c r="AS216" i="54"/>
  <c r="AS247" i="54"/>
  <c r="AS238" i="54"/>
  <c r="AS230" i="54"/>
  <c r="AS235" i="54"/>
  <c r="AS227" i="54"/>
  <c r="AS213" i="54"/>
  <c r="AS204" i="54"/>
  <c r="AS262" i="54"/>
  <c r="AS208" i="54"/>
  <c r="AS199" i="54"/>
  <c r="AS228" i="54"/>
  <c r="AS256" i="54"/>
  <c r="AS210" i="54"/>
  <c r="AS209" i="54"/>
  <c r="AS236" i="54"/>
  <c r="AS261" i="54"/>
  <c r="AS263" i="54"/>
  <c r="AS242" i="54"/>
  <c r="AS188" i="54"/>
  <c r="AS231" i="54"/>
  <c r="AS217" i="54"/>
  <c r="AS264" i="54"/>
  <c r="AS240" i="54"/>
  <c r="AS229" i="54"/>
  <c r="AS207" i="54"/>
  <c r="AS250" i="54"/>
  <c r="AS200" i="54"/>
  <c r="AS194" i="54"/>
  <c r="AS187" i="54"/>
  <c r="AS211" i="54"/>
  <c r="AS195" i="54"/>
  <c r="AS251" i="54"/>
  <c r="AS191" i="54"/>
  <c r="AS189" i="54"/>
  <c r="AS260" i="54"/>
  <c r="AS184" i="54"/>
  <c r="AS245" i="54"/>
  <c r="AS223" i="54"/>
  <c r="AS201" i="54"/>
  <c r="AT206" i="54"/>
  <c r="AV210" i="54"/>
  <c r="AT234" i="54"/>
  <c r="AS253" i="54"/>
  <c r="BH210" i="54"/>
  <c r="BH213" i="54"/>
  <c r="BH212" i="54"/>
  <c r="BH209" i="54"/>
  <c r="BH202" i="54"/>
  <c r="BH206" i="54"/>
  <c r="BH208" i="54"/>
  <c r="BH203" i="54"/>
  <c r="BH198" i="54"/>
  <c r="BH204" i="54"/>
  <c r="BJ209" i="54"/>
  <c r="BJ202" i="54"/>
  <c r="BH207" i="54"/>
  <c r="BH205" i="54"/>
  <c r="BH197" i="54"/>
  <c r="BJ210" i="54"/>
  <c r="BH201" i="54"/>
  <c r="BH194" i="54"/>
  <c r="BJ198" i="54"/>
  <c r="AV201" i="54"/>
  <c r="BJ213" i="54"/>
  <c r="E189" i="54"/>
  <c r="F254" i="54"/>
  <c r="F247" i="54"/>
  <c r="F238" i="54"/>
  <c r="F230" i="54"/>
  <c r="F262" i="54"/>
  <c r="F258" i="54"/>
  <c r="F243" i="54"/>
  <c r="F246" i="54"/>
  <c r="F237" i="54"/>
  <c r="F229" i="54"/>
  <c r="F264" i="54"/>
  <c r="F261" i="54"/>
  <c r="F218" i="54"/>
  <c r="F209" i="54"/>
  <c r="F257" i="54"/>
  <c r="F256" i="54"/>
  <c r="F242" i="54"/>
  <c r="F235" i="54"/>
  <c r="F227" i="54"/>
  <c r="F221" i="54"/>
  <c r="F213" i="54"/>
  <c r="F265" i="54"/>
  <c r="F260" i="54"/>
  <c r="F245" i="54"/>
  <c r="F215" i="54"/>
  <c r="F240" i="54"/>
  <c r="F226" i="54"/>
  <c r="F259" i="54"/>
  <c r="F241" i="54"/>
  <c r="F211" i="54"/>
  <c r="F263" i="54"/>
  <c r="F255" i="54"/>
  <c r="F253" i="54"/>
  <c r="F252" i="54"/>
  <c r="F250" i="54"/>
  <c r="F197" i="54"/>
  <c r="F224" i="54"/>
  <c r="F205" i="54"/>
  <c r="F200" i="54"/>
  <c r="F266" i="54"/>
  <c r="F212" i="54"/>
  <c r="F195" i="54"/>
  <c r="F216" i="54"/>
  <c r="F232" i="54"/>
  <c r="F196" i="54"/>
  <c r="F222" i="54"/>
  <c r="F201" i="54"/>
  <c r="F193" i="54"/>
  <c r="F249" i="54"/>
  <c r="F239" i="54"/>
  <c r="F186" i="54"/>
  <c r="F233" i="54"/>
  <c r="AT193" i="54"/>
  <c r="D199" i="54"/>
  <c r="BJ201" i="54"/>
  <c r="F203" i="54"/>
  <c r="AS203" i="54"/>
  <c r="E205" i="54"/>
  <c r="BJ206" i="54"/>
  <c r="F208" i="54"/>
  <c r="D214" i="54"/>
  <c r="AT241" i="54"/>
  <c r="F248" i="54"/>
  <c r="E261" i="54"/>
  <c r="D265" i="54"/>
  <c r="AV193" i="54"/>
  <c r="BJ197" i="54"/>
  <c r="AS252" i="54"/>
  <c r="AS222" i="54"/>
  <c r="D227" i="54"/>
  <c r="AS237" i="54"/>
  <c r="AS249" i="54"/>
  <c r="D192" i="54"/>
  <c r="D194" i="54"/>
  <c r="AL214" i="54"/>
  <c r="AO194" i="54"/>
  <c r="C209" i="54"/>
  <c r="F223" i="54"/>
  <c r="F225" i="54"/>
  <c r="AV248" i="54"/>
  <c r="AV232" i="54"/>
  <c r="AV224" i="54"/>
  <c r="AV251" i="54"/>
  <c r="AV254" i="54"/>
  <c r="AV240" i="54"/>
  <c r="AV231" i="54"/>
  <c r="AV223" i="54"/>
  <c r="AV222" i="54"/>
  <c r="AV266" i="54"/>
  <c r="AV258" i="54"/>
  <c r="AV243" i="54"/>
  <c r="AV239" i="54"/>
  <c r="AV216" i="54"/>
  <c r="AV250" i="54"/>
  <c r="AV246" i="54"/>
  <c r="AV237" i="54"/>
  <c r="AV229" i="54"/>
  <c r="AV263" i="54"/>
  <c r="AV261" i="54"/>
  <c r="AV253" i="54"/>
  <c r="AV217" i="54"/>
  <c r="AV255" i="54"/>
  <c r="AV241" i="54"/>
  <c r="AV262" i="54"/>
  <c r="AV247" i="54"/>
  <c r="AV214" i="54"/>
  <c r="AV264" i="54"/>
  <c r="AV249" i="54"/>
  <c r="AV221" i="54"/>
  <c r="AV211" i="54"/>
  <c r="AV200" i="54"/>
  <c r="AV252" i="54"/>
  <c r="AV238" i="54"/>
  <c r="AV233" i="54"/>
  <c r="AV213" i="54"/>
  <c r="AV225" i="54"/>
  <c r="AV257" i="54"/>
  <c r="AV226" i="54"/>
  <c r="AV256" i="54"/>
  <c r="AV245" i="54"/>
  <c r="AV244" i="54"/>
  <c r="AV218" i="54"/>
  <c r="AV236" i="54"/>
  <c r="AV230" i="54"/>
  <c r="AV208" i="54"/>
  <c r="AV206" i="54"/>
  <c r="AV202" i="54"/>
  <c r="AV228" i="54"/>
  <c r="AV259" i="54"/>
  <c r="AV234" i="54"/>
  <c r="AV235" i="54"/>
  <c r="AV191" i="54"/>
  <c r="AV189" i="54"/>
  <c r="AV260" i="54"/>
  <c r="AV203" i="54"/>
  <c r="AV196" i="54"/>
  <c r="AV215" i="54"/>
  <c r="AV204" i="54"/>
  <c r="AV188" i="54"/>
  <c r="AV184" i="54"/>
  <c r="AV185" i="54"/>
  <c r="AV227" i="54"/>
  <c r="AV199" i="54"/>
  <c r="AV192" i="54"/>
  <c r="AV265" i="54"/>
  <c r="AV209" i="54"/>
  <c r="AV195" i="54"/>
  <c r="AT203" i="54"/>
  <c r="AV205" i="54"/>
  <c r="C194" i="54"/>
  <c r="C184" i="54"/>
  <c r="AS185" i="54"/>
  <c r="R211" i="54"/>
  <c r="R203" i="54"/>
  <c r="R209" i="54"/>
  <c r="R213" i="54"/>
  <c r="R212" i="54"/>
  <c r="R201" i="54"/>
  <c r="R206" i="54"/>
  <c r="R207" i="54"/>
  <c r="R198" i="54"/>
  <c r="R200" i="54"/>
  <c r="R194" i="54"/>
  <c r="T209" i="54"/>
  <c r="R197" i="54"/>
  <c r="R208" i="54"/>
  <c r="T208" i="54"/>
  <c r="R204" i="54"/>
  <c r="R199" i="54"/>
  <c r="R195" i="54"/>
  <c r="T206" i="54"/>
  <c r="R205" i="54"/>
  <c r="E192" i="54"/>
  <c r="E194" i="54"/>
  <c r="BH196" i="54"/>
  <c r="T200" i="54"/>
  <c r="BH200" i="54"/>
  <c r="E202" i="54"/>
  <c r="T205" i="54"/>
  <c r="E207" i="54"/>
  <c r="AT207" i="54"/>
  <c r="BJ211" i="54"/>
  <c r="F234" i="54"/>
  <c r="E184" i="54"/>
  <c r="AT185" i="54"/>
  <c r="AV194" i="54"/>
  <c r="AS198" i="54"/>
  <c r="F207" i="54"/>
  <c r="BH211" i="54"/>
  <c r="E236" i="54"/>
  <c r="C245" i="54"/>
  <c r="AS254" i="54"/>
  <c r="C260" i="54"/>
  <c r="AT197" i="54"/>
  <c r="AV187" i="54"/>
  <c r="BJ196" i="54"/>
  <c r="AT198" i="54"/>
  <c r="AS202" i="54"/>
  <c r="AV207" i="54"/>
  <c r="AV212" i="54"/>
  <c r="F236" i="54"/>
  <c r="D245" i="54"/>
  <c r="AS246" i="54"/>
  <c r="AT254" i="54"/>
  <c r="C256" i="54"/>
  <c r="BJ195" i="54"/>
  <c r="C197" i="54"/>
  <c r="AT202" i="54"/>
  <c r="F217" i="54"/>
  <c r="E245" i="54"/>
  <c r="AT246" i="54"/>
  <c r="D256" i="54"/>
  <c r="C262" i="54"/>
  <c r="K187" i="54"/>
  <c r="X191" i="54"/>
  <c r="Y201" i="54"/>
  <c r="Y229" i="54"/>
  <c r="Z251" i="54"/>
  <c r="X261" i="54"/>
  <c r="X250" i="54"/>
  <c r="X212" i="54"/>
  <c r="X253" i="54"/>
  <c r="X236" i="54"/>
  <c r="X228" i="54"/>
  <c r="X264" i="54"/>
  <c r="X257" i="54"/>
  <c r="X256" i="54"/>
  <c r="X242" i="54"/>
  <c r="X218" i="54"/>
  <c r="X260" i="54"/>
  <c r="X245" i="54"/>
  <c r="X235" i="54"/>
  <c r="X227" i="54"/>
  <c r="X265" i="54"/>
  <c r="X252" i="54"/>
  <c r="X215" i="54"/>
  <c r="X255" i="54"/>
  <c r="X241" i="54"/>
  <c r="X233" i="54"/>
  <c r="X225" i="54"/>
  <c r="X209" i="54"/>
  <c r="X258" i="54"/>
  <c r="X247" i="54"/>
  <c r="X243" i="54"/>
  <c r="X238" i="54"/>
  <c r="X230" i="54"/>
  <c r="X211" i="54"/>
  <c r="X213" i="54"/>
  <c r="X208" i="54"/>
  <c r="X199" i="54"/>
  <c r="X246" i="54"/>
  <c r="X231" i="54"/>
  <c r="X210" i="54"/>
  <c r="X232" i="54"/>
  <c r="X262" i="54"/>
  <c r="X224" i="54"/>
  <c r="X266" i="54"/>
  <c r="X205" i="54"/>
  <c r="X226" i="54"/>
  <c r="X222" i="54"/>
  <c r="X251" i="54"/>
  <c r="X229" i="54"/>
  <c r="X206" i="54"/>
  <c r="X194" i="54"/>
  <c r="X240" i="54"/>
  <c r="X254" i="54"/>
  <c r="X244" i="54"/>
  <c r="X193" i="54"/>
  <c r="X237" i="54"/>
  <c r="X234" i="54"/>
  <c r="X223" i="54"/>
  <c r="X196" i="54"/>
  <c r="X198" i="54"/>
  <c r="Y253" i="54"/>
  <c r="Y236" i="54"/>
  <c r="Y228" i="54"/>
  <c r="Y264" i="54"/>
  <c r="Y257" i="54"/>
  <c r="Y256" i="54"/>
  <c r="Y242" i="54"/>
  <c r="Y218" i="54"/>
  <c r="Y260" i="54"/>
  <c r="Y245" i="54"/>
  <c r="Y235" i="54"/>
  <c r="Y227" i="54"/>
  <c r="Y255" i="54"/>
  <c r="Y241" i="54"/>
  <c r="Y233" i="54"/>
  <c r="Y225" i="54"/>
  <c r="Y259" i="54"/>
  <c r="Y244" i="54"/>
  <c r="Y214" i="54"/>
  <c r="Y263" i="54"/>
  <c r="Y262" i="54"/>
  <c r="Y217" i="54"/>
  <c r="Y246" i="54"/>
  <c r="Y243" i="54"/>
  <c r="Y231" i="54"/>
  <c r="Y210" i="54"/>
  <c r="Y232" i="54"/>
  <c r="Y261" i="54"/>
  <c r="Y237" i="54"/>
  <c r="Y209" i="54"/>
  <c r="Y266" i="54"/>
  <c r="Y247" i="54"/>
  <c r="Y249" i="54"/>
  <c r="Y248" i="54"/>
  <c r="Y265" i="54"/>
  <c r="Y211" i="54"/>
  <c r="Y252" i="54"/>
  <c r="Y240" i="54"/>
  <c r="Y202" i="54"/>
  <c r="Y230" i="54"/>
  <c r="Y221" i="54"/>
  <c r="Y205" i="54"/>
  <c r="Y226" i="54"/>
  <c r="Y212" i="54"/>
  <c r="Y196" i="54"/>
  <c r="Y198" i="54"/>
  <c r="X203" i="54"/>
  <c r="Z247" i="54"/>
  <c r="Y254" i="54"/>
  <c r="Z255" i="54"/>
  <c r="AM210" i="54"/>
  <c r="AM213" i="54"/>
  <c r="AM211" i="54"/>
  <c r="AM212" i="54"/>
  <c r="AM209" i="54"/>
  <c r="AM206" i="54"/>
  <c r="AM195" i="54"/>
  <c r="AM194" i="54"/>
  <c r="Z264" i="54"/>
  <c r="Z257" i="54"/>
  <c r="Z256" i="54"/>
  <c r="Z242" i="54"/>
  <c r="Z218" i="54"/>
  <c r="Z260" i="54"/>
  <c r="Z245" i="54"/>
  <c r="Z235" i="54"/>
  <c r="Z227" i="54"/>
  <c r="Z249" i="54"/>
  <c r="Z234" i="54"/>
  <c r="Z226" i="54"/>
  <c r="Z221" i="54"/>
  <c r="Z259" i="54"/>
  <c r="Z244" i="54"/>
  <c r="Z214" i="54"/>
  <c r="Z232" i="54"/>
  <c r="Z224" i="54"/>
  <c r="Z222" i="54"/>
  <c r="Z246" i="54"/>
  <c r="Z237" i="54"/>
  <c r="Z229" i="54"/>
  <c r="Z261" i="54"/>
  <c r="Z236" i="54"/>
  <c r="Z209" i="54"/>
  <c r="Z200" i="54"/>
  <c r="Z216" i="54"/>
  <c r="Z248" i="54"/>
  <c r="Z228" i="54"/>
  <c r="Z250" i="54"/>
  <c r="Z238" i="54"/>
  <c r="Z233" i="54"/>
  <c r="Z240" i="54"/>
  <c r="Z230" i="54"/>
  <c r="Z217" i="54"/>
  <c r="Z252" i="54"/>
  <c r="Z202" i="54"/>
  <c r="Z192" i="54"/>
  <c r="Z186" i="54"/>
  <c r="Z243" i="54"/>
  <c r="Z225" i="54"/>
  <c r="Z210" i="54"/>
  <c r="Z205" i="54"/>
  <c r="Z207" i="54"/>
  <c r="Z198" i="54"/>
  <c r="Z213" i="54"/>
  <c r="Z204" i="54"/>
  <c r="Z199" i="54"/>
  <c r="Z196" i="54"/>
  <c r="AM197" i="54"/>
  <c r="X202" i="54"/>
  <c r="Y203" i="54"/>
  <c r="BJ205" i="54"/>
  <c r="Y206" i="54"/>
  <c r="BJ207" i="54"/>
  <c r="Y215" i="54"/>
  <c r="Y250" i="54"/>
  <c r="Z254" i="54"/>
  <c r="Z262" i="54"/>
  <c r="T199" i="54"/>
  <c r="AA190" i="54"/>
  <c r="Z203" i="54"/>
  <c r="Z206" i="54"/>
  <c r="X207" i="54"/>
  <c r="Z215" i="54"/>
  <c r="X259" i="54"/>
  <c r="X186" i="54"/>
  <c r="Y207" i="54"/>
  <c r="Z212" i="54"/>
  <c r="X221" i="54"/>
  <c r="T204" i="54"/>
  <c r="Y199" i="54"/>
  <c r="BJ203" i="54"/>
  <c r="X204" i="54"/>
  <c r="Y208" i="54"/>
  <c r="X216" i="54"/>
  <c r="X239" i="54"/>
  <c r="X195" i="54"/>
  <c r="Y204" i="54"/>
  <c r="Z208" i="54"/>
  <c r="Y216" i="54"/>
  <c r="Y222" i="54"/>
  <c r="Y224" i="54"/>
  <c r="Y239" i="54"/>
  <c r="Z253" i="54"/>
  <c r="AU265" i="54"/>
  <c r="AU215" i="54"/>
  <c r="AU248" i="54"/>
  <c r="AU232" i="54"/>
  <c r="AU224" i="54"/>
  <c r="AU251" i="54"/>
  <c r="AU254" i="54"/>
  <c r="AU240" i="54"/>
  <c r="AU231" i="54"/>
  <c r="AU223" i="54"/>
  <c r="AU222" i="54"/>
  <c r="AU262" i="54"/>
  <c r="AU250" i="54"/>
  <c r="AU246" i="54"/>
  <c r="AU237" i="54"/>
  <c r="AU229" i="54"/>
  <c r="AU252" i="54"/>
  <c r="AU234" i="54"/>
  <c r="AU226" i="54"/>
  <c r="AU228" i="54"/>
  <c r="AU216" i="54"/>
  <c r="AU212" i="54"/>
  <c r="AU247" i="54"/>
  <c r="AU214" i="54"/>
  <c r="AU264" i="54"/>
  <c r="AU253" i="54"/>
  <c r="AU249" i="54"/>
  <c r="AU221" i="54"/>
  <c r="AU211" i="54"/>
  <c r="AU209" i="54"/>
  <c r="AU263" i="54"/>
  <c r="AU225" i="54"/>
  <c r="AU227" i="54"/>
  <c r="AU200" i="54"/>
  <c r="AU239" i="54"/>
  <c r="T212" i="54"/>
  <c r="T213" i="54"/>
  <c r="AU218" i="54"/>
  <c r="AU238" i="54"/>
  <c r="AU193" i="54"/>
  <c r="AU194" i="54"/>
  <c r="AU244" i="54"/>
  <c r="AU245" i="54"/>
  <c r="AU256" i="54"/>
  <c r="AU243" i="54"/>
  <c r="T210" i="54"/>
  <c r="AO211" i="54"/>
  <c r="L228" i="54"/>
  <c r="L261" i="54" s="1"/>
  <c r="L262" i="54" s="1"/>
  <c r="T211" i="54"/>
  <c r="BB228" i="54"/>
  <c r="Q149" i="54"/>
  <c r="T134" i="54"/>
  <c r="BG149" i="54"/>
  <c r="BJ134" i="54"/>
  <c r="T144" i="54"/>
  <c r="T141" i="54"/>
  <c r="AS145" i="54"/>
  <c r="AU148" i="54"/>
  <c r="AU162" i="54"/>
  <c r="AA130" i="54"/>
  <c r="T145" i="54"/>
  <c r="X176" i="54"/>
  <c r="X147" i="54"/>
  <c r="X171" i="54"/>
  <c r="X163" i="54"/>
  <c r="X179" i="54"/>
  <c r="X153" i="54"/>
  <c r="X170" i="54"/>
  <c r="X162" i="54"/>
  <c r="X169" i="54"/>
  <c r="X161" i="54"/>
  <c r="X156" i="54"/>
  <c r="X168" i="54"/>
  <c r="X160" i="54"/>
  <c r="X144" i="54"/>
  <c r="X166" i="54"/>
  <c r="X148" i="54"/>
  <c r="X167" i="54"/>
  <c r="X151" i="54"/>
  <c r="X177" i="54"/>
  <c r="X149" i="54"/>
  <c r="X143" i="54"/>
  <c r="X139" i="54"/>
  <c r="X165" i="54"/>
  <c r="X137" i="54"/>
  <c r="X178" i="54"/>
  <c r="X181" i="54"/>
  <c r="X152" i="54"/>
  <c r="X158" i="54"/>
  <c r="X146" i="54"/>
  <c r="X175" i="54"/>
  <c r="X173" i="54"/>
  <c r="X136" i="54"/>
  <c r="X164" i="54"/>
  <c r="X180" i="54"/>
  <c r="X141" i="54"/>
  <c r="X128" i="54"/>
  <c r="X127" i="54"/>
  <c r="X174" i="54"/>
  <c r="X134" i="54"/>
  <c r="X132" i="54"/>
  <c r="X129" i="54"/>
  <c r="T143" i="54"/>
  <c r="R146" i="54"/>
  <c r="R147" i="54"/>
  <c r="R144" i="54"/>
  <c r="T142" i="54"/>
  <c r="R135" i="54"/>
  <c r="R142" i="54"/>
  <c r="R143" i="54"/>
  <c r="R145" i="54"/>
  <c r="R148" i="54"/>
  <c r="R140" i="54"/>
  <c r="R136" i="54"/>
  <c r="T148" i="54"/>
  <c r="AS168" i="54"/>
  <c r="AS160" i="54"/>
  <c r="AS156" i="54"/>
  <c r="AS149" i="54"/>
  <c r="AS147" i="54"/>
  <c r="AS180" i="54"/>
  <c r="AS150" i="54"/>
  <c r="AS142" i="54"/>
  <c r="AS167" i="54"/>
  <c r="AS159" i="54"/>
  <c r="AS175" i="54"/>
  <c r="AS166" i="54"/>
  <c r="AS158" i="54"/>
  <c r="AS157" i="54"/>
  <c r="AS143" i="54"/>
  <c r="AS173" i="54"/>
  <c r="AS165" i="54"/>
  <c r="AS177" i="54"/>
  <c r="AS151" i="54"/>
  <c r="AS144" i="54"/>
  <c r="AS181" i="54"/>
  <c r="AS179" i="54"/>
  <c r="AS163" i="54"/>
  <c r="AS169" i="54"/>
  <c r="AS148" i="54"/>
  <c r="AS152" i="54"/>
  <c r="AS136" i="54"/>
  <c r="AS176" i="54"/>
  <c r="AS171" i="54"/>
  <c r="AS139" i="54"/>
  <c r="AS161" i="54"/>
  <c r="AS162" i="54"/>
  <c r="AS129" i="54"/>
  <c r="AS127" i="54"/>
  <c r="AS126" i="54"/>
  <c r="AS153" i="54"/>
  <c r="AS128" i="54"/>
  <c r="AS174" i="54"/>
  <c r="AS140" i="54"/>
  <c r="AS132" i="54"/>
  <c r="AS138" i="54"/>
  <c r="AS172" i="54"/>
  <c r="AS124" i="54"/>
  <c r="AS134" i="54"/>
  <c r="R137" i="54"/>
  <c r="AT168" i="54"/>
  <c r="AT160" i="54"/>
  <c r="AT156" i="54"/>
  <c r="AT149" i="54"/>
  <c r="AT147" i="54"/>
  <c r="AT180" i="54"/>
  <c r="AT150" i="54"/>
  <c r="AT167" i="54"/>
  <c r="AT159" i="54"/>
  <c r="AT175" i="54"/>
  <c r="AT166" i="54"/>
  <c r="AT158" i="54"/>
  <c r="AT157" i="54"/>
  <c r="AT181" i="54"/>
  <c r="AT174" i="54"/>
  <c r="AT151" i="54"/>
  <c r="AT177" i="54"/>
  <c r="AT144" i="54"/>
  <c r="AT179" i="54"/>
  <c r="AT173" i="54"/>
  <c r="AT163" i="54"/>
  <c r="AT164" i="54"/>
  <c r="AT178" i="54"/>
  <c r="AT176" i="54"/>
  <c r="AT171" i="54"/>
  <c r="AT139" i="54"/>
  <c r="AT128" i="54"/>
  <c r="AT137" i="54"/>
  <c r="AT169" i="54"/>
  <c r="AT153" i="54"/>
  <c r="AT145" i="54"/>
  <c r="AT138" i="54"/>
  <c r="AT172" i="54"/>
  <c r="AT152" i="54"/>
  <c r="AT143" i="54"/>
  <c r="AT124" i="54"/>
  <c r="AT170" i="54"/>
  <c r="AT133" i="54"/>
  <c r="AT134" i="54"/>
  <c r="X135" i="54"/>
  <c r="C144" i="54"/>
  <c r="C176" i="54"/>
  <c r="T147" i="54"/>
  <c r="R138" i="54"/>
  <c r="AU180" i="54"/>
  <c r="AU150" i="54"/>
  <c r="AU142" i="54"/>
  <c r="AU167" i="54"/>
  <c r="AU159" i="54"/>
  <c r="AU175" i="54"/>
  <c r="AU166" i="54"/>
  <c r="AU158" i="54"/>
  <c r="AU157" i="54"/>
  <c r="AU181" i="54"/>
  <c r="AU174" i="54"/>
  <c r="AU151" i="54"/>
  <c r="AU173" i="54"/>
  <c r="AU165" i="54"/>
  <c r="AU172" i="54"/>
  <c r="AU164" i="54"/>
  <c r="AU177" i="54"/>
  <c r="AU179" i="54"/>
  <c r="AU163" i="54"/>
  <c r="AU144" i="54"/>
  <c r="AU149" i="54"/>
  <c r="AU168" i="54"/>
  <c r="AU156" i="54"/>
  <c r="AU153" i="54"/>
  <c r="AU147" i="54"/>
  <c r="AU146" i="54"/>
  <c r="AU143" i="54"/>
  <c r="AU137" i="54"/>
  <c r="AU169" i="54"/>
  <c r="AU140" i="54"/>
  <c r="AU145" i="54"/>
  <c r="AU128" i="54"/>
  <c r="AU136" i="54"/>
  <c r="AU132" i="54"/>
  <c r="AU152" i="54"/>
  <c r="AU124" i="54"/>
  <c r="AU170" i="54"/>
  <c r="AU133" i="54"/>
  <c r="AU176" i="54"/>
  <c r="AU161" i="54"/>
  <c r="AU139" i="54"/>
  <c r="AU134" i="54"/>
  <c r="T139" i="54"/>
  <c r="R141" i="54"/>
  <c r="X138" i="54"/>
  <c r="R139" i="54"/>
  <c r="X140" i="54"/>
  <c r="BH140" i="54"/>
  <c r="AS141" i="54"/>
  <c r="AT142" i="54"/>
  <c r="AS170" i="54"/>
  <c r="AS125" i="54"/>
  <c r="BH145" i="54"/>
  <c r="BH148" i="54"/>
  <c r="BH146" i="54"/>
  <c r="BH147" i="54"/>
  <c r="BH143" i="54"/>
  <c r="BH139" i="54"/>
  <c r="BH134" i="54"/>
  <c r="BH141" i="54"/>
  <c r="BH137" i="54"/>
  <c r="R134" i="54"/>
  <c r="BH135" i="54"/>
  <c r="AT141" i="54"/>
  <c r="BJ144" i="54"/>
  <c r="AL149" i="54"/>
  <c r="T140" i="54"/>
  <c r="AT125" i="54"/>
  <c r="C175" i="54"/>
  <c r="C142" i="54"/>
  <c r="C174" i="54"/>
  <c r="C166" i="54"/>
  <c r="C158" i="54"/>
  <c r="C178" i="54"/>
  <c r="C152" i="54"/>
  <c r="C173" i="54"/>
  <c r="C165" i="54"/>
  <c r="C177" i="54"/>
  <c r="C172" i="54"/>
  <c r="C164" i="54"/>
  <c r="C171" i="54"/>
  <c r="C163" i="54"/>
  <c r="C170" i="54"/>
  <c r="C160" i="54"/>
  <c r="C157" i="54"/>
  <c r="C146" i="54"/>
  <c r="C143" i="54"/>
  <c r="C161" i="54"/>
  <c r="C148" i="54"/>
  <c r="C145" i="54"/>
  <c r="C162" i="54"/>
  <c r="C159" i="54"/>
  <c r="C137" i="54"/>
  <c r="C156" i="54"/>
  <c r="C140" i="54"/>
  <c r="C181" i="54"/>
  <c r="C151" i="54"/>
  <c r="C149" i="54"/>
  <c r="C141" i="54"/>
  <c r="C138" i="54"/>
  <c r="C133" i="54"/>
  <c r="C124" i="54"/>
  <c r="C147" i="54"/>
  <c r="C125" i="54"/>
  <c r="C134" i="54"/>
  <c r="C131" i="54"/>
  <c r="C169" i="54"/>
  <c r="C135" i="54"/>
  <c r="C126" i="54"/>
  <c r="BJ137" i="54"/>
  <c r="BH138" i="54"/>
  <c r="AU141" i="54"/>
  <c r="BH144" i="54"/>
  <c r="F128" i="54"/>
  <c r="D174" i="54"/>
  <c r="D166" i="54"/>
  <c r="D158" i="54"/>
  <c r="D178" i="54"/>
  <c r="D152" i="54"/>
  <c r="D173" i="54"/>
  <c r="D165" i="54"/>
  <c r="D143" i="54"/>
  <c r="D177" i="54"/>
  <c r="D172" i="54"/>
  <c r="D164" i="54"/>
  <c r="D179" i="54"/>
  <c r="D176" i="54"/>
  <c r="D153" i="54"/>
  <c r="D144" i="54"/>
  <c r="D170" i="54"/>
  <c r="D160" i="54"/>
  <c r="D157" i="54"/>
  <c r="D146" i="54"/>
  <c r="D175" i="54"/>
  <c r="D161" i="54"/>
  <c r="D171" i="54"/>
  <c r="D151" i="54"/>
  <c r="D142" i="54"/>
  <c r="D162" i="54"/>
  <c r="D159" i="54"/>
  <c r="D137" i="54"/>
  <c r="D156" i="54"/>
  <c r="D140" i="54"/>
  <c r="D147" i="54"/>
  <c r="AM136" i="54"/>
  <c r="Z142" i="54"/>
  <c r="D148" i="54"/>
  <c r="E151" i="54"/>
  <c r="E158" i="54"/>
  <c r="Z165" i="54"/>
  <c r="D167" i="54"/>
  <c r="E178" i="54"/>
  <c r="E152" i="54"/>
  <c r="E173" i="54"/>
  <c r="E165" i="54"/>
  <c r="E177" i="54"/>
  <c r="E172" i="54"/>
  <c r="E164" i="54"/>
  <c r="E179" i="54"/>
  <c r="E176" i="54"/>
  <c r="E153" i="54"/>
  <c r="E171" i="54"/>
  <c r="E163" i="54"/>
  <c r="E170" i="54"/>
  <c r="E162" i="54"/>
  <c r="E156" i="54"/>
  <c r="E148" i="54"/>
  <c r="E145" i="54"/>
  <c r="E143" i="54"/>
  <c r="E175" i="54"/>
  <c r="E161" i="54"/>
  <c r="E167" i="54"/>
  <c r="E157" i="54"/>
  <c r="E140" i="54"/>
  <c r="E146" i="54"/>
  <c r="E124" i="54"/>
  <c r="E138" i="54"/>
  <c r="E147" i="54"/>
  <c r="E168" i="54"/>
  <c r="T136" i="54"/>
  <c r="E126" i="54"/>
  <c r="Y127" i="54"/>
  <c r="Y128" i="54"/>
  <c r="F173" i="54"/>
  <c r="F165" i="54"/>
  <c r="F143" i="54"/>
  <c r="F177" i="54"/>
  <c r="F172" i="54"/>
  <c r="F164" i="54"/>
  <c r="F179" i="54"/>
  <c r="F176" i="54"/>
  <c r="F153" i="54"/>
  <c r="F171" i="54"/>
  <c r="F163" i="54"/>
  <c r="F180" i="54"/>
  <c r="F150" i="54"/>
  <c r="F152" i="54"/>
  <c r="F175" i="54"/>
  <c r="F161" i="54"/>
  <c r="F166" i="54"/>
  <c r="F162" i="54"/>
  <c r="F156" i="54"/>
  <c r="F145" i="54"/>
  <c r="F181" i="54"/>
  <c r="F146" i="54"/>
  <c r="F138" i="54"/>
  <c r="F131" i="54"/>
  <c r="F125" i="54"/>
  <c r="F147" i="54"/>
  <c r="F168" i="54"/>
  <c r="F178" i="54"/>
  <c r="F160" i="54"/>
  <c r="F149" i="54"/>
  <c r="F174" i="54"/>
  <c r="F142" i="54"/>
  <c r="E135" i="54"/>
  <c r="E137" i="54"/>
  <c r="Y141" i="54"/>
  <c r="BJ141" i="54"/>
  <c r="D145" i="54"/>
  <c r="T146" i="54"/>
  <c r="BJ148" i="54"/>
  <c r="E169" i="54"/>
  <c r="E131" i="54"/>
  <c r="BJ135" i="54"/>
  <c r="E160" i="54"/>
  <c r="F169" i="54"/>
  <c r="D181" i="54"/>
  <c r="Y126" i="54"/>
  <c r="Y131" i="54"/>
  <c r="F134" i="54"/>
  <c r="Y138" i="54"/>
  <c r="D139" i="54"/>
  <c r="AO142" i="54"/>
  <c r="D149" i="54"/>
  <c r="AM145" i="54"/>
  <c r="AM148" i="54"/>
  <c r="AO146" i="54"/>
  <c r="AM142" i="54"/>
  <c r="AO145" i="54"/>
  <c r="AM144" i="54"/>
  <c r="AM146" i="54"/>
  <c r="AM141" i="54"/>
  <c r="AM147" i="54"/>
  <c r="AM135" i="54"/>
  <c r="Y171" i="54"/>
  <c r="Y163" i="54"/>
  <c r="Y142" i="54"/>
  <c r="Y179" i="54"/>
  <c r="Y153" i="54"/>
  <c r="Y170" i="54"/>
  <c r="Y162" i="54"/>
  <c r="Y169" i="54"/>
  <c r="Y161" i="54"/>
  <c r="Y156" i="54"/>
  <c r="Y180" i="54"/>
  <c r="Y150" i="54"/>
  <c r="Y149" i="54"/>
  <c r="Y166" i="54"/>
  <c r="Y148" i="54"/>
  <c r="Y147" i="54"/>
  <c r="Y167" i="54"/>
  <c r="Y176" i="54"/>
  <c r="Y151" i="54"/>
  <c r="Y172" i="54"/>
  <c r="Y146" i="54"/>
  <c r="Y143" i="54"/>
  <c r="Y173" i="54"/>
  <c r="Y159" i="54"/>
  <c r="Y168" i="54"/>
  <c r="Y165" i="54"/>
  <c r="Y160" i="54"/>
  <c r="Y137" i="54"/>
  <c r="Y134" i="54"/>
  <c r="Y178" i="54"/>
  <c r="Y140" i="54"/>
  <c r="Y181" i="54"/>
  <c r="Y152" i="54"/>
  <c r="Y174" i="54"/>
  <c r="Y144" i="54"/>
  <c r="AO135" i="54"/>
  <c r="AM137" i="54"/>
  <c r="E139" i="54"/>
  <c r="D141" i="54"/>
  <c r="E149" i="54"/>
  <c r="Y164" i="54"/>
  <c r="E125" i="54"/>
  <c r="Z179" i="54"/>
  <c r="Z153" i="54"/>
  <c r="Z170" i="54"/>
  <c r="Z162" i="54"/>
  <c r="Z143" i="54"/>
  <c r="Z169" i="54"/>
  <c r="Z161" i="54"/>
  <c r="Z156" i="54"/>
  <c r="Z180" i="54"/>
  <c r="Z150" i="54"/>
  <c r="Z168" i="54"/>
  <c r="Z160" i="54"/>
  <c r="Z144" i="54"/>
  <c r="Z167" i="54"/>
  <c r="Z159" i="54"/>
  <c r="Z157" i="54"/>
  <c r="Z171" i="54"/>
  <c r="Z176" i="54"/>
  <c r="Z151" i="54"/>
  <c r="Z172" i="54"/>
  <c r="Z146" i="54"/>
  <c r="Z181" i="54"/>
  <c r="Z158" i="54"/>
  <c r="Z149" i="54"/>
  <c r="Z163" i="54"/>
  <c r="Z137" i="54"/>
  <c r="Z134" i="54"/>
  <c r="Z178" i="54"/>
  <c r="Z140" i="54"/>
  <c r="Z152" i="54"/>
  <c r="Z174" i="54"/>
  <c r="Z145" i="54"/>
  <c r="Z148" i="54"/>
  <c r="Y136" i="54"/>
  <c r="F139" i="54"/>
  <c r="E141" i="54"/>
  <c r="AO141" i="54"/>
  <c r="Z164" i="54"/>
  <c r="E166" i="54"/>
  <c r="AO147" i="54"/>
  <c r="L163" i="54"/>
  <c r="BJ146" i="54"/>
  <c r="BG89" i="54"/>
  <c r="X116" i="54"/>
  <c r="X87" i="54"/>
  <c r="X111" i="54"/>
  <c r="X103" i="54"/>
  <c r="X120" i="54"/>
  <c r="X90" i="54"/>
  <c r="X89" i="54"/>
  <c r="X88" i="54"/>
  <c r="X97" i="54"/>
  <c r="X115" i="54"/>
  <c r="X105" i="54"/>
  <c r="X79" i="54"/>
  <c r="X99" i="54"/>
  <c r="X98" i="54"/>
  <c r="X96" i="54"/>
  <c r="X108" i="54"/>
  <c r="X101" i="54"/>
  <c r="X119" i="54"/>
  <c r="X91" i="54"/>
  <c r="X71" i="54"/>
  <c r="X109" i="54"/>
  <c r="X113" i="54"/>
  <c r="X102" i="54"/>
  <c r="X76" i="54"/>
  <c r="X114" i="54"/>
  <c r="X112" i="54"/>
  <c r="X107" i="54"/>
  <c r="X78" i="54"/>
  <c r="X110" i="54"/>
  <c r="X118" i="54"/>
  <c r="X69" i="54"/>
  <c r="X92" i="54"/>
  <c r="X77" i="54"/>
  <c r="AS108" i="54"/>
  <c r="AS100" i="54"/>
  <c r="AS96" i="54"/>
  <c r="AS89" i="54"/>
  <c r="AS87" i="54"/>
  <c r="AS121" i="54"/>
  <c r="AS114" i="54"/>
  <c r="AS91" i="54"/>
  <c r="AS101" i="54"/>
  <c r="AS98" i="54"/>
  <c r="AS104" i="54"/>
  <c r="AS102" i="54"/>
  <c r="AS109" i="54"/>
  <c r="AS111" i="54"/>
  <c r="AS73" i="54"/>
  <c r="AS113" i="54"/>
  <c r="AS88" i="54"/>
  <c r="AS74" i="54"/>
  <c r="AS72" i="54"/>
  <c r="AS117" i="54"/>
  <c r="AS110" i="54"/>
  <c r="AS103" i="54"/>
  <c r="AS119" i="54"/>
  <c r="AS77" i="54"/>
  <c r="AS93" i="54"/>
  <c r="AS106" i="54"/>
  <c r="AS76" i="54"/>
  <c r="AS118" i="54"/>
  <c r="AS97" i="54"/>
  <c r="AS116" i="54"/>
  <c r="AS115" i="54"/>
  <c r="AS105" i="54"/>
  <c r="AS92" i="54"/>
  <c r="AS70" i="54"/>
  <c r="AS90" i="54"/>
  <c r="AS71" i="54"/>
  <c r="AV74" i="54"/>
  <c r="T87" i="54"/>
  <c r="AV90" i="54"/>
  <c r="X117" i="54"/>
  <c r="AV97" i="54"/>
  <c r="AS99" i="54"/>
  <c r="AS112" i="54"/>
  <c r="X93" i="54"/>
  <c r="AL89" i="54"/>
  <c r="AO79" i="54"/>
  <c r="Q89" i="54"/>
  <c r="T79" i="54"/>
  <c r="AS69" i="54"/>
  <c r="AS78" i="54"/>
  <c r="AV78" i="54"/>
  <c r="AS107" i="54"/>
  <c r="R79" i="54"/>
  <c r="R87" i="54"/>
  <c r="AV107" i="54"/>
  <c r="AV99" i="54"/>
  <c r="AV112" i="54"/>
  <c r="AV104" i="54"/>
  <c r="AV118" i="54"/>
  <c r="AV109" i="54"/>
  <c r="AV106" i="54"/>
  <c r="AV105" i="54"/>
  <c r="AV88" i="54"/>
  <c r="AV110" i="54"/>
  <c r="AV100" i="54"/>
  <c r="AV111" i="54"/>
  <c r="AV102" i="54"/>
  <c r="AV113" i="54"/>
  <c r="AV101" i="54"/>
  <c r="AV91" i="54"/>
  <c r="AV121" i="54"/>
  <c r="AV119" i="54"/>
  <c r="AV114" i="54"/>
  <c r="AV73" i="54"/>
  <c r="AV77" i="54"/>
  <c r="AV93" i="54"/>
  <c r="AV98" i="54"/>
  <c r="AV115" i="54"/>
  <c r="AV103" i="54"/>
  <c r="AV96" i="54"/>
  <c r="AV69" i="54"/>
  <c r="AV89" i="54"/>
  <c r="AV72" i="54"/>
  <c r="AV92" i="54"/>
  <c r="AV116" i="54"/>
  <c r="AV79" i="54"/>
  <c r="AV70" i="54"/>
  <c r="AV108" i="54"/>
  <c r="AV117" i="54"/>
  <c r="X121" i="54"/>
  <c r="AV71" i="54"/>
  <c r="X73" i="54"/>
  <c r="R88" i="54"/>
  <c r="X100" i="54"/>
  <c r="AT108" i="54"/>
  <c r="AT100" i="54"/>
  <c r="AT96" i="54"/>
  <c r="AT89" i="54"/>
  <c r="AT87" i="54"/>
  <c r="AT120" i="54"/>
  <c r="AT90" i="54"/>
  <c r="AT113" i="54"/>
  <c r="AT105" i="54"/>
  <c r="AT104" i="54"/>
  <c r="AT102" i="54"/>
  <c r="AT107" i="54"/>
  <c r="AT103" i="54"/>
  <c r="AT93" i="54"/>
  <c r="AT112" i="54"/>
  <c r="AT110" i="54"/>
  <c r="AT116" i="54"/>
  <c r="AT106" i="54"/>
  <c r="AT117" i="54"/>
  <c r="AT91" i="54"/>
  <c r="AT119" i="54"/>
  <c r="AT98" i="54"/>
  <c r="AT114" i="54"/>
  <c r="AT73" i="54"/>
  <c r="AT121" i="54"/>
  <c r="AT99" i="54"/>
  <c r="AT77" i="54"/>
  <c r="AT101" i="54"/>
  <c r="AU120" i="54"/>
  <c r="AU90" i="54"/>
  <c r="AU107" i="54"/>
  <c r="AU99" i="54"/>
  <c r="AU117" i="54"/>
  <c r="AU103" i="54"/>
  <c r="AU100" i="54"/>
  <c r="AU93" i="54"/>
  <c r="AU118" i="54"/>
  <c r="AU112" i="54"/>
  <c r="AU109" i="54"/>
  <c r="AU106" i="54"/>
  <c r="AU105" i="54"/>
  <c r="AU88" i="54"/>
  <c r="AU108" i="54"/>
  <c r="AU101" i="54"/>
  <c r="AU92" i="54"/>
  <c r="AU79" i="54"/>
  <c r="AU78" i="54"/>
  <c r="AU116" i="54"/>
  <c r="AU91" i="54"/>
  <c r="AU119" i="54"/>
  <c r="AU89" i="54"/>
  <c r="AU114" i="54"/>
  <c r="AU73" i="54"/>
  <c r="AU96" i="54"/>
  <c r="AU77" i="54"/>
  <c r="AU69" i="54"/>
  <c r="AU121" i="54"/>
  <c r="AU110" i="54"/>
  <c r="AU98" i="54"/>
  <c r="T88" i="54"/>
  <c r="C89" i="54"/>
  <c r="E107" i="54"/>
  <c r="F121" i="54"/>
  <c r="BH88" i="54"/>
  <c r="BH79" i="54"/>
  <c r="BH87" i="54"/>
  <c r="BJ87" i="54"/>
  <c r="F74" i="54"/>
  <c r="C115" i="54"/>
  <c r="C114" i="54"/>
  <c r="C106" i="54"/>
  <c r="C98" i="54"/>
  <c r="C119" i="54"/>
  <c r="C116" i="54"/>
  <c r="C93" i="54"/>
  <c r="C92" i="54"/>
  <c r="C97" i="54"/>
  <c r="C87" i="54"/>
  <c r="C107" i="54"/>
  <c r="C120" i="54"/>
  <c r="C108" i="54"/>
  <c r="C111" i="54"/>
  <c r="C78" i="54"/>
  <c r="C104" i="54"/>
  <c r="C70" i="54"/>
  <c r="C112" i="54"/>
  <c r="C88" i="54"/>
  <c r="C100" i="54"/>
  <c r="C105" i="54"/>
  <c r="F78" i="54"/>
  <c r="F89" i="54"/>
  <c r="E96" i="54"/>
  <c r="D99" i="54"/>
  <c r="D102" i="54"/>
  <c r="C109" i="54"/>
  <c r="C71" i="54"/>
  <c r="AT72" i="54"/>
  <c r="D114" i="54"/>
  <c r="D106" i="54"/>
  <c r="D98" i="54"/>
  <c r="D118" i="54"/>
  <c r="D92" i="54"/>
  <c r="D111" i="54"/>
  <c r="D103" i="54"/>
  <c r="D115" i="54"/>
  <c r="D93" i="54"/>
  <c r="D104" i="54"/>
  <c r="D91" i="54"/>
  <c r="D90" i="54"/>
  <c r="D69" i="54"/>
  <c r="D108" i="54"/>
  <c r="D107" i="54"/>
  <c r="D70" i="54"/>
  <c r="D100" i="54"/>
  <c r="D105" i="54"/>
  <c r="D97" i="54"/>
  <c r="D79" i="54"/>
  <c r="D116" i="54"/>
  <c r="D112" i="54"/>
  <c r="D88" i="54"/>
  <c r="C76" i="54"/>
  <c r="AT92" i="54"/>
  <c r="E99" i="54"/>
  <c r="E102" i="54"/>
  <c r="D109" i="54"/>
  <c r="F114" i="54"/>
  <c r="AT115" i="54"/>
  <c r="AU72" i="54"/>
  <c r="E118" i="54"/>
  <c r="E92" i="54"/>
  <c r="E113" i="54"/>
  <c r="E105" i="54"/>
  <c r="E115" i="54"/>
  <c r="E114" i="54"/>
  <c r="E97" i="54"/>
  <c r="E87" i="54"/>
  <c r="E120" i="54"/>
  <c r="E117" i="54"/>
  <c r="E116" i="54"/>
  <c r="E103" i="54"/>
  <c r="E76" i="54"/>
  <c r="E70" i="54"/>
  <c r="E109" i="54"/>
  <c r="E104" i="54"/>
  <c r="E100" i="54"/>
  <c r="E108" i="54"/>
  <c r="E112" i="54"/>
  <c r="E88" i="54"/>
  <c r="E71" i="54"/>
  <c r="E101" i="54"/>
  <c r="E91" i="54"/>
  <c r="E79" i="54"/>
  <c r="F99" i="54"/>
  <c r="AU115" i="54"/>
  <c r="AT79" i="54"/>
  <c r="F113" i="54"/>
  <c r="F105" i="54"/>
  <c r="F117" i="54"/>
  <c r="F110" i="54"/>
  <c r="F102" i="54"/>
  <c r="F96" i="54"/>
  <c r="F88" i="54"/>
  <c r="F92" i="54"/>
  <c r="F104" i="54"/>
  <c r="F91" i="54"/>
  <c r="F115" i="54"/>
  <c r="F120" i="54"/>
  <c r="F118" i="54"/>
  <c r="F108" i="54"/>
  <c r="F109" i="54"/>
  <c r="F112" i="54"/>
  <c r="F97" i="54"/>
  <c r="F116" i="54"/>
  <c r="F101" i="54"/>
  <c r="F79" i="54"/>
  <c r="F76" i="54"/>
  <c r="F71" i="54"/>
  <c r="E93" i="54"/>
  <c r="AT97" i="54"/>
  <c r="C101" i="54"/>
  <c r="E106" i="54"/>
  <c r="AT118" i="54"/>
  <c r="Z72" i="54"/>
  <c r="Y89" i="54"/>
  <c r="Y91" i="54"/>
  <c r="BB103" i="54"/>
  <c r="Z109" i="54"/>
  <c r="Y76" i="54"/>
  <c r="Z91" i="54"/>
  <c r="Y102" i="54"/>
  <c r="Y113" i="54"/>
  <c r="AM88" i="54"/>
  <c r="AM87" i="54"/>
  <c r="Y111" i="54"/>
  <c r="Y103" i="54"/>
  <c r="Y119" i="54"/>
  <c r="Y93" i="54"/>
  <c r="Y108" i="54"/>
  <c r="Y100" i="54"/>
  <c r="Y97" i="54"/>
  <c r="Y90" i="54"/>
  <c r="Y120" i="54"/>
  <c r="Y88" i="54"/>
  <c r="Y118" i="54"/>
  <c r="Y107" i="54"/>
  <c r="Y106" i="54"/>
  <c r="Y110" i="54"/>
  <c r="Y104" i="54"/>
  <c r="Y92" i="54"/>
  <c r="Y96" i="54"/>
  <c r="Y87" i="54"/>
  <c r="Z76" i="54"/>
  <c r="Y105" i="54"/>
  <c r="Z113" i="54"/>
  <c r="Z119" i="54"/>
  <c r="Z93" i="54"/>
  <c r="Z110" i="54"/>
  <c r="Z102" i="54"/>
  <c r="Z89" i="54"/>
  <c r="Z90" i="54"/>
  <c r="Z120" i="54"/>
  <c r="Z99" i="54"/>
  <c r="Z98" i="54"/>
  <c r="Z77" i="54"/>
  <c r="Z71" i="54"/>
  <c r="Z87" i="54"/>
  <c r="Z112" i="54"/>
  <c r="Z105" i="54"/>
  <c r="Z100" i="54"/>
  <c r="Z88" i="54"/>
  <c r="Z97" i="54"/>
  <c r="Z108" i="54"/>
  <c r="C20" i="54"/>
  <c r="C27" i="54"/>
  <c r="C30" i="54"/>
  <c r="C33" i="54"/>
  <c r="Y22" i="54"/>
  <c r="E63" i="54"/>
  <c r="E39" i="54"/>
  <c r="E52" i="54"/>
  <c r="E62" i="54"/>
  <c r="E51" i="54"/>
  <c r="E64" i="54"/>
  <c r="E40" i="54"/>
  <c r="E49" i="54"/>
  <c r="E43" i="54"/>
  <c r="E35" i="54"/>
  <c r="E46" i="54"/>
  <c r="E36" i="54"/>
  <c r="E50" i="54"/>
  <c r="E44" i="54"/>
  <c r="E61" i="54"/>
  <c r="E48" i="54"/>
  <c r="E45" i="54"/>
  <c r="E66" i="54"/>
  <c r="E53" i="54"/>
  <c r="E47" i="54"/>
  <c r="E24" i="54"/>
  <c r="E28" i="54"/>
  <c r="E22" i="54"/>
  <c r="E31" i="54"/>
  <c r="E29" i="54"/>
  <c r="E23" i="54"/>
  <c r="E32" i="54"/>
  <c r="E25" i="54"/>
  <c r="E65" i="54"/>
  <c r="E37" i="54"/>
  <c r="E27" i="54"/>
  <c r="E21" i="54"/>
  <c r="E20" i="54"/>
  <c r="F26" i="54"/>
  <c r="E30" i="54"/>
  <c r="E33" i="54"/>
  <c r="E38" i="54"/>
  <c r="C53" i="54"/>
  <c r="C45" i="54"/>
  <c r="C63" i="54"/>
  <c r="C39" i="54"/>
  <c r="C52" i="54"/>
  <c r="C62" i="54"/>
  <c r="C64" i="54"/>
  <c r="C40" i="54"/>
  <c r="C50" i="54"/>
  <c r="C61" i="54"/>
  <c r="C47" i="54"/>
  <c r="C44" i="54"/>
  <c r="C46" i="54"/>
  <c r="C38" i="54"/>
  <c r="C37" i="54"/>
  <c r="C35" i="54"/>
  <c r="C51" i="54"/>
  <c r="C66" i="54"/>
  <c r="C48" i="54"/>
  <c r="C34" i="54"/>
  <c r="C28" i="54"/>
  <c r="C22" i="54"/>
  <c r="C65" i="54"/>
  <c r="C36" i="54"/>
  <c r="C24" i="54"/>
  <c r="C31" i="54"/>
  <c r="C49" i="54"/>
  <c r="C29" i="54"/>
  <c r="C23" i="54"/>
  <c r="C25" i="54"/>
  <c r="X28" i="54"/>
  <c r="Z64" i="54"/>
  <c r="Z40" i="54"/>
  <c r="Z43" i="54"/>
  <c r="Z65" i="54"/>
  <c r="Z37" i="54"/>
  <c r="Z36" i="54"/>
  <c r="Z38" i="54"/>
  <c r="Z39" i="54"/>
  <c r="Z63" i="54"/>
  <c r="Z35" i="54"/>
  <c r="Z29" i="54"/>
  <c r="Z66" i="54"/>
  <c r="Z31" i="54"/>
  <c r="Z32" i="54"/>
  <c r="Z20" i="54"/>
  <c r="Z28" i="54"/>
  <c r="Z22" i="54"/>
  <c r="Y28" i="54"/>
  <c r="Z23" i="54"/>
  <c r="Z25" i="54"/>
  <c r="AV35" i="54"/>
  <c r="C21" i="54"/>
  <c r="Z34" i="54"/>
  <c r="C32" i="54"/>
  <c r="Y64" i="54"/>
  <c r="Y40" i="54"/>
  <c r="Y43" i="54"/>
  <c r="Y36" i="54"/>
  <c r="Y63" i="54"/>
  <c r="Y39" i="54"/>
  <c r="Y38" i="54"/>
  <c r="Y37" i="54"/>
  <c r="Y34" i="54"/>
  <c r="Y25" i="54"/>
  <c r="Y24" i="54"/>
  <c r="Y23" i="54"/>
  <c r="Y35" i="54"/>
  <c r="Y29" i="54"/>
  <c r="Y66" i="54"/>
  <c r="Y20" i="54"/>
  <c r="Y31" i="54"/>
  <c r="Y65" i="54"/>
  <c r="Z30" i="54"/>
  <c r="Y33" i="54"/>
  <c r="C43" i="54"/>
  <c r="X64" i="54"/>
  <c r="X40" i="54"/>
  <c r="X65" i="54"/>
  <c r="X37" i="54"/>
  <c r="X36" i="54"/>
  <c r="X66" i="54"/>
  <c r="X43" i="54"/>
  <c r="X63" i="54"/>
  <c r="X29" i="54"/>
  <c r="X34" i="54"/>
  <c r="X25" i="54"/>
  <c r="X24" i="54"/>
  <c r="X23" i="54"/>
  <c r="X35" i="54"/>
  <c r="X31" i="54"/>
  <c r="X39" i="54"/>
  <c r="X33" i="54"/>
  <c r="X30" i="54"/>
  <c r="AF23" i="54"/>
  <c r="X21" i="54"/>
  <c r="AM35" i="54"/>
  <c r="AM32" i="54"/>
  <c r="AM33" i="54"/>
  <c r="AM30" i="54"/>
  <c r="AM34" i="54"/>
  <c r="AM31" i="54"/>
  <c r="Z33" i="54"/>
  <c r="AV64" i="54"/>
  <c r="Q36" i="54"/>
  <c r="Y21" i="54"/>
  <c r="Z21" i="54"/>
  <c r="AL36" i="54"/>
  <c r="AO30" i="54"/>
  <c r="X32" i="54"/>
  <c r="AV66" i="54"/>
  <c r="AV38" i="54"/>
  <c r="AV63" i="54"/>
  <c r="AV39" i="54"/>
  <c r="AV37" i="54"/>
  <c r="AV40" i="54"/>
  <c r="AV43" i="54"/>
  <c r="AV36" i="54"/>
  <c r="AV20" i="54"/>
  <c r="AV32" i="54"/>
  <c r="AV27" i="54"/>
  <c r="AV21" i="54"/>
  <c r="AV31" i="54"/>
  <c r="AV28" i="54"/>
  <c r="AV23" i="54"/>
  <c r="AV22" i="54"/>
  <c r="AV65" i="54"/>
  <c r="AV25" i="54"/>
  <c r="AV29" i="54"/>
  <c r="Y32" i="54"/>
  <c r="E34" i="54"/>
  <c r="AO34" i="54"/>
  <c r="AS24" i="54"/>
  <c r="AU29" i="54"/>
  <c r="AU30" i="54"/>
  <c r="AT33" i="54"/>
  <c r="D44" i="54"/>
  <c r="AS21" i="54"/>
  <c r="BA23" i="54"/>
  <c r="AU25" i="54"/>
  <c r="AS27" i="54"/>
  <c r="AT31" i="54"/>
  <c r="AA32" i="54"/>
  <c r="AT39" i="54"/>
  <c r="AA20" i="54"/>
  <c r="AT21" i="54"/>
  <c r="AT27" i="54"/>
  <c r="BG36" i="54"/>
  <c r="AU31" i="54"/>
  <c r="AU39" i="54"/>
  <c r="D49" i="54"/>
  <c r="AA43" i="54"/>
  <c r="AA65" i="54"/>
  <c r="AA37" i="54"/>
  <c r="AA66" i="54"/>
  <c r="AA38" i="54"/>
  <c r="AA36" i="54"/>
  <c r="AA64" i="54"/>
  <c r="AA63" i="54"/>
  <c r="AA40" i="54"/>
  <c r="AA35" i="54"/>
  <c r="AA39" i="54"/>
  <c r="AA27" i="54"/>
  <c r="AU21" i="54"/>
  <c r="AS43" i="54"/>
  <c r="AS36" i="54"/>
  <c r="AS65" i="54"/>
  <c r="AS37" i="54"/>
  <c r="AS66" i="54"/>
  <c r="AS38" i="54"/>
  <c r="AS35" i="54"/>
  <c r="AS64" i="54"/>
  <c r="AS63" i="54"/>
  <c r="AS40" i="54"/>
  <c r="AS39" i="54"/>
  <c r="AU27" i="54"/>
  <c r="AS20" i="54"/>
  <c r="AT43" i="54"/>
  <c r="AT36" i="54"/>
  <c r="AT65" i="54"/>
  <c r="AT37" i="54"/>
  <c r="AT64" i="54"/>
  <c r="AT40" i="54"/>
  <c r="AT38" i="54"/>
  <c r="AT35" i="54"/>
  <c r="AA31" i="54"/>
  <c r="AT66" i="54"/>
  <c r="AU20" i="54"/>
  <c r="D22" i="54"/>
  <c r="BH35" i="54"/>
  <c r="D28" i="54"/>
  <c r="R33" i="54"/>
  <c r="AS34" i="54"/>
  <c r="R30" i="54"/>
  <c r="BH32" i="54"/>
  <c r="AT34" i="54"/>
  <c r="AU36" i="54"/>
  <c r="AU65" i="54"/>
  <c r="AU37" i="54"/>
  <c r="AU66" i="54"/>
  <c r="AU38" i="54"/>
  <c r="AU64" i="54"/>
  <c r="AU35" i="54"/>
  <c r="AU40" i="54"/>
  <c r="AU43" i="54"/>
  <c r="D53" i="54"/>
  <c r="D45" i="54"/>
  <c r="D63" i="54"/>
  <c r="D39" i="54"/>
  <c r="D52" i="54"/>
  <c r="D62" i="54"/>
  <c r="D51" i="54"/>
  <c r="D50" i="54"/>
  <c r="D66" i="54"/>
  <c r="D38" i="54"/>
  <c r="D35" i="54"/>
  <c r="D61" i="54"/>
  <c r="D43" i="54"/>
  <c r="D36" i="54"/>
  <c r="D65" i="54"/>
  <c r="D64" i="54"/>
  <c r="AA29" i="54"/>
  <c r="AU34" i="54"/>
  <c r="T35" i="54"/>
  <c r="AO35" i="54"/>
  <c r="BO3" i="54"/>
  <c r="F173" i="106" l="1"/>
  <c r="E173" i="106"/>
  <c r="D175" i="106" s="1" a="1"/>
  <c r="D175" i="106" s="1"/>
  <c r="BH518" i="60"/>
  <c r="BJ413" i="60"/>
  <c r="BH337" i="60"/>
  <c r="BJ370" i="60"/>
  <c r="BJ438" i="60"/>
  <c r="BH308" i="60"/>
  <c r="BH539" i="60"/>
  <c r="BJ252" i="60"/>
  <c r="BJ454" i="60"/>
  <c r="BJ185" i="60"/>
  <c r="BJ64" i="60"/>
  <c r="BM470" i="60"/>
  <c r="BG470" i="60" s="1"/>
  <c r="BH470" i="60" s="1"/>
  <c r="BM352" i="60"/>
  <c r="BG352" i="60" s="1"/>
  <c r="BH352" i="60" s="1"/>
  <c r="BM380" i="60"/>
  <c r="BG380" i="60" s="1"/>
  <c r="BH380" i="60" s="1"/>
  <c r="BM410" i="60"/>
  <c r="BG410" i="60" s="1"/>
  <c r="BJ410" i="60" s="1"/>
  <c r="BM490" i="60"/>
  <c r="BG490" i="60" s="1"/>
  <c r="BJ490" i="60" s="1"/>
  <c r="BM533" i="60"/>
  <c r="BG533" i="60" s="1"/>
  <c r="BH533" i="60" s="1"/>
  <c r="BM145" i="60"/>
  <c r="BG145" i="60" s="1"/>
  <c r="BH145" i="60" s="1"/>
  <c r="BM140" i="60"/>
  <c r="BG140" i="60" s="1"/>
  <c r="BJ140" i="60" s="1"/>
  <c r="BM542" i="60"/>
  <c r="BG542" i="60" s="1"/>
  <c r="BH542" i="60" s="1"/>
  <c r="BM508" i="60"/>
  <c r="BG508" i="60" s="1"/>
  <c r="BH508" i="60" s="1"/>
  <c r="BM254" i="60"/>
  <c r="BG254" i="60" s="1"/>
  <c r="BH254" i="60" s="1"/>
  <c r="BM383" i="60"/>
  <c r="BG383" i="60" s="1"/>
  <c r="BH383" i="60" s="1"/>
  <c r="BM382" i="60"/>
  <c r="BG382" i="60" s="1"/>
  <c r="BH382" i="60" s="1"/>
  <c r="BM237" i="60"/>
  <c r="BG237" i="60" s="1"/>
  <c r="BH237" i="60" s="1"/>
  <c r="BM440" i="60"/>
  <c r="BG440" i="60" s="1"/>
  <c r="BH440" i="60" s="1"/>
  <c r="BM364" i="60"/>
  <c r="BG364" i="60" s="1"/>
  <c r="BH364" i="60" s="1"/>
  <c r="BM261" i="60"/>
  <c r="BG261" i="60" s="1"/>
  <c r="BH261" i="60" s="1"/>
  <c r="BM328" i="60"/>
  <c r="BG328" i="60" s="1"/>
  <c r="BM361" i="60"/>
  <c r="BG361" i="60" s="1"/>
  <c r="BH361" i="60" s="1"/>
  <c r="BM348" i="60"/>
  <c r="BG348" i="60" s="1"/>
  <c r="BH348" i="60" s="1"/>
  <c r="BM123" i="60"/>
  <c r="BG123" i="60" s="1"/>
  <c r="BH123" i="60" s="1"/>
  <c r="BM183" i="60"/>
  <c r="BG183" i="60" s="1"/>
  <c r="BJ183" i="60" s="1"/>
  <c r="BM496" i="60"/>
  <c r="BG496" i="60" s="1"/>
  <c r="BH496" i="60" s="1"/>
  <c r="BJ306" i="60"/>
  <c r="BM381" i="60"/>
  <c r="BG381" i="60" s="1"/>
  <c r="BJ381" i="60" s="1"/>
  <c r="BM118" i="60"/>
  <c r="BG118" i="60" s="1"/>
  <c r="BJ118" i="60" s="1"/>
  <c r="BM467" i="60"/>
  <c r="BG467" i="60" s="1"/>
  <c r="BH467" i="60" s="1"/>
  <c r="BM481" i="60"/>
  <c r="BG481" i="60" s="1"/>
  <c r="BH481" i="60" s="1"/>
  <c r="BM121" i="60"/>
  <c r="BG121" i="60" s="1"/>
  <c r="BJ121" i="60" s="1"/>
  <c r="BM243" i="60"/>
  <c r="BG243" i="60" s="1"/>
  <c r="BH243" i="60" s="1"/>
  <c r="BM460" i="60"/>
  <c r="BG460" i="60" s="1"/>
  <c r="BH460" i="60" s="1"/>
  <c r="BM400" i="60"/>
  <c r="BG400" i="60" s="1"/>
  <c r="BH400" i="60" s="1"/>
  <c r="BM142" i="60"/>
  <c r="BG142" i="60" s="1"/>
  <c r="BH142" i="60" s="1"/>
  <c r="BM256" i="60"/>
  <c r="BG256" i="60" s="1"/>
  <c r="BH256" i="60" s="1"/>
  <c r="BM191" i="60"/>
  <c r="BG191" i="60" s="1"/>
  <c r="BJ191" i="60" s="1"/>
  <c r="BM516" i="60"/>
  <c r="BG516" i="60" s="1"/>
  <c r="BJ516" i="60" s="1"/>
  <c r="BM165" i="60"/>
  <c r="BG165" i="60" s="1"/>
  <c r="BH165" i="60" s="1"/>
  <c r="BM451" i="60"/>
  <c r="BG451" i="60" s="1"/>
  <c r="BH451" i="60" s="1"/>
  <c r="BM112" i="60"/>
  <c r="BG112" i="60" s="1"/>
  <c r="BJ112" i="60" s="1"/>
  <c r="BM336" i="60"/>
  <c r="BG336" i="60" s="1"/>
  <c r="BH336" i="60" s="1"/>
  <c r="BM260" i="60"/>
  <c r="BG260" i="60" s="1"/>
  <c r="BH260" i="60" s="1"/>
  <c r="BM137" i="60"/>
  <c r="BG137" i="60" s="1"/>
  <c r="BH137" i="60" s="1"/>
  <c r="BM294" i="60"/>
  <c r="BG294" i="60" s="1"/>
  <c r="BJ294" i="60" s="1"/>
  <c r="BM204" i="60"/>
  <c r="BG204" i="60" s="1"/>
  <c r="BH204" i="60" s="1"/>
  <c r="BM534" i="60"/>
  <c r="BG534" i="60" s="1"/>
  <c r="BH534" i="60" s="1"/>
  <c r="BJ511" i="60"/>
  <c r="BM456" i="60"/>
  <c r="BG456" i="60" s="1"/>
  <c r="BH456" i="60" s="1"/>
  <c r="BM377" i="60"/>
  <c r="BG377" i="60" s="1"/>
  <c r="BH377" i="60" s="1"/>
  <c r="BM397" i="60"/>
  <c r="BG397" i="60" s="1"/>
  <c r="BH397" i="60" s="1"/>
  <c r="BM152" i="60"/>
  <c r="BG152" i="60" s="1"/>
  <c r="BJ152" i="60" s="1"/>
  <c r="BM386" i="60"/>
  <c r="BG386" i="60" s="1"/>
  <c r="BH386" i="60" s="1"/>
  <c r="BM398" i="60"/>
  <c r="BG398" i="60" s="1"/>
  <c r="BJ398" i="60" s="1"/>
  <c r="BM471" i="60"/>
  <c r="BG471" i="60" s="1"/>
  <c r="BJ471" i="60" s="1"/>
  <c r="BM127" i="60"/>
  <c r="BG127" i="60" s="1"/>
  <c r="BH127" i="60" s="1"/>
  <c r="BM422" i="60"/>
  <c r="BG422" i="60" s="1"/>
  <c r="BH422" i="60" s="1"/>
  <c r="BM412" i="60"/>
  <c r="BG412" i="60" s="1"/>
  <c r="BH412" i="60" s="1"/>
  <c r="BM296" i="60"/>
  <c r="BG296" i="60" s="1"/>
  <c r="BH296" i="60" s="1"/>
  <c r="BM316" i="60"/>
  <c r="BG316" i="60" s="1"/>
  <c r="BH316" i="60" s="1"/>
  <c r="BM281" i="60"/>
  <c r="BG281" i="60" s="1"/>
  <c r="BH281" i="60" s="1"/>
  <c r="BM453" i="60"/>
  <c r="BG453" i="60" s="1"/>
  <c r="BH453" i="60" s="1"/>
  <c r="BM235" i="60"/>
  <c r="BG235" i="60" s="1"/>
  <c r="BJ235" i="60" s="1"/>
  <c r="BM335" i="60"/>
  <c r="BG335" i="60" s="1"/>
  <c r="BH335" i="60" s="1"/>
  <c r="BM399" i="60"/>
  <c r="BG399" i="60" s="1"/>
  <c r="BH399" i="60" s="1"/>
  <c r="BM462" i="60"/>
  <c r="BG462" i="60" s="1"/>
  <c r="BJ462" i="60" s="1"/>
  <c r="BM544" i="60"/>
  <c r="BG544" i="60" s="1"/>
  <c r="BH544" i="60" s="1"/>
  <c r="BJ188" i="60"/>
  <c r="BM526" i="60"/>
  <c r="BG526" i="60" s="1"/>
  <c r="BH526" i="60" s="1"/>
  <c r="BM345" i="60"/>
  <c r="BG345" i="60" s="1"/>
  <c r="BH345" i="60" s="1"/>
  <c r="BM272" i="60"/>
  <c r="BG272" i="60" s="1"/>
  <c r="BH272" i="60" s="1"/>
  <c r="BM529" i="60"/>
  <c r="BG529" i="60" s="1"/>
  <c r="BH529" i="60" s="1"/>
  <c r="BM548" i="60"/>
  <c r="BG548" i="60" s="1"/>
  <c r="BH548" i="60" s="1"/>
  <c r="BM479" i="60"/>
  <c r="BG479" i="60" s="1"/>
  <c r="BH479" i="60" s="1"/>
  <c r="BM159" i="60"/>
  <c r="BG159" i="60" s="1"/>
  <c r="BH159" i="60" s="1"/>
  <c r="BM177" i="60"/>
  <c r="BG177" i="60" s="1"/>
  <c r="BH177" i="60" s="1"/>
  <c r="BM313" i="60"/>
  <c r="BG313" i="60" s="1"/>
  <c r="BH313" i="60" s="1"/>
  <c r="BM322" i="60"/>
  <c r="BG322" i="60" s="1"/>
  <c r="BM233" i="60"/>
  <c r="BG233" i="60" s="1"/>
  <c r="BJ233" i="60" s="1"/>
  <c r="BM207" i="60"/>
  <c r="BG207" i="60" s="1"/>
  <c r="BH207" i="60" s="1"/>
  <c r="BM497" i="60"/>
  <c r="BG497" i="60" s="1"/>
  <c r="BH497" i="60" s="1"/>
  <c r="BM482" i="60"/>
  <c r="BG482" i="60" s="1"/>
  <c r="BH482" i="60" s="1"/>
  <c r="BM229" i="60"/>
  <c r="BG229" i="60" s="1"/>
  <c r="BH229" i="60" s="1"/>
  <c r="BM150" i="60"/>
  <c r="BG150" i="60" s="1"/>
  <c r="BH150" i="60" s="1"/>
  <c r="BM124" i="60"/>
  <c r="BG124" i="60" s="1"/>
  <c r="BJ124" i="60" s="1"/>
  <c r="BM414" i="60"/>
  <c r="BG414" i="60" s="1"/>
  <c r="BH414" i="60" s="1"/>
  <c r="BM213" i="60"/>
  <c r="BG213" i="60" s="1"/>
  <c r="BH213" i="60" s="1"/>
  <c r="BM197" i="60"/>
  <c r="BG197" i="60" s="1"/>
  <c r="BH197" i="60" s="1"/>
  <c r="BM357" i="60"/>
  <c r="BG357" i="60" s="1"/>
  <c r="BH357" i="60" s="1"/>
  <c r="BM244" i="60"/>
  <c r="BG244" i="60" s="1"/>
  <c r="BH244" i="60" s="1"/>
  <c r="BM259" i="60"/>
  <c r="BG259" i="60" s="1"/>
  <c r="BH259" i="60" s="1"/>
  <c r="BM379" i="60"/>
  <c r="BG379" i="60" s="1"/>
  <c r="BJ379" i="60" s="1"/>
  <c r="BM388" i="60"/>
  <c r="BG388" i="60" s="1"/>
  <c r="BH388" i="60" s="1"/>
  <c r="BM179" i="60"/>
  <c r="BG179" i="60" s="1"/>
  <c r="BJ179" i="60" s="1"/>
  <c r="BM515" i="60"/>
  <c r="BG515" i="60" s="1"/>
  <c r="BH515" i="60" s="1"/>
  <c r="BM276" i="60"/>
  <c r="BG276" i="60" s="1"/>
  <c r="BH276" i="60" s="1"/>
  <c r="BM134" i="60"/>
  <c r="BG134" i="60" s="1"/>
  <c r="BH134" i="60" s="1"/>
  <c r="BM366" i="60"/>
  <c r="BG366" i="60" s="1"/>
  <c r="BH366" i="60" s="1"/>
  <c r="BM160" i="60"/>
  <c r="BG160" i="60" s="1"/>
  <c r="BH160" i="60" s="1"/>
  <c r="BM210" i="60"/>
  <c r="BG210" i="60" s="1"/>
  <c r="BH210" i="60" s="1"/>
  <c r="BM517" i="60"/>
  <c r="BG517" i="60" s="1"/>
  <c r="BH517" i="60" s="1"/>
  <c r="BM528" i="60"/>
  <c r="BG528" i="60" s="1"/>
  <c r="BJ528" i="60" s="1"/>
  <c r="BM426" i="60"/>
  <c r="BG426" i="60" s="1"/>
  <c r="BJ426" i="60" s="1"/>
  <c r="BM500" i="60"/>
  <c r="BG500" i="60" s="1"/>
  <c r="BJ500" i="60" s="1"/>
  <c r="BM409" i="60"/>
  <c r="BG409" i="60" s="1"/>
  <c r="BH409" i="60" s="1"/>
  <c r="BM198" i="60"/>
  <c r="BG198" i="60" s="1"/>
  <c r="BJ198" i="60" s="1"/>
  <c r="BM125" i="60"/>
  <c r="BG125" i="60" s="1"/>
  <c r="BH125" i="60" s="1"/>
  <c r="BM546" i="60"/>
  <c r="BG546" i="60" s="1"/>
  <c r="BH546" i="60" s="1"/>
  <c r="BM487" i="60"/>
  <c r="BG487" i="60" s="1"/>
  <c r="BH487" i="60" s="1"/>
  <c r="BM307" i="60"/>
  <c r="BG307" i="60" s="1"/>
  <c r="BH307" i="60" s="1"/>
  <c r="BM133" i="60"/>
  <c r="BG133" i="60" s="1"/>
  <c r="BH133" i="60" s="1"/>
  <c r="BM268" i="60"/>
  <c r="BG268" i="60" s="1"/>
  <c r="BJ268" i="60" s="1"/>
  <c r="BM473" i="60"/>
  <c r="BG473" i="60" s="1"/>
  <c r="BH473" i="60" s="1"/>
  <c r="BM432" i="60"/>
  <c r="BG432" i="60" s="1"/>
  <c r="BH432" i="60" s="1"/>
  <c r="BM450" i="60"/>
  <c r="BG450" i="60" s="1"/>
  <c r="BH450" i="60" s="1"/>
  <c r="BM266" i="60"/>
  <c r="BG266" i="60" s="1"/>
  <c r="BJ266" i="60" s="1"/>
  <c r="BM362" i="60"/>
  <c r="BG362" i="60" s="1"/>
  <c r="BJ362" i="60" s="1"/>
  <c r="BM476" i="60"/>
  <c r="BG476" i="60" s="1"/>
  <c r="BH476" i="60" s="1"/>
  <c r="BM431" i="60"/>
  <c r="BG431" i="60" s="1"/>
  <c r="BJ431" i="60" s="1"/>
  <c r="BM444" i="60"/>
  <c r="BG444" i="60" s="1"/>
  <c r="BH444" i="60" s="1"/>
  <c r="BM369" i="60"/>
  <c r="BG369" i="60" s="1"/>
  <c r="BH369" i="60" s="1"/>
  <c r="BM338" i="60"/>
  <c r="BG338" i="60" s="1"/>
  <c r="BH338" i="60" s="1"/>
  <c r="BM289" i="60"/>
  <c r="BG289" i="60" s="1"/>
  <c r="BH289" i="60" s="1"/>
  <c r="BM390" i="60"/>
  <c r="BG390" i="60" s="1"/>
  <c r="BH390" i="60" s="1"/>
  <c r="BM116" i="60"/>
  <c r="BG116" i="60" s="1"/>
  <c r="BH116" i="60" s="1"/>
  <c r="BM368" i="60"/>
  <c r="BG368" i="60" s="1"/>
  <c r="BH368" i="60" s="1"/>
  <c r="BM391" i="60"/>
  <c r="BG391" i="60" s="1"/>
  <c r="BH391" i="60" s="1"/>
  <c r="BJ318" i="60"/>
  <c r="BM503" i="60"/>
  <c r="BG503" i="60" s="1"/>
  <c r="BH503" i="60" s="1"/>
  <c r="BM295" i="60"/>
  <c r="BG295" i="60" s="1"/>
  <c r="BH295" i="60" s="1"/>
  <c r="BM543" i="60"/>
  <c r="BG543" i="60" s="1"/>
  <c r="BH543" i="60" s="1"/>
  <c r="BM403" i="60"/>
  <c r="BG403" i="60" s="1"/>
  <c r="BJ403" i="60" s="1"/>
  <c r="BM200" i="60"/>
  <c r="BG200" i="60" s="1"/>
  <c r="BJ200" i="60" s="1"/>
  <c r="BM304" i="60"/>
  <c r="BG304" i="60" s="1"/>
  <c r="BH304" i="60" s="1"/>
  <c r="BM531" i="60"/>
  <c r="BG531" i="60" s="1"/>
  <c r="BJ531" i="60" s="1"/>
  <c r="BM103" i="60"/>
  <c r="BG103" i="60" s="1"/>
  <c r="BJ103" i="60" s="1"/>
  <c r="BM105" i="60"/>
  <c r="BG105" i="60" s="1"/>
  <c r="BH105" i="60" s="1"/>
  <c r="BM435" i="60"/>
  <c r="BG435" i="60" s="1"/>
  <c r="BH435" i="60" s="1"/>
  <c r="BM461" i="60"/>
  <c r="BG461" i="60" s="1"/>
  <c r="BH461" i="60" s="1"/>
  <c r="BM402" i="60"/>
  <c r="BG402" i="60" s="1"/>
  <c r="BH402" i="60" s="1"/>
  <c r="BJ146" i="60"/>
  <c r="BM270" i="60"/>
  <c r="BG270" i="60" s="1"/>
  <c r="BH270" i="60" s="1"/>
  <c r="BM246" i="60"/>
  <c r="BG246" i="60" s="1"/>
  <c r="BH246" i="60" s="1"/>
  <c r="BM474" i="60"/>
  <c r="BG474" i="60" s="1"/>
  <c r="BJ474" i="60" s="1"/>
  <c r="BM371" i="60"/>
  <c r="BG371" i="60" s="1"/>
  <c r="BH371" i="60" s="1"/>
  <c r="BM292" i="60"/>
  <c r="BG292" i="60" s="1"/>
  <c r="BH292" i="60" s="1"/>
  <c r="BM389" i="60"/>
  <c r="BG389" i="60" s="1"/>
  <c r="BH389" i="60" s="1"/>
  <c r="BM393" i="60"/>
  <c r="BG393" i="60" s="1"/>
  <c r="BJ393" i="60" s="1"/>
  <c r="BM290" i="60"/>
  <c r="BG290" i="60" s="1"/>
  <c r="BH290" i="60" s="1"/>
  <c r="BM201" i="60"/>
  <c r="BG201" i="60" s="1"/>
  <c r="BJ201" i="60" s="1"/>
  <c r="BM247" i="60"/>
  <c r="BG247" i="60" s="1"/>
  <c r="BJ247" i="60" s="1"/>
  <c r="BM478" i="60"/>
  <c r="BG478" i="60" s="1"/>
  <c r="BH478" i="60" s="1"/>
  <c r="BM310" i="60"/>
  <c r="BG310" i="60" s="1"/>
  <c r="BJ310" i="60" s="1"/>
  <c r="BM532" i="60"/>
  <c r="BG532" i="60" s="1"/>
  <c r="BH532" i="60" s="1"/>
  <c r="BM245" i="60"/>
  <c r="BG245" i="60" s="1"/>
  <c r="BM436" i="60"/>
  <c r="BG436" i="60" s="1"/>
  <c r="BH436" i="60" s="1"/>
  <c r="BM484" i="60"/>
  <c r="BG484" i="60" s="1"/>
  <c r="BH484" i="60" s="1"/>
  <c r="BM494" i="60"/>
  <c r="BG494" i="60" s="1"/>
  <c r="BH494" i="60" s="1"/>
  <c r="BM190" i="60"/>
  <c r="BG190" i="60" s="1"/>
  <c r="BH190" i="60" s="1"/>
  <c r="BM101" i="60"/>
  <c r="BG101" i="60" s="1"/>
  <c r="BH101" i="60" s="1"/>
  <c r="BM341" i="60"/>
  <c r="BG341" i="60" s="1"/>
  <c r="BH341" i="60" s="1"/>
  <c r="BM499" i="60"/>
  <c r="BG499" i="60" s="1"/>
  <c r="BH499" i="60" s="1"/>
  <c r="BM342" i="60"/>
  <c r="BG342" i="60" s="1"/>
  <c r="BH342" i="60" s="1"/>
  <c r="BM278" i="60"/>
  <c r="BG278" i="60" s="1"/>
  <c r="BH278" i="60" s="1"/>
  <c r="BM340" i="60"/>
  <c r="BG340" i="60" s="1"/>
  <c r="BH340" i="60" s="1"/>
  <c r="BM321" i="60"/>
  <c r="BG321" i="60" s="1"/>
  <c r="BH321" i="60" s="1"/>
  <c r="BM227" i="60"/>
  <c r="BG227" i="60" s="1"/>
  <c r="BH227" i="60" s="1"/>
  <c r="BM465" i="60"/>
  <c r="BG465" i="60" s="1"/>
  <c r="BH465" i="60" s="1"/>
  <c r="BM315" i="60"/>
  <c r="BG315" i="60" s="1"/>
  <c r="BJ315" i="60" s="1"/>
  <c r="BM367" i="60"/>
  <c r="BG367" i="60" s="1"/>
  <c r="BH367" i="60" s="1"/>
  <c r="BM524" i="60"/>
  <c r="BG524" i="60" s="1"/>
  <c r="BH524" i="60" s="1"/>
  <c r="BM29" i="60"/>
  <c r="BG29" i="60" s="1"/>
  <c r="BH29" i="60" s="1"/>
  <c r="BM44" i="60"/>
  <c r="BG44" i="60" s="1"/>
  <c r="BH44" i="60" s="1"/>
  <c r="BM83" i="60"/>
  <c r="BG83" i="60" s="1"/>
  <c r="BH83" i="60" s="1"/>
  <c r="BM57" i="60"/>
  <c r="BG57" i="60" s="1"/>
  <c r="BH57" i="60" s="1"/>
  <c r="BM79" i="60"/>
  <c r="BG79" i="60" s="1"/>
  <c r="BJ79" i="60" s="1"/>
  <c r="BM84" i="60"/>
  <c r="BG84" i="60" s="1"/>
  <c r="BH84" i="60" s="1"/>
  <c r="BM80" i="60"/>
  <c r="BG80" i="60" s="1"/>
  <c r="BH80" i="60" s="1"/>
  <c r="BM37" i="60"/>
  <c r="BG37" i="60" s="1"/>
  <c r="BH37" i="60" s="1"/>
  <c r="BM61" i="60"/>
  <c r="BG61" i="60" s="1"/>
  <c r="BH61" i="60" s="1"/>
  <c r="BM52" i="60"/>
  <c r="BG52" i="60" s="1"/>
  <c r="BH52" i="60" s="1"/>
  <c r="BM49" i="60"/>
  <c r="BG49" i="60" s="1"/>
  <c r="BH49" i="60" s="1"/>
  <c r="BM75" i="60"/>
  <c r="BG75" i="60" s="1"/>
  <c r="BJ75" i="60" s="1"/>
  <c r="BM26" i="60"/>
  <c r="BG26" i="60" s="1"/>
  <c r="BH26" i="60" s="1"/>
  <c r="BM51" i="60"/>
  <c r="BG51" i="60" s="1"/>
  <c r="BH51" i="60" s="1"/>
  <c r="BM78" i="60"/>
  <c r="BG78" i="60" s="1"/>
  <c r="BJ78" i="60" s="1"/>
  <c r="BM67" i="60"/>
  <c r="BG67" i="60" s="1"/>
  <c r="BH67" i="60" s="1"/>
  <c r="BM76" i="60"/>
  <c r="BG76" i="60" s="1"/>
  <c r="BH76" i="60" s="1"/>
  <c r="BM24" i="60"/>
  <c r="BG24" i="60" s="1"/>
  <c r="BH24" i="60" s="1"/>
  <c r="BM43" i="60"/>
  <c r="BG43" i="60" s="1"/>
  <c r="BJ43" i="60" s="1"/>
  <c r="BM70" i="60"/>
  <c r="BG70" i="60" s="1"/>
  <c r="BM113" i="60"/>
  <c r="BG113" i="60" s="1"/>
  <c r="BM31" i="60"/>
  <c r="BG31" i="60" s="1"/>
  <c r="BH31" i="60" s="1"/>
  <c r="BM501" i="60"/>
  <c r="BG501" i="60" s="1"/>
  <c r="BH501" i="60" s="1"/>
  <c r="BN520" i="60"/>
  <c r="AL233" i="60"/>
  <c r="BN265" i="60"/>
  <c r="BM320" i="60"/>
  <c r="BG320" i="60" s="1"/>
  <c r="BH320" i="60" s="1"/>
  <c r="BM253" i="60"/>
  <c r="BG253" i="60" s="1"/>
  <c r="BH253" i="60" s="1"/>
  <c r="BM372" i="60"/>
  <c r="BG372" i="60" s="1"/>
  <c r="BH372" i="60" s="1"/>
  <c r="F54" i="54"/>
  <c r="F56" i="54"/>
  <c r="F58" i="54"/>
  <c r="F60" i="54"/>
  <c r="F57" i="54"/>
  <c r="F55" i="54"/>
  <c r="F59" i="54"/>
  <c r="AR401" i="60"/>
  <c r="CD401" i="60"/>
  <c r="AR102" i="60"/>
  <c r="CD102" i="60"/>
  <c r="AR469" i="60"/>
  <c r="CD469" i="60"/>
  <c r="AR478" i="60"/>
  <c r="CD478" i="60"/>
  <c r="AR530" i="60"/>
  <c r="CD530" i="60"/>
  <c r="AR529" i="60"/>
  <c r="CD529" i="60"/>
  <c r="AR542" i="60"/>
  <c r="CD542" i="60"/>
  <c r="AR129" i="60"/>
  <c r="AS129" i="60" s="1"/>
  <c r="CD129" i="60"/>
  <c r="AR437" i="60"/>
  <c r="CD437" i="60"/>
  <c r="AR144" i="60"/>
  <c r="CD144" i="60"/>
  <c r="AR426" i="60"/>
  <c r="CD426" i="60"/>
  <c r="AR332" i="60"/>
  <c r="CD332" i="60"/>
  <c r="AR292" i="60"/>
  <c r="CD292" i="60"/>
  <c r="AR273" i="60"/>
  <c r="CD273" i="60"/>
  <c r="AR452" i="60"/>
  <c r="CD452" i="60"/>
  <c r="AR125" i="60"/>
  <c r="CD125" i="60"/>
  <c r="AR321" i="60"/>
  <c r="CD321" i="60"/>
  <c r="AR367" i="60"/>
  <c r="CD367" i="60"/>
  <c r="AR409" i="60"/>
  <c r="CD409" i="60"/>
  <c r="CD124" i="60"/>
  <c r="AR414" i="60"/>
  <c r="CD414" i="60"/>
  <c r="AR531" i="60"/>
  <c r="CD531" i="60"/>
  <c r="AR315" i="60"/>
  <c r="CD315" i="60"/>
  <c r="BN308" i="60"/>
  <c r="AR284" i="60"/>
  <c r="CD284" i="60"/>
  <c r="AR424" i="60"/>
  <c r="CD424" i="60"/>
  <c r="AR161" i="60"/>
  <c r="CD161" i="60"/>
  <c r="AR441" i="60"/>
  <c r="CD441" i="60"/>
  <c r="AR112" i="60"/>
  <c r="CD112" i="60"/>
  <c r="AR447" i="60"/>
  <c r="CD447" i="60"/>
  <c r="AR247" i="60"/>
  <c r="CD247" i="60"/>
  <c r="AR297" i="60"/>
  <c r="CD297" i="60"/>
  <c r="AR100" i="60"/>
  <c r="CD100" i="60"/>
  <c r="AR466" i="60"/>
  <c r="CD466" i="60"/>
  <c r="AR206" i="60"/>
  <c r="CD206" i="60"/>
  <c r="AR287" i="60"/>
  <c r="CD287" i="60"/>
  <c r="AR500" i="60"/>
  <c r="CD500" i="60"/>
  <c r="AR468" i="60"/>
  <c r="CD468" i="60"/>
  <c r="AR519" i="60"/>
  <c r="CD519" i="60"/>
  <c r="AR330" i="60"/>
  <c r="CD330" i="60"/>
  <c r="AR391" i="60"/>
  <c r="CD391" i="60"/>
  <c r="AR384" i="60"/>
  <c r="CD384" i="60"/>
  <c r="AR489" i="60"/>
  <c r="CD489" i="60"/>
  <c r="AR421" i="60"/>
  <c r="CD421" i="60"/>
  <c r="AR430" i="60"/>
  <c r="CD430" i="60"/>
  <c r="AR505" i="60"/>
  <c r="CD505" i="60"/>
  <c r="AR404" i="60"/>
  <c r="CD404" i="60"/>
  <c r="AR186" i="60"/>
  <c r="CD186" i="60"/>
  <c r="AR354" i="60"/>
  <c r="CD354" i="60"/>
  <c r="AR108" i="60"/>
  <c r="CD108" i="60"/>
  <c r="AR279" i="60"/>
  <c r="CD279" i="60"/>
  <c r="AR405" i="60"/>
  <c r="CD405" i="60"/>
  <c r="AR482" i="60"/>
  <c r="CD482" i="60"/>
  <c r="AR267" i="60"/>
  <c r="CD267" i="60"/>
  <c r="AR152" i="60"/>
  <c r="CD152" i="60"/>
  <c r="AR336" i="60"/>
  <c r="CD336" i="60"/>
  <c r="AR191" i="60"/>
  <c r="CD191" i="60"/>
  <c r="AR341" i="60"/>
  <c r="CD341" i="60"/>
  <c r="AR101" i="60"/>
  <c r="CD101" i="60"/>
  <c r="AR345" i="60"/>
  <c r="CD345" i="60"/>
  <c r="AR428" i="60"/>
  <c r="CD428" i="60"/>
  <c r="AR203" i="60"/>
  <c r="CD203" i="60"/>
  <c r="AR413" i="60"/>
  <c r="CD413" i="60"/>
  <c r="AR319" i="60"/>
  <c r="CD319" i="60"/>
  <c r="AR538" i="60"/>
  <c r="CD538" i="60"/>
  <c r="AR418" i="60"/>
  <c r="CD418" i="60"/>
  <c r="AR180" i="60"/>
  <c r="CD180" i="60"/>
  <c r="AR436" i="60"/>
  <c r="CD436" i="60"/>
  <c r="AR364" i="60"/>
  <c r="CD364" i="60"/>
  <c r="AR178" i="60"/>
  <c r="CD178" i="60"/>
  <c r="AR362" i="60"/>
  <c r="CD362" i="60"/>
  <c r="AR340" i="60"/>
  <c r="CD340" i="60"/>
  <c r="AR333" i="60"/>
  <c r="CD333" i="60"/>
  <c r="AR261" i="60"/>
  <c r="CD261" i="60"/>
  <c r="AR444" i="60"/>
  <c r="CD444" i="60"/>
  <c r="AR545" i="60"/>
  <c r="CD545" i="60"/>
  <c r="AR374" i="60"/>
  <c r="CD374" i="60"/>
  <c r="AR417" i="60"/>
  <c r="CD417" i="60"/>
  <c r="AR328" i="60"/>
  <c r="CD328" i="60"/>
  <c r="AR246" i="60"/>
  <c r="CD246" i="60"/>
  <c r="AR403" i="60"/>
  <c r="CD403" i="60"/>
  <c r="AR516" i="60"/>
  <c r="CD516" i="60"/>
  <c r="AR306" i="60"/>
  <c r="CD306" i="60"/>
  <c r="AR175" i="60"/>
  <c r="CD175" i="60"/>
  <c r="AR231" i="60"/>
  <c r="AS231" i="60" s="1"/>
  <c r="CD231" i="60"/>
  <c r="AR429" i="60"/>
  <c r="CD429" i="60"/>
  <c r="AR527" i="60"/>
  <c r="CD527" i="60"/>
  <c r="AR159" i="60"/>
  <c r="CD159" i="60"/>
  <c r="AR487" i="60"/>
  <c r="CD487" i="60"/>
  <c r="AR543" i="60"/>
  <c r="CD543" i="60"/>
  <c r="AR540" i="60"/>
  <c r="CD540" i="60"/>
  <c r="AR435" i="60"/>
  <c r="CD435" i="60"/>
  <c r="AR335" i="60"/>
  <c r="CD335" i="60"/>
  <c r="AR399" i="60"/>
  <c r="CD399" i="60"/>
  <c r="AR200" i="60"/>
  <c r="CD200" i="60"/>
  <c r="AR353" i="60"/>
  <c r="CD353" i="60"/>
  <c r="AR365" i="60"/>
  <c r="CD365" i="60"/>
  <c r="AR317" i="60"/>
  <c r="CD317" i="60"/>
  <c r="AR158" i="60"/>
  <c r="CD158" i="60"/>
  <c r="AR303" i="60"/>
  <c r="CD303" i="60"/>
  <c r="AR216" i="60"/>
  <c r="CD216" i="60"/>
  <c r="AR547" i="60"/>
  <c r="CD547" i="60"/>
  <c r="AR490" i="60"/>
  <c r="CD490" i="60"/>
  <c r="AR439" i="60"/>
  <c r="CD439" i="60"/>
  <c r="AR110" i="60"/>
  <c r="CD110" i="60"/>
  <c r="AR196" i="60"/>
  <c r="CD196" i="60"/>
  <c r="AR219" i="60"/>
  <c r="AS219" i="60" s="1"/>
  <c r="BA219" i="60" s="1"/>
  <c r="BE219" i="60" s="1"/>
  <c r="BK219" i="60" s="1"/>
  <c r="CD219" i="60"/>
  <c r="AR422" i="60"/>
  <c r="CD422" i="60"/>
  <c r="AR281" i="60"/>
  <c r="CD281" i="60"/>
  <c r="AR106" i="60"/>
  <c r="CD106" i="60"/>
  <c r="AR370" i="60"/>
  <c r="CD370" i="60"/>
  <c r="AR372" i="60"/>
  <c r="CD372" i="60"/>
  <c r="AR311" i="60"/>
  <c r="CD311" i="60"/>
  <c r="AR339" i="60"/>
  <c r="CD339" i="60"/>
  <c r="AR457" i="60"/>
  <c r="CD457" i="60"/>
  <c r="AR533" i="60"/>
  <c r="CD533" i="60"/>
  <c r="AR307" i="60"/>
  <c r="CD307" i="60"/>
  <c r="AR465" i="60"/>
  <c r="CD465" i="60"/>
  <c r="AR243" i="60"/>
  <c r="AS243" i="60" s="1"/>
  <c r="CD243" i="60"/>
  <c r="AR486" i="60"/>
  <c r="CD486" i="60"/>
  <c r="AR379" i="60"/>
  <c r="CD379" i="60"/>
  <c r="AR337" i="60"/>
  <c r="CD337" i="60"/>
  <c r="AR360" i="60"/>
  <c r="CD360" i="60"/>
  <c r="AR458" i="60"/>
  <c r="CD458" i="60"/>
  <c r="AR546" i="60"/>
  <c r="CD546" i="60"/>
  <c r="AR355" i="60"/>
  <c r="CD355" i="60"/>
  <c r="AR173" i="60"/>
  <c r="CD173" i="60"/>
  <c r="AR207" i="60"/>
  <c r="CD207" i="60"/>
  <c r="AR291" i="60"/>
  <c r="CD291" i="60"/>
  <c r="AR309" i="60"/>
  <c r="CD309" i="60"/>
  <c r="AR492" i="60"/>
  <c r="CD492" i="60"/>
  <c r="AR275" i="60"/>
  <c r="CD275" i="60"/>
  <c r="AR99" i="60"/>
  <c r="CD99" i="60"/>
  <c r="AR451" i="60"/>
  <c r="CD451" i="60"/>
  <c r="AR302" i="60"/>
  <c r="CD302" i="60"/>
  <c r="AR111" i="60"/>
  <c r="CD111" i="60"/>
  <c r="AR471" i="60"/>
  <c r="CD471" i="60"/>
  <c r="AR507" i="60"/>
  <c r="CD507" i="60"/>
  <c r="AR121" i="60"/>
  <c r="CD121" i="60"/>
  <c r="AR497" i="60"/>
  <c r="CD497" i="60"/>
  <c r="AR419" i="60"/>
  <c r="CD419" i="60"/>
  <c r="AR501" i="60"/>
  <c r="CD501" i="60"/>
  <c r="AR167" i="60"/>
  <c r="CD167" i="60"/>
  <c r="AR550" i="60"/>
  <c r="CD550" i="60"/>
  <c r="AR389" i="60"/>
  <c r="CD389" i="60"/>
  <c r="AR193" i="60"/>
  <c r="CD193" i="60"/>
  <c r="AR476" i="60"/>
  <c r="CD476" i="60"/>
  <c r="AR318" i="60"/>
  <c r="CD318" i="60"/>
  <c r="AR211" i="60"/>
  <c r="CD211" i="60"/>
  <c r="AR524" i="60"/>
  <c r="CD524" i="60"/>
  <c r="AR276" i="60"/>
  <c r="CD276" i="60"/>
  <c r="AR116" i="60"/>
  <c r="CD116" i="60"/>
  <c r="AR433" i="60"/>
  <c r="CD433" i="60"/>
  <c r="AR509" i="60"/>
  <c r="CD509" i="60"/>
  <c r="AR282" i="60"/>
  <c r="CD282" i="60"/>
  <c r="AR387" i="60"/>
  <c r="CD387" i="60"/>
  <c r="AR68" i="60"/>
  <c r="CD68" i="60"/>
  <c r="AR188" i="60"/>
  <c r="CD188" i="60"/>
  <c r="AR352" i="60"/>
  <c r="CD352" i="60"/>
  <c r="AR380" i="60"/>
  <c r="CD380" i="60"/>
  <c r="AR150" i="60"/>
  <c r="CD150" i="60"/>
  <c r="AR420" i="60"/>
  <c r="CD420" i="60"/>
  <c r="AR518" i="60"/>
  <c r="CD518" i="60"/>
  <c r="AR192" i="60"/>
  <c r="CD192" i="60"/>
  <c r="AR320" i="60"/>
  <c r="CD320" i="60"/>
  <c r="AR443" i="60"/>
  <c r="CD443" i="60"/>
  <c r="AR385" i="60"/>
  <c r="CD385" i="60"/>
  <c r="AR301" i="60"/>
  <c r="CD301" i="60"/>
  <c r="AR488" i="60"/>
  <c r="CD488" i="60"/>
  <c r="AR316" i="60"/>
  <c r="CD316" i="60"/>
  <c r="CD440" i="60"/>
  <c r="AR252" i="60"/>
  <c r="CD252" i="60"/>
  <c r="BM175" i="60"/>
  <c r="BG175" i="60" s="1"/>
  <c r="BH175" i="60" s="1"/>
  <c r="BM425" i="60"/>
  <c r="BG425" i="60" s="1"/>
  <c r="BH425" i="60" s="1"/>
  <c r="BN310" i="60"/>
  <c r="BM332" i="60"/>
  <c r="BG332" i="60" s="1"/>
  <c r="BH332" i="60" s="1"/>
  <c r="AL117" i="60"/>
  <c r="AL442" i="60"/>
  <c r="BH297" i="60"/>
  <c r="BM85" i="60"/>
  <c r="BG85" i="60" s="1"/>
  <c r="BH85" i="60" s="1"/>
  <c r="AL242" i="60"/>
  <c r="AL416" i="60"/>
  <c r="AL262" i="60"/>
  <c r="BM527" i="60"/>
  <c r="BG527" i="60" s="1"/>
  <c r="BH527" i="60" s="1"/>
  <c r="AL438" i="60"/>
  <c r="BN467" i="60"/>
  <c r="BM68" i="60"/>
  <c r="BG68" i="60" s="1"/>
  <c r="BJ68" i="60" s="1"/>
  <c r="BJ356" i="60"/>
  <c r="AL334" i="60"/>
  <c r="BJ534" i="60"/>
  <c r="BM360" i="60"/>
  <c r="BG360" i="60" s="1"/>
  <c r="BH360" i="60" s="1"/>
  <c r="BM267" i="60"/>
  <c r="BG267" i="60" s="1"/>
  <c r="BJ267" i="60" s="1"/>
  <c r="BF257" i="60"/>
  <c r="BC184" i="60" a="1"/>
  <c r="BC184" i="60" s="1"/>
  <c r="BC98" i="60" a="1"/>
  <c r="BC98" i="60" s="1"/>
  <c r="BC257" i="60" a="1"/>
  <c r="BC257" i="60" s="1"/>
  <c r="BF205" i="60"/>
  <c r="BC205" i="60" a="1"/>
  <c r="BC205" i="60" s="1"/>
  <c r="BC156" i="60" a="1"/>
  <c r="BC156" i="60" s="1"/>
  <c r="BF156" i="60"/>
  <c r="BM178" i="60"/>
  <c r="BG178" i="60" s="1"/>
  <c r="BH178" i="60" s="1"/>
  <c r="AL286" i="60"/>
  <c r="AL454" i="60"/>
  <c r="AL415" i="60"/>
  <c r="AL324" i="60"/>
  <c r="AL209" i="60"/>
  <c r="BM111" i="60"/>
  <c r="BG111" i="60" s="1"/>
  <c r="BH111" i="60" s="1"/>
  <c r="AL132" i="60"/>
  <c r="AL248" i="60"/>
  <c r="BM277" i="60"/>
  <c r="BG277" i="60" s="1"/>
  <c r="BJ277" i="60" s="1"/>
  <c r="AL523" i="60"/>
  <c r="AL305" i="60"/>
  <c r="BM173" i="60"/>
  <c r="BG173" i="60" s="1"/>
  <c r="BH173" i="60" s="1"/>
  <c r="BJ144" i="60"/>
  <c r="BM58" i="60"/>
  <c r="BG58" i="60" s="1"/>
  <c r="BJ58" i="60" s="1"/>
  <c r="BJ302" i="60"/>
  <c r="BH437" i="60"/>
  <c r="AL181" i="60"/>
  <c r="BM298" i="60"/>
  <c r="BG298" i="60" s="1"/>
  <c r="BJ298" i="60" s="1"/>
  <c r="AJ119" i="60" a="1"/>
  <c r="AJ119" i="60" s="1"/>
  <c r="BM489" i="60"/>
  <c r="BG489" i="60" s="1"/>
  <c r="BH489" i="60" s="1"/>
  <c r="BJ402" i="60"/>
  <c r="BM60" i="60"/>
  <c r="BG60" i="60" s="1"/>
  <c r="BJ60" i="60" s="1"/>
  <c r="BM99" i="60"/>
  <c r="BG99" i="60" s="1"/>
  <c r="BJ99" i="60" s="1"/>
  <c r="BM443" i="60"/>
  <c r="BG443" i="60" s="1"/>
  <c r="BJ443" i="60" s="1"/>
  <c r="BH346" i="60"/>
  <c r="AL535" i="60"/>
  <c r="CD535" i="60" s="1"/>
  <c r="AL185" i="60"/>
  <c r="BH480" i="60"/>
  <c r="BM56" i="60"/>
  <c r="BG56" i="60" s="1"/>
  <c r="BJ56" i="60" s="1"/>
  <c r="AL237" i="60"/>
  <c r="AL514" i="60"/>
  <c r="BM430" i="60"/>
  <c r="BG430" i="60" s="1"/>
  <c r="BH430" i="60" s="1"/>
  <c r="BM424" i="60"/>
  <c r="BG424" i="60" s="1"/>
  <c r="BH424" i="60" s="1"/>
  <c r="AR162" i="60"/>
  <c r="AL119" i="60"/>
  <c r="AL446" i="60"/>
  <c r="AL127" i="60"/>
  <c r="BM404" i="60"/>
  <c r="BG404" i="60" s="1"/>
  <c r="BH404" i="60" s="1"/>
  <c r="BM374" i="60"/>
  <c r="BG374" i="60" s="1"/>
  <c r="BH374" i="60" s="1"/>
  <c r="AL143" i="60"/>
  <c r="BM223" i="60"/>
  <c r="BG223" i="60" s="1"/>
  <c r="BH223" i="60" s="1"/>
  <c r="BM196" i="60"/>
  <c r="BG196" i="60" s="1"/>
  <c r="BJ196" i="60" s="1"/>
  <c r="AL449" i="60"/>
  <c r="BJ209" i="60"/>
  <c r="BJ158" i="60"/>
  <c r="BM339" i="60"/>
  <c r="BG339" i="60" s="1"/>
  <c r="BH339" i="60" s="1"/>
  <c r="AL229" i="60"/>
  <c r="BM275" i="60"/>
  <c r="BG275" i="60" s="1"/>
  <c r="BH275" i="60" s="1"/>
  <c r="BJ162" i="60"/>
  <c r="BJ419" i="60"/>
  <c r="AL397" i="60"/>
  <c r="BH428" i="60"/>
  <c r="BM458" i="60"/>
  <c r="BG458" i="60" s="1"/>
  <c r="BH458" i="60" s="1"/>
  <c r="AR396" i="60"/>
  <c r="BM279" i="60"/>
  <c r="BG279" i="60" s="1"/>
  <c r="BJ279" i="60" s="1"/>
  <c r="AL445" i="60"/>
  <c r="BJ334" i="60"/>
  <c r="BM147" i="60"/>
  <c r="BG147" i="60" s="1"/>
  <c r="BH147" i="60" s="1"/>
  <c r="AL346" i="60"/>
  <c r="BM284" i="60"/>
  <c r="BG284" i="60" s="1"/>
  <c r="BH284" i="60" s="1"/>
  <c r="BH72" i="60"/>
  <c r="BJ74" i="60"/>
  <c r="AL232" i="60"/>
  <c r="AL343" i="60"/>
  <c r="AL407" i="60"/>
  <c r="BM447" i="60"/>
  <c r="BG447" i="60" s="1"/>
  <c r="BJ447" i="60" s="1"/>
  <c r="AL295" i="60"/>
  <c r="BJ160" i="60"/>
  <c r="BJ396" i="60"/>
  <c r="AL264" i="60"/>
  <c r="BM350" i="60"/>
  <c r="BG350" i="60" s="1"/>
  <c r="BH350" i="60" s="1"/>
  <c r="BM492" i="60"/>
  <c r="BG492" i="60" s="1"/>
  <c r="BH492" i="60" s="1"/>
  <c r="BM232" i="60"/>
  <c r="BG232" i="60" s="1"/>
  <c r="BJ232" i="60" s="1"/>
  <c r="BJ325" i="60"/>
  <c r="BM495" i="60"/>
  <c r="BG495" i="60" s="1"/>
  <c r="BH495" i="60" s="1"/>
  <c r="BM537" i="60"/>
  <c r="BG537" i="60" s="1"/>
  <c r="BJ537" i="60" s="1"/>
  <c r="AL503" i="60"/>
  <c r="BH264" i="60"/>
  <c r="BJ264" i="60"/>
  <c r="AL480" i="60"/>
  <c r="BM421" i="60"/>
  <c r="BG421" i="60" s="1"/>
  <c r="BH421" i="60" s="1"/>
  <c r="AL502" i="60"/>
  <c r="CD502" i="60" s="1"/>
  <c r="BH449" i="60"/>
  <c r="BJ449" i="60"/>
  <c r="AL325" i="60"/>
  <c r="BM195" i="60"/>
  <c r="BG195" i="60" s="1"/>
  <c r="BJ195" i="60" s="1"/>
  <c r="AL283" i="60"/>
  <c r="CD283" i="60" s="1"/>
  <c r="BM387" i="60"/>
  <c r="BG387" i="60" s="1"/>
  <c r="AL356" i="60"/>
  <c r="BM129" i="60"/>
  <c r="BG129" i="60" s="1"/>
  <c r="BH129" i="60" s="1"/>
  <c r="BM41" i="60"/>
  <c r="BG41" i="60" s="1"/>
  <c r="BH41" i="60" s="1"/>
  <c r="BM452" i="60"/>
  <c r="BG452" i="60" s="1"/>
  <c r="BH452" i="60" s="1"/>
  <c r="AL539" i="60"/>
  <c r="CD539" i="60" s="1"/>
  <c r="BM417" i="60"/>
  <c r="BG417" i="60" s="1"/>
  <c r="BH417" i="60" s="1"/>
  <c r="BM540" i="60"/>
  <c r="BG540" i="60" s="1"/>
  <c r="BH540" i="60" s="1"/>
  <c r="BM285" i="60"/>
  <c r="BG285" i="60" s="1"/>
  <c r="BJ285" i="60" s="1"/>
  <c r="BM65" i="60"/>
  <c r="BG65" i="60" s="1"/>
  <c r="BM326" i="60"/>
  <c r="BG326" i="60" s="1"/>
  <c r="BH326" i="60" s="1"/>
  <c r="AL381" i="60"/>
  <c r="BM180" i="60"/>
  <c r="BG180" i="60" s="1"/>
  <c r="BH180" i="60" s="1"/>
  <c r="AL314" i="60"/>
  <c r="AL245" i="60"/>
  <c r="AL526" i="60"/>
  <c r="CD526" i="60" s="1"/>
  <c r="AL285" i="60"/>
  <c r="AL244" i="60"/>
  <c r="AL456" i="60"/>
  <c r="CD456" i="60" s="1"/>
  <c r="BH265" i="60"/>
  <c r="BJ265" i="60"/>
  <c r="AR342" i="60"/>
  <c r="AR432" i="60"/>
  <c r="AL280" i="60"/>
  <c r="AL107" i="60"/>
  <c r="AL477" i="60"/>
  <c r="BM120" i="60"/>
  <c r="BG120" i="60" s="1"/>
  <c r="BJ120" i="60" s="1"/>
  <c r="BJ215" i="60"/>
  <c r="BH477" i="60"/>
  <c r="AL266" i="60"/>
  <c r="CD266" i="60" s="1"/>
  <c r="AL201" i="60"/>
  <c r="AL146" i="60"/>
  <c r="BM280" i="60"/>
  <c r="BG280" i="60" s="1"/>
  <c r="BH280" i="60" s="1"/>
  <c r="AL392" i="60"/>
  <c r="AL358" i="60"/>
  <c r="AL120" i="60"/>
  <c r="X275" i="63"/>
  <c r="X215" i="63"/>
  <c r="X217" i="63" s="1"/>
  <c r="X218" i="63" s="1"/>
  <c r="AL165" i="60"/>
  <c r="BF214" i="60"/>
  <c r="BC214" i="60" a="1"/>
  <c r="BC214" i="60" s="1"/>
  <c r="BH457" i="60"/>
  <c r="BJ457" i="60"/>
  <c r="BH245" i="60"/>
  <c r="BJ245" i="60"/>
  <c r="BJ203" i="60"/>
  <c r="BH203" i="60"/>
  <c r="BH172" i="60"/>
  <c r="BJ172" i="60"/>
  <c r="AL383" i="60"/>
  <c r="BJ251" i="60"/>
  <c r="BH251" i="60"/>
  <c r="AL258" i="60"/>
  <c r="AL290" i="60"/>
  <c r="BH181" i="60"/>
  <c r="BJ181" i="60"/>
  <c r="BJ475" i="60"/>
  <c r="BH475" i="60"/>
  <c r="BJ104" i="60"/>
  <c r="BH104" i="60"/>
  <c r="AL215" i="60"/>
  <c r="AL450" i="60"/>
  <c r="BH228" i="60"/>
  <c r="BJ228" i="60"/>
  <c r="BH262" i="60"/>
  <c r="BJ262" i="60"/>
  <c r="AR361" i="60"/>
  <c r="AL154" i="60"/>
  <c r="BH505" i="60"/>
  <c r="BJ505" i="60"/>
  <c r="BJ314" i="60"/>
  <c r="BH314" i="60"/>
  <c r="BJ388" i="60"/>
  <c r="AR394" i="60"/>
  <c r="AL177" i="60"/>
  <c r="BH353" i="60"/>
  <c r="BJ353" i="60"/>
  <c r="BM439" i="60"/>
  <c r="BG439" i="60" s="1"/>
  <c r="BH547" i="60"/>
  <c r="BJ547" i="60"/>
  <c r="AL190" i="60"/>
  <c r="BH59" i="60"/>
  <c r="BJ59" i="60"/>
  <c r="AL239" i="60"/>
  <c r="AL431" i="60"/>
  <c r="CD431" i="60" s="1"/>
  <c r="BJ378" i="60"/>
  <c r="BH378" i="60"/>
  <c r="AL536" i="60"/>
  <c r="BJ333" i="60"/>
  <c r="BH333" i="60"/>
  <c r="BH233" i="60"/>
  <c r="BJ523" i="60"/>
  <c r="BH523" i="60"/>
  <c r="BH536" i="60"/>
  <c r="BJ536" i="60"/>
  <c r="BH434" i="60"/>
  <c r="BJ434" i="60"/>
  <c r="BJ493" i="60"/>
  <c r="BH493" i="60"/>
  <c r="BJ509" i="60"/>
  <c r="BH509" i="60"/>
  <c r="AL481" i="60"/>
  <c r="BJ365" i="60"/>
  <c r="BH365" i="60"/>
  <c r="BJ506" i="60"/>
  <c r="BH506" i="60"/>
  <c r="BH344" i="60"/>
  <c r="BJ344" i="60"/>
  <c r="BJ427" i="60"/>
  <c r="BH427" i="60"/>
  <c r="BH66" i="60"/>
  <c r="BJ66" i="60"/>
  <c r="BJ167" i="60"/>
  <c r="BH167" i="60"/>
  <c r="BJ446" i="60"/>
  <c r="BH446" i="60"/>
  <c r="BH519" i="60"/>
  <c r="BJ519" i="60"/>
  <c r="AL462" i="60"/>
  <c r="AL496" i="60"/>
  <c r="AL348" i="60"/>
  <c r="AR142" i="60"/>
  <c r="BH472" i="60"/>
  <c r="BJ472" i="60"/>
  <c r="BJ296" i="60"/>
  <c r="AL534" i="60"/>
  <c r="AR123" i="60"/>
  <c r="AL296" i="60"/>
  <c r="CD296" i="60" s="1"/>
  <c r="BH545" i="60"/>
  <c r="BJ545" i="60"/>
  <c r="BJ237" i="60"/>
  <c r="BJ525" i="60"/>
  <c r="BH525" i="60"/>
  <c r="BH100" i="60"/>
  <c r="BJ100" i="60"/>
  <c r="BH268" i="60"/>
  <c r="BH384" i="60"/>
  <c r="BJ384" i="60"/>
  <c r="BJ219" i="60"/>
  <c r="BH219" i="60"/>
  <c r="BH179" i="60"/>
  <c r="BH53" i="60"/>
  <c r="BJ53" i="60"/>
  <c r="BJ411" i="60"/>
  <c r="BH411" i="60"/>
  <c r="BJ441" i="60"/>
  <c r="BH441" i="60"/>
  <c r="BH498" i="60"/>
  <c r="BJ498" i="60"/>
  <c r="AL513" i="60"/>
  <c r="BJ541" i="60"/>
  <c r="BH541" i="60"/>
  <c r="AL351" i="60"/>
  <c r="AL463" i="60"/>
  <c r="AL474" i="60"/>
  <c r="BH485" i="60"/>
  <c r="BJ485" i="60"/>
  <c r="AL369" i="60"/>
  <c r="BH309" i="60"/>
  <c r="BJ309" i="60"/>
  <c r="AL412" i="60"/>
  <c r="BH420" i="60"/>
  <c r="BJ420" i="60"/>
  <c r="AL250" i="60"/>
  <c r="BH407" i="60"/>
  <c r="BJ407" i="60"/>
  <c r="BH124" i="60"/>
  <c r="AL137" i="60"/>
  <c r="AR145" i="60"/>
  <c r="BH46" i="60"/>
  <c r="BJ46" i="60"/>
  <c r="BH33" i="60"/>
  <c r="BJ33" i="60"/>
  <c r="BH303" i="60"/>
  <c r="BJ303" i="60"/>
  <c r="BJ216" i="60"/>
  <c r="BH216" i="60"/>
  <c r="BH231" i="60"/>
  <c r="BJ231" i="60"/>
  <c r="AL160" i="60"/>
  <c r="CD160" i="60" s="1"/>
  <c r="BH550" i="60"/>
  <c r="BJ550" i="60"/>
  <c r="AL135" i="60"/>
  <c r="BJ363" i="60"/>
  <c r="BH363" i="60"/>
  <c r="BH488" i="60"/>
  <c r="BJ488" i="60"/>
  <c r="BM406" i="60"/>
  <c r="BG406" i="60" s="1"/>
  <c r="AR461" i="60"/>
  <c r="BJ307" i="60"/>
  <c r="AL473" i="60"/>
  <c r="BJ455" i="60"/>
  <c r="BH455" i="60"/>
  <c r="BH193" i="60"/>
  <c r="BJ193" i="60"/>
  <c r="BH408" i="60"/>
  <c r="BJ408" i="60"/>
  <c r="BH448" i="60"/>
  <c r="BJ448" i="60"/>
  <c r="AR118" i="60"/>
  <c r="BH324" i="60"/>
  <c r="BJ324" i="60"/>
  <c r="AL508" i="60"/>
  <c r="AL299" i="60"/>
  <c r="BJ484" i="60"/>
  <c r="AL235" i="60"/>
  <c r="BH376" i="60"/>
  <c r="BJ376" i="60"/>
  <c r="BH23" i="60"/>
  <c r="BJ23" i="60"/>
  <c r="BH108" i="60"/>
  <c r="BJ108" i="60"/>
  <c r="BH117" i="60"/>
  <c r="BJ117" i="60"/>
  <c r="BH373" i="60"/>
  <c r="BJ373" i="60"/>
  <c r="BJ442" i="60"/>
  <c r="BH442" i="60"/>
  <c r="BJ106" i="60"/>
  <c r="BH106" i="60"/>
  <c r="BJ122" i="60"/>
  <c r="BH122" i="60"/>
  <c r="BH535" i="60"/>
  <c r="BJ535" i="60"/>
  <c r="AL263" i="60"/>
  <c r="AL357" i="60"/>
  <c r="AR440" i="60"/>
  <c r="BJ248" i="60"/>
  <c r="BH248" i="60"/>
  <c r="BJ491" i="60"/>
  <c r="BH491" i="60"/>
  <c r="BH385" i="60"/>
  <c r="BJ385" i="60"/>
  <c r="AL199" i="60"/>
  <c r="BH305" i="60"/>
  <c r="BJ305" i="60"/>
  <c r="AL544" i="60"/>
  <c r="BJ349" i="60"/>
  <c r="BH349" i="60"/>
  <c r="BH42" i="60"/>
  <c r="BJ42" i="60"/>
  <c r="AL153" i="60"/>
  <c r="BJ394" i="60"/>
  <c r="BH394" i="60"/>
  <c r="AL210" i="60"/>
  <c r="CD210" i="60" s="1"/>
  <c r="BH328" i="60"/>
  <c r="BJ328" i="60"/>
  <c r="BH54" i="60"/>
  <c r="BJ54" i="60"/>
  <c r="AL105" i="60"/>
  <c r="BH423" i="60"/>
  <c r="BJ423" i="60"/>
  <c r="BH395" i="60"/>
  <c r="BJ395" i="60"/>
  <c r="BH415" i="60"/>
  <c r="BJ415" i="60"/>
  <c r="BH401" i="60"/>
  <c r="BJ401" i="60"/>
  <c r="BH322" i="60"/>
  <c r="BJ322" i="60"/>
  <c r="BH115" i="60"/>
  <c r="BJ115" i="60"/>
  <c r="BH198" i="60"/>
  <c r="BJ510" i="60"/>
  <c r="BH510" i="60"/>
  <c r="BJ154" i="60"/>
  <c r="BH154" i="60"/>
  <c r="BJ354" i="60"/>
  <c r="BH354" i="60"/>
  <c r="BJ459" i="60"/>
  <c r="BH459" i="60"/>
  <c r="AL169" i="60"/>
  <c r="AL249" i="60"/>
  <c r="AR148" i="60"/>
  <c r="BJ473" i="60"/>
  <c r="BH483" i="60"/>
  <c r="BJ483" i="60"/>
  <c r="BH291" i="60"/>
  <c r="BJ291" i="60"/>
  <c r="BH375" i="60"/>
  <c r="BJ375" i="60"/>
  <c r="AL198" i="60"/>
  <c r="BH102" i="60"/>
  <c r="BJ102" i="60"/>
  <c r="BH40" i="60"/>
  <c r="BJ40" i="60"/>
  <c r="BH521" i="60"/>
  <c r="BJ521" i="60"/>
  <c r="BH319" i="60"/>
  <c r="BJ319" i="60"/>
  <c r="BJ368" i="60"/>
  <c r="BJ76" i="60"/>
  <c r="AL313" i="60"/>
  <c r="BJ119" i="60"/>
  <c r="BH119" i="60"/>
  <c r="BH90" i="60"/>
  <c r="BJ90" i="60"/>
  <c r="BH225" i="60"/>
  <c r="BJ225" i="60"/>
  <c r="AL122" i="60"/>
  <c r="AR350" i="60"/>
  <c r="AR124" i="60"/>
  <c r="BJ392" i="60"/>
  <c r="BJ522" i="60"/>
  <c r="BH522" i="60"/>
  <c r="BH132" i="60"/>
  <c r="BJ132" i="60"/>
  <c r="BH512" i="60"/>
  <c r="BJ512" i="60"/>
  <c r="BH358" i="60"/>
  <c r="BJ358" i="60"/>
  <c r="BH343" i="60"/>
  <c r="BJ343" i="60"/>
  <c r="BJ88" i="60"/>
  <c r="BH88" i="60"/>
  <c r="BH194" i="60"/>
  <c r="BJ194" i="60"/>
  <c r="BH418" i="60"/>
  <c r="BJ418" i="60"/>
  <c r="BH323" i="60"/>
  <c r="BJ323" i="60"/>
  <c r="BH468" i="60"/>
  <c r="BJ468" i="60"/>
  <c r="BJ524" i="60"/>
  <c r="BJ386" i="60"/>
  <c r="BH62" i="60"/>
  <c r="BJ62" i="60"/>
  <c r="BJ429" i="60"/>
  <c r="BH429" i="60"/>
  <c r="BJ347" i="60"/>
  <c r="BH347" i="60"/>
  <c r="BJ507" i="60"/>
  <c r="BH507" i="60"/>
  <c r="AL327" i="60"/>
  <c r="BJ331" i="60"/>
  <c r="BH331" i="60"/>
  <c r="BC47" i="60" a="1"/>
  <c r="BC47" i="60" s="1"/>
  <c r="AL479" i="60"/>
  <c r="CD479" i="60" s="1"/>
  <c r="BH211" i="60"/>
  <c r="BJ211" i="60"/>
  <c r="BH107" i="60"/>
  <c r="BJ107" i="60"/>
  <c r="BJ187" i="60"/>
  <c r="BH187" i="60"/>
  <c r="BJ168" i="60"/>
  <c r="BH168" i="60"/>
  <c r="BH110" i="60"/>
  <c r="BJ110" i="60"/>
  <c r="BH549" i="60"/>
  <c r="BJ549" i="60"/>
  <c r="BH43" i="60"/>
  <c r="BJ445" i="60"/>
  <c r="BH445" i="60"/>
  <c r="BH38" i="60"/>
  <c r="BJ38" i="60"/>
  <c r="BH312" i="60"/>
  <c r="BJ312" i="60"/>
  <c r="BJ269" i="60"/>
  <c r="BH269" i="60"/>
  <c r="BF47" i="60"/>
  <c r="BJ416" i="60"/>
  <c r="BH416" i="60"/>
  <c r="BJ299" i="60"/>
  <c r="BH299" i="60"/>
  <c r="BJ355" i="60"/>
  <c r="BH355" i="60"/>
  <c r="BH192" i="60"/>
  <c r="BJ192" i="60"/>
  <c r="BH73" i="60"/>
  <c r="BJ73" i="60"/>
  <c r="BH273" i="60"/>
  <c r="BJ273" i="60"/>
  <c r="BJ136" i="60"/>
  <c r="BH136" i="60"/>
  <c r="AL359" i="60"/>
  <c r="BH504" i="60"/>
  <c r="BJ504" i="60"/>
  <c r="BH81" i="60"/>
  <c r="BJ81" i="60"/>
  <c r="BH329" i="60"/>
  <c r="BJ329" i="60"/>
  <c r="AL274" i="60"/>
  <c r="AL227" i="60"/>
  <c r="BJ317" i="60"/>
  <c r="BH317" i="60"/>
  <c r="BJ39" i="60"/>
  <c r="BH39" i="60"/>
  <c r="BH469" i="60"/>
  <c r="BJ469" i="60"/>
  <c r="BJ186" i="60"/>
  <c r="BH186" i="60"/>
  <c r="BH206" i="60"/>
  <c r="BJ206" i="60"/>
  <c r="BH242" i="60"/>
  <c r="BJ242" i="60"/>
  <c r="BJ301" i="60"/>
  <c r="BH301" i="60"/>
  <c r="AL378" i="60"/>
  <c r="AL136" i="60"/>
  <c r="BJ494" i="60"/>
  <c r="BN410" i="60"/>
  <c r="AL390" i="60"/>
  <c r="AL254" i="60"/>
  <c r="AL164" i="60"/>
  <c r="BM199" i="60"/>
  <c r="BG199" i="60" s="1"/>
  <c r="BM250" i="60"/>
  <c r="BG250" i="60" s="1"/>
  <c r="AL532" i="60"/>
  <c r="BM271" i="60"/>
  <c r="BG271" i="60" s="1"/>
  <c r="BM63" i="60"/>
  <c r="BG63" i="60" s="1"/>
  <c r="AL347" i="60"/>
  <c r="AL270" i="60"/>
  <c r="AL138" i="60"/>
  <c r="BM161" i="60"/>
  <c r="BG161" i="60" s="1"/>
  <c r="AL213" i="60"/>
  <c r="AL517" i="60"/>
  <c r="BM351" i="60"/>
  <c r="BG351" i="60" s="1"/>
  <c r="BN253" i="60"/>
  <c r="AL230" i="60"/>
  <c r="CD230" i="60" s="1"/>
  <c r="BM169" i="60"/>
  <c r="BG169" i="60" s="1"/>
  <c r="BM226" i="60"/>
  <c r="BG226" i="60" s="1"/>
  <c r="BM258" i="60"/>
  <c r="BG258" i="60" s="1"/>
  <c r="BM135" i="60"/>
  <c r="BG135" i="60" s="1"/>
  <c r="BM263" i="60"/>
  <c r="BG263" i="60" s="1"/>
  <c r="BN494" i="60"/>
  <c r="AL349" i="60"/>
  <c r="CD349" i="60" s="1"/>
  <c r="BM114" i="60"/>
  <c r="BG114" i="60" s="1"/>
  <c r="AL541" i="60"/>
  <c r="BM55" i="60"/>
  <c r="BG55" i="60" s="1"/>
  <c r="AL268" i="60"/>
  <c r="AL104" i="60"/>
  <c r="AL472" i="60"/>
  <c r="AL548" i="60"/>
  <c r="BM151" i="60"/>
  <c r="BG151" i="60" s="1"/>
  <c r="BM359" i="60"/>
  <c r="BG359" i="60" s="1"/>
  <c r="AL269" i="60"/>
  <c r="AL204" i="60"/>
  <c r="BM249" i="60"/>
  <c r="BG249" i="60" s="1"/>
  <c r="BM433" i="60"/>
  <c r="BG433" i="60" s="1"/>
  <c r="AL388" i="60"/>
  <c r="BN329" i="60"/>
  <c r="BM311" i="60"/>
  <c r="BG311" i="60" s="1"/>
  <c r="BM513" i="60"/>
  <c r="BG513" i="60" s="1"/>
  <c r="AL376" i="60"/>
  <c r="BM530" i="60"/>
  <c r="BG530" i="60" s="1"/>
  <c r="AL197" i="60"/>
  <c r="BM327" i="60"/>
  <c r="BG327" i="60" s="1"/>
  <c r="BM274" i="60"/>
  <c r="BG274" i="60" s="1"/>
  <c r="AL371" i="60"/>
  <c r="AL528" i="60"/>
  <c r="AL331" i="60"/>
  <c r="AL368" i="60"/>
  <c r="AL366" i="60"/>
  <c r="AL515" i="60"/>
  <c r="BM153" i="60"/>
  <c r="BG153" i="60" s="1"/>
  <c r="AL259" i="60"/>
  <c r="AL525" i="60"/>
  <c r="BM463" i="60"/>
  <c r="BG463" i="60" s="1"/>
  <c r="BM138" i="60"/>
  <c r="BG138" i="60" s="1"/>
  <c r="AL344" i="60"/>
  <c r="AL464" i="60"/>
  <c r="BM464" i="60"/>
  <c r="BG464" i="60" s="1"/>
  <c r="AL312" i="60"/>
  <c r="BM486" i="60"/>
  <c r="BG486" i="60" s="1"/>
  <c r="AL395" i="60"/>
  <c r="AL511" i="60"/>
  <c r="AL425" i="60"/>
  <c r="AL504" i="60"/>
  <c r="AL459" i="60"/>
  <c r="AL491" i="60"/>
  <c r="AL304" i="60"/>
  <c r="AA262" i="60"/>
  <c r="AA264" i="60" s="1"/>
  <c r="AL222" i="60"/>
  <c r="BM222" i="60"/>
  <c r="BG222" i="60" s="1"/>
  <c r="AL225" i="60"/>
  <c r="AL172" i="60"/>
  <c r="BM82" i="60"/>
  <c r="BG82" i="60" s="1"/>
  <c r="AL289" i="60"/>
  <c r="AL103" i="60"/>
  <c r="AL260" i="60"/>
  <c r="AL256" i="60"/>
  <c r="BM224" i="60"/>
  <c r="BG224" i="60" s="1"/>
  <c r="AL183" i="60"/>
  <c r="AL179" i="60"/>
  <c r="AL115" i="60"/>
  <c r="BM164" i="60"/>
  <c r="BG164" i="60" s="1"/>
  <c r="AL411" i="60"/>
  <c r="AL234" i="60"/>
  <c r="BM234" i="60"/>
  <c r="BG234" i="60" s="1"/>
  <c r="AL133" i="60"/>
  <c r="AL194" i="60"/>
  <c r="BM130" i="60"/>
  <c r="BG130" i="60" s="1"/>
  <c r="AL495" i="60"/>
  <c r="BM86" i="60"/>
  <c r="BG86" i="60" s="1"/>
  <c r="AL151" i="60"/>
  <c r="AL499" i="60"/>
  <c r="BM89" i="60"/>
  <c r="BG89" i="60" s="1"/>
  <c r="AL147" i="60"/>
  <c r="AL373" i="60"/>
  <c r="AL228" i="60"/>
  <c r="AL483" i="60"/>
  <c r="AL386" i="60"/>
  <c r="AL323" i="60"/>
  <c r="AL402" i="60"/>
  <c r="BM176" i="60"/>
  <c r="BG176" i="60" s="1"/>
  <c r="AL510" i="60"/>
  <c r="AL375" i="60"/>
  <c r="BM126" i="60"/>
  <c r="BG126" i="60" s="1"/>
  <c r="AL126" i="60"/>
  <c r="BM202" i="60"/>
  <c r="BG202" i="60" s="1"/>
  <c r="AL406" i="60"/>
  <c r="AL238" i="60"/>
  <c r="BM238" i="60"/>
  <c r="BG238" i="60" s="1"/>
  <c r="AL322" i="60"/>
  <c r="AL114" i="60"/>
  <c r="BM50" i="60"/>
  <c r="BG50" i="60" s="1"/>
  <c r="AL484" i="60"/>
  <c r="AL170" i="60"/>
  <c r="BM170" i="60"/>
  <c r="BG170" i="60" s="1"/>
  <c r="BM34" i="60"/>
  <c r="BG34" i="60" s="1"/>
  <c r="AL220" i="60"/>
  <c r="BM220" i="60"/>
  <c r="BG220" i="60" s="1"/>
  <c r="AL475" i="60"/>
  <c r="AL408" i="60"/>
  <c r="AL338" i="60"/>
  <c r="BM35" i="60"/>
  <c r="BG35" i="60" s="1"/>
  <c r="AL460" i="60"/>
  <c r="AL363" i="60"/>
  <c r="AL134" i="60"/>
  <c r="AL470" i="60"/>
  <c r="AL271" i="60"/>
  <c r="AL171" i="60"/>
  <c r="AL218" i="60"/>
  <c r="BM218" i="60"/>
  <c r="BG218" i="60" s="1"/>
  <c r="AL453" i="60"/>
  <c r="AL398" i="60"/>
  <c r="AL168" i="60"/>
  <c r="AL272" i="60"/>
  <c r="BM48" i="60"/>
  <c r="BG48" i="60" s="1"/>
  <c r="AL522" i="60"/>
  <c r="BM128" i="60"/>
  <c r="BG128" i="60" s="1"/>
  <c r="AL427" i="60"/>
  <c r="AL187" i="60"/>
  <c r="AL174" i="60"/>
  <c r="BM174" i="60"/>
  <c r="BG174" i="60" s="1"/>
  <c r="AL485" i="60"/>
  <c r="AL434" i="60"/>
  <c r="AL498" i="60"/>
  <c r="AL506" i="60"/>
  <c r="AL163" i="60"/>
  <c r="AL455" i="60"/>
  <c r="AL326" i="60"/>
  <c r="AL549" i="60"/>
  <c r="AL448" i="60"/>
  <c r="AL195" i="60"/>
  <c r="AL493" i="60"/>
  <c r="AL423" i="60"/>
  <c r="AL521" i="60"/>
  <c r="AL393" i="60"/>
  <c r="AL166" i="60"/>
  <c r="BM166" i="60"/>
  <c r="BG166" i="60" s="1"/>
  <c r="BM28" i="60"/>
  <c r="BG28" i="60" s="1"/>
  <c r="BM131" i="60"/>
  <c r="BG131" i="60" s="1"/>
  <c r="AL131" i="60"/>
  <c r="BM27" i="60"/>
  <c r="BG27" i="60" s="1"/>
  <c r="BM157" i="60"/>
  <c r="BG157" i="60" s="1"/>
  <c r="AL537" i="60"/>
  <c r="AL400" i="60"/>
  <c r="BM155" i="60"/>
  <c r="BG155" i="60" s="1"/>
  <c r="AL155" i="60"/>
  <c r="AL140" i="60"/>
  <c r="AL298" i="60"/>
  <c r="AL377" i="60"/>
  <c r="AL294" i="60"/>
  <c r="AL221" i="60"/>
  <c r="AL278" i="60"/>
  <c r="AL382" i="60"/>
  <c r="AL217" i="60"/>
  <c r="BM217" i="60"/>
  <c r="BG217" i="60" s="1"/>
  <c r="AL226" i="60"/>
  <c r="AL512" i="60"/>
  <c r="BH810" i="54"/>
  <c r="L505" i="54"/>
  <c r="F351" i="54"/>
  <c r="F298" i="54"/>
  <c r="F273" i="54"/>
  <c r="F305" i="54"/>
  <c r="F277" i="54"/>
  <c r="F321" i="54"/>
  <c r="F278" i="54"/>
  <c r="F292" i="54"/>
  <c r="F347" i="54"/>
  <c r="F331" i="54"/>
  <c r="F340" i="54"/>
  <c r="F281" i="54"/>
  <c r="F356" i="54"/>
  <c r="F309" i="54"/>
  <c r="F306" i="54"/>
  <c r="F303" i="54"/>
  <c r="F361" i="54"/>
  <c r="F330" i="54"/>
  <c r="F288" i="54"/>
  <c r="F301" i="54"/>
  <c r="F290" i="54"/>
  <c r="F286" i="54"/>
  <c r="F337" i="54"/>
  <c r="F324" i="54"/>
  <c r="F279" i="54"/>
  <c r="F332" i="54"/>
  <c r="F297" i="54"/>
  <c r="F341" i="54"/>
  <c r="F322" i="54"/>
  <c r="F320" i="54"/>
  <c r="F358" i="54"/>
  <c r="F283" i="54"/>
  <c r="F326" i="54"/>
  <c r="F355" i="54"/>
  <c r="F354" i="54"/>
  <c r="F291" i="54"/>
  <c r="F350" i="54"/>
  <c r="F357" i="54"/>
  <c r="P81" i="54"/>
  <c r="O84" i="54"/>
  <c r="P84" i="54"/>
  <c r="P85" i="54"/>
  <c r="O80" i="54"/>
  <c r="P83" i="54"/>
  <c r="O83" i="54"/>
  <c r="P80" i="54"/>
  <c r="O86" i="54"/>
  <c r="P82" i="54"/>
  <c r="O82" i="54"/>
  <c r="O81" i="54"/>
  <c r="O85" i="54"/>
  <c r="P86" i="54"/>
  <c r="AA83" i="54"/>
  <c r="AA86" i="54"/>
  <c r="AA81" i="54"/>
  <c r="AA84" i="54"/>
  <c r="AA80" i="54"/>
  <c r="AA82" i="54"/>
  <c r="AA85" i="54"/>
  <c r="AJ81" i="54"/>
  <c r="AJ84" i="54"/>
  <c r="AK84" i="54"/>
  <c r="AJ80" i="54"/>
  <c r="AK86" i="54"/>
  <c r="AK81" i="54"/>
  <c r="AJ83" i="54"/>
  <c r="AK83" i="54"/>
  <c r="AK80" i="54"/>
  <c r="AJ82" i="54"/>
  <c r="AK82" i="54"/>
  <c r="AJ86" i="54"/>
  <c r="AJ85" i="54"/>
  <c r="AK85" i="54"/>
  <c r="BF81" i="54"/>
  <c r="BE86" i="54"/>
  <c r="BE80" i="54"/>
  <c r="BF80" i="54"/>
  <c r="BF83" i="54"/>
  <c r="BE83" i="54"/>
  <c r="BE84" i="54"/>
  <c r="BE81" i="54"/>
  <c r="BF84" i="54"/>
  <c r="BE82" i="54"/>
  <c r="BF86" i="54"/>
  <c r="BF82" i="54"/>
  <c r="BE85" i="54"/>
  <c r="BF85" i="54"/>
  <c r="AA71" i="54"/>
  <c r="AA88" i="54"/>
  <c r="AA97" i="54"/>
  <c r="AA99" i="54"/>
  <c r="AA118" i="54"/>
  <c r="AA73" i="54"/>
  <c r="AA74" i="54"/>
  <c r="AA107" i="54"/>
  <c r="AA91" i="54"/>
  <c r="F274" i="54"/>
  <c r="F328" i="54"/>
  <c r="F296" i="54"/>
  <c r="F360" i="54"/>
  <c r="F280" i="54"/>
  <c r="AA76" i="54"/>
  <c r="AA117" i="54"/>
  <c r="F299" i="54"/>
  <c r="F285" i="54"/>
  <c r="F344" i="54"/>
  <c r="F343" i="54"/>
  <c r="F294" i="54"/>
  <c r="F308" i="54"/>
  <c r="F302" i="54"/>
  <c r="AA119" i="54"/>
  <c r="AA111" i="54"/>
  <c r="F284" i="54"/>
  <c r="F287" i="54"/>
  <c r="F316" i="54"/>
  <c r="F338" i="54"/>
  <c r="F307" i="54"/>
  <c r="AA105" i="54"/>
  <c r="F276" i="54"/>
  <c r="F327" i="54"/>
  <c r="F295" i="54"/>
  <c r="F348" i="54"/>
  <c r="F353" i="54"/>
  <c r="F318" i="54"/>
  <c r="AA110" i="54"/>
  <c r="F334" i="54"/>
  <c r="F312" i="54"/>
  <c r="F335" i="54"/>
  <c r="F325" i="54"/>
  <c r="F319" i="54"/>
  <c r="F270" i="54"/>
  <c r="F339" i="54"/>
  <c r="F313" i="54"/>
  <c r="F333" i="54"/>
  <c r="F282" i="54"/>
  <c r="F345" i="54"/>
  <c r="F317" i="54"/>
  <c r="F300" i="54"/>
  <c r="F304" i="54"/>
  <c r="F346" i="54"/>
  <c r="F342" i="54"/>
  <c r="F289" i="54"/>
  <c r="AA89" i="54"/>
  <c r="AA79" i="54"/>
  <c r="AA92" i="54"/>
  <c r="AA98" i="54"/>
  <c r="F269" i="54"/>
  <c r="F329" i="54"/>
  <c r="F311" i="54"/>
  <c r="F336" i="54"/>
  <c r="F310" i="54"/>
  <c r="AA103" i="54"/>
  <c r="F293" i="54"/>
  <c r="F271" i="54"/>
  <c r="F323" i="54"/>
  <c r="F349" i="54"/>
  <c r="F359" i="54"/>
  <c r="F352" i="54"/>
  <c r="AV124" i="54"/>
  <c r="T36" i="54"/>
  <c r="BJ36" i="54"/>
  <c r="AV160" i="54"/>
  <c r="AV168" i="54"/>
  <c r="AV144" i="54"/>
  <c r="AV158" i="54"/>
  <c r="AV172" i="54"/>
  <c r="AV148" i="54"/>
  <c r="AA121" i="54"/>
  <c r="AV132" i="54"/>
  <c r="AV169" i="54"/>
  <c r="AV165" i="54"/>
  <c r="BJ309" i="54"/>
  <c r="AV149" i="54"/>
  <c r="AV173" i="54"/>
  <c r="AA100" i="54"/>
  <c r="AA106" i="54"/>
  <c r="AV136" i="54"/>
  <c r="T309" i="54"/>
  <c r="AV170" i="54"/>
  <c r="AA69" i="54"/>
  <c r="AA72" i="54"/>
  <c r="AA112" i="54"/>
  <c r="AA102" i="54"/>
  <c r="AA101" i="54"/>
  <c r="AV128" i="54"/>
  <c r="AV133" i="54"/>
  <c r="AV147" i="54"/>
  <c r="AV163" i="54"/>
  <c r="AV151" i="54"/>
  <c r="T214" i="54"/>
  <c r="AV125" i="54"/>
  <c r="AV162" i="54"/>
  <c r="AV171" i="54"/>
  <c r="AV150" i="54"/>
  <c r="AV129" i="54"/>
  <c r="AV126" i="54"/>
  <c r="AV127" i="54"/>
  <c r="AV146" i="54"/>
  <c r="AV141" i="54"/>
  <c r="AV135" i="54"/>
  <c r="AV131" i="54"/>
  <c r="AV138" i="54"/>
  <c r="AV153" i="54"/>
  <c r="AV140" i="54"/>
  <c r="BJ89" i="54"/>
  <c r="AA109" i="54"/>
  <c r="AA113" i="54"/>
  <c r="AV152" i="54"/>
  <c r="AV142" i="54"/>
  <c r="AV161" i="54"/>
  <c r="AV134" i="54"/>
  <c r="AV145" i="54"/>
  <c r="AV167" i="54"/>
  <c r="AA108" i="54"/>
  <c r="AA70" i="54"/>
  <c r="AA104" i="54"/>
  <c r="AA78" i="54"/>
  <c r="AA96" i="54"/>
  <c r="AV166" i="54"/>
  <c r="AV175" i="54"/>
  <c r="AV174" i="54"/>
  <c r="AV139" i="54"/>
  <c r="AA77" i="54"/>
  <c r="AA87" i="54"/>
  <c r="AV181" i="54"/>
  <c r="AV179" i="54"/>
  <c r="AA116" i="54"/>
  <c r="AA90" i="54"/>
  <c r="AV137" i="54"/>
  <c r="AV176" i="54"/>
  <c r="AV143" i="54"/>
  <c r="AV177" i="54"/>
  <c r="AV159" i="54"/>
  <c r="AV164" i="54"/>
  <c r="AA115" i="54"/>
  <c r="AA120" i="54"/>
  <c r="AA93" i="54"/>
  <c r="AV180" i="54"/>
  <c r="AV156" i="54"/>
  <c r="AV178" i="54"/>
  <c r="AV157" i="54"/>
  <c r="AO309" i="54"/>
  <c r="AK303" i="54"/>
  <c r="AK305" i="54"/>
  <c r="AJ300" i="54"/>
  <c r="AK295" i="54"/>
  <c r="AJ305" i="54"/>
  <c r="AK301" i="54"/>
  <c r="AK302" i="54"/>
  <c r="AJ301" i="54"/>
  <c r="AK296" i="54"/>
  <c r="AK307" i="54"/>
  <c r="AJ307" i="54"/>
  <c r="AK306" i="54"/>
  <c r="AK304" i="54"/>
  <c r="AK292" i="54"/>
  <c r="AJ281" i="54"/>
  <c r="AJ306" i="54"/>
  <c r="AJ304" i="54"/>
  <c r="AK298" i="54"/>
  <c r="AJ296" i="54"/>
  <c r="AK294" i="54"/>
  <c r="AJ292" i="54"/>
  <c r="AK290" i="54"/>
  <c r="AK308" i="54"/>
  <c r="AJ302" i="54"/>
  <c r="AK293" i="54"/>
  <c r="AK287" i="54"/>
  <c r="AJ285" i="54"/>
  <c r="AJ287" i="54"/>
  <c r="AK300" i="54"/>
  <c r="AK289" i="54"/>
  <c r="AJ295" i="54"/>
  <c r="AJ289" i="54"/>
  <c r="AJ308" i="54"/>
  <c r="AK299" i="54"/>
  <c r="AJ291" i="54"/>
  <c r="AJ286" i="54"/>
  <c r="AK282" i="54"/>
  <c r="AJ293" i="54"/>
  <c r="AJ290" i="54"/>
  <c r="AJ303" i="54"/>
  <c r="AK297" i="54"/>
  <c r="AK283" i="54"/>
  <c r="AK281" i="54"/>
  <c r="AJ297" i="54"/>
  <c r="AJ280" i="54"/>
  <c r="AJ299" i="54"/>
  <c r="AJ294" i="54"/>
  <c r="AK291" i="54"/>
  <c r="AK288" i="54"/>
  <c r="AK286" i="54"/>
  <c r="AJ288" i="54"/>
  <c r="AJ282" i="54"/>
  <c r="AK279" i="54"/>
  <c r="AJ298" i="54"/>
  <c r="AD274" i="54"/>
  <c r="AF274" i="54" s="1" a="1"/>
  <c r="AF274" i="54" s="1"/>
  <c r="AK284" i="54"/>
  <c r="AJ284" i="54"/>
  <c r="AJ283" i="54"/>
  <c r="AK285" i="54"/>
  <c r="AJ279" i="54"/>
  <c r="AK280" i="54"/>
  <c r="L357" i="54"/>
  <c r="BE302" i="54"/>
  <c r="BE303" i="54"/>
  <c r="BF308" i="54"/>
  <c r="BE308" i="54"/>
  <c r="BF303" i="54"/>
  <c r="BF300" i="54"/>
  <c r="BE289" i="54"/>
  <c r="BE295" i="54"/>
  <c r="BF305" i="54"/>
  <c r="BF301" i="54"/>
  <c r="BE290" i="54"/>
  <c r="BF302" i="54"/>
  <c r="BE307" i="54"/>
  <c r="BF286" i="54"/>
  <c r="BF281" i="54"/>
  <c r="BE286" i="54"/>
  <c r="BE281" i="54"/>
  <c r="BE305" i="54"/>
  <c r="BE304" i="54"/>
  <c r="BF306" i="54"/>
  <c r="BE283" i="54"/>
  <c r="BF290" i="54"/>
  <c r="BF293" i="54"/>
  <c r="BF283" i="54"/>
  <c r="BE300" i="54"/>
  <c r="BE293" i="54"/>
  <c r="BF287" i="54"/>
  <c r="BF285" i="54"/>
  <c r="BE306" i="54"/>
  <c r="BE297" i="54"/>
  <c r="BE301" i="54"/>
  <c r="BE287" i="54"/>
  <c r="BE285" i="54"/>
  <c r="BF297" i="54"/>
  <c r="BE296" i="54"/>
  <c r="BE292" i="54"/>
  <c r="BF289" i="54"/>
  <c r="BF284" i="54"/>
  <c r="AY274" i="54"/>
  <c r="BA274" i="54" s="1" a="1"/>
  <c r="BA274" i="54" s="1"/>
  <c r="BF307" i="54"/>
  <c r="BF294" i="54"/>
  <c r="BE288" i="54"/>
  <c r="BF298" i="54"/>
  <c r="BE294" i="54"/>
  <c r="BE291" i="54"/>
  <c r="BF304" i="54"/>
  <c r="BE298" i="54"/>
  <c r="BF296" i="54"/>
  <c r="BF299" i="54"/>
  <c r="BE282" i="54"/>
  <c r="BE299" i="54"/>
  <c r="BF279" i="54"/>
  <c r="BF280" i="54"/>
  <c r="BE279" i="54"/>
  <c r="BF288" i="54"/>
  <c r="BE280" i="54"/>
  <c r="BF291" i="54"/>
  <c r="BF282" i="54"/>
  <c r="BE284" i="54"/>
  <c r="BF295" i="54"/>
  <c r="BF292" i="54"/>
  <c r="P303" i="54"/>
  <c r="O303" i="54"/>
  <c r="P308" i="54"/>
  <c r="O308" i="54"/>
  <c r="P304" i="54"/>
  <c r="O305" i="54"/>
  <c r="O295" i="54"/>
  <c r="P290" i="54"/>
  <c r="P302" i="54"/>
  <c r="P307" i="54"/>
  <c r="O302" i="54"/>
  <c r="O301" i="54"/>
  <c r="P296" i="54"/>
  <c r="O307" i="54"/>
  <c r="O296" i="54"/>
  <c r="P291" i="54"/>
  <c r="P306" i="54"/>
  <c r="O290" i="54"/>
  <c r="P300" i="54"/>
  <c r="P287" i="54"/>
  <c r="P282" i="54"/>
  <c r="P299" i="54"/>
  <c r="P295" i="54"/>
  <c r="O288" i="54"/>
  <c r="P284" i="54"/>
  <c r="P305" i="54"/>
  <c r="P289" i="54"/>
  <c r="O289" i="54"/>
  <c r="O299" i="54"/>
  <c r="O291" i="54"/>
  <c r="O284" i="54"/>
  <c r="O306" i="54"/>
  <c r="O298" i="54"/>
  <c r="O294" i="54"/>
  <c r="O279" i="54"/>
  <c r="I274" i="54"/>
  <c r="K274" i="54" s="1" a="1"/>
  <c r="K274" i="54" s="1"/>
  <c r="O283" i="54"/>
  <c r="O281" i="54"/>
  <c r="O300" i="54"/>
  <c r="P292" i="54"/>
  <c r="O287" i="54"/>
  <c r="P288" i="54"/>
  <c r="P293" i="54"/>
  <c r="P285" i="54"/>
  <c r="P283" i="54"/>
  <c r="O293" i="54"/>
  <c r="O285" i="54"/>
  <c r="P286" i="54"/>
  <c r="P279" i="54"/>
  <c r="O286" i="54"/>
  <c r="P281" i="54"/>
  <c r="P297" i="54"/>
  <c r="O297" i="54"/>
  <c r="P294" i="54"/>
  <c r="P280" i="54"/>
  <c r="O304" i="54"/>
  <c r="O280" i="54"/>
  <c r="P298" i="54"/>
  <c r="O282" i="54"/>
  <c r="P301" i="54"/>
  <c r="O292" i="54"/>
  <c r="AA260" i="54"/>
  <c r="AA245" i="54"/>
  <c r="AA235" i="54"/>
  <c r="AA227" i="54"/>
  <c r="AA249" i="54"/>
  <c r="AA234" i="54"/>
  <c r="AA226" i="54"/>
  <c r="AA221" i="54"/>
  <c r="AA265" i="54"/>
  <c r="AA252" i="54"/>
  <c r="AA215" i="54"/>
  <c r="AA232" i="54"/>
  <c r="AA224" i="54"/>
  <c r="AA222" i="54"/>
  <c r="AA266" i="54"/>
  <c r="AA248" i="54"/>
  <c r="AA216" i="54"/>
  <c r="AA210" i="54"/>
  <c r="AA261" i="54"/>
  <c r="AA250" i="54"/>
  <c r="AA212" i="54"/>
  <c r="AA236" i="54"/>
  <c r="AA209" i="54"/>
  <c r="AA200" i="54"/>
  <c r="AA237" i="54"/>
  <c r="AA223" i="54"/>
  <c r="AA238" i="54"/>
  <c r="AA233" i="54"/>
  <c r="AA218" i="54"/>
  <c r="AA251" i="54"/>
  <c r="AA229" i="54"/>
  <c r="AA206" i="54"/>
  <c r="AA259" i="54"/>
  <c r="AA258" i="54"/>
  <c r="AA241" i="54"/>
  <c r="AA213" i="54"/>
  <c r="AA240" i="54"/>
  <c r="AA263" i="54"/>
  <c r="AA253" i="54"/>
  <c r="AA197" i="54"/>
  <c r="AA256" i="54"/>
  <c r="AA230" i="54"/>
  <c r="AA207" i="54"/>
  <c r="AA214" i="54"/>
  <c r="AA203" i="54"/>
  <c r="AA242" i="54"/>
  <c r="AA199" i="54"/>
  <c r="AA186" i="54"/>
  <c r="AA205" i="54"/>
  <c r="AA262" i="54"/>
  <c r="AA254" i="54"/>
  <c r="AA243" i="54"/>
  <c r="AA202" i="54"/>
  <c r="AA196" i="54"/>
  <c r="AA187" i="54"/>
  <c r="AA255" i="54"/>
  <c r="AA247" i="54"/>
  <c r="AA198" i="54"/>
  <c r="AA191" i="54"/>
  <c r="AA231" i="54"/>
  <c r="AA201" i="54"/>
  <c r="AA188" i="54"/>
  <c r="AA244" i="54"/>
  <c r="AA184" i="54"/>
  <c r="AA225" i="54"/>
  <c r="AA189" i="54"/>
  <c r="AA192" i="54"/>
  <c r="AA257" i="54"/>
  <c r="AA204" i="54"/>
  <c r="AA211" i="54"/>
  <c r="AA246" i="54"/>
  <c r="AA185" i="54"/>
  <c r="AA217" i="54"/>
  <c r="AA264" i="54"/>
  <c r="AA228" i="54"/>
  <c r="AA208" i="54"/>
  <c r="AA195" i="54"/>
  <c r="AA194" i="54"/>
  <c r="AA239" i="54"/>
  <c r="AA193" i="54"/>
  <c r="BJ214" i="54"/>
  <c r="BF209" i="54"/>
  <c r="BE209" i="54"/>
  <c r="BF213" i="54"/>
  <c r="BE213" i="54"/>
  <c r="BF211" i="54"/>
  <c r="BE210" i="54"/>
  <c r="BF201" i="54"/>
  <c r="BF205" i="54"/>
  <c r="BE201" i="54"/>
  <c r="BF207" i="54"/>
  <c r="BF212" i="54"/>
  <c r="BE212" i="54"/>
  <c r="BE205" i="54"/>
  <c r="BE203" i="54"/>
  <c r="BE207" i="54"/>
  <c r="BE211" i="54"/>
  <c r="BF199" i="54"/>
  <c r="BF208" i="54"/>
  <c r="BE199" i="54"/>
  <c r="BE208" i="54"/>
  <c r="BF196" i="54"/>
  <c r="BF203" i="54"/>
  <c r="BE196" i="54"/>
  <c r="BF206" i="54"/>
  <c r="BF202" i="54"/>
  <c r="BF198" i="54"/>
  <c r="BE206" i="54"/>
  <c r="BE202" i="54"/>
  <c r="BE198" i="54"/>
  <c r="AY189" i="54"/>
  <c r="BA189" i="54" s="1" a="1"/>
  <c r="BA189" i="54" s="1"/>
  <c r="BF195" i="54"/>
  <c r="BF204" i="54"/>
  <c r="BE195" i="54"/>
  <c r="BF200" i="54"/>
  <c r="BE204" i="54"/>
  <c r="BE200" i="54"/>
  <c r="BE194" i="54"/>
  <c r="BF197" i="54"/>
  <c r="BE197" i="54"/>
  <c r="BF210" i="54"/>
  <c r="BF194" i="54"/>
  <c r="AK209" i="54"/>
  <c r="AJ209" i="54"/>
  <c r="AK210" i="54"/>
  <c r="AJ211" i="54"/>
  <c r="AK205" i="54"/>
  <c r="AJ201" i="54"/>
  <c r="AJ205" i="54"/>
  <c r="AJ212" i="54"/>
  <c r="AJ207" i="54"/>
  <c r="AK200" i="54"/>
  <c r="AD189" i="54"/>
  <c r="AF189" i="54" s="1" a="1"/>
  <c r="AF189" i="54" s="1"/>
  <c r="AJ200" i="54"/>
  <c r="AK198" i="54"/>
  <c r="AK196" i="54"/>
  <c r="AJ202" i="54"/>
  <c r="AJ206" i="54"/>
  <c r="AJ203" i="54"/>
  <c r="AK202" i="54"/>
  <c r="AJ196" i="54"/>
  <c r="AJ198" i="54"/>
  <c r="AJ210" i="54"/>
  <c r="AK201" i="54"/>
  <c r="AK213" i="54"/>
  <c r="AK211" i="54"/>
  <c r="AK197" i="54"/>
  <c r="AK194" i="54"/>
  <c r="AJ213" i="54"/>
  <c r="AK203" i="54"/>
  <c r="AK206" i="54"/>
  <c r="AJ197" i="54"/>
  <c r="AJ194" i="54"/>
  <c r="AJ204" i="54"/>
  <c r="AK212" i="54"/>
  <c r="AJ208" i="54"/>
  <c r="AK195" i="54"/>
  <c r="AJ195" i="54"/>
  <c r="AK207" i="54"/>
  <c r="AK208" i="54"/>
  <c r="AK199" i="54"/>
  <c r="AJ199" i="54"/>
  <c r="AK204" i="54"/>
  <c r="O209" i="54"/>
  <c r="P213" i="54"/>
  <c r="P210" i="54"/>
  <c r="O213" i="54"/>
  <c r="O210" i="54"/>
  <c r="O205" i="54"/>
  <c r="P212" i="54"/>
  <c r="P202" i="54"/>
  <c r="O212" i="54"/>
  <c r="P211" i="54"/>
  <c r="O207" i="54"/>
  <c r="P203" i="54"/>
  <c r="O198" i="54"/>
  <c r="O203" i="54"/>
  <c r="P209" i="54"/>
  <c r="P204" i="54"/>
  <c r="O199" i="54"/>
  <c r="O196" i="54"/>
  <c r="P197" i="54"/>
  <c r="O211" i="54"/>
  <c r="P200" i="54"/>
  <c r="P194" i="54"/>
  <c r="O200" i="54"/>
  <c r="O197" i="54"/>
  <c r="O194" i="54"/>
  <c r="P195" i="54"/>
  <c r="O202" i="54"/>
  <c r="P199" i="54"/>
  <c r="P208" i="54"/>
  <c r="I189" i="54"/>
  <c r="K189" i="54" s="1" a="1"/>
  <c r="K189" i="54" s="1"/>
  <c r="O208" i="54"/>
  <c r="P205" i="54"/>
  <c r="O195" i="54"/>
  <c r="O206" i="54"/>
  <c r="P201" i="54"/>
  <c r="O201" i="54"/>
  <c r="O204" i="54"/>
  <c r="P206" i="54"/>
  <c r="P196" i="54"/>
  <c r="P207" i="54"/>
  <c r="P198" i="54"/>
  <c r="AO214" i="54"/>
  <c r="L176" i="54"/>
  <c r="L177" i="54" s="1"/>
  <c r="AA170" i="54"/>
  <c r="AA162" i="54"/>
  <c r="AA169" i="54"/>
  <c r="AA161" i="54"/>
  <c r="AA156" i="54"/>
  <c r="AA180" i="54"/>
  <c r="AA150" i="54"/>
  <c r="AA168" i="54"/>
  <c r="AA160" i="54"/>
  <c r="AA149" i="54"/>
  <c r="AA181" i="54"/>
  <c r="AA151" i="54"/>
  <c r="AA145" i="54"/>
  <c r="AA171" i="54"/>
  <c r="AA176" i="54"/>
  <c r="AA167" i="54"/>
  <c r="AA172" i="54"/>
  <c r="AA146" i="54"/>
  <c r="AA158" i="54"/>
  <c r="AA143" i="54"/>
  <c r="AA179" i="54"/>
  <c r="AA177" i="54"/>
  <c r="AA153" i="54"/>
  <c r="AA178" i="54"/>
  <c r="AA140" i="54"/>
  <c r="AA152" i="54"/>
  <c r="AA132" i="54"/>
  <c r="AA126" i="54"/>
  <c r="AA174" i="54"/>
  <c r="AA138" i="54"/>
  <c r="AA163" i="54"/>
  <c r="AA144" i="54"/>
  <c r="AA166" i="54"/>
  <c r="AA141" i="54"/>
  <c r="AA131" i="54"/>
  <c r="AA139" i="54"/>
  <c r="AA129" i="54"/>
  <c r="AA165" i="54"/>
  <c r="AA142" i="54"/>
  <c r="AA134" i="54"/>
  <c r="AA135" i="54"/>
  <c r="AA137" i="54"/>
  <c r="AA164" i="54"/>
  <c r="AA125" i="54"/>
  <c r="AA157" i="54"/>
  <c r="AA148" i="54"/>
  <c r="AA133" i="54"/>
  <c r="AA128" i="54"/>
  <c r="AA159" i="54"/>
  <c r="AA147" i="54"/>
  <c r="AA124" i="54"/>
  <c r="AA173" i="54"/>
  <c r="AA175" i="54"/>
  <c r="AA136" i="54"/>
  <c r="AA127" i="54"/>
  <c r="BJ149" i="54"/>
  <c r="BE144" i="54"/>
  <c r="BE145" i="54"/>
  <c r="BE148" i="54"/>
  <c r="BF146" i="54"/>
  <c r="BE147" i="54"/>
  <c r="BF148" i="54"/>
  <c r="BE146" i="54"/>
  <c r="BF143" i="54"/>
  <c r="BE143" i="54"/>
  <c r="BF145" i="54"/>
  <c r="BF142" i="54"/>
  <c r="BE138" i="54"/>
  <c r="BE142" i="54"/>
  <c r="BF141" i="54"/>
  <c r="BE140" i="54"/>
  <c r="BF139" i="54"/>
  <c r="BF134" i="54"/>
  <c r="BF135" i="54"/>
  <c r="BE134" i="54"/>
  <c r="BE141" i="54"/>
  <c r="BE135" i="54"/>
  <c r="BE139" i="54"/>
  <c r="BF136" i="54"/>
  <c r="BF144" i="54"/>
  <c r="BF138" i="54"/>
  <c r="BE136" i="54"/>
  <c r="BF137" i="54"/>
  <c r="AY129" i="54"/>
  <c r="BA129" i="54" s="1" a="1"/>
  <c r="BA129" i="54" s="1"/>
  <c r="BF140" i="54"/>
  <c r="BE137" i="54"/>
  <c r="BF147" i="54"/>
  <c r="AO149" i="54"/>
  <c r="T149" i="54"/>
  <c r="AK144" i="54"/>
  <c r="AK148" i="54"/>
  <c r="AJ148" i="54"/>
  <c r="AJ146" i="54"/>
  <c r="AJ143" i="54"/>
  <c r="AK145" i="54"/>
  <c r="AK142" i="54"/>
  <c r="AK141" i="54"/>
  <c r="AJ144" i="54"/>
  <c r="AJ145" i="54"/>
  <c r="AK147" i="54"/>
  <c r="AK146" i="54"/>
  <c r="AJ141" i="54"/>
  <c r="AK134" i="54"/>
  <c r="AK137" i="54"/>
  <c r="AJ135" i="54"/>
  <c r="AJ147" i="54"/>
  <c r="AJ137" i="54"/>
  <c r="AJ134" i="54"/>
  <c r="AK143" i="54"/>
  <c r="AJ139" i="54"/>
  <c r="AJ142" i="54"/>
  <c r="AJ136" i="54"/>
  <c r="AK139" i="54"/>
  <c r="AD129" i="54"/>
  <c r="AF129" i="54" s="1" a="1"/>
  <c r="AF129" i="54" s="1"/>
  <c r="AK136" i="54"/>
  <c r="AK138" i="54"/>
  <c r="AK140" i="54"/>
  <c r="AJ138" i="54"/>
  <c r="AJ140" i="54"/>
  <c r="AK135" i="54"/>
  <c r="O144" i="54"/>
  <c r="P148" i="54"/>
  <c r="P145" i="54"/>
  <c r="P146" i="54"/>
  <c r="O145" i="54"/>
  <c r="P142" i="54"/>
  <c r="O142" i="54"/>
  <c r="O148" i="54"/>
  <c r="P147" i="54"/>
  <c r="O141" i="54"/>
  <c r="P141" i="54"/>
  <c r="P143" i="54"/>
  <c r="P137" i="54"/>
  <c r="P135" i="54"/>
  <c r="O137" i="54"/>
  <c r="O135" i="54"/>
  <c r="O143" i="54"/>
  <c r="O146" i="54"/>
  <c r="P140" i="54"/>
  <c r="P136" i="54"/>
  <c r="O139" i="54"/>
  <c r="P134" i="54"/>
  <c r="P139" i="54"/>
  <c r="O134" i="54"/>
  <c r="O140" i="54"/>
  <c r="O136" i="54"/>
  <c r="P138" i="54"/>
  <c r="O138" i="54"/>
  <c r="O147" i="54"/>
  <c r="P144" i="54"/>
  <c r="I129" i="54"/>
  <c r="K129" i="54" s="1" a="1"/>
  <c r="K129" i="54" s="1"/>
  <c r="T89" i="54"/>
  <c r="AO89" i="54"/>
  <c r="P87" i="54"/>
  <c r="I74" i="54"/>
  <c r="K74" i="54" s="1" a="1"/>
  <c r="K74" i="54" s="1"/>
  <c r="P88" i="54"/>
  <c r="P79" i="54"/>
  <c r="O88" i="54"/>
  <c r="O87" i="54"/>
  <c r="O79" i="54"/>
  <c r="BF88" i="54"/>
  <c r="BE88" i="54"/>
  <c r="BF87" i="54"/>
  <c r="BF79" i="54"/>
  <c r="BE79" i="54"/>
  <c r="BE87" i="54"/>
  <c r="AY74" i="54"/>
  <c r="BA74" i="54" s="1" a="1"/>
  <c r="BA74" i="54" s="1"/>
  <c r="AJ87" i="54"/>
  <c r="AD74" i="54"/>
  <c r="AF74" i="54" s="1" a="1"/>
  <c r="AF74" i="54" s="1"/>
  <c r="AK87" i="54"/>
  <c r="AK79" i="54"/>
  <c r="AJ79" i="54"/>
  <c r="AJ88" i="54"/>
  <c r="AK88" i="54"/>
  <c r="BF35" i="54"/>
  <c r="BE35" i="54"/>
  <c r="BF31" i="54"/>
  <c r="BE31" i="54"/>
  <c r="BF32" i="54"/>
  <c r="BE32" i="54"/>
  <c r="AY25" i="54"/>
  <c r="BA25" i="54" s="1" a="1"/>
  <c r="BA25" i="54" s="1"/>
  <c r="BF30" i="54"/>
  <c r="BF33" i="54"/>
  <c r="BE33" i="54"/>
  <c r="BF34" i="54"/>
  <c r="BE34" i="54"/>
  <c r="BE30" i="54"/>
  <c r="L62" i="54"/>
  <c r="P35" i="54"/>
  <c r="O35" i="54"/>
  <c r="O31" i="54"/>
  <c r="O32" i="54"/>
  <c r="P32" i="54"/>
  <c r="P30" i="54"/>
  <c r="P33" i="54"/>
  <c r="O30" i="54"/>
  <c r="I25" i="54"/>
  <c r="K25" i="54" s="1" a="1"/>
  <c r="K25" i="54" s="1"/>
  <c r="O33" i="54"/>
  <c r="P34" i="54"/>
  <c r="P31" i="54"/>
  <c r="O34" i="54"/>
  <c r="F52" i="54"/>
  <c r="F62" i="54"/>
  <c r="F51" i="54"/>
  <c r="F64" i="54"/>
  <c r="F40" i="54"/>
  <c r="F50" i="54"/>
  <c r="F49" i="54"/>
  <c r="F43" i="54"/>
  <c r="F35" i="54"/>
  <c r="F65" i="54"/>
  <c r="F37" i="54"/>
  <c r="F44" i="54"/>
  <c r="F48" i="54"/>
  <c r="F36" i="54"/>
  <c r="F66" i="54"/>
  <c r="F63" i="54"/>
  <c r="F45" i="54"/>
  <c r="F53" i="54"/>
  <c r="F46" i="54"/>
  <c r="F28" i="54"/>
  <c r="F22" i="54"/>
  <c r="F31" i="54"/>
  <c r="F24" i="54"/>
  <c r="F29" i="54"/>
  <c r="F23" i="54"/>
  <c r="F30" i="54"/>
  <c r="F39" i="54"/>
  <c r="F32" i="54"/>
  <c r="F25" i="54"/>
  <c r="F47" i="54"/>
  <c r="F34" i="54"/>
  <c r="F38" i="54"/>
  <c r="F33" i="54"/>
  <c r="F20" i="54"/>
  <c r="F21" i="54"/>
  <c r="F27" i="54"/>
  <c r="F61" i="54"/>
  <c r="AO36" i="54"/>
  <c r="AK35" i="54"/>
  <c r="AK31" i="54"/>
  <c r="AK32" i="54"/>
  <c r="AJ31" i="54"/>
  <c r="AJ32" i="54"/>
  <c r="AK33" i="54"/>
  <c r="AK30" i="54"/>
  <c r="AJ33" i="54"/>
  <c r="AJ30" i="54"/>
  <c r="AD25" i="54"/>
  <c r="AF25" i="54" s="1" a="1"/>
  <c r="AF25" i="54" s="1"/>
  <c r="AK34" i="54"/>
  <c r="AJ34" i="54"/>
  <c r="AJ35" i="54"/>
  <c r="E175" i="106" l="1"/>
  <c r="D177" i="106" s="1" a="1"/>
  <c r="D177" i="106" s="1"/>
  <c r="F175" i="106"/>
  <c r="BJ57" i="60"/>
  <c r="BJ391" i="60"/>
  <c r="BJ517" i="60"/>
  <c r="BH235" i="60"/>
  <c r="BH121" i="60"/>
  <c r="BJ123" i="60"/>
  <c r="BJ383" i="60"/>
  <c r="BJ295" i="60"/>
  <c r="BH528" i="60"/>
  <c r="BJ272" i="60"/>
  <c r="BH490" i="60"/>
  <c r="BH310" i="60"/>
  <c r="BJ366" i="60"/>
  <c r="BJ150" i="60"/>
  <c r="BJ361" i="60"/>
  <c r="BJ229" i="60"/>
  <c r="BJ213" i="60"/>
  <c r="BH191" i="60"/>
  <c r="BJ526" i="60"/>
  <c r="BH516" i="60"/>
  <c r="BJ544" i="60"/>
  <c r="BJ352" i="60"/>
  <c r="BJ29" i="60"/>
  <c r="BJ26" i="60"/>
  <c r="BJ37" i="60"/>
  <c r="BJ529" i="60"/>
  <c r="BH266" i="60"/>
  <c r="BJ499" i="60"/>
  <c r="BJ127" i="60"/>
  <c r="BH471" i="60"/>
  <c r="BJ543" i="60"/>
  <c r="BJ292" i="60"/>
  <c r="BJ371" i="60"/>
  <c r="BJ52" i="60"/>
  <c r="BJ116" i="60"/>
  <c r="BJ165" i="60"/>
  <c r="BJ340" i="60"/>
  <c r="BJ414" i="60"/>
  <c r="BJ470" i="60"/>
  <c r="BJ389" i="60"/>
  <c r="BH462" i="60"/>
  <c r="BJ450" i="60"/>
  <c r="BH152" i="60"/>
  <c r="BJ290" i="60"/>
  <c r="BH403" i="60"/>
  <c r="BJ210" i="60"/>
  <c r="BJ460" i="60"/>
  <c r="BJ412" i="60"/>
  <c r="BJ348" i="60"/>
  <c r="BJ436" i="60"/>
  <c r="BJ260" i="60"/>
  <c r="BJ44" i="60"/>
  <c r="BJ432" i="60"/>
  <c r="BH381" i="60"/>
  <c r="BH294" i="60"/>
  <c r="BH118" i="60"/>
  <c r="BJ542" i="60"/>
  <c r="BJ281" i="60"/>
  <c r="BJ338" i="60"/>
  <c r="BJ481" i="60"/>
  <c r="BJ259" i="60"/>
  <c r="BJ125" i="60"/>
  <c r="BJ244" i="60"/>
  <c r="BH379" i="60"/>
  <c r="BH393" i="60"/>
  <c r="BJ289" i="60"/>
  <c r="BJ444" i="60"/>
  <c r="BJ508" i="60"/>
  <c r="BH315" i="60"/>
  <c r="BJ342" i="60"/>
  <c r="BJ397" i="60"/>
  <c r="BJ316" i="60"/>
  <c r="BJ137" i="60"/>
  <c r="BH200" i="60"/>
  <c r="BJ159" i="60"/>
  <c r="BJ261" i="60"/>
  <c r="BJ313" i="60"/>
  <c r="BJ409" i="60"/>
  <c r="BJ256" i="60"/>
  <c r="BJ367" i="60"/>
  <c r="BH410" i="60"/>
  <c r="BJ435" i="60"/>
  <c r="BJ369" i="60"/>
  <c r="BH500" i="60"/>
  <c r="BJ451" i="60"/>
  <c r="BJ254" i="60"/>
  <c r="BJ142" i="60"/>
  <c r="BJ341" i="60"/>
  <c r="BJ532" i="60"/>
  <c r="BJ177" i="60"/>
  <c r="BJ204" i="60"/>
  <c r="BJ476" i="60"/>
  <c r="BJ61" i="60"/>
  <c r="BH79" i="60"/>
  <c r="BH75" i="60"/>
  <c r="BM212" i="60"/>
  <c r="BG212" i="60" s="1"/>
  <c r="BH212" i="60" s="1"/>
  <c r="BN192" i="60"/>
  <c r="BN405" i="60"/>
  <c r="BN409" i="60"/>
  <c r="BM221" i="60"/>
  <c r="BG221" i="60" s="1"/>
  <c r="BH221" i="60" s="1"/>
  <c r="BM282" i="60"/>
  <c r="BG282" i="60" s="1"/>
  <c r="BH282" i="60" s="1"/>
  <c r="BH140" i="60"/>
  <c r="BM288" i="60"/>
  <c r="BG288" i="60" s="1"/>
  <c r="BH288" i="60" s="1"/>
  <c r="BN424" i="60"/>
  <c r="BN401" i="60"/>
  <c r="BH112" i="60"/>
  <c r="BJ197" i="60"/>
  <c r="BJ465" i="60"/>
  <c r="BJ390" i="60"/>
  <c r="BH474" i="60"/>
  <c r="BJ243" i="60"/>
  <c r="BH247" i="60"/>
  <c r="BM287" i="60"/>
  <c r="BG287" i="60" s="1"/>
  <c r="BJ287" i="60" s="1"/>
  <c r="BN150" i="60"/>
  <c r="BN471" i="60"/>
  <c r="BN365" i="60"/>
  <c r="BN100" i="60"/>
  <c r="BN125" i="60"/>
  <c r="BH531" i="60"/>
  <c r="BJ278" i="60"/>
  <c r="BH183" i="60"/>
  <c r="BJ335" i="60"/>
  <c r="BJ207" i="60"/>
  <c r="BJ503" i="60"/>
  <c r="BJ380" i="60"/>
  <c r="BJ400" i="60"/>
  <c r="BH103" i="60"/>
  <c r="BN111" i="60"/>
  <c r="BN486" i="60"/>
  <c r="BN439" i="60"/>
  <c r="BN159" i="60"/>
  <c r="BN542" i="60"/>
  <c r="BM230" i="60"/>
  <c r="BG230" i="60" s="1"/>
  <c r="BH230" i="60" s="1"/>
  <c r="BJ357" i="60"/>
  <c r="BM240" i="60"/>
  <c r="BG240" i="60" s="1"/>
  <c r="BJ240" i="60" s="1"/>
  <c r="BN384" i="60"/>
  <c r="BJ270" i="60"/>
  <c r="BJ227" i="60"/>
  <c r="BJ276" i="60"/>
  <c r="BJ482" i="60"/>
  <c r="BH201" i="60"/>
  <c r="BM241" i="60"/>
  <c r="BG241" i="60" s="1"/>
  <c r="BH241" i="60" s="1"/>
  <c r="BN370" i="60"/>
  <c r="BH398" i="60"/>
  <c r="BJ304" i="60"/>
  <c r="BJ487" i="60"/>
  <c r="BJ467" i="60"/>
  <c r="BJ399" i="60"/>
  <c r="BJ461" i="60"/>
  <c r="BJ382" i="60"/>
  <c r="BJ497" i="60"/>
  <c r="BJ321" i="60"/>
  <c r="BH431" i="60"/>
  <c r="BJ190" i="60"/>
  <c r="BJ440" i="60"/>
  <c r="BJ345" i="60"/>
  <c r="BM286" i="60"/>
  <c r="BG286" i="60" s="1"/>
  <c r="BH286" i="60" s="1"/>
  <c r="BN443" i="60"/>
  <c r="BN501" i="60"/>
  <c r="BN267" i="60"/>
  <c r="BN468" i="60"/>
  <c r="BN458" i="60"/>
  <c r="BN396" i="60"/>
  <c r="BN444" i="60"/>
  <c r="BN144" i="60"/>
  <c r="BJ105" i="60"/>
  <c r="BM293" i="60"/>
  <c r="BG293" i="60" s="1"/>
  <c r="BH293" i="60" s="1"/>
  <c r="BM171" i="60"/>
  <c r="BG171" i="60" s="1"/>
  <c r="BJ171" i="60" s="1"/>
  <c r="BN437" i="60"/>
  <c r="BJ134" i="60"/>
  <c r="BJ496" i="60"/>
  <c r="BH426" i="60"/>
  <c r="BJ145" i="60"/>
  <c r="BJ548" i="60"/>
  <c r="BJ101" i="60"/>
  <c r="BJ533" i="60"/>
  <c r="BJ456" i="60"/>
  <c r="BJ478" i="60"/>
  <c r="BJ336" i="60"/>
  <c r="BJ515" i="60"/>
  <c r="BH362" i="60"/>
  <c r="BJ546" i="60"/>
  <c r="BN414" i="60"/>
  <c r="BN422" i="60"/>
  <c r="BM163" i="60"/>
  <c r="BG163" i="60" s="1"/>
  <c r="BH163" i="60" s="1"/>
  <c r="BN306" i="60"/>
  <c r="BN101" i="60"/>
  <c r="BJ479" i="60"/>
  <c r="BJ377" i="60"/>
  <c r="BJ133" i="60"/>
  <c r="BJ453" i="60"/>
  <c r="BN419" i="60"/>
  <c r="BN281" i="60"/>
  <c r="BN374" i="60"/>
  <c r="BN482" i="60"/>
  <c r="BN430" i="60"/>
  <c r="BN533" i="60"/>
  <c r="BN161" i="60"/>
  <c r="BM236" i="60"/>
  <c r="BG236" i="60" s="1"/>
  <c r="BJ236" i="60" s="1"/>
  <c r="BJ422" i="60"/>
  <c r="BJ364" i="60"/>
  <c r="BJ246" i="60"/>
  <c r="BM36" i="60"/>
  <c r="BG36" i="60" s="1"/>
  <c r="BH36" i="60" s="1"/>
  <c r="BM30" i="60"/>
  <c r="BG30" i="60" s="1"/>
  <c r="BH30" i="60" s="1"/>
  <c r="BJ67" i="60"/>
  <c r="BJ51" i="60"/>
  <c r="BJ83" i="60"/>
  <c r="BJ80" i="60"/>
  <c r="BH78" i="60"/>
  <c r="BJ49" i="60"/>
  <c r="BM77" i="60"/>
  <c r="BG77" i="60" s="1"/>
  <c r="BJ77" i="60" s="1"/>
  <c r="BM25" i="60"/>
  <c r="BG25" i="60" s="1"/>
  <c r="BJ25" i="60" s="1"/>
  <c r="BN68" i="60"/>
  <c r="BM139" i="60"/>
  <c r="BG139" i="60" s="1"/>
  <c r="BH139" i="60" s="1"/>
  <c r="BM47" i="60"/>
  <c r="BG47" i="60" s="1"/>
  <c r="BH47" i="60" s="1"/>
  <c r="BM45" i="60"/>
  <c r="BG45" i="60" s="1"/>
  <c r="BH45" i="60" s="1"/>
  <c r="BH113" i="60"/>
  <c r="BJ113" i="60"/>
  <c r="BH70" i="60"/>
  <c r="BJ70" i="60"/>
  <c r="BM182" i="60"/>
  <c r="BG182" i="60" s="1"/>
  <c r="BH182" i="60" s="1"/>
  <c r="BN203" i="60"/>
  <c r="BN180" i="60"/>
  <c r="CD233" i="60"/>
  <c r="AR233" i="60"/>
  <c r="AS233" i="60" s="1"/>
  <c r="BM255" i="60"/>
  <c r="BG255" i="60" s="1"/>
  <c r="BH255" i="60" s="1"/>
  <c r="BN518" i="60"/>
  <c r="AL113" i="60"/>
  <c r="AR113" i="60" s="1"/>
  <c r="BJ501" i="60"/>
  <c r="BJ175" i="60"/>
  <c r="BN451" i="60"/>
  <c r="BJ320" i="60"/>
  <c r="BN345" i="60"/>
  <c r="BN540" i="60"/>
  <c r="BN282" i="60"/>
  <c r="BN387" i="60"/>
  <c r="BJ253" i="60"/>
  <c r="BN545" i="60"/>
  <c r="BN527" i="60"/>
  <c r="BN469" i="60"/>
  <c r="BN418" i="60"/>
  <c r="BN193" i="60"/>
  <c r="BN428" i="60"/>
  <c r="BN121" i="60"/>
  <c r="BN352" i="60"/>
  <c r="BN247" i="60"/>
  <c r="BN328" i="60"/>
  <c r="BN320" i="60"/>
  <c r="BN158" i="60"/>
  <c r="BJ372" i="60"/>
  <c r="BN275" i="60"/>
  <c r="BN546" i="60"/>
  <c r="BN367" i="60"/>
  <c r="BN252" i="60"/>
  <c r="BJ425" i="60"/>
  <c r="BN302" i="60"/>
  <c r="BN292" i="60"/>
  <c r="BN516" i="60"/>
  <c r="BN465" i="60"/>
  <c r="BN531" i="60"/>
  <c r="BN489" i="60"/>
  <c r="BN466" i="60"/>
  <c r="BN490" i="60"/>
  <c r="BN246" i="60"/>
  <c r="BJ178" i="60"/>
  <c r="BN173" i="60"/>
  <c r="BN175" i="60"/>
  <c r="BN297" i="60"/>
  <c r="BN291" i="60"/>
  <c r="BN391" i="60"/>
  <c r="AR323" i="60"/>
  <c r="CD323" i="60"/>
  <c r="AR278" i="60"/>
  <c r="CD278" i="60"/>
  <c r="AR166" i="60"/>
  <c r="CD166" i="60"/>
  <c r="AR470" i="60"/>
  <c r="CD470" i="60"/>
  <c r="BN330" i="60"/>
  <c r="AR483" i="60"/>
  <c r="CD483" i="60"/>
  <c r="AR115" i="60"/>
  <c r="CD115" i="60"/>
  <c r="AR260" i="60"/>
  <c r="CD260" i="60"/>
  <c r="BN337" i="60"/>
  <c r="AR169" i="60"/>
  <c r="CD169" i="60"/>
  <c r="AR496" i="60"/>
  <c r="CD496" i="60"/>
  <c r="AR181" i="60"/>
  <c r="CD181" i="60"/>
  <c r="AR415" i="60"/>
  <c r="CD415" i="60"/>
  <c r="AR549" i="60"/>
  <c r="CD549" i="60"/>
  <c r="AR393" i="60"/>
  <c r="CD393" i="60"/>
  <c r="AR134" i="60"/>
  <c r="CD134" i="60"/>
  <c r="AR220" i="60"/>
  <c r="AS220" i="60" s="1"/>
  <c r="CD220" i="60"/>
  <c r="AR228" i="60"/>
  <c r="CD228" i="60"/>
  <c r="AR449" i="60"/>
  <c r="CD449" i="60"/>
  <c r="AR127" i="60"/>
  <c r="AS127" i="60" s="1"/>
  <c r="CD127" i="60"/>
  <c r="AR525" i="60"/>
  <c r="CD525" i="60"/>
  <c r="AR388" i="60"/>
  <c r="CD388" i="60"/>
  <c r="AR221" i="60"/>
  <c r="AS221" i="60" s="1"/>
  <c r="CD221" i="60"/>
  <c r="AR521" i="60"/>
  <c r="CD521" i="60"/>
  <c r="AR326" i="60"/>
  <c r="CD326" i="60"/>
  <c r="AR304" i="60"/>
  <c r="CD304" i="60"/>
  <c r="AR515" i="60"/>
  <c r="CD515" i="60"/>
  <c r="AR197" i="60"/>
  <c r="CD197" i="60"/>
  <c r="AR104" i="60"/>
  <c r="CD104" i="60"/>
  <c r="AR390" i="60"/>
  <c r="CD390" i="60"/>
  <c r="AR136" i="60"/>
  <c r="CD136" i="60"/>
  <c r="AR313" i="60"/>
  <c r="CD313" i="60"/>
  <c r="AR199" i="60"/>
  <c r="CD199" i="60"/>
  <c r="AR250" i="60"/>
  <c r="CD250" i="60"/>
  <c r="CD513" i="60"/>
  <c r="AR450" i="60"/>
  <c r="CD450" i="60"/>
  <c r="AR290" i="60"/>
  <c r="CD290" i="60"/>
  <c r="AR280" i="60"/>
  <c r="CD280" i="60"/>
  <c r="AR503" i="60"/>
  <c r="CD503" i="60"/>
  <c r="AR295" i="60"/>
  <c r="CD295" i="60"/>
  <c r="AR446" i="60"/>
  <c r="CD446" i="60"/>
  <c r="BN360" i="60"/>
  <c r="AR262" i="60"/>
  <c r="CD262" i="60"/>
  <c r="AR187" i="60"/>
  <c r="CD187" i="60"/>
  <c r="AR213" i="60"/>
  <c r="CD213" i="60"/>
  <c r="AR462" i="60"/>
  <c r="CD462" i="60"/>
  <c r="AR376" i="60"/>
  <c r="CD376" i="60"/>
  <c r="AR454" i="60"/>
  <c r="CD454" i="60"/>
  <c r="AR377" i="60"/>
  <c r="CD377" i="60"/>
  <c r="AR484" i="60"/>
  <c r="CD484" i="60"/>
  <c r="AR537" i="60"/>
  <c r="CD537" i="60"/>
  <c r="BN321" i="60"/>
  <c r="AR411" i="60"/>
  <c r="CD411" i="60"/>
  <c r="AR472" i="60"/>
  <c r="CD472" i="60"/>
  <c r="AR153" i="60"/>
  <c r="CD153" i="60"/>
  <c r="AR120" i="60"/>
  <c r="CD120" i="60"/>
  <c r="AR346" i="60"/>
  <c r="CD346" i="60"/>
  <c r="AR143" i="60"/>
  <c r="CD143" i="60"/>
  <c r="AR237" i="60"/>
  <c r="AS237" i="60" s="1"/>
  <c r="CD237" i="60"/>
  <c r="AR209" i="60"/>
  <c r="CD209" i="60"/>
  <c r="AR294" i="60"/>
  <c r="CD294" i="60"/>
  <c r="AR259" i="60"/>
  <c r="CD259" i="60"/>
  <c r="AR325" i="60"/>
  <c r="CD325" i="60"/>
  <c r="AR363" i="60"/>
  <c r="CD363" i="60"/>
  <c r="AR289" i="60"/>
  <c r="CD289" i="60"/>
  <c r="AR132" i="60"/>
  <c r="CD132" i="60"/>
  <c r="AR460" i="60"/>
  <c r="CD460" i="60"/>
  <c r="AR378" i="60"/>
  <c r="CD378" i="60"/>
  <c r="AR263" i="60"/>
  <c r="CD263" i="60"/>
  <c r="AR172" i="60"/>
  <c r="AS172" i="60" s="1"/>
  <c r="CD172" i="60"/>
  <c r="AR179" i="60"/>
  <c r="CD179" i="60"/>
  <c r="AR165" i="60"/>
  <c r="CD165" i="60"/>
  <c r="AR499" i="60"/>
  <c r="CD499" i="60"/>
  <c r="AR183" i="60"/>
  <c r="CD183" i="60"/>
  <c r="AR512" i="60"/>
  <c r="CD512" i="60"/>
  <c r="AR423" i="60"/>
  <c r="CD423" i="60"/>
  <c r="AR163" i="60"/>
  <c r="CD163" i="60"/>
  <c r="BN339" i="60"/>
  <c r="AR398" i="60"/>
  <c r="CD398" i="60"/>
  <c r="AR114" i="60"/>
  <c r="CD114" i="60"/>
  <c r="AR375" i="60"/>
  <c r="CD375" i="60"/>
  <c r="AR225" i="60"/>
  <c r="AS225" i="60" s="1"/>
  <c r="CD225" i="60"/>
  <c r="AR511" i="60"/>
  <c r="CD511" i="60"/>
  <c r="AR366" i="60"/>
  <c r="CD366" i="60"/>
  <c r="AR368" i="60"/>
  <c r="CD368" i="60"/>
  <c r="AR268" i="60"/>
  <c r="CD268" i="60"/>
  <c r="AR412" i="60"/>
  <c r="CD412" i="60"/>
  <c r="AR474" i="60"/>
  <c r="CD474" i="60"/>
  <c r="AR351" i="60"/>
  <c r="CD351" i="60"/>
  <c r="AR154" i="60"/>
  <c r="CD154" i="60"/>
  <c r="AR407" i="60"/>
  <c r="CD407" i="60"/>
  <c r="AR506" i="60"/>
  <c r="CD506" i="60"/>
  <c r="BN492" i="60"/>
  <c r="AR269" i="60"/>
  <c r="CD269" i="60"/>
  <c r="AR270" i="60"/>
  <c r="CD270" i="60"/>
  <c r="AR359" i="60"/>
  <c r="CD359" i="60"/>
  <c r="AR544" i="60"/>
  <c r="CD544" i="60"/>
  <c r="AR190" i="60"/>
  <c r="CD190" i="60"/>
  <c r="AR215" i="60"/>
  <c r="CD215" i="60"/>
  <c r="AR356" i="60"/>
  <c r="CD356" i="60"/>
  <c r="AR264" i="60"/>
  <c r="CD264" i="60"/>
  <c r="AR343" i="60"/>
  <c r="CD343" i="60"/>
  <c r="BN413" i="60"/>
  <c r="AR324" i="60"/>
  <c r="CD324" i="60"/>
  <c r="AR286" i="60"/>
  <c r="CD286" i="60"/>
  <c r="AR438" i="60"/>
  <c r="CD438" i="60"/>
  <c r="AR194" i="60"/>
  <c r="CD194" i="60"/>
  <c r="AR122" i="60"/>
  <c r="CD122" i="60"/>
  <c r="AR459" i="60"/>
  <c r="CD459" i="60"/>
  <c r="AR198" i="60"/>
  <c r="CD198" i="60"/>
  <c r="AR239" i="60"/>
  <c r="AS239" i="60" s="1"/>
  <c r="CD239" i="60"/>
  <c r="AR427" i="60"/>
  <c r="CD427" i="60"/>
  <c r="AR105" i="60"/>
  <c r="CD105" i="60"/>
  <c r="AR534" i="60"/>
  <c r="CD534" i="60"/>
  <c r="CD305" i="60"/>
  <c r="AR135" i="60"/>
  <c r="CD135" i="60"/>
  <c r="AR523" i="60"/>
  <c r="CD523" i="60"/>
  <c r="AR137" i="60"/>
  <c r="CD137" i="60"/>
  <c r="AR514" i="60"/>
  <c r="CD514" i="60"/>
  <c r="AR493" i="60"/>
  <c r="CD493" i="60"/>
  <c r="AR453" i="60"/>
  <c r="CD453" i="60"/>
  <c r="AR510" i="60"/>
  <c r="CD510" i="60"/>
  <c r="AR226" i="60"/>
  <c r="AS226" i="60" s="1"/>
  <c r="CD226" i="60"/>
  <c r="AR131" i="60"/>
  <c r="CD131" i="60"/>
  <c r="AR195" i="60"/>
  <c r="CD195" i="60"/>
  <c r="AR498" i="60"/>
  <c r="CD498" i="60"/>
  <c r="AR322" i="60"/>
  <c r="CD322" i="60"/>
  <c r="AR151" i="60"/>
  <c r="CD151" i="60"/>
  <c r="AR344" i="60"/>
  <c r="CD344" i="60"/>
  <c r="AR541" i="60"/>
  <c r="CD541" i="60"/>
  <c r="AR347" i="60"/>
  <c r="CD347" i="60"/>
  <c r="AR164" i="60"/>
  <c r="CD164" i="60"/>
  <c r="AR357" i="60"/>
  <c r="CD357" i="60"/>
  <c r="CD383" i="60"/>
  <c r="AR358" i="60"/>
  <c r="CD358" i="60"/>
  <c r="BN476" i="60"/>
  <c r="AR229" i="60"/>
  <c r="AS229" i="60" s="1"/>
  <c r="BA229" i="60" s="1"/>
  <c r="BE229" i="60" s="1"/>
  <c r="BK229" i="60" s="1"/>
  <c r="CD229" i="60"/>
  <c r="AR103" i="60"/>
  <c r="CD103" i="60"/>
  <c r="AR517" i="60"/>
  <c r="CD517" i="60"/>
  <c r="AR299" i="60"/>
  <c r="CD299" i="60"/>
  <c r="AR455" i="60"/>
  <c r="CD455" i="60"/>
  <c r="AR126" i="60"/>
  <c r="CD126" i="60"/>
  <c r="AR416" i="60"/>
  <c r="CD416" i="60"/>
  <c r="AR400" i="60"/>
  <c r="CD400" i="60"/>
  <c r="AR272" i="60"/>
  <c r="CD272" i="60"/>
  <c r="AR314" i="60"/>
  <c r="CD314" i="60"/>
  <c r="AR168" i="60"/>
  <c r="CD168" i="60"/>
  <c r="AR234" i="60"/>
  <c r="AS234" i="60" s="1"/>
  <c r="BA234" i="60" s="1"/>
  <c r="BE234" i="60" s="1"/>
  <c r="BK234" i="60" s="1"/>
  <c r="CD234" i="60"/>
  <c r="AR425" i="60"/>
  <c r="CD425" i="60"/>
  <c r="AR548" i="60"/>
  <c r="CD548" i="60"/>
  <c r="AR138" i="60"/>
  <c r="CD138" i="60"/>
  <c r="AR532" i="60"/>
  <c r="CD532" i="60"/>
  <c r="CD274" i="60"/>
  <c r="AR508" i="60"/>
  <c r="CD508" i="60"/>
  <c r="AR258" i="60"/>
  <c r="CD258" i="60"/>
  <c r="AR381" i="60"/>
  <c r="CD381" i="60"/>
  <c r="BN530" i="60"/>
  <c r="AR522" i="60"/>
  <c r="CD522" i="60"/>
  <c r="AR338" i="60"/>
  <c r="CD338" i="60"/>
  <c r="AR395" i="60"/>
  <c r="CD395" i="60"/>
  <c r="AR331" i="60"/>
  <c r="CD331" i="60"/>
  <c r="AR298" i="60"/>
  <c r="CD298" i="60"/>
  <c r="AR434" i="60"/>
  <c r="CD434" i="60"/>
  <c r="AR218" i="60"/>
  <c r="CD218" i="60"/>
  <c r="AR312" i="60"/>
  <c r="CD312" i="60"/>
  <c r="BN429" i="60"/>
  <c r="AR249" i="60"/>
  <c r="CD249" i="60"/>
  <c r="AR369" i="60"/>
  <c r="CD369" i="60"/>
  <c r="AR536" i="60"/>
  <c r="CD536" i="60"/>
  <c r="AR392" i="60"/>
  <c r="CD392" i="60"/>
  <c r="AR201" i="60"/>
  <c r="CD201" i="60"/>
  <c r="AR244" i="60"/>
  <c r="AS244" i="60" s="1"/>
  <c r="CD244" i="60"/>
  <c r="AR480" i="60"/>
  <c r="CD480" i="60"/>
  <c r="AR232" i="60"/>
  <c r="AS232" i="60" s="1"/>
  <c r="CD232" i="60"/>
  <c r="AR242" i="60"/>
  <c r="AS242" i="60" s="1"/>
  <c r="CD242" i="60"/>
  <c r="BN372" i="60"/>
  <c r="AR373" i="60"/>
  <c r="CD373" i="60"/>
  <c r="AR147" i="60"/>
  <c r="CD147" i="60"/>
  <c r="AR245" i="60"/>
  <c r="CD245" i="60"/>
  <c r="AR117" i="60"/>
  <c r="CD117" i="60"/>
  <c r="AR217" i="60"/>
  <c r="CD217" i="60"/>
  <c r="AR140" i="60"/>
  <c r="CD140" i="60"/>
  <c r="AR485" i="60"/>
  <c r="CD485" i="60"/>
  <c r="AR171" i="60"/>
  <c r="AS171" i="60" s="1"/>
  <c r="CD171" i="60"/>
  <c r="AR408" i="60"/>
  <c r="CD408" i="60"/>
  <c r="AR402" i="60"/>
  <c r="CD402" i="60"/>
  <c r="AR528" i="60"/>
  <c r="CD528" i="60"/>
  <c r="AR371" i="60"/>
  <c r="CD371" i="60"/>
  <c r="AR481" i="60"/>
  <c r="CD481" i="60"/>
  <c r="AR177" i="60"/>
  <c r="CD177" i="60"/>
  <c r="AR477" i="60"/>
  <c r="CD477" i="60"/>
  <c r="AR119" i="60"/>
  <c r="CD119" i="60"/>
  <c r="AR248" i="60"/>
  <c r="CD248" i="60"/>
  <c r="AR442" i="60"/>
  <c r="CD442" i="60"/>
  <c r="AR170" i="60"/>
  <c r="AS170" i="60" s="1"/>
  <c r="CD170" i="60"/>
  <c r="AR238" i="60"/>
  <c r="AS238" i="60" s="1"/>
  <c r="CD238" i="60"/>
  <c r="AR464" i="60"/>
  <c r="CD464" i="60"/>
  <c r="AR254" i="60"/>
  <c r="CD254" i="60"/>
  <c r="AR235" i="60"/>
  <c r="CD235" i="60"/>
  <c r="AR463" i="60"/>
  <c r="CD463" i="60"/>
  <c r="AR348" i="60"/>
  <c r="CD348" i="60"/>
  <c r="AR491" i="60"/>
  <c r="CD491" i="60"/>
  <c r="AR133" i="60"/>
  <c r="CD133" i="60"/>
  <c r="AR504" i="60"/>
  <c r="CD504" i="60"/>
  <c r="AR227" i="60"/>
  <c r="AS227" i="60" s="1"/>
  <c r="CD227" i="60"/>
  <c r="AR445" i="60"/>
  <c r="CD445" i="60"/>
  <c r="AR256" i="60"/>
  <c r="CD256" i="60"/>
  <c r="AR107" i="60"/>
  <c r="CD107" i="60"/>
  <c r="AR285" i="60"/>
  <c r="CD285" i="60"/>
  <c r="AR397" i="60"/>
  <c r="CD397" i="60"/>
  <c r="CD185" i="60"/>
  <c r="AR382" i="60"/>
  <c r="CD382" i="60"/>
  <c r="AR155" i="60"/>
  <c r="CD155" i="60"/>
  <c r="AR448" i="60"/>
  <c r="CD448" i="60"/>
  <c r="AR174" i="60"/>
  <c r="CD174" i="60"/>
  <c r="AR271" i="60"/>
  <c r="CD271" i="60"/>
  <c r="AR475" i="60"/>
  <c r="CD475" i="60"/>
  <c r="AR406" i="60"/>
  <c r="CD406" i="60"/>
  <c r="AR386" i="60"/>
  <c r="CD386" i="60"/>
  <c r="AR495" i="60"/>
  <c r="CD495" i="60"/>
  <c r="AR222" i="60"/>
  <c r="AS222" i="60" s="1"/>
  <c r="CD222" i="60"/>
  <c r="AR204" i="60"/>
  <c r="CD204" i="60"/>
  <c r="CD327" i="60"/>
  <c r="AR473" i="60"/>
  <c r="CD473" i="60"/>
  <c r="AR146" i="60"/>
  <c r="CD146" i="60"/>
  <c r="AR334" i="60"/>
  <c r="CD334" i="60"/>
  <c r="AW5" i="63"/>
  <c r="BJ332" i="60"/>
  <c r="BH267" i="60"/>
  <c r="BJ527" i="60"/>
  <c r="AL224" i="60"/>
  <c r="BH68" i="60"/>
  <c r="BJ360" i="60"/>
  <c r="BJ111" i="60"/>
  <c r="BH277" i="60"/>
  <c r="BH58" i="60"/>
  <c r="BH99" i="60"/>
  <c r="BJ286" i="60"/>
  <c r="AL277" i="60"/>
  <c r="BC300" i="60" a="1"/>
  <c r="BC300" i="60" s="1"/>
  <c r="BF300" i="60"/>
  <c r="BH60" i="60"/>
  <c r="BJ147" i="60"/>
  <c r="BH447" i="60"/>
  <c r="BM239" i="60"/>
  <c r="BG239" i="60" s="1"/>
  <c r="BJ239" i="60" s="1"/>
  <c r="BH56" i="60"/>
  <c r="AR305" i="60"/>
  <c r="BJ173" i="60"/>
  <c r="AR185" i="60"/>
  <c r="AR535" i="60"/>
  <c r="BH298" i="60"/>
  <c r="BJ424" i="60"/>
  <c r="BJ275" i="60"/>
  <c r="BH279" i="60"/>
  <c r="BJ223" i="60"/>
  <c r="BJ374" i="60"/>
  <c r="BH443" i="60"/>
  <c r="BH196" i="60"/>
  <c r="BJ489" i="60"/>
  <c r="BH195" i="60"/>
  <c r="BJ430" i="60"/>
  <c r="BJ339" i="60"/>
  <c r="BJ284" i="60"/>
  <c r="BJ350" i="60"/>
  <c r="BJ421" i="60"/>
  <c r="BJ458" i="60"/>
  <c r="BN287" i="60"/>
  <c r="BJ404" i="60"/>
  <c r="BN162" i="60"/>
  <c r="BJ492" i="60"/>
  <c r="BJ180" i="60"/>
  <c r="BH232" i="60"/>
  <c r="BJ129" i="60"/>
  <c r="BJ41" i="60"/>
  <c r="BM283" i="60"/>
  <c r="BG283" i="60" s="1"/>
  <c r="BH283" i="60" s="1"/>
  <c r="BJ452" i="60"/>
  <c r="AL240" i="60"/>
  <c r="CD240" i="60" s="1"/>
  <c r="BH537" i="60"/>
  <c r="AR283" i="60"/>
  <c r="BN342" i="60"/>
  <c r="BJ540" i="60"/>
  <c r="BH285" i="60"/>
  <c r="AR526" i="60"/>
  <c r="BJ417" i="60"/>
  <c r="BH387" i="60"/>
  <c r="BJ387" i="60"/>
  <c r="AR456" i="60"/>
  <c r="BJ495" i="60"/>
  <c r="BH120" i="60"/>
  <c r="BJ326" i="60"/>
  <c r="BH65" i="60"/>
  <c r="BJ65" i="60"/>
  <c r="AR502" i="60"/>
  <c r="AR539" i="60"/>
  <c r="AL241" i="60"/>
  <c r="CD241" i="60" s="1"/>
  <c r="AL223" i="60"/>
  <c r="CD223" i="60" s="1"/>
  <c r="AL293" i="60"/>
  <c r="CD293" i="60" s="1"/>
  <c r="BN440" i="60"/>
  <c r="BJ280" i="60"/>
  <c r="AL288" i="60"/>
  <c r="CD288" i="60" s="1"/>
  <c r="AL236" i="60"/>
  <c r="AR266" i="60"/>
  <c r="AL212" i="60"/>
  <c r="CD212" i="60" s="1"/>
  <c r="X219" i="63"/>
  <c r="AW4" i="63" s="1"/>
  <c r="AL255" i="60"/>
  <c r="AL214" i="60"/>
  <c r="AR296" i="60"/>
  <c r="BH151" i="60"/>
  <c r="BJ151" i="60"/>
  <c r="BH274" i="60"/>
  <c r="BJ274" i="60"/>
  <c r="BH63" i="60"/>
  <c r="BJ63" i="60"/>
  <c r="BH271" i="60"/>
  <c r="BJ271" i="60"/>
  <c r="BH258" i="60"/>
  <c r="BJ258" i="60"/>
  <c r="BJ35" i="60"/>
  <c r="BH35" i="60"/>
  <c r="AR479" i="60"/>
  <c r="BH486" i="60"/>
  <c r="BJ486" i="60"/>
  <c r="BH359" i="60"/>
  <c r="BJ359" i="60"/>
  <c r="BH86" i="60"/>
  <c r="BH263" i="60"/>
  <c r="BJ263" i="60"/>
  <c r="BH463" i="60"/>
  <c r="BJ463" i="60"/>
  <c r="BJ135" i="60"/>
  <c r="BH135" i="60"/>
  <c r="BH157" i="60"/>
  <c r="BJ157" i="60"/>
  <c r="BH176" i="60"/>
  <c r="BJ176" i="60"/>
  <c r="BJ169" i="60"/>
  <c r="BH169" i="60"/>
  <c r="AR210" i="60"/>
  <c r="AR513" i="60"/>
  <c r="BH126" i="60"/>
  <c r="BJ126" i="60"/>
  <c r="BJ250" i="60"/>
  <c r="BH250" i="60"/>
  <c r="BH222" i="60"/>
  <c r="BJ222" i="60"/>
  <c r="BN124" i="60"/>
  <c r="AR160" i="60"/>
  <c r="BH82" i="60"/>
  <c r="BJ82" i="60"/>
  <c r="BJ138" i="60"/>
  <c r="BH138" i="60"/>
  <c r="BH114" i="60"/>
  <c r="BJ114" i="60"/>
  <c r="BH161" i="60"/>
  <c r="BJ161" i="60"/>
  <c r="BH164" i="60"/>
  <c r="BJ164" i="60"/>
  <c r="AR327" i="60"/>
  <c r="BH199" i="60"/>
  <c r="BJ199" i="60"/>
  <c r="BH166" i="60"/>
  <c r="BJ166" i="60"/>
  <c r="BH48" i="60"/>
  <c r="BJ48" i="60"/>
  <c r="BH226" i="60"/>
  <c r="BJ226" i="60"/>
  <c r="BN394" i="60"/>
  <c r="BH530" i="60"/>
  <c r="BJ530" i="60"/>
  <c r="BH155" i="60"/>
  <c r="BJ155" i="60"/>
  <c r="BJ153" i="60"/>
  <c r="BH153" i="60"/>
  <c r="BH513" i="60"/>
  <c r="BJ513" i="60"/>
  <c r="AR230" i="60"/>
  <c r="AS230" i="60" s="1"/>
  <c r="AR431" i="60"/>
  <c r="BH174" i="60"/>
  <c r="BJ174" i="60"/>
  <c r="BH34" i="60"/>
  <c r="BJ34" i="60"/>
  <c r="BH131" i="60"/>
  <c r="BJ131" i="60"/>
  <c r="BH238" i="60"/>
  <c r="BJ238" i="60"/>
  <c r="BH327" i="60"/>
  <c r="BJ327" i="60"/>
  <c r="BH439" i="60"/>
  <c r="BJ439" i="60"/>
  <c r="AR349" i="60"/>
  <c r="BH89" i="60"/>
  <c r="BJ89" i="60"/>
  <c r="AR383" i="60"/>
  <c r="BH433" i="60"/>
  <c r="BJ433" i="60"/>
  <c r="BH464" i="60"/>
  <c r="BJ464" i="60"/>
  <c r="AR274" i="60"/>
  <c r="BJ234" i="60"/>
  <c r="BH234" i="60"/>
  <c r="BH55" i="60"/>
  <c r="BJ55" i="60"/>
  <c r="BH27" i="60"/>
  <c r="BJ27" i="60"/>
  <c r="BJ218" i="60"/>
  <c r="BH218" i="60"/>
  <c r="BH130" i="60"/>
  <c r="BJ130" i="60"/>
  <c r="BH311" i="60"/>
  <c r="BJ311" i="60"/>
  <c r="BH351" i="60"/>
  <c r="BJ351" i="60"/>
  <c r="BJ128" i="60"/>
  <c r="BH128" i="60"/>
  <c r="BN145" i="60"/>
  <c r="BN461" i="60"/>
  <c r="BH28" i="60"/>
  <c r="BJ28" i="60"/>
  <c r="AL182" i="60"/>
  <c r="CD182" i="60" s="1"/>
  <c r="BH406" i="60"/>
  <c r="BJ406" i="60"/>
  <c r="BJ170" i="60"/>
  <c r="BH170" i="60"/>
  <c r="BN142" i="60"/>
  <c r="BH50" i="60"/>
  <c r="BJ50" i="60"/>
  <c r="BH224" i="60"/>
  <c r="BJ224" i="60"/>
  <c r="BH217" i="60"/>
  <c r="BJ217" i="60"/>
  <c r="BH220" i="60"/>
  <c r="BJ220" i="60"/>
  <c r="BJ202" i="60"/>
  <c r="BH202" i="60"/>
  <c r="BH249" i="60"/>
  <c r="BJ249" i="60"/>
  <c r="BN350" i="60"/>
  <c r="AL139" i="60"/>
  <c r="CD139" i="60" s="1"/>
  <c r="BN178" i="60"/>
  <c r="BN340" i="60"/>
  <c r="BN500" i="60"/>
  <c r="BN316" i="60"/>
  <c r="BN317" i="60"/>
  <c r="BN110" i="60"/>
  <c r="BN333" i="60"/>
  <c r="BN336" i="60"/>
  <c r="BN106" i="60"/>
  <c r="BN441" i="60"/>
  <c r="BN273" i="60"/>
  <c r="BN364" i="60"/>
  <c r="BN355" i="60"/>
  <c r="BN487" i="60"/>
  <c r="BN319" i="60"/>
  <c r="BN452" i="60"/>
  <c r="BN361" i="60"/>
  <c r="BN311" i="60"/>
  <c r="BN108" i="60"/>
  <c r="BN332" i="60"/>
  <c r="BN318" i="60"/>
  <c r="BN497" i="60"/>
  <c r="BN547" i="60"/>
  <c r="BN404" i="60"/>
  <c r="BN315" i="60"/>
  <c r="BN284" i="60"/>
  <c r="BN550" i="60"/>
  <c r="BN276" i="60"/>
  <c r="BN188" i="60"/>
  <c r="BN379" i="60"/>
  <c r="BN102" i="60"/>
  <c r="BN478" i="60"/>
  <c r="BN519" i="60"/>
  <c r="BN307" i="60"/>
  <c r="BN488" i="60"/>
  <c r="BN385" i="60"/>
  <c r="BN435" i="60"/>
  <c r="BN399" i="60"/>
  <c r="BN353" i="60"/>
  <c r="BN389" i="60"/>
  <c r="BN529" i="60"/>
  <c r="BN279" i="60"/>
  <c r="BN426" i="60"/>
  <c r="BN509" i="60"/>
  <c r="BN380" i="60"/>
  <c r="BN148" i="60"/>
  <c r="BN123" i="60"/>
  <c r="BN420" i="60"/>
  <c r="BN341" i="60"/>
  <c r="BN152" i="60"/>
  <c r="BN211" i="60"/>
  <c r="BN447" i="60"/>
  <c r="BN432" i="60"/>
  <c r="BN167" i="60"/>
  <c r="BN309" i="60"/>
  <c r="BN112" i="60"/>
  <c r="BN186" i="60"/>
  <c r="BN421" i="60"/>
  <c r="BN433" i="60"/>
  <c r="BN335" i="60"/>
  <c r="BN362" i="60"/>
  <c r="BN301" i="60"/>
  <c r="BN507" i="60"/>
  <c r="BN261" i="60"/>
  <c r="BN191" i="60"/>
  <c r="BN543" i="60"/>
  <c r="BN99" i="60"/>
  <c r="BN417" i="60"/>
  <c r="BN524" i="60"/>
  <c r="BN436" i="60"/>
  <c r="BN457" i="60"/>
  <c r="BN403" i="60"/>
  <c r="BN505" i="60"/>
  <c r="BN303" i="60"/>
  <c r="BN538" i="60"/>
  <c r="BN354" i="60"/>
  <c r="BN118" i="60"/>
  <c r="AL251" i="60"/>
  <c r="CD251" i="60" s="1"/>
  <c r="BN243" i="60"/>
  <c r="AA265" i="60"/>
  <c r="AL208" i="60"/>
  <c r="BM208" i="60"/>
  <c r="BG208" i="60" s="1"/>
  <c r="BN129" i="60"/>
  <c r="BN216" i="60"/>
  <c r="BN231" i="60"/>
  <c r="BN207" i="60"/>
  <c r="AL157" i="60"/>
  <c r="BN200" i="60"/>
  <c r="AL176" i="60"/>
  <c r="AL189" i="60"/>
  <c r="BM189" i="60"/>
  <c r="BG189" i="60" s="1"/>
  <c r="BM149" i="60"/>
  <c r="BG149" i="60" s="1"/>
  <c r="AL130" i="60"/>
  <c r="AL128" i="60"/>
  <c r="BM109" i="60"/>
  <c r="BG109" i="60" s="1"/>
  <c r="AL109" i="60"/>
  <c r="BN196" i="60"/>
  <c r="BN219" i="60"/>
  <c r="BM69" i="60"/>
  <c r="BG69" i="60" s="1"/>
  <c r="BN116" i="60"/>
  <c r="BN206" i="60"/>
  <c r="AL202" i="60"/>
  <c r="L507" i="54"/>
  <c r="L508" i="54" s="1"/>
  <c r="F177" i="106" l="1"/>
  <c r="E177" i="106"/>
  <c r="D179" i="106" s="1" a="1"/>
  <c r="D179" i="106" s="1"/>
  <c r="BH77" i="60"/>
  <c r="BH240" i="60"/>
  <c r="BJ230" i="60"/>
  <c r="BA243" i="60"/>
  <c r="BE243" i="60" s="1"/>
  <c r="BK243" i="60" s="1"/>
  <c r="BA231" i="60"/>
  <c r="BE231" i="60" s="1"/>
  <c r="BK231" i="60" s="1"/>
  <c r="BH25" i="60"/>
  <c r="BA129" i="60"/>
  <c r="BE129" i="60" s="1"/>
  <c r="BK129" i="60" s="1"/>
  <c r="BC252" i="60" a="1"/>
  <c r="BC252" i="60" s="1"/>
  <c r="BJ163" i="60"/>
  <c r="BJ282" i="60"/>
  <c r="BH236" i="60"/>
  <c r="BJ212" i="60"/>
  <c r="BH171" i="60"/>
  <c r="BJ47" i="60"/>
  <c r="BJ36" i="60"/>
  <c r="BN107" i="60"/>
  <c r="BH287" i="60"/>
  <c r="BN523" i="60"/>
  <c r="BN356" i="60"/>
  <c r="BN187" i="60"/>
  <c r="BN327" i="60"/>
  <c r="BJ241" i="60"/>
  <c r="BN140" i="60"/>
  <c r="BN407" i="60"/>
  <c r="BN166" i="60"/>
  <c r="BJ293" i="60"/>
  <c r="BN215" i="60"/>
  <c r="BN183" i="60"/>
  <c r="BN271" i="60"/>
  <c r="BN235" i="60"/>
  <c r="BN485" i="60"/>
  <c r="BN249" i="60"/>
  <c r="BN506" i="60"/>
  <c r="BN480" i="60"/>
  <c r="BF252" i="60"/>
  <c r="BN289" i="60"/>
  <c r="BN510" i="60"/>
  <c r="BN544" i="60"/>
  <c r="BN194" i="60"/>
  <c r="BN484" i="60"/>
  <c r="BN351" i="60"/>
  <c r="BN274" i="60"/>
  <c r="BN474" i="60"/>
  <c r="BN363" i="60"/>
  <c r="BN491" i="60"/>
  <c r="BN508" i="60"/>
  <c r="BN453" i="60"/>
  <c r="BN359" i="60"/>
  <c r="BN136" i="60"/>
  <c r="BN395" i="60"/>
  <c r="BN294" i="60"/>
  <c r="BJ288" i="60"/>
  <c r="BJ221" i="60"/>
  <c r="BM214" i="60"/>
  <c r="BG214" i="60" s="1"/>
  <c r="BH214" i="60" s="1"/>
  <c r="BN406" i="60"/>
  <c r="BN392" i="60"/>
  <c r="BN151" i="60"/>
  <c r="BN412" i="60"/>
  <c r="BN393" i="60"/>
  <c r="BJ139" i="60"/>
  <c r="BJ45" i="60"/>
  <c r="BM98" i="60"/>
  <c r="BG98" i="60" s="1"/>
  <c r="BH98" i="60" s="1"/>
  <c r="BJ182" i="60"/>
  <c r="BN400" i="60"/>
  <c r="BN117" i="60"/>
  <c r="BJ255" i="60"/>
  <c r="BM184" i="60"/>
  <c r="BG184" i="60" s="1"/>
  <c r="BH184" i="60" s="1"/>
  <c r="BN233" i="60"/>
  <c r="BN213" i="60"/>
  <c r="BM141" i="60"/>
  <c r="BG141" i="60" s="1"/>
  <c r="BH141" i="60" s="1"/>
  <c r="BM257" i="60"/>
  <c r="BG257" i="60" s="1"/>
  <c r="BH257" i="60" s="1"/>
  <c r="BN522" i="60"/>
  <c r="CD113" i="60"/>
  <c r="BN535" i="60"/>
  <c r="BN449" i="60"/>
  <c r="BM300" i="60"/>
  <c r="BG300" i="60" s="1"/>
  <c r="BH300" i="60" s="1"/>
  <c r="BM205" i="60"/>
  <c r="BG205" i="60" s="1"/>
  <c r="BH205" i="60" s="1"/>
  <c r="BM156" i="60"/>
  <c r="BG156" i="60" s="1"/>
  <c r="BH156" i="60" s="1"/>
  <c r="BN313" i="60"/>
  <c r="BN209" i="60"/>
  <c r="BN462" i="60"/>
  <c r="BN190" i="60"/>
  <c r="BN172" i="60"/>
  <c r="BN402" i="60"/>
  <c r="BN248" i="60"/>
  <c r="BN386" i="60"/>
  <c r="BN272" i="60"/>
  <c r="BN446" i="60"/>
  <c r="BN503" i="60"/>
  <c r="BN168" i="60"/>
  <c r="BN174" i="60"/>
  <c r="BN408" i="60"/>
  <c r="BN325" i="60"/>
  <c r="BN324" i="60"/>
  <c r="BN199" i="60"/>
  <c r="BN495" i="60"/>
  <c r="BN181" i="60"/>
  <c r="BN470" i="60"/>
  <c r="BN119" i="60"/>
  <c r="BN264" i="60"/>
  <c r="BN477" i="60"/>
  <c r="BN299" i="60"/>
  <c r="BN358" i="60"/>
  <c r="BN397" i="60"/>
  <c r="BN198" i="60"/>
  <c r="BN377" i="60"/>
  <c r="BN237" i="60"/>
  <c r="BN314" i="60"/>
  <c r="BN132" i="60"/>
  <c r="BN245" i="60"/>
  <c r="BN127" i="60"/>
  <c r="BA127" i="60" s="1"/>
  <c r="BE127" i="60" s="1"/>
  <c r="BK127" i="60" s="1"/>
  <c r="BN250" i="60"/>
  <c r="BN153" i="60"/>
  <c r="BN137" i="60"/>
  <c r="BN375" i="60"/>
  <c r="BN228" i="60"/>
  <c r="BN473" i="60"/>
  <c r="BN227" i="60"/>
  <c r="BN242" i="60"/>
  <c r="BA242" i="60" s="1"/>
  <c r="BE242" i="60" s="1"/>
  <c r="BK242" i="60" s="1"/>
  <c r="BN378" i="60"/>
  <c r="BN475" i="60"/>
  <c r="BN169" i="60"/>
  <c r="BN369" i="60"/>
  <c r="BN131" i="60"/>
  <c r="BN460" i="60"/>
  <c r="BN454" i="60"/>
  <c r="BN334" i="60"/>
  <c r="BN239" i="60"/>
  <c r="BA239" i="60" s="1"/>
  <c r="BE239" i="60" s="1"/>
  <c r="BK239" i="60" s="1"/>
  <c r="BN290" i="60"/>
  <c r="BN304" i="60"/>
  <c r="BN343" i="60"/>
  <c r="BN135" i="60"/>
  <c r="BN445" i="60"/>
  <c r="BN295" i="60"/>
  <c r="BN244" i="60"/>
  <c r="BN496" i="60"/>
  <c r="BN177" i="60"/>
  <c r="BN263" i="60"/>
  <c r="BN258" i="60"/>
  <c r="BN201" i="60"/>
  <c r="BN146" i="60"/>
  <c r="BN165" i="60"/>
  <c r="BN122" i="60"/>
  <c r="BN113" i="60"/>
  <c r="BN126" i="60"/>
  <c r="BN348" i="60"/>
  <c r="BN143" i="60"/>
  <c r="AR202" i="60"/>
  <c r="CD202" i="60"/>
  <c r="AR157" i="60"/>
  <c r="CD157" i="60"/>
  <c r="AR208" i="60"/>
  <c r="CD208" i="60"/>
  <c r="BN262" i="60"/>
  <c r="BN286" i="60"/>
  <c r="AR189" i="60"/>
  <c r="CD189" i="60"/>
  <c r="BN425" i="60"/>
  <c r="BN534" i="60"/>
  <c r="AR224" i="60"/>
  <c r="AS224" i="60" s="1"/>
  <c r="CD224" i="60"/>
  <c r="AR128" i="60"/>
  <c r="AS128" i="60" s="1"/>
  <c r="CD128" i="60"/>
  <c r="BN154" i="60"/>
  <c r="AR214" i="60"/>
  <c r="CD214" i="60"/>
  <c r="BN536" i="60"/>
  <c r="BN105" i="60"/>
  <c r="AR236" i="60"/>
  <c r="AS236" i="60" s="1"/>
  <c r="BA236" i="60" s="1"/>
  <c r="BE236" i="60" s="1"/>
  <c r="BK236" i="60" s="1"/>
  <c r="CD236" i="60"/>
  <c r="AR109" i="60"/>
  <c r="CD109" i="60"/>
  <c r="AR130" i="60"/>
  <c r="CD130" i="60"/>
  <c r="BN381" i="60"/>
  <c r="BN357" i="60"/>
  <c r="BN514" i="60"/>
  <c r="BN450" i="60"/>
  <c r="BN481" i="60"/>
  <c r="BN415" i="60"/>
  <c r="BN442" i="60"/>
  <c r="BN493" i="60"/>
  <c r="BN463" i="60"/>
  <c r="BN438" i="60"/>
  <c r="BN416" i="60"/>
  <c r="AR277" i="60"/>
  <c r="CD277" i="60"/>
  <c r="AR176" i="60"/>
  <c r="CD176" i="60"/>
  <c r="BN346" i="60"/>
  <c r="AR255" i="60"/>
  <c r="CD255" i="60"/>
  <c r="AW3" i="63"/>
  <c r="BH239" i="60"/>
  <c r="BN305" i="60"/>
  <c r="BJ283" i="60"/>
  <c r="AL300" i="60"/>
  <c r="CD300" i="60" s="1"/>
  <c r="AL205" i="60"/>
  <c r="CD205" i="60" s="1"/>
  <c r="AL156" i="60"/>
  <c r="CD156" i="60" s="1"/>
  <c r="BN185" i="60"/>
  <c r="BN383" i="60"/>
  <c r="AR240" i="60"/>
  <c r="BN526" i="60"/>
  <c r="AR241" i="60"/>
  <c r="AS241" i="60" s="1"/>
  <c r="BA241" i="60" s="1"/>
  <c r="BE241" i="60" s="1"/>
  <c r="BK241" i="60" s="1"/>
  <c r="BN539" i="60"/>
  <c r="AR223" i="60"/>
  <c r="AS223" i="60" s="1"/>
  <c r="BN502" i="60"/>
  <c r="BN456" i="60"/>
  <c r="BN283" i="60"/>
  <c r="AR288" i="60"/>
  <c r="AR212" i="60"/>
  <c r="AR293" i="60"/>
  <c r="BN266" i="60"/>
  <c r="BF243" i="60"/>
  <c r="AR251" i="60"/>
  <c r="BN210" i="60"/>
  <c r="AR182" i="60"/>
  <c r="BN431" i="60"/>
  <c r="BJ109" i="60"/>
  <c r="BH109" i="60"/>
  <c r="BN296" i="60"/>
  <c r="BN479" i="60"/>
  <c r="BH69" i="60"/>
  <c r="BJ69" i="60"/>
  <c r="BH208" i="60"/>
  <c r="BJ208" i="60"/>
  <c r="BN513" i="60"/>
  <c r="BF231" i="60"/>
  <c r="AL184" i="60"/>
  <c r="BH149" i="60"/>
  <c r="BJ149" i="60"/>
  <c r="BH189" i="60"/>
  <c r="BJ189" i="60"/>
  <c r="BF129" i="60"/>
  <c r="BN160" i="60"/>
  <c r="AR139" i="60"/>
  <c r="AL257" i="60"/>
  <c r="CD257" i="60" s="1"/>
  <c r="AL98" i="60"/>
  <c r="CD98" i="60" s="1"/>
  <c r="AL141" i="60"/>
  <c r="CD141" i="60" s="1"/>
  <c r="BN517" i="60"/>
  <c r="BN376" i="60"/>
  <c r="BN104" i="60"/>
  <c r="BN459" i="60"/>
  <c r="BN331" i="60"/>
  <c r="BN512" i="60"/>
  <c r="BN472" i="60"/>
  <c r="BN483" i="60"/>
  <c r="BN147" i="60"/>
  <c r="BN298" i="60"/>
  <c r="BN234" i="60"/>
  <c r="BN511" i="60"/>
  <c r="BN254" i="60"/>
  <c r="BN368" i="60"/>
  <c r="BN138" i="60"/>
  <c r="BN120" i="60"/>
  <c r="BN268" i="60"/>
  <c r="BN382" i="60"/>
  <c r="BN103" i="60"/>
  <c r="BN338" i="60"/>
  <c r="BN388" i="60"/>
  <c r="BN411" i="60"/>
  <c r="BN164" i="60"/>
  <c r="BN133" i="60"/>
  <c r="BN163" i="60"/>
  <c r="BN434" i="60"/>
  <c r="BN464" i="60"/>
  <c r="BN373" i="60"/>
  <c r="BN285" i="60"/>
  <c r="BN371" i="60"/>
  <c r="BN504" i="60"/>
  <c r="BN347" i="60"/>
  <c r="BN366" i="60"/>
  <c r="BN344" i="60"/>
  <c r="BN323" i="60"/>
  <c r="BN427" i="60"/>
  <c r="BN498" i="60"/>
  <c r="BN204" i="60"/>
  <c r="BN259" i="60"/>
  <c r="BN499" i="60"/>
  <c r="BN528" i="60"/>
  <c r="BN270" i="60"/>
  <c r="BN278" i="60"/>
  <c r="BN322" i="60"/>
  <c r="BN230" i="60"/>
  <c r="BN541" i="60"/>
  <c r="BN225" i="60"/>
  <c r="BN312" i="60"/>
  <c r="BN280" i="60"/>
  <c r="BN525" i="60"/>
  <c r="BN349" i="60"/>
  <c r="BN269" i="60"/>
  <c r="BN532" i="60"/>
  <c r="BN515" i="60"/>
  <c r="BN326" i="60"/>
  <c r="BN548" i="60"/>
  <c r="BN537" i="60"/>
  <c r="BN423" i="60"/>
  <c r="BN455" i="60"/>
  <c r="BN398" i="60"/>
  <c r="BN256" i="60"/>
  <c r="BN448" i="60"/>
  <c r="BN260" i="60"/>
  <c r="BN197" i="60"/>
  <c r="BN549" i="60"/>
  <c r="BN521" i="60"/>
  <c r="BN232" i="60"/>
  <c r="BN390" i="60"/>
  <c r="BN229" i="60"/>
  <c r="BN222" i="60"/>
  <c r="AA266" i="60"/>
  <c r="AA267" i="60" s="1"/>
  <c r="AA268" i="60" s="1"/>
  <c r="AA269" i="60" s="1"/>
  <c r="AA297" i="60" s="1"/>
  <c r="BN171" i="60"/>
  <c r="BN221" i="60"/>
  <c r="BN226" i="60"/>
  <c r="BN179" i="60"/>
  <c r="BN134" i="60"/>
  <c r="BN170" i="60"/>
  <c r="BN220" i="60"/>
  <c r="BN238" i="60"/>
  <c r="BN114" i="60"/>
  <c r="BN217" i="60"/>
  <c r="BN155" i="60"/>
  <c r="BN195" i="60"/>
  <c r="BN115" i="60"/>
  <c r="BN218" i="60"/>
  <c r="AL149" i="60"/>
  <c r="L510" i="54"/>
  <c r="L511" i="54" s="1"/>
  <c r="E179" i="106" l="1"/>
  <c r="D181" i="106" s="1" a="1"/>
  <c r="D181" i="106" s="1"/>
  <c r="F179" i="106"/>
  <c r="BC243" i="60" a="1"/>
  <c r="BC243" i="60" s="1"/>
  <c r="BA226" i="60"/>
  <c r="BE226" i="60" s="1"/>
  <c r="BK226" i="60" s="1"/>
  <c r="BC129" i="60" a="1"/>
  <c r="BC129" i="60" s="1"/>
  <c r="BA221" i="60"/>
  <c r="BE221" i="60" s="1"/>
  <c r="BK221" i="60" s="1"/>
  <c r="BF227" i="60"/>
  <c r="BA227" i="60"/>
  <c r="BE227" i="60" s="1"/>
  <c r="BK227" i="60" s="1"/>
  <c r="BA220" i="60"/>
  <c r="BE220" i="60" s="1"/>
  <c r="BK220" i="60" s="1"/>
  <c r="BA222" i="60"/>
  <c r="BE222" i="60" s="1"/>
  <c r="BK222" i="60" s="1"/>
  <c r="BA225" i="60"/>
  <c r="BE225" i="60" s="1"/>
  <c r="BK225" i="60" s="1"/>
  <c r="BA172" i="60"/>
  <c r="BE172" i="60" s="1"/>
  <c r="BK172" i="60" s="1"/>
  <c r="BA232" i="60"/>
  <c r="BE232" i="60" s="1"/>
  <c r="BK232" i="60" s="1"/>
  <c r="BA238" i="60"/>
  <c r="BE238" i="60" s="1"/>
  <c r="BK238" i="60" s="1"/>
  <c r="BA170" i="60"/>
  <c r="BE170" i="60" s="1"/>
  <c r="BK170" i="60" s="1"/>
  <c r="BA171" i="60"/>
  <c r="BE171" i="60" s="1"/>
  <c r="BK171" i="60" s="1"/>
  <c r="BA230" i="60"/>
  <c r="BE230" i="60" s="1"/>
  <c r="BK230" i="60" s="1"/>
  <c r="BA244" i="60"/>
  <c r="BE244" i="60" s="1"/>
  <c r="BK244" i="60" s="1"/>
  <c r="BC231" i="60" a="1"/>
  <c r="BC231" i="60" s="1"/>
  <c r="BA237" i="60"/>
  <c r="BE237" i="60" s="1"/>
  <c r="BK237" i="60" s="1"/>
  <c r="BA233" i="60"/>
  <c r="BE233" i="60" s="1"/>
  <c r="BK233" i="60" s="1"/>
  <c r="BJ214" i="60"/>
  <c r="BF134" i="60"/>
  <c r="BC134" i="60" a="1"/>
  <c r="BC134" i="60" s="1"/>
  <c r="BC136" i="60" a="1"/>
  <c r="BC136" i="60" s="1"/>
  <c r="BF136" i="60"/>
  <c r="BF177" i="60"/>
  <c r="BC177" i="60" a="1"/>
  <c r="BC177" i="60" s="1"/>
  <c r="BC179" i="60" a="1"/>
  <c r="BC179" i="60" s="1"/>
  <c r="BF179" i="60"/>
  <c r="BC250" i="60" a="1"/>
  <c r="BC250" i="60" s="1"/>
  <c r="BF250" i="60"/>
  <c r="BJ98" i="60"/>
  <c r="BN139" i="60"/>
  <c r="BN176" i="60"/>
  <c r="BN189" i="60"/>
  <c r="BN236" i="60"/>
  <c r="BJ184" i="60"/>
  <c r="BF237" i="60"/>
  <c r="BF233" i="60"/>
  <c r="BJ156" i="60"/>
  <c r="BJ205" i="60"/>
  <c r="BF127" i="60"/>
  <c r="BF242" i="60"/>
  <c r="BC227" i="60" a="1"/>
  <c r="BC227" i="60" s="1"/>
  <c r="BJ141" i="60"/>
  <c r="BJ300" i="60"/>
  <c r="BC239" i="60" a="1"/>
  <c r="BC239" i="60" s="1"/>
  <c r="BJ257" i="60"/>
  <c r="BN224" i="60"/>
  <c r="BA224" i="60" s="1"/>
  <c r="BE224" i="60" s="1"/>
  <c r="BK224" i="60" s="1"/>
  <c r="BC242" i="60" a="1"/>
  <c r="BC242" i="60" s="1"/>
  <c r="BN130" i="60"/>
  <c r="BF244" i="60"/>
  <c r="BC127" i="60" a="1"/>
  <c r="BC127" i="60" s="1"/>
  <c r="BN109" i="60"/>
  <c r="BF239" i="60"/>
  <c r="BN255" i="60"/>
  <c r="AR149" i="60"/>
  <c r="CD149" i="60"/>
  <c r="BN277" i="60"/>
  <c r="AR184" i="60"/>
  <c r="CD184" i="60"/>
  <c r="BN251" i="60"/>
  <c r="AR300" i="60"/>
  <c r="AR205" i="60"/>
  <c r="AR156" i="60"/>
  <c r="BN240" i="60"/>
  <c r="BN241" i="60"/>
  <c r="BN223" i="60"/>
  <c r="BA223" i="60" s="1"/>
  <c r="BE223" i="60" s="1"/>
  <c r="BK223" i="60" s="1"/>
  <c r="BN212" i="60"/>
  <c r="BN293" i="60"/>
  <c r="BN288" i="60"/>
  <c r="BN182" i="60"/>
  <c r="BF232" i="60"/>
  <c r="BC226" i="60" a="1"/>
  <c r="BC226" i="60" s="1"/>
  <c r="BF226" i="60"/>
  <c r="BF171" i="60"/>
  <c r="BF170" i="60"/>
  <c r="BC170" i="60" a="1"/>
  <c r="BC170" i="60" s="1"/>
  <c r="BC225" i="60" a="1"/>
  <c r="BC225" i="60" s="1"/>
  <c r="BF225" i="60"/>
  <c r="AR141" i="60"/>
  <c r="AR98" i="60"/>
  <c r="AR257" i="60"/>
  <c r="BF221" i="60"/>
  <c r="BF172" i="60"/>
  <c r="BF220" i="60"/>
  <c r="BF238" i="60"/>
  <c r="BF222" i="60"/>
  <c r="BF230" i="60"/>
  <c r="BN157" i="60"/>
  <c r="BN208" i="60"/>
  <c r="BN128" i="60"/>
  <c r="BN214" i="60"/>
  <c r="BN202" i="60"/>
  <c r="F181" i="106" l="1"/>
  <c r="E181" i="106"/>
  <c r="D183" i="106" s="1" a="1"/>
  <c r="D183" i="106" s="1"/>
  <c r="BC230" i="60" a="1"/>
  <c r="BC230" i="60" s="1"/>
  <c r="BC171" i="60" a="1"/>
  <c r="BC171" i="60" s="1"/>
  <c r="BC232" i="60" a="1"/>
  <c r="BC232" i="60" s="1"/>
  <c r="BC238" i="60" a="1"/>
  <c r="BC238" i="60" s="1"/>
  <c r="BC220" i="60" a="1"/>
  <c r="BC220" i="60" s="1"/>
  <c r="BC222" i="60" a="1"/>
  <c r="BC222" i="60" s="1"/>
  <c r="BC237" i="60" a="1"/>
  <c r="BC237" i="60" s="1"/>
  <c r="BC244" i="60" a="1"/>
  <c r="BC244" i="60" s="1"/>
  <c r="BC172" i="60" a="1"/>
  <c r="BC172" i="60" s="1"/>
  <c r="BC233" i="60" a="1"/>
  <c r="BC233" i="60" s="1"/>
  <c r="BC221" i="60" a="1"/>
  <c r="BC221" i="60" s="1"/>
  <c r="BA128" i="60"/>
  <c r="BE128" i="60" s="1"/>
  <c r="BK128" i="60" s="1"/>
  <c r="BC224" i="60" a="1"/>
  <c r="BC224" i="60" s="1"/>
  <c r="BF224" i="60"/>
  <c r="BN184" i="60"/>
  <c r="BN300" i="60"/>
  <c r="BN205" i="60"/>
  <c r="BN156" i="60"/>
  <c r="BN257" i="60"/>
  <c r="BF128" i="60"/>
  <c r="BN98" i="60"/>
  <c r="BN141" i="60"/>
  <c r="BN149" i="60"/>
  <c r="F183" i="106" l="1"/>
  <c r="E183" i="106"/>
  <c r="D185" i="106" s="1" a="1"/>
  <c r="D185" i="106" s="1"/>
  <c r="BC128" i="60" a="1"/>
  <c r="BC128" i="60" s="1"/>
  <c r="BF223" i="60"/>
  <c r="BC223" i="60" a="1"/>
  <c r="BC223" i="60" s="1"/>
  <c r="F185" i="106" l="1"/>
  <c r="E185" i="106"/>
  <c r="D187" i="106" s="1" a="1"/>
  <c r="D187" i="106" s="1"/>
  <c r="BN3" i="54"/>
  <c r="BN5" i="54"/>
  <c r="BN4" i="54"/>
  <c r="F187" i="106" l="1"/>
  <c r="E187" i="106"/>
  <c r="D189" i="106" s="1" a="1"/>
  <c r="D189" i="106" s="1"/>
  <c r="G75" i="22"/>
  <c r="G74" i="21"/>
  <c r="G77" i="20"/>
  <c r="F189" i="106" l="1"/>
  <c r="E189" i="106"/>
  <c r="D191" i="106" s="1" a="1"/>
  <c r="D191" i="106" s="1"/>
  <c r="H141" i="22"/>
  <c r="H140" i="22"/>
  <c r="D140" i="22"/>
  <c r="O139" i="22"/>
  <c r="J141" i="22" s="1"/>
  <c r="N139" i="22"/>
  <c r="J140" i="22" s="1"/>
  <c r="H136" i="21"/>
  <c r="H135" i="21"/>
  <c r="D135" i="21"/>
  <c r="O134" i="21"/>
  <c r="J136" i="21" s="1"/>
  <c r="N134" i="21"/>
  <c r="J135" i="21" s="1"/>
  <c r="H140" i="20"/>
  <c r="H139" i="20"/>
  <c r="D139" i="20"/>
  <c r="O138" i="20"/>
  <c r="J140" i="20" s="1"/>
  <c r="N138" i="20"/>
  <c r="J139" i="20" s="1"/>
  <c r="AN288" i="22"/>
  <c r="AL288" i="22"/>
  <c r="E233" i="22"/>
  <c r="B173" i="22"/>
  <c r="B168" i="22"/>
  <c r="AM6" i="22"/>
  <c r="AN1" i="22"/>
  <c r="AM1" i="22"/>
  <c r="A1" i="22"/>
  <c r="AN283" i="21"/>
  <c r="AL283" i="21"/>
  <c r="E227" i="21"/>
  <c r="B168" i="21"/>
  <c r="B163" i="21"/>
  <c r="AM6" i="21"/>
  <c r="AN1" i="21"/>
  <c r="AM1" i="21"/>
  <c r="A1" i="21"/>
  <c r="AN294" i="20"/>
  <c r="AL294" i="20"/>
  <c r="E232" i="20"/>
  <c r="B172" i="20"/>
  <c r="B167" i="20"/>
  <c r="AM6" i="20"/>
  <c r="AN1" i="20"/>
  <c r="AM1" i="20"/>
  <c r="A1" i="20"/>
  <c r="DL193" i="13"/>
  <c r="DJ193" i="13"/>
  <c r="DF6" i="13" s="1"/>
  <c r="X20" i="13"/>
  <c r="X19" i="13"/>
  <c r="X15" i="13"/>
  <c r="W17" i="13" s="1"/>
  <c r="DK7" i="13"/>
  <c r="DK6" i="13"/>
  <c r="R6" i="13"/>
  <c r="DH2" i="13"/>
  <c r="DF2" i="13"/>
  <c r="DE2" i="13"/>
  <c r="DC2" i="13"/>
  <c r="DB2" i="13"/>
  <c r="CZ2" i="13"/>
  <c r="CY2" i="13"/>
  <c r="CW2" i="13"/>
  <c r="CV2" i="13"/>
  <c r="CT2" i="13"/>
  <c r="CS2" i="13"/>
  <c r="CQ2" i="13"/>
  <c r="CP2" i="13"/>
  <c r="CN2" i="13"/>
  <c r="CM2" i="13"/>
  <c r="CK2" i="13"/>
  <c r="CJ2" i="13"/>
  <c r="CH2" i="13"/>
  <c r="CG2" i="13"/>
  <c r="CE2" i="13"/>
  <c r="CD2" i="13"/>
  <c r="CB2" i="13"/>
  <c r="CA2" i="13"/>
  <c r="BW2" i="13"/>
  <c r="BV2" i="13"/>
  <c r="BT2" i="13"/>
  <c r="BS2" i="13"/>
  <c r="BQ2" i="13"/>
  <c r="BP2" i="13"/>
  <c r="BN2" i="13"/>
  <c r="BM2" i="13"/>
  <c r="BK2" i="13"/>
  <c r="BJ2" i="13"/>
  <c r="BH2" i="13"/>
  <c r="BG2" i="13"/>
  <c r="BE2" i="13"/>
  <c r="BD2" i="13"/>
  <c r="BB2" i="13"/>
  <c r="BA2" i="13"/>
  <c r="AY2" i="13"/>
  <c r="AX2" i="13"/>
  <c r="AV2" i="13"/>
  <c r="AU2" i="13"/>
  <c r="AS2" i="13"/>
  <c r="AR2" i="13"/>
  <c r="AP2" i="13"/>
  <c r="AO2" i="13"/>
  <c r="AM2" i="13"/>
  <c r="AL2" i="13"/>
  <c r="AJ2" i="13"/>
  <c r="AI2" i="13"/>
  <c r="AG2" i="13"/>
  <c r="AF2" i="13"/>
  <c r="AD2" i="13"/>
  <c r="AC2" i="13"/>
  <c r="AA2" i="13"/>
  <c r="Z2" i="13"/>
  <c r="X2" i="13"/>
  <c r="W2" i="13"/>
  <c r="U2" i="13"/>
  <c r="T2" i="13"/>
  <c r="R2" i="13"/>
  <c r="Q2" i="13"/>
  <c r="O2" i="13"/>
  <c r="N2" i="13"/>
  <c r="L2" i="13"/>
  <c r="K2" i="13"/>
  <c r="I2" i="13"/>
  <c r="H2" i="13"/>
  <c r="F2" i="13"/>
  <c r="E2" i="13"/>
  <c r="DL1" i="13"/>
  <c r="DK1" i="13"/>
  <c r="DH1" i="13"/>
  <c r="DF1" i="13"/>
  <c r="DE1" i="13"/>
  <c r="DC1" i="13"/>
  <c r="DB1" i="13"/>
  <c r="CZ1" i="13"/>
  <c r="CY1" i="13"/>
  <c r="CW1" i="13"/>
  <c r="CV1" i="13"/>
  <c r="CT1" i="13"/>
  <c r="CS1" i="13"/>
  <c r="CQ1" i="13"/>
  <c r="CP1" i="13"/>
  <c r="CN1" i="13"/>
  <c r="CM1" i="13"/>
  <c r="CK1" i="13"/>
  <c r="CJ1" i="13"/>
  <c r="CH1" i="13"/>
  <c r="CG1" i="13"/>
  <c r="CE1" i="13"/>
  <c r="CD1" i="13"/>
  <c r="CB1" i="13"/>
  <c r="CA1" i="13"/>
  <c r="BW1" i="13"/>
  <c r="BV1" i="13"/>
  <c r="BT1" i="13"/>
  <c r="BS1" i="13"/>
  <c r="BQ1" i="13"/>
  <c r="BP1" i="13"/>
  <c r="BN1" i="13"/>
  <c r="BM1" i="13"/>
  <c r="BK1" i="13"/>
  <c r="BJ1" i="13"/>
  <c r="BH1" i="13"/>
  <c r="BG1" i="13"/>
  <c r="BE1" i="13"/>
  <c r="BD1" i="13"/>
  <c r="BB1" i="13"/>
  <c r="BA1" i="13"/>
  <c r="AY1" i="13"/>
  <c r="AX1" i="13"/>
  <c r="AV1" i="13"/>
  <c r="AU1" i="13"/>
  <c r="AS1" i="13"/>
  <c r="AR1" i="13"/>
  <c r="AP1" i="13"/>
  <c r="AO1" i="13"/>
  <c r="AM1" i="13"/>
  <c r="AL1" i="13"/>
  <c r="AJ1" i="13"/>
  <c r="AI1" i="13"/>
  <c r="AG1" i="13"/>
  <c r="AF1" i="13"/>
  <c r="AD1" i="13"/>
  <c r="AC1" i="13"/>
  <c r="AA1" i="13"/>
  <c r="Z1" i="13"/>
  <c r="X1" i="13"/>
  <c r="W1" i="13"/>
  <c r="U1" i="13"/>
  <c r="T1" i="13"/>
  <c r="R1" i="13"/>
  <c r="Q1" i="13"/>
  <c r="O1" i="13"/>
  <c r="N1" i="13"/>
  <c r="L1" i="13"/>
  <c r="K1" i="13"/>
  <c r="I1" i="13"/>
  <c r="H1" i="13"/>
  <c r="F1" i="13"/>
  <c r="E1" i="13"/>
  <c r="A1" i="13"/>
  <c r="Z19" i="13"/>
  <c r="X17" i="13"/>
  <c r="C168" i="22"/>
  <c r="Z20" i="13"/>
  <c r="C163" i="21"/>
  <c r="C167" i="20"/>
  <c r="F191" i="106" l="1"/>
  <c r="E191" i="106"/>
  <c r="D193" i="106" s="1" a="1"/>
  <c r="D193" i="106" s="1"/>
  <c r="AN3" i="21"/>
  <c r="AN3" i="22"/>
  <c r="AM5" i="22"/>
  <c r="AM4" i="22"/>
  <c r="AM3" i="22"/>
  <c r="AM4" i="21"/>
  <c r="AM5" i="21"/>
  <c r="AM3" i="21"/>
  <c r="AN3" i="20"/>
  <c r="AM5" i="20"/>
  <c r="AM4" i="20"/>
  <c r="AM3" i="20"/>
  <c r="DK4" i="13"/>
  <c r="DK5" i="13"/>
  <c r="DL3" i="13"/>
  <c r="DK3" i="13"/>
  <c r="AL37" i="60"/>
  <c r="AR37" i="60" s="1"/>
  <c r="AS37" i="60" s="1"/>
  <c r="BA37" i="60" s="1"/>
  <c r="BE37" i="60" s="1"/>
  <c r="BK37" i="60" s="1"/>
  <c r="AL73" i="60"/>
  <c r="CD73" i="60" s="1"/>
  <c r="AR73" i="60"/>
  <c r="AL65" i="60"/>
  <c r="AR65" i="60" s="1"/>
  <c r="AL29" i="60"/>
  <c r="CD29" i="60" s="1"/>
  <c r="AL57" i="60"/>
  <c r="AR57" i="60" s="1"/>
  <c r="AL85" i="60"/>
  <c r="AR85" i="60" s="1"/>
  <c r="AS85" i="60" s="1"/>
  <c r="AL49" i="60"/>
  <c r="AR49" i="60" s="1"/>
  <c r="AL41" i="60"/>
  <c r="AL77" i="60"/>
  <c r="AR77" i="60"/>
  <c r="AL33" i="60"/>
  <c r="AR33" i="60" s="1"/>
  <c r="AS33" i="60" s="1"/>
  <c r="BA33" i="60" s="1"/>
  <c r="BE33" i="60" s="1"/>
  <c r="BK33" i="60" s="1"/>
  <c r="AL69" i="60"/>
  <c r="CD69" i="60" s="1"/>
  <c r="AR69" i="60"/>
  <c r="AL61" i="60"/>
  <c r="AR61" i="60" s="1"/>
  <c r="AL89" i="60"/>
  <c r="AR89" i="60" s="1"/>
  <c r="AS89" i="60" s="1"/>
  <c r="BA89" i="60" s="1"/>
  <c r="BE89" i="60" s="1"/>
  <c r="AL25" i="60"/>
  <c r="AL45" i="60"/>
  <c r="AL53" i="60"/>
  <c r="CD53" i="60" s="1"/>
  <c r="AR53" i="60"/>
  <c r="AL81" i="60"/>
  <c r="AR81" i="60" s="1"/>
  <c r="AL26" i="60"/>
  <c r="AR26" i="60"/>
  <c r="AS26" i="60" s="1"/>
  <c r="AL34" i="60"/>
  <c r="AR34" i="60"/>
  <c r="AS34" i="60" s="1"/>
  <c r="BA34" i="60" s="1"/>
  <c r="BE34" i="60" s="1"/>
  <c r="BK34" i="60" s="1"/>
  <c r="AL42" i="60"/>
  <c r="CD42" i="60" s="1"/>
  <c r="AR42" i="60"/>
  <c r="AL50" i="60"/>
  <c r="AR50" i="60"/>
  <c r="AL54" i="60"/>
  <c r="AL62" i="60"/>
  <c r="AR62" i="60" s="1"/>
  <c r="AL70" i="60"/>
  <c r="AL78" i="60"/>
  <c r="CD78" i="60" s="1"/>
  <c r="AR78" i="60"/>
  <c r="AL43" i="60"/>
  <c r="AR43" i="60" s="1"/>
  <c r="AL83" i="60"/>
  <c r="AR83" i="60" s="1"/>
  <c r="AL90" i="60"/>
  <c r="CD90" i="60" s="1"/>
  <c r="AL30" i="60"/>
  <c r="CD30" i="60" s="1"/>
  <c r="AL38" i="60"/>
  <c r="AR38" i="60" s="1"/>
  <c r="AS38" i="60" s="1"/>
  <c r="BA38" i="60" s="1"/>
  <c r="BE38" i="60" s="1"/>
  <c r="BK38" i="60" s="1"/>
  <c r="AL46" i="60"/>
  <c r="AR46" i="60" s="1"/>
  <c r="AL58" i="60"/>
  <c r="AL66" i="60"/>
  <c r="CD66" i="60" s="1"/>
  <c r="AR66" i="60"/>
  <c r="AL74" i="60"/>
  <c r="CD74" i="60" s="1"/>
  <c r="AL82" i="60"/>
  <c r="CD82" i="60" s="1"/>
  <c r="AL86" i="60"/>
  <c r="AL23" i="60"/>
  <c r="AR23" i="60" s="1"/>
  <c r="AL27" i="60"/>
  <c r="AR27" i="60" s="1"/>
  <c r="AS27" i="60" s="1"/>
  <c r="AL35" i="60"/>
  <c r="CD35" i="60" s="1"/>
  <c r="AR35" i="60"/>
  <c r="AS35" i="60" s="1"/>
  <c r="BA35" i="60" s="1"/>
  <c r="BE35" i="60" s="1"/>
  <c r="BK35" i="60" s="1"/>
  <c r="AL51" i="60"/>
  <c r="AR51" i="60" s="1"/>
  <c r="AL59" i="60"/>
  <c r="AL67" i="60"/>
  <c r="CD67" i="60" s="1"/>
  <c r="AR67" i="60"/>
  <c r="AL75" i="60"/>
  <c r="CD75" i="60" s="1"/>
  <c r="AR75" i="60"/>
  <c r="AL31" i="60"/>
  <c r="AR31" i="60" s="1"/>
  <c r="AS31" i="60" s="1"/>
  <c r="AL39" i="60"/>
  <c r="AR39" i="60"/>
  <c r="AL47" i="60"/>
  <c r="AL55" i="60"/>
  <c r="AL63" i="60"/>
  <c r="AR63" i="60" s="1"/>
  <c r="AL71" i="60"/>
  <c r="AR71" i="60" s="1"/>
  <c r="AL79" i="60"/>
  <c r="AR79" i="60" s="1"/>
  <c r="AL24" i="60"/>
  <c r="AR24" i="60" s="1"/>
  <c r="AS24" i="60" s="1"/>
  <c r="AL28" i="60"/>
  <c r="CD28" i="60" s="1"/>
  <c r="AL32" i="60"/>
  <c r="CD32" i="60" s="1"/>
  <c r="AL36" i="60"/>
  <c r="AL40" i="60"/>
  <c r="CD40" i="60" s="1"/>
  <c r="AR40" i="60"/>
  <c r="AL44" i="60"/>
  <c r="AL48" i="60"/>
  <c r="AR48" i="60"/>
  <c r="AL52" i="60"/>
  <c r="CD52" i="60" s="1"/>
  <c r="AR52" i="60"/>
  <c r="AL56" i="60"/>
  <c r="CD56" i="60" s="1"/>
  <c r="AL60" i="60"/>
  <c r="AR60" i="60" s="1"/>
  <c r="AL64" i="60"/>
  <c r="CD64" i="60" s="1"/>
  <c r="AL72" i="60"/>
  <c r="AL76" i="60"/>
  <c r="AR76" i="60"/>
  <c r="AL80" i="60"/>
  <c r="AL84" i="60"/>
  <c r="AR84" i="60" s="1"/>
  <c r="AS84" i="60" s="1"/>
  <c r="AL88" i="60"/>
  <c r="AR88" i="60" s="1"/>
  <c r="AS88" i="60" s="1"/>
  <c r="BA88" i="60" s="1"/>
  <c r="BE88" i="60" s="1"/>
  <c r="BK88" i="60" s="1"/>
  <c r="E193" i="106" l="1"/>
  <c r="D195" i="106" s="1" a="1"/>
  <c r="D195" i="106" s="1"/>
  <c r="F193" i="106"/>
  <c r="AR64" i="60"/>
  <c r="CD81" i="60"/>
  <c r="AR56" i="60"/>
  <c r="AR28" i="60"/>
  <c r="AS28" i="60" s="1"/>
  <c r="AR29" i="60"/>
  <c r="AS29" i="60" s="1"/>
  <c r="BN89" i="60"/>
  <c r="AR90" i="60"/>
  <c r="BN90" i="60" s="1"/>
  <c r="BN88" i="60"/>
  <c r="BN57" i="60"/>
  <c r="BN28" i="60"/>
  <c r="BA28" i="60" s="1"/>
  <c r="BE28" i="60" s="1"/>
  <c r="BK28" i="60" s="1"/>
  <c r="BN29" i="60"/>
  <c r="BA29" i="60" s="1"/>
  <c r="BE29" i="60" s="1"/>
  <c r="BK29" i="60" s="1"/>
  <c r="BN66" i="60"/>
  <c r="BN67" i="60"/>
  <c r="BN50" i="60"/>
  <c r="BN48" i="60"/>
  <c r="BN27" i="60"/>
  <c r="BA27" i="60" s="1"/>
  <c r="BE27" i="60" s="1"/>
  <c r="BK27" i="60" s="1"/>
  <c r="BN77" i="60"/>
  <c r="CD57" i="60"/>
  <c r="BN52" i="60"/>
  <c r="BN51" i="60"/>
  <c r="BN64" i="60"/>
  <c r="BN75" i="60"/>
  <c r="BN23" i="60"/>
  <c r="BN83" i="60"/>
  <c r="BN49" i="60"/>
  <c r="BN76" i="60"/>
  <c r="BN40" i="60"/>
  <c r="BN31" i="60"/>
  <c r="BA31" i="60" s="1"/>
  <c r="BE31" i="60" s="1"/>
  <c r="BK31" i="60" s="1"/>
  <c r="CD63" i="60"/>
  <c r="BN56" i="60"/>
  <c r="BN24" i="60"/>
  <c r="BA24" i="60" s="1"/>
  <c r="BE24" i="60" s="1"/>
  <c r="BK24" i="60" s="1"/>
  <c r="BN69" i="60"/>
  <c r="BN73" i="60"/>
  <c r="BN53" i="60"/>
  <c r="AR82" i="60"/>
  <c r="CD33" i="60"/>
  <c r="AR47" i="60"/>
  <c r="AR45" i="60"/>
  <c r="AR72" i="60"/>
  <c r="CD88" i="60"/>
  <c r="BN62" i="60"/>
  <c r="BN37" i="60"/>
  <c r="BN63" i="60"/>
  <c r="AR32" i="60"/>
  <c r="AS32" i="60" s="1"/>
  <c r="BA32" i="60" s="1"/>
  <c r="BE32" i="60" s="1"/>
  <c r="BK32" i="60" s="1"/>
  <c r="AR55" i="60"/>
  <c r="CD65" i="60"/>
  <c r="CD25" i="60"/>
  <c r="BN43" i="60"/>
  <c r="AR58" i="60"/>
  <c r="AR25" i="60"/>
  <c r="AS25" i="60" s="1"/>
  <c r="BN84" i="60"/>
  <c r="BA84" i="60" s="1"/>
  <c r="BF84" i="60"/>
  <c r="BN33" i="60"/>
  <c r="BN65" i="60"/>
  <c r="BN81" i="60"/>
  <c r="AR86" i="60"/>
  <c r="AS86" i="60" s="1"/>
  <c r="CD79" i="60"/>
  <c r="CD34" i="60"/>
  <c r="BF26" i="60"/>
  <c r="BN34" i="60"/>
  <c r="BN35" i="60"/>
  <c r="CD58" i="60"/>
  <c r="BN78" i="60"/>
  <c r="BN42" i="60"/>
  <c r="CD26" i="60"/>
  <c r="CD77" i="60"/>
  <c r="CD38" i="60"/>
  <c r="CD85" i="60"/>
  <c r="BN26" i="60"/>
  <c r="BA26" i="60" s="1"/>
  <c r="BE26" i="60" s="1"/>
  <c r="BK26" i="60" s="1"/>
  <c r="CD23" i="60"/>
  <c r="CD61" i="60"/>
  <c r="BN39" i="60"/>
  <c r="CD70" i="60"/>
  <c r="AR70" i="60"/>
  <c r="BN71" i="60"/>
  <c r="BN46" i="60"/>
  <c r="BN85" i="60"/>
  <c r="BA85" i="60" s="1"/>
  <c r="BE85" i="60" s="1"/>
  <c r="BK85" i="60" s="1"/>
  <c r="CD45" i="60"/>
  <c r="BN79" i="60"/>
  <c r="CD83" i="60"/>
  <c r="BN38" i="60"/>
  <c r="AR41" i="60"/>
  <c r="CD41" i="60"/>
  <c r="AR59" i="60"/>
  <c r="CD37" i="60"/>
  <c r="CD84" i="60"/>
  <c r="CD47" i="60"/>
  <c r="AR80" i="60"/>
  <c r="CD80" i="60"/>
  <c r="CD54" i="60"/>
  <c r="AR54" i="60"/>
  <c r="CD59" i="60"/>
  <c r="AR30" i="60"/>
  <c r="AS30" i="60" s="1"/>
  <c r="CD89" i="60"/>
  <c r="CD86" i="60"/>
  <c r="AR44" i="60"/>
  <c r="CD27" i="60"/>
  <c r="CD44" i="60"/>
  <c r="AR36" i="60"/>
  <c r="AS36" i="60" s="1"/>
  <c r="BA36" i="60" s="1"/>
  <c r="BE36" i="60" s="1"/>
  <c r="BK36" i="60" s="1"/>
  <c r="CD36" i="60"/>
  <c r="BN61" i="60"/>
  <c r="CD71" i="60"/>
  <c r="BN60" i="60"/>
  <c r="AR74" i="60"/>
  <c r="CD46" i="60"/>
  <c r="CD43" i="60"/>
  <c r="CD60" i="60"/>
  <c r="CD62" i="60"/>
  <c r="CD48" i="60"/>
  <c r="CD50" i="60"/>
  <c r="CD49" i="60"/>
  <c r="CD39" i="60"/>
  <c r="CD72" i="60"/>
  <c r="CD31" i="60"/>
  <c r="CD76" i="60"/>
  <c r="CD24" i="60"/>
  <c r="CD55" i="60"/>
  <c r="CD51" i="60"/>
  <c r="E195" i="106" l="1"/>
  <c r="D197" i="106" s="1" a="1"/>
  <c r="D197" i="106" s="1"/>
  <c r="F195" i="106"/>
  <c r="BC29" i="60" a="1"/>
  <c r="BC29" i="60" s="1"/>
  <c r="BJ24" i="60"/>
  <c r="BE84" i="60"/>
  <c r="BK84" i="60" s="1"/>
  <c r="BJ84" i="60"/>
  <c r="BF42" i="60"/>
  <c r="BC42" i="60" a="1"/>
  <c r="BC42" i="60" s="1"/>
  <c r="BF40" i="60"/>
  <c r="BN82" i="60"/>
  <c r="BC40" i="60" a="1"/>
  <c r="BC40" i="60" s="1"/>
  <c r="BN72" i="60"/>
  <c r="BN70" i="60"/>
  <c r="BN45" i="60"/>
  <c r="BN47" i="60"/>
  <c r="BN58" i="60"/>
  <c r="BN55" i="60"/>
  <c r="BN32" i="60"/>
  <c r="BF29" i="60"/>
  <c r="BN25" i="60"/>
  <c r="BA25" i="60" s="1"/>
  <c r="BE25" i="60" s="1"/>
  <c r="BK25" i="60" s="1"/>
  <c r="BJ31" i="60"/>
  <c r="BN86" i="60"/>
  <c r="BA86" i="60" s="1"/>
  <c r="BE86" i="60" s="1"/>
  <c r="BK86" i="60" s="1"/>
  <c r="BF24" i="60"/>
  <c r="BC31" i="60" a="1"/>
  <c r="BC31" i="60" s="1"/>
  <c r="BF31" i="60"/>
  <c r="BN44" i="60"/>
  <c r="BN54" i="60"/>
  <c r="BF27" i="60"/>
  <c r="BC27" i="60" a="1"/>
  <c r="BC27" i="60" s="1"/>
  <c r="BN59" i="60"/>
  <c r="BN41" i="60"/>
  <c r="BC24" i="60" a="1"/>
  <c r="BC24" i="60" s="1"/>
  <c r="BN80" i="60"/>
  <c r="BN36" i="60"/>
  <c r="BF28" i="60"/>
  <c r="BC28" i="60" a="1"/>
  <c r="BC28" i="60" s="1"/>
  <c r="BN30" i="60"/>
  <c r="BA30" i="60" s="1"/>
  <c r="BE30" i="60" s="1"/>
  <c r="BK30" i="60" s="1"/>
  <c r="BC84" i="60" a="1"/>
  <c r="BC84" i="60" s="1"/>
  <c r="BN74" i="60"/>
  <c r="BC85" i="60" a="1"/>
  <c r="BC85" i="60" s="1"/>
  <c r="BF85" i="60"/>
  <c r="BJ85" i="60"/>
  <c r="BC26" i="60" a="1"/>
  <c r="BC26" i="60" s="1"/>
  <c r="E197" i="106" l="1"/>
  <c r="D199" i="106" s="1" a="1"/>
  <c r="D199" i="106" s="1"/>
  <c r="F197" i="106"/>
  <c r="BJ86" i="60"/>
  <c r="BC86" i="60" a="1"/>
  <c r="BC86" i="60" s="1"/>
  <c r="BF86" i="60"/>
  <c r="E199" i="106" l="1"/>
  <c r="D201" i="106" s="1" a="1"/>
  <c r="D201" i="106" s="1"/>
  <c r="F199" i="106"/>
  <c r="BF25" i="60"/>
  <c r="BC25" i="60" a="1"/>
  <c r="BC25" i="60" s="1"/>
  <c r="BC30" i="60" a="1"/>
  <c r="BC30" i="60" s="1"/>
  <c r="BJ30" i="60"/>
  <c r="E201" i="106" l="1"/>
  <c r="D203" i="106" s="1" a="1"/>
  <c r="D203" i="106" s="1"/>
  <c r="F201" i="106"/>
  <c r="BF30" i="60"/>
  <c r="AL87" i="60"/>
  <c r="CD87" i="60" s="1"/>
  <c r="E203" i="106" l="1"/>
  <c r="D205" i="106" s="1" a="1"/>
  <c r="D205" i="106" s="1"/>
  <c r="F203" i="106"/>
  <c r="AR87" i="60"/>
  <c r="AS87" i="60" s="1"/>
  <c r="BM87" i="60"/>
  <c r="BG87" i="60" s="1"/>
  <c r="F205" i="106" l="1"/>
  <c r="E205" i="106"/>
  <c r="D207" i="106" s="1" a="1"/>
  <c r="D207" i="106" s="1"/>
  <c r="BH87" i="60"/>
  <c r="BJ87" i="60"/>
  <c r="BN87" i="60"/>
  <c r="BA87" i="60" s="1"/>
  <c r="BE87" i="60" s="1"/>
  <c r="BK87" i="60" s="1"/>
  <c r="F207" i="106" l="1"/>
  <c r="E207" i="106"/>
  <c r="D209" i="106" s="1" a="1"/>
  <c r="D209" i="106" s="1"/>
  <c r="BC87" i="60" a="1"/>
  <c r="BC87" i="60" s="1"/>
  <c r="AL95" i="60"/>
  <c r="AR95" i="60" s="1"/>
  <c r="AL91" i="60"/>
  <c r="AR91" i="60" s="1"/>
  <c r="AL92" i="60"/>
  <c r="CD92" i="60" s="1"/>
  <c r="BM92" i="60"/>
  <c r="BG92" i="60" s="1"/>
  <c r="AL93" i="60"/>
  <c r="CD93" i="60" s="1"/>
  <c r="AL96" i="60"/>
  <c r="CD96" i="60" s="1"/>
  <c r="AL94" i="60"/>
  <c r="CD94" i="60" s="1"/>
  <c r="AL97" i="60"/>
  <c r="AR97" i="60" s="1"/>
  <c r="F209" i="106" l="1"/>
  <c r="E209" i="106"/>
  <c r="D211" i="106" s="1" a="1"/>
  <c r="D211" i="106" s="1"/>
  <c r="AR93" i="60"/>
  <c r="AR92" i="60"/>
  <c r="CD97" i="60"/>
  <c r="CD95" i="60"/>
  <c r="CD91" i="60"/>
  <c r="AR94" i="60"/>
  <c r="AR96" i="60"/>
  <c r="BH92" i="60"/>
  <c r="BJ92" i="60"/>
  <c r="BN94" i="60"/>
  <c r="BN92" i="60"/>
  <c r="F211" i="106" l="1"/>
  <c r="E211" i="106"/>
  <c r="D213" i="106" s="1" a="1"/>
  <c r="D213" i="106" s="1"/>
  <c r="BM94" i="60"/>
  <c r="BG94" i="60" s="1"/>
  <c r="F213" i="106" l="1"/>
  <c r="E213" i="106"/>
  <c r="D215" i="106" s="1" a="1"/>
  <c r="D215" i="106" s="1"/>
  <c r="BM96" i="60"/>
  <c r="BG96" i="60" s="1"/>
  <c r="BN96" i="60"/>
  <c r="BJ94" i="60"/>
  <c r="BH94" i="60"/>
  <c r="BM95" i="60"/>
  <c r="BG95" i="60" s="1"/>
  <c r="BN95" i="60"/>
  <c r="F215" i="106" l="1"/>
  <c r="E215" i="106"/>
  <c r="D217" i="106" s="1" a="1"/>
  <c r="D217" i="106" s="1"/>
  <c r="BH96" i="60"/>
  <c r="BJ96" i="60"/>
  <c r="BH95" i="60"/>
  <c r="BJ95" i="60"/>
  <c r="BF97" i="60"/>
  <c r="BM91" i="60"/>
  <c r="BG91" i="60" s="1"/>
  <c r="BF93" i="60"/>
  <c r="BM97" i="60"/>
  <c r="BG97" i="60" s="1"/>
  <c r="BC91" i="60" a="1"/>
  <c r="BC91" i="60" s="1"/>
  <c r="BN93" i="60"/>
  <c r="BC93" i="60" a="1"/>
  <c r="BC93" i="60" s="1"/>
  <c r="BM93" i="60"/>
  <c r="BG93" i="60" s="1"/>
  <c r="BN91" i="60"/>
  <c r="BF91" i="60"/>
  <c r="BN97" i="60"/>
  <c r="BC97" i="60" a="1"/>
  <c r="BC97" i="60" s="1"/>
  <c r="E217" i="106" l="1"/>
  <c r="D219" i="106" s="1" a="1"/>
  <c r="D219" i="106" s="1"/>
  <c r="F217" i="106"/>
  <c r="BH93" i="60"/>
  <c r="BJ93" i="60"/>
  <c r="BJ91" i="60"/>
  <c r="BH91" i="60"/>
  <c r="BJ97" i="60"/>
  <c r="BH97" i="60"/>
  <c r="F219" i="106" l="1"/>
  <c r="E219" i="106"/>
  <c r="D221" i="106" s="1" a="1"/>
  <c r="D221" i="106" s="1"/>
  <c r="DJ3" i="60"/>
  <c r="DJ4" i="60"/>
  <c r="DJ5" i="60"/>
  <c r="F221" i="106" l="1"/>
  <c r="E221" i="106"/>
  <c r="D223" i="106" s="1" a="1"/>
  <c r="D223" i="106" s="1"/>
  <c r="E223" i="106" l="1"/>
  <c r="D225" i="106" s="1" a="1"/>
  <c r="D225" i="106" s="1"/>
  <c r="F223" i="106"/>
  <c r="F225" i="106" l="1"/>
  <c r="E225" i="106"/>
  <c r="D227" i="106" s="1" a="1"/>
  <c r="D227" i="106" s="1"/>
  <c r="F227" i="106" l="1"/>
  <c r="E227" i="106"/>
  <c r="D229" i="106" s="1" a="1"/>
  <c r="D229" i="106" s="1"/>
  <c r="E229" i="106" l="1"/>
  <c r="D231" i="106" s="1" a="1"/>
  <c r="D231" i="106" s="1"/>
  <c r="F229" i="106"/>
  <c r="F231" i="106" l="1"/>
  <c r="E231" i="106"/>
  <c r="D233" i="106" s="1" a="1"/>
  <c r="D233" i="106" s="1"/>
  <c r="E233" i="106" l="1"/>
  <c r="D235" i="106" s="1" a="1"/>
  <c r="D235" i="106" s="1"/>
  <c r="F233" i="106"/>
  <c r="F235" i="106" l="1"/>
  <c r="E235" i="106"/>
  <c r="D237" i="106" s="1" a="1"/>
  <c r="D237" i="106" s="1"/>
  <c r="F237" i="106" l="1"/>
  <c r="E237" i="106"/>
  <c r="D239" i="106" s="1" a="1"/>
  <c r="D239" i="106" s="1"/>
  <c r="F239" i="106" l="1"/>
  <c r="E239" i="106"/>
  <c r="D241" i="106" s="1" a="1"/>
  <c r="D241" i="106" s="1"/>
  <c r="F241" i="106" l="1"/>
  <c r="E241" i="106"/>
  <c r="D243" i="106" s="1" a="1"/>
  <c r="D243" i="106" s="1"/>
  <c r="F243" i="106" l="1"/>
  <c r="E243" i="106"/>
  <c r="D245" i="106" s="1" a="1"/>
  <c r="D245" i="106" s="1"/>
  <c r="F245" i="106" l="1"/>
  <c r="E245" i="106"/>
  <c r="D247" i="106" s="1" a="1"/>
  <c r="D247" i="106" s="1"/>
  <c r="E247" i="106" l="1"/>
  <c r="D249" i="106" s="1" a="1"/>
  <c r="D249" i="106" s="1"/>
  <c r="F247" i="106"/>
  <c r="F249" i="106" l="1"/>
  <c r="E249" i="106"/>
  <c r="D251" i="106" s="1" a="1"/>
  <c r="D251" i="106" s="1"/>
  <c r="F251" i="106" l="1"/>
  <c r="E251" i="106"/>
  <c r="D253" i="106" s="1" a="1"/>
  <c r="D253" i="106" s="1"/>
  <c r="F253" i="106" l="1"/>
  <c r="E253" i="106"/>
  <c r="D255" i="106" s="1" a="1"/>
  <c r="D255" i="106" s="1"/>
  <c r="E255" i="106" l="1"/>
  <c r="D257" i="106" s="1" a="1"/>
  <c r="D257" i="106" s="1"/>
  <c r="F255" i="106"/>
  <c r="E257" i="106" l="1"/>
  <c r="D259" i="106" s="1" a="1"/>
  <c r="D259" i="106" s="1"/>
  <c r="F257" i="106"/>
  <c r="F259" i="106" l="1"/>
  <c r="E259" i="106"/>
  <c r="D261" i="106" s="1" a="1"/>
  <c r="D261" i="106" s="1"/>
  <c r="F261" i="106" l="1"/>
  <c r="E261" i="106"/>
  <c r="D263" i="106" s="1" a="1"/>
  <c r="D263" i="106" s="1"/>
  <c r="E263" i="106" l="1"/>
  <c r="D265" i="106" s="1" a="1"/>
  <c r="D265" i="106" s="1"/>
  <c r="F263" i="106"/>
  <c r="F265" i="106" l="1"/>
  <c r="E265" i="106"/>
  <c r="D267" i="106" s="1" a="1"/>
  <c r="D267" i="106" s="1"/>
  <c r="F267" i="106" l="1"/>
  <c r="E267" i="106"/>
  <c r="D269" i="106" s="1" a="1"/>
  <c r="D269" i="106" s="1"/>
  <c r="E269" i="106" l="1"/>
  <c r="D271" i="106" s="1" a="1"/>
  <c r="D271" i="106" s="1"/>
  <c r="F269" i="106"/>
  <c r="E271" i="106" l="1"/>
  <c r="D273" i="106" s="1" a="1"/>
  <c r="D273" i="106" s="1"/>
  <c r="F271" i="106"/>
  <c r="F273" i="106" l="1"/>
  <c r="E273" i="106"/>
  <c r="D275" i="106" s="1" a="1"/>
  <c r="D275" i="106" s="1"/>
  <c r="F275" i="106" l="1"/>
  <c r="E275" i="106"/>
  <c r="D277" i="106" s="1" a="1"/>
  <c r="D277" i="106" s="1"/>
  <c r="E277" i="106" l="1"/>
  <c r="D279" i="106" s="1" a="1"/>
  <c r="D279" i="106" s="1"/>
  <c r="F277" i="106"/>
  <c r="F279" i="106" l="1"/>
  <c r="E279" i="106"/>
  <c r="D281" i="106" s="1" a="1"/>
  <c r="D281" i="106" s="1"/>
  <c r="E281" i="106" l="1"/>
  <c r="D283" i="106" s="1" a="1"/>
  <c r="D283" i="106" s="1"/>
  <c r="F281" i="106"/>
  <c r="F283" i="106" l="1"/>
  <c r="E283" i="106"/>
  <c r="D285" i="106" s="1" a="1"/>
  <c r="D285" i="106" s="1"/>
  <c r="F285" i="106" l="1"/>
  <c r="E285" i="106"/>
  <c r="D287" i="106" s="1" a="1"/>
  <c r="D287" i="106" s="1"/>
  <c r="E287" i="106" l="1"/>
  <c r="D289" i="106" s="1" a="1"/>
  <c r="D289" i="106" s="1"/>
  <c r="F287" i="106"/>
  <c r="F289" i="106" l="1"/>
  <c r="E289" i="106"/>
  <c r="D291" i="106" s="1" a="1"/>
  <c r="D291" i="106" s="1"/>
  <c r="F291" i="106" l="1"/>
  <c r="E291" i="106"/>
  <c r="D293" i="106" s="1" a="1"/>
  <c r="D293" i="106" s="1"/>
  <c r="F293" i="106" l="1"/>
  <c r="E293" i="106"/>
  <c r="D295" i="106" s="1" a="1"/>
  <c r="D295" i="106" s="1"/>
  <c r="F295" i="106" l="1"/>
  <c r="E295" i="106"/>
  <c r="D297" i="106" s="1" a="1"/>
  <c r="D297" i="106" s="1"/>
  <c r="F297" i="106" l="1"/>
  <c r="E297" i="106"/>
  <c r="D299" i="106" s="1" a="1"/>
  <c r="D299" i="106" s="1"/>
  <c r="F299" i="106" l="1"/>
  <c r="E299" i="106"/>
  <c r="D301" i="106" s="1" a="1"/>
  <c r="D301" i="106" s="1"/>
  <c r="F301" i="106" l="1"/>
  <c r="E301" i="106"/>
  <c r="D303" i="106" s="1" a="1"/>
  <c r="D303" i="106" s="1"/>
  <c r="E303" i="106" l="1"/>
  <c r="D305" i="106" s="1" a="1"/>
  <c r="D305" i="106" s="1"/>
  <c r="F303" i="106"/>
  <c r="F305" i="106" l="1"/>
  <c r="E305" i="106"/>
  <c r="D307" i="106" s="1" a="1"/>
  <c r="D307" i="106" s="1"/>
  <c r="F307" i="106" l="1"/>
  <c r="E307" i="106"/>
  <c r="D309" i="106" s="1" a="1"/>
  <c r="D309" i="106" s="1"/>
  <c r="F309" i="106" l="1"/>
  <c r="E309" i="106"/>
  <c r="D311" i="106" s="1" a="1"/>
  <c r="D311" i="106" s="1"/>
  <c r="F311" i="106" l="1"/>
  <c r="E311" i="106"/>
  <c r="D313" i="106" s="1" a="1"/>
  <c r="D313" i="106" s="1"/>
  <c r="F313" i="106" l="1"/>
  <c r="E313" i="106"/>
  <c r="D315" i="106" s="1" a="1"/>
  <c r="D315" i="106" s="1"/>
  <c r="F315" i="106" l="1"/>
  <c r="E315" i="106"/>
  <c r="D317" i="106" s="1" a="1"/>
  <c r="D317" i="106" s="1"/>
  <c r="F317" i="106" l="1"/>
  <c r="E317" i="106"/>
  <c r="D319" i="106" s="1" a="1"/>
  <c r="D319" i="106" s="1"/>
  <c r="F319" i="106" l="1"/>
  <c r="E319" i="106"/>
  <c r="D321" i="106" s="1" a="1"/>
  <c r="D321" i="106" s="1"/>
  <c r="E321" i="106" l="1"/>
  <c r="D323" i="106" s="1" a="1"/>
  <c r="D323" i="106" s="1"/>
  <c r="F321" i="106"/>
  <c r="E323" i="106" l="1"/>
  <c r="D325" i="106" s="1" a="1"/>
  <c r="D325" i="106" s="1"/>
  <c r="F323" i="106"/>
  <c r="E325" i="106" l="1"/>
  <c r="D327" i="106" s="1" a="1"/>
  <c r="D327" i="106" s="1"/>
  <c r="F325" i="106"/>
  <c r="E327" i="106" l="1"/>
  <c r="D329" i="106" s="1" a="1"/>
  <c r="D329" i="106" s="1"/>
  <c r="F327" i="106"/>
  <c r="E329" i="106" l="1"/>
  <c r="D331" i="106" s="1" a="1"/>
  <c r="D331" i="106" s="1"/>
  <c r="F329" i="106"/>
  <c r="F331" i="106" l="1"/>
  <c r="E331" i="106"/>
  <c r="D333" i="106" s="1" a="1"/>
  <c r="D333" i="106" s="1"/>
  <c r="E333" i="106" l="1"/>
  <c r="D335" i="106" s="1" a="1"/>
  <c r="D335" i="106" s="1"/>
  <c r="F333" i="106"/>
  <c r="F335" i="106" l="1"/>
  <c r="E335" i="106"/>
  <c r="D337" i="106" s="1" a="1"/>
  <c r="D337" i="106" s="1"/>
  <c r="F337" i="106" l="1"/>
  <c r="E337" i="106"/>
  <c r="D339" i="106" s="1" a="1"/>
  <c r="D339" i="106" s="1"/>
  <c r="F339" i="106" l="1"/>
  <c r="E339" i="106"/>
  <c r="D341" i="106" s="1" a="1"/>
  <c r="D341" i="106" s="1"/>
  <c r="F341" i="106" l="1"/>
  <c r="E341" i="106"/>
  <c r="D343" i="106" s="1" a="1"/>
  <c r="D343" i="106" s="1"/>
  <c r="E343" i="106" l="1"/>
  <c r="D345" i="106" s="1" a="1"/>
  <c r="D345" i="106" s="1"/>
  <c r="F343" i="106"/>
  <c r="E345" i="106" l="1"/>
  <c r="D347" i="106" s="1" a="1"/>
  <c r="D347" i="106" s="1"/>
  <c r="F345" i="106"/>
  <c r="F347" i="106" l="1"/>
  <c r="E347" i="106"/>
  <c r="D349" i="106" s="1" a="1"/>
  <c r="D349" i="106" s="1"/>
  <c r="F349" i="106" l="1"/>
  <c r="E349" i="106"/>
  <c r="D351" i="106" s="1" a="1"/>
  <c r="D351" i="106" s="1"/>
  <c r="E351" i="106" l="1"/>
  <c r="D353" i="106" s="1" a="1"/>
  <c r="D353" i="106" s="1"/>
  <c r="F351" i="106"/>
  <c r="E353" i="106" l="1"/>
  <c r="D355" i="106" s="1" a="1"/>
  <c r="D355" i="106" s="1"/>
  <c r="F353" i="106"/>
  <c r="F355" i="106" l="1"/>
  <c r="E355" i="106"/>
  <c r="D357" i="106" s="1" a="1"/>
  <c r="D357" i="106" s="1"/>
  <c r="F357" i="106" l="1"/>
  <c r="E357" i="106"/>
  <c r="D359" i="106" s="1" a="1"/>
  <c r="D359" i="106" s="1"/>
  <c r="E359" i="106" l="1"/>
  <c r="D361" i="106" s="1" a="1"/>
  <c r="D361" i="106" s="1"/>
  <c r="F359" i="106"/>
  <c r="E361" i="106" l="1"/>
  <c r="D363" i="106" s="1" a="1"/>
  <c r="D363" i="106" s="1"/>
  <c r="F361" i="106"/>
  <c r="F363" i="106" l="1"/>
  <c r="E363" i="106"/>
  <c r="D365" i="106" s="1" a="1"/>
  <c r="D365" i="106" s="1"/>
  <c r="F365" i="106" l="1"/>
  <c r="E365" i="106"/>
  <c r="D367" i="106" s="1" a="1"/>
  <c r="D367" i="106" s="1"/>
  <c r="F367" i="106" l="1"/>
  <c r="E367" i="106"/>
  <c r="D369" i="106" s="1" a="1"/>
  <c r="D369" i="106" s="1"/>
  <c r="F369" i="106" l="1"/>
  <c r="E369" i="106"/>
  <c r="D371" i="106" s="1" a="1"/>
  <c r="D371" i="106" s="1"/>
  <c r="F371" i="106" l="1"/>
  <c r="E371" i="106"/>
  <c r="D373" i="106" s="1" a="1"/>
  <c r="D373" i="106" s="1"/>
  <c r="E373" i="106" l="1"/>
  <c r="D375" i="106" s="1" a="1"/>
  <c r="D375" i="106" s="1"/>
  <c r="F373" i="106"/>
  <c r="E375" i="106" l="1"/>
  <c r="D377" i="106" s="1" a="1"/>
  <c r="D377" i="106" s="1"/>
  <c r="F375" i="106"/>
  <c r="E377" i="106" l="1"/>
  <c r="D379" i="106" s="1" a="1"/>
  <c r="D379" i="106" s="1"/>
  <c r="F377" i="106"/>
  <c r="F379" i="106" l="1"/>
  <c r="E379" i="106"/>
  <c r="D381" i="106" s="1" a="1"/>
  <c r="D381" i="106" s="1"/>
  <c r="E381" i="106" l="1"/>
  <c r="D383" i="106" s="1" a="1"/>
  <c r="D383" i="106" s="1"/>
  <c r="F381" i="106"/>
  <c r="E383" i="106" l="1"/>
  <c r="D385" i="106" s="1" a="1"/>
  <c r="D385" i="106" s="1"/>
  <c r="F383" i="106"/>
  <c r="F385" i="106" l="1"/>
  <c r="E385" i="106"/>
  <c r="D387" i="106" s="1" a="1"/>
  <c r="D387" i="106" s="1"/>
  <c r="E387" i="106" l="1"/>
  <c r="D389" i="106" s="1" a="1"/>
  <c r="D389" i="106" s="1"/>
  <c r="F387" i="106"/>
  <c r="F389" i="106" l="1"/>
  <c r="E389" i="106"/>
  <c r="D391" i="106" s="1" a="1"/>
  <c r="D391" i="106" s="1"/>
  <c r="F391" i="106" l="1"/>
  <c r="E391" i="106"/>
  <c r="D393" i="106" s="1" a="1"/>
  <c r="D393" i="106" s="1"/>
  <c r="E393" i="106" l="1"/>
  <c r="D395" i="106" s="1" a="1"/>
  <c r="D395" i="106" s="1"/>
  <c r="F393" i="106"/>
  <c r="F395" i="106" l="1"/>
  <c r="E395" i="106"/>
  <c r="D397" i="106" s="1" a="1"/>
  <c r="D397" i="106" s="1"/>
  <c r="F397" i="106" l="1"/>
  <c r="E397" i="106"/>
  <c r="D399" i="106" s="1" a="1"/>
  <c r="D399" i="106" s="1"/>
  <c r="F399" i="106" l="1"/>
  <c r="E399" i="106"/>
  <c r="D401" i="106" s="1" a="1"/>
  <c r="D401" i="106" s="1"/>
  <c r="F401" i="106" l="1"/>
  <c r="E401" i="106"/>
  <c r="D403" i="106" s="1" a="1"/>
  <c r="D403" i="106" s="1"/>
  <c r="E403" i="106" l="1"/>
  <c r="D405" i="106" s="1" a="1"/>
  <c r="D405" i="106" s="1"/>
  <c r="F403" i="106"/>
  <c r="F405" i="106" l="1"/>
  <c r="E405" i="106"/>
  <c r="D407" i="106" s="1" a="1"/>
  <c r="D407" i="106" s="1"/>
  <c r="F407" i="106" l="1"/>
  <c r="E407" i="106"/>
  <c r="D409" i="106" s="1" a="1"/>
  <c r="D409" i="106" s="1"/>
  <c r="E409" i="106" l="1"/>
  <c r="D411" i="106" s="1" a="1"/>
  <c r="D411" i="106" s="1"/>
  <c r="F409" i="106"/>
  <c r="E411" i="106" l="1"/>
  <c r="D413" i="106" s="1" a="1"/>
  <c r="D413" i="106" s="1"/>
  <c r="F411" i="106"/>
  <c r="F413" i="106" l="1"/>
  <c r="E413" i="106"/>
  <c r="D415" i="106" s="1" a="1"/>
  <c r="D415" i="106" s="1"/>
  <c r="E415" i="106" l="1"/>
  <c r="D417" i="106" s="1" a="1"/>
  <c r="D417" i="106" s="1"/>
  <c r="F415" i="106"/>
  <c r="F417" i="106" l="1"/>
  <c r="E417" i="106"/>
  <c r="D419" i="106" s="1" a="1"/>
  <c r="D419" i="106" s="1"/>
  <c r="F419" i="106" l="1"/>
  <c r="E419" i="106"/>
  <c r="D421" i="106" s="1" a="1"/>
  <c r="D421" i="106" s="1"/>
  <c r="F421" i="106" l="1"/>
  <c r="E421" i="106"/>
  <c r="D423" i="106" s="1" a="1"/>
  <c r="D423" i="106" s="1"/>
  <c r="F423" i="106" l="1"/>
  <c r="E423" i="106"/>
  <c r="D425" i="106" s="1" a="1"/>
  <c r="D425" i="106" s="1"/>
  <c r="E425" i="106" l="1"/>
  <c r="D427" i="106" s="1" a="1"/>
  <c r="D427" i="106" s="1"/>
  <c r="F425" i="106"/>
  <c r="F427" i="106" l="1"/>
  <c r="E427" i="106"/>
  <c r="D429" i="106" s="1" a="1"/>
  <c r="D429" i="106" s="1"/>
  <c r="F429" i="106" l="1"/>
  <c r="E429" i="106"/>
  <c r="D431" i="106" s="1" a="1"/>
  <c r="D431" i="106" s="1"/>
  <c r="F431" i="106" l="1"/>
  <c r="E431" i="106"/>
  <c r="D433" i="106" s="1" a="1"/>
  <c r="D433" i="106" s="1"/>
  <c r="F433" i="106" l="1"/>
  <c r="E433" i="106"/>
  <c r="D435" i="106" s="1" a="1"/>
  <c r="D435" i="106" s="1"/>
  <c r="F435" i="106" l="1"/>
  <c r="E435" i="106"/>
  <c r="D437" i="106" s="1" a="1"/>
  <c r="D437" i="106" s="1"/>
  <c r="F437" i="106" l="1"/>
  <c r="E437" i="106"/>
  <c r="D439" i="106" s="1" a="1"/>
  <c r="D439" i="106" s="1"/>
  <c r="F439" i="106" l="1"/>
  <c r="E439" i="106"/>
  <c r="D441" i="106" s="1" a="1"/>
  <c r="D441" i="106" s="1"/>
  <c r="E441" i="106" l="1"/>
  <c r="D443" i="106" s="1" a="1"/>
  <c r="D443" i="106" s="1"/>
  <c r="F441" i="106"/>
  <c r="F443" i="106" l="1"/>
  <c r="E443" i="106"/>
  <c r="D445" i="106" s="1" a="1"/>
  <c r="D445" i="106" s="1"/>
  <c r="F445" i="106" l="1"/>
  <c r="E445" i="106"/>
  <c r="D447" i="106" s="1" a="1"/>
  <c r="D447" i="106" s="1"/>
  <c r="F447" i="106" l="1"/>
  <c r="E447" i="106"/>
  <c r="D449" i="106" s="1" a="1"/>
  <c r="D449" i="106" s="1"/>
  <c r="E449" i="106" l="1"/>
  <c r="D451" i="106" s="1" a="1"/>
  <c r="D451" i="106" s="1"/>
  <c r="F449" i="106"/>
  <c r="F451" i="106" l="1"/>
  <c r="E451" i="106"/>
  <c r="D453" i="106" s="1" a="1"/>
  <c r="D453" i="106" s="1"/>
  <c r="F453" i="106" l="1"/>
  <c r="E453" i="106"/>
  <c r="D455" i="106" s="1" a="1"/>
  <c r="D455" i="106" s="1"/>
  <c r="E455" i="106" l="1"/>
  <c r="D457" i="106" s="1" a="1"/>
  <c r="D457" i="106" s="1"/>
  <c r="F455" i="106"/>
  <c r="F457" i="106" l="1"/>
  <c r="E457" i="106"/>
  <c r="D459" i="106" s="1" a="1"/>
  <c r="D459" i="106" s="1"/>
  <c r="E459" i="106" l="1"/>
  <c r="D461" i="106" s="1" a="1"/>
  <c r="D461" i="106" s="1"/>
  <c r="F459" i="106"/>
  <c r="F461" i="106" l="1"/>
  <c r="E461" i="106"/>
  <c r="D463" i="106" s="1" a="1"/>
  <c r="D463" i="106" s="1"/>
  <c r="F463" i="106" l="1"/>
  <c r="E463" i="106"/>
  <c r="D465" i="106" s="1" a="1"/>
  <c r="D465" i="106" s="1"/>
  <c r="E465" i="106" l="1"/>
  <c r="D467" i="106" s="1" a="1"/>
  <c r="D467" i="106" s="1"/>
  <c r="F465" i="106"/>
  <c r="E467" i="106" l="1"/>
  <c r="D469" i="106" s="1" a="1"/>
  <c r="D469" i="106" s="1"/>
  <c r="F467" i="106"/>
  <c r="F469" i="106" l="1"/>
  <c r="E469" i="106"/>
  <c r="D471" i="106" s="1" a="1"/>
  <c r="D471" i="106" s="1"/>
  <c r="F471" i="106" l="1"/>
  <c r="E471" i="106"/>
  <c r="D473" i="106" s="1" a="1"/>
  <c r="D473" i="106" s="1"/>
  <c r="E473" i="106" l="1"/>
  <c r="D475" i="106" s="1" a="1"/>
  <c r="D475" i="106" s="1"/>
  <c r="F473" i="106"/>
  <c r="E475" i="106" l="1"/>
  <c r="D477" i="106" s="1" a="1"/>
  <c r="D477" i="106" s="1"/>
  <c r="F475" i="106"/>
  <c r="E477" i="106" l="1"/>
  <c r="D479" i="106" s="1" a="1"/>
  <c r="D479" i="106" s="1"/>
  <c r="F477" i="106"/>
  <c r="E479" i="106" l="1"/>
  <c r="D481" i="106" s="1" a="1"/>
  <c r="D481" i="106" s="1"/>
  <c r="F479" i="106"/>
  <c r="E481" i="106" l="1"/>
  <c r="D483" i="106" s="1" a="1"/>
  <c r="D483" i="106" s="1"/>
  <c r="F481" i="106"/>
  <c r="E483" i="106" l="1"/>
  <c r="D485" i="106" s="1" a="1"/>
  <c r="D485" i="106" s="1"/>
  <c r="F483" i="106"/>
  <c r="F485" i="106" l="1"/>
  <c r="E485" i="106"/>
  <c r="D487" i="106" s="1" a="1"/>
  <c r="D487" i="106" s="1"/>
  <c r="F487" i="106" l="1"/>
  <c r="E487" i="106"/>
  <c r="D489" i="106" s="1" a="1"/>
  <c r="D489" i="106" s="1"/>
  <c r="E489" i="106" l="1"/>
  <c r="D491" i="106" s="1" a="1"/>
  <c r="D491" i="106" s="1"/>
  <c r="F489" i="106"/>
  <c r="E491" i="106" l="1"/>
  <c r="D493" i="106" s="1" a="1"/>
  <c r="D493" i="106" s="1"/>
  <c r="F491" i="106"/>
  <c r="E493" i="106" l="1"/>
  <c r="D495" i="106" s="1" a="1"/>
  <c r="D495" i="106" s="1"/>
  <c r="F493" i="106"/>
  <c r="E495" i="106" l="1"/>
  <c r="D497" i="106" s="1" a="1"/>
  <c r="D497" i="106" s="1"/>
  <c r="F495" i="106"/>
  <c r="E497" i="106" l="1"/>
  <c r="D499" i="106" s="1" a="1"/>
  <c r="D499" i="106" s="1"/>
  <c r="F497" i="106"/>
  <c r="F499" i="106" l="1"/>
  <c r="E499" i="106"/>
  <c r="D501" i="106" s="1" a="1"/>
  <c r="D501" i="106" s="1"/>
  <c r="F501" i="106" l="1"/>
  <c r="E501" i="106"/>
  <c r="D503" i="106" s="1" a="1"/>
  <c r="D503" i="106" s="1"/>
  <c r="F503" i="106" l="1"/>
  <c r="E503" i="106"/>
  <c r="D505" i="106" s="1" a="1"/>
  <c r="D505" i="106" s="1"/>
  <c r="E505" i="106" l="1"/>
  <c r="D507" i="106" s="1" a="1"/>
  <c r="D507" i="106" s="1"/>
  <c r="F505" i="106"/>
  <c r="F507" i="106" l="1"/>
  <c r="E507" i="106"/>
  <c r="D509" i="106" s="1" a="1"/>
  <c r="D509" i="106" s="1"/>
  <c r="E509" i="106" l="1"/>
  <c r="D511" i="106" s="1" a="1"/>
  <c r="D511" i="106" s="1"/>
  <c r="F509" i="106"/>
  <c r="F511" i="106" l="1"/>
  <c r="E511" i="106"/>
  <c r="D513" i="106" s="1" a="1"/>
  <c r="D513" i="106" s="1"/>
  <c r="F513" i="106" l="1"/>
  <c r="E513" i="106"/>
  <c r="D515" i="106" s="1" a="1"/>
  <c r="D515" i="106" s="1"/>
  <c r="F515" i="106" l="1"/>
  <c r="E515" i="106"/>
  <c r="D517" i="106" s="1" a="1"/>
  <c r="D517" i="106" s="1"/>
  <c r="F517" i="106" l="1"/>
  <c r="E517" i="106"/>
  <c r="D519" i="106" s="1" a="1"/>
  <c r="D519" i="106" s="1"/>
  <c r="F519" i="106" l="1"/>
  <c r="E519" i="106"/>
  <c r="D521" i="106" s="1" a="1"/>
  <c r="D521" i="106" s="1"/>
  <c r="F521" i="106" l="1"/>
  <c r="E521" i="106"/>
  <c r="D523" i="106" s="1" a="1"/>
  <c r="D523" i="106" s="1"/>
  <c r="F523" i="106" l="1"/>
  <c r="E523" i="106"/>
  <c r="D525" i="106" s="1" a="1"/>
  <c r="D525" i="106" s="1"/>
  <c r="E525" i="106" l="1"/>
  <c r="D527" i="106" s="1" a="1"/>
  <c r="D527" i="106" s="1"/>
  <c r="F525" i="106"/>
  <c r="E527" i="106" l="1"/>
  <c r="D529" i="106" s="1" a="1"/>
  <c r="D529" i="106" s="1"/>
  <c r="F527" i="106"/>
  <c r="F529" i="106" l="1"/>
  <c r="E529" i="106"/>
  <c r="D531" i="106" s="1" a="1"/>
  <c r="D531" i="106" s="1"/>
  <c r="F531" i="106" l="1"/>
  <c r="E531" i="106"/>
  <c r="D533" i="106" s="1" a="1"/>
  <c r="D533" i="106" s="1"/>
  <c r="F533" i="106" l="1"/>
  <c r="E533" i="106"/>
  <c r="D535" i="106" s="1" a="1"/>
  <c r="D535" i="106" s="1"/>
  <c r="F535" i="106" l="1"/>
  <c r="E535" i="106"/>
  <c r="D537" i="106" s="1" a="1"/>
  <c r="D537" i="106" s="1"/>
  <c r="F537" i="106" l="1"/>
  <c r="E537" i="106"/>
  <c r="D539" i="106" s="1" a="1"/>
  <c r="D539" i="106" s="1"/>
  <c r="F539" i="106" l="1"/>
  <c r="E539" i="106"/>
  <c r="D541" i="106" s="1" a="1"/>
  <c r="D541" i="106" s="1"/>
  <c r="F541" i="106" l="1"/>
  <c r="E541" i="106"/>
  <c r="D543" i="106" s="1" a="1"/>
  <c r="D543" i="106" s="1"/>
  <c r="E543" i="106" l="1"/>
  <c r="D545" i="106" s="1" a="1"/>
  <c r="D545" i="106" s="1"/>
  <c r="F543" i="106"/>
  <c r="F545" i="106" l="1"/>
  <c r="E545" i="106"/>
  <c r="D547" i="106" s="1" a="1"/>
  <c r="D547" i="106" s="1"/>
  <c r="E547" i="106" l="1"/>
  <c r="D549" i="106" s="1" a="1"/>
  <c r="D549" i="106" s="1"/>
  <c r="F547" i="106"/>
  <c r="E549" i="106" l="1"/>
  <c r="D551" i="106" s="1" a="1"/>
  <c r="D551" i="106" s="1"/>
  <c r="F549" i="106"/>
  <c r="F551" i="106" l="1"/>
  <c r="E551" i="106"/>
  <c r="D553" i="106" s="1" a="1"/>
  <c r="D553" i="106" s="1"/>
  <c r="E553" i="106" l="1"/>
  <c r="D555" i="106" s="1" a="1"/>
  <c r="D555" i="106" s="1"/>
  <c r="F553" i="106"/>
  <c r="F555" i="106" l="1"/>
  <c r="E555" i="106"/>
  <c r="D557" i="106" s="1" a="1"/>
  <c r="D557" i="106" s="1"/>
  <c r="F557" i="106" l="1"/>
  <c r="E557" i="106"/>
  <c r="D559" i="106" s="1" a="1"/>
  <c r="D559" i="106" s="1"/>
  <c r="E559" i="106" l="1"/>
  <c r="D561" i="106" s="1" a="1"/>
  <c r="D561" i="106" s="1"/>
  <c r="F559" i="106"/>
  <c r="F561" i="106" l="1"/>
  <c r="E561" i="106"/>
  <c r="D563" i="106" s="1" a="1"/>
  <c r="D563" i="106" s="1"/>
  <c r="F563" i="106" l="1"/>
  <c r="E563" i="106"/>
  <c r="D565" i="106" s="1" a="1"/>
  <c r="D565" i="106" s="1"/>
  <c r="F565" i="106" l="1"/>
  <c r="E565" i="106"/>
  <c r="D567" i="106" s="1" a="1"/>
  <c r="D567" i="106" s="1"/>
  <c r="F567" i="106" l="1"/>
  <c r="E567" i="106"/>
  <c r="D569" i="106" s="1" a="1"/>
  <c r="D569" i="106" s="1"/>
  <c r="E569" i="106" l="1"/>
  <c r="D571" i="106" s="1" a="1"/>
  <c r="D571" i="106" s="1"/>
  <c r="F569" i="106"/>
  <c r="F571" i="106" l="1"/>
  <c r="E571" i="106"/>
  <c r="D573" i="106" s="1" a="1"/>
  <c r="D573" i="106" s="1"/>
  <c r="F573" i="106" l="1"/>
  <c r="E573" i="106"/>
  <c r="D575" i="106" s="1" a="1"/>
  <c r="D575" i="106" s="1"/>
  <c r="F575" i="106" l="1"/>
  <c r="E575" i="106"/>
  <c r="D577" i="106" s="1" a="1"/>
  <c r="D577" i="106" s="1"/>
  <c r="F577" i="106" l="1"/>
  <c r="E577" i="106"/>
  <c r="D579" i="106" s="1" a="1"/>
  <c r="D579" i="106" s="1"/>
  <c r="F579" i="106" l="1"/>
  <c r="E579" i="106"/>
  <c r="D581" i="106" s="1" a="1"/>
  <c r="D581" i="106" s="1"/>
  <c r="F581" i="106" l="1"/>
  <c r="E581" i="106"/>
  <c r="D583" i="106" s="1" a="1"/>
  <c r="D583" i="106" s="1"/>
  <c r="F583" i="106" l="1"/>
  <c r="E583" i="106"/>
  <c r="D585" i="106" s="1" a="1"/>
  <c r="D585" i="106" s="1"/>
  <c r="E585" i="106" l="1"/>
  <c r="D587" i="106" s="1" a="1"/>
  <c r="D587" i="106" s="1"/>
  <c r="F585" i="106"/>
  <c r="E587" i="106" l="1"/>
  <c r="D589" i="106" s="1" a="1"/>
  <c r="D589" i="106" s="1"/>
  <c r="F587" i="106"/>
  <c r="E589" i="106" l="1"/>
  <c r="D591" i="106" s="1" a="1"/>
  <c r="D591" i="106" s="1"/>
  <c r="F589" i="106"/>
  <c r="E591" i="106" l="1"/>
  <c r="D593" i="106" s="1" a="1"/>
  <c r="D593" i="106" s="1"/>
  <c r="F591" i="106"/>
  <c r="E593" i="106" l="1"/>
  <c r="D595" i="106" s="1" a="1"/>
  <c r="D595" i="106" s="1"/>
  <c r="F593" i="106"/>
  <c r="E595" i="106" l="1"/>
  <c r="D597" i="106" s="1" a="1"/>
  <c r="D597" i="106" s="1"/>
  <c r="F595" i="106"/>
  <c r="F597" i="106" l="1"/>
  <c r="E597" i="106"/>
  <c r="D599" i="106" s="1" a="1"/>
  <c r="D599" i="106" s="1"/>
  <c r="E599" i="106" l="1"/>
  <c r="D601" i="106" s="1" a="1"/>
  <c r="D601" i="106" s="1"/>
  <c r="F599" i="106"/>
  <c r="F601" i="106" l="1"/>
  <c r="E601" i="106"/>
  <c r="D603" i="106" s="1" a="1"/>
  <c r="D603" i="106" s="1"/>
  <c r="F603" i="106" l="1"/>
  <c r="E603" i="106"/>
  <c r="D605" i="106" s="1" a="1"/>
  <c r="D605" i="106" s="1"/>
  <c r="F605" i="106" l="1"/>
  <c r="E605" i="106"/>
  <c r="D607" i="106" s="1" a="1"/>
  <c r="D607" i="106" s="1"/>
  <c r="F607" i="106" l="1"/>
  <c r="E607" i="106"/>
  <c r="D609" i="106" s="1" a="1"/>
  <c r="D609" i="106" s="1"/>
  <c r="F609" i="106" l="1"/>
  <c r="E609" i="106"/>
  <c r="D611" i="106" s="1" a="1"/>
  <c r="D611" i="106" s="1"/>
  <c r="E611" i="106" l="1"/>
  <c r="D613" i="106" s="1" a="1"/>
  <c r="D613" i="106" s="1"/>
  <c r="F611" i="106"/>
  <c r="E613" i="106" l="1"/>
  <c r="D615" i="106" s="1" a="1"/>
  <c r="D615" i="106" s="1"/>
  <c r="F613" i="106"/>
  <c r="E615" i="106" l="1"/>
  <c r="D617" i="106" s="1" a="1"/>
  <c r="D617" i="106" s="1"/>
  <c r="F615" i="106"/>
  <c r="F617" i="106" l="1"/>
  <c r="E617" i="106"/>
  <c r="D619" i="106" s="1" a="1"/>
  <c r="D619" i="106" s="1"/>
  <c r="E619" i="106" l="1"/>
  <c r="D621" i="106" s="1" a="1"/>
  <c r="D621" i="106" s="1"/>
  <c r="F619" i="106"/>
  <c r="E621" i="106" l="1"/>
  <c r="D623" i="106" s="1" a="1"/>
  <c r="D623" i="106" s="1"/>
  <c r="F621" i="106"/>
  <c r="E623" i="106" l="1"/>
  <c r="D625" i="106" s="1" a="1"/>
  <c r="D625" i="106" s="1"/>
  <c r="F623" i="106"/>
  <c r="F625" i="106" l="1"/>
  <c r="E625" i="106"/>
  <c r="D627" i="106" s="1" a="1"/>
  <c r="D627" i="106" s="1"/>
  <c r="F627" i="106" l="1"/>
  <c r="E627" i="106"/>
  <c r="D629" i="106" s="1" a="1"/>
  <c r="D629" i="106" s="1"/>
  <c r="F629" i="106" l="1"/>
  <c r="E629" i="106"/>
  <c r="D631" i="106" s="1" a="1"/>
  <c r="D631" i="106" s="1"/>
  <c r="E631" i="106" l="1"/>
  <c r="D633" i="106" s="1" a="1"/>
  <c r="D633" i="106" s="1"/>
  <c r="F631" i="106"/>
  <c r="E633" i="106" l="1"/>
  <c r="D635" i="106" s="1" a="1"/>
  <c r="D635" i="106" s="1"/>
  <c r="F633" i="106"/>
  <c r="E635" i="106" l="1"/>
  <c r="D637" i="106" s="1" a="1"/>
  <c r="D637" i="106" s="1"/>
  <c r="F635" i="106"/>
  <c r="E637" i="106" l="1"/>
  <c r="D639" i="106" s="1" a="1"/>
  <c r="D639" i="106" s="1"/>
  <c r="F637" i="106"/>
  <c r="E639" i="106" l="1"/>
  <c r="D641" i="106" s="1" a="1"/>
  <c r="D641" i="106" s="1"/>
  <c r="F639" i="106"/>
  <c r="F641" i="106" l="1"/>
  <c r="E641" i="106"/>
  <c r="D643" i="106" s="1" a="1"/>
  <c r="D643" i="106" s="1"/>
  <c r="F643" i="106" l="1"/>
  <c r="E643" i="106"/>
  <c r="D645" i="106" s="1" a="1"/>
  <c r="D645" i="106" s="1"/>
  <c r="E645" i="106" l="1"/>
  <c r="D647" i="106" s="1" a="1"/>
  <c r="D647" i="106" s="1"/>
  <c r="F645" i="106"/>
  <c r="F647" i="106" l="1"/>
  <c r="E647" i="106"/>
  <c r="D649" i="106" s="1" a="1"/>
  <c r="D649" i="106" s="1"/>
  <c r="F649" i="106" l="1"/>
  <c r="E649" i="106"/>
  <c r="D651" i="106" s="1" a="1"/>
  <c r="D651" i="106" s="1"/>
  <c r="E651" i="106" l="1"/>
  <c r="D653" i="106" s="1" a="1"/>
  <c r="D653" i="106" s="1"/>
  <c r="F651" i="106"/>
  <c r="F653" i="106" l="1"/>
  <c r="E653" i="106"/>
  <c r="D655" i="106" s="1" a="1"/>
  <c r="D655" i="106" s="1"/>
  <c r="E655" i="106" l="1"/>
  <c r="D657" i="106" s="1" a="1"/>
  <c r="D657" i="106" s="1"/>
  <c r="F655" i="106"/>
  <c r="E657" i="106" l="1"/>
  <c r="D659" i="106" s="1" a="1"/>
  <c r="D659" i="106" s="1"/>
  <c r="F657" i="106"/>
  <c r="F659" i="106" l="1"/>
  <c r="E659" i="106"/>
  <c r="D661" i="106" s="1" a="1"/>
  <c r="D661" i="106" s="1"/>
  <c r="E661" i="106" l="1"/>
  <c r="D663" i="106" s="1" a="1"/>
  <c r="D663" i="106" s="1"/>
  <c r="F661" i="106"/>
  <c r="F663" i="106" l="1"/>
  <c r="E663" i="106"/>
  <c r="D665" i="106" s="1" a="1"/>
  <c r="D665" i="106" s="1"/>
  <c r="E665" i="106" l="1"/>
  <c r="D667" i="106" s="1" a="1"/>
  <c r="D667" i="106" s="1"/>
  <c r="F665" i="106"/>
  <c r="E667" i="106" l="1"/>
  <c r="D669" i="106" s="1" a="1"/>
  <c r="D669" i="106" s="1"/>
  <c r="F667" i="106"/>
  <c r="E669" i="106" l="1"/>
  <c r="D671" i="106" s="1" a="1"/>
  <c r="D671" i="106" s="1"/>
  <c r="F669" i="106"/>
  <c r="E671" i="106" l="1"/>
  <c r="D673" i="106" s="1" a="1"/>
  <c r="D673" i="106" s="1"/>
  <c r="F671" i="106"/>
  <c r="F673" i="106" l="1"/>
  <c r="E673" i="106"/>
  <c r="D675" i="106" s="1" a="1"/>
  <c r="D675" i="106" s="1"/>
  <c r="F675" i="106" l="1"/>
  <c r="E675" i="106"/>
  <c r="D677" i="106" s="1" a="1"/>
  <c r="D677" i="106" s="1"/>
  <c r="F677" i="106" l="1"/>
  <c r="E677" i="106"/>
  <c r="D679" i="106" s="1" a="1"/>
  <c r="D679" i="106" s="1"/>
  <c r="F679" i="106" l="1"/>
  <c r="E679" i="106"/>
  <c r="D681" i="106" s="1" a="1"/>
  <c r="D681" i="106" s="1"/>
  <c r="F681" i="106" l="1"/>
  <c r="E681" i="106"/>
  <c r="D683" i="106" s="1" a="1"/>
  <c r="D683" i="106" s="1"/>
  <c r="E683" i="106" l="1"/>
  <c r="D685" i="106" s="1" a="1"/>
  <c r="D685" i="106" s="1"/>
  <c r="F683" i="106"/>
  <c r="E685" i="106" l="1"/>
  <c r="D687" i="106" s="1" a="1"/>
  <c r="D687" i="106" s="1"/>
  <c r="F685" i="106"/>
  <c r="E687" i="106" l="1"/>
  <c r="D689" i="106" s="1" a="1"/>
  <c r="D689" i="106" s="1"/>
  <c r="F687" i="106"/>
  <c r="F689" i="106" l="1"/>
  <c r="E689" i="106"/>
  <c r="D691" i="106" s="1" a="1"/>
  <c r="D691" i="106" s="1"/>
  <c r="F691" i="106" l="1"/>
  <c r="E691" i="106"/>
  <c r="D693" i="106" s="1" a="1"/>
  <c r="D693" i="106" s="1"/>
  <c r="F693" i="106" l="1"/>
  <c r="E693" i="106"/>
  <c r="D695" i="106" s="1" a="1"/>
  <c r="D695" i="106" s="1"/>
  <c r="F695" i="106" l="1"/>
  <c r="E695" i="106"/>
  <c r="D697" i="106" s="1" a="1"/>
  <c r="D697" i="106" s="1"/>
  <c r="F697" i="106" l="1"/>
  <c r="E697" i="106"/>
  <c r="D699" i="106" s="1" a="1"/>
  <c r="D699" i="106" s="1"/>
  <c r="F699" i="106" l="1"/>
  <c r="E699" i="106"/>
  <c r="D701" i="106" s="1" a="1"/>
  <c r="D701" i="106" s="1"/>
  <c r="F701" i="106" l="1"/>
  <c r="E701" i="106"/>
  <c r="D703" i="106" s="1" a="1"/>
  <c r="D703" i="106" s="1"/>
  <c r="E703" i="106" l="1"/>
  <c r="D705" i="106" s="1" a="1"/>
  <c r="D705" i="106" s="1"/>
  <c r="F703" i="106"/>
  <c r="E705" i="106" l="1"/>
  <c r="D707" i="106" s="1" a="1"/>
  <c r="D707" i="106" s="1"/>
  <c r="F705" i="106"/>
  <c r="E707" i="106" l="1"/>
  <c r="D709" i="106" s="1" a="1"/>
  <c r="D709" i="106" s="1"/>
  <c r="F707" i="106"/>
  <c r="E709" i="106" l="1"/>
  <c r="D711" i="106" s="1" a="1"/>
  <c r="D711" i="106" s="1"/>
  <c r="F709" i="106"/>
  <c r="F711" i="106" l="1"/>
  <c r="E711" i="106"/>
  <c r="D713" i="106" s="1" a="1"/>
  <c r="D713" i="106" s="1"/>
  <c r="F713" i="106" l="1"/>
  <c r="E713" i="106"/>
  <c r="D715" i="106" s="1" a="1"/>
  <c r="D715" i="106" s="1"/>
  <c r="E715" i="106" l="1"/>
  <c r="D717" i="106" s="1" a="1"/>
  <c r="D717" i="106" s="1"/>
  <c r="F715" i="106"/>
  <c r="E717" i="106" l="1"/>
  <c r="D719" i="106" s="1" a="1"/>
  <c r="D719" i="106" s="1"/>
  <c r="F717" i="106"/>
  <c r="E719" i="106" l="1"/>
  <c r="D721" i="106" s="1" a="1"/>
  <c r="D721" i="106" s="1"/>
  <c r="F719" i="106"/>
  <c r="F721" i="106" l="1"/>
  <c r="E721" i="106"/>
  <c r="D723" i="106" s="1" a="1"/>
  <c r="D723" i="106" s="1"/>
  <c r="F723" i="106" l="1"/>
  <c r="E723" i="106"/>
  <c r="D725" i="106" s="1" a="1"/>
  <c r="D725" i="106" s="1"/>
  <c r="F725" i="106" l="1"/>
  <c r="E725" i="106"/>
  <c r="D727" i="106" s="1" a="1"/>
  <c r="D727" i="106" s="1"/>
  <c r="F727" i="106" l="1"/>
  <c r="E727" i="106"/>
  <c r="D729" i="106" s="1" a="1"/>
  <c r="D729" i="106" s="1"/>
  <c r="F729" i="106" l="1"/>
  <c r="E729" i="106"/>
  <c r="D731" i="106" s="1" a="1"/>
  <c r="D731" i="106" s="1"/>
  <c r="F731" i="106" l="1"/>
  <c r="E731" i="106"/>
  <c r="D733" i="106" s="1" a="1"/>
  <c r="D733" i="106" s="1"/>
  <c r="F733" i="106" l="1"/>
  <c r="E733" i="106"/>
  <c r="D735" i="106" s="1" a="1"/>
  <c r="D735" i="106" s="1"/>
  <c r="F735" i="106" l="1"/>
  <c r="E735" i="106"/>
  <c r="D737" i="106" s="1" a="1"/>
  <c r="D737" i="106" s="1"/>
  <c r="F737" i="106" l="1"/>
  <c r="E737" i="106"/>
  <c r="D739" i="106" s="1" a="1"/>
  <c r="D739" i="106" s="1"/>
  <c r="F739" i="106" l="1"/>
  <c r="E739" i="106"/>
  <c r="D741" i="106" s="1" a="1"/>
  <c r="D741" i="106" s="1"/>
  <c r="E741" i="106" l="1"/>
  <c r="D743" i="106" s="1" a="1"/>
  <c r="D743" i="106" s="1"/>
  <c r="F741" i="106"/>
  <c r="E743" i="106" l="1"/>
  <c r="D745" i="106" s="1" a="1"/>
  <c r="D745" i="106" s="1"/>
  <c r="F743" i="106"/>
  <c r="E745" i="106" l="1"/>
  <c r="D747" i="106" s="1" a="1"/>
  <c r="D747" i="106" s="1"/>
  <c r="F745" i="106"/>
  <c r="E747" i="106" l="1"/>
  <c r="D749" i="106" s="1" a="1"/>
  <c r="D749" i="106" s="1"/>
  <c r="F747" i="106"/>
  <c r="E749" i="106" l="1"/>
  <c r="D751" i="106" s="1" a="1"/>
  <c r="D751" i="106" s="1"/>
  <c r="F749" i="106"/>
  <c r="E751" i="106" l="1"/>
  <c r="D753" i="106" s="1" a="1"/>
  <c r="D753" i="106" s="1"/>
  <c r="F751" i="106"/>
  <c r="E753" i="106" l="1"/>
  <c r="D755" i="106" s="1" a="1"/>
  <c r="D755" i="106" s="1"/>
  <c r="F753" i="106"/>
  <c r="F755" i="106" l="1"/>
  <c r="E755" i="106"/>
  <c r="D757" i="106" s="1" a="1"/>
  <c r="D757" i="106" s="1"/>
  <c r="F757" i="106" l="1"/>
  <c r="E757" i="106"/>
  <c r="D759" i="106" s="1" a="1"/>
  <c r="D759" i="106" s="1"/>
  <c r="E759" i="106" l="1"/>
  <c r="D761" i="106" s="1" a="1"/>
  <c r="D761" i="106" s="1"/>
  <c r="F759" i="106"/>
  <c r="E761" i="106" l="1"/>
  <c r="D763" i="106" s="1" a="1"/>
  <c r="D763" i="106" s="1"/>
  <c r="F761" i="106"/>
  <c r="F763" i="106" l="1"/>
  <c r="E763" i="106"/>
  <c r="D765" i="106" s="1" a="1"/>
  <c r="D765" i="106" s="1"/>
  <c r="F765" i="106" l="1"/>
  <c r="E765" i="106"/>
  <c r="D767" i="106" s="1" a="1"/>
  <c r="D767" i="106" s="1"/>
  <c r="F767" i="106" l="1"/>
  <c r="E767" i="106"/>
  <c r="D769" i="106" s="1" a="1"/>
  <c r="D769" i="106" s="1"/>
  <c r="F769" i="106" l="1"/>
  <c r="E769" i="106"/>
  <c r="D771" i="106" s="1" a="1"/>
  <c r="D771" i="106" s="1"/>
  <c r="E771" i="106" l="1"/>
  <c r="D773" i="106" s="1" a="1"/>
  <c r="D773" i="106" s="1"/>
  <c r="F771" i="106"/>
  <c r="E773" i="106" l="1"/>
  <c r="D775" i="106" s="1" a="1"/>
  <c r="D775" i="106" s="1"/>
  <c r="F773" i="106"/>
  <c r="E775" i="106" l="1"/>
  <c r="D777" i="106" s="1" a="1"/>
  <c r="D777" i="106" s="1"/>
  <c r="F775" i="106"/>
  <c r="F777" i="106" l="1"/>
  <c r="G50" i="106" s="1" a="1"/>
  <c r="G50" i="106" s="1"/>
  <c r="E777" i="106"/>
  <c r="AG90" i="106" l="1" a="1"/>
  <c r="AG90" i="106" s="1"/>
  <c r="AF73" i="106" a="1"/>
  <c r="AF73" i="106" s="1"/>
  <c r="AG71" i="106" a="1"/>
  <c r="AG71" i="106" s="1"/>
  <c r="AF63" i="106" a="1"/>
  <c r="AF63" i="106" s="1"/>
  <c r="AF56" i="106" a="1"/>
  <c r="AF56" i="106" s="1"/>
  <c r="AF88" i="106" a="1"/>
  <c r="AF88" i="106" s="1"/>
  <c r="AG86" i="106" a="1"/>
  <c r="AG86" i="106" s="1"/>
  <c r="AF81" i="106" a="1"/>
  <c r="AF81" i="106" s="1"/>
  <c r="AF69" i="106" a="1"/>
  <c r="AF69" i="106" s="1"/>
  <c r="AG66" i="106" a="1"/>
  <c r="AG66" i="106" s="1"/>
  <c r="AF65" i="106" a="1"/>
  <c r="AF65" i="106" s="1"/>
  <c r="AG95" i="106" a="1"/>
  <c r="AG95" i="106" s="1"/>
  <c r="AF93" i="106" a="1"/>
  <c r="AF93" i="106" s="1"/>
  <c r="AF89" i="106" a="1"/>
  <c r="AF89" i="106" s="1"/>
  <c r="AF84" i="106" a="1"/>
  <c r="AF84" i="106" s="1"/>
  <c r="AG79" i="106" a="1"/>
  <c r="AG79" i="106" s="1"/>
  <c r="AF75" i="106" a="1"/>
  <c r="AF75" i="106" s="1"/>
  <c r="AF97" i="106" a="1"/>
  <c r="AF97" i="106" s="1"/>
  <c r="AG88" i="106" a="1"/>
  <c r="AG88" i="106" s="1"/>
  <c r="AG74" i="106" a="1"/>
  <c r="AG74" i="106" s="1"/>
  <c r="AF72" i="106" a="1"/>
  <c r="AF72" i="106" s="1"/>
  <c r="AF96" i="106" a="1"/>
  <c r="AF96" i="106" s="1"/>
  <c r="AG93" i="106" a="1"/>
  <c r="AG93" i="106" s="1"/>
  <c r="AF87" i="106" a="1"/>
  <c r="AF87" i="106" s="1"/>
  <c r="AG80" i="106" a="1"/>
  <c r="AG80" i="106" s="1"/>
  <c r="AG77" i="106" a="1"/>
  <c r="AG77" i="106" s="1"/>
  <c r="AF74" i="106" a="1"/>
  <c r="AF74" i="106" s="1"/>
  <c r="AG65" i="106" a="1"/>
  <c r="AG65" i="106" s="1"/>
  <c r="AF58" i="106" a="1"/>
  <c r="AF58" i="106" s="1"/>
  <c r="AF51" i="106" a="1"/>
  <c r="AF51" i="106" s="1"/>
  <c r="AG99" i="106" a="1"/>
  <c r="AG99" i="106" s="1"/>
  <c r="AG83" i="106" a="1"/>
  <c r="AG83" i="106" s="1"/>
  <c r="AF77" i="106" a="1"/>
  <c r="AF77" i="106" s="1"/>
  <c r="AF67" i="106" a="1"/>
  <c r="AF67" i="106" s="1"/>
  <c r="AG63" i="106" a="1"/>
  <c r="AG63" i="106" s="1"/>
  <c r="AG92" i="106" a="1"/>
  <c r="AG92" i="106" s="1"/>
  <c r="AF86" i="106" a="1"/>
  <c r="AF86" i="106" s="1"/>
  <c r="AG73" i="106" a="1"/>
  <c r="AG73" i="106" s="1"/>
  <c r="AF70" i="106" a="1"/>
  <c r="AF70" i="106" s="1"/>
  <c r="AF61" i="106" a="1"/>
  <c r="AF61" i="106" s="1"/>
  <c r="AF95" i="106" a="1"/>
  <c r="AF95" i="106" s="1"/>
  <c r="AG82" i="106" a="1"/>
  <c r="AG82" i="106" s="1"/>
  <c r="AG59" i="106" a="1"/>
  <c r="AG59" i="106" s="1"/>
  <c r="AG54" i="106" a="1"/>
  <c r="AG54" i="106" s="1"/>
  <c r="AG101" i="106" a="1"/>
  <c r="AG101" i="106" s="1"/>
  <c r="AG98" i="106" a="1"/>
  <c r="AG98" i="106" s="1"/>
  <c r="AF92" i="106" a="1"/>
  <c r="AF92" i="106" s="1"/>
  <c r="AG89" i="106" a="1"/>
  <c r="AG89" i="106" s="1"/>
  <c r="AG100" i="106" a="1"/>
  <c r="AG100" i="106" s="1"/>
  <c r="AF85" i="106" a="1"/>
  <c r="AF85" i="106" s="1"/>
  <c r="AG68" i="106" a="1"/>
  <c r="AG68" i="106" s="1"/>
  <c r="AG64" i="106" a="1"/>
  <c r="AG64" i="106" s="1"/>
  <c r="AF101" i="106" a="1"/>
  <c r="AF101" i="106" s="1"/>
  <c r="AF80" i="106" a="1"/>
  <c r="AF80" i="106" s="1"/>
  <c r="AF79" i="106" a="1"/>
  <c r="AF79" i="106" s="1"/>
  <c r="AF64" i="106" a="1"/>
  <c r="AF64" i="106" s="1"/>
  <c r="AG55" i="106" a="1"/>
  <c r="AG55" i="106" s="1"/>
  <c r="AF52" i="106" a="1"/>
  <c r="AF52" i="106" s="1"/>
  <c r="AF100" i="106" a="1"/>
  <c r="AF100" i="106" s="1"/>
  <c r="AF99" i="106" a="1"/>
  <c r="AF99" i="106" s="1"/>
  <c r="AF98" i="106" a="1"/>
  <c r="AF98" i="106" s="1"/>
  <c r="AG78" i="106" a="1"/>
  <c r="AG78" i="106" s="1"/>
  <c r="AF68" i="106" a="1"/>
  <c r="AF68" i="106" s="1"/>
  <c r="AF78" i="106" a="1"/>
  <c r="AF78" i="106" s="1"/>
  <c r="AG67" i="106" a="1"/>
  <c r="AG67" i="106" s="1"/>
  <c r="AG60" i="106" a="1"/>
  <c r="AG60" i="106" s="1"/>
  <c r="AF55" i="106" a="1"/>
  <c r="AF55" i="106" s="1"/>
  <c r="AG91" i="106" a="1"/>
  <c r="AG91" i="106" s="1"/>
  <c r="AG97" i="106" a="1"/>
  <c r="AG97" i="106" s="1"/>
  <c r="AG96" i="106" a="1"/>
  <c r="AG96" i="106" s="1"/>
  <c r="AG57" i="106" a="1"/>
  <c r="AG57" i="106" s="1"/>
  <c r="AG94" i="106" a="1"/>
  <c r="AG94" i="106" s="1"/>
  <c r="AG76" i="106" a="1"/>
  <c r="AG76" i="106" s="1"/>
  <c r="AF60" i="106" a="1"/>
  <c r="AF60" i="106" s="1"/>
  <c r="AF57" i="106" a="1"/>
  <c r="AF57" i="106" s="1"/>
  <c r="AF76" i="106" a="1"/>
  <c r="AF76" i="106" s="1"/>
  <c r="AG51" i="106" a="1"/>
  <c r="AG51" i="106" s="1"/>
  <c r="AF94" i="106" a="1"/>
  <c r="AF94" i="106" s="1"/>
  <c r="AG53" i="106" a="1"/>
  <c r="AG53" i="106" s="1"/>
  <c r="AG52" i="106" a="1"/>
  <c r="AG52" i="106" s="1"/>
  <c r="AG84" i="106" a="1"/>
  <c r="AG84" i="106" s="1"/>
  <c r="AF53" i="106" a="1"/>
  <c r="AF53" i="106" s="1"/>
  <c r="AG85" i="106" a="1"/>
  <c r="AG85" i="106" s="1"/>
  <c r="AG69" i="106" a="1"/>
  <c r="AG69" i="106" s="1"/>
  <c r="AF54" i="106" a="1"/>
  <c r="AF54" i="106" s="1"/>
  <c r="AG72" i="106" a="1"/>
  <c r="AG72" i="106" s="1"/>
  <c r="AG87" i="106" a="1"/>
  <c r="AG87" i="106" s="1"/>
  <c r="AF82" i="106" a="1"/>
  <c r="AF82" i="106" s="1"/>
  <c r="AF66" i="106" a="1"/>
  <c r="AF66" i="106" s="1"/>
  <c r="AF83" i="106" a="1"/>
  <c r="AF83" i="106" s="1"/>
  <c r="AF59" i="106" a="1"/>
  <c r="AF59" i="106" s="1"/>
  <c r="AG58" i="106" a="1"/>
  <c r="AG58" i="106" s="1"/>
  <c r="AG56" i="106" a="1"/>
  <c r="AG56" i="106" s="1"/>
  <c r="AG70" i="106" a="1"/>
  <c r="AG70" i="106" s="1"/>
  <c r="AG62" i="106" a="1"/>
  <c r="AG62" i="106" s="1"/>
  <c r="AG61" i="106" a="1"/>
  <c r="AG61" i="106" s="1"/>
  <c r="AG75" i="106" a="1"/>
  <c r="AG75" i="106" s="1"/>
  <c r="AG81" i="106" a="1"/>
  <c r="AG81" i="106" s="1"/>
  <c r="AF71" i="106" a="1"/>
  <c r="AF71" i="106" s="1"/>
  <c r="AF62" i="106" a="1"/>
  <c r="AF62" i="106" s="1"/>
  <c r="AF90" i="106" a="1"/>
  <c r="AF90" i="106" s="1"/>
  <c r="AF91" i="106" a="1"/>
  <c r="AF91" i="106" s="1"/>
  <c r="AG50" i="106" l="1" a="1"/>
  <c r="AG50" i="106" s="1"/>
  <c r="AF50" i="106" a="1"/>
  <c r="AF50" i="106" s="1"/>
  <c r="BS4" i="106" s="1"/>
  <c r="BS5" i="10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<sst xmlns="http://schemas.openxmlformats.org/spreadsheetml/2006/main" count="36366" uniqueCount="14673">
  <si>
    <t>L</t>
  </si>
  <si>
    <t>M</t>
  </si>
  <si>
    <t>P</t>
  </si>
  <si>
    <t>Ce document est composé de : This document is composed of: Este documento se compone de:</t>
  </si>
  <si>
    <t>Col.1</t>
  </si>
  <si>
    <t>Col.2</t>
  </si>
  <si>
    <t>Col.3</t>
  </si>
  <si>
    <t>Col.4</t>
  </si>
  <si>
    <t>Col.5</t>
  </si>
  <si>
    <t>avec valeurs ou texte-with values or text-con valores o texto</t>
  </si>
  <si>
    <t>A</t>
  </si>
  <si>
    <t>Paramètres régionaux Excel : pour les décimales soit un . soit une ,</t>
  </si>
  <si>
    <t>cellules vides - empty cells - celdas vacías</t>
  </si>
  <si>
    <t xml:space="preserve">cartouche = Emplacement réservé au titre et aux cellules de commandes, situé en tête du document </t>
  </si>
  <si>
    <t>lignes - rows - filas</t>
  </si>
  <si>
    <t>►</t>
  </si>
  <si>
    <t>❷</t>
  </si>
  <si>
    <t>colonnes - columns - columnas</t>
  </si>
  <si>
    <t xml:space="preserve">C CHIBOUST PAMPLEMOUSSE | pâtisserie--ENTREMET| Auteur &gt; M. Guy KRENZER, Eric GODDYN, Jean François DEPORT </t>
  </si>
  <si>
    <t>assiettes</t>
  </si>
  <si>
    <t>Recette mère ► MILLE-FEUILLE meringue et chiboust pamplemousse aux fraises des bois</t>
  </si>
  <si>
    <t>.</t>
  </si>
  <si>
    <t>Circuit</t>
  </si>
  <si>
    <t>CHIBOUST PAMPLEMOUSSE</t>
  </si>
  <si>
    <t>pâtisserie--ENTREMET</t>
  </si>
  <si>
    <t>📝 Mode d'emploi du Postit adaptation selon modèle</t>
  </si>
  <si>
    <t>📝 Instructions for the Postit — adapt according to template</t>
  </si>
  <si>
    <t>📝 Modo de empleo del Postit — adaptación según modelo</t>
  </si>
  <si>
    <t>Hauteur des lignes 21</t>
  </si>
  <si>
    <t>Cir .1.2.5</t>
  </si>
  <si>
    <t>◄ Masquez ces 4 colonnes</t>
  </si>
  <si>
    <t>Auteur &gt;</t>
  </si>
  <si>
    <t>❾ référence Auteur</t>
  </si>
  <si>
    <t>Constituant de &gt;</t>
  </si>
  <si>
    <t>Recette mère ► MILLE-FEUILLE meringue et chiboust pamplemousse aux fraises des bois ► Famille = pâtisserie--ENTREMET ► CHIBOUST PAMPLEMOUSSE  ⓫  Dupliquée pour 20 couverts</t>
  </si>
  <si>
    <t>⓫  Dupliquée pour</t>
  </si>
  <si>
    <t>couverts</t>
  </si>
  <si>
    <t>j’ai saisi "Postit" volontairement l'autre version est une marque déposée</t>
  </si>
  <si>
    <t>I intentionally wrote “Postit”; the other version is a registered trademark.</t>
  </si>
  <si>
    <t>He escrito “Postit” deliberadamente; la otra versión es una marca registrada.</t>
  </si>
  <si>
    <t>▼ Quantité ?</t>
  </si>
  <si>
    <t>▼ Quoi ?</t>
  </si>
  <si>
    <t>Circuit .1.2.5</t>
  </si>
  <si>
    <t>① le NOM DE LA RECETTE.FAMILLE</t>
  </si>
  <si>
    <t xml:space="preserve"> la Famille</t>
  </si>
  <si>
    <t>① the NAME OF THE RECIPE</t>
  </si>
  <si>
    <t xml:space="preserve"> the Family</t>
  </si>
  <si>
    <t>① el NOMBRE DE LA RECETA</t>
  </si>
  <si>
    <t xml:space="preserve"> la Familia</t>
  </si>
  <si>
    <t>Poids</t>
  </si>
  <si>
    <t>❿ votre référence</t>
  </si>
  <si>
    <t>pastry--ENTREMET</t>
  </si>
  <si>
    <t>pastelería--ENTREMET</t>
  </si>
  <si>
    <t>Recette mère ?</t>
  </si>
  <si>
    <t>ARCHIVAGE ET CLASSEMENT</t>
  </si>
  <si>
    <t>MILLE-FEUILLE meringue et chiboust pamplemousse aux fraises des bois</t>
  </si>
  <si>
    <t>② l' AUTEUR : &gt;</t>
  </si>
  <si>
    <t>VOUS</t>
  </si>
  <si>
    <t>les - ou doubles -- sont importants pour de l'extraction de texte ( voir la fiche identification)</t>
  </si>
  <si>
    <t>② the AUTHOR : &gt;</t>
  </si>
  <si>
    <t>YOU</t>
  </si>
  <si>
    <t>the - or double -- are important for text extraction (see the identification sheet)</t>
  </si>
  <si>
    <t>② el AUTOR : &gt;</t>
  </si>
  <si>
    <t>USTED</t>
  </si>
  <si>
    <t>los - o dobles -- son importantes para la extracción de texto (ver la ficha de identificación)</t>
  </si>
  <si>
    <t>Col.6</t>
  </si>
  <si>
    <t>Col.7</t>
  </si>
  <si>
    <t>Col.8</t>
  </si>
  <si>
    <t>Col.9</t>
  </si>
  <si>
    <t>Col.10</t>
  </si>
  <si>
    <t>Col.11</t>
  </si>
  <si>
    <t>Col.12</t>
  </si>
  <si>
    <t>Col.13</t>
  </si>
  <si>
    <t>Col.14</t>
  </si>
  <si>
    <t>Col.15</t>
  </si>
  <si>
    <t>Col.16</t>
  </si>
  <si>
    <t>Col.17</t>
  </si>
  <si>
    <t>Col.18</t>
  </si>
  <si>
    <t>④</t>
  </si>
  <si>
    <t>⑤</t>
  </si>
  <si>
    <t>⑥ Poids ou Volume</t>
  </si>
  <si>
    <t>⑦g.kg.L.dl.cl.ml</t>
  </si>
  <si>
    <t>⑧ Coefficient</t>
  </si>
  <si>
    <t>③</t>
  </si>
  <si>
    <t>Unités</t>
  </si>
  <si>
    <t>Poids Auteur sans coef.</t>
  </si>
  <si>
    <t xml:space="preserve"> Vos poids avec coef.</t>
  </si>
  <si>
    <t>Équivalences arrondies</t>
  </si>
  <si>
    <t>Component of &gt;</t>
  </si>
  <si>
    <t>Master recipe ► MILLE-FEUILLE with meringue and grapefruit chiboust with wild strawberries ► Family = pastry--ENTREMET ► GRAPEFRUIT CHIBOUST  ⓫  Duplicated for 20 servings</t>
  </si>
  <si>
    <t>Constituyente de &gt;</t>
  </si>
  <si>
    <t>Receta madre ► MILHOJAS con merengue y chiboust de pomelo con fresas del bosque ► Familia = pastelería--ENTREMET ► CHIBOUST DE POMELO  ⓫  Duplicada para 20 cubiertos</t>
  </si>
  <si>
    <t>Quantité</t>
  </si>
  <si>
    <t>Quoi</t>
  </si>
  <si>
    <t>de</t>
  </si>
  <si>
    <t xml:space="preserve"> Denrées</t>
  </si>
  <si>
    <t xml:space="preserve">pour </t>
  </si>
  <si>
    <t>dl</t>
  </si>
  <si>
    <t>crème</t>
  </si>
  <si>
    <t>40 cl</t>
  </si>
  <si>
    <t>g</t>
  </si>
  <si>
    <t>zestes de pamplemousse</t>
  </si>
  <si>
    <t>40 g</t>
  </si>
  <si>
    <t>L18&amp;" "&amp;M18&amp;" ► Famille = "&amp;Q12&amp;" ► "&amp;J12&amp;" "&amp;P15&amp;" "&amp;Q15&amp;" "&amp;R15&amp;" "&amp;S16</t>
  </si>
  <si>
    <t>demi/L</t>
  </si>
  <si>
    <t>Verre(s)</t>
  </si>
  <si>
    <t>Recette mère ► Recette prévu pour quelle préparation</t>
  </si>
  <si>
    <t>Master recipe ► Recipe intended for which preparation</t>
  </si>
  <si>
    <t>Receta madre ► Receta prevista para qué preparación</t>
  </si>
  <si>
    <t>demi(s)Kg</t>
  </si>
  <si>
    <t>Cup(s).sucre</t>
  </si>
  <si>
    <t>Champ d’application ou circuit  1- 2-3-5-6</t>
  </si>
  <si>
    <t>Scope or circuit  1- 2-3-5-6</t>
  </si>
  <si>
    <t>Campo de aplicación o circuito  1- 2-3-5-6</t>
  </si>
  <si>
    <t/>
  </si>
  <si>
    <t>Bol(s)</t>
  </si>
  <si>
    <t>Champ d’application ou circuit des documents</t>
  </si>
  <si>
    <t>1 Archivage</t>
  </si>
  <si>
    <t>Scope or document circuit</t>
  </si>
  <si>
    <t>1 Archiving</t>
  </si>
  <si>
    <t>Campo de aplicación o circuito de los documentos</t>
  </si>
  <si>
    <t>1 Archivo</t>
  </si>
  <si>
    <t>2 Chef</t>
  </si>
  <si>
    <t>3 Responsable qualité</t>
  </si>
  <si>
    <t>3 Quality manager</t>
  </si>
  <si>
    <t>3 Responsable de calidad</t>
  </si>
  <si>
    <t>4 Directeur</t>
  </si>
  <si>
    <t>4 Director</t>
  </si>
  <si>
    <t>5 Cuisiniers</t>
  </si>
  <si>
    <t>5 Cooks</t>
  </si>
  <si>
    <t>5 Cocineros</t>
  </si>
  <si>
    <t>6 Magasinier</t>
  </si>
  <si>
    <t>6 Storekeeper</t>
  </si>
  <si>
    <t>6 Almacenero</t>
  </si>
  <si>
    <t>❾ Author reference</t>
  </si>
  <si>
    <t>⓫ Duplicated for</t>
  </si>
  <si>
    <t>plates</t>
  </si>
  <si>
    <t>❾ Referencia Autor</t>
  </si>
  <si>
    <t>⓫ Duplicada para</t>
  </si>
  <si>
    <t>platos</t>
  </si>
  <si>
    <t>kg</t>
  </si>
  <si>
    <t>vide</t>
  </si>
  <si>
    <t>quart(s)Kg</t>
  </si>
  <si>
    <t>Tiers(s)Kg</t>
  </si>
  <si>
    <t>cl</t>
  </si>
  <si>
    <t>ml</t>
  </si>
  <si>
    <t>tiers/L</t>
  </si>
  <si>
    <t>5ème/L</t>
  </si>
  <si>
    <t>▼ Quantity?</t>
  </si>
  <si>
    <t>▼ What?</t>
  </si>
  <si>
    <t>▼ Cantidad?</t>
  </si>
  <si>
    <t>▼ Qué?</t>
  </si>
  <si>
    <t>Weight</t>
  </si>
  <si>
    <t>❿ your reference</t>
  </si>
  <si>
    <t>❿ su referencia</t>
  </si>
  <si>
    <t>ounce (oz)</t>
  </si>
  <si>
    <t>Cup(s).farine</t>
  </si>
  <si>
    <t>Cup(s).beurre</t>
  </si>
  <si>
    <t>Cup.liquide</t>
  </si>
  <si>
    <t>cuil(s).Café</t>
  </si>
  <si>
    <t>cuil(s).Thé</t>
  </si>
  <si>
    <t>cuil.Soupe</t>
  </si>
  <si>
    <t>10ème/L</t>
  </si>
  <si>
    <t>Trait(s)</t>
  </si>
  <si>
    <t>Coût : 1* économique - 4**** luxe</t>
  </si>
  <si>
    <t>*</t>
  </si>
  <si>
    <t>ICI</t>
  </si>
  <si>
    <t>Difficulté : 1*Facile - 4**** Difficile</t>
  </si>
  <si>
    <t>④ Quantité ou Nombre d'unités selon fiche</t>
  </si>
  <si>
    <t>④ Quantity or Number of units per sheet</t>
  </si>
  <si>
    <t>④ Cantidad o Número de unidades según ficha</t>
  </si>
  <si>
    <t>Temps de préparation</t>
  </si>
  <si>
    <t>faire bouillir la crème avec les zestes</t>
  </si>
  <si>
    <t>Temps de cuisson</t>
  </si>
  <si>
    <t xml:space="preserve">⑤ Quoi </t>
  </si>
  <si>
    <t>œufs - cuisses -tartes - parts  ou - CB = cuillère de bar -BS =Barspoon - CC = cuillère à café - CT = cuillère à thé -CP = cuillère à potage - QS = quantité suffisante - PM = pour mémoire - plaques gastro 1/1 - louches...etc</t>
  </si>
  <si>
    <t>⑤ What</t>
  </si>
  <si>
    <t>eggs - thighs - tarts - portions or - CB = bar spoon - BS = Barspoon - CC = teaspoon - CT = tea spoon - CP = soup spoon - QS = sufficient quantity - PM = for the record - GN trays 1/1 - ladles...etc</t>
  </si>
  <si>
    <t>⑤ Qué</t>
  </si>
  <si>
    <t>huevos - muslos - tartas - raciones o - CB = cuchara de bar - BS = Barspoon - CC = cucharilla - CT = cucharita de té - CP = cuchara sopera - QS = cantidad suficiente - PM = para memoria - bandejas GN 1/1 - cucharones...etc.</t>
  </si>
  <si>
    <t>cuire comme une crème patissière avec le sucre ,les jaunes, et la maîzena</t>
  </si>
  <si>
    <t>Temps de refroidissement</t>
  </si>
  <si>
    <t>Total</t>
  </si>
  <si>
    <t>lorsque vous saisissez un nombre d'unités ⑤</t>
  </si>
  <si>
    <t>when you enter a number of units ⑤</t>
  </si>
  <si>
    <t>cuando introduce un número de unidades ⑤</t>
  </si>
  <si>
    <t>CONDITIONNEMENT</t>
  </si>
  <si>
    <t>et un Poids ou Volume ⑥ "de" s'affiche automatiquement pour indiquer que vous saisissez un poids à l'unité</t>
  </si>
  <si>
    <t>and a Weight or Volume ⑥ “de/of” appears automatically to indicate that you are entering a per-unit weight</t>
  </si>
  <si>
    <t>y un Peso o Volumen ⑥ aparece “de” automáticamente para indicar que está introduciendo un peso por unidad</t>
  </si>
  <si>
    <t>Effectifs ▼</t>
  </si>
  <si>
    <t>Quoi ▼</t>
  </si>
  <si>
    <t xml:space="preserve"> couverts</t>
  </si>
  <si>
    <t>⑥ Poids ou Volume ajustez les décimales (+ ou - de 0 )</t>
  </si>
  <si>
    <t>⑥ Weight or Volume adjust the decimals (+ or − from 0)</t>
  </si>
  <si>
    <t>⑥ Peso o Volumen ajuste los decimales (+ o − desde 0)</t>
  </si>
  <si>
    <t>L'utilisation professionnelle des recettes vous engage à connaître la réglementation en matière d'hygiène et HACCP.</t>
  </si>
  <si>
    <t xml:space="preserve"> Quoi ? Saisissez Morceaux - tranches- portions - pièces - cerises etc</t>
  </si>
  <si>
    <t>&lt; poids par portion</t>
  </si>
  <si>
    <t>le contenant saisissez  gastro(s) 1/1 - grille(s) - plat(s) - louche(s) etc..</t>
  </si>
  <si>
    <t>Lien Auteur @</t>
  </si>
  <si>
    <t xml:space="preserve">tout ce qui n'est pas saisi dans la colonne ⑥ Poids ou Volume </t>
  </si>
  <si>
    <t>anything not entered in column ⑥ Weight or Volume</t>
  </si>
  <si>
    <t>todo lo que no se introduzca en la columna ⑥ Peso o Volumen</t>
  </si>
  <si>
    <t>ne sera pas comptabilisé dans les poids</t>
  </si>
  <si>
    <t>will not be counted in the weights</t>
  </si>
  <si>
    <t>no se contabilizará en los pesos</t>
  </si>
  <si>
    <t>Adresse PC</t>
  </si>
  <si>
    <t>Produits à la pièce &gt;  nombre 27 jaunes d'œufs  et poids d' 1  jaune</t>
  </si>
  <si>
    <t>Products sold by the piece &gt; quantity 27 egg yolks and weight of 1 yolk</t>
  </si>
  <si>
    <t>Productos por pieza &gt;  número 27 yemas de huevo y peso de 1 yema</t>
  </si>
  <si>
    <t>les ¼ de botte de fines herbes en 0,25 ou en quart(s)</t>
  </si>
  <si>
    <t>¼ bunch of herbs as 0.25 or as quarter(s)</t>
  </si>
  <si>
    <t>¼ de manojo de finas hierbas como 0,25 o en cuarto(s)</t>
  </si>
  <si>
    <t>en remplacement Collez les compléments si vous en avez besoin</t>
  </si>
  <si>
    <t>Lait 0.75 ou 3 quart/L  - ½ citron 0.5 ou 1 demi(s)</t>
  </si>
  <si>
    <t>Milk 0.75 or 3 quarter/L  - ½ lemon 0.5 or 1 half/halves</t>
  </si>
  <si>
    <t>Leche 0,75 o 3 cuartos/L  - ½ limón 0,5 o 1 medio(s)</t>
  </si>
  <si>
    <t>ORGANISATION RAISONNÉE DU TRAVAIL</t>
  </si>
  <si>
    <t>👍</t>
  </si>
  <si>
    <t>controler les marchandises - qualité - quantité - températures</t>
  </si>
  <si>
    <t>Selon modèle en fonction du nombre de colonnes vous pouvez obtenir ce genre de résultat</t>
  </si>
  <si>
    <t>Depending on the template and the number of columns you can obtain this kind of result</t>
  </si>
  <si>
    <t>Según el modelo y el número de columnas puede obtener este tipo de resultado</t>
  </si>
  <si>
    <t>vérifier les DLC - relever les N° de lot ou conserver les étiquettes</t>
  </si>
  <si>
    <t>désinfecter les sachets - poches - barquettes - boites avant ouverture</t>
  </si>
  <si>
    <t>⑥ Weight or Volume</t>
  </si>
  <si>
    <t>⑥ Peso o Volumen</t>
  </si>
  <si>
    <t>laver légumes et fruits avant utilisation</t>
  </si>
  <si>
    <t>Quantity</t>
  </si>
  <si>
    <t>What</t>
  </si>
  <si>
    <t xml:space="preserve"> Foodstuffs</t>
  </si>
  <si>
    <t>Cantidad</t>
  </si>
  <si>
    <t>Qué</t>
  </si>
  <si>
    <t>égoutter en bacs perforées si besoin</t>
  </si>
  <si>
    <t>cream</t>
  </si>
  <si>
    <t>nata/crema</t>
  </si>
  <si>
    <t>décongeler en bacs perforés + étiquette date de décongélation</t>
  </si>
  <si>
    <t>grapefruit zest</t>
  </si>
  <si>
    <t>ralladura de pomelo</t>
  </si>
  <si>
    <t>cuire et refroidir en cellule avant assemblage</t>
  </si>
  <si>
    <t>trancher - découper - hacher en respectant les protocoles</t>
  </si>
  <si>
    <t>Units</t>
  </si>
  <si>
    <t>Author’s weight without coef.</t>
  </si>
  <si>
    <t xml:space="preserve"> Your weights with coef.</t>
  </si>
  <si>
    <t>Rounded equivalents</t>
  </si>
  <si>
    <t>Peso</t>
  </si>
  <si>
    <t>Unidades</t>
  </si>
  <si>
    <t>Peso del Autor sin coef.</t>
  </si>
  <si>
    <t xml:space="preserve"> Sus pesos con coef.</t>
  </si>
  <si>
    <t>Equivalencias redondeadas</t>
  </si>
  <si>
    <t>préparer l'assaisonnement ou la sauce assembler</t>
  </si>
  <si>
    <t xml:space="preserve">gouter et vérifier l'assaisonnement - dresser - décorer  </t>
  </si>
  <si>
    <t>conditionner et étiqueter DLC</t>
  </si>
  <si>
    <t>garder un plat témoins</t>
  </si>
  <si>
    <t>▲ dans cette colonne la présence de la fonction RECHERCHEX est indispensable pour le fonctionnement des documents répertoire</t>
  </si>
  <si>
    <t>▲ en esta columna la presencia de la función BUSCARX es imprescindible para el funcionamiento de las hojas de directorio</t>
  </si>
  <si>
    <t>stocker en chambre froide</t>
  </si>
  <si>
    <t>◄ Masquez les 3 colonnes</t>
  </si>
  <si>
    <t>lorsque vous saisissez une valeur dans ④ Quantité ET dans ⑥ Poids ou Volume</t>
  </si>
  <si>
    <t>DÉMARCHE QUALITÉ  -  DÉVELOPPEMENT ET AMÉLIORATION DES RECETTES</t>
  </si>
  <si>
    <t>"de" s'affiche automatiquement pour éviter toute confusion " 27 " " jaunes d'œufs"  "de"  " 20 g"</t>
  </si>
  <si>
    <t>“de/of” appears automatically to avoid any confusion “27” “egg yolks” “de/of” “20 g”</t>
  </si>
  <si>
    <t>aparece “de” automáticamente para evitar confusión “27” “yemas de huevo” “de” “20 g”</t>
  </si>
  <si>
    <t>Descriptif de la recette d'origine</t>
  </si>
  <si>
    <t>Premières impressions sur cette recette produits-technique-prix : que faut-il modifier-pouvons nous la servir à tous nos clients- etc..</t>
  </si>
  <si>
    <t>OU cette présentation</t>
  </si>
  <si>
    <t>OR this layout</t>
  </si>
  <si>
    <t>O esta presentación</t>
  </si>
  <si>
    <t xml:space="preserve"> Vos poids et volumesBruts avec coef.</t>
  </si>
  <si>
    <t xml:space="preserve"> % Perte</t>
  </si>
  <si>
    <t xml:space="preserve"> Vos poids et volumes Nets avec coef.</t>
  </si>
  <si>
    <t xml:space="preserve"> Your gross weights and volumes with coef.</t>
  </si>
  <si>
    <t xml:space="preserve"> % Loss</t>
  </si>
  <si>
    <t xml:space="preserve"> Your net weights and volumes with coef.</t>
  </si>
  <si>
    <t xml:space="preserve"> Sus pesos y volúmenes brutos con coef.</t>
  </si>
  <si>
    <t xml:space="preserve"> % Merma</t>
  </si>
  <si>
    <t xml:space="preserve"> Sus pesos y volúmenes netos con coef.</t>
  </si>
  <si>
    <t>Recette testée par : MAURICE</t>
  </si>
  <si>
    <t xml:space="preserve"> Géneros</t>
  </si>
  <si>
    <t>Modifications  adaptation conseils et suggestions :</t>
  </si>
  <si>
    <t>Crème liquide</t>
  </si>
  <si>
    <t>1.11 Kg</t>
  </si>
  <si>
    <t>1 110 g</t>
  </si>
  <si>
    <t>888 g</t>
  </si>
  <si>
    <t>Heavy cream</t>
  </si>
  <si>
    <t>Nata/crema líquida</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</si>
  <si>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</si>
  <si>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grand Marnier</t>
  </si>
  <si>
    <t>13 cl</t>
  </si>
  <si>
    <t>133 ml</t>
  </si>
  <si>
    <t>119.88 ml</t>
  </si>
  <si>
    <t>Grand Marnier</t>
  </si>
  <si>
    <t>pommes</t>
  </si>
  <si>
    <t>8.325 Kg</t>
  </si>
  <si>
    <t>33 quart(s)</t>
  </si>
  <si>
    <t>23.31 quart(s)</t>
  </si>
  <si>
    <t>apples</t>
  </si>
  <si>
    <t>manzanas</t>
  </si>
  <si>
    <t>Quantité ou nombre d'unités au choix</t>
  </si>
  <si>
    <t>Quantity or number of units, your choice</t>
  </si>
  <si>
    <t>Cantidad o número de unidades a elección</t>
  </si>
  <si>
    <t>Productos por pieza &gt; número 27 yemas de huevo y peso de 1 yema</t>
  </si>
  <si>
    <t>bottes</t>
  </si>
  <si>
    <t>¼ de botte de fines herbes</t>
  </si>
  <si>
    <t>bunches</t>
  </si>
  <si>
    <t>¼ bunch of herbs</t>
  </si>
  <si>
    <t>manojos</t>
  </si>
  <si>
    <t>¼ de manojo de finas hierbas</t>
  </si>
  <si>
    <t>citrons</t>
  </si>
  <si>
    <t>½ citron</t>
  </si>
  <si>
    <t>lemons</t>
  </si>
  <si>
    <t>½ lemon</t>
  </si>
  <si>
    <t>limones</t>
  </si>
  <si>
    <t>½ limón</t>
  </si>
  <si>
    <t xml:space="preserve">note Maxi par critère = 3   DÉVELOPPEMENT ET AMÉLIORATION DES RECETTES  </t>
  </si>
  <si>
    <t>litres</t>
  </si>
  <si>
    <t>¾ de litre</t>
  </si>
  <si>
    <t>liters</t>
  </si>
  <si>
    <t>¾ liter</t>
  </si>
  <si>
    <t>litros</t>
  </si>
  <si>
    <t>¾ de litro</t>
  </si>
  <si>
    <t>VISUEL / PRÉSENTATION</t>
  </si>
  <si>
    <t>Les produits ou la recette sont/est :</t>
  </si>
  <si>
    <t>CUISSON</t>
  </si>
  <si>
    <t>Bon</t>
  </si>
  <si>
    <t xml:space="preserve">TEXTURE </t>
  </si>
  <si>
    <t>non acceptable pour nos clients</t>
  </si>
  <si>
    <t xml:space="preserve"> GUSTATIF / SAVEUR</t>
  </si>
  <si>
    <t xml:space="preserve"> GUSTATIF</t>
  </si>
  <si>
    <t>TEMPÉRATURE</t>
  </si>
  <si>
    <t>tout ce qui n'est pas saisi dans la colonne ⑥ Poids ou Volume ne sera pas comptabilisé dans les poids</t>
  </si>
  <si>
    <t>anything not entered in column ⑥ Weight or Volume will not be counted in the weights</t>
  </si>
  <si>
    <t>todo lo que no se introduzca en la columna ⑥ Peso o Volumen no se contabilizará en los pesos</t>
  </si>
  <si>
    <t xml:space="preserve">QUALITÉ </t>
  </si>
  <si>
    <t>à améliorer</t>
  </si>
  <si>
    <t>Un point manquant ou un espace en plus et Excel ne reconnait pas. Donc faites du Copier / Coller</t>
  </si>
  <si>
    <t>One missing dot or one extra space and Excel won’t recognize it. So use Copy / Paste</t>
  </si>
  <si>
    <t>Un punto que falte o un espacio de más y Excel no lo reconoce. Así que use Copiar / Pegar</t>
  </si>
  <si>
    <t>VARIÉTÉ</t>
  </si>
  <si>
    <t>❌</t>
  </si>
  <si>
    <t>⑥Poids ou Volume ajustez les décimales (+ ou - de 0 )</t>
  </si>
  <si>
    <t>ORIGINALITÉ</t>
  </si>
  <si>
    <t>VISUEL</t>
  </si>
  <si>
    <t>lorsque vous collez 1 Quart ; 1 demi ; 1 Tiers col .⑤ Quoi il n'y a pas de poids le résultat s'affiche en quantité colonnes 18 - 19 Unités et Quoi ?</t>
  </si>
  <si>
    <t>when you paste 1 Quarter; 1 Half; 1 Third in col. ⑤ What there is no weight; the result appears as a quantity in columns 18 - 19 Units and What?</t>
  </si>
  <si>
    <t>cuando pega 1 Cuarto; 1 Medio; 1 Tercio en la col. ⑤ Qué no hay peso; el resultado aparece como cantidad en las columnas 18 - 19 Unidades y Qué?</t>
  </si>
  <si>
    <t>pour les critères saisis</t>
  </si>
  <si>
    <t>✅</t>
  </si>
  <si>
    <t>BIEN</t>
  </si>
  <si>
    <t>TOTAL obtenu</t>
  </si>
  <si>
    <t>Quelle différence</t>
  </si>
  <si>
    <t>Poids et volumes arrondis</t>
  </si>
  <si>
    <t>What’s the difference</t>
  </si>
  <si>
    <t>Rounded weights and volumes</t>
  </si>
  <si>
    <t>Qué diferencia</t>
  </si>
  <si>
    <t>Pesos y volúmenes redondeados</t>
  </si>
  <si>
    <t xml:space="preserve">TOTAL maxi à atteindre </t>
  </si>
  <si>
    <t>CONCLUSION</t>
  </si>
  <si>
    <t>quart/L</t>
  </si>
  <si>
    <t>440 L</t>
  </si>
  <si>
    <t>880 demi/L</t>
  </si>
  <si>
    <t>pouvons nous la servir à tous nos clients</t>
  </si>
  <si>
    <t>Acceptation</t>
  </si>
  <si>
    <t xml:space="preserve"> volumes  si &gt; à 1 ; = L  sinon  cl</t>
  </si>
  <si>
    <t>Refus partiel ou total</t>
  </si>
  <si>
    <t>quart(s)</t>
  </si>
  <si>
    <t>demi(s)</t>
  </si>
  <si>
    <t>440 Kg</t>
  </si>
  <si>
    <t>880 demi(s)</t>
  </si>
  <si>
    <t xml:space="preserve"> Poids si &gt; à 1 ; = Kg  sinon  g</t>
  </si>
  <si>
    <t>1 quart de melon</t>
  </si>
  <si>
    <t xml:space="preserve">1 demi part - </t>
  </si>
  <si>
    <t>1 quarter of melon</t>
  </si>
  <si>
    <t>1 half portion -</t>
  </si>
  <si>
    <t>1 cuarto de melón</t>
  </si>
  <si>
    <t>1 media ración -</t>
  </si>
  <si>
    <t>les Valeurs de recherche sont en Kg - exemple 1 verre = 0.225</t>
  </si>
  <si>
    <t>Lookup values are in kg - example 1 glass = 0.225</t>
  </si>
  <si>
    <t>Los valores de búsqueda están en kg - ejemplo 1 vaso = 0,225</t>
  </si>
  <si>
    <t>Appréciation : Bien (3), Moyen (2), Non satisfaisant (1) sur  points.</t>
  </si>
  <si>
    <t>⑦g.kg.L.dl.cl.ml  Collez une unité au choix</t>
  </si>
  <si>
    <t>⑦ g.kg.L.dl.cl.ml  Paste one unit of your choice</t>
  </si>
  <si>
    <t>⑦ g.kg.L.dl.cl.ml  Pegue una unidad a elección</t>
  </si>
  <si>
    <t>Hors d'Œuvre</t>
  </si>
  <si>
    <t>Plat</t>
  </si>
  <si>
    <t>Légume</t>
  </si>
  <si>
    <t>Dessert</t>
  </si>
  <si>
    <t>⑧  Coefficient</t>
  </si>
  <si>
    <t>le Coefficient vous permet d'augmenter</t>
  </si>
  <si>
    <t>the Coefficient lets you increase,</t>
  </si>
  <si>
    <t>⑧  Coeficiente</t>
  </si>
  <si>
    <t>el Coeficiente le permite aumentar,</t>
  </si>
  <si>
    <t>de diminuer ou d'éviter un ingrédient</t>
  </si>
  <si>
    <t>decrease, or omit an ingredient</t>
  </si>
  <si>
    <t>disminuir o evitar un ingrediente</t>
  </si>
  <si>
    <t xml:space="preserve">Vous pouvez détourner l'utilisation de la colonne Coefficient en augmentant ou  diminuant </t>
  </si>
  <si>
    <t>pour faire varier le poids d'un aliment  sans recommencer une nouvelle fiche</t>
  </si>
  <si>
    <t>to vary an item’s weight without starting a new sheet</t>
  </si>
  <si>
    <t>para variar el peso de un alimento sin empezar una nueva ficha</t>
  </si>
  <si>
    <t xml:space="preserve">Vous pouvez également saisir la valeur 0 zéro pour un aliment allergène selon convives </t>
  </si>
  <si>
    <t>You can also enter the value 0 zero for an allergenic food depending on guests</t>
  </si>
  <si>
    <t>También puede introducir el valor 0 cero para un alimento alergénico según comensales</t>
  </si>
  <si>
    <t>Saveur :salée-sucrée-amère-acide-métallique-forte-aigre-acre-fade-naturelle</t>
  </si>
  <si>
    <t xml:space="preserve">ou supprimer un ingrédient piment ou autres par exemple </t>
  </si>
  <si>
    <t>or remove an ingredient—chili or others for example</t>
  </si>
  <si>
    <t>o suprimir un ingrediente—picante u otros por ejemplo</t>
  </si>
  <si>
    <t>Texture : tendre-fondante-moelleuse-naturelle-granuleuse-fibreuse-cordée-farineuse-gélatineuse-croustillante</t>
  </si>
  <si>
    <t>si vous saisissez une valeur différente de 1 la cellule change de couleur  pour attirer votre attention</t>
  </si>
  <si>
    <t>if you enter a value different from 1 the cell changes color to draw your attention</t>
  </si>
  <si>
    <t>si introduce un valor distinto de 1 la celda cambia de color para llamar su atención</t>
  </si>
  <si>
    <t>Cuisson : trop juste--bien-trop cuit-à revoir-Grammages-% Pertes avant et après cuisson-Mode de cuisson etc..</t>
  </si>
  <si>
    <t xml:space="preserve"> (Mise en Forme Conditionnelle)</t>
  </si>
  <si>
    <t>(Conditional Formatting)</t>
  </si>
  <si>
    <t>(Formato condicional)</t>
  </si>
  <si>
    <t>Contenant</t>
  </si>
  <si>
    <t>Temps</t>
  </si>
  <si>
    <t xml:space="preserve">Température </t>
  </si>
  <si>
    <t xml:space="preserve"> % Humidité </t>
  </si>
  <si>
    <t>Mode</t>
  </si>
  <si>
    <t>Air pulsé</t>
  </si>
  <si>
    <t xml:space="preserve"> Préchauffage</t>
  </si>
  <si>
    <t>Gastro 1/1</t>
  </si>
  <si>
    <t>mixte</t>
  </si>
  <si>
    <t>cuisson 1</t>
  </si>
  <si>
    <t>grilles 2/1</t>
  </si>
  <si>
    <t>cuisson 2</t>
  </si>
  <si>
    <t>Régénération banquet</t>
  </si>
  <si>
    <t>gomme</t>
  </si>
  <si>
    <t xml:space="preserve">◄  Si la colonne 11 est rouge, collez la "gomme" </t>
  </si>
  <si>
    <t>◄  If column 11 is red, paste the “eraser”</t>
  </si>
  <si>
    <t>goma</t>
  </si>
  <si>
    <t>◄  Si la columna 11 está en rojo, pegue la “goma”</t>
  </si>
  <si>
    <t xml:space="preserve"> ensuite supprimez le mot "gomme." et saisissez un chiffre</t>
  </si>
  <si>
    <t xml:space="preserve"> then delete the word “eraser.” and enter a number</t>
  </si>
  <si>
    <t xml:space="preserve"> luego borre la palabra “goma.” e introduzca un número</t>
  </si>
  <si>
    <t>for</t>
  </si>
  <si>
    <t>para</t>
  </si>
  <si>
    <t>vous pouvez saisir un autre poids selon vos besoins</t>
  </si>
  <si>
    <t>you can enter another weight according to your needs</t>
  </si>
  <si>
    <t>puede introducir otro peso según sus necesidades</t>
  </si>
  <si>
    <t xml:space="preserve">cette colonne vous permet de comparer les recettes . </t>
  </si>
  <si>
    <t>this column lets you compare recipes.</t>
  </si>
  <si>
    <t>esta columna le permite comparar recetas.</t>
  </si>
  <si>
    <t>les Auteurs prévoient leur recettes pour des quantités ou un nombre de portions différentes</t>
  </si>
  <si>
    <t>Authors plan their recipes for different quantities or number of portions</t>
  </si>
  <si>
    <t>Los Autores prevén sus recetas para cantidades o números de raciones diferentes</t>
  </si>
  <si>
    <t>Il est donc difficile de comparer. Avec cette colonne cela devient facile</t>
  </si>
  <si>
    <t>So it’s hard to compare. With this column it becomes easy</t>
  </si>
  <si>
    <t>Por lo tanto es difícil comparar. Con esta columna se vuelve fácil</t>
  </si>
  <si>
    <t>Température de cuisson</t>
  </si>
  <si>
    <t>Cuisson à Cœur</t>
  </si>
  <si>
    <t>Refroidissement</t>
  </si>
  <si>
    <t>❾</t>
  </si>
  <si>
    <t>l'Auteur à prévu sa recette pour combien de couverts ou pour quel poids</t>
  </si>
  <si>
    <t>The Author planned the recipe for how many covers or for what weight</t>
  </si>
  <si>
    <t>El Autor previó su receta para cuántos cubiertos o para qué peso</t>
  </si>
  <si>
    <t>tarte</t>
  </si>
  <si>
    <t>feuilles de génoise</t>
  </si>
  <si>
    <t>sponge sheets</t>
  </si>
  <si>
    <t>planchas de bizcocho</t>
  </si>
  <si>
    <t xml:space="preserve">en fonction de vos convives vous estimez cette recette pour combien </t>
  </si>
  <si>
    <t>based on your guests you estimate this recipe for how many</t>
  </si>
  <si>
    <t>en función de sus comensales usted estima esta receta para cuántos</t>
  </si>
  <si>
    <t>Vous pouvez valider en re-saisissant les mêmes valeurs que l'Auteur</t>
  </si>
  <si>
    <t>You can validate by re-entering the same values as the Author</t>
  </si>
  <si>
    <t>Puede validar reintroduciendo los mismos valores que el Autor</t>
  </si>
  <si>
    <t>cadre(s)</t>
  </si>
  <si>
    <t>frame(s)</t>
  </si>
  <si>
    <t>aro(s)/marco(s)</t>
  </si>
  <si>
    <t>tartes de 18 cm</t>
  </si>
  <si>
    <t>18-cm tarts</t>
  </si>
  <si>
    <t>tartas de 18 cm</t>
  </si>
  <si>
    <t>covers/servings</t>
  </si>
  <si>
    <t>cubiertos/raciones</t>
  </si>
  <si>
    <t>OU faire un autre choix</t>
  </si>
  <si>
    <t>OR make another choice</t>
  </si>
  <si>
    <t>O hacer otra elección</t>
  </si>
  <si>
    <t>soit vous faites le choix de dupliquer la recette à partir d'un effectif ou du poids d'une denrée Exemple farine pour le pain</t>
  </si>
  <si>
    <t>either you choose to duplicate the recipe starting from a headcount or from the weight of one item—for example flour for bread</t>
  </si>
  <si>
    <t>o bien decide duplicar la receta a partir de un efectivo o del peso de un género—por ejemplo harina para pan</t>
  </si>
  <si>
    <t>poulets</t>
  </si>
  <si>
    <t>chickens</t>
  </si>
  <si>
    <t>pollos</t>
  </si>
  <si>
    <t>Kg de bœuf</t>
  </si>
  <si>
    <t>kg of beef</t>
  </si>
  <si>
    <t>kg de ternera</t>
  </si>
  <si>
    <t>Kg de farine</t>
  </si>
  <si>
    <t>kg of flour</t>
  </si>
  <si>
    <t>kg de harina</t>
  </si>
  <si>
    <t>Maigre de canard sauvage</t>
  </si>
  <si>
    <t>œufs</t>
  </si>
  <si>
    <t>eggs</t>
  </si>
  <si>
    <t>huevos</t>
  </si>
  <si>
    <t>Maigre de porc</t>
  </si>
  <si>
    <t>▲  C'est cette première valeur qu'Excel va utiliser</t>
  </si>
  <si>
    <t>▲  This first value is the one Excel will use</t>
  </si>
  <si>
    <t>▲  Este primer valor es el que usará Excel</t>
  </si>
  <si>
    <t xml:space="preserve"> Facultatif Produit de référence</t>
  </si>
  <si>
    <t>bœuf</t>
  </si>
  <si>
    <t xml:space="preserve"> Optional Reference product</t>
  </si>
  <si>
    <t>beef</t>
  </si>
  <si>
    <t xml:space="preserve"> Opcional Producto de referencia</t>
  </si>
  <si>
    <t>ternera</t>
  </si>
  <si>
    <t>Jus de cuisson</t>
  </si>
  <si>
    <t>Si vous estimez que les grammages sont trop ou pas assez copieux pour vos convives : modifiez vos portions ❿  Trop copieux :  augmentez - Pas assez copieux diminuez</t>
  </si>
  <si>
    <t>If you think the gram amounts are too generous or not generous enough for your guests: adjust your portions ❿  Too generous: increase — Not enough: decrease</t>
  </si>
  <si>
    <t>Si estima que los gramajes son demasiado o poco generosos para sus comensales: modifique sus porciones ❿  Demasiado generosos: aumente — Insuficientes: disminuya</t>
  </si>
  <si>
    <t>⑥  ajustez les décimales</t>
  </si>
  <si>
    <t>⓫</t>
  </si>
  <si>
    <t xml:space="preserve"> A dupliquer pour</t>
  </si>
  <si>
    <t xml:space="preserve"> To duplicate for</t>
  </si>
  <si>
    <t xml:space="preserve"> A duplicar para</t>
  </si>
  <si>
    <t xml:space="preserve">à vous de saisir la quantité </t>
  </si>
  <si>
    <t>you enter the quantity</t>
  </si>
  <si>
    <t>le toca introducir la cantidad</t>
  </si>
  <si>
    <t>▲  C'est la valeur saisie dans cette cellule  qu'Excel va utiliser pour  dupliquer la recette</t>
  </si>
  <si>
    <t>▲  It’s the value entered in this cell that Excel will use to duplicate the recipe</t>
  </si>
  <si>
    <t>▲  Es el valor introducido en esta celda el que Excel usará para duplicar la receta</t>
  </si>
  <si>
    <t>Matériels</t>
  </si>
  <si>
    <t>Temp°</t>
  </si>
  <si>
    <t>Action</t>
  </si>
  <si>
    <t>selon modèles vous pouvez avoir :</t>
  </si>
  <si>
    <t>depending on templates you may have:</t>
  </si>
  <si>
    <t>según modelos puede tener:</t>
  </si>
  <si>
    <t>Sauteuse</t>
  </si>
  <si>
    <t>rissolage viande</t>
  </si>
  <si>
    <t>Mode fonction &gt;</t>
  </si>
  <si>
    <t>chaleur sèche</t>
  </si>
  <si>
    <t xml:space="preserve"> Prix</t>
  </si>
  <si>
    <t>ne confondez pas prix au Kg et prix à la pièce</t>
  </si>
  <si>
    <t xml:space="preserve"> Price</t>
  </si>
  <si>
    <t>don’t confuse price per kg and price per piece</t>
  </si>
  <si>
    <t xml:space="preserve"> Precio</t>
  </si>
  <si>
    <t>no confunda precio por kg y precio por pieza</t>
  </si>
  <si>
    <t>Four</t>
  </si>
  <si>
    <t>préchauffage</t>
  </si>
  <si>
    <t>unitaire &gt;</t>
  </si>
  <si>
    <t>unitario &gt;</t>
  </si>
  <si>
    <t>Somme</t>
  </si>
  <si>
    <t>Sum</t>
  </si>
  <si>
    <t>Suma</t>
  </si>
  <si>
    <t>saisir la viande</t>
  </si>
  <si>
    <t>cuire la viande à coeur de + 95 / 97 °C</t>
  </si>
  <si>
    <t xml:space="preserve">  % Perte</t>
  </si>
  <si>
    <t xml:space="preserve">  % Loss</t>
  </si>
  <si>
    <t>Vapeur</t>
  </si>
  <si>
    <t>1 Kg de produit pert combien à l'épluchage ou au parage - au conditionnement etc..</t>
  </si>
  <si>
    <t>How much does 1 kg of product lose during peeling or trimming — in packaging, etc.</t>
  </si>
  <si>
    <t>Brut Équivalences arrondies</t>
  </si>
  <si>
    <t>Gross Rounded equivalents</t>
  </si>
  <si>
    <t>Bruto Equivalencias redondeadas</t>
  </si>
  <si>
    <t>Mixte</t>
  </si>
  <si>
    <t>Poids Bruts</t>
  </si>
  <si>
    <t>Gross weights</t>
  </si>
  <si>
    <t>Pesos brutos</t>
  </si>
  <si>
    <t>750 g</t>
  </si>
  <si>
    <t>Équivalences arrondies les poids supérieurs à 1 Kg sont exprimés en Kg</t>
  </si>
  <si>
    <t>Rounded equivalents weights above 1 kg are expressed in kg</t>
  </si>
  <si>
    <t>Equivalencias redondeadas los pesos superiores a 1 kg se expresan en kg</t>
  </si>
  <si>
    <t>les poids inférieurs à 1 Kg sont exprimés en g</t>
  </si>
  <si>
    <t>weights below 1 kg are expressed in g</t>
  </si>
  <si>
    <t>los pesos inferiores a 1 kg se expresan en g</t>
  </si>
  <si>
    <t>TABLEAU DE RECHERCHE  - LOOKUP_TABLE - TABLA_DE_BÚSQUEDA</t>
  </si>
  <si>
    <t>les Col.de 6 à 11 sont réservées aux poids</t>
  </si>
  <si>
    <t>Cols 6 to 11 are reserved for weights</t>
  </si>
  <si>
    <t>Las Cols. de 6 a 11 están reservadas a los pesos</t>
  </si>
  <si>
    <t>Mise en place</t>
  </si>
  <si>
    <t>déconditionnement</t>
  </si>
  <si>
    <t>légumerie</t>
  </si>
  <si>
    <t>plaquage</t>
  </si>
  <si>
    <t xml:space="preserve">parce que la Col.18 s'en sert pour conversion en g </t>
  </si>
  <si>
    <t>rissolage</t>
  </si>
  <si>
    <t>Si c’est un poids :</t>
  </si>
  <si>
    <t>If it’s a weight:</t>
  </si>
  <si>
    <t>Si es un peso:</t>
  </si>
  <si>
    <t>val ≥ 1 ⇒ affichage en kilogrammes (Kg) avec 3 décimales max.</t>
  </si>
  <si>
    <t>val ≥ 1 ⇒ display in kilograms (kg) with up to 3 decimals.</t>
  </si>
  <si>
    <t>val ≥ 1 ⇒ visualización en kilogramos (kg) con máx. 3 decimales.</t>
  </si>
  <si>
    <t>cuisson</t>
  </si>
  <si>
    <t>val &lt; 1 ⇒ conversion en grammes (g) et arrondi à l’entier, minimum 1 g.</t>
  </si>
  <si>
    <t>val &lt; 1 ⇒ convert to grams (g) and round to a whole number, minimum 1 g.</t>
  </si>
  <si>
    <t>val &lt; 1 ⇒ conversión a gramos (g) y redondeo al entero, mínimo 1 g.</t>
  </si>
  <si>
    <t>sauce réduction</t>
  </si>
  <si>
    <t>conditionnement</t>
  </si>
  <si>
    <t xml:space="preserve">+ 9 °C </t>
  </si>
  <si>
    <t>refroidissement température cible</t>
  </si>
  <si>
    <t>Liaison Chaude</t>
  </si>
  <si>
    <t xml:space="preserve">les Col.de 12 à 18 sont réservées aux volumes </t>
  </si>
  <si>
    <t>Cols 12 to 18 are reserved for volumes</t>
  </si>
  <si>
    <t>Las Cols. de 12 a 18 están reservadas a los volúmenes</t>
  </si>
  <si>
    <t>Liaison froide</t>
  </si>
  <si>
    <t>parce que la Col.18 s'en sert pour conversion en cl</t>
  </si>
  <si>
    <t>Si c’est un volume :</t>
  </si>
  <si>
    <t>If it’s a volume:</t>
  </si>
  <si>
    <t>Si es un volumen:</t>
  </si>
  <si>
    <t>val ≥ 1 ⇒ affichage en litres (L) avec 3 décimales max.</t>
  </si>
  <si>
    <t>val ≥ 1 ⇒ display in liters (L) with up to 3 decimals.</t>
  </si>
  <si>
    <t>val ≥ 1 ⇒ visualización en litros (L) con máx. 3 decimales.</t>
  </si>
  <si>
    <t>val &lt; 1 ⇒ conversion en centilitres (cl) et arrondi à l’entier, minimum 1 cl.</t>
  </si>
  <si>
    <t>val &lt; 1 ⇒ convert to centiliters (cl) and round to a whole number, minimum 1 cl.</t>
  </si>
  <si>
    <t>val &lt; 1 ⇒ conversión a centilitros (cl) y redondeo al entero, mínimo 1 cl.</t>
  </si>
  <si>
    <t>dans 1 contenant ▼</t>
  </si>
  <si>
    <t>Poulet 4/4 .12 Cuisses CRUES</t>
  </si>
  <si>
    <t>IMPORTANT</t>
  </si>
  <si>
    <t>IMPORTANTE</t>
  </si>
  <si>
    <t>Poulet 4/4.24 Cuisses petites CUITES</t>
  </si>
  <si>
    <t>les colonnes 2 à 5</t>
  </si>
  <si>
    <t>MAJUSCULE(GAUCHE(J12;1))&amp;" "&amp;J12&amp;" | "&amp;Q12&amp;"| "&amp;J14&amp;" "&amp;K14</t>
  </si>
  <si>
    <t>columns 2 to 5</t>
  </si>
  <si>
    <t>las columnas 2 a 5</t>
  </si>
  <si>
    <t>25 escalopes de volailles cuites 120g</t>
  </si>
  <si>
    <t>contiennent les informations utiles pour l'archivage et le fonctionnement des répertoires</t>
  </si>
  <si>
    <t>contain useful information for archiving and folder operation</t>
  </si>
  <si>
    <t>contienen la información útil para el archivo y el funcionamiento de los directorios</t>
  </si>
  <si>
    <t>GN 2/1 en polycarbonate</t>
  </si>
  <si>
    <t xml:space="preserve"> bac GN 2/1 H 100 inox plein</t>
  </si>
  <si>
    <t xml:space="preserve">25 Paupiettes de dindes 120g </t>
  </si>
  <si>
    <t xml:space="preserve"> bac GN 2/1 H 65 inox plein</t>
  </si>
  <si>
    <t>20 Tomates farcies</t>
  </si>
  <si>
    <t>GN 1/1 H 100 inox plein</t>
  </si>
  <si>
    <t xml:space="preserve">7.2 Kg Tartiflette </t>
  </si>
  <si>
    <t>GN 1/1 H 65 inox plein</t>
  </si>
  <si>
    <t xml:space="preserve"> 4 Kg Brandade de morue</t>
  </si>
  <si>
    <t xml:space="preserve"> 3 Kg Sauté en morceaux</t>
  </si>
  <si>
    <t>⓬  ▼ PROGRESSION PHASES</t>
  </si>
  <si>
    <t>⓬  ▼ FASES DE PROGRESIÓN</t>
  </si>
  <si>
    <t>bring the cream to a boil with the zests</t>
  </si>
  <si>
    <t>hervir la nata con las ralladuras</t>
  </si>
  <si>
    <t>cook like a pastry cream with the sugar, the yolks, and the cornstarch (maïzena)</t>
  </si>
  <si>
    <t>cocer como una crema pastelera con el azúcar, las yemas y la maicena</t>
  </si>
  <si>
    <t xml:space="preserve">NOMBRE DE PORTIONS  ET GRAMMAGES PORTIONS </t>
  </si>
  <si>
    <t>Professional use of recipes requires you to know hygiene and HACCP regulations.</t>
  </si>
  <si>
    <t>El uso profesional de las recetas le obliga a conocer la normativa de higiene y APPCC (HACCP).</t>
  </si>
  <si>
    <t>Ado</t>
  </si>
  <si>
    <t>A +</t>
  </si>
  <si>
    <t>Familles</t>
  </si>
  <si>
    <t>toujours citer la source ou ajouter un lien</t>
  </si>
  <si>
    <t>Author link @</t>
  </si>
  <si>
    <t>always cite the source or add a link</t>
  </si>
  <si>
    <t>Enlace Autor @</t>
  </si>
  <si>
    <t>citar siempre la fuente o añadir un enlace</t>
  </si>
  <si>
    <t>Nombre de portions résultats arrondis</t>
  </si>
  <si>
    <t>**</t>
  </si>
  <si>
    <t>Cost: 1* economical - 4**** luxury</t>
  </si>
  <si>
    <t>Costo: 1* económico - 4**** lujo</t>
  </si>
  <si>
    <t>Difficulty: 1* Easy - 4**** Difficult</t>
  </si>
  <si>
    <t>Dificultad: 1* Fácil - 4**** Difícil</t>
  </si>
  <si>
    <t>Primaires - P</t>
  </si>
  <si>
    <t>Adultes - A</t>
  </si>
  <si>
    <t>Prep time</t>
  </si>
  <si>
    <t>Tiempo de preparación</t>
  </si>
  <si>
    <t>Maternelles - M</t>
  </si>
  <si>
    <t>Adolescents - Ado</t>
  </si>
  <si>
    <t>saisissez vos valeurs cellules fond jaune</t>
  </si>
  <si>
    <t>Cooking time</t>
  </si>
  <si>
    <t>Tiempo de cocción</t>
  </si>
  <si>
    <t>Cooling time</t>
  </si>
  <si>
    <t>Tiempo de enfriado</t>
  </si>
  <si>
    <t>PACKAGING</t>
  </si>
  <si>
    <t>CONDICIONAMIENTO / ENVASADO</t>
  </si>
  <si>
    <t>Headcount ▼</t>
  </si>
  <si>
    <t>What ▼</t>
  </si>
  <si>
    <t>Efectivos ▼</t>
  </si>
  <si>
    <t>Qué ▼</t>
  </si>
  <si>
    <t>gastro 1/1</t>
  </si>
  <si>
    <t>GN 1/1</t>
  </si>
  <si>
    <t>&lt; Container</t>
  </si>
  <si>
    <t>&lt; Contenedor</t>
  </si>
  <si>
    <t>&lt; Quantité p.p.</t>
  </si>
  <si>
    <t>&lt; Qty per person</t>
  </si>
  <si>
    <t>&lt; Cantidad p.p.</t>
  </si>
  <si>
    <t xml:space="preserve"> CONDITIONNEMENT</t>
  </si>
  <si>
    <t>Saisissez l'effectif -la Quantité p.p. - Quoi - Quantité par contenant et le type de contenant</t>
  </si>
  <si>
    <t>&lt; weight per portion</t>
  </si>
  <si>
    <t>&lt; peso por ración</t>
  </si>
  <si>
    <t xml:space="preserve">Quantité </t>
  </si>
  <si>
    <t>Effectifs</t>
  </si>
  <si>
    <t>Quantité p.p.</t>
  </si>
  <si>
    <t>par Assiette(s)</t>
  </si>
  <si>
    <t>madeleine(s)</t>
  </si>
  <si>
    <t>Assiette(s)</t>
  </si>
  <si>
    <t>par portion</t>
  </si>
  <si>
    <t>le contenant peut-être un gastro - 1 plat - 1 louche - 1 barquette etc.</t>
  </si>
  <si>
    <t>ou quel grammage par portion</t>
  </si>
  <si>
    <t>or what weight per portion</t>
  </si>
  <si>
    <t>o qué gramaje por ración</t>
  </si>
  <si>
    <t>Saisissez vos effectifs</t>
  </si>
  <si>
    <t>Enter your headcounts</t>
  </si>
  <si>
    <t xml:space="preserve"> What? Enter Pieces - slices - portions - pieces - cherries etc.</t>
  </si>
  <si>
    <t>Introduzca sus efectivos</t>
  </si>
  <si>
    <t xml:space="preserve"> ¿Qué? Introduzca Trozos - rebanadas - raciones - piezas - cerezas etc.</t>
  </si>
  <si>
    <t xml:space="preserve">Quantité p.p. au choix ou les deux </t>
  </si>
  <si>
    <t>Qty per person of your choice or both</t>
  </si>
  <si>
    <t>the container enter GN pan(s) 1/1 - rack(s) - dish(es) - ladle(s) etc.</t>
  </si>
  <si>
    <t>Cantidad p.p. a elección o ambas</t>
  </si>
  <si>
    <t>el contenedor introduzca GN 1/1 - rejilla(s) - fuente(s) - cucharón(es) etc.</t>
  </si>
  <si>
    <t>combien de pièces par personne (tranches - louches- etc..)</t>
  </si>
  <si>
    <t>combien de tranches ou autre par contenant</t>
  </si>
  <si>
    <t>how many pieces per person (slices - ladles - etc.)</t>
  </si>
  <si>
    <t>how many slices or other per container</t>
  </si>
  <si>
    <t>cuántas piezas por persona (rebanadas - cucharones - etc.)</t>
  </si>
  <si>
    <t>cuántas rebanadas u otro por contenedor</t>
  </si>
  <si>
    <t>ou quel poids par contenant</t>
  </si>
  <si>
    <t>or what weight per container</t>
  </si>
  <si>
    <t>o qué peso por contenedor</t>
  </si>
  <si>
    <t>▲ ce texte " Adresse PC "   est important pour séparer les recettes dans la fiche répertoire</t>
  </si>
  <si>
    <t>▲ this text “PC Address” is important to separate recipes in the directory sheet</t>
  </si>
  <si>
    <t>▲ este texto “Dirección PC” es importante para separar las recetas en la hoja de directorio</t>
  </si>
  <si>
    <t>SI(SUPPRESPACE(Q255)="Adresse PC";"▼ recette suivante";SI(AH255&gt;0;M255;""))</t>
  </si>
  <si>
    <t>IF(TRIM(Q255)="PC Address","▼ next recipe",IF(AH255&gt;0,M255,""))</t>
  </si>
  <si>
    <t>SI(ESPACIOS(Q255)="Dirección PC","▼ receta siguiente",SI(AH255&gt;0,M255,""))</t>
  </si>
  <si>
    <t>Ligne 62 Cellule ICI</t>
  </si>
  <si>
    <t>vous avez plusieurs modèles à coller</t>
  </si>
  <si>
    <t>Line 62 Cell HERE</t>
  </si>
  <si>
    <t>you have several templates to paste</t>
  </si>
  <si>
    <t>Línea 62 Celda AQUÍ</t>
  </si>
  <si>
    <t>tiene varios modelos para pegar</t>
  </si>
  <si>
    <t>UTILITAIRES</t>
  </si>
  <si>
    <t>as a replacement Paste the add-ons if you need them</t>
  </si>
  <si>
    <t>en sustitución Pegue los complementos si los necesita</t>
  </si>
  <si>
    <t>POIDS BRUT</t>
  </si>
  <si>
    <t>PRIX D'ACHAT</t>
  </si>
  <si>
    <t>POIDS NET</t>
  </si>
  <si>
    <t>PRIX VENTE</t>
  </si>
  <si>
    <t>REASONED WORK ORGANIZATION</t>
  </si>
  <si>
    <t>ORGANIZACIÓN RAZONADA DEL TRABAJO</t>
  </si>
  <si>
    <t xml:space="preserve"> Poids de perte</t>
  </si>
  <si>
    <t>Augmentation</t>
  </si>
  <si>
    <t>check goods — quality — quantity — temperatures</t>
  </si>
  <si>
    <t>controlar las mercancías — calidad — cantidad — temperaturas</t>
  </si>
  <si>
    <t>%  de perte</t>
  </si>
  <si>
    <t>%  d'augmentation</t>
  </si>
  <si>
    <t>check use-by dates — note lot numbers or keep the labels</t>
  </si>
  <si>
    <t>verificar las fechas de caducidad — anotar los nº de lote o conservar las etiquetas</t>
  </si>
  <si>
    <t>%  de PERTE</t>
  </si>
  <si>
    <t>sanitize bags — piping bags — trays — boxes before opening</t>
  </si>
  <si>
    <t>desinfectar bolsas — mangas pasteleras — bandejas — cajas antes de abrir</t>
  </si>
  <si>
    <t>Poids net</t>
  </si>
  <si>
    <t>QUALITY APPROACH — RECIPE DEVELOPMENT AND IMPROVEMENT</t>
  </si>
  <si>
    <t>ENFOQUE DE CALIDAD — DESARROLLO Y MEJORA DE LAS RECETAS</t>
  </si>
  <si>
    <t>Description of the original recipe</t>
  </si>
  <si>
    <t>Descripción de la receta original</t>
  </si>
  <si>
    <t>First impressions about this recipe products-technique-price: what should we modify — can we serve it to all our customers — etc.</t>
  </si>
  <si>
    <t>Primeras impresiones sobre esta receta productos-técnica-precio: qué hay que modificar — ¿podemos servirla a todos nuestros clientes? — etc.</t>
  </si>
  <si>
    <t>Recipe tested by: MAURICE</t>
  </si>
  <si>
    <t>Receta probada por: MAURICE</t>
  </si>
  <si>
    <t>Modifications — adaptation — advice and suggestions:</t>
  </si>
  <si>
    <t>Modificaciones — adaptación — consejos y sugerencias:</t>
  </si>
  <si>
    <t>Trim any excess fat from the meat, pat it dry and rub it with seasoning or aromatic herbs of your choice. Cook it on a rack or on a mirepoix of roughly cut raw vegetables that lets air circulate around the meat. Once cooked, the mirepoix adds a delicious flavor to the sauce prepared from these roasting juices.</t>
  </si>
  <si>
    <t>Limpie la carne de todo exceso de grasa, séquela y frótela con el sazonado o las hierbas aromáticas de su elección. Cuézala sobre una rejilla o sobre una mirepoix de verduras crudas cortadas groseramente que permita circular el aire alrededor de la carne. Una vez cocida, la mirepoix aporta un sabor delicioso a la salsa preparada a partir de ese fondo de cocción.</t>
  </si>
  <si>
    <t>Max score per criterion = 3   RECIPE DEVELOPMENT AND IMPROVEMENT</t>
  </si>
  <si>
    <t>Nota máxima por criterio = 3   DESARROLLO Y MEJORA DE LAS RECETAS</t>
  </si>
  <si>
    <t>VISUAL / PRESENTATION</t>
  </si>
  <si>
    <t>The products or the recipe is/are:</t>
  </si>
  <si>
    <t>VISUAL / PRESENTACIÓN</t>
  </si>
  <si>
    <t>COOKING</t>
  </si>
  <si>
    <t>Good</t>
  </si>
  <si>
    <t>COCCIÓN</t>
  </si>
  <si>
    <t>Bueno</t>
  </si>
  <si>
    <t>TEXTURE</t>
  </si>
  <si>
    <t>not acceptable for our customers</t>
  </si>
  <si>
    <t>TEXTURA</t>
  </si>
  <si>
    <t>no aceptable para nuestros clientes</t>
  </si>
  <si>
    <t>for the entered criteria</t>
  </si>
  <si>
    <t>WELL</t>
  </si>
  <si>
    <t>para los criterios introducidos</t>
  </si>
  <si>
    <t>TOTAL obtained</t>
  </si>
  <si>
    <t>TOTAL obtenido</t>
  </si>
  <si>
    <t>MAX total to reach</t>
  </si>
  <si>
    <t>TOTAL máx. a alcanzar</t>
  </si>
  <si>
    <t>CONCLUSIÓN</t>
  </si>
  <si>
    <t>can we serve it to all our customers</t>
  </si>
  <si>
    <t>Acceptance</t>
  </si>
  <si>
    <t>Aceptación</t>
  </si>
  <si>
    <t>Partial or total refusal</t>
  </si>
  <si>
    <t>Rechazo parcial o total</t>
  </si>
  <si>
    <t>Rating: Good (3), Medium (2), Unsatisfactory (1) on  points.</t>
  </si>
  <si>
    <t>Valoración: Bien (3), Medio (2), No satisfactorio (1) sobre  puntos.</t>
  </si>
  <si>
    <t>Starter</t>
  </si>
  <si>
    <t>Main course</t>
  </si>
  <si>
    <t>Vegetable</t>
  </si>
  <si>
    <t>Entrada</t>
  </si>
  <si>
    <t>Plato</t>
  </si>
  <si>
    <t>Verdura</t>
  </si>
  <si>
    <t>Postre</t>
  </si>
  <si>
    <t>Flavor: salty-sweet-bitter-acid-metallic-strong-sour-pungent-bland-natural</t>
  </si>
  <si>
    <t>Sabor: salado-dulce-amargo-ácido-metálico-fuerte-agrio-acre-soso-natural</t>
  </si>
  <si>
    <t>Texture: tender-melt-in-the-mouth-soft-natural-grainy-fibrous-stringy-mealy-gelatinous-crispy</t>
  </si>
  <si>
    <t>Textura: tierna-fundente-esponjosa-natural-granulosa-fibrosa-acorazonada-harinosa-gelatinosa-crujiente</t>
  </si>
  <si>
    <t>Cooking: undercooked--good-done-overcooked-to be reviewed—Weights—% Loss before and after cooking—Cooking method etc.</t>
  </si>
  <si>
    <t>Cocción: poco hecho--bien-en su punto-pasado-a revisar—Gramajes—% Mermas antes y después de cocción—Modo de cocción etc.</t>
  </si>
  <si>
    <t>ETC…......</t>
  </si>
  <si>
    <t>FIN</t>
  </si>
  <si>
    <t>FR</t>
  </si>
  <si>
    <t>EN</t>
  </si>
  <si>
    <t>ES</t>
  </si>
  <si>
    <t>Circuito .1.2.5</t>
  </si>
  <si>
    <t>① le NOM DE LA RECETTE</t>
  </si>
  <si>
    <t>Recette mère ►MILLE-FEUILLE meringue et chiboust pamplemousse aux fraises des bois</t>
  </si>
  <si>
    <t>Master recipe ► MILLE-FEUILLE with meringue and grapefruit chiboust with wild strawberries</t>
  </si>
  <si>
    <t>Receta madre ► MILHOJAS con merengue y chiboust de pomelo con fresas del bosque</t>
  </si>
  <si>
    <t>⑤ Quoi</t>
  </si>
  <si>
    <t>tout ce qui n'est pas saisi dans la colonne ⑥ Poids ou Volume</t>
  </si>
  <si>
    <t>when you enter a value in ④ Quantity AND in ⑥ Weight or Volume</t>
  </si>
  <si>
    <t>cuando introduce un valor en ④ Cantidad Y en ⑥ Peso o Volumen</t>
  </si>
  <si>
    <t>de s'affiche automatiquement pour éviter toute confusion " 27 " " jaunes d'œufs"  "de"  " 20 g"</t>
  </si>
  <si>
    <t>1 demi part -</t>
  </si>
  <si>
    <t>③ Denrées</t>
  </si>
  <si>
    <t>③  Foodstuffs</t>
  </si>
  <si>
    <t>③  Géneros</t>
  </si>
  <si>
    <t>Vous pouvez également saisir la valeur 0 zéro pour un aliment allergène selon convives</t>
  </si>
  <si>
    <t>ou supprimer un ingrédient piment ou autres par exemple</t>
  </si>
  <si>
    <t>eraser</t>
  </si>
  <si>
    <t>◄  Si la colonne 11 est rouge, collez la "gomme"</t>
  </si>
  <si>
    <t>pour</t>
  </si>
  <si>
    <t>cette colonne vous permet de comparer les recettes .</t>
  </si>
  <si>
    <t>en fonction de vos convives vous estimez cette recette pour combien</t>
  </si>
  <si>
    <t>à vous de saisir la quantité</t>
  </si>
  <si>
    <t>unit &gt;</t>
  </si>
  <si>
    <t>¿Cuánto pierde 1 kg de producto en pelado o despiece — en acondicionamiento, etc.?</t>
  </si>
  <si>
    <t>⓬  ▼ PHASES DE PROGRESSION</t>
  </si>
  <si>
    <t>&lt; Contenant</t>
  </si>
  <si>
    <t>Quantité p.p. au choix ou les deux</t>
  </si>
  <si>
    <t>note Maxi par critère = 3   DÉVELOPPEMENT ET AMÉLIORATION DES RECETTES</t>
  </si>
  <si>
    <t>TOTAL maxi à atteindre</t>
  </si>
  <si>
    <t>¿podemos servirla a todos nuestros clientes?</t>
  </si>
  <si>
    <t>Los productos o la receta son/es:</t>
  </si>
  <si>
    <t>ETC……..</t>
  </si>
  <si>
    <t>▼</t>
  </si>
  <si>
    <t>PATISSERIE</t>
  </si>
  <si>
    <t>Cir.1.2.5</t>
  </si>
  <si>
    <t>Ingredients</t>
  </si>
  <si>
    <t>demi</t>
  </si>
  <si>
    <t>Ingredientes</t>
  </si>
  <si>
    <t>Quart</t>
  </si>
  <si>
    <t>Tiers</t>
  </si>
  <si>
    <t>Kg</t>
  </si>
  <si>
    <t>⓪①②③④⑤⑥⑦⑧⑨⑩⑪⑫⑬⑭⑮⑯⑰⑱⑲⑳</t>
  </si>
  <si>
    <t>⓿❶❷❸❹❺❻❼❽❾❿⓫⓬⓭⓮⓯⓰⓱⓲⓳⓴</t>
  </si>
  <si>
    <t>Filtres intelligents dans Excel</t>
  </si>
  <si>
    <t>https://excel-exercice.com/filtres-intelligents-dans-excel/</t>
  </si>
  <si>
    <t xml:space="preserve">Masquer une ligne ou une colonne sur Excel </t>
  </si>
  <si>
    <t>https://www.youtube.com/watch?v=q-52-9FshWw</t>
  </si>
  <si>
    <t>Astuces Excel</t>
  </si>
  <si>
    <t>https://www.youtube.com/@Astuces_Excel/videos</t>
  </si>
  <si>
    <t>Ce document est composé de :</t>
  </si>
  <si>
    <t>avec valeurs ou texte</t>
  </si>
  <si>
    <t xml:space="preserve">cellules vides </t>
  </si>
  <si>
    <t>lignes</t>
  </si>
  <si>
    <t>colonnes</t>
  </si>
  <si>
    <t>NAME OF YOUR RECIPE</t>
  </si>
  <si>
    <t>ARCHIVING AND FILING</t>
  </si>
  <si>
    <t xml:space="preserve"> Author &gt;</t>
  </si>
  <si>
    <t>▼  What?</t>
  </si>
  <si>
    <t>Master recipe ?</t>
  </si>
  <si>
    <t>Author’s weight (no coeff.)</t>
  </si>
  <si>
    <t>Your weights with coeff.</t>
  </si>
  <si>
    <t>of</t>
  </si>
  <si>
    <t>Cost: 1* budget – 4**** luxury</t>
  </si>
  <si>
    <t>⓬  ▼ PHASES OF PROGRESSION</t>
  </si>
  <si>
    <t>Difficulty: 1* easy – 4**** hard</t>
  </si>
  <si>
    <t>slices</t>
  </si>
  <si>
    <t>pack(s)</t>
  </si>
  <si>
    <t>The professional use of recipes requires you to know hygiene and HACCP regulations.</t>
  </si>
  <si>
    <t>&lt; weight per serving</t>
  </si>
  <si>
    <t>Circuito</t>
  </si>
  <si>
    <t>NOMBRE DE SU RECETA</t>
  </si>
  <si>
    <t>Altura de las filas: 21</t>
  </si>
  <si>
    <t>❾ Referencia del autor</t>
  </si>
  <si>
    <t>ARCHIVADO Y CLASIFICACIÓN</t>
  </si>
  <si>
    <t>Peso del autor (sin coef.)</t>
  </si>
  <si>
    <t>Sus pesos con coef.</t>
  </si>
  <si>
    <t>Costo: 1* económico – 4**** lujo</t>
  </si>
  <si>
    <t>⓬ ▼ FASES DE PROGRESIÓN</t>
  </si>
  <si>
    <t>Dificultad: 1* fácil – 4**** difícil</t>
  </si>
  <si>
    <t>⑧</t>
  </si>
  <si>
    <t>Tiempo de enfriamiento</t>
  </si>
  <si>
    <t>Qué? ▼</t>
  </si>
  <si>
    <t xml:space="preserve"> El uso profesional de las recetas implica conocer la normativa de higiene y HACCP.</t>
  </si>
  <si>
    <t>&lt; peso por porción</t>
  </si>
  <si>
    <t>0.000" Kg"</t>
  </si>
  <si>
    <t>0" %"</t>
  </si>
  <si>
    <t>Formule pour une séquence alphabétique horizontale allant au-delà de Z</t>
  </si>
  <si>
    <t>tranches</t>
  </si>
  <si>
    <t>FRANÇAIS</t>
  </si>
  <si>
    <t>ENGLISH</t>
  </si>
  <si>
    <t>ESPAÑOL</t>
  </si>
  <si>
    <t>🌍 Traduction du document – Pour les utilisateurs non francophones</t>
  </si>
  <si>
    <t>🌍 Document Translation – For Non►French Users</t>
  </si>
  <si>
    <t>🌍 Traducción del documento – Para usuarios no francófonos</t>
  </si>
  <si>
    <t>💡 Ce document est rédigé en français.</t>
  </si>
  <si>
    <t>💡 This document is written in French.</t>
  </si>
  <si>
    <t>💡 Este documento está redactado en francés.</t>
  </si>
  <si>
    <t>Si vous souhaitez le traduire dans votre langue, voici quelques méthodes simples :</t>
  </si>
  <si>
    <t>If you wish to translate it into your language, here are some simple methods:</t>
  </si>
  <si>
    <t>Si desea traducirlo a su idioma, aquí hay algunos métodos simples:</t>
  </si>
  <si>
    <t>✅ Méthode 1 : Utiliser Google Translate</t>
  </si>
  <si>
    <t>✅ Method 1: Use Google Translate</t>
  </si>
  <si>
    <t>✅ Método 1: Utilice Google Translate</t>
  </si>
  <si>
    <t>1. Sélectionnez le texte dans la feuille Excel (copiez 10–20 lignes à la fois maximum)</t>
  </si>
  <si>
    <t>1. Select the text in the Excel sheet (copy 10–20 rows at a time max)</t>
  </si>
  <si>
    <t>1. Seleccione el texto en la hoja de Excel (copie 10–20 filas como máximo)</t>
  </si>
  <si>
    <t>2. Allez sur https://translate.google.com</t>
  </si>
  <si>
    <t>2. Go to https://translate.google.com</t>
  </si>
  <si>
    <t>2. Vaya a https://translate.google.com</t>
  </si>
  <si>
    <t>https://translate.google.com</t>
  </si>
  <si>
    <t>3. Collez le texte et choisissez votre langue (anglais, espagnol, etc.)</t>
  </si>
  <si>
    <t>3. Paste the text and choose your language (English, Spanish, etc.)</t>
  </si>
  <si>
    <t>3. Pegue el texto y elija su idioma (inglés, español, etc.)</t>
  </si>
  <si>
    <t>✅ Méthode 2 : Utiliser Microsoft Excel (si vous avez Microsoft 365)</t>
  </si>
  <si>
    <t>✅ Method 2: Use Microsoft Excel (if you have Microsoft 365)</t>
  </si>
  <si>
    <t>✅ Método 2: Use Microsoft Excel (si tiene Microsoft 365)</t>
  </si>
  <si>
    <t>1. Sélectionnez les cellules à traduire</t>
  </si>
  <si>
    <t>1. Select the cells you want to translate</t>
  </si>
  <si>
    <t>1. Seleccione las celdas que desea traducir</t>
  </si>
  <si>
    <t>2. Menu Révision → Traduire</t>
  </si>
  <si>
    <t>2. Review tab → Translate</t>
  </si>
  <si>
    <t>2. Menú Revisar → Traducir</t>
  </si>
  <si>
    <t>3. Choisissez la langue souhaitée</t>
  </si>
  <si>
    <t>3. Choose your preferred language</t>
  </si>
  <si>
    <t>3. Elija el idioma deseado</t>
  </si>
  <si>
    <t>✅ Méthode 3 : Utiliser Deepl (plus précis que Google Translate)</t>
  </si>
  <si>
    <t>✅ Method 3: Use Deepl (more accurate than Google Translate)</t>
  </si>
  <si>
    <t>✅ Método 3: Use Deepl (más preciso que Google Translate)</t>
  </si>
  <si>
    <t>► Allez sur : https://www.deepl.com/translator</t>
  </si>
  <si>
    <t>► Go to: https://www.deepl.com/translator</t>
  </si>
  <si>
    <t>► Vaya a: https://www.deepl.com/translator</t>
  </si>
  <si>
    <t>https://www.deepl.com/translator</t>
  </si>
  <si>
    <t>► Collez le texte pour une traduction instantanée</t>
  </si>
  <si>
    <t>► Paste the text for instant translation</t>
  </si>
  <si>
    <t>► Pegue el texto para una traducción instantánea</t>
  </si>
  <si>
    <t>✳️ Astuce :</t>
  </si>
  <si>
    <t>✳️ Tip:</t>
  </si>
  <si>
    <t>✳️ Consejo:</t>
  </si>
  <si>
    <t>Vous pouvez aussi copier la fiche dans Word, puis utiliser :</t>
  </si>
  <si>
    <t>You can also copy the sheet into Word, then use:</t>
  </si>
  <si>
    <t>También puede copiar la hoja en Word y luego usar:</t>
  </si>
  <si>
    <t>Outils → Traduire → Traduire le document entier</t>
  </si>
  <si>
    <t>Tools → Translate → Translate entire document</t>
  </si>
  <si>
    <t>Herramientas → Traducir → Traducir todo el documento</t>
  </si>
  <si>
    <t xml:space="preserve">choisissez : vous avez soit la première lettre du nom de la recette ▼                  </t>
  </si>
  <si>
    <t xml:space="preserve">soit une concaténation de la famille avec des formules d'extraction▼                  </t>
  </si>
  <si>
    <t>Voici une petite liste je vous laisse le plaisir de modifier les couleurs à votre convenance</t>
  </si>
  <si>
    <t>j'ai saisi "Postit" parce que Post-it® est une marque déposée</t>
  </si>
  <si>
    <t>cuisine-crudité-CÉLÉRI BRANCHE</t>
  </si>
  <si>
    <t>Code couleur Rouge Vert Bleu RVB</t>
  </si>
  <si>
    <t>Couleur diététique</t>
  </si>
  <si>
    <t>CUISINE</t>
  </si>
  <si>
    <t>TRAITEUR</t>
  </si>
  <si>
    <t>CHARCUTERIE</t>
  </si>
  <si>
    <t>MODES DE CUISSON</t>
  </si>
  <si>
    <t>cuisine-plat-PROTÉINES</t>
  </si>
  <si>
    <t>cuisine-légumes-CUIDITES</t>
  </si>
  <si>
    <t>cuisine-légumes-CRUDITES</t>
  </si>
  <si>
    <t>cuisine-légumes-FÉCULENTS</t>
  </si>
  <si>
    <t>POISSONNERIE</t>
  </si>
  <si>
    <t>Batenders-BAR-BOISSONS</t>
  </si>
  <si>
    <t>R51-V153 B102</t>
  </si>
  <si>
    <t>Pour renvoyer un texte</t>
  </si>
  <si>
    <t>cuisine-ACCOMPAGNEMENTS</t>
  </si>
  <si>
    <t>pâtisserie--BAVAROIS</t>
  </si>
  <si>
    <t>traiteur-ROTIS-froids</t>
  </si>
  <si>
    <t xml:space="preserve"> charcuterie--GELEES</t>
  </si>
  <si>
    <t>cuisson--BRAISÉ</t>
  </si>
  <si>
    <t>cuisine-protéines-ABATS</t>
  </si>
  <si>
    <t>AGRUMES-comme -POMME PAMPLE.</t>
  </si>
  <si>
    <t>crudité-AGRUMES-POMME PAMPLE.</t>
  </si>
  <si>
    <t>cuisine-féculent-BLÉ</t>
  </si>
  <si>
    <t>Poissonnerie--COQUILLAGES</t>
  </si>
  <si>
    <t>BAR-Cocktails-avec alcool</t>
  </si>
  <si>
    <t>R153-V204 B0</t>
  </si>
  <si>
    <t>R0-V128 B0</t>
  </si>
  <si>
    <t xml:space="preserve"> a la ligne dans une cellule</t>
  </si>
  <si>
    <t>vous pouvez fusionner les cellules et renvoyer à la ligne automatiquement</t>
  </si>
  <si>
    <t>cuisine-COMPOSES-VERTS</t>
  </si>
  <si>
    <t>pâtisserie--BISCUITS</t>
  </si>
  <si>
    <t>traiteur-AMUSE-BOUCHE</t>
  </si>
  <si>
    <t>charcuterie-BOUDIN-BLANC</t>
  </si>
  <si>
    <t>cuisson--CONFIT</t>
  </si>
  <si>
    <t>cuisine-protéines-ABATTIS</t>
  </si>
  <si>
    <t>cuisine-cuidité-ARTICHAUT</t>
  </si>
  <si>
    <t>cuisine-crudité-AVOCAT</t>
  </si>
  <si>
    <t>cuisine-féculent-BOULGHOUR</t>
  </si>
  <si>
    <t>Poissonnerie--CRUSTACÉS</t>
  </si>
  <si>
    <t>BAR-Cocktails-sans alcool</t>
  </si>
  <si>
    <t>R128-V0-B0</t>
  </si>
  <si>
    <t>R0-V255 B0</t>
  </si>
  <si>
    <t>MAIS VOUS POUVEZ AUSSI</t>
  </si>
  <si>
    <t>BOEUF
VB = Viandede bœuf</t>
  </si>
  <si>
    <t>cuisine--CRUDITES</t>
  </si>
  <si>
    <t>pâtisserie--CHARLOTES</t>
  </si>
  <si>
    <t>traiteur--ASPICS</t>
  </si>
  <si>
    <t xml:space="preserve"> charcuterie-BOUDIN-NOIR</t>
  </si>
  <si>
    <t>cuisson--FRIT</t>
  </si>
  <si>
    <t>cuisine-protéines-AGNEAU</t>
  </si>
  <si>
    <t>cuisine-cuidité-ASPERGES</t>
  </si>
  <si>
    <t>cuisine-crudité-BETTERAVES</t>
  </si>
  <si>
    <t>cuisine-féculent-FÉVES</t>
  </si>
  <si>
    <t>Poissonnerie--POISSON ENTIER</t>
  </si>
  <si>
    <t>BAR-Boissons-boissons chaudes</t>
  </si>
  <si>
    <t>R255-V0 B255</t>
  </si>
  <si>
    <t>R255-V153 B204</t>
  </si>
  <si>
    <t xml:space="preserve">Insérer un saut de ligne </t>
  </si>
  <si>
    <t>cuisine--CUIDITES</t>
  </si>
  <si>
    <t>pâtisserie--CHOCOLATS</t>
  </si>
  <si>
    <t>traiteur--CANAPÉS</t>
  </si>
  <si>
    <t xml:space="preserve"> charcuterie--GIBIER</t>
  </si>
  <si>
    <t>cuisson--FUMÉ</t>
  </si>
  <si>
    <t>cuisine-protéines-BŒUF</t>
  </si>
  <si>
    <t>cuisine-cuidité-BETTERAVES</t>
  </si>
  <si>
    <t>cuisine-crudité-CAROTTES</t>
  </si>
  <si>
    <t>cuisine-féculent-FÉVETTES</t>
  </si>
  <si>
    <t>Poissonnerie--Filets / Portions</t>
  </si>
  <si>
    <t>BAR-Boissons-boissons froides</t>
  </si>
  <si>
    <t>R255-V102 B0</t>
  </si>
  <si>
    <t>R50-V204 B255</t>
  </si>
  <si>
    <t>dans la cellule</t>
  </si>
  <si>
    <t>1. Double-cliquez sur la</t>
  </si>
  <si>
    <t xml:space="preserve"> cellule dans laquelle </t>
  </si>
  <si>
    <t>cuisine-DESSERT-ASSIETTE</t>
  </si>
  <si>
    <t>pâtisserie--CONFISERIES</t>
  </si>
  <si>
    <t>traiteur-CHAUD-FROID</t>
  </si>
  <si>
    <t xml:space="preserve"> charcuterie--LAPIN</t>
  </si>
  <si>
    <t>cuisson--GRILLÉ</t>
  </si>
  <si>
    <t>cuisine-protéines-CAILLES</t>
  </si>
  <si>
    <t>cuisine-cuidité-CAROTTES</t>
  </si>
  <si>
    <t>cuisine-féculent-H. COCOS</t>
  </si>
  <si>
    <t>Poissonnerie--Charcuterie de la Mer</t>
  </si>
  <si>
    <t>BAR-CAFES-cafés</t>
  </si>
  <si>
    <t>R255-V0 B0</t>
  </si>
  <si>
    <t>R255-V204 B0</t>
  </si>
  <si>
    <t xml:space="preserve">vous voulez insérer une </t>
  </si>
  <si>
    <t>coupure de ligne</t>
  </si>
  <si>
    <t xml:space="preserve">2. Cliquez à l’emplacement </t>
  </si>
  <si>
    <t>cuisine--DESSERTS</t>
  </si>
  <si>
    <t>traiteur-ENTRÉE-FROIDE</t>
  </si>
  <si>
    <t xml:space="preserve"> charcuterie-PURE-VOLAILLE </t>
  </si>
  <si>
    <t>cuisson--NATURE</t>
  </si>
  <si>
    <t>cuisine-protéines-CANARD</t>
  </si>
  <si>
    <t>cuisine-cuidité-CÉLÉRI BRANCHE</t>
  </si>
  <si>
    <t>cuisine-crudité-CÉLÉRI RAVE</t>
  </si>
  <si>
    <t>cuisine-féculent-H. FLAGEOLETS</t>
  </si>
  <si>
    <t>Poissonnerie--FUMAISONS</t>
  </si>
  <si>
    <t>BAR-THE-thés</t>
  </si>
  <si>
    <t>R0-V0 B255</t>
  </si>
  <si>
    <t xml:space="preserve">où vous souhaitez couper </t>
  </si>
  <si>
    <t>la ligne.</t>
  </si>
  <si>
    <t xml:space="preserve">3. Appuyez sur Alt+Entrée </t>
  </si>
  <si>
    <t>cuisine--ENTRÉES</t>
  </si>
  <si>
    <t>pâtisserie-ENTREMET-GÉNOISE</t>
  </si>
  <si>
    <t>traiteur-ENTRÉE-CHAUDE</t>
  </si>
  <si>
    <t xml:space="preserve"> charcuterie--GALANTINE</t>
  </si>
  <si>
    <t>cuisson--PAPILLOTES</t>
  </si>
  <si>
    <t>cuisine-protéines-CHARCUTERIES</t>
  </si>
  <si>
    <t>cuisine-cuidité-CÉLÉRI RAVE</t>
  </si>
  <si>
    <t>cuisine-crudité-CHAMPIGNONS</t>
  </si>
  <si>
    <t>cuisine-féculent-H. NOIRS</t>
  </si>
  <si>
    <t>Poissonnerie--MARINADES &amp; SALAISONS</t>
  </si>
  <si>
    <t>BAR--JUS-Jus &amp; pressés</t>
  </si>
  <si>
    <t>R255-V204 B153</t>
  </si>
  <si>
    <t>R153-V204 B255</t>
  </si>
  <si>
    <t xml:space="preserve">pour insérer le break </t>
  </si>
  <si>
    <t>de ligne.</t>
  </si>
  <si>
    <t>cuisine--ENTREMET</t>
  </si>
  <si>
    <t>pâtisserie--GANACHE</t>
  </si>
  <si>
    <t>traiteur-FOIE-GRAS</t>
  </si>
  <si>
    <t xml:space="preserve"> charcuterie--MORTADELLE</t>
  </si>
  <si>
    <t>cuisson--POCHÉ</t>
  </si>
  <si>
    <t>cuisine-protéines-COQUILLAGES</t>
  </si>
  <si>
    <t>cuisine-cuidité-CHAMPIGNONS</t>
  </si>
  <si>
    <t>cuisine-crudité-CHOU BLANC</t>
  </si>
  <si>
    <t>cuisine-féculent-H. ROUGES</t>
  </si>
  <si>
    <t>Poissonnerie--Tatrtares &amp; Ceviches</t>
  </si>
  <si>
    <t>BAR--Smoothies</t>
  </si>
  <si>
    <t>R204-V153 B255</t>
  </si>
  <si>
    <t>R0-V102 B204</t>
  </si>
  <si>
    <t>cuisine--FECULENTS</t>
  </si>
  <si>
    <t>pâtisserie--GATEAU</t>
  </si>
  <si>
    <t>traiteur-HORS-D'ŒUVRE</t>
  </si>
  <si>
    <t xml:space="preserve"> charcuterie-PATE-CAMPAGNE</t>
  </si>
  <si>
    <t>cuisson--POELLÉ</t>
  </si>
  <si>
    <t>cuisine-protéines-CRUSTACÉS</t>
  </si>
  <si>
    <t>cuisine-cuidité-CHOU BLANC</t>
  </si>
  <si>
    <t>cuisine-crudité-CHOU ROUGE</t>
  </si>
  <si>
    <t>cuisine-féculent-H. SOISSON</t>
  </si>
  <si>
    <t>Poissonnerie--Soupes &amp; Bisques</t>
  </si>
  <si>
    <t>BAR--Sodas &amp; limonades</t>
  </si>
  <si>
    <t>cuisine--GOUTER</t>
  </si>
  <si>
    <t>pâtisserie--MERINGUE</t>
  </si>
  <si>
    <t>traiteur-PATISSERIE-TRAITEUR</t>
  </si>
  <si>
    <t xml:space="preserve"> charcuterie-PATÉ DE-FOIE </t>
  </si>
  <si>
    <t>cuisson--RÂGOUTS</t>
  </si>
  <si>
    <t>cuisine-protéines-DINDE</t>
  </si>
  <si>
    <t>cuisine-cuidité-CHOU ROUGE</t>
  </si>
  <si>
    <t>cuisine-crudité-CHOUX BROCOLIS</t>
  </si>
  <si>
    <t>cuisine-féculent-H.BLANCS</t>
  </si>
  <si>
    <t>Poissonnerie--Préparations de base</t>
  </si>
  <si>
    <t>BAR--Sirops &amp; shrubs</t>
  </si>
  <si>
    <t>cuisine-LAITAGES-+FECULENTS</t>
  </si>
  <si>
    <t>pâtisserie--MOUSSES</t>
  </si>
  <si>
    <t>traiteur-SALADE-COMPOSÉE</t>
  </si>
  <si>
    <t xml:space="preserve"> charcuterie--QUENELLES</t>
  </si>
  <si>
    <t>cuisson--RÔTI</t>
  </si>
  <si>
    <t>cuisine-protéines-FARCES</t>
  </si>
  <si>
    <t>cuisine-cuidité-CHOUX BROCOLIS</t>
  </si>
  <si>
    <t>cuisine-crudité-CHOUX CHINOIS</t>
  </si>
  <si>
    <t>cuisine-féculent-LENTILLES</t>
  </si>
  <si>
    <t>Poissonnerie--Sauces &amp; Beurres</t>
  </si>
  <si>
    <t xml:space="preserve">BAR--Punchs </t>
  </si>
  <si>
    <t>cuisine-LAITAGES-FROMAGES</t>
  </si>
  <si>
    <t>pâtisserie-PATE A-BRIOCHE</t>
  </si>
  <si>
    <t>traiteur-SALADE-SIMPLE</t>
  </si>
  <si>
    <t xml:space="preserve"> charcuterie--RILLETTES</t>
  </si>
  <si>
    <t>cuisson--SAUMURÉ</t>
  </si>
  <si>
    <t>cuisine-protéines-GIBIER À PLUMES</t>
  </si>
  <si>
    <t>cuisine-cuidité-CHOUX BRUXELLES</t>
  </si>
  <si>
    <t>cuisine-crudité-CHOUX FLEUR</t>
  </si>
  <si>
    <t>cuisine-féculent-MAÏS</t>
  </si>
  <si>
    <t>Poissonnerie--CABILLAUD</t>
  </si>
  <si>
    <t>BAR-Fermentées-(kefir, kombucha)</t>
  </si>
  <si>
    <t>cuisine--PATISSERIES</t>
  </si>
  <si>
    <t>pâtisserie-PATE A-CROISSANTS</t>
  </si>
  <si>
    <t>traiteur-SAUCE-CHAUDE</t>
  </si>
  <si>
    <t xml:space="preserve"> charcuterie--RILLONS</t>
  </si>
  <si>
    <t>cuisson-SAUTÉ-AVEC SAUCE</t>
  </si>
  <si>
    <t>cuisine-protéines-GIBIER À POIL</t>
  </si>
  <si>
    <t>cuisine-cuidité-CHOUX CHINOIS</t>
  </si>
  <si>
    <t>cuisine-crudité-CHOUX ROMANESCO</t>
  </si>
  <si>
    <t>cuisine-féculent-P.TERRE</t>
  </si>
  <si>
    <t>Poissonnerie--SAUMON</t>
  </si>
  <si>
    <t>BAR--Detox</t>
  </si>
  <si>
    <t>cuisine-PLAT-PRINCIPAL</t>
  </si>
  <si>
    <t>pâtisserie-PATE -FEUILLETÉE</t>
  </si>
  <si>
    <t>traiteur-SAUCE-EMULSIONNÉE CHAUDE</t>
  </si>
  <si>
    <t xml:space="preserve"> charcuterie--ROULADE</t>
  </si>
  <si>
    <t>cuisson-SAUTÉ-SANS SAUCE</t>
  </si>
  <si>
    <t>cuisine-protéines-JUS / BOUILLON</t>
  </si>
  <si>
    <t>cuisine-cuidité-CHOUX DE MILAN</t>
  </si>
  <si>
    <t>cuisine-crudité-CONCOMBRES</t>
  </si>
  <si>
    <t>cuisine-féculent-PÂTES</t>
  </si>
  <si>
    <t>Poissonnerie--THON</t>
  </si>
  <si>
    <t>BAR--Fruité</t>
  </si>
  <si>
    <t>cuisine-PLATS-COMPLETS</t>
  </si>
  <si>
    <t>pâtisserie-PATE A-PAIN</t>
  </si>
  <si>
    <t>traiteur-SAUCE FROIDE</t>
  </si>
  <si>
    <t xml:space="preserve"> charcuterie--SAUCISSE </t>
  </si>
  <si>
    <t>cuisson--VAPEUR</t>
  </si>
  <si>
    <t>cuisine-protéines-LAPIN</t>
  </si>
  <si>
    <t>cuisine-cuidité-CHOUX FLEUR</t>
  </si>
  <si>
    <t>cuisine-crudité-COURGETTES</t>
  </si>
  <si>
    <t>cuisine-féculent-POIS CHICHES</t>
  </si>
  <si>
    <t>Poissonnerie--DORADE</t>
  </si>
  <si>
    <t>BAR--Crémeux</t>
  </si>
  <si>
    <t>cuisine-POISSONS</t>
  </si>
  <si>
    <t>pâtisserie-PATE-PAIN DE MIE</t>
  </si>
  <si>
    <t>traiteur-TERRINE DE-LÉGUMES</t>
  </si>
  <si>
    <t xml:space="preserve"> charcuterie-SAUCISSON DE-FOIE</t>
  </si>
  <si>
    <t>cuisine-protéines-MOUTON</t>
  </si>
  <si>
    <t>cuisine-cuidité-CHOUX ROMANESCO</t>
  </si>
  <si>
    <t>cuisine-crudité-ENDIVES</t>
  </si>
  <si>
    <t>cuisine-féculent-POLENTA</t>
  </si>
  <si>
    <t>Poissonnerie--MERLU</t>
  </si>
  <si>
    <t>BAR--Classiques</t>
  </si>
  <si>
    <t>cuisine-PREPARATIONS-CHAUDES</t>
  </si>
  <si>
    <t>pâtisserie-PATE A-SAVARIN</t>
  </si>
  <si>
    <t>traiteur-TERRINE DE-POISSON</t>
  </si>
  <si>
    <t xml:space="preserve"> charcuterie--ABATS</t>
  </si>
  <si>
    <t>cuisine-protéines-ŒUFS</t>
  </si>
  <si>
    <t>cuisine-cuidité-CŒUR DE PALMIER</t>
  </si>
  <si>
    <t>cuisine-crudité-EPINARDS</t>
  </si>
  <si>
    <t>cuisine-féculent-RIZ</t>
  </si>
  <si>
    <t>Poissonnerie--LIEU</t>
  </si>
  <si>
    <t>BAR--Signatures</t>
  </si>
  <si>
    <t>cuisine--VIANDES</t>
  </si>
  <si>
    <t>pâtisserie-PATE-LEVÉE</t>
  </si>
  <si>
    <t>traiteur-TERRINE DE-VIANDE</t>
  </si>
  <si>
    <t xml:space="preserve"> charcuterie--CONFIT</t>
  </si>
  <si>
    <t>cuisine-protéines-POISSON</t>
  </si>
  <si>
    <t>cuisine-cuidité-CONCOMBRES</t>
  </si>
  <si>
    <t>cuisine-crudité-FENOUIL</t>
  </si>
  <si>
    <t>cuisine-féculent-RUTABAGA</t>
  </si>
  <si>
    <t>Poissonnerie--FRAIS (JOUR)</t>
  </si>
  <si>
    <t>BAR--Short</t>
  </si>
  <si>
    <t>cuisine--VOLAILLES</t>
  </si>
  <si>
    <t>pâtisserie-PATE-SÈCHE</t>
  </si>
  <si>
    <t>traiteur-TERRINE DE-VOLAILLE</t>
  </si>
  <si>
    <t xml:space="preserve"> charcuterie--Pâtés</t>
  </si>
  <si>
    <t>cuisine-protéines-PORC</t>
  </si>
  <si>
    <t>cuisine-cuidité-COURGE</t>
  </si>
  <si>
    <t>cuisine-crudité-NAVETS</t>
  </si>
  <si>
    <t>cuisine-féculent-SEMOULE</t>
  </si>
  <si>
    <t>Poissonnerie--SURGELÉ</t>
  </si>
  <si>
    <t>BAR--Long</t>
  </si>
  <si>
    <t>cuisine--POTAGE</t>
  </si>
  <si>
    <t>pâtisserie-PATE-SUCRÉE</t>
  </si>
  <si>
    <t>traiteur-Bouchées-apéritif</t>
  </si>
  <si>
    <t xml:space="preserve"> charcuterie--TERRINES</t>
  </si>
  <si>
    <t>cuisine-protéines-POULE</t>
  </si>
  <si>
    <t>cuisine-cuidité-COURGETTES</t>
  </si>
  <si>
    <t>cuisine-crudité-OIGNONS</t>
  </si>
  <si>
    <t>cuisine-féculent-TOPINAMBOUR</t>
  </si>
  <si>
    <t>Poissonnerie--FARCI</t>
  </si>
  <si>
    <t>BAR--Punchs</t>
  </si>
  <si>
    <t>cuisine--ŒUFS</t>
  </si>
  <si>
    <t>pâtisserie-PATES-A….</t>
  </si>
  <si>
    <t>traiteur-Buffet-froid</t>
  </si>
  <si>
    <t>cuisine-protéines-POULET</t>
  </si>
  <si>
    <t>cuisine-cuidité-CROSNE</t>
  </si>
  <si>
    <t>cuisine-crudité-POIVRONS JAUNES</t>
  </si>
  <si>
    <t>cuisine--CRUSTACÉS</t>
  </si>
  <si>
    <t>pâtisserie-PATES-DE-FRUITS</t>
  </si>
  <si>
    <t>traiteur-Buffet-chaud</t>
  </si>
  <si>
    <t xml:space="preserve"> charcuterie--SAUCISSES (boyau)</t>
  </si>
  <si>
    <t>cuisine-protéines-VEAU</t>
  </si>
  <si>
    <t>cuisine-cuidité-ENDIVES</t>
  </si>
  <si>
    <t>cuisine-crudité-POIVRONS ROUGES</t>
  </si>
  <si>
    <t>cuisine--SAUTÉ</t>
  </si>
  <si>
    <t>pâtisserie-PETITS-FOURS</t>
  </si>
  <si>
    <t>traiteur-Salades-composées</t>
  </si>
  <si>
    <t xml:space="preserve"> charcuterie--Jambons &amp; salaisons</t>
  </si>
  <si>
    <t>cuisine-cuidité-EPINARDS</t>
  </si>
  <si>
    <t>cuisine-crudité-POIVRONS VERTS</t>
  </si>
  <si>
    <t>cuisine--RAGOUT</t>
  </si>
  <si>
    <t>pâtisserie--PUDDING</t>
  </si>
  <si>
    <t>traiteur--VERRINES</t>
  </si>
  <si>
    <t xml:space="preserve"> charcuterie--BALLOTINES</t>
  </si>
  <si>
    <t>cuisine-cuidité-FENOUIL</t>
  </si>
  <si>
    <t>cuisine-crudité-RADIS NOIRS</t>
  </si>
  <si>
    <t>cuisine--GRATIN</t>
  </si>
  <si>
    <t>pâtisserie--Viennoiseries</t>
  </si>
  <si>
    <t>traiteur--FEUILLETES</t>
  </si>
  <si>
    <t xml:space="preserve"> charcuterie--ASPICS</t>
  </si>
  <si>
    <t>cuisine-cuidité-NAVETS</t>
  </si>
  <si>
    <t>cuisine-crudité-RADIS ROSES</t>
  </si>
  <si>
    <t>cuisine--PORC</t>
  </si>
  <si>
    <t>pâtisserie--Tartes</t>
  </si>
  <si>
    <t>traiteur--QUICHES</t>
  </si>
  <si>
    <t xml:space="preserve"> charcuterie--Fromage de tête</t>
  </si>
  <si>
    <t>cuisine-cuidité-OIGNONS</t>
  </si>
  <si>
    <t>cuisine-crudité-SAL.BATAVIA</t>
  </si>
  <si>
    <t>cuisine--VEAU</t>
  </si>
  <si>
    <t>pâtisserie--Macarons</t>
  </si>
  <si>
    <t>traiteur--PLATS</t>
  </si>
  <si>
    <t xml:space="preserve"> charcuterie--CONFITS</t>
  </si>
  <si>
    <t>cuisine-cuidité-PATISSON</t>
  </si>
  <si>
    <t>cuisine-crudité-SAL.CHICORÉE</t>
  </si>
  <si>
    <t>cuisine--AGNEAU</t>
  </si>
  <si>
    <t>pâtisserie--Chocolaterie</t>
  </si>
  <si>
    <t>traiteur--GARNITURES</t>
  </si>
  <si>
    <t xml:space="preserve"> charcuterie--FUMAISONS</t>
  </si>
  <si>
    <t>cuisine-cuidité-POIVRONS JAUNES</t>
  </si>
  <si>
    <t>cuisine-crudité-SAL.CRESSON</t>
  </si>
  <si>
    <t>pâtisserie--Crèmes &amp; mousses</t>
  </si>
  <si>
    <t xml:space="preserve"> charcuterie--GRATTONS</t>
  </si>
  <si>
    <t>cuisine-cuidité-POIVRONS ROUGES</t>
  </si>
  <si>
    <t>cuisine-crudité-SAL.ENDIVE</t>
  </si>
  <si>
    <t>pâtisserie--Pâtes de base</t>
  </si>
  <si>
    <t>cuisine-cuidité-POIVRONS VERTS</t>
  </si>
  <si>
    <t>cuisine-crudité-SAL.FEUILLE DE CHÊNE</t>
  </si>
  <si>
    <t>pâtisserie--Bûches</t>
  </si>
  <si>
    <t>cuisine-cuidité-POTIRON</t>
  </si>
  <si>
    <t>cuisine-crudité-SAL.FRISÉE</t>
  </si>
  <si>
    <t>pâtisserie--Petits fours</t>
  </si>
  <si>
    <t>cuisine-cuidité-POUSSES DE BAMBOU</t>
  </si>
  <si>
    <t>cuisine-crudité-SAL.ICEBERG</t>
  </si>
  <si>
    <t>pâtisserie--Glacerie</t>
  </si>
  <si>
    <t>cuisine-cuidité-RADIS NOIRS</t>
  </si>
  <si>
    <t>cuisine-crudité-SAL.KRISETTE</t>
  </si>
  <si>
    <t>pâtisserie--Décors</t>
  </si>
  <si>
    <t>cuisine-cuidité-RADIS ROSES</t>
  </si>
  <si>
    <t>cuisine-crudité-SAL.LAITUE</t>
  </si>
  <si>
    <t>cuisine-cuidité-SALADE</t>
  </si>
  <si>
    <t>cuisine-crudité-SAL.LOLA ROSA</t>
  </si>
  <si>
    <t>cuisine-cuidité-SALSIFIS</t>
  </si>
  <si>
    <t>cuisine-crudité-SAL.MÂCHE</t>
  </si>
  <si>
    <t>cuisine-cuidité-SOJA</t>
  </si>
  <si>
    <t>cuisine-crudité-SAL.MESCLUN</t>
  </si>
  <si>
    <t>cuisine-cuidité-TOMATES CERISES</t>
  </si>
  <si>
    <t>cuisine-crudité-SAL.PISSENLIT</t>
  </si>
  <si>
    <t>cuisine-cuidité-TOMATES MARMANDE</t>
  </si>
  <si>
    <t>cuisine-crudité-SAL.ROMAINE</t>
  </si>
  <si>
    <t>cuisine-cuidité-TOMATES OLIVETTE</t>
  </si>
  <si>
    <t>cuisine-crudité-SAL.SCAROLE</t>
  </si>
  <si>
    <t>cuisine-cuidité-TOMATES ROMAINE</t>
  </si>
  <si>
    <t>cuisine-crudité-SAL.TRÉVISE</t>
  </si>
  <si>
    <t>cuisine-crudité-SALADE</t>
  </si>
  <si>
    <t>SALADES COMPOSÉES</t>
  </si>
  <si>
    <t>cuisine-crudité-SALSIFIS</t>
  </si>
  <si>
    <t>cuisine-crudité-SOJA</t>
  </si>
  <si>
    <t>cuisine-crudité-TOMATES</t>
  </si>
  <si>
    <t>cuisine-crudité-TOMATES CERISES</t>
  </si>
  <si>
    <t>cuisine-crudité-TOMATES MARMANDE</t>
  </si>
  <si>
    <t>cuisine-crudité-TOMATES OLIVETTE</t>
  </si>
  <si>
    <t>cuisine-crudité-TOMATES ROMAINE</t>
  </si>
  <si>
    <t>IDENTIFICATION  DES CADRES ET DES "POSTITS" RECETTES  le tiret  - ou le double  --  du 6 sert,servent de séparateur(s) pour la formule d'extraction</t>
  </si>
  <si>
    <t>Autre méthode , utilisez ChatGPT</t>
  </si>
  <si>
    <t>Another method: use ChatGPT.</t>
  </si>
  <si>
    <t>Otro método: use ChatGPT.</t>
  </si>
  <si>
    <t>Row height 21 21</t>
  </si>
  <si>
    <t>Do not translate =</t>
  </si>
  <si>
    <t>cuarto(s) kg</t>
  </si>
  <si>
    <t>tercio(s) kg</t>
  </si>
  <si>
    <t>medio(s) kg</t>
  </si>
  <si>
    <t>medio/L</t>
  </si>
  <si>
    <t>tercio/L</t>
  </si>
  <si>
    <t>quinto/L</t>
  </si>
  <si>
    <t>onza (oz)</t>
  </si>
  <si>
    <t>Taza(s).harina</t>
  </si>
  <si>
    <t>vacío</t>
  </si>
  <si>
    <t>Taza(s).azúcar</t>
  </si>
  <si>
    <t>Taza(s).mantequilla</t>
  </si>
  <si>
    <t>Taza.líquido</t>
  </si>
  <si>
    <t>Bol(es)</t>
  </si>
  <si>
    <t>cucharadita(s)</t>
  </si>
  <si>
    <t>cucharilla(s) de té</t>
  </si>
  <si>
    <t>cucharada(s) (sopera)</t>
  </si>
  <si>
    <t>décimo/L</t>
  </si>
  <si>
    <t>Vaso(s)</t>
  </si>
  <si>
    <t>Gota(s)</t>
  </si>
  <si>
    <t>quarter(s) kg</t>
  </si>
  <si>
    <t>third(s) kg</t>
  </si>
  <si>
    <t>half/halves kg</t>
  </si>
  <si>
    <t>half/L</t>
  </si>
  <si>
    <t>third/L</t>
  </si>
  <si>
    <t>fifth/L</t>
  </si>
  <si>
    <t>Cup(s).flour</t>
  </si>
  <si>
    <t>empty</t>
  </si>
  <si>
    <t>Cup(s).sugar</t>
  </si>
  <si>
    <t>Cup(s).butter</t>
  </si>
  <si>
    <t>Bowl(s)</t>
  </si>
  <si>
    <t>teaspoon(s)</t>
  </si>
  <si>
    <t>tea spoon(s)</t>
  </si>
  <si>
    <t>tablespoon(s)</t>
  </si>
  <si>
    <t>tenth/L</t>
  </si>
  <si>
    <t>Glass(es)</t>
  </si>
  <si>
    <t>Dash(es</t>
  </si>
  <si>
    <t>persona</t>
  </si>
  <si>
    <t>tajadas</t>
  </si>
  <si>
    <t>NOM DE VOTRE RECETTE</t>
  </si>
  <si>
    <t>FAMILLE--Identité</t>
  </si>
  <si>
    <t>quarter/L</t>
  </si>
  <si>
    <t>cuarto/L</t>
  </si>
  <si>
    <t>(fluid cup)</t>
  </si>
  <si>
    <t>IMPORTANT :</t>
  </si>
  <si>
    <t>IMPORTANTE:</t>
  </si>
  <si>
    <t>Title block: placeholder for the title and control cells, located at the top of the document.</t>
  </si>
  <si>
    <t>Bloque de título: espacio reservado para el título y las celdas de control, situado en la parte superior del documento.</t>
  </si>
  <si>
    <t>collez la--FAMILLE</t>
  </si>
  <si>
    <t>paste it — FAMILY</t>
  </si>
  <si>
    <t>pegue esto — FAMILIA</t>
  </si>
  <si>
    <t>No traduzca estos textos =</t>
  </si>
  <si>
    <t>check goods – quality – quantity – temperatures</t>
  </si>
  <si>
    <t>controlar las mercancías – calidad – cantidad – temperaturas</t>
  </si>
  <si>
    <t>check use-by dates (DLC) – record lot/batch numbers or keep labels</t>
  </si>
  <si>
    <t>verificar las fechas de caducidad – anotar nº de lote o conservar las etiquetas</t>
  </si>
  <si>
    <t>disinfect pouches/trays/boxes before opening</t>
  </si>
  <si>
    <t>desinfectar bolsas – bolsas al vacío – barquetas – cajas antes de abrir</t>
  </si>
  <si>
    <t>wash vegetables and fruits before use</t>
  </si>
  <si>
    <t>lavar verduras y frutas antes de usar</t>
  </si>
  <si>
    <t>drain in perforated trays if needed</t>
  </si>
  <si>
    <t>escurrir en bandejas perforadas si es necesario</t>
  </si>
  <si>
    <t>defrost in perforated trays + label with defrost date</t>
  </si>
  <si>
    <t>descongelar en bandejas perforadas + etiquetar con la fecha de descongelación</t>
  </si>
  <si>
    <t>cook and blast-chill before assembly</t>
  </si>
  <si>
    <t>cocinar y abatir en célula antes del montaje</t>
  </si>
  <si>
    <t>slice – cut – mince according to protocols</t>
  </si>
  <si>
    <t>lonchear – cortar – picar respetando los protocolos</t>
  </si>
  <si>
    <t>prepare seasoning or sauce; assemble</t>
  </si>
  <si>
    <t>preparar el aliño o la salsa; montar</t>
  </si>
  <si>
    <t>taste and check seasoning – plate – garnish</t>
  </si>
  <si>
    <t>probar y verificar el sazonado – emplatar – decorar</t>
  </si>
  <si>
    <t>pack and label with use-by date</t>
  </si>
  <si>
    <t>envasar y etiquetar con fecha de caducidad</t>
  </si>
  <si>
    <t>keep a retention/sample dish</t>
  </si>
  <si>
    <t>conservar un plato testigo</t>
  </si>
  <si>
    <t>store in cold room</t>
  </si>
  <si>
    <t>almacenar en cámara frigorífica</t>
  </si>
  <si>
    <t>Professional use of these recipes requires knowledge of hygiene regulations and HACCP.</t>
  </si>
  <si>
    <t>QUALITY APPROACH – RECIPE DEVELOPMENT &amp; IMPROVEMENT</t>
  </si>
  <si>
    <t>ENFOQUE DE CALIDAD – DESARROLLO Y MEJORA DE RECETAS</t>
  </si>
  <si>
    <t>Original recipe description</t>
  </si>
  <si>
    <t>First impressions (products–technique–cost): what should be adjusted—can we serve it to all customers—etc.</t>
  </si>
  <si>
    <t>Modifications – adaptations – tips and suggestions:</t>
  </si>
  <si>
    <t>Modificaciones – adaptaciones – consejos y sugerencias:</t>
  </si>
  <si>
    <t>Trim excess fat from the meat, pat it dry, and rub with seasoning or herbs of your choice. Roast on a rack or on a coarse-cut raw vegetable mirepoix that lets air circulate around the meat. Once cooked, the mirepoix adds great flavor to any sauce made from the roasting juices.</t>
  </si>
  <si>
    <t>Retire el exceso de grasa de la carne, séquela y frótela con el sazonado o las hierbas que prefiera. Ásela sobre una rejilla o sobre una mirepoix de verduras crudas cortadas en trozos grandes que permita la circulación del aire alrededor de la carne. Una vez cocida, la mirepoix aporta un sabor excelente a cualquier salsa elaborada con los jugos de asado.</t>
  </si>
  <si>
    <t>puntuación máxima por criterio = 3 – DESARROLLO Y MEJORA DE RECETAS</t>
  </si>
  <si>
    <t>The products or the recipe are/is:</t>
  </si>
  <si>
    <t>GUSTATIVO / SABOR</t>
  </si>
  <si>
    <t>GUSTATIVO</t>
  </si>
  <si>
    <t>TEMPERATURA</t>
  </si>
  <si>
    <t>CALIDAD</t>
  </si>
  <si>
    <t>a mejorar</t>
  </si>
  <si>
    <t>VARIEDAD</t>
  </si>
  <si>
    <t>VISUAL</t>
  </si>
  <si>
    <t>ORIGINALIDAD</t>
  </si>
  <si>
    <t>TOTAL máximo posible</t>
  </si>
  <si>
    <t>Aceptado</t>
  </si>
  <si>
    <t>STRUCTURED WORK ORGANIZATION</t>
  </si>
  <si>
    <t>Container</t>
  </si>
  <si>
    <t>Time</t>
  </si>
  <si>
    <t>Temperature</t>
  </si>
  <si>
    <t>% Humidity</t>
  </si>
  <si>
    <t>Contenedor</t>
  </si>
  <si>
    <t>Tiempo</t>
  </si>
  <si>
    <t>Convección (aire forzado)</t>
  </si>
  <si>
    <t>Precalentamiento</t>
  </si>
  <si>
    <t>GN 1/1 pan</t>
  </si>
  <si>
    <t>Combi (mixto)</t>
  </si>
  <si>
    <t>Cocción 1</t>
  </si>
  <si>
    <t>GN 2/1 racks</t>
  </si>
  <si>
    <t>Cocción 2</t>
  </si>
  <si>
    <t>Regeneración para banquete (retermalización)</t>
  </si>
  <si>
    <t>Temperatura de cocción</t>
  </si>
  <si>
    <t>Temperatura en el corazón (núcleo)</t>
  </si>
  <si>
    <t>Enfriamiento</t>
  </si>
  <si>
    <t>Coste: 1* económico – 4**** premium</t>
  </si>
  <si>
    <t>Peso neto</t>
  </si>
  <si>
    <t>Magro de pato salvaje</t>
  </si>
  <si>
    <t>Magro de cerdo</t>
  </si>
  <si>
    <t>jugos de cocción</t>
  </si>
  <si>
    <t>Pegue una unidad en la columna ⑦</t>
  </si>
  <si>
    <t>⑥ ajuste los decimales</t>
  </si>
  <si>
    <t>Equipos</t>
  </si>
  <si>
    <t>Acción</t>
  </si>
  <si>
    <t>sauté (sartén alta)</t>
  </si>
  <si>
    <t>dorado de carne</t>
  </si>
  <si>
    <t>Modo de funcionamiento &gt;</t>
  </si>
  <si>
    <t>calor seco</t>
  </si>
  <si>
    <t>horno</t>
  </si>
  <si>
    <t>precalentamiento</t>
  </si>
  <si>
    <t>sellar la carne</t>
  </si>
  <si>
    <t>cocinar la carne a una temperatura en el corazón de 95–97 °C</t>
  </si>
  <si>
    <t>steam</t>
  </si>
  <si>
    <t>vapor</t>
  </si>
  <si>
    <t>combi (mixto)</t>
  </si>
  <si>
    <t>mise en place (preparación)</t>
  </si>
  <si>
    <t>unpacking</t>
  </si>
  <si>
    <t>desembalaje</t>
  </si>
  <si>
    <t>zona de verduras (preparación)</t>
  </si>
  <si>
    <t>bandejado</t>
  </si>
  <si>
    <t>dorado</t>
  </si>
  <si>
    <t>cocción</t>
  </si>
  <si>
    <t>reducción de salsa</t>
  </si>
  <si>
    <t>envasado</t>
  </si>
  <si>
    <t>cooling to target temperature</t>
  </si>
  <si>
    <t>enfriamiento a temperatura objetivo</t>
  </si>
  <si>
    <t>Hot service (hot holding)</t>
  </si>
  <si>
    <t>Cold chain (chilled holding)</t>
  </si>
  <si>
    <t>GN 2/1 in polycarbonate</t>
  </si>
  <si>
    <t>GN 2/1 pan H100 stainless, solid</t>
  </si>
  <si>
    <t>GN 2/1 pan H65 stainless, solid</t>
  </si>
  <si>
    <t>GN 1/1 pan H100 stainless, solid</t>
  </si>
  <si>
    <t>bandeja GN 1/1 H100 inox lisa</t>
  </si>
  <si>
    <t>GN 1/1 pan H65 stainless, solid</t>
  </si>
  <si>
    <t>Familias</t>
  </si>
  <si>
    <t>Número de raciones (resultados redondeados)</t>
  </si>
  <si>
    <t>Portion weights</t>
  </si>
  <si>
    <t>Gramajes por ración</t>
  </si>
  <si>
    <t>Primaria – P</t>
  </si>
  <si>
    <t>Adultos – A</t>
  </si>
  <si>
    <t>Infantil (Maternales) – M</t>
  </si>
  <si>
    <t>Adolescentes – Ado</t>
  </si>
  <si>
    <t>Adultos + – A+</t>
  </si>
  <si>
    <t>introduzca sus valores en las celdas amarillas</t>
  </si>
  <si>
    <t>Introduzca efectivos – cantidad p.p. – ítem – cantidad por contenedor y tipo de contenedor</t>
  </si>
  <si>
    <t>Headcount</t>
  </si>
  <si>
    <t>Efectivos</t>
  </si>
  <si>
    <t>Cantidad p.p.</t>
  </si>
  <si>
    <t>Ítem</t>
  </si>
  <si>
    <t>por ración</t>
  </si>
  <si>
    <t>Plato(s)</t>
  </si>
  <si>
    <t>el contenedor puede ser una bandeja GN – una fuente – un cazo – una barqueta, etc.</t>
  </si>
  <si>
    <t>UTILIDADES</t>
  </si>
  <si>
    <t>PESO BRUTO</t>
  </si>
  <si>
    <t>PRECIO DE COMPRA</t>
  </si>
  <si>
    <t>PESO NETO</t>
  </si>
  <si>
    <t>PRECIO DE VENTA</t>
  </si>
  <si>
    <t>Peso de merma</t>
  </si>
  <si>
    <t>Incremento</t>
  </si>
  <si>
    <t>% de merma</t>
  </si>
  <si>
    <t>% de incremento</t>
  </si>
  <si>
    <t>% DE MERMA</t>
  </si>
  <si>
    <t>B</t>
  </si>
  <si>
    <t>C</t>
  </si>
  <si>
    <t>D</t>
  </si>
  <si>
    <t>X</t>
  </si>
  <si>
    <t>Z</t>
  </si>
  <si>
    <t>Paste the photo of the dish or paste a screenshot. To enlarge the image, click it and drag the white squares or circles at the corners.</t>
  </si>
  <si>
    <t>Press the F9 key to force the recalculation of all functions. _ Pulsa la tecla F9 para forzar el recálculo de todas las funciones.</t>
  </si>
  <si>
    <t>Fin du document cellule &gt;</t>
  </si>
  <si>
    <t>Pega la foto del plato o pega una captura de pantalla. Para agrandar la imagen, haz clic sobre ella y arrastra los cuadros o círculos blancos en las esquinas.</t>
  </si>
  <si>
    <t>Enfoncer la touche F9 du clavier pour forcer le recalcul de toutes les fonctions</t>
  </si>
  <si>
    <t>Hidden rows  -   Filas ocultas</t>
  </si>
  <si>
    <t>End of document — cell - Fin del documento — celda &gt;</t>
  </si>
  <si>
    <t>Filtrer</t>
  </si>
  <si>
    <t>⑬ le/la &gt;</t>
  </si>
  <si>
    <t>📝 Mode d'emploi du répertoire</t>
  </si>
  <si>
    <t>📝 User Guide for the Recipe Directory</t>
  </si>
  <si>
    <t>📝 Modo de empleo del directorio de recetas</t>
  </si>
  <si>
    <t>FILTER _ FILTRAR</t>
  </si>
  <si>
    <t>COMMENT AFFICHER LES LIGNES UTILES -  HOW TO DISPLAY THE RELEVANT ROWS - CÓMO MOSTRAR LAS FILAS ÚTILES</t>
  </si>
  <si>
    <t>Excel regional settings: for decimals, use either a . (dot) or a , (comma).Cartouche: placeholder for the title and control cells, located at the top of the document.</t>
  </si>
  <si>
    <t>⑬ &gt;</t>
  </si>
  <si>
    <t>Nom de l'Auteur   Author Name    Nombre del autor</t>
  </si>
  <si>
    <t>* identité police calibri taille 14</t>
  </si>
  <si>
    <t xml:space="preserve">Fiche N° &gt; </t>
  </si>
  <si>
    <t>Pour agrandir l'image cliquez dessus et tirez sur les carrés ou les cercles blancs dans les angles</t>
  </si>
  <si>
    <t>Configuración regional de Excel: para los decimales, usa . (punto) o , (coma).Cartouche (encabezado): espacio reservado para el título y las celdas de control, situado en la parte superior del documento.</t>
  </si>
  <si>
    <t xml:space="preserve">1 - Positionnez vous sur la cellule A rouge - Go to the red A cell  - Sitúate en la celda A </t>
  </si>
  <si>
    <t>⓯ Recette dupliquée pour :</t>
  </si>
  <si>
    <t>et sur Filtrer - and enable Filter - roja y activa Filtro</t>
  </si>
  <si>
    <t>⑬ NOM DE LA RECETTE - Famille et N° de la recette</t>
  </si>
  <si>
    <t>⑬ RECIPE NAME – Family and Recipe No.</t>
  </si>
  <si>
    <t>⑬ NOMBRE DE LA RECETA – Familia y Nº de la receta</t>
  </si>
  <si>
    <t>je saisis volontairement "Postit" parce que l'autre version est une marque _I intentionally use “Postit” because the other version is a trademark._Escribo intencionadamente “Postit” porque la otra versión es una marca registrada.</t>
  </si>
  <si>
    <t>⓯ Recipe duplicated for:  Receta duplicada para:</t>
  </si>
  <si>
    <t xml:space="preserve">▲  ⓯ Quoi ? </t>
  </si>
  <si>
    <t>B_Factor</t>
  </si>
  <si>
    <t>C_Larger_Unit</t>
  </si>
  <si>
    <t>D_Threshold</t>
  </si>
  <si>
    <t>Milliliters_Or_Grams</t>
  </si>
  <si>
    <t>2 - Données &gt; Filtre - Data &gt; Filter - Datos &gt; Filtro</t>
  </si>
  <si>
    <t>⑬ &gt; Auteur</t>
  </si>
  <si>
    <t>⑬ &gt; Author</t>
  </si>
  <si>
    <t>⑬ &gt; Autor</t>
  </si>
  <si>
    <t>caractères + espaces</t>
  </si>
  <si>
    <t>▲ ⓯ What?   Qué?</t>
  </si>
  <si>
    <t>hidden columns</t>
  </si>
  <si>
    <t>A_Unidad</t>
  </si>
  <si>
    <t>C_Unidad_Superior</t>
  </si>
  <si>
    <t>D_Umbral</t>
  </si>
  <si>
    <t>Mililitros_o_Gramos</t>
  </si>
  <si>
    <t xml:space="preserve">evitez ( le ou la ) crème anglaise par exemple ..  inutile pour la récupérarion </t>
  </si>
  <si>
    <t xml:space="preserve">Avoid adding articles like “le/la” before names (e.g., “la crème anglaise”). </t>
  </si>
  <si>
    <t>Evita poner artículos como “el/la” antes de los nombres (p. ej., “la crema inglesa”).</t>
  </si>
  <si>
    <t xml:space="preserve"> hidden rows</t>
  </si>
  <si>
    <t>F -A (Unité)</t>
  </si>
  <si>
    <t>EN - A (Unité)</t>
  </si>
  <si>
    <t>ES - A (Unité)</t>
  </si>
  <si>
    <t>B (Facteur)</t>
  </si>
  <si>
    <t>C (Unité sup)</t>
  </si>
  <si>
    <t>D (Seuil)</t>
  </si>
  <si>
    <t>Millilitres/grammes</t>
  </si>
  <si>
    <t>3 - Cliquez sur la flèche Filtre  - Click the Filter arrow - Haz clic en la flecha de Filtro</t>
  </si>
  <si>
    <t>du code avec cette formule  GAUCHE(Q6;1)</t>
  </si>
  <si>
    <t>It’s unnecessary and breaks code retrieval with this formula: LEFT(Q6,1).</t>
  </si>
  <si>
    <t>Es innecesario y estropea la recuperación del código con esta fórmula: IZQUIERDA(Q6;1).</t>
  </si>
  <si>
    <t>❾ Author_Ref</t>
  </si>
  <si>
    <t>Duplicated_For</t>
  </si>
  <si>
    <t>Gross_x_Coefficient</t>
  </si>
  <si>
    <t>Rounded_Weight_and_Volume_x_Coefficient</t>
  </si>
  <si>
    <t>⑰ % Loss_Percent</t>
  </si>
  <si>
    <t>NET</t>
  </si>
  <si>
    <t>Item ?</t>
  </si>
  <si>
    <t>⑱ Price</t>
  </si>
  <si>
    <t>Cost</t>
  </si>
  <si>
    <t>columna oculta</t>
  </si>
  <si>
    <t>filas ocultas</t>
  </si>
  <si>
    <t>half</t>
  </si>
  <si>
    <t>medio</t>
  </si>
  <si>
    <t>entier</t>
  </si>
  <si>
    <t>de la cellule A rouge - on the red A cell - de la celda A roja</t>
  </si>
  <si>
    <t>Que faut-il faire</t>
  </si>
  <si>
    <t>What to do</t>
  </si>
  <si>
    <t>Qué hay que hacer</t>
  </si>
  <si>
    <t>❾ Referencia_Autor</t>
  </si>
  <si>
    <t xml:space="preserve"> Duplicado_Para</t>
  </si>
  <si>
    <t>Bruto_x_Coeficiente</t>
  </si>
  <si>
    <t>Peso_y_Volumen_Redondeados_x_Coeficiente</t>
  </si>
  <si>
    <t>⑰ % Porcentaje_de_Pérdida</t>
  </si>
  <si>
    <t>NETO</t>
  </si>
  <si>
    <t>Ítem (o Concepto) ?</t>
  </si>
  <si>
    <t>⑱ Precio</t>
  </si>
  <si>
    <t>Costo</t>
  </si>
  <si>
    <t>quarter</t>
  </si>
  <si>
    <t>cuarto</t>
  </si>
  <si>
    <t>third</t>
  </si>
  <si>
    <t>tercio</t>
  </si>
  <si>
    <t>Choisissez des valeurs spécifiques :   Choose specific values:  Elegir valores específicos:</t>
  </si>
  <si>
    <t>⑬ - Nommez le répertoire , Nom de la recette le N° de fiche et collez la famille</t>
  </si>
  <si>
    <t>⑬ – Name the directory with the Recipe Name, the Sheet No., and paste the Family.</t>
  </si>
  <si>
    <t>⑬ – Nombra el directorio con el Nombre de la receta, el Nº de la ficha y pega la Familia.</t>
  </si>
  <si>
    <t>poids</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</si>
  <si>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</si>
  <si>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</si>
  <si>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</si>
  <si>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</si>
  <si>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</si>
  <si>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</si>
  <si>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</si>
  <si>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</si>
  <si>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</si>
  <si>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</si>
  <si>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</si>
  <si>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</si>
  <si>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</si>
  <si>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</si>
  <si>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</si>
  <si>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</si>
  <si>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</si>
  <si>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</si>
  <si>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</si>
  <si>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</si>
  <si>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Coeff.AE . AG . AI</t>
  </si>
  <si>
    <t>Décochez (Sélectionner tout)  Uncheck (Select All)   Desmarca (Seleccionar todo)</t>
  </si>
  <si>
    <t>Recettes</t>
  </si>
  <si>
    <t>Dupliquée  pour</t>
  </si>
  <si>
    <t>Brut avec coef.</t>
  </si>
  <si>
    <t>Poids et vol.arrondis avec coef.</t>
  </si>
  <si>
    <t>⑰ % Perte</t>
  </si>
  <si>
    <t>Quoi ?</t>
  </si>
  <si>
    <t>⑱ Prix</t>
  </si>
  <si>
    <t xml:space="preserve">Coût </t>
  </si>
  <si>
    <t>pour décocher toutes les cases,   to clear all boxes  para desmarcar todas las casillas</t>
  </si>
  <si>
    <t>⓯ Recipe duplicated for:</t>
  </si>
  <si>
    <t>⓯ Receta duplicada para:</t>
  </si>
  <si>
    <t>▲  ⓯ Quoi ? Portions - tarte - couverts ou contenant</t>
  </si>
  <si>
    <t>▲ ⓯ What? Servings – tart – place settings or container</t>
  </si>
  <si>
    <t>▲ ⓯ Qué? Porciones – tarta – cubiertos o recipiente</t>
  </si>
  <si>
    <t>L ou kg</t>
  </si>
  <si>
    <t>volume</t>
  </si>
  <si>
    <t>mais en général le même intitulé que le Quoi de  l'Auteur</t>
  </si>
  <si>
    <t>…but generally keep the same title as the Author’s What.</t>
  </si>
  <si>
    <t>…pero en general usa el mismo título que el Qué del Autor.</t>
  </si>
  <si>
    <t>Puis cochez A (afficher)  Do the opposite: check (Select All),  Desmarca (Seleccionar todo)</t>
  </si>
  <si>
    <t xml:space="preserve"> pour selectionner les lignes à afficher   to select the rows to display  para seleccionar las filas a mostrar</t>
  </si>
  <si>
    <t>(too high or too low for your guests),</t>
  </si>
  <si>
    <t>Pour l'affichage de toutes les lignes  To show all rows again:  Para volver a mostrar todas las filas:</t>
  </si>
  <si>
    <t>Facultatif</t>
  </si>
  <si>
    <t>⑰ % Loss</t>
  </si>
  <si>
    <t>Optional</t>
  </si>
  <si>
    <t>⑰ % Pérdida</t>
  </si>
  <si>
    <t>Opcional</t>
  </si>
  <si>
    <t>1/2 tasse</t>
  </si>
  <si>
    <t>1/2 cup</t>
  </si>
  <si>
    <t>1/2 taza</t>
  </si>
  <si>
    <t>Tasse(s)</t>
  </si>
  <si>
    <t>Cup(s)</t>
  </si>
  <si>
    <t>Taza(s)</t>
  </si>
  <si>
    <t>ne confondez pas le prix au Kg et le prix à la pièce</t>
  </si>
  <si>
    <t>Do not confuse price per kg with price per piece.</t>
  </si>
  <si>
    <t>No confundas el precio por kg con el precio por pieza.</t>
  </si>
  <si>
    <t>tasse(s).Thé</t>
  </si>
  <si>
    <t>Teacup(s)</t>
  </si>
  <si>
    <t>Taza(s) de té</t>
  </si>
  <si>
    <t xml:space="preserve"> faites l'inverse cochez (Sélectionner tout)  Do the opposite: check (Select All),  Haz lo contrario: marca (Seleccionar todo),</t>
  </si>
  <si>
    <t>Pour l'affichage ou l'impression papier de ce document</t>
  </si>
  <si>
    <t>For on-screen display or printing of this document</t>
  </si>
  <si>
    <t>Para la visualización en pantalla o la impresión de este documento</t>
  </si>
  <si>
    <t>CONDITIONNEMENT   (exemple)</t>
  </si>
  <si>
    <t xml:space="preserve">◄ votre Contenant </t>
  </si>
  <si>
    <t>./2.once.liquide</t>
  </si>
  <si>
    <t>./2 fluid ounce</t>
  </si>
  <si>
    <t>./2 onza líquida</t>
  </si>
  <si>
    <t>lorsque vous avez masqué des colonnes cliquez sur enregistrer pour qu'excel en tienne compte puis</t>
  </si>
  <si>
    <t>After hiding columns, click Save so Excel takes it into account, then</t>
  </si>
  <si>
    <t>Cuando hayas ocultado columnas, haz clic en Guardar para que Excel lo tenga en cuenta y luego</t>
  </si>
  <si>
    <t>press F9 to force recalculation of all functions.</t>
  </si>
  <si>
    <t>pulsa F9 para forzar el recálculo de todas las funciones.</t>
  </si>
  <si>
    <t>./2 Cup(s)</t>
  </si>
  <si>
    <t>./2 Taza(s)</t>
  </si>
  <si>
    <t>./4 Cup(s)</t>
  </si>
  <si>
    <t>./4 Taza(s)</t>
  </si>
  <si>
    <t>Masquer des colonnes - Résumé express  :</t>
  </si>
  <si>
    <t>Hide Columns – Quick Summary:</t>
  </si>
  <si>
    <t>Ocultar Columnas – Resumen exprés:</t>
  </si>
  <si>
    <t>ou cliquez de nouveau sur "l'entonnoir"  or click the funnel icon (Sort &amp; Filter)  o vuelve a hacer clic en el icono de embudo</t>
  </si>
  <si>
    <t>1. Sélectionnez la ou les colonnes que vous voulez masquer (clic gauche sur les lettres de colonnes).</t>
  </si>
  <si>
    <t>1. Select the column(s) you want to hide (left-click the column letters).</t>
  </si>
  <si>
    <t>1. Selecciona las columnas que quieres ocultar (clic izquierdo en las letras de columna).</t>
  </si>
  <si>
    <t>2. Clic droit sur une des colonnes sélectionnées.</t>
  </si>
  <si>
    <t>2. Right-click one of the selected columns.</t>
  </si>
  <si>
    <t>2. Clic derecho sobre una de las columnas seleccionadas.</t>
  </si>
  <si>
    <t>3. Choisissez "Masquer" dans le menu contextuel.</t>
  </si>
  <si>
    <t>3. Choose Hide from the context menu.</t>
  </si>
  <si>
    <t>3. Elige Ocultar en el menú contextual.</t>
  </si>
  <si>
    <t>trier en haut de l'écran pour désactiver  on the ribbon again to turn Filter off.  o vuelve a hacer clic en el icono de embudo (Ordenar y filtrar)</t>
  </si>
  <si>
    <t>4. Pour les réafficher, sélectionnez les colonnes adjacentes, clic droit → "Afficher".</t>
  </si>
  <si>
    <t>4. To show them again, select the adjacent columns, right-click → Unhide.</t>
  </si>
  <si>
    <t>4. Para mostrarlas de nuevo, selecciona las columnas adyacentes, clic derecho → Mostrar/Revelar.</t>
  </si>
  <si>
    <t>Dash(s)</t>
  </si>
  <si>
    <t>plotée(s)</t>
  </si>
  <si>
    <t>scoop(s)</t>
  </si>
  <si>
    <t>cucharón</t>
  </si>
  <si>
    <t>Masquer les Colonnes dans Excel 🟢[2 SOLUTIONS PRO] 🟢</t>
  </si>
  <si>
    <t>Hide Columns in Excel 🟢[2 PRO SOLUTIONS] 🟢</t>
  </si>
  <si>
    <t>Ocultar Columnas en Excel 🟢[2 SOLUCIONES PRO] 🟢</t>
  </si>
  <si>
    <t>Splash(s)</t>
  </si>
  <si>
    <t>Splash(es</t>
  </si>
  <si>
    <t>Chorrito(s)</t>
  </si>
  <si>
    <t xml:space="preserve"> la fonction Tri  Filter off  en la cinta para desactivar Filtro.</t>
  </si>
  <si>
    <t>Lien &gt;</t>
  </si>
  <si>
    <t>https://www.youtube.com/watch?v=WbtKbVzE2mE&amp;t=2s</t>
  </si>
  <si>
    <t>Link @ &gt;</t>
  </si>
  <si>
    <t>Enlace @ &gt;</t>
  </si>
  <si>
    <t>shot(s)</t>
  </si>
  <si>
    <t>chupito(s)</t>
  </si>
  <si>
    <t>jigger(s)</t>
  </si>
  <si>
    <t>Comment mettre un accent à une majuscule (À, É, È, Ç) ?</t>
  </si>
  <si>
    <t>How to add an accent to a capital letter (À, É, È, Ç)?</t>
  </si>
  <si>
    <t>Cómo poner acento a una mayúscula (À, É, È, Ç)?</t>
  </si>
  <si>
    <t>Pony(s)</t>
  </si>
  <si>
    <t>È (e majuscule accent grave) = Alt + 0200</t>
  </si>
  <si>
    <t>É (e majuscule accent aigu) =Alt + 0201</t>
  </si>
  <si>
    <t>È (capital E with grave) = Alt + 0200</t>
  </si>
  <si>
    <t>É (capital E with acute) = Alt + 0201</t>
  </si>
  <si>
    <t>È (E mayúscula con acento grave) = Alt + 0200</t>
  </si>
  <si>
    <t>É (E mayúscula con acento agudo) = Alt + 0201</t>
  </si>
  <si>
    <t>Mug(s)</t>
  </si>
  <si>
    <t>Taza(s) grande</t>
  </si>
  <si>
    <t>À (a majuscule accent) = Alt + 0192</t>
  </si>
  <si>
    <t>Ç (c cédille majuscule) = Alt + 0199</t>
  </si>
  <si>
    <t>À (capital A with grave) = Alt + 0192</t>
  </si>
  <si>
    <t>Ç (capital C with cedilla) = Alt + 0199</t>
  </si>
  <si>
    <t>À (A mayúscula con acento grave) = Alt + 0192</t>
  </si>
  <si>
    <t>Ç (C mayúscula con cedilla) = Alt + 0199</t>
  </si>
  <si>
    <t>./2 pinte(s)</t>
  </si>
  <si>
    <t>./2 pint(s)</t>
  </si>
  <si>
    <t>./2 pinta(s)</t>
  </si>
  <si>
    <t>Ù (u majuscule accent grave) = Alt + 0217</t>
  </si>
  <si>
    <t>Ù (capital U with grave) = Alt + 0217</t>
  </si>
  <si>
    <t>Excel formula note (English): GAUCHE(Q6;1) in French Excel = LEFT(Q6,1) in English Excel.</t>
  </si>
  <si>
    <t>Ù (U mayúscula con acento grave) = Alt + 0217</t>
  </si>
  <si>
    <t>pint (pt)</t>
  </si>
  <si>
    <t>pinta (pt)</t>
  </si>
  <si>
    <t>Si tu Excel est\u00e1 en otro idioma/locale, pense à ajuster la formule (GAUCHE/LEFT/IZQUIERDA) et le séparateur (, vs ;).</t>
  </si>
  <si>
    <t>Pint (US)(s)</t>
  </si>
  <si>
    <t>Pint (US)</t>
  </si>
  <si>
    <t>Pinta (EE. UU.)</t>
  </si>
  <si>
    <t>« Les libellés ""Adresse PC";"▼ recette suivante" en AE, AR , AX . servent de déclencheur pour les calculs des colonnes  »</t>
  </si>
  <si>
    <t>Pint (UK)(s)</t>
  </si>
  <si>
    <t>Pint (UK)</t>
  </si>
  <si>
    <t>Pinta (Reino Unido)</t>
  </si>
  <si>
    <t>cliquez sur la colonne de chiffres et sélectionnez dans la barre de formule le numéro ou la lettre qui vous intéresse choisissez la police de caractères et la couleur qui vous conviennent</t>
  </si>
  <si>
    <t>Click the number column, then in the formula bar select the number or letter you want; choose the font and color that suit you.</t>
  </si>
  <si>
    <t>Haz clic en la columna de números y, en la barra de fórmulas, selecciona el número o la letra que te interese; elige la tipografía y el color que prefieras.</t>
  </si>
  <si>
    <t>quart (qt)</t>
  </si>
  <si>
    <t>cuarto (qt)</t>
  </si>
  <si>
    <t>gallon (gal)</t>
  </si>
  <si>
    <t>galón (gal)</t>
  </si>
  <si>
    <t>Ounce (fl oz)us</t>
  </si>
  <si>
    <t>Onza (fl oz EE. UU.)</t>
  </si>
  <si>
    <t>%</t>
  </si>
  <si>
    <t>&amp;</t>
  </si>
  <si>
    <t>@</t>
  </si>
  <si>
    <t>‰</t>
  </si>
  <si>
    <t>≈</t>
  </si>
  <si>
    <t>±</t>
  </si>
  <si>
    <t>Φ</t>
  </si>
  <si>
    <t>sur le postit dans la table de recherche ne mélangez pas poids et volumes ,les col.6 à col.11 sont réservées aux poids Kg  -  les col.suivantes pour les volumes.</t>
  </si>
  <si>
    <t>¼</t>
  </si>
  <si>
    <t>½</t>
  </si>
  <si>
    <t>¾</t>
  </si>
  <si>
    <t>◄</t>
  </si>
  <si>
    <t>▲</t>
  </si>
  <si>
    <t>Nota sobre la fórmula de Excel (ES): GAUCHE(Q6;1) en Excel francés = IZQUIERDA(Q6;1) en Excel en español (los separadores pueden ser “;” o “,” según la configuración regional).</t>
  </si>
  <si>
    <t>unités utilisées pour cocktails encre violette et verte</t>
  </si>
  <si>
    <t>On the postit in the lookup table, do not mix weights and volumes; columns 6 to 11 are reserved for weights (kg), and the following columns are for volumes.</t>
  </si>
  <si>
    <t>En el postit de la tabla de búsqueda, no mezcles pesos y volúmenes; las columnas 6 a 11 están reservadas para los pesos (kg) y las columnas siguientes son para los volúmenes.</t>
  </si>
  <si>
    <t>Label (short): Units used for cocktails — purple and green ink</t>
  </si>
  <si>
    <t>Etiqueta (corta): Unidades utilizadas para cócteles — tinta violeta y verde</t>
  </si>
  <si>
    <t>FR .  Pour que les formules renvoient le bon résultat, le texte doit être strictement identique entre le tableau de recherche et les « Post-it ». Un espace en trop, un accent ou une parenthèse manquants suffisent à faire échouer la correspondance. Utilisez le copier/coller depuis la source pour éviter toute erreur.</t>
  </si>
  <si>
    <t>EN .  For formulas to return the correct result, the text must match exactly between the lookup table and the “Post-its.” A single extra space, a missing accent, or a missing parenthesis is enough to break the match. Use copy/paste from the source to avoid errors.</t>
  </si>
  <si>
    <t xml:space="preserve">Although this sheet was not originally designed for this purpose, </t>
  </si>
  <si>
    <t>it can be effectively adapted for managing cocktail recipes.</t>
  </si>
  <si>
    <t>The Bar model typically involves only 5 to 6 products or ingredients.</t>
  </si>
  <si>
    <t>You can use DeepL Translator to translate the cells that contain text.</t>
  </si>
  <si>
    <t>https://www.deepl.com/fr/translator</t>
  </si>
  <si>
    <t>ES .  Para que las fórmulas devuelvan el resultado correcto, el texto debe ser estrictamente idéntico entre la tabla de búsqueda y los “post-it”. Un solo espacio de más, un acento o un paréntesis que falte bastan para que falle la coincidencia. Use copiar/pegar desde la fuente para evitar errores.</t>
  </si>
  <si>
    <t>Español</t>
  </si>
  <si>
    <t xml:space="preserve">Aunque esta hoja no fue diseñada específicamente para este fin, </t>
  </si>
  <si>
    <t>puede adaptarse eficazmente para la gestión de recetas de cócteles.</t>
  </si>
  <si>
    <t>El modelo Bar suele utilizar entre 5 y 6 productos o ingredientes.</t>
  </si>
  <si>
    <t>Puede utilizar DeepL Translator para traducir las celdas que contienen texto.</t>
  </si>
  <si>
    <t>Les traductions (approximatives) ont été réalisées avec l’aide de ChatGPT. En revanche, les formules sont conçues pour Excel en français, version 2021 ou ultérieure.</t>
  </si>
  <si>
    <t>Si vous remplacez la formule de la colonne 15 par une version sans "RECHERCHEX ", vous devrez adapter les formules des colonnes 20, 27 et 34 en conséquence dans la fiche Répertoire .</t>
  </si>
  <si>
    <t>The (approximate) translations were done with ChatGPT’s help. However, the formulas are designed for Excel in French, version 2021 or later.</t>
  </si>
  <si>
    <t>If you replace the formula in column 15 with a version without RECHERCHEX, you’ll need to adjust the formulas in columns 20, 27, and 34 accordingly in the Directory sheet.</t>
  </si>
  <si>
    <t>Las traducciones (aproximadas) se realizaron con la ayuda de ChatGPT. Sin embargo, las fórmulas están diseñadas para Excel en francés, versión 2021 o posterior.</t>
  </si>
  <si>
    <t>Si sustituye la fórmula de la columna 15 por una versión sin RECHERCHEX, deberá adaptar en consecuencia las fórmulas de las columnas 20, 27 y 34 en la hoja Directorio (o “Répertoire” si mantiene el nombre en francés).</t>
  </si>
  <si>
    <t>ENVASADO   (ejemplo)</t>
  </si>
  <si>
    <t>coupe</t>
  </si>
  <si>
    <t>coupes</t>
  </si>
  <si>
    <t>Si vous remplacez la formule de la colonne 15 par une version sans RECHERCHEX, vous devrez adapter les formules des colonnes 20, 27 et 34 en conséquence dans la fiche Répertoire .</t>
  </si>
  <si>
    <t>Col.20 =SI(SUPPRESPACE(Q22)="Adresse PC";"▼ recette suivante";SI(AI22&gt;0;M22;""))</t>
  </si>
  <si>
    <t>Col.34 =SI(SUPPRESPACE(AE22)="▼ recette suivante";AE22;SI(AO22="";"";SI(ESTVIDE(AR22);AO22;ARRONDI(AO22*(1-MIN(1;MAX(0;SI(AR22&gt;1;AR22/100;AR22))));3))))</t>
  </si>
  <si>
    <t>IDENTIFICATION OF FRAMES AND RECIPE “POSTITS”: the hyphen “-” or the double “--” from column 6 serve as separator(s) for the extraction formula</t>
  </si>
  <si>
    <t>IDENTIFICACIÓN DE LOS MARCOS Y DE LOS “POSTITS” DE RECETAS: el guion “-” o el doble “--” de la columna 6 sirven como separadores para la fórmula de extracción.</t>
  </si>
  <si>
    <t>cuisine-SIDES</t>
  </si>
  <si>
    <t>PASTRY</t>
  </si>
  <si>
    <t>CATERING</t>
  </si>
  <si>
    <t>FAMILY--Identity</t>
  </si>
  <si>
    <t>BARTENDERS - BAR - DRINKS</t>
  </si>
  <si>
    <t>RGB color codes (Red–Green–Blue)</t>
  </si>
  <si>
    <t>cuisine-ACOMPAÑAMIENTOS</t>
  </si>
  <si>
    <t>PASTELERÍA</t>
  </si>
  <si>
    <t>CÁTERING</t>
  </si>
  <si>
    <t>FAMILIA--Identidad</t>
  </si>
  <si>
    <t>PESCADERÍA</t>
  </si>
  <si>
    <t>BARTENDERS - BAR - BEBIDAS</t>
  </si>
  <si>
    <t>R      G       B           HEX</t>
  </si>
  <si>
    <t>51 153 102  #339966</t>
  </si>
  <si>
    <t>cuisine-COMPOSED GREEN SALADS</t>
  </si>
  <si>
    <t>pastry--BAVARIANS (BAVAROIS)</t>
  </si>
  <si>
    <t>COOKING METHODS</t>
  </si>
  <si>
    <t>Dietary color</t>
  </si>
  <si>
    <t>Poissonnerie--SHELLFISH (MOLLUSCS)</t>
  </si>
  <si>
    <t>BAR-Cocktails-with alcohol</t>
  </si>
  <si>
    <t>153 204 0   #99CC00</t>
  </si>
  <si>
    <t>cuisine-ENSALADAS VERDES COMPUESTAS</t>
  </si>
  <si>
    <t>pastelería--BÁVAROS (BAVAROIS)</t>
  </si>
  <si>
    <t>traiteur-ASADOS FRÍOS</t>
  </si>
  <si>
    <t>CHARCUTERÍA</t>
  </si>
  <si>
    <t>MODOS DE COCCIÓN</t>
  </si>
  <si>
    <t>Color dietético</t>
  </si>
  <si>
    <t>Poissonnerie--MOLUSCOS</t>
  </si>
  <si>
    <t>BAR-Cócteles-con alcohol</t>
  </si>
  <si>
    <t>128 0   0   #800000</t>
  </si>
  <si>
    <t>255 0   255 #FF00FF</t>
  </si>
  <si>
    <t>pastry--BISCUITS</t>
  </si>
  <si>
    <t>charcuterie--JELLIES</t>
  </si>
  <si>
    <t>cooking--BRAISED</t>
  </si>
  <si>
    <t>cuisine-dish-PROTEINS</t>
  </si>
  <si>
    <t>cuisine-vegetables-COOKED VEGETABLES</t>
  </si>
  <si>
    <t>cuisine-vegetables-RAW VEGETABLES</t>
  </si>
  <si>
    <t>cuisine-vegetables-STARCHES</t>
  </si>
  <si>
    <t>Poissonnerie--CRUSTACEANS</t>
  </si>
  <si>
    <t>BAR-Cocktails-non-alcoholic</t>
  </si>
  <si>
    <t>255 102 0   #FF6600</t>
  </si>
  <si>
    <t>cuisine--CRUDITÉS</t>
  </si>
  <si>
    <t>pastelería--BIZCOCHOS</t>
  </si>
  <si>
    <t>traiteur-APERITIVOS</t>
  </si>
  <si>
    <t>charcutería--GELATINAS</t>
  </si>
  <si>
    <t>cocción--BRASADO</t>
  </si>
  <si>
    <t>cuisine-plato-PROTEÍNAS</t>
  </si>
  <si>
    <t>cuisine-verduras-COCIDAS</t>
  </si>
  <si>
    <t>cuisine-verduras-CRUDITÉS</t>
  </si>
  <si>
    <t>cuisine-verduras-FÉCULAS</t>
  </si>
  <si>
    <t>Poissonnerie--CRUSTÁCEOS</t>
  </si>
  <si>
    <t>BAR-Cócteles-sin alcohol</t>
  </si>
  <si>
    <t>255 0   0   #FF0000</t>
  </si>
  <si>
    <t>0   0   255 #0000FF</t>
  </si>
  <si>
    <t>cuisine--COOKED VEGETABLES</t>
  </si>
  <si>
    <t>pastry--CHARLOTTES</t>
  </si>
  <si>
    <t>charcuterie-BOUDIN BLANC</t>
  </si>
  <si>
    <t>cooking--CONFIT</t>
  </si>
  <si>
    <t>cuisine-proteins-OFFAL</t>
  </si>
  <si>
    <t>CITRUS (e.g., grapefruit)</t>
  </si>
  <si>
    <t>crudité-CITRUS—POMELO/GRAPEFRUIT</t>
  </si>
  <si>
    <t>cuisine-starch-WHEAT</t>
  </si>
  <si>
    <t>Poissonnerie--WHOLE FISH</t>
  </si>
  <si>
    <t>BAR-Drinks-hot beverages</t>
  </si>
  <si>
    <t>255 204 153 #FFCC99</t>
  </si>
  <si>
    <t>cuisine--VERDURAS COCIDAS</t>
  </si>
  <si>
    <t>pastelería--CHARLOTTES</t>
  </si>
  <si>
    <t>charcutería-BOUDIN BLANC (morcilla blanca)</t>
  </si>
  <si>
    <t>cocción--CONFITADO</t>
  </si>
  <si>
    <t>cuisine-proteínas-CASQUERÍA</t>
  </si>
  <si>
    <t>CÍTRICOS (p. ej., pomelo)</t>
  </si>
  <si>
    <t>crudité-CÍTRICOS—POMELO/TORONJA</t>
  </si>
  <si>
    <t>cuisine-féculent-TRIGO</t>
  </si>
  <si>
    <t>Poissonnerie--PESCADO ENTERO</t>
  </si>
  <si>
    <t>BAR-Bebidas-calientes</t>
  </si>
  <si>
    <t>204 153 255 #CC99FF</t>
  </si>
  <si>
    <t>cuisine-PLATED DESSERT</t>
  </si>
  <si>
    <t>pastry--CHOCOLATES</t>
  </si>
  <si>
    <t>charcuterie-BOUDIN NOIR</t>
  </si>
  <si>
    <t>cooking--FRIED</t>
  </si>
  <si>
    <t>cuisine-proteins-GIBLETS</t>
  </si>
  <si>
    <t>cuisine-cooked-ARTICHOKE</t>
  </si>
  <si>
    <t>cuisine-raw-AVOCADO</t>
  </si>
  <si>
    <t>cuisine-starch-BULGUR</t>
  </si>
  <si>
    <t>Poissonnerie--FILLETs / PORTIONS</t>
  </si>
  <si>
    <t>BAR-Drinks-cold beverages</t>
  </si>
  <si>
    <t>cuisine-POSTRE EMPLATADO</t>
  </si>
  <si>
    <t>pastelería--CHOCOLATES</t>
  </si>
  <si>
    <t>charcutería-BOUDIN NOIR (morcilla)</t>
  </si>
  <si>
    <t>cocción--FRITO</t>
  </si>
  <si>
    <t>cuisine-proteínas-MENUDOS (abattis)</t>
  </si>
  <si>
    <t>cuisine-cocido-ALCACHOFA</t>
  </si>
  <si>
    <t>cuisine-crudité-AGUACATE</t>
  </si>
  <si>
    <t>cuisine-féculent-BULGUR</t>
  </si>
  <si>
    <t>Poissonnerie--FILETES / PORCIONES</t>
  </si>
  <si>
    <t>BAR-Bebidas-frías</t>
  </si>
  <si>
    <t>Códigos de color RGB (Rojo–Verde–Azul)</t>
  </si>
  <si>
    <t>pastry--CONFECTIONERY</t>
  </si>
  <si>
    <t>charcuterie--GAME</t>
  </si>
  <si>
    <t>cooking--SMOKED</t>
  </si>
  <si>
    <t>cuisine-proteins-LAMB</t>
  </si>
  <si>
    <t>cuisine-cooked-ASPARAGUS</t>
  </si>
  <si>
    <t>cuisine-raw-BEETS</t>
  </si>
  <si>
    <t>cuisine-starch-BROAD BEANS (FAVA)</t>
  </si>
  <si>
    <t>Poissonnerie--SEAFOOD CHARCUTERIE</t>
  </si>
  <si>
    <t>BAR-COFFEES</t>
  </si>
  <si>
    <t>51  153 102  #339966</t>
  </si>
  <si>
    <t>cuisine--POSTRES</t>
  </si>
  <si>
    <t>pastelería--CONFITERÍA</t>
  </si>
  <si>
    <t>traiteur-CALIENTE-FRÍO</t>
  </si>
  <si>
    <t>charcutería--CAZA</t>
  </si>
  <si>
    <t>cocción--AHUMADO</t>
  </si>
  <si>
    <t>cuisine-proteínas-CORDERO</t>
  </si>
  <si>
    <t>cuisine-cocido-ESPÁRRAGOS</t>
  </si>
  <si>
    <t>cuisine-crudité-REMOLACHAS</t>
  </si>
  <si>
    <t>cuisine-féculent-HABAS (FAVA)</t>
  </si>
  <si>
    <t>Poissonnerie--CHARCUTERÍA DEL MAR</t>
  </si>
  <si>
    <t>BAR-CAFÉS</t>
  </si>
  <si>
    <t>153 204 0    #99CC00</t>
  </si>
  <si>
    <t>128 0   0    #800000</t>
  </si>
  <si>
    <t>cuisine--STARTERS</t>
  </si>
  <si>
    <t>pastry--ENTREMETS</t>
  </si>
  <si>
    <t>charcuterie--RABBIT</t>
  </si>
  <si>
    <t>cooking--GRILLED</t>
  </si>
  <si>
    <t>cuisine-proteins-BEEF</t>
  </si>
  <si>
    <t>cuisine-cooked-BEETS</t>
  </si>
  <si>
    <t>cuisine-raw-CARROTS</t>
  </si>
  <si>
    <t>cuisine-starch-BABY FAVA BEANS</t>
  </si>
  <si>
    <t>Poissonnerie--SMOKED FISH</t>
  </si>
  <si>
    <t>BAR-TEAS</t>
  </si>
  <si>
    <t>255 0   255  #FF00FF</t>
  </si>
  <si>
    <t>cuisine--ENTRANTES</t>
  </si>
  <si>
    <t>pastelería--ENTREMETS</t>
  </si>
  <si>
    <t>traiteur-ENTRANTE FRÍO</t>
  </si>
  <si>
    <t>charcutería--CONEJO</t>
  </si>
  <si>
    <t>cocción--A LA PARRILLA</t>
  </si>
  <si>
    <t>cuisine-proteínas-TERnera</t>
  </si>
  <si>
    <t>cuisine-cocido-REMOLACHAS</t>
  </si>
  <si>
    <t>cuisine-crudité-ZANAHORIAS</t>
  </si>
  <si>
    <t>cuisine-féculent-HABITAS (HABAS BABY)</t>
  </si>
  <si>
    <t>Poissonnerie--AHUMADOS</t>
  </si>
  <si>
    <t>BAR-TÉS</t>
  </si>
  <si>
    <t>255 102 0    #FF6600</t>
  </si>
  <si>
    <t>255 0   0    #FF0000</t>
  </si>
  <si>
    <t>cuisine--ENTREMETS</t>
  </si>
  <si>
    <t>pastry-ENTREMET-GENOISE</t>
  </si>
  <si>
    <t>charcuterie-PURE POULTRY</t>
  </si>
  <si>
    <t>cooking--PLAIN</t>
  </si>
  <si>
    <t>cuisine-proteins-QUAIL</t>
  </si>
  <si>
    <t>cuisine-cooked-CARROTS</t>
  </si>
  <si>
    <t>cuisine-raw-CELERY STALKS</t>
  </si>
  <si>
    <t>cuisine-starch-COCO BEANS</t>
  </si>
  <si>
    <t>Poissonnerie--MARINADES &amp; CURES</t>
  </si>
  <si>
    <t>BAR--JUICES-Juices &amp; fresh-pressed</t>
  </si>
  <si>
    <t>0   0   255  #0000FF</t>
  </si>
  <si>
    <t>pastelería-ENTREMET-GENOVESA</t>
  </si>
  <si>
    <t>traiteur-ENTRANTE CALIENTE</t>
  </si>
  <si>
    <t>charcutería-PURA AVE</t>
  </si>
  <si>
    <t>cocción--NATURAL</t>
  </si>
  <si>
    <t>cuisine-proteínas-CODORNICES</t>
  </si>
  <si>
    <t>cuisine-cocido-ZANAHORIAS</t>
  </si>
  <si>
    <t>cuisine-crudité-APIO EN RAMA</t>
  </si>
  <si>
    <t>cuisine-féculent-ALUBIAS COCO</t>
  </si>
  <si>
    <t>Poissonnerie--MARINADOS Y SALAZONES</t>
  </si>
  <si>
    <t>BAR--ZUMOS-Zumos y prensados</t>
  </si>
  <si>
    <t>255 204 153  #FFCC99</t>
  </si>
  <si>
    <t>204 153 255  #CC99FF</t>
  </si>
  <si>
    <t>cuisine--STARCHES</t>
  </si>
  <si>
    <t>pastry--GANACHE</t>
  </si>
  <si>
    <t>traiteur-FOIE GRAS</t>
  </si>
  <si>
    <t>charcuterie--GALANTINE</t>
  </si>
  <si>
    <t>cooking--EN PAPILLOTE</t>
  </si>
  <si>
    <t>cuisine-proteins-DUCK</t>
  </si>
  <si>
    <t>cuisine-cooked-CELERY STALKS</t>
  </si>
  <si>
    <t>cuisine-raw-CELERIAC (CELERY ROOT)</t>
  </si>
  <si>
    <t>cuisine-starch-FLAGEOLET BEANS</t>
  </si>
  <si>
    <t>Poissonnerie--TARTARES &amp; CEVICHES</t>
  </si>
  <si>
    <t>cuisine--FÉCULAS</t>
  </si>
  <si>
    <t>pastelería--GANACHE</t>
  </si>
  <si>
    <t>charcutería--GALANTINA</t>
  </si>
  <si>
    <t>cocción--EN PAPILLOTE</t>
  </si>
  <si>
    <t>cuisine-proteínas-PATO</t>
  </si>
  <si>
    <t>cuisine-cocido-APIO EN RAMA</t>
  </si>
  <si>
    <t>cuisine-crudité-APIONABO</t>
  </si>
  <si>
    <t>cuisine-féculent-FLAGEOLETS</t>
  </si>
  <si>
    <t>Poissonnerie--TÁRTAROS Y CEVICHES</t>
  </si>
  <si>
    <t>cuisine--AFTERNOON SNACK</t>
  </si>
  <si>
    <t>pastry--CAKE</t>
  </si>
  <si>
    <t>charcuterie--MORTADELLA</t>
  </si>
  <si>
    <t>cooking--POACHED</t>
  </si>
  <si>
    <t>cuisine-proteins-CHARCUTERIE</t>
  </si>
  <si>
    <t>cuisine-cooked-CELERIAC (CELERY ROOT)</t>
  </si>
  <si>
    <t>cuisine-raw-MUSHROOMS</t>
  </si>
  <si>
    <t>cuisine-starch-BLACK BEANS</t>
  </si>
  <si>
    <t>Poissonnerie--SOUPS &amp; BISQUES</t>
  </si>
  <si>
    <t>BAR--Sodas &amp; lemonades</t>
  </si>
  <si>
    <t>cuisine--MERIENDA</t>
  </si>
  <si>
    <t>pastelería--PASTEL</t>
  </si>
  <si>
    <t>traiteur-ENTREM ESES</t>
  </si>
  <si>
    <t>charcutería--MORTADELA</t>
  </si>
  <si>
    <t>cocción--POCHADO</t>
  </si>
  <si>
    <t>cuisine-proteínas-CHARCUTERÍA</t>
  </si>
  <si>
    <t>cuisine-cocido-APIONABO</t>
  </si>
  <si>
    <t>cuisine-crudité-CHAMPIÑONES</t>
  </si>
  <si>
    <t>cuisine-féculent-FRIJOLES/ALUBIAS NEGRAS</t>
  </si>
  <si>
    <t>Poissonnerie--SOPAS Y BISQUES</t>
  </si>
  <si>
    <t>BAR--Refrescos y limonadas</t>
  </si>
  <si>
    <t>cuisine-DAIRY + STARCHES</t>
  </si>
  <si>
    <t>pastry--MERINGUE</t>
  </si>
  <si>
    <t>charcuterie-COUNTRY PÂTÉ</t>
  </si>
  <si>
    <t>cooking--PAN-ROASTED</t>
  </si>
  <si>
    <t>cuisine-proteins-SHELLFISH (MOLLUSCS)</t>
  </si>
  <si>
    <t>cuisine-cooked-MUSHROOMS</t>
  </si>
  <si>
    <t>cuisine-raw-WHITE CABBAGE</t>
  </si>
  <si>
    <t>cuisine-starch-RED BEANS</t>
  </si>
  <si>
    <t>Poissonnerie--BASIC PREPARATIONS</t>
  </si>
  <si>
    <t>BAR--Syrups &amp; shrubs</t>
  </si>
  <si>
    <t>cuisine-LÁCTEOS + FÉCULAS</t>
  </si>
  <si>
    <t>pastelería--MERENGUE</t>
  </si>
  <si>
    <t>traiteur-PASTELERÍA DE CÁTERING</t>
  </si>
  <si>
    <t>charcutería-PATÉ DE CAMPAÑA</t>
  </si>
  <si>
    <t>cocción--A LA SARTÉN</t>
  </si>
  <si>
    <t>cuisine-proteínas-MOLUSCOS</t>
  </si>
  <si>
    <t>cuisine-cocido-CHAMPIÑONES</t>
  </si>
  <si>
    <t>cuisine-crudité-COL BLANCA</t>
  </si>
  <si>
    <t>cuisine-féculent-FRIJOLES/ALUBIAS ROJAS</t>
  </si>
  <si>
    <t>Poissonnerie--PREPARACIONES BÁSICAS</t>
  </si>
  <si>
    <t>BAR--Jarabes y shrubs</t>
  </si>
  <si>
    <t>cuisine-DAIRY-CHEESES</t>
  </si>
  <si>
    <t>pastry--MOUSSES</t>
  </si>
  <si>
    <t>charcuterie-LIVER PÂTÉ</t>
  </si>
  <si>
    <t>cooking--STEWED</t>
  </si>
  <si>
    <t>cuisine-proteins-CRUSTACEANS</t>
  </si>
  <si>
    <t>cuisine-cooked-WHITE CABBAGE</t>
  </si>
  <si>
    <t>cuisine-raw-RED CABBAGE</t>
  </si>
  <si>
    <t>cuisine-starch-SOISSON BEANS</t>
  </si>
  <si>
    <t>Poissonnerie--SAUCES &amp; BUTTERS</t>
  </si>
  <si>
    <t>BAR--Punches</t>
  </si>
  <si>
    <t>cuisine-LÁCTEOS-QUESOS</t>
  </si>
  <si>
    <t>pastelería--MOUSSES</t>
  </si>
  <si>
    <t>traiteur-ENSALADA COMPUESTA</t>
  </si>
  <si>
    <t>charcutería-PATÉ DE HÍGADO</t>
  </si>
  <si>
    <t>cocción--ESTOFADO</t>
  </si>
  <si>
    <t>cuisine-proteínas-CRUSTÁCEOS</t>
  </si>
  <si>
    <t>cuisine-cocido-COL BLANCA</t>
  </si>
  <si>
    <t>cuisine-crudité-COL ROJA (LOMBARDA)</t>
  </si>
  <si>
    <t>cuisine-féculent-ALUBIAS SOISSON</t>
  </si>
  <si>
    <t>Poissonnerie--SALSAS Y MANTEQUILLAS</t>
  </si>
  <si>
    <t>BAR--Ponches</t>
  </si>
  <si>
    <t>cuisine--PASTRIES</t>
  </si>
  <si>
    <t>pastry-DOUGH-BRIOCHE</t>
  </si>
  <si>
    <t>charcuterie--QUENELLES</t>
  </si>
  <si>
    <t>cooking--ROASTED</t>
  </si>
  <si>
    <t>cuisine-proteins-TURKEY</t>
  </si>
  <si>
    <t>cuisine-cooked-RED CABBAGE</t>
  </si>
  <si>
    <t>cuisine-raw-BROCCOLI</t>
  </si>
  <si>
    <t>cuisine-starch-WHITE BEANS</t>
  </si>
  <si>
    <t>Poissonnerie--COD</t>
  </si>
  <si>
    <t>BAR-Fermented-(kefir, kombucha)</t>
  </si>
  <si>
    <t>cuisine--PASTELERÍA</t>
  </si>
  <si>
    <t>pastelería-MASA-BRIOCHE</t>
  </si>
  <si>
    <t>traiteur-ENSALADA SIMPLE</t>
  </si>
  <si>
    <t>charcutería--QUENELLES</t>
  </si>
  <si>
    <t>cocción--ASADO</t>
  </si>
  <si>
    <t>cuisine-proteínas-PAVO</t>
  </si>
  <si>
    <t>cuisine-cocido-COL ROJA (LOMBARDA)</t>
  </si>
  <si>
    <t>cuisine-crudité-BRÓCOLI</t>
  </si>
  <si>
    <t>cuisine-féculent-ALUBIAS BLANCAS</t>
  </si>
  <si>
    <t>Poissonnerie--BACALAO</t>
  </si>
  <si>
    <t>BAR-Fermentadas-(kéfir, kombucha)</t>
  </si>
  <si>
    <t>cuisine-MAIN COURSE</t>
  </si>
  <si>
    <t>pastry-DOUGH-CROISSANTS</t>
  </si>
  <si>
    <t>charcuterie--RILLETTES</t>
  </si>
  <si>
    <t>cooking--BRINED</t>
  </si>
  <si>
    <t>cuisine-proteins-STUFFINGS</t>
  </si>
  <si>
    <t>cuisine-cooked-BROCCOLI</t>
  </si>
  <si>
    <t>cuisine-raw-CHINESE CABBAGE</t>
  </si>
  <si>
    <t>cuisine-starch-LENTILS</t>
  </si>
  <si>
    <t>Poissonnerie--SALMON</t>
  </si>
  <si>
    <t>cuisine-PLATO PRINCIPAL</t>
  </si>
  <si>
    <t>pastelería-MASA-CROISSANT</t>
  </si>
  <si>
    <t>traiteur-SALSA CALIENTE</t>
  </si>
  <si>
    <t>charcutería--RILLETTES</t>
  </si>
  <si>
    <t>cocción--SALMUERADO</t>
  </si>
  <si>
    <t>cuisine-proteínas-RELLENOS</t>
  </si>
  <si>
    <t>cuisine-cocido-BRÓCOLI</t>
  </si>
  <si>
    <t>cuisine-crudité-COL CHINA</t>
  </si>
  <si>
    <t>cuisine-féculent-LENTEJAS</t>
  </si>
  <si>
    <t>Poissonnerie--SALMÓN</t>
  </si>
  <si>
    <t>cuisine-COMPLETE DISHES</t>
  </si>
  <si>
    <t>pastry-DOUGH-PUFF PASTRY</t>
  </si>
  <si>
    <t>charcuterie--RILLONS</t>
  </si>
  <si>
    <t>cooking-SAUTEED-WITH SAUCE</t>
  </si>
  <si>
    <t>cuisine-proteins-GAME BIRDS</t>
  </si>
  <si>
    <t>cuisine-cooked-BRUSSELS SPROUTS</t>
  </si>
  <si>
    <t>cuisine-raw-CAULIFLOWER</t>
  </si>
  <si>
    <t>cuisine-starch-CORN (MAIZE)</t>
  </si>
  <si>
    <t>Poissonnerie--TUNA</t>
  </si>
  <si>
    <t>BAR--Fruity</t>
  </si>
  <si>
    <t>cuisine-PLATOS COMPLETOS</t>
  </si>
  <si>
    <t>pastelería-MASA-HOJALDRADA</t>
  </si>
  <si>
    <t>traiteur-SALSA EMULSIONADA CALIENTE</t>
  </si>
  <si>
    <t>charcutería--RILLONS (de cerdo)</t>
  </si>
  <si>
    <t>cocción-SALTEADO-CON SALSA</t>
  </si>
  <si>
    <t>cuisine-proteínas-CAZA DE PLUMA</t>
  </si>
  <si>
    <t>cuisine-cocido-COLES DE BRUSELAS</t>
  </si>
  <si>
    <t>cuisine-crudité-COLIFLOR</t>
  </si>
  <si>
    <t>cuisine-féculent-MAÍZ</t>
  </si>
  <si>
    <t>Poissonnerie--ATÚN</t>
  </si>
  <si>
    <t>BAR--Afrutado</t>
  </si>
  <si>
    <t>cuisine-FISH</t>
  </si>
  <si>
    <t>pastry-DOUGH-BREAD</t>
  </si>
  <si>
    <t>charcuterie--ROULADE</t>
  </si>
  <si>
    <t>cooking-SAUTEED-WITHOUT SAUCE</t>
  </si>
  <si>
    <t>cuisine-proteins-GAME (MAMMALS)</t>
  </si>
  <si>
    <t>cuisine-cooked-CHINESE CABBAGE</t>
  </si>
  <si>
    <t>cuisine-raw-ROMANESCO</t>
  </si>
  <si>
    <t>cuisine-starch-POTATOES</t>
  </si>
  <si>
    <t>Poissonnerie--SEA BREAM</t>
  </si>
  <si>
    <t>BAR--Creamy</t>
  </si>
  <si>
    <t>cuisine-PESCADOS</t>
  </si>
  <si>
    <t>pastelería-MASA-PAN</t>
  </si>
  <si>
    <t>traiteur-SALSA FRÍA</t>
  </si>
  <si>
    <t>charcutería--ROULADE</t>
  </si>
  <si>
    <t>cocción-SALTEADO-SIN SALSA</t>
  </si>
  <si>
    <t>cuisine-proteínas-CAZA DE PELO</t>
  </si>
  <si>
    <t>cuisine-cocido-COL CHINA</t>
  </si>
  <si>
    <t>cuisine-crudité-ROMANESCO</t>
  </si>
  <si>
    <t>cuisine-féculent-PATATAS</t>
  </si>
  <si>
    <t>Poissonnerie--DORADA</t>
  </si>
  <si>
    <t>BAR--Cremoso</t>
  </si>
  <si>
    <t>cuisine-HOT PREPARATIONS</t>
  </si>
  <si>
    <t>pastry-DOUGH-SANDWICH BREAD</t>
  </si>
  <si>
    <t>charcuterie--SAUSAGE</t>
  </si>
  <si>
    <t>cooking--STEAMED</t>
  </si>
  <si>
    <t>cuisine-proteins-JUS / STOCK</t>
  </si>
  <si>
    <t>cuisine-cooked-SAVOY CABBAGE</t>
  </si>
  <si>
    <t>cuisine-raw-CUCUMBERS</t>
  </si>
  <si>
    <t>cuisine-starch-PASTA</t>
  </si>
  <si>
    <t>Poissonnerie--HAKE</t>
  </si>
  <si>
    <t>BAR--Classics</t>
  </si>
  <si>
    <t>cuisine-PREPARACIONES CALIENTES</t>
  </si>
  <si>
    <t>pastelería-MASA-PAN DE MOLDE</t>
  </si>
  <si>
    <t>traiteur-TERRINA DE VERDURAS</t>
  </si>
  <si>
    <t>charcutería--SALCHICHA</t>
  </si>
  <si>
    <t>cocción--AL VAPOR</t>
  </si>
  <si>
    <t>cuisine-proteínas-JUS / CALDO</t>
  </si>
  <si>
    <t>cuisine-cocido-COL DE SABOYA</t>
  </si>
  <si>
    <t>cuisine-crudité-PEPINOS</t>
  </si>
  <si>
    <t>cuisine-féculent-PASTA</t>
  </si>
  <si>
    <t>Poissonnerie--MERLUZA</t>
  </si>
  <si>
    <t>BAR--Clásicos</t>
  </si>
  <si>
    <t>cuisine--MEATS</t>
  </si>
  <si>
    <t>pastry-DOUGH-SAVARIN</t>
  </si>
  <si>
    <t>charcuterie-LIVER SAUSAGE</t>
  </si>
  <si>
    <t>cuisine-proteins-RABBIT</t>
  </si>
  <si>
    <t>cuisine-cooked-CAULIFLOWER</t>
  </si>
  <si>
    <t>cuisine-raw-ZUCCHINI</t>
  </si>
  <si>
    <t>cuisine-starch-CHICKPEAS</t>
  </si>
  <si>
    <t>Poissonnerie--POLLOCK</t>
  </si>
  <si>
    <t>cuisine--CARNES</t>
  </si>
  <si>
    <t>pastelería-MASA-SAVARIN</t>
  </si>
  <si>
    <t>traiteur-TERRINA DE PESCADO</t>
  </si>
  <si>
    <t>charcutería-SALCHICHA DE HÍGADO</t>
  </si>
  <si>
    <t>cuisine-proteínas-CONEJO</t>
  </si>
  <si>
    <t>cuisine-cocido-COLIFLOR</t>
  </si>
  <si>
    <t>cuisine-crudité-CALABACINES</t>
  </si>
  <si>
    <t>cuisine-féculent-GARBANZOS</t>
  </si>
  <si>
    <t>Poissonnerie--ABADEJO</t>
  </si>
  <si>
    <t>BAR--De autor</t>
  </si>
  <si>
    <t>cuisine--POULTRY</t>
  </si>
  <si>
    <t>pastry-DOUGH-YEASTED</t>
  </si>
  <si>
    <t>charcuterie--OFFAL</t>
  </si>
  <si>
    <t>cuisine-proteins-MUTTON</t>
  </si>
  <si>
    <t>cuisine-cooked-ROMANESCO</t>
  </si>
  <si>
    <t>cuisine-raw-ENDIVES</t>
  </si>
  <si>
    <t>cuisine-starch-POLENTA</t>
  </si>
  <si>
    <t>Poissonnerie--FRESH (DAY)</t>
  </si>
  <si>
    <t>cuisine--AVES</t>
  </si>
  <si>
    <t>pastelería-MASA-LEVADA</t>
  </si>
  <si>
    <t>traiteur-TERRINA DE CARNE</t>
  </si>
  <si>
    <t>charcutería--CASCQUERÍA</t>
  </si>
  <si>
    <t>cuisine-proteínas-CARNE DE OVEJA (MUTTON)</t>
  </si>
  <si>
    <t>cuisine-cocido-ROMANESCO</t>
  </si>
  <si>
    <t>cuisine-crudité-ENDIVIAS</t>
  </si>
  <si>
    <t>Poissonnerie--FRESCO (DEL DÍA)</t>
  </si>
  <si>
    <t>BAR--Corto</t>
  </si>
  <si>
    <t>cuisine--SOUP</t>
  </si>
  <si>
    <t>pastry-DOUGH-SHORT/DRY</t>
  </si>
  <si>
    <t>charcuterie--CONFIT</t>
  </si>
  <si>
    <t>cuisine-proteins-EGGS</t>
  </si>
  <si>
    <t>cuisine-cooked-HEARTS OF PALM</t>
  </si>
  <si>
    <t>cuisine-raw-SPINACH</t>
  </si>
  <si>
    <t>cuisine-starch-RICE</t>
  </si>
  <si>
    <t>Poissonnerie--FROZEN</t>
  </si>
  <si>
    <t>cuisine--SOPA</t>
  </si>
  <si>
    <t>pastelería-MASA-SECA</t>
  </si>
  <si>
    <t>traiteur-TERRINA DE AVE</t>
  </si>
  <si>
    <t>charcutería--CONFITADO</t>
  </si>
  <si>
    <t>cuisine-proteínas-HUEVOS</t>
  </si>
  <si>
    <t>cuisine-cocido-PALMITOS</t>
  </si>
  <si>
    <t>cuisine-crudité-ESPINACAS</t>
  </si>
  <si>
    <t>cuisine-féculent-ARROZ</t>
  </si>
  <si>
    <t>Poissonnerie--CONGELADO</t>
  </si>
  <si>
    <t>BAR--Largo</t>
  </si>
  <si>
    <t>cuisine--EGGS</t>
  </si>
  <si>
    <t>pastry-DOUGH-SWEET (PÂTE SUCRÉE)</t>
  </si>
  <si>
    <t>charcuterie--PÂTÉS</t>
  </si>
  <si>
    <t>cuisine-proteins-FISH</t>
  </si>
  <si>
    <t>cuisine-cooked-CUCUMBERS</t>
  </si>
  <si>
    <t>cuisine-raw-FENNEL</t>
  </si>
  <si>
    <t>cuisine-starch-RUTABAGA</t>
  </si>
  <si>
    <t>Poissonnerie--STUFFED</t>
  </si>
  <si>
    <t>cuisine--HUEVOS</t>
  </si>
  <si>
    <t>pastelería-MASA-DULCE (PÂTE SUCRÉE)</t>
  </si>
  <si>
    <t>traiteur-BOCADITOS DE APERITIVO</t>
  </si>
  <si>
    <t>charcutería--PATÉS</t>
  </si>
  <si>
    <t>cuisine-proteínas-PESCADO</t>
  </si>
  <si>
    <t>cuisine-cocido-PEPINOS</t>
  </si>
  <si>
    <t>cuisine-crudité-HINOJO</t>
  </si>
  <si>
    <t>cuisine-féculent-NABO SUECO (RUTABAGA)</t>
  </si>
  <si>
    <t>Poissonnerie--RELLENO</t>
  </si>
  <si>
    <t>cuisine--SHELLFISH</t>
  </si>
  <si>
    <t>pastry-DOUGHS-FOR-…</t>
  </si>
  <si>
    <t>charcuterie--TERRINES</t>
  </si>
  <si>
    <t>cuisine-proteins-PORK</t>
  </si>
  <si>
    <t>cuisine-cooked-SQUASH</t>
  </si>
  <si>
    <t>cuisine-raw-TURNIPS</t>
  </si>
  <si>
    <t>cuisine-starch-SEMOLINA (COUSCOUS)</t>
  </si>
  <si>
    <t>cuisine--CRUSTÁCEOS</t>
  </si>
  <si>
    <t>pastelería-MASAS-PARA-…</t>
  </si>
  <si>
    <t>traiteur-BUFÉ FRÍO</t>
  </si>
  <si>
    <t>charcutería--TERRINAS</t>
  </si>
  <si>
    <t>cuisine-proteínas-CERDO</t>
  </si>
  <si>
    <t>cuisine-cocido-CALABAZA</t>
  </si>
  <si>
    <t>cuisine-crudité-NABOS</t>
  </si>
  <si>
    <t>cuisine-féculent-SÉMOLA (COUSCOUS)</t>
  </si>
  <si>
    <t>cuisine--SAUTE</t>
  </si>
  <si>
    <t>pastry-FRUIT PASTES (PÂTES DE FRUITS)</t>
  </si>
  <si>
    <t>cuisine-proteins-HEN</t>
  </si>
  <si>
    <t>cuisine-cooked-ZUCCHINI</t>
  </si>
  <si>
    <t>cuisine-raw-ONIONS</t>
  </si>
  <si>
    <t>cuisine-starch-JERUSALEM ARTICHOKE</t>
  </si>
  <si>
    <t>cuisine--SALTEADO</t>
  </si>
  <si>
    <t>pastelería-PÂTES-DE-FRUITS (DULCES DE FRUTA)</t>
  </si>
  <si>
    <t>traiteur-BUFÉ CALIENTE</t>
  </si>
  <si>
    <t>cuisine-proteínas-GALLINA</t>
  </si>
  <si>
    <t>cuisine-cocido-CALABACINES</t>
  </si>
  <si>
    <t>cuisine-crudité-CEBOLLAS</t>
  </si>
  <si>
    <t>cuisine-féculent-ALCACHOFA DE JERUSALÉN</t>
  </si>
  <si>
    <t>cuisine--STEW</t>
  </si>
  <si>
    <t>pastry--PETITS FOURS</t>
  </si>
  <si>
    <t>charcuterie--SAUSAGES (casings)</t>
  </si>
  <si>
    <t>cuisine-proteins-CHICKEN</t>
  </si>
  <si>
    <t>cuisine-cooked-CROSNE (CHINESE ARTICHOKE)</t>
  </si>
  <si>
    <t>cuisine-raw-YELLOW BELL PEPPERS</t>
  </si>
  <si>
    <t>cuisine--ESTOFADO</t>
  </si>
  <si>
    <t>pastelería--PETITS FOURS</t>
  </si>
  <si>
    <t>traiteur-ENSALADAS COMPUESTAS</t>
  </si>
  <si>
    <t>charcutería--SALCHICHAS (en tripa)</t>
  </si>
  <si>
    <t>cuisine-proteínas-POLLO</t>
  </si>
  <si>
    <t>cuisine-cocido-CROSNE (ALCACHOFA CHINA)</t>
  </si>
  <si>
    <t>cuisine-crudité-PIMIENTOS AMARILLOS</t>
  </si>
  <si>
    <t>pastry--PUDDING</t>
  </si>
  <si>
    <t>charcuterie--HAMS &amp; CURED MEATS</t>
  </si>
  <si>
    <t>cuisine-proteins-VEAL</t>
  </si>
  <si>
    <t>cuisine-cooked-ENDIVES</t>
  </si>
  <si>
    <t>cuisine-raw-RED BELL PEPPERS</t>
  </si>
  <si>
    <t>cuisine--GRATÉN</t>
  </si>
  <si>
    <t>pastelería--PUDIN</t>
  </si>
  <si>
    <t>charcutería--JAMONES Y SALAZONES</t>
  </si>
  <si>
    <t>cuisine-proteínas-TERNERA</t>
  </si>
  <si>
    <t>cuisine-cocido-ENDIVIAS</t>
  </si>
  <si>
    <t>cuisine-crudité-PIMIENTOS ROJOS</t>
  </si>
  <si>
    <t>cuisine--PORK</t>
  </si>
  <si>
    <t>pastry--VIENNOISERIES</t>
  </si>
  <si>
    <t>charcuterie--BALLOTINES</t>
  </si>
  <si>
    <t>cuisine-cooked-SPINACH</t>
  </si>
  <si>
    <t>cuisine-raw-GREEN BELL PEPPERS</t>
  </si>
  <si>
    <t>cuisine--CERDO</t>
  </si>
  <si>
    <t>pastelería--VIENNOISERIES</t>
  </si>
  <si>
    <t>traiteur--HOJALDRES</t>
  </si>
  <si>
    <t>charcutería--BALOTINAS</t>
  </si>
  <si>
    <t>cuisine-cocido-ESPINACAS</t>
  </si>
  <si>
    <t>cuisine-crudité-PIMIENTOS VERDES</t>
  </si>
  <si>
    <t>cuisine--VEAL</t>
  </si>
  <si>
    <t>pastry--TARTS</t>
  </si>
  <si>
    <t>charcuterie--ASPICS</t>
  </si>
  <si>
    <t>cuisine-cooked-FENNEL</t>
  </si>
  <si>
    <t>cuisine-raw-BLACK RADISHES</t>
  </si>
  <si>
    <t>cuisine--TERNERA</t>
  </si>
  <si>
    <t>pastelería--TARTAS</t>
  </si>
  <si>
    <t>charcutería--ASPICS</t>
  </si>
  <si>
    <t>cuisine-cocido-HINOJO</t>
  </si>
  <si>
    <t>cuisine-crudité-RÁBANOS NEGROS</t>
  </si>
  <si>
    <t>cuisine--LAMB</t>
  </si>
  <si>
    <t>pastry--MACARONS</t>
  </si>
  <si>
    <t>charcuterie--HEAD CHEESE</t>
  </si>
  <si>
    <t>cuisine-cooked-TURNIPS</t>
  </si>
  <si>
    <t>cuisine-raw-RED RADISHES</t>
  </si>
  <si>
    <t>cuisine--CORDERO</t>
  </si>
  <si>
    <t>pastelería--MACARONS</t>
  </si>
  <si>
    <t>traiteur--PLATOS</t>
  </si>
  <si>
    <t>charcutería--QUESO DE CABEZA</t>
  </si>
  <si>
    <t>cuisine-cocido-NABOS</t>
  </si>
  <si>
    <t>cuisine-crudité-RÁBANOS ROSAS</t>
  </si>
  <si>
    <t>pastry--CHOCOLATE WORK</t>
  </si>
  <si>
    <t>charcuterie--CONFITS</t>
  </si>
  <si>
    <t>cuisine-cooked-ONIONS</t>
  </si>
  <si>
    <t>cuisine-raw-SALAD BATAVIA</t>
  </si>
  <si>
    <t>pastelería--CHOCOLATERÍA</t>
  </si>
  <si>
    <t>traiteur--GUARNICIONES</t>
  </si>
  <si>
    <t>charcutería--CONFITS</t>
  </si>
  <si>
    <t>cuisine-cocido-CEBOLLAS</t>
  </si>
  <si>
    <t>cuisine-crudité-ENSALADA BATAVIA</t>
  </si>
  <si>
    <t>pastry--CREAMS &amp; MOUSSES</t>
  </si>
  <si>
    <t>charcuterie--SMOKED PRODUCTS</t>
  </si>
  <si>
    <t>cuisine-cooked-PATTYPAN SQUASH</t>
  </si>
  <si>
    <t>cuisine-raw-SALAD CHICORY</t>
  </si>
  <si>
    <t>pastelería--CREMAS Y MOUSSES</t>
  </si>
  <si>
    <t>charcutería--AHUMADOS</t>
  </si>
  <si>
    <t>cuisine-cocido-PATISSON (CALABAZA BONETERA)</t>
  </si>
  <si>
    <t>cuisine-crudité-ENSALADA ACHICORIA</t>
  </si>
  <si>
    <t>pastry--BASIC DOUGHS</t>
  </si>
  <si>
    <t>charcuterie--CRACKLINGS</t>
  </si>
  <si>
    <t>cuisine-cooked-YELLOW BELL PEPPERS</t>
  </si>
  <si>
    <t>cuisine-raw-SALAD CRESS</t>
  </si>
  <si>
    <t>pastelería--MASAS BÁSICAS</t>
  </si>
  <si>
    <t>charcutería--CHICHARRONES</t>
  </si>
  <si>
    <t>cuisine-cocido-PIMIENTOS AMARILLOS</t>
  </si>
  <si>
    <t>cuisine-crudité-ENSALADA BERRO</t>
  </si>
  <si>
    <t>pastry--YULE LOGS (BÛCHES)</t>
  </si>
  <si>
    <t>cuisine-cooked-RED BELL PEPPERS</t>
  </si>
  <si>
    <t>cuisine-raw-SALAD ENDIVE</t>
  </si>
  <si>
    <t>pastelería--TRONCOS (BÛCHES)</t>
  </si>
  <si>
    <t>cuisine-cocido-PIMIENTOS ROJOS</t>
  </si>
  <si>
    <t>cuisine-crudité-ENSALADA ENDIVIA</t>
  </si>
  <si>
    <t>cuisine-cooked-GREEN BELL PEPPERS</t>
  </si>
  <si>
    <t>cuisine-raw-SALAD OAK LEAF</t>
  </si>
  <si>
    <t>cuisine-cocido-PIMIENTOS VERDES</t>
  </si>
  <si>
    <t>cuisine-crudité-ENSALADA HOJA DE ROBLE</t>
  </si>
  <si>
    <t>pastry--ICE CREAM &amp; FROZEN DESSERTS</t>
  </si>
  <si>
    <t>cuisine-cooked-PUMPKIN</t>
  </si>
  <si>
    <t>cuisine-raw-SALAD FRISÉE</t>
  </si>
  <si>
    <t>pastelería--HELADERÍA</t>
  </si>
  <si>
    <t>cuisine-cocido-CALABAZA (POTIRON)</t>
  </si>
  <si>
    <t>cuisine-crudité-ENSALADA FRISÉE</t>
  </si>
  <si>
    <t>pastry--DECORATIONS</t>
  </si>
  <si>
    <t>cuisine-cooked-BAMBOO SHOOTS</t>
  </si>
  <si>
    <t>cuisine-raw-SALAD ICEBERG</t>
  </si>
  <si>
    <t>pastelería--DECORACIONES</t>
  </si>
  <si>
    <t>cuisine-cocido-BROTES DE BAMBÚ</t>
  </si>
  <si>
    <t>cuisine-crudité-ENSALADA ICEBERG</t>
  </si>
  <si>
    <t>cuisine-cooked-BLACK RADISHES</t>
  </si>
  <si>
    <t>cuisine-raw-SALAD KRISETTE</t>
  </si>
  <si>
    <t>cuisine-cocido-RÁBANOS NEGROS</t>
  </si>
  <si>
    <t>cuisine-crudité-ENSALADA KRISETTE</t>
  </si>
  <si>
    <t>cuisine-cooked-RED RADISHES</t>
  </si>
  <si>
    <t>cuisine-raw-SALAD LETTUCE</t>
  </si>
  <si>
    <t>cuisine-cocido-RÁBANOS ROSAS</t>
  </si>
  <si>
    <t>cuisine-crudité-ENSALADA LECHUGA</t>
  </si>
  <si>
    <t>cuisine-cooked-LETTUCE</t>
  </si>
  <si>
    <t>cuisine-raw-SALAD LOLLO ROSA</t>
  </si>
  <si>
    <t>cuisine-cocido-LECHUGA</t>
  </si>
  <si>
    <t>cuisine-crudité-ENSALADA LOLLO ROSA</t>
  </si>
  <si>
    <t>cuisine-cooked-SALSIFY</t>
  </si>
  <si>
    <t>cuisine-raw-SALAD LAMB’S LETTUCE (MÂCHE)</t>
  </si>
  <si>
    <t>cuisine-cocido-SALSIFÍ</t>
  </si>
  <si>
    <t>cuisine-crudité-ENSALADA CANÓNIGOS (MÂCHE)</t>
  </si>
  <si>
    <t>cuisine-cooked-SOY</t>
  </si>
  <si>
    <t>cuisine-raw-SALAD MESCLUN</t>
  </si>
  <si>
    <t>cuisine-cocido-SOJA</t>
  </si>
  <si>
    <t>cuisine-crudité-ENSALADA MESCLUN</t>
  </si>
  <si>
    <t>cuisine-cooked-CHERRY TOMATOES</t>
  </si>
  <si>
    <t>cuisine-raw-SALAD DANDELION</t>
  </si>
  <si>
    <t>cuisine-cocido-TOMATES CHERRY</t>
  </si>
  <si>
    <t>cuisine-crudité-ENSALADA DIENTE DE LEÓN</t>
  </si>
  <si>
    <t>cuisine-cooked-MARMANDE TOMATOES</t>
  </si>
  <si>
    <t>cuisine-raw-SALAD ROMAINE</t>
  </si>
  <si>
    <t>cuisine-cocido-TOMATES MARMANDE</t>
  </si>
  <si>
    <t>cuisine-crudité-ENSALADA ROMANA</t>
  </si>
  <si>
    <t>cuisine-cooked-OLIVETTE (PLUM) TOMATOES</t>
  </si>
  <si>
    <t>cuisine-raw-SALAD ESCAROLE</t>
  </si>
  <si>
    <t>cuisine-cocido-TOMATES OLIVETTE (PERA)</t>
  </si>
  <si>
    <t>cuisine-crudité-ENSALADA ESCAROLA</t>
  </si>
  <si>
    <t>cuisine-cooked-ROMA TOMATOES</t>
  </si>
  <si>
    <t>cuisine-raw-SALAD TREVISO</t>
  </si>
  <si>
    <t>cuisine-cocido-TOMATES ROMA</t>
  </si>
  <si>
    <t>cuisine-crudité-ENSALADA TREVISO</t>
  </si>
  <si>
    <t>cuisine-raw-SALAD (GENERAL)</t>
  </si>
  <si>
    <t>cuisine-crudité-ENSALADA (GENERAL)</t>
  </si>
  <si>
    <t>COMPOSED SALADS</t>
  </si>
  <si>
    <t>ENSALADAS COMPUESTAS</t>
  </si>
  <si>
    <t>cuisine-raw-SALSIFY</t>
  </si>
  <si>
    <t>cuisine-crudité-SALSIFÍ</t>
  </si>
  <si>
    <t>cuisine-raw-SOY</t>
  </si>
  <si>
    <t>cuisine-raw-TOMATOES</t>
  </si>
  <si>
    <t>cuisine-raw-CHERRY TOMATOES</t>
  </si>
  <si>
    <t>cuisine-crudité-TOMATES CHERRY</t>
  </si>
  <si>
    <t>cuisine-raw-MARMANDE TOMATOES</t>
  </si>
  <si>
    <t>cuisine-raw-OLIVETTE (PLUM) TOMATOES</t>
  </si>
  <si>
    <t>cuisine-crudité-TOMATES OLIVETTE (PERA)</t>
  </si>
  <si>
    <t>cuisine-raw-ROMA TOMATOES</t>
  </si>
  <si>
    <t>cuisine-crudité-TOMATES ROMA</t>
  </si>
  <si>
    <t>Collez cette ligne de séparation avec un "A" entre 2 Postits  -  Paste this separation line with an “A” between 2 Postits  -  Pegue esta línea de separación con una “A” entre 2 Postits.</t>
  </si>
  <si>
    <t>Collez la photo du plat - (alt.) Insert the photo of the dish - (alt.) Inserte la foto del plato.</t>
  </si>
  <si>
    <t>ou collez un imprim' écran - or paste a screenshot - o pegue una captura de pantalla (alt.: “un pantallazo”)</t>
  </si>
  <si>
    <t xml:space="preserve">  ▼ BROUILLON - DRAFT - BORRADOR</t>
  </si>
  <si>
    <t>Joel Leboucher - Rochefort sur Mer 11 Octobre 2025</t>
  </si>
  <si>
    <t>The translations were made with the help of ChatGPT.</t>
  </si>
  <si>
    <t>Les traductions ont été faites avec l'aide de ChatGPT</t>
  </si>
  <si>
    <t>Las traducciones se hicieron con la ayuda de ChatGPT.</t>
  </si>
  <si>
    <t>CET AIDE MÉMOIRE  REGROUPE    X ? EXTRAITS de RECETTES DE ?                                    THIS MEMO GROUPS TOGETHER X ? EXCERPTS OF RECIPES FROM ?                                    ESTE RECORDATORIO REÚNE X ? EXTRACTOS DE RECETAS DE ?</t>
  </si>
  <si>
    <t>A chacun de choisir son mode de classement : Exemple PÂTE A CIGARETTES à répertorier dans  P ou dans C ?</t>
  </si>
  <si>
    <t>Each person can choose their own filing method: Example—PÂTE A CIGARETTES: file under P or under C?</t>
  </si>
  <si>
    <t>Cada quien puede elegir su modo de clasificación: Ejemplo—PÂTE A CIGARETTES: clasificar en P o en C?</t>
  </si>
  <si>
    <t xml:space="preserve">Ces documents sont le fruit de mon expérience en restauration collective </t>
  </si>
  <si>
    <t>ainsi que du travail de passionnés qui ont partagé leurs formules et fonctions Excel en ligne.</t>
  </si>
  <si>
    <t>ff. pour fiche de fabrication</t>
  </si>
  <si>
    <t xml:space="preserve">Le Mondial de la Pifométrie &gt; </t>
  </si>
  <si>
    <t>https://www.google.com/search?client=firefox-b-d&amp;q=Mondial+de+la+Pifom%C3%A9trie</t>
  </si>
  <si>
    <t>https://www.appvizer.fr/magazine/collaboration/km/gestion-des-connaissances</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</si>
  <si>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</si>
  <si>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</si>
  <si>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</si>
  <si>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</si>
  <si>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1️⃣ Faites un clic droit sur l’onglet de la fiche.</t>
  </si>
  <si>
    <t>2️⃣ Sélectionnez "Déplacer ou copier...".</t>
  </si>
  <si>
    <t>3️⃣ Choisissez "(nouveau classeur)", cochez "Créer une copie", puis cliquez sur OK.</t>
  </si>
  <si>
    <t>3️⃣ Choose “(new workbook)”, check “Create a copy”, then click OK.</t>
  </si>
  <si>
    <t>4️⃣ Dans le nouveau classeur, allez dans "Fichier" &gt; "Enregistrer sous", nommez et enregistrez le fichier.</t>
  </si>
  <si>
    <t>Votre fiche est prête à être envoyée ! ✅</t>
  </si>
  <si>
    <t>📌 Instructions de copie des postits</t>
  </si>
  <si>
    <t>🇫🇷 Sélectionnez un postit  🟦, copiez-le (Ctrl + C 📋), puis collez-le (Ctrl + V 📥) à l'endroit souhaité dans une autre feuille, puis ajustez la largeur des colonnes si nécessaire.</t>
  </si>
  <si>
    <t>Récupérez les formules pour vos documents</t>
  </si>
  <si>
    <t>Constituez vous des répertoires par lettres Alphabétiques</t>
  </si>
  <si>
    <t xml:space="preserve">Pour l'identification de vos fiches vous avez le choix </t>
  </si>
  <si>
    <t>Lien&gt;</t>
  </si>
  <si>
    <t xml:space="preserve"> la Piffométrie</t>
  </si>
  <si>
    <t>entre la numérotation et l'identification Alpha</t>
  </si>
  <si>
    <t>N°2</t>
  </si>
  <si>
    <t>https://savour.eu/portfolio/pifometrie/</t>
  </si>
  <si>
    <t xml:space="preserve">Alpha vous permet de vous constituer des répertoires </t>
  </si>
  <si>
    <t>et</t>
  </si>
  <si>
    <t xml:space="preserve">et de regrouper des préparations pour vous permettre </t>
  </si>
  <si>
    <t>the Wet Finger Institute</t>
  </si>
  <si>
    <t>de faire des assemblages</t>
  </si>
  <si>
    <t>à la louche</t>
  </si>
  <si>
    <t>au pif</t>
  </si>
  <si>
    <t>à vue de nez</t>
  </si>
  <si>
    <t>au doigt muoillé</t>
  </si>
  <si>
    <t>Cliquez aussi sur les liens du net</t>
  </si>
  <si>
    <t>Recettes !  Le français des sciences</t>
  </si>
  <si>
    <t>Recipes!  French for science</t>
  </si>
  <si>
    <t>https://dupala.be/upload/files/141_Pages-de-D-un-e-prof-a-l-autre-Numero-71-Octobre-2014-page15-16.pdf</t>
  </si>
  <si>
    <t>Je remercie chaleureusement les internautes passionnés qui élaborent et proposent des formules et fonctions imbriquées</t>
  </si>
  <si>
    <t>un lien rompu ou devenu obsolète…..pas de panique…Google saura vous retrouver un document équivalent</t>
  </si>
  <si>
    <t>Barquette(s)</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</si>
  <si>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</si>
  <si>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</si>
  <si>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</si>
  <si>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</si>
  <si>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</si>
  <si>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</si>
  <si>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</si>
  <si>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</si>
  <si>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</si>
  <si>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</si>
  <si>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</si>
  <si>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</si>
  <si>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</si>
  <si>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</si>
  <si>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</si>
  <si>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</si>
  <si>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</si>
  <si>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</si>
  <si>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</si>
  <si>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</si>
  <si>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</si>
  <si>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</si>
  <si>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Coller la formule ci-dessous dans une cellule puis</t>
  </si>
  <si>
    <t>dans la formule figer toutes les lettres de colonnes par un     exemple COLONNE(X75)</t>
  </si>
  <si>
    <t>E etc…</t>
  </si>
  <si>
    <r>
      <t>Tirez la poignée de recopie vers la droite</t>
    </r>
    <r>
      <rPr>
        <sz val="20"/>
        <color theme="0"/>
        <rFont val="Calibri"/>
        <family val="2"/>
        <scheme val="minor"/>
      </rPr>
      <t xml:space="preserve"> pour étendre la formule aux cellules suivantes </t>
    </r>
  </si>
  <si>
    <t>Quelques polices de caractères utilisées</t>
  </si>
  <si>
    <t>Quelques formats utilisés</t>
  </si>
  <si>
    <t>Arial</t>
  </si>
  <si>
    <t>Calibri</t>
  </si>
  <si>
    <t>Rockwell</t>
  </si>
  <si>
    <t>Verdana</t>
  </si>
  <si>
    <t>15.5 &gt;</t>
  </si>
  <si>
    <t>ARIAL</t>
  </si>
  <si>
    <t>CALIBRI</t>
  </si>
  <si>
    <t>ROCKWELL</t>
  </si>
  <si>
    <t>VERDANA</t>
  </si>
  <si>
    <t>personnalisés &gt;</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</si>
  <si>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</si>
  <si>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</si>
  <si>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</si>
  <si>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</si>
  <si>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</si>
  <si>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</si>
  <si>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</si>
  <si>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</si>
  <si>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</si>
  <si>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</si>
  <si>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</si>
  <si>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</si>
  <si>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</si>
  <si>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</si>
  <si>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</si>
  <si>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</si>
  <si>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</si>
  <si>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</si>
  <si>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</si>
  <si>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</si>
  <si>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</si>
  <si>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</si>
  <si>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</si>
  <si>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</si>
  <si>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</si>
  <si>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</si>
  <si>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</si>
  <si>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</si>
  <si>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</si>
  <si>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</si>
  <si>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</si>
  <si>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</si>
  <si>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</si>
  <si>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</si>
  <si>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r>
      <t xml:space="preserve">La </t>
    </r>
    <r>
      <rPr>
        <b/>
        <sz val="16"/>
        <color theme="1"/>
        <rFont val="Cambria"/>
        <family val="1"/>
      </rPr>
      <t>police</t>
    </r>
    <r>
      <rPr>
        <sz val="16"/>
        <color theme="1"/>
        <rFont val="Cambria"/>
        <family val="1"/>
      </rPr>
      <t xml:space="preserve"> Cambria a été conçue spécifiquement </t>
    </r>
    <r>
      <rPr>
        <b/>
        <sz val="16"/>
        <color theme="1"/>
        <rFont val="Cambria"/>
        <family val="1"/>
      </rPr>
      <t>pour</t>
    </r>
    <r>
      <rPr>
        <sz val="16"/>
        <color theme="1"/>
        <rFont val="Cambria"/>
        <family val="1"/>
      </rPr>
      <t xml:space="preserve"> être lue à l'écran. ...</t>
    </r>
  </si>
  <si>
    <t>Quelle police avec Cambria ?</t>
  </si>
  <si>
    <r>
      <t xml:space="preserve">Caladea (créée comme une </t>
    </r>
    <r>
      <rPr>
        <b/>
        <sz val="16"/>
        <color theme="1"/>
        <rFont val="Cambria"/>
        <family val="1"/>
      </rPr>
      <t>police</t>
    </r>
    <r>
      <rPr>
        <sz val="16"/>
        <color theme="1"/>
        <rFont val="Cambria"/>
        <family val="1"/>
      </rPr>
      <t xml:space="preserve"> supplémentaire de Chrome OS) a les mêmes métriques </t>
    </r>
  </si>
  <si>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</si>
  <si>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</si>
  <si>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</si>
  <si>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</si>
  <si>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</si>
  <si>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</si>
  <si>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</si>
  <si>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couleur de police blanc sur fond gris à modifier pour vos documents</t>
  </si>
  <si>
    <t>cliquez sur la colonne  C et sélectionnez dans la barre de formule le numéro ou la lettre qui vous intéresse choisissez la police de caractères et la couleur qui vous conviennent</t>
  </si>
  <si>
    <t>Ⓐ Ⓑ Ⓒ Ⓓ Ⓔ Ⓕ Ⓖ Ⓗ Ⓘ Ⓙ Ⓚ Ⓛ Ⓜ Ⓝ Ⓞ Ⓟ Ⓠ Ⓡ Ⓢ Ⓣ Ⓤ Ⓥ Ⓦ Ⓧ Ⓧ Ⓩ MAJUSCULES</t>
  </si>
  <si>
    <t>Illustrations avec les émojis</t>
  </si>
  <si>
    <t>ⓐ ⓑ ⓒ ⓓ ⓔ ⓕ ⓕ ⓗ ⓗ ⓘ ⓙ ⓚ ⓛ ⓜ ⓝ ⓞ ⓟ ⓠ ⓡ ⓡ ⓣ ⓤ ⓥ ⓦ ⓧ ⓨ ⓩ minuscules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</si>
  <si>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</si>
  <si>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</si>
  <si>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</si>
  <si>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</si>
  <si>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</si>
  <si>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</si>
  <si>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</si>
  <si>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</si>
  <si>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</si>
  <si>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</si>
  <si>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</si>
  <si>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</si>
  <si>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</si>
  <si>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</si>
  <si>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</si>
  <si>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</si>
  <si>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</si>
  <si>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</si>
  <si>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</si>
  <si>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</si>
  <si>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</si>
  <si>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</si>
  <si>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</si>
  <si>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</si>
  <si>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</si>
  <si>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</si>
  <si>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</si>
  <si>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</si>
  <si>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</si>
  <si>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</si>
  <si>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</si>
  <si>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</si>
  <si>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</si>
  <si>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</si>
  <si>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</si>
  <si>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</si>
  <si>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</si>
  <si>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</si>
  <si>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</si>
  <si>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</si>
  <si>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</si>
  <si>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</si>
  <si>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</si>
  <si>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</si>
  <si>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</si>
  <si>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</si>
  <si>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</si>
  <si>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</si>
  <si>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</si>
  <si>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</si>
  <si>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</si>
  <si>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</si>
  <si>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</si>
  <si>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</si>
  <si>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</si>
  <si>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</si>
  <si>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</si>
  <si>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</si>
  <si>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</si>
  <si>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</si>
  <si>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</si>
  <si>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</si>
  <si>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</si>
  <si>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</si>
  <si>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</si>
  <si>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</si>
  <si>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</si>
  <si>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</si>
  <si>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</si>
  <si>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</si>
  <si>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</si>
  <si>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</si>
  <si>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</si>
  <si>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</si>
  <si>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</si>
  <si>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</si>
  <si>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</si>
  <si>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</si>
  <si>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</si>
  <si>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</si>
  <si>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t>
  </si>
  <si>
    <t>Ⓑ</t>
  </si>
  <si>
    <t>Ⓒ</t>
  </si>
  <si>
    <t xml:space="preserve"> Ⓓ</t>
  </si>
  <si>
    <t>Ⓔ</t>
  </si>
  <si>
    <t>Ⓕ</t>
  </si>
  <si>
    <t>Ⓖ</t>
  </si>
  <si>
    <t>Ⓗ</t>
  </si>
  <si>
    <t>Ⓘ</t>
  </si>
  <si>
    <t>Ⓙ</t>
  </si>
  <si>
    <t>Ⓚ</t>
  </si>
  <si>
    <t>Ⓛ</t>
  </si>
  <si>
    <t>Ⓜ</t>
  </si>
  <si>
    <t>⓿</t>
  </si>
  <si>
    <t>❶</t>
  </si>
  <si>
    <t>❸</t>
  </si>
  <si>
    <t>❹</t>
  </si>
  <si>
    <t>❺</t>
  </si>
  <si>
    <t>❻</t>
  </si>
  <si>
    <t>❼</t>
  </si>
  <si>
    <t>❽</t>
  </si>
  <si>
    <t>❿</t>
  </si>
  <si>
    <t>Ⓝ</t>
  </si>
  <si>
    <t>Ⓞ</t>
  </si>
  <si>
    <t>Ⓟ</t>
  </si>
  <si>
    <t>Ⓠ</t>
  </si>
  <si>
    <t>Ⓡ</t>
  </si>
  <si>
    <t>Ⓢ</t>
  </si>
  <si>
    <t>Ⓣ</t>
  </si>
  <si>
    <t>Ⓤ</t>
  </si>
  <si>
    <t>Ⓥ</t>
  </si>
  <si>
    <t>Ⓦ</t>
  </si>
  <si>
    <t>Ⓧ</t>
  </si>
  <si>
    <t>Ⓩ</t>
  </si>
  <si>
    <t>⓬</t>
  </si>
  <si>
    <t>⓭</t>
  </si>
  <si>
    <t>⓮</t>
  </si>
  <si>
    <t>⓯</t>
  </si>
  <si>
    <t>⓰</t>
  </si>
  <si>
    <t>⓱</t>
  </si>
  <si>
    <t>⓲</t>
  </si>
  <si>
    <t>⓳</t>
  </si>
  <si>
    <t>⓴</t>
  </si>
  <si>
    <t>⓪</t>
  </si>
  <si>
    <t>①</t>
  </si>
  <si>
    <t>②</t>
  </si>
  <si>
    <t>⑥</t>
  </si>
  <si>
    <t>⑦</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</si>
  <si>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</si>
  <si>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</si>
  <si>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</si>
  <si>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</si>
  <si>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</si>
  <si>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</si>
  <si>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</si>
  <si>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</si>
  <si>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</si>
  <si>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</si>
  <si>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</si>
  <si>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</si>
  <si>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</si>
  <si>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</si>
  <si>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</si>
  <si>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</si>
  <si>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</si>
  <si>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</si>
  <si>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</si>
  <si>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</si>
  <si>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</si>
  <si>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</si>
  <si>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</si>
  <si>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</si>
  <si>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</si>
  <si>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</si>
  <si>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</si>
  <si>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</si>
  <si>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</si>
  <si>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</si>
  <si>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</si>
  <si>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</si>
  <si>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</si>
  <si>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</si>
  <si>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</si>
  <si>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</si>
  <si>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</si>
  <si>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</si>
  <si>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</si>
  <si>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</si>
  <si>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</si>
  <si>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</si>
  <si>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</si>
  <si>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</si>
  <si>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ø</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</si>
  <si>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</si>
  <si>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</si>
  <si>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</si>
  <si>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</si>
  <si>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</si>
  <si>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</si>
  <si>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</si>
  <si>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</si>
  <si>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</si>
  <si>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</si>
  <si>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</si>
  <si>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</si>
  <si>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</si>
  <si>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</si>
  <si>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</si>
  <si>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</si>
  <si>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</si>
  <si>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</si>
  <si>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</si>
  <si>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</si>
  <si>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</si>
  <si>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</si>
  <si>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</si>
  <si>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</si>
  <si>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</si>
  <si>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</si>
  <si>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</si>
  <si>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</si>
  <si>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</si>
  <si>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</si>
  <si>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ou copier-coller</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</si>
  <si>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</si>
  <si>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</si>
  <si>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</si>
  <si>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</si>
  <si>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</si>
  <si>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</si>
  <si>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</si>
  <si>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</si>
  <si>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</si>
  <si>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</si>
  <si>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</si>
  <si>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</si>
  <si>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</si>
  <si>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q</t>
  </si>
  <si>
    <t>p</t>
  </si>
  <si>
    <t>Classeur évolutif</t>
  </si>
  <si>
    <t>Modèles de fiches “nouvelle génération” prêts à adapter (liens, formats, formules, tableaux) + exemples pour démarrer vite.</t>
  </si>
  <si>
    <t>Mise en route rapide</t>
  </si>
  <si>
    <t>Langues prises en charge (depuis 2022)</t>
  </si>
  <si>
    <t>Conversions automatiques</t>
  </si>
  <si>
    <t>Public visé</t>
  </si>
  <si>
    <t>Gains attendus</t>
  </si>
  <si>
    <t>Moins d’erreurs (formats/uniformisation).</t>
  </si>
  <si>
    <t>Temps gagné sur les conversions et la mise en page.</t>
  </si>
  <si>
    <t>Capitalisation du savoir (réutilisation de modèles et de formules).</t>
  </si>
  <si>
    <t>Culture &amp; bonnes pratiques</t>
  </si>
  <si>
    <t>Repère express pour Excel</t>
  </si>
  <si>
    <t>Dupliquez un modèle, copiez/collez les formats.</t>
  </si>
  <si>
    <t>Ajoutez/ajustez les formules.</t>
  </si>
  <si>
    <t>Gardez des libellés strictement identiques (orthographe/espaces) pour éviter les erreurs de recherche.</t>
  </si>
  <si>
    <t>FR / EN / ES pour la saisie et l’utilisation des unités.</t>
  </si>
  <si>
    <t>Calcul poids ↔ volume selon le modèle, sans manipulation manuelle.</t>
  </si>
  <si>
    <t>Centres de formation &amp; professionnels qui veulent structurer, standardiser et optimiser leur production documentaire.</t>
  </si>
  <si>
    <t>Pensez “bataille navale” : Excel calcule à partir des positions relatives des cellules (ligne, colonne, diagonale).</t>
  </si>
  <si>
    <t>Unités couvertes (exemples):</t>
  </si>
  <si>
    <t>Partagez votre expérience : l’essentiel, c’est votre savoir-faire et la manière dont vous l’appliquez.</t>
  </si>
  <si>
    <t>Ne pas tout savoir n’a rien de dévalorisant : on valorise surtout vos compétences et leur mise en pratique.</t>
  </si>
  <si>
    <t>Formules en Français Excel 2021</t>
  </si>
  <si>
    <t>Françaises : g, kg, L, dL, cL, mL, ¼ kg, c. s. etc..</t>
  </si>
  <si>
    <t>Anglaises : oz, fl oz, cup etc..</t>
  </si>
  <si>
    <t>Espagnoles : tercio/L, taza líquida, cucharadita etc..</t>
  </si>
  <si>
    <t>Cocktails : shot, pony, jigger etc.. (fonctionnalités étendues sur ces fiches).</t>
  </si>
  <si>
    <t xml:space="preserve">Si vous travaillez plutôt “au feeling” (pifométrie / estimation au doigt mouillé), ces modèles — pensés pour la précision — risquent de moins vous convenir. </t>
  </si>
  <si>
    <t>Dans ce cas, continuez d’éblouir le monde avec vos approximations divines… ailleurs 😉</t>
  </si>
  <si>
    <t>Evolving workbook</t>
  </si>
  <si>
    <t>“Next-generation” sheet templates ready to adapt (links, formats, formulas, tables) + examples to get started fast.</t>
  </si>
  <si>
    <t>Quick start</t>
  </si>
  <si>
    <t>Duplicate a template, copy/paste the formats.</t>
  </si>
  <si>
    <t>Add/adjust the formulas.</t>
  </si>
  <si>
    <t>Keep labels strictly identical (spelling/spaces) to avoid lookup errors.</t>
  </si>
  <si>
    <t>Supported languages (since 2022)</t>
  </si>
  <si>
    <t>FR / EN / ES for data entry and unit usage.</t>
  </si>
  <si>
    <t>Formulas in French (Excel 2021).</t>
  </si>
  <si>
    <t>Automatic conversions</t>
  </si>
  <si>
    <t>Weight ↔ volume calculation depending on the template, no manual handling.</t>
  </si>
  <si>
    <t>Units covered (examples):</t>
  </si>
  <si>
    <t>English: oz, fl oz, cup, etc.</t>
  </si>
  <si>
    <t>Cocktails: shot, pony, jigger, etc. (extended features on these sheets).</t>
  </si>
  <si>
    <t>Target audience</t>
  </si>
  <si>
    <t>Training centers &amp; professionals who want to structure, standardize, and optimize their document production.</t>
  </si>
  <si>
    <t>Expected gains</t>
  </si>
  <si>
    <t>Fewer errors (formats/standardization).</t>
  </si>
  <si>
    <t>Time saved on conversions and layout.</t>
  </si>
  <si>
    <t>Knowledge capitalization (reusing templates and formulas).</t>
  </si>
  <si>
    <t>Culture &amp; good practices</t>
  </si>
  <si>
    <t>Share your experience: what matters is your know-how and how you apply it.</t>
  </si>
  <si>
    <t>There’s nothing demeaning about not knowing everything: we value your skills and how you put them into practice.</t>
  </si>
  <si>
    <t>If you work more “by feel” (guesstimation / wet-finger estimates), these precision-oriented templates may suit you less.</t>
  </si>
  <si>
    <t>In that case, keep dazzling the world with your divine approximations… elsewhere 😉</t>
  </si>
  <si>
    <t>Quick Excel cue</t>
  </si>
  <si>
    <t>Think “Battleship”: Excel calculates from the relative positions of cells (row, column, diagonal).</t>
  </si>
  <si>
    <t>Libro de trabajo evolutivo</t>
  </si>
  <si>
    <t>Plantillas de “nueva generación” listas para adaptar (enlaces, formatos, fórmulas, tablas) + ejemplos para empezar rápido.</t>
  </si>
  <si>
    <t>Puesta en marcha rápida</t>
  </si>
  <si>
    <t>Duplique una plantilla, copie/pegue los formatos.</t>
  </si>
  <si>
    <t>Añada/ajuste las fórmulas.</t>
  </si>
  <si>
    <t>Mantenga las etiquetas estrictamente idénticas (ortografía/espacios) para evitar errores de búsqueda.</t>
  </si>
  <si>
    <t>Idiomas admitidos (desde 2022)</t>
  </si>
  <si>
    <t>FR / EN / ES para la entrada y el uso de unidades.</t>
  </si>
  <si>
    <t>Fórmulas en francés (Excel 2021).</t>
  </si>
  <si>
    <t>Conversiones automáticas</t>
  </si>
  <si>
    <t>Cálculo peso ↔ volumen según el modelo, sin manipulación manual.</t>
  </si>
  <si>
    <t>Unidades cubiertas (ejemplos):</t>
  </si>
  <si>
    <t>Inglesas: oz, fl oz, cup, etc.</t>
  </si>
  <si>
    <t>Españolas: tercio/L, taza líquida, cucharadita, etc.</t>
  </si>
  <si>
    <t>Cócteles: shot, pony, jigger, etc. (funcionalidades ampliadas en esas fichas).</t>
  </si>
  <si>
    <t>Público objetivo</t>
  </si>
  <si>
    <t>Centros de formación y profesionales que desean estructurar, estandarizar y optimizar su producción documental.</t>
  </si>
  <si>
    <t>Beneficios esperados</t>
  </si>
  <si>
    <t>Menos errores (formatos/normalización).</t>
  </si>
  <si>
    <t>Ahorro de tiempo en conversiones y maquetación.</t>
  </si>
  <si>
    <t>Capitalización del conocimiento (reutilización de plantillas y fórmulas).</t>
  </si>
  <si>
    <t>Cultura y buenas prácticas</t>
  </si>
  <si>
    <t>Comparta su experiencia: lo esencial es su saber hacer y cómo lo aplica.</t>
  </si>
  <si>
    <t>No saberlo todo no es desvalorizante: valoramos sus competencias y su puesta en práctica.</t>
  </si>
  <si>
    <t>Si trabaja más “a ojo” (pifometría / estimación al dedo), estas plantillas orientadas a la precisión quizá le convengan menos.</t>
  </si>
  <si>
    <t>En ese caso, siga deslumbrando al mundo con sus aproximaciones divinas… en otro lugar 😉</t>
  </si>
  <si>
    <t>Pista rápida para Excel</t>
  </si>
  <si>
    <t>Piense en “Batalla naval”: Excel calcula a partir de las posiciones relativas de las celdas (fila, columna, diagonal).</t>
  </si>
  <si>
    <t xml:space="preserve">These documents are the result of my experience in institutional/collective catering, </t>
  </si>
  <si>
    <t>as well as the work of enthusiasts who have shared their Excel formulas and functions online.</t>
  </si>
  <si>
    <t>Estos documentos son el fruto de mi experiencia en restauración colectiva, así como del trabajo de personas</t>
  </si>
  <si>
    <t>apasionadas que han compartido en línea sus fórmulas y funciones de Excel.</t>
  </si>
  <si>
    <t>Pourquoi formaliser le savoir ?</t>
  </si>
  <si>
    <t xml:space="preserve">Un·e collaborateur·trice passe en moyenne 7 h 30 par semaine à chercher une information sans la trouver (Association Information et Management). </t>
  </si>
  <si>
    <t>Mettre en place un processus de gestion des connaissances (knowledge management) permet de maîtriser et valoriser votre capital informationnel.</t>
  </si>
  <si>
    <t>Why formalize knowledge?</t>
  </si>
  <si>
    <t>An employee spends on average 7 h 30 min per week searching for information without finding it (Association Information et Management).</t>
  </si>
  <si>
    <t>Implementing a knowledge-management process helps you control and leverage your information assets.</t>
  </si>
  <si>
    <t>Por qué formalizar el conocimiento?</t>
  </si>
  <si>
    <t>Un(a) colaborador(a) dedica en promedio 7 h 30 min por semana a buscar información sin encontrarla (Association Information et Management).</t>
  </si>
  <si>
    <t>Implantar un proceso de gestión del conocimiento (knowledge management) permite controlar y valorizar su capital informacional.</t>
  </si>
  <si>
    <t>This text was rephrased with the help of ChatGPT.</t>
  </si>
  <si>
    <t>(alt.) This text has been reworded with assistance from ChatGPT.)</t>
  </si>
  <si>
    <t>Este texto fue reformulado con la ayuda de ChatGPT.</t>
  </si>
  <si>
    <t>(alt.) Este texto ha sido reescrito con la asistencia de ChatGPT.)</t>
  </si>
  <si>
    <t>Ce texte a été reformulé avec l'aide de ChatGPT</t>
  </si>
  <si>
    <t>ff. = para ficha de fabricación</t>
  </si>
  <si>
    <t>Cancels — replaces or supplements previous versions</t>
  </si>
  <si>
    <t>ff. = for production sheet</t>
  </si>
  <si>
    <t>Spanish: tercio/L, taza líquida, cucharadita etc..</t>
  </si>
  <si>
    <t>French: g, kg, L, dL, cL, mL, ¼ kg, c. s. etc..</t>
  </si>
  <si>
    <t>Francesas: g, kg, L, dL, cL, mL, ¼ kg, c. s. etc..</t>
  </si>
  <si>
    <t>I recommend keeping this file as a template.</t>
  </si>
  <si>
    <t>Select the sheets you’re interested in, copy them into your workbook, then delete the columns you don’t need.</t>
  </si>
  <si>
    <t>Next, customize and adapt the documents to your needs.</t>
  </si>
  <si>
    <t>Le recomiendo conservar este archivo como plantilla.</t>
  </si>
  <si>
    <t>Seleccione las hojas que le interesen, cópielas en su libro y luego elimine las columnas que no necesite.</t>
  </si>
  <si>
    <t>Después, personalice y adapte los documentos según sus necesidades.</t>
  </si>
  <si>
    <t>Copy an Excel sheet to a new workbook</t>
  </si>
  <si>
    <t>1️⃣ Right-click the sheet tab.</t>
  </si>
  <si>
    <t>2️⃣ Select “Move or Copy…”.</t>
  </si>
  <si>
    <t>4️⃣ In the new workbook, go to “File” &gt; “Save As”, name and save the file.</t>
  </si>
  <si>
    <t>Your sheet is ready to send! ✅</t>
  </si>
  <si>
    <t>Copiar una hoja de Excel a un libro nuevo</t>
  </si>
  <si>
    <t>1️⃣ Haga clic derecho en la pestaña de la hoja.</t>
  </si>
  <si>
    <t>2️⃣ Seleccione “Mover o copiar…”.</t>
  </si>
  <si>
    <t>3️⃣ Elija “(libro nuevo)”, marque “Crear una copia” y haga clic en Aceptar.</t>
  </si>
  <si>
    <t>4️⃣ En el nuevo libro, vaya a “Archivo” &gt; “Guardar como”, asigne un nombre y guarde el archivo.</t>
  </si>
  <si>
    <t>¡Su hoja está lista para enviarse! ✅</t>
  </si>
  <si>
    <t>si les fiches  vous "barbent" vous avez  la Piffométrie</t>
  </si>
  <si>
    <t xml:space="preserve">la Pifométrie c'est quoi &gt; </t>
  </si>
  <si>
    <t>à la louche → à vue de nez → au pif → au doigt mouillé</t>
  </si>
  <si>
    <t>pifometría  → a ojo / a grandes rasgos  →  a ojo / a simple vista (AL: a ojo de buen cubero) → a ojo / al tanteo → a dedo al viento / al dedo mojado</t>
  </si>
  <si>
    <t xml:space="preserve">guesstimation (pifometry) →  roughly / by eye → roughly / at a guess → off the top of one’s head / by feel →  wet-finger estimate / see which way the wind blows </t>
  </si>
  <si>
    <t>Why choose the Calibri font?</t>
  </si>
  <si>
    <t>Among these six fonts, Calibri is the closest to Lucida Grande or Lucida Sans.</t>
  </si>
  <si>
    <t xml:space="preserve">Calibri was indeed considered a readable font for fairly short documents, </t>
  </si>
  <si>
    <t xml:space="preserve">with a balanced look that could work just as well on a large computer screen </t>
  </si>
  <si>
    <t>as on a sheet of paper or the smaller screen of a smartphone. May 2, 2021.</t>
  </si>
  <si>
    <t>Por qué elegir la fuente Calibri?</t>
  </si>
  <si>
    <t>Calibri se consideraba efectivamente una fuente legible para documentos bastante cortos, con un aspecto</t>
  </si>
  <si>
    <t>equilibrado que podía funcionar igual de bien en una pantalla grande de ordenador como en una hoja de</t>
  </si>
  <si>
    <t>papel o en la pantalla, más reducida, de un smartphone. 2 de mayo de 2021.</t>
  </si>
  <si>
    <t>Qué fuente se parece más a Calibri?</t>
  </si>
  <si>
    <t>Entre estas seis fuentes, Calibri es la más cercana a Lucida Grande o Lucida Sans.</t>
  </si>
  <si>
    <t>Qué fuente se parece más a Helvetica?</t>
  </si>
  <si>
    <t>Aktiv Grotesk (16 estilos): creada en 2010, Aktiv Grotesk es la respuesta de Bruno Maag al éxito persistente</t>
  </si>
  <si>
    <t>de las tipografías grotescas sans serif como Helvetica y Arial. 1 de marzo de 2022.</t>
  </si>
  <si>
    <t>Which font looks most like Helvetica?</t>
  </si>
  <si>
    <t>Aktiv Grotesk (16 styles): created in 2010, Aktiv Grotesk is Bruno Maag’s answer to the enduring success of</t>
  </si>
  <si>
    <t>grotesque sans-serif typefaces such as Helvetica and Arial. March 1, 2022.</t>
  </si>
  <si>
    <r>
      <t>Aktiv Grotesk</t>
    </r>
    <r>
      <rPr>
        <sz val="16"/>
        <color theme="1"/>
        <rFont val="Arial"/>
        <family val="2"/>
      </rPr>
      <t xml:space="preserve"> (16 styles) : créée en 2010, Aktiv Grotesk est la solution apportée par Bruno Maag</t>
    </r>
  </si>
  <si>
    <t>Where can you find the Helvetica font?</t>
  </si>
  <si>
    <t>This typeface is also found in official documents and signage all over the world. As an aside, the typeface</t>
  </si>
  <si>
    <t>used for the Microsoft logotype is also Helvetica, even though the company commissioned Arial as a cost-</t>
  </si>
  <si>
    <t>saving replacement for Helvetica.</t>
  </si>
  <si>
    <t>Dónde encontrar la fuente Helvetica?</t>
  </si>
  <si>
    <t>Esta tipografía también aparece en documentos oficiales y en la señalética, en todo el mundo. Como</t>
  </si>
  <si>
    <t>anécdota, la tipografía que compone el logotipo de Microsoft también es Helvetica, aunque la empresa</t>
  </si>
  <si>
    <t>encargó la creación de Arial como sustituto de Helvetica para reducir costes.</t>
  </si>
  <si>
    <t>Cuál es la tipografía más elegante?</t>
  </si>
  <si>
    <t>Garamond. Es una fuente fácil de leer, cercana a la escritura manuscrita, que encaja perfectamente con</t>
  </si>
  <si>
    <t>directivos experimentados o perfiles literarios. Garamond tiene la particularidad de llevar siempre el ojo</t>
  </si>
  <si>
    <t>adonde debe ir. 20 de julio de 2015.</t>
  </si>
  <si>
    <t>What’s the classiest typeface?</t>
  </si>
  <si>
    <t>Garamond. It’s an easy-to-read font, close to handwriting, that suits seasoned executives or literary profiles.</t>
  </si>
  <si>
    <t>Garamond has the distinctive ability to guide the eye exactly where it should go. July 20, 2015</t>
  </si>
  <si>
    <t>Cambria was designed specifically for on-screen reading.</t>
  </si>
  <si>
    <t>Which font to use with Cambria?</t>
  </si>
  <si>
    <t xml:space="preserve">Caladea (created as an additional Chrome OS font) has the same metrics as Cambria MS </t>
  </si>
  <si>
    <t>and can be used as a replacement.</t>
  </si>
  <si>
    <t>Cambria fue diseñada específicamente para la lectura en pantalla. …</t>
  </si>
  <si>
    <t>Qué fuente usar con Cambria?</t>
  </si>
  <si>
    <t>Caladea (creada como una fuente adicional de Chrome OS) tiene las mismas métricas que Cambria MS</t>
  </si>
  <si>
    <t xml:space="preserve"> y puede usarse como sustituta.</t>
  </si>
  <si>
    <t>PARA AUDITAR LAS FÓRMULAS (alt.: Para auditar fórmulas)</t>
  </si>
  <si>
    <t>TO AUDIT FORMULAS  (alt.: For auditing formulas)</t>
  </si>
  <si>
    <t>uncheck Show a zero in cells that have zero value.</t>
  </si>
  <si>
    <t xml:space="preserve">To hide zeros on the sheet, click: FILE &gt; Options &gt; Advanced &gt; </t>
  </si>
  <si>
    <t>Para ocultar los ceros en la hoja, haga clic en: ARCHIVO &gt; Opciones &gt; Avanzadas &gt;</t>
  </si>
  <si>
    <t xml:space="preserve"> desactive Mostrar un cero en las celdas que tienen un valor cero.</t>
  </si>
  <si>
    <t>Adresse PC : indique le chemin d’accès pour retrouver l’emplacement où le document est archivé sur votre ordinateur.</t>
  </si>
  <si>
    <t>PC address: indicates the access path (file path) to find where the document is archived on your computer.</t>
  </si>
  <si>
    <t>Dirección PC: indica la ruta de acceso (ruta de archivo) para localizar dónde está archivado el documento en su ordenador.</t>
  </si>
  <si>
    <t>color de fuente blanco sobre fondo gris — modifíquelo para sus documentos</t>
  </si>
  <si>
    <t>haga clic en la columna C y, en la barra de fórmulas, seleccione el número o la letra que le interese; elija la tipografía y el color que prefiera</t>
  </si>
  <si>
    <t>white font color on gray background — change it for your documents</t>
  </si>
  <si>
    <t>click column C and, in the formula bar, select the number or letter you’re interested in; choose the font and the color you prefer</t>
  </si>
  <si>
    <t>Illustrations with emojis</t>
  </si>
  <si>
    <t>Ⓐ Ⓑ Ⓒ Ⓓ Ⓔ Ⓕ Ⓖ Ⓗ Ⓘ Ⓙ Ⓚ Ⓛ Ⓜ Ⓝ Ⓞ Ⓟ Ⓠ Ⓡ Ⓢ Ⓣ Ⓤ Ⓥ Ⓦ Ⓧ Ⓧ Ⓩ UPPERCASE</t>
  </si>
  <si>
    <t>ⓐ ⓑ ⓒ ⓓ ⓔ ⓕ ⓕ ⓗ ⓗ ⓘ ⓙ ⓚ ⓛ ⓜ ⓝ ⓞ ⓟ ⓠ ⓡ ⓡ ⓣ ⓤ ⓥ ⓦ ⓧ ⓨ ⓩ lowercase</t>
  </si>
  <si>
    <t>Ilustraciones con emojis</t>
  </si>
  <si>
    <t>Ⓐ Ⓑ Ⓒ Ⓓ Ⓔ Ⓕ Ⓖ Ⓗ Ⓘ Ⓙ Ⓚ Ⓛ Ⓜ Ⓝ Ⓞ Ⓟ Ⓠ Ⓡ Ⓢ Ⓣ Ⓤ Ⓥ Ⓦ Ⓧ Ⓧ Ⓩ MAYÚSCULAS</t>
  </si>
  <si>
    <t>ⓐ ⓑ ⓒ ⓓ ⓔ ⓕ ⓕ ⓗ ⓗ ⓘ ⓙ ⓚ ⓛ ⓜ ⓝ ⓞ ⓟ ⓠ ⓡ ⓡ ⓣ ⓤ ⓥ ⓦ ⓧ ⓨ ⓩ minúsculas</t>
  </si>
  <si>
    <t>Los números en formato cuadrado (🔢) solo van de 0️⃣ a 9️⃣. No existen versiones oficiales de un solo carácter para 10 a 20.</t>
  </si>
  <si>
    <t>Pero aquí tiene una alternativa combinando los símbolos disponibles:</t>
  </si>
  <si>
    <t>El número 10 usa 🔟 y, a partir del 11, combiné las cifras disponibles para mantener la coherencia visual. 😊 ChatGPT</t>
  </si>
  <si>
    <t>caracteres especiales</t>
  </si>
  <si>
    <t xml:space="preserve">Qué significan los símbolos (&amp;, , {, etc.) en las fórmulas? – Excel &gt; </t>
  </si>
  <si>
    <t>haga clic en la columna D y copie en la barra de fórmulas el emoji que le interese; elija la tipografía y el color que prefiera</t>
  </si>
  <si>
    <t>The squared digits (🔢) only go from 0️⃣ to 9️⃣. There are no official single-character versions for 10 to 20.</t>
  </si>
  <si>
    <t>But here’s an alternative using the available symbols:</t>
  </si>
  <si>
    <t>The number 10 uses 🔟, and from 11 onward I combined the available digits to keep visual consistency. 😊 ChatGPT</t>
  </si>
  <si>
    <t>special characters</t>
  </si>
  <si>
    <t xml:space="preserve">What do the symbols (&amp;, , {, etc.) mean in formulas? – Excel &gt; </t>
  </si>
  <si>
    <t>click column D and copy in the formula bar the emoji you’re interested in; choose the font and the color you prefer</t>
  </si>
  <si>
    <t>Font &gt; Segoe UI Emoji</t>
  </si>
  <si>
    <t>Numbering with editable font color</t>
  </si>
  <si>
    <t>Currency</t>
  </si>
  <si>
    <t>Fuente &gt; Segoe UI Emoji</t>
  </si>
  <si>
    <t>Numeración con color de fuente modificable</t>
  </si>
  <si>
    <t>Moneda</t>
  </si>
  <si>
    <t>Formato | celda | personalizado | 0" cm³"</t>
  </si>
  <si>
    <t>o copiar–pegar</t>
  </si>
  <si>
    <t>² se escribe con Alt+0178</t>
  </si>
  <si>
    <t>³ se escribe con Alt+0179</t>
  </si>
  <si>
    <t>Fuente Wingdings 3</t>
  </si>
  <si>
    <t>Format | cell | custom | 0" cm³"</t>
  </si>
  <si>
    <t>or copy–paste</t>
  </si>
  <si>
    <t>² is typed with Alt+0178</t>
  </si>
  <si>
    <t>³ is typed with Alt+0179</t>
  </si>
  <si>
    <t>Font Wingdings 3</t>
  </si>
  <si>
    <t>Agradezco calurosamente a las personas apasionadas en internet que elaboran y comparten fórmulas y funciones anidadas.</t>
  </si>
  <si>
    <t>un enlace roto u obsoleto… no se asuste… Google sabrá encontrarle un documento equivalente</t>
  </si>
  <si>
    <t>secuencia automática de A a AZ y más allá</t>
  </si>
  <si>
    <t>pegue esta fórmula donde quiera en su documento</t>
  </si>
  <si>
    <t>SIN el signo =, luego añada el signo = al principio</t>
  </si>
  <si>
    <t>sitúese al final de la fórmula y pulse Intro</t>
  </si>
  <si>
    <t>y arrastre el controlador de relleno hacia abajo</t>
  </si>
  <si>
    <t>si copia esta fórmula con el signo =, obtendrá un error #REF!</t>
  </si>
  <si>
    <t>Secuencias automáticas de letras del alfabeto en Excel hasta Z y luego AA, AB, etc.</t>
  </si>
  <si>
    <t>Listas automáticas y series de números en Excel</t>
  </si>
  <si>
    <t>Vídeo tutorial para hacer una lista alfabética</t>
  </si>
  <si>
    <t>Pídale a ChatGPT que le traduzca la fórmula al Excel en francés</t>
  </si>
  <si>
    <t>secuencia automática de letras en Excel más allá de Z</t>
  </si>
  <si>
    <t>letra A = A65</t>
  </si>
  <si>
    <t>Fórmula para una secuencia alfabética horizontal que vaya más allá de Z</t>
  </si>
  <si>
    <t>Pegue la fórmula de abajo en una celda y luego</t>
  </si>
  <si>
    <t>en la fórmula, bloquee todas las letras de columna con p. ej., COLUMNA(X75)</t>
  </si>
  <si>
    <t>Arrastre el controlador de relleno hacia la derecha para extender la fórmula a las celdas siguientes</t>
  </si>
  <si>
    <t>Algunas tipografías utilizadas</t>
  </si>
  <si>
    <t>Algunos formatos utilizados</t>
  </si>
  <si>
    <t>personalizados &gt;</t>
  </si>
  <si>
    <t>Otras fuentes/tipografías por descubrir</t>
  </si>
  <si>
    <t>Cómo aumentar automáticamente una letra en una unidad para obtener la siguiente en Excel?</t>
  </si>
  <si>
    <t>Cant. por persona (p. p.)</t>
  </si>
  <si>
    <t>Barqueta(s)</t>
  </si>
  <si>
    <t>rebanadas</t>
  </si>
  <si>
    <t>Qué? Introduzca Trozos – rebanadas – raciones – piezas – cerezas, etc… ….. para el contenedor introduzca GN 1/1 – rejilla(s) – fuente(s) – cucharón(es), etc.</t>
  </si>
  <si>
    <t>What? Enter Pieces – slices – portions – items – cherries, etc… ….. for the container enter GN 1/1 pan(s) – rack(s) – dish(es) – ladle(s), etc.</t>
  </si>
  <si>
    <t>Tray(s)</t>
  </si>
  <si>
    <t xml:space="preserve">Qty </t>
  </si>
  <si>
    <t xml:space="preserve"> &lt; Container</t>
  </si>
  <si>
    <t xml:space="preserve"> &lt; What</t>
  </si>
  <si>
    <t>&lt; poids d'1 portion</t>
  </si>
  <si>
    <t xml:space="preserve"> &lt; Quoi ?</t>
  </si>
  <si>
    <t xml:space="preserve"> &lt; Contenant</t>
  </si>
  <si>
    <t xml:space="preserve"> &lt; Qué</t>
  </si>
  <si>
    <t>&lt; peso de 1 ración</t>
  </si>
  <si>
    <t>Recupere las fórmulas para sus documentos</t>
  </si>
  <si>
    <t>Constituya directorios por letras alfabéticas</t>
  </si>
  <si>
    <t>Para identificar sus fichas, puede elegir</t>
  </si>
  <si>
    <t>entre numeración e identificación Alfa</t>
  </si>
  <si>
    <t>Alfa le permite crear directorios</t>
  </si>
  <si>
    <t>y agrupar preparaciones para</t>
  </si>
  <si>
    <t>hacer ensamblajes</t>
  </si>
  <si>
    <t>Retrieve the formulas for your documents</t>
  </si>
  <si>
    <t>Build alphabetical letter directories</t>
  </si>
  <si>
    <t>For identifying your sheets, you can choose</t>
  </si>
  <si>
    <t>between numbering and Alpha identification</t>
  </si>
  <si>
    <t>Alpha lets you build directories</t>
  </si>
  <si>
    <t>and group preparations so you can</t>
  </si>
  <si>
    <t>make assemblies</t>
  </si>
  <si>
    <t>📌 Instrucciones para copiar "postits"</t>
  </si>
  <si>
    <t>Seleccione un post-it 🟦, cópielo (Ctrl + C 📋) y luego péguelo (Ctrl + V 📥) en el lugar deseado en otra hoja; después, ajuste el ancho de las columnas si es necesario.</t>
  </si>
  <si>
    <t>📌 Instructions for copying "postits"</t>
  </si>
  <si>
    <t>Select a 🟦 post-it, copy it (Ctrl + C 📋), then paste it (Ctrl + V 📥) where you want on another sheet, and adjust the column widths if needed.</t>
  </si>
  <si>
    <t>Para localizar la celda correspondiente, haga clic en la pestaña FÓRMULAS → Auditoría de fórmulas.</t>
  </si>
  <si>
    <t>Después, haga clic en Rastrear precedentes.</t>
  </si>
  <si>
    <t>Haga doble clic en la punta de la flecha; le llevará directamente a la celda de entrada.</t>
  </si>
  <si>
    <t>To locate the corresponding cell, click the FORMULAS tab → Formula Auditing (alt.: To audit formulas).</t>
  </si>
  <si>
    <t>Then click Trace Precedents.</t>
  </si>
  <si>
    <t>Double-click the tip of the arrow; it will take you directly to the input cell.</t>
  </si>
  <si>
    <t>PAGE LAYOUT  FORMULAS  DATA</t>
  </si>
  <si>
    <t>Trace Precedents</t>
  </si>
  <si>
    <t>Trace Dependents</t>
  </si>
  <si>
    <t>Remove Arrows</t>
  </si>
  <si>
    <t>DISEÑO DE PÁGINA  FÓRMULAS  DATOS</t>
  </si>
  <si>
    <t>Rastrear precedentes</t>
  </si>
  <si>
    <t>Rastrear dependientes</t>
  </si>
  <si>
    <t>Quitar flechas</t>
  </si>
  <si>
    <t>Este documento se compone de:</t>
  </si>
  <si>
    <t>con valores o texto</t>
  </si>
  <si>
    <t>celdas vacías</t>
  </si>
  <si>
    <t>filas</t>
  </si>
  <si>
    <t>This document is composed of:</t>
  </si>
  <si>
    <t>with values or text</t>
  </si>
  <si>
    <t>empty cells</t>
  </si>
  <si>
    <t>rows</t>
  </si>
  <si>
    <t>https://www.youtube.com/watch?v=8Lz6KCW3Nqo</t>
  </si>
  <si>
    <t>recette Béghin Say de Jean-Jacques Borne MOF 1994</t>
  </si>
  <si>
    <t>jaunes d'œufs</t>
  </si>
  <si>
    <t>cassonade antillaise</t>
  </si>
  <si>
    <t>maïzena</t>
  </si>
  <si>
    <t>gélatine</t>
  </si>
  <si>
    <t>blancs</t>
  </si>
  <si>
    <t>desserts</t>
  </si>
  <si>
    <t>ajouter la gélatine ramolie dans l'eau froide et pressée</t>
  </si>
  <si>
    <t>mélanger délicatement avec les blancs serrés avec le sucre</t>
  </si>
  <si>
    <t>couler en moules silicones et surgeler</t>
  </si>
  <si>
    <t>FEUILLES DE MERINGUE</t>
  </si>
  <si>
    <t>blancs d'œufs</t>
  </si>
  <si>
    <t>sucre cristalisé</t>
  </si>
  <si>
    <t>sucre glace silice</t>
  </si>
  <si>
    <t>noix de coco rapée</t>
  </si>
  <si>
    <t>pistaches hachées (Pour Mémoire)</t>
  </si>
  <si>
    <t>faire monter les blancs avec le sucre cristal</t>
  </si>
  <si>
    <t>incorporer ensuite le sucre glace et la noix de coco</t>
  </si>
  <si>
    <t>étaler très finement sur plaque et parsemer de pistaches hachées</t>
  </si>
  <si>
    <t>cuire 1h30 à 80°C.</t>
  </si>
  <si>
    <t>1 plaque 1/2 60X40 pour 18 assiettes soit 12 assiettes par plaque</t>
  </si>
  <si>
    <t>COULIS DE MANGUE</t>
  </si>
  <si>
    <t>pulpe</t>
  </si>
  <si>
    <t>sucre semoule pâtissière</t>
  </si>
  <si>
    <t>jus de citron</t>
  </si>
  <si>
    <t>JUS DE FRAISES DES BOIS</t>
  </si>
  <si>
    <t>fraises</t>
  </si>
  <si>
    <t>framboises</t>
  </si>
  <si>
    <t xml:space="preserve">mettre au bain marie pendant 1heure. </t>
  </si>
  <si>
    <t>filmer hermétiquement</t>
  </si>
  <si>
    <t>filtrer le jus et le mélange avec des fraises des bois entières</t>
  </si>
  <si>
    <t>MILLE-FEUILLE  aux fraises des bois</t>
  </si>
  <si>
    <t>Matthieu Dugal répond à vos questions sur l'intelligence artificielle!</t>
  </si>
  <si>
    <t>F</t>
  </si>
  <si>
    <t>J</t>
  </si>
  <si>
    <t>Objectif : uniformiser les supports et développer la maîtrise du tableur chez vos élèves.</t>
  </si>
  <si>
    <t xml:space="preserve"> « Vos fiches Excel prêtes rapidement— multilingue, conversions auto, zéro prise de tête. »</t>
  </si>
  <si>
    <t>Gain de temps  &gt; Copiez/Collez = FR : g, kg, L, dL, cL, mL, ¼ kg, c. s., etc. / EN : oz, fl oz, cup, etc. / ES : tercio/L, taza líquida, cucharadita, etc.</t>
  </si>
  <si>
    <t>Facile à adapter aux recettes, process et barèmes maison.</t>
  </si>
  <si>
    <t xml:space="preserve">Classeur Excel 2021 de modèles de fiches conçu pour les TP en métiers de bouche (CFA/lycée hôtelier/centre pro). </t>
  </si>
  <si>
    <t>Excel 2021 workbook of sheet templates designed for hands-on training in food trades (CFA/hotel school/vocational center).</t>
  </si>
  <si>
    <t>Goal: standardize materials and build spreadsheet mastery among your students.</t>
  </si>
  <si>
    <t>“Your Excel sheets ready fast—multilingual, auto conversions, zero hassle.”</t>
  </si>
  <si>
    <t>Time saver &gt; Copy/Paste = FR: g, kg, L, dL, cL, mL, ¼ kg, tbsp (c. s.), etc. / EN: oz, fl oz, cup, etc. / ES: third/L, liquid cup, teaspoon, etc.</t>
  </si>
  <si>
    <t>Easy to adapt to your recipes, processes, and in-house grading scales.</t>
  </si>
  <si>
    <t>Libro de Excel 2021 con plantillas de fichas diseñado para TP en oficios de cocina (CFA/escuela de hostelería/centro profesional).</t>
  </si>
  <si>
    <t>Objetivo: uniformizar los soportes y desarrollar el dominio de la hoja de cálculo en su alumnado.</t>
  </si>
  <si>
    <t>«Sus fichas de Excel listas rápido—multilingüe, conversiones automáticas, cero complicaciones.»</t>
  </si>
  <si>
    <t>Ahorro de tiempo &gt; Copiar/Pegar = FR: g, kg, L, dL, cL, mL, ¼ kg, cda. (c. s.), etc. / EN: oz, fl oz, cup, etc. / ES: tercio/L, taza líquida, cucharadita, etc.</t>
  </si>
  <si>
    <t>Fácil de adaptar a sus recetas, procesos y baremos internos.</t>
  </si>
  <si>
    <t>Col.44</t>
  </si>
  <si>
    <t>Col.43</t>
  </si>
  <si>
    <t>Col.42</t>
  </si>
  <si>
    <t>Col.41</t>
  </si>
  <si>
    <t>unidad(es)</t>
  </si>
  <si>
    <t>unit(s)</t>
  </si>
  <si>
    <t>unité(s)</t>
  </si>
  <si>
    <t>parts</t>
  </si>
  <si>
    <t>Pegue sus postits en estas columnas</t>
  </si>
  <si>
    <t>Collez vos Postits dans ces colonnes - Paste your postits into these columns</t>
  </si>
  <si>
    <t>Fiche fixe (préformatée) - Fixed (preformatted) sheet - Hoja fija (preformateada)</t>
  </si>
  <si>
    <t>faire court … 1 verbe = 1 action → keep it short … 1 verb = 1 action → ir al grano … 1 verbo = 1 acción</t>
  </si>
  <si>
    <t>EXEMPLE UN PEU PLUS LONG : → A SLIGHTLY LONGER EXAMPLE: → UN EJEMPLO UN POCO MÁS LARGO:</t>
  </si>
  <si>
    <t xml:space="preserve"> MATÉRIELS     Tools &amp; equipment    Utillaje y equipos</t>
  </si>
  <si>
    <t>Quelques verbes d'actions complémentaires       Some additional action verbs       Algunos verbos de acción adicionales</t>
  </si>
  <si>
    <t>Le vocabulaire professionnel en pâtisserie - Professional pastry vocabulary - El vocabulario profesional de pastelería</t>
  </si>
  <si>
    <t>VOCABULAIRE GENERAL PROFESSIONNEL    un verbe…une action             collez verbes et actions dans les PHASES DE PROGRESSION ⓬</t>
  </si>
  <si>
    <t xml:space="preserve"> Ces traductions ont été produites par une IA. Quelques imprécisions de vocabulaire professionnel peuvent apparaître. Merci de votre indulgence ; en cas de doute, référez-vous à la version originale.Merci</t>
  </si>
  <si>
    <t xml:space="preserve">PROFESSIONAL GENERAL VOCABULARY  one verb… one action  paste verbs and actions into the PROGRESSION PHASES ⓬     </t>
  </si>
  <si>
    <t>These translations were generated by an AI. Some inaccuracies in professional terminology may occur. Thank you for your understanding; in case of doubt, please refer to the original version. Thank you.</t>
  </si>
  <si>
    <t>Fin du document cellule &gt;End of the “cell” document &gt;Fin del documento “celda” &gt;</t>
  </si>
  <si>
    <t>Note pro</t>
  </si>
  <si>
    <t>Estas traducciones fueron generadas por una IA. Pueden presentarse algunas imprecisiones en la terminología profesional. Gracias por su comprensión; en caso de duda, por favor remítase a la versión original. Gracias.</t>
  </si>
  <si>
    <t>PHASES ESSENTIELLES DE PROGRESSION → ESSENTIAL PROCESS PHASES → FASES ESENCIALES DEL PROCESO</t>
  </si>
  <si>
    <t>assiette</t>
  </si>
  <si>
    <t>plate; dinner plate</t>
  </si>
  <si>
    <t>Variantes utiles : assiette creuse = soup plate / bowl</t>
  </si>
  <si>
    <t>Useful variants: assiette creuse = soup plate / bowl</t>
  </si>
  <si>
    <t>Variantes útiles: assiette creuse = plato hondo / cuenco</t>
  </si>
  <si>
    <t>accomplir</t>
  </si>
  <si>
    <t>accomplish; carry out</t>
  </si>
  <si>
    <r>
      <t>realizar</t>
    </r>
    <r>
      <rPr>
        <sz val="11"/>
        <color theme="5" tint="-0.499984740745262"/>
        <rFont val="Calibri"/>
        <family val="2"/>
        <scheme val="minor"/>
      </rPr>
      <t xml:space="preserve">; </t>
    </r>
    <r>
      <rPr>
        <b/>
        <sz val="11"/>
        <color theme="5" tint="-0.499984740745262"/>
        <rFont val="Calibri"/>
        <family val="2"/>
        <scheme val="minor"/>
      </rPr>
      <t>llevar a cabo</t>
    </r>
    <r>
      <rPr>
        <sz val="11"/>
        <color theme="5" tint="-0.499984740745262"/>
        <rFont val="Calibri"/>
        <family val="2"/>
        <scheme val="minor"/>
      </rPr>
      <t>; cumplir</t>
    </r>
  </si>
  <si>
    <t>Exécuter une tâche/procédure jusqu’au bout.</t>
  </si>
  <si>
    <t>Carry out a task/procedure to completion.</t>
  </si>
  <si>
    <t>Realizar una tarea/procedimiento hasta el final.</t>
  </si>
  <si>
    <t>EPICERIE</t>
  </si>
  <si>
    <t>GROCERY (DRY GOODS)</t>
  </si>
  <si>
    <t>ABARROTES / DESPENSA (SECO)</t>
  </si>
  <si>
    <t>Adresse &gt;</t>
  </si>
  <si>
    <t>juliemyrtille</t>
  </si>
  <si>
    <t>acheter</t>
  </si>
  <si>
    <t>buy; purchase</t>
  </si>
  <si>
    <r>
      <t>comprar</t>
    </r>
    <r>
      <rPr>
        <sz val="11"/>
        <color theme="5" tint="-0.499984740745262"/>
        <rFont val="Calibri"/>
        <family val="2"/>
        <scheme val="minor"/>
      </rPr>
      <t>; adquirir</t>
    </r>
  </si>
  <si>
    <t>Approvisionnement, achats matières/emballages.</t>
  </si>
  <si>
    <t>Procurement: raw materials/packaging purchases.</t>
  </si>
  <si>
    <t>Aprovisionamiento: compras de materias/envases.</t>
  </si>
  <si>
    <t>LÉGUMES APPERTISES</t>
  </si>
  <si>
    <t>CANNED VEGETABLES</t>
  </si>
  <si>
    <t>VERDURAS EN CONSERVA</t>
  </si>
  <si>
    <t>appertisé = canned = en conserva ; catégorie légumes = categoría verduras</t>
  </si>
  <si>
    <t>Exemple pour un filet de sole Duglére → Example: Dugléré sole fillet → Ejemplo: filete de lenguado Dugléré</t>
  </si>
  <si>
    <t>Exemple pour une brandade de morue Bénédictine → Example: Bénédictine-style salt cod brandade → Ejemplo: brandada de bacalao a la benedictina</t>
  </si>
  <si>
    <t>bacs (GN)</t>
  </si>
  <si>
    <t>GN pans; bins; containers</t>
  </si>
  <si>
    <t>Inox GN 1/1, 1/2, 1/3… avec couvercle/perforés; stockage, cuisson, cellule.</t>
  </si>
  <si>
    <t>Stainless GN 1/1, 1/2, 1/3… with lids/perforated; storage, cooking, blast-chill.</t>
  </si>
  <si>
    <t>Acero GN 1/1, 1/2, 1/3… con tapas/perforados; almacenamiento, cocción, abatidor.</t>
  </si>
  <si>
    <t>achever</t>
  </si>
  <si>
    <t>complete; finish</t>
  </si>
  <si>
    <r>
      <t>completar</t>
    </r>
    <r>
      <rPr>
        <sz val="11"/>
        <color theme="5" tint="-0.499984740745262"/>
        <rFont val="Calibri"/>
        <family val="2"/>
        <scheme val="minor"/>
      </rPr>
      <t>; terminar</t>
    </r>
  </si>
  <si>
    <t>Clore une étape/ordre de fabrication.</t>
  </si>
  <si>
    <t>Close a step/work order.</t>
  </si>
  <si>
    <t>Cerrar una etapa/orden de fabricación (OF).</t>
  </si>
  <si>
    <t>LÉGUMES FRAIS A CUIRE</t>
  </si>
  <si>
    <t>FRESH VEGETABLES TO COOK</t>
  </si>
  <si>
    <t>VERDURAS FRESCAS PARA COCINAR</t>
  </si>
  <si>
    <t>à cuire = to cook = para cocinar ; catégorie légumes = categoría verduras</t>
  </si>
  <si>
    <t>Habiller les soles</t>
  </si>
  <si>
    <t>Dress/prepare the soles</t>
  </si>
  <si>
    <t>Limpiar/preparar las sollas</t>
  </si>
  <si>
    <t>bain-marie</t>
  </si>
  <si>
    <t>bain-marie; water bath; hot well</t>
  </si>
  <si>
    <t>baño María</t>
  </si>
  <si>
    <t>Maintien/chauffe douce ou refroidi; double-boiler possible; HACCP: chaud ≥63 °C.</t>
  </si>
  <si>
    <t>Gentle holding/heating or cooling; double-boiler possible; HACCP: hot ≥63 °C.</t>
  </si>
  <si>
    <t>Mantenimiento/calor suave o frío; posible baño maría; APPCC: caliente ≥63 °C.</t>
  </si>
  <si>
    <t>activer</t>
  </si>
  <si>
    <t>activate; speed up; boost</t>
  </si>
  <si>
    <r>
      <t>activar</t>
    </r>
    <r>
      <rPr>
        <sz val="11"/>
        <color theme="5" tint="-0.499984740745262"/>
        <rFont val="Calibri"/>
        <family val="2"/>
        <scheme val="minor"/>
      </rPr>
      <t>; agilizar; acelerar</t>
    </r>
  </si>
  <si>
    <t>Accélérer un process (p. ex. cadence, flux).</t>
  </si>
  <si>
    <t>Speed up a process (rate/flow).</t>
  </si>
  <si>
    <t>Acelerar un proceso (cadencia/flujo).</t>
  </si>
  <si>
    <t>LÉGUMES SECS</t>
  </si>
  <si>
    <t>DRIED PULSES/LEGUMES</t>
  </si>
  <si>
    <t>LEGUMBRES SECAS</t>
  </si>
  <si>
    <t>catégorie légumes = categoría verduras</t>
  </si>
  <si>
    <t>Les dépouiller</t>
  </si>
  <si>
    <t>Skin them</t>
  </si>
  <si>
    <t>Desollar/quitar la piel</t>
  </si>
  <si>
    <t>Mise en place du poste de travail</t>
  </si>
  <si>
    <t>Workstation setup</t>
  </si>
  <si>
    <t>Puesta a punto del puesto de trabajo</t>
  </si>
  <si>
    <t>balance</t>
  </si>
  <si>
    <t>(weighing) scale; bench scale</t>
  </si>
  <si>
    <t>Étalo/étalonnage, tare, précision (g/kg); pesée ingrédients/portions.</t>
  </si>
  <si>
    <t>Calibration, tare, accuracy (g/kg); weighing ingredients/portions.</t>
  </si>
  <si>
    <t>Calibración, tara, precisión (g/kg); pesado de ingredientes/porciones.</t>
  </si>
  <si>
    <t>afficher</t>
  </si>
  <si>
    <t>display; show</t>
  </si>
  <si>
    <r>
      <t>mostrar</t>
    </r>
    <r>
      <rPr>
        <sz val="11"/>
        <color theme="5" tint="-0.499984740745262"/>
        <rFont val="Calibri"/>
        <family val="2"/>
        <scheme val="minor"/>
      </rPr>
      <t>; exhibir</t>
    </r>
  </si>
  <si>
    <t>Affichage écran/panneau/tableau de bord.</t>
  </si>
  <si>
    <t>Display on screen/board/dashboard.</t>
  </si>
  <si>
    <t>Mostrar en pantalla/panel/cuadro de mando.</t>
  </si>
  <si>
    <t>LÉGUMES SOUS VIDE A CUIRE</t>
  </si>
  <si>
    <t>VACUUM-PACKED VEGETABLES TO COOK</t>
  </si>
  <si>
    <t>VERDURAS ENVASADAS AL VACÍO PARA COCINAR</t>
  </si>
  <si>
    <t>sous vide = vacuum-packed = envasado al vacío ; à cuire = to cook = para cocinar ; catégorie légumes = categoría verduras</t>
  </si>
  <si>
    <r>
      <t>Abaisse</t>
    </r>
    <r>
      <rPr>
        <sz val="11"/>
        <color theme="1"/>
        <rFont val="Calibri"/>
        <family val="2"/>
        <scheme val="minor"/>
      </rPr>
      <t xml:space="preserve"> : morceau de pâte étalé au rouleau à une épaisseur voulue.</t>
    </r>
  </si>
  <si>
    <t>Rolled-out sheet of dough to a set thickness.</t>
  </si>
  <si>
    <r>
      <t>Lámina de masa estirada</t>
    </r>
    <r>
      <rPr>
        <sz val="11"/>
        <color theme="1"/>
        <rFont val="Calibri"/>
        <family val="2"/>
        <scheme val="minor"/>
      </rPr>
      <t xml:space="preserve"> a un grosor definido.</t>
    </r>
  </si>
  <si>
    <t>Abaisser</t>
  </si>
  <si>
    <t>roll out (dough)</t>
  </si>
  <si>
    <t>estirar/la masa</t>
  </si>
  <si>
    <t>Étaler une pâte au rouleau à une épaisseur donnée.</t>
  </si>
  <si>
    <t>Roll out dough with a rolling pin to a specified thickness.</t>
  </si>
  <si>
    <t>Estirar la masa con rodillo hasta un grosor especificado.</t>
  </si>
  <si>
    <t>Les mettre en filet</t>
  </si>
  <si>
    <t>Fillet them</t>
  </si>
  <si>
    <t>Filetearlas</t>
  </si>
  <si>
    <t>Set up the station</t>
  </si>
  <si>
    <t>Montar el puesto</t>
  </si>
  <si>
    <t>barquettes</t>
  </si>
  <si>
    <t>food trays; containers</t>
  </si>
  <si>
    <t>Operculables, micro-ondables; mentionner volume, matériau (PP, PET, alu).</t>
  </si>
  <si>
    <t>Sealable, microwave-safe; state volume, material (PP, PET, alu).</t>
  </si>
  <si>
    <t>Termosellables, aptas microondas; indicar volumen y material (PP, PET, alu).</t>
  </si>
  <si>
    <t>affûter</t>
  </si>
  <si>
    <t>sharpen</t>
  </si>
  <si>
    <t>afilar</t>
  </si>
  <si>
    <t>Couteaux/lames/outillage.</t>
  </si>
  <si>
    <t>Sharpen/maintain knives/blades/tools.</t>
  </si>
  <si>
    <t>Cuchillos/cuchillas/herramental.</t>
  </si>
  <si>
    <t>LÉGUMES SOUS VIDE CUITS</t>
  </si>
  <si>
    <t>VACUUM-PACKED COOKED VEGETABLES</t>
  </si>
  <si>
    <t>VERDURAS COCIDAS ENVASADAS AL VACÍO</t>
  </si>
  <si>
    <t>sous vide = vacuum-packed = envasado al vacío ; catégorie légumes = categoría verduras</t>
  </si>
  <si>
    <r>
      <t>Abaisser</t>
    </r>
    <r>
      <rPr>
        <sz val="11"/>
        <color theme="1"/>
        <rFont val="Calibri"/>
        <family val="2"/>
        <scheme val="minor"/>
      </rPr>
      <t xml:space="preserve"> : étaler une pâte au rouleau à une épaisseur voulue.</t>
    </r>
  </si>
  <si>
    <r>
      <t>Roll out</t>
    </r>
    <r>
      <rPr>
        <sz val="11"/>
        <color theme="1"/>
        <rFont val="Calibri"/>
        <family val="2"/>
        <scheme val="minor"/>
      </rPr>
      <t xml:space="preserve"> dough to a set thickness.</t>
    </r>
  </si>
  <si>
    <r>
      <t>Estirar</t>
    </r>
    <r>
      <rPr>
        <sz val="11"/>
        <color theme="1"/>
        <rFont val="Calibri"/>
        <family val="2"/>
        <scheme val="minor"/>
      </rPr>
      <t xml:space="preserve"> la masa a un grosor deseado.</t>
    </r>
  </si>
  <si>
    <t>Abaisser la temp. à cœur</t>
  </si>
  <si>
    <t>bring down the core/internal temperature</t>
  </si>
  <si>
    <r>
      <t xml:space="preserve">bajar la temperatura en el </t>
    </r>
    <r>
      <rPr>
        <b/>
        <sz val="11"/>
        <color theme="1"/>
        <rFont val="Calibri"/>
        <family val="2"/>
        <scheme val="minor"/>
      </rPr>
      <t>centro</t>
    </r>
    <r>
      <rPr>
        <sz val="11"/>
        <color theme="1"/>
        <rFont val="Calibri"/>
        <family val="2"/>
        <scheme val="minor"/>
      </rPr>
      <t xml:space="preserve"> del producto</t>
    </r>
  </si>
  <si>
    <t>Terme HACCP ; souvent après cuisson/refroidissement rapide.</t>
  </si>
  <si>
    <t>HACCP term; often after cooking/rapid chilling.</t>
  </si>
  <si>
    <t>Término APPCC; a menudo tras cocción/enfriamiento rápido.</t>
  </si>
  <si>
    <t>Dégorger le tout 1/2 heure à l’eau fraîche</t>
  </si>
  <si>
    <t>Soak everything in cold water for 30 min</t>
  </si>
  <si>
    <t>Desangrar/poner en remojo en agua fría 30 min</t>
  </si>
  <si>
    <t>vérifier les DLC</t>
  </si>
  <si>
    <t>Check use-by dates</t>
  </si>
  <si>
    <t>Verificar fechas de caducidad</t>
  </si>
  <si>
    <t>bascule (industrielle)</t>
  </si>
  <si>
    <t>weighbridge; platform scale</t>
  </si>
  <si>
    <t>Palettes/chariots/tonnages; accès rampe, imprimante tickets, traçabilité.</t>
  </si>
  <si>
    <t>Pallets/carts/tonnage; ramp access, ticket printer, traceability.</t>
  </si>
  <si>
    <t>Palés/carros/tonelaje; rampa, impresora de tickets, trazabilidad.</t>
  </si>
  <si>
    <t>agrandir</t>
  </si>
  <si>
    <t>enlarge; expand</t>
  </si>
  <si>
    <r>
      <t>ampliar</t>
    </r>
    <r>
      <rPr>
        <sz val="11"/>
        <color theme="5" tint="-0.499984740745262"/>
        <rFont val="Calibri"/>
        <family val="2"/>
        <scheme val="minor"/>
      </rPr>
      <t>; agrandar</t>
    </r>
  </si>
  <si>
    <t>Augmenter capacité/surface/format.</t>
  </si>
  <si>
    <t>Increase capacity/area/format.</t>
  </si>
  <si>
    <t>Aumentar capacidad/superficie/formato.</t>
  </si>
  <si>
    <t>LÉGUMES SURGELÉS A CUIRE</t>
  </si>
  <si>
    <t>FROZEN VEGETABLES TO COOK</t>
  </si>
  <si>
    <t>VERDURAS CONGELADAS PARA COCINAR</t>
  </si>
  <si>
    <r>
      <t>Abricoter :</t>
    </r>
    <r>
      <rPr>
        <sz val="11"/>
        <color theme="1"/>
        <rFont val="Calibri"/>
        <family val="2"/>
        <scheme val="minor"/>
      </rPr>
      <t xml:space="preserve"> étendre une confiture d’abricot au pinceau sur un entremets, une tarte ou une préparation pour la rendre brillante et la protéger en surface (limiter dessèchement et brunissement enzymatique).</t>
    </r>
  </si>
  <si>
    <t>Apricot-glaze: brush apricot jam onto an entremets, tart, or preparation to add shine and protect the surface (limit drying and enzymatic browning).</t>
  </si>
  <si>
    <t>Abrillantar con albaricoque: pincelar mermelada de albaricoque sobre un postre, tarta o preparación para darle brillo y proteger la superficie (reducir el secado y el pardeamiento enzimático).</t>
  </si>
  <si>
    <t>Abricoter</t>
  </si>
  <si>
    <t>glaze with apricot (nappage)</t>
  </si>
  <si>
    <r>
      <t>abrillantar</t>
    </r>
    <r>
      <rPr>
        <sz val="11"/>
        <color theme="1"/>
        <rFont val="Calibri"/>
        <family val="2"/>
        <scheme val="minor"/>
      </rPr>
      <t>/napar con mermelada de albaricoque</t>
    </r>
  </si>
  <si>
    <t>En pâtisserie ; « abricotar » se voit, mais « abrillantar/napar » est plus standard.</t>
  </si>
  <si>
    <t>In pastry: “apricot glaze” is used, but “glaze/nap” is more standard.</t>
  </si>
  <si>
    <t>En pastelería: se usa “abrillantar con albaricoque”, pero “abrillantar/napar” es más estándar.</t>
  </si>
  <si>
    <t>Hacher finement oignons et échalotes</t>
  </si>
  <si>
    <t>Finely chop onions and shallots</t>
  </si>
  <si>
    <t>Picar finamente cebolla y chalota</t>
  </si>
  <si>
    <t>peser les denrées</t>
  </si>
  <si>
    <t>Weigh ingredients</t>
  </si>
  <si>
    <t>Pesar los géneros</t>
  </si>
  <si>
    <t>ajuster</t>
  </si>
  <si>
    <t>adjust; fine-tune</t>
  </si>
  <si>
    <r>
      <t>ajustar</t>
    </r>
    <r>
      <rPr>
        <sz val="11"/>
        <color theme="5" tint="-0.499984740745262"/>
        <rFont val="Calibri"/>
        <family val="2"/>
        <scheme val="minor"/>
      </rPr>
      <t>; afinar</t>
    </r>
  </si>
  <si>
    <t>Petits réglages (assais., poids, température).</t>
  </si>
  <si>
    <t>Fine-tune (seasoning, weight, temperature).</t>
  </si>
  <si>
    <t>Ajustes finos (sazonado, peso, temperatura).</t>
  </si>
  <si>
    <t>LÉGUMES SURGELÉS CUITS</t>
  </si>
  <si>
    <t>FROZEN COOKED VEGETABLES</t>
  </si>
  <si>
    <t>VERDURAS CONGELADAS COCIDAS</t>
  </si>
  <si>
    <r>
      <t>Accoler</t>
    </r>
    <r>
      <rPr>
        <sz val="11"/>
        <color theme="1"/>
        <rFont val="Calibri"/>
        <family val="2"/>
        <scheme val="minor"/>
      </rPr>
      <t xml:space="preserve"> : réunir/assembler éléments (gâteau, pièces).</t>
    </r>
  </si>
  <si>
    <r>
      <t>Join/assemble</t>
    </r>
    <r>
      <rPr>
        <sz val="11"/>
        <color theme="1"/>
        <rFont val="Calibri"/>
        <family val="2"/>
        <scheme val="minor"/>
      </rPr>
      <t xml:space="preserve"> components (cake, pieces).</t>
    </r>
  </si>
  <si>
    <r>
      <t>Unir/ensamblar</t>
    </r>
    <r>
      <rPr>
        <sz val="11"/>
        <color theme="1"/>
        <rFont val="Calibri"/>
        <family val="2"/>
        <scheme val="minor"/>
      </rPr>
      <t xml:space="preserve"> elementos (pastel, piezas).</t>
    </r>
  </si>
  <si>
    <t>Accompagner</t>
  </si>
  <si>
    <t>serve with; garnish with</t>
  </si>
  <si>
    <t>acompañar; guarnecer con</t>
  </si>
  <si>
    <t>Pour une garniture : « serve with a side of… » / « con guarnición de… ».</t>
  </si>
  <si>
    <t>For garnish: “serve with a side of…”.</t>
  </si>
  <si>
    <t>Para guarnición: “con guarnición de…”.</t>
  </si>
  <si>
    <t>Monder, épépiner, concasser les tomates</t>
  </si>
  <si>
    <t>Blanch, seed, and chop the tomatoes</t>
  </si>
  <si>
    <t>Escaldar, quitar semillas y concasar los tomates</t>
  </si>
  <si>
    <t>sélectionner le matériel</t>
  </si>
  <si>
    <t>Select equipment</t>
  </si>
  <si>
    <t>Seleccionar el equipo</t>
  </si>
  <si>
    <t>camion</t>
  </si>
  <si>
    <t>truck; lorry (UK)</t>
  </si>
  <si>
    <t>camión</t>
  </si>
  <si>
    <t>Transport amont/aval; préciser type (frigo, hayon, caisse sèche).</t>
  </si>
  <si>
    <t>Upstream/downstream transport; specify type (reefer, tail-lift, dry van).</t>
  </si>
  <si>
    <t>Transporte de entrada/salida; tipo (frigorífico, con plataforma, caja seca).</t>
  </si>
  <si>
    <t>aligner</t>
  </si>
  <si>
    <t>align; bring into line</t>
  </si>
  <si>
    <t>alinear</t>
  </si>
  <si>
    <t>Harmoniser pratiques/mesures/objectifs.</t>
  </si>
  <si>
    <t>Align/standardize practices/measures/goals.</t>
  </si>
  <si>
    <t>Alinear/estandarizar prácticas/medidas/objetivos.</t>
  </si>
  <si>
    <t>PRODUITS LAITIERS</t>
  </si>
  <si>
    <t>DAIRY PRODUCTS</t>
  </si>
  <si>
    <t>PRODUCTOS LÁCTEOS</t>
  </si>
  <si>
    <t>catégorie produits laitiers = categoría productos lácteos</t>
  </si>
  <si>
    <r>
      <t>Appareil</t>
    </r>
    <r>
      <rPr>
        <sz val="11"/>
        <color theme="1"/>
        <rFont val="Calibri"/>
        <family val="2"/>
        <scheme val="minor"/>
      </rPr>
      <t xml:space="preserve"> : mélange de base pour une préparation.</t>
    </r>
  </si>
  <si>
    <r>
      <t>Batter/mixture</t>
    </r>
    <r>
      <rPr>
        <sz val="11"/>
        <color theme="1"/>
        <rFont val="Calibri"/>
        <family val="2"/>
        <scheme val="minor"/>
      </rPr>
      <t xml:space="preserve"> (base mix for a preparation).</t>
    </r>
  </si>
  <si>
    <r>
      <t>Aparato/mezcla base</t>
    </r>
    <r>
      <rPr>
        <sz val="11"/>
        <color theme="1"/>
        <rFont val="Calibri"/>
        <family val="2"/>
        <scheme val="minor"/>
      </rPr>
      <t xml:space="preserve"> para una preparación.</t>
    </r>
  </si>
  <si>
    <t>acheminement vers operculage</t>
  </si>
  <si>
    <t>transfer to the sealing station</t>
  </si>
  <si>
    <r>
      <t xml:space="preserve">traslado hacia el </t>
    </r>
    <r>
      <rPr>
        <b/>
        <sz val="11"/>
        <color theme="1"/>
        <rFont val="Calibri"/>
        <family val="2"/>
        <scheme val="minor"/>
      </rPr>
      <t>termosellado</t>
    </r>
  </si>
  <si>
    <t>Flux de production ; « operculage » = scellage par film.</t>
  </si>
  <si>
    <t>Production flow; “lidding/sealing” = heat-sealing with film.</t>
  </si>
  <si>
    <t>Flujo de producción; “termosellado” = sellado con film.</t>
  </si>
  <si>
    <t>Concasser le persil</t>
  </si>
  <si>
    <t>Chop the parsley</t>
  </si>
  <si>
    <t>Picar el perejil</t>
  </si>
  <si>
    <t>désinfecter le matériel et le poste de travail suivant la procédure</t>
  </si>
  <si>
    <t>Disinfect equipment and workstation per SOP</t>
  </si>
  <si>
    <t>Desinfectar equipo y puesto según POE</t>
  </si>
  <si>
    <t>cellule (de refroidissement/surgélation)</t>
  </si>
  <si>
    <t>blast chiller / blast freezer</t>
  </si>
  <si>
    <t>abatidor de temperatura / de congelación</t>
  </si>
  <si>
    <t>Cibles HACCP (≤ +9 °C au cœur/temps; ≤ −18 °C au cœur en surgélation).</t>
  </si>
  <si>
    <t>HACCP targets (core ≤ +9 °C/time; core ≤ −18 °C for freezing).</t>
  </si>
  <si>
    <t>Objetivos APPCC (centro ≤ +9 °C/tiempo; centro ≤ −18 °C en congelación).</t>
  </si>
  <si>
    <t>allouer</t>
  </si>
  <si>
    <t>allocate; assign</t>
  </si>
  <si>
    <r>
      <t>asignar</t>
    </r>
    <r>
      <rPr>
        <sz val="11"/>
        <color theme="5" tint="-0.499984740745262"/>
        <rFont val="Calibri"/>
        <family val="2"/>
        <scheme val="minor"/>
      </rPr>
      <t xml:space="preserve">; </t>
    </r>
    <r>
      <rPr>
        <b/>
        <sz val="11"/>
        <color theme="5" tint="-0.499984740745262"/>
        <rFont val="Calibri"/>
        <family val="2"/>
        <scheme val="minor"/>
      </rPr>
      <t>destinar</t>
    </r>
  </si>
  <si>
    <t>Ressources (temps, budget, personnel).</t>
  </si>
  <si>
    <t>Allocate resources (time, budget, staff).</t>
  </si>
  <si>
    <t>Asignar recursos (tiempo, presupuesto, personal).</t>
  </si>
  <si>
    <t>VIANDE FRAÎCHE CUITE SOUS VIDE</t>
  </si>
  <si>
    <t>FRESH MEAT, COOKED, VACUUM-PACKED</t>
  </si>
  <si>
    <t>CARNE FRESCA COCIDA AL VACÍO</t>
  </si>
  <si>
    <t>sous vide = vacuum-packed = envasado al vacío ; cuit(e) = cooked = cocido/a ; catégorie viandes = categoría carnes</t>
  </si>
  <si>
    <r>
      <t>Apprêt</t>
    </r>
    <r>
      <rPr>
        <sz val="11"/>
        <color theme="1"/>
        <rFont val="Calibri"/>
        <family val="2"/>
        <scheme val="minor"/>
      </rPr>
      <t xml:space="preserve"> : pousse finale d’une pâte levée avant cuisson.</t>
    </r>
  </si>
  <si>
    <r>
      <t>Final proof</t>
    </r>
    <r>
      <rPr>
        <sz val="11"/>
        <color theme="1"/>
        <rFont val="Calibri"/>
        <family val="2"/>
        <scheme val="minor"/>
      </rPr>
      <t xml:space="preserve"> of yeasted dough before baking.</t>
    </r>
  </si>
  <si>
    <r>
      <t>Leudado final</t>
    </r>
    <r>
      <rPr>
        <sz val="11"/>
        <color theme="1"/>
        <rFont val="Calibri"/>
        <family val="2"/>
        <scheme val="minor"/>
      </rPr>
      <t xml:space="preserve"> de la masa antes del horneado.</t>
    </r>
  </si>
  <si>
    <t>Acheminer</t>
  </si>
  <si>
    <t>route; dispatch; transfer</t>
  </si>
  <si>
    <t>encaminar; trasladar</t>
  </si>
  <si>
    <t>Mouvement produit/logistique interne.</t>
  </si>
  <si>
    <t>Product movement/internal logistics.</t>
  </si>
  <si>
    <t>Movimiento de producto/logística interna.</t>
  </si>
  <si>
    <t>Pocher les filets pliés à très court mouillement, sur toute cette garniture, avec un peu de vin blanc</t>
  </si>
  <si>
    <t>Poach the folded fillets with a very small amount of liquid over the garnish, with a splash of white wine</t>
  </si>
  <si>
    <t>Pochar los filetes doblados con muy poco líquido sobre la guarnición, con un poco de vino blanco</t>
  </si>
  <si>
    <t>chariots</t>
  </si>
  <si>
    <t>trolleys; carts; rack trolleys</t>
  </si>
  <si>
    <t>Pour plaques GN/600×400, paniers, bacs; freins, butées, numérotation.</t>
  </si>
  <si>
    <t>For GN/600×400 trays, baskets, pans; brakes, stops, numbering.</t>
  </si>
  <si>
    <t>Para bandejas GN/600×400, cestas, cubetas; frenos, topes, numeración.</t>
  </si>
  <si>
    <t>allumer</t>
  </si>
  <si>
    <t>turn on; switch on</t>
  </si>
  <si>
    <r>
      <t>encender</t>
    </r>
    <r>
      <rPr>
        <sz val="11"/>
        <color theme="5" tint="-0.499984740745262"/>
        <rFont val="Calibri"/>
        <family val="2"/>
        <scheme val="minor"/>
      </rPr>
      <t>; prender</t>
    </r>
  </si>
  <si>
    <t>Mise sous tension d’un appareil/ligne.</t>
  </si>
  <si>
    <t>Power on/start a device/line.</t>
  </si>
  <si>
    <t>Poner en marcha/energizar un equipo/línea.</t>
  </si>
  <si>
    <t>VIANDE FRAÎCHE SOUS VIDE CRUE A COUPER</t>
  </si>
  <si>
    <t>FRESH MEAT, VACUUM-PACKED, RAW — TO CUT</t>
  </si>
  <si>
    <t>CARNE FRESCA ENVASADA AL VACÍO, CRUDA — PARA CORTAR</t>
  </si>
  <si>
    <t>sous vide = vacuum-packed = envasado al vacío ; cru(e) = raw = crudo/a ; à couper = to cut = para cortar ; catégorie viandes = categoría carnes</t>
  </si>
  <si>
    <r>
      <t>Aromatiser</t>
    </r>
    <r>
      <rPr>
        <sz val="11"/>
        <color theme="1"/>
        <rFont val="Calibri"/>
        <family val="2"/>
        <scheme val="minor"/>
      </rPr>
      <t xml:space="preserve"> : ajouter arôme/aromates.</t>
    </r>
  </si>
  <si>
    <r>
      <t>Flavor/aromatize</t>
    </r>
    <r>
      <rPr>
        <sz val="11"/>
        <color theme="1"/>
        <rFont val="Calibri"/>
        <family val="2"/>
        <scheme val="minor"/>
      </rPr>
      <t xml:space="preserve"> a preparation.</t>
    </r>
  </si>
  <si>
    <r>
      <t>Aromatizar</t>
    </r>
    <r>
      <rPr>
        <sz val="11"/>
        <color theme="1"/>
        <rFont val="Calibri"/>
        <family val="2"/>
        <scheme val="minor"/>
      </rPr>
      <t xml:space="preserve"> una preparación.</t>
    </r>
  </si>
  <si>
    <t>Additionner</t>
  </si>
  <si>
    <t>add up; sum</t>
  </si>
  <si>
    <t>sumar</t>
  </si>
  <si>
    <t>Plutôt pour chiffres/quantités, pas culinaire « ajouter ».</t>
  </si>
  <si>
    <t>Use for numbers/quantities, not the culinary “add”.</t>
  </si>
  <si>
    <t>Usar para números/cantidades, no para “añadir” culinario.</t>
  </si>
  <si>
    <t>Cuire 4 à 6 min</t>
  </si>
  <si>
    <t>Cook 4–6 min</t>
  </si>
  <si>
    <t>Cocinar 4–6 min</t>
  </si>
  <si>
    <t>Préparations préliminaires</t>
  </si>
  <si>
    <t>Preliminary preparations</t>
  </si>
  <si>
    <t>Preparaciones preliminares</t>
  </si>
  <si>
    <t>chariots isothermes</t>
  </si>
  <si>
    <t>insulated food trolleys; hot/cold carts</t>
  </si>
  <si>
    <t>carros isotermos</t>
  </si>
  <si>
    <t>Logistique chaud/froid (self, catering); indiquer plages T° et autonomie.</t>
  </si>
  <si>
    <t>Hot/cold logistics (self, catering); indicate temp ranges &amp; autonomy.</t>
  </si>
  <si>
    <t>Logística caliente/fría (self, catering); indicar rangos de T° y autonomía.</t>
  </si>
  <si>
    <t>aménager</t>
  </si>
  <si>
    <t>arrange; set up; fit out</t>
  </si>
  <si>
    <r>
      <t>acondicionar</t>
    </r>
    <r>
      <rPr>
        <sz val="11"/>
        <color theme="5" tint="-0.499984740745262"/>
        <rFont val="Calibri"/>
        <family val="2"/>
        <scheme val="minor"/>
      </rPr>
      <t>; organizar; habilitar</t>
    </r>
  </si>
  <si>
    <t>Mettre en place un poste/une zone (layout, flux).</t>
  </si>
  <si>
    <t>Set up a station/area (layout/flow).</t>
  </si>
  <si>
    <t>Implantar un puesto/zona (layout/flujo).</t>
  </si>
  <si>
    <t>VIANDE FRAÎCHE SOUS VIDE CRUE A CUIRE A COUPER+APPERTISÉ</t>
  </si>
  <si>
    <t>FRESH MEAT, VACUUM-PACKED, RAW — TO COOK, TO CUT + CANNED</t>
  </si>
  <si>
    <t>CARNE FRESCA ENVASADA AL VACÍO, CRUDA — PARA COCINAR, PARA CORTAR + EN CONSERVA</t>
  </si>
  <si>
    <t>sous vide = vacuum-packed = envasado al vacío ; appertisé = canned = en conserva ; cru(e) = raw = crudo/a ; à cuire = to cook = para cocinar ; à couper = to cut = para cortar ; catégorie viandes = categoría carnes</t>
  </si>
  <si>
    <t>Adjoindre</t>
  </si>
  <si>
    <t>add; attach; append; join</t>
  </si>
  <si>
    <t>adjuntar; incorporar</t>
  </si>
  <si>
    <t>Selon contexte : document, ingrédient, pièce.</t>
  </si>
  <si>
    <t>Depending on context: document, ingredient, part.</t>
  </si>
  <si>
    <t>Según el contexto: documento, ingrediente, pieza.</t>
  </si>
  <si>
    <t>Débarrasser les filets sur plat beurré</t>
  </si>
  <si>
    <t>Transfer fillets to a buttered platter</t>
  </si>
  <si>
    <t>Retirar los filetes a una fuente enmantequillada</t>
  </si>
  <si>
    <t>La veille, décongeler les filets de morue suivant la procédure</t>
  </si>
  <si>
    <t>Thaw cod fillets per SOP (day before)</t>
  </si>
  <si>
    <t>Descongelar filetes de bacalao según POE (víspera)</t>
  </si>
  <si>
    <t>couvercle barquette</t>
  </si>
  <si>
    <t>tray lid (snap-on)</t>
  </si>
  <si>
    <t>tapa para barqueta</t>
  </si>
  <si>
    <t>À distinguer du film d’operculage (lidding film / film termosellado).</t>
  </si>
  <si>
    <t>Not to be confused with lidding film.</t>
  </si>
  <si>
    <t>No confundir con film termosellado.</t>
  </si>
  <si>
    <t>analyser</t>
  </si>
  <si>
    <t>analyze; test</t>
  </si>
  <si>
    <r>
      <t>analizar</t>
    </r>
    <r>
      <rPr>
        <sz val="11"/>
        <color theme="5" tint="-0.499984740745262"/>
        <rFont val="Calibri"/>
        <family val="2"/>
        <scheme val="minor"/>
      </rPr>
      <t>; evaluar</t>
    </r>
  </si>
  <si>
    <t>Contrôles (physico-chimiques, sensoriels, coûts).</t>
  </si>
  <si>
    <t>Run checks (physico-chemical, sensory, cost).</t>
  </si>
  <si>
    <t>Controles (fisicoquímicos, sensoriales, costes).</t>
  </si>
  <si>
    <r>
      <t>Beurrer</t>
    </r>
    <r>
      <rPr>
        <sz val="11"/>
        <color theme="1"/>
        <rFont val="Calibri"/>
        <family val="2"/>
        <scheme val="minor"/>
      </rPr>
      <t xml:space="preserve"> : 1) ajouter du beurre à une sauce;</t>
    </r>
  </si>
  <si>
    <r>
      <t>Butter</t>
    </r>
    <r>
      <rPr>
        <sz val="11"/>
        <color theme="1"/>
        <rFont val="Calibri"/>
        <family val="2"/>
        <scheme val="minor"/>
      </rPr>
      <t xml:space="preserve">: 1) enrich with butter; </t>
    </r>
  </si>
  <si>
    <r>
      <t>Mantequillar</t>
    </r>
    <r>
      <rPr>
        <sz val="11"/>
        <color theme="1"/>
        <rFont val="Calibri"/>
        <family val="2"/>
        <scheme val="minor"/>
      </rPr>
      <t xml:space="preserve">: 1) enriquecer con mantequilla; </t>
    </r>
  </si>
  <si>
    <t>Adjoindre (crème)</t>
  </si>
  <si>
    <t>Add (cream)</t>
  </si>
  <si>
    <t>Añadir (nata)</t>
  </si>
  <si>
    <t>Ajouter la crème hors du feu pour éviter de trancher.</t>
  </si>
  <si>
    <t>Add cream off heat to prevent splitting.</t>
  </si>
  <si>
    <t>Añadir la nata fuera del fuego para evitar corte.</t>
  </si>
  <si>
    <t>Les tenir au chaud</t>
  </si>
  <si>
    <t>Keep them warm</t>
  </si>
  <si>
    <t>Mantenerlos calientes</t>
  </si>
  <si>
    <t>Éventuellement, dessaler par trempage dans un grand volume d’eau</t>
  </si>
  <si>
    <t>If needed, desalinate by soaking in plenty of water</t>
  </si>
  <si>
    <t>Si procede, desalar en remojo con abundante agua</t>
  </si>
  <si>
    <t>couvercle inox (GN)</t>
  </si>
  <si>
    <t>stainless (GN) lid</t>
  </si>
  <si>
    <t>tapa GN de acero inoxidable</t>
  </si>
  <si>
    <t>Plein/perforé/avec poignée; format GN 1/1, 1/2, 1/3, etc.</t>
  </si>
  <si>
    <t>Solid/perforated/with handle; GN 1/1, 1/2, 1/3, etc.</t>
  </si>
  <si>
    <t>Entera/perforada/con asa; GN 1/1, 1/2, 1/3, etc.</t>
  </si>
  <si>
    <t>annuler</t>
  </si>
  <si>
    <t>cancel; void</t>
  </si>
  <si>
    <r>
      <t>cancelar</t>
    </r>
    <r>
      <rPr>
        <sz val="11"/>
        <color theme="5" tint="-0.499984740745262"/>
        <rFont val="Calibri"/>
        <family val="2"/>
        <scheme val="minor"/>
      </rPr>
      <t>; anular</t>
    </r>
  </si>
  <si>
    <t>Commande, OF, réservation, opération.</t>
  </si>
  <si>
    <t>Order, work order, booking, operation.</t>
  </si>
  <si>
    <t>Pedido, OF, reserva, operación.</t>
  </si>
  <si>
    <t>VIANDE FRAÎCHE SOUS VIDE CUITE A COUPER</t>
  </si>
  <si>
    <t>FRESH MEAT, VACUUM-PACKED, COOKED — TO SLICE/CUT</t>
  </si>
  <si>
    <t>CARNE FRESCA ENVASADA AL VACÍO, COCIDA — PARA CORTAR</t>
  </si>
  <si>
    <t>sous vide = vacuum-packed = envasado al vacío ; cuit(e) = cooked = cocido/a ; à couper = to cut = para cortar ; catégorie viandes = categoría carnes</t>
  </si>
  <si>
    <t xml:space="preserve"> 2) graisser un moule;</t>
  </si>
  <si>
    <t xml:space="preserve">2) grease a mold; </t>
  </si>
  <si>
    <t xml:space="preserve">2) engrasar un molde; </t>
  </si>
  <si>
    <t>affiner</t>
  </si>
  <si>
    <t>refine; fine-tune</t>
  </si>
  <si>
    <r>
      <t>afinar</t>
    </r>
    <r>
      <rPr>
        <sz val="11"/>
        <color theme="1"/>
        <rFont val="Calibri"/>
        <family val="2"/>
        <scheme val="minor"/>
      </rPr>
      <t>; perfeccionar</t>
    </r>
  </si>
  <si>
    <t>Ajuster un réglage/recette/procédé.</t>
  </si>
  <si>
    <t>Adjust a setting/recipe/process.</t>
  </si>
  <si>
    <t>Ajustar un parámetro/receta/proceso.</t>
  </si>
  <si>
    <t>Réduire la garniture presque à sec</t>
  </si>
  <si>
    <t>Reduce the garnish almost dry</t>
  </si>
  <si>
    <t>Reducir la guarnición casi a seco</t>
  </si>
  <si>
    <t>Plaquer les filets sur 5 bacs GN 1/1 H 25 perforés</t>
  </si>
  <si>
    <t>Lay fillets on 5 GN 1/1 H25 perforated pans</t>
  </si>
  <si>
    <t>Disponer filetes en 5 cubetas GN 1/1 H25 perforadas</t>
  </si>
  <si>
    <t>couvercle polyc. (GN)</t>
  </si>
  <si>
    <t>polycarbonate (GN) lid</t>
  </si>
  <si>
    <t>tapa GN de policarbonato</t>
  </si>
  <si>
    <t>Transparent, compatible froid/cellule; vérifier T°/lave-vaisselle.</t>
  </si>
  <si>
    <t>Transparent, cold/blast-chill safe; check temp/dishwasher.</t>
  </si>
  <si>
    <t>Transparente, apta para frío/abatidor; comprobar T°/lavavajillas.</t>
  </si>
  <si>
    <t>anticiper</t>
  </si>
  <si>
    <t>anticipate; plan ahead</t>
  </si>
  <si>
    <r>
      <t>anticipar</t>
    </r>
    <r>
      <rPr>
        <sz val="11"/>
        <color theme="5" tint="-0.499984740745262"/>
        <rFont val="Calibri"/>
        <family val="2"/>
        <scheme val="minor"/>
      </rPr>
      <t>; prever</t>
    </r>
  </si>
  <si>
    <t>Prévoir besoin/risque et agir en amont.</t>
  </si>
  <si>
    <t>Anticipate needs/risks and act upstream.</t>
  </si>
  <si>
    <t>Prever necesidades/riesgos y actuar con antelación.</t>
  </si>
  <si>
    <t xml:space="preserve"> 3) incorporer le beurre pour le tourage.</t>
  </si>
  <si>
    <t>3) laminate by adding butter for turns.</t>
  </si>
  <si>
    <t>3) laminar añadiendo mantequilla para los pliegues.</t>
  </si>
  <si>
    <t>Agir rapidement</t>
  </si>
  <si>
    <t>work quickly</t>
  </si>
  <si>
    <t>trabajar con rapidez</t>
  </si>
  <si>
    <t>Sens service/production : « move fast ».</t>
  </si>
  <si>
    <t>In service/production: “move fast.”</t>
  </si>
  <si>
    <t>En servicio/producción: “moverse rápido”.</t>
  </si>
  <si>
    <t>Monter au beurre</t>
  </si>
  <si>
    <t>Finish/mount with butter</t>
  </si>
  <si>
    <t>Montar/terminar con mantequilla</t>
  </si>
  <si>
    <t>Mettre les bacs sur l’échelle de four et réserver au froid en attente de cuisson</t>
  </si>
  <si>
    <t>Rack pans on the oven trolley and hold chilled until cooking</t>
  </si>
  <si>
    <t>Colocar cubetas en el carro de horno y reservar en frío en espera de cocción</t>
  </si>
  <si>
    <t>cuiseur vapeur</t>
  </si>
  <si>
    <t>steamer; steam cooker</t>
  </si>
  <si>
    <t>Peut être combi-steamer (four mixte). Préciser capacité/programmation.</t>
  </si>
  <si>
    <t>May be a combi-steamer. Specify capacity/programs.</t>
  </si>
  <si>
    <t>Puede ser horno mixto. Indicar capacidad/programación.</t>
  </si>
  <si>
    <t>appliquer</t>
  </si>
  <si>
    <t>apply; implement</t>
  </si>
  <si>
    <r>
      <t>aplicar</t>
    </r>
    <r>
      <rPr>
        <sz val="11"/>
        <color theme="5" tint="-0.499984740745262"/>
        <rFont val="Calibri"/>
        <family val="2"/>
        <scheme val="minor"/>
      </rPr>
      <t>; implementar</t>
    </r>
  </si>
  <si>
    <t>Appliquer un protocole, une consigne, une couche.</t>
  </si>
  <si>
    <t>Apply a protocol/instruction/a coating.</t>
  </si>
  <si>
    <t>Aplicar un protocolo/consigna/una capa.</t>
  </si>
  <si>
    <t>VIANDES FRAÎCHES A PIÉCER AVANT CUISSON COURTE</t>
  </si>
  <si>
    <t>FRESH MEATS TO PORTION BEFORE SHORT COOK</t>
  </si>
  <si>
    <t>CARNES FRESCAS PARA PORCIONAR ANTES DE COCCIÓN CORTA</t>
  </si>
  <si>
    <t>cuisson courte = short cook = cocción corta ; catégorie viandes = categoría carnes</t>
  </si>
  <si>
    <r>
      <t>Bain-marie</t>
    </r>
    <r>
      <rPr>
        <sz val="11"/>
        <color theme="1"/>
        <rFont val="Calibri"/>
        <family val="2"/>
        <scheme val="minor"/>
      </rPr>
      <t xml:space="preserve"> : cuisson/maintien au chaud dans eau.</t>
    </r>
  </si>
  <si>
    <r>
      <t>Bain-marie / water bath</t>
    </r>
    <r>
      <rPr>
        <sz val="11"/>
        <color theme="1"/>
        <rFont val="Calibri"/>
        <family val="2"/>
        <scheme val="minor"/>
      </rPr>
      <t xml:space="preserve"> for gentle cooking/holding.</t>
    </r>
  </si>
  <si>
    <r>
      <t>Baño María</t>
    </r>
    <r>
      <rPr>
        <sz val="11"/>
        <color theme="1"/>
        <rFont val="Calibri"/>
        <family val="2"/>
        <scheme val="minor"/>
      </rPr>
      <t xml:space="preserve"> para cocción/mantenimiento suave.</t>
    </r>
  </si>
  <si>
    <t>Ajouter</t>
  </si>
  <si>
    <t>add</t>
  </si>
  <si>
    <t>añadir; agregar</t>
  </si>
  <si>
    <t>Action culinaire générique.Respecter l’ordre d’incorporation de la fiche.</t>
  </si>
  <si>
    <t>Generic culinary action.Add in the specified order.</t>
  </si>
  <si>
    <t>Acción culinaria genérica.Añadir en el orden indicado.</t>
  </si>
  <si>
    <t>Napper les filets</t>
  </si>
  <si>
    <t>Nap/coat the fillets with the sauce</t>
  </si>
  <si>
    <t>Napar/cubrir los filetes con la salsa</t>
  </si>
  <si>
    <t>Au cutter, hacher finement l’ail. Réserver</t>
  </si>
  <si>
    <t>Chop garlic in cutter. Reserve</t>
  </si>
  <si>
    <t>Picar ajo en cutter. Reservar</t>
  </si>
  <si>
    <t>cul de poule</t>
  </si>
  <si>
    <t>mixing bowl (hemispherical)</t>
  </si>
  <si>
    <t>Inox, fond arrondi pour fouetter/émulsionner; existe en polycarbonate.</t>
  </si>
  <si>
    <t>Stainless, rounded bottom for whisking/emulsions; also polycarbonate.</t>
  </si>
  <si>
    <t>Inox, fondo redondeado para batir/emulsionar; también policarbonato.</t>
  </si>
  <si>
    <t>approuver</t>
  </si>
  <si>
    <t>approve; validate</t>
  </si>
  <si>
    <r>
      <t>aprobar</t>
    </r>
    <r>
      <rPr>
        <sz val="11"/>
        <color theme="5" tint="-0.499984740745262"/>
        <rFont val="Calibri"/>
        <family val="2"/>
        <scheme val="minor"/>
      </rPr>
      <t>; validar</t>
    </r>
  </si>
  <si>
    <t>Validation recette/procédure/commande.</t>
  </si>
  <si>
    <t>Validate recipe/procedure/order.</t>
  </si>
  <si>
    <t>Validar receta/procedimiento/pedido.</t>
  </si>
  <si>
    <t>VIANDES FRAÎCHES A PIÉCER AVANT CUISSON LONGUE</t>
  </si>
  <si>
    <t>FRESH MEATS TO PORTION BEFORE LONG COOK</t>
  </si>
  <si>
    <t>CARNES FRESCAS PARA PORCIONAR ANTES DE COCCIÓN LARGA</t>
  </si>
  <si>
    <t>cuisson longue = long cook = cocción larga ; catégorie viandes = categoría carnes</t>
  </si>
  <si>
    <r>
      <t>Battre</t>
    </r>
    <r>
      <rPr>
        <sz val="11"/>
        <color theme="1"/>
        <rFont val="Calibri"/>
        <family val="2"/>
        <scheme val="minor"/>
      </rPr>
      <t xml:space="preserve"> : fouetter énergiquement pour homogénéiser/foisonner.</t>
    </r>
  </si>
  <si>
    <r>
      <t>Beat/whisk</t>
    </r>
    <r>
      <rPr>
        <sz val="11"/>
        <color theme="1"/>
        <rFont val="Calibri"/>
        <family val="2"/>
        <scheme val="minor"/>
      </rPr>
      <t xml:space="preserve"> to combine or aerate.</t>
    </r>
  </si>
  <si>
    <r>
      <t>Batir</t>
    </r>
    <r>
      <rPr>
        <sz val="11"/>
        <color theme="1"/>
        <rFont val="Calibri"/>
        <family val="2"/>
        <scheme val="minor"/>
      </rPr>
      <t xml:space="preserve"> para homogeneizar o airear.</t>
    </r>
  </si>
  <si>
    <t>améliorer</t>
  </si>
  <si>
    <t>improve; enhance</t>
  </si>
  <si>
    <r>
      <t>mejorar</t>
    </r>
    <r>
      <rPr>
        <sz val="11"/>
        <color theme="1"/>
        <rFont val="Calibri"/>
        <family val="2"/>
        <scheme val="minor"/>
      </rPr>
      <t>; optimizar</t>
    </r>
  </si>
  <si>
    <t>Gains qualité, sécurité, productivité.</t>
  </si>
  <si>
    <t>Improve quality, safety, productivity.</t>
  </si>
  <si>
    <t>Mejoras de calidad, seguridad, productividad.</t>
  </si>
  <si>
    <t>Servir sans attendre</t>
  </si>
  <si>
    <t>Serve immediately</t>
  </si>
  <si>
    <t>Servir de inmediato</t>
  </si>
  <si>
    <t>Chauffer le lait et le maintenir au chaud</t>
  </si>
  <si>
    <t>Heat the milk and hold hot</t>
  </si>
  <si>
    <t>Calentar la leche y mantener caliente</t>
  </si>
  <si>
    <t>cutter</t>
  </si>
  <si>
    <t>bowl cutter (meat)</t>
  </si>
  <si>
    <t xml:space="preserve"> picadora-cutter)</t>
  </si>
  <si>
    <t>Deux sens : couteau cartons OU « cutter » de charcuterie (cutter-mixer).</t>
  </si>
  <si>
    <t>Two meanings: box cutter OR meat bowl cutter (cutter-mixer).</t>
  </si>
  <si>
    <t>Dos sentidos: cúter de cajas O cutter de charcutería (cutter-mixer).</t>
  </si>
  <si>
    <t>approvisionner</t>
  </si>
  <si>
    <t>supply; procure; stock</t>
  </si>
  <si>
    <r>
      <t>aprovisionar</t>
    </r>
    <r>
      <rPr>
        <sz val="11"/>
        <color theme="5" tint="-0.499984740745262"/>
        <rFont val="Calibri"/>
        <family val="2"/>
        <scheme val="minor"/>
      </rPr>
      <t>; abastecer</t>
    </r>
  </si>
  <si>
    <t>Matières, emballages, consommables.</t>
  </si>
  <si>
    <t>Supply materials, packaging, consumables.</t>
  </si>
  <si>
    <t>Suministrar materias, envases, consumibles.</t>
  </si>
  <si>
    <t>VIANDES FRAÎCHES DÉCOUPÉE A CUISSON LONGUE</t>
  </si>
  <si>
    <t>FRESH MEATS, CUT — FOR LONG COOK</t>
  </si>
  <si>
    <t>CARNES FRESCAS, CORTADAS — PARA COCCIÓN LARGA</t>
  </si>
  <si>
    <t>cuisson longue = long cook = cocción larga ; découpée = cut = cortada ; catégorie viandes = categoría carnes</t>
  </si>
  <si>
    <r>
      <t>Beurre clarifié</t>
    </r>
    <r>
      <rPr>
        <sz val="11"/>
        <color theme="1"/>
        <rFont val="Calibri"/>
        <family val="2"/>
        <scheme val="minor"/>
      </rPr>
      <t xml:space="preserve"> : beurre fondu décanté (sans caséine/petit-lait).</t>
    </r>
  </si>
  <si>
    <r>
      <t>Clarified butter</t>
    </r>
    <r>
      <rPr>
        <sz val="11"/>
        <color theme="1"/>
        <rFont val="Calibri"/>
        <family val="2"/>
        <scheme val="minor"/>
      </rPr>
      <t xml:space="preserve"> (milk solids removed).</t>
    </r>
  </si>
  <si>
    <r>
      <t>Mantequilla clarificada</t>
    </r>
    <r>
      <rPr>
        <sz val="11"/>
        <color theme="1"/>
        <rFont val="Calibri"/>
        <family val="2"/>
        <scheme val="minor"/>
      </rPr>
      <t>.</t>
    </r>
  </si>
  <si>
    <t>Aplatir</t>
  </si>
  <si>
    <t>flatten; pound</t>
  </si>
  <si>
    <r>
      <t xml:space="preserve">aplanar; </t>
    </r>
    <r>
      <rPr>
        <b/>
        <sz val="11"/>
        <color theme="1"/>
        <rFont val="Calibri"/>
        <family val="2"/>
        <scheme val="minor"/>
      </rPr>
      <t>majar</t>
    </r>
  </si>
  <si>
    <t>Viande/poisson : « pound thin » / « majar la carne ».</t>
  </si>
  <si>
    <t>Meat/fish: “pound thin.”</t>
  </si>
  <si>
    <t>Carne/pescado: “majar/golpear para afinar.”</t>
  </si>
  <si>
    <t>Porter à ébullition la crème et la maintenir au chaud et la maintenir au chaud en attente d’utilisation</t>
  </si>
  <si>
    <t>Bring cream to a boil and keep it hot until use</t>
  </si>
  <si>
    <t>Llevar la nata a ebullición y mantenerla caliente en espera de uso</t>
  </si>
  <si>
    <t>archiver</t>
  </si>
  <si>
    <t>archive; file</t>
  </si>
  <si>
    <t>archivar</t>
  </si>
  <si>
    <t>Ranger/numériser docs (traçabilité, HACCP).</t>
  </si>
  <si>
    <t>File/scan docs (traceability, HACCP).</t>
  </si>
  <si>
    <t>Archivar/digitalizar docs (trazabilidad, APPCC).</t>
  </si>
  <si>
    <t>VIANDES FRAÎCHES PIÉCÉES A CUISSON COURTE</t>
  </si>
  <si>
    <t>FRESH MEATS, PORTIONED — FOR SHORT COOK</t>
  </si>
  <si>
    <t>CARNES FRESCAS, PORCIONADAS — PARA COCCIÓN CORTA</t>
  </si>
  <si>
    <r>
      <t>Beurre en pommade</t>
    </r>
    <r>
      <rPr>
        <sz val="11"/>
        <color theme="1"/>
        <rFont val="Calibri"/>
        <family val="2"/>
        <scheme val="minor"/>
      </rPr>
      <t xml:space="preserve"> : beurre ramolli, texture pommade.</t>
    </r>
  </si>
  <si>
    <r>
      <t>Softened/butter at pomade stage</t>
    </r>
    <r>
      <rPr>
        <sz val="11"/>
        <color theme="1"/>
        <rFont val="Calibri"/>
        <family val="2"/>
        <scheme val="minor"/>
      </rPr>
      <t>.</t>
    </r>
  </si>
  <si>
    <r>
      <t>Mantequilla en pomada</t>
    </r>
    <r>
      <rPr>
        <sz val="11"/>
        <color theme="1"/>
        <rFont val="Calibri"/>
        <family val="2"/>
        <scheme val="minor"/>
      </rPr>
      <t>.</t>
    </r>
  </si>
  <si>
    <t>Aromatiser</t>
  </si>
  <si>
    <t>flavor; infuse</t>
  </si>
  <si>
    <t>aromatizar; infusionar</t>
  </si>
  <si>
    <t>« Infuse » si par macération/infusion.</t>
  </si>
  <si>
    <t>Use “infuse” if by steeping/maceration.</t>
  </si>
  <si>
    <t>Usar “infusionar” si es por maceración/infusión.</t>
  </si>
  <si>
    <t>Au pinceau, badigeonner de beurre 8 bacs GN 1/1 H65</t>
  </si>
  <si>
    <t>Brush 8 GN 1/1 H65 pans with butter</t>
  </si>
  <si>
    <t>Pincelar con mantequilla 8 cubetas GN 1/1 H65</t>
  </si>
  <si>
    <t>douchette (évier)</t>
  </si>
  <si>
    <t>pre-rinse spray gun; sink spray hose</t>
  </si>
  <si>
    <t>Douchette évier : rinçage/nettoyage; eau potable, anti-retour, pression/débit, jet réglable.</t>
  </si>
  <si>
    <t>Pre-rinse spray: rinsing/cleaning; potable water, backflow preventer, pressure/flow, adjustable spray.</t>
  </si>
  <si>
    <t>Ducha de fregadero: enjuague/limpieza; agua potable, antirretorno, presión/caudal, chorro regulable.</t>
  </si>
  <si>
    <t>arrêter (une machine)</t>
  </si>
  <si>
    <t>stop; shut down</t>
  </si>
  <si>
    <r>
      <t>parar</t>
    </r>
    <r>
      <rPr>
        <sz val="11"/>
        <color theme="5" tint="-0.499984740745262"/>
        <rFont val="Calibri"/>
        <family val="2"/>
        <scheme val="minor"/>
      </rPr>
      <t xml:space="preserve">; </t>
    </r>
    <r>
      <rPr>
        <b/>
        <sz val="11"/>
        <color theme="5" tint="-0.499984740745262"/>
        <rFont val="Calibri"/>
        <family val="2"/>
        <scheme val="minor"/>
      </rPr>
      <t>detener</t>
    </r>
  </si>
  <si>
    <t>Arrêt normal/d’urgence d’équipement.</t>
  </si>
  <si>
    <t>Normal/emergency stop of equipment.</t>
  </si>
  <si>
    <t>Parada normal/de emergencia del equipo.</t>
  </si>
  <si>
    <t>VIANDES FRAÎCHES PIÉCÉES A CUISSON LONGUE</t>
  </si>
  <si>
    <t>FRESH MEATS, PORTIONED — FOR LONG COOK</t>
  </si>
  <si>
    <t>CARNES FRESCAS, PORCIONADAS — PARA COCCIÓN LARGA</t>
  </si>
  <si>
    <r>
      <t>Blanchiment</t>
    </r>
    <r>
      <rPr>
        <sz val="11"/>
        <color theme="1"/>
        <rFont val="Calibri"/>
        <family val="2"/>
        <scheme val="minor"/>
      </rPr>
      <t xml:space="preserve"> (chocolat) : déstabilisation avec voile blanchâtre due à la migration de cristaux de sucre (stockage humide et/ou températures inadaptées).</t>
    </r>
  </si>
  <si>
    <t>Sugar bloom (chocolate): destabilization with whitish film caused by sugar crystals migrating (humid storage and/or improper temperatures).</t>
  </si>
  <si>
    <t>Floración azucarada (chocolate): desestabilización con velo blanquecino por migración de cristales de azúcar (almacenaje húmedo y/o temperaturas inadecuadas).</t>
  </si>
  <si>
    <t>Arroser</t>
  </si>
  <si>
    <t>Baste/Drizzle</t>
  </si>
  <si>
    <t>Rociar</t>
  </si>
  <si>
    <t>Pendant la cuisson, pour brillance et moelleux.</t>
  </si>
  <si>
    <t>Baste during cooking for shine/moisture.</t>
  </si>
  <si>
    <t>Rociar durante la cocción para brillo/jugosidad.</t>
  </si>
  <si>
    <t>faire court …1 verbe = 1 action</t>
  </si>
  <si>
    <t>E</t>
  </si>
  <si>
    <t>arrimer</t>
  </si>
  <si>
    <t>secure; lash</t>
  </si>
  <si>
    <r>
      <t>amarrar</t>
    </r>
    <r>
      <rPr>
        <sz val="11"/>
        <color theme="5" tint="-0.499984740745262"/>
        <rFont val="Calibri"/>
        <family val="2"/>
        <scheme val="minor"/>
      </rPr>
      <t>; asegurar</t>
    </r>
  </si>
  <si>
    <t>Sécuriser charges/palettes pour transport.</t>
  </si>
  <si>
    <t>Secure loads/pallets for transport.</t>
  </si>
  <si>
    <t>Asegurar cargas/palets para el transporte.</t>
  </si>
  <si>
    <t>VIANDES SURGELEES A CUISSON COURTE</t>
  </si>
  <si>
    <t>FROZEN MEATS — FOR SHORT COOK</t>
  </si>
  <si>
    <t>CARNES CONGELADAS — PARA COCCIÓN CORTA</t>
  </si>
  <si>
    <r>
      <t>Blanchir (pâtisserie)</t>
    </r>
    <r>
      <rPr>
        <sz val="11"/>
        <color theme="1"/>
        <rFont val="Calibri"/>
        <family val="2"/>
        <scheme val="minor"/>
      </rPr>
      <t xml:space="preserve"> : fouetter jaunes + sucre jusqu’à mousseux.</t>
    </r>
  </si>
  <si>
    <r>
      <t>Blanch</t>
    </r>
    <r>
      <rPr>
        <sz val="11"/>
        <color theme="1"/>
        <rFont val="Calibri"/>
        <family val="2"/>
        <scheme val="minor"/>
      </rPr>
      <t xml:space="preserve"> egg yolks with sugar (whip pale/foamy).</t>
    </r>
  </si>
  <si>
    <r>
      <t>Blanquear</t>
    </r>
    <r>
      <rPr>
        <sz val="11"/>
        <color theme="1"/>
        <rFont val="Calibri"/>
        <family val="2"/>
        <scheme val="minor"/>
      </rPr>
      <t xml:space="preserve"> yemas con azúcar (batir hasta espumar).</t>
    </r>
  </si>
  <si>
    <t>assaisonnement</t>
  </si>
  <si>
    <t>seasoning</t>
  </si>
  <si>
    <r>
      <t>sazonado</t>
    </r>
    <r>
      <rPr>
        <sz val="11"/>
        <color theme="1"/>
        <rFont val="Calibri"/>
        <family val="2"/>
        <scheme val="minor"/>
      </rPr>
      <t>; aliño/condimentación</t>
    </r>
  </si>
  <si>
    <t>« Aliño » plutôt pour salades/sauces ; « sazonado » pour cuisson.</t>
  </si>
  <si>
    <t>“Dressing” for salads/sauces; “seasoning” for cooking.</t>
  </si>
  <si>
    <t>“Aliño” para ensaladas/salsas; “sazonado” para la cocción.</t>
  </si>
  <si>
    <t>PHASES ESSENTIELLES  DE PROGRESSION</t>
  </si>
  <si>
    <t>Préparer la purée</t>
  </si>
  <si>
    <t>Prepare the mash/purée</t>
  </si>
  <si>
    <t>Preparar el puré</t>
  </si>
  <si>
    <t>échelle (de four / pâtisserie)</t>
  </si>
  <si>
    <t>rack trolley; baker’s rack; oven rack cart</t>
  </si>
  <si>
    <t>Chariot plaques 600×400/GN; nb niveaux, butées, freins, compat. four/cellule.</t>
  </si>
  <si>
    <t>Rack trolley 600×400/GN; levels, stops, brakes, oven/blast-chill compat.</t>
  </si>
  <si>
    <t>Carro estantería 600×400/GN; niveles, topes, frenos, compat. horno/abatidor.</t>
  </si>
  <si>
    <t>arrondir</t>
  </si>
  <si>
    <t>round; round off</t>
  </si>
  <si>
    <t>redondear</t>
  </si>
  <si>
    <t>Valeurs, prix, grammages (tolérances).</t>
  </si>
  <si>
    <t>Round values/prices/weights (tolerances).</t>
  </si>
  <si>
    <t>Redondear valores/precios/gramajes (tolerancias).</t>
  </si>
  <si>
    <t>VIANDES SURGELEES CRUES A TRANCHER AVANT CUISSON</t>
  </si>
  <si>
    <t>FROZEN MEATS, RAW — TO SLICE BEFORE COOKING</t>
  </si>
  <si>
    <t>CARNES CONGELADAS, CRUDAS — PARA REBANAR ANTES DE LA COCCIÓN</t>
  </si>
  <si>
    <t>cru(e) = raw = crudo/a ; à trancher = to slice = para rebanar ; catégorie viandes = categoría carnes</t>
  </si>
  <si>
    <r>
      <t>Bouler</t>
    </r>
    <r>
      <rPr>
        <sz val="11"/>
        <color theme="1"/>
        <rFont val="Calibri"/>
        <family val="2"/>
        <scheme val="minor"/>
      </rPr>
      <t xml:space="preserve"> : façonner une boule de pâte.</t>
    </r>
  </si>
  <si>
    <r>
      <t>Round/ball up</t>
    </r>
    <r>
      <rPr>
        <sz val="11"/>
        <color theme="1"/>
        <rFont val="Calibri"/>
        <family val="2"/>
        <scheme val="minor"/>
      </rPr>
      <t xml:space="preserve"> dough.</t>
    </r>
  </si>
  <si>
    <r>
      <t>Bolear</t>
    </r>
    <r>
      <rPr>
        <sz val="11"/>
        <color theme="1"/>
        <rFont val="Calibri"/>
        <family val="2"/>
        <scheme val="minor"/>
      </rPr>
      <t xml:space="preserve"> la masa.</t>
    </r>
  </si>
  <si>
    <t>Assaisonner</t>
  </si>
  <si>
    <t>season</t>
  </si>
  <si>
    <t>sazonar; aliñar</t>
  </si>
  <si>
    <t>« Season to taste » / « sazonar al gusto ».</t>
  </si>
  <si>
    <t>“Season to taste.”</t>
  </si>
  <si>
    <t>“Sazonar al gusto.”</t>
  </si>
  <si>
    <t>Préparer la purée déshydratée en suivant les indications du fabricant</t>
  </si>
  <si>
    <t>Prepare the instant mash following the manufacturer’s directions</t>
  </si>
  <si>
    <t>Preparar el puré deshidratado según las indicaciones del fabricante</t>
  </si>
  <si>
    <t>écumoire</t>
  </si>
  <si>
    <t>skimmer; slotted spoon</t>
  </si>
  <si>
    <t>espumadera</t>
  </si>
  <si>
    <t>Écumoire : écumer/récupérer fritures; matière/Ø/longueur.</t>
  </si>
  <si>
    <t>Skimmer: skimming/frying pickup; material/diameter/length.</t>
  </si>
  <si>
    <t>Espumadera: desespumar/recoger fritos; material/Ø/longitud.</t>
  </si>
  <si>
    <t>articuler</t>
  </si>
  <si>
    <t>articulate; structure</t>
  </si>
  <si>
    <r>
      <t>articular</t>
    </r>
    <r>
      <rPr>
        <sz val="11"/>
        <color theme="5" tint="-0.499984740745262"/>
        <rFont val="Calibri"/>
        <family val="2"/>
        <scheme val="minor"/>
      </rPr>
      <t>; estructurar</t>
    </r>
  </si>
  <si>
    <t>Clarifier étapes/argumentaire/process.</t>
  </si>
  <si>
    <t>Articulate/structure steps/argument/process.</t>
  </si>
  <si>
    <t>Estructurar/clarificar etapas/argumento/proceso.</t>
  </si>
  <si>
    <t>VIANDES SURGELEES CUITES</t>
  </si>
  <si>
    <t>FROZEN COOKED MEATS</t>
  </si>
  <si>
    <t>CARNES COCIDAS CONGELADAS</t>
  </si>
  <si>
    <t>cuit(e) = cooked = cocido/a ; catégorie viandes = categoría carnes</t>
  </si>
  <si>
    <r>
      <t>Brunissement enzymatique</t>
    </r>
    <r>
      <rPr>
        <sz val="11"/>
        <color theme="1"/>
        <rFont val="Calibri"/>
        <family val="2"/>
        <scheme val="minor"/>
      </rPr>
      <t xml:space="preserve"> : brunissement à l’air après coupe/épluchage.</t>
    </r>
  </si>
  <si>
    <r>
      <t>Enzymatic browning</t>
    </r>
    <r>
      <rPr>
        <sz val="11"/>
        <color theme="1"/>
        <rFont val="Calibri"/>
        <family val="2"/>
        <scheme val="minor"/>
      </rPr>
      <t xml:space="preserve"> after cutting/peeling.</t>
    </r>
  </si>
  <si>
    <r>
      <t>Pardeamiento enzimático</t>
    </r>
    <r>
      <rPr>
        <sz val="11"/>
        <color theme="1"/>
        <rFont val="Calibri"/>
        <family val="2"/>
        <scheme val="minor"/>
      </rPr>
      <t>.</t>
    </r>
  </si>
  <si>
    <t>assemblage</t>
  </si>
  <si>
    <t>assembly</t>
  </si>
  <si>
    <t>montaje</t>
  </si>
  <si>
    <t>Étape générique avant service/expédition.</t>
  </si>
  <si>
    <t>Generic step before service/shipping.</t>
  </si>
  <si>
    <t>Etapa genérica antes del servicio/expedición.</t>
  </si>
  <si>
    <t>Mettre au point l’assaisonnement. Muscader légèrement. Réserver au chaud</t>
  </si>
  <si>
    <t>Adjust seasoning. Nutmeg lightly. Hold hot</t>
  </si>
  <si>
    <t>Ajustar sazonado. Nuez moscada ligera. Mantener caliente</t>
  </si>
  <si>
    <t>emballage carton</t>
  </si>
  <si>
    <t>cardboard packaging; corrugated box</t>
  </si>
  <si>
    <t>Emballage carton : grammage, simple/doble onda, marquage (lot, flèches, FRAGILE).</t>
  </si>
  <si>
    <t>Cardboard: weight, single/double wall, markings (lot, arrows, FRAGILE).</t>
  </si>
  <si>
    <t>Cartón: gramaje, simple/doble onda, marcado (lote, flechas, FRÁGIL).</t>
  </si>
  <si>
    <t>assainir</t>
  </si>
  <si>
    <t>sanitize; make safe</t>
  </si>
  <si>
    <r>
      <t>sanear</t>
    </r>
    <r>
      <rPr>
        <sz val="11"/>
        <color theme="5" tint="-0.499984740745262"/>
        <rFont val="Calibri"/>
        <family val="2"/>
        <scheme val="minor"/>
      </rPr>
      <t>; desinfectar</t>
    </r>
  </si>
  <si>
    <t>Assainir locaux/process/données.</t>
  </si>
  <si>
    <t>Sanitize premises/process/data.</t>
  </si>
  <si>
    <t>Sanear instalaciones/procesos/datos.</t>
  </si>
  <si>
    <t>VIANDES SURGELEES CUITES A TRANCHER</t>
  </si>
  <si>
    <t>FROZEN COOKED MEATS — TO SLICE</t>
  </si>
  <si>
    <t>CARNES COCIDAS CONGELADAS — PARA REBANAR</t>
  </si>
  <si>
    <t>cuit(e) = cooked = cocido/a ; à trancher = to slice = para rebanar ; catégorie viandes = categoría carnes</t>
  </si>
  <si>
    <t>assemblage assiette</t>
  </si>
  <si>
    <r>
      <t xml:space="preserve">plate assembly; </t>
    </r>
    <r>
      <rPr>
        <b/>
        <sz val="11"/>
        <color theme="1"/>
        <rFont val="Calibri"/>
        <family val="2"/>
        <scheme val="minor"/>
      </rPr>
      <t>plating</t>
    </r>
  </si>
  <si>
    <t>emplatado</t>
  </si>
  <si>
    <t>Mise en assiette individuelle.</t>
  </si>
  <si>
    <t>Plating individual portions.</t>
  </si>
  <si>
    <t>Emplatado de porciones individuales.</t>
  </si>
  <si>
    <t>Quelques expressions</t>
  </si>
  <si>
    <t>Some expressions</t>
  </si>
  <si>
    <t>Algunas expresiones</t>
  </si>
  <si>
    <t>Ou marquer la cuisson des pommes de terre pour la réalisation de la purée fraîche</t>
  </si>
  <si>
    <t>Or start cooking the potatoes for fresh mash</t>
  </si>
  <si>
    <t>O marcar la cocción de las patatas para elaborar puré fresco</t>
  </si>
  <si>
    <t>emballage originel</t>
  </si>
  <si>
    <t>original packaging; manufacturer’s packaging</t>
  </si>
  <si>
    <t>embalaje original</t>
  </si>
  <si>
    <t>Emballage originel : garder pour traçabilité/SAV; ne pas rompre scellé.</t>
  </si>
  <si>
    <t>Original packaging: keep for traceability/returns; do not break seal.</t>
  </si>
  <si>
    <t>Embalaje original: conservar para trazabilidad/garantía; no romper sello.</t>
  </si>
  <si>
    <t>assister</t>
  </si>
  <si>
    <t>assist; help</t>
  </si>
  <si>
    <r>
      <t>asistir</t>
    </r>
    <r>
      <rPr>
        <sz val="11"/>
        <color theme="5" tint="-0.499984740745262"/>
        <rFont val="Calibri"/>
        <family val="2"/>
        <scheme val="minor"/>
      </rPr>
      <t>; ayudar</t>
    </r>
  </si>
  <si>
    <t>Aide opérationnelle/technique.</t>
  </si>
  <si>
    <t>Operational/technical assistance.</t>
  </si>
  <si>
    <t>Asistencia operativa/técnica.</t>
  </si>
  <si>
    <t>VIANDES SURGELEES CUITES TRANCHÉES</t>
  </si>
  <si>
    <t>FROZEN COOKED MEATS — SLICED</t>
  </si>
  <si>
    <t>CARNES COCIDAS CONGELADAS — REBANADAS</t>
  </si>
  <si>
    <t>cuit(e) = cooked = cocido/a ; tranchées = sliced = rebanadas ; catégorie viandes = categoría carnes</t>
  </si>
  <si>
    <r>
      <t>Candir :</t>
    </r>
    <r>
      <rPr>
        <sz val="11"/>
        <color theme="1"/>
        <rFont val="Calibri"/>
        <family val="2"/>
        <scheme val="minor"/>
      </rPr>
      <t xml:space="preserve"> immerger confiseries/décors dans un sirop pour cristalliser le sucre en surface.</t>
    </r>
  </si>
  <si>
    <t>Candy (to sugar-coat): immerse confections/decors in syrup to form a surface sugar crystallization.</t>
  </si>
  <si>
    <t>Candar/azucarar: sumergir confites/decoraciones en un almíbar para cristalizar azúcar en la superficie.</t>
  </si>
  <si>
    <t>assemblage collectif</t>
  </si>
  <si>
    <t>batch/line plating; bulk assembly</t>
  </si>
  <si>
    <t>emplatado colectivo / en cadena</t>
  </si>
  <si>
    <t>Self, catering, grandes séries.</t>
  </si>
  <si>
    <t>Self-service, catering, large-batch.</t>
  </si>
  <si>
    <t>Autoservicio, catering, grandes series.</t>
  </si>
  <si>
    <t>Hygiène &amp; organisation</t>
  </si>
  <si>
    <t>Food safety &amp; organization</t>
  </si>
  <si>
    <t>Seguridad alimentaria y organización</t>
  </si>
  <si>
    <t>étagères</t>
  </si>
  <si>
    <t>shelves; shelving; racking</t>
  </si>
  <si>
    <t>Étagères : inox/plastique; charge/niveau, pieds réglables, usage humide/froid.</t>
  </si>
  <si>
    <t>Shelving: stainless/plastic; load per level, adjustable feet, wet/cold use.</t>
  </si>
  <si>
    <t>Estanterías: inox/plástico; carga/nivel, patas regulables, uso húmedo/frío.</t>
  </si>
  <si>
    <t>assurer</t>
  </si>
  <si>
    <t>ensure; secure; guarantee</t>
  </si>
  <si>
    <r>
      <t>asegurar</t>
    </r>
    <r>
      <rPr>
        <sz val="11"/>
        <color theme="5" tint="-0.499984740745262"/>
        <rFont val="Calibri"/>
        <family val="2"/>
        <scheme val="minor"/>
      </rPr>
      <t>; garantizar</t>
    </r>
  </si>
  <si>
    <t>S’assurer qu’un résultat/exigence est atteint.</t>
  </si>
  <si>
    <t>Ensure a result/requirement is met.</t>
  </si>
  <si>
    <t>Asegurar que se cumple un resultado/requisito.</t>
  </si>
  <si>
    <t>VIANDES SOUS VIDE A PIÉCER AVANT CUISSON COURTE</t>
  </si>
  <si>
    <t>VACUUM-PACKED MEATS — TO PORTION BEFORE SHORT COOK</t>
  </si>
  <si>
    <t>CARNES AL VACÍO — PARA PORCIONAR ANTES DE COCCIÓN CORTA</t>
  </si>
  <si>
    <t>sous vide = vacuum-packed = envasado al vacío ; cuisson courte = short cook = cocción corta ; catégorie viandes = categoría carnes</t>
  </si>
  <si>
    <r>
      <t>Canneler</t>
    </r>
    <r>
      <rPr>
        <sz val="11"/>
        <color theme="1"/>
        <rFont val="Calibri"/>
        <family val="2"/>
        <scheme val="minor"/>
      </rPr>
      <t xml:space="preserve"> : faire des cannelures décoratives sur fruits/légumes.</t>
    </r>
  </si>
  <si>
    <r>
      <t>Channel/zest in strips</t>
    </r>
    <r>
      <rPr>
        <sz val="11"/>
        <color theme="1"/>
        <rFont val="Calibri"/>
        <family val="2"/>
        <scheme val="minor"/>
      </rPr>
      <t xml:space="preserve"> (make decorative grooves).</t>
    </r>
  </si>
  <si>
    <r>
      <t>Hacer canaladuras</t>
    </r>
    <r>
      <rPr>
        <sz val="11"/>
        <color theme="1"/>
        <rFont val="Calibri"/>
        <family val="2"/>
        <scheme val="minor"/>
      </rPr>
      <t xml:space="preserve"> / </t>
    </r>
    <r>
      <rPr>
        <b/>
        <sz val="11"/>
        <color theme="1"/>
        <rFont val="Calibri"/>
        <family val="2"/>
        <scheme val="minor"/>
      </rPr>
      <t>sacar tiras decorativas</t>
    </r>
    <r>
      <rPr>
        <sz val="11"/>
        <color theme="1"/>
        <rFont val="Calibri"/>
        <family val="2"/>
        <scheme val="minor"/>
      </rPr>
      <t>.</t>
    </r>
  </si>
  <si>
    <t>assemblage ind. (individuel)</t>
  </si>
  <si>
    <t>individual assembly</t>
  </si>
  <si>
    <t>montaje individual</t>
  </si>
  <si>
    <t>Unité portion/assiette.</t>
  </si>
  <si>
    <t>Single portion/plate unit.</t>
  </si>
  <si>
    <t>Unidad de ración/platillo.</t>
  </si>
  <si>
    <t>débarrasser dans un récipient</t>
  </si>
  <si>
    <t>transfer to a container</t>
  </si>
  <si>
    <t>trasvasar a un recipiente</t>
  </si>
  <si>
    <t>Confectionner la brandade de morue</t>
  </si>
  <si>
    <t>Make the salt cod brandade</t>
  </si>
  <si>
    <t>Elaborar la brandada de bacalao</t>
  </si>
  <si>
    <t>étiqueteuse</t>
  </si>
  <si>
    <t>labeler; labeling machine</t>
  </si>
  <si>
    <t>etiquetadora</t>
  </si>
  <si>
    <t>Étiqueteuse : manuel/semi/auto; DLC, lot, code-barres; liaison balance/ERP.</t>
  </si>
  <si>
    <t>Labeler: manual/semi/auto; use-by, lot, barcode; scale/ERP link.</t>
  </si>
  <si>
    <t>Etiquetadora: manual/semi/auto; caducidad, lote, código de barras; enlace báscula/ERP.</t>
  </si>
  <si>
    <t>attacher</t>
  </si>
  <si>
    <t>attach; tie; fasten</t>
  </si>
  <si>
    <r>
      <t>adjuntar</t>
    </r>
    <r>
      <rPr>
        <sz val="11"/>
        <color theme="5" tint="-0.499984740745262"/>
        <rFont val="Calibri"/>
        <family val="2"/>
        <scheme val="minor"/>
      </rPr>
      <t xml:space="preserve"> (fichier); sujetar/atar</t>
    </r>
  </si>
  <si>
    <t>Fixer physiquement / joindre un fichier.</t>
  </si>
  <si>
    <t>Physically attach / attach a file.</t>
  </si>
  <si>
    <t>Fijar físicamente / adjuntar un archivo.</t>
  </si>
  <si>
    <t>VIANDES SOUS VIDE A PIÉCER AVANT CUISSON LONGUE</t>
  </si>
  <si>
    <t>VACUUM-PACKED MEATS — TO PORTION BEFORE LONG COOK</t>
  </si>
  <si>
    <t>CARNES AL VACÍO — PARA PORCIONAR ANTES DE COCCIÓN LARGA</t>
  </si>
  <si>
    <t>sous vide = vacuum-packed = envasado al vacío ; cuisson longue = long cook = cocción larga ; catégorie viandes = categoría carnes</t>
  </si>
  <si>
    <r>
      <t>Caramélisation</t>
    </r>
    <r>
      <rPr>
        <sz val="11"/>
        <color theme="1"/>
        <rFont val="Calibri"/>
        <family val="2"/>
        <scheme val="minor"/>
      </rPr>
      <t xml:space="preserve"> : brunissement non enzymatique du sucre par chaleur.</t>
    </r>
  </si>
  <si>
    <t>Caramelization: non-enzymatic browning of sugar by heat.</t>
  </si>
  <si>
    <t>Caramelización: pardeamiento no enzimático del azúcar por calor.</t>
  </si>
  <si>
    <t>assemblage plateaux</t>
  </si>
  <si>
    <t>tray assembly</t>
  </si>
  <si>
    <t>montaje de bandejas</t>
  </si>
  <si>
    <t>Plateaux repas.</t>
  </si>
  <si>
    <t>Meal trays.</t>
  </si>
  <si>
    <t>Bandejas de comida.</t>
  </si>
  <si>
    <t>désinfecter le matériel</t>
  </si>
  <si>
    <t>disinfect the equipment</t>
  </si>
  <si>
    <t>desinfectar el equipo/material</t>
  </si>
  <si>
    <t>Préchauffer le four en vapeur</t>
  </si>
  <si>
    <t>Preheat oven to steam</t>
  </si>
  <si>
    <t>Precalentar horno en vapor</t>
  </si>
  <si>
    <t>atténuer</t>
  </si>
  <si>
    <t>mitigate; lessen</t>
  </si>
  <si>
    <r>
      <t>mitigar</t>
    </r>
    <r>
      <rPr>
        <sz val="11"/>
        <color theme="5" tint="-0.499984740745262"/>
        <rFont val="Calibri"/>
        <family val="2"/>
        <scheme val="minor"/>
      </rPr>
      <t>; atenuar</t>
    </r>
  </si>
  <si>
    <t>Réduire un risque/impact (qualité/sécu).</t>
  </si>
  <si>
    <t>Mitigate risk/impact (quality/safety).</t>
  </si>
  <si>
    <t>Mitigar riesgo/impacto (calidad/seguridad).</t>
  </si>
  <si>
    <t>VIANDES SOUS VIDE A TRANCHER SANS CUISSON</t>
  </si>
  <si>
    <t>VACUUM-PACKED MEATS — TO SLICE, NO COOK</t>
  </si>
  <si>
    <t>CARNES AL VACÍO — PARA REBANAR, SIN COCCIÓN</t>
  </si>
  <si>
    <t>sous vide = vacuum-packed = envasado al vacío ; à trancher = to slice = para rebanar ; catégorie viandes = categoría carnes</t>
  </si>
  <si>
    <t>Caraméliser : enduire un moule ou une pâtisserie de sucre cuit au caramel.</t>
  </si>
  <si>
    <t>Caramelize: coat a mold or pastry with cooked caramel.</t>
  </si>
  <si>
    <t>Caramelizar: recubrir un molde o una pastelería con caramelo cocido.</t>
  </si>
  <si>
    <t>assemblage plateaux midi</t>
  </si>
  <si>
    <t>lunch tray assembly</t>
  </si>
  <si>
    <r>
      <t xml:space="preserve">montaje de bandejas (servicio </t>
    </r>
    <r>
      <rPr>
        <b/>
        <sz val="11"/>
        <color theme="1"/>
        <rFont val="Calibri"/>
        <family val="2"/>
        <scheme val="minor"/>
      </rPr>
      <t>mediodía</t>
    </r>
    <r>
      <rPr>
        <sz val="11"/>
        <color theme="1"/>
        <rFont val="Calibri"/>
        <family val="2"/>
        <scheme val="minor"/>
      </rPr>
      <t>)</t>
    </r>
  </si>
  <si>
    <t>Préciser service.</t>
  </si>
  <si>
    <t>Specify the service (lunch/dinner/etc.).</t>
  </si>
  <si>
    <t>Especificar el servicio (mediodía/noche/etc.).</t>
  </si>
  <si>
    <t>désinfecter le poste de travail</t>
  </si>
  <si>
    <t>disinfect the workstation</t>
  </si>
  <si>
    <t>desinfectar el puesto de trabajo</t>
  </si>
  <si>
    <t>Cuire les filets à la vapeur 7 minutes environ</t>
  </si>
  <si>
    <t>Steam fillets ~7 min</t>
  </si>
  <si>
    <t>Cocer al vapor los filetes ~7 min</t>
  </si>
  <si>
    <t>film étirable (alimentaire)</t>
  </si>
  <si>
    <t>cling film; plastic wrap</t>
  </si>
  <si>
    <t>Film étirable alimentaire : contact alim., largeur, épaisseur, froid/chaud.</t>
  </si>
  <si>
    <t>Cling film: food-contact, width, thickness, cold/hot compat.</t>
  </si>
  <si>
    <t>Film transparente: contacto alimentario, ancho, grosor, frío/calor.</t>
  </si>
  <si>
    <t>attester</t>
  </si>
  <si>
    <t>certify; attest</t>
  </si>
  <si>
    <r>
      <t>certificar</t>
    </r>
    <r>
      <rPr>
        <sz val="11"/>
        <color theme="5" tint="-0.499984740745262"/>
        <rFont val="Calibri"/>
        <family val="2"/>
        <scheme val="minor"/>
      </rPr>
      <t xml:space="preserve">; </t>
    </r>
    <r>
      <rPr>
        <b/>
        <sz val="11"/>
        <color theme="5" tint="-0.499984740745262"/>
        <rFont val="Calibri"/>
        <family val="2"/>
        <scheme val="minor"/>
      </rPr>
      <t>atestiguar</t>
    </r>
  </si>
  <si>
    <t>Attestation écrite (conformité, test).</t>
  </si>
  <si>
    <t>Written certification/attestation (compliance, test).</t>
  </si>
  <si>
    <t>Certificación/constancia escrita (conformidad, ensayo).</t>
  </si>
  <si>
    <t>VIANDES SOUS VIDE DÉCOUPÉE A CUISSON LONGUE</t>
  </si>
  <si>
    <t>VACUUM-PACKED MEATS, CUT — FOR LONG COOK</t>
  </si>
  <si>
    <t>CARNES AL VACÍO, CORTADAS — PARA COCCIÓN LARGA</t>
  </si>
  <si>
    <t>sous vide = vacuum-packed = envasado al vacío ; cuisson longue = long cook = cocción larga ; découpée = cut = cortada ; catégorie viandes = categoría carnes</t>
  </si>
  <si>
    <r>
      <t>Chablonner :</t>
    </r>
    <r>
      <rPr>
        <sz val="11"/>
        <color theme="1"/>
        <rFont val="Calibri"/>
        <family val="2"/>
        <scheme val="minor"/>
      </rPr>
      <t xml:space="preserve"> appliquer une fine couche de couverture/pâte à glacer sous les entremets, petits gâteaux ou ganaches pour faciliter la manipulation avant montage/découpe.</t>
    </r>
  </si>
  <si>
    <t>Chablon (to chablonner): apply a thin coat of couverture/glaze to the bottom of entremets, petits gâteaux or ganaches to ease handling before assembling/cutting.</t>
  </si>
  <si>
    <t>Chablonar: aplicar una capa fina de cobertura/glaseado en la base de entremeses, pastelitos o ganaches para facilitar la manipulación antes del montaje/corte.</t>
  </si>
  <si>
    <t>assemblage plateaux soir</t>
  </si>
  <si>
    <t>dinner tray assembly</t>
  </si>
  <si>
    <r>
      <t xml:space="preserve">montaje de bandejas (servicio </t>
    </r>
    <r>
      <rPr>
        <b/>
        <sz val="11"/>
        <color theme="1"/>
        <rFont val="Calibri"/>
        <family val="2"/>
        <scheme val="minor"/>
      </rPr>
      <t>noche</t>
    </r>
    <r>
      <rPr>
        <sz val="11"/>
        <color theme="1"/>
        <rFont val="Calibri"/>
        <family val="2"/>
        <scheme val="minor"/>
      </rPr>
      <t>)</t>
    </r>
  </si>
  <si>
    <t>Idem.</t>
  </si>
  <si>
    <t>Same.</t>
  </si>
  <si>
    <t>Ídem.</t>
  </si>
  <si>
    <t>étager les bacs sur l’échelle de cuisson</t>
  </si>
  <si>
    <t>rack the trays on the cooking trolley</t>
  </si>
  <si>
    <t>colocar las cubetas en el carro de cocción</t>
  </si>
  <si>
    <t>Ne pas trop cuire au risque de retirer les propriétés gluantes de la morue  (conserver le liant)</t>
  </si>
  <si>
    <t>Do not overcook or you’ll lose cod’s binding/gelatinous properties  (preserve binding)</t>
  </si>
  <si>
    <t>No sobrecocer para no perder las propiedades ligantes/gelatinosas del bacalao  (conservar ligazón)</t>
  </si>
  <si>
    <t>fouet</t>
  </si>
  <si>
    <t>whisk; balloon whisk</t>
  </si>
  <si>
    <t>Fouet : type (ballon/plat), longueur, inox/silicone, usage.</t>
  </si>
  <si>
    <t>Whisk: type (balloon/flat), length, stainless/silicone, use.</t>
  </si>
  <si>
    <t>Batidor: tipo (globo/plano), longitud, inox/silicona, uso.</t>
  </si>
  <si>
    <t>attirer</t>
  </si>
  <si>
    <t>attract; draw</t>
  </si>
  <si>
    <t>atraer</t>
  </si>
  <si>
    <t>Attirer clients/talents/attention.</t>
  </si>
  <si>
    <t>Attract customers/talent/attention.</t>
  </si>
  <si>
    <t>Atraer clientes/talento/atención.</t>
  </si>
  <si>
    <t>VIANDES SOUS VIDE PIÉCÉES A CUISSON COURTE</t>
  </si>
  <si>
    <t>VACUUM-PACKED MEATS, PORTIONED — FOR SHORT COOK</t>
  </si>
  <si>
    <t>CARNES AL VACÍO, PORCIONADAS — PARA COCCIÓN CORTA</t>
  </si>
  <si>
    <r>
      <t xml:space="preserve">Chemiser : </t>
    </r>
    <r>
      <rPr>
        <sz val="11"/>
        <color theme="1"/>
        <rFont val="Calibri"/>
        <family val="2"/>
        <scheme val="minor"/>
      </rPr>
      <t>appliquer, contre la paroi intérieure d’un moule/caissette, une couche (pâte, biscuit, gelée, chocolat, glace, farine, etc.).</t>
    </r>
  </si>
  <si>
    <t>Line the inside of a mold/cup with a layer (pastry, sponge, jelly, chocolate, ice cream, flour, etc.).</t>
  </si>
  <si>
    <t>Forrar el interior de un molde/capsulín con una capa (masa, bizcocho, gelatina, chocolate, helado, harina, etc.).</t>
  </si>
  <si>
    <t>assembler</t>
  </si>
  <si>
    <t>assemble; put together</t>
  </si>
  <si>
    <r>
      <t>ensamblar</t>
    </r>
    <r>
      <rPr>
        <sz val="11"/>
        <color theme="1"/>
        <rFont val="Calibri"/>
        <family val="2"/>
        <scheme val="minor"/>
      </rPr>
      <t>; montar</t>
    </r>
  </si>
  <si>
    <t>Monter un produit/assiette/lot.</t>
  </si>
  <si>
    <t>Assemble a product/plate/batch.</t>
  </si>
  <si>
    <t>Ensamblar un producto/emplatar/un lote.</t>
  </si>
  <si>
    <t>étager/empiler les bacs GN sur l’échelle de four</t>
  </si>
  <si>
    <t>stack GN pans on the oven trolley</t>
  </si>
  <si>
    <t>apilar cubetas GN en el carro del horno</t>
  </si>
  <si>
    <t>four mixte</t>
  </si>
  <si>
    <t>combi oven; combi-steamer</t>
  </si>
  <si>
    <t>Four mixte : convection/vapeur/mixte; sonde, % vapeur, temps; logs HACCP; capacité.</t>
  </si>
  <si>
    <t>Combi oven: convection/steam/mixed; probe, steam %, time; HACCP logs; capacity.</t>
  </si>
  <si>
    <t>Horno mixto: convección/vapor/mixto; sonda, % vapor, tiempo; registros APPCC; capacidad.</t>
  </si>
  <si>
    <t>attribuer</t>
  </si>
  <si>
    <t>assign; allocate</t>
  </si>
  <si>
    <r>
      <t>asignar</t>
    </r>
    <r>
      <rPr>
        <sz val="11"/>
        <color theme="5" tint="-0.499984740745262"/>
        <rFont val="Calibri"/>
        <family val="2"/>
        <scheme val="minor"/>
      </rPr>
      <t>; adjudicar/atribuir</t>
    </r>
  </si>
  <si>
    <t>Attribuer ressources, responsabilités, numéros de lot.</t>
  </si>
  <si>
    <t>Assign resources, responsibilities, lot numbers.</t>
  </si>
  <si>
    <t>Asignar recursos, responsabilidades, números de lote.</t>
  </si>
  <si>
    <t>VIANDES SOUS VIDE PIÉCÉES A CUISSON LONGUE</t>
  </si>
  <si>
    <t>VACUUM-PACKED MEATS, PORTIONED — FOR LONG COOK</t>
  </si>
  <si>
    <t>CARNES AL VACÍO, PORCIONADAS — PARA COCCIÓN LARGA</t>
  </si>
  <si>
    <r>
      <t>Chiqueter</t>
    </r>
    <r>
      <rPr>
        <sz val="11"/>
        <color theme="1"/>
        <rFont val="Calibri"/>
        <family val="2"/>
        <scheme val="minor"/>
      </rPr>
      <t xml:space="preserve"> : entailler le bord d’un feuilletage (décor).</t>
    </r>
  </si>
  <si>
    <r>
      <t>Crimp/scallop</t>
    </r>
    <r>
      <rPr>
        <sz val="11"/>
        <color theme="1"/>
        <rFont val="Calibri"/>
        <family val="2"/>
        <scheme val="minor"/>
      </rPr>
      <t xml:space="preserve"> puff edges (decorative notches).</t>
    </r>
  </si>
  <si>
    <r>
      <t>Festonear</t>
    </r>
    <r>
      <rPr>
        <sz val="11"/>
        <color theme="1"/>
        <rFont val="Calibri"/>
        <family val="2"/>
        <scheme val="minor"/>
      </rPr>
      <t xml:space="preserve"> los bordes de hojaldre.</t>
    </r>
  </si>
  <si>
    <t>attendre</t>
  </si>
  <si>
    <t>wait; hold; let rest</t>
  </si>
  <si>
    <t>esperar; dejar reposar</t>
  </si>
  <si>
    <t>Pain/viande : « let it rest ».</t>
  </si>
  <si>
    <t>Bread/meat: “let it rest.”</t>
  </si>
  <si>
    <t>Pan/carne: “dejar reposar”.</t>
  </si>
  <si>
    <t>réserver dans des bacs</t>
  </si>
  <si>
    <t>store in trays/pans</t>
  </si>
  <si>
    <t>reservar en cubetas</t>
  </si>
  <si>
    <t>Effeuiller les filets cuits</t>
  </si>
  <si>
    <t>Flake the cooked fillets</t>
  </si>
  <si>
    <t>Desmigar los filetes cocidos</t>
  </si>
  <si>
    <t>G</t>
  </si>
  <si>
    <t>auditer</t>
  </si>
  <si>
    <t>audit; review</t>
  </si>
  <si>
    <r>
      <t>auditar</t>
    </r>
    <r>
      <rPr>
        <sz val="11"/>
        <color theme="5" tint="-0.499984740745262"/>
        <rFont val="Calibri"/>
        <family val="2"/>
        <scheme val="minor"/>
      </rPr>
      <t>; revisar</t>
    </r>
  </si>
  <si>
    <t>Contrôle systématique (qualité, hygiène, process).</t>
  </si>
  <si>
    <t>Systematic audit (quality, hygiene, process).</t>
  </si>
  <si>
    <t>Auditoría sistemática (calidad, higiene, proceso).</t>
  </si>
  <si>
    <r>
      <t>Confire (fruits)</t>
    </r>
    <r>
      <rPr>
        <sz val="11"/>
        <color theme="1"/>
        <rFont val="Calibri"/>
        <family val="2"/>
        <scheme val="minor"/>
      </rPr>
      <t xml:space="preserve"> : remplacer eau de végétation par sirops successifs.</t>
    </r>
  </si>
  <si>
    <r>
      <t>Candy/Confit</t>
    </r>
    <r>
      <rPr>
        <sz val="11"/>
        <color theme="1"/>
        <rFont val="Calibri"/>
        <family val="2"/>
        <scheme val="minor"/>
      </rPr>
      <t xml:space="preserve"> fruit in progressively stronger syrups.</t>
    </r>
  </si>
  <si>
    <r>
      <t>Confitar</t>
    </r>
    <r>
      <rPr>
        <sz val="11"/>
        <color theme="1"/>
        <rFont val="Calibri"/>
        <family val="2"/>
        <scheme val="minor"/>
      </rPr>
      <t xml:space="preserve"> fruta en jarabes crecientes.</t>
    </r>
  </si>
  <si>
    <t>attente</t>
  </si>
  <si>
    <t>holding; waiting</t>
  </si>
  <si>
    <r>
      <t>espera</t>
    </r>
    <r>
      <rPr>
        <sz val="11"/>
        <color theme="1"/>
        <rFont val="Calibri"/>
        <family val="2"/>
        <scheme val="minor"/>
      </rPr>
      <t xml:space="preserve">; </t>
    </r>
    <r>
      <rPr>
        <b/>
        <sz val="11"/>
        <color theme="1"/>
        <rFont val="Calibri"/>
        <family val="2"/>
        <scheme val="minor"/>
      </rPr>
      <t>holding</t>
    </r>
  </si>
  <si>
    <t>« En attente » : produits tenus/parkés avant étape suivante.</t>
  </si>
  <si>
    <t>“On hold”: items parked before the next step.</t>
  </si>
  <si>
    <t>“En espera”: productos retenidos antes de la siguiente etapa.</t>
  </si>
  <si>
    <t>select the equipment</t>
  </si>
  <si>
    <t>seleccionar el material</t>
  </si>
  <si>
    <t>Chauffer l’huile d’olive dans une sauteuse</t>
  </si>
  <si>
    <t>Heat olive oil in a sauté pan</t>
  </si>
  <si>
    <t>Calentar aceite de oliva en salteadora</t>
  </si>
  <si>
    <t>gastro (bacs GN)</t>
  </si>
  <si>
    <t>GN pans; Gastronorm containers</t>
  </si>
  <si>
    <t>Bacs GN (gastro) : formats, profondeurs, plein/perforé, inox/PC, couvercle.</t>
  </si>
  <si>
    <t>GN pans: sizes, depths, solid/perforated, s/s or PC, lids.</t>
  </si>
  <si>
    <t>Cubetas GN: tamaños, profundidades, lisas/perforadas, inox/PC, tapas.</t>
  </si>
  <si>
    <t>augmenter</t>
  </si>
  <si>
    <t>increase; raise; scale up</t>
  </si>
  <si>
    <r>
      <t>aumentar</t>
    </r>
    <r>
      <rPr>
        <sz val="11"/>
        <color theme="5" tint="-0.499984740745262"/>
        <rFont val="Calibri"/>
        <family val="2"/>
        <scheme val="minor"/>
      </rPr>
      <t>; incrementar</t>
    </r>
  </si>
  <si>
    <t>Hausse de capacité, volume, température, budget.</t>
  </si>
  <si>
    <t>Increase capacity, volume, temp, budget.</t>
  </si>
  <si>
    <t>Incrementar capacidad, volumen, T°, presupuesto.</t>
  </si>
  <si>
    <t>épicerie</t>
  </si>
  <si>
    <t>grocery (dry goods)</t>
  </si>
  <si>
    <t>abarrotes / despensa (seco)</t>
  </si>
  <si>
    <r>
      <t>Corner</t>
    </r>
    <r>
      <rPr>
        <sz val="11"/>
        <color theme="1"/>
        <rFont val="Calibri"/>
        <family val="2"/>
        <scheme val="minor"/>
      </rPr>
      <t xml:space="preserve"> : racler à la corne pour récupérer l’appareil.</t>
    </r>
  </si>
  <si>
    <r>
      <t>Scrape</t>
    </r>
    <r>
      <rPr>
        <sz val="11"/>
        <color theme="1"/>
        <rFont val="Calibri"/>
        <family val="2"/>
        <scheme val="minor"/>
      </rPr>
      <t xml:space="preserve"> bowl with a scraper to recover batter.</t>
    </r>
  </si>
  <si>
    <r>
      <t>Raspar</t>
    </r>
    <r>
      <rPr>
        <sz val="11"/>
        <color theme="1"/>
        <rFont val="Calibri"/>
        <family val="2"/>
        <scheme val="minor"/>
      </rPr>
      <t xml:space="preserve"> con rasqueta para recuperar mezcla.</t>
    </r>
  </si>
  <si>
    <t>automatiser</t>
  </si>
  <si>
    <t>automate</t>
  </si>
  <si>
    <t>automatizar</t>
  </si>
  <si>
    <t>Remplacer tâches manuelles par un flux outillé.</t>
  </si>
  <si>
    <t>Automate: replace manual tasks with tooling.</t>
  </si>
  <si>
    <t>Automatizar: sustituir tareas manuales por flujo con herramientas.</t>
  </si>
  <si>
    <t>suivre les protocoles</t>
  </si>
  <si>
    <t>follow the protocols</t>
  </si>
  <si>
    <t>seguir los protocolos</t>
  </si>
  <si>
    <t>Ajouter la morue effeuillée et l’ail</t>
  </si>
  <si>
    <t>Add flaked cod and garlic</t>
  </si>
  <si>
    <t>Añadir bacalao desmigado y ajo</t>
  </si>
  <si>
    <t>grille</t>
  </si>
  <si>
    <t>(oven) rack; cooling rack; grill grate</t>
  </si>
  <si>
    <t>Grille : four/refroidissement/gril; préciser matière/dimensions.</t>
  </si>
  <si>
    <t>Rack: oven/cooling/grill; specify material/dimensions.</t>
  </si>
  <si>
    <t>Rejilla: horno/enfriado/parrilla; indicar material/dimensiones.</t>
  </si>
  <si>
    <t>authentifier</t>
  </si>
  <si>
    <t>authenticate; verify</t>
  </si>
  <si>
    <r>
      <t>autenticar</t>
    </r>
    <r>
      <rPr>
        <sz val="11"/>
        <color theme="5" tint="-0.499984740745262"/>
        <rFont val="Calibri"/>
        <family val="2"/>
        <scheme val="minor"/>
      </rPr>
      <t>; verificar</t>
    </r>
  </si>
  <si>
    <t>Vérif. identité/données (traçabilité, accès).</t>
  </si>
  <si>
    <t>Verify identity/data (traceability, access).</t>
  </si>
  <si>
    <t>Verificar identidad/datos (trazabilidad, accesos).</t>
  </si>
  <si>
    <t>légumes appertisés</t>
  </si>
  <si>
    <t>canned vegetables</t>
  </si>
  <si>
    <t>verduras en conserva</t>
  </si>
  <si>
    <r>
      <t>Corps (pâte)</t>
    </r>
    <r>
      <rPr>
        <sz val="11"/>
        <color theme="1"/>
        <rFont val="Calibri"/>
        <family val="2"/>
        <scheme val="minor"/>
      </rPr>
      <t xml:space="preserve"> : élasticité/résistance liée au gluten.</t>
    </r>
  </si>
  <si>
    <r>
      <t>Body</t>
    </r>
    <r>
      <rPr>
        <sz val="11"/>
        <color theme="1"/>
        <rFont val="Calibri"/>
        <family val="2"/>
        <scheme val="minor"/>
      </rPr>
      <t xml:space="preserve"> of dough (gluten strength/elasticity).</t>
    </r>
  </si>
  <si>
    <r>
      <t>Cuerpo</t>
    </r>
    <r>
      <rPr>
        <sz val="11"/>
        <color theme="1"/>
        <rFont val="Calibri"/>
        <family val="2"/>
        <scheme val="minor"/>
      </rPr>
      <t xml:space="preserve"> de la masa (fuerza del gluten).</t>
    </r>
  </si>
  <si>
    <t>check use-by dates</t>
  </si>
  <si>
    <t>verificar las fechas de caducidad</t>
  </si>
  <si>
    <t>Travailler à la spatule</t>
  </si>
  <si>
    <t>Work with spatula</t>
  </si>
  <si>
    <t>Trabajar con espátula</t>
  </si>
  <si>
    <t>H</t>
  </si>
  <si>
    <t>autoriser</t>
  </si>
  <si>
    <t>authorize; permit</t>
  </si>
  <si>
    <r>
      <t>autorizar</t>
    </r>
    <r>
      <rPr>
        <sz val="11"/>
        <color theme="5" tint="-0.499984740745262"/>
        <rFont val="Calibri"/>
        <family val="2"/>
        <scheme val="minor"/>
      </rPr>
      <t>; permitir</t>
    </r>
  </si>
  <si>
    <t>Accorder un droit (accès, dépense, changement).</t>
  </si>
  <si>
    <t>Authorize a right (access, spend, change).</t>
  </si>
  <si>
    <t>Autorizar un derecho (acceso, gasto, cambio).</t>
  </si>
  <si>
    <t>légumes frais à cuire</t>
  </si>
  <si>
    <t>fresh vegetables to cook</t>
  </si>
  <si>
    <t>verduras frescas para cocinar</t>
  </si>
  <si>
    <r>
      <t>Corser (pâte)</t>
    </r>
    <r>
      <rPr>
        <sz val="11"/>
        <color theme="1"/>
        <rFont val="Calibri"/>
        <family val="2"/>
        <scheme val="minor"/>
      </rPr>
      <t xml:space="preserve"> : renforcer l’élasticité par pétrissage.</t>
    </r>
  </si>
  <si>
    <r>
      <t>Develop</t>
    </r>
    <r>
      <rPr>
        <sz val="11"/>
        <color theme="1"/>
        <rFont val="Calibri"/>
        <family val="2"/>
        <scheme val="minor"/>
      </rPr>
      <t xml:space="preserve"> dough (strengthen gluten by kneading).</t>
    </r>
  </si>
  <si>
    <r>
      <t>Desarrollar</t>
    </r>
    <r>
      <rPr>
        <sz val="11"/>
        <color theme="1"/>
        <rFont val="Calibri"/>
        <family val="2"/>
        <scheme val="minor"/>
      </rPr>
      <t xml:space="preserve"> la masa (fortalecer gluten).</t>
    </r>
  </si>
  <si>
    <t>bâcher</t>
  </si>
  <si>
    <t>tarp; cover with a tarp</t>
  </si>
  <si>
    <r>
      <t>toldar</t>
    </r>
    <r>
      <rPr>
        <sz val="11"/>
        <color theme="1"/>
        <rFont val="Calibri"/>
        <family val="2"/>
        <scheme val="minor"/>
      </rPr>
      <t>; cubrir con lona</t>
    </r>
  </si>
  <si>
    <t>Protéger palettes/charges en extérieur.</t>
  </si>
  <si>
    <t>Tarp/cover pallets/loads outdoors.</t>
  </si>
  <si>
    <t>Cubrir con lona palets/cargas en exterior.</t>
  </si>
  <si>
    <t>(ou travailler directement la morue effeuillée dans la cuve du batteur)</t>
  </si>
  <si>
    <t>(or work the flaked cod directly in the mixer bowl)</t>
  </si>
  <si>
    <t>(o trabajar directamente el bacalao desmigado en la cuba del batidor)</t>
  </si>
  <si>
    <t>hachoir (robot/multifonction)</t>
  </si>
  <si>
    <t>food chopper; processor</t>
  </si>
  <si>
    <t>picadora / procesador de alimentos</t>
  </si>
  <si>
    <t>Hachoir (robot) : capacité bol, lames, pulsado.</t>
  </si>
  <si>
    <t>Food chopper/processor: bowl capacity, blades, pulse.</t>
  </si>
  <si>
    <t>Picadora/procesador: capacidad vaso, cuchillas, pulso.</t>
  </si>
  <si>
    <t>avancer (un délai/étape)</t>
  </si>
  <si>
    <t>move forward; bring forward</t>
  </si>
  <si>
    <t>adelantar</t>
  </si>
  <si>
    <t>Avancer une échéance/production.</t>
  </si>
  <si>
    <t>Bring a deadline/production forward.</t>
  </si>
  <si>
    <t>Adelantar un plazo/producción.</t>
  </si>
  <si>
    <t>légumes secs</t>
  </si>
  <si>
    <t>dried pulses/legumes</t>
  </si>
  <si>
    <t>legumbres secas</t>
  </si>
  <si>
    <r>
      <t>Coucher (dresser)</t>
    </r>
    <r>
      <rPr>
        <sz val="11"/>
        <color theme="1"/>
        <rFont val="Calibri"/>
        <family val="2"/>
        <scheme val="minor"/>
      </rPr>
      <t xml:space="preserve"> : pocher à la douille sur plaque/tapis.</t>
    </r>
  </si>
  <si>
    <r>
      <t>Pipe/lay out</t>
    </r>
    <r>
      <rPr>
        <sz val="11"/>
        <color theme="1"/>
        <rFont val="Calibri"/>
        <family val="2"/>
        <scheme val="minor"/>
      </rPr>
      <t xml:space="preserve"> with a pastry bag on tray/mat.</t>
    </r>
  </si>
  <si>
    <r>
      <t>Escudillar</t>
    </r>
    <r>
      <rPr>
        <sz val="11"/>
        <color theme="1"/>
        <rFont val="Calibri"/>
        <family val="2"/>
        <scheme val="minor"/>
      </rPr>
      <t xml:space="preserve"> con manga sobre bandeja/tapete.</t>
    </r>
  </si>
  <si>
    <t>baisser</t>
  </si>
  <si>
    <t>lower; reduce</t>
  </si>
  <si>
    <r>
      <t>bajar</t>
    </r>
    <r>
      <rPr>
        <sz val="11"/>
        <color theme="1"/>
        <rFont val="Calibri"/>
        <family val="2"/>
        <scheme val="minor"/>
      </rPr>
      <t>; reducir</t>
    </r>
  </si>
  <si>
    <t>Température, volume sonore, cadence, prix, flamme.</t>
  </si>
  <si>
    <t>Lower temperature, noise level, rate, price, flame.</t>
  </si>
  <si>
    <t>Bajar temperatura, nivel de ruido, cadencia, precio, llama.</t>
  </si>
  <si>
    <t>Mettre la morue dans la grande cuve du batteur</t>
  </si>
  <si>
    <t>Transfer cod to large mixer bowl</t>
  </si>
  <si>
    <t>Pasar bacalao a la cuba grande</t>
  </si>
  <si>
    <t>housse de protection (chariot/étagère/équipement)</t>
  </si>
  <si>
    <t>protective cover; dust cover</t>
  </si>
  <si>
    <t>Housse de protection : poussière/froid/extérieur; mesures; zip/velcro.</t>
  </si>
  <si>
    <t>Protective cover: dust/cold/outdoor; dimensions; zip/velcro.</t>
  </si>
  <si>
    <t>Funda de protección: polvo/frío/exterior; medidas; cremallera/velcro.</t>
  </si>
  <si>
    <t>avertir</t>
  </si>
  <si>
    <t>warn; alert; notify</t>
  </si>
  <si>
    <r>
      <t>avisar</t>
    </r>
    <r>
      <rPr>
        <sz val="11"/>
        <color theme="5" tint="-0.499984740745262"/>
        <rFont val="Calibri"/>
        <family val="2"/>
        <scheme val="minor"/>
      </rPr>
      <t>; advertir</t>
    </r>
  </si>
  <si>
    <t>Prévenir d’un risque/incident/retard.</t>
  </si>
  <si>
    <t>Warn/alert of risk/incident/delay.</t>
  </si>
  <si>
    <t>Avisar/alertar de riesgo/incidente/retraso.</t>
  </si>
  <si>
    <t>légumes sous vide à cuire</t>
  </si>
  <si>
    <t>vacuum-packed vegetables to cook</t>
  </si>
  <si>
    <t>verduras envasadas al vacío para cocinar</t>
  </si>
  <si>
    <r>
      <t>Crémer</t>
    </r>
    <r>
      <rPr>
        <sz val="11"/>
        <color theme="1"/>
        <rFont val="Calibri"/>
        <family val="2"/>
        <scheme val="minor"/>
      </rPr>
      <t xml:space="preserve"> : travailler matière grasse (seule/avec sucre) jusqu’à crémage.</t>
    </r>
  </si>
  <si>
    <r>
      <t>Cream</t>
    </r>
    <r>
      <rPr>
        <sz val="11"/>
        <color theme="1"/>
        <rFont val="Calibri"/>
        <family val="2"/>
        <scheme val="minor"/>
      </rPr>
      <t xml:space="preserve"> butter (alone/with sugar) until fluffy.</t>
    </r>
  </si>
  <si>
    <r>
      <t>Acremar</t>
    </r>
    <r>
      <rPr>
        <sz val="11"/>
        <color theme="1"/>
        <rFont val="Calibri"/>
        <family val="2"/>
        <scheme val="minor"/>
      </rPr>
      <t xml:space="preserve"> mantequilla (sola/con azúcar).</t>
    </r>
  </si>
  <si>
    <t>Barder</t>
  </si>
  <si>
    <t>bard (wrap with bacon/lard)</t>
  </si>
  <si>
    <r>
      <t>lardar</t>
    </r>
    <r>
      <rPr>
        <sz val="11"/>
        <color theme="1"/>
        <rFont val="Calibri"/>
        <family val="2"/>
        <scheme val="minor"/>
      </rPr>
      <t>; envolver con tocino/panceta</t>
    </r>
  </si>
  <si>
    <t>Entourer une pièce (volaille, gibier) de lard pour protéger à la cuisson.</t>
  </si>
  <si>
    <t>Wrap the cut (poultry/game) with bacon/lard to protect during cooking (bard).</t>
  </si>
  <si>
    <t>Envolver la pieza (ave/caza) con panceta/tocino para protegerla en la cocción.</t>
  </si>
  <si>
    <t>blanchir–rafraîchir–couper</t>
  </si>
  <si>
    <t>blanch – refresh – cut</t>
  </si>
  <si>
    <t>blanquear – refrescar – cortar</t>
  </si>
  <si>
    <t>À la feuille, 1re vitesse, incorporer lait et crème progressivement</t>
  </si>
  <si>
    <t>With paddle, speed 1, fold in milk and cream gradually</t>
  </si>
  <si>
    <t>Con pala, vel. 1, incorporar leche y nata poco a poco</t>
  </si>
  <si>
    <t>aviser</t>
  </si>
  <si>
    <t>notify; inform</t>
  </si>
  <si>
    <r>
      <t>notificar</t>
    </r>
    <r>
      <rPr>
        <sz val="11"/>
        <color theme="5" tint="-0.499984740745262"/>
        <rFont val="Calibri"/>
        <family val="2"/>
        <scheme val="minor"/>
      </rPr>
      <t>; informar</t>
    </r>
  </si>
  <si>
    <t>Communication formelle (mail, fiche, ticket).</t>
  </si>
  <si>
    <t>Formal communication (email, sheet, ticket).</t>
  </si>
  <si>
    <t>Comunicación formal (correo, ficha, ticket).</t>
  </si>
  <si>
    <t>légumes sous vide cuits</t>
  </si>
  <si>
    <t>vacuum-packed cooked vegetables</t>
  </si>
  <si>
    <t>verduras cocidas envasadas al vacío</t>
  </si>
  <si>
    <r>
      <t>Croûter</t>
    </r>
    <r>
      <rPr>
        <sz val="11"/>
        <color theme="1"/>
        <rFont val="Calibri"/>
        <family val="2"/>
        <scheme val="minor"/>
      </rPr>
      <t xml:space="preserve"> : sécher en surface (air/étuve) avant suite (ex. macarons).</t>
    </r>
  </si>
  <si>
    <r>
      <t>Crust/skin over</t>
    </r>
    <r>
      <rPr>
        <sz val="11"/>
        <color theme="1"/>
        <rFont val="Calibri"/>
        <family val="2"/>
        <scheme val="minor"/>
      </rPr>
      <t xml:space="preserve"> (air/proofer), e.g., macarons.</t>
    </r>
  </si>
  <si>
    <r>
      <t>Acortezar/formar piel</t>
    </r>
    <r>
      <rPr>
        <sz val="11"/>
        <color theme="1"/>
        <rFont val="Calibri"/>
        <family val="2"/>
        <scheme val="minor"/>
      </rPr>
      <t xml:space="preserve"> (aire/cámara).</t>
    </r>
  </si>
  <si>
    <t>Battre</t>
  </si>
  <si>
    <r>
      <t xml:space="preserve">beat; whisk; </t>
    </r>
    <r>
      <rPr>
        <b/>
        <sz val="11"/>
        <color theme="1"/>
        <rFont val="Calibri"/>
        <family val="2"/>
        <scheme val="minor"/>
      </rPr>
      <t>pound</t>
    </r>
    <r>
      <rPr>
        <sz val="11"/>
        <color theme="1"/>
        <rFont val="Calibri"/>
        <family val="2"/>
        <scheme val="minor"/>
      </rPr>
      <t xml:space="preserve"> (meat)</t>
    </r>
  </si>
  <si>
    <r>
      <t>batir</t>
    </r>
    <r>
      <rPr>
        <sz val="11"/>
        <color theme="1"/>
        <rFont val="Calibri"/>
        <family val="2"/>
        <scheme val="minor"/>
      </rPr>
      <t xml:space="preserve">; </t>
    </r>
    <r>
      <rPr>
        <b/>
        <sz val="11"/>
        <color theme="1"/>
        <rFont val="Calibri"/>
        <family val="2"/>
        <scheme val="minor"/>
      </rPr>
      <t>majar/golpear</t>
    </r>
    <r>
      <rPr>
        <sz val="11"/>
        <color theme="1"/>
        <rFont val="Calibri"/>
        <family val="2"/>
        <scheme val="minor"/>
      </rPr>
      <t xml:space="preserve"> (carne)</t>
    </r>
  </si>
  <si>
    <t>Batteurs/foets: « whisk » ; pour attendrir/étaler une viande : « pound/majar ».</t>
  </si>
  <si>
    <r>
      <t xml:space="preserve">With mixer/whisk: </t>
    </r>
    <r>
      <rPr>
        <b/>
        <sz val="11"/>
        <color theme="1"/>
        <rFont val="Calibri"/>
        <family val="2"/>
        <scheme val="minor"/>
      </rPr>
      <t>whisk</t>
    </r>
    <r>
      <rPr>
        <sz val="11"/>
        <color theme="1"/>
        <rFont val="Calibri"/>
        <family val="2"/>
        <scheme val="minor"/>
      </rPr>
      <t xml:space="preserve">; to tenderize/flatten meat: </t>
    </r>
    <r>
      <rPr>
        <b/>
        <sz val="11"/>
        <color theme="1"/>
        <rFont val="Calibri"/>
        <family val="2"/>
        <scheme val="minor"/>
      </rPr>
      <t>pound</t>
    </r>
    <r>
      <rPr>
        <sz val="11"/>
        <color theme="1"/>
        <rFont val="Calibri"/>
        <family val="2"/>
        <scheme val="minor"/>
      </rPr>
      <t>.</t>
    </r>
  </si>
  <si>
    <r>
      <t xml:space="preserve">Con batidora/varillas: </t>
    </r>
    <r>
      <rPr>
        <b/>
        <sz val="11"/>
        <color theme="1"/>
        <rFont val="Calibri"/>
        <family val="2"/>
        <scheme val="minor"/>
      </rPr>
      <t>batir</t>
    </r>
    <r>
      <rPr>
        <sz val="11"/>
        <color theme="1"/>
        <rFont val="Calibri"/>
        <family val="2"/>
        <scheme val="minor"/>
      </rPr>
      <t xml:space="preserve">; para ablandar/afinar carne: </t>
    </r>
    <r>
      <rPr>
        <b/>
        <sz val="11"/>
        <color theme="1"/>
        <rFont val="Calibri"/>
        <family val="2"/>
        <scheme val="minor"/>
      </rPr>
      <t>majar/golpear</t>
    </r>
    <r>
      <rPr>
        <sz val="11"/>
        <color theme="1"/>
        <rFont val="Calibri"/>
        <family val="2"/>
        <scheme val="minor"/>
      </rPr>
      <t>.</t>
    </r>
  </si>
  <si>
    <t>égoutter et débarrasser</t>
  </si>
  <si>
    <t>drain and transfer</t>
  </si>
  <si>
    <t>escurrir y trasvasar</t>
  </si>
  <si>
    <t>Éventuellement, mettre au point la consistance en ajoutant du lait, de l’huile d’olive ou de la crème</t>
  </si>
  <si>
    <t>If needed, adjust the consistency by adding milk, olive oil, or cream</t>
  </si>
  <si>
    <t>Si es necesario, ajustar la consistencia añadiendo leche, aceite de oliva o nata</t>
  </si>
  <si>
    <t>louche</t>
  </si>
  <si>
    <t>ladle; soup ladle; sauce ladle</t>
  </si>
  <si>
    <t>Louche : capacité (cl/ml), manche (long), matière; louche à sauce = bec.</t>
  </si>
  <si>
    <t>Ladle: capacity, long handle, material; sauce ladle = spout.</t>
  </si>
  <si>
    <t>Cucharón: capacidad, mango largo, material; para salsa = pico.</t>
  </si>
  <si>
    <t>s’auto-évaluer</t>
  </si>
  <si>
    <t>self-assess</t>
  </si>
  <si>
    <t>auto-evaluarse</t>
  </si>
  <si>
    <t>Bilan individuel/équipe sur pratiques/performances.</t>
  </si>
  <si>
    <t>Self/team assessment of practices/performance.</t>
  </si>
  <si>
    <t>Autoevaluación/evaluación del equipo (prácticas/rendimiento).</t>
  </si>
  <si>
    <t>légumes surgelés à cuire</t>
  </si>
  <si>
    <t>frozen vegetables to cook</t>
  </si>
  <si>
    <t>verduras congeladas para cocinar</t>
  </si>
  <si>
    <t>Beurrer</t>
  </si>
  <si>
    <t>butter; grease with butter</t>
  </si>
  <si>
    <r>
      <t>enmantequillar</t>
    </r>
    <r>
      <rPr>
        <sz val="11"/>
        <color theme="1"/>
        <rFont val="Calibri"/>
        <family val="2"/>
        <scheme val="minor"/>
      </rPr>
      <t>; untar/engrasar con mantequilla</t>
    </r>
  </si>
  <si>
    <t>Graisser généreusement moules/plats pour anti-adhérence.</t>
  </si>
  <si>
    <t>Generously butter molds/pans to prevent sticking.</t>
  </si>
  <si>
    <t>Enmantequillar moldes/bandejas para antiadherencia.</t>
  </si>
  <si>
    <t>éplucher–laver–désinfecter</t>
  </si>
  <si>
    <t>peel – wash – sanitize</t>
  </si>
  <si>
    <t>pelar – lavar – desinfectar</t>
  </si>
  <si>
    <t>légumes surgelés cuits</t>
  </si>
  <si>
    <t>frozen cooked vegetables</t>
  </si>
  <si>
    <t>verduras congeladas cocidas</t>
  </si>
  <si>
    <r>
      <t>Décercler</t>
    </r>
    <r>
      <rPr>
        <sz val="11"/>
        <color theme="1"/>
        <rFont val="Calibri"/>
        <family val="2"/>
        <scheme val="minor"/>
      </rPr>
      <t xml:space="preserve"> : retirer le cercle d’un fond/entremets.</t>
    </r>
  </si>
  <si>
    <r>
      <t>Unring</t>
    </r>
    <r>
      <rPr>
        <sz val="11"/>
        <color theme="1"/>
        <rFont val="Calibri"/>
        <family val="2"/>
        <scheme val="minor"/>
      </rPr>
      <t xml:space="preserve"> (remove tart/cake ring).</t>
    </r>
  </si>
  <si>
    <r>
      <t>Desmoldar (quitar aro)</t>
    </r>
    <r>
      <rPr>
        <sz val="11"/>
        <color theme="1"/>
        <rFont val="Calibri"/>
        <family val="2"/>
        <scheme val="minor"/>
      </rPr>
      <t>.</t>
    </r>
  </si>
  <si>
    <t>Blanchir</t>
  </si>
  <si>
    <t>blanch (veg); whisk until pale (eggs+sugar)</t>
  </si>
  <si>
    <r>
      <t>escaldar</t>
    </r>
    <r>
      <rPr>
        <sz val="11"/>
        <color theme="1"/>
        <rFont val="Calibri"/>
        <family val="2"/>
        <scheme val="minor"/>
      </rPr>
      <t xml:space="preserve"> (verduras); </t>
    </r>
    <r>
      <rPr>
        <b/>
        <sz val="11"/>
        <color theme="1"/>
        <rFont val="Calibri"/>
        <family val="2"/>
        <scheme val="minor"/>
      </rPr>
      <t>blanquear</t>
    </r>
    <r>
      <rPr>
        <sz val="11"/>
        <color theme="1"/>
        <rFont val="Calibri"/>
        <family val="2"/>
        <scheme val="minor"/>
      </rPr>
      <t xml:space="preserve"> huevos con azúcar</t>
    </r>
  </si>
  <si>
    <t>Cuisine : mise à l’eau bouillante brève ; pâtisserie : œufs + sucre fouettés pâles.</t>
  </si>
  <si>
    <t>Cooking: brief boil/blanch; pastry: eggs + sugar whisked until pale.</t>
  </si>
  <si>
    <t>Cocina: escaldado breve; pastelería: huevos con azúcar batidos hasta blanquear.</t>
  </si>
  <si>
    <t>faire tremper</t>
  </si>
  <si>
    <t>soak</t>
  </si>
  <si>
    <t>poner en remojo</t>
  </si>
  <si>
    <t>Obtenir une pâte homogène et compacte</t>
  </si>
  <si>
    <t>Reach a homogeneous, compact paste</t>
  </si>
  <si>
    <t>Lograr pasta homogénea y compacta</t>
  </si>
  <si>
    <t>machine à râper</t>
  </si>
  <si>
    <t>grater machine; electric grater; shredding machine</t>
  </si>
  <si>
    <t>Machine à râper : disques (râper/émincer/julienne), débit, sécurité.</t>
  </si>
  <si>
    <t>Grating machine: disks (grate/slice/julienne), throughput, safety.</t>
  </si>
  <si>
    <t>Ralladora: discos (rallar/laminar/juliana), caudal, seguridad.</t>
  </si>
  <si>
    <t>balayer</t>
  </si>
  <si>
    <t>sweep</t>
  </si>
  <si>
    <r>
      <t>barrer</t>
    </r>
    <r>
      <rPr>
        <sz val="11"/>
        <color theme="5" tint="-0.499984740745262"/>
        <rFont val="Calibri"/>
        <family val="2"/>
        <scheme val="minor"/>
      </rPr>
      <t xml:space="preserve">; </t>
    </r>
    <r>
      <rPr>
        <b/>
        <sz val="11"/>
        <color theme="5" tint="-0.499984740745262"/>
        <rFont val="Calibri"/>
        <family val="2"/>
        <scheme val="minor"/>
      </rPr>
      <t>barrer el suelo</t>
    </r>
    <r>
      <rPr>
        <sz val="11"/>
        <color theme="5" tint="-0.499984740745262"/>
        <rFont val="Calibri"/>
        <family val="2"/>
        <scheme val="minor"/>
      </rPr>
      <t xml:space="preserve"> / </t>
    </r>
    <r>
      <rPr>
        <b/>
        <sz val="11"/>
        <color theme="5" tint="-0.499984740745262"/>
        <rFont val="Calibri"/>
        <family val="2"/>
        <scheme val="minor"/>
      </rPr>
      <t>barrer</t>
    </r>
  </si>
  <si>
    <t>Nettoyage des sols entre/fin de services.</t>
  </si>
  <si>
    <t>Sweep/clean floors between/at end of service.</t>
  </si>
  <si>
    <t>Barrer/limpiar suelos entre/al final del servicio.</t>
  </si>
  <si>
    <t>produits laitiers</t>
  </si>
  <si>
    <t>dairy products</t>
  </si>
  <si>
    <t>productos lácteos</t>
  </si>
  <si>
    <r>
      <t>Décoction</t>
    </r>
    <r>
      <rPr>
        <sz val="11"/>
        <color theme="1"/>
        <rFont val="Calibri"/>
        <family val="2"/>
        <scheme val="minor"/>
      </rPr>
      <t xml:space="preserve"> : extraction par ébullition prolongée.</t>
    </r>
  </si>
  <si>
    <r>
      <t>Decoction</t>
    </r>
    <r>
      <rPr>
        <sz val="11"/>
        <color theme="1"/>
        <rFont val="Calibri"/>
        <family val="2"/>
        <scheme val="minor"/>
      </rPr>
      <t xml:space="preserve"> (prolonged boiling extraction).</t>
    </r>
  </si>
  <si>
    <r>
      <t>Decocción</t>
    </r>
    <r>
      <rPr>
        <sz val="11"/>
        <color theme="1"/>
        <rFont val="Calibri"/>
        <family val="2"/>
        <scheme val="minor"/>
      </rPr>
      <t>.</t>
    </r>
  </si>
  <si>
    <t>Blondir</t>
  </si>
  <si>
    <t>brown lightly; cook until golden/blond</t>
  </si>
  <si>
    <r>
      <t>dorar ligeramente</t>
    </r>
    <r>
      <rPr>
        <sz val="11"/>
        <color theme="1"/>
        <rFont val="Calibri"/>
        <family val="2"/>
        <scheme val="minor"/>
      </rPr>
      <t>; rehogar hasta dorar</t>
    </r>
  </si>
  <si>
    <t>Oignons/mirepoix : coloration blonde, pas brun foncé.</t>
  </si>
  <si>
    <t>Onions/mirepoix: light blond color, not dark brown.</t>
  </si>
  <si>
    <t>Cebolla/mirepoix: dorado claro (rubio), no marrón oscuro.</t>
  </si>
  <si>
    <t>habiller les soles</t>
  </si>
  <si>
    <t>dress/prepare the soles (fish)</t>
  </si>
  <si>
    <t>limpiar y preparar los lenguados</t>
  </si>
  <si>
    <t>Poivrer et muscader</t>
  </si>
  <si>
    <t>Pepper and add nutmeg</t>
  </si>
  <si>
    <t>Pimentar y añadir nuez moscada</t>
  </si>
  <si>
    <t>marmite (de cuisson)</t>
  </si>
  <si>
    <t>stock pot; kettle</t>
  </si>
  <si>
    <t>Marmite : gaz/élec./vapeur; basculante; capacité, vidange, sonde.</t>
  </si>
  <si>
    <t>Kettle/stock pot: gas/elec/steam; tilting; capacity, drain, probe.</t>
  </si>
  <si>
    <t>Marmita/olla: gas/eléctrica/vapor; basculante; capacidad, vaciado, sonda.</t>
  </si>
  <si>
    <t>baliser</t>
  </si>
  <si>
    <t>mark out; signpost</t>
  </si>
  <si>
    <r>
      <t>señalizar</t>
    </r>
    <r>
      <rPr>
        <sz val="11"/>
        <color theme="5" tint="-0.499984740745262"/>
        <rFont val="Calibri"/>
        <family val="2"/>
        <scheme val="minor"/>
      </rPr>
      <t>; balizar</t>
    </r>
  </si>
  <si>
    <t>Marquage zones, flux piétons/chariots, sécurité.</t>
  </si>
  <si>
    <t>Mark out zones, pedestrian/trolley flows, safety.</t>
  </si>
  <si>
    <t>Señalizar zonas, flujos peatonales/carros, seguridad.</t>
  </si>
  <si>
    <t>viande fraîche cuite sous vide</t>
  </si>
  <si>
    <t>fresh meat, cooked, vacuum-packed</t>
  </si>
  <si>
    <t>carne fresca cocida al vacío</t>
  </si>
  <si>
    <r>
      <t>Dessécher</t>
    </r>
    <r>
      <rPr>
        <sz val="11"/>
        <color theme="1"/>
        <rFont val="Calibri"/>
        <family val="2"/>
        <scheme val="minor"/>
      </rPr>
      <t xml:space="preserve"> : évaporer l’excès d’eau sur feu doux/étuve/four (pâte à choux).</t>
    </r>
  </si>
  <si>
    <r>
      <t>Dry out</t>
    </r>
    <r>
      <rPr>
        <sz val="11"/>
        <color theme="1"/>
        <rFont val="Calibri"/>
        <family val="2"/>
        <scheme val="minor"/>
      </rPr>
      <t xml:space="preserve"> moisture gently (e.g., choux panade).</t>
    </r>
  </si>
  <si>
    <r>
      <t>Desecar</t>
    </r>
    <r>
      <rPr>
        <sz val="11"/>
        <color theme="1"/>
        <rFont val="Calibri"/>
        <family val="2"/>
        <scheme val="minor"/>
      </rPr>
      <t xml:space="preserve"> (p. ej., masa choux).</t>
    </r>
  </si>
  <si>
    <t>bloquer</t>
  </si>
  <si>
    <t>block; lock; freeze</t>
  </si>
  <si>
    <r>
      <t>bloquear</t>
    </r>
    <r>
      <rPr>
        <sz val="11"/>
        <color theme="1"/>
        <rFont val="Calibri"/>
        <family val="2"/>
        <scheme val="minor"/>
      </rPr>
      <t>; inmovilizar</t>
    </r>
  </si>
  <si>
    <t>Bloquer stock/OF, verrouiller une consigne.</t>
  </si>
  <si>
    <t>Block stock/work order; lock a setting/instruction.</t>
  </si>
  <si>
    <t>Bloquear stock/OF; bloquear una consigna/ajuste.</t>
  </si>
  <si>
    <t>laver à grande eau</t>
  </si>
  <si>
    <t>rinse under plenty of water</t>
  </si>
  <si>
    <t>lavar con abundante agua</t>
  </si>
  <si>
    <t>Finir de lier en ajoutant la purée</t>
  </si>
  <si>
    <t>Finish binding with the mash</t>
  </si>
  <si>
    <t>Terminar de ligar añadiendo el puré</t>
  </si>
  <si>
    <t>mixer (plongeant)</t>
  </si>
  <si>
    <t>immersion blender; stick blender</t>
  </si>
  <si>
    <t>batidora de inmersión</t>
  </si>
  <si>
    <t>Mixer plongeant : puissance, longueur de pied, antiproyecciones, accessoires.</t>
  </si>
  <si>
    <t>Immersion blender: power, shaft length, splash-guard, accessories.</t>
  </si>
  <si>
    <t>Batidora de inmersión: potencia, longitud pie, campana anti-salpicaduras, accesorios.</t>
  </si>
  <si>
    <t>barrer (rayer)</t>
  </si>
  <si>
    <t>cross out; strike through</t>
  </si>
  <si>
    <r>
      <t>tachar</t>
    </r>
    <r>
      <rPr>
        <sz val="11"/>
        <color theme="5" tint="-0.499984740745262"/>
        <rFont val="Calibri"/>
        <family val="2"/>
        <scheme val="minor"/>
      </rPr>
      <t xml:space="preserve">; </t>
    </r>
    <r>
      <rPr>
        <b/>
        <sz val="11"/>
        <color theme="5" tint="-0.499984740745262"/>
        <rFont val="Calibri"/>
        <family val="2"/>
        <scheme val="minor"/>
      </rPr>
      <t>rayar</t>
    </r>
  </si>
  <si>
    <t>Rayer une ligne sur un bon/étiquette, éviter les doublons.</t>
  </si>
  <si>
    <t>Cross out a line on a ticket/label to avoid duplicates.</t>
  </si>
  <si>
    <t>Tachar una línea en un albarán/etiqueta para evitar duplicados.</t>
  </si>
  <si>
    <t>viande fraîche sous vide crue — à couper</t>
  </si>
  <si>
    <t>fresh meat, vacuum-packed, raw — to cut</t>
  </si>
  <si>
    <t>carne fresca envasada al vacío, cruda — para cortar</t>
  </si>
  <si>
    <r>
      <t>Détailler</t>
    </r>
    <r>
      <rPr>
        <sz val="11"/>
        <color theme="1"/>
        <rFont val="Calibri"/>
        <family val="2"/>
        <scheme val="minor"/>
      </rPr>
      <t xml:space="preserve"> : découper formes nettes dans une abaisse.</t>
    </r>
  </si>
  <si>
    <r>
      <t>Cut out</t>
    </r>
    <r>
      <rPr>
        <sz val="11"/>
        <color theme="1"/>
        <rFont val="Calibri"/>
        <family val="2"/>
        <scheme val="minor"/>
      </rPr>
      <t xml:space="preserve"> shapes from rolled dough.</t>
    </r>
  </si>
  <si>
    <r>
      <t>Cortar</t>
    </r>
    <r>
      <rPr>
        <sz val="11"/>
        <color theme="1"/>
        <rFont val="Calibri"/>
        <family val="2"/>
        <scheme val="minor"/>
      </rPr>
      <t xml:space="preserve"> piezas de una lámina de masa.</t>
    </r>
  </si>
  <si>
    <t>boucher</t>
  </si>
  <si>
    <t>plug; stop up</t>
  </si>
  <si>
    <r>
      <t>taponar</t>
    </r>
    <r>
      <rPr>
        <sz val="11"/>
        <color theme="1"/>
        <rFont val="Calibri"/>
        <family val="2"/>
        <scheme val="minor"/>
      </rPr>
      <t>; obturar</t>
    </r>
  </si>
  <si>
    <t>Obstruer une fuite; « boucher un trou » planning.</t>
  </si>
  <si>
    <t>Plug/stop a leak; fill a gap in the schedule.</t>
  </si>
  <si>
    <t>Taponar una fuga; “tapar un hueco” en el planning.</t>
  </si>
  <si>
    <t>laver à grande eau / rincer abondamment</t>
  </si>
  <si>
    <t>wash / rinse thoroughly</t>
  </si>
  <si>
    <t>lavar / enjuagar abundantemente</t>
  </si>
  <si>
    <t>Travailler.</t>
  </si>
  <si>
    <t xml:space="preserve">Work. </t>
  </si>
  <si>
    <t xml:space="preserve">Trabajar. </t>
  </si>
  <si>
    <t>O</t>
  </si>
  <si>
    <t>basculer</t>
  </si>
  <si>
    <t>switch over; toggle</t>
  </si>
  <si>
    <r>
      <t>cambiar</t>
    </r>
    <r>
      <rPr>
        <sz val="11"/>
        <color theme="5" tint="-0.499984740745262"/>
        <rFont val="Calibri"/>
        <family val="2"/>
        <scheme val="minor"/>
      </rPr>
      <t>; conmutar</t>
    </r>
  </si>
  <si>
    <t>Basculer de mode/ligne/serveur/compte.</t>
  </si>
  <si>
    <t>Switch over mode/line/server/account.</t>
  </si>
  <si>
    <t>Conmutar/cambiar de modo/línea/servidor/cuenta.</t>
  </si>
  <si>
    <t>viande fraîche sous vide crue — à cuire, à couper + appertisée</t>
  </si>
  <si>
    <t>fresh meat, vacuum-packed, raw — to cook, to cut + canned</t>
  </si>
  <si>
    <t>carne fresca envasada al vacío, cruda — para cocinar, para cortar + en conserva</t>
  </si>
  <si>
    <r>
      <t>Détrempe</t>
    </r>
    <r>
      <rPr>
        <sz val="11"/>
        <color theme="1"/>
        <rFont val="Calibri"/>
        <family val="2"/>
        <scheme val="minor"/>
      </rPr>
      <t xml:space="preserve"> : base farine+eau+sel pour feuilletée/levée feuilletée.</t>
    </r>
  </si>
  <si>
    <r>
      <t>Détrempe</t>
    </r>
    <r>
      <rPr>
        <sz val="11"/>
        <color theme="1"/>
        <rFont val="Calibri"/>
        <family val="2"/>
        <scheme val="minor"/>
      </rPr>
      <t>: base dough (flour+water+salt) for puff/laminated.</t>
    </r>
  </si>
  <si>
    <r>
      <t>Detrempe</t>
    </r>
    <r>
      <rPr>
        <sz val="11"/>
        <color theme="1"/>
        <rFont val="Calibri"/>
        <family val="2"/>
        <scheme val="minor"/>
      </rPr>
      <t>: base para hojaldre/levado hojaldrado.</t>
    </r>
  </si>
  <si>
    <t>boucler</t>
  </si>
  <si>
    <t>close; finalize; loop</t>
  </si>
  <si>
    <r>
      <t>cerrar</t>
    </r>
    <r>
      <rPr>
        <sz val="11"/>
        <color theme="1"/>
        <rFont val="Calibri"/>
        <family val="2"/>
        <scheme val="minor"/>
      </rPr>
      <t>; finalizar</t>
    </r>
  </si>
  <si>
    <t>Boucler un dossier/lot/boucle de rétroaction.</t>
  </si>
  <si>
    <t>Close out a file/batch/feedback loop.</t>
  </si>
  <si>
    <t>Cerrar un expediente/lote/bucle de retroalimentación.</t>
  </si>
  <si>
    <t>peser les denrées/ingrédients</t>
  </si>
  <si>
    <t>weigh the food/ingredients</t>
  </si>
  <si>
    <t>pesar los alimentos/ingredientes</t>
  </si>
  <si>
    <t xml:space="preserve"> Rectifier la consistance</t>
  </si>
  <si>
    <t>Adjust consistency</t>
  </si>
  <si>
    <t>Rectificar consistencia</t>
  </si>
  <si>
    <t>ouvre-boîte</t>
  </si>
  <si>
    <t>can opener; tin opener (UK)</t>
  </si>
  <si>
    <t>abre-latas</t>
  </si>
  <si>
    <t>Ouvre-boîte : manuel/électrique/de mesa; hygiène, boîtes 5/10, sans bavures.</t>
  </si>
  <si>
    <t>Can opener: manual/electric/bench; hygiene, size 5/10 cans, no burrs.</t>
  </si>
  <si>
    <t>Abre-latas: manual/eléctrico/de mesa; higiene, latas 5/10, sin rebabas.</t>
  </si>
  <si>
    <t>bâtir</t>
  </si>
  <si>
    <t>build; construct</t>
  </si>
  <si>
    <r>
      <t>construir</t>
    </r>
    <r>
      <rPr>
        <sz val="11"/>
        <color theme="5" tint="-0.499984740745262"/>
        <rFont val="Calibri"/>
        <family val="2"/>
        <scheme val="minor"/>
      </rPr>
      <t>; edificar</t>
    </r>
  </si>
  <si>
    <t>Construire un plan, un poste, une structure.</t>
  </si>
  <si>
    <t>Build a plan/station/structure.</t>
  </si>
  <si>
    <t>Construir un plan/puesto/estructura.</t>
  </si>
  <si>
    <t>Bouillir</t>
  </si>
  <si>
    <t>Boil</t>
  </si>
  <si>
    <t>Hervir</t>
  </si>
  <si>
    <t>Gros bouillons, surveiller évaporation et débordement.</t>
  </si>
  <si>
    <t>Full boil; watch evaporation/boil-over.</t>
  </si>
  <si>
    <t>Hervor fuerte; vigilar evaporación/derrame.</t>
  </si>
  <si>
    <t>trier et tremper</t>
  </si>
  <si>
    <t>sort and soak</t>
  </si>
  <si>
    <t>clasificar y poner en remojo</t>
  </si>
  <si>
    <t>boulonner</t>
  </si>
  <si>
    <t>bolt (down)</t>
  </si>
  <si>
    <r>
      <t>atornillar con perno</t>
    </r>
    <r>
      <rPr>
        <sz val="11"/>
        <color theme="5" tint="-0.499984740745262"/>
        <rFont val="Calibri"/>
        <family val="2"/>
        <scheme val="minor"/>
      </rPr>
      <t>; pernar/atornillar</t>
    </r>
  </si>
  <si>
    <t>Fixer solidement machines/étagères au sol/mur.</t>
  </si>
  <si>
    <t>Bolt machines/shelves securely to floor/wall.</t>
  </si>
  <si>
    <t>Pernar/atornillar máquinas/estanterías al suelo/pared.</t>
  </si>
  <si>
    <t>viande fraîche sous vide cuite — à couper</t>
  </si>
  <si>
    <t>fresh meat, vacuum-packed, cooked — to slice/cut</t>
  </si>
  <si>
    <t>carne fresca envasada al vacío, cocida — para cortar</t>
  </si>
  <si>
    <r>
      <t>Écumer :</t>
    </r>
    <r>
      <rPr>
        <sz val="11"/>
        <color theme="1"/>
        <rFont val="Calibri"/>
        <family val="2"/>
        <scheme val="minor"/>
      </rPr>
      <t xml:space="preserve"> retirer impuretés/écume en surface (confitures, gelées, sucre).</t>
    </r>
  </si>
  <si>
    <t>Skim off scum/impurities (jams, jellies, sugar).</t>
  </si>
  <si>
    <t>Desespumar impurezas/espuma en la superficie (mermeladas, gelatinas, azúcar).</t>
  </si>
  <si>
    <t>Bouler</t>
  </si>
  <si>
    <t>round (dough); preshape into a boule</t>
  </si>
  <si>
    <r>
      <t>bolear</t>
    </r>
    <r>
      <rPr>
        <sz val="11"/>
        <color theme="1"/>
        <rFont val="Calibri"/>
        <family val="2"/>
        <scheme val="minor"/>
      </rPr>
      <t xml:space="preserve"> (masa)</t>
    </r>
  </si>
  <si>
    <t>BVP : former une boule bien tendue avant apprêt.</t>
  </si>
  <si>
    <t>Bakery: shape a tight ball before proofing.</t>
  </si>
  <si>
    <r>
      <t xml:space="preserve">Panadería: </t>
    </r>
    <r>
      <rPr>
        <b/>
        <sz val="11"/>
        <color theme="1"/>
        <rFont val="Calibri"/>
        <family val="2"/>
        <scheme val="minor"/>
      </rPr>
      <t>bolear</t>
    </r>
    <r>
      <rPr>
        <sz val="11"/>
        <color theme="1"/>
        <rFont val="Calibri"/>
        <family val="2"/>
        <scheme val="minor"/>
      </rPr>
      <t xml:space="preserve"> una pieza tensa antes del levado.</t>
    </r>
  </si>
  <si>
    <t>Décanter la préparation</t>
  </si>
  <si>
    <t>Decant/transfer the mixture</t>
  </si>
  <si>
    <t>Decantar/traspasar la preparación</t>
  </si>
  <si>
    <t>palette (logistique)</t>
  </si>
  <si>
    <t>pallet (EUR/EPAL pallet)</t>
  </si>
  <si>
    <t>Palette (logistique) : EUR 120×80 / ISO 120×100; bois/plastique; filmage/cerclage.</t>
  </si>
  <si>
    <t>Pallet: EUR 120×80 / ISO 120×100; wood/plastic; wrap/strap.</t>
  </si>
  <si>
    <t>Palé: EUR 120×80 / ISO 120×100; madera/plástico; flejado/filmado.</t>
  </si>
  <si>
    <t>brancher</t>
  </si>
  <si>
    <t>plug in; connect</t>
  </si>
  <si>
    <r>
      <t>enchufar</t>
    </r>
    <r>
      <rPr>
        <sz val="11"/>
        <color theme="5" tint="-0.499984740745262"/>
        <rFont val="Calibri"/>
        <family val="2"/>
        <scheme val="minor"/>
      </rPr>
      <t>; conectar</t>
    </r>
  </si>
  <si>
    <t>Raccorder un appareil (secteur), une sonde, un périphérique.</t>
  </si>
  <si>
    <t>Plug in/connect a device, a probe, a peripheral.</t>
  </si>
  <si>
    <t>Enchufar/conectar un equipo, una sonda, un periférico.</t>
  </si>
  <si>
    <t>(doublon) viande fraîche sous vide cuite — à couper</t>
  </si>
  <si>
    <r>
      <t xml:space="preserve">Émonder : </t>
    </r>
    <r>
      <rPr>
        <sz val="11"/>
        <color theme="1"/>
        <rFont val="Calibri"/>
        <family val="2"/>
        <scheme val="minor"/>
      </rPr>
      <t>retirer pellicule/peau (tomates, amandes…).</t>
    </r>
  </si>
  <si>
    <t>Skin/peel (after blanching) tomatoes, almonds, etc.</t>
  </si>
  <si>
    <t>Mondar (tras escaldar) tomates, almendras, etc.</t>
  </si>
  <si>
    <t>Braiser</t>
  </si>
  <si>
    <t>braise</t>
  </si>
  <si>
    <r>
      <t>estofar</t>
    </r>
    <r>
      <rPr>
        <sz val="11"/>
        <color theme="1"/>
        <rFont val="Calibri"/>
        <family val="2"/>
        <scheme val="minor"/>
      </rPr>
      <t>; brasear</t>
    </r>
  </si>
  <si>
    <t>Saisir puis cuire couvert, avec peu de liquide, à feu doux/au four.</t>
  </si>
  <si>
    <t>Sear, then cook covered with little liquid over low heat/in the oven (braise).</t>
  </si>
  <si>
    <t>Sellar y luego cocer tapado con poco líquido, a fuego bajo o al horno (brasear/estofar).</t>
  </si>
  <si>
    <t>Techniques de coupe</t>
  </si>
  <si>
    <t>Répartir la brandade dans 8 bacs GN 1/1 beurrés</t>
  </si>
  <si>
    <t>Portion brandade into 8 buttered GN 1/1 pans</t>
  </si>
  <si>
    <t>Repartir brandada en 8 cubetas GN 1/1 enmantequilladas</t>
  </si>
  <si>
    <t>passoire</t>
  </si>
  <si>
    <t>colander; strainer</t>
  </si>
  <si>
    <t>Passoire : égouttage/tamisage; métal/nylon; Ø/profondeur, poignées.</t>
  </si>
  <si>
    <t>Colander/strainer: draining/sieving; metal/nylon; dia/depth, handles.</t>
  </si>
  <si>
    <t>Colador/escurridor: escurrir/tamizar; metal/nylon; Ø/profundidad, asas.</t>
  </si>
  <si>
    <t>briefer</t>
  </si>
  <si>
    <t>brief; give a briefing</t>
  </si>
  <si>
    <r>
      <t>briefe ar</t>
    </r>
    <r>
      <rPr>
        <sz val="11"/>
        <color theme="5" tint="-0.499984740745262"/>
        <rFont val="Calibri"/>
        <family val="2"/>
        <scheme val="minor"/>
      </rPr>
      <t xml:space="preserve"> / </t>
    </r>
    <r>
      <rPr>
        <b/>
        <sz val="11"/>
        <color theme="5" tint="-0.499984740745262"/>
        <rFont val="Calibri"/>
        <family val="2"/>
        <scheme val="minor"/>
      </rPr>
      <t>dar un briefing</t>
    </r>
    <r>
      <rPr>
        <sz val="11"/>
        <color theme="5" tint="-0.499984740745262"/>
        <rFont val="Calibri"/>
        <family val="2"/>
        <scheme val="minor"/>
      </rPr>
      <t>; informar</t>
    </r>
  </si>
  <si>
    <t>Consignes d’équipe avant service/production.</t>
  </si>
  <si>
    <t>Team briefing before service/production.</t>
  </si>
  <si>
    <t>Reunión/briefing del equipo antes del servicio/producción.</t>
  </si>
  <si>
    <t>viandes fraîches à piécer avant cuisson courte</t>
  </si>
  <si>
    <t>fresh meats — portion before short cook</t>
  </si>
  <si>
    <t>carnes frescas — porcionar antes de cocción corta</t>
  </si>
  <si>
    <r>
      <t>Émulsionner :</t>
    </r>
    <r>
      <rPr>
        <sz val="11"/>
        <color theme="1"/>
        <rFont val="Calibri"/>
        <family val="2"/>
        <scheme val="minor"/>
      </rPr>
      <t xml:space="preserve"> disperser un liquide dans un autre non miscible (ex. ganache)</t>
    </r>
  </si>
  <si>
    <t>Emulsify: disperse one immiscible liquid into another (e.g., ganache).</t>
  </si>
  <si>
    <t>Emulsionar: dispersar un líquido en otro no miscible (p. ej., ganache).</t>
  </si>
  <si>
    <t>brasser</t>
  </si>
  <si>
    <t>mix; brew</t>
  </si>
  <si>
    <r>
      <t>mezclar</t>
    </r>
    <r>
      <rPr>
        <sz val="11"/>
        <color theme="1"/>
        <rFont val="Calibri"/>
        <family val="2"/>
        <scheme val="minor"/>
      </rPr>
      <t xml:space="preserve">; </t>
    </r>
    <r>
      <rPr>
        <b/>
        <sz val="11"/>
        <color theme="1"/>
        <rFont val="Calibri"/>
        <family val="2"/>
        <scheme val="minor"/>
      </rPr>
      <t>fabricar cerveza</t>
    </r>
    <r>
      <rPr>
        <sz val="11"/>
        <color theme="1"/>
        <rFont val="Calibri"/>
        <family val="2"/>
        <scheme val="minor"/>
      </rPr>
      <t xml:space="preserve"> (si bière)</t>
    </r>
  </si>
  <si>
    <t>Mélanger lots/liquides ; brasserie : brasser.</t>
  </si>
  <si>
    <t>Mix batches/liquids; brewery: brew.</t>
  </si>
  <si>
    <t>Mezclar lotes/líquidos; cervecería: elaborar cerveza.</t>
  </si>
  <si>
    <t>ciseler finement</t>
  </si>
  <si>
    <t>finely chop</t>
  </si>
  <si>
    <t>picar finamente</t>
  </si>
  <si>
    <t>Égaliser la surface</t>
  </si>
  <si>
    <t>Level the surface</t>
  </si>
  <si>
    <t>Igualar la superficie</t>
  </si>
  <si>
    <t>pelle à pizza</t>
  </si>
  <si>
    <t>pizza peel</t>
  </si>
  <si>
    <t>pala para pizza</t>
  </si>
  <si>
    <t>Pelle à pizza : manche long; tête alu/inox/bois; perforée; tailles.</t>
  </si>
  <si>
    <t>Pizza peel: long handle; alu/s/s/wood head; perforated; sizes.</t>
  </si>
  <si>
    <t>Pala para pizza: mango largo; cabeza alu/inox/madera; perforada; tamaños.</t>
  </si>
  <si>
    <t>briquer</t>
  </si>
  <si>
    <t>polish; shine</t>
  </si>
  <si>
    <r>
      <t>pulir</t>
    </r>
    <r>
      <rPr>
        <sz val="11"/>
        <color theme="5" tint="-0.499984740745262"/>
        <rFont val="Calibri"/>
        <family val="2"/>
        <scheme val="minor"/>
      </rPr>
      <t>; abrillantar</t>
    </r>
  </si>
  <si>
    <t>Lustrer inox, plaques, vitrines.</t>
  </si>
  <si>
    <t>Polish stainless steel, trays, display cases.</t>
  </si>
  <si>
    <t>Abrillantar/pulir inox, bandejas, vitrinas.</t>
  </si>
  <si>
    <t>viandes fraîches à piécer avant cuisson longue</t>
  </si>
  <si>
    <t>fresh meats — portion before long cook</t>
  </si>
  <si>
    <t>carnes frescas — porcionar antes de cocción larga</t>
  </si>
  <si>
    <r>
      <t>Évider :</t>
    </r>
    <r>
      <rPr>
        <sz val="11"/>
        <color theme="1"/>
        <rFont val="Calibri"/>
        <family val="2"/>
        <scheme val="minor"/>
      </rPr>
      <t xml:space="preserve"> creuser/ôter l’intérieur (agrumes, fruits).</t>
    </r>
  </si>
  <si>
    <t>Hollow out / core (citrus, fruits).</t>
  </si>
  <si>
    <t>Ahuecar / vaciar (cítricos, frutas).</t>
  </si>
  <si>
    <t>Brider</t>
  </si>
  <si>
    <t>truss (poultry)</t>
  </si>
  <si>
    <t>bridar (atar)</t>
  </si>
  <si>
    <t>Ficeler une volaille/pièce pour tenue et cuisson régulière.</t>
  </si>
  <si>
    <t>Tie/truss poultry or a cut for shape and even cooking.</t>
  </si>
  <si>
    <t>Atar/bridar un ave o una pieza para mantener la forma y una cocción uniforme.</t>
  </si>
  <si>
    <t>couper en deux</t>
  </si>
  <si>
    <t>cut in half</t>
  </si>
  <si>
    <t>cortar por la mitad</t>
  </si>
  <si>
    <t>Saupoudrer d’emmental râpé</t>
  </si>
  <si>
    <t>Sprinkle grated Emmental</t>
  </si>
  <si>
    <t>Espolvorear emmental rallado</t>
  </si>
  <si>
    <t>pinces</t>
  </si>
  <si>
    <t>tongs; kitchen tongs</t>
  </si>
  <si>
    <t>Pinces : longueur, embouts silicone/inox, verrou; séparer cru/cuit.</t>
  </si>
  <si>
    <t>Tongs: length, silicone/s/s tips, lock; separate raw/cooked.</t>
  </si>
  <si>
    <t>Pinzas: longitud, puntas silicona/inox, cierre; separar crudo/cocido.</t>
  </si>
  <si>
    <t>brosser</t>
  </si>
  <si>
    <t>brush</t>
  </si>
  <si>
    <t>cepillar</t>
  </si>
  <si>
    <t>Brosser grilles, légumes, chaussures de sécu.</t>
  </si>
  <si>
    <t>Brush grates/veggies/safety shoes.</t>
  </si>
  <si>
    <t>Cepillar rejillas, verduras, calzado de seguridad.</t>
  </si>
  <si>
    <t>viandes fraîches découpées — cuisson longue</t>
  </si>
  <si>
    <t>fresh meats, cut — for long cook</t>
  </si>
  <si>
    <t>carnes frescas, cortadas — para cocción larga</t>
  </si>
  <si>
    <t>Broyer</t>
  </si>
  <si>
    <t>grind; crush; mill</t>
  </si>
  <si>
    <r>
      <t>moler</t>
    </r>
    <r>
      <rPr>
        <sz val="11"/>
        <color theme="1"/>
        <rFont val="Calibri"/>
        <family val="2"/>
        <scheme val="minor"/>
      </rPr>
      <t>; triturar</t>
    </r>
  </si>
  <si>
    <t>Grains, fruits secs, praliné, épices : réduction de taille/texture.</t>
  </si>
  <si>
    <t>Grind/crush to reduce particle size/texture (nuts, praliné, spices).</t>
  </si>
  <si>
    <t>Moler/triturar para reducir el tamaño de partícula/ textura (frutos secos, praliné, especias).</t>
  </si>
  <si>
    <t>hacher finement</t>
  </si>
  <si>
    <t>finely mince</t>
  </si>
  <si>
    <t>Parsemer de parcelles de beurre</t>
  </si>
  <si>
    <t>Dot with butter</t>
  </si>
  <si>
    <t>Repartir trocitos de mantequilla</t>
  </si>
  <si>
    <r>
      <t>plaque eutectique</t>
    </r>
    <r>
      <rPr>
        <sz val="11"/>
        <color theme="1"/>
        <rFont val="Calibri"/>
        <family val="2"/>
        <scheme val="minor"/>
      </rPr>
      <t xml:space="preserve"> </t>
    </r>
    <r>
      <rPr>
        <i/>
        <sz val="11"/>
        <color theme="1"/>
        <rFont val="Calibri"/>
        <family val="2"/>
        <scheme val="minor"/>
      </rPr>
      <t>(correction de « pl.euthechtique »)</t>
    </r>
  </si>
  <si>
    <t>eutectic cold plate; gel cold pack</t>
  </si>
  <si>
    <t>Plaque eutectique : T° de consigne, temps de charge, contact alimentaire.</t>
  </si>
  <si>
    <t>Eutectic plate: set-point temp, charging time, food contact.</t>
  </si>
  <si>
    <t>Placa eutéctica: T° objetivo, tiempo de carga, contacto alimentario.</t>
  </si>
  <si>
    <t>budgéter</t>
  </si>
  <si>
    <t>budget; cost out</t>
  </si>
  <si>
    <r>
      <t>presupuestar</t>
    </r>
    <r>
      <rPr>
        <sz val="11"/>
        <color theme="5" tint="-0.499984740745262"/>
        <rFont val="Calibri"/>
        <family val="2"/>
        <scheme val="minor"/>
      </rPr>
      <t>; costear</t>
    </r>
  </si>
  <si>
    <t>Établir prévisionnel/coût recette/opération.</t>
  </si>
  <si>
    <t>Budget/forecast recipe or operation costs.</t>
  </si>
  <si>
    <t>Presupuestar/pronosticar costes de receta/operación.</t>
  </si>
  <si>
    <t>viandes fraîches piécées — cuisson courte</t>
  </si>
  <si>
    <t>fresh meats, portioned — for short cook</t>
  </si>
  <si>
    <t>carnes frescas, porcionadas — para cocción corta</t>
  </si>
  <si>
    <r>
      <t>Façonner</t>
    </r>
    <r>
      <rPr>
        <sz val="11"/>
        <color theme="1"/>
        <rFont val="Calibri"/>
        <family val="2"/>
        <scheme val="minor"/>
      </rPr>
      <t xml:space="preserve"> : donner une forme avant cuisson.</t>
    </r>
  </si>
  <si>
    <r>
      <t>Shape/Form</t>
    </r>
    <r>
      <rPr>
        <sz val="11"/>
        <color theme="1"/>
        <rFont val="Calibri"/>
        <family val="2"/>
        <scheme val="minor"/>
      </rPr>
      <t xml:space="preserve"> before baking.</t>
    </r>
  </si>
  <si>
    <r>
      <t>Formar/Dar forma</t>
    </r>
    <r>
      <rPr>
        <sz val="11"/>
        <color theme="1"/>
        <rFont val="Calibri"/>
        <family val="2"/>
        <scheme val="minor"/>
      </rPr>
      <t>.</t>
    </r>
  </si>
  <si>
    <t>Brûler</t>
  </si>
  <si>
    <t>burn; scorch; caramelize (top)</t>
  </si>
  <si>
    <r>
      <t>quemar</t>
    </r>
    <r>
      <rPr>
        <sz val="11"/>
        <color theme="1"/>
        <rFont val="Calibri"/>
        <family val="2"/>
        <scheme val="minor"/>
      </rPr>
      <t>; caramelizar (superficie)</t>
    </r>
  </si>
  <si>
    <t>Attention défaut de cuisson (« brûlé ») ; en crème brûlée : caraméliser au chalumeau.brûler du duvet volaille, flambage raté.</t>
  </si>
  <si>
    <t>Beware overcooking/burning; for crème brûlée: torch to caramelize the top. singe poultry down; failed flambé.</t>
  </si>
  <si>
    <r>
      <t xml:space="preserve">Cuidado con el </t>
    </r>
    <r>
      <rPr>
        <b/>
        <sz val="11"/>
        <color theme="1"/>
        <rFont val="Calibri"/>
        <family val="2"/>
        <scheme val="minor"/>
      </rPr>
      <t>quemado</t>
    </r>
    <r>
      <rPr>
        <sz val="11"/>
        <color theme="1"/>
        <rFont val="Calibri"/>
        <family val="2"/>
        <scheme val="minor"/>
      </rPr>
      <t>; en crème brûlée: caramelizar la superficie con soplete.chamuscar plumón de ave; flambé fallido.</t>
    </r>
  </si>
  <si>
    <t>Étager les bacs sur l’échelle de cuisson</t>
  </si>
  <si>
    <t>Stack pans on the baking trolley</t>
  </si>
  <si>
    <t>Escalonar cubetas en el carro de cocción</t>
  </si>
  <si>
    <t>planche à découper</t>
  </si>
  <si>
    <t>cutting board; chopping board</t>
  </si>
  <si>
    <t>tabla de cortar</t>
  </si>
  <si>
    <t>Planche à découper : codes couleur, PEHD/bois, antidérapant, lavable.</t>
  </si>
  <si>
    <t>Cutting board: color codes, HDPE/wood, anti-slip, dishwasher-safe.</t>
  </si>
  <si>
    <t>Tabla de cortar: códigos color, PEAD/madera, antideslizante, lavable.</t>
  </si>
  <si>
    <t>viandes fraîches piécées — cuisson longue</t>
  </si>
  <si>
    <t>fresh meats, portioned — for long cook</t>
  </si>
  <si>
    <t>carnes frescas, porcionadas — para cocción larga</t>
  </si>
  <si>
    <r>
      <t>Festonner</t>
    </r>
    <r>
      <rPr>
        <sz val="11"/>
        <color theme="1"/>
        <rFont val="Calibri"/>
        <family val="2"/>
        <scheme val="minor"/>
      </rPr>
      <t xml:space="preserve"> : bordures décoratives arrondies (pithiviers…).</t>
    </r>
  </si>
  <si>
    <r>
      <t>Scallop</t>
    </r>
    <r>
      <rPr>
        <sz val="11"/>
        <color theme="1"/>
        <rFont val="Calibri"/>
        <family val="2"/>
        <scheme val="minor"/>
      </rPr>
      <t xml:space="preserve"> decorative edges.</t>
    </r>
  </si>
  <si>
    <r>
      <t>Festonear</t>
    </r>
    <r>
      <rPr>
        <sz val="11"/>
        <color theme="1"/>
        <rFont val="Calibri"/>
        <family val="2"/>
        <scheme val="minor"/>
      </rPr>
      <t xml:space="preserve"> bordes decorativos.</t>
    </r>
  </si>
  <si>
    <t>Modes &amp; paramètres</t>
  </si>
  <si>
    <t>Modes &amp; parameters</t>
  </si>
  <si>
    <t>Modos y parámetros</t>
  </si>
  <si>
    <t>plat gastro (GN plat)</t>
  </si>
  <si>
    <t>GN tray / GN shallow pan</t>
  </si>
  <si>
    <t>bandeja GN / cubeta GN baja</t>
  </si>
  <si>
    <t>Plat GN peu profond : service/cuisson/pré-sentation; couvercle possible.</t>
  </si>
  <si>
    <t>Shallow GN tray: service/cooking/presentation; lid optional.</t>
  </si>
  <si>
    <t>Bandeja GN baja: servicio/cocción/presentación; tapa opcional.</t>
  </si>
  <si>
    <t>cultiver</t>
  </si>
  <si>
    <t>cultivate; grow</t>
  </si>
  <si>
    <r>
      <t>cultivar</t>
    </r>
    <r>
      <rPr>
        <sz val="11"/>
        <color theme="5" tint="-0.499984740745262"/>
        <rFont val="Calibri"/>
        <family val="2"/>
        <scheme val="minor"/>
      </rPr>
      <t>; criar</t>
    </r>
  </si>
  <si>
    <t>Herbes, levains, savoir-faire/équipe.</t>
  </si>
  <si>
    <t>Cultivate herbs/starters; develop know-how/team.</t>
  </si>
  <si>
    <r>
      <t xml:space="preserve">Cultivar hierbas/masas madre; desarrollar </t>
    </r>
    <r>
      <rPr>
        <i/>
        <sz val="11"/>
        <color theme="5" tint="-0.499984740745262"/>
        <rFont val="Calibri"/>
        <family val="2"/>
        <scheme val="minor"/>
      </rPr>
      <t>know-how</t>
    </r>
    <r>
      <rPr>
        <sz val="11"/>
        <color theme="5" tint="-0.499984740745262"/>
        <rFont val="Calibri"/>
        <family val="2"/>
        <scheme val="minor"/>
      </rPr>
      <t>/equipo.</t>
    </r>
  </si>
  <si>
    <t>viandes surgelées — cuisson courte</t>
  </si>
  <si>
    <t>frozen meats — for short cook</t>
  </si>
  <si>
    <t>carnes congeladas — para cocción corta</t>
  </si>
  <si>
    <r>
      <t>Fleurer</t>
    </r>
    <r>
      <rPr>
        <sz val="11"/>
        <color theme="1"/>
        <rFont val="Calibri"/>
        <family val="2"/>
        <scheme val="minor"/>
      </rPr>
      <t xml:space="preserve"> : fariner légèrement tour/plaque/moule.</t>
    </r>
  </si>
  <si>
    <r>
      <t>Dust</t>
    </r>
    <r>
      <rPr>
        <sz val="11"/>
        <color theme="1"/>
        <rFont val="Calibri"/>
        <family val="2"/>
        <scheme val="minor"/>
      </rPr>
      <t xml:space="preserve"> lightly with flour.</t>
    </r>
  </si>
  <si>
    <r>
      <t>Espolvorear</t>
    </r>
    <r>
      <rPr>
        <sz val="11"/>
        <color theme="1"/>
        <rFont val="Calibri"/>
        <family val="2"/>
        <scheme val="minor"/>
      </rPr>
      <t xml:space="preserve"> con harina.</t>
    </r>
  </si>
  <si>
    <t>Candir</t>
  </si>
  <si>
    <t>candy (in sugar)</t>
  </si>
  <si>
    <t>confitar en azúcar</t>
  </si>
  <si>
    <t>Fruits confits, écorces : cuisson sirop jusqu’à saturation.</t>
  </si>
  <si>
    <t>Candied fruits/peels: cook in syrup until saturated.</t>
  </si>
  <si>
    <t>Frutas/cáscaras confitadas: cocer en almíbar hasta saturar.</t>
  </si>
  <si>
    <t>cuire à couvert</t>
  </si>
  <si>
    <t>cook covered</t>
  </si>
  <si>
    <t>cocinar tapado</t>
  </si>
  <si>
    <t>Gratiner</t>
  </si>
  <si>
    <t>Gratinate / brown</t>
  </si>
  <si>
    <t>Gratinar</t>
  </si>
  <si>
    <t>plateaux</t>
  </si>
  <si>
    <t>trays; service trays</t>
  </si>
  <si>
    <t>Plateaux : format (600×400, GN), matière (PP/inox/fibra), antidérapant.</t>
  </si>
  <si>
    <t>Trays: size (600×400, GN), material (PP/s/s/fiber), non-slip.</t>
  </si>
  <si>
    <t>Bandejas: tamaño (600×400, GN), material (PP/inox/fibra), antideslizantes.</t>
  </si>
  <si>
    <t>calculer</t>
  </si>
  <si>
    <t>calculate; compute</t>
  </si>
  <si>
    <r>
      <t>calcular</t>
    </r>
    <r>
      <rPr>
        <sz val="11"/>
        <color theme="5" tint="-0.499984740745262"/>
        <rFont val="Calibri"/>
        <family val="2"/>
        <scheme val="minor"/>
      </rPr>
      <t>; computar</t>
    </r>
  </si>
  <si>
    <t>Coûts, rendements, pertes, ratios HACCP.</t>
  </si>
  <si>
    <t>Costs, yields, losses, HACCP ratios.</t>
  </si>
  <si>
    <t>Costes, rendimientos, mermas, ratios APPCC.</t>
  </si>
  <si>
    <t>viandes surgelées crues — à trancher avant cuisson</t>
  </si>
  <si>
    <t>frozen meats, raw — slice before cooking</t>
  </si>
  <si>
    <t>carnes congeladas, crudas — rebanar antes de la cocción</t>
  </si>
  <si>
    <r>
      <t>Foncer</t>
    </r>
    <r>
      <rPr>
        <sz val="11"/>
        <color theme="1"/>
        <rFont val="Calibri"/>
        <family val="2"/>
        <scheme val="minor"/>
      </rPr>
      <t xml:space="preserve"> : tapisser un moule/cercle avec pâte.</t>
    </r>
  </si>
  <si>
    <r>
      <t>Line</t>
    </r>
    <r>
      <rPr>
        <sz val="11"/>
        <color theme="1"/>
        <rFont val="Calibri"/>
        <family val="2"/>
        <scheme val="minor"/>
      </rPr>
      <t xml:space="preserve"> a tin/ring with pastry.</t>
    </r>
  </si>
  <si>
    <r>
      <t>Forrar</t>
    </r>
    <r>
      <rPr>
        <sz val="11"/>
        <color theme="1"/>
        <rFont val="Calibri"/>
        <family val="2"/>
        <scheme val="minor"/>
      </rPr>
      <t xml:space="preserve"> un molde/aro con masa.</t>
    </r>
  </si>
  <si>
    <t>Canneler</t>
  </si>
  <si>
    <t>flute / make grooves; channel</t>
  </si>
  <si>
    <t>hacer canaladuras; estriar</t>
  </si>
  <si>
    <t>Zestes/agrume avec canneleur pour décors/longs filaments.</t>
  </si>
  <si>
    <t>Use a channel knife on citrus to make decorative long strips.</t>
  </si>
  <si>
    <t>Usar caneleur en cítricos para hacer tiras decorativas largas.</t>
  </si>
  <si>
    <t>cuire à feu doux</t>
  </si>
  <si>
    <t>cook over low heat</t>
  </si>
  <si>
    <t>cocinar a fuego lento</t>
  </si>
  <si>
    <t>Four chaleur sèche à 170 °C</t>
  </si>
  <si>
    <t>Dry heat oven at 170 °C</t>
  </si>
  <si>
    <t>Horno de calor seco a 170 °C</t>
  </si>
  <si>
    <t>R</t>
  </si>
  <si>
    <t>cataloguer</t>
  </si>
  <si>
    <t>catalog; classify</t>
  </si>
  <si>
    <r>
      <t>catalogar</t>
    </r>
    <r>
      <rPr>
        <sz val="11"/>
        <color theme="5" tint="-0.499984740745262"/>
        <rFont val="Calibri"/>
        <family val="2"/>
        <scheme val="minor"/>
      </rPr>
      <t>; clasificar</t>
    </r>
  </si>
  <si>
    <t>Référencer produits/recettes/outils.</t>
  </si>
  <si>
    <t>Catalog/reference products/recipes/tools.</t>
  </si>
  <si>
    <t>Catalogar/referenciar productos/recetas/herramientas.</t>
  </si>
  <si>
    <t>viandes surgelées cuites</t>
  </si>
  <si>
    <t>frozen cooked meats</t>
  </si>
  <si>
    <t>carnes cocidas congeladas</t>
  </si>
  <si>
    <r>
      <t>Fond (base)</t>
    </r>
    <r>
      <rPr>
        <sz val="11"/>
        <color theme="1"/>
        <rFont val="Calibri"/>
        <family val="2"/>
        <scheme val="minor"/>
      </rPr>
      <t xml:space="preserve"> : élément de base d’un gâteau.</t>
    </r>
  </si>
  <si>
    <r>
      <t>Base/shell</t>
    </r>
    <r>
      <rPr>
        <sz val="11"/>
        <color theme="1"/>
        <rFont val="Calibri"/>
        <family val="2"/>
        <scheme val="minor"/>
      </rPr>
      <t xml:space="preserve"> (foundation layer).</t>
    </r>
  </si>
  <si>
    <r>
      <t>Base/fondo</t>
    </r>
    <r>
      <rPr>
        <sz val="11"/>
        <color theme="1"/>
        <rFont val="Calibri"/>
        <family val="2"/>
        <scheme val="minor"/>
      </rPr>
      <t xml:space="preserve"> de un pastel.</t>
    </r>
  </si>
  <si>
    <t>Caraméliser</t>
  </si>
  <si>
    <t>caramelize</t>
  </si>
  <si>
    <t>caramelizar</t>
  </si>
  <si>
    <t>Sucre, surface de crème brûlée, légumes légèrement sucrés.</t>
  </si>
  <si>
    <t>Caramelize sugar, crème brûlée tops, or lightly sweet vegetables.</t>
  </si>
  <si>
    <t>Caramelizar azúcar, la superficie de la crème brûlée o verduras ligeramente dulces.</t>
  </si>
  <si>
    <t>cuire à feu vif</t>
  </si>
  <si>
    <t>cook over high heat</t>
  </si>
  <si>
    <t>cocinar a fuego fuerte</t>
  </si>
  <si>
    <t>Gratiner légèrement la surface</t>
  </si>
  <si>
    <t>Lightly gratinate the top</t>
  </si>
  <si>
    <t>Gratinar ligeramente la superficie</t>
  </si>
  <si>
    <t>râpeuse</t>
  </si>
  <si>
    <t>grating machine; rotary/drum grater</t>
  </si>
  <si>
    <t>Râpeuse : idem machine à râper; tambours, débit, sécurité.</t>
  </si>
  <si>
    <t>Grater (machine): as above; drums, throughput, safety.</t>
  </si>
  <si>
    <t>Ralladora: igual; tambores, caudal, seguridad.</t>
  </si>
  <si>
    <t>centraliser</t>
  </si>
  <si>
    <t>centralize; consolidate</t>
  </si>
  <si>
    <r>
      <t>centralizar</t>
    </r>
    <r>
      <rPr>
        <sz val="11"/>
        <color theme="5" tint="-0.499984740745262"/>
        <rFont val="Calibri"/>
        <family val="2"/>
        <scheme val="minor"/>
      </rPr>
      <t>; consolidar</t>
    </r>
  </si>
  <si>
    <t>Regrouper données/stocks/décisions.</t>
  </si>
  <si>
    <t>Consolidate/centralize data, inventory, decisions.</t>
  </si>
  <si>
    <t>Consolidar/centralizar datos, stocks y decisiones.</t>
  </si>
  <si>
    <t>viandes surgelées cuites — à trancher</t>
  </si>
  <si>
    <t>frozen cooked meats — to slice</t>
  </si>
  <si>
    <t>carnes cocidas congeladas — para rebanar</t>
  </si>
  <si>
    <r>
      <t>Foisonnement</t>
    </r>
    <r>
      <rPr>
        <sz val="11"/>
        <color theme="1"/>
        <rFont val="Calibri"/>
        <family val="2"/>
        <scheme val="minor"/>
      </rPr>
      <t xml:space="preserve"> : augmentation de volume par air/gaz.</t>
    </r>
  </si>
  <si>
    <r>
      <t>Overrun/foaming</t>
    </r>
    <r>
      <rPr>
        <sz val="11"/>
        <color theme="1"/>
        <rFont val="Calibri"/>
        <family val="2"/>
        <scheme val="minor"/>
      </rPr>
      <t xml:space="preserve"> (volume increase by air).</t>
    </r>
  </si>
  <si>
    <r>
      <t>Aumento de volumen/aireación</t>
    </r>
    <r>
      <rPr>
        <sz val="11"/>
        <color theme="1"/>
        <rFont val="Calibri"/>
        <family val="2"/>
        <scheme val="minor"/>
      </rPr>
      <t>.</t>
    </r>
  </si>
  <si>
    <t>Cerner</t>
  </si>
  <si>
    <t>score (make a shallow cut around)</t>
  </si>
  <si>
    <t>marcar/incidir con corte superficial</t>
  </si>
  <si>
    <t>Marrons/tomates : incision circulaire pour éviter l’éclatement.</t>
  </si>
  <si>
    <t>Score around chestnuts/tomatoes to prevent bursting.</t>
  </si>
  <si>
    <t>Hacer una incisión circular en castañas/tomates para evitar que revienten.</t>
  </si>
  <si>
    <t>cuire à four moyen</t>
  </si>
  <si>
    <t>bake in a moderate oven</t>
  </si>
  <si>
    <t>hornear a horno medio</t>
  </si>
  <si>
    <t>Respecter la procédure de fin de cuisson</t>
  </si>
  <si>
    <t>Follow end-of-cook SOP</t>
  </si>
  <si>
    <t>Respetar POE de fin de cocción</t>
  </si>
  <si>
    <t>rayonnages</t>
  </si>
  <si>
    <t>shelving; racking</t>
  </si>
  <si>
    <t>Rayonnages : inox/plast./alu; carga/nivel, anclajes, uso frío/húmedo.</t>
  </si>
  <si>
    <t>Racking: s/s/plastic/alu; load/level, anchors, cold/wet use.</t>
  </si>
  <si>
    <t>Estanterías: inox/plástico/aluminio; carga/nivel, anclajes, uso frío/húmedo.</t>
  </si>
  <si>
    <t>chercher</t>
  </si>
  <si>
    <t>search; look for</t>
  </si>
  <si>
    <r>
      <t>buscar</t>
    </r>
    <r>
      <rPr>
        <sz val="11"/>
        <color theme="5" tint="-0.499984740745262"/>
        <rFont val="Calibri"/>
        <family val="2"/>
        <scheme val="minor"/>
      </rPr>
      <t>; investigar</t>
    </r>
  </si>
  <si>
    <t>Trouver infos, pièces, causes (RCA).</t>
  </si>
  <si>
    <t>Find info, parts, causes (RCA = Root Cause Analysis).</t>
  </si>
  <si>
    <t>Buscar información, piezas, causas (ACR = Análisis de Causa Raíz).</t>
  </si>
  <si>
    <t>viandes surgelées cuites — tranchées</t>
  </si>
  <si>
    <t>frozen cooked meats — sliced</t>
  </si>
  <si>
    <t>carnes cocidas congeladas — rebanadas</t>
  </si>
  <si>
    <r>
      <t>Fraser</t>
    </r>
    <r>
      <rPr>
        <sz val="11"/>
        <color theme="1"/>
        <rFont val="Calibri"/>
        <family val="2"/>
        <scheme val="minor"/>
      </rPr>
      <t xml:space="preserve"> : écraser la pâte pour lier/homogénéiser (sur marbre/au batteur).</t>
    </r>
  </si>
  <si>
    <r>
      <t>Fraisage</t>
    </r>
    <r>
      <rPr>
        <sz val="11"/>
        <color theme="1"/>
        <rFont val="Calibri"/>
        <family val="2"/>
        <scheme val="minor"/>
      </rPr>
      <t>: smear dough to bind/homogenize.</t>
    </r>
  </si>
  <si>
    <r>
      <t>Fresado</t>
    </r>
    <r>
      <rPr>
        <sz val="11"/>
        <color theme="1"/>
        <rFont val="Calibri"/>
        <family val="2"/>
        <scheme val="minor"/>
      </rPr>
      <t>: empujar/untar la masa para ligar.</t>
    </r>
  </si>
  <si>
    <t>Chablonner</t>
  </si>
  <si>
    <t>seal with a thin coat of chocolate/cocoa butter</t>
  </si>
  <si>
    <t>impermeabilizar con chocolate (chablón)</t>
  </si>
  <si>
    <t>Protéger biscuit/fond de tarte de l’humidité.</t>
  </si>
  <si>
    <t>Seal biscuit/tart base to protect from moisture.</t>
  </si>
  <si>
    <t>Impermeabilizar un bizcocho/fondo de tarta contra la humedad.</t>
  </si>
  <si>
    <t>cuire à l’eau salée</t>
  </si>
  <si>
    <t>cook in salted water</t>
  </si>
  <si>
    <t>cocer en agua salada</t>
  </si>
  <si>
    <t>Stocker en armoire chaude et maintenir à ≥ 63 °C en attente de consommation</t>
  </si>
  <si>
    <t>Hold in hot cabinet at ≥ 63 °C until service</t>
  </si>
  <si>
    <t>Mantener en armario caliente a ≥ 63 °C hasta el servicio</t>
  </si>
  <si>
    <t>rolls (logistique)</t>
  </si>
  <si>
    <t>roll cage; roll container</t>
  </si>
  <si>
    <t>Rolls (log.) : carro jaula; formato 600×800 / 800×1200; capacidad, freno.</t>
  </si>
  <si>
    <t>Roll cage (logistics): 600×800 / 800×1200; capacity, brake.</t>
  </si>
  <si>
    <t>Carro jaula (logística): 600×800 / 800×1200; capacidad, freno.</t>
  </si>
  <si>
    <t>Ciseler</t>
  </si>
  <si>
    <t>Mince</t>
  </si>
  <si>
    <t>Ciselar</t>
  </si>
  <si>
    <t>Very fine mince for shallots/herbs; sharp knife.</t>
  </si>
  <si>
    <t>Picar finísimo chalotas/hierbas; cuchillo afilado.</t>
  </si>
  <si>
    <t>viandes / sous vide — à piécer avant cuisson courte</t>
  </si>
  <si>
    <t>vacuum-packed meats — portion before short cook</t>
  </si>
  <si>
    <t>carnes al vacío — porcionar antes de cocción corta</t>
  </si>
  <si>
    <t>changement chariots isothermes</t>
  </si>
  <si>
    <t>insulated trolley changeover</t>
  </si>
  <si>
    <t>cambio de carros isotermos</t>
  </si>
  <si>
    <t>Logistique froid/chaud en catering.</t>
  </si>
  <si>
    <t>Hot/cold logistics in catering with insulated trolleys.</t>
  </si>
  <si>
    <t>Logística caliente/fría en catering con carros isotermos.</t>
  </si>
  <si>
    <t>cuire à la vapeur</t>
  </si>
  <si>
    <t>cocinar al vapor</t>
  </si>
  <si>
    <t>rondeau</t>
  </si>
  <si>
    <t>rondeau; braiser pan (wide, shallow pot)</t>
  </si>
  <si>
    <t>Rondeau : cacerola baja ancha; fondo grueso, tapa; compatible horno/inducción.</t>
  </si>
  <si>
    <t>Rondeau: wide shallow pan; thick base, lid; oven/induction safe.</t>
  </si>
  <si>
    <t>Rondeau: cazo bajo ancho; fondo grueso, tapa; horno/inducción.</t>
  </si>
  <si>
    <t>classifier</t>
  </si>
  <si>
    <t>classify; sort</t>
  </si>
  <si>
    <r>
      <t>clasificar</t>
    </r>
    <r>
      <rPr>
        <sz val="11"/>
        <color theme="5" tint="-0.499984740745262"/>
        <rFont val="Calibri"/>
        <family val="2"/>
        <scheme val="minor"/>
      </rPr>
      <t>; categorizar</t>
    </r>
  </si>
  <si>
    <t>Ranger par familles, allergènes, risques.</t>
  </si>
  <si>
    <t>Classify by families, allergens, risks.</t>
  </si>
  <si>
    <t>Clasificar por familias, alérgenos y riesgos.</t>
  </si>
  <si>
    <t>viandes / sous vide — à piécer avant cuisson longue</t>
  </si>
  <si>
    <t>vacuum-packed meats — portion before long cook</t>
  </si>
  <si>
    <t>carnes al vacío — porcionar antes de cocción larga</t>
  </si>
  <si>
    <r>
      <t>Garnir</t>
    </r>
    <r>
      <rPr>
        <sz val="11"/>
        <color theme="1"/>
        <rFont val="Calibri"/>
        <family val="2"/>
        <scheme val="minor"/>
      </rPr>
      <t xml:space="preserve"> : remplir (fond, moule, poche).</t>
    </r>
  </si>
  <si>
    <r>
      <t>Fill</t>
    </r>
    <r>
      <rPr>
        <sz val="11"/>
        <color theme="1"/>
        <rFont val="Calibri"/>
        <family val="2"/>
        <scheme val="minor"/>
      </rPr>
      <t xml:space="preserve"> (shell, mold, piping bag).</t>
    </r>
  </si>
  <si>
    <r>
      <t>Rellenar</t>
    </r>
    <r>
      <rPr>
        <sz val="11"/>
        <color theme="1"/>
        <rFont val="Calibri"/>
        <family val="2"/>
        <scheme val="minor"/>
      </rPr>
      <t xml:space="preserve"> (base, molde, manga).</t>
    </r>
  </si>
  <si>
    <t>changement d’échelle</t>
  </si>
  <si>
    <t>scale up/down (recipe/batch)</t>
  </si>
  <si>
    <t>cambio de escala; ajustar gramajes</t>
  </si>
  <si>
    <t>Adapter quantités/temps/courbes à la taille de lot.</t>
  </si>
  <si>
    <t>Adjust quantities/times/temperature curves to batch size.</t>
  </si>
  <si>
    <t>Ajustar cantidades/tiempos/curvas de temperatura al tamaño de lote.</t>
  </si>
  <si>
    <t>cuire au four moyen</t>
  </si>
  <si>
    <t>Dresser et servir</t>
  </si>
  <si>
    <t>Plate and serve</t>
  </si>
  <si>
    <t>Emplatar y servir</t>
  </si>
  <si>
    <t>rouleau (à pâtisserie)</t>
  </si>
  <si>
    <t>rolling pin</t>
  </si>
  <si>
    <t>rodillo (de pastelería)</t>
  </si>
  <si>
    <t>Rouleau (pâtisserie) : bois/inox/PC; lisse/grad./bagues; long./Ø.</t>
  </si>
  <si>
    <t>Rolling pin: wood/s/s/PC; smooth/marked/rings; length/Ø.</t>
  </si>
  <si>
    <t>Rodillo: madera/inox/PC; liso/graduado/anillos; largo/Ø.</t>
  </si>
  <si>
    <t>commander</t>
  </si>
  <si>
    <t>order; place an order</t>
  </si>
  <si>
    <r>
      <t>pedir</t>
    </r>
    <r>
      <rPr>
        <sz val="11"/>
        <color theme="5" tint="-0.499984740745262"/>
        <rFont val="Calibri"/>
        <family val="2"/>
        <scheme val="minor"/>
      </rPr>
      <t>; hacer un pedido</t>
    </r>
  </si>
  <si>
    <t>Achats matières, consommables, pièces.</t>
  </si>
  <si>
    <t>Purchase raw materials, consumables, parts.</t>
  </si>
  <si>
    <t>Compras de materias primas, consumibles y repuestos.</t>
  </si>
  <si>
    <t>viandes / sous vide — à trancher sans cuisson</t>
  </si>
  <si>
    <t>vacuum-packed meats — to slice, no cook</t>
  </si>
  <si>
    <t>carnes al vacío — para rebanar, sin cocción</t>
  </si>
  <si>
    <r>
      <t>Glacer</t>
    </r>
    <r>
      <rPr>
        <sz val="11"/>
        <color theme="1"/>
        <rFont val="Calibri"/>
        <family val="2"/>
        <scheme val="minor"/>
      </rPr>
      <t xml:space="preserve"> : 1) recouvrir de glaçage; 2) faire briller (sirop/sucre glace au four).</t>
    </r>
  </si>
  <si>
    <r>
      <t>Glaze</t>
    </r>
    <r>
      <rPr>
        <sz val="11"/>
        <color theme="1"/>
        <rFont val="Calibri"/>
        <family val="2"/>
        <scheme val="minor"/>
      </rPr>
      <t>: 1) coat with icing; 2) make shiny (syrup/icing sugar).</t>
    </r>
  </si>
  <si>
    <r>
      <t>Glasear</t>
    </r>
    <r>
      <rPr>
        <sz val="11"/>
        <color theme="1"/>
        <rFont val="Calibri"/>
        <family val="2"/>
        <scheme val="minor"/>
      </rPr>
      <t xml:space="preserve"> / </t>
    </r>
    <r>
      <rPr>
        <b/>
        <sz val="11"/>
        <color theme="1"/>
        <rFont val="Calibri"/>
        <family val="2"/>
        <scheme val="minor"/>
      </rPr>
      <t>abrillantar</t>
    </r>
    <r>
      <rPr>
        <sz val="11"/>
        <color theme="1"/>
        <rFont val="Calibri"/>
        <family val="2"/>
        <scheme val="minor"/>
      </rPr>
      <t>.</t>
    </r>
  </si>
  <si>
    <t>changement de chariot</t>
  </si>
  <si>
    <t>trolley changeover</t>
  </si>
  <si>
    <t>cambio de carro</t>
  </si>
  <si>
    <t>Changement de support de cuisson/transport.</t>
  </si>
  <si>
    <t>Change the cooking/transport rack or support.</t>
  </si>
  <si>
    <t>Cambiar el soporte de cocción/transporte.</t>
  </si>
  <si>
    <t>cuire légèrement croquant / al dente</t>
  </si>
  <si>
    <t>cook until crisp-tender / al dente</t>
  </si>
  <si>
    <t>cocer al dente</t>
  </si>
  <si>
    <t>Détailler chaque bac GN en 12 portions</t>
  </si>
  <si>
    <t>Cut each GN pan into 12 portions</t>
  </si>
  <si>
    <t>Cortar cada cubeta GN en 12 raciones</t>
  </si>
  <si>
    <t>S</t>
  </si>
  <si>
    <t>compiler</t>
  </si>
  <si>
    <t>compile; aggregate</t>
  </si>
  <si>
    <r>
      <t>compilar</t>
    </r>
    <r>
      <rPr>
        <sz val="11"/>
        <color theme="5" tint="-0.499984740745262"/>
        <rFont val="Calibri"/>
        <family val="2"/>
        <scheme val="minor"/>
      </rPr>
      <t>; recopilar</t>
    </r>
  </si>
  <si>
    <t>Rassembler données/rapports/recettes.</t>
  </si>
  <si>
    <t>Compile/aggregate data, reports, recipes.</t>
  </si>
  <si>
    <t>Compilar/recopilar datos, informes y recetas.</t>
  </si>
  <si>
    <t>viandes / sous vide découpées — cuisson longue</t>
  </si>
  <si>
    <t>vacuum-packed meats, cut — for long cook</t>
  </si>
  <si>
    <t>carnes al vacío, cortadas — para cocción larga</t>
  </si>
  <si>
    <r>
      <t>Grainage</t>
    </r>
    <r>
      <rPr>
        <sz val="11"/>
        <color theme="1"/>
        <rFont val="Calibri"/>
        <family val="2"/>
        <scheme val="minor"/>
      </rPr>
      <t xml:space="preserve"> : mousse/émulsion qui tranche (sur-battu).</t>
    </r>
  </si>
  <si>
    <r>
      <t>Graining/splitting</t>
    </r>
    <r>
      <rPr>
        <sz val="11"/>
        <color theme="1"/>
        <rFont val="Calibri"/>
        <family val="2"/>
        <scheme val="minor"/>
      </rPr>
      <t xml:space="preserve"> (overbeaten foam/emulsion).</t>
    </r>
  </si>
  <si>
    <r>
      <t>Granulado/corte</t>
    </r>
    <r>
      <rPr>
        <sz val="11"/>
        <color theme="1"/>
        <rFont val="Calibri"/>
        <family val="2"/>
        <scheme val="minor"/>
      </rPr>
      <t xml:space="preserve"> de mousse/emulsión.</t>
    </r>
  </si>
  <si>
    <t>Changer</t>
  </si>
  <si>
    <t>change; replace; switch</t>
  </si>
  <si>
    <t>cambiar; sustituir</t>
  </si>
  <si>
    <t>Matériel, pièces, bacs, plans.</t>
  </si>
  <si>
    <t>Equipment, parts, bins, set-ups.</t>
  </si>
  <si>
    <t>Equipos, piezas, cubetas, configuraciones.</t>
  </si>
  <si>
    <t>cuire sans coloration</t>
  </si>
  <si>
    <t>cook without browning</t>
  </si>
  <si>
    <t>cocinar sin dorar</t>
  </si>
  <si>
    <t>sauteuse</t>
  </si>
  <si>
    <t>Sauteuse : parois droites/arrondies; Ø, épaisseur; four/inductions.</t>
  </si>
  <si>
    <t>Sauté pan/saucier: straight/rounded sides; dia/thickness; oven/induction.</t>
  </si>
  <si>
    <t>Salteadora/cazo salteador: bordes rectos/redondeados; Ø/espesor; horno/inducción.</t>
  </si>
  <si>
    <t>compter</t>
  </si>
  <si>
    <t>count; tally</t>
  </si>
  <si>
    <r>
      <t>contar</t>
    </r>
    <r>
      <rPr>
        <sz val="11"/>
        <color theme="5" tint="-0.499984740745262"/>
        <rFont val="Calibri"/>
        <family val="2"/>
        <scheme val="minor"/>
      </rPr>
      <t>; contabilizar</t>
    </r>
  </si>
  <si>
    <t>Inventaire, portions, unités produites.</t>
  </si>
  <si>
    <t>Inventory counts, portions, units produced.</t>
  </si>
  <si>
    <t>Inventario, raciones y unidades producidas.</t>
  </si>
  <si>
    <t>viandes / sous vide piécées — cuisson courte</t>
  </si>
  <si>
    <t>vacuum-packed meats, portioned — for short cook</t>
  </si>
  <si>
    <t>carnes al vacío, porcionadas — para cocción corta</t>
  </si>
  <si>
    <r>
      <t>Graisser</t>
    </r>
    <r>
      <rPr>
        <sz val="11"/>
        <color theme="1"/>
        <rFont val="Calibri"/>
        <family val="2"/>
        <scheme val="minor"/>
      </rPr>
      <t xml:space="preserve"> : enduire de matière grasse (moule/plaque).</t>
    </r>
  </si>
  <si>
    <r>
      <t>Grease</t>
    </r>
    <r>
      <rPr>
        <sz val="11"/>
        <color theme="1"/>
        <rFont val="Calibri"/>
        <family val="2"/>
        <scheme val="minor"/>
      </rPr>
      <t xml:space="preserve"> mold/tray.</t>
    </r>
  </si>
  <si>
    <r>
      <t>Engrasar</t>
    </r>
    <r>
      <rPr>
        <sz val="11"/>
        <color theme="1"/>
        <rFont val="Calibri"/>
        <family val="2"/>
        <scheme val="minor"/>
      </rPr>
      <t xml:space="preserve"> molde/bandeja.</t>
    </r>
  </si>
  <si>
    <t>chargement chariots isothermes</t>
  </si>
  <si>
    <t>load insulated trolleys</t>
  </si>
  <si>
    <t>carga de carros isotermos</t>
  </si>
  <si>
    <t>Mise en bacs/plateaux puis en chariots.</t>
  </si>
  <si>
    <t>Place in trays/bins, then load onto trolleys.</t>
  </si>
  <si>
    <t>Poner en bandejas/cubetas y cargar en carros.</t>
  </si>
  <si>
    <t>maintenir à température +63 °C</t>
  </si>
  <si>
    <t>hold at +63 °C</t>
  </si>
  <si>
    <t>mantener a +63 °C</t>
  </si>
  <si>
    <t xml:space="preserve">❽ </t>
  </si>
  <si>
    <t>Commentaires</t>
  </si>
  <si>
    <t>Comments</t>
  </si>
  <si>
    <t>Comentarios</t>
  </si>
  <si>
    <t>seau plastique</t>
  </si>
  <si>
    <t>plastic pail/bucket (food-grade)</t>
  </si>
  <si>
    <t>cubo/balde de plástico (grado alimentario)</t>
  </si>
  <si>
    <t>Seau plastique : grado alimentario; tapa/asa; volumen, códigos color.</t>
  </si>
  <si>
    <t>Plastic pail: food-grade; lid/handle; volume, color coding.</t>
  </si>
  <si>
    <t>Cubo plástico: grado alimentario; tapa/asa; volumen, códigos color.</t>
  </si>
  <si>
    <t>concevoir</t>
  </si>
  <si>
    <t>design; conceive</t>
  </si>
  <si>
    <r>
      <t>diseñar</t>
    </r>
    <r>
      <rPr>
        <sz val="11"/>
        <color theme="5" tint="-0.499984740745262"/>
        <rFont val="Calibri"/>
        <family val="2"/>
        <scheme val="minor"/>
      </rPr>
      <t>; concebir</t>
    </r>
  </si>
  <si>
    <t>Recette/process/outil/implantation.</t>
  </si>
  <si>
    <t>Design a recipe/process/tool/layout.</t>
  </si>
  <si>
    <t>Diseñar una receta/proceso/herramienta/implantación.</t>
  </si>
  <si>
    <t>viandes / sous vide piécées — cuisson longue</t>
  </si>
  <si>
    <t>vacuum-packed meats, portioned — for long cook</t>
  </si>
  <si>
    <t>carnes al vacío, porcionadas — para cocción larga</t>
  </si>
  <si>
    <r>
      <t>Imbiber :</t>
    </r>
    <r>
      <rPr>
        <sz val="11"/>
        <color theme="1"/>
        <rFont val="Calibri"/>
        <family val="2"/>
        <scheme val="minor"/>
      </rPr>
      <t xml:space="preserve"> faire pénétrer un sirop/alcool dans une préparation pour l’humecter ou la parfumer.</t>
    </r>
  </si>
  <si>
    <t>Soak/soak with syrup to moisten or flavor a preparation.</t>
  </si>
  <si>
    <t>Calar/emborrachar con almíbar/licor para humedecer o perfumar una preparación.</t>
  </si>
  <si>
    <t>chargement du camion</t>
  </si>
  <si>
    <t>load the truck</t>
  </si>
  <si>
    <t>carga del camión</t>
  </si>
  <si>
    <t>Expédition/distribution.</t>
  </si>
  <si>
    <t>Shipping/distribution.</t>
  </si>
  <si>
    <t>Expedición/distribución.</t>
  </si>
  <si>
    <t>maintenir au bain-marie à ≥ 65 °C</t>
  </si>
  <si>
    <t>hold in a bain-marie at ≥ 65 °C</t>
  </si>
  <si>
    <t>mantener al baño maría a ≥ 65 °C</t>
  </si>
  <si>
    <t>La brandade de morue n’est constituée que de poisson</t>
  </si>
  <si>
    <t>Brandade is fish-only</t>
  </si>
  <si>
    <t>La brandada auténtica es solo pescado</t>
  </si>
  <si>
    <t>socles rouleurs</t>
  </si>
  <si>
    <t>dolly; rolling base</t>
  </si>
  <si>
    <t>Socles rouleurs : dolly/base rodante; carga (kg), ruedas, frenos.</t>
  </si>
  <si>
    <t>Dollies: rolling bases; load (kg), wheels, brakes.</t>
  </si>
  <si>
    <t>Bases rodantes: carga (kg), ruedas, frenos.</t>
  </si>
  <si>
    <t>conduire</t>
  </si>
  <si>
    <t>drive; operate; lead</t>
  </si>
  <si>
    <r>
      <t>conducir</t>
    </r>
    <r>
      <rPr>
        <sz val="11"/>
        <color theme="5" tint="-0.499984740745262"/>
        <rFont val="Calibri"/>
        <family val="2"/>
        <scheme val="minor"/>
      </rPr>
      <t>; operar; dirigir</t>
    </r>
  </si>
  <si>
    <t>Véhicule/machine/équipe/projet.</t>
  </si>
  <si>
    <t>Drive/operate/lead/manage (vehicle/machine/team/project).</t>
  </si>
  <si>
    <t>Conducir/operar/dirigir/gestionar (vehículo/máquina/equipo/proyecto).</t>
  </si>
  <si>
    <r>
      <t>Infuser :</t>
    </r>
    <r>
      <rPr>
        <sz val="11"/>
        <color theme="1"/>
        <rFont val="Calibri"/>
        <family val="2"/>
        <scheme val="minor"/>
      </rPr>
      <t xml:space="preserve"> placer une substance aromatique dans un liquide chaud, à couvert et pendant un temps déterminé, pour en extraire l’arôme.</t>
    </r>
  </si>
  <si>
    <t>Infuse: steep an aromatic in preheated liquid, covered, for a set time to extract flavor.</t>
  </si>
  <si>
    <t>Infusionar: dejar en reposo un aromático en líquido caliente, tapado, durante un tiempo definido para extraer el aroma.</t>
  </si>
  <si>
    <t>chargement du four</t>
  </si>
  <si>
    <t>load the oven</t>
  </si>
  <si>
    <t>carga del horno</t>
  </si>
  <si>
    <t>Enfournement.</t>
  </si>
  <si>
    <t>Load into the oven.</t>
  </si>
  <si>
    <t>Meter al horno.</t>
  </si>
  <si>
    <t>maintenir au chaud à ≥ 63 °C</t>
  </si>
  <si>
    <t>hold hot at ≥ 63 °C</t>
  </si>
  <si>
    <t>mantener en caliente a ≥ 63 °C</t>
  </si>
  <si>
    <t>L’ajout de purée de pomme de terre n’est pas une brandade au sens strict</t>
  </si>
  <si>
    <t>Adding potato purée = not strict brandade</t>
  </si>
  <si>
    <t>Con puré de patata no es brandada estricta</t>
  </si>
  <si>
    <t>sonde (température)</t>
  </si>
  <si>
    <t>probe thermometer; core probe; oil probe</t>
  </si>
  <si>
    <t>Sonde : T° −50/+300 °C; núcleo/aceite/aire; IR sin contacto; registros.</t>
  </si>
  <si>
    <t>Probe: −50/+300 °C; core/oil/air; IR non-contact; logging.</t>
  </si>
  <si>
    <t>Sonda: −50/+300 °C; corazón/aceite/aire; IR sin contacto; registros.</t>
  </si>
  <si>
    <t>consigner</t>
  </si>
  <si>
    <t>log; record; write down</t>
  </si>
  <si>
    <r>
      <t>consignar</t>
    </r>
    <r>
      <rPr>
        <sz val="11"/>
        <color theme="5" tint="-0.499984740745262"/>
        <rFont val="Calibri"/>
        <family val="2"/>
        <scheme val="minor"/>
      </rPr>
      <t>; registrar</t>
    </r>
  </si>
  <si>
    <t>Traçabilité, températures, incidents.</t>
  </si>
  <si>
    <t>Record/log traceability, temperatures, incidents.</t>
  </si>
  <si>
    <t>Registrar/trazar temperaturas e incidencias.</t>
  </si>
  <si>
    <t>chargt. chariots collec.</t>
  </si>
  <si>
    <t>load collective-service trolleys</t>
  </si>
  <si>
    <t>carga de carros colectivos</t>
  </si>
  <si>
    <t>Pour self/catering en série.</t>
  </si>
  <si>
    <t>For self-service/large-batch catering.</t>
  </si>
  <si>
    <t>Para autoservicio/catering en serie.</t>
  </si>
  <si>
    <t>maintenir au froid</t>
  </si>
  <si>
    <t>keep refrigerated</t>
  </si>
  <si>
    <t>mantener en frío</t>
  </si>
  <si>
    <t>Accompagnements possibles : pommes anglaises / en robe des champs / purée à l’huile d’olive / croûtons frits</t>
  </si>
  <si>
    <t>Sides: English potatoes / jacket potatoes / olive-oil mash / fried croutons</t>
  </si>
  <si>
    <t>Guarniciones: patatas a la inglesa / asadas con piel / puré con aceite de oliva / picatostes fritos</t>
  </si>
  <si>
    <t>T</t>
  </si>
  <si>
    <t>constituer</t>
  </si>
  <si>
    <t>constitute; form; make up</t>
  </si>
  <si>
    <r>
      <t>constituir</t>
    </r>
    <r>
      <rPr>
        <sz val="11"/>
        <color theme="5" tint="-0.499984740745262"/>
        <rFont val="Calibri"/>
        <family val="2"/>
        <scheme val="minor"/>
      </rPr>
      <t>; conformar</t>
    </r>
  </si>
  <si>
    <t>Former un dossier/lot/équipe.</t>
  </si>
  <si>
    <t>Build a file/batch/team.</t>
  </si>
  <si>
    <t>Formar un expediente/lote/equipo.</t>
  </si>
  <si>
    <r>
      <t>Lisser</t>
    </r>
    <r>
      <rPr>
        <sz val="11"/>
        <color theme="1"/>
        <rFont val="Calibri"/>
        <family val="2"/>
        <scheme val="minor"/>
      </rPr>
      <t xml:space="preserve"> : homogénéiser, rendre lisse.</t>
    </r>
  </si>
  <si>
    <r>
      <t>Smooth out</t>
    </r>
    <r>
      <rPr>
        <sz val="11"/>
        <color theme="1"/>
        <rFont val="Calibri"/>
        <family val="2"/>
        <scheme val="minor"/>
      </rPr>
      <t xml:space="preserve"> / </t>
    </r>
    <r>
      <rPr>
        <b/>
        <sz val="11"/>
        <color theme="1"/>
        <rFont val="Calibri"/>
        <family val="2"/>
        <scheme val="minor"/>
      </rPr>
      <t>make homogeneous</t>
    </r>
    <r>
      <rPr>
        <sz val="11"/>
        <color theme="1"/>
        <rFont val="Calibri"/>
        <family val="2"/>
        <scheme val="minor"/>
      </rPr>
      <t>.</t>
    </r>
  </si>
  <si>
    <r>
      <t>Alisar</t>
    </r>
    <r>
      <rPr>
        <sz val="11"/>
        <color theme="1"/>
        <rFont val="Calibri"/>
        <family val="2"/>
        <scheme val="minor"/>
      </rPr>
      <t xml:space="preserve"> / </t>
    </r>
    <r>
      <rPr>
        <b/>
        <sz val="11"/>
        <color theme="1"/>
        <rFont val="Calibri"/>
        <family val="2"/>
        <scheme val="minor"/>
      </rPr>
      <t>homogeneizar</t>
    </r>
    <r>
      <rPr>
        <sz val="11"/>
        <color theme="1"/>
        <rFont val="Calibri"/>
        <family val="2"/>
        <scheme val="minor"/>
      </rPr>
      <t>.</t>
    </r>
  </si>
  <si>
    <t>chargt. chariots ind.</t>
  </si>
  <si>
    <t>load individual-service trolleys</t>
  </si>
  <si>
    <t>carga de carros individuales</t>
  </si>
  <si>
    <t>Plateaux/portions individuelles.</t>
  </si>
  <si>
    <t>Trays/individual portions.</t>
  </si>
  <si>
    <t>Bandejas/porciones individuales.</t>
  </si>
  <si>
    <t>maintenir au froid à ≤ +3 °C</t>
  </si>
  <si>
    <t>keep cold at ≤ +3 °C</t>
  </si>
  <si>
    <t>mantener en frío a ≤ +3 °C</t>
  </si>
  <si>
    <t>table chaude</t>
  </si>
  <si>
    <t>hot holding table; hot well; heated service table</t>
  </si>
  <si>
    <t>Table chaude : maintien ≥63 °C; bacs GN; eau/résistances; couvercles.</t>
  </si>
  <si>
    <t>Hot holding table: ≥63 °C; GN pans; water/elements; lids.</t>
  </si>
  <si>
    <t>Mesa caliente: ≥63 °C; cubetas GN; agua/resistencias; tapas.</t>
  </si>
  <si>
    <t>construire</t>
  </si>
  <si>
    <r>
      <t>construir</t>
    </r>
    <r>
      <rPr>
        <sz val="11"/>
        <color theme="5" tint="-0.499984740745262"/>
        <rFont val="Calibri"/>
        <family val="2"/>
        <scheme val="minor"/>
      </rPr>
      <t>; montar</t>
    </r>
  </si>
  <si>
    <t>Lignes, postes, supports, structures.</t>
  </si>
  <si>
    <t>Build lines, stations, fixtures, structures.</t>
  </si>
  <si>
    <t>Construir líneas, puestos, soportes y estructuras.</t>
  </si>
  <si>
    <r>
      <t>Lustrer</t>
    </r>
    <r>
      <rPr>
        <sz val="11"/>
        <color theme="1"/>
        <rFont val="Calibri"/>
        <family val="2"/>
        <scheme val="minor"/>
      </rPr>
      <t xml:space="preserve"> : napper de gelée/beurre fondu pour brillance.</t>
    </r>
  </si>
  <si>
    <r>
      <t>Lacquer/brush</t>
    </r>
    <r>
      <rPr>
        <sz val="11"/>
        <color theme="1"/>
        <rFont val="Calibri"/>
        <family val="2"/>
        <scheme val="minor"/>
      </rPr>
      <t xml:space="preserve"> with jelly/clarified butter.</t>
    </r>
  </si>
  <si>
    <r>
      <t>Abrillantar</t>
    </r>
    <r>
      <rPr>
        <sz val="11"/>
        <color theme="1"/>
        <rFont val="Calibri"/>
        <family val="2"/>
        <scheme val="minor"/>
      </rPr>
      <t xml:space="preserve"> con gelatina/mantequilla.</t>
    </r>
  </si>
  <si>
    <t>Châtrer</t>
  </si>
  <si>
    <t>devein (crayfish/shrimp); remove garlic germ</t>
  </si>
  <si>
    <t>desvenar (camarón); quitar germen del ajo</t>
  </si>
  <si>
    <t>Écrevisses/crevettes, ou « dégermer » l’ail.</t>
  </si>
  <si>
    <t>Devein crayfish/shrimp, or remove the germ from garlic.</t>
  </si>
  <si>
    <t>Desvenar cangrejos/camarones, o quitar el germen del ajo.</t>
  </si>
  <si>
    <t>passer au four très chaud</t>
  </si>
  <si>
    <t>flash in a very hot oven</t>
  </si>
  <si>
    <t>dar un golpe de horno muy caliente</t>
  </si>
  <si>
    <t>Méthode citée à titre d’exemple</t>
  </si>
  <si>
    <t>Method given as an example</t>
  </si>
  <si>
    <t>Método a modo de ejemplo</t>
  </si>
  <si>
    <t>table de travail</t>
  </si>
  <si>
    <t>work table; prep table (stainless)</t>
  </si>
  <si>
    <t>Table de travail : inox; rebord/estante; ruedas opc.; dimensiones/carga.</t>
  </si>
  <si>
    <t>Work/prep table: stainless; backsplash/undershelf; casters opt.; size/load.</t>
  </si>
  <si>
    <t>Mesa de trabajo: inox; peto/estante; ruedas opc.; tamaño/carga.</t>
  </si>
  <si>
    <t>contrôler</t>
  </si>
  <si>
    <t>check; inspect; audit</t>
  </si>
  <si>
    <r>
      <t>controlar</t>
    </r>
    <r>
      <rPr>
        <sz val="11"/>
        <color theme="5" tint="-0.499984740745262"/>
        <rFont val="Calibri"/>
        <family val="2"/>
        <scheme val="minor"/>
      </rPr>
      <t>; verificar</t>
    </r>
  </si>
  <si>
    <t>Qualité, conformité, T°, poids, étiquettes.</t>
  </si>
  <si>
    <t>Check quality, compliance, temp, weight, labels.</t>
  </si>
  <si>
    <t>Verificar calidad, conformidad, T°, peso y etiquetas.</t>
  </si>
  <si>
    <t>Chauffer</t>
  </si>
  <si>
    <t>heat; warm</t>
  </si>
  <si>
    <t>calentar</t>
  </si>
  <si>
    <t>Monter en T° un appareil, sauce, assiette.</t>
  </si>
  <si>
    <t>Heat up a mixture, sauce, or plate.</t>
  </si>
  <si>
    <t>Calentar una preparación, salsa o plato.</t>
  </si>
  <si>
    <t>piquer la sonde à cœur</t>
  </si>
  <si>
    <t>insert the probe to the core</t>
  </si>
  <si>
    <t>introducir la sonda al corazón</t>
  </si>
  <si>
    <r>
      <t xml:space="preserve">Réf. conseillée : Grossmann &amp; Le Franc, </t>
    </r>
    <r>
      <rPr>
        <b/>
        <i/>
        <sz val="12"/>
        <color theme="1"/>
        <rFont val="Calibri"/>
        <family val="2"/>
        <scheme val="minor"/>
      </rPr>
      <t>La cuisine de collectivité</t>
    </r>
    <r>
      <rPr>
        <b/>
        <sz val="12"/>
        <color theme="1"/>
        <rFont val="Calibri"/>
        <family val="2"/>
        <scheme val="minor"/>
      </rPr>
      <t>, BPI, 2006</t>
    </r>
  </si>
  <si>
    <r>
      <t xml:space="preserve">Suggested ref.: Grossmann &amp; Le Franc, </t>
    </r>
    <r>
      <rPr>
        <i/>
        <sz val="11"/>
        <color theme="1"/>
        <rFont val="Calibri"/>
        <family val="2"/>
        <scheme val="minor"/>
      </rPr>
      <t>La cuisine de collectivité</t>
    </r>
    <r>
      <rPr>
        <sz val="11"/>
        <color theme="1"/>
        <rFont val="Calibri"/>
        <family val="2"/>
        <scheme val="minor"/>
      </rPr>
      <t>, BPI, 2006</t>
    </r>
  </si>
  <si>
    <r>
      <t xml:space="preserve">Referencia sugerida: Grossmann &amp; Le Franc, </t>
    </r>
    <r>
      <rPr>
        <i/>
        <sz val="11"/>
        <color theme="1"/>
        <rFont val="Calibri"/>
        <family val="2"/>
        <scheme val="minor"/>
      </rPr>
      <t>La cuisine de colectividades</t>
    </r>
    <r>
      <rPr>
        <sz val="11"/>
        <color theme="1"/>
        <rFont val="Calibri"/>
        <family val="2"/>
        <scheme val="minor"/>
      </rPr>
      <t>, BPI, 2006</t>
    </r>
  </si>
  <si>
    <t>thermoscelleuse (barquettes)</t>
  </si>
  <si>
    <t>tray sealer; heat sealer; lidding machine</t>
  </si>
  <si>
    <t>termoselladora (de barquetas)</t>
  </si>
  <si>
    <t>Thermoscelleuse : film PP/PET/alu; moldes; vacío/ATM; T°/tiempo/presión; lot/DLC.</t>
  </si>
  <si>
    <t>Tray sealer: PP/PET/alu film; dies; vacuum/MAP; T°/time/pressure; lot/UBD.</t>
  </si>
  <si>
    <t>Termoselladora: film PP/PET/alu; moldes; vacío/ATM; T°/tiempo/presión; lote/caducidad.</t>
  </si>
  <si>
    <t>créer</t>
  </si>
  <si>
    <t>create; develop</t>
  </si>
  <si>
    <r>
      <t>crear</t>
    </r>
    <r>
      <rPr>
        <sz val="11"/>
        <color theme="5" tint="-0.499984740745262"/>
        <rFont val="Calibri"/>
        <family val="2"/>
        <scheme val="minor"/>
      </rPr>
      <t>; desarrollar</t>
    </r>
  </si>
  <si>
    <t>Nouvelle recette, visuel, procédure.</t>
  </si>
  <si>
    <t>Create a new recipe, visual, procedure.</t>
  </si>
  <si>
    <t>Crear una nueva receta, visual, procedimiento.</t>
  </si>
  <si>
    <r>
      <t>Macérer :</t>
    </r>
    <r>
      <rPr>
        <sz val="11"/>
        <color theme="1"/>
        <rFont val="Calibri"/>
        <family val="2"/>
        <scheme val="minor"/>
      </rPr>
      <t xml:space="preserve"> tremper à froid pour extraire/parfumer/conserver.</t>
    </r>
  </si>
  <si>
    <t>Macerate: cold-soak to extract/flavor/preserve.</t>
  </si>
  <si>
    <t>Macerar: macerar en frío para extraer/aromatizar/conservar.</t>
  </si>
  <si>
    <t>Chaufroiter</t>
  </si>
  <si>
    <t>coat with chaud-froid sauce</t>
  </si>
  <si>
    <t>napar con salsa chaud-froid</t>
  </si>
  <si>
    <t>Finition froide brillante sur viandes/poissons.</t>
  </si>
  <si>
    <t>Glossy cold finish on meats/fish (chaud-froid style).</t>
  </si>
  <si>
    <t>Acabado frío y brillante en carnes/pescados (estilo chaud-froid).</t>
  </si>
  <si>
    <t>préchauffer le four</t>
  </si>
  <si>
    <t>preheat the oven</t>
  </si>
  <si>
    <t>precalentar el horno</t>
  </si>
  <si>
    <t>trancheur (charcuterie)</t>
  </si>
  <si>
    <t>slicer; deli meat slicer</t>
  </si>
  <si>
    <t>Trancheur : Ø cuchilla, espesor, afilador, seguridad; fácil limpieza.</t>
  </si>
  <si>
    <t>Slicer: blade Ø, thickness, sharpener, safety; easy cleaning.</t>
  </si>
  <si>
    <t>Cortadora: Ø de hoja, grosor, afilador, seguridad; limpieza fácil.</t>
  </si>
  <si>
    <r>
      <t>Marbrer :</t>
    </r>
    <r>
      <rPr>
        <sz val="11"/>
        <color theme="1"/>
        <rFont val="Calibri"/>
        <family val="2"/>
        <scheme val="minor"/>
      </rPr>
      <t xml:space="preserve"> réaliser des motifs marbrés sur des gâteaux glacés (fondant, nappage) pour améliorer la présentation.</t>
    </r>
  </si>
  <si>
    <t>Marble: draw marbled patterns on iced cakes (fondant, glaze) to enhance presentation.</t>
  </si>
  <si>
    <t>Marmolear: trazar vetas/motivos marmolados en pasteles glaseados (fondant, napado) para mejorar la presentación.</t>
  </si>
  <si>
    <t>Chemiser</t>
  </si>
  <si>
    <t>line (a mold/tin)</t>
  </si>
  <si>
    <t>forrar (un molde)</t>
  </si>
  <si>
    <t>Avec beurre, papier, biscuit, gelée, etc.</t>
  </si>
  <si>
    <t>Line/coat a mold with butter, paper, biscuit, jelly, etc.</t>
  </si>
  <si>
    <t>Forrar/recubrir un molde con mantequilla, papel, bizcocho, gelatina, etc.</t>
  </si>
  <si>
    <t>sonder/sonde à cœur</t>
  </si>
  <si>
    <t>check core temperature with a probe</t>
  </si>
  <si>
    <t>medir la temperatura al corazón con sonda</t>
  </si>
  <si>
    <t>décentraliser</t>
  </si>
  <si>
    <t>decentralize; devolve</t>
  </si>
  <si>
    <r>
      <t>descentralizar</t>
    </r>
    <r>
      <rPr>
        <sz val="11"/>
        <color theme="5" tint="-0.499984740745262"/>
        <rFont val="Calibri"/>
        <family val="2"/>
        <scheme val="minor"/>
      </rPr>
      <t>; delegar competencias</t>
    </r>
  </si>
  <si>
    <t>Répartir décisions/ressources sur le terrain (sites/équipes), moins de dépendance au siège.</t>
  </si>
  <si>
    <t>Decentralize decisions/resources to the field (sites/teams), reducing HQ dependency.</t>
  </si>
  <si>
    <t>Descentralizar decisiones/recursos al terreno (sitios/equipos), reduciendo la dependencia de la central.</t>
  </si>
  <si>
    <r>
      <t>Masquer</t>
    </r>
    <r>
      <rPr>
        <sz val="11"/>
        <color theme="1"/>
        <rFont val="Calibri"/>
        <family val="2"/>
        <scheme val="minor"/>
      </rPr>
      <t xml:space="preserve"> : recouvrir d’une fine couche (crème/sauce/gelée).</t>
    </r>
  </si>
  <si>
    <t>Mask/coat with a thin layer (cream/sauce/jelly).</t>
  </si>
  <si>
    <t>Enmascarar/napar con una capa fina (crema/salsa/gelatina).</t>
  </si>
  <si>
    <t>Chevaucher</t>
  </si>
  <si>
    <t>overlap (slices)</t>
  </si>
  <si>
    <t>solapar/superponer (lonchas)</t>
  </si>
  <si>
    <t>Dressage : tranches partiellement superposées.</t>
  </si>
  <si>
    <t>Plating: overlap slices partially.</t>
  </si>
  <si>
    <t>Emplatado: solapar las lonchas parcialmente.</t>
  </si>
  <si>
    <t>documenter</t>
  </si>
  <si>
    <t>document; write up; record</t>
  </si>
  <si>
    <r>
      <t>documentar</t>
    </r>
    <r>
      <rPr>
        <sz val="11"/>
        <color theme="5" tint="-0.499984740745262"/>
        <rFont val="Calibri"/>
        <family val="2"/>
        <scheme val="minor"/>
      </rPr>
      <t>; registrar</t>
    </r>
  </si>
  <si>
    <t>Rédiger une preuve/fiche (procédure, contrôle, incident) pour traçabilité et audits.</t>
  </si>
  <si>
    <t>Document evidence/record (procedure, check, incident) for traceability and audits.</t>
  </si>
  <si>
    <t>Documentar una prueba/ficha (procedimiento, control, incidente) para trazabilidad y auditorías.</t>
  </si>
  <si>
    <r>
      <t>Monter</t>
    </r>
    <r>
      <rPr>
        <sz val="11"/>
        <color theme="1"/>
        <rFont val="Calibri"/>
        <family val="2"/>
        <scheme val="minor"/>
      </rPr>
      <t xml:space="preserve"> : a) </t>
    </r>
    <r>
      <rPr>
        <b/>
        <sz val="11"/>
        <color theme="1"/>
        <rFont val="Calibri"/>
        <family val="2"/>
        <scheme val="minor"/>
      </rPr>
      <t>au fouet</t>
    </r>
    <r>
      <rPr>
        <sz val="11"/>
        <color theme="1"/>
        <rFont val="Calibri"/>
        <family val="2"/>
        <scheme val="minor"/>
      </rPr>
      <t xml:space="preserve"> : augmenter le volume (blancs, crème) ; b) </t>
    </r>
    <r>
      <rPr>
        <b/>
        <sz val="11"/>
        <color theme="1"/>
        <rFont val="Calibri"/>
        <family val="2"/>
        <scheme val="minor"/>
      </rPr>
      <t>assembler</t>
    </r>
    <r>
      <rPr>
        <sz val="11"/>
        <color theme="1"/>
        <rFont val="Calibri"/>
        <family val="2"/>
        <scheme val="minor"/>
      </rPr>
      <t xml:space="preserve"> un entremets/pièce.</t>
    </r>
  </si>
  <si>
    <r>
      <t>Whip</t>
    </r>
    <r>
      <rPr>
        <sz val="11"/>
        <color theme="1"/>
        <rFont val="Calibri"/>
        <family val="2"/>
        <scheme val="minor"/>
      </rPr>
      <t xml:space="preserve"> to volume; </t>
    </r>
    <r>
      <rPr>
        <b/>
        <sz val="11"/>
        <color theme="1"/>
        <rFont val="Calibri"/>
        <family val="2"/>
        <scheme val="minor"/>
      </rPr>
      <t>assemble</t>
    </r>
    <r>
      <rPr>
        <sz val="11"/>
        <color theme="1"/>
        <rFont val="Calibri"/>
        <family val="2"/>
        <scheme val="minor"/>
      </rPr>
      <t xml:space="preserve"> a cake/entremets.</t>
    </r>
  </si>
  <si>
    <r>
      <t>Montar</t>
    </r>
    <r>
      <rPr>
        <sz val="11"/>
        <color theme="1"/>
        <rFont val="Calibri"/>
        <family val="2"/>
        <scheme val="minor"/>
      </rPr>
      <t xml:space="preserve"> (batir a volumen); </t>
    </r>
    <r>
      <rPr>
        <b/>
        <sz val="11"/>
        <color theme="1"/>
        <rFont val="Calibri"/>
        <family val="2"/>
        <scheme val="minor"/>
      </rPr>
      <t>montar</t>
    </r>
    <r>
      <rPr>
        <sz val="11"/>
        <color theme="1"/>
        <rFont val="Calibri"/>
        <family val="2"/>
        <scheme val="minor"/>
      </rPr>
      <t xml:space="preserve"> un postre/pieza.</t>
    </r>
  </si>
  <si>
    <t>Chiqueter</t>
  </si>
  <si>
    <t>crimp/scallop (edge)</t>
  </si>
  <si>
    <t>festonear/puntear el borde</t>
  </si>
  <si>
    <t>Bord de tourte/tarte marqué au couteau.</t>
  </si>
  <si>
    <t>Crimp/scallop the tart/pie edge with a knife.</t>
  </si>
  <si>
    <t>Festonear el borde de la tarta/empanada con cuchillo.</t>
  </si>
  <si>
    <t>Techniques de sauce &amp; de cuisson</t>
  </si>
  <si>
    <r>
      <t>Mouler</t>
    </r>
    <r>
      <rPr>
        <sz val="11"/>
        <color theme="1"/>
        <rFont val="Calibri"/>
        <family val="2"/>
        <scheme val="minor"/>
      </rPr>
      <t xml:space="preserve"> : verser en moule pour prendre la forme.</t>
    </r>
  </si>
  <si>
    <r>
      <t>Mold</t>
    </r>
    <r>
      <rPr>
        <sz val="11"/>
        <color theme="1"/>
        <rFont val="Calibri"/>
        <family val="2"/>
        <scheme val="minor"/>
      </rPr>
      <t xml:space="preserve"> (pour into a mold).</t>
    </r>
  </si>
  <si>
    <r>
      <t>Moldelar/Verter en molde</t>
    </r>
    <r>
      <rPr>
        <sz val="11"/>
        <color theme="1"/>
        <rFont val="Calibri"/>
        <family val="2"/>
        <scheme val="minor"/>
      </rPr>
      <t>.</t>
    </r>
  </si>
  <si>
    <t>finely chop; score (skin)</t>
  </si>
  <si>
    <t>picar fino/ciselar; hacer incisiones</t>
  </si>
  <si>
    <t>Échalote « ciselée » / inciser peau de poisson.</t>
  </si>
  <si>
    <t>Finely slice shallots / score fish skin.</t>
  </si>
  <si>
    <t>Picar fino la chalota / hacer incisiones en la piel del pescado.</t>
  </si>
  <si>
    <t>adjoindre/ajouter de la crème</t>
  </si>
  <si>
    <t>add cream</t>
  </si>
  <si>
    <t>añadir nata</t>
  </si>
  <si>
    <t>écouler</t>
  </si>
  <si>
    <t>sell off; dispose of; drain</t>
  </si>
  <si>
    <r>
      <t>liquidar</t>
    </r>
    <r>
      <rPr>
        <sz val="11"/>
        <color theme="5" tint="-0.499984740745262"/>
        <rFont val="Calibri"/>
        <family val="2"/>
        <scheme val="minor"/>
      </rPr>
      <t xml:space="preserve">; </t>
    </r>
    <r>
      <rPr>
        <b/>
        <sz val="11"/>
        <color theme="5" tint="-0.499984740745262"/>
        <rFont val="Calibri"/>
        <family val="2"/>
        <scheme val="minor"/>
      </rPr>
      <t>dar salida</t>
    </r>
    <r>
      <rPr>
        <sz val="11"/>
        <color theme="5" tint="-0.499984740745262"/>
        <rFont val="Calibri"/>
        <family val="2"/>
        <scheme val="minor"/>
      </rPr>
      <t>; drenar</t>
    </r>
  </si>
  <si>
    <t>Écouler un stock (fin de série/DLC courte) ou évacuer un liquide.</t>
  </si>
  <si>
    <t>Sell off a stock (end of line/short shelf life) or drain a liquid.</t>
  </si>
  <si>
    <t>Liquidar un stock (fin de serie/caducidad corta) o drenar un líquido.</t>
  </si>
  <si>
    <t>N</t>
  </si>
  <si>
    <t>Citronner</t>
  </si>
  <si>
    <t>acidulate with lemon</t>
  </si>
  <si>
    <t>acidular con limón</t>
  </si>
  <si>
    <t>Éviter l’oxydation (fruits, avocats, artichauts).</t>
  </si>
  <si>
    <t>Prevent oxidation (fruits, avocados, artichokes).</t>
  </si>
  <si>
    <t>Evitar la oxidación (frutas, aguacates, alcachofas).</t>
  </si>
  <si>
    <t>ajouter dans l’ordre les autres éléments</t>
  </si>
  <si>
    <t>add the remaining ingredients in order</t>
  </si>
  <si>
    <t>añadir el resto de elementos en orden</t>
  </si>
  <si>
    <t>écrire</t>
  </si>
  <si>
    <t>write; draft</t>
  </si>
  <si>
    <r>
      <t>escribir</t>
    </r>
    <r>
      <rPr>
        <sz val="11"/>
        <color theme="5" tint="-0.499984740745262"/>
        <rFont val="Calibri"/>
        <family val="2"/>
        <scheme val="minor"/>
      </rPr>
      <t>; redactar</t>
    </r>
  </si>
  <si>
    <t>Rédiger recettes, procédures, comptes rendus, e-mails.</t>
  </si>
  <si>
    <t>Write recipes, procedures, reports, emails.</t>
  </si>
  <si>
    <t>Redactar recetas, procedimientos, informes y correos.</t>
  </si>
  <si>
    <r>
      <t>Napper</t>
    </r>
    <r>
      <rPr>
        <sz val="11"/>
        <color theme="1"/>
        <rFont val="Calibri"/>
        <family val="2"/>
        <scheme val="minor"/>
      </rPr>
      <t xml:space="preserve"> : recouvrir de sauce/gelée/crème.</t>
    </r>
  </si>
  <si>
    <r>
      <t>Nappe/coat</t>
    </r>
    <r>
      <rPr>
        <sz val="11"/>
        <color theme="1"/>
        <rFont val="Calibri"/>
        <family val="2"/>
        <scheme val="minor"/>
      </rPr>
      <t xml:space="preserve"> with sauce/jelly/cream.</t>
    </r>
  </si>
  <si>
    <r>
      <t>Napar</t>
    </r>
    <r>
      <rPr>
        <sz val="11"/>
        <color theme="1"/>
        <rFont val="Calibri"/>
        <family val="2"/>
        <scheme val="minor"/>
      </rPr>
      <t xml:space="preserve"> / </t>
    </r>
    <r>
      <rPr>
        <b/>
        <sz val="11"/>
        <color theme="1"/>
        <rFont val="Calibri"/>
        <family val="2"/>
        <scheme val="minor"/>
      </rPr>
      <t>cubrir</t>
    </r>
    <r>
      <rPr>
        <sz val="11"/>
        <color theme="1"/>
        <rFont val="Calibri"/>
        <family val="2"/>
        <scheme val="minor"/>
      </rPr>
      <t xml:space="preserve"> con salsa/gelatina/crema.</t>
    </r>
  </si>
  <si>
    <t>Clarifier</t>
  </si>
  <si>
    <t>clarify (stock/butter/eggs)</t>
  </si>
  <si>
    <t>clarificar</t>
  </si>
  <si>
    <t>Beurre clarifié ; consommé ; blancs séparés (« clarifier des œufs »).</t>
  </si>
  <si>
    <t>Clarified butter; clarified stock; separate eggs (whites/yolks).</t>
  </si>
  <si>
    <t>Mantequilla clarificada; caldo clarificado; separar huevos (claras/yemas).</t>
  </si>
  <si>
    <t>crémer puis réduire</t>
  </si>
  <si>
    <t>add cream then reduce</t>
  </si>
  <si>
    <t>añadir nata y luego reducir</t>
  </si>
  <si>
    <t>édifier</t>
  </si>
  <si>
    <t>build; erect</t>
  </si>
  <si>
    <r>
      <t>edificar</t>
    </r>
    <r>
      <rPr>
        <sz val="11"/>
        <color theme="5" tint="-0.499984740745262"/>
        <rFont val="Calibri"/>
        <family val="2"/>
        <scheme val="minor"/>
      </rPr>
      <t>; construir</t>
    </r>
  </si>
  <si>
    <t>Au sens concret (bâtir) ou figuré (construire un plan).</t>
  </si>
  <si>
    <t>Build/erect (literal) or build a plan (figurative).</t>
  </si>
  <si>
    <t>Edificar/construir (literal) o construir un plan (figurado).</t>
  </si>
  <si>
    <t>Clouter</t>
  </si>
  <si>
    <t>stud (e.g., onion with cloves)</t>
  </si>
  <si>
    <t>clavar/mechar con clavos (de olor)</t>
  </si>
  <si>
    <t>« Oignon clouté »; aussi piquer viandes d’aromates.</t>
  </si>
  <si>
    <t>Stud an onion with cloves; also stud meats with aromatics.</t>
  </si>
  <si>
    <t>Cebolla claveteada con clavos; también mechar carnes con aromáticos.</t>
  </si>
  <si>
    <t>déglacer au vin blanc</t>
  </si>
  <si>
    <t>deglaze with white wine</t>
  </si>
  <si>
    <t>desglasar con vino blanco</t>
  </si>
  <si>
    <t>effectuer</t>
  </si>
  <si>
    <t>carry out; perform</t>
  </si>
  <si>
    <r>
      <t>efectuar</t>
    </r>
    <r>
      <rPr>
        <sz val="11"/>
        <color theme="5" tint="-0.499984740745262"/>
        <rFont val="Calibri"/>
        <family val="2"/>
        <scheme val="minor"/>
      </rPr>
      <t>; realizar</t>
    </r>
  </si>
  <si>
    <t>Réaliser une tâche/mesure/test selon consigne.</t>
  </si>
  <si>
    <t>Carry out a task/measurement/test as instructed.</t>
  </si>
  <si>
    <t>Efectuar una tarea/medición/prueba según la consigna.</t>
  </si>
  <si>
    <r>
      <t>Pasteuriser</t>
    </r>
    <r>
      <rPr>
        <sz val="11"/>
        <color theme="1"/>
        <rFont val="Calibri"/>
        <family val="2"/>
        <scheme val="minor"/>
      </rPr>
      <t xml:space="preserve"> : traiter &lt; 100 °C temps défini pour détruire pathogènes.</t>
    </r>
  </si>
  <si>
    <t>Pasteurize: heat to &lt; 100 °C for a set time to destroy pathogens.</t>
  </si>
  <si>
    <t>Pasteurizar: tratar a &lt; 100 °C durante un tiempo definido para eliminar patógenos.</t>
  </si>
  <si>
    <t>Coller</t>
  </si>
  <si>
    <t>set/gel with gelatin; glue</t>
  </si>
  <si>
    <t>gelificar con gelatina; pegar</t>
  </si>
  <si>
    <t>« Coller à la gélatine » / assembler éléments.</t>
  </si>
  <si>
    <t>Set with gelatin / glue elements together.</t>
  </si>
  <si>
    <t>Gelificar con gelatina / unir elementos.</t>
  </si>
  <si>
    <t>dégraisser en partie</t>
  </si>
  <si>
    <t>partially skim off the fat</t>
  </si>
  <si>
    <t>desgrasar parcialmente</t>
  </si>
  <si>
    <t>élaborer</t>
  </si>
  <si>
    <t>develop; formulate</t>
  </si>
  <si>
    <r>
      <t>elaborar</t>
    </r>
    <r>
      <rPr>
        <sz val="11"/>
        <color theme="5" tint="-0.499984740745262"/>
        <rFont val="Calibri"/>
        <family val="2"/>
        <scheme val="minor"/>
      </rPr>
      <t>; formular</t>
    </r>
  </si>
  <si>
    <t>Créer/mettre au point une recette, un protocole.</t>
  </si>
  <si>
    <t>Develop/refine a recipe or protocol.</t>
  </si>
  <si>
    <t>Elaborar/poner a punto una receta o un protocolo.</t>
  </si>
  <si>
    <r>
      <t>Passer</t>
    </r>
    <r>
      <rPr>
        <sz val="11"/>
        <color theme="1"/>
        <rFont val="Calibri"/>
        <family val="2"/>
        <scheme val="minor"/>
      </rPr>
      <t xml:space="preserve"> : filtrer/égoutter au chinois/passoire/tamis.</t>
    </r>
  </si>
  <si>
    <t>Strain/drain through a chinois, colander or sieve.</t>
  </si>
  <si>
    <t>Colar/escurrir con chino, colador o tamiz.</t>
  </si>
  <si>
    <t>Compoter</t>
  </si>
  <si>
    <t>cook down to a compote</t>
  </si>
  <si>
    <t>hacer compota; reducir hasta compota</t>
  </si>
  <si>
    <t>Cuisson douce jusqu’à texture compotée.</t>
  </si>
  <si>
    <t>Cook gently until a compote-like texture.</t>
  </si>
  <si>
    <t>Cocer suavemente hasta textura de compota.</t>
  </si>
  <si>
    <t>dégraisser en partie (écumer la graisse)</t>
  </si>
  <si>
    <t>partially skim off the fat (skim)</t>
  </si>
  <si>
    <t>desgrasar parcialmente (espumar la grasa)</t>
  </si>
  <si>
    <t>employer</t>
  </si>
  <si>
    <t>use; employ</t>
  </si>
  <si>
    <r>
      <t>usar</t>
    </r>
    <r>
      <rPr>
        <sz val="11"/>
        <color theme="5" tint="-0.499984740745262"/>
        <rFont val="Calibri"/>
        <family val="2"/>
        <scheme val="minor"/>
      </rPr>
      <t>; emplear</t>
    </r>
  </si>
  <si>
    <t>Employer un outil/un ingrédient/une méthode.</t>
  </si>
  <si>
    <t>Use/employ a tool/ingredient/method.</t>
  </si>
  <si>
    <t>Usar/emplear una herramienta/ingrediente/método.</t>
  </si>
  <si>
    <r>
      <t>Pâton</t>
    </r>
    <r>
      <rPr>
        <sz val="11"/>
        <color theme="1"/>
        <rFont val="Calibri"/>
        <family val="2"/>
        <scheme val="minor"/>
      </rPr>
      <t xml:space="preserve"> : pièce de pâte pesée prête à façonner.</t>
    </r>
  </si>
  <si>
    <r>
      <t>Dough piece / dough ball</t>
    </r>
    <r>
      <rPr>
        <sz val="11"/>
        <color theme="1"/>
        <rFont val="Calibri"/>
        <family val="2"/>
        <scheme val="minor"/>
      </rPr>
      <t>.</t>
    </r>
  </si>
  <si>
    <r>
      <t>Porción de masa / bollo</t>
    </r>
    <r>
      <rPr>
        <sz val="11"/>
        <color theme="1"/>
        <rFont val="Calibri"/>
        <family val="2"/>
        <scheme val="minor"/>
      </rPr>
      <t>.</t>
    </r>
  </si>
  <si>
    <t>Concasser</t>
  </si>
  <si>
    <t>Chop crush</t>
  </si>
  <si>
    <t>Concasar/picar</t>
  </si>
  <si>
    <t>Couper grossier, taille régulière (tomates, fruits secs).</t>
  </si>
  <si>
    <t>Rough chop, even size (tomatoes, nuts).</t>
  </si>
  <si>
    <t>Picar grueso, tamaño parejo (tomate, frutos).</t>
  </si>
  <si>
    <t>disperser au fouet</t>
  </si>
  <si>
    <t>disperse/whisk to combine</t>
  </si>
  <si>
    <t>dispersar con el batidor</t>
  </si>
  <si>
    <t>enregistrer</t>
  </si>
  <si>
    <t>record; register; save</t>
  </si>
  <si>
    <r>
      <t>registrar</t>
    </r>
    <r>
      <rPr>
        <sz val="11"/>
        <color theme="5" tint="-0.499984740745262"/>
        <rFont val="Calibri"/>
        <family val="2"/>
        <scheme val="minor"/>
      </rPr>
      <t xml:space="preserve">; </t>
    </r>
    <r>
      <rPr>
        <b/>
        <sz val="11"/>
        <color theme="5" tint="-0.499984740745262"/>
        <rFont val="Calibri"/>
        <family val="2"/>
        <scheme val="minor"/>
      </rPr>
      <t>guardar</t>
    </r>
    <r>
      <rPr>
        <sz val="11"/>
        <color theme="5" tint="-0.499984740745262"/>
        <rFont val="Calibri"/>
        <family val="2"/>
        <scheme val="minor"/>
      </rPr>
      <t xml:space="preserve"> (archivo)</t>
    </r>
  </si>
  <si>
    <t>Traçabilité, températures, lots ; sauvegarder un fichier.</t>
  </si>
  <si>
    <t>Record traceability/temps/batches; save a file.</t>
  </si>
  <si>
    <t>Registrar trazabilidad/temperaturas/lotes; guardar un archivo.</t>
  </si>
  <si>
    <r>
      <t>Piquer</t>
    </r>
    <r>
      <rPr>
        <sz val="11"/>
        <color theme="1"/>
        <rFont val="Calibri"/>
        <family val="2"/>
        <scheme val="minor"/>
      </rPr>
      <t xml:space="preserve"> : percer la pâte pour éviter boursouflures.</t>
    </r>
  </si>
  <si>
    <t>Dock pastry (prick to prevent puffing).</t>
  </si>
  <si>
    <t>Pinchar la masa (para evitar abombamientos).</t>
  </si>
  <si>
    <t>Confire</t>
  </si>
  <si>
    <t>confit; candy; preserve in fat/sugar</t>
  </si>
  <si>
    <t>confitar</t>
  </si>
  <si>
    <t>Graisse (canard), sucre (fruits), vinaigre (pickles).</t>
  </si>
  <si>
    <t>Confit in fat (duck), candy in sugar (fruits), or pickle in vinegar.</t>
  </si>
  <si>
    <t>Confitado en grasa (pato), en azúcar (frutas) o encurtido en vinagre.</t>
  </si>
  <si>
    <t>enfourner et cuire</t>
  </si>
  <si>
    <t>put in the oven and bake</t>
  </si>
  <si>
    <t>meter al horno y hornear</t>
  </si>
  <si>
    <t>entretenir</t>
  </si>
  <si>
    <t>maintain; service; upkeep</t>
  </si>
  <si>
    <r>
      <t>mantener</t>
    </r>
    <r>
      <rPr>
        <sz val="11"/>
        <color theme="5" tint="-0.499984740745262"/>
        <rFont val="Calibri"/>
        <family val="2"/>
        <scheme val="minor"/>
      </rPr>
      <t>; dar mantenimiento</t>
    </r>
  </si>
  <si>
    <t>Nettoyage, graissage, petites réparations préventives.</t>
  </si>
  <si>
    <t>Maintenance: cleaning, lubrication, minor preventive fixes.</t>
  </si>
  <si>
    <t>Mantenimiento: limpieza, engrase, pequeñas reparaciones preventivas.</t>
  </si>
  <si>
    <r>
      <t>Pincer</t>
    </r>
    <r>
      <rPr>
        <sz val="11"/>
        <color theme="1"/>
        <rFont val="Calibri"/>
        <family val="2"/>
        <scheme val="minor"/>
      </rPr>
      <t xml:space="preserve"> : faire un décor au pourtour (pince spéciale).</t>
    </r>
  </si>
  <si>
    <r>
      <t>Crimp</t>
    </r>
    <r>
      <rPr>
        <sz val="11"/>
        <color theme="1"/>
        <rFont val="Calibri"/>
        <family val="2"/>
        <scheme val="minor"/>
      </rPr>
      <t xml:space="preserve"> decorative edge.</t>
    </r>
  </si>
  <si>
    <r>
      <t>Pellizcar/festonear</t>
    </r>
    <r>
      <rPr>
        <sz val="11"/>
        <color theme="1"/>
        <rFont val="Calibri"/>
        <family val="2"/>
        <scheme val="minor"/>
      </rPr>
      <t xml:space="preserve"> el borde.</t>
    </r>
  </si>
  <si>
    <t>Conserver</t>
  </si>
  <si>
    <t>store; preserve</t>
  </si>
  <si>
    <t>conservar</t>
  </si>
  <si>
    <t>Chaîne du froid, DLC/DMF, contenants adaptés.</t>
  </si>
  <si>
    <t>Cold chain, use-by/best-before dates, appropriate containers.</t>
  </si>
  <si>
    <t>Cadena de frío, fechas de caducidad/consumo, envases adecuados.</t>
  </si>
  <si>
    <t>étuver au beurre</t>
  </si>
  <si>
    <t>sweat/steam in butter</t>
  </si>
  <si>
    <t>rehogar/estofar en mantequilla</t>
  </si>
  <si>
    <t>envoyer</t>
  </si>
  <si>
    <t>send; dispatch</t>
  </si>
  <si>
    <r>
      <t>enviar</t>
    </r>
    <r>
      <rPr>
        <sz val="11"/>
        <color theme="5" tint="-0.499984740745262"/>
        <rFont val="Calibri"/>
        <family val="2"/>
        <scheme val="minor"/>
      </rPr>
      <t>; despachar</t>
    </r>
  </si>
  <si>
    <t>Envoi d’échantillons, de documents, expéditions.</t>
  </si>
  <si>
    <t>Send samples/documents/shipments.</t>
  </si>
  <si>
    <t>Enviar muestras/documentos/expediciones.</t>
  </si>
  <si>
    <r>
      <t>Pocher</t>
    </r>
    <r>
      <rPr>
        <sz val="11"/>
        <color theme="1"/>
        <rFont val="Calibri"/>
        <family val="2"/>
        <scheme val="minor"/>
      </rPr>
      <t xml:space="preserve"> : cuire dans un liquide à ~70–85 °C.</t>
    </r>
  </si>
  <si>
    <r>
      <t>Poach</t>
    </r>
    <r>
      <rPr>
        <sz val="11"/>
        <color theme="1"/>
        <rFont val="Calibri"/>
        <family val="2"/>
        <scheme val="minor"/>
      </rPr>
      <t xml:space="preserve"> (70–85 °C).</t>
    </r>
  </si>
  <si>
    <r>
      <t>Escalfar/pochar</t>
    </r>
    <r>
      <rPr>
        <sz val="11"/>
        <color theme="1"/>
        <rFont val="Calibri"/>
        <family val="2"/>
        <scheme val="minor"/>
      </rPr>
      <t xml:space="preserve"> (70–85 °C).</t>
    </r>
  </si>
  <si>
    <t>Contiser</t>
  </si>
  <si>
    <t>insert truffle slices under the skin</t>
  </si>
  <si>
    <t>hacer incisiones e insertar láminas de trufa bajo la piel</t>
  </si>
  <si>
    <t>« Poularde demi-deuil ». Terme rare en EN/ES → description.</t>
  </si>
  <si>
    <t>“Demi-deuil” chicken: truffle slices under the skin (describe rather than translate).</t>
  </si>
  <si>
    <t>“Poularda demi-deuil”: láminas de trufa bajo la piel (mejor describir).</t>
  </si>
  <si>
    <t>faire sauter vivement</t>
  </si>
  <si>
    <t>sauté quickly</t>
  </si>
  <si>
    <t>saltear rápidamente</t>
  </si>
  <si>
    <t>ériger</t>
  </si>
  <si>
    <t>erect; set up</t>
  </si>
  <si>
    <r>
      <t>erigir</t>
    </r>
    <r>
      <rPr>
        <sz val="11"/>
        <color theme="5" tint="-0.499984740745262"/>
        <rFont val="Calibri"/>
        <family val="2"/>
        <scheme val="minor"/>
      </rPr>
      <t>; levantar</t>
    </r>
  </si>
  <si>
    <t>Monter une structure/étagère/auvent (sens concret).</t>
  </si>
  <si>
    <t>Erect a structure/shelf/awning (literal).</t>
  </si>
  <si>
    <t>Levantar/instalar una estructura/estantería/marquesina.</t>
  </si>
  <si>
    <r>
      <t>Pointage</t>
    </r>
    <r>
      <rPr>
        <sz val="11"/>
        <color theme="1"/>
        <rFont val="Calibri"/>
        <family val="2"/>
        <scheme val="minor"/>
      </rPr>
      <t xml:space="preserve"> : première fermentation après pétrissage.</t>
    </r>
  </si>
  <si>
    <r>
      <t>Bulk fermentation (first rise)</t>
    </r>
    <r>
      <rPr>
        <sz val="11"/>
        <color theme="1"/>
        <rFont val="Calibri"/>
        <family val="2"/>
        <scheme val="minor"/>
      </rPr>
      <t>.</t>
    </r>
  </si>
  <si>
    <r>
      <t>Fermentación en bloque (primer levado)</t>
    </r>
    <r>
      <rPr>
        <sz val="11"/>
        <color theme="1"/>
        <rFont val="Calibri"/>
        <family val="2"/>
        <scheme val="minor"/>
      </rPr>
      <t>.</t>
    </r>
  </si>
  <si>
    <t>Contrôler</t>
  </si>
  <si>
    <t>check; inspect</t>
  </si>
  <si>
    <t>controlar; verificar</t>
  </si>
  <si>
    <t>Qualité, T°C à cœur, poids, conformité.</t>
  </si>
  <si>
    <t>Quality, core temperature, weight, compliance.</t>
  </si>
  <si>
    <t>Calidad, temperatura en el centro, peso, conformidad.</t>
  </si>
  <si>
    <t>faire suer (sans coloration)</t>
  </si>
  <si>
    <t>sweat (without coloring)</t>
  </si>
  <si>
    <t>rehogar/sudar (sin dorar)</t>
  </si>
  <si>
    <t>établir</t>
  </si>
  <si>
    <t>establish; set up; draw up</t>
  </si>
  <si>
    <r>
      <t>establecer</t>
    </r>
    <r>
      <rPr>
        <sz val="11"/>
        <color theme="5" tint="-0.499984740745262"/>
        <rFont val="Calibri"/>
        <family val="2"/>
        <scheme val="minor"/>
      </rPr>
      <t xml:space="preserve">; </t>
    </r>
    <r>
      <rPr>
        <b/>
        <sz val="11"/>
        <color theme="5" tint="-0.499984740745262"/>
        <rFont val="Calibri"/>
        <family val="2"/>
        <scheme val="minor"/>
      </rPr>
      <t>redactar</t>
    </r>
  </si>
  <si>
    <t>Établir une norme/un planning/un rapport.</t>
  </si>
  <si>
    <t>Establish a standard/schedule/report.</t>
  </si>
  <si>
    <t>Establecer una norma/un planning/un informe.</t>
  </si>
  <si>
    <r>
      <t>Punch</t>
    </r>
    <r>
      <rPr>
        <sz val="11"/>
        <color theme="1"/>
        <rFont val="Calibri"/>
        <family val="2"/>
        <scheme val="minor"/>
      </rPr>
      <t xml:space="preserve"> : sirop + alcool/café/jus/vanille…</t>
    </r>
  </si>
  <si>
    <r>
      <t>Punch syrup</t>
    </r>
    <r>
      <rPr>
        <sz val="11"/>
        <color theme="1"/>
        <rFont val="Calibri"/>
        <family val="2"/>
        <scheme val="minor"/>
      </rPr>
      <t xml:space="preserve"> (sugar syrup + flavor/booze).</t>
    </r>
  </si>
  <si>
    <r>
      <t>Almíbar punch</t>
    </r>
    <r>
      <rPr>
        <sz val="11"/>
        <color theme="1"/>
        <rFont val="Calibri"/>
        <family val="2"/>
        <scheme val="minor"/>
      </rPr>
      <t xml:space="preserve"> (almíbar + licor/sabor).</t>
    </r>
  </si>
  <si>
    <t>Corner</t>
  </si>
  <si>
    <t>scrape down (with spatula)</t>
  </si>
  <si>
    <t>raspar/recoger con lengua (espátula)</t>
  </si>
  <si>
    <t>Récupérer/ramener une préparation dans le bol.</t>
  </si>
  <si>
    <t>Scrape down the bowl to gather the mixture.</t>
  </si>
  <si>
    <t>Recoger la mezcla en el bol con espátula.</t>
  </si>
  <si>
    <t>finir de cuire</t>
  </si>
  <si>
    <t>finish cooking</t>
  </si>
  <si>
    <t>terminar de cocer</t>
  </si>
  <si>
    <t>étendre</t>
  </si>
  <si>
    <t>extend; spread; roll out</t>
  </si>
  <si>
    <r>
      <t>extender</t>
    </r>
    <r>
      <rPr>
        <sz val="11"/>
        <color theme="5" tint="-0.499984740745262"/>
        <rFont val="Calibri"/>
        <family val="2"/>
        <scheme val="minor"/>
      </rPr>
      <t>; desplegar</t>
    </r>
  </si>
  <si>
    <t>Étendre une pâte/étendre un plan d’action/déployer un outil.</t>
  </si>
  <si>
    <t>Roll out dough / roll out an action plan / deploy a tool.</t>
  </si>
  <si>
    <t>Estirar una masa / desplegar un plan de acción / implantar una herramienta.</t>
  </si>
  <si>
    <r>
      <t xml:space="preserve">Puncher </t>
    </r>
    <r>
      <rPr>
        <sz val="11"/>
        <color theme="1"/>
        <rFont val="Calibri"/>
        <family val="2"/>
        <scheme val="minor"/>
      </rPr>
      <t>(synonyme d’imbiber) : rayer avec la pointe d’un couteau la surface dorée de certains gâteaux (lignes parallèles) pour parfaire la présentation</t>
    </r>
  </si>
  <si>
    <t>Score/mark (a.k.a. punch): lightly score parallel lines on the egg-washed surface of certain cakes to finish the look.</t>
  </si>
  <si>
    <t>Marcar/rajar (también “punch”): trazar líneas paralelas con la punta del cuchillo sobre la superficie barnizada para mejorar el acabado.</t>
  </si>
  <si>
    <t>Corser</t>
  </si>
  <si>
    <t>intensify; concentrate (flavour)</t>
  </si>
  <si>
    <t>reforzar; concentrar sabor</t>
  </si>
  <si>
    <t>Réduire, ajuster assaisonnement, torréfier légèrement.</t>
  </si>
  <si>
    <t>Reduce; adjust seasoning; lightly toast to intensify.</t>
  </si>
  <si>
    <t>Reducir; rectificar sazonado; tostar ligeramente para intensificar.</t>
  </si>
  <si>
    <t>griller et finir au four</t>
  </si>
  <si>
    <t>sear/grill then finish in the oven</t>
  </si>
  <si>
    <t>marcar a la plancha y terminar al horno</t>
  </si>
  <si>
    <t>examiner</t>
  </si>
  <si>
    <t>examine; inspect</t>
  </si>
  <si>
    <r>
      <t>examinar</t>
    </r>
    <r>
      <rPr>
        <sz val="11"/>
        <color theme="5" tint="-0.499984740745262"/>
        <rFont val="Calibri"/>
        <family val="2"/>
        <scheme val="minor"/>
      </rPr>
      <t>; inspeccionar</t>
    </r>
  </si>
  <si>
    <t>Contrôle visuel/qualité, revue de documents.</t>
  </si>
  <si>
    <t>Visual/quality inspection; document review.</t>
  </si>
  <si>
    <t>Inspección visual/de calidad; revisión de documentos.</t>
  </si>
  <si>
    <t>Coucher</t>
  </si>
  <si>
    <t>pipe (choux, meringue); lay out</t>
  </si>
  <si>
    <t>escudillar</t>
  </si>
  <si>
    <t>Poche à douille : « coucher » des éclairs/macaronnage.</t>
  </si>
  <si>
    <t>Pipe with a pastry bag (éclairs/macarons).</t>
  </si>
  <si>
    <t>Escudillar con manga pastelera (eclairs/macarons).</t>
  </si>
  <si>
    <t>incorporer dans la sauce</t>
  </si>
  <si>
    <t>incorporate into the sauce</t>
  </si>
  <si>
    <t>incorporar a la salsa</t>
  </si>
  <si>
    <t>exécuter</t>
  </si>
  <si>
    <t>execute; run</t>
  </si>
  <si>
    <r>
      <t>ejecutar</t>
    </r>
    <r>
      <rPr>
        <sz val="11"/>
        <color theme="5" tint="-0.499984740745262"/>
        <rFont val="Calibri"/>
        <family val="2"/>
        <scheme val="minor"/>
      </rPr>
      <t>; correr (proceso)</t>
    </r>
  </si>
  <si>
    <t>Exécuter une commande/processus/plan.</t>
  </si>
  <si>
    <t>Execute an order/process/plan.</t>
  </si>
  <si>
    <t>Ejecutar un pedido/proceso/plan.</t>
  </si>
  <si>
    <r>
      <t>Retomber</t>
    </r>
    <r>
      <rPr>
        <sz val="11"/>
        <color theme="1"/>
        <rFont val="Calibri"/>
        <family val="2"/>
        <scheme val="minor"/>
      </rPr>
      <t xml:space="preserve"> : volume qui diminue (pâte, appareil).</t>
    </r>
  </si>
  <si>
    <t>Deflate/collapse (mixture losing volume).</t>
  </si>
  <si>
    <t>Bajarse/colapsar (mezcla que pierde volumen).</t>
  </si>
  <si>
    <t>couper</t>
  </si>
  <si>
    <t>cut; slice</t>
  </si>
  <si>
    <r>
      <t>cortar</t>
    </r>
    <r>
      <rPr>
        <sz val="11"/>
        <color theme="1"/>
        <rFont val="Calibri"/>
        <family val="2"/>
        <scheme val="minor"/>
      </rPr>
      <t>; rebanar</t>
    </r>
  </si>
  <si>
    <t>Taillages précis selon fiche.</t>
  </si>
  <si>
    <t>Precise cuts per spec sheet.</t>
  </si>
  <si>
    <t>Cortes precisos según ficha técnica.</t>
  </si>
  <si>
    <t>laisser cuire</t>
  </si>
  <si>
    <t>let cook</t>
  </si>
  <si>
    <t>dejar cocer</t>
  </si>
  <si>
    <t>exploiter</t>
  </si>
  <si>
    <t>operate; leverage; exploit</t>
  </si>
  <si>
    <r>
      <t>operar</t>
    </r>
    <r>
      <rPr>
        <sz val="11"/>
        <color theme="5" tint="-0.499984740745262"/>
        <rFont val="Calibri"/>
        <family val="2"/>
        <scheme val="minor"/>
      </rPr>
      <t xml:space="preserve">; </t>
    </r>
    <r>
      <rPr>
        <b/>
        <sz val="11"/>
        <color theme="5" tint="-0.499984740745262"/>
        <rFont val="Calibri"/>
        <family val="2"/>
        <scheme val="minor"/>
      </rPr>
      <t>aprovechar</t>
    </r>
  </si>
  <si>
    <t>Exploiter une ligne/une donnée, tirer parti d’un outil.</t>
  </si>
  <si>
    <t>Operate a line / leverage data / make use of a tool.</t>
  </si>
  <si>
    <t>Operar una línea / aprovechar datos / sacar partido a una herramienta.</t>
  </si>
  <si>
    <r>
      <t>Rognures</t>
    </r>
    <r>
      <rPr>
        <sz val="11"/>
        <color theme="1"/>
        <rFont val="Calibri"/>
        <family val="2"/>
        <scheme val="minor"/>
      </rPr>
      <t xml:space="preserve"> : chutes de découpe (pâtes, entremets).</t>
    </r>
  </si>
  <si>
    <t>Trimmings (cut-off scraps from doughs, entremets).</t>
  </si>
  <si>
    <t>Recortes (sobras de corte de masas, postres).</t>
  </si>
  <si>
    <t>Craquer</t>
  </si>
  <si>
    <t>crack; split</t>
  </si>
  <si>
    <t>agrietarse; rajarse</t>
  </si>
  <si>
    <t>Pain/viennoiserie/couennes qui se fendent.</t>
  </si>
  <si>
    <t>Cracking/splitting of breads/pastries/rinds.</t>
  </si>
  <si>
    <t>Grietas/rajaduras en panes/bollerías/cortezas.</t>
  </si>
  <si>
    <t>lier la cuisson</t>
  </si>
  <si>
    <t>thicken the cooking juices</t>
  </si>
  <si>
    <t>ligar el jugo de cocción</t>
  </si>
  <si>
    <r>
      <t>Rompre</t>
    </r>
    <r>
      <rPr>
        <sz val="11"/>
        <color theme="1"/>
        <rFont val="Calibri"/>
        <family val="2"/>
        <scheme val="minor"/>
      </rPr>
      <t xml:space="preserve"> : rabattre/dégazer après pointage.</t>
    </r>
  </si>
  <si>
    <t>Knock back / degas after bulk fermentation.</t>
  </si>
  <si>
    <t>Desgasificar / abatir tras el primer levado.</t>
  </si>
  <si>
    <t>Crémer</t>
  </si>
  <si>
    <t>cream (butter &amp; sugar)</t>
  </si>
  <si>
    <t>cremar; batir mantequilla y azúcar</t>
  </si>
  <si>
    <t>Pâtisserie : obtenir mélange pâle et mousseux.</t>
  </si>
  <si>
    <t>Pastry: beat until pale and fluffy.</t>
  </si>
  <si>
    <t>Pastelería: batir hasta mezcla pálida y esponjosa.</t>
  </si>
  <si>
    <t>lier le fond/la sauce</t>
  </si>
  <si>
    <t>thicken the stock/sauce</t>
  </si>
  <si>
    <t>ligar el fondo/la salsa</t>
  </si>
  <si>
    <t>générer</t>
  </si>
  <si>
    <t>generate; produce</t>
  </si>
  <si>
    <r>
      <t>generar</t>
    </r>
    <r>
      <rPr>
        <i/>
        <sz val="11"/>
        <color theme="5" tint="-0.499984740745262"/>
        <rFont val="Calibri"/>
        <family val="2"/>
        <scheme val="minor"/>
      </rPr>
      <t>; producir</t>
    </r>
  </si>
  <si>
    <t>Générer un rapport, un code-barres, un lot, des alertes, des déchets (by-product).</t>
  </si>
  <si>
    <t>Generate a report, a barcode, a batch, alerts, and waste/by-products.</t>
  </si>
  <si>
    <t>Generar un informe, un código de barras, un lote, alertas y residuos/subproductos.</t>
  </si>
  <si>
    <r>
      <t>Ruban</t>
    </r>
    <r>
      <rPr>
        <sz val="11"/>
        <color theme="1"/>
        <rFont val="Calibri"/>
        <family val="2"/>
        <scheme val="minor"/>
      </rPr>
      <t xml:space="preserve"> : texture qui coule en ruban (génoise).</t>
    </r>
  </si>
  <si>
    <t>Ribbon stage: batter falls in a continuous ribbon (genoise).</t>
  </si>
  <si>
    <t>Punto de cinta: la mezcla cae en forma de cinta (genoise).</t>
  </si>
  <si>
    <t>creuser</t>
  </si>
  <si>
    <t>hollow out; dig; deepen</t>
  </si>
  <si>
    <r>
      <t>ahuecar</t>
    </r>
    <r>
      <rPr>
        <sz val="11"/>
        <color theme="1"/>
        <rFont val="Calibri"/>
        <family val="2"/>
        <scheme val="minor"/>
      </rPr>
      <t>; cavar; profundizar</t>
    </r>
  </si>
  <si>
    <t>Évider légumes/pains ; approfondir un sujet.</t>
  </si>
  <si>
    <t>Hollow out vegetables/breads; dig deeper into a topic.</t>
  </si>
  <si>
    <t>Ahuecar verduras/panes; profundizar en un tema.</t>
  </si>
  <si>
    <t>mélanger et porter à ébullition</t>
  </si>
  <si>
    <t>mix and bring to a boil</t>
  </si>
  <si>
    <t>mezclar y llevar a ebullición</t>
  </si>
  <si>
    <t>gérer</t>
  </si>
  <si>
    <t>manage; handle; administer</t>
  </si>
  <si>
    <r>
      <t>gestionar</t>
    </r>
    <r>
      <rPr>
        <sz val="11"/>
        <color theme="5" tint="-0.499984740745262"/>
        <rFont val="Calibri"/>
        <family val="2"/>
        <scheme val="minor"/>
      </rPr>
      <t>; manejar; administrar</t>
    </r>
  </si>
  <si>
    <t>Gérer stocks/équipes/planning/incidents : prioriser, affecter, suivre, corriger.</t>
  </si>
  <si>
    <t>Manage inventory/teams/schedule/incidents: prioritize, assign, track, correct.</t>
  </si>
  <si>
    <t>Gestionar stock/equipos/planificación/incidencias: priorizar, asignar, seguir, corregir.</t>
  </si>
  <si>
    <t>Crever</t>
  </si>
  <si>
    <t>parboil so grains burst (rice); burst</t>
  </si>
  <si>
    <t>escaldar para que reviente (arroz); reventar</t>
  </si>
  <si>
    <t>« Crever le riz » avant cuisson au lait.</t>
  </si>
  <si>
    <t>Parboil rice so some grains burst before cooking in milk.</t>
  </si>
  <si>
    <t>Escaldar el arroz para que algunos granos revienten antes de cocer en leche.</t>
  </si>
  <si>
    <t>mouiller au vin blanc</t>
  </si>
  <si>
    <t>moisten with white wine</t>
  </si>
  <si>
    <t>mojar con vino blanco</t>
  </si>
  <si>
    <t>I</t>
  </si>
  <si>
    <t>Sabler : brasser farine et matière grasse jusqu’à une texture sableuse.</t>
  </si>
  <si>
    <t>Rub in flour and fat to a sandy texture.</t>
  </si>
  <si>
    <t>Arenar: mezclar harina y grasa hasta textura de arena.</t>
  </si>
  <si>
    <t>Croûter</t>
  </si>
  <si>
    <t>form a skin/crust (resting)</t>
  </si>
  <si>
    <t>acortezarse; orearse hasta costra</t>
  </si>
  <si>
    <t>Macarons/terrines : laisser « croûter » avant cuisson.</t>
  </si>
  <si>
    <t>Let macarons/terrines dry until a skin forms before baking.</t>
  </si>
  <si>
    <t>Dejar secar macarons/terrinas hasta que se forme una piel antes de hornear.</t>
  </si>
  <si>
    <t>passer la sauce</t>
  </si>
  <si>
    <t>strain the sauce</t>
  </si>
  <si>
    <t>colar/pasar la salsa</t>
  </si>
  <si>
    <t>identifier</t>
  </si>
  <si>
    <t>identify; pinpoint</t>
  </si>
  <si>
    <r>
      <t>identificar</t>
    </r>
    <r>
      <rPr>
        <sz val="11"/>
        <color theme="5" tint="-0.499984740745262"/>
        <rFont val="Calibri"/>
        <family val="2"/>
        <scheme val="minor"/>
      </rPr>
      <t>; localizar</t>
    </r>
  </si>
  <si>
    <t>Repérer un besoin, une non-conformité, une cause racine, un lot.</t>
  </si>
  <si>
    <t>Identify a need, a non-conformity, a root cause, a batch.</t>
  </si>
  <si>
    <t>Identificar una necesidad, una no conformidad, una causa raíz, un lote.</t>
  </si>
  <si>
    <t>Cuire</t>
  </si>
  <si>
    <t>cook; bake; roast</t>
  </si>
  <si>
    <t>cocer; hornear; asar</t>
  </si>
  <si>
    <t>Verbes au sens large selon mode.Suivre mode/temps/T° indiqués; sonder si besoin.</t>
  </si>
  <si>
    <t>Generic “to cook”: specify the method.Follow mode/time/temp; probe if needed.</t>
  </si>
  <si>
    <t>Verbo genérico “cocer/cocinar”: especificar el método.Seguir modo/tiempo/T°; sondear si procede.</t>
  </si>
  <si>
    <t>porter à ébullition</t>
  </si>
  <si>
    <t>bring to a boil</t>
  </si>
  <si>
    <t>llevar a ebullición</t>
  </si>
  <si>
    <t>imaginer</t>
  </si>
  <si>
    <t>imagine; conceive</t>
  </si>
  <si>
    <r>
      <t>imaginar</t>
    </r>
    <r>
      <rPr>
        <sz val="11"/>
        <color theme="5" tint="-0.499984740745262"/>
        <rFont val="Calibri"/>
        <family val="2"/>
        <scheme val="minor"/>
      </rPr>
      <t>; concebir</t>
    </r>
  </si>
  <si>
    <t>Idéation recette/process/visuel; brainstorming d’améliorations.</t>
  </si>
  <si>
    <t>Ideation for recipe/process/visual; brainstorming improvements.</t>
  </si>
  <si>
    <t>Ideación de receta/proceso/visual; lluvia de ideas de mejoras.</t>
  </si>
  <si>
    <t>Tabler (chocolat) : pré-cristalliser sur marbre.</t>
  </si>
  <si>
    <t>Table/temper chocolate on marble.</t>
  </si>
  <si>
    <t>Atemperar chocolate en mármol.</t>
  </si>
  <si>
    <t>cooking/doneness</t>
  </si>
  <si>
    <t>cocción; punto de cocción</t>
  </si>
  <si>
    <t>De « saignant » à « bien cuit » ; suivi T°.</t>
  </si>
  <si>
    <t>Doneness from rare to well-done; monitor temperature.</t>
  </si>
  <si>
    <t>Puntos de cocción de poco hecho a bien cocido; controlar la temperatura.</t>
  </si>
  <si>
    <t>réduire le vin</t>
  </si>
  <si>
    <t>reduce the wine</t>
  </si>
  <si>
    <t>reducir el vino</t>
  </si>
  <si>
    <t>inscrire</t>
  </si>
  <si>
    <t>register; enter; write down</t>
  </si>
  <si>
    <r>
      <t>inscribir</t>
    </r>
    <r>
      <rPr>
        <sz val="11"/>
        <color theme="5" tint="-0.499984740745262"/>
        <rFont val="Calibri"/>
        <family val="2"/>
        <scheme val="minor"/>
      </rPr>
      <t>; registrar; apuntar</t>
    </r>
  </si>
  <si>
    <t>Inscrire en registre/logiciel : lots, T°, actions, participants.</t>
  </si>
  <si>
    <t>Enter in the log/software: batches, temps, actions, participants.</t>
  </si>
  <si>
    <t>Inscribir en registro/software: lotes, T°, acciones, participantes.</t>
  </si>
  <si>
    <r>
      <t>Tourer</t>
    </r>
    <r>
      <rPr>
        <sz val="11"/>
        <color theme="1"/>
        <rFont val="Calibri"/>
        <family val="2"/>
        <scheme val="minor"/>
      </rPr>
      <t xml:space="preserve"> : plier en 3/4 un pâton feuilleté (tours).</t>
    </r>
  </si>
  <si>
    <t>Laminate/turn puff dough with single/double turns.</t>
  </si>
  <si>
    <t>Dar vueltas/laminar una masa de hojaldre con pliegues simples/dobles.</t>
  </si>
  <si>
    <t>cuisson finale</t>
  </si>
  <si>
    <t>final cook/finishing bake</t>
  </si>
  <si>
    <t>cocción final; acabado</t>
  </si>
  <si>
    <t>Dernière phase avant service/expédition.</t>
  </si>
  <si>
    <t>Final cook/finishing step before service/shipping.</t>
  </si>
  <si>
    <t>Cocción/acabado final antes del servicio/expedición.</t>
  </si>
  <si>
    <t>sauter au beurre et à l’huile</t>
  </si>
  <si>
    <t>sauté in butter and oil</t>
  </si>
  <si>
    <t>saltear con mantequilla y aceite</t>
  </si>
  <si>
    <t>insérer</t>
  </si>
  <si>
    <t>insert; slot in</t>
  </si>
  <si>
    <r>
      <t>insertar</t>
    </r>
    <r>
      <rPr>
        <sz val="11"/>
        <color theme="5" tint="-0.499984740745262"/>
        <rFont val="Calibri"/>
        <family val="2"/>
        <scheme val="minor"/>
      </rPr>
      <t>; introducir</t>
    </r>
  </si>
  <si>
    <t>Insérer un bac, un document, un step dans un planning/ligne.</t>
  </si>
  <si>
    <t>Insert a bin, a document, or a step into a schedule/line.</t>
  </si>
  <si>
    <t>Insertar una cubeta, un documento o una etapa en un planning/línea.</t>
  </si>
  <si>
    <r>
      <t>Tremper</t>
    </r>
    <r>
      <rPr>
        <sz val="11"/>
        <color theme="1"/>
        <rFont val="Calibri"/>
        <family val="2"/>
        <scheme val="minor"/>
      </rPr>
      <t xml:space="preserve"> : a) imbiber au sirop ; b) enrober au chocolat/fondant.</t>
    </r>
  </si>
  <si>
    <r>
      <t>Soak</t>
    </r>
    <r>
      <rPr>
        <sz val="11"/>
        <color theme="1"/>
        <rFont val="Calibri"/>
        <family val="2"/>
        <scheme val="minor"/>
      </rPr>
      <t xml:space="preserve"> in syrup; </t>
    </r>
    <r>
      <rPr>
        <b/>
        <sz val="11"/>
        <color theme="1"/>
        <rFont val="Calibri"/>
        <family val="2"/>
        <scheme val="minor"/>
      </rPr>
      <t>enrobe/dip</t>
    </r>
    <r>
      <rPr>
        <sz val="11"/>
        <color theme="1"/>
        <rFont val="Calibri"/>
        <family val="2"/>
        <scheme val="minor"/>
      </rPr>
      <t xml:space="preserve"> in chocolate/fondant.</t>
    </r>
  </si>
  <si>
    <r>
      <t>Calar</t>
    </r>
    <r>
      <rPr>
        <sz val="11"/>
        <color theme="1"/>
        <rFont val="Calibri"/>
        <family val="2"/>
        <scheme val="minor"/>
      </rPr>
      <t xml:space="preserve"> en almíbar; </t>
    </r>
    <r>
      <rPr>
        <b/>
        <sz val="11"/>
        <color theme="1"/>
        <rFont val="Calibri"/>
        <family val="2"/>
        <scheme val="minor"/>
      </rPr>
      <t>bañar</t>
    </r>
    <r>
      <rPr>
        <sz val="11"/>
        <color theme="1"/>
        <rFont val="Calibri"/>
        <family val="2"/>
        <scheme val="minor"/>
      </rPr>
      <t xml:space="preserve"> en chocolate/fondant.</t>
    </r>
  </si>
  <si>
    <t>Culotter</t>
  </si>
  <si>
    <t>season (a pan); build patina</t>
  </si>
  <si>
    <t>curar una sartén/olla</t>
  </si>
  <si>
    <t>Fonte/acier : créer couche anti-adhésive naturelle.</t>
  </si>
  <si>
    <t>Season cast iron/steel to build a natural nonstick patina.</t>
  </si>
  <si>
    <t>Curar hierro fundido/acero para crear una pátina antiadherente natural.</t>
  </si>
  <si>
    <t>installer</t>
  </si>
  <si>
    <t>install; set up</t>
  </si>
  <si>
    <r>
      <t>instalar</t>
    </r>
    <r>
      <rPr>
        <sz val="11"/>
        <color theme="5" tint="-0.499984740745262"/>
        <rFont val="Calibri"/>
        <family val="2"/>
        <scheme val="minor"/>
      </rPr>
      <t>; montar</t>
    </r>
  </si>
  <si>
    <t>Monter un équipement/poste; paramétrer logiciel/sonde.</t>
  </si>
  <si>
    <t>Install equipment/station; configure software/probe.</t>
  </si>
  <si>
    <t>Instalar equipo/puesto; configurar software/sonda.</t>
  </si>
  <si>
    <t>V</t>
  </si>
  <si>
    <t>Assaisonner &amp; finir</t>
  </si>
  <si>
    <t>inventer</t>
  </si>
  <si>
    <t>invent; devise</t>
  </si>
  <si>
    <r>
      <t>inventar</t>
    </r>
    <r>
      <rPr>
        <sz val="11"/>
        <color theme="5" tint="-0.499984740745262"/>
        <rFont val="Calibri"/>
        <family val="2"/>
        <scheme val="minor"/>
      </rPr>
      <t>; idear</t>
    </r>
  </si>
  <si>
    <t>Créer une nouvelle recette/méthode/outillage.</t>
  </si>
  <si>
    <t>Invent a new recipe/method/tooling.</t>
  </si>
  <si>
    <t>Inventar una nueva receta/método/herramental.</t>
  </si>
  <si>
    <r>
      <t>Vanner</t>
    </r>
    <r>
      <rPr>
        <sz val="11"/>
        <color theme="1"/>
        <rFont val="Calibri"/>
        <family val="2"/>
        <scheme val="minor"/>
      </rPr>
      <t xml:space="preserve"> : remuer en refroidissant pour lisser/éviter la peau.</t>
    </r>
  </si>
  <si>
    <r>
      <t>Stir while cooling</t>
    </r>
    <r>
      <rPr>
        <sz val="11"/>
        <color theme="1"/>
        <rFont val="Calibri"/>
        <family val="2"/>
        <scheme val="minor"/>
      </rPr>
      <t xml:space="preserve"> to smooth/prevent skin.</t>
    </r>
  </si>
  <si>
    <r>
      <t>Batir/remover al enfriar</t>
    </r>
    <r>
      <rPr>
        <sz val="11"/>
        <color theme="1"/>
        <rFont val="Calibri"/>
        <family val="2"/>
        <scheme val="minor"/>
      </rPr>
      <t xml:space="preserve"> para alisar/evitar película.</t>
    </r>
  </si>
  <si>
    <t>arroser de beurre noisette</t>
  </si>
  <si>
    <t>baste with brown butter</t>
  </si>
  <si>
    <t>rociar con mantequilla dorada (noisette)</t>
  </si>
  <si>
    <t>inventorier</t>
  </si>
  <si>
    <t>take inventory; inventory</t>
  </si>
  <si>
    <r>
      <t>inventariar</t>
    </r>
    <r>
      <rPr>
        <sz val="11"/>
        <color theme="5" tint="-0.499984740745262"/>
        <rFont val="Calibri"/>
        <family val="2"/>
        <scheme val="minor"/>
      </rPr>
      <t>; hacer inventario</t>
    </r>
  </si>
  <si>
    <t>Comptage physique, rapprochement stocks/FIFO/FEFO.</t>
  </si>
  <si>
    <t>Physical counts; reconcile inventory; FIFO/FEFO.</t>
  </si>
  <si>
    <t>Conteo físico; conciliación de inventario; FIFO/FEFO.</t>
  </si>
  <si>
    <t>Dauber</t>
  </si>
  <si>
    <t>stew “daube”-style</t>
  </si>
  <si>
    <r>
      <t xml:space="preserve">guisar en </t>
    </r>
    <r>
      <rPr>
        <b/>
        <sz val="11"/>
        <color theme="1"/>
        <rFont val="Calibri"/>
        <family val="2"/>
        <scheme val="minor"/>
      </rPr>
      <t>daube</t>
    </r>
  </si>
  <si>
    <t>Cuisson lente en marinade vin/aromates (daube provençale).</t>
  </si>
  <si>
    <t>Slow braise in a wine-based marinade with aromatics (daube-style).</t>
  </si>
  <si>
    <r>
      <t xml:space="preserve">Cocción lenta en marinada de vino con aromáticos (estilo </t>
    </r>
    <r>
      <rPr>
        <i/>
        <sz val="11"/>
        <color theme="1"/>
        <rFont val="Calibri"/>
        <family val="2"/>
        <scheme val="minor"/>
      </rPr>
      <t>daube</t>
    </r>
    <r>
      <rPr>
        <sz val="11"/>
        <color theme="1"/>
        <rFont val="Calibri"/>
        <family val="2"/>
        <scheme val="minor"/>
      </rPr>
      <t>).</t>
    </r>
  </si>
  <si>
    <t>arroser/napper d’une liqueur</t>
  </si>
  <si>
    <t>drizzle/coat with a liqueur</t>
  </si>
  <si>
    <t>rociar/napar con un licor</t>
  </si>
  <si>
    <r>
      <t>Zeste</t>
    </r>
    <r>
      <rPr>
        <sz val="11"/>
        <color theme="1"/>
        <rFont val="Calibri"/>
        <family val="2"/>
        <scheme val="minor"/>
      </rPr>
      <t xml:space="preserve"> : partie colorée de l’écorce d’agrume.</t>
    </r>
  </si>
  <si>
    <t>Zest: the colored outer peel of a citrus fruit.</t>
  </si>
  <si>
    <t>Ralladura/zeste: parte coloreada de la piel del cítrico.</t>
  </si>
  <si>
    <t>Débarrasser</t>
  </si>
  <si>
    <t>Transfer</t>
  </si>
  <si>
    <t>Traspasar</t>
  </si>
  <si>
    <t>Transférer proprement en récipient identifié.</t>
  </si>
  <si>
    <t>Transfer neatly to a labeled container.</t>
  </si>
  <si>
    <t>Pasar limpiamente a recipiente etiquetado.</t>
  </si>
  <si>
    <t>beurrer grassement</t>
  </si>
  <si>
    <t>butter generously</t>
  </si>
  <si>
    <t>untar generosamente con mantequilla</t>
  </si>
  <si>
    <t>localiser</t>
  </si>
  <si>
    <t>locate; pinpoint; geolocate</t>
  </si>
  <si>
    <r>
      <t>localizar</t>
    </r>
    <r>
      <rPr>
        <sz val="11"/>
        <color theme="5" tint="-0.499984740745262"/>
        <rFont val="Calibri"/>
        <family val="2"/>
        <scheme val="minor"/>
      </rPr>
      <t>; ubicar; geolocalizar</t>
    </r>
  </si>
  <si>
    <t>Repérer précisément un poste, un équipement, un lot/colis (étiquette, emplacement), une panne ou une non-conformité sur la ligne/plan. Utiliser références d’emplacement (rangée/étagère/niveau) ou coordonnées (QR/RFID).</t>
  </si>
  <si>
    <t>Precisely locate a workstation, equipment, a batch/parcel (label, location), a fault or a non-conformity on the line/layout. Use location references (row/shelf/level) or coordinates (QR/RFID).</t>
  </si>
  <si>
    <t>Localizar con precisión un puesto, un equipo, un lote/paquete (etiqueta, ubicación), una avería o una no conformidad en la línea/plano. Usar referencias de ubicación (fila/estante/nivel) o coordenadas (QR/RFID).</t>
  </si>
  <si>
    <r>
      <t>Zester :</t>
    </r>
    <r>
      <rPr>
        <sz val="11"/>
        <color theme="1"/>
        <rFont val="Calibri"/>
        <family val="2"/>
        <scheme val="minor"/>
      </rPr>
      <t xml:space="preserve"> retirer la partie extérieure de l’écorce d’agrumes à l’aide d’un zesteur ou d’une râpe.</t>
    </r>
  </si>
  <si>
    <t>Zest: remove the outer citrus peel with a zester or grater.</t>
  </si>
  <si>
    <t>Rallar la piel (zeste): retirar la parte exterior del cítrico con un zester o rallador.</t>
  </si>
  <si>
    <t>deboitage / Déboîtage</t>
  </si>
  <si>
    <t>destacking; unstacking</t>
  </si>
  <si>
    <t>desapilado</t>
  </si>
  <si>
    <t>Défaire piles de bacs/assiettes/pots sur ligne.</t>
  </si>
  <si>
    <t>Unstack nested bins/plates/containers on the line.</t>
  </si>
  <si>
    <t>Desapilar cubetas/platos/envases en la línea.</t>
  </si>
  <si>
    <t>lustrer à l’huile</t>
  </si>
  <si>
    <t>gloss with oil</t>
  </si>
  <si>
    <t>lustrar con aceite</t>
  </si>
  <si>
    <t>Déboiter (volaille/articulation)</t>
  </si>
  <si>
    <t>disjoint; separate at the joint</t>
  </si>
  <si>
    <t>desarticular</t>
  </si>
  <si>
    <t>Découpe bouchère/volaille.</t>
  </si>
  <si>
    <t>Butchery/poultry cutting.</t>
  </si>
  <si>
    <t>Corte de carnicería/aves.</t>
  </si>
  <si>
    <t>lustrer/pinceler à l’huile</t>
  </si>
  <si>
    <t>brush/glaze with oil</t>
  </si>
  <si>
    <t>pincelar/lustrar con aceite</t>
  </si>
  <si>
    <t>manœuvrer</t>
  </si>
  <si>
    <t>maneuver; operate; steer</t>
  </si>
  <si>
    <r>
      <t>maniobrar</t>
    </r>
    <r>
      <rPr>
        <sz val="11"/>
        <color theme="5" tint="-0.499984740745262"/>
        <rFont val="Calibri"/>
        <family val="2"/>
        <scheme val="minor"/>
      </rPr>
      <t>; operar; conducir</t>
    </r>
  </si>
  <si>
    <t>Chariot/engin/machine; déplacements en zone étroite, règles de sécurité et signaux.</t>
  </si>
  <si>
    <t>Trolley/vehicle/machine; moves in tight areas, safety rules and signals.</t>
  </si>
  <si>
    <t>Carro/vehículo/máquina; desplazamientos en zonas estrechas, normas y señales de seguridad.</t>
  </si>
  <si>
    <t>http://devenir.patissier.free.fr/cours-CAP-vocabulaire-professionnel-eleve.pdf</t>
  </si>
  <si>
    <t>Décanter</t>
  </si>
  <si>
    <t>decant; let stand; clarify</t>
  </si>
  <si>
    <t>decantar; clarificar</t>
  </si>
  <si>
    <t>Fonds/sauces/vins : séparation dépôt/gras.</t>
  </si>
  <si>
    <t>Stocks/sauces/wines: separate sediment/fat (decant).</t>
  </si>
  <si>
    <t>Caldos/salsas/vinos: separar sedimentos/grasa (decantar).</t>
  </si>
  <si>
    <t>monter au beurre</t>
  </si>
  <si>
    <t>mount with butter</t>
  </si>
  <si>
    <t>montar con mantequilla</t>
  </si>
  <si>
    <t>mettre</t>
  </si>
  <si>
    <t>put; place; set</t>
  </si>
  <si>
    <r>
      <t>poner</t>
    </r>
    <r>
      <rPr>
        <sz val="11"/>
        <color theme="5" tint="-0.499984740745262"/>
        <rFont val="Calibri"/>
        <family val="2"/>
        <scheme val="minor"/>
      </rPr>
      <t>; colocar</t>
    </r>
  </si>
  <si>
    <r>
      <t xml:space="preserve">Verbe générique → préférer précis : </t>
    </r>
    <r>
      <rPr>
        <i/>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(ES: </t>
    </r>
    <r>
      <rPr>
        <b/>
        <sz val="11"/>
        <color theme="5" tint="-0.499984740745262"/>
        <rFont val="Calibri"/>
        <family val="2"/>
        <scheme val="minor"/>
      </rPr>
      <t>encender</t>
    </r>
    <r>
      <rPr>
        <sz val="11"/>
        <color theme="5" tint="-0.499984740745262"/>
        <rFont val="Calibri"/>
        <family val="2"/>
        <scheme val="minor"/>
      </rPr>
      <t xml:space="preserve">), </t>
    </r>
    <r>
      <rPr>
        <i/>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(ES: </t>
    </r>
    <r>
      <rPr>
        <b/>
        <sz val="11"/>
        <color theme="5" tint="-0.499984740745262"/>
        <rFont val="Calibri"/>
        <family val="2"/>
        <scheme val="minor"/>
      </rPr>
      <t>poner en cubeta</t>
    </r>
    <r>
      <rPr>
        <sz val="11"/>
        <color theme="5" tint="-0.499984740745262"/>
        <rFont val="Calibri"/>
        <family val="2"/>
        <scheme val="minor"/>
      </rPr>
      <t xml:space="preserve">), </t>
    </r>
    <r>
      <rPr>
        <i/>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 xml:space="preserve"> (ES: </t>
    </r>
    <r>
      <rPr>
        <b/>
        <sz val="11"/>
        <color theme="5" tint="-0.499984740745262"/>
        <rFont val="Calibri"/>
        <family val="2"/>
        <scheme val="minor"/>
      </rPr>
      <t>actualizar</t>
    </r>
    <r>
      <rPr>
        <sz val="11"/>
        <color theme="5" tint="-0.499984740745262"/>
        <rFont val="Calibri"/>
        <family val="2"/>
        <scheme val="minor"/>
      </rPr>
      <t>).</t>
    </r>
  </si>
  <si>
    <r>
      <t xml:space="preserve">Generic verb → prefer precise terms: </t>
    </r>
    <r>
      <rPr>
        <b/>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t>
    </r>
    <r>
      <rPr>
        <b/>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t>
    </r>
    <r>
      <rPr>
        <b/>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t>
    </r>
  </si>
  <si>
    <r>
      <t xml:space="preserve">Verbo genérico → mejor precisos: </t>
    </r>
    <r>
      <rPr>
        <b/>
        <sz val="11"/>
        <color theme="5" tint="-0.499984740745262"/>
        <rFont val="Calibri"/>
        <family val="2"/>
        <scheme val="minor"/>
      </rPr>
      <t>poner en marcha</t>
    </r>
    <r>
      <rPr>
        <sz val="11"/>
        <color theme="5" tint="-0.499984740745262"/>
        <rFont val="Calibri"/>
        <family val="2"/>
        <scheme val="minor"/>
      </rPr>
      <t xml:space="preserve"> = </t>
    </r>
    <r>
      <rPr>
        <b/>
        <sz val="11"/>
        <color theme="5" tint="-0.499984740745262"/>
        <rFont val="Calibri"/>
        <family val="2"/>
        <scheme val="minor"/>
      </rPr>
      <t>encender</t>
    </r>
    <r>
      <rPr>
        <sz val="11"/>
        <color theme="5" tint="-0.499984740745262"/>
        <rFont val="Calibri"/>
        <family val="2"/>
        <scheme val="minor"/>
      </rPr>
      <t xml:space="preserve">; </t>
    </r>
    <r>
      <rPr>
        <b/>
        <sz val="11"/>
        <color theme="5" tint="-0.499984740745262"/>
        <rFont val="Calibri"/>
        <family val="2"/>
        <scheme val="minor"/>
      </rPr>
      <t>poner en cubeta</t>
    </r>
    <r>
      <rPr>
        <sz val="11"/>
        <color theme="5" tint="-0.499984740745262"/>
        <rFont val="Calibri"/>
        <family val="2"/>
        <scheme val="minor"/>
      </rPr>
      <t xml:space="preserve"> = </t>
    </r>
    <r>
      <rPr>
        <b/>
        <sz val="11"/>
        <color theme="5" tint="-0.499984740745262"/>
        <rFont val="Calibri"/>
        <family val="2"/>
        <scheme val="minor"/>
      </rPr>
      <t>tray up / poner en cubeta</t>
    </r>
    <r>
      <rPr>
        <sz val="11"/>
        <color theme="5" tint="-0.499984740745262"/>
        <rFont val="Calibri"/>
        <family val="2"/>
        <scheme val="minor"/>
      </rPr>
      <t xml:space="preserve">; </t>
    </r>
    <r>
      <rPr>
        <b/>
        <sz val="11"/>
        <color theme="5" tint="-0.499984740745262"/>
        <rFont val="Calibri"/>
        <family val="2"/>
        <scheme val="minor"/>
      </rPr>
      <t>poner al día</t>
    </r>
    <r>
      <rPr>
        <sz val="11"/>
        <color theme="5" tint="-0.499984740745262"/>
        <rFont val="Calibri"/>
        <family val="2"/>
        <scheme val="minor"/>
      </rPr>
      <t xml:space="preserve"> = </t>
    </r>
    <r>
      <rPr>
        <b/>
        <sz val="11"/>
        <color theme="5" tint="-0.499984740745262"/>
        <rFont val="Calibri"/>
        <family val="2"/>
        <scheme val="minor"/>
      </rPr>
      <t>actualizar</t>
    </r>
    <r>
      <rPr>
        <sz val="11"/>
        <color theme="5" tint="-0.499984740745262"/>
        <rFont val="Calibri"/>
        <family val="2"/>
        <scheme val="minor"/>
      </rPr>
      <t>.</t>
    </r>
  </si>
  <si>
    <t>https://devenirpatissier.fr/vocabulaire-professionnel/</t>
  </si>
  <si>
    <t>Décartonner</t>
  </si>
  <si>
    <t>remove from carton</t>
  </si>
  <si>
    <r>
      <t>desencajonar</t>
    </r>
    <r>
      <rPr>
        <sz val="11"/>
        <color theme="1"/>
        <rFont val="Calibri"/>
        <family val="2"/>
        <scheme val="minor"/>
      </rPr>
      <t xml:space="preserve"> / sacar del cartón</t>
    </r>
  </si>
  <si>
    <t>Étape de déballage avant production.</t>
  </si>
  <si>
    <t>Unpacking step before production.</t>
  </si>
  <si>
    <t>Etapa de desembalaje previa a la producción.</t>
  </si>
  <si>
    <t>monter/terminer au beurre</t>
  </si>
  <si>
    <t>finish/mount with butter</t>
  </si>
  <si>
    <t>terminar/montar con mantequilla</t>
  </si>
  <si>
    <t>moderniser</t>
  </si>
  <si>
    <t>modernize; upgrade</t>
  </si>
  <si>
    <r>
      <t>modernizar</t>
    </r>
    <r>
      <rPr>
        <sz val="11"/>
        <color theme="5" tint="-0.499984740745262"/>
        <rFont val="Calibri"/>
        <family val="2"/>
        <scheme val="minor"/>
      </rPr>
      <t>; actualizar</t>
    </r>
  </si>
  <si>
    <t>Équipements, process, SI; passage à outils digitaux, amélioration ergonomie/sécurité.</t>
  </si>
  <si>
    <t>Equipment, processes, IS/IT; move to digital tools, improve ergonomics/safety.</t>
  </si>
  <si>
    <t>Equipos, procesos, SI/IT; pasar a herramientas digitales, mejorar ergonomía/seguridad.</t>
  </si>
  <si>
    <t>https://www.encoreungateau.com/pourquoi-un-blog-de-patisserie/vocabulaire-du-patissier/</t>
  </si>
  <si>
    <t>Décercler</t>
  </si>
  <si>
    <t>remove ring; unmould from ring</t>
  </si>
  <si>
    <r>
      <t>desmoldar</t>
    </r>
    <r>
      <rPr>
        <sz val="11"/>
        <color theme="1"/>
        <rFont val="Calibri"/>
        <family val="2"/>
        <scheme val="minor"/>
      </rPr>
      <t xml:space="preserve"> (quitar aro)</t>
    </r>
  </si>
  <si>
    <t>Entremets/tartes cerclées.</t>
  </si>
  <si>
    <t>Ring-molded entremets/tarts.</t>
  </si>
  <si>
    <t>Tartas/entremets en aro.</t>
  </si>
  <si>
    <t>rectifier l’assaisonnement</t>
  </si>
  <si>
    <t>adjust the seasoning</t>
  </si>
  <si>
    <t>rectificar el sazonamiento</t>
  </si>
  <si>
    <t>dechargement du four</t>
  </si>
  <si>
    <t>unload the oven</t>
  </si>
  <si>
    <t>descarga del horno</t>
  </si>
  <si>
    <t>Défournement.</t>
  </si>
  <si>
    <t>Unload the oven (remove trays/items).</t>
  </si>
  <si>
    <t>Descarga del horno (sacar bandejas/piezas).</t>
  </si>
  <si>
    <t>rendre l’appareil onctueux</t>
  </si>
  <si>
    <t>make the mixture smooth/creamy</t>
  </si>
  <si>
    <t>hacer la mezcla más untuosa</t>
  </si>
  <si>
    <t>naviguer</t>
  </si>
  <si>
    <t>navigate; browse</t>
  </si>
  <si>
    <r>
      <t>navegar</t>
    </r>
    <r>
      <rPr>
        <sz val="11"/>
        <color theme="5" tint="-0.499984740745262"/>
        <rFont val="Calibri"/>
        <family val="2"/>
        <scheme val="minor"/>
      </rPr>
      <t>; desplazarse</t>
    </r>
  </si>
  <si>
    <r>
      <t xml:space="preserve">Se déplacer dans un logiciel/ERP, un plan (atelier), ou sur le web/menus machines : </t>
    </r>
    <r>
      <rPr>
        <i/>
        <sz val="11"/>
        <color theme="5" tint="-0.499984740745262"/>
        <rFont val="Calibri"/>
        <family val="2"/>
        <scheme val="minor"/>
      </rPr>
      <t>navigate the menu / navegar por el menú</t>
    </r>
    <r>
      <rPr>
        <sz val="11"/>
        <color theme="5" tint="-0.499984740745262"/>
        <rFont val="Calibri"/>
        <family val="2"/>
        <scheme val="minor"/>
      </rPr>
      <t>.</t>
    </r>
  </si>
  <si>
    <r>
      <t xml:space="preserve">Move through software/ERP, a plant layout, websites, or machine menus: </t>
    </r>
    <r>
      <rPr>
        <b/>
        <sz val="11"/>
        <color theme="5" tint="-0.499984740745262"/>
        <rFont val="Calibri"/>
        <family val="2"/>
        <scheme val="minor"/>
      </rPr>
      <t>navigate the menu</t>
    </r>
    <r>
      <rPr>
        <sz val="11"/>
        <color theme="5" tint="-0.499984740745262"/>
        <rFont val="Calibri"/>
        <family val="2"/>
        <scheme val="minor"/>
      </rPr>
      <t>.</t>
    </r>
  </si>
  <si>
    <r>
      <t xml:space="preserve">Desplazarse por software/ERP, un plano del taller, la web o menús de máquina: </t>
    </r>
    <r>
      <rPr>
        <b/>
        <sz val="11"/>
        <color theme="5" tint="-0.499984740745262"/>
        <rFont val="Calibri"/>
        <family val="2"/>
        <scheme val="minor"/>
      </rPr>
      <t>navegar por el menú</t>
    </r>
    <r>
      <rPr>
        <sz val="11"/>
        <color theme="5" tint="-0.499984740745262"/>
        <rFont val="Calibri"/>
        <family val="2"/>
        <scheme val="minor"/>
      </rPr>
      <t>.</t>
    </r>
  </si>
  <si>
    <t>Décharger</t>
  </si>
  <si>
    <t>unload; offload</t>
  </si>
  <si>
    <t>descargar</t>
  </si>
  <si>
    <t>Camion, four, chariot.</t>
  </si>
  <si>
    <t>Truck, oven, trolley (to unload).</t>
  </si>
  <si>
    <t>Camión, horno, carro (para descargar).</t>
  </si>
  <si>
    <t>réviser l’assaisonnement</t>
  </si>
  <si>
    <t>recheck the seasoning</t>
  </si>
  <si>
    <t>revisar el sazonamiento</t>
  </si>
  <si>
    <t>Déconditionner</t>
  </si>
  <si>
    <t>depackage; remove from primary pack</t>
  </si>
  <si>
    <t>desenvasar</t>
  </si>
  <si>
    <t>Ouvrir barquettes/sous-vide avant usage.</t>
  </si>
  <si>
    <t>De-package trays/vacuum bags before use.</t>
  </si>
  <si>
    <t>Abrir barquetas/bolsas de vacío antes de usar.</t>
  </si>
  <si>
    <t>saler en cours de cuisson</t>
  </si>
  <si>
    <t>salt during cooking</t>
  </si>
  <si>
    <t>salar durante la cocción</t>
  </si>
  <si>
    <t>optimiser</t>
  </si>
  <si>
    <t>optimize; streamline</t>
  </si>
  <si>
    <r>
      <t>optimizar</t>
    </r>
    <r>
      <rPr>
        <sz val="11"/>
        <color theme="5" tint="-0.499984740745262"/>
        <rFont val="Calibri"/>
        <family val="2"/>
        <scheme val="minor"/>
      </rPr>
      <t>; agilizar</t>
    </r>
  </si>
  <si>
    <t>Améliorer coûts, temps, flux, réglages (OEE, rendement, pertes). Décrire les leviers : 5S, SMED, standard work.</t>
  </si>
  <si>
    <t>Improve costs, time, flows, settings (OEE, yield, losses). Specify the levers: 5S, SMED, standard work.</t>
  </si>
  <si>
    <r>
      <t xml:space="preserve">Mejorar costos, tiempos, flujos y ajustes (OEE, rendimiento, mermas). Precisar las palancas: 5S, SMED, </t>
    </r>
    <r>
      <rPr>
        <i/>
        <sz val="11"/>
        <color theme="5" tint="-0.499984740745262"/>
        <rFont val="Calibri"/>
        <family val="2"/>
        <scheme val="minor"/>
      </rPr>
      <t>standard work</t>
    </r>
    <r>
      <rPr>
        <sz val="11"/>
        <color theme="5" tint="-0.499984740745262"/>
        <rFont val="Calibri"/>
        <family val="2"/>
        <scheme val="minor"/>
      </rPr>
      <t>.</t>
    </r>
  </si>
  <si>
    <t>Décorer</t>
  </si>
  <si>
    <t>decorate; garnish</t>
  </si>
  <si>
    <r>
      <t xml:space="preserve">decorar; </t>
    </r>
    <r>
      <rPr>
        <b/>
        <sz val="11"/>
        <color theme="1"/>
        <rFont val="Calibri"/>
        <family val="2"/>
        <scheme val="minor"/>
      </rPr>
      <t>decorar/engalanar</t>
    </r>
  </si>
  <si>
    <t>Dressage, pâtisserie.</t>
  </si>
  <si>
    <t>Plating/pastry (decoration task).</t>
  </si>
  <si>
    <t>Emplatado/pastelería (tarea de decoración).</t>
  </si>
  <si>
    <t>saupoudrer légèrement</t>
  </si>
  <si>
    <t>lightly sprinkle</t>
  </si>
  <si>
    <t>espolvorear ligeramente</t>
  </si>
  <si>
    <t>ordonnancer</t>
  </si>
  <si>
    <t>schedule; sequence; dispatch</t>
  </si>
  <si>
    <r>
      <t>programar</t>
    </r>
    <r>
      <rPr>
        <sz val="11"/>
        <color theme="5" tint="-0.499984740745262"/>
        <rFont val="Calibri"/>
        <family val="2"/>
        <scheme val="minor"/>
      </rPr>
      <t>; secuenciar; despachar</t>
    </r>
  </si>
  <si>
    <t>Planifier l’ordre des OF/ lots sur lignes/étuves/fours ; gestion des priorités et des capacités.</t>
  </si>
  <si>
    <t>Schedule the sequence of WOs/batches on lines/proofers/ovens; manage priorities and capacities.</t>
  </si>
  <si>
    <t>Programar la secuencia de OF/lotes en líneas/cámaras/ hornos; gestionar prioridades y capacidades.</t>
  </si>
  <si>
    <t>Décortiquer</t>
  </si>
  <si>
    <t>shell; husk; peel</t>
  </si>
  <si>
    <r>
      <t>descascarillar</t>
    </r>
    <r>
      <rPr>
        <sz val="11"/>
        <color theme="1"/>
        <rFont val="Calibri"/>
        <family val="2"/>
        <scheme val="minor"/>
      </rPr>
      <t>; pelar</t>
    </r>
  </si>
  <si>
    <t>Fruits secs, crustacés, céréales.</t>
  </si>
  <si>
    <t>Shell/husk nuts, shellfish, grains.</t>
  </si>
  <si>
    <t>Descascarillar frutos secos, mariscos y cereales.</t>
  </si>
  <si>
    <t>organiser</t>
  </si>
  <si>
    <t>organize; arrange; set up</t>
  </si>
  <si>
    <r>
      <t>organizar</t>
    </r>
    <r>
      <rPr>
        <sz val="11"/>
        <color theme="5" tint="-0.499984740745262"/>
        <rFont val="Calibri"/>
        <family val="2"/>
        <scheme val="minor"/>
      </rPr>
      <t>; disponer; montar</t>
    </r>
  </si>
  <si>
    <t>Structurer poste, planning, documents, zones (5S), répartir les rôles et ressources.</t>
  </si>
  <si>
    <t>Organize the workstation, schedule, documents, and zones (5S); allocate roles and resources.</t>
  </si>
  <si>
    <t>Organizar el puesto, el planning, la documentación y las zonas (5S); asignar roles y recursos.</t>
  </si>
  <si>
    <t>decoupe / Découpe</t>
  </si>
  <si>
    <t>cutting; butchery/cutting stage</t>
  </si>
  <si>
    <r>
      <t>corte</t>
    </r>
    <r>
      <rPr>
        <sz val="11"/>
        <color theme="1"/>
        <rFont val="Calibri"/>
        <family val="2"/>
        <scheme val="minor"/>
      </rPr>
      <t>; despiece</t>
    </r>
  </si>
  <si>
    <t>Nom d’étape/atelier.</t>
  </si>
  <si>
    <t>Name of step/workstation.</t>
  </si>
  <si>
    <t>Nombre de etapa/taller.</t>
  </si>
  <si>
    <t>Dressage &amp; textures</t>
  </si>
  <si>
    <t>Plating &amp; textures</t>
  </si>
  <si>
    <t>Emplatado y texturas</t>
  </si>
  <si>
    <t>Découper</t>
  </si>
  <si>
    <t>cut; carve; slice</t>
  </si>
  <si>
    <t>cortar; trinchar/laminar</t>
  </si>
  <si>
    <t>Trancher/portionner/parer.</t>
  </si>
  <si>
    <t>Slice/portion/trim.</t>
  </si>
  <si>
    <t>Rebanar/porcionar/parear.</t>
  </si>
  <si>
    <t>dresser à la poche</t>
  </si>
  <si>
    <t>pipe with a pastry bag</t>
  </si>
  <si>
    <t>escudillar con manga pastelera</t>
  </si>
  <si>
    <t>planifier</t>
  </si>
  <si>
    <t>plan; schedule</t>
  </si>
  <si>
    <r>
      <t>planificar</t>
    </r>
    <r>
      <rPr>
        <sz val="11"/>
        <color theme="5" tint="-0.499984740745262"/>
        <rFont val="Calibri"/>
        <family val="2"/>
        <scheme val="minor"/>
      </rPr>
      <t>; programar</t>
    </r>
  </si>
  <si>
    <t>Définir tâches, ressources, capacités, jalons (Gantt, planning de four/étuve, équipes).</t>
  </si>
  <si>
    <t>Define tasks, resources, capacities, milestones (Gantt, oven/proofer schedule, teams).</t>
  </si>
  <si>
    <t>Definir tareas, recursos, capacidades, hitos (Gantt, planning de horno/cámara, equipos).</t>
  </si>
  <si>
    <t>Décuire (sucre/caramel)</t>
  </si>
  <si>
    <t>reduce stage by adding liquid</t>
  </si>
  <si>
    <r>
      <t>rebajar</t>
    </r>
    <r>
      <rPr>
        <sz val="11"/>
        <color theme="1"/>
        <rFont val="Calibri"/>
        <family val="2"/>
        <scheme val="minor"/>
      </rPr>
      <t xml:space="preserve"> (caramelo) con líquido</t>
    </r>
  </si>
  <si>
    <t>Ajouter eau/crème pour baisser la T° du sucre.</t>
  </si>
  <si>
    <t>Add water/cream to lower the sugar/caramel stage.</t>
  </si>
  <si>
    <t>Añadir agua/nata para bajar el punto del azúcar/caramelo.</t>
  </si>
  <si>
    <t>dresser sur assiette</t>
  </si>
  <si>
    <t>plate on the dish</t>
  </si>
  <si>
    <t>emplatar en el plato</t>
  </si>
  <si>
    <t>préparer</t>
  </si>
  <si>
    <t>prepare; get ready; set up</t>
  </si>
  <si>
    <r>
      <t>preparar</t>
    </r>
    <r>
      <rPr>
        <sz val="11"/>
        <color theme="5" tint="-0.499984740745262"/>
        <rFont val="Calibri"/>
        <family val="2"/>
        <scheme val="minor"/>
      </rPr>
      <t>; alistar</t>
    </r>
  </si>
  <si>
    <t>Mise en place, pesées, matériels, documents; préciser check-list/temps.</t>
  </si>
  <si>
    <t>Mise en place, weighing, equipment, documents; specify checklist/timing.</t>
  </si>
  <si>
    <r>
      <t>Mise en place</t>
    </r>
    <r>
      <rPr>
        <sz val="11"/>
        <color theme="5" tint="-0.499984740745262"/>
        <rFont val="Calibri"/>
        <family val="2"/>
        <scheme val="minor"/>
      </rPr>
      <t>, pesadas, equipos, documentos; especificar checklist/tiempos.</t>
    </r>
  </si>
  <si>
    <t>Déffilandrer (défilander)</t>
  </si>
  <si>
    <t>remove sinews/filaments</t>
  </si>
  <si>
    <r>
      <t>quitar fibras/nervios</t>
    </r>
    <r>
      <rPr>
        <sz val="11"/>
        <color theme="1"/>
        <rFont val="Calibri"/>
        <family val="2"/>
        <scheme val="minor"/>
      </rPr>
      <t>; deshilar</t>
    </r>
  </si>
  <si>
    <t>Viandes/poissons. Orthographe usuelle : défilander.</t>
  </si>
  <si>
    <t>Meats/fish: remove fibers/sinews; common spelling: “défilander.”</t>
  </si>
  <si>
    <t>Carnes/pescados: quitar fibras/nervios; ortografía habitual: «défilander».</t>
  </si>
  <si>
    <t>mixer et passer au chinois</t>
  </si>
  <si>
    <t>blend and strain through a chinois</t>
  </si>
  <si>
    <t>triturar y pasar por un chino</t>
  </si>
  <si>
    <t>présenter</t>
  </si>
  <si>
    <t>present; showcase; display</t>
  </si>
  <si>
    <r>
      <t>presentar</t>
    </r>
    <r>
      <rPr>
        <sz val="11"/>
        <color theme="5" tint="-0.499984740745262"/>
        <rFont val="Calibri"/>
        <family val="2"/>
        <scheme val="minor"/>
      </rPr>
      <t>; exhibir</t>
    </r>
  </si>
  <si>
    <t>Présentation d’un plat/produit/rapport; soigner dressage, visuels, étiquetage.</t>
  </si>
  <si>
    <t>Presentation of a dish/product/report; refine plating, visuals, labeling.</t>
  </si>
  <si>
    <t>Presentación de un plato/producto/informe; cuidar emplatado, visuales, etiquetado.</t>
  </si>
  <si>
    <t>Déglacer</t>
  </si>
  <si>
    <t>Deglaze</t>
  </si>
  <si>
    <t>Desglasar</t>
  </si>
  <si>
    <t>Dissoudre sucs avec vin/fond; réduire avant lier.</t>
  </si>
  <si>
    <t>Deglaze with wine/stock; reduce before thickening.</t>
  </si>
  <si>
    <t>Desglasar con vino/fondo; reducir antes de ligar.</t>
  </si>
  <si>
    <t>napper de sauce</t>
  </si>
  <si>
    <t>coat with sauce</t>
  </si>
  <si>
    <t>napar con salsa</t>
  </si>
  <si>
    <t>prévoir</t>
  </si>
  <si>
    <t>anticipate; forecast; plan ahead</t>
  </si>
  <si>
    <r>
      <t>prever</t>
    </r>
    <r>
      <rPr>
        <sz val="11"/>
        <color theme="5" tint="-0.499984740745262"/>
        <rFont val="Calibri"/>
        <family val="2"/>
        <scheme val="minor"/>
      </rPr>
      <t>; pronosticar; anticipar</t>
    </r>
  </si>
  <si>
    <t>Besoins matières, pics d’activité, risques; prévoir plans B (stock tampon, redondance).</t>
  </si>
  <si>
    <t>Material needs, activity peaks, risks; plan contingencies (buffer stock, redundancy).</t>
  </si>
  <si>
    <t>Necesidades de materiales, picos de actividad, riesgos; prever planes B (stock tampón, redundancia).</t>
  </si>
  <si>
    <t>Dégorger</t>
  </si>
  <si>
    <t>purge (in salt water); drain</t>
  </si>
  <si>
    <r>
      <t>desangrar/purgar</t>
    </r>
    <r>
      <rPr>
        <sz val="11"/>
        <color theme="1"/>
        <rFont val="Calibri"/>
        <family val="2"/>
        <scheme val="minor"/>
      </rPr>
      <t>; escurrir</t>
    </r>
  </si>
  <si>
    <t>Concombres/salage; abats/poissons à l’eau salée.Eau froide salée ou lait; changer l’eau si besoin.</t>
  </si>
  <si>
    <t>Purge with salt/purge in salted water (to degorge).Soak in cold salted water or milk; refresh as needed.</t>
  </si>
  <si>
    <t>Desangrar/purgar con sal o en agua salada.Desangrar en agua salada fría o leche; renovar.</t>
  </si>
  <si>
    <t>répartir le fond de cuisson</t>
  </si>
  <si>
    <t>distribute the cooking juices</t>
  </si>
  <si>
    <t>repartir el jugo de cocción</t>
  </si>
  <si>
    <t>produire</t>
  </si>
  <si>
    <t>produce; manufacture; make</t>
  </si>
  <si>
    <r>
      <t>producir</t>
    </r>
    <r>
      <rPr>
        <sz val="11"/>
        <color theme="5" tint="-0.499984740745262"/>
        <rFont val="Calibri"/>
        <family val="2"/>
        <scheme val="minor"/>
      </rPr>
      <t>; fabricar; elaborar</t>
    </r>
  </si>
  <si>
    <t>Fabrication conforme (qualité, traçabilité, rendement); suivre indicateurs (OEE, rebut).</t>
  </si>
  <si>
    <t>Compliant production (quality, traceability, yield); track KPIs (OEE, scrap).</t>
  </si>
  <si>
    <t>Producción conforme (calidad, trazabilidad, rendimiento); seguir KPIs (OEE, merma).</t>
  </si>
  <si>
    <t>Dégourdir</t>
  </si>
  <si>
    <t>take the chill off; temper slightly</t>
  </si>
  <si>
    <r>
      <t>atemperar</t>
    </r>
    <r>
      <rPr>
        <sz val="11"/>
        <color theme="1"/>
        <rFont val="Calibri"/>
        <family val="2"/>
        <scheme val="minor"/>
      </rPr>
      <t>; quitar el frío</t>
    </r>
  </si>
  <si>
    <t>Ramener proche T° ambiante avant travail.</t>
  </si>
  <si>
    <t>Bring close to room temperature before working (take the chill off).</t>
  </si>
  <si>
    <t>Atemperar/quitar el frío antes de trabajar.</t>
  </si>
  <si>
    <t>vérifier la consistance</t>
  </si>
  <si>
    <t>check the consistency</t>
  </si>
  <si>
    <t>comprobar la consistencia</t>
  </si>
  <si>
    <t>programmer</t>
  </si>
  <si>
    <t>program; schedule; set up</t>
  </si>
  <si>
    <r>
      <t>programar</t>
    </r>
    <r>
      <rPr>
        <sz val="11"/>
        <color theme="5" tint="-0.499984740745262"/>
        <rFont val="Calibri"/>
        <family val="2"/>
        <scheme val="minor"/>
      </rPr>
      <t>; configurar; calendarizar</t>
    </r>
  </si>
  <si>
    <t>Programmer machine/étuve, scripts, créneaux; préciser paramètres (temp., temps, cycle).</t>
  </si>
  <si>
    <t>Program a machine/proofer, scripts, time slots; specify parameters (temp, time, cycle).</t>
  </si>
  <si>
    <t>Programar máquina/cámara, scripts, franjas; especificar parámetros (temp., tiempo, ciclo).</t>
  </si>
  <si>
    <t>Dégraisser</t>
  </si>
  <si>
    <t>Degrease/Skim</t>
  </si>
  <si>
    <t>Desgrasar</t>
  </si>
  <si>
    <t>Écumer gras en surface pour sauce plus nette.</t>
  </si>
  <si>
    <t>Skim surface fat for cleaner sauce.</t>
  </si>
  <si>
    <t>Desgrasar la superficie para salsa limpia.</t>
  </si>
  <si>
    <t>Déhousser</t>
  </si>
  <si>
    <t>remove cover/casing</t>
  </si>
  <si>
    <r>
      <t>desenfundar</t>
    </r>
    <r>
      <rPr>
        <sz val="11"/>
        <color theme="1"/>
        <rFont val="Calibri"/>
        <family val="2"/>
        <scheme val="minor"/>
      </rPr>
      <t>; quitar funda</t>
    </r>
  </si>
  <si>
    <t>Jambons/produits enrobés de toile/housse.</t>
  </si>
  <si>
    <t>Remove the cloth/casing from hams/products.</t>
  </si>
  <si>
    <t>Desenfundar/quitar la funda de jamones/productos.</t>
  </si>
  <si>
    <t xml:space="preserve">Cooling </t>
  </si>
  <si>
    <t xml:space="preserve">Enfriado </t>
  </si>
  <si>
    <t>rebâtir</t>
  </si>
  <si>
    <t>rebuild; re-erect</t>
  </si>
  <si>
    <r>
      <t>reconstruir</t>
    </r>
    <r>
      <rPr>
        <sz val="11"/>
        <color theme="5" tint="-0.499984740745262"/>
        <rFont val="Calibri"/>
        <family val="2"/>
        <scheme val="minor"/>
      </rPr>
      <t>; reedificar</t>
    </r>
  </si>
  <si>
    <t>Refaire une structure/organisation sur des bases nouvelles.</t>
  </si>
  <si>
    <t>Rebuild a structure/organization from the ground up.</t>
  </si>
  <si>
    <t>Reconstruir una estructura/organización desde cero.</t>
  </si>
  <si>
    <t>Délayer</t>
  </si>
  <si>
    <t>dilute; thin out</t>
  </si>
  <si>
    <r>
      <t>diluir</t>
    </r>
    <r>
      <rPr>
        <sz val="11"/>
        <color theme="1"/>
        <rFont val="Calibri"/>
        <family val="2"/>
        <scheme val="minor"/>
      </rPr>
      <t>; desleír</t>
    </r>
  </si>
  <si>
    <t>Pâte/maïzena/levure dans liquide.</t>
  </si>
  <si>
    <t>Dilute flour/starch/yeast into liquid (make a slurry).</t>
  </si>
  <si>
    <t>Disolver harina/maicena/levadura en un líquido (hacer una papilla).</t>
  </si>
  <si>
    <t>filmer et stocker en chambre froide</t>
  </si>
  <si>
    <t>wrap and store in the cold room</t>
  </si>
  <si>
    <t>filmar y guardar en cámara frigorífica</t>
  </si>
  <si>
    <t>reconstruire</t>
  </si>
  <si>
    <t>rebuild; reconstruct</t>
  </si>
  <si>
    <t>reconstruir</t>
  </si>
  <si>
    <t>Après incident/changement majeur : process, équipe, bâtiment.</t>
  </si>
  <si>
    <t>After an incident/major change: process, team, building.</t>
  </si>
  <si>
    <t>Tras un incidente/cambio mayor: proceso, equipo, edificio.</t>
  </si>
  <si>
    <t>Démouler</t>
  </si>
  <si>
    <t>unmould</t>
  </si>
  <si>
    <t>desmoldar</t>
  </si>
  <si>
    <t>Sortir d’un moule/terrine.</t>
  </si>
  <si>
    <t>Unmold from a tin/terrine.</t>
  </si>
  <si>
    <t>Desmoldar de un molde/terrina.</t>
  </si>
  <si>
    <t>rafraîchir en eau glacée et égoutter</t>
  </si>
  <si>
    <t>chill in ice water and drain</t>
  </si>
  <si>
    <t>refrescar en agua helada y escurrir</t>
  </si>
  <si>
    <t>remodeler</t>
  </si>
  <si>
    <t>reshape; redesign</t>
  </si>
  <si>
    <r>
      <t>remodelar</t>
    </r>
    <r>
      <rPr>
        <sz val="11"/>
        <color theme="5" tint="-0.499984740745262"/>
        <rFont val="Calibri"/>
        <family val="2"/>
        <scheme val="minor"/>
      </rPr>
      <t>; rediseñar</t>
    </r>
  </si>
  <si>
    <t>Repenser formes/produit/poste/layout.</t>
  </si>
  <si>
    <t>Redesign shapes/product/station/layout.</t>
  </si>
  <si>
    <t>Rediseñar formas/producto/puesto/layout.</t>
  </si>
  <si>
    <t>Dénerver</t>
  </si>
  <si>
    <t>remove sinews/silverskin</t>
  </si>
  <si>
    <r>
      <t>desnervar</t>
    </r>
    <r>
      <rPr>
        <sz val="11"/>
        <color theme="1"/>
        <rFont val="Calibri"/>
        <family val="2"/>
        <scheme val="minor"/>
      </rPr>
      <t>; quitar telilla</t>
    </r>
  </si>
  <si>
    <t>Viandes/foie gras.</t>
  </si>
  <si>
    <t>Remove sinews from meat; devein foie gras.</t>
  </si>
  <si>
    <r>
      <t xml:space="preserve">Desnervar carne; desvenar </t>
    </r>
    <r>
      <rPr>
        <i/>
        <sz val="11"/>
        <color theme="1"/>
        <rFont val="Calibri"/>
        <family val="2"/>
        <scheme val="minor"/>
      </rPr>
      <t>foie gras</t>
    </r>
    <r>
      <rPr>
        <sz val="11"/>
        <color theme="1"/>
        <rFont val="Calibri"/>
        <family val="2"/>
        <scheme val="minor"/>
      </rPr>
      <t>.</t>
    </r>
  </si>
  <si>
    <t>rafraîchir et égoutter</t>
  </si>
  <si>
    <t>refresh/chill and drain</t>
  </si>
  <si>
    <t>refrescar y escurrir</t>
  </si>
  <si>
    <t>remplacer</t>
  </si>
  <si>
    <t>replace; swap out</t>
  </si>
  <si>
    <r>
      <t>reemplazar</t>
    </r>
    <r>
      <rPr>
        <sz val="11"/>
        <color theme="5" tint="-0.499984740745262"/>
        <rFont val="Calibri"/>
        <family val="2"/>
        <scheme val="minor"/>
      </rPr>
      <t>; sustituir</t>
    </r>
  </si>
  <si>
    <t>Pièce, ingrédient, personne (poste) ou lot non conforme.</t>
  </si>
  <si>
    <t>Replace a part/ingredient/person (position) or non-conforming batch.</t>
  </si>
  <si>
    <t>Sustituir una pieza/ingrediente/persona (puesto) o un lote no conforme.</t>
  </si>
  <si>
    <t>Dénoyauter</t>
  </si>
  <si>
    <t>stone; pit</t>
  </si>
  <si>
    <r>
      <t>deshuesar</t>
    </r>
    <r>
      <rPr>
        <sz val="11"/>
        <color theme="1"/>
        <rFont val="Calibri"/>
        <family val="2"/>
        <scheme val="minor"/>
      </rPr>
      <t xml:space="preserve"> (fruta) / quitar hueso</t>
    </r>
  </si>
  <si>
    <t>Cerises, abricots, olives.</t>
  </si>
  <si>
    <t>Pit/stone cherries, apricots, olives.</t>
  </si>
  <si>
    <t>Deshuesar cerezas, albaricoques y aceitunas.</t>
  </si>
  <si>
    <t>refroidir en cellule</t>
  </si>
  <si>
    <t>blast-chill</t>
  </si>
  <si>
    <t>abatir en abatidor</t>
  </si>
  <si>
    <t>rénover</t>
  </si>
  <si>
    <t>renovate; refurbish; upgrade</t>
  </si>
  <si>
    <r>
      <t>renovar</t>
    </r>
    <r>
      <rPr>
        <sz val="11"/>
        <color theme="5" tint="-0.499984740745262"/>
        <rFont val="Calibri"/>
        <family val="2"/>
        <scheme val="minor"/>
      </rPr>
      <t>; rehabilitar; modernizar</t>
    </r>
  </si>
  <si>
    <t>Locaux/équipements : mise à niveau technique/hygiène.</t>
  </si>
  <si>
    <t>Premises/equipment: technical/hygiene upgrade.</t>
  </si>
  <si>
    <t>Locales/equipos: puesta al día técnica/higiénica.</t>
  </si>
  <si>
    <t>Denteler</t>
  </si>
  <si>
    <t>crimp/scallop the edge</t>
  </si>
  <si>
    <r>
      <t>festonear</t>
    </r>
    <r>
      <rPr>
        <sz val="11"/>
        <color theme="1"/>
        <rFont val="Calibri"/>
        <family val="2"/>
        <scheme val="minor"/>
      </rPr>
      <t xml:space="preserve"> el borde</t>
    </r>
  </si>
  <si>
    <t>Bord de pâte avec pince/couteau.</t>
  </si>
  <si>
    <t>Crimp/scallop the pastry edge with pincers/knife.</t>
  </si>
  <si>
    <t>Festonear el borde de la masa con pinza/cuchillo.</t>
  </si>
  <si>
    <t>réserver au frais</t>
  </si>
  <si>
    <t>reservar en frío</t>
  </si>
  <si>
    <t>réorganiser</t>
  </si>
  <si>
    <t>reorganize; restructure</t>
  </si>
  <si>
    <r>
      <t>reorganizar</t>
    </r>
    <r>
      <rPr>
        <sz val="11"/>
        <color theme="5" tint="-0.499984740745262"/>
        <rFont val="Calibri"/>
        <family val="2"/>
        <scheme val="minor"/>
      </rPr>
      <t>; reestructurar</t>
    </r>
  </si>
  <si>
    <t>Redéfinir rôles/flux/implantation (5S, VSM).</t>
  </si>
  <si>
    <t>Redefine roles/flows/layout (5S, VSM).</t>
  </si>
  <si>
    <t>Redefinir roles/flujo/implantación (5S, VSM).</t>
  </si>
  <si>
    <t>Dépouiller</t>
  </si>
  <si>
    <t>Skin</t>
  </si>
  <si>
    <t>Desollar</t>
  </si>
  <si>
    <t>Retirer peau/peaux (poisson/sauce) pour fini net.</t>
  </si>
  <si>
    <t>Remove skin/scum for clean finish.</t>
  </si>
  <si>
    <t>Desollar/retirar natas para acabado limpio.</t>
  </si>
  <si>
    <t>réserver au froid</t>
  </si>
  <si>
    <t>keep chilled</t>
  </si>
  <si>
    <t>réparer</t>
  </si>
  <si>
    <t>repair; fix</t>
  </si>
  <si>
    <r>
      <t>reparar</t>
    </r>
    <r>
      <rPr>
        <sz val="11"/>
        <color theme="5" tint="-0.499984740745262"/>
        <rFont val="Calibri"/>
        <family val="2"/>
        <scheme val="minor"/>
      </rPr>
      <t>; arreglar</t>
    </r>
  </si>
  <si>
    <t>Maintenance corrective sur machine/outillage/structure.</t>
  </si>
  <si>
    <t>Corrective maintenance on machine/tooling/structure.</t>
  </si>
  <si>
    <t>Mantenimiento correctivo en máquina/herramental/estructura.</t>
  </si>
  <si>
    <t>Dépouiller (sauce)</t>
  </si>
  <si>
    <t>skim while reducing</t>
  </si>
  <si>
    <r>
      <t>desespumar</t>
    </r>
    <r>
      <rPr>
        <sz val="11"/>
        <color theme="1"/>
        <rFont val="Calibri"/>
        <family val="2"/>
        <scheme val="minor"/>
      </rPr>
      <t xml:space="preserve"> / espumar</t>
    </r>
  </si>
  <si>
    <t>Retirer écume/impuretés en réduction.</t>
  </si>
  <si>
    <t>Skim off scum/impurities while reducing.</t>
  </si>
  <si>
    <t>Desespumar/retirar impurezas durante la reducción.</t>
  </si>
  <si>
    <t>store in the cold room</t>
  </si>
  <si>
    <t>résoudre</t>
  </si>
  <si>
    <t>solve; resolve</t>
  </si>
  <si>
    <r>
      <t>resolver</t>
    </r>
    <r>
      <rPr>
        <sz val="11"/>
        <color theme="5" tint="-0.499984740745262"/>
        <rFont val="Calibri"/>
        <family val="2"/>
        <scheme val="minor"/>
      </rPr>
      <t>; solucionar</t>
    </r>
  </si>
  <si>
    <t>Problème/incident : méthode 5 Why, Ishikawa, action plan.</t>
  </si>
  <si>
    <t>Problem/incident: 5 Whys, Ishikawa, action plan.</t>
  </si>
  <si>
    <t>Problema/incidente: 5 Porqués, Ishikawa, plan de acción.</t>
  </si>
  <si>
    <t>Dérober (tomates/haricots)</t>
  </si>
  <si>
    <t>peel after blanching</t>
  </si>
  <si>
    <t>pelar tras escaldar</t>
  </si>
  <si>
    <t>Inciser, blanchir, rafraîchir, peler.</t>
  </si>
  <si>
    <t>Score, blanch, refresh, peel.</t>
  </si>
  <si>
    <t>Hacer incisiones, escaldar, refrescar, pelar.</t>
  </si>
  <si>
    <t>réviser</t>
  </si>
  <si>
    <t>revise; service; review</t>
  </si>
  <si>
    <r>
      <t>revisar</t>
    </r>
    <r>
      <rPr>
        <sz val="11"/>
        <color theme="5" tint="-0.499984740745262"/>
        <rFont val="Calibri"/>
        <family val="2"/>
        <scheme val="minor"/>
      </rPr>
      <t>; hacer una revisión</t>
    </r>
  </si>
  <si>
    <t>Réviser un document/process ; maintenance périodique.</t>
  </si>
  <si>
    <t>Revise a document/process; periodic servicing.</t>
  </si>
  <si>
    <t>Revisar un documento/proceso; mantenimiento periódico.</t>
  </si>
  <si>
    <t>desemballage</t>
  </si>
  <si>
    <t>Noun.</t>
  </si>
  <si>
    <t>Noun (part of speech).</t>
  </si>
  <si>
    <t>Sustantivo.</t>
  </si>
  <si>
    <t>service</t>
  </si>
  <si>
    <t>servicio</t>
  </si>
  <si>
    <t>revoir</t>
  </si>
  <si>
    <t>review; reassess</t>
  </si>
  <si>
    <r>
      <t>revisar</t>
    </r>
    <r>
      <rPr>
        <sz val="11"/>
        <color theme="5" tint="-0.499984740745262"/>
        <rFont val="Calibri"/>
        <family val="2"/>
        <scheme val="minor"/>
      </rPr>
      <t>; reconsiderar</t>
    </r>
  </si>
  <si>
    <t>Relecture/ajustement d’une recette, procédure, plan.</t>
  </si>
  <si>
    <t>Review/adjust a recipe, procedure, plan.</t>
  </si>
  <si>
    <t>Revisión/ajuste de una receta, procedimiento, plan.</t>
  </si>
  <si>
    <t>Désemballer</t>
  </si>
  <si>
    <t>unpack</t>
  </si>
  <si>
    <t>desembalar</t>
  </si>
  <si>
    <t>Verbe.</t>
  </si>
  <si>
    <t>Verb (part of speech).</t>
  </si>
  <si>
    <t>Verbo.</t>
  </si>
  <si>
    <t>servir tiède</t>
  </si>
  <si>
    <t>serve lukewarm</t>
  </si>
  <si>
    <t>servir templado</t>
  </si>
  <si>
    <t>Désinfecter</t>
  </si>
  <si>
    <t>disinfect; sanitize</t>
  </si>
  <si>
    <r>
      <t>desinfectar</t>
    </r>
    <r>
      <rPr>
        <sz val="11"/>
        <color theme="1"/>
        <rFont val="Calibri"/>
        <family val="2"/>
        <scheme val="minor"/>
      </rPr>
      <t>; sanitizar</t>
    </r>
  </si>
  <si>
    <t>Surfaces/matériel HACCP.</t>
  </si>
  <si>
    <t>Surfaces/equipment per HACCP protocol.</t>
  </si>
  <si>
    <t>Superficies/equipos según protocolo APPCC.</t>
  </si>
  <si>
    <t>Suivre</t>
  </si>
  <si>
    <t>Follow</t>
  </si>
  <si>
    <t>Seguir</t>
  </si>
  <si>
    <t>Strictly follow procedures/times/temps.</t>
  </si>
  <si>
    <t>Seguir estrictamente procedimientos/tiempos/T°.</t>
  </si>
  <si>
    <t>desinfection</t>
  </si>
  <si>
    <t>disinfection (sanitation)</t>
  </si>
  <si>
    <t>desinfección</t>
  </si>
  <si>
    <t>Nom d’étape/procédure.</t>
  </si>
  <si>
    <t>Name of step/procedure.</t>
  </si>
  <si>
    <t>Nombre de etapa/procedimiento.</t>
  </si>
  <si>
    <t>Préparation &amp; mélange</t>
  </si>
  <si>
    <t>Preparation &amp; mixing</t>
  </si>
  <si>
    <t>Preparación y mezcla</t>
  </si>
  <si>
    <t>sensibiliser</t>
  </si>
  <si>
    <t>raise awareness; brief</t>
  </si>
  <si>
    <r>
      <t>sensibilizar</t>
    </r>
    <r>
      <rPr>
        <sz val="11"/>
        <color theme="5" tint="-0.499984740745262"/>
        <rFont val="Calibri"/>
        <family val="2"/>
        <scheme val="minor"/>
      </rPr>
      <t>; concienciar</t>
    </r>
  </si>
  <si>
    <t>Informer/former aux risques, allergènes, bonnes pratiques (HACCP, sécurité).</t>
  </si>
  <si>
    <t>Raise awareness/train on risks, allergens, and best practices (HACCP, safety).</t>
  </si>
  <si>
    <t>Sensibilizar/formar sobre riesgos, alérgenos y buenas prácticas (APPCC, seguridad).</t>
  </si>
  <si>
    <t>Désosser</t>
  </si>
  <si>
    <t>bone; debone</t>
  </si>
  <si>
    <t>deshuesar</t>
  </si>
  <si>
    <t>Boucherie/volaille/poisson (“désarêter” = fish).</t>
  </si>
  <si>
    <t>Butchery/poultry/fish: remove bones; fish: debone/“debone fish.”</t>
  </si>
  <si>
    <t>Carnicería/aves/pescado: deshuesar; pescado: desespinar.</t>
  </si>
  <si>
    <t>simplifier</t>
  </si>
  <si>
    <t>simplify; streamline</t>
  </si>
  <si>
    <r>
      <t>simplificar</t>
    </r>
    <r>
      <rPr>
        <sz val="11"/>
        <color theme="5" tint="-0.499984740745262"/>
        <rFont val="Calibri"/>
        <family val="2"/>
        <scheme val="minor"/>
      </rPr>
      <t>; agilizar</t>
    </r>
  </si>
  <si>
    <t>Réduire étapes, clics, formats; supprimer gaspillages (LEAN).</t>
  </si>
  <si>
    <t>Simplify/streamline steps, clicks, formats; eliminate waste (LEAN).</t>
  </si>
  <si>
    <t>Simplificar/agilizar pasos, clics y formatos; eliminar desperdicios (LEAN).</t>
  </si>
  <si>
    <t>Dessécher</t>
  </si>
  <si>
    <t>dry out; cook to dry</t>
  </si>
  <si>
    <r>
      <t>secar</t>
    </r>
    <r>
      <rPr>
        <sz val="11"/>
        <color theme="1"/>
        <rFont val="Calibri"/>
        <family val="2"/>
        <scheme val="minor"/>
      </rPr>
      <t xml:space="preserve"> / desecar</t>
    </r>
  </si>
  <si>
    <t>Pâte à choux en casserole, purées.</t>
  </si>
  <si>
    <t>Dry out choux paste in the pan; purées (cook off moisture).</t>
  </si>
  <si>
    <t>Desecar pasta choux en cazo; purés (evaporar humedad).</t>
  </si>
  <si>
    <r>
      <t xml:space="preserve">faire une pesée → </t>
    </r>
    <r>
      <rPr>
        <b/>
        <sz val="12"/>
        <color theme="1"/>
        <rFont val="Calibri"/>
        <family val="2"/>
        <scheme val="minor"/>
      </rPr>
      <t>peser</t>
    </r>
    <r>
      <rPr>
        <sz val="12"/>
        <color theme="1"/>
        <rFont val="Calibri"/>
        <family val="2"/>
        <scheme val="minor"/>
      </rPr>
      <t xml:space="preserve"> → weigh → </t>
    </r>
    <r>
      <rPr>
        <b/>
        <sz val="12"/>
        <color theme="1"/>
        <rFont val="Calibri"/>
        <family val="2"/>
        <scheme val="minor"/>
      </rPr>
      <t>pesar</t>
    </r>
  </si>
  <si>
    <t>soulever</t>
  </si>
  <si>
    <t>lift; raise</t>
  </si>
  <si>
    <r>
      <t>levantar</t>
    </r>
    <r>
      <rPr>
        <sz val="11"/>
        <color theme="5" tint="-0.499984740745262"/>
        <rFont val="Calibri"/>
        <family val="2"/>
        <scheme val="minor"/>
      </rPr>
      <t>; alzar</t>
    </r>
  </si>
  <si>
    <t>Soulever charges/plaques en posture sûre (EPI, gestes et postures).</t>
  </si>
  <si>
    <t>Lift loads/trays with safe posture (PPE, ergonomics).</t>
  </si>
  <si>
    <t>Levantar cargas/bandejas con postura segura (EPP, ergonomía).</t>
  </si>
  <si>
    <t>dessiner</t>
  </si>
  <si>
    <t>draw; sketch; design</t>
  </si>
  <si>
    <r>
      <t>dibujar</t>
    </r>
    <r>
      <rPr>
        <sz val="11"/>
        <color theme="1"/>
        <rFont val="Calibri"/>
        <family val="2"/>
        <scheme val="minor"/>
      </rPr>
      <t xml:space="preserve">; </t>
    </r>
    <r>
      <rPr>
        <b/>
        <sz val="11"/>
        <color theme="1"/>
        <rFont val="Calibri"/>
        <family val="2"/>
        <scheme val="minor"/>
      </rPr>
      <t>diseñar</t>
    </r>
  </si>
  <si>
    <t>Croquis de poste/layout, schéma de pièce, design d’étiquette/pack.</t>
  </si>
  <si>
    <t>Sketch a station/layout, part diagram, label/pack design.</t>
  </si>
  <si>
    <t>Bocetar un puesto/layout, esquema de pieza, diseño de etiqueta/envase.</t>
  </si>
  <si>
    <r>
      <t xml:space="preserve">faire un mélange → </t>
    </r>
    <r>
      <rPr>
        <b/>
        <sz val="12"/>
        <color theme="1"/>
        <rFont val="Calibri"/>
        <family val="2"/>
        <scheme val="minor"/>
      </rPr>
      <t xml:space="preserve">mélanger / incorporer / </t>
    </r>
    <r>
      <rPr>
        <b/>
        <i/>
        <sz val="12"/>
        <color theme="1"/>
        <rFont val="Calibri"/>
        <family val="2"/>
        <scheme val="minor"/>
      </rPr>
      <t>envelopper</t>
    </r>
    <r>
      <rPr>
        <sz val="12"/>
        <color theme="1"/>
        <rFont val="Calibri"/>
        <family val="2"/>
        <scheme val="minor"/>
      </rPr>
      <t xml:space="preserve"> → mix / fold in → </t>
    </r>
    <r>
      <rPr>
        <b/>
        <sz val="12"/>
        <color theme="1"/>
        <rFont val="Calibri"/>
        <family val="2"/>
        <scheme val="minor"/>
      </rPr>
      <t>mezclar / envolver</t>
    </r>
  </si>
  <si>
    <t>standardiser</t>
  </si>
  <si>
    <t>standardize; harmonize</t>
  </si>
  <si>
    <r>
      <t>estandarizar</t>
    </r>
    <r>
      <rPr>
        <sz val="11"/>
        <color theme="5" tint="-0.499984740745262"/>
        <rFont val="Calibri"/>
        <family val="2"/>
        <scheme val="minor"/>
      </rPr>
      <t>; homologar</t>
    </r>
  </si>
  <si>
    <t>Définir standards (recette, réglage, format d’étiquette), 5S/« standard work ».</t>
  </si>
  <si>
    <t>Define standards (recipe, settings, label format), 5S/standard work.</t>
  </si>
  <si>
    <r>
      <t>Definir estándares (receta, ajustes, formato de etiqueta), 5S/</t>
    </r>
    <r>
      <rPr>
        <i/>
        <sz val="11"/>
        <color theme="5" tint="-0.499984740745262"/>
        <rFont val="Calibri"/>
        <family val="2"/>
        <scheme val="minor"/>
      </rPr>
      <t>standard work</t>
    </r>
    <r>
      <rPr>
        <sz val="11"/>
        <color theme="5" tint="-0.499984740745262"/>
        <rFont val="Calibri"/>
        <family val="2"/>
        <scheme val="minor"/>
      </rPr>
      <t>.</t>
    </r>
  </si>
  <si>
    <t>dessouvidage</t>
  </si>
  <si>
    <t>removal from vacuum pack</t>
  </si>
  <si>
    <t>salida de sous-vide</t>
  </si>
  <si>
    <t>Nom d’étape.</t>
  </si>
  <si>
    <t>Step name.</t>
  </si>
  <si>
    <t>Nombre de etapa.</t>
  </si>
  <si>
    <r>
      <t xml:space="preserve">faire une pâte → </t>
    </r>
    <r>
      <rPr>
        <b/>
        <sz val="12"/>
        <color theme="1"/>
        <rFont val="Calibri"/>
        <family val="2"/>
        <scheme val="minor"/>
      </rPr>
      <t>pétrir / préparer la pâte</t>
    </r>
    <r>
      <rPr>
        <sz val="12"/>
        <color theme="1"/>
        <rFont val="Calibri"/>
        <family val="2"/>
        <scheme val="minor"/>
      </rPr>
      <t xml:space="preserve"> → knead / make the dough → </t>
    </r>
    <r>
      <rPr>
        <b/>
        <sz val="12"/>
        <color theme="1"/>
        <rFont val="Calibri"/>
        <family val="2"/>
        <scheme val="minor"/>
      </rPr>
      <t>amasar / preparar la masa</t>
    </r>
  </si>
  <si>
    <t>superviser</t>
  </si>
  <si>
    <t>supervise; oversee</t>
  </si>
  <si>
    <r>
      <t>supervisar</t>
    </r>
    <r>
      <rPr>
        <sz val="11"/>
        <color theme="5" tint="-0.499984740745262"/>
        <rFont val="Calibri"/>
        <family val="2"/>
        <scheme val="minor"/>
      </rPr>
      <t>; coordinar</t>
    </r>
  </si>
  <si>
    <t>Encadrer l’exécution, prioriser, débloquer, valider en temps réel.</t>
  </si>
  <si>
    <t>Supervise execution, prioritize, unblock, and validate in real time.</t>
  </si>
  <si>
    <t>Supervisar la ejecución, priorizar, destrabar y validar en tiempo real.</t>
  </si>
  <si>
    <t>Dessouvider</t>
  </si>
  <si>
    <t>remove from vacuum bag</t>
  </si>
  <si>
    <t>sacar del vacío</t>
  </si>
  <si>
    <t>Ouvrir et extraire le produit.</t>
  </si>
  <si>
    <t>Open and remove the product (from its pack).</t>
  </si>
  <si>
    <t>Abrir y extraer el producto (del envase).</t>
  </si>
  <si>
    <r>
      <t xml:space="preserve">faire une farce → </t>
    </r>
    <r>
      <rPr>
        <b/>
        <sz val="12"/>
        <color theme="1"/>
        <rFont val="Calibri"/>
        <family val="2"/>
        <scheme val="minor"/>
      </rPr>
      <t>farcir / préparer la farce</t>
    </r>
    <r>
      <rPr>
        <sz val="12"/>
        <color theme="1"/>
        <rFont val="Calibri"/>
        <family val="2"/>
        <scheme val="minor"/>
      </rPr>
      <t xml:space="preserve"> → make filling / stuff → </t>
    </r>
    <r>
      <rPr>
        <b/>
        <sz val="12"/>
        <color theme="1"/>
        <rFont val="Calibri"/>
        <family val="2"/>
        <scheme val="minor"/>
      </rPr>
      <t>preparar el relleno / rellenar</t>
    </r>
  </si>
  <si>
    <t>surveiller</t>
  </si>
  <si>
    <t>monitor; keep an eye on</t>
  </si>
  <si>
    <r>
      <t>vigilar</t>
    </r>
    <r>
      <rPr>
        <sz val="11"/>
        <color theme="5" tint="-0.499984740745262"/>
        <rFont val="Calibri"/>
        <family val="2"/>
        <scheme val="minor"/>
      </rPr>
      <t>; monitorizar</t>
    </r>
  </si>
  <si>
    <t>Suivre T°, temps, niveaux, OEE; alarmes et seuils de contrôle.</t>
  </si>
  <si>
    <t>Monitor temp, time, levels, OEE; alarms and control limits.</t>
  </si>
  <si>
    <t>Monitorizar T°, tiempo, niveles, OEE; alarmas y límites de control.</t>
  </si>
  <si>
    <t>destockage</t>
  </si>
  <si>
    <t>destocking; stock drawdown</t>
  </si>
  <si>
    <t>desestocaje</t>
  </si>
  <si>
    <t>Gestion de stocks.</t>
  </si>
  <si>
    <t>Inventory/stock management.</t>
  </si>
  <si>
    <t>Gestión de existencias/stock.</t>
  </si>
  <si>
    <r>
      <t xml:space="preserve">faire une marinade → </t>
    </r>
    <r>
      <rPr>
        <b/>
        <sz val="12"/>
        <color theme="1"/>
        <rFont val="Calibri"/>
        <family val="2"/>
        <scheme val="minor"/>
      </rPr>
      <t>mariner / préparer la marinade</t>
    </r>
    <r>
      <rPr>
        <sz val="12"/>
        <color theme="1"/>
        <rFont val="Calibri"/>
        <family val="2"/>
        <scheme val="minor"/>
      </rPr>
      <t xml:space="preserve"> → marinate / make a marinade → </t>
    </r>
    <r>
      <rPr>
        <b/>
        <sz val="12"/>
        <color theme="1"/>
        <rFont val="Calibri"/>
        <family val="2"/>
        <scheme val="minor"/>
      </rPr>
      <t>marinar / preparar la marinada</t>
    </r>
  </si>
  <si>
    <t>Destocker</t>
  </si>
  <si>
    <t>destock; run down stock</t>
  </si>
  <si>
    <t>desestocar</t>
  </si>
  <si>
    <t>Action.</t>
  </si>
  <si>
    <t>Action (verb).</t>
  </si>
  <si>
    <t>Acción (verbo).</t>
  </si>
  <si>
    <r>
      <t xml:space="preserve">faire une émulsion → </t>
    </r>
    <r>
      <rPr>
        <b/>
        <sz val="12"/>
        <color theme="1"/>
        <rFont val="Calibri"/>
        <family val="2"/>
        <scheme val="minor"/>
      </rPr>
      <t>émulsionner</t>
    </r>
    <r>
      <rPr>
        <sz val="12"/>
        <color theme="1"/>
        <rFont val="Calibri"/>
        <family val="2"/>
        <scheme val="minor"/>
      </rPr>
      <t xml:space="preserve"> → emulsify → </t>
    </r>
    <r>
      <rPr>
        <b/>
        <sz val="12"/>
        <color theme="1"/>
        <rFont val="Calibri"/>
        <family val="2"/>
        <scheme val="minor"/>
      </rPr>
      <t>emulsionar</t>
    </r>
  </si>
  <si>
    <t>transformer</t>
  </si>
  <si>
    <t>transform; process; convert</t>
  </si>
  <si>
    <r>
      <t>transformar</t>
    </r>
    <r>
      <rPr>
        <sz val="11"/>
        <color theme="5" tint="-0.499984740745262"/>
        <rFont val="Calibri"/>
        <family val="2"/>
        <scheme val="minor"/>
      </rPr>
      <t>; procesar; convertir</t>
    </r>
  </si>
  <si>
    <t>Transformer matières en produits (découpe, cuisson, mélange) ou données en infos actionnables (ETL).</t>
  </si>
  <si>
    <t>Transform raw materials into products (cutting, cooking, mixing) or data into actionable information (ETL).</t>
  </si>
  <si>
    <t>Transformar materias primas en productos (corte, cocción, mezcla) o datos en información accionable (ETL).</t>
  </si>
  <si>
    <t>Détailler</t>
  </si>
  <si>
    <t>cut into (dice/slices); portion</t>
  </si>
  <si>
    <r>
      <t>detallar</t>
    </r>
    <r>
      <rPr>
        <sz val="11"/>
        <color theme="1"/>
        <rFont val="Calibri"/>
        <family val="2"/>
        <scheme val="minor"/>
      </rPr>
      <t>; cortar en…</t>
    </r>
  </si>
  <si>
    <t>« Détailler en brunoise, en bâtons… ».</t>
  </si>
  <si>
    <t>“Cut into brunoise, into batons, etc.”</t>
  </si>
  <si>
    <t>«Cortar en brunoise, en bastones…».</t>
  </si>
  <si>
    <r>
      <t xml:space="preserve">faire une meringue → </t>
    </r>
    <r>
      <rPr>
        <b/>
        <sz val="12"/>
        <color theme="1"/>
        <rFont val="Calibri"/>
        <family val="2"/>
        <scheme val="minor"/>
      </rPr>
      <t>meringuer / monter les blancs</t>
    </r>
    <r>
      <rPr>
        <sz val="12"/>
        <color theme="1"/>
        <rFont val="Calibri"/>
        <family val="2"/>
        <scheme val="minor"/>
      </rPr>
      <t xml:space="preserve"> → make meringue / whip whites → </t>
    </r>
    <r>
      <rPr>
        <b/>
        <sz val="12"/>
        <color theme="1"/>
        <rFont val="Calibri"/>
        <family val="2"/>
        <scheme val="minor"/>
      </rPr>
      <t>merengar / montar claras</t>
    </r>
  </si>
  <si>
    <t>U</t>
  </si>
  <si>
    <t>Détendre</t>
  </si>
  <si>
    <t>loosen; thin; relax</t>
  </si>
  <si>
    <r>
      <t>aflojar</t>
    </r>
    <r>
      <rPr>
        <sz val="11"/>
        <color theme="1"/>
        <rFont val="Calibri"/>
        <family val="2"/>
        <scheme val="minor"/>
      </rPr>
      <t>; aligerar</t>
    </r>
  </si>
  <si>
    <t>Assouplir pâte/sauce (ajout liquide / repos).</t>
  </si>
  <si>
    <t>Loosen/relax a dough/sauce (add liquid/rest).</t>
  </si>
  <si>
    <t>Aflojar/relajar una masa/salsa (añadir líquido/reposo).</t>
  </si>
  <si>
    <t>utiliser</t>
  </si>
  <si>
    <t>use; employ; utilize</t>
  </si>
  <si>
    <r>
      <t>usar</t>
    </r>
    <r>
      <rPr>
        <sz val="11"/>
        <color theme="5" tint="-0.499984740745262"/>
        <rFont val="Calibri"/>
        <family val="2"/>
        <scheme val="minor"/>
      </rPr>
      <t>; emplear; utilizar</t>
    </r>
  </si>
  <si>
    <r>
      <t xml:space="preserve">Verbe générique. Dans les fiches, préciser l’action : </t>
    </r>
    <r>
      <rPr>
        <i/>
        <sz val="11"/>
        <color theme="5" tint="-0.499984740745262"/>
        <rFont val="Calibri"/>
        <family val="2"/>
        <scheme val="minor"/>
      </rPr>
      <t>utiliser des gants</t>
    </r>
    <r>
      <rPr>
        <sz val="11"/>
        <color theme="5" tint="-0.499984740745262"/>
        <rFont val="Calibri"/>
        <family val="2"/>
        <scheme val="minor"/>
      </rPr>
      <t xml:space="preserve"> → </t>
    </r>
    <r>
      <rPr>
        <b/>
        <sz val="11"/>
        <color theme="5" tint="-0.499984740745262"/>
        <rFont val="Calibri"/>
        <family val="2"/>
        <scheme val="minor"/>
      </rPr>
      <t>put on/use gloves</t>
    </r>
    <r>
      <rPr>
        <sz val="11"/>
        <color theme="5" tint="-0.499984740745262"/>
        <rFont val="Calibri"/>
        <family val="2"/>
        <scheme val="minor"/>
      </rPr>
      <t xml:space="preserve"> (ES: </t>
    </r>
    <r>
      <rPr>
        <b/>
        <sz val="11"/>
        <color theme="5" tint="-0.499984740745262"/>
        <rFont val="Calibri"/>
        <family val="2"/>
        <scheme val="minor"/>
      </rPr>
      <t>ponerse/usar guantes</t>
    </r>
    <r>
      <rPr>
        <sz val="11"/>
        <color theme="5" tint="-0.499984740745262"/>
        <rFont val="Calibri"/>
        <family val="2"/>
        <scheme val="minor"/>
      </rPr>
      <t xml:space="preserve">), </t>
    </r>
    <r>
      <rPr>
        <i/>
        <sz val="11"/>
        <color theme="5" tint="-0.499984740745262"/>
        <rFont val="Calibri"/>
        <family val="2"/>
        <scheme val="minor"/>
      </rPr>
      <t>utiliser la sonde</t>
    </r>
    <r>
      <rPr>
        <sz val="11"/>
        <color theme="5" tint="-0.499984740745262"/>
        <rFont val="Calibri"/>
        <family val="2"/>
        <scheme val="minor"/>
      </rPr>
      <t xml:space="preserve"> → </t>
    </r>
    <r>
      <rPr>
        <b/>
        <sz val="11"/>
        <color theme="5" tint="-0.499984740745262"/>
        <rFont val="Calibri"/>
        <family val="2"/>
        <scheme val="minor"/>
      </rPr>
      <t>use the probe</t>
    </r>
    <r>
      <rPr>
        <sz val="11"/>
        <color theme="5" tint="-0.499984740745262"/>
        <rFont val="Calibri"/>
        <family val="2"/>
        <scheme val="minor"/>
      </rPr>
      <t xml:space="preserve"> (ES: </t>
    </r>
    <r>
      <rPr>
        <b/>
        <sz val="11"/>
        <color theme="5" tint="-0.499984740745262"/>
        <rFont val="Calibri"/>
        <family val="2"/>
        <scheme val="minor"/>
      </rPr>
      <t>usar la sonda</t>
    </r>
    <r>
      <rPr>
        <sz val="11"/>
        <color theme="5" tint="-0.499984740745262"/>
        <rFont val="Calibri"/>
        <family val="2"/>
        <scheme val="minor"/>
      </rPr>
      <t xml:space="preserve">), </t>
    </r>
    <r>
      <rPr>
        <i/>
        <sz val="11"/>
        <color theme="5" tint="-0.499984740745262"/>
        <rFont val="Calibri"/>
        <family val="2"/>
        <scheme val="minor"/>
      </rPr>
      <t>utiliser la cellule</t>
    </r>
    <r>
      <rPr>
        <sz val="11"/>
        <color theme="5" tint="-0.499984740745262"/>
        <rFont val="Calibri"/>
        <family val="2"/>
        <scheme val="minor"/>
      </rPr>
      <t xml:space="preserve"> → </t>
    </r>
    <r>
      <rPr>
        <b/>
        <sz val="11"/>
        <color theme="5" tint="-0.499984740745262"/>
        <rFont val="Calibri"/>
        <family val="2"/>
        <scheme val="minor"/>
      </rPr>
      <t>use the blast chiller</t>
    </r>
    <r>
      <rPr>
        <sz val="11"/>
        <color theme="5" tint="-0.499984740745262"/>
        <rFont val="Calibri"/>
        <family val="2"/>
        <scheme val="minor"/>
      </rPr>
      <t xml:space="preserve"> (ES: </t>
    </r>
    <r>
      <rPr>
        <b/>
        <sz val="11"/>
        <color theme="5" tint="-0.499984740745262"/>
        <rFont val="Calibri"/>
        <family val="2"/>
        <scheme val="minor"/>
      </rPr>
      <t>usar el abatidor</t>
    </r>
    <r>
      <rPr>
        <sz val="11"/>
        <color theme="5" tint="-0.499984740745262"/>
        <rFont val="Calibri"/>
        <family val="2"/>
        <scheme val="minor"/>
      </rPr>
      <t>).</t>
    </r>
  </si>
  <si>
    <r>
      <t xml:space="preserve">Generic verb. In pro sheets, specify the action: </t>
    </r>
    <r>
      <rPr>
        <b/>
        <sz val="11"/>
        <color theme="5" tint="-0.499984740745262"/>
        <rFont val="Calibri"/>
        <family val="2"/>
        <scheme val="minor"/>
      </rPr>
      <t>put on/use gloves</t>
    </r>
    <r>
      <rPr>
        <sz val="11"/>
        <color theme="5" tint="-0.499984740745262"/>
        <rFont val="Calibri"/>
        <family val="2"/>
        <scheme val="minor"/>
      </rPr>
      <t xml:space="preserve">; </t>
    </r>
    <r>
      <rPr>
        <b/>
        <sz val="11"/>
        <color theme="5" tint="-0.499984740745262"/>
        <rFont val="Calibri"/>
        <family val="2"/>
        <scheme val="minor"/>
      </rPr>
      <t>use the probe</t>
    </r>
    <r>
      <rPr>
        <sz val="11"/>
        <color theme="5" tint="-0.499984740745262"/>
        <rFont val="Calibri"/>
        <family val="2"/>
        <scheme val="minor"/>
      </rPr>
      <t xml:space="preserve">; </t>
    </r>
    <r>
      <rPr>
        <b/>
        <sz val="11"/>
        <color theme="5" tint="-0.499984740745262"/>
        <rFont val="Calibri"/>
        <family val="2"/>
        <scheme val="minor"/>
      </rPr>
      <t>use the blast chiller</t>
    </r>
    <r>
      <rPr>
        <sz val="11"/>
        <color theme="5" tint="-0.499984740745262"/>
        <rFont val="Calibri"/>
        <family val="2"/>
        <scheme val="minor"/>
      </rPr>
      <t>.</t>
    </r>
  </si>
  <si>
    <r>
      <t xml:space="preserve">Verbo genérico. En fichas, precisa la acción: </t>
    </r>
    <r>
      <rPr>
        <b/>
        <sz val="11"/>
        <color theme="5" tint="-0.499984740745262"/>
        <rFont val="Calibri"/>
        <family val="2"/>
        <scheme val="minor"/>
      </rPr>
      <t>ponerse/usar guantes</t>
    </r>
    <r>
      <rPr>
        <sz val="11"/>
        <color theme="5" tint="-0.499984740745262"/>
        <rFont val="Calibri"/>
        <family val="2"/>
        <scheme val="minor"/>
      </rPr>
      <t xml:space="preserve">; </t>
    </r>
    <r>
      <rPr>
        <b/>
        <sz val="11"/>
        <color theme="5" tint="-0.499984740745262"/>
        <rFont val="Calibri"/>
        <family val="2"/>
        <scheme val="minor"/>
      </rPr>
      <t>usar la sonda</t>
    </r>
    <r>
      <rPr>
        <sz val="11"/>
        <color theme="5" tint="-0.499984740745262"/>
        <rFont val="Calibri"/>
        <family val="2"/>
        <scheme val="minor"/>
      </rPr>
      <t xml:space="preserve">; </t>
    </r>
    <r>
      <rPr>
        <b/>
        <sz val="11"/>
        <color theme="5" tint="-0.499984740745262"/>
        <rFont val="Calibri"/>
        <family val="2"/>
        <scheme val="minor"/>
      </rPr>
      <t>usar el abatidor</t>
    </r>
    <r>
      <rPr>
        <sz val="11"/>
        <color theme="5" tint="-0.499984740745262"/>
        <rFont val="Calibri"/>
        <family val="2"/>
        <scheme val="minor"/>
      </rPr>
      <t>.</t>
    </r>
  </si>
  <si>
    <t>Détremper</t>
  </si>
  <si>
    <t>moisten; make the détrempe</t>
  </si>
  <si>
    <r>
      <t>amasar la “détrempe”</t>
    </r>
    <r>
      <rPr>
        <sz val="11"/>
        <color theme="1"/>
        <rFont val="Calibri"/>
        <family val="2"/>
        <scheme val="minor"/>
      </rPr>
      <t>; humedecer</t>
    </r>
  </si>
  <si>
    <t>Pâte feuilletée : détrempe.</t>
  </si>
  <si>
    <r>
      <t xml:space="preserve">Puff pastry: make the </t>
    </r>
    <r>
      <rPr>
        <i/>
        <sz val="11"/>
        <color theme="1"/>
        <rFont val="Calibri"/>
        <family val="2"/>
        <scheme val="minor"/>
      </rPr>
      <t>détrempe</t>
    </r>
    <r>
      <rPr>
        <sz val="11"/>
        <color theme="1"/>
        <rFont val="Calibri"/>
        <family val="2"/>
        <scheme val="minor"/>
      </rPr>
      <t xml:space="preserve"> (moistened base dough).</t>
    </r>
  </si>
  <si>
    <r>
      <t xml:space="preserve">Hojaldre: preparar la </t>
    </r>
    <r>
      <rPr>
        <i/>
        <sz val="11"/>
        <color theme="1"/>
        <rFont val="Calibri"/>
        <family val="2"/>
        <scheme val="minor"/>
      </rPr>
      <t>détrempe</t>
    </r>
    <r>
      <rPr>
        <sz val="11"/>
        <color theme="1"/>
        <rFont val="Calibri"/>
        <family val="2"/>
        <scheme val="minor"/>
      </rPr>
      <t xml:space="preserve"> (masa base hidratada).</t>
    </r>
  </si>
  <si>
    <t>Cuisson &amp; texture</t>
  </si>
  <si>
    <t>Cooking &amp; texture</t>
  </si>
  <si>
    <t>Cocción y textura</t>
  </si>
  <si>
    <t>Disperser</t>
  </si>
  <si>
    <t>disperse (powders)</t>
  </si>
  <si>
    <t>dispersar</t>
  </si>
  <si>
    <t>Poudres dans liquide sous agitation.</t>
  </si>
  <si>
    <t>Disperse powders into a liquid under agitation.</t>
  </si>
  <si>
    <t>Dispersar polvos en un líquido con agitación.</t>
  </si>
  <si>
    <t>Disperser (fouet)</t>
  </si>
  <si>
    <t>Disperse (whisk)</t>
  </si>
  <si>
    <t>Dispersar</t>
  </si>
  <si>
    <t>Mélanger poudres/liquide sans grumeaux.</t>
  </si>
  <si>
    <t>Disperse powders in liquid lump-free.</t>
  </si>
  <si>
    <t>Dispersar polvos en líquido sin grumos.</t>
  </si>
  <si>
    <r>
      <t xml:space="preserve">faire bouillir → </t>
    </r>
    <r>
      <rPr>
        <b/>
        <sz val="12"/>
        <color theme="1"/>
        <rFont val="Calibri"/>
        <family val="2"/>
        <scheme val="minor"/>
      </rPr>
      <t>porter à ébullition / bouillir</t>
    </r>
    <r>
      <rPr>
        <sz val="12"/>
        <color theme="1"/>
        <rFont val="Calibri"/>
        <family val="2"/>
        <scheme val="minor"/>
      </rPr>
      <t xml:space="preserve"> → bring to a boil / boil → </t>
    </r>
    <r>
      <rPr>
        <b/>
        <sz val="12"/>
        <color theme="1"/>
        <rFont val="Calibri"/>
        <family val="2"/>
        <scheme val="minor"/>
      </rPr>
      <t>llevar a ebullición / hervir</t>
    </r>
  </si>
  <si>
    <t>Disposer</t>
  </si>
  <si>
    <t>arrange; set; lay out</t>
  </si>
  <si>
    <r>
      <t>disponer</t>
    </r>
    <r>
      <rPr>
        <sz val="11"/>
        <color theme="1"/>
        <rFont val="Calibri"/>
        <family val="2"/>
        <scheme val="minor"/>
      </rPr>
      <t>; colocar</t>
    </r>
  </si>
  <si>
    <t>Dressage/implantation sur plaque.</t>
  </si>
  <si>
    <t>Arrange/lay out on a tray/sheet.</t>
  </si>
  <si>
    <t>Disponer/colocar en bandeja/placa.</t>
  </si>
  <si>
    <r>
      <t xml:space="preserve">faire mijoter → </t>
    </r>
    <r>
      <rPr>
        <b/>
        <sz val="12"/>
        <color theme="1"/>
        <rFont val="Calibri"/>
        <family val="2"/>
        <scheme val="minor"/>
      </rPr>
      <t>mijoter</t>
    </r>
    <r>
      <rPr>
        <sz val="12"/>
        <color theme="1"/>
        <rFont val="Calibri"/>
        <family val="2"/>
        <scheme val="minor"/>
      </rPr>
      <t xml:space="preserve"> → simmer slowly → </t>
    </r>
    <r>
      <rPr>
        <b/>
        <sz val="12"/>
        <color theme="1"/>
        <rFont val="Calibri"/>
        <family val="2"/>
        <scheme val="minor"/>
      </rPr>
      <t>cocinar a fuego lento</t>
    </r>
  </si>
  <si>
    <t>Dorer</t>
  </si>
  <si>
    <t>egg-wash; glaze with egg</t>
  </si>
  <si>
    <t>pintar con huevo</t>
  </si>
  <si>
    <t>« Dorer à l’œuf » pour brillance/couleur.</t>
  </si>
  <si>
    <t>Egg-wash for shine/color.</t>
  </si>
  <si>
    <t>Pintar con huevo para dar brillo/color.</t>
  </si>
  <si>
    <r>
      <t xml:space="preserve">faire revenir → </t>
    </r>
    <r>
      <rPr>
        <b/>
        <sz val="12"/>
        <color theme="1"/>
        <rFont val="Calibri"/>
        <family val="2"/>
        <scheme val="minor"/>
      </rPr>
      <t>sauter / faire revenir</t>
    </r>
    <r>
      <rPr>
        <sz val="12"/>
        <color theme="1"/>
        <rFont val="Calibri"/>
        <family val="2"/>
        <scheme val="minor"/>
      </rPr>
      <t xml:space="preserve"> → sauté → </t>
    </r>
    <r>
      <rPr>
        <b/>
        <sz val="12"/>
        <color theme="1"/>
        <rFont val="Calibri"/>
        <family val="2"/>
        <scheme val="minor"/>
      </rPr>
      <t>saltear / rehogar</t>
    </r>
  </si>
  <si>
    <t>Doubler</t>
  </si>
  <si>
    <t>line/double; make a second layer</t>
  </si>
  <si>
    <r>
      <t>forrar</t>
    </r>
    <r>
      <rPr>
        <sz val="11"/>
        <color theme="1"/>
        <rFont val="Calibri"/>
        <family val="2"/>
        <scheme val="minor"/>
      </rPr>
      <t>; doblar capa</t>
    </r>
  </si>
  <si>
    <t>Moule, chemisage, superposition.</t>
  </si>
  <si>
    <t>Line a mold; layer components.</t>
  </si>
  <si>
    <t>Forrar un molde; superponer capas.</t>
  </si>
  <si>
    <r>
      <t xml:space="preserve">faire rissoler → </t>
    </r>
    <r>
      <rPr>
        <b/>
        <sz val="12"/>
        <color theme="1"/>
        <rFont val="Calibri"/>
        <family val="2"/>
        <scheme val="minor"/>
      </rPr>
      <t>rissoler / dorer</t>
    </r>
    <r>
      <rPr>
        <sz val="12"/>
        <color theme="1"/>
        <rFont val="Calibri"/>
        <family val="2"/>
        <scheme val="minor"/>
      </rPr>
      <t xml:space="preserve"> → brown until crisp → </t>
    </r>
    <r>
      <rPr>
        <b/>
        <sz val="12"/>
        <color theme="1"/>
        <rFont val="Calibri"/>
        <family val="2"/>
        <scheme val="minor"/>
      </rPr>
      <t>dorar hasta crujiente</t>
    </r>
  </si>
  <si>
    <t>Dresser</t>
  </si>
  <si>
    <t>plate; set up; pipe (pastry)</t>
  </si>
  <si>
    <r>
      <t>emplatar</t>
    </r>
    <r>
      <rPr>
        <sz val="11"/>
        <color theme="1"/>
        <rFont val="Calibri"/>
        <family val="2"/>
        <scheme val="minor"/>
      </rPr>
      <t>; montar/escudillar</t>
    </r>
  </si>
  <si>
    <t>Mise en assiette, dressage en poche.</t>
  </si>
  <si>
    <t>Plate the dish; pipe with a pastry bag.</t>
  </si>
  <si>
    <t>Emplatar; escudillar con manga pastelera.</t>
  </si>
  <si>
    <r>
      <t xml:space="preserve">faire frire → </t>
    </r>
    <r>
      <rPr>
        <b/>
        <sz val="12"/>
        <color theme="1"/>
        <rFont val="Calibri"/>
        <family val="2"/>
        <scheme val="minor"/>
      </rPr>
      <t>frire</t>
    </r>
    <r>
      <rPr>
        <sz val="12"/>
        <color theme="1"/>
        <rFont val="Calibri"/>
        <family val="2"/>
        <scheme val="minor"/>
      </rPr>
      <t xml:space="preserve"> → fry / deep-fry → </t>
    </r>
    <r>
      <rPr>
        <b/>
        <sz val="12"/>
        <color theme="1"/>
        <rFont val="Calibri"/>
        <family val="2"/>
        <scheme val="minor"/>
      </rPr>
      <t>freír</t>
    </r>
  </si>
  <si>
    <t>Dresser (poche)</t>
  </si>
  <si>
    <t>Pipe/Plate</t>
  </si>
  <si>
    <t>Escudillar/Emplatar</t>
  </si>
  <si>
    <t>Pocher régulier; même poids/espacement.</t>
  </si>
  <si>
    <t>Pipe evenly; consistent weight/spacing.</t>
  </si>
  <si>
    <t>Escudillar parejo; peso/espaciado constantes.</t>
  </si>
  <si>
    <r>
      <t xml:space="preserve">faire fondre → </t>
    </r>
    <r>
      <rPr>
        <b/>
        <sz val="12"/>
        <color theme="1"/>
        <rFont val="Calibri"/>
        <family val="2"/>
        <scheme val="minor"/>
      </rPr>
      <t>fondre</t>
    </r>
    <r>
      <rPr>
        <sz val="12"/>
        <color theme="1"/>
        <rFont val="Calibri"/>
        <family val="2"/>
        <scheme val="minor"/>
      </rPr>
      <t xml:space="preserve"> → melt → </t>
    </r>
    <r>
      <rPr>
        <b/>
        <sz val="12"/>
        <color theme="1"/>
        <rFont val="Calibri"/>
        <family val="2"/>
        <scheme val="minor"/>
      </rPr>
      <t>fundir / derretir</t>
    </r>
  </si>
  <si>
    <r>
      <t xml:space="preserve">faire réduire → </t>
    </r>
    <r>
      <rPr>
        <b/>
        <sz val="12"/>
        <color theme="1"/>
        <rFont val="Calibri"/>
        <family val="2"/>
        <scheme val="minor"/>
      </rPr>
      <t>réduire</t>
    </r>
    <r>
      <rPr>
        <sz val="12"/>
        <color theme="1"/>
        <rFont val="Calibri"/>
        <family val="2"/>
        <scheme val="minor"/>
      </rPr>
      <t xml:space="preserve"> → reduce → </t>
    </r>
    <r>
      <rPr>
        <b/>
        <sz val="12"/>
        <color theme="1"/>
        <rFont val="Calibri"/>
        <family val="2"/>
        <scheme val="minor"/>
      </rPr>
      <t>reducir</t>
    </r>
  </si>
  <si>
    <t>Ébarber</t>
  </si>
  <si>
    <t>trim; pare (edges)</t>
  </si>
  <si>
    <t>recortar; perfilar</t>
  </si>
  <si>
    <t>Retirer bavures/bords (pâtisseries, poissons, ravioles).</t>
  </si>
  <si>
    <t>Trim off excess/rough edges (pastries, fish, ravioli).</t>
  </si>
  <si>
    <t>Recortar rebabas/bordes (pasteles, pescados, raviolis).</t>
  </si>
  <si>
    <r>
      <t xml:space="preserve">faire gratiner → </t>
    </r>
    <r>
      <rPr>
        <b/>
        <sz val="12"/>
        <color theme="1"/>
        <rFont val="Calibri"/>
        <family val="2"/>
        <scheme val="minor"/>
      </rPr>
      <t>gratiner</t>
    </r>
    <r>
      <rPr>
        <sz val="12"/>
        <color theme="1"/>
        <rFont val="Calibri"/>
        <family val="2"/>
        <scheme val="minor"/>
      </rPr>
      <t xml:space="preserve"> → gratinate / brown → </t>
    </r>
    <r>
      <rPr>
        <b/>
        <sz val="12"/>
        <color theme="1"/>
        <rFont val="Calibri"/>
        <family val="2"/>
        <scheme val="minor"/>
      </rPr>
      <t>gratinar</t>
    </r>
  </si>
  <si>
    <t>Ébaucher</t>
  </si>
  <si>
    <t>rough-shape; preform</t>
  </si>
  <si>
    <t>preformar; dar forma previa</t>
  </si>
  <si>
    <t>Mise en forme initiale avant finition.</t>
  </si>
  <si>
    <t>Initial rough shaping before finishing.</t>
  </si>
  <si>
    <t>Forma preliminar antes del acabado.</t>
  </si>
  <si>
    <r>
      <t xml:space="preserve">faire pocher → </t>
    </r>
    <r>
      <rPr>
        <b/>
        <sz val="12"/>
        <color theme="1"/>
        <rFont val="Calibri"/>
        <family val="2"/>
        <scheme val="minor"/>
      </rPr>
      <t>pocher</t>
    </r>
    <r>
      <rPr>
        <sz val="12"/>
        <color theme="1"/>
        <rFont val="Calibri"/>
        <family val="2"/>
        <scheme val="minor"/>
      </rPr>
      <t xml:space="preserve"> → poach → </t>
    </r>
    <r>
      <rPr>
        <b/>
        <sz val="12"/>
        <color theme="1"/>
        <rFont val="Calibri"/>
        <family val="2"/>
        <scheme val="minor"/>
      </rPr>
      <t>escalfar/pochar</t>
    </r>
  </si>
  <si>
    <t>Écailler</t>
  </si>
  <si>
    <t>scale (a fish)</t>
  </si>
  <si>
    <t>desescamar (un pescado)</t>
  </si>
  <si>
    <t>Retirer les écailles.</t>
  </si>
  <si>
    <t>Remove fish scales.</t>
  </si>
  <si>
    <t>Quitar las escamas del pescado.</t>
  </si>
  <si>
    <r>
      <t xml:space="preserve">faire une pré-cuisson → </t>
    </r>
    <r>
      <rPr>
        <b/>
        <sz val="12"/>
        <color theme="1"/>
        <rFont val="Calibri"/>
        <family val="2"/>
        <scheme val="minor"/>
      </rPr>
      <t>précuire</t>
    </r>
    <r>
      <rPr>
        <sz val="12"/>
        <color theme="1"/>
        <rFont val="Calibri"/>
        <family val="2"/>
        <scheme val="minor"/>
      </rPr>
      <t xml:space="preserve"> → par-cook → </t>
    </r>
    <r>
      <rPr>
        <b/>
        <sz val="12"/>
        <color theme="1"/>
        <rFont val="Calibri"/>
        <family val="2"/>
        <scheme val="minor"/>
      </rPr>
      <t>precocer</t>
    </r>
  </si>
  <si>
    <t>Écaler</t>
  </si>
  <si>
    <t>shell (boiled eggs); husk</t>
  </si>
  <si>
    <t>pelar huevos; descascarillar</t>
  </si>
  <si>
    <t>Œufs durs, fruits secs.</t>
  </si>
  <si>
    <t>Shell hard-boiled eggs; shell nuts.</t>
  </si>
  <si>
    <t>Pelar huevos cocidos; descascarillar frutos secos.</t>
  </si>
  <si>
    <r>
      <t xml:space="preserve">faire refroidir → </t>
    </r>
    <r>
      <rPr>
        <b/>
        <sz val="12"/>
        <color theme="1"/>
        <rFont val="Calibri"/>
        <family val="2"/>
        <scheme val="minor"/>
      </rPr>
      <t>refroidir / abattre</t>
    </r>
    <r>
      <rPr>
        <sz val="12"/>
        <color theme="1"/>
        <rFont val="Calibri"/>
        <family val="2"/>
        <scheme val="minor"/>
      </rPr>
      <t xml:space="preserve"> → cool / blast-chill → </t>
    </r>
    <r>
      <rPr>
        <b/>
        <sz val="12"/>
        <color theme="1"/>
        <rFont val="Calibri"/>
        <family val="2"/>
        <scheme val="minor"/>
      </rPr>
      <t>enfriar / abatir</t>
    </r>
  </si>
  <si>
    <t>Échauder</t>
  </si>
  <si>
    <t>scald; blanch briefly</t>
  </si>
  <si>
    <t>escaldar</t>
  </si>
  <si>
    <t>Eau très chaude avant peler/traiter.</t>
  </si>
  <si>
    <t>Scald in very hot water before peeling/processing.</t>
  </si>
  <si>
    <t>Escaldar en agua muy caliente antes de pelar/procesar.</t>
  </si>
  <si>
    <r>
      <t xml:space="preserve">faire réchauffer → </t>
    </r>
    <r>
      <rPr>
        <b/>
        <sz val="12"/>
        <color theme="1"/>
        <rFont val="Calibri"/>
        <family val="2"/>
        <scheme val="minor"/>
      </rPr>
      <t>réchauffer / régénérer</t>
    </r>
    <r>
      <rPr>
        <sz val="12"/>
        <color theme="1"/>
        <rFont val="Calibri"/>
        <family val="2"/>
        <scheme val="minor"/>
      </rPr>
      <t xml:space="preserve"> → reheat / retherm → </t>
    </r>
    <r>
      <rPr>
        <b/>
        <sz val="12"/>
        <color theme="1"/>
        <rFont val="Calibri"/>
        <family val="2"/>
        <scheme val="minor"/>
      </rPr>
      <t>recalentar / regenerar</t>
    </r>
  </si>
  <si>
    <t>Écorcher</t>
  </si>
  <si>
    <t>skin (animal/fish)</t>
  </si>
  <si>
    <r>
      <t xml:space="preserve">desollar; </t>
    </r>
    <r>
      <rPr>
        <b/>
        <sz val="11"/>
        <color theme="1"/>
        <rFont val="Calibri"/>
        <family val="2"/>
        <scheme val="minor"/>
      </rPr>
      <t>quitar la piel</t>
    </r>
  </si>
  <si>
    <t>Dépouiller peau (gibier/poisson).</t>
  </si>
  <si>
    <t>Skin (game/fish); remove hide/skin.</t>
  </si>
  <si>
    <t>Desollar/quitar la piel (caza/pescado).</t>
  </si>
  <si>
    <t>Écosser</t>
  </si>
  <si>
    <t>shell (peas/beans)</t>
  </si>
  <si>
    <r>
      <t xml:space="preserve">desgranar; </t>
    </r>
    <r>
      <rPr>
        <b/>
        <sz val="11"/>
        <color theme="1"/>
        <rFont val="Calibri"/>
        <family val="2"/>
        <scheme val="minor"/>
      </rPr>
      <t>desenvainar</t>
    </r>
  </si>
  <si>
    <t>Sortir des gousses.</t>
  </si>
  <si>
    <t>Shell from pods.</t>
  </si>
  <si>
    <t>Desgranar/sacar de las vainas.</t>
  </si>
  <si>
    <t>Pâtisserie &amp; chocolat</t>
  </si>
  <si>
    <t>Pastry &amp; chocolate</t>
  </si>
  <si>
    <t>Pastelería y chocolate</t>
  </si>
  <si>
    <t>Écumer</t>
  </si>
  <si>
    <t>skim (foam/scum)</t>
  </si>
  <si>
    <t>desespumar</t>
  </si>
  <si>
    <t>En ébullition/réduction.</t>
  </si>
  <si>
    <t>Skim while boiling/reducing.</t>
  </si>
  <si>
    <t>Desespumar durante ebullición/reducción.</t>
  </si>
  <si>
    <t>Effilandrer</t>
  </si>
  <si>
    <t>remove sinews / shred into fine strips</t>
  </si>
  <si>
    <t>quitar fibras; deshilachar fino</t>
  </si>
  <si>
    <t>Viandes/abats/volaille (syn. « défilander »).</t>
  </si>
  <si>
    <t>Remove fibers/sinews; cut into fine shreds (meats/offal/poultry).</t>
  </si>
  <si>
    <t>Quitar fibras/nervios; deshilachar fino (carnes/menudencias/aves).</t>
  </si>
  <si>
    <r>
      <t xml:space="preserve">faire un glaçage → </t>
    </r>
    <r>
      <rPr>
        <b/>
        <sz val="12"/>
        <color theme="1"/>
        <rFont val="Calibri"/>
        <family val="2"/>
        <scheme val="minor"/>
      </rPr>
      <t>glacer / préparer un glaçage</t>
    </r>
    <r>
      <rPr>
        <sz val="12"/>
        <color theme="1"/>
        <rFont val="Calibri"/>
        <family val="2"/>
        <scheme val="minor"/>
      </rPr>
      <t xml:space="preserve"> → glaze / make a glaze → </t>
    </r>
    <r>
      <rPr>
        <b/>
        <sz val="12"/>
        <color theme="1"/>
        <rFont val="Calibri"/>
        <family val="2"/>
        <scheme val="minor"/>
      </rPr>
      <t>glasear / preparar un glaseado</t>
    </r>
  </si>
  <si>
    <t>Effiler</t>
  </si>
  <si>
    <t>slice thin; flake; sliver</t>
  </si>
  <si>
    <t>laminar fino; filetear</t>
  </si>
  <si>
    <t>Amandes effilées, oignons en fines lamelles.</t>
  </si>
  <si>
    <t>Slice into slivers (almonds); slice very thin (onions).</t>
  </si>
  <si>
    <t>Laminar en láminas finas (almendras); cortar muy fino (cebollas).</t>
  </si>
  <si>
    <r>
      <t xml:space="preserve">faire un praliné → </t>
    </r>
    <r>
      <rPr>
        <b/>
        <sz val="12"/>
        <color theme="1"/>
        <rFont val="Calibri"/>
        <family val="2"/>
        <scheme val="minor"/>
      </rPr>
      <t>praliner / préparer du praliné</t>
    </r>
    <r>
      <rPr>
        <sz val="12"/>
        <color theme="1"/>
        <rFont val="Calibri"/>
        <family val="2"/>
        <scheme val="minor"/>
      </rPr>
      <t xml:space="preserve"> → make praliné → </t>
    </r>
    <r>
      <rPr>
        <b/>
        <sz val="12"/>
        <color theme="1"/>
        <rFont val="Calibri"/>
        <family val="2"/>
        <scheme val="minor"/>
      </rPr>
      <t>hacer praliné</t>
    </r>
  </si>
  <si>
    <t>Égermer (dégermage)</t>
  </si>
  <si>
    <t>de-germ (garlic); remove sprouts</t>
  </si>
  <si>
    <r>
      <t>desgerminar</t>
    </r>
    <r>
      <rPr>
        <sz val="11"/>
        <color theme="1"/>
        <rFont val="Calibri"/>
        <family val="2"/>
        <scheme val="minor"/>
      </rPr>
      <t>; quitar brotes</t>
    </r>
  </si>
  <si>
    <t>Ail (germen), pommes de terre germées.</t>
  </si>
  <si>
    <t>Remove the germ from garlic; sprouts from potatoes.</t>
  </si>
  <si>
    <t>Desgerminar el ajo; quitar brotes de patatas.</t>
  </si>
  <si>
    <r>
      <t xml:space="preserve">faire une ganache → </t>
    </r>
    <r>
      <rPr>
        <b/>
        <sz val="12"/>
        <color theme="1"/>
        <rFont val="Calibri"/>
        <family val="2"/>
        <scheme val="minor"/>
      </rPr>
      <t>préparer une ganache</t>
    </r>
    <r>
      <rPr>
        <sz val="12"/>
        <color theme="1"/>
        <rFont val="Calibri"/>
        <family val="2"/>
        <scheme val="minor"/>
      </rPr>
      <t xml:space="preserve"> → make ganache → </t>
    </r>
    <r>
      <rPr>
        <b/>
        <sz val="12"/>
        <color theme="1"/>
        <rFont val="Calibri"/>
        <family val="2"/>
        <scheme val="minor"/>
      </rPr>
      <t>preparar una ganache</t>
    </r>
  </si>
  <si>
    <t>Égouttage</t>
  </si>
  <si>
    <t>draining (step)</t>
  </si>
  <si>
    <t>escurrido</t>
  </si>
  <si>
    <t>Nom d’étape (fromages, fritures, légumes).</t>
  </si>
  <si>
    <t>Draining step (cheese, fried items, vegetables).</t>
  </si>
  <si>
    <t>Etapa de escurrido (quesos, fritos, verduras).</t>
  </si>
  <si>
    <r>
      <t xml:space="preserve">faire une crème montée → </t>
    </r>
    <r>
      <rPr>
        <b/>
        <sz val="12"/>
        <color theme="1"/>
        <rFont val="Calibri"/>
        <family val="2"/>
        <scheme val="minor"/>
      </rPr>
      <t>monter la crème</t>
    </r>
    <r>
      <rPr>
        <sz val="12"/>
        <color theme="1"/>
        <rFont val="Calibri"/>
        <family val="2"/>
        <scheme val="minor"/>
      </rPr>
      <t xml:space="preserve"> → whip the cream → </t>
    </r>
    <r>
      <rPr>
        <b/>
        <sz val="12"/>
        <color theme="1"/>
        <rFont val="Calibri"/>
        <family val="2"/>
        <scheme val="minor"/>
      </rPr>
      <t>montar la nata</t>
    </r>
  </si>
  <si>
    <t>Égoutter</t>
  </si>
  <si>
    <t>Drain</t>
  </si>
  <si>
    <t>Escurrir</t>
  </si>
  <si>
    <t>Laisser s’écouler sans presser pour garder texture.</t>
  </si>
  <si>
    <t>Drain without pressing to keep texture.</t>
  </si>
  <si>
    <t>Escurrir sin presionar para conservar textura.</t>
  </si>
  <si>
    <r>
      <t xml:space="preserve">faire prendre au froid → </t>
    </r>
    <r>
      <rPr>
        <b/>
        <sz val="12"/>
        <color theme="1"/>
        <rFont val="Calibri"/>
        <family val="2"/>
        <scheme val="minor"/>
      </rPr>
      <t>faire gélifier / laisser prendre</t>
    </r>
    <r>
      <rPr>
        <sz val="12"/>
        <color theme="1"/>
        <rFont val="Calibri"/>
        <family val="2"/>
        <scheme val="minor"/>
      </rPr>
      <t xml:space="preserve"> → set / gel → </t>
    </r>
    <r>
      <rPr>
        <b/>
        <sz val="12"/>
        <color theme="1"/>
        <rFont val="Calibri"/>
        <family val="2"/>
        <scheme val="minor"/>
      </rPr>
      <t>cuajar / gelificar</t>
    </r>
  </si>
  <si>
    <t>Égrapper</t>
  </si>
  <si>
    <t>destem (grapes)</t>
  </si>
  <si>
    <t>despalillar</t>
  </si>
  <si>
    <t>Œnologie/raisins de table.</t>
  </si>
  <si>
    <t>Destemming in oenology/table grapes.</t>
  </si>
  <si>
    <t>Despalillado en enología/uvas de mesa.</t>
  </si>
  <si>
    <r>
      <t xml:space="preserve">faire le tempérage → </t>
    </r>
    <r>
      <rPr>
        <b/>
        <sz val="12"/>
        <color theme="1"/>
        <rFont val="Calibri"/>
        <family val="2"/>
        <scheme val="minor"/>
      </rPr>
      <t>tempérer (le chocolat)</t>
    </r>
    <r>
      <rPr>
        <sz val="12"/>
        <color theme="1"/>
        <rFont val="Calibri"/>
        <family val="2"/>
        <scheme val="minor"/>
      </rPr>
      <t xml:space="preserve"> → temper chocolate → </t>
    </r>
    <r>
      <rPr>
        <b/>
        <sz val="12"/>
        <color theme="1"/>
        <rFont val="Calibri"/>
        <family val="2"/>
        <scheme val="minor"/>
      </rPr>
      <t>atemperar el chocolate</t>
    </r>
  </si>
  <si>
    <t>Égrener</t>
  </si>
  <si>
    <t>seed; shell kernels (corn)</t>
  </si>
  <si>
    <t>desgranear; desgranar</t>
  </si>
  <si>
    <t>Maïs, grenade, petits pois.</t>
  </si>
  <si>
    <t>Remove kernels/seeds (corn, pomegranate, peas).</t>
  </si>
  <si>
    <t>Desgranar/retirar granos/semillas (maíz, granada, guisantes).</t>
  </si>
  <si>
    <t>Émincer</t>
  </si>
  <si>
    <t>slice thin</t>
  </si>
  <si>
    <r>
      <t>laminar fino</t>
    </r>
    <r>
      <rPr>
        <sz val="11"/>
        <color theme="1"/>
        <rFont val="Calibri"/>
        <family val="2"/>
        <scheme val="minor"/>
      </rPr>
      <t>; cortar en plumas</t>
    </r>
  </si>
  <si>
    <t>Échalote/oignon/viande.</t>
  </si>
  <si>
    <t>Slice very thin (shallot/onion/meat).</t>
  </si>
  <si>
    <t>Cortar muy fino (chalota/cebolla/carne).</t>
  </si>
  <si>
    <t>Assaisonnement &amp; finition</t>
  </si>
  <si>
    <t>Seasoning &amp; finishing</t>
  </si>
  <si>
    <t>Sazonado y terminación</t>
  </si>
  <si>
    <t>Émonder</t>
  </si>
  <si>
    <t>blanch and peel; skin</t>
  </si>
  <si>
    <r>
      <t>escaldar y pelar</t>
    </r>
    <r>
      <rPr>
        <sz val="11"/>
        <color theme="1"/>
        <rFont val="Calibri"/>
        <family val="2"/>
        <scheme val="minor"/>
      </rPr>
      <t>; mondar</t>
    </r>
  </si>
  <si>
    <t>Tomates, amandes.</t>
  </si>
  <si>
    <t>Blanch then peel (tomatoes/almonds).</t>
  </si>
  <si>
    <t>Escaldar y luego pelar (tomates/almendras).</t>
  </si>
  <si>
    <t>emplir</t>
  </si>
  <si>
    <t>fill</t>
  </si>
  <si>
    <t>llenar</t>
  </si>
  <si>
    <t>Remplir contenants (barquettes, bacs, moules).</t>
  </si>
  <si>
    <t>Fill containers (trays, bins, molds).</t>
  </si>
  <si>
    <t>Llenar recipientes (barquetas, cubetas, moldes).</t>
  </si>
  <si>
    <r>
      <t xml:space="preserve">faire l’assaisonnement → </t>
    </r>
    <r>
      <rPr>
        <b/>
        <sz val="12"/>
        <color theme="1"/>
        <rFont val="Calibri"/>
        <family val="2"/>
        <scheme val="minor"/>
      </rPr>
      <t>assaisonner / rectifier</t>
    </r>
    <r>
      <rPr>
        <sz val="12"/>
        <color theme="1"/>
        <rFont val="Calibri"/>
        <family val="2"/>
        <scheme val="minor"/>
      </rPr>
      <t xml:space="preserve"> → season / adjust → </t>
    </r>
    <r>
      <rPr>
        <b/>
        <sz val="12"/>
        <color theme="1"/>
        <rFont val="Calibri"/>
        <family val="2"/>
        <scheme val="minor"/>
      </rPr>
      <t>sazonar / rectificar</t>
    </r>
  </si>
  <si>
    <t>Émulsionner</t>
  </si>
  <si>
    <t>emulsify</t>
  </si>
  <si>
    <t>emulsionar</t>
  </si>
  <si>
    <t>Stabiliser eau+gras (vinaigrette, mayo).</t>
  </si>
  <si>
    <t>Emulsify water + fat (vinaigrette, mayonnaise).</t>
  </si>
  <si>
    <t>Emulsionar agua + grasa (vinagreta, mayonesa).</t>
  </si>
  <si>
    <r>
      <t xml:space="preserve">faire un nappage → </t>
    </r>
    <r>
      <rPr>
        <b/>
        <sz val="12"/>
        <color theme="1"/>
        <rFont val="Calibri"/>
        <family val="2"/>
        <scheme val="minor"/>
      </rPr>
      <t>napper</t>
    </r>
    <r>
      <rPr>
        <sz val="12"/>
        <color theme="1"/>
        <rFont val="Calibri"/>
        <family val="2"/>
        <scheme val="minor"/>
      </rPr>
      <t xml:space="preserve"> → coat / nap → </t>
    </r>
    <r>
      <rPr>
        <b/>
        <sz val="12"/>
        <color theme="1"/>
        <rFont val="Calibri"/>
        <family val="2"/>
        <scheme val="minor"/>
      </rPr>
      <t>napar / cubrir</t>
    </r>
  </si>
  <si>
    <t>Enfourner</t>
  </si>
  <si>
    <t>Bake (put in oven)</t>
  </si>
  <si>
    <t>Hornear</t>
  </si>
  <si>
    <t>Four préchauffé; charger vite pour stabilité T°.</t>
  </si>
  <si>
    <t>Preheated oven; load quickly to keep temp.</t>
  </si>
  <si>
    <t>Horno precalentado; cargar rápido para mantener T°.</t>
  </si>
  <si>
    <r>
      <t xml:space="preserve">faire briller → </t>
    </r>
    <r>
      <rPr>
        <b/>
        <sz val="12"/>
        <color theme="1"/>
        <rFont val="Calibri"/>
        <family val="2"/>
        <scheme val="minor"/>
      </rPr>
      <t>lustrer / abrillanter</t>
    </r>
    <r>
      <rPr>
        <sz val="12"/>
        <color theme="1"/>
        <rFont val="Calibri"/>
        <family val="2"/>
        <scheme val="minor"/>
      </rPr>
      <t xml:space="preserve"> → glaze for shine → </t>
    </r>
    <r>
      <rPr>
        <b/>
        <sz val="12"/>
        <color theme="1"/>
        <rFont val="Calibri"/>
        <family val="2"/>
        <scheme val="minor"/>
      </rPr>
      <t>abrillantar</t>
    </r>
  </si>
  <si>
    <t>Enrober</t>
  </si>
  <si>
    <t>coat; enrobe</t>
  </si>
  <si>
    <r>
      <t>bañar</t>
    </r>
    <r>
      <rPr>
        <sz val="11"/>
        <color theme="1"/>
        <rFont val="Calibri"/>
        <family val="2"/>
        <scheme val="minor"/>
      </rPr>
      <t>; recubrir</t>
    </r>
  </si>
  <si>
    <t>Chocolat, panure, nappage.</t>
  </si>
  <si>
    <t>Coat in chocolate/breading/glaze.</t>
  </si>
  <si>
    <t>Recubrir en chocolate/empanado/nappage.</t>
  </si>
  <si>
    <r>
      <t xml:space="preserve">faire un décor → </t>
    </r>
    <r>
      <rPr>
        <b/>
        <sz val="12"/>
        <color theme="1"/>
        <rFont val="Calibri"/>
        <family val="2"/>
        <scheme val="minor"/>
      </rPr>
      <t>décorer / chiqueter / rayer / quadriller</t>
    </r>
    <r>
      <rPr>
        <sz val="12"/>
        <color theme="1"/>
        <rFont val="Calibri"/>
        <family val="2"/>
        <scheme val="minor"/>
      </rPr>
      <t xml:space="preserve"> → decorate / crimp / score → </t>
    </r>
    <r>
      <rPr>
        <b/>
        <sz val="12"/>
        <color theme="1"/>
        <rFont val="Calibri"/>
        <family val="2"/>
        <scheme val="minor"/>
      </rPr>
      <t>decorar / festonear / rayar</t>
    </r>
  </si>
  <si>
    <t>Épluchage</t>
  </si>
  <si>
    <t>peeling (process)</t>
  </si>
  <si>
    <t>pelado</t>
  </si>
  <si>
    <t>Nom d’atelier/opération.</t>
  </si>
  <si>
    <t>Name of workshop/operation (stage).</t>
  </si>
  <si>
    <t>Nombre de taller/operación (etapa).</t>
  </si>
  <si>
    <t>Éplucher</t>
  </si>
  <si>
    <t>peel; trim</t>
  </si>
  <si>
    <t>pelar; mondar</t>
  </si>
  <si>
    <t>Légumes/fruits ; « parer » pour viandes/poissons.</t>
  </si>
  <si>
    <t>Peel/trim vegetables or fruit; use “trim/pare” for meats/fish.</t>
  </si>
  <si>
    <r>
      <t xml:space="preserve">Pelar/limpiar verduras o fruta; para carnes/pescados, </t>
    </r>
    <r>
      <rPr>
        <b/>
        <sz val="11"/>
        <color theme="1"/>
        <rFont val="Calibri"/>
        <family val="2"/>
        <scheme val="minor"/>
      </rPr>
      <t>parear/recortar</t>
    </r>
    <r>
      <rPr>
        <sz val="11"/>
        <color theme="1"/>
        <rFont val="Calibri"/>
        <family val="2"/>
        <scheme val="minor"/>
      </rPr>
      <t>.</t>
    </r>
  </si>
  <si>
    <t>Hygiène, HACCP &amp; qualité</t>
  </si>
  <si>
    <t>Hygiene, HACCP &amp; quality</t>
  </si>
  <si>
    <t>Higiene, APPCC (HACCP) y calidad</t>
  </si>
  <si>
    <t>Équeuter</t>
  </si>
  <si>
    <t>destem; hull (strawberries)</t>
  </si>
  <si>
    <r>
      <t>desrabiar</t>
    </r>
    <r>
      <rPr>
        <sz val="11"/>
        <color theme="1"/>
        <rFont val="Calibri"/>
        <family val="2"/>
        <scheme val="minor"/>
      </rPr>
      <t>/</t>
    </r>
    <r>
      <rPr>
        <b/>
        <sz val="11"/>
        <color theme="1"/>
        <rFont val="Calibri"/>
        <family val="2"/>
        <scheme val="minor"/>
      </rPr>
      <t>quitar el rabo</t>
    </r>
    <r>
      <rPr>
        <sz val="11"/>
        <color theme="1"/>
        <rFont val="Calibri"/>
        <family val="2"/>
        <scheme val="minor"/>
      </rPr>
      <t xml:space="preserve">; </t>
    </r>
    <r>
      <rPr>
        <b/>
        <sz val="11"/>
        <color theme="1"/>
        <rFont val="Calibri"/>
        <family val="2"/>
        <scheme val="minor"/>
      </rPr>
      <t>deshojar</t>
    </r>
    <r>
      <rPr>
        <sz val="11"/>
        <color theme="1"/>
        <rFont val="Calibri"/>
        <family val="2"/>
        <scheme val="minor"/>
      </rPr>
      <t xml:space="preserve"> (fresa)</t>
    </r>
  </si>
  <si>
    <t>Haricots/fraises.</t>
  </si>
  <si>
    <t>Destem green beans; hull/de-stem strawberries.</t>
  </si>
  <si>
    <r>
      <t xml:space="preserve">Quitar el rabo a las judías; </t>
    </r>
    <r>
      <rPr>
        <b/>
        <sz val="11"/>
        <color theme="1"/>
        <rFont val="Calibri"/>
        <family val="2"/>
        <scheme val="minor"/>
      </rPr>
      <t>deshojar/ quitar el pedúnculo</t>
    </r>
    <r>
      <rPr>
        <sz val="11"/>
        <color theme="1"/>
        <rFont val="Calibri"/>
        <family val="2"/>
        <scheme val="minor"/>
      </rPr>
      <t xml:space="preserve"> a las fresas.</t>
    </r>
  </si>
  <si>
    <t>Escaloper</t>
  </si>
  <si>
    <t>cut into thin scallops; slice on the bias</t>
  </si>
  <si>
    <t>filetear fino; cortar en escalopes</t>
  </si>
  <si>
    <t>Volaille/veau/poisson en « escalopes ».</t>
  </si>
  <si>
    <t>Cut poultry/veal/fish into thin scallops/escalopes (on the bias).</t>
  </si>
  <si>
    <t>Cortar ave/ternera/pescado en escalopes finos (al sesgo).</t>
  </si>
  <si>
    <t>faire le ménage → nettoyer → clean → limpiar — ES(ES/MX/AR): limpiar</t>
  </si>
  <si>
    <t>Étaler</t>
  </si>
  <si>
    <t>spread; roll out (dough)</t>
  </si>
  <si>
    <r>
      <t>extender</t>
    </r>
    <r>
      <rPr>
        <sz val="11"/>
        <color theme="1"/>
        <rFont val="Calibri"/>
        <family val="2"/>
        <scheme val="minor"/>
      </rPr>
      <t>; estirar (masa)</t>
    </r>
  </si>
  <si>
    <t>Pâtes, crèmes, appareils.</t>
  </si>
  <si>
    <t>Spread/roll out doughs; spread creams/batters.</t>
  </si>
  <si>
    <t>Estirar/extend­er masas; extender cremas/aparatos.</t>
  </si>
  <si>
    <t>faire la désinfection → désinfecter / assainir → disinfect / sanitize → desinfectar / sanear — ES(ES): desinfectar / sanear · ES(MX): desinfectar / sanitizar · ES(AR): desinfectar / sanitizar</t>
  </si>
  <si>
    <t>étiquetage collec.</t>
  </si>
  <si>
    <t>collective/batch labeling</t>
  </si>
  <si>
    <t>etiquetado colectivo</t>
  </si>
  <si>
    <t>Pour plateaux/batchs.</t>
  </si>
  <si>
    <t>For trays/batches (collective labeling).</t>
  </si>
  <si>
    <t>Para bandejas/lotes (etiquetado colectivo).</t>
  </si>
  <si>
    <t>faire un contrôle → contrôler / vérifier → check / inspect → controlar / verificar — ES(ES): controlar / comprobar · ES(MX): controlar / verificar · ES(AR): controlar / verificar (chequear)</t>
  </si>
  <si>
    <t>étiquetage ind.</t>
  </si>
  <si>
    <t>individual labeling</t>
  </si>
  <si>
    <t>etiquetado individual</t>
  </si>
  <si>
    <t>Portion unitaire.</t>
  </si>
  <si>
    <t>Individual/unit portion labeling.</t>
  </si>
  <si>
    <t>Etiquetado unitario/por ración.</t>
  </si>
  <si>
    <t>faire une prise de température → sonder / relever la température → probe / take temperature → sondear / medir la temperatura — ES(ES): sondear / medir la temperatura · ES(MX): medir la temperatura (con sonda) · ES(AR): medir la temperatura (con sonda)</t>
  </si>
  <si>
    <t>Étiqueter</t>
  </si>
  <si>
    <t>label</t>
  </si>
  <si>
    <t>etiquetar</t>
  </si>
  <si>
    <t>Apposer étiquette (DLC/lot/traçabilité).</t>
  </si>
  <si>
    <t>Apply label (use-by/lot/traceability).</t>
  </si>
  <si>
    <t>Colocar etiqueta (caducidad/lote/trazabilidad).</t>
  </si>
  <si>
    <t>faire l’enregistrement → enregistrer / consigner → record / log → registrar / consignar — ES(ES): registrar / anotar · ES(MX): registrar / asentar (en bitácora) · ES(AR): registrar / asentar</t>
  </si>
  <si>
    <t>Étoffer</t>
  </si>
  <si>
    <t>thicken/enrich; bulk up</t>
  </si>
  <si>
    <t>espesar/robustecer</t>
  </si>
  <si>
    <t>Garnitures, farces, fiches techniques.</t>
  </si>
  <si>
    <t>Enrich/thicken a prep; also flesh out garnishes, fillings, spec sheets.</t>
  </si>
  <si>
    <r>
      <t xml:space="preserve">Espesar/enriquecer una preparación; también </t>
    </r>
    <r>
      <rPr>
        <b/>
        <sz val="11"/>
        <color theme="1"/>
        <rFont val="Calibri"/>
        <family val="2"/>
        <scheme val="minor"/>
      </rPr>
      <t>desarrollar</t>
    </r>
    <r>
      <rPr>
        <sz val="11"/>
        <color theme="1"/>
        <rFont val="Calibri"/>
        <family val="2"/>
        <scheme val="minor"/>
      </rPr>
      <t xml:space="preserve"> guarniciones, farsas y fichas técnicas.</t>
    </r>
  </si>
  <si>
    <t>faire un audit → auditer → audit → auditar — ES(ES/MX/AR): auditar</t>
  </si>
  <si>
    <t>Étouffer (cuire à l’étouffée)</t>
  </si>
  <si>
    <t>smother-cook; cook covered</t>
  </si>
  <si>
    <t>cocer al estofado tapado</t>
  </si>
  <si>
    <t>Peu de liquide, couvercle.</t>
  </si>
  <si>
    <t>Cook covered with little liquid (smother-cook).</t>
  </si>
  <si>
    <t>Cocer tapado con poco líquido.</t>
  </si>
  <si>
    <t>Étuver</t>
  </si>
  <si>
    <t>sweat/steam gently; proof (dough)</t>
  </si>
  <si>
    <r>
      <t>rehogar suave/estufar</t>
    </r>
    <r>
      <rPr>
        <sz val="11"/>
        <color theme="1"/>
        <rFont val="Calibri"/>
        <family val="2"/>
        <scheme val="minor"/>
      </rPr>
      <t xml:space="preserve">; </t>
    </r>
    <r>
      <rPr>
        <b/>
        <sz val="11"/>
        <color theme="1"/>
        <rFont val="Calibri"/>
        <family val="2"/>
        <scheme val="minor"/>
      </rPr>
      <t>fermentar</t>
    </r>
    <r>
      <rPr>
        <sz val="11"/>
        <color theme="1"/>
        <rFont val="Calibri"/>
        <family val="2"/>
        <scheme val="minor"/>
      </rPr>
      <t xml:space="preserve"> (masa)</t>
    </r>
  </si>
  <si>
    <t>Cuisson douce, couvercle; sans coloration.</t>
  </si>
  <si>
    <t>Gentle, covered; no browning.</t>
  </si>
  <si>
    <t>Cocción suave, tapado; sin dorar.</t>
  </si>
  <si>
    <t>Logistique, conditionnement, étiquetage</t>
  </si>
  <si>
    <t>Logistics, packaging, labeling</t>
  </si>
  <si>
    <t>Logística, envasado, etiquetado</t>
  </si>
  <si>
    <t>Évider</t>
  </si>
  <si>
    <t>hollow out; core</t>
  </si>
  <si>
    <t>vaciar; descorazonar</t>
  </si>
  <si>
    <t>Courgettes, pommes, pains.</t>
  </si>
  <si>
    <t>Hollow out zucchinis, apples, breads.</t>
  </si>
  <si>
    <t>Ahuecar calabacines, manzanas, panes.</t>
  </si>
  <si>
    <t>Exprimer</t>
  </si>
  <si>
    <t>express; press out (juice)</t>
  </si>
  <si>
    <t>exprimir</t>
  </si>
  <si>
    <t>Exprimer un citron, le beurre noisette, etc.</t>
  </si>
  <si>
    <t>Squeeze/press a lemon; press out clarified brown butter, etc.</t>
  </si>
  <si>
    <t>Exprimir un limón; extraer mantequilla avellana clarificada, etc.</t>
  </si>
  <si>
    <r>
      <t xml:space="preserve">faire l’étiquetage → étiqueter → label → etiquetar — </t>
    </r>
    <r>
      <rPr>
        <b/>
        <sz val="12"/>
        <color theme="1"/>
        <rFont val="Calibri"/>
        <family val="2"/>
        <scheme val="minor"/>
      </rPr>
      <t>ES(ES):</t>
    </r>
    <r>
      <rPr>
        <sz val="12"/>
        <color theme="1"/>
        <rFont val="Calibri"/>
        <family val="2"/>
        <scheme val="minor"/>
      </rPr>
      <t xml:space="preserve"> etiquetar / </t>
    </r>
    <r>
      <rPr>
        <b/>
        <sz val="12"/>
        <color theme="1"/>
        <rFont val="Calibri"/>
        <family val="2"/>
        <scheme val="minor"/>
      </rPr>
      <t>rotular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etiquetar · </t>
    </r>
    <r>
      <rPr>
        <b/>
        <sz val="12"/>
        <color theme="1"/>
        <rFont val="Calibri"/>
        <family val="2"/>
        <scheme val="minor"/>
      </rPr>
      <t>ES(AR):</t>
    </r>
    <r>
      <rPr>
        <sz val="12"/>
        <color theme="1"/>
        <rFont val="Calibri"/>
        <family val="2"/>
        <scheme val="minor"/>
      </rPr>
      <t xml:space="preserve"> etiquetar</t>
    </r>
  </si>
  <si>
    <t>extraire</t>
  </si>
  <si>
    <t>extract; pull out</t>
  </si>
  <si>
    <r>
      <t>extraer</t>
    </r>
    <r>
      <rPr>
        <sz val="11"/>
        <color theme="1"/>
        <rFont val="Calibri"/>
        <family val="2"/>
        <scheme val="minor"/>
      </rPr>
      <t>; sacar</t>
    </r>
  </si>
  <si>
    <t>Extraire données/jus/échantillon d’un lot.</t>
  </si>
  <si>
    <t>Extract data/juice/a sample from a batch.</t>
  </si>
  <si>
    <t>Extraer datos/jugo/una muestra de un lote.</t>
  </si>
  <si>
    <r>
      <t xml:space="preserve">faire l’operculage → operculer / sceller → seal / lid → termosellar / sellar — </t>
    </r>
    <r>
      <rPr>
        <b/>
        <sz val="12"/>
        <color theme="1"/>
        <rFont val="Calibri"/>
        <family val="2"/>
        <scheme val="minor"/>
      </rPr>
      <t>ES(ES):</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tapa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</si>
  <si>
    <r>
      <t xml:space="preserve">faire le filmage → filmer → wrap → envolver con film — </t>
    </r>
    <r>
      <rPr>
        <b/>
        <sz val="12"/>
        <color theme="1"/>
        <rFont val="Calibri"/>
        <family val="2"/>
        <scheme val="minor"/>
      </rPr>
      <t>ES(ES):</t>
    </r>
    <r>
      <rPr>
        <sz val="12"/>
        <color theme="1"/>
        <rFont val="Calibri"/>
        <family val="2"/>
        <scheme val="minor"/>
      </rPr>
      <t xml:space="preserve"> envolver con film (</t>
    </r>
    <r>
      <rPr>
        <b/>
        <sz val="12"/>
        <color theme="1"/>
        <rFont val="Calibri"/>
        <family val="2"/>
        <scheme val="minor"/>
      </rPr>
      <t>film transparente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envolver con </t>
    </r>
    <r>
      <rPr>
        <b/>
        <sz val="12"/>
        <color theme="1"/>
        <rFont val="Calibri"/>
        <family val="2"/>
        <scheme val="minor"/>
      </rPr>
      <t>plástico adherente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envolver con </t>
    </r>
    <r>
      <rPr>
        <b/>
        <sz val="12"/>
        <color theme="1"/>
        <rFont val="Calibri"/>
        <family val="2"/>
        <scheme val="minor"/>
      </rPr>
      <t>film</t>
    </r>
  </si>
  <si>
    <r>
      <t xml:space="preserve">faire le conditionnement → conditionner / emballer → package → envasar / empaquetar — </t>
    </r>
    <r>
      <rPr>
        <b/>
        <sz val="12"/>
        <color theme="1"/>
        <rFont val="Calibri"/>
        <family val="2"/>
        <scheme val="minor"/>
      </rPr>
      <t>ES(ES):</t>
    </r>
    <r>
      <rPr>
        <sz val="12"/>
        <color theme="1"/>
        <rFont val="Calibri"/>
        <family val="2"/>
        <scheme val="minor"/>
      </rPr>
      <t xml:space="preserve"> </t>
    </r>
    <r>
      <rPr>
        <b/>
        <sz val="12"/>
        <color theme="1"/>
        <rFont val="Calibri"/>
        <family val="2"/>
        <scheme val="minor"/>
      </rPr>
      <t>envasar / acondicionar / empaquetar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envasar / empacar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envasar / embalar</t>
    </r>
  </si>
  <si>
    <t>Façonner</t>
  </si>
  <si>
    <t>shape; form</t>
  </si>
  <si>
    <r>
      <t>formar</t>
    </r>
    <r>
      <rPr>
        <sz val="11"/>
        <color theme="1"/>
        <rFont val="Calibri"/>
        <family val="2"/>
        <scheme val="minor"/>
      </rPr>
      <t>; dar forma</t>
    </r>
  </si>
  <si>
    <t>Pains, pâtons, quenelles, pièces de viande.</t>
  </si>
  <si>
    <t>Breads, dough pieces, quenelles, cuts of meat.</t>
  </si>
  <si>
    <r>
      <t xml:space="preserve">Panes, porciones de masa, </t>
    </r>
    <r>
      <rPr>
        <i/>
        <sz val="11"/>
        <color theme="1"/>
        <rFont val="Calibri"/>
        <family val="2"/>
        <scheme val="minor"/>
      </rPr>
      <t>quenelles</t>
    </r>
    <r>
      <rPr>
        <sz val="11"/>
        <color theme="1"/>
        <rFont val="Calibri"/>
        <family val="2"/>
        <scheme val="minor"/>
      </rPr>
      <t>, piezas de carne.</t>
    </r>
  </si>
  <si>
    <r>
      <t xml:space="preserve">faire le chargement → charger → load → 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cargar</t>
    </r>
  </si>
  <si>
    <t>faire + infinitif (causatif)</t>
  </si>
  <si>
    <t>have/get [sth] done; make [sb] do</t>
  </si>
  <si>
    <r>
      <t>hacer que</t>
    </r>
    <r>
      <rPr>
        <sz val="11"/>
        <color theme="1"/>
        <rFont val="Calibri"/>
        <family val="2"/>
        <scheme val="minor"/>
      </rPr>
      <t xml:space="preserve"> + subj.; </t>
    </r>
    <r>
      <rPr>
        <b/>
        <sz val="11"/>
        <color theme="1"/>
        <rFont val="Calibri"/>
        <family val="2"/>
        <scheme val="minor"/>
      </rPr>
      <t>mandar</t>
    </r>
    <r>
      <rPr>
        <sz val="11"/>
        <color theme="1"/>
        <rFont val="Calibri"/>
        <family val="2"/>
        <scheme val="minor"/>
      </rPr>
      <t xml:space="preserve"> + inf.</t>
    </r>
  </si>
  <si>
    <t>« Faire vérifier la T° » → have the temperature checked / hacer que se verifique la temperatura.</t>
  </si>
  <si>
    <r>
      <t xml:space="preserve">“Faire vérifier la T°” → </t>
    </r>
    <r>
      <rPr>
        <b/>
        <sz val="11"/>
        <color theme="1"/>
        <rFont val="Calibri"/>
        <family val="2"/>
        <scheme val="minor"/>
      </rPr>
      <t>have the temperature checked</t>
    </r>
    <r>
      <rPr>
        <sz val="11"/>
        <color theme="1"/>
        <rFont val="Calibri"/>
        <family val="2"/>
        <scheme val="minor"/>
      </rPr>
      <t>.</t>
    </r>
  </si>
  <si>
    <r>
      <t xml:space="preserve">«Hacer verificar la T°» → </t>
    </r>
    <r>
      <rPr>
        <b/>
        <sz val="11"/>
        <color theme="1"/>
        <rFont val="Calibri"/>
        <family val="2"/>
        <scheme val="minor"/>
      </rPr>
      <t>hacer que se verifique la temperatura</t>
    </r>
    <r>
      <rPr>
        <sz val="11"/>
        <color theme="1"/>
        <rFont val="Calibri"/>
        <family val="2"/>
        <scheme val="minor"/>
      </rPr>
      <t>.</t>
    </r>
  </si>
  <si>
    <r>
      <t xml:space="preserve">faire le déchargement → décharger → unload → descargar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descargar</t>
    </r>
  </si>
  <si>
    <t>faire + nom (ex. faire un rapport)</t>
  </si>
  <si>
    <t>make / write / prepare (a report)</t>
  </si>
  <si>
    <r>
      <t>hacer / redactar / preparar</t>
    </r>
    <r>
      <rPr>
        <sz val="11"/>
        <color theme="1"/>
        <rFont val="Calibri"/>
        <family val="2"/>
        <scheme val="minor"/>
      </rPr>
      <t xml:space="preserve"> (un informe)</t>
    </r>
  </si>
  <si>
    <t>Choisir le verbe le plus exact selon l’objet : make dough / write a report / prepare a tray.</t>
  </si>
  <si>
    <r>
      <t xml:space="preserve">Choose the most exact verb for the object: </t>
    </r>
    <r>
      <rPr>
        <b/>
        <sz val="11"/>
        <color theme="1"/>
        <rFont val="Calibri"/>
        <family val="2"/>
        <scheme val="minor"/>
      </rPr>
      <t>make dough / write a report / prepare a tray</t>
    </r>
    <r>
      <rPr>
        <sz val="11"/>
        <color theme="1"/>
        <rFont val="Calibri"/>
        <family val="2"/>
        <scheme val="minor"/>
      </rPr>
      <t>.</t>
    </r>
  </si>
  <si>
    <r>
      <t xml:space="preserve">Elegir el verbo más exacto según el objeto: </t>
    </r>
    <r>
      <rPr>
        <b/>
        <sz val="11"/>
        <color theme="1"/>
        <rFont val="Calibri"/>
        <family val="2"/>
        <scheme val="minor"/>
      </rPr>
      <t>hacer la masa / redactar un informe / preparar una bandeja</t>
    </r>
    <r>
      <rPr>
        <sz val="11"/>
        <color theme="1"/>
        <rFont val="Calibri"/>
        <family val="2"/>
        <scheme val="minor"/>
      </rPr>
      <t>.</t>
    </r>
  </si>
  <si>
    <t>Faire bouillir</t>
  </si>
  <si>
    <t>bring to a boil; boil</t>
  </si>
  <si>
    <r>
      <t>llevar a ebullición</t>
    </r>
    <r>
      <rPr>
        <sz val="11"/>
        <color theme="1"/>
        <rFont val="Calibri"/>
        <family val="2"/>
        <scheme val="minor"/>
      </rPr>
      <t>; hervir</t>
    </r>
  </si>
  <si>
    <t>Monter jusqu’à gros bouillons.</t>
  </si>
  <si>
    <t>Bring to a rolling boil.</t>
  </si>
  <si>
    <t>Llevar a ebullición con borbotones.</t>
  </si>
  <si>
    <t>Documentation, gestion &amp; outils</t>
  </si>
  <si>
    <t>Documentation, management &amp; tools</t>
  </si>
  <si>
    <t>Documentación, gestión y herramientas</t>
  </si>
  <si>
    <t>faire cuire / faire bouillir</t>
  </si>
  <si>
    <t>cook / bring to a boil</t>
  </si>
  <si>
    <t>cocer / llevar a ebullición</t>
  </si>
  <si>
    <t>Préférer directement cuire / bouillir dans les fiches.</t>
  </si>
  <si>
    <r>
      <t xml:space="preserve">Prefer </t>
    </r>
    <r>
      <rPr>
        <b/>
        <sz val="11"/>
        <color theme="1"/>
        <rFont val="Calibri"/>
        <family val="2"/>
        <scheme val="minor"/>
      </rPr>
      <t>cook / boil</t>
    </r>
    <r>
      <rPr>
        <sz val="11"/>
        <color theme="1"/>
        <rFont val="Calibri"/>
        <family val="2"/>
        <scheme val="minor"/>
      </rPr>
      <t xml:space="preserve"> directly in the sheets.</t>
    </r>
  </si>
  <si>
    <r>
      <t xml:space="preserve">Preferir </t>
    </r>
    <r>
      <rPr>
        <b/>
        <sz val="11"/>
        <color theme="1"/>
        <rFont val="Calibri"/>
        <family val="2"/>
        <scheme val="minor"/>
      </rPr>
      <t>cocer / hervir</t>
    </r>
    <r>
      <rPr>
        <sz val="11"/>
        <color theme="1"/>
        <rFont val="Calibri"/>
        <family val="2"/>
        <scheme val="minor"/>
      </rPr>
      <t xml:space="preserve"> directamente en las fichas.</t>
    </r>
  </si>
  <si>
    <t>faire fondre</t>
  </si>
  <si>
    <t>melt</t>
  </si>
  <si>
    <t>fundir / derretir</t>
  </si>
  <si>
    <t>Idem : verbe précis recommandé.</t>
  </si>
  <si>
    <t>Same: a precise verb is recommended.</t>
  </si>
  <si>
    <t>Ídem: se recomienda un verbo preciso.</t>
  </si>
  <si>
    <r>
      <t xml:space="preserve">faire un rapport → rédiger un rapport → write a report → redactar un informe — </t>
    </r>
    <r>
      <rPr>
        <b/>
        <sz val="12"/>
        <color theme="1"/>
        <rFont val="Calibri"/>
        <family val="2"/>
        <scheme val="minor"/>
      </rPr>
      <t>ES(ES):</t>
    </r>
    <r>
      <rPr>
        <sz val="12"/>
        <color theme="1"/>
        <rFont val="Calibri"/>
        <family val="2"/>
        <scheme val="minor"/>
      </rPr>
      <t xml:space="preserve"> redactar/elaborar un informe · </t>
    </r>
    <r>
      <rPr>
        <b/>
        <sz val="12"/>
        <color theme="1"/>
        <rFont val="Calibri"/>
        <family val="2"/>
        <scheme val="minor"/>
      </rPr>
      <t>ES(MX):</t>
    </r>
    <r>
      <rPr>
        <sz val="12"/>
        <color theme="1"/>
        <rFont val="Calibri"/>
        <family val="2"/>
        <scheme val="minor"/>
      </rPr>
      <t xml:space="preserve"> elaborar/redactar un informe · </t>
    </r>
    <r>
      <rPr>
        <b/>
        <sz val="12"/>
        <color theme="1"/>
        <rFont val="Calibri"/>
        <family val="2"/>
        <scheme val="minor"/>
      </rPr>
      <t>ES(AR):</t>
    </r>
    <r>
      <rPr>
        <sz val="12"/>
        <color theme="1"/>
        <rFont val="Calibri"/>
        <family val="2"/>
        <scheme val="minor"/>
      </rPr>
      <t xml:space="preserve"> redactar/hacer un informe</t>
    </r>
  </si>
  <si>
    <t>faire monter (une sauce, une mayo)</t>
  </si>
  <si>
    <t>whip up / mount (with butter)</t>
  </si>
  <si>
    <t>montar / emulsionar</t>
  </si>
  <si>
    <t>Monter au beurre = mount with butter / emulsionar con mantequilla.</t>
  </si>
  <si>
    <r>
      <t>Monter au beurre</t>
    </r>
    <r>
      <rPr>
        <sz val="11"/>
        <color theme="1"/>
        <rFont val="Calibri"/>
        <family val="2"/>
        <scheme val="minor"/>
      </rPr>
      <t xml:space="preserve"> = </t>
    </r>
    <r>
      <rPr>
        <b/>
        <sz val="11"/>
        <color theme="1"/>
        <rFont val="Calibri"/>
        <family val="2"/>
        <scheme val="minor"/>
      </rPr>
      <t>mount with butter</t>
    </r>
    <r>
      <rPr>
        <sz val="11"/>
        <color theme="1"/>
        <rFont val="Calibri"/>
        <family val="2"/>
        <scheme val="minor"/>
      </rPr>
      <t>.</t>
    </r>
  </si>
  <si>
    <r>
      <t>Montar al mantequilla</t>
    </r>
    <r>
      <rPr>
        <sz val="11"/>
        <color theme="1"/>
        <rFont val="Calibri"/>
        <family val="2"/>
        <scheme val="minor"/>
      </rPr>
      <t>/</t>
    </r>
    <r>
      <rPr>
        <b/>
        <sz val="11"/>
        <color theme="1"/>
        <rFont val="Calibri"/>
        <family val="2"/>
        <scheme val="minor"/>
      </rPr>
      <t>emulsionar con mantequilla</t>
    </r>
    <r>
      <rPr>
        <sz val="11"/>
        <color theme="1"/>
        <rFont val="Calibri"/>
        <family val="2"/>
        <scheme val="minor"/>
      </rPr>
      <t>.</t>
    </r>
  </si>
  <si>
    <r>
      <t xml:space="preserve">faire une commande → commander → place an order → hacer un pedido — </t>
    </r>
    <r>
      <rPr>
        <b/>
        <sz val="12"/>
        <color theme="1"/>
        <rFont val="Calibri"/>
        <family val="2"/>
        <scheme val="minor"/>
      </rPr>
      <t>ES(ES):</t>
    </r>
    <r>
      <rPr>
        <sz val="12"/>
        <color theme="1"/>
        <rFont val="Calibri"/>
        <family val="2"/>
        <scheme val="minor"/>
      </rPr>
      <t xml:space="preserve"> hacer/realizar un pedido · </t>
    </r>
    <r>
      <rPr>
        <b/>
        <sz val="12"/>
        <color theme="1"/>
        <rFont val="Calibri"/>
        <family val="2"/>
        <scheme val="minor"/>
      </rPr>
      <t>ES(MX):</t>
    </r>
    <r>
      <rPr>
        <sz val="12"/>
        <color theme="1"/>
        <rFont val="Calibri"/>
        <family val="2"/>
        <scheme val="minor"/>
      </rPr>
      <t xml:space="preserve"> realizar/hacer un pedido · </t>
    </r>
    <r>
      <rPr>
        <b/>
        <sz val="12"/>
        <color theme="1"/>
        <rFont val="Calibri"/>
        <family val="2"/>
        <scheme val="minor"/>
      </rPr>
      <t>ES(AR):</t>
    </r>
    <r>
      <rPr>
        <sz val="12"/>
        <color theme="1"/>
        <rFont val="Calibri"/>
        <family val="2"/>
        <scheme val="minor"/>
      </rPr>
      <t xml:space="preserve"> hacer/realizar un pedido</t>
    </r>
  </si>
  <si>
    <t>faire refroidir / faire réchauffer</t>
  </si>
  <si>
    <t>cool / reheat</t>
  </si>
  <si>
    <t>enfriar / recalentar</t>
  </si>
  <si>
    <t>Utiliser refroidir / réchauffer directement si possible.</t>
  </si>
  <si>
    <r>
      <t xml:space="preserve">Use </t>
    </r>
    <r>
      <rPr>
        <b/>
        <sz val="11"/>
        <color theme="1"/>
        <rFont val="Calibri"/>
        <family val="2"/>
        <scheme val="minor"/>
      </rPr>
      <t>cool / reheat</t>
    </r>
    <r>
      <rPr>
        <sz val="11"/>
        <color theme="1"/>
        <rFont val="Calibri"/>
        <family val="2"/>
        <scheme val="minor"/>
      </rPr>
      <t xml:space="preserve"> directly when possible.</t>
    </r>
  </si>
  <si>
    <r>
      <t xml:space="preserve">Usar </t>
    </r>
    <r>
      <rPr>
        <b/>
        <sz val="11"/>
        <color theme="1"/>
        <rFont val="Calibri"/>
        <family val="2"/>
        <scheme val="minor"/>
      </rPr>
      <t>enfriar / recalentar</t>
    </r>
    <r>
      <rPr>
        <sz val="11"/>
        <color theme="1"/>
        <rFont val="Calibri"/>
        <family val="2"/>
        <scheme val="minor"/>
      </rPr>
      <t xml:space="preserve"> directamente si es posible.</t>
    </r>
  </si>
  <si>
    <r>
      <t xml:space="preserve">faire un planning → planifier / établir un planning → plan / schedule → planificar / elaborar un planning — </t>
    </r>
    <r>
      <rPr>
        <b/>
        <sz val="12"/>
        <color theme="1"/>
        <rFont val="Calibri"/>
        <family val="2"/>
        <scheme val="minor"/>
      </rPr>
      <t>ES(ES):</t>
    </r>
    <r>
      <rPr>
        <sz val="12"/>
        <color theme="1"/>
        <rFont val="Calibri"/>
        <family val="2"/>
        <scheme val="minor"/>
      </rPr>
      <t xml:space="preserve"> planificar / elaborar un plan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programar / planear un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planificar / armar un </t>
    </r>
    <r>
      <rPr>
        <b/>
        <sz val="12"/>
        <color theme="1"/>
        <rFont val="Calibri"/>
        <family val="2"/>
        <scheme val="minor"/>
      </rPr>
      <t>cronograma</t>
    </r>
  </si>
  <si>
    <t>faire revenir / faire rissoler</t>
  </si>
  <si>
    <t>sauté / brown</t>
  </si>
  <si>
    <t>rehogar / dorar</t>
  </si>
  <si>
    <t>Employer le verbe technique plutôt que « faire ».</t>
  </si>
  <si>
    <r>
      <t xml:space="preserve">Use the </t>
    </r>
    <r>
      <rPr>
        <b/>
        <sz val="11"/>
        <color theme="1"/>
        <rFont val="Calibri"/>
        <family val="2"/>
        <scheme val="minor"/>
      </rPr>
      <t>technical verb</t>
    </r>
    <r>
      <rPr>
        <sz val="11"/>
        <color theme="1"/>
        <rFont val="Calibri"/>
        <family val="2"/>
        <scheme val="minor"/>
      </rPr>
      <t xml:space="preserve"> instead of “do/make.”</t>
    </r>
  </si>
  <si>
    <r>
      <t xml:space="preserve">Usar el </t>
    </r>
    <r>
      <rPr>
        <b/>
        <sz val="11"/>
        <color theme="1"/>
        <rFont val="Calibri"/>
        <family val="2"/>
        <scheme val="minor"/>
      </rPr>
      <t>verbo técnico</t>
    </r>
    <r>
      <rPr>
        <sz val="11"/>
        <color theme="1"/>
        <rFont val="Calibri"/>
        <family val="2"/>
        <scheme val="minor"/>
      </rPr>
      <t xml:space="preserve"> en lugar de «hacer».</t>
    </r>
  </si>
  <si>
    <r>
      <t xml:space="preserve">faire une analyse → analyser → analyze → analizar — </t>
    </r>
    <r>
      <rPr>
        <b/>
        <sz val="12"/>
        <color theme="1"/>
        <rFont val="Calibri"/>
        <family val="2"/>
        <scheme val="minor"/>
      </rPr>
      <t>ES(ES/MX/AR):</t>
    </r>
    <r>
      <rPr>
        <sz val="12"/>
        <color theme="1"/>
        <rFont val="Calibri"/>
        <family val="2"/>
        <scheme val="minor"/>
      </rPr>
      <t xml:space="preserve"> analizar</t>
    </r>
  </si>
  <si>
    <t>Farcir</t>
  </si>
  <si>
    <t>stuff; fill</t>
  </si>
  <si>
    <t>rellenar</t>
  </si>
  <si>
    <t>Volaille, légumes, charcuterie.</t>
  </si>
  <si>
    <t>Poultry, vegetables, charcuterie.</t>
  </si>
  <si>
    <t>Aves, verduras, charcutería.</t>
  </si>
  <si>
    <r>
      <t xml:space="preserve">faire une archive → archiver → archive → archivar — </t>
    </r>
    <r>
      <rPr>
        <b/>
        <sz val="12"/>
        <color theme="1"/>
        <rFont val="Calibri"/>
        <family val="2"/>
        <scheme val="minor"/>
      </rPr>
      <t>ES(ES/MX/AR):</t>
    </r>
    <r>
      <rPr>
        <sz val="12"/>
        <color theme="1"/>
        <rFont val="Calibri"/>
        <family val="2"/>
        <scheme val="minor"/>
      </rPr>
      <t xml:space="preserve"> archivar</t>
    </r>
  </si>
  <si>
    <t>Farder</t>
  </si>
  <si>
    <t>mask/coat (thin layer for presentation)</t>
  </si>
  <si>
    <r>
      <t>enmascarar</t>
    </r>
    <r>
      <rPr>
        <sz val="11"/>
        <color theme="1"/>
        <rFont val="Calibri"/>
        <family val="2"/>
        <scheme val="minor"/>
      </rPr>
      <t>; cubrir finamente</t>
    </r>
  </si>
  <si>
    <t>Charcuterie/pâtisserie : couche fine de gelée, farce, crème.</t>
  </si>
  <si>
    <t>Thin layer of jelly/filling/cream to mask/finish.</t>
  </si>
  <si>
    <t>Capa fina de gelatina/relleno/crema para enmascarar/acabar.</t>
  </si>
  <si>
    <r>
      <t xml:space="preserve">faire une mise à jour → mettre à jour → update → actualizar — </t>
    </r>
    <r>
      <rPr>
        <b/>
        <sz val="12"/>
        <color theme="1"/>
        <rFont val="Calibri"/>
        <family val="2"/>
        <scheme val="minor"/>
      </rPr>
      <t>ES(ES/MX/AR):</t>
    </r>
    <r>
      <rPr>
        <sz val="12"/>
        <color theme="1"/>
        <rFont val="Calibri"/>
        <family val="2"/>
        <scheme val="minor"/>
      </rPr>
      <t xml:space="preserve"> actualizar</t>
    </r>
  </si>
  <si>
    <t>Fariner</t>
  </si>
  <si>
    <t>flour; dredge in flour</t>
  </si>
  <si>
    <t>enharinar</t>
  </si>
  <si>
    <t>Légèrement fariner plan de travail, produit, moule.</t>
  </si>
  <si>
    <t>Lightly flour the bench, item, or mold.</t>
  </si>
  <si>
    <t>Espolvorear ligeramente de harina la mesa, el producto o el molde.</t>
  </si>
  <si>
    <r>
      <t xml:space="preserve">faire un paramétrage → paramétrer / configurer → set up / configure → configurar — </t>
    </r>
    <r>
      <rPr>
        <b/>
        <sz val="12"/>
        <color theme="1"/>
        <rFont val="Calibri"/>
        <family val="2"/>
        <scheme val="minor"/>
      </rPr>
      <t>ES(ES):</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(ajustes) · </t>
    </r>
    <r>
      <rPr>
        <b/>
        <sz val="12"/>
        <color theme="1"/>
        <rFont val="Calibri"/>
        <family val="2"/>
        <scheme val="minor"/>
      </rPr>
      <t>ES(AR):</t>
    </r>
    <r>
      <rPr>
        <sz val="12"/>
        <color theme="1"/>
        <rFont val="Calibri"/>
        <family val="2"/>
        <scheme val="minor"/>
      </rPr>
      <t xml:space="preserve"> configurar/</t>
    </r>
    <r>
      <rPr>
        <b/>
        <sz val="12"/>
        <color theme="1"/>
        <rFont val="Calibri"/>
        <family val="2"/>
        <scheme val="minor"/>
      </rPr>
      <t>parametrizar</t>
    </r>
  </si>
  <si>
    <t>Festonner</t>
  </si>
  <si>
    <t>scallop/crimp the edge</t>
  </si>
  <si>
    <t>Décor sur bord de pâte/tourte.</t>
  </si>
  <si>
    <t>Decorative crimp/scallop on pastry/pie edge.</t>
  </si>
  <si>
    <t>Adorno festoneado en el borde de la masa/empanada.</t>
  </si>
  <si>
    <t>Fileter</t>
  </si>
  <si>
    <t>fillet (a fish)</t>
  </si>
  <si>
    <r>
      <t>filetear</t>
    </r>
    <r>
      <rPr>
        <sz val="11"/>
        <color theme="1"/>
        <rFont val="Calibri"/>
        <family val="2"/>
        <scheme val="minor"/>
      </rPr>
      <t>; sacar lomos</t>
    </r>
  </si>
  <si>
    <t>Lever des filets, retirer arêtes.</t>
  </si>
  <si>
    <t>Fillet and remove bones.</t>
  </si>
  <si>
    <t>Filetear y quitar espinas/huesos.</t>
  </si>
  <si>
    <t>Maintenance &amp; sécurité</t>
  </si>
  <si>
    <t>Maintenance &amp; safety</t>
  </si>
  <si>
    <t>Mantenimiento y seguridad</t>
  </si>
  <si>
    <t>filmage (étape)</t>
  </si>
  <si>
    <t>wrapping with film</t>
  </si>
  <si>
    <r>
      <t>enfilmado</t>
    </r>
    <r>
      <rPr>
        <sz val="11"/>
        <color theme="1"/>
        <rFont val="Calibri"/>
        <family val="2"/>
        <scheme val="minor"/>
      </rPr>
      <t xml:space="preserve"> (envoltura con film)</t>
    </r>
  </si>
  <si>
    <t>Étape conditionnement/stockage.</t>
  </si>
  <si>
    <t>Packaging/storage step.</t>
  </si>
  <si>
    <t>Etapa de envasado/almacenamiento.</t>
  </si>
  <si>
    <t>Filmer</t>
  </si>
  <si>
    <t>wrap/cover with plastic wrap</t>
  </si>
  <si>
    <r>
      <t>envolver con film</t>
    </r>
    <r>
      <rPr>
        <sz val="11"/>
        <color theme="1"/>
        <rFont val="Calibri"/>
        <family val="2"/>
        <scheme val="minor"/>
      </rPr>
      <t>; filmar</t>
    </r>
  </si>
  <si>
    <t>Contact direct ou fermeture d’un bac.</t>
  </si>
  <si>
    <t>Wrap in contact or close the container.</t>
  </si>
  <si>
    <t>Envolver “al contacto” o cerrar la cubeta/recipiente.</t>
  </si>
  <si>
    <r>
      <t xml:space="preserve">faire la maintenance → maintenir / assurer la maintenance → maintain / service → mantener / realizar el mantenimiento — </t>
    </r>
    <r>
      <rPr>
        <b/>
        <sz val="12"/>
        <color theme="1"/>
        <rFont val="Calibri"/>
        <family val="2"/>
        <scheme val="minor"/>
      </rPr>
      <t>ES(ES):</t>
    </r>
    <r>
      <rPr>
        <sz val="12"/>
        <color theme="1"/>
        <rFont val="Calibri"/>
        <family val="2"/>
        <scheme val="minor"/>
      </rPr>
      <t xml:space="preserve"> mantener / </t>
    </r>
    <r>
      <rPr>
        <b/>
        <sz val="12"/>
        <color theme="1"/>
        <rFont val="Calibri"/>
        <family val="2"/>
        <scheme val="minor"/>
      </rPr>
      <t>realizar</t>
    </r>
    <r>
      <rPr>
        <sz val="12"/>
        <color theme="1"/>
        <rFont val="Calibri"/>
        <family val="2"/>
        <scheme val="minor"/>
      </rPr>
      <t>/</t>
    </r>
    <r>
      <rPr>
        <b/>
        <sz val="12"/>
        <color theme="1"/>
        <rFont val="Calibri"/>
        <family val="2"/>
        <scheme val="minor"/>
      </rPr>
      <t>efectuar</t>
    </r>
    <r>
      <rPr>
        <sz val="12"/>
        <color theme="1"/>
        <rFont val="Calibri"/>
        <family val="2"/>
        <scheme val="minor"/>
      </rPr>
      <t xml:space="preserve"> el mantenimiento · </t>
    </r>
    <r>
      <rPr>
        <b/>
        <sz val="12"/>
        <color theme="1"/>
        <rFont val="Calibri"/>
        <family val="2"/>
        <scheme val="minor"/>
      </rPr>
      <t>ES(MX):</t>
    </r>
    <r>
      <rPr>
        <sz val="12"/>
        <color theme="1"/>
        <rFont val="Calibri"/>
        <family val="2"/>
        <scheme val="minor"/>
      </rPr>
      <t xml:space="preserve"> mantener / </t>
    </r>
    <r>
      <rPr>
        <b/>
        <sz val="12"/>
        <color theme="1"/>
        <rFont val="Calibri"/>
        <family val="2"/>
        <scheme val="minor"/>
      </rPr>
      <t>dar mantenimiento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mantener / </t>
    </r>
    <r>
      <rPr>
        <b/>
        <sz val="12"/>
        <color theme="1"/>
        <rFont val="Calibri"/>
        <family val="2"/>
        <scheme val="minor"/>
      </rPr>
      <t>hacer mantenimiento</t>
    </r>
  </si>
  <si>
    <t>Fixer</t>
  </si>
  <si>
    <t>set/stabilize (gel/color)</t>
  </si>
  <si>
    <r>
      <t>fijar</t>
    </r>
    <r>
      <rPr>
        <sz val="11"/>
        <color theme="1"/>
        <rFont val="Calibri"/>
        <family val="2"/>
        <scheme val="minor"/>
      </rPr>
      <t xml:space="preserve">; </t>
    </r>
    <r>
      <rPr>
        <b/>
        <sz val="11"/>
        <color theme="1"/>
        <rFont val="Calibri"/>
        <family val="2"/>
        <scheme val="minor"/>
      </rPr>
      <t>cuajar</t>
    </r>
    <r>
      <rPr>
        <sz val="11"/>
        <color theme="1"/>
        <rFont val="Calibri"/>
        <family val="2"/>
        <scheme val="minor"/>
      </rPr>
      <t xml:space="preserve"> (gelatina)</t>
    </r>
  </si>
  <si>
    <t>Fixer couleur (chlorophylle) / prise à la gélatine.</t>
  </si>
  <si>
    <t>Fix color (chlorophyll) / set with gelatin.</t>
  </si>
  <si>
    <t>Fijar el color (clorofila) / cuajar con gelatina.</t>
  </si>
  <si>
    <r>
      <t xml:space="preserve">faire une réparation → réparer → repair → reparar — </t>
    </r>
    <r>
      <rPr>
        <b/>
        <sz val="12"/>
        <color theme="1"/>
        <rFont val="Calibri"/>
        <family val="2"/>
        <scheme val="minor"/>
      </rPr>
      <t>ES(ES):</t>
    </r>
    <r>
      <rPr>
        <sz val="12"/>
        <color theme="1"/>
        <rFont val="Calibri"/>
        <family val="2"/>
        <scheme val="minor"/>
      </rPr>
      <t xml:space="preserve"> reparar / hacer una reparación · </t>
    </r>
    <r>
      <rPr>
        <b/>
        <sz val="12"/>
        <color theme="1"/>
        <rFont val="Calibri"/>
        <family val="2"/>
        <scheme val="minor"/>
      </rPr>
      <t>ES(MX):</t>
    </r>
    <r>
      <rPr>
        <sz val="12"/>
        <color theme="1"/>
        <rFont val="Calibri"/>
        <family val="2"/>
        <scheme val="minor"/>
      </rPr>
      <t xml:space="preserve"> reparar · </t>
    </r>
    <r>
      <rPr>
        <b/>
        <sz val="12"/>
        <color theme="1"/>
        <rFont val="Calibri"/>
        <family val="2"/>
        <scheme val="minor"/>
      </rPr>
      <t>ES(AR):</t>
    </r>
    <r>
      <rPr>
        <sz val="12"/>
        <color theme="1"/>
        <rFont val="Calibri"/>
        <family val="2"/>
        <scheme val="minor"/>
      </rPr>
      <t xml:space="preserve"> reparar</t>
    </r>
  </si>
  <si>
    <t>Flamber</t>
  </si>
  <si>
    <t>flambé</t>
  </si>
  <si>
    <t>flambear</t>
  </si>
  <si>
    <t>Enflammer avec alcool ; aussi « brûler » plumes volaille.</t>
  </si>
  <si>
    <t>Flambé with alcohol; also singe bird plumage.</t>
  </si>
  <si>
    <t>Flambear con alcohol; también chamuscar el plumón del ave.</t>
  </si>
  <si>
    <r>
      <t xml:space="preserve">faire un arrêt d’urgence → arrêter d’urgence → emergency stop → </t>
    </r>
    <r>
      <rPr>
        <b/>
        <sz val="12"/>
        <color theme="1"/>
        <rFont val="Calibri"/>
        <family val="2"/>
        <scheme val="minor"/>
      </rPr>
      <t>activar la parada de emergencia</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activar </t>
    </r>
    <r>
      <rPr>
        <b/>
        <sz val="12"/>
        <color theme="1"/>
        <rFont val="Calibri"/>
        <family val="2"/>
        <scheme val="minor"/>
      </rPr>
      <t>la parada de emergencia</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activar </t>
    </r>
    <r>
      <rPr>
        <b/>
        <sz val="12"/>
        <color theme="1"/>
        <rFont val="Calibri"/>
        <family val="2"/>
        <scheme val="minor"/>
      </rPr>
      <t>el paro de emergencia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activar </t>
    </r>
    <r>
      <rPr>
        <b/>
        <sz val="12"/>
        <color theme="1"/>
        <rFont val="Calibri"/>
        <family val="2"/>
        <scheme val="minor"/>
      </rPr>
      <t>la parada de emergencia</t>
    </r>
  </si>
  <si>
    <t>Flanquer (de)</t>
  </si>
  <si>
    <t>flank (with garnish)</t>
  </si>
  <si>
    <r>
      <t>flanquear</t>
    </r>
    <r>
      <rPr>
        <sz val="11"/>
        <color theme="1"/>
        <rFont val="Calibri"/>
        <family val="2"/>
        <scheme val="minor"/>
      </rPr>
      <t xml:space="preserve"> (con guarnición)</t>
    </r>
  </si>
  <si>
    <t>Présentation : pièce flanquée de garnitures.</t>
  </si>
  <si>
    <t>Plating: flank the main item with garnishes.</t>
  </si>
  <si>
    <t>Presentación: pieza flanqueada por guarniciones.</t>
  </si>
  <si>
    <r>
      <t xml:space="preserve">faire une mise sous tension → mettre sous tension / allumer → power on → </t>
    </r>
    <r>
      <rPr>
        <b/>
        <sz val="12"/>
        <color theme="1"/>
        <rFont val="Calibri"/>
        <family val="2"/>
        <scheme val="minor"/>
      </rPr>
      <t>energizar / encender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energizar / poner en tensión / encender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energizar / encender / prender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energizar / encender</t>
    </r>
  </si>
  <si>
    <t>Fleurer</t>
  </si>
  <si>
    <t>dust with flour</t>
  </si>
  <si>
    <t>espolvorear con harina</t>
  </si>
  <si>
    <t>Légère farine sur plan/pâte pour éviter d’adhérer.</t>
  </si>
  <si>
    <t>Light dusting of flour on bench/dough to prevent sticking.</t>
  </si>
  <si>
    <t>Ligero espolvoreado de harina en mesa/masa para que no se pegue.</t>
  </si>
  <si>
    <r>
      <t xml:space="preserve">faire un essai → tester / essayer → test / try → </t>
    </r>
    <r>
      <rPr>
        <b/>
        <sz val="12"/>
        <color theme="1"/>
        <rFont val="Calibri"/>
        <family val="2"/>
        <scheme val="minor"/>
      </rPr>
      <t>probar / ensayar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hacer una prueba / probar / ensayar</t>
    </r>
  </si>
  <si>
    <t>Foisonner</t>
  </si>
  <si>
    <r>
      <t xml:space="preserve">aerate; increase in volume; </t>
    </r>
    <r>
      <rPr>
        <b/>
        <sz val="11"/>
        <color theme="1"/>
        <rFont val="Calibri"/>
        <family val="2"/>
        <scheme val="minor"/>
      </rPr>
      <t>overrun</t>
    </r>
    <r>
      <rPr>
        <sz val="11"/>
        <color theme="1"/>
        <rFont val="Calibri"/>
        <family val="2"/>
        <scheme val="minor"/>
      </rPr>
      <t xml:space="preserve"> (ice cream)</t>
    </r>
  </si>
  <si>
    <r>
      <t>airear</t>
    </r>
    <r>
      <rPr>
        <sz val="11"/>
        <color theme="1"/>
        <rFont val="Calibri"/>
        <family val="2"/>
        <scheme val="minor"/>
      </rPr>
      <t xml:space="preserve">; </t>
    </r>
    <r>
      <rPr>
        <b/>
        <sz val="11"/>
        <color theme="1"/>
        <rFont val="Calibri"/>
        <family val="2"/>
        <scheme val="minor"/>
      </rPr>
      <t>mantecar</t>
    </r>
    <r>
      <rPr>
        <sz val="11"/>
        <color theme="1"/>
        <rFont val="Calibri"/>
        <family val="2"/>
        <scheme val="minor"/>
      </rPr>
      <t xml:space="preserve"> (helado)</t>
    </r>
  </si>
  <si>
    <t>Crèmes/chantilly/glaces : incorporer de l’air.</t>
  </si>
  <si>
    <t>Incorporate air (whipping/churning) into creams/ice cream.</t>
  </si>
  <si>
    <t>Incorporar aire (batido/mantecación) en cremas/helados.</t>
  </si>
  <si>
    <t>Foncer (un moule)</t>
  </si>
  <si>
    <t>line (a tin/shell)</t>
  </si>
  <si>
    <r>
      <t>forrar</t>
    </r>
    <r>
      <rPr>
        <sz val="11"/>
        <color theme="1"/>
        <rFont val="Calibri"/>
        <family val="2"/>
        <scheme val="minor"/>
      </rPr>
      <t xml:space="preserve"> (un molde)</t>
    </r>
  </si>
  <si>
    <t>Tarte/tourte : abaisser dans le moule.</t>
  </si>
  <si>
    <t>Line the tart/pie tin with rolled-out dough.</t>
  </si>
  <si>
    <t>Forrar el molde de tarta/empanada con la masa estirada.</t>
  </si>
  <si>
    <t>Service &amp; présentation</t>
  </si>
  <si>
    <t>Service &amp; presentation</t>
  </si>
  <si>
    <t>Servicio y presentación</t>
  </si>
  <si>
    <t>Fondre</t>
  </si>
  <si>
    <t>Beurre, chocolat, fromage.</t>
  </si>
  <si>
    <t>Gently melt butter, chocolate, or cheese.</t>
  </si>
  <si>
    <t>Fundir suavemente mantequilla, chocolate o queso.</t>
  </si>
  <si>
    <t>Fouetter</t>
  </si>
  <si>
    <t>whisk; whip</t>
  </si>
  <si>
    <t>batir (con varillas)</t>
  </si>
  <si>
    <t>Monter crème, œufs, sauces émulsionnées.</t>
  </si>
  <si>
    <t>Whip creams/eggs; emulsify sauces.</t>
  </si>
  <si>
    <t>Batir natas/huevos; emulsionar salsas.</t>
  </si>
  <si>
    <r>
      <t xml:space="preserve">faire une assiette → dresser / garnir → plate / garnish → emplatar / guarnecer — </t>
    </r>
    <r>
      <rPr>
        <b/>
        <sz val="12"/>
        <color theme="1"/>
        <rFont val="Calibri"/>
        <family val="2"/>
        <scheme val="minor"/>
      </rPr>
      <t>ES(ES):</t>
    </r>
    <r>
      <rPr>
        <sz val="12"/>
        <color theme="1"/>
        <rFont val="Calibri"/>
        <family val="2"/>
        <scheme val="minor"/>
      </rPr>
      <t xml:space="preserve"> emplatar / guarnecer · </t>
    </r>
    <r>
      <rPr>
        <b/>
        <sz val="12"/>
        <color theme="1"/>
        <rFont val="Calibri"/>
        <family val="2"/>
        <scheme val="minor"/>
      </rPr>
      <t>ES(MX):</t>
    </r>
    <r>
      <rPr>
        <sz val="12"/>
        <color theme="1"/>
        <rFont val="Calibri"/>
        <family val="2"/>
        <scheme val="minor"/>
      </rPr>
      <t xml:space="preserve"> emplatar / </t>
    </r>
    <r>
      <rPr>
        <b/>
        <sz val="12"/>
        <color theme="1"/>
        <rFont val="Calibri"/>
        <family val="2"/>
        <scheme val="minor"/>
      </rPr>
      <t>montar el plato</t>
    </r>
    <r>
      <rPr>
        <sz val="12"/>
        <color theme="1"/>
        <rFont val="Calibri"/>
        <family val="2"/>
        <scheme val="minor"/>
      </rPr>
      <t xml:space="preserve"> / guarnecer · </t>
    </r>
    <r>
      <rPr>
        <b/>
        <sz val="12"/>
        <color theme="1"/>
        <rFont val="Calibri"/>
        <family val="2"/>
        <scheme val="minor"/>
      </rPr>
      <t>ES(AR):</t>
    </r>
    <r>
      <rPr>
        <sz val="12"/>
        <color theme="1"/>
        <rFont val="Calibri"/>
        <family val="2"/>
        <scheme val="minor"/>
      </rPr>
      <t xml:space="preserve"> emplatar / guarnecer</t>
    </r>
  </si>
  <si>
    <t>Fouler</t>
  </si>
  <si>
    <t>press/strain through a chinois</t>
  </si>
  <si>
    <t>pasar presionando por un chino</t>
  </si>
  <si>
    <t>Obtenir texture lisse/extraire jus.</t>
  </si>
  <si>
    <t>Press/strain through a chinois to smooth/extract juices.</t>
  </si>
  <si>
    <t>Pasar presionando por un chino para alisar/extraer jugos.</t>
  </si>
  <si>
    <r>
      <t xml:space="preserve">faire un envoi → envoyer / passer → send to pass → enviar a pase — </t>
    </r>
    <r>
      <rPr>
        <b/>
        <sz val="12"/>
        <color theme="1"/>
        <rFont val="Calibri"/>
        <family val="2"/>
        <scheme val="minor"/>
      </rPr>
      <t>ES(ES):</t>
    </r>
    <r>
      <rPr>
        <sz val="12"/>
        <color theme="1"/>
        <rFont val="Calibri"/>
        <family val="2"/>
        <scheme val="minor"/>
      </rPr>
      <t xml:space="preserve"> enviar </t>
    </r>
    <r>
      <rPr>
        <b/>
        <sz val="12"/>
        <color theme="1"/>
        <rFont val="Calibri"/>
        <family val="2"/>
        <scheme val="minor"/>
      </rPr>
      <t>al pase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enviar </t>
    </r>
    <r>
      <rPr>
        <b/>
        <sz val="12"/>
        <color theme="1"/>
        <rFont val="Calibri"/>
        <family val="2"/>
        <scheme val="minor"/>
      </rPr>
      <t>a la barra de pase / al pase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enviar </t>
    </r>
    <r>
      <rPr>
        <b/>
        <sz val="12"/>
        <color theme="1"/>
        <rFont val="Calibri"/>
        <family val="2"/>
        <scheme val="minor"/>
      </rPr>
      <t>al pase</t>
    </r>
  </si>
  <si>
    <t>Fourrer</t>
  </si>
  <si>
    <t>fill (chocolates/pastry)</t>
  </si>
  <si>
    <t>Bonbons, croissants, choux.</t>
  </si>
  <si>
    <t>Fill chocolates/croissants/choux.</t>
  </si>
  <si>
    <t>Rellenar bombones/cruasanes/lionesas.</t>
  </si>
  <si>
    <r>
      <t xml:space="preserve">faire un assortiment → panacher / assortir → mix / assort → mezclar / combinar surtidos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 surtido</t>
    </r>
    <r>
      <rPr>
        <sz val="12"/>
        <color theme="1"/>
        <rFont val="Calibri"/>
        <family val="2"/>
        <scheme val="minor"/>
      </rPr>
      <t xml:space="preserve"> / combinar surtidos · </t>
    </r>
    <r>
      <rPr>
        <b/>
        <sz val="12"/>
        <color theme="1"/>
        <rFont val="Calibri"/>
        <family val="2"/>
        <scheme val="minor"/>
      </rPr>
      <t>ES(MX):</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 · </t>
    </r>
    <r>
      <rPr>
        <b/>
        <sz val="12"/>
        <color theme="1"/>
        <rFont val="Calibri"/>
        <family val="2"/>
        <scheme val="minor"/>
      </rPr>
      <t>ES(AR):</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t>
    </r>
  </si>
  <si>
    <r>
      <t xml:space="preserve">Fraiser </t>
    </r>
    <r>
      <rPr>
        <i/>
        <sz val="11"/>
        <color theme="1"/>
        <rFont val="Calibri"/>
        <family val="2"/>
        <scheme val="minor"/>
      </rPr>
      <t>(→ fraser)</t>
    </r>
  </si>
  <si>
    <t>smear to combine (dough)</t>
  </si>
  <si>
    <t>(véase “Fraser”)</t>
  </si>
  <si>
    <r>
      <t xml:space="preserve">Orthographe fréquente mais on vise </t>
    </r>
    <r>
      <rPr>
        <b/>
        <sz val="11"/>
        <color theme="1"/>
        <rFont val="Calibri"/>
        <family val="2"/>
        <scheme val="minor"/>
      </rPr>
      <t>fraser</t>
    </r>
    <r>
      <rPr>
        <sz val="11"/>
        <color theme="1"/>
        <rFont val="Calibri"/>
        <family val="2"/>
        <scheme val="minor"/>
      </rPr>
      <t>.</t>
    </r>
  </si>
  <si>
    <r>
      <t xml:space="preserve">Common misspelling; correct action is </t>
    </r>
    <r>
      <rPr>
        <b/>
        <sz val="11"/>
        <color theme="1"/>
        <rFont val="Calibri"/>
        <family val="2"/>
        <scheme val="minor"/>
      </rPr>
      <t>fraser</t>
    </r>
    <r>
      <rPr>
        <sz val="11"/>
        <color theme="1"/>
        <rFont val="Calibri"/>
        <family val="2"/>
        <scheme val="minor"/>
      </rPr>
      <t xml:space="preserve"> (smear dough to homogenize).</t>
    </r>
  </si>
  <si>
    <r>
      <t xml:space="preserve">Error frecuente; la acción correcta es </t>
    </r>
    <r>
      <rPr>
        <b/>
        <sz val="11"/>
        <color theme="1"/>
        <rFont val="Calibri"/>
        <family val="2"/>
        <scheme val="minor"/>
      </rPr>
      <t>fraser</t>
    </r>
    <r>
      <rPr>
        <sz val="11"/>
        <color theme="1"/>
        <rFont val="Calibri"/>
        <family val="2"/>
        <scheme val="minor"/>
      </rPr>
      <t xml:space="preserve"> (empujar la masa para homogeneizar).</t>
    </r>
  </si>
  <si>
    <t>Frapper</t>
  </si>
  <si>
    <t>chill/ice down; frappe (drink)</t>
  </si>
  <si>
    <r>
      <t>enfriar rápidamente</t>
    </r>
    <r>
      <rPr>
        <sz val="11"/>
        <color theme="1"/>
        <rFont val="Calibri"/>
        <family val="2"/>
        <scheme val="minor"/>
      </rPr>
      <t xml:space="preserve"> (baño de hielo)</t>
    </r>
  </si>
  <si>
    <t>Refroidir une cuve, un sirop, un shaker.</t>
  </si>
  <si>
    <t>Chill a tank/syrup/shaker quickly.</t>
  </si>
  <si>
    <t>Enfriar rápidamente una cuba/un jarabe/una coctelera.</t>
  </si>
  <si>
    <t>Astuce express</t>
  </si>
  <si>
    <t>Quick tip</t>
  </si>
  <si>
    <t>Truco exprés</t>
  </si>
  <si>
    <t>Fraser (pâtisserie)</t>
  </si>
  <si>
    <t>smear dough to homogeneize</t>
  </si>
  <si>
    <t>trabajar la masa con la palma para homogeneizar</t>
  </si>
  <si>
    <t>Sur marbre : pousser la pâte pour lier sans corser.</t>
  </si>
  <si>
    <t>On marble: smear the dough to bind without overworking gluten.</t>
  </si>
  <si>
    <t>En mármol: empujar la masa para ligar sin sobretrabajar el gluten.</t>
  </si>
  <si>
    <t>Frémir</t>
  </si>
  <si>
    <t>simmer gently (below boil)</t>
  </si>
  <si>
    <r>
      <t>hervir suavemente</t>
    </r>
    <r>
      <rPr>
        <sz val="11"/>
        <color theme="1"/>
        <rFont val="Calibri"/>
        <family val="2"/>
        <scheme val="minor"/>
      </rPr>
      <t xml:space="preserve"> (sin borbotear)</t>
    </r>
  </si>
  <si>
    <t>Petits frémissements ~95–98 °C.</t>
  </si>
  <si>
    <t>Gentle simmer ~95–98 °C.</t>
  </si>
  <si>
    <t>Hervor suave ~95–98 °C.</t>
  </si>
  <si>
    <r>
      <t xml:space="preserve">Quand tu hésites, remplace “faire” par le </t>
    </r>
    <r>
      <rPr>
        <b/>
        <sz val="12"/>
        <color theme="1"/>
        <rFont val="Calibri"/>
        <family val="2"/>
        <scheme val="minor"/>
      </rPr>
      <t>verbe technique</t>
    </r>
    <r>
      <rPr>
        <sz val="12"/>
        <color theme="1"/>
        <rFont val="Calibri"/>
        <family val="2"/>
        <scheme val="minor"/>
      </rPr>
      <t xml:space="preserve"> de l’action réelle :</t>
    </r>
  </si>
  <si>
    <t>Frire</t>
  </si>
  <si>
    <t>fry; deep-fry</t>
  </si>
  <si>
    <t>freír</t>
  </si>
  <si>
    <t>À l’huile/gras, contrôler T° et croustillance.</t>
  </si>
  <si>
    <t>Fry in oil/fat; control temperature and crispness.</t>
  </si>
  <si>
    <t>Freír en aceite/grasa; controlar la temperatura y la textura crujiente.</t>
  </si>
  <si>
    <r>
      <t>faire une pesée</t>
    </r>
    <r>
      <rPr>
        <sz val="12"/>
        <color theme="1"/>
        <rFont val="Calibri"/>
        <family val="2"/>
        <scheme val="minor"/>
      </rPr>
      <t xml:space="preserve"> → </t>
    </r>
    <r>
      <rPr>
        <b/>
        <sz val="12"/>
        <color theme="1"/>
        <rFont val="Calibri"/>
        <family val="2"/>
        <scheme val="minor"/>
      </rPr>
      <t>peser</t>
    </r>
    <r>
      <rPr>
        <sz val="12"/>
        <color theme="1"/>
        <rFont val="Calibri"/>
        <family val="2"/>
        <scheme val="minor"/>
      </rPr>
      <t xml:space="preserve">, </t>
    </r>
    <r>
      <rPr>
        <i/>
        <sz val="12"/>
        <color theme="1"/>
        <rFont val="Calibri"/>
        <family val="2"/>
        <scheme val="minor"/>
      </rPr>
      <t>faire un refroidissement</t>
    </r>
    <r>
      <rPr>
        <sz val="12"/>
        <color theme="1"/>
        <rFont val="Calibri"/>
        <family val="2"/>
        <scheme val="minor"/>
      </rPr>
      <t xml:space="preserve"> → </t>
    </r>
    <r>
      <rPr>
        <b/>
        <sz val="12"/>
        <color theme="1"/>
        <rFont val="Calibri"/>
        <family val="2"/>
        <scheme val="minor"/>
      </rPr>
      <t>refroidir</t>
    </r>
    <r>
      <rPr>
        <sz val="12"/>
        <color theme="1"/>
        <rFont val="Calibri"/>
        <family val="2"/>
        <scheme val="minor"/>
      </rPr>
      <t xml:space="preserve">, </t>
    </r>
    <r>
      <rPr>
        <i/>
        <sz val="12"/>
        <color theme="1"/>
        <rFont val="Calibri"/>
        <family val="2"/>
        <scheme val="minor"/>
      </rPr>
      <t>faire un contrôle</t>
    </r>
    <r>
      <rPr>
        <sz val="12"/>
        <color theme="1"/>
        <rFont val="Calibri"/>
        <family val="2"/>
        <scheme val="minor"/>
      </rPr>
      <t xml:space="preserve"> → </t>
    </r>
    <r>
      <rPr>
        <b/>
        <sz val="12"/>
        <color theme="1"/>
        <rFont val="Calibri"/>
        <family val="2"/>
        <scheme val="minor"/>
      </rPr>
      <t>contrôler</t>
    </r>
    <r>
      <rPr>
        <sz val="12"/>
        <color theme="1"/>
        <rFont val="Calibri"/>
        <family val="2"/>
        <scheme val="minor"/>
      </rPr>
      <t xml:space="preserve">, </t>
    </r>
    <r>
      <rPr>
        <i/>
        <sz val="12"/>
        <color theme="1"/>
        <rFont val="Calibri"/>
        <family val="2"/>
        <scheme val="minor"/>
      </rPr>
      <t>faire une mise en bac</t>
    </r>
    <r>
      <rPr>
        <sz val="12"/>
        <color theme="1"/>
        <rFont val="Calibri"/>
        <family val="2"/>
        <scheme val="minor"/>
      </rPr>
      <t xml:space="preserve"> → </t>
    </r>
    <r>
      <rPr>
        <b/>
        <sz val="12"/>
        <color theme="1"/>
        <rFont val="Calibri"/>
        <family val="2"/>
        <scheme val="minor"/>
      </rPr>
      <t>mettre en bac</t>
    </r>
    <r>
      <rPr>
        <sz val="12"/>
        <color theme="1"/>
        <rFont val="Calibri"/>
        <family val="2"/>
        <scheme val="minor"/>
      </rPr>
      <t>, etc.</t>
    </r>
  </si>
  <si>
    <t>Garnir</t>
  </si>
  <si>
    <t>garnish; fill</t>
  </si>
  <si>
    <r>
      <t>guarnecer</t>
    </r>
    <r>
      <rPr>
        <sz val="11"/>
        <color theme="1"/>
        <rFont val="Calibri"/>
        <family val="2"/>
        <scheme val="minor"/>
      </rPr>
      <t xml:space="preserve">; </t>
    </r>
    <r>
      <rPr>
        <b/>
        <sz val="11"/>
        <color theme="1"/>
        <rFont val="Calibri"/>
        <family val="2"/>
        <scheme val="minor"/>
      </rPr>
      <t>rellenar</t>
    </r>
  </si>
  <si>
    <t>Garniture d’assiette ou farce/crème dans une pâte.</t>
  </si>
  <si>
    <t>Plate garnish, or fill pastry/dough with cream/filling.</t>
  </si>
  <si>
    <t>Guarnición de plato, o rellenar una masa/pastel con crema/relleno.</t>
  </si>
  <si>
    <t>When you’re unsure, replace “faire” with the technical verb for the actual action:</t>
  </si>
  <si>
    <t>gerbage</t>
  </si>
  <si>
    <t>stacking (pallets/crates)</t>
  </si>
  <si>
    <r>
      <t>apilado</t>
    </r>
    <r>
      <rPr>
        <sz val="11"/>
        <color theme="1"/>
        <rFont val="Calibri"/>
        <family val="2"/>
        <scheme val="minor"/>
      </rPr>
      <t xml:space="preserve"> (palets/cajas)</t>
    </r>
  </si>
  <si>
    <t>Logistique : empilement sur palettes/chariots.</t>
  </si>
  <si>
    <t>Logistics: stacking on pallets/trolleys.</t>
  </si>
  <si>
    <t>Logística: apilado en palets/carros.</t>
  </si>
  <si>
    <r>
      <t xml:space="preserve">do a weighing → </t>
    </r>
    <r>
      <rPr>
        <b/>
        <sz val="12"/>
        <color theme="1"/>
        <rFont val="Calibri"/>
        <family val="2"/>
        <scheme val="minor"/>
      </rPr>
      <t>weigh</t>
    </r>
    <r>
      <rPr>
        <sz val="12"/>
        <color theme="1"/>
        <rFont val="Calibri"/>
        <family val="2"/>
        <scheme val="minor"/>
      </rPr>
      <t xml:space="preserve">, do a chilling → </t>
    </r>
    <r>
      <rPr>
        <b/>
        <sz val="12"/>
        <color theme="1"/>
        <rFont val="Calibri"/>
        <family val="2"/>
        <scheme val="minor"/>
      </rPr>
      <t>chill</t>
    </r>
    <r>
      <rPr>
        <sz val="12"/>
        <color theme="1"/>
        <rFont val="Calibri"/>
        <family val="2"/>
        <scheme val="minor"/>
      </rPr>
      <t xml:space="preserve">, do a check → </t>
    </r>
    <r>
      <rPr>
        <b/>
        <sz val="12"/>
        <color theme="1"/>
        <rFont val="Calibri"/>
        <family val="2"/>
        <scheme val="minor"/>
      </rPr>
      <t>check</t>
    </r>
    <r>
      <rPr>
        <sz val="12"/>
        <color theme="1"/>
        <rFont val="Calibri"/>
        <family val="2"/>
        <scheme val="minor"/>
      </rPr>
      <t xml:space="preserve">, do a “mise en bac” → </t>
    </r>
    <r>
      <rPr>
        <b/>
        <sz val="12"/>
        <color theme="1"/>
        <rFont val="Calibri"/>
        <family val="2"/>
        <scheme val="minor"/>
      </rPr>
      <t>put into a tray/pan</t>
    </r>
    <r>
      <rPr>
        <sz val="12"/>
        <color theme="1"/>
        <rFont val="Calibri"/>
        <family val="2"/>
        <scheme val="minor"/>
      </rPr>
      <t>, etc.</t>
    </r>
  </si>
  <si>
    <t>Gerber</t>
  </si>
  <si>
    <t>stack; palletize</t>
  </si>
  <si>
    <r>
      <t>apilar</t>
    </r>
    <r>
      <rPr>
        <sz val="11"/>
        <color theme="1"/>
        <rFont val="Calibri"/>
        <family val="2"/>
        <scheme val="minor"/>
      </rPr>
      <t>; paletizar</t>
    </r>
  </si>
  <si>
    <t>Action d’empiler bacs/plateaux/palettes.</t>
  </si>
  <si>
    <t>Action of stacking bins/trays/pallets.</t>
  </si>
  <si>
    <t>Acción de apilar cubetas/bandejas/palets.</t>
  </si>
  <si>
    <t>Glacer</t>
  </si>
  <si>
    <t>glaze; ice/frost</t>
  </si>
  <si>
    <r>
      <t>glasear</t>
    </r>
    <r>
      <rPr>
        <sz val="11"/>
        <color theme="1"/>
        <rFont val="Calibri"/>
        <family val="2"/>
        <scheme val="minor"/>
      </rPr>
      <t xml:space="preserve">; </t>
    </r>
    <r>
      <rPr>
        <b/>
        <sz val="11"/>
        <color theme="1"/>
        <rFont val="Calibri"/>
        <family val="2"/>
        <scheme val="minor"/>
      </rPr>
      <t>bañar/glasar</t>
    </r>
  </si>
  <si>
    <t>Pâtisserie (glaçage), légumes « glacés » au beurre/sucre, viandes nappées brillantes.</t>
  </si>
  <si>
    <t>Pastry glazing; vegetables glazed with butter/sugar; meats coated to a glossy finish.</t>
  </si>
  <si>
    <t>Glaseado en pastelería; verduras glaseadas con mantequilla/azúcar; carnes napadas con brillo.</t>
  </si>
  <si>
    <t>Cuando dudes, sustituye «faire» por el verbo técnico de la acción real:</t>
  </si>
  <si>
    <t>Gommer</t>
  </si>
  <si>
    <t>brush with gum arabic; seal with gum</t>
  </si>
  <si>
    <t>barnizar con goma arábiga</t>
  </si>
  <si>
    <t>Pâtisserie/boulangerie : solution de gomme pour brillance/étanchéité.</t>
  </si>
  <si>
    <t>Pastry/bakery: gum arabic solution for shine/sealing.</t>
  </si>
  <si>
    <t>Pastelería/panadería: solución de goma arábiga para brillo/impermeabilizar.</t>
  </si>
  <si>
    <r>
      <t xml:space="preserve">hacer una pesada → </t>
    </r>
    <r>
      <rPr>
        <b/>
        <sz val="11"/>
        <color theme="1"/>
        <rFont val="Calibri"/>
        <family val="2"/>
        <scheme val="minor"/>
      </rPr>
      <t>pesar</t>
    </r>
    <r>
      <rPr>
        <sz val="11"/>
        <color theme="1"/>
        <rFont val="Calibri"/>
        <family val="2"/>
        <scheme val="minor"/>
      </rPr>
      <t xml:space="preserve">, hacer un enfriamiento → </t>
    </r>
    <r>
      <rPr>
        <b/>
        <sz val="11"/>
        <color theme="1"/>
        <rFont val="Calibri"/>
        <family val="2"/>
        <scheme val="minor"/>
      </rPr>
      <t>enfriar</t>
    </r>
    <r>
      <rPr>
        <sz val="11"/>
        <color theme="1"/>
        <rFont val="Calibri"/>
        <family val="2"/>
        <scheme val="minor"/>
      </rPr>
      <t xml:space="preserve">, hacer un control → </t>
    </r>
    <r>
      <rPr>
        <b/>
        <sz val="11"/>
        <color theme="1"/>
        <rFont val="Calibri"/>
        <family val="2"/>
        <scheme val="minor"/>
      </rPr>
      <t>controlar</t>
    </r>
    <r>
      <rPr>
        <sz val="11"/>
        <color theme="1"/>
        <rFont val="Calibri"/>
        <family val="2"/>
        <scheme val="minor"/>
      </rPr>
      <t xml:space="preserve">, hacer una “mise en bac” → </t>
    </r>
    <r>
      <rPr>
        <b/>
        <sz val="11"/>
        <color theme="1"/>
        <rFont val="Calibri"/>
        <family val="2"/>
        <scheme val="minor"/>
      </rPr>
      <t>poner en cubeta/bandeja</t>
    </r>
    <r>
      <rPr>
        <sz val="11"/>
        <color theme="1"/>
        <rFont val="Calibri"/>
        <family val="2"/>
        <scheme val="minor"/>
      </rPr>
      <t>, etc.</t>
    </r>
  </si>
  <si>
    <t>goûtage</t>
  </si>
  <si>
    <t>tasting; sampling</t>
  </si>
  <si>
    <r>
      <t>cata</t>
    </r>
    <r>
      <rPr>
        <sz val="11"/>
        <color theme="1"/>
        <rFont val="Calibri"/>
        <family val="2"/>
        <scheme val="minor"/>
      </rPr>
      <t>; degustación</t>
    </r>
  </si>
  <si>
    <t>Contrôle organoleptique/QA.</t>
  </si>
  <si>
    <t>Sensory check / QA.</t>
  </si>
  <si>
    <t>Control organoléptico / calidad.</t>
  </si>
  <si>
    <t>Grainer</t>
  </si>
  <si>
    <t>crystallize / turn grainy; seize (chocolate)</t>
  </si>
  <si>
    <r>
      <t>cristalizar</t>
    </r>
    <r>
      <rPr>
        <sz val="11"/>
        <color theme="1"/>
        <rFont val="Calibri"/>
        <family val="2"/>
        <scheme val="minor"/>
      </rPr>
      <t xml:space="preserve">; </t>
    </r>
    <r>
      <rPr>
        <b/>
        <sz val="11"/>
        <color theme="1"/>
        <rFont val="Calibri"/>
        <family val="2"/>
        <scheme val="minor"/>
      </rPr>
      <t>cortarse/granear</t>
    </r>
  </si>
  <si>
    <t>Sucre qui « graine », ganache/émulsion qui tranche.</t>
  </si>
  <si>
    <t>Sugar recrystallizing; ganache/emulsion splitting.</t>
  </si>
  <si>
    <t>Azúcar que recristaliza; ganache/emulsión que se corta.</t>
  </si>
  <si>
    <t>Graisser</t>
  </si>
  <si>
    <t>grease; oil</t>
  </si>
  <si>
    <r>
      <t>engrasar</t>
    </r>
    <r>
      <rPr>
        <sz val="11"/>
        <color theme="1"/>
        <rFont val="Calibri"/>
        <family val="2"/>
        <scheme val="minor"/>
      </rPr>
      <t>; aceitar</t>
    </r>
  </si>
  <si>
    <t>Plaques, moules, charnières de machines.</t>
  </si>
  <si>
    <t>Trays, molds, machine hinges.</t>
  </si>
  <si>
    <t>Bandejas, moldes, bisagras de máquinas.</t>
  </si>
  <si>
    <t>gratinate; brown under the grill</t>
  </si>
  <si>
    <r>
      <t>gratin ar</t>
    </r>
    <r>
      <rPr>
        <sz val="11"/>
        <color theme="1"/>
        <rFont val="Calibri"/>
        <family val="2"/>
        <scheme val="minor"/>
      </rPr>
      <t>/</t>
    </r>
    <r>
      <rPr>
        <b/>
        <sz val="11"/>
        <color theme="1"/>
        <rFont val="Calibri"/>
        <family val="2"/>
        <scheme val="minor"/>
      </rPr>
      <t>gratinar</t>
    </r>
  </si>
  <si>
    <t>Croûte dorée (fromage/chapelure) au four/salamandre.</t>
  </si>
  <si>
    <t>Golden crust (cheese/crumbs) under oven/salamander.</t>
  </si>
  <si>
    <t>Costra dorada (queso/pan rallado) al horno/salamandra.</t>
  </si>
  <si>
    <t>Griller</t>
  </si>
  <si>
    <t>grill; toast; sear</t>
  </si>
  <si>
    <r>
      <t>asar a la parrilla</t>
    </r>
    <r>
      <rPr>
        <sz val="11"/>
        <color theme="1"/>
        <rFont val="Calibri"/>
        <family val="2"/>
        <scheme val="minor"/>
      </rPr>
      <t>; tostar</t>
    </r>
  </si>
  <si>
    <t>Viandes/poissons au gril ; pain/noix « toaster ».</t>
  </si>
  <si>
    <t>Meats/fish on the grill; toast bread/nuts.</t>
  </si>
  <si>
    <t>Carnes/pescados a la parrilla; tostar pan/frutos secos.</t>
  </si>
  <si>
    <t>Habiller</t>
  </si>
  <si>
    <t>dress/clean (fish, game, poultry)</t>
  </si>
  <si>
    <r>
      <t>limpiar y preparar</t>
    </r>
    <r>
      <rPr>
        <sz val="11"/>
        <color theme="1"/>
        <rFont val="Calibri"/>
        <family val="2"/>
        <scheme val="minor"/>
      </rPr>
      <t>; eviscerar (pescado/ave)</t>
    </r>
  </si>
  <si>
    <t>Préparer avant cuisson : écailler/vider (poisson), déplumer/vider (volaille), parer (gibier).</t>
  </si>
  <si>
    <t>Prep before cooking: scale/gut fish, pluck/gut poultry, trim/pare game.</t>
  </si>
  <si>
    <t>Preparar antes de la cocción: desescamar/eviscerar pescado, desplumar/eviscerar aves, parear/recortar caza.</t>
  </si>
  <si>
    <t>Hacher</t>
  </si>
  <si>
    <t>chop; mince/grind</t>
  </si>
  <si>
    <r>
      <t>picar</t>
    </r>
    <r>
      <rPr>
        <sz val="11"/>
        <color theme="1"/>
        <rFont val="Calibri"/>
        <family val="2"/>
        <scheme val="minor"/>
      </rPr>
      <t xml:space="preserve">; </t>
    </r>
    <r>
      <rPr>
        <b/>
        <sz val="11"/>
        <color theme="1"/>
        <rFont val="Calibri"/>
        <family val="2"/>
        <scheme val="minor"/>
      </rPr>
      <t>moler/triturar</t>
    </r>
    <r>
      <rPr>
        <sz val="11"/>
        <color theme="1"/>
        <rFont val="Calibri"/>
        <family val="2"/>
        <scheme val="minor"/>
      </rPr>
      <t xml:space="preserve"> (carne)</t>
    </r>
  </si>
  <si>
    <t>Couteau : « chop/picar » ; hachoir/moulin : « mince/grind/moler ».</t>
  </si>
  <si>
    <r>
      <t xml:space="preserve">By knife: </t>
    </r>
    <r>
      <rPr>
        <b/>
        <sz val="11"/>
        <color theme="1"/>
        <rFont val="Calibri"/>
        <family val="2"/>
        <scheme val="minor"/>
      </rPr>
      <t>chop</t>
    </r>
    <r>
      <rPr>
        <sz val="11"/>
        <color theme="1"/>
        <rFont val="Calibri"/>
        <family val="2"/>
        <scheme val="minor"/>
      </rPr>
      <t xml:space="preserve">; with grinder/mill: </t>
    </r>
    <r>
      <rPr>
        <b/>
        <sz val="11"/>
        <color theme="1"/>
        <rFont val="Calibri"/>
        <family val="2"/>
        <scheme val="minor"/>
      </rPr>
      <t>mince/grind</t>
    </r>
    <r>
      <rPr>
        <sz val="11"/>
        <color theme="1"/>
        <rFont val="Calibri"/>
        <family val="2"/>
        <scheme val="minor"/>
      </rPr>
      <t>.</t>
    </r>
  </si>
  <si>
    <r>
      <t xml:space="preserve">Con cuchillo: </t>
    </r>
    <r>
      <rPr>
        <b/>
        <sz val="11"/>
        <color theme="1"/>
        <rFont val="Calibri"/>
        <family val="2"/>
        <scheme val="minor"/>
      </rPr>
      <t>picar</t>
    </r>
    <r>
      <rPr>
        <sz val="11"/>
        <color theme="1"/>
        <rFont val="Calibri"/>
        <family val="2"/>
        <scheme val="minor"/>
      </rPr>
      <t xml:space="preserve">; con picadora/molino: </t>
    </r>
    <r>
      <rPr>
        <b/>
        <sz val="11"/>
        <color theme="1"/>
        <rFont val="Calibri"/>
        <family val="2"/>
        <scheme val="minor"/>
      </rPr>
      <t>moler/triturar</t>
    </r>
    <r>
      <rPr>
        <sz val="11"/>
        <color theme="1"/>
        <rFont val="Calibri"/>
        <family val="2"/>
        <scheme val="minor"/>
      </rPr>
      <t>.</t>
    </r>
  </si>
  <si>
    <t>Historier</t>
  </si>
  <si>
    <t>ornament; embellish (with motifs)</t>
  </si>
  <si>
    <r>
      <t>ornamentar</t>
    </r>
    <r>
      <rPr>
        <sz val="11"/>
        <color theme="1"/>
        <rFont val="Calibri"/>
        <family val="2"/>
        <scheme val="minor"/>
      </rPr>
      <t xml:space="preserve">; </t>
    </r>
    <r>
      <rPr>
        <b/>
        <sz val="11"/>
        <color theme="1"/>
        <rFont val="Calibri"/>
        <family val="2"/>
        <scheme val="minor"/>
      </rPr>
      <t>decorar con motivos</t>
    </r>
  </si>
  <si>
    <t>Terme rare/littéraire : décors figuratifs en pâtisserie/présentation.</t>
  </si>
  <si>
    <t>Rare/literary term: figurative/ornamental decorations in pastry/plating.</t>
  </si>
  <si>
    <t>Término raro/literario: decoraciones figurativas/ornamentales en pastelería/emplatado.</t>
  </si>
  <si>
    <t>Huiler</t>
  </si>
  <si>
    <t>oil; grease with oil</t>
  </si>
  <si>
    <r>
      <t>aceitar</t>
    </r>
    <r>
      <rPr>
        <sz val="11"/>
        <color theme="1"/>
        <rFont val="Calibri"/>
        <family val="2"/>
        <scheme val="minor"/>
      </rPr>
      <t>; engrasar con aceite</t>
    </r>
  </si>
  <si>
    <t>Huiler plaque, moule, plancha ou assaisonner en filet/pinceau.</t>
  </si>
  <si>
    <t>Oil a tray/mold/griddle or drizzle/brush as seasoning.</t>
  </si>
  <si>
    <t>Aceitar una bandeja/molde/plancha o aderezar en hilo/pincelar.</t>
  </si>
  <si>
    <t>imbiber</t>
  </si>
  <si>
    <r>
      <t xml:space="preserve">soak; </t>
    </r>
    <r>
      <rPr>
        <b/>
        <sz val="11"/>
        <color theme="1"/>
        <rFont val="Calibri"/>
        <family val="2"/>
        <scheme val="minor"/>
      </rPr>
      <t>soak with syrup</t>
    </r>
  </si>
  <si>
    <r>
      <t>calar / emborrachar</t>
    </r>
    <r>
      <rPr>
        <sz val="11"/>
        <color theme="1"/>
        <rFont val="Calibri"/>
        <family val="2"/>
        <scheme val="minor"/>
      </rPr>
      <t xml:space="preserve"> (bizcocho); impregnar</t>
    </r>
  </si>
  <si>
    <t>Pâtisserie : sirop sur biscuit = to soak/calar/emborrachar.</t>
  </si>
  <si>
    <r>
      <t>Pastry: soak a sponge with syrup (</t>
    </r>
    <r>
      <rPr>
        <i/>
        <sz val="11"/>
        <color theme="1"/>
        <rFont val="Calibri"/>
        <family val="2"/>
        <scheme val="minor"/>
      </rPr>
      <t>to soak</t>
    </r>
    <r>
      <rPr>
        <sz val="11"/>
        <color theme="1"/>
        <rFont val="Calibri"/>
        <family val="2"/>
        <scheme val="minor"/>
      </rPr>
      <t>).</t>
    </r>
  </si>
  <si>
    <r>
      <t xml:space="preserve">Pastelería: </t>
    </r>
    <r>
      <rPr>
        <b/>
        <sz val="11"/>
        <color theme="1"/>
        <rFont val="Calibri"/>
        <family val="2"/>
        <scheme val="minor"/>
      </rPr>
      <t>calar/emborrachar</t>
    </r>
    <r>
      <rPr>
        <sz val="11"/>
        <color theme="1"/>
        <rFont val="Calibri"/>
        <family val="2"/>
        <scheme val="minor"/>
      </rPr>
      <t xml:space="preserve"> un bizcocho con almíbar.</t>
    </r>
  </si>
  <si>
    <t>Inciser</t>
  </si>
  <si>
    <t>score; make shallow cuts</t>
  </si>
  <si>
    <r>
      <t>hacer incisiones</t>
    </r>
    <r>
      <rPr>
        <sz val="11"/>
        <color theme="1"/>
        <rFont val="Calibri"/>
        <family val="2"/>
        <scheme val="minor"/>
      </rPr>
      <t xml:space="preserve">; </t>
    </r>
    <r>
      <rPr>
        <i/>
        <sz val="11"/>
        <color theme="1"/>
        <rFont val="Calibri"/>
        <family val="2"/>
        <scheme val="minor"/>
      </rPr>
      <t>(panificación)</t>
    </r>
    <r>
      <rPr>
        <sz val="11"/>
        <color theme="1"/>
        <rFont val="Calibri"/>
        <family val="2"/>
        <scheme val="minor"/>
      </rPr>
      <t xml:space="preserve"> </t>
    </r>
    <r>
      <rPr>
        <b/>
        <sz val="11"/>
        <color theme="1"/>
        <rFont val="Calibri"/>
        <family val="2"/>
        <scheme val="minor"/>
      </rPr>
      <t>greñar</t>
    </r>
  </si>
  <si>
    <t>Peau de poisson/viande : score ; pain : greñar.</t>
  </si>
  <si>
    <t>Score fish/meat skin; for bread: score/slash (create grignes).</t>
  </si>
  <si>
    <r>
      <t xml:space="preserve">Practicar cortes en la piel de pescado/carne; en pan: </t>
    </r>
    <r>
      <rPr>
        <b/>
        <sz val="11"/>
        <color theme="1"/>
        <rFont val="Calibri"/>
        <family val="2"/>
        <scheme val="minor"/>
      </rPr>
      <t>greñar</t>
    </r>
    <r>
      <rPr>
        <sz val="11"/>
        <color theme="1"/>
        <rFont val="Calibri"/>
        <family val="2"/>
        <scheme val="minor"/>
      </rPr>
      <t xml:space="preserve"> (hacer cortes).</t>
    </r>
  </si>
  <si>
    <t>Incorporer</t>
  </si>
  <si>
    <t>Fold/Incorporate</t>
  </si>
  <si>
    <t>Incorporar</t>
  </si>
  <si>
    <t>Ajouter progressivement sans faire retomber.</t>
  </si>
  <si>
    <t>Add gradually without deflating.</t>
  </si>
  <si>
    <t>Incorporar poco a poco sin bajar la mezcla.</t>
  </si>
  <si>
    <t>Indications packaging</t>
  </si>
  <si>
    <r>
      <t>packaging instructions</t>
    </r>
    <r>
      <rPr>
        <sz val="11"/>
        <color theme="1"/>
        <rFont val="Calibri"/>
        <family val="2"/>
        <scheme val="minor"/>
      </rPr>
      <t>; pack/labelling notes</t>
    </r>
  </si>
  <si>
    <r>
      <t>instrucciones de envasado</t>
    </r>
    <r>
      <rPr>
        <sz val="11"/>
        <color theme="1"/>
        <rFont val="Calibri"/>
        <family val="2"/>
        <scheme val="minor"/>
      </rPr>
      <t>; indicaciones de etiquetado</t>
    </r>
  </si>
  <si>
    <t>Fiches prod : grammage, barquette, film, DLC, lot, étiquettes, ATM, etc.</t>
  </si>
  <si>
    <t>Packaging sheet: weights, tray/film type, use-by date, lot, labels, MAP, etc.</t>
  </si>
  <si>
    <r>
      <t xml:space="preserve">Ficha de envasado: gramajes, tipo de barqueta/film, fecha de caducidad, lote, etiquetas, </t>
    </r>
    <r>
      <rPr>
        <b/>
        <sz val="11"/>
        <color theme="1"/>
        <rFont val="Calibri"/>
        <family val="2"/>
        <scheme val="minor"/>
      </rPr>
      <t>ATM</t>
    </r>
    <r>
      <rPr>
        <sz val="11"/>
        <color theme="1"/>
        <rFont val="Calibri"/>
        <family val="2"/>
        <scheme val="minor"/>
      </rPr>
      <t xml:space="preserve"> (atmósfera modificada), etc.</t>
    </r>
  </si>
  <si>
    <t>Infuser</t>
  </si>
  <si>
    <t>infuse; steep</t>
  </si>
  <si>
    <r>
      <t>infusionar</t>
    </r>
    <r>
      <rPr>
        <sz val="11"/>
        <color theme="1"/>
        <rFont val="Calibri"/>
        <family val="2"/>
        <scheme val="minor"/>
      </rPr>
      <t>; macerar</t>
    </r>
  </si>
  <si>
    <t>Liquides/arômes (thé, vanille, herbes) ; à chaud ou à froid.</t>
  </si>
  <si>
    <t>Infuse liquids/flavors (tea, vanilla, herbs), hot or cold.</t>
  </si>
  <si>
    <t>Infusionar líquidos/aromas (té, vainilla, hierbas), en caliente o en frío.</t>
  </si>
  <si>
    <t>inspecter</t>
  </si>
  <si>
    <t>inspect; examine</t>
  </si>
  <si>
    <r>
      <t>inspeccionar</t>
    </r>
    <r>
      <rPr>
        <sz val="11"/>
        <color theme="1"/>
        <rFont val="Calibri"/>
        <family val="2"/>
        <scheme val="minor"/>
      </rPr>
      <t>; examinar</t>
    </r>
  </si>
  <si>
    <t>Contrôle visuel/HACCP, audit poste/équipement.</t>
  </si>
  <si>
    <t>Visual/HACCP inspection; station/equipment audit.</t>
  </si>
  <si>
    <t>Inspección visual/APPCC; auditoría de puesto/equipo.</t>
  </si>
  <si>
    <t>interstockage</t>
  </si>
  <si>
    <t>intermediate/buffer storage</t>
  </si>
  <si>
    <t>almacenamiento intermedio / buffer</t>
  </si>
  <si>
    <t>Zone/période tampon entre deux étapes (refroidissement, attente de conditionnement).</t>
  </si>
  <si>
    <t>Buffer area/time between steps (cooling, waiting for packaging).</t>
  </si>
  <si>
    <r>
      <t xml:space="preserve">Zona/periodo </t>
    </r>
    <r>
      <rPr>
        <b/>
        <sz val="11"/>
        <color theme="1"/>
        <rFont val="Calibri"/>
        <family val="2"/>
        <scheme val="minor"/>
      </rPr>
      <t>buffer</t>
    </r>
    <r>
      <rPr>
        <sz val="11"/>
        <color theme="1"/>
        <rFont val="Calibri"/>
        <family val="2"/>
        <scheme val="minor"/>
      </rPr>
      <t xml:space="preserve"> entre etapas (enfriado, espera para envasado).</t>
    </r>
  </si>
  <si>
    <t>Jeter</t>
  </si>
  <si>
    <r>
      <t xml:space="preserve">throw away; discard; </t>
    </r>
    <r>
      <rPr>
        <b/>
        <sz val="11"/>
        <color theme="1"/>
        <rFont val="Calibri"/>
        <family val="2"/>
        <scheme val="minor"/>
      </rPr>
      <t>add/drop into</t>
    </r>
    <r>
      <rPr>
        <sz val="11"/>
        <color theme="1"/>
        <rFont val="Calibri"/>
        <family val="2"/>
        <scheme val="minor"/>
      </rPr>
      <t xml:space="preserve"> (boiling water/oil)</t>
    </r>
  </si>
  <si>
    <r>
      <t>tirar</t>
    </r>
    <r>
      <rPr>
        <sz val="11"/>
        <color theme="1"/>
        <rFont val="Calibri"/>
        <family val="2"/>
        <scheme val="minor"/>
      </rPr>
      <t xml:space="preserve">; desechar; </t>
    </r>
    <r>
      <rPr>
        <b/>
        <sz val="11"/>
        <color theme="1"/>
        <rFont val="Calibri"/>
        <family val="2"/>
        <scheme val="minor"/>
      </rPr>
      <t>echar</t>
    </r>
    <r>
      <rPr>
        <sz val="11"/>
        <color theme="1"/>
        <rFont val="Calibri"/>
        <family val="2"/>
        <scheme val="minor"/>
      </rPr>
      <t xml:space="preserve"> (a agua/aceite hirviendo)</t>
    </r>
  </si>
  <si>
    <t>1) Rebut : « jeter une préparation » = discard.</t>
  </si>
  <si>
    <r>
      <t xml:space="preserve">1) Waste: </t>
    </r>
    <r>
      <rPr>
        <b/>
        <sz val="11"/>
        <color theme="1"/>
        <rFont val="Calibri"/>
        <family val="2"/>
        <scheme val="minor"/>
      </rPr>
      <t>discard</t>
    </r>
    <r>
      <rPr>
        <sz val="11"/>
        <color theme="1"/>
        <rFont val="Calibri"/>
        <family val="2"/>
        <scheme val="minor"/>
      </rPr>
      <t xml:space="preserve"> a preparation.</t>
    </r>
  </si>
  <si>
    <r>
      <t xml:space="preserve">1) Merma: </t>
    </r>
    <r>
      <rPr>
        <b/>
        <sz val="11"/>
        <color theme="1"/>
        <rFont val="Calibri"/>
        <family val="2"/>
        <scheme val="minor"/>
      </rPr>
      <t>desechar</t>
    </r>
    <r>
      <rPr>
        <sz val="11"/>
        <color theme="1"/>
        <rFont val="Calibri"/>
        <family val="2"/>
        <scheme val="minor"/>
      </rPr>
      <t xml:space="preserve"> una preparación.</t>
    </r>
  </si>
  <si>
    <t>2) Mise en cuisson : « jeter les pâtes » = add/drop pasta into boiling water.</t>
  </si>
  <si>
    <r>
      <t xml:space="preserve">2) Cooking: </t>
    </r>
    <r>
      <rPr>
        <b/>
        <sz val="11"/>
        <color theme="1"/>
        <rFont val="Calibri"/>
        <family val="2"/>
        <scheme val="minor"/>
      </rPr>
      <t>add/drop the pasta into boiling water</t>
    </r>
    <r>
      <rPr>
        <sz val="11"/>
        <color theme="1"/>
        <rFont val="Calibri"/>
        <family val="2"/>
        <scheme val="minor"/>
      </rPr>
      <t>.</t>
    </r>
  </si>
  <si>
    <r>
      <t xml:space="preserve">2) Cocción: </t>
    </r>
    <r>
      <rPr>
        <b/>
        <sz val="11"/>
        <color theme="1"/>
        <rFont val="Calibri"/>
        <family val="2"/>
        <scheme val="minor"/>
      </rPr>
      <t>echar la pasta al agua hirviendo</t>
    </r>
    <r>
      <rPr>
        <sz val="11"/>
        <color theme="1"/>
        <rFont val="Calibri"/>
        <family val="2"/>
        <scheme val="minor"/>
      </rPr>
      <t>.</t>
    </r>
  </si>
  <si>
    <t>3) « Jeter en pluie » (semoule, polenta) = sprinkle in pour éviter les grumeaux.</t>
  </si>
  <si>
    <r>
      <t xml:space="preserve">3) </t>
    </r>
    <r>
      <rPr>
        <b/>
        <sz val="11"/>
        <color theme="1"/>
        <rFont val="Calibri"/>
        <family val="2"/>
        <scheme val="minor"/>
      </rPr>
      <t>Sprinkle in</t>
    </r>
    <r>
      <rPr>
        <sz val="11"/>
        <color theme="1"/>
        <rFont val="Calibri"/>
        <family val="2"/>
        <scheme val="minor"/>
      </rPr>
      <t xml:space="preserve"> (semolina, polenta) to avoid lumps.</t>
    </r>
  </si>
  <si>
    <r>
      <t xml:space="preserve">3) </t>
    </r>
    <r>
      <rPr>
        <b/>
        <sz val="11"/>
        <color theme="1"/>
        <rFont val="Calibri"/>
        <family val="2"/>
        <scheme val="minor"/>
      </rPr>
      <t>Echar en lluvia</t>
    </r>
    <r>
      <rPr>
        <sz val="11"/>
        <color theme="1"/>
        <rFont val="Calibri"/>
        <family val="2"/>
        <scheme val="minor"/>
      </rPr>
      <t xml:space="preserve"> (sémola, polenta) para evitar grumos.</t>
    </r>
  </si>
  <si>
    <t>Larder</t>
  </si>
  <si>
    <t>lard (insert strips of fat/bacon)</t>
  </si>
  <si>
    <r>
      <t>mechar</t>
    </r>
    <r>
      <rPr>
        <sz val="11"/>
        <color theme="1"/>
        <rFont val="Calibri"/>
        <family val="2"/>
        <scheme val="minor"/>
      </rPr>
      <t xml:space="preserve"> (con tocino)</t>
    </r>
  </si>
  <si>
    <t>Piquer de lardons pour protéger/arroser la pièce à la cuisson.</t>
  </si>
  <si>
    <t>Insert lardoons to baste/protect the meat during cooking (lard).</t>
  </si>
  <si>
    <t>Mechar con tiras de tocino para proteger/regarse durante la cocción.</t>
  </si>
  <si>
    <t>lavage</t>
  </si>
  <si>
    <t>washing (step)</t>
  </si>
  <si>
    <t>lavado</t>
  </si>
  <si>
    <t>Étape d’hygiène produit/ustensiles/bacs.</t>
  </si>
  <si>
    <t>Washing/cleaning stage for product, utensils, and bins.</t>
  </si>
  <si>
    <t>Etapa de lavado/limpieza de producto, utensilios y cubetas.</t>
  </si>
  <si>
    <t>Laver</t>
  </si>
  <si>
    <t>wash; rinse</t>
  </si>
  <si>
    <r>
      <t>lavar</t>
    </r>
    <r>
      <rPr>
        <sz val="11"/>
        <color theme="1"/>
        <rFont val="Calibri"/>
        <family val="2"/>
        <scheme val="minor"/>
      </rPr>
      <t>; enjuagar</t>
    </r>
  </si>
  <si>
    <t>Sous eau potable, en respectant les flux propres/sales.</t>
  </si>
  <si>
    <t>Wash under potable water, respecting clean/dirty flows.</t>
  </si>
  <si>
    <t>Lavar con agua potable respetando flujos limpio/sucio.</t>
  </si>
  <si>
    <t>Lever</t>
  </si>
  <si>
    <r>
      <t xml:space="preserve">1) </t>
    </r>
    <r>
      <rPr>
        <b/>
        <sz val="11"/>
        <color theme="1"/>
        <rFont val="Calibri"/>
        <family val="2"/>
        <scheme val="minor"/>
      </rPr>
      <t>fillet</t>
    </r>
    <r>
      <rPr>
        <sz val="11"/>
        <color theme="1"/>
        <rFont val="Calibri"/>
        <family val="2"/>
        <scheme val="minor"/>
      </rPr>
      <t xml:space="preserve"> (a fish) 2) </t>
    </r>
    <r>
      <rPr>
        <b/>
        <sz val="11"/>
        <color theme="1"/>
        <rFont val="Calibri"/>
        <family val="2"/>
        <scheme val="minor"/>
      </rPr>
      <t>let dough rise / proof</t>
    </r>
  </si>
  <si>
    <r>
      <t xml:space="preserve">1) </t>
    </r>
    <r>
      <rPr>
        <b/>
        <sz val="11"/>
        <color theme="1"/>
        <rFont val="Calibri"/>
        <family val="2"/>
        <scheme val="minor"/>
      </rPr>
      <t>filetear/sacar lomos</t>
    </r>
    <r>
      <rPr>
        <sz val="11"/>
        <color theme="1"/>
        <rFont val="Calibri"/>
        <family val="2"/>
        <scheme val="minor"/>
      </rPr>
      <t xml:space="preserve"> 2) </t>
    </r>
    <r>
      <rPr>
        <b/>
        <sz val="11"/>
        <color theme="1"/>
        <rFont val="Calibri"/>
        <family val="2"/>
        <scheme val="minor"/>
      </rPr>
      <t>dejar levar/fermentar</t>
    </r>
  </si>
  <si>
    <t>« Lever des filets » (poisson) ; « laisser lever » une pâte (BVP).</t>
  </si>
  <si>
    <r>
      <t xml:space="preserve">Fish: </t>
    </r>
    <r>
      <rPr>
        <b/>
        <sz val="11"/>
        <color theme="1"/>
        <rFont val="Calibri"/>
        <family val="2"/>
        <scheme val="minor"/>
      </rPr>
      <t>fillet</t>
    </r>
    <r>
      <rPr>
        <sz val="11"/>
        <color theme="1"/>
        <rFont val="Calibri"/>
        <family val="2"/>
        <scheme val="minor"/>
      </rPr>
      <t xml:space="preserve"> (lift the fillets); bakery: </t>
    </r>
    <r>
      <rPr>
        <b/>
        <sz val="11"/>
        <color theme="1"/>
        <rFont val="Calibri"/>
        <family val="2"/>
        <scheme val="minor"/>
      </rPr>
      <t>let the dough rise/proof</t>
    </r>
    <r>
      <rPr>
        <sz val="11"/>
        <color theme="1"/>
        <rFont val="Calibri"/>
        <family val="2"/>
        <scheme val="minor"/>
      </rPr>
      <t>.</t>
    </r>
  </si>
  <si>
    <r>
      <t xml:space="preserve">Pescado: </t>
    </r>
    <r>
      <rPr>
        <b/>
        <sz val="11"/>
        <color theme="1"/>
        <rFont val="Calibri"/>
        <family val="2"/>
        <scheme val="minor"/>
      </rPr>
      <t>filetear</t>
    </r>
    <r>
      <rPr>
        <sz val="11"/>
        <color theme="1"/>
        <rFont val="Calibri"/>
        <family val="2"/>
        <scheme val="minor"/>
      </rPr>
      <t xml:space="preserve"> (sacar los lomos); panadería: </t>
    </r>
    <r>
      <rPr>
        <b/>
        <sz val="11"/>
        <color theme="1"/>
        <rFont val="Calibri"/>
        <family val="2"/>
        <scheme val="minor"/>
      </rPr>
      <t>dejar levar/fermentar</t>
    </r>
    <r>
      <rPr>
        <sz val="11"/>
        <color theme="1"/>
        <rFont val="Calibri"/>
        <family val="2"/>
        <scheme val="minor"/>
      </rPr>
      <t>.</t>
    </r>
  </si>
  <si>
    <t>Lier</t>
  </si>
  <si>
    <t>Bind/Thicken</t>
  </si>
  <si>
    <t>Ligar</t>
  </si>
  <si>
    <t>Liaison (jaune+crème), roux, fécule, beurre manié, gélatine.</t>
  </si>
  <si>
    <t>Thicken with liaison (egg yolk+cream), roux, starch, beurre manié, gelatin.</t>
  </si>
  <si>
    <r>
      <t xml:space="preserve">Espesar con ligazón (yema+nata), roux, almidón, </t>
    </r>
    <r>
      <rPr>
        <i/>
        <sz val="11"/>
        <color theme="1"/>
        <rFont val="Calibri"/>
        <family val="2"/>
        <scheme val="minor"/>
      </rPr>
      <t>beurre manié</t>
    </r>
    <r>
      <rPr>
        <sz val="11"/>
        <color theme="1"/>
        <rFont val="Calibri"/>
        <family val="2"/>
        <scheme val="minor"/>
      </rPr>
      <t>, gelatina.</t>
    </r>
  </si>
  <si>
    <t>Limoner</t>
  </si>
  <si>
    <t>clean off slime/blood (under running water)</t>
  </si>
  <si>
    <r>
      <t>limpiar</t>
    </r>
    <r>
      <rPr>
        <sz val="11"/>
        <color theme="1"/>
        <rFont val="Calibri"/>
        <family val="2"/>
        <scheme val="minor"/>
      </rPr>
      <t xml:space="preserve"> (quitar mucosidad/sangre bajo el grifo)</t>
    </r>
  </si>
  <si>
    <t>Poisson/abats : rinçage pour ôter limon/impuretés. Terme fr. spécifique.</t>
  </si>
  <si>
    <r>
      <t xml:space="preserve">Rinse fish/offal to remove slime/mud and impurities (FR-specific term </t>
    </r>
    <r>
      <rPr>
        <i/>
        <sz val="11"/>
        <color theme="1"/>
        <rFont val="Calibri"/>
        <family val="2"/>
        <scheme val="minor"/>
      </rPr>
      <t>limoner</t>
    </r>
    <r>
      <rPr>
        <sz val="11"/>
        <color theme="1"/>
        <rFont val="Calibri"/>
        <family val="2"/>
        <scheme val="minor"/>
      </rPr>
      <t>).</t>
    </r>
  </si>
  <si>
    <r>
      <t xml:space="preserve">Enjuagar pescado/menudencias para quitar limo/impurezas (término francés específico </t>
    </r>
    <r>
      <rPr>
        <i/>
        <sz val="11"/>
        <color theme="1"/>
        <rFont val="Calibri"/>
        <family val="2"/>
        <scheme val="minor"/>
      </rPr>
      <t>limoner</t>
    </r>
    <r>
      <rPr>
        <sz val="11"/>
        <color theme="1"/>
        <rFont val="Calibri"/>
        <family val="2"/>
        <scheme val="minor"/>
      </rPr>
      <t>).</t>
    </r>
  </si>
  <si>
    <t>Lisser</t>
  </si>
  <si>
    <t>smooth; smooth out</t>
  </si>
  <si>
    <t>alisar</t>
  </si>
  <si>
    <t>Crèmes/ganaches/purées : rendre la surface/texture régulière.</t>
  </si>
  <si>
    <t>Smooth the surface/texture (creams, ganaches, purées).</t>
  </si>
  <si>
    <t>Alisar la superficie/textura (cremas, ganaches, purés).</t>
  </si>
  <si>
    <t>Lustrer</t>
  </si>
  <si>
    <t>glaze to make shiny</t>
  </si>
  <si>
    <r>
      <t>abrillantar</t>
    </r>
    <r>
      <rPr>
        <sz val="11"/>
        <color theme="1"/>
        <rFont val="Calibri"/>
        <family val="2"/>
        <scheme val="minor"/>
      </rPr>
      <t>; napar para dar brillo</t>
    </r>
  </si>
  <si>
    <t>Nappage/gelée/sirop (pâtisserie) ou beurre clarifié/jus réduit.</t>
  </si>
  <si>
    <t>Glaze with nappage/jelly/syrup (pastry) or brush with clarified butter/reduced jus.</t>
  </si>
  <si>
    <r>
      <t xml:space="preserve">Abrillantar con </t>
    </r>
    <r>
      <rPr>
        <i/>
        <sz val="11"/>
        <color theme="1"/>
        <rFont val="Calibri"/>
        <family val="2"/>
        <scheme val="minor"/>
      </rPr>
      <t>nappage</t>
    </r>
    <r>
      <rPr>
        <sz val="11"/>
        <color theme="1"/>
        <rFont val="Calibri"/>
        <family val="2"/>
        <scheme val="minor"/>
      </rPr>
      <t>/gelatina/almíbar (pastelería) o pincelar con mantequilla clarificada/jugo reducido.</t>
    </r>
  </si>
  <si>
    <t>Luter</t>
  </si>
  <si>
    <r>
      <t xml:space="preserve">seal a pot with a strip of dough; </t>
    </r>
    <r>
      <rPr>
        <b/>
        <sz val="11"/>
        <color theme="1"/>
        <rFont val="Calibri"/>
        <family val="2"/>
        <scheme val="minor"/>
      </rPr>
      <t>to lute</t>
    </r>
  </si>
  <si>
    <t>sellar con una pasta (harina+agua)</t>
  </si>
  <si>
    <t>« Cocotte lutée » : couvercle scellé à la pâte pour cuisson étanche.</t>
  </si>
  <si>
    <t>“Luted” pot: seal the lid with a strip of dough for airtight cooking.</t>
  </si>
  <si>
    <t>Olla “luteada”: sellar la tapa con una tira de masa para cocción hermética.</t>
  </si>
  <si>
    <t>Lyophiliser</t>
  </si>
  <si>
    <t>lyophilize; freeze-dry</t>
  </si>
  <si>
    <t>liofilizar</t>
  </si>
  <si>
    <t>Déshydratation sous vide par le froid (poudres, fruits, herbes).</t>
  </si>
  <si>
    <t>Freeze-drying under vacuum (powders, fruits, herbs).</t>
  </si>
  <si>
    <t>Macérer</t>
  </si>
  <si>
    <t>macerate; soak</t>
  </si>
  <si>
    <r>
      <t>macerar</t>
    </r>
    <r>
      <rPr>
        <sz val="11"/>
        <color theme="1"/>
        <rFont val="Calibri"/>
        <family val="2"/>
        <scheme val="minor"/>
      </rPr>
      <t>; poner en remojo</t>
    </r>
  </si>
  <si>
    <t>À froid, alcool/sucre/sirop pour parfumer/attendrir.</t>
  </si>
  <si>
    <t>Macerate cold in alcohol/sugar/syrup to flavor/tenderize.</t>
  </si>
  <si>
    <t>Macerar en frío en alcohol/azúcar/almíbar para aromatizar/ablandar.</t>
  </si>
  <si>
    <t>Maintenir en temp. sup à 63°</t>
  </si>
  <si>
    <t>hold hot above 63 °C</t>
  </si>
  <si>
    <t>mantener caliente por encima de 63 °C</t>
  </si>
  <si>
    <t>Tenir une T° (ex. &gt;63 °C), un réglage, une cadence; plan de maintenance = maintenance plan.</t>
  </si>
  <si>
    <r>
      <t xml:space="preserve">Maintain a temperature (e.g., &gt;63 °C), a setting, a pace; maintenance plan = </t>
    </r>
    <r>
      <rPr>
        <b/>
        <sz val="11"/>
        <color theme="1"/>
        <rFont val="Calibri"/>
        <family val="2"/>
        <scheme val="minor"/>
      </rPr>
      <t>maintenance plan</t>
    </r>
    <r>
      <rPr>
        <sz val="11"/>
        <color theme="1"/>
        <rFont val="Calibri"/>
        <family val="2"/>
        <scheme val="minor"/>
      </rPr>
      <t>.</t>
    </r>
  </si>
  <si>
    <r>
      <t xml:space="preserve">Mantener una temperatura (p. ej., &gt;63 °C), un ajuste, un ritmo; </t>
    </r>
    <r>
      <rPr>
        <b/>
        <sz val="11"/>
        <color theme="1"/>
        <rFont val="Calibri"/>
        <family val="2"/>
        <scheme val="minor"/>
      </rPr>
      <t>maintenance plan</t>
    </r>
    <r>
      <rPr>
        <sz val="11"/>
        <color theme="1"/>
        <rFont val="Calibri"/>
        <family val="2"/>
        <scheme val="minor"/>
      </rPr>
      <t xml:space="preserve"> = </t>
    </r>
    <r>
      <rPr>
        <b/>
        <sz val="11"/>
        <color theme="1"/>
        <rFont val="Calibri"/>
        <family val="2"/>
        <scheme val="minor"/>
      </rPr>
      <t>plan de mantenimiento</t>
    </r>
    <r>
      <rPr>
        <sz val="11"/>
        <color theme="1"/>
        <rFont val="Calibri"/>
        <family val="2"/>
        <scheme val="minor"/>
      </rPr>
      <t>.</t>
    </r>
  </si>
  <si>
    <t>Manchonner</t>
  </si>
  <si>
    <t>french (bones)</t>
  </si>
  <si>
    <r>
      <t>frenchar</t>
    </r>
    <r>
      <rPr>
        <sz val="11"/>
        <color theme="1"/>
        <rFont val="Calibri"/>
        <family val="2"/>
        <scheme val="minor"/>
      </rPr>
      <t xml:space="preserve"> / </t>
    </r>
    <r>
      <rPr>
        <b/>
        <sz val="11"/>
        <color theme="1"/>
        <rFont val="Calibri"/>
        <family val="2"/>
        <scheme val="minor"/>
      </rPr>
      <t>deshuesar a la francesa</t>
    </r>
  </si>
  <si>
    <t>Dégager l’os (carré d’agneau, volaille).</t>
  </si>
  <si>
    <t>French the bones (rack of lamb, poultry).</t>
  </si>
  <si>
    <t>“Frenchar”/deshuesar a la francesa (costillar de cordero, aves).</t>
  </si>
  <si>
    <t>Manié</t>
  </si>
  <si>
    <t>rub in; work by hand</t>
  </si>
  <si>
    <r>
      <t>arenar/frotar</t>
    </r>
    <r>
      <rPr>
        <sz val="11"/>
        <color theme="1"/>
        <rFont val="Calibri"/>
        <family val="2"/>
        <scheme val="minor"/>
      </rPr>
      <t>; trabajar con las manos</t>
    </r>
  </si>
  <si>
    <t>« Beurre manié » : farine+beurre frottés.</t>
  </si>
  <si>
    <t>Beurre manié: rub flour and butter together.</t>
  </si>
  <si>
    <r>
      <t>Beurre manié</t>
    </r>
    <r>
      <rPr>
        <sz val="11"/>
        <color theme="1"/>
        <rFont val="Calibri"/>
        <family val="2"/>
        <scheme val="minor"/>
      </rPr>
      <t>: frotar harina con mantequilla.</t>
    </r>
  </si>
  <si>
    <t>manier</t>
  </si>
  <si>
    <t>handle; manipulate; work by hand</t>
  </si>
  <si>
    <r>
      <t>manejar</t>
    </r>
    <r>
      <rPr>
        <sz val="11"/>
        <color theme="1"/>
        <rFont val="Calibri"/>
        <family val="2"/>
        <scheme val="minor"/>
      </rPr>
      <t>; manipular</t>
    </r>
  </si>
  <si>
    <t>Manipulation produit/outil : hygiène (EPI), gestes sûrs; en pâtisserie, travailler à la main.</t>
  </si>
  <si>
    <t>Product/tool handling: hygiene (PPE), safe movements; in pastry, work by hand.</t>
  </si>
  <si>
    <t>Manipulación de producto/herramienta: higiene (EPP), gestos seguros; en pastelería, trabajar a mano.</t>
  </si>
  <si>
    <t>Manipuler</t>
  </si>
  <si>
    <t>handle</t>
  </si>
  <si>
    <t>manipular</t>
  </si>
  <si>
    <t>Gestes/flux propres → gants, pinces, hygiène.</t>
  </si>
  <si>
    <t>Handle with proper hygiene: gloves, tongs, clean flows.</t>
  </si>
  <si>
    <t>Manipular con higiene: guantes, pinzas, flujo limpio.</t>
  </si>
  <si>
    <t>Marbrer</t>
  </si>
  <si>
    <t>marble (a batter/coating)</t>
  </si>
  <si>
    <t>marmolear</t>
  </si>
  <si>
    <t>Effet marbré dans cake, glaçage, chocolat.</t>
  </si>
  <si>
    <t>Create a marbled effect in batter, glaze, or chocolate.</t>
  </si>
  <si>
    <t>Crear efecto marmolado en masas, glaseados o chocolate.</t>
  </si>
  <si>
    <t>Mariner</t>
  </si>
  <si>
    <t>marinate</t>
  </si>
  <si>
    <r>
      <t>marinar</t>
    </r>
    <r>
      <rPr>
        <sz val="11"/>
        <color theme="1"/>
        <rFont val="Calibri"/>
        <family val="2"/>
        <scheme val="minor"/>
      </rPr>
      <t xml:space="preserve"> / adobar</t>
    </r>
  </si>
  <si>
    <t>Liquide aromatique (acidulé/salé/gras) selon produit.</t>
  </si>
  <si>
    <t>Marinate in an aromatic liquid (acid/salt/fat profile).</t>
  </si>
  <si>
    <t>Marinar en un líquido aromático (perfil ácido/salado/graso).</t>
  </si>
  <si>
    <t>marquage</t>
  </si>
  <si>
    <t>marking; stamping; grill marks</t>
  </si>
  <si>
    <r>
      <t>marcado</t>
    </r>
    <r>
      <rPr>
        <sz val="11"/>
        <color theme="1"/>
        <rFont val="Calibri"/>
        <family val="2"/>
        <scheme val="minor"/>
      </rPr>
      <t>; sellado/etiquetado (según contexto)</t>
    </r>
  </si>
  <si>
    <t>Soit étiquetage/traçabilité, soit stries de gril.</t>
  </si>
  <si>
    <t>Either labeling/traceability, or grill marks (depends on context).</t>
  </si>
  <si>
    <t>Puede ser etiquetado/trazabilidad o marcas de parrilla (según contexto).</t>
  </si>
  <si>
    <t>Marquer</t>
  </si>
  <si>
    <t>start/sear; mark (on grill)</t>
  </si>
  <si>
    <r>
      <t>marcar</t>
    </r>
    <r>
      <rPr>
        <sz val="11"/>
        <color theme="1"/>
        <rFont val="Calibri"/>
        <family val="2"/>
        <scheme val="minor"/>
      </rPr>
      <t>; sellar</t>
    </r>
  </si>
  <si>
    <t>« Marquer en cuisson » (saisir/démarrer), strier au gril.</t>
  </si>
  <si>
    <t>Start/sear cooking; mark with grill ridges.</t>
  </si>
  <si>
    <t>Iniciar/ sellar la cocción; marcar en la parrilla.</t>
  </si>
  <si>
    <t>Masquer</t>
  </si>
  <si>
    <t>mask/coat (surface)</t>
  </si>
  <si>
    <r>
      <t>enmascarar</t>
    </r>
    <r>
      <rPr>
        <sz val="11"/>
        <color theme="1"/>
        <rFont val="Calibri"/>
        <family val="2"/>
        <scheme val="minor"/>
      </rPr>
      <t>; cubrir</t>
    </r>
  </si>
  <si>
    <t>Recouvrir d’une couche (crème, gelée, sauce).</t>
  </si>
  <si>
    <t>Mask/coat with a thin layer (cream/jelly/sauce).</t>
  </si>
  <si>
    <t>Enmascarar/cubrir con una capa fina (crema/gelatina/salsa).</t>
  </si>
  <si>
    <t>Masser</t>
  </si>
  <si>
    <t>seize (sugar); knead/massage</t>
  </si>
  <si>
    <r>
      <t>azucararse</t>
    </r>
    <r>
      <rPr>
        <sz val="11"/>
        <color theme="1"/>
        <rFont val="Calibri"/>
        <family val="2"/>
        <scheme val="minor"/>
      </rPr>
      <t xml:space="preserve"> (jarabe); </t>
    </r>
    <r>
      <rPr>
        <b/>
        <sz val="11"/>
        <color theme="1"/>
        <rFont val="Calibri"/>
        <family val="2"/>
        <scheme val="minor"/>
      </rPr>
      <t>amasar</t>
    </r>
  </si>
  <si>
    <t>Sucre qui « masse » ↔ re-cristallise ; aussi frictions.</t>
  </si>
  <si>
    <t>Sugar “grains” (recrystallizes); also kneading/rubbing action.</t>
  </si>
  <si>
    <t>Azúcar que “gran ea” (recristaliza); también acción de amasar/frotar.</t>
  </si>
  <si>
    <t>mélange</t>
  </si>
  <si>
    <t>mixture; mix</t>
  </si>
  <si>
    <t>mezcla</t>
  </si>
  <si>
    <t>Nom générique d’appareil/compound.</t>
  </si>
  <si>
    <t>Generic term for a mixture/preparation.</t>
  </si>
  <si>
    <t>Término genérico para una mezcla/preparación.</t>
  </si>
  <si>
    <t>Mélanger</t>
  </si>
  <si>
    <t>Mix</t>
  </si>
  <si>
    <t>Mezclar</t>
  </si>
  <si>
    <t>racler les parois si nécessaire.</t>
  </si>
  <si>
    <t xml:space="preserve"> scrape sides as needed.</t>
  </si>
  <si>
    <t>raspar paredes si hace falta.</t>
  </si>
  <si>
    <t>Meringuer</t>
  </si>
  <si>
    <t>top with meringue; whip to meringue</t>
  </si>
  <si>
    <t>merengar</t>
  </si>
  <si>
    <t>Napper d’une meringue / monter blancs+sucres.</t>
  </si>
  <si>
    <t>Top with meringue / whip whites with sugar into meringue.</t>
  </si>
  <si>
    <t>Cubrir con merengue / montar claras con azúcar a merengue.</t>
  </si>
  <si>
    <t>mesurer</t>
  </si>
  <si>
    <t>measure; take a measurement</t>
  </si>
  <si>
    <r>
      <t>medir</t>
    </r>
    <r>
      <rPr>
        <sz val="11"/>
        <color theme="1"/>
        <rFont val="Calibri"/>
        <family val="2"/>
        <scheme val="minor"/>
      </rPr>
      <t>; tomar medidas</t>
    </r>
  </si>
  <si>
    <t>Poids, volume, T°, pH, dimensions; instruments étalonnés (balance, sonde, pH-mètre).</t>
  </si>
  <si>
    <r>
      <t xml:space="preserve">Weight, volume, temp, pH, dimensions; </t>
    </r>
    <r>
      <rPr>
        <b/>
        <sz val="11"/>
        <color theme="1"/>
        <rFont val="Calibri"/>
        <family val="2"/>
        <scheme val="minor"/>
      </rPr>
      <t>calibrated instruments</t>
    </r>
    <r>
      <rPr>
        <sz val="11"/>
        <color theme="1"/>
        <rFont val="Calibri"/>
        <family val="2"/>
        <scheme val="minor"/>
      </rPr>
      <t xml:space="preserve"> (scale, probe, pH meter).</t>
    </r>
  </si>
  <si>
    <r>
      <t xml:space="preserve">Peso, volumen, T°, pH, dimensiones; </t>
    </r>
    <r>
      <rPr>
        <b/>
        <sz val="11"/>
        <color theme="1"/>
        <rFont val="Calibri"/>
        <family val="2"/>
        <scheme val="minor"/>
      </rPr>
      <t>instrumentos calibrados</t>
    </r>
    <r>
      <rPr>
        <sz val="11"/>
        <color theme="1"/>
        <rFont val="Calibri"/>
        <family val="2"/>
        <scheme val="minor"/>
      </rPr>
      <t xml:space="preserve"> (balanza, sonda, pH-metro).</t>
    </r>
  </si>
  <si>
    <t>Mettre au point (chocolat)</t>
  </si>
  <si>
    <t>temper (chocolate)</t>
  </si>
  <si>
    <r>
      <t>atemperar</t>
    </r>
    <r>
      <rPr>
        <sz val="11"/>
        <color theme="1"/>
        <rFont val="Calibri"/>
        <family val="2"/>
        <scheme val="minor"/>
      </rPr>
      <t xml:space="preserve"> (chocolate)</t>
    </r>
  </si>
  <si>
    <t>Courbe T° (fonte → descente → remonte).</t>
  </si>
  <si>
    <t>Tempering curve (melt → cool → reheat).</t>
  </si>
  <si>
    <t>Curva de atemperado (fundir → enfriar → recalentar).</t>
  </si>
  <si>
    <t>Mettre en bac</t>
  </si>
  <si>
    <t>tray up / pan up</t>
  </si>
  <si>
    <t>poner en cubeta/bandeja</t>
  </si>
  <si>
    <t>Transvaser en bac gastro pour repos/stock.</t>
  </si>
  <si>
    <t>Transfer to GN pans for resting/storage.</t>
  </si>
  <si>
    <t>Trasvasar a cubetas GN para reposo/almacenaje.</t>
  </si>
  <si>
    <t>Mettre en chariot</t>
  </si>
  <si>
    <t>load onto trolley</t>
  </si>
  <si>
    <t>poner en carro</t>
  </si>
  <si>
    <t>Charger plaques/bacs sur chariot.</t>
  </si>
  <si>
    <t>Load trays/bins onto a trolley.</t>
  </si>
  <si>
    <t>Cargar bandejas/cubetas en un carro.</t>
  </si>
  <si>
    <t>Mettre en cuisson</t>
  </si>
  <si>
    <t>start cooking; put in to cook</t>
  </si>
  <si>
    <r>
      <t>poner a cocer</t>
    </r>
    <r>
      <rPr>
        <sz val="11"/>
        <color theme="1"/>
        <rFont val="Calibri"/>
        <family val="2"/>
        <scheme val="minor"/>
      </rPr>
      <t xml:space="preserve"> / iniciar cocción</t>
    </r>
  </si>
  <si>
    <t>Lancer la cuisson (four, sauteuse, vapeur…).</t>
  </si>
  <si>
    <t>Start cooking (oven, braiser, steamer, etc.).</t>
  </si>
  <si>
    <t>Iniciar la cocción (horno, brasera, vapor, etc.).</t>
  </si>
  <si>
    <t>Mijoter</t>
  </si>
  <si>
    <t>simmer slowly</t>
  </si>
  <si>
    <t>Sous ébullition douce, couvert, longuement.</t>
  </si>
  <si>
    <t>Simmer gently for a long time, covered.</t>
  </si>
  <si>
    <t>Cocinar a fuego lento y tapado durante tiempo.</t>
  </si>
  <si>
    <t>mise en bac ou grille pour cuisson</t>
  </si>
  <si>
    <t>place in tray/rack for baking</t>
  </si>
  <si>
    <t>poner en bandeja/rejilla para cocción</t>
  </si>
  <si>
    <t>Prépa avant enfournement.</t>
  </si>
  <si>
    <t>Prepare on tray/rack before baking.</t>
  </si>
  <si>
    <t>Preparación en bandeja/rejilla antes del horneado.</t>
  </si>
  <si>
    <t>mise en bac pour conditionnement</t>
  </si>
  <si>
    <t>tray up for packing</t>
  </si>
  <si>
    <t>poner en cubeta para envasado</t>
  </si>
  <si>
    <t>Avant filmage/operculage.</t>
  </si>
  <si>
    <t>Tray up for packaging before wrapping/sealing.</t>
  </si>
  <si>
    <t>Poner en cubeta para envasado antes de filmar/termosellar.</t>
  </si>
  <si>
    <t>mise en chariot</t>
  </si>
  <si>
    <t>trolley loading</t>
  </si>
  <si>
    <t>carga en carro</t>
  </si>
  <si>
    <t>Étape logistique interne.</t>
  </si>
  <si>
    <t>Internal logistics step (move via trolley/zone).</t>
  </si>
  <si>
    <t>Etapa logística interna (traslado por carro/zona).</t>
  </si>
  <si>
    <t>Mixer</t>
  </si>
  <si>
    <t>blend; process</t>
  </si>
  <si>
    <r>
      <t>triturar</t>
    </r>
    <r>
      <rPr>
        <sz val="11"/>
        <color theme="1"/>
        <rFont val="Calibri"/>
        <family val="2"/>
        <scheme val="minor"/>
      </rPr>
      <t>; licuar</t>
    </r>
  </si>
  <si>
    <t>Robot/blender pour lisser une préparation.</t>
  </si>
  <si>
    <t>Blend/process to a smooth texture.</t>
  </si>
  <si>
    <t>Triturar/licuar hasta textura lisa.</t>
  </si>
  <si>
    <t>Modeler</t>
  </si>
  <si>
    <t>model; shape</t>
  </si>
  <si>
    <r>
      <t>modelar</t>
    </r>
    <r>
      <rPr>
        <sz val="11"/>
        <color theme="1"/>
        <rFont val="Calibri"/>
        <family val="2"/>
        <scheme val="minor"/>
      </rPr>
      <t>; dar forma</t>
    </r>
  </si>
  <si>
    <t>Pâtes, farces, chocolat, confiserie.</t>
  </si>
  <si>
    <t>Model/shape doughs, fillings, chocolate, confectionery.</t>
  </si>
  <si>
    <t>Modelar/dar forma a masas, farsas, chocolate, confitería.</t>
  </si>
  <si>
    <t>Moiner</t>
  </si>
  <si>
    <t>torte (split cake into layers)</t>
  </si>
  <si>
    <t>tornear/cortar en capas</t>
  </si>
  <si>
    <t>Couper un biscuit en disques horizontaux réguliers.</t>
  </si>
  <si>
    <t>Torte a sponge into even horizontal layers.</t>
  </si>
  <si>
    <t>Cortar un bizcocho en capas horizontales regulares.</t>
  </si>
  <si>
    <t>Monder</t>
  </si>
  <si>
    <t>blanch &amp; peel; skin</t>
  </si>
  <si>
    <t>Tomates/amandes (syn. « émonder »).</t>
  </si>
  <si>
    <t>Monter</t>
  </si>
  <si>
    <t>whip up; mount (with butter); assemble</t>
  </si>
  <si>
    <r>
      <t>montar</t>
    </r>
    <r>
      <rPr>
        <sz val="11"/>
        <color theme="1"/>
        <rFont val="Calibri"/>
        <family val="2"/>
        <scheme val="minor"/>
      </rPr>
      <t xml:space="preserve">; emulsionar con mantequilla; </t>
    </r>
    <r>
      <rPr>
        <b/>
        <sz val="11"/>
        <color theme="1"/>
        <rFont val="Calibri"/>
        <family val="2"/>
        <scheme val="minor"/>
      </rPr>
      <t>montar (emplatar)</t>
    </r>
  </si>
  <si>
    <t>Crème/œufs (volume), monter au beurre une sauce, « monter » un entremets.</t>
  </si>
  <si>
    <t>Whip cream/eggs (volume); mount a sauce with butter; assemble a layered dessert.</t>
  </si>
  <si>
    <t>Montar nata/huevos (volumen); emulsionar una salsa con mantequilla; montar un postre por capas.</t>
  </si>
  <si>
    <t>Monter (au beurre)</t>
  </si>
  <si>
    <t>Mount (with butter)</t>
  </si>
  <si>
    <t>Montar (con mantequilla)</t>
  </si>
  <si>
    <t>Hors du feu, beurre froid en dés; ne pas bouillir.</t>
  </si>
  <si>
    <t>Off heat, cold diced butter; do not boil.</t>
  </si>
  <si>
    <t>Fuera del fuego, mantequilla fría en dados; no hervir.</t>
  </si>
  <si>
    <t>Mortifier</t>
  </si>
  <si>
    <t>hang/age (game/meat)</t>
  </si>
  <si>
    <r>
      <t>madurar/orear</t>
    </r>
    <r>
      <rPr>
        <sz val="11"/>
        <color theme="1"/>
        <rFont val="Calibri"/>
        <family val="2"/>
        <scheme val="minor"/>
      </rPr>
      <t xml:space="preserve"> (carne/caza)</t>
    </r>
  </si>
  <si>
    <t>Faire rassir pour attendrir et développer les arômes.</t>
  </si>
  <si>
    <t>Age/hang (meat/game) to tenderize and develop flavor.</t>
  </si>
  <si>
    <t>Madurar/orear (carne/caza) para ablandar y potenciar sabor.</t>
  </si>
  <si>
    <t>Mouiller (vin/eau)</t>
  </si>
  <si>
    <t>add liquid to (cover/deglaze)</t>
  </si>
  <si>
    <r>
      <t>mojar</t>
    </r>
    <r>
      <rPr>
        <sz val="11"/>
        <color theme="1"/>
        <rFont val="Calibri"/>
        <family val="2"/>
        <scheme val="minor"/>
      </rPr>
      <t>; añadir líquido</t>
    </r>
  </si>
  <si>
    <t>Ajouter fond/eau/vin jusqu’au niveau voulu.</t>
  </si>
  <si>
    <t>Add stock/water/wine to the required level.</t>
  </si>
  <si>
    <t>Añadir fondo/agua/vino hasta el nivel deseado.</t>
  </si>
  <si>
    <t>Mouler</t>
  </si>
  <si>
    <t>mould; cast</t>
  </si>
  <si>
    <r>
      <t>moldar</t>
    </r>
    <r>
      <rPr>
        <sz val="11"/>
        <color theme="1"/>
        <rFont val="Calibri"/>
        <family val="2"/>
        <scheme val="minor"/>
      </rPr>
      <t xml:space="preserve">; </t>
    </r>
    <r>
      <rPr>
        <b/>
        <sz val="11"/>
        <color theme="1"/>
        <rFont val="Calibri"/>
        <family val="2"/>
        <scheme val="minor"/>
      </rPr>
      <t>desmoldar</t>
    </r>
    <r>
      <rPr>
        <sz val="11"/>
        <color theme="1"/>
        <rFont val="Calibri"/>
        <family val="2"/>
        <scheme val="minor"/>
      </rPr>
      <t xml:space="preserve"> (→ sortir)</t>
    </r>
  </si>
  <si>
    <t>Verser dans un moule / donner la forme.</t>
  </si>
  <si>
    <t>Pour into a mold / shape in a mold.</t>
  </si>
  <si>
    <t>Verter en un molde / dar la forma en molde.</t>
  </si>
  <si>
    <t>Mousser</t>
  </si>
  <si>
    <t>foam; make foamy</t>
  </si>
  <si>
    <r>
      <t>espumar</t>
    </r>
    <r>
      <rPr>
        <sz val="11"/>
        <color theme="1"/>
        <rFont val="Calibri"/>
        <family val="2"/>
        <scheme val="minor"/>
      </rPr>
      <t>; hacer espuma</t>
    </r>
  </si>
  <si>
    <t>Obtenir mousse (mixeur, siphon, fouet).</t>
  </si>
  <si>
    <t>Create a foam (blender, siphon, whisk).</t>
  </si>
  <si>
    <t>Hacer espuma (batidora, sifón, varillas).</t>
  </si>
  <si>
    <t>Nacrer (riz/échalotes)</t>
  </si>
  <si>
    <t>pearl (until translucent); sweat until pearly</t>
  </si>
  <si>
    <r>
      <t>nacarar</t>
    </r>
    <r>
      <rPr>
        <sz val="11"/>
        <color theme="1"/>
        <rFont val="Calibri"/>
        <family val="2"/>
        <scheme val="minor"/>
      </rPr>
      <t>; rehogar hasta que quede nacarado</t>
    </r>
  </si>
  <si>
    <t>Étape risotto/pilaf : grains enrobés de matière grasse, translucides sans colorer.</t>
  </si>
  <si>
    <t>Risotto/pilaf step: coat grains in fat until translucent without browning.</t>
  </si>
  <si>
    <t>Paso de risotto/pilaf: envolver los granos en grasa hasta translúcidos sin dorar.</t>
  </si>
  <si>
    <t>Napper</t>
  </si>
  <si>
    <t>coat/nap; to spoon sauce over</t>
  </si>
  <si>
    <r>
      <t>napar</t>
    </r>
    <r>
      <rPr>
        <sz val="11"/>
        <color theme="1"/>
        <rFont val="Calibri"/>
        <family val="2"/>
        <scheme val="minor"/>
      </rPr>
      <t>; cubrir con salsa</t>
    </r>
  </si>
  <si>
    <t>Obtenir une couche régulière (consistance « nappe » sur la spatule/cuillère).</t>
  </si>
  <si>
    <t>Aim for a uniform coating (nappe consistency on the spatula/spoon).</t>
  </si>
  <si>
    <r>
      <t xml:space="preserve">Lograr una capa uniforme (consistencia </t>
    </r>
    <r>
      <rPr>
        <b/>
        <sz val="11"/>
        <color theme="1"/>
        <rFont val="Calibri"/>
        <family val="2"/>
        <scheme val="minor"/>
      </rPr>
      <t>nappe</t>
    </r>
    <r>
      <rPr>
        <sz val="11"/>
        <color theme="1"/>
        <rFont val="Calibri"/>
        <family val="2"/>
        <scheme val="minor"/>
      </rPr>
      <t xml:space="preserve"> en la espátula/cuchara).</t>
    </r>
  </si>
  <si>
    <t>nettoyer</t>
  </si>
  <si>
    <t>clean; clean down; sanitize (light)</t>
  </si>
  <si>
    <r>
      <t>limpiar</t>
    </r>
    <r>
      <rPr>
        <sz val="11"/>
        <color theme="1"/>
        <rFont val="Calibri"/>
        <family val="2"/>
        <scheme val="minor"/>
      </rPr>
      <t>; limpiar/sanear</t>
    </r>
  </si>
  <si>
    <r>
      <t xml:space="preserve">Nettoyage de poste/ustensiles/sols. Pour désinfection stricte, préférer </t>
    </r>
    <r>
      <rPr>
        <b/>
        <sz val="11"/>
        <color theme="1"/>
        <rFont val="Calibri"/>
        <family val="2"/>
        <scheme val="minor"/>
      </rPr>
      <t>sanitize/disinfect</t>
    </r>
    <r>
      <rPr>
        <sz val="11"/>
        <color theme="1"/>
        <rFont val="Calibri"/>
        <family val="2"/>
        <scheme val="minor"/>
      </rPr>
      <t>. Préciser méthode (CIP, foam, rinse) et fréquences HACCP.</t>
    </r>
  </si>
  <si>
    <r>
      <t xml:space="preserve">Clean station/utensils/floors. For strict disinfection, use </t>
    </r>
    <r>
      <rPr>
        <b/>
        <sz val="11"/>
        <color theme="1"/>
        <rFont val="Calibri"/>
        <family val="2"/>
        <scheme val="minor"/>
      </rPr>
      <t>sanitize/disinfect</t>
    </r>
    <r>
      <rPr>
        <sz val="11"/>
        <color theme="1"/>
        <rFont val="Calibri"/>
        <family val="2"/>
        <scheme val="minor"/>
      </rPr>
      <t>. Specify method (CIP, foam, rinse) and HACCP frequencies.</t>
    </r>
  </si>
  <si>
    <r>
      <t xml:space="preserve">Limpieza de puesto/utensilios/suelos. Para desinfección estricta, usar </t>
    </r>
    <r>
      <rPr>
        <b/>
        <sz val="11"/>
        <color theme="1"/>
        <rFont val="Calibri"/>
        <family val="2"/>
        <scheme val="minor"/>
      </rPr>
      <t>desinfectar/sanitizar</t>
    </r>
    <r>
      <rPr>
        <sz val="11"/>
        <color theme="1"/>
        <rFont val="Calibri"/>
        <family val="2"/>
        <scheme val="minor"/>
      </rPr>
      <t>. Especificar método (CIP, espuma, enjuague) y frecuencias APPCC.</t>
    </r>
  </si>
  <si>
    <t>ouverture boîte</t>
  </si>
  <si>
    <r>
      <t>can opening</t>
    </r>
    <r>
      <rPr>
        <sz val="11"/>
        <color theme="1"/>
        <rFont val="Calibri"/>
        <family val="2"/>
        <scheme val="minor"/>
      </rPr>
      <t xml:space="preserve"> / open the can; </t>
    </r>
    <r>
      <rPr>
        <b/>
        <sz val="11"/>
        <color theme="1"/>
        <rFont val="Calibri"/>
        <family val="2"/>
        <scheme val="minor"/>
      </rPr>
      <t>case/box opening</t>
    </r>
  </si>
  <si>
    <r>
      <t>apertura de lata / abrir la lata</t>
    </r>
    <r>
      <rPr>
        <sz val="11"/>
        <color theme="1"/>
        <rFont val="Calibri"/>
        <family val="2"/>
        <scheme val="minor"/>
      </rPr>
      <t xml:space="preserve">; </t>
    </r>
    <r>
      <rPr>
        <b/>
        <sz val="11"/>
        <color theme="1"/>
        <rFont val="Calibri"/>
        <family val="2"/>
        <scheme val="minor"/>
      </rPr>
      <t>apertura de caja / abrir la caja</t>
    </r>
  </si>
  <si>
    <t>En production alimentaire, « boîte » = le plus souvent boîte de conserve (can). Si c’est un carton logistique, utiliser box/case (ES: caja). Indiquer l’outil : ouvre-boîte/abre-latas; cutter pour carton.</t>
  </si>
  <si>
    <r>
      <t xml:space="preserve">In food production, “boîte” usually means a </t>
    </r>
    <r>
      <rPr>
        <b/>
        <sz val="11"/>
        <color theme="1"/>
        <rFont val="Calibri"/>
        <family val="2"/>
        <scheme val="minor"/>
      </rPr>
      <t>can</t>
    </r>
    <r>
      <rPr>
        <sz val="11"/>
        <color theme="1"/>
        <rFont val="Calibri"/>
        <family val="2"/>
        <scheme val="minor"/>
      </rPr>
      <t xml:space="preserve">. If it’s a logistics carton, use </t>
    </r>
    <r>
      <rPr>
        <b/>
        <sz val="11"/>
        <color theme="1"/>
        <rFont val="Calibri"/>
        <family val="2"/>
        <scheme val="minor"/>
      </rPr>
      <t>box/case</t>
    </r>
    <r>
      <rPr>
        <sz val="11"/>
        <color theme="1"/>
        <rFont val="Calibri"/>
        <family val="2"/>
        <scheme val="minor"/>
      </rPr>
      <t xml:space="preserve">. Specify the tool: </t>
    </r>
    <r>
      <rPr>
        <b/>
        <sz val="11"/>
        <color theme="1"/>
        <rFont val="Calibri"/>
        <family val="2"/>
        <scheme val="minor"/>
      </rPr>
      <t>can opener</t>
    </r>
    <r>
      <rPr>
        <sz val="11"/>
        <color theme="1"/>
        <rFont val="Calibri"/>
        <family val="2"/>
        <scheme val="minor"/>
      </rPr>
      <t xml:space="preserve">; </t>
    </r>
    <r>
      <rPr>
        <b/>
        <sz val="11"/>
        <color theme="1"/>
        <rFont val="Calibri"/>
        <family val="2"/>
        <scheme val="minor"/>
      </rPr>
      <t>box cutter/utility knife</t>
    </r>
    <r>
      <rPr>
        <sz val="11"/>
        <color theme="1"/>
        <rFont val="Calibri"/>
        <family val="2"/>
        <scheme val="minor"/>
      </rPr>
      <t xml:space="preserve"> for cartons.</t>
    </r>
  </si>
  <si>
    <r>
      <t xml:space="preserve">En producción alimentaria, «boîte» suele referirse a una </t>
    </r>
    <r>
      <rPr>
        <b/>
        <sz val="11"/>
        <color theme="1"/>
        <rFont val="Calibri"/>
        <family val="2"/>
        <scheme val="minor"/>
      </rPr>
      <t>lata</t>
    </r>
    <r>
      <rPr>
        <sz val="11"/>
        <color theme="1"/>
        <rFont val="Calibri"/>
        <family val="2"/>
        <scheme val="minor"/>
      </rPr>
      <t xml:space="preserve">. Si es un cartón logístico, usa </t>
    </r>
    <r>
      <rPr>
        <b/>
        <sz val="11"/>
        <color theme="1"/>
        <rFont val="Calibri"/>
        <family val="2"/>
        <scheme val="minor"/>
      </rPr>
      <t>caja</t>
    </r>
    <r>
      <rPr>
        <sz val="11"/>
        <color theme="1"/>
        <rFont val="Calibri"/>
        <family val="2"/>
        <scheme val="minor"/>
      </rPr>
      <t>/</t>
    </r>
    <r>
      <rPr>
        <b/>
        <sz val="11"/>
        <color theme="1"/>
        <rFont val="Calibri"/>
        <family val="2"/>
        <scheme val="minor"/>
      </rPr>
      <t>case</t>
    </r>
    <r>
      <rPr>
        <sz val="11"/>
        <color theme="1"/>
        <rFont val="Calibri"/>
        <family val="2"/>
        <scheme val="minor"/>
      </rPr>
      <t xml:space="preserve">. Indicar la herramienta: </t>
    </r>
    <r>
      <rPr>
        <b/>
        <sz val="11"/>
        <color theme="1"/>
        <rFont val="Calibri"/>
        <family val="2"/>
        <scheme val="minor"/>
      </rPr>
      <t>abre-latas</t>
    </r>
    <r>
      <rPr>
        <sz val="11"/>
        <color theme="1"/>
        <rFont val="Calibri"/>
        <family val="2"/>
        <scheme val="minor"/>
      </rPr>
      <t xml:space="preserve">; </t>
    </r>
    <r>
      <rPr>
        <b/>
        <sz val="11"/>
        <color theme="1"/>
        <rFont val="Calibri"/>
        <family val="2"/>
        <scheme val="minor"/>
      </rPr>
      <t>cúter/cortacajas</t>
    </r>
    <r>
      <rPr>
        <sz val="11"/>
        <color theme="1"/>
        <rFont val="Calibri"/>
        <family val="2"/>
        <scheme val="minor"/>
      </rPr>
      <t xml:space="preserve"> para cartones.</t>
    </r>
  </si>
  <si>
    <t>Panacher</t>
  </si>
  <si>
    <t>mix/assort (varieties/colors)</t>
  </si>
  <si>
    <t>mezclar/combinar surtidos</t>
  </si>
  <si>
    <t>Ex. assortiments de viennoiseries, salades mêlées.</t>
  </si>
  <si>
    <t>Assorted selections (pastries, mixed salads).</t>
  </si>
  <si>
    <t>Surtidos (bollería, ensaladas mixtas).</t>
  </si>
  <si>
    <t>Paner</t>
  </si>
  <si>
    <t>bread; bread-crumb coat</t>
  </si>
  <si>
    <r>
      <t>empanar</t>
    </r>
    <r>
      <rPr>
        <sz val="11"/>
        <color theme="1"/>
        <rFont val="Calibri"/>
        <family val="2"/>
        <scheme val="minor"/>
      </rPr>
      <t>; rebozar</t>
    </r>
  </si>
  <si>
    <t>Fariner → œuf → chapelure (ou panure anglaise).</t>
  </si>
  <si>
    <t>Standard breading: flour → egg → breadcrumbs (English breading).</t>
  </si>
  <si>
    <t>Empanado estándar: harina → huevo → pan rallado (empanado inglés).</t>
  </si>
  <si>
    <t>Papilloter</t>
  </si>
  <si>
    <r>
      <t xml:space="preserve">wrap/cook </t>
    </r>
    <r>
      <rPr>
        <i/>
        <sz val="11"/>
        <color theme="1"/>
        <rFont val="Calibri"/>
        <family val="2"/>
        <scheme val="minor"/>
      </rPr>
      <t>en papillote</t>
    </r>
  </si>
  <si>
    <t>cocinar en papillote</t>
  </si>
  <si>
    <t>Papier/film cuisson fermé (poisson, légumes).</t>
  </si>
  <si>
    <r>
      <t xml:space="preserve">Cook </t>
    </r>
    <r>
      <rPr>
        <b/>
        <sz val="11"/>
        <color theme="1"/>
        <rFont val="Calibri"/>
        <family val="2"/>
        <scheme val="minor"/>
      </rPr>
      <t>en papillote</t>
    </r>
    <r>
      <rPr>
        <sz val="11"/>
        <color theme="1"/>
        <rFont val="Calibri"/>
        <family val="2"/>
        <scheme val="minor"/>
      </rPr>
      <t xml:space="preserve"> (parchment/foil packet) for fish/veg.</t>
    </r>
  </si>
  <si>
    <r>
      <t xml:space="preserve">Cocción </t>
    </r>
    <r>
      <rPr>
        <b/>
        <sz val="11"/>
        <color theme="1"/>
        <rFont val="Calibri"/>
        <family val="2"/>
        <scheme val="minor"/>
      </rPr>
      <t>en papillote</t>
    </r>
    <r>
      <rPr>
        <sz val="11"/>
        <color theme="1"/>
        <rFont val="Calibri"/>
        <family val="2"/>
        <scheme val="minor"/>
      </rPr>
      <t xml:space="preserve"> (paquete de papel/aluminio) para pescado/verduras.</t>
    </r>
  </si>
  <si>
    <t>parage</t>
  </si>
  <si>
    <t>trimming (step)</t>
  </si>
  <si>
    <t>recorte/parado</t>
  </si>
  <si>
    <t>Étape de parage viandes/poissons/légumes.</t>
  </si>
  <si>
    <t>Trimming step for meats/fish/vegetables.</t>
  </si>
  <si>
    <r>
      <t xml:space="preserve">Etapa de </t>
    </r>
    <r>
      <rPr>
        <b/>
        <sz val="11"/>
        <color theme="1"/>
        <rFont val="Calibri"/>
        <family val="2"/>
        <scheme val="minor"/>
      </rPr>
      <t>parado/recorte</t>
    </r>
    <r>
      <rPr>
        <sz val="11"/>
        <color theme="1"/>
        <rFont val="Calibri"/>
        <family val="2"/>
        <scheme val="minor"/>
      </rPr>
      <t xml:space="preserve"> de carnes/pescados/verduras.</t>
    </r>
  </si>
  <si>
    <t>Parer</t>
  </si>
  <si>
    <t>trim/pare</t>
  </si>
  <si>
    <t>parar/recortar</t>
  </si>
  <si>
    <t>Ôter parties grasses/nerveuses/abîmées.</t>
  </si>
  <si>
    <t>Remove fat/sinew/damaged parts.</t>
  </si>
  <si>
    <t>Retirar partes grasas/nervios/zonas dañadas.</t>
  </si>
  <si>
    <t>Parfumer</t>
  </si>
  <si>
    <t>flavor; scent</t>
  </si>
  <si>
    <r>
      <t>aromatizar</t>
    </r>
    <r>
      <rPr>
        <sz val="11"/>
        <color theme="1"/>
        <rFont val="Calibri"/>
        <family val="2"/>
        <scheme val="minor"/>
      </rPr>
      <t>; perfumar</t>
    </r>
  </si>
  <si>
    <t>Ajout d’arômes (zestes, alcool, vanille…).</t>
  </si>
  <si>
    <t>Add flavorings (zest, spirits, vanilla, etc.).</t>
  </si>
  <si>
    <t>Añadir aromatizantes (ralladura, alcohol, vainilla, etc.).</t>
  </si>
  <si>
    <t>Parsemer</t>
  </si>
  <si>
    <t>sprinkle; scatter</t>
  </si>
  <si>
    <r>
      <t>espolvorear</t>
    </r>
    <r>
      <rPr>
        <sz val="11"/>
        <color theme="1"/>
        <rFont val="Calibri"/>
        <family val="2"/>
        <scheme val="minor"/>
      </rPr>
      <t>; esparcir</t>
    </r>
  </si>
  <si>
    <t>Fines herbes, fromage, sucre glace, etc.</t>
  </si>
  <si>
    <t>Sprinkle with fine herbs/cheese/icing sugar, etc.</t>
  </si>
  <si>
    <t>Espolvorear con finas hierbas/queso/azúcar glas, etc.</t>
  </si>
  <si>
    <t>passage en cellule</t>
  </si>
  <si>
    <t>blast-chill/freezing pass</t>
  </si>
  <si>
    <t>paso por abatidor</t>
  </si>
  <si>
    <t>Cellule de refroidissement/surgélation.</t>
  </si>
  <si>
    <t>Blast chiller/freezer.</t>
  </si>
  <si>
    <t>Abatidor de temperatura/congelación rápida.</t>
  </si>
  <si>
    <t>passage rapide en cellule</t>
  </si>
  <si>
    <t>quick blast pass</t>
  </si>
  <si>
    <t>paso rápido por abatidor</t>
  </si>
  <si>
    <t>Abaissement T° en courte durée.</t>
  </si>
  <si>
    <t>Rapid temperature drop.</t>
  </si>
  <si>
    <t>Descenso rápido de temperatura.</t>
  </si>
  <si>
    <t>Passer</t>
  </si>
  <si>
    <t>strain/sieve; pass through</t>
  </si>
  <si>
    <t>colar/pasar por tamiz</t>
  </si>
  <si>
    <t>Aussi « passer dans la farine/panure ».</t>
  </si>
  <si>
    <t>Also: dredge in flour/breading.</t>
  </si>
  <si>
    <t>También: pasar por harina/empanado.</t>
  </si>
  <si>
    <t>Passer (sauce)</t>
  </si>
  <si>
    <t>Strain</t>
  </si>
  <si>
    <t>Colar</t>
  </si>
  <si>
    <t>Chinois/tamis; presser sans forcer les fibres.</t>
  </si>
  <si>
    <t>Strain through chinois/sieve; press gently.</t>
  </si>
  <si>
    <t>Colar por chino/tamiz; presionar suavemente.</t>
  </si>
  <si>
    <t>Pasteuriser</t>
  </si>
  <si>
    <t>pasteurize</t>
  </si>
  <si>
    <t>pasteurizar</t>
  </si>
  <si>
    <t>Traitement thermique de sécurité.</t>
  </si>
  <si>
    <t>Heat treatment for safety (e.g., pasteurize/sterilize).</t>
  </si>
  <si>
    <t>Tratamiento térmico de seguridad (p. ej., pasteurizar/esterilizar).</t>
  </si>
  <si>
    <t>Peler</t>
  </si>
  <si>
    <t>peel</t>
  </si>
  <si>
    <r>
      <t>pelar</t>
    </r>
    <r>
      <rPr>
        <sz val="11"/>
        <color theme="1"/>
        <rFont val="Calibri"/>
        <family val="2"/>
        <scheme val="minor"/>
      </rPr>
      <t>; mondar</t>
    </r>
  </si>
  <si>
    <t>Couteau/économe ou après échaudage.</t>
  </si>
  <si>
    <t>Peel with knife/peeler or after blanching.</t>
  </si>
  <si>
    <t>Pelar con cuchillo/pelador o tras escaldar.</t>
  </si>
  <si>
    <t>Persiller</t>
  </si>
  <si>
    <t>sprinkle with parsley; (meat) be marbled</t>
  </si>
  <si>
    <r>
      <t>espolvorear con perejil</t>
    </r>
    <r>
      <rPr>
        <sz val="11"/>
        <color theme="1"/>
        <rFont val="Calibri"/>
        <family val="2"/>
        <scheme val="minor"/>
      </rPr>
      <t xml:space="preserve">; </t>
    </r>
    <r>
      <rPr>
        <b/>
        <sz val="11"/>
        <color theme="1"/>
        <rFont val="Calibri"/>
        <family val="2"/>
        <scheme val="minor"/>
      </rPr>
      <t>veteado</t>
    </r>
    <r>
      <rPr>
        <sz val="11"/>
        <color theme="1"/>
        <rFont val="Calibri"/>
        <family val="2"/>
        <scheme val="minor"/>
      </rPr>
      <t xml:space="preserve"> (carne)</t>
    </r>
  </si>
  <si>
    <t>Deux sens selon contexte.</t>
  </si>
  <si>
    <t>Two meanings depending on context.</t>
  </si>
  <si>
    <t>Dos sentidos según el contexto.</t>
  </si>
  <si>
    <t>pesée</t>
  </si>
  <si>
    <t>weighing (step)</t>
  </si>
  <si>
    <t>pesada</t>
  </si>
  <si>
    <t>Étape de pesée d’ingrédients/portions.</t>
  </si>
  <si>
    <t>Weighing step for ingredients/portions.</t>
  </si>
  <si>
    <t>Etapa de pesado de ingredientes/porciones.</t>
  </si>
  <si>
    <t>Peser</t>
  </si>
  <si>
    <t>Weigh</t>
  </si>
  <si>
    <t>Pesar</t>
  </si>
  <si>
    <t>Balance étalonnée; tare avant pesée.</t>
  </si>
  <si>
    <t>Calibrated scale; tare before weighing.</t>
  </si>
  <si>
    <t>Balanza calibrada; tara antes de pesar.</t>
  </si>
  <si>
    <t>Pétrir</t>
  </si>
  <si>
    <t>knead</t>
  </si>
  <si>
    <t>amasar</t>
  </si>
  <si>
    <t>Pâtes panifiées/pâtissières.</t>
  </si>
  <si>
    <t>Leavened doughs and pastry doughs.</t>
  </si>
  <si>
    <t>Masas panificadas y masas pasteleras.</t>
  </si>
  <si>
    <t>Piler</t>
  </si>
  <si>
    <t>crush; pound</t>
  </si>
  <si>
    <r>
      <t>majar</t>
    </r>
    <r>
      <rPr>
        <sz val="11"/>
        <color theme="1"/>
        <rFont val="Calibri"/>
        <family val="2"/>
        <scheme val="minor"/>
      </rPr>
      <t>; triturar</t>
    </r>
  </si>
  <si>
    <t>Mortier/pilon, glace pilée.</t>
  </si>
  <si>
    <t>Mortar &amp; pestle; crushed ice.</t>
  </si>
  <si>
    <t>Mortero y mano; hielo picado.</t>
  </si>
  <si>
    <t>Pincer</t>
  </si>
  <si>
    <t>pinch (edge); brown sucs</t>
  </si>
  <si>
    <r>
      <t>pellizcar el borde</t>
    </r>
    <r>
      <rPr>
        <sz val="11"/>
        <color theme="1"/>
        <rFont val="Calibri"/>
        <family val="2"/>
        <scheme val="minor"/>
      </rPr>
      <t xml:space="preserve">; </t>
    </r>
    <r>
      <rPr>
        <b/>
        <sz val="11"/>
        <color theme="1"/>
        <rFont val="Calibri"/>
        <family val="2"/>
        <scheme val="minor"/>
      </rPr>
      <t>pincelar/fijar fondos</t>
    </r>
  </si>
  <si>
    <t>1) Festonner bord d’une pâte. 2) « Pincer les sucs » = saisir pour fond.</t>
  </si>
  <si>
    <t>1) Crimp/scallop pastry edge. 2) Sear to develop fond (“pinch the juices”).</t>
  </si>
  <si>
    <r>
      <t xml:space="preserve">1) Festonear el borde de la masa. 2) Sellar para formar </t>
    </r>
    <r>
      <rPr>
        <i/>
        <sz val="11"/>
        <color theme="1"/>
        <rFont val="Calibri"/>
        <family val="2"/>
        <scheme val="minor"/>
      </rPr>
      <t>fond</t>
    </r>
    <r>
      <rPr>
        <sz val="11"/>
        <color theme="1"/>
        <rFont val="Calibri"/>
        <family val="2"/>
        <scheme val="minor"/>
      </rPr>
      <t>.</t>
    </r>
  </si>
  <si>
    <t>Piquer</t>
  </si>
  <si>
    <t>dock/prick (pastry); prick (meat/sausage)</t>
  </si>
  <si>
    <r>
      <t>pinchar</t>
    </r>
    <r>
      <rPr>
        <sz val="11"/>
        <color theme="1"/>
        <rFont val="Calibri"/>
        <family val="2"/>
        <scheme val="minor"/>
      </rPr>
      <t xml:space="preserve">; </t>
    </r>
    <r>
      <rPr>
        <b/>
        <sz val="11"/>
        <color theme="1"/>
        <rFont val="Calibri"/>
        <family val="2"/>
        <scheme val="minor"/>
      </rPr>
      <t>picar</t>
    </r>
    <r>
      <rPr>
        <sz val="11"/>
        <color theme="1"/>
        <rFont val="Calibri"/>
        <family val="2"/>
        <scheme val="minor"/>
      </rPr>
      <t xml:space="preserve"> (masa)</t>
    </r>
  </si>
  <si>
    <t>Éviter boursouflures (pâte) ; piquer saucisses.</t>
  </si>
  <si>
    <t>Dock dough to prevent bubbles; prick sausages.</t>
  </si>
  <si>
    <t>Pinchar la masa para evitar ampollas; pinchar salchichas.</t>
  </si>
  <si>
    <t>Plaquer</t>
  </si>
  <si>
    <t>place on a tray/sheet</t>
  </si>
  <si>
    <t>colocar en bandeja</t>
  </si>
  <si>
    <t>Étaler sur plaque pour refroidir, congeler, sécher.</t>
  </si>
  <si>
    <t>Spread on a tray to cool/freeze/dry.</t>
  </si>
  <si>
    <t>Extender en bandeja para enfriar/congelar/secar.</t>
  </si>
  <si>
    <t>Pocher</t>
  </si>
  <si>
    <t>Poach</t>
  </si>
  <si>
    <t>Pochar/escalfar</t>
  </si>
  <si>
    <t>70–85 °C; liquide aromatisé; sans ébullition.</t>
  </si>
  <si>
    <t>70–85 °C; flavored liquid; no boil.</t>
  </si>
  <si>
    <t>70–85 °C; líquido aromatizado; sin hervir.</t>
  </si>
  <si>
    <t>Poêler</t>
  </si>
  <si>
    <t>pan-roast/pan-fry (covered classic)</t>
  </si>
  <si>
    <t>saltear/poelar</t>
  </si>
  <si>
    <t>Classique : beurre, couverte; moderne ≈ sauter/poêler.</t>
  </si>
  <si>
    <r>
      <t xml:space="preserve">Classic </t>
    </r>
    <r>
      <rPr>
        <b/>
        <sz val="11"/>
        <color theme="1"/>
        <rFont val="Calibri"/>
        <family val="2"/>
        <scheme val="minor"/>
      </rPr>
      <t>poêler</t>
    </r>
    <r>
      <rPr>
        <sz val="11"/>
        <color theme="1"/>
        <rFont val="Calibri"/>
        <family val="2"/>
        <scheme val="minor"/>
      </rPr>
      <t xml:space="preserve"> method: butter, covered; modern ≈ sauté/pan-roast.</t>
    </r>
  </si>
  <si>
    <r>
      <t xml:space="preserve">Método clásico </t>
    </r>
    <r>
      <rPr>
        <b/>
        <sz val="11"/>
        <color theme="1"/>
        <rFont val="Calibri"/>
        <family val="2"/>
        <scheme val="minor"/>
      </rPr>
      <t>poêler</t>
    </r>
    <r>
      <rPr>
        <sz val="11"/>
        <color theme="1"/>
        <rFont val="Calibri"/>
        <family val="2"/>
        <scheme val="minor"/>
      </rPr>
      <t>: mantequilla, cubierto; moderno ≈ saltear/sellar en sartén.</t>
    </r>
  </si>
  <si>
    <t>Porter à ébullition</t>
  </si>
  <si>
    <t>Monter jusqu’aux gros bouillons.</t>
  </si>
  <si>
    <t>portionnement</t>
  </si>
  <si>
    <t>portioning (step)</t>
  </si>
  <si>
    <t>porcionado</t>
  </si>
  <si>
    <t>Étape de division en portions.</t>
  </si>
  <si>
    <t>Portioning step.</t>
  </si>
  <si>
    <t>Etapa de porcionado.</t>
  </si>
  <si>
    <t>Portionner</t>
  </si>
  <si>
    <t>portion; divide</t>
  </si>
  <si>
    <t>porcionar</t>
  </si>
  <si>
    <t>Au poids/au volume, à l’écopage ou à la coupe.</t>
  </si>
  <si>
    <t>By weight/volume; ladled or cut portions.</t>
  </si>
  <si>
    <t>Por peso/volumen; por cazo o por corte.</t>
  </si>
  <si>
    <t>Poudrer</t>
  </si>
  <si>
    <t>dust (sugar/flour/cocoa)</t>
  </si>
  <si>
    <t>espolvorear</t>
  </si>
  <si>
    <t>Sucre glace, cacao, farine.</t>
  </si>
  <si>
    <t>Dust with icing sugar/cocoa/flour.</t>
  </si>
  <si>
    <t>Espolvorear con azúcar glas/cacao/harina.</t>
  </si>
  <si>
    <t>Pousser</t>
  </si>
  <si>
    <t>proof (dough)</t>
  </si>
  <si>
    <t>leudar/fermentar</t>
  </si>
  <si>
    <t>Passage en étuve / levée contrôlée.</t>
  </si>
  <si>
    <t>Proof in a proofer / controlled rise.</t>
  </si>
  <si>
    <t>Paso por cámara de fermentación / levado controlado.</t>
  </si>
  <si>
    <t>Praliner</t>
  </si>
  <si>
    <t>coat with caramelized nuts; make praliné</t>
  </si>
  <si>
    <r>
      <t>garrapiñar</t>
    </r>
    <r>
      <rPr>
        <sz val="11"/>
        <color theme="1"/>
        <rFont val="Calibri"/>
        <family val="2"/>
        <scheme val="minor"/>
      </rPr>
      <t>; hacer praliné</t>
    </r>
  </si>
  <si>
    <t>Noisettes/amandes caramélisées puis mixées = praliné.</t>
  </si>
  <si>
    <r>
      <t xml:space="preserve">Caramelize hazelnuts/almonds then grind = </t>
    </r>
    <r>
      <rPr>
        <b/>
        <sz val="11"/>
        <color theme="1"/>
        <rFont val="Calibri"/>
        <family val="2"/>
        <scheme val="minor"/>
      </rPr>
      <t>praliné</t>
    </r>
    <r>
      <rPr>
        <sz val="11"/>
        <color theme="1"/>
        <rFont val="Calibri"/>
        <family val="2"/>
        <scheme val="minor"/>
      </rPr>
      <t>.</t>
    </r>
  </si>
  <si>
    <r>
      <t xml:space="preserve">Avellanas/almendras caramelizadas y luego trituradas = </t>
    </r>
    <r>
      <rPr>
        <b/>
        <sz val="11"/>
        <color theme="1"/>
        <rFont val="Calibri"/>
        <family val="2"/>
        <scheme val="minor"/>
      </rPr>
      <t>praliné</t>
    </r>
    <r>
      <rPr>
        <sz val="11"/>
        <color theme="1"/>
        <rFont val="Calibri"/>
        <family val="2"/>
        <scheme val="minor"/>
      </rPr>
      <t>.</t>
    </r>
  </si>
  <si>
    <t>Préchauffer</t>
  </si>
  <si>
    <t>Preheat</t>
  </si>
  <si>
    <t>Precalentar</t>
  </si>
  <si>
    <t>Atteindre T° cible avant d’enfourner.</t>
  </si>
  <si>
    <t>Reach target temp before loading.</t>
  </si>
  <si>
    <t>Alcanzar T° objetivo antes de hornear.</t>
  </si>
  <si>
    <t>Précuire</t>
  </si>
  <si>
    <t>par-cook; par-bake</t>
  </si>
  <si>
    <r>
      <t>precocer</t>
    </r>
    <r>
      <rPr>
        <sz val="11"/>
        <color theme="1"/>
        <rFont val="Calibri"/>
        <family val="2"/>
        <scheme val="minor"/>
      </rPr>
      <t>; prehornear</t>
    </r>
  </si>
  <si>
    <t>Ex. fond de tarte à blanc.</t>
  </si>
  <si>
    <t>Example: blind-bake a tart shell.</t>
  </si>
  <si>
    <t>Ej.: cocer en blanco una base de tarta.</t>
  </si>
  <si>
    <t>precuisson</t>
  </si>
  <si>
    <t>par-cooking (stage)</t>
  </si>
  <si>
    <t>precocción</t>
  </si>
  <si>
    <t>Prélever</t>
  </si>
  <si>
    <t>take (a piece/sample)</t>
  </si>
  <si>
    <r>
      <t>prelevar/tomar</t>
    </r>
    <r>
      <rPr>
        <sz val="11"/>
        <color theme="1"/>
        <rFont val="Calibri"/>
        <family val="2"/>
        <scheme val="minor"/>
      </rPr>
      <t>; muestrear</t>
    </r>
  </si>
  <si>
    <t>Portion, pièce, ou échantillon QC.</t>
  </si>
  <si>
    <t>Portion/unit, or QC sample.</t>
  </si>
  <si>
    <t>Ración/pieza o muestra de control de calidad.</t>
  </si>
  <si>
    <t>Préparer</t>
  </si>
  <si>
    <t>prepare; prep</t>
  </si>
  <si>
    <t>preparar</t>
  </si>
  <si>
    <t>Mise en place, anticipations, assaisonnement.</t>
  </si>
  <si>
    <t>Mise en place, prep ahead, seasoning.</t>
  </si>
  <si>
    <r>
      <t>Mise en place</t>
    </r>
    <r>
      <rPr>
        <sz val="11"/>
        <color theme="1"/>
        <rFont val="Calibri"/>
        <family val="2"/>
        <scheme val="minor"/>
      </rPr>
      <t>, preparaciones previas, sazonado.</t>
    </r>
  </si>
  <si>
    <t>Protéger</t>
  </si>
  <si>
    <t>protect (cover/wrap/shield)</t>
  </si>
  <si>
    <r>
      <t>proteger</t>
    </r>
    <r>
      <rPr>
        <sz val="11"/>
        <color theme="1"/>
        <rFont val="Calibri"/>
        <family val="2"/>
        <scheme val="minor"/>
      </rPr>
      <t>; cubrir</t>
    </r>
  </si>
  <si>
    <t>Film, couvercle, papier huilé, chablonnage.</t>
  </si>
  <si>
    <r>
      <t xml:space="preserve">Cover: cling film, lid, oiled paper; </t>
    </r>
    <r>
      <rPr>
        <b/>
        <sz val="11"/>
        <color theme="1"/>
        <rFont val="Calibri"/>
        <family val="2"/>
        <scheme val="minor"/>
      </rPr>
      <t>chablonnage</t>
    </r>
    <r>
      <rPr>
        <sz val="11"/>
        <color theme="1"/>
        <rFont val="Calibri"/>
        <family val="2"/>
        <scheme val="minor"/>
      </rPr>
      <t xml:space="preserve"> (thin chocolate seal).</t>
    </r>
  </si>
  <si>
    <r>
      <t xml:space="preserve">Cubrir: film, tapa, papel aceitado; </t>
    </r>
    <r>
      <rPr>
        <b/>
        <sz val="11"/>
        <color theme="1"/>
        <rFont val="Calibri"/>
        <family val="2"/>
        <scheme val="minor"/>
      </rPr>
      <t>chablonnage</t>
    </r>
    <r>
      <rPr>
        <sz val="11"/>
        <color theme="1"/>
        <rFont val="Calibri"/>
        <family val="2"/>
        <scheme val="minor"/>
      </rPr>
      <t xml:space="preserve"> (sellado fino de chocolate).</t>
    </r>
  </si>
  <si>
    <t>Puncher</t>
  </si>
  <si>
    <t>soak with syrup (sponge)</t>
  </si>
  <si>
    <r>
      <t>calar / emborrachar</t>
    </r>
    <r>
      <rPr>
        <sz val="11"/>
        <color theme="1"/>
        <rFont val="Calibri"/>
        <family val="2"/>
        <scheme val="minor"/>
      </rPr>
      <t xml:space="preserve"> (bizcocho)</t>
    </r>
  </si>
  <si>
    <t>Pâtisserie : imbiber un biscuit avec sirop/alcool.</t>
  </si>
  <si>
    <t>Pastry: soak a sponge with syrup/spirits.</t>
  </si>
  <si>
    <t>Pastelería: calar/emborrachar un bizcocho con almíbar/alcohol.</t>
  </si>
  <si>
    <t>Q</t>
  </si>
  <si>
    <t>Quadriller</t>
  </si>
  <si>
    <t>crosshatch; mark with grill/diamond marks</t>
  </si>
  <si>
    <r>
      <t xml:space="preserve">marcar en rombos / enrejado; </t>
    </r>
    <r>
      <rPr>
        <b/>
        <sz val="11"/>
        <color theme="1"/>
        <rFont val="Calibri"/>
        <family val="2"/>
        <scheme val="minor"/>
      </rPr>
      <t>rayar en cruz</t>
    </r>
  </si>
  <si>
    <t>1) Au gril/plancha : pivoter la pièce pour obtenir des losanges.</t>
  </si>
  <si>
    <t>On the grill/plancha: rotate the item to create diamond grill marks.</t>
  </si>
  <si>
    <t>En la parrilla/plancha: girar la pieza para formar rombos (marcas de parrilla).</t>
  </si>
  <si>
    <t>2) Inciser la peau (ex. magret) en croisillons avant cuisson.</t>
  </si>
  <si>
    <t>Score the skin (e.g., duck breast) in a crosshatch before cooking.</t>
  </si>
  <si>
    <t>Practicar cortes en la piel (p. ej., magret) en enrejado antes de cocer.</t>
  </si>
  <si>
    <t>3) Décor sur pâte/feuilletage : tracer un quadrillage léger sans couper.</t>
  </si>
  <si>
    <t>For pastry/puff: score a light lattice pattern without cutting through.</t>
  </si>
  <si>
    <t>En masa/hojaldre: marcar un enrejado ligero sin cortar la masa.</t>
  </si>
  <si>
    <t>Rabattre</t>
  </si>
  <si>
    <r>
      <t xml:space="preserve">fold (batter); </t>
    </r>
    <r>
      <rPr>
        <b/>
        <sz val="11"/>
        <color theme="1"/>
        <rFont val="Calibri"/>
        <family val="2"/>
        <scheme val="minor"/>
      </rPr>
      <t>knock back</t>
    </r>
    <r>
      <rPr>
        <sz val="11"/>
        <color theme="1"/>
        <rFont val="Calibri"/>
        <family val="2"/>
        <scheme val="minor"/>
      </rPr>
      <t xml:space="preserve"> (dough)</t>
    </r>
  </si>
  <si>
    <r>
      <t>plegar</t>
    </r>
    <r>
      <rPr>
        <sz val="11"/>
        <color theme="1"/>
        <rFont val="Calibri"/>
        <family val="2"/>
        <scheme val="minor"/>
      </rPr>
      <t xml:space="preserve">; </t>
    </r>
    <r>
      <rPr>
        <b/>
        <sz val="11"/>
        <color theme="1"/>
        <rFont val="Calibri"/>
        <family val="2"/>
        <scheme val="minor"/>
      </rPr>
      <t>desgasificar</t>
    </r>
    <r>
      <rPr>
        <sz val="11"/>
        <color theme="1"/>
        <rFont val="Calibri"/>
        <family val="2"/>
        <scheme val="minor"/>
      </rPr>
      <t xml:space="preserve"> (masa)</t>
    </r>
  </si>
  <si>
    <t>Pâtisserie : rabattre une pâte/meringue ; BVP : chasser le gaz après 1re pousse.</t>
  </si>
  <si>
    <r>
      <t xml:space="preserve">Pastry: </t>
    </r>
    <r>
      <rPr>
        <b/>
        <sz val="11"/>
        <color theme="1"/>
        <rFont val="Calibri"/>
        <family val="2"/>
        <scheme val="minor"/>
      </rPr>
      <t>fold down</t>
    </r>
    <r>
      <rPr>
        <sz val="11"/>
        <color theme="1"/>
        <rFont val="Calibri"/>
        <family val="2"/>
        <scheme val="minor"/>
      </rPr>
      <t xml:space="preserve"> batter/meringue; Bakery: </t>
    </r>
    <r>
      <rPr>
        <b/>
        <sz val="11"/>
        <color theme="1"/>
        <rFont val="Calibri"/>
        <family val="2"/>
        <scheme val="minor"/>
      </rPr>
      <t>knock back</t>
    </r>
    <r>
      <rPr>
        <sz val="11"/>
        <color theme="1"/>
        <rFont val="Calibri"/>
        <family val="2"/>
        <scheme val="minor"/>
      </rPr>
      <t xml:space="preserve"> dough after first rise.</t>
    </r>
  </si>
  <si>
    <r>
      <t xml:space="preserve">Pastelería: </t>
    </r>
    <r>
      <rPr>
        <b/>
        <sz val="11"/>
        <color theme="1"/>
        <rFont val="Calibri"/>
        <family val="2"/>
        <scheme val="minor"/>
      </rPr>
      <t>abater/plegar</t>
    </r>
    <r>
      <rPr>
        <sz val="11"/>
        <color theme="1"/>
        <rFont val="Calibri"/>
        <family val="2"/>
        <scheme val="minor"/>
      </rPr>
      <t xml:space="preserve"> la mezcla/merengue; Panadería: </t>
    </r>
    <r>
      <rPr>
        <b/>
        <sz val="11"/>
        <color theme="1"/>
        <rFont val="Calibri"/>
        <family val="2"/>
        <scheme val="minor"/>
      </rPr>
      <t>desgasificar</t>
    </r>
    <r>
      <rPr>
        <sz val="11"/>
        <color theme="1"/>
        <rFont val="Calibri"/>
        <family val="2"/>
        <scheme val="minor"/>
      </rPr>
      <t xml:space="preserve"> la masa tras el primer levado.</t>
    </r>
  </si>
  <si>
    <t>Raccourcir</t>
  </si>
  <si>
    <t>shorten (a dough/gluten); cut shorter</t>
  </si>
  <si>
    <r>
      <t>acortar</t>
    </r>
    <r>
      <rPr>
        <sz val="11"/>
        <color theme="1"/>
        <rFont val="Calibri"/>
        <family val="2"/>
        <scheme val="minor"/>
      </rPr>
      <t xml:space="preserve"> (una masa)</t>
    </r>
  </si>
  <si>
    <t>Limiter le réseau glutineux par ajout de gras ; sens générique « réduire la longueur ».</t>
  </si>
  <si>
    <r>
      <t>Shorten</t>
    </r>
    <r>
      <rPr>
        <sz val="11"/>
        <color theme="1"/>
        <rFont val="Calibri"/>
        <family val="2"/>
        <scheme val="minor"/>
      </rPr>
      <t xml:space="preserve"> gluten network by adding fat; generic: </t>
    </r>
    <r>
      <rPr>
        <b/>
        <sz val="11"/>
        <color theme="1"/>
        <rFont val="Calibri"/>
        <family val="2"/>
        <scheme val="minor"/>
      </rPr>
      <t>shorten</t>
    </r>
    <r>
      <rPr>
        <sz val="11"/>
        <color theme="1"/>
        <rFont val="Calibri"/>
        <family val="2"/>
        <scheme val="minor"/>
      </rPr>
      <t>.</t>
    </r>
  </si>
  <si>
    <r>
      <t>Acortar</t>
    </r>
    <r>
      <rPr>
        <sz val="11"/>
        <color theme="1"/>
        <rFont val="Calibri"/>
        <family val="2"/>
        <scheme val="minor"/>
      </rPr>
      <t xml:space="preserve"> la red de gluten añadiendo grasa; genérico: </t>
    </r>
    <r>
      <rPr>
        <b/>
        <sz val="11"/>
        <color theme="1"/>
        <rFont val="Calibri"/>
        <family val="2"/>
        <scheme val="minor"/>
      </rPr>
      <t>acortar</t>
    </r>
    <r>
      <rPr>
        <sz val="11"/>
        <color theme="1"/>
        <rFont val="Calibri"/>
        <family val="2"/>
        <scheme val="minor"/>
      </rPr>
      <t>.</t>
    </r>
  </si>
  <si>
    <t>Rafraîchir</t>
  </si>
  <si>
    <t>chill/refresh; refresh starter</t>
  </si>
  <si>
    <r>
      <t>enfriar rápidamente</t>
    </r>
    <r>
      <rPr>
        <sz val="11"/>
        <color theme="1"/>
        <rFont val="Calibri"/>
        <family val="2"/>
        <scheme val="minor"/>
      </rPr>
      <t xml:space="preserve">; </t>
    </r>
    <r>
      <rPr>
        <b/>
        <sz val="11"/>
        <color theme="1"/>
        <rFont val="Calibri"/>
        <family val="2"/>
        <scheme val="minor"/>
      </rPr>
      <t>refrescar</t>
    </r>
    <r>
      <rPr>
        <sz val="11"/>
        <color theme="1"/>
        <rFont val="Calibri"/>
        <family val="2"/>
        <scheme val="minor"/>
      </rPr>
      <t xml:space="preserve"> (masa madre)</t>
    </r>
  </si>
  <si>
    <t>Refroidir en cellule/eau glacée ; rafraîchir une pâte mère.</t>
  </si>
  <si>
    <r>
      <t>Blast-chill/ice-bath</t>
    </r>
    <r>
      <rPr>
        <sz val="11"/>
        <color theme="1"/>
        <rFont val="Calibri"/>
        <family val="2"/>
        <scheme val="minor"/>
      </rPr>
      <t xml:space="preserve">; </t>
    </r>
    <r>
      <rPr>
        <b/>
        <sz val="11"/>
        <color theme="1"/>
        <rFont val="Calibri"/>
        <family val="2"/>
        <scheme val="minor"/>
      </rPr>
      <t>refresh/feed</t>
    </r>
    <r>
      <rPr>
        <sz val="11"/>
        <color theme="1"/>
        <rFont val="Calibri"/>
        <family val="2"/>
        <scheme val="minor"/>
      </rPr>
      <t xml:space="preserve"> a starter.</t>
    </r>
  </si>
  <si>
    <r>
      <t>Abatir/enfriar en baño de hielo</t>
    </r>
    <r>
      <rPr>
        <sz val="11"/>
        <color theme="1"/>
        <rFont val="Calibri"/>
        <family val="2"/>
        <scheme val="minor"/>
      </rPr>
      <t xml:space="preserve">; </t>
    </r>
    <r>
      <rPr>
        <b/>
        <sz val="11"/>
        <color theme="1"/>
        <rFont val="Calibri"/>
        <family val="2"/>
        <scheme val="minor"/>
      </rPr>
      <t>refrescar/alimentar</t>
    </r>
    <r>
      <rPr>
        <sz val="11"/>
        <color theme="1"/>
        <rFont val="Calibri"/>
        <family val="2"/>
        <scheme val="minor"/>
      </rPr>
      <t xml:space="preserve"> una masa madre.</t>
    </r>
  </si>
  <si>
    <t>Raidir</t>
  </si>
  <si>
    <t>stiffen/seize in fat (lightly)</t>
  </si>
  <si>
    <r>
      <t>retar / endurecer</t>
    </r>
    <r>
      <rPr>
        <sz val="11"/>
        <color theme="1"/>
        <rFont val="Calibri"/>
        <family val="2"/>
        <scheme val="minor"/>
      </rPr>
      <t xml:space="preserve"> en grasa (sellar)</t>
    </r>
  </si>
  <si>
    <t>Saisir une viande sans (ou à peine) coloration avant braisage.</t>
  </si>
  <si>
    <r>
      <t>Sear lightly without browning</t>
    </r>
    <r>
      <rPr>
        <sz val="11"/>
        <color theme="1"/>
        <rFont val="Calibri"/>
        <family val="2"/>
        <scheme val="minor"/>
      </rPr>
      <t xml:space="preserve"> before braising.</t>
    </r>
  </si>
  <si>
    <r>
      <t>Sellar sin (apenas) dorar</t>
    </r>
    <r>
      <rPr>
        <sz val="11"/>
        <color theme="1"/>
        <rFont val="Calibri"/>
        <family val="2"/>
        <scheme val="minor"/>
      </rPr>
      <t xml:space="preserve"> antes de estofar.</t>
    </r>
  </si>
  <si>
    <t>rangement</t>
  </si>
  <si>
    <t>storage/put-away (step)</t>
  </si>
  <si>
    <t>almacenado / guardado</t>
  </si>
  <si>
    <t>Opération de rangement de poste/bacs/ustensiles.</t>
  </si>
  <si>
    <r>
      <t>Tidy/clear down</t>
    </r>
    <r>
      <rPr>
        <sz val="11"/>
        <color theme="1"/>
        <rFont val="Calibri"/>
        <family val="2"/>
        <scheme val="minor"/>
      </rPr>
      <t xml:space="preserve"> the station: put away bins/utensils.</t>
    </r>
  </si>
  <si>
    <r>
      <t>Recoger/ordenar</t>
    </r>
    <r>
      <rPr>
        <sz val="11"/>
        <color theme="1"/>
        <rFont val="Calibri"/>
        <family val="2"/>
        <scheme val="minor"/>
      </rPr>
      <t xml:space="preserve"> el puesto: guardar cubetas/utensilios.</t>
    </r>
  </si>
  <si>
    <t>Ranger</t>
  </si>
  <si>
    <t>store; put away; tidy</t>
  </si>
  <si>
    <t>guardar / ordenar</t>
  </si>
  <si>
    <t>Fin de service / hygiène.</t>
  </si>
  <si>
    <r>
      <t xml:space="preserve">End-of-service </t>
    </r>
    <r>
      <rPr>
        <b/>
        <sz val="11"/>
        <color theme="1"/>
        <rFont val="Calibri"/>
        <family val="2"/>
        <scheme val="minor"/>
      </rPr>
      <t>clean-down/sanitation</t>
    </r>
    <r>
      <rPr>
        <sz val="11"/>
        <color theme="1"/>
        <rFont val="Calibri"/>
        <family val="2"/>
        <scheme val="minor"/>
      </rPr>
      <t>.</t>
    </r>
  </si>
  <si>
    <r>
      <t>Limpieza</t>
    </r>
    <r>
      <rPr>
        <sz val="11"/>
        <color theme="1"/>
        <rFont val="Calibri"/>
        <family val="2"/>
        <scheme val="minor"/>
      </rPr>
      <t xml:space="preserve"> fin de servicio / </t>
    </r>
    <r>
      <rPr>
        <b/>
        <sz val="11"/>
        <color theme="1"/>
        <rFont val="Calibri"/>
        <family val="2"/>
        <scheme val="minor"/>
      </rPr>
      <t>sanitización</t>
    </r>
    <r>
      <rPr>
        <sz val="11"/>
        <color theme="1"/>
        <rFont val="Calibri"/>
        <family val="2"/>
        <scheme val="minor"/>
      </rPr>
      <t>.</t>
    </r>
  </si>
  <si>
    <t>Rassir</t>
  </si>
  <si>
    <t>go stale</t>
  </si>
  <si>
    <t>envejecer / quedarse duro</t>
  </si>
  <si>
    <t>Pain/viennoiseries qui sèchent.</t>
  </si>
  <si>
    <r>
      <t xml:space="preserve">Bread/pastries </t>
    </r>
    <r>
      <rPr>
        <b/>
        <sz val="11"/>
        <color theme="1"/>
        <rFont val="Calibri"/>
        <family val="2"/>
        <scheme val="minor"/>
      </rPr>
      <t>going stale</t>
    </r>
    <r>
      <rPr>
        <sz val="11"/>
        <color theme="1"/>
        <rFont val="Calibri"/>
        <family val="2"/>
        <scheme val="minor"/>
      </rPr>
      <t>.</t>
    </r>
  </si>
  <si>
    <r>
      <t xml:space="preserve">Pan/bollerías </t>
    </r>
    <r>
      <rPr>
        <b/>
        <sz val="11"/>
        <color theme="1"/>
        <rFont val="Calibri"/>
        <family val="2"/>
        <scheme val="minor"/>
      </rPr>
      <t>que se endurecen</t>
    </r>
    <r>
      <rPr>
        <sz val="11"/>
        <color theme="1"/>
        <rFont val="Calibri"/>
        <family val="2"/>
        <scheme val="minor"/>
      </rPr>
      <t xml:space="preserve"> (se ponen </t>
    </r>
    <r>
      <rPr>
        <b/>
        <sz val="11"/>
        <color theme="1"/>
        <rFont val="Calibri"/>
        <family val="2"/>
        <scheme val="minor"/>
      </rPr>
      <t>duros</t>
    </r>
    <r>
      <rPr>
        <sz val="11"/>
        <color theme="1"/>
        <rFont val="Calibri"/>
        <family val="2"/>
        <scheme val="minor"/>
      </rPr>
      <t>).</t>
    </r>
  </si>
  <si>
    <t>Rayer</t>
  </si>
  <si>
    <t>score/make lines (decor)</t>
  </si>
  <si>
    <r>
      <t>rayar</t>
    </r>
    <r>
      <rPr>
        <sz val="11"/>
        <color theme="1"/>
        <rFont val="Calibri"/>
        <family val="2"/>
        <scheme val="minor"/>
      </rPr>
      <t xml:space="preserve"> / marcar líneas</t>
    </r>
  </si>
  <si>
    <t>Quadrillage léger sur pâte, entremets, chocolat.</t>
  </si>
  <si>
    <r>
      <t xml:space="preserve">Light </t>
    </r>
    <r>
      <rPr>
        <b/>
        <sz val="11"/>
        <color theme="1"/>
        <rFont val="Calibri"/>
        <family val="2"/>
        <scheme val="minor"/>
      </rPr>
      <t>crosshatch/lattice</t>
    </r>
    <r>
      <rPr>
        <sz val="11"/>
        <color theme="1"/>
        <rFont val="Calibri"/>
        <family val="2"/>
        <scheme val="minor"/>
      </rPr>
      <t xml:space="preserve"> scoring on pastry, entremets, chocolate.</t>
    </r>
  </si>
  <si>
    <r>
      <t>Enrejado</t>
    </r>
    <r>
      <rPr>
        <sz val="11"/>
        <color theme="1"/>
        <rFont val="Calibri"/>
        <family val="2"/>
        <scheme val="minor"/>
      </rPr>
      <t xml:space="preserve"> ligero en masa, entremets, chocolate.</t>
    </r>
  </si>
  <si>
    <t>Réaliser</t>
  </si>
  <si>
    <t>make; prepare</t>
  </si>
  <si>
    <t>realizar / elaborar</t>
  </si>
  <si>
    <t>Formulation/réalisation d’une recette.</t>
  </si>
  <si>
    <r>
      <t>Develop and execute</t>
    </r>
    <r>
      <rPr>
        <sz val="11"/>
        <color theme="1"/>
        <rFont val="Calibri"/>
        <family val="2"/>
        <scheme val="minor"/>
      </rPr>
      <t xml:space="preserve"> a recipe.</t>
    </r>
  </si>
  <si>
    <r>
      <t>Desarrollar y ejecutar</t>
    </r>
    <r>
      <rPr>
        <sz val="11"/>
        <color theme="1"/>
        <rFont val="Calibri"/>
        <family val="2"/>
        <scheme val="minor"/>
      </rPr>
      <t xml:space="preserve"> una receta.</t>
    </r>
  </si>
  <si>
    <t>réception / contrôles</t>
  </si>
  <si>
    <t>receive; take delivery</t>
  </si>
  <si>
    <r>
      <t>recepcionar</t>
    </r>
    <r>
      <rPr>
        <sz val="11"/>
        <color theme="1"/>
        <rFont val="Calibri"/>
        <family val="2"/>
        <scheme val="minor"/>
      </rPr>
      <t xml:space="preserve">; </t>
    </r>
    <r>
      <rPr>
        <b/>
        <sz val="11"/>
        <color theme="1"/>
        <rFont val="Calibri"/>
        <family val="2"/>
        <scheme val="minor"/>
      </rPr>
      <t>recibir</t>
    </r>
  </si>
  <si>
    <t>Entrée marchandises : quantité, intégrité, T°, DLC/lot (traçabilité).</t>
  </si>
  <si>
    <t>Goods-in: quantity, integrity, temperature, use-by/lot (traceability).</t>
  </si>
  <si>
    <t>Recepción: cantidad, integridad, T°, caducidad/lote (trazabilidad).</t>
  </si>
  <si>
    <t>Réceptionner / Contrôler</t>
  </si>
  <si>
    <t>receive &amp; inspect</t>
  </si>
  <si>
    <t>recepcionar y controlar</t>
  </si>
  <si>
    <t>Étape d’entrée marchandises (HACCP).</t>
  </si>
  <si>
    <r>
      <t>Goods-in receiving</t>
    </r>
    <r>
      <rPr>
        <sz val="11"/>
        <color theme="1"/>
        <rFont val="Calibri"/>
        <family val="2"/>
        <scheme val="minor"/>
      </rPr>
      <t xml:space="preserve"> (HACCP).</t>
    </r>
  </si>
  <si>
    <r>
      <t>Recepción</t>
    </r>
    <r>
      <rPr>
        <sz val="11"/>
        <color theme="1"/>
        <rFont val="Calibri"/>
        <family val="2"/>
        <scheme val="minor"/>
      </rPr>
      <t xml:space="preserve"> de mercancías (APPCC).</t>
    </r>
  </si>
  <si>
    <t>Réchauffer en moins d’1 H</t>
  </si>
  <si>
    <t>reheat in under 1 hour</t>
  </si>
  <si>
    <t>recalentar en menos de 1 h</t>
  </si>
  <si>
    <t>Instruction de cadence/service ; vérifier T° cœur cible.</t>
  </si>
  <si>
    <r>
      <t>Pacing/service instruction</t>
    </r>
    <r>
      <rPr>
        <sz val="11"/>
        <color theme="1"/>
        <rFont val="Calibri"/>
        <family val="2"/>
        <scheme val="minor"/>
      </rPr>
      <t xml:space="preserve">; verify </t>
    </r>
    <r>
      <rPr>
        <b/>
        <sz val="11"/>
        <color theme="1"/>
        <rFont val="Calibri"/>
        <family val="2"/>
        <scheme val="minor"/>
      </rPr>
      <t>target core temp</t>
    </r>
    <r>
      <rPr>
        <sz val="11"/>
        <color theme="1"/>
        <rFont val="Calibri"/>
        <family val="2"/>
        <scheme val="minor"/>
      </rPr>
      <t>.</t>
    </r>
  </si>
  <si>
    <r>
      <t>Instrucción de cadencia/servicio</t>
    </r>
    <r>
      <rPr>
        <sz val="11"/>
        <color theme="1"/>
        <rFont val="Calibri"/>
        <family val="2"/>
        <scheme val="minor"/>
      </rPr>
      <t xml:space="preserve">; verificar </t>
    </r>
    <r>
      <rPr>
        <b/>
        <sz val="11"/>
        <color theme="1"/>
        <rFont val="Calibri"/>
        <family val="2"/>
        <scheme val="minor"/>
      </rPr>
      <t>T° en el centro objetivo</t>
    </r>
    <r>
      <rPr>
        <sz val="11"/>
        <color theme="1"/>
        <rFont val="Calibri"/>
        <family val="2"/>
        <scheme val="minor"/>
      </rPr>
      <t>.</t>
    </r>
  </si>
  <si>
    <t>Reconditionner</t>
  </si>
  <si>
    <t>repackage</t>
  </si>
  <si>
    <t>re-envasar / reacondicionar</t>
  </si>
  <si>
    <t>Changer de contenant/format/état d’emballage.</t>
  </si>
  <si>
    <r>
      <t>Repackage/recontainerize</t>
    </r>
    <r>
      <rPr>
        <sz val="11"/>
        <color theme="1"/>
        <rFont val="Calibri"/>
        <family val="2"/>
        <scheme val="minor"/>
      </rPr>
      <t>; change pack format/state.</t>
    </r>
  </si>
  <si>
    <r>
      <t>Reenvasar/cambiar de envase</t>
    </r>
    <r>
      <rPr>
        <sz val="11"/>
        <color theme="1"/>
        <rFont val="Calibri"/>
        <family val="2"/>
        <scheme val="minor"/>
      </rPr>
      <t>; cambiar formato/estado.</t>
    </r>
  </si>
  <si>
    <t>Recouvrir</t>
  </si>
  <si>
    <t>cover; coat</t>
  </si>
  <si>
    <t>cubrir / recubrir</t>
  </si>
  <si>
    <t>Film, couvercle, nappage, chocolat.</t>
  </si>
  <si>
    <r>
      <t>Cover</t>
    </r>
    <r>
      <rPr>
        <sz val="11"/>
        <color theme="1"/>
        <rFont val="Calibri"/>
        <family val="2"/>
        <scheme val="minor"/>
      </rPr>
      <t xml:space="preserve">: film/lid; </t>
    </r>
    <r>
      <rPr>
        <b/>
        <sz val="11"/>
        <color theme="1"/>
        <rFont val="Calibri"/>
        <family val="2"/>
        <scheme val="minor"/>
      </rPr>
      <t>glaze/coat</t>
    </r>
    <r>
      <rPr>
        <sz val="11"/>
        <color theme="1"/>
        <rFont val="Calibri"/>
        <family val="2"/>
        <scheme val="minor"/>
      </rPr>
      <t xml:space="preserve"> with jelly/chocolate.</t>
    </r>
  </si>
  <si>
    <r>
      <t>Cubrir</t>
    </r>
    <r>
      <rPr>
        <sz val="11"/>
        <color theme="1"/>
        <rFont val="Calibri"/>
        <family val="2"/>
        <scheme val="minor"/>
      </rPr>
      <t xml:space="preserve">: film/tapa; </t>
    </r>
    <r>
      <rPr>
        <b/>
        <sz val="11"/>
        <color theme="1"/>
        <rFont val="Calibri"/>
        <family val="2"/>
        <scheme val="minor"/>
      </rPr>
      <t>napar/bañar</t>
    </r>
    <r>
      <rPr>
        <sz val="11"/>
        <color theme="1"/>
        <rFont val="Calibri"/>
        <family val="2"/>
        <scheme val="minor"/>
      </rPr>
      <t xml:space="preserve"> con gelatina/chocolate.</t>
    </r>
  </si>
  <si>
    <t>Rectifier (l’assais.)</t>
  </si>
  <si>
    <t>adjust/ correct (seasoning)</t>
  </si>
  <si>
    <r>
      <t>rectificar</t>
    </r>
    <r>
      <rPr>
        <sz val="11"/>
        <color theme="1"/>
        <rFont val="Calibri"/>
        <family val="2"/>
        <scheme val="minor"/>
      </rPr>
      <t xml:space="preserve"> (de sal/sazonado)</t>
    </r>
  </si>
  <si>
    <t>« Rectifier l’assaisonnement ».</t>
  </si>
  <si>
    <r>
      <t>Adjust seasoning</t>
    </r>
    <r>
      <rPr>
        <sz val="11"/>
        <color theme="1"/>
        <rFont val="Calibri"/>
        <family val="2"/>
        <scheme val="minor"/>
      </rPr>
      <t>.</t>
    </r>
  </si>
  <si>
    <r>
      <t>Rectificar el sazonado</t>
    </r>
    <r>
      <rPr>
        <sz val="11"/>
        <color theme="1"/>
        <rFont val="Calibri"/>
        <family val="2"/>
        <scheme val="minor"/>
      </rPr>
      <t>.</t>
    </r>
  </si>
  <si>
    <t>réduire</t>
  </si>
  <si>
    <t>reduce; boil down</t>
  </si>
  <si>
    <r>
      <t>reducir</t>
    </r>
    <r>
      <rPr>
        <sz val="11"/>
        <color theme="1"/>
        <rFont val="Calibri"/>
        <family val="2"/>
        <scheme val="minor"/>
      </rPr>
      <t>; concentrar</t>
    </r>
  </si>
  <si>
    <t>Cuisine : concentrer une sauce ; gestion : réduire coûts/délais.</t>
  </si>
  <si>
    <t>Kitchen: reduce a sauce; management: reduce costs/lead times.</t>
  </si>
  <si>
    <t>Cocina: reducir una salsa; gestión: reducir costes/plazos.</t>
  </si>
  <si>
    <t>Refroidir</t>
  </si>
  <si>
    <t>cool/chill</t>
  </si>
  <si>
    <t>enfriar / abatir</t>
  </si>
  <si>
    <t>Cellule, eau glacée, ventilation.</t>
  </si>
  <si>
    <r>
      <t>Blast chiller, ice bath, ventilation</t>
    </r>
    <r>
      <rPr>
        <sz val="11"/>
        <color theme="1"/>
        <rFont val="Calibri"/>
        <family val="2"/>
        <scheme val="minor"/>
      </rPr>
      <t>.</t>
    </r>
  </si>
  <si>
    <r>
      <t>Abatidor, baño de hielo, ventilación</t>
    </r>
    <r>
      <rPr>
        <sz val="11"/>
        <color theme="1"/>
        <rFont val="Calibri"/>
        <family val="2"/>
        <scheme val="minor"/>
      </rPr>
      <t>.</t>
    </r>
  </si>
  <si>
    <t>Refroidir (cellule)</t>
  </si>
  <si>
    <t>Blast-chill</t>
  </si>
  <si>
    <t>Abatir</t>
  </si>
  <si>
    <t>Cellule; barquette peu profonde; étiqueter.</t>
  </si>
  <si>
    <t>Blast-chill; shallow pan; label.</t>
  </si>
  <si>
    <t>Abatidor; cubeta baja; etiquetar.</t>
  </si>
  <si>
    <t>refroidissement =&lt; 9°</t>
  </si>
  <si>
    <t>cool to ≤ 9 °C</t>
  </si>
  <si>
    <t>enfriar a ≤ 9 °C</t>
  </si>
  <si>
    <t>Consigne interne/HACCP : atteindre ≤ 9 °C au cœur dans le délai prévu.</t>
  </si>
  <si>
    <r>
      <t xml:space="preserve">Instruction: cool to </t>
    </r>
    <r>
      <rPr>
        <b/>
        <sz val="11"/>
        <color theme="1"/>
        <rFont val="Calibri"/>
        <family val="2"/>
        <scheme val="minor"/>
      </rPr>
      <t>≤ 9 °C core</t>
    </r>
    <r>
      <rPr>
        <sz val="11"/>
        <color theme="1"/>
        <rFont val="Calibri"/>
        <family val="2"/>
        <scheme val="minor"/>
      </rPr>
      <t xml:space="preserve"> within required time.</t>
    </r>
  </si>
  <si>
    <r>
      <t xml:space="preserve">Consigna: enfriar a </t>
    </r>
    <r>
      <rPr>
        <b/>
        <sz val="11"/>
        <color theme="1"/>
        <rFont val="Calibri"/>
        <family val="2"/>
        <scheme val="minor"/>
      </rPr>
      <t>≤ 9 °C al centro</t>
    </r>
    <r>
      <rPr>
        <sz val="11"/>
        <color theme="1"/>
        <rFont val="Calibri"/>
        <family val="2"/>
        <scheme val="minor"/>
      </rPr>
      <t xml:space="preserve"> en el tiempo requerido.</t>
    </r>
  </si>
  <si>
    <t>Régénérer</t>
  </si>
  <si>
    <r>
      <t xml:space="preserve">regenerate / </t>
    </r>
    <r>
      <rPr>
        <b/>
        <sz val="11"/>
        <color theme="1"/>
        <rFont val="Calibri"/>
        <family val="2"/>
        <scheme val="minor"/>
      </rPr>
      <t>retherm</t>
    </r>
  </si>
  <si>
    <t>regenerar</t>
  </si>
  <si>
    <t>Réchauffage contrôlé des plats « cook-chill ».</t>
  </si>
  <si>
    <r>
      <t>Controlled reheat</t>
    </r>
    <r>
      <rPr>
        <sz val="11"/>
        <color theme="1"/>
        <rFont val="Calibri"/>
        <family val="2"/>
        <scheme val="minor"/>
      </rPr>
      <t xml:space="preserve"> of cook-chill dishes.</t>
    </r>
  </si>
  <si>
    <r>
      <t>Regeneración controlada</t>
    </r>
    <r>
      <rPr>
        <sz val="11"/>
        <color theme="1"/>
        <rFont val="Calibri"/>
        <family val="2"/>
        <scheme val="minor"/>
      </rPr>
      <t xml:space="preserve"> de platos </t>
    </r>
    <r>
      <rPr>
        <i/>
        <sz val="11"/>
        <color theme="1"/>
        <rFont val="Calibri"/>
        <family val="2"/>
        <scheme val="minor"/>
      </rPr>
      <t>cook-chill</t>
    </r>
    <r>
      <rPr>
        <sz val="11"/>
        <color theme="1"/>
        <rFont val="Calibri"/>
        <family val="2"/>
        <scheme val="minor"/>
      </rPr>
      <t>.</t>
    </r>
  </si>
  <si>
    <t>régler</t>
  </si>
  <si>
    <t>set; adjust; tune</t>
  </si>
  <si>
    <r>
      <t>ajustar</t>
    </r>
    <r>
      <rPr>
        <sz val="11"/>
        <color theme="1"/>
        <rFont val="Calibri"/>
        <family val="2"/>
        <scheme val="minor"/>
      </rPr>
      <t xml:space="preserve">; </t>
    </r>
    <r>
      <rPr>
        <b/>
        <sz val="11"/>
        <color theme="1"/>
        <rFont val="Calibri"/>
        <family val="2"/>
        <scheme val="minor"/>
      </rPr>
      <t>regular</t>
    </r>
  </si>
  <si>
    <t>Régler paramètres machine (T°, vitesse), calibrer un process.</t>
  </si>
  <si>
    <t>Set machine parameters (temp, speed), calibrate a process.</t>
  </si>
  <si>
    <t>Ajustar parámetros de máquina (T°, velocidad), calibrar un proceso.</t>
  </si>
  <si>
    <t>réguler</t>
  </si>
  <si>
    <t>regulate; control</t>
  </si>
  <si>
    <r>
      <t>regular</t>
    </r>
    <r>
      <rPr>
        <sz val="11"/>
        <color theme="1"/>
        <rFont val="Calibri"/>
        <family val="2"/>
        <scheme val="minor"/>
      </rPr>
      <t>; controlar</t>
    </r>
  </si>
  <si>
    <t>Stabiliser des variations (débit, T°, pression, flux).</t>
  </si>
  <si>
    <t>Regulate/stabilize variations (flow, temp, pressure, throughput).</t>
  </si>
  <si>
    <t>Regular/estabilizar variaciones (caudal, T°, presión, flujo).</t>
  </si>
  <si>
    <t>Réhydrater</t>
  </si>
  <si>
    <t>rehydrate</t>
  </si>
  <si>
    <t>rehidratar</t>
  </si>
  <si>
    <t>Légumineuses, gélatine, poudres.</t>
  </si>
  <si>
    <r>
      <t>Soak/disperse</t>
    </r>
    <r>
      <rPr>
        <sz val="11"/>
        <color theme="1"/>
        <rFont val="Calibri"/>
        <family val="2"/>
        <scheme val="minor"/>
      </rPr>
      <t xml:space="preserve"> legumes; </t>
    </r>
    <r>
      <rPr>
        <b/>
        <sz val="11"/>
        <color theme="1"/>
        <rFont val="Calibri"/>
        <family val="2"/>
        <scheme val="minor"/>
      </rPr>
      <t>bloom</t>
    </r>
    <r>
      <rPr>
        <sz val="11"/>
        <color theme="1"/>
        <rFont val="Calibri"/>
        <family val="2"/>
        <scheme val="minor"/>
      </rPr>
      <t xml:space="preserve"> gelatin; </t>
    </r>
    <r>
      <rPr>
        <b/>
        <sz val="11"/>
        <color theme="1"/>
        <rFont val="Calibri"/>
        <family val="2"/>
        <scheme val="minor"/>
      </rPr>
      <t>disperse</t>
    </r>
    <r>
      <rPr>
        <sz val="11"/>
        <color theme="1"/>
        <rFont val="Calibri"/>
        <family val="2"/>
        <scheme val="minor"/>
      </rPr>
      <t xml:space="preserve"> powders.</t>
    </r>
  </si>
  <si>
    <r>
      <t>Remojar/dispersar</t>
    </r>
    <r>
      <rPr>
        <sz val="11"/>
        <color theme="1"/>
        <rFont val="Calibri"/>
        <family val="2"/>
        <scheme val="minor"/>
      </rPr>
      <t xml:space="preserve"> legumbres; </t>
    </r>
    <r>
      <rPr>
        <b/>
        <sz val="11"/>
        <color theme="1"/>
        <rFont val="Calibri"/>
        <family val="2"/>
        <scheme val="minor"/>
      </rPr>
      <t>hidratar</t>
    </r>
    <r>
      <rPr>
        <sz val="11"/>
        <color theme="1"/>
        <rFont val="Calibri"/>
        <family val="2"/>
        <scheme val="minor"/>
      </rPr>
      <t xml:space="preserve"> gelatina; </t>
    </r>
    <r>
      <rPr>
        <b/>
        <sz val="11"/>
        <color theme="1"/>
        <rFont val="Calibri"/>
        <family val="2"/>
        <scheme val="minor"/>
      </rPr>
      <t>dispersar</t>
    </r>
    <r>
      <rPr>
        <sz val="11"/>
        <color theme="1"/>
        <rFont val="Calibri"/>
        <family val="2"/>
        <scheme val="minor"/>
      </rPr>
      <t xml:space="preserve"> polvos.</t>
    </r>
  </si>
  <si>
    <t>rejet</t>
  </si>
  <si>
    <t>reject / waste (item)</t>
  </si>
  <si>
    <t>rechazo / merma</t>
  </si>
  <si>
    <t>Pièces non conformes → déchets/retour.</t>
  </si>
  <si>
    <r>
      <t>Non-conforming items → scrap/return</t>
    </r>
    <r>
      <rPr>
        <sz val="11"/>
        <color theme="1"/>
        <rFont val="Calibri"/>
        <family val="2"/>
        <scheme val="minor"/>
      </rPr>
      <t>.</t>
    </r>
  </si>
  <si>
    <r>
      <t>Piezas no conformes → merma/devolución</t>
    </r>
    <r>
      <rPr>
        <sz val="11"/>
        <color theme="1"/>
        <rFont val="Calibri"/>
        <family val="2"/>
        <scheme val="minor"/>
      </rPr>
      <t>.</t>
    </r>
  </si>
  <si>
    <t>Rejeter</t>
  </si>
  <si>
    <t>reject; discard</t>
  </si>
  <si>
    <t>rechazar / desechar</t>
  </si>
  <si>
    <t>Action (step).</t>
  </si>
  <si>
    <t>Acción (etapa).</t>
  </si>
  <si>
    <t>Relâcher</t>
  </si>
  <si>
    <t>slacken/loosen (texture)</t>
  </si>
  <si>
    <t>aflojar / licuar</t>
  </si>
  <si>
    <t>Sauce/pâte qui se détend (ajout liquide/chaleur).</t>
  </si>
  <si>
    <r>
      <t xml:space="preserve">Sauce/dough </t>
    </r>
    <r>
      <rPr>
        <b/>
        <sz val="11"/>
        <color theme="1"/>
        <rFont val="Calibri"/>
        <family val="2"/>
        <scheme val="minor"/>
      </rPr>
      <t>loosens/relaxes</t>
    </r>
    <r>
      <rPr>
        <sz val="11"/>
        <color theme="1"/>
        <rFont val="Calibri"/>
        <family val="2"/>
        <scheme val="minor"/>
      </rPr>
      <t xml:space="preserve"> (with liquid/heat).</t>
    </r>
  </si>
  <si>
    <r>
      <t xml:space="preserve">Salsa/masa </t>
    </r>
    <r>
      <rPr>
        <b/>
        <sz val="11"/>
        <color theme="1"/>
        <rFont val="Calibri"/>
        <family val="2"/>
        <scheme val="minor"/>
      </rPr>
      <t>se afloja</t>
    </r>
    <r>
      <rPr>
        <sz val="11"/>
        <color theme="1"/>
        <rFont val="Calibri"/>
        <family val="2"/>
        <scheme val="minor"/>
      </rPr>
      <t xml:space="preserve"> (con líquido/calor).</t>
    </r>
  </si>
  <si>
    <t>Relever (goût)</t>
  </si>
  <si>
    <r>
      <t xml:space="preserve">brighten; perk up; </t>
    </r>
    <r>
      <rPr>
        <b/>
        <sz val="11"/>
        <color theme="1"/>
        <rFont val="Calibri"/>
        <family val="2"/>
        <scheme val="minor"/>
      </rPr>
      <t>spice up</t>
    </r>
  </si>
  <si>
    <r>
      <t>realzar</t>
    </r>
    <r>
      <rPr>
        <sz val="11"/>
        <color theme="1"/>
        <rFont val="Calibri"/>
        <family val="2"/>
        <scheme val="minor"/>
      </rPr>
      <t>; avivar</t>
    </r>
  </si>
  <si>
    <t>Renforcer acidité/épices/sel.</t>
  </si>
  <si>
    <r>
      <t>Boost</t>
    </r>
    <r>
      <rPr>
        <sz val="11"/>
        <color theme="1"/>
        <rFont val="Calibri"/>
        <family val="2"/>
        <scheme val="minor"/>
      </rPr>
      <t xml:space="preserve"> acidity/spice/salt.</t>
    </r>
  </si>
  <si>
    <r>
      <t>Potenciar</t>
    </r>
    <r>
      <rPr>
        <sz val="11"/>
        <color theme="1"/>
        <rFont val="Calibri"/>
        <family val="2"/>
        <scheme val="minor"/>
      </rPr>
      <t xml:space="preserve"> acidez/especias/sal.</t>
    </r>
  </si>
  <si>
    <t>Remettre en T°</t>
  </si>
  <si>
    <t>bring back to temp</t>
  </si>
  <si>
    <t>volver a temperatura</t>
  </si>
  <si>
    <t>Revenir à T° service/ambiante selon consigne.</t>
  </si>
  <si>
    <r>
      <t>Bring back</t>
    </r>
    <r>
      <rPr>
        <sz val="11"/>
        <color theme="1"/>
        <rFont val="Calibri"/>
        <family val="2"/>
        <scheme val="minor"/>
      </rPr>
      <t xml:space="preserve"> to service/room temp as instructed.</t>
    </r>
  </si>
  <si>
    <r>
      <t>Llevar</t>
    </r>
    <r>
      <rPr>
        <sz val="11"/>
        <color theme="1"/>
        <rFont val="Calibri"/>
        <family val="2"/>
        <scheme val="minor"/>
      </rPr>
      <t xml:space="preserve"> a T° de servicio/ambiente según consigna.</t>
    </r>
  </si>
  <si>
    <t>remise en t° (étape)</t>
  </si>
  <si>
    <t>temperature recovery (step)</t>
  </si>
  <si>
    <t>puesta a temperatura</t>
  </si>
  <si>
    <t>Nom d’étape process.</t>
  </si>
  <si>
    <t>Process step name.</t>
  </si>
  <si>
    <t>Nombre de etapa del proceso.</t>
  </si>
  <si>
    <t>Remonter</t>
  </si>
  <si>
    <t>bring back up; whip back (emulsion)</t>
  </si>
  <si>
    <r>
      <t>subir / recuperar</t>
    </r>
    <r>
      <rPr>
        <sz val="11"/>
        <color theme="1"/>
        <rFont val="Calibri"/>
        <family val="2"/>
        <scheme val="minor"/>
      </rPr>
      <t xml:space="preserve">; </t>
    </r>
    <r>
      <rPr>
        <b/>
        <sz val="11"/>
        <color theme="1"/>
        <rFont val="Calibri"/>
        <family val="2"/>
        <scheme val="minor"/>
      </rPr>
      <t>remontar</t>
    </r>
    <r>
      <rPr>
        <sz val="11"/>
        <color theme="1"/>
        <rFont val="Calibri"/>
        <family val="2"/>
        <scheme val="minor"/>
      </rPr>
      <t xml:space="preserve"> (emulsión)</t>
    </r>
  </si>
  <si>
    <t>« Remonter une mayo tranchée ».</t>
  </si>
  <si>
    <r>
      <t>Rescue</t>
    </r>
    <r>
      <rPr>
        <sz val="11"/>
        <color theme="1"/>
        <rFont val="Calibri"/>
        <family val="2"/>
        <scheme val="minor"/>
      </rPr>
      <t xml:space="preserve"> a split mayo (re-emulsify).</t>
    </r>
  </si>
  <si>
    <r>
      <t>Recuperar</t>
    </r>
    <r>
      <rPr>
        <sz val="11"/>
        <color theme="1"/>
        <rFont val="Calibri"/>
        <family val="2"/>
        <scheme val="minor"/>
      </rPr>
      <t xml:space="preserve"> una mayonesa cortada (reemulsionar).</t>
    </r>
  </si>
  <si>
    <t>Remonter en température</t>
  </si>
  <si>
    <t>bring temperature back up</t>
  </si>
  <si>
    <t>elevar de nuevo la temperatura</t>
  </si>
  <si>
    <t>À cœur selon barème (ex. ≥ 63 °C).</t>
  </si>
  <si>
    <r>
      <t>To core</t>
    </r>
    <r>
      <rPr>
        <sz val="11"/>
        <color theme="1"/>
        <rFont val="Calibri"/>
        <family val="2"/>
        <scheme val="minor"/>
      </rPr>
      <t xml:space="preserve"> per standard (e.g., </t>
    </r>
    <r>
      <rPr>
        <b/>
        <sz val="11"/>
        <color theme="1"/>
        <rFont val="Calibri"/>
        <family val="2"/>
        <scheme val="minor"/>
      </rPr>
      <t>≥ 63 °C</t>
    </r>
    <r>
      <rPr>
        <sz val="11"/>
        <color theme="1"/>
        <rFont val="Calibri"/>
        <family val="2"/>
        <scheme val="minor"/>
      </rPr>
      <t>).</t>
    </r>
  </si>
  <si>
    <r>
      <t>A corazón</t>
    </r>
    <r>
      <rPr>
        <sz val="11"/>
        <color theme="1"/>
        <rFont val="Calibri"/>
        <family val="2"/>
        <scheme val="minor"/>
      </rPr>
      <t xml:space="preserve"> según baremo (p. ej., </t>
    </r>
    <r>
      <rPr>
        <b/>
        <sz val="11"/>
        <color theme="1"/>
        <rFont val="Calibri"/>
        <family val="2"/>
        <scheme val="minor"/>
      </rPr>
      <t>≥ 63 °C</t>
    </r>
    <r>
      <rPr>
        <sz val="11"/>
        <color theme="1"/>
        <rFont val="Calibri"/>
        <family val="2"/>
        <scheme val="minor"/>
      </rPr>
      <t>).</t>
    </r>
  </si>
  <si>
    <t>Remplacer</t>
  </si>
  <si>
    <t>replace; swap</t>
  </si>
  <si>
    <t>reemplazar</t>
  </si>
  <si>
    <t>Ingrédient/pièce/matériel.</t>
  </si>
  <si>
    <t>Ingredient/item/equipment.</t>
  </si>
  <si>
    <t>Ingrediente/pieza/equipo.</t>
  </si>
  <si>
    <t>Remplir Barq</t>
  </si>
  <si>
    <t>fill trays (barquettes)</t>
  </si>
  <si>
    <t>llenar barquetas</t>
  </si>
  <si>
    <t>Abréviation « Barq » = barquettes.</t>
  </si>
  <si>
    <r>
      <t xml:space="preserve">Abbrev. </t>
    </r>
    <r>
      <rPr>
        <b/>
        <sz val="11"/>
        <color theme="1"/>
        <rFont val="Calibri"/>
        <family val="2"/>
        <scheme val="minor"/>
      </rPr>
      <t>“Barq” = trays</t>
    </r>
    <r>
      <rPr>
        <sz val="11"/>
        <color theme="1"/>
        <rFont val="Calibri"/>
        <family val="2"/>
        <scheme val="minor"/>
      </rPr>
      <t>.</t>
    </r>
  </si>
  <si>
    <r>
      <t xml:space="preserve">Abrev. </t>
    </r>
    <r>
      <rPr>
        <b/>
        <sz val="11"/>
        <color theme="1"/>
        <rFont val="Calibri"/>
        <family val="2"/>
        <scheme val="minor"/>
      </rPr>
      <t>«Barq» = barquetas</t>
    </r>
    <r>
      <rPr>
        <sz val="11"/>
        <color theme="1"/>
        <rFont val="Calibri"/>
        <family val="2"/>
        <scheme val="minor"/>
      </rPr>
      <t>.</t>
    </r>
  </si>
  <si>
    <t>Remplir Des Chariots Isothermes</t>
  </si>
  <si>
    <t>llenar carros isotermos</t>
  </si>
  <si>
    <t>Logistique chaud/froid.</t>
  </si>
  <si>
    <r>
      <t>Hot/cold logistics</t>
    </r>
    <r>
      <rPr>
        <sz val="11"/>
        <color theme="1"/>
        <rFont val="Calibri"/>
        <family val="2"/>
        <scheme val="minor"/>
      </rPr>
      <t>.</t>
    </r>
  </si>
  <si>
    <r>
      <t>Logística caliente/fría</t>
    </r>
    <r>
      <rPr>
        <sz val="11"/>
        <color theme="1"/>
        <rFont val="Calibri"/>
        <family val="2"/>
        <scheme val="minor"/>
      </rPr>
      <t>.</t>
    </r>
  </si>
  <si>
    <t>remplissage barq.</t>
  </si>
  <si>
    <t>tray filling (stage)</t>
  </si>
  <si>
    <t>llenado de barquetas</t>
  </si>
  <si>
    <t>remplissage des chariots isothermes</t>
  </si>
  <si>
    <t>insulated trolley loading</t>
  </si>
  <si>
    <t>llenado de carros isotermos</t>
  </si>
  <si>
    <t>Remuer</t>
  </si>
  <si>
    <t>stir; mix</t>
  </si>
  <si>
    <r>
      <t>remover</t>
    </r>
    <r>
      <rPr>
        <sz val="11"/>
        <color theme="1"/>
        <rFont val="Calibri"/>
        <family val="2"/>
        <scheme val="minor"/>
      </rPr>
      <t>; mezclar</t>
    </r>
  </si>
  <si>
    <t>À la spatule/cuillère, fond sans accrocher.</t>
  </si>
  <si>
    <r>
      <t>Stir/scrape</t>
    </r>
    <r>
      <rPr>
        <sz val="11"/>
        <color theme="1"/>
        <rFont val="Calibri"/>
        <family val="2"/>
        <scheme val="minor"/>
      </rPr>
      <t xml:space="preserve"> to keep from sticking to the bottom.</t>
    </r>
  </si>
  <si>
    <r>
      <t>Remover/raspar</t>
    </r>
    <r>
      <rPr>
        <sz val="11"/>
        <color theme="1"/>
        <rFont val="Calibri"/>
        <family val="2"/>
        <scheme val="minor"/>
      </rPr>
      <t xml:space="preserve"> para que no se pegue al fondo.</t>
    </r>
  </si>
  <si>
    <t>Répartir</t>
  </si>
  <si>
    <t>distribute; divide out</t>
  </si>
  <si>
    <t>repartir / distribuir</t>
  </si>
  <si>
    <t>Sur plaques, en moules, par portions.</t>
  </si>
  <si>
    <r>
      <t xml:space="preserve">On </t>
    </r>
    <r>
      <rPr>
        <b/>
        <sz val="11"/>
        <color theme="1"/>
        <rFont val="Calibri"/>
        <family val="2"/>
        <scheme val="minor"/>
      </rPr>
      <t>sheet trays</t>
    </r>
    <r>
      <rPr>
        <sz val="11"/>
        <color theme="1"/>
        <rFont val="Calibri"/>
        <family val="2"/>
        <scheme val="minor"/>
      </rPr>
      <t xml:space="preserve">, in </t>
    </r>
    <r>
      <rPr>
        <b/>
        <sz val="11"/>
        <color theme="1"/>
        <rFont val="Calibri"/>
        <family val="2"/>
        <scheme val="minor"/>
      </rPr>
      <t>molds</t>
    </r>
    <r>
      <rPr>
        <sz val="11"/>
        <color theme="1"/>
        <rFont val="Calibri"/>
        <family val="2"/>
        <scheme val="minor"/>
      </rPr>
      <t xml:space="preserve">, by </t>
    </r>
    <r>
      <rPr>
        <b/>
        <sz val="11"/>
        <color theme="1"/>
        <rFont val="Calibri"/>
        <family val="2"/>
        <scheme val="minor"/>
      </rPr>
      <t>portions</t>
    </r>
    <r>
      <rPr>
        <sz val="11"/>
        <color theme="1"/>
        <rFont val="Calibri"/>
        <family val="2"/>
        <scheme val="minor"/>
      </rPr>
      <t>.</t>
    </r>
  </si>
  <si>
    <r>
      <t xml:space="preserve">En </t>
    </r>
    <r>
      <rPr>
        <b/>
        <sz val="11"/>
        <color theme="1"/>
        <rFont val="Calibri"/>
        <family val="2"/>
        <scheme val="minor"/>
      </rPr>
      <t>bandejas</t>
    </r>
    <r>
      <rPr>
        <sz val="11"/>
        <color theme="1"/>
        <rFont val="Calibri"/>
        <family val="2"/>
        <scheme val="minor"/>
      </rPr>
      <t xml:space="preserve">, en </t>
    </r>
    <r>
      <rPr>
        <b/>
        <sz val="11"/>
        <color theme="1"/>
        <rFont val="Calibri"/>
        <family val="2"/>
        <scheme val="minor"/>
      </rPr>
      <t>moldes</t>
    </r>
    <r>
      <rPr>
        <sz val="11"/>
        <color theme="1"/>
        <rFont val="Calibri"/>
        <family val="2"/>
        <scheme val="minor"/>
      </rPr>
      <t xml:space="preserve">, por </t>
    </r>
    <r>
      <rPr>
        <b/>
        <sz val="11"/>
        <color theme="1"/>
        <rFont val="Calibri"/>
        <family val="2"/>
        <scheme val="minor"/>
      </rPr>
      <t>porciones</t>
    </r>
    <r>
      <rPr>
        <sz val="11"/>
        <color theme="1"/>
        <rFont val="Calibri"/>
        <family val="2"/>
        <scheme val="minor"/>
      </rPr>
      <t>.</t>
    </r>
  </si>
  <si>
    <t>repartition</t>
  </si>
  <si>
    <t>distribution (layout)</t>
  </si>
  <si>
    <t>reparto / distribución</t>
  </si>
  <si>
    <t>Plan de répartition en bacs/assiettes.</t>
  </si>
  <si>
    <r>
      <t>Allocation/plating plan</t>
    </r>
    <r>
      <rPr>
        <sz val="11"/>
        <color theme="1"/>
        <rFont val="Calibri"/>
        <family val="2"/>
        <scheme val="minor"/>
      </rPr>
      <t xml:space="preserve"> by bins/plates.</t>
    </r>
  </si>
  <si>
    <r>
      <t>Plan de reparto/emplatado</t>
    </r>
    <r>
      <rPr>
        <sz val="11"/>
        <color theme="1"/>
        <rFont val="Calibri"/>
        <family val="2"/>
        <scheme val="minor"/>
      </rPr>
      <t xml:space="preserve"> por cubetas/platos.</t>
    </r>
  </si>
  <si>
    <t>Repasser</t>
  </si>
  <si>
    <r>
      <t xml:space="preserve">pass again; </t>
    </r>
    <r>
      <rPr>
        <b/>
        <sz val="11"/>
        <color theme="1"/>
        <rFont val="Calibri"/>
        <family val="2"/>
        <scheme val="minor"/>
      </rPr>
      <t>return to oven/pan</t>
    </r>
  </si>
  <si>
    <t>pasar de nuevo / repasar</t>
  </si>
  <si>
    <t>« Repasser à la salamandre / au four ».</t>
  </si>
  <si>
    <r>
      <t>Flash</t>
    </r>
    <r>
      <rPr>
        <sz val="11"/>
        <color theme="1"/>
        <rFont val="Calibri"/>
        <family val="2"/>
        <scheme val="minor"/>
      </rPr>
      <t xml:space="preserve"> under the salamander / in the oven.</t>
    </r>
  </si>
  <si>
    <r>
      <t>Dar un golpe</t>
    </r>
    <r>
      <rPr>
        <sz val="11"/>
        <color theme="1"/>
        <rFont val="Calibri"/>
        <family val="2"/>
        <scheme val="minor"/>
      </rPr>
      <t xml:space="preserve"> de salamandra / de horno.</t>
    </r>
  </si>
  <si>
    <t>Réserver</t>
  </si>
  <si>
    <t>Hold/warm</t>
  </si>
  <si>
    <t>Reservar</t>
  </si>
  <si>
    <t>Mettre en attente (chaud/froid) selon protocole.</t>
  </si>
  <si>
    <t>Hold (hot/cold) per SOP.</t>
  </si>
  <si>
    <t>Reservar (caliente/frío) según POE.</t>
  </si>
  <si>
    <t>Respecter le délai de 2 H</t>
  </si>
  <si>
    <t>respect the 2-hour limit</t>
  </si>
  <si>
    <t>respetar el plazo de 2 h</t>
  </si>
  <si>
    <t>Fenêtre sécurité (refroid./remise en T°/service).</t>
  </si>
  <si>
    <r>
      <t>Safety window</t>
    </r>
    <r>
      <rPr>
        <sz val="11"/>
        <color theme="1"/>
        <rFont val="Calibri"/>
        <family val="2"/>
        <scheme val="minor"/>
      </rPr>
      <t xml:space="preserve"> (cooling/reheat/service timing).</t>
    </r>
  </si>
  <si>
    <r>
      <t>Ventana de seguridad</t>
    </r>
    <r>
      <rPr>
        <sz val="11"/>
        <color theme="1"/>
        <rFont val="Calibri"/>
        <family val="2"/>
        <scheme val="minor"/>
      </rPr>
      <t xml:space="preserve"> (enfriado/recalentado/servicio).</t>
    </r>
  </si>
  <si>
    <t>Retirer</t>
  </si>
  <si>
    <t>remove; take off heat</t>
  </si>
  <si>
    <r>
      <t>retirar</t>
    </r>
    <r>
      <rPr>
        <sz val="11"/>
        <color theme="1"/>
        <rFont val="Calibri"/>
        <family val="2"/>
        <scheme val="minor"/>
      </rPr>
      <t>; apartar del fuego</t>
    </r>
  </si>
  <si>
    <t>Fin de cuisson, décuver, décercler.</t>
  </si>
  <si>
    <r>
      <t xml:space="preserve">End of cooking; </t>
    </r>
    <r>
      <rPr>
        <b/>
        <sz val="11"/>
        <color theme="1"/>
        <rFont val="Calibri"/>
        <family val="2"/>
        <scheme val="minor"/>
      </rPr>
      <t>drain/empty the vat</t>
    </r>
    <r>
      <rPr>
        <sz val="11"/>
        <color theme="1"/>
        <rFont val="Calibri"/>
        <family val="2"/>
        <scheme val="minor"/>
      </rPr>
      <t xml:space="preserve">; </t>
    </r>
    <r>
      <rPr>
        <b/>
        <sz val="11"/>
        <color theme="1"/>
        <rFont val="Calibri"/>
        <family val="2"/>
        <scheme val="minor"/>
      </rPr>
      <t>de-ring/unmold</t>
    </r>
    <r>
      <rPr>
        <sz val="11"/>
        <color theme="1"/>
        <rFont val="Calibri"/>
        <family val="2"/>
        <scheme val="minor"/>
      </rPr>
      <t>.</t>
    </r>
  </si>
  <si>
    <r>
      <t xml:space="preserve">Fin de cocción; </t>
    </r>
    <r>
      <rPr>
        <b/>
        <sz val="11"/>
        <color theme="1"/>
        <rFont val="Calibri"/>
        <family val="2"/>
        <scheme val="minor"/>
      </rPr>
      <t>descu bar/vaciar cuba</t>
    </r>
    <r>
      <rPr>
        <sz val="11"/>
        <color theme="1"/>
        <rFont val="Calibri"/>
        <family val="2"/>
        <scheme val="minor"/>
      </rPr>
      <t xml:space="preserve">; </t>
    </r>
    <r>
      <rPr>
        <b/>
        <sz val="11"/>
        <color theme="1"/>
        <rFont val="Calibri"/>
        <family val="2"/>
        <scheme val="minor"/>
      </rPr>
      <t>desmoldar/quitar aro</t>
    </r>
    <r>
      <rPr>
        <sz val="11"/>
        <color theme="1"/>
        <rFont val="Calibri"/>
        <family val="2"/>
        <scheme val="minor"/>
      </rPr>
      <t>.</t>
    </r>
  </si>
  <si>
    <t>Retomber</t>
  </si>
  <si>
    <t>collapse/deflate</t>
  </si>
  <si>
    <r>
      <t>bajarse</t>
    </r>
    <r>
      <rPr>
        <sz val="11"/>
        <color theme="1"/>
        <rFont val="Calibri"/>
        <family val="2"/>
        <scheme val="minor"/>
      </rPr>
      <t>; colapsar</t>
    </r>
  </si>
  <si>
    <t>Mousse/soufflé/chantilly qui « retombe ».</t>
  </si>
  <si>
    <r>
      <t xml:space="preserve">Foam/soufflé/whipped cream </t>
    </r>
    <r>
      <rPr>
        <b/>
        <sz val="11"/>
        <color theme="1"/>
        <rFont val="Calibri"/>
        <family val="2"/>
        <scheme val="minor"/>
      </rPr>
      <t>collapses/deflates</t>
    </r>
    <r>
      <rPr>
        <sz val="11"/>
        <color theme="1"/>
        <rFont val="Calibri"/>
        <family val="2"/>
        <scheme val="minor"/>
      </rPr>
      <t>.</t>
    </r>
  </si>
  <si>
    <r>
      <t xml:space="preserve">Espuma/soufflé/nata montada </t>
    </r>
    <r>
      <rPr>
        <b/>
        <sz val="11"/>
        <color theme="1"/>
        <rFont val="Calibri"/>
        <family val="2"/>
        <scheme val="minor"/>
      </rPr>
      <t>se baja/colapsa</t>
    </r>
    <r>
      <rPr>
        <sz val="11"/>
        <color theme="1"/>
        <rFont val="Calibri"/>
        <family val="2"/>
        <scheme val="minor"/>
      </rPr>
      <t>.</t>
    </r>
  </si>
  <si>
    <t>retour vers conditionnement</t>
  </si>
  <si>
    <t>return to packaging</t>
  </si>
  <si>
    <t>vuelta a envasado</t>
  </si>
  <si>
    <t>Flux process après étape intermédiaire.</t>
  </si>
  <si>
    <r>
      <t>Process flow</t>
    </r>
    <r>
      <rPr>
        <sz val="11"/>
        <color theme="1"/>
        <rFont val="Calibri"/>
        <family val="2"/>
        <scheme val="minor"/>
      </rPr>
      <t xml:space="preserve"> after an intermediate step.</t>
    </r>
  </si>
  <si>
    <r>
      <t>Flujo de proceso</t>
    </r>
    <r>
      <rPr>
        <sz val="11"/>
        <color theme="1"/>
        <rFont val="Calibri"/>
        <family val="2"/>
        <scheme val="minor"/>
      </rPr>
      <t xml:space="preserve"> tras etapa intermedia.</t>
    </r>
  </si>
  <si>
    <t>Retourner</t>
  </si>
  <si>
    <t>flip; turn over</t>
  </si>
  <si>
    <t>dar la vuelta</t>
  </si>
  <si>
    <t>En cuisson/égouttage/dressage.</t>
  </si>
  <si>
    <r>
      <t xml:space="preserve">During </t>
    </r>
    <r>
      <rPr>
        <b/>
        <sz val="11"/>
        <color theme="1"/>
        <rFont val="Calibri"/>
        <family val="2"/>
        <scheme val="minor"/>
      </rPr>
      <t>cooking/draining/plating</t>
    </r>
    <r>
      <rPr>
        <sz val="11"/>
        <color theme="1"/>
        <rFont val="Calibri"/>
        <family val="2"/>
        <scheme val="minor"/>
      </rPr>
      <t>.</t>
    </r>
  </si>
  <si>
    <r>
      <t xml:space="preserve">En </t>
    </r>
    <r>
      <rPr>
        <b/>
        <sz val="11"/>
        <color theme="1"/>
        <rFont val="Calibri"/>
        <family val="2"/>
        <scheme val="minor"/>
      </rPr>
      <t>cocción/escurrido/emplatado</t>
    </r>
    <r>
      <rPr>
        <sz val="11"/>
        <color theme="1"/>
        <rFont val="Calibri"/>
        <family val="2"/>
        <scheme val="minor"/>
      </rPr>
      <t>.</t>
    </r>
  </si>
  <si>
    <t>Revenir</t>
  </si>
  <si>
    <t>sauté (lightly brown)</t>
  </si>
  <si>
    <t>rehogar / saltear</t>
  </si>
  <si>
    <t>« Faire revenir les oignons » : fondre/dorer léger.</t>
  </si>
  <si>
    <r>
      <t>Sweat/soften</t>
    </r>
    <r>
      <rPr>
        <sz val="11"/>
        <color theme="1"/>
        <rFont val="Calibri"/>
        <family val="2"/>
        <scheme val="minor"/>
      </rPr>
      <t xml:space="preserve"> onions; </t>
    </r>
    <r>
      <rPr>
        <b/>
        <sz val="11"/>
        <color theme="1"/>
        <rFont val="Calibri"/>
        <family val="2"/>
        <scheme val="minor"/>
      </rPr>
      <t>lightly brown</t>
    </r>
    <r>
      <rPr>
        <sz val="11"/>
        <color theme="1"/>
        <rFont val="Calibri"/>
        <family val="2"/>
        <scheme val="minor"/>
      </rPr>
      <t>.</t>
    </r>
  </si>
  <si>
    <r>
      <t>Pochar</t>
    </r>
    <r>
      <rPr>
        <sz val="11"/>
        <color theme="1"/>
        <rFont val="Calibri"/>
        <family val="2"/>
        <scheme val="minor"/>
      </rPr>
      <t xml:space="preserve"> cebollas; </t>
    </r>
    <r>
      <rPr>
        <b/>
        <sz val="11"/>
        <color theme="1"/>
        <rFont val="Calibri"/>
        <family val="2"/>
        <scheme val="minor"/>
      </rPr>
      <t>dorar ligeramente</t>
    </r>
    <r>
      <rPr>
        <sz val="11"/>
        <color theme="1"/>
        <rFont val="Calibri"/>
        <family val="2"/>
        <scheme val="minor"/>
      </rPr>
      <t>.</t>
    </r>
  </si>
  <si>
    <t>Rincer</t>
  </si>
  <si>
    <t>rinse</t>
  </si>
  <si>
    <t>enjuagar</t>
  </si>
  <si>
    <t>À l’eau claire/potable.</t>
  </si>
  <si>
    <r>
      <t xml:space="preserve">In </t>
    </r>
    <r>
      <rPr>
        <b/>
        <sz val="11"/>
        <color theme="1"/>
        <rFont val="Calibri"/>
        <family val="2"/>
        <scheme val="minor"/>
      </rPr>
      <t>clean/potable water</t>
    </r>
    <r>
      <rPr>
        <sz val="11"/>
        <color theme="1"/>
        <rFont val="Calibri"/>
        <family val="2"/>
        <scheme val="minor"/>
      </rPr>
      <t>.</t>
    </r>
  </si>
  <si>
    <r>
      <t xml:space="preserve">En </t>
    </r>
    <r>
      <rPr>
        <b/>
        <sz val="11"/>
        <color theme="1"/>
        <rFont val="Calibri"/>
        <family val="2"/>
        <scheme val="minor"/>
      </rPr>
      <t>agua limpia/potable</t>
    </r>
    <r>
      <rPr>
        <sz val="11"/>
        <color theme="1"/>
        <rFont val="Calibri"/>
        <family val="2"/>
        <scheme val="minor"/>
      </rPr>
      <t>.</t>
    </r>
  </si>
  <si>
    <t>Rioler</t>
  </si>
  <si>
    <t>lattice with strips (pâte)</t>
  </si>
  <si>
    <r>
      <t>enrejillar</t>
    </r>
    <r>
      <rPr>
        <sz val="11"/>
        <color theme="1"/>
        <rFont val="Calibri"/>
        <family val="2"/>
        <scheme val="minor"/>
      </rPr>
      <t xml:space="preserve"> (con tiras)</t>
    </r>
  </si>
  <si>
    <t>Décor de tourte/pâté en croûte.</t>
  </si>
  <si>
    <r>
      <t xml:space="preserve">Decorative </t>
    </r>
    <r>
      <rPr>
        <b/>
        <sz val="11"/>
        <color theme="1"/>
        <rFont val="Calibri"/>
        <family val="2"/>
        <scheme val="minor"/>
      </rPr>
      <t>scoring/pattern</t>
    </r>
    <r>
      <rPr>
        <sz val="11"/>
        <color theme="1"/>
        <rFont val="Calibri"/>
        <family val="2"/>
        <scheme val="minor"/>
      </rPr>
      <t xml:space="preserve"> on pie/pâté en croûte.</t>
    </r>
  </si>
  <si>
    <r>
      <t>Decorado/calveado</t>
    </r>
    <r>
      <rPr>
        <sz val="11"/>
        <color theme="1"/>
        <rFont val="Calibri"/>
        <family val="2"/>
        <scheme val="minor"/>
      </rPr>
      <t xml:space="preserve"> en tarta/paté en croûte.</t>
    </r>
  </si>
  <si>
    <t>Rissoler</t>
  </si>
  <si>
    <t>brown until crisp; pan-fry</t>
  </si>
  <si>
    <t>dorar / sofreír hasta dorado</t>
  </si>
  <si>
    <t>Pommes rissolées, viandes en surface croustillante.</t>
  </si>
  <si>
    <r>
      <t>Pan-fried</t>
    </r>
    <r>
      <rPr>
        <sz val="11"/>
        <color theme="1"/>
        <rFont val="Calibri"/>
        <family val="2"/>
        <scheme val="minor"/>
      </rPr>
      <t xml:space="preserve"> potatoes; meats </t>
    </r>
    <r>
      <rPr>
        <b/>
        <sz val="11"/>
        <color theme="1"/>
        <rFont val="Calibri"/>
        <family val="2"/>
        <scheme val="minor"/>
      </rPr>
      <t>browned crisp</t>
    </r>
    <r>
      <rPr>
        <sz val="11"/>
        <color theme="1"/>
        <rFont val="Calibri"/>
        <family val="2"/>
        <scheme val="minor"/>
      </rPr>
      <t>.</t>
    </r>
  </si>
  <si>
    <r>
      <t xml:space="preserve">Patatas </t>
    </r>
    <r>
      <rPr>
        <b/>
        <sz val="11"/>
        <color theme="1"/>
        <rFont val="Calibri"/>
        <family val="2"/>
        <scheme val="minor"/>
      </rPr>
      <t>salteadas/doradas</t>
    </r>
    <r>
      <rPr>
        <sz val="11"/>
        <color theme="1"/>
        <rFont val="Calibri"/>
        <family val="2"/>
        <scheme val="minor"/>
      </rPr>
      <t xml:space="preserve">; carnes </t>
    </r>
    <r>
      <rPr>
        <b/>
        <sz val="11"/>
        <color theme="1"/>
        <rFont val="Calibri"/>
        <family val="2"/>
        <scheme val="minor"/>
      </rPr>
      <t>crujientes por fuera</t>
    </r>
    <r>
      <rPr>
        <sz val="11"/>
        <color theme="1"/>
        <rFont val="Calibri"/>
        <family val="2"/>
        <scheme val="minor"/>
      </rPr>
      <t>.</t>
    </r>
  </si>
  <si>
    <t>Rompre</t>
  </si>
  <si>
    <t>knock back (dough); break</t>
  </si>
  <si>
    <r>
      <t>desgasificar</t>
    </r>
    <r>
      <rPr>
        <sz val="11"/>
        <color theme="1"/>
        <rFont val="Calibri"/>
        <family val="2"/>
        <scheme val="minor"/>
      </rPr>
      <t>; romper</t>
    </r>
  </si>
  <si>
    <t>Dégazer une pâte après pointage.</t>
  </si>
  <si>
    <r>
      <t>Punch down/degass</t>
    </r>
    <r>
      <rPr>
        <sz val="11"/>
        <color theme="1"/>
        <rFont val="Calibri"/>
        <family val="2"/>
        <scheme val="minor"/>
      </rPr>
      <t xml:space="preserve"> dough after bulk proof.</t>
    </r>
  </si>
  <si>
    <r>
      <t>Desgasificar</t>
    </r>
    <r>
      <rPr>
        <sz val="11"/>
        <color theme="1"/>
        <rFont val="Calibri"/>
        <family val="2"/>
        <scheme val="minor"/>
      </rPr>
      <t xml:space="preserve"> la masa tras el primer levado.</t>
    </r>
  </si>
  <si>
    <t>Rôtir</t>
  </si>
  <si>
    <t>roast</t>
  </si>
  <si>
    <t>asar / asar al horno</t>
  </si>
  <si>
    <t>Rôtissoire/four sec, arrosage régulier.</t>
  </si>
  <si>
    <r>
      <t>Dry oven/rotisserie</t>
    </r>
    <r>
      <rPr>
        <sz val="11"/>
        <color theme="1"/>
        <rFont val="Calibri"/>
        <family val="2"/>
        <scheme val="minor"/>
      </rPr>
      <t xml:space="preserve"> with regular </t>
    </r>
    <r>
      <rPr>
        <b/>
        <sz val="11"/>
        <color theme="1"/>
        <rFont val="Calibri"/>
        <family val="2"/>
        <scheme val="minor"/>
      </rPr>
      <t>basting</t>
    </r>
    <r>
      <rPr>
        <sz val="11"/>
        <color theme="1"/>
        <rFont val="Calibri"/>
        <family val="2"/>
        <scheme val="minor"/>
      </rPr>
      <t>.</t>
    </r>
  </si>
  <si>
    <r>
      <t>Horno seco/rotisser</t>
    </r>
    <r>
      <rPr>
        <sz val="11"/>
        <color theme="1"/>
        <rFont val="Calibri"/>
        <family val="2"/>
        <scheme val="minor"/>
      </rPr>
      <t xml:space="preserve"> con </t>
    </r>
    <r>
      <rPr>
        <b/>
        <sz val="11"/>
        <color theme="1"/>
        <rFont val="Calibri"/>
        <family val="2"/>
        <scheme val="minor"/>
      </rPr>
      <t>regado</t>
    </r>
    <r>
      <rPr>
        <sz val="11"/>
        <color theme="1"/>
        <rFont val="Calibri"/>
        <family val="2"/>
        <scheme val="minor"/>
      </rPr>
      <t xml:space="preserve"> regular.</t>
    </r>
  </si>
  <si>
    <t>Rouler</t>
  </si>
  <si>
    <t>roll; roll up</t>
  </si>
  <si>
    <t>rodar / enrollar</t>
  </si>
  <si>
    <t>Abaisser une pâte; rouler un biscuit, un boudin.</t>
  </si>
  <si>
    <r>
      <t>Roll out</t>
    </r>
    <r>
      <rPr>
        <sz val="11"/>
        <color theme="1"/>
        <rFont val="Calibri"/>
        <family val="2"/>
        <scheme val="minor"/>
      </rPr>
      <t xml:space="preserve"> dough; </t>
    </r>
    <r>
      <rPr>
        <b/>
        <sz val="11"/>
        <color theme="1"/>
        <rFont val="Calibri"/>
        <family val="2"/>
        <scheme val="minor"/>
      </rPr>
      <t>roll</t>
    </r>
    <r>
      <rPr>
        <sz val="11"/>
        <color theme="1"/>
        <rFont val="Calibri"/>
        <family val="2"/>
        <scheme val="minor"/>
      </rPr>
      <t xml:space="preserve"> a sponge/roulade/log.</t>
    </r>
  </si>
  <si>
    <r>
      <t>Estirar</t>
    </r>
    <r>
      <rPr>
        <sz val="11"/>
        <color theme="1"/>
        <rFont val="Calibri"/>
        <family val="2"/>
        <scheme val="minor"/>
      </rPr>
      <t xml:space="preserve"> la masa; </t>
    </r>
    <r>
      <rPr>
        <b/>
        <sz val="11"/>
        <color theme="1"/>
        <rFont val="Calibri"/>
        <family val="2"/>
        <scheme val="minor"/>
      </rPr>
      <t>enrollar</t>
    </r>
    <r>
      <rPr>
        <sz val="11"/>
        <color theme="1"/>
        <rFont val="Calibri"/>
        <family val="2"/>
        <scheme val="minor"/>
      </rPr>
      <t xml:space="preserve"> un bizcocho/arrollado/rulo.</t>
    </r>
  </si>
  <si>
    <t>Roussir</t>
  </si>
  <si>
    <t>brown; scorch slightly</t>
  </si>
  <si>
    <t>tostar / dorar</t>
  </si>
  <si>
    <t>Beurre noisette, oignons « roussis ».</t>
  </si>
  <si>
    <r>
      <t>Brown butter</t>
    </r>
    <r>
      <rPr>
        <sz val="11"/>
        <color theme="1"/>
        <rFont val="Calibri"/>
        <family val="2"/>
        <scheme val="minor"/>
      </rPr>
      <t xml:space="preserve">; </t>
    </r>
    <r>
      <rPr>
        <b/>
        <sz val="11"/>
        <color theme="1"/>
        <rFont val="Calibri"/>
        <family val="2"/>
        <scheme val="minor"/>
      </rPr>
      <t>browned</t>
    </r>
    <r>
      <rPr>
        <sz val="11"/>
        <color theme="1"/>
        <rFont val="Calibri"/>
        <family val="2"/>
        <scheme val="minor"/>
      </rPr>
      <t xml:space="preserve"> onions.</t>
    </r>
  </si>
  <si>
    <r>
      <t>Mantequilla avellana</t>
    </r>
    <r>
      <rPr>
        <sz val="11"/>
        <color theme="1"/>
        <rFont val="Calibri"/>
        <family val="2"/>
        <scheme val="minor"/>
      </rPr>
      <t xml:space="preserve">; cebollas </t>
    </r>
    <r>
      <rPr>
        <b/>
        <sz val="11"/>
        <color theme="1"/>
        <rFont val="Calibri"/>
        <family val="2"/>
        <scheme val="minor"/>
      </rPr>
      <t>doradas</t>
    </r>
    <r>
      <rPr>
        <sz val="11"/>
        <color theme="1"/>
        <rFont val="Calibri"/>
        <family val="2"/>
        <scheme val="minor"/>
      </rPr>
      <t>.</t>
    </r>
  </si>
  <si>
    <t>Sabler</t>
  </si>
  <si>
    <t>rub in (to sandy texture); cut in (US)</t>
  </si>
  <si>
    <r>
      <t>arenar</t>
    </r>
    <r>
      <rPr>
        <sz val="11"/>
        <color theme="1"/>
        <rFont val="Calibri"/>
        <family val="2"/>
        <scheme val="minor"/>
      </rPr>
      <t xml:space="preserve"> (mezclar mantequilla+harina hasta “arena”)</t>
    </r>
  </si>
  <si>
    <t>Méthode des pâtes sablées.</t>
  </si>
  <si>
    <t>Shortcrust/sablé method.</t>
  </si>
  <si>
    <t>Método de masa sablé/masa quebrada.</t>
  </si>
  <si>
    <t>Saigner</t>
  </si>
  <si>
    <r>
      <t xml:space="preserve">bleed (animal/fish); serve </t>
    </r>
    <r>
      <rPr>
        <b/>
        <sz val="11"/>
        <color theme="1"/>
        <rFont val="Calibri"/>
        <family val="2"/>
        <scheme val="minor"/>
      </rPr>
      <t>rare</t>
    </r>
    <r>
      <rPr>
        <sz val="11"/>
        <color theme="1"/>
        <rFont val="Calibri"/>
        <family val="2"/>
        <scheme val="minor"/>
      </rPr>
      <t xml:space="preserve"> (doneness)</t>
    </r>
  </si>
  <si>
    <r>
      <t>desangrar</t>
    </r>
    <r>
      <rPr>
        <sz val="11"/>
        <color theme="1"/>
        <rFont val="Calibri"/>
        <family val="2"/>
        <scheme val="minor"/>
      </rPr>
      <t xml:space="preserve">; </t>
    </r>
    <r>
      <rPr>
        <b/>
        <sz val="11"/>
        <color theme="1"/>
        <rFont val="Calibri"/>
        <family val="2"/>
        <scheme val="minor"/>
      </rPr>
      <t>poco hecho</t>
    </r>
    <r>
      <rPr>
        <sz val="11"/>
        <color theme="1"/>
        <rFont val="Calibri"/>
        <family val="2"/>
        <scheme val="minor"/>
      </rPr>
      <t xml:space="preserve"> (punto “sangrante”)</t>
    </r>
  </si>
  <si>
    <t>Abattage/poisson ; cuisson viande « saignant ».</t>
  </si>
  <si>
    <t>Slaughter/processing of fish; meat cooked rare.</t>
  </si>
  <si>
    <r>
      <t xml:space="preserve">Sacrificio/procesado de pescado; carne al punto </t>
    </r>
    <r>
      <rPr>
        <b/>
        <sz val="11"/>
        <color theme="1"/>
        <rFont val="Calibri"/>
        <family val="2"/>
        <scheme val="minor"/>
      </rPr>
      <t>poco hecha</t>
    </r>
    <r>
      <rPr>
        <sz val="11"/>
        <color theme="1"/>
        <rFont val="Calibri"/>
        <family val="2"/>
        <scheme val="minor"/>
      </rPr>
      <t>.</t>
    </r>
  </si>
  <si>
    <t>Saisir</t>
  </si>
  <si>
    <t>sear (hot &amp; quick)</t>
  </si>
  <si>
    <r>
      <t>sellar / marcar</t>
    </r>
    <r>
      <rPr>
        <sz val="11"/>
        <color theme="1"/>
        <rFont val="Calibri"/>
        <family val="2"/>
        <scheme val="minor"/>
      </rPr>
      <t xml:space="preserve"> a fuego fuerte</t>
    </r>
  </si>
  <si>
    <t>Colorer surface sans cuire à cœur.</t>
  </si>
  <si>
    <t>Brown the surface without cooking through.</t>
  </si>
  <si>
    <t>Dorar la superficie sin cocinar al centro.</t>
  </si>
  <si>
    <t>Saler</t>
  </si>
  <si>
    <t>Salt</t>
  </si>
  <si>
    <t>Salar</t>
  </si>
  <si>
    <t>Salage progressif; tenir compte des réductions.</t>
  </si>
  <si>
    <t>Season with salt progressively; consider reductions.</t>
  </si>
  <si>
    <t>Salar gradualmente; considerar reducciones.</t>
  </si>
  <si>
    <t>Sangler</t>
  </si>
  <si>
    <t>churn/freeze (ice cream); pack in ice-salt</t>
  </si>
  <si>
    <r>
      <t>mantecar / helar</t>
    </r>
    <r>
      <rPr>
        <sz val="11"/>
        <color theme="1"/>
        <rFont val="Calibri"/>
        <family val="2"/>
        <scheme val="minor"/>
      </rPr>
      <t>; enterrar en sal-hielo</t>
    </r>
  </si>
  <si>
    <t>Glacerie : prise en turbine/à l’ancienne.</t>
  </si>
  <si>
    <t>Ice cream: churn in a batch freezer / by hand (traditional).</t>
  </si>
  <si>
    <t>Heladería: mantecar en turbina / a la antigua (manual).</t>
  </si>
  <si>
    <t>Saumurer</t>
  </si>
  <si>
    <t>brine</t>
  </si>
  <si>
    <t>salmuera / poner en salmuera</t>
  </si>
  <si>
    <t>Solution salée pour assaisonner/attendrir.</t>
  </si>
  <si>
    <t>Saline brine to season/tenderize.</t>
  </si>
  <si>
    <t>Salmuera para sazonar/ablandar.</t>
  </si>
  <si>
    <t>Saupoudrer</t>
  </si>
  <si>
    <t>Dust/Sprinkle</t>
  </si>
  <si>
    <t>Espolvorear</t>
  </si>
  <si>
    <t>Couches fines et régulières; tamis si poudre fine.</t>
  </si>
  <si>
    <t>Light, even dusting; sieve for fine powders.</t>
  </si>
  <si>
    <t>Espolvoreo fino y uniforme; tamiz si es polvo fino.</t>
  </si>
  <si>
    <t>Sauter</t>
  </si>
  <si>
    <t>Sauté</t>
  </si>
  <si>
    <t>Saltear</t>
  </si>
  <si>
    <t>Feu vif; petite quantité; mouvement constant.</t>
  </si>
  <si>
    <t>High heat; small quantity; constant movement.</t>
  </si>
  <si>
    <t>Fuego fuerte; poca carga; mover continuo.</t>
  </si>
  <si>
    <t>Sélectionner</t>
  </si>
  <si>
    <t>Select</t>
  </si>
  <si>
    <t>Seleccionar</t>
  </si>
  <si>
    <t>Choisir l’outil adapté (taille/matière/usage).</t>
  </si>
  <si>
    <t>Choose the right tool (size/material/use).</t>
  </si>
  <si>
    <t>Elegir la herramienta adecuada (tamaño/material/uso).</t>
  </si>
  <si>
    <t>Serrer</t>
  </si>
  <si>
    <t>tighten; whip to stiff peaks; pack tightly</t>
  </si>
  <si>
    <t>apretar / montar a punto firme</t>
  </si>
  <si>
    <t>« Blancs serrés » (sucre) ; tasser en moule/bac.</t>
  </si>
  <si>
    <t>“Tight” egg whites (stabilized with sugar); pack/press into mold or tray.</t>
  </si>
  <si>
    <t>Claras “firmes” (estabilizadas con azúcar); compactar/prensar en molde o cubeta.</t>
  </si>
  <si>
    <t>Servir</t>
  </si>
  <si>
    <t>Serve</t>
  </si>
  <si>
    <t>Température et dressage conformes; envoi rapide.</t>
  </si>
  <si>
    <t>Correct temp &amp; plating; send promptly.</t>
  </si>
  <si>
    <t>Temperatura y emplatado correctos; salida rápida.</t>
  </si>
  <si>
    <t>Singer</t>
  </si>
  <si>
    <t>dust with flour (to thicken)</t>
  </si>
  <si>
    <r>
      <t>espolvorear con harina</t>
    </r>
    <r>
      <rPr>
        <sz val="11"/>
        <color theme="1"/>
        <rFont val="Calibri"/>
        <family val="2"/>
        <scheme val="minor"/>
      </rPr>
      <t xml:space="preserve"> (para ligar)</t>
    </r>
  </si>
  <si>
    <t>Fariner matières grasses avant mouiller.</t>
  </si>
  <si>
    <t>Make a roux: cook fat with flour before adding liquid.</t>
  </si>
  <si>
    <t>Hacer un roux: cocer grasa con harina antes de añadir líquido.</t>
  </si>
  <si>
    <t>Siroter</t>
  </si>
  <si>
    <t>sip slowly</t>
  </si>
  <si>
    <t>sorber / tomar a sorbos</t>
  </si>
  <si>
    <t>Boissons/cocktails.</t>
  </si>
  <si>
    <t>Beverages/cocktails.</t>
  </si>
  <si>
    <t>Bebidas/cócteles.</t>
  </si>
  <si>
    <t>Snacker</t>
  </si>
  <si>
    <t>quick-sear on a griddle/plancha</t>
  </si>
  <si>
    <t>marcar a la plancha (rápido)</t>
  </si>
  <si>
    <t>Aller-retour vif, sans surcuire.</t>
  </si>
  <si>
    <t>Quick sear on both sides without overcooking.</t>
  </si>
  <si>
    <t>Vuelta y vuelta fuerte, sin sobrecocer.</t>
  </si>
  <si>
    <t>sondage de température</t>
  </si>
  <si>
    <t>temperature probing (step)</t>
  </si>
  <si>
    <t>sondeo / toma de temperatura</t>
  </si>
  <si>
    <t>Étape HACCP avec thermomètre sonde.</t>
  </si>
  <si>
    <t>HACCP step with probe thermometer.</t>
  </si>
  <si>
    <t>Etapa APPCC con termómetro sonda.</t>
  </si>
  <si>
    <t>Sonder (à cœur)</t>
  </si>
  <si>
    <t>Probe (core)</t>
  </si>
  <si>
    <t>Sondear (al corazón)</t>
  </si>
  <si>
    <t>Pointe au centre; nettoyer/ désinfecter la sonde.</t>
  </si>
  <si>
    <t>Probe at core; clean/sanitize probe.</t>
  </si>
  <si>
    <t>Sonda al corazón; limpiar/desinfectar la sonda.</t>
  </si>
  <si>
    <t>Sonder Cuisson</t>
  </si>
  <si>
    <t>probe for doneness</t>
  </si>
  <si>
    <t>sondear la cocción</t>
  </si>
  <si>
    <t>Vérifier cuisson à cœur.</t>
  </si>
  <si>
    <t>Check core doneness/temperature.</t>
  </si>
  <si>
    <t>Verificar cocción/temperatura al centro.</t>
  </si>
  <si>
    <t>Sonder Température</t>
  </si>
  <si>
    <t>take/measure temperature</t>
  </si>
  <si>
    <t>medir la temperatura</t>
  </si>
  <si>
    <t>Relevé de T° (entrée/sortie/holding).</t>
  </si>
  <si>
    <t>Temperature log (in/out/holding).</t>
  </si>
  <si>
    <t>Registro de T° (entrada/salida/mantenimiento).</t>
  </si>
  <si>
    <t>sortie</t>
  </si>
  <si>
    <t>output/dispatch; removal (from oven/line)</t>
  </si>
  <si>
    <t>salida / expedición; salida del horno</t>
  </si>
  <si>
    <t>Étape générique : défournement, sortie de ligne, expédition.</t>
  </si>
  <si>
    <t>Generic step: out of oven, off the line, shipping.</t>
  </si>
  <si>
    <t>Etapa genérica: deshornado, salida de línea, expedición.</t>
  </si>
  <si>
    <t>Sortir</t>
  </si>
  <si>
    <t>take out; remove</t>
  </si>
  <si>
    <t>sacar / retirar</t>
  </si>
  <si>
    <t>D’un four, d’un moule, d’une cellule.</t>
  </si>
  <si>
    <t>From an oven, a mold, a blast chiller.</t>
  </si>
  <si>
    <t>De un horno, un molde, una célula de abatimiento.</t>
  </si>
  <si>
    <t>Stériliser</t>
  </si>
  <si>
    <t>sterilize</t>
  </si>
  <si>
    <t>esterilizar</t>
  </si>
  <si>
    <t>Traitement thermique ≥ 100 °C / autoclave ; ou matériel.</t>
  </si>
  <si>
    <t>Heat treatment ≥ 100 °C / retort; or the sterilizer unit itself.</t>
  </si>
  <si>
    <t>Tratamiento térmico ≥ 100 °C / autoclave; o el equipo esterilizador.</t>
  </si>
  <si>
    <t>stockage</t>
  </si>
  <si>
    <t>storage (stage)</t>
  </si>
  <si>
    <t>almacenamiento</t>
  </si>
  <si>
    <t>Nom d’étape/zone.</t>
  </si>
  <si>
    <t>Step/area name.</t>
  </si>
  <si>
    <t>Nombre de etapa/zona.</t>
  </si>
  <si>
    <t>Stocker (chambre froide)</t>
  </si>
  <si>
    <t>Store (cold room)</t>
  </si>
  <si>
    <t>Almacenar</t>
  </si>
  <si>
    <t>Zone dédiée, FIFO/FEFO, couvercle/film.</t>
  </si>
  <si>
    <t>Dedicated zone, FIFO/FEFO, covered.</t>
  </si>
  <si>
    <t>Zona dedicada, FIFO/FEFO, tapado.</t>
  </si>
  <si>
    <t>Suer</t>
  </si>
  <si>
    <t>sweat (without browning)</t>
  </si>
  <si>
    <r>
      <t>rehogar/sudar</t>
    </r>
    <r>
      <rPr>
        <sz val="11"/>
        <color theme="1"/>
        <rFont val="Calibri"/>
        <family val="2"/>
        <scheme val="minor"/>
      </rPr>
      <t xml:space="preserve"> (sin dorar)</t>
    </r>
  </si>
  <si>
    <t>Légumes à feu doux avec matière grasse.</t>
  </si>
  <si>
    <t>Sweat vegetables gently in fat.</t>
  </si>
  <si>
    <t>Pochar/sudar verduras a fuego suave con grasa.</t>
  </si>
  <si>
    <t>Surgeler</t>
  </si>
  <si>
    <t>blast-freeze / deep-freeze</t>
  </si>
  <si>
    <t>ultracongelar / abatir a congelación</t>
  </si>
  <si>
    <t>Passage en cellule de surgélation (≤ −18 °C au cœur).</t>
  </si>
  <si>
    <t>Blast-freeze to ≤ −18 °C at the core.</t>
  </si>
  <si>
    <t>Pasar por abatidor de congelación (≤ −18 °C en el centro).</t>
  </si>
  <si>
    <t>Tabler (chocolat)</t>
  </si>
  <si>
    <t>table/temper on marble</t>
  </si>
  <si>
    <t>atemperar sobre mármol</t>
  </si>
  <si>
    <t>Méthode de tempérage : étaler/refroidir puis réunir.</t>
  </si>
  <si>
    <t>Tempering method: spread/cool, then recombine.</t>
  </si>
  <si>
    <t>Método de atemperado: extender/enfriar y luego reunir.</t>
  </si>
  <si>
    <t>taillage</t>
  </si>
  <si>
    <t>cutting style/cut size</t>
  </si>
  <si>
    <t>corte/tamaño de corte</t>
  </si>
  <si>
    <t>Ex. brunoise, julienne, bâtonnets, mirepoix.</t>
  </si>
  <si>
    <t>E.g., brunoise, julienne, batons, mirepoix.</t>
  </si>
  <si>
    <t>P. ej., brunoise, juliana, bastones, mirepoix.</t>
  </si>
  <si>
    <t>Tailler</t>
  </si>
  <si>
    <t>cut; trim; cut to size</t>
  </si>
  <si>
    <t>cortar; recortar</t>
  </si>
  <si>
    <t>Préciser le taillage (en dés, en sifflets, etc.).</t>
  </si>
  <si>
    <t>Specify the cut (diced, oblique cuts, etc.).</t>
  </si>
  <si>
    <t>Precisar el corte (en dados, en sifletes, etc.).</t>
  </si>
  <si>
    <t>Tamiser</t>
  </si>
  <si>
    <t>sift</t>
  </si>
  <si>
    <t>tamizar</t>
  </si>
  <si>
    <t>Farine, sucre glace, poudre d’amande/cacao.</t>
  </si>
  <si>
    <t>Dust with flour, icing sugar, almond/cocoa powder.</t>
  </si>
  <si>
    <t>Espolvorear con harina, azúcar glas, polvo de almendra/cacao.</t>
  </si>
  <si>
    <t>Tamponner</t>
  </si>
  <si>
    <t>blot; pat dry</t>
  </si>
  <si>
    <t>secar con papel; tamponar</t>
  </si>
  <si>
    <t>Éponger avec papier absorbant (viandes, fritures).</t>
  </si>
  <si>
    <t>Blot/drain on paper towels (meats, fried items).</t>
  </si>
  <si>
    <t>Escurrir/secar con papel absorbente (carnes, fritos).</t>
  </si>
  <si>
    <t>Tapisser</t>
  </si>
  <si>
    <t>line/cover (a mold/wall)</t>
  </si>
  <si>
    <t>forrar; tapizar</t>
  </si>
  <si>
    <t>Biscuit, film, lard, gelée, feuilles de salade…</t>
  </si>
  <si>
    <t>Line/cover with sponge, film, bacon, jelly, lettuce leaves, etc.</t>
  </si>
  <si>
    <t>Forrar/cubrir con bizcocho, film, tocino, gelatina, hojas de lechuga…</t>
  </si>
  <si>
    <t>Terminer</t>
  </si>
  <si>
    <t>finish; complete</t>
  </si>
  <si>
    <t>terminar; acabar</t>
  </si>
  <si>
    <t>Finition d’un plat, d’un poste.</t>
  </si>
  <si>
    <t>Finishing step for a dish/station.</t>
  </si>
  <si>
    <t>Acabado de un plato/puesto.</t>
  </si>
  <si>
    <t>tester</t>
  </si>
  <si>
    <t>test; try out; validate</t>
  </si>
  <si>
    <r>
      <t>probar</t>
    </r>
    <r>
      <rPr>
        <sz val="11"/>
        <color theme="1"/>
        <rFont val="Calibri"/>
        <family val="2"/>
        <scheme val="minor"/>
      </rPr>
      <t xml:space="preserve">; </t>
    </r>
    <r>
      <rPr>
        <b/>
        <sz val="11"/>
        <color theme="1"/>
        <rFont val="Calibri"/>
        <family val="2"/>
        <scheme val="minor"/>
      </rPr>
      <t>ensayar</t>
    </r>
    <r>
      <rPr>
        <sz val="11"/>
        <color theme="1"/>
        <rFont val="Calibri"/>
        <family val="2"/>
        <scheme val="minor"/>
      </rPr>
      <t>; validar</t>
    </r>
  </si>
  <si>
    <t>Essais recette/process/machine; définir protocole (critères, échantillonnage, T°, temps) et consigner les résultats.</t>
  </si>
  <si>
    <t>Recipe/process/machine tests; define a protocol (criteria, sampling, temp, time) and log the results.</t>
  </si>
  <si>
    <t>Pruebas de receta/proceso/máquina; definir un protocolo (criterios, muestreo, T°, tiempo) y registrar los resultados.</t>
  </si>
  <si>
    <t>Tomber (les légumes)</t>
  </si>
  <si>
    <t>cook down/wilt (in fat)</t>
  </si>
  <si>
    <t>rehogar hasta ablandar</t>
  </si>
  <si>
    <t>Faire “tomber” épinards/oignons sans coloration.</t>
  </si>
  <si>
    <t>Sweat down spinach/onions without browning.</t>
  </si>
  <si>
    <t>Pochar/bajar espinacas/cebollas sin dorar.</t>
  </si>
  <si>
    <t>Torréfier</t>
  </si>
  <si>
    <t>toast/roast to develop aroma</t>
  </si>
  <si>
    <t>torrar; tostar</t>
  </si>
  <si>
    <t>Fruits secs, épices, farines, beurre noisette.</t>
  </si>
  <si>
    <t>Toast nuts, spices, flours; brown butter.</t>
  </si>
  <si>
    <t>Tostar frutos secos, especias, harinas; hacer mantequilla avellana.</t>
  </si>
  <si>
    <t>Tourer (feuilletage)</t>
  </si>
  <si>
    <t>laminate (give turns)</t>
  </si>
  <si>
    <t>laminar/da r vueltas</t>
  </si>
  <si>
    <t>Pâte + beurre : tours simples/doubles, repos.</t>
  </si>
  <si>
    <t>Dough + butter: single/double turns, resting.</t>
  </si>
  <si>
    <t>Masa + mantequilla: vueltas simples/dobles, reposo.</t>
  </si>
  <si>
    <t>Tourner (en cuisson)</t>
  </si>
  <si>
    <t>turn over/flip</t>
  </si>
  <si>
    <t>Retourner une pièce à la poêle/plancha.</t>
  </si>
  <si>
    <t>Turn/flip the item in the pan/plancha.</t>
  </si>
  <si>
    <t>Dar la vuelta a la pieza en sartén/plancha.</t>
  </si>
  <si>
    <t>Tourner (légumes)</t>
  </si>
  <si>
    <t>turn (shape into barrels)</t>
  </si>
  <si>
    <r>
      <t>tornear</t>
    </r>
    <r>
      <rPr>
        <sz val="11"/>
        <color theme="1"/>
        <rFont val="Calibri"/>
        <family val="2"/>
        <scheme val="minor"/>
      </rPr>
      <t xml:space="preserve"> (verduras)</t>
    </r>
  </si>
  <si>
    <t>Carottes/pommes de terre « tournées ».</t>
  </si>
  <si>
    <t>Turned carrots/potatoes (tourner).</t>
  </si>
  <si>
    <t>Verduras « torneadas » (zanahorias/patatas).</t>
  </si>
  <si>
    <t>tranchage</t>
  </si>
  <si>
    <t>slicing (stage)</t>
  </si>
  <si>
    <t>rebanado/corte en lonchas</t>
  </si>
  <si>
    <t>Étape machine/manuel (charcut., pain, fromages).</t>
  </si>
  <si>
    <t>Machine/manual step (charcuterie, bread, cheeses).</t>
  </si>
  <si>
    <t>Etapa a máquina/manual (charcutería, pan, quesos).</t>
  </si>
  <si>
    <t>Trancher</t>
  </si>
  <si>
    <t>slice; carve</t>
  </si>
  <si>
    <t>rebanar; trinchar</t>
  </si>
  <si>
    <t>Viandes rôties, charcuterie, pains.</t>
  </si>
  <si>
    <t>Roasted meats, charcuterie, breads.</t>
  </si>
  <si>
    <t>Carnes asadas, charcutería, panes.</t>
  </si>
  <si>
    <t>transport</t>
  </si>
  <si>
    <t>transport / shipping</t>
  </si>
  <si>
    <t>transporte</t>
  </si>
  <si>
    <t>Flux interne/externe.</t>
  </si>
  <si>
    <t>Internal/external flow.</t>
  </si>
  <si>
    <t>Flujo interno/externo.</t>
  </si>
  <si>
    <t>transport en bacs inox</t>
  </si>
  <si>
    <t>transport in stainless GN pans</t>
  </si>
  <si>
    <t>transporte en cubetas inox</t>
  </si>
  <si>
    <t>Logistique interne en bacs gastro inox.</t>
  </si>
  <si>
    <t>Internal logistics in stainless GN pans.</t>
  </si>
  <si>
    <t>Logística interna en cubetas GN de acero inoxidable.</t>
  </si>
  <si>
    <t>Transporter</t>
  </si>
  <si>
    <t>transport; carry</t>
  </si>
  <si>
    <t>transportar; llevar</t>
  </si>
  <si>
    <t>Entre postes, vers cellule, vers expédition.</t>
  </si>
  <si>
    <t>Between stations, to the blast chiller, to shipping.</t>
  </si>
  <si>
    <t>Entre puestos, hacia la célula de abatimiento, hacia expediciones.</t>
  </si>
  <si>
    <t>Travailler</t>
  </si>
  <si>
    <t>work (a dough/cream); mix</t>
  </si>
  <si>
    <t>trabajar (masa/crema)</t>
  </si>
  <si>
    <t>À la maryse, au crochet, à la feuille, etc.</t>
  </si>
  <si>
    <t>With a spatula, dough hook, paddle, etc.</t>
  </si>
  <si>
    <t>Con lengua/marisa, gancho, pala, etc.</t>
  </si>
  <si>
    <t>Tremper</t>
  </si>
  <si>
    <t>soak; dip</t>
  </si>
  <si>
    <t>remojar; bañar</t>
  </si>
  <si>
    <t>Biscuits (sirop/chocolat), légumes secs, gélatine.</t>
  </si>
  <si>
    <t>Soak cakes (syrup/chocolate), rehydrate pulses, bloom gelatin.</t>
  </si>
  <si>
    <t>Calar bizcochos (almíbar/chocolate), rehidratar legumbres, hidratar gelatina.</t>
  </si>
  <si>
    <t>trier</t>
  </si>
  <si>
    <t>sort; screen; segregate</t>
  </si>
  <si>
    <r>
      <t>clasificar</t>
    </r>
    <r>
      <rPr>
        <sz val="11"/>
        <color theme="1"/>
        <rFont val="Calibri"/>
        <family val="2"/>
        <scheme val="minor"/>
      </rPr>
      <t xml:space="preserve">; </t>
    </r>
    <r>
      <rPr>
        <b/>
        <sz val="11"/>
        <color theme="1"/>
        <rFont val="Calibri"/>
        <family val="2"/>
        <scheme val="minor"/>
      </rPr>
      <t>tri ar</t>
    </r>
    <r>
      <rPr>
        <sz val="11"/>
        <color theme="1"/>
        <rFont val="Calibri"/>
        <family val="2"/>
        <scheme val="minor"/>
      </rPr>
      <t xml:space="preserve"> / separar</t>
    </r>
  </si>
  <si>
    <t>Tri par calibre/qualité/allergènes/déchets; flux dédiés et bacs identifiés (FIFO/FEFO, déchets/valorisation).</t>
  </si>
  <si>
    <t>Sorting by size/quality/allergens/waste; dedicated flows and labeled bins (FIFO/FEFO, waste/valorization).</t>
  </si>
  <si>
    <t>Clasificación por calibre/calidad/alérgenos/residuos; flujos dedicados y cubetas identificadas (FIFO/FEFO, residuos/valorización).</t>
  </si>
  <si>
    <t>Tronçonner</t>
  </si>
  <si>
    <t>cut into large sections/steaks</t>
  </si>
  <si>
    <t>tronzonar; cortar en trozos gruesos</t>
  </si>
  <si>
    <t>Poisson (tronçons), os à moelle, légumes.</t>
  </si>
  <si>
    <t>Cut into sections: fish, marrow bones, vegetables.</t>
  </si>
  <si>
    <t>Cortar en trozos/anillas: pescado, huesos de tuétano, verduras.</t>
  </si>
  <si>
    <t>Trousser (volaille)</t>
  </si>
  <si>
    <t>truss/tuck legs under</t>
  </si>
  <si>
    <t>bridar/“trousser”</t>
  </si>
  <si>
    <t>Préparer volaille pour cuisson/présentation.</t>
  </si>
  <si>
    <t>Dress/prepare poultry for cooking/presentation.</t>
  </si>
  <si>
    <t>Limpiar/preparar el ave para cocción/presentación.</t>
  </si>
  <si>
    <t>Turbiner</t>
  </si>
  <si>
    <t>churn (ice cream)</t>
  </si>
  <si>
    <t>mantecar; turbinar</t>
  </si>
  <si>
    <t>Prise en turbine jusqu’à la texture voulue.</t>
  </si>
  <si>
    <t>Churn in the batch freezer until desired texture.</t>
  </si>
  <si>
    <t>Mantecar en la turbina hasta la textura deseada.</t>
  </si>
  <si>
    <t>Utiliser</t>
  </si>
  <si>
    <r>
      <t>usar</t>
    </r>
    <r>
      <rPr>
        <sz val="11"/>
        <color theme="1"/>
        <rFont val="Calibri"/>
        <family val="2"/>
        <scheme val="minor"/>
      </rPr>
      <t>; emplear; utilizar</t>
    </r>
  </si>
  <si>
    <t>Verbe générique de fiche process : « utiliser des gants », « use a whisk ».</t>
  </si>
  <si>
    <t>Generic process verb: “use gloves”, “use a whisk.”</t>
  </si>
  <si>
    <t>Verbo genérico en ficha de proceso: «usar guantes», «usar un batidor».</t>
  </si>
  <si>
    <t>Upériser</t>
  </si>
  <si>
    <r>
      <t xml:space="preserve">UHT-treat; ultra-heat treat; </t>
    </r>
    <r>
      <rPr>
        <b/>
        <sz val="11"/>
        <color theme="1"/>
        <rFont val="Calibri"/>
        <family val="2"/>
        <scheme val="minor"/>
      </rPr>
      <t>sterilize at UHT</t>
    </r>
  </si>
  <si>
    <r>
      <t>esterilizar UHT</t>
    </r>
    <r>
      <rPr>
        <sz val="11"/>
        <color theme="1"/>
        <rFont val="Calibri"/>
        <family val="2"/>
        <scheme val="minor"/>
      </rPr>
      <t xml:space="preserve">; </t>
    </r>
    <r>
      <rPr>
        <b/>
        <sz val="11"/>
        <color theme="1"/>
        <rFont val="Calibri"/>
        <family val="2"/>
        <scheme val="minor"/>
      </rPr>
      <t>tratamiento UHT / ultra pasteurizar</t>
    </r>
  </si>
  <si>
    <t>Traitement thermique ultra-haute température (≈135–150 °C quelques secondes) pour obtenir un produit stérile commercial (lait, crèmes, sauces). En ES, on dit surtout esterilizar/tratamiento UHT plutôt que uperizar.</t>
  </si>
  <si>
    <r>
      <t xml:space="preserve">Ultra-high temperature (≈135–150 °C for a few seconds) heat treatment to achieve commercial sterility (milk, creams, sauces) — </t>
    </r>
    <r>
      <rPr>
        <b/>
        <sz val="11"/>
        <color theme="1"/>
        <rFont val="Calibri"/>
        <family val="2"/>
        <scheme val="minor"/>
      </rPr>
      <t>UHT</t>
    </r>
    <r>
      <rPr>
        <sz val="11"/>
        <color theme="1"/>
        <rFont val="Calibri"/>
        <family val="2"/>
        <scheme val="minor"/>
      </rPr>
      <t>.</t>
    </r>
  </si>
  <si>
    <r>
      <t xml:space="preserve">Tratamiento térmico de </t>
    </r>
    <r>
      <rPr>
        <b/>
        <sz val="11"/>
        <color theme="1"/>
        <rFont val="Calibri"/>
        <family val="2"/>
        <scheme val="minor"/>
      </rPr>
      <t>ultra alta temperatura</t>
    </r>
    <r>
      <rPr>
        <sz val="11"/>
        <color theme="1"/>
        <rFont val="Calibri"/>
        <family val="2"/>
        <scheme val="minor"/>
      </rPr>
      <t xml:space="preserve"> (≈135–150 °C durante unos segundos) para lograr esterilidad comercial (leche, cremas, salsas) — </t>
    </r>
    <r>
      <rPr>
        <b/>
        <sz val="11"/>
        <color theme="1"/>
        <rFont val="Calibri"/>
        <family val="2"/>
        <scheme val="minor"/>
      </rPr>
      <t>UHT</t>
    </r>
    <r>
      <rPr>
        <sz val="11"/>
        <color theme="1"/>
        <rFont val="Calibri"/>
        <family val="2"/>
        <scheme val="minor"/>
      </rPr>
      <t xml:space="preserve">; en español se usa </t>
    </r>
    <r>
      <rPr>
        <b/>
        <sz val="11"/>
        <color theme="1"/>
        <rFont val="Calibri"/>
        <family val="2"/>
        <scheme val="minor"/>
      </rPr>
      <t>esterilizar/tratamiento UHT</t>
    </r>
    <r>
      <rPr>
        <sz val="11"/>
        <color theme="1"/>
        <rFont val="Calibri"/>
        <family val="2"/>
        <scheme val="minor"/>
      </rPr>
      <t xml:space="preserve"> más que «uperizar».</t>
    </r>
  </si>
  <si>
    <t>Vanner</t>
  </si>
  <si>
    <t>stir to cool; stir to prevent a skin</t>
  </si>
  <si>
    <r>
      <t>remover/abatir para enfriar</t>
    </r>
    <r>
      <rPr>
        <sz val="11"/>
        <color theme="1"/>
        <rFont val="Calibri"/>
        <family val="2"/>
        <scheme val="minor"/>
      </rPr>
      <t xml:space="preserve"> (evitar costra)</t>
    </r>
  </si>
  <si>
    <t>Pâtisserie/sauces : remuer hors du feu jusqu’à tiédeur pour éviter la peau et lisser.</t>
  </si>
  <si>
    <t>Off the heat, stir until lukewarm to prevent a skin and smooth the texture.</t>
  </si>
  <si>
    <t>Fuera del fuego, remover hasta tibio para evitar la película y alisar la textura.</t>
  </si>
  <si>
    <t>vaporiser</t>
  </si>
  <si>
    <t>spray; mist</t>
  </si>
  <si>
    <r>
      <t>vaporizar</t>
    </r>
    <r>
      <rPr>
        <sz val="11"/>
        <color theme="1"/>
        <rFont val="Calibri"/>
        <family val="2"/>
        <scheme val="minor"/>
      </rPr>
      <t>; pulverizar</t>
    </r>
  </si>
  <si>
    <t>Appliquer une fine couche (eau, huile, sirop, alcool, désinfectant). Indiquer produit, dosage et distance (ex. 20–30 cm).</t>
  </si>
  <si>
    <t>Spray/apply a thin coat (water, oil, syrup, alcohol, disinfectant). Specify product, dosage, and distance (e.g., 20–30 cm).</t>
  </si>
  <si>
    <t>Pulverizar/aplicar una capa fina (agua, aceite, almíbar, alcohol, desinfectante). Indicar producto, dosificación y distancia (p. ej., 20–30 cm).</t>
  </si>
  <si>
    <t>vérifier</t>
  </si>
  <si>
    <t>check; verify; confirm</t>
  </si>
  <si>
    <r>
      <t>verificar</t>
    </r>
    <r>
      <rPr>
        <sz val="11"/>
        <color theme="1"/>
        <rFont val="Calibri"/>
        <family val="2"/>
        <scheme val="minor"/>
      </rPr>
      <t>; comprobar; confirmar</t>
    </r>
  </si>
  <si>
    <t>Contrôle qualité/HACCP : T° cœur, poids, DLC/lot, intégrité emballage, réglages machine. Consigner résultat (trace).</t>
  </si>
  <si>
    <t>Quality/HACCP check: core temp, weight, use-by/lot, package integrity, machine settings. Record the result (traceability).</t>
  </si>
  <si>
    <t>Control de calidad/APPCC: T° al centro, peso, caducidad/lote, integridad del envase, ajustes de máquina. Registrar el resultado (trazabilidad).</t>
  </si>
  <si>
    <t>Vérifier (DLC/T°)</t>
  </si>
  <si>
    <t>Check</t>
  </si>
  <si>
    <t>Verificar</t>
  </si>
  <si>
    <t>Contrôler dates et températures, noter écarts.</t>
  </si>
  <si>
    <t>Check dates and temps; log deviations.</t>
  </si>
  <si>
    <t>Verificar fechas y temperaturas; registrar desvíos.</t>
  </si>
  <si>
    <t>Vérifier la temp.</t>
  </si>
  <si>
    <t>check / take the temperature</t>
  </si>
  <si>
    <t>verificar/medir la temperatura</t>
  </si>
  <si>
    <t>HACCP : sonde cœur, huile de friture, chambre froide, etc.</t>
  </si>
  <si>
    <t>HACCP: probe core temp, frying oil, cold room, etc.</t>
  </si>
  <si>
    <t>APPCC: sondear T° al centro, aceite de fritura, cámara frigorífica, etc.</t>
  </si>
  <si>
    <t>Verser</t>
  </si>
  <si>
    <t>pour; pour in</t>
  </si>
  <si>
    <t>verter; echar</t>
  </si>
  <si>
    <t>Transvaser proprement dans cuve/moule/mixeur.</t>
  </si>
  <si>
    <t>Decant/transfer cleanly into a vat/mold/blender.</t>
  </si>
  <si>
    <t>Trasvasar/verter limpiamente en cuba/molde/licuadora.</t>
  </si>
  <si>
    <t>Videler</t>
  </si>
  <si>
    <t>flute/crimp the edge (folded rim)</t>
  </si>
  <si>
    <t>acordonar / festonear el borde</t>
  </si>
  <si>
    <t>Bord de tarte/tourte : ourlets en vague en repliant la pâte.</t>
  </si>
  <si>
    <t>Crimp the tart/pie edge into wave-like flutes by folding the dough.</t>
  </si>
  <si>
    <t>Festonear el borde de la tarta/empanada con ondulaciones doblando la masa.</t>
  </si>
  <si>
    <t>Voiler</t>
  </si>
  <si>
    <t>veil; lightly coat (with sauce/gel)</t>
  </si>
  <si>
    <t>velar; napar ligeramente</t>
  </si>
  <si>
    <t>Pellicule très fine pour brillance/protection (gelée, sauce, sirop).</t>
  </si>
  <si>
    <t>Apply a very thin glaze/film for shine and protection (jelly, sauce, syrup).</t>
  </si>
  <si>
    <t>Aplicar una capa muy fina para brillo/protección (gelatina, salsa, almíbar).</t>
  </si>
  <si>
    <t>Zester</t>
  </si>
  <si>
    <t>zest; remove citrus zest (with zester/microplane)</t>
  </si>
  <si>
    <r>
      <t>rallar la piel</t>
    </r>
    <r>
      <rPr>
        <sz val="11"/>
        <color theme="1"/>
        <rFont val="Calibri"/>
        <family val="2"/>
        <scheme val="minor"/>
      </rPr>
      <t xml:space="preserve"> (ralladura); sacar tiras finas (sin albedo)</t>
    </r>
  </si>
  <si>
    <t>Zeste très fin au microplane (ralladura) ou longues lanières avec canneleur (tiras). Éviter l’albedo (partie blanche amère).</t>
  </si>
  <si>
    <t>Very fine zest with a microplane, or long strips with a channel knife. Avoid the albedo (bitter white pith).</t>
  </si>
  <si>
    <r>
      <t>Ralladura muy fina con microplane, o tiras largas con canelador (</t>
    </r>
    <r>
      <rPr>
        <i/>
        <sz val="11"/>
        <color theme="1"/>
        <rFont val="Calibri"/>
        <family val="2"/>
        <scheme val="minor"/>
      </rPr>
      <t>channel knife</t>
    </r>
    <r>
      <rPr>
        <sz val="11"/>
        <color theme="1"/>
        <rFont val="Calibri"/>
        <family val="2"/>
        <scheme val="minor"/>
      </rPr>
      <t xml:space="preserve">). Evitar el </t>
    </r>
    <r>
      <rPr>
        <b/>
        <sz val="11"/>
        <color theme="1"/>
        <rFont val="Calibri"/>
        <family val="2"/>
        <scheme val="minor"/>
      </rPr>
      <t>albedo</t>
    </r>
    <r>
      <rPr>
        <sz val="11"/>
        <color theme="1"/>
        <rFont val="Calibri"/>
        <family val="2"/>
        <scheme val="minor"/>
      </rPr>
      <t xml:space="preserve"> (la parte blanca amarga).</t>
    </r>
  </si>
  <si>
    <t>Fin du document cellule &gt;End of document — cell - Fin del documento — celda &gt;</t>
  </si>
  <si>
    <t>Organisation des Recettes (Cuisine, Pâtisserie, Charcuterie)</t>
  </si>
  <si>
    <t>Recipe organization (Cuisine, Pâtisserie, Charcuterie)</t>
  </si>
  <si>
    <t>Organización de Recetas (Cocina, Pastelería, Charcutería)</t>
  </si>
  <si>
    <t>Dernière mise à jour : 21 Octobre 2025</t>
  </si>
  <si>
    <t>Français</t>
  </si>
  <si>
    <t>English</t>
  </si>
  <si>
    <t>Pour masquer les valeurs zéro cliquez sur Fichier - Options avancées et décochez</t>
  </si>
  <si>
    <t>Afficher un Zéro dans les cellules qui ont une valeur nulle</t>
  </si>
  <si>
    <t>Notice utilisateur – Fiches recettes modulaires</t>
  </si>
  <si>
    <t>User Guide – Modular Recipe Sheets</t>
  </si>
  <si>
    <t>Guía de usuario – Fichas de recetas modulares</t>
  </si>
  <si>
    <t>1) À quoi sert ce système ?</t>
  </si>
  <si>
    <t>1) What is this system for?</t>
  </si>
  <si>
    <t>1) Para qué sirve este sistema?</t>
  </si>
  <si>
    <t>Composer rapidement des recettes sur mesure grâce à :</t>
  </si>
  <si>
    <t>Quickly build made-to-measure recipes thanks to:</t>
  </si>
  <si>
    <t>Para componer rápidamente recetas a medida gracias a:</t>
  </si>
  <si>
    <r>
      <t xml:space="preserve">une </t>
    </r>
    <r>
      <rPr>
        <b/>
        <sz val="11"/>
        <color theme="1"/>
        <rFont val="Calibri"/>
        <family val="2"/>
        <scheme val="minor"/>
      </rPr>
      <t>Fiche fixe (préformatée)</t>
    </r>
    <r>
      <rPr>
        <sz val="11"/>
        <color theme="1"/>
        <rFont val="Calibri"/>
        <family val="2"/>
        <scheme val="minor"/>
      </rPr>
      <t xml:space="preserve"> : support principal qui reste en place ;</t>
    </r>
  </si>
  <si>
    <r>
      <t xml:space="preserve">a </t>
    </r>
    <r>
      <rPr>
        <b/>
        <sz val="11"/>
        <color theme="1"/>
        <rFont val="Calibri"/>
        <family val="2"/>
        <scheme val="minor"/>
      </rPr>
      <t>fixed (preformatted) Sheet</t>
    </r>
    <r>
      <rPr>
        <sz val="11"/>
        <color theme="1"/>
        <rFont val="Calibri"/>
        <family val="2"/>
        <scheme val="minor"/>
      </rPr>
      <t>: the main support that stays in place;</t>
    </r>
  </si>
  <si>
    <r>
      <t xml:space="preserve">una </t>
    </r>
    <r>
      <rPr>
        <b/>
        <sz val="11"/>
        <color theme="1"/>
        <rFont val="Calibri"/>
        <family val="2"/>
        <scheme val="minor"/>
      </rPr>
      <t>Ficha fija (preformateada)</t>
    </r>
    <r>
      <rPr>
        <sz val="11"/>
        <color theme="1"/>
        <rFont val="Calibri"/>
        <family val="2"/>
        <scheme val="minor"/>
      </rPr>
      <t>: soporte principal que permanece en su sitio;</t>
    </r>
  </si>
  <si>
    <t>des "Postit"s (parties détachables) : petits blocs Ingrédients</t>
  </si>
  <si>
    <t xml:space="preserve">"Postit" blocks (detachable parts): small Ingredients </t>
  </si>
  <si>
    <t xml:space="preserve">bloques "Postit" (partes desmontables): pequeños bloques Ingredientes </t>
  </si>
  <si>
    <t xml:space="preserve"> '+ Quantités que l’on ajoute/retire pour construire la recette.</t>
  </si>
  <si>
    <t>'+ Quantities chunks you add/remove to build the recipe.</t>
  </si>
  <si>
    <t>'+ Cantidades que se añaden o retiran para construir la receta.</t>
  </si>
  <si>
    <t>2) Les deux éléments</t>
  </si>
  <si>
    <t>2) The two elements</t>
  </si>
  <si>
    <t>2) Los dos elementos</t>
  </si>
  <si>
    <r>
      <t xml:space="preserve">To hide zero values, go to </t>
    </r>
    <r>
      <rPr>
        <b/>
        <sz val="11"/>
        <color theme="1"/>
        <rFont val="Calibri"/>
        <family val="2"/>
        <scheme val="minor"/>
      </rPr>
      <t>File &gt; Options &gt; Advanced</t>
    </r>
    <r>
      <rPr>
        <sz val="11"/>
        <color theme="1"/>
        <rFont val="Calibri"/>
        <family val="2"/>
        <scheme val="minor"/>
      </rPr>
      <t xml:space="preserve">, then uncheck </t>
    </r>
    <r>
      <rPr>
        <b/>
        <sz val="11"/>
        <color theme="1"/>
        <rFont val="Calibri"/>
        <family val="2"/>
        <scheme val="minor"/>
      </rPr>
      <t>Show a zero in cells that have zero value</t>
    </r>
  </si>
  <si>
    <t>A. Fiche fixe (préformatée)</t>
  </si>
  <si>
    <t>A. Fixed (preformatted) Sheet</t>
  </si>
  <si>
    <t>A. Ficha fija (preformateada)</t>
  </si>
  <si>
    <r>
      <t xml:space="preserve">Para ocultar los valores cero, vaya a </t>
    </r>
    <r>
      <rPr>
        <b/>
        <sz val="11"/>
        <color theme="1"/>
        <rFont val="Calibri"/>
        <family val="2"/>
        <scheme val="minor"/>
      </rPr>
      <t>Archivo &gt; Opciones &gt; Avanzadas</t>
    </r>
    <r>
      <rPr>
        <sz val="11"/>
        <color theme="1"/>
        <rFont val="Calibri"/>
        <family val="2"/>
        <scheme val="minor"/>
      </rPr>
      <t xml:space="preserve"> y desmarque </t>
    </r>
    <r>
      <rPr>
        <b/>
        <sz val="11"/>
        <color theme="1"/>
        <rFont val="Calibri"/>
        <family val="2"/>
        <scheme val="minor"/>
      </rPr>
      <t>Mostrar un cero en las celdas que tienen valor cero</t>
    </r>
    <r>
      <rPr>
        <sz val="11"/>
        <color theme="1"/>
        <rFont val="Calibri"/>
        <family val="2"/>
        <scheme val="minor"/>
      </rPr>
      <t>.</t>
    </r>
  </si>
  <si>
    <r>
      <t xml:space="preserve">Rôle : </t>
    </r>
    <r>
      <rPr>
        <b/>
        <sz val="11"/>
        <color theme="1"/>
        <rFont val="Calibri"/>
        <family val="2"/>
        <scheme val="minor"/>
      </rPr>
      <t>page d’assemblage</t>
    </r>
    <r>
      <rPr>
        <sz val="11"/>
        <color theme="1"/>
        <rFont val="Calibri"/>
        <family val="2"/>
        <scheme val="minor"/>
      </rPr>
      <t xml:space="preserve"> de la recette.</t>
    </r>
  </si>
  <si>
    <r>
      <t>Role:</t>
    </r>
    <r>
      <rPr>
        <sz val="11"/>
        <color theme="1"/>
        <rFont val="Calibri"/>
        <family val="2"/>
        <scheme val="minor"/>
      </rPr>
      <t xml:space="preserve"> assembly page for the recipe.</t>
    </r>
  </si>
  <si>
    <r>
      <t>Función:</t>
    </r>
    <r>
      <rPr>
        <sz val="11"/>
        <color theme="1"/>
        <rFont val="Calibri"/>
        <family val="2"/>
        <scheme val="minor"/>
      </rPr>
      <t xml:space="preserve"> página de montaje de la receta.</t>
    </r>
  </si>
  <si>
    <t>Contenu : titres, zones pour "Postit"s (base, garnitures, finitions),</t>
  </si>
  <si>
    <t xml:space="preserve">Contents: headings, areas for "Postit" blocks (base, fillings, finishes), </t>
  </si>
  <si>
    <t>Contenido: títulos, zonas para "Postit" (base, rellenos, terminaciones),</t>
  </si>
  <si>
    <t xml:space="preserve"> info de calcul/production (si prévu par votre modèle).</t>
  </si>
  <si>
    <t>calculation/production info (if provided by your template).</t>
  </si>
  <si>
    <t xml:space="preserve"> información de cálculo/producción (si su plantilla lo prevé).</t>
  </si>
  <si>
    <t>Elle ne bouge pas : on y colle les "Postit"s.</t>
  </si>
  <si>
    <t>It does not move: you stick the "Postit" blocks onto it.</t>
  </si>
  <si>
    <t>No se mueve: ahí se pegan los "Postit".</t>
  </si>
  <si>
    <t>B. "Postit"s (parties détachables)</t>
  </si>
  <si>
    <t>B. "Postit" blocks (detachable parts)</t>
  </si>
  <si>
    <t>B. "Postit" (partes desmontables)</t>
  </si>
  <si>
    <t xml:space="preserve">cliquez sur la première cellule et sélectionnez dans la barre de formule le numéro </t>
  </si>
  <si>
    <t>Click the first cell, then in the formula bar select the number you’re interested in. Choose the font and color you prefer.</t>
  </si>
  <si>
    <t>Contenu :</t>
  </si>
  <si>
    <t>Contents:</t>
  </si>
  <si>
    <t>Contenido:</t>
  </si>
  <si>
    <t xml:space="preserve"> qui vous intéresse choisissez la police de caractères et la couleur qui vous conviennent</t>
  </si>
  <si>
    <t>Haga clic en la primera celda y, en la barra de fórmulas, seleccione el número que le interese. Elija la fuente y el color que prefiera.</t>
  </si>
  <si>
    <t>Liste de denrées (ingrédients)</t>
  </si>
  <si>
    <t>List of food items (ingredients)</t>
  </si>
  <si>
    <t>Lista de géneros/alimentos (ingredientes)</t>
  </si>
  <si>
    <r>
      <t>Quantités précises</t>
    </r>
    <r>
      <rPr>
        <sz val="11"/>
        <color theme="1"/>
        <rFont val="Calibri"/>
        <family val="2"/>
        <scheme val="minor"/>
      </rPr>
      <t xml:space="preserve"> définies par l’auteur</t>
    </r>
  </si>
  <si>
    <t>Precise quantities defined by the author</t>
  </si>
  <si>
    <t>Cantidades precisas definidas por el autor</t>
  </si>
  <si>
    <t>► ◄  ▲  ▼  '@  #  &amp;  %  ± ➕ ➖ ➗ ✖️ ¼  ½  ¾</t>
  </si>
  <si>
    <t>Un "Postit" = un module (ex. : biscuit, crème, sirop, décoration).</t>
  </si>
  <si>
    <t>One "Postit" = one module (e.g., sponge, cream, syrup, decoration).</t>
  </si>
  <si>
    <t>Un "Postit" = un módulo (p. ej., bizcocho, crema, almíbar, decoración).</t>
  </si>
  <si>
    <r>
      <t xml:space="preserve">Actions : </t>
    </r>
    <r>
      <rPr>
        <b/>
        <sz val="11"/>
        <color theme="1"/>
        <rFont val="Calibri"/>
        <family val="2"/>
        <scheme val="minor"/>
      </rPr>
      <t>ajouter, déplacer, remplacer</t>
    </r>
    <r>
      <rPr>
        <sz val="11"/>
        <color theme="1"/>
        <rFont val="Calibri"/>
        <family val="2"/>
        <scheme val="minor"/>
      </rPr>
      <t xml:space="preserve"> pour personnaliser la recette.</t>
    </r>
  </si>
  <si>
    <r>
      <t>Actions:</t>
    </r>
    <r>
      <rPr>
        <sz val="11"/>
        <color theme="1"/>
        <rFont val="Calibri"/>
        <family val="2"/>
        <scheme val="minor"/>
      </rPr>
      <t xml:space="preserve"> add, move, replace to customize the recipe.</t>
    </r>
  </si>
  <si>
    <r>
      <t>Acciones:</t>
    </r>
    <r>
      <rPr>
        <sz val="11"/>
        <color theme="1"/>
        <rFont val="Calibri"/>
        <family val="2"/>
        <scheme val="minor"/>
      </rPr>
      <t xml:space="preserve"> añadir, desplazar, sustituir para personalizar la receta.</t>
    </r>
  </si>
  <si>
    <t>Attention selon version Excel le séparateur de nombre peut être soit une virgule, soit un point; j'ai utilisé le point</t>
  </si>
  <si>
    <t>3) Créer une recette (pas à pas)</t>
  </si>
  <si>
    <t>3) Create a recipe (step by step)</t>
  </si>
  <si>
    <t>3) Crear una receta (paso a paso)</t>
  </si>
  <si>
    <t>donc si une formule n'affiche pas la valeur souhaitée vérifiez bien ces séparateurs</t>
  </si>
  <si>
    <t xml:space="preserve">dans Fichier &gt; Options &gt; Options avancées &gt; Options d'édition </t>
  </si>
  <si>
    <t>1. Choisir la base</t>
  </si>
  <si>
    <t>1. Choose the base</t>
  </si>
  <si>
    <t>1. Elegir la base</t>
  </si>
  <si>
    <t>les séparateurs système sont définis dans le panneau de configuration &gt; Paramètres régionnaux Fchiers &gt;Options &gt; Avancé &gt; Option d'édition</t>
  </si>
  <si>
    <t>Dans le répertoire, copiez le "Postit" Biscuit souhaité (génoise, brownie, dacquoise…).</t>
  </si>
  <si>
    <t xml:space="preserve">Excel Français cocher utiliser des séparateurs système </t>
  </si>
  <si>
    <r>
      <t>Note:</t>
    </r>
    <r>
      <rPr>
        <sz val="11"/>
        <color theme="1"/>
        <rFont val="Calibri"/>
        <family val="2"/>
        <scheme val="minor"/>
      </rPr>
      <t xml:space="preserve"> Depending on your Excel version, the decimal separator may be either a comma or a dot. I used a </t>
    </r>
    <r>
      <rPr>
        <b/>
        <sz val="11"/>
        <color theme="1"/>
        <rFont val="Calibri"/>
        <family val="2"/>
        <scheme val="minor"/>
      </rPr>
      <t>dot</t>
    </r>
    <r>
      <rPr>
        <sz val="11"/>
        <color theme="1"/>
        <rFont val="Calibri"/>
        <family val="2"/>
        <scheme val="minor"/>
      </rPr>
      <t>.</t>
    </r>
  </si>
  <si>
    <t>2. Ajouter les garnitures</t>
  </si>
  <si>
    <t>2. Add the fillings</t>
  </si>
  <si>
    <t>2. Añadir los rellenos</t>
  </si>
  <si>
    <t>So if a formula doesn’t display the expected value, double-check these separators:</t>
  </si>
  <si>
    <t>Sélectionnez un ou deux "Postit"s Crème/Ganache/Compotée.</t>
  </si>
  <si>
    <t>Select one or two Cream/Ganache/Compote "Postit" blocks.</t>
  </si>
  <si>
    <t>Seleccione uno o dos "Postit" Crema/Ganache/Compota.</t>
  </si>
  <si>
    <t>File &gt; Options &gt; Advanced &gt; Editing options</t>
  </si>
  <si>
    <t>Collez-les sous la base.</t>
  </si>
  <si>
    <t>Paste them under the base.</t>
  </si>
  <si>
    <t>Péguelos debajo de la base.</t>
  </si>
  <si>
    <r>
      <t xml:space="preserve">System separators are set in </t>
    </r>
    <r>
      <rPr>
        <b/>
        <sz val="11"/>
        <color theme="1"/>
        <rFont val="Calibri"/>
        <family val="2"/>
        <scheme val="minor"/>
      </rPr>
      <t>Control Panel &gt; Region settings</t>
    </r>
    <r>
      <rPr>
        <sz val="11"/>
        <color theme="1"/>
        <rFont val="Calibri"/>
        <family val="2"/>
        <scheme val="minor"/>
      </rPr>
      <t>.</t>
    </r>
  </si>
  <si>
    <r>
      <t xml:space="preserve">In </t>
    </r>
    <r>
      <rPr>
        <b/>
        <sz val="11"/>
        <color theme="1"/>
        <rFont val="Calibri"/>
        <family val="2"/>
        <scheme val="minor"/>
      </rPr>
      <t>Excel (French UI)</t>
    </r>
    <r>
      <rPr>
        <sz val="11"/>
        <color theme="1"/>
        <rFont val="Calibri"/>
        <family val="2"/>
        <scheme val="minor"/>
      </rPr>
      <t xml:space="preserve">, tick </t>
    </r>
    <r>
      <rPr>
        <b/>
        <sz val="11"/>
        <color theme="1"/>
        <rFont val="Calibri"/>
        <family val="2"/>
        <scheme val="minor"/>
      </rPr>
      <t>Use system separators</t>
    </r>
  </si>
  <si>
    <t>3. Terminer par les finitions</t>
  </si>
  <si>
    <t>3. Finish with the decorations</t>
  </si>
  <si>
    <t>3. Terminar con las terminaciones</t>
  </si>
  <si>
    <t>Ajoutez le "Postit" Décoration (glaçage, fruits, toppings).</t>
  </si>
  <si>
    <t>Add the Decoration "Postit" (glaze, fruit, toppings).</t>
  </si>
  <si>
    <t>Añada el "Postit" Decoración (glaseado, fruta, toppings).</t>
  </si>
  <si>
    <r>
      <t>Atención:</t>
    </r>
    <r>
      <rPr>
        <sz val="11"/>
        <color theme="1"/>
        <rFont val="Calibri"/>
        <family val="2"/>
        <scheme val="minor"/>
      </rPr>
      <t xml:space="preserve"> según la versión de Excel, el separador decimal puede ser </t>
    </r>
    <r>
      <rPr>
        <b/>
        <sz val="11"/>
        <color theme="1"/>
        <rFont val="Calibri"/>
        <family val="2"/>
        <scheme val="minor"/>
      </rPr>
      <t>coma</t>
    </r>
    <r>
      <rPr>
        <sz val="11"/>
        <color theme="1"/>
        <rFont val="Calibri"/>
        <family val="2"/>
        <scheme val="minor"/>
      </rPr>
      <t xml:space="preserve"> o </t>
    </r>
    <r>
      <rPr>
        <b/>
        <sz val="11"/>
        <color theme="1"/>
        <rFont val="Calibri"/>
        <family val="2"/>
        <scheme val="minor"/>
      </rPr>
      <t>punto</t>
    </r>
    <r>
      <rPr>
        <sz val="11"/>
        <color theme="1"/>
        <rFont val="Calibri"/>
        <family val="2"/>
        <scheme val="minor"/>
      </rPr>
      <t xml:space="preserve">. Yo utilicé </t>
    </r>
    <r>
      <rPr>
        <b/>
        <sz val="11"/>
        <color theme="1"/>
        <rFont val="Calibri"/>
        <family val="2"/>
        <scheme val="minor"/>
      </rPr>
      <t>punto</t>
    </r>
    <r>
      <rPr>
        <sz val="11"/>
        <color theme="1"/>
        <rFont val="Calibri"/>
        <family val="2"/>
        <scheme val="minor"/>
      </rPr>
      <t>.</t>
    </r>
  </si>
  <si>
    <t>Si una fórmula no muestra el valor esperado, verifique estos separadores:</t>
  </si>
  <si>
    <t>4. Ajuster</t>
  </si>
  <si>
    <t>4. Adjust</t>
  </si>
  <si>
    <t>4. Ajustar</t>
  </si>
  <si>
    <t>Archivo &gt; Opciones &gt; Avanzadas &gt; Opciones de edición</t>
  </si>
  <si>
    <t>Remplacez un "Postit" pour créer une variante (p. ex. ganache → chantilly).</t>
  </si>
  <si>
    <t>Replace a "Postit" to create a variant (e.g., ganache → chantilly).</t>
  </si>
  <si>
    <t>Sustituya un "Postit" para crear una variante (p. ej., ganache → chantilly).</t>
  </si>
  <si>
    <r>
      <t xml:space="preserve">Los separadores del sistema se definen en </t>
    </r>
    <r>
      <rPr>
        <b/>
        <sz val="11"/>
        <color theme="1"/>
        <rFont val="Calibri"/>
        <family val="2"/>
        <scheme val="minor"/>
      </rPr>
      <t>Panel de control &gt; Configuración regional</t>
    </r>
    <r>
      <rPr>
        <sz val="11"/>
        <color theme="1"/>
        <rFont val="Calibri"/>
        <family val="2"/>
        <scheme val="minor"/>
      </rPr>
      <t>.</t>
    </r>
  </si>
  <si>
    <r>
      <t xml:space="preserve">Modifiez les </t>
    </r>
    <r>
      <rPr>
        <b/>
        <sz val="11"/>
        <color theme="1"/>
        <rFont val="Calibri"/>
        <family val="2"/>
        <scheme val="minor"/>
      </rPr>
      <t>quantités</t>
    </r>
    <r>
      <rPr>
        <sz val="11"/>
        <color theme="1"/>
        <rFont val="Calibri"/>
        <family val="2"/>
        <scheme val="minor"/>
      </rPr>
      <t xml:space="preserve"> si nécessaire (selon le gabarit de production).</t>
    </r>
  </si>
  <si>
    <t>Edit quantities if needed (according to your production scale).</t>
  </si>
  <si>
    <t>Modifique las cantidades si es necesario (según el formato de producción).</t>
  </si>
  <si>
    <r>
      <t xml:space="preserve">En </t>
    </r>
    <r>
      <rPr>
        <b/>
        <sz val="11"/>
        <color theme="1"/>
        <rFont val="Calibri"/>
        <family val="2"/>
        <scheme val="minor"/>
      </rPr>
      <t>Excel (interfaz en francés)</t>
    </r>
    <r>
      <rPr>
        <sz val="11"/>
        <color theme="1"/>
        <rFont val="Calibri"/>
        <family val="2"/>
        <scheme val="minor"/>
      </rPr>
      <t xml:space="preserve">, marque </t>
    </r>
    <r>
      <rPr>
        <b/>
        <sz val="11"/>
        <color theme="1"/>
        <rFont val="Calibri"/>
        <family val="2"/>
        <scheme val="minor"/>
      </rPr>
      <t>Usar separadores del sistema</t>
    </r>
    <r>
      <rPr>
        <sz val="11"/>
        <color theme="1"/>
        <rFont val="Calibri"/>
        <family val="2"/>
        <scheme val="minor"/>
      </rPr>
      <t>.</t>
    </r>
  </si>
  <si>
    <t>Vous pouvez regrouper plusieurs "Postit"s sur la même fiche</t>
  </si>
  <si>
    <t>You can group multiple "Postit" blocks on the same sheet</t>
  </si>
  <si>
    <t xml:space="preserve">Puede agrupar varios "Postit" en la misma ficha </t>
  </si>
  <si>
    <t xml:space="preserve"> pour obtenir une recette complète et lisible.</t>
  </si>
  <si>
    <t xml:space="preserve"> to produce a complete, readable recipe.</t>
  </si>
  <si>
    <t>para obtener una receta completa y legible.</t>
  </si>
  <si>
    <t>4) Exemple express : un gâteau</t>
  </si>
  <si>
    <t>4) Quick example: a cake</t>
  </si>
  <si>
    <t>4) Ejemplo exprés: un pastel</t>
  </si>
  <si>
    <t>Base : "Postit" Biscuit génoise</t>
  </si>
  <si>
    <t>Base: "Postit" Sponge (génoise)</t>
  </si>
  <si>
    <t>Base: "Postit" Bizcocho (génoise)</t>
  </si>
  <si>
    <t>Garniture : "Postit" Crème mousseline + (optionnel) Compotée de fruits</t>
  </si>
  <si>
    <t>Filling: "Postit" Mousseline cream + (optional) fruit compote</t>
  </si>
  <si>
    <t>Relleno: "Postit" Crema muselina + (opcional) compota de fruta</t>
  </si>
  <si>
    <t>Finition : "Postit" Décoration – glaçage miroir + fruits frais</t>
  </si>
  <si>
    <t>Finish: "Postit" Decoration – mirror glaze + fresh fruit</t>
  </si>
  <si>
    <t>Terminación: "Postit" Decoración – glaseado espejo + fruta fresca</t>
  </si>
  <si>
    <t>Résultat : la fiche finale rassemble tous les modules nécessaires au même endroit.</t>
  </si>
  <si>
    <r>
      <t>Result:</t>
    </r>
    <r>
      <rPr>
        <sz val="11"/>
        <color theme="1"/>
        <rFont val="Calibri"/>
        <family val="2"/>
        <scheme val="minor"/>
      </rPr>
      <t xml:space="preserve"> the final sheet gathers all the required modules in one place.</t>
    </r>
  </si>
  <si>
    <r>
      <t>Resultado:</t>
    </r>
    <r>
      <rPr>
        <sz val="11"/>
        <color theme="1"/>
        <rFont val="Calibri"/>
        <family val="2"/>
        <scheme val="minor"/>
      </rPr>
      <t xml:space="preserve"> la ficha final reúne todos los módulos necesarios en un mismo lugar.</t>
    </r>
  </si>
  <si>
    <t xml:space="preserve">Idem pour des recettes de cuisine ou de charcuterie faites des répertoires </t>
  </si>
  <si>
    <t>Same idea for kitchen or charcuterie recipes—use the directories.</t>
  </si>
  <si>
    <t>Lo mismo para recetas de cocina o charcutería: use los directorios.</t>
  </si>
  <si>
    <t>5) Bonnes pratiques</t>
  </si>
  <si>
    <t>5) Best practices</t>
  </si>
  <si>
    <t>5) Buenas prácticas</t>
  </si>
  <si>
    <t>Un module = un "Postit" (clair et réutilisable).</t>
  </si>
  <si>
    <t>One module = one "Postit" (clear and reusable).</t>
  </si>
  <si>
    <t>Un módulo = un "Postit" (claro y reutilizable).</t>
  </si>
  <si>
    <t xml:space="preserve">Nommer clairement les "Postit"s : Biscuit – Dacquoise amande, </t>
  </si>
  <si>
    <t xml:space="preserve">Name "Postit" blocks clearly: Biscuit – Almond dacquoise, </t>
  </si>
  <si>
    <t>Nombrar claramente los "Postit": Bizcocho – Dacquoise de almendra,</t>
  </si>
  <si>
    <t>Crème – Ganache 70%, Décor – Nappage neutre.</t>
  </si>
  <si>
    <t>Cream – 70% ganache, Decor – Neutral glaze.</t>
  </si>
  <si>
    <t xml:space="preserve"> Crema – Ganache 70%, Decoración – Glaseado neutro.</t>
  </si>
  <si>
    <r>
      <t>Standardiser les unités</t>
    </r>
    <r>
      <rPr>
        <sz val="11"/>
        <color theme="1"/>
        <rFont val="Calibri"/>
        <family val="2"/>
        <scheme val="minor"/>
      </rPr>
      <t xml:space="preserve"> (g, kg, L) et les formats de quantités.</t>
    </r>
  </si>
  <si>
    <t>Standardize units (g, kg, L) and quantity formats.</t>
  </si>
  <si>
    <t>Estandarizar unidades (g, kg, L) y formatos de cantidad.</t>
  </si>
  <si>
    <t>Centraliser un répertoire de "Postit"s “validés” pour éviter les doublons.</t>
  </si>
  <si>
    <t>Centralize a directory of validated "Postit" blocks to avoid duplicates.</t>
  </si>
  <si>
    <t>Centralizar un directorio de "Postit" validados para evitar duplicados.</t>
  </si>
  <si>
    <t>Créer des variantes en dupliquant un "Postit" (ex. “Crème pistache – version allégée”).</t>
  </si>
  <si>
    <t>Create variants by duplicating a "Postit" (e.g., “Pistachio cream – light version”).</t>
  </si>
  <si>
    <t>Crear variantes duplicando un "Postit" (p. ej., “Crema de pistacho – versión ligera”).</t>
  </si>
  <si>
    <r>
      <t>Vérifier les totaux</t>
    </r>
    <r>
      <rPr>
        <sz val="11"/>
        <color theme="1"/>
        <rFont val="Calibri"/>
        <family val="2"/>
        <scheme val="minor"/>
      </rPr>
      <t xml:space="preserve"> si votre modèle calcule les quantités ou le coût.</t>
    </r>
  </si>
  <si>
    <t>Check totals if your template calculates quantities or cost.</t>
  </si>
  <si>
    <t>Verificar los totales si su plantilla calcula cantidades o coste.</t>
  </si>
  <si>
    <t>6) Astuces Excel (pratique)</t>
  </si>
  <si>
    <t>6) Handy Excel tips</t>
  </si>
  <si>
    <t>6) Trucos útiles de Excel</t>
  </si>
  <si>
    <t>Dupliquer un "Postit" : clic droit → Copier → Coller (ou Ctrl+C / Ctrl+V).</t>
  </si>
  <si>
    <t>Duplicate a "Postit": right-click → Copy → Paste (or Ctrl+C / Ctrl+V).</t>
  </si>
  <si>
    <t>Duplicar un "Postit": clic derecho → Copiar → Pegar (o Ctrl+C / Ctrl+V).</t>
  </si>
  <si>
    <t>Déplacer un "Postit" : couper/coller (Ctrl+X / Ctrl+V) pour garder la mise en forme.</t>
  </si>
  <si>
    <t>Move a "Postit": Cut/Paste (Ctrl+X / Ctrl+V) to keep formatting.</t>
  </si>
  <si>
    <t>Mover un "Postit": Cortar/Pegar (Ctrl+X / Ctrl+V) para conservar el formato.</t>
  </si>
  <si>
    <r>
      <t>Conserver la mise en forme</t>
    </r>
    <r>
      <rPr>
        <sz val="11"/>
        <color theme="1"/>
        <rFont val="Calibri"/>
        <family val="2"/>
        <scheme val="minor"/>
      </rPr>
      <t xml:space="preserve"> : privilégier </t>
    </r>
    <r>
      <rPr>
        <i/>
        <sz val="11"/>
        <color theme="1"/>
        <rFont val="Calibri"/>
        <family val="2"/>
        <scheme val="minor"/>
      </rPr>
      <t>Collage spécial → Conserver la source</t>
    </r>
    <r>
      <rPr>
        <sz val="11"/>
        <color theme="1"/>
        <rFont val="Calibri"/>
        <family val="2"/>
        <scheme val="minor"/>
      </rPr>
      <t>.</t>
    </r>
  </si>
  <si>
    <r>
      <t>Preserve formatting:</t>
    </r>
    <r>
      <rPr>
        <sz val="11"/>
        <color theme="1"/>
        <rFont val="Calibri"/>
        <family val="2"/>
        <scheme val="minor"/>
      </rPr>
      <t xml:space="preserve"> use Paste Special → Keep Source Formatting.</t>
    </r>
  </si>
  <si>
    <r>
      <t>Conservar el formato:</t>
    </r>
    <r>
      <rPr>
        <sz val="11"/>
        <color theme="1"/>
        <rFont val="Calibri"/>
        <family val="2"/>
        <scheme val="minor"/>
      </rPr>
      <t xml:space="preserve"> usar Pegado especial → Mantener formato de origen.</t>
    </r>
  </si>
  <si>
    <r>
      <t>Impression propre</t>
    </r>
    <r>
      <rPr>
        <sz val="11"/>
        <color theme="1"/>
        <rFont val="Calibri"/>
        <family val="2"/>
        <scheme val="minor"/>
      </rPr>
      <t xml:space="preserve"> : définir une </t>
    </r>
    <r>
      <rPr>
        <b/>
        <sz val="11"/>
        <color theme="1"/>
        <rFont val="Calibri"/>
        <family val="2"/>
        <scheme val="minor"/>
      </rPr>
      <t>zone d’impression</t>
    </r>
    <r>
      <rPr>
        <sz val="11"/>
        <color theme="1"/>
        <rFont val="Calibri"/>
        <family val="2"/>
        <scheme val="minor"/>
      </rPr>
      <t xml:space="preserve"> autour de la fiche fixe.</t>
    </r>
  </si>
  <si>
    <r>
      <t>Clean printout:</t>
    </r>
    <r>
      <rPr>
        <sz val="11"/>
        <color theme="1"/>
        <rFont val="Calibri"/>
        <family val="2"/>
        <scheme val="minor"/>
      </rPr>
      <t xml:space="preserve"> set a print area around the fixed sheet.</t>
    </r>
  </si>
  <si>
    <r>
      <t>Impresión limpia:</t>
    </r>
    <r>
      <rPr>
        <sz val="11"/>
        <color theme="1"/>
        <rFont val="Calibri"/>
        <family val="2"/>
        <scheme val="minor"/>
      </rPr>
      <t xml:space="preserve"> definir un área de impresión alrededor de la ficha fija.</t>
    </r>
  </si>
  <si>
    <r>
      <t>Verrouiller la fiche fixe</t>
    </r>
    <r>
      <rPr>
        <sz val="11"/>
        <color theme="1"/>
        <rFont val="Calibri"/>
        <family val="2"/>
        <scheme val="minor"/>
      </rPr>
      <t xml:space="preserve"> (si prévu) pour éviter de modifier le gabarit par erreur.</t>
    </r>
  </si>
  <si>
    <r>
      <t>Lock the fixed sheet</t>
    </r>
    <r>
      <rPr>
        <sz val="11"/>
        <color theme="1"/>
        <rFont val="Calibri"/>
        <family val="2"/>
        <scheme val="minor"/>
      </rPr>
      <t xml:space="preserve"> (if available) to prevent accidental template edits.</t>
    </r>
  </si>
  <si>
    <r>
      <t>Bloquear la ficha fija</t>
    </r>
    <r>
      <rPr>
        <sz val="11"/>
        <color theme="1"/>
        <rFont val="Calibri"/>
        <family val="2"/>
        <scheme val="minor"/>
      </rPr>
      <t xml:space="preserve"> (si procede) para evitar modificar la plantilla por error.</t>
    </r>
  </si>
  <si>
    <t>7) FAQ rapide</t>
  </si>
  <si>
    <t>7) Quick FAQ</t>
  </si>
  <si>
    <t>7) FAQ rápida</t>
  </si>
  <si>
    <t>Q : Les "Postit"s se collent où ?</t>
  </si>
  <si>
    <t>Q: Where do the "Postit" blocks go?</t>
  </si>
  <si>
    <t>P: Dónde se pegan los "Postit"?</t>
  </si>
  <si>
    <r>
      <t>R :</t>
    </r>
    <r>
      <rPr>
        <sz val="11"/>
        <color theme="1"/>
        <rFont val="Calibri"/>
        <family val="2"/>
        <scheme val="minor"/>
      </rPr>
      <t xml:space="preserve"> Directement </t>
    </r>
    <r>
      <rPr>
        <b/>
        <sz val="11"/>
        <color theme="1"/>
        <rFont val="Calibri"/>
        <family val="2"/>
        <scheme val="minor"/>
      </rPr>
      <t>dans la fiche recette fixe</t>
    </r>
    <r>
      <rPr>
        <sz val="11"/>
        <color theme="1"/>
        <rFont val="Calibri"/>
        <family val="2"/>
        <scheme val="minor"/>
      </rPr>
      <t>, dans les zones prévues (base, garnitures, finitions).</t>
    </r>
  </si>
  <si>
    <r>
      <t>A:</t>
    </r>
    <r>
      <rPr>
        <sz val="11"/>
        <color theme="1"/>
        <rFont val="Calibri"/>
        <family val="2"/>
        <scheme val="minor"/>
      </rPr>
      <t xml:space="preserve"> Directly on the fixed recipe sheet, in the dedicated areas (base, fillings, finishes).</t>
    </r>
  </si>
  <si>
    <r>
      <t>R:</t>
    </r>
    <r>
      <rPr>
        <sz val="11"/>
        <color theme="1"/>
        <rFont val="Calibri"/>
        <family val="2"/>
        <scheme val="minor"/>
      </rPr>
      <t xml:space="preserve"> Directamente en la ficha de receta fija, en las zonas previstas (base, rellenos, terminaciones).</t>
    </r>
  </si>
  <si>
    <t>Q : Puis-je changer les quantités d’un "Postit" ?</t>
  </si>
  <si>
    <t>Q: Can I change a "Postit"’s quantities?</t>
  </si>
  <si>
    <t>P: Puedo cambiar las cantidades de un "Postit"?</t>
  </si>
  <si>
    <t>R : Oui. Modifiez les quantités dans le "Postit" collé (ou créez une variante).</t>
  </si>
  <si>
    <t>A: Yes. Edit the quantities in the pasted "Postit" (or create a variant).</t>
  </si>
  <si>
    <t>R: Sí. Modifique las cantidades en el "Postit" pegado (o cree una variante).</t>
  </si>
  <si>
    <t>Q : Comment créer une nouvelle recette ?</t>
  </si>
  <si>
    <r>
      <t>Q:</t>
    </r>
    <r>
      <rPr>
        <sz val="11"/>
        <color theme="1"/>
        <rFont val="Calibri"/>
        <family val="2"/>
        <scheme val="minor"/>
      </rPr>
      <t xml:space="preserve"> How do I create a new recipe?</t>
    </r>
  </si>
  <si>
    <r>
      <t>P:</t>
    </r>
    <r>
      <rPr>
        <sz val="11"/>
        <color theme="1"/>
        <rFont val="Calibri"/>
        <family val="2"/>
        <scheme val="minor"/>
      </rPr>
      <t xml:space="preserve"> Cómo crear una receta nueva?</t>
    </r>
  </si>
  <si>
    <t>R : Dupliquez une fiche fixe vierge → assemblez les "Postit"s voulus → ajustez → enregistrez.</t>
  </si>
  <si>
    <t>A: Duplicate a blank fixed sheet → assemble the desired "Postit" blocks → adjust → save.</t>
  </si>
  <si>
    <t>R: Duplique una ficha fija en blanco → monte los "Postit" deseados → ajuste → guarde.</t>
  </si>
  <si>
    <t>8) Résumé en une phrase</t>
  </si>
  <si>
    <t>8) One-sentence summary</t>
  </si>
  <si>
    <t>8) Resumen en una frase</t>
  </si>
  <si>
    <t xml:space="preserve">La fiche fixe est votre support ; les "Postit"s sont vos blocs “Ingrédients </t>
  </si>
  <si>
    <t>The fixed sheet is your support; the "Postit" blocks are your Ingredients</t>
  </si>
  <si>
    <t>La ficha fija es su soporte; los "Postit" son sus módulos Ingredientes</t>
  </si>
  <si>
    <t>'+ Quantités”. Assemblez-les, ajustez, imprimez : recette prête.</t>
  </si>
  <si>
    <t xml:space="preserve"> '+ Quantities modules. Assemble, adjust, print: recipe ready.</t>
  </si>
  <si>
    <t xml:space="preserve"> '+ Cantidades. Monte, ajuste, imprima: receta lista.</t>
  </si>
  <si>
    <t xml:space="preserve">je saisis volontairement "Postit" parce que l'autre version est une marque </t>
  </si>
  <si>
    <t>I intentionally use “Postit” because the other version is a trademark.</t>
  </si>
  <si>
    <t>Escribo intencionadamente “Postit” porque la otra versión es una marca registrada.</t>
  </si>
  <si>
    <t>9) Copier / coller un Post-it</t>
  </si>
  <si>
    <t>9) Copy / paste a Post-it</t>
  </si>
  <si>
    <t>9) Copiar / pegar un Post-it</t>
  </si>
  <si>
    <t>Étapes (méthode simple)</t>
  </si>
  <si>
    <t>Steps (simple method)</t>
  </si>
  <si>
    <t>Pasos (método sencillo)</t>
  </si>
  <si>
    <t>1. Pointer le coin haut gauche</t>
  </si>
  <si>
    <t>1. Point to the top-left corner</t>
  </si>
  <si>
    <t>1. Apuntar a la esquina superior izquierda</t>
  </si>
  <si>
    <r>
      <t xml:space="preserve">Placez le curseur sur </t>
    </r>
    <r>
      <rPr>
        <b/>
        <sz val="11"/>
        <color theme="1"/>
        <rFont val="Calibri"/>
        <family val="2"/>
        <scheme val="minor"/>
      </rPr>
      <t>la première cellule</t>
    </r>
    <r>
      <rPr>
        <sz val="11"/>
        <color theme="1"/>
        <rFont val="Calibri"/>
        <family val="2"/>
        <scheme val="minor"/>
      </rPr>
      <t xml:space="preserve"> du Postit ( le coin en haut à gauche cellule A).</t>
    </r>
  </si>
  <si>
    <t>Place the cursor on the first cell of the Post-it (top-left, cell A).</t>
  </si>
  <si>
    <t>Coloque el cursor en la primera celda del Post-it (esquina superior izquierda, celda A).</t>
  </si>
  <si>
    <t>2. Sélectionner tout le Postit</t>
  </si>
  <si>
    <t>2. Select the entire Post-it</t>
  </si>
  <si>
    <t>2. Seleccionar todo el Post-it</t>
  </si>
  <si>
    <r>
      <t>À la souris</t>
    </r>
    <r>
      <rPr>
        <sz val="11"/>
        <color theme="1"/>
        <rFont val="Calibri"/>
        <family val="2"/>
        <scheme val="minor"/>
      </rPr>
      <t xml:space="preserve"> : cliquez, puis </t>
    </r>
    <r>
      <rPr>
        <b/>
        <sz val="11"/>
        <color theme="1"/>
        <rFont val="Calibri"/>
        <family val="2"/>
        <scheme val="minor"/>
      </rPr>
      <t>glissez</t>
    </r>
    <r>
      <rPr>
        <sz val="11"/>
        <color theme="1"/>
        <rFont val="Calibri"/>
        <family val="2"/>
        <scheme val="minor"/>
      </rPr>
      <t xml:space="preserve"> jusqu’au </t>
    </r>
    <r>
      <rPr>
        <b/>
        <sz val="11"/>
        <color theme="1"/>
        <rFont val="Calibri"/>
        <family val="2"/>
        <scheme val="minor"/>
      </rPr>
      <t>coin bas droit</t>
    </r>
    <r>
      <rPr>
        <sz val="11"/>
        <color theme="1"/>
        <rFont val="Calibri"/>
        <family val="2"/>
        <scheme val="minor"/>
      </rPr>
      <t xml:space="preserve"> du bloc.</t>
    </r>
  </si>
  <si>
    <t>With the mouse: click, then drag to the block’s bottom-right corner.</t>
  </si>
  <si>
    <t>Con el ratón: clic y arrastre hasta la esquina inferior derecha del bloque.</t>
  </si>
  <si>
    <r>
      <t>Ou, plus rapide</t>
    </r>
    <r>
      <rPr>
        <sz val="11"/>
        <color theme="1"/>
        <rFont val="Calibri"/>
        <family val="2"/>
        <scheme val="minor"/>
      </rPr>
      <t xml:space="preserve"> : cliquez sur la première cellule A , puis </t>
    </r>
    <r>
      <rPr>
        <b/>
        <sz val="11"/>
        <color theme="1"/>
        <rFont val="Calibri"/>
        <family val="2"/>
        <scheme val="minor"/>
      </rPr>
      <t>Maj (Shift) + clic</t>
    </r>
    <r>
      <rPr>
        <sz val="11"/>
        <color theme="1"/>
        <rFont val="Calibri"/>
        <family val="2"/>
        <scheme val="minor"/>
      </rPr>
      <t xml:space="preserve"> sur la cellule du </t>
    </r>
    <r>
      <rPr>
        <b/>
        <sz val="11"/>
        <color theme="1"/>
        <rFont val="Calibri"/>
        <family val="2"/>
        <scheme val="minor"/>
      </rPr>
      <t>coin bas droit</t>
    </r>
    <r>
      <rPr>
        <sz val="11"/>
        <color theme="1"/>
        <rFont val="Calibri"/>
        <family val="2"/>
        <scheme val="minor"/>
      </rPr>
      <t>.</t>
    </r>
  </si>
  <si>
    <t>Or faster: click the first cell A, then Shift + click the bottom-right cell.</t>
  </si>
  <si>
    <t>O más rápido: clic en la primera celda A y luego Mayús (Shift) + clic en la celda de la esquina inferior derecha.</t>
  </si>
  <si>
    <r>
      <t>Astuce clavier</t>
    </r>
    <r>
      <rPr>
        <sz val="11"/>
        <color theme="1"/>
        <rFont val="Calibri"/>
        <family val="2"/>
        <scheme val="minor"/>
      </rPr>
      <t xml:space="preserve"> : si le Post-it est un bloc compact (sans lignes/colonnes vides), </t>
    </r>
    <r>
      <rPr>
        <b/>
        <sz val="11"/>
        <color theme="1"/>
        <rFont val="Calibri"/>
        <family val="2"/>
        <scheme val="minor"/>
      </rPr>
      <t>Ctrl + A</t>
    </r>
    <r>
      <rPr>
        <sz val="11"/>
        <color theme="1"/>
        <rFont val="Calibri"/>
        <family val="2"/>
        <scheme val="minor"/>
      </rPr>
      <t xml:space="preserve"> sélectionne la “région” entière.</t>
    </r>
  </si>
  <si>
    <r>
      <t>Keyboard tip:</t>
    </r>
    <r>
      <rPr>
        <sz val="11"/>
        <color theme="1"/>
        <rFont val="Calibri"/>
        <family val="2"/>
        <scheme val="minor"/>
      </rPr>
      <t xml:space="preserve"> if the Post-it is a compact block (no empty rows/columns), </t>
    </r>
    <r>
      <rPr>
        <b/>
        <sz val="11"/>
        <color theme="1"/>
        <rFont val="Calibri"/>
        <family val="2"/>
        <scheme val="minor"/>
      </rPr>
      <t>Ctrl + A</t>
    </r>
    <r>
      <rPr>
        <sz val="11"/>
        <color theme="1"/>
        <rFont val="Calibri"/>
        <family val="2"/>
        <scheme val="minor"/>
      </rPr>
      <t xml:space="preserve"> selects the whole “region”.</t>
    </r>
  </si>
  <si>
    <r>
      <t>Truco de teclado:</t>
    </r>
    <r>
      <rPr>
        <sz val="11"/>
        <color theme="1"/>
        <rFont val="Calibri"/>
        <family val="2"/>
        <scheme val="minor"/>
      </rPr>
      <t xml:space="preserve"> si el Post-it es un bloque compacto (sin filas/columnas vacías), </t>
    </r>
    <r>
      <rPr>
        <b/>
        <sz val="11"/>
        <color theme="1"/>
        <rFont val="Calibri"/>
        <family val="2"/>
        <scheme val="minor"/>
      </rPr>
      <t>Ctrl + A</t>
    </r>
    <r>
      <rPr>
        <sz val="11"/>
        <color theme="1"/>
        <rFont val="Calibri"/>
        <family val="2"/>
        <scheme val="minor"/>
      </rPr>
      <t xml:space="preserve"> selecciona toda la “región”.</t>
    </r>
  </si>
  <si>
    <t>3. Copier</t>
  </si>
  <si>
    <t>3. Copy</t>
  </si>
  <si>
    <t>3. Copiar</t>
  </si>
  <si>
    <r>
      <t xml:space="preserve">Appuyez sur </t>
    </r>
    <r>
      <rPr>
        <b/>
        <sz val="11"/>
        <color theme="1"/>
        <rFont val="Calibri"/>
        <family val="2"/>
        <scheme val="minor"/>
      </rPr>
      <t>Ctrl + C</t>
    </r>
    <r>
      <rPr>
        <sz val="11"/>
        <color theme="1"/>
        <rFont val="Calibri"/>
        <family val="2"/>
        <scheme val="minor"/>
      </rPr>
      <t xml:space="preserve"> (ou clic droit → </t>
    </r>
    <r>
      <rPr>
        <i/>
        <sz val="11"/>
        <color theme="1"/>
        <rFont val="Calibri"/>
        <family val="2"/>
        <scheme val="minor"/>
      </rPr>
      <t>Copier</t>
    </r>
    <r>
      <rPr>
        <sz val="11"/>
        <color theme="1"/>
        <rFont val="Calibri"/>
        <family val="2"/>
        <scheme val="minor"/>
      </rPr>
      <t>).</t>
    </r>
  </si>
  <si>
    <r>
      <t xml:space="preserve">Press </t>
    </r>
    <r>
      <rPr>
        <b/>
        <sz val="11"/>
        <color theme="1"/>
        <rFont val="Calibri"/>
        <family val="2"/>
        <scheme val="minor"/>
      </rPr>
      <t>Ctrl + C</t>
    </r>
    <r>
      <rPr>
        <sz val="11"/>
        <color theme="1"/>
        <rFont val="Calibri"/>
        <family val="2"/>
        <scheme val="minor"/>
      </rPr>
      <t xml:space="preserve"> (or right-click → Copy).</t>
    </r>
  </si>
  <si>
    <r>
      <t xml:space="preserve">Pulse </t>
    </r>
    <r>
      <rPr>
        <b/>
        <sz val="11"/>
        <color theme="1"/>
        <rFont val="Calibri"/>
        <family val="2"/>
        <scheme val="minor"/>
      </rPr>
      <t>Ctrl + C</t>
    </r>
    <r>
      <rPr>
        <sz val="11"/>
        <color theme="1"/>
        <rFont val="Calibri"/>
        <family val="2"/>
        <scheme val="minor"/>
      </rPr>
      <t xml:space="preserve"> (o clic derecho → Copiar).</t>
    </r>
  </si>
  <si>
    <t>4. Coller dans le répertoire</t>
  </si>
  <si>
    <t>4. Paste into the directory</t>
  </si>
  <si>
    <t>4. Pegar en el directorio</t>
  </si>
  <si>
    <t xml:space="preserve">Allez dans la feuille/zone “Répertoire”, cliquez sur la cellule de destination (coin haut gauche) </t>
  </si>
  <si>
    <r>
      <t xml:space="preserve">Go to the </t>
    </r>
    <r>
      <rPr>
        <b/>
        <sz val="11"/>
        <color theme="1"/>
        <rFont val="Calibri"/>
        <family val="2"/>
        <scheme val="minor"/>
      </rPr>
      <t>“Directory”</t>
    </r>
    <r>
      <rPr>
        <sz val="11"/>
        <color theme="1"/>
        <rFont val="Calibri"/>
        <family val="2"/>
        <scheme val="minor"/>
      </rPr>
      <t xml:space="preserve"> sheet/area, click the destination cell (top-left corner),</t>
    </r>
  </si>
  <si>
    <r>
      <t xml:space="preserve">Vaya a la hoja/zona </t>
    </r>
    <r>
      <rPr>
        <b/>
        <sz val="11"/>
        <color theme="1"/>
        <rFont val="Calibri"/>
        <family val="2"/>
        <scheme val="minor"/>
      </rPr>
      <t>“Directorio”</t>
    </r>
    <r>
      <rPr>
        <sz val="11"/>
        <color theme="1"/>
        <rFont val="Calibri"/>
        <family val="2"/>
        <scheme val="minor"/>
      </rPr>
      <t>, haga clic en la celda de destino (esquina superior izquierda)</t>
    </r>
  </si>
  <si>
    <t>puis Ctrl + V (ou clic droit → Coller).</t>
  </si>
  <si>
    <t xml:space="preserve"> then Ctrl + V (or right-click → Paste).</t>
  </si>
  <si>
    <t xml:space="preserve"> y luego Ctrl + V (o clic derecho → Pegar).</t>
  </si>
  <si>
    <r>
      <t xml:space="preserve">Pour </t>
    </r>
    <r>
      <rPr>
        <b/>
        <sz val="11"/>
        <color theme="1"/>
        <rFont val="Calibri"/>
        <family val="2"/>
        <scheme val="minor"/>
      </rPr>
      <t>garder la mise en forme</t>
    </r>
    <r>
      <rPr>
        <sz val="11"/>
        <color theme="1"/>
        <rFont val="Calibri"/>
        <family val="2"/>
        <scheme val="minor"/>
      </rPr>
      <t xml:space="preserve">, utilisez </t>
    </r>
    <r>
      <rPr>
        <i/>
        <sz val="11"/>
        <color theme="1"/>
        <rFont val="Calibri"/>
        <family val="2"/>
        <scheme val="minor"/>
      </rPr>
      <t>Collage spécial → Conserver la source</t>
    </r>
    <r>
      <rPr>
        <sz val="11"/>
        <color theme="1"/>
        <rFont val="Calibri"/>
        <family val="2"/>
        <scheme val="minor"/>
      </rPr>
      <t>.</t>
    </r>
  </si>
  <si>
    <r>
      <t xml:space="preserve">To keep formatting, use </t>
    </r>
    <r>
      <rPr>
        <b/>
        <sz val="11"/>
        <color theme="1"/>
        <rFont val="Calibri"/>
        <family val="2"/>
        <scheme val="minor"/>
      </rPr>
      <t>Paste Special → Keep Source</t>
    </r>
    <r>
      <rPr>
        <sz val="11"/>
        <color theme="1"/>
        <rFont val="Calibri"/>
        <family val="2"/>
        <scheme val="minor"/>
      </rPr>
      <t>.</t>
    </r>
  </si>
  <si>
    <r>
      <t xml:space="preserve">Para conservar el formato, use </t>
    </r>
    <r>
      <rPr>
        <b/>
        <sz val="11"/>
        <color theme="1"/>
        <rFont val="Calibri"/>
        <family val="2"/>
        <scheme val="minor"/>
      </rPr>
      <t>Pegado especial → Mantener origen</t>
    </r>
    <r>
      <rPr>
        <sz val="11"/>
        <color theme="1"/>
        <rFont val="Calibri"/>
        <family val="2"/>
        <scheme val="minor"/>
      </rPr>
      <t>.</t>
    </r>
  </si>
  <si>
    <r>
      <t xml:space="preserve">Pour ne </t>
    </r>
    <r>
      <rPr>
        <b/>
        <sz val="11"/>
        <color theme="1"/>
        <rFont val="Calibri"/>
        <family val="2"/>
        <scheme val="minor"/>
      </rPr>
      <t>coller que les valeurs</t>
    </r>
    <r>
      <rPr>
        <sz val="11"/>
        <color theme="1"/>
        <rFont val="Calibri"/>
        <family val="2"/>
        <scheme val="minor"/>
      </rPr>
      <t xml:space="preserve">, choisissez </t>
    </r>
    <r>
      <rPr>
        <i/>
        <sz val="11"/>
        <color theme="1"/>
        <rFont val="Calibri"/>
        <family val="2"/>
        <scheme val="minor"/>
      </rPr>
      <t>Collage spécial → Valeurs</t>
    </r>
    <r>
      <rPr>
        <sz val="11"/>
        <color theme="1"/>
        <rFont val="Calibri"/>
        <family val="2"/>
        <scheme val="minor"/>
      </rPr>
      <t>.</t>
    </r>
  </si>
  <si>
    <r>
      <t xml:space="preserve">To paste values only, choose </t>
    </r>
    <r>
      <rPr>
        <b/>
        <sz val="11"/>
        <color theme="1"/>
        <rFont val="Calibri"/>
        <family val="2"/>
        <scheme val="minor"/>
      </rPr>
      <t>Paste Special → Values</t>
    </r>
    <r>
      <rPr>
        <sz val="11"/>
        <color theme="1"/>
        <rFont val="Calibri"/>
        <family val="2"/>
        <scheme val="minor"/>
      </rPr>
      <t>.</t>
    </r>
  </si>
  <si>
    <r>
      <t xml:space="preserve">Para pegar solo valores, elija </t>
    </r>
    <r>
      <rPr>
        <b/>
        <sz val="11"/>
        <color theme="1"/>
        <rFont val="Calibri"/>
        <family val="2"/>
        <scheme val="minor"/>
      </rPr>
      <t>Pegado especial → Valores</t>
    </r>
    <r>
      <rPr>
        <sz val="11"/>
        <color theme="1"/>
        <rFont val="Calibri"/>
        <family val="2"/>
        <scheme val="minor"/>
      </rPr>
      <t>.</t>
    </r>
  </si>
  <si>
    <r>
      <t>Conseil</t>
    </r>
    <r>
      <rPr>
        <sz val="11"/>
        <color theme="1"/>
        <rFont val="Calibri"/>
        <family val="2"/>
        <scheme val="minor"/>
      </rPr>
      <t xml:space="preserve"> : pour </t>
    </r>
    <r>
      <rPr>
        <b/>
        <sz val="11"/>
        <color theme="1"/>
        <rFont val="Calibri"/>
        <family val="2"/>
        <scheme val="minor"/>
      </rPr>
      <t>déplacer</t>
    </r>
    <r>
      <rPr>
        <sz val="11"/>
        <color theme="1"/>
        <rFont val="Calibri"/>
        <family val="2"/>
        <scheme val="minor"/>
      </rPr>
      <t xml:space="preserve"> un Post-it (au lieu de le dupliquer), utilisez </t>
    </r>
    <r>
      <rPr>
        <b/>
        <sz val="11"/>
        <color theme="1"/>
        <rFont val="Calibri"/>
        <family val="2"/>
        <scheme val="minor"/>
      </rPr>
      <t>Ctrl + X</t>
    </r>
    <r>
      <rPr>
        <sz val="11"/>
        <color theme="1"/>
        <rFont val="Calibri"/>
        <family val="2"/>
        <scheme val="minor"/>
      </rPr>
      <t xml:space="preserve"> (Couper) puis </t>
    </r>
    <r>
      <rPr>
        <b/>
        <sz val="11"/>
        <color theme="1"/>
        <rFont val="Calibri"/>
        <family val="2"/>
        <scheme val="minor"/>
      </rPr>
      <t>Ctrl + V</t>
    </r>
    <r>
      <rPr>
        <sz val="11"/>
        <color theme="1"/>
        <rFont val="Calibri"/>
        <family val="2"/>
        <scheme val="minor"/>
      </rPr>
      <t>.</t>
    </r>
  </si>
  <si>
    <r>
      <t>Tip:</t>
    </r>
    <r>
      <rPr>
        <sz val="11"/>
        <color theme="1"/>
        <rFont val="Calibri"/>
        <family val="2"/>
        <scheme val="minor"/>
      </rPr>
      <t xml:space="preserve"> to </t>
    </r>
    <r>
      <rPr>
        <b/>
        <sz val="11"/>
        <color theme="1"/>
        <rFont val="Calibri"/>
        <family val="2"/>
        <scheme val="minor"/>
      </rPr>
      <t>move</t>
    </r>
    <r>
      <rPr>
        <sz val="11"/>
        <color theme="1"/>
        <rFont val="Calibri"/>
        <family val="2"/>
        <scheme val="minor"/>
      </rPr>
      <t xml:space="preserve"> a Post-it (instead of duplicating it), use </t>
    </r>
    <r>
      <rPr>
        <b/>
        <sz val="11"/>
        <color theme="1"/>
        <rFont val="Calibri"/>
        <family val="2"/>
        <scheme val="minor"/>
      </rPr>
      <t>Ctrl + X</t>
    </r>
    <r>
      <rPr>
        <sz val="11"/>
        <color theme="1"/>
        <rFont val="Calibri"/>
        <family val="2"/>
        <scheme val="minor"/>
      </rPr>
      <t xml:space="preserve"> (Cut) then </t>
    </r>
    <r>
      <rPr>
        <b/>
        <sz val="11"/>
        <color theme="1"/>
        <rFont val="Calibri"/>
        <family val="2"/>
        <scheme val="minor"/>
      </rPr>
      <t>Ctrl + V</t>
    </r>
    <r>
      <rPr>
        <sz val="11"/>
        <color theme="1"/>
        <rFont val="Calibri"/>
        <family val="2"/>
        <scheme val="minor"/>
      </rPr>
      <t>.</t>
    </r>
  </si>
  <si>
    <r>
      <t>Consejo:</t>
    </r>
    <r>
      <rPr>
        <sz val="11"/>
        <color theme="1"/>
        <rFont val="Calibri"/>
        <family val="2"/>
        <scheme val="minor"/>
      </rPr>
      <t xml:space="preserve"> para </t>
    </r>
    <r>
      <rPr>
        <b/>
        <sz val="11"/>
        <color theme="1"/>
        <rFont val="Calibri"/>
        <family val="2"/>
        <scheme val="minor"/>
      </rPr>
      <t>mover</t>
    </r>
    <r>
      <rPr>
        <sz val="11"/>
        <color theme="1"/>
        <rFont val="Calibri"/>
        <family val="2"/>
        <scheme val="minor"/>
      </rPr>
      <t xml:space="preserve"> un Post-it (en lugar de duplicarlo), use </t>
    </r>
    <r>
      <rPr>
        <b/>
        <sz val="11"/>
        <color theme="1"/>
        <rFont val="Calibri"/>
        <family val="2"/>
        <scheme val="minor"/>
      </rPr>
      <t>Ctrl + X</t>
    </r>
    <r>
      <rPr>
        <sz val="11"/>
        <color theme="1"/>
        <rFont val="Calibri"/>
        <family val="2"/>
        <scheme val="minor"/>
      </rPr>
      <t xml:space="preserve"> (Cortar) y luego </t>
    </r>
    <r>
      <rPr>
        <b/>
        <sz val="11"/>
        <color theme="1"/>
        <rFont val="Calibri"/>
        <family val="2"/>
        <scheme val="minor"/>
      </rPr>
      <t>Ctrl + V</t>
    </r>
    <r>
      <rPr>
        <sz val="11"/>
        <color theme="1"/>
        <rFont val="Calibri"/>
        <family val="2"/>
        <scheme val="minor"/>
      </rPr>
      <t>.</t>
    </r>
  </si>
  <si>
    <t>Archivage &amp; classement (répertoire)</t>
  </si>
  <si>
    <t>Archiving &amp; filing (directory)</t>
  </si>
  <si>
    <t>Archivo y clasificación (directorio)</t>
  </si>
  <si>
    <r>
      <t>A — Alpha</t>
    </r>
    <r>
      <rPr>
        <sz val="11"/>
        <color theme="1"/>
        <rFont val="Calibri"/>
        <family val="2"/>
        <scheme val="minor"/>
      </rPr>
      <t xml:space="preserve"> : première lettre du nom, en majuscule (tri rapide).</t>
    </r>
  </si>
  <si>
    <r>
      <t>A — Alpha:</t>
    </r>
    <r>
      <rPr>
        <sz val="11"/>
        <color theme="1"/>
        <rFont val="Calibri"/>
        <family val="2"/>
        <scheme val="minor"/>
      </rPr>
      <t xml:space="preserve"> first letter of the name, uppercase (quick sort).</t>
    </r>
  </si>
  <si>
    <r>
      <t>A — Alfa:</t>
    </r>
    <r>
      <rPr>
        <sz val="11"/>
        <color theme="1"/>
        <rFont val="Calibri"/>
        <family val="2"/>
        <scheme val="minor"/>
      </rPr>
      <t xml:space="preserve"> primera letra del nombre, en mayúscula (orden rápido).</t>
    </r>
  </si>
  <si>
    <r>
      <t>Formule suggérée</t>
    </r>
    <r>
      <rPr>
        <sz val="11"/>
        <color theme="1"/>
        <rFont val="Calibri"/>
        <family val="2"/>
        <scheme val="minor"/>
      </rPr>
      <t xml:space="preserve"> : </t>
    </r>
    <r>
      <rPr>
        <sz val="10"/>
        <color theme="1"/>
        <rFont val="Arial Unicode MS"/>
      </rPr>
      <t>=MAJUSCULE(GAUCHE(D2;1))</t>
    </r>
  </si>
  <si>
    <r>
      <t>Suggested formula:</t>
    </r>
    <r>
      <rPr>
        <sz val="11"/>
        <color theme="1"/>
        <rFont val="Calibri"/>
        <family val="2"/>
        <scheme val="minor"/>
      </rPr>
      <t xml:space="preserve"> </t>
    </r>
    <r>
      <rPr>
        <sz val="10"/>
        <color theme="1"/>
        <rFont val="Arial Unicode MS"/>
      </rPr>
      <t>=UPPER(LEFT(D2,1))</t>
    </r>
  </si>
  <si>
    <r>
      <t>Fórmula sugerida:</t>
    </r>
    <r>
      <rPr>
        <sz val="11"/>
        <color theme="1"/>
        <rFont val="Calibri"/>
        <family val="2"/>
        <scheme val="minor"/>
      </rPr>
      <t xml:space="preserve"> </t>
    </r>
    <r>
      <rPr>
        <sz val="10"/>
        <color theme="1"/>
        <rFont val="Arial Unicode MS"/>
      </rPr>
      <t>=MAYUSC(IZQUIERDA(D2;1))</t>
    </r>
  </si>
  <si>
    <r>
      <t>B — Famille</t>
    </r>
    <r>
      <rPr>
        <sz val="11"/>
        <color theme="1"/>
        <rFont val="Calibri"/>
        <family val="2"/>
        <scheme val="minor"/>
      </rPr>
      <t xml:space="preserve"> : grande catégorie (ex. </t>
    </r>
    <r>
      <rPr>
        <i/>
        <sz val="11"/>
        <color theme="1"/>
        <rFont val="Calibri"/>
        <family val="2"/>
        <scheme val="minor"/>
      </rPr>
      <t>cuisine</t>
    </r>
    <r>
      <rPr>
        <sz val="11"/>
        <color theme="1"/>
        <rFont val="Calibri"/>
        <family val="2"/>
        <scheme val="minor"/>
      </rPr>
      <t xml:space="preserve">, </t>
    </r>
    <r>
      <rPr>
        <i/>
        <sz val="11"/>
        <color theme="1"/>
        <rFont val="Calibri"/>
        <family val="2"/>
        <scheme val="minor"/>
      </rPr>
      <t>pâtisserie</t>
    </r>
    <r>
      <rPr>
        <sz val="11"/>
        <color theme="1"/>
        <rFont val="Calibri"/>
        <family val="2"/>
        <scheme val="minor"/>
      </rPr>
      <t xml:space="preserve">, </t>
    </r>
    <r>
      <rPr>
        <i/>
        <sz val="11"/>
        <color theme="1"/>
        <rFont val="Calibri"/>
        <family val="2"/>
        <scheme val="minor"/>
      </rPr>
      <t>boulangerie</t>
    </r>
    <r>
      <rPr>
        <sz val="11"/>
        <color theme="1"/>
        <rFont val="Calibri"/>
        <family val="2"/>
        <scheme val="minor"/>
      </rPr>
      <t>).</t>
    </r>
  </si>
  <si>
    <r>
      <t>B — Family:</t>
    </r>
    <r>
      <rPr>
        <sz val="11"/>
        <color theme="1"/>
        <rFont val="Calibri"/>
        <family val="2"/>
        <scheme val="minor"/>
      </rPr>
      <t xml:space="preserve"> broad category (e.g., kitchen, pastry, bakery).</t>
    </r>
  </si>
  <si>
    <r>
      <t>B — Familia:</t>
    </r>
    <r>
      <rPr>
        <sz val="11"/>
        <color theme="1"/>
        <rFont val="Calibri"/>
        <family val="2"/>
        <scheme val="minor"/>
      </rPr>
      <t xml:space="preserve"> categoría amplia (p. ej., cocina, pastelería, panadería).</t>
    </r>
  </si>
  <si>
    <r>
      <t>C — Type d’Élément</t>
    </r>
    <r>
      <rPr>
        <sz val="11"/>
        <color theme="1"/>
        <rFont val="Calibri"/>
        <family val="2"/>
        <scheme val="minor"/>
      </rPr>
      <t xml:space="preserve"> : fonction ou nature du module (ex. </t>
    </r>
    <r>
      <rPr>
        <i/>
        <sz val="11"/>
        <color theme="1"/>
        <rFont val="Calibri"/>
        <family val="2"/>
        <scheme val="minor"/>
      </rPr>
      <t>cuisson</t>
    </r>
    <r>
      <rPr>
        <sz val="11"/>
        <color theme="1"/>
        <rFont val="Calibri"/>
        <family val="2"/>
        <scheme val="minor"/>
      </rPr>
      <t xml:space="preserve">, </t>
    </r>
    <r>
      <rPr>
        <i/>
        <sz val="11"/>
        <color theme="1"/>
        <rFont val="Calibri"/>
        <family val="2"/>
        <scheme val="minor"/>
      </rPr>
      <t>biscuit</t>
    </r>
    <r>
      <rPr>
        <sz val="11"/>
        <color theme="1"/>
        <rFont val="Calibri"/>
        <family val="2"/>
        <scheme val="minor"/>
      </rPr>
      <t xml:space="preserve">, </t>
    </r>
    <r>
      <rPr>
        <i/>
        <sz val="11"/>
        <color theme="1"/>
        <rFont val="Calibri"/>
        <family val="2"/>
        <scheme val="minor"/>
      </rPr>
      <t>crème</t>
    </r>
    <r>
      <rPr>
        <sz val="11"/>
        <color theme="1"/>
        <rFont val="Calibri"/>
        <family val="2"/>
        <scheme val="minor"/>
      </rPr>
      <t xml:space="preserve">, </t>
    </r>
    <r>
      <rPr>
        <i/>
        <sz val="11"/>
        <color theme="1"/>
        <rFont val="Calibri"/>
        <family val="2"/>
        <scheme val="minor"/>
      </rPr>
      <t>sirop</t>
    </r>
    <r>
      <rPr>
        <sz val="11"/>
        <color theme="1"/>
        <rFont val="Calibri"/>
        <family val="2"/>
        <scheme val="minor"/>
      </rPr>
      <t xml:space="preserve">, </t>
    </r>
    <r>
      <rPr>
        <i/>
        <sz val="11"/>
        <color theme="1"/>
        <rFont val="Calibri"/>
        <family val="2"/>
        <scheme val="minor"/>
      </rPr>
      <t>décoration</t>
    </r>
    <r>
      <rPr>
        <sz val="11"/>
        <color theme="1"/>
        <rFont val="Calibri"/>
        <family val="2"/>
        <scheme val="minor"/>
      </rPr>
      <t>).</t>
    </r>
  </si>
  <si>
    <r>
      <t>C — Item Type:</t>
    </r>
    <r>
      <rPr>
        <sz val="11"/>
        <color theme="1"/>
        <rFont val="Calibri"/>
        <family val="2"/>
        <scheme val="minor"/>
      </rPr>
      <t xml:space="preserve"> function or nature of the module (e.g., cooking, biscuit, cream, syrup, decoration).</t>
    </r>
  </si>
  <si>
    <r>
      <t>C — Tipo de elemento:</t>
    </r>
    <r>
      <rPr>
        <sz val="11"/>
        <color theme="1"/>
        <rFont val="Calibri"/>
        <family val="2"/>
        <scheme val="minor"/>
      </rPr>
      <t xml:space="preserve"> función o naturaleza del módulo (p. ej., cocción, bizcocho, crema, almíbar, decoración).</t>
    </r>
  </si>
  <si>
    <r>
      <t>D — Nom de l’Élément</t>
    </r>
    <r>
      <rPr>
        <sz val="11"/>
        <color theme="1"/>
        <rFont val="Calibri"/>
        <family val="2"/>
        <scheme val="minor"/>
      </rPr>
      <t xml:space="preserve"> : intitulé précis et unique (ex. </t>
    </r>
    <r>
      <rPr>
        <i/>
        <sz val="11"/>
        <color theme="1"/>
        <rFont val="Calibri"/>
        <family val="2"/>
        <scheme val="minor"/>
      </rPr>
      <t>Garniture bourguignonne</t>
    </r>
    <r>
      <rPr>
        <sz val="11"/>
        <color theme="1"/>
        <rFont val="Calibri"/>
        <family val="2"/>
        <scheme val="minor"/>
      </rPr>
      <t>).</t>
    </r>
  </si>
  <si>
    <r>
      <t>D — Item Name:</t>
    </r>
    <r>
      <rPr>
        <sz val="11"/>
        <color theme="1"/>
        <rFont val="Calibri"/>
        <family val="2"/>
        <scheme val="minor"/>
      </rPr>
      <t xml:space="preserve"> precise and unique title (e.g., </t>
    </r>
    <r>
      <rPr>
        <i/>
        <sz val="11"/>
        <color theme="1"/>
        <rFont val="Calibri"/>
        <family val="2"/>
        <scheme val="minor"/>
      </rPr>
      <t>Bourguignonne garnish</t>
    </r>
    <r>
      <rPr>
        <sz val="11"/>
        <color theme="1"/>
        <rFont val="Calibri"/>
        <family val="2"/>
        <scheme val="minor"/>
      </rPr>
      <t>).</t>
    </r>
  </si>
  <si>
    <r>
      <t>D — Nombre del elemento:</t>
    </r>
    <r>
      <rPr>
        <sz val="11"/>
        <color theme="1"/>
        <rFont val="Calibri"/>
        <family val="2"/>
        <scheme val="minor"/>
      </rPr>
      <t xml:space="preserve"> título preciso y único (p. ej., </t>
    </r>
    <r>
      <rPr>
        <i/>
        <sz val="11"/>
        <color theme="1"/>
        <rFont val="Calibri"/>
        <family val="2"/>
        <scheme val="minor"/>
      </rPr>
      <t>Guarnición bourguignonne</t>
    </r>
    <r>
      <rPr>
        <sz val="11"/>
        <color theme="1"/>
        <rFont val="Calibri"/>
        <family val="2"/>
        <scheme val="minor"/>
      </rPr>
      <t>).</t>
    </r>
  </si>
  <si>
    <r>
      <t>E — Préparation pour</t>
    </r>
    <r>
      <rPr>
        <sz val="11"/>
        <color theme="1"/>
        <rFont val="Calibri"/>
        <family val="2"/>
        <scheme val="minor"/>
      </rPr>
      <t xml:space="preserve"> : usage prévu (ex. </t>
    </r>
    <r>
      <rPr>
        <i/>
        <sz val="11"/>
        <color theme="1"/>
        <rFont val="Calibri"/>
        <family val="2"/>
        <scheme val="minor"/>
      </rPr>
      <t>plat principal</t>
    </r>
    <r>
      <rPr>
        <sz val="11"/>
        <color theme="1"/>
        <rFont val="Calibri"/>
        <family val="2"/>
        <scheme val="minor"/>
      </rPr>
      <t xml:space="preserve">, </t>
    </r>
    <r>
      <rPr>
        <i/>
        <sz val="11"/>
        <color theme="1"/>
        <rFont val="Calibri"/>
        <family val="2"/>
        <scheme val="minor"/>
      </rPr>
      <t>entremets</t>
    </r>
    <r>
      <rPr>
        <sz val="11"/>
        <color theme="1"/>
        <rFont val="Calibri"/>
        <family val="2"/>
        <scheme val="minor"/>
      </rPr>
      <t xml:space="preserve">, </t>
    </r>
    <r>
      <rPr>
        <i/>
        <sz val="11"/>
        <color theme="1"/>
        <rFont val="Calibri"/>
        <family val="2"/>
        <scheme val="minor"/>
      </rPr>
      <t>tarte</t>
    </r>
    <r>
      <rPr>
        <sz val="11"/>
        <color theme="1"/>
        <rFont val="Calibri"/>
        <family val="2"/>
        <scheme val="minor"/>
      </rPr>
      <t>).</t>
    </r>
  </si>
  <si>
    <r>
      <t>E — Intended for:</t>
    </r>
    <r>
      <rPr>
        <sz val="11"/>
        <color theme="1"/>
        <rFont val="Calibri"/>
        <family val="2"/>
        <scheme val="minor"/>
      </rPr>
      <t xml:space="preserve"> intended use (e.g., main course, entremets, tart).</t>
    </r>
  </si>
  <si>
    <r>
      <t>E — Preparación para:</t>
    </r>
    <r>
      <rPr>
        <sz val="11"/>
        <color theme="1"/>
        <rFont val="Calibri"/>
        <family val="2"/>
        <scheme val="minor"/>
      </rPr>
      <t xml:space="preserve"> uso previsto (p. ej., plato principal, entremeses, tarta).</t>
    </r>
  </si>
  <si>
    <r>
      <t>F — Recette mère</t>
    </r>
    <r>
      <rPr>
        <sz val="11"/>
        <color theme="1"/>
        <rFont val="Calibri"/>
        <family val="2"/>
        <scheme val="minor"/>
      </rPr>
      <t xml:space="preserve"> : fichier source (nom + date).</t>
    </r>
  </si>
  <si>
    <r>
      <t>F — Parent recipe:</t>
    </r>
    <r>
      <rPr>
        <sz val="11"/>
        <color theme="1"/>
        <rFont val="Calibri"/>
        <family val="2"/>
        <scheme val="minor"/>
      </rPr>
      <t xml:space="preserve"> source file (name + date).</t>
    </r>
  </si>
  <si>
    <r>
      <t>F — Receta madre:</t>
    </r>
    <r>
      <rPr>
        <sz val="11"/>
        <color theme="1"/>
        <rFont val="Calibri"/>
        <family val="2"/>
        <scheme val="minor"/>
      </rPr>
      <t xml:space="preserve"> archivo fuente (nombre + fecha).</t>
    </r>
  </si>
  <si>
    <r>
      <t>Convention recommandée</t>
    </r>
    <r>
      <rPr>
        <sz val="11"/>
        <color theme="1"/>
        <rFont val="Calibri"/>
        <family val="2"/>
        <scheme val="minor"/>
      </rPr>
      <t xml:space="preserve"> : </t>
    </r>
    <r>
      <rPr>
        <sz val="10"/>
        <color theme="1"/>
        <rFont val="Arial Unicode MS"/>
      </rPr>
      <t>NomRecette_YYYY-MM-DD.xlsx</t>
    </r>
  </si>
  <si>
    <r>
      <t>Recommended convention:</t>
    </r>
    <r>
      <rPr>
        <sz val="11"/>
        <color theme="1"/>
        <rFont val="Calibri"/>
        <family val="2"/>
        <scheme val="minor"/>
      </rPr>
      <t xml:space="preserve"> </t>
    </r>
    <r>
      <rPr>
        <sz val="10"/>
        <color theme="1"/>
        <rFont val="Arial Unicode MS"/>
      </rPr>
      <t>RecipeName_YYYY-MM-DD.xlsx</t>
    </r>
  </si>
  <si>
    <r>
      <t>Convención recomendada:</t>
    </r>
    <r>
      <rPr>
        <sz val="11"/>
        <color theme="1"/>
        <rFont val="Calibri"/>
        <family val="2"/>
        <scheme val="minor"/>
      </rPr>
      <t xml:space="preserve"> </t>
    </r>
    <r>
      <rPr>
        <sz val="10"/>
        <color theme="1"/>
        <rFont val="Arial Unicode MS"/>
      </rPr>
      <t>NombreReceta_AAAA-MM-DD.xlsx</t>
    </r>
  </si>
  <si>
    <r>
      <t>Exemple</t>
    </r>
    <r>
      <rPr>
        <sz val="11"/>
        <color theme="1"/>
        <rFont val="Calibri"/>
        <family val="2"/>
        <scheme val="minor"/>
      </rPr>
      <t xml:space="preserve"> : </t>
    </r>
    <r>
      <rPr>
        <sz val="10"/>
        <color theme="1"/>
        <rFont val="Arial Unicode MS"/>
      </rPr>
      <t>BoeufBourguignon_2023-09-20.xlsx</t>
    </r>
  </si>
  <si>
    <r>
      <t>Example:</t>
    </r>
    <r>
      <rPr>
        <sz val="11"/>
        <color theme="1"/>
        <rFont val="Calibri"/>
        <family val="2"/>
        <scheme val="minor"/>
      </rPr>
      <t xml:space="preserve"> </t>
    </r>
    <r>
      <rPr>
        <sz val="10"/>
        <color theme="1"/>
        <rFont val="Arial Unicode MS"/>
      </rPr>
      <t>BoeufBourguignon_2023-09-20.xlsx</t>
    </r>
  </si>
  <si>
    <r>
      <t>Ejemplo:</t>
    </r>
    <r>
      <rPr>
        <sz val="11"/>
        <color theme="1"/>
        <rFont val="Calibri"/>
        <family val="2"/>
        <scheme val="minor"/>
      </rPr>
      <t xml:space="preserve"> </t>
    </r>
    <r>
      <rPr>
        <sz val="10"/>
        <color theme="1"/>
        <rFont val="Arial Unicode MS"/>
      </rPr>
      <t>BoeufBourguignon_2023-09-20.xlsx</t>
    </r>
  </si>
  <si>
    <t>Exemple</t>
  </si>
  <si>
    <t>Example</t>
  </si>
  <si>
    <t>Ejemplo</t>
  </si>
  <si>
    <r>
      <t xml:space="preserve">A: </t>
    </r>
    <r>
      <rPr>
        <b/>
        <sz val="11"/>
        <color theme="1"/>
        <rFont val="Calibri"/>
        <family val="2"/>
        <scheme val="minor"/>
      </rPr>
      <t>G</t>
    </r>
  </si>
  <si>
    <t>A: G</t>
  </si>
  <si>
    <r>
      <t xml:space="preserve">B: </t>
    </r>
    <r>
      <rPr>
        <b/>
        <sz val="11"/>
        <color theme="1"/>
        <rFont val="Calibri"/>
        <family val="2"/>
        <scheme val="minor"/>
      </rPr>
      <t>cuisine</t>
    </r>
  </si>
  <si>
    <t>B: kitchen</t>
  </si>
  <si>
    <t>B: cocina</t>
  </si>
  <si>
    <r>
      <t xml:space="preserve">C: </t>
    </r>
    <r>
      <rPr>
        <b/>
        <sz val="11"/>
        <color theme="1"/>
        <rFont val="Calibri"/>
        <family val="2"/>
        <scheme val="minor"/>
      </rPr>
      <t>cuisson</t>
    </r>
  </si>
  <si>
    <t>C: cooking</t>
  </si>
  <si>
    <t>C: cocción</t>
  </si>
  <si>
    <r>
      <t xml:space="preserve">D: </t>
    </r>
    <r>
      <rPr>
        <b/>
        <sz val="11"/>
        <color theme="1"/>
        <rFont val="Calibri"/>
        <family val="2"/>
        <scheme val="minor"/>
      </rPr>
      <t>Garniture bourguignonne</t>
    </r>
  </si>
  <si>
    <t>D: Bourguignonne garnish</t>
  </si>
  <si>
    <t>D: Guarnición bourguignonne</t>
  </si>
  <si>
    <r>
      <t xml:space="preserve">E: </t>
    </r>
    <r>
      <rPr>
        <b/>
        <sz val="11"/>
        <color theme="1"/>
        <rFont val="Calibri"/>
        <family val="2"/>
        <scheme val="minor"/>
      </rPr>
      <t>plat principal</t>
    </r>
  </si>
  <si>
    <t>E: main course</t>
  </si>
  <si>
    <t>E: plato principal</t>
  </si>
  <si>
    <r>
      <t xml:space="preserve">F: </t>
    </r>
    <r>
      <rPr>
        <b/>
        <sz val="11"/>
        <color theme="1"/>
        <rFont val="Calibri"/>
        <family val="2"/>
        <scheme val="minor"/>
      </rPr>
      <t>BoeufBourguignon_2023-09-20.xlsx</t>
    </r>
  </si>
  <si>
    <t>F: BoeufBourguignon_2023-09-20.xlsx</t>
  </si>
  <si>
    <t>In the directory, copy the desired “Postit” Biscuit (génoise, brownie, dacquoise…).</t>
  </si>
  <si>
    <t>En el directorio, copie el “Postit” Bizcocho que desee (genovesa, brownie, dacquoise…).</t>
  </si>
  <si>
    <t>Paste it into columns L to AC of the Preformatted sheet.</t>
  </si>
  <si>
    <t>Péguelo en las columnas L a AC de la ficha Preformateada.</t>
  </si>
  <si>
    <t>Collez-le dans les colonnes de L à AC de la fiche Préformatée</t>
  </si>
  <si>
    <t>Para que este documento funcione, debe haber una fórmula que use la función BUSCARX (en francés, RECHERCHEX) en la columna 15 o posteriores. et Adresse PC Col.6</t>
  </si>
  <si>
    <t>For this document to work, there must be a formula using the XLOOKUP function (RECHERCHEX in French) in &gt; Col.15 et Adresse PC Col.6</t>
  </si>
  <si>
    <t>Pour que ce document puisse fonctionner il faut qu'il y ait une formule avec la fonction RECHERCHEX colonne &gt; Col.15 et Adresse PC Col.6</t>
  </si>
  <si>
    <t>Aumente o disminuya las cantidades según sea necesario.❾ Referencia Autor &gt;</t>
  </si>
  <si>
    <t>Increase or decrease the quantities as needed.❾ Author reference &gt;</t>
  </si>
  <si>
    <t>augmentez ou diminuez les quantités. ❾ référence Auteur &gt;</t>
  </si>
  <si>
    <t>introduzca sus propias cantidades línea por línea en la Col.33.</t>
  </si>
  <si>
    <t xml:space="preserve"> enter your own quantities line by line in Col.33.</t>
  </si>
  <si>
    <t xml:space="preserve">Saisissez vos propres quantités ligne par ligne en Col.33. selon vos besoins, </t>
  </si>
  <si>
    <t xml:space="preserve"> (demasiado altas o demasiado bajas para sus comensales), </t>
  </si>
  <si>
    <t xml:space="preserve">(trop élevées ou trop faibles pour vos convives), </t>
  </si>
  <si>
    <t xml:space="preserve"> et unités</t>
  </si>
  <si>
    <t>Quantités</t>
  </si>
  <si>
    <t>▼  ⓰ vos</t>
  </si>
  <si>
    <t>Col.45</t>
  </si>
  <si>
    <t>▼ ⓰ Sus cantidades y unidades</t>
  </si>
  <si>
    <t>collez en remplacement - paste as a replacement - pegue en sustitución</t>
  </si>
  <si>
    <t>▼ ⓰ Your quantities and units</t>
  </si>
  <si>
    <t>You can hide these 10 columns._▼ Puedes ocultar estas 10 columnas.</t>
  </si>
  <si>
    <t xml:space="preserve">Vous pouvez Masquez ces 10 colonnes  </t>
  </si>
  <si>
    <t xml:space="preserve">▼ </t>
  </si>
  <si>
    <t>copier en ❾ si souhaité &gt;</t>
  </si>
  <si>
    <t>copy to ❾ if desired &gt;</t>
  </si>
  <si>
    <t>copiar en ❾ si se desea &gt;</t>
  </si>
  <si>
    <t>Comprendre les termes culinaires employés dans les recettes de Mercotte</t>
  </si>
  <si>
    <t xml:space="preserve">Traitement </t>
  </si>
  <si>
    <t>Abaisser la temp. à coeur</t>
  </si>
  <si>
    <t>acheminement vers cuisson</t>
  </si>
  <si>
    <t>Assembler</t>
  </si>
  <si>
    <t>assemblage ind.</t>
  </si>
  <si>
    <t xml:space="preserve">assemblage plateaux </t>
  </si>
  <si>
    <t>Charger</t>
  </si>
  <si>
    <t>changement d echelle</t>
  </si>
  <si>
    <t>changement. chariots  isothermes</t>
  </si>
  <si>
    <t>deboitage</t>
  </si>
  <si>
    <t>Déboiter</t>
  </si>
  <si>
    <t>decartonage</t>
  </si>
  <si>
    <t>decoupe</t>
  </si>
  <si>
    <t>deconditionnement</t>
  </si>
  <si>
    <t>egouttage</t>
  </si>
  <si>
    <t>Egoutter</t>
  </si>
  <si>
    <t>epluchage</t>
  </si>
  <si>
    <t>Eplucher</t>
  </si>
  <si>
    <t>etiquettage collec.</t>
  </si>
  <si>
    <t>Etiqueter</t>
  </si>
  <si>
    <t>etiquettage ind</t>
  </si>
  <si>
    <t>filmage</t>
  </si>
  <si>
    <t>goutage</t>
  </si>
  <si>
    <t>melange</t>
  </si>
  <si>
    <t>Mettre En Bac</t>
  </si>
  <si>
    <t>Mettre En Chariot</t>
  </si>
  <si>
    <t>ouverture boite</t>
  </si>
  <si>
    <t>Passer En Cellule</t>
  </si>
  <si>
    <t>reception / controles</t>
  </si>
  <si>
    <t>Réceptionner/Contrôler</t>
  </si>
  <si>
    <t>Réchauffer en moins d'1 H</t>
  </si>
  <si>
    <t>reconditionnement</t>
  </si>
  <si>
    <t>refroidissement</t>
  </si>
  <si>
    <t>remise en t°</t>
  </si>
  <si>
    <t>Remettre En T°</t>
  </si>
  <si>
    <t>Retourner Vers Conditionnement</t>
  </si>
  <si>
    <t>sondage cuisson</t>
  </si>
  <si>
    <t>sondage de temperature</t>
  </si>
  <si>
    <t>Stocker</t>
  </si>
  <si>
    <t>stockage . d'attente</t>
  </si>
  <si>
    <t>Transporter En Bacs Inox</t>
  </si>
  <si>
    <t>Verbe</t>
  </si>
  <si>
    <t>TRAITEMENT</t>
  </si>
  <si>
    <t>Préparation</t>
  </si>
  <si>
    <t>Beignets d'acacia</t>
  </si>
  <si>
    <t>Col.19</t>
  </si>
  <si>
    <t>Farine</t>
  </si>
  <si>
    <t>◄ vous pouvez masquer ces 10 colonnes  ▼</t>
  </si>
  <si>
    <t>Auteur</t>
  </si>
  <si>
    <t>Cellule rouge</t>
  </si>
  <si>
    <t>Délice de Celeste</t>
  </si>
  <si>
    <t>Mélangez la farine, les sucre et le sel.</t>
  </si>
  <si>
    <t>Faites un puis et ajoutez l’œuf, mélangez et incorporez le lait.</t>
  </si>
  <si>
    <t>Ajoutez ensuite la bière, incorporez la bien et laissez reposer votre pâte 15 minutes.</t>
  </si>
  <si>
    <t>En attends, secouez vos grappes de fleurs d'acacia pour en retirer</t>
  </si>
  <si>
    <t xml:space="preserve"> les petites bêbêtes (vous pouvez aussi les rincer, mais veillez à bien les sécher).</t>
  </si>
  <si>
    <t xml:space="preserve"> Faites chauffer à feu moyen votre huile/friteuse.</t>
  </si>
  <si>
    <t>Trempez une grappe dans la pâte à beignet, plongez-la dans votre huile et laissez dorer</t>
  </si>
  <si>
    <t>(mettez en 4 à la fois mais pas plus, pour ne pas refroidir votre huile).</t>
  </si>
  <si>
    <t xml:space="preserve"> Sortez du bain d'huile, laissez quelques secondes sur un papier absorbant,</t>
  </si>
  <si>
    <t>saupoudrez de sucre glace et dégustez (chaud c'est meilleur !).</t>
  </si>
  <si>
    <t>👎</t>
  </si>
  <si>
    <t xml:space="preserve">Fonctionnement </t>
  </si>
  <si>
    <t>Gastro 1/0</t>
  </si>
  <si>
    <t>collez les poids ou volumes dans ⑦  &gt;</t>
  </si>
  <si>
    <t>ESTIMATION DU NOMBRE DE CONTENANTS</t>
  </si>
  <si>
    <t>Effectif &gt;</t>
  </si>
  <si>
    <t>portions ▼</t>
  </si>
  <si>
    <t>Quoi ?▼</t>
  </si>
  <si>
    <t>Contenants</t>
  </si>
  <si>
    <t>cuisse</t>
  </si>
  <si>
    <t>escalope</t>
  </si>
  <si>
    <t>Viande tranchée 60 tranches</t>
  </si>
  <si>
    <t>tranche</t>
  </si>
  <si>
    <t>paupiettes</t>
  </si>
  <si>
    <t>tomates</t>
  </si>
  <si>
    <t>liste des contenants</t>
  </si>
  <si>
    <t>Familles ►</t>
  </si>
  <si>
    <t>Adultes plus  - A +</t>
  </si>
  <si>
    <t>① Produit &gt;</t>
  </si>
  <si>
    <t>Escalopes de volailles cuites 120g</t>
  </si>
  <si>
    <t>② contenant  &gt;</t>
  </si>
  <si>
    <t>escalopes</t>
  </si>
  <si>
    <t>&lt; ④ Quoi pièces- louches- tranches.etc</t>
  </si>
  <si>
    <t>⑤ poids par portion &gt;</t>
  </si>
  <si>
    <t>⑦ Mater</t>
  </si>
  <si>
    <t>⑦ Prim</t>
  </si>
  <si>
    <t>⑦ Adultes</t>
  </si>
  <si>
    <t>⑦ Ainés</t>
  </si>
  <si>
    <t>Maternelles</t>
  </si>
  <si>
    <t>Primaires</t>
  </si>
  <si>
    <t>Adultes</t>
  </si>
  <si>
    <t>convives</t>
  </si>
  <si>
    <t>Ainés</t>
  </si>
  <si>
    <t>Col.27 =SI(SUPPRESPACE(AE22)="▼ recette suivante";AE22;SI(AK22&gt;0;AN9;0))</t>
  </si>
  <si>
    <t xml:space="preserve">Autor </t>
  </si>
  <si>
    <t>Author</t>
  </si>
  <si>
    <t xml:space="preserve">PACKAGING </t>
  </si>
  <si>
    <t>◄ Container</t>
  </si>
  <si>
    <t xml:space="preserve">⓬  ▼ PHASES OF PROGRESSION </t>
  </si>
  <si>
    <t>Autor</t>
  </si>
  <si>
    <t xml:space="preserve"> Portion weights</t>
  </si>
  <si>
    <t xml:space="preserve"> Number of covers</t>
  </si>
  <si>
    <t>ESTIMACIÓN DEL NÚMERO DE CONTENEDORES</t>
  </si>
  <si>
    <t>① Producto &gt;</t>
  </si>
  <si>
    <t>② Contenedor &gt;</t>
  </si>
  <si>
    <t>⑤ Peso por ración &gt;</t>
  </si>
  <si>
    <t>Escalopes de ave cocidas 120g</t>
  </si>
  <si>
    <t>&lt; ④ Qué: piezas – cucharones – lonchas, etc.</t>
  </si>
  <si>
    <t>⑦ Infantil</t>
  </si>
  <si>
    <t>⑦ Primaria</t>
  </si>
  <si>
    <t>⑦ Adultos</t>
  </si>
  <si>
    <t>⑦ Mayores</t>
  </si>
  <si>
    <t>Comensales</t>
  </si>
  <si>
    <t>Infantil</t>
  </si>
  <si>
    <t>Primaria</t>
  </si>
  <si>
    <t>Adultos</t>
  </si>
  <si>
    <t>Mayores</t>
  </si>
  <si>
    <t>◄ You can hide these 10 columns ▼</t>
  </si>
  <si>
    <t>◄ Puede ocultar estas 10 columnas ▼</t>
  </si>
  <si>
    <t>&lt; Weight per portion</t>
  </si>
  <si>
    <t>Qué?▼</t>
  </si>
  <si>
    <t>Gramajes por ración ►</t>
  </si>
  <si>
    <t>Nº de cubiertos ►</t>
  </si>
  <si>
    <t>Familias ►</t>
  </si>
  <si>
    <t>Ce document se termine cellule &gt;</t>
  </si>
  <si>
    <t xml:space="preserve"> </t>
  </si>
  <si>
    <t>7 Recettes de Beignets d'acacia</t>
  </si>
  <si>
    <t>Modèle</t>
  </si>
  <si>
    <t>Saisie en g.kg.L.dl.cl.ml résultats en gr si inférieur à 1 Kg sinon résultat en Kg</t>
  </si>
  <si>
    <t>Passez le flambeau. Transmettez vos savoir-faire : les apprenants comprendront plus vite, réussiront mieux et feront progresser vos documents.</t>
  </si>
  <si>
    <t>COLONNES</t>
  </si>
  <si>
    <t>Si vous masquez des colonnes cliquez sur F9 pour la mise à jour</t>
  </si>
  <si>
    <t>BEIGNETS D'ACACIA</t>
  </si>
  <si>
    <t>pâtisserie--Beignets</t>
  </si>
  <si>
    <t>Lignes affichées</t>
  </si>
  <si>
    <t>Pourquoi coller texte et quantités dans ce tableau ? Pour conserver la recette originale de l'Auteur et pour vérification en cas d'erreur de saisie</t>
  </si>
  <si>
    <t>Cuisine Actuelle</t>
  </si>
  <si>
    <t>BEIGNETS D'ACACIA Cuisine Actuelle</t>
  </si>
  <si>
    <t>personnes</t>
  </si>
  <si>
    <t>Lignes masquées</t>
  </si>
  <si>
    <t>Total lignes</t>
  </si>
  <si>
    <t>Comment masquer les lignes</t>
  </si>
  <si>
    <t>poignée</t>
  </si>
  <si>
    <t>fleurs d'acacia</t>
  </si>
  <si>
    <t>farine</t>
  </si>
  <si>
    <t xml:space="preserve">1 - cliquez sur les 2 cellules A rouge et flèche ►sur fond bleu </t>
  </si>
  <si>
    <t>œuf</t>
  </si>
  <si>
    <t>lait</t>
  </si>
  <si>
    <t>C/café</t>
  </si>
  <si>
    <t>levure</t>
  </si>
  <si>
    <t>sucre</t>
  </si>
  <si>
    <t>Puis  Données &gt; Filtrer</t>
  </si>
  <si>
    <t xml:space="preserve"> Cliquez sur la flèche de tri qui apparait sur la cellule A rouge</t>
  </si>
  <si>
    <t>PM</t>
  </si>
  <si>
    <t>sucre glace</t>
  </si>
  <si>
    <t>bain de friture</t>
  </si>
  <si>
    <t xml:space="preserve"> Choisissez des valeurs spécifiques : Décochez (Sélectionner tout) pour décocher toutes les cases, </t>
  </si>
  <si>
    <t xml:space="preserve">Séparez le blanc du jaune d’œuf. Versez la farine dans un saladier et mélangez avec le sucre et la levure. </t>
  </si>
  <si>
    <t>Faites un puits au centre, ajoutez le jaune d’œuf et délayez petit à petit avec le lait.</t>
  </si>
  <si>
    <t>Fouettez le blanc en neige puis incorporez-le à la préparation. Laissez reposer la pâte 2h.</t>
  </si>
  <si>
    <t xml:space="preserve">Faites chauffer le bain de friture. </t>
  </si>
  <si>
    <t>ou cliquez de nouveau sur "l'entonnoir" trier en haut de l'écran pour désactiver la fonction Tri</t>
  </si>
  <si>
    <t xml:space="preserve">Nettoyez les fleurs d’accacia sans les faire tremper puis plongez-les dans la pâte à beignet puis la friture. </t>
  </si>
  <si>
    <t>Laissez cuire 2 min en les retournant.</t>
  </si>
  <si>
    <t>Egouttez sur un papier absorbant, saupoudrez de sucre et dégustez.</t>
  </si>
  <si>
    <t>Puis cochez A pour selectionner les lignes à afficher</t>
  </si>
  <si>
    <t>Pour l'affichage de toutes les lignes faites l'inverse cochez (Sélectionner tout)</t>
  </si>
  <si>
    <t>Fonction Excel : JOINDRE.TEXTE</t>
  </si>
  <si>
    <t>https://www.excel-pratique.com/fr/fonctions/joindre-texte</t>
  </si>
  <si>
    <t>EXCEL - MASQUER DES ÉLÉMENTS</t>
  </si>
  <si>
    <t>https://www.youtube.com/watch?v=8NMinBfc9EU</t>
  </si>
  <si>
    <t>750 Grammes</t>
  </si>
  <si>
    <t>et sélectionnez vidéos</t>
  </si>
  <si>
    <t>C/s</t>
  </si>
  <si>
    <t>sucre poudre</t>
  </si>
  <si>
    <t>sachet(s)</t>
  </si>
  <si>
    <t>seucre vanillé</t>
  </si>
  <si>
    <t>grappes</t>
  </si>
  <si>
    <t>grappes de fleurs d'acacia</t>
  </si>
  <si>
    <t>bière blonde bien froide</t>
  </si>
  <si>
    <t>Mélangez les ingrédients de la pâte à beignets, bien mixer au fouet</t>
  </si>
  <si>
    <t>oeufs</t>
  </si>
  <si>
    <t>et laissez reposer une heure.</t>
  </si>
  <si>
    <t>huile de friture</t>
  </si>
  <si>
    <t>pincée(s)</t>
  </si>
  <si>
    <t>sel</t>
  </si>
  <si>
    <t>Faites chauffer de l'huile de cuisson (idéalement de l'huile de pépins de raisin, elle est neutre et supporte bien la cuisson).</t>
  </si>
  <si>
    <t>Pendant ce temps, séparez les fleurs des branchages si ce n'est pas déjà fait, tout en conservant un petit bout de tige qui vous permettra de tenir la grappe de fleurs.</t>
  </si>
  <si>
    <t>Plongez la grappe dans la pâte puis plongez-la dans l'huile chaude. </t>
  </si>
  <si>
    <t>Laissez cuire quelques secondes, le temps que le beignet remonte à la surface et soit doré, retournez et sortez-le avec une passoire</t>
  </si>
  <si>
    <t>Posez-le sur du papier absorbant.</t>
  </si>
  <si>
    <t>Sucrez-le avec du sucre en poudre ou du sucre glace.</t>
  </si>
  <si>
    <t>Servez tiède.</t>
  </si>
  <si>
    <t>Les beignets peuvent être déposés par la suite sur du papier alu et enfournés à 100° pendant 10 minutes.</t>
  </si>
  <si>
    <t>Vous pouvez également aromatisé la pâte avec de l'armagnac par exemple.</t>
  </si>
  <si>
    <t>Pendant ce temps, séparez les fleurs des branchages si ce n'est pas déjà fait, tout en conservant un petit bout de tige</t>
  </si>
  <si>
    <t xml:space="preserve"> qui vous permettra de tenir la grappe de fleurs.</t>
  </si>
  <si>
    <t>Laissez cuire quelques secondes, le temps que le beignet remonte à la surface et soit doré,</t>
  </si>
  <si>
    <t xml:space="preserve"> retournez et sortez-le avec une passoire</t>
  </si>
  <si>
    <t>Journal des Femmes</t>
  </si>
  <si>
    <t>BEIGNETS D'ACACIA Journal des Femmes</t>
  </si>
  <si>
    <t>verre</t>
  </si>
  <si>
    <t>œufs frais</t>
  </si>
  <si>
    <t>un peu</t>
  </si>
  <si>
    <t>C/soupe</t>
  </si>
  <si>
    <t>eau de fleur d'oranger</t>
  </si>
  <si>
    <t>Passez délicatement les grappes de fleurs sous un filet d'eau froide pour les rincer. Faites-les égoutter sur un torchon propre et sec.</t>
  </si>
  <si>
    <t>2 Préparez la pâte : dans un saladier, mélangez le lait et les œufs. Ajoutez le verre de farine et le sucre. Bien mélanger. Enfin ajouter l'eau de fleur d'oranger.</t>
  </si>
  <si>
    <t>Faites chauffer l'huile de friture dans une poêle assez haute. Attrapez les grappes de fleurs par les queues, et les tremper une à une dans la pâte. Égouttez-les un peu et mettez-les dans l'huile chaude. Ne les faites pas cuire trop longtemps, pour ne pas griller la fleur. N'oubliez pas de les retourner. Egouttez-les sur du papier absorbant.</t>
  </si>
  <si>
    <t>4 Placez-les dans un plat et saupoudrez-les de sucre glace.</t>
  </si>
  <si>
    <t xml:space="preserve">Passez délicatement les grappes de fleurs sous un filet d'eau froide pour les rincer. </t>
  </si>
  <si>
    <t>Faites-les égoutter sur un torchon propre et sec.</t>
  </si>
  <si>
    <t xml:space="preserve">Préparez la pâte : dans un saladier, mélangez le lait et les œufs. </t>
  </si>
  <si>
    <t xml:space="preserve">Faites chauffer l'huile de friture dans une poêle assez haute. </t>
  </si>
  <si>
    <t xml:space="preserve">Attrapez les grappes de fleurs par les queues, et les tremper une à une dans la pâte. </t>
  </si>
  <si>
    <t xml:space="preserve">Égouttez-les un peu et mettez-les dans l'huile chaude. Ne les faites pas cuire trop longtemps, pour ne pas griller la fleur. </t>
  </si>
  <si>
    <t>Placez-les dans un plat et saupoudrez-les de sucre glace.</t>
  </si>
  <si>
    <t>France 3 Carnets de Julie</t>
  </si>
  <si>
    <t>https://www.facebook.com/terresduzes/photos/les-carnets-de-julie-le-pays-de-luz%C3%A8ge-dans-le-gardles-beignets-de-fleurs-dacaci/723584744361304/</t>
  </si>
  <si>
    <t>beurre</t>
  </si>
  <si>
    <t>eau</t>
  </si>
  <si>
    <t>sucre en poudre</t>
  </si>
  <si>
    <t xml:space="preserve"> Cueillez les grappes de fleurs à la floraison (avril-mai).</t>
  </si>
  <si>
    <t>Faites chauffer l’huile dans un wok.</t>
  </si>
  <si>
    <t xml:space="preserve">Préparez la pâte à beignets sans tarder: mélangez la farine, le sel, la levure, le jaune de l’œuf et 25 cl d’eau. </t>
  </si>
  <si>
    <t xml:space="preserve"> Ajoutez le blanc d’œuf battu en neige et le sirop si vous l’utilisez. </t>
  </si>
  <si>
    <t>Caressez la pâte avec les fleurs en les tenants par la tige et plongez-les dans l’huile chaude mais pas bouillante.</t>
  </si>
  <si>
    <t xml:space="preserve"> Laissez dorer de chaque côté et retirez à l’écumoire. Déposez sur une feuille de papier absorbant.</t>
  </si>
  <si>
    <t xml:space="preserve"> Saupoudrez légèrement de sucre. Mangez-les bien chauds !</t>
  </si>
  <si>
    <t>Conseils de Julie :</t>
  </si>
  <si>
    <t>Mieux vaut cueillir les fleurs le matin entre 9 et 11 h, avant les chaleurs mais après le séchage de la rosée.</t>
  </si>
  <si>
    <t>Si vous n’avez pas de sirop, remplacez-le par 1 cuillère à soupe de sucre.</t>
  </si>
  <si>
    <t xml:space="preserve">Les fleurs sont toujours très fragiles après avoir été cueillies, </t>
  </si>
  <si>
    <t xml:space="preserve"> conservez-les (le moins longtemps possible) dans un Tupperware, </t>
  </si>
  <si>
    <t>entre des couches de papier absorbant humidifié.</t>
  </si>
  <si>
    <t>Supertoinette</t>
  </si>
  <si>
    <t>BEIGNETS D'ACACIA Supertoinette</t>
  </si>
  <si>
    <t>oeuf (1 gros oeuf)</t>
  </si>
  <si>
    <t>sel fin</t>
  </si>
  <si>
    <t>levure de boulanger</t>
  </si>
  <si>
    <t>miel des pyrénées</t>
  </si>
  <si>
    <t>250 g d'eau</t>
  </si>
  <si>
    <t>1. Couper les pointes des fleurs d'acacia, les tiges doivent être tendres. Laver sous l'eau courante, éponger délicatement. Mettre la friteuse à chauffer (170°C).</t>
  </si>
  <si>
    <t>2. Dans le bol du robot mélangeur, ajouter la farine, l'oeuf, le sel, la levure de boulanger dissoute dans un peu d'eau, le miel, l'eau de fleur d'oranger.</t>
  </si>
  <si>
    <t>3. Mélanger en ajoutant peu à peu l'eau pour obtenir une pâte à beignets qui couvre bien votre cuillère.  Laisser reposer 2 heures.</t>
  </si>
  <si>
    <t>4. Couvrir une assiette d'un papier absorbant. Vérifier le bain de friture en jetant un dé de pain, il s'entoure de petites bulles, vous pouvez commencer votre friture.</t>
  </si>
  <si>
    <t>5. Plonger les fleurs d'acacia dans la pâte à frire puis dans l'huile chaude. Cuire quelques minutes, dès qu'elles sont dorées, retourner. Servir avec sucre glace.</t>
  </si>
  <si>
    <t>◄ vous pouvez masquer les 10 colonnes de C à L</t>
  </si>
  <si>
    <t xml:space="preserve">Couper les pointes des fleurs d'acacia, les tiges doivent être tendres. Laver sous l'eau courante, </t>
  </si>
  <si>
    <t>éponger délicatement. Mettre la friteuse à chauffer (170°C).</t>
  </si>
  <si>
    <t xml:space="preserve">Mélanger en ajoutant peu à peu l'eau pour obtenir une pâte à beignets qui couvre bien votre cuillère. </t>
  </si>
  <si>
    <t xml:space="preserve"> Laisser reposer 2 heures.</t>
  </si>
  <si>
    <t>Couvrir une assiette d'un papier absorbant. Vérifier le bain de friture en jetant un dé de pain,</t>
  </si>
  <si>
    <t xml:space="preserve"> il s'entoure de petites bulles, vous pouvez commencer votre friture. </t>
  </si>
  <si>
    <t xml:space="preserve">Plonger les fleurs d'acacia dans la pâte à frire puis dans l'huile chaude. </t>
  </si>
  <si>
    <t>Cuire quelques minutes, dès qu'elles sont dorées, retourner. Servir avec sucre glace.</t>
  </si>
  <si>
    <t>Ces beignets se conservent  2 jours on peut les manger chauds ou froids.</t>
  </si>
  <si>
    <t>Prévoir pour un apéritif 3 à 4 pièces par personne.</t>
  </si>
  <si>
    <t>Pour le cocktail la même quantité  pour la première heure puis 2 pièces par heure.</t>
  </si>
  <si>
    <t>Pour un après-midi ou une soirée complète : 8 pièces par personne</t>
  </si>
  <si>
    <t xml:space="preserve"> pour toute la durée de la réception.</t>
  </si>
  <si>
    <t>Vous pouvez remplacer le miel des Pyrénées par un miel de votre région.</t>
  </si>
  <si>
    <t>Au Féminin.com</t>
  </si>
  <si>
    <t>BEIGNETS D'ACACIA Au Féminin.com</t>
  </si>
  <si>
    <t>fleurs acacia quelques branches</t>
  </si>
  <si>
    <t>PATE A FRIRE ou à BEIGNETS</t>
  </si>
  <si>
    <t>œufs entiers</t>
  </si>
  <si>
    <t>bière ou lait</t>
  </si>
  <si>
    <t>Couper les pointes des fleurs d'acacia, les tiges doivent être tendres. Laver, sous l'eau courante, éponger délicatement. Réserver sur plan de travail.</t>
  </si>
  <si>
    <t>Mélanger tous les ingrédients pour faire la pâte à frire.</t>
  </si>
  <si>
    <t>Préparer votre bain de friture. Laisser chauffer. Dès qu'il est chaud, jetez un bout de pain : s'il s'entoure de petites bulles vous pouvez commencer votre friture.</t>
  </si>
  <si>
    <t>Plonger les fleurs d'acacia dans la pâte à frire puis dans l'huile chaude.</t>
  </si>
  <si>
    <t>Cuire quelques minutes, dès qu'elles sont dorées retourner.</t>
  </si>
  <si>
    <t>Servir avec du sucre glace ou un mélange de sucre vanillé et sucre semoule ou une crème anglaise.</t>
  </si>
  <si>
    <t xml:space="preserve">les grappes de fleurs d'accacia, rincées si le ciel n'y a pas pourvu </t>
  </si>
  <si>
    <t>Réserver sur plan de travail.</t>
  </si>
  <si>
    <t xml:space="preserve">Faire une pâte à beignet, en dosant le lait pour obtenir une pâte bien coulante </t>
  </si>
  <si>
    <t xml:space="preserve">Dans un saladier, faire un puit au milieu de la farine y mettre le sucre,les oeufs l'huile, </t>
  </si>
  <si>
    <t>Préparer votre bain de friture. Laisser chauffer.</t>
  </si>
  <si>
    <t xml:space="preserve"> Dès qu'il est chaud, jetez un bout de pain : s'il s'entoure de petites bulles </t>
  </si>
  <si>
    <t xml:space="preserve">l'eau de fleur d'oranger. mélanger progressivement au milieu en rajoutant doucement le lait </t>
  </si>
  <si>
    <t>vous pouvez commencer votre friture.</t>
  </si>
  <si>
    <t>Préparer la poêle bien chaude et y passer un papier absorbant bien imbibé d'huile.</t>
  </si>
  <si>
    <t>Dans le saladier de pâte disposer les grappes de fleurs la tige vers en haut par petites quantité.</t>
  </si>
  <si>
    <t xml:space="preserve">Dès que la poêle est bien chaude y déposer un lit de grappes imbibées de pâte. </t>
  </si>
  <si>
    <t xml:space="preserve">laisser dorer puis les retourner quand elles sont dorées des deux côtés. </t>
  </si>
  <si>
    <t xml:space="preserve">déposer sur un papier absorbant saupoudré de sucre! </t>
  </si>
  <si>
    <t>BEIGNETS D'ACACIA Délice de Celeste</t>
  </si>
  <si>
    <t>œuf(s)</t>
  </si>
  <si>
    <t>Œuf</t>
  </si>
  <si>
    <t>Sucre en poudre</t>
  </si>
  <si>
    <t>Lait</t>
  </si>
  <si>
    <t>Bière</t>
  </si>
  <si>
    <t>1. Mélangez la farine, les sucre et le sel.</t>
  </si>
  <si>
    <t>et sélectionnez dans la barre de formule le numéro ou la lettre qui vous intéresse choisissez la police de caractères et la couleur qui vous conviennent</t>
  </si>
  <si>
    <t>Sucre vanillé</t>
  </si>
  <si>
    <t>2. Faites un puis et ajoutez l’œuf, mélangez et incorporez le lait.</t>
  </si>
  <si>
    <t>Sel</t>
  </si>
  <si>
    <t>3. Ajoutez ensuite la bière, incorporez la bien et laissez reposer votre pâte 15 minutes.</t>
  </si>
  <si>
    <t>Fleurs d'acacia</t>
  </si>
  <si>
    <t>4. En attends, secouez vos grappes de fleurs d'acacia pour en retirer les petites bêbêtes (vous pouvez aussi les rincer, mais veillez à bien les sécher).</t>
  </si>
  <si>
    <t>5. Faites chauffer à feu moyen votre huile/friteuse.</t>
  </si>
  <si>
    <t>6. Trempez une grappe dans la pâte à beignet, plongez-la dans votre huile et laissez dorer (mettez en 4 à la fois mais pas plus, pour ne pas refroidir votre huile).</t>
  </si>
  <si>
    <t>7. Sortez du bain d'huile, laissez quelques secondes sur un papier absorbant, saupoudrez de sucre glace et dégustez (chaud c'est meilleur !).</t>
  </si>
  <si>
    <t>Pass the torch. Share your know-how: learners will understand faster, succeed better, and improve your documents.</t>
  </si>
  <si>
    <t>Pasen la antorcha. Transmitan su saber hacer: los aprendices comprenderán más rápido, tendrán más éxito y mejorarán sus documentos.</t>
  </si>
  <si>
    <t xml:space="preserve">Quoi </t>
  </si>
  <si>
    <t xml:space="preserve">Date de mise à jour : 01 DÉCEMBRE 2025 </t>
  </si>
  <si>
    <t>Col.20</t>
  </si>
  <si>
    <t>couper 1 froid en petits morceaux</t>
  </si>
  <si>
    <t xml:space="preserve">mélanger avec 2.3.4.5.6 </t>
  </si>
  <si>
    <t xml:space="preserve">faire court 1 verbe = 1 action </t>
  </si>
  <si>
    <t>J’ai utilisé le point comme séparateur décimal.</t>
  </si>
  <si>
    <t>I used the period as the decimal separator.</t>
  </si>
  <si>
    <t>He utilizado el punto como separador decimal.</t>
  </si>
  <si>
    <t xml:space="preserve">j'ai utilisé un pc portable pour faire un tableau excel,sur ce pc portable il fallait que je saisisse les décimales avec une , virgule tu m'as donc créé une formule pour tester </t>
  </si>
  <si>
    <t>= SI(ESTNUM(SIERREUR(CNUM("0,5");"")); "OK votre séparateur est bien une VIRGULE"; "ATTENTION votre séparateur est un POINT ; veuillez régler votre séparateur pour le bon fonctionnement des formules");</t>
  </si>
  <si>
    <t>j'ai recopié ce fichier sur mon ordinateur de bureau; l'alerte s'affiche parce que j'utilise le séparateur . du clavier numérique et pourtant les formules fonctionnent.je ne comprend plus rien</t>
  </si>
  <si>
    <t>Tu n’es pas fou, c’est juste Excel + Windows qui font un duo bizarre.</t>
  </si>
  <si>
    <t>On décortique.</t>
  </si>
  <si>
    <t>1. Ta formule de test, ce qu’elle fait vraiment</t>
  </si>
  <si>
    <t>Ta formule :</t>
  </si>
  <si>
    <t>SI(ESTNUM(SIERREUR(CNUM("0,5");""));"OK votre séparateur est bien une VIRGULE";"ATTENTION votre séparateur est un POINT ; veuillez régler votre séparateur pour le bon fonctionnement des formules")</t>
  </si>
  <si>
    <t>CNUM("0,5")</t>
  </si>
  <si>
    <t>SIERREUR(CNUM("0,5");"")</t>
  </si>
  <si>
    <t>si c’est un nombre → renvoie 0,5</t>
  </si>
  <si>
    <t>ESTNUM(...)</t>
  </si>
  <si>
    <t>VRAI → message “VIRGULE”</t>
  </si>
  <si>
    <t>FAUX → message “POINT”</t>
  </si>
  <si>
    <t>Donc si l’alerte “POINT” s’affiche sur ton PC de bureau, ça veut dire :</t>
  </si>
  <si>
    <t>2. Pourquoi les formules “fonctionnent quand même” avec le pavé numérique</t>
  </si>
  <si>
    <t>Tu dis :</t>
  </si>
  <si>
    <t>Deux possibilités très fréquentes :</t>
  </si>
  <si>
    <t>1. Le pavé numérique n’envoie pas ce que tu crois</t>
  </si>
  <si>
    <t>→ Toi tu vois “.” sur la touche, mais Excel reçoit une virgule → les formules basées sur la virgule continuent de marcher.</t>
  </si>
  <si>
    <t>2. Tes formules n’utilisent pas de nombres “écrits en dur”</t>
  </si>
  <si>
    <t>Donc tu peux très bien avoir :</t>
  </si>
  <si>
    <t>Excel configuré en “séparateur = virgule”</t>
  </si>
  <si>
    <t>le pavé numérique qui te met directement une virgule</t>
  </si>
  <si>
    <t>ta formule de test qui est mal calibrée ou qui ne teste pas ce que tu crois réellement.</t>
  </si>
  <si>
    <t xml:space="preserve">📌 Variante :  </t>
  </si>
  <si>
    <t xml:space="preserve">Dans une autre cellule, tapez la formule : `=1/2`  </t>
  </si>
  <si>
    <t>Test 1/2</t>
  </si>
  <si>
    <t>Humour généré par ChatGPT</t>
  </si>
  <si>
    <t>Les tableaux Excel de production quand on commence à empiler les formules, ça ressemble vite plus à une usine à boulons qu’à une cuisine.</t>
  </si>
  <si>
    <t>Pour résumer tes intitulés possibles pour les fiches recettes, tu peux te faire un petit standard du genre :</t>
  </si>
  <si>
    <t>QUANTITÉ à préparer</t>
  </si>
  <si>
    <t>TOTAL à préparer</t>
  </si>
  <si>
    <t>TOTAL à produire</t>
  </si>
  <si>
    <t>Ça sonne pro, clair, et ça évite l’image du chef en bleu de travail devant une presse hydraulique.</t>
  </si>
  <si>
    <t>Et si un jour tu veux renommer toutes tes “usines à boulons” en “étoiles Michelin” dans ton classeur, on pourra se faire une petite passe de nettoyage de libellés ensemble.</t>
  </si>
  <si>
    <t>quelles sont les principales nouvelles fonctions utilisées par excel 365 et non compatibles avec excel 2023</t>
  </si>
  <si>
    <t>Bonne question de producteur qui se bat avec des #NOM? partout 😅</t>
  </si>
  <si>
    <t>Je vais répondre en mode utile pour toi :</t>
  </si>
  <si>
    <t>1. Fonctions “tableaux dynamiques” avancées</t>
  </si>
  <si>
    <t>Celles-ci sont très utilisées dans les tutos modernes, mais cassent dans les vieilles versions :</t>
  </si>
  <si>
    <t>Sur une version non-365, tout ça donne #NOM?.</t>
  </si>
  <si>
    <t>2. Fonctions texte modernes</t>
  </si>
  <si>
    <r>
      <t xml:space="preserve">Elles remplacent souvent des usines à </t>
    </r>
    <r>
      <rPr>
        <sz val="12"/>
        <color theme="1"/>
        <rFont val="Arial Unicode MS"/>
      </rPr>
      <t>GAUCHE</t>
    </r>
    <r>
      <rPr>
        <sz val="12"/>
        <color theme="1"/>
        <rFont val="Calibri"/>
        <family val="2"/>
        <scheme val="minor"/>
      </rPr>
      <t>/</t>
    </r>
    <r>
      <rPr>
        <sz val="12"/>
        <color theme="1"/>
        <rFont val="Arial Unicode MS"/>
      </rPr>
      <t>DROITE</t>
    </r>
    <r>
      <rPr>
        <sz val="12"/>
        <color theme="1"/>
        <rFont val="Calibri"/>
        <family val="2"/>
        <scheme val="minor"/>
      </rPr>
      <t>/</t>
    </r>
    <r>
      <rPr>
        <sz val="12"/>
        <color theme="1"/>
        <rFont val="Arial Unicode MS"/>
      </rPr>
      <t>CHERCHE</t>
    </r>
    <r>
      <rPr>
        <sz val="12"/>
        <color theme="1"/>
        <rFont val="Calibri"/>
        <family val="2"/>
        <scheme val="minor"/>
      </rPr>
      <t>.</t>
    </r>
  </si>
  <si>
    <t>3. Fonctions de réorganisation de tableaux</t>
  </si>
  <si>
    <t>Très 365 aussi :</t>
  </si>
  <si>
    <r>
      <t xml:space="preserve">Tout ça est </t>
    </r>
    <r>
      <rPr>
        <b/>
        <sz val="14"/>
        <color rgb="FF0000FF"/>
        <rFont val="Calibri"/>
        <family val="2"/>
        <scheme val="minor"/>
      </rPr>
      <t>inconnu</t>
    </r>
    <r>
      <rPr>
        <sz val="14"/>
        <color rgb="FF0000FF"/>
        <rFont val="Calibri"/>
        <family val="2"/>
        <scheme val="minor"/>
      </rPr>
      <t xml:space="preserve"> en Excel “classique”.</t>
    </r>
  </si>
  <si>
    <t>4. Fonctions “programmation” / calcul avancé</t>
  </si>
  <si>
    <t>Très à la mode en 365, inexistantes dans les anciens :</t>
  </si>
  <si>
    <t>5. Fonctions de recherche modernes (selon ta version)</t>
  </si>
  <si>
    <t>Concrètement pour toi</t>
  </si>
  <si>
    <t>Sur tes fichiers :</t>
  </si>
  <si>
    <t>LET</t>
  </si>
  <si>
    <t>LAMBDA</t>
  </si>
  <si>
    <t>parfois des fonctions tableau récentes</t>
  </si>
  <si>
    <t>En gros :</t>
  </si>
  <si>
    <t>Excel 365 = jouets modernes, très lisibles.</t>
  </si>
  <si>
    <t>Excel non 365 = on fait la même chose, mais avec des formules plus longues et un peu “usine à gaz”.</t>
  </si>
  <si>
    <t>Quand ton classeur recommencera à ressembler à une centrale nucléaire, tu reviens, on démonte les formules une par une. Bonne production &amp; bons tableaux !</t>
  </si>
  <si>
    <t>and "RECHERCHEX" col.16 this text; it is used in a search formula for the directory.</t>
  </si>
  <si>
    <t>y «RECHERCHEX» col.16 se utiliza en una fórmula de búsqueda para el directorio.</t>
  </si>
  <si>
    <t>et le texte "RECHERCHEX" col16 sont utilisés pour le fonctionnement des fiches répertoire</t>
  </si>
  <si>
    <t>As a replacement, paste the additional items if needed.</t>
  </si>
  <si>
    <t>Como reemplazo, pega los complementos si los necesitas.</t>
  </si>
  <si>
    <t>List of containers</t>
  </si>
  <si>
    <t>paupiette</t>
  </si>
  <si>
    <t>Contenedores</t>
  </si>
  <si>
    <t>Efectivo &gt;</t>
  </si>
  <si>
    <t>En 1 contenedor ▼</t>
  </si>
  <si>
    <t>Raciones ▼</t>
  </si>
  <si>
    <t>Pollo 4/4 – 12 muslos CRUDOS</t>
  </si>
  <si>
    <t>Pollo 4/4 – 24 muslos pequeños COCIDOS</t>
  </si>
  <si>
    <t>25 Escalopes de ave cocidos (120g)</t>
  </si>
  <si>
    <t>Carne en lonchas – 60 lonchas</t>
  </si>
  <si>
    <t>25 Paupiettes de pavo (120g)</t>
  </si>
  <si>
    <t>20 Tomates rellenos</t>
  </si>
  <si>
    <t>7,2 kg Tartiflette</t>
  </si>
  <si>
    <t>4 kg Brandada de bacalao</t>
  </si>
  <si>
    <t>3 kg Estofado en trozos</t>
  </si>
  <si>
    <t>muslo</t>
  </si>
  <si>
    <t>loncha</t>
  </si>
  <si>
    <t>tomate</t>
  </si>
  <si>
    <t>NÚMERO DE RACIONES Y GRAMAJE POR RACIÓN</t>
  </si>
  <si>
    <t xml:space="preserve">CALCULE SUS PESOS </t>
  </si>
  <si>
    <t>ENVASADO</t>
  </si>
  <si>
    <t>AIDE – Compatibilité Excel &amp; réglages</t>
  </si>
  <si>
    <t>Ce fichier utilise des fonctions récentes d’Excel : LET et RECHERCHEX.</t>
  </si>
  <si>
    <t>Ces fonctions ne sont disponibles que dans Excel 365 et Excel 2021 (ou versions plus récentes).</t>
  </si>
  <si>
    <t>Si votre version d’Excel est trop ancienne, certaines cellules afficheront l’erreur #NOM? à la place d’un résultat.</t>
  </si>
  <si>
    <t>Utilisez les tests ci-dessous pour vérifier la compatibilité de votre Excel avec ce fichier.</t>
  </si>
  <si>
    <t>🔎 Test des fonctions LET et RECHERCHEX</t>
  </si>
  <si>
    <t>Si votre Excel reconnaît ces fonctions, ce fichier fonctionnera normalement.</t>
  </si>
  <si>
    <t>Si votre Excel ne les reconnaît pas, des erreurs #NOM? apparaîtront et certaines formules devront être adaptées.</t>
  </si>
  <si>
    <t>2. Test LET + RECHERCHEX</t>
  </si>
  <si>
    <t>4. Version interne d’Excel</t>
  </si>
  <si>
    <t>Cette information est indicative et ne permet pas de distinguer clairement Excel 2016 / 2019 / 2021 / 365.</t>
  </si>
  <si>
    <t>Pour connaître précisément votre édition (365, 2021…), consultez : Fichier → Compte → Informations sur le produit.</t>
  </si>
  <si>
    <t>5. Rappel pour l’utilisateur en cas de #NOM?</t>
  </si>
  <si>
    <t>3. ⚙ Test du séparateur décimal (virgule ou point)</t>
  </si>
  <si>
    <t>(passer à l’usage du POINT « . »)</t>
  </si>
  <si>
    <t>ou donner des résultats bizarres.</t>
  </si>
  <si>
    <t>Pour corriger cela, suivez calmement les étapes ci-dessous.</t>
  </si>
  <si>
    <t>Étape 1 – Ouvrir les options d’Excel</t>
  </si>
  <si>
    <t>Étape 2 – Modifier le séparateur décimal</t>
  </si>
  <si>
    <t>Si malgré tout vous êtes perdu(e), montrez cette page à quelqu’un qui connait un peu Excel :</t>
  </si>
  <si>
    <t>les étapes sont déjà prêtes, il n’aura qu’à les suivre pour vous.</t>
  </si>
  <si>
    <t>Comment changer le séparateur décimal dans Excel</t>
  </si>
  <si>
    <t>Si Excel attend un POINT, saisissez vos nombres comme 1.5</t>
  </si>
  <si>
    <r>
      <t xml:space="preserve">Ce fichier a été créé avec le </t>
    </r>
    <r>
      <rPr>
        <b/>
        <sz val="14"/>
        <color theme="1"/>
        <rFont val="Calibri"/>
        <family val="2"/>
        <scheme val="minor"/>
      </rPr>
      <t>POINT « . »</t>
    </r>
    <r>
      <rPr>
        <sz val="14"/>
        <color theme="1"/>
        <rFont val="Calibri"/>
        <family val="2"/>
        <scheme val="minor"/>
      </rPr>
      <t xml:space="preserve"> comme séparateur décimal</t>
    </r>
  </si>
  <si>
    <r>
      <t xml:space="preserve">(exemple : </t>
    </r>
    <r>
      <rPr>
        <sz val="14"/>
        <color theme="1"/>
        <rFont val="Arial Unicode MS"/>
      </rPr>
      <t>1.5</t>
    </r>
    <r>
      <rPr>
        <sz val="14"/>
        <color theme="1"/>
        <rFont val="Calibri"/>
        <family val="2"/>
        <scheme val="minor"/>
      </rPr>
      <t xml:space="preserve"> pour « un virgule cinq »).</t>
    </r>
  </si>
  <si>
    <r>
      <t xml:space="preserve">Sur votre ordinateur, Excel utilise peut-être la </t>
    </r>
    <r>
      <rPr>
        <b/>
        <sz val="14"/>
        <color theme="1"/>
        <rFont val="Calibri"/>
        <family val="2"/>
        <scheme val="minor"/>
      </rPr>
      <t>VIRGULE « , »</t>
    </r>
    <r>
      <rPr>
        <sz val="14"/>
        <color theme="1"/>
        <rFont val="Calibri"/>
        <family val="2"/>
        <scheme val="minor"/>
      </rPr>
      <t xml:space="preserve"> à la place.</t>
    </r>
  </si>
  <si>
    <r>
      <t>Dans ce cas, certaines formules peuvent afficher une erreur (</t>
    </r>
    <r>
      <rPr>
        <sz val="14"/>
        <color theme="1"/>
        <rFont val="Arial Unicode MS"/>
      </rPr>
      <t>#NOM?</t>
    </r>
    <r>
      <rPr>
        <sz val="14"/>
        <color theme="1"/>
        <rFont val="Calibri"/>
        <family val="2"/>
        <scheme val="minor"/>
      </rPr>
      <t xml:space="preserve">, </t>
    </r>
    <r>
      <rPr>
        <sz val="14"/>
        <color theme="1"/>
        <rFont val="Arial Unicode MS"/>
      </rPr>
      <t>#VALEUR?</t>
    </r>
    <r>
      <rPr>
        <sz val="14"/>
        <color theme="1"/>
        <rFont val="Calibri"/>
        <family val="2"/>
        <scheme val="minor"/>
      </rPr>
      <t>)</t>
    </r>
  </si>
  <si>
    <r>
      <t xml:space="preserve">1. Ouvrez </t>
    </r>
    <r>
      <rPr>
        <b/>
        <sz val="14"/>
        <color theme="1"/>
        <rFont val="Calibri"/>
        <family val="2"/>
        <scheme val="minor"/>
      </rPr>
      <t>Excel</t>
    </r>
    <r>
      <rPr>
        <sz val="14"/>
        <color theme="1"/>
        <rFont val="Calibri"/>
        <family val="2"/>
        <scheme val="minor"/>
      </rPr>
      <t xml:space="preserve"> et ce fichier.</t>
    </r>
  </si>
  <si>
    <r>
      <t xml:space="preserve">2. En haut à gauche, cliquez sur le menu </t>
    </r>
    <r>
      <rPr>
        <b/>
        <sz val="14"/>
        <color theme="1"/>
        <rFont val="Calibri"/>
        <family val="2"/>
        <scheme val="minor"/>
      </rPr>
      <t>« Fichier »</t>
    </r>
    <r>
      <rPr>
        <sz val="14"/>
        <color theme="1"/>
        <rFont val="Calibri"/>
        <family val="2"/>
        <scheme val="minor"/>
      </rPr>
      <t>.</t>
    </r>
  </si>
  <si>
    <r>
      <t xml:space="preserve">3. Dans la colonne de gauche, tout en bas, cliquez sur </t>
    </r>
    <r>
      <rPr>
        <b/>
        <sz val="14"/>
        <color theme="1"/>
        <rFont val="Calibri"/>
        <family val="2"/>
        <scheme val="minor"/>
      </rPr>
      <t>« Options »</t>
    </r>
    <r>
      <rPr>
        <sz val="14"/>
        <color theme="1"/>
        <rFont val="Calibri"/>
        <family val="2"/>
        <scheme val="minor"/>
      </rPr>
      <t>.</t>
    </r>
  </si>
  <si>
    <r>
      <t xml:space="preserve">Une fenêtre nommée </t>
    </r>
    <r>
      <rPr>
        <b/>
        <sz val="14"/>
        <color theme="1"/>
        <rFont val="Calibri"/>
        <family val="2"/>
        <scheme val="minor"/>
      </rPr>
      <t>« Options Excel »</t>
    </r>
    <r>
      <rPr>
        <sz val="14"/>
        <color theme="1"/>
        <rFont val="Calibri"/>
        <family val="2"/>
        <scheme val="minor"/>
      </rPr>
      <t xml:space="preserve"> s’ouvre.</t>
    </r>
  </si>
  <si>
    <r>
      <t xml:space="preserve">1. Dans la fenêtre « Options Excel », cliquez à gauche sur </t>
    </r>
    <r>
      <rPr>
        <b/>
        <sz val="14"/>
        <color theme="1"/>
        <rFont val="Calibri"/>
        <family val="2"/>
        <scheme val="minor"/>
      </rPr>
      <t>« Options avancées »</t>
    </r>
    <r>
      <rPr>
        <sz val="14"/>
        <color theme="1"/>
        <rFont val="Calibri"/>
        <family val="2"/>
        <scheme val="minor"/>
      </rPr>
      <t>.</t>
    </r>
  </si>
  <si>
    <r>
      <t xml:space="preserve">2. Faites défiler vers le bas jusqu’à la section </t>
    </r>
    <r>
      <rPr>
        <b/>
        <sz val="14"/>
        <color theme="1"/>
        <rFont val="Calibri"/>
        <family val="2"/>
        <scheme val="minor"/>
      </rPr>
      <t>« Options d’édition »</t>
    </r>
    <r>
      <rPr>
        <sz val="14"/>
        <color theme="1"/>
        <rFont val="Calibri"/>
        <family val="2"/>
        <scheme val="minor"/>
      </rPr>
      <t>.</t>
    </r>
  </si>
  <si>
    <r>
      <t xml:space="preserve">3. Repérez la ligne </t>
    </r>
    <r>
      <rPr>
        <b/>
        <sz val="14"/>
        <color theme="1"/>
        <rFont val="Calibri"/>
        <family val="2"/>
        <scheme val="minor"/>
      </rPr>
      <t>« Utiliser les séparateurs système »</t>
    </r>
    <r>
      <rPr>
        <sz val="14"/>
        <color theme="1"/>
        <rFont val="Calibri"/>
        <family val="2"/>
        <scheme val="minor"/>
      </rPr>
      <t xml:space="preserve"> :</t>
    </r>
  </si>
  <si>
    <r>
      <t>Décochez</t>
    </r>
    <r>
      <rPr>
        <sz val="14"/>
        <color theme="1"/>
        <rFont val="Calibri"/>
        <family val="2"/>
        <scheme val="minor"/>
      </rPr>
      <t xml:space="preserve"> cette case (enlevez le petit ✓).</t>
    </r>
  </si>
  <si>
    <r>
      <t>Séparateur décimal</t>
    </r>
    <r>
      <rPr>
        <sz val="14"/>
        <color theme="1"/>
        <rFont val="Calibri"/>
        <family val="2"/>
        <scheme val="minor"/>
      </rPr>
      <t xml:space="preserve"> : tapez un </t>
    </r>
    <r>
      <rPr>
        <b/>
        <sz val="14"/>
        <color theme="1"/>
        <rFont val="Calibri"/>
        <family val="2"/>
        <scheme val="minor"/>
      </rPr>
      <t>POINT « . »</t>
    </r>
  </si>
  <si>
    <r>
      <t>Séparateur de milliers</t>
    </r>
    <r>
      <rPr>
        <sz val="14"/>
        <color theme="1"/>
        <rFont val="Calibri"/>
        <family val="2"/>
        <scheme val="minor"/>
      </rPr>
      <t xml:space="preserve"> : vous pouvez laisser un espace, un espace insécable ou rien.</t>
    </r>
  </si>
  <si>
    <r>
      <t xml:space="preserve">5. Cliquez sur </t>
    </r>
    <r>
      <rPr>
        <b/>
        <sz val="14"/>
        <color theme="1"/>
        <rFont val="Calibri"/>
        <family val="2"/>
        <scheme val="minor"/>
      </rPr>
      <t>« OK »</t>
    </r>
    <r>
      <rPr>
        <sz val="14"/>
        <color theme="1"/>
        <rFont val="Calibri"/>
        <family val="2"/>
        <scheme val="minor"/>
      </rPr>
      <t xml:space="preserve"> pour valider.</t>
    </r>
  </si>
  <si>
    <t>1 – Titre &amp; explication générale</t>
  </si>
  <si>
    <t>Autre solution (simple) : remplacer les virgules par des points</t>
  </si>
  <si>
    <t>⚠ Méthode à utiliser avec précaution :</t>
  </si>
  <si>
    <t>ne le faites pas si votre feuille contient beaucoup de textes avec des virgules (phrases, commentaires…), ou faites-le uniquement sur les colonnes de nombres.</t>
  </si>
  <si>
    <t>Étape 1 – Sélectionner la zone à corriger</t>
  </si>
  <si>
    <t>1. Cliquez sur la première cellule de nombres à corriger.</t>
  </si>
  <si>
    <t>2. Maintenez le clic et sélectionnez toutes les cellules concernées</t>
  </si>
  <si>
    <t>(ou cliquez sur la lettre de la colonne en haut pour sélectionner toute une colonne).</t>
  </si>
  <si>
    <t>Étape 2 – Ouvrir Rechercher / Remplacer</t>
  </si>
  <si>
    <t>Étape 3 – Remplacer les virgules par des points</t>
  </si>
  <si>
    <t>3. Vérifiez bien que seule la zone voulue est sélectionnée.</t>
  </si>
  <si>
    <t>Excel va alors transformer :</t>
  </si>
  <si>
    <t>Ce qui rendra vos nombres compatibles avec les formules de ce fichier.</t>
  </si>
  <si>
    <t>En cas de doute</t>
  </si>
  <si>
    <r>
      <t xml:space="preserve">Si vous avez saisi vos nombres avec une </t>
    </r>
    <r>
      <rPr>
        <b/>
        <sz val="14"/>
        <color theme="1"/>
        <rFont val="Calibri"/>
        <family val="2"/>
        <scheme val="minor"/>
      </rPr>
      <t>virgule</t>
    </r>
    <r>
      <rPr>
        <sz val="14"/>
        <color theme="1"/>
        <rFont val="Calibri"/>
        <family val="2"/>
        <scheme val="minor"/>
      </rPr>
      <t xml:space="preserve"> (ex : </t>
    </r>
    <r>
      <rPr>
        <sz val="14"/>
        <color theme="1"/>
        <rFont val="Arial Unicode MS"/>
      </rPr>
      <t>1,5</t>
    </r>
    <r>
      <rPr>
        <sz val="14"/>
        <color theme="1"/>
        <rFont val="Calibri"/>
        <family val="2"/>
        <scheme val="minor"/>
      </rPr>
      <t xml:space="preserve">) alors que ce fichier utilise le </t>
    </r>
    <r>
      <rPr>
        <b/>
        <sz val="14"/>
        <color theme="1"/>
        <rFont val="Calibri"/>
        <family val="2"/>
        <scheme val="minor"/>
      </rPr>
      <t>point</t>
    </r>
    <r>
      <rPr>
        <sz val="14"/>
        <color theme="1"/>
        <rFont val="Calibri"/>
        <family val="2"/>
        <scheme val="minor"/>
      </rPr>
      <t xml:space="preserve"> (ex : </t>
    </r>
    <r>
      <rPr>
        <sz val="14"/>
        <color theme="1"/>
        <rFont val="Arial Unicode MS"/>
      </rPr>
      <t>1.5</t>
    </r>
    <r>
      <rPr>
        <sz val="14"/>
        <color theme="1"/>
        <rFont val="Calibri"/>
        <family val="2"/>
        <scheme val="minor"/>
      </rPr>
      <t>), vous pouvez transformer rapidement les virgules en points.</t>
    </r>
  </si>
  <si>
    <r>
      <t xml:space="preserve">3. Si vous n’êtes pas sûr(e), commencez par une </t>
    </r>
    <r>
      <rPr>
        <b/>
        <sz val="14"/>
        <color theme="1"/>
        <rFont val="Calibri"/>
        <family val="2"/>
        <scheme val="minor"/>
      </rPr>
      <t>seule colonne</t>
    </r>
    <r>
      <rPr>
        <sz val="14"/>
        <color theme="1"/>
        <rFont val="Calibri"/>
        <family val="2"/>
        <scheme val="minor"/>
      </rPr>
      <t xml:space="preserve"> de nombres.</t>
    </r>
  </si>
  <si>
    <r>
      <t xml:space="preserve">1. Sur le ruban en haut, allez dans l’onglet </t>
    </r>
    <r>
      <rPr>
        <b/>
        <sz val="14"/>
        <color theme="1"/>
        <rFont val="Calibri"/>
        <family val="2"/>
        <scheme val="minor"/>
      </rPr>
      <t>Accueil</t>
    </r>
    <r>
      <rPr>
        <sz val="14"/>
        <color theme="1"/>
        <rFont val="Calibri"/>
        <family val="2"/>
        <scheme val="minor"/>
      </rPr>
      <t>.</t>
    </r>
  </si>
  <si>
    <r>
      <t xml:space="preserve">2. À droite, cliquez sur </t>
    </r>
    <r>
      <rPr>
        <b/>
        <sz val="14"/>
        <color theme="1"/>
        <rFont val="Calibri"/>
        <family val="2"/>
        <scheme val="minor"/>
      </rPr>
      <t>Rechercher et sélectionner</t>
    </r>
    <r>
      <rPr>
        <sz val="14"/>
        <color theme="1"/>
        <rFont val="Calibri"/>
        <family val="2"/>
        <scheme val="minor"/>
      </rPr>
      <t>.</t>
    </r>
  </si>
  <si>
    <r>
      <t xml:space="preserve">3. Choisissez </t>
    </r>
    <r>
      <rPr>
        <b/>
        <sz val="14"/>
        <color theme="1"/>
        <rFont val="Calibri"/>
        <family val="2"/>
        <scheme val="minor"/>
      </rPr>
      <t>Remplacer…</t>
    </r>
  </si>
  <si>
    <r>
      <t xml:space="preserve">(ou utilisez le raccourci clavier : </t>
    </r>
    <r>
      <rPr>
        <b/>
        <sz val="14"/>
        <color theme="1"/>
        <rFont val="Calibri"/>
        <family val="2"/>
        <scheme val="minor"/>
      </rPr>
      <t>Ctrl + H</t>
    </r>
    <r>
      <rPr>
        <sz val="14"/>
        <color theme="1"/>
        <rFont val="Calibri"/>
        <family val="2"/>
        <scheme val="minor"/>
      </rPr>
      <t>).</t>
    </r>
  </si>
  <si>
    <r>
      <t xml:space="preserve">1. Dans la case </t>
    </r>
    <r>
      <rPr>
        <b/>
        <sz val="14"/>
        <color theme="1"/>
        <rFont val="Calibri"/>
        <family val="2"/>
        <scheme val="minor"/>
      </rPr>
      <t>« Rechercher »</t>
    </r>
    <r>
      <rPr>
        <sz val="14"/>
        <color theme="1"/>
        <rFont val="Calibri"/>
        <family val="2"/>
        <scheme val="minor"/>
      </rPr>
      <t xml:space="preserve">, tapez une virgule : </t>
    </r>
    <r>
      <rPr>
        <sz val="14"/>
        <color theme="1"/>
        <rFont val="Arial Unicode MS"/>
      </rPr>
      <t>,</t>
    </r>
  </si>
  <si>
    <r>
      <t xml:space="preserve">2. Dans la case </t>
    </r>
    <r>
      <rPr>
        <b/>
        <sz val="14"/>
        <color theme="1"/>
        <rFont val="Calibri"/>
        <family val="2"/>
        <scheme val="minor"/>
      </rPr>
      <t>« Remplacer par »</t>
    </r>
    <r>
      <rPr>
        <sz val="14"/>
        <color theme="1"/>
        <rFont val="Calibri"/>
        <family val="2"/>
        <scheme val="minor"/>
      </rPr>
      <t xml:space="preserve">, tapez un point : </t>
    </r>
    <r>
      <rPr>
        <sz val="14"/>
        <color theme="1"/>
        <rFont val="Arial Unicode MS"/>
      </rPr>
      <t>.</t>
    </r>
  </si>
  <si>
    <r>
      <t>1,5</t>
    </r>
    <r>
      <rPr>
        <sz val="14"/>
        <color theme="1"/>
        <rFont val="Calibri"/>
        <family val="2"/>
        <scheme val="minor"/>
      </rPr>
      <t xml:space="preserve"> en </t>
    </r>
    <r>
      <rPr>
        <sz val="14"/>
        <color theme="1"/>
        <rFont val="Arial Unicode MS"/>
      </rPr>
      <t>1.5</t>
    </r>
  </si>
  <si>
    <r>
      <t>2,75</t>
    </r>
    <r>
      <rPr>
        <sz val="14"/>
        <color theme="1"/>
        <rFont val="Calibri"/>
        <family val="2"/>
        <scheme val="minor"/>
      </rPr>
      <t xml:space="preserve"> en </t>
    </r>
    <r>
      <rPr>
        <sz val="14"/>
        <color theme="1"/>
        <rFont val="Arial Unicode MS"/>
      </rPr>
      <t>2.75</t>
    </r>
  </si>
  <si>
    <r>
      <t xml:space="preserve">Faites d’abord un essai sur </t>
    </r>
    <r>
      <rPr>
        <b/>
        <sz val="14"/>
        <color theme="1"/>
        <rFont val="Calibri"/>
        <family val="2"/>
        <scheme val="minor"/>
      </rPr>
      <t>quelques cellules seulement</t>
    </r>
    <r>
      <rPr>
        <sz val="14"/>
        <color theme="1"/>
        <rFont val="Calibri"/>
        <family val="2"/>
        <scheme val="minor"/>
      </rPr>
      <t>.</t>
    </r>
  </si>
  <si>
    <r>
      <t xml:space="preserve">Si le résultat ne vous plaît pas, faites </t>
    </r>
    <r>
      <rPr>
        <b/>
        <sz val="14"/>
        <color theme="1"/>
        <rFont val="Calibri"/>
        <family val="2"/>
        <scheme val="minor"/>
      </rPr>
      <t>Ctrl + Z</t>
    </r>
    <r>
      <rPr>
        <sz val="14"/>
        <color theme="1"/>
        <rFont val="Calibri"/>
        <family val="2"/>
        <scheme val="minor"/>
      </rPr>
      <t xml:space="preserve"> pour annuler.</t>
    </r>
  </si>
  <si>
    <r>
      <t xml:space="preserve">4. Cliquez sur </t>
    </r>
    <r>
      <rPr>
        <b/>
        <sz val="16"/>
        <color theme="1"/>
        <rFont val="Calibri"/>
        <family val="2"/>
        <scheme val="minor"/>
      </rPr>
      <t>« Remplacer tout »</t>
    </r>
    <r>
      <rPr>
        <sz val="16"/>
        <color theme="1"/>
        <rFont val="Calibri"/>
        <family val="2"/>
        <scheme val="minor"/>
      </rPr>
      <t>.</t>
    </r>
  </si>
  <si>
    <t>Ça vous donne une deuxième voie “brute mais simple”, à côté de la méthode propre par les options Excel.</t>
  </si>
  <si>
    <r>
      <t xml:space="preserve">si Excel attend </t>
    </r>
    <r>
      <rPr>
        <b/>
        <sz val="14"/>
        <color theme="1"/>
        <rFont val="Calibri"/>
        <family val="2"/>
        <scheme val="minor"/>
      </rPr>
      <t>la virgule</t>
    </r>
    <r>
      <rPr>
        <sz val="14"/>
        <color theme="1"/>
        <rFont val="Calibri"/>
        <family val="2"/>
        <scheme val="minor"/>
      </rPr>
      <t xml:space="preserve"> → ça donne un nombre (0,5)</t>
    </r>
  </si>
  <si>
    <r>
      <t xml:space="preserve">si Excel attend </t>
    </r>
    <r>
      <rPr>
        <b/>
        <sz val="14"/>
        <color theme="1"/>
        <rFont val="Calibri"/>
        <family val="2"/>
        <scheme val="minor"/>
      </rPr>
      <t>le point</t>
    </r>
    <r>
      <rPr>
        <sz val="14"/>
        <color theme="1"/>
        <rFont val="Calibri"/>
        <family val="2"/>
        <scheme val="minor"/>
      </rPr>
      <t xml:space="preserve"> → ça donne une </t>
    </r>
    <r>
      <rPr>
        <b/>
        <sz val="14"/>
        <color theme="1"/>
        <rFont val="Calibri"/>
        <family val="2"/>
        <scheme val="minor"/>
      </rPr>
      <t>erreur</t>
    </r>
  </si>
  <si>
    <r>
      <t xml:space="preserve">si c’est une erreur → renvoie </t>
    </r>
    <r>
      <rPr>
        <sz val="14"/>
        <color theme="1"/>
        <rFont val="Arial Unicode MS"/>
      </rPr>
      <t>""</t>
    </r>
  </si>
  <si>
    <r>
      <t xml:space="preserve">👉 Sur CE PC, </t>
    </r>
    <r>
      <rPr>
        <i/>
        <sz val="14"/>
        <color theme="1"/>
        <rFont val="Calibri"/>
        <family val="2"/>
        <scheme val="minor"/>
      </rPr>
      <t>Excel</t>
    </r>
    <r>
      <rPr>
        <sz val="14"/>
        <color theme="1"/>
        <rFont val="Calibri"/>
        <family val="2"/>
        <scheme val="minor"/>
      </rPr>
      <t xml:space="preserve"> considère que </t>
    </r>
    <r>
      <rPr>
        <b/>
        <sz val="14"/>
        <color theme="1"/>
        <rFont val="Calibri"/>
        <family val="2"/>
        <scheme val="minor"/>
      </rPr>
      <t>"0,5" n’est pas un nombre valide</t>
    </r>
    <r>
      <rPr>
        <sz val="14"/>
        <color theme="1"/>
        <rFont val="Calibri"/>
        <family val="2"/>
        <scheme val="minor"/>
      </rPr>
      <t xml:space="preserve"> → il attend </t>
    </r>
    <r>
      <rPr>
        <sz val="14"/>
        <color theme="1"/>
        <rFont val="Arial Unicode MS"/>
      </rPr>
      <t>"0.5"</t>
    </r>
    <r>
      <rPr>
        <sz val="14"/>
        <color theme="1"/>
        <rFont val="Calibri"/>
        <family val="2"/>
        <scheme val="minor"/>
      </rPr>
      <t xml:space="preserve"> (separateur = point), du point de vue de </t>
    </r>
    <r>
      <rPr>
        <b/>
        <sz val="14"/>
        <color theme="1"/>
        <rFont val="Calibri"/>
        <family val="2"/>
        <scheme val="minor"/>
      </rPr>
      <t>CNUM</t>
    </r>
    <r>
      <rPr>
        <sz val="14"/>
        <color theme="1"/>
        <rFont val="Calibri"/>
        <family val="2"/>
        <scheme val="minor"/>
      </rPr>
      <t>.</t>
    </r>
  </si>
  <si>
    <r>
      <t xml:space="preserve">j’utilise le séparateur </t>
    </r>
    <r>
      <rPr>
        <sz val="14"/>
        <color theme="1"/>
        <rFont val="Arial Unicode MS"/>
      </rPr>
      <t>.</t>
    </r>
    <r>
      <rPr>
        <sz val="14"/>
        <color theme="1"/>
        <rFont val="Calibri"/>
        <family val="2"/>
        <scheme val="minor"/>
      </rPr>
      <t xml:space="preserve"> du clavier numérique et pourtant les formules fonctionnent</t>
    </r>
  </si>
  <si>
    <r>
      <t xml:space="preserve">Sur beaucoup de configs FR, la touche </t>
    </r>
    <r>
      <rPr>
        <sz val="14"/>
        <color theme="1"/>
        <rFont val="Arial Unicode MS"/>
      </rPr>
      <t>.</t>
    </r>
    <r>
      <rPr>
        <sz val="14"/>
        <color theme="1"/>
        <rFont val="Calibri"/>
        <family val="2"/>
        <scheme val="minor"/>
      </rPr>
      <t xml:space="preserve"> du pavé numérique tape en réalité </t>
    </r>
    <r>
      <rPr>
        <b/>
        <sz val="14"/>
        <color theme="1"/>
        <rFont val="Arial Unicode MS"/>
      </rPr>
      <t>,</t>
    </r>
    <r>
      <rPr>
        <sz val="14"/>
        <color theme="1"/>
        <rFont val="Calibri"/>
        <family val="2"/>
        <scheme val="minor"/>
      </rPr>
      <t xml:space="preserve"> dans Excel, même si la touche a un point dessiné dessus.</t>
    </r>
  </si>
  <si>
    <r>
      <t xml:space="preserve">Si tes formules sont du type </t>
    </r>
    <r>
      <rPr>
        <sz val="14"/>
        <color theme="1"/>
        <rFont val="Arial Unicode MS"/>
      </rPr>
      <t>=A1*B1</t>
    </r>
    <r>
      <rPr>
        <sz val="14"/>
        <color theme="1"/>
        <rFont val="Calibri"/>
        <family val="2"/>
        <scheme val="minor"/>
      </rPr>
      <t xml:space="preserve"> et que les valeurs sont déjà bien reconnues comme nombres dans les cellules, le séparateur que tu tapes </t>
    </r>
    <r>
      <rPr>
        <i/>
        <sz val="14"/>
        <color theme="1"/>
        <rFont val="Calibri"/>
        <family val="2"/>
        <scheme val="minor"/>
      </rPr>
      <t>dans la barre de formule</t>
    </r>
    <r>
      <rPr>
        <sz val="14"/>
        <color theme="1"/>
        <rFont val="Calibri"/>
        <family val="2"/>
        <scheme val="minor"/>
      </rPr>
      <t xml:space="preserve"> ne joue presque aucun rôle.</t>
    </r>
  </si>
  <si>
    <r>
      <t xml:space="preserve">Le problème n’apparaît que lorsqu’on écrit des nombres </t>
    </r>
    <r>
      <rPr>
        <b/>
        <sz val="14"/>
        <color theme="1"/>
        <rFont val="Calibri"/>
        <family val="2"/>
        <scheme val="minor"/>
      </rPr>
      <t>littéraux</t>
    </r>
    <r>
      <rPr>
        <sz val="14"/>
        <color theme="1"/>
        <rFont val="Calibri"/>
        <family val="2"/>
        <scheme val="minor"/>
      </rPr>
      <t xml:space="preserve"> dans les formules (</t>
    </r>
    <r>
      <rPr>
        <sz val="14"/>
        <color theme="1"/>
        <rFont val="Arial Unicode MS"/>
      </rPr>
      <t>=1,5*B1</t>
    </r>
    <r>
      <rPr>
        <sz val="14"/>
        <color theme="1"/>
        <rFont val="Calibri"/>
        <family val="2"/>
        <scheme val="minor"/>
      </rPr>
      <t xml:space="preserve"> vs </t>
    </r>
    <r>
      <rPr>
        <sz val="14"/>
        <color theme="1"/>
        <rFont val="Arial Unicode MS"/>
      </rPr>
      <t>=1.5*B1</t>
    </r>
    <r>
      <rPr>
        <sz val="14"/>
        <color theme="1"/>
        <rFont val="Calibri"/>
        <family val="2"/>
        <scheme val="minor"/>
      </rPr>
      <t>).</t>
    </r>
  </si>
  <si>
    <t>I used the dot as the decimal separator.</t>
  </si>
  <si>
    <t>He usado el punto como separador decimal.</t>
  </si>
  <si>
    <t>Nb de lignes ▼</t>
  </si>
  <si>
    <t xml:space="preserve">CALCULEZ VOS POIDS </t>
  </si>
  <si>
    <t>Primeras impresiones (productos–técnica–precio): qué hay que modificar—podemos servirla a todos los clientes?—etc.</t>
  </si>
  <si>
    <t>numérotation automatique dans cette colonne</t>
  </si>
  <si>
    <t>pas de numérotation dans celle-ci et les suivantes</t>
  </si>
  <si>
    <t>Use short sentences: 1 verb = 1 action</t>
  </si>
  <si>
    <t>Cut 1 cold into small pieces</t>
  </si>
  <si>
    <t>Mix with 2, 3, 4, 5, 6</t>
  </si>
  <si>
    <t>Auto-numbering in this column</t>
  </si>
  <si>
    <t>No numbering in this one and the following ones</t>
  </si>
  <si>
    <t>Frases cortas: 1 verbo = 1 acción</t>
  </si>
  <si>
    <t>Cortar 1 frío en trozos pequeños</t>
  </si>
  <si>
    <t>Mezclar con 2, 3, 4, 5, 6</t>
  </si>
  <si>
    <t>Numeración automática en esta columna</t>
  </si>
  <si>
    <t>Sin numeración en esta y las siguientes</t>
  </si>
  <si>
    <t>Adaptez-le à votre recette : supprimez les lignes inutiles marquées "►".</t>
  </si>
  <si>
    <t>⚠ Ne supprimez jamais les lignes marquées "A" — elles sont obligatoires.</t>
  </si>
  <si>
    <t>Adjust it to your recipe: delete unused lines marked "►".</t>
  </si>
  <si>
    <t>⚠ Never delete lines marked "A" — they are mandatory.</t>
  </si>
  <si>
    <t>Adáptalo a tu receta: elimina las líneas no utilizadas marcadas con "►".</t>
  </si>
  <si>
    <t>⚠ No elimines nunca las líneas marcadas con "A" — son obligatorias.</t>
  </si>
  <si>
    <t>Procédure :</t>
  </si>
  <si>
    <t>1 – Ouvrez une feuille vierge</t>
  </si>
  <si>
    <t>2 – Copiez le modèle dans la langue de votre choix</t>
  </si>
  <si>
    <t> • Sélectionnez les colonnes sous la barre de formule</t>
  </si>
  <si>
    <t> • Cliquez sur Copier</t>
  </si>
  <si>
    <t>3 – Placez-vous dans votre feuille vierge</t>
  </si>
  <si>
    <t> • Cliquez sur l’en-tête de colonnes (barre avec lettres)</t>
  </si>
  <si>
    <t> • Cliquez sur Coller</t>
  </si>
  <si>
    <t>How to proceed:</t>
  </si>
  <si>
    <t>1 – Open a blank sheet</t>
  </si>
  <si>
    <t>2 – Copy the template in your preferred language</t>
  </si>
  <si>
    <t> • Select the columns below the formula bar</t>
  </si>
  <si>
    <t> • Click Copy</t>
  </si>
  <si>
    <t>3 – Go to your blank sheet</t>
  </si>
  <si>
    <t> • Click the column header (letter bar)</t>
  </si>
  <si>
    <t> • Click Paste</t>
  </si>
  <si>
    <t>Cómo proceder:</t>
  </si>
  <si>
    <t>1 – Abre una hoja en blanco</t>
  </si>
  <si>
    <t>2 – Copia el modelo en el idioma que prefieras</t>
  </si>
  <si>
    <t> • Selecciona las columnas bajo la barra de fórmulas</t>
  </si>
  <si>
    <t> • Haz clic en Copiar</t>
  </si>
  <si>
    <t>3 – Ve a tu hoja en blanco</t>
  </si>
  <si>
    <t> • Haz clic en el encabezado de columna (barra con letras)</t>
  </si>
  <si>
    <t> • Haz clic en Pegar</t>
  </si>
  <si>
    <t>sinon lisez la feuille "IMPORTANT"</t>
  </si>
  <si>
    <t>J’ai utilisé le point du clavier numérique comme séparateur décimal.</t>
  </si>
  <si>
    <t xml:space="preserve"> Col.16 conserver le texte de la fonction " RECHERCHEX" utilisé pour le fonctionnement des répertoires et le texte " Adresse PC " en bas de fiche</t>
  </si>
  <si>
    <t>Col. 16 — keep the RECHERCHEX function (and its text) used for the directories/lookup lists to work, and keep the literal text "Adresse PC" at the bottom of the sheet.</t>
  </si>
  <si>
    <t>Col. 16 — conservar la función "RECHERCHEX" y el texto «Adresse PC», utilizados para el funcionamiento de los directorios.</t>
  </si>
  <si>
    <t>I used the decimal point from the numeric keypad as the decimal separator</t>
  </si>
  <si>
    <t>otherwise, read the "IMPORTANT" sheet.</t>
  </si>
  <si>
    <t>He usado el punto del teclado numérico como separador decimal</t>
  </si>
  <si>
    <t>si no, lee la hoja "IMPORTANT".</t>
  </si>
  <si>
    <t>NE COPIEZ PAS CETTE LIGNE</t>
  </si>
  <si>
    <t>DO NOT COPY THIS LINE</t>
  </si>
  <si>
    <t>NO COPIES ESTA LÍNEA</t>
  </si>
  <si>
    <t>À partir de cette ligne, vous disposez de "Postits" en réserve avec un nombre de lignes ingrédient variable (6, 10, 15, 20, 30, 55) pour gagner du temps.</t>
  </si>
  <si>
    <t>From this line on, you have backup “Postits” with varying numbers of ingredient lines (6, 10, 15, 20, 30, 55) to save you time.</t>
  </si>
  <si>
    <t>A partir de esta línea, tienes “Postits” de reserva con distinto número de líneas de ingredientes (6, 10, 15, 20, 30, 55) para ahorrar tiempo.</t>
  </si>
  <si>
    <t>avec des longueurs d’ingrédients différentes.</t>
  </si>
  <si>
    <t xml:space="preserve">Starting from row 607, several templates are available </t>
  </si>
  <si>
    <t>with different ingredient line counts.</t>
  </si>
  <si>
    <t>A partir de la fila 607, hay varios modelos</t>
  </si>
  <si>
    <t>con diferente número de líneas de ingredientes.</t>
  </si>
  <si>
    <t xml:space="preserve">Les textes des fichiers peuvent être en anglais ou en espagnol, mais les formules restent en français </t>
  </si>
  <si>
    <t>1️⃣ Test : la touche décimale du pavé numérique envoie « . » ou « , » ?</t>
  </si>
  <si>
    <t>2️⃣ Procédure : changer le séparateur décimal dans Excel (mettre un POINT)</t>
  </si>
  <si>
    <t>Changer le séparateur décimal dans Excel</t>
  </si>
  <si>
    <t>(passer de la VIRGULE au POINT)</t>
  </si>
  <si>
    <t>(#NOM?, #VALEUR?) ou des résultats incorrects lorsque vous saisissez des nombres.</t>
  </si>
  <si>
    <t>Suivez calmement les étapes ci-dessous.</t>
  </si>
  <si>
    <t>2. Regardez le résultat :</t>
  </si>
  <si>
    <r>
      <t xml:space="preserve">Vous pouvez maintenant saisir vos nombres avec un POINT (ex : </t>
    </r>
    <r>
      <rPr>
        <sz val="10"/>
        <color theme="1"/>
        <rFont val="Arial Unicode MS"/>
      </rPr>
      <t>1.5</t>
    </r>
    <r>
      <rPr>
        <sz val="11"/>
        <color theme="1"/>
        <rFont val="Calibri"/>
        <family val="2"/>
        <scheme val="minor"/>
      </rPr>
      <t>) et les formules de ce fichier fonctionneront correctement.</t>
    </r>
  </si>
  <si>
    <t>En cas de problème</t>
  </si>
  <si>
    <t>Los textos de los archivos pueden estar en inglés o en español, pero las fórmulas siguen en francés.</t>
  </si>
  <si>
    <t>The file texts may be in English or Spanish, but the formulas remain in French.</t>
  </si>
  <si>
    <t>▼ Table de recherche les Col.6 à Col.11 sont réservées aux poids Kg</t>
  </si>
  <si>
    <t>▼ Lookup table — Columns 6 to 11 are reserved for weights in kg</t>
  </si>
  <si>
    <t>▼ Tabla de búsqueda — Las columnas 6 a 11 están reservadas para pesos en kg</t>
  </si>
  <si>
    <t>2 ▲ Appuyez une seule fois sur la touche décimale de votre pavé numérique, puis validez (Entrée).</t>
  </si>
  <si>
    <t>3️⃣  Vérifier que tout fonctionne</t>
  </si>
  <si>
    <t>Juste en dessous, modifiez les réglages :</t>
  </si>
  <si>
    <t xml:space="preserve"> Si le résultat est **0.5** ➜  le POINT « . » est bien utilisé comme séparateur décimal.</t>
  </si>
  <si>
    <t xml:space="preserve">Si le résultat est **0,5** ➜ séparateur décimal = virgule  </t>
  </si>
  <si>
    <r>
      <t xml:space="preserve">Cliquez sur </t>
    </r>
    <r>
      <rPr>
        <b/>
        <sz val="11"/>
        <color theme="1"/>
        <rFont val="Calibri"/>
        <family val="2"/>
        <scheme val="minor"/>
      </rPr>
      <t>OK</t>
    </r>
    <r>
      <rPr>
        <sz val="11"/>
        <color theme="1"/>
        <rFont val="Calibri"/>
        <family val="2"/>
        <scheme val="minor"/>
      </rPr>
      <t xml:space="preserve"> pour valider.</t>
    </r>
  </si>
  <si>
    <t>"1 ◄ Cliquez dans la cellule "&amp;ADRESSE(LIGNE(B70);COLONNE(B70);4)</t>
  </si>
  <si>
    <t>Juste en dessous, changez les réglages :</t>
  </si>
  <si>
    <t>Cliquez sur la cellule, appuyez sur F2, puis sur Entrée pour relancer le calcul.</t>
  </si>
  <si>
    <t>Ou appuyez sur F9 pour recalculer tout le classeur.</t>
  </si>
  <si>
    <r>
      <t xml:space="preserve">Séparateur décimal : tapez un </t>
    </r>
    <r>
      <rPr>
        <b/>
        <sz val="14"/>
        <color theme="1"/>
        <rFont val="Calibri"/>
        <family val="2"/>
        <scheme val="minor"/>
      </rPr>
      <t>POINT « . »</t>
    </r>
  </si>
  <si>
    <t>Séparateur de milliers : laissez vide, un espace ou ce que vous utilisez habituellement.</t>
  </si>
  <si>
    <r>
      <t xml:space="preserve">1. Dans la fenêtre </t>
    </r>
    <r>
      <rPr>
        <b/>
        <sz val="14"/>
        <color theme="1"/>
        <rFont val="Calibri"/>
        <family val="2"/>
        <scheme val="minor"/>
      </rPr>
      <t>Options Excel</t>
    </r>
    <r>
      <rPr>
        <sz val="14"/>
        <color theme="1"/>
        <rFont val="Calibri"/>
        <family val="2"/>
        <scheme val="minor"/>
      </rPr>
      <t xml:space="preserve">, cliquez à gauche sur </t>
    </r>
    <r>
      <rPr>
        <b/>
        <sz val="14"/>
        <color theme="1"/>
        <rFont val="Calibri"/>
        <family val="2"/>
        <scheme val="minor"/>
      </rPr>
      <t>Options avancées</t>
    </r>
    <r>
      <rPr>
        <sz val="14"/>
        <color theme="1"/>
        <rFont val="Calibri"/>
        <family val="2"/>
        <scheme val="minor"/>
      </rPr>
      <t>.</t>
    </r>
  </si>
  <si>
    <r>
      <t xml:space="preserve">2. Faites défiler vers le bas jusqu’à la section </t>
    </r>
    <r>
      <rPr>
        <b/>
        <sz val="14"/>
        <color theme="1"/>
        <rFont val="Calibri"/>
        <family val="2"/>
        <scheme val="minor"/>
      </rPr>
      <t>Options d’édition</t>
    </r>
    <r>
      <rPr>
        <sz val="14"/>
        <color theme="1"/>
        <rFont val="Calibri"/>
        <family val="2"/>
        <scheme val="minor"/>
      </rPr>
      <t>.</t>
    </r>
  </si>
  <si>
    <r>
      <t xml:space="preserve">3. Repérez la ligne </t>
    </r>
    <r>
      <rPr>
        <b/>
        <sz val="14"/>
        <color theme="1"/>
        <rFont val="Calibri"/>
        <family val="2"/>
        <scheme val="minor"/>
      </rPr>
      <t>Utiliser les séparateurs système</t>
    </r>
    <r>
      <rPr>
        <sz val="14"/>
        <color theme="1"/>
        <rFont val="Calibri"/>
        <family val="2"/>
        <scheme val="minor"/>
      </rPr>
      <t xml:space="preserve"> :</t>
    </r>
  </si>
  <si>
    <t>Décochez cette case.</t>
  </si>
  <si>
    <r>
      <t xml:space="preserve">1. Dans une cellule vide, tapez la formule : </t>
    </r>
    <r>
      <rPr>
        <sz val="14"/>
        <color theme="1"/>
        <rFont val="Arial Unicode MS"/>
      </rPr>
      <t>=1/2</t>
    </r>
  </si>
  <si>
    <r>
      <t xml:space="preserve">Si tout est “bizarre” après la modification, vous pouvez revenir dans </t>
    </r>
    <r>
      <rPr>
        <b/>
        <sz val="14"/>
        <color theme="1"/>
        <rFont val="Calibri"/>
        <family val="2"/>
        <scheme val="minor"/>
      </rPr>
      <t>Fichier → Options → Options avancées</t>
    </r>
    <r>
      <rPr>
        <sz val="14"/>
        <color theme="1"/>
        <rFont val="Calibri"/>
        <family val="2"/>
        <scheme val="minor"/>
      </rPr>
      <t xml:space="preserve"> et réactiver </t>
    </r>
    <r>
      <rPr>
        <b/>
        <sz val="14"/>
        <color theme="1"/>
        <rFont val="Calibri"/>
        <family val="2"/>
        <scheme val="minor"/>
      </rPr>
      <t>Utiliser les séparateurs système</t>
    </r>
    <r>
      <rPr>
        <sz val="14"/>
        <color theme="1"/>
        <rFont val="Calibri"/>
        <family val="2"/>
        <scheme val="minor"/>
      </rPr>
      <t xml:space="preserve">, </t>
    </r>
  </si>
  <si>
    <t>ou redemander de l’aide à la personne qui vous a fourni ce fichier.</t>
  </si>
  <si>
    <r>
      <t xml:space="preserve">(par exemple : </t>
    </r>
    <r>
      <rPr>
        <sz val="14"/>
        <color theme="1"/>
        <rFont val="Arial Unicode MS"/>
      </rPr>
      <t>1.5</t>
    </r>
    <r>
      <rPr>
        <sz val="14"/>
        <color theme="1"/>
        <rFont val="Calibri"/>
        <family val="2"/>
        <scheme val="minor"/>
      </rPr>
      <t xml:space="preserve"> pour “un virgule cinq”).</t>
    </r>
  </si>
  <si>
    <r>
      <t xml:space="preserve">Si votre clavier ou Excel utilise la </t>
    </r>
    <r>
      <rPr>
        <b/>
        <sz val="14"/>
        <color theme="1"/>
        <rFont val="Calibri"/>
        <family val="2"/>
        <scheme val="minor"/>
      </rPr>
      <t>VIRGULE « , »</t>
    </r>
    <r>
      <rPr>
        <sz val="14"/>
        <color theme="1"/>
        <rFont val="Calibri"/>
        <family val="2"/>
        <scheme val="minor"/>
      </rPr>
      <t>, vous risquez d’obtenir des erreurs</t>
    </r>
  </si>
  <si>
    <r>
      <t xml:space="preserve">2. En haut à gauche, cliquez sur le menu </t>
    </r>
    <r>
      <rPr>
        <b/>
        <sz val="14"/>
        <color theme="1"/>
        <rFont val="Calibri"/>
        <family val="2"/>
        <scheme val="minor"/>
      </rPr>
      <t>Fichier</t>
    </r>
    <r>
      <rPr>
        <sz val="14"/>
        <color theme="1"/>
        <rFont val="Calibri"/>
        <family val="2"/>
        <scheme val="minor"/>
      </rPr>
      <t>.</t>
    </r>
  </si>
  <si>
    <r>
      <t xml:space="preserve">3. Dans la colonne de gauche, cliquez en bas sur </t>
    </r>
    <r>
      <rPr>
        <b/>
        <sz val="14"/>
        <color theme="1"/>
        <rFont val="Calibri"/>
        <family val="2"/>
        <scheme val="minor"/>
      </rPr>
      <t>Options</t>
    </r>
    <r>
      <rPr>
        <sz val="14"/>
        <color theme="1"/>
        <rFont val="Calibri"/>
        <family val="2"/>
        <scheme val="minor"/>
      </rPr>
      <t>.</t>
    </r>
  </si>
  <si>
    <r>
      <t xml:space="preserve">Une fenêtre </t>
    </r>
    <r>
      <rPr>
        <b/>
        <sz val="14"/>
        <color theme="1"/>
        <rFont val="Calibri"/>
        <family val="2"/>
        <scheme val="minor"/>
      </rPr>
      <t>Options Excel</t>
    </r>
    <r>
      <rPr>
        <sz val="14"/>
        <color theme="1"/>
        <rFont val="Calibri"/>
        <family val="2"/>
        <scheme val="minor"/>
      </rPr>
      <t xml:space="preserve"> s’ouvre.</t>
    </r>
  </si>
  <si>
    <t xml:space="preserve">Plusieurs modèles sont disponibles </t>
  </si>
  <si>
    <t>Excel = Lego + bataille navale + un peu de torture mentale 😂</t>
  </si>
  <si>
    <t>“=B7*D12” = “Torpille en B7, impact en D12”.</t>
  </si>
  <si>
    <t>La vraie clé, comme à la bataille navale :</t>
  </si>
  <si>
    <t>Savoir où tu tires,</t>
  </si>
  <si>
    <t>Et éviter les tirs “au jugé” avec des formules de 4 km sans structure.</t>
  </si>
  <si>
    <t>Bref : Excel, c’est une bataille navale où tu dessines toi-même les règles… et où on essaie juste d’éviter que le classeur explose en plein milieu de la partie.</t>
  </si>
  <si>
    <r>
      <t xml:space="preserve">Les </t>
    </r>
    <r>
      <rPr>
        <b/>
        <sz val="14"/>
        <color theme="1"/>
        <rFont val="Calibri"/>
        <family val="2"/>
        <scheme val="minor"/>
      </rPr>
      <t>cellules</t>
    </r>
    <r>
      <rPr>
        <sz val="14"/>
        <color theme="1"/>
        <rFont val="Calibri"/>
        <family val="2"/>
        <scheme val="minor"/>
      </rPr>
      <t xml:space="preserve"> c’est ta grille A1–Z99 → comme la bataille navale.</t>
    </r>
  </si>
  <si>
    <r>
      <t xml:space="preserve">Les </t>
    </r>
    <r>
      <rPr>
        <b/>
        <sz val="14"/>
        <color theme="1"/>
        <rFont val="Calibri"/>
        <family val="2"/>
        <scheme val="minor"/>
      </rPr>
      <t>formules</t>
    </r>
    <r>
      <rPr>
        <sz val="14"/>
        <color theme="1"/>
        <rFont val="Calibri"/>
        <family val="2"/>
        <scheme val="minor"/>
      </rPr>
      <t xml:space="preserve"> c’est les règles de ton jeu :</t>
    </r>
  </si>
  <si>
    <r>
      <t xml:space="preserve">Tu décides que “si je touche un bateau, j’affiche ‘Touché’, sinon rien” → </t>
    </r>
    <r>
      <rPr>
        <sz val="14"/>
        <color theme="1"/>
        <rFont val="Arial Unicode MS"/>
      </rPr>
      <t>SI()</t>
    </r>
    <r>
      <rPr>
        <sz val="14"/>
        <color theme="1"/>
        <rFont val="Calibri"/>
        <family val="2"/>
        <scheme val="minor"/>
      </rPr>
      <t>.</t>
    </r>
  </si>
  <si>
    <r>
      <t xml:space="preserve">Les </t>
    </r>
    <r>
      <rPr>
        <b/>
        <sz val="14"/>
        <color theme="1"/>
        <rFont val="Calibri"/>
        <family val="2"/>
        <scheme val="minor"/>
      </rPr>
      <t>plages nommées</t>
    </r>
    <r>
      <rPr>
        <sz val="14"/>
        <color theme="1"/>
        <rFont val="Calibri"/>
        <family val="2"/>
        <scheme val="minor"/>
      </rPr>
      <t xml:space="preserve"> c’est tes bateaux :</t>
    </r>
  </si>
  <si>
    <r>
      <t>BATEAU1 = A1:A5</t>
    </r>
    <r>
      <rPr>
        <sz val="14"/>
        <color theme="1"/>
        <rFont val="Calibri"/>
        <family val="2"/>
        <scheme val="minor"/>
      </rPr>
      <t xml:space="preserve"> → tu ne tires plus sur A1:A5, tu tires sur </t>
    </r>
    <r>
      <rPr>
        <sz val="14"/>
        <color theme="1"/>
        <rFont val="Arial Unicode MS"/>
      </rPr>
      <t>BATEAU1</t>
    </r>
    <r>
      <rPr>
        <sz val="14"/>
        <color theme="1"/>
        <rFont val="Calibri"/>
        <family val="2"/>
        <scheme val="minor"/>
      </rPr>
      <t>.</t>
    </r>
  </si>
  <si>
    <r>
      <t xml:space="preserve">Et quand tu as une erreur </t>
    </r>
    <r>
      <rPr>
        <sz val="14"/>
        <color theme="1"/>
        <rFont val="Arial Unicode MS"/>
      </rPr>
      <t>#REF!</t>
    </r>
    <r>
      <rPr>
        <sz val="14"/>
        <color theme="1"/>
        <rFont val="Calibri"/>
        <family val="2"/>
        <scheme val="minor"/>
      </rPr>
      <t xml:space="preserve"> → c’est que tu as coulé le mauvais truc en supprimant une ligne au milieu.</t>
    </r>
  </si>
  <si>
    <r>
      <t xml:space="preserve">Bien </t>
    </r>
    <r>
      <rPr>
        <b/>
        <sz val="14"/>
        <color theme="1"/>
        <rFont val="Calibri"/>
        <family val="2"/>
        <scheme val="minor"/>
      </rPr>
      <t>nommer</t>
    </r>
    <r>
      <rPr>
        <sz val="14"/>
        <color theme="1"/>
        <rFont val="Calibri"/>
        <family val="2"/>
        <scheme val="minor"/>
      </rPr>
      <t xml:space="preserve"> et </t>
    </r>
    <r>
      <rPr>
        <b/>
        <sz val="14"/>
        <color theme="1"/>
        <rFont val="Calibri"/>
        <family val="2"/>
        <scheme val="minor"/>
      </rPr>
      <t>organiser</t>
    </r>
    <r>
      <rPr>
        <sz val="14"/>
        <color theme="1"/>
        <rFont val="Calibri"/>
        <family val="2"/>
        <scheme val="minor"/>
      </rPr>
      <t xml:space="preserve"> ta grille,</t>
    </r>
  </si>
  <si>
    <r>
      <t>Excel 365</t>
    </r>
    <r>
      <rPr>
        <sz val="14"/>
        <color theme="1"/>
        <rFont val="Calibri"/>
        <family val="2"/>
        <scheme val="minor"/>
      </rPr>
      <t xml:space="preserve"> = version qui reçoit tout le temps des nouvelles fonctions.</t>
    </r>
  </si>
  <si>
    <r>
      <t>Excel “2023”</t>
    </r>
    <r>
      <rPr>
        <sz val="14"/>
        <color theme="1"/>
        <rFont val="Calibri"/>
        <family val="2"/>
        <scheme val="minor"/>
      </rPr>
      <t xml:space="preserve"> chez toi = très probablement une version </t>
    </r>
    <r>
      <rPr>
        <b/>
        <sz val="14"/>
        <color theme="1"/>
        <rFont val="Calibri"/>
        <family val="2"/>
        <scheme val="minor"/>
      </rPr>
      <t>perpétuelle</t>
    </r>
    <r>
      <rPr>
        <sz val="14"/>
        <color theme="1"/>
        <rFont val="Calibri"/>
        <family val="2"/>
        <scheme val="minor"/>
      </rPr>
      <t xml:space="preserve"> (Excel 2021 / LTSC / sans abonnement), donc </t>
    </r>
    <r>
      <rPr>
        <b/>
        <sz val="14"/>
        <color theme="1"/>
        <rFont val="Calibri"/>
        <family val="2"/>
        <scheme val="minor"/>
      </rPr>
      <t>sans les dernières nouveautés 365</t>
    </r>
    <r>
      <rPr>
        <sz val="14"/>
        <color theme="1"/>
        <rFont val="Calibri"/>
        <family val="2"/>
        <scheme val="minor"/>
      </rPr>
      <t>.</t>
    </r>
  </si>
  <si>
    <r>
      <t xml:space="preserve">Les principales familles de fonctions </t>
    </r>
    <r>
      <rPr>
        <b/>
        <sz val="14"/>
        <color theme="1"/>
        <rFont val="Calibri"/>
        <family val="2"/>
        <scheme val="minor"/>
      </rPr>
      <t>disponibles dans 365 mais pas dans les versions perpétuelles récentes</t>
    </r>
    <r>
      <rPr>
        <sz val="14"/>
        <color theme="1"/>
        <rFont val="Calibri"/>
        <family val="2"/>
        <scheme val="minor"/>
      </rPr>
      <t xml:space="preserve"> (genre 2019/2021) :</t>
    </r>
  </si>
  <si>
    <r>
      <t>FILTER</t>
    </r>
    <r>
      <rPr>
        <sz val="12"/>
        <color theme="1"/>
        <rFont val="Calibri"/>
        <family val="2"/>
        <scheme val="minor"/>
      </rPr>
      <t xml:space="preserve"> / </t>
    </r>
    <r>
      <rPr>
        <sz val="12"/>
        <color theme="1"/>
        <rFont val="Arial Unicode MS"/>
      </rPr>
      <t>FILTRER</t>
    </r>
    <r>
      <rPr>
        <sz val="12"/>
        <color theme="1"/>
        <rFont val="Calibri"/>
        <family val="2"/>
        <scheme val="minor"/>
      </rPr>
      <t xml:space="preserve"> : filtrer un tableau avec une condition</t>
    </r>
  </si>
  <si>
    <r>
      <t>SORT</t>
    </r>
    <r>
      <rPr>
        <sz val="12"/>
        <color theme="1"/>
        <rFont val="Calibri"/>
        <family val="2"/>
        <scheme val="minor"/>
      </rPr>
      <t xml:space="preserve"> / </t>
    </r>
    <r>
      <rPr>
        <sz val="12"/>
        <color theme="1"/>
        <rFont val="Arial Unicode MS"/>
      </rPr>
      <t>TRIER</t>
    </r>
    <r>
      <rPr>
        <sz val="12"/>
        <color theme="1"/>
        <rFont val="Calibri"/>
        <family val="2"/>
        <scheme val="minor"/>
      </rPr>
      <t xml:space="preserve"> : trier un tableau par formule</t>
    </r>
  </si>
  <si>
    <r>
      <t>SORTBY</t>
    </r>
    <r>
      <rPr>
        <sz val="12"/>
        <color theme="1"/>
        <rFont val="Calibri"/>
        <family val="2"/>
        <scheme val="minor"/>
      </rPr>
      <t xml:space="preserve"> / </t>
    </r>
    <r>
      <rPr>
        <sz val="12"/>
        <color theme="1"/>
        <rFont val="Arial Unicode MS"/>
      </rPr>
      <t>TRIERPAR</t>
    </r>
    <r>
      <rPr>
        <sz val="12"/>
        <color theme="1"/>
        <rFont val="Calibri"/>
        <family val="2"/>
        <scheme val="minor"/>
      </rPr>
      <t xml:space="preserve"> : trier selon une autre plage</t>
    </r>
  </si>
  <si>
    <r>
      <t>UNIQUE</t>
    </r>
    <r>
      <rPr>
        <sz val="12"/>
        <color theme="1"/>
        <rFont val="Calibri"/>
        <family val="2"/>
        <scheme val="minor"/>
      </rPr>
      <t xml:space="preserve"> / </t>
    </r>
    <r>
      <rPr>
        <sz val="12"/>
        <color theme="1"/>
        <rFont val="Arial Unicode MS"/>
      </rPr>
      <t>UNIQUE</t>
    </r>
    <r>
      <rPr>
        <sz val="12"/>
        <color theme="1"/>
        <rFont val="Calibri"/>
        <family val="2"/>
        <scheme val="minor"/>
      </rPr>
      <t xml:space="preserve"> : valeurs uniques</t>
    </r>
  </si>
  <si>
    <r>
      <t>SEQUENCE</t>
    </r>
    <r>
      <rPr>
        <sz val="12"/>
        <color theme="1"/>
        <rFont val="Calibri"/>
        <family val="2"/>
        <scheme val="minor"/>
      </rPr>
      <t xml:space="preserve"> / </t>
    </r>
    <r>
      <rPr>
        <sz val="12"/>
        <color theme="1"/>
        <rFont val="Arial Unicode MS"/>
      </rPr>
      <t>SEQUENCE</t>
    </r>
    <r>
      <rPr>
        <sz val="12"/>
        <color theme="1"/>
        <rFont val="Calibri"/>
        <family val="2"/>
        <scheme val="minor"/>
      </rPr>
      <t xml:space="preserve"> : générer 1..n par formule</t>
    </r>
  </si>
  <si>
    <r>
      <t>RANDARRAY</t>
    </r>
    <r>
      <rPr>
        <sz val="12"/>
        <color theme="1"/>
        <rFont val="Calibri"/>
        <family val="2"/>
        <scheme val="minor"/>
      </rPr>
      <t xml:space="preserve"> / </t>
    </r>
    <r>
      <rPr>
        <sz val="12"/>
        <color theme="1"/>
        <rFont val="Arial Unicode MS"/>
      </rPr>
      <t>ALEATRASTABLEAU</t>
    </r>
    <r>
      <rPr>
        <sz val="12"/>
        <color theme="1"/>
        <rFont val="Calibri"/>
        <family val="2"/>
        <scheme val="minor"/>
      </rPr>
      <t xml:space="preserve"> : tableau de valeurs aléatoires</t>
    </r>
  </si>
  <si>
    <r>
      <t xml:space="preserve">Très pratiques, mais </t>
    </r>
    <r>
      <rPr>
        <b/>
        <sz val="12"/>
        <color theme="1"/>
        <rFont val="Calibri"/>
        <family val="2"/>
        <scheme val="minor"/>
      </rPr>
      <t>récentes 365</t>
    </r>
    <r>
      <rPr>
        <sz val="12"/>
        <color theme="1"/>
        <rFont val="Calibri"/>
        <family val="2"/>
        <scheme val="minor"/>
      </rPr>
      <t xml:space="preserve"> :</t>
    </r>
  </si>
  <si>
    <r>
      <t>TEXTSPLIT</t>
    </r>
    <r>
      <rPr>
        <sz val="12"/>
        <color theme="1"/>
        <rFont val="Calibri"/>
        <family val="2"/>
        <scheme val="minor"/>
      </rPr>
      <t xml:space="preserve"> / </t>
    </r>
    <r>
      <rPr>
        <sz val="12"/>
        <color theme="1"/>
        <rFont val="Arial Unicode MS"/>
      </rPr>
      <t>TEXTE.DÉC.OUPER</t>
    </r>
  </si>
  <si>
    <r>
      <t>TEXTBEFORE</t>
    </r>
    <r>
      <rPr>
        <sz val="12"/>
        <color theme="1"/>
        <rFont val="Calibri"/>
        <family val="2"/>
        <scheme val="minor"/>
      </rPr>
      <t xml:space="preserve"> / </t>
    </r>
    <r>
      <rPr>
        <sz val="12"/>
        <color theme="1"/>
        <rFont val="Arial Unicode MS"/>
      </rPr>
      <t>TEXTE.AVANT</t>
    </r>
  </si>
  <si>
    <r>
      <t>TEXTAFTER</t>
    </r>
    <r>
      <rPr>
        <sz val="12"/>
        <color theme="1"/>
        <rFont val="Calibri"/>
        <family val="2"/>
        <scheme val="minor"/>
      </rPr>
      <t xml:space="preserve"> / </t>
    </r>
    <r>
      <rPr>
        <sz val="12"/>
        <color theme="1"/>
        <rFont val="Arial Unicode MS"/>
      </rPr>
      <t>TEXTE.APRÈS</t>
    </r>
  </si>
  <si>
    <r>
      <t>VSTACK</t>
    </r>
    <r>
      <rPr>
        <sz val="12"/>
        <color theme="1"/>
        <rFont val="Calibri"/>
        <family val="2"/>
        <scheme val="minor"/>
      </rPr>
      <t xml:space="preserve"> / </t>
    </r>
    <r>
      <rPr>
        <sz val="12"/>
        <color theme="1"/>
        <rFont val="Arial Unicode MS"/>
      </rPr>
      <t>EMPILER.V</t>
    </r>
    <r>
      <rPr>
        <sz val="12"/>
        <color theme="1"/>
        <rFont val="Calibri"/>
        <family val="2"/>
        <scheme val="minor"/>
      </rPr>
      <t xml:space="preserve"> : empiler des plages verticalement</t>
    </r>
  </si>
  <si>
    <r>
      <t>HSTACK</t>
    </r>
    <r>
      <rPr>
        <sz val="12"/>
        <color theme="1"/>
        <rFont val="Calibri"/>
        <family val="2"/>
        <scheme val="minor"/>
      </rPr>
      <t xml:space="preserve"> / </t>
    </r>
    <r>
      <rPr>
        <sz val="12"/>
        <color theme="1"/>
        <rFont val="Arial Unicode MS"/>
      </rPr>
      <t>EMPILER.H</t>
    </r>
    <r>
      <rPr>
        <sz val="12"/>
        <color theme="1"/>
        <rFont val="Calibri"/>
        <family val="2"/>
        <scheme val="minor"/>
      </rPr>
      <t xml:space="preserve"> : empiler horizontalement</t>
    </r>
  </si>
  <si>
    <r>
      <t>WRAPROWS</t>
    </r>
    <r>
      <rPr>
        <sz val="12"/>
        <color theme="1"/>
        <rFont val="Calibri"/>
        <family val="2"/>
        <scheme val="minor"/>
      </rPr>
      <t xml:space="preserve"> / </t>
    </r>
    <r>
      <rPr>
        <sz val="12"/>
        <color theme="1"/>
        <rFont val="Arial Unicode MS"/>
      </rPr>
      <t>ALIGNER.LIGNES</t>
    </r>
  </si>
  <si>
    <r>
      <t>WRAPCOLS</t>
    </r>
    <r>
      <rPr>
        <sz val="12"/>
        <color theme="1"/>
        <rFont val="Calibri"/>
        <family val="2"/>
        <scheme val="minor"/>
      </rPr>
      <t xml:space="preserve"> / </t>
    </r>
    <r>
      <rPr>
        <sz val="12"/>
        <color theme="1"/>
        <rFont val="Arial Unicode MS"/>
      </rPr>
      <t>ALIGNER.COLONNES</t>
    </r>
  </si>
  <si>
    <r>
      <t>TOCOL</t>
    </r>
    <r>
      <rPr>
        <sz val="12"/>
        <color theme="1"/>
        <rFont val="Calibri"/>
        <family val="2"/>
        <scheme val="minor"/>
      </rPr>
      <t xml:space="preserve"> / </t>
    </r>
    <r>
      <rPr>
        <sz val="12"/>
        <color theme="1"/>
        <rFont val="Arial Unicode MS"/>
      </rPr>
      <t>VERS.COLONNE</t>
    </r>
  </si>
  <si>
    <r>
      <t>TOROW</t>
    </r>
    <r>
      <rPr>
        <sz val="12"/>
        <color theme="1"/>
        <rFont val="Calibri"/>
        <family val="2"/>
        <scheme val="minor"/>
      </rPr>
      <t xml:space="preserve"> / </t>
    </r>
    <r>
      <rPr>
        <sz val="12"/>
        <color theme="1"/>
        <rFont val="Arial Unicode MS"/>
      </rPr>
      <t>VERS.LIGNE</t>
    </r>
  </si>
  <si>
    <r>
      <t>TAKE</t>
    </r>
    <r>
      <rPr>
        <sz val="12"/>
        <color theme="1"/>
        <rFont val="Calibri"/>
        <family val="2"/>
        <scheme val="minor"/>
      </rPr>
      <t xml:space="preserve"> / </t>
    </r>
    <r>
      <rPr>
        <sz val="12"/>
        <color theme="1"/>
        <rFont val="Arial Unicode MS"/>
      </rPr>
      <t>PRENDRE</t>
    </r>
  </si>
  <si>
    <r>
      <t>DROP</t>
    </r>
    <r>
      <rPr>
        <sz val="12"/>
        <color theme="1"/>
        <rFont val="Calibri"/>
        <family val="2"/>
        <scheme val="minor"/>
      </rPr>
      <t xml:space="preserve"> / </t>
    </r>
    <r>
      <rPr>
        <sz val="12"/>
        <color theme="1"/>
        <rFont val="Arial Unicode MS"/>
      </rPr>
      <t>ABANDONNER</t>
    </r>
  </si>
  <si>
    <r>
      <t>CHOOSECOLS</t>
    </r>
    <r>
      <rPr>
        <sz val="12"/>
        <color theme="1"/>
        <rFont val="Calibri"/>
        <family val="2"/>
        <scheme val="minor"/>
      </rPr>
      <t xml:space="preserve"> / </t>
    </r>
    <r>
      <rPr>
        <sz val="12"/>
        <color theme="1"/>
        <rFont val="Arial Unicode MS"/>
      </rPr>
      <t>CHOISIRCOLS</t>
    </r>
  </si>
  <si>
    <r>
      <t>CHOOSEROWS</t>
    </r>
    <r>
      <rPr>
        <sz val="12"/>
        <color theme="1"/>
        <rFont val="Calibri"/>
        <family val="2"/>
        <scheme val="minor"/>
      </rPr>
      <t xml:space="preserve"> / </t>
    </r>
    <r>
      <rPr>
        <sz val="12"/>
        <color theme="1"/>
        <rFont val="Arial Unicode MS"/>
      </rPr>
      <t>CHOISIRLIGNES</t>
    </r>
  </si>
  <si>
    <r>
      <t>LAMBDA</t>
    </r>
    <r>
      <rPr>
        <sz val="12"/>
        <color theme="1"/>
        <rFont val="Calibri"/>
        <family val="2"/>
        <scheme val="minor"/>
      </rPr>
      <t xml:space="preserve"> : définir ses propres fonctions</t>
    </r>
  </si>
  <si>
    <r>
      <t>LET</t>
    </r>
    <r>
      <rPr>
        <sz val="12"/>
        <color theme="1"/>
        <rFont val="Calibri"/>
        <family val="2"/>
        <scheme val="minor"/>
      </rPr>
      <t xml:space="preserve"> : nommer des variables dans une formule (celle qui te donnait </t>
    </r>
    <r>
      <rPr>
        <sz val="12"/>
        <color theme="1"/>
        <rFont val="Arial Unicode MS"/>
      </rPr>
      <t>_xlfn.LET</t>
    </r>
    <r>
      <rPr>
        <sz val="12"/>
        <color theme="1"/>
        <rFont val="Calibri"/>
        <family val="2"/>
        <scheme val="minor"/>
      </rPr>
      <t xml:space="preserve"> et #NOM?)</t>
    </r>
  </si>
  <si>
    <r>
      <t>MAP</t>
    </r>
    <r>
      <rPr>
        <sz val="12"/>
        <color theme="1"/>
        <rFont val="Calibri"/>
        <family val="2"/>
        <scheme val="minor"/>
      </rPr>
      <t xml:space="preserve"> / </t>
    </r>
    <r>
      <rPr>
        <sz val="12"/>
        <color theme="1"/>
        <rFont val="Arial Unicode MS"/>
      </rPr>
      <t>APPEL.LAMBDA.LIGNE</t>
    </r>
    <r>
      <rPr>
        <sz val="12"/>
        <color theme="1"/>
        <rFont val="Calibri"/>
        <family val="2"/>
        <scheme val="minor"/>
      </rPr>
      <t xml:space="preserve"> (nom FR récent), </t>
    </r>
    <r>
      <rPr>
        <sz val="12"/>
        <color theme="1"/>
        <rFont val="Arial Unicode MS"/>
      </rPr>
      <t>REDUCE</t>
    </r>
    <r>
      <rPr>
        <sz val="12"/>
        <color theme="1"/>
        <rFont val="Calibri"/>
        <family val="2"/>
        <scheme val="minor"/>
      </rPr>
      <t xml:space="preserve">, </t>
    </r>
    <r>
      <rPr>
        <sz val="12"/>
        <color theme="1"/>
        <rFont val="Arial Unicode MS"/>
      </rPr>
      <t>SCAN</t>
    </r>
    <r>
      <rPr>
        <sz val="12"/>
        <color theme="1"/>
        <rFont val="Calibri"/>
        <family val="2"/>
        <scheme val="minor"/>
      </rPr>
      <t xml:space="preserve">, </t>
    </r>
    <r>
      <rPr>
        <sz val="12"/>
        <color theme="1"/>
        <rFont val="Arial Unicode MS"/>
      </rPr>
      <t>BYROW</t>
    </r>
    <r>
      <rPr>
        <sz val="12"/>
        <color theme="1"/>
        <rFont val="Calibri"/>
        <family val="2"/>
        <scheme val="minor"/>
      </rPr>
      <t xml:space="preserve">, </t>
    </r>
    <r>
      <rPr>
        <sz val="12"/>
        <color theme="1"/>
        <rFont val="Arial Unicode MS"/>
      </rPr>
      <t>BYCOL</t>
    </r>
    <r>
      <rPr>
        <sz val="12"/>
        <color theme="1"/>
        <rFont val="Calibri"/>
        <family val="2"/>
        <scheme val="minor"/>
      </rPr>
      <t xml:space="preserve"> : appliquer des calculs ligne par ligne, colonne par colonne, etc.</t>
    </r>
  </si>
  <si>
    <r>
      <t xml:space="preserve">Sur une version non-365, dès que tu vois </t>
    </r>
    <r>
      <rPr>
        <sz val="14"/>
        <color rgb="FF0000FF"/>
        <rFont val="Arial Unicode MS"/>
      </rPr>
      <t>_xlfn.LAMBDA</t>
    </r>
    <r>
      <rPr>
        <sz val="14"/>
        <color rgb="FF0000FF"/>
        <rFont val="Calibri"/>
        <family val="2"/>
        <scheme val="minor"/>
      </rPr>
      <t xml:space="preserve">, </t>
    </r>
    <r>
      <rPr>
        <sz val="14"/>
        <color rgb="FF0000FF"/>
        <rFont val="Arial Unicode MS"/>
      </rPr>
      <t>_xlfn.LET</t>
    </r>
    <r>
      <rPr>
        <sz val="14"/>
        <color rgb="FF0000FF"/>
        <rFont val="Calibri"/>
        <family val="2"/>
        <scheme val="minor"/>
      </rPr>
      <t>, etc. → c’est mort.</t>
    </r>
  </si>
  <si>
    <t>XLOOKUP / RECHERCHEX</t>
  </si>
  <si>
    <t>XMATCH / XEQUIV</t>
  </si>
  <si>
    <r>
      <t xml:space="preserve">Celles-là existent dans </t>
    </r>
    <r>
      <rPr>
        <b/>
        <sz val="12"/>
        <color theme="1"/>
        <rFont val="Calibri"/>
        <family val="2"/>
        <scheme val="minor"/>
      </rPr>
      <t>Excel 365</t>
    </r>
    <r>
      <rPr>
        <sz val="12"/>
        <color theme="1"/>
        <rFont val="Calibri"/>
        <family val="2"/>
        <scheme val="minor"/>
      </rPr>
      <t xml:space="preserve"> et aussi parfois dans certaines versions perpétuelles récentes, mais pas dans les plus anciennes (2016/2019).</t>
    </r>
  </si>
  <si>
    <r>
      <t xml:space="preserve">Vu tes messages, </t>
    </r>
    <r>
      <rPr>
        <b/>
        <sz val="12"/>
        <color theme="1"/>
        <rFont val="Calibri"/>
        <family val="2"/>
        <scheme val="minor"/>
      </rPr>
      <t>RECHERCHEX</t>
    </r>
    <r>
      <rPr>
        <sz val="12"/>
        <color theme="1"/>
        <rFont val="Calibri"/>
        <family val="2"/>
        <scheme val="minor"/>
      </rPr>
      <t xml:space="preserve"> marche chez toi, donc tu n’es pas sur une version vraiment vieille.</t>
    </r>
  </si>
  <si>
    <r>
      <t xml:space="preserve">Les formules qui font apparaître </t>
    </r>
    <r>
      <rPr>
        <sz val="12"/>
        <color theme="1"/>
        <rFont val="Arial Unicode MS"/>
      </rPr>
      <t>_xlfn.XXX</t>
    </r>
    <r>
      <rPr>
        <sz val="12"/>
        <color theme="1"/>
        <rFont val="Calibri"/>
        <family val="2"/>
        <scheme val="minor"/>
      </rPr>
      <t xml:space="preserve"> ou </t>
    </r>
    <r>
      <rPr>
        <sz val="12"/>
        <color theme="1"/>
        <rFont val="Arial Unicode MS"/>
      </rPr>
      <t>_xlpm.xxx</t>
    </r>
    <r>
      <rPr>
        <sz val="12"/>
        <color theme="1"/>
        <rFont val="Calibri"/>
        <family val="2"/>
        <scheme val="minor"/>
      </rPr>
      <t xml:space="preserve"> viennent de quelqu’un qui a Excel 365 et qui a utilisé :</t>
    </r>
  </si>
  <si>
    <r>
      <t xml:space="preserve">Sur </t>
    </r>
    <r>
      <rPr>
        <b/>
        <sz val="12"/>
        <color theme="1"/>
        <rFont val="Calibri"/>
        <family val="2"/>
        <scheme val="minor"/>
      </rPr>
      <t>ta version</t>
    </r>
    <r>
      <rPr>
        <sz val="12"/>
        <color theme="1"/>
        <rFont val="Calibri"/>
        <family val="2"/>
        <scheme val="minor"/>
      </rPr>
      <t>, tu peux utiliser sans souci :</t>
    </r>
  </si>
  <si>
    <r>
      <t>RECHERCHEX</t>
    </r>
    <r>
      <rPr>
        <sz val="12"/>
        <color theme="1"/>
        <rFont val="Calibri"/>
        <family val="2"/>
        <scheme val="minor"/>
      </rPr>
      <t xml:space="preserve"> (tu l’utilises déjà)</t>
    </r>
  </si>
  <si>
    <r>
      <t>les classiques (</t>
    </r>
    <r>
      <rPr>
        <sz val="12"/>
        <color theme="1"/>
        <rFont val="Arial Unicode MS"/>
      </rPr>
      <t>SOMME.SI</t>
    </r>
    <r>
      <rPr>
        <sz val="12"/>
        <color theme="1"/>
        <rFont val="Calibri"/>
        <family val="2"/>
        <scheme val="minor"/>
      </rPr>
      <t xml:space="preserve">, </t>
    </r>
    <r>
      <rPr>
        <sz val="12"/>
        <color theme="1"/>
        <rFont val="Arial Unicode MS"/>
      </rPr>
      <t>NB.SI</t>
    </r>
    <r>
      <rPr>
        <sz val="12"/>
        <color theme="1"/>
        <rFont val="Calibri"/>
        <family val="2"/>
        <scheme val="minor"/>
      </rPr>
      <t xml:space="preserve">, </t>
    </r>
    <r>
      <rPr>
        <sz val="12"/>
        <color theme="1"/>
        <rFont val="Arial Unicode MS"/>
      </rPr>
      <t>INDEX</t>
    </r>
    <r>
      <rPr>
        <sz val="12"/>
        <color theme="1"/>
        <rFont val="Calibri"/>
        <family val="2"/>
        <scheme val="minor"/>
      </rPr>
      <t xml:space="preserve">, </t>
    </r>
    <r>
      <rPr>
        <sz val="12"/>
        <color theme="1"/>
        <rFont val="Arial Unicode MS"/>
      </rPr>
      <t>EQUIV</t>
    </r>
    <r>
      <rPr>
        <sz val="12"/>
        <color theme="1"/>
        <rFont val="Calibri"/>
        <family val="2"/>
        <scheme val="minor"/>
      </rPr>
      <t xml:space="preserve">, </t>
    </r>
    <r>
      <rPr>
        <sz val="12"/>
        <color theme="1"/>
        <rFont val="Arial Unicode MS"/>
      </rPr>
      <t>SOMMEPROD</t>
    </r>
    <r>
      <rPr>
        <sz val="12"/>
        <color theme="1"/>
        <rFont val="Calibri"/>
        <family val="2"/>
        <scheme val="minor"/>
      </rPr>
      <t>, etc.)</t>
    </r>
  </si>
  <si>
    <r>
      <t xml:space="preserve">Mais tu dois </t>
    </r>
    <r>
      <rPr>
        <b/>
        <sz val="12"/>
        <color theme="1"/>
        <rFont val="Calibri"/>
        <family val="2"/>
        <scheme val="minor"/>
      </rPr>
      <t>éviter / réécrire</t>
    </r>
    <r>
      <rPr>
        <sz val="12"/>
        <color theme="1"/>
        <rFont val="Calibri"/>
        <family val="2"/>
        <scheme val="minor"/>
      </rPr>
      <t xml:space="preserve"> :</t>
    </r>
  </si>
  <si>
    <r>
      <t>FILTER</t>
    </r>
    <r>
      <rPr>
        <sz val="12"/>
        <color theme="1"/>
        <rFont val="Calibri"/>
        <family val="2"/>
        <scheme val="minor"/>
      </rPr>
      <t xml:space="preserve">, </t>
    </r>
    <r>
      <rPr>
        <sz val="12"/>
        <color theme="1"/>
        <rFont val="Arial Unicode MS"/>
      </rPr>
      <t>UNIQUE</t>
    </r>
    <r>
      <rPr>
        <sz val="12"/>
        <color theme="1"/>
        <rFont val="Calibri"/>
        <family val="2"/>
        <scheme val="minor"/>
      </rPr>
      <t xml:space="preserve">, </t>
    </r>
    <r>
      <rPr>
        <sz val="12"/>
        <color theme="1"/>
        <rFont val="Arial Unicode MS"/>
      </rPr>
      <t>TEXTSPLIT</t>
    </r>
    <r>
      <rPr>
        <sz val="12"/>
        <color theme="1"/>
        <rFont val="Calibri"/>
        <family val="2"/>
        <scheme val="minor"/>
      </rPr>
      <t>, …</t>
    </r>
  </si>
  <si>
    <r>
      <t xml:space="preserve">Si tu veux, tu peux me coller </t>
    </r>
    <r>
      <rPr>
        <b/>
        <sz val="12"/>
        <color theme="1"/>
        <rFont val="Calibri"/>
        <family val="2"/>
        <scheme val="minor"/>
      </rPr>
      <t>n’importe quelle formule 365</t>
    </r>
    <r>
      <rPr>
        <sz val="12"/>
        <color theme="1"/>
        <rFont val="Calibri"/>
        <family val="2"/>
        <scheme val="minor"/>
      </rPr>
      <t xml:space="preserve"> qui te sort </t>
    </r>
    <r>
      <rPr>
        <sz val="12"/>
        <color theme="1"/>
        <rFont val="Arial Unicode MS"/>
      </rPr>
      <t>#NOM?</t>
    </r>
    <r>
      <rPr>
        <sz val="12"/>
        <color theme="1"/>
        <rFont val="Calibri"/>
        <family val="2"/>
        <scheme val="minor"/>
      </rPr>
      <t>, et je te la traduis en version compatible avec ta “vieille” Excel, sans poser de question.</t>
    </r>
  </si>
  <si>
    <r>
      <t xml:space="preserve">sauté pan (straight sides) / </t>
    </r>
    <r>
      <rPr>
        <b/>
        <sz val="11"/>
        <color rgb="FF0033CC"/>
        <rFont val="Calibri"/>
        <family val="2"/>
        <scheme val="minor"/>
      </rPr>
      <t>saucier</t>
    </r>
    <r>
      <rPr>
        <sz val="11"/>
        <color rgb="FF0033CC"/>
        <rFont val="Calibri"/>
        <family val="2"/>
        <scheme val="minor"/>
      </rPr>
      <t xml:space="preserve"> (rounded)</t>
    </r>
  </si>
  <si>
    <r>
      <t>plato</t>
    </r>
    <r>
      <rPr>
        <sz val="11"/>
        <color rgb="FF0033CC"/>
        <rFont val="Calibri"/>
        <family val="2"/>
        <scheme val="minor"/>
      </rPr>
      <t>; plato llano</t>
    </r>
  </si>
  <si>
    <r>
      <t>cubetas GN</t>
    </r>
    <r>
      <rPr>
        <sz val="11"/>
        <color rgb="FF0033CC"/>
        <rFont val="Calibri"/>
        <family val="2"/>
        <scheme val="minor"/>
      </rPr>
      <t>; contenedores</t>
    </r>
  </si>
  <si>
    <r>
      <t>balanza</t>
    </r>
    <r>
      <rPr>
        <sz val="11"/>
        <color rgb="FF0033CC"/>
        <rFont val="Calibri"/>
        <family val="2"/>
        <scheme val="minor"/>
      </rPr>
      <t xml:space="preserve">; </t>
    </r>
    <r>
      <rPr>
        <b/>
        <sz val="11"/>
        <color rgb="FF0033CC"/>
        <rFont val="Calibri"/>
        <family val="2"/>
        <scheme val="minor"/>
      </rPr>
      <t>báscula</t>
    </r>
  </si>
  <si>
    <r>
      <t>barquetas</t>
    </r>
    <r>
      <rPr>
        <sz val="11"/>
        <color rgb="FF0033CC"/>
        <rFont val="Calibri"/>
        <family val="2"/>
        <scheme val="minor"/>
      </rPr>
      <t>; envases</t>
    </r>
  </si>
  <si>
    <r>
      <t>báscula puente</t>
    </r>
    <r>
      <rPr>
        <sz val="11"/>
        <color rgb="FF0033CC"/>
        <rFont val="Calibri"/>
        <family val="2"/>
        <scheme val="minor"/>
      </rPr>
      <t xml:space="preserve">; </t>
    </r>
    <r>
      <rPr>
        <b/>
        <sz val="11"/>
        <color rgb="FF0033CC"/>
        <rFont val="Calibri"/>
        <family val="2"/>
        <scheme val="minor"/>
      </rPr>
      <t>báscula de plataforma</t>
    </r>
  </si>
  <si>
    <r>
      <t>carros</t>
    </r>
    <r>
      <rPr>
        <sz val="11"/>
        <color rgb="FF0033CC"/>
        <rFont val="Calibri"/>
        <family val="2"/>
        <scheme val="minor"/>
      </rPr>
      <t xml:space="preserve">; </t>
    </r>
    <r>
      <rPr>
        <b/>
        <sz val="11"/>
        <color rgb="FF0033CC"/>
        <rFont val="Calibri"/>
        <family val="2"/>
        <scheme val="minor"/>
      </rPr>
      <t>carros porta-bandejas</t>
    </r>
  </si>
  <si>
    <r>
      <t>vaporera</t>
    </r>
    <r>
      <rPr>
        <sz val="11"/>
        <color rgb="FF0033CC"/>
        <rFont val="Calibri"/>
        <family val="2"/>
        <scheme val="minor"/>
      </rPr>
      <t xml:space="preserve">; </t>
    </r>
    <r>
      <rPr>
        <b/>
        <sz val="11"/>
        <color rgb="FF0033CC"/>
        <rFont val="Calibri"/>
        <family val="2"/>
        <scheme val="minor"/>
      </rPr>
      <t>cocedor al vapor</t>
    </r>
  </si>
  <si>
    <r>
      <t>bol de mezcla</t>
    </r>
    <r>
      <rPr>
        <sz val="11"/>
        <color rgb="FF0033CC"/>
        <rFont val="Calibri"/>
        <family val="2"/>
        <scheme val="minor"/>
      </rPr>
      <t xml:space="preserve"> (hemisférico)</t>
    </r>
  </si>
  <si>
    <r>
      <t>ducha de mano</t>
    </r>
    <r>
      <rPr>
        <sz val="11"/>
        <color rgb="FF0033CC"/>
        <rFont val="Calibri"/>
        <family val="2"/>
        <scheme val="minor"/>
      </rPr>
      <t xml:space="preserve">; </t>
    </r>
    <r>
      <rPr>
        <b/>
        <sz val="11"/>
        <color rgb="FF0033CC"/>
        <rFont val="Calibri"/>
        <family val="2"/>
        <scheme val="minor"/>
      </rPr>
      <t>pistola de enjuague</t>
    </r>
  </si>
  <si>
    <r>
      <t>carro estantería</t>
    </r>
    <r>
      <rPr>
        <sz val="11"/>
        <color rgb="FF0033CC"/>
        <rFont val="Calibri"/>
        <family val="2"/>
        <scheme val="minor"/>
      </rPr>
      <t xml:space="preserve">; </t>
    </r>
    <r>
      <rPr>
        <b/>
        <sz val="11"/>
        <color rgb="FF0033CC"/>
        <rFont val="Calibri"/>
        <family val="2"/>
        <scheme val="minor"/>
      </rPr>
      <t>rack panadero</t>
    </r>
  </si>
  <si>
    <r>
      <t>envase/embalaje de cartón</t>
    </r>
    <r>
      <rPr>
        <sz val="11"/>
        <color rgb="FF0033CC"/>
        <rFont val="Calibri"/>
        <family val="2"/>
        <scheme val="minor"/>
      </rPr>
      <t xml:space="preserve">; </t>
    </r>
    <r>
      <rPr>
        <b/>
        <sz val="11"/>
        <color rgb="FF0033CC"/>
        <rFont val="Calibri"/>
        <family val="2"/>
        <scheme val="minor"/>
      </rPr>
      <t>caja corrugada</t>
    </r>
  </si>
  <si>
    <r>
      <t>estanterías</t>
    </r>
    <r>
      <rPr>
        <sz val="11"/>
        <color rgb="FF0033CC"/>
        <rFont val="Calibri"/>
        <family val="2"/>
        <scheme val="minor"/>
      </rPr>
      <t xml:space="preserve">; </t>
    </r>
    <r>
      <rPr>
        <b/>
        <sz val="11"/>
        <color rgb="FF0033CC"/>
        <rFont val="Calibri"/>
        <family val="2"/>
        <scheme val="minor"/>
      </rPr>
      <t>rack</t>
    </r>
  </si>
  <si>
    <r>
      <t>film transparente (alimentario)</t>
    </r>
    <r>
      <rPr>
        <sz val="11"/>
        <color rgb="FF0033CC"/>
        <rFont val="Calibri"/>
        <family val="2"/>
        <scheme val="minor"/>
      </rPr>
      <t xml:space="preserve">; </t>
    </r>
    <r>
      <rPr>
        <b/>
        <sz val="11"/>
        <color rgb="FF0033CC"/>
        <rFont val="Calibri"/>
        <family val="2"/>
        <scheme val="minor"/>
      </rPr>
      <t>papel film</t>
    </r>
  </si>
  <si>
    <r>
      <t>batidor de varillas</t>
    </r>
    <r>
      <rPr>
        <sz val="11"/>
        <color rgb="FF0033CC"/>
        <rFont val="Calibri"/>
        <family val="2"/>
        <scheme val="minor"/>
      </rPr>
      <t xml:space="preserve">; </t>
    </r>
    <r>
      <rPr>
        <b/>
        <sz val="11"/>
        <color rgb="FF0033CC"/>
        <rFont val="Calibri"/>
        <family val="2"/>
        <scheme val="minor"/>
      </rPr>
      <t>batidor globo</t>
    </r>
  </si>
  <si>
    <r>
      <t>horno mixto (convección-vapor)</t>
    </r>
    <r>
      <rPr>
        <sz val="11"/>
        <color rgb="FF0033CC"/>
        <rFont val="Calibri"/>
        <family val="2"/>
        <scheme val="minor"/>
      </rPr>
      <t xml:space="preserve">; </t>
    </r>
    <r>
      <rPr>
        <b/>
        <sz val="11"/>
        <color rgb="FF0033CC"/>
        <rFont val="Calibri"/>
        <family val="2"/>
        <scheme val="minor"/>
      </rPr>
      <t>horno combinado</t>
    </r>
  </si>
  <si>
    <r>
      <t>cubetas GN</t>
    </r>
    <r>
      <rPr>
        <sz val="11"/>
        <color rgb="FF0033CC"/>
        <rFont val="Calibri"/>
        <family val="2"/>
        <scheme val="minor"/>
      </rPr>
      <t>; contenedores Gastronorm</t>
    </r>
  </si>
  <si>
    <r>
      <t>rejilla de horno</t>
    </r>
    <r>
      <rPr>
        <sz val="11"/>
        <color rgb="FF0033CC"/>
        <rFont val="Calibri"/>
        <family val="2"/>
        <scheme val="minor"/>
      </rPr>
      <t xml:space="preserve">; </t>
    </r>
    <r>
      <rPr>
        <b/>
        <sz val="11"/>
        <color rgb="FF0033CC"/>
        <rFont val="Calibri"/>
        <family val="2"/>
        <scheme val="minor"/>
      </rPr>
      <t>rejilla enfriadora</t>
    </r>
    <r>
      <rPr>
        <sz val="11"/>
        <color rgb="FF0033CC"/>
        <rFont val="Calibri"/>
        <family val="2"/>
        <scheme val="minor"/>
      </rPr>
      <t xml:space="preserve">; </t>
    </r>
    <r>
      <rPr>
        <b/>
        <sz val="11"/>
        <color rgb="FF0033CC"/>
        <rFont val="Calibri"/>
        <family val="2"/>
        <scheme val="minor"/>
      </rPr>
      <t>parrilla</t>
    </r>
  </si>
  <si>
    <r>
      <t>funda de protección</t>
    </r>
    <r>
      <rPr>
        <sz val="11"/>
        <color rgb="FF0033CC"/>
        <rFont val="Calibri"/>
        <family val="2"/>
        <scheme val="minor"/>
      </rPr>
      <t xml:space="preserve">; </t>
    </r>
    <r>
      <rPr>
        <b/>
        <sz val="11"/>
        <color rgb="FF0033CC"/>
        <rFont val="Calibri"/>
        <family val="2"/>
        <scheme val="minor"/>
      </rPr>
      <t>cubre-polvo</t>
    </r>
  </si>
  <si>
    <r>
      <t>cucharón</t>
    </r>
    <r>
      <rPr>
        <sz val="11"/>
        <color rgb="FF0033CC"/>
        <rFont val="Calibri"/>
        <family val="2"/>
        <scheme val="minor"/>
      </rPr>
      <t>; cucharón sopero; cucharón para salsas</t>
    </r>
  </si>
  <si>
    <r>
      <t>ralladora eléctrica</t>
    </r>
    <r>
      <rPr>
        <sz val="11"/>
        <color rgb="FF0033CC"/>
        <rFont val="Calibri"/>
        <family val="2"/>
        <scheme val="minor"/>
      </rPr>
      <t xml:space="preserve">; </t>
    </r>
    <r>
      <rPr>
        <b/>
        <sz val="11"/>
        <color rgb="FF0033CC"/>
        <rFont val="Calibri"/>
        <family val="2"/>
        <scheme val="minor"/>
      </rPr>
      <t>máquina de rallar</t>
    </r>
  </si>
  <si>
    <r>
      <t>olla</t>
    </r>
    <r>
      <rPr>
        <sz val="11"/>
        <color rgb="FF0033CC"/>
        <rFont val="Calibri"/>
        <family val="2"/>
        <scheme val="minor"/>
      </rPr>
      <t xml:space="preserve">; </t>
    </r>
    <r>
      <rPr>
        <b/>
        <sz val="11"/>
        <color rgb="FF0033CC"/>
        <rFont val="Calibri"/>
        <family val="2"/>
        <scheme val="minor"/>
      </rPr>
      <t>caldera</t>
    </r>
    <r>
      <rPr>
        <sz val="11"/>
        <color rgb="FF0033CC"/>
        <rFont val="Calibri"/>
        <family val="2"/>
        <scheme val="minor"/>
      </rPr>
      <t xml:space="preserve"> (industrial)</t>
    </r>
  </si>
  <si>
    <r>
      <t>palé / palet</t>
    </r>
    <r>
      <rPr>
        <sz val="11"/>
        <color rgb="FF0033CC"/>
        <rFont val="Calibri"/>
        <family val="2"/>
        <scheme val="minor"/>
      </rPr>
      <t xml:space="preserve">; </t>
    </r>
    <r>
      <rPr>
        <b/>
        <sz val="11"/>
        <color rgb="FF0033CC"/>
        <rFont val="Calibri"/>
        <family val="2"/>
        <scheme val="minor"/>
      </rPr>
      <t>palé europeo (EPAL)</t>
    </r>
  </si>
  <si>
    <r>
      <t>colador</t>
    </r>
    <r>
      <rPr>
        <sz val="11"/>
        <color rgb="FF0033CC"/>
        <rFont val="Calibri"/>
        <family val="2"/>
        <scheme val="minor"/>
      </rPr>
      <t xml:space="preserve">; </t>
    </r>
    <r>
      <rPr>
        <b/>
        <sz val="11"/>
        <color rgb="FF0033CC"/>
        <rFont val="Calibri"/>
        <family val="2"/>
        <scheme val="minor"/>
      </rPr>
      <t>escurridor</t>
    </r>
  </si>
  <si>
    <r>
      <t>pinzas</t>
    </r>
    <r>
      <rPr>
        <sz val="11"/>
        <color rgb="FF0033CC"/>
        <rFont val="Calibri"/>
        <family val="2"/>
        <scheme val="minor"/>
      </rPr>
      <t xml:space="preserve"> (de cocina)</t>
    </r>
  </si>
  <si>
    <r>
      <t>placa eutéctica</t>
    </r>
    <r>
      <rPr>
        <sz val="11"/>
        <color rgb="FF0033CC"/>
        <rFont val="Calibri"/>
        <family val="2"/>
        <scheme val="minor"/>
      </rPr>
      <t xml:space="preserve">; </t>
    </r>
    <r>
      <rPr>
        <b/>
        <sz val="11"/>
        <color rgb="FF0033CC"/>
        <rFont val="Calibri"/>
        <family val="2"/>
        <scheme val="minor"/>
      </rPr>
      <t>acumulador de frío</t>
    </r>
  </si>
  <si>
    <r>
      <t>bandejas</t>
    </r>
    <r>
      <rPr>
        <sz val="11"/>
        <color rgb="FF0033CC"/>
        <rFont val="Calibri"/>
        <family val="2"/>
        <scheme val="minor"/>
      </rPr>
      <t xml:space="preserve">; </t>
    </r>
    <r>
      <rPr>
        <b/>
        <sz val="11"/>
        <color rgb="FF0033CC"/>
        <rFont val="Calibri"/>
        <family val="2"/>
        <scheme val="minor"/>
      </rPr>
      <t>bandejas de servicio</t>
    </r>
  </si>
  <si>
    <r>
      <t>ralladora</t>
    </r>
    <r>
      <rPr>
        <sz val="11"/>
        <color rgb="FF0033CC"/>
        <rFont val="Calibri"/>
        <family val="2"/>
        <scheme val="minor"/>
      </rPr>
      <t>; máquina de rallar (de tambor)</t>
    </r>
  </si>
  <si>
    <r>
      <t>estanterías</t>
    </r>
    <r>
      <rPr>
        <sz val="11"/>
        <color rgb="FF0033CC"/>
        <rFont val="Calibri"/>
        <family val="2"/>
        <scheme val="minor"/>
      </rPr>
      <t xml:space="preserve">; </t>
    </r>
    <r>
      <rPr>
        <b/>
        <sz val="11"/>
        <color rgb="FF0033CC"/>
        <rFont val="Calibri"/>
        <family val="2"/>
        <scheme val="minor"/>
      </rPr>
      <t>racks</t>
    </r>
  </si>
  <si>
    <r>
      <t>carro jaula</t>
    </r>
    <r>
      <rPr>
        <sz val="11"/>
        <color rgb="FF0033CC"/>
        <rFont val="Calibri"/>
        <family val="2"/>
        <scheme val="minor"/>
      </rPr>
      <t>; contenedor rodante</t>
    </r>
  </si>
  <si>
    <r>
      <t>rondeau</t>
    </r>
    <r>
      <rPr>
        <sz val="11"/>
        <color rgb="FF0033CC"/>
        <rFont val="Calibri"/>
        <family val="2"/>
        <scheme val="minor"/>
      </rPr>
      <t>; cacerola baja ancha</t>
    </r>
  </si>
  <si>
    <r>
      <t>salteadora</t>
    </r>
    <r>
      <rPr>
        <sz val="11"/>
        <color rgb="FF0033CC"/>
        <rFont val="Calibri"/>
        <family val="2"/>
        <scheme val="minor"/>
      </rPr>
      <t xml:space="preserve"> (paredes rectas) / </t>
    </r>
    <r>
      <rPr>
        <b/>
        <sz val="11"/>
        <color rgb="FF0033CC"/>
        <rFont val="Calibri"/>
        <family val="2"/>
        <scheme val="minor"/>
      </rPr>
      <t>cazo salteador</t>
    </r>
    <r>
      <rPr>
        <sz val="11"/>
        <color rgb="FF0033CC"/>
        <rFont val="Calibri"/>
        <family val="2"/>
        <scheme val="minor"/>
      </rPr>
      <t xml:space="preserve"> (bordes redondeados)</t>
    </r>
  </si>
  <si>
    <r>
      <t>base rodante</t>
    </r>
    <r>
      <rPr>
        <sz val="11"/>
        <color rgb="FF0033CC"/>
        <rFont val="Calibri"/>
        <family val="2"/>
        <scheme val="minor"/>
      </rPr>
      <t xml:space="preserve">; </t>
    </r>
    <r>
      <rPr>
        <b/>
        <sz val="11"/>
        <color rgb="FF0033CC"/>
        <rFont val="Calibri"/>
        <family val="2"/>
        <scheme val="minor"/>
      </rPr>
      <t>dolly</t>
    </r>
  </si>
  <si>
    <r>
      <t>sonda de temperatura</t>
    </r>
    <r>
      <rPr>
        <sz val="11"/>
        <color rgb="FF0033CC"/>
        <rFont val="Calibri"/>
        <family val="2"/>
        <scheme val="minor"/>
      </rPr>
      <t xml:space="preserve">; </t>
    </r>
    <r>
      <rPr>
        <b/>
        <sz val="11"/>
        <color rgb="FF0033CC"/>
        <rFont val="Calibri"/>
        <family val="2"/>
        <scheme val="minor"/>
      </rPr>
      <t>sonda de penetración</t>
    </r>
    <r>
      <rPr>
        <sz val="11"/>
        <color rgb="FF0033CC"/>
        <rFont val="Calibri"/>
        <family val="2"/>
        <scheme val="minor"/>
      </rPr>
      <t xml:space="preserve">; </t>
    </r>
    <r>
      <rPr>
        <b/>
        <sz val="11"/>
        <color rgb="FF0033CC"/>
        <rFont val="Calibri"/>
        <family val="2"/>
        <scheme val="minor"/>
      </rPr>
      <t>sonda para aceite</t>
    </r>
  </si>
  <si>
    <r>
      <t>mesa caliente</t>
    </r>
    <r>
      <rPr>
        <sz val="11"/>
        <color rgb="FF0033CC"/>
        <rFont val="Calibri"/>
        <family val="2"/>
        <scheme val="minor"/>
      </rPr>
      <t xml:space="preserve">; </t>
    </r>
    <r>
      <rPr>
        <b/>
        <sz val="11"/>
        <color rgb="FF0033CC"/>
        <rFont val="Calibri"/>
        <family val="2"/>
        <scheme val="minor"/>
      </rPr>
      <t>baño maría de servicio</t>
    </r>
  </si>
  <si>
    <r>
      <t>mesa de trabajo</t>
    </r>
    <r>
      <rPr>
        <sz val="11"/>
        <color rgb="FF0033CC"/>
        <rFont val="Calibri"/>
        <family val="2"/>
        <scheme val="minor"/>
      </rPr>
      <t xml:space="preserve">; </t>
    </r>
    <r>
      <rPr>
        <b/>
        <sz val="11"/>
        <color rgb="FF0033CC"/>
        <rFont val="Calibri"/>
        <family val="2"/>
        <scheme val="minor"/>
      </rPr>
      <t>mesa de preparación (inox)</t>
    </r>
  </si>
  <si>
    <r>
      <t>cortadora de fiambre</t>
    </r>
    <r>
      <rPr>
        <sz val="11"/>
        <color rgb="FF0033CC"/>
        <rFont val="Calibri"/>
        <family val="2"/>
        <scheme val="minor"/>
      </rPr>
      <t xml:space="preserve">; </t>
    </r>
    <r>
      <rPr>
        <b/>
        <sz val="11"/>
        <color rgb="FF0033CC"/>
        <rFont val="Calibri"/>
        <family val="2"/>
        <scheme val="minor"/>
      </rPr>
      <t>rebanadora</t>
    </r>
  </si>
  <si>
    <r>
      <t xml:space="preserve">Réf. conseillée : Grossmann &amp; Le Franc, </t>
    </r>
    <r>
      <rPr>
        <b/>
        <i/>
        <sz val="12"/>
        <color theme="9" tint="-0.499984740745262"/>
        <rFont val="Calibri"/>
        <family val="2"/>
        <scheme val="minor"/>
      </rPr>
      <t>La cuisine de collectivité</t>
    </r>
    <r>
      <rPr>
        <b/>
        <sz val="12"/>
        <color theme="9" tint="-0.499984740745262"/>
        <rFont val="Calibri"/>
        <family val="2"/>
        <scheme val="minor"/>
      </rPr>
      <t>, BPI, 2006</t>
    </r>
  </si>
  <si>
    <r>
      <t xml:space="preserve">Suggested ref.: Grossmann &amp; Le Franc, </t>
    </r>
    <r>
      <rPr>
        <i/>
        <sz val="11"/>
        <color theme="9" tint="-0.499984740745262"/>
        <rFont val="Calibri"/>
        <family val="2"/>
        <scheme val="minor"/>
      </rPr>
      <t>La cuisine de collectivité</t>
    </r>
    <r>
      <rPr>
        <sz val="11"/>
        <color theme="9" tint="-0.499984740745262"/>
        <rFont val="Calibri"/>
        <family val="2"/>
        <scheme val="minor"/>
      </rPr>
      <t>, BPI, 2006</t>
    </r>
  </si>
  <si>
    <r>
      <t xml:space="preserve">Referencia sugerida: Grossmann &amp; Le Franc, </t>
    </r>
    <r>
      <rPr>
        <i/>
        <sz val="11"/>
        <color theme="9" tint="-0.499984740745262"/>
        <rFont val="Calibri"/>
        <family val="2"/>
        <scheme val="minor"/>
      </rPr>
      <t>La cuisine de colectividades</t>
    </r>
    <r>
      <rPr>
        <sz val="11"/>
        <color theme="9" tint="-0.499984740745262"/>
        <rFont val="Calibri"/>
        <family val="2"/>
        <scheme val="minor"/>
      </rPr>
      <t>, BPI, 2006</t>
    </r>
  </si>
  <si>
    <t>nombre de lignes ►</t>
  </si>
  <si>
    <t>number of lines ►</t>
  </si>
  <si>
    <t>número de líneas ►</t>
  </si>
  <si>
    <t>← largeurs actuelles des colonnes</t>
  </si>
  <si>
    <t>← current column widths</t>
  </si>
  <si>
    <t>← anchos actuales de las columnas</t>
  </si>
  <si>
    <t>&lt; ✅ anchos recomendados</t>
  </si>
  <si>
    <t>&lt; ✅recommended widths</t>
  </si>
  <si>
    <t>&lt; ✅ largeurs conseillées</t>
  </si>
  <si>
    <t>Ce n’est pas une erreur, c’est volontaire.</t>
  </si>
  <si>
    <t>Ce classeur construit des phrases structurées du type :</t>
  </si>
  <si>
    <t>Nom | Info complémentaire | Suite de la description</t>
  </si>
  <si>
    <t>Cela sert à :</t>
  </si>
  <si>
    <t>montrer clairement qu’il n’y a rien à cet endroit (ce n’est pas un oubli),</t>
  </si>
  <si>
    <t>En résumé :</t>
  </si>
  <si>
    <t>MAJUSCULE(GAUCHE(J21;1))&amp;" "&amp;J21&amp;" | "&amp;S21&amp;"| "&amp;J23&amp;" "&amp;K23</t>
  </si>
  <si>
    <t>(par exemple MAJUSCULE(GAUCHE(J21;1))&amp;" "&amp;J21&amp;" | "&amp;S21&amp;"| "&amp;J23&amp;" "&amp;K23).</t>
  </si>
  <si>
    <t>This is not an error — it’s intentional.</t>
  </si>
  <si>
    <t>This workbook builds structured sentences in the format:</t>
  </si>
  <si>
    <t>Name | Additional info | Description continuation</t>
  </si>
  <si>
    <t>This helps to:</t>
  </si>
  <si>
    <t>clearly indicate that nothing is expected there (it's not missing)</t>
  </si>
  <si>
    <t>Summary:</t>
  </si>
  <si>
    <t>No es un error — es intencional.</t>
  </si>
  <si>
    <t>Este libro construye frases estructuradas del tipo:</t>
  </si>
  <si>
    <t>Nombre | Información adicional | Continuación de la descripción</t>
  </si>
  <si>
    <t>Esto sirve para:</t>
  </si>
  <si>
    <t>mostrar claramente que no falta nada (no es un olvido)</t>
  </si>
  <si>
    <t>Resumen:</t>
  </si>
  <si>
    <t>Textes en EN ou ES possibles — Formules toujours en FR</t>
  </si>
  <si>
    <t>Texts can be in EN or ES — Formulas stay in FR</t>
  </si>
  <si>
    <t>Textos posibles en EN o ES — Fórmulas siempre en FR</t>
  </si>
  <si>
    <r>
      <t xml:space="preserve">En algunas celdas (como </t>
    </r>
    <r>
      <rPr>
        <i/>
        <sz val="12"/>
        <color theme="1"/>
        <rFont val="Calibri"/>
        <family val="2"/>
        <scheme val="minor"/>
      </rPr>
      <t>pegar aquí – FAMILIA</t>
    </r>
    <r>
      <rPr>
        <sz val="12"/>
        <color theme="1"/>
        <rFont val="Calibri"/>
        <family val="2"/>
        <scheme val="minor"/>
      </rPr>
      <t xml:space="preserve">), verás </t>
    </r>
    <r>
      <rPr>
        <sz val="12"/>
        <color theme="1"/>
        <rFont val="Arial Unicode MS"/>
      </rPr>
      <t>--</t>
    </r>
    <r>
      <rPr>
        <sz val="12"/>
        <color theme="1"/>
        <rFont val="Calibri"/>
        <family val="2"/>
        <scheme val="minor"/>
      </rPr>
      <t>.</t>
    </r>
  </si>
  <si>
    <r>
      <t xml:space="preserve">(por ejemplo: </t>
    </r>
    <r>
      <rPr>
        <sz val="12"/>
        <color theme="1"/>
        <rFont val="Arial Unicode MS"/>
      </rPr>
      <t>MAJUSCULE(GAUCHE(J21;1))&amp;" "&amp;J21&amp;" | "&amp;S21&amp;"| "&amp;J23&amp;" "&amp;K23).</t>
    </r>
  </si>
  <si>
    <r>
      <t xml:space="preserve">Cuando no hay información que añadir en la zona “información adicional”, se utiliza </t>
    </r>
    <r>
      <rPr>
        <sz val="12"/>
        <color theme="1"/>
        <rFont val="Arial Unicode MS"/>
      </rPr>
      <t>--</t>
    </r>
    <r>
      <rPr>
        <sz val="12"/>
        <color theme="1"/>
        <rFont val="Calibri"/>
        <family val="2"/>
        <scheme val="minor"/>
      </rPr>
      <t xml:space="preserve"> en lugar de dejar la celda vacía.</t>
    </r>
  </si>
  <si>
    <r>
      <t xml:space="preserve">mantener una estructura coherente: </t>
    </r>
    <r>
      <rPr>
        <sz val="12"/>
        <color theme="1"/>
        <rFont val="Arial Unicode MS"/>
      </rPr>
      <t>... | -- | ...</t>
    </r>
  </si>
  <si>
    <r>
      <t xml:space="preserve">facilitar el orden, la búsqueda o la división de texto con el símbolo </t>
    </r>
    <r>
      <rPr>
        <sz val="12"/>
        <color theme="1"/>
        <rFont val="Arial Unicode MS"/>
      </rPr>
      <t>|</t>
    </r>
  </si>
  <si>
    <r>
      <t>--</t>
    </r>
    <r>
      <rPr>
        <sz val="12"/>
        <color theme="1"/>
        <rFont val="Calibri"/>
        <family val="2"/>
        <scheme val="minor"/>
      </rPr>
      <t xml:space="preserve"> = “zona vacía a propósito, pero incluida en la frase”</t>
    </r>
  </si>
  <si>
    <r>
      <t xml:space="preserve">In some cells (like </t>
    </r>
    <r>
      <rPr>
        <i/>
        <sz val="12"/>
        <color theme="1"/>
        <rFont val="Calibri"/>
        <family val="2"/>
        <scheme val="minor"/>
      </rPr>
      <t>paste here – FAMILY</t>
    </r>
    <r>
      <rPr>
        <sz val="12"/>
        <color theme="1"/>
        <rFont val="Calibri"/>
        <family val="2"/>
        <scheme val="minor"/>
      </rPr>
      <t xml:space="preserve">), you’ll see </t>
    </r>
    <r>
      <rPr>
        <sz val="12"/>
        <color theme="1"/>
        <rFont val="Arial Unicode MS"/>
      </rPr>
      <t>--</t>
    </r>
    <r>
      <rPr>
        <sz val="12"/>
        <color theme="1"/>
        <rFont val="Calibri"/>
        <family val="2"/>
        <scheme val="minor"/>
      </rPr>
      <t>.</t>
    </r>
  </si>
  <si>
    <r>
      <t xml:space="preserve">(for example: </t>
    </r>
    <r>
      <rPr>
        <sz val="12"/>
        <color theme="1"/>
        <rFont val="Arial Unicode MS"/>
      </rPr>
      <t>MAJUSCULE(GAUCHE(J21;1))&amp;" "&amp;J21&amp;" | "&amp;S21&amp;"| "&amp;J23&amp;" "&amp;K23).</t>
    </r>
  </si>
  <si>
    <r>
      <t xml:space="preserve">When there is no information to put in the "additional info" field, we use </t>
    </r>
    <r>
      <rPr>
        <sz val="12"/>
        <color theme="1"/>
        <rFont val="Arial Unicode MS"/>
      </rPr>
      <t>--</t>
    </r>
    <r>
      <rPr>
        <sz val="12"/>
        <color theme="1"/>
        <rFont val="Calibri"/>
        <family val="2"/>
        <scheme val="minor"/>
      </rPr>
      <t xml:space="preserve"> instead of leaving the cell empty.</t>
    </r>
  </si>
  <si>
    <r>
      <t xml:space="preserve">keep a consistent structure like: </t>
    </r>
    <r>
      <rPr>
        <sz val="12"/>
        <color theme="1"/>
        <rFont val="Arial Unicode MS"/>
      </rPr>
      <t>... | -- | ...</t>
    </r>
  </si>
  <si>
    <r>
      <t xml:space="preserve">make sorting, searching, or splitting text using the </t>
    </r>
    <r>
      <rPr>
        <sz val="12"/>
        <color theme="1"/>
        <rFont val="Arial Unicode MS"/>
      </rPr>
      <t>|</t>
    </r>
    <r>
      <rPr>
        <sz val="12"/>
        <color theme="1"/>
        <rFont val="Calibri"/>
        <family val="2"/>
        <scheme val="minor"/>
      </rPr>
      <t xml:space="preserve"> symbol easier</t>
    </r>
  </si>
  <si>
    <r>
      <t>--</t>
    </r>
    <r>
      <rPr>
        <sz val="12"/>
        <color theme="1"/>
        <rFont val="Calibri"/>
        <family val="2"/>
        <scheme val="minor"/>
      </rPr>
      <t xml:space="preserve"> = “intentionally empty area, but included in the sentence”</t>
    </r>
  </si>
  <si>
    <r>
      <t xml:space="preserve">Dans certaines cellules (comme </t>
    </r>
    <r>
      <rPr>
        <b/>
        <sz val="12"/>
        <color theme="1"/>
        <rFont val="Calibri"/>
        <family val="2"/>
        <scheme val="minor"/>
      </rPr>
      <t>collez la--FAMILLE</t>
    </r>
    <r>
      <rPr>
        <sz val="12"/>
        <color theme="1"/>
        <rFont val="Calibri"/>
        <family val="2"/>
        <scheme val="minor"/>
      </rPr>
      <t xml:space="preserve">), vous verrez </t>
    </r>
    <r>
      <rPr>
        <sz val="12"/>
        <color theme="1"/>
        <rFont val="Arial Unicode MS"/>
      </rPr>
      <t>--</t>
    </r>
    <r>
      <rPr>
        <sz val="12"/>
        <color theme="1"/>
        <rFont val="Calibri"/>
        <family val="2"/>
        <scheme val="minor"/>
      </rPr>
      <t>.</t>
    </r>
  </si>
  <si>
    <r>
      <t xml:space="preserve">Quand il n’y a </t>
    </r>
    <r>
      <rPr>
        <b/>
        <sz val="12"/>
        <color theme="1"/>
        <rFont val="Calibri"/>
        <family val="2"/>
        <scheme val="minor"/>
      </rPr>
      <t>aucune information à mettre</t>
    </r>
    <r>
      <rPr>
        <sz val="12"/>
        <color theme="1"/>
        <rFont val="Calibri"/>
        <family val="2"/>
        <scheme val="minor"/>
      </rPr>
      <t xml:space="preserve"> dans la zone “info complémentaire”, on utilise </t>
    </r>
    <r>
      <rPr>
        <sz val="12"/>
        <color theme="1"/>
        <rFont val="Arial Unicode MS"/>
      </rPr>
      <t>--</t>
    </r>
    <r>
      <rPr>
        <sz val="12"/>
        <color theme="1"/>
        <rFont val="Calibri"/>
        <family val="2"/>
        <scheme val="minor"/>
      </rPr>
      <t xml:space="preserve"> plutôt que laisser la cellule vide.</t>
    </r>
  </si>
  <si>
    <r>
      <t xml:space="preserve">garder la même structure de texte : </t>
    </r>
    <r>
      <rPr>
        <sz val="12"/>
        <color theme="1"/>
        <rFont val="Arial Unicode MS"/>
      </rPr>
      <t>… | --| …</t>
    </r>
  </si>
  <si>
    <r>
      <t xml:space="preserve">faciliter les tris, recherches ou découpes de texte basées sur le symbole </t>
    </r>
    <r>
      <rPr>
        <sz val="12"/>
        <color theme="1"/>
        <rFont val="Arial Unicode MS"/>
      </rPr>
      <t>|</t>
    </r>
    <r>
      <rPr>
        <sz val="12"/>
        <color theme="1"/>
        <rFont val="Calibri"/>
        <family val="2"/>
        <scheme val="minor"/>
      </rPr>
      <t>.</t>
    </r>
  </si>
  <si>
    <r>
      <t>--</t>
    </r>
    <r>
      <rPr>
        <sz val="12"/>
        <color theme="1"/>
        <rFont val="Calibri"/>
        <family val="2"/>
        <scheme val="minor"/>
      </rPr>
      <t xml:space="preserve"> = “zone volontairement vide, mais prise en compte dans la phrase”.</t>
    </r>
  </si>
  <si>
    <t>Pour vos futurs documents → autre identification possible</t>
  </si>
  <si>
    <t>▼ abréviation de l’identification (extraction via formules)</t>
  </si>
  <si>
    <t>For your future documents → alternative identification possible</t>
  </si>
  <si>
    <t>▼ abbreviation of the identification (extracted via formulas)</t>
  </si>
  <si>
    <t>Para tus futuros documentos → otra identificación posible</t>
  </si>
  <si>
    <t>▼ abreviatura de la identificación (extraída con fórmulas)</t>
  </si>
  <si>
    <t>catering-COLD ROASTS</t>
  </si>
  <si>
    <t>catering-AMUSE-BOUCHES</t>
  </si>
  <si>
    <t>catering--ASPICS</t>
  </si>
  <si>
    <t>catering--CANAPES</t>
  </si>
  <si>
    <t>catering-CHAUD-FROID</t>
  </si>
  <si>
    <t>catering-COLD STARTER</t>
  </si>
  <si>
    <t>catering-HOT STARTER</t>
  </si>
  <si>
    <t>catering-FOIE GRAS</t>
  </si>
  <si>
    <t>catering-CATERING PASTRY</t>
  </si>
  <si>
    <t>catering-COMPOSED SALAD</t>
  </si>
  <si>
    <t>catering-SIMPLE SALAD</t>
  </si>
  <si>
    <t>catering-HOT SAUCE</t>
  </si>
  <si>
    <t>catering-HOT EMULSIFIED SAUCE</t>
  </si>
  <si>
    <t>catering-HORS D'OEUVRES</t>
  </si>
  <si>
    <t>catering-COLD SAUCE</t>
  </si>
  <si>
    <t>catering-VEGETABLE TERRINE</t>
  </si>
  <si>
    <t>catering-FISH TERRINE</t>
  </si>
  <si>
    <t>catering-MEAT TERRINE</t>
  </si>
  <si>
    <t>catering-POULTRY TERRINE</t>
  </si>
  <si>
    <t>catering-COCKTAIL BITES</t>
  </si>
  <si>
    <t>catering-COLD BUFFET</t>
  </si>
  <si>
    <t>catering-HOT BUFFET</t>
  </si>
  <si>
    <t>catering-COMPOSED SALADS</t>
  </si>
  <si>
    <t>catering--VERRINES</t>
  </si>
  <si>
    <t>catering--PUFF-PASTRY BITES</t>
  </si>
  <si>
    <t>catering--QUICHES</t>
  </si>
  <si>
    <t>catering--DISHES</t>
  </si>
  <si>
    <t>catering--GARNISHES</t>
  </si>
  <si>
    <t>Here is a short list — feel free to adjust the colors as you see fit.</t>
  </si>
  <si>
    <t>I used "Postit" because Post-it® is a registered trademark.</t>
  </si>
  <si>
    <t>Aquí tienes una lista breve — puedes modificar los colores como prefieras.</t>
  </si>
  <si>
    <t>He escrito "Postit" porque Post-it® es una marca registrada.</t>
  </si>
  <si>
    <t xml:space="preserve">Date de mise à jour : 05 DÉCEMBRE 2025 </t>
  </si>
  <si>
    <t>Coupez votre texte en ▼</t>
  </si>
  <si>
    <t>⓬ PROGRESSION . largeurs de colonnes ►</t>
  </si>
  <si>
    <t>⓬ PROGRESIÓN . anchos de columnas ►</t>
  </si>
  <si>
    <t>⓬ PROGRESSION . column widths ►</t>
  </si>
  <si>
    <t>Fin du texte ▼</t>
  </si>
  <si>
    <t>Limite de caractères : ajoutez / retirez des lettres ►</t>
  </si>
  <si>
    <t>⓬ PROGRESSION . largeurs des colonnes ►</t>
  </si>
  <si>
    <t>Si le texte déborde du cadre PHASES DE PROGRESSION, supprimez des lettres en fin de la phraseMMMMMMMMMMMMMMmmmmmmmmmmmmmMMM</t>
  </si>
  <si>
    <t>Author Link @</t>
  </si>
  <si>
    <t>Character limit: add / remove letters ►</t>
  </si>
  <si>
    <t>End of text ▼</t>
  </si>
  <si>
    <t>Límite de caracteres: añade / quita letras ►</t>
  </si>
  <si>
    <t>Fin del texto ▼</t>
  </si>
  <si>
    <t>Si el texto se desborda del marco FASES DE PROGRESIÓN, elimina letras al final de la frase MMMMMMMMMMMMMMmmmmmmmmmmmmmMMMMM</t>
  </si>
  <si>
    <t>If the text overflows the PROGRESSION PHASES frame, delete letters at the end of the sentence MMMMMMMMMMMMMMmmmmmmmmmmmmmMM</t>
  </si>
  <si>
    <t>Si le texte déborde du cadre, supprimez des lettres en fin de phraseMMMMMMMMMMMMMMMMMMMMM</t>
  </si>
  <si>
    <t>▼ Limite de caractères : ajoutez ou retirez des lettres</t>
  </si>
  <si>
    <t>PROGRESSION . largeurs des colonnes ►</t>
  </si>
  <si>
    <t xml:space="preserve">Ingrédients pour 4 à 6 personnes : 100 g de fleurs d’acacias 1 œuf 125 g de farine 1 pincée de sel 1 pincée de levure chimique 1 CS de beurre 30 cl d’huile de tournesol 2 CS de sirop de fleurs d’acacia ou de sureau </t>
  </si>
  <si>
    <t>Cueillez les grappes de fleurs à la floraison (avril-mai). Faites chauffer l’huile dans un wok. Préparez la pâte à beignets sans tarder: mélangez la farine, le sel, la levure, le jaune de l’œuf et 25 cl d’eau.</t>
  </si>
  <si>
    <t xml:space="preserve"> Ajoutez le blanc d’œuf battu en neige et le sirop si vous l’utilisez. Caressez la pâte avec les fleurs en les tenants par la tige et plongez-les dans l’huile chaude mais pas bouillante.</t>
  </si>
  <si>
    <t xml:space="preserve"> Laissez dorer de chaque côté et retirez à l’écumoire. Déposez sur une feuille de papier absorbant. Saupoudrez légèrement de sucre. Mangez-les bien chauds !</t>
  </si>
  <si>
    <t>Catherine et Pascal Roger</t>
  </si>
  <si>
    <t>Si vous récupérez une liste , je vous propose une formule pour récupérer le texte . Exemple</t>
  </si>
  <si>
    <t>liste récupérée ▼</t>
  </si>
  <si>
    <t>Navarin d’agneau . . . . . . . . . . . . . . . . . . . . .14 kg</t>
  </si>
  <si>
    <t>Éléments pour la cuisson du navarin</t>
  </si>
  <si>
    <t>Oignons . . . . . . . . . . . . . . . . . . . . . . . . . . . . . . . . . .4 kg</t>
  </si>
  <si>
    <t>Concentré de tomate . . . . . . . . . . . .1 bte 4/4</t>
  </si>
  <si>
    <t>Ail haché surgelé . . . . . . . . . . . . . . . . . . . . . .200 g</t>
  </si>
  <si>
    <t>Farine . . . . . . . . . . . . . . . . . . . . . . . . . . . . . . . . . . .500 g</t>
  </si>
  <si>
    <t>Bouquet garni . . . . . . . . . . . . . . . . . . . . . . . . . . . . . . .1</t>
  </si>
  <si>
    <t>Fond brun clair de veau . . . . . . . . . . . . . . . .12 L</t>
  </si>
  <si>
    <t>Haricots blancs (coco) . . . . . . . . . . . . . . . . .1 kg</t>
  </si>
  <si>
    <t>Éléments de la garniture aromatique des</t>
  </si>
  <si>
    <t>haricots</t>
  </si>
  <si>
    <t>Oignons . . . . . . . . . . . . . . . . . . . . . . . . . . . . . . . . . .1 kg</t>
  </si>
  <si>
    <t>Carottes . . . . . . . . . . . . . . . . . . . . . . . . . . . . . . . . . .1 kg</t>
  </si>
  <si>
    <t>Clous de girofle . . . . . . . . . . . . . . . . . . .12 pièces</t>
  </si>
  <si>
    <t>Éléments de la garniture du cassoulet</t>
  </si>
  <si>
    <t>Poitrine fraîche . . . . . . . . . . . . . . . . . . . . . . . . . .4 kg</t>
  </si>
  <si>
    <t>Saucisson à l’ail</t>
  </si>
  <si>
    <t>ou saucisse de Toulouse . . . . . . . . . . . . . . . .4 kg</t>
  </si>
  <si>
    <t>Dés de tomates surgelés . . . . . . . . . . . . . . .5 kg</t>
  </si>
  <si>
    <t>Tomate concentrée . . . . . . . . . . . . . . . . . . .400 g</t>
  </si>
  <si>
    <t>Ail haché surgelé . . . . . . . . . . . . . . . . . . . . . .250 g</t>
  </si>
  <si>
    <t>Herbes de Provence . . . . . . . . . . . . . . . . . . . .15 g</t>
  </si>
  <si>
    <t>Sel . . . . . . . . . . . . . . . . . . . . . .quantités suffisantes</t>
  </si>
  <si>
    <t>Poivre . . . . . . . . . . . . . . . . . .quantités suffisantes</t>
  </si>
  <si>
    <t>Chapelure . . . . . . . . . . . . . . . . . . . . . . . . . . . . . . .1 kg</t>
  </si>
  <si>
    <t>Récupérez votre liste = Copier puis collage spécial 1.2.3. dans votre document pour ne pas coller la formule</t>
  </si>
  <si>
    <t>lorsque vous récupérez du texte ; supprimer le signe = et les tirets - excel considère le texte comme une formule; exemple</t>
  </si>
  <si>
    <t>vous obtenez #NOM? Parce qu'il y a avant le texte le signe = et 1 tiret -</t>
  </si>
  <si>
    <t>Familles de convives</t>
  </si>
  <si>
    <t>Famille de convives pour adapter les menus et les grammages sur cette fiche je n'ai retenu que les familles en gras</t>
  </si>
  <si>
    <t>M - Maternelles</t>
  </si>
  <si>
    <t>P - Primaires</t>
  </si>
  <si>
    <t>A - Adultes sédentaires</t>
  </si>
  <si>
    <t>A + - Adultes travailleurs de force et/ou Adolescents</t>
  </si>
  <si>
    <t>SM - Seniors Midi</t>
  </si>
  <si>
    <t>SD - Seniors Diner</t>
  </si>
  <si>
    <t>SW - Seniors Week-End</t>
  </si>
  <si>
    <t>S - Seniors</t>
  </si>
  <si>
    <t>E - Enfants</t>
  </si>
  <si>
    <t>T - Tous convives</t>
  </si>
  <si>
    <t>A+ = Adultes + Adolescents - Travailleurs de force</t>
  </si>
  <si>
    <t>Illustrer avec les émojis</t>
  </si>
  <si>
    <t>Largeurs de colonnes</t>
  </si>
  <si>
    <t>largeur conseillée</t>
  </si>
  <si>
    <t>largeur réelle avec formule</t>
  </si>
  <si>
    <t>Utilité : lorsque vous collez un document dans une feuille vierge les largeurs</t>
  </si>
  <si>
    <t>ne correspondent pas toujours . Pour vérifier cela regardez les largeurs</t>
  </si>
  <si>
    <t xml:space="preserve">avec fonction puis rectifiez les largeurs </t>
  </si>
  <si>
    <t>les flèches indiquent que la ligne est inutilisée vous pouvez donc</t>
  </si>
  <si>
    <t>Masquer les lignes &gt; Comment</t>
  </si>
  <si>
    <t>1 - positionnez vous sur la cellule A rouge</t>
  </si>
  <si>
    <t>2 - Données &gt; Filtre</t>
  </si>
  <si>
    <t xml:space="preserve">3 - Cliquez sur la flèche Filtre </t>
  </si>
  <si>
    <t>de la cellule A rouge</t>
  </si>
  <si>
    <t>L'utilisation professionnelle des recettes vous engage à connaître</t>
  </si>
  <si>
    <t xml:space="preserve"> la réglementation en matière d'hygiène et HACCP.</t>
  </si>
  <si>
    <t xml:space="preserve">▼ Formule pour récupérer le texte </t>
  </si>
  <si>
    <t xml:space="preserve">Exemples  ▼ </t>
  </si>
  <si>
    <t>SIERREUR(RECHERCHEX(MAJUSCULE(SUPPRESPACE(W77));MAJUSCULE(SUPPRESPACE(S90:AG90));S91:AG91;RECHERCHEX(MAJUSCULE(SUPPRESPACE(W77));MAJUSCULE(SUPPRESPACE(S92:AG92));S93:AG93;0))*V77*SI(S77&gt;0;S77;1);0)</t>
  </si>
  <si>
    <t>SI(W77="";"";SI(NB.SI(Z90:AG90;SUBSTITUE(SUPPRESPACE(W77);" (s)";""))+NB.SI(Z92:AG92;SUBSTITUE(SUPPRESPACE(W77);" (s)";""))&gt;0;SI(ARRONDI(AF77;3)&gt;=1;ARRONDI(AF77;3)&amp;" L";MAX(1;ARRONDI(AF77*100;0))&amp;" cl");SI(NB.SI(S90:X90;SUBSTITUE(SUPPRESPACE(W77);" (s)";""))+NB.SI(S92:X92;SUBSTITUE(SUPPRESPACE(W77);" (s)";""))&gt;0;SI(ARRONDI(AF77;3)&gt;=1;ARRONDI(AF77;3)&amp;" Kg";MAX(1;ARRONDI(AF77*1000;0))&amp;" g");"")))</t>
  </si>
  <si>
    <t>Saisissez vos fiches et découpez le texte à la largeur des PHASES DE PROGRESSION</t>
  </si>
  <si>
    <t>2️⃣ Décochez : Fusionner/centrer + Renvoyer à la ligne</t>
  </si>
  <si>
    <t>3️⃣ Touche Suppr</t>
  </si>
  <si>
    <t>💡 Vérifiez l'alignement avant de remplir</t>
  </si>
  <si>
    <t xml:space="preserve">📋 MODE D'EMPLOI EXPRESS </t>
  </si>
  <si>
    <t>1️⃣ Sélectionnez tout le "postit" (de A rouge → bas droite)</t>
  </si>
  <si>
    <t>4️⃣ Collez le nouveau postit sur A rouge</t>
  </si>
  <si>
    <t>j'ai volontairement saisi "Postit" parce que l'autre version est une marque</t>
  </si>
  <si>
    <t>Collez les photos des plats - (alt.) Insert the photo of the dish - (alt.) Inserte la foto del plato.</t>
  </si>
  <si>
    <t>ou collez des imprim' écran - or paste a screenshot - o pegue una captura de pantalla (alt.: “un pantallazo”)</t>
  </si>
  <si>
    <t>RÉPERTOIRE    20 col. collez vos "postits"  ci-dessous et récupérez les pour crèer de nouvelles recettes</t>
  </si>
  <si>
    <t>DIRECTORY 20.col.— paste your “postits” below and retrieve them to create new recipes</t>
  </si>
  <si>
    <t>REPERTORIO 20.col. — pegue sus “postits” abajo y recupérelos para crear nuevas recetas</t>
  </si>
  <si>
    <t xml:space="preserve">Date de mise à jour : 06 DÉCEMBRE 2025 </t>
  </si>
  <si>
    <t>🔄 CHANGER DE POSTIT 🔄</t>
  </si>
  <si>
    <t>⑭ – Paste your sticky notes in column N starting from row 14.</t>
  </si>
  <si>
    <t>⑭ - collez vos postits colonne N à partir de la lignes 14</t>
  </si>
  <si>
    <t>⑭ – Pega tus notas adhesivas en la columna N a partir de la fila 14.</t>
  </si>
  <si>
    <t>👉 La cellule AV10 pilote l’ensemble des recettes de la fiche</t>
  </si>
  <si>
    <t>👉 Cell AV10 controls all recipes on the sheet.</t>
  </si>
  <si>
    <t>👉 La celda AV10 controla todas las recetas de la ficha.</t>
  </si>
  <si>
    <t>👉 ⓰ Optionnel — Col.33 : pour modifier la quantité de la Col.31, saisissez Col.33 une valeur en plus ou en moins.Col.34 (optionnel) : recopiez AW10 ou saisissez la valeur de votre choix.</t>
  </si>
  <si>
    <t>👉 ⓰ Optional — Col.33: to adjust the quantity from Col.31, enter a value Col.33 (increase or decrease).Col.34 (optional): copy AW10 or enter a value of your choice.</t>
  </si>
  <si>
    <t>👉 ⓰ Opcional — Col.33: para modificar la cantidad de la Col.31, introduce aquí un valor (más o menos).Col.34 (opcional): copia AW10 o introduce el valor que prefieras.</t>
  </si>
  <si>
    <t xml:space="preserve">Vos quantités — Si les quantités de la Col.31 ne conviennent pas </t>
  </si>
  <si>
    <t xml:space="preserve">Your quantities — If the amounts in Col.31 are not suitable </t>
  </si>
  <si>
    <t>Sus cantidades — Si las cantidades de la Col.31 no son adecuadas</t>
  </si>
  <si>
    <t>You can hide these 10 columns. _ Puedes ocultar estas 10 columnas.</t>
  </si>
  <si>
    <t xml:space="preserve"> masquer les colonnes   &lt; vous avez 10 + 10 colonnes masquables</t>
  </si>
  <si>
    <t>Hide columns &lt; you have 10 + 10 hideable columns.</t>
  </si>
  <si>
    <t>Oculta columnas &lt; tienes 10 + 10 columnas ocultables.</t>
  </si>
  <si>
    <t>📋 MODE D’EMPLOI EXPRESS (🇫🇷)</t>
  </si>
  <si>
    <r>
      <t xml:space="preserve">1️⃣ </t>
    </r>
    <r>
      <rPr>
        <b/>
        <sz val="12"/>
        <color rgb="FFC00000"/>
        <rFont val="Calibri"/>
        <family val="2"/>
        <scheme val="minor"/>
      </rPr>
      <t>Collez vos "postit"</t>
    </r>
    <r>
      <rPr>
        <sz val="12"/>
        <color rgb="FFC00000"/>
        <rFont val="Calibri"/>
        <family val="2"/>
        <scheme val="minor"/>
      </rPr>
      <t xml:space="preserve"> en 🟥 colonne </t>
    </r>
    <r>
      <rPr>
        <b/>
        <sz val="12"/>
        <color rgb="FFC00000"/>
        <rFont val="Calibri"/>
        <family val="2"/>
        <scheme val="minor"/>
      </rPr>
      <t>N</t>
    </r>
  </si>
  <si>
    <r>
      <t xml:space="preserve">3️⃣ </t>
    </r>
    <r>
      <rPr>
        <b/>
        <sz val="12"/>
        <color theme="1"/>
        <rFont val="Calibri"/>
        <family val="2"/>
        <scheme val="minor"/>
      </rPr>
      <t>⑭ – Recette dupliquée pour :</t>
    </r>
    <r>
      <rPr>
        <sz val="12"/>
        <color theme="1"/>
        <rFont val="Calibri"/>
        <family val="2"/>
        <scheme val="minor"/>
      </rPr>
      <t xml:space="preserve"> cellule </t>
    </r>
    <r>
      <rPr>
        <b/>
        <sz val="12"/>
        <color theme="1"/>
        <rFont val="Calibri"/>
        <family val="2"/>
        <scheme val="minor"/>
      </rPr>
      <t>AV10</t>
    </r>
  </si>
  <si>
    <r>
      <t xml:space="preserve">4️⃣ 👉 </t>
    </r>
    <r>
      <rPr>
        <b/>
        <sz val="12"/>
        <color theme="1"/>
        <rFont val="Calibri"/>
        <family val="2"/>
        <scheme val="minor"/>
      </rPr>
      <t>⓰ Optionnel – Col.33 : vos quantités</t>
    </r>
  </si>
  <si>
    <r>
      <t xml:space="preserve">5️⃣ 👉 </t>
    </r>
    <r>
      <rPr>
        <b/>
        <sz val="12"/>
        <color theme="1"/>
        <rFont val="Calibri"/>
        <family val="2"/>
        <scheme val="minor"/>
      </rPr>
      <t>Facultatif – ⑰ % Perte (Col.38)</t>
    </r>
  </si>
  <si>
    <r>
      <t xml:space="preserve">6️⃣ </t>
    </r>
    <r>
      <rPr>
        <b/>
        <sz val="12"/>
        <color theme="1"/>
        <rFont val="Calibri"/>
        <family val="2"/>
        <scheme val="minor"/>
      </rPr>
      <t>⑱ Prix – Col.43</t>
    </r>
  </si>
  <si>
    <r>
      <t xml:space="preserve">💡 </t>
    </r>
    <r>
      <rPr>
        <b/>
        <sz val="12"/>
        <color theme="1"/>
        <rFont val="Calibri"/>
        <family val="2"/>
        <scheme val="minor"/>
      </rPr>
      <t>Prix : ne confondez pas prix au Kg et prix à la pièce</t>
    </r>
  </si>
  <si>
    <t>le N° de fiche, et collez la famille (Col. AP6 à BH)</t>
  </si>
  <si>
    <t>📋 QUICK START GUIDE (🇬🇧)</t>
  </si>
  <si>
    <t>📋 GUÍA RÁPIDA DE USO (🇪🇸)</t>
  </si>
  <si>
    <r>
      <t xml:space="preserve">1️⃣ </t>
    </r>
    <r>
      <rPr>
        <b/>
        <sz val="11"/>
        <color rgb="FFC00000"/>
        <rFont val="Calibri"/>
        <family val="2"/>
        <scheme val="minor"/>
      </rPr>
      <t>Pega tus "postits"</t>
    </r>
    <r>
      <rPr>
        <sz val="11"/>
        <color rgb="FFC00000"/>
        <rFont val="Calibri"/>
        <family val="2"/>
        <scheme val="minor"/>
      </rPr>
      <t xml:space="preserve"> en la 🟥 columna </t>
    </r>
    <r>
      <rPr>
        <b/>
        <sz val="11"/>
        <color rgb="FFC00000"/>
        <rFont val="Calibri"/>
        <family val="2"/>
        <scheme val="minor"/>
      </rPr>
      <t>N</t>
    </r>
  </si>
  <si>
    <t>el N.º de ficha y pega la familia (Col. AP6 a BH)</t>
  </si>
  <si>
    <r>
      <t xml:space="preserve">4️⃣ 👉 </t>
    </r>
    <r>
      <rPr>
        <b/>
        <sz val="11"/>
        <color theme="1"/>
        <rFont val="Calibri"/>
        <family val="2"/>
        <scheme val="minor"/>
      </rPr>
      <t>⓰ Opcional – Col.38: tus cantidades</t>
    </r>
  </si>
  <si>
    <r>
      <t xml:space="preserve">5️⃣ 👉 </t>
    </r>
    <r>
      <rPr>
        <b/>
        <sz val="11"/>
        <color theme="1"/>
        <rFont val="Calibri"/>
        <family val="2"/>
        <scheme val="minor"/>
      </rPr>
      <t>Opcional – ⑰ % Pérdida (Col.43)</t>
    </r>
  </si>
  <si>
    <r>
      <t xml:space="preserve">6️⃣ </t>
    </r>
    <r>
      <rPr>
        <b/>
        <sz val="11"/>
        <color theme="1"/>
        <rFont val="Calibri"/>
        <family val="2"/>
        <scheme val="minor"/>
      </rPr>
      <t>⑱ Precio – Col.43</t>
    </r>
  </si>
  <si>
    <r>
      <t xml:space="preserve">💡 </t>
    </r>
    <r>
      <rPr>
        <b/>
        <sz val="11"/>
        <color theme="1"/>
        <rFont val="Calibri"/>
        <family val="2"/>
        <scheme val="minor"/>
      </rPr>
      <t>Precio: no confundas precio por Kg con precio por unidad</t>
    </r>
  </si>
  <si>
    <r>
      <t xml:space="preserve">2️⃣ </t>
    </r>
    <r>
      <rPr>
        <b/>
        <sz val="12"/>
        <color theme="1"/>
        <rFont val="Calibri"/>
        <family val="2"/>
        <scheme val="minor"/>
      </rPr>
      <t>⑬ – Nommez le répertoire</t>
    </r>
    <r>
      <rPr>
        <sz val="12"/>
        <color theme="1"/>
        <rFont val="Calibri"/>
        <family val="2"/>
        <scheme val="minor"/>
      </rPr>
      <t xml:space="preserve">, le </t>
    </r>
    <r>
      <rPr>
        <b/>
        <sz val="12"/>
        <color theme="1"/>
        <rFont val="Calibri"/>
        <family val="2"/>
        <scheme val="minor"/>
      </rPr>
      <t>Nom de la recette</t>
    </r>
    <r>
      <rPr>
        <sz val="12"/>
        <color theme="1"/>
        <rFont val="Calibri"/>
        <family val="2"/>
        <scheme val="minor"/>
      </rPr>
      <t>,</t>
    </r>
  </si>
  <si>
    <r>
      <t xml:space="preserve">1️⃣ </t>
    </r>
    <r>
      <rPr>
        <b/>
        <sz val="12"/>
        <color rgb="FFC00000"/>
        <rFont val="Calibri"/>
        <family val="2"/>
        <scheme val="minor"/>
      </rPr>
      <t>Paste your "postits"</t>
    </r>
    <r>
      <rPr>
        <sz val="12"/>
        <color rgb="FFC00000"/>
        <rFont val="Calibri"/>
        <family val="2"/>
        <scheme val="minor"/>
      </rPr>
      <t xml:space="preserve"> into 🟥 column </t>
    </r>
    <r>
      <rPr>
        <b/>
        <sz val="12"/>
        <color rgb="FFC00000"/>
        <rFont val="Calibri"/>
        <family val="2"/>
        <scheme val="minor"/>
      </rPr>
      <t>N</t>
    </r>
  </si>
  <si>
    <r>
      <t xml:space="preserve">3️⃣ </t>
    </r>
    <r>
      <rPr>
        <b/>
        <sz val="12"/>
        <color theme="1"/>
        <rFont val="Calibri"/>
        <family val="2"/>
        <scheme val="minor"/>
      </rPr>
      <t>⑭ – Recipe duplicated for:</t>
    </r>
    <r>
      <rPr>
        <sz val="12"/>
        <color theme="1"/>
        <rFont val="Calibri"/>
        <family val="2"/>
        <scheme val="minor"/>
      </rPr>
      <t xml:space="preserve"> cell </t>
    </r>
    <r>
      <rPr>
        <b/>
        <sz val="12"/>
        <color theme="1"/>
        <rFont val="Calibri"/>
        <family val="2"/>
        <scheme val="minor"/>
      </rPr>
      <t>AV10</t>
    </r>
  </si>
  <si>
    <r>
      <t xml:space="preserve">4️⃣ 👉 </t>
    </r>
    <r>
      <rPr>
        <b/>
        <sz val="12"/>
        <color theme="1"/>
        <rFont val="Calibri"/>
        <family val="2"/>
        <scheme val="minor"/>
      </rPr>
      <t>⓰ Optional – Col.33: your quantities</t>
    </r>
  </si>
  <si>
    <r>
      <t xml:space="preserve">5️⃣ 👉 </t>
    </r>
    <r>
      <rPr>
        <b/>
        <sz val="12"/>
        <color theme="1"/>
        <rFont val="Calibri"/>
        <family val="2"/>
        <scheme val="minor"/>
      </rPr>
      <t>Optional – ⑰ % Loss (Col.38)</t>
    </r>
  </si>
  <si>
    <r>
      <t xml:space="preserve">6️⃣ </t>
    </r>
    <r>
      <rPr>
        <b/>
        <sz val="12"/>
        <color theme="1"/>
        <rFont val="Calibri"/>
        <family val="2"/>
        <scheme val="minor"/>
      </rPr>
      <t>⑱ Price – Col.43</t>
    </r>
  </si>
  <si>
    <r>
      <t xml:space="preserve">💡 </t>
    </r>
    <r>
      <rPr>
        <b/>
        <sz val="12"/>
        <color theme="1"/>
        <rFont val="Calibri"/>
        <family val="2"/>
        <scheme val="minor"/>
      </rPr>
      <t>Price: don’t confuse price per Kg with price per unit</t>
    </r>
  </si>
  <si>
    <r>
      <t xml:space="preserve">2️⃣ </t>
    </r>
    <r>
      <rPr>
        <b/>
        <sz val="11"/>
        <color theme="1"/>
        <rFont val="Calibri"/>
        <family val="2"/>
        <scheme val="minor"/>
      </rPr>
      <t>⑬ – Nombra la carpeta</t>
    </r>
    <r>
      <rPr>
        <sz val="11"/>
        <color theme="1"/>
        <rFont val="Calibri"/>
        <family val="2"/>
        <scheme val="minor"/>
      </rPr>
      <t xml:space="preserve">, escribe el </t>
    </r>
    <r>
      <rPr>
        <b/>
        <sz val="11"/>
        <color theme="1"/>
        <rFont val="Calibri"/>
        <family val="2"/>
        <scheme val="minor"/>
      </rPr>
      <t>Nombre de la receta</t>
    </r>
    <r>
      <rPr>
        <sz val="11"/>
        <color theme="1"/>
        <rFont val="Calibri"/>
        <family val="2"/>
        <scheme val="minor"/>
      </rPr>
      <t>,</t>
    </r>
  </si>
  <si>
    <r>
      <t xml:space="preserve">3️⃣ </t>
    </r>
    <r>
      <rPr>
        <b/>
        <sz val="11"/>
        <color theme="1"/>
        <rFont val="Calibri"/>
        <family val="2"/>
        <scheme val="minor"/>
      </rPr>
      <t>⑭ – Receta duplicada para:</t>
    </r>
    <r>
      <rPr>
        <sz val="11"/>
        <color theme="1"/>
        <rFont val="Calibri"/>
        <family val="2"/>
        <scheme val="minor"/>
      </rPr>
      <t xml:space="preserve"> celda </t>
    </r>
    <r>
      <rPr>
        <b/>
        <sz val="11"/>
        <color theme="1"/>
        <rFont val="Calibri"/>
        <family val="2"/>
        <scheme val="minor"/>
      </rPr>
      <t>AV10</t>
    </r>
  </si>
  <si>
    <t>the Sheet number, and paste the family (Col. AP6 to BH)</t>
  </si>
  <si>
    <r>
      <t xml:space="preserve">2️⃣ </t>
    </r>
    <r>
      <rPr>
        <b/>
        <sz val="12"/>
        <color theme="1"/>
        <rFont val="Calibri"/>
        <family val="2"/>
        <scheme val="minor"/>
      </rPr>
      <t>⑬ – Name the folder</t>
    </r>
    <r>
      <rPr>
        <sz val="12"/>
        <color theme="1"/>
        <rFont val="Calibri"/>
        <family val="2"/>
        <scheme val="minor"/>
      </rPr>
      <t xml:space="preserve">, enter the </t>
    </r>
    <r>
      <rPr>
        <b/>
        <sz val="12"/>
        <color theme="1"/>
        <rFont val="Calibri"/>
        <family val="2"/>
        <scheme val="minor"/>
      </rPr>
      <t>Recipe name</t>
    </r>
    <r>
      <rPr>
        <sz val="12"/>
        <color theme="1"/>
        <rFont val="Calibri"/>
        <family val="2"/>
        <scheme val="minor"/>
      </rPr>
      <t>,</t>
    </r>
  </si>
  <si>
    <t>🔄 CHANGE POSTIT 🔄</t>
  </si>
  <si>
    <t>1️⃣ Select the entire "postit" (from red A → bottom right)</t>
  </si>
  <si>
    <t>2️⃣ Uncheck: Merge/Center + Wrap Text</t>
  </si>
  <si>
    <t>3️⃣ Press Delete</t>
  </si>
  <si>
    <t>4️⃣ Paste the new postit onto red A</t>
  </si>
  <si>
    <t>💡 Check alignment before filling</t>
  </si>
  <si>
    <t>🔄 CAMBIAR POSTIT 🔄</t>
  </si>
  <si>
    <t>1️⃣ Selecciona todo el "postit" (desde A roja → esquina inferior derecha)</t>
  </si>
  <si>
    <t>2️⃣ Desactiva: Combinar/centrar + Ajustar texto</t>
  </si>
  <si>
    <t>3️⃣ Pulsa Supr</t>
  </si>
  <si>
    <t>4️⃣ Pega el nuevo postit sobre la A roja</t>
  </si>
  <si>
    <t>💡 Verifica la alineación antes de completar</t>
  </si>
  <si>
    <t>parce que la Col.20 s'en sert pour conversion en g</t>
  </si>
  <si>
    <t>because Col 20 uses them for conversion to g</t>
  </si>
  <si>
    <t>porque la Col. 20 las usa para conversión a g</t>
  </si>
  <si>
    <t>les Col.de 12 à 20 sont réservées aux volumes</t>
  </si>
  <si>
    <t>Cols 12 to 20 are reserved for volumes</t>
  </si>
  <si>
    <t>Las Cols. de 12 a 20 están reservadas a los volúmenes</t>
  </si>
  <si>
    <t>parce que la Col.20 s'en sert pour conversion en cl</t>
  </si>
  <si>
    <t>because Col 20 uses them for conversion to cl</t>
  </si>
  <si>
    <t>porque la Col. 20 las usa para conversión a cl</t>
  </si>
  <si>
    <t>▲ dans Col.16 la présence de la fonction RECHERCHEX est indispensable pour le fonctionnement des documents répertoire</t>
  </si>
  <si>
    <t>▲ in Col.16 the presence of the XLOOKUP function is essential for the directory sheets to work</t>
  </si>
  <si>
    <t>▲ en Col.16 la presencia de la función BUSCARX es imprescindible para el funcionamiento de las hojas de directorio</t>
  </si>
  <si>
    <t>circuit.1.2.5</t>
  </si>
  <si>
    <t>Master recipe ► Guinea fowl ballotine ► Famille = paste it — FAMILY ► NAME OF YOUR RECIPE   for 20 kg</t>
  </si>
  <si>
    <t>Receta madre ► MILLE-FEUILLE meringue et chiboust pamplemousse aux fraises des bois ► Famille = pegue esto — FAMILIA ► NOMBRE DE SU RECETA   para 20 desserts</t>
  </si>
  <si>
    <t>AA14&amp;" "&amp;AB14&amp;" ► Famille = "&amp;AC8&amp;" ► "&amp;X8&amp;" "&amp;AC11&amp;" "&amp;AD11&amp;" for "&amp;AC13&amp;" "&amp;AD13</t>
  </si>
  <si>
    <t>AP14&amp;" "&amp;AQ14&amp;" ► Famille = "&amp;AR8&amp;" ► "&amp;AM8&amp;" "&amp;AR11&amp;" "&amp;AS11&amp;" para "&amp;AR13&amp;" "&amp;AS13</t>
  </si>
  <si>
    <t xml:space="preserve">Master recipe ► </t>
  </si>
  <si>
    <t>MILLE-FEUILLE with meringue and grapefruit chiboust with wild strawberries</t>
  </si>
  <si>
    <t>Receta madre ►</t>
  </si>
  <si>
    <t xml:space="preserve"> MILHOJAS con merengue y chiboust de pomelo con fresas del bosque</t>
  </si>
  <si>
    <t>❿   Duplicada para</t>
  </si>
  <si>
    <t>You can repurpose the Coefficient column by increasing or decreasing the value.</t>
  </si>
  <si>
    <t>Puede reutilizar la columna Coeficiente aumentando o disminuyendo el valor</t>
  </si>
  <si>
    <t>◄  To remove conditional formatting from col. 11:</t>
  </si>
  <si>
    <t xml:space="preserve">◄  Para quitar el formato condicional de la col. 11: </t>
  </si>
  <si>
    <t xml:space="preserve"> paste gomme, then delete gomme and enter a number</t>
  </si>
  <si>
    <t xml:space="preserve"> pegue gomme, luego borre gomme y escriba un número</t>
  </si>
  <si>
    <t>Col.6 to 7 are reserved for weights (Kg)</t>
  </si>
  <si>
    <t>Las Cols. de 6 - 7 están reservadas a los pesos</t>
  </si>
  <si>
    <t>▲ Lookup table: Col.6 to 7 are reserved for weights (Kg)</t>
  </si>
  <si>
    <t>because Col 15 uses them for conversion to g</t>
  </si>
  <si>
    <t>porque la Col. 15 las usa para conversión a g</t>
  </si>
  <si>
    <t>⓫ ▼ FASES DE PROGRESIÓN</t>
  </si>
  <si>
    <t>Qué? Introduzca Trozos - rebanadas - raciones - piezas - cerezas etc.</t>
  </si>
  <si>
    <t>Constituez-vous des répertoires par lettres alphabétiques</t>
  </si>
  <si>
    <t>Pour l’identification de vos fiches, vous avez le choix</t>
  </si>
  <si>
    <t>entre la numérotation et l’identification Alpha</t>
  </si>
  <si>
    <t>Alpha vous permet de vous constituer des répertoires</t>
  </si>
  <si>
    <t>et de regrouper des préparations pour</t>
  </si>
  <si>
    <t>faire des assemblages</t>
  </si>
  <si>
    <t>si les fiches vous « barbent », vous avez</t>
  </si>
  <si>
    <t>if the sheets “bore” you, you have</t>
  </si>
  <si>
    <t>si las fichas le “aburren”, le queda</t>
  </si>
  <si>
    <t>la pifométrie</t>
  </si>
  <si>
    <t>guesstimation</t>
  </si>
  <si>
    <t>la pifometría</t>
  </si>
  <si>
    <t>by eyeballing</t>
  </si>
  <si>
    <t>a ojo</t>
  </si>
  <si>
    <t>at a glance</t>
  </si>
  <si>
    <t>a simple vista</t>
  </si>
  <si>
    <t>by feel</t>
  </si>
  <si>
    <t>al tanteo</t>
  </si>
  <si>
    <t>au doigt mouillé</t>
  </si>
  <si>
    <t>wet-finger estimate</t>
  </si>
  <si>
    <t>al dedo mojado</t>
  </si>
  <si>
    <t>📌 Instructions de copie des postits 🇫🇷 Sélectionnez un postit 🟦, copiez-le (Ctrl + C 📋), puis collez-le (Ctrl + V 📥) à l'endroit souhaité dans une autre feuille, puis ajustez la largeur des colonnes si nécessaire.</t>
  </si>
  <si>
    <t>📌 Instructions for copying postits Select a 🟦 postit, copy it (Ctrl + C 📋), then paste it (Ctrl + V 📥) where you want on another sheet, and adjust the column widths if needed.</t>
  </si>
  <si>
    <t>📌 Instrucciones para copiar postits Seleccione un postit 🟦, cópielo (Ctrl + C 📋) y luego péguelo (Ctrl + V 📥) en el lugar deseado en otra hoja; después, ajuste el ancho de las columnas si es necesario.</t>
  </si>
  <si>
    <t>Classeur Excel 2021 de modèles de fiches conçu pour les travaux pratiques en métiers de bouche (CFA/lycée hôtelier/centre professionnel).</t>
  </si>
  <si>
    <t>« Vos fiches Excel prêtes rapidement — multilingue, conversions automatiques, zéro prise de tête. »</t>
  </si>
  <si>
    <t>Gain de temps &gt; Copier/Coller = FR : g, kg, L, dL, cL, mL, ¼ kg, c. s., etc. / EN : oz, fl oz, cup, etc. / ES : tercio/L, taza líquida, cucharadita, etc.</t>
  </si>
  <si>
    <t>Facile à adapter à vos recettes, vos processus et vos barèmes maison.</t>
  </si>
  <si>
    <t>▲ Table de recherche : les Col.6 et 7 sont réservées aux poids (kg)</t>
  </si>
  <si>
    <t>▲ Lookup table: Col.6 and 7 are reserved for weights (kg)</t>
  </si>
  <si>
    <t>▲ Tabla de búsqueda: las Col.6 y 7 están reservadas para los pesos (kg)</t>
  </si>
  <si>
    <t>MISE EN PAGE</t>
  </si>
  <si>
    <t>PAGE LAYOUT</t>
  </si>
  <si>
    <t>DISEÑO DE PÁGINA</t>
  </si>
  <si>
    <t>FORMULES</t>
  </si>
  <si>
    <t>FORMULAS</t>
  </si>
  <si>
    <t>FÓRMULAS</t>
  </si>
  <si>
    <t>DONNÉES</t>
  </si>
  <si>
    <t>DATA</t>
  </si>
  <si>
    <t>DATOS</t>
  </si>
  <si>
    <t>Repérer les antécédents</t>
  </si>
  <si>
    <t>Repérer les dépendants</t>
  </si>
  <si>
    <t>Supprimer les flèches</t>
  </si>
  <si>
    <t>recette suivante</t>
  </si>
  <si>
    <t>next recipe</t>
  </si>
  <si>
    <t>receta siguiente</t>
  </si>
  <si>
    <r>
      <t xml:space="preserve"> </t>
    </r>
    <r>
      <rPr>
        <b/>
        <sz val="11"/>
        <color theme="1"/>
        <rFont val="Calibri"/>
        <family val="2"/>
        <scheme val="minor"/>
      </rPr>
      <t>lignes (Excel)</t>
    </r>
  </si>
  <si>
    <r>
      <t xml:space="preserve">rows </t>
    </r>
    <r>
      <rPr>
        <i/>
        <sz val="11"/>
        <color theme="1"/>
        <rFont val="Calibri"/>
        <family val="2"/>
        <scheme val="minor"/>
      </rPr>
      <t>(Excel context)</t>
    </r>
  </si>
  <si>
    <t>filas (Excel)</t>
  </si>
  <si>
    <r>
      <t xml:space="preserve"> </t>
    </r>
    <r>
      <rPr>
        <b/>
        <sz val="11"/>
        <color theme="1"/>
        <rFont val="Calibri"/>
        <family val="2"/>
        <scheme val="minor"/>
      </rPr>
      <t>lignes (texte)</t>
    </r>
  </si>
  <si>
    <r>
      <t xml:space="preserve">lines </t>
    </r>
    <r>
      <rPr>
        <i/>
        <sz val="11"/>
        <color theme="1"/>
        <rFont val="Calibri"/>
        <family val="2"/>
        <scheme val="minor"/>
      </rPr>
      <t>(general text)</t>
    </r>
  </si>
  <si>
    <t>líneas (texto)</t>
  </si>
  <si>
    <t>famille</t>
  </si>
  <si>
    <r>
      <t xml:space="preserve">family </t>
    </r>
    <r>
      <rPr>
        <i/>
        <sz val="11"/>
        <color theme="1"/>
        <rFont val="Calibri"/>
        <family val="2"/>
        <scheme val="minor"/>
      </rPr>
      <t>(generic)</t>
    </r>
  </si>
  <si>
    <r>
      <t xml:space="preserve">familia </t>
    </r>
    <r>
      <rPr>
        <i/>
        <sz val="11"/>
        <color theme="1"/>
        <rFont val="Calibri"/>
        <family val="2"/>
        <scheme val="minor"/>
      </rPr>
      <t>(genérico)</t>
    </r>
  </si>
  <si>
    <t>Coût : 1* économique – 4**** luxe</t>
  </si>
  <si>
    <t>Cost: 1* economical – 4**** luxury</t>
  </si>
  <si>
    <t>Difficulté : 1* Facile – 4**** Difficile</t>
  </si>
  <si>
    <t>Difficulty: 1* Easy – 4**** Difficult</t>
  </si>
  <si>
    <t>Dificultad: 1* Fácil – 4**** Difícil</t>
  </si>
  <si>
    <t>En pratique, une étoile d’anis pèse très peu et la taille varie.</t>
  </si>
  <si>
    <t>In practice, a star anise weighs very little and sizes vary.</t>
  </si>
  <si>
    <t>En la práctica, una estrella de anís pesa muy poco y el tamaño varía.</t>
  </si>
  <si>
    <t>Comptez ≈ 0,5 g par étoile en moyenne (fourchette 0,3–0,7 g).</t>
  </si>
  <si>
    <t>Count on ≈ 0.5 g per star on average (range 0.3–0.7 g).</t>
  </si>
  <si>
    <t>Calcule ≈ 0,5 g por estrella de media (rango 0,3–0,7 g).</t>
  </si>
  <si>
    <t>➡️ Donc 5 étoiles ≈ 2 à 3,5 g.</t>
  </si>
  <si>
    <t>➡️ So 5 stars ≈ 2 to 3.5 g.</t>
  </si>
  <si>
    <t>➡️ Así, 5 estrellas ≈ 2 a 3,5 g.</t>
  </si>
  <si>
    <t>Si vous utilisez du moulu :</t>
  </si>
  <si>
    <t>If using ground spice:</t>
  </si>
  <si>
    <t>Si usa molido:</t>
  </si>
  <si>
    <t>1 étoile ≈ ¼ c. à café d’anis étoilé moulu (≈ 0,5 g).</t>
  </si>
  <si>
    <t>1 star ≈ ¼ tsp ground star anise (≈ 0.5 g).</t>
  </si>
  <si>
    <t>1 estrella ≈ ¼ cdta. de anís estrellado molido (≈ 0,5 g).</t>
  </si>
  <si>
    <t>5 étoiles ≈ 1 à 1½ c. à café (≈ 2,5 g).</t>
  </si>
  <si>
    <t>5 stars ≈ 1 to 1½ tsp (≈ 2.5 g).</t>
  </si>
  <si>
    <t>5 estrellas ≈ 1 a 1½ cdta. (≈ 2,5 g).</t>
  </si>
  <si>
    <t>Charcuterie tip: for even diffusion, lightly crush the stars or infuse them and strain; start low (≈ 2 g for 5 kg of mix) and adjust on the next batch to the desired intensity.</t>
  </si>
  <si>
    <t>Truco de charcutería: para una difusión uniforme, machaque ligeramente las estrellas o infusione y cuele; empiece bajo (≈ 2 g por 5 kg de mezcla) y ajuste en el siguiente lote según la intensidad deseada.</t>
  </si>
  <si>
    <t>▼ Collez vos postits dans ces colonnes</t>
  </si>
  <si>
    <t>▼ Paste your postits in these columns</t>
  </si>
  <si>
    <t>▼ Pegue sus postits en estas columnas</t>
  </si>
  <si>
    <t>&lt; Poids à copier en ❾</t>
  </si>
  <si>
    <t>&lt; Weight to copy into ❾</t>
  </si>
  <si>
    <t>&lt; Peso a copiar en ❾</t>
  </si>
  <si>
    <t>Saisissez vos valeurs dans les cellules au fond ivoire ou jaune.</t>
  </si>
  <si>
    <t>Enter your values in the ivory- or yellow-filled cells.</t>
  </si>
  <si>
    <t>Introduzca sus valores en las celdas con fondo marfil o amarillo.</t>
  </si>
  <si>
    <t>pensez à récupérer les formules des oignons × par 1,33 — du sel et des épices pour vos fiches</t>
  </si>
  <si>
    <t>remember to retrieve the formulas for onions × by 1.33 – for salt and spices for your sheets</t>
  </si>
  <si>
    <t>no olvide recuperar las fórmulas de cebollas × por 1,33 – de sal y de especias para sus fichas</t>
  </si>
  <si>
    <r>
      <t xml:space="preserve">et ces formules : </t>
    </r>
    <r>
      <rPr>
        <b/>
        <sz val="11"/>
        <color theme="1"/>
        <rFont val="Calibri"/>
        <family val="2"/>
        <scheme val="minor"/>
      </rPr>
      <t>SI(NB.SI(R264:V264;"&lt;&gt;")&gt;0;"A";"►")</t>
    </r>
    <r>
      <rPr>
        <sz val="11"/>
        <color theme="1"/>
        <rFont val="Calibri"/>
        <family val="2"/>
        <scheme val="minor"/>
      </rPr>
      <t xml:space="preserve"> différentes de celle-ci : </t>
    </r>
    <r>
      <rPr>
        <b/>
        <sz val="11"/>
        <color theme="1"/>
        <rFont val="Calibri"/>
        <family val="2"/>
        <scheme val="minor"/>
      </rPr>
      <t>SI(W233&lt;&gt;"";"A";"►")</t>
    </r>
  </si>
  <si>
    <t>and these formulas IF(COUNTIF(R264:V264,"&lt;&gt;")&gt;0,"A","►") different from this one IF(W233&lt;&gt;"","A","►")</t>
  </si>
  <si>
    <t>y estas fórmulas SI(CONTAR.SI(R264:V264,"&lt;&gt;")&gt;0,"A","►") diferentes de esta SI(W233&lt;&gt;"","A","►")</t>
  </si>
  <si>
    <t>et puis toutes les autres</t>
  </si>
  <si>
    <t>and then all the others</t>
  </si>
  <si>
    <t>y luego todas las demás</t>
  </si>
  <si>
    <t>Total 4,90 kg × 18 g/kg = 88 g de sel</t>
  </si>
  <si>
    <t>Total 4.90 kg × 18 g/kg = 88 g salt</t>
  </si>
  <si>
    <t>Total 4,90 kg × 18 g/kg = 88 g de sal</t>
  </si>
  <si>
    <t>Total 4,90 kg × 3 g/kg = 15 g d’épices</t>
  </si>
  <si>
    <t>Total 4.90 kg × 3 g/kg = 15 g spices</t>
  </si>
  <si>
    <t>Total 4,90 kg × 3 g/kg = 15 g de especias</t>
  </si>
  <si>
    <t>× par 1,33 = oignons frais &gt; 3,66 kg</t>
  </si>
  <si>
    <t>× by 1.33 = fresh onions &gt; 3.66 kg</t>
  </si>
  <si>
    <t>× por 1,33 = cebollas frescas &gt; 3,66 kg</t>
  </si>
  <si>
    <t>hacher les oignons</t>
  </si>
  <si>
    <t>chop the onions</t>
  </si>
  <si>
    <t>picar las cebollas</t>
  </si>
  <si>
    <t>les cuire dans le saindoux ou la graisse de canard</t>
  </si>
  <si>
    <t>cook them in lard or duck fat</t>
  </si>
  <si>
    <t>cocerlas en manteca de cerdo o grasa de pato</t>
  </si>
  <si>
    <t>ajouter le gras de jambon cuit coupé en dés de 4 mm en fin de cuisson des oignons</t>
  </si>
  <si>
    <t>add the cooked ham fat cut into 4 mm dice at the end of the onion cooking</t>
  </si>
  <si>
    <t>al final de la cocción de la cebolla, añadir la grasa de jamón cocido cortada en dados de 4 mm</t>
  </si>
  <si>
    <t>après 1 h 30 de cuisson, ajouter le gras dur et la tête en cubes (5–8 mm)</t>
  </si>
  <si>
    <t>after 1 h 30 of cooking, add the hard fat and the head in cubes (5–8 mm)</t>
  </si>
  <si>
    <t>tras 1 h 30 de cocción, añadir la grasa dura y la cabeza en cubos (5–8 mm)</t>
  </si>
  <si>
    <t>laisser cuire 1/2 heure</t>
  </si>
  <si>
    <t>let cook for 1/2 hour</t>
  </si>
  <si>
    <t>dejar cocer 1/2 hora</t>
  </si>
  <si>
    <t>ajouter les herbes hachées et l’assaisonnement, au besoin</t>
  </si>
  <si>
    <t>add the chopped herbs and the seasoning, as needed</t>
  </si>
  <si>
    <t>añadir las hierbas picadas y el sazonado, según necesidad</t>
  </si>
  <si>
    <t>mouler et cuire au four à environ 90 °C pendant 1 h 30 à 2 h jusqu’à 68 °C à cœur, ou :</t>
  </si>
  <si>
    <t>mold and bake at about 90 °C for 1 h 30 to 2 h until 68 °C at the core, or:</t>
  </si>
  <si>
    <t>moldar y hornear a unos 90 °C durante 1 h 30 a 2 h hasta 68 °C en el centro, o:</t>
  </si>
  <si>
    <t>embosser dans la baudruche</t>
  </si>
  <si>
    <t>stuff into beef bung (baudruche)</t>
  </si>
  <si>
    <t>embutir en tripón (baudruche)</t>
  </si>
  <si>
    <t>marquer la cuisson à 90 °C en marmite avec des aromates puis régler à 80 °C</t>
  </si>
  <si>
    <t>start cooking at 90 °C in a pot with aromatics, then set to 80 °C</t>
  </si>
  <si>
    <t>iniciar la cocción a 90 °C en marmita con aromáticos y luego ajustar a 80 °C</t>
  </si>
  <si>
    <t>retourner tous les 1/4 d’heure</t>
  </si>
  <si>
    <t>turn every 1/4 hour</t>
  </si>
  <si>
    <t>dar la vuelta cada 1/4 de hora</t>
  </si>
  <si>
    <t>durée de cuisson : environ 1 h 30 pour atteindre 68 °C à cœur</t>
  </si>
  <si>
    <t>cooking time about 1 h 30 to reach 68 °C at the core</t>
  </si>
  <si>
    <t>tiempo de cocción aprox. 1 h 30 para alcanzar 68 °C en el centro</t>
  </si>
  <si>
    <t>ail rose de Lautrec</t>
  </si>
  <si>
    <t>pink garlic from Lautrec</t>
  </si>
  <si>
    <t>ajo rosado de Lautrec</t>
  </si>
  <si>
    <t>anis étoilé</t>
  </si>
  <si>
    <t>star anise</t>
  </si>
  <si>
    <t>anís estrellado</t>
  </si>
  <si>
    <t>baudruche (boyau de bœuf) ou moule</t>
  </si>
  <si>
    <t>beef bung casing or mold</t>
  </si>
  <si>
    <t>baudruche (tripón de vacuno) o molde</t>
  </si>
  <si>
    <t>cardamomes</t>
  </si>
  <si>
    <t>cardamoms</t>
  </si>
  <si>
    <t>cardamomos</t>
  </si>
  <si>
    <t>cerfeuil</t>
  </si>
  <si>
    <t>chervil</t>
  </si>
  <si>
    <t>perifollo</t>
  </si>
  <si>
    <t>cerfeuil ciselé</t>
  </si>
  <si>
    <t>chopped chervil</t>
  </si>
  <si>
    <t>perifollo picado</t>
  </si>
  <si>
    <t>charcuterie-BOUDIN-NOIR</t>
  </si>
  <si>
    <r>
      <t xml:space="preserve">charcuterie-BLACK-PUDDING </t>
    </r>
    <r>
      <rPr>
        <i/>
        <sz val="11"/>
        <color theme="1"/>
        <rFont val="Calibri"/>
        <family val="2"/>
        <scheme val="minor"/>
      </rPr>
      <t>(UK)</t>
    </r>
    <r>
      <rPr>
        <sz val="11"/>
        <color theme="1"/>
        <rFont val="Calibri"/>
        <family val="2"/>
        <scheme val="minor"/>
      </rPr>
      <t xml:space="preserve"> / charcuterie-BLOOD-SAUSAGE </t>
    </r>
    <r>
      <rPr>
        <i/>
        <sz val="11"/>
        <color theme="1"/>
        <rFont val="Calibri"/>
        <family val="2"/>
        <scheme val="minor"/>
      </rPr>
      <t>(US)</t>
    </r>
  </si>
  <si>
    <t>charcutería-MORCILLA</t>
  </si>
  <si>
    <t>cinq épices</t>
  </si>
  <si>
    <t>five-spice</t>
  </si>
  <si>
    <t>cinco especias</t>
  </si>
  <si>
    <t>coriandre moulue</t>
  </si>
  <si>
    <t>ground coriande</t>
  </si>
  <si>
    <t>cilantro molido</t>
  </si>
  <si>
    <t>crème épaisse (crème épaisse)</t>
  </si>
  <si>
    <t>thick cream (crème épaisse)</t>
  </si>
  <si>
    <t>crema espesa (crème épaisse)</t>
  </si>
  <si>
    <t>estragon</t>
  </si>
  <si>
    <t>tarragon</t>
  </si>
  <si>
    <t>estragón</t>
  </si>
  <si>
    <t>gorge de porc cuite</t>
  </si>
  <si>
    <t>cooked pork jowl</t>
  </si>
  <si>
    <t>papada de cerdo cocida</t>
  </si>
  <si>
    <t>graisse d’oie ou de canard</t>
  </si>
  <si>
    <t>goose or duck fat</t>
  </si>
  <si>
    <t>grasa de oca o de pato</t>
  </si>
  <si>
    <t>gras de jambon cuit</t>
  </si>
  <si>
    <t>cooked ham fat</t>
  </si>
  <si>
    <t>grasa de jamón cocido</t>
  </si>
  <si>
    <t>gras dur</t>
  </si>
  <si>
    <t>hard fat</t>
  </si>
  <si>
    <t>grasa dura</t>
  </si>
  <si>
    <t>gras dur cuit (gras de dos)</t>
  </si>
  <si>
    <t>cooked hard fat (back fat)</t>
  </si>
  <si>
    <t>grasa dura cocida (grasa dorsal)</t>
  </si>
  <si>
    <t>huile de noix</t>
  </si>
  <si>
    <t>walnut oil</t>
  </si>
  <si>
    <t>aceite de nuez</t>
  </si>
  <si>
    <t>langue de porc</t>
  </si>
  <si>
    <t>pork tongue</t>
  </si>
  <si>
    <t>lengua de cerdo</t>
  </si>
  <si>
    <t>langue écarlate</t>
  </si>
  <si>
    <t>scarlet tongue</t>
  </si>
  <si>
    <t>lengua escarlata</t>
  </si>
  <si>
    <t>macis</t>
  </si>
  <si>
    <t>mace</t>
  </si>
  <si>
    <t>noix fraîches</t>
  </si>
  <si>
    <t>fresh walnuts</t>
  </si>
  <si>
    <t>nueces frescas</t>
  </si>
  <si>
    <t>NOTRE BOUDIN NOIR</t>
  </si>
  <si>
    <r>
      <t xml:space="preserve">OUR BLACK PUDDING </t>
    </r>
    <r>
      <rPr>
        <i/>
        <sz val="11"/>
        <color theme="1"/>
        <rFont val="Calibri"/>
        <family val="2"/>
        <scheme val="minor"/>
      </rPr>
      <t>(UK)</t>
    </r>
    <r>
      <rPr>
        <sz val="11"/>
        <color theme="1"/>
        <rFont val="Calibri"/>
        <family val="2"/>
        <scheme val="minor"/>
      </rPr>
      <t xml:space="preserve"> / OUR BLOOD SAUSAGE </t>
    </r>
    <r>
      <rPr>
        <i/>
        <sz val="11"/>
        <color theme="1"/>
        <rFont val="Calibri"/>
        <family val="2"/>
        <scheme val="minor"/>
      </rPr>
      <t>(US)</t>
    </r>
  </si>
  <si>
    <t>NUESTRA MORCILLA</t>
  </si>
  <si>
    <t>œufs frais (facultatif)</t>
  </si>
  <si>
    <t>fresh eggs (optional)</t>
  </si>
  <si>
    <t>huevos frescos (opcional)</t>
  </si>
  <si>
    <t>OIGNONS</t>
  </si>
  <si>
    <t>ONIONS</t>
  </si>
  <si>
    <t>CEBOLLAS</t>
  </si>
  <si>
    <t>oignons crus</t>
  </si>
  <si>
    <t>raw onions</t>
  </si>
  <si>
    <t>cebollas crudas</t>
  </si>
  <si>
    <t>persil plat ciselé</t>
  </si>
  <si>
    <t>chopped flat-leaf parsley</t>
  </si>
  <si>
    <t>perejil de hoja plana picado</t>
  </si>
  <si>
    <t>Poids sans les têtes : 6,69 kg</t>
  </si>
  <si>
    <t>Weight without the heads: 6.69 kg</t>
  </si>
  <si>
    <t>Peso sin las cabezas: 6,69 kg</t>
  </si>
  <si>
    <t>poivre de Sichuan</t>
  </si>
  <si>
    <t>Sichuan pepper</t>
  </si>
  <si>
    <t>pimienta de Sichuan</t>
  </si>
  <si>
    <t>poivre et épices en mélange</t>
  </si>
  <si>
    <t>pepper and mixed spices</t>
  </si>
  <si>
    <t>pimienta y mezcla de especias</t>
  </si>
  <si>
    <t>poivre long</t>
  </si>
  <si>
    <t>long pepper</t>
  </si>
  <si>
    <t>pimienta larga</t>
  </si>
  <si>
    <t>poivre noir</t>
  </si>
  <si>
    <t>black pepper</t>
  </si>
  <si>
    <t>pimienta negra</t>
  </si>
  <si>
    <t>saindoux ou graisse de canard</t>
  </si>
  <si>
    <t>lard or duck fat</t>
  </si>
  <si>
    <t>manteca de cerdo o grasa de pato</t>
  </si>
  <si>
    <t>sang</t>
  </si>
  <si>
    <t>blood</t>
  </si>
  <si>
    <t>sangre</t>
  </si>
  <si>
    <t>sang non salé</t>
  </si>
  <si>
    <t>unsalted blood</t>
  </si>
  <si>
    <t>sangre sin sal</t>
  </si>
  <si>
    <t>tête cuite désossée</t>
  </si>
  <si>
    <t>cooked, deboned head</t>
  </si>
  <si>
    <t>cabeza cocida deshuesada</t>
  </si>
  <si>
    <t>Assaisonnement au kg sans les têtes</t>
  </si>
  <si>
    <t>Seasoning per kg without the heads</t>
  </si>
  <si>
    <t>Sazonado por kg sin las cabezas</t>
  </si>
  <si>
    <t>boyaux de porc 34/36 ou 36+</t>
  </si>
  <si>
    <t>pork casings 34/36 or 36+</t>
  </si>
  <si>
    <t>tripas de cerdo 34/36 o 36+</t>
  </si>
  <si>
    <t>épices 1 g/kg = 0,067 kg = ,67 g</t>
  </si>
  <si>
    <t>spices 1 g/kg = 0.067 kg = ,67 g</t>
  </si>
  <si>
    <t>especias 1 g/kg = 0,067 kg = ,67 g</t>
  </si>
  <si>
    <t>fleur de sel de Guérande 18 g/kg</t>
  </si>
  <si>
    <t>Guérande fleur de sel 18 g/kg</t>
  </si>
  <si>
    <t>flor de sal de Guérande 18 g/kg</t>
  </si>
  <si>
    <t>poivre et épices en mélange 3 g/kg</t>
  </si>
  <si>
    <t>mixed pepper and spices 3 g/kg</t>
  </si>
  <si>
    <t>mezcla de pimienta y especias 3 g/kg</t>
  </si>
  <si>
    <t>sel fin 30 g/kg = 0,201 kg = ,201 g</t>
  </si>
  <si>
    <t>fine salt 30 g/kg = 0.201 kg = ,201 g</t>
  </si>
  <si>
    <t>sal fina 30 g/kg = 0,201 kg = ,201 g</t>
  </si>
  <si>
    <t>⓫ ▼ PHASES DE PROGRESSION</t>
  </si>
  <si>
    <t>⓫ ▼ PROGRESSION PHASES</t>
  </si>
  <si>
    <t>hacher l’oignon</t>
  </si>
  <si>
    <t>chop the onion</t>
  </si>
  <si>
    <t>picar la cebolla</t>
  </si>
  <si>
    <t>le cuire dans la graisse d’oie ou de canard</t>
  </si>
  <si>
    <t>cook it in goose or duck fat</t>
  </si>
  <si>
    <t>cocerla en grasa de oca o de pato</t>
  </si>
  <si>
    <t>(selon la saison, pour enlever l’amertume ajouter 1 g de sucre par kg)</t>
  </si>
  <si>
    <t>(depending on the season, to remove bitterness add 1 g of sugar per kg)</t>
  </si>
  <si>
    <t>(según la temporada, para quitar el amargor añada 1 g de azúcar por kg)</t>
  </si>
  <si>
    <t>couper la gorge et le gras en morceaux (1 cm)</t>
  </si>
  <si>
    <t>cut the jowl and the fat into pieces (1 cm)</t>
  </si>
  <si>
    <t>cortar en trozos (1 cm) la papada y la grasa</t>
  </si>
  <si>
    <t>les pocher puis les passer au broyeur/hachoir (plaque de 6 mm)</t>
  </si>
  <si>
    <t>poach them, then run them through the grinder/mincer (6 mm plate)</t>
  </si>
  <si>
    <t>escaldar/pochar y luego pasar por la picadora/molino (placa de 6 mm)</t>
  </si>
  <si>
    <t>les ajouter aux oignons</t>
  </si>
  <si>
    <t>add them to the onions</t>
  </si>
  <si>
    <t>añadirlos a las cebollas</t>
  </si>
  <si>
    <t>recuire puis assaisonner</t>
  </si>
  <si>
    <t>cook again, then season</t>
  </si>
  <si>
    <t>cocer de nuevo y sazonar</t>
  </si>
  <si>
    <t>ajouter la crème</t>
  </si>
  <si>
    <t>add the cream</t>
  </si>
  <si>
    <t>añadir la crema</t>
  </si>
  <si>
    <t>et les œufs si une coagulation plus importante est nécessaire</t>
  </si>
  <si>
    <t>and the eggs if stronger coagulation is needed</t>
  </si>
  <si>
    <t>y los huevos si se necesita una coagulación más fuerte</t>
  </si>
  <si>
    <t>ajouter le sang frais et embosser (dans les boyaux)</t>
  </si>
  <si>
    <t>add the fresh blood and stuff (into casings)</t>
  </si>
  <si>
    <t>añadir la sangre fresca y embutir</t>
  </si>
  <si>
    <t>cuire dans un bouillon aromatique à 85 °C pendant 20 minutes</t>
  </si>
  <si>
    <t>cook in an aromatic broth at 85 °C for 20 minutes</t>
  </si>
  <si>
    <t>cocer en un caldo aromático a 85 °C durante 20 min</t>
  </si>
  <si>
    <t>GROSS WEIGHT</t>
  </si>
  <si>
    <t>NET WEIGHT</t>
  </si>
  <si>
    <t>PERTE</t>
  </si>
  <si>
    <t>LOSS</t>
  </si>
  <si>
    <t>PÉRDIDA</t>
  </si>
  <si>
    <t>Brut = Net × Coefficient :</t>
  </si>
  <si>
    <t>Gross = Net × Coefficient:</t>
  </si>
  <si>
    <t>Bruto = Neto × Coeficiente:</t>
  </si>
  <si>
    <t>Net = Brut × Coefficient :</t>
  </si>
  <si>
    <t>Net = Gross × Coefficient:</t>
  </si>
  <si>
    <t>Neto = Bruto × Coeficiente:</t>
  </si>
  <si>
    <t>Madame..Monsieur….Bonjour</t>
  </si>
  <si>
    <t>Señora, Señor:</t>
  </si>
  <si>
    <t>Everything  un utilitaire de recherche gratuit pour indexer et rechercher vos fichiers</t>
  </si>
  <si>
    <t>https://everything.fr.softonic.com/</t>
  </si>
  <si>
    <t>Pour faire court voici quelques petits exemples</t>
  </si>
  <si>
    <t>sur cette page vous avez déjà des formules à récupérer et des liens à visiter</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</si>
  <si>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</si>
  <si>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</si>
  <si>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</si>
  <si>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</si>
  <si>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</si>
  <si>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</si>
  <si>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</si>
  <si>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</si>
  <si>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</si>
  <si>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</si>
  <si>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</si>
  <si>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</si>
  <si>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</si>
  <si>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</si>
  <si>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</si>
  <si>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</si>
  <si>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</si>
  <si>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</si>
  <si>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</si>
  <si>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</si>
  <si>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</si>
  <si>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</si>
  <si>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</si>
  <si>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</si>
  <si>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</si>
  <si>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</si>
  <si>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</si>
  <si>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</si>
  <si>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</si>
  <si>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</si>
  <si>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</si>
  <si>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</si>
  <si>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</si>
  <si>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</si>
  <si>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</si>
  <si>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</si>
  <si>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</si>
  <si>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</si>
  <si>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</si>
  <si>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</si>
  <si>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</si>
  <si>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</si>
  <si>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</si>
  <si>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</si>
  <si>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</si>
  <si>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</si>
  <si>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</si>
  <si>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</si>
  <si>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</si>
  <si>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</si>
  <si>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</si>
  <si>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</si>
  <si>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</si>
  <si>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</si>
  <si>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</si>
  <si>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</si>
  <si>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</si>
  <si>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</si>
  <si>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</si>
  <si>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position du premier caractère à extraire</t>
  </si>
  <si>
    <t>0.000K\g</t>
  </si>
  <si>
    <t>nombre de caractères à extraire</t>
  </si>
  <si>
    <t>Poids portion 0.000" Kg"</t>
  </si>
  <si>
    <t>Résultat</t>
  </si>
  <si>
    <t># ##0" cl"</t>
  </si>
  <si>
    <t>0.00 " cm³"</t>
  </si>
  <si>
    <t>Vous pouvez extraire ce que vous voulez d'une phrase des nombre un prénom etc</t>
  </si>
  <si>
    <t>0.000 " dm³"</t>
  </si>
  <si>
    <t>0.000" L"</t>
  </si>
  <si>
    <t>Vous pouvez mettre des émotocones dans vos formules entre deux guillemets "   "</t>
  </si>
  <si>
    <t>0" lignes"</t>
  </si>
  <si>
    <t>"🚲 "   " 🤓 "   " ✔ "   " 🆗 "</t>
  </si>
  <si>
    <t>0" jours"</t>
  </si>
  <si>
    <t>0" H"</t>
  </si>
  <si>
    <t>➕  ⏮  ➿  ⁉  ⬅  ☺  ✔  ❓  🆗  🌼  🚲  🤓  🔛 🚐  «</t>
  </si>
  <si>
    <t>0" Mx"</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</si>
  <si>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</si>
  <si>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</si>
  <si>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</si>
  <si>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</si>
  <si>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</si>
  <si>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</si>
  <si>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</si>
  <si>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</si>
  <si>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</si>
  <si>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</si>
  <si>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</si>
  <si>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</si>
  <si>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</si>
  <si>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</si>
  <si>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</si>
  <si>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</si>
  <si>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</si>
  <si>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</si>
  <si>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</si>
  <si>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</si>
  <si>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</si>
  <si>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</si>
  <si>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</si>
  <si>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</si>
  <si>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</si>
  <si>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</si>
  <si>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</si>
  <si>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</si>
  <si>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</si>
  <si>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</si>
  <si>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</si>
  <si>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</si>
  <si>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</si>
  <si>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</si>
  <si>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</si>
  <si>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</si>
  <si>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Bœuf</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</si>
  <si>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</si>
  <si>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</si>
  <si>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</si>
  <si>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</si>
  <si>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</si>
  <si>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</si>
  <si>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</si>
  <si>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</si>
  <si>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</si>
  <si>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</si>
  <si>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</si>
  <si>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</si>
  <si>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</si>
  <si>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</si>
  <si>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</si>
  <si>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</si>
  <si>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</si>
  <si>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</si>
  <si>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</si>
  <si>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</si>
  <si>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</si>
  <si>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</si>
  <si>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</si>
  <si>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</si>
  <si>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</si>
  <si>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</si>
  <si>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cellules</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</si>
  <si>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</si>
  <si>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</si>
  <si>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</si>
  <si>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</si>
  <si>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</si>
  <si>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</si>
  <si>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</si>
  <si>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</si>
  <si>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</si>
  <si>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</si>
  <si>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Poids Unitaire</t>
  </si>
  <si>
    <t>Combien p.p.❼</t>
  </si>
  <si>
    <t>Saisissez vos valeurs dans les cellules fond de couleur et collez ❹ Cu ou  ❺ Cuit</t>
  </si>
  <si>
    <t>❼  Quantité p.p.</t>
  </si>
  <si>
    <t>❺ Cuit</t>
  </si>
  <si>
    <t>Collez ❹ Cru ou ❺ Cuit Cellule &gt;</t>
  </si>
  <si>
    <t>Prix D'ACHAT / Prix de VENTE</t>
  </si>
  <si>
    <t>Bricolage "artisanal "   on peut faire plus simple mais c'est "pédagogique"</t>
  </si>
  <si>
    <t>&lt; position colonne et n° de ligne</t>
  </si>
  <si>
    <t xml:space="preserve">Saisissez vos valeurs dans les cellules fond ivoire </t>
  </si>
  <si>
    <t>Aide à la décision en Kg</t>
  </si>
  <si>
    <t>Pourcentages NET / BRUT et BRUT / NET</t>
  </si>
  <si>
    <t>Décriptage d'une recette par les pourcentages</t>
  </si>
  <si>
    <t>Nom de la recette &gt;</t>
  </si>
  <si>
    <t>PUNCH</t>
  </si>
  <si>
    <t>POIDS de PERTE</t>
  </si>
  <si>
    <t>Poids brut</t>
  </si>
  <si>
    <t>Total :</t>
  </si>
  <si>
    <t>Pourcentages</t>
  </si>
  <si>
    <t>% Perte</t>
  </si>
  <si>
    <t>BRUT</t>
  </si>
  <si>
    <t>POIDS DE LA RECETTE A DÉCRYPTER &gt;</t>
  </si>
  <si>
    <t>Rhum</t>
  </si>
  <si>
    <t>Sucre de cannes</t>
  </si>
  <si>
    <t>Jus de pamplemousse</t>
  </si>
  <si>
    <t>Jus d'orange</t>
  </si>
  <si>
    <t>Citron vert</t>
  </si>
  <si>
    <t>conversion : volume Centilitres / poids</t>
  </si>
  <si>
    <t>Volume</t>
  </si>
  <si>
    <t>produit</t>
  </si>
  <si>
    <t>densité</t>
  </si>
  <si>
    <t>Eau</t>
  </si>
  <si>
    <t>lait entier</t>
  </si>
  <si>
    <t>Saisissez vos valeurs dans les cellules fond jaune</t>
  </si>
  <si>
    <t>lait 1/2 écrémé</t>
  </si>
  <si>
    <t>Nom de la recette</t>
  </si>
  <si>
    <t>POIDS DE LA RECETTE A DÉCRYPTER</t>
  </si>
  <si>
    <t>huile</t>
  </si>
  <si>
    <t>liste des produits</t>
  </si>
  <si>
    <t>Pourcentages des produits</t>
  </si>
  <si>
    <t>alcool</t>
  </si>
  <si>
    <t>Saisissez vos valeurs dans la cellule fond jaune encre rouge</t>
  </si>
  <si>
    <t>PESER SANS BALANCE (poids approximatifs) et généralement diffusés sur le net</t>
  </si>
  <si>
    <t>1 blanc d'œuf :</t>
  </si>
  <si>
    <t>environ 30 g.</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</si>
  <si>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</si>
  <si>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</si>
  <si>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</si>
  <si>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</si>
  <si>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</si>
  <si>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</si>
  <si>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</si>
  <si>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</si>
  <si>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</si>
  <si>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</si>
  <si>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1 jaune d'œuf :</t>
  </si>
  <si>
    <t>environ 18 g.</t>
  </si>
  <si>
    <t>cuil.Café.</t>
  </si>
  <si>
    <t>cuil.Café.  = à Café</t>
  </si>
  <si>
    <t>bol</t>
  </si>
  <si>
    <t>cuillère Café</t>
  </si>
  <si>
    <t>cuillère Soupe</t>
  </si>
  <si>
    <t>pot à yaourt</t>
  </si>
  <si>
    <t>1 œuf entier :</t>
  </si>
  <si>
    <t>environ 50 g.</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</si>
  <si>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</si>
  <si>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</si>
  <si>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</si>
  <si>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</si>
  <si>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</si>
  <si>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</si>
  <si>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</si>
  <si>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</si>
  <si>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</si>
  <si>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</si>
  <si>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</si>
  <si>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</si>
  <si>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</si>
  <si>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</si>
  <si>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</si>
  <si>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</si>
  <si>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</si>
  <si>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1 cuillère à soupe (tbsp ou c. à soupe)</t>
  </si>
  <si>
    <t>15 ml (liquide)</t>
  </si>
  <si>
    <t>14 g de sucre ou 15 g d'huile.</t>
  </si>
  <si>
    <t>1 cuillère à thé (tsp ou c. à thé)</t>
  </si>
  <si>
    <r>
      <t>5 ml</t>
    </r>
    <r>
      <rPr>
        <sz val="11"/>
        <color theme="1"/>
        <rFont val="Calibri"/>
        <family val="2"/>
        <scheme val="minor"/>
      </rPr>
      <t xml:space="preserve"> (liquide)</t>
    </r>
  </si>
  <si>
    <t>Équivaut à 4 g de sel ou 5 g de sucre.</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</si>
  <si>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</si>
  <si>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</si>
  <si>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</si>
  <si>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</si>
  <si>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</si>
  <si>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</si>
  <si>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</si>
  <si>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</si>
  <si>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</si>
  <si>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</si>
  <si>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</si>
  <si>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</si>
  <si>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</si>
  <si>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</si>
  <si>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</si>
  <si>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</si>
  <si>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1 litre (L)</t>
  </si>
  <si>
    <t>1000 ml ou environ 4 1/4 tasses.</t>
  </si>
  <si>
    <t>cuil.S.bom.</t>
  </si>
  <si>
    <t>cuil.S.bom = cuilère à Soupe.bombée</t>
  </si>
  <si>
    <t>cuil.C.bom.sucre.glace.3.g</t>
  </si>
  <si>
    <t>cuil.S.ras.beurre =15.g</t>
  </si>
  <si>
    <t>bol.moyen.</t>
  </si>
  <si>
    <t xml:space="preserve">v e r r e. </t>
  </si>
  <si>
    <t>verre.Moutarde</t>
  </si>
  <si>
    <t>1 once liquide (fl oz)</t>
  </si>
  <si>
    <t>30 ml.</t>
  </si>
  <si>
    <t>cuil.C.ras.sel=6.g</t>
  </si>
  <si>
    <t>cuil.S.ras.beurre fondu=12.g</t>
  </si>
  <si>
    <t>pot.ya.ras.semoule.90g</t>
  </si>
  <si>
    <t>bol.moy.ras.liquide.350g</t>
  </si>
  <si>
    <t>verreM.ras.huile=160g</t>
  </si>
  <si>
    <t>verreM.ras.cacao.90g</t>
  </si>
  <si>
    <t>pot.ya.ras.miel.150g</t>
  </si>
  <si>
    <t>1 pinte (pint) canadienne</t>
  </si>
  <si>
    <t>568 ml (différent de la pinte américaine de 473 ml).</t>
  </si>
  <si>
    <t>cuil.Mout.</t>
  </si>
  <si>
    <t>cuil.Mout.= à Moutarde</t>
  </si>
  <si>
    <t>cuil.S.bom.farine=20.g</t>
  </si>
  <si>
    <t>cuil.C.ras.sucre=4.g</t>
  </si>
  <si>
    <t>pot.ya.ras.riz.100g</t>
  </si>
  <si>
    <t>cuil.M.ras.</t>
  </si>
  <si>
    <t>cuil.M.ras.= cuillère à Moutarde rase</t>
  </si>
  <si>
    <t>cuil.S.ras.farine=10.g</t>
  </si>
  <si>
    <t>1 tasse (cup)</t>
  </si>
  <si>
    <r>
      <t>240 ml</t>
    </r>
    <r>
      <rPr>
        <sz val="11"/>
        <color theme="1"/>
        <rFont val="Calibri"/>
        <family val="2"/>
        <scheme val="minor"/>
      </rPr>
      <t xml:space="preserve"> </t>
    </r>
  </si>
  <si>
    <t>Sucre : 100 g</t>
  </si>
  <si>
    <t>cuil.M..bom.</t>
  </si>
  <si>
    <t>cuil.M.bom.= cuillère à Moutarde bombée</t>
  </si>
  <si>
    <t>mug...ras.beurre fondu.225.g</t>
  </si>
  <si>
    <t>verreM.ras.semoule=150g</t>
  </si>
  <si>
    <t>mug...ras.liquide.150.g</t>
  </si>
  <si>
    <t>pot.ya.ras.huile.120g</t>
  </si>
  <si>
    <t>Farine : 60 g</t>
  </si>
  <si>
    <t>cuil.S.bom.sucre=15.g</t>
  </si>
  <si>
    <t>verreM.ras.riz.160g</t>
  </si>
  <si>
    <t>Beurre : 113 g.</t>
  </si>
  <si>
    <t>cuil.Pota.</t>
  </si>
  <si>
    <t>cuil.Pota. = à Potage</t>
  </si>
  <si>
    <t>louch.ras.farine.50.g</t>
  </si>
  <si>
    <t>cuil.S.ras.sucre =10.g</t>
  </si>
  <si>
    <t>noix - noisette</t>
  </si>
  <si>
    <t>cuil.P.ras.</t>
  </si>
  <si>
    <t>cuil.P.ras = cuilère à Potage rase</t>
  </si>
  <si>
    <t>cuil.S.ras.sucre =15.g</t>
  </si>
  <si>
    <t>noi..sette de beurre 4g</t>
  </si>
  <si>
    <t>pot.ya.ras.liquide.150g</t>
  </si>
  <si>
    <t>1/4 tasse</t>
  </si>
  <si>
    <t>Sucre : 50 g</t>
  </si>
  <si>
    <t>cuil.P.bom.</t>
  </si>
  <si>
    <t>cuil.P.bom = cuilère à Potage bombée</t>
  </si>
  <si>
    <t>cuil.S.ras.sucre.glace =10.g</t>
  </si>
  <si>
    <t>n..o..i..x de beurre 15 g</t>
  </si>
  <si>
    <t>Farine : 30 g</t>
  </si>
  <si>
    <t>mug...bom.farine.150.g</t>
  </si>
  <si>
    <t>tasse.Café</t>
  </si>
  <si>
    <t>Beurre : 57 g.</t>
  </si>
  <si>
    <t>Teaspoon</t>
  </si>
  <si>
    <t>Teaspoon = tasse à thé</t>
  </si>
  <si>
    <t>mug...ras.farine.115.g</t>
  </si>
  <si>
    <t>tasse.Café.liquide.100g</t>
  </si>
  <si>
    <t>teasp.ras.</t>
  </si>
  <si>
    <t>teasp.ras.= Teaspoon rase</t>
  </si>
  <si>
    <t>louch.ras.sucre.70.g</t>
  </si>
  <si>
    <t>à quoi correspondent</t>
  </si>
  <si>
    <t>2 lbs</t>
  </si>
  <si>
    <t>1 Kg</t>
  </si>
  <si>
    <t>teasp.bom.</t>
  </si>
  <si>
    <t>teasp.bom= Teaspoon bombée</t>
  </si>
  <si>
    <t>verre.Liqueur</t>
  </si>
  <si>
    <t>pot.ya.bom.farine.150.g</t>
  </si>
  <si>
    <t>verreL.ras.liquide.30g</t>
  </si>
  <si>
    <t>ail en poudre</t>
  </si>
  <si>
    <t>¼ c. t.</t>
  </si>
  <si>
    <t>1 ml</t>
  </si>
  <si>
    <t xml:space="preserve">t a s s e. </t>
  </si>
  <si>
    <t>t a s s e. 10 lettres avec les espaces</t>
  </si>
  <si>
    <t>pot.ya.ras.farine.85.g</t>
  </si>
  <si>
    <t>mug...bom.sucre.220.g</t>
  </si>
  <si>
    <t>1 c.t.</t>
  </si>
  <si>
    <t>5 ml</t>
  </si>
  <si>
    <t>tasse.ras.</t>
  </si>
  <si>
    <t>tasse.ras.= tasse rase</t>
  </si>
  <si>
    <t>mug...ras.sucre.200.g</t>
  </si>
  <si>
    <t>tasse.bom.</t>
  </si>
  <si>
    <t>tasse.bom. = tasse bombée</t>
  </si>
  <si>
    <t>tasse</t>
  </si>
  <si>
    <t>verreM.ras.liquide.200g</t>
  </si>
  <si>
    <t>assaisonnement (mayonnaise légère,</t>
  </si>
  <si>
    <t>2 c. s.</t>
  </si>
  <si>
    <t>30 ml</t>
  </si>
  <si>
    <t xml:space="preserve">tasse.Mug. </t>
  </si>
  <si>
    <t>tasse.Mug. = tasse Mug</t>
  </si>
  <si>
    <t>tasse.bom.farine.60g</t>
  </si>
  <si>
    <t>assaisonnement (mayonnaise légère,Miracle Whip)</t>
  </si>
  <si>
    <t>1 c. s.</t>
  </si>
  <si>
    <t>15 ml</t>
  </si>
  <si>
    <t>tasse.ras.farine.40g</t>
  </si>
  <si>
    <t>pot.ya.ras.sucre.125.g</t>
  </si>
  <si>
    <t>v e r r e.  10 lettres avec les espaces</t>
  </si>
  <si>
    <t>bananes moyennes, écrasées vanille</t>
  </si>
  <si>
    <t>¾ tasse 2</t>
  </si>
  <si>
    <t>175 ml</t>
  </si>
  <si>
    <t>ve r r e.M</t>
  </si>
  <si>
    <t>ve r r e.M = verre à Moutarde</t>
  </si>
  <si>
    <t>verreM.ras.</t>
  </si>
  <si>
    <t>verreM.ras =  verre à Moutarde ras 10 lettres avec les espaces</t>
  </si>
  <si>
    <t>verre.M.bom.farine.120.g</t>
  </si>
  <si>
    <t>tasse.bom.sucre.150g</t>
  </si>
  <si>
    <t>basilic séché</t>
  </si>
  <si>
    <t>verreM.bom.</t>
  </si>
  <si>
    <t>verreM.bom =  verre à Moutarde bombé 10 lettres avec les espaces</t>
  </si>
  <si>
    <t>verre.M.ras.farine.100.g</t>
  </si>
  <si>
    <t>tasse.ras.sucre.90g</t>
  </si>
  <si>
    <t>L.ou.ches.</t>
  </si>
  <si>
    <t>Louches 10 lettres avec les points</t>
  </si>
  <si>
    <t>Beurre</t>
  </si>
  <si>
    <t>4 plaques standards de 227 g (au Canada et aux États-Unis).</t>
  </si>
  <si>
    <t>louch.ras.</t>
  </si>
  <si>
    <t>louch.ras. = louche rase</t>
  </si>
  <si>
    <t>verreM.bom.sucre.150g</t>
  </si>
  <si>
    <t>louch.bom.</t>
  </si>
  <si>
    <t>louch.bom. = louche bombée</t>
  </si>
  <si>
    <t>verreM.ras.sucre.110g</t>
  </si>
  <si>
    <t>bicarbonate de sodium</t>
  </si>
  <si>
    <t>1 c. t.</t>
  </si>
  <si>
    <t>½ c. t.</t>
  </si>
  <si>
    <t>2 ml</t>
  </si>
  <si>
    <t>pot.yaourt</t>
  </si>
  <si>
    <t>pot.ya.ras.</t>
  </si>
  <si>
    <t>pot à yaourt ras</t>
  </si>
  <si>
    <t>bœuf haché</t>
  </si>
  <si>
    <t>½ lb</t>
  </si>
  <si>
    <t>200 g</t>
  </si>
  <si>
    <t>pot.ya.bom.</t>
  </si>
  <si>
    <t>pot à yaourt bombé</t>
  </si>
  <si>
    <t>bouillon de poule à teneur réduite en sodium</t>
  </si>
  <si>
    <t>4 tasses</t>
  </si>
  <si>
    <t>1 l</t>
  </si>
  <si>
    <t>bol moyen</t>
  </si>
  <si>
    <t>bouillon de poulet à teneur réduite en sodium*</t>
  </si>
  <si>
    <t>3 tasses</t>
  </si>
  <si>
    <t>750 ml</t>
  </si>
  <si>
    <t>bol.moy.ras.</t>
  </si>
  <si>
    <t>bol moyen ras</t>
  </si>
  <si>
    <t>bol.moy.bom.</t>
  </si>
  <si>
    <t>bol moyen bombé</t>
  </si>
  <si>
    <t>branche de céleri (optionnel)</t>
  </si>
  <si>
    <t>m ..u. .g.</t>
  </si>
  <si>
    <t>Mug 10 lettres avec les points</t>
  </si>
  <si>
    <t>brocolis, hachés</t>
  </si>
  <si>
    <t>1 petit bouquet</t>
  </si>
  <si>
    <t>mug...ras.</t>
  </si>
  <si>
    <t>Mug.ras.10 lettres avec les points</t>
  </si>
  <si>
    <t>cannelle</t>
  </si>
  <si>
    <t>mug...bom.</t>
  </si>
  <si>
    <t>Mug.bombé.10 lettres avec les points</t>
  </si>
  <si>
    <t>carotte, coupée en dés jambon, haché</t>
  </si>
  <si>
    <t>céleri, tranché finement</t>
  </si>
  <si>
    <t>1 branche</t>
  </si>
  <si>
    <t>Pourquoi 10 lettres , si vous voulez utiliser ces valeurs avec des fonctions de recherche gauche - droite</t>
  </si>
  <si>
    <t>champignons</t>
  </si>
  <si>
    <t>2 1/2 tasses</t>
  </si>
  <si>
    <t>625 ml</t>
  </si>
  <si>
    <t xml:space="preserve">si vous vouler concatener  ou extraite du texte il faut que ce texte ait le même nombre de lettre ou d'espace </t>
  </si>
  <si>
    <t>(un espace ou un point sont comptés comme une lettre)</t>
  </si>
  <si>
    <t>chapelure</t>
  </si>
  <si>
    <t>50 ml</t>
  </si>
  <si>
    <t>t. tasse</t>
  </si>
  <si>
    <t>chapelure ou 1 tranche de pain de blé entier,</t>
  </si>
  <si>
    <t>¼ tasse</t>
  </si>
  <si>
    <t>60 ml</t>
  </si>
  <si>
    <t>c. s. cuillère à soupe</t>
  </si>
  <si>
    <t>(1 portion = 1 tasse ou 250 ml)</t>
  </si>
  <si>
    <t>cheddar, en lanières</t>
  </si>
  <si>
    <t xml:space="preserve"> (1 portion = ½ tasse ou 125 ml</t>
  </si>
  <si>
    <t>chili en poudre</t>
  </si>
  <si>
    <t xml:space="preserve"> 400°F (205°C). </t>
  </si>
  <si>
    <t>chili en poudre (optionnel)</t>
  </si>
  <si>
    <t>d’un demi-pouce (1,5 cm).</t>
  </si>
  <si>
    <t xml:space="preserve"> 350°F (180°C)</t>
  </si>
  <si>
    <t>chou, haché</t>
  </si>
  <si>
    <t>2 tasses</t>
  </si>
  <si>
    <t>500 ml</t>
  </si>
  <si>
    <t>Conversion de base :</t>
  </si>
  <si>
    <t xml:space="preserve">1 lb (livre) </t>
  </si>
  <si>
    <t>453,6 g.</t>
  </si>
  <si>
    <t xml:space="preserve">Guide alimentaire Canadien </t>
  </si>
  <si>
    <t>https://guide-alimentaire.canada.ca/fr/</t>
  </si>
  <si>
    <t xml:space="preserve">2 lbs </t>
  </si>
  <si>
    <t>453,6 g × 2 = 907,2 g.ou 0,907 kilogramme.</t>
  </si>
  <si>
    <t>la bonne cuisine raisonnée</t>
  </si>
  <si>
    <t>https://books.google.fr/books?id=ldcKa0614jAC&amp;newbks=1&amp;newbks_redir=0&amp;printsec=frontcover</t>
  </si>
  <si>
    <t>Publication de DK-Coaching</t>
  </si>
  <si>
    <t>https://www.facebook.com/DKcoaching.prepa/posts/conna%C3%AEtre-les-%C3%A9quivalences-poids-crucuit-voil%C3%A0-un-post-qui-jesp%C3%A8re-te-sembleras-/1103043807120035/</t>
  </si>
  <si>
    <t>crème 10% mg</t>
  </si>
  <si>
    <t>125 ml</t>
  </si>
  <si>
    <t>EQUIVALENCES CRU//CUIT</t>
  </si>
  <si>
    <t>https://fr.pinterest.com/brigittek80/equivalences-crucuit/</t>
  </si>
  <si>
    <t>crème sure légère</t>
  </si>
  <si>
    <t>Equivalence poids cru et cuit?</t>
  </si>
  <si>
    <t>https://faq.croq-kilos.com/hc/fr/articles/360018894799-Equivalence-poids-cru-et-cuit</t>
  </si>
  <si>
    <t>Publication de EcoloSophie</t>
  </si>
  <si>
    <t>https://www.facebook.com/ecolosophie/posts/toujours-int%C3%A9ressant-de-savoir-l%C3%A9quivalence-entre-cuit-et-cru/2819013355067283/</t>
  </si>
  <si>
    <t>eau froide</t>
  </si>
  <si>
    <t>1½ c. s.</t>
  </si>
  <si>
    <t>25 ml</t>
  </si>
  <si>
    <t>Équivalences Cru/Cuit</t>
  </si>
  <si>
    <t>https://fatsecretfrance.fr/astuces-et-conseils/equivalences-cru-cuit/</t>
  </si>
  <si>
    <t>eau tiède</t>
  </si>
  <si>
    <t>1/3 tasse</t>
  </si>
  <si>
    <t>75 ml</t>
  </si>
  <si>
    <t>% pertes viande</t>
  </si>
  <si>
    <t>http://dieteticienne.over-blog.com/article-pourcentage-de-dechets-des-viandes-97921565.html?utm_source=chatgpt.com</t>
  </si>
  <si>
    <t>L'alimentation durable à Bruxelles</t>
  </si>
  <si>
    <t>https://environnement.brussels/citoyen/outils-et-donnees/sites-web-et-outils/lalimentation-durable-bruxelles</t>
  </si>
  <si>
    <t>extrait de vanille</t>
  </si>
  <si>
    <t>Modification du critère  (grammages de viande)</t>
  </si>
  <si>
    <t>https://goodfood.brussels/fr/news/modification-du-critere-de-lassiette-equilibree-grammages-de-viande-du-label-cantine-good-food?domain=cit</t>
  </si>
  <si>
    <t xml:space="preserve">un Vade-mecum Cantine Good Food </t>
  </si>
  <si>
    <t>https://goodfood.brussels/sites/default/files/inline-files/Vademecum%20cantines%20FR%20-%2020240828.pdf</t>
  </si>
  <si>
    <t>farine de blé entier</t>
  </si>
  <si>
    <t>1 tasse</t>
  </si>
  <si>
    <t>250 ml</t>
  </si>
  <si>
    <t>½ tasse</t>
  </si>
  <si>
    <t>Vos portions dans le creux de la main</t>
  </si>
  <si>
    <t xml:space="preserve">Le Guide alimentaire canadien recommande que nous mangions chaque jour un certain nombre </t>
  </si>
  <si>
    <t>farine tous usages</t>
  </si>
  <si>
    <t xml:space="preserve">½ tasse </t>
  </si>
  <si>
    <t>de portions d’aliments appartenant aux quatre groupes alimentaires. Mais qu’est-ce qu’une portion?</t>
  </si>
  <si>
    <t>Les portions recommandées par Le Guide alimentaire canadien sont appelées « portions du Guide alimentaire ».</t>
  </si>
  <si>
    <t xml:space="preserve"> Elles sont de taille différente des portions que nous mangeons en réalité. </t>
  </si>
  <si>
    <t>fécule de maïs</t>
  </si>
  <si>
    <t>Une portion réelle d’un aliment peut être égale à une portion du Guide alimentaire ou plus.</t>
  </si>
  <si>
    <t>flocons d’avoine</t>
  </si>
  <si>
    <t>Votre main est très utile pour comprendre ce que représente une portion du Guide alimentaire.</t>
  </si>
  <si>
    <t>fromage cottage</t>
  </si>
  <si>
    <t>fromage rapé</t>
  </si>
  <si>
    <t>Fruits ou légumes</t>
  </si>
  <si>
    <t>environ 6 à 8 pommes moyennes ou 10 à 12 petites tomates.</t>
  </si>
  <si>
    <t>gingembre (optionnel), haché fin</t>
  </si>
  <si>
    <t>haricots communs rincés</t>
  </si>
  <si>
    <t>28 oz</t>
  </si>
  <si>
    <t>796 ml</t>
  </si>
  <si>
    <t>haricots communs, rincés</t>
  </si>
  <si>
    <t>19 oz (conserve)</t>
  </si>
  <si>
    <t>540 ml</t>
  </si>
  <si>
    <t>14 oz</t>
  </si>
  <si>
    <t>398 ml</t>
  </si>
  <si>
    <t>haricots jaunes, rincés</t>
  </si>
  <si>
    <t>¾ tasse</t>
  </si>
  <si>
    <t>200 ml</t>
  </si>
  <si>
    <t>haricots verts congelés</t>
  </si>
  <si>
    <t>huile de canola</t>
  </si>
  <si>
    <t>1½ c. t.</t>
  </si>
  <si>
    <t>7 ml</t>
  </si>
  <si>
    <t>2c.s.</t>
  </si>
  <si>
    <t>1/8 tasse</t>
  </si>
  <si>
    <t>40 ml</t>
  </si>
  <si>
    <t>ketchup</t>
  </si>
  <si>
    <t>3 c. s.</t>
  </si>
  <si>
    <t>45 ml</t>
  </si>
  <si>
    <t>lait ou eau</t>
  </si>
  <si>
    <t>liquide (choisir parmi l’eau, le jus de tomate, le bouillon de légumes ou le lait)</t>
  </si>
  <si>
    <t>margarine molle non-hydrogénée</t>
  </si>
  <si>
    <t>2 c. t.</t>
  </si>
  <si>
    <t>10 m</t>
  </si>
  <si>
    <t>mélasse</t>
  </si>
  <si>
    <t>mozarella en lanières</t>
  </si>
  <si>
    <t>125 ml 65g</t>
  </si>
  <si>
    <t>noix de muscade</t>
  </si>
  <si>
    <t>nouilles de blé entier non cuites (n’importe quelle sorte)</t>
  </si>
  <si>
    <t>1 L</t>
  </si>
  <si>
    <t>nouilles de blé entier, non cuites petits pois congelés</t>
  </si>
  <si>
    <t>oignon</t>
  </si>
  <si>
    <t>oignon, haché</t>
  </si>
  <si>
    <t>origan séché</t>
  </si>
  <si>
    <t>persil séché</t>
  </si>
  <si>
    <t>1 c.s.</t>
  </si>
  <si>
    <t>pois cassés secs</t>
  </si>
  <si>
    <t>pois chiches, rincés</t>
  </si>
  <si>
    <t>poivre moulu</t>
  </si>
  <si>
    <t>1 /4 c.t.</t>
  </si>
  <si>
    <t>poudre à pâte</t>
  </si>
  <si>
    <t>10 ml</t>
  </si>
  <si>
    <t>poulet cuit</t>
  </si>
  <si>
    <t>75 g</t>
  </si>
  <si>
    <t>purée de tomate</t>
  </si>
  <si>
    <t>raisins secs</t>
  </si>
  <si>
    <t>salsa</t>
  </si>
  <si>
    <t>sauce au soja</t>
  </si>
  <si>
    <t>sauce tomate</t>
  </si>
  <si>
    <t>sauce Worcestershire</t>
  </si>
  <si>
    <t>saumon en conserve</t>
  </si>
  <si>
    <t>1/2 c.t.</t>
  </si>
  <si>
    <t>son de blé</t>
  </si>
  <si>
    <t>soupe à la crème de champignon</t>
  </si>
  <si>
    <t>½ boîte de 10,5 oz</t>
  </si>
  <si>
    <t>142 ml</t>
  </si>
  <si>
    <t>sucre blanc</t>
  </si>
  <si>
    <t>3/4 tasse</t>
  </si>
  <si>
    <t>sucre brun</t>
  </si>
  <si>
    <t>thon</t>
  </si>
  <si>
    <t>1-6 oz</t>
  </si>
  <si>
    <t>170 g</t>
  </si>
  <si>
    <t>thon en conserve</t>
  </si>
  <si>
    <t>thym</t>
  </si>
  <si>
    <t>thym séché</t>
  </si>
  <si>
    <t>tomate en conserve</t>
  </si>
  <si>
    <t>1 1/2 tasses</t>
  </si>
  <si>
    <t>375 ml</t>
  </si>
  <si>
    <t>tomates en conserve</t>
  </si>
  <si>
    <t>Viande ou poisson</t>
  </si>
  <si>
    <t>environ 907 g</t>
  </si>
  <si>
    <t>vinaigre</t>
  </si>
  <si>
    <t>Table de correspondance courante :</t>
  </si>
  <si>
    <t xml:space="preserve">Mesure canadienne </t>
  </si>
  <si>
    <t xml:space="preserve">Beurre (g) </t>
  </si>
  <si>
    <t>227 g</t>
  </si>
  <si>
    <t>Beurre (g)</t>
  </si>
  <si>
    <t xml:space="preserve"> 1/2 tasse</t>
  </si>
  <si>
    <t>113 g</t>
  </si>
  <si>
    <t>57 g</t>
  </si>
  <si>
    <t>Farine (g)</t>
  </si>
  <si>
    <t>120 g</t>
  </si>
  <si>
    <t>60 g</t>
  </si>
  <si>
    <t>30 g</t>
  </si>
  <si>
    <t xml:space="preserve">Farine (g)) </t>
  </si>
  <si>
    <t>1 c. à soupe</t>
  </si>
  <si>
    <t>9 g</t>
  </si>
  <si>
    <t xml:space="preserve">Farine (g) </t>
  </si>
  <si>
    <t>1 c. à thé</t>
  </si>
  <si>
    <t>3 g</t>
  </si>
  <si>
    <t xml:space="preserve">Liquides (ml) </t>
  </si>
  <si>
    <t>240 ml</t>
  </si>
  <si>
    <t>120 ml</t>
  </si>
  <si>
    <t>Sucre (g)</t>
  </si>
  <si>
    <t>100 g</t>
  </si>
  <si>
    <t>50 g</t>
  </si>
  <si>
    <t>14 g</t>
  </si>
  <si>
    <t>4 g</t>
  </si>
  <si>
    <t>Comment copier une formule Excel pour la poser dans ChatGPT</t>
  </si>
  <si>
    <t>1. Cliquez sur la cellule contenant la formule.</t>
  </si>
  <si>
    <r>
      <t xml:space="preserve">2. Dans la barre de formule d’Excel, supprimez le signe </t>
    </r>
    <r>
      <rPr>
        <sz val="10"/>
        <color theme="1"/>
        <rFont val="Arial Unicode MS"/>
      </rPr>
      <t>=</t>
    </r>
    <r>
      <rPr>
        <sz val="11"/>
        <color theme="1"/>
        <rFont val="Calibri"/>
        <family val="2"/>
        <scheme val="minor"/>
      </rPr>
      <t xml:space="preserve"> au début de la formule.</t>
    </r>
  </si>
  <si>
    <t>3. La formule devient un simple texte.</t>
  </si>
  <si>
    <r>
      <t xml:space="preserve">4. Copiez ce texte et collez-le dans votre question en remplaçant </t>
    </r>
    <r>
      <rPr>
        <b/>
        <sz val="11"/>
        <color theme="1"/>
        <rFont val="Calibri"/>
        <family val="2"/>
        <scheme val="minor"/>
      </rPr>
      <t>[insérez la formule ici]</t>
    </r>
    <r>
      <rPr>
        <sz val="11"/>
        <color theme="1"/>
        <rFont val="Calibri"/>
        <family val="2"/>
        <scheme val="minor"/>
      </rPr>
      <t>.</t>
    </r>
  </si>
  <si>
    <t>"Peux-tu m'expliquer cette formule Excel =                     [insérerz  la formule à la place de ce texte]              ? Quels sont ses composants et comment fonctionne-t-elle ?</t>
  </si>
  <si>
    <t>Ainsi, ChatGPT pourra analyser et expliquer la formule correctement. 😊</t>
  </si>
  <si>
    <t>"Peux-tu m'expliquer cette formule Excel = ["colonnes du Postit "&amp;SOMME(I44:L44)&amp;" (X 7 + 5 )"&amp;" ="&amp;" "&amp;SOMME(I44:L44*7)+5&amp;" pixels"] ? Quels sont ses composants et comment fonctionne-t-elle ?</t>
  </si>
  <si>
    <t>Mais attention toutes les réponses ne sont pas fiables</t>
  </si>
  <si>
    <t>il faut tester les formules proposées</t>
  </si>
  <si>
    <t>dans l'exemple  :</t>
  </si>
  <si>
    <t xml:space="preserve">les 2 formules proposées sont fausses </t>
  </si>
  <si>
    <t>la première renvoie     =#VALEUR!="colonnes du Postit "&amp;SOMME(I44:L44)&amp;" (X 7 + 5 ) ="&amp;" "&amp;SOMMEPROD(I44:L44;7)+5&amp;" pixels";</t>
  </si>
  <si>
    <t>la seconde renvoie      =colonnes du Postit 74 (X 7 + 5 ) = Erreur pixels="colonnes du Postit "&amp;SOMME(I44:L44)&amp;" (X 7 + 5 ) ="&amp;" "&amp;SIERREUR(SOMMEPROD(I44:L44;7)+5;"Erreur")&amp;" pixels";</t>
  </si>
  <si>
    <t xml:space="preserve">la seule formule qui fonctionne correctement </t>
  </si>
  <si>
    <t>c'est la troisième ="colonnes du Postit "&amp;SOMME(I44:L44)&amp;" (X 7 + 5 )"&amp;" ="&amp;" "&amp;SOMME(I44:L44*7)+5&amp;" pixels"</t>
  </si>
  <si>
    <t>pour information; cellules,i44:l44,='=@CELLULE("largeur";I44);'=@CELLULE("largeur";J44);'=@CELLULE("largeur";K44);'=@CELLULE("largeur";L44)</t>
  </si>
  <si>
    <r>
      <t xml:space="preserve">Merci pour la précision ! Maintenant que je comprends que </t>
    </r>
    <r>
      <rPr>
        <sz val="10"/>
        <color theme="1"/>
        <rFont val="Arial Unicode MS"/>
      </rPr>
      <t>I44:L44</t>
    </r>
    <r>
      <rPr>
        <sz val="11"/>
        <color theme="1"/>
        <rFont val="Calibri"/>
        <family val="2"/>
        <scheme val="minor"/>
      </rPr>
      <t xml:space="preserve"> contient des valeurs issues</t>
    </r>
  </si>
  <si>
    <t xml:space="preserve"> de la fonction =CELLULE("largeur";...), cela explique pourquoi certaines formules échouent.</t>
  </si>
  <si>
    <t>Pourquoi les formules initiales échouent ?</t>
  </si>
  <si>
    <r>
      <t xml:space="preserve">1. Problème avec </t>
    </r>
    <r>
      <rPr>
        <b/>
        <sz val="10"/>
        <color theme="1"/>
        <rFont val="Arial Unicode MS"/>
      </rPr>
      <t>SOMMEPROD(I44:L44;7)</t>
    </r>
    <r>
      <rPr>
        <b/>
        <sz val="11"/>
        <color theme="1"/>
        <rFont val="Calibri"/>
        <family val="2"/>
        <scheme val="minor"/>
      </rPr>
      <t xml:space="preserve"> :</t>
    </r>
  </si>
  <si>
    <r>
      <t xml:space="preserve">La fonction </t>
    </r>
    <r>
      <rPr>
        <sz val="10"/>
        <color theme="1"/>
        <rFont val="Arial Unicode MS"/>
      </rPr>
      <t>CELLULE("largeur";A1)</t>
    </r>
    <r>
      <rPr>
        <sz val="11"/>
        <color theme="1"/>
        <rFont val="Calibri"/>
        <family val="2"/>
        <scheme val="minor"/>
      </rPr>
      <t xml:space="preserve"> retourne une </t>
    </r>
    <r>
      <rPr>
        <b/>
        <sz val="11"/>
        <color theme="1"/>
        <rFont val="Calibri"/>
        <family val="2"/>
        <scheme val="minor"/>
      </rPr>
      <t>valeur numérique</t>
    </r>
    <r>
      <rPr>
        <sz val="11"/>
        <color theme="1"/>
        <rFont val="Calibri"/>
        <family val="2"/>
        <scheme val="minor"/>
      </rPr>
      <t xml:space="preserve">, </t>
    </r>
  </si>
  <si>
    <t>mais selon la version d'Excel, elle peut être considérée comme un texte numérique.</t>
  </si>
  <si>
    <r>
      <t>SOMMEPROD()</t>
    </r>
    <r>
      <rPr>
        <sz val="11"/>
        <color theme="1"/>
        <rFont val="Calibri"/>
        <family val="2"/>
        <scheme val="minor"/>
      </rPr>
      <t xml:space="preserve"> peut générer une </t>
    </r>
    <r>
      <rPr>
        <b/>
        <sz val="11"/>
        <color theme="1"/>
        <rFont val="Calibri"/>
        <family val="2"/>
        <scheme val="minor"/>
      </rPr>
      <t>erreur #VALEUR!</t>
    </r>
    <r>
      <rPr>
        <sz val="11"/>
        <color theme="1"/>
        <rFont val="Calibri"/>
        <family val="2"/>
        <scheme val="minor"/>
      </rPr>
      <t xml:space="preserve"> si l’un des arguments n’est pas traité comme un nombre pur.</t>
    </r>
  </si>
  <si>
    <r>
      <t xml:space="preserve">2. Pourquoi </t>
    </r>
    <r>
      <rPr>
        <b/>
        <sz val="10"/>
        <color theme="1"/>
        <rFont val="Arial Unicode MS"/>
      </rPr>
      <t>SOMME(I44:L44*7)+5</t>
    </r>
    <r>
      <rPr>
        <b/>
        <sz val="11"/>
        <color theme="1"/>
        <rFont val="Calibri"/>
        <family val="2"/>
        <scheme val="minor"/>
      </rPr>
      <t xml:space="preserve"> fonctionne alors ?</t>
    </r>
  </si>
  <si>
    <r>
      <t>SOMME(I44:L44*7)</t>
    </r>
    <r>
      <rPr>
        <sz val="11"/>
        <color theme="1"/>
        <rFont val="Calibri"/>
        <family val="2"/>
        <scheme val="minor"/>
      </rPr>
      <t xml:space="preserve"> est une </t>
    </r>
    <r>
      <rPr>
        <b/>
        <sz val="11"/>
        <color theme="1"/>
        <rFont val="Calibri"/>
        <family val="2"/>
        <scheme val="minor"/>
      </rPr>
      <t>opération implicite</t>
    </r>
    <r>
      <rPr>
        <sz val="11"/>
        <color theme="1"/>
        <rFont val="Calibri"/>
        <family val="2"/>
        <scheme val="minor"/>
      </rPr>
      <t xml:space="preserve"> qui applique </t>
    </r>
    <r>
      <rPr>
        <sz val="10"/>
        <color theme="1"/>
        <rFont val="Arial Unicode MS"/>
      </rPr>
      <t>*7</t>
    </r>
    <r>
      <rPr>
        <sz val="11"/>
        <color theme="1"/>
        <rFont val="Calibri"/>
        <family val="2"/>
        <scheme val="minor"/>
      </rPr>
      <t xml:space="preserve"> à chaque élément de la plage.</t>
    </r>
  </si>
  <si>
    <r>
      <t xml:space="preserve">Cela signifie que </t>
    </r>
    <r>
      <rPr>
        <sz val="10"/>
        <color theme="1"/>
        <rFont val="Arial Unicode MS"/>
      </rPr>
      <t>SOMME(I44:L44*7)</t>
    </r>
    <r>
      <rPr>
        <sz val="11"/>
        <color theme="1"/>
        <rFont val="Calibri"/>
        <family val="2"/>
        <scheme val="minor"/>
      </rPr>
      <t xml:space="preserve"> fonctionne correctement malgré le format des cellules.</t>
    </r>
  </si>
  <si>
    <t>Conclusion</t>
  </si>
  <si>
    <t>La bonne formule est bien celle-ci :</t>
  </si>
  <si>
    <t>"colonnes du Postit "&amp;SOMME(I44:L44)&amp;" (X 7 + 5 )"&amp;" ="&amp;" "&amp;SOMME(I44:L44*7)+5&amp;" pixels"</t>
  </si>
  <si>
    <r>
      <t xml:space="preserve">🚀 Cette approche exploite le fait qu’Excel sait gérer l’opération </t>
    </r>
    <r>
      <rPr>
        <sz val="10"/>
        <color theme="1"/>
        <rFont val="Arial Unicode MS"/>
      </rPr>
      <t>I44:L44*7</t>
    </r>
    <r>
      <rPr>
        <sz val="11"/>
        <color theme="1"/>
        <rFont val="Calibri"/>
        <family val="2"/>
        <scheme val="minor"/>
      </rPr>
      <t xml:space="preserve"> correctement lors de l’évaluation.</t>
    </r>
  </si>
  <si>
    <t>Merci pour cette clarification intéressante ! 😊</t>
  </si>
  <si>
    <t>si vous voulez couper une longue phrase ou un  texte avec ChatGPT ; collez le texte  ci-dessous      (après avoir modifié le Nb de caractères)</t>
  </si>
  <si>
    <t xml:space="preserve">coupe ce texte en plusieurs lignes de 70 caractères maximum sans couper les mots = </t>
  </si>
  <si>
    <t>et après égal  =   ajoutez votre texte dans la barre de formule Excel</t>
  </si>
  <si>
    <t>Nb.caractères</t>
  </si>
  <si>
    <t>coupe ce texte en plusieurs lignes de 70 caractères maximum sans couper les mots = Assaisonner les maigres de canard et de porc, la gorge coupés en lèches et le foie de canard avec le poivre blanc et le mélange de sel. Eplucher les poires, les citronner légèrement.Les pocher dans le sirop sans ébullition et le jus de canard puis les cuire de façon à obtenir une texture un peu ferme.Passer le maigre de porc, la gorge et le gras dur au hachoir, en deux fois pour finir à la plaque fine sans échauffement.Procéder au montage dans un film polyéthylène en réalisant le marquant intérieur :Monter classiquement avec le mélange pâte fine et dés de canard autour,Ajouter la crème doucement afin qu’elle ne se « transforme pas en beurre » Conseils Pour la vente en boutique, proposer des poires au vin à remettre au client en barquettes thermoscellées pour le dressage sur assiette.</t>
  </si>
  <si>
    <t>puis collez l'ensemble dans Chat GPT</t>
  </si>
  <si>
    <t>Assaisonner les maigres de canard et de porc, la gorge coupés en</t>
  </si>
  <si>
    <t>lèches et le foie de canard avec le poivre blanc et le mélange de sel.</t>
  </si>
  <si>
    <t>Éplucher les poires, les citronner légèrement. Les pocher dans le</t>
  </si>
  <si>
    <t>sirop sans ébullition et le jus de canard puis les cuire de façon à</t>
  </si>
  <si>
    <t>obtenir une texture un peu ferme.</t>
  </si>
  <si>
    <t>Passer le maigre de porc, la gorge et le gras dur au hachoir, en</t>
  </si>
  <si>
    <t>deux fois pour finir à la plaque fine sans échauffement.</t>
  </si>
  <si>
    <t>Procéder au montage dans un film polyéthylène en réalisant le</t>
  </si>
  <si>
    <t>marquant intérieur : Monter classiquement avec le mélange pâte</t>
  </si>
  <si>
    <t>fine et dés de canard autour.</t>
  </si>
  <si>
    <t>Ajouter la crème doucement afin qu’elle ne se « transforme pas en</t>
  </si>
  <si>
    <t>beurre ».</t>
  </si>
  <si>
    <t>Conseils</t>
  </si>
  <si>
    <t>Pour la vente en boutique, proposer des poires au vin à remettre au</t>
  </si>
  <si>
    <t>client en barquettes thermoscellées pour le dressage sur assiette.</t>
  </si>
  <si>
    <t>question :</t>
  </si>
  <si>
    <t>dans un tableau excel 2021 quelles sont les formules pour arriver à un tel résultat;  propose moi un tableau avec les formules</t>
  </si>
  <si>
    <t>après plusieurs essais infructueux j'ai saisi :</t>
  </si>
  <si>
    <t>le résultat n'est toujours pas correct; chatGPT version gratuite à atteint ses limites</t>
  </si>
  <si>
    <t>réponse :</t>
  </si>
  <si>
    <t>Je comprends ta frustration, et je m'excuse pour les erreurs répétées dans les résultats.</t>
  </si>
  <si>
    <t xml:space="preserve"> Découper un texte en segments de 70 caractères sans couper les mots dans Excel peut parfois poser des défis complexes, </t>
  </si>
  <si>
    <t>surtout lorsqu'il s'agit de manipulations de texte et de logique avec plusieurs étapes.</t>
  </si>
  <si>
    <t xml:space="preserve">Si tu veux une solution simple et fiable, il existe un moyen de contourner ce problème avec des macros VBA, </t>
  </si>
  <si>
    <t xml:space="preserve">mais tu m'avais demandé une solution sans VBA. Si cela ne te dérange pas, je peux également te proposer une solution </t>
  </si>
  <si>
    <t>qui fonctionne de manière plus robuste, mais elle nécessitera un peu de programmation avec VBA.</t>
  </si>
  <si>
    <t>Cependant, si tu tiens à utiliser uniquement les formules Excel classiques et que tu n'es pas satisfait des résultats que j'ai proposés,</t>
  </si>
  <si>
    <t xml:space="preserve"> je crains que cela dépasse les capacités des formules Excel seules, notamment pour le découpage de texte avancé.</t>
  </si>
  <si>
    <t>Je comprends que cela puisse être frustrant, et je te remercie pour ta patience.</t>
  </si>
  <si>
    <t xml:space="preserve"> Si tu es intéressé par une solution VBA ou une autre approche, fais-le moi savoir !</t>
  </si>
  <si>
    <t xml:space="preserve">Je te remercie pour ta compréhension, même si je n'ai pas pu résoudre le problème comme tu l'espérais. </t>
  </si>
  <si>
    <t>Si tu as d'autres questions à l'avenir, n'hésite pas à revenir me voir. Je serai là pour t'aider autant que possible !</t>
  </si>
  <si>
    <t>Bonne continuation et à bientôt ! 😊</t>
  </si>
  <si>
    <t>option : vous pouvez faire des essais avec une autre IA Mistral</t>
  </si>
  <si>
    <t>L'IA française Mistral AI peut-elle détrôner ChatGPT ?</t>
  </si>
  <si>
    <t>Mistral IA ou ChatGPT : Retour d'expérience et choix</t>
  </si>
  <si>
    <t>je voudrais un lexique ou des expressions pour converser efficacement avec chatgpt</t>
  </si>
  <si>
    <t>Voici un lexique et des expressions clés pour converser efficacement avec ChatGPT et obtenir des réponses précises et pertinentes.</t>
  </si>
  <si>
    <t>📌 1. Exprimer clairement votre besoin</t>
  </si>
  <si>
    <t>📌 1. Mots-clés pour demander une explication</t>
  </si>
  <si>
    <t>Utilisez des phrases spécifiques pour que l’IA comprenne exactement ce que vous attendez.</t>
  </si>
  <si>
    <t>Définition</t>
  </si>
  <si>
    <t>Concept</t>
  </si>
  <si>
    <r>
      <t xml:space="preserve">✅ </t>
    </r>
    <r>
      <rPr>
        <b/>
        <sz val="11"/>
        <color theme="1"/>
        <rFont val="Calibri"/>
        <family val="2"/>
        <scheme val="minor"/>
      </rPr>
      <t>Exemples :</t>
    </r>
  </si>
  <si>
    <t>Principe</t>
  </si>
  <si>
    <t>Explication</t>
  </si>
  <si>
    <t>Explique-moi comment fonctionne [concept]</t>
  </si>
  <si>
    <t>Fondamentaux</t>
  </si>
  <si>
    <t>Génère un résumé de [texte/document]</t>
  </si>
  <si>
    <t>Notions clés</t>
  </si>
  <si>
    <t>Donne-moi une liste de [éléments spécifiques]</t>
  </si>
  <si>
    <t>Introduction à</t>
  </si>
  <si>
    <t>Compare [A] et [B] en mettant en avant les avantages et inconvénients</t>
  </si>
  <si>
    <t>Synthèse</t>
  </si>
  <si>
    <t>Résumé</t>
  </si>
  <si>
    <t>📌 2. Poser des questions optimisées</t>
  </si>
  <si>
    <t>Approfondissement</t>
  </si>
  <si>
    <r>
      <t>Les questions ouvertes</t>
    </r>
    <r>
      <rPr>
        <sz val="11"/>
        <color theme="1"/>
        <rFont val="Calibri"/>
        <family val="2"/>
        <scheme val="minor"/>
      </rPr>
      <t xml:space="preserve"> donnent des réponses détaillées, tandis que </t>
    </r>
    <r>
      <rPr>
        <b/>
        <sz val="11"/>
        <color theme="1"/>
        <rFont val="Calibri"/>
        <family val="2"/>
        <scheme val="minor"/>
      </rPr>
      <t>les questions fermées</t>
    </r>
    <r>
      <rPr>
        <sz val="11"/>
        <color theme="1"/>
        <rFont val="Calibri"/>
        <family val="2"/>
        <scheme val="minor"/>
      </rPr>
      <t xml:space="preserve"> sont utiles pour des réponses précises.</t>
    </r>
  </si>
  <si>
    <t>📌 2. Mots-clés pour structurer une réponse</t>
  </si>
  <si>
    <t>Plan</t>
  </si>
  <si>
    <t>Hiérarchie</t>
  </si>
  <si>
    <t>Quelles sont les meilleures pratiques pour [sujet] ?</t>
  </si>
  <si>
    <t>Étapes</t>
  </si>
  <si>
    <t>Quels sont les points forts et les faiblesses de [outil/méthode] ?</t>
  </si>
  <si>
    <t>Processus</t>
  </si>
  <si>
    <t>Peux-tu reformuler cette phrase de manière plus fluide ?</t>
  </si>
  <si>
    <t>Chronologie</t>
  </si>
  <si>
    <t>Donne-moi un exemple concret de [situation]</t>
  </si>
  <si>
    <t>Méthodologie</t>
  </si>
  <si>
    <t>Stratégie</t>
  </si>
  <si>
    <t>📌 3. Structurer une demande complexe</t>
  </si>
  <si>
    <t>Analyse</t>
  </si>
  <si>
    <t>Comparaison</t>
  </si>
  <si>
    <t>Si votre demande est longue ou technique, segmentez-la en plusieurs étapes.</t>
  </si>
  <si>
    <t>Classification</t>
  </si>
  <si>
    <t>📌 3. Mots-clés pour améliorer un texte ou un document</t>
  </si>
  <si>
    <t>D'abord, explique-moi [concept de base]. Ensuite, détaille les applications avancées.</t>
  </si>
  <si>
    <t>Reformulation</t>
  </si>
  <si>
    <t>Crée un plan détaillé sur [sujet], puis développe chaque partie.</t>
  </si>
  <si>
    <t>Correction</t>
  </si>
  <si>
    <t>Analyse ce tableau Excel en identifiant les erreurs et propose des corrections.</t>
  </si>
  <si>
    <t>Optimisation</t>
  </si>
  <si>
    <t>Clarification</t>
  </si>
  <si>
    <t>📌 4. Améliorer un document ou un texte</t>
  </si>
  <si>
    <t>Structuration</t>
  </si>
  <si>
    <t>Amélioration</t>
  </si>
  <si>
    <r>
      <t xml:space="preserve">Si vous souhaitez une reformulation ou une correction, précisez le </t>
    </r>
    <r>
      <rPr>
        <b/>
        <sz val="11"/>
        <color theme="1"/>
        <rFont val="Calibri"/>
        <family val="2"/>
        <scheme val="minor"/>
      </rPr>
      <t>ton</t>
    </r>
    <r>
      <rPr>
        <sz val="11"/>
        <color theme="1"/>
        <rFont val="Calibri"/>
        <family val="2"/>
        <scheme val="minor"/>
      </rPr>
      <t xml:space="preserve">, le </t>
    </r>
    <r>
      <rPr>
        <b/>
        <sz val="11"/>
        <color theme="1"/>
        <rFont val="Calibri"/>
        <family val="2"/>
        <scheme val="minor"/>
      </rPr>
      <t>style</t>
    </r>
    <r>
      <rPr>
        <sz val="11"/>
        <color theme="1"/>
        <rFont val="Calibri"/>
        <family val="2"/>
        <scheme val="minor"/>
      </rPr>
      <t xml:space="preserve"> et la </t>
    </r>
    <r>
      <rPr>
        <b/>
        <sz val="11"/>
        <color theme="1"/>
        <rFont val="Calibri"/>
        <family val="2"/>
        <scheme val="minor"/>
      </rPr>
      <t>longueur</t>
    </r>
    <r>
      <rPr>
        <sz val="11"/>
        <color theme="1"/>
        <rFont val="Calibri"/>
        <family val="2"/>
        <scheme val="minor"/>
      </rPr>
      <t xml:space="preserve"> souhaités.</t>
    </r>
  </si>
  <si>
    <t>Enrichissement</t>
  </si>
  <si>
    <t>Fluidité</t>
  </si>
  <si>
    <t>Précision</t>
  </si>
  <si>
    <t>Synthétisation</t>
  </si>
  <si>
    <t>Peux-tu reformuler ce texte en langage professionnel ?</t>
  </si>
  <si>
    <t>Simplifie cette phrase tout en gardant le sens intact.</t>
  </si>
  <si>
    <t>📌 4. Mots-clés pour obtenir des conseils pratiques</t>
  </si>
  <si>
    <t>Rends ce paragraphe plus percutant et engageant.</t>
  </si>
  <si>
    <t>Techniques</t>
  </si>
  <si>
    <t>📌 5. Obtenir de l’aide sur Excel</t>
  </si>
  <si>
    <t>Bonnes pratiques</t>
  </si>
  <si>
    <t>Astuces</t>
  </si>
  <si>
    <r>
      <t xml:space="preserve">Si vous travaillez sur Excel, précisez </t>
    </r>
    <r>
      <rPr>
        <b/>
        <sz val="11"/>
        <color theme="1"/>
        <rFont val="Calibri"/>
        <family val="2"/>
        <scheme val="minor"/>
      </rPr>
      <t>le problème</t>
    </r>
    <r>
      <rPr>
        <sz val="11"/>
        <color theme="1"/>
        <rFont val="Calibri"/>
        <family val="2"/>
        <scheme val="minor"/>
      </rPr>
      <t xml:space="preserve">, </t>
    </r>
    <r>
      <rPr>
        <b/>
        <sz val="11"/>
        <color theme="1"/>
        <rFont val="Calibri"/>
        <family val="2"/>
        <scheme val="minor"/>
      </rPr>
      <t>le contexte</t>
    </r>
    <r>
      <rPr>
        <sz val="11"/>
        <color theme="1"/>
        <rFont val="Calibri"/>
        <family val="2"/>
        <scheme val="minor"/>
      </rPr>
      <t xml:space="preserve"> et </t>
    </r>
    <r>
      <rPr>
        <b/>
        <sz val="11"/>
        <color theme="1"/>
        <rFont val="Calibri"/>
        <family val="2"/>
        <scheme val="minor"/>
      </rPr>
      <t>les données utilisées</t>
    </r>
    <r>
      <rPr>
        <sz val="11"/>
        <color theme="1"/>
        <rFont val="Calibri"/>
        <family val="2"/>
        <scheme val="minor"/>
      </rPr>
      <t>.</t>
    </r>
  </si>
  <si>
    <t>Erreurs à éviter</t>
  </si>
  <si>
    <t>Exemples</t>
  </si>
  <si>
    <t>Application concrète</t>
  </si>
  <si>
    <t>Cas pratique</t>
  </si>
  <si>
    <r>
      <t xml:space="preserve">Comment optimiser cette formule : </t>
    </r>
    <r>
      <rPr>
        <i/>
        <sz val="10"/>
        <color theme="1"/>
        <rFont val="Arial Unicode MS"/>
      </rPr>
      <t>=SI(A1&gt;10; "OK"; "NON")</t>
    </r>
    <r>
      <rPr>
        <i/>
        <sz val="11"/>
        <color theme="1"/>
        <rFont val="Calibri"/>
        <family val="2"/>
        <scheme val="minor"/>
      </rPr>
      <t xml:space="preserve"> ?</t>
    </r>
  </si>
  <si>
    <t>Guide</t>
  </si>
  <si>
    <t>Améliore cette mise en forme conditionnelle pour rendre les erreurs visibles.</t>
  </si>
  <si>
    <t>Quel est le meilleur moyen d’automatiser ce calcul ?</t>
  </si>
  <si>
    <t>Recommandation</t>
  </si>
  <si>
    <t>📌 6. Demander une explication progressive</t>
  </si>
  <si>
    <t>📌 5. Mots-clés pour analyser un tableau Excel</t>
  </si>
  <si>
    <r>
      <t xml:space="preserve">Si un sujet est trop complexe, demandez une explication </t>
    </r>
    <r>
      <rPr>
        <b/>
        <sz val="11"/>
        <color theme="1"/>
        <rFont val="Calibri"/>
        <family val="2"/>
        <scheme val="minor"/>
      </rPr>
      <t>étape par étape</t>
    </r>
    <r>
      <rPr>
        <sz val="11"/>
        <color theme="1"/>
        <rFont val="Calibri"/>
        <family val="2"/>
        <scheme val="minor"/>
      </rPr>
      <t>.</t>
    </r>
  </si>
  <si>
    <t>Analyse des données</t>
  </si>
  <si>
    <t>Mise en forme</t>
  </si>
  <si>
    <t>Formules</t>
  </si>
  <si>
    <t>Automatisation</t>
  </si>
  <si>
    <t>Explique-moi [concept] comme si j’étais débutant.</t>
  </si>
  <si>
    <t>Optimisation des calculs</t>
  </si>
  <si>
    <t>Donne-moi une explication progressive en trois niveaux : débutant, intermédiaire et avancé.</t>
  </si>
  <si>
    <t>Erreurs</t>
  </si>
  <si>
    <t>Peux-tu illustrer cela avec une analogie simple ?</t>
  </si>
  <si>
    <t>Lisibilité</t>
  </si>
  <si>
    <t>Tableau croisé dynamique</t>
  </si>
  <si>
    <t>📌 7. Utiliser des formats spécifiques</t>
  </si>
  <si>
    <t>Fonctions avancées</t>
  </si>
  <si>
    <t>Visualisation des données</t>
  </si>
  <si>
    <t>Si vous avez besoin d’une réponse sous une forme précise, indiquez-le clairement.</t>
  </si>
  <si>
    <t>📌 6. Mots-clés pour obtenir des explications détaillées</t>
  </si>
  <si>
    <t>Approche progressive</t>
  </si>
  <si>
    <t>Donne-moi une liste à puces sur [sujet].</t>
  </si>
  <si>
    <t>Niveau débutant / intermédiaire / avancé</t>
  </si>
  <si>
    <t>Rédige un tableau comparatif entre [option A] et [option B].</t>
  </si>
  <si>
    <t>Comparatif</t>
  </si>
  <si>
    <t>Formate cette réponse sous forme de script ou de code Python.</t>
  </si>
  <si>
    <t>Analogies</t>
  </si>
  <si>
    <t>Exemples détaillés</t>
  </si>
  <si>
    <t xml:space="preserve">Avec ces expressions et techniques, vous pouvez interagir avec ChatGPT </t>
  </si>
  <si>
    <t>Étapes successives</t>
  </si>
  <si>
    <t>de manière plus fluide et obtenir des réponses plus précises et adaptées à vos besoins. 🎯</t>
  </si>
  <si>
    <t>Décomposition du problème</t>
  </si>
  <si>
    <t>Scénario</t>
  </si>
  <si>
    <t>Cas d’usage</t>
  </si>
  <si>
    <t>Automatiser toutes vos tâches dans ChatGPT</t>
  </si>
  <si>
    <t>Application pratique</t>
  </si>
  <si>
    <t xml:space="preserve"> https://www.youtube.com/watch?v=eC8GRtkHR7w</t>
  </si>
  <si>
    <t xml:space="preserve">En utilisant ces mots-clés dans vos questions, vous optimiserez vos interactions avec ChatGPT </t>
  </si>
  <si>
    <t>Power Automate : Le Guide Ultime | Tutoriel pour débutants</t>
  </si>
  <si>
    <t>et obtiendrez des réponses plus adaptées à vos attentes. 🎯</t>
  </si>
  <si>
    <t>https://www.youtube.com/watch?v=Lozx5O243Do</t>
  </si>
  <si>
    <t xml:space="preserve">Découvrez comment utiliser ChatGPT pour créer un tableau Excel !rapidement et facilement !  </t>
  </si>
  <si>
    <t>https://www.youtube.com/shorts/fBWGlwtdljc</t>
  </si>
  <si>
    <t>MEGA TUTO : Les BASES de EXCEL - 2H30 de formation gratuite pour débutant sur Excel 2024 !</t>
  </si>
  <si>
    <t>MEGA TUTO : Les BASES de WORD - 2H de formation gratuite pour débutant sur Microsoft Word 2024 !</t>
  </si>
  <si>
    <t>https://www.youtube.com/watch?v=aZ-SY0ORaoA</t>
  </si>
  <si>
    <t>https://www.youtube.com/watch?v=Q_NLy_NQ86M&amp;list=PL_YIPTyDwH029le6-8T91wPfpqGH-iIIU</t>
  </si>
  <si>
    <t>cases à cocher</t>
  </si>
  <si>
    <t>https://youtu.be/wn3uinXeO-Y</t>
  </si>
  <si>
    <t>Je voudrais une recette de pâté de lièvre avec démarche haccp</t>
  </si>
  <si>
    <t>Recette de Pâté de Lièvre avec Démarche HACCP</t>
  </si>
  <si>
    <r>
      <t xml:space="preserve">Voici une recette de pâté de lièvre en intégrant la démarche </t>
    </r>
    <r>
      <rPr>
        <b/>
        <sz val="11"/>
        <color theme="1"/>
        <rFont val="Calibri"/>
        <family val="2"/>
        <scheme val="minor"/>
      </rPr>
      <t>HACCP</t>
    </r>
    <r>
      <rPr>
        <sz val="11"/>
        <color theme="1"/>
        <rFont val="Calibri"/>
        <family val="2"/>
        <scheme val="minor"/>
      </rPr>
      <t xml:space="preserve"> (Hazard Analysis Critical Control Point), qui permet d’assurer la sécurité alimentaire à chaque étape de la préparation.</t>
    </r>
  </si>
  <si>
    <t>https://chatgpt.com/share/67b0cbdb-19d8-8007-823f-c64157ad99cf</t>
  </si>
  <si>
    <t>1. Ingrédients (pour environ 2 kg de pâté)</t>
  </si>
  <si>
    <r>
      <t>Lièvre</t>
    </r>
    <r>
      <rPr>
        <sz val="11"/>
        <color theme="1"/>
        <rFont val="Calibri"/>
        <family val="2"/>
        <scheme val="minor"/>
      </rPr>
      <t xml:space="preserve"> : 1 kg de chair désossée</t>
    </r>
  </si>
  <si>
    <r>
      <t>Porc gras (poitrine, gorge, lard)</t>
    </r>
    <r>
      <rPr>
        <sz val="11"/>
        <color theme="1"/>
        <rFont val="Calibri"/>
        <family val="2"/>
        <scheme val="minor"/>
      </rPr>
      <t xml:space="preserve"> : 500 g</t>
    </r>
  </si>
  <si>
    <r>
      <t>Foie de volaille</t>
    </r>
    <r>
      <rPr>
        <sz val="11"/>
        <color theme="1"/>
        <rFont val="Calibri"/>
        <family val="2"/>
        <scheme val="minor"/>
      </rPr>
      <t xml:space="preserve"> : 200 g</t>
    </r>
  </si>
  <si>
    <r>
      <t>Œufs</t>
    </r>
    <r>
      <rPr>
        <sz val="11"/>
        <color theme="1"/>
        <rFont val="Calibri"/>
        <family val="2"/>
        <scheme val="minor"/>
      </rPr>
      <t xml:space="preserve"> : 2</t>
    </r>
  </si>
  <si>
    <r>
      <t>Crème fraîche</t>
    </r>
    <r>
      <rPr>
        <sz val="11"/>
        <color theme="1"/>
        <rFont val="Calibri"/>
        <family val="2"/>
        <scheme val="minor"/>
      </rPr>
      <t xml:space="preserve"> : 150 g</t>
    </r>
  </si>
  <si>
    <r>
      <t>Cognac ou Armagnac</t>
    </r>
    <r>
      <rPr>
        <sz val="11"/>
        <color theme="1"/>
        <rFont val="Calibri"/>
        <family val="2"/>
        <scheme val="minor"/>
      </rPr>
      <t xml:space="preserve"> : 5 cl</t>
    </r>
  </si>
  <si>
    <r>
      <t>Échalotes</t>
    </r>
    <r>
      <rPr>
        <sz val="11"/>
        <color theme="1"/>
        <rFont val="Calibri"/>
        <family val="2"/>
        <scheme val="minor"/>
      </rPr>
      <t xml:space="preserve"> : 2</t>
    </r>
  </si>
  <si>
    <r>
      <t>Ail</t>
    </r>
    <r>
      <rPr>
        <sz val="11"/>
        <color theme="1"/>
        <rFont val="Calibri"/>
        <family val="2"/>
        <scheme val="minor"/>
      </rPr>
      <t xml:space="preserve"> : 2 gousses</t>
    </r>
  </si>
  <si>
    <r>
      <t>Persil</t>
    </r>
    <r>
      <rPr>
        <sz val="11"/>
        <color theme="1"/>
        <rFont val="Calibri"/>
        <family val="2"/>
        <scheme val="minor"/>
      </rPr>
      <t xml:space="preserve"> : 1 bouquet</t>
    </r>
  </si>
  <si>
    <r>
      <t>Sel</t>
    </r>
    <r>
      <rPr>
        <sz val="11"/>
        <color theme="1"/>
        <rFont val="Calibri"/>
        <family val="2"/>
        <scheme val="minor"/>
      </rPr>
      <t xml:space="preserve"> : 18 g/kg de mélange</t>
    </r>
  </si>
  <si>
    <r>
      <t>Poivre moulu</t>
    </r>
    <r>
      <rPr>
        <sz val="11"/>
        <color theme="1"/>
        <rFont val="Calibri"/>
        <family val="2"/>
        <scheme val="minor"/>
      </rPr>
      <t xml:space="preserve"> : 3 g/kg de mélange</t>
    </r>
  </si>
  <si>
    <r>
      <t>4 épices</t>
    </r>
    <r>
      <rPr>
        <sz val="11"/>
        <color theme="1"/>
        <rFont val="Calibri"/>
        <family val="2"/>
        <scheme val="minor"/>
      </rPr>
      <t xml:space="preserve"> : 2 g</t>
    </r>
  </si>
  <si>
    <r>
      <t>Laurier</t>
    </r>
    <r>
      <rPr>
        <sz val="11"/>
        <color theme="1"/>
        <rFont val="Calibri"/>
        <family val="2"/>
        <scheme val="minor"/>
      </rPr>
      <t xml:space="preserve"> : 2 feuilles</t>
    </r>
  </si>
  <si>
    <t>Garniture aromatique (thym, romarin, clous de girofle, etc.)</t>
  </si>
  <si>
    <r>
      <t>Farce à gratin (facultatif)</t>
    </r>
    <r>
      <rPr>
        <sz val="11"/>
        <color theme="1"/>
        <rFont val="Calibri"/>
        <family val="2"/>
        <scheme val="minor"/>
      </rPr>
      <t xml:space="preserve"> : 100 g</t>
    </r>
  </si>
  <si>
    <r>
      <t>Gelée de viande</t>
    </r>
    <r>
      <rPr>
        <sz val="11"/>
        <color theme="1"/>
        <rFont val="Calibri"/>
        <family val="2"/>
        <scheme val="minor"/>
      </rPr>
      <t xml:space="preserve"> : pour nappage</t>
    </r>
  </si>
  <si>
    <t>2. Étapes de Préparation et Points de Contrôle HACCP</t>
  </si>
  <si>
    <t>a) Réception et Stockage des Ingrédients</t>
  </si>
  <si>
    <r>
      <t xml:space="preserve">✅ </t>
    </r>
    <r>
      <rPr>
        <b/>
        <sz val="11"/>
        <color theme="1"/>
        <rFont val="Calibri"/>
        <family val="2"/>
        <scheme val="minor"/>
      </rPr>
      <t>CCP 1 (Contrôle des Matières Premières)</t>
    </r>
  </si>
  <si>
    <t>Vérifier la fraîcheur de la viande (T°C &lt; 4°C, absence d’odeur suspecte).</t>
  </si>
  <si>
    <t>Vérifier la traçabilité des produits.</t>
  </si>
  <si>
    <t>Stocker la viande immédiatement au réfrigérateur (T°C entre 0 et 3°C).</t>
  </si>
  <si>
    <t>Séparer viandes crues et autres ingrédients pour éviter la contamination croisée.</t>
  </si>
  <si>
    <t>b) Préparation des ingrédients</t>
  </si>
  <si>
    <r>
      <t xml:space="preserve">✅ </t>
    </r>
    <r>
      <rPr>
        <b/>
        <sz val="11"/>
        <color theme="1"/>
        <rFont val="Calibri"/>
        <family val="2"/>
        <scheme val="minor"/>
      </rPr>
      <t>CCP 2 (Hygiène du Personnel et du Matériel)</t>
    </r>
  </si>
  <si>
    <t>Laver et désinfecter les mains, le plan de travail et le matériel.</t>
  </si>
  <si>
    <t>Désinfecter les échalotes, ail et persil avant utilisation.</t>
  </si>
  <si>
    <r>
      <t xml:space="preserve">✅ </t>
    </r>
    <r>
      <rPr>
        <b/>
        <sz val="11"/>
        <color theme="1"/>
        <rFont val="Calibri"/>
        <family val="2"/>
        <scheme val="minor"/>
      </rPr>
      <t>CCP 3 (Maîtrise de la Température)</t>
    </r>
  </si>
  <si>
    <t>Garder les viandes au froid jusqu’au moment du hachage (éviter prolifération bactérienne).</t>
  </si>
  <si>
    <t>1. Désosser le lièvre et le découper en morceaux.</t>
  </si>
  <si>
    <t>2. Émincer les échalotes, l’ail et le persil.</t>
  </si>
  <si>
    <t>3. Hacher les viandes (lièvre, porc et foie de volaille) avec une grille moyenne.</t>
  </si>
  <si>
    <t>c) Assaisonnement et Macération</t>
  </si>
  <si>
    <t>1. Ajouter le sel, poivre, 4 épices et le cognac.</t>
  </si>
  <si>
    <t>2. Mélanger soigneusement et laisser macérer au réfrigérateur pendant 12 h.</t>
  </si>
  <si>
    <r>
      <t xml:space="preserve">✅ </t>
    </r>
    <r>
      <rPr>
        <b/>
        <sz val="11"/>
        <color theme="1"/>
        <rFont val="Calibri"/>
        <family val="2"/>
        <scheme val="minor"/>
      </rPr>
      <t>CCP 4 (Maîtrise du pH et de la Salaison)</t>
    </r>
  </si>
  <si>
    <t>Vérifier la dose de sel (minimum 18 g/kg) pour garantir la conservation.</t>
  </si>
  <si>
    <t>d) Montage et Cuisson du Pâté</t>
  </si>
  <si>
    <t>1. Incorporer les œufs et la crème à la préparation.</t>
  </si>
  <si>
    <t>2. Remplir des terrines en tassant bien, ajouter une feuille de laurier sur le dessus.</t>
  </si>
  <si>
    <r>
      <t xml:space="preserve">3. Cuire au bain-marie à </t>
    </r>
    <r>
      <rPr>
        <b/>
        <sz val="11"/>
        <color theme="1"/>
        <rFont val="Calibri"/>
        <family val="2"/>
        <scheme val="minor"/>
      </rPr>
      <t>160°C pendant 1h30</t>
    </r>
    <r>
      <rPr>
        <sz val="11"/>
        <color theme="1"/>
        <rFont val="Calibri"/>
        <family val="2"/>
        <scheme val="minor"/>
      </rPr>
      <t xml:space="preserve"> jusqu’à atteindre une température à cœur de </t>
    </r>
    <r>
      <rPr>
        <b/>
        <sz val="11"/>
        <color theme="1"/>
        <rFont val="Calibri"/>
        <family val="2"/>
        <scheme val="minor"/>
      </rPr>
      <t>75°C minimum</t>
    </r>
    <r>
      <rPr>
        <sz val="11"/>
        <color theme="1"/>
        <rFont val="Calibri"/>
        <family val="2"/>
        <scheme val="minor"/>
      </rPr>
      <t>.</t>
    </r>
  </si>
  <si>
    <r>
      <t xml:space="preserve">✅ </t>
    </r>
    <r>
      <rPr>
        <b/>
        <sz val="11"/>
        <color theme="1"/>
        <rFont val="Calibri"/>
        <family val="2"/>
        <scheme val="minor"/>
      </rPr>
      <t>CCP 5 (Maîtrise de la Cuisson)</t>
    </r>
  </si>
  <si>
    <t>Vérifier la température à cœur du pâté avec une sonde (≥ 75°C pour éliminer les pathogènes).</t>
  </si>
  <si>
    <t>e) Refroidissement et Conservation</t>
  </si>
  <si>
    <r>
      <t xml:space="preserve">✅ </t>
    </r>
    <r>
      <rPr>
        <b/>
        <sz val="11"/>
        <color theme="1"/>
        <rFont val="Calibri"/>
        <family val="2"/>
        <scheme val="minor"/>
      </rPr>
      <t>CCP 6 (Refroidissement Rapide)</t>
    </r>
  </si>
  <si>
    <t>Refroidir les terrines dans un bac d’eau froide puis en chambre froide (de +63°C à &lt;10°C en moins de 2h).</t>
  </si>
  <si>
    <r>
      <t xml:space="preserve">✅ </t>
    </r>
    <r>
      <rPr>
        <b/>
        <sz val="11"/>
        <color theme="1"/>
        <rFont val="Calibri"/>
        <family val="2"/>
        <scheme val="minor"/>
      </rPr>
      <t>CCP 7 (Stockage et DLC)</t>
    </r>
  </si>
  <si>
    <r>
      <t xml:space="preserve">Conserver le pâté à </t>
    </r>
    <r>
      <rPr>
        <b/>
        <sz val="11"/>
        <color theme="1"/>
        <rFont val="Calibri"/>
        <family val="2"/>
        <scheme val="minor"/>
      </rPr>
      <t>+3°C</t>
    </r>
    <r>
      <rPr>
        <sz val="11"/>
        <color theme="1"/>
        <rFont val="Calibri"/>
        <family val="2"/>
        <scheme val="minor"/>
      </rPr>
      <t xml:space="preserve"> et consommer sous </t>
    </r>
    <r>
      <rPr>
        <b/>
        <sz val="11"/>
        <color theme="1"/>
        <rFont val="Calibri"/>
        <family val="2"/>
        <scheme val="minor"/>
      </rPr>
      <t>5 jours</t>
    </r>
    <r>
      <rPr>
        <sz val="11"/>
        <color theme="1"/>
        <rFont val="Calibri"/>
        <family val="2"/>
        <scheme val="minor"/>
      </rPr>
      <t>.</t>
    </r>
  </si>
  <si>
    <t>Pour une conservation plus longue, recouvrir de gelée et stocker sous vide.</t>
  </si>
  <si>
    <t>f) Service et Consommation</t>
  </si>
  <si>
    <t>Servir frais avec du pain de campagne et des cornichons.</t>
  </si>
  <si>
    <t>S’assurer que le pâté est consommé dans les délais recommandés.</t>
  </si>
  <si>
    <t>Résumé des Points Critiques HACCP</t>
  </si>
  <si>
    <t>Étape</t>
  </si>
  <si>
    <t>Danger</t>
  </si>
  <si>
    <t>Contrôle</t>
  </si>
  <si>
    <t>Action Corrective</t>
  </si>
  <si>
    <t>Réception</t>
  </si>
  <si>
    <t>Viande avariée</t>
  </si>
  <si>
    <t>Vérification qualité &amp; T°C</t>
  </si>
  <si>
    <t>Refus des matières non conformes</t>
  </si>
  <si>
    <t>Contamination croisée</t>
  </si>
  <si>
    <t>Hygiène stricte &amp; désinfection</t>
  </si>
  <si>
    <t>Nettoyage &amp; formation du personnel</t>
  </si>
  <si>
    <t>Hachage</t>
  </si>
  <si>
    <t>Multiplication bactérienne</t>
  </si>
  <si>
    <t>Travail à froid</t>
  </si>
  <si>
    <t>Maintien au froid permanent</t>
  </si>
  <si>
    <t>Cuisson</t>
  </si>
  <si>
    <t>Pathogènes</t>
  </si>
  <si>
    <t>T°C ≥ 75°C à cœur</t>
  </si>
  <si>
    <t>Prolongation cuisson si nécessaire</t>
  </si>
  <si>
    <t>Passage rapide en froid</t>
  </si>
  <si>
    <t>Réduction des portions, contrôle T°C</t>
  </si>
  <si>
    <t>Stockage</t>
  </si>
  <si>
    <t>Mauvaise conservation</t>
  </si>
  <si>
    <t>T°C ≤ 3°C</t>
  </si>
  <si>
    <t>Élimination des produits douteux</t>
  </si>
  <si>
    <r>
      <t xml:space="preserve">Avec cette démarche HACCP, votre pâté de lièvre est </t>
    </r>
    <r>
      <rPr>
        <b/>
        <sz val="11"/>
        <color theme="1"/>
        <rFont val="Calibri"/>
        <family val="2"/>
        <scheme val="minor"/>
      </rPr>
      <t>sécurisé</t>
    </r>
    <r>
      <rPr>
        <sz val="11"/>
        <color theme="1"/>
        <rFont val="Calibri"/>
        <family val="2"/>
        <scheme val="minor"/>
      </rPr>
      <t xml:space="preserve"> et conforme aux bonnes pratiques d’hygiène ! 😊</t>
    </r>
  </si>
  <si>
    <t>AIDES CUISINE</t>
  </si>
  <si>
    <t>LIAISON AU TAPIOCA</t>
  </si>
  <si>
    <t>Gastro Norm</t>
  </si>
  <si>
    <t>SERVICE DES SAUCES</t>
  </si>
  <si>
    <t>CONDITIONNEMENT AU POIDS</t>
  </si>
  <si>
    <t>Gastronormes tableau N° 1</t>
  </si>
  <si>
    <t>CONDITIONNEMENT A LA PIÈCE</t>
  </si>
  <si>
    <t>Contenance 1 Gastro</t>
  </si>
  <si>
    <t>Gastronormes tableau N° 2</t>
  </si>
  <si>
    <t>une fonction intéressante : MODULO &gt; MOD</t>
  </si>
  <si>
    <t>Service au choix : au poids ou à la portion</t>
  </si>
  <si>
    <t>Nombre de contenants a la pièce avec la fonction MODULO</t>
  </si>
  <si>
    <t>Tableaux pour service ou cuisson</t>
  </si>
  <si>
    <t>Nombre de contenants au poids avec la fonction MODULO</t>
  </si>
  <si>
    <t>Gélatine alimentaire</t>
  </si>
  <si>
    <t>PURÉE DÉSHYDRATÉE</t>
  </si>
  <si>
    <t>ŒUFS poids et %</t>
  </si>
  <si>
    <t>Composition d'une garniture "COUSCOUS"</t>
  </si>
  <si>
    <t>Poids de sauce à servir</t>
  </si>
  <si>
    <t>COMPOSITION ET SERVICE D'UN PLAT COMPLET</t>
  </si>
  <si>
    <t>Total Mx dans 1 contenant</t>
  </si>
  <si>
    <t>Comment respecter un grammage à servir Exemple N° 1</t>
  </si>
  <si>
    <t>QUANTITÉS A SERVIR OU A COMMANDER</t>
  </si>
  <si>
    <t>Combien faut-il commander pour des effectifs et des grammages différents</t>
  </si>
  <si>
    <t>COMBIEN POURRIEZ VOUS SERVIR AVEC</t>
  </si>
  <si>
    <t xml:space="preserve">Quantités nettes à prévoir : Mater Prim Adul Adul +  </t>
  </si>
  <si>
    <t>ICI &gt; pourquoi ? quelle utilité &gt; en cliquant sur cette cellule en tête de tableau et en vous déportant sur la droite puis vers le bas cela sélectionne le tableau pour le copier et le coller dans un de vos documents</t>
  </si>
  <si>
    <t>lien &gt;</t>
  </si>
  <si>
    <t>https://fr.wikipedia.org/wiki/Gastro_Norm</t>
  </si>
  <si>
    <t>POUR 1 LITRE DE SAUCE TERMINÉE</t>
  </si>
  <si>
    <t>Le format de base est le GN 1/1, qui fait 530 x 325 mm. Les autres sont des multiples ou des sous-multiples de ce module de base. Les formats généralement rencontrés chez les professionnels sont1 :</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</si>
  <si>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</si>
  <si>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</si>
  <si>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</si>
  <si>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</si>
  <si>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</si>
  <si>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</si>
  <si>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</si>
  <si>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</si>
  <si>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</si>
  <si>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</si>
  <si>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</si>
  <si>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</si>
  <si>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</si>
  <si>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</si>
  <si>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</si>
  <si>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Plat mode de cuisson</t>
  </si>
  <si>
    <t>Grammages sauce p.p.</t>
  </si>
  <si>
    <t>1 Kg pour :</t>
  </si>
  <si>
    <t>Sans sauce</t>
  </si>
  <si>
    <t>grillé,frit,nature</t>
  </si>
  <si>
    <t>Les profondeurs les plus courantes sont 20, 40, 65, 100, 150 et 200 mm.</t>
  </si>
  <si>
    <t>Déglaçage</t>
  </si>
  <si>
    <t>roti,poélé</t>
  </si>
  <si>
    <t>20/30 g</t>
  </si>
  <si>
    <t>33 à 50 p.</t>
  </si>
  <si>
    <t>Sauce courte</t>
  </si>
  <si>
    <t>pièces sautées</t>
  </si>
  <si>
    <t>40/50 g</t>
  </si>
  <si>
    <t>20 à 25 p.</t>
  </si>
  <si>
    <t>Sauce longue</t>
  </si>
  <si>
    <t>ragoûts,braisés</t>
  </si>
  <si>
    <t>60/80 g</t>
  </si>
  <si>
    <t>12 à 16 p.</t>
  </si>
  <si>
    <t>Bouillon</t>
  </si>
  <si>
    <t>pochés,plats complets</t>
  </si>
  <si>
    <t>90/150 g</t>
  </si>
  <si>
    <t>6 à 11 p.</t>
  </si>
  <si>
    <t>Poids des aliments sur internet</t>
  </si>
  <si>
    <t xml:space="preserve">les valeurs #DIV/0!  indiquent seulement que les recettes sont "vierges" sur la feuille de saisie </t>
  </si>
  <si>
    <t>http://www.aliments.org/poids.htm</t>
  </si>
  <si>
    <t>https://www.dieteticien-nutritionniste-sante.com/conseils-alimentaires/a-telecharger/6545-2_POIDSETMESURES_FR_2005_2_4400388_fr.pdf</t>
  </si>
  <si>
    <t>si vous n'utilisez pas toutes les lignes vous pouvez masquer cette valeur par une couleur de police BLANC</t>
  </si>
  <si>
    <t>Tableau des calibres Fruits Frais</t>
  </si>
  <si>
    <t>http://www.crenoexpert.fr/flipbooks/expproduit/TABLEAUX-CALIBRES-FRUITS-2.pdf</t>
  </si>
  <si>
    <t>Banque d'images pour agrémenter vos documents</t>
  </si>
  <si>
    <t>POUR LES FICHES RECETTES A LA PORTION</t>
  </si>
  <si>
    <t xml:space="preserve"> Nb de portions Si vous estimez que les grammages sont trop ou pas assez copieux pour vos convives : modifiez les sur ces tableaux les modifications se feront sur le tableau à imprimer</t>
  </si>
  <si>
    <t>banque d'image cuisine patisserie charcuterie fromage</t>
  </si>
  <si>
    <t>Quelle quantité dans mon assiette ?</t>
  </si>
  <si>
    <t>Pas assez copieux : diminuez le nombre de portions cela augmentera les grammages à la portion sur le tableau à imprimer</t>
  </si>
  <si>
    <t>Trop copieux : augmentez le nombre de portions cela diminuera les grammages à la portion sur le tableau à imprimer</t>
  </si>
  <si>
    <t>Estimation des contenants</t>
  </si>
  <si>
    <t>Partie du document réservée à la saisie</t>
  </si>
  <si>
    <t>En fonction des informations saisies : nombre de gasto à utiliser</t>
  </si>
  <si>
    <t>PRODUITS</t>
  </si>
  <si>
    <t>Quoi?</t>
  </si>
  <si>
    <t>EFFECTIFS</t>
  </si>
  <si>
    <t>A conditionner</t>
  </si>
  <si>
    <t>Total gastronormes au choix</t>
  </si>
  <si>
    <t>Mater</t>
  </si>
  <si>
    <t>Prim</t>
  </si>
  <si>
    <t>Adultes +</t>
  </si>
  <si>
    <t>Total Effectifs</t>
  </si>
  <si>
    <t>Quantité - Grammage ou Nb de Mx ou tranche par convive</t>
  </si>
  <si>
    <t>Service à la portion</t>
  </si>
  <si>
    <t xml:space="preserve">Paupiettes de dindes 120g </t>
  </si>
  <si>
    <t>Cuisses de canard cuites 200g  GN 1/1 H65</t>
  </si>
  <si>
    <t>Cuisses</t>
  </si>
  <si>
    <t>Viande tranchée</t>
  </si>
  <si>
    <t>Tomates farcies</t>
  </si>
  <si>
    <t>Service au poids</t>
  </si>
  <si>
    <t>Sautés en morceaux</t>
  </si>
  <si>
    <t>Tartiflette  GN 1/1 H65</t>
  </si>
  <si>
    <t>Brandade de morue</t>
  </si>
  <si>
    <t>les formats nombre ne sont pas des pourcentages mais des nombres standards personnalisés &gt; 0" %"</t>
  </si>
  <si>
    <t>et 0.000"Kg" pour les poids - j'ai remplacé les volumes par des poids sur la base de 1L d'eau = 1Kg</t>
  </si>
  <si>
    <t>Poulet 4/4 Cuisses CRUES</t>
  </si>
  <si>
    <t>Poulet 4/4 Cuisses petites CUITES</t>
  </si>
  <si>
    <t>Poulet 4/4 Cuisses Grosses CUITES</t>
  </si>
  <si>
    <t>escalopes de volailles cuites 120g</t>
  </si>
  <si>
    <t>Liens</t>
  </si>
  <si>
    <t>patrice67tube</t>
  </si>
  <si>
    <t>Learnaccess</t>
  </si>
  <si>
    <t>Frédéric LE GUEN</t>
  </si>
  <si>
    <t>saisissez vos quantités dans les cellules fond jaunes</t>
  </si>
  <si>
    <t>capacité du contenant*</t>
  </si>
  <si>
    <t>Nb de contenants</t>
  </si>
  <si>
    <t>reliquat</t>
  </si>
  <si>
    <t>formule</t>
  </si>
  <si>
    <t>les données précédentes peuvent se présenter comme suit</t>
  </si>
  <si>
    <t>contenant(s) a conditionner</t>
  </si>
  <si>
    <t>un contenant* peut être une plaque gastro - une louche - une barquette etc..</t>
  </si>
  <si>
    <t>format &gt;"de" # ##0.000" Kg"</t>
  </si>
  <si>
    <t>Explication :</t>
  </si>
  <si>
    <t>formules</t>
  </si>
  <si>
    <t>chouquettes</t>
  </si>
  <si>
    <t>Adaptation : Joël Leboucher..UPRT "Union des Personnels de la Restauration Territoriale"  membre du réseau RESTAU'CO</t>
  </si>
  <si>
    <t>Total contenants</t>
  </si>
  <si>
    <t xml:space="preserve">Effectifs </t>
  </si>
  <si>
    <t>1 contenant pour combien</t>
  </si>
  <si>
    <t>Grammage Unitaire</t>
  </si>
  <si>
    <t>poids total</t>
  </si>
  <si>
    <t>Pour</t>
  </si>
  <si>
    <t>+ Nb de contenants</t>
  </si>
  <si>
    <t>contenant(s)</t>
  </si>
  <si>
    <t>QUOI &gt;</t>
  </si>
  <si>
    <t>Tranches</t>
  </si>
  <si>
    <t>Nb par personne</t>
  </si>
  <si>
    <t>tranches - Morceaux - Pièces</t>
  </si>
  <si>
    <t>Nb de tranches - morceaux etc.par personne</t>
  </si>
  <si>
    <t>1 contenant pour combien de convives ou portions</t>
  </si>
  <si>
    <t>Conditionnement pour service ou cuisson</t>
  </si>
  <si>
    <t xml:space="preserve">Conditionnement pour service ou cuisson </t>
  </si>
  <si>
    <t>AU POIDS</t>
  </si>
  <si>
    <t>A LA PORTION</t>
  </si>
  <si>
    <t>Combien de portions dans un gastro</t>
  </si>
  <si>
    <t>Effectif</t>
  </si>
  <si>
    <t>Quantité ou Grammage p.p.</t>
  </si>
  <si>
    <t xml:space="preserve">Poulet 4/4 Cuisses </t>
  </si>
  <si>
    <t>1 Gastro pour :</t>
  </si>
  <si>
    <t>Hachis Parmentier</t>
  </si>
  <si>
    <t xml:space="preserve">Poids standard d'une Portion </t>
  </si>
  <si>
    <t>Seniors</t>
  </si>
  <si>
    <t>Nb de portions standard dans un GN 1/1 H65</t>
  </si>
  <si>
    <t>portions</t>
  </si>
  <si>
    <t>Au choix</t>
  </si>
  <si>
    <t>Poids d'une portion</t>
  </si>
  <si>
    <t>Equivalence en nombre de portions standards</t>
  </si>
  <si>
    <t>SAUCE</t>
  </si>
  <si>
    <t>Poids de sauce dans une louche</t>
  </si>
  <si>
    <t>Poids NET p.p.</t>
  </si>
  <si>
    <t xml:space="preserve">% Perte </t>
  </si>
  <si>
    <t>Poids BRUT  1 portion</t>
  </si>
  <si>
    <t>1 louche pour</t>
  </si>
  <si>
    <t>Poids NET Total à servir / conditionner</t>
  </si>
  <si>
    <t>Total Brut à commander/conditionner</t>
  </si>
  <si>
    <t>Portion Nb de Mx par portion</t>
  </si>
  <si>
    <t>Nb portions</t>
  </si>
  <si>
    <t>Police de couleur pour saisir vos valeurs    Noir = formules</t>
  </si>
  <si>
    <t xml:space="preserve"> Poids dans 1 contenant</t>
  </si>
  <si>
    <t>Poids d' une Portion</t>
  </si>
  <si>
    <t xml:space="preserve">1 louche ou 1 contenant pour </t>
  </si>
  <si>
    <t>QUOI ?</t>
  </si>
  <si>
    <t>EXEMPLES</t>
  </si>
  <si>
    <t>32 tranches par plaque ( 1 plaque pour 26 maternelles)</t>
  </si>
  <si>
    <t>❶ saisissez le poids dans un contenant (une louche une barquette etc</t>
  </si>
  <si>
    <t>table de 12</t>
  </si>
  <si>
    <t>❷ saisissez le poids de la portion à servir par convive</t>
  </si>
  <si>
    <t>32 tranches par plaque ( 1 plaque pour 16 adultes)</t>
  </si>
  <si>
    <t>Nb de Portions à servir</t>
  </si>
  <si>
    <t>Poids de la portion</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</si>
  <si>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</si>
  <si>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</si>
  <si>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</si>
  <si>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</si>
  <si>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</si>
  <si>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</si>
  <si>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</si>
  <si>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❷ saisissez le nombre de portions à servir</t>
  </si>
  <si>
    <t>1 Boite de compote pour 25</t>
  </si>
  <si>
    <t>Le contenant peut être une louche pour le service un gastro pour la cuisson  etc…</t>
  </si>
  <si>
    <t xml:space="preserve">1 melon de </t>
  </si>
  <si>
    <t>Les Mx cela peut s'appliquer à des morceaux de bourguignon mais aussi des tomates farcies ou des oreillons de pêches au sirop pour le dessert etc..</t>
  </si>
  <si>
    <t xml:space="preserve">1 plaque hachis parmentier </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</si>
  <si>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</si>
  <si>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</si>
  <si>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</si>
  <si>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 de convives</t>
  </si>
  <si>
    <t xml:space="preserve">Saisissez vos effectifs </t>
  </si>
  <si>
    <t>Saisissez vos quantités nets à servir</t>
  </si>
  <si>
    <t>de moyenne</t>
  </si>
  <si>
    <t>Net à préparer :</t>
  </si>
  <si>
    <t>% de perte</t>
  </si>
  <si>
    <t>Brut à Commander</t>
  </si>
  <si>
    <t>Collez une des unités suivante ou saisissez un nom de produit</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</si>
  <si>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</si>
  <si>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</si>
  <si>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</si>
  <si>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</si>
  <si>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Mise à jour</t>
  </si>
  <si>
    <t>du 03-01-2017 Annule et remplace les versions précédentes</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</si>
  <si>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</si>
  <si>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</si>
  <si>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</si>
  <si>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</si>
  <si>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</si>
  <si>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</si>
  <si>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</si>
  <si>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</si>
  <si>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Grammages nets</t>
  </si>
  <si>
    <t xml:space="preserve">Quantité Totale </t>
  </si>
  <si>
    <t>Purée déshydratée</t>
  </si>
  <si>
    <t>Lait déshydraté</t>
  </si>
  <si>
    <t>Lait frais</t>
  </si>
  <si>
    <t>Crème fraiche</t>
  </si>
  <si>
    <t>Poids reconstitué</t>
  </si>
  <si>
    <t xml:space="preserve">Adultes </t>
  </si>
  <si>
    <t>Poids à l'arrondi supérieur</t>
  </si>
  <si>
    <t xml:space="preserve"> Effectifs</t>
  </si>
  <si>
    <t>Parts Adultes</t>
  </si>
  <si>
    <t>Saisissez vos valeurs dans les cellules fond ivoire ou jaune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</si>
  <si>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</si>
  <si>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</si>
  <si>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</si>
  <si>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</si>
  <si>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</si>
  <si>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</si>
  <si>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</si>
  <si>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</si>
  <si>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</si>
  <si>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</si>
  <si>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Feuille entière (1 =</t>
  </si>
  <si>
    <t xml:space="preserve">feuilles de gélatine </t>
  </si>
  <si>
    <t>feuilles</t>
  </si>
  <si>
    <t>Gélatine et agar-agar : principes et utilisations</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</si>
  <si>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</si>
  <si>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</si>
  <si>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</si>
  <si>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</si>
  <si>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 entier  ( 1 =</t>
  </si>
  <si>
    <t>Jaunes d'œufs ( 1 =</t>
  </si>
  <si>
    <t>Blancs d'œufs  ( 1 =</t>
  </si>
  <si>
    <t>œufs =</t>
  </si>
  <si>
    <t>gr</t>
  </si>
  <si>
    <t>jaunes =</t>
  </si>
  <si>
    <t>blancs =</t>
  </si>
  <si>
    <t>Protéines</t>
  </si>
  <si>
    <t>M.Grasse</t>
  </si>
  <si>
    <t>si vous n'êtes pas d'accord avec les grammages saisis - saisissez ce qui vous convient</t>
  </si>
  <si>
    <t>Combien d'œufs - de jaunes ou de blancs - à vous de saisir un nombre</t>
  </si>
  <si>
    <t>Lien internet :</t>
  </si>
  <si>
    <t>Œufs 101 - Introduction aux œufs » Lesoeufs.ca</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</si>
  <si>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</si>
  <si>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</si>
  <si>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</si>
  <si>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</si>
  <si>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</si>
  <si>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</si>
  <si>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</si>
  <si>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</si>
  <si>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</si>
  <si>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</si>
  <si>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</si>
  <si>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j'ai volontairement ajouté cette colonne..si vous supprimez une ligne le tableau fonctionnera quand même</t>
  </si>
  <si>
    <t xml:space="preserve">Veullez saisir les informations dans les cellules fond de couleur ivoire. </t>
  </si>
  <si>
    <t>SERVICE EN FONCTION DES EFFECTIFS</t>
  </si>
  <si>
    <t>COUSCOUS</t>
  </si>
  <si>
    <t>Document édité le :</t>
  </si>
  <si>
    <t>grammages ou nombre de Morceaux ou tranches à saisir</t>
  </si>
  <si>
    <t>haut de cuisse de poulet</t>
  </si>
  <si>
    <t>pilon de poulet</t>
  </si>
  <si>
    <t>merguez</t>
  </si>
  <si>
    <t>Agneau en morceaux</t>
  </si>
  <si>
    <t>Agneau boulettes</t>
  </si>
  <si>
    <t>&lt; Total Mx par convive</t>
  </si>
  <si>
    <t>légumes couscous cuits</t>
  </si>
  <si>
    <t>Semoule cuite</t>
  </si>
  <si>
    <t>POISSON PANÉ</t>
  </si>
  <si>
    <t xml:space="preserve">Poids unitaire du produit </t>
  </si>
  <si>
    <t>Grammages à servir</t>
  </si>
  <si>
    <t>Prévoir :</t>
  </si>
  <si>
    <t>enfants</t>
  </si>
  <si>
    <t>Comment servir ce produit</t>
  </si>
  <si>
    <t>1 Part =</t>
  </si>
  <si>
    <t>Poids  produit à servir</t>
  </si>
  <si>
    <t>Poids  produit envoyé</t>
  </si>
  <si>
    <t>Écart de poids</t>
  </si>
  <si>
    <t>Meilleur rapport</t>
  </si>
  <si>
    <t>produits entiers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</si>
  <si>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</si>
  <si>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</si>
  <si>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Petit utilitaire d'Aide à la décision</t>
  </si>
  <si>
    <t xml:space="preserve"> et vos grammages nets à servir</t>
  </si>
  <si>
    <t>Quantités à Prévoir</t>
  </si>
  <si>
    <t>Net à servir :</t>
  </si>
  <si>
    <t>Net</t>
  </si>
  <si>
    <t>Brut</t>
  </si>
  <si>
    <t>poids de perte</t>
  </si>
  <si>
    <t>en moyenne par convive</t>
  </si>
  <si>
    <t>Facultatif Mais si vous saisissez un % la question à vous poser c'est : le produit brut ou cru perd comblien au parage ou en cuisson</t>
  </si>
  <si>
    <t>Vous obtiendrez le poids brut à commander</t>
  </si>
  <si>
    <t>POURCENTAGES  1</t>
  </si>
  <si>
    <t>Aide à la décision en Gr</t>
  </si>
  <si>
    <t>Pour prendre, par exemple, le 5 % de 87 Kg</t>
  </si>
  <si>
    <t>Pour déduire, par exemple, le 5 % de 87 Kg</t>
  </si>
  <si>
    <t>Pour prendre 20% de 140</t>
  </si>
  <si>
    <t xml:space="preserve">Voici la formule pour calculer un pourcentage, </t>
  </si>
  <si>
    <t>largeur de colonnes</t>
  </si>
  <si>
    <t>Valeur d'un pourcentage, calcul simplifié</t>
  </si>
  <si>
    <t>Au lieu de multiplier par 5, puis de diviser par 100,</t>
  </si>
  <si>
    <t>Commencer par un calcul oral: quand on déduit le</t>
  </si>
  <si>
    <t xml:space="preserve"> il est plus simple de multiplier par </t>
  </si>
  <si>
    <t xml:space="preserve"> 5 %, il reste le 95 %     ( 100 - 5 )</t>
  </si>
  <si>
    <t xml:space="preserve">5 / 100 = 0.05, </t>
  </si>
  <si>
    <t xml:space="preserve">On peut alors calculer directement le résultat, à savoir: </t>
  </si>
  <si>
    <t>opération qu'on peut réaliser mentalement.</t>
  </si>
  <si>
    <t>(87 Kg) × 0.95 = 82.65 kg</t>
  </si>
  <si>
    <t>coefficient</t>
  </si>
  <si>
    <t>Le calcul se réduit maintenant à une seule opération arithmétique, a savoir</t>
  </si>
  <si>
    <t xml:space="preserve">Avec cette manière de faire, la calculatrice n'a été utilisée que pour une seule opération arithmétique : </t>
  </si>
  <si>
    <t>(87 Kg) x 0.05 = 4.35 Kg</t>
  </si>
  <si>
    <t>il suffit de multiplier 140 par 20 %</t>
  </si>
  <si>
    <t>par exemple 8% de 500 :</t>
  </si>
  <si>
    <t>c'est-à-dire faire : (140 * 20) / 100</t>
  </si>
  <si>
    <t>500 x (8/100) = 40</t>
  </si>
  <si>
    <t xml:space="preserve">ou plus simplement : </t>
  </si>
  <si>
    <t>ou alors</t>
  </si>
  <si>
    <t>140 * 0.2(On obtient : 28)</t>
  </si>
  <si>
    <t>500 x 0.08 = 40</t>
  </si>
  <si>
    <t xml:space="preserve">Si on avait à trouver 40% de 140, </t>
  </si>
  <si>
    <t>0.08 = (8/100)</t>
  </si>
  <si>
    <t>on aurait multiplié 140 par 0.4</t>
  </si>
  <si>
    <t>90% ? On multiplie 140 par 0.9</t>
  </si>
  <si>
    <t>POURCENTAGES  2  - à vous de choisir le lien qui vous intéresse</t>
  </si>
  <si>
    <t>Formule avec DONT</t>
  </si>
  <si>
    <t>https://www.maths-et-tiques.fr/telech/Pourcent.pdf</t>
  </si>
  <si>
    <t>http://www.maths-et-tiques.fr/index.php/cours-en-videos</t>
  </si>
  <si>
    <t>Poids brut ou poids net ? Ne payez pas l'emballage !</t>
  </si>
  <si>
    <t>https://www.google.com/search?client=firefox-b-d&amp;sca_esv=564255901&amp;sxsrf=AB5stBihJ69cL1ng1vQDYXKmUFWjQYd6jQ:1694407722726&amp;q=dgccrf+Poids+brut+ou+poids+net+?+Ne+payer+pas+l%27emballage+!&amp;spell=1&amp;sa=X&amp;ved=2ahUKEwjRtKvT4KGBAxVJWqQEHb3mCrcQBSgAegQICBAB&amp;biw=1564&amp;bih=722&amp;dpr=1.2</t>
  </si>
  <si>
    <t>A chacun d'utiliser le lien qui lui convient le mieux</t>
  </si>
  <si>
    <t>lien vidéo Youtube</t>
  </si>
  <si>
    <t>Calculer un pourcentage - exemple</t>
  </si>
  <si>
    <t>https://www.youtube.com/watch?v=mGDjvAcvigc</t>
  </si>
  <si>
    <t>https://www.youtube.com/c/YMONKA</t>
  </si>
  <si>
    <t>https://www.youtube.com/watch?v=tSp2xkS-tKs</t>
  </si>
  <si>
    <t>https://www.youtube.com/watch?v=dWC54hCv0pc</t>
  </si>
  <si>
    <t>https://www.youtube.com/watch?v=psIZ0y_8VVc</t>
  </si>
  <si>
    <t>https://www.youtube.com/watch?v=_PTjJ7UD4eo</t>
  </si>
  <si>
    <t>Quiche</t>
  </si>
  <si>
    <t>garniture œufs + lait+ jambon de dinde</t>
  </si>
  <si>
    <t>dont jambon de dinde</t>
  </si>
  <si>
    <t>Produits complémentaires</t>
  </si>
  <si>
    <t xml:space="preserve">❶ </t>
  </si>
  <si>
    <t>Moins ❷</t>
  </si>
  <si>
    <t xml:space="preserve"> =  ❷</t>
  </si>
  <si>
    <t>garniture avec le produit à extraire</t>
  </si>
  <si>
    <t>DONT produit à extraire</t>
  </si>
  <si>
    <t>vous obtenez le % du/des produiits(s) complémentaire(s)</t>
  </si>
  <si>
    <t>POURCENTAGES  et autre  - je vous invite à naviguer sur les différentes pages de ces sites</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</si>
  <si>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</si>
  <si>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</si>
  <si>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</si>
  <si>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</si>
  <si>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</si>
  <si>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</si>
  <si>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</si>
  <si>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</si>
  <si>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</si>
  <si>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</si>
  <si>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</si>
  <si>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</si>
  <si>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</si>
  <si>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</si>
  <si>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</si>
  <si>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</si>
  <si>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</si>
  <si>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</si>
  <si>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</si>
  <si>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</si>
  <si>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</si>
  <si>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</si>
  <si>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</si>
  <si>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Arrêt du service Pages perso</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</si>
  <si>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</si>
  <si>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</si>
  <si>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</si>
  <si>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</si>
  <si>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</si>
  <si>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</si>
  <si>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</si>
  <si>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</si>
  <si>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</si>
  <si>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</si>
  <si>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</si>
  <si>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</si>
  <si>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</si>
  <si>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</si>
  <si>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</si>
  <si>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Grille d’analyse des contrastes d’une charte</t>
  </si>
  <si>
    <t>https://blog.atalan.fr/grille-contrastes-accessibilite-charte-graphique/</t>
  </si>
  <si>
    <t>Contrastes de couleurs de texte</t>
  </si>
  <si>
    <t>https://www.tanaguru.com/contrastes-couleurs-choisir-combinaisons-accessibles/</t>
  </si>
  <si>
    <t>Les 10 meilleures polices d’écriture</t>
  </si>
  <si>
    <t>Palette de couleurs, Excel</t>
  </si>
  <si>
    <t>Utiliser la pipette pour faire correspondre les couleurs de votre diapositive</t>
  </si>
  <si>
    <t>https://www.redacteur.com/blog/polices-ecriture-a-utiliser/</t>
  </si>
  <si>
    <t>https://support.microsoft.com/fr-fr/office/utiliser-la-pipette-pour-faire-correspondre-les-couleurs-de-votre-diapositive-d5e7a32a-da6c-4bed-9f1e-8797f07174e9</t>
  </si>
  <si>
    <t>Codes de couleur HTML sécurisés pour le Web / Tableau de référence</t>
  </si>
  <si>
    <t>https://encycolorpedia.com/websafe</t>
  </si>
  <si>
    <t>Comment utiliser un code couleur dans Excel ?</t>
  </si>
  <si>
    <t>Codes de couleurs HTML / Tableau de référence</t>
  </si>
  <si>
    <t>https://clickup.com/fr-FR/blog/202591/comment-faire-un-code-couleur-dans-excel</t>
  </si>
  <si>
    <t>https://encycolorpedia.com/html</t>
  </si>
  <si>
    <t>https://excel-downloads.com/forums/forum-excel.7/</t>
  </si>
  <si>
    <t>Codes de couleurs nommés / Tableau de référence</t>
  </si>
  <si>
    <t>https://encycolorpedia.com/named</t>
  </si>
  <si>
    <t>L'association de couleurs expliquée en 20 exemples tendance</t>
  </si>
  <si>
    <t>Correspondance des couleurs de peinture et convertisseur</t>
  </si>
  <si>
    <t>https://www.canva.com/fr_fr/decouvrir/association-de-couleur-tendance-exemple/</t>
  </si>
  <si>
    <t>https://encycolorpedia.com/paints</t>
  </si>
  <si>
    <t>http://translate.google.fr/translate?hl=fr&amp;langpair=en|fr&amp;u=http://dmcritchie.mvps.org/excel/colors.htm</t>
  </si>
  <si>
    <t>Votre éditeur de photo en ligne est là et restera toujours gratuit !</t>
  </si>
  <si>
    <t>https://www.iloveimg.com/fr</t>
  </si>
  <si>
    <t>Coul</t>
  </si>
  <si>
    <t>Hex</t>
  </si>
  <si>
    <t>R.rouge</t>
  </si>
  <si>
    <t>V.vert</t>
  </si>
  <si>
    <t>B.bleu</t>
  </si>
  <si>
    <t>Name</t>
  </si>
  <si>
    <t>Désignation</t>
  </si>
  <si>
    <t>[Couleur 1]</t>
  </si>
  <si>
    <t>#000000</t>
  </si>
  <si>
    <t>[Couleur 29]</t>
  </si>
  <si>
    <t># 800080</t>
  </si>
  <si>
    <t>Profond ciel Bleu</t>
  </si>
  <si>
    <t>Azur</t>
  </si>
  <si>
    <t>gris 29</t>
  </si>
  <si>
    <t>Gris foncé.856</t>
  </si>
  <si>
    <t>bisque2</t>
  </si>
  <si>
    <t>Orange clair.341 délavé.429</t>
  </si>
  <si>
    <t>[Couleur 2]</t>
  </si>
  <si>
    <t>#FFFFFF</t>
  </si>
  <si>
    <t>[Couleur 30]</t>
  </si>
  <si>
    <t># 800000</t>
  </si>
  <si>
    <t>Azur clair.023 délavé.795</t>
  </si>
  <si>
    <t>gris 28</t>
  </si>
  <si>
    <t>Gris foncé.868</t>
  </si>
  <si>
    <t>Jaune orangé pâle</t>
  </si>
  <si>
    <t>Orange clair.342 délavé.130</t>
  </si>
  <si>
    <t>[Couleur 3]</t>
  </si>
  <si>
    <t>#FF0000</t>
  </si>
  <si>
    <t>[Couleur 31]</t>
  </si>
  <si>
    <t># 008080</t>
  </si>
  <si>
    <t>ciel Bleu2</t>
  </si>
  <si>
    <t>Azur clair.075 délavé.306</t>
  </si>
  <si>
    <t>gris 27</t>
  </si>
  <si>
    <t>Gris foncé.875</t>
  </si>
  <si>
    <t xml:space="preserve">NavajoBlanc </t>
  </si>
  <si>
    <t>Orange clair.427</t>
  </si>
  <si>
    <t>[Couleur 4]</t>
  </si>
  <si>
    <t>#00FF00</t>
  </si>
  <si>
    <t>[Couleur 32]</t>
  </si>
  <si>
    <t># 0000FF</t>
  </si>
  <si>
    <t>léger ciel Bleu</t>
  </si>
  <si>
    <t>Azur clair.207 délavé.108</t>
  </si>
  <si>
    <t>gris 26</t>
  </si>
  <si>
    <t>Gris foncé.885</t>
  </si>
  <si>
    <t>AntiqueBlanc 2</t>
  </si>
  <si>
    <t>Orange clair.470 délavé.534</t>
  </si>
  <si>
    <t>[Couleur 5]</t>
  </si>
  <si>
    <t>#0000FF</t>
  </si>
  <si>
    <t>[Couleur 33]</t>
  </si>
  <si>
    <t># 00CCFF</t>
  </si>
  <si>
    <t>Bleu très clair</t>
  </si>
  <si>
    <t>Azur clair.248 délavé.312</t>
  </si>
  <si>
    <t>gris 25</t>
  </si>
  <si>
    <t>Gris foncé.892</t>
  </si>
  <si>
    <t>Bisque</t>
  </si>
  <si>
    <t>Orange clair.560</t>
  </si>
  <si>
    <t>[Couleur 6]</t>
  </si>
  <si>
    <t>#FFFF00</t>
  </si>
  <si>
    <t>[Couleur 34]</t>
  </si>
  <si>
    <t># CCFFFF</t>
  </si>
  <si>
    <t>ciel Bleu1</t>
  </si>
  <si>
    <t>Azur clair.250</t>
  </si>
  <si>
    <t>gris 24</t>
  </si>
  <si>
    <t>Gris foncé.902</t>
  </si>
  <si>
    <t xml:space="preserve">AntiqueBlanc </t>
  </si>
  <si>
    <t>Orange clair.643 délavé.241</t>
  </si>
  <si>
    <t>[Couleur 7]</t>
  </si>
  <si>
    <t>#FF00FF</t>
  </si>
  <si>
    <t>[Couleur 35]</t>
  </si>
  <si>
    <t># CCFFCC</t>
  </si>
  <si>
    <t>Bleu très pâle</t>
  </si>
  <si>
    <t>Azur clair.308 délavé.589</t>
  </si>
  <si>
    <t>gris 23</t>
  </si>
  <si>
    <t>Gris foncé.908</t>
  </si>
  <si>
    <t>AntiqueBlanc 1</t>
  </si>
  <si>
    <t>Orange clair.715</t>
  </si>
  <si>
    <t>[Couleur 8]</t>
  </si>
  <si>
    <t>#00FFFF</t>
  </si>
  <si>
    <t>[Couleur 36]</t>
  </si>
  <si>
    <t># FFFF99</t>
  </si>
  <si>
    <t>Ardoise gris 2</t>
  </si>
  <si>
    <t>Azur clair.352 délavé.437</t>
  </si>
  <si>
    <t>gris 22</t>
  </si>
  <si>
    <t>Gris foncé.917</t>
  </si>
  <si>
    <t>Lin</t>
  </si>
  <si>
    <t>Orange clair.753 délavé.348</t>
  </si>
  <si>
    <t>[Couleur 9]</t>
  </si>
  <si>
    <t>#800000</t>
  </si>
  <si>
    <t>[Couleur 37]</t>
  </si>
  <si>
    <t># 99CCFF</t>
  </si>
  <si>
    <t>Ardoise gris 1</t>
  </si>
  <si>
    <t>Azur clair.573</t>
  </si>
  <si>
    <t>gris 21</t>
  </si>
  <si>
    <t>Gris foncé.922</t>
  </si>
  <si>
    <t>burlywood</t>
  </si>
  <si>
    <t>Orange foncé.013 délavé.507</t>
  </si>
  <si>
    <t>[Couleur 10]</t>
  </si>
  <si>
    <t>#008000</t>
  </si>
  <si>
    <t>[Couleur 38]</t>
  </si>
  <si>
    <t># FF99CC</t>
  </si>
  <si>
    <t>Blanc</t>
  </si>
  <si>
    <t>Azur clair.798 délavé.919</t>
  </si>
  <si>
    <t>gris 20</t>
  </si>
  <si>
    <t>Gris foncé.930</t>
  </si>
  <si>
    <t>bisque3</t>
  </si>
  <si>
    <t>Orange foncé.031 délavé.724</t>
  </si>
  <si>
    <t>[Couleur 11]</t>
  </si>
  <si>
    <t># 000080</t>
  </si>
  <si>
    <t>[Couleur 39]</t>
  </si>
  <si>
    <t># CC99FF</t>
  </si>
  <si>
    <t>AliceBleu</t>
  </si>
  <si>
    <t>Azur clair.875</t>
  </si>
  <si>
    <t>Gris anthracite</t>
  </si>
  <si>
    <t>Gris foncé.938</t>
  </si>
  <si>
    <t>tan</t>
  </si>
  <si>
    <t>Orange foncé.078 délavé.587</t>
  </si>
  <si>
    <t>[Couleur 12]</t>
  </si>
  <si>
    <t># 808000</t>
  </si>
  <si>
    <t>[Couleur 40]</t>
  </si>
  <si>
    <t># FFCC99</t>
  </si>
  <si>
    <t>Ardoise gris 3</t>
  </si>
  <si>
    <t>Azur foncé.026 délavé.730</t>
  </si>
  <si>
    <t>gris 18</t>
  </si>
  <si>
    <t>Gris foncé.943</t>
  </si>
  <si>
    <t>NavajoBlanc 3</t>
  </si>
  <si>
    <t>Orange foncé.115 délavé.602</t>
  </si>
  <si>
    <t>[Couleur 13]</t>
  </si>
  <si>
    <t>[Couleur 41]</t>
  </si>
  <si>
    <t># 3366FF</t>
  </si>
  <si>
    <t>Profond ciel Bleu2</t>
  </si>
  <si>
    <t>Azur foncé.142</t>
  </si>
  <si>
    <t>gris 17</t>
  </si>
  <si>
    <t>Gris foncé.949</t>
  </si>
  <si>
    <t>Dorérod2</t>
  </si>
  <si>
    <t>Orange foncé.125 délavé.038</t>
  </si>
  <si>
    <t>[Couleur 14]</t>
  </si>
  <si>
    <t>[Couleur 42]</t>
  </si>
  <si>
    <t># 33CCCC</t>
  </si>
  <si>
    <t>Bleu clair</t>
  </si>
  <si>
    <t>Azur foncé.220 délavé.432</t>
  </si>
  <si>
    <t>gris 16</t>
  </si>
  <si>
    <t>Gris foncé.954</t>
  </si>
  <si>
    <t>Jaune orangé moyen</t>
  </si>
  <si>
    <t>Orange foncé.127 délavé.229</t>
  </si>
  <si>
    <t>[Couleur 15]</t>
  </si>
  <si>
    <t># C0C0C0</t>
  </si>
  <si>
    <t>[Couleur 43]</t>
  </si>
  <si>
    <t># 99CC00</t>
  </si>
  <si>
    <t>ciel Bleu3</t>
  </si>
  <si>
    <t>Azur foncé.226 délavé.403</t>
  </si>
  <si>
    <t>gris 15</t>
  </si>
  <si>
    <t>Gris foncé.959</t>
  </si>
  <si>
    <t>SombRouge orérod2</t>
  </si>
  <si>
    <t>Orange foncé.137 délavé.010</t>
  </si>
  <si>
    <t>[Couleur 16]</t>
  </si>
  <si>
    <t># 808080</t>
  </si>
  <si>
    <t>[Couleur 44]</t>
  </si>
  <si>
    <t># FFCC00</t>
  </si>
  <si>
    <t>Bleu pâle</t>
  </si>
  <si>
    <t>Azur foncé.265 délavé.794</t>
  </si>
  <si>
    <t>gris 14</t>
  </si>
  <si>
    <t>Gris foncé.963</t>
  </si>
  <si>
    <t>burlywood3</t>
  </si>
  <si>
    <t>Orange foncé.169 délavé.512</t>
  </si>
  <si>
    <t>[Couleur 17]</t>
  </si>
  <si>
    <t># 9999FF</t>
  </si>
  <si>
    <t>[Couleur 45]</t>
  </si>
  <si>
    <t># FF9900</t>
  </si>
  <si>
    <t>Azur foncé.354 délavé.108</t>
  </si>
  <si>
    <t>gris 13</t>
  </si>
  <si>
    <t>Gris foncé.968</t>
  </si>
  <si>
    <t>Dorérod</t>
  </si>
  <si>
    <t>Orange foncé.277 délavé.042</t>
  </si>
  <si>
    <t>[Couleur 18]</t>
  </si>
  <si>
    <t># 993366</t>
  </si>
  <si>
    <t>[Couleur 46]</t>
  </si>
  <si>
    <t># FF6600</t>
  </si>
  <si>
    <t>ciel Bleu</t>
  </si>
  <si>
    <t>Azur foncé.355 délavé.104</t>
  </si>
  <si>
    <t>gris 12</t>
  </si>
  <si>
    <t>Gris foncé.972</t>
  </si>
  <si>
    <t>Brun jaunâtre clair</t>
  </si>
  <si>
    <t>Orange foncé.305 délavé.441</t>
  </si>
  <si>
    <t>[Couleur 19]</t>
  </si>
  <si>
    <t>#FFFFCC</t>
  </si>
  <si>
    <t>[Couleur 47]</t>
  </si>
  <si>
    <t># 666699</t>
  </si>
  <si>
    <t>Profond ciel Bleu3</t>
  </si>
  <si>
    <t>Azur foncé.382</t>
  </si>
  <si>
    <t>gris 11</t>
  </si>
  <si>
    <t>Gris foncé.976</t>
  </si>
  <si>
    <t>Brun jaunâtre clair grisâtre</t>
  </si>
  <si>
    <t>Orange foncé.337 délavé.696</t>
  </si>
  <si>
    <t>[Couleur 20]</t>
  </si>
  <si>
    <t>[Couleur 48]</t>
  </si>
  <si>
    <t># 969696</t>
  </si>
  <si>
    <t>Bleu acier</t>
  </si>
  <si>
    <t>Azur foncé.456 délavé.163</t>
  </si>
  <si>
    <t>gris 10</t>
  </si>
  <si>
    <t>Gris foncé.979</t>
  </si>
  <si>
    <t>Dorérod3</t>
  </si>
  <si>
    <t>Orange foncé.369 délavé.040</t>
  </si>
  <si>
    <t>[Couleur 21]</t>
  </si>
  <si>
    <t># 660066</t>
  </si>
  <si>
    <t>[Couleur 49]</t>
  </si>
  <si>
    <t># 003366</t>
  </si>
  <si>
    <t xml:space="preserve">léger Ardoise gris </t>
  </si>
  <si>
    <t>Azur foncé.481 délavé.738</t>
  </si>
  <si>
    <t>gris 9</t>
  </si>
  <si>
    <t>Gris foncé.982</t>
  </si>
  <si>
    <t>SombRouge orérod3</t>
  </si>
  <si>
    <t>Orange foncé.378 délavé.012</t>
  </si>
  <si>
    <t>[Couleur 22]</t>
  </si>
  <si>
    <t># FF8080</t>
  </si>
  <si>
    <t>[Couleur 50]</t>
  </si>
  <si>
    <t>#339966</t>
  </si>
  <si>
    <t xml:space="preserve">Ardoise gris </t>
  </si>
  <si>
    <t>Azur foncé.544 délavé.739</t>
  </si>
  <si>
    <t>gris 8</t>
  </si>
  <si>
    <t>Gris foncé.986</t>
  </si>
  <si>
    <t>CSS Or</t>
  </si>
  <si>
    <t>Orange foncé.388</t>
  </si>
  <si>
    <t>[Couleur 23]</t>
  </si>
  <si>
    <t># 0066CC</t>
  </si>
  <si>
    <t>[Couleur 52]</t>
  </si>
  <si>
    <t># 333300</t>
  </si>
  <si>
    <t>Ardoise gris 4</t>
  </si>
  <si>
    <t>Azur foncé.577 délavé.739</t>
  </si>
  <si>
    <t>gris 7</t>
  </si>
  <si>
    <t>Gris foncé.988</t>
  </si>
  <si>
    <t>Jaune orangé foncé</t>
  </si>
  <si>
    <t>Orange foncé.427 délavé.171</t>
  </si>
  <si>
    <t>[Couleur 24]</t>
  </si>
  <si>
    <t># CCCCFF</t>
  </si>
  <si>
    <t>[Couleur 53]</t>
  </si>
  <si>
    <t># 993300</t>
  </si>
  <si>
    <t>Gris de Payne</t>
  </si>
  <si>
    <t>Azur foncé.660 délavé.833</t>
  </si>
  <si>
    <t>gris 6</t>
  </si>
  <si>
    <t>Gris foncé.991</t>
  </si>
  <si>
    <t>SombRouge orérod</t>
  </si>
  <si>
    <t>Orange foncé.509 délavé.013</t>
  </si>
  <si>
    <t>[Couleur 25]</t>
  </si>
  <si>
    <t>[Couleur 54]</t>
  </si>
  <si>
    <t>ciel Bleu4</t>
  </si>
  <si>
    <t>Azur foncé.662 délavé.425</t>
  </si>
  <si>
    <t>gris 5</t>
  </si>
  <si>
    <t>Gris foncé.992</t>
  </si>
  <si>
    <t>bronze II</t>
  </si>
  <si>
    <t>Orange foncé.561 délavé.223</t>
  </si>
  <si>
    <t>[Couleur 26]</t>
  </si>
  <si>
    <t># FF00FF</t>
  </si>
  <si>
    <t>[Couleur 55]</t>
  </si>
  <si>
    <t># 333399</t>
  </si>
  <si>
    <t>Acier Bleu</t>
  </si>
  <si>
    <t>Azur foncé.704 délavé.118</t>
  </si>
  <si>
    <t>gris 4</t>
  </si>
  <si>
    <t>Gris foncé.994</t>
  </si>
  <si>
    <t>Havane</t>
  </si>
  <si>
    <t>Orange foncé.573 délavé.572</t>
  </si>
  <si>
    <t>[Couleur 27]</t>
  </si>
  <si>
    <t># FFFF00</t>
  </si>
  <si>
    <t>[Couleur 56]</t>
  </si>
  <si>
    <t># 333333</t>
  </si>
  <si>
    <t>Bleu grisâtre</t>
  </si>
  <si>
    <t>Azur foncé.714 délavé.635</t>
  </si>
  <si>
    <t>gris 3</t>
  </si>
  <si>
    <t>Gris foncé.995</t>
  </si>
  <si>
    <t>Terre de Sienne brûlée</t>
  </si>
  <si>
    <t>Orange foncé.574 délavé.526</t>
  </si>
  <si>
    <t>[Couleur 28]</t>
  </si>
  <si>
    <t># 00FFFF</t>
  </si>
  <si>
    <t>Profond ciel Bleu4</t>
  </si>
  <si>
    <t>Azur foncé.734</t>
  </si>
  <si>
    <t>gris 2</t>
  </si>
  <si>
    <t>Gris foncé.997</t>
  </si>
  <si>
    <t>bisque4</t>
  </si>
  <si>
    <t>Orange foncé.580 délavé.730</t>
  </si>
  <si>
    <t>Gris foncé bleuté</t>
  </si>
  <si>
    <t>Azur foncé.797 délavé.849</t>
  </si>
  <si>
    <t>gris 1</t>
  </si>
  <si>
    <t>Gris foncé.998</t>
  </si>
  <si>
    <t>NavajoBlanc 4</t>
  </si>
  <si>
    <t>Orange foncé.617 délavé.610</t>
  </si>
  <si>
    <t>Liste de 729 couleurs RGB</t>
  </si>
  <si>
    <t>Bleu de Prusse (pigment)</t>
  </si>
  <si>
    <t>Azur foncé.870 délavé.282</t>
  </si>
  <si>
    <t>Jaune secondaire</t>
  </si>
  <si>
    <t>Jaune</t>
  </si>
  <si>
    <t>burlywood4</t>
  </si>
  <si>
    <t>Orange foncé.638 délavé.526</t>
  </si>
  <si>
    <t>https://excel-pratique.com/fr/vba/liste-couleurs-rgb.php</t>
  </si>
  <si>
    <t>Bleu foncé grisâtre</t>
  </si>
  <si>
    <t>Azur foncé.879 délavé.642</t>
  </si>
  <si>
    <t>Jaune verdâtre clair</t>
  </si>
  <si>
    <t>Jaune clair.025 délavé.355</t>
  </si>
  <si>
    <t>Châtaigne</t>
  </si>
  <si>
    <t>Orange foncé.670 délavé.648</t>
  </si>
  <si>
    <t>Bleu noirâtre</t>
  </si>
  <si>
    <t>Azur foncé.954 délavé.652</t>
  </si>
  <si>
    <t>Jaune citron</t>
  </si>
  <si>
    <t>Jaune clair.048</t>
  </si>
  <si>
    <t>Châtain</t>
  </si>
  <si>
    <t>Orange foncé.676 délavé.354</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</si>
  <si>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</si>
  <si>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</si>
  <si>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</si>
  <si>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</si>
  <si>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</si>
  <si>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</si>
  <si>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</si>
  <si>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</si>
  <si>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</si>
  <si>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</si>
  <si>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</si>
  <si>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</si>
  <si>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</si>
  <si>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</si>
  <si>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</si>
  <si>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</si>
  <si>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</si>
  <si>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</si>
  <si>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</si>
  <si>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</si>
  <si>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</si>
  <si>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</si>
  <si>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</si>
  <si>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</si>
  <si>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</si>
  <si>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</si>
  <si>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</si>
  <si>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</si>
  <si>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</si>
  <si>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</si>
  <si>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</si>
  <si>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</si>
  <si>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</si>
  <si>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</si>
  <si>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</si>
  <si>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</si>
  <si>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</si>
  <si>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</si>
  <si>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</si>
  <si>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</si>
  <si>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</si>
  <si>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</si>
  <si>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</si>
  <si>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</si>
  <si>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</si>
  <si>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</si>
  <si>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</si>
  <si>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</si>
  <si>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</si>
  <si>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</si>
  <si>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</si>
  <si>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</si>
  <si>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</si>
  <si>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</si>
  <si>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</si>
  <si>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</si>
  <si>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</si>
  <si>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</si>
  <si>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</si>
  <si>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</si>
  <si>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</si>
  <si>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</si>
  <si>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</si>
  <si>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</si>
  <si>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</si>
  <si>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</si>
  <si>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</si>
  <si>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</si>
  <si>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</si>
  <si>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</si>
  <si>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</si>
  <si>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</si>
  <si>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</si>
  <si>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</si>
  <si>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</si>
  <si>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</si>
  <si>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</si>
  <si>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</si>
  <si>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</si>
  <si>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</si>
  <si>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</si>
  <si>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</si>
  <si>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</si>
  <si>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</si>
  <si>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</si>
  <si>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</si>
  <si>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</si>
  <si>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</si>
  <si>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</si>
  <si>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</si>
  <si>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</si>
  <si>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</si>
  <si>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</si>
  <si>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</si>
  <si>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</si>
  <si>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</si>
  <si>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</si>
  <si>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</si>
  <si>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</si>
  <si>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</si>
  <si>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</si>
  <si>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</si>
  <si>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</si>
  <si>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</si>
  <si>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</si>
  <si>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</si>
  <si>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</si>
  <si>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</si>
  <si>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</si>
  <si>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</si>
  <si>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</si>
  <si>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</si>
  <si>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</si>
  <si>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</si>
  <si>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</si>
  <si>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</si>
  <si>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</si>
  <si>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</si>
  <si>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</si>
  <si>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</si>
  <si>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</si>
  <si>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</si>
  <si>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</si>
  <si>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</si>
  <si>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</si>
  <si>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</si>
  <si>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</si>
  <si>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</si>
  <si>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</si>
  <si>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</si>
  <si>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</si>
  <si>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</si>
  <si>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</si>
  <si>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</si>
  <si>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</si>
  <si>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</si>
  <si>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</si>
  <si>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</si>
  <si>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</si>
  <si>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</si>
  <si>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</si>
  <si>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</si>
  <si>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</si>
  <si>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</si>
  <si>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</si>
  <si>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</si>
  <si>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</si>
  <si>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</si>
  <si>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</si>
  <si>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</si>
  <si>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</si>
  <si>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</si>
  <si>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</si>
  <si>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</si>
  <si>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</si>
  <si>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</si>
  <si>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</si>
  <si>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</si>
  <si>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</si>
  <si>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</si>
  <si>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</si>
  <si>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</si>
  <si>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</si>
  <si>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</si>
  <si>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</si>
  <si>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</si>
  <si>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</si>
  <si>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</si>
  <si>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</si>
  <si>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</si>
  <si>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</si>
  <si>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</si>
  <si>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</si>
  <si>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</si>
  <si>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</si>
  <si>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</si>
  <si>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</si>
  <si>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</si>
  <si>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</si>
  <si>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</si>
  <si>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</si>
  <si>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</si>
  <si>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</si>
  <si>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</si>
  <si>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</si>
  <si>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</si>
  <si>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</si>
  <si>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</si>
  <si>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</si>
  <si>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</si>
  <si>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</si>
  <si>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</si>
  <si>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</si>
  <si>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</si>
  <si>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</si>
  <si>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</si>
  <si>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</si>
  <si>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</si>
  <si>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</si>
  <si>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</si>
  <si>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</si>
  <si>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</si>
  <si>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</si>
  <si>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</si>
  <si>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</si>
  <si>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</si>
  <si>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</si>
  <si>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</si>
  <si>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</si>
  <si>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</si>
  <si>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</si>
  <si>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</si>
  <si>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</si>
  <si>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</si>
  <si>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</si>
  <si>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</si>
  <si>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</si>
  <si>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</si>
  <si>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</si>
  <si>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</si>
  <si>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</si>
  <si>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</si>
  <si>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</si>
  <si>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</si>
  <si>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</si>
  <si>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</si>
  <si>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</si>
  <si>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</si>
  <si>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</si>
  <si>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</si>
  <si>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</si>
  <si>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</si>
  <si>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</si>
  <si>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</si>
  <si>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</si>
  <si>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</si>
  <si>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</si>
  <si>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</si>
  <si>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</si>
  <si>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</si>
  <si>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</si>
  <si>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</si>
  <si>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</si>
  <si>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</si>
  <si>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</si>
  <si>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</si>
  <si>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</si>
  <si>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</si>
  <si>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</si>
  <si>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</si>
  <si>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</si>
  <si>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</si>
  <si>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</si>
  <si>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</si>
  <si>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</si>
  <si>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</si>
  <si>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</si>
  <si>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</si>
  <si>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</si>
  <si>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</si>
  <si>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</si>
  <si>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</si>
  <si>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</si>
  <si>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</si>
  <si>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</si>
  <si>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</si>
  <si>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</si>
  <si>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</si>
  <si>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</si>
  <si>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</si>
  <si>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</si>
  <si>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</si>
  <si>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</si>
  <si>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</si>
  <si>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</si>
  <si>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</si>
  <si>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</si>
  <si>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</si>
  <si>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</si>
  <si>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</si>
  <si>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</si>
  <si>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</si>
  <si>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</si>
  <si>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</si>
  <si>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</si>
  <si>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</si>
  <si>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</si>
  <si>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</si>
  <si>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</si>
  <si>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</si>
  <si>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</si>
  <si>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</si>
  <si>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</si>
  <si>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</si>
  <si>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</si>
  <si>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</si>
  <si>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</si>
  <si>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</si>
  <si>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</si>
  <si>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</si>
  <si>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</si>
  <si>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</si>
  <si>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</si>
  <si>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</si>
  <si>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</si>
  <si>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</si>
  <si>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</si>
  <si>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</si>
  <si>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64, 96, 0</t>
  </si>
  <si>
    <t>64, 96, 32</t>
  </si>
  <si>
    <t>64, 96, 64</t>
  </si>
  <si>
    <t>64, 96, 96</t>
  </si>
  <si>
    <t>64, 96, 128</t>
  </si>
  <si>
    <t>64, 96, 160</t>
  </si>
  <si>
    <t>64, 96, 192</t>
  </si>
  <si>
    <t>64, 96, 224</t>
  </si>
  <si>
    <t>64, 96, 255</t>
  </si>
  <si>
    <t>Bleu profond</t>
  </si>
  <si>
    <t>Azur lég. bleu foncé.850</t>
  </si>
  <si>
    <t>Brillant Or</t>
  </si>
  <si>
    <t>Jaune foncé.290 délavé.028</t>
  </si>
  <si>
    <t>Papaye</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</si>
  <si>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</si>
  <si>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</si>
  <si>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</si>
  <si>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</si>
  <si>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</si>
  <si>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</si>
  <si>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</si>
  <si>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</si>
  <si>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</si>
  <si>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</si>
  <si>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</si>
  <si>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</si>
  <si>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</si>
  <si>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</si>
  <si>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</si>
  <si>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</si>
  <si>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</si>
  <si>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</si>
  <si>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</si>
  <si>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</si>
  <si>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</si>
  <si>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</si>
  <si>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</si>
  <si>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</si>
  <si>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</si>
  <si>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</si>
  <si>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</si>
  <si>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</si>
  <si>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</si>
  <si>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</si>
  <si>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</si>
  <si>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</si>
  <si>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</si>
  <si>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</si>
  <si>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</si>
  <si>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</si>
  <si>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</si>
  <si>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</si>
  <si>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</si>
  <si>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</si>
  <si>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</si>
  <si>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</si>
  <si>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</si>
  <si>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</si>
  <si>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</si>
  <si>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</si>
  <si>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</si>
  <si>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</si>
  <si>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</si>
  <si>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</si>
  <si>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</si>
  <si>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</si>
  <si>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</si>
  <si>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</si>
  <si>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</si>
  <si>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</si>
  <si>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</si>
  <si>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</si>
  <si>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</si>
  <si>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</si>
  <si>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</si>
  <si>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</si>
  <si>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</si>
  <si>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</si>
  <si>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</si>
  <si>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</si>
  <si>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</si>
  <si>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</si>
  <si>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</si>
  <si>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</si>
  <si>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</si>
  <si>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</si>
  <si>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</si>
  <si>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</si>
  <si>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</si>
  <si>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</si>
  <si>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</si>
  <si>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</si>
  <si>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</si>
  <si>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</si>
  <si>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</si>
  <si>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</si>
  <si>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</si>
  <si>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</si>
  <si>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</si>
  <si>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</si>
  <si>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</si>
  <si>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</si>
  <si>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</si>
  <si>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</si>
  <si>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</si>
  <si>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</si>
  <si>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</si>
  <si>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</si>
  <si>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</si>
  <si>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</si>
  <si>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</si>
  <si>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</si>
  <si>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</si>
  <si>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</si>
  <si>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</si>
  <si>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</si>
  <si>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</si>
  <si>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</si>
  <si>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</si>
  <si>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</si>
  <si>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</si>
  <si>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</si>
  <si>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</si>
  <si>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</si>
  <si>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</si>
  <si>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</si>
  <si>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</si>
  <si>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</si>
  <si>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</si>
  <si>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</si>
  <si>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</si>
  <si>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</si>
  <si>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</si>
  <si>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</si>
  <si>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</si>
  <si>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</si>
  <si>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</si>
  <si>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</si>
  <si>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</si>
  <si>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</si>
  <si>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</si>
  <si>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</si>
  <si>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</si>
  <si>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</si>
  <si>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</si>
  <si>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</si>
  <si>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</si>
  <si>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</si>
  <si>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</si>
  <si>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</si>
  <si>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</si>
  <si>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</si>
  <si>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</si>
  <si>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</si>
  <si>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</si>
  <si>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</si>
  <si>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</si>
  <si>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</si>
  <si>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</si>
  <si>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</si>
  <si>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</si>
  <si>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</si>
  <si>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</si>
  <si>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</si>
  <si>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</si>
  <si>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</si>
  <si>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</si>
  <si>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</si>
  <si>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</si>
  <si>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</si>
  <si>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</si>
  <si>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</si>
  <si>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</si>
  <si>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</si>
  <si>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</si>
  <si>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</si>
  <si>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Miel</t>
  </si>
  <si>
    <t>Orange lég. jaune foncé.290 délavé.008</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</si>
  <si>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</si>
  <si>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</si>
  <si>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</si>
  <si>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</si>
  <si>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</si>
  <si>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</si>
  <si>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</si>
  <si>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</si>
  <si>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</si>
  <si>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</si>
  <si>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</si>
  <si>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</si>
  <si>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</si>
  <si>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</si>
  <si>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</si>
  <si>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</si>
  <si>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</si>
  <si>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</si>
  <si>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</si>
  <si>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</si>
  <si>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</si>
  <si>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</si>
  <si>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</si>
  <si>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</si>
  <si>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</si>
  <si>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</si>
  <si>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</si>
  <si>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</si>
  <si>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</si>
  <si>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</si>
  <si>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</si>
  <si>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</si>
  <si>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</si>
  <si>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</si>
  <si>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</si>
  <si>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</si>
  <si>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</si>
  <si>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</si>
  <si>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</si>
  <si>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</si>
  <si>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</si>
  <si>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</si>
  <si>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</si>
  <si>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</si>
  <si>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</si>
  <si>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128, 0, 0</t>
  </si>
  <si>
    <t>128, 0, 32</t>
  </si>
  <si>
    <t>128, 0, 64</t>
  </si>
  <si>
    <t>128, 0, 96</t>
  </si>
  <si>
    <t>128, 0, 128</t>
  </si>
  <si>
    <t>128, 0, 160</t>
  </si>
  <si>
    <t>128, 0, 192</t>
  </si>
  <si>
    <t>128, 0, 224</t>
  </si>
  <si>
    <t>128, 0, 255</t>
  </si>
  <si>
    <t>Bleu verdâtre vif</t>
  </si>
  <si>
    <t>Azur lég. cyan foncé.635</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</si>
  <si>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</si>
  <si>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</si>
  <si>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</si>
  <si>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</si>
  <si>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</si>
  <si>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</si>
  <si>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</si>
  <si>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</si>
  <si>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</si>
  <si>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</si>
  <si>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</si>
  <si>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</si>
  <si>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</si>
  <si>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</si>
  <si>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</si>
  <si>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</si>
  <si>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</si>
  <si>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</si>
  <si>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</si>
  <si>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</si>
  <si>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</si>
  <si>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</si>
  <si>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</si>
  <si>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</si>
  <si>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</si>
  <si>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</si>
  <si>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</si>
  <si>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</si>
  <si>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</si>
  <si>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</si>
  <si>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</si>
  <si>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</si>
  <si>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</si>
  <si>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</si>
  <si>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</si>
  <si>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</si>
  <si>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</si>
  <si>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</si>
  <si>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</si>
  <si>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</si>
  <si>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</si>
  <si>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</si>
  <si>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</si>
  <si>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</si>
  <si>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</si>
  <si>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</si>
  <si>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</si>
  <si>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</si>
  <si>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</si>
  <si>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</si>
  <si>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</si>
  <si>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</si>
  <si>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</si>
  <si>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</si>
  <si>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</si>
  <si>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</si>
  <si>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</si>
  <si>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</si>
  <si>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</si>
  <si>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</si>
  <si>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</si>
  <si>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</si>
  <si>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</si>
  <si>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</si>
  <si>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</si>
  <si>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</si>
  <si>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</si>
  <si>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</si>
  <si>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</si>
  <si>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</si>
  <si>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</si>
  <si>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Bleu</t>
  </si>
  <si>
    <t>khaki</t>
  </si>
  <si>
    <t>Jaune lég. orange clair.145 délavé.294</t>
  </si>
  <si>
    <t>wheat4</t>
  </si>
  <si>
    <t>Orange lég. jaune foncé.595 délavé.684</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</si>
  <si>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</si>
  <si>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</si>
  <si>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</si>
  <si>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</si>
  <si>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</si>
  <si>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</si>
  <si>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</si>
  <si>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</si>
  <si>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</si>
  <si>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</si>
  <si>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</si>
  <si>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</si>
  <si>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</si>
  <si>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</si>
  <si>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</si>
  <si>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</si>
  <si>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</si>
  <si>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</si>
  <si>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</si>
  <si>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</si>
  <si>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</si>
  <si>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</si>
  <si>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</si>
  <si>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</si>
  <si>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</si>
  <si>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</si>
  <si>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</si>
  <si>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</si>
  <si>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</si>
  <si>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</si>
  <si>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</si>
  <si>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</si>
  <si>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</si>
  <si>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</si>
  <si>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</si>
  <si>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</si>
  <si>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</si>
  <si>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</si>
  <si>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</si>
  <si>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</si>
  <si>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</si>
  <si>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</si>
  <si>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</si>
  <si>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</si>
  <si>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</si>
  <si>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</si>
  <si>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</si>
  <si>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</si>
  <si>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</si>
  <si>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</si>
  <si>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</si>
  <si>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</si>
  <si>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</si>
  <si>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</si>
  <si>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</si>
  <si>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</si>
  <si>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</si>
  <si>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</si>
  <si>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</si>
  <si>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</si>
  <si>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</si>
  <si>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</si>
  <si>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</si>
  <si>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</si>
  <si>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</si>
  <si>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</si>
  <si>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</si>
  <si>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</si>
  <si>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</si>
  <si>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</si>
  <si>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</si>
  <si>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</si>
  <si>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</si>
  <si>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</si>
  <si>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</si>
  <si>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</si>
  <si>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</si>
  <si>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</si>
  <si>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</si>
  <si>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</si>
  <si>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</si>
  <si>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</si>
  <si>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</si>
  <si>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</si>
  <si>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</si>
  <si>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</si>
  <si>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</si>
  <si>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</si>
  <si>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</si>
  <si>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</si>
  <si>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</si>
  <si>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</si>
  <si>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</si>
  <si>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</si>
  <si>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</si>
  <si>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</si>
  <si>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</si>
  <si>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</si>
  <si>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</si>
  <si>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</si>
  <si>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</si>
  <si>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</si>
  <si>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</si>
  <si>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</si>
  <si>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</si>
  <si>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</si>
  <si>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</si>
  <si>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</si>
  <si>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</si>
  <si>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</si>
  <si>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</si>
  <si>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</si>
  <si>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</si>
  <si>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</si>
  <si>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</si>
  <si>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</si>
  <si>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</si>
  <si>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</si>
  <si>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</si>
  <si>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</si>
  <si>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</si>
  <si>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</si>
  <si>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</si>
  <si>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</si>
  <si>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</si>
  <si>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</si>
  <si>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</si>
  <si>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</si>
  <si>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</si>
  <si>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</si>
  <si>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</si>
  <si>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</si>
  <si>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</si>
  <si>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Mandarine</t>
  </si>
  <si>
    <t>Orange lég. rouge clair.058 délavé.018</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</si>
  <si>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</si>
  <si>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</si>
  <si>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</si>
  <si>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</si>
  <si>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</si>
  <si>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</si>
  <si>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</si>
  <si>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</si>
  <si>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</si>
  <si>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</si>
  <si>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</si>
  <si>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</si>
  <si>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</si>
  <si>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</si>
  <si>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</si>
  <si>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</si>
  <si>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</si>
  <si>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</si>
  <si>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</si>
  <si>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</si>
  <si>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</si>
  <si>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</si>
  <si>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</si>
  <si>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</si>
  <si>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</si>
  <si>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</si>
  <si>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</si>
  <si>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</si>
  <si>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</si>
  <si>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</si>
  <si>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</si>
  <si>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</si>
  <si>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</si>
  <si>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</si>
  <si>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</si>
  <si>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</si>
  <si>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</si>
  <si>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</si>
  <si>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</si>
  <si>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</si>
  <si>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</si>
  <si>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Blé</t>
  </si>
  <si>
    <t>Jaune lég. orange foncé.158 délavé.074</t>
  </si>
  <si>
    <t>Orange clair</t>
  </si>
  <si>
    <t>Orange lég. rouge clair.177 délavé.104</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</si>
  <si>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</si>
  <si>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</si>
  <si>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</si>
  <si>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</si>
  <si>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</si>
  <si>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</si>
  <si>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</si>
  <si>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</si>
  <si>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</si>
  <si>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</si>
  <si>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</si>
  <si>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</si>
  <si>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</si>
  <si>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</si>
  <si>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</si>
  <si>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</si>
  <si>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</si>
  <si>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</si>
  <si>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</si>
  <si>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</si>
  <si>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</si>
  <si>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</si>
  <si>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</si>
  <si>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</si>
  <si>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</si>
  <si>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</si>
  <si>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</si>
  <si>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</si>
  <si>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</si>
  <si>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</si>
  <si>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</si>
  <si>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</si>
  <si>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</si>
  <si>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</si>
  <si>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</si>
  <si>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</si>
  <si>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</si>
  <si>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</si>
  <si>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</si>
  <si>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</si>
  <si>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</si>
  <si>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</si>
  <si>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</si>
  <si>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</si>
  <si>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</si>
  <si>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</si>
  <si>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</si>
  <si>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</si>
  <si>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</si>
  <si>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</si>
  <si>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</si>
  <si>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</si>
  <si>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</si>
  <si>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</si>
  <si>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</si>
  <si>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</si>
  <si>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</si>
  <si>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</si>
  <si>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</si>
  <si>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</si>
  <si>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</si>
  <si>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</si>
  <si>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</si>
  <si>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</si>
  <si>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</si>
  <si>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</si>
  <si>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</si>
  <si>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</si>
  <si>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</si>
  <si>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</si>
  <si>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</si>
  <si>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</si>
  <si>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</si>
  <si>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</si>
  <si>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</si>
  <si>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</si>
  <si>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</si>
  <si>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</si>
  <si>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</si>
  <si>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</si>
  <si>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</si>
  <si>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</si>
  <si>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</si>
  <si>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</si>
  <si>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</si>
  <si>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</si>
  <si>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</si>
  <si>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</si>
  <si>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</si>
  <si>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</si>
  <si>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</si>
  <si>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</si>
  <si>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</si>
  <si>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</si>
  <si>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</si>
  <si>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</si>
  <si>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</si>
  <si>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</si>
  <si>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</si>
  <si>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</si>
  <si>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</si>
  <si>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</si>
  <si>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</si>
  <si>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</si>
  <si>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</si>
  <si>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</si>
  <si>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</si>
  <si>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</si>
  <si>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</si>
  <si>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</si>
  <si>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</si>
  <si>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</si>
  <si>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</si>
  <si>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</si>
  <si>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</si>
  <si>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</si>
  <si>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</si>
  <si>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</si>
  <si>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</si>
  <si>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</si>
  <si>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</si>
  <si>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</si>
  <si>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</si>
  <si>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</si>
  <si>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</si>
  <si>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</si>
  <si>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</si>
  <si>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</si>
  <si>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</si>
  <si>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</si>
  <si>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</si>
  <si>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</si>
  <si>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</si>
  <si>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</si>
  <si>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</si>
  <si>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</si>
  <si>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</si>
  <si>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</si>
  <si>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</si>
  <si>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</si>
  <si>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</si>
  <si>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</si>
  <si>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</si>
  <si>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</si>
  <si>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</si>
  <si>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</si>
  <si>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</si>
  <si>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</si>
  <si>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</si>
  <si>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</si>
  <si>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</si>
  <si>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</si>
  <si>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</si>
  <si>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</si>
  <si>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</si>
  <si>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</si>
  <si>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</si>
  <si>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</si>
  <si>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</si>
  <si>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</si>
  <si>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</si>
  <si>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</si>
  <si>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</si>
  <si>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</si>
  <si>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</si>
  <si>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</si>
  <si>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</si>
  <si>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</si>
  <si>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</si>
  <si>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</si>
  <si>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</si>
  <si>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</si>
  <si>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</si>
  <si>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</si>
  <si>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</si>
  <si>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</si>
  <si>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</si>
  <si>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</si>
  <si>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</si>
  <si>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</si>
  <si>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</si>
  <si>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</si>
  <si>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</si>
  <si>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</si>
  <si>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</si>
  <si>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</si>
  <si>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</si>
  <si>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</si>
  <si>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</si>
  <si>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</si>
  <si>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</si>
  <si>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</si>
  <si>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</si>
  <si>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</si>
  <si>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</si>
  <si>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</si>
  <si>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</si>
  <si>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</si>
  <si>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</si>
  <si>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</si>
  <si>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</si>
  <si>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</si>
  <si>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</si>
  <si>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</si>
  <si>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</si>
  <si>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</si>
  <si>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</si>
  <si>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</si>
  <si>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</si>
  <si>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</si>
  <si>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</si>
  <si>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</si>
  <si>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</si>
  <si>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</si>
  <si>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</si>
  <si>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</si>
  <si>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</si>
  <si>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</si>
  <si>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</si>
  <si>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</si>
  <si>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</si>
  <si>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</si>
  <si>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</si>
  <si>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</si>
  <si>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</si>
  <si>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</si>
  <si>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</si>
  <si>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</si>
  <si>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</si>
  <si>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</si>
  <si>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</si>
  <si>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</si>
  <si>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</si>
  <si>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</si>
  <si>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</si>
  <si>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</si>
  <si>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</si>
  <si>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</si>
  <si>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Melon</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</si>
  <si>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</si>
  <si>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</si>
  <si>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</si>
  <si>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</si>
  <si>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</si>
  <si>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</si>
  <si>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</si>
  <si>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</si>
  <si>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</si>
  <si>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</si>
  <si>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</si>
  <si>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</si>
  <si>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</si>
  <si>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</si>
  <si>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</si>
  <si>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</si>
  <si>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</si>
  <si>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</si>
  <si>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</si>
  <si>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</si>
  <si>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</si>
  <si>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</si>
  <si>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</si>
  <si>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</si>
  <si>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</si>
  <si>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</si>
  <si>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</si>
  <si>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</si>
  <si>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</si>
  <si>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</si>
  <si>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</si>
  <si>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</si>
  <si>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</si>
  <si>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</si>
  <si>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</si>
  <si>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</si>
  <si>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</si>
  <si>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</si>
  <si>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</si>
  <si>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</si>
  <si>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</si>
  <si>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</si>
  <si>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</si>
  <si>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</si>
  <si>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</si>
  <si>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</si>
  <si>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</si>
  <si>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</si>
  <si>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</si>
  <si>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</si>
  <si>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</si>
  <si>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</si>
  <si>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</si>
  <si>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</si>
  <si>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</si>
  <si>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</si>
  <si>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</si>
  <si>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</si>
  <si>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</si>
  <si>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</si>
  <si>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</si>
  <si>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</si>
  <si>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</si>
  <si>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</si>
  <si>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</si>
  <si>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</si>
  <si>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</si>
  <si>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</si>
  <si>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</si>
  <si>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</si>
  <si>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</si>
  <si>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</si>
  <si>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</si>
  <si>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</si>
  <si>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</si>
  <si>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</si>
  <si>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</si>
  <si>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</si>
  <si>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</si>
  <si>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</si>
  <si>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</si>
  <si>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</si>
  <si>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</si>
  <si>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</si>
  <si>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</si>
  <si>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</si>
  <si>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</si>
  <si>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</si>
  <si>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</si>
  <si>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</si>
  <si>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</si>
  <si>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</si>
  <si>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</si>
  <si>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</si>
  <si>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</si>
  <si>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</si>
  <si>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</si>
  <si>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</si>
  <si>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</si>
  <si>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</si>
  <si>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</si>
  <si>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</si>
  <si>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</si>
  <si>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</si>
  <si>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</si>
  <si>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</si>
  <si>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</si>
  <si>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</si>
  <si>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</si>
  <si>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</si>
  <si>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</si>
  <si>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</si>
  <si>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</si>
  <si>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</si>
  <si>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</si>
  <si>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</si>
  <si>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</si>
  <si>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Magenta</t>
  </si>
  <si>
    <t>marin Coquillage 4</t>
  </si>
  <si>
    <t>Orange lég. rouge foncé.503 délavé.929</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</si>
  <si>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</si>
  <si>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</si>
  <si>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</si>
  <si>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</si>
  <si>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</si>
  <si>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</si>
  <si>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</si>
  <si>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</si>
  <si>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</si>
  <si>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</si>
  <si>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</si>
  <si>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</si>
  <si>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</si>
  <si>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</si>
  <si>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</si>
  <si>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</si>
  <si>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</si>
  <si>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</si>
  <si>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</si>
  <si>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</si>
  <si>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</si>
  <si>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</si>
  <si>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</si>
  <si>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</si>
  <si>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</si>
  <si>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</si>
  <si>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</si>
  <si>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</si>
  <si>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</si>
  <si>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</si>
  <si>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</si>
  <si>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</si>
  <si>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</si>
  <si>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</si>
  <si>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</si>
  <si>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</si>
  <si>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</si>
  <si>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</si>
  <si>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</si>
  <si>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</si>
  <si>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</si>
  <si>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</si>
  <si>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</si>
  <si>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</si>
  <si>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</si>
  <si>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</si>
  <si>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</si>
  <si>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</si>
  <si>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</si>
  <si>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</si>
  <si>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</si>
  <si>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</si>
  <si>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</si>
  <si>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</si>
  <si>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</si>
  <si>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</si>
  <si>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</si>
  <si>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</si>
  <si>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</si>
  <si>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</si>
  <si>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</si>
  <si>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</si>
  <si>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</si>
  <si>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</si>
  <si>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</si>
  <si>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</si>
  <si>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</si>
  <si>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</si>
  <si>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</si>
  <si>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</si>
  <si>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</si>
  <si>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</si>
  <si>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</si>
  <si>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</si>
  <si>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</si>
  <si>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</si>
  <si>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</si>
  <si>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</si>
  <si>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</si>
  <si>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</si>
  <si>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</si>
  <si>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</si>
  <si>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</si>
  <si>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</si>
  <si>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</si>
  <si>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</si>
  <si>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</si>
  <si>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</si>
  <si>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</si>
  <si>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</si>
  <si>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</si>
  <si>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</si>
  <si>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</si>
  <si>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</si>
  <si>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</si>
  <si>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</si>
  <si>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</si>
  <si>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</si>
  <si>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</si>
  <si>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</si>
  <si>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</si>
  <si>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</si>
  <si>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</si>
  <si>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</si>
  <si>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</si>
  <si>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</si>
  <si>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</si>
  <si>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</si>
  <si>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</si>
  <si>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</si>
  <si>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</si>
  <si>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</si>
  <si>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</si>
  <si>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</si>
  <si>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</si>
  <si>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</si>
  <si>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</si>
  <si>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</si>
  <si>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</si>
  <si>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</si>
  <si>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</si>
  <si>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</si>
  <si>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</si>
  <si>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</si>
  <si>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</si>
  <si>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</si>
  <si>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</si>
  <si>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</si>
  <si>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</si>
  <si>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</si>
  <si>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</si>
  <si>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</si>
  <si>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</si>
  <si>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</si>
  <si>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</si>
  <si>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</si>
  <si>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</si>
  <si>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</si>
  <si>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</si>
  <si>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</si>
  <si>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</si>
  <si>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</si>
  <si>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</si>
  <si>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</si>
  <si>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</si>
  <si>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</si>
  <si>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</si>
  <si>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</si>
  <si>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</si>
  <si>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</si>
  <si>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</si>
  <si>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</si>
  <si>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</si>
  <si>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Bleu-violet franc</t>
  </si>
  <si>
    <t>Bleu lég. violet foncé.602 délavé.402</t>
  </si>
  <si>
    <t>plum4</t>
  </si>
  <si>
    <t>Magenta foncé.595 délavé.684</t>
  </si>
  <si>
    <t>Rouge primaire</t>
  </si>
  <si>
    <t>Rouge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</si>
  <si>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</si>
  <si>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</si>
  <si>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</si>
  <si>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</si>
  <si>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</si>
  <si>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</si>
  <si>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</si>
  <si>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</si>
  <si>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</si>
  <si>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</si>
  <si>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</si>
  <si>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</si>
  <si>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</si>
  <si>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</si>
  <si>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</si>
  <si>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</si>
  <si>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</si>
  <si>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</si>
  <si>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</si>
  <si>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</si>
  <si>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</si>
  <si>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</si>
  <si>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</si>
  <si>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</si>
  <si>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</si>
  <si>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</si>
  <si>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</si>
  <si>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</si>
  <si>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</si>
  <si>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</si>
  <si>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</si>
  <si>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</si>
  <si>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</si>
  <si>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</si>
  <si>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</si>
  <si>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</si>
  <si>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</si>
  <si>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</si>
  <si>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</si>
  <si>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</si>
  <si>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</si>
  <si>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</si>
  <si>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</si>
  <si>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</si>
  <si>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</si>
  <si>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</si>
  <si>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</si>
  <si>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</si>
  <si>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</si>
  <si>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</si>
  <si>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</si>
  <si>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</si>
  <si>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</si>
  <si>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</si>
  <si>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</si>
  <si>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</si>
  <si>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</si>
  <si>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</si>
  <si>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</si>
  <si>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</si>
  <si>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</si>
  <si>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</si>
  <si>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</si>
  <si>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</si>
  <si>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</si>
  <si>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</si>
  <si>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</si>
  <si>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</si>
  <si>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</si>
  <si>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</si>
  <si>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</si>
  <si>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</si>
  <si>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</si>
  <si>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</si>
  <si>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</si>
  <si>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</si>
  <si>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</si>
  <si>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</si>
  <si>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</si>
  <si>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</si>
  <si>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</si>
  <si>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</si>
  <si>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</si>
  <si>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</si>
  <si>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</si>
  <si>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</si>
  <si>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</si>
  <si>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</si>
  <si>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</si>
  <si>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</si>
  <si>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</si>
  <si>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</si>
  <si>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</si>
  <si>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</si>
  <si>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</si>
  <si>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</si>
  <si>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</si>
  <si>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</si>
  <si>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</si>
  <si>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</si>
  <si>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</si>
  <si>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</si>
  <si>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</si>
  <si>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</si>
  <si>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</si>
  <si>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</si>
  <si>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</si>
  <si>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</si>
  <si>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</si>
  <si>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</si>
  <si>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</si>
  <si>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</si>
  <si>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</si>
  <si>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</si>
  <si>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</si>
  <si>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</si>
  <si>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</si>
  <si>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</si>
  <si>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</si>
  <si>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</si>
  <si>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</si>
  <si>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</si>
  <si>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</si>
  <si>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</si>
  <si>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</si>
  <si>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</si>
  <si>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</si>
  <si>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</si>
  <si>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</si>
  <si>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</si>
  <si>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</si>
  <si>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</si>
  <si>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</si>
  <si>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</si>
  <si>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</si>
  <si>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</si>
  <si>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</si>
  <si>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</si>
  <si>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</si>
  <si>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</si>
  <si>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</si>
  <si>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</si>
  <si>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</si>
  <si>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</si>
  <si>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</si>
  <si>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</si>
  <si>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</si>
  <si>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</si>
  <si>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</si>
  <si>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</si>
  <si>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</si>
  <si>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</si>
  <si>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</si>
  <si>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</si>
  <si>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</si>
  <si>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</si>
  <si>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</si>
  <si>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</si>
  <si>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</si>
  <si>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</si>
  <si>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</si>
  <si>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</si>
  <si>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</si>
  <si>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</si>
  <si>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</si>
  <si>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</si>
  <si>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</si>
  <si>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</si>
  <si>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</si>
  <si>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</si>
  <si>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</si>
  <si>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</si>
  <si>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</si>
  <si>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</si>
  <si>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</si>
  <si>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</si>
  <si>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</si>
  <si>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</si>
  <si>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</si>
  <si>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</si>
  <si>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</si>
  <si>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</si>
  <si>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</si>
  <si>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</si>
  <si>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</si>
  <si>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</si>
  <si>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</si>
  <si>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</si>
  <si>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</si>
  <si>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Cyan</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</si>
  <si>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</si>
  <si>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</si>
  <si>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</si>
  <si>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</si>
  <si>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</si>
  <si>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</si>
  <si>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</si>
  <si>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</si>
  <si>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</si>
  <si>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</si>
  <si>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</si>
  <si>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</si>
  <si>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</si>
  <si>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</si>
  <si>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</si>
  <si>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</si>
  <si>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</si>
  <si>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</si>
  <si>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</si>
  <si>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</si>
  <si>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</si>
  <si>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</si>
  <si>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</si>
  <si>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</si>
  <si>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</si>
  <si>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</si>
  <si>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</si>
  <si>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</si>
  <si>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</si>
  <si>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</si>
  <si>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</si>
  <si>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</si>
  <si>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</si>
  <si>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</si>
  <si>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</si>
  <si>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</si>
  <si>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</si>
  <si>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</si>
  <si>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</si>
  <si>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</si>
  <si>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</si>
  <si>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</si>
  <si>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</si>
  <si>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</si>
  <si>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</si>
  <si>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</si>
  <si>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</si>
  <si>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</si>
  <si>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</si>
  <si>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</si>
  <si>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</si>
  <si>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</si>
  <si>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</si>
  <si>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</si>
  <si>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</si>
  <si>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</si>
  <si>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</si>
  <si>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</si>
  <si>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</si>
  <si>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</si>
  <si>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</si>
  <si>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</si>
  <si>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</si>
  <si>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</si>
  <si>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</si>
  <si>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</si>
  <si>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</si>
  <si>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</si>
  <si>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</si>
  <si>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</si>
  <si>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</si>
  <si>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</si>
  <si>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</si>
  <si>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</si>
  <si>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</si>
  <si>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</si>
  <si>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</si>
  <si>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</si>
  <si>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</si>
  <si>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</si>
  <si>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</si>
  <si>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</si>
  <si>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</si>
  <si>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</si>
  <si>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</si>
  <si>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</si>
  <si>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</si>
  <si>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</si>
  <si>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</si>
  <si>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</si>
  <si>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</si>
  <si>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</si>
  <si>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</si>
  <si>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</si>
  <si>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</si>
  <si>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</si>
  <si>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</si>
  <si>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</si>
  <si>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</si>
  <si>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</si>
  <si>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</si>
  <si>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</si>
  <si>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</si>
  <si>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</si>
  <si>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</si>
  <si>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</si>
  <si>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</si>
  <si>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</si>
  <si>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</si>
  <si>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</si>
  <si>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</si>
  <si>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</si>
  <si>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</si>
  <si>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</si>
  <si>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</si>
  <si>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</si>
  <si>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</si>
  <si>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</si>
  <si>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</si>
  <si>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</si>
  <si>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</si>
  <si>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</si>
  <si>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</si>
  <si>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</si>
  <si>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</si>
  <si>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</si>
  <si>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</si>
  <si>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</si>
  <si>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</si>
  <si>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</si>
  <si>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</si>
  <si>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</si>
  <si>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</si>
  <si>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</si>
  <si>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</si>
  <si>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</si>
  <si>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</si>
  <si>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</si>
  <si>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</si>
  <si>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</si>
  <si>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</si>
  <si>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</si>
  <si>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</si>
  <si>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</si>
  <si>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</si>
  <si>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</si>
  <si>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</si>
  <si>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</si>
  <si>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</si>
  <si>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</si>
  <si>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</si>
  <si>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</si>
  <si>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</si>
  <si>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</si>
  <si>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</si>
  <si>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</si>
  <si>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</si>
  <si>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</si>
  <si>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</si>
  <si>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</si>
  <si>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</si>
  <si>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</si>
  <si>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</si>
  <si>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</si>
  <si>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</si>
  <si>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</si>
  <si>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</si>
  <si>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</si>
  <si>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</si>
  <si>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</si>
  <si>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</si>
  <si>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</si>
  <si>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</si>
  <si>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</si>
  <si>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</si>
  <si>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</si>
  <si>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</si>
  <si>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</si>
  <si>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</si>
  <si>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</si>
  <si>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</si>
  <si>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</si>
  <si>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</si>
  <si>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</si>
  <si>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</si>
  <si>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</si>
  <si>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</si>
  <si>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</si>
  <si>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</si>
  <si>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</si>
  <si>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</si>
  <si>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</si>
  <si>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</si>
  <si>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</si>
  <si>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</si>
  <si>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</si>
  <si>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</si>
  <si>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</si>
  <si>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</si>
  <si>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</si>
  <si>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</si>
  <si>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</si>
  <si>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</si>
  <si>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</si>
  <si>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</si>
  <si>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</si>
  <si>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</si>
  <si>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</si>
  <si>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</si>
  <si>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</si>
  <si>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</si>
  <si>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</si>
  <si>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</si>
  <si>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</si>
  <si>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</si>
  <si>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</si>
  <si>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</si>
  <si>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</si>
  <si>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</si>
  <si>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</si>
  <si>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</si>
  <si>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</si>
  <si>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</si>
  <si>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</si>
  <si>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</si>
  <si>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</si>
  <si>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</si>
  <si>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</si>
  <si>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</si>
  <si>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</si>
  <si>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</si>
  <si>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</si>
  <si>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</si>
  <si>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</si>
  <si>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</si>
  <si>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</si>
  <si>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</si>
  <si>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</si>
  <si>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</si>
  <si>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</si>
  <si>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</si>
  <si>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</si>
  <si>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</si>
  <si>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</si>
  <si>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</si>
  <si>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</si>
  <si>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</si>
  <si>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</si>
  <si>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</si>
  <si>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</si>
  <si>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</si>
  <si>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</si>
  <si>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</si>
  <si>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</si>
  <si>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</si>
  <si>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</si>
  <si>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</si>
  <si>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</si>
  <si>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</si>
  <si>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</si>
  <si>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</si>
  <si>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</si>
  <si>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</si>
  <si>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</si>
  <si>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</si>
  <si>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</si>
  <si>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</si>
  <si>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</si>
  <si>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</si>
  <si>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</si>
  <si>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</si>
  <si>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</si>
  <si>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</si>
  <si>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</si>
  <si>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</si>
  <si>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</si>
  <si>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</si>
  <si>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</si>
  <si>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</si>
  <si>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</si>
  <si>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</si>
  <si>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</si>
  <si>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</si>
  <si>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</si>
  <si>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</si>
  <si>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</si>
  <si>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</si>
  <si>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</si>
  <si>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</si>
  <si>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</si>
  <si>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</si>
  <si>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</si>
  <si>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</si>
  <si>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</si>
  <si>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</si>
  <si>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</si>
  <si>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</si>
  <si>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</si>
  <si>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</si>
  <si>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</si>
  <si>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</si>
  <si>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</si>
  <si>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</si>
  <si>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</si>
  <si>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</si>
  <si>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</si>
  <si>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</si>
  <si>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</si>
  <si>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</si>
  <si>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</si>
  <si>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</si>
  <si>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</si>
  <si>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</si>
  <si>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</si>
  <si>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</si>
  <si>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</si>
  <si>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</si>
  <si>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</si>
  <si>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</si>
  <si>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</si>
  <si>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</si>
  <si>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</si>
  <si>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</si>
  <si>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</si>
  <si>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</si>
  <si>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</si>
  <si>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</si>
  <si>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</si>
  <si>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</si>
  <si>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</si>
  <si>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</si>
  <si>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</si>
  <si>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</si>
  <si>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</si>
  <si>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</si>
  <si>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</si>
  <si>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</si>
  <si>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</si>
  <si>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</si>
  <si>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</si>
  <si>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</si>
  <si>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</si>
  <si>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</si>
  <si>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</si>
  <si>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</si>
  <si>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</si>
  <si>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</si>
  <si>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</si>
  <si>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</si>
  <si>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</si>
  <si>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</si>
  <si>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</si>
  <si>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</si>
  <si>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</si>
  <si>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</si>
  <si>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</si>
  <si>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</si>
  <si>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</si>
  <si>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</si>
  <si>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</si>
  <si>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</si>
  <si>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</si>
  <si>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</si>
  <si>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</si>
  <si>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</si>
  <si>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</si>
  <si>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</si>
  <si>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</si>
  <si>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</si>
  <si>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</si>
  <si>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</si>
  <si>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</si>
  <si>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</si>
  <si>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</si>
  <si>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</si>
  <si>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</si>
  <si>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</si>
  <si>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</si>
  <si>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</si>
  <si>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</si>
  <si>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</si>
  <si>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</si>
  <si>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</si>
  <si>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</si>
  <si>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</si>
  <si>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</si>
  <si>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</si>
  <si>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</si>
  <si>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</si>
  <si>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</si>
  <si>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</si>
  <si>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</si>
  <si>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</si>
  <si>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</si>
  <si>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</si>
  <si>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</si>
  <si>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</si>
  <si>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</si>
  <si>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</si>
  <si>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</si>
  <si>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</si>
  <si>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</si>
  <si>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</si>
  <si>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</si>
  <si>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</si>
  <si>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</si>
  <si>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</si>
  <si>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</si>
  <si>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</si>
  <si>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</si>
  <si>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</si>
  <si>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</si>
  <si>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</si>
  <si>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</si>
  <si>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</si>
  <si>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</si>
  <si>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</si>
  <si>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</si>
  <si>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</si>
  <si>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</si>
  <si>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</si>
  <si>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</si>
  <si>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</si>
  <si>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</si>
  <si>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</si>
  <si>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</si>
  <si>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</si>
  <si>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</si>
  <si>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</si>
  <si>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</si>
  <si>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</si>
  <si>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</si>
  <si>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</si>
  <si>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</si>
  <si>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</si>
  <si>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</si>
  <si>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</si>
  <si>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</si>
  <si>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</si>
  <si>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</si>
  <si>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</si>
  <si>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</si>
  <si>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</si>
  <si>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</si>
  <si>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</si>
  <si>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</si>
  <si>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</si>
  <si>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</si>
  <si>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</si>
  <si>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</si>
  <si>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</si>
  <si>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</si>
  <si>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</si>
  <si>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</si>
  <si>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</si>
  <si>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</si>
  <si>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</si>
  <si>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</si>
  <si>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</si>
  <si>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</si>
  <si>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</si>
  <si>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</si>
  <si>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</si>
  <si>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</si>
  <si>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</si>
  <si>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</si>
  <si>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</si>
  <si>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</si>
  <si>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</si>
  <si>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</si>
  <si>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</si>
  <si>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</si>
  <si>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</si>
  <si>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</si>
  <si>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</si>
  <si>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</si>
  <si>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</si>
  <si>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</si>
  <si>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</si>
  <si>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</si>
  <si>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</si>
  <si>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</si>
  <si>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</si>
  <si>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</si>
  <si>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</si>
  <si>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</si>
  <si>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</si>
  <si>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</si>
  <si>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</si>
  <si>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</si>
  <si>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</si>
  <si>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</si>
  <si>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</si>
  <si>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</si>
  <si>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</si>
  <si>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</si>
  <si>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</si>
  <si>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</si>
  <si>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</si>
  <si>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</si>
  <si>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</si>
  <si>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</si>
  <si>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</si>
  <si>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</si>
  <si>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</si>
  <si>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</si>
  <si>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</si>
  <si>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</si>
  <si>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</si>
  <si>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</si>
  <si>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</si>
  <si>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</si>
  <si>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</si>
  <si>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</si>
  <si>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</si>
  <si>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</si>
  <si>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</si>
  <si>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</si>
  <si>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</si>
  <si>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</si>
  <si>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</si>
  <si>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</si>
  <si>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</si>
  <si>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</si>
  <si>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</si>
  <si>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</si>
  <si>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</si>
  <si>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</si>
  <si>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</si>
  <si>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</si>
  <si>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</si>
  <si>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</si>
  <si>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</si>
  <si>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</si>
  <si>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</si>
  <si>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</si>
  <si>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</si>
  <si>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</si>
  <si>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</si>
  <si>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</si>
  <si>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</si>
  <si>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</si>
  <si>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</si>
  <si>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</si>
  <si>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</si>
  <si>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</si>
  <si>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</si>
  <si>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</si>
  <si>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</si>
  <si>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</si>
  <si>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</si>
  <si>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</si>
  <si>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</si>
  <si>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</si>
  <si>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</si>
  <si>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</si>
  <si>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</si>
  <si>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</si>
  <si>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</si>
  <si>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</si>
  <si>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</si>
  <si>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</si>
  <si>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</si>
  <si>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</si>
  <si>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</si>
  <si>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</si>
  <si>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</si>
  <si>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</si>
  <si>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</si>
  <si>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</si>
  <si>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</si>
  <si>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</si>
  <si>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</si>
  <si>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</si>
  <si>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</si>
  <si>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</si>
  <si>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</si>
  <si>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</si>
  <si>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</si>
  <si>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</si>
  <si>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</si>
  <si>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</si>
  <si>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</si>
  <si>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</si>
  <si>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</si>
  <si>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</si>
  <si>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</si>
  <si>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</si>
  <si>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</si>
  <si>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</si>
  <si>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</si>
  <si>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</si>
  <si>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</si>
  <si>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</si>
  <si>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</si>
  <si>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</si>
  <si>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Pêche</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</si>
  <si>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</si>
  <si>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</si>
  <si>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</si>
  <si>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</si>
  <si>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</si>
  <si>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</si>
  <si>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</si>
  <si>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</si>
  <si>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</si>
  <si>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</si>
  <si>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</si>
  <si>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</si>
  <si>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</si>
  <si>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</si>
  <si>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</si>
  <si>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</si>
  <si>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</si>
  <si>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</si>
  <si>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</si>
  <si>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</si>
  <si>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</si>
  <si>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</si>
  <si>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</si>
  <si>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</si>
  <si>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</si>
  <si>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</si>
  <si>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</si>
  <si>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</si>
  <si>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</si>
  <si>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Carotte</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</si>
  <si>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</si>
  <si>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</si>
  <si>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</si>
  <si>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</si>
  <si>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</si>
  <si>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</si>
  <si>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</si>
  <si>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</si>
  <si>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</si>
  <si>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</si>
  <si>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</si>
  <si>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</si>
  <si>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</si>
  <si>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</si>
  <si>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</si>
  <si>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</si>
  <si>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</si>
  <si>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</si>
  <si>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</si>
  <si>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</si>
  <si>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</si>
  <si>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</si>
  <si>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</si>
  <si>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</si>
  <si>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</si>
  <si>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</si>
  <si>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</si>
  <si>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</si>
  <si>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</si>
  <si>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</si>
  <si>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</si>
  <si>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</si>
  <si>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</si>
  <si>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</si>
  <si>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</si>
  <si>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</si>
  <si>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</si>
  <si>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</si>
  <si>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</si>
  <si>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</si>
  <si>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</si>
  <si>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</si>
  <si>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</si>
  <si>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</si>
  <si>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</si>
  <si>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</si>
  <si>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</si>
  <si>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</si>
  <si>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</si>
  <si>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</si>
  <si>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</si>
  <si>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</si>
  <si>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</si>
  <si>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</si>
  <si>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</si>
  <si>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</si>
  <si>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</si>
  <si>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</si>
  <si>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</si>
  <si>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</si>
  <si>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</si>
  <si>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</si>
  <si>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</si>
  <si>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</si>
  <si>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</si>
  <si>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</si>
  <si>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</si>
  <si>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</si>
  <si>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</si>
  <si>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</si>
  <si>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</si>
  <si>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</si>
  <si>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</si>
  <si>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</si>
  <si>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</si>
  <si>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</si>
  <si>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</si>
  <si>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</si>
  <si>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</si>
  <si>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</si>
  <si>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</si>
  <si>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</si>
  <si>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</si>
  <si>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</si>
  <si>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</si>
  <si>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</si>
  <si>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</si>
  <si>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</si>
  <si>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</si>
  <si>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</si>
  <si>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</si>
  <si>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</si>
  <si>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</si>
  <si>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</si>
  <si>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</si>
  <si>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</si>
  <si>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</si>
  <si>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</si>
  <si>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</si>
  <si>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</si>
  <si>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</si>
  <si>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</si>
  <si>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</si>
  <si>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</si>
  <si>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</si>
  <si>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</si>
  <si>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</si>
  <si>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</si>
  <si>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</si>
  <si>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</si>
  <si>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</si>
  <si>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</si>
  <si>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</si>
  <si>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</si>
  <si>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</si>
  <si>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</si>
  <si>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</si>
  <si>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</si>
  <si>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</si>
  <si>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</si>
  <si>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</si>
  <si>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</si>
  <si>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</si>
  <si>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</si>
  <si>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</si>
  <si>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</si>
  <si>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</si>
  <si>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</si>
  <si>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</si>
  <si>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</si>
  <si>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</si>
  <si>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</si>
  <si>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</si>
  <si>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</si>
  <si>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</si>
  <si>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</si>
  <si>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</si>
  <si>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Saumon</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</si>
  <si>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</si>
  <si>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</si>
  <si>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</si>
  <si>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</si>
  <si>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</si>
  <si>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</si>
  <si>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</si>
  <si>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</si>
  <si>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</si>
  <si>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</si>
  <si>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</si>
  <si>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</si>
  <si>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</si>
  <si>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</si>
  <si>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</si>
  <si>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</si>
  <si>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</si>
  <si>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</si>
  <si>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</si>
  <si>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</si>
  <si>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</si>
  <si>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</si>
  <si>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</si>
  <si>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</si>
  <si>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</si>
  <si>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</si>
  <si>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</si>
  <si>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</si>
  <si>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</si>
  <si>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</si>
  <si>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</si>
  <si>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</si>
  <si>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</si>
  <si>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</si>
  <si>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</si>
  <si>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</si>
  <si>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</si>
  <si>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</si>
  <si>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</si>
  <si>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</si>
  <si>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</si>
  <si>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</si>
  <si>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</si>
  <si>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</si>
  <si>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</si>
  <si>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</si>
  <si>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</si>
  <si>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</si>
  <si>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</si>
  <si>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</si>
  <si>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</si>
  <si>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</si>
  <si>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Orange</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</si>
  <si>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</si>
  <si>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</si>
  <si>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</si>
  <si>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</si>
  <si>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</si>
  <si>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</si>
  <si>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</si>
  <si>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</si>
  <si>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</si>
  <si>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</si>
  <si>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</si>
  <si>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Abricot</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</si>
  <si>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</si>
  <si>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</si>
  <si>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</si>
  <si>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</si>
  <si>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</si>
  <si>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</si>
  <si>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</si>
  <si>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</si>
  <si>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</si>
  <si>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</si>
  <si>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</si>
  <si>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</si>
  <si>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</si>
  <si>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</si>
  <si>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</si>
  <si>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</si>
  <si>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</si>
  <si>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</si>
  <si>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</si>
  <si>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</si>
  <si>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</si>
  <si>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</si>
  <si>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</si>
  <si>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</si>
  <si>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</si>
  <si>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Vert</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</si>
  <si>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</si>
  <si>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</si>
  <si>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</si>
  <si>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</si>
  <si>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</si>
  <si>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</si>
  <si>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</si>
  <si>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</si>
  <si>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</si>
  <si>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</si>
  <si>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</si>
  <si>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</si>
  <si>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</si>
  <si>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</si>
  <si>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</si>
  <si>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</si>
  <si>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</si>
  <si>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</si>
  <si>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</si>
  <si>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</si>
  <si>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</si>
  <si>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</si>
  <si>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</si>
  <si>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</si>
  <si>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</si>
  <si>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</si>
  <si>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</si>
  <si>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</si>
  <si>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</si>
  <si>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</si>
  <si>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</si>
  <si>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</si>
  <si>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</si>
  <si>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</si>
  <si>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</si>
  <si>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</si>
  <si>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</si>
  <si>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</si>
  <si>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</si>
  <si>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</si>
  <si>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</si>
  <si>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</si>
  <si>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</si>
  <si>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</si>
  <si>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</si>
  <si>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</si>
  <si>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</si>
  <si>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</si>
  <si>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</si>
  <si>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</si>
  <si>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</si>
  <si>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</si>
  <si>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</si>
  <si>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</si>
  <si>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</si>
  <si>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</si>
  <si>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</si>
  <si>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</si>
  <si>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</si>
  <si>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</si>
  <si>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</si>
  <si>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</si>
  <si>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</si>
  <si>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</si>
  <si>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</si>
  <si>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</si>
  <si>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</si>
  <si>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</si>
  <si>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</si>
  <si>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</si>
  <si>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</si>
  <si>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</si>
  <si>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</si>
  <si>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</si>
  <si>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</si>
  <si>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</si>
  <si>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</si>
  <si>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</si>
  <si>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</si>
  <si>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</si>
  <si>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</si>
  <si>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</si>
  <si>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</si>
  <si>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</si>
  <si>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</si>
  <si>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</si>
  <si>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</si>
  <si>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</si>
  <si>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</si>
  <si>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</si>
  <si>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</si>
  <si>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</si>
  <si>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</si>
  <si>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</si>
  <si>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</si>
  <si>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</si>
  <si>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</si>
  <si>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</si>
  <si>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</si>
  <si>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</si>
  <si>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</si>
  <si>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</si>
  <si>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</si>
  <si>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</si>
  <si>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</si>
  <si>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</si>
  <si>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</si>
  <si>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</si>
  <si>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</si>
  <si>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</si>
  <si>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</si>
  <si>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</si>
  <si>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</si>
  <si>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</si>
  <si>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</si>
  <si>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</si>
  <si>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</si>
  <si>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</si>
  <si>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</si>
  <si>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</si>
  <si>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</si>
  <si>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</si>
  <si>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</si>
  <si>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</si>
  <si>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</si>
  <si>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</si>
  <si>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</si>
  <si>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</si>
  <si>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</si>
  <si>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</si>
  <si>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</si>
  <si>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</si>
  <si>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</si>
  <si>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</si>
  <si>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</si>
  <si>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</si>
  <si>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</si>
  <si>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</si>
  <si>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</si>
  <si>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</si>
  <si>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</si>
  <si>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</si>
  <si>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</si>
  <si>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</si>
  <si>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</si>
  <si>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</si>
  <si>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Chocolat</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</si>
  <si>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</si>
  <si>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</si>
  <si>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</si>
  <si>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</si>
  <si>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</si>
  <si>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</si>
  <si>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</si>
  <si>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</si>
  <si>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</si>
  <si>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</si>
  <si>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</si>
  <si>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</si>
  <si>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</si>
  <si>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</si>
  <si>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</si>
  <si>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</si>
  <si>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</si>
  <si>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</si>
  <si>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</si>
  <si>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</si>
  <si>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</si>
  <si>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</si>
  <si>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</si>
  <si>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</si>
  <si>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</si>
  <si>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</si>
  <si>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</si>
  <si>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</si>
  <si>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</si>
  <si>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</si>
  <si>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</si>
  <si>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</si>
  <si>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</si>
  <si>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</si>
  <si>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</si>
  <si>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</si>
  <si>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</si>
  <si>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</si>
  <si>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</si>
  <si>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</si>
  <si>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</si>
  <si>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</si>
  <si>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</si>
  <si>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</si>
  <si>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</si>
  <si>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</si>
  <si>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</si>
  <si>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</si>
  <si>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</si>
  <si>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</si>
  <si>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</si>
  <si>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</si>
  <si>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</si>
  <si>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</si>
  <si>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</si>
  <si>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</si>
  <si>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</si>
  <si>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</si>
  <si>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</si>
  <si>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</si>
  <si>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</si>
  <si>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</si>
  <si>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</si>
  <si>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</si>
  <si>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</si>
  <si>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</si>
  <si>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</si>
  <si>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</si>
  <si>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</si>
  <si>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</si>
  <si>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</si>
  <si>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</si>
  <si>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</si>
  <si>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</si>
  <si>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</si>
  <si>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</si>
  <si>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</si>
  <si>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</si>
  <si>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</si>
  <si>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</si>
  <si>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</si>
  <si>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</si>
  <si>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</si>
  <si>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</si>
  <si>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</si>
  <si>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</si>
  <si>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</si>
  <si>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</si>
  <si>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</si>
  <si>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</si>
  <si>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</si>
  <si>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</si>
  <si>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</si>
  <si>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</si>
  <si>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</si>
  <si>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</si>
  <si>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</si>
  <si>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</si>
  <si>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</si>
  <si>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</si>
  <si>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</si>
  <si>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</si>
  <si>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</si>
  <si>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</si>
  <si>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</si>
  <si>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</si>
  <si>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</si>
  <si>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</si>
  <si>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</si>
  <si>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</si>
  <si>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</si>
  <si>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</si>
  <si>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</si>
  <si>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</si>
  <si>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</si>
  <si>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</si>
  <si>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</si>
  <si>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</si>
  <si>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</si>
  <si>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</si>
  <si>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</si>
  <si>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</si>
  <si>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</si>
  <si>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</si>
  <si>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</si>
  <si>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</si>
  <si>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</si>
  <si>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</si>
  <si>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</si>
  <si>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</si>
  <si>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</si>
  <si>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</si>
  <si>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</si>
  <si>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</si>
  <si>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</si>
  <si>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</si>
  <si>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</si>
  <si>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</si>
  <si>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</si>
  <si>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</si>
  <si>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</si>
  <si>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</si>
  <si>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</si>
  <si>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</si>
  <si>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</si>
  <si>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</si>
  <si>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</si>
  <si>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</si>
  <si>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</si>
  <si>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</si>
  <si>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</si>
  <si>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</si>
  <si>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</si>
  <si>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</si>
  <si>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</si>
  <si>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</si>
  <si>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</si>
  <si>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</si>
  <si>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</si>
  <si>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</si>
  <si>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</si>
  <si>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</si>
  <si>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</si>
  <si>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</si>
  <si>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</si>
  <si>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</si>
  <si>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</si>
  <si>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</si>
  <si>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</si>
  <si>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</si>
  <si>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</si>
  <si>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</si>
  <si>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</si>
  <si>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</si>
  <si>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</si>
  <si>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</si>
  <si>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</si>
  <si>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</si>
  <si>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</si>
  <si>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</si>
  <si>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</si>
  <si>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</si>
  <si>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</si>
  <si>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</si>
  <si>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</si>
  <si>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</si>
  <si>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</si>
  <si>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</si>
  <si>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</si>
  <si>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</si>
  <si>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</si>
  <si>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</si>
  <si>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</si>
  <si>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</si>
  <si>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</si>
  <si>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</si>
  <si>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</si>
  <si>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</si>
  <si>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</si>
  <si>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</si>
  <si>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</si>
  <si>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</si>
  <si>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</si>
  <si>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</si>
  <si>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</si>
  <si>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</si>
  <si>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</si>
  <si>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</si>
  <si>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</si>
  <si>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</si>
  <si>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</si>
  <si>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</si>
  <si>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</si>
  <si>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</si>
  <si>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</si>
  <si>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</si>
  <si>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</si>
  <si>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</si>
  <si>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</si>
  <si>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</si>
  <si>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</si>
  <si>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</si>
  <si>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</si>
  <si>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</si>
  <si>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</si>
  <si>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</si>
  <si>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</si>
  <si>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</si>
  <si>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</si>
  <si>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</si>
  <si>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</si>
  <si>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</si>
  <si>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</si>
  <si>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</si>
  <si>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</si>
  <si>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</si>
  <si>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</si>
  <si>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</si>
  <si>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</si>
  <si>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</si>
  <si>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</si>
  <si>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</si>
  <si>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</si>
  <si>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</si>
  <si>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</si>
  <si>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</si>
  <si>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</si>
  <si>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</si>
  <si>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</si>
  <si>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</si>
  <si>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</si>
  <si>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</si>
  <si>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</si>
  <si>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</si>
  <si>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</si>
  <si>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</si>
  <si>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</si>
  <si>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</si>
  <si>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</si>
  <si>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</si>
  <si>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</si>
  <si>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</si>
  <si>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</si>
  <si>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</si>
  <si>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</si>
  <si>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</si>
  <si>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</si>
  <si>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</si>
  <si>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</si>
  <si>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</si>
  <si>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</si>
  <si>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</si>
  <si>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Collez vos postits cellule A rouge colonne N</t>
  </si>
  <si>
    <r>
      <t xml:space="preserve">Dans ces nouveaux </t>
    </r>
    <r>
      <rPr>
        <b/>
        <sz val="12"/>
        <color theme="1"/>
        <rFont val="Calibri"/>
        <family val="2"/>
        <scheme val="minor"/>
      </rPr>
      <t>Postits 20 colonnes</t>
    </r>
    <r>
      <rPr>
        <sz val="12"/>
        <color theme="1"/>
        <rFont val="Calibri"/>
        <family val="2"/>
        <scheme val="minor"/>
      </rPr>
      <t xml:space="preserve">, vous pouvez supprimer les lignes </t>
    </r>
    <r>
      <rPr>
        <b/>
        <sz val="12"/>
        <color theme="1"/>
        <rFont val="Calibri"/>
        <family val="2"/>
        <scheme val="minor"/>
      </rPr>
      <t>► non utilisées</t>
    </r>
  </si>
  <si>
    <t>✔️ Les formules s’adaptent automatiquement à l’écart entre cellules et colonnes.</t>
  </si>
  <si>
    <r>
      <t xml:space="preserve">⚠️ </t>
    </r>
    <r>
      <rPr>
        <b/>
        <sz val="11"/>
        <color theme="1"/>
        <rFont val="Calibri"/>
        <family val="2"/>
        <scheme val="minor"/>
      </rPr>
      <t>Ne supprimez jamais les lignes contenant un A.</t>
    </r>
  </si>
  <si>
    <r>
      <t xml:space="preserve">❌ </t>
    </r>
    <r>
      <rPr>
        <b/>
        <sz val="11"/>
        <color theme="1"/>
        <rFont val="Calibri"/>
        <family val="2"/>
        <scheme val="minor"/>
      </rPr>
      <t>Ne supprimez rien dans les répertoires.</t>
    </r>
  </si>
  <si>
    <t>Ces deux colonnes ont été ajoutées pour afficher dynamiquement le nombre de lignes.</t>
  </si>
  <si>
    <r>
      <t xml:space="preserve">✔️ Si vous supprimez des lignes, les </t>
    </r>
    <r>
      <rPr>
        <b/>
        <sz val="11"/>
        <color theme="1"/>
        <rFont val="Calibri"/>
        <family val="2"/>
        <scheme val="minor"/>
      </rPr>
      <t>formules s’adaptent automatiquement</t>
    </r>
    <r>
      <rPr>
        <sz val="11"/>
        <color theme="1"/>
        <rFont val="Calibri"/>
        <family val="2"/>
        <scheme val="minor"/>
      </rPr>
      <t xml:space="preserve"> au nouvel écart.</t>
    </r>
  </si>
  <si>
    <r>
      <t xml:space="preserve">💡 Excel fonctionne comme le jeu </t>
    </r>
    <r>
      <rPr>
        <b/>
        <sz val="11"/>
        <color theme="1"/>
        <rFont val="Calibri"/>
        <family val="2"/>
        <scheme val="minor"/>
      </rPr>
      <t>Bataille navale</t>
    </r>
    <r>
      <rPr>
        <sz val="11"/>
        <color theme="1"/>
        <rFont val="Calibri"/>
        <family val="2"/>
        <scheme val="minor"/>
      </rPr>
      <t xml:space="preserve"> : </t>
    </r>
  </si>
  <si>
    <t>il utilise les coordonnées ligne/colonne pour suivre les décalages  entre cellules et maintenir les calculs cohérents.</t>
  </si>
  <si>
    <r>
      <t xml:space="preserve">In these new </t>
    </r>
    <r>
      <rPr>
        <b/>
        <sz val="11"/>
        <color theme="1"/>
        <rFont val="Calibri"/>
        <family val="2"/>
        <scheme val="minor"/>
      </rPr>
      <t>20-column Postits</t>
    </r>
    <r>
      <rPr>
        <sz val="11"/>
        <color theme="1"/>
        <rFont val="Calibri"/>
        <family val="2"/>
        <scheme val="minor"/>
      </rPr>
      <t xml:space="preserve">, you may delete </t>
    </r>
    <r>
      <rPr>
        <b/>
        <sz val="11"/>
        <color theme="1"/>
        <rFont val="Calibri"/>
        <family val="2"/>
        <scheme val="minor"/>
      </rPr>
      <t>unused ► lines</t>
    </r>
    <r>
      <rPr>
        <sz val="11"/>
        <color theme="1"/>
        <rFont val="Calibri"/>
        <family val="2"/>
        <scheme val="minor"/>
      </rPr>
      <t>.</t>
    </r>
  </si>
  <si>
    <t>✔️ The formulas automatically adjust to the gap between cells and columns.</t>
  </si>
  <si>
    <r>
      <t xml:space="preserve">⚠️ </t>
    </r>
    <r>
      <rPr>
        <b/>
        <sz val="11"/>
        <color theme="1"/>
        <rFont val="Calibri"/>
        <family val="2"/>
        <scheme val="minor"/>
      </rPr>
      <t>Never delete lines that contain an A.</t>
    </r>
  </si>
  <si>
    <r>
      <t xml:space="preserve">❌ </t>
    </r>
    <r>
      <rPr>
        <b/>
        <sz val="11"/>
        <color theme="1"/>
        <rFont val="Calibri"/>
        <family val="2"/>
        <scheme val="minor"/>
      </rPr>
      <t>Do not delete anything inside the directories.</t>
    </r>
  </si>
  <si>
    <t>These two columns were added to dynamically display the number of rows.</t>
  </si>
  <si>
    <r>
      <t xml:space="preserve">✔️ If you delete rows, the </t>
    </r>
    <r>
      <rPr>
        <b/>
        <sz val="11"/>
        <color theme="1"/>
        <rFont val="Calibri"/>
        <family val="2"/>
        <scheme val="minor"/>
      </rPr>
      <t>formulas will automatically adjust</t>
    </r>
    <r>
      <rPr>
        <sz val="11"/>
        <color theme="1"/>
        <rFont val="Calibri"/>
        <family val="2"/>
        <scheme val="minor"/>
      </rPr>
      <t xml:space="preserve"> to the new gap.</t>
    </r>
  </si>
  <si>
    <r>
      <t xml:space="preserve">💡 Excel works like </t>
    </r>
    <r>
      <rPr>
        <b/>
        <sz val="11"/>
        <color theme="1"/>
        <rFont val="Calibri"/>
        <family val="2"/>
        <scheme val="minor"/>
      </rPr>
      <t>Battleship</t>
    </r>
    <r>
      <rPr>
        <sz val="11"/>
        <color theme="1"/>
        <rFont val="Calibri"/>
        <family val="2"/>
        <scheme val="minor"/>
      </rPr>
      <t xml:space="preserve">: </t>
    </r>
  </si>
  <si>
    <t>it uses row/column coordinates to follow shifts between cells and keep calculations accurate.</t>
  </si>
  <si>
    <r>
      <t xml:space="preserve">En estos nuevos </t>
    </r>
    <r>
      <rPr>
        <b/>
        <sz val="11"/>
        <color theme="1"/>
        <rFont val="Calibri"/>
        <family val="2"/>
        <scheme val="minor"/>
      </rPr>
      <t>Postits de 20 columnas</t>
    </r>
    <r>
      <rPr>
        <sz val="11"/>
        <color theme="1"/>
        <rFont val="Calibri"/>
        <family val="2"/>
        <scheme val="minor"/>
      </rPr>
      <t xml:space="preserve">, puedes eliminar las líneas </t>
    </r>
    <r>
      <rPr>
        <b/>
        <sz val="11"/>
        <color theme="1"/>
        <rFont val="Calibri"/>
        <family val="2"/>
        <scheme val="minor"/>
      </rPr>
      <t>► no utilizadas</t>
    </r>
    <r>
      <rPr>
        <sz val="11"/>
        <color theme="1"/>
        <rFont val="Calibri"/>
        <family val="2"/>
        <scheme val="minor"/>
      </rPr>
      <t>.</t>
    </r>
  </si>
  <si>
    <t>✔️ Las fórmulas se ajustan automáticamente a la diferencia entre celdas y columnas.</t>
  </si>
  <si>
    <r>
      <t xml:space="preserve">⚠️ </t>
    </r>
    <r>
      <rPr>
        <b/>
        <sz val="11"/>
        <color theme="1"/>
        <rFont val="Calibri"/>
        <family val="2"/>
        <scheme val="minor"/>
      </rPr>
      <t>Nunca elimines las líneas que contienen una A.</t>
    </r>
  </si>
  <si>
    <r>
      <t xml:space="preserve">❌ </t>
    </r>
    <r>
      <rPr>
        <b/>
        <sz val="11"/>
        <color theme="1"/>
        <rFont val="Calibri"/>
        <family val="2"/>
        <scheme val="minor"/>
      </rPr>
      <t>No elimines nada dentro de los repertorios.</t>
    </r>
  </si>
  <si>
    <t>Estas dos columnas se añadieron para mostrar dinámicamente el número de filas.</t>
  </si>
  <si>
    <r>
      <t xml:space="preserve">✔️ Si eliminas filas, las </t>
    </r>
    <r>
      <rPr>
        <b/>
        <sz val="11"/>
        <color theme="1"/>
        <rFont val="Calibri"/>
        <family val="2"/>
        <scheme val="minor"/>
      </rPr>
      <t>fórmulas se ajustarán automáticamente</t>
    </r>
    <r>
      <rPr>
        <sz val="11"/>
        <color theme="1"/>
        <rFont val="Calibri"/>
        <family val="2"/>
        <scheme val="minor"/>
      </rPr>
      <t xml:space="preserve"> al nuevo desfase.</t>
    </r>
  </si>
  <si>
    <r>
      <t xml:space="preserve">💡 Excel funciona como el juego de </t>
    </r>
    <r>
      <rPr>
        <b/>
        <sz val="11"/>
        <color theme="1"/>
        <rFont val="Calibri"/>
        <family val="2"/>
        <scheme val="minor"/>
      </rPr>
      <t>Hundir la flota</t>
    </r>
    <r>
      <rPr>
        <sz val="11"/>
        <color theme="1"/>
        <rFont val="Calibri"/>
        <family val="2"/>
        <scheme val="minor"/>
      </rPr>
      <t>:</t>
    </r>
  </si>
  <si>
    <t xml:space="preserve"> usa las coordenadas fila/columna para seguir los desplazamientos entre celdas y mantener los cálculos correctos.</t>
  </si>
  <si>
    <t>⑥ Weight or Volume adjust the decimals (+ or − from 0</t>
  </si>
  <si>
    <t>If you think the gram amounts are too generous or not generous enough for your guests: adjust your portions ❿  Too generous: increase — Not enough: dec</t>
  </si>
  <si>
    <t>o bien decide duplicar la receta a partir de un efectivo o del peso de un género—por ejemplo harina para p</t>
  </si>
  <si>
    <t>% Merma</t>
  </si>
  <si>
    <t>Cuánto pierde 1 kg de producto en pelado o despiece — en acondicionamiento, etc.?</t>
  </si>
  <si>
    <t xml:space="preserve">Astuce charcuterie : pour une diffusion régulière, écrasez légèrement les étoiles ou faites-les infuser puis filtrez ; </t>
  </si>
  <si>
    <t>1️⃣ Collez vos "postit" en 🟥 colonne N</t>
  </si>
  <si>
    <t>2️⃣ ⑬ – Nommez le répertoire, le Nom de la recette,</t>
  </si>
  <si>
    <t>3️⃣ ⑭ – Recette dupliquée pour : cellule AV10</t>
  </si>
  <si>
    <t>4️⃣ 👉 ⓰ Optionnel – Col.33 : vos quantités</t>
  </si>
  <si>
    <t>5️⃣ 👉 Facultatif – ⑰ % Perte (Col.38)</t>
  </si>
  <si>
    <t>6️⃣ ⑱ Prix – Col.43</t>
  </si>
  <si>
    <t>💡 Prix : ne confondez pas prix au Kg et prix à la pièce</t>
  </si>
  <si>
    <t>1️⃣ Paste your "postits" into 🟥 column N</t>
  </si>
  <si>
    <t>2️⃣ ⑬ – Name the folder, enter the Recipe name,</t>
  </si>
  <si>
    <t>3️⃣ ⑭ – Recipe duplicated for: cell AV10</t>
  </si>
  <si>
    <t>4️⃣ 👉 ⓰ Optional – Col.33: your quantities</t>
  </si>
  <si>
    <t>5️⃣ 👉 Optional – ⑰ % Loss (Col.38)</t>
  </si>
  <si>
    <t>6️⃣ ⑱ Price – Col.43</t>
  </si>
  <si>
    <t>💡 Price: don’t confuse price per Kg with price per unit</t>
  </si>
  <si>
    <t>1️⃣ Pega tus "postits" en la 🟥 columna N</t>
  </si>
  <si>
    <t>2️⃣ ⑬ – Nombra la carpeta, escribe el Nombre de la receta,</t>
  </si>
  <si>
    <t>3️⃣ ⑭ – Receta duplicada para: celda AV10</t>
  </si>
  <si>
    <t>4️⃣ 👉 ⓰ Opcional – Col.38: tus cantidades</t>
  </si>
  <si>
    <t>5️⃣ 👉 Opcional – ⑰ % Pérdida (Col.43)</t>
  </si>
  <si>
    <t>6️⃣ ⑱ Precio – Col.43</t>
  </si>
  <si>
    <t>💡 Precio: no confundas precio por Kg con precio por unidad</t>
  </si>
  <si>
    <t>MILLE FEUILLE Meringue et chiboust pamplemousse aux fraises des bois</t>
  </si>
  <si>
    <t>Jean Jacques BORNE                 Beghin Say</t>
  </si>
  <si>
    <t xml:space="preserve">▼  Vous pouvez Masquez ces 9 colonnes  </t>
  </si>
  <si>
    <t xml:space="preserve"> masquer les colonnes   &lt; vous avez 10 + 9 colonnes masquables</t>
  </si>
  <si>
    <t>Hide columns &lt; you have 10 + 9 hideable columns.</t>
  </si>
  <si>
    <t>Oculta columnas &lt; tienes 10 + 9 columnas ocultables.</t>
  </si>
  <si>
    <r>
      <t xml:space="preserve">📝 </t>
    </r>
    <r>
      <rPr>
        <b/>
        <sz val="12"/>
        <color rgb="FFC00000"/>
        <rFont val="Calibri"/>
        <family val="2"/>
        <scheme val="minor"/>
      </rPr>
      <t>Découper un texte manuellement sur plusieurs cellules</t>
    </r>
  </si>
  <si>
    <r>
      <t xml:space="preserve">1️⃣. Gardez le </t>
    </r>
    <r>
      <rPr>
        <b/>
        <sz val="11"/>
        <color rgb="FF0000FF"/>
        <rFont val="Calibri"/>
        <family val="2"/>
        <scheme val="minor"/>
      </rPr>
      <t>texte complet</t>
    </r>
    <r>
      <rPr>
        <sz val="11"/>
        <color rgb="FF0000FF"/>
        <rFont val="Calibri"/>
        <family val="2"/>
        <scheme val="minor"/>
      </rPr>
      <t xml:space="preserve"> dans une cellule (ex. B10).</t>
    </r>
  </si>
  <si>
    <r>
      <t xml:space="preserve">4️⃣. Descendez en B11 → </t>
    </r>
    <r>
      <rPr>
        <b/>
        <sz val="11"/>
        <color rgb="FF0000FF"/>
        <rFont val="Calibri"/>
        <family val="2"/>
        <scheme val="minor"/>
      </rPr>
      <t>Ctrl+V</t>
    </r>
    <r>
      <rPr>
        <sz val="11"/>
        <color rgb="FF0000FF"/>
        <rFont val="Calibri"/>
        <family val="2"/>
        <scheme val="minor"/>
      </rPr>
      <t xml:space="preserve"> (coller la suite).</t>
    </r>
  </si>
  <si>
    <r>
      <t xml:space="preserve">2️⃣. Dans la </t>
    </r>
    <r>
      <rPr>
        <b/>
        <sz val="11"/>
        <color rgb="FF0000FF"/>
        <rFont val="Calibri"/>
        <family val="2"/>
        <scheme val="minor"/>
      </rPr>
      <t>barre de formule</t>
    </r>
    <r>
      <rPr>
        <sz val="11"/>
        <color rgb="FF0000FF"/>
        <rFont val="Calibri"/>
        <family val="2"/>
        <scheme val="minor"/>
      </rPr>
      <t xml:space="preserve">, repérez l’endroit où couper, </t>
    </r>
  </si>
  <si>
    <t>Recommencez en B11, B12…</t>
  </si>
  <si>
    <t>puis revenez jusqu’à un espace entre deux mots.</t>
  </si>
  <si>
    <t xml:space="preserve"> jusqu’à avoir une partie de texte par cellule.</t>
  </si>
  <si>
    <r>
      <t xml:space="preserve">3️⃣. Sélectionnez tout ce qui est </t>
    </r>
    <r>
      <rPr>
        <b/>
        <sz val="11"/>
        <color rgb="FF0000FF"/>
        <rFont val="Calibri"/>
        <family val="2"/>
        <scheme val="minor"/>
      </rPr>
      <t>après cet espace</t>
    </r>
    <r>
      <rPr>
        <sz val="11"/>
        <color rgb="FF0000FF"/>
        <rFont val="Calibri"/>
        <family val="2"/>
        <scheme val="minor"/>
      </rPr>
      <t xml:space="preserve"> </t>
    </r>
  </si>
  <si>
    <t>→ Ctrl+X (couper) → Entrée : la 1ʳᵉ partie reste en B10.</t>
  </si>
  <si>
    <t>Navarin of lamb . . . . . . . . . . . . . . . . . . . . .14 kg</t>
  </si>
  <si>
    <t>Ingredients for cooking the navarin</t>
  </si>
  <si>
    <t>Tomato paste . . . . . . . . . . . .1 bte 4/4</t>
  </si>
  <si>
    <t>Frozen chopped garlic . . . . . . . . . . . . . . . . . . . . . .200 g</t>
  </si>
  <si>
    <t>Flour . . . . . . . . . . . . . . . . . . . . . . . . . . . . . . . . . . .500 g</t>
  </si>
  <si>
    <t>Light veal stock. . . . . . . . . . . . . . . .12 L</t>
  </si>
  <si>
    <t>White (coco) beans . . . . . . . . . . . . . . . . .1 kg</t>
  </si>
  <si>
    <t>Onions . . . . . . . . . . . . . . . . . . . . . . . . . . . . . . . . . .1 kg</t>
  </si>
  <si>
    <t>beans</t>
  </si>
  <si>
    <t>Aromatic garnish elements for the</t>
  </si>
  <si>
    <t>Carrots . . . . . . . . . . . . . . . . . . . . . . . . . . . . . . . . . .1 kg</t>
  </si>
  <si>
    <t>Cloves . . . . . . . . . . . . . . . . . . .12 pièces</t>
  </si>
  <si>
    <t>Cassoulet garnish elements</t>
  </si>
  <si>
    <t>Fresh pork belly . . . . . . . . . . . . . . . . . . . . . . . . . .4 kg</t>
  </si>
  <si>
    <t>Garlic sausage</t>
  </si>
  <si>
    <t>or Toulouse sausage . . . . . . . . . . . . . . . .4 kg</t>
  </si>
  <si>
    <t>Onions . . . . . . . . . . . . . . . . . . . . . . . . . . . . . . . . . .4 kg</t>
  </si>
  <si>
    <t>Frozen diced tomatoes . . . . . . . . . . . . . . .5 kg</t>
  </si>
  <si>
    <t>Tomato paste . . . . . . . . . . . . . . . . . . .400 g</t>
  </si>
  <si>
    <t>Frozen chopped garlic . . . . . . . . . . . . . . . . . . . . . .250 g</t>
  </si>
  <si>
    <t>Breadcrumbs . . . . . . . . . . . . . . . . . . . . . . . . . . . . . . .1 kg</t>
  </si>
  <si>
    <t>Navarín de cordero. . . . . . . . . . . . . . . . . . . . .14 kg</t>
  </si>
  <si>
    <t>Navarín de cordero</t>
  </si>
  <si>
    <t>Ingredientes para la cocción del navarín</t>
  </si>
  <si>
    <t>Cebollas . . . . . . . . . . . . . . . . . . . . . . . . . . . . . . . . . .4 kg</t>
  </si>
  <si>
    <t>Concentrado de tomate . . . . . . . . . . . .1 bte 4/4</t>
  </si>
  <si>
    <t>Ajo picado congelado . . . . . . . . . . . . . . . . . . . . . .200 g</t>
  </si>
  <si>
    <t>Harina . . . . . . . . . . . . . . . . . . . . . . . . . . . . . . . . . . .500 g</t>
  </si>
  <si>
    <t>Ramillete de hierbas . . . . . . . . . . . . . . . . . . . . . . . . . . . . . . .1</t>
  </si>
  <si>
    <t>Fondo claro de ternera . . . . . . . . . . . . . . . .12 L</t>
  </si>
  <si>
    <t>Elementos del sofrito aromático para las judías</t>
  </si>
  <si>
    <t>Cebollas</t>
  </si>
  <si>
    <t>Zanahorias . . . . . . . . . . . . . . . . . . . . . . . . . . . . . . . . . .1 kg</t>
  </si>
  <si>
    <t>Panceta fresca</t>
  </si>
  <si>
    <t>Concentrado de tomate</t>
  </si>
  <si>
    <t>Ajo picado congelado</t>
  </si>
  <si>
    <t>Harina</t>
  </si>
  <si>
    <t>Ramillete de hierbas</t>
  </si>
  <si>
    <t>Fondo claro de ternera</t>
  </si>
  <si>
    <t>Judías blancas (coco)</t>
  </si>
  <si>
    <t>Zanahorias</t>
  </si>
  <si>
    <t>Elementos del acompañamiento del cassoulet</t>
  </si>
  <si>
    <t>Salchicha de ajo</t>
  </si>
  <si>
    <t>o salchicha de Toulouse</t>
  </si>
  <si>
    <t>Tomates en dados congelados</t>
  </si>
  <si>
    <t>Hierbas provenzales</t>
  </si>
  <si>
    <t>Sal</t>
  </si>
  <si>
    <t>Pimienta</t>
  </si>
  <si>
    <t>Pan rallado</t>
  </si>
  <si>
    <t>Judías blancas (coco) . . . . . . . . . . . . . . . . .1 kg</t>
  </si>
  <si>
    <t>Ramillete de hierbas . . . . . . . . . . . . . . . . . . . . . . . . . . . . . . . . . .1 kg</t>
  </si>
  <si>
    <t>Clavos de olor . . . . . . . . . . . . . . . . . . .12 pièces</t>
  </si>
  <si>
    <t>Panceta fresca . . . . . . . . . . . . . . . . . . . . . . . . . .4 kg</t>
  </si>
  <si>
    <t>o salchicha de Toulouse . . . . . . . . . . . . . . . .4 kg</t>
  </si>
  <si>
    <t>Tomates en dados congelados . . . . . . . . . . . . . . .5 kg</t>
  </si>
  <si>
    <t>Concentrado de tomate . . . . . . . . . . . . . . . . . . .400 g</t>
  </si>
  <si>
    <t>Ajo picado congelado . . . . . . . . . . . . . . . . . . . . . .250 g</t>
  </si>
  <si>
    <t>Hierbas provenzales . . . . . . . . . . . . . . . . . . . .15 g</t>
  </si>
  <si>
    <t>Pan rallado . . . . . . . . . . . . . . . . . . . . . . . . . . . . . . .1 kg</t>
  </si>
  <si>
    <t>If you retrieve a list, I suggest a formula to extract the text.</t>
  </si>
  <si>
    <t>▼ Formula to extract text</t>
  </si>
  <si>
    <t>Retrieved list ▼</t>
  </si>
  <si>
    <t>Si recuperas una lista, te propongo una fórmula para extraer el texto.</t>
  </si>
  <si>
    <t>▼ Fórmula para extraer el texto</t>
  </si>
  <si>
    <t>Lista recuperada ▼</t>
  </si>
  <si>
    <t>Salt . . . . . . . . . . . . . . . . . . . . . .Sufficient quantities</t>
  </si>
  <si>
    <t>Pepper . . . . . . . . . . . . . . . . . .Sufficient quantities</t>
  </si>
  <si>
    <t>Sal . . . . . . . . . . . . . . . . . . . . . .Cantidades suficientes</t>
  </si>
  <si>
    <t>Pimienta . . . . . . . . . . . . . . . . . .Cantidades suficientes</t>
  </si>
  <si>
    <t>Retrieve your list = Copy then use Paste Special &gt; Values (1.2.3) in your document to avoid pasting the formula.</t>
  </si>
  <si>
    <t>When you copy text, remove the = sign and hyphens - — Excel treats it as a formula.Example:</t>
  </si>
  <si>
    <t>You’ll get #NAME? because the text starts with an equal sign and a hyphen.</t>
  </si>
  <si>
    <t>3️⃣ Select everything after that space</t>
  </si>
  <si>
    <t>👨‍👩‍👧‍👦 Guest families</t>
  </si>
  <si>
    <t>M – Preschool</t>
  </si>
  <si>
    <t>P – Primary school</t>
  </si>
  <si>
    <t>A – Sedentary adults</t>
  </si>
  <si>
    <t>(Only the bolded families are used on this sheet for adapting menus and portions)</t>
  </si>
  <si>
    <t>A+ – Adults doing hard physical work and/or Teenagers</t>
  </si>
  <si>
    <t>SM – Seniors (Lunch)</t>
  </si>
  <si>
    <t>SD – Seniors (Dinner)</t>
  </si>
  <si>
    <t>SW – Seniors (Weekend)</t>
  </si>
  <si>
    <t>E – Children</t>
  </si>
  <si>
    <t>T – All guests</t>
  </si>
  <si>
    <t>A+ = Adults + Teenagers doing heavy physical work</t>
  </si>
  <si>
    <t>Recupera tu lista = Copiar y luego usar Pegado especial &gt; Valores (1.2.3) en tu documento para no pegar la fórmula.</t>
  </si>
  <si>
    <t>Cuando recuperes texto, elimina el signo = y los guiones - — Excel lo interpreta como una fórmula.Ejemplo:</t>
  </si>
  <si>
    <t>→ Obtendrás #NOMBRE? porque el texto empieza con un signo igual y un guion.</t>
  </si>
  <si>
    <t>Repite en B11, B12…</t>
  </si>
  <si>
    <t>👨‍👩‍👧‍👦 Familias de comensales</t>
  </si>
  <si>
    <t>M – Infantil</t>
  </si>
  <si>
    <t>P – Primaria</t>
  </si>
  <si>
    <t>A – Adultos sedentarios</t>
  </si>
  <si>
    <t>(Solo se usan las familias en negrita para adaptar los menús y gramajes en esta ficha)</t>
  </si>
  <si>
    <t>A+ – Adultos con trabajo físico y/o Adolescentes</t>
  </si>
  <si>
    <t>SM – Mayores (almuerzo)</t>
  </si>
  <si>
    <t>SD – Mayores (cena)</t>
  </si>
  <si>
    <t>SW – Mayores (fin de semana)</t>
  </si>
  <si>
    <t>S – Mayores</t>
  </si>
  <si>
    <t>E – Niños</t>
  </si>
  <si>
    <t>T – Todos los comensales</t>
  </si>
  <si>
    <t>A+ = Adultos + Adolescentes con actividad física intensa</t>
  </si>
  <si>
    <t>Use emojis for illustration</t>
  </si>
  <si>
    <t>Column widths</t>
  </si>
  <si>
    <t>Recommended width</t>
  </si>
  <si>
    <t>Actual width (via formula)</t>
  </si>
  <si>
    <t>Purpose: when you paste a document into a blank sheet, the column widths may not match.</t>
  </si>
  <si>
    <t xml:space="preserve">To check this, look at the widths using a function, </t>
  </si>
  <si>
    <t>then adjust the columns as needed.</t>
  </si>
  <si>
    <t>Arrows indicate that the row is unused, so you can:</t>
  </si>
  <si>
    <t>Hide rows &gt; How to:</t>
  </si>
  <si>
    <t>1 – Click on the red A cell</t>
  </si>
  <si>
    <t>2 – Go to Data &gt; Filter</t>
  </si>
  <si>
    <t xml:space="preserve">3 – Click the Filter arrow </t>
  </si>
  <si>
    <t>on the red A cell</t>
  </si>
  <si>
    <t xml:space="preserve">Professional use of recipes requires knowledge </t>
  </si>
  <si>
    <t>of hygiene regulations and HACCP.</t>
  </si>
  <si>
    <t>Ilustra con emojis</t>
  </si>
  <si>
    <t>Anchos de columna</t>
  </si>
  <si>
    <t>Ancho recomendado</t>
  </si>
  <si>
    <t>Ancho real (usando fórmula)</t>
  </si>
  <si>
    <t xml:space="preserve">Utilidad: cuando pegas un documento en una hoja en blanco, </t>
  </si>
  <si>
    <t>los anchos de columna pueden no coincidir.</t>
  </si>
  <si>
    <t>Para comprobarlo, consulta los anchos con una función y luego ajústalos según sea necesario.</t>
  </si>
  <si>
    <t>Las flechas indican que la fila no se utiliza, por lo tanto puedes:</t>
  </si>
  <si>
    <t>Ocultar filas &gt; Cómo?:</t>
  </si>
  <si>
    <t>1 – Haz clic en la celda A roja</t>
  </si>
  <si>
    <t>2 – Ve a Datos &gt; Filtro</t>
  </si>
  <si>
    <t xml:space="preserve">3 – Haz clic en la flecha de filtro </t>
  </si>
  <si>
    <t>en la celda A roja</t>
  </si>
  <si>
    <t>El uso profesional de recetas requiere conocer la normativa de higiene y HACCP.</t>
  </si>
  <si>
    <t xml:space="preserve"> la normativa de higiene y HACCP.</t>
  </si>
  <si>
    <t>📝 Manually split text across multiple cells</t>
  </si>
  <si>
    <t>1️⃣ Keep the full text in one cell (e.g. B10).</t>
  </si>
  <si>
    <t>→ Ctrl+X (cut) → Enter: the first part stays in B10.</t>
  </si>
  <si>
    <t>2️⃣ In the formula bar, find where to cut, then</t>
  </si>
  <si>
    <t>go back to a space between two words.</t>
  </si>
  <si>
    <t>📝 Dividir manualmente un texto en varias celdas</t>
  </si>
  <si>
    <t>1️⃣ Mantén el texto completo en una sola celda (por ejemplo, B10).</t>
  </si>
  <si>
    <t>3️⃣ Selecciona todo lo que hay después de ese espacio</t>
  </si>
  <si>
    <t>→ Ctrl+X (cortar) → Intro: la primera parte queda en B10.</t>
  </si>
  <si>
    <t>2️⃣ En la barra de fórmulas, localiza dónde cortar y retrocede hasta</t>
  </si>
  <si>
    <t xml:space="preserve"> un espacio entre dos palabras.</t>
  </si>
  <si>
    <t>4️⃣ Go down to B11 → Ctrl+V (paste the rest).</t>
  </si>
  <si>
    <t>Repeat in B11, B12…</t>
  </si>
  <si>
    <t>until you have one part of the text per cell.</t>
  </si>
  <si>
    <t>hasta tener una parte del texto en cada celda.</t>
  </si>
  <si>
    <t>🧩 Mode d’emploi du POSTIT</t>
  </si>
  <si>
    <t>Pour dupliquer ce POSTIT – 3 méthodes</t>
  </si>
  <si>
    <t>1️⃣ Faites une copie de ce postit.</t>
  </si>
  <si>
    <t>Méthode 1 – Dupliquer la feuille entière</t>
  </si>
  <si>
    <t>Saisissez ensuite votre recette sur cette copie.</t>
  </si>
  <si>
    <r>
      <t xml:space="preserve">1. Maintenez </t>
    </r>
    <r>
      <rPr>
        <b/>
        <sz val="11"/>
        <color theme="1"/>
        <rFont val="Calibri"/>
        <family val="2"/>
        <scheme val="minor"/>
      </rPr>
      <t>Ctrl</t>
    </r>
    <r>
      <rPr>
        <sz val="11"/>
        <color theme="1"/>
        <rFont val="Calibri"/>
        <family val="2"/>
        <scheme val="minor"/>
      </rPr>
      <t xml:space="preserve"> enfoncé.</t>
    </r>
  </si>
  <si>
    <t>2️⃣ ✂️sur la copie  Lignes que vous pouvez supprimer pour raccourcir</t>
  </si>
  <si>
    <r>
      <t>2. Cliquez</t>
    </r>
    <r>
      <rPr>
        <sz val="11"/>
        <color theme="1"/>
        <rFont val="Calibri"/>
        <family val="2"/>
        <scheme val="minor"/>
      </rPr>
      <t xml:space="preserve"> sur l’onglet de la feuille (en bas).</t>
    </r>
  </si>
  <si>
    <r>
      <t xml:space="preserve">Lignes avec </t>
    </r>
    <r>
      <rPr>
        <b/>
        <sz val="11"/>
        <color theme="1"/>
        <rFont val="Calibri"/>
        <family val="2"/>
        <scheme val="minor"/>
      </rPr>
      <t>► blanc sur fond orange</t>
    </r>
  </si>
  <si>
    <r>
      <t>3. Glissez</t>
    </r>
    <r>
      <rPr>
        <sz val="11"/>
        <color theme="1"/>
        <rFont val="Calibri"/>
        <family val="2"/>
        <scheme val="minor"/>
      </rPr>
      <t xml:space="preserve"> l’onglet vers la droite puis relâchez : la feuille est copiée avec le postit.</t>
    </r>
  </si>
  <si>
    <r>
      <t xml:space="preserve">Lignes avec </t>
    </r>
    <r>
      <rPr>
        <b/>
        <sz val="11"/>
        <color theme="1"/>
        <rFont val="Calibri"/>
        <family val="2"/>
        <scheme val="minor"/>
      </rPr>
      <t>► noir</t>
    </r>
  </si>
  <si>
    <r>
      <t xml:space="preserve">Autre possibilité : supprimer les lignes </t>
    </r>
    <r>
      <rPr>
        <b/>
        <sz val="11"/>
        <color theme="1"/>
        <rFont val="Calibri"/>
        <family val="2"/>
        <scheme val="minor"/>
      </rPr>
      <t xml:space="preserve">► </t>
    </r>
  </si>
  <si>
    <t>Méthode 2 – Copier les colonnes du postit</t>
  </si>
  <si>
    <t>sur fond lavande pour raccourcir encore le postit.</t>
  </si>
  <si>
    <r>
      <t xml:space="preserve">1. Cliquez sur la </t>
    </r>
    <r>
      <rPr>
        <b/>
        <sz val="11"/>
        <color theme="1"/>
        <rFont val="Calibri"/>
        <family val="2"/>
        <scheme val="minor"/>
      </rPr>
      <t>ligne des lettres de colonnes</t>
    </r>
    <r>
      <rPr>
        <sz val="11"/>
        <color theme="1"/>
        <rFont val="Calibri"/>
        <family val="2"/>
        <scheme val="minor"/>
      </rPr>
      <t xml:space="preserve"> (A, B, C…) </t>
    </r>
  </si>
  <si>
    <r>
      <t xml:space="preserve">🔸👉 </t>
    </r>
    <r>
      <rPr>
        <b/>
        <sz val="11"/>
        <color theme="1"/>
        <rFont val="Calibri"/>
        <family val="2"/>
        <scheme val="minor"/>
      </rPr>
      <t>Conséquence</t>
    </r>
    <r>
      <rPr>
        <sz val="11"/>
        <color theme="1"/>
        <rFont val="Calibri"/>
        <family val="2"/>
        <scheme val="minor"/>
      </rPr>
      <t xml:space="preserve"> :si vous supprimez les lignes lavande, </t>
    </r>
  </si>
  <si>
    <t>pour sélectionner les colonnes du postit.</t>
  </si>
  <si>
    <t>vous ne pourrez plus coller les compléments de progression.</t>
  </si>
  <si>
    <r>
      <t>2. Copiez</t>
    </r>
    <r>
      <rPr>
        <sz val="11"/>
        <color theme="1"/>
        <rFont val="Calibri"/>
        <family val="2"/>
        <scheme val="minor"/>
      </rPr>
      <t xml:space="preserve"> (Ctrl+C).</t>
    </r>
  </si>
  <si>
    <t>3️⃣ ⚠ Lignes à NE JAMAIS supprimer</t>
  </si>
  <si>
    <r>
      <t>3. Collez</t>
    </r>
    <r>
      <rPr>
        <sz val="11"/>
        <color theme="1"/>
        <rFont val="Calibri"/>
        <family val="2"/>
        <scheme val="minor"/>
      </rPr>
      <t xml:space="preserve"> (Ctrl+V) sur une </t>
    </r>
    <r>
      <rPr>
        <b/>
        <sz val="11"/>
        <color theme="1"/>
        <rFont val="Calibri"/>
        <family val="2"/>
        <scheme val="minor"/>
      </rPr>
      <t>feuille vierge</t>
    </r>
    <r>
      <rPr>
        <sz val="11"/>
        <color theme="1"/>
        <rFont val="Calibri"/>
        <family val="2"/>
        <scheme val="minor"/>
      </rPr>
      <t>.</t>
    </r>
  </si>
  <si>
    <t>NE SUPPRIMEZ PAS LES LIGNES A SUR FOND VERT</t>
  </si>
  <si>
    <t>excel les utilise pour le fonctionnement des formules</t>
  </si>
  <si>
    <t>Méthode 3 – Copier uniquement le postit</t>
  </si>
  <si>
    <r>
      <t xml:space="preserve">1. Cliquez sur la </t>
    </r>
    <r>
      <rPr>
        <b/>
        <sz val="11"/>
        <color theme="1"/>
        <rFont val="Calibri"/>
        <family val="2"/>
        <scheme val="minor"/>
      </rPr>
      <t>cellule A rouge</t>
    </r>
    <r>
      <rPr>
        <sz val="11"/>
        <color theme="1"/>
        <rFont val="Calibri"/>
        <family val="2"/>
        <scheme val="minor"/>
      </rPr>
      <t xml:space="preserve"> (haut gauche du postit).</t>
    </r>
  </si>
  <si>
    <r>
      <t xml:space="preserve">2. Étirez la sélection jusqu’à la </t>
    </r>
    <r>
      <rPr>
        <b/>
        <sz val="11"/>
        <color theme="1"/>
        <rFont val="Calibri"/>
        <family val="2"/>
        <scheme val="minor"/>
      </rPr>
      <t>dernière cellule en bas à droite</t>
    </r>
    <r>
      <rPr>
        <sz val="11"/>
        <color theme="1"/>
        <rFont val="Calibri"/>
        <family val="2"/>
        <scheme val="minor"/>
      </rPr>
      <t xml:space="preserve"> du postit.</t>
    </r>
  </si>
  <si>
    <r>
      <t>3. Copiez</t>
    </r>
    <r>
      <rPr>
        <sz val="11"/>
        <color theme="1"/>
        <rFont val="Calibri"/>
        <family val="2"/>
        <scheme val="minor"/>
      </rPr>
      <t xml:space="preserve"> puis </t>
    </r>
    <r>
      <rPr>
        <b/>
        <sz val="11"/>
        <color theme="1"/>
        <rFont val="Calibri"/>
        <family val="2"/>
        <scheme val="minor"/>
      </rPr>
      <t>collez</t>
    </r>
    <r>
      <rPr>
        <sz val="11"/>
        <color theme="1"/>
        <rFont val="Calibri"/>
        <family val="2"/>
        <scheme val="minor"/>
      </rPr>
      <t xml:space="preserve"> dans une </t>
    </r>
    <r>
      <rPr>
        <b/>
        <sz val="11"/>
        <color theme="1"/>
        <rFont val="Calibri"/>
        <family val="2"/>
        <scheme val="minor"/>
      </rPr>
      <t>feuille préformatée</t>
    </r>
    <r>
      <rPr>
        <sz val="11"/>
        <color theme="1"/>
        <rFont val="Calibri"/>
        <family val="2"/>
        <scheme val="minor"/>
      </rPr>
      <t xml:space="preserve"> avec les bonnes largeurs de colonnes.</t>
    </r>
  </si>
  <si>
    <t>🧩 How to use the POSTIT</t>
  </si>
  <si>
    <t>1️⃣ Make a copy of this postit.</t>
  </si>
  <si>
    <t>Then enter your recipe on the copy.</t>
  </si>
  <si>
    <t>2️⃣ ✂️ On the copy — lines you can delete to shorten:</t>
  </si>
  <si>
    <t>Lines with a white ► on orange background</t>
  </si>
  <si>
    <t>Lines with a black ►</t>
  </si>
  <si>
    <t>Another option: delete lines with ► on lavender background</t>
  </si>
  <si>
    <t>to shorten the postit even more.</t>
  </si>
  <si>
    <t>🔸👉 Important: If you delete lavender lines,</t>
  </si>
  <si>
    <t>you will no longer be able to paste progression additions.</t>
  </si>
  <si>
    <t>DO NOT DELETE LINES A ON GREEN BACKGROUND</t>
  </si>
  <si>
    <t>Excel uses them for formula functionality.</t>
  </si>
  <si>
    <t>1️⃣ Haz una copia de este postit.</t>
  </si>
  <si>
    <t>Luego introduce tu receta en la copia.</t>
  </si>
  <si>
    <t>para acortar aún más el postit.</t>
  </si>
  <si>
    <t>ya no podrás pegar los complementos de progresión.</t>
  </si>
  <si>
    <t>NO ELIMINES LAS LÍNEAS A CON FONDO VERDE</t>
  </si>
  <si>
    <t>Excel las utiliza para el funcionamiento de las fórmulas.</t>
  </si>
  <si>
    <t>🧩 Modo de uso del POSTIT</t>
  </si>
  <si>
    <t>2️⃣ ✂️ En la copia — líneas que puedes eliminar para acortar:</t>
  </si>
  <si>
    <t>Líneas con un ► blanco sobre fondo naranja</t>
  </si>
  <si>
    <t>Líneas con un ► negro</t>
  </si>
  <si>
    <t>Otra opción: eliminar las líneas con ► sobre fondo lavanda</t>
  </si>
  <si>
    <t>🔸👉 Consecuencia: Si eliminas las líneas lavanda,</t>
  </si>
  <si>
    <t>3️⃣ ⚠ Líneas que NUNCA debes eliminar</t>
  </si>
  <si>
    <t>Method 1 – Duplicate the entire sheet</t>
  </si>
  <si>
    <t>1. Hold down Ctrl.</t>
  </si>
  <si>
    <t>2. Click on the sheet tab (at the bottom).</t>
  </si>
  <si>
    <t>3. Drag the tab to the right, then release: the sheet is copied with the postit.</t>
  </si>
  <si>
    <t>Method 2 – Copy the postit columns</t>
  </si>
  <si>
    <t>1. Click on the column letter row (A, B, C…)</t>
  </si>
  <si>
    <t>to select the postit columns.</t>
  </si>
  <si>
    <t>2. Copy (Ctrl+C).</t>
  </si>
  <si>
    <t>3. Paste (Ctrl+V) into a blank sheet.</t>
  </si>
  <si>
    <t>Method 3 – Copy only the postit area</t>
  </si>
  <si>
    <t>1. Click on the red A cell (top left of the postit).</t>
  </si>
  <si>
    <t>2. Extend the selection to the bottom-right cell of the postit.</t>
  </si>
  <si>
    <t>3. Copy and paste into a preformatted sheet with the correct column widths.</t>
  </si>
  <si>
    <t>To duplicate this POSTIT – 3 methods</t>
  </si>
  <si>
    <t>Para duplicar este POSTIT – 3 métodos</t>
  </si>
  <si>
    <t>Método 1 – Duplicar toda la hoja</t>
  </si>
  <si>
    <t>2. Haz clic en la pestaña de la hoja (abajo).</t>
  </si>
  <si>
    <t>3. Arrastra la pestaña hacia la derecha y suéltala: la hoja se copia con el postit.</t>
  </si>
  <si>
    <t>Método 2 – Copiar las columnas del postit</t>
  </si>
  <si>
    <t>1. Haz clic en la fila de letras de las columnas (A, B, C…)</t>
  </si>
  <si>
    <t>para seleccionar las columnas del postit.</t>
  </si>
  <si>
    <t>Método 3 – Copiar solo el área del postit</t>
  </si>
  <si>
    <t>2. Extiende la selección hasta la última celda abajo a la derecha del postit.</t>
  </si>
  <si>
    <t>3. Copia y pega en una hoja preformateada con los anchos de columna correctos.</t>
  </si>
  <si>
    <t>1. Mantén presionada la tecla Ctrl.</t>
  </si>
  <si>
    <t>2. Copia (Ctrl+C).</t>
  </si>
  <si>
    <t>3. Pega (Ctrl+V) en una hoja en blanco.</t>
  </si>
  <si>
    <t>1. Haz clic en la celda roja A (esquina superior izquierda del postit).</t>
  </si>
  <si>
    <t>Then, in the formula bar, select the number or letter you want</t>
  </si>
  <si>
    <t>Choose the font and the color you prefer</t>
  </si>
  <si>
    <t>Luego, en la barra de fórmulas, selecciona el número o la letra que te interesa</t>
  </si>
  <si>
    <t>Elige la fuente y el color que prefieras</t>
  </si>
  <si>
    <t xml:space="preserve">et sélectionnez dans la barre de formule le numéro ou la lettre qui vous intéresse </t>
  </si>
  <si>
    <t>choisissez la police de caractères et la couleur qui vous conviennent</t>
  </si>
  <si>
    <t>Pour vous faire gagner du temps</t>
  </si>
  <si>
    <t>Utilisez ces modèle de 6.10.15.20.30 LIGNES.</t>
  </si>
  <si>
    <t>To save you time</t>
  </si>
  <si>
    <t>Use these 6, 10, 15, 20, 30-LINE templates.</t>
  </si>
  <si>
    <t>Para ahorrarte tiempo</t>
  </si>
  <si>
    <t>Utiliza estos modelos de 6, 10, 15, 20, 30 LÍNEAS.</t>
  </si>
  <si>
    <t>Transmission des savoirs faire</t>
  </si>
  <si>
    <t>Sur ce site, vous trouverez des exemples d’utilitaires issus de l’UPRT, fondés sur l’expérience et les savoir-faire de la restauration collective,</t>
  </si>
  <si>
    <t>et adaptables à la restauration commerciale.</t>
  </si>
  <si>
    <t>L’objectif de ces documents est bien sûr de pouvoir les utiliser, mais surtout de nourrir la réflexion grâce à des exemples concrets</t>
  </si>
  <si>
    <t>et de développer la capacité à penser, analyser et maîtriser ce que l’on fait.</t>
  </si>
  <si>
    <t>En revanche, en partant de modèles existants, il peut progressivement apprendre à découper, coller, mettre en forme, utiliser formules et fonctions.</t>
  </si>
  <si>
    <t>C’est pourquoi j’invite l’internaute à télécharger sur son disque dur les documents disponibles sur ce site,</t>
  </si>
  <si>
    <t>afin de se constituer une “webthèque” ou “nethèque” personnelle, à consulter et exploiter au moment opportun.</t>
  </si>
  <si>
    <t>Un jeune en formation (CFA, lycée hôtelier, etc.) ou un professionnel en activité n’a pas toujours le temps d’apprendre les bases d’un tableur s’il n’a pas été initié.</t>
  </si>
  <si>
    <t>Sincères salutations Joël Leboucher 21/10/2025</t>
  </si>
  <si>
    <t>Dear Sir or Madam,</t>
  </si>
  <si>
    <t>A young person in training (CFA, hospitality school, etc.) or an active professional often lacks time to learn spreadsheet basics if they haven't been introduced to them before.</t>
  </si>
  <si>
    <t>However, starting from ready-made templates, they can gradually learn to break things down, copy, format, and use formulas and functions.</t>
  </si>
  <si>
    <t>🇬🇧 Passing on Know-How</t>
  </si>
  <si>
    <t>🇪🇸 Transmisión del Saber Hacer</t>
  </si>
  <si>
    <t>Un joven en formación (CFA, escuela de hostelería, etc.) o un profesional en activo no siempre tiene tiempo para aprender los fundamentos de una hoja de cálculo si nunca se le ha enseñado.</t>
  </si>
  <si>
    <t>Sin embargo, a partir de modelos ya hechos, puede aprender poco a poco a estructurar, copiar, dar formato y utilizar fórmulas y funciones.</t>
  </si>
  <si>
    <t xml:space="preserve">On this site, you’ll find a selection of tools from UPRT, based on the experience and expertise of collective </t>
  </si>
  <si>
    <t>catering professionals, and adaptable to commercial food service.</t>
  </si>
  <si>
    <t xml:space="preserve">The purpose of these documents is, of course, to be used — but more importantly, to encourage critical thinking through practical examples, </t>
  </si>
  <si>
    <t>and to help develop the ability to think, analyze, and truly understand what we do.</t>
  </si>
  <si>
    <t xml:space="preserve">That’s why I encourage visitors to download these materials onto their hard drive, </t>
  </si>
  <si>
    <t>to build their own “web library” — a personal resource they can consult and use when the time is right.</t>
  </si>
  <si>
    <t>Best regards,Joël Leboucher — October 21, 2025</t>
  </si>
  <si>
    <t>En este sitio encontrará ejemplos de herramientas procedentes del UPRT, basadas en la experiencia y los conocimientos de la restauración colectiva,</t>
  </si>
  <si>
    <t xml:space="preserve"> y adaptables a la restauración comercial.</t>
  </si>
  <si>
    <t>El objetivo de estos documentos no es solo que se utilicen, sino también alimentar la reflexión mediante ejemplos concretos</t>
  </si>
  <si>
    <t>, y fomentar la capacidad de pensar, analizar y dominar lo que se hace.</t>
  </si>
  <si>
    <t>Atentamente,Joël Leboucher — 21 de octubre de 2025</t>
  </si>
  <si>
    <t xml:space="preserve">Por eso animo a los usuarios a descargar estos documentos en su disco duro, para crearse una “webteca” o biblioteca personal, </t>
  </si>
  <si>
    <t>que puedan consultar y aprovechar cuando lo necesiten.</t>
  </si>
  <si>
    <t>🔄 CHANGER DE POSTIT</t>
  </si>
  <si>
    <t>1️⃣ Collez votre "postit" cellule A rouge</t>
  </si>
  <si>
    <t>1️⃣ Sélectionnez tout le “postit” : de la première cellule A rouge en haut à gauche jusqu’à la dernière cellule en bas à droite.</t>
  </si>
  <si>
    <t>2️⃣ Remplissez denrées + quantités</t>
  </si>
  <si>
    <t>3️⃣ Auteur &gt; collez la--FAMILLE &gt; Recette mère ?</t>
  </si>
  <si>
    <t>2️⃣ Supprimez  &gt; Fusionner et centrer et Supprimez  &gt;  Renvoyer à la ligne automatiquement.</t>
  </si>
  <si>
    <t>4️⃣ référence Auteur &gt; votre référence &gt; Dupliquée pour</t>
  </si>
  <si>
    <t>5️⃣ PHASES DE PROGRESSION</t>
  </si>
  <si>
    <t>3️⃣ Supprimez tout le contenu : texte et valeurs.</t>
  </si>
  <si>
    <t>💡 Astuce : Collez votre texte &gt; toujours utiliser Collage spécial &gt; Valeurs !</t>
  </si>
  <si>
    <t>4️⃣ Collez le nouveau postit à partir de la cellule  A rouge</t>
  </si>
  <si>
    <t>📋 QUICK USER GUIDE</t>
  </si>
  <si>
    <t>1️⃣ Paste your "Postit" in the red cell A</t>
  </si>
  <si>
    <t>2️⃣ Fill in ingredients + quantities</t>
  </si>
  <si>
    <t>3️⃣ Author &gt; paste the --FAMILY &gt; Parent recipe?</t>
  </si>
  <si>
    <t>4️⃣ Author reference &gt; your reference &gt; Duplicated for</t>
  </si>
  <si>
    <t>5️⃣ PROGRESSION PHASES</t>
  </si>
  <si>
    <t>💡 Tip: Paste your text → always use Paste Special → Values!</t>
  </si>
  <si>
    <t>I intentionally typed "Postit" because the other version is a brand.</t>
  </si>
  <si>
    <t>📋 GUÍA RÁPIDA DE USO</t>
  </si>
  <si>
    <t>1️⃣ Pegue su "Postit" en la celda A roja</t>
  </si>
  <si>
    <t>2️⃣ Rellene alimentos/ingredientes + cantidades</t>
  </si>
  <si>
    <t>3️⃣ Autor &gt; pegue la --FAMILIA &gt; ¿Receta madre?</t>
  </si>
  <si>
    <t>4️⃣ Referencia del autor &gt; su referencia &gt; Duplicado para</t>
  </si>
  <si>
    <t>5️⃣ FASES DE PROGRESIÓN</t>
  </si>
  <si>
    <t>💡 Consejo: Pegue su texto → utilice siempre Pegado especial → Valores.</t>
  </si>
  <si>
    <t>He escrito "Postit" a propósito porque la otra versión es una marca.</t>
  </si>
  <si>
    <t>🔄 CHANGE POSTIT</t>
  </si>
  <si>
    <t>1️⃣ Select the entire “Postit”: from the first red cell A in the top-left to the last cell in the bottom-right.</t>
  </si>
  <si>
    <r>
      <t xml:space="preserve">2️⃣ Turn off </t>
    </r>
    <r>
      <rPr>
        <b/>
        <sz val="11"/>
        <color theme="1"/>
        <rFont val="Calibri"/>
        <family val="2"/>
        <scheme val="minor"/>
      </rPr>
      <t>Merge &amp; Center</t>
    </r>
    <r>
      <rPr>
        <sz val="11"/>
        <color theme="1"/>
        <rFont val="Calibri"/>
        <family val="2"/>
        <scheme val="minor"/>
      </rPr>
      <t xml:space="preserve"> and </t>
    </r>
    <r>
      <rPr>
        <b/>
        <sz val="11"/>
        <color theme="1"/>
        <rFont val="Calibri"/>
        <family val="2"/>
        <scheme val="minor"/>
      </rPr>
      <t>Wrap Text</t>
    </r>
    <r>
      <rPr>
        <sz val="11"/>
        <color theme="1"/>
        <rFont val="Calibri"/>
        <family val="2"/>
        <scheme val="minor"/>
      </rPr>
      <t>.</t>
    </r>
  </si>
  <si>
    <t>3️⃣ Delete all content: text and values.</t>
  </si>
  <si>
    <t>4️⃣ Paste the new Postit starting from the red cell A.</t>
  </si>
  <si>
    <t>🔄 CAMBIAR POSTIT</t>
  </si>
  <si>
    <t>1️⃣ Seleccione todo el “Postit”: desde la primera celda A roja arriba a la izquierda hasta la última celda abajo a la derecha.</t>
  </si>
  <si>
    <r>
      <t xml:space="preserve">2️⃣ Desactive </t>
    </r>
    <r>
      <rPr>
        <b/>
        <sz val="11"/>
        <color theme="1"/>
        <rFont val="Calibri"/>
        <family val="2"/>
        <scheme val="minor"/>
      </rPr>
      <t>Combinar y centrar</t>
    </r>
    <r>
      <rPr>
        <sz val="11"/>
        <color theme="1"/>
        <rFont val="Calibri"/>
        <family val="2"/>
        <scheme val="minor"/>
      </rPr>
      <t xml:space="preserve"> y </t>
    </r>
    <r>
      <rPr>
        <b/>
        <sz val="11"/>
        <color theme="1"/>
        <rFont val="Calibri"/>
        <family val="2"/>
        <scheme val="minor"/>
      </rPr>
      <t>Ajustar texto</t>
    </r>
    <r>
      <rPr>
        <sz val="11"/>
        <color theme="1"/>
        <rFont val="Calibri"/>
        <family val="2"/>
        <scheme val="minor"/>
      </rPr>
      <t>.</t>
    </r>
  </si>
  <si>
    <t>3️⃣ Borre todo el contenido: texto y valores.</t>
  </si>
  <si>
    <t>4️⃣ Pegue el nuevo Postit a partir de la celda A roja.</t>
  </si>
  <si>
    <t>If you hide columns, press F9 to refresh/update.</t>
  </si>
  <si>
    <t>Si oculta columnas, pulse F9 para actualizar.</t>
  </si>
  <si>
    <t>Pour la recherche d'images cliquez sur les liens ci-dessous</t>
  </si>
  <si>
    <t>https://www.istockphoto.com/fr/photos/%C3%A9pices</t>
  </si>
  <si>
    <t>https://fr.freepik.com/photos/epices</t>
  </si>
  <si>
    <t>https://pixabay.com/fr/photos/search/%C3%A9pices/</t>
  </si>
  <si>
    <t>https://www.pexels.com/fr-fr/chercher/%C3%A9pices/</t>
  </si>
  <si>
    <t>https://gastronomierestauration.blogspot.com/2019/01/audiovisuel-les-aliments-vocabulaire-et.html</t>
  </si>
  <si>
    <t>Aprifel</t>
  </si>
  <si>
    <t>https://www.aprifel.com/fr/</t>
  </si>
  <si>
    <t>interfel</t>
  </si>
  <si>
    <t>https://www.lesfruitsetlegumesfrais.com/</t>
  </si>
  <si>
    <t xml:space="preserve">Ces fiches Excel recettes pour les métiers de bouche ont été traduites </t>
  </si>
  <si>
    <t xml:space="preserve">en anglais et en espagnol avec l’aide d’une IA Elles peuvent aussi </t>
  </si>
  <si>
    <t xml:space="preserve">servir de support en cours de langue : non pas pour apprendre la </t>
  </si>
  <si>
    <t xml:space="preserve">grammaire mais pour traquer les maladresses de traduction discuter des </t>
  </si>
  <si>
    <t xml:space="preserve">nuances de sens et montrer concrètement les limites de l’IA… tout en </t>
  </si>
  <si>
    <t>parlant cuisine</t>
  </si>
  <si>
    <t xml:space="preserve">These Excel recipe sheets for food service trades have been translated </t>
  </si>
  <si>
    <t xml:space="preserve">into English and Spanish with the help of AI They can also be used as </t>
  </si>
  <si>
    <t xml:space="preserve">support material in language classes: not to learn grammar but to spot </t>
  </si>
  <si>
    <t xml:space="preserve">awkward translations discuss shades of meaning and show in a concrete </t>
  </si>
  <si>
    <t>way the limits of AI… all while talking about food</t>
  </si>
  <si>
    <t xml:space="preserve">Estas hojas de recetas en Excel para las profesiones de la </t>
  </si>
  <si>
    <t xml:space="preserve">restauración se han traducido al inglés y al español con la ayuda de </t>
  </si>
  <si>
    <t xml:space="preserve">una IA También pueden utilizarse como material de apoyo en las clases </t>
  </si>
  <si>
    <t xml:space="preserve">de idiomas: no para aprender gramática sino para detectar traducciones </t>
  </si>
  <si>
    <t xml:space="preserve">torpes comentar los matices de significado y mostrar de forma concreta </t>
  </si>
  <si>
    <t>los límites de la IA… mientras se habla de cocina</t>
  </si>
  <si>
    <t>Si vous modifiez la largeur de cette colonne cliquez sur F9 pour la mise à jour</t>
  </si>
  <si>
    <t xml:space="preserve">Date de mise à jour : 16 DÉCEMBRE 2025 </t>
  </si>
  <si>
    <t>Saisissez  la largeur totale des colonnes « Phases de progression » de votre postit.</t>
  </si>
  <si>
    <t xml:space="preserve">Faites chauffer de l'huile de cuisson (idéalement de l'huile de pépins de raisin, </t>
  </si>
  <si>
    <t>elle est neutre et supporte bien la cuisson).</t>
  </si>
  <si>
    <t xml:space="preserve">Dans le bol du robot mélangeur, ajouter la farine, l'oeuf, le sel, la levure de boulanger dissoute </t>
  </si>
  <si>
    <t xml:space="preserve">dans un peu d'eau, le miel, l'eau de fleur d'oranger. </t>
  </si>
  <si>
    <t xml:space="preserve">Couper les pointes des fleurs d'acacia, les tiges doivent être tendres. Laver, </t>
  </si>
  <si>
    <t xml:space="preserve">sous l'eau courante, éponger délicatement. </t>
  </si>
  <si>
    <t>Preparation time</t>
  </si>
  <si>
    <t>https://www.hotellerie-restauration.ac-versailles.fr/spip.php?article4551</t>
  </si>
  <si>
    <t>Des fiches techniques Excel pour tous les métiers de bouche</t>
  </si>
  <si>
    <t>Des modèles de fiches techniques adaptés aux usages professionnels</t>
  </si>
  <si>
    <t>Établissements de la filière et formations Formation Ressources</t>
  </si>
  <si>
    <t>mardi 9 décembre 2025, par Laurent Nadiras</t>
  </si>
  <si>
    <t>Le Centre de Ressources National Hôtellerie-Restauration relaie le travail de Joël Leboucher, créateur du site cuisine-centrale17.fr, qui met gratuitement à disposition des modèles de fiches techniques sous Excel pour l’ensemble des métiers de bouche.</t>
  </si>
  <si>
    <r>
      <t xml:space="preserve">Ces fiches ont été conçues pour répondre aux besoins spécifiques de la </t>
    </r>
    <r>
      <rPr>
        <b/>
        <sz val="11"/>
        <color theme="1"/>
        <rFont val="Calibri"/>
        <family val="2"/>
        <scheme val="minor"/>
      </rPr>
      <t>restauration collective</t>
    </r>
    <r>
      <rPr>
        <sz val="11"/>
        <color theme="1"/>
        <rFont val="Calibri"/>
        <family val="2"/>
        <scheme val="minor"/>
      </rPr>
      <t xml:space="preserve"> (cuisines centrales, restauration territoriale, EHPAD, etc.), de la </t>
    </r>
    <r>
      <rPr>
        <b/>
        <sz val="11"/>
        <color theme="1"/>
        <rFont val="Calibri"/>
        <family val="2"/>
        <scheme val="minor"/>
      </rPr>
      <t>restauration scolaire</t>
    </r>
    <r>
      <rPr>
        <sz val="11"/>
        <color theme="1"/>
        <rFont val="Calibri"/>
        <family val="2"/>
        <scheme val="minor"/>
      </rPr>
      <t xml:space="preserve">, mais aussi des </t>
    </r>
    <r>
      <rPr>
        <b/>
        <sz val="11"/>
        <color theme="1"/>
        <rFont val="Calibri"/>
        <family val="2"/>
        <scheme val="minor"/>
      </rPr>
      <t>lycées hôteliers</t>
    </r>
    <r>
      <rPr>
        <sz val="11"/>
        <color theme="1"/>
        <rFont val="Calibri"/>
        <family val="2"/>
        <scheme val="minor"/>
      </rPr>
      <t xml:space="preserve">, et </t>
    </r>
    <r>
      <rPr>
        <b/>
        <sz val="11"/>
        <color theme="1"/>
        <rFont val="Calibri"/>
        <family val="2"/>
        <scheme val="minor"/>
      </rPr>
      <t>CFA cuisine/pâtisserie</t>
    </r>
    <r>
      <rPr>
        <sz val="11"/>
        <color theme="1"/>
        <rFont val="Calibri"/>
        <family val="2"/>
        <scheme val="minor"/>
      </rPr>
      <t xml:space="preserve">. Elles constituent des outils opérationnels pour les équipes de production et des </t>
    </r>
    <r>
      <rPr>
        <b/>
        <sz val="11"/>
        <color theme="1"/>
        <rFont val="Calibri"/>
        <family val="2"/>
        <scheme val="minor"/>
      </rPr>
      <t>supports pédagogiques</t>
    </r>
    <r>
      <rPr>
        <sz val="11"/>
        <color theme="1"/>
        <rFont val="Calibri"/>
        <family val="2"/>
        <scheme val="minor"/>
      </rPr>
      <t xml:space="preserve"> de qualité pour les élèves, apprentis, enseignants et formateurs.</t>
    </r>
  </si>
  <si>
    <r>
      <t xml:space="preserve">Les fiches techniques Excel proposées par </t>
    </r>
    <r>
      <rPr>
        <b/>
        <sz val="11"/>
        <color theme="1"/>
        <rFont val="Calibri"/>
        <family val="2"/>
        <scheme val="minor"/>
      </rPr>
      <t xml:space="preserve">Joël Leboucher </t>
    </r>
    <r>
      <rPr>
        <sz val="11"/>
        <color theme="1"/>
        <rFont val="Calibri"/>
        <family val="2"/>
        <scheme val="minor"/>
      </rPr>
      <t>couvrent de nombreux secteurs :</t>
    </r>
  </si>
  <si>
    <t>Cuisine</t>
  </si>
  <si>
    <t>Pâtisserie</t>
  </si>
  <si>
    <t>Boulangerie</t>
  </si>
  <si>
    <t>Charcuterie</t>
  </si>
  <si>
    <t>Traiteur</t>
  </si>
  <si>
    <t>Bar et cocktails</t>
  </si>
  <si>
    <t>Elles ont été pensées pour faciliter le travail quotidien des équipes de cuisine et standardiser la documentation technologique. Parmi les fonctionnalités proposées :</t>
  </si>
  <si>
    <r>
      <t>Calculs automatiques</t>
    </r>
    <r>
      <rPr>
        <sz val="11"/>
        <color theme="1"/>
        <rFont val="Calibri"/>
        <family val="2"/>
        <scheme val="minor"/>
      </rPr>
      <t xml:space="preserve"> (quantités, rendements, coûts, etc.)</t>
    </r>
  </si>
  <si>
    <t>Saisies possibles en poids et en volumes</t>
  </si>
  <si>
    <t>Grammages par portion et pour 1 kg</t>
  </si>
  <si>
    <t>Conversions en g et en cL</t>
  </si>
  <si>
    <r>
      <t>Aide à l’organisation</t>
    </r>
    <r>
      <rPr>
        <sz val="11"/>
        <color theme="1"/>
        <rFont val="Calibri"/>
        <family val="2"/>
        <scheme val="minor"/>
      </rPr>
      <t xml:space="preserve"> de la production</t>
    </r>
  </si>
  <si>
    <r>
      <t>Tableau de mise en forme</t>
    </r>
    <r>
      <rPr>
        <sz val="11"/>
        <color theme="1"/>
        <rFont val="Calibri"/>
        <family val="2"/>
        <scheme val="minor"/>
      </rPr>
      <t xml:space="preserve"> pour découper un texte sans couper les mots</t>
    </r>
  </si>
  <si>
    <r>
      <t>Support pédagogique</t>
    </r>
    <r>
      <rPr>
        <sz val="11"/>
        <color theme="1"/>
        <rFont val="Calibri"/>
        <family val="2"/>
        <scheme val="minor"/>
      </rPr>
      <t xml:space="preserve"> utilisable en cours avec des élèves ou apprentis</t>
    </r>
  </si>
  <si>
    <t xml:space="preserve">Ces fichiers permettent ainsi de travailler avec les apprenants sur les notions de grammages, de proportionnalité, </t>
  </si>
  <si>
    <t>de coûts et de planification de la production, tout en restant au plus près de la réalité des cuisines professionnelles.</t>
  </si>
  <si>
    <t>Une ressource gratuite pour les enseignants et les formateurs</t>
  </si>
  <si>
    <r>
      <t xml:space="preserve">Les modèles de fiches techniques Excel de </t>
    </r>
    <r>
      <rPr>
        <b/>
        <sz val="11"/>
        <color theme="1"/>
        <rFont val="Calibri"/>
        <family val="2"/>
        <scheme val="minor"/>
      </rPr>
      <t>Joël Leboucher</t>
    </r>
    <r>
      <rPr>
        <sz val="11"/>
        <color theme="1"/>
        <rFont val="Calibri"/>
        <family val="2"/>
        <scheme val="minor"/>
      </rPr>
      <t xml:space="preserve"> sont mis à disposition en </t>
    </r>
    <r>
      <rPr>
        <b/>
        <sz val="11"/>
        <color theme="1"/>
        <rFont val="Calibri"/>
        <family val="2"/>
        <scheme val="minor"/>
      </rPr>
      <t>téléchargement gratuit</t>
    </r>
    <r>
      <rPr>
        <sz val="11"/>
        <color theme="1"/>
        <rFont val="Calibri"/>
        <family val="2"/>
        <scheme val="minor"/>
      </rPr>
      <t xml:space="preserve">. </t>
    </r>
  </si>
  <si>
    <t>Ils peuvent être utilisés comme :</t>
  </si>
  <si>
    <t>Outils de gestion et d’organisation pour les cuisines pédagogiques ou de production ;</t>
  </si>
  <si>
    <r>
      <t xml:space="preserve">Supports de cours en </t>
    </r>
    <r>
      <rPr>
        <b/>
        <sz val="11"/>
        <color theme="1"/>
        <rFont val="Calibri"/>
        <family val="2"/>
        <scheme val="minor"/>
      </rPr>
      <t>Cuisine</t>
    </r>
    <r>
      <rPr>
        <sz val="11"/>
        <color theme="1"/>
        <rFont val="Calibri"/>
        <family val="2"/>
        <scheme val="minor"/>
      </rPr>
      <t xml:space="preserve">, </t>
    </r>
    <r>
      <rPr>
        <b/>
        <sz val="11"/>
        <color theme="1"/>
        <rFont val="Calibri"/>
        <family val="2"/>
        <scheme val="minor"/>
      </rPr>
      <t>Pâtisserie</t>
    </r>
    <r>
      <rPr>
        <sz val="11"/>
        <color theme="1"/>
        <rFont val="Calibri"/>
        <family val="2"/>
        <scheme val="minor"/>
      </rPr>
      <t>,</t>
    </r>
    <r>
      <rPr>
        <b/>
        <sz val="11"/>
        <color theme="1"/>
        <rFont val="Calibri"/>
        <family val="2"/>
        <scheme val="minor"/>
      </rPr>
      <t>Boulangerie</t>
    </r>
    <r>
      <rPr>
        <sz val="11"/>
        <color theme="1"/>
        <rFont val="Calibri"/>
        <family val="2"/>
        <scheme val="minor"/>
      </rPr>
      <t xml:space="preserve">, </t>
    </r>
    <r>
      <rPr>
        <b/>
        <sz val="11"/>
        <color theme="1"/>
        <rFont val="Calibri"/>
        <family val="2"/>
        <scheme val="minor"/>
      </rPr>
      <t>Charcuterie-traiteur</t>
    </r>
    <r>
      <rPr>
        <sz val="11"/>
        <color theme="1"/>
        <rFont val="Calibri"/>
        <family val="2"/>
        <scheme val="minor"/>
      </rPr>
      <t xml:space="preserve"> et </t>
    </r>
    <r>
      <rPr>
        <b/>
        <sz val="11"/>
        <color theme="1"/>
        <rFont val="Calibri"/>
        <family val="2"/>
        <scheme val="minor"/>
      </rPr>
      <t>Bar</t>
    </r>
    <r>
      <rPr>
        <sz val="11"/>
        <color theme="1"/>
        <rFont val="Calibri"/>
        <family val="2"/>
        <scheme val="minor"/>
      </rPr>
      <t> ;</t>
    </r>
  </si>
  <si>
    <t>Documents de référence pour les travaux dirigés, études de cas, évaluations, etc.</t>
  </si>
  <si>
    <r>
      <t>Joël Leboucher</t>
    </r>
    <r>
      <rPr>
        <sz val="11"/>
        <color theme="1"/>
        <rFont val="Calibri"/>
        <family val="2"/>
        <scheme val="minor"/>
      </rPr>
      <t xml:space="preserve"> a notamment </t>
    </r>
    <r>
      <rPr>
        <b/>
        <sz val="11"/>
        <color theme="1"/>
        <rFont val="Calibri"/>
        <family val="2"/>
        <scheme val="minor"/>
      </rPr>
      <t>relooké le fichier « 18 colonnes » et ajouté deux colonnes supplémentaires</t>
    </r>
    <r>
      <rPr>
        <sz val="11"/>
        <color theme="1"/>
        <rFont val="Calibri"/>
        <family val="2"/>
        <scheme val="minor"/>
      </rPr>
      <t>,</t>
    </r>
  </si>
  <si>
    <t>afin d’offrir encore plus de souplesse aux utilisateurs.</t>
  </si>
  <si>
    <t>Pour accéder directement à la page de téléchargement des modèles de fiches techniques :</t>
  </si>
  <si>
    <t>Qui est Joël Leboucher ?</t>
  </si>
  <si>
    <t>Professionnel de la restauration collective, Joël Leboucher partage bénévolement des ressources Excel pour les métiers de bouche. Sur le site cuisine-centrale17.fr, il propose des modèles de fiches techniques et de recettes, des documents de travail (organisation, maîtrise sanitaire…) et quelques supports de formation et tutoriels numériques.</t>
  </si>
  <si>
    <r>
      <t xml:space="preserve">Des </t>
    </r>
    <r>
      <rPr>
        <b/>
        <sz val="11"/>
        <color theme="1"/>
        <rFont val="Calibri"/>
        <family val="2"/>
        <scheme val="minor"/>
      </rPr>
      <t>modèles de fiches techniques et de recettes</t>
    </r>
    <r>
      <rPr>
        <sz val="11"/>
        <color theme="1"/>
        <rFont val="Calibri"/>
        <family val="2"/>
        <scheme val="minor"/>
      </rPr>
      <t xml:space="preserve"> sous Excel ;</t>
    </r>
  </si>
  <si>
    <r>
      <t xml:space="preserve">Des </t>
    </r>
    <r>
      <rPr>
        <b/>
        <sz val="11"/>
        <color theme="1"/>
        <rFont val="Calibri"/>
        <family val="2"/>
        <scheme val="minor"/>
      </rPr>
      <t>documents de travail</t>
    </r>
    <r>
      <rPr>
        <sz val="11"/>
        <color theme="1"/>
        <rFont val="Calibri"/>
        <family val="2"/>
        <scheme val="minor"/>
      </rPr>
      <t xml:space="preserve"> (plan de nettoyage, maîtrise sanitaire, etc.) ;</t>
    </r>
  </si>
  <si>
    <r>
      <t xml:space="preserve">Des </t>
    </r>
    <r>
      <rPr>
        <b/>
        <sz val="11"/>
        <color theme="1"/>
        <rFont val="Calibri"/>
        <family val="2"/>
        <scheme val="minor"/>
      </rPr>
      <t>fiches produits</t>
    </r>
    <r>
      <rPr>
        <sz val="11"/>
        <color theme="1"/>
        <rFont val="Calibri"/>
        <family val="2"/>
        <scheme val="minor"/>
      </rPr>
      <t xml:space="preserve"> et supports de formation ;</t>
    </r>
  </si>
  <si>
    <r>
      <t xml:space="preserve">Des </t>
    </r>
    <r>
      <rPr>
        <b/>
        <sz val="11"/>
        <color theme="1"/>
        <rFont val="Calibri"/>
        <family val="2"/>
        <scheme val="minor"/>
      </rPr>
      <t>tutoriels</t>
    </r>
    <r>
      <rPr>
        <sz val="11"/>
        <color theme="1"/>
        <rFont val="Calibri"/>
        <family val="2"/>
        <scheme val="minor"/>
      </rPr>
      <t xml:space="preserve"> pour l’utilisation de logiciels et outils numériques.</t>
    </r>
  </si>
  <si>
    <r>
      <t xml:space="preserve">Engagé de longue date dans la profession, </t>
    </r>
    <r>
      <rPr>
        <b/>
        <sz val="11"/>
        <color theme="1"/>
        <rFont val="Calibri"/>
        <family val="2"/>
        <scheme val="minor"/>
      </rPr>
      <t>Joël Leboucher</t>
    </r>
    <r>
      <rPr>
        <sz val="11"/>
        <color theme="1"/>
        <rFont val="Calibri"/>
        <family val="2"/>
        <scheme val="minor"/>
      </rPr>
      <t xml:space="preserve"> contribue également à la</t>
    </r>
  </si>
  <si>
    <r>
      <t xml:space="preserve">diffusion des bonnes pratiques au sein de la restauration territoriale et est impliqué dans des réseaux professionnels de la restauration collective. Ses travaux sont régulièrement utilisés comme </t>
    </r>
    <r>
      <rPr>
        <b/>
        <sz val="11"/>
        <color theme="1"/>
        <rFont val="Calibri"/>
        <family val="2"/>
        <scheme val="minor"/>
      </rPr>
      <t>ressources de référence</t>
    </r>
    <r>
      <rPr>
        <sz val="11"/>
        <color theme="1"/>
        <rFont val="Calibri"/>
        <family val="2"/>
        <scheme val="minor"/>
      </rPr>
      <t xml:space="preserve"> par des collectivités, des associations professionnelles et des établissements de formation.</t>
    </r>
  </si>
  <si>
    <t>Intérêt pour la formation initiale et continue</t>
  </si>
  <si>
    <t>Ces fichiers font le lien entre la réalité de la production en restauration collective et les besoins des enseignants, formateurs et apprenants. Ils peuvent être utilisés pour : mettre les élèves en situation professionnelle, à travailler les outils de gestion et de traçabilité et à accompagner l’application des référentiels en hôtellerie-restauration et métiers de l’alimentation.</t>
  </si>
  <si>
    <t>Mettre les élèves de CAP, CS, Bac Pro, BP et BTS en situation professionnelle réaliste ;</t>
  </si>
  <si>
    <t>Initier les apprenants aux outils de gestion et de traçabilité utilisés sur le terrain ;</t>
  </si>
  <si>
    <t>Accompagner la mise en œuvre des référentiels en Hôtellerie-Restauration et Alimentation.</t>
  </si>
  <si>
    <r>
      <t xml:space="preserve">Le Centre de Ressources National Hôtellerie-Restauration remercie </t>
    </r>
    <r>
      <rPr>
        <b/>
        <sz val="11"/>
        <color theme="1"/>
        <rFont val="Calibri"/>
        <family val="2"/>
        <scheme val="minor"/>
      </rPr>
      <t>Joël Leboucher</t>
    </r>
    <r>
      <rPr>
        <sz val="11"/>
        <color theme="1"/>
        <rFont val="Calibri"/>
        <family val="2"/>
        <scheme val="minor"/>
      </rPr>
      <t xml:space="preserve"> pour ce travail de mutualisation au service des équipes pédagogiques et des professionnels.</t>
    </r>
  </si>
  <si>
    <t> Courriel de Joël Leboucher : Pour lui écrire</t>
  </si>
  <si>
    <t> Cuisine-centrale17.fr - Union des Personnels de la Restauration Territoriale</t>
  </si>
  <si>
    <t> Page Facebook de l’UPRT</t>
  </si>
  <si>
    <t xml:space="preserve">Tendez la main, partagez vos savoir-faire : vos essais, vos erreurs et votre ténacité </t>
  </si>
  <si>
    <t>Reach out, share your know-how: your attempts, mistakes, and determination are stepping stones</t>
  </si>
  <si>
    <t>Tiende la mano, comparte tus saberes: tus intentos, tus errores y tu perseverancia son impulsores</t>
  </si>
  <si>
    <t>sont des tremplins pour celles et ceux qui veulent progresser.</t>
  </si>
  <si>
    <t xml:space="preserve"> for those who want to grow.</t>
  </si>
  <si>
    <t xml:space="preserve"> para quienes desean avanzar.</t>
  </si>
  <si>
    <t>Avec vos exemples, chacun pourra avancer à son rythme, avec confiance et gagner en autonomie.</t>
  </si>
  <si>
    <t>Through your examples, everyone can move forward at their own pace, with confidence, and gain autonomy.</t>
  </si>
  <si>
    <t>Con tu ejemplo, cada persona podrá progresar a su ritmo, con confianza y ganar en autonomía.</t>
  </si>
  <si>
    <t xml:space="preserve">Partager ses savoir-faire, c’est une façon de rendre hommage à celles et ceux qui nous ont transmis les leurs, </t>
  </si>
  <si>
    <t>Sharing your know-how is a way to pay tribute to those who passed theirs on to us —</t>
  </si>
  <si>
    <t>Compartir tus saberes es una forma de rendir homenaje a quienes nos transmitieron los suyos,</t>
  </si>
  <si>
    <t>parfois dans le silence ou l’exigence, et grâce à qui nous avançons aujourd’hui.</t>
  </si>
  <si>
    <t>sometimes in silence, sometimes with high expectations — and thanks to whom we move forward today.</t>
  </si>
  <si>
    <t>a veces en silencio, a veces con exigencia, y gracias a quienes seguimos avanzando hoy.</t>
  </si>
  <si>
    <t xml:space="preserve">◄ vous pouvez masquer ces 2 colonnes </t>
  </si>
  <si>
    <t>◄ You can hide these 2 columns</t>
  </si>
  <si>
    <t>◄ Puedes ocultar estas 2 columnas</t>
  </si>
  <si>
    <t>Tendez la main, partagez vos savoir-faire : vos essais, vos erreurs et votre ténacité sont des tremplins pour celles et ceux qui veulent progresser.</t>
  </si>
  <si>
    <t>Reach out, share your know-how: your attempts, mistakes, and determination are stepping stones for those who want to grow.</t>
  </si>
  <si>
    <t>Tiende la mano, comparte tus saberes: tus intentos, tus errores y tu perseverancia son impulsores para quienes desean avanzar.</t>
  </si>
  <si>
    <t>⚠️ Assurez-vous que la police et sa taille sont identiques ici et dans le document où vous collerez le texte découpé.NE RIEN COLLER SUR CE TABLEAU</t>
  </si>
  <si>
    <t>FASES DE PROGRESIÓN Ancho &gt;</t>
  </si>
  <si>
    <t>Auteur Cuisine Actuelle</t>
  </si>
  <si>
    <t>Séparez le blanc du jaune d’œuf .Versez la farine dans un saladier et mélangez avec le sucre et la levure.</t>
  </si>
  <si>
    <t>Faites un puits au centre, ajoutez le jaune d’œuf et délayez petit à petit avec le lait. Fouettez le blanc en</t>
  </si>
  <si>
    <t>neige puis incorporez-le à la préparation. Laissez reposer la pâte 2h. Faites chauffer le bain de friture .</t>
  </si>
  <si>
    <t>Nettoyez les fleurs d’accacia sans les faire tremper puis plongez-les dans la pâte à beignet puis la friture .</t>
  </si>
  <si>
    <t>Laissez cuire 2 min en les retournant . Egouttez sur un papier absorbant saupoudrez de sucre et dégustez</t>
  </si>
  <si>
    <t>les 5 premières lignes = 110 caractères puis 150 caractères les lignes suivantes</t>
  </si>
  <si>
    <t>The first 5 lines = 110 characters, then 150 characters for the following lines.</t>
  </si>
  <si>
    <t>Las 5 primeras líneas = 110 caracteres, luego 150 caracteres para las siguientes líneas.</t>
  </si>
  <si>
    <t>largeur mini - largeur maxi - minimum width - maximum width - maximum width - maximum width</t>
  </si>
  <si>
    <t>Dernière mise à jour : 130 décembre 2025</t>
  </si>
  <si>
    <t>Dernière mise à jour : 30 décembre 2025</t>
  </si>
  <si>
    <t>Última actualización: 30 décembre 2025</t>
  </si>
  <si>
    <t>Saisir ou coller un texte et le découper automatiquement au nombre de caractères saisis sans couper les mots . Avec ou sans ponctuation pour qu’il tienne dans le cadre prévu.</t>
  </si>
  <si>
    <t xml:space="preserve">lorsque vous copiez ce tableau </t>
  </si>
  <si>
    <t xml:space="preserve">ajustez les colonnes </t>
  </si>
  <si>
    <t>selon les largeurs indiquées en vert.</t>
  </si>
  <si>
    <t xml:space="preserve">◄ 2️⃣  Saisissez  la largeur du document dans lequel vous collerez ensuite le texte. </t>
  </si>
  <si>
    <t xml:space="preserve">3️⃣    saisissez un nombre de caractères par lignes ► </t>
  </si>
  <si>
    <t>◄ 4️⃣  Si vous ne voulez pas de ponctuation saisissez un X dans cette cellule</t>
  </si>
  <si>
    <t xml:space="preserve">1️⃣ COLLEZ LE TEXTE BRUT  A DÉCOUPER  DANS CETTE COLONNE ▼    </t>
  </si>
  <si>
    <t>⚠️ NE RIEN COLLER DANS CETTE COLONNE</t>
  </si>
  <si>
    <t>largeur mini  = 96  largeur maxi  = 139</t>
  </si>
  <si>
    <t>❺ Récupérez le texte découpé</t>
  </si>
  <si>
    <t>→ Utilisez Collage spécial &gt; 1.2.3 Valeurs. Vous avez 20 lignes pour saisir ou coller du texte</t>
  </si>
  <si>
    <t>Indiquez un nombre de caractères pour éviter que le texte ne déborde du cadre.</t>
  </si>
  <si>
    <t>💡 Astuce  Vérifiez visuellement que le texte  ne dépasse pas du cadre après collage.</t>
  </si>
  <si>
    <t xml:space="preserve">TABLEAU " MAGIQUE " de 20 lignes 🎯 Objectif </t>
  </si>
  <si>
    <t>Mode d'emploi   &gt; les formules avec LET ont été remplacées</t>
  </si>
  <si>
    <t>1. je voudrais , que tu coupes; le texte en 50 caractères !,sans couper les mots,?et en respectant la ponctuation ou en 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t>
  </si>
  <si>
    <t>et collez-le dans vos PHASES DE PROGRESSION  → Collage spécial &gt; 1.2.3 Valeurs.</t>
  </si>
  <si>
    <t>▼next recipe 0.166666666666667</t>
  </si>
  <si>
    <t>Collez vos postits cellule A rouge colonne P</t>
  </si>
  <si>
    <t>NOM DE LA RECETTE</t>
  </si>
  <si>
    <t>Date de mise à jour : 05 Janvier 2026</t>
  </si>
  <si>
    <t>Si vous cochez « sans ponctuation », celles-ci ne s’afficheront plus.</t>
  </si>
  <si>
    <t>pour aérer le texte</t>
  </si>
  <si>
    <t>▼  les Col.6 à Col.11 sont réservées aux poids Kg</t>
  </si>
  <si>
    <t>largeurs de colonnes réelles &gt;</t>
  </si>
  <si>
    <t xml:space="preserve"> &lt; largeurs de colonnes réelles</t>
  </si>
  <si>
    <t>largeurs de colonnes conseillées &gt;</t>
  </si>
  <si>
    <t xml:space="preserve"> &lt; largeurs de colonnes conseillées</t>
  </si>
  <si>
    <t>Date de mise à jour : 07 JANVIER 2026</t>
  </si>
  <si>
    <t>Saisissez vos fiches , servez vous du tableau Magique pour découper le texte</t>
  </si>
  <si>
    <t>Découpez le texte à la largeur des PHASES DE PROGRESSION modèle complet</t>
  </si>
  <si>
    <t xml:space="preserve">TABLEAU " MAGIQUE " de 52 lignes 🎯 Objectif </t>
  </si>
  <si>
    <t>dans Excel, tous les caractères ne “pèsent” pas la même largeur,</t>
  </si>
  <si>
    <t xml:space="preserve"> même avec la même police et la même taille.</t>
  </si>
  <si>
    <t xml:space="preserve">Saisir ou coller un texte et le découper automatiquement au nombre de caractères saisis sans couper les mots </t>
  </si>
  <si>
    <t xml:space="preserve">Les postits de 20 colonnes sont aussi compatibles dans cette fiche </t>
  </si>
  <si>
    <t>Avec ou sans ponctuation pour qu’il tienne dans le cadre prévu.</t>
  </si>
  <si>
    <r>
      <t xml:space="preserve">Une lettre comme </t>
    </r>
    <r>
      <rPr>
        <sz val="11"/>
        <color rgb="FF0033CC"/>
        <rFont val="Arial Unicode MS"/>
      </rPr>
      <t>M</t>
    </r>
    <r>
      <rPr>
        <sz val="11"/>
        <color rgb="FF0033CC"/>
        <rFont val="Calibri"/>
        <family val="2"/>
        <scheme val="minor"/>
      </rPr>
      <t xml:space="preserve"> est </t>
    </r>
    <r>
      <rPr>
        <b/>
        <sz val="11"/>
        <color rgb="FF0033CC"/>
        <rFont val="Calibri"/>
        <family val="2"/>
        <scheme val="minor"/>
      </rPr>
      <t>très large</t>
    </r>
    <r>
      <rPr>
        <sz val="11"/>
        <color rgb="FF0033CC"/>
        <rFont val="Calibri"/>
        <family val="2"/>
        <scheme val="minor"/>
      </rPr>
      <t xml:space="preserve"> - Une lettre comme i, l, t est très fine - </t>
    </r>
  </si>
  <si>
    <t>Coquetiers de l'Antoine</t>
  </si>
  <si>
    <t>Les espaces sont assez étroits - Les points, virgules, etc. prennent peu de place</t>
  </si>
  <si>
    <t>Guy KRENZE - Eric GODDYN - Arnaud NICOLAS - CEPROC 2002</t>
  </si>
  <si>
    <r>
      <t xml:space="preserve">Même si le </t>
    </r>
    <r>
      <rPr>
        <b/>
        <sz val="11"/>
        <color rgb="FF0033CC"/>
        <rFont val="Calibri"/>
        <family val="2"/>
        <scheme val="minor"/>
      </rPr>
      <t>nombre de caractères</t>
    </r>
    <r>
      <rPr>
        <sz val="11"/>
        <color rgb="FF0033CC"/>
        <rFont val="Calibri"/>
        <family val="2"/>
        <scheme val="minor"/>
      </rPr>
      <t xml:space="preserve"> est proche, en largeur </t>
    </r>
    <r>
      <rPr>
        <b/>
        <sz val="11"/>
        <color rgb="FF0033CC"/>
        <rFont val="Calibri"/>
        <family val="2"/>
        <scheme val="minor"/>
      </rPr>
      <t>pixels</t>
    </r>
    <r>
      <rPr>
        <sz val="11"/>
        <color rgb="FF0033CC"/>
        <rFont val="Calibri"/>
        <family val="2"/>
        <scheme val="minor"/>
      </rPr>
      <t>,</t>
    </r>
  </si>
  <si>
    <t>❿  Dupliquée pour</t>
  </si>
  <si>
    <t>→ Utilisez Collage spécial &gt; 1.2.3 Valeurs. Vous avez 52 lignes pour saisir ou coller du texte</t>
  </si>
  <si>
    <t xml:space="preserve"> ce n’est pas du tout la même chose.</t>
  </si>
  <si>
    <t>coquetiers de 25 g</t>
  </si>
  <si>
    <t>avec une police Calibri taille 12 vous aurez davantage de caractères par lignes</t>
  </si>
  <si>
    <t>le Boudin en 4 déclinaisons</t>
  </si>
  <si>
    <t xml:space="preserve">à vous de choisir votre police </t>
  </si>
  <si>
    <t>à vous de définir le nombre de caractères ou de lignes pour que le texte ne déborde pas du cadre</t>
  </si>
  <si>
    <t>Vos poids avec coef.</t>
  </si>
  <si>
    <t xml:space="preserve">J'INSISTE LES COLLAGES SE FONT TOUJOURS </t>
  </si>
  <si>
    <t>EN COLLAGE SPÉCIAL VALEURS 123 POUR NE PAS COLLER LES FORMULES</t>
  </si>
  <si>
    <t>graisse d'oie</t>
  </si>
  <si>
    <t>oignons cuits/crus= 700g</t>
  </si>
  <si>
    <t>Je vous en souhaite une bonne utilisation</t>
  </si>
  <si>
    <t>compote de pomme</t>
  </si>
  <si>
    <t>Joël Leboucher</t>
  </si>
  <si>
    <t>crème liquide</t>
  </si>
  <si>
    <t xml:space="preserve">à vous de faire évoluer ce document et Passez le flambeau. </t>
  </si>
  <si>
    <t>vinaigre de xéres</t>
  </si>
  <si>
    <t>Transmettez vos savoir-faire : les apprenants comprendront plus vite,</t>
  </si>
  <si>
    <t>blanc d'œuf</t>
  </si>
  <si>
    <t>réussiront mieux et pouront progresser plus facilement.</t>
  </si>
  <si>
    <t>et collez-le dans votre document</t>
  </si>
  <si>
    <t>💡 Astuce  Vérifiez visuellement que le texte</t>
  </si>
  <si>
    <t>foie gras cuit QS</t>
  </si>
  <si>
    <t xml:space="preserve"> ne dépasse pas du cadre après collage.</t>
  </si>
  <si>
    <t>GLACAGE</t>
  </si>
  <si>
    <t>porto rouge</t>
  </si>
  <si>
    <t>Collage spécial Valeurs 1.2.3 pour ne pas "polluer"</t>
  </si>
  <si>
    <t xml:space="preserve">jus de veau </t>
  </si>
  <si>
    <t>fécule QS</t>
  </si>
  <si>
    <t>❺  ▼ COPIEZ LE TEXTE DANS CETTE COLONNE et collage spécial 1.2.3. dans votre document pour ne pas coller les formules</t>
  </si>
  <si>
    <t>Décimale : selon paramètres régionaux »  point . ou ,</t>
  </si>
  <si>
    <t>Ajustez la largeur de cette colonne à votre convenance</t>
  </si>
  <si>
    <t>largeurs conseillées &gt;</t>
  </si>
  <si>
    <t>◄ ❹ Si vous ne voulez pas de ponctuation saisissez un X dans cette cellule</t>
  </si>
  <si>
    <t xml:space="preserve">❶ COLLEZ LE TEXTE BRUT  A DÉCOUPER  DANS CETTE COLONNE ▼    </t>
  </si>
  <si>
    <t>▲ Table de recherche les Col.6 et 7 sont réservées aux poids Kg</t>
  </si>
  <si>
    <t>CARACTÈRES</t>
  </si>
  <si>
    <t>LIGNES</t>
  </si>
  <si>
    <t>Lignes saisissez un X ►</t>
  </si>
  <si>
    <t>Nb.de caractères saisissez un X ►</t>
  </si>
  <si>
    <t>x</t>
  </si>
  <si>
    <t>NB.de</t>
  </si>
  <si>
    <t>⚠️ NE RIEN COLLER DANS CES COLONNES</t>
  </si>
  <si>
    <t>texte brut</t>
  </si>
  <si>
    <t>couper le texte en nombre de LIGNES  ▼</t>
  </si>
  <si>
    <t>couper le texte en nombre de CARACTÈRES ▼</t>
  </si>
  <si>
    <t>MAXI</t>
  </si>
  <si>
    <t>1=TEST LIGNE 17 ? ! : ;  colonne Q et ligne 20 colonne P. rechercher la cellule qui coupe le texte Dans la cocotte N°3 en fonte, faites chauffer l’huile d’olive à feu moyen. Ajoutez la viande et faites-la dorer de tous les côtés. Retirez-la de la cocotte et réservez-la.</t>
  </si>
  <si>
    <t>100.car</t>
  </si>
  <si>
    <t>FILTRE(SI(Z13="x";Z15:Z66;AD15:AD66);SUPPRESPACE(SUBSTITUE(SUBSTITUE(SUBSTITUE(SI(Z13="x";Z15:Z66;AD15:AD66);CAR(160);" ");CAR(9);" ");CAR(10);" "))&lt;&gt;"")</t>
  </si>
  <si>
    <t xml:space="preserve">⓫  ▼ PHASES DE PROGRESSION </t>
  </si>
  <si>
    <t>Nb.de lignes</t>
  </si>
  <si>
    <t>2=TEST LIGNE 17 ? ! : ;  colonne Q et ligne 20 colonne P. rechercher la cellule qui coupe le texte Dans la cocotte N°3 en fonte, faites chauffer l’huile d’olive à feu moyen. Ajoutez la viande et faites-la dorer de tous les côtés. Retirez-la de la cocotte et réservez-la.</t>
  </si>
  <si>
    <t>110.car</t>
  </si>
  <si>
    <t>BOUDIN NOIR</t>
  </si>
  <si>
    <t>Les Auteurs indiquent qu'ils font 20 coquetiers</t>
  </si>
  <si>
    <t>3.TEST LIGNE 16 colonne Q et ligne 20 colonne P. rechercher la cellule qui coupe le texte Dans la cocotte N°3 en fonte, faites chauffer l’huile d’olive à feu moyen. Ajoutez la viande et faites-la dorer de tous les côtés. Retirez-la de la cocotte et réservez-la.</t>
  </si>
  <si>
    <t>cuire les oignons dans la graisse</t>
  </si>
  <si>
    <t>de 25 gr</t>
  </si>
  <si>
    <t>4.TEST LIGNE 17 colonne Q et ligne 20 colonne P. rechercher la cellule qui coupe le texte Dans la cocotte N°3 en fonte, faites chauffer l’huile d’olive à feu moyen. Ajoutez la viande et faites-la dorer de tous les côtés. Retirez-la de la cocotte et réservez-la.</t>
  </si>
  <si>
    <t>les égoutter et les refroidir légèrement</t>
  </si>
  <si>
    <t>5.TEST LIGNE 18 colonne Q et ligne 20 colonne P. rechercher la cellule qui coupe le texte Dans la cocotte N°3 en fonte, faites chauffer l’huile d’olive à feu moyen. Ajoutez la viande et faites-la dorer de tous les côtés. Retirez-la de la cocotte et réservez-la.</t>
  </si>
  <si>
    <t>mélanger les autres ingrédients aux oignons</t>
  </si>
  <si>
    <t>6.TEST LIGNE 19 colonne Q et ligne 20 colonne P. rechercher la cellule qui coupe le texte Dans la cocotte N°3 en fonte, faites chauffer l’huile d’olive à feu moyen. Ajoutez la viande et faites-la dorer de tous les côtés. Retirez-la de la cocotte et réservez-la.</t>
  </si>
  <si>
    <t>150.car</t>
  </si>
  <si>
    <t>rectifier l'assaisonnement si nécessaire</t>
  </si>
  <si>
    <t>7..TEST LIGNE 19 colonne Q et ligne 20 colonne P. rechercher la cellule qui coupe le texte Dans la cocotte N°3 en fonte, faites chauffer l’huile d’olive à feu moyen. Ajoutez la viande et faites-la dorer de tous les côtés. Retirez-la de la cocotte et réservez-la.</t>
  </si>
  <si>
    <t>sépareer l'appareil en deux</t>
  </si>
  <si>
    <t>8..TEST LIGNE 19 colonne Q et ligne 20 colonne P. rechercher la cellule qui coupe le texte Dans la cocotte N°3 en fonte, faites chauffer l’huile d’olive à feu moyen. Ajoutez la viande et faites-la dorer de tous les côtés. Retirez-la de la cocotte et réservez-la.</t>
  </si>
  <si>
    <t>mouler en coquetiers en intercalant une tranche de foie grasv (1 cm maxi)</t>
  </si>
  <si>
    <t>9.TEST LIGNE 19 colonne Q et ligne 20 colonne P. rechercher la cellule qui coupe le texte Dans la cocotte N°3 en fonte, faites chauffer l’huile d’olive à feu moyen. Ajoutez la viande et faites-la dorer de tous les côtés. Retirez-la de la cocotte et réservez-la.</t>
  </si>
  <si>
    <t>entre deux couches d'appareil à boudin (facultatif)</t>
  </si>
  <si>
    <t>10.TEST LIGNE 19 colonne Q et ligne 20 colonne P. rechercher la cellule qui coupe le texte Dans la cocotte N°3 en fonte, faites chauffer l’huile d’olive à feu moyen. Ajoutez la viande et faites-la dorer de tous les côtés. Retirez-la de la cocotte et réservez-la.</t>
  </si>
  <si>
    <t>cuire au four à 75°C pendant 1H30 jusqu’à 65°C à cœur</t>
  </si>
  <si>
    <t>11.TEST LIGNE 19 colonne Q et ligne 20 colonne P. rechercher la cellule qui coupe le texte Dans la cocotte N°3 en fonte, faites chauffer l’huile d’olive à feu moyen. Ajoutez la viande et faites-la dorer de tous les côtés. Retirez-la de la cocotte et réservez-la.</t>
  </si>
  <si>
    <t>ajouter 10 % d'humidité dans le four</t>
  </si>
  <si>
    <t>12.TEST LIGNE 19 colonne Q et ligne 20 colonne P. rechercher la cellule qui coupe le texte Dans la cocotte N°3 en fonte, faites chauffer l’huile d’olive à feu moyen. Ajoutez la viande et faites-la dorer de tous les côtés. Retirez-la de la cocotte et réservez-la.</t>
  </si>
  <si>
    <t>Refroidir et glacer</t>
  </si>
  <si>
    <t>13.TEST LIGNE 19 colonne Q et ligne 20 colonne P. rechercher la cellule qui coupe le texte Dans la cocotte N°3 en fonte, faites chauffer l’huile d’olive à feu moyen. Ajoutez la viande et faites-la dorer de tous les côtés. Retirez-la de la cocotte et réservez-la.</t>
  </si>
  <si>
    <t>servir chaud</t>
  </si>
  <si>
    <t>14.TEST LIGNE 19 colonne Q et ligne 20 colonne P. rechercher la cellule qui coupe le texte Dans la cocotte N°3 en fonte, faites chauffer l’huile d’olive à feu moyen. Ajoutez la viande et faites-la dorer de tous les côtés. Retirez-la de la cocotte et réservez-la.</t>
  </si>
  <si>
    <t>15.TEST LIGNE 19 colonne Q et ligne 20 colonne P. rechercher la cellule qui coupe le texte Dans la cocotte N°3 en fonte, faites chauffer l’huile d’olive à feu moyen. Ajoutez la viande et faites-la dorer de tous les côtés. Retirez-la de la cocotte et réservez-la.</t>
  </si>
  <si>
    <t>16.TEST LIGNE 19 colonne Q et ligne 20 colonne P. rechercher la cellule qui coupe le texte Dans la cocotte N°3 en fonte, faites chauffer l’huile d’olive à feu moyen. Ajoutez la viande et faites-la dorer de tous les côtés. Retirez-la de la cocotte et réservez-la.</t>
  </si>
  <si>
    <t>17.TEST LIGNE 19 colonne Q et ligne 20 colonne P. rechercher la cellule qui coupe le texte Dans la cocotte N°3 en fonte, faites chauffer l’huile d’olive à feu moyen. Ajoutez la viande et faites-la dorer de tous les côtés. Retirez-la de la cocotte et réservez-la.</t>
  </si>
  <si>
    <t>18.TEST LIGNE 19 colonne Q et ligne 20 colonne P. rechercher la cellule qui coupe le texte Dans la cocotte N°3 en fonte, faites chauffer l’huile d’olive à feu moyen. Ajoutez la viande et faites-la dorer de tous les côtés. Retirez-la de la cocotte et réservez-la.</t>
  </si>
  <si>
    <t>19.TEST LIGNE 19 colonne Q et ligne 20 colonne P. rechercher la cellule qui coupe le texte Dans la cocotte N°3 en fonte, faites chauffer l’huile d’olive à feu moyen. Ajoutez la viande et faites-la dorer de tous les côtés. Retirez-la de la cocotte et réservez-la.</t>
  </si>
  <si>
    <t>20.TEST LIGNE 19 colonne Q et ligne 20 colonne P. rechercher la cellule qui coupe le texte Dans la cocotte N°3 en fonte, faites chauffer l’huile d’olive à feu moyen. Ajoutez la viande et faites-la dorer de tous les côtés. Retirez-la de la cocotte et réservez-la.</t>
  </si>
  <si>
    <t>21.TEST LIGNE 19 colonne Q et ligne 20 colonne P. rechercher la cellule qui coupe le texte Dans la cocotte N°3 en fonte, faites chauffer l’huile d’olive à feu moyen. Ajoutez la viande et faites-la dorer de tous les côtés. Retirez-la de la cocotte et réservez-la.</t>
  </si>
  <si>
    <t>22.TEST LIGNE 19 colonne Q et ligne 20 colonne P. rechercher la cellule qui coupe le texte Dans la cocotte N°3 en fonte, faites chauffer l’huile d’olive à feu moyen. Ajoutez la viande et faites-la dorer de tous les côtés. Retirez-la de la cocotte et réservez-la.</t>
  </si>
  <si>
    <t>23.TEST LIGNE 19 colonne Q et ligne 20 colonne P. rechercher la cellule qui coupe le texte Dans la cocotte N°3 en fonte, faites chauffer l’huile d’olive à feu moyen. Ajoutez la viande et faites-la dorer de tous les côtés. Retirez-la de la cocotte et réservez-la.</t>
  </si>
  <si>
    <t>24.TEST LIGNE 19 colonne Q et ligne 20 colonne P. rechercher la cellule qui coupe le texte Dans la cocotte N°3 en fonte, faites chauffer l’huile d’olive à feu moyen. Ajoutez la viande et faites-la dorer de tous les côtés. Retirez-la de la cocotte et réservez-la.</t>
  </si>
  <si>
    <t>25.TEST LIGNE 19 colonne Q et ligne 20 colonne P. rechercher la cellule qui coupe le texte Dans la cocotte N°3 en fonte, faites chauffer l’huile d’olive à feu moyen. Ajoutez la viande et faites-la dorer de tous les côtés. Retirez-la de la cocotte et réservez-la.</t>
  </si>
  <si>
    <t>26.TEST LIGNE 19 colonne Q et ligne 20 colonne P. rechercher la cellule qui coupe le texte Dans la cocotte N°3 en fonte, faites chauffer l’huile d’olive à feu moyen. Ajoutez la viande et faites-la dorer de tous les côtés. Retirez-la de la cocotte et réservez-la.</t>
  </si>
  <si>
    <t>27.TEST LIGNE 19 colonne Q et ligne 20 colonne P. rechercher la cellule qui coupe le texte Dans la cocotte N°3 en fonte, faites chauffer l’huile d’olive à feu moyen. Ajoutez la viande et faites-la dorer de tous les côtés. Retirez-la de la cocotte et réservez-la.</t>
  </si>
  <si>
    <t>28.TEST LIGNE 19 colonne Q et ligne 20 colonne P. rechercher la cellule qui coupe le texte Dans la cocotte N°3 en fonte, faites chauffer l’huile d’olive à feu moyen. Ajoutez la viande et faites-la dorer de tous les côtés. Retirez-la de la cocotte et réservez-la.</t>
  </si>
  <si>
    <t>29.TEST LIGNE 19 colonne Q et ligne 20 colonne P. rechercher la cellule qui coupe le texte Dans la cocotte N°3 en fonte, faites chauffer l’huile d’olive à feu moyen. Ajoutez la viande et faites-la dorer de tous les côtés. Retirez-la de la cocotte et réservez-la.</t>
  </si>
  <si>
    <t>30.TEST LIGNE 19 colonne Q et ligne 20 colonne P. rechercher la cellule qui coupe le texte Dans la cocotte N°3 en fonte, faites chauffer l’huile d’olive à feu moyen. Ajoutez la viande et faites-la dorer de tous les côtés. Retirez-la de la cocotte et réservez-la.</t>
  </si>
  <si>
    <t>31.TEST LIGNE 19 colonne Q et ligne 20 colonne P. rechercher la cellule qui coupe le texte Dans la cocotte N°3 en fonte, faites chauffer l’huile d’olive à feu moyen. Ajoutez la viande et faites-la dorer de tous les côtés. Retirez-la de la cocotte et réservez-la.</t>
  </si>
  <si>
    <t>32.TEST LIGNE 19 colonne Q et ligne 20 colonne P. rechercher la cellule qui coupe le texte Dans la cocotte N°3 en fonte, faites chauffer l’huile d’olive à feu moyen. Ajoutez la viande et faites-la dorer de tous les côtés. Retirez-la de la cocotte et réservez-la.</t>
  </si>
  <si>
    <t>33.TEST LIGNE 19 colonne Q et ligne 20 colonne P. rechercher la cellule qui coupe le texte Dans la cocotte N°3 en fonte, faites chauffer l’huile d’olive à feu moyen. Ajoutez la viande et faites-la dorer de tous les côtés. Retirez-la de la cocotte et réservez-la.</t>
  </si>
  <si>
    <t>34.TEST LIGNE 19 colonne Q et ligne 20 colonne P. rechercher la cellule qui coupe le texte Dans la cocotte N°3 en fonte, faites chauffer l’huile d’olive à feu moyen. Ajoutez la viande et faites-la dorer de tous les côtés. Retirez-la de la cocotte et réservez-la.</t>
  </si>
  <si>
    <t>35.TEST LIGNE 19 colonne Q et ligne 20 colonne P. rechercher la cellule qui coupe le texte Dans la cocotte N°3 en fonte, faites chauffer l’huile d’olive à feu moyen. Ajoutez la viande et faites-la dorer de tous les côtés. Retirez-la de la cocotte et réservez-la.</t>
  </si>
  <si>
    <t>36.TEST LIGNE 19 colonne Q et ligne 20 colonne P. rechercher la cellule qui coupe le texte Dans la cocotte N°3 en fonte, faites chauffer l’huile d’olive à feu moyen. Ajoutez la viande et faites-la dorer de tous les côtés. Retirez-la de la cocotte et réservez-la.</t>
  </si>
  <si>
    <t>37.TEST LIGNE 19 colonne Q et ligne 20 colonne P. rechercher la cellule qui coupe le texte Dans la cocotte N°3 en fonte, faites chauffer l’huile d’olive à feu moyen. Ajoutez la viande et faites-la dorer de tous les côtés. Retirez-la de la cocotte et réservez-la.</t>
  </si>
  <si>
    <t>38.TEST LIGNE 19 colonne Q et ligne 20 colonne P. rechercher la cellule qui coupe le texte Dans la cocotte N°3 en fonte, faites chauffer l’huile d’olive à feu moyen. Ajoutez la viande et faites-la dorer de tous les côtés. Retirez-la de la cocotte et réservez-la.</t>
  </si>
  <si>
    <t>39.TEST LIGNE 19 colonne Q et ligne 20 colonne P. rechercher la cellule qui coupe le texte Dans la cocotte N°3 en fonte, faites chauffer l’huile d’olive à feu moyen. Ajoutez la viande et faites-la dorer de tous les côtés. Retirez-la de la cocotte et réservez-la.</t>
  </si>
  <si>
    <t>40.TEST LIGNE 19 colonne Q et ligne 20 colonne P. rechercher la cellule qui coupe le texte Dans la cocotte N°3 en fonte, faites chauffer l’huile d’olive à feu moyen. Ajoutez la viande et faites-la dorer de tous les côtés. Retirez-la de la cocotte et réservez-la.</t>
  </si>
  <si>
    <t>41.TEST LIGNE 19 colonne Q et ligne 20 colonne P. rechercher la cellule qui coupe le texte Dans la cocotte N°3 en fonte, faites chauffer l’huile d’olive à feu moyen. Ajoutez la viande et faites-la dorer de tous les côtés. Retirez-la de la cocotte et réservez-la.</t>
  </si>
  <si>
    <t>42.TEST LIGNE 19 colonne Q et ligne 20 colonne P. rechercher la cellule qui coupe le texte Dans la cocotte N°3 en fonte, faites chauffer l’huile d’olive à feu moyen. Ajoutez la viande et faites-la dorer de tous les côtés. Retirez-la de la cocotte et réservez-la.</t>
  </si>
  <si>
    <t>44.TEST LIGNE 19 colonne Q et ligne 20 colonne P. rechercher la cellule qui coupe le texte Dans la cocotte N°3 en fonte, faites chauffer l’huile d’olive à feu moyen. Ajoutez la viande et faites-la dorer de tous les côtés. Retirez-la de la cocotte et réservez-la.</t>
  </si>
  <si>
    <t>45.TEST LIGNE 19 colonne Q et ligne 20 colonne P. rechercher la cellule qui coupe le texte Dans la cocotte N°3 en fonte, faites chauffer l’huile d’olive à feu moyen. Ajoutez la viande et faites-la dorer de tous les côtés. Retirez-la de la cocotte et réservez-la.</t>
  </si>
  <si>
    <t>46.TEST LIGNE 19 colonne Q et ligne 20 colonne P. rechercher la cellule qui coupe le texte Dans la cocotte N°3 en fonte, faites chauffer l’huile d’olive à feu moyen. Ajoutez la viande et faites-la dorer de tous les côtés. Retirez-la de la cocotte et réservez-la.</t>
  </si>
  <si>
    <t>47.TEST LIGNE 19 colonne Q et ligne 20 colonne P. rechercher la cellule qui coupe le texte Dans la cocotte N°3 en fonte, faites chauffer l’huile d’olive à feu moyen. Ajoutez la viande et faites-la dorer de tous les côtés. Retirez-la de la cocotte et réservez-la.</t>
  </si>
  <si>
    <t>48.TEST LIGNE 19 colonne Q et ligne 20 colonne P. rechercher la cellule qui coupe le texte Dans la cocotte N°3 en fonte, faites chauffer l’huile d’olive à feu moyen. Ajoutez la viande et faites-la dorer de tous les côtés. Retirez-la de la cocotte et réservez-la.</t>
  </si>
  <si>
    <t>49.TEST LIGNE 19 colonne Q et ligne 20 colonne P. rechercher la cellule qui coupe le texte Dans la cocotte N°3 en fonte, faites chauffer l’huile d’olive à feu moyen. Ajoutez la viande et faites-la dorer de tous les côtés. Retirez-la de la cocotte et réservez-la.</t>
  </si>
  <si>
    <t>50.TEST LIGNE 19 colonne Q et ligne 20 colonne P. rechercher la cellule qui coupe le texte Dans la cocotte N°3 en fonte, faites chauffer l’huile d’olive à feu moyen. Ajoutez la viande et faites-la dorer de tous les côtés. Retirez-la de la cocotte et réservez-la.</t>
  </si>
  <si>
    <t>51.TEST LIGNE 19 colonne Q et ligne 20 colonne P. rechercher la cellule qui coupe le texte Dans la cocotte N°3 en fonte, faites chauffer l’huile d’olive à feu moyen. Ajoutez la viande et faites-la dorer de tous les côtés. Retirez-la de la cocotte et réservez-la.</t>
  </si>
  <si>
    <t>52.TEST LIGNE 19 colonne Q et ligne 20 colonne P. rechercher la cellule qui coupe le texte Dans la cocotte N°3 en fonte, faites chauffer l’huile d’olive à feu moyen. Ajoutez la viande et faites-la dorer de tous les côtés. Retirez-la de la cocotte et réservez-la.</t>
  </si>
  <si>
    <t>Pour vous aider à améliorer ce classeur voici quelques liens pour des conseils</t>
  </si>
  <si>
    <t>https://www.solpedinn.com/articles/comment-booster-le-design-de-tes-tableaux-excel</t>
  </si>
  <si>
    <t>https://insightsoftware.com/fr/blog/effective-color-schemes-for-analytics-dashboards/</t>
  </si>
  <si>
    <t>https://www.youtube.com/watch?v=SrcZ8Dadqqg</t>
  </si>
  <si>
    <t>https://www.vistaprint.fr/hub/tendances-couleurs?srsltid=AfmBOorRM251g5qKzJ262HRID5taij6POxPc7_yxcjqiwD6SrckPZXBB</t>
  </si>
  <si>
    <t>https://business.pinterest.com/fr/blog/2025-pinterest-palette-this-years-trending-colors/</t>
  </si>
  <si>
    <t>https://www.histoires-et-slides.fr/blog/tendances-design-2025</t>
  </si>
  <si>
    <t>https://www.toybox-design.com/web/palette-de-couleur-pour-site-web-2025-les-tendances-par-secteur-qui-boostent-votre-conversion/</t>
  </si>
  <si>
    <t>https://99designs.fr/blog/inspiration-graphique/combinaisons-de-couleurs/</t>
  </si>
  <si>
    <t>dernière mise à jour 15 Janvier 2026</t>
  </si>
  <si>
    <t>Last updated January 15, 2026</t>
  </si>
  <si>
    <t>Última actualización 15 de enero de 2026</t>
  </si>
  <si>
    <t xml:space="preserve">Comment trouver le bon accord des couleurs </t>
  </si>
  <si>
    <t xml:space="preserve">POUR VOS DOCUMENTS EXCEL  OU WORD </t>
  </si>
  <si>
    <t>Les 8 tendances de couleurs pour 2026</t>
  </si>
  <si>
    <t>https://www.vistaprint.fr/hub/tendances-couleurs</t>
  </si>
  <si>
    <t xml:space="preserve">Comment trouver le bon accord des couleurs lors de la création de votre affiche, poster, flyer, </t>
  </si>
  <si>
    <t xml:space="preserve">carte pour une pièce comme votre salon, une chambre ou lors du développement de votre site web ? </t>
  </si>
  <si>
    <t xml:space="preserve">C’est une étape qu’il ne faut pas négliger car, comme dans l'agencement d'espace intérieur, </t>
  </si>
  <si>
    <t>ce choix de couleurs va donner du sens, révéler une atmosphère et surtout, assurer une impression couleurs</t>
  </si>
  <si>
    <t>réussie !</t>
  </si>
  <si>
    <t>Il est commun de dire que les couleurs parlent d’elles-mêmes. Le violet, reflète mystère et féminité.</t>
  </si>
  <si>
    <t xml:space="preserve"> Le jaune est associé à la joie, le dynamisme et fait également référence à l’opulence. </t>
  </si>
  <si>
    <t xml:space="preserve">Le bleu est connu pour être une couleur calme et sereine. Choisissez du rose pour évoquer la douceur ou la gourmandise. </t>
  </si>
  <si>
    <t xml:space="preserve">Le rouge est la couleur de la passion… Le vert fera penser à la nature bien-sûr mais aussi à la fraîcheur et à l’optimisme. </t>
  </si>
  <si>
    <t>Mais la symbolique des couleurs n'explique pas comment les assortir.</t>
  </si>
  <si>
    <t>Après notre article sur la théorie du code des couleurs</t>
  </si>
  <si>
    <t>et notre tutoriel de création d'une palette de couleurs,</t>
  </si>
  <si>
    <t>voici donc pour vous 20 associations de couleurs tendance qui donneront à vos créations graphique un effet époustouflant !</t>
  </si>
  <si>
    <t>Bon à savoir :Pour réutiliser ces harmonies de couleurs, rien de plus simple : utilisez les codes couleurs (# hex code). En effet, lorsque vous créez votre design dans un outil tel queCanva, cliquez sur la couleur, puis sur le « + ». Tapez ensuite le code directement dans l’emplacement prévu et voilà : votre couleur sera exactement celle souhaitée !</t>
  </si>
  <si>
    <t>Utilisez le cercle chromatique ou, pour être plus précis, tapez votre code couleur.</t>
  </si>
  <si>
    <t>Nature</t>
  </si>
  <si>
    <t>La nature est source d’inspiration : de nombreuses couleurs s’y déclinent et forment des ensembles harmonieux. Observez.</t>
  </si>
  <si>
    <t>1-Fraîcheur et luminosité</t>
  </si>
  <si>
    <t xml:space="preserve">Ces tons de vert et corail donneront à vos affiches un air dynamique, en croissance. </t>
  </si>
  <si>
    <t xml:space="preserve">En les associant, votre création sera fraîche et gaie, rappelant le printemps. </t>
  </si>
  <si>
    <t xml:space="preserve">Vous pouvez aussi remplacer le rouge « poppy » et le rose « petal » par du orange #EB8A44 </t>
  </si>
  <si>
    <t>et du jaune #F9DC24 pour un effet plus épanoui.</t>
  </si>
  <si>
    <t>2-Inspiration océan</t>
  </si>
  <si>
    <t>Un camaïeu de bleu et blanc pour donner à vos cartes, votre site web ou vos affiches, une allure imposante et sérieuse, océanique.</t>
  </si>
  <si>
    <t>Pour une ambiance plus légère, utilisez des bleus rappelant les couleurs des glaciers :</t>
  </si>
  <si>
    <t xml:space="preserve"> blanc « overcast » #F1F1F2, gris clair #BCBABE, un bleu glace clair « ice » #A1D6E2 </t>
  </si>
  <si>
    <t xml:space="preserve">et un bleu un peu plus profond « glacier blue » #1995AD. </t>
  </si>
  <si>
    <t xml:space="preserve">Si vous êtes ambiance plus chaleureuse, ce sont ces couleurs méditerranéennes </t>
  </si>
  <si>
    <t xml:space="preserve">qu’il vous faut : sable « sandstone » #F4CC70, orange « burnt orange » #DE7A22 </t>
  </si>
  <si>
    <t>et des bleus « sea » #20948B et « lagoon » #6AB187.</t>
  </si>
  <si>
    <t>3-Ambiance forestière et chaleureuse</t>
  </si>
  <si>
    <t>Si vous optez pour des couleurs naturelles, vous irez tout naturellement vers ces tons de vert et marron.</t>
  </si>
  <si>
    <t xml:space="preserve"> Pensez à ajouter un vert « lime » pour apporter une touche lumineuse. </t>
  </si>
  <si>
    <t xml:space="preserve">Pour une ambiance plus automnale, prenez ces couleurs : marron « bark » #2E2300, </t>
  </si>
  <si>
    <t>vert kaki « seawed green » #6E6702, un ton « bronze » #C05805 et doré « glodenrod » #DB9501.</t>
  </si>
  <si>
    <t>4-Mode tropicale</t>
  </si>
  <si>
    <t>Très tendances, ces couleurs donneront de l’énergie à vos créations :</t>
  </si>
  <si>
    <t xml:space="preserve"> « aquamarine » #98DBC6, « turquoise » #5BC8AC, « canary yellow » #E6D72A et « pink tulip » #F18D9E.</t>
  </si>
  <si>
    <t>Visitez le site des cravates Cinabre. Il utilise des couleurs très vives ce qui donne beaucoup de dynamisme à leurs beaux accessoires.</t>
  </si>
  <si>
    <t>5- Douce nature</t>
  </si>
  <si>
    <t>Cette association de couleurs délicates donnera un ton naturel tout à fait moderne à vos visuels</t>
  </si>
  <si>
    <t>. Le rose « berry » s’accorde en effet très bien avec un jaune / vert acidulé « yellow feathers ».</t>
  </si>
  <si>
    <t>6-Tendance verte</t>
  </si>
  <si>
    <t xml:space="preserve">De belles associations de couleurs peuvent également être réalisées en prenant une couleur de référence </t>
  </si>
  <si>
    <t xml:space="preserve">et en y associant des couleurs basiques. Dans l’exemple ci-dessus avec du noir, le vert se décline en bleu-vert </t>
  </si>
  <si>
    <t xml:space="preserve">et vert « greenery », très tendance cette année. </t>
  </si>
  <si>
    <t>Ajoutez du blanc #ffffff si vous souhaitez donner un coté un peu plus lumineux à ces couleurs :</t>
  </si>
  <si>
    <t xml:space="preserve"> vert profond « deep green » #0F1B07, vert plantes « plants » #5C821A et un vert jeune pousse « new growth » #C6D166.</t>
  </si>
  <si>
    <t>Gourmandises</t>
  </si>
  <si>
    <t>7- Ambiance café-crème</t>
  </si>
  <si>
    <t xml:space="preserve">Utilisez des couleurs neutres et rassurantes comme gris, blanc, café pour un effet apaisant et calme. </t>
  </si>
  <si>
    <t xml:space="preserve">Pour un visuel tout chocolat, voici les couleurs : « cocoa » #301B28, « chocolate » #523634, « toffee » #B6452C et « frosting » #DDC5A2. </t>
  </si>
  <si>
    <t xml:space="preserve">Déclinable également dans une version plus épicée : « cayenne » #AF4425, « cinnamon » #662E1C, « cream » #EBDCB2 et « caramel » #C9A66B. </t>
  </si>
  <si>
    <t xml:space="preserve">Tentez également des couleurs « dessert fraises et crème » pour plus de gourmandise : « strawberry » (#D8412F), </t>
  </si>
  <si>
    <t>« papaya » (#FE7A47), « milk » (#FCFDFE) et « granola » (F5CA99).</t>
  </si>
  <si>
    <t>8-Macaron pastel</t>
  </si>
  <si>
    <t>Des couleurs pastel qui correspondent bien à une ambiance douce et délicate. A utiliser sans modération pour des faire-part de naissance, cartes de Pâques, cartes anniversaire d’une petite fille ou d’un petit garçon, cartons d’invitation. Jetez un œil sur le site de Ladurée, les fameux macarons parisiens. Les couleurs y sont toujours douces et raffinées.</t>
  </si>
  <si>
    <t>9-Sérénité et douceur</t>
  </si>
  <si>
    <t>Du bleu clair, du vert amande et un jaune miel pour donner une ambiance sereine et tranquille. Le rouge framboise permet de relever l’ensemble mais de manière harmonieuse. Ce sont les couleurs choisies par la chaîne de spa, thalasso et fitness Aquatonic, les thermes marins de Saint Malo.</t>
  </si>
  <si>
    <t>10-Couleurs estivales</t>
  </si>
  <si>
    <t>De belles couleurs modernes pour donner du tonus à vos visuels. Ces couleurs sont stimulantes et gourmandes.</t>
  </si>
  <si>
    <t>11-Tons cerise et baies</t>
  </si>
  <si>
    <t>Donnez une allure sophistiquée et moderne à votre site web ou à vos supports en utilisant cette palette « rouge baies et cerises ».</t>
  </si>
  <si>
    <t xml:space="preserve"> Les blancs cassés («smoke » et « chiffon ») apportent de la luminosité et se marient extrêmement bien avec les rouges plus profonds.</t>
  </si>
  <si>
    <t>Ambiance urbaine</t>
  </si>
  <si>
    <t>12- Night life</t>
  </si>
  <si>
    <t xml:space="preserve">Jaune, noir et rouge : des classiques indémodables qui attirent l’œil par leur vivacité. </t>
  </si>
  <si>
    <t>Le noir peut se teinter de bleu avec la couleur « Midnight blue » #16253D et le jaune devenir plus doré avec la couleur « golden » #EFB509.</t>
  </si>
  <si>
    <t>13-Moderne et urbain</t>
  </si>
  <si>
    <t>Avec cette palette de couleurs, vos visuels seront trendy et punchy ! En effet,</t>
  </si>
  <si>
    <t xml:space="preserve"> il est tendance d’associer des couleurs douces avec une couleur plus vive pour relever l’ensemble, comme ici une touche de le jaune. </t>
  </si>
  <si>
    <t>Vous pouvez également tester en remplaçant le blanc « bone » par un bleu-gris foncé « asphalt » #32384D.</t>
  </si>
  <si>
    <t>14-Vintage</t>
  </si>
  <si>
    <t>Donnez une ambiance urbaine vintage avec ces couleurs pastel et chaudes. C’est cette ambiance chaleureuse que Wolf &amp; Sona choisi pour son nouveau site web en l’associant à des grandes photos de leurs produits. Dans le même esprit, utilisez ces couleurs retro et relaxantes : « ginger » #D35C37, « hazelnut » #BF9A77, « oat » #D6C6B9 et « sky » #97B8C2.</t>
  </si>
  <si>
    <t>Votre visuel sera un peu plus cosmopolite et urbain avec cette palette : « blue-gray » #8593AE, « steel » #5A4E4D, « pewter » #7E675E et « blush » #DDA288.</t>
  </si>
  <si>
    <t>15-Ambiance méditerranéenne</t>
  </si>
  <si>
    <t>Avec ces couleurs, on s’imagine aisément déambuler dans les petites rues d’un village italien…</t>
  </si>
  <si>
    <t xml:space="preserve"> Chaleureuse et douce, cette palette de couleurs apaise et apporte de la sérénité. </t>
  </si>
  <si>
    <t>Essayez également ces couleurs qui donneront un coté italien gourmand à vos supports :</t>
  </si>
  <si>
    <t xml:space="preserve"> « currant » #8C0004, « scarlet » #C8000A, « marigold » #E8A735 et « cobblestone » #E2C499.</t>
  </si>
  <si>
    <t>16-Energisant</t>
  </si>
  <si>
    <t xml:space="preserve">Avec ces couleurs, vos designs seront dynamiques et pleins d’énergie ! </t>
  </si>
  <si>
    <t>Ces couleurs basiques ont, lorsqu’on les marie, l’avantage de donner une apparence jeune à vos visuels. C’est simple et efficace.</t>
  </si>
  <si>
    <t>Au bureau</t>
  </si>
  <si>
    <t>17-Métallique</t>
  </si>
  <si>
    <t>Sobre et classique, l’esprit métallique donne un coté professionnel à vos créations.</t>
  </si>
  <si>
    <t xml:space="preserve"> Pour vos flyers par exemple, vous allez à l’essentiel et cela permet de mettre en avant votre message.</t>
  </si>
  <si>
    <t xml:space="preserve"> Pour une petite touche fun et lumineuse, utilisez le rouge « Neon Red » #F34A4A.</t>
  </si>
  <si>
    <t xml:space="preserve"> Pour un rendu plus nuancé en gris-bleu, je vous conseille d’utiliser cette palette : « blue-green » #2C4A52, « waterway » #537072, « haze » #8E9B97 » et « smog » #F4EBDB.</t>
  </si>
  <si>
    <t>18- Touche orangée</t>
  </si>
  <si>
    <t xml:space="preserve">Bon exemple pour un site professionnel. Mettez en avant vos produits avec une couleur flashy </t>
  </si>
  <si>
    <t>(orange, rose, violet, bleu électrique) dans un univers sobre. C’est tendance.</t>
  </si>
  <si>
    <t>19-Sobre et chic</t>
  </si>
  <si>
    <t>Toujours dans le même esprit mais plus coloré, vos créations seront tendance et modernes.</t>
  </si>
  <si>
    <t xml:space="preserve"> Pour rester dans les mêmes tons et la même ambiance, vous pouvez aussi utiliser ces couleurs dans les tons bleus et rosés :</t>
  </si>
  <si>
    <t xml:space="preserve"> « faded navy » #444C5C, « punch » #CE5A57, « ocean breeze » #78A5A3 et « warm » #E1B16A.</t>
  </si>
  <si>
    <t xml:space="preserve">Pour une dominante en vert / vert d’eau : « stone » #688B8A, « sage » #A0B084, « buttermilk » #FAEFD4 et « leather » #A57C65. </t>
  </si>
  <si>
    <t>Enfin pour finir, pour une ambiance plus froide et scandinave vous utiliserez du bleu « dark aqua » #488a99,</t>
  </si>
  <si>
    <t xml:space="preserve"> un jaune « gold » #DBAE58, un gris foncé « charcoal » #FBE9E7 et un gris plus clair « gray » #B4B4B4.</t>
  </si>
  <si>
    <t>20-Technologie et nature</t>
  </si>
  <si>
    <t xml:space="preserve">Vert et gris pour une ambiance tendance développement durable où nature et technologie cohabitent. </t>
  </si>
  <si>
    <t>Ces couleurs se marient à merveille et sont à utiliser sur tant sur supports professionnels que créatifs.</t>
  </si>
  <si>
    <t>Toutes ces idées d’association de couleurs devraient pouvoir vous inspirer pour vos designs ;)</t>
  </si>
  <si>
    <t>Comment reproduire les couleurs</t>
  </si>
  <si>
    <t xml:space="preserve">copiez le code de la couleur choisie </t>
  </si>
  <si>
    <t>Exemple  #DDC5A2</t>
  </si>
  <si>
    <t>https://www.behance.net/gallery/223506737/Sunwhip-tanning-foam-Brand-identity#</t>
  </si>
  <si>
    <t>cliquez sur Ok</t>
  </si>
  <si>
    <t>#DDC5A2</t>
  </si>
  <si>
    <t>servez vous du pinceau pour la reproduire</t>
  </si>
  <si>
    <t>#e1dd72  jaune-vert</t>
  </si>
  <si>
    <t>#a8c66c vert olive</t>
  </si>
  <si>
    <t>#1b6535 vert forêt</t>
  </si>
  <si>
    <t>#e3b448 jaune moutarde</t>
  </si>
  <si>
    <t>#cbd18f vert sauge</t>
  </si>
  <si>
    <t>#3a6b35 vert forêt</t>
  </si>
  <si>
    <t>Ambiance café crème</t>
  </si>
  <si>
    <t>#f6ead4 beige</t>
  </si>
  <si>
    <t>#626d71 slate</t>
  </si>
  <si>
    <t>#a2a595 ardoise</t>
  </si>
  <si>
    <t>#CDCDC0 ceramic</t>
  </si>
  <si>
    <t>#b4a284 khaki</t>
  </si>
  <si>
    <t>#B38867 coffee</t>
  </si>
  <si>
    <t>#ddbc95 latte</t>
  </si>
  <si>
    <t>#829079 olive</t>
  </si>
  <si>
    <t>#ede6b9 beige</t>
  </si>
  <si>
    <t>#b9925e ambré</t>
  </si>
  <si>
    <t>#ff2e63 rose vibrant</t>
  </si>
  <si>
    <t>#8a4fbd violet électrique</t>
  </si>
  <si>
    <t>#e5d7c3 beige</t>
  </si>
  <si>
    <t>J'ai laissé les liens sur les photos pour visiter les sites d'Auteurs</t>
  </si>
  <si>
    <t>1) Préparer une grille (cellules carrées ou rectangles)</t>
  </si>
  <si>
    <t>Exemple (classique)</t>
  </si>
  <si>
    <t>1. Sélectionne les colonnes où tu vas mettre les photos (ex : A:H)</t>
  </si>
  <si>
    <t>3. Sélectionne les lignes (ex : 1:30)</t>
  </si>
  <si>
    <t>💡 Astuce : si tu veux des “carrés”, tu ajustes jusqu’à un rendu visuellement carré (Excel n’a pas la même unité entre largeur et hauteur).</t>
  </si>
  <si>
    <t>2) Sélectionner les images SANS ouvrir les liens (en masse)</t>
  </si>
  <si>
    <t>Tu évites les clics accidentels :</t>
  </si>
  <si>
    <t>Option A (la plus fiable)</t>
  </si>
  <si>
    <t>Option B</t>
  </si>
  <si>
    <t>➡️ Tu encadres à la souris pour sélectionner plusieurs images.</t>
  </si>
  <si>
    <t>3) Les “aimanter” aux cellules (le réglage magique)</t>
  </si>
  <si>
    <t>C’est ça qui fait que les images restent bien en place quand tu modifies les lignes/colonnes.</t>
  </si>
  <si>
    <t>1. Clic droit sur une image (ou plusieurs sélectionnées)</t>
  </si>
  <si>
    <t>2. Format de l’image</t>
  </si>
  <si>
    <t>➡️ Résultat : tes images se comportent comme si elles “vivaient dans les cases”.</t>
  </si>
  <si>
    <t>4) Redimensionner proprement (sans tout déformer)</t>
  </si>
  <si>
    <t>⚠️ Et pour ne pas ouvrir le lien :</t>
  </si>
  <si>
    <t>5) Alignement automatique (style planche contact)</t>
  </si>
  <si>
    <t>Une fois plusieurs images sélectionnées :</t>
  </si>
  <si>
    <t>Aligner en haut</t>
  </si>
  <si>
    <t>Aligner à gauche</t>
  </si>
  <si>
    <t>Distribuer horizontalement</t>
  </si>
  <si>
    <t>Distribuer verticalement</t>
  </si>
  <si>
    <t>➡️ Tu obtiens un rendu “grille” ultra propre.</t>
  </si>
  <si>
    <t>6) Mode “verrouillage anti-boulette” (option béton)</t>
  </si>
  <si>
    <t>Si tu veux éviter de déplacer des photos par accident :</t>
  </si>
  <si>
    <t>1. Sélectionne les images</t>
  </si>
  <si>
    <t>Bonus : la technique ninja pour bosser vite</t>
  </si>
  <si>
    <t>➡️ Tu cliques sur “Image 12”, “Image 13”… dans la liste = sélection instantanée.</t>
  </si>
  <si>
    <t xml:space="preserve"> “aimantées” aux cellules dans Excel (et ne plus galérer avec les déplacements).</t>
  </si>
  <si>
    <r>
      <t xml:space="preserve">Voilà une méthode </t>
    </r>
    <r>
      <rPr>
        <b/>
        <sz val="12"/>
        <color theme="1"/>
        <rFont val="Calibri"/>
        <family val="2"/>
        <scheme val="minor"/>
      </rPr>
      <t>propre + rapide</t>
    </r>
    <r>
      <rPr>
        <sz val="12"/>
        <color theme="1"/>
        <rFont val="Calibri"/>
        <family val="2"/>
        <scheme val="minor"/>
      </rPr>
      <t xml:space="preserve"> pour faire une </t>
    </r>
    <r>
      <rPr>
        <b/>
        <sz val="12"/>
        <color theme="1"/>
        <rFont val="Calibri"/>
        <family val="2"/>
        <scheme val="minor"/>
      </rPr>
      <t>grille d’images</t>
    </r>
  </si>
  <si>
    <r>
      <t xml:space="preserve">Le plus simple : </t>
    </r>
    <r>
      <rPr>
        <b/>
        <sz val="12"/>
        <color theme="1"/>
        <rFont val="Calibri"/>
        <family val="2"/>
        <scheme val="minor"/>
      </rPr>
      <t>tu imposes une taille fixe aux cellules</t>
    </r>
    <r>
      <rPr>
        <sz val="12"/>
        <color theme="1"/>
        <rFont val="Calibri"/>
        <family val="2"/>
        <scheme val="minor"/>
      </rPr>
      <t>, comme un “tableau photo”.</t>
    </r>
  </si>
  <si>
    <r>
      <t>Largeur de colonne</t>
    </r>
    <r>
      <rPr>
        <sz val="12"/>
        <color theme="1"/>
        <rFont val="Calibri"/>
        <family val="2"/>
        <scheme val="minor"/>
      </rPr>
      <t xml:space="preserve"> = 20</t>
    </r>
  </si>
  <si>
    <r>
      <t>Hauteur de ligne</t>
    </r>
    <r>
      <rPr>
        <sz val="12"/>
        <color theme="1"/>
        <rFont val="Calibri"/>
        <family val="2"/>
        <scheme val="minor"/>
      </rPr>
      <t xml:space="preserve"> = 90</t>
    </r>
  </si>
  <si>
    <r>
      <t xml:space="preserve">2. Clic droit → </t>
    </r>
    <r>
      <rPr>
        <b/>
        <sz val="12"/>
        <color theme="1"/>
        <rFont val="Calibri"/>
        <family val="2"/>
        <scheme val="minor"/>
      </rPr>
      <t>Largeur de colonne…</t>
    </r>
  </si>
  <si>
    <r>
      <t xml:space="preserve">4. Clic droit → </t>
    </r>
    <r>
      <rPr>
        <b/>
        <sz val="12"/>
        <color theme="1"/>
        <rFont val="Calibri"/>
        <family val="2"/>
        <scheme val="minor"/>
      </rPr>
      <t>Hauteur de ligne…</t>
    </r>
  </si>
  <si>
    <r>
      <t>F5</t>
    </r>
    <r>
      <rPr>
        <sz val="12"/>
        <color theme="1"/>
        <rFont val="Calibri"/>
        <family val="2"/>
        <scheme val="minor"/>
      </rPr>
      <t xml:space="preserve"> → </t>
    </r>
    <r>
      <rPr>
        <b/>
        <sz val="12"/>
        <color theme="1"/>
        <rFont val="Calibri"/>
        <family val="2"/>
        <scheme val="minor"/>
      </rPr>
      <t>Spécial…</t>
    </r>
    <r>
      <rPr>
        <sz val="12"/>
        <color theme="1"/>
        <rFont val="Calibri"/>
        <family val="2"/>
        <scheme val="minor"/>
      </rPr>
      <t xml:space="preserve"> → </t>
    </r>
    <r>
      <rPr>
        <b/>
        <sz val="12"/>
        <color theme="1"/>
        <rFont val="Calibri"/>
        <family val="2"/>
        <scheme val="minor"/>
      </rPr>
      <t>Objets</t>
    </r>
    <r>
      <rPr>
        <sz val="12"/>
        <color theme="1"/>
        <rFont val="Calibri"/>
        <family val="2"/>
        <scheme val="minor"/>
      </rPr>
      <t xml:space="preserve"> → OK</t>
    </r>
  </si>
  <si>
    <r>
      <t xml:space="preserve">➡️ Excel sélectionne </t>
    </r>
    <r>
      <rPr>
        <b/>
        <sz val="12"/>
        <color theme="1"/>
        <rFont val="Calibri"/>
        <family val="2"/>
        <scheme val="minor"/>
      </rPr>
      <t>tous les objets</t>
    </r>
    <r>
      <rPr>
        <sz val="12"/>
        <color theme="1"/>
        <rFont val="Calibri"/>
        <family val="2"/>
        <scheme val="minor"/>
      </rPr>
      <t xml:space="preserve"> (donc tes images)</t>
    </r>
  </si>
  <si>
    <r>
      <t xml:space="preserve">Accueil → </t>
    </r>
    <r>
      <rPr>
        <b/>
        <sz val="12"/>
        <color theme="1"/>
        <rFont val="Calibri"/>
        <family val="2"/>
        <scheme val="minor"/>
      </rPr>
      <t>Rechercher et sélectionner</t>
    </r>
    <r>
      <rPr>
        <sz val="12"/>
        <color theme="1"/>
        <rFont val="Calibri"/>
        <family val="2"/>
        <scheme val="minor"/>
      </rPr>
      <t xml:space="preserve"> → </t>
    </r>
    <r>
      <rPr>
        <b/>
        <sz val="12"/>
        <color theme="1"/>
        <rFont val="Calibri"/>
        <family val="2"/>
        <scheme val="minor"/>
      </rPr>
      <t>Sélectionner des objets</t>
    </r>
  </si>
  <si>
    <r>
      <t xml:space="preserve">3. Onglet </t>
    </r>
    <r>
      <rPr>
        <b/>
        <sz val="12"/>
        <color theme="1"/>
        <rFont val="Calibri"/>
        <family val="2"/>
        <scheme val="minor"/>
      </rPr>
      <t>Taille et propriétés</t>
    </r>
  </si>
  <si>
    <r>
      <t>4. Propriétés</t>
    </r>
    <r>
      <rPr>
        <sz val="12"/>
        <color theme="1"/>
        <rFont val="Calibri"/>
        <family val="2"/>
        <scheme val="minor"/>
      </rPr>
      <t xml:space="preserve"> → coche : ✅ </t>
    </r>
    <r>
      <rPr>
        <b/>
        <sz val="12"/>
        <color theme="1"/>
        <rFont val="Calibri"/>
        <family val="2"/>
        <scheme val="minor"/>
      </rPr>
      <t>Déplacer et dimensionner avec les cellules</t>
    </r>
  </si>
  <si>
    <r>
      <t xml:space="preserve">Prends une poignée </t>
    </r>
    <r>
      <rPr>
        <b/>
        <sz val="12"/>
        <color theme="1"/>
        <rFont val="Calibri"/>
        <family val="2"/>
        <scheme val="minor"/>
      </rPr>
      <t>d’angle</t>
    </r>
  </si>
  <si>
    <r>
      <t xml:space="preserve">Maintiens </t>
    </r>
    <r>
      <rPr>
        <b/>
        <sz val="12"/>
        <color theme="1"/>
        <rFont val="Calibri"/>
        <family val="2"/>
        <scheme val="minor"/>
      </rPr>
      <t>MAJ</t>
    </r>
    <r>
      <rPr>
        <sz val="12"/>
        <color theme="1"/>
        <rFont val="Calibri"/>
        <family val="2"/>
        <scheme val="minor"/>
      </rPr>
      <t xml:space="preserve"> = conserve les proportions (recommandé)</t>
    </r>
  </si>
  <si>
    <r>
      <t xml:space="preserve">Maintiens </t>
    </r>
    <r>
      <rPr>
        <b/>
        <sz val="12"/>
        <color theme="1"/>
        <rFont val="Calibri"/>
        <family val="2"/>
        <scheme val="minor"/>
      </rPr>
      <t>ALT</t>
    </r>
    <r>
      <rPr>
        <sz val="12"/>
        <color theme="1"/>
        <rFont val="Calibri"/>
        <family val="2"/>
        <scheme val="minor"/>
      </rPr>
      <t xml:space="preserve"> pendant que tu redimensionnes/déplaces = </t>
    </r>
    <r>
      <rPr>
        <b/>
        <sz val="12"/>
        <color theme="1"/>
        <rFont val="Calibri"/>
        <family val="2"/>
        <scheme val="minor"/>
      </rPr>
      <t>accrochage au bord des cellules</t>
    </r>
    <r>
      <rPr>
        <sz val="12"/>
        <color theme="1"/>
        <rFont val="Calibri"/>
        <family val="2"/>
        <scheme val="minor"/>
      </rPr>
      <t xml:space="preserve"> (effet “snap”)</t>
    </r>
  </si>
  <si>
    <r>
      <t xml:space="preserve">✅ </t>
    </r>
    <r>
      <rPr>
        <b/>
        <sz val="12"/>
        <color theme="1"/>
        <rFont val="Calibri"/>
        <family val="2"/>
        <scheme val="minor"/>
      </rPr>
      <t>CTRL + clic</t>
    </r>
    <r>
      <rPr>
        <sz val="12"/>
        <color theme="1"/>
        <rFont val="Calibri"/>
        <family val="2"/>
        <scheme val="minor"/>
      </rPr>
      <t xml:space="preserve"> pour sélectionner l’image sans déclencher le lien (ou utilise F5 &gt; Objets).</t>
    </r>
  </si>
  <si>
    <r>
      <t xml:space="preserve">Onglet </t>
    </r>
    <r>
      <rPr>
        <b/>
        <sz val="12"/>
        <color theme="1"/>
        <rFont val="Calibri"/>
        <family val="2"/>
        <scheme val="minor"/>
      </rPr>
      <t>Format de l’image</t>
    </r>
    <r>
      <rPr>
        <sz val="12"/>
        <color theme="1"/>
        <rFont val="Calibri"/>
        <family val="2"/>
        <scheme val="minor"/>
      </rPr>
      <t xml:space="preserve"> → </t>
    </r>
    <r>
      <rPr>
        <b/>
        <sz val="12"/>
        <color theme="1"/>
        <rFont val="Calibri"/>
        <family val="2"/>
        <scheme val="minor"/>
      </rPr>
      <t>Aligner</t>
    </r>
  </si>
  <si>
    <r>
      <t xml:space="preserve">2. Clic droit → </t>
    </r>
    <r>
      <rPr>
        <b/>
        <sz val="12"/>
        <color theme="1"/>
        <rFont val="Calibri"/>
        <family val="2"/>
        <scheme val="minor"/>
      </rPr>
      <t>Format de l’image</t>
    </r>
  </si>
  <si>
    <r>
      <t>3. Taille et propriétés</t>
    </r>
    <r>
      <rPr>
        <sz val="12"/>
        <color theme="1"/>
        <rFont val="Calibri"/>
        <family val="2"/>
        <scheme val="minor"/>
      </rPr>
      <t xml:space="preserve"> → </t>
    </r>
    <r>
      <rPr>
        <b/>
        <sz val="12"/>
        <color theme="1"/>
        <rFont val="Calibri"/>
        <family val="2"/>
        <scheme val="minor"/>
      </rPr>
      <t>Propriétés</t>
    </r>
  </si>
  <si>
    <r>
      <t xml:space="preserve">4. Mets plutôt : </t>
    </r>
    <r>
      <rPr>
        <b/>
        <sz val="12"/>
        <color theme="1"/>
        <rFont val="Calibri"/>
        <family val="2"/>
        <scheme val="minor"/>
      </rPr>
      <t>Ne pas déplacer ni dimensionner avec les cellules</t>
    </r>
  </si>
  <si>
    <r>
      <t xml:space="preserve">5. Puis tu mets ta feuille en </t>
    </r>
    <r>
      <rPr>
        <b/>
        <sz val="12"/>
        <color theme="1"/>
        <rFont val="Calibri"/>
        <family val="2"/>
        <scheme val="minor"/>
      </rPr>
      <t>protection</t>
    </r>
    <r>
      <rPr>
        <sz val="12"/>
        <color theme="1"/>
        <rFont val="Calibri"/>
        <family val="2"/>
        <scheme val="minor"/>
      </rPr>
      <t xml:space="preserve"> si besoin (là c’est carrément blindé)</t>
    </r>
  </si>
  <si>
    <r>
      <t xml:space="preserve">✅ </t>
    </r>
    <r>
      <rPr>
        <b/>
        <sz val="12"/>
        <color theme="1"/>
        <rFont val="Calibri"/>
        <family val="2"/>
        <scheme val="minor"/>
      </rPr>
      <t>Volet de sélection</t>
    </r>
    <r>
      <rPr>
        <sz val="12"/>
        <color theme="1"/>
        <rFont val="Calibri"/>
        <family val="2"/>
        <scheme val="minor"/>
      </rPr>
      <t xml:space="preserve"> (zéro clic accidentel sur les liens)</t>
    </r>
  </si>
  <si>
    <r>
      <t xml:space="preserve">Accueil → Rechercher et sélectionner → </t>
    </r>
    <r>
      <rPr>
        <b/>
        <sz val="12"/>
        <color theme="1"/>
        <rFont val="Calibri"/>
        <family val="2"/>
        <scheme val="minor"/>
      </rPr>
      <t>Volet de sélection</t>
    </r>
  </si>
  <si>
    <t>ChatGPT</t>
  </si>
  <si>
    <t>https://www.flickr.com/photos/lolo65/</t>
  </si>
  <si>
    <t>https://www.flickr.com/photos/sunova_surfboards/</t>
  </si>
  <si>
    <t>https://www.flickr.com/photos/jean-mi83/</t>
  </si>
  <si>
    <t>https://www.flickr.com/photos/johnfish/</t>
  </si>
  <si>
    <t>https://www.flickr.com/photos/mizzmurray/</t>
  </si>
  <si>
    <t>j'ai désactivé les liens des photos pour les coller dans le cadre</t>
  </si>
  <si>
    <t>#004445</t>
  </si>
  <si>
    <t>#2c7873</t>
  </si>
  <si>
    <t>#6fb98f</t>
  </si>
  <si>
    <t>#dfe166</t>
  </si>
  <si>
    <t>#ec96a4</t>
  </si>
  <si>
    <t>#5d535e</t>
  </si>
  <si>
    <t>#9a9eab</t>
  </si>
  <si>
    <t>#9bc01c</t>
  </si>
  <si>
    <t>#ffd64d</t>
  </si>
  <si>
    <t>#fa6775</t>
  </si>
  <si>
    <t>#f52549</t>
  </si>
  <si>
    <t>#7d4427</t>
  </si>
  <si>
    <t>#a2c523</t>
  </si>
  <si>
    <t>#486b00</t>
  </si>
  <si>
    <t>#2e4600</t>
  </si>
  <si>
    <t>#c4dfe6</t>
  </si>
  <si>
    <t>#66a5ad</t>
  </si>
  <si>
    <t>#07575b</t>
  </si>
  <si>
    <t>#003b46</t>
  </si>
  <si>
    <t>#89da59</t>
  </si>
  <si>
    <t>#80bd9e</t>
  </si>
  <si>
    <t>#ff420e</t>
  </si>
  <si>
    <t>#f98866</t>
  </si>
  <si>
    <t>#021c1e</t>
  </si>
  <si>
    <t>#fdd475</t>
  </si>
  <si>
    <t>#ffeb94</t>
  </si>
  <si>
    <t>#ffccac</t>
  </si>
  <si>
    <t>#c1e1dc</t>
  </si>
  <si>
    <t>#ed5752</t>
  </si>
  <si>
    <t>#92aac7</t>
  </si>
  <si>
    <t>#a1be95</t>
  </si>
  <si>
    <t>#e2dfa2</t>
  </si>
  <si>
    <t>#e4b600</t>
  </si>
  <si>
    <t>#f78b2d</t>
  </si>
  <si>
    <t>#f7aa802</t>
  </si>
  <si>
    <t>#fc7db00</t>
  </si>
  <si>
    <t>#cob2b5</t>
  </si>
  <si>
    <t>#foefea</t>
  </si>
  <si>
    <t>#d72c16</t>
  </si>
  <si>
    <t>#a10115</t>
  </si>
  <si>
    <t>ouvrez couleur de remplissage</t>
  </si>
  <si>
    <t>Autres couleurs</t>
  </si>
  <si>
    <t>Personnalisées</t>
  </si>
  <si>
    <r>
      <t>Collez le code dans la cellule</t>
    </r>
    <r>
      <rPr>
        <u/>
        <sz val="11"/>
        <color theme="1"/>
        <rFont val="Calibri"/>
        <family val="2"/>
        <scheme val="minor"/>
      </rPr>
      <t xml:space="preserve"> Hex</t>
    </r>
  </si>
  <si>
    <t>EXEMPLES LIGNE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</si>
</sst>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164" formatCode="#,##0.00&quot; kg&quot;"/>
    <numFmt numFmtId="165" formatCode="#,##0.0&quot; grs&quot;"/>
    <numFmt numFmtId="166" formatCode="0&quot; Kg&quot;"/>
    <numFmt numFmtId="167" formatCode="0.0"/>
    <numFmt numFmtId="168" formatCode="0&quot; g&quot;"/>
    <numFmt numFmtId="169" formatCode="0.000&quot; Kg&quot;"/>
    <numFmt numFmtId="170" formatCode="#,##0.0"/>
    <numFmt numFmtId="171" formatCode="0.000&quot;Kg&quot;"/>
    <numFmt numFmtId="172" formatCode="0.000&quot; L&quot;"/>
    <numFmt numFmtId="173" formatCode="[h]&quot;H&quot;mm"/>
    <numFmt numFmtId="174" formatCode="0.00&quot; Kg&quot;"/>
    <numFmt numFmtId="175" formatCode="0&quot;%&quot;"/>
    <numFmt numFmtId="176" formatCode="&quot;/ &quot;0"/>
    <numFmt numFmtId="177" formatCode="h&quot;h&quot;mm"/>
    <numFmt numFmtId="178" formatCode="0&quot;°C&quot;"/>
    <numFmt numFmtId="179" formatCode="0.000"/>
    <numFmt numFmtId="180" formatCode="0&quot; %&quot;"/>
    <numFmt numFmtId="181" formatCode="_-* #,##0.00\ [$€-40C]_-;\-* #,##0.00\ [$€-40C]_-;_-* &quot;-&quot;??\ [$€-40C]_-;_-@_-"/>
    <numFmt numFmtId="182" formatCode="#,##0.00\ &quot;€&quot;"/>
    <numFmt numFmtId="183" formatCode="0&quot; Kg pour&quot;"/>
    <numFmt numFmtId="184" formatCode="0.0&quot; Kg&quot;"/>
    <numFmt numFmtId="185" formatCode="0.00&quot;Kg&quot;"/>
    <numFmt numFmtId="186" formatCode="0.0%"/>
    <numFmt numFmtId="187" formatCode="0.0&quot; %&quot;"/>
    <numFmt numFmtId="188" formatCode="0&quot; ml&quot;"/>
    <numFmt numFmtId="189" formatCode="0.00\ &quot; cm³&quot;"/>
    <numFmt numFmtId="190" formatCode="0&quot; car.&quot;"/>
    <numFmt numFmtId="191" formatCode="0.00&quot; ml&quot;"/>
    <numFmt numFmtId="192" formatCode="0.00&quot; g&quot;"/>
    <numFmt numFmtId="193" formatCode="0.0&quot; ml&quot;"/>
    <numFmt numFmtId="194" formatCode="[$-40C]d\-mmm\-yy;@"/>
    <numFmt numFmtId="195" formatCode="0\ &quot;lignes&quot;"/>
    <numFmt numFmtId="196" formatCode="0\ &quot;lignes masquées &quot;"/>
    <numFmt numFmtId="197" formatCode="0\ &quot;lignes à imprimer &quot;"/>
    <numFmt numFmtId="198" formatCode="&quot;Vrai&quot;;&quot;Vrai&quot;;&quot;Faux&quot;"/>
    <numFmt numFmtId="199" formatCode="&quot;Actif&quot;;&quot;Actif&quot;;&quot;Inactif&quot;"/>
    <numFmt numFmtId="200" formatCode="[$-F800]dddd\,\ mmmm\ dd\,\ yyyy"/>
    <numFmt numFmtId="201" formatCode="&quot;=UNICAR(128269)&quot;"/>
    <numFmt numFmtId="202" formatCode="#,##0&quot; gr&quot;"/>
    <numFmt numFmtId="203" formatCode="#,##0.000&quot; kg&quot;"/>
    <numFmt numFmtId="204" formatCode="&quot;de &quot;#,##0.000&quot; kg&quot;"/>
    <numFmt numFmtId="205" formatCode="&quot;de &quot;0.00&quot; Kg&quot;"/>
    <numFmt numFmtId="206" formatCode="0.000\K\g"/>
    <numFmt numFmtId="207" formatCode="&quot;Poids portion&quot;\ 0.000&quot; Kg&quot;"/>
    <numFmt numFmtId="208" formatCode="#,##0&quot; cl&quot;"/>
    <numFmt numFmtId="209" formatCode="0.000\ &quot; dm³&quot;"/>
    <numFmt numFmtId="210" formatCode="0&quot; lignes&quot;"/>
    <numFmt numFmtId="211" formatCode="0&quot; jours&quot;"/>
    <numFmt numFmtId="212" formatCode="0&quot; H&quot;"/>
    <numFmt numFmtId="213" formatCode="&quot;N° &quot;0"/>
    <numFmt numFmtId="214" formatCode="&quot;Col.&quot;0"/>
    <numFmt numFmtId="215" formatCode="0.0&quot; mm&quot;"/>
    <numFmt numFmtId="216" formatCode="0.00&quot; cm&quot;"/>
    <numFmt numFmtId="217" formatCode="0.00\ &quot; cm²&quot;"/>
    <numFmt numFmtId="218" formatCode="&quot;de &quot;0"/>
    <numFmt numFmtId="219" formatCode="0.0000"/>
    <numFmt numFmtId="220" formatCode="0&quot; Gastro&quot;"/>
    <numFmt numFmtId="221" formatCode="\+\ 0.0;\-\ 0.0"/>
    <numFmt numFmtId="222" formatCode="\+\ 0.000;\-\ 0.000"/>
    <numFmt numFmtId="223" formatCode="\+\ 0.00;\-\ 0.00"/>
    <numFmt numFmtId="224" formatCode="0&quot; Mx&quot;"/>
    <numFmt numFmtId="225" formatCode="0.00&quot; Mx&quot;"/>
    <numFmt numFmtId="226" formatCode="0&quot; gr&quot;"/>
    <numFmt numFmtId="227" formatCode="0.0&quot; gr&quot;"/>
    <numFmt numFmtId="228" formatCode="dddd\ dd\ mmmm\ yyyy"/>
    <numFmt numFmtId="229" formatCode="hh&quot;H&quot;:mm&quot; mn&quot;"/>
    <numFmt numFmtId="230" formatCode="0.0&quot;Kg&quot;"/>
    <numFmt numFmtId="231" formatCode="0.0&quot; g&quot;"/>
    <numFmt numFmtId="232" formatCode="0&quot;Kg&quot;"/>
    <numFmt numFmtId="233" formatCode="0.0&quot;%&quot;"/>
  </numFmts>
  <fonts count="60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8"/>
      <color theme="0"/>
      <name val="Calibri"/>
      <family val="2"/>
      <scheme val="minor"/>
    </font>
    <font>
      <sz val="8"/>
      <color theme="0"/>
      <name val="Calibri"/>
      <family val="2"/>
      <scheme val="minor"/>
    </font>
    <font>
      <b/>
      <sz val="11"/>
      <color indexed="9"/>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b/>
      <sz val="12"/>
      <name val="Calibri"/>
      <family val="2"/>
      <scheme val="minor"/>
    </font>
    <font>
      <b/>
      <sz val="12"/>
      <color rgb="FFFFFF00"/>
      <name val="Calibri"/>
      <family val="2"/>
      <scheme val="minor"/>
    </font>
    <font>
      <b/>
      <sz val="12"/>
      <color rgb="FFFFC000"/>
      <name val="Calibri"/>
      <family val="2"/>
      <scheme val="minor"/>
    </font>
    <font>
      <b/>
      <sz val="10"/>
      <color theme="9" tint="-0.499984740745262"/>
      <name val="Calibri"/>
      <family val="2"/>
      <scheme val="minor"/>
    </font>
    <font>
      <sz val="10"/>
      <name val="MS Sans Serif"/>
      <family val="2"/>
    </font>
    <font>
      <i/>
      <sz val="11"/>
      <name val="Calibri"/>
      <family val="2"/>
      <scheme val="minor"/>
    </font>
    <font>
      <b/>
      <sz val="18"/>
      <color theme="0"/>
      <name val="Calibri"/>
      <family val="2"/>
      <scheme val="minor"/>
    </font>
    <font>
      <sz val="11"/>
      <name val="Calibri"/>
      <family val="2"/>
      <scheme val="minor"/>
    </font>
    <font>
      <b/>
      <sz val="12"/>
      <color theme="0"/>
      <name val="Calibri"/>
      <family val="2"/>
      <scheme val="minor"/>
    </font>
    <font>
      <sz val="8"/>
      <color theme="9" tint="0.39997558519241921"/>
      <name val="Calibri"/>
      <family val="2"/>
      <scheme val="minor"/>
    </font>
    <font>
      <sz val="8"/>
      <color theme="9" tint="0.79998168889431442"/>
      <name val="Calibri"/>
      <family val="2"/>
      <scheme val="minor"/>
    </font>
    <font>
      <sz val="10"/>
      <name val="Calibri"/>
      <family val="2"/>
      <scheme val="minor"/>
    </font>
    <font>
      <b/>
      <sz val="20"/>
      <color theme="0"/>
      <name val="Calibri"/>
      <family val="2"/>
      <scheme val="minor"/>
    </font>
    <font>
      <b/>
      <sz val="14"/>
      <name val="Calibri"/>
      <family val="2"/>
      <scheme val="minor"/>
    </font>
    <font>
      <b/>
      <sz val="26"/>
      <color rgb="FFFFFFFF"/>
      <name val="Calibri"/>
      <family val="2"/>
      <scheme val="minor"/>
    </font>
    <font>
      <b/>
      <sz val="20"/>
      <name val="Calibri"/>
      <family val="2"/>
      <scheme val="minor"/>
    </font>
    <font>
      <sz val="12"/>
      <color theme="0"/>
      <name val="Calibri"/>
      <family val="2"/>
      <scheme val="minor"/>
    </font>
    <font>
      <sz val="8"/>
      <color theme="1" tint="0.249977111117893"/>
      <name val="Calibri"/>
      <family val="2"/>
      <scheme val="minor"/>
    </font>
    <font>
      <sz val="9"/>
      <name val="Calibri"/>
      <family val="2"/>
      <scheme val="minor"/>
    </font>
    <font>
      <b/>
      <sz val="14"/>
      <color theme="0"/>
      <name val="Calibri"/>
      <family val="2"/>
      <scheme val="minor"/>
    </font>
    <font>
      <b/>
      <sz val="12"/>
      <color theme="5" tint="-0.499984740745262"/>
      <name val="Calibri"/>
      <family val="2"/>
      <scheme val="minor"/>
    </font>
    <font>
      <sz val="11"/>
      <color theme="1"/>
      <name val="Calibri"/>
      <family val="2"/>
    </font>
    <font>
      <sz val="12"/>
      <color theme="9" tint="-0.249977111117893"/>
      <name val="Calibri"/>
      <family val="2"/>
      <scheme val="minor"/>
    </font>
    <font>
      <b/>
      <sz val="12"/>
      <color rgb="FF0000FF"/>
      <name val="Calibri"/>
      <family val="2"/>
      <scheme val="minor"/>
    </font>
    <font>
      <sz val="10"/>
      <color theme="1"/>
      <name val="Calibri"/>
      <family val="2"/>
      <scheme val="minor"/>
    </font>
    <font>
      <b/>
      <sz val="16"/>
      <color rgb="FFC00000"/>
      <name val="Calibri"/>
      <family val="2"/>
      <scheme val="minor"/>
    </font>
    <font>
      <b/>
      <sz val="14"/>
      <color theme="9" tint="-0.249977111117893"/>
      <name val="Calibri"/>
      <family val="2"/>
      <scheme val="minor"/>
    </font>
    <font>
      <sz val="14"/>
      <color theme="9" tint="-0.249977111117893"/>
      <name val="Calibri"/>
      <family val="2"/>
      <scheme val="minor"/>
    </font>
    <font>
      <b/>
      <sz val="16"/>
      <color theme="0"/>
      <name val="Calibri"/>
      <family val="2"/>
      <scheme val="minor"/>
    </font>
    <font>
      <sz val="11"/>
      <color theme="1" tint="0.249977111117893"/>
      <name val="Calibri"/>
      <family val="2"/>
      <scheme val="minor"/>
    </font>
    <font>
      <sz val="14"/>
      <color rgb="FF0000FF"/>
      <name val="Calibri"/>
      <family val="2"/>
      <scheme val="minor"/>
    </font>
    <font>
      <b/>
      <sz val="16"/>
      <color rgb="FF0000FF"/>
      <name val="Calibri"/>
      <family val="2"/>
      <scheme val="minor"/>
    </font>
    <font>
      <b/>
      <sz val="11"/>
      <color rgb="FF0000FF"/>
      <name val="Calibri"/>
      <family val="2"/>
      <scheme val="minor"/>
    </font>
    <font>
      <sz val="8"/>
      <color theme="0" tint="-0.249977111117893"/>
      <name val="Calibri"/>
      <family val="2"/>
      <scheme val="minor"/>
    </font>
    <font>
      <sz val="8"/>
      <color theme="3"/>
      <name val="Calibri"/>
      <family val="2"/>
      <scheme val="minor"/>
    </font>
    <font>
      <b/>
      <sz val="11"/>
      <name val="Calibri"/>
      <family val="2"/>
      <scheme val="minor"/>
    </font>
    <font>
      <b/>
      <sz val="9"/>
      <name val="Calibri"/>
      <family val="2"/>
      <scheme val="minor"/>
    </font>
    <font>
      <sz val="10"/>
      <color rgb="FF0000FF"/>
      <name val="Calibri"/>
      <family val="2"/>
      <scheme val="minor"/>
    </font>
    <font>
      <sz val="9"/>
      <color theme="1"/>
      <name val="Calibri"/>
      <family val="2"/>
      <scheme val="minor"/>
    </font>
    <font>
      <sz val="8"/>
      <color rgb="FF00B050"/>
      <name val="Calibri"/>
      <family val="2"/>
      <scheme val="minor"/>
    </font>
    <font>
      <b/>
      <sz val="11"/>
      <color rgb="FFC00000"/>
      <name val="Calibri"/>
      <family val="2"/>
      <scheme val="minor"/>
    </font>
    <font>
      <b/>
      <sz val="8"/>
      <name val="Calibri"/>
      <family val="2"/>
      <scheme val="minor"/>
    </font>
    <font>
      <sz val="9"/>
      <color theme="7" tint="-0.499984740745262"/>
      <name val="Calibri"/>
      <family val="2"/>
      <scheme val="minor"/>
    </font>
    <font>
      <sz val="10"/>
      <color theme="3"/>
      <name val="Calibri"/>
      <family val="2"/>
      <scheme val="minor"/>
    </font>
    <font>
      <sz val="12"/>
      <name val="Calibri"/>
      <family val="2"/>
      <scheme val="minor"/>
    </font>
    <font>
      <b/>
      <sz val="12"/>
      <color rgb="FFFF0000"/>
      <name val="Calibri"/>
      <family val="2"/>
      <scheme val="minor"/>
    </font>
    <font>
      <sz val="11"/>
      <color theme="9" tint="-0.499984740745262"/>
      <name val="Calibri"/>
      <family val="2"/>
      <scheme val="minor"/>
    </font>
    <font>
      <b/>
      <sz val="11"/>
      <color theme="9" tint="-0.499984740745262"/>
      <name val="Calibri"/>
      <family val="2"/>
      <scheme val="minor"/>
    </font>
    <font>
      <sz val="12"/>
      <color theme="9" tint="-0.499984740745262"/>
      <name val="Calibri"/>
      <family val="2"/>
      <scheme val="minor"/>
    </font>
    <font>
      <b/>
      <sz val="11"/>
      <color theme="9" tint="-0.249977111117893"/>
      <name val="Calibri"/>
      <family val="2"/>
      <scheme val="minor"/>
    </font>
    <font>
      <sz val="9"/>
      <color theme="0" tint="-0.499984740745262"/>
      <name val="Calibri"/>
      <family val="2"/>
      <scheme val="minor"/>
    </font>
    <font>
      <b/>
      <sz val="12"/>
      <color theme="9" tint="-0.499984740745262"/>
      <name val="Calibri"/>
      <family val="2"/>
      <scheme val="minor"/>
    </font>
    <font>
      <sz val="12"/>
      <color rgb="FFFF0000"/>
      <name val="Calibri"/>
      <family val="2"/>
      <scheme val="minor"/>
    </font>
    <font>
      <sz val="16"/>
      <name val="Calibri"/>
      <family val="2"/>
      <scheme val="minor"/>
    </font>
    <font>
      <sz val="8"/>
      <color rgb="FFBFBFBF"/>
      <name val="Calibri"/>
      <family val="2"/>
      <scheme val="minor"/>
    </font>
    <font>
      <sz val="11"/>
      <color rgb="FF0000FF"/>
      <name val="Calibri"/>
      <family val="2"/>
      <scheme val="minor"/>
    </font>
    <font>
      <sz val="14"/>
      <name val="Calibri"/>
      <family val="2"/>
      <scheme val="minor"/>
    </font>
    <font>
      <b/>
      <sz val="11"/>
      <color theme="7" tint="-0.499984740745262"/>
      <name val="Calibri"/>
      <family val="2"/>
      <scheme val="minor"/>
    </font>
    <font>
      <sz val="12"/>
      <color theme="1"/>
      <name val="Calibri"/>
      <family val="2"/>
      <scheme val="minor"/>
    </font>
    <font>
      <b/>
      <sz val="12"/>
      <color theme="1"/>
      <name val="Calibri"/>
      <family val="2"/>
      <scheme val="minor"/>
    </font>
    <font>
      <sz val="12"/>
      <color rgb="FFC00000"/>
      <name val="Calibri"/>
      <family val="2"/>
      <scheme val="minor"/>
    </font>
    <font>
      <b/>
      <sz val="14"/>
      <color rgb="FFC00000"/>
      <name val="Calibri"/>
      <family val="2"/>
      <scheme val="minor"/>
    </font>
    <font>
      <sz val="8"/>
      <color theme="9" tint="-0.499984740745262"/>
      <name val="Calibri"/>
      <family val="2"/>
      <scheme val="minor"/>
    </font>
    <font>
      <b/>
      <sz val="12"/>
      <color theme="9" tint="-0.249977111117893"/>
      <name val="Calibri"/>
      <family val="2"/>
      <scheme val="minor"/>
    </font>
    <font>
      <sz val="12"/>
      <color rgb="FF0000FF"/>
      <name val="Calibri"/>
      <family val="2"/>
      <scheme val="minor"/>
    </font>
    <font>
      <b/>
      <sz val="14"/>
      <color rgb="FF0000FF"/>
      <name val="Calibri"/>
      <family val="2"/>
      <scheme val="minor"/>
    </font>
    <font>
      <sz val="11"/>
      <color rgb="FF7030A0"/>
      <name val="Calibri"/>
      <family val="2"/>
      <scheme val="minor"/>
    </font>
    <font>
      <b/>
      <sz val="18"/>
      <name val="Calibri"/>
      <family val="2"/>
      <scheme val="minor"/>
    </font>
    <font>
      <i/>
      <sz val="11"/>
      <color theme="9" tint="-0.249977111117893"/>
      <name val="Calibri"/>
      <family val="2"/>
      <scheme val="minor"/>
    </font>
    <font>
      <b/>
      <sz val="14"/>
      <color theme="4"/>
      <name val="Calibri"/>
      <family val="2"/>
      <scheme val="minor"/>
    </font>
    <font>
      <sz val="12"/>
      <color rgb="FF0033CC"/>
      <name val="Calibri"/>
      <family val="2"/>
      <scheme val="minor"/>
    </font>
    <font>
      <b/>
      <sz val="12"/>
      <color indexed="12"/>
      <name val="Calibri"/>
      <family val="2"/>
      <scheme val="minor"/>
    </font>
    <font>
      <sz val="8"/>
      <name val="Arial"/>
      <family val="2"/>
    </font>
    <font>
      <u/>
      <sz val="11"/>
      <color theme="10"/>
      <name val="Calibri"/>
      <family val="2"/>
      <scheme val="minor"/>
    </font>
    <font>
      <b/>
      <sz val="14"/>
      <color theme="1"/>
      <name val="Calibri"/>
      <family val="2"/>
      <scheme val="minor"/>
    </font>
    <font>
      <b/>
      <sz val="14"/>
      <color theme="9" tint="-0.499984740745262"/>
      <name val="Calibri"/>
      <family val="2"/>
      <scheme val="minor"/>
    </font>
    <font>
      <sz val="9"/>
      <color theme="1" tint="0.34998626667073579"/>
      <name val="Calibri"/>
      <family val="2"/>
      <scheme val="minor"/>
    </font>
    <font>
      <sz val="9"/>
      <color theme="0"/>
      <name val="Calibri"/>
      <family val="2"/>
      <scheme val="minor"/>
    </font>
    <font>
      <b/>
      <sz val="10"/>
      <color rgb="FF0066FF"/>
      <name val="Calibri"/>
      <family val="2"/>
      <scheme val="minor"/>
    </font>
    <font>
      <sz val="12"/>
      <color rgb="FF0066FF"/>
      <name val="Calibri"/>
      <family val="2"/>
      <scheme val="minor"/>
    </font>
    <font>
      <sz val="11"/>
      <color theme="1" tint="0.34998626667073579"/>
      <name val="Calibri"/>
      <family val="2"/>
      <scheme val="minor"/>
    </font>
    <font>
      <b/>
      <sz val="10"/>
      <color rgb="FFC00000"/>
      <name val="Calibri"/>
      <family val="2"/>
      <scheme val="minor"/>
    </font>
    <font>
      <sz val="10"/>
      <color theme="1" tint="0.34998626667073579"/>
      <name val="Calibri"/>
      <family val="2"/>
      <scheme val="minor"/>
    </font>
    <font>
      <sz val="11"/>
      <color indexed="12"/>
      <name val="Calibri"/>
      <family val="2"/>
      <scheme val="minor"/>
    </font>
    <font>
      <b/>
      <sz val="10"/>
      <color rgb="FFFF0000"/>
      <name val="Calibri"/>
      <family val="2"/>
      <scheme val="minor"/>
    </font>
    <font>
      <b/>
      <sz val="11"/>
      <color indexed="12"/>
      <name val="Calibri"/>
      <family val="2"/>
      <scheme val="minor"/>
    </font>
    <font>
      <b/>
      <sz val="14"/>
      <color indexed="14"/>
      <name val="Calibri"/>
      <family val="2"/>
      <scheme val="minor"/>
    </font>
    <font>
      <sz val="12"/>
      <color rgb="FF00BC55"/>
      <name val="Calibri"/>
      <family val="2"/>
      <scheme val="minor"/>
    </font>
    <font>
      <i/>
      <sz val="11"/>
      <color rgb="FF0000FF"/>
      <name val="Calibri"/>
      <family val="2"/>
      <scheme val="minor"/>
    </font>
    <font>
      <sz val="11"/>
      <color rgb="FF0033CC"/>
      <name val="Calibri"/>
      <family val="2"/>
      <scheme val="minor"/>
    </font>
    <font>
      <sz val="10"/>
      <color theme="5" tint="-0.499984740745262"/>
      <name val="Calibri"/>
      <family val="2"/>
      <scheme val="minor"/>
    </font>
    <font>
      <b/>
      <sz val="11"/>
      <color rgb="FFFF0000"/>
      <name val="Calibri"/>
      <family val="2"/>
      <scheme val="minor"/>
    </font>
    <font>
      <b/>
      <sz val="11"/>
      <color theme="5" tint="-0.499984740745262"/>
      <name val="Calibri"/>
      <family val="2"/>
      <scheme val="minor"/>
    </font>
    <font>
      <i/>
      <sz val="14"/>
      <color rgb="FF0033CC"/>
      <name val="Calibri"/>
      <family val="2"/>
      <scheme val="minor"/>
    </font>
    <font>
      <i/>
      <sz val="12"/>
      <color theme="1"/>
      <name val="Calibri"/>
      <family val="2"/>
      <scheme val="minor"/>
    </font>
    <font>
      <sz val="14"/>
      <color theme="1"/>
      <name val="Calibri"/>
      <family val="2"/>
      <scheme val="minor"/>
    </font>
    <font>
      <sz val="10"/>
      <color rgb="FF0033CC"/>
      <name val="Calibri"/>
      <family val="2"/>
      <scheme val="minor"/>
    </font>
    <font>
      <b/>
      <sz val="12"/>
      <color rgb="FF0033CC"/>
      <name val="Calibri"/>
      <family val="2"/>
      <scheme val="minor"/>
    </font>
    <font>
      <b/>
      <sz val="12"/>
      <color rgb="FFC00000"/>
      <name val="Calibri"/>
      <family val="2"/>
      <scheme val="minor"/>
    </font>
    <font>
      <sz val="12"/>
      <color indexed="12"/>
      <name val="Calibri"/>
      <family val="2"/>
      <scheme val="minor"/>
    </font>
    <font>
      <b/>
      <sz val="11"/>
      <color rgb="FF548235"/>
      <name val="Calibri"/>
      <family val="2"/>
      <scheme val="minor"/>
    </font>
    <font>
      <sz val="11"/>
      <color theme="7" tint="-0.499984740745262"/>
      <name val="Calibri"/>
      <family val="2"/>
      <scheme val="minor"/>
    </font>
    <font>
      <b/>
      <sz val="12"/>
      <color rgb="FF548235"/>
      <name val="Calibri"/>
      <family val="2"/>
      <scheme val="minor"/>
    </font>
    <font>
      <i/>
      <sz val="12"/>
      <name val="Calibri"/>
      <family val="2"/>
      <scheme val="minor"/>
    </font>
    <font>
      <sz val="12"/>
      <color rgb="FF0070C0"/>
      <name val="Calibri"/>
      <family val="2"/>
      <scheme val="minor"/>
    </font>
    <font>
      <sz val="8"/>
      <color theme="0" tint="-0.34998626667073579"/>
      <name val="Calibri"/>
      <family val="2"/>
      <scheme val="minor"/>
    </font>
    <font>
      <b/>
      <sz val="18"/>
      <color theme="1"/>
      <name val="Calibri"/>
      <family val="2"/>
      <scheme val="minor"/>
    </font>
    <font>
      <sz val="10"/>
      <color theme="1"/>
      <name val="Arial Unicode MS"/>
    </font>
    <font>
      <b/>
      <sz val="12"/>
      <color indexed="10"/>
      <name val="Calibri"/>
      <family val="2"/>
      <scheme val="minor"/>
    </font>
    <font>
      <sz val="10"/>
      <color rgb="FFC00000"/>
      <name val="Calibri"/>
      <family val="2"/>
      <scheme val="minor"/>
    </font>
    <font>
      <sz val="9"/>
      <color theme="3"/>
      <name val="Calibri"/>
      <family val="2"/>
      <scheme val="minor"/>
    </font>
    <font>
      <b/>
      <sz val="10"/>
      <color theme="1" tint="0.34998626667073579"/>
      <name val="Calibri"/>
      <family val="2"/>
      <scheme val="minor"/>
    </font>
    <font>
      <b/>
      <sz val="10"/>
      <color theme="1" tint="0.499984740745262"/>
      <name val="Calibri"/>
      <family val="2"/>
      <scheme val="minor"/>
    </font>
    <font>
      <sz val="8"/>
      <color theme="1" tint="0.499984740745262"/>
      <name val="Calibri"/>
      <family val="2"/>
      <scheme val="minor"/>
    </font>
    <font>
      <b/>
      <i/>
      <sz val="11"/>
      <color theme="5" tint="-0.249977111117893"/>
      <name val="Calibri"/>
      <family val="2"/>
      <scheme val="minor"/>
    </font>
    <font>
      <sz val="16"/>
      <color rgb="FFC00000"/>
      <name val="Calibri"/>
      <family val="2"/>
      <scheme val="minor"/>
    </font>
    <font>
      <b/>
      <sz val="12"/>
      <color theme="1" tint="0.499984740745262"/>
      <name val="Calibri"/>
      <family val="2"/>
      <scheme val="minor"/>
    </font>
    <font>
      <sz val="8"/>
      <color theme="1"/>
      <name val="Calibri"/>
      <family val="2"/>
      <scheme val="minor"/>
    </font>
    <font>
      <sz val="9"/>
      <color rgb="FF0000FF"/>
      <name val="Calibri"/>
      <family val="2"/>
      <scheme val="minor"/>
    </font>
    <font>
      <b/>
      <sz val="16"/>
      <color rgb="FF0033CC"/>
      <name val="Calibri"/>
      <family val="2"/>
      <scheme val="minor"/>
    </font>
    <font>
      <b/>
      <sz val="11"/>
      <color indexed="10"/>
      <name val="Calibri"/>
      <family val="2"/>
      <scheme val="minor"/>
    </font>
    <font>
      <b/>
      <sz val="10"/>
      <color indexed="12"/>
      <name val="Calibri"/>
      <family val="2"/>
      <scheme val="minor"/>
    </font>
    <font>
      <b/>
      <sz val="14"/>
      <color theme="5" tint="-0.499984740745262"/>
      <name val="Calibri"/>
      <family val="2"/>
      <scheme val="minor"/>
    </font>
    <font>
      <b/>
      <sz val="11"/>
      <color rgb="FF0033CC"/>
      <name val="Calibri"/>
      <family val="2"/>
      <scheme val="minor"/>
    </font>
    <font>
      <sz val="11"/>
      <color rgb="FF0563C1"/>
      <name val="Calibri"/>
      <family val="2"/>
      <scheme val="minor"/>
    </font>
    <font>
      <sz val="11"/>
      <color rgb="FF0066FF"/>
      <name val="Calibri"/>
      <family val="2"/>
      <scheme val="minor"/>
    </font>
    <font>
      <sz val="11"/>
      <color rgb="FFC00000"/>
      <name val="Calibri"/>
      <family val="2"/>
      <scheme val="minor"/>
    </font>
    <font>
      <sz val="11"/>
      <color theme="5" tint="-0.499984740745262"/>
      <name val="Calibri"/>
      <family val="2"/>
      <scheme val="minor"/>
    </font>
    <font>
      <sz val="14"/>
      <color theme="0" tint="-0.14999847407452621"/>
      <name val="Calibri"/>
      <family val="2"/>
      <scheme val="minor"/>
    </font>
    <font>
      <sz val="14"/>
      <color theme="0" tint="-0.249977111117893"/>
      <name val="Calibri"/>
      <family val="2"/>
      <scheme val="minor"/>
    </font>
    <font>
      <b/>
      <sz val="16"/>
      <name val="Calibri"/>
      <family val="2"/>
      <scheme val="minor"/>
    </font>
    <font>
      <b/>
      <sz val="16"/>
      <color theme="1"/>
      <name val="Calibri"/>
      <family val="2"/>
      <scheme val="minor"/>
    </font>
    <font>
      <b/>
      <sz val="10"/>
      <color theme="1"/>
      <name val="Calibri"/>
      <family val="2"/>
      <scheme val="minor"/>
    </font>
    <font>
      <i/>
      <sz val="14"/>
      <name val="Calibri"/>
      <family val="2"/>
      <scheme val="minor"/>
    </font>
    <font>
      <b/>
      <sz val="16"/>
      <color rgb="FFFF0000"/>
      <name val="Calibri"/>
      <family val="2"/>
      <scheme val="minor"/>
    </font>
    <font>
      <b/>
      <i/>
      <sz val="14"/>
      <name val="Calibri"/>
      <family val="2"/>
      <scheme val="minor"/>
    </font>
    <font>
      <sz val="12"/>
      <color theme="0" tint="-0.249977111117893"/>
      <name val="Calibri"/>
      <family val="2"/>
      <scheme val="minor"/>
    </font>
    <font>
      <b/>
      <sz val="12"/>
      <color rgb="FF7030A0"/>
      <name val="Calibri"/>
      <family val="2"/>
      <scheme val="minor"/>
    </font>
    <font>
      <u/>
      <sz val="14"/>
      <color theme="10"/>
      <name val="Calibri"/>
      <family val="2"/>
      <scheme val="minor"/>
    </font>
    <font>
      <sz val="9"/>
      <color theme="9" tint="-0.249977111117893"/>
      <name val="Calibri"/>
      <family val="2"/>
      <scheme val="minor"/>
    </font>
    <font>
      <sz val="16"/>
      <color theme="1"/>
      <name val="Calibri"/>
      <family val="2"/>
      <scheme val="minor"/>
    </font>
    <font>
      <b/>
      <sz val="10"/>
      <color rgb="FF0000FF"/>
      <name val="Calibri"/>
      <family val="2"/>
      <scheme val="minor"/>
    </font>
    <font>
      <b/>
      <sz val="12"/>
      <color rgb="FF0070C0"/>
      <name val="Calibri"/>
      <family val="2"/>
      <scheme val="minor"/>
    </font>
    <font>
      <sz val="12"/>
      <name val="Calibri"/>
      <family val="2"/>
    </font>
    <font>
      <sz val="11"/>
      <name val="Calibri"/>
      <family val="2"/>
    </font>
    <font>
      <b/>
      <sz val="11"/>
      <color rgb="FF000000"/>
      <name val="Calibri"/>
      <family val="2"/>
      <scheme val="minor"/>
    </font>
    <font>
      <b/>
      <sz val="18"/>
      <color rgb="FF0000FF"/>
      <name val="Calibri"/>
      <family val="2"/>
      <scheme val="minor"/>
    </font>
    <font>
      <b/>
      <sz val="14"/>
      <color indexed="12"/>
      <name val="Calibri"/>
      <family val="2"/>
      <scheme val="minor"/>
    </font>
    <font>
      <b/>
      <sz val="9"/>
      <color rgb="FFC00000"/>
      <name val="Calibri"/>
      <family val="2"/>
      <scheme val="minor"/>
    </font>
    <font>
      <sz val="16"/>
      <color theme="0"/>
      <name val="Calibri"/>
      <family val="2"/>
      <scheme val="minor"/>
    </font>
    <font>
      <sz val="14"/>
      <color theme="0"/>
      <name val="Calibri"/>
      <family val="2"/>
      <scheme val="minor"/>
    </font>
    <font>
      <b/>
      <sz val="14"/>
      <color rgb="FFFFFF00"/>
      <name val="Calibri"/>
      <family val="2"/>
      <scheme val="minor"/>
    </font>
    <font>
      <b/>
      <sz val="22"/>
      <color theme="1"/>
      <name val="Calibri"/>
      <family val="2"/>
      <scheme val="minor"/>
    </font>
    <font>
      <b/>
      <sz val="18"/>
      <color rgb="FFC00000"/>
      <name val="Calibri"/>
      <family val="2"/>
      <scheme val="minor"/>
    </font>
    <font>
      <sz val="12"/>
      <color theme="0" tint="-4.9989318521683403E-2"/>
      <name val="Calibri"/>
      <family val="2"/>
      <scheme val="minor"/>
    </font>
    <font>
      <b/>
      <sz val="14"/>
      <color theme="0" tint="-4.9989318521683403E-2"/>
      <name val="Calibri"/>
      <family val="2"/>
      <scheme val="minor"/>
    </font>
    <font>
      <b/>
      <sz val="22"/>
      <color theme="0"/>
      <name val="Calibri"/>
      <family val="2"/>
      <scheme val="minor"/>
    </font>
    <font>
      <b/>
      <sz val="48"/>
      <color rgb="FFC00000"/>
      <name val="Calibri"/>
      <family val="2"/>
      <scheme val="minor"/>
    </font>
    <font>
      <b/>
      <sz val="12"/>
      <name val="Calibri"/>
      <family val="2"/>
    </font>
    <font>
      <b/>
      <sz val="20"/>
      <color rgb="FFFF0000"/>
      <name val="Calibri"/>
      <family val="2"/>
      <scheme val="minor"/>
    </font>
    <font>
      <b/>
      <sz val="16"/>
      <color theme="9" tint="-0.499984740745262"/>
      <name val="Calibri"/>
      <family val="2"/>
      <scheme val="minor"/>
    </font>
    <font>
      <sz val="8"/>
      <name val="Calibri"/>
      <family val="2"/>
      <scheme val="minor"/>
    </font>
    <font>
      <b/>
      <sz val="10"/>
      <color rgb="FFA20000"/>
      <name val="Calibri"/>
      <family val="2"/>
      <scheme val="minor"/>
    </font>
    <font>
      <b/>
      <sz val="12"/>
      <color rgb="FFA20000"/>
      <name val="Calibri"/>
      <family val="2"/>
      <scheme val="minor"/>
    </font>
    <font>
      <i/>
      <sz val="16"/>
      <name val="Calibri"/>
      <family val="2"/>
      <scheme val="minor"/>
    </font>
    <font>
      <b/>
      <i/>
      <sz val="16"/>
      <name val="Calibri"/>
      <family val="2"/>
      <scheme val="minor"/>
    </font>
    <font>
      <b/>
      <sz val="20"/>
      <color rgb="FFC00000"/>
      <name val="Calibri"/>
      <family val="2"/>
      <scheme val="minor"/>
    </font>
    <font>
      <sz val="14"/>
      <color theme="7" tint="0.39997558519241921"/>
      <name val="Calibri"/>
      <family val="2"/>
      <scheme val="minor"/>
    </font>
    <font>
      <sz val="10"/>
      <color theme="9" tint="-0.499984740745262"/>
      <name val="Calibri"/>
      <family val="2"/>
      <scheme val="minor"/>
    </font>
    <font>
      <sz val="10"/>
      <color rgb="FF7030A0"/>
      <name val="Calibri"/>
      <family val="2"/>
      <scheme val="minor"/>
    </font>
    <font>
      <u/>
      <sz val="12"/>
      <color theme="10"/>
      <name val="Calibri"/>
      <family val="2"/>
      <scheme val="minor"/>
    </font>
    <font>
      <b/>
      <sz val="14"/>
      <color rgb="FFFF0000"/>
      <name val="Calibri"/>
      <family val="2"/>
      <scheme val="minor"/>
    </font>
    <font>
      <b/>
      <u/>
      <sz val="11"/>
      <color rgb="FFC00000"/>
      <name val="Calibri"/>
      <family val="2"/>
      <scheme val="minor"/>
    </font>
    <font>
      <b/>
      <sz val="16"/>
      <color theme="5" tint="-0.249977111117893"/>
      <name val="Calibri"/>
      <family val="2"/>
      <scheme val="minor"/>
    </font>
    <font>
      <b/>
      <sz val="13.5"/>
      <color theme="1"/>
      <name val="Calibri"/>
      <family val="2"/>
      <scheme val="minor"/>
    </font>
    <font>
      <u/>
      <sz val="14"/>
      <color rgb="FF0000FF"/>
      <name val="Calibri"/>
      <family val="2"/>
      <scheme val="minor"/>
    </font>
    <font>
      <b/>
      <sz val="11"/>
      <color rgb="FF0070C0"/>
      <name val="Calibri"/>
      <family val="2"/>
      <scheme val="minor"/>
    </font>
    <font>
      <b/>
      <sz val="10"/>
      <color theme="0"/>
      <name val="Calibri"/>
      <family val="2"/>
      <scheme val="minor"/>
    </font>
    <font>
      <b/>
      <sz val="20"/>
      <color theme="9" tint="-0.249977111117893"/>
      <name val="Calibri"/>
      <family val="2"/>
      <scheme val="minor"/>
    </font>
    <font>
      <b/>
      <sz val="48"/>
      <name val="Calibri"/>
      <family val="2"/>
      <scheme val="minor"/>
    </font>
    <font>
      <i/>
      <sz val="9"/>
      <name val="Calibri"/>
      <family val="2"/>
    </font>
    <font>
      <i/>
      <sz val="11"/>
      <name val="Calibri"/>
      <family val="2"/>
    </font>
    <font>
      <sz val="9"/>
      <name val="Calibri"/>
      <family val="2"/>
    </font>
    <font>
      <sz val="10"/>
      <color theme="0"/>
      <name val="Arial"/>
      <family val="2"/>
    </font>
    <font>
      <sz val="22"/>
      <color rgb="FF92D050"/>
      <name val="Verdana"/>
      <family val="2"/>
    </font>
    <font>
      <b/>
      <sz val="28"/>
      <color rgb="FFFFFF00"/>
      <name val="Calibri"/>
      <family val="2"/>
      <scheme val="minor"/>
    </font>
    <font>
      <b/>
      <sz val="1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22"/>
      <color rgb="FFFFFF00"/>
      <name val="Arial"/>
      <family val="2"/>
    </font>
    <font>
      <b/>
      <i/>
      <sz val="20"/>
      <color theme="0"/>
      <name val="Arial"/>
      <family val="2"/>
    </font>
    <font>
      <i/>
      <sz val="22"/>
      <color theme="0"/>
      <name val="Verdana"/>
      <family val="2"/>
    </font>
    <font>
      <i/>
      <sz val="18"/>
      <color theme="0"/>
      <name val="Verdana"/>
      <family val="2"/>
    </font>
    <font>
      <sz val="22"/>
      <color rgb="FF7030A0"/>
      <name val="Arial"/>
      <family val="2"/>
    </font>
    <font>
      <sz val="22"/>
      <name val="Arial"/>
      <family val="2"/>
    </font>
    <font>
      <u/>
      <sz val="22"/>
      <color theme="10"/>
      <name val="Calibri"/>
      <family val="2"/>
      <scheme val="minor"/>
    </font>
    <font>
      <sz val="22"/>
      <color theme="1"/>
      <name val="Calibri"/>
      <family val="2"/>
      <scheme val="minor"/>
    </font>
    <font>
      <sz val="24"/>
      <name val="Arial"/>
      <family val="2"/>
    </font>
    <font>
      <sz val="24"/>
      <color theme="1"/>
      <name val="Calibri"/>
      <family val="2"/>
      <scheme val="minor"/>
    </font>
    <font>
      <sz val="22"/>
      <color rgb="FFFFFF00"/>
      <name val="Verdana"/>
      <family val="2"/>
    </font>
    <font>
      <sz val="16"/>
      <color theme="0"/>
      <name val="Verdana"/>
      <family val="2"/>
    </font>
    <font>
      <sz val="20"/>
      <color theme="0"/>
      <name val="Verdana"/>
      <family val="2"/>
    </font>
    <font>
      <b/>
      <sz val="20"/>
      <color rgb="FF92D050"/>
      <name val="Verdana"/>
      <family val="2"/>
    </font>
    <font>
      <sz val="20"/>
      <color rgb="FF7030A0"/>
      <name val="Arial"/>
      <family val="2"/>
    </font>
    <font>
      <sz val="20"/>
      <name val="Arial"/>
      <family val="2"/>
    </font>
    <font>
      <sz val="22"/>
      <color theme="0"/>
      <name val="Arial"/>
      <family val="2"/>
    </font>
    <font>
      <sz val="22"/>
      <color theme="0"/>
      <name val="Calibri"/>
      <family val="2"/>
    </font>
    <font>
      <sz val="18"/>
      <color rgb="FFFFFF00"/>
      <name val="Verdana"/>
      <family val="2"/>
    </font>
    <font>
      <sz val="14"/>
      <color rgb="FF92D050"/>
      <name val="Calibri"/>
      <family val="2"/>
    </font>
    <font>
      <i/>
      <sz val="22"/>
      <color rgb="FF92D050"/>
      <name val="Verdana"/>
      <family val="2"/>
    </font>
    <font>
      <b/>
      <sz val="16"/>
      <name val="Calibri"/>
      <family val="2"/>
    </font>
    <font>
      <b/>
      <sz val="20"/>
      <color rgb="FF92D050"/>
      <name val="Arial"/>
      <family val="2"/>
    </font>
    <font>
      <sz val="18"/>
      <color theme="0"/>
      <name val="Verdana"/>
      <family val="2"/>
    </font>
    <font>
      <sz val="16"/>
      <name val="Arial"/>
      <family val="2"/>
    </font>
    <font>
      <sz val="22"/>
      <color rgb="FFFFFF00"/>
      <name val="Arial"/>
      <family val="2"/>
    </font>
    <font>
      <sz val="14"/>
      <color theme="0"/>
      <name val="Arial"/>
      <family val="2"/>
    </font>
    <font>
      <i/>
      <sz val="14"/>
      <name val="Verdana"/>
      <family val="2"/>
    </font>
    <font>
      <sz val="22"/>
      <name val="Verdana"/>
      <family val="2"/>
    </font>
    <font>
      <b/>
      <sz val="18"/>
      <color rgb="FFC00000"/>
      <name val="Verdana"/>
      <family val="2"/>
    </font>
    <font>
      <b/>
      <u/>
      <sz val="18"/>
      <color theme="10"/>
      <name val="Calibri"/>
      <family val="2"/>
      <scheme val="minor"/>
    </font>
    <font>
      <sz val="20"/>
      <name val="Verdana"/>
      <family val="2"/>
    </font>
    <font>
      <u/>
      <sz val="10"/>
      <color indexed="12"/>
      <name val="Arial"/>
      <family val="2"/>
    </font>
    <font>
      <u/>
      <sz val="22"/>
      <color theme="0"/>
      <name val="Arial"/>
      <family val="2"/>
    </font>
    <font>
      <sz val="20"/>
      <color theme="0"/>
      <name val="Arial"/>
      <family val="2"/>
    </font>
    <font>
      <b/>
      <sz val="16"/>
      <color theme="9" tint="-0.249977111117893"/>
      <name val="Calibri"/>
      <family val="2"/>
      <scheme val="minor"/>
    </font>
    <font>
      <sz val="16"/>
      <color rgb="FF0000FF"/>
      <name val="Calibri"/>
      <family val="2"/>
      <scheme val="minor"/>
    </font>
    <font>
      <sz val="16"/>
      <color rgb="FFBFBFBF"/>
      <name val="Calibri"/>
      <family val="2"/>
      <scheme val="minor"/>
    </font>
    <font>
      <sz val="16"/>
      <color theme="9" tint="-0.249977111117893"/>
      <name val="Calibri"/>
      <family val="2"/>
      <scheme val="minor"/>
    </font>
    <font>
      <sz val="22"/>
      <color theme="1"/>
      <name val="Verdana"/>
      <family val="2"/>
    </font>
    <font>
      <u/>
      <sz val="18"/>
      <color theme="10"/>
      <name val="Calibri"/>
      <family val="2"/>
      <scheme val="minor"/>
    </font>
    <font>
      <sz val="20"/>
      <color theme="0"/>
      <name val="Calibri"/>
      <family val="2"/>
      <scheme val="minor"/>
    </font>
    <font>
      <sz val="20"/>
      <color theme="1" tint="0.249977111117893"/>
      <name val="Arial"/>
      <family val="2"/>
    </font>
    <font>
      <sz val="8"/>
      <color theme="1" tint="0.249977111117893"/>
      <name val="Arial"/>
      <family val="2"/>
    </font>
    <font>
      <u/>
      <sz val="20"/>
      <color theme="10"/>
      <name val="Calibri"/>
      <family val="2"/>
      <scheme val="minor"/>
    </font>
    <font>
      <sz val="20"/>
      <color theme="0" tint="-0.14999847407452621"/>
      <name val="Calibri"/>
      <family val="2"/>
      <scheme val="minor"/>
    </font>
    <font>
      <sz val="20"/>
      <color theme="1"/>
      <name val="Calibri"/>
      <family val="2"/>
      <scheme val="minor"/>
    </font>
    <font>
      <sz val="20"/>
      <name val="Calibri"/>
      <family val="2"/>
      <scheme val="minor"/>
    </font>
    <font>
      <b/>
      <sz val="20"/>
      <color theme="0"/>
      <name val="Calibri"/>
      <family val="2"/>
    </font>
    <font>
      <sz val="8"/>
      <color indexed="53"/>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4"/>
      <color theme="1"/>
      <name val="Arial"/>
      <family val="2"/>
    </font>
    <font>
      <b/>
      <sz val="14"/>
      <color theme="1"/>
      <name val="Arial"/>
      <family val="2"/>
    </font>
    <font>
      <u/>
      <sz val="14"/>
      <color theme="10"/>
      <name val="Arial"/>
      <family val="2"/>
    </font>
    <font>
      <b/>
      <sz val="16"/>
      <color theme="1"/>
      <name val="Arial"/>
      <family val="2"/>
    </font>
    <font>
      <sz val="8"/>
      <color theme="0"/>
      <name val="Arial"/>
      <family val="2"/>
    </font>
    <font>
      <u/>
      <sz val="16"/>
      <color theme="10"/>
      <name val="Calibri"/>
      <family val="2"/>
      <scheme val="minor"/>
    </font>
    <font>
      <b/>
      <sz val="16"/>
      <color theme="1"/>
      <name val="Garamond"/>
      <family val="1"/>
    </font>
    <font>
      <sz val="16"/>
      <color theme="1"/>
      <name val="Garamond"/>
      <family val="1"/>
    </font>
    <font>
      <u/>
      <sz val="16"/>
      <color theme="10"/>
      <name val="Garamond"/>
      <family val="1"/>
    </font>
    <font>
      <sz val="16"/>
      <color theme="1"/>
      <name val="Cambria"/>
      <family val="1"/>
    </font>
    <font>
      <b/>
      <sz val="16"/>
      <color theme="1"/>
      <name val="Cambria"/>
      <family val="1"/>
    </font>
    <font>
      <i/>
      <sz val="14"/>
      <name val="Calibri"/>
      <family val="2"/>
    </font>
    <font>
      <i/>
      <sz val="16"/>
      <name val="Calibri"/>
      <family val="2"/>
    </font>
    <font>
      <sz val="12"/>
      <name val="Arial"/>
      <family val="2"/>
    </font>
    <font>
      <sz val="24"/>
      <color theme="0"/>
      <name val="Calibri"/>
      <family val="2"/>
      <scheme val="minor"/>
    </font>
    <font>
      <sz val="22"/>
      <color rgb="FF0000FF"/>
      <name val="Calibri"/>
      <family val="2"/>
      <scheme val="minor"/>
    </font>
    <font>
      <sz val="24"/>
      <color rgb="FF0000FF"/>
      <name val="Calibri"/>
      <family val="2"/>
      <scheme val="minor"/>
    </font>
    <font>
      <sz val="20"/>
      <color rgb="FF0000FF"/>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10"/>
      <name val="MS Sans Serif"/>
    </font>
    <font>
      <sz val="22"/>
      <color indexed="12"/>
      <name val="Arial"/>
      <family val="2"/>
    </font>
    <font>
      <b/>
      <sz val="22"/>
      <color theme="0"/>
      <name val="Calibri"/>
      <family val="2"/>
    </font>
    <font>
      <b/>
      <sz val="22"/>
      <name val="Calibr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6"/>
      <color theme="1"/>
      <name val="Arial"/>
      <family val="2"/>
    </font>
    <font>
      <b/>
      <u/>
      <sz val="11"/>
      <color theme="10"/>
      <name val="Calibri"/>
      <family val="2"/>
      <scheme val="minor"/>
    </font>
    <font>
      <sz val="11"/>
      <color theme="10"/>
      <name val="Calibri"/>
      <family val="2"/>
      <scheme val="minor"/>
    </font>
    <font>
      <sz val="18"/>
      <color theme="0" tint="-0.14999847407452621"/>
      <name val="Calibri"/>
      <family val="2"/>
      <scheme val="minor"/>
    </font>
    <font>
      <sz val="18"/>
      <color theme="0" tint="-0.249977111117893"/>
      <name val="Calibri"/>
      <family val="2"/>
      <scheme val="minor"/>
    </font>
    <font>
      <sz val="18"/>
      <name val="Calibri"/>
      <family val="2"/>
      <scheme val="minor"/>
    </font>
    <font>
      <sz val="18"/>
      <color theme="1"/>
      <name val="Calibri"/>
      <family val="2"/>
      <scheme val="minor"/>
    </font>
    <font>
      <i/>
      <sz val="18"/>
      <name val="Calibri"/>
      <family val="2"/>
      <scheme val="minor"/>
    </font>
    <font>
      <b/>
      <i/>
      <sz val="18"/>
      <name val="Calibri"/>
      <family val="2"/>
      <scheme val="minor"/>
    </font>
    <font>
      <sz val="18"/>
      <color theme="7" tint="0.39997558519241921"/>
      <name val="Calibri"/>
      <family val="2"/>
      <scheme val="minor"/>
    </font>
    <font>
      <b/>
      <sz val="12"/>
      <color theme="7" tint="-0.499984740745262"/>
      <name val="Calibri"/>
      <family val="2"/>
      <scheme val="minor"/>
    </font>
    <font>
      <b/>
      <sz val="10"/>
      <color theme="7" tint="-0.499984740745262"/>
      <name val="Calibri"/>
      <family val="2"/>
      <scheme val="minor"/>
    </font>
    <font>
      <sz val="12"/>
      <color theme="7" tint="-0.499984740745262"/>
      <name val="Calibri"/>
      <family val="2"/>
      <scheme val="minor"/>
    </font>
    <font>
      <b/>
      <sz val="18"/>
      <color theme="7" tint="-0.499984740745262"/>
      <name val="Calibri"/>
      <family val="2"/>
      <scheme val="minor"/>
    </font>
    <font>
      <b/>
      <sz val="18"/>
      <color theme="9" tint="-0.249977111117893"/>
      <name val="Calibri"/>
      <family val="2"/>
      <scheme val="minor"/>
    </font>
    <font>
      <b/>
      <sz val="14"/>
      <color indexed="61"/>
      <name val="Calibri"/>
      <family val="2"/>
      <scheme val="minor"/>
    </font>
    <font>
      <b/>
      <sz val="14"/>
      <color theme="1" tint="0.499984740745262"/>
      <name val="Calibri"/>
      <family val="2"/>
      <scheme val="minor"/>
    </font>
    <font>
      <sz val="12"/>
      <color theme="5" tint="-0.499984740745262"/>
      <name val="Calibri"/>
      <family val="2"/>
      <scheme val="minor"/>
    </font>
    <font>
      <i/>
      <sz val="11"/>
      <color theme="5" tint="-0.499984740745262"/>
      <name val="Calibri"/>
      <family val="2"/>
      <scheme val="minor"/>
    </font>
    <font>
      <sz val="12"/>
      <color rgb="FF993366"/>
      <name val="Calibri"/>
      <family val="2"/>
      <scheme val="minor"/>
    </font>
    <font>
      <b/>
      <sz val="14"/>
      <color theme="0"/>
      <name val="Calibri"/>
      <family val="2"/>
    </font>
    <font>
      <b/>
      <sz val="24.2"/>
      <color rgb="FFEC3468"/>
      <name val="Times New Roman"/>
      <family val="1"/>
    </font>
    <font>
      <b/>
      <u/>
      <sz val="12"/>
      <color theme="10"/>
      <name val="Calibri"/>
      <family val="2"/>
      <scheme val="minor"/>
    </font>
    <font>
      <i/>
      <sz val="11"/>
      <color theme="1"/>
      <name val="Calibri"/>
      <family val="2"/>
      <scheme val="minor"/>
    </font>
    <font>
      <b/>
      <i/>
      <sz val="12"/>
      <color theme="1"/>
      <name val="Calibri"/>
      <family val="2"/>
      <scheme val="minor"/>
    </font>
    <font>
      <b/>
      <i/>
      <sz val="11"/>
      <color theme="5" tint="-0.499984740745262"/>
      <name val="Calibri"/>
      <family val="2"/>
      <scheme val="minor"/>
    </font>
    <font>
      <b/>
      <sz val="18"/>
      <color rgb="FF339933"/>
      <name val="Calibri"/>
      <family val="2"/>
      <scheme val="minor"/>
    </font>
    <font>
      <sz val="10"/>
      <color rgb="FFB40000"/>
      <name val="Calibri"/>
      <family val="2"/>
      <scheme val="minor"/>
    </font>
    <font>
      <sz val="8"/>
      <color theme="1" tint="0.34998626667073579"/>
      <name val="Calibri"/>
      <family val="2"/>
      <scheme val="minor"/>
    </font>
    <font>
      <i/>
      <sz val="16"/>
      <color rgb="FFFF0000"/>
      <name val="Calibri"/>
      <family val="2"/>
      <scheme val="minor"/>
    </font>
    <font>
      <sz val="8"/>
      <color theme="0" tint="-0.499984740745262"/>
      <name val="Calibri"/>
      <family val="2"/>
      <scheme val="minor"/>
    </font>
    <font>
      <b/>
      <u/>
      <sz val="16"/>
      <color theme="10"/>
      <name val="Calibri"/>
      <family val="2"/>
      <scheme val="minor"/>
    </font>
    <font>
      <b/>
      <u/>
      <sz val="14"/>
      <name val="Calibri"/>
      <family val="2"/>
      <scheme val="minor"/>
    </font>
    <font>
      <sz val="14"/>
      <color rgb="FF0033CC"/>
      <name val="Calibri"/>
      <family val="2"/>
      <scheme val="minor"/>
    </font>
    <font>
      <b/>
      <sz val="18"/>
      <color rgb="FFFF0000"/>
      <name val="Calibri"/>
      <family val="2"/>
      <scheme val="minor"/>
    </font>
    <font>
      <sz val="8"/>
      <color rgb="FFC00000"/>
      <name val="Calibri"/>
      <family val="2"/>
      <scheme val="minor"/>
    </font>
    <font>
      <sz val="10"/>
      <color indexed="12"/>
      <name val="Calibri"/>
      <family val="2"/>
      <scheme val="minor"/>
    </font>
    <font>
      <b/>
      <sz val="24"/>
      <color theme="9" tint="-0.249977111117893"/>
      <name val="Calibri"/>
      <family val="2"/>
      <scheme val="minor"/>
    </font>
    <font>
      <b/>
      <sz val="36"/>
      <color theme="9" tint="-0.249977111117893"/>
      <name val="Calibri"/>
      <family val="2"/>
      <scheme val="minor"/>
    </font>
    <font>
      <sz val="8"/>
      <color theme="0" tint="-4.9989318521683403E-2"/>
      <name val="Calibri"/>
      <family val="2"/>
      <scheme val="minor"/>
    </font>
    <font>
      <b/>
      <sz val="22"/>
      <color rgb="FFC00000"/>
      <name val="Calibri"/>
      <family val="2"/>
      <scheme val="minor"/>
    </font>
    <font>
      <b/>
      <sz val="24"/>
      <color theme="0"/>
      <name val="Calibri"/>
      <family val="2"/>
      <scheme val="minor"/>
    </font>
    <font>
      <sz val="10"/>
      <color theme="0"/>
      <name val="Calibri"/>
      <family val="2"/>
      <scheme val="minor"/>
    </font>
    <font>
      <b/>
      <sz val="16"/>
      <color theme="2" tint="-0.749992370372631"/>
      <name val="Calibri"/>
      <family val="2"/>
      <scheme val="minor"/>
    </font>
    <font>
      <sz val="8"/>
      <color theme="7" tint="0.39997558519241921"/>
      <name val="Calibri"/>
      <family val="2"/>
      <scheme val="minor"/>
    </font>
    <font>
      <b/>
      <sz val="26"/>
      <name val="Calibri"/>
      <family val="2"/>
      <scheme val="minor"/>
    </font>
    <font>
      <b/>
      <sz val="12"/>
      <color theme="0"/>
      <name val="Arial"/>
      <family val="2"/>
    </font>
    <font>
      <sz val="11"/>
      <color theme="8" tint="-0.499984740745262"/>
      <name val="Calibri"/>
      <family val="2"/>
      <scheme val="minor"/>
    </font>
    <font>
      <sz val="14"/>
      <color theme="1"/>
      <name val="Arial Unicode MS"/>
    </font>
    <font>
      <sz val="12"/>
      <color theme="1"/>
      <name val="Arial Unicode MS"/>
    </font>
    <font>
      <b/>
      <sz val="14"/>
      <color rgb="FF0033CC"/>
      <name val="Calibri"/>
      <family val="2"/>
      <scheme val="minor"/>
    </font>
    <font>
      <b/>
      <i/>
      <sz val="14"/>
      <color theme="1"/>
      <name val="Calibri"/>
      <family val="2"/>
      <scheme val="minor"/>
    </font>
    <font>
      <b/>
      <sz val="14"/>
      <color theme="1"/>
      <name val="Arial Unicode MS"/>
    </font>
    <font>
      <sz val="14"/>
      <color rgb="FFFF0000"/>
      <name val="Calibri"/>
      <family val="2"/>
      <scheme val="minor"/>
    </font>
    <font>
      <i/>
      <sz val="14"/>
      <color theme="1"/>
      <name val="Calibri"/>
      <family val="2"/>
      <scheme val="minor"/>
    </font>
    <font>
      <sz val="11"/>
      <color theme="9" tint="-0.249977111117893"/>
      <name val="Calibri"/>
      <family val="2"/>
      <scheme val="minor"/>
    </font>
    <font>
      <b/>
      <i/>
      <sz val="12"/>
      <name val="Calibri"/>
      <family val="2"/>
      <scheme val="minor"/>
    </font>
    <font>
      <sz val="14"/>
      <color rgb="FF0000FF"/>
      <name val="Arial Unicode MS"/>
    </font>
    <font>
      <b/>
      <sz val="18"/>
      <color rgb="FF0033CC"/>
      <name val="Calibri"/>
      <family val="2"/>
      <scheme val="minor"/>
    </font>
    <font>
      <b/>
      <sz val="12"/>
      <color theme="0" tint="-0.499984740745262"/>
      <name val="Calibri"/>
      <family val="2"/>
      <scheme val="minor"/>
    </font>
    <font>
      <b/>
      <i/>
      <sz val="12"/>
      <color theme="9" tint="-0.499984740745262"/>
      <name val="Calibri"/>
      <family val="2"/>
      <scheme val="minor"/>
    </font>
    <font>
      <i/>
      <sz val="11"/>
      <color theme="9" tint="-0.499984740745262"/>
      <name val="Calibri"/>
      <family val="2"/>
      <scheme val="minor"/>
    </font>
    <font>
      <b/>
      <sz val="8"/>
      <color theme="0" tint="-0.249977111117893"/>
      <name val="Calibri"/>
      <family val="2"/>
      <scheme val="minor"/>
    </font>
    <font>
      <b/>
      <sz val="10"/>
      <color theme="0" tint="-0.249977111117893"/>
      <name val="Calibri"/>
      <family val="2"/>
      <scheme val="minor"/>
    </font>
    <font>
      <sz val="10"/>
      <name val="Calibri"/>
      <family val="2"/>
    </font>
    <font>
      <b/>
      <sz val="9"/>
      <color theme="0"/>
      <name val="Calibri"/>
      <family val="2"/>
      <scheme val="minor"/>
    </font>
    <font>
      <b/>
      <sz val="8"/>
      <color theme="0" tint="-0.34998626667073579"/>
      <name val="Calibri"/>
      <family val="2"/>
      <scheme val="minor"/>
    </font>
    <font>
      <sz val="11"/>
      <color theme="0" tint="-0.249977111117893"/>
      <name val="Calibri"/>
      <family val="2"/>
      <scheme val="minor"/>
    </font>
    <font>
      <i/>
      <sz val="9"/>
      <name val="Calibri"/>
      <family val="2"/>
      <scheme val="minor"/>
    </font>
    <font>
      <i/>
      <sz val="10"/>
      <name val="Calibri"/>
      <family val="2"/>
      <scheme val="minor"/>
    </font>
    <font>
      <sz val="8"/>
      <color theme="0" tint="-0.14999847407452621"/>
      <name val="Calibri"/>
      <family val="2"/>
      <scheme val="minor"/>
    </font>
    <font>
      <sz val="8"/>
      <color rgb="FF0033CC"/>
      <name val="Calibri"/>
      <family val="2"/>
      <scheme val="minor"/>
    </font>
    <font>
      <b/>
      <sz val="12"/>
      <color rgb="FF0033CC"/>
      <name val="Arial Unicode MS"/>
    </font>
    <font>
      <sz val="11"/>
      <color theme="9" tint="0.39997558519241921"/>
      <name val="Calibri"/>
      <family val="2"/>
      <scheme val="minor"/>
    </font>
    <font>
      <sz val="11"/>
      <color theme="0" tint="-0.499984740745262"/>
      <name val="Calibri"/>
      <family val="2"/>
      <scheme val="minor"/>
    </font>
    <font>
      <b/>
      <sz val="8"/>
      <color theme="4" tint="-0.249977111117893"/>
      <name val="Calibri"/>
      <family val="2"/>
      <scheme val="minor"/>
    </font>
    <font>
      <sz val="11"/>
      <color theme="9" tint="0.79998168889431442"/>
      <name val="Calibri"/>
      <family val="2"/>
      <scheme val="minor"/>
    </font>
    <font>
      <b/>
      <sz val="11"/>
      <color rgb="FFFFFFFF"/>
      <name val="Calibri"/>
      <family val="2"/>
      <scheme val="minor"/>
    </font>
    <font>
      <b/>
      <sz val="14"/>
      <color rgb="FF4472C4"/>
      <name val="Calibri"/>
      <family val="2"/>
      <scheme val="minor"/>
    </font>
    <font>
      <sz val="10"/>
      <color rgb="FF000000"/>
      <name val="Calibri"/>
      <family val="2"/>
      <scheme val="minor"/>
    </font>
    <font>
      <b/>
      <sz val="14"/>
      <color rgb="FF375623"/>
      <name val="Calibri"/>
      <family val="2"/>
      <scheme val="minor"/>
    </font>
    <font>
      <sz val="14"/>
      <name val="Segoe Print"/>
    </font>
    <font>
      <b/>
      <sz val="14"/>
      <name val="Segoe Print"/>
    </font>
    <font>
      <sz val="11"/>
      <color theme="4" tint="0.39997558519241921"/>
      <name val="Calibri"/>
      <family val="2"/>
      <scheme val="minor"/>
    </font>
    <font>
      <b/>
      <sz val="11"/>
      <color rgb="FF7030A0"/>
      <name val="Calibri"/>
      <family val="2"/>
      <scheme val="minor"/>
    </font>
    <font>
      <b/>
      <sz val="14"/>
      <color rgb="FF7030A0"/>
      <name val="Calibri"/>
      <family val="2"/>
      <scheme val="minor"/>
    </font>
    <font>
      <b/>
      <u/>
      <sz val="14"/>
      <color theme="10"/>
      <name val="Calibri"/>
      <family val="2"/>
      <scheme val="minor"/>
    </font>
    <font>
      <sz val="11"/>
      <color rgb="FF0070C0"/>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b/>
      <sz val="10"/>
      <color theme="5" tint="-0.249977111117893"/>
      <name val="Calibri"/>
      <family val="2"/>
      <scheme val="minor"/>
    </font>
    <font>
      <sz val="18"/>
      <color rgb="FF0070C0"/>
      <name val="Calibri"/>
      <family val="2"/>
      <scheme val="minor"/>
    </font>
    <font>
      <sz val="10"/>
      <color rgb="FF800000"/>
      <name val="Calibri"/>
      <family val="2"/>
      <scheme val="minor"/>
    </font>
    <font>
      <b/>
      <sz val="11"/>
      <color rgb="FF800000"/>
      <name val="Calibri"/>
      <family val="2"/>
      <scheme val="minor"/>
    </font>
    <font>
      <sz val="10"/>
      <color theme="1" tint="0.499984740745262"/>
      <name val="Calibri"/>
      <family val="2"/>
      <scheme val="minor"/>
    </font>
    <font>
      <sz val="10"/>
      <color theme="9" tint="-0.249977111117893"/>
      <name val="Calibri"/>
      <family val="2"/>
      <scheme val="minor"/>
    </font>
    <font>
      <sz val="11"/>
      <color theme="1" tint="0.499984740745262"/>
      <name val="Calibri"/>
      <family val="2"/>
      <scheme val="minor"/>
    </font>
    <font>
      <b/>
      <sz val="10"/>
      <color rgb="FF7030A0"/>
      <name val="Calibri"/>
      <family val="2"/>
      <scheme val="minor"/>
    </font>
    <font>
      <b/>
      <sz val="10"/>
      <color theme="9" tint="-0.249977111117893"/>
      <name val="Calibri"/>
      <family val="2"/>
      <scheme val="minor"/>
    </font>
    <font>
      <sz val="18"/>
      <color theme="0"/>
      <name val="Calibri"/>
      <family val="2"/>
      <scheme val="minor"/>
    </font>
    <font>
      <sz val="10"/>
      <color rgb="FF80808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0"/>
      <color indexed="10"/>
      <name val="Calibri"/>
      <family val="2"/>
      <scheme val="minor"/>
    </font>
    <font>
      <sz val="11"/>
      <color indexed="10"/>
      <name val="Calibri"/>
      <family val="2"/>
      <scheme val="minor"/>
    </font>
    <font>
      <b/>
      <sz val="10"/>
      <color rgb="FF0070C0"/>
      <name val="Calibri"/>
      <family val="2"/>
      <scheme val="minor"/>
    </font>
    <font>
      <b/>
      <sz val="16"/>
      <color rgb="FF0070C0"/>
      <name val="Calibri"/>
      <family val="2"/>
      <scheme val="minor"/>
    </font>
    <font>
      <sz val="26"/>
      <name val="Calibri"/>
      <family val="2"/>
      <scheme val="minor"/>
    </font>
    <font>
      <b/>
      <sz val="10"/>
      <color theme="1"/>
      <name val="Arial Unicode MS"/>
    </font>
    <font>
      <i/>
      <sz val="10"/>
      <color theme="1"/>
      <name val="Arial Unicode MS"/>
    </font>
    <font>
      <sz val="26"/>
      <name val="Arial"/>
      <family val="2"/>
    </font>
    <font>
      <b/>
      <sz val="10"/>
      <name val="Arial"/>
      <family val="2"/>
    </font>
    <font>
      <sz val="18"/>
      <color rgb="FF000000"/>
      <name val="Georgia"/>
      <family val="1"/>
    </font>
    <font>
      <b/>
      <sz val="11"/>
      <name val="Arial"/>
      <family val="2"/>
    </font>
    <font>
      <b/>
      <sz val="8"/>
      <name val="Arial"/>
      <family val="2"/>
    </font>
    <font>
      <sz val="24"/>
      <color theme="0"/>
      <name val="Arial"/>
      <family val="2"/>
    </font>
    <font>
      <b/>
      <sz val="16"/>
      <name val="Arial"/>
      <family val="2"/>
    </font>
    <font>
      <b/>
      <sz val="16"/>
      <color theme="0"/>
      <name val="Arial"/>
      <family val="2"/>
    </font>
    <font>
      <b/>
      <sz val="10"/>
      <color theme="0"/>
      <name val="Arial"/>
      <family val="2"/>
    </font>
    <font>
      <sz val="11"/>
      <color rgb="FF252525"/>
      <name val="Arial"/>
      <family val="2"/>
    </font>
    <font>
      <sz val="11"/>
      <name val="Arial"/>
      <family val="2"/>
    </font>
    <font>
      <b/>
      <u/>
      <sz val="14"/>
      <color indexed="12"/>
      <name val="Calibri"/>
      <family val="2"/>
      <scheme val="minor"/>
    </font>
    <font>
      <b/>
      <sz val="16"/>
      <color indexed="12"/>
      <name val="Arial"/>
      <family val="2"/>
    </font>
    <font>
      <b/>
      <sz val="14"/>
      <name val="Arial"/>
      <family val="2"/>
    </font>
    <font>
      <b/>
      <i/>
      <sz val="14"/>
      <name val="Arial"/>
      <family val="2"/>
    </font>
    <font>
      <b/>
      <sz val="12"/>
      <color indexed="57"/>
      <name val="Arial"/>
      <family val="2"/>
    </font>
    <font>
      <b/>
      <sz val="12"/>
      <name val="Arial"/>
      <family val="2"/>
    </font>
    <font>
      <b/>
      <i/>
      <sz val="16"/>
      <name val="Arial"/>
      <family val="2"/>
    </font>
    <font>
      <b/>
      <sz val="10"/>
      <color indexed="60"/>
      <name val="Arial"/>
      <family val="2"/>
    </font>
    <font>
      <b/>
      <sz val="12"/>
      <color indexed="10"/>
      <name val="Arial"/>
      <family val="2"/>
    </font>
    <font>
      <b/>
      <sz val="11"/>
      <color indexed="57"/>
      <name val="Arial"/>
      <family val="2"/>
    </font>
    <font>
      <sz val="18"/>
      <name val="Arial"/>
      <family val="2"/>
    </font>
    <font>
      <b/>
      <sz val="14"/>
      <color indexed="12"/>
      <name val="Calibri"/>
      <family val="2"/>
    </font>
    <font>
      <b/>
      <sz val="12"/>
      <color indexed="12"/>
      <name val="Arial"/>
      <family val="2"/>
    </font>
    <font>
      <b/>
      <sz val="12"/>
      <color indexed="60"/>
      <name val="Arial"/>
      <family val="2"/>
    </font>
    <font>
      <b/>
      <sz val="14"/>
      <name val="Calibri"/>
      <family val="2"/>
    </font>
    <font>
      <sz val="14"/>
      <name val="Arial"/>
      <family val="2"/>
    </font>
    <font>
      <b/>
      <sz val="12"/>
      <color theme="5"/>
      <name val="Arial"/>
      <family val="2"/>
    </font>
    <font>
      <sz val="14"/>
      <color rgb="FF222222"/>
      <name val="Arial"/>
      <family val="2"/>
    </font>
    <font>
      <b/>
      <sz val="14"/>
      <color theme="5"/>
      <name val="Calibri"/>
      <family val="2"/>
      <scheme val="minor"/>
    </font>
    <font>
      <b/>
      <sz val="12"/>
      <color theme="5"/>
      <name val="Calibri"/>
      <family val="2"/>
      <scheme val="minor"/>
    </font>
    <font>
      <b/>
      <sz val="18"/>
      <color theme="1"/>
      <name val="Arial"/>
      <family val="2"/>
    </font>
    <font>
      <sz val="9"/>
      <name val="Arial"/>
      <family val="2"/>
    </font>
    <font>
      <sz val="12"/>
      <color theme="1"/>
      <name val="Arial"/>
      <family val="2"/>
    </font>
    <font>
      <b/>
      <sz val="14"/>
      <color rgb="FFC00000"/>
      <name val="Arial"/>
      <family val="2"/>
    </font>
    <font>
      <b/>
      <sz val="12"/>
      <color rgb="FFC00000"/>
      <name val="Arial"/>
      <family val="2"/>
    </font>
    <font>
      <b/>
      <sz val="12"/>
      <color theme="7" tint="-0.499984740745262"/>
      <name val="Arial"/>
      <family val="2"/>
    </font>
    <font>
      <sz val="12"/>
      <color rgb="FFA20000"/>
      <name val="Calibri"/>
      <family val="2"/>
      <scheme val="minor"/>
    </font>
    <font>
      <sz val="12"/>
      <color rgb="FF800000"/>
      <name val="Calibri"/>
      <family val="2"/>
      <scheme val="minor"/>
    </font>
    <font>
      <b/>
      <sz val="25"/>
      <name val="Calibri"/>
      <family val="2"/>
      <scheme val="minor"/>
    </font>
    <font>
      <b/>
      <sz val="2"/>
      <name val="Calibri"/>
      <family val="2"/>
      <scheme val="minor"/>
    </font>
    <font>
      <b/>
      <sz val="16"/>
      <color indexed="12"/>
      <name val="Calibri"/>
      <family val="2"/>
      <scheme val="minor"/>
    </font>
    <font>
      <b/>
      <sz val="14"/>
      <color indexed="10"/>
      <name val="Calibri"/>
      <family val="2"/>
      <scheme val="minor"/>
    </font>
    <font>
      <sz val="24"/>
      <name val="Calibri"/>
      <family val="2"/>
      <scheme val="minor"/>
    </font>
    <font>
      <b/>
      <sz val="14"/>
      <color theme="0"/>
      <name val="Arial"/>
      <family val="2"/>
    </font>
    <font>
      <b/>
      <sz val="12"/>
      <color rgb="FF0000FF"/>
      <name val="Arial"/>
      <family val="2"/>
    </font>
    <font>
      <b/>
      <sz val="11"/>
      <color rgb="FF0000FF"/>
      <name val="Arial"/>
      <family val="2"/>
    </font>
    <font>
      <b/>
      <sz val="11"/>
      <color theme="0" tint="-0.499984740745262"/>
      <name val="Arial"/>
      <family val="2"/>
    </font>
    <font>
      <b/>
      <sz val="11"/>
      <color indexed="12"/>
      <name val="Arial"/>
      <family val="2"/>
    </font>
    <font>
      <sz val="11"/>
      <name val="MS Sans Serif"/>
      <family val="2"/>
    </font>
    <font>
      <b/>
      <sz val="12"/>
      <color theme="0" tint="-0.499984740745262"/>
      <name val="Arial"/>
      <family val="2"/>
    </font>
    <font>
      <sz val="10"/>
      <color theme="0" tint="-0.499984740745262"/>
      <name val="Arial"/>
      <family val="2"/>
    </font>
    <font>
      <b/>
      <sz val="11"/>
      <color rgb="FFC00000"/>
      <name val="Arial"/>
      <family val="2"/>
    </font>
    <font>
      <b/>
      <sz val="10"/>
      <color indexed="9"/>
      <name val="Arial"/>
      <family val="2"/>
    </font>
    <font>
      <b/>
      <sz val="20"/>
      <name val="Arial"/>
      <family val="2"/>
    </font>
    <font>
      <sz val="14"/>
      <name val="Rockwell"/>
      <family val="1"/>
    </font>
    <font>
      <sz val="11"/>
      <color rgb="FFA20000"/>
      <name val="Calibri"/>
      <family val="2"/>
    </font>
    <font>
      <b/>
      <sz val="11"/>
      <color indexed="8"/>
      <name val="Calibri"/>
      <family val="2"/>
    </font>
    <font>
      <sz val="14"/>
      <color indexed="8"/>
      <name val="Rockwell"/>
      <family val="1"/>
    </font>
    <font>
      <sz val="14"/>
      <color rgb="FFA20000"/>
      <name val="Rockwell"/>
      <family val="1"/>
    </font>
    <font>
      <b/>
      <sz val="14"/>
      <color indexed="10"/>
      <name val="Calibri"/>
      <family val="2"/>
    </font>
    <font>
      <sz val="14"/>
      <color indexed="12"/>
      <name val="Rockwell"/>
      <family val="1"/>
    </font>
    <font>
      <sz val="12"/>
      <color indexed="6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sz val="11"/>
      <color indexed="10"/>
      <name val="Calibri"/>
      <family val="2"/>
    </font>
    <font>
      <b/>
      <sz val="12"/>
      <color indexed="30"/>
      <name val="Calibri"/>
      <family val="2"/>
    </font>
    <font>
      <b/>
      <sz val="14"/>
      <color indexed="62"/>
      <name val="Calibri"/>
      <family val="2"/>
    </font>
    <font>
      <sz val="12"/>
      <color rgb="FFA20000"/>
      <name val="Calibri"/>
      <family val="2"/>
    </font>
    <font>
      <b/>
      <i/>
      <sz val="12"/>
      <color rgb="FFA20000"/>
      <name val="Calibri"/>
      <family val="2"/>
    </font>
    <font>
      <sz val="11"/>
      <color indexed="17"/>
      <name val="Calibri"/>
      <family val="2"/>
    </font>
    <font>
      <b/>
      <sz val="14"/>
      <color indexed="17"/>
      <name val="Calibri"/>
      <family val="2"/>
    </font>
    <font>
      <i/>
      <sz val="12"/>
      <color indexed="12"/>
      <name val="Arial"/>
      <family val="2"/>
    </font>
    <font>
      <sz val="10"/>
      <color rgb="FF000000"/>
      <name val="Arial"/>
      <family val="2"/>
    </font>
    <font>
      <b/>
      <sz val="11"/>
      <color theme="0"/>
      <name val="Arial"/>
      <family val="2"/>
    </font>
    <font>
      <b/>
      <sz val="11"/>
      <color indexed="10"/>
      <name val="Arial"/>
      <family val="2"/>
    </font>
    <font>
      <i/>
      <sz val="12"/>
      <color rgb="FF000000"/>
      <name val="Arial"/>
      <family val="2"/>
    </font>
    <font>
      <b/>
      <sz val="12"/>
      <color rgb="FF000000"/>
      <name val="Arial"/>
      <family val="2"/>
    </font>
    <font>
      <sz val="12"/>
      <color rgb="FF000000"/>
      <name val="Arial"/>
      <family val="2"/>
    </font>
    <font>
      <b/>
      <sz val="12"/>
      <color indexed="9"/>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sz val="11"/>
      <color rgb="FF303030"/>
      <name val="Calibri"/>
      <family val="2"/>
      <scheme val="minor"/>
    </font>
    <font>
      <b/>
      <sz val="11"/>
      <color theme="8" tint="-0.249977111117893"/>
      <name val="Calibri"/>
      <family val="2"/>
      <scheme val="minor"/>
    </font>
    <font>
      <b/>
      <sz val="9"/>
      <color theme="1"/>
      <name val="Calibri"/>
      <family val="2"/>
      <scheme val="minor"/>
    </font>
    <font>
      <b/>
      <sz val="10"/>
      <color indexed="10"/>
      <name val="Arial"/>
      <family val="2"/>
    </font>
    <font>
      <sz val="8"/>
      <color indexed="22"/>
      <name val="Arial"/>
      <family val="2"/>
    </font>
    <font>
      <b/>
      <sz val="10"/>
      <color indexed="17"/>
      <name val="Arial"/>
      <family val="2"/>
    </font>
    <font>
      <b/>
      <sz val="10"/>
      <color indexed="12"/>
      <name val="Arial"/>
      <family val="2"/>
    </font>
    <font>
      <sz val="10"/>
      <color indexed="22"/>
      <name val="Arial"/>
      <family val="2"/>
    </font>
    <font>
      <b/>
      <sz val="11"/>
      <color rgb="FFA20000"/>
      <name val="Calibri"/>
      <family val="2"/>
      <scheme val="minor"/>
    </font>
    <font>
      <sz val="8"/>
      <name val="MS Sans Serif"/>
      <family val="2"/>
    </font>
    <font>
      <b/>
      <sz val="20"/>
      <color indexed="12"/>
      <name val="Arial"/>
      <family val="2"/>
    </font>
    <font>
      <b/>
      <sz val="9"/>
      <name val="Arial"/>
      <family val="2"/>
    </font>
    <font>
      <sz val="12"/>
      <color rgb="FF0000FF"/>
      <name val="Calibri"/>
      <family val="2"/>
    </font>
    <font>
      <b/>
      <sz val="12"/>
      <color theme="9" tint="-0.249977111117893"/>
      <name val="Arial"/>
      <family val="2"/>
    </font>
    <font>
      <b/>
      <sz val="10"/>
      <color rgb="FF0000FF"/>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rgb="FFA20000"/>
      <name val="Arial"/>
      <family val="2"/>
    </font>
    <font>
      <b/>
      <sz val="12"/>
      <color rgb="FFFF0000"/>
      <name val="Arial"/>
      <family val="2"/>
    </font>
    <font>
      <sz val="8"/>
      <color theme="0" tint="-0.34998626667073579"/>
      <name val="Arial"/>
      <family val="2"/>
    </font>
    <font>
      <sz val="16"/>
      <color theme="0"/>
      <name val="Arial"/>
      <family val="2"/>
    </font>
    <font>
      <b/>
      <sz val="12"/>
      <color rgb="FFA20000"/>
      <name val="Arial"/>
      <family val="2"/>
    </font>
    <font>
      <b/>
      <sz val="11"/>
      <color rgb="FF0000FF"/>
      <name val="ZDingbats"/>
    </font>
    <font>
      <i/>
      <sz val="11"/>
      <name val="Arial"/>
      <family val="2"/>
    </font>
    <font>
      <i/>
      <sz val="11"/>
      <color rgb="FF303030"/>
      <name val="Calibri"/>
      <family val="2"/>
      <scheme val="minor"/>
    </font>
    <font>
      <i/>
      <sz val="10"/>
      <color theme="5"/>
      <name val="Calibri"/>
      <family val="2"/>
      <scheme val="minor"/>
    </font>
    <font>
      <sz val="11"/>
      <color rgb="FFA20000"/>
      <name val="Calibri"/>
      <family val="2"/>
      <scheme val="minor"/>
    </font>
    <font>
      <sz val="12"/>
      <color rgb="FF008000"/>
      <name val="Calibri"/>
      <family val="2"/>
      <scheme val="minor"/>
    </font>
    <font>
      <b/>
      <sz val="12"/>
      <color rgb="FF008000"/>
      <name val="Calibri"/>
      <family val="2"/>
      <scheme val="minor"/>
    </font>
    <font>
      <sz val="11"/>
      <color rgb="FF008000"/>
      <name val="Calibri"/>
      <family val="2"/>
      <scheme val="minor"/>
    </font>
    <font>
      <sz val="10"/>
      <color rgb="FFFF0000"/>
      <name val="Calibri"/>
      <family val="2"/>
      <scheme val="minor"/>
    </font>
    <font>
      <sz val="11"/>
      <color theme="7" tint="-0.249977111117893"/>
      <name val="Calibri"/>
      <family val="2"/>
      <scheme val="minor"/>
    </font>
    <font>
      <sz val="11"/>
      <color indexed="8"/>
      <name val="Calibri"/>
      <family val="2"/>
    </font>
    <font>
      <sz val="11"/>
      <color indexed="8"/>
      <name val="Calibri"/>
      <family val="2"/>
      <scheme val="minor"/>
    </font>
    <font>
      <u/>
      <sz val="11"/>
      <color indexed="12"/>
      <name val="Calibri"/>
      <family val="2"/>
      <scheme val="minor"/>
    </font>
    <font>
      <b/>
      <sz val="12"/>
      <color indexed="8"/>
      <name val="Calibri"/>
      <family val="2"/>
      <scheme val="minor"/>
    </font>
    <font>
      <b/>
      <sz val="10"/>
      <color theme="1"/>
      <name val="Calibri"/>
      <family val="2"/>
    </font>
    <font>
      <sz val="8"/>
      <name val="Courier New"/>
      <family val="3"/>
    </font>
    <font>
      <sz val="10"/>
      <color indexed="8"/>
      <name val="Calibri"/>
      <family val="2"/>
      <scheme val="minor"/>
    </font>
    <font>
      <sz val="10"/>
      <color theme="1"/>
      <name val="Calibri"/>
      <family val="2"/>
    </font>
    <font>
      <sz val="11"/>
      <color rgb="FFFFFFFF"/>
      <name val="Calibri"/>
      <family val="2"/>
      <scheme val="minor"/>
    </font>
    <font>
      <sz val="11"/>
      <color rgb="FF000000"/>
      <name val="Calibri"/>
      <family val="2"/>
      <scheme val="minor"/>
    </font>
    <font>
      <i/>
      <sz val="12"/>
      <color rgb="FFC00000"/>
      <name val="Calibri"/>
      <family val="2"/>
      <scheme val="minor"/>
    </font>
    <font>
      <sz val="18"/>
      <color rgb="FF0000FF"/>
      <name val="Calibri"/>
      <family val="2"/>
      <scheme val="minor"/>
    </font>
    <font>
      <sz val="12"/>
      <color rgb="FF7030A0"/>
      <name val="Calibri"/>
      <family val="2"/>
      <scheme val="minor"/>
    </font>
    <font>
      <b/>
      <sz val="11"/>
      <color rgb="FF0000FF"/>
      <name val="Calibri"/>
      <family val="2"/>
    </font>
    <font>
      <sz val="8"/>
      <color theme="9" tint="-0.249977111117893"/>
      <name val="Calibri"/>
      <family val="2"/>
      <scheme val="minor"/>
    </font>
    <font>
      <sz val="8"/>
      <color theme="8" tint="0.39997558519241921"/>
      <name val="Calibri"/>
      <family val="2"/>
      <scheme val="minor"/>
    </font>
    <font>
      <sz val="8"/>
      <color theme="8" tint="0.59999389629810485"/>
      <name val="Calibri"/>
      <family val="2"/>
      <scheme val="minor"/>
    </font>
    <font>
      <sz val="8"/>
      <color theme="4" tint="0.79998168889431442"/>
      <name val="Calibri"/>
      <family val="2"/>
      <scheme val="minor"/>
    </font>
    <font>
      <sz val="8"/>
      <color theme="7" tint="0.59999389629810485"/>
      <name val="Calibri"/>
      <family val="2"/>
      <scheme val="minor"/>
    </font>
    <font>
      <b/>
      <sz val="24"/>
      <color theme="1"/>
      <name val="Calibri"/>
      <family val="2"/>
      <scheme val="minor"/>
    </font>
    <font>
      <sz val="8"/>
      <color rgb="FFA9D08E"/>
      <name val="Calibri"/>
      <family val="2"/>
      <scheme val="minor"/>
    </font>
    <font>
      <b/>
      <sz val="12"/>
      <color theme="0" tint="-4.9989318521683403E-2"/>
      <name val="Calibri"/>
      <family val="2"/>
      <scheme val="minor"/>
    </font>
    <font>
      <sz val="11"/>
      <color rgb="FF0033CC"/>
      <name val="Calibri"/>
      <family val="2"/>
    </font>
    <font>
      <sz val="11"/>
      <color rgb="FFC00000"/>
      <name val="Calibri"/>
      <family val="2"/>
    </font>
    <font>
      <b/>
      <sz val="12"/>
      <color rgb="FF0000FF"/>
      <name val="Calibri"/>
      <family val="2"/>
    </font>
    <font>
      <b/>
      <sz val="11"/>
      <color rgb="FFC00000"/>
      <name val="Calibri"/>
      <family val="2"/>
    </font>
    <font>
      <sz val="8"/>
      <color rgb="FFFF0000"/>
      <name val="Calibri"/>
      <family val="2"/>
      <scheme val="minor"/>
    </font>
    <font>
      <b/>
      <sz val="12"/>
      <color rgb="FF00B050"/>
      <name val="Calibri"/>
      <family val="2"/>
      <scheme val="minor"/>
    </font>
    <font>
      <sz val="8"/>
      <color theme="8" tint="-0.499984740745262"/>
      <name val="Calibri"/>
      <family val="2"/>
      <scheme val="minor"/>
    </font>
    <font>
      <b/>
      <i/>
      <sz val="12"/>
      <color rgb="FFC00000"/>
      <name val="Calibri"/>
      <family val="2"/>
      <scheme val="minor"/>
    </font>
    <font>
      <sz val="11"/>
      <color rgb="FF0033CC"/>
      <name val="Arial Unicode MS"/>
    </font>
    <font>
      <b/>
      <sz val="14"/>
      <color rgb="FF0000FF"/>
      <name val="Calibri"/>
      <family val="2"/>
    </font>
    <font>
      <sz val="14"/>
      <color rgb="FFC00000"/>
      <name val="Calibri"/>
      <family val="2"/>
      <scheme val="minor"/>
    </font>
    <font>
      <sz val="14"/>
      <name val="Calibri"/>
      <family val="2"/>
    </font>
    <font>
      <b/>
      <sz val="14"/>
      <color rgb="FFC00000"/>
      <name val="Calibri"/>
      <family val="2"/>
    </font>
    <font>
      <sz val="20"/>
      <color rgb="FFC00000"/>
      <name val="Calibri"/>
      <family val="2"/>
      <scheme val="minor"/>
    </font>
    <font>
      <sz val="8"/>
      <color rgb="FF548235"/>
      <name val="Calibri"/>
      <family val="2"/>
      <scheme val="minor"/>
    </font>
    <font>
      <b/>
      <sz val="10"/>
      <color theme="0" tint="-4.9989318521683403E-2"/>
      <name val="Calibri"/>
      <family val="2"/>
      <scheme val="minor"/>
    </font>
    <font>
      <sz val="9"/>
      <color theme="0" tint="-0.34998626667073579"/>
      <name val="Calibri"/>
      <family val="2"/>
      <scheme val="minor"/>
    </font>
    <font>
      <b/>
      <i/>
      <sz val="11"/>
      <name val="Calibri"/>
      <family val="2"/>
      <scheme val="minor"/>
    </font>
    <font>
      <b/>
      <sz val="8"/>
      <color rgb="FF0033CC"/>
      <name val="Calibri"/>
      <family val="2"/>
      <scheme val="minor"/>
    </font>
    <font>
      <sz val="8"/>
      <color rgb="FFDEC8EE"/>
      <name val="Calibri"/>
      <family val="2"/>
      <scheme val="minor"/>
    </font>
    <font>
      <b/>
      <sz val="20"/>
      <color theme="1"/>
      <name val="Calibri"/>
      <family val="2"/>
      <scheme val="minor"/>
    </font>
    <font>
      <u/>
      <sz val="11"/>
      <color theme="1"/>
      <name val="Calibri"/>
      <family val="2"/>
      <scheme val="minor"/>
    </font>
  </fonts>
  <fills count="2104">
    <fill>
      <patternFill patternType="none"/>
    </fill>
    <fill>
      <patternFill patternType="gray125"/>
    </fill>
    <fill>
      <patternFill patternType="solid">
        <fgColor rgb="FFCC00FF"/>
        <bgColor indexed="64"/>
      </patternFill>
    </fill>
    <fill>
      <patternFill patternType="solid">
        <fgColor rgb="FFED7D31"/>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theme="0" tint="-0.14999847407452621"/>
        <bgColor indexed="64"/>
      </patternFill>
    </fill>
    <fill>
      <patternFill patternType="solid">
        <fgColor theme="0"/>
        <bgColor indexed="64"/>
      </patternFill>
    </fill>
    <fill>
      <patternFill patternType="solid">
        <fgColor rgb="FF99CC00"/>
        <bgColor theme="9"/>
      </patternFill>
    </fill>
    <fill>
      <patternFill patternType="solid">
        <fgColor rgb="FFED7D31"/>
        <bgColor indexed="50"/>
      </patternFill>
    </fill>
    <fill>
      <patternFill patternType="solid">
        <fgColor theme="0"/>
        <bgColor indexed="50"/>
      </patternFill>
    </fill>
    <fill>
      <patternFill patternType="solid">
        <fgColor theme="7" tint="0.79998168889431442"/>
        <bgColor indexed="64"/>
      </patternFill>
    </fill>
    <fill>
      <patternFill patternType="solid">
        <fgColor rgb="FFFF0000"/>
        <bgColor indexed="64"/>
      </patternFill>
    </fill>
    <fill>
      <patternFill patternType="solid">
        <fgColor rgb="FF99CC00"/>
        <bgColor indexed="64"/>
      </patternFill>
    </fill>
    <fill>
      <patternFill patternType="solid">
        <fgColor rgb="FFFFF2CC"/>
        <bgColor indexed="64"/>
      </patternFill>
    </fill>
    <fill>
      <patternFill patternType="solid">
        <fgColor rgb="FFFFC000"/>
        <bgColor indexed="64"/>
      </patternFill>
    </fill>
    <fill>
      <patternFill patternType="solid">
        <fgColor rgb="FFDEFFBD"/>
        <bgColor indexed="64"/>
      </patternFill>
    </fill>
    <fill>
      <patternFill patternType="solid">
        <fgColor rgb="FF548235"/>
        <bgColor indexed="64"/>
      </patternFill>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9" tint="0.59999389629810485"/>
        <bgColor theme="9"/>
      </patternFill>
    </fill>
    <fill>
      <patternFill patternType="solid">
        <fgColor theme="0"/>
        <bgColor theme="9"/>
      </patternFill>
    </fill>
    <fill>
      <patternFill patternType="solid">
        <fgColor rgb="FFDCF5BD"/>
        <bgColor theme="9" tint="0.79995117038483843"/>
      </patternFill>
    </fill>
    <fill>
      <patternFill patternType="solid">
        <fgColor theme="9" tint="0.79998168889431442"/>
        <bgColor indexed="64"/>
      </patternFill>
    </fill>
    <fill>
      <patternFill patternType="solid">
        <fgColor rgb="FFFFFFD5"/>
        <bgColor indexed="64"/>
      </patternFill>
    </fill>
    <fill>
      <patternFill patternType="solid">
        <fgColor theme="4" tint="0.79998168889431442"/>
        <bgColor indexed="64"/>
      </patternFill>
    </fill>
    <fill>
      <patternFill patternType="solid">
        <fgColor rgb="FFECECEC"/>
        <bgColor theme="9" tint="0.79995117038483843"/>
      </patternFill>
    </fill>
    <fill>
      <patternFill patternType="solid">
        <fgColor rgb="FFECECEC"/>
        <bgColor indexed="64"/>
      </patternFill>
    </fill>
    <fill>
      <patternFill patternType="solid">
        <fgColor rgb="FFF4F9F1"/>
        <bgColor theme="9" tint="0.79998168889431442"/>
      </patternFill>
    </fill>
    <fill>
      <patternFill patternType="solid">
        <fgColor rgb="FFF4F9F1"/>
        <bgColor theme="9" tint="0.79995117038483843"/>
      </patternFill>
    </fill>
    <fill>
      <patternFill patternType="solid">
        <fgColor rgb="FFFFFF9F"/>
        <bgColor indexed="64"/>
      </patternFill>
    </fill>
    <fill>
      <patternFill patternType="solid">
        <fgColor theme="0"/>
        <bgColor theme="9" tint="0.79995117038483843"/>
      </patternFill>
    </fill>
    <fill>
      <patternFill patternType="solid">
        <fgColor rgb="FFFFFFD9"/>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A9D08E"/>
        <bgColor indexed="64"/>
      </patternFill>
    </fill>
    <fill>
      <patternFill patternType="solid">
        <fgColor rgb="FFEFE5F7"/>
        <bgColor indexed="64"/>
      </patternFill>
    </fill>
    <fill>
      <patternFill patternType="solid">
        <fgColor rgb="FFCCCCFF"/>
        <bgColor indexed="64"/>
      </patternFill>
    </fill>
    <fill>
      <patternFill patternType="solid">
        <fgColor rgb="FFDDDDFF"/>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0"/>
        <bgColor indexed="9"/>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5" tint="0.59999389629810485"/>
        <bgColor indexed="64"/>
      </patternFill>
    </fill>
    <fill>
      <patternFill patternType="solid">
        <fgColor rgb="FFF2A068"/>
        <bgColor indexed="64"/>
      </patternFill>
    </fill>
    <fill>
      <patternFill patternType="solid">
        <fgColor rgb="FFDDDDFF"/>
        <bgColor theme="9"/>
      </patternFill>
    </fill>
    <fill>
      <patternFill patternType="solid">
        <fgColor rgb="FFFFF2CC"/>
        <bgColor theme="9" tint="0.79995117038483843"/>
      </patternFill>
    </fill>
    <fill>
      <patternFill patternType="solid">
        <fgColor theme="0" tint="-0.14999847407452621"/>
        <bgColor theme="9" tint="0.79995117038483843"/>
      </patternFill>
    </fill>
    <fill>
      <patternFill patternType="solid">
        <fgColor rgb="FFF4F9F1"/>
        <bgColor indexed="64"/>
      </patternFill>
    </fill>
    <fill>
      <patternFill patternType="solid">
        <fgColor indexed="9"/>
        <bgColor indexed="9"/>
      </patternFill>
    </fill>
    <fill>
      <patternFill patternType="solid">
        <fgColor rgb="FFEAF4E4"/>
        <bgColor indexed="64"/>
      </patternFill>
    </fill>
    <fill>
      <patternFill patternType="solid">
        <fgColor rgb="FFEAF4E4"/>
        <bgColor theme="9" tint="0.79995117038483843"/>
      </patternFill>
    </fill>
    <fill>
      <patternFill patternType="gray0625">
        <fgColor theme="7" tint="-0.24994659260841701"/>
        <bgColor rgb="FFFFFFCC"/>
      </patternFill>
    </fill>
    <fill>
      <patternFill patternType="solid">
        <fgColor rgb="FFB8D9A3"/>
        <bgColor indexed="64"/>
      </patternFill>
    </fill>
    <fill>
      <patternFill patternType="solid">
        <fgColor rgb="FFD9E1F2"/>
        <bgColor indexed="64"/>
      </patternFill>
    </fill>
    <fill>
      <patternFill patternType="solid">
        <fgColor theme="0" tint="-4.9989318521683403E-2"/>
        <bgColor indexed="9"/>
      </patternFill>
    </fill>
    <fill>
      <patternFill patternType="solid">
        <fgColor theme="9" tint="0.59999389629810485"/>
        <bgColor indexed="64"/>
      </patternFill>
    </fill>
    <fill>
      <patternFill patternType="solid">
        <fgColor theme="9" tint="-0.249977111117893"/>
        <bgColor indexed="64"/>
      </patternFill>
    </fill>
    <fill>
      <patternFill patternType="gray0625">
        <fgColor theme="9" tint="0.79998168889431442"/>
        <bgColor rgb="FFFFFFCC"/>
      </patternFill>
    </fill>
    <fill>
      <patternFill patternType="solid">
        <fgColor theme="9" tint="0.79998168889431442"/>
        <bgColor theme="9"/>
      </patternFill>
    </fill>
    <fill>
      <patternFill patternType="solid">
        <fgColor indexed="9"/>
        <bgColor indexed="64"/>
      </patternFill>
    </fill>
    <fill>
      <patternFill patternType="solid">
        <fgColor indexed="26"/>
        <bgColor indexed="64"/>
      </patternFill>
    </fill>
    <fill>
      <patternFill patternType="solid">
        <fgColor rgb="FFF2F2F2"/>
        <bgColor indexed="64"/>
      </patternFill>
    </fill>
    <fill>
      <patternFill patternType="solid">
        <fgColor rgb="FF0000FF"/>
        <bgColor indexed="64"/>
      </patternFill>
    </fill>
    <fill>
      <patternFill patternType="solid">
        <fgColor rgb="FFFF00FF"/>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8000"/>
        <bgColor indexed="64"/>
      </patternFill>
    </fill>
    <fill>
      <patternFill patternType="solid">
        <fgColor rgb="FFFFCCFF"/>
        <bgColor indexed="64"/>
      </patternFill>
    </fill>
    <fill>
      <patternFill patternType="solid">
        <fgColor rgb="FF800000"/>
        <bgColor indexed="64"/>
      </patternFill>
    </fill>
    <fill>
      <patternFill patternType="solid">
        <fgColor theme="4" tint="-0.249977111117893"/>
        <bgColor indexed="64"/>
      </patternFill>
    </fill>
    <fill>
      <patternFill patternType="solid">
        <fgColor rgb="FFD5D5FF"/>
        <bgColor indexed="64"/>
      </patternFill>
    </fill>
    <fill>
      <patternFill patternType="solid">
        <fgColor rgb="FF339966"/>
        <bgColor indexed="64"/>
      </patternFill>
    </fill>
    <fill>
      <patternFill patternType="solid">
        <fgColor rgb="FF00FF00"/>
        <bgColor indexed="64"/>
      </patternFill>
    </fill>
    <fill>
      <patternFill patternType="solid">
        <fgColor rgb="FFFF99CC"/>
        <bgColor indexed="64"/>
      </patternFill>
    </fill>
    <fill>
      <patternFill patternType="solid">
        <fgColor rgb="FFFF6600"/>
        <bgColor indexed="64"/>
      </patternFill>
    </fill>
    <fill>
      <patternFill patternType="solid">
        <fgColor rgb="FF00CCFF"/>
        <bgColor indexed="64"/>
      </patternFill>
    </fill>
    <fill>
      <patternFill patternType="solid">
        <fgColor rgb="FFFFCC00"/>
        <bgColor indexed="64"/>
      </patternFill>
    </fill>
    <fill>
      <patternFill patternType="solid">
        <fgColor rgb="FF0066CC"/>
        <bgColor indexed="64"/>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theme="1" tint="0.34998626667073579"/>
        <bgColor indexed="64"/>
      </patternFill>
    </fill>
    <fill>
      <patternFill patternType="solid">
        <fgColor rgb="FFF1995D"/>
        <bgColor indexed="64"/>
      </patternFill>
    </fill>
    <fill>
      <patternFill patternType="solid">
        <fgColor theme="2"/>
        <bgColor indexed="64"/>
      </patternFill>
    </fill>
    <fill>
      <patternFill patternType="solid">
        <fgColor theme="0" tint="-4.9989318521683403E-2"/>
        <bgColor theme="0"/>
      </patternFill>
    </fill>
    <fill>
      <patternFill patternType="solid">
        <fgColor rgb="FFFFFFA7"/>
        <bgColor indexed="64"/>
      </patternFill>
    </fill>
    <fill>
      <patternFill patternType="solid">
        <fgColor theme="5" tint="0.59999389629810485"/>
        <bgColor indexed="9"/>
      </patternFill>
    </fill>
    <fill>
      <patternFill patternType="solid">
        <fgColor theme="5" tint="0.59999389629810485"/>
        <bgColor theme="9" tint="0.79998168889431442"/>
      </patternFill>
    </fill>
    <fill>
      <patternFill patternType="solid">
        <fgColor rgb="FFFFFFA7"/>
        <bgColor indexed="9"/>
      </patternFill>
    </fill>
    <fill>
      <patternFill patternType="solid">
        <fgColor theme="7" tint="0.79998168889431442"/>
        <bgColor indexed="9"/>
      </patternFill>
    </fill>
    <fill>
      <patternFill patternType="solid">
        <fgColor theme="4" tint="0.79995117038483843"/>
        <bgColor indexed="64"/>
      </patternFill>
    </fill>
    <fill>
      <patternFill patternType="solid">
        <fgColor theme="0"/>
        <bgColor rgb="FFF2F2F2"/>
      </patternFill>
    </fill>
    <fill>
      <patternFill patternType="solid">
        <fgColor rgb="FFEF8943"/>
        <bgColor indexed="64"/>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gray125">
        <fgColor theme="7" tint="0.39994506668294322"/>
        <bgColor theme="0"/>
      </patternFill>
    </fill>
    <fill>
      <patternFill patternType="gray0625">
        <bgColor theme="0"/>
      </patternFill>
    </fill>
    <fill>
      <patternFill patternType="solid">
        <fgColor rgb="FFFF3B3B"/>
        <bgColor indexed="64"/>
      </patternFill>
    </fill>
    <fill>
      <patternFill patternType="solid">
        <fgColor rgb="FFDEC8EE"/>
        <bgColor indexed="64"/>
      </patternFill>
    </fill>
    <fill>
      <patternFill patternType="solid">
        <fgColor rgb="FFDEC8EE"/>
        <bgColor theme="9"/>
      </patternFill>
    </fill>
    <fill>
      <patternFill patternType="solid">
        <fgColor rgb="FFFFFFB7"/>
        <bgColor indexed="64"/>
      </patternFill>
    </fill>
    <fill>
      <patternFill patternType="gray125">
        <bgColor theme="0" tint="-0.14996795556505021"/>
      </patternFill>
    </fill>
    <fill>
      <patternFill patternType="solid">
        <fgColor theme="0" tint="-0.14999847407452621"/>
        <bgColor theme="0"/>
      </patternFill>
    </fill>
    <fill>
      <patternFill patternType="solid">
        <fgColor theme="0" tint="-0.14999847407452621"/>
        <bgColor theme="9"/>
      </patternFill>
    </fill>
    <fill>
      <patternFill patternType="solid">
        <fgColor theme="5" tint="0.79998168889431442"/>
        <bgColor indexed="64"/>
      </patternFill>
    </fill>
    <fill>
      <patternFill patternType="solid">
        <fgColor rgb="FFFFFFDD"/>
        <bgColor theme="0"/>
      </patternFill>
    </fill>
    <fill>
      <patternFill patternType="solid">
        <fgColor theme="7" tint="0.59999389629810485"/>
        <bgColor indexed="64"/>
      </patternFill>
    </fill>
    <fill>
      <patternFill patternType="solid">
        <fgColor rgb="FFF9D4BD"/>
        <bgColor indexed="64"/>
      </patternFill>
    </fill>
    <fill>
      <patternFill patternType="solid">
        <fgColor theme="4" tint="0.79998168889431442"/>
        <bgColor theme="0"/>
      </patternFill>
    </fill>
    <fill>
      <patternFill patternType="solid">
        <fgColor rgb="FFDBEBD1"/>
        <bgColor theme="0"/>
      </patternFill>
    </fill>
    <fill>
      <patternFill patternType="solid">
        <fgColor theme="7" tint="0.59999389629810485"/>
        <bgColor theme="0"/>
      </patternFill>
    </fill>
    <fill>
      <patternFill patternType="solid">
        <fgColor rgb="FFF9D4BD"/>
        <bgColor theme="0"/>
      </patternFill>
    </fill>
    <fill>
      <patternFill patternType="gray0625">
        <fgColor theme="9" tint="0.79998168889431442"/>
        <bgColor theme="4" tint="0.79998168889431442"/>
      </patternFill>
    </fill>
    <fill>
      <patternFill patternType="solid">
        <fgColor rgb="FFDBEBD1"/>
        <bgColor indexed="64"/>
      </patternFill>
    </fill>
    <fill>
      <patternFill patternType="gray0625">
        <fgColor theme="9" tint="0.79998168889431442"/>
        <bgColor rgb="FFDBEBD1"/>
      </patternFill>
    </fill>
    <fill>
      <patternFill patternType="gray0625">
        <fgColor theme="9" tint="0.79998168889431442"/>
        <bgColor theme="7" tint="0.59999389629810485"/>
      </patternFill>
    </fill>
    <fill>
      <patternFill patternType="gray0625">
        <fgColor theme="9" tint="0.79998168889431442"/>
        <bgColor rgb="FFF9D4BD"/>
      </patternFill>
    </fill>
    <fill>
      <patternFill patternType="solid">
        <fgColor rgb="FF7030A0"/>
        <bgColor indexed="64"/>
      </patternFill>
    </fill>
    <fill>
      <patternFill patternType="solid">
        <fgColor rgb="FF0066FF"/>
        <bgColor indexed="64"/>
      </patternFill>
    </fill>
    <fill>
      <patternFill patternType="solid">
        <fgColor rgb="FF9BC2E6"/>
        <bgColor indexed="64"/>
      </patternFill>
    </fill>
    <fill>
      <patternFill patternType="solid">
        <fgColor rgb="FF305496"/>
        <bgColor indexed="64"/>
      </patternFill>
    </fill>
    <fill>
      <patternFill patternType="solid">
        <fgColor rgb="FF305496"/>
        <bgColor theme="9"/>
      </patternFill>
    </fill>
    <fill>
      <patternFill patternType="solid">
        <fgColor rgb="FF00B0F0"/>
        <bgColor indexed="64"/>
      </patternFill>
    </fill>
    <fill>
      <patternFill patternType="gray125">
        <fgColor theme="7" tint="0.39994506668294322"/>
        <bgColor theme="0" tint="-0.34998626667073579"/>
      </patternFill>
    </fill>
    <fill>
      <patternFill patternType="solid">
        <fgColor rgb="FFFFF8E5"/>
        <bgColor indexed="64"/>
      </patternFill>
    </fill>
    <fill>
      <patternFill patternType="solid">
        <fgColor rgb="FFFFF8E5"/>
        <bgColor indexed="50"/>
      </patternFill>
    </fill>
    <fill>
      <patternFill patternType="solid">
        <fgColor theme="7"/>
        <bgColor indexed="64"/>
      </patternFill>
    </fill>
    <fill>
      <patternFill patternType="solid">
        <fgColor rgb="FFDEFFBD"/>
        <bgColor theme="9"/>
      </patternFill>
    </fill>
    <fill>
      <patternFill patternType="solid">
        <fgColor rgb="FFFFFFCC"/>
        <bgColor theme="9"/>
      </patternFill>
    </fill>
    <fill>
      <patternFill patternType="gray125">
        <bgColor theme="0"/>
      </patternFill>
    </fill>
    <fill>
      <patternFill patternType="solid">
        <fgColor theme="0" tint="-0.149967955565050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indexed="64"/>
      </patternFill>
    </fill>
    <fill>
      <patternFill patternType="solid">
        <fgColor rgb="FFFFFFAF"/>
        <bgColor theme="0"/>
      </patternFill>
    </fill>
    <fill>
      <patternFill patternType="solid">
        <fgColor theme="0"/>
        <bgColor theme="0"/>
      </patternFill>
    </fill>
    <fill>
      <patternFill patternType="solid">
        <fgColor rgb="FFC65911"/>
        <bgColor indexed="64"/>
      </patternFill>
    </fill>
    <fill>
      <patternFill patternType="solid">
        <fgColor rgb="FFFFFFCC"/>
        <bgColor theme="0"/>
      </patternFill>
    </fill>
    <fill>
      <patternFill patternType="solid">
        <fgColor theme="5" tint="-0.249977111117893"/>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indexed="42"/>
        <bgColor indexed="64"/>
      </patternFill>
    </fill>
    <fill>
      <patternFill patternType="solid">
        <fgColor rgb="FFCCFFCC"/>
        <bgColor indexed="64"/>
      </patternFill>
    </fill>
    <fill>
      <patternFill patternType="solid">
        <fgColor theme="0" tint="-0.14993743705557422"/>
        <bgColor indexed="64"/>
      </patternFill>
    </fill>
    <fill>
      <patternFill patternType="solid">
        <fgColor theme="5"/>
        <bgColor indexed="64"/>
      </patternFill>
    </fill>
    <fill>
      <patternFill patternType="solid">
        <fgColor indexed="46"/>
        <bgColor indexed="64"/>
      </patternFill>
    </fill>
    <fill>
      <patternFill patternType="solid">
        <fgColor indexed="26"/>
        <bgColor indexed="9"/>
      </patternFill>
    </fill>
    <fill>
      <patternFill patternType="solid">
        <fgColor indexed="22"/>
        <bgColor indexed="64"/>
      </patternFill>
    </fill>
    <fill>
      <patternFill patternType="solid">
        <fgColor rgb="FFFFD966"/>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theme="1" tint="0.499984740745262"/>
        <bgColor indexed="64"/>
      </patternFill>
    </fill>
    <fill>
      <patternFill patternType="solid">
        <fgColor indexed="43"/>
        <bgColor indexed="64"/>
      </patternFill>
    </fill>
    <fill>
      <patternFill patternType="solid">
        <fgColor rgb="FFFFFF66"/>
        <bgColor indexed="64"/>
      </patternFill>
    </fill>
    <fill>
      <patternFill patternType="solid">
        <fgColor indexed="53"/>
        <bgColor indexed="64"/>
      </patternFill>
    </fill>
    <fill>
      <patternFill patternType="solid">
        <fgColor rgb="FF4472C4"/>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1"/>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rgb="FFFFFFFF"/>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D9D9D9"/>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rgb="FFC6E0B4"/>
        <bgColor indexed="64"/>
      </patternFill>
    </fill>
    <fill>
      <patternFill patternType="solid">
        <fgColor rgb="FFBA8CDC"/>
        <bgColor indexed="64"/>
      </patternFill>
    </fill>
    <fill>
      <patternFill patternType="solid">
        <fgColor rgb="FFFFE07D"/>
        <bgColor indexed="64"/>
      </patternFill>
    </fill>
    <fill>
      <patternFill patternType="solid">
        <fgColor rgb="FFCDE1F3"/>
        <bgColor indexed="64"/>
      </patternFill>
    </fill>
    <fill>
      <patternFill patternType="solid">
        <fgColor rgb="FF4B77C5"/>
        <bgColor indexed="64"/>
      </patternFill>
    </fill>
    <fill>
      <patternFill patternType="solid">
        <fgColor theme="8" tint="0.39997558519241921"/>
        <bgColor indexed="64"/>
      </patternFill>
    </fill>
    <fill>
      <patternFill patternType="gray125">
        <bgColor theme="0" tint="-0.14999847407452621"/>
      </patternFill>
    </fill>
    <fill>
      <patternFill patternType="solid">
        <fgColor theme="0" tint="-4.9989318521683403E-2"/>
        <bgColor theme="9" tint="0.79998168889431442"/>
      </patternFill>
    </fill>
    <fill>
      <patternFill patternType="solid">
        <fgColor rgb="FFC3FF19"/>
        <bgColor indexed="64"/>
      </patternFill>
    </fill>
    <fill>
      <patternFill patternType="solid">
        <fgColor rgb="FFC3FF19"/>
        <bgColor theme="9"/>
      </patternFill>
    </fill>
    <fill>
      <patternFill patternType="solid">
        <fgColor rgb="FFFFD72F"/>
        <bgColor indexed="64"/>
      </patternFill>
    </fill>
    <fill>
      <patternFill patternType="solid">
        <fgColor rgb="FFD9BFEB"/>
        <bgColor indexed="64"/>
      </patternFill>
    </fill>
    <fill>
      <patternFill patternType="solid">
        <fgColor rgb="FFECDFF5"/>
        <bgColor indexed="64"/>
      </patternFill>
    </fill>
    <fill>
      <patternFill patternType="solid">
        <fgColor rgb="FFD0B0E6"/>
        <bgColor indexed="64"/>
      </patternFill>
    </fill>
    <fill>
      <patternFill patternType="solid">
        <fgColor rgb="FFDDC5A2"/>
        <bgColor indexed="64"/>
      </patternFill>
    </fill>
    <fill>
      <patternFill patternType="solid">
        <fgColor rgb="FFE1DD72"/>
        <bgColor indexed="64"/>
      </patternFill>
    </fill>
    <fill>
      <patternFill patternType="solid">
        <fgColor rgb="FFA8C66C"/>
        <bgColor indexed="64"/>
      </patternFill>
    </fill>
    <fill>
      <patternFill patternType="solid">
        <fgColor rgb="FF1B6535"/>
        <bgColor indexed="64"/>
      </patternFill>
    </fill>
    <fill>
      <patternFill patternType="solid">
        <fgColor rgb="FFE3B448"/>
        <bgColor indexed="64"/>
      </patternFill>
    </fill>
    <fill>
      <patternFill patternType="solid">
        <fgColor rgb="FFCBD18F"/>
        <bgColor indexed="64"/>
      </patternFill>
    </fill>
    <fill>
      <patternFill patternType="solid">
        <fgColor rgb="FF3A6B35"/>
        <bgColor indexed="64"/>
      </patternFill>
    </fill>
    <fill>
      <patternFill patternType="solid">
        <fgColor rgb="FFF6EAD4"/>
        <bgColor indexed="64"/>
      </patternFill>
    </fill>
    <fill>
      <patternFill patternType="solid">
        <fgColor rgb="FF626D71"/>
        <bgColor indexed="64"/>
      </patternFill>
    </fill>
    <fill>
      <patternFill patternType="solid">
        <fgColor rgb="FFA2A595"/>
        <bgColor indexed="64"/>
      </patternFill>
    </fill>
    <fill>
      <patternFill patternType="solid">
        <fgColor rgb="FFCDCDC0"/>
        <bgColor indexed="64"/>
      </patternFill>
    </fill>
    <fill>
      <patternFill patternType="solid">
        <fgColor rgb="FFB4A284"/>
        <bgColor indexed="64"/>
      </patternFill>
    </fill>
    <fill>
      <patternFill patternType="solid">
        <fgColor rgb="FFB38867"/>
        <bgColor indexed="64"/>
      </patternFill>
    </fill>
    <fill>
      <patternFill patternType="solid">
        <fgColor rgb="FFDDBC95"/>
        <bgColor indexed="64"/>
      </patternFill>
    </fill>
    <fill>
      <patternFill patternType="solid">
        <fgColor rgb="FF829079"/>
        <bgColor indexed="64"/>
      </patternFill>
    </fill>
    <fill>
      <patternFill patternType="solid">
        <fgColor rgb="FFEDE6B9"/>
        <bgColor indexed="64"/>
      </patternFill>
    </fill>
    <fill>
      <patternFill patternType="solid">
        <fgColor rgb="FFB9925E"/>
        <bgColor indexed="64"/>
      </patternFill>
    </fill>
    <fill>
      <patternFill patternType="solid">
        <fgColor rgb="FFFF2E63"/>
        <bgColor indexed="64"/>
      </patternFill>
    </fill>
    <fill>
      <patternFill patternType="solid">
        <fgColor rgb="FF8A4FBD"/>
        <bgColor indexed="64"/>
      </patternFill>
    </fill>
    <fill>
      <patternFill patternType="solid">
        <fgColor rgb="FFE5D7C3"/>
        <bgColor indexed="64"/>
      </patternFill>
    </fill>
    <fill>
      <patternFill patternType="solid">
        <fgColor rgb="FFF98866"/>
        <bgColor indexed="64"/>
      </patternFill>
    </fill>
    <fill>
      <patternFill patternType="solid">
        <fgColor rgb="FFFF420E"/>
        <bgColor indexed="64"/>
      </patternFill>
    </fill>
    <fill>
      <patternFill patternType="solid">
        <fgColor rgb="FF80BD9E"/>
        <bgColor indexed="64"/>
      </patternFill>
    </fill>
    <fill>
      <patternFill patternType="solid">
        <fgColor rgb="FF89DA59"/>
        <bgColor indexed="64"/>
      </patternFill>
    </fill>
    <fill>
      <patternFill patternType="solid">
        <fgColor rgb="FF003B46"/>
        <bgColor indexed="64"/>
      </patternFill>
    </fill>
    <fill>
      <patternFill patternType="solid">
        <fgColor rgb="FF07575B"/>
        <bgColor indexed="64"/>
      </patternFill>
    </fill>
    <fill>
      <patternFill patternType="solid">
        <fgColor rgb="FF66A5AD"/>
        <bgColor indexed="64"/>
      </patternFill>
    </fill>
    <fill>
      <patternFill patternType="solid">
        <fgColor rgb="FFC4DFE6"/>
        <bgColor indexed="64"/>
      </patternFill>
    </fill>
    <fill>
      <patternFill patternType="solid">
        <fgColor rgb="FF2E4600"/>
        <bgColor indexed="64"/>
      </patternFill>
    </fill>
    <fill>
      <patternFill patternType="solid">
        <fgColor rgb="FF486B00"/>
        <bgColor indexed="64"/>
      </patternFill>
    </fill>
    <fill>
      <patternFill patternType="solid">
        <fgColor rgb="FFA2C523"/>
        <bgColor indexed="64"/>
      </patternFill>
    </fill>
    <fill>
      <patternFill patternType="solid">
        <fgColor rgb="FF7D4427"/>
        <bgColor indexed="64"/>
      </patternFill>
    </fill>
  </fills>
  <borders count="463">
    <border>
      <left/>
      <right/>
      <top/>
      <bottom/>
      <diagonal/>
    </border>
    <border>
      <left/>
      <right/>
      <top style="double">
        <color theme="9" tint="0.39994506668294322"/>
      </top>
      <bottom/>
      <diagonal/>
    </border>
    <border>
      <left/>
      <right/>
      <top style="medium">
        <color auto="1"/>
      </top>
      <bottom/>
      <diagonal/>
    </border>
    <border>
      <left/>
      <right/>
      <top/>
      <bottom style="medium">
        <color auto="1"/>
      </bottom>
      <diagonal/>
    </border>
    <border>
      <left/>
      <right/>
      <top style="thin">
        <color indexed="64"/>
      </top>
      <bottom style="hair">
        <color indexed="64"/>
      </bottom>
      <diagonal/>
    </border>
    <border>
      <left/>
      <right/>
      <top style="thin">
        <color auto="1"/>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auto="1"/>
      </top>
      <bottom/>
      <diagonal/>
    </border>
    <border>
      <left/>
      <right style="medium">
        <color indexed="64"/>
      </right>
      <top/>
      <bottom/>
      <diagonal/>
    </border>
    <border>
      <left/>
      <right/>
      <top style="hair">
        <color auto="1"/>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bottom style="hair">
        <color auto="1"/>
      </bottom>
      <diagonal/>
    </border>
    <border>
      <left/>
      <right style="hair">
        <color auto="1"/>
      </right>
      <top/>
      <bottom style="hair">
        <color auto="1"/>
      </bottom>
      <diagonal/>
    </border>
    <border>
      <left style="hair">
        <color auto="1"/>
      </left>
      <right style="medium">
        <color auto="1"/>
      </right>
      <top style="thin">
        <color auto="1"/>
      </top>
      <bottom style="hair">
        <color auto="1"/>
      </bottom>
      <diagonal/>
    </border>
    <border>
      <left style="hair">
        <color auto="1"/>
      </left>
      <right/>
      <top/>
      <bottom/>
      <diagonal/>
    </border>
    <border>
      <left/>
      <right style="hair">
        <color auto="1"/>
      </right>
      <top/>
      <bottom/>
      <diagonal/>
    </border>
    <border>
      <left style="hair">
        <color indexed="64"/>
      </left>
      <right style="hair">
        <color indexed="64"/>
      </right>
      <top/>
      <bottom/>
      <diagonal/>
    </border>
    <border>
      <left style="hair">
        <color auto="1"/>
      </left>
      <right/>
      <top/>
      <bottom style="hair">
        <color auto="1"/>
      </bottom>
      <diagonal/>
    </border>
    <border>
      <left style="hair">
        <color auto="1"/>
      </left>
      <right style="hair">
        <color indexed="64"/>
      </right>
      <top/>
      <bottom style="hair">
        <color auto="1"/>
      </bottom>
      <diagonal/>
    </border>
    <border>
      <left/>
      <right style="medium">
        <color indexed="64"/>
      </right>
      <top/>
      <bottom style="hair">
        <color auto="1"/>
      </bottom>
      <diagonal/>
    </border>
    <border>
      <left style="hair">
        <color auto="1"/>
      </left>
      <right/>
      <top/>
      <bottom style="thin">
        <color theme="9" tint="0.39997558519241921"/>
      </bottom>
      <diagonal/>
    </border>
    <border>
      <left/>
      <right/>
      <top/>
      <bottom style="thin">
        <color theme="9" tint="0.39997558519241921"/>
      </bottom>
      <diagonal/>
    </border>
    <border>
      <left style="hair">
        <color auto="1"/>
      </left>
      <right style="hair">
        <color auto="1"/>
      </right>
      <top style="hair">
        <color auto="1"/>
      </top>
      <bottom style="hair">
        <color auto="1"/>
      </bottom>
      <diagonal/>
    </border>
    <border>
      <left/>
      <right style="hair">
        <color indexed="64"/>
      </right>
      <top/>
      <bottom style="thin">
        <color theme="9" tint="0.39997558519241921"/>
      </bottom>
      <diagonal/>
    </border>
    <border>
      <left/>
      <right style="hair">
        <color indexed="64"/>
      </right>
      <top style="hair">
        <color indexed="64"/>
      </top>
      <bottom/>
      <diagonal/>
    </border>
    <border>
      <left style="hair">
        <color theme="9" tint="0.39988402966399123"/>
      </left>
      <right/>
      <top style="hair">
        <color auto="1"/>
      </top>
      <bottom style="hair">
        <color theme="9" tint="0.39988402966399123"/>
      </bottom>
      <diagonal/>
    </border>
    <border>
      <left/>
      <right style="medium">
        <color indexed="64"/>
      </right>
      <top/>
      <bottom style="hair">
        <color theme="9" tint="0.59996337778862885"/>
      </bottom>
      <diagonal/>
    </border>
    <border>
      <left style="hair">
        <color theme="9" tint="0.39988402966399123"/>
      </left>
      <right/>
      <top style="hair">
        <color theme="9" tint="0.39988402966399123"/>
      </top>
      <bottom style="hair">
        <color theme="9" tint="0.39988402966399123"/>
      </bottom>
      <diagonal/>
    </border>
    <border>
      <left/>
      <right/>
      <top style="thin">
        <color theme="9" tint="0.39997558519241921"/>
      </top>
      <bottom style="thin">
        <color theme="9" tint="0.39997558519241921"/>
      </bottom>
      <diagonal/>
    </border>
    <border>
      <left/>
      <right style="medium">
        <color auto="1"/>
      </right>
      <top style="hair">
        <color theme="9" tint="0.59996337778862885"/>
      </top>
      <bottom style="hair">
        <color theme="9" tint="0.59996337778862885"/>
      </bottom>
      <diagonal/>
    </border>
    <border>
      <left/>
      <right style="medium">
        <color auto="1"/>
      </right>
      <top style="hair">
        <color theme="9" tint="0.39991454817346722"/>
      </top>
      <bottom style="hair">
        <color theme="9" tint="0.39991454817346722"/>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top/>
      <bottom/>
      <diagonal/>
    </border>
    <border>
      <left/>
      <right style="thin">
        <color indexed="64"/>
      </right>
      <top/>
      <bottom/>
      <diagonal/>
    </border>
    <border>
      <left/>
      <right style="medium">
        <color indexed="64"/>
      </right>
      <top style="hair">
        <color theme="9" tint="0.39994506668294322"/>
      </top>
      <bottom style="hair">
        <color theme="9" tint="0.39994506668294322"/>
      </bottom>
      <diagonal/>
    </border>
    <border>
      <left style="thin">
        <color auto="1"/>
      </left>
      <right/>
      <top/>
      <bottom style="thin">
        <color auto="1"/>
      </bottom>
      <diagonal/>
    </border>
    <border>
      <left style="hair">
        <color indexed="64"/>
      </left>
      <right/>
      <top/>
      <bottom style="thin">
        <color indexed="64"/>
      </bottom>
      <diagonal/>
    </border>
    <border>
      <left/>
      <right style="thin">
        <color indexed="64"/>
      </right>
      <top/>
      <bottom style="thin">
        <color indexed="64"/>
      </bottom>
      <diagonal/>
    </border>
    <border>
      <left/>
      <right/>
      <top style="thin">
        <color theme="9" tint="0.39997558519241921"/>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style="hair">
        <color auto="1"/>
      </left>
      <right style="medium">
        <color auto="1"/>
      </right>
      <top style="hair">
        <color auto="1"/>
      </top>
      <bottom style="hair">
        <color auto="1"/>
      </bottom>
      <diagonal/>
    </border>
    <border>
      <left style="hair">
        <color indexed="64"/>
      </left>
      <right/>
      <top style="hair">
        <color indexed="64"/>
      </top>
      <bottom/>
      <diagonal/>
    </border>
    <border>
      <left/>
      <right/>
      <top style="hair">
        <color auto="1"/>
      </top>
      <bottom/>
      <diagonal/>
    </border>
    <border>
      <left/>
      <right/>
      <top style="hair">
        <color auto="1"/>
      </top>
      <bottom style="dashed">
        <color indexed="64"/>
      </bottom>
      <diagonal/>
    </border>
    <border>
      <left/>
      <right style="medium">
        <color auto="1"/>
      </right>
      <top style="hair">
        <color auto="1"/>
      </top>
      <bottom/>
      <diagonal/>
    </border>
    <border>
      <left style="hair">
        <color indexed="64"/>
      </left>
      <right/>
      <top style="thin">
        <color indexed="64"/>
      </top>
      <bottom/>
      <diagonal/>
    </border>
    <border>
      <left/>
      <right/>
      <top style="dashed">
        <color indexed="64"/>
      </top>
      <bottom/>
      <diagonal/>
    </border>
    <border>
      <left style="thin">
        <color auto="1"/>
      </left>
      <right/>
      <top style="thin">
        <color indexed="64"/>
      </top>
      <bottom/>
      <diagonal/>
    </border>
    <border>
      <left/>
      <right style="medium">
        <color auto="1"/>
      </right>
      <top style="thin">
        <color auto="1"/>
      </top>
      <bottom/>
      <diagonal/>
    </border>
    <border>
      <left style="thin">
        <color auto="1"/>
      </left>
      <right/>
      <top/>
      <bottom style="hair">
        <color indexed="64"/>
      </bottom>
      <diagonal/>
    </border>
    <border>
      <left/>
      <right/>
      <top/>
      <bottom style="thin">
        <color indexed="64"/>
      </bottom>
      <diagonal/>
    </border>
    <border>
      <left/>
      <right style="medium">
        <color auto="1"/>
      </right>
      <top/>
      <bottom style="thin">
        <color indexed="64"/>
      </bottom>
      <diagonal/>
    </border>
    <border>
      <left style="medium">
        <color auto="1"/>
      </left>
      <right/>
      <top/>
      <bottom style="medium">
        <color auto="1"/>
      </bottom>
      <diagonal/>
    </border>
    <border>
      <left/>
      <right style="medium">
        <color auto="1"/>
      </right>
      <top/>
      <bottom style="medium">
        <color auto="1"/>
      </bottom>
      <diagonal/>
    </border>
    <border>
      <left style="dashed">
        <color auto="1"/>
      </left>
      <right style="dashed">
        <color auto="1"/>
      </right>
      <top style="dashed">
        <color auto="1"/>
      </top>
      <bottom style="dashed">
        <color auto="1"/>
      </bottom>
      <diagonal/>
    </border>
    <border>
      <left style="medium">
        <color auto="1"/>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bottom style="hair">
        <color indexed="64"/>
      </bottom>
      <diagonal/>
    </border>
    <border>
      <left style="medium">
        <color indexed="64"/>
      </left>
      <right/>
      <top/>
      <bottom style="thin">
        <color theme="9" tint="0.39997558519241921"/>
      </bottom>
      <diagonal/>
    </border>
    <border>
      <left style="hair">
        <color theme="1" tint="0.499984740745262"/>
      </left>
      <right/>
      <top/>
      <bottom/>
      <diagonal/>
    </border>
    <border>
      <left/>
      <right style="hair">
        <color indexed="64"/>
      </right>
      <top/>
      <bottom style="hair">
        <color theme="9" tint="0.59996337778862885"/>
      </bottom>
      <diagonal/>
    </border>
    <border>
      <left/>
      <right/>
      <top/>
      <bottom style="mediumDashed">
        <color indexed="64"/>
      </bottom>
      <diagonal/>
    </border>
    <border>
      <left/>
      <right style="hair">
        <color theme="9" tint="0.39994506668294322"/>
      </right>
      <top/>
      <bottom style="hair">
        <color theme="9" tint="0.39991454817346722"/>
      </bottom>
      <diagonal/>
    </border>
    <border>
      <left style="medium">
        <color indexed="64"/>
      </left>
      <right style="hair">
        <color indexed="64"/>
      </right>
      <top style="double">
        <color theme="9" tint="0.39994506668294322"/>
      </top>
      <bottom/>
      <diagonal/>
    </border>
    <border>
      <left style="hair">
        <color indexed="64"/>
      </left>
      <right/>
      <top style="double">
        <color theme="9" tint="0.39994506668294322"/>
      </top>
      <bottom/>
      <diagonal/>
    </border>
    <border>
      <left/>
      <right/>
      <top style="double">
        <color theme="9" tint="0.39994506668294322"/>
      </top>
      <bottom style="hair">
        <color auto="1"/>
      </bottom>
      <diagonal/>
    </border>
    <border>
      <left/>
      <right style="medium">
        <color indexed="64"/>
      </right>
      <top style="double">
        <color theme="9" tint="0.39994506668294322"/>
      </top>
      <bottom/>
      <diagonal/>
    </border>
    <border>
      <left style="medium">
        <color indexed="64"/>
      </left>
      <right style="hair">
        <color auto="1"/>
      </right>
      <top/>
      <bottom style="hair">
        <color auto="1"/>
      </bottom>
      <diagonal/>
    </border>
    <border>
      <left style="medium">
        <color indexed="64"/>
      </left>
      <right style="hair">
        <color indexed="64"/>
      </right>
      <top style="hair">
        <color theme="9" tint="0.39991454817346722"/>
      </top>
      <bottom style="hair">
        <color theme="9" tint="0.39991454817346722"/>
      </bottom>
      <diagonal/>
    </border>
    <border>
      <left style="hair">
        <color indexed="64"/>
      </left>
      <right/>
      <top style="hair">
        <color theme="9" tint="0.39994506668294322"/>
      </top>
      <bottom style="hair">
        <color theme="9" tint="0.39994506668294322"/>
      </bottom>
      <diagonal/>
    </border>
    <border>
      <left/>
      <right/>
      <top style="hair">
        <color theme="9" tint="0.39994506668294322"/>
      </top>
      <bottom style="hair">
        <color theme="9" tint="0.39994506668294322"/>
      </bottom>
      <diagonal/>
    </border>
    <border>
      <left/>
      <right/>
      <top style="hair">
        <color theme="9" tint="0.39991454817346722"/>
      </top>
      <bottom style="hair">
        <color theme="9" tint="0.39991454817346722"/>
      </bottom>
      <diagonal/>
    </border>
    <border>
      <left/>
      <right/>
      <top style="hair">
        <color theme="9" tint="0.39994506668294322"/>
      </top>
      <bottom/>
      <diagonal/>
    </border>
    <border>
      <left/>
      <right style="medium">
        <color indexed="64"/>
      </right>
      <top style="hair">
        <color theme="9" tint="0.39994506668294322"/>
      </top>
      <bottom/>
      <diagonal/>
    </border>
    <border>
      <left style="hair">
        <color indexed="64"/>
      </left>
      <right/>
      <top/>
      <bottom style="dashed">
        <color indexed="64"/>
      </bottom>
      <diagonal/>
    </border>
    <border>
      <left/>
      <right/>
      <top/>
      <bottom style="dashed">
        <color indexed="64"/>
      </bottom>
      <diagonal/>
    </border>
    <border>
      <left style="medium">
        <color auto="1"/>
      </left>
      <right/>
      <top style="double">
        <color theme="9" tint="0.39994506668294322"/>
      </top>
      <bottom/>
      <diagonal/>
    </border>
    <border>
      <left style="hair">
        <color indexed="64"/>
      </left>
      <right style="hair">
        <color indexed="64"/>
      </right>
      <top style="double">
        <color theme="9" tint="0.39994506668294322"/>
      </top>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hair">
        <color indexed="64"/>
      </left>
      <right style="hair">
        <color indexed="64"/>
      </right>
      <top style="hair">
        <color auto="1"/>
      </top>
      <bottom/>
      <diagonal/>
    </border>
    <border>
      <left style="medium">
        <color auto="1"/>
      </left>
      <right/>
      <top style="thin">
        <color theme="9" tint="0.39997558519241921"/>
      </top>
      <bottom style="thin">
        <color theme="9" tint="0.39997558519241921"/>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style="hair">
        <color theme="9" tint="0.39991454817346722"/>
      </left>
      <right style="hair">
        <color theme="9" tint="0.39991454817346722"/>
      </right>
      <top/>
      <bottom style="thin">
        <color theme="9" tint="0.39997558519241921"/>
      </bottom>
      <diagonal/>
    </border>
    <border>
      <left/>
      <right style="thin">
        <color indexed="64"/>
      </right>
      <top style="thin">
        <color indexed="64"/>
      </top>
      <bottom/>
      <diagonal/>
    </border>
    <border>
      <left/>
      <right style="thin">
        <color indexed="64"/>
      </right>
      <top/>
      <bottom style="hair">
        <color indexed="64"/>
      </bottom>
      <diagonal/>
    </border>
    <border>
      <left style="hair">
        <color auto="1"/>
      </left>
      <right/>
      <top style="dashed">
        <color indexed="64"/>
      </top>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right style="hair">
        <color indexed="64"/>
      </right>
      <top style="double">
        <color theme="9" tint="0.39994506668294322"/>
      </top>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thin">
        <color theme="9" tint="0.39991454817346722"/>
      </left>
      <right/>
      <top style="double">
        <color theme="9" tint="0.39994506668294322"/>
      </top>
      <bottom/>
      <diagonal/>
    </border>
    <border>
      <left/>
      <right style="thin">
        <color auto="1"/>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right style="thin">
        <color auto="1"/>
      </right>
      <top style="hair">
        <color theme="9" tint="0.59996337778862885"/>
      </top>
      <bottom style="hair">
        <color theme="9" tint="0.59996337778862885"/>
      </bottom>
      <diagonal/>
    </border>
    <border>
      <left style="medium">
        <color indexed="64"/>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auto="1"/>
      </right>
      <top style="thin">
        <color indexed="64"/>
      </top>
      <bottom style="dashed">
        <color auto="1"/>
      </bottom>
      <diagonal/>
    </border>
    <border>
      <left/>
      <right style="medium">
        <color indexed="64"/>
      </right>
      <top style="dashed">
        <color indexed="64"/>
      </top>
      <bottom/>
      <diagonal/>
    </border>
    <border>
      <left style="medium">
        <color indexed="64"/>
      </left>
      <right/>
      <top style="hair">
        <color auto="1"/>
      </top>
      <bottom/>
      <diagonal/>
    </border>
    <border>
      <left style="medium">
        <color auto="1"/>
      </left>
      <right/>
      <top style="thin">
        <color indexed="64"/>
      </top>
      <bottom style="dashed">
        <color auto="1"/>
      </bottom>
      <diagonal/>
    </border>
    <border>
      <left style="medium">
        <color auto="1"/>
      </left>
      <right style="dashed">
        <color auto="1"/>
      </right>
      <top style="dashed">
        <color auto="1"/>
      </top>
      <bottom style="dashed">
        <color auto="1"/>
      </bottom>
      <diagonal/>
    </border>
    <border>
      <left style="medium">
        <color indexed="64"/>
      </left>
      <right/>
      <top/>
      <bottom style="mediumDashed">
        <color indexed="64"/>
      </bottom>
      <diagonal/>
    </border>
    <border>
      <left/>
      <right style="medium">
        <color auto="1"/>
      </right>
      <top/>
      <bottom style="mediumDashed">
        <color indexed="64"/>
      </bottom>
      <diagonal/>
    </border>
    <border>
      <left style="medium">
        <color auto="1"/>
      </left>
      <right/>
      <top/>
      <bottom style="dashed">
        <color indexed="64"/>
      </bottom>
      <diagonal/>
    </border>
    <border>
      <left/>
      <right style="medium">
        <color indexed="64"/>
      </right>
      <top/>
      <bottom style="dashed">
        <color indexed="64"/>
      </bottom>
      <diagonal/>
    </border>
    <border>
      <left style="medium">
        <color auto="1"/>
      </left>
      <right style="double">
        <color indexed="64"/>
      </right>
      <top style="double">
        <color indexed="64"/>
      </top>
      <bottom/>
      <diagonal/>
    </border>
    <border>
      <left style="medium">
        <color auto="1"/>
      </left>
      <right style="double">
        <color indexed="64"/>
      </right>
      <top/>
      <bottom style="hair">
        <color auto="1"/>
      </bottom>
      <diagonal/>
    </border>
    <border>
      <left style="medium">
        <color auto="1"/>
      </left>
      <right style="double">
        <color indexed="64"/>
      </right>
      <top/>
      <bottom style="double">
        <color indexed="64"/>
      </bottom>
      <diagonal/>
    </border>
    <border>
      <left style="medium">
        <color indexed="64"/>
      </left>
      <right/>
      <top/>
      <bottom style="thin">
        <color indexed="64"/>
      </bottom>
      <diagonal/>
    </border>
    <border>
      <left style="dashed">
        <color auto="1"/>
      </left>
      <right style="dashed">
        <color auto="1"/>
      </right>
      <top style="dashed">
        <color auto="1"/>
      </top>
      <bottom style="thin">
        <color indexed="64"/>
      </bottom>
      <diagonal/>
    </border>
    <border>
      <left/>
      <right/>
      <top style="mediumDashed">
        <color indexed="64"/>
      </top>
      <bottom/>
      <diagonal/>
    </border>
    <border>
      <left style="mediumDashed">
        <color auto="1"/>
      </left>
      <right/>
      <top/>
      <bottom/>
      <diagonal/>
    </border>
    <border>
      <left/>
      <right/>
      <top style="double">
        <color auto="1"/>
      </top>
      <bottom/>
      <diagonal/>
    </border>
    <border>
      <left/>
      <right/>
      <top/>
      <bottom style="double">
        <color theme="9" tint="0.39994506668294322"/>
      </bottom>
      <diagonal/>
    </border>
    <border>
      <left/>
      <right/>
      <top style="medium">
        <color auto="1"/>
      </top>
      <bottom style="medium">
        <color auto="1"/>
      </bottom>
      <diagonal/>
    </border>
    <border>
      <left style="medium">
        <color auto="1"/>
      </left>
      <right style="hair">
        <color indexed="64"/>
      </right>
      <top/>
      <bottom/>
      <diagonal/>
    </border>
    <border>
      <left style="mediumDashed">
        <color indexed="64"/>
      </left>
      <right/>
      <top/>
      <bottom style="thin">
        <color auto="1"/>
      </bottom>
      <diagonal/>
    </border>
    <border>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thin">
        <color auto="1"/>
      </left>
      <right/>
      <top style="medium">
        <color auto="1"/>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auto="1"/>
      </left>
      <right/>
      <top style="double">
        <color auto="1"/>
      </top>
      <bottom/>
      <diagonal/>
    </border>
    <border>
      <left/>
      <right style="medium">
        <color auto="1"/>
      </right>
      <top style="double">
        <color auto="1"/>
      </top>
      <bottom/>
      <diagonal/>
    </border>
    <border>
      <left style="medium">
        <color auto="1"/>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bottom style="medium">
        <color indexed="64"/>
      </bottom>
      <diagonal/>
    </border>
    <border>
      <left style="thin">
        <color indexed="64"/>
      </left>
      <right style="hair">
        <color auto="1"/>
      </right>
      <top/>
      <bottom/>
      <diagonal/>
    </border>
    <border>
      <left style="double">
        <color theme="9" tint="0.39991454817346722"/>
      </left>
      <right/>
      <top style="double">
        <color theme="9" tint="0.39994506668294322"/>
      </top>
      <bottom/>
      <diagonal/>
    </border>
    <border>
      <left/>
      <right style="double">
        <color theme="9" tint="0.39991454817346722"/>
      </right>
      <top style="double">
        <color theme="9" tint="0.39994506668294322"/>
      </top>
      <bottom/>
      <diagonal/>
    </border>
    <border>
      <left style="hair">
        <color theme="9" tint="0.39991454817346722"/>
      </left>
      <right style="hair">
        <color theme="9" tint="0.39988402966399123"/>
      </right>
      <top style="double">
        <color theme="9" tint="0.39994506668294322"/>
      </top>
      <bottom/>
      <diagonal/>
    </border>
    <border>
      <left style="hair">
        <color theme="9" tint="0.39988402966399123"/>
      </left>
      <right/>
      <top style="double">
        <color theme="9" tint="0.39994506668294322"/>
      </top>
      <bottom/>
      <diagonal/>
    </border>
    <border>
      <left style="double">
        <color theme="9" tint="0.39991454817346722"/>
      </left>
      <right/>
      <top/>
      <bottom style="double">
        <color theme="9" tint="0.39994506668294322"/>
      </bottom>
      <diagonal/>
    </border>
    <border>
      <left/>
      <right style="double">
        <color theme="9" tint="0.39991454817346722"/>
      </right>
      <top/>
      <bottom style="double">
        <color theme="9" tint="0.39994506668294322"/>
      </bottom>
      <diagonal/>
    </border>
    <border>
      <left style="hair">
        <color theme="9" tint="0.39991454817346722"/>
      </left>
      <right style="hair">
        <color theme="9" tint="0.39988402966399123"/>
      </right>
      <top/>
      <bottom style="double">
        <color theme="9" tint="0.39994506668294322"/>
      </bottom>
      <diagonal/>
    </border>
    <border>
      <left style="hair">
        <color theme="9" tint="0.39988402966399123"/>
      </left>
      <right/>
      <top/>
      <bottom style="double">
        <color theme="9" tint="0.39994506668294322"/>
      </bottom>
      <diagonal/>
    </border>
    <border>
      <left style="hair">
        <color auto="1"/>
      </left>
      <right/>
      <top/>
      <bottom style="double">
        <color theme="9" tint="0.39994506668294322"/>
      </bottom>
      <diagonal/>
    </border>
    <border>
      <left/>
      <right style="medium">
        <color indexed="64"/>
      </right>
      <top/>
      <bottom style="double">
        <color theme="9" tint="0.39994506668294322"/>
      </bottom>
      <diagonal/>
    </border>
    <border>
      <left style="hair">
        <color auto="1"/>
      </left>
      <right/>
      <top style="medium">
        <color indexed="64"/>
      </top>
      <bottom/>
      <diagonal/>
    </border>
    <border>
      <left style="double">
        <color theme="9" tint="0.39991454817346722"/>
      </left>
      <right/>
      <top/>
      <bottom style="double">
        <color theme="9" tint="0.39991454817346722"/>
      </bottom>
      <diagonal/>
    </border>
    <border>
      <left/>
      <right style="double">
        <color theme="9" tint="0.39991454817346722"/>
      </right>
      <top/>
      <bottom/>
      <diagonal/>
    </border>
    <border>
      <left style="double">
        <color theme="9" tint="0.39991454817346722"/>
      </left>
      <right/>
      <top style="double">
        <color theme="9" tint="0.39991454817346722"/>
      </top>
      <bottom style="double">
        <color theme="9" tint="0.39994506668294322"/>
      </bottom>
      <diagonal/>
    </border>
    <border>
      <left/>
      <right style="double">
        <color theme="9" tint="0.39991454817346722"/>
      </right>
      <top style="double">
        <color theme="9" tint="0.39991454817346722"/>
      </top>
      <bottom style="double">
        <color theme="9" tint="0.39994506668294322"/>
      </bottom>
      <diagonal/>
    </border>
    <border>
      <left style="double">
        <color theme="9" tint="0.39991454817346722"/>
      </left>
      <right style="medium">
        <color auto="1"/>
      </right>
      <top style="double">
        <color theme="9" tint="0.39991454817346722"/>
      </top>
      <bottom style="double">
        <color theme="9" tint="0.39994506668294322"/>
      </bottom>
      <diagonal/>
    </border>
    <border>
      <left/>
      <right style="thin">
        <color theme="9" tint="0.39985351115451523"/>
      </right>
      <top style="double">
        <color theme="9" tint="0.39994506668294322"/>
      </top>
      <bottom/>
      <diagonal/>
    </border>
    <border>
      <left style="thin">
        <color theme="9" tint="0.39985351115451523"/>
      </left>
      <right/>
      <top style="double">
        <color theme="9" tint="0.39994506668294322"/>
      </top>
      <bottom/>
      <diagonal/>
    </border>
    <border>
      <left style="double">
        <color theme="9" tint="0.39991454817346722"/>
      </left>
      <right/>
      <top/>
      <bottom style="double">
        <color theme="9" tint="0.39988402966399123"/>
      </bottom>
      <diagonal/>
    </border>
    <border>
      <left/>
      <right style="double">
        <color theme="9" tint="0.39991454817346722"/>
      </right>
      <top/>
      <bottom style="double">
        <color theme="9" tint="0.39988402966399123"/>
      </bottom>
      <diagonal/>
    </border>
    <border>
      <left/>
      <right style="thin">
        <color theme="9" tint="0.39985351115451523"/>
      </right>
      <top/>
      <bottom style="double">
        <color theme="9" tint="0.39994506668294322"/>
      </bottom>
      <diagonal/>
    </border>
    <border>
      <left style="thin">
        <color theme="9" tint="0.39985351115451523"/>
      </left>
      <right/>
      <top/>
      <bottom style="double">
        <color theme="9" tint="0.39994506668294322"/>
      </bottom>
      <diagonal/>
    </border>
    <border>
      <left style="mediumDashed">
        <color auto="1"/>
      </left>
      <right/>
      <top/>
      <bottom style="dashDot">
        <color auto="1"/>
      </bottom>
      <diagonal/>
    </border>
    <border>
      <left/>
      <right/>
      <top/>
      <bottom style="dashDot">
        <color auto="1"/>
      </bottom>
      <diagonal/>
    </border>
    <border>
      <left/>
      <right style="medium">
        <color indexed="64"/>
      </right>
      <top/>
      <bottom style="dashDot">
        <color indexed="64"/>
      </bottom>
      <diagonal/>
    </border>
    <border>
      <left style="hair">
        <color indexed="64"/>
      </left>
      <right/>
      <top/>
      <bottom style="medium">
        <color indexed="64"/>
      </bottom>
      <diagonal/>
    </border>
    <border>
      <left/>
      <right style="medium">
        <color auto="1"/>
      </right>
      <top style="hair">
        <color auto="1"/>
      </top>
      <bottom style="dashed">
        <color auto="1"/>
      </bottom>
      <diagonal/>
    </border>
    <border>
      <left style="hair">
        <color theme="9" tint="0.39988402966399123"/>
      </left>
      <right/>
      <top/>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top style="thin">
        <color theme="9" tint="0.39997558519241921"/>
      </top>
      <bottom style="hair">
        <color auto="1"/>
      </bottom>
      <diagonal/>
    </border>
    <border>
      <left/>
      <right/>
      <top/>
      <bottom style="double">
        <color theme="9" tint="0.39988402966399123"/>
      </bottom>
      <diagonal/>
    </border>
    <border>
      <left style="dashed">
        <color rgb="FF0033CC"/>
      </left>
      <right style="dashed">
        <color rgb="FF0033CC"/>
      </right>
      <top style="dashed">
        <color rgb="FF0033CC"/>
      </top>
      <bottom style="dashed">
        <color rgb="FF0033CC"/>
      </bottom>
      <diagonal/>
    </border>
    <border>
      <left style="dashed">
        <color rgb="FF0033CC"/>
      </left>
      <right/>
      <top style="dashed">
        <color rgb="FF0033CC"/>
      </top>
      <bottom style="dashed">
        <color rgb="FF0033CC"/>
      </bottom>
      <diagonal/>
    </border>
    <border>
      <left/>
      <right/>
      <top style="dashed">
        <color rgb="FF0033CC"/>
      </top>
      <bottom style="dashed">
        <color rgb="FF0033CC"/>
      </bottom>
      <diagonal/>
    </border>
    <border>
      <left/>
      <right/>
      <top/>
      <bottom style="hair">
        <color theme="9" tint="0.39994506668294322"/>
      </bottom>
      <diagonal/>
    </border>
    <border>
      <left style="medium">
        <color theme="0"/>
      </left>
      <right style="medium">
        <color theme="0"/>
      </right>
      <top style="hair">
        <color auto="1"/>
      </top>
      <bottom/>
      <diagonal/>
    </border>
    <border>
      <left style="hair">
        <color theme="9" tint="0.39994506668294322"/>
      </left>
      <right style="hair">
        <color theme="9" tint="0.39994506668294322"/>
      </right>
      <top/>
      <bottom style="hair">
        <color theme="9" tint="0.39991454817346722"/>
      </bottom>
      <diagonal/>
    </border>
    <border>
      <left/>
      <right style="medium">
        <color theme="0"/>
      </right>
      <top style="hair">
        <color auto="1"/>
      </top>
      <bottom/>
      <diagonal/>
    </border>
    <border>
      <left/>
      <right style="thin">
        <color theme="0"/>
      </right>
      <top/>
      <bottom/>
      <diagonal/>
    </border>
    <border>
      <left/>
      <right style="dashed">
        <color indexed="64"/>
      </right>
      <top style="dashed">
        <color indexed="64"/>
      </top>
      <bottom/>
      <diagonal/>
    </border>
    <border>
      <left/>
      <right style="dashed">
        <color auto="1"/>
      </right>
      <top/>
      <bottom/>
      <diagonal/>
    </border>
    <border>
      <left style="dashed">
        <color auto="1"/>
      </left>
      <right/>
      <top/>
      <bottom/>
      <diagonal/>
    </border>
    <border>
      <left/>
      <right style="dashed">
        <color auto="1"/>
      </right>
      <top/>
      <bottom style="dashed">
        <color indexed="64"/>
      </bottom>
      <diagonal/>
    </border>
    <border>
      <left style="dashed">
        <color auto="1"/>
      </left>
      <right/>
      <top/>
      <bottom style="dashed">
        <color indexed="64"/>
      </bottom>
      <diagonal/>
    </border>
    <border>
      <left/>
      <right style="dashed">
        <color auto="1"/>
      </right>
      <top style="hair">
        <color indexed="64"/>
      </top>
      <bottom/>
      <diagonal/>
    </border>
    <border>
      <left style="dashed">
        <color auto="1"/>
      </left>
      <right style="medium">
        <color indexed="64"/>
      </right>
      <top style="dashed">
        <color auto="1"/>
      </top>
      <bottom style="dashed">
        <color auto="1"/>
      </bottom>
      <diagonal/>
    </border>
    <border>
      <left style="thin">
        <color theme="0"/>
      </left>
      <right/>
      <top/>
      <bottom/>
      <diagonal/>
    </border>
    <border>
      <left style="thin">
        <color theme="0"/>
      </left>
      <right style="medium">
        <color auto="1"/>
      </right>
      <top/>
      <bottom/>
      <diagonal/>
    </border>
    <border>
      <left style="hair">
        <color auto="1"/>
      </left>
      <right/>
      <top/>
      <bottom style="hair">
        <color theme="9" tint="0.39991454817346722"/>
      </bottom>
      <diagonal/>
    </border>
    <border>
      <left/>
      <right style="hair">
        <color indexed="64"/>
      </right>
      <top style="hair">
        <color indexed="64"/>
      </top>
      <bottom style="thin">
        <color theme="9" tint="0.39997558519241921"/>
      </bottom>
      <diagonal/>
    </border>
    <border>
      <left style="hair">
        <color auto="1"/>
      </left>
      <right/>
      <top style="hair">
        <color theme="9" tint="0.39991454817346722"/>
      </top>
      <bottom style="hair">
        <color theme="9" tint="0.39991454817346722"/>
      </bottom>
      <diagonal/>
    </border>
    <border>
      <left style="dashed">
        <color auto="1"/>
      </left>
      <right style="medium">
        <color auto="1"/>
      </right>
      <top/>
      <bottom style="dashed">
        <color auto="1"/>
      </bottom>
      <diagonal/>
    </border>
    <border>
      <left style="hair">
        <color auto="1"/>
      </left>
      <right style="dashed">
        <color auto="1"/>
      </right>
      <top style="dashed">
        <color auto="1"/>
      </top>
      <bottom/>
      <diagonal/>
    </border>
    <border>
      <left style="dashed">
        <color auto="1"/>
      </left>
      <right style="dashed">
        <color auto="1"/>
      </right>
      <top style="dashed">
        <color auto="1"/>
      </top>
      <bottom/>
      <diagonal/>
    </border>
    <border>
      <left style="dashed">
        <color auto="1"/>
      </left>
      <right/>
      <top style="dashed">
        <color auto="1"/>
      </top>
      <bottom/>
      <diagonal/>
    </border>
    <border>
      <left style="hair">
        <color auto="1"/>
      </left>
      <right style="dashed">
        <color auto="1"/>
      </right>
      <top/>
      <bottom/>
      <diagonal/>
    </border>
    <border>
      <left style="dashed">
        <color auto="1"/>
      </left>
      <right style="dashed">
        <color auto="1"/>
      </right>
      <top/>
      <bottom/>
      <diagonal/>
    </border>
    <border>
      <left style="dashed">
        <color auto="1"/>
      </left>
      <right/>
      <top/>
      <bottom style="thin">
        <color indexed="64"/>
      </bottom>
      <diagonal/>
    </border>
    <border>
      <left style="dashed">
        <color auto="1"/>
      </left>
      <right/>
      <top style="thin">
        <color indexed="64"/>
      </top>
      <bottom/>
      <diagonal/>
    </border>
    <border>
      <left style="hair">
        <color auto="1"/>
      </left>
      <right style="dashed">
        <color auto="1"/>
      </right>
      <top/>
      <bottom style="dashed">
        <color auto="1"/>
      </bottom>
      <diagonal/>
    </border>
    <border>
      <left style="dashed">
        <color auto="1"/>
      </left>
      <right style="dashed">
        <color auto="1"/>
      </right>
      <top/>
      <bottom style="dashed">
        <color auto="1"/>
      </bottom>
      <diagonal/>
    </border>
    <border>
      <left/>
      <right style="dashed">
        <color auto="1"/>
      </right>
      <top style="thin">
        <color auto="1"/>
      </top>
      <bottom/>
      <diagonal/>
    </border>
    <border>
      <left style="dashed">
        <color indexed="64"/>
      </left>
      <right/>
      <top/>
      <bottom style="hair">
        <color indexed="64"/>
      </bottom>
      <diagonal/>
    </border>
    <border>
      <left style="hair">
        <color auto="1"/>
      </left>
      <right style="thin">
        <color theme="0"/>
      </right>
      <top/>
      <bottom/>
      <diagonal/>
    </border>
    <border>
      <left style="medium">
        <color auto="1"/>
      </left>
      <right/>
      <top style="hair">
        <color auto="1"/>
      </top>
      <bottom style="dashed">
        <color indexed="64"/>
      </bottom>
      <diagonal/>
    </border>
    <border>
      <left style="medium">
        <color indexed="64"/>
      </left>
      <right/>
      <top style="mediumDashed">
        <color indexed="64"/>
      </top>
      <bottom/>
      <diagonal/>
    </border>
    <border>
      <left/>
      <right style="medium">
        <color indexed="64"/>
      </right>
      <top style="mediumDashed">
        <color indexed="64"/>
      </top>
      <bottom/>
      <diagonal/>
    </border>
    <border>
      <left/>
      <right/>
      <top style="hair">
        <color auto="1"/>
      </top>
      <bottom style="hair">
        <color theme="9" tint="0.39988402966399123"/>
      </bottom>
      <diagonal/>
    </border>
    <border>
      <left/>
      <right/>
      <top style="hair">
        <color theme="9" tint="0.39988402966399123"/>
      </top>
      <bottom style="hair">
        <color theme="9" tint="0.39988402966399123"/>
      </bottom>
      <diagonal/>
    </border>
    <border>
      <left/>
      <right style="hair">
        <color auto="1"/>
      </right>
      <top style="hair">
        <color auto="1"/>
      </top>
      <bottom style="hair">
        <color auto="1"/>
      </bottom>
      <diagonal/>
    </border>
    <border>
      <left style="dashed">
        <color indexed="64"/>
      </left>
      <right/>
      <top/>
      <bottom style="dashDot">
        <color auto="1"/>
      </bottom>
      <diagonal/>
    </border>
    <border>
      <left style="hair">
        <color auto="1"/>
      </left>
      <right style="hair">
        <color auto="1"/>
      </right>
      <top style="hair">
        <color auto="1"/>
      </top>
      <bottom style="thin">
        <color theme="9" tint="0.39997558519241921"/>
      </bottom>
      <diagonal/>
    </border>
    <border>
      <left style="hair">
        <color auto="1"/>
      </left>
      <right style="hair">
        <color auto="1"/>
      </right>
      <top style="thin">
        <color theme="9" tint="0.39997558519241921"/>
      </top>
      <bottom style="thin">
        <color theme="9" tint="0.39997558519241921"/>
      </bottom>
      <diagonal/>
    </border>
    <border>
      <left style="hair">
        <color indexed="64"/>
      </left>
      <right/>
      <top style="thin">
        <color auto="1"/>
      </top>
      <bottom style="hair">
        <color indexed="64"/>
      </bottom>
      <diagonal/>
    </border>
    <border>
      <left/>
      <right/>
      <top/>
      <bottom style="hair">
        <color theme="9" tint="0.39991454817346722"/>
      </bottom>
      <diagonal/>
    </border>
    <border>
      <left/>
      <right/>
      <top/>
      <bottom style="thin">
        <color theme="0"/>
      </bottom>
      <diagonal/>
    </border>
    <border>
      <left style="hair">
        <color auto="1"/>
      </left>
      <right/>
      <top/>
      <bottom style="dashDot">
        <color auto="1"/>
      </bottom>
      <diagonal/>
    </border>
    <border>
      <left style="medium">
        <color theme="0"/>
      </left>
      <right style="medium">
        <color theme="0"/>
      </right>
      <top/>
      <bottom/>
      <diagonal/>
    </border>
    <border>
      <left style="medium">
        <color auto="1"/>
      </left>
      <right style="medium">
        <color auto="1"/>
      </right>
      <top style="medium">
        <color auto="1"/>
      </top>
      <bottom style="medium">
        <color auto="1"/>
      </bottom>
      <diagonal/>
    </border>
    <border>
      <left style="thin">
        <color auto="1"/>
      </left>
      <right/>
      <top style="hair">
        <color auto="1"/>
      </top>
      <bottom/>
      <diagonal/>
    </border>
    <border>
      <left/>
      <right style="thin">
        <color auto="1"/>
      </right>
      <top style="hair">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indexed="64"/>
      </left>
      <right style="hair">
        <color indexed="64"/>
      </right>
      <top/>
      <bottom style="thin">
        <color auto="1"/>
      </bottom>
      <diagonal/>
    </border>
    <border>
      <left style="hair">
        <color auto="1"/>
      </left>
      <right style="thin">
        <color auto="1"/>
      </right>
      <top/>
      <bottom style="thin">
        <color auto="1"/>
      </bottom>
      <diagonal/>
    </border>
    <border>
      <left style="hair">
        <color auto="1"/>
      </left>
      <right style="hair">
        <color auto="1"/>
      </right>
      <top style="medium">
        <color auto="1"/>
      </top>
      <bottom/>
      <diagonal/>
    </border>
    <border>
      <left/>
      <right style="hair">
        <color auto="1"/>
      </right>
      <top style="medium">
        <color auto="1"/>
      </top>
      <bottom/>
      <diagonal/>
    </border>
    <border>
      <left style="hair">
        <color theme="9" tint="0.39988402966399123"/>
      </left>
      <right/>
      <top style="medium">
        <color auto="1"/>
      </top>
      <bottom/>
      <diagonal/>
    </border>
    <border>
      <left/>
      <right style="mediumDashed">
        <color rgb="FFFF0000"/>
      </right>
      <top/>
      <bottom style="dashed">
        <color indexed="64"/>
      </bottom>
      <diagonal/>
    </border>
    <border>
      <left/>
      <right/>
      <top style="hair">
        <color theme="9" tint="0.39988402966399123"/>
      </top>
      <bottom/>
      <diagonal/>
    </border>
    <border>
      <left style="medium">
        <color rgb="FF0033CC"/>
      </left>
      <right/>
      <top style="medium">
        <color rgb="FF0033CC"/>
      </top>
      <bottom style="medium">
        <color rgb="FF0033CC"/>
      </bottom>
      <diagonal/>
    </border>
    <border>
      <left style="medium">
        <color auto="1"/>
      </left>
      <right style="hair">
        <color auto="1"/>
      </right>
      <top/>
      <bottom style="medium">
        <color auto="1"/>
      </bottom>
      <diagonal/>
    </border>
    <border>
      <left/>
      <right style="thin">
        <color theme="0"/>
      </right>
      <top/>
      <bottom style="medium">
        <color auto="1"/>
      </bottom>
      <diagonal/>
    </border>
    <border>
      <left style="thin">
        <color theme="0"/>
      </left>
      <right/>
      <top/>
      <bottom style="medium">
        <color auto="1"/>
      </bottom>
      <diagonal/>
    </border>
    <border>
      <left style="medium">
        <color auto="1"/>
      </left>
      <right/>
      <top style="hair">
        <color auto="1"/>
      </top>
      <bottom style="hair">
        <color auto="1"/>
      </bottom>
      <diagonal/>
    </border>
    <border>
      <left style="thin">
        <color rgb="FF7030A0"/>
      </left>
      <right style="thin">
        <color rgb="FF7030A0"/>
      </right>
      <top style="thin">
        <color rgb="FF7030A0"/>
      </top>
      <bottom style="thin">
        <color rgb="FF7030A0"/>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hair">
        <color indexed="60"/>
      </left>
      <right style="hair">
        <color indexed="64"/>
      </right>
      <top/>
      <bottom style="hair">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auto="1"/>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hair">
        <color indexed="37"/>
      </left>
      <right style="hair">
        <color indexed="37"/>
      </right>
      <top style="hair">
        <color indexed="64"/>
      </top>
      <bottom style="hair">
        <color indexed="37"/>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auto="1"/>
      </bottom>
      <diagonal/>
    </border>
    <border>
      <left/>
      <right style="thin">
        <color indexed="37"/>
      </right>
      <top style="hair">
        <color indexed="64"/>
      </top>
      <bottom style="medium">
        <color indexed="64"/>
      </bottom>
      <diagonal/>
    </border>
    <border>
      <left/>
      <right style="medium">
        <color auto="1"/>
      </right>
      <top style="hair">
        <color auto="1"/>
      </top>
      <bottom style="hair">
        <color auto="1"/>
      </bottom>
      <diagonal/>
    </border>
    <border>
      <left style="thin">
        <color indexed="64"/>
      </left>
      <right/>
      <top/>
      <bottom/>
      <diagonal/>
    </border>
    <border>
      <left/>
      <right style="thin">
        <color auto="1"/>
      </right>
      <top/>
      <bottom/>
      <diagonal/>
    </border>
    <border>
      <left style="hair">
        <color auto="1"/>
      </left>
      <right style="hair">
        <color auto="1"/>
      </right>
      <top/>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auto="1"/>
      </right>
      <top/>
      <bottom style="thin">
        <color indexed="64"/>
      </bottom>
      <diagonal/>
    </border>
    <border>
      <left style="medium">
        <color indexed="64"/>
      </left>
      <right style="hair">
        <color indexed="64"/>
      </right>
      <top/>
      <bottom style="thin">
        <color indexed="64"/>
      </bottom>
      <diagonal/>
    </border>
    <border>
      <left/>
      <right style="hair">
        <color auto="1"/>
      </right>
      <top/>
      <bottom style="medium">
        <color auto="1"/>
      </bottom>
      <diagonal/>
    </border>
    <border>
      <left/>
      <right style="medium">
        <color indexed="64"/>
      </right>
      <top style="hair">
        <color indexed="64"/>
      </top>
      <bottom style="medium">
        <color indexed="64"/>
      </bottom>
      <diagonal/>
    </border>
    <border>
      <left style="hair">
        <color auto="1"/>
      </left>
      <right style="medium">
        <color auto="1"/>
      </right>
      <top/>
      <bottom/>
      <diagonal/>
    </border>
    <border>
      <left style="hair">
        <color indexed="12"/>
      </left>
      <right style="hair">
        <color indexed="12"/>
      </right>
      <top/>
      <bottom/>
      <diagonal/>
    </border>
    <border>
      <left style="medium">
        <color indexed="64"/>
      </left>
      <right/>
      <top style="hair">
        <color indexed="64"/>
      </top>
      <bottom/>
      <diagonal/>
    </border>
    <border>
      <left/>
      <right style="medium">
        <color auto="1"/>
      </right>
      <top style="hair">
        <color indexed="64"/>
      </top>
      <bottom/>
      <diagonal/>
    </border>
    <border>
      <left style="medium">
        <color indexed="64"/>
      </left>
      <right/>
      <top style="dashed">
        <color indexed="64"/>
      </top>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medium">
        <color indexed="64"/>
      </top>
      <bottom style="thin">
        <color indexed="64"/>
      </bottom>
      <diagonal/>
    </border>
    <border>
      <left style="hair">
        <color rgb="FFFF0000"/>
      </left>
      <right style="hair">
        <color rgb="FFFF0000"/>
      </right>
      <top style="hair">
        <color rgb="FFFF0000"/>
      </top>
      <bottom style="hair">
        <color rgb="FFFF0000"/>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style="hair">
        <color indexed="12"/>
      </right>
      <top/>
      <bottom/>
      <diagonal/>
    </border>
    <border>
      <left style="medium">
        <color auto="1"/>
      </left>
      <right/>
      <top style="hair">
        <color auto="1"/>
      </top>
      <bottom style="hair">
        <color auto="1"/>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top/>
      <bottom style="dashDot">
        <color indexed="64"/>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thin">
        <color auto="1"/>
      </left>
      <right style="thin">
        <color auto="1"/>
      </right>
      <top/>
      <bottom style="medium">
        <color auto="1"/>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style="hair">
        <color auto="1"/>
      </left>
      <right style="hair">
        <color auto="1"/>
      </right>
      <top style="hair">
        <color auto="1"/>
      </top>
      <bottom style="hair">
        <color auto="1"/>
      </bottom>
      <diagonal/>
    </border>
    <border>
      <left style="medium">
        <color indexed="64"/>
      </left>
      <right style="hair">
        <color indexed="64"/>
      </right>
      <top style="hair">
        <color indexed="64"/>
      </top>
      <bottom style="hair">
        <color indexed="64"/>
      </bottom>
      <diagonal/>
    </border>
    <border>
      <left style="thin">
        <color auto="1"/>
      </left>
      <right style="hair">
        <color indexed="64"/>
      </right>
      <top style="hair">
        <color indexed="64"/>
      </top>
      <bottom/>
      <diagonal/>
    </border>
    <border>
      <left style="thin">
        <color auto="1"/>
      </left>
      <right style="hair">
        <color indexed="64"/>
      </right>
      <top/>
      <bottom style="thin">
        <color auto="1"/>
      </bottom>
      <diagonal/>
    </border>
    <border>
      <left style="hair">
        <color theme="9" tint="0.39988402966399123"/>
      </left>
      <right/>
      <top style="hair">
        <color auto="1"/>
      </top>
      <bottom style="hair">
        <color theme="9" tint="0.39988402966399123"/>
      </bottom>
      <diagonal/>
    </border>
    <border>
      <left style="hair">
        <color indexed="64"/>
      </left>
      <right/>
      <top style="hair">
        <color indexed="64"/>
      </top>
      <bottom style="hair">
        <color indexed="64"/>
      </bottom>
      <diagonal/>
    </border>
    <border>
      <left/>
      <right/>
      <top style="hair">
        <color auto="1"/>
      </top>
      <bottom style="hair">
        <color theme="9" tint="0.39994506668294322"/>
      </bottom>
      <diagonal/>
    </border>
    <border>
      <left/>
      <right/>
      <top style="hair">
        <color indexed="64"/>
      </top>
      <bottom style="hair">
        <color theme="9" tint="0.39985351115451523"/>
      </bottom>
      <diagonal/>
    </border>
    <border>
      <left style="thin">
        <color theme="9" tint="0.39991454817346722"/>
      </left>
      <right/>
      <top/>
      <bottom style="hair">
        <color auto="1"/>
      </bottom>
      <diagonal/>
    </border>
    <border>
      <left style="hair">
        <color auto="1"/>
      </left>
      <right style="medium">
        <color auto="1"/>
      </right>
      <top style="hair">
        <color auto="1"/>
      </top>
      <bottom style="hair">
        <color auto="1"/>
      </bottom>
      <diagonal/>
    </border>
    <border>
      <left style="medium">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auto="1"/>
      </left>
      <right style="hair">
        <color indexed="64"/>
      </right>
      <top/>
      <bottom style="hair">
        <color auto="1"/>
      </bottom>
      <diagonal/>
    </border>
    <border>
      <left style="medium">
        <color indexed="64"/>
      </left>
      <right/>
      <top/>
      <bottom style="hair">
        <color indexed="64"/>
      </bottom>
      <diagonal/>
    </border>
    <border>
      <left/>
      <right style="hair">
        <color indexed="64"/>
      </right>
      <top style="hair">
        <color indexed="64"/>
      </top>
      <bottom/>
      <diagonal/>
    </border>
    <border>
      <left style="medium">
        <color indexed="64"/>
      </left>
      <right style="hair">
        <color auto="1"/>
      </right>
      <top/>
      <bottom style="hair">
        <color auto="1"/>
      </bottom>
      <diagonal/>
    </border>
    <border>
      <left/>
      <right/>
      <top style="hair">
        <color auto="1"/>
      </top>
      <bottom style="hair">
        <color auto="1"/>
      </bottom>
      <diagonal/>
    </border>
    <border>
      <left/>
      <right/>
      <top style="hair">
        <color auto="1"/>
      </top>
      <bottom style="dashed">
        <color indexed="64"/>
      </bottom>
      <diagonal/>
    </border>
    <border>
      <left/>
      <right style="medium">
        <color indexed="64"/>
      </right>
      <top style="hair">
        <color auto="1"/>
      </top>
      <bottom style="hair">
        <color auto="1"/>
      </bottom>
      <diagonal/>
    </border>
    <border>
      <left/>
      <right/>
      <top style="hair">
        <color auto="1"/>
      </top>
      <bottom style="thin">
        <color indexed="64"/>
      </bottom>
      <diagonal/>
    </border>
    <border>
      <left style="medium">
        <color indexed="64"/>
      </left>
      <right/>
      <top style="hair">
        <color auto="1"/>
      </top>
      <bottom style="dashed">
        <color indexed="64"/>
      </bottom>
      <diagonal/>
    </border>
    <border>
      <left style="thin">
        <color auto="1"/>
      </left>
      <right/>
      <top style="thin">
        <color indexed="64"/>
      </top>
      <bottom/>
      <diagonal/>
    </border>
    <border>
      <left style="thin">
        <color auto="1"/>
      </left>
      <right/>
      <top style="hair">
        <color auto="1"/>
      </top>
      <bottom/>
      <diagonal/>
    </border>
    <border>
      <left style="hair">
        <color indexed="64"/>
      </left>
      <right/>
      <top style="hair">
        <color indexed="64"/>
      </top>
      <bottom/>
      <diagonal/>
    </border>
    <border>
      <left style="hair">
        <color auto="1"/>
      </left>
      <right/>
      <top style="double">
        <color theme="9" tint="0.39988402966399123"/>
      </top>
      <bottom style="hair">
        <color theme="9" tint="0.39994506668294322"/>
      </bottom>
      <diagonal/>
    </border>
    <border>
      <left style="hair">
        <color indexed="64"/>
      </left>
      <right/>
      <top/>
      <bottom style="hair">
        <color auto="1"/>
      </bottom>
      <diagonal/>
    </border>
    <border>
      <left style="hair">
        <color indexed="64"/>
      </left>
      <right/>
      <top style="double">
        <color theme="9" tint="0.39994506668294322"/>
      </top>
      <bottom style="hair">
        <color auto="1"/>
      </bottom>
      <diagonal/>
    </border>
    <border>
      <left/>
      <right style="hair">
        <color indexed="64"/>
      </right>
      <top/>
      <bottom style="hair">
        <color theme="9" tint="0.39994506668294322"/>
      </bottom>
      <diagonal/>
    </border>
    <border>
      <left/>
      <right style="hair">
        <color indexed="64"/>
      </right>
      <top/>
      <bottom/>
      <diagonal/>
    </border>
    <border>
      <left/>
      <right/>
      <top style="medium">
        <color rgb="FF0033CC"/>
      </top>
      <bottom style="medium">
        <color rgb="FF0033CC"/>
      </bottom>
      <diagonal/>
    </border>
    <border>
      <left/>
      <right style="medium">
        <color theme="0"/>
      </right>
      <top/>
      <bottom/>
      <diagonal/>
    </border>
    <border>
      <left/>
      <right style="medium">
        <color indexed="64"/>
      </right>
      <top style="thin">
        <color indexed="64"/>
      </top>
      <bottom style="thin">
        <color indexed="64"/>
      </bottom>
      <diagonal/>
    </border>
    <border>
      <left style="hair">
        <color indexed="60"/>
      </left>
      <right style="hair">
        <color indexed="64"/>
      </right>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style="hair">
        <color auto="1"/>
      </right>
      <top/>
      <bottom style="thin">
        <color indexed="64"/>
      </bottom>
      <diagonal/>
    </border>
    <border>
      <left/>
      <right style="thin">
        <color indexed="64"/>
      </right>
      <top style="thin">
        <color indexed="64"/>
      </top>
      <bottom/>
      <diagonal/>
    </border>
    <border>
      <left/>
      <right/>
      <top style="thin">
        <color auto="1"/>
      </top>
      <bottom style="thin">
        <color auto="1"/>
      </bottom>
      <diagonal/>
    </border>
    <border>
      <left style="thin">
        <color auto="1"/>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hair">
        <color auto="1"/>
      </bottom>
      <diagonal/>
    </border>
    <border>
      <left style="thin">
        <color auto="1"/>
      </left>
      <right/>
      <top style="thin">
        <color auto="1"/>
      </top>
      <bottom style="thin">
        <color auto="1"/>
      </bottom>
      <diagonal/>
    </border>
    <border>
      <left/>
      <right/>
      <top style="thin">
        <color indexed="64"/>
      </top>
      <bottom/>
      <diagonal/>
    </border>
    <border>
      <left style="medium">
        <color indexed="64"/>
      </left>
      <right/>
      <top style="hair">
        <color auto="1"/>
      </top>
      <bottom/>
      <diagonal/>
    </border>
    <border>
      <left style="medium">
        <color indexed="64"/>
      </left>
      <right style="hair">
        <color indexed="64"/>
      </right>
      <top style="hair">
        <color indexed="64"/>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style="medium">
        <color indexed="64"/>
      </left>
      <right/>
      <top style="thin">
        <color indexed="37"/>
      </top>
      <bottom style="hair">
        <color indexed="64"/>
      </bottom>
      <diagonal/>
    </border>
    <border>
      <left style="medium">
        <color indexed="64"/>
      </left>
      <right/>
      <top style="thin">
        <color indexed="37"/>
      </top>
      <bottom/>
      <diagonal/>
    </border>
    <border>
      <left style="hair">
        <color indexed="64"/>
      </left>
      <right style="hair">
        <color indexed="64"/>
      </right>
      <top style="hair">
        <color auto="1"/>
      </top>
      <bottom/>
      <diagonal/>
    </border>
    <border>
      <left style="hair">
        <color indexed="64"/>
      </left>
      <right/>
      <top style="hair">
        <color indexed="64"/>
      </top>
      <bottom/>
      <diagonal/>
    </border>
    <border>
      <left/>
      <right style="hair">
        <color indexed="64"/>
      </right>
      <top style="hair">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hair">
        <color indexed="64"/>
      </right>
      <top style="thin">
        <color auto="1"/>
      </top>
      <bottom/>
      <diagonal/>
    </border>
    <border>
      <left style="hair">
        <color indexed="64"/>
      </left>
      <right style="thin">
        <color indexed="64"/>
      </right>
      <top/>
      <bottom style="hair">
        <color indexed="64"/>
      </bottom>
      <diagonal/>
    </border>
    <border>
      <left/>
      <right/>
      <top style="thin">
        <color indexed="64"/>
      </top>
      <bottom style="medium">
        <color indexed="64"/>
      </bottom>
      <diagonal/>
    </border>
    <border>
      <left/>
      <right style="hair">
        <color indexed="64"/>
      </right>
      <top style="thin">
        <color indexed="64"/>
      </top>
      <bottom/>
      <diagonal/>
    </border>
    <border>
      <left/>
      <right/>
      <top style="hair">
        <color indexed="12"/>
      </top>
      <bottom/>
      <diagonal/>
    </border>
    <border>
      <left style="hair">
        <color auto="1"/>
      </left>
      <right style="hair">
        <color auto="1"/>
      </right>
      <top style="hair">
        <color auto="1"/>
      </top>
      <bottom style="hair">
        <color auto="1"/>
      </bottom>
      <diagonal/>
    </border>
    <border>
      <left style="hair">
        <color indexed="64"/>
      </left>
      <right style="hair">
        <color indexed="64"/>
      </right>
      <top style="hair">
        <color auto="1"/>
      </top>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style="medium">
        <color indexed="64"/>
      </right>
      <top/>
      <bottom style="hair">
        <color indexed="64"/>
      </bottom>
      <diagonal/>
    </border>
    <border>
      <left/>
      <right/>
      <top style="hair">
        <color auto="1"/>
      </top>
      <bottom style="hair">
        <color auto="1"/>
      </bottom>
      <diagonal/>
    </border>
    <border>
      <left/>
      <right style="medium">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right/>
      <top style="hair">
        <color indexed="12"/>
      </top>
      <bottom/>
      <diagonal/>
    </border>
    <border>
      <left style="hair">
        <color auto="1"/>
      </left>
      <right style="hair">
        <color auto="1"/>
      </right>
      <top style="hair">
        <color auto="1"/>
      </top>
      <bottom style="hair">
        <color auto="1"/>
      </bottom>
      <diagonal/>
    </border>
    <border>
      <left/>
      <right style="thin">
        <color indexed="64"/>
      </right>
      <top/>
      <bottom style="hair">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indexed="64"/>
      </left>
      <right/>
      <top style="hair">
        <color indexed="64"/>
      </top>
      <bottom/>
      <diagonal/>
    </border>
    <border>
      <left style="thin">
        <color auto="1"/>
      </left>
      <right style="thin">
        <color auto="1"/>
      </right>
      <top style="thin">
        <color auto="1"/>
      </top>
      <bottom style="thin">
        <color auto="1"/>
      </bottom>
      <diagonal/>
    </border>
    <border>
      <left style="hair">
        <color indexed="64"/>
      </left>
      <right/>
      <top style="hair">
        <color indexed="64"/>
      </top>
      <bottom/>
      <diagonal/>
    </border>
    <border>
      <left style="hair">
        <color auto="1"/>
      </left>
      <right/>
      <top/>
      <bottom style="hair">
        <color auto="1"/>
      </bottom>
      <diagonal/>
    </border>
    <border>
      <left/>
      <right style="hair">
        <color auto="1"/>
      </right>
      <top/>
      <bottom style="hair">
        <color auto="1"/>
      </bottom>
      <diagonal/>
    </border>
    <border>
      <left style="medium">
        <color theme="0"/>
      </left>
      <right style="medium">
        <color theme="0"/>
      </right>
      <top style="hair">
        <color auto="1"/>
      </top>
      <bottom/>
      <diagonal/>
    </border>
    <border>
      <left style="hair">
        <color indexed="64"/>
      </left>
      <right/>
      <top/>
      <bottom/>
      <diagonal/>
    </border>
    <border>
      <left style="medium">
        <color theme="0"/>
      </left>
      <right/>
      <top style="hair">
        <color auto="1"/>
      </top>
      <bottom/>
      <diagonal/>
    </border>
    <border>
      <left/>
      <right style="medium">
        <color theme="7" tint="-0.499984740745262"/>
      </right>
      <top/>
      <bottom/>
      <diagonal/>
    </border>
    <border>
      <left/>
      <right/>
      <top style="medium">
        <color theme="7" tint="-0.499984740745262"/>
      </top>
      <bottom/>
      <diagonal/>
    </border>
    <border>
      <left style="medium">
        <color theme="7" tint="-0.499984740745262"/>
      </left>
      <right style="thin">
        <color auto="1"/>
      </right>
      <top/>
      <bottom/>
      <diagonal/>
    </border>
    <border>
      <left style="hair">
        <color indexed="64"/>
      </left>
      <right style="medium">
        <color auto="1"/>
      </right>
      <top/>
      <bottom/>
      <diagonal/>
    </border>
    <border>
      <left style="hair">
        <color auto="1"/>
      </left>
      <right style="medium">
        <color auto="1"/>
      </right>
      <top/>
      <bottom style="hair">
        <color auto="1"/>
      </bottom>
      <diagonal/>
    </border>
    <border>
      <left style="hair">
        <color auto="1"/>
      </left>
      <right style="thin">
        <color theme="0"/>
      </right>
      <top/>
      <bottom/>
      <diagonal/>
    </border>
    <border>
      <left style="thin">
        <color auto="1"/>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medium">
        <color indexed="64"/>
      </left>
      <right/>
      <top style="hair">
        <color auto="1"/>
      </top>
      <bottom style="thin">
        <color auto="1"/>
      </bottom>
      <diagonal/>
    </border>
    <border>
      <left style="hair">
        <color theme="9" tint="0.39988402966399123"/>
      </left>
      <right style="medium">
        <color auto="1"/>
      </right>
      <top style="hair">
        <color theme="9" tint="0.39988402966399123"/>
      </top>
      <bottom style="hair">
        <color theme="9" tint="0.39988402966399123"/>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mediumDashed">
        <color rgb="FFFF0000"/>
      </left>
      <right style="mediumDashed">
        <color rgb="FFFF0000"/>
      </right>
      <top style="mediumDashed">
        <color rgb="FFFF0000"/>
      </top>
      <bottom style="mediumDashed">
        <color rgb="FFFF0000"/>
      </bottom>
      <diagonal/>
    </border>
    <border>
      <left style="medium">
        <color auto="1"/>
      </left>
      <right style="medium">
        <color auto="1"/>
      </right>
      <top/>
      <bottom style="medium">
        <color auto="1"/>
      </bottom>
      <diagonal/>
    </border>
  </borders>
  <cellStyleXfs count="49">
    <xf numFmtId="0" fontId="0" fillId="0" borderId="0"/>
    <xf numFmtId="0" fontId="6" fillId="0" borderId="0"/>
    <xf numFmtId="0" fontId="1" fillId="0" borderId="0"/>
    <xf numFmtId="0" fontId="1" fillId="0" borderId="0"/>
    <xf numFmtId="0" fontId="1" fillId="0" borderId="0"/>
    <xf numFmtId="0" fontId="17" fillId="0" borderId="0"/>
    <xf numFmtId="0" fontId="6" fillId="0" borderId="0"/>
    <xf numFmtId="0" fontId="1" fillId="0" borderId="0"/>
    <xf numFmtId="0" fontId="6" fillId="0" borderId="0"/>
    <xf numFmtId="0" fontId="34" fillId="0" borderId="0"/>
    <xf numFmtId="0" fontId="1" fillId="0" borderId="0"/>
    <xf numFmtId="0" fontId="1" fillId="0" borderId="0"/>
    <xf numFmtId="0" fontId="1" fillId="0" borderId="0"/>
    <xf numFmtId="0" fontId="1" fillId="0" borderId="0"/>
    <xf numFmtId="0" fontId="6" fillId="0" borderId="0"/>
    <xf numFmtId="0" fontId="6" fillId="0" borderId="0"/>
    <xf numFmtId="0" fontId="85" fillId="0" borderId="0"/>
    <xf numFmtId="0" fontId="86" fillId="0" borderId="0" applyNumberFormat="0" applyFill="0" applyBorder="0" applyAlignment="0" applyProtection="0"/>
    <xf numFmtId="0" fontId="71" fillId="0" borderId="0"/>
    <xf numFmtId="0" fontId="85" fillId="0" borderId="0"/>
    <xf numFmtId="0" fontId="6" fillId="0" borderId="0"/>
    <xf numFmtId="0" fontId="6" fillId="0" borderId="0"/>
    <xf numFmtId="0" fontId="34" fillId="0" borderId="0"/>
    <xf numFmtId="0" fontId="1" fillId="0" borderId="0"/>
    <xf numFmtId="0" fontId="1" fillId="0" borderId="0"/>
    <xf numFmtId="0" fontId="1" fillId="0" borderId="0"/>
    <xf numFmtId="0" fontId="1" fillId="0" borderId="0"/>
    <xf numFmtId="0" fontId="71" fillId="0" borderId="0"/>
    <xf numFmtId="0" fontId="6" fillId="0" borderId="0"/>
    <xf numFmtId="0" fontId="6" fillId="0" borderId="0"/>
    <xf numFmtId="0" fontId="71" fillId="0" borderId="0"/>
    <xf numFmtId="0" fontId="236" fillId="0" borderId="0" applyNumberFormat="0" applyFill="0" applyBorder="0" applyAlignment="0" applyProtection="0">
      <alignment vertical="top"/>
      <protection locked="0"/>
    </xf>
    <xf numFmtId="0" fontId="253" fillId="0" borderId="0"/>
    <xf numFmtId="0" fontId="309" fillId="0" borderId="0"/>
    <xf numFmtId="0" fontId="86" fillId="0" borderId="0" applyNumberFormat="0" applyFill="0" applyBorder="0" applyAlignment="0" applyProtection="0"/>
    <xf numFmtId="0" fontId="1" fillId="0" borderId="0"/>
    <xf numFmtId="0" fontId="1" fillId="0" borderId="0"/>
    <xf numFmtId="0" fontId="1" fillId="0" borderId="0"/>
    <xf numFmtId="0" fontId="183" fillId="0" borderId="0" applyNumberFormat="0" applyFill="0" applyBorder="0" applyAlignment="0" applyProtection="0"/>
    <xf numFmtId="0" fontId="183" fillId="0" borderId="0" applyNumberFormat="0" applyFill="0" applyBorder="0" applyAlignment="0" applyProtection="0"/>
    <xf numFmtId="0" fontId="86" fillId="0" borderId="0" applyNumberFormat="0" applyFill="0" applyBorder="0" applyAlignment="0" applyProtection="0"/>
    <xf numFmtId="0" fontId="236" fillId="0" borderId="0" applyNumberFormat="0" applyFill="0" applyBorder="0" applyAlignment="0" applyProtection="0">
      <alignment vertical="top"/>
      <protection locked="0"/>
    </xf>
    <xf numFmtId="0" fontId="17" fillId="0" borderId="0"/>
    <xf numFmtId="0" fontId="309" fillId="0" borderId="0"/>
    <xf numFmtId="0" fontId="6" fillId="0" borderId="0"/>
    <xf numFmtId="0" fontId="309" fillId="0" borderId="0"/>
    <xf numFmtId="0" fontId="557" fillId="0" borderId="0"/>
    <xf numFmtId="0" fontId="236" fillId="0" borderId="0" applyNumberFormat="0" applyFill="0" applyBorder="0" applyAlignment="0" applyProtection="0">
      <alignment vertical="top"/>
      <protection locked="0"/>
    </xf>
    <xf numFmtId="0" fontId="562" fillId="0" borderId="0"/>
  </cellStyleXfs>
  <cellXfs count="7918">
    <xf numFmtId="0" fontId="0" fillId="0" borderId="0" xfId="0"/>
    <xf numFmtId="0" fontId="2" fillId="2" borderId="0" xfId="1" applyFont="1" applyFill="1" applyAlignment="1">
      <alignment horizontal="center" vertical="center"/>
    </xf>
    <xf numFmtId="0" fontId="7" fillId="3" borderId="1" xfId="2" applyFont="1" applyFill="1" applyBorder="1" applyAlignment="1">
      <alignment horizontal="center" vertical="center"/>
    </xf>
    <xf numFmtId="0" fontId="8" fillId="4" borderId="0" xfId="3" applyFont="1" applyFill="1" applyAlignment="1">
      <alignment horizontal="center" vertical="center"/>
    </xf>
    <xf numFmtId="0" fontId="9" fillId="5" borderId="2" xfId="2" applyFont="1" applyFill="1" applyBorder="1" applyAlignment="1">
      <alignment horizontal="center" vertical="center"/>
    </xf>
    <xf numFmtId="0" fontId="9" fillId="6" borderId="2" xfId="2" applyFont="1" applyFill="1" applyBorder="1" applyAlignment="1">
      <alignment horizontal="center" vertical="center"/>
    </xf>
    <xf numFmtId="0" fontId="10" fillId="7" borderId="3" xfId="1" quotePrefix="1" applyFont="1" applyFill="1" applyBorder="1" applyAlignment="1">
      <alignment horizontal="center" vertical="center"/>
    </xf>
    <xf numFmtId="0" fontId="11" fillId="6" borderId="0" xfId="1" applyFont="1" applyFill="1" applyAlignment="1">
      <alignment horizontal="left" vertical="center"/>
    </xf>
    <xf numFmtId="0" fontId="12" fillId="6" borderId="0" xfId="1" applyFont="1" applyFill="1" applyAlignment="1">
      <alignment horizontal="left" vertical="center"/>
    </xf>
    <xf numFmtId="0" fontId="0" fillId="8" borderId="0" xfId="0" applyFill="1"/>
    <xf numFmtId="0" fontId="14" fillId="6" borderId="0" xfId="1" applyFont="1" applyFill="1" applyAlignment="1">
      <alignment horizontal="right" vertical="center"/>
    </xf>
    <xf numFmtId="0" fontId="15" fillId="6" borderId="0" xfId="1" applyFont="1" applyFill="1" applyAlignment="1">
      <alignment horizontal="left" vertical="center"/>
    </xf>
    <xf numFmtId="0" fontId="16" fillId="9" borderId="4" xfId="3" applyFont="1" applyFill="1" applyBorder="1" applyAlignment="1">
      <alignment horizontal="center" vertical="center"/>
    </xf>
    <xf numFmtId="0" fontId="16" fillId="9" borderId="5" xfId="3" applyFont="1" applyFill="1" applyBorder="1" applyAlignment="1">
      <alignment horizontal="center" vertical="center"/>
    </xf>
    <xf numFmtId="0" fontId="1" fillId="8" borderId="0" xfId="4" applyFill="1"/>
    <xf numFmtId="0" fontId="2" fillId="10" borderId="6" xfId="5" applyFont="1" applyFill="1" applyBorder="1" applyAlignment="1">
      <alignment horizontal="center" vertical="center"/>
    </xf>
    <xf numFmtId="0" fontId="18" fillId="11" borderId="0" xfId="5" applyFont="1" applyFill="1" applyAlignment="1">
      <alignment horizontal="left" vertical="center"/>
    </xf>
    <xf numFmtId="0" fontId="2" fillId="11" borderId="0" xfId="5" applyFont="1" applyFill="1" applyAlignment="1">
      <alignment horizontal="center" vertical="center"/>
    </xf>
    <xf numFmtId="0" fontId="20" fillId="12" borderId="0" xfId="4" applyFont="1" applyFill="1" applyAlignment="1">
      <alignment horizontal="center" vertical="center"/>
    </xf>
    <xf numFmtId="0" fontId="21" fillId="13" borderId="7" xfId="1" applyFont="1" applyFill="1" applyBorder="1" applyAlignment="1" applyProtection="1">
      <alignment horizontal="center" vertical="center" textRotation="90"/>
      <protection locked="0"/>
    </xf>
    <xf numFmtId="0" fontId="22" fillId="14" borderId="2" xfId="6" applyFont="1" applyFill="1" applyBorder="1" applyAlignment="1">
      <alignment horizontal="left" vertical="center"/>
    </xf>
    <xf numFmtId="0" fontId="22" fillId="14" borderId="2" xfId="6" applyFont="1" applyFill="1" applyBorder="1" applyAlignment="1">
      <alignment horizontal="center" vertical="center"/>
    </xf>
    <xf numFmtId="1" fontId="22" fillId="14" borderId="2" xfId="6" applyNumberFormat="1" applyFont="1" applyFill="1" applyBorder="1" applyAlignment="1">
      <alignment horizontal="center" vertical="center"/>
    </xf>
    <xf numFmtId="0" fontId="23" fillId="14" borderId="2" xfId="1" applyFont="1" applyFill="1" applyBorder="1" applyAlignment="1">
      <alignment horizontal="left" vertical="center" wrapText="1"/>
    </xf>
    <xf numFmtId="0" fontId="24" fillId="14" borderId="2" xfId="1" applyFont="1" applyFill="1" applyBorder="1" applyAlignment="1">
      <alignment horizontal="center" vertical="center" wrapText="1"/>
    </xf>
    <xf numFmtId="0" fontId="29" fillId="14" borderId="6" xfId="7" applyFont="1" applyFill="1" applyBorder="1" applyAlignment="1">
      <alignment horizontal="center" vertical="center"/>
    </xf>
    <xf numFmtId="0" fontId="22" fillId="14" borderId="0" xfId="6" applyFont="1" applyFill="1" applyAlignment="1">
      <alignment horizontal="right" vertical="center"/>
    </xf>
    <xf numFmtId="0" fontId="22" fillId="14" borderId="0" xfId="6" applyFont="1" applyFill="1" applyAlignment="1">
      <alignment horizontal="center" vertical="center"/>
    </xf>
    <xf numFmtId="1" fontId="22" fillId="14" borderId="0" xfId="6" applyNumberFormat="1" applyFont="1" applyFill="1" applyAlignment="1">
      <alignment horizontal="center" vertical="center"/>
    </xf>
    <xf numFmtId="0" fontId="30" fillId="14" borderId="0" xfId="0" applyFont="1" applyFill="1" applyAlignment="1">
      <alignment horizontal="center" vertical="center" wrapText="1"/>
    </xf>
    <xf numFmtId="0" fontId="31" fillId="14" borderId="0" xfId="1" applyFont="1" applyFill="1" applyAlignment="1">
      <alignment horizontal="center" vertical="center" wrapText="1"/>
    </xf>
    <xf numFmtId="0" fontId="22" fillId="17" borderId="0" xfId="7" applyFont="1" applyFill="1" applyAlignment="1">
      <alignment horizontal="left" vertical="center"/>
    </xf>
    <xf numFmtId="0" fontId="22" fillId="17" borderId="0" xfId="7" applyFont="1" applyFill="1" applyAlignment="1">
      <alignment horizontal="right" vertical="center"/>
    </xf>
    <xf numFmtId="1" fontId="22" fillId="17" borderId="0" xfId="7" applyNumberFormat="1" applyFont="1" applyFill="1" applyAlignment="1">
      <alignment horizontal="right" vertical="center"/>
    </xf>
    <xf numFmtId="0" fontId="32" fillId="8" borderId="0" xfId="1" applyFont="1" applyFill="1" applyAlignment="1">
      <alignment vertical="center"/>
    </xf>
    <xf numFmtId="0" fontId="20" fillId="8" borderId="0" xfId="5" applyFont="1" applyFill="1" applyAlignment="1">
      <alignment horizontal="right" vertical="center"/>
    </xf>
    <xf numFmtId="0" fontId="33" fillId="8" borderId="0" xfId="5" applyFont="1" applyFill="1" applyAlignment="1">
      <alignment vertical="center"/>
    </xf>
    <xf numFmtId="0" fontId="31" fillId="8" borderId="0" xfId="8" applyFont="1" applyFill="1" applyAlignment="1">
      <alignment horizontal="left" vertical="center"/>
    </xf>
    <xf numFmtId="0" fontId="0" fillId="8" borderId="9" xfId="0" applyFill="1" applyBorder="1"/>
    <xf numFmtId="0" fontId="35" fillId="8" borderId="0" xfId="9" applyFont="1" applyFill="1" applyAlignment="1">
      <alignment horizontal="left" vertical="center"/>
    </xf>
    <xf numFmtId="0" fontId="36" fillId="8" borderId="0" xfId="5" applyFont="1" applyFill="1" applyAlignment="1">
      <alignment vertical="center"/>
    </xf>
    <xf numFmtId="0" fontId="31" fillId="8" borderId="0" xfId="4" applyFont="1" applyFill="1" applyAlignment="1">
      <alignment horizontal="right" vertical="top"/>
    </xf>
    <xf numFmtId="1" fontId="38" fillId="19" borderId="0" xfId="1" applyNumberFormat="1" applyFont="1" applyFill="1" applyAlignment="1" applyProtection="1">
      <alignment horizontal="center" vertical="center"/>
      <protection hidden="1"/>
    </xf>
    <xf numFmtId="0" fontId="20" fillId="8" borderId="9" xfId="9" applyFont="1" applyFill="1" applyBorder="1" applyAlignment="1">
      <alignment vertical="center" wrapText="1"/>
    </xf>
    <xf numFmtId="0" fontId="0" fillId="15" borderId="6" xfId="0" applyFill="1" applyBorder="1"/>
    <xf numFmtId="0" fontId="0" fillId="15" borderId="0" xfId="0" applyFill="1"/>
    <xf numFmtId="0" fontId="0" fillId="15" borderId="9" xfId="0" applyFill="1" applyBorder="1"/>
    <xf numFmtId="0" fontId="37" fillId="8" borderId="0" xfId="0" applyFont="1" applyFill="1" applyAlignment="1">
      <alignment horizontal="center"/>
    </xf>
    <xf numFmtId="0" fontId="37" fillId="8" borderId="9" xfId="0" applyFont="1" applyFill="1" applyBorder="1" applyAlignment="1">
      <alignment horizontal="center"/>
    </xf>
    <xf numFmtId="0" fontId="24" fillId="14" borderId="7" xfId="1" applyFont="1" applyFill="1" applyBorder="1" applyAlignment="1">
      <alignment horizontal="center" vertical="center" wrapText="1"/>
    </xf>
    <xf numFmtId="0" fontId="41" fillId="14" borderId="2" xfId="1" applyFont="1" applyFill="1" applyBorder="1" applyAlignment="1">
      <alignment vertical="center"/>
    </xf>
    <xf numFmtId="0" fontId="25" fillId="14" borderId="2" xfId="1" applyFont="1" applyFill="1" applyBorder="1" applyAlignment="1">
      <alignment vertical="center"/>
    </xf>
    <xf numFmtId="1" fontId="26" fillId="15" borderId="8" xfId="1" applyNumberFormat="1" applyFont="1" applyFill="1" applyBorder="1" applyAlignment="1" applyProtection="1">
      <alignment vertical="center"/>
      <protection hidden="1"/>
    </xf>
    <xf numFmtId="164" fontId="42" fillId="8" borderId="0" xfId="0" applyNumberFormat="1" applyFont="1" applyFill="1" applyAlignment="1">
      <alignment horizontal="right" vertical="center"/>
    </xf>
    <xf numFmtId="0" fontId="0" fillId="8" borderId="0" xfId="0" applyFill="1" applyAlignment="1">
      <alignment horizontal="left" vertical="center"/>
    </xf>
    <xf numFmtId="0" fontId="1" fillId="8" borderId="0" xfId="4" applyFill="1" applyAlignment="1">
      <alignment vertical="top" wrapText="1"/>
    </xf>
    <xf numFmtId="0" fontId="45" fillId="19" borderId="9" xfId="1" applyFont="1" applyFill="1" applyBorder="1" applyAlignment="1">
      <alignment horizontal="left" vertical="center"/>
    </xf>
    <xf numFmtId="0" fontId="24" fillId="15" borderId="6" xfId="1" applyFont="1" applyFill="1" applyBorder="1" applyAlignment="1">
      <alignment horizontal="center" vertical="center" wrapText="1"/>
    </xf>
    <xf numFmtId="0" fontId="41" fillId="15" borderId="0" xfId="1" applyFont="1" applyFill="1" applyAlignment="1">
      <alignment vertical="center"/>
    </xf>
    <xf numFmtId="0" fontId="25" fillId="15" borderId="0" xfId="1" applyFont="1" applyFill="1" applyAlignment="1">
      <alignment vertical="center"/>
    </xf>
    <xf numFmtId="1" fontId="26" fillId="15" borderId="9" xfId="1" applyNumberFormat="1" applyFont="1" applyFill="1" applyBorder="1" applyAlignment="1" applyProtection="1">
      <alignment vertical="center"/>
      <protection hidden="1"/>
    </xf>
    <xf numFmtId="0" fontId="46" fillId="21" borderId="10" xfId="7" applyFont="1" applyFill="1" applyBorder="1" applyAlignment="1">
      <alignment horizontal="left" vertical="center"/>
    </xf>
    <xf numFmtId="0" fontId="46" fillId="21" borderId="10" xfId="7" applyFont="1" applyFill="1" applyBorder="1" applyAlignment="1">
      <alignment horizontal="right" vertical="center"/>
    </xf>
    <xf numFmtId="1" fontId="46" fillId="21" borderId="10" xfId="7" applyNumberFormat="1" applyFont="1" applyFill="1" applyBorder="1" applyAlignment="1">
      <alignment horizontal="right" vertical="center"/>
    </xf>
    <xf numFmtId="0" fontId="47" fillId="7" borderId="10" xfId="0" applyFont="1" applyFill="1" applyBorder="1" applyAlignment="1">
      <alignment horizontal="left" vertical="center"/>
    </xf>
    <xf numFmtId="0" fontId="47" fillId="7" borderId="10" xfId="3" applyFont="1" applyFill="1" applyBorder="1" applyAlignment="1">
      <alignment horizontal="right" vertical="center"/>
    </xf>
    <xf numFmtId="0" fontId="49" fillId="7" borderId="10" xfId="0" applyFont="1" applyFill="1" applyBorder="1" applyAlignment="1">
      <alignment horizontal="right" vertical="center"/>
    </xf>
    <xf numFmtId="0" fontId="50" fillId="20" borderId="10" xfId="0" applyFont="1" applyFill="1" applyBorder="1" applyAlignment="1">
      <alignment horizontal="left" vertical="center"/>
    </xf>
    <xf numFmtId="0" fontId="0" fillId="8" borderId="10" xfId="0" applyFill="1" applyBorder="1"/>
    <xf numFmtId="0" fontId="20" fillId="15" borderId="6" xfId="5" applyFont="1" applyFill="1" applyBorder="1" applyAlignment="1">
      <alignment horizontal="right" vertical="center"/>
    </xf>
    <xf numFmtId="0" fontId="52" fillId="14" borderId="4" xfId="7" applyFont="1" applyFill="1" applyBorder="1" applyAlignment="1">
      <alignment horizontal="left" vertical="center"/>
    </xf>
    <xf numFmtId="1" fontId="52" fillId="14" borderId="4" xfId="7" applyNumberFormat="1" applyFont="1" applyFill="1" applyBorder="1" applyAlignment="1">
      <alignment horizontal="left" vertical="center"/>
    </xf>
    <xf numFmtId="0" fontId="48" fillId="22" borderId="4" xfId="3" applyFont="1" applyFill="1" applyBorder="1" applyAlignment="1">
      <alignment horizontal="center" vertical="center"/>
    </xf>
    <xf numFmtId="0" fontId="53" fillId="23" borderId="13" xfId="3" applyFont="1" applyFill="1" applyBorder="1" applyAlignment="1">
      <alignment horizontal="center" vertical="center"/>
    </xf>
    <xf numFmtId="0" fontId="16" fillId="9" borderId="15" xfId="3" applyFont="1" applyFill="1" applyBorder="1" applyAlignment="1">
      <alignment horizontal="center" vertical="center"/>
    </xf>
    <xf numFmtId="0" fontId="33" fillId="15" borderId="0" xfId="5" applyFont="1" applyFill="1" applyAlignment="1">
      <alignment vertical="center"/>
    </xf>
    <xf numFmtId="0" fontId="24" fillId="17" borderId="16" xfId="1" applyFont="1" applyFill="1" applyBorder="1" applyAlignment="1" applyProtection="1">
      <alignment horizontal="center"/>
      <protection locked="0"/>
    </xf>
    <xf numFmtId="0" fontId="50" fillId="17" borderId="0" xfId="1" applyFont="1" applyFill="1" applyAlignment="1" applyProtection="1">
      <alignment horizontal="center"/>
      <protection locked="0"/>
    </xf>
    <xf numFmtId="0" fontId="54" fillId="7" borderId="0" xfId="1" applyFont="1" applyFill="1" applyAlignment="1" applyProtection="1">
      <alignment horizontal="center" vertical="center"/>
      <protection hidden="1"/>
    </xf>
    <xf numFmtId="0" fontId="48" fillId="8" borderId="17" xfId="1" applyFont="1" applyFill="1" applyBorder="1" applyAlignment="1">
      <alignment horizontal="center"/>
    </xf>
    <xf numFmtId="165" fontId="24" fillId="24" borderId="0" xfId="1" applyNumberFormat="1" applyFont="1" applyFill="1" applyAlignment="1">
      <alignment horizontal="center" vertical="center"/>
    </xf>
    <xf numFmtId="165" fontId="24" fillId="24" borderId="17" xfId="1" applyNumberFormat="1" applyFont="1" applyFill="1" applyBorder="1" applyAlignment="1">
      <alignment horizontal="center" vertical="center"/>
    </xf>
    <xf numFmtId="0" fontId="31" fillId="15" borderId="6" xfId="4" applyFont="1" applyFill="1" applyBorder="1" applyAlignment="1">
      <alignment horizontal="right" vertical="top"/>
    </xf>
    <xf numFmtId="0" fontId="24" fillId="17" borderId="19" xfId="1" applyFont="1" applyFill="1" applyBorder="1" applyAlignment="1" applyProtection="1">
      <alignment horizontal="center" vertical="center"/>
      <protection hidden="1"/>
    </xf>
    <xf numFmtId="0" fontId="24" fillId="17" borderId="13" xfId="8" applyFont="1" applyFill="1" applyBorder="1" applyAlignment="1">
      <alignment horizontal="center" vertical="center"/>
    </xf>
    <xf numFmtId="0" fontId="31" fillId="7" borderId="13" xfId="10" applyFont="1" applyFill="1" applyBorder="1" applyAlignment="1">
      <alignment horizontal="center" vertical="center"/>
    </xf>
    <xf numFmtId="0" fontId="48" fillId="8" borderId="14" xfId="9" applyFont="1" applyFill="1" applyBorder="1" applyAlignment="1">
      <alignment horizontal="center" vertical="center"/>
    </xf>
    <xf numFmtId="0" fontId="57" fillId="8" borderId="13" xfId="11" applyFont="1" applyFill="1" applyBorder="1" applyAlignment="1">
      <alignment horizontal="right" vertical="center"/>
    </xf>
    <xf numFmtId="166" fontId="58" fillId="8" borderId="14" xfId="1" applyNumberFormat="1" applyFont="1" applyFill="1" applyBorder="1" applyAlignment="1">
      <alignment horizontal="left" vertical="center"/>
    </xf>
    <xf numFmtId="167" fontId="59" fillId="26" borderId="22" xfId="1" applyNumberFormat="1" applyFont="1" applyFill="1" applyBorder="1" applyAlignment="1">
      <alignment horizontal="center" vertical="center"/>
    </xf>
    <xf numFmtId="1" fontId="59" fillId="20" borderId="23" xfId="1" applyNumberFormat="1" applyFont="1" applyFill="1" applyBorder="1" applyAlignment="1">
      <alignment horizontal="center" vertical="center"/>
    </xf>
    <xf numFmtId="0" fontId="31" fillId="7" borderId="0" xfId="10" applyFont="1" applyFill="1" applyAlignment="1">
      <alignment horizontal="center" vertical="center"/>
    </xf>
    <xf numFmtId="1" fontId="60" fillId="20" borderId="23" xfId="1" applyNumberFormat="1" applyFont="1" applyFill="1" applyBorder="1" applyAlignment="1">
      <alignment horizontal="center" vertical="center"/>
    </xf>
    <xf numFmtId="0" fontId="61" fillId="27" borderId="24" xfId="1" applyFont="1" applyFill="1" applyBorder="1" applyAlignment="1" applyProtection="1">
      <alignment horizontal="center" vertical="center"/>
      <protection hidden="1"/>
    </xf>
    <xf numFmtId="167" fontId="62" fillId="20" borderId="25" xfId="1" applyNumberFormat="1" applyFont="1" applyFill="1" applyBorder="1" applyAlignment="1">
      <alignment horizontal="center" vertical="center"/>
    </xf>
    <xf numFmtId="168" fontId="20" fillId="28" borderId="0" xfId="1" applyNumberFormat="1" applyFont="1" applyFill="1" applyAlignment="1">
      <alignment horizontal="center" vertical="center"/>
    </xf>
    <xf numFmtId="2" fontId="1" fillId="29" borderId="26" xfId="12" applyNumberFormat="1" applyFill="1" applyBorder="1" applyAlignment="1" applyProtection="1">
      <alignment horizontal="center" vertical="center"/>
      <protection locked="0"/>
    </xf>
    <xf numFmtId="169" fontId="63" fillId="7" borderId="0" xfId="1" applyNumberFormat="1" applyFont="1" applyFill="1" applyAlignment="1">
      <alignment horizontal="center" vertical="center"/>
    </xf>
    <xf numFmtId="170" fontId="20" fillId="30" borderId="27" xfId="1" applyNumberFormat="1" applyFont="1" applyFill="1" applyBorder="1" applyAlignment="1">
      <alignment horizontal="center" vertical="center"/>
    </xf>
    <xf numFmtId="169" fontId="20" fillId="25" borderId="0" xfId="1" applyNumberFormat="1" applyFont="1" applyFill="1" applyAlignment="1">
      <alignment horizontal="center" vertical="center"/>
    </xf>
    <xf numFmtId="1" fontId="57" fillId="31" borderId="28" xfId="1" applyNumberFormat="1" applyFont="1" applyFill="1" applyBorder="1" applyAlignment="1">
      <alignment horizontal="center" vertical="center"/>
    </xf>
    <xf numFmtId="0" fontId="37" fillId="15" borderId="0" xfId="4" applyFont="1" applyFill="1" applyAlignment="1">
      <alignment horizontal="left" vertical="top"/>
    </xf>
    <xf numFmtId="0" fontId="37" fillId="15" borderId="0" xfId="4" applyFont="1" applyFill="1" applyAlignment="1">
      <alignment horizontal="center" vertical="top" wrapText="1"/>
    </xf>
    <xf numFmtId="0" fontId="64" fillId="32" borderId="6" xfId="13" applyFont="1" applyFill="1" applyBorder="1" applyAlignment="1">
      <alignment horizontal="center" vertical="center"/>
    </xf>
    <xf numFmtId="0" fontId="61" fillId="25" borderId="24" xfId="1" applyFont="1" applyFill="1" applyBorder="1" applyAlignment="1" applyProtection="1">
      <alignment horizontal="center" vertical="center"/>
      <protection hidden="1"/>
    </xf>
    <xf numFmtId="2" fontId="1" fillId="29" borderId="17" xfId="12" applyNumberFormat="1" applyFill="1" applyBorder="1" applyAlignment="1" applyProtection="1">
      <alignment horizontal="center" vertical="center"/>
      <protection locked="0"/>
    </xf>
    <xf numFmtId="170" fontId="20" fillId="8" borderId="29" xfId="1" applyNumberFormat="1" applyFont="1" applyFill="1" applyBorder="1" applyAlignment="1">
      <alignment horizontal="center" vertical="center"/>
    </xf>
    <xf numFmtId="1" fontId="57" fillId="33" borderId="9" xfId="1" applyNumberFormat="1" applyFont="1" applyFill="1" applyBorder="1" applyAlignment="1">
      <alignment horizontal="center" vertical="center"/>
    </xf>
    <xf numFmtId="1" fontId="59" fillId="20" borderId="30" xfId="1" applyNumberFormat="1" applyFont="1" applyFill="1" applyBorder="1" applyAlignment="1">
      <alignment horizontal="center" vertical="center"/>
    </xf>
    <xf numFmtId="0" fontId="65" fillId="34" borderId="24" xfId="1" applyFont="1" applyFill="1" applyBorder="1" applyAlignment="1" applyProtection="1">
      <alignment horizontal="center" vertical="center"/>
      <protection hidden="1"/>
    </xf>
    <xf numFmtId="170" fontId="20" fillId="30" borderId="29" xfId="1" applyNumberFormat="1" applyFont="1" applyFill="1" applyBorder="1" applyAlignment="1">
      <alignment horizontal="center" vertical="center"/>
    </xf>
    <xf numFmtId="1" fontId="57" fillId="31" borderId="31" xfId="1" applyNumberFormat="1" applyFont="1" applyFill="1" applyBorder="1" applyAlignment="1">
      <alignment horizontal="center" vertical="center"/>
    </xf>
    <xf numFmtId="0" fontId="49" fillId="15" borderId="6" xfId="0" applyFont="1" applyFill="1" applyBorder="1" applyAlignment="1">
      <alignment horizontal="right" vertical="center"/>
    </xf>
    <xf numFmtId="0" fontId="50" fillId="15" borderId="0" xfId="0" applyFont="1" applyFill="1" applyAlignment="1">
      <alignment horizontal="left" vertical="center"/>
    </xf>
    <xf numFmtId="0" fontId="33" fillId="15" borderId="6" xfId="1" applyFont="1" applyFill="1" applyBorder="1" applyAlignment="1">
      <alignment horizontal="left" vertical="center"/>
    </xf>
    <xf numFmtId="0" fontId="66" fillId="15" borderId="0" xfId="1" applyFont="1" applyFill="1" applyAlignment="1">
      <alignment horizontal="left" vertical="center"/>
    </xf>
    <xf numFmtId="0" fontId="67" fillId="15" borderId="0" xfId="1" applyFont="1" applyFill="1" applyAlignment="1">
      <alignment horizontal="center" vertical="center"/>
    </xf>
    <xf numFmtId="0" fontId="20" fillId="15" borderId="0" xfId="1" applyFont="1" applyFill="1" applyAlignment="1">
      <alignment horizontal="center" vertical="center"/>
    </xf>
    <xf numFmtId="0" fontId="57" fillId="35" borderId="24" xfId="1" applyFont="1" applyFill="1" applyBorder="1" applyAlignment="1" applyProtection="1">
      <alignment horizontal="center" vertical="center"/>
      <protection hidden="1"/>
    </xf>
    <xf numFmtId="0" fontId="49" fillId="7" borderId="0" xfId="0" applyFont="1" applyFill="1" applyAlignment="1">
      <alignment horizontal="right" vertical="center"/>
    </xf>
    <xf numFmtId="0" fontId="50" fillId="20" borderId="0" xfId="0" applyFont="1" applyFill="1" applyAlignment="1">
      <alignment horizontal="left" vertical="center"/>
    </xf>
    <xf numFmtId="0" fontId="59" fillId="20" borderId="24" xfId="1" applyFont="1" applyFill="1" applyBorder="1" applyAlignment="1">
      <alignment horizontal="left" vertical="center"/>
    </xf>
    <xf numFmtId="0" fontId="57" fillId="14" borderId="33" xfId="14" applyFont="1" applyFill="1" applyBorder="1" applyAlignment="1">
      <alignment horizontal="left" vertical="center"/>
    </xf>
    <xf numFmtId="0" fontId="57" fillId="14" borderId="4" xfId="14" applyFont="1" applyFill="1" applyBorder="1" applyAlignment="1">
      <alignment horizontal="left" vertical="center"/>
    </xf>
    <xf numFmtId="0" fontId="57" fillId="14" borderId="34" xfId="14" applyFont="1" applyFill="1" applyBorder="1" applyAlignment="1">
      <alignment horizontal="left" vertical="center"/>
    </xf>
    <xf numFmtId="1" fontId="68" fillId="36" borderId="24" xfId="1" applyNumberFormat="1" applyFont="1" applyFill="1" applyBorder="1" applyAlignment="1" applyProtection="1">
      <alignment horizontal="center" vertical="center"/>
      <protection hidden="1"/>
    </xf>
    <xf numFmtId="0" fontId="57" fillId="8" borderId="16" xfId="14" applyFont="1" applyFill="1" applyBorder="1" applyAlignment="1">
      <alignment vertical="center"/>
    </xf>
    <xf numFmtId="0" fontId="69" fillId="8" borderId="36" xfId="14" applyFont="1" applyFill="1" applyBorder="1" applyAlignment="1">
      <alignment vertical="center"/>
    </xf>
    <xf numFmtId="0" fontId="61" fillId="8" borderId="24" xfId="1" applyFont="1" applyFill="1" applyBorder="1" applyAlignment="1" applyProtection="1">
      <alignment horizontal="center" vertical="center"/>
      <protection hidden="1"/>
    </xf>
    <xf numFmtId="1" fontId="57" fillId="31" borderId="37" xfId="1" applyNumberFormat="1" applyFont="1" applyFill="1" applyBorder="1" applyAlignment="1">
      <alignment horizontal="center" vertical="center"/>
    </xf>
    <xf numFmtId="167" fontId="70" fillId="20" borderId="25" xfId="1" applyNumberFormat="1" applyFont="1" applyFill="1" applyBorder="1" applyAlignment="1">
      <alignment horizontal="center" vertical="center"/>
    </xf>
    <xf numFmtId="0" fontId="57" fillId="8" borderId="39" xfId="14" applyFont="1" applyFill="1" applyBorder="1" applyAlignment="1">
      <alignment vertical="center"/>
    </xf>
    <xf numFmtId="0" fontId="69" fillId="8" borderId="40" xfId="14" applyFont="1" applyFill="1" applyBorder="1" applyAlignment="1">
      <alignment vertical="center"/>
    </xf>
    <xf numFmtId="0" fontId="57" fillId="15" borderId="6" xfId="14" applyFont="1" applyFill="1" applyBorder="1" applyAlignment="1">
      <alignment horizontal="center" vertical="center" wrapText="1"/>
    </xf>
    <xf numFmtId="0" fontId="57" fillId="15" borderId="0" xfId="14" applyFont="1" applyFill="1" applyAlignment="1">
      <alignment vertical="center"/>
    </xf>
    <xf numFmtId="0" fontId="69" fillId="15" borderId="0" xfId="14" applyFont="1" applyFill="1" applyAlignment="1">
      <alignment vertical="center"/>
    </xf>
    <xf numFmtId="0" fontId="35" fillId="15" borderId="6" xfId="9" applyFont="1" applyFill="1" applyBorder="1" applyAlignment="1">
      <alignment horizontal="left" vertical="center"/>
    </xf>
    <xf numFmtId="0" fontId="31" fillId="15" borderId="0" xfId="4" applyFont="1" applyFill="1" applyAlignment="1">
      <alignment horizontal="right" vertical="top"/>
    </xf>
    <xf numFmtId="0" fontId="37" fillId="15" borderId="0" xfId="4" applyFont="1" applyFill="1" applyAlignment="1">
      <alignment vertical="top"/>
    </xf>
    <xf numFmtId="0" fontId="73" fillId="15" borderId="0" xfId="9" applyFont="1" applyFill="1" applyAlignment="1">
      <alignment horizontal="right" vertical="center"/>
    </xf>
    <xf numFmtId="1" fontId="74" fillId="19" borderId="0" xfId="1" applyNumberFormat="1" applyFont="1" applyFill="1" applyAlignment="1" applyProtection="1">
      <alignment horizontal="center" vertical="center"/>
      <protection hidden="1"/>
    </xf>
    <xf numFmtId="0" fontId="20" fillId="15" borderId="9" xfId="9" applyFont="1" applyFill="1" applyBorder="1" applyAlignment="1">
      <alignment vertical="center" wrapText="1"/>
    </xf>
    <xf numFmtId="0" fontId="61" fillId="35" borderId="24" xfId="1" applyFont="1" applyFill="1" applyBorder="1" applyAlignment="1" applyProtection="1">
      <alignment horizontal="center" vertical="center"/>
      <protection hidden="1"/>
    </xf>
    <xf numFmtId="0" fontId="75" fillId="7" borderId="24" xfId="1" applyFont="1" applyFill="1" applyBorder="1" applyAlignment="1" applyProtection="1">
      <alignment horizontal="center" vertical="center"/>
      <protection hidden="1"/>
    </xf>
    <xf numFmtId="0" fontId="57" fillId="38" borderId="24" xfId="1" applyFont="1" applyFill="1" applyBorder="1" applyAlignment="1" applyProtection="1">
      <alignment horizontal="center" vertical="center"/>
      <protection hidden="1"/>
    </xf>
    <xf numFmtId="0" fontId="65" fillId="34" borderId="42" xfId="1" applyFont="1" applyFill="1" applyBorder="1" applyAlignment="1" applyProtection="1">
      <alignment horizontal="center" vertical="center"/>
      <protection hidden="1"/>
    </xf>
    <xf numFmtId="0" fontId="76" fillId="20" borderId="6" xfId="1" applyFont="1" applyFill="1" applyBorder="1" applyAlignment="1">
      <alignment horizontal="center" vertical="center"/>
    </xf>
    <xf numFmtId="0" fontId="35" fillId="15" borderId="0" xfId="1" applyFont="1" applyFill="1" applyAlignment="1">
      <alignment horizontal="left" vertical="center"/>
    </xf>
    <xf numFmtId="0" fontId="71" fillId="15" borderId="0" xfId="0" applyFont="1" applyFill="1"/>
    <xf numFmtId="0" fontId="37" fillId="15" borderId="0" xfId="0" applyFont="1" applyFill="1" applyAlignment="1">
      <alignment horizontal="center"/>
    </xf>
    <xf numFmtId="0" fontId="37" fillId="15" borderId="9" xfId="0" applyFont="1" applyFill="1" applyBorder="1" applyAlignment="1">
      <alignment horizontal="left"/>
    </xf>
    <xf numFmtId="164" fontId="42" fillId="15" borderId="6" xfId="0" applyNumberFormat="1" applyFont="1" applyFill="1" applyBorder="1" applyAlignment="1">
      <alignment horizontal="right" vertical="center"/>
    </xf>
    <xf numFmtId="164" fontId="0" fillId="15" borderId="0" xfId="0" applyNumberFormat="1" applyFill="1" applyAlignment="1">
      <alignment horizontal="left" vertical="center"/>
    </xf>
    <xf numFmtId="0" fontId="77" fillId="15" borderId="0" xfId="1" applyFont="1" applyFill="1" applyAlignment="1">
      <alignment horizontal="right" vertical="center"/>
    </xf>
    <xf numFmtId="1" fontId="78" fillId="19" borderId="0" xfId="1" applyNumberFormat="1" applyFont="1" applyFill="1" applyAlignment="1">
      <alignment horizontal="center" vertical="center"/>
    </xf>
    <xf numFmtId="1" fontId="68" fillId="36" borderId="24" xfId="1" applyNumberFormat="1" applyFont="1" applyFill="1" applyBorder="1" applyAlignment="1" applyProtection="1">
      <alignment horizontal="left" vertical="center"/>
      <protection hidden="1"/>
    </xf>
    <xf numFmtId="1" fontId="79" fillId="39" borderId="46" xfId="1" applyNumberFormat="1" applyFont="1" applyFill="1" applyBorder="1" applyAlignment="1" applyProtection="1">
      <alignment horizontal="left" vertical="center"/>
      <protection hidden="1"/>
    </xf>
    <xf numFmtId="0" fontId="13" fillId="16" borderId="6" xfId="6" applyFont="1" applyFill="1" applyBorder="1" applyAlignment="1">
      <alignment vertical="center"/>
    </xf>
    <xf numFmtId="0" fontId="13" fillId="16" borderId="0" xfId="6" applyFont="1" applyFill="1" applyAlignment="1">
      <alignment vertical="center"/>
    </xf>
    <xf numFmtId="0" fontId="13" fillId="16" borderId="0" xfId="6" applyFont="1" applyFill="1" applyAlignment="1">
      <alignment horizontal="center" vertical="center"/>
    </xf>
    <xf numFmtId="0" fontId="13" fillId="16" borderId="9" xfId="6" applyFont="1" applyFill="1" applyBorder="1" applyAlignment="1">
      <alignment vertical="center"/>
    </xf>
    <xf numFmtId="0" fontId="0" fillId="8" borderId="48" xfId="0" applyFill="1" applyBorder="1"/>
    <xf numFmtId="0" fontId="20" fillId="40" borderId="6" xfId="7" applyFont="1" applyFill="1" applyBorder="1" applyAlignment="1">
      <alignment horizontal="center" vertical="center"/>
    </xf>
    <xf numFmtId="0" fontId="46" fillId="41" borderId="0" xfId="7" applyFont="1" applyFill="1" applyAlignment="1">
      <alignment horizontal="right" vertical="center"/>
    </xf>
    <xf numFmtId="0" fontId="46" fillId="41" borderId="0" xfId="7" applyFont="1" applyFill="1" applyAlignment="1">
      <alignment horizontal="left" vertical="center"/>
    </xf>
    <xf numFmtId="1" fontId="46" fillId="41" borderId="0" xfId="7" applyNumberFormat="1" applyFont="1" applyFill="1" applyAlignment="1">
      <alignment horizontal="right" vertical="center"/>
    </xf>
    <xf numFmtId="0" fontId="13" fillId="8" borderId="16" xfId="1" applyFont="1" applyFill="1" applyBorder="1" applyAlignment="1" applyProtection="1">
      <alignment vertical="center"/>
      <protection hidden="1"/>
    </xf>
    <xf numFmtId="0" fontId="81" fillId="8" borderId="52" xfId="5" applyFont="1" applyFill="1" applyBorder="1" applyAlignment="1">
      <alignment horizontal="left" vertical="center"/>
    </xf>
    <xf numFmtId="0" fontId="0" fillId="8" borderId="13" xfId="0" applyFill="1" applyBorder="1"/>
    <xf numFmtId="0" fontId="20" fillId="8" borderId="13" xfId="6" applyFont="1" applyFill="1" applyBorder="1" applyAlignment="1">
      <alignment horizontal="right" vertical="center"/>
    </xf>
    <xf numFmtId="0" fontId="80" fillId="20" borderId="21" xfId="15" applyFont="1" applyFill="1" applyBorder="1" applyAlignment="1">
      <alignment horizontal="center" vertical="center"/>
    </xf>
    <xf numFmtId="0" fontId="82" fillId="15" borderId="6" xfId="1" applyFont="1" applyFill="1" applyBorder="1" applyAlignment="1">
      <alignment horizontal="left" vertical="center"/>
    </xf>
    <xf numFmtId="0" fontId="83" fillId="8" borderId="16" xfId="1" applyFont="1" applyFill="1" applyBorder="1" applyAlignment="1" applyProtection="1">
      <alignment horizontal="left" vertical="center"/>
      <protection locked="0"/>
    </xf>
    <xf numFmtId="0" fontId="81" fillId="8" borderId="0" xfId="5" applyFont="1" applyFill="1" applyAlignment="1">
      <alignment horizontal="left" vertical="center"/>
    </xf>
    <xf numFmtId="0" fontId="57" fillId="8" borderId="0" xfId="5" applyFont="1" applyFill="1" applyAlignment="1">
      <alignment horizontal="right" vertical="center"/>
    </xf>
    <xf numFmtId="173" fontId="84" fillId="21" borderId="9" xfId="1" applyNumberFormat="1" applyFont="1" applyFill="1" applyBorder="1" applyAlignment="1">
      <alignment horizontal="center" vertical="center"/>
    </xf>
    <xf numFmtId="0" fontId="83" fillId="8" borderId="0" xfId="1" applyFont="1" applyFill="1" applyAlignment="1" applyProtection="1">
      <alignment horizontal="left" vertical="center"/>
      <protection locked="0"/>
    </xf>
    <xf numFmtId="173" fontId="58" fillId="21" borderId="9" xfId="1" applyNumberFormat="1" applyFont="1" applyFill="1" applyBorder="1" applyAlignment="1">
      <alignment horizontal="center" vertical="center"/>
    </xf>
    <xf numFmtId="173" fontId="36" fillId="36" borderId="9" xfId="1" applyNumberFormat="1" applyFont="1" applyFill="1" applyBorder="1" applyAlignment="1">
      <alignment horizontal="center" vertical="center"/>
    </xf>
    <xf numFmtId="0" fontId="13" fillId="8" borderId="0" xfId="5" applyFont="1" applyFill="1" applyAlignment="1">
      <alignment horizontal="right" vertical="center"/>
    </xf>
    <xf numFmtId="173" fontId="13" fillId="43" borderId="9" xfId="1" applyNumberFormat="1" applyFont="1" applyFill="1" applyBorder="1" applyAlignment="1">
      <alignment horizontal="center" vertical="center"/>
    </xf>
    <xf numFmtId="0" fontId="71" fillId="15" borderId="0" xfId="3" applyFont="1" applyFill="1" applyAlignment="1">
      <alignment horizontal="left" vertical="center"/>
    </xf>
    <xf numFmtId="0" fontId="0" fillId="15" borderId="0" xfId="0" applyFill="1" applyAlignment="1">
      <alignment horizontal="left"/>
    </xf>
    <xf numFmtId="0" fontId="0" fillId="15" borderId="9" xfId="0" applyFill="1" applyBorder="1" applyAlignment="1">
      <alignment horizontal="left" vertical="center"/>
    </xf>
    <xf numFmtId="0" fontId="71" fillId="15" borderId="0" xfId="3" applyFont="1" applyFill="1" applyAlignment="1">
      <alignment horizontal="left"/>
    </xf>
    <xf numFmtId="0" fontId="73" fillId="44" borderId="35" xfId="16" applyFont="1" applyFill="1" applyBorder="1" applyAlignment="1" applyProtection="1">
      <alignment horizontal="center" vertical="center"/>
      <protection locked="0"/>
    </xf>
    <xf numFmtId="0" fontId="0" fillId="8" borderId="0" xfId="0" applyFill="1" applyAlignment="1">
      <alignment vertical="center"/>
    </xf>
    <xf numFmtId="1" fontId="74" fillId="20" borderId="35" xfId="5" applyNumberFormat="1" applyFont="1" applyFill="1" applyBorder="1" applyAlignment="1">
      <alignment horizontal="center" vertical="center"/>
    </xf>
    <xf numFmtId="0" fontId="72" fillId="8" borderId="0" xfId="0" applyFont="1" applyFill="1" applyAlignment="1">
      <alignment vertical="center"/>
    </xf>
    <xf numFmtId="0" fontId="36" fillId="45" borderId="0" xfId="16" applyFont="1" applyFill="1" applyAlignment="1" applyProtection="1">
      <alignment horizontal="center" vertical="center"/>
      <protection locked="0"/>
    </xf>
    <xf numFmtId="0" fontId="39" fillId="15" borderId="6" xfId="1" applyFont="1" applyFill="1" applyBorder="1" applyAlignment="1">
      <alignment horizontal="left" vertical="center"/>
    </xf>
    <xf numFmtId="0" fontId="0" fillId="8" borderId="9" xfId="0" applyFill="1" applyBorder="1" applyAlignment="1">
      <alignment vertical="center"/>
    </xf>
    <xf numFmtId="0" fontId="36" fillId="46" borderId="35" xfId="1" applyFont="1" applyFill="1" applyBorder="1" applyAlignment="1">
      <alignment horizontal="center" vertical="center"/>
    </xf>
    <xf numFmtId="0" fontId="57" fillId="8" borderId="0" xfId="1" applyFont="1" applyFill="1" applyAlignment="1">
      <alignment horizontal="left" vertical="center"/>
    </xf>
    <xf numFmtId="0" fontId="20" fillId="8" borderId="0" xfId="16" applyFont="1" applyFill="1" applyAlignment="1">
      <alignment horizontal="left" vertical="center"/>
    </xf>
    <xf numFmtId="0" fontId="37" fillId="8" borderId="9" xfId="0" applyFont="1" applyFill="1" applyBorder="1" applyAlignment="1">
      <alignment horizontal="center" vertical="center"/>
    </xf>
    <xf numFmtId="167" fontId="84" fillId="45" borderId="35" xfId="16" applyNumberFormat="1" applyFont="1" applyFill="1" applyBorder="1" applyAlignment="1" applyProtection="1">
      <alignment horizontal="center" vertical="center"/>
      <protection locked="0"/>
    </xf>
    <xf numFmtId="0" fontId="20" fillId="8" borderId="0" xfId="1" applyFont="1" applyFill="1" applyAlignment="1">
      <alignment horizontal="left" vertical="center"/>
    </xf>
    <xf numFmtId="0" fontId="57" fillId="8" borderId="0" xfId="1" applyFont="1" applyFill="1" applyAlignment="1" applyProtection="1">
      <alignment horizontal="left" vertical="center"/>
      <protection locked="0"/>
    </xf>
    <xf numFmtId="168" fontId="36" fillId="45" borderId="35" xfId="1" applyNumberFormat="1" applyFont="1" applyFill="1" applyBorder="1" applyAlignment="1">
      <alignment horizontal="center" vertical="center"/>
    </xf>
    <xf numFmtId="0" fontId="57" fillId="8" borderId="0" xfId="0" applyFont="1" applyFill="1" applyAlignment="1">
      <alignment vertical="center"/>
    </xf>
    <xf numFmtId="174" fontId="24" fillId="47" borderId="9" xfId="1" applyNumberFormat="1" applyFont="1" applyFill="1" applyBorder="1" applyAlignment="1">
      <alignment horizontal="center" vertical="center"/>
    </xf>
    <xf numFmtId="0" fontId="83" fillId="8" borderId="13" xfId="1" applyFont="1" applyFill="1" applyBorder="1" applyAlignment="1" applyProtection="1">
      <alignment horizontal="left" vertical="center"/>
      <protection locked="0"/>
    </xf>
    <xf numFmtId="0" fontId="71" fillId="8" borderId="0" xfId="0" applyFont="1" applyFill="1" applyAlignment="1">
      <alignment horizontal="left" vertical="center"/>
    </xf>
    <xf numFmtId="0" fontId="57" fillId="25" borderId="48" xfId="8" applyFont="1" applyFill="1" applyBorder="1" applyAlignment="1">
      <alignment horizontal="right" vertical="center"/>
    </xf>
    <xf numFmtId="0" fontId="86" fillId="8" borderId="48" xfId="17" applyFill="1" applyBorder="1" applyAlignment="1">
      <alignment vertical="center"/>
    </xf>
    <xf numFmtId="0" fontId="1" fillId="8" borderId="48" xfId="3" applyFill="1" applyBorder="1"/>
    <xf numFmtId="0" fontId="88" fillId="15" borderId="6" xfId="1" applyFont="1" applyFill="1" applyBorder="1" applyAlignment="1" applyProtection="1">
      <alignment horizontal="left" vertical="center"/>
      <protection locked="0"/>
    </xf>
    <xf numFmtId="0" fontId="88" fillId="15" borderId="0" xfId="1" applyFont="1" applyFill="1" applyAlignment="1" applyProtection="1">
      <alignment horizontal="left" vertical="center"/>
      <protection locked="0"/>
    </xf>
    <xf numFmtId="0" fontId="8" fillId="40" borderId="0" xfId="7" applyFont="1" applyFill="1" applyAlignment="1">
      <alignment horizontal="right" vertical="center"/>
    </xf>
    <xf numFmtId="0" fontId="8" fillId="40" borderId="0" xfId="7" applyFont="1" applyFill="1" applyAlignment="1">
      <alignment horizontal="left" vertical="center"/>
    </xf>
    <xf numFmtId="1" fontId="8" fillId="40" borderId="0" xfId="7" applyNumberFormat="1" applyFont="1" applyFill="1" applyAlignment="1">
      <alignment horizontal="right" vertical="center"/>
    </xf>
    <xf numFmtId="0" fontId="21" fillId="40" borderId="0" xfId="1" applyFont="1" applyFill="1" applyAlignment="1" applyProtection="1">
      <alignment vertical="center"/>
      <protection hidden="1"/>
    </xf>
    <xf numFmtId="0" fontId="13" fillId="40" borderId="0" xfId="1" applyFont="1" applyFill="1" applyAlignment="1" applyProtection="1">
      <alignment vertical="center"/>
      <protection hidden="1"/>
    </xf>
    <xf numFmtId="0" fontId="57" fillId="40" borderId="0" xfId="1" applyFont="1" applyFill="1" applyAlignment="1" applyProtection="1">
      <alignment vertical="center"/>
      <protection hidden="1"/>
    </xf>
    <xf numFmtId="0" fontId="29" fillId="49" borderId="58" xfId="7" applyFont="1" applyFill="1" applyBorder="1" applyAlignment="1">
      <alignment horizontal="center" vertical="center"/>
    </xf>
    <xf numFmtId="0" fontId="8" fillId="49" borderId="3" xfId="7" applyFont="1" applyFill="1" applyBorder="1" applyAlignment="1">
      <alignment vertical="center"/>
    </xf>
    <xf numFmtId="1" fontId="8" fillId="49" borderId="3" xfId="7" applyNumberFormat="1" applyFont="1" applyFill="1" applyBorder="1" applyAlignment="1">
      <alignment horizontal="left" vertical="center"/>
    </xf>
    <xf numFmtId="0" fontId="90" fillId="49" borderId="3" xfId="1" applyFont="1" applyFill="1" applyBorder="1" applyAlignment="1" applyProtection="1">
      <alignment vertical="center"/>
      <protection hidden="1"/>
    </xf>
    <xf numFmtId="0" fontId="21" fillId="49" borderId="3" xfId="1" applyFont="1" applyFill="1" applyBorder="1" applyAlignment="1" applyProtection="1">
      <alignment vertical="center"/>
      <protection hidden="1"/>
    </xf>
    <xf numFmtId="0" fontId="13" fillId="49" borderId="3" xfId="1" applyFont="1" applyFill="1" applyBorder="1" applyAlignment="1" applyProtection="1">
      <alignment vertical="center"/>
      <protection hidden="1"/>
    </xf>
    <xf numFmtId="0" fontId="13" fillId="49" borderId="59" xfId="1" applyFont="1" applyFill="1" applyBorder="1" applyAlignment="1" applyProtection="1">
      <alignment vertical="center"/>
      <protection hidden="1"/>
    </xf>
    <xf numFmtId="0" fontId="71" fillId="15" borderId="6" xfId="0" applyFont="1" applyFill="1" applyBorder="1" applyAlignment="1">
      <alignment vertical="center"/>
    </xf>
    <xf numFmtId="0" fontId="71" fillId="15" borderId="0" xfId="0" applyFont="1" applyFill="1" applyAlignment="1">
      <alignment vertical="center"/>
    </xf>
    <xf numFmtId="0" fontId="57" fillId="37" borderId="0" xfId="4" applyFont="1" applyFill="1" applyAlignment="1">
      <alignment horizontal="center" vertical="center"/>
    </xf>
    <xf numFmtId="0" fontId="1" fillId="37" borderId="0" xfId="4" applyFill="1"/>
    <xf numFmtId="0" fontId="71" fillId="15" borderId="6" xfId="3" applyFont="1" applyFill="1" applyBorder="1" applyAlignment="1">
      <alignment horizontal="left" vertical="center"/>
    </xf>
    <xf numFmtId="0" fontId="1" fillId="0" borderId="0" xfId="4"/>
    <xf numFmtId="0" fontId="2" fillId="42" borderId="0" xfId="9" applyFont="1" applyFill="1" applyAlignment="1">
      <alignment horizontal="right" vertical="center"/>
    </xf>
    <xf numFmtId="0" fontId="1" fillId="8" borderId="0" xfId="3" applyFill="1" applyAlignment="1">
      <alignment vertical="center"/>
    </xf>
    <xf numFmtId="0" fontId="13" fillId="50" borderId="4" xfId="3" applyFont="1" applyFill="1" applyBorder="1" applyAlignment="1">
      <alignment horizontal="left" vertical="center"/>
    </xf>
    <xf numFmtId="0" fontId="13" fillId="50" borderId="4" xfId="3" applyFont="1" applyFill="1" applyBorder="1" applyAlignment="1">
      <alignment horizontal="right" vertical="center"/>
    </xf>
    <xf numFmtId="0" fontId="91" fillId="8" borderId="60" xfId="0" applyFont="1" applyFill="1" applyBorder="1" applyAlignment="1">
      <alignment horizontal="center" vertical="center"/>
    </xf>
    <xf numFmtId="0" fontId="92" fillId="8" borderId="16" xfId="18" applyFont="1" applyFill="1" applyBorder="1" applyAlignment="1">
      <alignment horizontal="left" vertical="center"/>
    </xf>
    <xf numFmtId="0" fontId="36" fillId="15" borderId="6" xfId="0" applyFont="1" applyFill="1" applyBorder="1"/>
    <xf numFmtId="0" fontId="36" fillId="15" borderId="0" xfId="0" applyFont="1" applyFill="1"/>
    <xf numFmtId="0" fontId="20" fillId="8" borderId="0" xfId="0" applyFont="1" applyFill="1" applyAlignment="1">
      <alignment vertical="center"/>
    </xf>
    <xf numFmtId="0" fontId="24" fillId="17" borderId="61" xfId="1" applyFont="1" applyFill="1" applyBorder="1" applyAlignment="1" applyProtection="1">
      <alignment horizontal="center"/>
      <protection locked="0"/>
    </xf>
    <xf numFmtId="0" fontId="50" fillId="17" borderId="5" xfId="1" applyFont="1" applyFill="1" applyBorder="1" applyAlignment="1" applyProtection="1">
      <alignment horizontal="center"/>
      <protection locked="0"/>
    </xf>
    <xf numFmtId="0" fontId="54" fillId="7" borderId="5" xfId="1" applyFont="1" applyFill="1" applyBorder="1" applyAlignment="1" applyProtection="1">
      <alignment horizontal="center" vertical="center"/>
      <protection hidden="1"/>
    </xf>
    <xf numFmtId="0" fontId="48" fillId="15" borderId="54" xfId="1" applyFont="1" applyFill="1" applyBorder="1" applyAlignment="1">
      <alignment horizontal="center"/>
    </xf>
    <xf numFmtId="0" fontId="24" fillId="17" borderId="64" xfId="1" applyFont="1" applyFill="1" applyBorder="1" applyAlignment="1" applyProtection="1">
      <alignment horizontal="center" vertical="center"/>
      <protection hidden="1"/>
    </xf>
    <xf numFmtId="0" fontId="48" fillId="15" borderId="21" xfId="9" applyFont="1" applyFill="1" applyBorder="1" applyAlignment="1">
      <alignment horizontal="center" vertical="center"/>
    </xf>
    <xf numFmtId="0" fontId="24" fillId="17" borderId="0" xfId="8" applyFont="1" applyFill="1" applyAlignment="1">
      <alignment horizontal="center" vertical="center"/>
    </xf>
    <xf numFmtId="167" fontId="59" fillId="26" borderId="65" xfId="1" applyNumberFormat="1" applyFont="1" applyFill="1" applyBorder="1" applyAlignment="1">
      <alignment horizontal="center" vertical="center"/>
    </xf>
    <xf numFmtId="0" fontId="39" fillId="0" borderId="9" xfId="1" applyFont="1" applyBorder="1" applyAlignment="1">
      <alignment horizontal="left" vertical="center"/>
    </xf>
    <xf numFmtId="165" fontId="24" fillId="24" borderId="6" xfId="1" applyNumberFormat="1" applyFont="1" applyFill="1" applyBorder="1" applyAlignment="1">
      <alignment horizontal="center" vertical="center"/>
    </xf>
    <xf numFmtId="1" fontId="48" fillId="51" borderId="9" xfId="1" applyNumberFormat="1" applyFont="1" applyFill="1" applyBorder="1" applyAlignment="1">
      <alignment horizontal="right" vertical="center"/>
    </xf>
    <xf numFmtId="0" fontId="57" fillId="8" borderId="64" xfId="11" applyFont="1" applyFill="1" applyBorder="1" applyAlignment="1">
      <alignment horizontal="right" vertical="center"/>
    </xf>
    <xf numFmtId="168" fontId="20" fillId="28" borderId="6" xfId="1" applyNumberFormat="1" applyFont="1" applyFill="1" applyBorder="1" applyAlignment="1">
      <alignment horizontal="center" vertical="center"/>
    </xf>
    <xf numFmtId="1" fontId="57" fillId="30" borderId="67" xfId="1" applyNumberFormat="1" applyFont="1" applyFill="1" applyBorder="1" applyAlignment="1">
      <alignment horizontal="center" vertical="center" wrapText="1"/>
    </xf>
    <xf numFmtId="1" fontId="57" fillId="33" borderId="17" xfId="1" applyNumberFormat="1" applyFont="1" applyFill="1" applyBorder="1" applyAlignment="1">
      <alignment horizontal="center" vertical="center"/>
    </xf>
    <xf numFmtId="0" fontId="43" fillId="15" borderId="6" xfId="9" applyFont="1" applyFill="1" applyBorder="1" applyAlignment="1">
      <alignment horizontal="left" vertical="center"/>
    </xf>
    <xf numFmtId="169" fontId="93" fillId="15" borderId="0" xfId="1" applyNumberFormat="1" applyFont="1" applyFill="1" applyAlignment="1">
      <alignment horizontal="center" vertical="center"/>
    </xf>
    <xf numFmtId="1" fontId="48" fillId="52" borderId="0" xfId="1" applyNumberFormat="1" applyFont="1" applyFill="1" applyAlignment="1">
      <alignment horizontal="left" vertical="center"/>
    </xf>
    <xf numFmtId="1" fontId="20" fillId="51" borderId="0" xfId="1" applyNumberFormat="1" applyFont="1" applyFill="1" applyAlignment="1">
      <alignment horizontal="right" vertical="center"/>
    </xf>
    <xf numFmtId="175" fontId="94" fillId="15" borderId="0" xfId="1" applyNumberFormat="1" applyFont="1" applyFill="1" applyAlignment="1">
      <alignment horizontal="center" vertical="center"/>
    </xf>
    <xf numFmtId="169" fontId="31" fillId="7" borderId="0" xfId="1" applyNumberFormat="1" applyFont="1" applyFill="1" applyAlignment="1">
      <alignment horizontal="left" vertical="center"/>
    </xf>
    <xf numFmtId="0" fontId="57" fillId="8" borderId="16" xfId="1" applyFont="1" applyFill="1" applyBorder="1" applyAlignment="1" applyProtection="1">
      <alignment horizontal="left" vertical="center"/>
      <protection locked="0"/>
    </xf>
    <xf numFmtId="1" fontId="48" fillId="51" borderId="0" xfId="1" applyNumberFormat="1" applyFont="1" applyFill="1" applyAlignment="1">
      <alignment horizontal="center" vertical="center"/>
    </xf>
    <xf numFmtId="169" fontId="20" fillId="53" borderId="0" xfId="1" applyNumberFormat="1" applyFont="1" applyFill="1" applyAlignment="1">
      <alignment horizontal="center" vertical="center"/>
    </xf>
    <xf numFmtId="0" fontId="21" fillId="40" borderId="68" xfId="1" applyFont="1" applyFill="1" applyBorder="1" applyAlignment="1" applyProtection="1">
      <alignment vertical="center"/>
      <protection hidden="1"/>
    </xf>
    <xf numFmtId="0" fontId="13" fillId="40" borderId="68" xfId="1" applyFont="1" applyFill="1" applyBorder="1" applyAlignment="1" applyProtection="1">
      <alignment vertical="center"/>
      <protection hidden="1"/>
    </xf>
    <xf numFmtId="0" fontId="57" fillId="40" borderId="68" xfId="1" applyFont="1" applyFill="1" applyBorder="1" applyAlignment="1" applyProtection="1">
      <alignment vertical="center"/>
      <protection hidden="1"/>
    </xf>
    <xf numFmtId="0" fontId="13" fillId="15" borderId="6" xfId="6" applyFont="1" applyFill="1" applyBorder="1" applyAlignment="1">
      <alignment vertical="center"/>
    </xf>
    <xf numFmtId="0" fontId="31" fillId="7" borderId="69" xfId="10" applyFont="1" applyFill="1" applyBorder="1" applyAlignment="1">
      <alignment horizontal="center" vertical="center"/>
    </xf>
    <xf numFmtId="0" fontId="71" fillId="15" borderId="0" xfId="0" applyFont="1" applyFill="1" applyAlignment="1">
      <alignment vertical="top"/>
    </xf>
    <xf numFmtId="0" fontId="0" fillId="15" borderId="0" xfId="0" applyFill="1" applyAlignment="1">
      <alignment vertical="top"/>
    </xf>
    <xf numFmtId="0" fontId="0" fillId="15" borderId="0" xfId="0" applyFill="1" applyAlignment="1">
      <alignment vertical="center"/>
    </xf>
    <xf numFmtId="0" fontId="48" fillId="8" borderId="0" xfId="5" applyFont="1" applyFill="1" applyAlignment="1">
      <alignment vertical="center"/>
    </xf>
    <xf numFmtId="169" fontId="89" fillId="15" borderId="0" xfId="1" applyNumberFormat="1" applyFont="1" applyFill="1" applyAlignment="1">
      <alignment horizontal="center" vertical="top" wrapText="1"/>
    </xf>
    <xf numFmtId="169" fontId="89" fillId="15" borderId="9" xfId="1" applyNumberFormat="1" applyFont="1" applyFill="1" applyBorder="1" applyAlignment="1">
      <alignment horizontal="center" vertical="top" wrapText="1"/>
    </xf>
    <xf numFmtId="0" fontId="48" fillId="8" borderId="70" xfId="1" applyFont="1" applyFill="1" applyBorder="1" applyAlignment="1">
      <alignment horizontal="center"/>
    </xf>
    <xf numFmtId="0" fontId="48" fillId="8" borderId="74" xfId="9" applyFont="1" applyFill="1" applyBorder="1" applyAlignment="1">
      <alignment horizontal="center" vertical="center"/>
    </xf>
    <xf numFmtId="0" fontId="43" fillId="8" borderId="75" xfId="9" applyFont="1" applyFill="1" applyBorder="1" applyAlignment="1">
      <alignment horizontal="left" vertical="center"/>
    </xf>
    <xf numFmtId="169" fontId="93" fillId="8" borderId="76" xfId="1" applyNumberFormat="1" applyFont="1" applyFill="1" applyBorder="1" applyAlignment="1">
      <alignment horizontal="center" vertical="center"/>
    </xf>
    <xf numFmtId="1" fontId="48" fillId="56" borderId="77" xfId="1" applyNumberFormat="1" applyFont="1" applyFill="1" applyBorder="1" applyAlignment="1">
      <alignment horizontal="center" vertical="center"/>
    </xf>
    <xf numFmtId="1" fontId="20" fillId="28" borderId="0" xfId="1" applyNumberFormat="1" applyFont="1" applyFill="1" applyAlignment="1">
      <alignment horizontal="right" vertical="center"/>
    </xf>
    <xf numFmtId="175" fontId="94" fillId="20" borderId="78" xfId="1" applyNumberFormat="1" applyFont="1" applyFill="1" applyBorder="1" applyAlignment="1">
      <alignment horizontal="center" vertical="center"/>
    </xf>
    <xf numFmtId="169" fontId="93" fillId="8" borderId="79" xfId="1" applyNumberFormat="1" applyFont="1" applyFill="1" applyBorder="1" applyAlignment="1">
      <alignment horizontal="center" vertical="center"/>
    </xf>
    <xf numFmtId="1" fontId="48" fillId="33" borderId="80" xfId="1" applyNumberFormat="1" applyFont="1" applyFill="1" applyBorder="1" applyAlignment="1">
      <alignment horizontal="center" vertical="center"/>
    </xf>
    <xf numFmtId="169" fontId="93" fillId="55" borderId="76" xfId="1" applyNumberFormat="1" applyFont="1" applyFill="1" applyBorder="1" applyAlignment="1">
      <alignment horizontal="center" vertical="center"/>
    </xf>
    <xf numFmtId="169" fontId="93" fillId="53" borderId="77" xfId="1" applyNumberFormat="1" applyFont="1" applyFill="1" applyBorder="1" applyAlignment="1">
      <alignment horizontal="center" vertical="center"/>
    </xf>
    <xf numFmtId="1" fontId="48" fillId="31" borderId="37" xfId="1" applyNumberFormat="1" applyFont="1" applyFill="1" applyBorder="1" applyAlignment="1">
      <alignment horizontal="center" vertical="center"/>
    </xf>
    <xf numFmtId="0" fontId="43" fillId="8" borderId="6" xfId="9" applyFont="1" applyFill="1" applyBorder="1" applyAlignment="1">
      <alignment horizontal="left" vertical="center"/>
    </xf>
    <xf numFmtId="169" fontId="93" fillId="55" borderId="0" xfId="1" applyNumberFormat="1" applyFont="1" applyFill="1" applyAlignment="1">
      <alignment horizontal="center" vertical="center"/>
    </xf>
    <xf numFmtId="1" fontId="48" fillId="56" borderId="0" xfId="1" applyNumberFormat="1" applyFont="1" applyFill="1" applyAlignment="1">
      <alignment horizontal="center" vertical="center"/>
    </xf>
    <xf numFmtId="175" fontId="94" fillId="20" borderId="0" xfId="1" applyNumberFormat="1" applyFont="1" applyFill="1" applyAlignment="1">
      <alignment horizontal="center" vertical="center"/>
    </xf>
    <xf numFmtId="169" fontId="93" fillId="53" borderId="0" xfId="1" applyNumberFormat="1" applyFont="1" applyFill="1" applyAlignment="1">
      <alignment horizontal="center" vertical="center"/>
    </xf>
    <xf numFmtId="1" fontId="48" fillId="31" borderId="9" xfId="1" applyNumberFormat="1" applyFont="1" applyFill="1" applyBorder="1" applyAlignment="1">
      <alignment horizontal="right" vertical="center"/>
    </xf>
    <xf numFmtId="0" fontId="13" fillId="15" borderId="0" xfId="6" applyFont="1" applyFill="1" applyAlignment="1">
      <alignment vertical="center"/>
    </xf>
    <xf numFmtId="0" fontId="13" fillId="15" borderId="0" xfId="6" applyFont="1" applyFill="1" applyAlignment="1">
      <alignment horizontal="center" vertical="center"/>
    </xf>
    <xf numFmtId="0" fontId="13" fillId="15" borderId="9" xfId="6" applyFont="1" applyFill="1" applyBorder="1" applyAlignment="1">
      <alignment vertical="center"/>
    </xf>
    <xf numFmtId="0" fontId="26" fillId="16" borderId="0" xfId="6" applyFont="1" applyFill="1" applyAlignment="1">
      <alignment vertical="center"/>
    </xf>
    <xf numFmtId="0" fontId="71" fillId="15" borderId="0" xfId="3" applyFont="1" applyFill="1"/>
    <xf numFmtId="0" fontId="24" fillId="17" borderId="83" xfId="1" applyFont="1" applyFill="1" applyBorder="1" applyAlignment="1" applyProtection="1">
      <alignment horizontal="center"/>
      <protection locked="0"/>
    </xf>
    <xf numFmtId="0" fontId="50" fillId="17" borderId="1" xfId="1" applyFont="1" applyFill="1" applyBorder="1" applyAlignment="1" applyProtection="1">
      <alignment horizontal="center"/>
      <protection locked="0"/>
    </xf>
    <xf numFmtId="0" fontId="54" fillId="7" borderId="48" xfId="1" applyFont="1" applyFill="1" applyBorder="1" applyAlignment="1" applyProtection="1">
      <alignment horizontal="center" vertical="center"/>
      <protection hidden="1"/>
    </xf>
    <xf numFmtId="0" fontId="48" fillId="8" borderId="84" xfId="1" applyFont="1" applyFill="1" applyBorder="1" applyAlignment="1">
      <alignment horizontal="center"/>
    </xf>
    <xf numFmtId="0" fontId="24" fillId="17" borderId="6" xfId="1" applyFont="1" applyFill="1" applyBorder="1" applyAlignment="1" applyProtection="1">
      <alignment horizontal="center" vertical="center"/>
      <protection hidden="1"/>
    </xf>
    <xf numFmtId="0" fontId="48" fillId="8" borderId="18" xfId="9" applyFont="1" applyFill="1" applyBorder="1" applyAlignment="1">
      <alignment horizontal="center" vertical="center"/>
    </xf>
    <xf numFmtId="2" fontId="59" fillId="26" borderId="85" xfId="1" applyNumberFormat="1" applyFont="1" applyFill="1" applyBorder="1" applyAlignment="1">
      <alignment horizontal="center" vertical="center"/>
    </xf>
    <xf numFmtId="1" fontId="59" fillId="20" borderId="86" xfId="1" applyNumberFormat="1" applyFont="1" applyFill="1" applyBorder="1" applyAlignment="1">
      <alignment horizontal="center" vertical="center"/>
    </xf>
    <xf numFmtId="0" fontId="31" fillId="7" borderId="87" xfId="10" applyFont="1" applyFill="1" applyBorder="1" applyAlignment="1">
      <alignment horizontal="center" vertical="center"/>
    </xf>
    <xf numFmtId="1" fontId="60" fillId="20" borderId="77" xfId="1" applyNumberFormat="1" applyFont="1" applyFill="1" applyBorder="1" applyAlignment="1">
      <alignment horizontal="center" vertical="center"/>
    </xf>
    <xf numFmtId="0" fontId="97" fillId="8" borderId="88" xfId="1" applyFont="1" applyFill="1" applyBorder="1" applyAlignment="1" applyProtection="1">
      <alignment vertical="center"/>
      <protection hidden="1"/>
    </xf>
    <xf numFmtId="0" fontId="43" fillId="8" borderId="89" xfId="9" applyFont="1" applyFill="1" applyBorder="1" applyAlignment="1">
      <alignment horizontal="left" vertical="center"/>
    </xf>
    <xf numFmtId="0" fontId="72" fillId="41" borderId="4" xfId="4" applyFont="1" applyFill="1" applyBorder="1" applyAlignment="1">
      <alignment vertical="center"/>
    </xf>
    <xf numFmtId="0" fontId="98" fillId="0" borderId="24" xfId="20" applyFont="1" applyBorder="1" applyAlignment="1">
      <alignment horizontal="center" vertical="center"/>
    </xf>
    <xf numFmtId="0" fontId="37" fillId="8" borderId="0" xfId="3" applyFont="1" applyFill="1" applyAlignment="1">
      <alignment horizontal="left" vertical="center"/>
    </xf>
    <xf numFmtId="0" fontId="13" fillId="8" borderId="13" xfId="21" applyFont="1" applyFill="1" applyBorder="1" applyAlignment="1">
      <alignment horizontal="left" vertical="center"/>
    </xf>
    <xf numFmtId="1" fontId="59" fillId="26" borderId="65" xfId="1" applyNumberFormat="1" applyFont="1" applyFill="1" applyBorder="1" applyAlignment="1">
      <alignment horizontal="center" vertical="center"/>
    </xf>
    <xf numFmtId="1" fontId="59" fillId="20" borderId="90" xfId="1" applyNumberFormat="1" applyFont="1" applyFill="1" applyBorder="1" applyAlignment="1">
      <alignment horizontal="center" vertical="center"/>
    </xf>
    <xf numFmtId="0" fontId="24" fillId="8" borderId="0" xfId="1" applyFont="1" applyFill="1" applyAlignment="1" applyProtection="1">
      <alignment horizontal="left" vertical="center"/>
      <protection hidden="1"/>
    </xf>
    <xf numFmtId="1" fontId="59" fillId="15" borderId="6" xfId="1" applyNumberFormat="1" applyFont="1" applyFill="1" applyBorder="1" applyAlignment="1">
      <alignment horizontal="center" vertical="center"/>
    </xf>
    <xf numFmtId="1" fontId="59" fillId="15" borderId="0" xfId="1" applyNumberFormat="1" applyFont="1" applyFill="1" applyAlignment="1">
      <alignment horizontal="center" vertical="center"/>
    </xf>
    <xf numFmtId="0" fontId="31" fillId="15" borderId="0" xfId="10" applyFont="1" applyFill="1" applyAlignment="1">
      <alignment horizontal="center" vertical="center"/>
    </xf>
    <xf numFmtId="1" fontId="60" fillId="15" borderId="0" xfId="1" applyNumberFormat="1" applyFont="1" applyFill="1" applyAlignment="1">
      <alignment horizontal="center" vertical="center"/>
    </xf>
    <xf numFmtId="0" fontId="97" fillId="15" borderId="0" xfId="1" applyFont="1" applyFill="1" applyAlignment="1" applyProtection="1">
      <alignment vertical="center"/>
      <protection hidden="1"/>
    </xf>
    <xf numFmtId="0" fontId="43" fillId="15" borderId="0" xfId="9" applyFont="1" applyFill="1" applyAlignment="1">
      <alignment horizontal="left" vertical="center"/>
    </xf>
    <xf numFmtId="0" fontId="99" fillId="8" borderId="60" xfId="21" applyFont="1" applyFill="1" applyBorder="1" applyAlignment="1">
      <alignment horizontal="center" vertical="center"/>
    </xf>
    <xf numFmtId="0" fontId="36" fillId="15" borderId="6" xfId="0" applyFont="1" applyFill="1" applyBorder="1" applyAlignment="1">
      <alignment vertical="center"/>
    </xf>
    <xf numFmtId="0" fontId="71" fillId="15" borderId="6" xfId="0" applyFont="1" applyFill="1" applyBorder="1"/>
    <xf numFmtId="0" fontId="64" fillId="15" borderId="0" xfId="1" applyFont="1" applyFill="1" applyAlignment="1" applyProtection="1">
      <alignment horizontal="left" vertical="center"/>
      <protection locked="0"/>
    </xf>
    <xf numFmtId="0" fontId="13" fillId="15" borderId="6" xfId="1" quotePrefix="1" applyFont="1" applyFill="1" applyBorder="1" applyAlignment="1" applyProtection="1">
      <alignment vertical="center"/>
      <protection hidden="1"/>
    </xf>
    <xf numFmtId="0" fontId="76" fillId="15" borderId="0" xfId="1" applyFont="1" applyFill="1" applyAlignment="1">
      <alignment horizontal="left" vertical="center"/>
    </xf>
    <xf numFmtId="0" fontId="98" fillId="0" borderId="91" xfId="20" applyFont="1" applyBorder="1" applyAlignment="1">
      <alignment horizontal="center" vertical="center"/>
    </xf>
    <xf numFmtId="1" fontId="59" fillId="57" borderId="92" xfId="1" applyNumberFormat="1" applyFont="1" applyFill="1" applyBorder="1" applyAlignment="1">
      <alignment horizontal="left" vertical="center"/>
    </xf>
    <xf numFmtId="0" fontId="48" fillId="43" borderId="93" xfId="20" applyFont="1" applyFill="1" applyBorder="1" applyAlignment="1">
      <alignment horizontal="center"/>
    </xf>
    <xf numFmtId="0" fontId="100" fillId="8" borderId="60" xfId="0" applyFont="1" applyFill="1" applyBorder="1" applyAlignment="1">
      <alignment horizontal="center" vertical="center"/>
    </xf>
    <xf numFmtId="176" fontId="20" fillId="43" borderId="94" xfId="20" applyNumberFormat="1" applyFont="1" applyFill="1" applyBorder="1" applyAlignment="1">
      <alignment horizontal="center" vertical="top"/>
    </xf>
    <xf numFmtId="0" fontId="57" fillId="8" borderId="0" xfId="1" applyFont="1" applyFill="1" applyAlignment="1" applyProtection="1">
      <alignment horizontal="left" vertical="center"/>
      <protection hidden="1"/>
    </xf>
    <xf numFmtId="0" fontId="101" fillId="20" borderId="95" xfId="20" applyFont="1" applyFill="1" applyBorder="1" applyAlignment="1">
      <alignment horizontal="center" vertical="center"/>
    </xf>
    <xf numFmtId="0" fontId="77" fillId="8" borderId="0" xfId="1" applyFont="1" applyFill="1" applyAlignment="1" applyProtection="1">
      <alignment horizontal="left" vertical="center"/>
      <protection hidden="1"/>
    </xf>
    <xf numFmtId="0" fontId="26" fillId="8" borderId="0" xfId="21" applyFont="1" applyFill="1" applyAlignment="1">
      <alignment horizontal="centerContinuous" vertical="center"/>
    </xf>
    <xf numFmtId="0" fontId="65" fillId="34" borderId="43" xfId="1" applyFont="1" applyFill="1" applyBorder="1" applyAlignment="1" applyProtection="1">
      <alignment horizontal="center" vertical="center"/>
      <protection hidden="1"/>
    </xf>
    <xf numFmtId="0" fontId="65" fillId="34" borderId="44" xfId="1" applyFont="1" applyFill="1" applyBorder="1" applyAlignment="1" applyProtection="1">
      <alignment horizontal="center" vertical="center"/>
      <protection hidden="1"/>
    </xf>
    <xf numFmtId="1" fontId="20" fillId="31" borderId="96" xfId="1" applyNumberFormat="1" applyFont="1" applyFill="1" applyBorder="1" applyAlignment="1">
      <alignment horizontal="center" vertical="center"/>
    </xf>
    <xf numFmtId="1" fontId="31" fillId="31" borderId="97" xfId="1" applyNumberFormat="1" applyFont="1" applyFill="1" applyBorder="1" applyAlignment="1">
      <alignment horizontal="left" vertical="center"/>
    </xf>
    <xf numFmtId="0" fontId="1" fillId="7" borderId="16" xfId="3" applyFill="1" applyBorder="1" applyAlignment="1">
      <alignment horizontal="center" vertical="center"/>
    </xf>
    <xf numFmtId="0" fontId="1" fillId="7" borderId="0" xfId="3" applyFill="1" applyAlignment="1">
      <alignment horizontal="center" vertical="center"/>
    </xf>
    <xf numFmtId="1" fontId="20" fillId="33" borderId="77" xfId="1" applyNumberFormat="1" applyFont="1" applyFill="1" applyBorder="1" applyAlignment="1">
      <alignment horizontal="left" vertical="center"/>
    </xf>
    <xf numFmtId="1" fontId="31" fillId="33" borderId="98" xfId="1" applyNumberFormat="1" applyFont="1" applyFill="1" applyBorder="1" applyAlignment="1">
      <alignment horizontal="left" vertical="center"/>
    </xf>
    <xf numFmtId="0" fontId="57" fillId="35" borderId="43" xfId="1" applyFont="1" applyFill="1" applyBorder="1" applyAlignment="1" applyProtection="1">
      <alignment horizontal="center" vertical="center"/>
      <protection hidden="1"/>
    </xf>
    <xf numFmtId="0" fontId="57" fillId="58" borderId="44" xfId="1" applyFont="1" applyFill="1" applyBorder="1" applyAlignment="1" applyProtection="1">
      <alignment horizontal="center" vertical="center"/>
      <protection hidden="1"/>
    </xf>
    <xf numFmtId="1" fontId="31" fillId="31" borderId="99" xfId="1" applyNumberFormat="1" applyFont="1" applyFill="1" applyBorder="1" applyAlignment="1">
      <alignment horizontal="left" vertical="center"/>
    </xf>
    <xf numFmtId="0" fontId="102" fillId="8" borderId="13" xfId="1" applyFont="1" applyFill="1" applyBorder="1" applyAlignment="1" applyProtection="1">
      <alignment horizontal="left" vertical="center"/>
      <protection locked="0"/>
    </xf>
    <xf numFmtId="0" fontId="24" fillId="8" borderId="13" xfId="1" applyFont="1" applyFill="1" applyBorder="1" applyAlignment="1" applyProtection="1">
      <alignment horizontal="right" vertical="center"/>
      <protection locked="0"/>
    </xf>
    <xf numFmtId="0" fontId="24" fillId="8" borderId="0" xfId="1" applyFont="1" applyFill="1" applyAlignment="1" applyProtection="1">
      <alignment horizontal="right" vertical="center"/>
      <protection locked="0"/>
    </xf>
    <xf numFmtId="0" fontId="1" fillId="15" borderId="16" xfId="3" applyFill="1" applyBorder="1" applyAlignment="1">
      <alignment vertical="center"/>
    </xf>
    <xf numFmtId="0" fontId="1" fillId="15" borderId="0" xfId="3" applyFill="1" applyAlignment="1">
      <alignment vertical="center"/>
    </xf>
    <xf numFmtId="0" fontId="57" fillId="15" borderId="16" xfId="1" quotePrefix="1" applyFont="1" applyFill="1" applyBorder="1" applyAlignment="1" applyProtection="1">
      <alignment vertical="center"/>
      <protection hidden="1"/>
    </xf>
    <xf numFmtId="0" fontId="72" fillId="15" borderId="0" xfId="3" applyFont="1" applyFill="1" applyAlignment="1">
      <alignment vertical="center"/>
    </xf>
    <xf numFmtId="0" fontId="24" fillId="15" borderId="0" xfId="1" applyFont="1" applyFill="1" applyAlignment="1">
      <alignment vertical="center" wrapText="1"/>
    </xf>
    <xf numFmtId="0" fontId="72" fillId="41" borderId="5" xfId="4" applyFont="1" applyFill="1" applyBorder="1" applyAlignment="1">
      <alignment vertical="center"/>
    </xf>
    <xf numFmtId="0" fontId="48" fillId="50" borderId="13" xfId="3" applyFont="1" applyFill="1" applyBorder="1" applyAlignment="1">
      <alignment horizontal="left" vertical="center"/>
    </xf>
    <xf numFmtId="0" fontId="48" fillId="22" borderId="6" xfId="3" applyFont="1" applyFill="1" applyBorder="1" applyAlignment="1">
      <alignment horizontal="center" vertical="center"/>
    </xf>
    <xf numFmtId="0" fontId="87" fillId="15" borderId="0" xfId="3" applyFont="1" applyFill="1" applyAlignment="1">
      <alignment vertical="center"/>
    </xf>
    <xf numFmtId="0" fontId="104" fillId="0" borderId="24" xfId="20" applyFont="1" applyBorder="1" applyAlignment="1">
      <alignment horizontal="center" vertical="center" wrapText="1"/>
    </xf>
    <xf numFmtId="0" fontId="62" fillId="0" borderId="24" xfId="20" applyFont="1" applyBorder="1" applyAlignment="1">
      <alignment horizontal="center" vertical="center" wrapText="1"/>
    </xf>
    <xf numFmtId="0" fontId="45" fillId="0" borderId="24" xfId="20" applyFont="1" applyBorder="1" applyAlignment="1">
      <alignment horizontal="center" vertical="center" wrapText="1"/>
    </xf>
    <xf numFmtId="0" fontId="104" fillId="0" borderId="24" xfId="20" applyFont="1" applyBorder="1" applyAlignment="1">
      <alignment horizontal="center" vertical="center"/>
    </xf>
    <xf numFmtId="0" fontId="62" fillId="0" borderId="24" xfId="20" applyFont="1" applyBorder="1" applyAlignment="1">
      <alignment horizontal="center" vertical="center"/>
    </xf>
    <xf numFmtId="0" fontId="45" fillId="0" borderId="24" xfId="20" applyFont="1" applyBorder="1" applyAlignment="1">
      <alignment horizontal="center" vertical="center"/>
    </xf>
    <xf numFmtId="0" fontId="20" fillId="8" borderId="0" xfId="1" applyFont="1" applyFill="1" applyAlignment="1" applyProtection="1">
      <alignment horizontal="left" vertical="center"/>
      <protection locked="0"/>
    </xf>
    <xf numFmtId="167" fontId="62" fillId="20" borderId="100" xfId="1" applyNumberFormat="1" applyFont="1" applyFill="1" applyBorder="1" applyAlignment="1">
      <alignment horizontal="center" vertical="center"/>
    </xf>
    <xf numFmtId="0" fontId="106" fillId="15" borderId="0" xfId="1" applyFont="1" applyFill="1" applyAlignment="1">
      <alignment horizontal="left" vertical="center"/>
    </xf>
    <xf numFmtId="0" fontId="48" fillId="43" borderId="53" xfId="20" applyFont="1" applyFill="1" applyBorder="1" applyAlignment="1">
      <alignment horizontal="center"/>
    </xf>
    <xf numFmtId="0" fontId="48" fillId="43" borderId="101" xfId="20" applyFont="1" applyFill="1" applyBorder="1" applyAlignment="1">
      <alignment horizontal="center"/>
    </xf>
    <xf numFmtId="0" fontId="107" fillId="15" borderId="0" xfId="3" applyFont="1" applyFill="1" applyAlignment="1">
      <alignment vertical="center"/>
    </xf>
    <xf numFmtId="0" fontId="108" fillId="15" borderId="0" xfId="7" applyFont="1" applyFill="1" applyAlignment="1">
      <alignment vertical="center"/>
    </xf>
    <xf numFmtId="176" fontId="20" fillId="43" borderId="55" xfId="20" applyNumberFormat="1" applyFont="1" applyFill="1" applyBorder="1" applyAlignment="1">
      <alignment horizontal="center" vertical="top"/>
    </xf>
    <xf numFmtId="176" fontId="20" fillId="43" borderId="102" xfId="20" applyNumberFormat="1" applyFont="1" applyFill="1" applyBorder="1" applyAlignment="1">
      <alignment horizontal="center" vertical="top"/>
    </xf>
    <xf numFmtId="0" fontId="107" fillId="15" borderId="0" xfId="3" applyFont="1" applyFill="1" applyAlignment="1">
      <alignment horizontal="left" vertical="center"/>
    </xf>
    <xf numFmtId="0" fontId="108" fillId="15" borderId="0" xfId="3" applyFont="1" applyFill="1" applyAlignment="1">
      <alignment horizontal="left" vertical="center"/>
    </xf>
    <xf numFmtId="0" fontId="101" fillId="20" borderId="38" xfId="20" applyFont="1" applyFill="1" applyBorder="1" applyAlignment="1">
      <alignment horizontal="center" vertical="center"/>
    </xf>
    <xf numFmtId="0" fontId="101" fillId="20" borderId="40" xfId="20" applyFont="1" applyFill="1" applyBorder="1" applyAlignment="1">
      <alignment horizontal="center" vertical="center"/>
    </xf>
    <xf numFmtId="0" fontId="57" fillId="8" borderId="0" xfId="1" applyFont="1" applyFill="1" applyAlignment="1" applyProtection="1">
      <alignment vertical="center" wrapText="1"/>
      <protection locked="0"/>
    </xf>
    <xf numFmtId="0" fontId="107" fillId="15" borderId="0" xfId="0" applyFont="1" applyFill="1" applyAlignment="1">
      <alignment vertical="center"/>
    </xf>
    <xf numFmtId="0" fontId="69" fillId="15" borderId="0" xfId="1" applyFont="1" applyFill="1" applyAlignment="1" applyProtection="1">
      <alignment vertical="center"/>
      <protection hidden="1"/>
    </xf>
    <xf numFmtId="0" fontId="1" fillId="0" borderId="13" xfId="0" applyFont="1" applyBorder="1" applyAlignment="1">
      <alignment horizontal="center" vertical="center"/>
    </xf>
    <xf numFmtId="178" fontId="111" fillId="20" borderId="0" xfId="1" applyNumberFormat="1" applyFont="1" applyFill="1" applyAlignment="1">
      <alignment horizontal="center" vertical="center"/>
    </xf>
    <xf numFmtId="9" fontId="59" fillId="0" borderId="0" xfId="0" applyNumberFormat="1" applyFont="1" applyAlignment="1">
      <alignment horizontal="center" vertical="center"/>
    </xf>
    <xf numFmtId="0" fontId="112" fillId="0" borderId="0" xfId="1" applyFont="1" applyAlignment="1">
      <alignment vertical="center"/>
    </xf>
    <xf numFmtId="0" fontId="57" fillId="8" borderId="16" xfId="5" applyFont="1" applyFill="1" applyBorder="1" applyAlignment="1">
      <alignment horizontal="left" vertical="center"/>
    </xf>
    <xf numFmtId="0" fontId="57" fillId="8" borderId="0" xfId="5" applyFont="1" applyFill="1" applyAlignment="1">
      <alignment horizontal="left" vertical="center"/>
    </xf>
    <xf numFmtId="0" fontId="111" fillId="23" borderId="0" xfId="3" applyFont="1" applyFill="1" applyAlignment="1">
      <alignment horizontal="center" vertical="center"/>
    </xf>
    <xf numFmtId="0" fontId="113" fillId="20" borderId="104" xfId="0" applyFont="1" applyFill="1" applyBorder="1" applyAlignment="1">
      <alignment horizontal="center" vertical="center"/>
    </xf>
    <xf numFmtId="0" fontId="111" fillId="15" borderId="0" xfId="0" applyFont="1" applyFill="1" applyAlignment="1">
      <alignment horizontal="left" vertical="center"/>
    </xf>
    <xf numFmtId="0" fontId="114" fillId="20" borderId="0" xfId="0" applyFont="1" applyFill="1" applyAlignment="1">
      <alignment horizontal="center" vertical="center"/>
    </xf>
    <xf numFmtId="0" fontId="13" fillId="8" borderId="6" xfId="6" applyFont="1" applyFill="1" applyBorder="1" applyAlignment="1">
      <alignment vertical="center"/>
    </xf>
    <xf numFmtId="0" fontId="13" fillId="8" borderId="0" xfId="6" applyFont="1" applyFill="1" applyAlignment="1">
      <alignment vertical="center"/>
    </xf>
    <xf numFmtId="0" fontId="13" fillId="8" borderId="0" xfId="6" applyFont="1" applyFill="1" applyAlignment="1">
      <alignment horizontal="center" vertical="center"/>
    </xf>
    <xf numFmtId="0" fontId="13" fillId="8" borderId="9" xfId="6" applyFont="1" applyFill="1" applyBorder="1" applyAlignment="1">
      <alignment vertical="center"/>
    </xf>
    <xf numFmtId="0" fontId="0" fillId="8" borderId="6" xfId="0" applyFill="1" applyBorder="1" applyAlignment="1">
      <alignment vertical="center"/>
    </xf>
    <xf numFmtId="165" fontId="24" fillId="24" borderId="71" xfId="1" applyNumberFormat="1" applyFont="1" applyFill="1" applyBorder="1" applyAlignment="1">
      <alignment horizontal="center" vertical="center"/>
    </xf>
    <xf numFmtId="165" fontId="24" fillId="24" borderId="105" xfId="1" applyNumberFormat="1" applyFont="1" applyFill="1" applyBorder="1" applyAlignment="1">
      <alignment horizontal="center" vertical="center"/>
    </xf>
    <xf numFmtId="0" fontId="57" fillId="8" borderId="19" xfId="11" applyFont="1" applyFill="1" applyBorder="1" applyAlignment="1">
      <alignment horizontal="right" vertical="center"/>
    </xf>
    <xf numFmtId="0" fontId="87" fillId="8" borderId="0" xfId="3" applyFont="1" applyFill="1" applyAlignment="1">
      <alignment vertical="center"/>
    </xf>
    <xf numFmtId="178" fontId="110" fillId="20" borderId="0" xfId="1" applyNumberFormat="1" applyFont="1" applyFill="1" applyAlignment="1">
      <alignment horizontal="center" vertical="center"/>
    </xf>
    <xf numFmtId="0" fontId="84" fillId="8" borderId="0" xfId="1" applyFont="1" applyFill="1" applyAlignment="1">
      <alignment horizontal="left" vertical="center"/>
    </xf>
    <xf numFmtId="0" fontId="111" fillId="8" borderId="0" xfId="1" applyFont="1" applyFill="1" applyAlignment="1">
      <alignment horizontal="left" vertical="center"/>
    </xf>
    <xf numFmtId="0" fontId="26" fillId="20" borderId="0" xfId="15" applyFont="1" applyFill="1" applyAlignment="1">
      <alignment horizontal="center" vertical="center"/>
    </xf>
    <xf numFmtId="0" fontId="115" fillId="8" borderId="6" xfId="1" applyFont="1" applyFill="1" applyBorder="1" applyAlignment="1">
      <alignment horizontal="center" vertical="center"/>
    </xf>
    <xf numFmtId="0" fontId="108" fillId="8" borderId="0" xfId="22" applyFont="1" applyFill="1" applyAlignment="1">
      <alignment vertical="center"/>
    </xf>
    <xf numFmtId="0" fontId="71" fillId="8" borderId="0" xfId="22" applyFont="1" applyFill="1" applyAlignment="1">
      <alignment vertical="center"/>
    </xf>
    <xf numFmtId="0" fontId="67" fillId="8" borderId="0" xfId="1" applyFont="1" applyFill="1" applyAlignment="1">
      <alignment horizontal="center" vertical="center"/>
    </xf>
    <xf numFmtId="0" fontId="88" fillId="43" borderId="0" xfId="1" applyFont="1" applyFill="1" applyAlignment="1">
      <alignment horizontal="left" vertical="center"/>
    </xf>
    <xf numFmtId="0" fontId="64" fillId="25" borderId="0" xfId="1" applyFont="1" applyFill="1" applyAlignment="1">
      <alignment horizontal="center" vertical="center"/>
    </xf>
    <xf numFmtId="0" fontId="76" fillId="25" borderId="0" xfId="1" applyFont="1" applyFill="1" applyAlignment="1">
      <alignment horizontal="left" vertical="center"/>
    </xf>
    <xf numFmtId="0" fontId="64" fillId="8" borderId="0" xfId="1" applyFont="1" applyFill="1" applyAlignment="1">
      <alignment horizontal="center" vertical="center"/>
    </xf>
    <xf numFmtId="0" fontId="76" fillId="8" borderId="0" xfId="1" applyFont="1" applyFill="1" applyAlignment="1">
      <alignment horizontal="left" vertical="center"/>
    </xf>
    <xf numFmtId="0" fontId="71" fillId="8" borderId="6" xfId="3" applyFont="1" applyFill="1" applyBorder="1" applyAlignment="1">
      <alignment horizontal="left" vertical="center"/>
    </xf>
    <xf numFmtId="0" fontId="43" fillId="8" borderId="0" xfId="1" applyFont="1" applyFill="1" applyAlignment="1">
      <alignment horizontal="left" vertical="center"/>
    </xf>
    <xf numFmtId="0" fontId="108" fillId="8" borderId="0" xfId="0" applyFont="1" applyFill="1"/>
    <xf numFmtId="0" fontId="108" fillId="8" borderId="0" xfId="3" applyFont="1" applyFill="1"/>
    <xf numFmtId="0" fontId="36" fillId="59" borderId="0" xfId="23" applyFont="1" applyFill="1" applyAlignment="1">
      <alignment horizontal="center" vertical="center"/>
    </xf>
    <xf numFmtId="0" fontId="36" fillId="8" borderId="0" xfId="1" applyFont="1" applyFill="1" applyAlignment="1">
      <alignment horizontal="left" vertical="center"/>
    </xf>
    <xf numFmtId="0" fontId="108" fillId="8" borderId="9" xfId="0" applyFont="1" applyFill="1" applyBorder="1" applyAlignment="1">
      <alignment vertical="center"/>
    </xf>
    <xf numFmtId="0" fontId="13" fillId="50" borderId="5" xfId="3" applyFont="1" applyFill="1" applyBorder="1" applyAlignment="1">
      <alignment horizontal="left" vertical="center"/>
    </xf>
    <xf numFmtId="0" fontId="13" fillId="50" borderId="5" xfId="3" applyFont="1" applyFill="1" applyBorder="1" applyAlignment="1">
      <alignment horizontal="right" vertical="center"/>
    </xf>
    <xf numFmtId="169" fontId="20" fillId="60" borderId="0" xfId="1" applyNumberFormat="1" applyFont="1" applyFill="1" applyAlignment="1">
      <alignment horizontal="center" vertical="center"/>
    </xf>
    <xf numFmtId="0" fontId="57" fillId="58" borderId="24" xfId="1" applyFont="1" applyFill="1" applyBorder="1" applyAlignment="1" applyProtection="1">
      <alignment horizontal="center" vertical="center"/>
      <protection hidden="1"/>
    </xf>
    <xf numFmtId="0" fontId="36" fillId="8" borderId="0" xfId="22" applyFont="1" applyFill="1" applyAlignment="1">
      <alignment vertical="center"/>
    </xf>
    <xf numFmtId="0" fontId="18" fillId="8" borderId="6" xfId="5" applyFont="1" applyFill="1" applyBorder="1" applyAlignment="1">
      <alignment horizontal="right" vertical="center"/>
    </xf>
    <xf numFmtId="0" fontId="116" fillId="8" borderId="0" xfId="5" applyFont="1" applyFill="1" applyAlignment="1">
      <alignment horizontal="right" vertical="center"/>
    </xf>
    <xf numFmtId="0" fontId="117" fillId="27" borderId="0" xfId="1" applyFont="1" applyFill="1" applyAlignment="1" applyProtection="1">
      <alignment vertical="center"/>
      <protection hidden="1"/>
    </xf>
    <xf numFmtId="0" fontId="73" fillId="8" borderId="6" xfId="3" applyFont="1" applyFill="1" applyBorder="1" applyAlignment="1">
      <alignment horizontal="center" vertical="center"/>
    </xf>
    <xf numFmtId="0" fontId="74" fillId="8" borderId="0" xfId="1" applyFont="1" applyFill="1" applyAlignment="1">
      <alignment vertical="center"/>
    </xf>
    <xf numFmtId="0" fontId="111" fillId="8" borderId="0" xfId="1" applyFont="1" applyFill="1" applyAlignment="1">
      <alignment vertical="center"/>
    </xf>
    <xf numFmtId="0" fontId="111" fillId="8" borderId="0" xfId="1" applyFont="1" applyFill="1" applyAlignment="1">
      <alignment vertical="center" wrapText="1"/>
    </xf>
    <xf numFmtId="0" fontId="74" fillId="8" borderId="0" xfId="1" applyFont="1" applyFill="1" applyAlignment="1" applyProtection="1">
      <alignment horizontal="left" vertical="center"/>
      <protection locked="0"/>
    </xf>
    <xf numFmtId="0" fontId="57" fillId="8" borderId="0" xfId="1" applyFont="1" applyFill="1" applyProtection="1">
      <protection locked="0"/>
    </xf>
    <xf numFmtId="0" fontId="71" fillId="8" borderId="0" xfId="3" applyFont="1" applyFill="1"/>
    <xf numFmtId="1" fontId="111" fillId="19" borderId="0" xfId="1" applyNumberFormat="1" applyFont="1" applyFill="1" applyAlignment="1" applyProtection="1">
      <alignment horizontal="center" vertical="center"/>
      <protection hidden="1"/>
    </xf>
    <xf numFmtId="1" fontId="57" fillId="8" borderId="0" xfId="1" applyNumberFormat="1" applyFont="1" applyFill="1" applyAlignment="1" applyProtection="1">
      <alignment vertical="center" wrapText="1"/>
      <protection hidden="1"/>
    </xf>
    <xf numFmtId="0" fontId="102" fillId="8" borderId="0" xfId="1" applyFont="1" applyFill="1" applyAlignment="1" applyProtection="1">
      <alignment horizontal="left" vertical="center"/>
      <protection locked="0"/>
    </xf>
    <xf numFmtId="0" fontId="71" fillId="8" borderId="0" xfId="3" applyFont="1" applyFill="1" applyAlignment="1">
      <alignment vertical="center"/>
    </xf>
    <xf numFmtId="0" fontId="74" fillId="8" borderId="0" xfId="22" applyFont="1" applyFill="1" applyAlignment="1">
      <alignment vertical="center"/>
    </xf>
    <xf numFmtId="0" fontId="13" fillId="8" borderId="16" xfId="1" applyFont="1" applyFill="1" applyBorder="1" applyAlignment="1">
      <alignment horizontal="right" vertical="center"/>
    </xf>
    <xf numFmtId="0" fontId="13" fillId="8" borderId="0" xfId="1" applyFont="1" applyFill="1" applyAlignment="1">
      <alignment horizontal="right" vertical="center"/>
    </xf>
    <xf numFmtId="0" fontId="13" fillId="8" borderId="0" xfId="1" applyFont="1" applyFill="1" applyAlignment="1">
      <alignment horizontal="center" vertical="center"/>
    </xf>
    <xf numFmtId="0" fontId="36" fillId="8" borderId="16" xfId="1" applyFont="1" applyFill="1" applyBorder="1" applyAlignment="1">
      <alignment horizontal="right" vertical="center"/>
    </xf>
    <xf numFmtId="173" fontId="111" fillId="8" borderId="0" xfId="1" applyNumberFormat="1" applyFont="1" applyFill="1" applyAlignment="1">
      <alignment horizontal="center" vertical="center"/>
    </xf>
    <xf numFmtId="178" fontId="111" fillId="8" borderId="0" xfId="1" applyNumberFormat="1" applyFont="1" applyFill="1" applyAlignment="1">
      <alignment horizontal="center" vertical="center"/>
    </xf>
    <xf numFmtId="0" fontId="77" fillId="8" borderId="0" xfId="1" applyFont="1" applyFill="1" applyAlignment="1">
      <alignment horizontal="left" vertical="center"/>
    </xf>
    <xf numFmtId="0" fontId="13" fillId="8" borderId="103" xfId="1" applyFont="1" applyFill="1" applyBorder="1" applyAlignment="1">
      <alignment horizontal="right" vertical="center"/>
    </xf>
    <xf numFmtId="0" fontId="13" fillId="8" borderId="52" xfId="1" applyFont="1" applyFill="1" applyBorder="1" applyAlignment="1">
      <alignment horizontal="right" vertical="center"/>
    </xf>
    <xf numFmtId="0" fontId="36" fillId="8" borderId="52" xfId="1" applyFont="1" applyFill="1" applyBorder="1" applyAlignment="1">
      <alignment horizontal="left" vertical="center"/>
    </xf>
    <xf numFmtId="0" fontId="74" fillId="8" borderId="0" xfId="1" applyFont="1" applyFill="1" applyAlignment="1" applyProtection="1">
      <alignment horizontal="center" vertical="center"/>
      <protection locked="0"/>
    </xf>
    <xf numFmtId="0" fontId="36" fillId="8" borderId="81" xfId="1" applyFont="1" applyFill="1" applyBorder="1" applyAlignment="1">
      <alignment horizontal="right" vertical="center"/>
    </xf>
    <xf numFmtId="173" fontId="111" fillId="8" borderId="82" xfId="1" applyNumberFormat="1" applyFont="1" applyFill="1" applyBorder="1" applyAlignment="1">
      <alignment horizontal="center" vertical="center"/>
    </xf>
    <xf numFmtId="178" fontId="111" fillId="8" borderId="82" xfId="1" applyNumberFormat="1" applyFont="1" applyFill="1" applyBorder="1" applyAlignment="1">
      <alignment horizontal="center" vertical="center"/>
    </xf>
    <xf numFmtId="0" fontId="77" fillId="8" borderId="82" xfId="1" applyFont="1" applyFill="1" applyBorder="1" applyAlignment="1">
      <alignment horizontal="left" vertical="center"/>
    </xf>
    <xf numFmtId="0" fontId="0" fillId="0" borderId="6" xfId="0" applyBorder="1"/>
    <xf numFmtId="0" fontId="64" fillId="61" borderId="0" xfId="1" applyFont="1" applyFill="1" applyAlignment="1" applyProtection="1">
      <alignment horizontal="right" vertical="center" wrapText="1"/>
      <protection hidden="1"/>
    </xf>
    <xf numFmtId="181" fontId="13" fillId="61" borderId="106" xfId="1" applyNumberFormat="1" applyFont="1" applyFill="1" applyBorder="1" applyAlignment="1">
      <alignment horizontal="center" vertical="center"/>
    </xf>
    <xf numFmtId="0" fontId="21" fillId="18" borderId="1" xfId="1" applyFont="1" applyFill="1" applyBorder="1" applyAlignment="1" applyProtection="1">
      <alignment horizontal="right" vertical="center" wrapText="1"/>
      <protection hidden="1"/>
    </xf>
    <xf numFmtId="182" fontId="21" fillId="62" borderId="36" xfId="1" applyNumberFormat="1" applyFont="1" applyFill="1" applyBorder="1" applyAlignment="1" applyProtection="1">
      <alignment horizontal="center" vertical="center" wrapText="1"/>
      <protection hidden="1"/>
    </xf>
    <xf numFmtId="0" fontId="0" fillId="8" borderId="6" xfId="0" applyFill="1" applyBorder="1"/>
    <xf numFmtId="0" fontId="111" fillId="8" borderId="13" xfId="1" applyFont="1" applyFill="1" applyBorder="1" applyAlignment="1" applyProtection="1">
      <alignment horizontal="center"/>
      <protection locked="0"/>
    </xf>
    <xf numFmtId="0" fontId="13" fillId="8" borderId="107" xfId="1" applyFont="1" applyFill="1" applyBorder="1" applyAlignment="1" applyProtection="1">
      <alignment horizontal="center"/>
      <protection locked="0"/>
    </xf>
    <xf numFmtId="182" fontId="73" fillId="63" borderId="0" xfId="1" applyNumberFormat="1" applyFont="1" applyFill="1" applyAlignment="1">
      <alignment horizontal="center" vertical="center"/>
    </xf>
    <xf numFmtId="181" fontId="57" fillId="0" borderId="108" xfId="1" applyNumberFormat="1" applyFont="1" applyBorder="1" applyAlignment="1">
      <alignment horizontal="center" vertical="center"/>
    </xf>
    <xf numFmtId="0" fontId="74" fillId="20" borderId="0" xfId="1" applyFont="1" applyFill="1" applyAlignment="1">
      <alignment horizontal="center" vertical="center" wrapText="1"/>
    </xf>
    <xf numFmtId="0" fontId="108" fillId="8" borderId="0" xfId="3" applyFont="1" applyFill="1" applyAlignment="1">
      <alignment vertical="center"/>
    </xf>
    <xf numFmtId="0" fontId="20" fillId="8" borderId="109" xfId="1" applyFont="1" applyFill="1" applyBorder="1" applyAlignment="1">
      <alignment horizontal="center" vertical="center" wrapText="1"/>
    </xf>
    <xf numFmtId="0" fontId="20" fillId="8" borderId="1" xfId="1" applyFont="1" applyFill="1" applyBorder="1" applyAlignment="1">
      <alignment horizontal="center" vertical="center" wrapText="1"/>
    </xf>
    <xf numFmtId="0" fontId="53" fillId="20" borderId="111" xfId="1" applyFont="1" applyFill="1" applyBorder="1" applyAlignment="1" applyProtection="1">
      <alignment horizontal="center" vertical="center"/>
      <protection locked="0"/>
    </xf>
    <xf numFmtId="0" fontId="20" fillId="8" borderId="13" xfId="1" applyFont="1" applyFill="1" applyBorder="1" applyAlignment="1">
      <alignment horizontal="center" vertical="center"/>
    </xf>
    <xf numFmtId="175" fontId="53" fillId="20" borderId="112" xfId="1" applyNumberFormat="1" applyFont="1" applyFill="1" applyBorder="1" applyAlignment="1">
      <alignment horizontal="center" vertical="center"/>
    </xf>
    <xf numFmtId="1" fontId="20" fillId="31" borderId="113" xfId="1" applyNumberFormat="1" applyFont="1" applyFill="1" applyBorder="1" applyAlignment="1">
      <alignment horizontal="center" vertical="center"/>
    </xf>
    <xf numFmtId="0" fontId="1" fillId="8" borderId="0" xfId="3" applyFill="1"/>
    <xf numFmtId="0" fontId="72" fillId="7" borderId="6" xfId="0" applyFont="1" applyFill="1" applyBorder="1" applyAlignment="1">
      <alignment horizontal="left" vertical="center"/>
    </xf>
    <xf numFmtId="0" fontId="0" fillId="7" borderId="0" xfId="0" applyFill="1"/>
    <xf numFmtId="0" fontId="72" fillId="15" borderId="6" xfId="0" applyFont="1" applyFill="1" applyBorder="1" applyAlignment="1">
      <alignment horizontal="left" vertical="center"/>
    </xf>
    <xf numFmtId="0" fontId="87" fillId="15" borderId="6" xfId="3" applyFont="1" applyFill="1" applyBorder="1" applyAlignment="1">
      <alignment vertical="center"/>
    </xf>
    <xf numFmtId="173" fontId="84" fillId="8" borderId="0" xfId="1" applyNumberFormat="1" applyFont="1" applyFill="1" applyAlignment="1">
      <alignment horizontal="center" vertical="center"/>
    </xf>
    <xf numFmtId="178" fontId="84" fillId="8" borderId="0" xfId="1" applyNumberFormat="1" applyFont="1" applyFill="1" applyAlignment="1">
      <alignment horizontal="center" vertical="center"/>
    </xf>
    <xf numFmtId="0" fontId="13" fillId="43" borderId="0" xfId="1" applyFont="1" applyFill="1" applyAlignment="1">
      <alignment horizontal="left" vertical="center"/>
    </xf>
    <xf numFmtId="0" fontId="16" fillId="9" borderId="12" xfId="3" applyFont="1" applyFill="1" applyBorder="1" applyAlignment="1">
      <alignment horizontal="center" vertical="center"/>
    </xf>
    <xf numFmtId="0" fontId="61" fillId="35" borderId="114" xfId="1" applyFont="1" applyFill="1" applyBorder="1" applyAlignment="1" applyProtection="1">
      <alignment horizontal="center" vertical="center"/>
      <protection hidden="1"/>
    </xf>
    <xf numFmtId="0" fontId="59" fillId="20" borderId="114" xfId="1" applyFont="1" applyFill="1" applyBorder="1" applyAlignment="1">
      <alignment horizontal="left" vertical="center"/>
    </xf>
    <xf numFmtId="0" fontId="87" fillId="15" borderId="48" xfId="3" applyFont="1" applyFill="1" applyBorder="1" applyAlignment="1">
      <alignment vertical="center"/>
    </xf>
    <xf numFmtId="0" fontId="0" fillId="15" borderId="6" xfId="0" applyFill="1" applyBorder="1" applyAlignment="1">
      <alignment vertical="center"/>
    </xf>
    <xf numFmtId="0" fontId="120" fillId="15" borderId="6" xfId="0" applyFont="1" applyFill="1" applyBorder="1" applyAlignment="1">
      <alignment horizontal="left" vertical="center"/>
    </xf>
    <xf numFmtId="0" fontId="120" fillId="15" borderId="0" xfId="0" applyFont="1" applyFill="1" applyAlignment="1">
      <alignment horizontal="left" vertical="center"/>
    </xf>
    <xf numFmtId="0" fontId="0" fillId="15" borderId="9" xfId="0" applyFill="1" applyBorder="1" applyAlignment="1">
      <alignment vertical="center"/>
    </xf>
    <xf numFmtId="0" fontId="0" fillId="7" borderId="9" xfId="0" applyFill="1" applyBorder="1"/>
    <xf numFmtId="178" fontId="111" fillId="8" borderId="0" xfId="1" quotePrefix="1" applyNumberFormat="1" applyFont="1" applyFill="1" applyAlignment="1">
      <alignment horizontal="center" vertical="center"/>
    </xf>
    <xf numFmtId="0" fontId="121" fillId="8" borderId="0" xfId="1" applyFont="1" applyFill="1" applyAlignment="1">
      <alignment horizontal="right" vertical="center"/>
    </xf>
    <xf numFmtId="0" fontId="84" fillId="8" borderId="0" xfId="1" applyFont="1" applyFill="1" applyAlignment="1">
      <alignment horizontal="right" vertical="center"/>
    </xf>
    <xf numFmtId="0" fontId="16" fillId="9" borderId="115" xfId="3" applyFont="1" applyFill="1" applyBorder="1" applyAlignment="1">
      <alignment horizontal="center" vertical="center"/>
    </xf>
    <xf numFmtId="0" fontId="61" fillId="27" borderId="114" xfId="1" applyFont="1" applyFill="1" applyBorder="1" applyAlignment="1" applyProtection="1">
      <alignment horizontal="center" vertical="center"/>
      <protection hidden="1"/>
    </xf>
    <xf numFmtId="0" fontId="65" fillId="34" borderId="46" xfId="1" applyFont="1" applyFill="1" applyBorder="1" applyAlignment="1" applyProtection="1">
      <alignment horizontal="center" vertical="center"/>
      <protection hidden="1"/>
    </xf>
    <xf numFmtId="1" fontId="68" fillId="36" borderId="114" xfId="1" applyNumberFormat="1" applyFont="1" applyFill="1" applyBorder="1" applyAlignment="1" applyProtection="1">
      <alignment horizontal="center" vertical="center"/>
      <protection hidden="1"/>
    </xf>
    <xf numFmtId="0" fontId="53" fillId="15" borderId="6" xfId="0" applyFont="1" applyFill="1" applyBorder="1" applyAlignment="1">
      <alignment horizontal="left" vertical="center"/>
    </xf>
    <xf numFmtId="0" fontId="53" fillId="8" borderId="0" xfId="1" applyFont="1" applyFill="1" applyAlignment="1">
      <alignment horizontal="right" vertical="center"/>
    </xf>
    <xf numFmtId="0" fontId="111" fillId="19" borderId="0" xfId="1" applyFont="1" applyFill="1" applyAlignment="1" applyProtection="1">
      <alignment horizontal="center" vertical="center"/>
      <protection locked="0"/>
    </xf>
    <xf numFmtId="1" fontId="20" fillId="8" borderId="0" xfId="1" applyNumberFormat="1" applyFont="1" applyFill="1" applyAlignment="1">
      <alignment horizontal="left" vertical="center"/>
    </xf>
    <xf numFmtId="0" fontId="122" fillId="15" borderId="6" xfId="0" applyFont="1" applyFill="1" applyBorder="1" applyAlignment="1">
      <alignment horizontal="center" vertical="center"/>
    </xf>
    <xf numFmtId="0" fontId="123" fillId="7" borderId="10" xfId="0" applyFont="1" applyFill="1" applyBorder="1" applyAlignment="1">
      <alignment horizontal="left" vertical="center"/>
    </xf>
    <xf numFmtId="0" fontId="45" fillId="20" borderId="0" xfId="1" applyFont="1" applyFill="1" applyAlignment="1">
      <alignment horizontal="center" vertical="center"/>
    </xf>
    <xf numFmtId="0" fontId="13" fillId="8" borderId="0" xfId="1" applyFont="1" applyFill="1" applyAlignment="1">
      <alignment vertical="center"/>
    </xf>
    <xf numFmtId="0" fontId="48" fillId="15" borderId="6" xfId="0" applyFont="1" applyFill="1" applyBorder="1" applyAlignment="1">
      <alignment horizontal="left" vertical="center"/>
    </xf>
    <xf numFmtId="0" fontId="48" fillId="15" borderId="48" xfId="0" applyFont="1" applyFill="1" applyBorder="1" applyAlignment="1">
      <alignment horizontal="left" vertical="center"/>
    </xf>
    <xf numFmtId="0" fontId="53" fillId="15" borderId="0" xfId="0" applyFont="1" applyFill="1"/>
    <xf numFmtId="0" fontId="13" fillId="43" borderId="0" xfId="1" applyFont="1" applyFill="1" applyAlignment="1">
      <alignment horizontal="center" vertical="center"/>
    </xf>
    <xf numFmtId="0" fontId="0" fillId="17" borderId="0" xfId="0" applyFill="1"/>
    <xf numFmtId="0" fontId="0" fillId="15" borderId="0" xfId="0" applyFill="1" applyAlignment="1">
      <alignment horizontal="right"/>
    </xf>
    <xf numFmtId="0" fontId="10" fillId="64" borderId="12" xfId="3" applyFont="1" applyFill="1" applyBorder="1" applyAlignment="1">
      <alignment horizontal="center" vertical="center"/>
    </xf>
    <xf numFmtId="0" fontId="10" fillId="64" borderId="4" xfId="3" applyFont="1" applyFill="1" applyBorder="1" applyAlignment="1">
      <alignment horizontal="center" vertical="center"/>
    </xf>
    <xf numFmtId="0" fontId="124" fillId="64" borderId="4" xfId="3" applyFont="1" applyFill="1" applyBorder="1" applyAlignment="1">
      <alignment horizontal="left" vertical="center"/>
    </xf>
    <xf numFmtId="0" fontId="125" fillId="64" borderId="4" xfId="3" applyFont="1" applyFill="1" applyBorder="1" applyAlignment="1">
      <alignment horizontal="center" vertical="center"/>
    </xf>
    <xf numFmtId="0" fontId="126" fillId="64" borderId="4" xfId="3" applyFont="1" applyFill="1" applyBorder="1" applyAlignment="1">
      <alignment vertical="center"/>
    </xf>
    <xf numFmtId="0" fontId="13" fillId="25" borderId="116" xfId="1" applyFont="1" applyFill="1" applyBorder="1" applyAlignment="1" applyProtection="1">
      <alignment vertical="center"/>
      <protection hidden="1"/>
    </xf>
    <xf numFmtId="0" fontId="81" fillId="8" borderId="117" xfId="5" applyFont="1" applyFill="1" applyBorder="1" applyAlignment="1">
      <alignment horizontal="left" vertical="center"/>
    </xf>
    <xf numFmtId="0" fontId="13" fillId="8" borderId="6" xfId="1" applyFont="1" applyFill="1" applyBorder="1" applyAlignment="1" applyProtection="1">
      <alignment vertical="center"/>
      <protection hidden="1"/>
    </xf>
    <xf numFmtId="0" fontId="81" fillId="8" borderId="9" xfId="5" applyFont="1" applyFill="1" applyBorder="1" applyAlignment="1">
      <alignment horizontal="right" vertical="center"/>
    </xf>
    <xf numFmtId="0" fontId="83" fillId="8" borderId="6" xfId="1" applyFont="1" applyFill="1" applyBorder="1" applyAlignment="1" applyProtection="1">
      <alignment horizontal="left" vertical="center"/>
      <protection locked="0"/>
    </xf>
    <xf numFmtId="0" fontId="83" fillId="8" borderId="9" xfId="1" applyFont="1" applyFill="1" applyBorder="1" applyAlignment="1" applyProtection="1">
      <alignment horizontal="left" vertical="center"/>
      <protection locked="0"/>
    </xf>
    <xf numFmtId="0" fontId="20" fillId="8" borderId="6" xfId="1" applyFont="1" applyFill="1" applyBorder="1" applyAlignment="1" applyProtection="1">
      <alignment horizontal="left" vertical="center"/>
      <protection locked="0"/>
    </xf>
    <xf numFmtId="0" fontId="20" fillId="8" borderId="9" xfId="1" applyFont="1" applyFill="1" applyBorder="1" applyAlignment="1" applyProtection="1">
      <alignment horizontal="right" vertical="center"/>
      <protection locked="0"/>
    </xf>
    <xf numFmtId="0" fontId="48" fillId="41" borderId="16" xfId="24" applyFont="1" applyFill="1" applyBorder="1" applyAlignment="1">
      <alignment horizontal="center" vertical="center"/>
    </xf>
    <xf numFmtId="0" fontId="48" fillId="41" borderId="0" xfId="24" applyFont="1" applyFill="1" applyAlignment="1">
      <alignment horizontal="center" vertical="center"/>
    </xf>
    <xf numFmtId="0" fontId="48" fillId="41" borderId="0" xfId="3" applyFont="1" applyFill="1" applyAlignment="1">
      <alignment horizontal="center" vertical="center"/>
    </xf>
    <xf numFmtId="0" fontId="53" fillId="8" borderId="16" xfId="17" applyFont="1" applyFill="1" applyBorder="1" applyAlignment="1">
      <alignment horizontal="left" vertical="center"/>
    </xf>
    <xf numFmtId="0" fontId="1" fillId="8" borderId="0" xfId="24" applyFill="1" applyAlignment="1">
      <alignment horizontal="left" vertical="center"/>
    </xf>
    <xf numFmtId="0" fontId="57" fillId="25" borderId="118" xfId="8" applyFont="1" applyFill="1" applyBorder="1" applyAlignment="1">
      <alignment horizontal="right" vertical="center"/>
    </xf>
    <xf numFmtId="0" fontId="1" fillId="8" borderId="50" xfId="3" applyFill="1" applyBorder="1"/>
    <xf numFmtId="168" fontId="62" fillId="20" borderId="16" xfId="1" applyNumberFormat="1" applyFont="1" applyFill="1" applyBorder="1" applyAlignment="1">
      <alignment horizontal="center" vertical="center"/>
    </xf>
    <xf numFmtId="168" fontId="62" fillId="20" borderId="0" xfId="1" applyNumberFormat="1" applyFont="1" applyFill="1" applyAlignment="1">
      <alignment horizontal="center" vertical="center"/>
    </xf>
    <xf numFmtId="1" fontId="48" fillId="8" borderId="0" xfId="9" applyNumberFormat="1" applyFont="1" applyFill="1" applyAlignment="1">
      <alignment horizontal="center" vertical="center"/>
    </xf>
    <xf numFmtId="0" fontId="57" fillId="8" borderId="6" xfId="8" applyFont="1" applyFill="1" applyBorder="1" applyAlignment="1">
      <alignment horizontal="right" vertical="center"/>
    </xf>
    <xf numFmtId="0" fontId="57" fillId="8" borderId="0" xfId="8" applyFont="1" applyFill="1" applyAlignment="1">
      <alignment horizontal="right" vertical="center"/>
    </xf>
    <xf numFmtId="0" fontId="57" fillId="8" borderId="0" xfId="8" applyFont="1" applyFill="1" applyAlignment="1">
      <alignment horizontal="left" vertical="center"/>
    </xf>
    <xf numFmtId="0" fontId="86" fillId="8" borderId="0" xfId="17" applyFill="1" applyBorder="1" applyAlignment="1">
      <alignment vertical="center"/>
    </xf>
    <xf numFmtId="0" fontId="1" fillId="8" borderId="9" xfId="3" applyFill="1" applyBorder="1"/>
    <xf numFmtId="1" fontId="10" fillId="41" borderId="16" xfId="9" applyNumberFormat="1" applyFont="1" applyFill="1" applyBorder="1" applyAlignment="1">
      <alignment horizontal="center" vertical="center"/>
    </xf>
    <xf numFmtId="1" fontId="10" fillId="41" borderId="0" xfId="9" applyNumberFormat="1" applyFont="1" applyFill="1" applyAlignment="1">
      <alignment horizontal="center" vertical="center"/>
    </xf>
    <xf numFmtId="0" fontId="89" fillId="40" borderId="6" xfId="1" applyFont="1" applyFill="1" applyBorder="1" applyAlignment="1" applyProtection="1">
      <alignment vertical="center"/>
      <protection hidden="1"/>
    </xf>
    <xf numFmtId="0" fontId="13" fillId="40" borderId="9" xfId="1" applyFont="1" applyFill="1" applyBorder="1" applyAlignment="1" applyProtection="1">
      <alignment vertical="center"/>
      <protection hidden="1"/>
    </xf>
    <xf numFmtId="0" fontId="45" fillId="20" borderId="16" xfId="1" applyFont="1" applyFill="1" applyBorder="1" applyAlignment="1">
      <alignment horizontal="center" vertical="center"/>
    </xf>
    <xf numFmtId="0" fontId="0" fillId="8" borderId="53" xfId="0" applyFill="1" applyBorder="1"/>
    <xf numFmtId="0" fontId="0" fillId="8" borderId="5" xfId="0" applyFill="1" applyBorder="1"/>
    <xf numFmtId="0" fontId="57" fillId="8" borderId="5" xfId="6" applyFont="1" applyFill="1" applyBorder="1" applyAlignment="1">
      <alignment horizontal="right" vertical="center"/>
    </xf>
    <xf numFmtId="0" fontId="80" fillId="20" borderId="101" xfId="15" applyFont="1" applyFill="1" applyBorder="1" applyAlignment="1">
      <alignment horizontal="center" vertical="center"/>
    </xf>
    <xf numFmtId="168" fontId="10" fillId="41" borderId="16" xfId="1" applyNumberFormat="1" applyFont="1" applyFill="1" applyBorder="1" applyAlignment="1">
      <alignment horizontal="center" vertical="center"/>
    </xf>
    <xf numFmtId="168" fontId="10" fillId="41" borderId="0" xfId="1" applyNumberFormat="1" applyFont="1" applyFill="1" applyAlignment="1">
      <alignment horizontal="center" vertical="center"/>
    </xf>
    <xf numFmtId="0" fontId="0" fillId="8" borderId="55" xfId="0" applyFill="1" applyBorder="1"/>
    <xf numFmtId="0" fontId="80" fillId="20" borderId="102" xfId="15" applyFont="1" applyFill="1" applyBorder="1" applyAlignment="1">
      <alignment horizontal="center" vertical="center"/>
    </xf>
    <xf numFmtId="0" fontId="61" fillId="8" borderId="0" xfId="1" applyFont="1" applyFill="1" applyAlignment="1" applyProtection="1">
      <alignment horizontal="left" vertical="center"/>
      <protection locked="0"/>
    </xf>
    <xf numFmtId="0" fontId="59" fillId="8" borderId="0" xfId="24" applyFont="1" applyFill="1" applyAlignment="1">
      <alignment horizontal="left" vertical="center"/>
    </xf>
    <xf numFmtId="0" fontId="0" fillId="8" borderId="35" xfId="0" applyFill="1" applyBorder="1"/>
    <xf numFmtId="173" fontId="84" fillId="21" borderId="36" xfId="1" applyNumberFormat="1" applyFont="1" applyFill="1" applyBorder="1" applyAlignment="1">
      <alignment horizontal="center" vertical="center"/>
    </xf>
    <xf numFmtId="0" fontId="127" fillId="8" borderId="0" xfId="1" applyFont="1" applyFill="1" applyAlignment="1" applyProtection="1">
      <alignment horizontal="right" vertical="center"/>
      <protection locked="0"/>
    </xf>
    <xf numFmtId="173" fontId="58" fillId="21" borderId="36" xfId="1" applyNumberFormat="1" applyFont="1" applyFill="1" applyBorder="1" applyAlignment="1">
      <alignment horizontal="center" vertical="center"/>
    </xf>
    <xf numFmtId="173" fontId="36" fillId="36" borderId="36" xfId="1" applyNumberFormat="1" applyFont="1" applyFill="1" applyBorder="1" applyAlignment="1">
      <alignment horizontal="center" vertical="center"/>
    </xf>
    <xf numFmtId="173" fontId="13" fillId="43" borderId="36" xfId="1" applyNumberFormat="1" applyFont="1" applyFill="1" applyBorder="1" applyAlignment="1">
      <alignment horizontal="center" vertical="center"/>
    </xf>
    <xf numFmtId="0" fontId="128" fillId="44" borderId="35" xfId="16" applyFont="1" applyFill="1" applyBorder="1" applyAlignment="1" applyProtection="1">
      <alignment horizontal="center" vertical="center" wrapText="1"/>
      <protection locked="0"/>
    </xf>
    <xf numFmtId="0" fontId="31" fillId="8" borderId="0" xfId="1" applyFont="1" applyFill="1" applyAlignment="1">
      <alignment horizontal="center" vertical="center"/>
    </xf>
    <xf numFmtId="0" fontId="122" fillId="44" borderId="16" xfId="16" applyFont="1" applyFill="1" applyBorder="1" applyAlignment="1" applyProtection="1">
      <alignment horizontal="center" vertical="center" wrapText="1"/>
      <protection locked="0"/>
    </xf>
    <xf numFmtId="0" fontId="131" fillId="44" borderId="0" xfId="16" applyFont="1" applyFill="1" applyAlignment="1" applyProtection="1">
      <alignment horizontal="center" vertical="center"/>
      <protection locked="0"/>
    </xf>
    <xf numFmtId="0" fontId="24" fillId="44" borderId="0" xfId="16" applyFont="1" applyFill="1" applyAlignment="1" applyProtection="1">
      <alignment horizontal="left" vertical="center"/>
      <protection locked="0"/>
    </xf>
    <xf numFmtId="0" fontId="36" fillId="46" borderId="0" xfId="1" applyFont="1" applyFill="1" applyAlignment="1">
      <alignment horizontal="center" vertical="center"/>
    </xf>
    <xf numFmtId="167" fontId="84" fillId="45" borderId="0" xfId="16" applyNumberFormat="1" applyFont="1" applyFill="1" applyAlignment="1" applyProtection="1">
      <alignment horizontal="center" vertical="center"/>
      <protection locked="0"/>
    </xf>
    <xf numFmtId="168" fontId="76" fillId="45" borderId="0" xfId="1" applyNumberFormat="1" applyFont="1" applyFill="1" applyAlignment="1">
      <alignment horizontal="center" vertical="center"/>
    </xf>
    <xf numFmtId="0" fontId="20" fillId="8" borderId="0" xfId="3" applyFont="1" applyFill="1" applyAlignment="1">
      <alignment vertical="center"/>
    </xf>
    <xf numFmtId="174" fontId="76" fillId="45" borderId="0" xfId="16" applyNumberFormat="1" applyFont="1" applyFill="1" applyAlignment="1" applyProtection="1">
      <alignment horizontal="center" vertical="center"/>
      <protection locked="0"/>
    </xf>
    <xf numFmtId="0" fontId="20" fillId="8" borderId="16" xfId="16" applyFont="1" applyFill="1" applyBorder="1" applyAlignment="1" applyProtection="1">
      <alignment horizontal="left" vertical="center"/>
      <protection locked="0"/>
    </xf>
    <xf numFmtId="0" fontId="87" fillId="8" borderId="0" xfId="0" applyFont="1" applyFill="1" applyAlignment="1">
      <alignment vertical="center"/>
    </xf>
    <xf numFmtId="0" fontId="1" fillId="8" borderId="16" xfId="3" applyFill="1" applyBorder="1" applyAlignment="1">
      <alignment vertical="center"/>
    </xf>
    <xf numFmtId="0" fontId="58" fillId="8" borderId="0" xfId="0" applyFont="1" applyFill="1" applyAlignment="1">
      <alignment vertical="center"/>
    </xf>
    <xf numFmtId="0" fontId="110" fillId="8" borderId="0" xfId="0" applyFont="1" applyFill="1" applyAlignment="1">
      <alignment vertical="center"/>
    </xf>
    <xf numFmtId="0" fontId="132" fillId="8" borderId="0" xfId="0" applyFont="1" applyFill="1" applyAlignment="1">
      <alignment vertical="center"/>
    </xf>
    <xf numFmtId="0" fontId="57" fillId="8" borderId="6" xfId="1" applyFont="1" applyFill="1" applyBorder="1" applyAlignment="1" applyProtection="1">
      <alignment horizontal="left" vertical="center"/>
      <protection locked="0"/>
    </xf>
    <xf numFmtId="0" fontId="90" fillId="8" borderId="6" xfId="1" applyFont="1" applyFill="1" applyBorder="1" applyAlignment="1" applyProtection="1">
      <alignment vertical="center"/>
      <protection hidden="1"/>
    </xf>
    <xf numFmtId="0" fontId="90" fillId="49" borderId="0" xfId="1" applyFont="1" applyFill="1" applyAlignment="1" applyProtection="1">
      <alignment vertical="center"/>
      <protection hidden="1"/>
    </xf>
    <xf numFmtId="0" fontId="0" fillId="49" borderId="0" xfId="0" applyFill="1"/>
    <xf numFmtId="0" fontId="1" fillId="8" borderId="0" xfId="4" applyFill="1" applyAlignment="1">
      <alignment horizontal="left" vertical="center"/>
    </xf>
    <xf numFmtId="0" fontId="72" fillId="8" borderId="6" xfId="9" applyFont="1" applyFill="1" applyBorder="1" applyAlignment="1">
      <alignment vertical="center"/>
    </xf>
    <xf numFmtId="185" fontId="45" fillId="66" borderId="0" xfId="7" applyNumberFormat="1" applyFont="1" applyFill="1" applyAlignment="1" applyProtection="1">
      <alignment horizontal="center" vertical="center"/>
      <protection locked="0"/>
    </xf>
    <xf numFmtId="182" fontId="133" fillId="66" borderId="0" xfId="7" applyNumberFormat="1" applyFont="1" applyFill="1" applyAlignment="1" applyProtection="1">
      <alignment horizontal="center" vertical="center"/>
      <protection locked="0"/>
    </xf>
    <xf numFmtId="185" fontId="104" fillId="66" borderId="0" xfId="7" applyNumberFormat="1" applyFont="1" applyFill="1" applyAlignment="1" applyProtection="1">
      <alignment horizontal="center" vertical="center"/>
      <protection locked="0"/>
    </xf>
    <xf numFmtId="182" fontId="98" fillId="66" borderId="0" xfId="7" applyNumberFormat="1" applyFont="1" applyFill="1" applyAlignment="1" applyProtection="1">
      <alignment horizontal="center" vertical="center"/>
      <protection locked="0"/>
    </xf>
    <xf numFmtId="0" fontId="13" fillId="41" borderId="115" xfId="1" applyFont="1" applyFill="1" applyBorder="1" applyAlignment="1" applyProtection="1">
      <alignment horizontal="right" vertical="center"/>
      <protection hidden="1"/>
    </xf>
    <xf numFmtId="182" fontId="20" fillId="8" borderId="0" xfId="7" applyNumberFormat="1" applyFont="1" applyFill="1" applyAlignment="1" applyProtection="1">
      <alignment horizontal="center" vertical="center"/>
      <protection locked="0"/>
    </xf>
    <xf numFmtId="0" fontId="91" fillId="8" borderId="120" xfId="0" applyFont="1" applyFill="1" applyBorder="1" applyAlignment="1">
      <alignment horizontal="center" vertical="center"/>
    </xf>
    <xf numFmtId="0" fontId="57" fillId="8" borderId="9" xfId="1" applyFont="1" applyFill="1" applyBorder="1" applyAlignment="1" applyProtection="1">
      <alignment horizontal="left" vertical="center"/>
      <protection locked="0"/>
    </xf>
    <xf numFmtId="175" fontId="104" fillId="66" borderId="0" xfId="7" applyNumberFormat="1" applyFont="1" applyFill="1" applyAlignment="1" applyProtection="1">
      <alignment horizontal="center" vertical="center"/>
      <protection locked="0"/>
    </xf>
    <xf numFmtId="0" fontId="89" fillId="40" borderId="121" xfId="1" applyFont="1" applyFill="1" applyBorder="1" applyAlignment="1" applyProtection="1">
      <alignment vertical="center"/>
      <protection hidden="1"/>
    </xf>
    <xf numFmtId="0" fontId="13" fillId="40" borderId="122" xfId="1" applyFont="1" applyFill="1" applyBorder="1" applyAlignment="1" applyProtection="1">
      <alignment vertical="center"/>
      <protection hidden="1"/>
    </xf>
    <xf numFmtId="0" fontId="0" fillId="0" borderId="9" xfId="0" applyBorder="1"/>
    <xf numFmtId="0" fontId="13" fillId="8" borderId="6" xfId="5" applyFont="1" applyFill="1" applyBorder="1" applyAlignment="1" applyProtection="1">
      <alignment vertical="center"/>
      <protection locked="0"/>
    </xf>
    <xf numFmtId="0" fontId="76" fillId="8" borderId="6" xfId="5" applyFont="1" applyFill="1" applyBorder="1" applyAlignment="1" applyProtection="1">
      <alignment vertical="center"/>
      <protection locked="0"/>
    </xf>
    <xf numFmtId="0" fontId="81" fillId="8" borderId="9" xfId="5" applyFont="1" applyFill="1" applyBorder="1" applyAlignment="1">
      <alignment horizontal="left" vertical="center"/>
    </xf>
    <xf numFmtId="0" fontId="98" fillId="0" borderId="114" xfId="20" applyFont="1" applyBorder="1" applyAlignment="1">
      <alignment horizontal="center" vertical="center"/>
    </xf>
    <xf numFmtId="0" fontId="13" fillId="8" borderId="9" xfId="21" applyFont="1" applyFill="1" applyBorder="1" applyAlignment="1">
      <alignment horizontal="left" vertical="center"/>
    </xf>
    <xf numFmtId="0" fontId="57" fillId="8" borderId="9" xfId="21" applyFont="1" applyFill="1" applyBorder="1" applyAlignment="1">
      <alignment vertical="center"/>
    </xf>
    <xf numFmtId="0" fontId="48" fillId="43" borderId="125" xfId="20" applyFont="1" applyFill="1" applyBorder="1" applyAlignment="1">
      <alignment horizontal="center"/>
    </xf>
    <xf numFmtId="176" fontId="20" fillId="43" borderId="126" xfId="20" applyNumberFormat="1" applyFont="1" applyFill="1" applyBorder="1" applyAlignment="1">
      <alignment horizontal="center" vertical="top"/>
    </xf>
    <xf numFmtId="0" fontId="101" fillId="20" borderId="127" xfId="20" applyFont="1" applyFill="1" applyBorder="1" applyAlignment="1">
      <alignment horizontal="center" vertical="center"/>
    </xf>
    <xf numFmtId="0" fontId="84" fillId="8" borderId="9" xfId="21" applyFont="1" applyFill="1" applyBorder="1" applyAlignment="1">
      <alignment horizontal="left" vertical="center"/>
    </xf>
    <xf numFmtId="0" fontId="13" fillId="8" borderId="128" xfId="1" applyFont="1" applyFill="1" applyBorder="1" applyAlignment="1" applyProtection="1">
      <alignment vertical="center"/>
      <protection hidden="1"/>
    </xf>
    <xf numFmtId="0" fontId="81" fillId="8" borderId="56" xfId="5" applyFont="1" applyFill="1" applyBorder="1" applyAlignment="1">
      <alignment horizontal="left" vertical="center"/>
    </xf>
    <xf numFmtId="0" fontId="57" fillId="8" borderId="56" xfId="1" applyFont="1" applyFill="1" applyBorder="1" applyAlignment="1" applyProtection="1">
      <alignment horizontal="left" vertical="center"/>
      <protection locked="0"/>
    </xf>
    <xf numFmtId="0" fontId="99" fillId="8" borderId="129" xfId="21" applyFont="1" applyFill="1" applyBorder="1" applyAlignment="1">
      <alignment horizontal="center" vertical="center"/>
    </xf>
    <xf numFmtId="0" fontId="73" fillId="8" borderId="57" xfId="21" applyFont="1" applyFill="1" applyBorder="1" applyAlignment="1">
      <alignment vertical="center"/>
    </xf>
    <xf numFmtId="0" fontId="13" fillId="41" borderId="54" xfId="1" applyFont="1" applyFill="1" applyBorder="1" applyAlignment="1" applyProtection="1">
      <alignment horizontal="right" vertical="center"/>
      <protection hidden="1"/>
    </xf>
    <xf numFmtId="0" fontId="48" fillId="50" borderId="64" xfId="3" applyFont="1" applyFill="1" applyBorder="1" applyAlignment="1">
      <alignment horizontal="left" vertical="center"/>
    </xf>
    <xf numFmtId="0" fontId="48" fillId="50" borderId="21" xfId="3" applyFont="1" applyFill="1" applyBorder="1" applyAlignment="1">
      <alignment horizontal="right" vertical="center"/>
    </xf>
    <xf numFmtId="0" fontId="103" fillId="0" borderId="114" xfId="20" applyFont="1" applyBorder="1" applyAlignment="1">
      <alignment horizontal="center" vertical="center" wrapText="1"/>
    </xf>
    <xf numFmtId="0" fontId="105" fillId="0" borderId="114" xfId="20" applyFont="1" applyBorder="1" applyAlignment="1">
      <alignment horizontal="center" vertical="center"/>
    </xf>
    <xf numFmtId="0" fontId="48" fillId="43" borderId="61" xfId="20" applyFont="1" applyFill="1" applyBorder="1" applyAlignment="1">
      <alignment horizontal="center"/>
    </xf>
    <xf numFmtId="176" fontId="20" fillId="43" borderId="64" xfId="20" applyNumberFormat="1" applyFont="1" applyFill="1" applyBorder="1" applyAlignment="1">
      <alignment horizontal="center" vertical="top"/>
    </xf>
    <xf numFmtId="0" fontId="101" fillId="20" borderId="128" xfId="20" applyFont="1" applyFill="1" applyBorder="1" applyAlignment="1">
      <alignment horizontal="center" vertical="center"/>
    </xf>
    <xf numFmtId="0" fontId="20" fillId="8" borderId="61" xfId="4" applyFont="1" applyFill="1" applyBorder="1"/>
    <xf numFmtId="0" fontId="57" fillId="8" borderId="9" xfId="1" applyFont="1" applyFill="1" applyBorder="1" applyAlignment="1" applyProtection="1">
      <alignment vertical="center" wrapText="1"/>
      <protection locked="0"/>
    </xf>
    <xf numFmtId="0" fontId="20" fillId="8" borderId="6" xfId="4" applyFont="1" applyFill="1" applyBorder="1"/>
    <xf numFmtId="0" fontId="26" fillId="8" borderId="6" xfId="4" applyFont="1" applyFill="1" applyBorder="1"/>
    <xf numFmtId="0" fontId="10" fillId="16" borderId="6" xfId="1" applyFont="1" applyFill="1" applyBorder="1" applyAlignment="1">
      <alignment horizontal="center" vertical="center"/>
    </xf>
    <xf numFmtId="0" fontId="10" fillId="16" borderId="0" xfId="1" applyFont="1" applyFill="1" applyAlignment="1">
      <alignment horizontal="center" vertical="center"/>
    </xf>
    <xf numFmtId="0" fontId="10" fillId="16" borderId="9" xfId="1" applyFont="1" applyFill="1" applyBorder="1" applyAlignment="1">
      <alignment horizontal="center" vertical="center"/>
    </xf>
    <xf numFmtId="0" fontId="10" fillId="7" borderId="58" xfId="1" applyFont="1" applyFill="1" applyBorder="1" applyAlignment="1">
      <alignment horizontal="center" vertical="center"/>
    </xf>
    <xf numFmtId="0" fontId="10" fillId="7" borderId="3" xfId="1" applyFont="1" applyFill="1" applyBorder="1" applyAlignment="1">
      <alignment horizontal="center" vertical="center"/>
    </xf>
    <xf numFmtId="0" fontId="10" fillId="7" borderId="59" xfId="1" applyFont="1" applyFill="1" applyBorder="1" applyAlignment="1">
      <alignment horizontal="center" vertical="center"/>
    </xf>
    <xf numFmtId="0" fontId="10" fillId="7" borderId="0" xfId="3" applyFont="1" applyFill="1" applyAlignment="1">
      <alignment horizontal="center" vertical="center"/>
    </xf>
    <xf numFmtId="0" fontId="1" fillId="0" borderId="0" xfId="3" applyAlignment="1">
      <alignment vertical="center"/>
    </xf>
    <xf numFmtId="0" fontId="0" fillId="6" borderId="0" xfId="0" applyFill="1" applyAlignment="1">
      <alignment vertical="center"/>
    </xf>
    <xf numFmtId="0" fontId="5" fillId="6" borderId="0" xfId="3" applyFont="1" applyFill="1" applyAlignment="1">
      <alignment horizontal="center" vertical="center"/>
    </xf>
    <xf numFmtId="0" fontId="0" fillId="0" borderId="0" xfId="0" applyAlignment="1">
      <alignment vertical="center"/>
    </xf>
    <xf numFmtId="0" fontId="24" fillId="8" borderId="0" xfId="1" applyFont="1" applyFill="1" applyAlignment="1">
      <alignment vertical="center"/>
    </xf>
    <xf numFmtId="0" fontId="10" fillId="7" borderId="0" xfId="1" applyFont="1" applyFill="1" applyAlignment="1">
      <alignment horizontal="center" vertical="center"/>
    </xf>
    <xf numFmtId="0" fontId="1" fillId="0" borderId="0" xfId="3"/>
    <xf numFmtId="0" fontId="141" fillId="15" borderId="0" xfId="6" applyFont="1" applyFill="1" applyAlignment="1">
      <alignment horizontal="center" vertical="center"/>
    </xf>
    <xf numFmtId="0" fontId="142" fillId="15" borderId="0" xfId="1" applyFont="1" applyFill="1" applyAlignment="1">
      <alignment horizontal="center" vertical="center"/>
    </xf>
    <xf numFmtId="0" fontId="26" fillId="15" borderId="0" xfId="26" applyFont="1" applyFill="1" applyAlignment="1">
      <alignment vertical="center"/>
    </xf>
    <xf numFmtId="0" fontId="26" fillId="15" borderId="0" xfId="3" applyFont="1" applyFill="1" applyAlignment="1">
      <alignment horizontal="left" vertical="center"/>
    </xf>
    <xf numFmtId="0" fontId="1" fillId="15" borderId="0" xfId="3" applyFill="1"/>
    <xf numFmtId="0" fontId="143" fillId="15" borderId="6" xfId="1" applyFont="1" applyFill="1" applyBorder="1" applyAlignment="1">
      <alignment vertical="center"/>
    </xf>
    <xf numFmtId="0" fontId="37" fillId="7" borderId="2" xfId="0" applyFont="1" applyFill="1" applyBorder="1" applyAlignment="1">
      <alignment horizontal="center" vertical="center"/>
    </xf>
    <xf numFmtId="0" fontId="37" fillId="7" borderId="0" xfId="0" applyFont="1" applyFill="1" applyAlignment="1">
      <alignment horizontal="center" vertical="center"/>
    </xf>
    <xf numFmtId="171" fontId="37" fillId="7" borderId="0" xfId="0" applyNumberFormat="1" applyFont="1" applyFill="1" applyAlignment="1">
      <alignment horizontal="center" vertical="center"/>
    </xf>
    <xf numFmtId="0" fontId="61" fillId="70" borderId="24" xfId="1" applyFont="1" applyFill="1" applyBorder="1" applyAlignment="1" applyProtection="1">
      <alignment horizontal="center" vertical="center"/>
      <protection hidden="1"/>
    </xf>
    <xf numFmtId="0" fontId="20" fillId="15" borderId="9" xfId="1" applyFont="1" applyFill="1" applyBorder="1" applyAlignment="1">
      <alignment horizontal="center" vertical="center"/>
    </xf>
    <xf numFmtId="0" fontId="20" fillId="15" borderId="6" xfId="1" applyFont="1" applyFill="1" applyBorder="1" applyAlignment="1">
      <alignment horizontal="center" vertical="center"/>
    </xf>
    <xf numFmtId="0" fontId="26" fillId="15" borderId="0" xfId="26" applyFont="1" applyFill="1" applyAlignment="1">
      <alignment horizontal="left" vertical="center"/>
    </xf>
    <xf numFmtId="0" fontId="151" fillId="15" borderId="0" xfId="17" applyFont="1" applyFill="1" applyBorder="1" applyAlignment="1">
      <alignment horizontal="left" vertical="center"/>
    </xf>
    <xf numFmtId="0" fontId="67" fillId="0" borderId="0" xfId="1" applyFont="1" applyAlignment="1">
      <alignment horizontal="center" vertical="center"/>
    </xf>
    <xf numFmtId="0" fontId="46" fillId="0" borderId="0" xfId="1" applyFont="1" applyAlignment="1">
      <alignment horizontal="center" vertical="center"/>
    </xf>
    <xf numFmtId="0" fontId="14" fillId="6" borderId="0" xfId="1" applyFont="1" applyFill="1" applyAlignment="1">
      <alignment horizontal="left" vertical="center"/>
    </xf>
    <xf numFmtId="0" fontId="4" fillId="8" borderId="0" xfId="3" applyFont="1" applyFill="1" applyAlignment="1">
      <alignment vertical="center"/>
    </xf>
    <xf numFmtId="0" fontId="87" fillId="16" borderId="0" xfId="0" applyFont="1" applyFill="1" applyAlignment="1">
      <alignment vertical="center"/>
    </xf>
    <xf numFmtId="0" fontId="156" fillId="8" borderId="0" xfId="0" applyFont="1" applyFill="1" applyAlignment="1">
      <alignment vertical="center" wrapText="1"/>
    </xf>
    <xf numFmtId="0" fontId="157" fillId="8" borderId="0" xfId="0" applyFont="1" applyFill="1" applyAlignment="1">
      <alignment vertical="center"/>
    </xf>
    <xf numFmtId="0" fontId="86" fillId="8" borderId="0" xfId="17" applyFill="1" applyAlignment="1">
      <alignment vertical="center" wrapText="1"/>
    </xf>
    <xf numFmtId="0" fontId="86" fillId="8" borderId="0" xfId="17" applyFill="1" applyAlignment="1">
      <alignment vertical="center"/>
    </xf>
    <xf numFmtId="0" fontId="158" fillId="5" borderId="2" xfId="2" applyFont="1" applyFill="1" applyBorder="1" applyAlignment="1">
      <alignment horizontal="center" vertical="center"/>
    </xf>
    <xf numFmtId="0" fontId="158" fillId="6" borderId="2" xfId="2" applyFont="1" applyFill="1" applyBorder="1" applyAlignment="1">
      <alignment horizontal="center" vertical="center"/>
    </xf>
    <xf numFmtId="0" fontId="31" fillId="8" borderId="0" xfId="6" applyFont="1" applyFill="1" applyAlignment="1">
      <alignment horizontal="center" vertical="center"/>
    </xf>
    <xf numFmtId="0" fontId="26" fillId="65" borderId="0" xfId="14" applyFont="1" applyFill="1" applyAlignment="1">
      <alignment horizontal="center" vertical="center"/>
    </xf>
    <xf numFmtId="0" fontId="139" fillId="8" borderId="0" xfId="0" applyFont="1" applyFill="1" applyAlignment="1">
      <alignment vertical="center"/>
    </xf>
    <xf numFmtId="0" fontId="4" fillId="8" borderId="0" xfId="3" applyFont="1" applyFill="1" applyAlignment="1">
      <alignment horizontal="right"/>
    </xf>
    <xf numFmtId="0" fontId="26" fillId="14" borderId="8" xfId="3" applyFont="1" applyFill="1" applyBorder="1" applyAlignment="1">
      <alignment horizontal="center" vertical="center" wrapText="1"/>
    </xf>
    <xf numFmtId="0" fontId="57" fillId="8" borderId="0" xfId="29" applyFont="1" applyFill="1" applyAlignment="1" applyProtection="1">
      <alignment vertical="center"/>
      <protection locked="0"/>
    </xf>
    <xf numFmtId="0" fontId="49" fillId="14" borderId="9" xfId="3" applyFont="1" applyFill="1" applyBorder="1" applyAlignment="1">
      <alignment horizontal="right" vertical="center" wrapText="1"/>
    </xf>
    <xf numFmtId="0" fontId="72" fillId="8" borderId="0" xfId="0" applyFont="1" applyFill="1" applyAlignment="1">
      <alignment horizontal="right" vertical="center"/>
    </xf>
    <xf numFmtId="0" fontId="155" fillId="8" borderId="0" xfId="1" applyFont="1" applyFill="1" applyAlignment="1">
      <alignment vertical="center" wrapText="1"/>
    </xf>
    <xf numFmtId="0" fontId="57" fillId="8" borderId="0" xfId="1" applyFont="1" applyFill="1" applyAlignment="1">
      <alignment horizontal="left"/>
    </xf>
    <xf numFmtId="0" fontId="57" fillId="8" borderId="0" xfId="1" applyFont="1" applyFill="1" applyAlignment="1">
      <alignment horizontal="center"/>
    </xf>
    <xf numFmtId="0" fontId="5" fillId="0" borderId="0" xfId="3" applyFont="1"/>
    <xf numFmtId="0" fontId="13" fillId="8" borderId="0" xfId="6" applyFont="1" applyFill="1"/>
    <xf numFmtId="0" fontId="36" fillId="8" borderId="137" xfId="3" applyFont="1" applyFill="1" applyBorder="1"/>
    <xf numFmtId="0" fontId="48" fillId="8" borderId="35" xfId="6" applyFont="1" applyFill="1" applyBorder="1" applyAlignment="1">
      <alignment vertical="center"/>
    </xf>
    <xf numFmtId="0" fontId="48" fillId="8" borderId="36" xfId="6" applyFont="1" applyFill="1" applyBorder="1" applyAlignment="1">
      <alignment vertical="center"/>
    </xf>
    <xf numFmtId="0" fontId="90" fillId="80" borderId="138" xfId="6" applyFont="1" applyFill="1" applyBorder="1" applyAlignment="1">
      <alignment horizontal="center" vertical="center"/>
    </xf>
    <xf numFmtId="0" fontId="90" fillId="80" borderId="139" xfId="6" applyFont="1" applyFill="1" applyBorder="1" applyAlignment="1">
      <alignment horizontal="center" vertical="center"/>
    </xf>
    <xf numFmtId="0" fontId="4" fillId="8" borderId="0" xfId="0" applyFont="1" applyFill="1" applyAlignment="1">
      <alignment horizontal="left" vertical="center"/>
    </xf>
    <xf numFmtId="0" fontId="4" fillId="0" borderId="0" xfId="0" applyFont="1" applyAlignment="1">
      <alignment horizontal="left" vertical="center"/>
    </xf>
    <xf numFmtId="0" fontId="83" fillId="8" borderId="16" xfId="1" applyFont="1" applyFill="1" applyBorder="1" applyAlignment="1" applyProtection="1">
      <alignment horizontal="right" vertical="center"/>
      <protection locked="0"/>
    </xf>
    <xf numFmtId="0" fontId="37" fillId="7" borderId="0" xfId="0" applyFont="1" applyFill="1" applyAlignment="1">
      <alignment vertical="center"/>
    </xf>
    <xf numFmtId="0" fontId="0" fillId="7" borderId="0" xfId="0" applyFill="1" applyAlignment="1">
      <alignment vertical="center"/>
    </xf>
    <xf numFmtId="0" fontId="72" fillId="7" borderId="0" xfId="0" applyFont="1" applyFill="1" applyAlignment="1">
      <alignment horizontal="center" vertical="center"/>
    </xf>
    <xf numFmtId="0" fontId="48" fillId="7" borderId="0" xfId="9" applyFont="1" applyFill="1" applyAlignment="1">
      <alignment horizontal="right" vertical="center"/>
    </xf>
    <xf numFmtId="164" fontId="48" fillId="7" borderId="9" xfId="1" applyNumberFormat="1" applyFont="1" applyFill="1" applyBorder="1" applyAlignment="1">
      <alignment horizontal="center" vertical="center"/>
    </xf>
    <xf numFmtId="171" fontId="118" fillId="43" borderId="43" xfId="0" applyNumberFormat="1" applyFont="1" applyFill="1" applyBorder="1" applyAlignment="1">
      <alignment horizontal="center" vertical="center"/>
    </xf>
    <xf numFmtId="171" fontId="118" fillId="43" borderId="44" xfId="0" applyNumberFormat="1" applyFont="1" applyFill="1" applyBorder="1" applyAlignment="1">
      <alignment horizontal="center" vertical="center"/>
    </xf>
    <xf numFmtId="0" fontId="118" fillId="43" borderId="44" xfId="0" applyFont="1" applyFill="1" applyBorder="1" applyAlignment="1">
      <alignment horizontal="center" vertical="center"/>
    </xf>
    <xf numFmtId="172" fontId="118" fillId="43" borderId="44" xfId="0" applyNumberFormat="1" applyFont="1" applyFill="1" applyBorder="1" applyAlignment="1">
      <alignment horizontal="center" vertical="center"/>
    </xf>
    <xf numFmtId="172" fontId="118" fillId="43" borderId="45" xfId="0" applyNumberFormat="1" applyFont="1" applyFill="1" applyBorder="1" applyAlignment="1">
      <alignment horizontal="center" vertical="center"/>
    </xf>
    <xf numFmtId="171" fontId="118" fillId="43" borderId="47" xfId="0" applyNumberFormat="1" applyFont="1" applyFill="1" applyBorder="1" applyAlignment="1">
      <alignment horizontal="center" vertical="center"/>
    </xf>
    <xf numFmtId="171" fontId="118" fillId="43" borderId="48" xfId="0" applyNumberFormat="1" applyFont="1" applyFill="1" applyBorder="1" applyAlignment="1">
      <alignment horizontal="center" vertical="center"/>
    </xf>
    <xf numFmtId="0" fontId="118" fillId="43" borderId="48" xfId="0" applyFont="1" applyFill="1" applyBorder="1" applyAlignment="1">
      <alignment horizontal="center" vertical="center"/>
    </xf>
    <xf numFmtId="1" fontId="21" fillId="72" borderId="0" xfId="1" applyNumberFormat="1" applyFont="1" applyFill="1" applyAlignment="1" applyProtection="1">
      <alignment horizontal="center" vertical="center" wrapText="1"/>
      <protection hidden="1"/>
    </xf>
    <xf numFmtId="0" fontId="10" fillId="7" borderId="0" xfId="1" quotePrefix="1" applyFont="1" applyFill="1" applyAlignment="1">
      <alignment horizontal="center" vertical="center"/>
    </xf>
    <xf numFmtId="0" fontId="10" fillId="14" borderId="3" xfId="1" quotePrefix="1" applyFont="1" applyFill="1" applyBorder="1" applyAlignment="1">
      <alignment horizontal="center" vertical="center"/>
    </xf>
    <xf numFmtId="0" fontId="71" fillId="8" borderId="0" xfId="0" applyFont="1" applyFill="1"/>
    <xf numFmtId="1" fontId="79" fillId="39" borderId="24" xfId="1" applyNumberFormat="1" applyFont="1" applyFill="1" applyBorder="1" applyAlignment="1" applyProtection="1">
      <alignment horizontal="left" vertical="center"/>
      <protection hidden="1"/>
    </xf>
    <xf numFmtId="0" fontId="1" fillId="0" borderId="13" xfId="0" applyFont="1" applyBorder="1" applyAlignment="1">
      <alignment horizontal="right" vertical="center"/>
    </xf>
    <xf numFmtId="0" fontId="59" fillId="8" borderId="0" xfId="3" applyFont="1" applyFill="1" applyAlignment="1">
      <alignment horizontal="left" vertical="center"/>
    </xf>
    <xf numFmtId="0" fontId="24" fillId="0" borderId="0" xfId="1" applyFont="1" applyAlignment="1">
      <alignment vertical="center"/>
    </xf>
    <xf numFmtId="0" fontId="126" fillId="0" borderId="0" xfId="4" applyFont="1" applyAlignment="1">
      <alignment horizontal="right" vertical="center"/>
    </xf>
    <xf numFmtId="0" fontId="162" fillId="68" borderId="0" xfId="0" applyFont="1" applyFill="1" applyAlignment="1">
      <alignment horizontal="centerContinuous" vertical="center"/>
    </xf>
    <xf numFmtId="0" fontId="163" fillId="68" borderId="0" xfId="0" applyFont="1" applyFill="1" applyAlignment="1">
      <alignment horizontal="centerContinuous" vertical="center"/>
    </xf>
    <xf numFmtId="0" fontId="139" fillId="8" borderId="0" xfId="1" applyFont="1" applyFill="1" applyAlignment="1">
      <alignment vertical="center"/>
    </xf>
    <xf numFmtId="0" fontId="26" fillId="8" borderId="0" xfId="1" applyFont="1" applyFill="1" applyAlignment="1">
      <alignment horizontal="right" vertical="center"/>
    </xf>
    <xf numFmtId="0" fontId="32" fillId="69" borderId="0" xfId="1" applyFont="1" applyFill="1" applyAlignment="1">
      <alignment horizontal="center" vertical="center"/>
    </xf>
    <xf numFmtId="0" fontId="164" fillId="88" borderId="0" xfId="1" applyFont="1" applyFill="1" applyAlignment="1">
      <alignment horizontal="center" vertical="center"/>
    </xf>
    <xf numFmtId="0" fontId="1" fillId="8" borderId="3" xfId="4" applyFill="1" applyBorder="1" applyAlignment="1">
      <alignment vertical="center"/>
    </xf>
    <xf numFmtId="0" fontId="1" fillId="8" borderId="3" xfId="4" applyFill="1" applyBorder="1"/>
    <xf numFmtId="0" fontId="165" fillId="8" borderId="0" xfId="4" applyFont="1" applyFill="1" applyAlignment="1">
      <alignment vertical="center"/>
    </xf>
    <xf numFmtId="0" fontId="166" fillId="8" borderId="0" xfId="0" applyFont="1" applyFill="1" applyAlignment="1">
      <alignment vertical="center"/>
    </xf>
    <xf numFmtId="0" fontId="24" fillId="0" borderId="0" xfId="1" applyFont="1" applyAlignment="1">
      <alignment horizontal="right" vertical="center"/>
    </xf>
    <xf numFmtId="0" fontId="4" fillId="0" borderId="0" xfId="4" applyFont="1" applyAlignment="1">
      <alignment vertical="center"/>
    </xf>
    <xf numFmtId="0" fontId="0" fillId="0" borderId="0" xfId="0" applyAlignment="1">
      <alignment horizontal="right" vertical="center"/>
    </xf>
    <xf numFmtId="0" fontId="167" fillId="13" borderId="0" xfId="4" applyFont="1" applyFill="1" applyAlignment="1">
      <alignment horizontal="center" vertical="center"/>
    </xf>
    <xf numFmtId="0" fontId="168" fillId="3" borderId="2" xfId="4" applyFont="1" applyFill="1" applyBorder="1" applyAlignment="1">
      <alignment horizontal="left" vertical="center"/>
    </xf>
    <xf numFmtId="0" fontId="32" fillId="3" borderId="130" xfId="6" applyFont="1" applyFill="1" applyBorder="1" applyAlignment="1">
      <alignment horizontal="left" vertical="center"/>
    </xf>
    <xf numFmtId="0" fontId="32" fillId="3" borderId="130" xfId="1" applyFont="1" applyFill="1" applyBorder="1" applyAlignment="1">
      <alignment horizontal="left" vertical="center"/>
    </xf>
    <xf numFmtId="0" fontId="46" fillId="0" borderId="0" xfId="26" applyFont="1" applyAlignment="1">
      <alignment horizontal="center" vertical="center"/>
    </xf>
    <xf numFmtId="0" fontId="71" fillId="3" borderId="0" xfId="4" applyFont="1" applyFill="1" applyAlignment="1">
      <alignment horizontal="center" vertical="center"/>
    </xf>
    <xf numFmtId="0" fontId="21" fillId="62" borderId="131" xfId="13" applyFont="1" applyFill="1" applyBorder="1" applyAlignment="1">
      <alignment horizontal="center" vertical="center"/>
    </xf>
    <xf numFmtId="0" fontId="5" fillId="3" borderId="35" xfId="0" applyFont="1" applyFill="1" applyBorder="1"/>
    <xf numFmtId="0" fontId="74" fillId="15" borderId="0" xfId="3" applyFont="1" applyFill="1" applyAlignment="1">
      <alignment horizontal="left" vertical="center"/>
    </xf>
    <xf numFmtId="0" fontId="20" fillId="12" borderId="0" xfId="4" applyFont="1" applyFill="1"/>
    <xf numFmtId="0" fontId="57" fillId="12" borderId="0" xfId="4" applyFont="1" applyFill="1" applyAlignment="1">
      <alignment horizontal="left" vertical="center"/>
    </xf>
    <xf numFmtId="0" fontId="20" fillId="12" borderId="0" xfId="4" applyFont="1" applyFill="1" applyAlignment="1">
      <alignment horizontal="left" vertical="center"/>
    </xf>
    <xf numFmtId="0" fontId="74" fillId="12" borderId="0" xfId="5" applyFont="1" applyFill="1" applyAlignment="1">
      <alignment vertical="center"/>
    </xf>
    <xf numFmtId="0" fontId="72" fillId="7" borderId="0" xfId="0" applyFont="1" applyFill="1" applyAlignment="1">
      <alignment horizontal="left" vertical="center"/>
    </xf>
    <xf numFmtId="0" fontId="139" fillId="12" borderId="0" xfId="4" applyFont="1" applyFill="1" applyAlignment="1">
      <alignment horizontal="right" vertical="center"/>
    </xf>
    <xf numFmtId="0" fontId="59" fillId="12" borderId="9" xfId="3" applyFont="1" applyFill="1" applyBorder="1" applyAlignment="1">
      <alignment vertical="center"/>
    </xf>
    <xf numFmtId="0" fontId="71" fillId="7" borderId="0" xfId="4" applyFont="1" applyFill="1" applyAlignment="1">
      <alignment horizontal="center" vertical="center"/>
    </xf>
    <xf numFmtId="0" fontId="1" fillId="7" borderId="0" xfId="3" applyFill="1" applyAlignment="1">
      <alignment vertical="center"/>
    </xf>
    <xf numFmtId="0" fontId="139" fillId="7" borderId="0" xfId="3" applyFont="1" applyFill="1" applyAlignment="1">
      <alignment horizontal="right" vertical="center"/>
    </xf>
    <xf numFmtId="0" fontId="26" fillId="7" borderId="9" xfId="3" applyFont="1" applyFill="1" applyBorder="1" applyAlignment="1">
      <alignment horizontal="right" vertical="center"/>
    </xf>
    <xf numFmtId="0" fontId="1" fillId="7" borderId="0" xfId="4" applyFill="1" applyAlignment="1">
      <alignment vertical="center"/>
    </xf>
    <xf numFmtId="0" fontId="1" fillId="7" borderId="0" xfId="4" applyFill="1"/>
    <xf numFmtId="0" fontId="87" fillId="16" borderId="6" xfId="3" applyFont="1" applyFill="1" applyBorder="1" applyAlignment="1">
      <alignment vertical="center"/>
    </xf>
    <xf numFmtId="0" fontId="144" fillId="16" borderId="0" xfId="3" applyFont="1" applyFill="1" applyAlignment="1">
      <alignment vertical="center"/>
    </xf>
    <xf numFmtId="0" fontId="144" fillId="16" borderId="9" xfId="3" applyFont="1" applyFill="1" applyBorder="1" applyAlignment="1">
      <alignment vertical="center"/>
    </xf>
    <xf numFmtId="0" fontId="1" fillId="7" borderId="133" xfId="3" applyFill="1" applyBorder="1" applyAlignment="1">
      <alignment vertical="center"/>
    </xf>
    <xf numFmtId="0" fontId="4" fillId="0" borderId="0" xfId="0" applyFont="1" applyAlignment="1">
      <alignment horizontal="center" vertical="center"/>
    </xf>
    <xf numFmtId="0" fontId="145" fillId="0" borderId="0" xfId="0" applyFont="1" applyAlignment="1">
      <alignment horizontal="center" vertical="center"/>
    </xf>
    <xf numFmtId="0" fontId="87" fillId="16" borderId="6" xfId="3" applyFont="1" applyFill="1" applyBorder="1"/>
    <xf numFmtId="0" fontId="144" fillId="16" borderId="0" xfId="3" applyFont="1" applyFill="1"/>
    <xf numFmtId="0" fontId="144" fillId="16" borderId="9" xfId="3" applyFont="1" applyFill="1" applyBorder="1"/>
    <xf numFmtId="0" fontId="71" fillId="7" borderId="151" xfId="4" applyFont="1" applyFill="1" applyBorder="1" applyAlignment="1">
      <alignment horizontal="center" vertical="center"/>
    </xf>
    <xf numFmtId="0" fontId="2" fillId="3" borderId="13" xfId="2" applyFont="1" applyFill="1" applyBorder="1" applyAlignment="1">
      <alignment horizontal="center" vertical="center"/>
    </xf>
    <xf numFmtId="0" fontId="1" fillId="15" borderId="9" xfId="3" applyFill="1" applyBorder="1"/>
    <xf numFmtId="0" fontId="71" fillId="7" borderId="155" xfId="4" applyFont="1" applyFill="1" applyBorder="1" applyAlignment="1">
      <alignment horizontal="center" vertical="center"/>
    </xf>
    <xf numFmtId="1" fontId="45" fillId="57" borderId="24" xfId="1" applyNumberFormat="1" applyFont="1" applyFill="1" applyBorder="1" applyAlignment="1">
      <alignment horizontal="center" vertical="center"/>
    </xf>
    <xf numFmtId="0" fontId="37" fillId="7" borderId="160" xfId="0" applyFont="1" applyFill="1" applyBorder="1" applyAlignment="1">
      <alignment horizontal="right" vertical="center"/>
    </xf>
    <xf numFmtId="1" fontId="145" fillId="7" borderId="2" xfId="0" applyNumberFormat="1" applyFont="1" applyFill="1" applyBorder="1" applyAlignment="1">
      <alignment horizontal="center" vertical="center"/>
    </xf>
    <xf numFmtId="1" fontId="31" fillId="91" borderId="8" xfId="1" applyNumberFormat="1" applyFont="1" applyFill="1" applyBorder="1" applyAlignment="1">
      <alignment horizontal="left" vertical="center"/>
    </xf>
    <xf numFmtId="0" fontId="66" fillId="15" borderId="0" xfId="3" applyFont="1" applyFill="1"/>
    <xf numFmtId="0" fontId="66" fillId="15" borderId="9" xfId="3" applyFont="1" applyFill="1" applyBorder="1"/>
    <xf numFmtId="0" fontId="37" fillId="7" borderId="16" xfId="0" applyFont="1" applyFill="1" applyBorder="1" applyAlignment="1">
      <alignment horizontal="right" vertical="center"/>
    </xf>
    <xf numFmtId="1" fontId="145" fillId="7" borderId="0" xfId="0" applyNumberFormat="1" applyFont="1" applyFill="1" applyAlignment="1">
      <alignment horizontal="center" vertical="center"/>
    </xf>
    <xf numFmtId="1" fontId="31" fillId="91" borderId="9" xfId="1" applyNumberFormat="1" applyFont="1" applyFill="1" applyBorder="1" applyAlignment="1">
      <alignment horizontal="left" vertical="center"/>
    </xf>
    <xf numFmtId="0" fontId="26" fillId="15" borderId="0" xfId="3" applyFont="1" applyFill="1" applyAlignment="1">
      <alignment vertical="center"/>
    </xf>
    <xf numFmtId="0" fontId="71" fillId="7" borderId="162" xfId="4" applyFont="1" applyFill="1" applyBorder="1" applyAlignment="1">
      <alignment horizontal="center" vertical="center"/>
    </xf>
    <xf numFmtId="0" fontId="146" fillId="15" borderId="16" xfId="26" applyFont="1" applyFill="1" applyBorder="1" applyAlignment="1">
      <alignment vertical="center"/>
    </xf>
    <xf numFmtId="0" fontId="143" fillId="15" borderId="6" xfId="3" applyFont="1" applyFill="1" applyBorder="1"/>
    <xf numFmtId="0" fontId="143" fillId="15" borderId="0" xfId="3" applyFont="1" applyFill="1"/>
    <xf numFmtId="0" fontId="32" fillId="3" borderId="150" xfId="2" applyFont="1" applyFill="1" applyBorder="1" applyAlignment="1">
      <alignment horizontal="center" vertical="center"/>
    </xf>
    <xf numFmtId="0" fontId="32" fillId="3" borderId="1" xfId="2" applyFont="1" applyFill="1" applyBorder="1" applyAlignment="1">
      <alignment horizontal="center" vertical="center"/>
    </xf>
    <xf numFmtId="0" fontId="32" fillId="3" borderId="0" xfId="2" applyFont="1" applyFill="1" applyAlignment="1">
      <alignment horizontal="center" vertical="center"/>
    </xf>
    <xf numFmtId="179" fontId="37" fillId="7" borderId="16" xfId="0" applyNumberFormat="1" applyFont="1" applyFill="1" applyBorder="1" applyAlignment="1">
      <alignment horizontal="right" vertical="center"/>
    </xf>
    <xf numFmtId="168" fontId="111" fillId="34" borderId="9" xfId="1" applyNumberFormat="1" applyFont="1" applyFill="1" applyBorder="1" applyAlignment="1" applyProtection="1">
      <alignment horizontal="center" vertical="center"/>
      <protection hidden="1"/>
    </xf>
    <xf numFmtId="0" fontId="10" fillId="9" borderId="163" xfId="3" applyFont="1" applyFill="1" applyBorder="1" applyAlignment="1">
      <alignment horizontal="center" vertical="center"/>
    </xf>
    <xf numFmtId="0" fontId="10" fillId="64" borderId="164" xfId="3" applyFont="1" applyFill="1" applyBorder="1" applyAlignment="1">
      <alignment horizontal="center" vertical="center"/>
    </xf>
    <xf numFmtId="0" fontId="10" fillId="9" borderId="164" xfId="3" applyFont="1" applyFill="1" applyBorder="1" applyAlignment="1">
      <alignment horizontal="center" vertical="center"/>
    </xf>
    <xf numFmtId="0" fontId="10" fillId="64" borderId="165" xfId="3" applyFont="1" applyFill="1" applyBorder="1" applyAlignment="1">
      <alignment horizontal="center" vertical="center"/>
    </xf>
    <xf numFmtId="0" fontId="24" fillId="7" borderId="6" xfId="0" applyFont="1" applyFill="1" applyBorder="1" applyAlignment="1">
      <alignment horizontal="center" vertical="center"/>
    </xf>
    <xf numFmtId="167" fontId="24" fillId="7" borderId="9" xfId="0" applyNumberFormat="1" applyFont="1" applyFill="1" applyBorder="1" applyAlignment="1">
      <alignment horizontal="center" vertical="center"/>
    </xf>
    <xf numFmtId="0" fontId="44" fillId="15" borderId="6" xfId="3" applyFont="1" applyFill="1" applyBorder="1"/>
    <xf numFmtId="168" fontId="111" fillId="43" borderId="9" xfId="1" applyNumberFormat="1" applyFont="1" applyFill="1" applyBorder="1" applyAlignment="1" applyProtection="1">
      <alignment horizontal="center" vertical="center"/>
      <protection hidden="1"/>
    </xf>
    <xf numFmtId="0" fontId="38" fillId="15" borderId="6" xfId="3" applyFont="1" applyFill="1" applyBorder="1"/>
    <xf numFmtId="0" fontId="147" fillId="21" borderId="0" xfId="1" applyFont="1" applyFill="1" applyAlignment="1" applyProtection="1">
      <alignment horizontal="center" vertical="center"/>
      <protection hidden="1"/>
    </xf>
    <xf numFmtId="0" fontId="173" fillId="25" borderId="0" xfId="4" applyFont="1" applyFill="1" applyAlignment="1">
      <alignment vertical="center"/>
    </xf>
    <xf numFmtId="0" fontId="1" fillId="15" borderId="9" xfId="3" applyFill="1" applyBorder="1" applyAlignment="1">
      <alignment vertical="center"/>
    </xf>
    <xf numFmtId="0" fontId="64" fillId="15" borderId="0" xfId="13" applyFont="1" applyFill="1" applyAlignment="1">
      <alignment horizontal="center" vertical="center"/>
    </xf>
    <xf numFmtId="0" fontId="51" fillId="7" borderId="0" xfId="4" applyFont="1" applyFill="1" applyAlignment="1">
      <alignment horizontal="left" vertical="center"/>
    </xf>
    <xf numFmtId="0" fontId="51" fillId="7" borderId="0" xfId="4" applyFont="1" applyFill="1" applyAlignment="1">
      <alignment horizontal="center" vertical="center"/>
    </xf>
    <xf numFmtId="0" fontId="20" fillId="7" borderId="0" xfId="1" applyFont="1" applyFill="1" applyAlignment="1">
      <alignment horizontal="left" vertical="center"/>
    </xf>
    <xf numFmtId="0" fontId="20" fillId="7" borderId="0" xfId="0" applyFont="1" applyFill="1" applyAlignment="1">
      <alignment vertical="center"/>
    </xf>
    <xf numFmtId="0" fontId="57" fillId="48" borderId="77" xfId="1" applyFont="1" applyFill="1" applyBorder="1" applyAlignment="1">
      <alignment horizontal="center" vertical="center"/>
    </xf>
    <xf numFmtId="167" fontId="111" fillId="92" borderId="77" xfId="1" applyNumberFormat="1" applyFont="1" applyFill="1" applyBorder="1" applyAlignment="1" applyProtection="1">
      <alignment horizontal="center" vertical="center"/>
      <protection hidden="1"/>
    </xf>
    <xf numFmtId="179" fontId="57" fillId="93" borderId="77" xfId="1" applyNumberFormat="1" applyFont="1" applyFill="1" applyBorder="1" applyAlignment="1">
      <alignment horizontal="right" vertical="center"/>
    </xf>
    <xf numFmtId="169" fontId="57" fillId="93" borderId="77" xfId="1" applyNumberFormat="1" applyFont="1" applyFill="1" applyBorder="1" applyAlignment="1">
      <alignment horizontal="left" vertical="center"/>
    </xf>
    <xf numFmtId="170" fontId="13" fillId="48" borderId="77" xfId="1" applyNumberFormat="1" applyFont="1" applyFill="1" applyBorder="1" applyAlignment="1">
      <alignment horizontal="center" vertical="center"/>
    </xf>
    <xf numFmtId="0" fontId="57" fillId="94" borderId="77" xfId="1" applyFont="1" applyFill="1" applyBorder="1" applyAlignment="1">
      <alignment horizontal="left" vertical="center"/>
    </xf>
    <xf numFmtId="182" fontId="121" fillId="95" borderId="77" xfId="14" applyNumberFormat="1" applyFont="1" applyFill="1" applyBorder="1" applyAlignment="1">
      <alignment horizontal="center" vertical="center"/>
    </xf>
    <xf numFmtId="182" fontId="13" fillId="48" borderId="77" xfId="1" applyNumberFormat="1" applyFont="1" applyFill="1" applyBorder="1" applyAlignment="1" applyProtection="1">
      <alignment horizontal="center" vertical="center"/>
      <protection hidden="1"/>
    </xf>
    <xf numFmtId="186" fontId="57" fillId="12" borderId="37" xfId="1" applyNumberFormat="1" applyFont="1" applyFill="1" applyBorder="1" applyAlignment="1" applyProtection="1">
      <alignment horizontal="left" vertical="center"/>
      <protection hidden="1"/>
    </xf>
    <xf numFmtId="0" fontId="1" fillId="15" borderId="6" xfId="3" applyFill="1" applyBorder="1" applyAlignment="1">
      <alignment vertical="center"/>
    </xf>
    <xf numFmtId="0" fontId="59" fillId="12" borderId="0" xfId="3" applyFont="1" applyFill="1" applyAlignment="1">
      <alignment vertical="center"/>
    </xf>
    <xf numFmtId="179" fontId="20" fillId="7" borderId="16" xfId="1" applyNumberFormat="1" applyFont="1" applyFill="1" applyBorder="1" applyAlignment="1">
      <alignment horizontal="center" vertical="center"/>
    </xf>
    <xf numFmtId="0" fontId="57" fillId="12" borderId="77" xfId="1" applyFont="1" applyFill="1" applyBorder="1" applyAlignment="1">
      <alignment horizontal="center" vertical="center"/>
    </xf>
    <xf numFmtId="179" fontId="57" fillId="96" borderId="77" xfId="1" applyNumberFormat="1" applyFont="1" applyFill="1" applyBorder="1" applyAlignment="1">
      <alignment horizontal="right" vertical="center"/>
    </xf>
    <xf numFmtId="169" fontId="57" fillId="96" borderId="77" xfId="1" applyNumberFormat="1" applyFont="1" applyFill="1" applyBorder="1" applyAlignment="1">
      <alignment horizontal="left" vertical="center"/>
    </xf>
    <xf numFmtId="180" fontId="111" fillId="92" borderId="77" xfId="1" applyNumberFormat="1" applyFont="1" applyFill="1" applyBorder="1" applyAlignment="1">
      <alignment horizontal="center" vertical="center"/>
    </xf>
    <xf numFmtId="170" fontId="13" fillId="12" borderId="77" xfId="1" applyNumberFormat="1" applyFont="1" applyFill="1" applyBorder="1" applyAlignment="1">
      <alignment horizontal="center" vertical="center"/>
    </xf>
    <xf numFmtId="1" fontId="57" fillId="12" borderId="77" xfId="1" applyNumberFormat="1" applyFont="1" applyFill="1" applyBorder="1" applyAlignment="1">
      <alignment horizontal="left" vertical="center"/>
    </xf>
    <xf numFmtId="182" fontId="13" fillId="12" borderId="77" xfId="1" applyNumberFormat="1" applyFont="1" applyFill="1" applyBorder="1" applyAlignment="1" applyProtection="1">
      <alignment horizontal="center" vertical="center"/>
      <protection hidden="1"/>
    </xf>
    <xf numFmtId="172" fontId="37" fillId="70" borderId="0" xfId="0" applyNumberFormat="1" applyFont="1" applyFill="1" applyAlignment="1">
      <alignment horizontal="center" vertical="center"/>
    </xf>
    <xf numFmtId="188" fontId="111" fillId="34" borderId="9" xfId="1" applyNumberFormat="1" applyFont="1" applyFill="1" applyBorder="1" applyAlignment="1" applyProtection="1">
      <alignment horizontal="center" vertical="center"/>
      <protection hidden="1"/>
    </xf>
    <xf numFmtId="0" fontId="59" fillId="15" borderId="0" xfId="3" applyFont="1" applyFill="1" applyAlignment="1">
      <alignment vertical="center"/>
    </xf>
    <xf numFmtId="0" fontId="177" fillId="15" borderId="0" xfId="3" applyFont="1" applyFill="1" applyAlignment="1">
      <alignment vertical="center"/>
    </xf>
    <xf numFmtId="0" fontId="178" fillId="15" borderId="0" xfId="1" applyFont="1" applyFill="1" applyAlignment="1">
      <alignment horizontal="left" vertical="center"/>
    </xf>
    <xf numFmtId="1" fontId="111" fillId="92" borderId="77" xfId="1" applyNumberFormat="1" applyFont="1" applyFill="1" applyBorder="1" applyAlignment="1" applyProtection="1">
      <alignment horizontal="center" vertical="center"/>
      <protection hidden="1"/>
    </xf>
    <xf numFmtId="169" fontId="13" fillId="48" borderId="77" xfId="1" applyNumberFormat="1" applyFont="1" applyFill="1" applyBorder="1" applyAlignment="1">
      <alignment horizontal="center" vertical="center"/>
    </xf>
    <xf numFmtId="191" fontId="111" fillId="34" borderId="9" xfId="1" applyNumberFormat="1" applyFont="1" applyFill="1" applyBorder="1" applyAlignment="1" applyProtection="1">
      <alignment horizontal="center" vertical="center"/>
      <protection hidden="1"/>
    </xf>
    <xf numFmtId="169" fontId="13" fillId="12" borderId="77" xfId="1" applyNumberFormat="1" applyFont="1" applyFill="1" applyBorder="1" applyAlignment="1">
      <alignment horizontal="center" vertical="center"/>
    </xf>
    <xf numFmtId="0" fontId="179" fillId="15" borderId="0" xfId="26" applyFont="1" applyFill="1" applyAlignment="1">
      <alignment vertical="center"/>
    </xf>
    <xf numFmtId="1" fontId="50" fillId="36" borderId="24" xfId="1" applyNumberFormat="1" applyFont="1" applyFill="1" applyBorder="1" applyAlignment="1" applyProtection="1">
      <alignment horizontal="left" vertical="center"/>
      <protection hidden="1"/>
    </xf>
    <xf numFmtId="0" fontId="26" fillId="15" borderId="6" xfId="1" applyFont="1" applyFill="1" applyBorder="1" applyAlignment="1">
      <alignment vertical="center"/>
    </xf>
    <xf numFmtId="0" fontId="80" fillId="15" borderId="0" xfId="1" applyFont="1" applyFill="1" applyAlignment="1">
      <alignment vertical="center"/>
    </xf>
    <xf numFmtId="0" fontId="180" fillId="15" borderId="0" xfId="26" applyFont="1" applyFill="1" applyAlignment="1">
      <alignment vertical="center"/>
    </xf>
    <xf numFmtId="0" fontId="77" fillId="44" borderId="0" xfId="16" applyFont="1" applyFill="1" applyAlignment="1" applyProtection="1">
      <alignment horizontal="right" vertical="center"/>
      <protection locked="0"/>
    </xf>
    <xf numFmtId="192" fontId="111" fillId="34" borderId="9" xfId="1" applyNumberFormat="1" applyFont="1" applyFill="1" applyBorder="1" applyAlignment="1" applyProtection="1">
      <alignment horizontal="center" vertical="center"/>
      <protection hidden="1"/>
    </xf>
    <xf numFmtId="0" fontId="13" fillId="8" borderId="0" xfId="16" applyFont="1" applyFill="1" applyAlignment="1">
      <alignment horizontal="left" vertical="center"/>
    </xf>
    <xf numFmtId="0" fontId="181" fillId="20" borderId="24" xfId="1" applyFont="1" applyFill="1" applyBorder="1" applyAlignment="1">
      <alignment horizontal="left" vertical="center"/>
    </xf>
    <xf numFmtId="0" fontId="44" fillId="8" borderId="6" xfId="3" applyFont="1" applyFill="1" applyBorder="1" applyAlignment="1">
      <alignment vertical="center"/>
    </xf>
    <xf numFmtId="0" fontId="38" fillId="8" borderId="6" xfId="0" applyFont="1" applyFill="1" applyBorder="1" applyAlignment="1">
      <alignment vertical="center"/>
    </xf>
    <xf numFmtId="0" fontId="87" fillId="8" borderId="6" xfId="0" applyFont="1" applyFill="1" applyBorder="1" applyAlignment="1">
      <alignment vertical="center"/>
    </xf>
    <xf numFmtId="0" fontId="87" fillId="8" borderId="6" xfId="0" applyFont="1" applyFill="1" applyBorder="1" applyAlignment="1">
      <alignment horizontal="left" vertical="center" indent="1"/>
    </xf>
    <xf numFmtId="169" fontId="84" fillId="45" borderId="35" xfId="16" applyNumberFormat="1" applyFont="1" applyFill="1" applyBorder="1" applyAlignment="1" applyProtection="1">
      <alignment horizontal="center" vertical="center"/>
      <protection locked="0"/>
    </xf>
    <xf numFmtId="0" fontId="108" fillId="8" borderId="6" xfId="0" applyFont="1" applyFill="1" applyBorder="1" applyAlignment="1">
      <alignment horizontal="left" vertical="center" indent="1"/>
    </xf>
    <xf numFmtId="1" fontId="182" fillId="39" borderId="24" xfId="1" applyNumberFormat="1" applyFont="1" applyFill="1" applyBorder="1" applyAlignment="1" applyProtection="1">
      <alignment horizontal="left" vertical="center"/>
      <protection hidden="1"/>
    </xf>
    <xf numFmtId="0" fontId="71" fillId="8" borderId="6" xfId="0" applyFont="1" applyFill="1" applyBorder="1" applyAlignment="1">
      <alignment horizontal="left" vertical="center" indent="1"/>
    </xf>
    <xf numFmtId="193" fontId="111" fillId="34" borderId="9" xfId="1" applyNumberFormat="1" applyFont="1" applyFill="1" applyBorder="1" applyAlignment="1" applyProtection="1">
      <alignment horizontal="center" vertical="center"/>
      <protection hidden="1"/>
    </xf>
    <xf numFmtId="0" fontId="71" fillId="16" borderId="6" xfId="0" applyFont="1" applyFill="1" applyBorder="1" applyAlignment="1">
      <alignment horizontal="right" vertical="center"/>
    </xf>
    <xf numFmtId="0" fontId="183" fillId="0" borderId="0" xfId="17" applyFont="1" applyBorder="1" applyAlignment="1">
      <alignment vertical="center"/>
    </xf>
    <xf numFmtId="0" fontId="71" fillId="0" borderId="0" xfId="0" applyFont="1" applyAlignment="1">
      <alignment vertical="center"/>
    </xf>
    <xf numFmtId="0" fontId="57" fillId="43" borderId="6" xfId="3" applyFont="1" applyFill="1" applyBorder="1" applyAlignment="1">
      <alignment horizontal="left" vertical="center"/>
    </xf>
    <xf numFmtId="0" fontId="71" fillId="43" borderId="0" xfId="0" applyFont="1" applyFill="1"/>
    <xf numFmtId="0" fontId="149" fillId="43" borderId="9" xfId="3" applyFont="1" applyFill="1" applyBorder="1" applyAlignment="1">
      <alignment horizontal="center" vertical="center"/>
    </xf>
    <xf numFmtId="0" fontId="71" fillId="43" borderId="6" xfId="3" applyFont="1" applyFill="1" applyBorder="1" applyAlignment="1">
      <alignment horizontal="left" vertical="center"/>
    </xf>
    <xf numFmtId="0" fontId="71" fillId="43" borderId="9" xfId="3" applyFont="1" applyFill="1" applyBorder="1" applyAlignment="1">
      <alignment horizontal="right" vertical="center"/>
    </xf>
    <xf numFmtId="0" fontId="20" fillId="15" borderId="9" xfId="1" applyFont="1" applyFill="1" applyBorder="1" applyAlignment="1">
      <alignment horizontal="right" vertical="center"/>
    </xf>
    <xf numFmtId="0" fontId="163" fillId="88" borderId="6" xfId="1" applyFont="1" applyFill="1" applyBorder="1" applyAlignment="1" applyProtection="1">
      <alignment horizontal="left" vertical="center"/>
      <protection hidden="1"/>
    </xf>
    <xf numFmtId="0" fontId="163" fillId="88" borderId="0" xfId="1" applyFont="1" applyFill="1" applyAlignment="1" applyProtection="1">
      <alignment horizontal="left" vertical="center"/>
      <protection hidden="1"/>
    </xf>
    <xf numFmtId="0" fontId="163" fillId="88" borderId="9" xfId="1" applyFont="1" applyFill="1" applyBorder="1" applyAlignment="1" applyProtection="1">
      <alignment horizontal="left" vertical="center"/>
      <protection hidden="1"/>
    </xf>
    <xf numFmtId="0" fontId="163" fillId="88" borderId="6" xfId="27" applyFont="1" applyFill="1" applyBorder="1" applyAlignment="1">
      <alignment horizontal="left" vertical="center"/>
    </xf>
    <xf numFmtId="0" fontId="163" fillId="88" borderId="0" xfId="27" applyFont="1" applyFill="1" applyAlignment="1">
      <alignment horizontal="left" vertical="center"/>
    </xf>
    <xf numFmtId="0" fontId="163" fillId="88" borderId="9" xfId="27" applyFont="1" applyFill="1" applyBorder="1" applyAlignment="1">
      <alignment horizontal="left" vertical="center"/>
    </xf>
    <xf numFmtId="179" fontId="37" fillId="7" borderId="175" xfId="0" applyNumberFormat="1" applyFont="1" applyFill="1" applyBorder="1" applyAlignment="1">
      <alignment horizontal="right" vertical="center"/>
    </xf>
    <xf numFmtId="172" fontId="37" fillId="70" borderId="3" xfId="0" applyNumberFormat="1" applyFont="1" applyFill="1" applyBorder="1" applyAlignment="1">
      <alignment horizontal="center" vertical="center"/>
    </xf>
    <xf numFmtId="1" fontId="145" fillId="7" borderId="3" xfId="0" applyNumberFormat="1" applyFont="1" applyFill="1" applyBorder="1" applyAlignment="1">
      <alignment horizontal="center" vertical="center"/>
    </xf>
    <xf numFmtId="188" fontId="111" fillId="34" borderId="59" xfId="1" applyNumberFormat="1" applyFont="1" applyFill="1" applyBorder="1" applyAlignment="1" applyProtection="1">
      <alignment horizontal="center" vertical="center"/>
      <protection hidden="1"/>
    </xf>
    <xf numFmtId="0" fontId="32" fillId="88" borderId="6" xfId="28" applyFont="1" applyFill="1" applyBorder="1" applyAlignment="1">
      <alignment horizontal="center" vertical="center"/>
    </xf>
    <xf numFmtId="0" fontId="32" fillId="88" borderId="0" xfId="28" applyFont="1" applyFill="1" applyAlignment="1">
      <alignment horizontal="center" vertical="center"/>
    </xf>
    <xf numFmtId="0" fontId="32" fillId="88" borderId="0" xfId="28" quotePrefix="1" applyFont="1" applyFill="1" applyAlignment="1">
      <alignment horizontal="center" vertical="center"/>
    </xf>
    <xf numFmtId="0" fontId="32" fillId="88" borderId="9" xfId="28" applyFont="1" applyFill="1" applyBorder="1" applyAlignment="1">
      <alignment horizontal="center" vertical="center"/>
    </xf>
    <xf numFmtId="0" fontId="185" fillId="8" borderId="0" xfId="5" applyFont="1" applyFill="1" applyAlignment="1">
      <alignment horizontal="left" vertical="center"/>
    </xf>
    <xf numFmtId="1" fontId="150" fillId="39" borderId="0" xfId="1" applyNumberFormat="1" applyFont="1" applyFill="1" applyAlignment="1" applyProtection="1">
      <alignment horizontal="left" vertical="center"/>
      <protection hidden="1"/>
    </xf>
    <xf numFmtId="0" fontId="181" fillId="39" borderId="0" xfId="1" applyFont="1" applyFill="1" applyAlignment="1">
      <alignment horizontal="left" vertical="center"/>
    </xf>
    <xf numFmtId="0" fontId="1" fillId="20" borderId="0" xfId="3" applyFill="1" applyAlignment="1">
      <alignment vertical="center"/>
    </xf>
    <xf numFmtId="1" fontId="1" fillId="4" borderId="6" xfId="3" applyNumberFormat="1" applyFill="1" applyBorder="1" applyAlignment="1">
      <alignment horizontal="center"/>
    </xf>
    <xf numFmtId="1" fontId="1" fillId="4" borderId="0" xfId="3" applyNumberFormat="1" applyFill="1" applyAlignment="1">
      <alignment horizontal="center"/>
    </xf>
    <xf numFmtId="1" fontId="1" fillId="4" borderId="9" xfId="3" applyNumberFormat="1" applyFill="1" applyBorder="1" applyAlignment="1">
      <alignment horizontal="center"/>
    </xf>
    <xf numFmtId="0" fontId="54" fillId="7" borderId="58" xfId="1" applyFont="1" applyFill="1" applyBorder="1" applyAlignment="1">
      <alignment horizontal="center" vertical="center"/>
    </xf>
    <xf numFmtId="0" fontId="54" fillId="7" borderId="3" xfId="1" applyFont="1" applyFill="1" applyBorder="1" applyAlignment="1">
      <alignment horizontal="center" vertical="center"/>
    </xf>
    <xf numFmtId="0" fontId="54" fillId="7" borderId="59" xfId="1" applyFont="1" applyFill="1" applyBorder="1" applyAlignment="1">
      <alignment horizontal="center" vertical="center"/>
    </xf>
    <xf numFmtId="0" fontId="151" fillId="15" borderId="0" xfId="17" applyFont="1" applyFill="1" applyAlignment="1">
      <alignment horizontal="left" vertical="center"/>
    </xf>
    <xf numFmtId="0" fontId="180" fillId="15" borderId="0" xfId="26" applyFont="1" applyFill="1" applyAlignment="1">
      <alignment horizontal="left" vertical="center"/>
    </xf>
    <xf numFmtId="0" fontId="187" fillId="15" borderId="0" xfId="0" applyFont="1" applyFill="1" applyAlignment="1">
      <alignment vertical="center"/>
    </xf>
    <xf numFmtId="0" fontId="108" fillId="15" borderId="0" xfId="0" applyFont="1" applyFill="1" applyAlignment="1">
      <alignment vertical="center"/>
    </xf>
    <xf numFmtId="0" fontId="108" fillId="15" borderId="0" xfId="3" applyFont="1" applyFill="1" applyAlignment="1">
      <alignment vertical="center"/>
    </xf>
    <xf numFmtId="0" fontId="43" fillId="15" borderId="0" xfId="0" applyFont="1" applyFill="1"/>
    <xf numFmtId="0" fontId="151" fillId="15" borderId="0" xfId="17" applyFont="1" applyFill="1" applyAlignment="1">
      <alignment vertical="center"/>
    </xf>
    <xf numFmtId="0" fontId="108" fillId="15" borderId="0" xfId="0" applyFont="1" applyFill="1"/>
    <xf numFmtId="0" fontId="188" fillId="15" borderId="0" xfId="17" applyFont="1" applyFill="1" applyAlignment="1">
      <alignment vertical="center"/>
    </xf>
    <xf numFmtId="0" fontId="135" fillId="8" borderId="0" xfId="3" applyFont="1" applyFill="1"/>
    <xf numFmtId="0" fontId="71" fillId="15" borderId="0" xfId="13" applyFont="1" applyFill="1" applyAlignment="1">
      <alignment vertical="center"/>
    </xf>
    <xf numFmtId="0" fontId="21" fillId="15" borderId="0" xfId="13" applyFont="1" applyFill="1" applyAlignment="1">
      <alignment vertical="center"/>
    </xf>
    <xf numFmtId="0" fontId="135" fillId="8" borderId="0" xfId="0" applyFont="1" applyFill="1"/>
    <xf numFmtId="0" fontId="4" fillId="8" borderId="0" xfId="0" applyFont="1" applyFill="1"/>
    <xf numFmtId="0" fontId="135" fillId="8" borderId="0" xfId="3" applyFont="1" applyFill="1" applyAlignment="1">
      <alignment vertical="center"/>
    </xf>
    <xf numFmtId="0" fontId="1" fillId="37" borderId="0" xfId="3" applyFill="1"/>
    <xf numFmtId="0" fontId="24" fillId="0" borderId="0" xfId="1" applyFont="1"/>
    <xf numFmtId="167" fontId="44" fillId="19" borderId="0" xfId="1" applyNumberFormat="1" applyFont="1" applyFill="1" applyAlignment="1">
      <alignment horizontal="center" vertical="center"/>
    </xf>
    <xf numFmtId="0" fontId="130" fillId="8" borderId="10" xfId="0" applyFont="1" applyFill="1" applyBorder="1" applyAlignment="1">
      <alignment vertical="center"/>
    </xf>
    <xf numFmtId="0" fontId="83" fillId="8" borderId="9" xfId="1" applyFont="1" applyFill="1" applyBorder="1" applyAlignment="1" applyProtection="1">
      <alignment horizontal="right" vertical="center"/>
      <protection locked="0"/>
    </xf>
    <xf numFmtId="0" fontId="83" fillId="8" borderId="21" xfId="1" applyFont="1" applyFill="1" applyBorder="1" applyAlignment="1" applyProtection="1">
      <alignment horizontal="right" vertical="center"/>
      <protection locked="0"/>
    </xf>
    <xf numFmtId="0" fontId="57" fillId="25" borderId="0" xfId="8" applyFont="1" applyFill="1" applyAlignment="1">
      <alignment horizontal="right" vertical="center"/>
    </xf>
    <xf numFmtId="0" fontId="33" fillId="15" borderId="6" xfId="3" applyFont="1" applyFill="1" applyBorder="1"/>
    <xf numFmtId="0" fontId="33" fillId="15" borderId="6" xfId="0" applyFont="1" applyFill="1" applyBorder="1"/>
    <xf numFmtId="0" fontId="189" fillId="0" borderId="0" xfId="3" applyFont="1" applyAlignment="1">
      <alignment vertical="center"/>
    </xf>
    <xf numFmtId="1" fontId="21" fillId="77" borderId="0" xfId="1" applyNumberFormat="1" applyFont="1" applyFill="1" applyAlignment="1" applyProtection="1">
      <alignment vertical="center"/>
      <protection hidden="1"/>
    </xf>
    <xf numFmtId="1" fontId="13" fillId="14" borderId="0" xfId="1" applyNumberFormat="1" applyFont="1" applyFill="1" applyAlignment="1" applyProtection="1">
      <alignment vertical="center"/>
      <protection hidden="1"/>
    </xf>
    <xf numFmtId="1" fontId="21" fillId="74" borderId="0" xfId="1" applyNumberFormat="1" applyFont="1" applyFill="1" applyAlignment="1" applyProtection="1">
      <alignment vertical="center"/>
      <protection hidden="1"/>
    </xf>
    <xf numFmtId="1" fontId="21" fillId="69" borderId="0" xfId="1" applyNumberFormat="1" applyFont="1" applyFill="1" applyAlignment="1" applyProtection="1">
      <alignment vertical="center"/>
      <protection hidden="1"/>
    </xf>
    <xf numFmtId="1" fontId="13" fillId="80" borderId="0" xfId="1" applyNumberFormat="1" applyFont="1" applyFill="1" applyAlignment="1" applyProtection="1">
      <alignment vertical="center"/>
      <protection hidden="1"/>
    </xf>
    <xf numFmtId="1" fontId="72" fillId="13" borderId="0" xfId="1" applyNumberFormat="1" applyFont="1" applyFill="1" applyAlignment="1" applyProtection="1">
      <alignment vertical="center"/>
      <protection hidden="1"/>
    </xf>
    <xf numFmtId="1" fontId="21" fillId="68" borderId="0" xfId="1" applyNumberFormat="1" applyFont="1" applyFill="1" applyAlignment="1" applyProtection="1">
      <alignment vertical="center"/>
      <protection hidden="1"/>
    </xf>
    <xf numFmtId="1" fontId="13" fillId="84" borderId="0" xfId="1" applyNumberFormat="1" applyFont="1" applyFill="1" applyAlignment="1" applyProtection="1">
      <alignment vertical="center"/>
      <protection hidden="1"/>
    </xf>
    <xf numFmtId="1" fontId="13" fillId="86" borderId="0" xfId="1" applyNumberFormat="1" applyFont="1" applyFill="1" applyAlignment="1" applyProtection="1">
      <alignment vertical="center"/>
      <protection hidden="1"/>
    </xf>
    <xf numFmtId="0" fontId="29" fillId="88" borderId="9" xfId="27" applyFont="1" applyFill="1" applyBorder="1" applyAlignment="1">
      <alignment horizontal="right" vertical="center"/>
    </xf>
    <xf numFmtId="0" fontId="24" fillId="0" borderId="0" xfId="6" applyFont="1"/>
    <xf numFmtId="0" fontId="191" fillId="8" borderId="2" xfId="1" applyFont="1" applyFill="1" applyBorder="1" applyAlignment="1" applyProtection="1">
      <alignment horizontal="center" vertical="center"/>
      <protection hidden="1"/>
    </xf>
    <xf numFmtId="0" fontId="191" fillId="8" borderId="0" xfId="1" applyFont="1" applyFill="1" applyAlignment="1" applyProtection="1">
      <alignment horizontal="center" vertical="center"/>
      <protection hidden="1"/>
    </xf>
    <xf numFmtId="0" fontId="76" fillId="8" borderId="6" xfId="1" applyFont="1" applyFill="1" applyBorder="1" applyAlignment="1" applyProtection="1">
      <alignment horizontal="left" vertical="center"/>
      <protection hidden="1"/>
    </xf>
    <xf numFmtId="0" fontId="76" fillId="8" borderId="0" xfId="1" applyFont="1" applyFill="1" applyAlignment="1" applyProtection="1">
      <alignment horizontal="left" vertical="center"/>
      <protection hidden="1"/>
    </xf>
    <xf numFmtId="0" fontId="57" fillId="8" borderId="0" xfId="6" applyFont="1" applyFill="1" applyAlignment="1">
      <alignment horizontal="left"/>
    </xf>
    <xf numFmtId="0" fontId="76" fillId="8" borderId="3" xfId="1" applyFont="1" applyFill="1" applyBorder="1" applyAlignment="1" applyProtection="1">
      <alignment horizontal="left" vertical="center"/>
      <protection hidden="1"/>
    </xf>
    <xf numFmtId="0" fontId="57" fillId="8" borderId="3" xfId="6" applyFont="1" applyFill="1" applyBorder="1" applyAlignment="1">
      <alignment horizontal="left"/>
    </xf>
    <xf numFmtId="0" fontId="76" fillId="8" borderId="3" xfId="1" applyFont="1" applyFill="1" applyBorder="1" applyAlignment="1" applyProtection="1">
      <alignment vertical="center"/>
      <protection hidden="1"/>
    </xf>
    <xf numFmtId="0" fontId="24" fillId="8" borderId="3" xfId="6" applyFont="1" applyFill="1" applyBorder="1"/>
    <xf numFmtId="169" fontId="193" fillId="97" borderId="2" xfId="29" applyNumberFormat="1" applyFont="1" applyFill="1" applyBorder="1" applyAlignment="1">
      <alignment vertical="center"/>
    </xf>
    <xf numFmtId="169" fontId="194" fillId="8" borderId="2" xfId="29" applyNumberFormat="1" applyFont="1" applyFill="1" applyBorder="1" applyAlignment="1">
      <alignment horizontal="left" vertical="center"/>
    </xf>
    <xf numFmtId="0" fontId="24" fillId="8" borderId="2" xfId="6" applyFont="1" applyFill="1" applyBorder="1"/>
    <xf numFmtId="0" fontId="195" fillId="8" borderId="0" xfId="29" applyFont="1" applyFill="1" applyAlignment="1">
      <alignment horizontal="center" vertical="center"/>
    </xf>
    <xf numFmtId="0" fontId="157" fillId="8" borderId="0" xfId="29" applyFont="1" applyFill="1" applyAlignment="1">
      <alignment horizontal="left" vertical="center"/>
    </xf>
    <xf numFmtId="0" fontId="157" fillId="8" borderId="0" xfId="29" applyFont="1" applyFill="1" applyAlignment="1">
      <alignment horizontal="center" vertical="center"/>
    </xf>
    <xf numFmtId="1" fontId="26" fillId="15" borderId="2" xfId="1" applyNumberFormat="1" applyFont="1" applyFill="1" applyBorder="1" applyAlignment="1" applyProtection="1">
      <alignment vertical="center"/>
      <protection hidden="1"/>
    </xf>
    <xf numFmtId="0" fontId="27" fillId="14" borderId="8" xfId="3" applyFont="1" applyFill="1" applyBorder="1" applyAlignment="1">
      <alignment vertical="center"/>
    </xf>
    <xf numFmtId="0" fontId="174" fillId="0" borderId="0" xfId="1" applyFont="1" applyAlignment="1" applyProtection="1">
      <alignment horizontal="center" vertical="center"/>
      <protection locked="0"/>
    </xf>
    <xf numFmtId="1" fontId="60" fillId="20" borderId="0" xfId="1" applyNumberFormat="1" applyFont="1" applyFill="1" applyAlignment="1">
      <alignment vertical="center"/>
    </xf>
    <xf numFmtId="0" fontId="174" fillId="0" borderId="6" xfId="1" applyFont="1" applyBorder="1" applyAlignment="1" applyProtection="1">
      <alignment horizontal="center" vertical="center"/>
      <protection locked="0"/>
    </xf>
    <xf numFmtId="0" fontId="6" fillId="88" borderId="0" xfId="1" applyFill="1" applyProtection="1">
      <protection hidden="1"/>
    </xf>
    <xf numFmtId="0" fontId="1" fillId="88" borderId="0" xfId="10" applyFill="1"/>
    <xf numFmtId="0" fontId="6" fillId="88" borderId="0" xfId="1" applyFill="1" applyAlignment="1">
      <alignment vertical="center"/>
    </xf>
    <xf numFmtId="0" fontId="196" fillId="88" borderId="0" xfId="1" applyFont="1" applyFill="1"/>
    <xf numFmtId="0" fontId="8" fillId="4" borderId="0" xfId="0" applyFont="1" applyFill="1" applyAlignment="1">
      <alignment horizontal="center" vertical="center"/>
    </xf>
    <xf numFmtId="0" fontId="6" fillId="0" borderId="0" xfId="1"/>
    <xf numFmtId="0" fontId="197" fillId="88" borderId="0" xfId="1" applyFont="1" applyFill="1" applyAlignment="1">
      <alignment vertical="center"/>
    </xf>
    <xf numFmtId="0" fontId="199" fillId="6" borderId="0" xfId="1" applyFont="1" applyFill="1" applyAlignment="1">
      <alignment horizontal="left" vertical="center"/>
    </xf>
    <xf numFmtId="0" fontId="200" fillId="88" borderId="0" xfId="1" applyFont="1" applyFill="1" applyAlignment="1">
      <alignment vertical="center"/>
    </xf>
    <xf numFmtId="0" fontId="201" fillId="88" borderId="0" xfId="1" applyFont="1" applyFill="1" applyAlignment="1">
      <alignment vertical="center"/>
    </xf>
    <xf numFmtId="0" fontId="202" fillId="88" borderId="0" xfId="1" applyFont="1" applyFill="1" applyAlignment="1">
      <alignment vertical="center"/>
    </xf>
    <xf numFmtId="0" fontId="199" fillId="6" borderId="0" xfId="1" applyFont="1" applyFill="1" applyAlignment="1">
      <alignment horizontal="right" vertical="center"/>
    </xf>
    <xf numFmtId="0" fontId="203" fillId="88" borderId="0" xfId="1" applyFont="1" applyFill="1" applyAlignment="1">
      <alignment horizontal="left" vertical="center"/>
    </xf>
    <xf numFmtId="0" fontId="204" fillId="88" borderId="0" xfId="1" applyFont="1" applyFill="1" applyAlignment="1">
      <alignment horizontal="left" vertical="center"/>
    </xf>
    <xf numFmtId="0" fontId="205" fillId="88" borderId="0" xfId="1" applyFont="1" applyFill="1" applyAlignment="1">
      <alignment horizontal="left" vertical="center"/>
    </xf>
    <xf numFmtId="0" fontId="206" fillId="88" borderId="0" xfId="1" applyFont="1" applyFill="1" applyAlignment="1">
      <alignment vertical="center"/>
    </xf>
    <xf numFmtId="0" fontId="207" fillId="88" borderId="0" xfId="1" applyFont="1" applyFill="1" applyAlignment="1">
      <alignment vertical="center"/>
    </xf>
    <xf numFmtId="0" fontId="200" fillId="88" borderId="0" xfId="1" applyFont="1" applyFill="1" applyAlignment="1">
      <alignment horizontal="left" vertical="center"/>
    </xf>
    <xf numFmtId="0" fontId="208" fillId="88" borderId="0" xfId="1" applyFont="1" applyFill="1" applyAlignment="1">
      <alignment horizontal="left" vertical="center"/>
    </xf>
    <xf numFmtId="0" fontId="209" fillId="88" borderId="0" xfId="1" applyFont="1" applyFill="1" applyAlignment="1" applyProtection="1">
      <alignment horizontal="left" vertical="center"/>
      <protection hidden="1"/>
    </xf>
    <xf numFmtId="0" fontId="210" fillId="43" borderId="0" xfId="17" applyFont="1" applyFill="1" applyAlignment="1" applyProtection="1">
      <alignment horizontal="left" vertical="center"/>
      <protection hidden="1"/>
    </xf>
    <xf numFmtId="0" fontId="209" fillId="43" borderId="0" xfId="1" applyFont="1" applyFill="1" applyAlignment="1" applyProtection="1">
      <alignment horizontal="left" vertical="center"/>
      <protection hidden="1"/>
    </xf>
    <xf numFmtId="0" fontId="211" fillId="43" borderId="0" xfId="10" applyFont="1" applyFill="1" applyAlignment="1">
      <alignment horizontal="left" vertical="center"/>
    </xf>
    <xf numFmtId="0" fontId="1" fillId="43" borderId="0" xfId="10" applyFill="1"/>
    <xf numFmtId="0" fontId="212" fillId="88" borderId="0" xfId="1" applyFont="1" applyFill="1" applyProtection="1">
      <protection hidden="1"/>
    </xf>
    <xf numFmtId="0" fontId="213" fillId="88" borderId="0" xfId="13" applyFont="1" applyFill="1"/>
    <xf numFmtId="0" fontId="212" fillId="88" borderId="0" xfId="1" applyFont="1" applyFill="1" applyAlignment="1">
      <alignment vertical="center"/>
    </xf>
    <xf numFmtId="0" fontId="1" fillId="88" borderId="0" xfId="13" applyFill="1"/>
    <xf numFmtId="0" fontId="214" fillId="88" borderId="0" xfId="1" applyFont="1" applyFill="1" applyAlignment="1">
      <alignment vertical="center"/>
    </xf>
    <xf numFmtId="0" fontId="208" fillId="88" borderId="0" xfId="1" applyFont="1" applyFill="1" applyAlignment="1">
      <alignment vertical="center"/>
    </xf>
    <xf numFmtId="0" fontId="209" fillId="88" borderId="0" xfId="1" applyFont="1" applyFill="1" applyProtection="1">
      <protection hidden="1"/>
    </xf>
    <xf numFmtId="0" fontId="215" fillId="88" borderId="0" xfId="1" applyFont="1" applyFill="1" applyAlignment="1">
      <alignment vertical="center"/>
    </xf>
    <xf numFmtId="0" fontId="216" fillId="88" borderId="0" xfId="1" applyFont="1" applyFill="1" applyAlignment="1">
      <alignment vertical="center"/>
    </xf>
    <xf numFmtId="0" fontId="217" fillId="88" borderId="0" xfId="1" applyFont="1" applyFill="1" applyAlignment="1">
      <alignment vertical="center"/>
    </xf>
    <xf numFmtId="0" fontId="218" fillId="88" borderId="0" xfId="1" applyFont="1" applyFill="1" applyAlignment="1">
      <alignment vertical="center"/>
    </xf>
    <xf numFmtId="0" fontId="220" fillId="88" borderId="0" xfId="1" applyFont="1" applyFill="1" applyProtection="1">
      <protection hidden="1"/>
    </xf>
    <xf numFmtId="0" fontId="221" fillId="88" borderId="0" xfId="1" applyFont="1" applyFill="1" applyAlignment="1">
      <alignment vertical="center"/>
    </xf>
    <xf numFmtId="0" fontId="222" fillId="88" borderId="0" xfId="1" applyFont="1" applyFill="1" applyAlignment="1">
      <alignment horizontal="center" vertical="center"/>
    </xf>
    <xf numFmtId="194" fontId="223" fillId="88" borderId="0" xfId="1" applyNumberFormat="1" applyFont="1" applyFill="1" applyAlignment="1">
      <alignment horizontal="center" vertical="center"/>
    </xf>
    <xf numFmtId="0" fontId="224" fillId="88" borderId="0" xfId="1" applyFont="1" applyFill="1" applyAlignment="1">
      <alignment vertical="center"/>
    </xf>
    <xf numFmtId="0" fontId="225" fillId="8" borderId="53" xfId="0" applyFont="1" applyFill="1" applyBorder="1" applyAlignment="1">
      <alignment horizontal="left" vertical="center"/>
    </xf>
    <xf numFmtId="0" fontId="225" fillId="8" borderId="5" xfId="0" applyFont="1" applyFill="1" applyBorder="1" applyAlignment="1">
      <alignment horizontal="left" vertical="center"/>
    </xf>
    <xf numFmtId="0" fontId="171" fillId="8" borderId="5" xfId="0" applyFont="1" applyFill="1" applyBorder="1" applyAlignment="1">
      <alignment horizontal="left" vertical="center"/>
    </xf>
    <xf numFmtId="0" fontId="171" fillId="8" borderId="101" xfId="0" applyFont="1" applyFill="1" applyBorder="1" applyAlignment="1">
      <alignment horizontal="left" vertical="center"/>
    </xf>
    <xf numFmtId="0" fontId="209" fillId="8" borderId="178" xfId="1" applyFont="1" applyFill="1" applyBorder="1" applyProtection="1">
      <protection hidden="1"/>
    </xf>
    <xf numFmtId="0" fontId="153" fillId="98" borderId="179" xfId="0" applyFont="1" applyFill="1" applyBorder="1" applyAlignment="1">
      <alignment vertical="top"/>
    </xf>
    <xf numFmtId="0" fontId="0" fillId="98" borderId="178" xfId="0" applyFill="1" applyBorder="1" applyAlignment="1">
      <alignment vertical="top"/>
    </xf>
    <xf numFmtId="0" fontId="0" fillId="98" borderId="137" xfId="0" applyFill="1" applyBorder="1" applyAlignment="1">
      <alignment vertical="top"/>
    </xf>
    <xf numFmtId="0" fontId="0" fillId="98" borderId="179" xfId="0" applyFill="1" applyBorder="1" applyAlignment="1">
      <alignment vertical="top"/>
    </xf>
    <xf numFmtId="0" fontId="226" fillId="88" borderId="0" xfId="1" applyFont="1" applyFill="1" applyAlignment="1">
      <alignment horizontal="left" vertical="center"/>
    </xf>
    <xf numFmtId="0" fontId="220" fillId="88" borderId="0" xfId="1" applyFont="1" applyFill="1" applyAlignment="1">
      <alignment vertical="center"/>
    </xf>
    <xf numFmtId="0" fontId="227" fillId="88" borderId="0" xfId="1" applyFont="1" applyFill="1" applyAlignment="1">
      <alignment vertical="center"/>
    </xf>
    <xf numFmtId="0" fontId="228" fillId="16" borderId="0" xfId="1" applyFont="1" applyFill="1" applyAlignment="1">
      <alignment horizontal="right" vertical="center"/>
    </xf>
    <xf numFmtId="0" fontId="80" fillId="4" borderId="0" xfId="0" applyFont="1" applyFill="1" applyAlignment="1">
      <alignment horizontal="center" vertical="center"/>
    </xf>
    <xf numFmtId="0" fontId="229" fillId="88" borderId="0" xfId="1" applyFont="1" applyFill="1" applyAlignment="1">
      <alignment horizontal="left" vertical="center"/>
    </xf>
    <xf numFmtId="0" fontId="230" fillId="88" borderId="0" xfId="1" applyFont="1" applyFill="1" applyAlignment="1">
      <alignment horizontal="left" vertical="center"/>
    </xf>
    <xf numFmtId="0" fontId="231" fillId="7" borderId="0" xfId="1" applyFont="1" applyFill="1" applyAlignment="1">
      <alignment horizontal="left" vertical="center"/>
    </xf>
    <xf numFmtId="0" fontId="143" fillId="99" borderId="35" xfId="0" applyFont="1" applyFill="1" applyBorder="1" applyAlignment="1">
      <alignment vertical="center"/>
    </xf>
    <xf numFmtId="0" fontId="232" fillId="7" borderId="0" xfId="1" applyFont="1" applyFill="1" applyAlignment="1">
      <alignment horizontal="left" vertical="center"/>
    </xf>
    <xf numFmtId="0" fontId="233" fillId="7" borderId="0" xfId="1" applyFont="1" applyFill="1" applyAlignment="1">
      <alignment horizontal="left" vertical="center"/>
    </xf>
    <xf numFmtId="0" fontId="234" fillId="7" borderId="0" xfId="17" applyFont="1" applyFill="1" applyAlignment="1">
      <alignment horizontal="left" vertical="center"/>
    </xf>
    <xf numFmtId="0" fontId="235" fillId="7" borderId="0" xfId="1" applyFont="1" applyFill="1" applyAlignment="1">
      <alignment horizontal="left" vertical="center"/>
    </xf>
    <xf numFmtId="0" fontId="234" fillId="7" borderId="0" xfId="17" applyFont="1" applyFill="1" applyAlignment="1">
      <alignment vertical="center"/>
    </xf>
    <xf numFmtId="0" fontId="6" fillId="0" borderId="0" xfId="1" applyAlignment="1">
      <alignment vertical="center"/>
    </xf>
    <xf numFmtId="0" fontId="237" fillId="88" borderId="0" xfId="31" applyFont="1" applyFill="1" applyAlignment="1" applyProtection="1">
      <alignment vertical="center"/>
    </xf>
    <xf numFmtId="0" fontId="1" fillId="88" borderId="0" xfId="2" applyFill="1"/>
    <xf numFmtId="0" fontId="238" fillId="88" borderId="0" xfId="1" applyFont="1" applyFill="1" applyAlignment="1" applyProtection="1">
      <alignment horizontal="center" vertical="center"/>
      <protection hidden="1"/>
    </xf>
    <xf numFmtId="0" fontId="238" fillId="88" borderId="0" xfId="1" applyFont="1" applyFill="1" applyAlignment="1">
      <alignment vertical="center"/>
    </xf>
    <xf numFmtId="0" fontId="219" fillId="88" borderId="0" xfId="1" applyFont="1" applyFill="1" applyAlignment="1">
      <alignment vertical="center"/>
    </xf>
    <xf numFmtId="0" fontId="153" fillId="8" borderId="0" xfId="0" applyFont="1" applyFill="1" applyAlignment="1">
      <alignment horizontal="center" vertical="center"/>
    </xf>
    <xf numFmtId="0" fontId="153" fillId="8" borderId="0" xfId="0" applyFont="1" applyFill="1" applyAlignment="1">
      <alignment vertical="center"/>
    </xf>
    <xf numFmtId="0" fontId="143" fillId="8" borderId="0" xfId="16" applyFont="1" applyFill="1" applyAlignment="1" applyProtection="1">
      <alignment horizontal="center" vertical="center"/>
      <protection locked="0"/>
    </xf>
    <xf numFmtId="0" fontId="240" fillId="8" borderId="0" xfId="0" applyFont="1" applyFill="1" applyAlignment="1">
      <alignment vertical="center"/>
    </xf>
    <xf numFmtId="0" fontId="153" fillId="0" borderId="0" xfId="0" applyFont="1"/>
    <xf numFmtId="0" fontId="241" fillId="8" borderId="0" xfId="1" applyFont="1" applyFill="1" applyAlignment="1">
      <alignment horizontal="center" vertical="center"/>
    </xf>
    <xf numFmtId="0" fontId="243" fillId="88" borderId="0" xfId="1" applyFont="1" applyFill="1" applyAlignment="1">
      <alignment vertical="center"/>
    </xf>
    <xf numFmtId="0" fontId="166" fillId="43" borderId="0" xfId="3" applyFont="1" applyFill="1" applyAlignment="1">
      <alignment vertical="center"/>
    </xf>
    <xf numFmtId="0" fontId="6" fillId="43" borderId="0" xfId="1" applyFill="1" applyAlignment="1">
      <alignment vertical="center"/>
    </xf>
    <xf numFmtId="0" fontId="119" fillId="43" borderId="0" xfId="3" applyFont="1" applyFill="1" applyAlignment="1">
      <alignment vertical="center"/>
    </xf>
    <xf numFmtId="0" fontId="244" fillId="43" borderId="0" xfId="17" applyFont="1" applyFill="1" applyAlignment="1">
      <alignment vertical="center"/>
    </xf>
    <xf numFmtId="0" fontId="166" fillId="43" borderId="0" xfId="0" applyFont="1" applyFill="1" applyAlignment="1">
      <alignment vertical="center"/>
    </xf>
    <xf numFmtId="0" fontId="25" fillId="88" borderId="0" xfId="0" applyFont="1" applyFill="1" applyAlignment="1">
      <alignment vertical="center"/>
    </xf>
    <xf numFmtId="0" fontId="245" fillId="88" borderId="0" xfId="3" applyFont="1" applyFill="1" applyAlignment="1">
      <alignment horizontal="center" vertical="center"/>
    </xf>
    <xf numFmtId="0" fontId="245" fillId="88" borderId="0" xfId="0" applyFont="1" applyFill="1"/>
    <xf numFmtId="0" fontId="246" fillId="88" borderId="0" xfId="1" applyFont="1" applyFill="1" applyAlignment="1" applyProtection="1">
      <alignment horizontal="center" vertical="center"/>
      <protection hidden="1"/>
    </xf>
    <xf numFmtId="0" fontId="247" fillId="88" borderId="0" xfId="1" applyFont="1" applyFill="1" applyAlignment="1" applyProtection="1">
      <alignment horizontal="center" vertical="center"/>
      <protection hidden="1"/>
    </xf>
    <xf numFmtId="0" fontId="248" fillId="7" borderId="0" xfId="17" applyFont="1" applyFill="1" applyAlignment="1">
      <alignment horizontal="left" vertical="center"/>
    </xf>
    <xf numFmtId="0" fontId="249" fillId="7" borderId="0" xfId="3" applyFont="1" applyFill="1" applyAlignment="1">
      <alignment horizontal="center" vertical="center"/>
    </xf>
    <xf numFmtId="0" fontId="250" fillId="7" borderId="0" xfId="0" applyFont="1" applyFill="1"/>
    <xf numFmtId="0" fontId="246" fillId="7" borderId="0" xfId="1" applyFont="1" applyFill="1" applyAlignment="1" applyProtection="1">
      <alignment horizontal="center" vertical="center"/>
      <protection hidden="1"/>
    </xf>
    <xf numFmtId="0" fontId="251" fillId="7" borderId="0" xfId="3" applyFont="1" applyFill="1" applyAlignment="1">
      <alignment horizontal="left" vertical="center"/>
    </xf>
    <xf numFmtId="0" fontId="25" fillId="88" borderId="0" xfId="3" applyFont="1" applyFill="1" applyAlignment="1">
      <alignment horizontal="left" vertical="center"/>
    </xf>
    <xf numFmtId="0" fontId="245" fillId="88" borderId="0" xfId="3" applyFont="1" applyFill="1"/>
    <xf numFmtId="0" fontId="252" fillId="88" borderId="0" xfId="0" applyFont="1" applyFill="1" applyAlignment="1">
      <alignment horizontal="left" vertical="center"/>
    </xf>
    <xf numFmtId="0" fontId="25" fillId="88" borderId="0" xfId="26" applyFont="1" applyFill="1" applyAlignment="1">
      <alignment horizontal="center" vertical="center"/>
    </xf>
    <xf numFmtId="0" fontId="25" fillId="88" borderId="0" xfId="1" applyFont="1" applyFill="1" applyAlignment="1">
      <alignment horizontal="left" vertical="center"/>
    </xf>
    <xf numFmtId="0" fontId="252" fillId="88" borderId="0" xfId="0" applyFont="1" applyFill="1" applyAlignment="1">
      <alignment horizontal="center" vertical="center"/>
    </xf>
    <xf numFmtId="0" fontId="245" fillId="88" borderId="0" xfId="3" applyFont="1" applyFill="1" applyAlignment="1">
      <alignment horizontal="left" vertical="center"/>
    </xf>
    <xf numFmtId="0" fontId="245" fillId="88" borderId="0" xfId="0" applyFont="1" applyFill="1" applyAlignment="1">
      <alignment horizontal="center" vertical="center"/>
    </xf>
    <xf numFmtId="0" fontId="250" fillId="21" borderId="0" xfId="0" applyFont="1" applyFill="1" applyAlignment="1">
      <alignment horizontal="center" vertical="center"/>
    </xf>
    <xf numFmtId="0" fontId="254" fillId="88" borderId="0" xfId="32" applyFont="1" applyFill="1" applyAlignment="1">
      <alignment vertical="center"/>
    </xf>
    <xf numFmtId="0" fontId="6" fillId="88" borderId="0" xfId="28" applyFill="1" applyAlignment="1">
      <alignment vertical="center"/>
    </xf>
    <xf numFmtId="0" fontId="196" fillId="88" borderId="0" xfId="28" applyFont="1" applyFill="1"/>
    <xf numFmtId="0" fontId="255" fillId="88" borderId="0" xfId="1" applyFont="1" applyFill="1" applyAlignment="1">
      <alignment vertical="center"/>
    </xf>
    <xf numFmtId="0" fontId="256" fillId="88" borderId="0" xfId="30" applyFont="1" applyFill="1" applyAlignment="1">
      <alignment horizontal="left" vertical="center"/>
    </xf>
    <xf numFmtId="0" fontId="255" fillId="88" borderId="0" xfId="1" applyFont="1" applyFill="1" applyAlignment="1">
      <alignment horizontal="center" vertical="center"/>
    </xf>
    <xf numFmtId="0" fontId="196" fillId="88" borderId="0" xfId="1" applyFont="1" applyFill="1" applyAlignment="1">
      <alignment vertical="center"/>
    </xf>
    <xf numFmtId="169" fontId="257" fillId="88" borderId="44" xfId="29" applyNumberFormat="1" applyFont="1" applyFill="1" applyBorder="1" applyAlignment="1">
      <alignment horizontal="center" vertical="center"/>
    </xf>
    <xf numFmtId="187" fontId="258" fillId="102" borderId="180" xfId="27" applyNumberFormat="1" applyFont="1" applyFill="1" applyBorder="1" applyAlignment="1" applyProtection="1">
      <alignment horizontal="center" vertical="center"/>
      <protection locked="0"/>
    </xf>
    <xf numFmtId="0" fontId="227" fillId="88" borderId="0" xfId="1" applyFont="1" applyFill="1" applyAlignment="1">
      <alignment horizontal="right" vertical="center"/>
    </xf>
    <xf numFmtId="0" fontId="220" fillId="88" borderId="0" xfId="1" applyFont="1" applyFill="1" applyAlignment="1">
      <alignment horizontal="center" vertical="center"/>
    </xf>
    <xf numFmtId="0" fontId="259" fillId="88" borderId="0" xfId="27" applyFont="1" applyFill="1" applyAlignment="1">
      <alignment horizontal="left" vertical="center"/>
    </xf>
    <xf numFmtId="0" fontId="260" fillId="88" borderId="0" xfId="27" applyFont="1" applyFill="1" applyAlignment="1">
      <alignment horizontal="left" vertical="center"/>
    </xf>
    <xf numFmtId="0" fontId="261" fillId="88" borderId="0" xfId="27" applyFont="1" applyFill="1" applyAlignment="1">
      <alignment horizontal="left" vertical="center"/>
    </xf>
    <xf numFmtId="0" fontId="262" fillId="88" borderId="0" xfId="27" applyFont="1" applyFill="1" applyAlignment="1">
      <alignment horizontal="left" vertical="center"/>
    </xf>
    <xf numFmtId="0" fontId="263" fillId="88" borderId="0" xfId="27" applyFont="1" applyFill="1" applyAlignment="1">
      <alignment horizontal="left" vertical="center"/>
    </xf>
    <xf numFmtId="0" fontId="264" fillId="88" borderId="0" xfId="27" applyFont="1" applyFill="1" applyAlignment="1">
      <alignment horizontal="left" vertical="center"/>
    </xf>
    <xf numFmtId="0" fontId="265" fillId="88" borderId="0" xfId="27" applyFont="1" applyFill="1" applyAlignment="1">
      <alignment horizontal="left" vertical="center"/>
    </xf>
    <xf numFmtId="0" fontId="266" fillId="88" borderId="0" xfId="27" applyFont="1" applyFill="1" applyAlignment="1">
      <alignment horizontal="left" vertical="center"/>
    </xf>
    <xf numFmtId="0" fontId="267" fillId="88" borderId="0" xfId="27" applyFont="1" applyFill="1" applyAlignment="1">
      <alignment horizontal="left" vertical="center"/>
    </xf>
    <xf numFmtId="0" fontId="268" fillId="8" borderId="0" xfId="0" applyFont="1" applyFill="1"/>
    <xf numFmtId="0" fontId="270" fillId="8" borderId="0" xfId="17" applyFont="1" applyFill="1" applyAlignment="1">
      <alignment vertical="center"/>
    </xf>
    <xf numFmtId="0" fontId="269" fillId="8" borderId="0" xfId="0" applyFont="1" applyFill="1" applyAlignment="1">
      <alignment vertical="center"/>
    </xf>
    <xf numFmtId="0" fontId="153" fillId="8" borderId="0" xfId="0" applyFont="1" applyFill="1"/>
    <xf numFmtId="0" fontId="271" fillId="8" borderId="0" xfId="0" applyFont="1" applyFill="1" applyAlignment="1">
      <alignment vertical="center"/>
    </xf>
    <xf numFmtId="0" fontId="272" fillId="88" borderId="0" xfId="1" applyFont="1" applyFill="1" applyAlignment="1" applyProtection="1">
      <alignment horizontal="center" vertical="center"/>
      <protection hidden="1"/>
    </xf>
    <xf numFmtId="0" fontId="144" fillId="8" borderId="0" xfId="0" applyFont="1" applyFill="1"/>
    <xf numFmtId="0" fontId="273" fillId="8" borderId="0" xfId="17" applyFont="1" applyFill="1"/>
    <xf numFmtId="0" fontId="273" fillId="8" borderId="0" xfId="17" applyFont="1" applyFill="1" applyAlignment="1">
      <alignment vertical="center"/>
    </xf>
    <xf numFmtId="0" fontId="274" fillId="8" borderId="0" xfId="0" applyFont="1" applyFill="1" applyAlignment="1">
      <alignment vertical="center"/>
    </xf>
    <xf numFmtId="0" fontId="275" fillId="8" borderId="0" xfId="0" applyFont="1" applyFill="1"/>
    <xf numFmtId="0" fontId="275" fillId="8" borderId="0" xfId="0" applyFont="1" applyFill="1" applyAlignment="1">
      <alignment vertical="center"/>
    </xf>
    <xf numFmtId="0" fontId="276" fillId="8" borderId="0" xfId="17" applyFont="1" applyFill="1" applyAlignment="1">
      <alignment vertical="center"/>
    </xf>
    <xf numFmtId="0" fontId="276" fillId="8" borderId="0" xfId="17" applyFont="1" applyFill="1"/>
    <xf numFmtId="0" fontId="277" fillId="8" borderId="0" xfId="0" applyFont="1" applyFill="1"/>
    <xf numFmtId="0" fontId="6" fillId="88" borderId="0" xfId="28" applyFill="1" applyProtection="1">
      <protection hidden="1"/>
    </xf>
    <xf numFmtId="0" fontId="0" fillId="8" borderId="8" xfId="0" applyFill="1" applyBorder="1"/>
    <xf numFmtId="0" fontId="111" fillId="8" borderId="7" xfId="28" applyFont="1" applyFill="1" applyBorder="1" applyAlignment="1">
      <alignment vertical="center"/>
    </xf>
    <xf numFmtId="0" fontId="111" fillId="8" borderId="2" xfId="28" applyFont="1" applyFill="1" applyBorder="1" applyAlignment="1">
      <alignment vertical="center"/>
    </xf>
    <xf numFmtId="0" fontId="111" fillId="8" borderId="8" xfId="28" applyFont="1" applyFill="1" applyBorder="1" applyAlignment="1">
      <alignment vertical="center"/>
    </xf>
    <xf numFmtId="0" fontId="6" fillId="0" borderId="0" xfId="28"/>
    <xf numFmtId="0" fontId="87" fillId="8" borderId="6" xfId="2" applyFont="1" applyFill="1" applyBorder="1" applyAlignment="1">
      <alignment vertical="center"/>
    </xf>
    <xf numFmtId="0" fontId="26" fillId="8" borderId="0" xfId="2" applyFont="1" applyFill="1" applyAlignment="1">
      <alignment horizontal="center"/>
    </xf>
    <xf numFmtId="0" fontId="111" fillId="8" borderId="6" xfId="28" applyFont="1" applyFill="1" applyBorder="1" applyAlignment="1">
      <alignment vertical="center"/>
    </xf>
    <xf numFmtId="0" fontId="111" fillId="8" borderId="0" xfId="28" applyFont="1" applyFill="1" applyAlignment="1">
      <alignment vertical="center"/>
    </xf>
    <xf numFmtId="0" fontId="111" fillId="8" borderId="9" xfId="28" applyFont="1" applyFill="1" applyBorder="1" applyAlignment="1">
      <alignment vertical="center"/>
    </xf>
    <xf numFmtId="0" fontId="87" fillId="8" borderId="0" xfId="2" applyFont="1" applyFill="1" applyAlignment="1">
      <alignment vertical="center" wrapText="1"/>
    </xf>
    <xf numFmtId="0" fontId="87" fillId="8" borderId="9" xfId="2" applyFont="1" applyFill="1" applyBorder="1" applyAlignment="1">
      <alignment vertical="center" wrapText="1"/>
    </xf>
    <xf numFmtId="0" fontId="6" fillId="8" borderId="6" xfId="28" applyFill="1" applyBorder="1"/>
    <xf numFmtId="0" fontId="6" fillId="8" borderId="0" xfId="28" applyFill="1"/>
    <xf numFmtId="0" fontId="6" fillId="8" borderId="9" xfId="28" applyFill="1" applyBorder="1"/>
    <xf numFmtId="0" fontId="87" fillId="8" borderId="0" xfId="2" applyFont="1" applyFill="1" applyAlignment="1">
      <alignment vertical="center"/>
    </xf>
    <xf numFmtId="0" fontId="1" fillId="8" borderId="0" xfId="2" applyFill="1"/>
    <xf numFmtId="0" fontId="0" fillId="8" borderId="58" xfId="0" applyFill="1" applyBorder="1"/>
    <xf numFmtId="0" fontId="0" fillId="8" borderId="3" xfId="0" applyFill="1" applyBorder="1"/>
    <xf numFmtId="0" fontId="0" fillId="8" borderId="59" xfId="0" applyFill="1" applyBorder="1"/>
    <xf numFmtId="169" fontId="280" fillId="43" borderId="0" xfId="29" applyNumberFormat="1" applyFont="1" applyFill="1" applyAlignment="1">
      <alignment horizontal="left" vertical="center"/>
    </xf>
    <xf numFmtId="0" fontId="6" fillId="43" borderId="0" xfId="1" applyFill="1" applyAlignment="1" applyProtection="1">
      <alignment horizontal="left"/>
      <protection hidden="1"/>
    </xf>
    <xf numFmtId="0" fontId="1" fillId="43" borderId="0" xfId="10" applyFill="1" applyAlignment="1">
      <alignment horizontal="left"/>
    </xf>
    <xf numFmtId="0" fontId="245" fillId="88" borderId="0" xfId="1" applyFont="1" applyFill="1" applyAlignment="1" applyProtection="1">
      <alignment horizontal="left" vertical="center"/>
      <protection hidden="1"/>
    </xf>
    <xf numFmtId="0" fontId="281" fillId="88" borderId="0" xfId="1" applyFont="1" applyFill="1" applyProtection="1">
      <protection hidden="1"/>
    </xf>
    <xf numFmtId="0" fontId="255" fillId="88" borderId="0" xfId="2" applyFont="1" applyFill="1" applyAlignment="1">
      <alignment vertical="center"/>
    </xf>
    <xf numFmtId="0" fontId="29" fillId="88" borderId="0" xfId="2" applyFont="1" applyFill="1" applyAlignment="1">
      <alignment vertical="center"/>
    </xf>
    <xf numFmtId="0" fontId="25" fillId="88" borderId="0" xfId="1" applyFont="1" applyFill="1" applyAlignment="1" applyProtection="1">
      <alignment vertical="center"/>
      <protection hidden="1"/>
    </xf>
    <xf numFmtId="0" fontId="71" fillId="88" borderId="0" xfId="2" applyFont="1" applyFill="1"/>
    <xf numFmtId="0" fontId="245" fillId="88" borderId="0" xfId="27" applyFont="1" applyFill="1" applyAlignment="1">
      <alignment horizontal="left" vertical="center"/>
    </xf>
    <xf numFmtId="0" fontId="245" fillId="88" borderId="0" xfId="8" applyFont="1" applyFill="1" applyAlignment="1">
      <alignment horizontal="left" vertical="center"/>
    </xf>
    <xf numFmtId="0" fontId="248" fillId="43" borderId="0" xfId="17" applyFont="1" applyFill="1" applyBorder="1" applyAlignment="1">
      <alignment vertical="center"/>
    </xf>
    <xf numFmtId="0" fontId="282" fillId="88" borderId="0" xfId="27" applyFont="1" applyFill="1" applyAlignment="1">
      <alignment horizontal="left" vertical="center"/>
    </xf>
    <xf numFmtId="0" fontId="283" fillId="7" borderId="0" xfId="0" applyFont="1" applyFill="1" applyAlignment="1">
      <alignment horizontal="center" vertical="center"/>
    </xf>
    <xf numFmtId="0" fontId="255" fillId="88" borderId="0" xfId="0" applyFont="1" applyFill="1" applyAlignment="1">
      <alignment horizontal="center" vertical="center"/>
    </xf>
    <xf numFmtId="0" fontId="284" fillId="7" borderId="0" xfId="8" applyFont="1" applyFill="1" applyAlignment="1">
      <alignment horizontal="center" vertical="center"/>
    </xf>
    <xf numFmtId="0" fontId="285" fillId="7" borderId="0" xfId="27" applyFont="1" applyFill="1" applyAlignment="1">
      <alignment horizontal="center" vertical="center"/>
    </xf>
    <xf numFmtId="0" fontId="286" fillId="88" borderId="0" xfId="1" applyFont="1" applyFill="1" applyAlignment="1">
      <alignment horizontal="center" vertical="center"/>
    </xf>
    <xf numFmtId="0" fontId="250" fillId="88" borderId="0" xfId="2" applyFont="1" applyFill="1"/>
    <xf numFmtId="0" fontId="286" fillId="88" borderId="0" xfId="1" applyFont="1" applyFill="1" applyAlignment="1">
      <alignment vertical="center"/>
    </xf>
    <xf numFmtId="0" fontId="204" fillId="88" borderId="0" xfId="32" applyFont="1" applyFill="1" applyAlignment="1">
      <alignment vertical="center"/>
    </xf>
    <xf numFmtId="0" fontId="287" fillId="7" borderId="0" xfId="17" applyFont="1" applyFill="1" applyAlignment="1">
      <alignment vertical="center"/>
    </xf>
    <xf numFmtId="0" fontId="6" fillId="7" borderId="0" xfId="28" applyFill="1" applyAlignment="1">
      <alignment vertical="center"/>
    </xf>
    <xf numFmtId="0" fontId="6" fillId="7" borderId="0" xfId="1" applyFill="1" applyAlignment="1">
      <alignment vertical="center"/>
    </xf>
    <xf numFmtId="0" fontId="6" fillId="0" borderId="0" xfId="28" applyAlignment="1">
      <alignment vertical="center"/>
    </xf>
    <xf numFmtId="0" fontId="288" fillId="88" borderId="0" xfId="28" applyFont="1" applyFill="1" applyAlignment="1">
      <alignment horizontal="center" vertical="center"/>
    </xf>
    <xf numFmtId="0" fontId="288" fillId="88" borderId="0" xfId="28" quotePrefix="1" applyFont="1" applyFill="1" applyAlignment="1">
      <alignment horizontal="center" vertical="center"/>
    </xf>
    <xf numFmtId="0" fontId="289" fillId="88" borderId="0" xfId="0" applyFont="1" applyFill="1" applyAlignment="1">
      <alignment horizontal="right" vertical="center"/>
    </xf>
    <xf numFmtId="0" fontId="290" fillId="88" borderId="0" xfId="0" applyFont="1" applyFill="1" applyAlignment="1">
      <alignment vertical="center"/>
    </xf>
    <xf numFmtId="0" fontId="32" fillId="88" borderId="0" xfId="0" applyFont="1" applyFill="1" applyAlignment="1">
      <alignment horizontal="center" vertical="center"/>
    </xf>
    <xf numFmtId="0" fontId="245" fillId="88" borderId="0" xfId="28" applyFont="1" applyFill="1" applyAlignment="1" applyProtection="1">
      <alignment vertical="center"/>
      <protection hidden="1"/>
    </xf>
    <xf numFmtId="0" fontId="41" fillId="88" borderId="0" xfId="0" applyFont="1" applyFill="1" applyAlignment="1">
      <alignment horizontal="left" vertical="top"/>
    </xf>
    <xf numFmtId="0" fontId="291" fillId="65" borderId="0" xfId="1" applyFont="1" applyFill="1" applyAlignment="1">
      <alignment horizontal="center" vertical="center"/>
    </xf>
    <xf numFmtId="0" fontId="292" fillId="65" borderId="0" xfId="1" applyFont="1" applyFill="1" applyAlignment="1">
      <alignment horizontal="center" vertical="center"/>
    </xf>
    <xf numFmtId="0" fontId="293" fillId="65" borderId="0" xfId="1" applyFont="1" applyFill="1" applyAlignment="1">
      <alignment horizontal="center" vertical="center"/>
    </xf>
    <xf numFmtId="0" fontId="294" fillId="65" borderId="0" xfId="1" applyFont="1" applyFill="1" applyAlignment="1">
      <alignment horizontal="center" vertical="center"/>
    </xf>
    <xf numFmtId="0" fontId="295" fillId="65" borderId="0" xfId="1" applyFont="1" applyFill="1" applyAlignment="1">
      <alignment horizontal="center" vertical="center"/>
    </xf>
    <xf numFmtId="0" fontId="296" fillId="65" borderId="0" xfId="1" applyFont="1" applyFill="1" applyAlignment="1">
      <alignment horizontal="center" vertical="center"/>
    </xf>
    <xf numFmtId="0" fontId="297" fillId="65" borderId="0" xfId="1" applyFont="1" applyFill="1" applyAlignment="1">
      <alignment horizontal="center" vertical="center"/>
    </xf>
    <xf numFmtId="0" fontId="298" fillId="65" borderId="0" xfId="1" applyFont="1" applyFill="1" applyAlignment="1">
      <alignment horizontal="center" vertical="center"/>
    </xf>
    <xf numFmtId="0" fontId="299" fillId="65" borderId="0" xfId="1" applyFont="1" applyFill="1" applyAlignment="1">
      <alignment horizontal="center" vertical="center"/>
    </xf>
    <xf numFmtId="0" fontId="300" fillId="65" borderId="0" xfId="1" applyFont="1" applyFill="1" applyAlignment="1">
      <alignment horizontal="center" vertical="center"/>
    </xf>
    <xf numFmtId="0" fontId="301" fillId="65" borderId="0" xfId="1" applyFont="1" applyFill="1" applyAlignment="1">
      <alignment horizontal="center" vertical="center"/>
    </xf>
    <xf numFmtId="0" fontId="302" fillId="65" borderId="0" xfId="1" applyFont="1" applyFill="1" applyAlignment="1">
      <alignment horizontal="center" vertical="center"/>
    </xf>
    <xf numFmtId="0" fontId="303" fillId="65" borderId="0" xfId="1" applyFont="1" applyFill="1" applyAlignment="1">
      <alignment horizontal="center" vertical="center"/>
    </xf>
    <xf numFmtId="0" fontId="304" fillId="65" borderId="0" xfId="1" applyFont="1" applyFill="1" applyAlignment="1">
      <alignment horizontal="center" vertical="center"/>
    </xf>
    <xf numFmtId="0" fontId="305" fillId="65" borderId="0" xfId="1" applyFont="1" applyFill="1" applyAlignment="1">
      <alignment horizontal="center" vertical="center"/>
    </xf>
    <xf numFmtId="0" fontId="306" fillId="65" borderId="0" xfId="1" applyFont="1" applyFill="1" applyAlignment="1">
      <alignment horizontal="center" vertical="center"/>
    </xf>
    <xf numFmtId="0" fontId="307" fillId="65" borderId="0" xfId="1" applyFont="1" applyFill="1" applyAlignment="1">
      <alignment horizontal="center" vertical="center"/>
    </xf>
    <xf numFmtId="0" fontId="308" fillId="65" borderId="0" xfId="1" applyFont="1" applyFill="1" applyAlignment="1">
      <alignment horizontal="center" vertical="center"/>
    </xf>
    <xf numFmtId="0" fontId="283" fillId="8" borderId="6" xfId="1" applyFont="1" applyFill="1" applyBorder="1" applyAlignment="1">
      <alignment horizontal="center" vertical="center"/>
    </xf>
    <xf numFmtId="0" fontId="310" fillId="0" borderId="135" xfId="33" applyFont="1" applyBorder="1" applyAlignment="1">
      <alignment horizontal="center" vertical="center"/>
    </xf>
    <xf numFmtId="182" fontId="311" fillId="103" borderId="181" xfId="1" applyNumberFormat="1" applyFont="1" applyFill="1" applyBorder="1" applyAlignment="1">
      <alignment horizontal="center" vertical="center"/>
    </xf>
    <xf numFmtId="0" fontId="312" fillId="104" borderId="6" xfId="1" applyFont="1" applyFill="1" applyBorder="1" applyAlignment="1">
      <alignment horizontal="center" vertical="center"/>
    </xf>
    <xf numFmtId="0" fontId="312" fillId="105" borderId="6" xfId="1" applyFont="1" applyFill="1" applyBorder="1" applyAlignment="1">
      <alignment horizontal="center" vertical="center"/>
    </xf>
    <xf numFmtId="0" fontId="243" fillId="88" borderId="0" xfId="28" applyFont="1" applyFill="1" applyAlignment="1">
      <alignment vertical="center"/>
    </xf>
    <xf numFmtId="0" fontId="313" fillId="8" borderId="0" xfId="28" applyFont="1" applyFill="1" applyAlignment="1">
      <alignment vertical="center"/>
    </xf>
    <xf numFmtId="0" fontId="6" fillId="8" borderId="0" xfId="28" applyFill="1" applyProtection="1">
      <protection hidden="1"/>
    </xf>
    <xf numFmtId="0" fontId="314" fillId="8" borderId="6" xfId="28" applyFont="1" applyFill="1" applyBorder="1" applyAlignment="1">
      <alignment vertical="center"/>
    </xf>
    <xf numFmtId="0" fontId="6" fillId="8" borderId="0" xfId="28" applyFill="1" applyAlignment="1">
      <alignment vertical="center"/>
    </xf>
    <xf numFmtId="0" fontId="255" fillId="71" borderId="0" xfId="0" applyFont="1" applyFill="1" applyAlignment="1">
      <alignment horizontal="center" vertical="center"/>
    </xf>
    <xf numFmtId="189" fontId="315" fillId="8" borderId="0" xfId="28" applyNumberFormat="1" applyFont="1" applyFill="1" applyAlignment="1">
      <alignment vertical="center"/>
    </xf>
    <xf numFmtId="0" fontId="314" fillId="8" borderId="0" xfId="28" applyFont="1" applyFill="1" applyAlignment="1">
      <alignment horizontal="left" vertical="center"/>
    </xf>
    <xf numFmtId="0" fontId="6" fillId="0" borderId="0" xfId="28" applyProtection="1">
      <protection hidden="1"/>
    </xf>
    <xf numFmtId="0" fontId="316" fillId="106" borderId="0" xfId="28" applyFont="1" applyFill="1" applyAlignment="1">
      <alignment horizontal="center" vertical="center"/>
    </xf>
    <xf numFmtId="0" fontId="317" fillId="4" borderId="9" xfId="28" applyFont="1" applyFill="1" applyBorder="1" applyAlignment="1">
      <alignment horizontal="center" vertical="center"/>
    </xf>
    <xf numFmtId="0" fontId="317" fillId="4" borderId="0" xfId="28" applyFont="1" applyFill="1" applyAlignment="1">
      <alignment horizontal="center" vertical="center"/>
    </xf>
    <xf numFmtId="0" fontId="220" fillId="88" borderId="0" xfId="28" applyFont="1" applyFill="1" applyAlignment="1">
      <alignment vertical="center"/>
    </xf>
    <xf numFmtId="0" fontId="220" fillId="88" borderId="6" xfId="28" applyFont="1" applyFill="1" applyBorder="1" applyAlignment="1">
      <alignment vertical="center"/>
    </xf>
    <xf numFmtId="0" fontId="318" fillId="8" borderId="0" xfId="28" applyFont="1" applyFill="1" applyAlignment="1">
      <alignment horizontal="center" vertical="center"/>
    </xf>
    <xf numFmtId="0" fontId="220" fillId="88" borderId="0" xfId="28" applyFont="1" applyFill="1" applyAlignment="1">
      <alignment horizontal="right" vertical="center"/>
    </xf>
    <xf numFmtId="0" fontId="10" fillId="43" borderId="0" xfId="1" applyFont="1" applyFill="1" applyAlignment="1">
      <alignment horizontal="center" vertical="center"/>
    </xf>
    <xf numFmtId="0" fontId="108" fillId="8" borderId="0" xfId="0" applyFont="1" applyFill="1" applyAlignment="1">
      <alignment horizontal="left" vertical="center"/>
    </xf>
    <xf numFmtId="0" fontId="78" fillId="45" borderId="0" xfId="16" applyFont="1" applyFill="1" applyAlignment="1" applyProtection="1">
      <alignment horizontal="right" vertical="center"/>
      <protection locked="0"/>
    </xf>
    <xf numFmtId="0" fontId="212" fillId="8" borderId="0" xfId="1" applyFont="1" applyFill="1" applyAlignment="1" applyProtection="1">
      <alignment vertical="center"/>
      <protection hidden="1"/>
    </xf>
    <xf numFmtId="0" fontId="287" fillId="8" borderId="0" xfId="17" applyFont="1" applyFill="1" applyAlignment="1">
      <alignment vertical="center"/>
    </xf>
    <xf numFmtId="0" fontId="213" fillId="8" borderId="0" xfId="13" applyFont="1" applyFill="1" applyAlignment="1">
      <alignment vertical="center"/>
    </xf>
    <xf numFmtId="0" fontId="319" fillId="8" borderId="0" xfId="0" applyFont="1" applyFill="1"/>
    <xf numFmtId="0" fontId="271" fillId="8" borderId="0" xfId="0" applyFont="1" applyFill="1"/>
    <xf numFmtId="0" fontId="269" fillId="8" borderId="0" xfId="0" applyFont="1" applyFill="1"/>
    <xf numFmtId="169" fontId="279" fillId="27" borderId="0" xfId="29" applyNumberFormat="1" applyFont="1" applyFill="1" applyAlignment="1">
      <alignment vertical="center"/>
    </xf>
    <xf numFmtId="0" fontId="204" fillId="88" borderId="0" xfId="32" applyFont="1" applyFill="1" applyAlignment="1">
      <alignment horizontal="right" vertical="center"/>
    </xf>
    <xf numFmtId="0" fontId="240" fillId="44" borderId="0" xfId="16" applyFont="1" applyFill="1" applyAlignment="1" applyProtection="1">
      <alignment vertical="center"/>
      <protection locked="0"/>
    </xf>
    <xf numFmtId="0" fontId="26" fillId="25" borderId="0" xfId="16" applyFont="1" applyFill="1" applyAlignment="1" applyProtection="1">
      <alignment vertical="center"/>
      <protection locked="0"/>
    </xf>
    <xf numFmtId="0" fontId="87" fillId="48" borderId="0" xfId="0" applyFont="1" applyFill="1" applyAlignment="1">
      <alignment vertical="center"/>
    </xf>
    <xf numFmtId="0" fontId="242" fillId="8" borderId="0" xfId="0" applyFont="1" applyFill="1" applyAlignment="1">
      <alignment vertical="center"/>
    </xf>
    <xf numFmtId="0" fontId="44" fillId="44" borderId="0" xfId="16" applyFont="1" applyFill="1" applyAlignment="1" applyProtection="1">
      <alignment vertical="center"/>
      <protection locked="0"/>
    </xf>
    <xf numFmtId="0" fontId="37" fillId="8" borderId="0" xfId="0" applyFont="1" applyFill="1" applyAlignment="1">
      <alignment horizontal="center" vertical="center"/>
    </xf>
    <xf numFmtId="174" fontId="24" fillId="47" borderId="0" xfId="1" applyNumberFormat="1" applyFont="1" applyFill="1" applyAlignment="1">
      <alignment horizontal="center" vertical="center"/>
    </xf>
    <xf numFmtId="169" fontId="84" fillId="45" borderId="0" xfId="16" applyNumberFormat="1" applyFont="1" applyFill="1" applyAlignment="1" applyProtection="1">
      <alignment horizontal="center" vertical="center"/>
      <protection locked="0"/>
    </xf>
    <xf numFmtId="168" fontId="36" fillId="45" borderId="0" xfId="1" applyNumberFormat="1" applyFont="1" applyFill="1" applyAlignment="1">
      <alignment horizontal="center" vertical="center"/>
    </xf>
    <xf numFmtId="0" fontId="69" fillId="44" borderId="0" xfId="16" applyFont="1" applyFill="1" applyAlignment="1" applyProtection="1">
      <alignment vertical="center"/>
      <protection locked="0"/>
    </xf>
    <xf numFmtId="0" fontId="69" fillId="8" borderId="0" xfId="1" applyFont="1" applyFill="1" applyAlignment="1">
      <alignment horizontal="left" vertical="center"/>
    </xf>
    <xf numFmtId="0" fontId="143" fillId="25" borderId="0" xfId="16" applyFont="1" applyFill="1" applyAlignment="1" applyProtection="1">
      <alignment vertical="center"/>
      <protection locked="0"/>
    </xf>
    <xf numFmtId="0" fontId="144" fillId="48" borderId="0" xfId="0" applyFont="1" applyFill="1" applyAlignment="1">
      <alignment vertical="center"/>
    </xf>
    <xf numFmtId="0" fontId="239" fillId="8" borderId="36" xfId="1" applyFont="1" applyFill="1" applyBorder="1" applyAlignment="1" applyProtection="1">
      <alignment horizontal="left" vertical="center"/>
      <protection locked="0"/>
    </xf>
    <xf numFmtId="0" fontId="26" fillId="25" borderId="36" xfId="16" applyFont="1" applyFill="1" applyBorder="1" applyAlignment="1" applyProtection="1">
      <alignment vertical="center"/>
      <protection locked="0"/>
    </xf>
    <xf numFmtId="0" fontId="87" fillId="48" borderId="36" xfId="0" applyFont="1" applyFill="1" applyBorder="1" applyAlignment="1">
      <alignment vertical="center"/>
    </xf>
    <xf numFmtId="1" fontId="44" fillId="8" borderId="35" xfId="5" applyNumberFormat="1" applyFont="1" applyFill="1" applyBorder="1" applyAlignment="1">
      <alignment vertical="center"/>
    </xf>
    <xf numFmtId="0" fontId="242" fillId="8" borderId="36" xfId="0" applyFont="1" applyFill="1" applyBorder="1" applyAlignment="1">
      <alignment vertical="center"/>
    </xf>
    <xf numFmtId="1" fontId="38" fillId="7" borderId="38" xfId="5" applyNumberFormat="1" applyFont="1" applyFill="1" applyBorder="1" applyAlignment="1">
      <alignment vertical="center"/>
    </xf>
    <xf numFmtId="168" fontId="44" fillId="100" borderId="56" xfId="1" applyNumberFormat="1" applyFont="1" applyFill="1" applyBorder="1" applyAlignment="1">
      <alignment vertical="center"/>
    </xf>
    <xf numFmtId="0" fontId="240" fillId="7" borderId="56" xfId="0" applyFont="1" applyFill="1" applyBorder="1" applyAlignment="1">
      <alignment vertical="center"/>
    </xf>
    <xf numFmtId="174" fontId="66" fillId="101" borderId="56" xfId="1" applyNumberFormat="1" applyFont="1" applyFill="1" applyBorder="1" applyAlignment="1">
      <alignment vertical="center"/>
    </xf>
    <xf numFmtId="0" fontId="144" fillId="7" borderId="56" xfId="0" applyFont="1" applyFill="1" applyBorder="1" applyAlignment="1">
      <alignment vertical="center"/>
    </xf>
    <xf numFmtId="0" fontId="143" fillId="101" borderId="56" xfId="1" applyFont="1" applyFill="1" applyBorder="1" applyAlignment="1">
      <alignment vertical="center"/>
    </xf>
    <xf numFmtId="0" fontId="153" fillId="7" borderId="56" xfId="0" applyFont="1" applyFill="1" applyBorder="1" applyAlignment="1">
      <alignment vertical="center"/>
    </xf>
    <xf numFmtId="0" fontId="153" fillId="7" borderId="56" xfId="0" applyFont="1" applyFill="1" applyBorder="1" applyAlignment="1">
      <alignment horizontal="center" vertical="center"/>
    </xf>
    <xf numFmtId="0" fontId="241" fillId="7" borderId="56" xfId="1" applyFont="1" applyFill="1" applyBorder="1" applyAlignment="1">
      <alignment horizontal="center" vertical="center"/>
    </xf>
    <xf numFmtId="0" fontId="242" fillId="7" borderId="56" xfId="0" applyFont="1" applyFill="1" applyBorder="1" applyAlignment="1">
      <alignment vertical="center" wrapText="1"/>
    </xf>
    <xf numFmtId="0" fontId="242" fillId="7" borderId="40" xfId="0" applyFont="1" applyFill="1" applyBorder="1" applyAlignment="1">
      <alignment vertical="center" wrapText="1"/>
    </xf>
    <xf numFmtId="0" fontId="69" fillId="8" borderId="0" xfId="0" applyFont="1" applyFill="1" applyAlignment="1">
      <alignment vertical="center"/>
    </xf>
    <xf numFmtId="0" fontId="69" fillId="44" borderId="0" xfId="16" applyFont="1" applyFill="1" applyAlignment="1" applyProtection="1">
      <alignment horizontal="center" vertical="center" wrapText="1"/>
      <protection locked="0"/>
    </xf>
    <xf numFmtId="0" fontId="24" fillId="44" borderId="0" xfId="16" applyFont="1" applyFill="1" applyAlignment="1" applyProtection="1">
      <alignment horizontal="center" vertical="center" wrapText="1"/>
      <protection locked="0"/>
    </xf>
    <xf numFmtId="0" fontId="0" fillId="8" borderId="2" xfId="0" applyFill="1" applyBorder="1"/>
    <xf numFmtId="0" fontId="108" fillId="8" borderId="0" xfId="2" applyFont="1" applyFill="1" applyAlignment="1">
      <alignment vertical="center"/>
    </xf>
    <xf numFmtId="0" fontId="71" fillId="8" borderId="0" xfId="2" applyFont="1" applyFill="1" applyAlignment="1">
      <alignment vertical="top"/>
    </xf>
    <xf numFmtId="0" fontId="209" fillId="88" borderId="0" xfId="28" applyFont="1" applyFill="1" applyProtection="1">
      <protection hidden="1"/>
    </xf>
    <xf numFmtId="0" fontId="210" fillId="8" borderId="0" xfId="17" applyFont="1" applyFill="1" applyAlignment="1" applyProtection="1">
      <alignment vertical="center"/>
      <protection hidden="1"/>
    </xf>
    <xf numFmtId="0" fontId="209" fillId="8" borderId="0" xfId="28" applyFont="1" applyFill="1" applyProtection="1">
      <protection hidden="1"/>
    </xf>
    <xf numFmtId="164" fontId="48" fillId="7" borderId="0" xfId="1" applyNumberFormat="1" applyFont="1" applyFill="1" applyAlignment="1">
      <alignment horizontal="center" vertical="center"/>
    </xf>
    <xf numFmtId="167" fontId="59" fillId="26" borderId="19" xfId="1" applyNumberFormat="1" applyFont="1" applyFill="1" applyBorder="1" applyAlignment="1">
      <alignment horizontal="center" vertical="center"/>
    </xf>
    <xf numFmtId="1" fontId="59" fillId="20" borderId="182" xfId="1" applyNumberFormat="1" applyFont="1" applyFill="1" applyBorder="1" applyAlignment="1">
      <alignment horizontal="center" vertical="center"/>
    </xf>
    <xf numFmtId="1" fontId="60" fillId="20" borderId="13" xfId="1" applyNumberFormat="1" applyFont="1" applyFill="1" applyBorder="1" applyAlignment="1">
      <alignment horizontal="center" vertical="center"/>
    </xf>
    <xf numFmtId="167" fontId="70" fillId="20" borderId="14" xfId="1" applyNumberFormat="1" applyFont="1" applyFill="1" applyBorder="1" applyAlignment="1">
      <alignment horizontal="center" vertical="center"/>
    </xf>
    <xf numFmtId="0" fontId="4" fillId="15" borderId="0" xfId="0" applyFont="1" applyFill="1" applyAlignment="1">
      <alignment vertical="center"/>
    </xf>
    <xf numFmtId="0" fontId="320" fillId="15" borderId="0" xfId="17" applyFont="1" applyFill="1" applyAlignment="1">
      <alignment vertical="center"/>
    </xf>
    <xf numFmtId="0" fontId="105" fillId="15" borderId="0" xfId="0" applyFont="1" applyFill="1" applyAlignment="1">
      <alignment vertical="center"/>
    </xf>
    <xf numFmtId="0" fontId="321" fillId="8" borderId="48" xfId="17" applyFont="1" applyFill="1" applyBorder="1" applyAlignment="1">
      <alignment vertical="center"/>
    </xf>
    <xf numFmtId="0" fontId="166" fillId="15" borderId="0" xfId="3" applyFont="1" applyFill="1" applyAlignment="1">
      <alignment horizontal="left" vertical="center"/>
    </xf>
    <xf numFmtId="0" fontId="322" fillId="15" borderId="0" xfId="6" applyFont="1" applyFill="1" applyAlignment="1">
      <alignment horizontal="center" vertical="center"/>
    </xf>
    <xf numFmtId="0" fontId="323" fillId="15" borderId="0" xfId="1" applyFont="1" applyFill="1" applyAlignment="1">
      <alignment horizontal="center" vertical="center"/>
    </xf>
    <xf numFmtId="0" fontId="324" fillId="15" borderId="0" xfId="1" applyFont="1" applyFill="1" applyAlignment="1">
      <alignment horizontal="center" vertical="center"/>
    </xf>
    <xf numFmtId="0" fontId="80" fillId="15" borderId="0" xfId="26" applyFont="1" applyFill="1" applyAlignment="1">
      <alignment vertical="center"/>
    </xf>
    <xf numFmtId="0" fontId="80" fillId="15" borderId="0" xfId="3" applyFont="1" applyFill="1" applyAlignment="1">
      <alignment horizontal="left" vertical="center"/>
    </xf>
    <xf numFmtId="0" fontId="325" fillId="15" borderId="0" xfId="3" applyFont="1" applyFill="1"/>
    <xf numFmtId="0" fontId="326" fillId="15" borderId="16" xfId="26" applyFont="1" applyFill="1" applyBorder="1" applyAlignment="1">
      <alignment vertical="center"/>
    </xf>
    <xf numFmtId="0" fontId="326" fillId="15" borderId="0" xfId="26" applyFont="1" applyFill="1" applyAlignment="1">
      <alignment horizontal="left" vertical="center" wrapText="1"/>
    </xf>
    <xf numFmtId="0" fontId="328" fillId="15" borderId="0" xfId="26" applyFont="1" applyFill="1" applyAlignment="1">
      <alignment vertical="center"/>
    </xf>
    <xf numFmtId="0" fontId="329" fillId="107" borderId="134" xfId="13" applyFont="1" applyFill="1" applyBorder="1" applyAlignment="1">
      <alignment horizontal="center" vertical="center"/>
    </xf>
    <xf numFmtId="0" fontId="55" fillId="107" borderId="134" xfId="13" applyFont="1" applyFill="1" applyBorder="1" applyAlignment="1">
      <alignment horizontal="center" vertical="center"/>
    </xf>
    <xf numFmtId="0" fontId="330" fillId="107" borderId="134" xfId="1" applyFont="1" applyFill="1" applyBorder="1" applyAlignment="1">
      <alignment vertical="center"/>
    </xf>
    <xf numFmtId="0" fontId="331" fillId="107" borderId="134" xfId="1" applyFont="1" applyFill="1" applyBorder="1" applyAlignment="1">
      <alignment vertical="center"/>
    </xf>
    <xf numFmtId="0" fontId="331" fillId="107" borderId="134" xfId="10" applyFont="1" applyFill="1" applyBorder="1" applyAlignment="1">
      <alignment vertical="center"/>
    </xf>
    <xf numFmtId="0" fontId="329" fillId="107" borderId="134" xfId="1" applyFont="1" applyFill="1" applyBorder="1" applyAlignment="1">
      <alignment vertical="center"/>
    </xf>
    <xf numFmtId="0" fontId="331" fillId="107" borderId="134" xfId="1" applyFont="1" applyFill="1" applyBorder="1" applyAlignment="1" applyProtection="1">
      <alignment vertical="center"/>
      <protection hidden="1"/>
    </xf>
    <xf numFmtId="0" fontId="331" fillId="107" borderId="134" xfId="4" applyFont="1" applyFill="1" applyBorder="1" applyAlignment="1">
      <alignment vertical="center"/>
    </xf>
    <xf numFmtId="0" fontId="331" fillId="107" borderId="134" xfId="1" applyFont="1" applyFill="1" applyBorder="1" applyAlignment="1">
      <alignment horizontal="right" vertical="center"/>
    </xf>
    <xf numFmtId="0" fontId="71" fillId="7" borderId="1" xfId="4" applyFont="1" applyFill="1" applyBorder="1" applyAlignment="1">
      <alignment horizontal="center" vertical="center"/>
    </xf>
    <xf numFmtId="0" fontId="37" fillId="7" borderId="16" xfId="0" applyFont="1" applyFill="1" applyBorder="1" applyAlignment="1">
      <alignment horizontal="center" vertical="center"/>
    </xf>
    <xf numFmtId="0" fontId="71" fillId="7" borderId="133" xfId="4" applyFont="1" applyFill="1" applyBorder="1" applyAlignment="1">
      <alignment horizontal="center" vertical="center"/>
    </xf>
    <xf numFmtId="0" fontId="332" fillId="8" borderId="9" xfId="1" applyFont="1" applyFill="1" applyBorder="1" applyAlignment="1">
      <alignment horizontal="right" vertical="center"/>
    </xf>
    <xf numFmtId="0" fontId="332" fillId="8" borderId="8" xfId="1" applyFont="1" applyFill="1" applyBorder="1" applyAlignment="1">
      <alignment horizontal="right" vertical="center"/>
    </xf>
    <xf numFmtId="0" fontId="334" fillId="21" borderId="0" xfId="1" applyFont="1" applyFill="1" applyAlignment="1">
      <alignment vertical="center"/>
    </xf>
    <xf numFmtId="0" fontId="60" fillId="8" borderId="0" xfId="1" applyFont="1" applyFill="1" applyAlignment="1" applyProtection="1">
      <alignment horizontal="left" vertical="center"/>
      <protection hidden="1"/>
    </xf>
    <xf numFmtId="0" fontId="335" fillId="8" borderId="0" xfId="1" applyFont="1" applyFill="1" applyAlignment="1" applyProtection="1">
      <alignment horizontal="left" vertical="center"/>
      <protection hidden="1"/>
    </xf>
    <xf numFmtId="0" fontId="335" fillId="8" borderId="0" xfId="1" applyFont="1" applyFill="1" applyAlignment="1" applyProtection="1">
      <alignment horizontal="center" vertical="center"/>
      <protection hidden="1"/>
    </xf>
    <xf numFmtId="0" fontId="1" fillId="8" borderId="0" xfId="2" applyFill="1" applyAlignment="1">
      <alignment wrapText="1"/>
    </xf>
    <xf numFmtId="0" fontId="66" fillId="0" borderId="0" xfId="3" applyFont="1" applyAlignment="1">
      <alignment horizontal="right" vertical="center"/>
    </xf>
    <xf numFmtId="0" fontId="32" fillId="2" borderId="0" xfId="1" applyFont="1" applyFill="1" applyAlignment="1">
      <alignment horizontal="center" vertical="center"/>
    </xf>
    <xf numFmtId="0" fontId="333" fillId="0" borderId="0" xfId="5" applyFont="1" applyAlignment="1">
      <alignment horizontal="center" vertical="center"/>
    </xf>
    <xf numFmtId="0" fontId="166" fillId="8" borderId="0" xfId="5" applyFont="1" applyFill="1" applyAlignment="1">
      <alignment horizontal="center" vertical="center"/>
    </xf>
    <xf numFmtId="0" fontId="0" fillId="8" borderId="0" xfId="0" applyFill="1" applyAlignment="1">
      <alignment vertical="center" wrapText="1"/>
    </xf>
    <xf numFmtId="0" fontId="4" fillId="8" borderId="0" xfId="0" applyFont="1" applyFill="1" applyAlignment="1">
      <alignment vertical="center" wrapText="1"/>
    </xf>
    <xf numFmtId="0" fontId="337" fillId="8" borderId="0" xfId="1" applyFont="1" applyFill="1" applyAlignment="1" applyProtection="1">
      <alignment horizontal="left" vertical="center"/>
      <protection hidden="1"/>
    </xf>
    <xf numFmtId="0" fontId="140" fillId="0" borderId="0" xfId="0" applyFont="1" applyAlignment="1">
      <alignment vertical="center" wrapText="1"/>
    </xf>
    <xf numFmtId="0" fontId="105" fillId="0" borderId="0" xfId="0" applyFont="1" applyAlignment="1">
      <alignment vertical="center" wrapText="1"/>
    </xf>
    <xf numFmtId="0" fontId="338" fillId="8" borderId="0" xfId="1" applyFont="1" applyFill="1" applyAlignment="1" applyProtection="1">
      <alignment horizontal="left" vertical="center"/>
      <protection locked="0"/>
    </xf>
    <xf numFmtId="0" fontId="339" fillId="3" borderId="0" xfId="2" applyFont="1" applyFill="1" applyAlignment="1">
      <alignment horizontal="right" vertical="center"/>
    </xf>
    <xf numFmtId="0" fontId="144" fillId="8" borderId="0" xfId="0" applyFont="1" applyFill="1" applyAlignment="1">
      <alignment vertical="center"/>
    </xf>
    <xf numFmtId="0" fontId="0" fillId="8" borderId="0" xfId="0" applyFill="1" applyAlignment="1">
      <alignment horizontal="left" vertical="center" wrapText="1"/>
    </xf>
    <xf numFmtId="0" fontId="1" fillId="0" borderId="0" xfId="2"/>
    <xf numFmtId="0" fontId="159" fillId="0" borderId="184" xfId="5" applyFont="1" applyBorder="1" applyAlignment="1">
      <alignment horizontal="center" vertical="center"/>
    </xf>
    <xf numFmtId="0" fontId="78" fillId="8" borderId="0" xfId="1" applyFont="1" applyFill="1" applyAlignment="1" applyProtection="1">
      <alignment horizontal="left" vertical="center"/>
      <protection hidden="1"/>
    </xf>
    <xf numFmtId="0" fontId="78" fillId="8" borderId="0" xfId="1" applyFont="1" applyFill="1" applyAlignment="1" applyProtection="1">
      <alignment horizontal="center" vertical="center"/>
      <protection hidden="1"/>
    </xf>
    <xf numFmtId="0" fontId="78" fillId="8" borderId="0" xfId="1" applyFont="1" applyFill="1" applyAlignment="1" applyProtection="1">
      <alignment horizontal="center" vertical="center" wrapText="1"/>
      <protection hidden="1"/>
    </xf>
    <xf numFmtId="0" fontId="0" fillId="8" borderId="13" xfId="0" applyFill="1" applyBorder="1" applyAlignment="1">
      <alignment vertical="center" wrapText="1"/>
    </xf>
    <xf numFmtId="0" fontId="4" fillId="0" borderId="0" xfId="0" applyFont="1" applyAlignment="1">
      <alignment horizontal="left" vertical="center" wrapText="1"/>
    </xf>
    <xf numFmtId="0" fontId="159" fillId="8" borderId="0" xfId="5" applyFont="1" applyFill="1" applyAlignment="1">
      <alignment horizontal="center" vertical="center"/>
    </xf>
    <xf numFmtId="0" fontId="129" fillId="8" borderId="0" xfId="1" applyFont="1" applyFill="1" applyAlignment="1" applyProtection="1">
      <alignment horizontal="center" vertical="center"/>
      <protection hidden="1"/>
    </xf>
    <xf numFmtId="0" fontId="13" fillId="8" borderId="0" xfId="1" applyFont="1" applyFill="1" applyAlignment="1" applyProtection="1">
      <alignment horizontal="left" vertical="center"/>
      <protection hidden="1"/>
    </xf>
    <xf numFmtId="0" fontId="78" fillId="8" borderId="0" xfId="1" applyFont="1" applyFill="1" applyAlignment="1" applyProtection="1">
      <alignment vertical="center" wrapText="1"/>
      <protection hidden="1"/>
    </xf>
    <xf numFmtId="0" fontId="83" fillId="0" borderId="0" xfId="1" applyFont="1" applyAlignment="1" applyProtection="1">
      <alignment horizontal="left" vertical="center"/>
      <protection locked="0"/>
    </xf>
    <xf numFmtId="0" fontId="0" fillId="0" borderId="0" xfId="0" applyAlignment="1">
      <alignment vertical="center" wrapText="1"/>
    </xf>
    <xf numFmtId="0" fontId="1" fillId="8" borderId="0" xfId="0" applyFont="1" applyFill="1" applyAlignment="1">
      <alignment vertical="center" wrapText="1"/>
    </xf>
    <xf numFmtId="0" fontId="0" fillId="8" borderId="48" xfId="0" applyFill="1" applyBorder="1" applyAlignment="1">
      <alignment vertical="center" wrapText="1"/>
    </xf>
    <xf numFmtId="0" fontId="4" fillId="0" borderId="0" xfId="0" applyFont="1" applyAlignment="1">
      <alignment vertical="center" wrapText="1"/>
    </xf>
    <xf numFmtId="0" fontId="13" fillId="8" borderId="0" xfId="1" applyFont="1" applyFill="1" applyAlignment="1" applyProtection="1">
      <alignment horizontal="left" vertical="center" wrapText="1"/>
      <protection hidden="1"/>
    </xf>
    <xf numFmtId="0" fontId="1" fillId="8" borderId="0" xfId="0" applyFont="1" applyFill="1"/>
    <xf numFmtId="0" fontId="13" fillId="8" borderId="0" xfId="0" applyFont="1" applyFill="1" applyAlignment="1">
      <alignment vertical="center" wrapText="1"/>
    </xf>
    <xf numFmtId="0" fontId="48" fillId="8" borderId="0" xfId="1" applyFont="1" applyFill="1" applyAlignment="1" applyProtection="1">
      <alignment horizontal="left" vertical="center"/>
      <protection hidden="1"/>
    </xf>
    <xf numFmtId="0" fontId="341" fillId="8" borderId="0" xfId="34" applyFont="1" applyFill="1" applyBorder="1" applyAlignment="1">
      <alignment horizontal="center" vertical="center" wrapText="1"/>
    </xf>
    <xf numFmtId="0" fontId="320" fillId="8" borderId="0" xfId="34" applyFont="1" applyFill="1" applyBorder="1" applyAlignment="1">
      <alignment horizontal="center" vertical="center" wrapText="1"/>
    </xf>
    <xf numFmtId="0" fontId="1" fillId="0" borderId="0" xfId="2" applyAlignment="1">
      <alignment wrapText="1"/>
    </xf>
    <xf numFmtId="0" fontId="48" fillId="8" borderId="0" xfId="1" applyFont="1" applyFill="1" applyAlignment="1" applyProtection="1">
      <alignment horizontal="center" vertical="center" wrapText="1"/>
      <protection hidden="1"/>
    </xf>
    <xf numFmtId="0" fontId="26" fillId="8" borderId="0" xfId="1" applyFont="1" applyFill="1" applyAlignment="1" applyProtection="1">
      <alignment horizontal="left" vertical="center"/>
      <protection hidden="1"/>
    </xf>
    <xf numFmtId="0" fontId="108" fillId="8" borderId="0" xfId="0" applyFont="1" applyFill="1" applyAlignment="1">
      <alignment vertical="center" wrapText="1"/>
    </xf>
    <xf numFmtId="0" fontId="76" fillId="8" borderId="0" xfId="1" applyFont="1" applyFill="1" applyAlignment="1" applyProtection="1">
      <alignment horizontal="center" vertical="center" wrapText="1"/>
      <protection hidden="1"/>
    </xf>
    <xf numFmtId="0" fontId="71" fillId="8" borderId="0" xfId="2" applyFont="1" applyFill="1" applyAlignment="1">
      <alignment wrapText="1"/>
    </xf>
    <xf numFmtId="0" fontId="13" fillId="8" borderId="0" xfId="1" applyFont="1" applyFill="1" applyAlignment="1" applyProtection="1">
      <alignment horizontal="center" vertical="center" wrapText="1"/>
      <protection hidden="1"/>
    </xf>
    <xf numFmtId="0" fontId="338" fillId="8" borderId="0" xfId="1" applyFont="1" applyFill="1" applyAlignment="1" applyProtection="1">
      <alignment horizontal="left" vertical="center" wrapText="1"/>
      <protection locked="0"/>
    </xf>
    <xf numFmtId="0" fontId="20" fillId="8" borderId="0" xfId="1" applyFont="1" applyFill="1" applyAlignment="1" applyProtection="1">
      <alignment horizontal="left" vertical="center" wrapText="1"/>
      <protection locked="0"/>
    </xf>
    <xf numFmtId="0" fontId="20" fillId="8" borderId="0" xfId="1" applyFont="1" applyFill="1" applyAlignment="1" applyProtection="1">
      <alignment horizontal="left" vertical="center" wrapText="1"/>
      <protection hidden="1"/>
    </xf>
    <xf numFmtId="0" fontId="39" fillId="8" borderId="0" xfId="1" applyFont="1" applyFill="1" applyAlignment="1" applyProtection="1">
      <alignment horizontal="center" vertical="center"/>
      <protection hidden="1"/>
    </xf>
    <xf numFmtId="0" fontId="39" fillId="8" borderId="0" xfId="1" applyFont="1" applyFill="1" applyAlignment="1" applyProtection="1">
      <alignment horizontal="left" vertical="center"/>
      <protection hidden="1"/>
    </xf>
    <xf numFmtId="0" fontId="76" fillId="8" borderId="0" xfId="1" applyFont="1" applyFill="1" applyAlignment="1" applyProtection="1">
      <alignment horizontal="center" vertical="center"/>
      <protection hidden="1"/>
    </xf>
    <xf numFmtId="0" fontId="140" fillId="8" borderId="0" xfId="0" applyFont="1" applyFill="1" applyAlignment="1">
      <alignment vertical="center" wrapText="1"/>
    </xf>
    <xf numFmtId="0" fontId="159" fillId="8" borderId="0" xfId="5" applyFont="1" applyFill="1" applyAlignment="1">
      <alignment vertical="center"/>
    </xf>
    <xf numFmtId="0" fontId="151" fillId="8" borderId="0" xfId="34" applyFont="1" applyFill="1" applyAlignment="1">
      <alignment horizontal="left" vertical="center"/>
    </xf>
    <xf numFmtId="0" fontId="43" fillId="8" borderId="0" xfId="1" applyFont="1" applyFill="1" applyAlignment="1" applyProtection="1">
      <alignment horizontal="left" vertical="center"/>
      <protection hidden="1"/>
    </xf>
    <xf numFmtId="0" fontId="1" fillId="8" borderId="0" xfId="2" applyFill="1" applyAlignment="1">
      <alignment horizontal="left" vertical="center" wrapText="1"/>
    </xf>
    <xf numFmtId="0" fontId="342" fillId="0" borderId="0" xfId="0" applyFont="1" applyAlignment="1">
      <alignment vertical="center" wrapText="1"/>
    </xf>
    <xf numFmtId="0" fontId="345" fillId="8" borderId="0" xfId="5" applyFont="1" applyFill="1" applyAlignment="1">
      <alignment horizontal="center" vertical="center"/>
    </xf>
    <xf numFmtId="0" fontId="159" fillId="0" borderId="0" xfId="5" applyFont="1" applyAlignment="1">
      <alignment horizontal="center" vertical="center"/>
    </xf>
    <xf numFmtId="0" fontId="72" fillId="8" borderId="0" xfId="0" applyFont="1" applyFill="1" applyAlignment="1">
      <alignment vertical="center" wrapText="1"/>
    </xf>
    <xf numFmtId="0" fontId="77" fillId="0" borderId="0" xfId="1" applyFont="1" applyAlignment="1" applyProtection="1">
      <alignment horizontal="left" vertical="center"/>
      <protection locked="0"/>
    </xf>
    <xf numFmtId="0" fontId="68" fillId="0" borderId="0" xfId="0" applyFont="1"/>
    <xf numFmtId="0" fontId="68" fillId="0" borderId="0" xfId="0" applyFont="1" applyAlignment="1">
      <alignment vertical="center" wrapText="1"/>
    </xf>
    <xf numFmtId="0" fontId="10" fillId="4" borderId="3" xfId="1" quotePrefix="1" applyFont="1" applyFill="1" applyBorder="1" applyAlignment="1">
      <alignment horizontal="center" vertical="center"/>
    </xf>
    <xf numFmtId="0" fontId="0" fillId="0" borderId="0" xfId="0" applyAlignment="1">
      <alignment horizontal="center"/>
    </xf>
    <xf numFmtId="0" fontId="13" fillId="8" borderId="0" xfId="3" applyFont="1" applyFill="1" applyAlignment="1">
      <alignment horizontal="left"/>
    </xf>
    <xf numFmtId="0" fontId="13" fillId="8" borderId="0" xfId="3" applyFont="1" applyFill="1" applyAlignment="1">
      <alignment horizontal="left" vertical="center"/>
    </xf>
    <xf numFmtId="0" fontId="159" fillId="8" borderId="0" xfId="3" applyFont="1" applyFill="1" applyAlignment="1">
      <alignment vertical="center"/>
    </xf>
    <xf numFmtId="0" fontId="78" fillId="8" borderId="0" xfId="3" applyFont="1" applyFill="1" applyAlignment="1">
      <alignment vertical="center"/>
    </xf>
    <xf numFmtId="0" fontId="0" fillId="8" borderId="0" xfId="0" applyFill="1" applyAlignment="1">
      <alignment horizontal="left" vertical="center" indent="1"/>
    </xf>
    <xf numFmtId="0" fontId="187" fillId="8" borderId="0" xfId="0" applyFont="1" applyFill="1" applyAlignment="1">
      <alignment vertical="center"/>
    </xf>
    <xf numFmtId="0" fontId="5" fillId="88" borderId="0" xfId="1" applyFont="1" applyFill="1" applyAlignment="1" applyProtection="1">
      <alignment horizontal="left" vertical="center"/>
      <protection hidden="1"/>
    </xf>
    <xf numFmtId="0" fontId="1" fillId="8" borderId="0" xfId="3" applyFill="1" applyAlignment="1">
      <alignment horizontal="left" vertical="center"/>
    </xf>
    <xf numFmtId="0" fontId="5" fillId="88" borderId="0" xfId="1" applyFont="1" applyFill="1" applyAlignment="1" applyProtection="1">
      <alignment vertical="center"/>
      <protection hidden="1"/>
    </xf>
    <xf numFmtId="0" fontId="4" fillId="8" borderId="0" xfId="0" applyFont="1" applyFill="1" applyAlignment="1">
      <alignment horizontal="left" vertical="center" indent="2"/>
    </xf>
    <xf numFmtId="0" fontId="5" fillId="88" borderId="0" xfId="27" applyFont="1" applyFill="1" applyAlignment="1">
      <alignment horizontal="left" vertical="center"/>
    </xf>
    <xf numFmtId="0" fontId="2" fillId="88" borderId="0" xfId="28" applyFont="1" applyFill="1" applyAlignment="1">
      <alignment horizontal="left" vertical="center"/>
    </xf>
    <xf numFmtId="0" fontId="4" fillId="8" borderId="0" xfId="0" applyFont="1" applyFill="1" applyAlignment="1">
      <alignment horizontal="left" vertical="center" indent="1"/>
    </xf>
    <xf numFmtId="0" fontId="111" fillId="8" borderId="0" xfId="0" applyFont="1" applyFill="1"/>
    <xf numFmtId="0" fontId="0" fillId="8" borderId="0" xfId="0" applyFill="1" applyAlignment="1">
      <alignment horizontal="left" vertical="center" indent="2"/>
    </xf>
    <xf numFmtId="0" fontId="20" fillId="8" borderId="0" xfId="4" applyFont="1" applyFill="1" applyAlignment="1">
      <alignment horizontal="left" vertical="center"/>
    </xf>
    <xf numFmtId="0" fontId="342" fillId="8" borderId="0" xfId="0" applyFont="1" applyFill="1" applyAlignment="1">
      <alignment horizontal="left" vertical="center" indent="1"/>
    </xf>
    <xf numFmtId="0" fontId="119" fillId="8" borderId="0" xfId="0" applyFont="1" applyFill="1" applyAlignment="1">
      <alignment vertical="center"/>
    </xf>
    <xf numFmtId="0" fontId="347" fillId="7" borderId="0" xfId="1" applyFont="1" applyFill="1" applyAlignment="1">
      <alignment horizontal="right" vertical="center"/>
    </xf>
    <xf numFmtId="2" fontId="111" fillId="92" borderId="77" xfId="1" applyNumberFormat="1" applyFont="1" applyFill="1" applyBorder="1" applyAlignment="1" applyProtection="1">
      <alignment horizontal="center" vertical="center"/>
      <protection hidden="1"/>
    </xf>
    <xf numFmtId="167" fontId="111" fillId="92" borderId="187" xfId="1" applyNumberFormat="1" applyFont="1" applyFill="1" applyBorder="1" applyAlignment="1" applyProtection="1">
      <alignment horizontal="center" vertical="center"/>
      <protection hidden="1"/>
    </xf>
    <xf numFmtId="0" fontId="3" fillId="43" borderId="133" xfId="9" applyFont="1" applyFill="1" applyBorder="1" applyAlignment="1">
      <alignment vertical="center"/>
    </xf>
    <xf numFmtId="0" fontId="3" fillId="43" borderId="133" xfId="9" applyFont="1" applyFill="1" applyBorder="1" applyAlignment="1">
      <alignment vertical="center" wrapText="1"/>
    </xf>
    <xf numFmtId="0" fontId="1" fillId="14" borderId="0" xfId="4" applyFill="1" applyAlignment="1">
      <alignment horizontal="left" vertical="center"/>
    </xf>
    <xf numFmtId="0" fontId="168" fillId="14" borderId="2" xfId="4" applyFont="1" applyFill="1" applyBorder="1" applyAlignment="1">
      <alignment horizontal="left" vertical="center"/>
    </xf>
    <xf numFmtId="0" fontId="163" fillId="68" borderId="0" xfId="0" applyFont="1" applyFill="1" applyAlignment="1">
      <alignment horizontal="center" vertical="center"/>
    </xf>
    <xf numFmtId="164" fontId="3" fillId="8" borderId="0" xfId="0" applyNumberFormat="1" applyFont="1" applyFill="1" applyAlignment="1">
      <alignment horizontal="right" vertical="center"/>
    </xf>
    <xf numFmtId="4" fontId="0" fillId="43" borderId="0" xfId="0" applyNumberFormat="1" applyFill="1" applyAlignment="1">
      <alignment horizontal="left" vertical="center"/>
    </xf>
    <xf numFmtId="167" fontId="349" fillId="108" borderId="0" xfId="9" applyNumberFormat="1" applyFont="1" applyFill="1" applyAlignment="1">
      <alignment horizontal="center" vertical="center"/>
    </xf>
    <xf numFmtId="2" fontId="1" fillId="29" borderId="0" xfId="12" applyNumberFormat="1" applyFill="1" applyAlignment="1" applyProtection="1">
      <alignment horizontal="center" vertical="center"/>
      <protection locked="0"/>
    </xf>
    <xf numFmtId="170" fontId="20" fillId="8" borderId="0" xfId="1" applyNumberFormat="1" applyFont="1" applyFill="1" applyAlignment="1">
      <alignment horizontal="center" vertical="center"/>
    </xf>
    <xf numFmtId="1" fontId="57" fillId="33" borderId="0" xfId="1" applyNumberFormat="1" applyFont="1" applyFill="1" applyAlignment="1">
      <alignment horizontal="center" vertical="center"/>
    </xf>
    <xf numFmtId="0" fontId="108" fillId="8" borderId="0" xfId="9" applyFont="1" applyFill="1" applyAlignment="1">
      <alignment vertical="center"/>
    </xf>
    <xf numFmtId="0" fontId="80" fillId="20" borderId="9" xfId="15" applyFont="1" applyFill="1" applyBorder="1" applyAlignment="1">
      <alignment horizontal="center" vertical="center"/>
    </xf>
    <xf numFmtId="0" fontId="166" fillId="0" borderId="0" xfId="5" applyFont="1" applyAlignment="1">
      <alignment vertical="center"/>
    </xf>
    <xf numFmtId="0" fontId="111" fillId="8" borderId="0" xfId="5" applyFont="1" applyFill="1" applyAlignment="1">
      <alignment vertical="center"/>
    </xf>
    <xf numFmtId="0" fontId="0" fillId="0" borderId="0" xfId="0" applyAlignment="1">
      <alignment horizontal="center" vertical="center"/>
    </xf>
    <xf numFmtId="0" fontId="0" fillId="21" borderId="0" xfId="0" applyFill="1" applyAlignment="1">
      <alignment horizontal="center" vertical="center"/>
    </xf>
    <xf numFmtId="0" fontId="351" fillId="0" borderId="51" xfId="8" applyFont="1" applyBorder="1" applyAlignment="1">
      <alignment horizontal="center" vertical="center"/>
    </xf>
    <xf numFmtId="0" fontId="352" fillId="8" borderId="16" xfId="1" applyFont="1" applyFill="1" applyBorder="1" applyAlignment="1" applyProtection="1">
      <alignment horizontal="right" vertical="center"/>
      <protection locked="0"/>
    </xf>
    <xf numFmtId="0" fontId="108" fillId="0" borderId="16" xfId="0" applyFont="1" applyBorder="1"/>
    <xf numFmtId="0" fontId="108" fillId="8" borderId="16" xfId="0" applyFont="1" applyFill="1" applyBorder="1" applyAlignment="1">
      <alignment horizontal="right"/>
    </xf>
    <xf numFmtId="0" fontId="108" fillId="8" borderId="39" xfId="0" applyFont="1" applyFill="1" applyBorder="1" applyAlignment="1">
      <alignment horizontal="right"/>
    </xf>
    <xf numFmtId="0" fontId="36" fillId="8" borderId="0" xfId="1" applyFont="1" applyFill="1" applyAlignment="1" applyProtection="1">
      <alignment vertical="center"/>
      <protection hidden="1"/>
    </xf>
    <xf numFmtId="0" fontId="36" fillId="8" borderId="0" xfId="1" applyFont="1" applyFill="1" applyAlignment="1" applyProtection="1">
      <alignment horizontal="right" vertical="center"/>
      <protection hidden="1"/>
    </xf>
    <xf numFmtId="0" fontId="111" fillId="8" borderId="0" xfId="1" applyFont="1" applyFill="1" applyAlignment="1" applyProtection="1">
      <alignment horizontal="left" vertical="center"/>
      <protection hidden="1"/>
    </xf>
    <xf numFmtId="0" fontId="36" fillId="8" borderId="0" xfId="1" applyFont="1" applyFill="1" applyAlignment="1" applyProtection="1">
      <alignment horizontal="left" vertical="center"/>
      <protection hidden="1"/>
    </xf>
    <xf numFmtId="0" fontId="45" fillId="8" borderId="0" xfId="1" applyFont="1" applyFill="1" applyAlignment="1" applyProtection="1">
      <alignment vertical="center"/>
      <protection hidden="1"/>
    </xf>
    <xf numFmtId="0" fontId="45" fillId="8" borderId="0" xfId="1" applyFont="1" applyFill="1" applyAlignment="1" applyProtection="1">
      <alignment horizontal="right" vertical="center"/>
      <protection hidden="1"/>
    </xf>
    <xf numFmtId="0" fontId="191" fillId="8" borderId="6" xfId="1" applyFont="1" applyFill="1" applyBorder="1" applyAlignment="1" applyProtection="1">
      <alignment vertical="center"/>
      <protection hidden="1"/>
    </xf>
    <xf numFmtId="0" fontId="191" fillId="8" borderId="0" xfId="1" applyFont="1" applyFill="1" applyAlignment="1" applyProtection="1">
      <alignment vertical="center"/>
      <protection hidden="1"/>
    </xf>
    <xf numFmtId="0" fontId="354" fillId="109" borderId="188" xfId="7" applyFont="1" applyFill="1" applyBorder="1" applyAlignment="1">
      <alignment horizontal="right" vertical="center"/>
    </xf>
    <xf numFmtId="0" fontId="354" fillId="109" borderId="188" xfId="7" applyFont="1" applyFill="1" applyBorder="1" applyAlignment="1">
      <alignment horizontal="left" vertical="center"/>
    </xf>
    <xf numFmtId="1" fontId="354" fillId="109" borderId="188" xfId="7" applyNumberFormat="1" applyFont="1" applyFill="1" applyBorder="1" applyAlignment="1">
      <alignment horizontal="right" vertical="center"/>
    </xf>
    <xf numFmtId="0" fontId="111" fillId="8" borderId="0" xfId="1" applyFont="1" applyFill="1" applyAlignment="1">
      <alignment horizontal="right" vertical="center"/>
    </xf>
    <xf numFmtId="0" fontId="1" fillId="8" borderId="0" xfId="9" applyFont="1" applyFill="1"/>
    <xf numFmtId="0" fontId="0" fillId="43" borderId="0" xfId="0" applyFill="1" applyAlignment="1">
      <alignment vertical="center"/>
    </xf>
    <xf numFmtId="0" fontId="13" fillId="113" borderId="0" xfId="30" applyFont="1" applyFill="1" applyAlignment="1">
      <alignment horizontal="center" vertical="center"/>
    </xf>
    <xf numFmtId="0" fontId="24" fillId="4" borderId="2" xfId="1" applyFont="1" applyFill="1" applyBorder="1" applyAlignment="1">
      <alignment horizontal="center" vertical="center" wrapText="1"/>
    </xf>
    <xf numFmtId="0" fontId="31" fillId="4" borderId="0" xfId="1" applyFont="1" applyFill="1" applyAlignment="1">
      <alignment horizontal="center" vertical="center" wrapText="1"/>
    </xf>
    <xf numFmtId="0" fontId="21" fillId="8" borderId="0" xfId="1" applyFont="1" applyFill="1" applyAlignment="1">
      <alignment horizontal="left" vertical="center"/>
    </xf>
    <xf numFmtId="0" fontId="2" fillId="8" borderId="0" xfId="1" applyFont="1" applyFill="1" applyAlignment="1">
      <alignment horizontal="right" vertical="center"/>
    </xf>
    <xf numFmtId="0" fontId="73" fillId="8" borderId="0" xfId="9" applyFont="1" applyFill="1" applyAlignment="1">
      <alignment horizontal="right" vertical="center"/>
    </xf>
    <xf numFmtId="0" fontId="76" fillId="20" borderId="0" xfId="1" applyFont="1" applyFill="1" applyAlignment="1">
      <alignment horizontal="center" vertical="center"/>
    </xf>
    <xf numFmtId="0" fontId="35" fillId="20" borderId="0" xfId="1" applyFont="1" applyFill="1" applyAlignment="1">
      <alignment horizontal="left" vertical="center"/>
    </xf>
    <xf numFmtId="0" fontId="77" fillId="8" borderId="0" xfId="1" applyFont="1" applyFill="1" applyAlignment="1">
      <alignment horizontal="right" vertical="center"/>
    </xf>
    <xf numFmtId="0" fontId="31" fillId="7" borderId="189" xfId="10" applyFont="1" applyFill="1" applyBorder="1" applyAlignment="1">
      <alignment horizontal="center" vertical="center"/>
    </xf>
    <xf numFmtId="0" fontId="97" fillId="8" borderId="24" xfId="1" applyFont="1" applyFill="1" applyBorder="1" applyAlignment="1" applyProtection="1">
      <alignment horizontal="center" vertical="center"/>
      <protection hidden="1"/>
    </xf>
    <xf numFmtId="0" fontId="76" fillId="0" borderId="0" xfId="1" applyFont="1" applyAlignment="1">
      <alignment horizontal="right" vertical="center"/>
    </xf>
    <xf numFmtId="1" fontId="13" fillId="31" borderId="28" xfId="1" applyNumberFormat="1" applyFont="1" applyFill="1" applyBorder="1" applyAlignment="1">
      <alignment horizontal="center" vertical="center"/>
    </xf>
    <xf numFmtId="1" fontId="13" fillId="33" borderId="9" xfId="1" applyNumberFormat="1" applyFont="1" applyFill="1" applyBorder="1" applyAlignment="1">
      <alignment horizontal="center" vertical="center"/>
    </xf>
    <xf numFmtId="1" fontId="13" fillId="31" borderId="31" xfId="1" applyNumberFormat="1" applyFont="1" applyFill="1" applyBorder="1" applyAlignment="1">
      <alignment horizontal="center" vertical="center"/>
    </xf>
    <xf numFmtId="1" fontId="13" fillId="31" borderId="32" xfId="1" applyNumberFormat="1" applyFont="1" applyFill="1" applyBorder="1" applyAlignment="1">
      <alignment horizontal="center" vertical="center"/>
    </xf>
    <xf numFmtId="0" fontId="354" fillId="109" borderId="190" xfId="7" applyFont="1" applyFill="1" applyBorder="1" applyAlignment="1">
      <alignment horizontal="right" vertical="center"/>
    </xf>
    <xf numFmtId="0" fontId="0" fillId="109" borderId="188" xfId="0" applyFill="1" applyBorder="1"/>
    <xf numFmtId="0" fontId="5" fillId="42" borderId="26" xfId="0" applyFont="1" applyFill="1" applyBorder="1" applyAlignment="1">
      <alignment horizontal="right" vertical="center"/>
    </xf>
    <xf numFmtId="0" fontId="80" fillId="20" borderId="54" xfId="15" applyFont="1" applyFill="1" applyBorder="1" applyAlignment="1">
      <alignment horizontal="center" vertical="center"/>
    </xf>
    <xf numFmtId="0" fontId="54" fillId="20" borderId="0" xfId="1" applyFont="1" applyFill="1" applyAlignment="1" applyProtection="1">
      <alignment horizontal="center" vertical="center"/>
      <protection hidden="1"/>
    </xf>
    <xf numFmtId="0" fontId="87" fillId="43" borderId="0" xfId="9" applyFont="1" applyFill="1" applyAlignment="1">
      <alignment vertical="center"/>
    </xf>
    <xf numFmtId="0" fontId="13" fillId="20" borderId="191" xfId="1" applyFont="1" applyFill="1" applyBorder="1" applyAlignment="1" applyProtection="1">
      <alignment horizontal="center" vertical="center"/>
      <protection hidden="1"/>
    </xf>
    <xf numFmtId="0" fontId="71" fillId="8" borderId="0" xfId="9" applyFont="1" applyFill="1" applyAlignment="1">
      <alignment vertical="center"/>
    </xf>
    <xf numFmtId="0" fontId="90" fillId="4" borderId="3" xfId="1" applyFont="1" applyFill="1" applyBorder="1" applyAlignment="1" applyProtection="1">
      <alignment vertical="center"/>
      <protection hidden="1"/>
    </xf>
    <xf numFmtId="0" fontId="57" fillId="7" borderId="13" xfId="1" applyFont="1" applyFill="1" applyBorder="1" applyAlignment="1" applyProtection="1">
      <alignment horizontal="left" vertical="center"/>
      <protection locked="0"/>
    </xf>
    <xf numFmtId="0" fontId="83" fillId="7" borderId="13" xfId="1" applyFont="1" applyFill="1" applyBorder="1" applyAlignment="1" applyProtection="1">
      <alignment horizontal="left" vertical="center"/>
      <protection locked="0"/>
    </xf>
    <xf numFmtId="0" fontId="57" fillId="8" borderId="13" xfId="1" applyFont="1" applyFill="1" applyBorder="1" applyAlignment="1" applyProtection="1">
      <alignment horizontal="left" vertical="center"/>
      <protection locked="0"/>
    </xf>
    <xf numFmtId="0" fontId="13" fillId="4" borderId="3" xfId="1" applyFont="1" applyFill="1" applyBorder="1" applyAlignment="1" applyProtection="1">
      <alignment vertical="center"/>
      <protection hidden="1"/>
    </xf>
    <xf numFmtId="0" fontId="13" fillId="4" borderId="59" xfId="1" applyFont="1" applyFill="1" applyBorder="1" applyAlignment="1" applyProtection="1">
      <alignment vertical="center"/>
      <protection hidden="1"/>
    </xf>
    <xf numFmtId="0" fontId="50" fillId="44" borderId="0" xfId="16" applyFont="1" applyFill="1" applyAlignment="1" applyProtection="1">
      <alignment vertical="center"/>
      <protection locked="0"/>
    </xf>
    <xf numFmtId="0" fontId="36" fillId="45" borderId="0" xfId="16" applyFont="1" applyFill="1" applyAlignment="1" applyProtection="1">
      <alignment vertical="center"/>
      <protection locked="0"/>
    </xf>
    <xf numFmtId="0" fontId="36" fillId="45" borderId="9" xfId="16" applyFont="1" applyFill="1" applyBorder="1" applyAlignment="1" applyProtection="1">
      <alignment vertical="center"/>
      <protection locked="0"/>
    </xf>
    <xf numFmtId="0" fontId="78" fillId="0" borderId="0" xfId="9" applyFont="1" applyAlignment="1">
      <alignment vertical="center"/>
    </xf>
    <xf numFmtId="0" fontId="5" fillId="42" borderId="48" xfId="0" applyFont="1" applyFill="1" applyBorder="1" applyAlignment="1">
      <alignment horizontal="right" vertical="center"/>
    </xf>
    <xf numFmtId="0" fontId="0" fillId="8" borderId="52" xfId="0" applyFill="1" applyBorder="1"/>
    <xf numFmtId="0" fontId="57" fillId="8" borderId="52" xfId="6" applyFont="1" applyFill="1" applyBorder="1" applyAlignment="1">
      <alignment horizontal="right" vertical="center"/>
    </xf>
    <xf numFmtId="0" fontId="80" fillId="20" borderId="117" xfId="15" applyFont="1" applyFill="1" applyBorder="1" applyAlignment="1">
      <alignment horizontal="center" vertical="center"/>
    </xf>
    <xf numFmtId="0" fontId="54" fillId="20" borderId="16" xfId="1" applyFont="1" applyFill="1" applyBorder="1" applyAlignment="1" applyProtection="1">
      <alignment horizontal="center" vertical="center"/>
      <protection hidden="1"/>
    </xf>
    <xf numFmtId="0" fontId="87" fillId="43" borderId="16" xfId="9" applyFont="1" applyFill="1" applyBorder="1" applyAlignment="1">
      <alignment vertical="center"/>
    </xf>
    <xf numFmtId="0" fontId="13" fillId="20" borderId="16" xfId="1" applyFont="1" applyFill="1" applyBorder="1" applyAlignment="1" applyProtection="1">
      <alignment horizontal="center" vertical="center"/>
      <protection hidden="1"/>
    </xf>
    <xf numFmtId="0" fontId="13" fillId="7" borderId="5" xfId="1" applyFont="1" applyFill="1" applyBorder="1" applyAlignment="1">
      <alignment vertical="center"/>
    </xf>
    <xf numFmtId="0" fontId="13" fillId="7" borderId="54" xfId="1" applyFont="1" applyFill="1" applyBorder="1" applyAlignment="1">
      <alignment vertical="center"/>
    </xf>
    <xf numFmtId="0" fontId="138" fillId="8" borderId="48" xfId="18" applyFont="1" applyFill="1" applyBorder="1" applyAlignment="1">
      <alignment horizontal="left" vertical="center"/>
    </xf>
    <xf numFmtId="0" fontId="138" fillId="8" borderId="16" xfId="18" applyFont="1" applyFill="1" applyBorder="1" applyAlignment="1">
      <alignment horizontal="right" vertical="center"/>
    </xf>
    <xf numFmtId="0" fontId="138" fillId="8" borderId="197" xfId="18" applyFont="1" applyFill="1" applyBorder="1" applyAlignment="1">
      <alignment horizontal="right" vertical="center"/>
    </xf>
    <xf numFmtId="0" fontId="91" fillId="8" borderId="198" xfId="0" applyFont="1" applyFill="1" applyBorder="1" applyAlignment="1">
      <alignment horizontal="center" vertical="center"/>
    </xf>
    <xf numFmtId="0" fontId="138" fillId="8" borderId="0" xfId="18" applyFont="1" applyFill="1" applyAlignment="1">
      <alignment horizontal="left" vertical="center"/>
    </xf>
    <xf numFmtId="0" fontId="138" fillId="8" borderId="193" xfId="18" applyFont="1" applyFill="1" applyBorder="1" applyAlignment="1">
      <alignment horizontal="right" vertical="center"/>
    </xf>
    <xf numFmtId="0" fontId="138" fillId="8" borderId="66" xfId="18" applyFont="1" applyFill="1" applyBorder="1" applyAlignment="1">
      <alignment horizontal="right" vertical="center"/>
    </xf>
    <xf numFmtId="0" fontId="53" fillId="8" borderId="60" xfId="0" applyFont="1" applyFill="1" applyBorder="1" applyAlignment="1">
      <alignment horizontal="center" vertical="center"/>
    </xf>
    <xf numFmtId="0" fontId="20" fillId="8" borderId="193" xfId="1" applyFont="1" applyFill="1" applyBorder="1" applyAlignment="1" applyProtection="1">
      <alignment horizontal="right" vertical="center"/>
      <protection locked="0"/>
    </xf>
    <xf numFmtId="0" fontId="53" fillId="8" borderId="198" xfId="0" applyFont="1" applyFill="1" applyBorder="1" applyAlignment="1">
      <alignment horizontal="center" vertical="center"/>
    </xf>
    <xf numFmtId="0" fontId="24" fillId="8" borderId="9" xfId="1" applyFont="1" applyFill="1" applyBorder="1" applyAlignment="1" applyProtection="1">
      <alignment horizontal="right" vertical="center"/>
      <protection locked="0"/>
    </xf>
    <xf numFmtId="0" fontId="24" fillId="8" borderId="21" xfId="1" applyFont="1" applyFill="1" applyBorder="1" applyAlignment="1" applyProtection="1">
      <alignment horizontal="right" vertical="center"/>
      <protection locked="0"/>
    </xf>
    <xf numFmtId="0" fontId="1" fillId="8" borderId="9" xfId="4" applyFill="1" applyBorder="1"/>
    <xf numFmtId="0" fontId="71" fillId="8" borderId="199" xfId="9" applyFont="1" applyFill="1" applyBorder="1" applyAlignment="1">
      <alignment vertical="center"/>
    </xf>
    <xf numFmtId="0" fontId="71" fillId="8" borderId="200" xfId="9" applyFont="1" applyFill="1" applyBorder="1" applyAlignment="1">
      <alignment vertical="center"/>
    </xf>
    <xf numFmtId="0" fontId="13" fillId="8" borderId="48" xfId="21" applyFont="1" applyFill="1" applyBorder="1" applyAlignment="1">
      <alignment horizontal="left" vertical="center"/>
    </xf>
    <xf numFmtId="0" fontId="57" fillId="8" borderId="0" xfId="21" applyFont="1" applyFill="1" applyAlignment="1">
      <alignment horizontal="right" vertical="center"/>
    </xf>
    <xf numFmtId="0" fontId="84" fillId="8" borderId="0" xfId="21" applyFont="1" applyFill="1" applyAlignment="1">
      <alignment horizontal="right"/>
    </xf>
    <xf numFmtId="0" fontId="84" fillId="8" borderId="0" xfId="21" applyFont="1" applyFill="1" applyAlignment="1">
      <alignment horizontal="right" vertical="center"/>
    </xf>
    <xf numFmtId="0" fontId="13" fillId="8" borderId="0" xfId="1" applyFont="1" applyFill="1" applyAlignment="1" applyProtection="1">
      <alignment vertical="center"/>
      <protection hidden="1"/>
    </xf>
    <xf numFmtId="0" fontId="73" fillId="8" borderId="0" xfId="21" applyFont="1" applyFill="1" applyAlignment="1">
      <alignment horizontal="right" vertical="center"/>
    </xf>
    <xf numFmtId="0" fontId="102" fillId="8" borderId="0" xfId="1" applyFont="1" applyFill="1" applyAlignment="1" applyProtection="1">
      <alignment horizontal="right" vertical="center"/>
      <protection locked="0"/>
    </xf>
    <xf numFmtId="177" fontId="20" fillId="0" borderId="19" xfId="1" applyNumberFormat="1" applyFont="1" applyBorder="1" applyAlignment="1">
      <alignment horizontal="center" vertical="center" wrapText="1"/>
    </xf>
    <xf numFmtId="0" fontId="109" fillId="8" borderId="16" xfId="0" applyFont="1" applyFill="1" applyBorder="1" applyAlignment="1">
      <alignment horizontal="right" vertical="center"/>
    </xf>
    <xf numFmtId="0" fontId="109" fillId="8" borderId="0" xfId="0" applyFont="1" applyFill="1" applyAlignment="1">
      <alignment horizontal="right" vertical="center"/>
    </xf>
    <xf numFmtId="173" fontId="110" fillId="8" borderId="16" xfId="1" applyNumberFormat="1" applyFont="1" applyFill="1" applyBorder="1" applyAlignment="1">
      <alignment horizontal="center" vertical="center"/>
    </xf>
    <xf numFmtId="173" fontId="58" fillId="21" borderId="0" xfId="1" applyNumberFormat="1" applyFont="1" applyFill="1" applyAlignment="1">
      <alignment horizontal="center" vertical="center"/>
    </xf>
    <xf numFmtId="0" fontId="111" fillId="8" borderId="9" xfId="1" applyFont="1" applyFill="1" applyBorder="1" applyAlignment="1">
      <alignment horizontal="left" vertical="center"/>
    </xf>
    <xf numFmtId="173" fontId="36" fillId="36" borderId="0" xfId="1" applyNumberFormat="1" applyFont="1" applyFill="1" applyAlignment="1">
      <alignment horizontal="center" vertical="center"/>
    </xf>
    <xf numFmtId="0" fontId="24" fillId="8" borderId="0" xfId="6" applyFont="1" applyFill="1" applyAlignment="1">
      <alignment horizontal="left" vertical="center"/>
    </xf>
    <xf numFmtId="0" fontId="57" fillId="8" borderId="9" xfId="6" applyFont="1" applyFill="1" applyBorder="1" applyAlignment="1">
      <alignment horizontal="left" vertical="center"/>
    </xf>
    <xf numFmtId="0" fontId="13" fillId="50" borderId="51" xfId="3" applyFont="1" applyFill="1" applyBorder="1" applyAlignment="1">
      <alignment horizontal="left" vertical="center"/>
    </xf>
    <xf numFmtId="0" fontId="64" fillId="53" borderId="201" xfId="10" applyFont="1" applyFill="1" applyBorder="1" applyAlignment="1">
      <alignment horizontal="right" vertical="center"/>
    </xf>
    <xf numFmtId="1" fontId="60" fillId="20" borderId="202" xfId="1" applyNumberFormat="1" applyFont="1" applyFill="1" applyBorder="1" applyAlignment="1">
      <alignment horizontal="center" vertical="center"/>
    </xf>
    <xf numFmtId="0" fontId="61" fillId="25" borderId="20" xfId="1" applyFont="1" applyFill="1" applyBorder="1" applyAlignment="1" applyProtection="1">
      <alignment horizontal="center" vertical="center"/>
      <protection hidden="1"/>
    </xf>
    <xf numFmtId="1" fontId="13" fillId="31" borderId="67" xfId="1" applyNumberFormat="1" applyFont="1" applyFill="1" applyBorder="1" applyAlignment="1">
      <alignment horizontal="center" vertical="center"/>
    </xf>
    <xf numFmtId="0" fontId="64" fillId="8" borderId="203" xfId="10" applyFont="1" applyFill="1" applyBorder="1" applyAlignment="1">
      <alignment horizontal="right" vertical="center"/>
    </xf>
    <xf numFmtId="179" fontId="60" fillId="20" borderId="25" xfId="1" applyNumberFormat="1" applyFont="1" applyFill="1" applyBorder="1" applyAlignment="1">
      <alignment horizontal="center" vertical="center"/>
    </xf>
    <xf numFmtId="0" fontId="64" fillId="53" borderId="203" xfId="10" applyFont="1" applyFill="1" applyBorder="1" applyAlignment="1">
      <alignment horizontal="right" vertical="center"/>
    </xf>
    <xf numFmtId="1" fontId="60" fillId="20" borderId="25" xfId="1" applyNumberFormat="1" applyFont="1" applyFill="1" applyBorder="1" applyAlignment="1">
      <alignment horizontal="center" vertical="center"/>
    </xf>
    <xf numFmtId="0" fontId="64" fillId="8" borderId="19" xfId="1" applyFont="1" applyFill="1" applyBorder="1" applyAlignment="1" applyProtection="1">
      <alignment horizontal="right" vertical="center"/>
      <protection locked="0"/>
    </xf>
    <xf numFmtId="0" fontId="64" fillId="8" borderId="182" xfId="1" applyFont="1" applyFill="1" applyBorder="1" applyAlignment="1" applyProtection="1">
      <alignment horizontal="right" vertical="center"/>
      <protection locked="0"/>
    </xf>
    <xf numFmtId="0" fontId="57" fillId="8" borderId="182" xfId="1" applyFont="1" applyFill="1" applyBorder="1" applyAlignment="1" applyProtection="1">
      <alignment horizontal="left" vertical="center"/>
      <protection locked="0"/>
    </xf>
    <xf numFmtId="0" fontId="0" fillId="8" borderId="16" xfId="0" applyFill="1" applyBorder="1" applyAlignment="1">
      <alignment horizontal="right" vertical="center"/>
    </xf>
    <xf numFmtId="0" fontId="0" fillId="8" borderId="16" xfId="0" applyFill="1" applyBorder="1"/>
    <xf numFmtId="0" fontId="13" fillId="8" borderId="50" xfId="1" applyFont="1" applyFill="1" applyBorder="1" applyAlignment="1">
      <alignment horizontal="center" vertical="center"/>
    </xf>
    <xf numFmtId="0" fontId="50" fillId="8" borderId="82" xfId="1" applyFont="1" applyFill="1" applyBorder="1" applyAlignment="1">
      <alignment horizontal="left" vertical="center"/>
    </xf>
    <xf numFmtId="0" fontId="48" fillId="8" borderId="0" xfId="1" applyFont="1" applyFill="1" applyAlignment="1">
      <alignment horizontal="right" vertical="center"/>
    </xf>
    <xf numFmtId="0" fontId="100" fillId="8" borderId="204" xfId="0" applyFont="1" applyFill="1" applyBorder="1" applyAlignment="1">
      <alignment horizontal="center" vertical="center"/>
    </xf>
    <xf numFmtId="0" fontId="100" fillId="8" borderId="198" xfId="0" applyFont="1" applyFill="1" applyBorder="1" applyAlignment="1">
      <alignment horizontal="center" vertical="center"/>
    </xf>
    <xf numFmtId="0" fontId="110" fillId="8" borderId="0" xfId="1" applyFont="1" applyFill="1" applyAlignment="1">
      <alignment horizontal="right" vertical="center"/>
    </xf>
    <xf numFmtId="0" fontId="57" fillId="40" borderId="194" xfId="1" applyFont="1" applyFill="1" applyBorder="1" applyAlignment="1" applyProtection="1">
      <alignment horizontal="right" vertical="center"/>
      <protection hidden="1"/>
    </xf>
    <xf numFmtId="173" fontId="13" fillId="40" borderId="0" xfId="1" applyNumberFormat="1" applyFont="1" applyFill="1" applyAlignment="1" applyProtection="1">
      <alignment horizontal="center" vertical="center"/>
      <protection hidden="1"/>
    </xf>
    <xf numFmtId="0" fontId="130" fillId="8" borderId="0" xfId="3" applyFont="1" applyFill="1" applyAlignment="1">
      <alignment horizontal="right" vertical="center"/>
    </xf>
    <xf numFmtId="0" fontId="31" fillId="8" borderId="9" xfId="1" applyFont="1" applyFill="1" applyBorder="1" applyAlignment="1">
      <alignment horizontal="center" vertical="center"/>
    </xf>
    <xf numFmtId="0" fontId="36" fillId="44" borderId="9" xfId="16" applyFont="1" applyFill="1" applyBorder="1" applyAlignment="1" applyProtection="1">
      <alignment horizontal="center" vertical="center"/>
      <protection locked="0"/>
    </xf>
    <xf numFmtId="0" fontId="101" fillId="8" borderId="9" xfId="1" applyFont="1" applyFill="1" applyBorder="1" applyAlignment="1">
      <alignment vertical="top" wrapText="1"/>
    </xf>
    <xf numFmtId="0" fontId="57" fillId="8" borderId="9" xfId="5" applyFont="1" applyFill="1" applyBorder="1" applyAlignment="1">
      <alignment horizontal="left" vertical="center"/>
    </xf>
    <xf numFmtId="0" fontId="127" fillId="8" borderId="9" xfId="1" applyFont="1" applyFill="1" applyBorder="1" applyAlignment="1" applyProtection="1">
      <alignment horizontal="right" vertical="center"/>
      <protection locked="0"/>
    </xf>
    <xf numFmtId="0" fontId="133" fillId="8" borderId="9" xfId="7" applyFont="1" applyFill="1" applyBorder="1" applyAlignment="1" applyProtection="1">
      <alignment horizontal="left" vertical="center"/>
      <protection locked="0"/>
    </xf>
    <xf numFmtId="0" fontId="98" fillId="8" borderId="9" xfId="7" applyFont="1" applyFill="1" applyBorder="1" applyAlignment="1" applyProtection="1">
      <alignment horizontal="left" vertical="center"/>
      <protection locked="0"/>
    </xf>
    <xf numFmtId="182" fontId="20" fillId="43" borderId="0" xfId="7" applyNumberFormat="1" applyFont="1" applyFill="1" applyAlignment="1" applyProtection="1">
      <alignment horizontal="center" vertical="center"/>
      <protection locked="0"/>
    </xf>
    <xf numFmtId="0" fontId="20" fillId="43" borderId="9" xfId="7" applyFont="1" applyFill="1" applyBorder="1" applyAlignment="1" applyProtection="1">
      <alignment horizontal="left" vertical="center"/>
      <protection locked="0"/>
    </xf>
    <xf numFmtId="187" fontId="20" fillId="43" borderId="0" xfId="7" applyNumberFormat="1" applyFont="1" applyFill="1" applyAlignment="1" applyProtection="1">
      <alignment horizontal="center" vertical="center"/>
      <protection locked="0"/>
    </xf>
    <xf numFmtId="187" fontId="98" fillId="43" borderId="0" xfId="7" applyNumberFormat="1" applyFont="1" applyFill="1" applyAlignment="1" applyProtection="1">
      <alignment horizontal="center" vertical="center"/>
      <protection locked="0"/>
    </xf>
    <xf numFmtId="0" fontId="96" fillId="43" borderId="9" xfId="7" applyFont="1" applyFill="1" applyBorder="1" applyAlignment="1" applyProtection="1">
      <alignment horizontal="left" vertical="center"/>
      <protection locked="0"/>
    </xf>
    <xf numFmtId="0" fontId="20" fillId="8" borderId="9" xfId="7" applyFont="1" applyFill="1" applyBorder="1" applyAlignment="1" applyProtection="1">
      <alignment horizontal="left" vertical="center"/>
      <protection locked="0"/>
    </xf>
    <xf numFmtId="0" fontId="81" fillId="7" borderId="0" xfId="5" applyFont="1" applyFill="1" applyAlignment="1">
      <alignment horizontal="right" vertical="center"/>
    </xf>
    <xf numFmtId="0" fontId="81" fillId="7" borderId="9" xfId="5" applyFont="1" applyFill="1" applyBorder="1" applyAlignment="1">
      <alignment horizontal="right" vertical="center"/>
    </xf>
    <xf numFmtId="0" fontId="45" fillId="65" borderId="9" xfId="7" applyFont="1" applyFill="1" applyBorder="1" applyAlignment="1" applyProtection="1">
      <alignment horizontal="left" vertical="center"/>
      <protection locked="0"/>
    </xf>
    <xf numFmtId="0" fontId="104" fillId="65" borderId="9" xfId="7" applyFont="1" applyFill="1" applyBorder="1" applyAlignment="1" applyProtection="1">
      <alignment horizontal="left" vertical="center"/>
      <protection locked="0"/>
    </xf>
    <xf numFmtId="185" fontId="20" fillId="43" borderId="0" xfId="7" applyNumberFormat="1" applyFont="1" applyFill="1" applyAlignment="1" applyProtection="1">
      <alignment horizontal="center" vertical="center"/>
      <protection locked="0"/>
    </xf>
    <xf numFmtId="186" fontId="20" fillId="43" borderId="0" xfId="7" applyNumberFormat="1" applyFont="1" applyFill="1" applyAlignment="1" applyProtection="1">
      <alignment horizontal="center" vertical="center"/>
      <protection locked="0"/>
    </xf>
    <xf numFmtId="0" fontId="20" fillId="43" borderId="21" xfId="7" applyFont="1" applyFill="1" applyBorder="1" applyAlignment="1" applyProtection="1">
      <alignment horizontal="left" vertical="center"/>
      <protection locked="0"/>
    </xf>
    <xf numFmtId="0" fontId="0" fillId="8" borderId="16" xfId="0" applyFill="1" applyBorder="1" applyAlignment="1">
      <alignment horizontal="left" vertical="center"/>
    </xf>
    <xf numFmtId="0" fontId="50" fillId="8" borderId="0" xfId="0" applyFont="1" applyFill="1" applyAlignment="1">
      <alignment horizontal="right" vertical="center"/>
    </xf>
    <xf numFmtId="1" fontId="122" fillId="8" borderId="0" xfId="1" applyNumberFormat="1" applyFont="1" applyFill="1" applyAlignment="1" applyProtection="1">
      <alignment horizontal="left" vertical="center"/>
      <protection hidden="1"/>
    </xf>
    <xf numFmtId="0" fontId="181" fillId="8" borderId="0" xfId="1" applyFont="1" applyFill="1" applyAlignment="1">
      <alignment horizontal="left" vertical="center"/>
    </xf>
    <xf numFmtId="0" fontId="68" fillId="8" borderId="0" xfId="1" applyFont="1" applyFill="1" applyAlignment="1">
      <alignment vertical="center"/>
    </xf>
    <xf numFmtId="0" fontId="36" fillId="8" borderId="9" xfId="1" applyFont="1" applyFill="1" applyBorder="1" applyAlignment="1">
      <alignment vertical="center"/>
    </xf>
    <xf numFmtId="0" fontId="20" fillId="8" borderId="16" xfId="1" applyFont="1" applyFill="1" applyBorder="1" applyAlignment="1" applyProtection="1">
      <alignment horizontal="right" vertical="center"/>
      <protection locked="0"/>
    </xf>
    <xf numFmtId="0" fontId="45" fillId="34" borderId="0" xfId="1" applyFont="1" applyFill="1" applyAlignment="1">
      <alignment horizontal="center" vertical="center"/>
    </xf>
    <xf numFmtId="0" fontId="53" fillId="46" borderId="0" xfId="1" applyFont="1" applyFill="1" applyAlignment="1">
      <alignment horizontal="center" vertical="center"/>
    </xf>
    <xf numFmtId="0" fontId="16" fillId="34" borderId="0" xfId="1" applyFont="1" applyFill="1" applyAlignment="1">
      <alignment horizontal="left" vertical="center"/>
    </xf>
    <xf numFmtId="0" fontId="31" fillId="43" borderId="0" xfId="1" applyFont="1" applyFill="1" applyAlignment="1">
      <alignment horizontal="left" vertical="center"/>
    </xf>
    <xf numFmtId="0" fontId="131" fillId="8" borderId="0" xfId="1" applyFont="1" applyFill="1" applyAlignment="1">
      <alignment horizontal="left" vertical="center"/>
    </xf>
    <xf numFmtId="0" fontId="131" fillId="8" borderId="9" xfId="1" applyFont="1" applyFill="1" applyBorder="1" applyAlignment="1">
      <alignment horizontal="right" vertical="center"/>
    </xf>
    <xf numFmtId="0" fontId="0" fillId="8" borderId="47" xfId="0" applyFill="1" applyBorder="1"/>
    <xf numFmtId="0" fontId="20" fillId="8" borderId="0" xfId="17" applyFont="1" applyFill="1" applyBorder="1" applyAlignment="1">
      <alignment horizontal="right" vertical="center"/>
    </xf>
    <xf numFmtId="0" fontId="62" fillId="0" borderId="0" xfId="9" applyFont="1" applyAlignment="1">
      <alignment horizontal="right" vertical="center"/>
    </xf>
    <xf numFmtId="168" fontId="62" fillId="20" borderId="9" xfId="1" applyNumberFormat="1" applyFont="1" applyFill="1" applyBorder="1" applyAlignment="1">
      <alignment horizontal="center" vertical="center"/>
    </xf>
    <xf numFmtId="0" fontId="24" fillId="8" borderId="0" xfId="11" applyFont="1" applyFill="1" applyAlignment="1">
      <alignment horizontal="right" vertical="center"/>
    </xf>
    <xf numFmtId="1" fontId="10" fillId="41" borderId="9" xfId="9" applyNumberFormat="1" applyFont="1" applyFill="1" applyBorder="1" applyAlignment="1">
      <alignment horizontal="center" vertical="center"/>
    </xf>
    <xf numFmtId="184" fontId="111" fillId="8" borderId="0" xfId="1" applyNumberFormat="1" applyFont="1" applyFill="1" applyAlignment="1">
      <alignment horizontal="right" vertical="center"/>
    </xf>
    <xf numFmtId="0" fontId="68" fillId="0" borderId="0" xfId="9" applyFont="1" applyAlignment="1">
      <alignment horizontal="right" vertical="center"/>
    </xf>
    <xf numFmtId="0" fontId="45" fillId="20" borderId="9" xfId="1" applyFont="1" applyFill="1" applyBorder="1" applyAlignment="1">
      <alignment horizontal="center" vertical="center"/>
    </xf>
    <xf numFmtId="0" fontId="48" fillId="8" borderId="0" xfId="11" applyFont="1" applyFill="1" applyAlignment="1">
      <alignment horizontal="right" vertical="center"/>
    </xf>
    <xf numFmtId="168" fontId="10" fillId="41" borderId="9" xfId="1" applyNumberFormat="1" applyFont="1" applyFill="1" applyBorder="1" applyAlignment="1">
      <alignment horizontal="center" vertical="center"/>
    </xf>
    <xf numFmtId="0" fontId="59" fillId="8" borderId="0" xfId="24" applyFont="1" applyFill="1" applyAlignment="1">
      <alignment horizontal="right" vertical="center"/>
    </xf>
    <xf numFmtId="0" fontId="59" fillId="8" borderId="9" xfId="3" applyFont="1" applyFill="1" applyBorder="1" applyAlignment="1">
      <alignment horizontal="center" vertical="center"/>
    </xf>
    <xf numFmtId="0" fontId="59" fillId="8" borderId="82" xfId="24" applyFont="1" applyFill="1" applyBorder="1" applyAlignment="1">
      <alignment horizontal="left" vertical="center"/>
    </xf>
    <xf numFmtId="0" fontId="5" fillId="42" borderId="91" xfId="0" applyFont="1" applyFill="1" applyBorder="1" applyAlignment="1">
      <alignment horizontal="right" vertical="center"/>
    </xf>
    <xf numFmtId="0" fontId="134" fillId="44" borderId="51" xfId="16" applyFont="1" applyFill="1" applyBorder="1" applyAlignment="1" applyProtection="1">
      <alignment horizontal="right" vertical="center"/>
      <protection locked="0"/>
    </xf>
    <xf numFmtId="0" fontId="160" fillId="44" borderId="5" xfId="16" applyFont="1" applyFill="1" applyBorder="1" applyAlignment="1" applyProtection="1">
      <alignment vertical="center"/>
      <protection locked="0"/>
    </xf>
    <xf numFmtId="0" fontId="36" fillId="117" borderId="5" xfId="1" applyFont="1" applyFill="1" applyBorder="1" applyAlignment="1">
      <alignment horizontal="center" vertical="center"/>
    </xf>
    <xf numFmtId="0" fontId="154" fillId="8" borderId="5" xfId="3" applyFont="1" applyFill="1" applyBorder="1" applyAlignment="1">
      <alignment horizontal="left" vertical="center"/>
    </xf>
    <xf numFmtId="0" fontId="0" fillId="8" borderId="54" xfId="0" applyFill="1" applyBorder="1"/>
    <xf numFmtId="0" fontId="134" fillId="44" borderId="16" xfId="16" applyFont="1" applyFill="1" applyBorder="1" applyAlignment="1" applyProtection="1">
      <alignment horizontal="right" vertical="center"/>
      <protection locked="0"/>
    </xf>
    <xf numFmtId="0" fontId="77" fillId="8" borderId="0" xfId="1" applyFont="1" applyFill="1" applyAlignment="1">
      <alignment vertical="center"/>
    </xf>
    <xf numFmtId="0" fontId="36" fillId="20" borderId="0" xfId="1" applyFont="1" applyFill="1" applyAlignment="1">
      <alignment horizontal="right" vertical="center"/>
    </xf>
    <xf numFmtId="0" fontId="154" fillId="8" borderId="0" xfId="3" applyFont="1" applyFill="1" applyAlignment="1">
      <alignment horizontal="left" vertical="center"/>
    </xf>
    <xf numFmtId="0" fontId="0" fillId="0" borderId="16" xfId="0" applyBorder="1"/>
    <xf numFmtId="0" fontId="10" fillId="8" borderId="0" xfId="3" applyFont="1" applyFill="1" applyAlignment="1">
      <alignment horizontal="right" vertical="center"/>
    </xf>
    <xf numFmtId="0" fontId="53" fillId="8" borderId="0" xfId="3" applyFont="1" applyFill="1" applyAlignment="1">
      <alignment horizontal="right" vertical="center"/>
    </xf>
    <xf numFmtId="168" fontId="111" fillId="45" borderId="0" xfId="1" applyNumberFormat="1" applyFont="1" applyFill="1" applyAlignment="1">
      <alignment horizontal="center" vertical="center"/>
    </xf>
    <xf numFmtId="169" fontId="111" fillId="45" borderId="0" xfId="16" applyNumberFormat="1" applyFont="1" applyFill="1" applyAlignment="1" applyProtection="1">
      <alignment horizontal="center" vertical="center"/>
      <protection locked="0"/>
    </xf>
    <xf numFmtId="0" fontId="94" fillId="8" borderId="0" xfId="3" applyFont="1" applyFill="1" applyAlignment="1">
      <alignment horizontal="left" vertical="center"/>
    </xf>
    <xf numFmtId="0" fontId="13" fillId="27" borderId="205" xfId="5" applyFont="1" applyFill="1" applyBorder="1" applyAlignment="1">
      <alignment horizontal="center" vertical="center"/>
    </xf>
    <xf numFmtId="0" fontId="13" fillId="25" borderId="206" xfId="5" applyFont="1" applyFill="1" applyBorder="1" applyAlignment="1">
      <alignment horizontal="center" vertical="center"/>
    </xf>
    <xf numFmtId="0" fontId="10" fillId="118" borderId="206" xfId="5" applyFont="1" applyFill="1" applyBorder="1" applyAlignment="1">
      <alignment horizontal="center" vertical="center"/>
    </xf>
    <xf numFmtId="0" fontId="13" fillId="119" borderId="206" xfId="5" applyFont="1" applyFill="1" applyBorder="1" applyAlignment="1">
      <alignment horizontal="center" vertical="center"/>
    </xf>
    <xf numFmtId="0" fontId="13" fillId="120" borderId="52" xfId="1" applyFont="1" applyFill="1" applyBorder="1" applyAlignment="1">
      <alignment vertical="center"/>
    </xf>
    <xf numFmtId="0" fontId="13" fillId="120" borderId="117" xfId="1" applyFont="1" applyFill="1" applyBorder="1" applyAlignment="1">
      <alignment vertical="center"/>
    </xf>
    <xf numFmtId="0" fontId="74" fillId="66" borderId="208" xfId="5" applyFont="1" applyFill="1" applyBorder="1" applyAlignment="1">
      <alignment horizontal="center" vertical="center"/>
    </xf>
    <xf numFmtId="0" fontId="74" fillId="66" borderId="209" xfId="5" applyFont="1" applyFill="1" applyBorder="1" applyAlignment="1">
      <alignment horizontal="center" vertical="center"/>
    </xf>
    <xf numFmtId="0" fontId="74" fillId="20" borderId="209" xfId="5" applyFont="1" applyFill="1" applyBorder="1" applyAlignment="1">
      <alignment horizontal="center" vertical="center"/>
    </xf>
    <xf numFmtId="174" fontId="26" fillId="120" borderId="56" xfId="1" applyNumberFormat="1" applyFont="1" applyFill="1" applyBorder="1" applyAlignment="1">
      <alignment vertical="center"/>
    </xf>
    <xf numFmtId="174" fontId="13" fillId="120" borderId="57" xfId="1" applyNumberFormat="1" applyFont="1" applyFill="1" applyBorder="1" applyAlignment="1">
      <alignment horizontal="left" vertical="center"/>
    </xf>
    <xf numFmtId="0" fontId="64" fillId="45" borderId="208" xfId="16" applyFont="1" applyFill="1" applyBorder="1" applyAlignment="1" applyProtection="1">
      <alignment horizontal="center" vertical="center"/>
      <protection locked="0"/>
    </xf>
    <xf numFmtId="0" fontId="64" fillId="45" borderId="209" xfId="16" applyFont="1" applyFill="1" applyBorder="1" applyAlignment="1" applyProtection="1">
      <alignment horizontal="center" vertical="center"/>
      <protection locked="0"/>
    </xf>
    <xf numFmtId="0" fontId="13" fillId="121" borderId="5" xfId="1" applyFont="1" applyFill="1" applyBorder="1" applyAlignment="1">
      <alignment vertical="center"/>
    </xf>
    <xf numFmtId="0" fontId="13" fillId="121" borderId="54" xfId="1" applyFont="1" applyFill="1" applyBorder="1" applyAlignment="1">
      <alignment vertical="center"/>
    </xf>
    <xf numFmtId="0" fontId="20" fillId="43" borderId="208" xfId="1" applyFont="1" applyFill="1" applyBorder="1" applyAlignment="1">
      <alignment horizontal="center" vertical="center"/>
    </xf>
    <xf numFmtId="0" fontId="20" fillId="43" borderId="209" xfId="1" applyFont="1" applyFill="1" applyBorder="1" applyAlignment="1">
      <alignment horizontal="center" vertical="center"/>
    </xf>
    <xf numFmtId="0" fontId="26" fillId="121" borderId="56" xfId="1" applyFont="1" applyFill="1" applyBorder="1" applyAlignment="1">
      <alignment vertical="center"/>
    </xf>
    <xf numFmtId="174" fontId="13" fillId="121" borderId="57" xfId="1" applyNumberFormat="1" applyFont="1" applyFill="1" applyBorder="1" applyAlignment="1">
      <alignment horizontal="left" vertical="center"/>
    </xf>
    <xf numFmtId="0" fontId="46" fillId="91" borderId="212" xfId="1" applyFont="1" applyFill="1" applyBorder="1" applyAlignment="1">
      <alignment horizontal="center" vertical="center"/>
    </xf>
    <xf numFmtId="0" fontId="46" fillId="91" borderId="213" xfId="1" applyFont="1" applyFill="1" applyBorder="1" applyAlignment="1">
      <alignment horizontal="center" vertical="center"/>
    </xf>
    <xf numFmtId="0" fontId="13" fillId="122" borderId="5" xfId="1" applyFont="1" applyFill="1" applyBorder="1" applyAlignment="1">
      <alignment vertical="center"/>
    </xf>
    <xf numFmtId="0" fontId="13" fillId="122" borderId="54" xfId="1" applyFont="1" applyFill="1" applyBorder="1" applyAlignment="1">
      <alignment vertical="center"/>
    </xf>
    <xf numFmtId="0" fontId="349" fillId="43" borderId="51" xfId="5" applyFont="1" applyFill="1" applyBorder="1" applyAlignment="1">
      <alignment horizontal="center" vertical="center"/>
    </xf>
    <xf numFmtId="0" fontId="13" fillId="43" borderId="5" xfId="5" applyFont="1" applyFill="1" applyBorder="1" applyAlignment="1">
      <alignment horizontal="center" vertical="center"/>
    </xf>
    <xf numFmtId="0" fontId="154" fillId="43" borderId="214" xfId="1" applyFont="1" applyFill="1" applyBorder="1" applyAlignment="1">
      <alignment horizontal="right" vertical="center"/>
    </xf>
    <xf numFmtId="0" fontId="26" fillId="122" borderId="56" xfId="1" applyFont="1" applyFill="1" applyBorder="1" applyAlignment="1">
      <alignment vertical="center"/>
    </xf>
    <xf numFmtId="174" fontId="13" fillId="122" borderId="57" xfId="1" applyNumberFormat="1" applyFont="1" applyFill="1" applyBorder="1" applyAlignment="1">
      <alignment horizontal="left" vertical="center"/>
    </xf>
    <xf numFmtId="174" fontId="4" fillId="43" borderId="16" xfId="3" applyNumberFormat="1" applyFont="1" applyFill="1" applyBorder="1" applyAlignment="1">
      <alignment horizontal="center" vertical="center"/>
    </xf>
    <xf numFmtId="0" fontId="13" fillId="60" borderId="0" xfId="16" applyFont="1" applyFill="1" applyAlignment="1" applyProtection="1">
      <alignment horizontal="center" vertical="center"/>
      <protection locked="0"/>
    </xf>
    <xf numFmtId="0" fontId="1" fillId="43" borderId="0" xfId="3" applyFill="1"/>
    <xf numFmtId="0" fontId="13" fillId="123" borderId="5" xfId="1" applyFont="1" applyFill="1" applyBorder="1" applyAlignment="1">
      <alignment vertical="center"/>
    </xf>
    <xf numFmtId="0" fontId="13" fillId="123" borderId="54" xfId="1" applyFont="1" applyFill="1" applyBorder="1" applyAlignment="1">
      <alignment vertical="center"/>
    </xf>
    <xf numFmtId="0" fontId="53" fillId="60" borderId="16" xfId="16" applyFont="1" applyFill="1" applyBorder="1" applyAlignment="1" applyProtection="1">
      <alignment horizontal="left" vertical="center"/>
      <protection locked="0"/>
    </xf>
    <xf numFmtId="0" fontId="0" fillId="43" borderId="0" xfId="0" applyFill="1"/>
    <xf numFmtId="0" fontId="48" fillId="43" borderId="193" xfId="1" applyFont="1" applyFill="1" applyBorder="1" applyAlignment="1">
      <alignment horizontal="left" vertical="center"/>
    </xf>
    <xf numFmtId="0" fontId="26" fillId="123" borderId="56" xfId="1" applyFont="1" applyFill="1" applyBorder="1" applyAlignment="1">
      <alignment vertical="center"/>
    </xf>
    <xf numFmtId="174" fontId="13" fillId="123" borderId="57" xfId="1" applyNumberFormat="1" applyFont="1" applyFill="1" applyBorder="1" applyAlignment="1">
      <alignment horizontal="left" vertical="center"/>
    </xf>
    <xf numFmtId="0" fontId="4" fillId="27" borderId="51" xfId="3" applyFont="1" applyFill="1" applyBorder="1" applyAlignment="1">
      <alignment vertical="center"/>
    </xf>
    <xf numFmtId="0" fontId="4" fillId="27" borderId="5" xfId="3" applyFont="1" applyFill="1" applyBorder="1" applyAlignment="1">
      <alignment vertical="center"/>
    </xf>
    <xf numFmtId="0" fontId="4" fillId="27" borderId="214" xfId="3" applyFont="1" applyFill="1" applyBorder="1" applyAlignment="1">
      <alignment vertical="center"/>
    </xf>
    <xf numFmtId="174" fontId="174" fillId="124" borderId="211" xfId="1" applyNumberFormat="1" applyFont="1" applyFill="1" applyBorder="1" applyAlignment="1">
      <alignment horizontal="center" vertical="center"/>
    </xf>
    <xf numFmtId="0" fontId="48" fillId="27" borderId="5" xfId="3" applyFont="1" applyFill="1" applyBorder="1" applyAlignment="1">
      <alignment horizontal="left" vertical="center"/>
    </xf>
    <xf numFmtId="0" fontId="57" fillId="27" borderId="5" xfId="3" applyFont="1" applyFill="1" applyBorder="1" applyAlignment="1">
      <alignment vertical="center"/>
    </xf>
    <xf numFmtId="0" fontId="57" fillId="27" borderId="54" xfId="3" applyFont="1" applyFill="1" applyBorder="1" applyAlignment="1">
      <alignment vertical="center"/>
    </xf>
    <xf numFmtId="0" fontId="4" fillId="125" borderId="16" xfId="3" applyFont="1" applyFill="1" applyBorder="1" applyAlignment="1">
      <alignment vertical="center"/>
    </xf>
    <xf numFmtId="0" fontId="4" fillId="125" borderId="0" xfId="3" applyFont="1" applyFill="1" applyAlignment="1">
      <alignment vertical="center"/>
    </xf>
    <xf numFmtId="0" fontId="4" fillId="125" borderId="193" xfId="3" applyFont="1" applyFill="1" applyBorder="1" applyAlignment="1">
      <alignment vertical="center"/>
    </xf>
    <xf numFmtId="174" fontId="174" fillId="126" borderId="194" xfId="1" applyNumberFormat="1" applyFont="1" applyFill="1" applyBorder="1" applyAlignment="1">
      <alignment horizontal="center" vertical="center"/>
    </xf>
    <xf numFmtId="0" fontId="48" fillId="125" borderId="0" xfId="3" applyFont="1" applyFill="1" applyAlignment="1">
      <alignment horizontal="left" vertical="center"/>
    </xf>
    <xf numFmtId="0" fontId="57" fillId="125" borderId="0" xfId="3" applyFont="1" applyFill="1" applyAlignment="1">
      <alignment vertical="center"/>
    </xf>
    <xf numFmtId="0" fontId="57" fillId="125" borderId="9" xfId="3" applyFont="1" applyFill="1" applyBorder="1" applyAlignment="1">
      <alignment vertical="center"/>
    </xf>
    <xf numFmtId="0" fontId="4" fillId="118" borderId="16" xfId="3" applyFont="1" applyFill="1" applyBorder="1" applyAlignment="1">
      <alignment vertical="center"/>
    </xf>
    <xf numFmtId="0" fontId="4" fillId="118" borderId="0" xfId="3" applyFont="1" applyFill="1" applyAlignment="1">
      <alignment vertical="center"/>
    </xf>
    <xf numFmtId="0" fontId="4" fillId="118" borderId="193" xfId="3" applyFont="1" applyFill="1" applyBorder="1" applyAlignment="1">
      <alignment vertical="center"/>
    </xf>
    <xf numFmtId="174" fontId="174" fillId="127" borderId="194" xfId="1" applyNumberFormat="1" applyFont="1" applyFill="1" applyBorder="1" applyAlignment="1">
      <alignment horizontal="center" vertical="center"/>
    </xf>
    <xf numFmtId="0" fontId="48" fillId="118" borderId="0" xfId="3" applyFont="1" applyFill="1" applyAlignment="1">
      <alignment horizontal="left" vertical="center"/>
    </xf>
    <xf numFmtId="0" fontId="57" fillId="118" borderId="0" xfId="3" applyFont="1" applyFill="1" applyAlignment="1">
      <alignment vertical="center"/>
    </xf>
    <xf numFmtId="0" fontId="57" fillId="118" borderId="9" xfId="3" applyFont="1" applyFill="1" applyBorder="1" applyAlignment="1">
      <alignment vertical="center"/>
    </xf>
    <xf numFmtId="0" fontId="4" fillId="119" borderId="16" xfId="3" applyFont="1" applyFill="1" applyBorder="1" applyAlignment="1">
      <alignment vertical="center"/>
    </xf>
    <xf numFmtId="0" fontId="4" fillId="119" borderId="0" xfId="3" applyFont="1" applyFill="1" applyAlignment="1">
      <alignment vertical="center"/>
    </xf>
    <xf numFmtId="0" fontId="4" fillId="119" borderId="193" xfId="3" applyFont="1" applyFill="1" applyBorder="1" applyAlignment="1">
      <alignment vertical="center"/>
    </xf>
    <xf numFmtId="174" fontId="174" fillId="128" borderId="194" xfId="1" applyNumberFormat="1" applyFont="1" applyFill="1" applyBorder="1" applyAlignment="1">
      <alignment horizontal="center" vertical="center"/>
    </xf>
    <xf numFmtId="0" fontId="48" fillId="119" borderId="0" xfId="3" applyFont="1" applyFill="1" applyAlignment="1">
      <alignment horizontal="left" vertical="center"/>
    </xf>
    <xf numFmtId="0" fontId="57" fillId="119" borderId="0" xfId="3" applyFont="1" applyFill="1" applyAlignment="1">
      <alignment vertical="center"/>
    </xf>
    <xf numFmtId="0" fontId="57" fillId="119" borderId="9" xfId="3" applyFont="1" applyFill="1" applyBorder="1" applyAlignment="1">
      <alignment vertical="center"/>
    </xf>
    <xf numFmtId="0" fontId="76" fillId="0" borderId="17" xfId="1" applyFont="1" applyBorder="1" applyAlignment="1">
      <alignment horizontal="right" vertical="center"/>
    </xf>
    <xf numFmtId="173" fontId="84" fillId="8" borderId="0" xfId="1" applyNumberFormat="1" applyFont="1" applyFill="1" applyAlignment="1">
      <alignment horizontal="right" vertical="center"/>
    </xf>
    <xf numFmtId="174" fontId="174" fillId="47" borderId="0" xfId="1" applyNumberFormat="1" applyFont="1" applyFill="1" applyAlignment="1">
      <alignment horizontal="right" vertical="center"/>
    </xf>
    <xf numFmtId="0" fontId="356" fillId="8" borderId="2" xfId="1" applyFont="1" applyFill="1" applyBorder="1" applyAlignment="1" applyProtection="1">
      <alignment vertical="center"/>
      <protection hidden="1"/>
    </xf>
    <xf numFmtId="0" fontId="356" fillId="8" borderId="0" xfId="1" applyFont="1" applyFill="1" applyAlignment="1" applyProtection="1">
      <alignment vertical="center"/>
      <protection hidden="1"/>
    </xf>
    <xf numFmtId="0" fontId="46" fillId="8" borderId="0" xfId="1" applyFont="1" applyFill="1" applyAlignment="1">
      <alignment horizontal="center" vertical="center"/>
    </xf>
    <xf numFmtId="0" fontId="357" fillId="8" borderId="7" xfId="1" applyFont="1" applyFill="1" applyBorder="1" applyAlignment="1" applyProtection="1">
      <alignment vertical="center"/>
      <protection hidden="1"/>
    </xf>
    <xf numFmtId="0" fontId="357" fillId="8" borderId="6" xfId="1" applyFont="1" applyFill="1" applyBorder="1" applyAlignment="1" applyProtection="1">
      <alignment vertical="center"/>
      <protection hidden="1"/>
    </xf>
    <xf numFmtId="0" fontId="38" fillId="8" borderId="6" xfId="1" applyFont="1" applyFill="1" applyBorder="1" applyAlignment="1">
      <alignment horizontal="left" vertical="center"/>
    </xf>
    <xf numFmtId="0" fontId="66" fillId="8" borderId="58" xfId="1" applyFont="1" applyFill="1" applyBorder="1"/>
    <xf numFmtId="0" fontId="358" fillId="8" borderId="3" xfId="1" applyFont="1" applyFill="1" applyBorder="1" applyAlignment="1">
      <alignment horizontal="center" vertical="center"/>
    </xf>
    <xf numFmtId="0" fontId="36" fillId="8" borderId="3" xfId="1" applyFont="1" applyFill="1" applyBorder="1" applyAlignment="1" applyProtection="1">
      <alignment vertical="center"/>
      <protection hidden="1"/>
    </xf>
    <xf numFmtId="0" fontId="0" fillId="0" borderId="3" xfId="0" applyBorder="1"/>
    <xf numFmtId="0" fontId="360" fillId="3" borderId="0" xfId="1" applyFont="1" applyFill="1" applyAlignment="1" applyProtection="1">
      <alignment vertical="center"/>
      <protection hidden="1"/>
    </xf>
    <xf numFmtId="0" fontId="32" fillId="3" borderId="0" xfId="0" applyFont="1" applyFill="1" applyAlignment="1">
      <alignment horizontal="left" vertical="center"/>
    </xf>
    <xf numFmtId="0" fontId="64" fillId="8" borderId="134" xfId="13" applyFont="1" applyFill="1" applyBorder="1" applyAlignment="1">
      <alignment horizontal="center" vertical="center"/>
    </xf>
    <xf numFmtId="0" fontId="189" fillId="8" borderId="0" xfId="0" applyFont="1" applyFill="1" applyAlignment="1">
      <alignment horizontal="right" vertical="center"/>
    </xf>
    <xf numFmtId="0" fontId="111" fillId="21" borderId="3" xfId="1" applyFont="1" applyFill="1" applyBorder="1" applyAlignment="1" applyProtection="1">
      <alignment horizontal="left" vertical="center"/>
      <protection hidden="1"/>
    </xf>
    <xf numFmtId="0" fontId="354" fillId="21" borderId="3" xfId="1" applyFont="1" applyFill="1" applyBorder="1" applyAlignment="1">
      <alignment horizontal="center" vertical="center"/>
    </xf>
    <xf numFmtId="0" fontId="22" fillId="129" borderId="2" xfId="6" applyFont="1" applyFill="1" applyBorder="1" applyAlignment="1">
      <alignment horizontal="left" vertical="center"/>
    </xf>
    <xf numFmtId="0" fontId="22" fillId="129" borderId="2" xfId="6" applyFont="1" applyFill="1" applyBorder="1" applyAlignment="1">
      <alignment horizontal="center" vertical="center"/>
    </xf>
    <xf numFmtId="1" fontId="22" fillId="129" borderId="2" xfId="6" applyNumberFormat="1" applyFont="1" applyFill="1" applyBorder="1" applyAlignment="1">
      <alignment horizontal="center" vertical="center"/>
    </xf>
    <xf numFmtId="0" fontId="24" fillId="129" borderId="2" xfId="1" applyFont="1" applyFill="1" applyBorder="1" applyAlignment="1">
      <alignment horizontal="center" vertical="center" wrapText="1"/>
    </xf>
    <xf numFmtId="0" fontId="5" fillId="130" borderId="2" xfId="35" applyFont="1" applyFill="1" applyBorder="1" applyAlignment="1">
      <alignment horizontal="center" vertical="center"/>
    </xf>
    <xf numFmtId="0" fontId="29" fillId="129" borderId="6" xfId="7" applyFont="1" applyFill="1" applyBorder="1" applyAlignment="1">
      <alignment horizontal="center" vertical="center"/>
    </xf>
    <xf numFmtId="0" fontId="22" fillId="129" borderId="0" xfId="6" applyFont="1" applyFill="1" applyAlignment="1">
      <alignment horizontal="right" vertical="center"/>
    </xf>
    <xf numFmtId="0" fontId="22" fillId="129" borderId="0" xfId="6" applyFont="1" applyFill="1" applyAlignment="1">
      <alignment horizontal="center" vertical="center"/>
    </xf>
    <xf numFmtId="1" fontId="22" fillId="129" borderId="0" xfId="6" applyNumberFormat="1" applyFont="1" applyFill="1" applyAlignment="1">
      <alignment horizontal="center" vertical="center"/>
    </xf>
    <xf numFmtId="0" fontId="31" fillId="129" borderId="0" xfId="1" applyFont="1" applyFill="1" applyAlignment="1">
      <alignment horizontal="center" vertical="center" wrapText="1"/>
    </xf>
    <xf numFmtId="195" fontId="362" fillId="116" borderId="5" xfId="36" applyNumberFormat="1" applyFont="1" applyFill="1" applyBorder="1" applyAlignment="1">
      <alignment horizontal="center" vertical="center"/>
    </xf>
    <xf numFmtId="190" fontId="48" fillId="90" borderId="6" xfId="0" applyNumberFormat="1" applyFont="1" applyFill="1" applyBorder="1" applyAlignment="1">
      <alignment horizontal="center" vertical="center"/>
    </xf>
    <xf numFmtId="196" fontId="135" fillId="16" borderId="0" xfId="26" applyNumberFormat="1" applyFont="1" applyFill="1" applyAlignment="1">
      <alignment horizontal="center" vertical="center"/>
    </xf>
    <xf numFmtId="197" fontId="26" fillId="7" borderId="0" xfId="26" applyNumberFormat="1" applyFont="1" applyFill="1" applyAlignment="1">
      <alignment horizontal="center" vertical="center"/>
    </xf>
    <xf numFmtId="0" fontId="26" fillId="15" borderId="0" xfId="26" applyFont="1" applyFill="1" applyAlignment="1">
      <alignment horizontal="center" vertical="center"/>
    </xf>
    <xf numFmtId="0" fontId="69" fillId="15" borderId="0" xfId="26" applyFont="1" applyFill="1" applyAlignment="1">
      <alignment horizontal="center" vertical="center"/>
    </xf>
    <xf numFmtId="1" fontId="68" fillId="31" borderId="98" xfId="1" applyNumberFormat="1" applyFont="1" applyFill="1" applyBorder="1" applyAlignment="1">
      <alignment horizontal="center" vertical="center"/>
    </xf>
    <xf numFmtId="0" fontId="363" fillId="15" borderId="0" xfId="26" applyFont="1" applyFill="1" applyAlignment="1">
      <alignment horizontal="center" vertical="center"/>
    </xf>
    <xf numFmtId="1" fontId="13" fillId="31" borderId="37" xfId="1" applyNumberFormat="1" applyFont="1" applyFill="1" applyBorder="1" applyAlignment="1">
      <alignment horizontal="center" vertical="center"/>
    </xf>
    <xf numFmtId="0" fontId="5" fillId="129" borderId="6" xfId="7" applyFont="1" applyFill="1" applyBorder="1" applyAlignment="1">
      <alignment horizontal="center" vertical="center"/>
    </xf>
    <xf numFmtId="0" fontId="13" fillId="20" borderId="216" xfId="1" applyFont="1" applyFill="1" applyBorder="1" applyAlignment="1" applyProtection="1">
      <alignment horizontal="center" vertical="center"/>
      <protection hidden="1"/>
    </xf>
    <xf numFmtId="0" fontId="90" fillId="129" borderId="3" xfId="1" applyFont="1" applyFill="1" applyBorder="1" applyAlignment="1" applyProtection="1">
      <alignment vertical="center"/>
      <protection hidden="1"/>
    </xf>
    <xf numFmtId="0" fontId="13" fillId="15" borderId="0" xfId="26" applyFont="1" applyFill="1" applyAlignment="1">
      <alignment horizontal="center" vertical="center"/>
    </xf>
    <xf numFmtId="0" fontId="86" fillId="15" borderId="0" xfId="17" applyFill="1" applyAlignment="1">
      <alignment horizontal="left" vertical="center"/>
    </xf>
    <xf numFmtId="0" fontId="29" fillId="129" borderId="58" xfId="7" applyFont="1" applyFill="1" applyBorder="1" applyAlignment="1">
      <alignment horizontal="center" vertical="center"/>
    </xf>
    <xf numFmtId="0" fontId="8" fillId="129" borderId="3" xfId="7" applyFont="1" applyFill="1" applyBorder="1" applyAlignment="1">
      <alignment vertical="center"/>
    </xf>
    <xf numFmtId="1" fontId="8" fillId="129" borderId="3" xfId="7" applyNumberFormat="1" applyFont="1" applyFill="1" applyBorder="1" applyAlignment="1">
      <alignment horizontal="left" vertical="center"/>
    </xf>
    <xf numFmtId="0" fontId="21" fillId="129" borderId="3" xfId="1" applyFont="1" applyFill="1" applyBorder="1" applyAlignment="1" applyProtection="1">
      <alignment vertical="center"/>
      <protection hidden="1"/>
    </xf>
    <xf numFmtId="0" fontId="21" fillId="129" borderId="59" xfId="1" applyFont="1" applyFill="1" applyBorder="1" applyAlignment="1" applyProtection="1">
      <alignment vertical="center"/>
      <protection hidden="1"/>
    </xf>
    <xf numFmtId="0" fontId="26" fillId="15" borderId="0" xfId="10" applyFont="1" applyFill="1" applyAlignment="1">
      <alignment horizontal="left" vertical="center"/>
    </xf>
    <xf numFmtId="0" fontId="174" fillId="16" borderId="2" xfId="6" applyFont="1" applyFill="1" applyBorder="1" applyAlignment="1">
      <alignment horizontal="left" vertical="center"/>
    </xf>
    <xf numFmtId="0" fontId="174" fillId="16" borderId="2" xfId="6" applyFont="1" applyFill="1" applyBorder="1" applyAlignment="1">
      <alignment horizontal="center" vertical="center"/>
    </xf>
    <xf numFmtId="1" fontId="174" fillId="16" borderId="2" xfId="6" applyNumberFormat="1" applyFont="1" applyFill="1" applyBorder="1" applyAlignment="1">
      <alignment horizontal="center" vertical="center"/>
    </xf>
    <xf numFmtId="0" fontId="174" fillId="16" borderId="2" xfId="1" applyFont="1" applyFill="1" applyBorder="1" applyAlignment="1">
      <alignment horizontal="left" vertical="center" wrapText="1"/>
    </xf>
    <xf numFmtId="0" fontId="24" fillId="16" borderId="2" xfId="1" applyFont="1" applyFill="1" applyBorder="1" applyAlignment="1">
      <alignment horizontal="center" vertical="center" wrapText="1"/>
    </xf>
    <xf numFmtId="0" fontId="86" fillId="15" borderId="0" xfId="17" applyFill="1" applyBorder="1" applyAlignment="1" applyProtection="1">
      <alignment vertical="center"/>
      <protection hidden="1"/>
    </xf>
    <xf numFmtId="0" fontId="57" fillId="16" borderId="6" xfId="7" applyFont="1" applyFill="1" applyBorder="1" applyAlignment="1">
      <alignment horizontal="center" vertical="center"/>
    </xf>
    <xf numFmtId="0" fontId="174" fillId="16" borderId="0" xfId="6" applyFont="1" applyFill="1" applyAlignment="1">
      <alignment horizontal="right" vertical="center"/>
    </xf>
    <xf numFmtId="0" fontId="174" fillId="16" borderId="0" xfId="6" applyFont="1" applyFill="1" applyAlignment="1">
      <alignment horizontal="center" vertical="center"/>
    </xf>
    <xf numFmtId="1" fontId="174" fillId="16" borderId="0" xfId="6" applyNumberFormat="1" applyFont="1" applyFill="1" applyAlignment="1">
      <alignment horizontal="center" vertical="center"/>
    </xf>
    <xf numFmtId="0" fontId="174" fillId="16" borderId="0" xfId="0" applyFont="1" applyFill="1" applyAlignment="1">
      <alignment horizontal="center" vertical="center" wrapText="1"/>
    </xf>
    <xf numFmtId="0" fontId="31" fillId="16" borderId="0" xfId="1" applyFont="1" applyFill="1" applyAlignment="1">
      <alignment horizontal="center" vertical="center" wrapText="1"/>
    </xf>
    <xf numFmtId="0" fontId="13" fillId="15" borderId="0" xfId="26" applyFont="1" applyFill="1" applyAlignment="1">
      <alignment horizontal="left" vertical="center"/>
    </xf>
    <xf numFmtId="0" fontId="20" fillId="16" borderId="6" xfId="7" applyFont="1" applyFill="1" applyBorder="1" applyAlignment="1">
      <alignment horizontal="center" vertical="center"/>
    </xf>
    <xf numFmtId="0" fontId="31" fillId="16" borderId="3" xfId="1" applyFont="1" applyFill="1" applyBorder="1" applyAlignment="1" applyProtection="1">
      <alignment vertical="center"/>
      <protection hidden="1"/>
    </xf>
    <xf numFmtId="0" fontId="57" fillId="16" borderId="58" xfId="7" applyFont="1" applyFill="1" applyBorder="1" applyAlignment="1">
      <alignment horizontal="center" vertical="center"/>
    </xf>
    <xf numFmtId="0" fontId="174" fillId="16" borderId="3" xfId="7" applyFont="1" applyFill="1" applyBorder="1" applyAlignment="1">
      <alignment vertical="center"/>
    </xf>
    <xf numFmtId="1" fontId="174" fillId="16" borderId="3" xfId="7" applyNumberFormat="1" applyFont="1" applyFill="1" applyBorder="1" applyAlignment="1">
      <alignment horizontal="left" vertical="center"/>
    </xf>
    <xf numFmtId="0" fontId="13" fillId="16" borderId="3" xfId="1" applyFont="1" applyFill="1" applyBorder="1" applyAlignment="1" applyProtection="1">
      <alignment vertical="center"/>
      <protection hidden="1"/>
    </xf>
    <xf numFmtId="0" fontId="13" fillId="16" borderId="59" xfId="1" applyFont="1" applyFill="1" applyBorder="1" applyAlignment="1" applyProtection="1">
      <alignment vertical="center"/>
      <protection hidden="1"/>
    </xf>
    <xf numFmtId="0" fontId="8" fillId="62" borderId="2" xfId="1" applyFont="1" applyFill="1" applyBorder="1" applyAlignment="1">
      <alignment horizontal="left" vertical="center" wrapText="1"/>
    </xf>
    <xf numFmtId="0" fontId="361" fillId="62" borderId="2" xfId="1" applyFont="1" applyFill="1" applyBorder="1" applyAlignment="1">
      <alignment horizontal="center" vertical="center" wrapText="1"/>
    </xf>
    <xf numFmtId="0" fontId="29" fillId="62" borderId="6" xfId="7" applyFont="1" applyFill="1" applyBorder="1" applyAlignment="1">
      <alignment horizontal="center" vertical="center"/>
    </xf>
    <xf numFmtId="0" fontId="8" fillId="62" borderId="0" xfId="0" applyFont="1" applyFill="1" applyAlignment="1">
      <alignment horizontal="center" vertical="center" wrapText="1"/>
    </xf>
    <xf numFmtId="0" fontId="90" fillId="62" borderId="0" xfId="1" applyFont="1" applyFill="1" applyAlignment="1">
      <alignment horizontal="center" vertical="center" wrapText="1"/>
    </xf>
    <xf numFmtId="0" fontId="5" fillId="62" borderId="6" xfId="7" applyFont="1" applyFill="1" applyBorder="1" applyAlignment="1">
      <alignment horizontal="center" vertical="center"/>
    </xf>
    <xf numFmtId="0" fontId="90" fillId="62" borderId="3" xfId="1" applyFont="1" applyFill="1" applyBorder="1" applyAlignment="1" applyProtection="1">
      <alignment vertical="center"/>
      <protection hidden="1"/>
    </xf>
    <xf numFmtId="0" fontId="29" fillId="62" borderId="58" xfId="7" applyFont="1" applyFill="1" applyBorder="1" applyAlignment="1">
      <alignment horizontal="center" vertical="center"/>
    </xf>
    <xf numFmtId="0" fontId="8" fillId="62" borderId="3" xfId="7" applyFont="1" applyFill="1" applyBorder="1" applyAlignment="1">
      <alignment vertical="center"/>
    </xf>
    <xf numFmtId="1" fontId="8" fillId="62" borderId="3" xfId="7" applyNumberFormat="1" applyFont="1" applyFill="1" applyBorder="1" applyAlignment="1">
      <alignment horizontal="left" vertical="center"/>
    </xf>
    <xf numFmtId="0" fontId="21" fillId="62" borderId="3" xfId="1" applyFont="1" applyFill="1" applyBorder="1" applyAlignment="1" applyProtection="1">
      <alignment vertical="center"/>
      <protection hidden="1"/>
    </xf>
    <xf numFmtId="0" fontId="21" fillId="62" borderId="59" xfId="1" applyFont="1" applyFill="1" applyBorder="1" applyAlignment="1" applyProtection="1">
      <alignment vertical="center"/>
      <protection hidden="1"/>
    </xf>
    <xf numFmtId="0" fontId="174" fillId="131" borderId="2" xfId="6" applyFont="1" applyFill="1" applyBorder="1" applyAlignment="1">
      <alignment horizontal="left" vertical="center"/>
    </xf>
    <xf numFmtId="0" fontId="174" fillId="131" borderId="2" xfId="6" applyFont="1" applyFill="1" applyBorder="1" applyAlignment="1">
      <alignment horizontal="center" vertical="center"/>
    </xf>
    <xf numFmtId="1" fontId="174" fillId="131" borderId="2" xfId="6" applyNumberFormat="1" applyFont="1" applyFill="1" applyBorder="1" applyAlignment="1">
      <alignment horizontal="center" vertical="center"/>
    </xf>
    <xf numFmtId="0" fontId="174" fillId="131" borderId="2" xfId="1" applyFont="1" applyFill="1" applyBorder="1" applyAlignment="1">
      <alignment horizontal="left" vertical="center" wrapText="1"/>
    </xf>
    <xf numFmtId="0" fontId="24" fillId="131" borderId="2" xfId="1" applyFont="1" applyFill="1" applyBorder="1" applyAlignment="1">
      <alignment horizontal="center" vertical="center" wrapText="1"/>
    </xf>
    <xf numFmtId="0" fontId="57" fillId="131" borderId="6" xfId="7" applyFont="1" applyFill="1" applyBorder="1" applyAlignment="1">
      <alignment horizontal="center" vertical="center"/>
    </xf>
    <xf numFmtId="0" fontId="174" fillId="131" borderId="0" xfId="6" applyFont="1" applyFill="1" applyAlignment="1">
      <alignment horizontal="right" vertical="center"/>
    </xf>
    <xf numFmtId="0" fontId="174" fillId="131" borderId="0" xfId="6" applyFont="1" applyFill="1" applyAlignment="1">
      <alignment horizontal="center" vertical="center"/>
    </xf>
    <xf numFmtId="1" fontId="174" fillId="131" borderId="0" xfId="6" applyNumberFormat="1" applyFont="1" applyFill="1" applyAlignment="1">
      <alignment horizontal="center" vertical="center"/>
    </xf>
    <xf numFmtId="0" fontId="174" fillId="131" borderId="0" xfId="0" applyFont="1" applyFill="1" applyAlignment="1">
      <alignment horizontal="center" vertical="center" wrapText="1"/>
    </xf>
    <xf numFmtId="0" fontId="31" fillId="131" borderId="0" xfId="1" applyFont="1" applyFill="1" applyAlignment="1">
      <alignment horizontal="center" vertical="center" wrapText="1"/>
    </xf>
    <xf numFmtId="0" fontId="20" fillId="131" borderId="6" xfId="7" applyFont="1" applyFill="1" applyBorder="1" applyAlignment="1">
      <alignment horizontal="center" vertical="center"/>
    </xf>
    <xf numFmtId="0" fontId="31" fillId="131" borderId="3" xfId="1" applyFont="1" applyFill="1" applyBorder="1" applyAlignment="1" applyProtection="1">
      <alignment vertical="center"/>
      <protection hidden="1"/>
    </xf>
    <xf numFmtId="0" fontId="57" fillId="131" borderId="58" xfId="7" applyFont="1" applyFill="1" applyBorder="1" applyAlignment="1">
      <alignment horizontal="center" vertical="center"/>
    </xf>
    <xf numFmtId="0" fontId="174" fillId="131" borderId="3" xfId="7" applyFont="1" applyFill="1" applyBorder="1" applyAlignment="1">
      <alignment vertical="center"/>
    </xf>
    <xf numFmtId="1" fontId="174" fillId="131" borderId="3" xfId="7" applyNumberFormat="1" applyFont="1" applyFill="1" applyBorder="1" applyAlignment="1">
      <alignment horizontal="left" vertical="center"/>
    </xf>
    <xf numFmtId="0" fontId="13" fillId="131" borderId="3" xfId="1" applyFont="1" applyFill="1" applyBorder="1" applyAlignment="1" applyProtection="1">
      <alignment vertical="center"/>
      <protection hidden="1"/>
    </xf>
    <xf numFmtId="0" fontId="13" fillId="131" borderId="59" xfId="1" applyFont="1" applyFill="1" applyBorder="1" applyAlignment="1" applyProtection="1">
      <alignment vertical="center"/>
      <protection hidden="1"/>
    </xf>
    <xf numFmtId="0" fontId="22" fillId="132" borderId="2" xfId="6" applyFont="1" applyFill="1" applyBorder="1" applyAlignment="1">
      <alignment horizontal="left" vertical="center"/>
    </xf>
    <xf numFmtId="0" fontId="22" fillId="132" borderId="2" xfId="6" applyFont="1" applyFill="1" applyBorder="1" applyAlignment="1">
      <alignment horizontal="center" vertical="center"/>
    </xf>
    <xf numFmtId="1" fontId="22" fillId="132" borderId="2" xfId="6" applyNumberFormat="1" applyFont="1" applyFill="1" applyBorder="1" applyAlignment="1">
      <alignment horizontal="center" vertical="center"/>
    </xf>
    <xf numFmtId="0" fontId="23" fillId="132" borderId="2" xfId="1" applyFont="1" applyFill="1" applyBorder="1" applyAlignment="1">
      <alignment horizontal="left" vertical="center" wrapText="1"/>
    </xf>
    <xf numFmtId="0" fontId="24" fillId="132" borderId="2" xfId="1" applyFont="1" applyFill="1" applyBorder="1" applyAlignment="1">
      <alignment horizontal="center" vertical="center" wrapText="1"/>
    </xf>
    <xf numFmtId="0" fontId="29" fillId="132" borderId="6" xfId="7" applyFont="1" applyFill="1" applyBorder="1" applyAlignment="1">
      <alignment horizontal="center" vertical="center"/>
    </xf>
    <xf numFmtId="0" fontId="22" fillId="132" borderId="0" xfId="6" applyFont="1" applyFill="1" applyAlignment="1">
      <alignment horizontal="right" vertical="center"/>
    </xf>
    <xf numFmtId="0" fontId="22" fillId="132" borderId="0" xfId="6" applyFont="1" applyFill="1" applyAlignment="1">
      <alignment horizontal="center" vertical="center"/>
    </xf>
    <xf numFmtId="1" fontId="22" fillId="132" borderId="0" xfId="6" applyNumberFormat="1" applyFont="1" applyFill="1" applyAlignment="1">
      <alignment horizontal="center" vertical="center"/>
    </xf>
    <xf numFmtId="0" fontId="30" fillId="132" borderId="0" xfId="0" applyFont="1" applyFill="1" applyAlignment="1">
      <alignment horizontal="center" vertical="center" wrapText="1"/>
    </xf>
    <xf numFmtId="0" fontId="31" fillId="132" borderId="0" xfId="1" applyFont="1" applyFill="1" applyAlignment="1">
      <alignment horizontal="center" vertical="center" wrapText="1"/>
    </xf>
    <xf numFmtId="0" fontId="2" fillId="133" borderId="217" xfId="3" applyFont="1" applyFill="1" applyBorder="1" applyAlignment="1">
      <alignment horizontal="left" vertical="center"/>
    </xf>
    <xf numFmtId="0" fontId="190" fillId="133" borderId="49" xfId="3" applyFont="1" applyFill="1" applyBorder="1" applyAlignment="1">
      <alignment horizontal="left" vertical="center"/>
    </xf>
    <xf numFmtId="0" fontId="5" fillId="132" borderId="6" xfId="7" applyFont="1" applyFill="1" applyBorder="1" applyAlignment="1">
      <alignment horizontal="center" vertical="center"/>
    </xf>
    <xf numFmtId="0" fontId="90" fillId="132" borderId="3" xfId="1" applyFont="1" applyFill="1" applyBorder="1" applyAlignment="1" applyProtection="1">
      <alignment vertical="center"/>
      <protection hidden="1"/>
    </xf>
    <xf numFmtId="0" fontId="29" fillId="132" borderId="58" xfId="7" applyFont="1" applyFill="1" applyBorder="1" applyAlignment="1">
      <alignment horizontal="center" vertical="center"/>
    </xf>
    <xf numFmtId="0" fontId="8" fillId="132" borderId="3" xfId="7" applyFont="1" applyFill="1" applyBorder="1" applyAlignment="1">
      <alignment vertical="center"/>
    </xf>
    <xf numFmtId="1" fontId="8" fillId="132" borderId="3" xfId="7" applyNumberFormat="1" applyFont="1" applyFill="1" applyBorder="1" applyAlignment="1">
      <alignment horizontal="left" vertical="center"/>
    </xf>
    <xf numFmtId="0" fontId="21" fillId="132" borderId="3" xfId="1" applyFont="1" applyFill="1" applyBorder="1" applyAlignment="1" applyProtection="1">
      <alignment vertical="center"/>
      <protection hidden="1"/>
    </xf>
    <xf numFmtId="0" fontId="21" fillId="132" borderId="59" xfId="1" applyFont="1" applyFill="1" applyBorder="1" applyAlignment="1" applyProtection="1">
      <alignment vertical="center"/>
      <protection hidden="1"/>
    </xf>
    <xf numFmtId="0" fontId="22" fillId="134" borderId="2" xfId="6" applyFont="1" applyFill="1" applyBorder="1" applyAlignment="1">
      <alignment horizontal="left" vertical="center"/>
    </xf>
    <xf numFmtId="0" fontId="22" fillId="134" borderId="2" xfId="6" applyFont="1" applyFill="1" applyBorder="1" applyAlignment="1">
      <alignment horizontal="center" vertical="center"/>
    </xf>
    <xf numFmtId="1" fontId="22" fillId="134" borderId="2" xfId="6" applyNumberFormat="1" applyFont="1" applyFill="1" applyBorder="1" applyAlignment="1">
      <alignment horizontal="center" vertical="center"/>
    </xf>
    <xf numFmtId="0" fontId="23" fillId="134" borderId="2" xfId="1" applyFont="1" applyFill="1" applyBorder="1" applyAlignment="1">
      <alignment horizontal="left" vertical="center" wrapText="1"/>
    </xf>
    <xf numFmtId="0" fontId="24" fillId="134" borderId="2" xfId="1" applyFont="1" applyFill="1" applyBorder="1" applyAlignment="1">
      <alignment horizontal="center" vertical="center" wrapText="1"/>
    </xf>
    <xf numFmtId="0" fontId="29" fillId="134" borderId="6" xfId="7" applyFont="1" applyFill="1" applyBorder="1" applyAlignment="1">
      <alignment horizontal="center" vertical="center"/>
    </xf>
    <xf numFmtId="0" fontId="22" fillId="134" borderId="0" xfId="6" applyFont="1" applyFill="1" applyAlignment="1">
      <alignment horizontal="right" vertical="center"/>
    </xf>
    <xf numFmtId="0" fontId="22" fillId="134" borderId="0" xfId="6" applyFont="1" applyFill="1" applyAlignment="1">
      <alignment horizontal="center" vertical="center"/>
    </xf>
    <xf numFmtId="1" fontId="22" fillId="134" borderId="0" xfId="6" applyNumberFormat="1" applyFont="1" applyFill="1" applyAlignment="1">
      <alignment horizontal="center" vertical="center"/>
    </xf>
    <xf numFmtId="0" fontId="30" fillId="134" borderId="0" xfId="0" applyFont="1" applyFill="1" applyAlignment="1">
      <alignment horizontal="center" vertical="center" wrapText="1"/>
    </xf>
    <xf numFmtId="0" fontId="31" fillId="134" borderId="0" xfId="1" applyFont="1" applyFill="1" applyAlignment="1">
      <alignment horizontal="center" vertical="center" wrapText="1"/>
    </xf>
    <xf numFmtId="2" fontId="60" fillId="20" borderId="23" xfId="1" applyNumberFormat="1" applyFont="1" applyFill="1" applyBorder="1" applyAlignment="1">
      <alignment horizontal="center" vertical="center"/>
    </xf>
    <xf numFmtId="0" fontId="5" fillId="134" borderId="6" xfId="7" applyFont="1" applyFill="1" applyBorder="1" applyAlignment="1">
      <alignment horizontal="center" vertical="center"/>
    </xf>
    <xf numFmtId="0" fontId="83" fillId="7" borderId="0" xfId="1" applyFont="1" applyFill="1" applyAlignment="1" applyProtection="1">
      <alignment horizontal="left" vertical="center"/>
      <protection locked="0"/>
    </xf>
    <xf numFmtId="0" fontId="90" fillId="134" borderId="3" xfId="1" applyFont="1" applyFill="1" applyBorder="1" applyAlignment="1" applyProtection="1">
      <alignment vertical="center"/>
      <protection hidden="1"/>
    </xf>
    <xf numFmtId="0" fontId="29" fillId="134" borderId="58" xfId="7" applyFont="1" applyFill="1" applyBorder="1" applyAlignment="1">
      <alignment horizontal="center" vertical="center"/>
    </xf>
    <xf numFmtId="0" fontId="8" fillId="134" borderId="3" xfId="7" applyFont="1" applyFill="1" applyBorder="1" applyAlignment="1">
      <alignment vertical="center"/>
    </xf>
    <xf numFmtId="1" fontId="8" fillId="134" borderId="3" xfId="7" applyNumberFormat="1" applyFont="1" applyFill="1" applyBorder="1" applyAlignment="1">
      <alignment horizontal="left" vertical="center"/>
    </xf>
    <xf numFmtId="0" fontId="21" fillId="134" borderId="3" xfId="1" applyFont="1" applyFill="1" applyBorder="1" applyAlignment="1" applyProtection="1">
      <alignment vertical="center"/>
      <protection hidden="1"/>
    </xf>
    <xf numFmtId="0" fontId="21" fillId="134" borderId="59" xfId="1" applyFont="1" applyFill="1" applyBorder="1" applyAlignment="1" applyProtection="1">
      <alignment vertical="center"/>
      <protection hidden="1"/>
    </xf>
    <xf numFmtId="0" fontId="0" fillId="8" borderId="218" xfId="0" applyFill="1" applyBorder="1"/>
    <xf numFmtId="0" fontId="0" fillId="8" borderId="130" xfId="0" applyFill="1" applyBorder="1"/>
    <xf numFmtId="0" fontId="0" fillId="8" borderId="219" xfId="0" applyFill="1" applyBorder="1"/>
    <xf numFmtId="0" fontId="29" fillId="88" borderId="6" xfId="1" applyFont="1" applyFill="1" applyBorder="1" applyAlignment="1" applyProtection="1">
      <alignment horizontal="center" vertical="center"/>
      <protection hidden="1"/>
    </xf>
    <xf numFmtId="0" fontId="29" fillId="88" borderId="6" xfId="1" applyFont="1" applyFill="1" applyBorder="1" applyAlignment="1" applyProtection="1">
      <alignment horizontal="left" vertical="center"/>
      <protection hidden="1"/>
    </xf>
    <xf numFmtId="0" fontId="29" fillId="88" borderId="0" xfId="1" applyFont="1" applyFill="1" applyAlignment="1" applyProtection="1">
      <alignment horizontal="left" vertical="center"/>
      <protection hidden="1"/>
    </xf>
    <xf numFmtId="0" fontId="29" fillId="88" borderId="9" xfId="1" applyFont="1" applyFill="1" applyBorder="1" applyAlignment="1" applyProtection="1">
      <alignment horizontal="left" vertical="center"/>
      <protection hidden="1"/>
    </xf>
    <xf numFmtId="0" fontId="29" fillId="88" borderId="6" xfId="1" applyFont="1" applyFill="1" applyBorder="1" applyAlignment="1" applyProtection="1">
      <alignment vertical="center"/>
      <protection hidden="1"/>
    </xf>
    <xf numFmtId="0" fontId="29" fillId="88" borderId="0" xfId="1" applyFont="1" applyFill="1" applyAlignment="1" applyProtection="1">
      <alignment vertical="center"/>
      <protection hidden="1"/>
    </xf>
    <xf numFmtId="0" fontId="29" fillId="88" borderId="6" xfId="27" applyFont="1" applyFill="1" applyBorder="1" applyAlignment="1">
      <alignment horizontal="left" vertical="center"/>
    </xf>
    <xf numFmtId="0" fontId="29" fillId="88" borderId="0" xfId="27" applyFont="1" applyFill="1" applyAlignment="1">
      <alignment horizontal="left" vertical="center"/>
    </xf>
    <xf numFmtId="0" fontId="29" fillId="88" borderId="6" xfId="8" applyFont="1" applyFill="1" applyBorder="1" applyAlignment="1">
      <alignment horizontal="left" vertical="center"/>
    </xf>
    <xf numFmtId="0" fontId="29" fillId="88" borderId="0" xfId="8" applyFont="1" applyFill="1" applyAlignment="1">
      <alignment horizontal="left" vertical="center"/>
    </xf>
    <xf numFmtId="0" fontId="365" fillId="88" borderId="6" xfId="28" applyFont="1" applyFill="1" applyBorder="1" applyAlignment="1">
      <alignment horizontal="center" vertical="center"/>
    </xf>
    <xf numFmtId="0" fontId="365" fillId="88" borderId="0" xfId="28" applyFont="1" applyFill="1" applyAlignment="1">
      <alignment horizontal="center" vertical="center"/>
    </xf>
    <xf numFmtId="0" fontId="1" fillId="0" borderId="0" xfId="9" applyFont="1"/>
    <xf numFmtId="0" fontId="53" fillId="20" borderId="0" xfId="0" applyFont="1" applyFill="1" applyAlignment="1">
      <alignment vertical="center"/>
    </xf>
    <xf numFmtId="0" fontId="60" fillId="20" borderId="0" xfId="0" applyFont="1" applyFill="1" applyAlignment="1">
      <alignment vertical="center"/>
    </xf>
    <xf numFmtId="170" fontId="20" fillId="30" borderId="0" xfId="1" applyNumberFormat="1" applyFont="1" applyFill="1" applyAlignment="1">
      <alignment horizontal="center" vertical="center"/>
    </xf>
    <xf numFmtId="0" fontId="13" fillId="8" borderId="0" xfId="21" applyFont="1" applyFill="1" applyAlignment="1">
      <alignment horizontal="left" vertical="center"/>
    </xf>
    <xf numFmtId="0" fontId="13" fillId="59" borderId="52" xfId="5" applyFont="1" applyFill="1" applyBorder="1" applyAlignment="1">
      <alignment horizontal="right" vertical="center"/>
    </xf>
    <xf numFmtId="0" fontId="13" fillId="59" borderId="56" xfId="5" applyFont="1" applyFill="1" applyBorder="1" applyAlignment="1">
      <alignment horizontal="right" vertical="center"/>
    </xf>
    <xf numFmtId="0" fontId="13" fillId="25" borderId="5" xfId="5" applyFont="1" applyFill="1" applyBorder="1" applyAlignment="1">
      <alignment horizontal="right" vertical="center"/>
    </xf>
    <xf numFmtId="0" fontId="13" fillId="25" borderId="56" xfId="5" applyFont="1" applyFill="1" applyBorder="1" applyAlignment="1">
      <alignment horizontal="right" vertical="center"/>
    </xf>
    <xf numFmtId="0" fontId="13" fillId="118" borderId="5" xfId="5" applyFont="1" applyFill="1" applyBorder="1" applyAlignment="1">
      <alignment horizontal="right" vertical="center"/>
    </xf>
    <xf numFmtId="0" fontId="13" fillId="118" borderId="56" xfId="5" applyFont="1" applyFill="1" applyBorder="1" applyAlignment="1">
      <alignment horizontal="right" vertical="center"/>
    </xf>
    <xf numFmtId="0" fontId="13" fillId="119" borderId="5" xfId="5" applyFont="1" applyFill="1" applyBorder="1" applyAlignment="1">
      <alignment horizontal="right" vertical="center"/>
    </xf>
    <xf numFmtId="0" fontId="13" fillId="119" borderId="56" xfId="5" applyFont="1" applyFill="1" applyBorder="1" applyAlignment="1">
      <alignment horizontal="right" vertical="center"/>
    </xf>
    <xf numFmtId="0" fontId="24" fillId="8" borderId="221" xfId="1" applyFont="1" applyFill="1" applyBorder="1" applyAlignment="1">
      <alignment horizontal="left" vertical="center"/>
    </xf>
    <xf numFmtId="0" fontId="24" fillId="30" borderId="221" xfId="1" applyFont="1" applyFill="1" applyBorder="1" applyAlignment="1">
      <alignment horizontal="left" vertical="center"/>
    </xf>
    <xf numFmtId="0" fontId="37" fillId="8" borderId="21" xfId="0" applyFont="1" applyFill="1" applyBorder="1" applyAlignment="1">
      <alignment horizontal="left" vertical="center"/>
    </xf>
    <xf numFmtId="0" fontId="355" fillId="8" borderId="0" xfId="1" applyFont="1" applyFill="1" applyAlignment="1">
      <alignment vertical="center"/>
    </xf>
    <xf numFmtId="0" fontId="355" fillId="8" borderId="9" xfId="1" applyFont="1" applyFill="1" applyBorder="1" applyAlignment="1">
      <alignment vertical="center"/>
    </xf>
    <xf numFmtId="0" fontId="130" fillId="8" borderId="0" xfId="3" applyFont="1" applyFill="1" applyAlignment="1">
      <alignment horizontal="center" vertical="center"/>
    </xf>
    <xf numFmtId="174" fontId="174" fillId="47" borderId="0" xfId="1" applyNumberFormat="1" applyFont="1" applyFill="1" applyAlignment="1">
      <alignment horizontal="center" vertical="center"/>
    </xf>
    <xf numFmtId="0" fontId="160" fillId="44" borderId="0" xfId="16" applyFont="1" applyFill="1" applyAlignment="1" applyProtection="1">
      <alignment vertical="center"/>
      <protection locked="0"/>
    </xf>
    <xf numFmtId="0" fontId="36" fillId="117" borderId="0" xfId="1" applyFont="1" applyFill="1" applyAlignment="1">
      <alignment horizontal="center" vertical="center"/>
    </xf>
    <xf numFmtId="172" fontId="118" fillId="43" borderId="24" xfId="0" applyNumberFormat="1" applyFont="1" applyFill="1" applyBorder="1" applyAlignment="1">
      <alignment horizontal="center" vertical="center"/>
    </xf>
    <xf numFmtId="172" fontId="118" fillId="43" borderId="222" xfId="0" applyNumberFormat="1" applyFont="1" applyFill="1" applyBorder="1" applyAlignment="1">
      <alignment horizontal="center" vertical="center"/>
    </xf>
    <xf numFmtId="1" fontId="79" fillId="39" borderId="43" xfId="1" applyNumberFormat="1" applyFont="1" applyFill="1" applyBorder="1" applyAlignment="1" applyProtection="1">
      <alignment horizontal="left" vertical="center"/>
      <protection hidden="1"/>
    </xf>
    <xf numFmtId="0" fontId="366" fillId="8" borderId="0" xfId="0" applyFont="1" applyFill="1" applyAlignment="1">
      <alignment horizontal="left" vertical="center"/>
    </xf>
    <xf numFmtId="0" fontId="366" fillId="8" borderId="9" xfId="0" applyFont="1" applyFill="1" applyBorder="1" applyAlignment="1">
      <alignment horizontal="left" vertical="center"/>
    </xf>
    <xf numFmtId="0" fontId="109" fillId="8" borderId="0" xfId="1" applyFont="1" applyFill="1" applyAlignment="1" applyProtection="1">
      <alignment horizontal="left" vertical="center"/>
      <protection locked="0"/>
    </xf>
    <xf numFmtId="0" fontId="109" fillId="8" borderId="17" xfId="1" applyFont="1" applyFill="1" applyBorder="1" applyAlignment="1" applyProtection="1">
      <alignment horizontal="left" vertical="center"/>
      <protection locked="0"/>
    </xf>
    <xf numFmtId="183" fontId="53" fillId="8" borderId="0" xfId="1" applyNumberFormat="1" applyFont="1" applyFill="1" applyAlignment="1">
      <alignment horizontal="right" vertical="center"/>
    </xf>
    <xf numFmtId="183" fontId="94" fillId="8" borderId="0" xfId="1" applyNumberFormat="1" applyFont="1" applyFill="1" applyAlignment="1">
      <alignment horizontal="right" vertical="center"/>
    </xf>
    <xf numFmtId="0" fontId="37" fillId="8" borderId="48" xfId="3" applyFont="1" applyFill="1" applyBorder="1" applyAlignment="1">
      <alignment horizontal="right" vertical="center"/>
    </xf>
    <xf numFmtId="0" fontId="24" fillId="8" borderId="0" xfId="1" applyFont="1" applyFill="1" applyAlignment="1" applyProtection="1">
      <alignment horizontal="right" vertical="center"/>
      <protection hidden="1"/>
    </xf>
    <xf numFmtId="0" fontId="57" fillId="8" borderId="0" xfId="1" applyFont="1" applyFill="1" applyAlignment="1" applyProtection="1">
      <alignment horizontal="right" vertical="center"/>
      <protection locked="0"/>
    </xf>
    <xf numFmtId="0" fontId="57" fillId="8" borderId="0" xfId="1" applyFont="1" applyFill="1" applyAlignment="1" applyProtection="1">
      <alignment horizontal="right" vertical="center"/>
      <protection hidden="1"/>
    </xf>
    <xf numFmtId="0" fontId="77" fillId="8" borderId="0" xfId="1" applyFont="1" applyFill="1" applyAlignment="1" applyProtection="1">
      <alignment horizontal="right" vertical="center"/>
      <protection hidden="1"/>
    </xf>
    <xf numFmtId="0" fontId="99" fillId="8" borderId="198" xfId="21" applyFont="1" applyFill="1" applyBorder="1" applyAlignment="1">
      <alignment horizontal="center" vertical="center"/>
    </xf>
    <xf numFmtId="0" fontId="13" fillId="8" borderId="9" xfId="21" applyFont="1" applyFill="1" applyBorder="1" applyAlignment="1">
      <alignment horizontal="center" vertical="center"/>
    </xf>
    <xf numFmtId="0" fontId="65" fillId="8" borderId="198" xfId="0" applyFont="1" applyFill="1" applyBorder="1" applyAlignment="1">
      <alignment horizontal="center" vertical="center"/>
    </xf>
    <xf numFmtId="0" fontId="26" fillId="8" borderId="9" xfId="21" applyFont="1" applyFill="1" applyBorder="1" applyAlignment="1">
      <alignment horizontal="center" vertical="center"/>
    </xf>
    <xf numFmtId="0" fontId="57" fillId="8" borderId="124" xfId="1" applyFont="1" applyFill="1" applyBorder="1" applyAlignment="1" applyProtection="1">
      <alignment horizontal="right" vertical="center"/>
      <protection locked="0"/>
    </xf>
    <xf numFmtId="0" fontId="48" fillId="41" borderId="50" xfId="24" applyFont="1" applyFill="1" applyBorder="1" applyAlignment="1">
      <alignment horizontal="center" vertical="center"/>
    </xf>
    <xf numFmtId="0" fontId="62" fillId="8" borderId="0" xfId="9" applyFont="1" applyFill="1" applyAlignment="1">
      <alignment horizontal="right" vertical="center"/>
    </xf>
    <xf numFmtId="0" fontId="68" fillId="8" borderId="0" xfId="9" applyFont="1" applyFill="1" applyAlignment="1">
      <alignment horizontal="right" vertical="center"/>
    </xf>
    <xf numFmtId="0" fontId="134" fillId="44" borderId="47" xfId="16" applyFont="1" applyFill="1" applyBorder="1" applyAlignment="1" applyProtection="1">
      <alignment horizontal="right" vertical="center"/>
      <protection locked="0"/>
    </xf>
    <xf numFmtId="0" fontId="0" fillId="0" borderId="81" xfId="0" applyBorder="1"/>
    <xf numFmtId="0" fontId="1" fillId="0" borderId="9" xfId="4" applyBorder="1"/>
    <xf numFmtId="0" fontId="36" fillId="44" borderId="0" xfId="16" applyFont="1" applyFill="1" applyAlignment="1" applyProtection="1">
      <alignment vertical="center"/>
      <protection locked="0"/>
    </xf>
    <xf numFmtId="0" fontId="13" fillId="8" borderId="9" xfId="1" applyFont="1" applyFill="1" applyBorder="1" applyAlignment="1">
      <alignment horizontal="center" vertical="center"/>
    </xf>
    <xf numFmtId="0" fontId="77" fillId="8" borderId="9" xfId="1" applyFont="1" applyFill="1" applyBorder="1" applyAlignment="1">
      <alignment horizontal="left" vertical="center"/>
    </xf>
    <xf numFmtId="0" fontId="36" fillId="8" borderId="117" xfId="1" applyFont="1" applyFill="1" applyBorder="1" applyAlignment="1">
      <alignment horizontal="left" vertical="center"/>
    </xf>
    <xf numFmtId="0" fontId="77" fillId="8" borderId="124" xfId="1" applyFont="1" applyFill="1" applyBorder="1" applyAlignment="1">
      <alignment horizontal="left" vertical="center"/>
    </xf>
    <xf numFmtId="0" fontId="50" fillId="8" borderId="124" xfId="1" applyFont="1" applyFill="1" applyBorder="1" applyAlignment="1">
      <alignment horizontal="left" vertical="center"/>
    </xf>
    <xf numFmtId="0" fontId="366" fillId="8" borderId="0" xfId="4" applyFont="1" applyFill="1" applyAlignment="1">
      <alignment horizontal="left" vertical="center"/>
    </xf>
    <xf numFmtId="0" fontId="366" fillId="8" borderId="21" xfId="0" applyFont="1" applyFill="1" applyBorder="1" applyAlignment="1">
      <alignment horizontal="left" vertical="center"/>
    </xf>
    <xf numFmtId="0" fontId="0" fillId="8" borderId="207" xfId="0" applyFill="1" applyBorder="1"/>
    <xf numFmtId="0" fontId="0" fillId="8" borderId="215" xfId="0" applyFill="1" applyBorder="1"/>
    <xf numFmtId="0" fontId="0" fillId="8" borderId="194" xfId="0" applyFill="1" applyBorder="1"/>
    <xf numFmtId="0" fontId="13" fillId="7" borderId="211" xfId="1" applyFont="1" applyFill="1" applyBorder="1" applyAlignment="1">
      <alignment vertical="center"/>
    </xf>
    <xf numFmtId="0" fontId="73" fillId="44" borderId="194" xfId="16" applyFont="1" applyFill="1" applyBorder="1" applyAlignment="1" applyProtection="1">
      <alignment horizontal="center" vertical="center"/>
      <protection locked="0"/>
    </xf>
    <xf numFmtId="1" fontId="111" fillId="20" borderId="194" xfId="5" applyNumberFormat="1" applyFont="1" applyFill="1" applyBorder="1" applyAlignment="1">
      <alignment horizontal="center" vertical="center"/>
    </xf>
    <xf numFmtId="0" fontId="36" fillId="45" borderId="194" xfId="16" applyFont="1" applyFill="1" applyBorder="1" applyAlignment="1" applyProtection="1">
      <alignment vertical="center"/>
      <protection locked="0"/>
    </xf>
    <xf numFmtId="0" fontId="36" fillId="46" borderId="194" xfId="1" applyFont="1" applyFill="1" applyBorder="1" applyAlignment="1">
      <alignment horizontal="center" vertical="center"/>
    </xf>
    <xf numFmtId="167" fontId="84" fillId="45" borderId="194" xfId="16" applyNumberFormat="1" applyFont="1" applyFill="1" applyBorder="1" applyAlignment="1" applyProtection="1">
      <alignment horizontal="center" vertical="center"/>
      <protection locked="0"/>
    </xf>
    <xf numFmtId="168" fontId="36" fillId="45" borderId="194" xfId="1" applyNumberFormat="1" applyFont="1" applyFill="1" applyBorder="1" applyAlignment="1">
      <alignment horizontal="center" vertical="center"/>
    </xf>
    <xf numFmtId="169" fontId="84" fillId="45" borderId="194" xfId="16" applyNumberFormat="1" applyFont="1" applyFill="1" applyBorder="1" applyAlignment="1" applyProtection="1">
      <alignment horizontal="center" vertical="center"/>
      <protection locked="0"/>
    </xf>
    <xf numFmtId="1" fontId="59" fillId="20" borderId="224" xfId="1" applyNumberFormat="1" applyFont="1" applyFill="1" applyBorder="1" applyAlignment="1">
      <alignment horizontal="center" vertical="center"/>
    </xf>
    <xf numFmtId="1" fontId="59" fillId="20" borderId="225" xfId="1" applyNumberFormat="1" applyFont="1" applyFill="1" applyBorder="1" applyAlignment="1">
      <alignment horizontal="center" vertical="center"/>
    </xf>
    <xf numFmtId="0" fontId="23" fillId="14" borderId="2" xfId="1" applyFont="1" applyFill="1" applyBorder="1" applyAlignment="1">
      <alignment horizontal="left" vertical="center"/>
    </xf>
    <xf numFmtId="0" fontId="24" fillId="14" borderId="2" xfId="1" applyFont="1" applyFill="1" applyBorder="1" applyAlignment="1">
      <alignment horizontal="center" vertical="center"/>
    </xf>
    <xf numFmtId="167" fontId="59" fillId="26" borderId="16" xfId="1" applyNumberFormat="1" applyFont="1" applyFill="1" applyBorder="1" applyAlignment="1">
      <alignment horizontal="center" vertical="center"/>
    </xf>
    <xf numFmtId="1" fontId="59" fillId="20" borderId="0" xfId="1" applyNumberFormat="1" applyFont="1" applyFill="1" applyAlignment="1">
      <alignment horizontal="center" vertical="center"/>
    </xf>
    <xf numFmtId="1" fontId="60" fillId="20" borderId="0" xfId="1" applyNumberFormat="1" applyFont="1" applyFill="1" applyAlignment="1">
      <alignment horizontal="center" vertical="center"/>
    </xf>
    <xf numFmtId="0" fontId="61" fillId="25" borderId="18" xfId="1" applyFont="1" applyFill="1" applyBorder="1" applyAlignment="1" applyProtection="1">
      <alignment horizontal="center" vertical="center"/>
      <protection hidden="1"/>
    </xf>
    <xf numFmtId="0" fontId="76" fillId="8" borderId="0" xfId="1" applyFont="1" applyFill="1" applyAlignment="1" applyProtection="1">
      <alignment vertical="center"/>
      <protection hidden="1"/>
    </xf>
    <xf numFmtId="1" fontId="57" fillId="31" borderId="9" xfId="1" applyNumberFormat="1" applyFont="1" applyFill="1" applyBorder="1" applyAlignment="1">
      <alignment horizontal="center" vertical="center"/>
    </xf>
    <xf numFmtId="0" fontId="83" fillId="8" borderId="0" xfId="9" applyFont="1" applyFill="1" applyAlignment="1">
      <alignment horizontal="left" vertical="center"/>
    </xf>
    <xf numFmtId="0" fontId="83" fillId="8" borderId="9" xfId="9" applyFont="1" applyFill="1" applyBorder="1" applyAlignment="1">
      <alignment horizontal="left" vertical="center"/>
    </xf>
    <xf numFmtId="0" fontId="76" fillId="8" borderId="47" xfId="1" applyFont="1" applyFill="1" applyBorder="1" applyAlignment="1" applyProtection="1">
      <alignment horizontal="right" vertical="center"/>
      <protection hidden="1"/>
    </xf>
    <xf numFmtId="0" fontId="76" fillId="8" borderId="16" xfId="1" applyFont="1" applyFill="1" applyBorder="1" applyAlignment="1" applyProtection="1">
      <alignment horizontal="right" vertical="center"/>
      <protection hidden="1"/>
    </xf>
    <xf numFmtId="0" fontId="20" fillId="40" borderId="64" xfId="7" applyFont="1" applyFill="1" applyBorder="1" applyAlignment="1">
      <alignment horizontal="center" vertical="center"/>
    </xf>
    <xf numFmtId="0" fontId="83" fillId="8" borderId="0" xfId="9" applyFont="1" applyFill="1" applyAlignment="1">
      <alignment horizontal="right" vertical="center"/>
    </xf>
    <xf numFmtId="0" fontId="31" fillId="8" borderId="0" xfId="0" applyFont="1" applyFill="1" applyAlignment="1">
      <alignment horizontal="right" vertical="center"/>
    </xf>
    <xf numFmtId="0" fontId="68" fillId="8" borderId="0" xfId="4" applyFont="1" applyFill="1" applyAlignment="1">
      <alignment horizontal="left" vertical="center"/>
    </xf>
    <xf numFmtId="0" fontId="94" fillId="8" borderId="11" xfId="0" applyFont="1" applyFill="1" applyBorder="1" applyAlignment="1">
      <alignment horizontal="right" vertical="center"/>
    </xf>
    <xf numFmtId="177" fontId="20" fillId="8" borderId="13" xfId="1" applyNumberFormat="1" applyFont="1" applyFill="1" applyBorder="1" applyAlignment="1">
      <alignment horizontal="right" vertical="center" wrapText="1"/>
    </xf>
    <xf numFmtId="177" fontId="20" fillId="8" borderId="19" xfId="1" applyNumberFormat="1" applyFont="1" applyFill="1" applyBorder="1" applyAlignment="1">
      <alignment horizontal="right" vertical="center" wrapText="1"/>
    </xf>
    <xf numFmtId="0" fontId="87" fillId="8" borderId="0" xfId="9" applyFont="1" applyFill="1" applyAlignment="1">
      <alignment vertical="center"/>
    </xf>
    <xf numFmtId="0" fontId="54" fillId="20" borderId="18" xfId="1" applyFont="1" applyFill="1" applyBorder="1" applyAlignment="1" applyProtection="1">
      <alignment horizontal="center" vertical="center"/>
      <protection hidden="1"/>
    </xf>
    <xf numFmtId="0" fontId="13" fillId="20" borderId="18" xfId="1" applyFont="1" applyFill="1" applyBorder="1" applyAlignment="1" applyProtection="1">
      <alignment horizontal="center" vertical="center"/>
      <protection hidden="1"/>
    </xf>
    <xf numFmtId="0" fontId="1" fillId="41" borderId="5" xfId="4" applyFill="1" applyBorder="1"/>
    <xf numFmtId="0" fontId="108" fillId="41" borderId="5" xfId="9" applyFont="1" applyFill="1" applyBorder="1" applyAlignment="1">
      <alignment vertical="center"/>
    </xf>
    <xf numFmtId="0" fontId="0" fillId="41" borderId="5" xfId="0" applyFill="1" applyBorder="1"/>
    <xf numFmtId="0" fontId="13" fillId="50" borderId="226" xfId="3" applyFont="1" applyFill="1" applyBorder="1" applyAlignment="1">
      <alignment horizontal="left" vertical="center"/>
    </xf>
    <xf numFmtId="0" fontId="130" fillId="8" borderId="0" xfId="0" applyFont="1" applyFill="1" applyAlignment="1">
      <alignment horizontal="right" vertical="center"/>
    </xf>
    <xf numFmtId="0" fontId="87" fillId="8" borderId="0" xfId="0" applyFont="1" applyFill="1" applyAlignment="1">
      <alignment horizontal="right" vertical="center"/>
    </xf>
    <xf numFmtId="0" fontId="108" fillId="8" borderId="0" xfId="0" applyFont="1" applyFill="1" applyAlignment="1">
      <alignment vertical="center"/>
    </xf>
    <xf numFmtId="0" fontId="108" fillId="8" borderId="0" xfId="0" applyFont="1" applyFill="1" applyAlignment="1">
      <alignment horizontal="left" vertical="center" indent="1"/>
    </xf>
    <xf numFmtId="0" fontId="108" fillId="8" borderId="0" xfId="0" applyFont="1" applyFill="1" applyAlignment="1">
      <alignment horizontal="left" vertical="center" indent="2"/>
    </xf>
    <xf numFmtId="0" fontId="83" fillId="8" borderId="199" xfId="9" applyFont="1" applyFill="1" applyBorder="1" applyAlignment="1">
      <alignment horizontal="left" vertical="center"/>
    </xf>
    <xf numFmtId="1" fontId="24" fillId="30" borderId="220" xfId="1" applyNumberFormat="1" applyFont="1" applyFill="1" applyBorder="1" applyAlignment="1">
      <alignment horizontal="left" vertical="center"/>
    </xf>
    <xf numFmtId="164" fontId="48" fillId="7" borderId="13" xfId="1" applyNumberFormat="1" applyFont="1" applyFill="1" applyBorder="1" applyAlignment="1">
      <alignment horizontal="center" vertical="center"/>
    </xf>
    <xf numFmtId="1" fontId="111" fillId="20" borderId="16" xfId="5" applyNumberFormat="1" applyFont="1" applyFill="1" applyBorder="1" applyAlignment="1">
      <alignment horizontal="center" vertical="center"/>
    </xf>
    <xf numFmtId="0" fontId="83" fillId="8" borderId="52" xfId="9" applyFont="1" applyFill="1" applyBorder="1" applyAlignment="1">
      <alignment horizontal="left" vertical="center"/>
    </xf>
    <xf numFmtId="0" fontId="83" fillId="8" borderId="117" xfId="9" applyFont="1" applyFill="1" applyBorder="1" applyAlignment="1">
      <alignment horizontal="left" vertical="center"/>
    </xf>
    <xf numFmtId="0" fontId="13" fillId="50" borderId="0" xfId="3" applyFont="1" applyFill="1" applyAlignment="1">
      <alignment horizontal="left" vertical="center"/>
    </xf>
    <xf numFmtId="0" fontId="13" fillId="50" borderId="48" xfId="3" applyFont="1" applyFill="1" applyBorder="1" applyAlignment="1">
      <alignment horizontal="left" vertical="center"/>
    </xf>
    <xf numFmtId="0" fontId="1" fillId="41" borderId="48" xfId="4" applyFill="1" applyBorder="1"/>
    <xf numFmtId="0" fontId="83" fillId="8" borderId="48" xfId="9" applyFont="1" applyFill="1" applyBorder="1" applyAlignment="1">
      <alignment horizontal="left" vertical="center"/>
    </xf>
    <xf numFmtId="0" fontId="83" fillId="8" borderId="50" xfId="9" applyFont="1" applyFill="1" applyBorder="1" applyAlignment="1">
      <alignment horizontal="left" vertical="center"/>
    </xf>
    <xf numFmtId="0" fontId="331" fillId="135" borderId="0" xfId="1" applyFont="1" applyFill="1" applyAlignment="1" applyProtection="1">
      <alignment vertical="center"/>
      <protection hidden="1"/>
    </xf>
    <xf numFmtId="0" fontId="13" fillId="50" borderId="52" xfId="3" applyFont="1" applyFill="1" applyBorder="1" applyAlignment="1">
      <alignment horizontal="left" vertical="center"/>
    </xf>
    <xf numFmtId="0" fontId="174" fillId="124" borderId="51" xfId="1" applyFont="1" applyFill="1" applyBorder="1" applyAlignment="1">
      <alignment horizontal="center" vertical="center"/>
    </xf>
    <xf numFmtId="0" fontId="174" fillId="126" borderId="16" xfId="1" applyFont="1" applyFill="1" applyBorder="1" applyAlignment="1">
      <alignment horizontal="center" vertical="center"/>
    </xf>
    <xf numFmtId="0" fontId="174" fillId="127" borderId="16" xfId="1" applyFont="1" applyFill="1" applyBorder="1" applyAlignment="1">
      <alignment horizontal="center" vertical="center"/>
    </xf>
    <xf numFmtId="0" fontId="174" fillId="128" borderId="16" xfId="1" applyFont="1" applyFill="1" applyBorder="1" applyAlignment="1">
      <alignment horizontal="center" vertical="center"/>
    </xf>
    <xf numFmtId="0" fontId="134" fillId="44" borderId="5" xfId="16" applyFont="1" applyFill="1" applyBorder="1" applyAlignment="1" applyProtection="1">
      <alignment horizontal="right" vertical="center"/>
      <protection locked="0"/>
    </xf>
    <xf numFmtId="0" fontId="134" fillId="44" borderId="0" xfId="16" applyFont="1" applyFill="1" applyAlignment="1" applyProtection="1">
      <alignment horizontal="right" vertical="center"/>
      <protection locked="0"/>
    </xf>
    <xf numFmtId="0" fontId="13" fillId="27" borderId="192" xfId="5" applyFont="1" applyFill="1" applyBorder="1" applyAlignment="1">
      <alignment horizontal="center" vertical="center"/>
    </xf>
    <xf numFmtId="0" fontId="74" fillId="66" borderId="193" xfId="5" applyFont="1" applyFill="1" applyBorder="1" applyAlignment="1">
      <alignment horizontal="center" vertical="center"/>
    </xf>
    <xf numFmtId="0" fontId="64" fillId="45" borderId="193" xfId="16" applyFont="1" applyFill="1" applyBorder="1" applyAlignment="1" applyProtection="1">
      <alignment horizontal="center" vertical="center"/>
      <protection locked="0"/>
    </xf>
    <xf numFmtId="0" fontId="20" fillId="43" borderId="193" xfId="1" applyFont="1" applyFill="1" applyBorder="1" applyAlignment="1">
      <alignment horizontal="center" vertical="center"/>
    </xf>
    <xf numFmtId="0" fontId="46" fillId="91" borderId="195" xfId="1" applyFont="1" applyFill="1" applyBorder="1" applyAlignment="1">
      <alignment horizontal="center" vertical="center"/>
    </xf>
    <xf numFmtId="0" fontId="349" fillId="43" borderId="5" xfId="5" applyFont="1" applyFill="1" applyBorder="1" applyAlignment="1">
      <alignment horizontal="center" vertical="center"/>
    </xf>
    <xf numFmtId="174" fontId="4" fillId="43" borderId="0" xfId="3" applyNumberFormat="1" applyFont="1" applyFill="1" applyAlignment="1">
      <alignment horizontal="center" vertical="center"/>
    </xf>
    <xf numFmtId="0" fontId="53" fillId="60" borderId="0" xfId="16" applyFont="1" applyFill="1" applyAlignment="1" applyProtection="1">
      <alignment horizontal="left" vertical="center"/>
      <protection locked="0"/>
    </xf>
    <xf numFmtId="0" fontId="13" fillId="27" borderId="103" xfId="5" applyFont="1" applyFill="1" applyBorder="1" applyAlignment="1">
      <alignment horizontal="center" vertical="center"/>
    </xf>
    <xf numFmtId="0" fontId="74" fillId="66" borderId="16" xfId="5" applyFont="1" applyFill="1" applyBorder="1" applyAlignment="1">
      <alignment horizontal="center" vertical="center"/>
    </xf>
    <xf numFmtId="0" fontId="64" fillId="45" borderId="16" xfId="16" applyFont="1" applyFill="1" applyBorder="1" applyAlignment="1" applyProtection="1">
      <alignment horizontal="center" vertical="center"/>
      <protection locked="0"/>
    </xf>
    <xf numFmtId="0" fontId="20" fillId="43" borderId="16" xfId="1" applyFont="1" applyFill="1" applyBorder="1" applyAlignment="1">
      <alignment horizontal="center" vertical="center"/>
    </xf>
    <xf numFmtId="0" fontId="46" fillId="91" borderId="81" xfId="1" applyFont="1" applyFill="1" applyBorder="1" applyAlignment="1">
      <alignment horizontal="center" vertical="center"/>
    </xf>
    <xf numFmtId="0" fontId="13" fillId="50" borderId="47" xfId="3" applyFont="1" applyFill="1" applyBorder="1" applyAlignment="1">
      <alignment horizontal="left" vertical="center"/>
    </xf>
    <xf numFmtId="0" fontId="87" fillId="8" borderId="16" xfId="9" applyFont="1" applyFill="1" applyBorder="1" applyAlignment="1">
      <alignment vertical="center"/>
    </xf>
    <xf numFmtId="0" fontId="24" fillId="8" borderId="16" xfId="1" applyFont="1" applyFill="1" applyBorder="1" applyAlignment="1" applyProtection="1">
      <alignment horizontal="left" vertical="center"/>
      <protection locked="0"/>
    </xf>
    <xf numFmtId="0" fontId="87" fillId="8" borderId="18" xfId="9" applyFont="1" applyFill="1" applyBorder="1" applyAlignment="1">
      <alignment vertical="center"/>
    </xf>
    <xf numFmtId="0" fontId="83" fillId="8" borderId="16" xfId="9" applyFont="1" applyFill="1" applyBorder="1" applyAlignment="1">
      <alignment horizontal="left" vertical="center"/>
    </xf>
    <xf numFmtId="0" fontId="83" fillId="7" borderId="0" xfId="9" applyFont="1" applyFill="1" applyAlignment="1">
      <alignment horizontal="left" vertical="center"/>
    </xf>
    <xf numFmtId="0" fontId="83" fillId="7" borderId="9" xfId="9" applyFont="1" applyFill="1" applyBorder="1" applyAlignment="1">
      <alignment horizontal="left" vertical="center"/>
    </xf>
    <xf numFmtId="0" fontId="122" fillId="44" borderId="0" xfId="16" applyFont="1" applyFill="1" applyAlignment="1" applyProtection="1">
      <alignment horizontal="center" vertical="center" wrapText="1"/>
      <protection locked="0"/>
    </xf>
    <xf numFmtId="0" fontId="20" fillId="8" borderId="0" xfId="16" applyFont="1" applyFill="1" applyAlignment="1" applyProtection="1">
      <alignment horizontal="left" vertical="center"/>
      <protection locked="0"/>
    </xf>
    <xf numFmtId="0" fontId="24" fillId="8" borderId="117" xfId="1" applyFont="1" applyFill="1" applyBorder="1" applyAlignment="1" applyProtection="1">
      <alignment horizontal="right" vertical="center"/>
      <protection locked="0"/>
    </xf>
    <xf numFmtId="0" fontId="64" fillId="53" borderId="227" xfId="10" applyFont="1" applyFill="1" applyBorder="1" applyAlignment="1">
      <alignment horizontal="right" vertical="center"/>
    </xf>
    <xf numFmtId="0" fontId="64" fillId="8" borderId="78" xfId="10" applyFont="1" applyFill="1" applyBorder="1" applyAlignment="1">
      <alignment horizontal="right" vertical="center"/>
    </xf>
    <xf numFmtId="0" fontId="64" fillId="53" borderId="78" xfId="10" applyFont="1" applyFill="1" applyBorder="1" applyAlignment="1">
      <alignment horizontal="right" vertical="center"/>
    </xf>
    <xf numFmtId="0" fontId="64" fillId="8" borderId="13" xfId="1" applyFont="1" applyFill="1" applyBorder="1" applyAlignment="1" applyProtection="1">
      <alignment horizontal="right" vertical="center"/>
      <protection locked="0"/>
    </xf>
    <xf numFmtId="0" fontId="0" fillId="8" borderId="0" xfId="0" applyFill="1" applyAlignment="1">
      <alignment horizontal="right" vertical="center"/>
    </xf>
    <xf numFmtId="0" fontId="118" fillId="43" borderId="16" xfId="1" applyFont="1" applyFill="1" applyBorder="1" applyAlignment="1">
      <alignment horizontal="center" vertical="center"/>
    </xf>
    <xf numFmtId="0" fontId="118" fillId="43" borderId="0" xfId="1" applyFont="1" applyFill="1" applyAlignment="1">
      <alignment horizontal="center" vertical="center"/>
    </xf>
    <xf numFmtId="172" fontId="118" fillId="43" borderId="48" xfId="0" applyNumberFormat="1" applyFont="1" applyFill="1" applyBorder="1" applyAlignment="1">
      <alignment horizontal="center" vertical="center"/>
    </xf>
    <xf numFmtId="0" fontId="102" fillId="8" borderId="0" xfId="9" applyFont="1" applyFill="1" applyAlignment="1">
      <alignment vertical="center"/>
    </xf>
    <xf numFmtId="0" fontId="102" fillId="8" borderId="199" xfId="9" applyFont="1" applyFill="1" applyBorder="1" applyAlignment="1">
      <alignment vertical="center"/>
    </xf>
    <xf numFmtId="0" fontId="102" fillId="8" borderId="200" xfId="9" applyFont="1" applyFill="1" applyBorder="1" applyAlignment="1">
      <alignment vertical="center"/>
    </xf>
    <xf numFmtId="0" fontId="102" fillId="8" borderId="0" xfId="9" applyFont="1" applyFill="1" applyAlignment="1">
      <alignment horizontal="left" vertical="center"/>
    </xf>
    <xf numFmtId="0" fontId="102" fillId="8" borderId="9" xfId="9" applyFont="1" applyFill="1" applyBorder="1" applyAlignment="1">
      <alignment horizontal="left" vertical="center"/>
    </xf>
    <xf numFmtId="173" fontId="84" fillId="21" borderId="0" xfId="1" applyNumberFormat="1" applyFont="1" applyFill="1" applyAlignment="1">
      <alignment horizontal="center" vertical="center"/>
    </xf>
    <xf numFmtId="0" fontId="84" fillId="8" borderId="9" xfId="1" applyFont="1" applyFill="1" applyBorder="1" applyAlignment="1">
      <alignment horizontal="left" vertical="center"/>
    </xf>
    <xf numFmtId="0" fontId="81" fillId="41" borderId="0" xfId="5" applyFont="1" applyFill="1" applyAlignment="1">
      <alignment horizontal="left" vertical="center"/>
    </xf>
    <xf numFmtId="0" fontId="81" fillId="41" borderId="52" xfId="5" applyFont="1" applyFill="1" applyBorder="1" applyAlignment="1">
      <alignment horizontal="left" vertical="center"/>
    </xf>
    <xf numFmtId="0" fontId="24" fillId="41" borderId="9" xfId="5" applyFont="1" applyFill="1" applyBorder="1" applyAlignment="1">
      <alignment horizontal="right" vertical="center"/>
    </xf>
    <xf numFmtId="173" fontId="13" fillId="43" borderId="0" xfId="1" applyNumberFormat="1" applyFont="1" applyFill="1" applyAlignment="1">
      <alignment horizontal="center" vertical="center"/>
    </xf>
    <xf numFmtId="0" fontId="20" fillId="8" borderId="9" xfId="6" applyFont="1" applyFill="1" applyBorder="1" applyAlignment="1">
      <alignment horizontal="left" vertical="center"/>
    </xf>
    <xf numFmtId="0" fontId="81" fillId="41" borderId="0" xfId="5" applyFont="1" applyFill="1" applyAlignment="1">
      <alignment horizontal="right" vertical="center"/>
    </xf>
    <xf numFmtId="0" fontId="102" fillId="8" borderId="16" xfId="9" applyFont="1" applyFill="1" applyBorder="1" applyAlignment="1">
      <alignment vertical="center"/>
    </xf>
    <xf numFmtId="0" fontId="102" fillId="8" borderId="117" xfId="9" applyFont="1" applyFill="1" applyBorder="1" applyAlignment="1">
      <alignment vertical="center"/>
    </xf>
    <xf numFmtId="0" fontId="102" fillId="8" borderId="9" xfId="9" applyFont="1" applyFill="1" applyBorder="1" applyAlignment="1">
      <alignment vertical="center"/>
    </xf>
    <xf numFmtId="0" fontId="57" fillId="41" borderId="48" xfId="1" applyFont="1" applyFill="1" applyBorder="1" applyAlignment="1" applyProtection="1">
      <alignment horizontal="left" vertical="center"/>
      <protection locked="0"/>
    </xf>
    <xf numFmtId="0" fontId="174" fillId="41" borderId="48" xfId="1" applyFont="1" applyFill="1" applyBorder="1" applyAlignment="1" applyProtection="1">
      <alignment horizontal="right" vertical="center"/>
      <protection locked="0"/>
    </xf>
    <xf numFmtId="0" fontId="36" fillId="8" borderId="50" xfId="1" applyFont="1" applyFill="1" applyBorder="1" applyAlignment="1">
      <alignment horizontal="right" vertical="center"/>
    </xf>
    <xf numFmtId="0" fontId="102" fillId="8" borderId="48" xfId="9" applyFont="1" applyFill="1" applyBorder="1" applyAlignment="1">
      <alignment vertical="center"/>
    </xf>
    <xf numFmtId="0" fontId="174" fillId="41" borderId="50" xfId="1" applyFont="1" applyFill="1" applyBorder="1" applyAlignment="1" applyProtection="1">
      <alignment horizontal="right" vertical="center"/>
      <protection locked="0"/>
    </xf>
    <xf numFmtId="0" fontId="375" fillId="50" borderId="4" xfId="3" applyFont="1" applyFill="1" applyBorder="1" applyAlignment="1">
      <alignment horizontal="right" vertical="center"/>
    </xf>
    <xf numFmtId="0" fontId="59" fillId="8" borderId="16" xfId="24" applyFont="1" applyFill="1" applyBorder="1" applyAlignment="1">
      <alignment horizontal="right" vertical="center"/>
    </xf>
    <xf numFmtId="0" fontId="37" fillId="41" borderId="50" xfId="4" applyFont="1" applyFill="1" applyBorder="1" applyAlignment="1">
      <alignment horizontal="right" vertical="center"/>
    </xf>
    <xf numFmtId="0" fontId="24" fillId="41" borderId="117" xfId="1" applyFont="1" applyFill="1" applyBorder="1" applyAlignment="1" applyProtection="1">
      <alignment horizontal="right" vertical="center"/>
      <protection locked="0"/>
    </xf>
    <xf numFmtId="172" fontId="118" fillId="43" borderId="50" xfId="0" applyNumberFormat="1" applyFont="1" applyFill="1" applyBorder="1" applyAlignment="1">
      <alignment horizontal="center" vertical="center"/>
    </xf>
    <xf numFmtId="0" fontId="71" fillId="41" borderId="52" xfId="9" applyFont="1" applyFill="1" applyBorder="1" applyAlignment="1">
      <alignment vertical="center"/>
    </xf>
    <xf numFmtId="0" fontId="87" fillId="8" borderId="228" xfId="9" applyFont="1" applyFill="1" applyBorder="1" applyAlignment="1">
      <alignment vertical="center"/>
    </xf>
    <xf numFmtId="0" fontId="37" fillId="8" borderId="13" xfId="0" applyFont="1" applyFill="1" applyBorder="1" applyAlignment="1">
      <alignment horizontal="left" vertical="center"/>
    </xf>
    <xf numFmtId="0" fontId="102" fillId="8" borderId="16" xfId="9" applyFont="1" applyFill="1" applyBorder="1" applyAlignment="1">
      <alignment horizontal="left" vertical="center"/>
    </xf>
    <xf numFmtId="173" fontId="13" fillId="40" borderId="16" xfId="1" applyNumberFormat="1" applyFont="1" applyFill="1" applyBorder="1" applyAlignment="1" applyProtection="1">
      <alignment horizontal="center" vertical="center"/>
      <protection hidden="1"/>
    </xf>
    <xf numFmtId="0" fontId="13" fillId="50" borderId="103" xfId="3" applyFont="1" applyFill="1" applyBorder="1" applyAlignment="1">
      <alignment horizontal="left" vertical="center"/>
    </xf>
    <xf numFmtId="0" fontId="81" fillId="41" borderId="52" xfId="5" applyFont="1" applyFill="1" applyBorder="1" applyAlignment="1">
      <alignment horizontal="right" vertical="center"/>
    </xf>
    <xf numFmtId="0" fontId="24" fillId="41" borderId="117" xfId="5" applyFont="1" applyFill="1" applyBorder="1" applyAlignment="1">
      <alignment horizontal="right" vertical="center"/>
    </xf>
    <xf numFmtId="0" fontId="37" fillId="8" borderId="0" xfId="3" applyFont="1" applyFill="1" applyAlignment="1">
      <alignment horizontal="right" vertical="center"/>
    </xf>
    <xf numFmtId="0" fontId="102" fillId="8" borderId="19" xfId="9" applyFont="1" applyFill="1" applyBorder="1" applyAlignment="1">
      <alignment horizontal="left" vertical="center"/>
    </xf>
    <xf numFmtId="0" fontId="136" fillId="8" borderId="0" xfId="1" applyFont="1" applyFill="1" applyAlignment="1" applyProtection="1">
      <alignment vertical="center"/>
      <protection hidden="1"/>
    </xf>
    <xf numFmtId="0" fontId="102" fillId="8" borderId="0" xfId="0" applyFont="1" applyFill="1"/>
    <xf numFmtId="0" fontId="83" fillId="8" borderId="0" xfId="21" applyFont="1" applyFill="1" applyAlignment="1">
      <alignment horizontal="right" vertical="center"/>
    </xf>
    <xf numFmtId="0" fontId="102" fillId="8" borderId="0" xfId="0" applyFont="1" applyFill="1" applyAlignment="1">
      <alignment horizontal="left" vertical="center"/>
    </xf>
    <xf numFmtId="0" fontId="83" fillId="8" borderId="0" xfId="21" applyFont="1" applyFill="1" applyAlignment="1">
      <alignment horizontal="left" vertical="center"/>
    </xf>
    <xf numFmtId="0" fontId="83" fillId="41" borderId="48" xfId="9" applyFont="1" applyFill="1" applyBorder="1" applyAlignment="1">
      <alignment horizontal="left" vertical="center"/>
    </xf>
    <xf numFmtId="0" fontId="24" fillId="41" borderId="50" xfId="1" applyFont="1" applyFill="1" applyBorder="1" applyAlignment="1" applyProtection="1">
      <alignment horizontal="right" vertical="center"/>
      <protection locked="0"/>
    </xf>
    <xf numFmtId="0" fontId="13" fillId="8" borderId="176" xfId="21" applyFont="1" applyFill="1" applyBorder="1" applyAlignment="1">
      <alignment horizontal="right" vertical="center"/>
    </xf>
    <xf numFmtId="0" fontId="76" fillId="8" borderId="0" xfId="5" applyFont="1" applyFill="1" applyAlignment="1" applyProtection="1">
      <alignment vertical="center"/>
      <protection locked="0"/>
    </xf>
    <xf numFmtId="0" fontId="102" fillId="8" borderId="0" xfId="4" applyFont="1" applyFill="1" applyAlignment="1">
      <alignment horizontal="left" vertical="center"/>
    </xf>
    <xf numFmtId="0" fontId="13" fillId="8" borderId="0" xfId="5" applyFont="1" applyFill="1" applyAlignment="1" applyProtection="1">
      <alignment vertical="center"/>
      <protection locked="0"/>
    </xf>
    <xf numFmtId="0" fontId="72" fillId="7" borderId="16" xfId="0" applyFont="1" applyFill="1" applyBorder="1" applyAlignment="1">
      <alignment vertical="center"/>
    </xf>
    <xf numFmtId="0" fontId="13" fillId="50" borderId="16" xfId="3" applyFont="1" applyFill="1" applyBorder="1" applyAlignment="1">
      <alignment horizontal="left" vertical="center"/>
    </xf>
    <xf numFmtId="0" fontId="13" fillId="7" borderId="51" xfId="1" applyFont="1" applyFill="1" applyBorder="1" applyAlignment="1">
      <alignment vertical="center"/>
    </xf>
    <xf numFmtId="0" fontId="73" fillId="44" borderId="16" xfId="16" applyFont="1" applyFill="1" applyBorder="1" applyAlignment="1" applyProtection="1">
      <alignment horizontal="center" vertical="center"/>
      <protection locked="0"/>
    </xf>
    <xf numFmtId="0" fontId="36" fillId="45" borderId="16" xfId="16" applyFont="1" applyFill="1" applyBorder="1" applyAlignment="1" applyProtection="1">
      <alignment vertical="center"/>
      <protection locked="0"/>
    </xf>
    <xf numFmtId="0" fontId="36" fillId="46" borderId="16" xfId="1" applyFont="1" applyFill="1" applyBorder="1" applyAlignment="1">
      <alignment horizontal="center" vertical="center"/>
    </xf>
    <xf numFmtId="167" fontId="84" fillId="45" borderId="16" xfId="16" applyNumberFormat="1" applyFont="1" applyFill="1" applyBorder="1" applyAlignment="1" applyProtection="1">
      <alignment horizontal="center" vertical="center"/>
      <protection locked="0"/>
    </xf>
    <xf numFmtId="168" fontId="36" fillId="45" borderId="16" xfId="1" applyNumberFormat="1" applyFont="1" applyFill="1" applyBorder="1" applyAlignment="1">
      <alignment horizontal="center" vertical="center"/>
    </xf>
    <xf numFmtId="169" fontId="84" fillId="45" borderId="16" xfId="16" applyNumberFormat="1" applyFont="1" applyFill="1" applyBorder="1" applyAlignment="1" applyProtection="1">
      <alignment horizontal="center" vertical="center"/>
      <protection locked="0"/>
    </xf>
    <xf numFmtId="0" fontId="36" fillId="44" borderId="0" xfId="16" applyFont="1" applyFill="1" applyAlignment="1" applyProtection="1">
      <alignment horizontal="center" vertical="center"/>
      <protection locked="0"/>
    </xf>
    <xf numFmtId="0" fontId="101" fillId="8" borderId="0" xfId="1" applyFont="1" applyFill="1" applyAlignment="1">
      <alignment vertical="top" wrapText="1"/>
    </xf>
    <xf numFmtId="0" fontId="1" fillId="41" borderId="0" xfId="4" applyFill="1"/>
    <xf numFmtId="0" fontId="0" fillId="41" borderId="0" xfId="0" applyFill="1"/>
    <xf numFmtId="0" fontId="46" fillId="41" borderId="0" xfId="7" applyFont="1" applyFill="1" applyAlignment="1">
      <alignment horizontal="center" vertical="center"/>
    </xf>
    <xf numFmtId="0" fontId="20" fillId="136" borderId="0" xfId="4" applyFont="1" applyFill="1" applyAlignment="1">
      <alignment horizontal="center" vertical="center"/>
    </xf>
    <xf numFmtId="0" fontId="78" fillId="136" borderId="0" xfId="4" applyFont="1" applyFill="1" applyAlignment="1">
      <alignment horizontal="left" vertical="center"/>
    </xf>
    <xf numFmtId="0" fontId="2" fillId="137" borderId="0" xfId="5" applyFont="1" applyFill="1" applyAlignment="1">
      <alignment horizontal="center" vertical="center"/>
    </xf>
    <xf numFmtId="0" fontId="19" fillId="136" borderId="0" xfId="1" applyFont="1" applyFill="1" applyAlignment="1">
      <alignment horizontal="center" vertical="center" wrapText="1"/>
    </xf>
    <xf numFmtId="0" fontId="161" fillId="136" borderId="0" xfId="1" applyFont="1" applyFill="1" applyAlignment="1">
      <alignment horizontal="left" vertical="center"/>
    </xf>
    <xf numFmtId="0" fontId="48" fillId="136" borderId="0" xfId="1" applyFont="1" applyFill="1" applyAlignment="1">
      <alignment horizontal="left" vertical="center" wrapText="1"/>
    </xf>
    <xf numFmtId="0" fontId="74" fillId="136" borderId="0" xfId="0" applyFont="1" applyFill="1" applyAlignment="1">
      <alignment horizontal="left" vertical="center"/>
    </xf>
    <xf numFmtId="0" fontId="1" fillId="136" borderId="0" xfId="4" applyFill="1"/>
    <xf numFmtId="0" fontId="26" fillId="137" borderId="0" xfId="5" applyFont="1" applyFill="1" applyAlignment="1">
      <alignment horizontal="left" vertical="center"/>
    </xf>
    <xf numFmtId="0" fontId="20" fillId="136" borderId="0" xfId="4" applyFont="1" applyFill="1" applyAlignment="1">
      <alignment horizontal="left" vertical="center"/>
    </xf>
    <xf numFmtId="0" fontId="26" fillId="136" borderId="0" xfId="4" applyFont="1" applyFill="1" applyAlignment="1">
      <alignment horizontal="left" vertical="center"/>
    </xf>
    <xf numFmtId="0" fontId="48" fillId="136" borderId="0" xfId="4" applyFont="1" applyFill="1" applyAlignment="1">
      <alignment horizontal="left" vertical="center"/>
    </xf>
    <xf numFmtId="0" fontId="13" fillId="136" borderId="0" xfId="4" applyFont="1" applyFill="1" applyAlignment="1">
      <alignment horizontal="left" vertical="center"/>
    </xf>
    <xf numFmtId="0" fontId="57" fillId="136" borderId="0" xfId="4" applyFont="1" applyFill="1" applyAlignment="1">
      <alignment horizontal="center" vertical="center"/>
    </xf>
    <xf numFmtId="0" fontId="0" fillId="136" borderId="0" xfId="0" applyFill="1"/>
    <xf numFmtId="0" fontId="87" fillId="136" borderId="0" xfId="3" applyFont="1" applyFill="1" applyAlignment="1">
      <alignment horizontal="right" vertical="center"/>
    </xf>
    <xf numFmtId="0" fontId="111" fillId="136" borderId="0" xfId="4" applyFont="1" applyFill="1"/>
    <xf numFmtId="0" fontId="71" fillId="136" borderId="0" xfId="0" applyFont="1" applyFill="1"/>
    <xf numFmtId="0" fontId="139" fillId="136" borderId="0" xfId="4" applyFont="1" applyFill="1"/>
    <xf numFmtId="0" fontId="13" fillId="135" borderId="0" xfId="1" applyFont="1" applyFill="1" applyAlignment="1" applyProtection="1">
      <alignment vertical="center"/>
      <protection hidden="1"/>
    </xf>
    <xf numFmtId="0" fontId="13" fillId="135" borderId="0" xfId="1" applyFont="1" applyFill="1" applyAlignment="1" applyProtection="1">
      <alignment horizontal="right" vertical="center"/>
      <protection hidden="1"/>
    </xf>
    <xf numFmtId="0" fontId="0" fillId="138" borderId="0" xfId="0" applyFill="1"/>
    <xf numFmtId="0" fontId="87" fillId="138" borderId="0" xfId="0" applyFont="1" applyFill="1"/>
    <xf numFmtId="167" fontId="59" fillId="26" borderId="0" xfId="1" applyNumberFormat="1" applyFont="1" applyFill="1" applyAlignment="1">
      <alignment horizontal="center" vertical="center"/>
    </xf>
    <xf numFmtId="0" fontId="61" fillId="8" borderId="0" xfId="1" applyFont="1" applyFill="1" applyAlignment="1" applyProtection="1">
      <alignment horizontal="center" vertical="center"/>
      <protection hidden="1"/>
    </xf>
    <xf numFmtId="0" fontId="76" fillId="8" borderId="0" xfId="1" applyFont="1" applyFill="1" applyAlignment="1" applyProtection="1">
      <alignment horizontal="right" vertical="center"/>
      <protection hidden="1"/>
    </xf>
    <xf numFmtId="1" fontId="24" fillId="30" borderId="0" xfId="1" applyNumberFormat="1" applyFont="1" applyFill="1" applyAlignment="1">
      <alignment horizontal="left" vertical="center"/>
    </xf>
    <xf numFmtId="0" fontId="22" fillId="17" borderId="2" xfId="7" applyFont="1" applyFill="1" applyBorder="1" applyAlignment="1">
      <alignment horizontal="left" vertical="center"/>
    </xf>
    <xf numFmtId="0" fontId="22" fillId="17" borderId="2" xfId="7" applyFont="1" applyFill="1" applyBorder="1" applyAlignment="1">
      <alignment horizontal="right" vertical="center"/>
    </xf>
    <xf numFmtId="1" fontId="22" fillId="17" borderId="2" xfId="7" applyNumberFormat="1" applyFont="1" applyFill="1" applyBorder="1" applyAlignment="1">
      <alignment horizontal="right" vertical="center"/>
    </xf>
    <xf numFmtId="1" fontId="59" fillId="20" borderId="2" xfId="1" applyNumberFormat="1" applyFont="1" applyFill="1" applyBorder="1" applyAlignment="1">
      <alignment horizontal="center" vertical="center"/>
    </xf>
    <xf numFmtId="0" fontId="31" fillId="7" borderId="2" xfId="10" applyFont="1" applyFill="1" applyBorder="1" applyAlignment="1">
      <alignment horizontal="center" vertical="center"/>
    </xf>
    <xf numFmtId="1" fontId="60" fillId="20" borderId="2" xfId="1" applyNumberFormat="1" applyFont="1" applyFill="1" applyBorder="1" applyAlignment="1">
      <alignment horizontal="center" vertical="center"/>
    </xf>
    <xf numFmtId="1" fontId="60" fillId="20" borderId="2" xfId="1" applyNumberFormat="1" applyFont="1" applyFill="1" applyBorder="1" applyAlignment="1">
      <alignment vertical="center"/>
    </xf>
    <xf numFmtId="168" fontId="20" fillId="28" borderId="2" xfId="1" applyNumberFormat="1" applyFont="1" applyFill="1" applyBorder="1" applyAlignment="1">
      <alignment horizontal="center" vertical="center"/>
    </xf>
    <xf numFmtId="169" fontId="63" fillId="7" borderId="2" xfId="1" applyNumberFormat="1" applyFont="1" applyFill="1" applyBorder="1" applyAlignment="1">
      <alignment horizontal="center" vertical="center"/>
    </xf>
    <xf numFmtId="169" fontId="20" fillId="25" borderId="2" xfId="1" applyNumberFormat="1" applyFont="1" applyFill="1" applyBorder="1" applyAlignment="1">
      <alignment horizontal="center" vertical="center"/>
    </xf>
    <xf numFmtId="1" fontId="57" fillId="31" borderId="8" xfId="1" applyNumberFormat="1" applyFont="1" applyFill="1" applyBorder="1" applyAlignment="1">
      <alignment horizontal="center" vertical="center"/>
    </xf>
    <xf numFmtId="0" fontId="72" fillId="136" borderId="0" xfId="0" applyFont="1" applyFill="1" applyAlignment="1">
      <alignment horizontal="right" vertical="center"/>
    </xf>
    <xf numFmtId="0" fontId="136" fillId="136" borderId="0" xfId="4" applyFont="1" applyFill="1" applyAlignment="1">
      <alignment horizontal="left" vertical="center"/>
    </xf>
    <xf numFmtId="0" fontId="71" fillId="7" borderId="0" xfId="0" applyFont="1" applyFill="1" applyAlignment="1">
      <alignment horizontal="right" vertical="center"/>
    </xf>
    <xf numFmtId="172" fontId="118" fillId="43" borderId="26" xfId="0" applyNumberFormat="1" applyFont="1" applyFill="1" applyBorder="1" applyAlignment="1">
      <alignment horizontal="center" vertical="center"/>
    </xf>
    <xf numFmtId="0" fontId="0" fillId="109" borderId="230" xfId="0" applyFill="1" applyBorder="1"/>
    <xf numFmtId="0" fontId="5" fillId="42" borderId="17" xfId="0" applyFont="1" applyFill="1" applyBorder="1" applyAlignment="1">
      <alignment horizontal="right" vertical="center"/>
    </xf>
    <xf numFmtId="0" fontId="13" fillId="41" borderId="16" xfId="1" applyFont="1" applyFill="1" applyBorder="1" applyAlignment="1" applyProtection="1">
      <alignment vertical="center"/>
      <protection hidden="1"/>
    </xf>
    <xf numFmtId="0" fontId="13" fillId="50" borderId="0" xfId="3" applyFont="1" applyFill="1" applyAlignment="1">
      <alignment horizontal="right" vertical="center"/>
    </xf>
    <xf numFmtId="0" fontId="13" fillId="41" borderId="9" xfId="1" applyFont="1" applyFill="1" applyBorder="1" applyAlignment="1" applyProtection="1">
      <alignment horizontal="right" vertical="center"/>
      <protection hidden="1"/>
    </xf>
    <xf numFmtId="1" fontId="22" fillId="17" borderId="17" xfId="7" applyNumberFormat="1" applyFont="1" applyFill="1" applyBorder="1" applyAlignment="1">
      <alignment horizontal="right" vertical="center"/>
    </xf>
    <xf numFmtId="0" fontId="369" fillId="8" borderId="0" xfId="0" applyFont="1" applyFill="1" applyAlignment="1">
      <alignment vertical="center"/>
    </xf>
    <xf numFmtId="0" fontId="48" fillId="8" borderId="0" xfId="1" applyFont="1" applyFill="1" applyAlignment="1">
      <alignment horizontal="left" vertical="center"/>
    </xf>
    <xf numFmtId="0" fontId="71" fillId="8" borderId="0" xfId="0" applyFont="1" applyFill="1" applyAlignment="1">
      <alignment vertical="center"/>
    </xf>
    <xf numFmtId="0" fontId="367" fillId="8" borderId="0" xfId="0" applyFont="1" applyFill="1" applyAlignment="1">
      <alignment horizontal="left" vertical="center"/>
    </xf>
    <xf numFmtId="0" fontId="87" fillId="8" borderId="0" xfId="0" applyFont="1" applyFill="1" applyAlignment="1">
      <alignment horizontal="left" vertical="center"/>
    </xf>
    <xf numFmtId="0" fontId="74" fillId="8" borderId="0" xfId="0" applyFont="1" applyFill="1" applyAlignment="1">
      <alignment vertical="center"/>
    </xf>
    <xf numFmtId="0" fontId="370" fillId="8" borderId="0" xfId="0" applyFont="1" applyFill="1" applyAlignment="1">
      <alignment vertical="center"/>
    </xf>
    <xf numFmtId="49" fontId="0" fillId="12" borderId="231" xfId="0" applyNumberFormat="1" applyFill="1" applyBorder="1" applyAlignment="1">
      <alignment horizontal="left" vertical="center"/>
    </xf>
    <xf numFmtId="0" fontId="352" fillId="8" borderId="0" xfId="0" applyFont="1" applyFill="1" applyAlignment="1">
      <alignment vertical="center"/>
    </xf>
    <xf numFmtId="0" fontId="153" fillId="8" borderId="0" xfId="0" applyFont="1" applyFill="1" applyAlignment="1">
      <alignment horizontal="left" vertical="center"/>
    </xf>
    <xf numFmtId="0" fontId="78" fillId="8" borderId="0" xfId="0" applyFont="1" applyFill="1" applyAlignment="1">
      <alignment vertical="center"/>
    </xf>
    <xf numFmtId="0" fontId="43" fillId="8" borderId="0" xfId="0" applyFont="1" applyFill="1" applyAlignment="1">
      <alignment vertical="center"/>
    </xf>
    <xf numFmtId="0" fontId="369" fillId="8" borderId="0" xfId="0" applyFont="1" applyFill="1" applyAlignment="1">
      <alignment horizontal="right" vertical="center"/>
    </xf>
    <xf numFmtId="0" fontId="26" fillId="8" borderId="0" xfId="0" applyFont="1" applyFill="1" applyAlignment="1">
      <alignment horizontal="right" vertical="center"/>
    </xf>
    <xf numFmtId="0" fontId="184" fillId="12" borderId="231" xfId="0" applyFont="1" applyFill="1" applyBorder="1" applyAlignment="1">
      <alignment horizontal="center" vertical="center"/>
    </xf>
    <xf numFmtId="0" fontId="108" fillId="8" borderId="0" xfId="0" applyFont="1" applyFill="1" applyAlignment="1">
      <alignment horizontal="right" vertical="center"/>
    </xf>
    <xf numFmtId="0" fontId="367" fillId="8" borderId="0" xfId="0" applyFont="1" applyFill="1" applyAlignment="1">
      <alignment horizontal="left" vertical="center" indent="2"/>
    </xf>
    <xf numFmtId="0" fontId="44" fillId="8" borderId="0" xfId="0" applyFont="1" applyFill="1" applyAlignment="1">
      <alignment vertical="center"/>
    </xf>
    <xf numFmtId="0" fontId="368" fillId="8" borderId="0" xfId="0" applyFont="1" applyFill="1" applyAlignment="1">
      <alignment horizontal="left" vertical="center"/>
    </xf>
    <xf numFmtId="0" fontId="166" fillId="0" borderId="0" xfId="5" applyFont="1" applyAlignment="1">
      <alignment horizontal="center" vertical="center"/>
    </xf>
    <xf numFmtId="0" fontId="105" fillId="0" borderId="0" xfId="0" applyFont="1" applyAlignment="1">
      <alignment horizontal="right" vertical="center" wrapText="1"/>
    </xf>
    <xf numFmtId="0" fontId="166" fillId="8" borderId="0" xfId="5" applyFont="1" applyFill="1" applyAlignment="1">
      <alignment horizontal="right" vertical="center"/>
    </xf>
    <xf numFmtId="0" fontId="344" fillId="8" borderId="0" xfId="0" applyFont="1" applyFill="1" applyAlignment="1">
      <alignment horizontal="right" vertical="center" wrapText="1"/>
    </xf>
    <xf numFmtId="0" fontId="105" fillId="8" borderId="0" xfId="0" applyFont="1" applyFill="1" applyAlignment="1">
      <alignment horizontal="right" vertical="center" wrapText="1"/>
    </xf>
    <xf numFmtId="0" fontId="140" fillId="8" borderId="0" xfId="0" applyFont="1" applyFill="1" applyAlignment="1">
      <alignment horizontal="right" vertical="center" wrapText="1"/>
    </xf>
    <xf numFmtId="0" fontId="333" fillId="8" borderId="0" xfId="5" applyFont="1" applyFill="1" applyAlignment="1">
      <alignment horizontal="right" vertical="center"/>
    </xf>
    <xf numFmtId="0" fontId="0" fillId="8" borderId="48" xfId="0" applyFill="1" applyBorder="1" applyAlignment="1">
      <alignment horizontal="right" vertical="center" wrapText="1"/>
    </xf>
    <xf numFmtId="0" fontId="4" fillId="8" borderId="48" xfId="0" applyFont="1" applyFill="1" applyBorder="1" applyAlignment="1">
      <alignment horizontal="right" vertical="center" wrapText="1"/>
    </xf>
    <xf numFmtId="0" fontId="0" fillId="8" borderId="233" xfId="0" applyFill="1" applyBorder="1" applyAlignment="1">
      <alignment vertical="center" wrapText="1"/>
    </xf>
    <xf numFmtId="0" fontId="102" fillId="8" borderId="55" xfId="0" applyFont="1" applyFill="1" applyBorder="1" applyAlignment="1">
      <alignment horizontal="right" vertical="center" wrapText="1"/>
    </xf>
    <xf numFmtId="0" fontId="136" fillId="8" borderId="55" xfId="0" applyFont="1" applyFill="1" applyBorder="1" applyAlignment="1">
      <alignment horizontal="right" vertical="center" wrapText="1"/>
    </xf>
    <xf numFmtId="0" fontId="340" fillId="43" borderId="0" xfId="2" applyFont="1" applyFill="1" applyAlignment="1">
      <alignment horizontal="center" vertical="center"/>
    </xf>
    <xf numFmtId="0" fontId="350" fillId="21" borderId="0" xfId="17" applyFont="1" applyFill="1" applyAlignment="1" applyProtection="1">
      <alignment horizontal="left" vertical="center"/>
      <protection hidden="1"/>
    </xf>
    <xf numFmtId="0" fontId="26" fillId="17" borderId="0" xfId="8" applyFont="1" applyFill="1" applyAlignment="1">
      <alignment horizontal="right" vertical="center"/>
    </xf>
    <xf numFmtId="0" fontId="48" fillId="8" borderId="0" xfId="34" applyFont="1" applyFill="1" applyBorder="1" applyAlignment="1">
      <alignment horizontal="left" vertical="center"/>
    </xf>
    <xf numFmtId="0" fontId="83" fillId="8" borderId="0" xfId="1" applyFont="1" applyFill="1" applyAlignment="1" applyProtection="1">
      <alignment horizontal="right" vertical="center"/>
      <protection locked="0"/>
    </xf>
    <xf numFmtId="0" fontId="83" fillId="0" borderId="0" xfId="1" applyFont="1" applyAlignment="1" applyProtection="1">
      <alignment horizontal="right" vertical="center"/>
      <protection locked="0"/>
    </xf>
    <xf numFmtId="0" fontId="129" fillId="8" borderId="149" xfId="1" applyFont="1" applyFill="1" applyBorder="1" applyAlignment="1" applyProtection="1">
      <alignment horizontal="center" vertical="center"/>
      <protection hidden="1"/>
    </xf>
    <xf numFmtId="0" fontId="4" fillId="0" borderId="234" xfId="0" applyFont="1" applyBorder="1" applyAlignment="1">
      <alignment horizontal="center" vertical="center" wrapText="1"/>
    </xf>
    <xf numFmtId="0" fontId="340" fillId="8" borderId="235" xfId="2" applyFont="1" applyFill="1" applyBorder="1" applyAlignment="1">
      <alignment horizontal="center" vertical="center"/>
    </xf>
    <xf numFmtId="0" fontId="4" fillId="8" borderId="235" xfId="0" applyFont="1" applyFill="1" applyBorder="1" applyAlignment="1">
      <alignment vertical="center" wrapText="1"/>
    </xf>
    <xf numFmtId="0" fontId="0" fillId="8" borderId="235" xfId="0" applyFill="1" applyBorder="1" applyAlignment="1">
      <alignment vertical="center" wrapText="1"/>
    </xf>
    <xf numFmtId="0" fontId="108" fillId="8" borderId="235" xfId="0" applyFont="1" applyFill="1" applyBorder="1" applyAlignment="1">
      <alignment vertical="center" wrapText="1"/>
    </xf>
    <xf numFmtId="0" fontId="1" fillId="0" borderId="235" xfId="2" applyBorder="1" applyAlignment="1">
      <alignment wrapText="1"/>
    </xf>
    <xf numFmtId="0" fontId="129" fillId="8" borderId="16" xfId="1" applyFont="1" applyFill="1" applyBorder="1" applyAlignment="1" applyProtection="1">
      <alignment horizontal="center" vertical="center"/>
      <protection hidden="1"/>
    </xf>
    <xf numFmtId="0" fontId="71" fillId="8" borderId="13" xfId="0" applyFont="1" applyFill="1" applyBorder="1" applyAlignment="1">
      <alignment horizontal="left" vertical="center"/>
    </xf>
    <xf numFmtId="0" fontId="0" fillId="8" borderId="13" xfId="0" applyFill="1" applyBorder="1" applyAlignment="1">
      <alignment horizontal="left" vertical="center" wrapText="1"/>
    </xf>
    <xf numFmtId="0" fontId="1" fillId="8" borderId="13" xfId="2" applyFill="1" applyBorder="1" applyAlignment="1">
      <alignment horizontal="left" vertical="center" wrapText="1"/>
    </xf>
    <xf numFmtId="0" fontId="129" fillId="8" borderId="13" xfId="1" applyFont="1" applyFill="1" applyBorder="1" applyAlignment="1" applyProtection="1">
      <alignment horizontal="center" vertical="center"/>
      <protection hidden="1"/>
    </xf>
    <xf numFmtId="0" fontId="0" fillId="8" borderId="13" xfId="0" applyFill="1" applyBorder="1" applyAlignment="1">
      <alignment horizontal="left" vertical="center"/>
    </xf>
    <xf numFmtId="0" fontId="78" fillId="7" borderId="48" xfId="1" applyFont="1" applyFill="1" applyBorder="1" applyAlignment="1" applyProtection="1">
      <alignment horizontal="left" vertical="center"/>
      <protection hidden="1"/>
    </xf>
    <xf numFmtId="0" fontId="43" fillId="7" borderId="48" xfId="1" applyFont="1" applyFill="1" applyBorder="1" applyAlignment="1" applyProtection="1">
      <alignment horizontal="left" vertical="center"/>
      <protection hidden="1"/>
    </xf>
    <xf numFmtId="0" fontId="0" fillId="7" borderId="48" xfId="0" applyFill="1" applyBorder="1"/>
    <xf numFmtId="0" fontId="129" fillId="7" borderId="48" xfId="1" applyFont="1" applyFill="1" applyBorder="1" applyAlignment="1" applyProtection="1">
      <alignment horizontal="center" vertical="center"/>
      <protection hidden="1"/>
    </xf>
    <xf numFmtId="0" fontId="129" fillId="7" borderId="16" xfId="1" applyFont="1" applyFill="1" applyBorder="1" applyAlignment="1" applyProtection="1">
      <alignment horizontal="center" vertical="center"/>
      <protection hidden="1"/>
    </xf>
    <xf numFmtId="0" fontId="78" fillId="7" borderId="0" xfId="1" applyFont="1" applyFill="1" applyAlignment="1" applyProtection="1">
      <alignment horizontal="left" vertical="center"/>
      <protection hidden="1"/>
    </xf>
    <xf numFmtId="0" fontId="43" fillId="7" borderId="0" xfId="1" applyFont="1" applyFill="1" applyAlignment="1" applyProtection="1">
      <alignment horizontal="left" vertical="center"/>
      <protection hidden="1"/>
    </xf>
    <xf numFmtId="0" fontId="1" fillId="0" borderId="16" xfId="2" applyBorder="1" applyAlignment="1">
      <alignment wrapText="1"/>
    </xf>
    <xf numFmtId="0" fontId="335" fillId="7" borderId="0" xfId="1" applyFont="1" applyFill="1" applyAlignment="1" applyProtection="1">
      <alignment horizontal="center" vertical="center"/>
      <protection hidden="1"/>
    </xf>
    <xf numFmtId="0" fontId="78" fillId="7" borderId="0" xfId="1" applyFont="1" applyFill="1" applyAlignment="1" applyProtection="1">
      <alignment horizontal="center" vertical="center"/>
      <protection hidden="1"/>
    </xf>
    <xf numFmtId="0" fontId="78" fillId="7" borderId="235" xfId="1" applyFont="1" applyFill="1" applyBorder="1" applyAlignment="1" applyProtection="1">
      <alignment horizontal="center" vertical="center"/>
      <protection hidden="1"/>
    </xf>
    <xf numFmtId="0" fontId="335" fillId="7" borderId="0" xfId="1" applyFont="1" applyFill="1" applyAlignment="1" applyProtection="1">
      <alignment horizontal="left" vertical="center"/>
      <protection hidden="1"/>
    </xf>
    <xf numFmtId="0" fontId="0" fillId="8" borderId="236" xfId="0" applyFill="1" applyBorder="1" applyAlignment="1">
      <alignment vertical="center" wrapText="1"/>
    </xf>
    <xf numFmtId="0" fontId="0" fillId="8" borderId="237" xfId="0" applyFill="1" applyBorder="1" applyAlignment="1">
      <alignment vertical="center" wrapText="1"/>
    </xf>
    <xf numFmtId="0" fontId="39" fillId="7" borderId="0" xfId="1" applyFont="1" applyFill="1" applyAlignment="1" applyProtection="1">
      <alignment horizontal="center" vertical="center"/>
      <protection hidden="1"/>
    </xf>
    <xf numFmtId="0" fontId="39" fillId="7" borderId="0" xfId="1" applyFont="1" applyFill="1" applyAlignment="1" applyProtection="1">
      <alignment horizontal="left" vertical="center"/>
      <protection hidden="1"/>
    </xf>
    <xf numFmtId="0" fontId="64" fillId="8" borderId="0" xfId="1" applyFont="1" applyFill="1" applyAlignment="1" applyProtection="1">
      <alignment horizontal="center" vertical="center"/>
      <protection hidden="1"/>
    </xf>
    <xf numFmtId="0" fontId="64" fillId="8" borderId="0" xfId="1" applyFont="1" applyFill="1" applyAlignment="1" applyProtection="1">
      <alignment horizontal="left" vertical="center"/>
      <protection hidden="1"/>
    </xf>
    <xf numFmtId="0" fontId="59" fillId="8" borderId="0" xfId="0" applyFont="1" applyFill="1" applyAlignment="1">
      <alignment vertical="center" wrapText="1"/>
    </xf>
    <xf numFmtId="0" fontId="59" fillId="8" borderId="0" xfId="0" applyFont="1" applyFill="1"/>
    <xf numFmtId="0" fontId="110" fillId="8" borderId="9" xfId="0" applyFont="1" applyFill="1" applyBorder="1" applyAlignment="1">
      <alignment horizontal="right" vertical="center"/>
    </xf>
    <xf numFmtId="0" fontId="374" fillId="17" borderId="0" xfId="0" applyFont="1" applyFill="1" applyAlignment="1">
      <alignment horizontal="right"/>
    </xf>
    <xf numFmtId="0" fontId="49" fillId="139" borderId="0" xfId="3" applyFont="1" applyFill="1" applyAlignment="1">
      <alignment horizontal="right" vertical="center"/>
    </xf>
    <xf numFmtId="0" fontId="10" fillId="139" borderId="0" xfId="3" applyFont="1" applyFill="1" applyAlignment="1">
      <alignment horizontal="left" vertical="center"/>
    </xf>
    <xf numFmtId="0" fontId="130" fillId="0" borderId="0" xfId="0" applyFont="1" applyAlignment="1">
      <alignment horizontal="left" vertical="center" wrapText="1"/>
    </xf>
    <xf numFmtId="0" fontId="24" fillId="8" borderId="0" xfId="1" applyFont="1" applyFill="1"/>
    <xf numFmtId="0" fontId="24" fillId="8" borderId="9" xfId="1" applyFont="1" applyFill="1" applyBorder="1"/>
    <xf numFmtId="0" fontId="10" fillId="14" borderId="0" xfId="1" quotePrefix="1" applyFont="1" applyFill="1" applyAlignment="1">
      <alignment horizontal="center" vertical="center"/>
    </xf>
    <xf numFmtId="0" fontId="130" fillId="8" borderId="0" xfId="0" applyFont="1" applyFill="1" applyAlignment="1">
      <alignment horizontal="left" vertical="center" wrapText="1"/>
    </xf>
    <xf numFmtId="0" fontId="331" fillId="107" borderId="0" xfId="1" applyFont="1" applyFill="1" applyAlignment="1">
      <alignment horizontal="right" vertical="center"/>
    </xf>
    <xf numFmtId="0" fontId="64" fillId="32" borderId="7" xfId="13" applyFont="1" applyFill="1" applyBorder="1" applyAlignment="1">
      <alignment horizontal="center" vertical="center"/>
    </xf>
    <xf numFmtId="167" fontId="59" fillId="26" borderId="160" xfId="1" applyNumberFormat="1" applyFont="1" applyFill="1" applyBorder="1" applyAlignment="1">
      <alignment horizontal="center" vertical="center"/>
    </xf>
    <xf numFmtId="0" fontId="61" fillId="25" borderId="238" xfId="1" applyFont="1" applyFill="1" applyBorder="1" applyAlignment="1" applyProtection="1">
      <alignment horizontal="center" vertical="center"/>
      <protection hidden="1"/>
    </xf>
    <xf numFmtId="0" fontId="76" fillId="8" borderId="160" xfId="1" applyFont="1" applyFill="1" applyBorder="1" applyAlignment="1" applyProtection="1">
      <alignment horizontal="right" vertical="center"/>
      <protection hidden="1"/>
    </xf>
    <xf numFmtId="0" fontId="76" fillId="0" borderId="239" xfId="1" applyFont="1" applyBorder="1" applyAlignment="1">
      <alignment horizontal="right" vertical="center"/>
    </xf>
    <xf numFmtId="2" fontId="1" fillId="29" borderId="239" xfId="12" applyNumberFormat="1" applyFill="1" applyBorder="1" applyAlignment="1" applyProtection="1">
      <alignment horizontal="center" vertical="center"/>
      <protection locked="0"/>
    </xf>
    <xf numFmtId="170" fontId="20" fillId="30" borderId="240" xfId="1" applyNumberFormat="1" applyFont="1" applyFill="1" applyBorder="1" applyAlignment="1">
      <alignment horizontal="center" vertical="center"/>
    </xf>
    <xf numFmtId="0" fontId="24" fillId="30" borderId="2" xfId="1" applyFont="1" applyFill="1" applyBorder="1" applyAlignment="1">
      <alignment horizontal="left" vertical="center"/>
    </xf>
    <xf numFmtId="170" fontId="20" fillId="30" borderId="177" xfId="1" applyNumberFormat="1" applyFont="1" applyFill="1" applyBorder="1" applyAlignment="1">
      <alignment horizontal="center" vertical="center"/>
    </xf>
    <xf numFmtId="0" fontId="24" fillId="30" borderId="0" xfId="1" applyFont="1" applyFill="1" applyAlignment="1">
      <alignment horizontal="left" vertical="center"/>
    </xf>
    <xf numFmtId="0" fontId="64" fillId="36" borderId="6" xfId="13" applyFont="1" applyFill="1" applyBorder="1" applyAlignment="1">
      <alignment horizontal="center" vertical="center"/>
    </xf>
    <xf numFmtId="0" fontId="63" fillId="7" borderId="0" xfId="4" applyFont="1" applyFill="1" applyAlignment="1">
      <alignment horizontal="center" vertical="center"/>
    </xf>
    <xf numFmtId="0" fontId="159" fillId="8" borderId="0" xfId="3" applyFont="1" applyFill="1" applyAlignment="1">
      <alignment horizontal="left" vertical="center" wrapText="1"/>
    </xf>
    <xf numFmtId="0" fontId="78" fillId="8" borderId="0" xfId="9" applyFont="1" applyFill="1" applyAlignment="1">
      <alignment vertical="center"/>
    </xf>
    <xf numFmtId="0" fontId="72" fillId="8" borderId="0" xfId="0" applyFont="1" applyFill="1"/>
    <xf numFmtId="0" fontId="71" fillId="8" borderId="0" xfId="0" applyFont="1" applyFill="1" applyAlignment="1">
      <alignment horizontal="left" vertical="center" indent="1"/>
    </xf>
    <xf numFmtId="0" fontId="368" fillId="8" borderId="0" xfId="0" applyFont="1" applyFill="1"/>
    <xf numFmtId="0" fontId="32" fillId="13" borderId="0" xfId="3" applyFont="1" applyFill="1" applyAlignment="1">
      <alignment horizontal="center" vertical="center" wrapText="1"/>
    </xf>
    <xf numFmtId="0" fontId="384" fillId="13" borderId="0" xfId="3" applyFont="1" applyFill="1" applyAlignment="1">
      <alignment horizontal="right" vertical="center" wrapText="1"/>
    </xf>
    <xf numFmtId="0" fontId="32" fillId="72" borderId="0" xfId="3" applyFont="1" applyFill="1" applyAlignment="1">
      <alignment horizontal="center" vertical="center" wrapText="1"/>
    </xf>
    <xf numFmtId="0" fontId="384" fillId="72" borderId="0" xfId="3" applyFont="1" applyFill="1" applyAlignment="1">
      <alignment horizontal="right" vertical="center" wrapText="1"/>
    </xf>
    <xf numFmtId="0" fontId="26" fillId="14" borderId="0" xfId="3" applyFont="1" applyFill="1" applyAlignment="1">
      <alignment horizontal="center" vertical="center" wrapText="1"/>
    </xf>
    <xf numFmtId="0" fontId="49" fillId="14" borderId="0" xfId="3" applyFont="1" applyFill="1" applyAlignment="1">
      <alignment horizontal="right" vertical="center" wrapText="1"/>
    </xf>
    <xf numFmtId="0" fontId="36" fillId="8" borderId="0" xfId="1" applyFont="1" applyFill="1" applyAlignment="1">
      <alignment vertical="center"/>
    </xf>
    <xf numFmtId="0" fontId="71" fillId="8" borderId="0" xfId="0" applyFont="1" applyFill="1" applyAlignment="1">
      <alignment horizontal="center" vertical="center"/>
    </xf>
    <xf numFmtId="0" fontId="369" fillId="8" borderId="0" xfId="3" applyFont="1" applyFill="1" applyAlignment="1">
      <alignment horizontal="right"/>
    </xf>
    <xf numFmtId="0" fontId="23" fillId="129" borderId="2" xfId="1" applyFont="1" applyFill="1" applyBorder="1" applyAlignment="1">
      <alignment horizontal="left" vertical="center" wrapText="1"/>
    </xf>
    <xf numFmtId="0" fontId="30" fillId="129" borderId="0" xfId="0" applyFont="1" applyFill="1" applyAlignment="1">
      <alignment horizontal="center" vertical="center" wrapText="1"/>
    </xf>
    <xf numFmtId="0" fontId="5" fillId="129" borderId="64" xfId="7" applyFont="1" applyFill="1" applyBorder="1" applyAlignment="1">
      <alignment horizontal="center" vertical="center"/>
    </xf>
    <xf numFmtId="0" fontId="13" fillId="50" borderId="48" xfId="3" applyFont="1" applyFill="1" applyBorder="1" applyAlignment="1">
      <alignment horizontal="right" vertical="center"/>
    </xf>
    <xf numFmtId="167" fontId="78" fillId="19" borderId="0" xfId="1" applyNumberFormat="1" applyFont="1" applyFill="1" applyAlignment="1">
      <alignment horizontal="center" vertical="center"/>
    </xf>
    <xf numFmtId="0" fontId="13" fillId="41" borderId="50" xfId="1" applyFont="1" applyFill="1" applyBorder="1" applyAlignment="1" applyProtection="1">
      <alignment horizontal="right" vertical="center"/>
      <protection hidden="1"/>
    </xf>
    <xf numFmtId="0" fontId="3" fillId="34" borderId="24" xfId="1" applyFont="1" applyFill="1" applyBorder="1" applyAlignment="1" applyProtection="1">
      <alignment horizontal="center" vertical="center"/>
      <protection hidden="1"/>
    </xf>
    <xf numFmtId="0" fontId="20" fillId="16" borderId="64" xfId="7" applyFont="1" applyFill="1" applyBorder="1" applyAlignment="1">
      <alignment horizontal="center" vertical="center"/>
    </xf>
    <xf numFmtId="0" fontId="5" fillId="62" borderId="64" xfId="7" applyFont="1" applyFill="1" applyBorder="1" applyAlignment="1">
      <alignment horizontal="center" vertical="center"/>
    </xf>
    <xf numFmtId="0" fontId="20" fillId="131" borderId="64" xfId="7" applyFont="1" applyFill="1" applyBorder="1" applyAlignment="1">
      <alignment horizontal="center" vertical="center"/>
    </xf>
    <xf numFmtId="0" fontId="5" fillId="132" borderId="64" xfId="7" applyFont="1" applyFill="1" applyBorder="1" applyAlignment="1">
      <alignment horizontal="center" vertical="center"/>
    </xf>
    <xf numFmtId="0" fontId="174" fillId="4" borderId="2" xfId="6" applyFont="1" applyFill="1" applyBorder="1" applyAlignment="1">
      <alignment horizontal="left" vertical="center"/>
    </xf>
    <xf numFmtId="0" fontId="174" fillId="4" borderId="2" xfId="6" applyFont="1" applyFill="1" applyBorder="1" applyAlignment="1">
      <alignment horizontal="center" vertical="center"/>
    </xf>
    <xf numFmtId="1" fontId="174" fillId="4" borderId="2" xfId="6" applyNumberFormat="1" applyFont="1" applyFill="1" applyBorder="1" applyAlignment="1">
      <alignment horizontal="center" vertical="center"/>
    </xf>
    <xf numFmtId="0" fontId="174" fillId="4" borderId="2" xfId="1" applyFont="1" applyFill="1" applyBorder="1" applyAlignment="1">
      <alignment horizontal="left" vertical="center" wrapText="1"/>
    </xf>
    <xf numFmtId="0" fontId="174" fillId="4" borderId="0" xfId="6" applyFont="1" applyFill="1" applyAlignment="1">
      <alignment horizontal="right" vertical="center"/>
    </xf>
    <xf numFmtId="0" fontId="174" fillId="4" borderId="0" xfId="6" applyFont="1" applyFill="1" applyAlignment="1">
      <alignment horizontal="center" vertical="center"/>
    </xf>
    <xf numFmtId="1" fontId="174" fillId="4" borderId="0" xfId="6" applyNumberFormat="1" applyFont="1" applyFill="1" applyAlignment="1">
      <alignment horizontal="center" vertical="center"/>
    </xf>
    <xf numFmtId="0" fontId="174" fillId="4" borderId="0" xfId="0" applyFont="1" applyFill="1" applyAlignment="1">
      <alignment horizontal="center" vertical="center" wrapText="1"/>
    </xf>
    <xf numFmtId="0" fontId="57" fillId="4" borderId="6" xfId="7" applyFont="1" applyFill="1" applyBorder="1" applyAlignment="1">
      <alignment horizontal="center" vertical="center"/>
    </xf>
    <xf numFmtId="0" fontId="20" fillId="4" borderId="6" xfId="7" applyFont="1" applyFill="1" applyBorder="1" applyAlignment="1">
      <alignment horizontal="center" vertical="center"/>
    </xf>
    <xf numFmtId="0" fontId="20" fillId="4" borderId="64" xfId="7" applyFont="1" applyFill="1" applyBorder="1" applyAlignment="1">
      <alignment horizontal="center" vertical="center"/>
    </xf>
    <xf numFmtId="0" fontId="57" fillId="4" borderId="58" xfId="7" applyFont="1" applyFill="1" applyBorder="1" applyAlignment="1">
      <alignment horizontal="center" vertical="center"/>
    </xf>
    <xf numFmtId="0" fontId="174" fillId="4" borderId="3" xfId="7" applyFont="1" applyFill="1" applyBorder="1" applyAlignment="1">
      <alignment vertical="center"/>
    </xf>
    <xf numFmtId="1" fontId="174" fillId="4" borderId="3" xfId="7" applyNumberFormat="1" applyFont="1" applyFill="1" applyBorder="1" applyAlignment="1">
      <alignment horizontal="left" vertical="center"/>
    </xf>
    <xf numFmtId="0" fontId="31" fillId="4" borderId="3" xfId="1" applyFont="1" applyFill="1" applyBorder="1" applyAlignment="1" applyProtection="1">
      <alignment vertical="center"/>
      <protection hidden="1"/>
    </xf>
    <xf numFmtId="0" fontId="0" fillId="17" borderId="0" xfId="0" applyFill="1" applyAlignment="1">
      <alignment horizontal="left" vertical="center"/>
    </xf>
    <xf numFmtId="0" fontId="110" fillId="8" borderId="0" xfId="9" applyFont="1" applyFill="1" applyAlignment="1">
      <alignment horizontal="left" vertical="center"/>
    </xf>
    <xf numFmtId="0" fontId="24" fillId="7" borderId="9" xfId="0" applyFont="1" applyFill="1" applyBorder="1" applyAlignment="1">
      <alignment horizontal="right" vertical="center"/>
    </xf>
    <xf numFmtId="0" fontId="10" fillId="139" borderId="0" xfId="3" applyFont="1" applyFill="1" applyAlignment="1">
      <alignment horizontal="right" vertical="center"/>
    </xf>
    <xf numFmtId="0" fontId="65" fillId="21" borderId="0" xfId="1" applyFont="1" applyFill="1" applyAlignment="1" applyProtection="1">
      <alignment vertical="center"/>
      <protection hidden="1"/>
    </xf>
    <xf numFmtId="0" fontId="89" fillId="43" borderId="0" xfId="1" applyFont="1" applyFill="1" applyAlignment="1" applyProtection="1">
      <alignment vertical="center"/>
      <protection hidden="1"/>
    </xf>
    <xf numFmtId="0" fontId="21" fillId="43" borderId="0" xfId="1" applyFont="1" applyFill="1" applyAlignment="1" applyProtection="1">
      <alignment vertical="center"/>
      <protection hidden="1"/>
    </xf>
    <xf numFmtId="0" fontId="13" fillId="43" borderId="0" xfId="1" applyFont="1" applyFill="1" applyAlignment="1" applyProtection="1">
      <alignment vertical="center"/>
      <protection hidden="1"/>
    </xf>
    <xf numFmtId="0" fontId="57" fillId="43" borderId="0" xfId="1" applyFont="1" applyFill="1" applyAlignment="1" applyProtection="1">
      <alignment vertical="center"/>
      <protection hidden="1"/>
    </xf>
    <xf numFmtId="0" fontId="110" fillId="43" borderId="0" xfId="1" applyFont="1" applyFill="1" applyAlignment="1" applyProtection="1">
      <alignment horizontal="right" vertical="center"/>
      <protection hidden="1"/>
    </xf>
    <xf numFmtId="0" fontId="58" fillId="8" borderId="0" xfId="1" applyFont="1" applyFill="1" applyAlignment="1" applyProtection="1">
      <alignment vertical="center"/>
      <protection hidden="1"/>
    </xf>
    <xf numFmtId="0" fontId="58" fillId="8" borderId="9" xfId="1" applyFont="1" applyFill="1" applyBorder="1" applyAlignment="1" applyProtection="1">
      <alignment vertical="center"/>
      <protection hidden="1"/>
    </xf>
    <xf numFmtId="0" fontId="58" fillId="141" borderId="0" xfId="1" applyFont="1" applyFill="1" applyAlignment="1" applyProtection="1">
      <alignment vertical="center"/>
      <protection hidden="1"/>
    </xf>
    <xf numFmtId="0" fontId="136" fillId="8" borderId="48" xfId="0" applyFont="1" applyFill="1" applyBorder="1" applyAlignment="1">
      <alignment horizontal="left" vertical="center"/>
    </xf>
    <xf numFmtId="0" fontId="374" fillId="17" borderId="0" xfId="0" applyFont="1" applyFill="1" applyAlignment="1">
      <alignment horizontal="left" vertical="center"/>
    </xf>
    <xf numFmtId="0" fontId="37" fillId="17" borderId="0" xfId="0" applyFont="1" applyFill="1" applyAlignment="1">
      <alignment horizontal="left" vertical="center"/>
    </xf>
    <xf numFmtId="0" fontId="37" fillId="17" borderId="0" xfId="0" applyFont="1" applyFill="1" applyAlignment="1">
      <alignment horizontal="right" vertical="center"/>
    </xf>
    <xf numFmtId="0" fontId="49" fillId="110" borderId="0" xfId="1" quotePrefix="1" applyFont="1" applyFill="1" applyAlignment="1">
      <alignment horizontal="center" vertical="center"/>
    </xf>
    <xf numFmtId="0" fontId="382" fillId="17" borderId="3" xfId="1" quotePrefix="1" applyFont="1" applyFill="1" applyBorder="1" applyAlignment="1">
      <alignment horizontal="center" vertical="center"/>
    </xf>
    <xf numFmtId="0" fontId="382" fillId="90" borderId="58" xfId="1" quotePrefix="1" applyFont="1" applyFill="1" applyBorder="1" applyAlignment="1">
      <alignment horizontal="center" vertical="center"/>
    </xf>
    <xf numFmtId="0" fontId="382" fillId="90" borderId="59" xfId="1" quotePrefix="1" applyFont="1" applyFill="1" applyBorder="1" applyAlignment="1">
      <alignment horizontal="center" vertical="center"/>
    </xf>
    <xf numFmtId="0" fontId="58" fillId="140" borderId="9" xfId="3" applyFont="1" applyFill="1" applyBorder="1" applyAlignment="1">
      <alignment horizontal="center" vertical="center"/>
    </xf>
    <xf numFmtId="0" fontId="83" fillId="110" borderId="6" xfId="9" applyFont="1" applyFill="1" applyBorder="1" applyAlignment="1">
      <alignment horizontal="left" vertical="center"/>
    </xf>
    <xf numFmtId="0" fontId="83" fillId="110" borderId="0" xfId="9" applyFont="1" applyFill="1" applyAlignment="1">
      <alignment horizontal="left" vertical="center"/>
    </xf>
    <xf numFmtId="0" fontId="110" fillId="110" borderId="0" xfId="9" applyFont="1" applyFill="1" applyAlignment="1">
      <alignment horizontal="left" vertical="center"/>
    </xf>
    <xf numFmtId="0" fontId="49" fillId="111" borderId="0" xfId="3" applyFont="1" applyFill="1" applyAlignment="1">
      <alignment horizontal="right" vertical="center"/>
    </xf>
    <xf numFmtId="0" fontId="37" fillId="110" borderId="0" xfId="0" applyFont="1" applyFill="1" applyAlignment="1">
      <alignment horizontal="right" vertical="center"/>
    </xf>
    <xf numFmtId="0" fontId="48" fillId="110" borderId="0" xfId="1" applyFont="1" applyFill="1" applyAlignment="1" applyProtection="1">
      <alignment horizontal="left" vertical="center"/>
      <protection hidden="1"/>
    </xf>
    <xf numFmtId="0" fontId="20" fillId="110" borderId="0" xfId="0" applyFont="1" applyFill="1"/>
    <xf numFmtId="0" fontId="10" fillId="110" borderId="0" xfId="0" applyFont="1" applyFill="1" applyAlignment="1">
      <alignment horizontal="right" vertical="center"/>
    </xf>
    <xf numFmtId="0" fontId="381" fillId="111" borderId="9" xfId="3" applyFont="1" applyFill="1" applyBorder="1" applyAlignment="1">
      <alignment horizontal="center" vertical="center"/>
    </xf>
    <xf numFmtId="190" fontId="48" fillId="110" borderId="6" xfId="0" applyNumberFormat="1" applyFont="1" applyFill="1" applyBorder="1" applyAlignment="1">
      <alignment horizontal="center" vertical="center"/>
    </xf>
    <xf numFmtId="0" fontId="37" fillId="8" borderId="241" xfId="0" applyFont="1" applyFill="1" applyBorder="1" applyAlignment="1">
      <alignment horizontal="right" vertical="center"/>
    </xf>
    <xf numFmtId="0" fontId="385" fillId="110" borderId="9" xfId="1" quotePrefix="1" applyFont="1" applyFill="1" applyBorder="1" applyAlignment="1">
      <alignment horizontal="center" vertical="center"/>
    </xf>
    <xf numFmtId="0" fontId="385" fillId="110" borderId="6" xfId="1" quotePrefix="1" applyFont="1" applyFill="1" applyBorder="1" applyAlignment="1">
      <alignment horizontal="center" vertical="center"/>
    </xf>
    <xf numFmtId="0" fontId="86" fillId="8" borderId="0" xfId="17" applyFill="1" applyBorder="1" applyAlignment="1">
      <alignment horizontal="left" vertical="center"/>
    </xf>
    <xf numFmtId="0" fontId="2" fillId="129" borderId="3" xfId="1" applyFont="1" applyFill="1" applyBorder="1" applyAlignment="1" applyProtection="1">
      <alignment vertical="center"/>
      <protection hidden="1"/>
    </xf>
    <xf numFmtId="0" fontId="48" fillId="16" borderId="3" xfId="1" applyFont="1" applyFill="1" applyBorder="1" applyAlignment="1" applyProtection="1">
      <alignment vertical="center"/>
      <protection hidden="1"/>
    </xf>
    <xf numFmtId="0" fontId="8" fillId="62" borderId="2" xfId="6" applyFont="1" applyFill="1" applyBorder="1" applyAlignment="1">
      <alignment horizontal="left" vertical="center"/>
    </xf>
    <xf numFmtId="0" fontId="8" fillId="62" borderId="2" xfId="6" applyFont="1" applyFill="1" applyBorder="1" applyAlignment="1">
      <alignment horizontal="center" vertical="center"/>
    </xf>
    <xf numFmtId="1" fontId="8" fillId="62" borderId="2" xfId="6" applyNumberFormat="1" applyFont="1" applyFill="1" applyBorder="1" applyAlignment="1">
      <alignment horizontal="center" vertical="center"/>
    </xf>
    <xf numFmtId="0" fontId="8" fillId="62" borderId="0" xfId="6" applyFont="1" applyFill="1" applyAlignment="1">
      <alignment horizontal="right" vertical="center"/>
    </xf>
    <xf numFmtId="0" fontId="8" fillId="62" borderId="0" xfId="6" applyFont="1" applyFill="1" applyAlignment="1">
      <alignment horizontal="center" vertical="center"/>
    </xf>
    <xf numFmtId="1" fontId="8" fillId="62" borderId="0" xfId="6" applyNumberFormat="1" applyFont="1" applyFill="1" applyAlignment="1">
      <alignment horizontal="center" vertical="center"/>
    </xf>
    <xf numFmtId="0" fontId="2" fillId="62" borderId="3" xfId="1" applyFont="1" applyFill="1" applyBorder="1" applyAlignment="1" applyProtection="1">
      <alignment vertical="center"/>
      <protection hidden="1"/>
    </xf>
    <xf numFmtId="0" fontId="2" fillId="132" borderId="3" xfId="1" applyFont="1" applyFill="1" applyBorder="1" applyAlignment="1" applyProtection="1">
      <alignment vertical="center"/>
      <protection hidden="1"/>
    </xf>
    <xf numFmtId="0" fontId="5" fillId="134" borderId="64" xfId="7" applyFont="1" applyFill="1" applyBorder="1" applyAlignment="1">
      <alignment horizontal="center" vertical="center"/>
    </xf>
    <xf numFmtId="0" fontId="2" fillId="134" borderId="3" xfId="1" applyFont="1" applyFill="1" applyBorder="1" applyAlignment="1" applyProtection="1">
      <alignment vertical="center"/>
      <protection hidden="1"/>
    </xf>
    <xf numFmtId="0" fontId="48" fillId="4" borderId="3" xfId="1" applyFont="1" applyFill="1" applyBorder="1" applyAlignment="1" applyProtection="1">
      <alignment vertical="center"/>
      <protection hidden="1"/>
    </xf>
    <xf numFmtId="0" fontId="32" fillId="3" borderId="140" xfId="1" applyFont="1" applyFill="1" applyBorder="1" applyAlignment="1">
      <alignment vertical="center"/>
    </xf>
    <xf numFmtId="0" fontId="32" fillId="3" borderId="2" xfId="1" applyFont="1" applyFill="1" applyBorder="1" applyAlignment="1">
      <alignment vertical="center"/>
    </xf>
    <xf numFmtId="0" fontId="32" fillId="3" borderId="35" xfId="1" applyFont="1" applyFill="1" applyBorder="1" applyAlignment="1">
      <alignment vertical="center"/>
    </xf>
    <xf numFmtId="0" fontId="32" fillId="3" borderId="0" xfId="1" applyFont="1" applyFill="1" applyAlignment="1">
      <alignment vertical="center"/>
    </xf>
    <xf numFmtId="0" fontId="21" fillId="3" borderId="35" xfId="3" applyFont="1" applyFill="1" applyBorder="1" applyAlignment="1">
      <alignment vertical="center"/>
    </xf>
    <xf numFmtId="0" fontId="21" fillId="3" borderId="0" xfId="3" applyFont="1" applyFill="1" applyAlignment="1">
      <alignment vertical="center"/>
    </xf>
    <xf numFmtId="0" fontId="5" fillId="3" borderId="0" xfId="3" applyFont="1" applyFill="1" applyAlignment="1">
      <alignment vertical="center"/>
    </xf>
    <xf numFmtId="0" fontId="20" fillId="8" borderId="0" xfId="25" applyFont="1" applyFill="1" applyAlignment="1">
      <alignment vertical="center"/>
    </xf>
    <xf numFmtId="0" fontId="31" fillId="3" borderId="0" xfId="6" applyFont="1" applyFill="1" applyAlignment="1">
      <alignment horizontal="center" vertical="center"/>
    </xf>
    <xf numFmtId="0" fontId="358" fillId="8" borderId="0" xfId="1" applyFont="1" applyFill="1" applyAlignment="1">
      <alignment horizontal="center" vertical="center"/>
    </xf>
    <xf numFmtId="0" fontId="359" fillId="8" borderId="0" xfId="1" applyFont="1" applyFill="1" applyAlignment="1">
      <alignment horizontal="left" vertical="center"/>
    </xf>
    <xf numFmtId="0" fontId="26" fillId="8" borderId="0" xfId="1" applyFont="1" applyFill="1" applyAlignment="1">
      <alignment horizontal="left" vertical="center"/>
    </xf>
    <xf numFmtId="0" fontId="28" fillId="8" borderId="0" xfId="1" applyFont="1" applyFill="1" applyAlignment="1">
      <alignment horizontal="left" vertical="center"/>
    </xf>
    <xf numFmtId="0" fontId="80" fillId="8" borderId="0" xfId="1" applyFont="1" applyFill="1" applyAlignment="1">
      <alignment horizontal="left" vertical="center"/>
    </xf>
    <xf numFmtId="0" fontId="26" fillId="8" borderId="0" xfId="0" applyFont="1" applyFill="1" applyAlignment="1">
      <alignment horizontal="left" vertical="center"/>
    </xf>
    <xf numFmtId="0" fontId="146" fillId="15" borderId="0" xfId="26" applyFont="1" applyFill="1" applyAlignment="1">
      <alignment vertical="top"/>
    </xf>
    <xf numFmtId="0" fontId="374" fillId="43" borderId="0" xfId="0" applyFont="1" applyFill="1" applyAlignment="1">
      <alignment horizontal="right" vertical="center"/>
    </xf>
    <xf numFmtId="0" fontId="76" fillId="43" borderId="0" xfId="1" applyFont="1" applyFill="1" applyAlignment="1" applyProtection="1">
      <alignment horizontal="center" vertical="center"/>
      <protection hidden="1"/>
    </xf>
    <xf numFmtId="0" fontId="72" fillId="8" borderId="6" xfId="0" applyFont="1" applyFill="1" applyBorder="1" applyAlignment="1">
      <alignment vertical="center"/>
    </xf>
    <xf numFmtId="0" fontId="1" fillId="8" borderId="0" xfId="24" applyFill="1"/>
    <xf numFmtId="0" fontId="10" fillId="43" borderId="0" xfId="14" applyFont="1" applyFill="1" applyAlignment="1">
      <alignment horizontal="left"/>
    </xf>
    <xf numFmtId="0" fontId="24" fillId="43" borderId="0" xfId="1" applyFont="1" applyFill="1" applyAlignment="1">
      <alignment horizontal="left"/>
    </xf>
    <xf numFmtId="0" fontId="10" fillId="43" borderId="0" xfId="1" applyFont="1" applyFill="1" applyAlignment="1">
      <alignment horizontal="left"/>
    </xf>
    <xf numFmtId="0" fontId="10" fillId="43" borderId="0" xfId="1" applyFont="1" applyFill="1" applyAlignment="1">
      <alignment wrapText="1"/>
    </xf>
    <xf numFmtId="0" fontId="387" fillId="43" borderId="0" xfId="1" applyFont="1" applyFill="1" applyAlignment="1">
      <alignment horizontal="left"/>
    </xf>
    <xf numFmtId="0" fontId="387" fillId="43" borderId="0" xfId="14" applyFont="1" applyFill="1" applyAlignment="1">
      <alignment horizontal="left"/>
    </xf>
    <xf numFmtId="0" fontId="388" fillId="43" borderId="0" xfId="1" applyFont="1" applyFill="1" applyAlignment="1">
      <alignment horizontal="left"/>
    </xf>
    <xf numFmtId="0" fontId="1" fillId="43" borderId="0" xfId="24" applyFill="1"/>
    <xf numFmtId="0" fontId="1" fillId="8" borderId="6" xfId="24" applyFill="1" applyBorder="1"/>
    <xf numFmtId="0" fontId="90" fillId="3" borderId="68" xfId="6" applyFont="1" applyFill="1" applyBorder="1" applyAlignment="1">
      <alignment horizontal="center" vertical="center"/>
    </xf>
    <xf numFmtId="0" fontId="389" fillId="8" borderId="0" xfId="6" applyFont="1" applyFill="1" applyAlignment="1">
      <alignment horizontal="center" vertical="center"/>
    </xf>
    <xf numFmtId="0" fontId="58" fillId="32" borderId="0" xfId="13" applyFont="1" applyFill="1" applyAlignment="1">
      <alignment horizontal="center" vertical="center"/>
    </xf>
    <xf numFmtId="0" fontId="111" fillId="8" borderId="0" xfId="3" applyFont="1" applyFill="1" applyAlignment="1">
      <alignment horizontal="left" vertical="center"/>
    </xf>
    <xf numFmtId="0" fontId="110" fillId="8" borderId="0" xfId="3" applyFont="1" applyFill="1" applyAlignment="1">
      <alignment horizontal="left" vertical="center"/>
    </xf>
    <xf numFmtId="0" fontId="2" fillId="13" borderId="0" xfId="1" applyFont="1" applyFill="1" applyAlignment="1">
      <alignment horizontal="center" vertical="center"/>
    </xf>
    <xf numFmtId="0" fontId="5" fillId="130" borderId="0" xfId="37" applyFont="1" applyFill="1" applyAlignment="1">
      <alignment horizontal="center" vertical="center"/>
    </xf>
    <xf numFmtId="0" fontId="71" fillId="8" borderId="6" xfId="3" applyFont="1" applyFill="1" applyBorder="1" applyAlignment="1">
      <alignment vertical="center"/>
    </xf>
    <xf numFmtId="0" fontId="386" fillId="8" borderId="0" xfId="1" applyFont="1" applyFill="1" applyAlignment="1">
      <alignment horizontal="center" vertical="center"/>
    </xf>
    <xf numFmtId="0" fontId="4" fillId="8" borderId="0" xfId="24" applyFont="1" applyFill="1"/>
    <xf numFmtId="0" fontId="53" fillId="8" borderId="6" xfId="0" applyFont="1" applyFill="1" applyBorder="1" applyAlignment="1">
      <alignment vertical="center"/>
    </xf>
    <xf numFmtId="0" fontId="45" fillId="8" borderId="0" xfId="0" applyFont="1" applyFill="1" applyAlignment="1">
      <alignment vertical="center"/>
    </xf>
    <xf numFmtId="0" fontId="13" fillId="8" borderId="0" xfId="1" applyFont="1" applyFill="1" applyAlignment="1">
      <alignment horizontal="left" vertical="center"/>
    </xf>
    <xf numFmtId="0" fontId="183" fillId="8" borderId="0" xfId="17" applyFont="1" applyFill="1" applyBorder="1" applyAlignment="1">
      <alignment vertical="center"/>
    </xf>
    <xf numFmtId="0" fontId="342" fillId="43" borderId="0" xfId="24" applyFont="1" applyFill="1" applyAlignment="1">
      <alignment horizontal="left" vertical="center"/>
    </xf>
    <xf numFmtId="0" fontId="2" fillId="42" borderId="119" xfId="9" applyFont="1" applyFill="1" applyBorder="1" applyAlignment="1">
      <alignment horizontal="right" vertical="center"/>
    </xf>
    <xf numFmtId="0" fontId="163" fillId="88" borderId="6" xfId="1" applyFont="1" applyFill="1" applyBorder="1" applyAlignment="1" applyProtection="1">
      <alignment vertical="center"/>
      <protection hidden="1"/>
    </xf>
    <xf numFmtId="0" fontId="32" fillId="88" borderId="6" xfId="1" applyFont="1" applyFill="1" applyBorder="1" applyAlignment="1" applyProtection="1">
      <alignment vertical="center"/>
      <protection hidden="1"/>
    </xf>
    <xf numFmtId="0" fontId="68" fillId="8" borderId="0" xfId="4" applyFont="1" applyFill="1" applyAlignment="1">
      <alignment horizontal="center" vertical="center"/>
    </xf>
    <xf numFmtId="0" fontId="1" fillId="8" borderId="0" xfId="4" applyFill="1" applyAlignment="1">
      <alignment vertical="center"/>
    </xf>
    <xf numFmtId="0" fontId="50" fillId="8" borderId="6" xfId="1" applyFont="1" applyFill="1" applyBorder="1" applyAlignment="1" applyProtection="1">
      <alignment vertical="center"/>
      <protection hidden="1"/>
    </xf>
    <xf numFmtId="0" fontId="50" fillId="8" borderId="9" xfId="1" applyFont="1" applyFill="1" applyBorder="1" applyAlignment="1" applyProtection="1">
      <alignment horizontal="right" vertical="center"/>
      <protection hidden="1"/>
    </xf>
    <xf numFmtId="0" fontId="356" fillId="8" borderId="0" xfId="1" applyFont="1" applyFill="1" applyAlignment="1" applyProtection="1">
      <alignment horizontal="center" vertical="center"/>
      <protection hidden="1"/>
    </xf>
    <xf numFmtId="0" fontId="391" fillId="8" borderId="0" xfId="0" applyFont="1" applyFill="1" applyAlignment="1">
      <alignment vertical="center"/>
    </xf>
    <xf numFmtId="0" fontId="73" fillId="8" borderId="0" xfId="0" applyFont="1" applyFill="1" applyAlignment="1">
      <alignment vertical="center"/>
    </xf>
    <xf numFmtId="0" fontId="110" fillId="8" borderId="0" xfId="1" applyFont="1" applyFill="1" applyAlignment="1" applyProtection="1">
      <alignment horizontal="left" vertical="center"/>
      <protection hidden="1"/>
    </xf>
    <xf numFmtId="0" fontId="390" fillId="8" borderId="0" xfId="1" applyFont="1" applyFill="1" applyAlignment="1">
      <alignment horizontal="center" vertical="center"/>
    </xf>
    <xf numFmtId="0" fontId="136" fillId="8" borderId="0" xfId="1" applyFont="1" applyFill="1" applyAlignment="1" applyProtection="1">
      <alignment horizontal="right" vertical="center"/>
      <protection hidden="1"/>
    </xf>
    <xf numFmtId="0" fontId="157" fillId="8" borderId="0" xfId="1" applyFont="1" applyFill="1" applyAlignment="1" applyProtection="1">
      <alignment horizontal="center" vertical="center"/>
      <protection locked="0"/>
    </xf>
    <xf numFmtId="0" fontId="8" fillId="129" borderId="0" xfId="7" applyFont="1" applyFill="1" applyAlignment="1">
      <alignment vertical="center"/>
    </xf>
    <xf numFmtId="1" fontId="8" fillId="129" borderId="0" xfId="7" applyNumberFormat="1" applyFont="1" applyFill="1" applyAlignment="1">
      <alignment horizontal="left" vertical="center"/>
    </xf>
    <xf numFmtId="0" fontId="90" fillId="129" borderId="0" xfId="1" applyFont="1" applyFill="1" applyAlignment="1" applyProtection="1">
      <alignment vertical="center"/>
      <protection hidden="1"/>
    </xf>
    <xf numFmtId="0" fontId="2" fillId="129" borderId="0" xfId="1" applyFont="1" applyFill="1" applyAlignment="1" applyProtection="1">
      <alignment vertical="center"/>
      <protection hidden="1"/>
    </xf>
    <xf numFmtId="0" fontId="21" fillId="129" borderId="0" xfId="1" applyFont="1" applyFill="1" applyAlignment="1" applyProtection="1">
      <alignment vertical="center"/>
      <protection hidden="1"/>
    </xf>
    <xf numFmtId="0" fontId="21" fillId="129" borderId="9" xfId="1" applyFont="1" applyFill="1" applyBorder="1" applyAlignment="1" applyProtection="1">
      <alignment vertical="center"/>
      <protection hidden="1"/>
    </xf>
    <xf numFmtId="0" fontId="392" fillId="17" borderId="0" xfId="7" applyFont="1" applyFill="1" applyAlignment="1">
      <alignment horizontal="left" vertical="center"/>
    </xf>
    <xf numFmtId="0" fontId="20" fillId="25" borderId="0" xfId="1" applyFont="1" applyFill="1" applyAlignment="1">
      <alignment horizontal="left" vertical="center"/>
    </xf>
    <xf numFmtId="0" fontId="20" fillId="7" borderId="0" xfId="10" applyFont="1" applyFill="1" applyAlignment="1">
      <alignment horizontal="left" vertical="center"/>
    </xf>
    <xf numFmtId="0" fontId="59" fillId="26" borderId="0" xfId="1" applyFont="1" applyFill="1" applyAlignment="1">
      <alignment horizontal="left" vertical="center"/>
    </xf>
    <xf numFmtId="0" fontId="59" fillId="20" borderId="0" xfId="1" applyFont="1" applyFill="1" applyAlignment="1">
      <alignment horizontal="left" vertical="center"/>
    </xf>
    <xf numFmtId="0" fontId="60" fillId="20" borderId="0" xfId="1" applyFont="1" applyFill="1" applyAlignment="1">
      <alignment horizontal="left" vertical="center"/>
    </xf>
    <xf numFmtId="0" fontId="104" fillId="8" borderId="0" xfId="1" applyFont="1" applyFill="1" applyAlignment="1" applyProtection="1">
      <alignment horizontal="left" vertical="center"/>
      <protection hidden="1"/>
    </xf>
    <xf numFmtId="0" fontId="62" fillId="8" borderId="0" xfId="1" applyFont="1" applyFill="1" applyAlignment="1" applyProtection="1">
      <alignment horizontal="left" vertical="center"/>
      <protection hidden="1"/>
    </xf>
    <xf numFmtId="0" fontId="62" fillId="0" borderId="0" xfId="1" applyFont="1" applyAlignment="1">
      <alignment horizontal="left" vertical="center"/>
    </xf>
    <xf numFmtId="0" fontId="20" fillId="28" borderId="0" xfId="1" applyFont="1" applyFill="1" applyAlignment="1">
      <alignment horizontal="left" vertical="center"/>
    </xf>
    <xf numFmtId="0" fontId="1" fillId="29" borderId="0" xfId="12" applyFill="1" applyAlignment="1" applyProtection="1">
      <alignment horizontal="left" vertical="center"/>
      <protection locked="0"/>
    </xf>
    <xf numFmtId="0" fontId="393" fillId="7" borderId="0" xfId="1" applyFont="1" applyFill="1" applyAlignment="1">
      <alignment horizontal="left" vertical="center"/>
    </xf>
    <xf numFmtId="0" fontId="20" fillId="30" borderId="0" xfId="1" applyFont="1" applyFill="1" applyAlignment="1">
      <alignment horizontal="left" vertical="center"/>
    </xf>
    <xf numFmtId="0" fontId="59" fillId="8" borderId="0" xfId="1" applyFont="1" applyFill="1" applyAlignment="1" applyProtection="1">
      <alignment horizontal="left" vertical="center"/>
      <protection hidden="1"/>
    </xf>
    <xf numFmtId="0" fontId="20" fillId="0" borderId="0" xfId="1" applyFont="1" applyAlignment="1">
      <alignment horizontal="left" vertical="center"/>
    </xf>
    <xf numFmtId="0" fontId="60" fillId="32" borderId="6" xfId="13" applyFont="1" applyFill="1" applyBorder="1" applyAlignment="1">
      <alignment horizontal="left" vertical="center"/>
    </xf>
    <xf numFmtId="0" fontId="59" fillId="20" borderId="41" xfId="1" applyFont="1" applyFill="1" applyBorder="1" applyAlignment="1">
      <alignment horizontal="left" vertical="center"/>
    </xf>
    <xf numFmtId="0" fontId="104" fillId="8" borderId="48" xfId="1" applyFont="1" applyFill="1" applyBorder="1" applyAlignment="1" applyProtection="1">
      <alignment horizontal="left" vertical="center"/>
      <protection hidden="1"/>
    </xf>
    <xf numFmtId="0" fontId="20" fillId="30" borderId="242" xfId="1" applyFont="1" applyFill="1" applyBorder="1" applyAlignment="1">
      <alignment horizontal="left" vertical="center"/>
    </xf>
    <xf numFmtId="0" fontId="20" fillId="31" borderId="80" xfId="1" applyFont="1" applyFill="1" applyBorder="1" applyAlignment="1">
      <alignment horizontal="left" vertical="center"/>
    </xf>
    <xf numFmtId="0" fontId="20" fillId="31" borderId="9" xfId="1" applyFont="1" applyFill="1" applyBorder="1" applyAlignment="1">
      <alignment horizontal="left" vertical="center"/>
    </xf>
    <xf numFmtId="0" fontId="65" fillId="20" borderId="243" xfId="1" applyFont="1" applyFill="1" applyBorder="1" applyAlignment="1" applyProtection="1">
      <alignment vertical="center"/>
      <protection hidden="1"/>
    </xf>
    <xf numFmtId="0" fontId="136" fillId="43" borderId="48" xfId="0" applyFont="1" applyFill="1" applyBorder="1" applyAlignment="1">
      <alignment horizontal="center" vertical="center"/>
    </xf>
    <xf numFmtId="0" fontId="136" fillId="43" borderId="0" xfId="3" applyFont="1" applyFill="1" applyAlignment="1">
      <alignment horizontal="right" vertical="center"/>
    </xf>
    <xf numFmtId="0" fontId="136" fillId="43" borderId="50" xfId="0" applyFont="1" applyFill="1" applyBorder="1" applyAlignment="1">
      <alignment horizontal="left" vertical="center"/>
    </xf>
    <xf numFmtId="0" fontId="394" fillId="132" borderId="48" xfId="2" applyFont="1" applyFill="1" applyBorder="1" applyAlignment="1">
      <alignment horizontal="center" vertical="center"/>
    </xf>
    <xf numFmtId="0" fontId="24" fillId="43" borderId="17" xfId="0" applyFont="1" applyFill="1" applyBorder="1" applyAlignment="1">
      <alignment horizontal="right" vertical="center"/>
    </xf>
    <xf numFmtId="0" fontId="48" fillId="31" borderId="9" xfId="1" applyFont="1" applyFill="1" applyBorder="1" applyAlignment="1">
      <alignment horizontal="left" vertical="center"/>
    </xf>
    <xf numFmtId="0" fontId="24" fillId="43" borderId="135" xfId="0" applyFont="1" applyFill="1" applyBorder="1" applyAlignment="1">
      <alignment horizontal="right" vertical="center"/>
    </xf>
    <xf numFmtId="0" fontId="24" fillId="43" borderId="244" xfId="0" applyFont="1" applyFill="1" applyBorder="1" applyAlignment="1">
      <alignment horizontal="right" vertical="center"/>
    </xf>
    <xf numFmtId="0" fontId="13" fillId="20" borderId="245" xfId="1" applyFont="1" applyFill="1" applyBorder="1" applyAlignment="1" applyProtection="1">
      <alignment horizontal="center" vertical="center"/>
      <protection hidden="1"/>
    </xf>
    <xf numFmtId="0" fontId="83" fillId="8" borderId="246" xfId="9" applyFont="1" applyFill="1" applyBorder="1" applyAlignment="1">
      <alignment horizontal="left" vertical="center"/>
    </xf>
    <xf numFmtId="0" fontId="83" fillId="8" borderId="3" xfId="9" applyFont="1" applyFill="1" applyBorder="1" applyAlignment="1">
      <alignment horizontal="left" vertical="center"/>
    </xf>
    <xf numFmtId="0" fontId="83" fillId="8" borderId="59" xfId="9" applyFont="1" applyFill="1" applyBorder="1" applyAlignment="1">
      <alignment horizontal="left" vertical="center"/>
    </xf>
    <xf numFmtId="0" fontId="10" fillId="115" borderId="6" xfId="3" applyFont="1" applyFill="1" applyBorder="1" applyAlignment="1">
      <alignment horizontal="left" vertical="center"/>
    </xf>
    <xf numFmtId="0" fontId="57" fillId="7" borderId="6" xfId="1" applyFont="1" applyFill="1" applyBorder="1" applyAlignment="1" applyProtection="1">
      <alignment horizontal="left" vertical="center"/>
      <protection hidden="1"/>
    </xf>
    <xf numFmtId="0" fontId="57" fillId="7" borderId="0" xfId="1" applyFont="1" applyFill="1" applyAlignment="1" applyProtection="1">
      <alignment vertical="center"/>
      <protection hidden="1"/>
    </xf>
    <xf numFmtId="0" fontId="57" fillId="7" borderId="9" xfId="1" applyFont="1" applyFill="1" applyBorder="1" applyAlignment="1" applyProtection="1">
      <alignment vertical="center"/>
      <protection hidden="1"/>
    </xf>
    <xf numFmtId="0" fontId="24" fillId="8" borderId="0" xfId="6" applyFont="1" applyFill="1"/>
    <xf numFmtId="0" fontId="130" fillId="0" borderId="0" xfId="0" applyFont="1"/>
    <xf numFmtId="0" fontId="130" fillId="0" borderId="0" xfId="0" applyFont="1" applyAlignment="1">
      <alignment horizontal="left" vertical="center"/>
    </xf>
    <xf numFmtId="0" fontId="130" fillId="0" borderId="0" xfId="0" applyFont="1" applyAlignment="1">
      <alignment vertical="center"/>
    </xf>
    <xf numFmtId="0" fontId="24" fillId="8" borderId="0" xfId="1" applyFont="1" applyFill="1" applyAlignment="1">
      <alignment horizontal="center" vertical="center" wrapText="1"/>
    </xf>
    <xf numFmtId="0" fontId="392" fillId="7" borderId="0" xfId="6" applyFont="1" applyFill="1" applyAlignment="1">
      <alignment horizontal="left" vertical="center"/>
    </xf>
    <xf numFmtId="0" fontId="395" fillId="7" borderId="0" xfId="1" applyFont="1" applyFill="1" applyAlignment="1">
      <alignment horizontal="left" vertical="center"/>
    </xf>
    <xf numFmtId="0" fontId="2" fillId="7" borderId="0" xfId="1" applyFont="1" applyFill="1" applyAlignment="1">
      <alignment horizontal="left" vertical="center"/>
    </xf>
    <xf numFmtId="0" fontId="48" fillId="7" borderId="0" xfId="1" applyFont="1" applyFill="1" applyAlignment="1" applyProtection="1">
      <alignment horizontal="left" vertical="center"/>
      <protection hidden="1"/>
    </xf>
    <xf numFmtId="0" fontId="396" fillId="7" borderId="9" xfId="3" applyFont="1" applyFill="1" applyBorder="1" applyAlignment="1">
      <alignment horizontal="left" vertical="center"/>
    </xf>
    <xf numFmtId="0" fontId="42" fillId="7" borderId="0" xfId="0" applyFont="1" applyFill="1" applyAlignment="1">
      <alignment horizontal="left" vertical="center"/>
    </xf>
    <xf numFmtId="0" fontId="392" fillId="7" borderId="0" xfId="7" applyFont="1" applyFill="1" applyAlignment="1">
      <alignment horizontal="left" vertical="center"/>
    </xf>
    <xf numFmtId="0" fontId="20" fillId="7" borderId="0" xfId="5" applyFont="1" applyFill="1" applyAlignment="1">
      <alignment horizontal="left" vertical="center"/>
    </xf>
    <xf numFmtId="0" fontId="105" fillId="7" borderId="0" xfId="5" applyFont="1" applyFill="1" applyAlignment="1">
      <alignment horizontal="left" vertical="center"/>
    </xf>
    <xf numFmtId="0" fontId="1" fillId="7" borderId="0" xfId="0" applyFont="1" applyFill="1" applyAlignment="1">
      <alignment horizontal="left" vertical="center"/>
    </xf>
    <xf numFmtId="0" fontId="20" fillId="7" borderId="0" xfId="8" applyFont="1" applyFill="1" applyAlignment="1">
      <alignment horizontal="left" vertical="center"/>
    </xf>
    <xf numFmtId="0" fontId="136" fillId="7" borderId="9" xfId="0" applyFont="1" applyFill="1" applyBorder="1" applyAlignment="1">
      <alignment horizontal="left" vertical="center"/>
    </xf>
    <xf numFmtId="0" fontId="18" fillId="11" borderId="2" xfId="5" applyFont="1" applyFill="1" applyBorder="1" applyAlignment="1">
      <alignment horizontal="left" vertical="center"/>
    </xf>
    <xf numFmtId="0" fontId="2" fillId="11" borderId="2" xfId="5" applyFont="1" applyFill="1" applyBorder="1" applyAlignment="1">
      <alignment horizontal="center" vertical="center"/>
    </xf>
    <xf numFmtId="0" fontId="19" fillId="8" borderId="2" xfId="1" applyFont="1" applyFill="1" applyBorder="1" applyAlignment="1">
      <alignment horizontal="center" vertical="center" wrapText="1"/>
    </xf>
    <xf numFmtId="0" fontId="332" fillId="8" borderId="2" xfId="1" applyFont="1" applyFill="1" applyBorder="1" applyAlignment="1">
      <alignment horizontal="right" vertical="center"/>
    </xf>
    <xf numFmtId="0" fontId="191" fillId="8" borderId="9" xfId="1" applyFont="1" applyFill="1" applyBorder="1" applyAlignment="1" applyProtection="1">
      <alignment vertical="center"/>
      <protection hidden="1"/>
    </xf>
    <xf numFmtId="0" fontId="157" fillId="8" borderId="0" xfId="1" applyFont="1" applyFill="1" applyAlignment="1" applyProtection="1">
      <alignment horizontal="left" vertical="center"/>
      <protection locked="0"/>
    </xf>
    <xf numFmtId="0" fontId="342" fillId="8" borderId="0" xfId="0" applyFont="1" applyFill="1" applyAlignment="1">
      <alignment horizontal="left" vertical="center"/>
    </xf>
    <xf numFmtId="0" fontId="396" fillId="7" borderId="59" xfId="3" applyFont="1" applyFill="1" applyBorder="1" applyAlignment="1">
      <alignment horizontal="left" vertical="center"/>
    </xf>
    <xf numFmtId="0" fontId="0" fillId="8" borderId="0" xfId="0" applyFill="1" applyAlignment="1">
      <alignment horizontal="center" vertical="center"/>
    </xf>
    <xf numFmtId="0" fontId="144" fillId="8" borderId="3" xfId="4" applyFont="1" applyFill="1" applyBorder="1" applyAlignment="1">
      <alignment vertical="center"/>
    </xf>
    <xf numFmtId="0" fontId="20" fillId="12" borderId="54" xfId="4" applyFont="1" applyFill="1" applyBorder="1" applyAlignment="1">
      <alignment horizontal="right" vertical="center"/>
    </xf>
    <xf numFmtId="0" fontId="20" fillId="12" borderId="9" xfId="4" applyFont="1" applyFill="1" applyBorder="1" applyAlignment="1">
      <alignment horizontal="right" vertical="center"/>
    </xf>
    <xf numFmtId="0" fontId="139" fillId="0" borderId="0" xfId="0" applyFont="1"/>
    <xf numFmtId="0" fontId="110" fillId="15" borderId="0" xfId="0" applyFont="1" applyFill="1" applyAlignment="1">
      <alignment horizontal="left" vertical="center"/>
    </xf>
    <xf numFmtId="0" fontId="73" fillId="15" borderId="0" xfId="0" applyFont="1" applyFill="1" applyAlignment="1">
      <alignment horizontal="left" vertical="center"/>
    </xf>
    <xf numFmtId="0" fontId="71" fillId="15" borderId="0" xfId="0" applyFont="1" applyFill="1" applyAlignment="1">
      <alignment horizontal="left" vertical="center"/>
    </xf>
    <xf numFmtId="0" fontId="171" fillId="15" borderId="0" xfId="0" applyFont="1" applyFill="1" applyAlignment="1">
      <alignment vertical="top"/>
    </xf>
    <xf numFmtId="0" fontId="110" fillId="15" borderId="6" xfId="0" applyFont="1" applyFill="1" applyBorder="1" applyAlignment="1">
      <alignment horizontal="left" vertical="center"/>
    </xf>
    <xf numFmtId="0" fontId="73" fillId="15" borderId="6" xfId="0" applyFont="1" applyFill="1" applyBorder="1" applyAlignment="1">
      <alignment horizontal="left" vertical="center"/>
    </xf>
    <xf numFmtId="0" fontId="71" fillId="15" borderId="6" xfId="0" applyFont="1" applyFill="1" applyBorder="1" applyAlignment="1">
      <alignment horizontal="left" vertical="center"/>
    </xf>
    <xf numFmtId="0" fontId="54" fillId="4" borderId="0" xfId="0" applyFont="1" applyFill="1" applyAlignment="1">
      <alignment horizontal="left" vertical="center" wrapText="1"/>
    </xf>
    <xf numFmtId="0" fontId="130" fillId="7" borderId="0" xfId="0" applyFont="1" applyFill="1" applyAlignment="1">
      <alignment vertical="center" wrapText="1"/>
    </xf>
    <xf numFmtId="0" fontId="398" fillId="17" borderId="6" xfId="1" applyFont="1" applyFill="1" applyBorder="1" applyAlignment="1" applyProtection="1">
      <alignment horizontal="center" vertical="center"/>
      <protection hidden="1"/>
    </xf>
    <xf numFmtId="0" fontId="24" fillId="24" borderId="6" xfId="1" applyFont="1" applyFill="1" applyBorder="1" applyAlignment="1">
      <alignment horizontal="center" vertical="center"/>
    </xf>
    <xf numFmtId="0" fontId="24" fillId="24" borderId="17" xfId="1" applyFont="1" applyFill="1" applyBorder="1" applyAlignment="1">
      <alignment horizontal="center" vertical="center"/>
    </xf>
    <xf numFmtId="0" fontId="70" fillId="20" borderId="104" xfId="0" applyFont="1" applyFill="1" applyBorder="1" applyAlignment="1">
      <alignment horizontal="center" vertical="center"/>
    </xf>
    <xf numFmtId="0" fontId="115" fillId="8" borderId="6" xfId="1" applyFont="1" applyFill="1" applyBorder="1" applyAlignment="1">
      <alignment vertical="center"/>
    </xf>
    <xf numFmtId="0" fontId="26" fillId="8" borderId="0" xfId="1" applyFont="1" applyFill="1" applyAlignment="1" applyProtection="1">
      <alignment vertical="center"/>
      <protection locked="0"/>
    </xf>
    <xf numFmtId="0" fontId="26" fillId="8" borderId="9" xfId="1" applyFont="1" applyFill="1" applyBorder="1" applyAlignment="1" applyProtection="1">
      <alignment vertical="center"/>
      <protection locked="0"/>
    </xf>
    <xf numFmtId="0" fontId="16" fillId="9" borderId="247" xfId="3" applyFont="1" applyFill="1" applyBorder="1" applyAlignment="1">
      <alignment horizontal="center" vertical="center"/>
    </xf>
    <xf numFmtId="0" fontId="16" fillId="9" borderId="44" xfId="3" applyFont="1" applyFill="1" applyBorder="1" applyAlignment="1">
      <alignment horizontal="center" vertical="center"/>
    </xf>
    <xf numFmtId="0" fontId="10" fillId="23" borderId="49" xfId="3" applyFont="1" applyFill="1" applyBorder="1" applyAlignment="1">
      <alignment horizontal="left" vertical="center"/>
    </xf>
    <xf numFmtId="0" fontId="61" fillId="27" borderId="46" xfId="1" applyFont="1" applyFill="1" applyBorder="1" applyAlignment="1" applyProtection="1">
      <alignment horizontal="center" vertical="center"/>
      <protection hidden="1"/>
    </xf>
    <xf numFmtId="171" fontId="118" fillId="43" borderId="247" xfId="0" applyNumberFormat="1" applyFont="1" applyFill="1" applyBorder="1" applyAlignment="1">
      <alignment horizontal="center" vertical="center"/>
    </xf>
    <xf numFmtId="0" fontId="57" fillId="38" borderId="114" xfId="1" applyFont="1" applyFill="1" applyBorder="1" applyAlignment="1" applyProtection="1">
      <alignment horizontal="center" vertical="center"/>
      <protection hidden="1"/>
    </xf>
    <xf numFmtId="1" fontId="50" fillId="36" borderId="46" xfId="1" applyNumberFormat="1" applyFont="1" applyFill="1" applyBorder="1" applyAlignment="1" applyProtection="1">
      <alignment horizontal="center" vertical="center"/>
      <protection hidden="1"/>
    </xf>
    <xf numFmtId="0" fontId="137" fillId="8" borderId="48" xfId="17" applyFont="1" applyFill="1" applyBorder="1" applyAlignment="1">
      <alignment vertical="center"/>
    </xf>
    <xf numFmtId="0" fontId="26" fillId="8" borderId="0" xfId="16" applyFont="1" applyFill="1" applyAlignment="1">
      <alignment horizontal="left" vertical="center"/>
    </xf>
    <xf numFmtId="0" fontId="0" fillId="8" borderId="36" xfId="0" applyFill="1" applyBorder="1" applyAlignment="1">
      <alignment vertical="center"/>
    </xf>
    <xf numFmtId="0" fontId="69" fillId="44" borderId="0" xfId="16" applyFont="1" applyFill="1" applyAlignment="1" applyProtection="1">
      <alignment horizontal="left" vertical="center"/>
      <protection locked="0"/>
    </xf>
    <xf numFmtId="0" fontId="37" fillId="8" borderId="36" xfId="0" applyFont="1" applyFill="1" applyBorder="1" applyAlignment="1">
      <alignment horizontal="center" vertical="center"/>
    </xf>
    <xf numFmtId="174" fontId="24" fillId="47" borderId="36" xfId="1" applyNumberFormat="1" applyFont="1" applyFill="1" applyBorder="1" applyAlignment="1">
      <alignment horizontal="center" vertical="center"/>
    </xf>
    <xf numFmtId="174" fontId="84" fillId="45" borderId="35" xfId="16" applyNumberFormat="1" applyFont="1" applyFill="1" applyBorder="1" applyAlignment="1" applyProtection="1">
      <alignment horizontal="center" vertical="center"/>
      <protection locked="0"/>
    </xf>
    <xf numFmtId="0" fontId="4" fillId="0" borderId="0" xfId="0" applyFont="1"/>
    <xf numFmtId="0" fontId="72" fillId="143" borderId="0" xfId="0" applyFont="1" applyFill="1" applyAlignment="1">
      <alignment horizontal="center" vertical="center"/>
    </xf>
    <xf numFmtId="0" fontId="21" fillId="144" borderId="0" xfId="0" applyFont="1" applyFill="1" applyAlignment="1">
      <alignment horizontal="center" vertical="center"/>
    </xf>
    <xf numFmtId="0" fontId="21" fillId="42" borderId="0" xfId="0" applyFont="1" applyFill="1" applyAlignment="1">
      <alignment horizontal="center" vertical="center"/>
    </xf>
    <xf numFmtId="0" fontId="389" fillId="8" borderId="0" xfId="3" applyFont="1" applyFill="1" applyAlignment="1">
      <alignment horizontal="center" vertical="center"/>
    </xf>
    <xf numFmtId="0" fontId="46" fillId="0" borderId="0" xfId="3" applyFont="1" applyAlignment="1">
      <alignment horizontal="center" vertical="center"/>
    </xf>
    <xf numFmtId="0" fontId="1" fillId="0" borderId="0" xfId="0" applyFont="1"/>
    <xf numFmtId="0" fontId="400" fillId="8" borderId="0" xfId="3" applyFont="1" applyFill="1" applyAlignment="1">
      <alignment horizontal="left" vertical="center"/>
    </xf>
    <xf numFmtId="0" fontId="46" fillId="8" borderId="0" xfId="3" applyFont="1" applyFill="1" applyAlignment="1">
      <alignment horizontal="center" vertical="center"/>
    </xf>
    <xf numFmtId="0" fontId="57" fillId="8" borderId="0" xfId="3" applyFont="1" applyFill="1" applyAlignment="1">
      <alignment horizontal="left" vertical="center"/>
    </xf>
    <xf numFmtId="0" fontId="69" fillId="8" borderId="0" xfId="3" applyFont="1" applyFill="1" applyAlignment="1">
      <alignment horizontal="left" vertical="center"/>
    </xf>
    <xf numFmtId="0" fontId="18" fillId="40" borderId="0" xfId="29" applyFont="1" applyFill="1" applyAlignment="1">
      <alignment horizontal="right" vertical="center"/>
    </xf>
    <xf numFmtId="169" fontId="18" fillId="8" borderId="0" xfId="29" applyNumberFormat="1" applyFont="1" applyFill="1" applyAlignment="1">
      <alignment vertical="center"/>
    </xf>
    <xf numFmtId="0" fontId="401" fillId="8" borderId="0" xfId="3" applyFont="1" applyFill="1" applyAlignment="1">
      <alignment horizontal="left" vertical="center"/>
    </xf>
    <xf numFmtId="169" fontId="148" fillId="8" borderId="0" xfId="29" applyNumberFormat="1" applyFont="1" applyFill="1" applyAlignment="1">
      <alignment horizontal="left" vertical="center"/>
    </xf>
    <xf numFmtId="169" fontId="148" fillId="8" borderId="0" xfId="29" applyNumberFormat="1" applyFont="1" applyFill="1" applyAlignment="1">
      <alignment horizontal="right" vertical="center"/>
    </xf>
    <xf numFmtId="0" fontId="151" fillId="8" borderId="0" xfId="17" applyFont="1" applyFill="1" applyAlignment="1">
      <alignment horizontal="left" vertical="center"/>
    </xf>
    <xf numFmtId="0" fontId="86" fillId="8" borderId="0" xfId="17" applyFill="1" applyAlignment="1">
      <alignment horizontal="left" vertical="center"/>
    </xf>
    <xf numFmtId="0" fontId="71" fillId="8" borderId="0" xfId="27" applyFill="1"/>
    <xf numFmtId="0" fontId="71" fillId="0" borderId="0" xfId="27"/>
    <xf numFmtId="0" fontId="190" fillId="129" borderId="7" xfId="1" applyFont="1" applyFill="1" applyBorder="1" applyAlignment="1">
      <alignment horizontal="center" vertical="center"/>
    </xf>
    <xf numFmtId="0" fontId="71" fillId="8" borderId="9" xfId="27" applyFill="1" applyBorder="1"/>
    <xf numFmtId="0" fontId="20" fillId="8" borderId="0" xfId="3" applyFont="1" applyFill="1" applyAlignment="1">
      <alignment horizontal="left" vertical="center"/>
    </xf>
    <xf numFmtId="0" fontId="21" fillId="2" borderId="0" xfId="1" applyFont="1" applyFill="1" applyAlignment="1">
      <alignment horizontal="center" vertical="center"/>
    </xf>
    <xf numFmtId="0" fontId="402" fillId="8" borderId="0" xfId="27" applyFont="1" applyFill="1" applyAlignment="1">
      <alignment horizontal="center" vertical="center"/>
    </xf>
    <xf numFmtId="0" fontId="20" fillId="8" borderId="0" xfId="3" applyFont="1" applyFill="1" applyAlignment="1">
      <alignment horizontal="center" vertical="center"/>
    </xf>
    <xf numFmtId="0" fontId="1" fillId="8" borderId="0" xfId="27" applyFont="1" applyFill="1"/>
    <xf numFmtId="0" fontId="36" fillId="8" borderId="0" xfId="27" applyFont="1" applyFill="1" applyAlignment="1">
      <alignment vertical="center"/>
    </xf>
    <xf numFmtId="0" fontId="71" fillId="8" borderId="0" xfId="27" applyFill="1" applyAlignment="1">
      <alignment vertical="center"/>
    </xf>
    <xf numFmtId="0" fontId="76" fillId="8" borderId="0" xfId="27" applyFont="1" applyFill="1" applyAlignment="1">
      <alignment vertical="center"/>
    </xf>
    <xf numFmtId="0" fontId="71" fillId="0" borderId="0" xfId="27" applyAlignment="1">
      <alignment horizontal="center"/>
    </xf>
    <xf numFmtId="0" fontId="72" fillId="8" borderId="0" xfId="27" applyFont="1" applyFill="1" applyAlignment="1">
      <alignment vertical="center"/>
    </xf>
    <xf numFmtId="0" fontId="86" fillId="36" borderId="0" xfId="17" applyNumberFormat="1" applyFill="1" applyBorder="1" applyAlignment="1">
      <alignment horizontal="center" vertical="center"/>
    </xf>
    <xf numFmtId="0" fontId="1" fillId="8" borderId="0" xfId="27" applyFont="1" applyFill="1" applyAlignment="1">
      <alignment vertical="top"/>
    </xf>
    <xf numFmtId="0" fontId="1" fillId="8" borderId="9" xfId="27" applyFont="1" applyFill="1" applyBorder="1" applyAlignment="1">
      <alignment vertical="top"/>
    </xf>
    <xf numFmtId="0" fontId="71" fillId="7" borderId="0" xfId="27" applyFill="1" applyAlignment="1">
      <alignment vertical="center"/>
    </xf>
    <xf numFmtId="0" fontId="1" fillId="8" borderId="0" xfId="27" applyFont="1" applyFill="1" applyAlignment="1">
      <alignment horizontal="left" vertical="center"/>
    </xf>
    <xf numFmtId="0" fontId="71" fillId="8" borderId="0" xfId="27" applyFill="1" applyAlignment="1">
      <alignment horizontal="center"/>
    </xf>
    <xf numFmtId="0" fontId="86" fillId="36" borderId="0" xfId="34" applyNumberFormat="1" applyFill="1" applyBorder="1" applyAlignment="1">
      <alignment horizontal="center" vertical="center"/>
    </xf>
    <xf numFmtId="0" fontId="71" fillId="0" borderId="0" xfId="27" applyAlignment="1">
      <alignment vertical="center"/>
    </xf>
    <xf numFmtId="0" fontId="71" fillId="7" borderId="0" xfId="27" applyFill="1" applyAlignment="1">
      <alignment horizontal="center" vertical="center"/>
    </xf>
    <xf numFmtId="0" fontId="71" fillId="8" borderId="0" xfId="27" applyFill="1" applyAlignment="1">
      <alignment horizontal="center" vertical="center" wrapText="1"/>
    </xf>
    <xf numFmtId="0" fontId="71" fillId="8" borderId="9" xfId="27" applyFill="1" applyBorder="1" applyAlignment="1">
      <alignment horizontal="center" vertical="center" wrapText="1"/>
    </xf>
    <xf numFmtId="0" fontId="58" fillId="8" borderId="0" xfId="27" applyFont="1" applyFill="1" applyAlignment="1">
      <alignment vertical="center"/>
    </xf>
    <xf numFmtId="0" fontId="71" fillId="43" borderId="0" xfId="27" applyFill="1" applyAlignment="1">
      <alignment horizontal="center" vertical="center"/>
    </xf>
    <xf numFmtId="0" fontId="1" fillId="8" borderId="9" xfId="27" applyFont="1" applyFill="1" applyBorder="1" applyAlignment="1">
      <alignment horizontal="left" vertical="center"/>
    </xf>
    <xf numFmtId="0" fontId="86" fillId="61" borderId="0" xfId="34" applyNumberFormat="1" applyFill="1" applyBorder="1" applyAlignment="1">
      <alignment horizontal="center"/>
    </xf>
    <xf numFmtId="0" fontId="72" fillId="0" borderId="0" xfId="27" applyFont="1" applyAlignment="1">
      <alignment vertical="center"/>
    </xf>
    <xf numFmtId="0" fontId="36" fillId="0" borderId="0" xfId="27" applyFont="1" applyAlignment="1">
      <alignment horizontal="right" vertical="center"/>
    </xf>
    <xf numFmtId="0" fontId="183" fillId="0" borderId="0" xfId="38" applyAlignment="1">
      <alignment vertical="center"/>
    </xf>
    <xf numFmtId="0" fontId="35" fillId="8" borderId="7" xfId="23" applyFont="1" applyFill="1" applyBorder="1" applyAlignment="1">
      <alignment vertical="center"/>
    </xf>
    <xf numFmtId="0" fontId="35" fillId="8" borderId="2" xfId="27" applyFont="1" applyFill="1" applyBorder="1"/>
    <xf numFmtId="0" fontId="374" fillId="8" borderId="8" xfId="27" applyFont="1" applyFill="1" applyBorder="1"/>
    <xf numFmtId="0" fontId="35" fillId="8" borderId="6" xfId="23" applyFont="1" applyFill="1" applyBorder="1" applyAlignment="1">
      <alignment vertical="center"/>
    </xf>
    <xf numFmtId="0" fontId="35" fillId="8" borderId="0" xfId="27" applyFont="1" applyFill="1"/>
    <xf numFmtId="0" fontId="374" fillId="8" borderId="9" xfId="27" applyFont="1" applyFill="1" applyBorder="1"/>
    <xf numFmtId="0" fontId="1" fillId="8" borderId="0" xfId="27" applyFont="1" applyFill="1" applyAlignment="1">
      <alignment horizontal="center" vertical="top" wrapText="1"/>
    </xf>
    <xf numFmtId="0" fontId="1" fillId="8" borderId="9" xfId="27" applyFont="1" applyFill="1" applyBorder="1" applyAlignment="1">
      <alignment horizontal="center" vertical="top" wrapText="1"/>
    </xf>
    <xf numFmtId="0" fontId="54" fillId="4" borderId="6" xfId="1" applyFont="1" applyFill="1" applyBorder="1" applyAlignment="1">
      <alignment horizontal="center" vertical="center"/>
    </xf>
    <xf numFmtId="0" fontId="54" fillId="4" borderId="0" xfId="1" applyFont="1" applyFill="1" applyAlignment="1">
      <alignment horizontal="center" vertical="center"/>
    </xf>
    <xf numFmtId="0" fontId="54" fillId="4" borderId="9" xfId="1" applyFont="1" applyFill="1" applyBorder="1" applyAlignment="1">
      <alignment horizontal="center" vertical="center"/>
    </xf>
    <xf numFmtId="0" fontId="130" fillId="0" borderId="0" xfId="23" applyFont="1" applyAlignment="1">
      <alignment vertical="center"/>
    </xf>
    <xf numFmtId="0" fontId="71" fillId="8" borderId="0" xfId="27" applyFill="1" applyAlignment="1">
      <alignment horizontal="left" vertical="center"/>
    </xf>
    <xf numFmtId="0" fontId="71" fillId="8" borderId="0" xfId="27" applyFill="1" applyAlignment="1">
      <alignment horizontal="right" vertical="center"/>
    </xf>
    <xf numFmtId="0" fontId="1" fillId="8" borderId="0" xfId="27" applyFont="1" applyFill="1" applyAlignment="1">
      <alignment horizontal="left" vertical="top"/>
    </xf>
    <xf numFmtId="0" fontId="1" fillId="0" borderId="0" xfId="27" applyFont="1"/>
    <xf numFmtId="0" fontId="1" fillId="8" borderId="0" xfId="27" applyFont="1" applyFill="1" applyAlignment="1">
      <alignment horizontal="center" vertical="center" wrapText="1"/>
    </xf>
    <xf numFmtId="0" fontId="1" fillId="8" borderId="9" xfId="27" applyFont="1" applyFill="1" applyBorder="1" applyAlignment="1">
      <alignment horizontal="center" vertical="center" wrapText="1"/>
    </xf>
    <xf numFmtId="201" fontId="1" fillId="0" borderId="0" xfId="27" applyNumberFormat="1" applyFont="1"/>
    <xf numFmtId="0" fontId="4" fillId="0" borderId="0" xfId="27" applyFont="1" applyAlignment="1">
      <alignment vertical="center"/>
    </xf>
    <xf numFmtId="0" fontId="4" fillId="0" borderId="0" xfId="27" applyFont="1" applyAlignment="1">
      <alignment horizontal="right" vertical="center"/>
    </xf>
    <xf numFmtId="0" fontId="72" fillId="8" borderId="0" xfId="27" applyFont="1" applyFill="1" applyAlignment="1">
      <alignment horizontal="left"/>
    </xf>
    <xf numFmtId="202" fontId="1" fillId="0" borderId="0" xfId="27" applyNumberFormat="1" applyFont="1"/>
    <xf numFmtId="0" fontId="71" fillId="8" borderId="0" xfId="27" applyFill="1" applyAlignment="1">
      <alignment horizontal="left"/>
    </xf>
    <xf numFmtId="203" fontId="1" fillId="0" borderId="0" xfId="27" applyNumberFormat="1" applyFont="1"/>
    <xf numFmtId="0" fontId="5" fillId="129" borderId="7" xfId="0" applyFont="1" applyFill="1" applyBorder="1" applyAlignment="1">
      <alignment horizontal="center" vertical="center"/>
    </xf>
    <xf numFmtId="204" fontId="6" fillId="0" borderId="0" xfId="1" applyNumberFormat="1"/>
    <xf numFmtId="0" fontId="0" fillId="0" borderId="0" xfId="0" applyAlignment="1">
      <alignment horizontal="right"/>
    </xf>
    <xf numFmtId="0" fontId="102" fillId="19" borderId="0" xfId="0" applyFont="1" applyFill="1" applyAlignment="1">
      <alignment horizontal="left"/>
    </xf>
    <xf numFmtId="0" fontId="102" fillId="8" borderId="9" xfId="0" applyFont="1" applyFill="1" applyBorder="1"/>
    <xf numFmtId="205" fontId="1" fillId="0" borderId="0" xfId="27" applyNumberFormat="1" applyFont="1"/>
    <xf numFmtId="169" fontId="1" fillId="0" borderId="0" xfId="27" applyNumberFormat="1" applyFont="1"/>
    <xf numFmtId="0" fontId="37" fillId="8" borderId="0" xfId="0" applyFont="1" applyFill="1" applyAlignment="1">
      <alignment horizontal="right" vertical="center"/>
    </xf>
    <xf numFmtId="0" fontId="403" fillId="19" borderId="248" xfId="0" applyFont="1" applyFill="1" applyBorder="1" applyAlignment="1">
      <alignment horizontal="center" vertical="center"/>
    </xf>
    <xf numFmtId="0" fontId="86" fillId="143" borderId="0" xfId="34" applyFill="1" applyBorder="1" applyAlignment="1">
      <alignment horizontal="center" vertical="center"/>
    </xf>
    <xf numFmtId="0" fontId="1" fillId="8" borderId="0" xfId="27" applyFont="1" applyFill="1" applyAlignment="1">
      <alignment vertical="center"/>
    </xf>
    <xf numFmtId="206" fontId="1" fillId="0" borderId="0" xfId="27" applyNumberFormat="1" applyFont="1"/>
    <xf numFmtId="0" fontId="86" fillId="8" borderId="0" xfId="34" applyFill="1" applyBorder="1" applyAlignment="1">
      <alignment horizontal="center" vertical="center"/>
    </xf>
    <xf numFmtId="207" fontId="6" fillId="0" borderId="0" xfId="1" applyNumberFormat="1"/>
    <xf numFmtId="208" fontId="1" fillId="0" borderId="0" xfId="27" applyNumberFormat="1" applyFont="1"/>
    <xf numFmtId="189" fontId="1" fillId="0" borderId="0" xfId="27" applyNumberFormat="1" applyFont="1"/>
    <xf numFmtId="0" fontId="183" fillId="143" borderId="0" xfId="38" applyFill="1" applyBorder="1" applyAlignment="1">
      <alignment horizontal="center" vertical="center"/>
    </xf>
    <xf numFmtId="209" fontId="6" fillId="0" borderId="0" xfId="1" applyNumberFormat="1"/>
    <xf numFmtId="172" fontId="1" fillId="0" borderId="0" xfId="27" applyNumberFormat="1" applyFont="1"/>
    <xf numFmtId="0" fontId="130" fillId="4" borderId="0" xfId="0" applyFont="1" applyFill="1" applyAlignment="1">
      <alignment horizontal="center" vertical="center"/>
    </xf>
    <xf numFmtId="0" fontId="130" fillId="4" borderId="9" xfId="0" applyFont="1" applyFill="1" applyBorder="1" applyAlignment="1">
      <alignment horizontal="center" vertical="center"/>
    </xf>
    <xf numFmtId="210" fontId="1" fillId="0" borderId="0" xfId="27" applyNumberFormat="1" applyFont="1"/>
    <xf numFmtId="0" fontId="87" fillId="8" borderId="0" xfId="27" applyFont="1" applyFill="1"/>
    <xf numFmtId="211" fontId="6" fillId="0" borderId="0" xfId="1" applyNumberFormat="1"/>
    <xf numFmtId="0" fontId="37" fillId="8" borderId="0" xfId="27" applyFont="1" applyFill="1"/>
    <xf numFmtId="212" fontId="6" fillId="0" borderId="0" xfId="1" applyNumberFormat="1"/>
    <xf numFmtId="0" fontId="20" fillId="8" borderId="0" xfId="6" applyFont="1" applyFill="1"/>
    <xf numFmtId="0" fontId="404" fillId="8" borderId="0" xfId="1" applyFont="1" applyFill="1" applyAlignment="1" applyProtection="1">
      <alignment horizontal="right" vertical="center"/>
      <protection hidden="1"/>
    </xf>
    <xf numFmtId="187" fontId="1" fillId="0" borderId="0" xfId="27" applyNumberFormat="1" applyFont="1"/>
    <xf numFmtId="213" fontId="6" fillId="0" borderId="0" xfId="1" applyNumberFormat="1"/>
    <xf numFmtId="214" fontId="6" fillId="0" borderId="0" xfId="1" applyNumberFormat="1"/>
    <xf numFmtId="215" fontId="6" fillId="0" borderId="0" xfId="1" applyNumberFormat="1"/>
    <xf numFmtId="0" fontId="183" fillId="8" borderId="0" xfId="38" applyFill="1"/>
    <xf numFmtId="216" fontId="6" fillId="0" borderId="0" xfId="1" applyNumberFormat="1"/>
    <xf numFmtId="217" fontId="6" fillId="0" borderId="0" xfId="1" applyNumberFormat="1"/>
    <xf numFmtId="199" fontId="1" fillId="0" borderId="0" xfId="27" applyNumberFormat="1" applyFont="1"/>
    <xf numFmtId="198" fontId="1" fillId="0" borderId="0" xfId="27" applyNumberFormat="1" applyFont="1"/>
    <xf numFmtId="0" fontId="71" fillId="8" borderId="3" xfId="27" applyFill="1" applyBorder="1"/>
    <xf numFmtId="0" fontId="71" fillId="8" borderId="59" xfId="27" applyFill="1" applyBorder="1"/>
    <xf numFmtId="0" fontId="57" fillId="0" borderId="0" xfId="3" applyFont="1" applyAlignment="1">
      <alignment horizontal="left" vertical="center"/>
    </xf>
    <xf numFmtId="0" fontId="406" fillId="8" borderId="0" xfId="3" applyFont="1" applyFill="1" applyAlignment="1">
      <alignment horizontal="left" vertical="center"/>
    </xf>
    <xf numFmtId="0" fontId="407" fillId="0" borderId="0" xfId="27" applyFont="1"/>
    <xf numFmtId="0" fontId="26" fillId="8" borderId="0" xfId="3" applyFont="1" applyFill="1" applyAlignment="1">
      <alignment horizontal="left" vertical="center"/>
    </xf>
    <xf numFmtId="0" fontId="16" fillId="44" borderId="0" xfId="16" applyFont="1" applyFill="1" applyAlignment="1" applyProtection="1">
      <alignment horizontal="left" vertical="center"/>
      <protection locked="0"/>
    </xf>
    <xf numFmtId="169" fontId="181" fillId="44" borderId="0" xfId="16" applyNumberFormat="1" applyFont="1" applyFill="1" applyAlignment="1" applyProtection="1">
      <alignment horizontal="center" vertical="center"/>
      <protection locked="0"/>
    </xf>
    <xf numFmtId="0" fontId="410" fillId="44" borderId="0" xfId="16" applyFont="1" applyFill="1" applyAlignment="1" applyProtection="1">
      <alignment horizontal="left" vertical="center"/>
      <protection locked="0"/>
    </xf>
    <xf numFmtId="0" fontId="1" fillId="8" borderId="0" xfId="27" applyFont="1" applyFill="1" applyAlignment="1">
      <alignment horizontal="center"/>
    </xf>
    <xf numFmtId="0" fontId="119" fillId="145" borderId="2" xfId="2" applyFont="1" applyFill="1" applyBorder="1" applyAlignment="1">
      <alignment vertical="center"/>
    </xf>
    <xf numFmtId="0" fontId="145" fillId="145" borderId="8" xfId="2" applyFont="1" applyFill="1" applyBorder="1" applyAlignment="1">
      <alignment horizontal="right" vertical="center"/>
    </xf>
    <xf numFmtId="0" fontId="406" fillId="8" borderId="0" xfId="27" applyFont="1" applyFill="1" applyAlignment="1">
      <alignment horizontal="left" vertical="center"/>
    </xf>
    <xf numFmtId="0" fontId="4" fillId="8" borderId="0" xfId="27" applyFont="1" applyFill="1"/>
    <xf numFmtId="0" fontId="1" fillId="145" borderId="0" xfId="27" applyFont="1" applyFill="1"/>
    <xf numFmtId="0" fontId="1" fillId="145" borderId="0" xfId="27" applyFont="1" applyFill="1" applyAlignment="1">
      <alignment horizontal="right" vertical="center"/>
    </xf>
    <xf numFmtId="0" fontId="72" fillId="145" borderId="0" xfId="27" applyFont="1" applyFill="1" applyAlignment="1">
      <alignment horizontal="right" vertical="center"/>
    </xf>
    <xf numFmtId="0" fontId="72" fillId="145" borderId="0" xfId="27" applyFont="1" applyFill="1" applyAlignment="1">
      <alignment horizontal="left" vertical="center"/>
    </xf>
    <xf numFmtId="0" fontId="72" fillId="145" borderId="9" xfId="27" applyFont="1" applyFill="1" applyBorder="1"/>
    <xf numFmtId="0" fontId="321" fillId="8" borderId="0" xfId="34" applyFont="1" applyFill="1" applyAlignment="1">
      <alignment horizontal="left" vertical="center"/>
    </xf>
    <xf numFmtId="0" fontId="4" fillId="145" borderId="0" xfId="27" applyFont="1" applyFill="1" applyAlignment="1">
      <alignment horizontal="center" vertical="center"/>
    </xf>
    <xf numFmtId="1" fontId="57" fillId="146" borderId="0" xfId="5" applyNumberFormat="1" applyFont="1" applyFill="1" applyAlignment="1">
      <alignment horizontal="center" vertical="center"/>
    </xf>
    <xf numFmtId="0" fontId="57" fillId="146" borderId="13" xfId="29" applyFont="1" applyFill="1" applyBorder="1" applyAlignment="1">
      <alignment horizontal="left" vertical="center"/>
    </xf>
    <xf numFmtId="0" fontId="57" fillId="146" borderId="13" xfId="29" applyFont="1" applyFill="1" applyBorder="1" applyAlignment="1">
      <alignment horizontal="right" vertical="center"/>
    </xf>
    <xf numFmtId="1" fontId="57" fillId="146" borderId="13" xfId="5" applyNumberFormat="1" applyFont="1" applyFill="1" applyBorder="1" applyAlignment="1">
      <alignment horizontal="right" vertical="center"/>
    </xf>
    <xf numFmtId="205" fontId="71" fillId="146" borderId="13" xfId="27" applyNumberFormat="1" applyFill="1" applyBorder="1" applyAlignment="1">
      <alignment horizontal="center" vertical="center"/>
    </xf>
    <xf numFmtId="0" fontId="71" fillId="146" borderId="13" xfId="27" applyFill="1" applyBorder="1" applyAlignment="1">
      <alignment horizontal="right" vertical="center"/>
    </xf>
    <xf numFmtId="169" fontId="71" fillId="146" borderId="21" xfId="27" applyNumberFormat="1" applyFill="1" applyBorder="1" applyAlignment="1">
      <alignment horizontal="left" vertical="center"/>
    </xf>
    <xf numFmtId="205" fontId="71" fillId="146" borderId="0" xfId="27" applyNumberFormat="1" applyFill="1" applyAlignment="1">
      <alignment horizontal="center" vertical="center"/>
    </xf>
    <xf numFmtId="2" fontId="2" fillId="13" borderId="0" xfId="1" applyNumberFormat="1" applyFont="1" applyFill="1" applyAlignment="1" applyProtection="1">
      <alignment horizontal="center" vertical="center"/>
      <protection locked="0"/>
    </xf>
    <xf numFmtId="0" fontId="78" fillId="44" borderId="0" xfId="16" applyFont="1" applyFill="1" applyAlignment="1" applyProtection="1">
      <alignment vertical="center"/>
      <protection locked="0"/>
    </xf>
    <xf numFmtId="0" fontId="1" fillId="8" borderId="9" xfId="27" applyFont="1" applyFill="1" applyBorder="1"/>
    <xf numFmtId="0" fontId="71" fillId="146" borderId="0" xfId="27" applyFill="1" applyAlignment="1">
      <alignment horizontal="center" vertical="center"/>
    </xf>
    <xf numFmtId="0" fontId="412" fillId="44" borderId="0" xfId="16" applyFont="1" applyFill="1" applyAlignment="1" applyProtection="1">
      <alignment horizontal="right" vertical="center"/>
      <protection locked="0"/>
    </xf>
    <xf numFmtId="169" fontId="71" fillId="146" borderId="0" xfId="27" applyNumberFormat="1" applyFill="1" applyAlignment="1">
      <alignment horizontal="center" vertical="center"/>
    </xf>
    <xf numFmtId="0" fontId="24" fillId="8" borderId="0" xfId="27" applyFont="1" applyFill="1"/>
    <xf numFmtId="0" fontId="10" fillId="8" borderId="0" xfId="29" applyFont="1" applyFill="1" applyAlignment="1">
      <alignment horizontal="left" vertical="center"/>
    </xf>
    <xf numFmtId="0" fontId="349" fillId="8" borderId="0" xfId="27" applyFont="1" applyFill="1" applyAlignment="1">
      <alignment vertical="center"/>
    </xf>
    <xf numFmtId="0" fontId="406" fillId="8" borderId="0" xfId="34" applyFont="1" applyFill="1" applyBorder="1" applyAlignment="1">
      <alignment horizontal="center" vertical="center"/>
    </xf>
    <xf numFmtId="174" fontId="46" fillId="8" borderId="0" xfId="2" applyNumberFormat="1" applyFont="1" applyFill="1" applyAlignment="1" applyProtection="1">
      <alignment horizontal="center" vertical="center"/>
      <protection locked="0"/>
    </xf>
    <xf numFmtId="0" fontId="122" fillId="8" borderId="0" xfId="29" applyFont="1" applyFill="1" applyAlignment="1">
      <alignment horizontal="right" vertical="center"/>
    </xf>
    <xf numFmtId="169" fontId="53" fillId="147" borderId="0" xfId="16" applyNumberFormat="1" applyFont="1" applyFill="1" applyAlignment="1" applyProtection="1">
      <alignment horizontal="center" vertical="center"/>
      <protection locked="0"/>
    </xf>
    <xf numFmtId="0" fontId="16" fillId="45" borderId="0" xfId="16" applyFont="1" applyFill="1" applyAlignment="1" applyProtection="1">
      <alignment horizontal="left" vertical="center"/>
      <protection locked="0"/>
    </xf>
    <xf numFmtId="169" fontId="181" fillId="44" borderId="0" xfId="16" applyNumberFormat="1" applyFont="1" applyFill="1" applyAlignment="1" applyProtection="1">
      <alignment horizontal="right" vertical="center"/>
      <protection locked="0"/>
    </xf>
    <xf numFmtId="0" fontId="414" fillId="8" borderId="9" xfId="27" applyFont="1" applyFill="1" applyBorder="1" applyAlignment="1">
      <alignment horizontal="left" vertical="center"/>
    </xf>
    <xf numFmtId="0" fontId="16" fillId="44" borderId="0" xfId="16" applyFont="1" applyFill="1" applyAlignment="1" applyProtection="1">
      <alignment horizontal="right" vertical="center"/>
      <protection locked="0"/>
    </xf>
    <xf numFmtId="175" fontId="60" fillId="148" borderId="0" xfId="2" applyNumberFormat="1" applyFont="1" applyFill="1" applyAlignment="1" applyProtection="1">
      <alignment horizontal="center" vertical="center"/>
      <protection locked="0"/>
    </xf>
    <xf numFmtId="0" fontId="16" fillId="44" borderId="0" xfId="16" applyFont="1" applyFill="1" applyAlignment="1" applyProtection="1">
      <alignment horizontal="center" vertical="center"/>
      <protection locked="0"/>
    </xf>
    <xf numFmtId="0" fontId="415" fillId="8" borderId="0" xfId="16" applyFont="1" applyFill="1" applyAlignment="1" applyProtection="1">
      <alignment horizontal="right" vertical="center"/>
      <protection locked="0"/>
    </xf>
    <xf numFmtId="169" fontId="60" fillId="45" borderId="0" xfId="16" applyNumberFormat="1" applyFont="1" applyFill="1" applyAlignment="1" applyProtection="1">
      <alignment horizontal="center" vertical="center"/>
      <protection locked="0"/>
    </xf>
    <xf numFmtId="0" fontId="95" fillId="0" borderId="0" xfId="27" applyFont="1" applyAlignment="1">
      <alignment vertical="center"/>
    </xf>
    <xf numFmtId="0" fontId="414" fillId="8" borderId="9" xfId="1" applyFont="1" applyFill="1" applyBorder="1" applyAlignment="1">
      <alignment horizontal="left" vertical="center"/>
    </xf>
    <xf numFmtId="0" fontId="122" fillId="8" borderId="0" xfId="16" applyFont="1" applyFill="1" applyAlignment="1" applyProtection="1">
      <alignment horizontal="right" vertical="center"/>
      <protection locked="0"/>
    </xf>
    <xf numFmtId="1" fontId="53" fillId="149" borderId="0" xfId="1" applyNumberFormat="1" applyFont="1" applyFill="1" applyAlignment="1">
      <alignment horizontal="center" vertical="center"/>
    </xf>
    <xf numFmtId="203" fontId="13" fillId="150" borderId="0" xfId="1" applyNumberFormat="1" applyFont="1" applyFill="1" applyAlignment="1">
      <alignment vertical="center"/>
    </xf>
    <xf numFmtId="0" fontId="1" fillId="0" borderId="9" xfId="27" applyFont="1" applyBorder="1"/>
    <xf numFmtId="0" fontId="20" fillId="8" borderId="0" xfId="29" applyFont="1" applyFill="1" applyAlignment="1">
      <alignment horizontal="right" vertical="center"/>
    </xf>
    <xf numFmtId="184" fontId="20" fillId="44" borderId="0" xfId="16" applyNumberFormat="1" applyFont="1" applyFill="1" applyAlignment="1" applyProtection="1">
      <alignment horizontal="center" vertical="center"/>
      <protection locked="0"/>
    </xf>
    <xf numFmtId="0" fontId="93" fillId="8" borderId="0" xfId="27" applyFont="1" applyFill="1" applyAlignment="1">
      <alignment vertical="center"/>
    </xf>
    <xf numFmtId="184" fontId="59" fillId="44" borderId="0" xfId="16" applyNumberFormat="1" applyFont="1" applyFill="1" applyAlignment="1" applyProtection="1">
      <alignment horizontal="right" vertical="center"/>
      <protection locked="0"/>
    </xf>
    <xf numFmtId="0" fontId="416" fillId="8" borderId="9" xfId="1" applyFont="1" applyFill="1" applyBorder="1" applyAlignment="1">
      <alignment horizontal="left" vertical="center"/>
    </xf>
    <xf numFmtId="0" fontId="24" fillId="8" borderId="0" xfId="29" applyFont="1" applyFill="1" applyAlignment="1">
      <alignment horizontal="right" vertical="center"/>
    </xf>
    <xf numFmtId="0" fontId="48" fillId="8" borderId="0" xfId="5" applyFont="1" applyFill="1" applyAlignment="1">
      <alignment horizontal="center" vertical="center"/>
    </xf>
    <xf numFmtId="0" fontId="24" fillId="43" borderId="0" xfId="1" applyFont="1" applyFill="1" applyAlignment="1">
      <alignment horizontal="right" vertical="center"/>
    </xf>
    <xf numFmtId="167" fontId="24" fillId="44" borderId="0" xfId="16" applyNumberFormat="1" applyFont="1" applyFill="1" applyAlignment="1" applyProtection="1">
      <alignment horizontal="center" vertical="center"/>
      <protection locked="0"/>
    </xf>
    <xf numFmtId="0" fontId="24" fillId="8" borderId="0" xfId="1" applyFont="1" applyFill="1" applyAlignment="1">
      <alignment horizontal="right" vertical="center"/>
    </xf>
    <xf numFmtId="0" fontId="20" fillId="148" borderId="0" xfId="1" applyFont="1" applyFill="1" applyAlignment="1">
      <alignment vertical="center"/>
    </xf>
    <xf numFmtId="0" fontId="53" fillId="148" borderId="0" xfId="1" applyFont="1" applyFill="1" applyAlignment="1">
      <alignment vertical="center"/>
    </xf>
    <xf numFmtId="0" fontId="53" fillId="148" borderId="9" xfId="1" applyFont="1" applyFill="1" applyBorder="1" applyAlignment="1">
      <alignment vertical="center"/>
    </xf>
    <xf numFmtId="0" fontId="50" fillId="8" borderId="0" xfId="23" applyFont="1" applyFill="1" applyAlignment="1">
      <alignment horizontal="left" vertical="center"/>
    </xf>
    <xf numFmtId="0" fontId="412" fillId="44" borderId="0" xfId="16" applyFont="1" applyFill="1" applyAlignment="1" applyProtection="1">
      <alignment horizontal="left" vertical="center"/>
      <protection locked="0"/>
    </xf>
    <xf numFmtId="0" fontId="417" fillId="44" borderId="0" xfId="16" applyFont="1" applyFill="1" applyAlignment="1" applyProtection="1">
      <alignment horizontal="left" vertical="center"/>
      <protection locked="0"/>
    </xf>
    <xf numFmtId="0" fontId="94" fillId="8" borderId="0" xfId="29" applyFont="1" applyFill="1" applyAlignment="1">
      <alignment horizontal="left" vertical="center"/>
    </xf>
    <xf numFmtId="0" fontId="94" fillId="44" borderId="0" xfId="16" applyFont="1" applyFill="1" applyAlignment="1" applyProtection="1">
      <alignment horizontal="left" vertical="center"/>
      <protection locked="0"/>
    </xf>
    <xf numFmtId="0" fontId="418" fillId="8" borderId="0" xfId="16" applyFont="1" applyFill="1" applyAlignment="1" applyProtection="1">
      <alignment horizontal="left" vertical="center"/>
      <protection locked="0"/>
    </xf>
    <xf numFmtId="0" fontId="410" fillId="45" borderId="0" xfId="16" applyFont="1" applyFill="1" applyAlignment="1" applyProtection="1">
      <alignment horizontal="left" vertical="center"/>
      <protection locked="0"/>
    </xf>
    <xf numFmtId="0" fontId="122" fillId="8" borderId="0" xfId="16" applyFont="1" applyFill="1" applyAlignment="1" applyProtection="1">
      <alignment horizontal="left" vertical="center"/>
      <protection locked="0"/>
    </xf>
    <xf numFmtId="0" fontId="10" fillId="44" borderId="0" xfId="16" applyFont="1" applyFill="1" applyAlignment="1" applyProtection="1">
      <alignment horizontal="right" vertical="center"/>
      <protection locked="0"/>
    </xf>
    <xf numFmtId="0" fontId="37" fillId="8" borderId="0" xfId="27" applyFont="1" applyFill="1" applyAlignment="1">
      <alignment horizontal="left" vertical="center"/>
    </xf>
    <xf numFmtId="0" fontId="60" fillId="8" borderId="9" xfId="1" applyFont="1" applyFill="1" applyBorder="1" applyAlignment="1">
      <alignment horizontal="center" vertical="center"/>
    </xf>
    <xf numFmtId="0" fontId="48" fillId="8" borderId="0" xfId="1" applyFont="1" applyFill="1" applyAlignment="1">
      <alignment horizontal="center" vertical="center"/>
    </xf>
    <xf numFmtId="0" fontId="374" fillId="8" borderId="0" xfId="3" applyFont="1" applyFill="1" applyAlignment="1">
      <alignment horizontal="left" vertical="center"/>
    </xf>
    <xf numFmtId="0" fontId="35" fillId="8" borderId="0" xfId="27" applyFont="1" applyFill="1" applyAlignment="1">
      <alignment horizontal="left" vertical="center"/>
    </xf>
    <xf numFmtId="0" fontId="19" fillId="151" borderId="2" xfId="2" applyFont="1" applyFill="1" applyBorder="1" applyAlignment="1">
      <alignment vertical="center"/>
    </xf>
    <xf numFmtId="0" fontId="2" fillId="151" borderId="8" xfId="2" applyFont="1" applyFill="1" applyBorder="1" applyAlignment="1">
      <alignment horizontal="right" vertical="center"/>
    </xf>
    <xf numFmtId="0" fontId="35" fillId="8" borderId="0" xfId="27" applyFont="1" applyFill="1" applyAlignment="1">
      <alignment horizontal="center"/>
    </xf>
    <xf numFmtId="0" fontId="5" fillId="151" borderId="0" xfId="27" applyFont="1" applyFill="1"/>
    <xf numFmtId="0" fontId="5" fillId="151" borderId="0" xfId="27" applyFont="1" applyFill="1" applyAlignment="1">
      <alignment horizontal="right" vertical="center"/>
    </xf>
    <xf numFmtId="0" fontId="21" fillId="151" borderId="0" xfId="27" applyFont="1" applyFill="1" applyAlignment="1">
      <alignment horizontal="right" vertical="center"/>
    </xf>
    <xf numFmtId="0" fontId="21" fillId="151" borderId="0" xfId="27" applyFont="1" applyFill="1" applyAlignment="1">
      <alignment horizontal="left" vertical="center"/>
    </xf>
    <xf numFmtId="0" fontId="5" fillId="151" borderId="9" xfId="27" applyFont="1" applyFill="1" applyBorder="1"/>
    <xf numFmtId="0" fontId="61" fillId="8" borderId="0" xfId="1" applyFont="1" applyFill="1" applyAlignment="1">
      <alignment horizontal="center" vertical="center"/>
    </xf>
    <xf numFmtId="0" fontId="2" fillId="151" borderId="0" xfId="27" applyFont="1" applyFill="1" applyAlignment="1">
      <alignment horizontal="center" vertical="center"/>
    </xf>
    <xf numFmtId="1" fontId="2" fillId="74" borderId="0" xfId="5" applyNumberFormat="1" applyFont="1" applyFill="1" applyAlignment="1">
      <alignment horizontal="center" vertical="center"/>
    </xf>
    <xf numFmtId="0" fontId="29" fillId="74" borderId="13" xfId="29" applyFont="1" applyFill="1" applyBorder="1" applyAlignment="1">
      <alignment horizontal="left" vertical="center"/>
    </xf>
    <xf numFmtId="0" fontId="21" fillId="74" borderId="13" xfId="29" applyFont="1" applyFill="1" applyBorder="1" applyAlignment="1">
      <alignment horizontal="right" vertical="center"/>
    </xf>
    <xf numFmtId="1" fontId="21" fillId="74" borderId="13" xfId="5" applyNumberFormat="1" applyFont="1" applyFill="1" applyBorder="1" applyAlignment="1">
      <alignment horizontal="right" vertical="center"/>
    </xf>
    <xf numFmtId="205" fontId="21" fillId="74" borderId="13" xfId="27" applyNumberFormat="1" applyFont="1" applyFill="1" applyBorder="1" applyAlignment="1">
      <alignment horizontal="center" vertical="center"/>
    </xf>
    <xf numFmtId="0" fontId="29" fillId="74" borderId="13" xfId="27" applyFont="1" applyFill="1" applyBorder="1" applyAlignment="1">
      <alignment horizontal="right" vertical="center"/>
    </xf>
    <xf numFmtId="169" fontId="29" fillId="74" borderId="21" xfId="27" applyNumberFormat="1" applyFont="1" applyFill="1" applyBorder="1" applyAlignment="1">
      <alignment horizontal="left" vertical="center"/>
    </xf>
    <xf numFmtId="205" fontId="2" fillId="74" borderId="0" xfId="27" applyNumberFormat="1" applyFont="1" applyFill="1" applyAlignment="1">
      <alignment horizontal="center" vertical="center"/>
    </xf>
    <xf numFmtId="0" fontId="33" fillId="44" borderId="0" xfId="16" applyFont="1" applyFill="1" applyAlignment="1" applyProtection="1">
      <alignment vertical="center"/>
      <protection locked="0"/>
    </xf>
    <xf numFmtId="0" fontId="5" fillId="74" borderId="0" xfId="27" applyFont="1" applyFill="1" applyAlignment="1">
      <alignment horizontal="center" vertical="center"/>
    </xf>
    <xf numFmtId="169" fontId="5" fillId="74" borderId="0" xfId="27" applyNumberFormat="1" applyFont="1" applyFill="1" applyAlignment="1">
      <alignment horizontal="center" vertical="center"/>
    </xf>
    <xf numFmtId="0" fontId="1" fillId="0" borderId="0" xfId="27" applyFont="1" applyAlignment="1">
      <alignment horizontal="center"/>
    </xf>
    <xf numFmtId="169" fontId="53" fillId="45" borderId="0" xfId="16" applyNumberFormat="1" applyFont="1" applyFill="1" applyAlignment="1" applyProtection="1">
      <alignment horizontal="center" vertical="center"/>
      <protection locked="0"/>
    </xf>
    <xf numFmtId="0" fontId="86" fillId="8" borderId="0" xfId="17" applyFill="1" applyAlignment="1">
      <alignment horizontal="center" vertical="center"/>
    </xf>
    <xf numFmtId="0" fontId="94" fillId="44" borderId="0" xfId="16" applyFont="1" applyFill="1" applyAlignment="1" applyProtection="1">
      <alignment horizontal="right" vertical="center"/>
      <protection locked="0"/>
    </xf>
    <xf numFmtId="0" fontId="111" fillId="45" borderId="0" xfId="16" applyFont="1" applyFill="1" applyAlignment="1" applyProtection="1">
      <alignment horizontal="center" vertical="center"/>
      <protection locked="0"/>
    </xf>
    <xf numFmtId="0" fontId="416" fillId="8" borderId="0" xfId="27" applyFont="1" applyFill="1" applyAlignment="1">
      <alignment horizontal="right" vertical="top"/>
    </xf>
    <xf numFmtId="0" fontId="416" fillId="8" borderId="9" xfId="27" applyFont="1" applyFill="1" applyBorder="1" applyAlignment="1">
      <alignment horizontal="left" vertical="top"/>
    </xf>
    <xf numFmtId="0" fontId="416" fillId="8" borderId="0" xfId="27" applyFont="1" applyFill="1" applyAlignment="1">
      <alignment horizontal="center" vertical="top"/>
    </xf>
    <xf numFmtId="169" fontId="62" fillId="45" borderId="0" xfId="16" applyNumberFormat="1" applyFont="1" applyFill="1" applyAlignment="1" applyProtection="1">
      <alignment horizontal="center" vertical="center"/>
      <protection locked="0"/>
    </xf>
    <xf numFmtId="0" fontId="1" fillId="8" borderId="0" xfId="27" quotePrefix="1" applyFont="1" applyFill="1" applyAlignment="1">
      <alignment vertical="center"/>
    </xf>
    <xf numFmtId="1" fontId="53" fillId="152" borderId="0" xfId="1" applyNumberFormat="1" applyFont="1" applyFill="1" applyAlignment="1">
      <alignment horizontal="center" vertical="center"/>
    </xf>
    <xf numFmtId="203" fontId="416" fillId="150" borderId="0" xfId="1" applyNumberFormat="1" applyFont="1" applyFill="1" applyAlignment="1">
      <alignment vertical="center"/>
    </xf>
    <xf numFmtId="0" fontId="414" fillId="8" borderId="0" xfId="1" applyFont="1" applyFill="1" applyAlignment="1">
      <alignment horizontal="center" vertical="center"/>
    </xf>
    <xf numFmtId="0" fontId="60" fillId="8" borderId="0" xfId="1" applyFont="1" applyFill="1" applyAlignment="1">
      <alignment horizontal="right" vertical="center"/>
    </xf>
    <xf numFmtId="0" fontId="119" fillId="154" borderId="2" xfId="2" applyFont="1" applyFill="1" applyBorder="1" applyAlignment="1">
      <alignment vertical="center"/>
    </xf>
    <xf numFmtId="0" fontId="87" fillId="154" borderId="8" xfId="2" applyFont="1" applyFill="1" applyBorder="1" applyAlignment="1">
      <alignment horizontal="right" vertical="center"/>
    </xf>
    <xf numFmtId="0" fontId="1" fillId="154" borderId="0" xfId="27" applyFont="1" applyFill="1"/>
    <xf numFmtId="0" fontId="1" fillId="154" borderId="0" xfId="27" applyFont="1" applyFill="1" applyAlignment="1">
      <alignment horizontal="right" vertical="center"/>
    </xf>
    <xf numFmtId="0" fontId="72" fillId="154" borderId="0" xfId="27" applyFont="1" applyFill="1" applyAlignment="1">
      <alignment horizontal="right" vertical="center"/>
    </xf>
    <xf numFmtId="0" fontId="72" fillId="154" borderId="0" xfId="27" applyFont="1" applyFill="1" applyAlignment="1">
      <alignment horizontal="left" vertical="center"/>
    </xf>
    <xf numFmtId="0" fontId="72" fillId="154" borderId="9" xfId="27" applyFont="1" applyFill="1" applyBorder="1"/>
    <xf numFmtId="0" fontId="57" fillId="146" borderId="0" xfId="29" applyFont="1" applyFill="1" applyAlignment="1">
      <alignment horizontal="left" vertical="center"/>
    </xf>
    <xf numFmtId="0" fontId="57" fillId="146" borderId="0" xfId="29" applyFont="1" applyFill="1" applyAlignment="1">
      <alignment horizontal="right" vertical="center"/>
    </xf>
    <xf numFmtId="0" fontId="48" fillId="146" borderId="0" xfId="5" applyFont="1" applyFill="1" applyAlignment="1">
      <alignment horizontal="center" vertical="center"/>
    </xf>
    <xf numFmtId="0" fontId="48" fillId="146" borderId="0" xfId="16" applyFont="1" applyFill="1" applyAlignment="1" applyProtection="1">
      <alignment horizontal="left" vertical="center"/>
      <protection locked="0"/>
    </xf>
    <xf numFmtId="0" fontId="0" fillId="146" borderId="0" xfId="0" applyFill="1"/>
    <xf numFmtId="0" fontId="0" fillId="146" borderId="9" xfId="0" applyFill="1" applyBorder="1"/>
    <xf numFmtId="0" fontId="48" fillId="146" borderId="0" xfId="1" applyFont="1" applyFill="1" applyAlignment="1">
      <alignment horizontal="right" vertical="center"/>
    </xf>
    <xf numFmtId="218" fontId="48" fillId="146" borderId="0" xfId="5" applyNumberFormat="1" applyFont="1" applyFill="1" applyAlignment="1">
      <alignment horizontal="center" vertical="center"/>
    </xf>
    <xf numFmtId="0" fontId="4" fillId="146" borderId="0" xfId="0" applyFont="1" applyFill="1" applyAlignment="1">
      <alignment vertical="center"/>
    </xf>
    <xf numFmtId="0" fontId="4" fillId="146" borderId="9" xfId="0" applyFont="1" applyFill="1" applyBorder="1" applyAlignment="1">
      <alignment vertical="center"/>
    </xf>
    <xf numFmtId="0" fontId="0" fillId="146" borderId="13" xfId="0" applyFill="1" applyBorder="1" applyAlignment="1">
      <alignment horizontal="right" vertical="center"/>
    </xf>
    <xf numFmtId="0" fontId="0" fillId="146" borderId="13" xfId="0" applyFill="1" applyBorder="1" applyAlignment="1">
      <alignment horizontal="center" vertical="center"/>
    </xf>
    <xf numFmtId="0" fontId="420" fillId="146" borderId="13" xfId="0" applyFont="1" applyFill="1" applyBorder="1" applyAlignment="1">
      <alignment horizontal="right" vertical="center"/>
    </xf>
    <xf numFmtId="174" fontId="24" fillId="155" borderId="13" xfId="16" applyNumberFormat="1" applyFont="1" applyFill="1" applyBorder="1" applyAlignment="1" applyProtection="1">
      <alignment horizontal="center" vertical="center"/>
      <protection locked="0"/>
    </xf>
    <xf numFmtId="174" fontId="24" fillId="155" borderId="21" xfId="16" applyNumberFormat="1" applyFont="1" applyFill="1" applyBorder="1" applyAlignment="1" applyProtection="1">
      <alignment horizontal="center" vertical="center"/>
      <protection locked="0"/>
    </xf>
    <xf numFmtId="0" fontId="413" fillId="20" borderId="0" xfId="16" applyFont="1" applyFill="1" applyAlignment="1" applyProtection="1">
      <alignment vertical="center"/>
      <protection locked="0"/>
    </xf>
    <xf numFmtId="0" fontId="413" fillId="8" borderId="9" xfId="16" applyFont="1" applyFill="1" applyBorder="1" applyAlignment="1" applyProtection="1">
      <alignment vertical="center"/>
      <protection locked="0"/>
    </xf>
    <xf numFmtId="0" fontId="421" fillId="8" borderId="0" xfId="0" applyFont="1" applyFill="1" applyAlignment="1">
      <alignment horizontal="right" vertical="center"/>
    </xf>
    <xf numFmtId="0" fontId="422" fillId="45" borderId="0" xfId="16" applyFont="1" applyFill="1" applyAlignment="1" applyProtection="1">
      <alignment horizontal="center" vertical="center" wrapText="1"/>
      <protection locked="0"/>
    </xf>
    <xf numFmtId="0" fontId="423" fillId="8" borderId="0" xfId="16" applyFont="1" applyFill="1" applyAlignment="1" applyProtection="1">
      <alignment horizontal="left" vertical="center"/>
      <protection locked="0"/>
    </xf>
    <xf numFmtId="0" fontId="413" fillId="8" borderId="9" xfId="16" applyFont="1" applyFill="1" applyBorder="1" applyAlignment="1" applyProtection="1">
      <alignment horizontal="center" vertical="center"/>
      <protection locked="0"/>
    </xf>
    <xf numFmtId="1" fontId="53" fillId="45" borderId="0" xfId="16" applyNumberFormat="1" applyFont="1" applyFill="1" applyAlignment="1" applyProtection="1">
      <alignment horizontal="center" vertical="center"/>
      <protection locked="0"/>
    </xf>
    <xf numFmtId="0" fontId="51" fillId="8" borderId="0" xfId="0" applyFont="1" applyFill="1" applyAlignment="1">
      <alignment horizontal="right" vertical="center"/>
    </xf>
    <xf numFmtId="0" fontId="414" fillId="8" borderId="0" xfId="1" applyFont="1" applyFill="1" applyAlignment="1">
      <alignment horizontal="left" vertical="center"/>
    </xf>
    <xf numFmtId="0" fontId="154" fillId="44" borderId="0" xfId="16" applyFont="1" applyFill="1" applyAlignment="1" applyProtection="1">
      <alignment horizontal="right" vertical="center"/>
      <protection locked="0"/>
    </xf>
    <xf numFmtId="0" fontId="182" fillId="8" borderId="0" xfId="16" applyFont="1" applyFill="1" applyAlignment="1" applyProtection="1">
      <alignment horizontal="right" vertical="center"/>
      <protection locked="0"/>
    </xf>
    <xf numFmtId="0" fontId="403" fillId="156" borderId="0" xfId="5" applyFont="1" applyFill="1" applyAlignment="1">
      <alignment horizontal="center" vertical="center"/>
    </xf>
    <xf numFmtId="203" fontId="150" fillId="150" borderId="0" xfId="1" applyNumberFormat="1" applyFont="1" applyFill="1" applyAlignment="1">
      <alignment vertical="center"/>
    </xf>
    <xf numFmtId="167" fontId="53" fillId="45" borderId="0" xfId="16" applyNumberFormat="1" applyFont="1" applyFill="1" applyAlignment="1" applyProtection="1">
      <alignment horizontal="center" vertical="center"/>
      <protection locked="0"/>
    </xf>
    <xf numFmtId="169" fontId="24" fillId="44" borderId="0" xfId="16" applyNumberFormat="1" applyFont="1" applyFill="1" applyAlignment="1" applyProtection="1">
      <alignment horizontal="center" vertical="center"/>
      <protection locked="0"/>
    </xf>
    <xf numFmtId="167" fontId="53" fillId="44" borderId="0" xfId="16" applyNumberFormat="1" applyFont="1" applyFill="1" applyAlignment="1" applyProtection="1">
      <alignment horizontal="center" vertical="center"/>
      <protection locked="0"/>
    </xf>
    <xf numFmtId="0" fontId="37" fillId="8" borderId="0" xfId="0" applyFont="1" applyFill="1" applyAlignment="1">
      <alignment horizontal="left" vertical="center"/>
    </xf>
    <xf numFmtId="174" fontId="24" fillId="44" borderId="0" xfId="16" applyNumberFormat="1" applyFont="1" applyFill="1" applyAlignment="1" applyProtection="1">
      <alignment horizontal="center" vertical="center"/>
      <protection locked="0"/>
    </xf>
    <xf numFmtId="0" fontId="420" fillId="8" borderId="0" xfId="1" applyFont="1" applyFill="1" applyAlignment="1">
      <alignment horizontal="left" vertical="center"/>
    </xf>
    <xf numFmtId="0" fontId="182" fillId="8" borderId="0" xfId="16" applyFont="1" applyFill="1" applyAlignment="1" applyProtection="1">
      <alignment horizontal="left" vertical="center"/>
      <protection locked="0"/>
    </xf>
    <xf numFmtId="0" fontId="37" fillId="8" borderId="0" xfId="27" applyFont="1" applyFill="1" applyAlignment="1">
      <alignment horizontal="right" vertical="center"/>
    </xf>
    <xf numFmtId="0" fontId="60" fillId="8" borderId="0" xfId="1" applyFont="1" applyFill="1" applyAlignment="1">
      <alignment horizontal="left" vertical="center"/>
    </xf>
    <xf numFmtId="0" fontId="13" fillId="157" borderId="249" xfId="5" applyFont="1" applyFill="1" applyBorder="1" applyAlignment="1" applyProtection="1">
      <alignment horizontal="centerContinuous" vertical="center"/>
      <protection locked="0"/>
    </xf>
    <xf numFmtId="0" fontId="13" fillId="157" borderId="250" xfId="5" applyFont="1" applyFill="1" applyBorder="1" applyAlignment="1" applyProtection="1">
      <alignment horizontal="centerContinuous" vertical="center"/>
      <protection locked="0"/>
    </xf>
    <xf numFmtId="0" fontId="13" fillId="158" borderId="250" xfId="5" applyFont="1" applyFill="1" applyBorder="1" applyAlignment="1" applyProtection="1">
      <alignment horizontal="centerContinuous" vertical="center"/>
      <protection locked="0"/>
    </xf>
    <xf numFmtId="0" fontId="13" fillId="157" borderId="251" xfId="5" applyFont="1" applyFill="1" applyBorder="1" applyAlignment="1" applyProtection="1">
      <alignment horizontal="right" vertical="center"/>
      <protection locked="0"/>
    </xf>
    <xf numFmtId="0" fontId="24" fillId="8" borderId="0" xfId="3" applyFont="1" applyFill="1" applyAlignment="1">
      <alignment vertical="center"/>
    </xf>
    <xf numFmtId="0" fontId="1" fillId="7" borderId="4" xfId="13" applyFill="1" applyBorder="1" applyAlignment="1">
      <alignment horizontal="center" vertical="center"/>
    </xf>
    <xf numFmtId="0" fontId="31" fillId="8" borderId="13" xfId="1" applyFont="1" applyFill="1" applyBorder="1" applyAlignment="1">
      <alignment horizontal="left" vertical="center"/>
    </xf>
    <xf numFmtId="0" fontId="424" fillId="8" borderId="0" xfId="13" applyFont="1" applyFill="1" applyAlignment="1" applyProtection="1">
      <alignment horizontal="left" vertical="center"/>
      <protection locked="0"/>
    </xf>
    <xf numFmtId="0" fontId="424" fillId="8" borderId="48" xfId="13" applyFont="1" applyFill="1" applyBorder="1" applyAlignment="1" applyProtection="1">
      <alignment horizontal="right" vertical="center"/>
      <protection locked="0"/>
    </xf>
    <xf numFmtId="0" fontId="24" fillId="8" borderId="0" xfId="1" applyFont="1" applyFill="1" applyProtection="1">
      <protection hidden="1"/>
    </xf>
    <xf numFmtId="0" fontId="424" fillId="8" borderId="0" xfId="13" applyFont="1" applyFill="1" applyAlignment="1" applyProtection="1">
      <alignment horizontal="right" vertical="center"/>
      <protection locked="0"/>
    </xf>
    <xf numFmtId="0" fontId="134" fillId="8" borderId="0" xfId="13" applyFont="1" applyFill="1" applyAlignment="1" applyProtection="1">
      <alignment horizontal="right" vertical="center"/>
      <protection locked="0"/>
    </xf>
    <xf numFmtId="182" fontId="96" fillId="66" borderId="9" xfId="13" applyNumberFormat="1" applyFont="1" applyFill="1" applyBorder="1" applyAlignment="1" applyProtection="1">
      <alignment horizontal="center" vertical="center"/>
      <protection locked="0"/>
    </xf>
    <xf numFmtId="0" fontId="112" fillId="8" borderId="0" xfId="13" applyFont="1" applyFill="1" applyAlignment="1" applyProtection="1">
      <alignment horizontal="left" vertical="center"/>
      <protection locked="0"/>
    </xf>
    <xf numFmtId="0" fontId="112" fillId="8" borderId="0" xfId="13" applyFont="1" applyFill="1" applyAlignment="1" applyProtection="1">
      <alignment horizontal="right" vertical="center"/>
      <protection locked="0"/>
    </xf>
    <xf numFmtId="182" fontId="425" fillId="20" borderId="9" xfId="13" applyNumberFormat="1" applyFont="1" applyFill="1" applyBorder="1" applyAlignment="1" applyProtection="1">
      <alignment horizontal="center" vertical="center"/>
      <protection locked="0"/>
    </xf>
    <xf numFmtId="0" fontId="57" fillId="8" borderId="0" xfId="13" applyFont="1" applyFill="1" applyAlignment="1" applyProtection="1">
      <alignment horizontal="left" vertical="center"/>
      <protection locked="0"/>
    </xf>
    <xf numFmtId="0" fontId="57" fillId="8" borderId="0" xfId="13" applyFont="1" applyFill="1" applyAlignment="1" applyProtection="1">
      <alignment horizontal="right" vertical="center"/>
      <protection locked="0"/>
    </xf>
    <xf numFmtId="0" fontId="24" fillId="8" borderId="0" xfId="13" applyFont="1" applyFill="1" applyAlignment="1" applyProtection="1">
      <alignment horizontal="right" vertical="center"/>
      <protection locked="0"/>
    </xf>
    <xf numFmtId="182" fontId="20" fillId="8" borderId="9" xfId="13" applyNumberFormat="1" applyFont="1" applyFill="1" applyBorder="1" applyAlignment="1" applyProtection="1">
      <alignment horizontal="center" vertical="center"/>
      <protection locked="0"/>
    </xf>
    <xf numFmtId="0" fontId="1" fillId="8" borderId="0" xfId="0" applyFont="1" applyFill="1" applyAlignment="1">
      <alignment vertical="center"/>
    </xf>
    <xf numFmtId="0" fontId="24" fillId="8" borderId="13" xfId="13" applyFont="1" applyFill="1" applyBorder="1" applyAlignment="1" applyProtection="1">
      <alignment horizontal="left" vertical="center"/>
      <protection locked="0"/>
    </xf>
    <xf numFmtId="0" fontId="20" fillId="8" borderId="0" xfId="13" applyFont="1" applyFill="1" applyAlignment="1" applyProtection="1">
      <alignment horizontal="right" vertical="center"/>
      <protection locked="0"/>
    </xf>
    <xf numFmtId="187" fontId="20" fillId="8" borderId="9" xfId="13" applyNumberFormat="1" applyFont="1" applyFill="1" applyBorder="1" applyAlignment="1" applyProtection="1">
      <alignment horizontal="center" vertical="center"/>
      <protection locked="0"/>
    </xf>
    <xf numFmtId="0" fontId="134" fillId="8" borderId="0" xfId="13" applyFont="1" applyFill="1" applyAlignment="1" applyProtection="1">
      <alignment horizontal="left" vertical="center"/>
      <protection locked="0"/>
    </xf>
    <xf numFmtId="0" fontId="13" fillId="4" borderId="252" xfId="5" applyFont="1" applyFill="1" applyBorder="1" applyAlignment="1" applyProtection="1">
      <alignment horizontal="left" vertical="center"/>
      <protection locked="0"/>
    </xf>
    <xf numFmtId="0" fontId="13" fillId="4" borderId="253" xfId="5" applyFont="1" applyFill="1" applyBorder="1" applyAlignment="1" applyProtection="1">
      <alignment horizontal="centerContinuous" vertical="center"/>
      <protection locked="0"/>
    </xf>
    <xf numFmtId="0" fontId="13" fillId="4" borderId="254" xfId="5" applyFont="1" applyFill="1" applyBorder="1" applyAlignment="1" applyProtection="1">
      <alignment horizontal="right" vertical="center"/>
      <protection locked="0"/>
    </xf>
    <xf numFmtId="0" fontId="1" fillId="7" borderId="5" xfId="13" applyFill="1" applyBorder="1" applyAlignment="1">
      <alignment horizontal="center" vertical="center"/>
    </xf>
    <xf numFmtId="0" fontId="1" fillId="0" borderId="5" xfId="0" applyFont="1" applyBorder="1"/>
    <xf numFmtId="0" fontId="1" fillId="8" borderId="5" xfId="0" applyFont="1" applyFill="1" applyBorder="1"/>
    <xf numFmtId="0" fontId="54" fillId="8" borderId="5" xfId="1" applyFont="1" applyFill="1" applyBorder="1" applyAlignment="1">
      <alignment horizontal="center" vertical="center"/>
    </xf>
    <xf numFmtId="0" fontId="54" fillId="8" borderId="54" xfId="1" applyFont="1" applyFill="1" applyBorder="1" applyAlignment="1">
      <alignment horizontal="center" vertical="center"/>
    </xf>
    <xf numFmtId="0" fontId="1" fillId="7" borderId="13" xfId="13" applyFill="1" applyBorder="1" applyAlignment="1">
      <alignment horizontal="center" vertical="center"/>
    </xf>
    <xf numFmtId="0" fontId="121" fillId="65" borderId="5" xfId="13" applyFont="1" applyFill="1" applyBorder="1" applyAlignment="1" applyProtection="1">
      <alignment horizontal="right" vertical="center"/>
      <protection locked="0"/>
    </xf>
    <xf numFmtId="185" fontId="121" fillId="66" borderId="101" xfId="13" applyNumberFormat="1" applyFont="1" applyFill="1" applyBorder="1" applyAlignment="1" applyProtection="1">
      <alignment horizontal="center" vertical="center"/>
      <protection locked="0"/>
    </xf>
    <xf numFmtId="0" fontId="121" fillId="8" borderId="5" xfId="13" applyFont="1" applyFill="1" applyBorder="1" applyAlignment="1" applyProtection="1">
      <alignment horizontal="right" vertical="center"/>
      <protection locked="0"/>
    </xf>
    <xf numFmtId="185" fontId="121" fillId="66" borderId="54" xfId="13" applyNumberFormat="1" applyFont="1" applyFill="1" applyBorder="1" applyAlignment="1" applyProtection="1">
      <alignment horizontal="center" vertical="center"/>
      <protection locked="0"/>
    </xf>
    <xf numFmtId="0" fontId="84" fillId="65" borderId="0" xfId="13" applyFont="1" applyFill="1" applyAlignment="1" applyProtection="1">
      <alignment horizontal="right" vertical="center"/>
      <protection locked="0"/>
    </xf>
    <xf numFmtId="0" fontId="84" fillId="8" borderId="0" xfId="13" applyFont="1" applyFill="1" applyAlignment="1" applyProtection="1">
      <alignment horizontal="right" vertical="center"/>
      <protection locked="0"/>
    </xf>
    <xf numFmtId="175" fontId="84" fillId="66" borderId="9" xfId="13" applyNumberFormat="1" applyFont="1" applyFill="1" applyBorder="1" applyAlignment="1" applyProtection="1">
      <alignment horizontal="center" vertical="center"/>
      <protection locked="0"/>
    </xf>
    <xf numFmtId="0" fontId="57" fillId="65" borderId="0" xfId="13" applyFont="1" applyFill="1" applyAlignment="1" applyProtection="1">
      <alignment horizontal="right" vertical="center"/>
      <protection locked="0"/>
    </xf>
    <xf numFmtId="185" fontId="57" fillId="65" borderId="9" xfId="13" applyNumberFormat="1" applyFont="1" applyFill="1" applyBorder="1" applyAlignment="1" applyProtection="1">
      <alignment horizontal="center" vertical="center"/>
      <protection locked="0"/>
    </xf>
    <xf numFmtId="0" fontId="36" fillId="65" borderId="5" xfId="13" applyFont="1" applyFill="1" applyBorder="1" applyAlignment="1" applyProtection="1">
      <alignment horizontal="right" vertical="center"/>
      <protection locked="0"/>
    </xf>
    <xf numFmtId="185" fontId="36" fillId="66" borderId="101" xfId="13" applyNumberFormat="1" applyFont="1" applyFill="1" applyBorder="1" applyAlignment="1" applyProtection="1">
      <alignment horizontal="center" vertical="center"/>
      <protection locked="0"/>
    </xf>
    <xf numFmtId="185" fontId="36" fillId="66" borderId="54" xfId="13" applyNumberFormat="1" applyFont="1" applyFill="1" applyBorder="1" applyAlignment="1" applyProtection="1">
      <alignment horizontal="center" vertical="center"/>
      <protection locked="0"/>
    </xf>
    <xf numFmtId="0" fontId="1" fillId="7" borderId="0" xfId="13" applyFill="1"/>
    <xf numFmtId="0" fontId="58" fillId="65" borderId="0" xfId="13" applyFont="1" applyFill="1" applyAlignment="1" applyProtection="1">
      <alignment horizontal="right" vertical="center"/>
      <protection locked="0"/>
    </xf>
    <xf numFmtId="175" fontId="58" fillId="66" borderId="9" xfId="13" applyNumberFormat="1" applyFont="1" applyFill="1" applyBorder="1" applyAlignment="1" applyProtection="1">
      <alignment horizontal="center" vertical="center"/>
      <protection locked="0"/>
    </xf>
    <xf numFmtId="0" fontId="13" fillId="7" borderId="0" xfId="5" applyFont="1" applyFill="1" applyAlignment="1">
      <alignment horizontal="centerContinuous" vertical="center"/>
    </xf>
    <xf numFmtId="0" fontId="1" fillId="142" borderId="0" xfId="13" applyFill="1" applyAlignment="1">
      <alignment horizontal="centerContinuous" vertical="center" wrapText="1"/>
    </xf>
    <xf numFmtId="0" fontId="10" fillId="142" borderId="0" xfId="5" applyFont="1" applyFill="1" applyAlignment="1">
      <alignment horizontal="right" vertical="center"/>
    </xf>
    <xf numFmtId="206" fontId="24" fillId="159" borderId="9" xfId="13" applyNumberFormat="1" applyFont="1" applyFill="1" applyBorder="1" applyAlignment="1">
      <alignment horizontal="centerContinuous" vertical="center" wrapText="1"/>
    </xf>
    <xf numFmtId="0" fontId="84" fillId="66" borderId="0" xfId="5" applyFont="1" applyFill="1" applyAlignment="1">
      <alignment horizontal="left" vertical="center"/>
    </xf>
    <xf numFmtId="175" fontId="154" fillId="20" borderId="0" xfId="13" applyNumberFormat="1" applyFont="1" applyFill="1" applyAlignment="1" applyProtection="1">
      <alignment horizontal="center" vertical="center"/>
      <protection locked="0"/>
    </xf>
    <xf numFmtId="174" fontId="13" fillId="7" borderId="9" xfId="13" applyNumberFormat="1" applyFont="1" applyFill="1" applyBorder="1" applyAlignment="1" applyProtection="1">
      <alignment horizontal="center" vertical="center"/>
      <protection locked="0"/>
    </xf>
    <xf numFmtId="174" fontId="13" fillId="7" borderId="0" xfId="13" applyNumberFormat="1" applyFont="1" applyFill="1" applyAlignment="1" applyProtection="1">
      <alignment horizontal="center" vertical="center"/>
      <protection locked="0"/>
    </xf>
    <xf numFmtId="175" fontId="154" fillId="66" borderId="0" xfId="13" applyNumberFormat="1" applyFont="1" applyFill="1" applyAlignment="1" applyProtection="1">
      <alignment horizontal="center" vertical="center"/>
      <protection locked="0"/>
    </xf>
    <xf numFmtId="0" fontId="86" fillId="8" borderId="13" xfId="17" applyFill="1" applyBorder="1" applyAlignment="1">
      <alignment vertical="center"/>
    </xf>
    <xf numFmtId="0" fontId="32" fillId="8" borderId="13" xfId="29" applyFont="1" applyFill="1" applyBorder="1" applyAlignment="1">
      <alignment horizontal="center" vertical="center"/>
    </xf>
    <xf numFmtId="0" fontId="1" fillId="0" borderId="13" xfId="0" applyFont="1" applyBorder="1"/>
    <xf numFmtId="0" fontId="1" fillId="0" borderId="21" xfId="0" applyFont="1" applyBorder="1"/>
    <xf numFmtId="0" fontId="20" fillId="8" borderId="13" xfId="1" applyFont="1" applyFill="1" applyBorder="1" applyAlignment="1" applyProtection="1">
      <alignment horizontal="center" vertical="center"/>
      <protection hidden="1"/>
    </xf>
    <xf numFmtId="0" fontId="4" fillId="8" borderId="13" xfId="13" applyFont="1" applyFill="1" applyBorder="1" applyAlignment="1">
      <alignment horizontal="center"/>
    </xf>
    <xf numFmtId="0" fontId="4" fillId="8" borderId="0" xfId="13" applyFont="1" applyFill="1" applyAlignment="1">
      <alignment horizontal="left"/>
    </xf>
    <xf numFmtId="219" fontId="31" fillId="8" borderId="0" xfId="1" applyNumberFormat="1" applyFont="1" applyFill="1" applyAlignment="1" applyProtection="1">
      <alignment horizontal="center" vertical="center"/>
      <protection hidden="1"/>
    </xf>
    <xf numFmtId="202" fontId="48" fillId="8" borderId="0" xfId="1" applyNumberFormat="1" applyFont="1" applyFill="1" applyAlignment="1" applyProtection="1">
      <alignment horizontal="center" vertical="center"/>
      <protection hidden="1"/>
    </xf>
    <xf numFmtId="169" fontId="20" fillId="43" borderId="9" xfId="29" applyNumberFormat="1" applyFont="1" applyFill="1" applyBorder="1" applyAlignment="1">
      <alignment horizontal="center" vertical="center"/>
    </xf>
    <xf numFmtId="0" fontId="1" fillId="8" borderId="0" xfId="13" applyFill="1"/>
    <xf numFmtId="0" fontId="3" fillId="8" borderId="0" xfId="13" applyFont="1" applyFill="1"/>
    <xf numFmtId="0" fontId="155" fillId="8" borderId="0" xfId="1" applyFont="1" applyFill="1" applyAlignment="1">
      <alignment horizontal="center" vertical="center" wrapText="1"/>
    </xf>
    <xf numFmtId="0" fontId="155" fillId="8" borderId="9" xfId="1" applyFont="1" applyFill="1" applyBorder="1" applyAlignment="1">
      <alignment horizontal="center" vertical="center" wrapText="1"/>
    </xf>
    <xf numFmtId="0" fontId="54" fillId="7" borderId="258" xfId="1" applyFont="1" applyFill="1" applyBorder="1" applyAlignment="1">
      <alignment horizontal="center" vertical="center"/>
    </xf>
    <xf numFmtId="0" fontId="5" fillId="42" borderId="0" xfId="7" applyFont="1" applyFill="1" applyAlignment="1">
      <alignment vertical="center"/>
    </xf>
    <xf numFmtId="0" fontId="428" fillId="37" borderId="0" xfId="1" applyFont="1" applyFill="1" applyProtection="1">
      <protection hidden="1"/>
    </xf>
    <xf numFmtId="0" fontId="1" fillId="0" borderId="0" xfId="7"/>
    <xf numFmtId="0" fontId="78" fillId="8" borderId="0" xfId="1" applyFont="1" applyFill="1" applyAlignment="1" applyProtection="1">
      <alignment vertical="center"/>
      <protection hidden="1"/>
    </xf>
    <xf numFmtId="0" fontId="0" fillId="55" borderId="0" xfId="0" applyFill="1"/>
    <xf numFmtId="0" fontId="73" fillId="43" borderId="0" xfId="1" applyFont="1" applyFill="1" applyAlignment="1" applyProtection="1">
      <alignment horizontal="left" vertical="center"/>
      <protection hidden="1"/>
    </xf>
    <xf numFmtId="0" fontId="86" fillId="0" borderId="0" xfId="17" applyAlignment="1">
      <alignment vertical="center"/>
    </xf>
    <xf numFmtId="0" fontId="86" fillId="0" borderId="0" xfId="17"/>
    <xf numFmtId="0" fontId="187" fillId="0" borderId="0" xfId="0" applyFont="1" applyAlignment="1">
      <alignment vertical="center"/>
    </xf>
    <xf numFmtId="0" fontId="187" fillId="0" borderId="0" xfId="0" applyFont="1" applyAlignment="1">
      <alignment horizontal="center" vertical="center"/>
    </xf>
    <xf numFmtId="0" fontId="36" fillId="8" borderId="0" xfId="3" applyFont="1" applyFill="1" applyAlignment="1">
      <alignment vertical="center"/>
    </xf>
    <xf numFmtId="0" fontId="111" fillId="8" borderId="0" xfId="0" applyFont="1" applyFill="1" applyAlignment="1">
      <alignment vertical="center"/>
    </xf>
    <xf numFmtId="0" fontId="4" fillId="8" borderId="0" xfId="0" applyFont="1" applyFill="1" applyAlignment="1">
      <alignment vertical="center"/>
    </xf>
    <xf numFmtId="0" fontId="120" fillId="8" borderId="0" xfId="0" applyFont="1" applyFill="1" applyAlignment="1">
      <alignment horizontal="left" vertical="center"/>
    </xf>
    <xf numFmtId="0" fontId="74" fillId="8" borderId="0" xfId="29" applyFont="1" applyFill="1" applyAlignment="1" applyProtection="1">
      <alignment vertical="center"/>
      <protection locked="0"/>
    </xf>
    <xf numFmtId="0" fontId="20" fillId="8" borderId="0" xfId="29" applyFont="1" applyFill="1" applyAlignment="1" applyProtection="1">
      <alignment vertical="center"/>
      <protection locked="0"/>
    </xf>
    <xf numFmtId="0" fontId="111" fillId="8" borderId="0" xfId="29" applyFont="1" applyFill="1" applyAlignment="1" applyProtection="1">
      <alignment vertical="center"/>
      <protection locked="0"/>
    </xf>
    <xf numFmtId="0" fontId="13" fillId="8" borderId="0" xfId="29" applyFont="1" applyFill="1" applyAlignment="1" applyProtection="1">
      <alignment vertical="center"/>
      <protection locked="0"/>
    </xf>
    <xf numFmtId="0" fontId="72" fillId="8" borderId="0" xfId="0" applyFont="1" applyFill="1" applyAlignment="1">
      <alignment horizontal="center" vertical="center"/>
    </xf>
    <xf numFmtId="0" fontId="111" fillId="8" borderId="0" xfId="0" applyFont="1" applyFill="1" applyAlignment="1">
      <alignment horizontal="right" vertical="center"/>
    </xf>
    <xf numFmtId="0" fontId="111" fillId="8" borderId="0" xfId="0" applyFont="1" applyFill="1" applyAlignment="1">
      <alignment horizontal="left" vertical="center"/>
    </xf>
    <xf numFmtId="0" fontId="4" fillId="8" borderId="0" xfId="0" applyFont="1" applyFill="1" applyAlignment="1">
      <alignment horizontal="right" vertical="center"/>
    </xf>
    <xf numFmtId="0" fontId="74" fillId="8" borderId="0" xfId="0" applyFont="1" applyFill="1"/>
    <xf numFmtId="0" fontId="4" fillId="8" borderId="0" xfId="0" applyFont="1" applyFill="1" applyAlignment="1">
      <alignment horizontal="center" vertical="center" wrapText="1"/>
    </xf>
    <xf numFmtId="0" fontId="69" fillId="0" borderId="0" xfId="1" applyFont="1" applyAlignment="1">
      <alignment horizontal="center" vertical="center"/>
    </xf>
    <xf numFmtId="0" fontId="1" fillId="8" borderId="0" xfId="7" applyFill="1"/>
    <xf numFmtId="0" fontId="6" fillId="8" borderId="0" xfId="1" applyFill="1" applyProtection="1">
      <protection hidden="1"/>
    </xf>
    <xf numFmtId="0" fontId="143" fillId="8" borderId="0" xfId="27" applyFont="1" applyFill="1" applyAlignment="1">
      <alignment vertical="center"/>
    </xf>
    <xf numFmtId="0" fontId="432" fillId="8" borderId="0" xfId="1" applyFont="1" applyFill="1" applyAlignment="1">
      <alignment vertical="center"/>
    </xf>
    <xf numFmtId="0" fontId="143" fillId="8" borderId="0" xfId="27" applyFont="1" applyFill="1" applyAlignment="1">
      <alignment horizontal="left" vertical="center"/>
    </xf>
    <xf numFmtId="0" fontId="433" fillId="8" borderId="0" xfId="1" applyFont="1" applyFill="1" applyAlignment="1">
      <alignment vertical="center"/>
    </xf>
    <xf numFmtId="0" fontId="48" fillId="65" borderId="0" xfId="14" applyFont="1" applyFill="1" applyAlignment="1">
      <alignment horizontal="center" vertical="center"/>
    </xf>
    <xf numFmtId="0" fontId="143" fillId="7" borderId="0" xfId="7" applyFont="1" applyFill="1" applyAlignment="1">
      <alignment horizontal="center" vertical="center"/>
    </xf>
    <xf numFmtId="0" fontId="434" fillId="8" borderId="0" xfId="1" applyFont="1" applyFill="1" applyAlignment="1" applyProtection="1">
      <alignment vertical="center"/>
      <protection hidden="1"/>
    </xf>
    <xf numFmtId="0" fontId="183" fillId="8" borderId="0" xfId="39" applyFill="1" applyBorder="1" applyAlignment="1">
      <alignment vertical="center"/>
    </xf>
    <xf numFmtId="0" fontId="72" fillId="8" borderId="0" xfId="27" applyFont="1" applyFill="1"/>
    <xf numFmtId="0" fontId="31" fillId="8" borderId="0" xfId="1" applyFont="1" applyFill="1" applyAlignment="1">
      <alignment horizontal="left" vertical="center"/>
    </xf>
    <xf numFmtId="0" fontId="436" fillId="8" borderId="0" xfId="16" applyFont="1" applyFill="1" applyAlignment="1">
      <alignment vertical="center"/>
    </xf>
    <xf numFmtId="0" fontId="6" fillId="8" borderId="0" xfId="16" applyFont="1" applyFill="1"/>
    <xf numFmtId="0" fontId="281" fillId="8" borderId="0" xfId="16" applyFont="1" applyFill="1"/>
    <xf numFmtId="0" fontId="87" fillId="8" borderId="0" xfId="7" applyFont="1" applyFill="1" applyAlignment="1">
      <alignment vertical="center"/>
    </xf>
    <xf numFmtId="0" fontId="87" fillId="8" borderId="0" xfId="7" applyFont="1" applyFill="1" applyAlignment="1">
      <alignment horizontal="center" vertical="center"/>
    </xf>
    <xf numFmtId="0" fontId="437" fillId="8" borderId="0" xfId="1" applyFont="1" applyFill="1"/>
    <xf numFmtId="0" fontId="72" fillId="8" borderId="0" xfId="27" applyFont="1" applyFill="1" applyAlignment="1">
      <alignment horizontal="center"/>
    </xf>
    <xf numFmtId="0" fontId="5" fillId="8" borderId="0" xfId="7" applyFont="1" applyFill="1" applyAlignment="1">
      <alignment vertical="center"/>
    </xf>
    <xf numFmtId="0" fontId="21" fillId="8" borderId="6" xfId="1" applyFont="1" applyFill="1" applyBorder="1" applyAlignment="1" applyProtection="1">
      <alignment horizontal="center" vertical="center"/>
      <protection hidden="1"/>
    </xf>
    <xf numFmtId="0" fontId="1" fillId="7" borderId="55" xfId="7" applyFill="1" applyBorder="1" applyAlignment="1">
      <alignment horizontal="center" vertical="center"/>
    </xf>
    <xf numFmtId="0" fontId="183" fillId="8" borderId="13" xfId="39" applyFill="1" applyBorder="1" applyAlignment="1">
      <alignment vertical="center"/>
    </xf>
    <xf numFmtId="0" fontId="432" fillId="8" borderId="13" xfId="1" applyFont="1" applyFill="1" applyBorder="1" applyAlignment="1">
      <alignment horizontal="center" vertical="center"/>
    </xf>
    <xf numFmtId="0" fontId="432" fillId="8" borderId="102" xfId="1" applyFont="1" applyFill="1" applyBorder="1" applyAlignment="1">
      <alignment horizontal="center" vertical="center"/>
    </xf>
    <xf numFmtId="0" fontId="183" fillId="8" borderId="21" xfId="39" applyFill="1" applyBorder="1" applyAlignment="1">
      <alignment vertical="center"/>
    </xf>
    <xf numFmtId="0" fontId="6" fillId="8" borderId="0" xfId="1" applyFill="1" applyAlignment="1">
      <alignment horizontal="center" vertical="center" wrapText="1"/>
    </xf>
    <xf numFmtId="0" fontId="86" fillId="8" borderId="6" xfId="40" applyFill="1" applyBorder="1" applyAlignment="1">
      <alignment vertical="center" wrapText="1"/>
    </xf>
    <xf numFmtId="0" fontId="86" fillId="8" borderId="0" xfId="40" applyFill="1" applyBorder="1" applyAlignment="1">
      <alignment vertical="center" wrapText="1"/>
    </xf>
    <xf numFmtId="0" fontId="1" fillId="8" borderId="9" xfId="7" applyFill="1" applyBorder="1"/>
    <xf numFmtId="0" fontId="1" fillId="8" borderId="6" xfId="7" applyFill="1" applyBorder="1"/>
    <xf numFmtId="0" fontId="32" fillId="8" borderId="21" xfId="29" applyFont="1" applyFill="1" applyBorder="1" applyAlignment="1">
      <alignment horizontal="center" vertical="center"/>
    </xf>
    <xf numFmtId="0" fontId="432" fillId="8" borderId="0" xfId="1" applyFont="1" applyFill="1" applyAlignment="1">
      <alignment horizontal="centerContinuous" vertical="center"/>
    </xf>
    <xf numFmtId="0" fontId="6" fillId="1" borderId="0" xfId="1" applyFill="1" applyAlignment="1">
      <alignment vertical="center"/>
    </xf>
    <xf numFmtId="0" fontId="6" fillId="1" borderId="9" xfId="1" applyFill="1" applyBorder="1" applyAlignment="1">
      <alignment vertical="center"/>
    </xf>
    <xf numFmtId="0" fontId="6" fillId="8" borderId="0" xfId="1" applyFill="1" applyAlignment="1">
      <alignment horizontal="center" vertical="center"/>
    </xf>
    <xf numFmtId="0" fontId="6" fillId="8" borderId="0" xfId="1" applyFill="1" applyAlignment="1">
      <alignment horizontal="centerContinuous" vertical="center"/>
    </xf>
    <xf numFmtId="0" fontId="6" fillId="8" borderId="9" xfId="1" applyFill="1" applyBorder="1" applyAlignment="1">
      <alignment horizontal="center" vertical="center"/>
    </xf>
    <xf numFmtId="0" fontId="1" fillId="8" borderId="59" xfId="7" applyFill="1" applyBorder="1"/>
    <xf numFmtId="0" fontId="6" fillId="8" borderId="3" xfId="1" applyFill="1" applyBorder="1" applyAlignment="1">
      <alignment horizontal="center" vertical="center"/>
    </xf>
    <xf numFmtId="0" fontId="6" fillId="8" borderId="3" xfId="1" applyFill="1" applyBorder="1" applyAlignment="1">
      <alignment horizontal="centerContinuous" vertical="center"/>
    </xf>
    <xf numFmtId="0" fontId="6" fillId="8" borderId="59" xfId="1" applyFill="1" applyBorder="1" applyAlignment="1">
      <alignment horizontal="center" vertical="center"/>
    </xf>
    <xf numFmtId="0" fontId="66" fillId="8" borderId="0" xfId="1" applyFont="1" applyFill="1" applyAlignment="1" applyProtection="1">
      <alignment vertical="center"/>
      <protection hidden="1"/>
    </xf>
    <xf numFmtId="0" fontId="143" fillId="8" borderId="0" xfId="1" applyFont="1" applyFill="1" applyAlignment="1" applyProtection="1">
      <alignment vertical="center"/>
      <protection hidden="1"/>
    </xf>
    <xf numFmtId="0" fontId="21" fillId="160" borderId="0" xfId="1" applyFont="1" applyFill="1" applyAlignment="1" applyProtection="1">
      <alignment horizontal="center" vertical="center"/>
      <protection hidden="1"/>
    </xf>
    <xf numFmtId="0" fontId="350" fillId="8" borderId="0" xfId="40" applyFont="1" applyFill="1" applyAlignment="1" applyProtection="1">
      <alignment vertical="center"/>
      <protection hidden="1"/>
    </xf>
    <xf numFmtId="0" fontId="441" fillId="8" borderId="0" xfId="1" applyFont="1" applyFill="1" applyAlignment="1" applyProtection="1">
      <alignment vertical="center"/>
      <protection hidden="1"/>
    </xf>
    <xf numFmtId="0" fontId="273" fillId="8" borderId="0" xfId="40" applyFont="1" applyFill="1" applyAlignment="1" applyProtection="1">
      <alignment vertical="center"/>
      <protection hidden="1"/>
    </xf>
    <xf numFmtId="0" fontId="320" fillId="8" borderId="0" xfId="40" applyFont="1" applyFill="1" applyAlignment="1" applyProtection="1">
      <alignment vertical="center"/>
      <protection hidden="1"/>
    </xf>
    <xf numFmtId="0" fontId="405" fillId="8" borderId="0" xfId="17" applyFont="1" applyFill="1" applyAlignment="1" applyProtection="1">
      <alignment horizontal="left" vertical="center"/>
      <protection hidden="1"/>
    </xf>
    <xf numFmtId="0" fontId="405" fillId="0" borderId="0" xfId="17" applyFont="1" applyAlignment="1">
      <alignment horizontal="left" vertical="center"/>
    </xf>
    <xf numFmtId="0" fontId="1" fillId="7" borderId="128" xfId="7" applyFill="1" applyBorder="1" applyAlignment="1">
      <alignment horizontal="center" vertical="center"/>
    </xf>
    <xf numFmtId="0" fontId="212" fillId="8" borderId="0" xfId="16" applyFont="1" applyFill="1" applyAlignment="1">
      <alignment horizontal="right" vertical="center"/>
    </xf>
    <xf numFmtId="2" fontId="449" fillId="65" borderId="264" xfId="5" applyNumberFormat="1" applyFont="1" applyFill="1" applyBorder="1" applyAlignment="1">
      <alignment horizontal="center" vertical="center"/>
    </xf>
    <xf numFmtId="171" fontId="449" fillId="65" borderId="264" xfId="5" applyNumberFormat="1" applyFont="1" applyFill="1" applyBorder="1" applyAlignment="1">
      <alignment horizontal="center" vertical="center"/>
    </xf>
    <xf numFmtId="180" fontId="449" fillId="65" borderId="264" xfId="42" applyNumberFormat="1" applyFont="1" applyFill="1" applyBorder="1" applyAlignment="1" applyProtection="1">
      <alignment horizontal="center" vertical="center"/>
      <protection locked="0"/>
    </xf>
    <xf numFmtId="0" fontId="450" fillId="66" borderId="264" xfId="5" applyFont="1" applyFill="1" applyBorder="1" applyAlignment="1">
      <alignment horizontal="center" vertical="center"/>
    </xf>
    <xf numFmtId="0" fontId="452" fillId="161" borderId="7" xfId="16" applyFont="1" applyFill="1" applyBorder="1" applyAlignment="1">
      <alignment vertical="center"/>
    </xf>
    <xf numFmtId="0" fontId="452" fillId="161" borderId="2" xfId="16" applyFont="1" applyFill="1" applyBorder="1" applyAlignment="1">
      <alignment vertical="center"/>
    </xf>
    <xf numFmtId="0" fontId="452" fillId="161" borderId="8" xfId="16" applyFont="1" applyFill="1" applyBorder="1" applyAlignment="1">
      <alignment horizontal="right" vertical="center"/>
    </xf>
    <xf numFmtId="0" fontId="454" fillId="54" borderId="268" xfId="16" applyFont="1" applyFill="1" applyBorder="1" applyAlignment="1" applyProtection="1">
      <alignment horizontal="center" vertical="center"/>
      <protection locked="0"/>
    </xf>
    <xf numFmtId="0" fontId="454" fillId="54" borderId="268" xfId="16" applyFont="1" applyFill="1" applyBorder="1" applyAlignment="1" applyProtection="1">
      <alignment horizontal="left" vertical="center"/>
      <protection locked="0"/>
    </xf>
    <xf numFmtId="0" fontId="455" fillId="162" borderId="269" xfId="16" applyFont="1" applyFill="1" applyBorder="1" applyAlignment="1" applyProtection="1">
      <alignment horizontal="center" vertical="center"/>
      <protection locked="0"/>
    </xf>
    <xf numFmtId="1" fontId="456" fillId="54" borderId="270" xfId="16" applyNumberFormat="1" applyFont="1" applyFill="1" applyBorder="1" applyAlignment="1" applyProtection="1">
      <alignment horizontal="center" vertical="center"/>
      <protection locked="0"/>
    </xf>
    <xf numFmtId="220" fontId="447" fillId="65" borderId="268" xfId="16" applyNumberFormat="1" applyFont="1" applyFill="1" applyBorder="1" applyAlignment="1" applyProtection="1">
      <alignment horizontal="right" vertical="center"/>
      <protection locked="0"/>
    </xf>
    <xf numFmtId="221" fontId="447" fillId="65" borderId="268" xfId="27" applyNumberFormat="1" applyFont="1" applyFill="1" applyBorder="1" applyAlignment="1">
      <alignment horizontal="center" vertical="center"/>
    </xf>
    <xf numFmtId="1" fontId="6" fillId="65" borderId="271" xfId="16" applyNumberFormat="1" applyFont="1" applyFill="1" applyBorder="1" applyAlignment="1" applyProtection="1">
      <alignment horizontal="left" vertical="center"/>
      <protection locked="0"/>
    </xf>
    <xf numFmtId="220" fontId="447" fillId="65" borderId="270" xfId="16" applyNumberFormat="1" applyFont="1" applyFill="1" applyBorder="1" applyAlignment="1" applyProtection="1">
      <alignment horizontal="right" vertical="center"/>
      <protection locked="0"/>
    </xf>
    <xf numFmtId="1" fontId="6" fillId="65" borderId="272" xfId="16" applyNumberFormat="1" applyFont="1" applyFill="1" applyBorder="1" applyAlignment="1" applyProtection="1">
      <alignment horizontal="left" vertical="center"/>
      <protection locked="0"/>
    </xf>
    <xf numFmtId="0" fontId="455" fillId="45" borderId="269" xfId="16" applyFont="1" applyFill="1" applyBorder="1" applyAlignment="1" applyProtection="1">
      <alignment horizontal="center" vertical="center"/>
      <protection locked="0"/>
    </xf>
    <xf numFmtId="1" fontId="456" fillId="54" borderId="273" xfId="16" applyNumberFormat="1" applyFont="1" applyFill="1" applyBorder="1" applyAlignment="1" applyProtection="1">
      <alignment horizontal="center" vertical="center"/>
      <protection locked="0"/>
    </xf>
    <xf numFmtId="220" fontId="447" fillId="65" borderId="274" xfId="16" applyNumberFormat="1" applyFont="1" applyFill="1" applyBorder="1" applyAlignment="1" applyProtection="1">
      <alignment horizontal="right" vertical="center"/>
      <protection locked="0"/>
    </xf>
    <xf numFmtId="221" fontId="447" fillId="65" borderId="274" xfId="27" applyNumberFormat="1" applyFont="1" applyFill="1" applyBorder="1" applyAlignment="1">
      <alignment horizontal="center" vertical="center"/>
    </xf>
    <xf numFmtId="1" fontId="6" fillId="65" borderId="275" xfId="16" applyNumberFormat="1" applyFont="1" applyFill="1" applyBorder="1" applyAlignment="1" applyProtection="1">
      <alignment horizontal="left" vertical="center"/>
      <protection locked="0"/>
    </xf>
    <xf numFmtId="220" fontId="447" fillId="65" borderId="273" xfId="16" applyNumberFormat="1" applyFont="1" applyFill="1" applyBorder="1" applyAlignment="1" applyProtection="1">
      <alignment horizontal="right" vertical="center"/>
      <protection locked="0"/>
    </xf>
    <xf numFmtId="1" fontId="6" fillId="65" borderId="276" xfId="16" applyNumberFormat="1" applyFont="1" applyFill="1" applyBorder="1" applyAlignment="1" applyProtection="1">
      <alignment horizontal="left" vertical="center"/>
      <protection locked="0"/>
    </xf>
    <xf numFmtId="0" fontId="202" fillId="160" borderId="7" xfId="16" applyFont="1" applyFill="1" applyBorder="1" applyAlignment="1">
      <alignment vertical="center"/>
    </xf>
    <xf numFmtId="0" fontId="202" fillId="160" borderId="2" xfId="16" applyFont="1" applyFill="1" applyBorder="1" applyAlignment="1">
      <alignment vertical="center"/>
    </xf>
    <xf numFmtId="0" fontId="202" fillId="160" borderId="8" xfId="16" applyFont="1" applyFill="1" applyBorder="1" applyAlignment="1">
      <alignment horizontal="right" vertical="center"/>
    </xf>
    <xf numFmtId="179" fontId="455" fillId="162" borderId="269" xfId="16" applyNumberFormat="1" applyFont="1" applyFill="1" applyBorder="1" applyAlignment="1" applyProtection="1">
      <alignment horizontal="center" vertical="center"/>
      <protection locked="0"/>
    </xf>
    <xf numFmtId="179" fontId="456" fillId="54" borderId="270" xfId="16" applyNumberFormat="1" applyFont="1" applyFill="1" applyBorder="1" applyAlignment="1" applyProtection="1">
      <alignment horizontal="center" vertical="center"/>
      <protection locked="0"/>
    </xf>
    <xf numFmtId="222" fontId="447" fillId="65" borderId="268" xfId="27" applyNumberFormat="1" applyFont="1" applyFill="1" applyBorder="1" applyAlignment="1">
      <alignment horizontal="center" vertical="center"/>
    </xf>
    <xf numFmtId="1" fontId="6" fillId="65" borderId="277" xfId="16" applyNumberFormat="1" applyFont="1" applyFill="1" applyBorder="1" applyAlignment="1" applyProtection="1">
      <alignment horizontal="left" vertical="center"/>
      <protection locked="0"/>
    </xf>
    <xf numFmtId="0" fontId="454" fillId="54" borderId="271" xfId="16" applyFont="1" applyFill="1" applyBorder="1" applyAlignment="1" applyProtection="1">
      <alignment horizontal="left" vertical="center"/>
      <protection locked="0"/>
    </xf>
    <xf numFmtId="0" fontId="454" fillId="54" borderId="48" xfId="16" applyFont="1" applyFill="1" applyBorder="1" applyAlignment="1" applyProtection="1">
      <alignment horizontal="center" vertical="center"/>
      <protection locked="0"/>
    </xf>
    <xf numFmtId="0" fontId="454" fillId="54" borderId="48" xfId="16" applyFont="1" applyFill="1" applyBorder="1" applyAlignment="1" applyProtection="1">
      <alignment horizontal="left" vertical="center"/>
      <protection locked="0"/>
    </xf>
    <xf numFmtId="220" fontId="447" fillId="65" borderId="48" xfId="16" applyNumberFormat="1" applyFont="1" applyFill="1" applyBorder="1" applyAlignment="1" applyProtection="1">
      <alignment horizontal="right" vertical="center"/>
      <protection locked="0"/>
    </xf>
    <xf numFmtId="222" fontId="447" fillId="65" borderId="48" xfId="27" applyNumberFormat="1" applyFont="1" applyFill="1" applyBorder="1" applyAlignment="1">
      <alignment horizontal="center" vertical="center"/>
    </xf>
    <xf numFmtId="221" fontId="447" fillId="65" borderId="48" xfId="27" applyNumberFormat="1" applyFont="1" applyFill="1" applyBorder="1" applyAlignment="1">
      <alignment horizontal="center" vertical="center"/>
    </xf>
    <xf numFmtId="1" fontId="6" fillId="65" borderId="50" xfId="16" applyNumberFormat="1" applyFont="1" applyFill="1" applyBorder="1" applyAlignment="1" applyProtection="1">
      <alignment horizontal="left" vertical="center"/>
      <protection locked="0"/>
    </xf>
    <xf numFmtId="0" fontId="453" fillId="44" borderId="13" xfId="16" applyFont="1" applyFill="1" applyBorder="1" applyAlignment="1" applyProtection="1">
      <alignment horizontal="right" vertical="center" wrapText="1"/>
      <protection locked="0"/>
    </xf>
    <xf numFmtId="0" fontId="454" fillId="44" borderId="13" xfId="16" applyFont="1" applyFill="1" applyBorder="1" applyAlignment="1" applyProtection="1">
      <alignment horizontal="center" vertical="center"/>
      <protection locked="0"/>
    </xf>
    <xf numFmtId="0" fontId="454" fillId="44" borderId="13" xfId="16" applyFont="1" applyFill="1" applyBorder="1" applyAlignment="1" applyProtection="1">
      <alignment horizontal="left" vertical="center"/>
      <protection locked="0"/>
    </xf>
    <xf numFmtId="179" fontId="455" fillId="44" borderId="13" xfId="16" applyNumberFormat="1" applyFont="1" applyFill="1" applyBorder="1" applyAlignment="1" applyProtection="1">
      <alignment horizontal="center" vertical="center"/>
      <protection locked="0"/>
    </xf>
    <xf numFmtId="179" fontId="456" fillId="44" borderId="13" xfId="16" applyNumberFormat="1" applyFont="1" applyFill="1" applyBorder="1" applyAlignment="1" applyProtection="1">
      <alignment horizontal="center" vertical="center"/>
      <protection locked="0"/>
    </xf>
    <xf numFmtId="0" fontId="456" fillId="8" borderId="13" xfId="16" applyFont="1" applyFill="1" applyBorder="1" applyAlignment="1" applyProtection="1">
      <alignment horizontal="left" vertical="center"/>
      <protection locked="0"/>
    </xf>
    <xf numFmtId="220" fontId="447" fillId="8" borderId="13" xfId="16" applyNumberFormat="1" applyFont="1" applyFill="1" applyBorder="1" applyAlignment="1" applyProtection="1">
      <alignment horizontal="right" vertical="center"/>
      <protection locked="0"/>
    </xf>
    <xf numFmtId="222" fontId="447" fillId="8" borderId="13" xfId="27" applyNumberFormat="1" applyFont="1" applyFill="1" applyBorder="1" applyAlignment="1">
      <alignment horizontal="center" vertical="center"/>
    </xf>
    <xf numFmtId="1" fontId="6" fillId="8" borderId="13" xfId="16" applyNumberFormat="1" applyFont="1" applyFill="1" applyBorder="1" applyAlignment="1" applyProtection="1">
      <alignment horizontal="left" vertical="center"/>
      <protection locked="0"/>
    </xf>
    <xf numFmtId="221" fontId="447" fillId="8" borderId="13" xfId="27" applyNumberFormat="1" applyFont="1" applyFill="1" applyBorder="1" applyAlignment="1">
      <alignment horizontal="center" vertical="center"/>
    </xf>
    <xf numFmtId="1" fontId="6" fillId="8" borderId="21" xfId="16" applyNumberFormat="1" applyFont="1" applyFill="1" applyBorder="1" applyAlignment="1" applyProtection="1">
      <alignment horizontal="left" vertical="center"/>
      <protection locked="0"/>
    </xf>
    <xf numFmtId="220" fontId="447" fillId="163" borderId="0" xfId="16" applyNumberFormat="1" applyFont="1" applyFill="1" applyAlignment="1" applyProtection="1">
      <alignment horizontal="right" vertical="center"/>
      <protection locked="0"/>
    </xf>
    <xf numFmtId="221" fontId="447" fillId="163" borderId="0" xfId="27" applyNumberFormat="1" applyFont="1" applyFill="1" applyAlignment="1">
      <alignment horizontal="center" vertical="center"/>
    </xf>
    <xf numFmtId="1" fontId="6" fillId="163" borderId="0" xfId="16" applyNumberFormat="1" applyFont="1" applyFill="1" applyAlignment="1" applyProtection="1">
      <alignment horizontal="left" vertical="center"/>
      <protection locked="0"/>
    </xf>
    <xf numFmtId="0" fontId="87" fillId="8" borderId="13" xfId="7" applyFont="1" applyFill="1" applyBorder="1" applyAlignment="1">
      <alignment horizontal="center" vertical="center"/>
    </xf>
    <xf numFmtId="0" fontId="87" fillId="8" borderId="21" xfId="7" applyFont="1" applyFill="1" applyBorder="1" applyAlignment="1">
      <alignment horizontal="center" vertical="center"/>
    </xf>
    <xf numFmtId="0" fontId="454" fillId="44" borderId="0" xfId="16" applyFont="1" applyFill="1" applyAlignment="1" applyProtection="1">
      <alignment horizontal="center" vertical="center"/>
      <protection locked="0"/>
    </xf>
    <xf numFmtId="0" fontId="454" fillId="44" borderId="9" xfId="16" applyFont="1" applyFill="1" applyBorder="1" applyAlignment="1" applyProtection="1">
      <alignment horizontal="left" vertical="center"/>
      <protection locked="0"/>
    </xf>
    <xf numFmtId="0" fontId="281" fillId="161" borderId="6" xfId="16" applyFont="1" applyFill="1" applyBorder="1" applyAlignment="1">
      <alignment vertical="center"/>
    </xf>
    <xf numFmtId="0" fontId="281" fillId="161" borderId="0" xfId="16" applyFont="1" applyFill="1" applyAlignment="1">
      <alignment vertical="center"/>
    </xf>
    <xf numFmtId="0" fontId="281" fillId="161" borderId="9" xfId="16" applyFont="1" applyFill="1" applyBorder="1" applyAlignment="1">
      <alignment vertical="center"/>
    </xf>
    <xf numFmtId="0" fontId="454" fillId="44" borderId="3" xfId="16" applyFont="1" applyFill="1" applyBorder="1" applyAlignment="1" applyProtection="1">
      <alignment horizontal="center" vertical="center"/>
      <protection locked="0"/>
    </xf>
    <xf numFmtId="0" fontId="454" fillId="44" borderId="59" xfId="16" applyFont="1" applyFill="1" applyBorder="1" applyAlignment="1" applyProtection="1">
      <alignment horizontal="left" vertical="center"/>
      <protection locked="0"/>
    </xf>
    <xf numFmtId="214" fontId="32" fillId="165" borderId="6" xfId="29" applyNumberFormat="1" applyFont="1" applyFill="1" applyBorder="1" applyAlignment="1">
      <alignment horizontal="center" vertical="center"/>
    </xf>
    <xf numFmtId="0" fontId="405" fillId="8" borderId="0" xfId="34" applyFont="1" applyFill="1" applyAlignment="1">
      <alignment horizontal="center" vertical="center"/>
    </xf>
    <xf numFmtId="0" fontId="350" fillId="8" borderId="0" xfId="34" applyFont="1" applyFill="1" applyAlignment="1">
      <alignment horizontal="left" vertical="center"/>
    </xf>
    <xf numFmtId="0" fontId="457" fillId="8" borderId="0" xfId="29" applyFont="1" applyFill="1" applyAlignment="1">
      <alignment horizontal="right" vertical="center"/>
    </xf>
    <xf numFmtId="0" fontId="350" fillId="8" borderId="0" xfId="34" applyFont="1" applyFill="1" applyAlignment="1">
      <alignment horizontal="center" vertical="center"/>
    </xf>
    <xf numFmtId="0" fontId="405" fillId="8" borderId="0" xfId="34" applyFont="1" applyFill="1" applyAlignment="1">
      <alignment vertical="center"/>
    </xf>
    <xf numFmtId="0" fontId="405" fillId="8" borderId="0" xfId="34" applyFont="1" applyFill="1" applyAlignment="1">
      <alignment horizontal="center"/>
    </xf>
    <xf numFmtId="0" fontId="457" fillId="8" borderId="9" xfId="1" applyFont="1" applyFill="1" applyBorder="1"/>
    <xf numFmtId="0" fontId="458" fillId="8" borderId="6" xfId="1" applyFont="1" applyFill="1" applyBorder="1"/>
    <xf numFmtId="0" fontId="6" fillId="8" borderId="6" xfId="1" applyFill="1" applyBorder="1"/>
    <xf numFmtId="0" fontId="57" fillId="8" borderId="0" xfId="29" applyFont="1" applyFill="1" applyAlignment="1">
      <alignment vertical="center" wrapText="1"/>
    </xf>
    <xf numFmtId="0" fontId="69" fillId="8" borderId="0" xfId="29" applyFont="1" applyFill="1" applyAlignment="1">
      <alignment horizontal="right" vertical="center"/>
    </xf>
    <xf numFmtId="0" fontId="459" fillId="8" borderId="0" xfId="1" applyFont="1" applyFill="1" applyAlignment="1">
      <alignment vertical="center"/>
    </xf>
    <xf numFmtId="0" fontId="457" fillId="8" borderId="0" xfId="1" applyFont="1" applyFill="1"/>
    <xf numFmtId="0" fontId="78" fillId="8" borderId="0" xfId="27" applyFont="1" applyFill="1" applyAlignment="1">
      <alignment horizontal="center"/>
    </xf>
    <xf numFmtId="203" fontId="460" fillId="150" borderId="0" xfId="1" applyNumberFormat="1" applyFont="1" applyFill="1" applyAlignment="1">
      <alignment horizontal="center" vertical="center"/>
    </xf>
    <xf numFmtId="203" fontId="74" fillId="152" borderId="0" xfId="1" applyNumberFormat="1" applyFont="1" applyFill="1" applyAlignment="1">
      <alignment horizontal="center" vertical="center"/>
    </xf>
    <xf numFmtId="203" fontId="39" fillId="152" borderId="0" xfId="1" applyNumberFormat="1" applyFont="1" applyFill="1" applyAlignment="1">
      <alignment horizontal="center" vertical="center"/>
    </xf>
    <xf numFmtId="0" fontId="26" fillId="8" borderId="0" xfId="27" applyFont="1" applyFill="1" applyAlignment="1">
      <alignment horizontal="center"/>
    </xf>
    <xf numFmtId="203" fontId="26" fillId="150" borderId="0" xfId="1" applyNumberFormat="1" applyFont="1" applyFill="1" applyAlignment="1">
      <alignment horizontal="center" vertical="center"/>
    </xf>
    <xf numFmtId="0" fontId="36" fillId="8" borderId="0" xfId="27" applyFont="1" applyFill="1" applyAlignment="1">
      <alignment horizontal="right" vertical="center"/>
    </xf>
    <xf numFmtId="0" fontId="77" fillId="8" borderId="0" xfId="27" applyFont="1" applyFill="1" applyAlignment="1">
      <alignment horizontal="right" vertical="center"/>
    </xf>
    <xf numFmtId="203" fontId="461" fillId="150" borderId="0" xfId="1" applyNumberFormat="1" applyFont="1" applyFill="1" applyAlignment="1">
      <alignment horizontal="right" vertical="center"/>
    </xf>
    <xf numFmtId="203" fontId="461" fillId="150" borderId="0" xfId="1" applyNumberFormat="1" applyFont="1" applyFill="1" applyAlignment="1">
      <alignment horizontal="left" vertical="center"/>
    </xf>
    <xf numFmtId="0" fontId="72" fillId="8" borderId="0" xfId="27" applyFont="1" applyFill="1" applyAlignment="1">
      <alignment horizontal="center" vertical="center"/>
    </xf>
    <xf numFmtId="0" fontId="1" fillId="8" borderId="278" xfId="7" applyFill="1" applyBorder="1"/>
    <xf numFmtId="0" fontId="13" fillId="8" borderId="0" xfId="29" applyFont="1" applyFill="1" applyAlignment="1">
      <alignment horizontal="right" vertical="center"/>
    </xf>
    <xf numFmtId="203" fontId="329" fillId="152" borderId="0" xfId="1" applyNumberFormat="1" applyFont="1" applyFill="1" applyAlignment="1">
      <alignment horizontal="center" vertical="center"/>
    </xf>
    <xf numFmtId="0" fontId="13" fillId="8" borderId="278" xfId="27" applyFont="1" applyFill="1" applyBorder="1" applyAlignment="1">
      <alignment horizontal="right" vertical="center"/>
    </xf>
    <xf numFmtId="204" fontId="13" fillId="150" borderId="0" xfId="1" applyNumberFormat="1" applyFont="1" applyFill="1" applyAlignment="1">
      <alignment horizontal="center" vertical="center"/>
    </xf>
    <xf numFmtId="0" fontId="13" fillId="8" borderId="0" xfId="27" applyFont="1" applyFill="1" applyAlignment="1">
      <alignment horizontal="center" vertical="center"/>
    </xf>
    <xf numFmtId="203" fontId="13" fillId="150" borderId="279" xfId="1" applyNumberFormat="1" applyFont="1" applyFill="1" applyBorder="1" applyAlignment="1">
      <alignment horizontal="left" vertical="center"/>
    </xf>
    <xf numFmtId="0" fontId="57" fillId="8" borderId="0" xfId="1" applyFont="1" applyFill="1" applyAlignment="1">
      <alignment horizontal="right" vertical="center"/>
    </xf>
    <xf numFmtId="0" fontId="53" fillId="8" borderId="0" xfId="27" applyFont="1" applyFill="1" applyAlignment="1">
      <alignment horizontal="center"/>
    </xf>
    <xf numFmtId="0" fontId="4" fillId="8" borderId="0" xfId="27" applyFont="1" applyFill="1" applyAlignment="1">
      <alignment horizontal="center"/>
    </xf>
    <xf numFmtId="0" fontId="57" fillId="8" borderId="0" xfId="27" applyFont="1" applyFill="1" applyAlignment="1">
      <alignment horizontal="left" vertical="center"/>
    </xf>
    <xf numFmtId="203" fontId="13" fillId="150" borderId="0" xfId="1" applyNumberFormat="1" applyFont="1" applyFill="1" applyAlignment="1">
      <alignment horizontal="center" vertical="center"/>
    </xf>
    <xf numFmtId="203" fontId="13" fillId="150" borderId="0" xfId="1" applyNumberFormat="1" applyFont="1" applyFill="1" applyAlignment="1">
      <alignment horizontal="left" vertical="center"/>
    </xf>
    <xf numFmtId="0" fontId="71" fillId="8" borderId="58" xfId="27" applyFill="1" applyBorder="1" applyAlignment="1">
      <alignment vertical="center"/>
    </xf>
    <xf numFmtId="0" fontId="69" fillId="8" borderId="3" xfId="29" applyFont="1" applyFill="1" applyBorder="1" applyAlignment="1">
      <alignment horizontal="right" vertical="center"/>
    </xf>
    <xf numFmtId="203" fontId="13" fillId="150" borderId="3" xfId="1" applyNumberFormat="1" applyFont="1" applyFill="1" applyBorder="1" applyAlignment="1">
      <alignment horizontal="center" vertical="center"/>
    </xf>
    <xf numFmtId="203" fontId="13" fillId="150" borderId="3" xfId="1" applyNumberFormat="1" applyFont="1" applyFill="1" applyBorder="1" applyAlignment="1">
      <alignment horizontal="left" vertical="center"/>
    </xf>
    <xf numFmtId="0" fontId="457" fillId="8" borderId="59" xfId="1" applyFont="1" applyFill="1" applyBorder="1"/>
    <xf numFmtId="0" fontId="441" fillId="8" borderId="13" xfId="1" applyFont="1" applyFill="1" applyBorder="1" applyAlignment="1">
      <alignment horizontal="left" vertical="center"/>
    </xf>
    <xf numFmtId="0" fontId="6" fillId="8" borderId="13" xfId="27" applyFont="1" applyFill="1" applyBorder="1"/>
    <xf numFmtId="0" fontId="85" fillId="0" borderId="13" xfId="16" applyBorder="1"/>
    <xf numFmtId="0" fontId="441" fillId="8" borderId="13" xfId="27" applyFont="1" applyFill="1" applyBorder="1" applyAlignment="1">
      <alignment horizontal="right" vertical="center"/>
    </xf>
    <xf numFmtId="0" fontId="258" fillId="129" borderId="21" xfId="27" applyFont="1" applyFill="1" applyBorder="1" applyAlignment="1">
      <alignment horizontal="center" vertical="center"/>
    </xf>
    <xf numFmtId="0" fontId="6" fillId="8" borderId="6" xfId="27" applyFont="1" applyFill="1" applyBorder="1"/>
    <xf numFmtId="0" fontId="6" fillId="8" borderId="0" xfId="27" applyFont="1" applyFill="1"/>
    <xf numFmtId="0" fontId="85" fillId="8" borderId="9" xfId="16" applyFill="1" applyBorder="1"/>
    <xf numFmtId="0" fontId="85" fillId="8" borderId="6" xfId="16" applyFill="1" applyBorder="1"/>
    <xf numFmtId="0" fontId="444" fillId="8" borderId="0" xfId="16" applyFont="1" applyFill="1" applyAlignment="1" applyProtection="1">
      <alignment vertical="center"/>
      <protection locked="0"/>
    </xf>
    <xf numFmtId="0" fontId="444" fillId="8" borderId="0" xfId="16" applyFont="1" applyFill="1" applyAlignment="1" applyProtection="1">
      <alignment horizontal="right" vertical="center"/>
      <protection locked="0"/>
    </xf>
    <xf numFmtId="0" fontId="465" fillId="152" borderId="0" xfId="1" applyFont="1" applyFill="1" applyAlignment="1">
      <alignment horizontal="center" vertical="center"/>
    </xf>
    <xf numFmtId="203" fontId="111" fillId="152" borderId="0" xfId="1" applyNumberFormat="1" applyFont="1" applyFill="1" applyAlignment="1">
      <alignment vertical="center"/>
    </xf>
    <xf numFmtId="0" fontId="444" fillId="8" borderId="0" xfId="27" applyFont="1" applyFill="1" applyAlignment="1">
      <alignment vertical="center"/>
    </xf>
    <xf numFmtId="0" fontId="457" fillId="8" borderId="0" xfId="27" applyFont="1" applyFill="1"/>
    <xf numFmtId="0" fontId="457" fillId="8" borderId="0" xfId="27" applyFont="1" applyFill="1" applyAlignment="1">
      <alignment horizontal="right"/>
    </xf>
    <xf numFmtId="0" fontId="444" fillId="8" borderId="0" xfId="29" applyFont="1" applyFill="1" applyAlignment="1">
      <alignment vertical="center"/>
    </xf>
    <xf numFmtId="0" fontId="444" fillId="8" borderId="0" xfId="29" applyFont="1" applyFill="1" applyAlignment="1">
      <alignment horizontal="right" vertical="center"/>
    </xf>
    <xf numFmtId="0" fontId="444" fillId="8" borderId="0" xfId="27" applyFont="1" applyFill="1" applyAlignment="1">
      <alignment horizontal="center" vertical="center"/>
    </xf>
    <xf numFmtId="0" fontId="444" fillId="150" borderId="0" xfId="1" applyFont="1" applyFill="1" applyAlignment="1">
      <alignment horizontal="center" vertical="center"/>
    </xf>
    <xf numFmtId="0" fontId="85" fillId="8" borderId="9" xfId="16" applyFill="1" applyBorder="1" applyAlignment="1">
      <alignment horizontal="center"/>
    </xf>
    <xf numFmtId="0" fontId="457" fillId="8" borderId="6" xfId="27" applyFont="1" applyFill="1" applyBorder="1"/>
    <xf numFmtId="0" fontId="444" fillId="8" borderId="0" xfId="27" applyFont="1" applyFill="1" applyAlignment="1">
      <alignment horizontal="right" vertical="center"/>
    </xf>
    <xf numFmtId="0" fontId="444" fillId="150" borderId="0" xfId="1" applyFont="1" applyFill="1" applyAlignment="1">
      <alignment horizontal="left" vertical="center"/>
    </xf>
    <xf numFmtId="203" fontId="444" fillId="150" borderId="0" xfId="1" applyNumberFormat="1" applyFont="1" applyFill="1" applyAlignment="1">
      <alignment vertical="center"/>
    </xf>
    <xf numFmtId="203" fontId="444" fillId="8" borderId="0" xfId="27" applyNumberFormat="1" applyFont="1" applyFill="1" applyAlignment="1">
      <alignment horizontal="center" vertical="center"/>
    </xf>
    <xf numFmtId="169" fontId="18" fillId="4" borderId="6" xfId="29" applyNumberFormat="1" applyFont="1" applyFill="1" applyBorder="1" applyAlignment="1">
      <alignment vertical="center"/>
    </xf>
    <xf numFmtId="169" fontId="18" fillId="163" borderId="0" xfId="29" applyNumberFormat="1" applyFont="1" applyFill="1" applyAlignment="1">
      <alignment vertical="center"/>
    </xf>
    <xf numFmtId="169" fontId="18" fillId="163" borderId="9" xfId="29" applyNumberFormat="1" applyFont="1" applyFill="1" applyBorder="1" applyAlignment="1">
      <alignment vertical="center"/>
    </xf>
    <xf numFmtId="0" fontId="57" fillId="65" borderId="58" xfId="5" applyFont="1" applyFill="1" applyBorder="1" applyAlignment="1">
      <alignment vertical="center"/>
    </xf>
    <xf numFmtId="0" fontId="57" fillId="65" borderId="3" xfId="5" applyFont="1" applyFill="1" applyBorder="1" applyAlignment="1">
      <alignment vertical="center"/>
    </xf>
    <xf numFmtId="0" fontId="85" fillId="8" borderId="59" xfId="16" applyFill="1" applyBorder="1"/>
    <xf numFmtId="203" fontId="466" fillId="152" borderId="0" xfId="1" applyNumberFormat="1" applyFont="1" applyFill="1" applyAlignment="1">
      <alignment vertical="center"/>
    </xf>
    <xf numFmtId="203" fontId="467" fillId="152" borderId="0" xfId="1" applyNumberFormat="1" applyFont="1" applyFill="1" applyAlignment="1">
      <alignment vertical="center"/>
    </xf>
    <xf numFmtId="203" fontId="447" fillId="150" borderId="0" xfId="1" applyNumberFormat="1" applyFont="1" applyFill="1" applyAlignment="1">
      <alignment horizontal="center" vertical="center"/>
    </xf>
    <xf numFmtId="0" fontId="457" fillId="0" borderId="0" xfId="27" applyFont="1"/>
    <xf numFmtId="203" fontId="444" fillId="150" borderId="0" xfId="1" applyNumberFormat="1" applyFont="1" applyFill="1" applyAlignment="1">
      <alignment horizontal="left" vertical="center"/>
    </xf>
    <xf numFmtId="0" fontId="71" fillId="8" borderId="6" xfId="27" applyFill="1" applyBorder="1"/>
    <xf numFmtId="0" fontId="466" fillId="8" borderId="0" xfId="27" applyFont="1" applyFill="1" applyAlignment="1">
      <alignment horizontal="center" vertical="center"/>
    </xf>
    <xf numFmtId="0" fontId="466" fillId="8" borderId="13" xfId="27" applyFont="1" applyFill="1" applyBorder="1" applyAlignment="1">
      <alignment horizontal="center" vertical="center"/>
    </xf>
    <xf numFmtId="0" fontId="85" fillId="8" borderId="21" xfId="16" applyFill="1" applyBorder="1"/>
    <xf numFmtId="0" fontId="1" fillId="7" borderId="6" xfId="7" applyFill="1" applyBorder="1" applyAlignment="1">
      <alignment horizontal="center" vertical="center"/>
    </xf>
    <xf numFmtId="0" fontId="116" fillId="8" borderId="278" xfId="43" quotePrefix="1" applyFont="1" applyFill="1" applyBorder="1" applyAlignment="1">
      <alignment vertical="center"/>
    </xf>
    <xf numFmtId="0" fontId="375" fillId="8" borderId="0" xfId="43" quotePrefix="1" applyFont="1" applyFill="1" applyAlignment="1">
      <alignment horizontal="right" vertical="center"/>
    </xf>
    <xf numFmtId="1" fontId="375" fillId="8" borderId="0" xfId="43" applyNumberFormat="1" applyFont="1" applyFill="1" applyAlignment="1">
      <alignment horizontal="center" vertical="center"/>
    </xf>
    <xf numFmtId="0" fontId="107" fillId="0" borderId="9" xfId="27" applyFont="1" applyBorder="1"/>
    <xf numFmtId="169" fontId="57" fillId="8" borderId="0" xfId="27" applyNumberFormat="1" applyFont="1" applyFill="1" applyAlignment="1">
      <alignment horizontal="center" vertical="center"/>
    </xf>
    <xf numFmtId="0" fontId="13" fillId="8" borderId="9" xfId="19" applyFont="1" applyFill="1" applyBorder="1" applyAlignment="1">
      <alignment horizontal="center" vertical="center" wrapText="1"/>
    </xf>
    <xf numFmtId="169" fontId="13" fillId="43" borderId="21" xfId="27" applyNumberFormat="1" applyFont="1" applyFill="1" applyBorder="1" applyAlignment="1">
      <alignment horizontal="center" vertical="center"/>
    </xf>
    <xf numFmtId="1" fontId="57" fillId="8" borderId="13" xfId="43" applyNumberFormat="1" applyFont="1" applyFill="1" applyBorder="1" applyAlignment="1">
      <alignment horizontal="center" vertical="center"/>
    </xf>
    <xf numFmtId="169" fontId="57" fillId="8" borderId="13" xfId="27" applyNumberFormat="1" applyFont="1" applyFill="1" applyBorder="1" applyAlignment="1">
      <alignment horizontal="center" vertical="center"/>
    </xf>
    <xf numFmtId="1" fontId="13" fillId="8" borderId="48" xfId="43" applyNumberFormat="1" applyFont="1" applyFill="1" applyBorder="1" applyAlignment="1">
      <alignment horizontal="center" vertical="center"/>
    </xf>
    <xf numFmtId="0" fontId="57" fillId="8" borderId="48" xfId="43" applyFont="1" applyFill="1" applyBorder="1" applyAlignment="1">
      <alignment horizontal="center"/>
    </xf>
    <xf numFmtId="0" fontId="57" fillId="8" borderId="50" xfId="43" applyFont="1" applyFill="1" applyBorder="1" applyAlignment="1">
      <alignment horizontal="center"/>
    </xf>
    <xf numFmtId="0" fontId="71" fillId="8" borderId="148" xfId="27" applyFill="1" applyBorder="1"/>
    <xf numFmtId="0" fontId="13" fillId="8" borderId="21" xfId="27" applyFont="1" applyFill="1" applyBorder="1" applyAlignment="1">
      <alignment horizontal="center" vertical="center"/>
    </xf>
    <xf numFmtId="0" fontId="13" fillId="8" borderId="6" xfId="43" applyFont="1" applyFill="1" applyBorder="1" applyAlignment="1">
      <alignment horizontal="right" vertical="center" wrapText="1"/>
    </xf>
    <xf numFmtId="0" fontId="116" fillId="8" borderId="283" xfId="43" quotePrefix="1" applyFont="1" applyFill="1" applyBorder="1" applyAlignment="1">
      <alignment vertical="center"/>
    </xf>
    <xf numFmtId="0" fontId="107" fillId="0" borderId="284" xfId="27" applyFont="1" applyBorder="1"/>
    <xf numFmtId="0" fontId="72" fillId="8" borderId="21" xfId="27" applyFont="1" applyFill="1" applyBorder="1" applyAlignment="1">
      <alignment horizontal="center"/>
    </xf>
    <xf numFmtId="0" fontId="72" fillId="8" borderId="102" xfId="27" applyFont="1" applyFill="1" applyBorder="1" applyAlignment="1">
      <alignment horizontal="center"/>
    </xf>
    <xf numFmtId="0" fontId="72" fillId="8" borderId="285" xfId="27" applyFont="1" applyFill="1" applyBorder="1" applyAlignment="1">
      <alignment horizontal="center" vertical="center"/>
    </xf>
    <xf numFmtId="0" fontId="116" fillId="8" borderId="268" xfId="43" quotePrefix="1" applyFont="1" applyFill="1" applyBorder="1" applyAlignment="1">
      <alignment vertical="center"/>
    </xf>
    <xf numFmtId="0" fontId="375" fillId="8" borderId="268" xfId="43" quotePrefix="1" applyFont="1" applyFill="1" applyBorder="1" applyAlignment="1">
      <alignment horizontal="right" vertical="center"/>
    </xf>
    <xf numFmtId="1" fontId="375" fillId="8" borderId="268" xfId="43" applyNumberFormat="1" applyFont="1" applyFill="1" applyBorder="1" applyAlignment="1">
      <alignment horizontal="center" vertical="center"/>
    </xf>
    <xf numFmtId="0" fontId="107" fillId="0" borderId="277" xfId="27" applyFont="1" applyBorder="1"/>
    <xf numFmtId="0" fontId="57" fillId="8" borderId="0" xfId="43" applyFont="1" applyFill="1" applyAlignment="1">
      <alignment horizontal="center"/>
    </xf>
    <xf numFmtId="0" fontId="57" fillId="8" borderId="279" xfId="43" applyFont="1" applyFill="1" applyBorder="1" applyAlignment="1">
      <alignment horizontal="center"/>
    </xf>
    <xf numFmtId="0" fontId="57" fillId="8" borderId="9" xfId="43" applyFont="1" applyFill="1" applyBorder="1" applyAlignment="1">
      <alignment horizontal="center"/>
    </xf>
    <xf numFmtId="0" fontId="57" fillId="8" borderId="0" xfId="27" applyFont="1" applyFill="1" applyAlignment="1">
      <alignment horizontal="center" vertical="center"/>
    </xf>
    <xf numFmtId="0" fontId="13" fillId="8" borderId="9" xfId="19" applyFont="1" applyFill="1" applyBorder="1" applyAlignment="1">
      <alignment horizontal="center" vertical="center"/>
    </xf>
    <xf numFmtId="0" fontId="422" fillId="20" borderId="236" xfId="19" applyFont="1" applyFill="1" applyBorder="1" applyAlignment="1">
      <alignment horizontal="center" vertical="center" wrapText="1"/>
    </xf>
    <xf numFmtId="167" fontId="36" fillId="20" borderId="236" xfId="43" applyNumberFormat="1" applyFont="1" applyFill="1" applyBorder="1" applyAlignment="1" applyProtection="1">
      <alignment horizontal="center" vertical="center"/>
      <protection locked="0"/>
    </xf>
    <xf numFmtId="0" fontId="13" fillId="43" borderId="13" xfId="27" applyFont="1" applyFill="1" applyBorder="1" applyAlignment="1">
      <alignment horizontal="center" vertical="center"/>
    </xf>
    <xf numFmtId="1" fontId="57" fillId="8" borderId="288" xfId="43" applyNumberFormat="1" applyFont="1" applyFill="1" applyBorder="1" applyAlignment="1">
      <alignment horizontal="center" vertical="center"/>
    </xf>
    <xf numFmtId="0" fontId="57" fillId="8" borderId="288" xfId="27" applyFont="1" applyFill="1" applyBorder="1" applyAlignment="1">
      <alignment horizontal="center" vertical="center"/>
    </xf>
    <xf numFmtId="0" fontId="13" fillId="8" borderId="288" xfId="43" applyFont="1" applyFill="1" applyBorder="1" applyAlignment="1">
      <alignment horizontal="right" vertical="center" wrapText="1"/>
    </xf>
    <xf numFmtId="0" fontId="13" fillId="8" borderId="290" xfId="19" applyFont="1" applyFill="1" applyBorder="1" applyAlignment="1">
      <alignment horizontal="center" vertical="center"/>
    </xf>
    <xf numFmtId="0" fontId="13" fillId="43" borderId="21" xfId="27" applyFont="1" applyFill="1" applyBorder="1" applyAlignment="1">
      <alignment horizontal="center" vertical="center"/>
    </xf>
    <xf numFmtId="0" fontId="36" fillId="8" borderId="278" xfId="27" applyFont="1" applyFill="1" applyBorder="1" applyAlignment="1">
      <alignment horizontal="center"/>
    </xf>
    <xf numFmtId="0" fontId="77" fillId="8" borderId="0" xfId="27" applyFont="1" applyFill="1"/>
    <xf numFmtId="0" fontId="71" fillId="8" borderId="279" xfId="27" applyFill="1" applyBorder="1"/>
    <xf numFmtId="0" fontId="57" fillId="8" borderId="0" xfId="43" applyFont="1" applyFill="1" applyAlignment="1">
      <alignment vertical="center"/>
    </xf>
    <xf numFmtId="0" fontId="57" fillId="8" borderId="0" xfId="27" applyFont="1" applyFill="1"/>
    <xf numFmtId="0" fontId="57" fillId="8" borderId="9" xfId="27" applyFont="1" applyFill="1" applyBorder="1"/>
    <xf numFmtId="0" fontId="77" fillId="8" borderId="58" xfId="19" applyFont="1" applyFill="1" applyBorder="1" applyAlignment="1">
      <alignment vertical="center"/>
    </xf>
    <xf numFmtId="0" fontId="469" fillId="0" borderId="148" xfId="27" applyFont="1" applyBorder="1"/>
    <xf numFmtId="0" fontId="71" fillId="0" borderId="3" xfId="27" applyBorder="1"/>
    <xf numFmtId="0" fontId="71" fillId="0" borderId="258" xfId="27" applyBorder="1"/>
    <xf numFmtId="0" fontId="57" fillId="8" borderId="3" xfId="27" applyFont="1" applyFill="1" applyBorder="1"/>
    <xf numFmtId="0" fontId="57" fillId="8" borderId="59" xfId="27" applyFont="1" applyFill="1" applyBorder="1"/>
    <xf numFmtId="0" fontId="57" fillId="8" borderId="13" xfId="27" applyFont="1" applyFill="1" applyBorder="1" applyAlignment="1">
      <alignment horizontal="center" vertical="center"/>
    </xf>
    <xf numFmtId="0" fontId="72" fillId="8" borderId="6" xfId="27" applyFont="1" applyFill="1" applyBorder="1" applyAlignment="1">
      <alignment horizontal="center"/>
    </xf>
    <xf numFmtId="0" fontId="469" fillId="8" borderId="6" xfId="43" applyFont="1" applyFill="1" applyBorder="1" applyAlignment="1">
      <alignment vertical="center"/>
    </xf>
    <xf numFmtId="0" fontId="28" fillId="16" borderId="0" xfId="16" applyFont="1" applyFill="1" applyAlignment="1">
      <alignment horizontal="left" vertical="center"/>
    </xf>
    <xf numFmtId="0" fontId="28" fillId="16" borderId="0" xfId="16" applyFont="1" applyFill="1" applyAlignment="1">
      <alignment horizontal="centerContinuous" vertical="center"/>
    </xf>
    <xf numFmtId="0" fontId="251" fillId="16" borderId="9" xfId="16" applyFont="1" applyFill="1" applyBorder="1" applyAlignment="1">
      <alignment horizontal="right" vertical="center"/>
    </xf>
    <xf numFmtId="0" fontId="470" fillId="166" borderId="0" xfId="16" applyFont="1" applyFill="1" applyAlignment="1">
      <alignment horizontal="left" vertical="center"/>
    </xf>
    <xf numFmtId="0" fontId="471" fillId="166" borderId="0" xfId="16" applyFont="1" applyFill="1" applyAlignment="1">
      <alignment horizontal="centerContinuous" vertical="center"/>
    </xf>
    <xf numFmtId="0" fontId="251" fillId="166" borderId="9" xfId="16" applyFont="1" applyFill="1" applyBorder="1" applyAlignment="1">
      <alignment horizontal="right" vertical="center"/>
    </xf>
    <xf numFmtId="0" fontId="28" fillId="166" borderId="9" xfId="16" applyFont="1" applyFill="1" applyBorder="1" applyAlignment="1">
      <alignment horizontal="right" vertical="center"/>
    </xf>
    <xf numFmtId="0" fontId="24" fillId="0" borderId="0" xfId="16" applyFont="1" applyAlignment="1" applyProtection="1">
      <alignment horizontal="center" vertical="center" wrapText="1"/>
      <protection locked="0"/>
    </xf>
    <xf numFmtId="0" fontId="10" fillId="0" borderId="0" xfId="16" applyFont="1" applyAlignment="1" applyProtection="1">
      <alignment horizontal="center" vertical="center" wrapText="1"/>
      <protection locked="0"/>
    </xf>
    <xf numFmtId="0" fontId="16" fillId="0" borderId="0" xfId="16" applyFont="1" applyAlignment="1" applyProtection="1">
      <alignment horizontal="center" vertical="center" wrapText="1"/>
      <protection locked="0"/>
    </xf>
    <xf numFmtId="0" fontId="160" fillId="162" borderId="13" xfId="16" applyFont="1" applyFill="1" applyBorder="1" applyAlignment="1" applyProtection="1">
      <alignment horizontal="center" vertical="center"/>
      <protection locked="0"/>
    </xf>
    <xf numFmtId="0" fontId="74" fillId="162" borderId="13" xfId="16" applyFont="1" applyFill="1" applyBorder="1" applyAlignment="1" applyProtection="1">
      <alignment horizontal="center" vertical="center"/>
      <protection locked="0"/>
    </xf>
    <xf numFmtId="1" fontId="473" fillId="162" borderId="13" xfId="16" applyNumberFormat="1" applyFont="1" applyFill="1" applyBorder="1" applyAlignment="1" applyProtection="1">
      <alignment horizontal="center" vertical="center"/>
      <protection locked="0"/>
    </xf>
    <xf numFmtId="0" fontId="1" fillId="20" borderId="21" xfId="27" applyFont="1" applyFill="1" applyBorder="1"/>
    <xf numFmtId="0" fontId="13" fillId="8" borderId="135" xfId="16" applyFont="1" applyFill="1" applyBorder="1" applyAlignment="1" applyProtection="1">
      <alignment horizontal="center" vertical="center" wrapText="1"/>
      <protection locked="0"/>
    </xf>
    <xf numFmtId="167" fontId="26" fillId="8" borderId="291" xfId="16" applyNumberFormat="1" applyFont="1" applyFill="1" applyBorder="1" applyAlignment="1" applyProtection="1">
      <alignment horizontal="center" vertical="center"/>
      <protection locked="0"/>
    </xf>
    <xf numFmtId="0" fontId="26" fillId="8" borderId="39" xfId="16" applyFont="1" applyFill="1" applyBorder="1" applyAlignment="1" applyProtection="1">
      <alignment horizontal="right" vertical="center"/>
      <protection locked="0"/>
    </xf>
    <xf numFmtId="220" fontId="26" fillId="8" borderId="236" xfId="16" applyNumberFormat="1" applyFont="1" applyFill="1" applyBorder="1" applyAlignment="1" applyProtection="1">
      <alignment horizontal="center" vertical="center"/>
      <protection locked="0"/>
    </xf>
    <xf numFmtId="0" fontId="87" fillId="8" borderId="9" xfId="7" applyFont="1" applyFill="1" applyBorder="1" applyAlignment="1">
      <alignment horizontal="center" vertical="center"/>
    </xf>
    <xf numFmtId="0" fontId="474" fillId="16" borderId="48" xfId="16" applyFont="1" applyFill="1" applyBorder="1" applyAlignment="1">
      <alignment vertical="center"/>
    </xf>
    <xf numFmtId="0" fontId="28" fillId="16" borderId="48" xfId="16" applyFont="1" applyFill="1" applyBorder="1" applyAlignment="1">
      <alignment vertical="center"/>
    </xf>
    <xf numFmtId="0" fontId="28" fillId="16" borderId="50" xfId="16" applyFont="1" applyFill="1" applyBorder="1" applyAlignment="1">
      <alignment vertical="center"/>
    </xf>
    <xf numFmtId="2" fontId="20" fillId="8" borderId="0" xfId="16" applyNumberFormat="1" applyFont="1" applyFill="1" applyAlignment="1" applyProtection="1">
      <alignment horizontal="right" vertical="center"/>
      <protection locked="0"/>
    </xf>
    <xf numFmtId="220" fontId="20" fillId="8" borderId="0" xfId="16" applyNumberFormat="1" applyFont="1" applyFill="1" applyAlignment="1" applyProtection="1">
      <alignment horizontal="center" vertical="center"/>
      <protection locked="0"/>
    </xf>
    <xf numFmtId="221" fontId="20" fillId="8" borderId="0" xfId="7" applyNumberFormat="1" applyFont="1" applyFill="1" applyAlignment="1">
      <alignment horizontal="center" vertical="center"/>
    </xf>
    <xf numFmtId="1" fontId="20" fillId="8" borderId="0" xfId="16" applyNumberFormat="1" applyFont="1" applyFill="1" applyAlignment="1" applyProtection="1">
      <alignment horizontal="left" vertical="center"/>
      <protection locked="0"/>
    </xf>
    <xf numFmtId="220" fontId="20" fillId="8" borderId="0" xfId="16" applyNumberFormat="1" applyFont="1" applyFill="1" applyAlignment="1" applyProtection="1">
      <alignment horizontal="right" vertical="center"/>
      <protection locked="0"/>
    </xf>
    <xf numFmtId="1" fontId="20" fillId="8" borderId="9" xfId="16" applyNumberFormat="1" applyFont="1" applyFill="1" applyBorder="1" applyAlignment="1" applyProtection="1">
      <alignment horizontal="left" vertical="center"/>
      <protection locked="0"/>
    </xf>
    <xf numFmtId="0" fontId="28" fillId="43" borderId="6" xfId="16" applyFont="1" applyFill="1" applyBorder="1" applyAlignment="1">
      <alignment horizontal="left" vertical="center"/>
    </xf>
    <xf numFmtId="167" fontId="78" fillId="43" borderId="0" xfId="16" applyNumberFormat="1" applyFont="1" applyFill="1" applyAlignment="1" applyProtection="1">
      <alignment horizontal="right" vertical="center"/>
      <protection locked="0"/>
    </xf>
    <xf numFmtId="0" fontId="174" fillId="43" borderId="0" xfId="16" applyFont="1" applyFill="1"/>
    <xf numFmtId="0" fontId="471" fillId="43" borderId="0" xfId="16" applyFont="1" applyFill="1" applyAlignment="1">
      <alignment horizontal="center" vertical="center"/>
    </xf>
    <xf numFmtId="0" fontId="470" fillId="43" borderId="0" xfId="16" applyFont="1" applyFill="1" applyAlignment="1">
      <alignment horizontal="center" vertical="center"/>
    </xf>
    <xf numFmtId="0" fontId="470" fillId="43" borderId="9" xfId="16" applyFont="1" applyFill="1" applyBorder="1" applyAlignment="1">
      <alignment horizontal="center" vertical="center"/>
    </xf>
    <xf numFmtId="0" fontId="460" fillId="8" borderId="6" xfId="1" applyFont="1" applyFill="1" applyBorder="1" applyAlignment="1" applyProtection="1">
      <alignment horizontal="center"/>
      <protection hidden="1"/>
    </xf>
    <xf numFmtId="221" fontId="20" fillId="8" borderId="0" xfId="7" applyNumberFormat="1" applyFont="1" applyFill="1" applyAlignment="1">
      <alignment horizontal="right" vertical="center"/>
    </xf>
    <xf numFmtId="180" fontId="111" fillId="43" borderId="0" xfId="42" applyNumberFormat="1" applyFont="1" applyFill="1" applyAlignment="1" applyProtection="1">
      <alignment horizontal="center" vertical="center"/>
      <protection locked="0"/>
    </xf>
    <xf numFmtId="0" fontId="26" fillId="43" borderId="6" xfId="16" applyFont="1" applyFill="1" applyBorder="1" applyAlignment="1">
      <alignment horizontal="left" vertical="center"/>
    </xf>
    <xf numFmtId="179" fontId="160" fillId="162" borderId="0" xfId="16" applyNumberFormat="1" applyFont="1" applyFill="1" applyAlignment="1" applyProtection="1">
      <alignment vertical="center"/>
      <protection locked="0"/>
    </xf>
    <xf numFmtId="0" fontId="160" fillId="162" borderId="0" xfId="16" applyFont="1" applyFill="1" applyAlignment="1" applyProtection="1">
      <alignment vertical="center"/>
      <protection locked="0"/>
    </xf>
    <xf numFmtId="0" fontId="184" fillId="66" borderId="0" xfId="5" applyFont="1" applyFill="1" applyAlignment="1">
      <alignment horizontal="center" vertical="center"/>
    </xf>
    <xf numFmtId="180" fontId="111" fillId="43" borderId="0" xfId="42" applyNumberFormat="1" applyFont="1" applyFill="1" applyAlignment="1" applyProtection="1">
      <alignment horizontal="center"/>
      <protection locked="0"/>
    </xf>
    <xf numFmtId="0" fontId="372" fillId="60" borderId="6" xfId="16" applyFont="1" applyFill="1" applyBorder="1" applyAlignment="1" applyProtection="1">
      <alignment vertical="center"/>
      <protection locked="0"/>
    </xf>
    <xf numFmtId="0" fontId="184" fillId="60" borderId="0" xfId="16" applyFont="1" applyFill="1" applyAlignment="1" applyProtection="1">
      <alignment vertical="center"/>
      <protection locked="0"/>
    </xf>
    <xf numFmtId="169" fontId="184" fillId="45" borderId="0" xfId="16" applyNumberFormat="1" applyFont="1" applyFill="1" applyAlignment="1" applyProtection="1">
      <alignment vertical="center"/>
      <protection locked="0"/>
    </xf>
    <xf numFmtId="167" fontId="26" fillId="60" borderId="0" xfId="16" applyNumberFormat="1" applyFont="1" applyFill="1" applyAlignment="1" applyProtection="1">
      <alignment vertical="center"/>
      <protection locked="0"/>
    </xf>
    <xf numFmtId="0" fontId="26" fillId="43" borderId="0" xfId="16" applyFont="1" applyFill="1" applyAlignment="1" applyProtection="1">
      <alignment vertical="center"/>
      <protection locked="0"/>
    </xf>
    <xf numFmtId="220" fontId="26" fillId="43" borderId="0" xfId="16" applyNumberFormat="1" applyFont="1" applyFill="1" applyAlignment="1" applyProtection="1">
      <alignment vertical="center"/>
      <protection locked="0"/>
    </xf>
    <xf numFmtId="223" fontId="26" fillId="43" borderId="0" xfId="7" applyNumberFormat="1" applyFont="1" applyFill="1" applyAlignment="1">
      <alignment vertical="center"/>
    </xf>
    <xf numFmtId="1" fontId="69" fillId="43" borderId="0" xfId="16" applyNumberFormat="1" applyFont="1" applyFill="1" applyAlignment="1" applyProtection="1">
      <alignment vertical="center"/>
      <protection locked="0"/>
    </xf>
    <xf numFmtId="1" fontId="69" fillId="43" borderId="9" xfId="16" applyNumberFormat="1" applyFont="1" applyFill="1" applyBorder="1" applyAlignment="1" applyProtection="1">
      <alignment vertical="center"/>
      <protection locked="0"/>
    </xf>
    <xf numFmtId="1" fontId="184" fillId="20" borderId="291" xfId="7" applyNumberFormat="1" applyFont="1" applyFill="1" applyBorder="1" applyAlignment="1">
      <alignment horizontal="center" vertical="center"/>
    </xf>
    <xf numFmtId="171" fontId="160" fillId="66" borderId="236" xfId="7" applyNumberFormat="1" applyFont="1" applyFill="1" applyBorder="1" applyAlignment="1">
      <alignment horizontal="center" vertical="center"/>
    </xf>
    <xf numFmtId="175" fontId="473" fillId="66" borderId="236" xfId="7" applyNumberFormat="1" applyFont="1" applyFill="1" applyBorder="1" applyAlignment="1" applyProtection="1">
      <alignment horizontal="center" vertical="center"/>
      <protection locked="0"/>
    </xf>
    <xf numFmtId="179" fontId="69" fillId="65" borderId="39" xfId="7" applyNumberFormat="1" applyFont="1" applyFill="1" applyBorder="1" applyAlignment="1">
      <alignment vertical="center"/>
    </xf>
    <xf numFmtId="167" fontId="69" fillId="0" borderId="236" xfId="16" applyNumberFormat="1" applyFont="1" applyBorder="1" applyAlignment="1" applyProtection="1">
      <alignment horizontal="center" vertical="center"/>
      <protection locked="0"/>
    </xf>
    <xf numFmtId="179" fontId="26" fillId="0" borderId="39" xfId="7" applyNumberFormat="1" applyFont="1" applyBorder="1" applyAlignment="1">
      <alignment vertical="center"/>
    </xf>
    <xf numFmtId="179" fontId="69" fillId="0" borderId="39" xfId="7" applyNumberFormat="1" applyFont="1" applyBorder="1" applyAlignment="1">
      <alignment horizontal="center" vertical="center"/>
    </xf>
    <xf numFmtId="0" fontId="439" fillId="62" borderId="0" xfId="42" applyFont="1" applyFill="1" applyAlignment="1">
      <alignment vertical="center"/>
    </xf>
    <xf numFmtId="0" fontId="439" fillId="62" borderId="9" xfId="42" applyFont="1" applyFill="1" applyBorder="1" applyAlignment="1">
      <alignment vertical="center"/>
    </xf>
    <xf numFmtId="0" fontId="76" fillId="8" borderId="6" xfId="42" applyFont="1" applyFill="1" applyBorder="1" applyAlignment="1">
      <alignment horizontal="center" vertical="center" wrapText="1"/>
    </xf>
    <xf numFmtId="0" fontId="76" fillId="8" borderId="0" xfId="42" applyFont="1" applyFill="1" applyAlignment="1">
      <alignment vertical="center" wrapText="1"/>
    </xf>
    <xf numFmtId="0" fontId="76" fillId="8" borderId="0" xfId="16" applyFont="1" applyFill="1" applyAlignment="1">
      <alignment horizontal="center" vertical="center" wrapText="1"/>
    </xf>
    <xf numFmtId="0" fontId="76" fillId="8" borderId="0" xfId="16" applyFont="1" applyFill="1" applyAlignment="1">
      <alignment vertical="center" wrapText="1"/>
    </xf>
    <xf numFmtId="0" fontId="439" fillId="8" borderId="0" xfId="42" applyFont="1" applyFill="1" applyAlignment="1">
      <alignment vertical="center"/>
    </xf>
    <xf numFmtId="0" fontId="439" fillId="8" borderId="9" xfId="42" applyFont="1" applyFill="1" applyBorder="1" applyAlignment="1">
      <alignment vertical="center"/>
    </xf>
    <xf numFmtId="0" fontId="439" fillId="8" borderId="0" xfId="42" applyFont="1" applyFill="1" applyAlignment="1">
      <alignment horizontal="center" vertical="center"/>
    </xf>
    <xf numFmtId="0" fontId="439" fillId="8" borderId="9" xfId="42" applyFont="1" applyFill="1" applyBorder="1" applyAlignment="1">
      <alignment horizontal="center" vertical="center"/>
    </xf>
    <xf numFmtId="224" fontId="450" fillId="19" borderId="6" xfId="16" applyNumberFormat="1" applyFont="1" applyFill="1" applyBorder="1" applyAlignment="1">
      <alignment horizontal="center" vertical="center"/>
    </xf>
    <xf numFmtId="225" fontId="476" fillId="20" borderId="0" xfId="16" applyNumberFormat="1" applyFont="1" applyFill="1" applyAlignment="1">
      <alignment horizontal="center" vertical="center"/>
    </xf>
    <xf numFmtId="2" fontId="447" fillId="8" borderId="0" xfId="16" applyNumberFormat="1" applyFont="1" applyFill="1" applyAlignment="1">
      <alignment horizontal="center" vertical="center"/>
    </xf>
    <xf numFmtId="0" fontId="477" fillId="8" borderId="0" xfId="16" applyFont="1" applyFill="1" applyAlignment="1">
      <alignment vertical="center"/>
    </xf>
    <xf numFmtId="0" fontId="478" fillId="8" borderId="0" xfId="16" applyFont="1" applyFill="1" applyAlignment="1">
      <alignment vertical="center"/>
    </xf>
    <xf numFmtId="0" fontId="478" fillId="8" borderId="9" xfId="16" applyFont="1" applyFill="1" applyBorder="1" applyAlignment="1">
      <alignment vertical="center"/>
    </xf>
    <xf numFmtId="169" fontId="479" fillId="8" borderId="6" xfId="16" applyNumberFormat="1" applyFont="1" applyFill="1" applyBorder="1" applyAlignment="1">
      <alignment vertical="center"/>
    </xf>
    <xf numFmtId="169" fontId="479" fillId="8" borderId="0" xfId="16" applyNumberFormat="1" applyFont="1" applyFill="1" applyAlignment="1">
      <alignment vertical="center"/>
    </xf>
    <xf numFmtId="167" fontId="434" fillId="8" borderId="9" xfId="16" applyNumberFormat="1" applyFont="1" applyFill="1" applyBorder="1" applyAlignment="1">
      <alignment horizontal="center" vertical="center"/>
    </xf>
    <xf numFmtId="224" fontId="450" fillId="19" borderId="6" xfId="16" applyNumberFormat="1" applyFont="1" applyFill="1" applyBorder="1" applyAlignment="1">
      <alignment vertical="center"/>
    </xf>
    <xf numFmtId="225" fontId="476" fillId="20" borderId="0" xfId="16" applyNumberFormat="1" applyFont="1" applyFill="1" applyAlignment="1">
      <alignment vertical="center"/>
    </xf>
    <xf numFmtId="2" fontId="447" fillId="8" borderId="0" xfId="16" applyNumberFormat="1" applyFont="1" applyFill="1" applyAlignment="1">
      <alignment vertical="center"/>
    </xf>
    <xf numFmtId="224" fontId="447" fillId="37" borderId="6" xfId="16" applyNumberFormat="1" applyFont="1" applyFill="1" applyBorder="1" applyAlignment="1">
      <alignment vertical="center"/>
    </xf>
    <xf numFmtId="224" fontId="447" fillId="37" borderId="0" xfId="16" applyNumberFormat="1" applyFont="1" applyFill="1" applyAlignment="1">
      <alignment vertical="center"/>
    </xf>
    <xf numFmtId="224" fontId="447" fillId="37" borderId="9" xfId="16" applyNumberFormat="1" applyFont="1" applyFill="1" applyBorder="1" applyAlignment="1">
      <alignment vertical="center"/>
    </xf>
    <xf numFmtId="0" fontId="480" fillId="8" borderId="6" xfId="42" applyFont="1" applyFill="1" applyBorder="1"/>
    <xf numFmtId="0" fontId="6" fillId="0" borderId="0" xfId="1" applyProtection="1">
      <protection hidden="1"/>
    </xf>
    <xf numFmtId="0" fontId="480" fillId="8" borderId="0" xfId="42" applyFont="1" applyFill="1"/>
    <xf numFmtId="224" fontId="481" fillId="8" borderId="6" xfId="16" applyNumberFormat="1" applyFont="1" applyFill="1" applyBorder="1" applyAlignment="1">
      <alignment vertical="center"/>
    </xf>
    <xf numFmtId="225" fontId="481" fillId="8" borderId="0" xfId="16" applyNumberFormat="1" applyFont="1" applyFill="1" applyAlignment="1">
      <alignment vertical="center"/>
    </xf>
    <xf numFmtId="0" fontId="477" fillId="8" borderId="0" xfId="16" applyFont="1" applyFill="1" applyAlignment="1">
      <alignment horizontal="left" vertical="center"/>
    </xf>
    <xf numFmtId="0" fontId="482" fillId="8" borderId="0" xfId="7" applyFont="1" applyFill="1"/>
    <xf numFmtId="0" fontId="6" fillId="8" borderId="0" xfId="7" applyFont="1" applyFill="1"/>
    <xf numFmtId="0" fontId="6" fillId="8" borderId="9" xfId="7" applyFont="1" applyFill="1" applyBorder="1"/>
    <xf numFmtId="0" fontId="68" fillId="8" borderId="6" xfId="1" applyFont="1" applyFill="1" applyBorder="1" applyAlignment="1">
      <alignment horizontal="left" vertical="center"/>
    </xf>
    <xf numFmtId="0" fontId="68" fillId="8" borderId="0" xfId="1" applyFont="1" applyFill="1" applyProtection="1">
      <protection hidden="1"/>
    </xf>
    <xf numFmtId="0" fontId="68" fillId="8" borderId="6" xfId="42" applyFont="1" applyFill="1" applyBorder="1" applyAlignment="1">
      <alignment horizontal="left"/>
    </xf>
    <xf numFmtId="0" fontId="365" fillId="153" borderId="6" xfId="42" applyFont="1" applyFill="1" applyBorder="1" applyAlignment="1">
      <alignment vertical="center"/>
    </xf>
    <xf numFmtId="0" fontId="365" fillId="153" borderId="0" xfId="42" applyFont="1" applyFill="1" applyAlignment="1">
      <alignment vertical="center"/>
    </xf>
    <xf numFmtId="0" fontId="365" fillId="153" borderId="9" xfId="42" applyFont="1" applyFill="1" applyBorder="1" applyAlignment="1">
      <alignment vertical="center"/>
    </xf>
    <xf numFmtId="0" fontId="76" fillId="8" borderId="0" xfId="42" applyFont="1" applyFill="1" applyAlignment="1">
      <alignment horizontal="center" vertical="center" wrapText="1"/>
    </xf>
    <xf numFmtId="0" fontId="434" fillId="8" borderId="9" xfId="16" applyFont="1" applyFill="1" applyBorder="1" applyAlignment="1">
      <alignment horizontal="center" wrapText="1"/>
    </xf>
    <xf numFmtId="169" fontId="483" fillId="8" borderId="6" xfId="16" applyNumberFormat="1" applyFont="1" applyFill="1" applyBorder="1" applyAlignment="1">
      <alignment vertical="center"/>
    </xf>
    <xf numFmtId="169" fontId="483" fillId="8" borderId="0" xfId="16" applyNumberFormat="1" applyFont="1" applyFill="1" applyAlignment="1">
      <alignment vertical="center"/>
    </xf>
    <xf numFmtId="0" fontId="483" fillId="8" borderId="0" xfId="16" applyFont="1" applyFill="1" applyAlignment="1">
      <alignment horizontal="center" vertical="center"/>
    </xf>
    <xf numFmtId="0" fontId="479" fillId="8" borderId="0" xfId="16" applyFont="1" applyFill="1" applyAlignment="1">
      <alignment vertical="center"/>
    </xf>
    <xf numFmtId="179" fontId="434" fillId="8" borderId="9" xfId="16" applyNumberFormat="1" applyFont="1" applyFill="1" applyBorder="1" applyAlignment="1">
      <alignment horizontal="center" vertical="center"/>
    </xf>
    <xf numFmtId="169" fontId="479" fillId="8" borderId="6" xfId="16" applyNumberFormat="1" applyFont="1" applyFill="1" applyBorder="1" applyAlignment="1">
      <alignment horizontal="center" vertical="center"/>
    </xf>
    <xf numFmtId="169" fontId="479" fillId="8" borderId="0" xfId="16" applyNumberFormat="1" applyFont="1" applyFill="1" applyAlignment="1">
      <alignment horizontal="center" vertical="center"/>
    </xf>
    <xf numFmtId="0" fontId="479" fillId="8" borderId="0" xfId="16" applyFont="1" applyFill="1" applyAlignment="1">
      <alignment horizontal="center" vertical="center"/>
    </xf>
    <xf numFmtId="0" fontId="434" fillId="8" borderId="9" xfId="16" applyFont="1" applyFill="1" applyBorder="1" applyAlignment="1">
      <alignment horizontal="right" vertical="center"/>
    </xf>
    <xf numFmtId="0" fontId="139" fillId="8" borderId="6" xfId="1" applyFont="1" applyFill="1" applyBorder="1" applyAlignment="1">
      <alignment horizontal="left" vertical="center"/>
    </xf>
    <xf numFmtId="0" fontId="139" fillId="8" borderId="0" xfId="1" applyFont="1" applyFill="1" applyProtection="1">
      <protection hidden="1"/>
    </xf>
    <xf numFmtId="169" fontId="48" fillId="8" borderId="0" xfId="16" applyNumberFormat="1" applyFont="1" applyFill="1" applyAlignment="1">
      <alignment horizontal="center" vertical="center"/>
    </xf>
    <xf numFmtId="0" fontId="48" fillId="8" borderId="0" xfId="16" applyFont="1" applyFill="1" applyAlignment="1">
      <alignment horizontal="center" vertical="center"/>
    </xf>
    <xf numFmtId="179" fontId="48" fillId="8" borderId="9" xfId="16" applyNumberFormat="1" applyFont="1" applyFill="1" applyBorder="1" applyAlignment="1">
      <alignment horizontal="center" vertical="center"/>
    </xf>
    <xf numFmtId="0" fontId="139" fillId="8" borderId="6" xfId="42" applyFont="1" applyFill="1" applyBorder="1" applyAlignment="1">
      <alignment horizontal="left"/>
    </xf>
    <xf numFmtId="224" fontId="481" fillId="8" borderId="6" xfId="16" applyNumberFormat="1" applyFont="1" applyFill="1" applyBorder="1" applyAlignment="1">
      <alignment horizontal="center" vertical="center"/>
    </xf>
    <xf numFmtId="225" fontId="481" fillId="8" borderId="0" xfId="16" applyNumberFormat="1" applyFont="1" applyFill="1" applyAlignment="1">
      <alignment horizontal="center" vertical="center"/>
    </xf>
    <xf numFmtId="0" fontId="478" fillId="8" borderId="0" xfId="16" applyFont="1" applyFill="1" applyAlignment="1">
      <alignment horizontal="left" vertical="center"/>
    </xf>
    <xf numFmtId="0" fontId="48" fillId="8" borderId="0" xfId="7" applyFont="1" applyFill="1" applyAlignment="1">
      <alignment horizontal="center" vertical="center"/>
    </xf>
    <xf numFmtId="224" fontId="481" fillId="8" borderId="6" xfId="16" applyNumberFormat="1" applyFont="1" applyFill="1" applyBorder="1" applyAlignment="1">
      <alignment horizontal="left" vertical="center"/>
    </xf>
    <xf numFmtId="0" fontId="48" fillId="8" borderId="6" xfId="16" applyFont="1" applyFill="1" applyBorder="1" applyAlignment="1">
      <alignment vertical="center"/>
    </xf>
    <xf numFmtId="0" fontId="48" fillId="8" borderId="0" xfId="16" applyFont="1" applyFill="1" applyAlignment="1">
      <alignment vertical="center"/>
    </xf>
    <xf numFmtId="0" fontId="434" fillId="21" borderId="6" xfId="42" applyFont="1" applyFill="1" applyBorder="1" applyAlignment="1">
      <alignment vertical="center"/>
    </xf>
    <xf numFmtId="0" fontId="434" fillId="21" borderId="0" xfId="42" applyFont="1" applyFill="1" applyAlignment="1">
      <alignment vertical="center"/>
    </xf>
    <xf numFmtId="0" fontId="434" fillId="21" borderId="9" xfId="42" applyFont="1" applyFill="1" applyBorder="1" applyAlignment="1">
      <alignment vertical="center"/>
    </xf>
    <xf numFmtId="0" fontId="1" fillId="8" borderId="58" xfId="7" applyFill="1" applyBorder="1"/>
    <xf numFmtId="0" fontId="6" fillId="0" borderId="3" xfId="1" applyBorder="1" applyProtection="1">
      <protection hidden="1"/>
    </xf>
    <xf numFmtId="0" fontId="1" fillId="8" borderId="3" xfId="7" applyFill="1" applyBorder="1"/>
    <xf numFmtId="0" fontId="1" fillId="7" borderId="33" xfId="7" applyFill="1" applyBorder="1" applyAlignment="1">
      <alignment horizontal="center" vertical="center"/>
    </xf>
    <xf numFmtId="0" fontId="31" fillId="8" borderId="4" xfId="1" applyFont="1" applyFill="1" applyBorder="1" applyAlignment="1">
      <alignment horizontal="left" vertical="center"/>
    </xf>
    <xf numFmtId="0" fontId="183" fillId="8" borderId="4" xfId="39" applyFill="1" applyBorder="1" applyAlignment="1">
      <alignment vertical="center"/>
    </xf>
    <xf numFmtId="0" fontId="183" fillId="8" borderId="115" xfId="39" applyFill="1" applyBorder="1" applyAlignment="1">
      <alignment vertical="center"/>
    </xf>
    <xf numFmtId="0" fontId="1" fillId="65" borderId="6" xfId="7" applyFill="1" applyBorder="1" applyAlignment="1">
      <alignment vertical="center"/>
    </xf>
    <xf numFmtId="0" fontId="1" fillId="65" borderId="0" xfId="7" applyFill="1" applyAlignment="1">
      <alignment vertical="center"/>
    </xf>
    <xf numFmtId="0" fontId="1" fillId="65" borderId="9" xfId="7" applyFill="1" applyBorder="1" applyAlignment="1">
      <alignment vertical="center"/>
    </xf>
    <xf numFmtId="0" fontId="488" fillId="0" borderId="0" xfId="7" applyFont="1" applyAlignment="1">
      <alignment horizontal="right" vertical="center"/>
    </xf>
    <xf numFmtId="0" fontId="1" fillId="65" borderId="0" xfId="7" applyFill="1" applyAlignment="1">
      <alignment horizontal="left" vertical="center"/>
    </xf>
    <xf numFmtId="0" fontId="489" fillId="65" borderId="0" xfId="7" applyFont="1" applyFill="1" applyAlignment="1">
      <alignment horizontal="right" vertical="center"/>
    </xf>
    <xf numFmtId="0" fontId="281" fillId="65" borderId="0" xfId="5" applyFont="1" applyFill="1" applyAlignment="1">
      <alignment horizontal="center" vertical="center"/>
    </xf>
    <xf numFmtId="0" fontId="490" fillId="65" borderId="0" xfId="7" applyFont="1" applyFill="1" applyAlignment="1">
      <alignment horizontal="right" vertical="center"/>
    </xf>
    <xf numFmtId="0" fontId="447" fillId="8" borderId="0" xfId="7" applyFont="1" applyFill="1" applyAlignment="1">
      <alignment horizontal="center" vertical="center"/>
    </xf>
    <xf numFmtId="0" fontId="486" fillId="65" borderId="0" xfId="7" applyFont="1" applyFill="1" applyAlignment="1">
      <alignment horizontal="left" vertical="center"/>
    </xf>
    <xf numFmtId="0" fontId="492" fillId="65" borderId="0" xfId="7" applyFont="1" applyFill="1" applyAlignment="1">
      <alignment horizontal="right" vertical="center"/>
    </xf>
    <xf numFmtId="179" fontId="1" fillId="65" borderId="0" xfId="7" applyNumberFormat="1" applyFill="1" applyAlignment="1">
      <alignment horizontal="center" vertical="center"/>
    </xf>
    <xf numFmtId="0" fontId="486" fillId="65" borderId="0" xfId="7" applyFont="1" applyFill="1" applyAlignment="1">
      <alignment horizontal="right" vertical="center"/>
    </xf>
    <xf numFmtId="2" fontId="493" fillId="65" borderId="280" xfId="29" applyNumberFormat="1" applyFont="1" applyFill="1" applyBorder="1" applyAlignment="1">
      <alignment horizontal="center" vertical="center"/>
    </xf>
    <xf numFmtId="2" fontId="156" fillId="65" borderId="295" xfId="5" applyNumberFormat="1" applyFont="1" applyFill="1" applyBorder="1" applyAlignment="1">
      <alignment horizontal="center" vertical="center"/>
    </xf>
    <xf numFmtId="0" fontId="1" fillId="65" borderId="280" xfId="7" applyFill="1" applyBorder="1" applyAlignment="1">
      <alignment horizontal="center" vertical="center"/>
    </xf>
    <xf numFmtId="0" fontId="1" fillId="0" borderId="6" xfId="7" applyBorder="1" applyAlignment="1">
      <alignment vertical="center"/>
    </xf>
    <xf numFmtId="0" fontId="486" fillId="0" borderId="0" xfId="7" applyFont="1" applyAlignment="1">
      <alignment horizontal="right" vertical="center"/>
    </xf>
    <xf numFmtId="180" fontId="454" fillId="66" borderId="0" xfId="7" applyNumberFormat="1" applyFont="1" applyFill="1" applyAlignment="1" applyProtection="1">
      <alignment horizontal="center" vertical="center"/>
      <protection locked="0"/>
    </xf>
    <xf numFmtId="0" fontId="494" fillId="65" borderId="0" xfId="1" applyFont="1" applyFill="1" applyAlignment="1">
      <alignment horizontal="left" vertical="center"/>
    </xf>
    <xf numFmtId="0" fontId="1" fillId="0" borderId="0" xfId="7" applyAlignment="1">
      <alignment vertical="center"/>
    </xf>
    <xf numFmtId="167" fontId="447" fillId="65" borderId="295" xfId="5" applyNumberFormat="1" applyFont="1" applyFill="1" applyBorder="1" applyAlignment="1">
      <alignment horizontal="center" vertical="center"/>
    </xf>
    <xf numFmtId="167" fontId="447" fillId="65" borderId="0" xfId="7" applyNumberFormat="1" applyFont="1" applyFill="1" applyAlignment="1">
      <alignment horizontal="center" vertical="center"/>
    </xf>
    <xf numFmtId="0" fontId="488" fillId="65" borderId="18" xfId="7" applyFont="1" applyFill="1" applyBorder="1" applyAlignment="1">
      <alignment horizontal="center" vertical="center"/>
    </xf>
    <xf numFmtId="0" fontId="1" fillId="65" borderId="128" xfId="7" applyFill="1" applyBorder="1" applyAlignment="1">
      <alignment vertical="center"/>
    </xf>
    <xf numFmtId="0" fontId="487" fillId="65" borderId="6" xfId="1" applyFont="1" applyFill="1" applyBorder="1" applyAlignment="1">
      <alignment horizontal="center" vertical="center"/>
    </xf>
    <xf numFmtId="0" fontId="495" fillId="65" borderId="137" xfId="1" applyFont="1" applyFill="1" applyBorder="1" applyAlignment="1">
      <alignment vertical="center"/>
    </xf>
    <xf numFmtId="0" fontId="496" fillId="65" borderId="0" xfId="1" applyFont="1" applyFill="1" applyAlignment="1">
      <alignment vertical="center"/>
    </xf>
    <xf numFmtId="0" fontId="496" fillId="65" borderId="9" xfId="1" applyFont="1" applyFill="1" applyBorder="1" applyAlignment="1">
      <alignment vertical="center"/>
    </xf>
    <xf numFmtId="0" fontId="457" fillId="8" borderId="6" xfId="5" applyFont="1" applyFill="1" applyBorder="1" applyAlignment="1">
      <alignment horizontal="right" vertical="center"/>
    </xf>
    <xf numFmtId="172" fontId="156" fillId="65" borderId="0" xfId="29" applyNumberFormat="1" applyFont="1" applyFill="1" applyAlignment="1">
      <alignment horizontal="center" vertical="center"/>
    </xf>
    <xf numFmtId="172" fontId="456" fillId="65" borderId="9" xfId="29" applyNumberFormat="1" applyFont="1" applyFill="1" applyBorder="1" applyAlignment="1">
      <alignment vertical="center"/>
    </xf>
    <xf numFmtId="0" fontId="494" fillId="65" borderId="6" xfId="1" applyFont="1" applyFill="1" applyBorder="1" applyAlignment="1">
      <alignment horizontal="center" vertical="center"/>
    </xf>
    <xf numFmtId="172" fontId="156" fillId="65" borderId="0" xfId="29" applyNumberFormat="1" applyFont="1" applyFill="1" applyAlignment="1">
      <alignment horizontal="left" vertical="center"/>
    </xf>
    <xf numFmtId="169" fontId="194" fillId="4" borderId="298" xfId="29" applyNumberFormat="1" applyFont="1" applyFill="1" applyBorder="1" applyAlignment="1">
      <alignment vertical="center"/>
    </xf>
    <xf numFmtId="169" fontId="194" fillId="4" borderId="6" xfId="29" applyNumberFormat="1" applyFont="1" applyFill="1" applyBorder="1" applyAlignment="1">
      <alignment horizontal="left" vertical="center"/>
    </xf>
    <xf numFmtId="0" fontId="1" fillId="65" borderId="6" xfId="7" applyFill="1" applyBorder="1"/>
    <xf numFmtId="0" fontId="1" fillId="65" borderId="0" xfId="7" applyFill="1"/>
    <xf numFmtId="0" fontId="1" fillId="65" borderId="9" xfId="7" applyFill="1" applyBorder="1"/>
    <xf numFmtId="0" fontId="488" fillId="65" borderId="6" xfId="7" applyFont="1" applyFill="1" applyBorder="1" applyAlignment="1">
      <alignment vertical="center" wrapText="1"/>
    </xf>
    <xf numFmtId="0" fontId="488" fillId="65" borderId="0" xfId="7" applyFont="1" applyFill="1" applyAlignment="1">
      <alignment vertical="center" wrapText="1"/>
    </xf>
    <xf numFmtId="0" fontId="488" fillId="0" borderId="0" xfId="7" applyFont="1" applyAlignment="1">
      <alignment horizontal="right"/>
    </xf>
    <xf numFmtId="0" fontId="489" fillId="65" borderId="0" xfId="7" applyFont="1" applyFill="1" applyAlignment="1">
      <alignment horizontal="right"/>
    </xf>
    <xf numFmtId="1" fontId="500" fillId="65" borderId="18" xfId="29" applyNumberFormat="1" applyFont="1" applyFill="1" applyBorder="1" applyAlignment="1">
      <alignment horizontal="center" vertical="center"/>
    </xf>
    <xf numFmtId="0" fontId="447" fillId="8" borderId="0" xfId="7" applyFont="1" applyFill="1" applyAlignment="1">
      <alignment horizontal="left" vertical="center"/>
    </xf>
    <xf numFmtId="0" fontId="501" fillId="65" borderId="6" xfId="1" applyFont="1" applyFill="1" applyBorder="1" applyAlignment="1">
      <alignment horizontal="center" vertical="center"/>
    </xf>
    <xf numFmtId="0" fontId="502" fillId="65" borderId="0" xfId="1" applyFont="1" applyFill="1" applyAlignment="1" applyProtection="1">
      <alignment horizontal="left" vertical="center"/>
      <protection hidden="1"/>
    </xf>
    <xf numFmtId="1" fontId="500" fillId="65" borderId="0" xfId="29" applyNumberFormat="1" applyFont="1" applyFill="1" applyAlignment="1">
      <alignment horizontal="center" vertical="center"/>
    </xf>
    <xf numFmtId="0" fontId="488" fillId="65" borderId="6" xfId="7" applyFont="1" applyFill="1" applyBorder="1" applyAlignment="1">
      <alignment vertical="center"/>
    </xf>
    <xf numFmtId="0" fontId="488" fillId="65" borderId="0" xfId="7" applyFont="1" applyFill="1" applyAlignment="1">
      <alignment vertical="center"/>
    </xf>
    <xf numFmtId="0" fontId="488" fillId="65" borderId="0" xfId="7" applyFont="1" applyFill="1" applyAlignment="1">
      <alignment horizontal="right" vertical="center"/>
    </xf>
    <xf numFmtId="0" fontId="1" fillId="65" borderId="18" xfId="7" applyFill="1" applyBorder="1" applyAlignment="1">
      <alignment horizontal="center" vertical="center"/>
    </xf>
    <xf numFmtId="0" fontId="1" fillId="65" borderId="0" xfId="7" applyFill="1" applyAlignment="1">
      <alignment horizontal="left"/>
    </xf>
    <xf numFmtId="0" fontId="1" fillId="0" borderId="6" xfId="7" applyBorder="1"/>
    <xf numFmtId="0" fontId="494" fillId="65" borderId="128" xfId="1" applyFont="1" applyFill="1" applyBorder="1" applyAlignment="1">
      <alignment horizontal="center" vertical="center"/>
    </xf>
    <xf numFmtId="0" fontId="503" fillId="65" borderId="6" xfId="1" applyFont="1" applyFill="1" applyBorder="1" applyAlignment="1">
      <alignment horizontal="center" vertical="center"/>
    </xf>
    <xf numFmtId="0" fontId="504" fillId="65" borderId="137" xfId="1" applyFont="1" applyFill="1" applyBorder="1" applyAlignment="1">
      <alignment vertical="center"/>
    </xf>
    <xf numFmtId="1" fontId="447" fillId="157" borderId="7" xfId="7" applyNumberFormat="1" applyFont="1" applyFill="1" applyBorder="1" applyAlignment="1">
      <alignment horizontal="centerContinuous" vertical="center" wrapText="1"/>
    </xf>
    <xf numFmtId="0" fontId="6" fillId="158" borderId="2" xfId="7" applyFont="1" applyFill="1" applyBorder="1" applyAlignment="1">
      <alignment horizontal="centerContinuous" vertical="center" wrapText="1"/>
    </xf>
    <xf numFmtId="0" fontId="6" fillId="157" borderId="2" xfId="7" applyFont="1" applyFill="1" applyBorder="1" applyAlignment="1">
      <alignment horizontal="centerContinuous" vertical="center" wrapText="1"/>
    </xf>
    <xf numFmtId="0" fontId="6" fillId="157" borderId="8" xfId="7" applyFont="1" applyFill="1" applyBorder="1" applyAlignment="1">
      <alignment horizontal="centerContinuous" vertical="center" wrapText="1"/>
    </xf>
    <xf numFmtId="0" fontId="447" fillId="157" borderId="7" xfId="7" applyFont="1" applyFill="1" applyBorder="1" applyAlignment="1">
      <alignment horizontal="centerContinuous" vertical="center"/>
    </xf>
    <xf numFmtId="0" fontId="447" fillId="157" borderId="2" xfId="7" applyFont="1" applyFill="1" applyBorder="1" applyAlignment="1">
      <alignment horizontal="centerContinuous" vertical="center"/>
    </xf>
    <xf numFmtId="0" fontId="1" fillId="157" borderId="2" xfId="7" applyFill="1" applyBorder="1" applyAlignment="1">
      <alignment horizontal="centerContinuous" vertical="center"/>
    </xf>
    <xf numFmtId="0" fontId="1" fillId="157" borderId="8" xfId="7" applyFill="1" applyBorder="1" applyAlignment="1">
      <alignment horizontal="centerContinuous" vertical="center"/>
    </xf>
    <xf numFmtId="171" fontId="6" fillId="0" borderId="6" xfId="7" applyNumberFormat="1" applyFont="1" applyBorder="1" applyAlignment="1" applyProtection="1">
      <alignment horizontal="center" vertical="center" wrapText="1"/>
      <protection locked="0"/>
    </xf>
    <xf numFmtId="171" fontId="6" fillId="0" borderId="0" xfId="7" applyNumberFormat="1" applyFont="1" applyAlignment="1" applyProtection="1">
      <alignment horizontal="center" vertical="center" wrapText="1"/>
      <protection locked="0"/>
    </xf>
    <xf numFmtId="171" fontId="6" fillId="0" borderId="9" xfId="7" applyNumberFormat="1" applyFont="1" applyBorder="1" applyAlignment="1" applyProtection="1">
      <alignment horizontal="center" vertical="center" wrapText="1"/>
      <protection locked="0"/>
    </xf>
    <xf numFmtId="207" fontId="6" fillId="0" borderId="135" xfId="5" applyNumberFormat="1" applyFont="1" applyBorder="1" applyAlignment="1">
      <alignment horizontal="center" vertical="center"/>
    </xf>
    <xf numFmtId="207" fontId="6" fillId="0" borderId="18" xfId="5" applyNumberFormat="1" applyFont="1" applyBorder="1" applyAlignment="1">
      <alignment horizontal="center" vertical="center"/>
    </xf>
    <xf numFmtId="207" fontId="6" fillId="0" borderId="294" xfId="5" applyNumberFormat="1" applyFont="1" applyBorder="1" applyAlignment="1">
      <alignment horizontal="center" vertical="center"/>
    </xf>
    <xf numFmtId="0" fontId="37" fillId="8" borderId="6" xfId="7" applyFont="1" applyFill="1" applyBorder="1" applyAlignment="1" applyProtection="1">
      <alignment horizontal="left" vertical="center"/>
      <protection locked="0"/>
    </xf>
    <xf numFmtId="0" fontId="37" fillId="8" borderId="0" xfId="7" applyFont="1" applyFill="1" applyAlignment="1" applyProtection="1">
      <alignment horizontal="left" vertical="center"/>
      <protection locked="0"/>
    </xf>
    <xf numFmtId="0" fontId="71" fillId="8" borderId="0" xfId="7" applyFont="1" applyFill="1" applyAlignment="1" applyProtection="1">
      <alignment horizontal="left" vertical="center"/>
      <protection locked="0"/>
    </xf>
    <xf numFmtId="0" fontId="37" fillId="8" borderId="9" xfId="7" applyFont="1" applyFill="1" applyBorder="1" applyAlignment="1" applyProtection="1">
      <alignment horizontal="left" vertical="center"/>
      <protection locked="0"/>
    </xf>
    <xf numFmtId="0" fontId="434" fillId="8" borderId="278" xfId="7" applyFont="1" applyFill="1" applyBorder="1" applyAlignment="1">
      <alignment horizontal="centerContinuous" vertical="center"/>
    </xf>
    <xf numFmtId="0" fontId="434" fillId="8" borderId="0" xfId="7" applyFont="1" applyFill="1" applyAlignment="1">
      <alignment horizontal="centerContinuous" vertical="center"/>
    </xf>
    <xf numFmtId="0" fontId="515" fillId="8" borderId="0" xfId="1" applyFont="1" applyFill="1" applyAlignment="1">
      <alignment horizontal="center" vertical="center"/>
    </xf>
    <xf numFmtId="0" fontId="516" fillId="8" borderId="278" xfId="1" applyFont="1" applyFill="1" applyBorder="1" applyAlignment="1">
      <alignment horizontal="center" vertical="center"/>
    </xf>
    <xf numFmtId="168" fontId="517" fillId="173" borderId="0" xfId="7" applyNumberFormat="1" applyFont="1" applyFill="1" applyAlignment="1">
      <alignment horizontal="center" vertical="center"/>
    </xf>
    <xf numFmtId="0" fontId="1" fillId="8" borderId="0" xfId="7" applyFill="1" applyAlignment="1">
      <alignment vertical="center"/>
    </xf>
    <xf numFmtId="0" fontId="58" fillId="8" borderId="0" xfId="7" applyFont="1" applyFill="1" applyAlignment="1">
      <alignment horizontal="center" vertical="center" wrapText="1"/>
    </xf>
    <xf numFmtId="0" fontId="58" fillId="8" borderId="279" xfId="7" applyFont="1" applyFill="1" applyBorder="1" applyAlignment="1">
      <alignment horizontal="center" vertical="center" wrapText="1"/>
    </xf>
    <xf numFmtId="0" fontId="58" fillId="21" borderId="278" xfId="7" applyFont="1" applyFill="1" applyBorder="1" applyAlignment="1">
      <alignment horizontal="center" vertical="center"/>
    </xf>
    <xf numFmtId="0" fontId="72" fillId="8" borderId="0" xfId="7" applyFont="1" applyFill="1" applyAlignment="1">
      <alignment horizontal="left" vertical="center"/>
    </xf>
    <xf numFmtId="168" fontId="13" fillId="8" borderId="0" xfId="7" applyNumberFormat="1" applyFont="1" applyFill="1" applyAlignment="1">
      <alignment horizontal="center" vertical="center"/>
    </xf>
    <xf numFmtId="0" fontId="1" fillId="8" borderId="0" xfId="7" applyFill="1" applyAlignment="1">
      <alignment horizontal="center" vertical="center"/>
    </xf>
    <xf numFmtId="0" fontId="515" fillId="8" borderId="278" xfId="1" applyFont="1" applyFill="1" applyBorder="1" applyAlignment="1">
      <alignment horizontal="center" vertical="center"/>
    </xf>
    <xf numFmtId="0" fontId="518" fillId="8" borderId="0" xfId="1" applyFont="1" applyFill="1" applyAlignment="1" applyProtection="1">
      <alignment horizontal="left"/>
      <protection hidden="1"/>
    </xf>
    <xf numFmtId="0" fontId="1" fillId="8" borderId="0" xfId="7" applyFill="1" applyAlignment="1">
      <alignment horizontal="left" vertical="center"/>
    </xf>
    <xf numFmtId="0" fontId="519" fillId="8" borderId="0" xfId="1" applyFont="1" applyFill="1" applyAlignment="1" applyProtection="1">
      <alignment horizontal="left"/>
      <protection hidden="1"/>
    </xf>
    <xf numFmtId="0" fontId="515" fillId="8" borderId="299" xfId="1" applyFont="1" applyFill="1" applyBorder="1" applyAlignment="1">
      <alignment horizontal="center" vertical="center"/>
    </xf>
    <xf numFmtId="0" fontId="520" fillId="8" borderId="300" xfId="1" applyFont="1" applyFill="1" applyBorder="1" applyAlignment="1" applyProtection="1">
      <alignment horizontal="left"/>
      <protection hidden="1"/>
    </xf>
    <xf numFmtId="0" fontId="58" fillId="8" borderId="300" xfId="7" applyFont="1" applyFill="1" applyBorder="1" applyAlignment="1">
      <alignment horizontal="center" vertical="center" wrapText="1"/>
    </xf>
    <xf numFmtId="0" fontId="58" fillId="8" borderId="301" xfId="7" applyFont="1" applyFill="1" applyBorder="1" applyAlignment="1">
      <alignment horizontal="center" vertical="center" wrapText="1"/>
    </xf>
    <xf numFmtId="0" fontId="522" fillId="0" borderId="0" xfId="7" applyFont="1" applyAlignment="1">
      <alignment vertical="top"/>
    </xf>
    <xf numFmtId="0" fontId="516" fillId="8" borderId="128" xfId="1" applyFont="1" applyFill="1" applyBorder="1" applyAlignment="1">
      <alignment horizontal="center" vertical="center"/>
    </xf>
    <xf numFmtId="0" fontId="58" fillId="21" borderId="6" xfId="7" applyFont="1" applyFill="1" applyBorder="1" applyAlignment="1">
      <alignment horizontal="center" vertical="center"/>
    </xf>
    <xf numFmtId="0" fontId="72" fillId="8" borderId="0" xfId="7" applyFont="1" applyFill="1" applyAlignment="1">
      <alignment horizontal="center" vertical="center"/>
    </xf>
    <xf numFmtId="0" fontId="72" fillId="8" borderId="9" xfId="7" applyFont="1" applyFill="1" applyBorder="1" applyAlignment="1">
      <alignment horizontal="left" vertical="center"/>
    </xf>
    <xf numFmtId="0" fontId="145" fillId="8" borderId="6" xfId="7" applyFont="1" applyFill="1" applyBorder="1" applyAlignment="1">
      <alignment horizontal="center" vertical="center"/>
    </xf>
    <xf numFmtId="0" fontId="145" fillId="8" borderId="0" xfId="7" applyFont="1" applyFill="1" applyAlignment="1">
      <alignment horizontal="center" vertical="center"/>
    </xf>
    <xf numFmtId="0" fontId="145" fillId="8" borderId="9" xfId="7" applyFont="1" applyFill="1" applyBorder="1" applyAlignment="1">
      <alignment horizontal="center" vertical="center"/>
    </xf>
    <xf numFmtId="226" fontId="4" fillId="8" borderId="6" xfId="7" applyNumberFormat="1" applyFont="1" applyFill="1" applyBorder="1" applyAlignment="1">
      <alignment horizontal="center" vertical="center"/>
    </xf>
    <xf numFmtId="227" fontId="524" fillId="8" borderId="0" xfId="7" applyNumberFormat="1" applyFont="1" applyFill="1" applyAlignment="1">
      <alignment horizontal="center" vertical="center"/>
    </xf>
    <xf numFmtId="227" fontId="4" fillId="8" borderId="0" xfId="7" applyNumberFormat="1" applyFont="1" applyFill="1" applyAlignment="1">
      <alignment horizontal="center" vertical="center"/>
    </xf>
    <xf numFmtId="227" fontId="524" fillId="8" borderId="9" xfId="7" applyNumberFormat="1" applyFont="1" applyFill="1" applyBorder="1" applyAlignment="1">
      <alignment horizontal="center" vertical="center"/>
    </xf>
    <xf numFmtId="186" fontId="515" fillId="36" borderId="6" xfId="7" applyNumberFormat="1" applyFont="1" applyFill="1" applyBorder="1" applyAlignment="1">
      <alignment horizontal="center" vertical="center"/>
    </xf>
    <xf numFmtId="186" fontId="515" fillId="36" borderId="0" xfId="7" applyNumberFormat="1" applyFont="1" applyFill="1" applyAlignment="1">
      <alignment horizontal="center" vertical="center"/>
    </xf>
    <xf numFmtId="186" fontId="515" fillId="8" borderId="0" xfId="7" applyNumberFormat="1" applyFont="1" applyFill="1" applyAlignment="1">
      <alignment horizontal="center" vertical="center"/>
    </xf>
    <xf numFmtId="186" fontId="515" fillId="36" borderId="9" xfId="7" applyNumberFormat="1" applyFont="1" applyFill="1" applyBorder="1" applyAlignment="1">
      <alignment horizontal="center" vertical="center"/>
    </xf>
    <xf numFmtId="186" fontId="515" fillId="8" borderId="128" xfId="7" applyNumberFormat="1" applyFont="1" applyFill="1" applyBorder="1" applyAlignment="1">
      <alignment horizontal="center" vertical="center"/>
    </xf>
    <xf numFmtId="0" fontId="515" fillId="8" borderId="6" xfId="1" applyFont="1" applyFill="1" applyBorder="1" applyAlignment="1">
      <alignment horizontal="center" vertical="center"/>
    </xf>
    <xf numFmtId="0" fontId="520" fillId="8" borderId="0" xfId="1" applyFont="1" applyFill="1" applyAlignment="1" applyProtection="1">
      <alignment horizontal="left"/>
      <protection hidden="1"/>
    </xf>
    <xf numFmtId="0" fontId="31" fillId="8" borderId="0" xfId="1" applyFont="1" applyFill="1" applyAlignment="1">
      <alignment vertical="center"/>
    </xf>
    <xf numFmtId="0" fontId="31" fillId="8" borderId="9" xfId="1" applyFont="1" applyFill="1" applyBorder="1" applyAlignment="1">
      <alignment vertical="center"/>
    </xf>
    <xf numFmtId="0" fontId="516" fillId="21" borderId="6" xfId="1" applyFont="1" applyFill="1" applyBorder="1" applyAlignment="1">
      <alignment horizontal="center" vertical="center"/>
    </xf>
    <xf numFmtId="0" fontId="521" fillId="8" borderId="0" xfId="1" applyFont="1" applyFill="1" applyAlignment="1" applyProtection="1">
      <alignment horizontal="left"/>
      <protection hidden="1"/>
    </xf>
    <xf numFmtId="0" fontId="514" fillId="8" borderId="9" xfId="1" applyFont="1" applyFill="1" applyBorder="1" applyAlignment="1" applyProtection="1">
      <alignment horizontal="right" vertical="center"/>
      <protection hidden="1"/>
    </xf>
    <xf numFmtId="186" fontId="515" fillId="8" borderId="6" xfId="7" applyNumberFormat="1" applyFont="1" applyFill="1" applyBorder="1" applyAlignment="1">
      <alignment horizontal="center" vertical="center"/>
    </xf>
    <xf numFmtId="0" fontId="1" fillId="0" borderId="0" xfId="7" applyAlignment="1">
      <alignment horizontal="right"/>
    </xf>
    <xf numFmtId="171" fontId="525" fillId="172" borderId="0" xfId="7" applyNumberFormat="1" applyFont="1" applyFill="1" applyAlignment="1" applyProtection="1">
      <alignment horizontal="center" vertical="center"/>
      <protection locked="0"/>
    </xf>
    <xf numFmtId="171" fontId="526" fillId="8" borderId="0" xfId="7" applyNumberFormat="1" applyFont="1" applyFill="1" applyAlignment="1">
      <alignment vertical="center"/>
    </xf>
    <xf numFmtId="171" fontId="435" fillId="0" borderId="0" xfId="7" applyNumberFormat="1" applyFont="1" applyAlignment="1" applyProtection="1">
      <alignment horizontal="center" vertical="center" wrapText="1"/>
      <protection locked="0"/>
    </xf>
    <xf numFmtId="175" fontId="527" fillId="66" borderId="0" xfId="7" applyNumberFormat="1" applyFont="1" applyFill="1" applyAlignment="1" applyProtection="1">
      <alignment horizontal="center" vertical="center"/>
      <protection locked="0"/>
    </xf>
    <xf numFmtId="175" fontId="528" fillId="66" borderId="0" xfId="7" applyNumberFormat="1" applyFont="1" applyFill="1" applyAlignment="1" applyProtection="1">
      <alignment horizontal="center" vertical="center"/>
      <protection locked="0"/>
    </xf>
    <xf numFmtId="175" fontId="529" fillId="8" borderId="0" xfId="7" applyNumberFormat="1" applyFont="1" applyFill="1" applyAlignment="1" applyProtection="1">
      <alignment horizontal="center" vertical="center"/>
      <protection locked="0"/>
    </xf>
    <xf numFmtId="0" fontId="85" fillId="8" borderId="0" xfId="7" applyFont="1" applyFill="1" applyAlignment="1">
      <alignment vertical="center"/>
    </xf>
    <xf numFmtId="0" fontId="6" fillId="8" borderId="9" xfId="1" applyFill="1" applyBorder="1" applyProtection="1">
      <protection hidden="1"/>
    </xf>
    <xf numFmtId="0" fontId="1" fillId="8" borderId="128" xfId="7" applyFill="1" applyBorder="1" applyAlignment="1">
      <alignment vertical="center"/>
    </xf>
    <xf numFmtId="0" fontId="432" fillId="8" borderId="0" xfId="44" applyFont="1" applyFill="1" applyAlignment="1">
      <alignment horizontal="right" vertical="center"/>
    </xf>
    <xf numFmtId="228" fontId="432" fillId="8" borderId="0" xfId="44" applyNumberFormat="1" applyFont="1" applyFill="1" applyAlignment="1">
      <alignment horizontal="centerContinuous" vertical="center"/>
    </xf>
    <xf numFmtId="228" fontId="533" fillId="8" borderId="0" xfId="44" applyNumberFormat="1" applyFont="1" applyFill="1" applyAlignment="1">
      <alignment horizontal="centerContinuous" vertical="center"/>
    </xf>
    <xf numFmtId="0" fontId="17" fillId="8" borderId="0" xfId="42" applyFill="1" applyAlignment="1">
      <alignment horizontal="centerContinuous" vertical="center"/>
    </xf>
    <xf numFmtId="229" fontId="432" fillId="8" borderId="0" xfId="44" applyNumberFormat="1" applyFont="1" applyFill="1" applyAlignment="1">
      <alignment horizontal="center" vertical="center"/>
    </xf>
    <xf numFmtId="0" fontId="532" fillId="8" borderId="9" xfId="42" applyFont="1" applyFill="1" applyBorder="1" applyAlignment="1">
      <alignment horizontal="center" vertical="center"/>
    </xf>
    <xf numFmtId="0" fontId="534" fillId="65" borderId="6" xfId="1" applyFont="1" applyFill="1" applyBorder="1" applyAlignment="1">
      <alignment horizontal="center" vertical="center"/>
    </xf>
    <xf numFmtId="207" fontId="477" fillId="8" borderId="0" xfId="5" applyNumberFormat="1" applyFont="1" applyFill="1" applyAlignment="1">
      <alignment vertical="center"/>
    </xf>
    <xf numFmtId="207" fontId="447" fillId="8" borderId="0" xfId="5" applyNumberFormat="1" applyFont="1" applyFill="1" applyAlignment="1">
      <alignment vertical="center"/>
    </xf>
    <xf numFmtId="207" fontId="447" fillId="8" borderId="9" xfId="5" applyNumberFormat="1" applyFont="1" applyFill="1" applyBorder="1" applyAlignment="1">
      <alignment vertical="center"/>
    </xf>
    <xf numFmtId="2" fontId="432" fillId="8" borderId="0" xfId="5" applyNumberFormat="1" applyFont="1" applyFill="1" applyAlignment="1">
      <alignment horizontal="center" vertical="center"/>
    </xf>
    <xf numFmtId="171" fontId="432" fillId="8" borderId="0" xfId="5" applyNumberFormat="1" applyFont="1" applyFill="1" applyAlignment="1">
      <alignment horizontal="center" vertical="center"/>
    </xf>
    <xf numFmtId="180" fontId="432" fillId="8" borderId="0" xfId="42" applyNumberFormat="1" applyFont="1" applyFill="1" applyAlignment="1" applyProtection="1">
      <alignment horizontal="center" vertical="center"/>
      <protection locked="0"/>
    </xf>
    <xf numFmtId="0" fontId="71" fillId="0" borderId="9" xfId="27" applyBorder="1"/>
    <xf numFmtId="0" fontId="525" fillId="66" borderId="303" xfId="5" applyFont="1" applyFill="1" applyBorder="1" applyAlignment="1">
      <alignment horizontal="center" vertical="center"/>
    </xf>
    <xf numFmtId="207" fontId="432" fillId="8" borderId="0" xfId="5" applyNumberFormat="1" applyFont="1" applyFill="1" applyAlignment="1">
      <alignment horizontal="right" vertical="center" wrapText="1"/>
    </xf>
    <xf numFmtId="0" fontId="447" fillId="8" borderId="9" xfId="42" applyFont="1" applyFill="1" applyBorder="1" applyAlignment="1">
      <alignment horizontal="center" vertical="center"/>
    </xf>
    <xf numFmtId="0" fontId="365" fillId="8" borderId="6" xfId="7" applyFont="1" applyFill="1" applyBorder="1" applyAlignment="1">
      <alignment horizontal="center" vertical="center"/>
    </xf>
    <xf numFmtId="0" fontId="525" fillId="8" borderId="0" xfId="5" applyFont="1" applyFill="1" applyAlignment="1">
      <alignment horizontal="center" vertical="center"/>
    </xf>
    <xf numFmtId="207" fontId="432" fillId="8" borderId="9" xfId="5" applyNumberFormat="1" applyFont="1" applyFill="1" applyBorder="1" applyAlignment="1">
      <alignment horizontal="right" vertical="center" wrapText="1"/>
    </xf>
    <xf numFmtId="207" fontId="535" fillId="8" borderId="0" xfId="5" applyNumberFormat="1" applyFont="1" applyFill="1" applyAlignment="1">
      <alignment vertical="center"/>
    </xf>
    <xf numFmtId="1" fontId="536" fillId="66" borderId="0" xfId="5" applyNumberFormat="1" applyFont="1" applyFill="1" applyAlignment="1">
      <alignment horizontal="center" vertical="center"/>
    </xf>
    <xf numFmtId="0" fontId="434" fillId="8" borderId="9" xfId="7" applyFont="1" applyFill="1" applyBorder="1" applyAlignment="1">
      <alignment horizontal="center" vertical="center"/>
    </xf>
    <xf numFmtId="167" fontId="536" fillId="66" borderId="0" xfId="5" applyNumberFormat="1" applyFont="1" applyFill="1" applyAlignment="1">
      <alignment horizontal="center" vertical="center"/>
    </xf>
    <xf numFmtId="0" fontId="432" fillId="8" borderId="0" xfId="7" applyFont="1" applyFill="1" applyAlignment="1">
      <alignment horizontal="right" vertical="center"/>
    </xf>
    <xf numFmtId="167" fontId="434" fillId="8" borderId="0" xfId="5" applyNumberFormat="1" applyFont="1" applyFill="1" applyAlignment="1">
      <alignment horizontal="center" vertical="center"/>
    </xf>
    <xf numFmtId="0" fontId="432" fillId="8" borderId="0" xfId="7" applyFont="1" applyFill="1" applyAlignment="1">
      <alignment horizontal="left" vertical="center"/>
    </xf>
    <xf numFmtId="0" fontId="447" fillId="8" borderId="9" xfId="7" applyFont="1" applyFill="1" applyBorder="1" applyAlignment="1">
      <alignment horizontal="right" vertical="center"/>
    </xf>
    <xf numFmtId="171" fontId="526" fillId="8" borderId="6" xfId="7" applyNumberFormat="1" applyFont="1" applyFill="1" applyBorder="1" applyAlignment="1">
      <alignment vertical="center"/>
    </xf>
    <xf numFmtId="167" fontId="536" fillId="8" borderId="0" xfId="5" applyNumberFormat="1" applyFont="1" applyFill="1" applyAlignment="1">
      <alignment horizontal="center" vertical="center"/>
    </xf>
    <xf numFmtId="0" fontId="432" fillId="8" borderId="9" xfId="7" applyFont="1" applyFill="1" applyBorder="1" applyAlignment="1">
      <alignment horizontal="center" vertical="center"/>
    </xf>
    <xf numFmtId="171" fontId="536" fillId="66" borderId="0" xfId="5" applyNumberFormat="1" applyFont="1" applyFill="1" applyAlignment="1">
      <alignment horizontal="center" vertical="center"/>
    </xf>
    <xf numFmtId="230" fontId="434" fillId="8" borderId="9" xfId="5" applyNumberFormat="1" applyFont="1" applyFill="1" applyBorder="1" applyAlignment="1">
      <alignment horizontal="center" vertical="center"/>
    </xf>
    <xf numFmtId="0" fontId="538" fillId="8" borderId="0" xfId="7" applyFont="1" applyFill="1" applyAlignment="1">
      <alignment horizontal="center" vertical="center"/>
    </xf>
    <xf numFmtId="0" fontId="539" fillId="8" borderId="0" xfId="7" applyFont="1" applyFill="1" applyAlignment="1">
      <alignment horizontal="center"/>
    </xf>
    <xf numFmtId="0" fontId="540" fillId="8" borderId="0" xfId="1" applyFont="1" applyFill="1" applyAlignment="1" applyProtection="1">
      <alignment horizontal="center"/>
      <protection hidden="1"/>
    </xf>
    <xf numFmtId="171" fontId="526" fillId="8" borderId="58" xfId="7" applyNumberFormat="1" applyFont="1" applyFill="1" applyBorder="1" applyAlignment="1">
      <alignment vertical="center"/>
    </xf>
    <xf numFmtId="171" fontId="526" fillId="8" borderId="3" xfId="7" applyNumberFormat="1" applyFont="1" applyFill="1" applyBorder="1" applyAlignment="1">
      <alignment vertical="center"/>
    </xf>
    <xf numFmtId="0" fontId="6" fillId="8" borderId="3" xfId="1" applyFill="1" applyBorder="1" applyProtection="1">
      <protection hidden="1"/>
    </xf>
    <xf numFmtId="0" fontId="432" fillId="8" borderId="3" xfId="7" applyFont="1" applyFill="1" applyBorder="1" applyAlignment="1">
      <alignment horizontal="center" vertical="center"/>
    </xf>
    <xf numFmtId="171" fontId="85" fillId="8" borderId="3" xfId="7" applyNumberFormat="1" applyFont="1" applyFill="1" applyBorder="1" applyAlignment="1" applyProtection="1">
      <alignment horizontal="center" vertical="center" wrapText="1"/>
      <protection locked="0"/>
    </xf>
    <xf numFmtId="0" fontId="1" fillId="37" borderId="0" xfId="7" applyFill="1"/>
    <xf numFmtId="0" fontId="6" fillId="37" borderId="0" xfId="1" applyFill="1" applyProtection="1">
      <protection hidden="1"/>
    </xf>
    <xf numFmtId="0" fontId="441" fillId="37" borderId="0" xfId="1" applyFont="1" applyFill="1" applyAlignment="1" applyProtection="1">
      <alignment vertical="center"/>
      <protection hidden="1"/>
    </xf>
    <xf numFmtId="171" fontId="450" fillId="8" borderId="0" xfId="5" applyNumberFormat="1" applyFont="1" applyFill="1" applyAlignment="1">
      <alignment vertical="center"/>
    </xf>
    <xf numFmtId="0" fontId="71" fillId="8" borderId="48" xfId="27" applyFill="1" applyBorder="1"/>
    <xf numFmtId="0" fontId="183" fillId="8" borderId="48" xfId="39" applyFill="1" applyBorder="1" applyAlignment="1">
      <alignment vertical="center"/>
    </xf>
    <xf numFmtId="0" fontId="183" fillId="8" borderId="50" xfId="39" applyFill="1" applyBorder="1" applyAlignment="1">
      <alignment vertical="center"/>
    </xf>
    <xf numFmtId="0" fontId="71" fillId="8" borderId="13" xfId="27" applyFill="1" applyBorder="1"/>
    <xf numFmtId="0" fontId="447" fillId="8" borderId="6" xfId="7" applyFont="1" applyFill="1" applyBorder="1" applyAlignment="1">
      <alignment horizontal="right" vertical="center"/>
    </xf>
    <xf numFmtId="0" fontId="281" fillId="8" borderId="0" xfId="7" applyFont="1" applyFill="1" applyAlignment="1">
      <alignment horizontal="center" vertical="center"/>
    </xf>
    <xf numFmtId="171" fontId="281" fillId="8" borderId="0" xfId="5" applyNumberFormat="1" applyFont="1" applyFill="1" applyAlignment="1">
      <alignment horizontal="left" vertical="center"/>
    </xf>
    <xf numFmtId="171" fontId="281" fillId="8" borderId="9" xfId="5" applyNumberFormat="1" applyFont="1" applyFill="1" applyBorder="1" applyAlignment="1">
      <alignment vertical="center"/>
    </xf>
    <xf numFmtId="171" fontId="447" fillId="8" borderId="9" xfId="5" applyNumberFormat="1" applyFont="1" applyFill="1" applyBorder="1" applyAlignment="1">
      <alignment horizontal="center" vertical="center"/>
    </xf>
    <xf numFmtId="1" fontId="447" fillId="8" borderId="0" xfId="7" applyNumberFormat="1" applyFont="1" applyFill="1" applyAlignment="1">
      <alignment horizontal="right" vertical="center"/>
    </xf>
    <xf numFmtId="1" fontId="447" fillId="8" borderId="0" xfId="7" applyNumberFormat="1" applyFont="1" applyFill="1" applyAlignment="1">
      <alignment horizontal="center" vertical="center"/>
    </xf>
    <xf numFmtId="0" fontId="85" fillId="8" borderId="0" xfId="7" applyFont="1" applyFill="1" applyAlignment="1">
      <alignment horizontal="centerContinuous" vertical="center"/>
    </xf>
    <xf numFmtId="0" fontId="441" fillId="8" borderId="0" xfId="7" applyFont="1" applyFill="1" applyAlignment="1">
      <alignment horizontal="center" vertical="center"/>
    </xf>
    <xf numFmtId="207" fontId="544" fillId="43" borderId="6" xfId="5" applyNumberFormat="1" applyFont="1" applyFill="1" applyBorder="1" applyAlignment="1">
      <alignment horizontal="center" vertical="center" wrapText="1"/>
    </xf>
    <xf numFmtId="207" fontId="544" fillId="43" borderId="0" xfId="5" applyNumberFormat="1" applyFont="1" applyFill="1" applyAlignment="1">
      <alignment horizontal="center" vertical="center" wrapText="1"/>
    </xf>
    <xf numFmtId="1" fontId="544" fillId="43" borderId="0" xfId="5" applyNumberFormat="1" applyFont="1" applyFill="1" applyAlignment="1">
      <alignment horizontal="centerContinuous" vertical="center"/>
    </xf>
    <xf numFmtId="0" fontId="544" fillId="43" borderId="0" xfId="7" applyFont="1" applyFill="1" applyAlignment="1">
      <alignment horizontal="center" vertical="center" wrapText="1"/>
    </xf>
    <xf numFmtId="0" fontId="544" fillId="43" borderId="0" xfId="7" applyFont="1" applyFill="1" applyAlignment="1">
      <alignment horizontal="centerContinuous" vertical="center"/>
    </xf>
    <xf numFmtId="0" fontId="544" fillId="43" borderId="0" xfId="7" applyFont="1" applyFill="1" applyAlignment="1">
      <alignment horizontal="center" vertical="center"/>
    </xf>
    <xf numFmtId="171" fontId="544" fillId="43" borderId="9" xfId="5" applyNumberFormat="1" applyFont="1" applyFill="1" applyBorder="1" applyAlignment="1">
      <alignment horizontal="center" vertical="center"/>
    </xf>
    <xf numFmtId="171" fontId="544" fillId="43" borderId="6" xfId="5" applyNumberFormat="1" applyFont="1" applyFill="1" applyBorder="1" applyAlignment="1">
      <alignment horizontal="center" vertical="center"/>
    </xf>
    <xf numFmtId="171" fontId="544" fillId="43" borderId="0" xfId="5" applyNumberFormat="1" applyFont="1" applyFill="1" applyAlignment="1">
      <alignment horizontal="center" vertical="center"/>
    </xf>
    <xf numFmtId="1" fontId="544" fillId="43" borderId="0" xfId="5" applyNumberFormat="1" applyFont="1" applyFill="1" applyAlignment="1">
      <alignment horizontal="center" vertical="center"/>
    </xf>
    <xf numFmtId="2" fontId="544" fillId="43" borderId="0" xfId="5" applyNumberFormat="1" applyFont="1" applyFill="1" applyAlignment="1">
      <alignment horizontal="center" vertical="center"/>
    </xf>
    <xf numFmtId="0" fontId="544" fillId="43" borderId="9" xfId="7" applyFont="1" applyFill="1" applyBorder="1" applyAlignment="1">
      <alignment horizontal="center" vertical="center"/>
    </xf>
    <xf numFmtId="171" fontId="544" fillId="43" borderId="128" xfId="5" applyNumberFormat="1" applyFont="1" applyFill="1" applyBorder="1" applyAlignment="1">
      <alignment horizontal="center" vertical="center"/>
    </xf>
    <xf numFmtId="0" fontId="57" fillId="8" borderId="58" xfId="7" applyFont="1" applyFill="1" applyBorder="1" applyAlignment="1">
      <alignment vertical="center" wrapText="1"/>
    </xf>
    <xf numFmtId="0" fontId="57" fillId="8" borderId="3" xfId="7" applyFont="1" applyFill="1" applyBorder="1" applyAlignment="1">
      <alignment vertical="center" wrapText="1"/>
    </xf>
    <xf numFmtId="0" fontId="57" fillId="8" borderId="59" xfId="7" applyFont="1" applyFill="1" applyBorder="1" applyAlignment="1">
      <alignment vertical="center" wrapText="1"/>
    </xf>
    <xf numFmtId="0" fontId="183" fillId="8" borderId="34" xfId="39" applyFill="1" applyBorder="1" applyAlignment="1">
      <alignment vertical="center"/>
    </xf>
    <xf numFmtId="0" fontId="6" fillId="8" borderId="278" xfId="1" applyFill="1" applyBorder="1" applyProtection="1">
      <protection hidden="1"/>
    </xf>
    <xf numFmtId="0" fontId="6" fillId="8" borderId="279" xfId="1" applyFill="1" applyBorder="1" applyProtection="1">
      <protection hidden="1"/>
    </xf>
    <xf numFmtId="0" fontId="457" fillId="8" borderId="278" xfId="5" applyFont="1" applyFill="1" applyBorder="1" applyAlignment="1" applyProtection="1">
      <alignment horizontal="center" vertical="center"/>
      <protection locked="0"/>
    </xf>
    <xf numFmtId="0" fontId="457" fillId="8" borderId="0" xfId="5" applyFont="1" applyFill="1" applyAlignment="1" applyProtection="1">
      <alignment horizontal="center" vertical="center"/>
      <protection locked="0"/>
    </xf>
    <xf numFmtId="0" fontId="457" fillId="8" borderId="279" xfId="5" applyFont="1" applyFill="1" applyBorder="1" applyAlignment="1" applyProtection="1">
      <alignment horizontal="center" vertical="center"/>
      <protection locked="0"/>
    </xf>
    <xf numFmtId="0" fontId="522" fillId="8" borderId="278" xfId="7" applyFont="1" applyFill="1" applyBorder="1" applyAlignment="1">
      <alignment horizontal="left" vertical="center"/>
    </xf>
    <xf numFmtId="0" fontId="522" fillId="8" borderId="0" xfId="7" applyFont="1" applyFill="1" applyAlignment="1">
      <alignment horizontal="left" vertical="center"/>
    </xf>
    <xf numFmtId="0" fontId="546" fillId="8" borderId="0" xfId="7" applyFont="1" applyFill="1" applyAlignment="1">
      <alignment horizontal="right" vertical="center"/>
    </xf>
    <xf numFmtId="2" fontId="281" fillId="8" borderId="0" xfId="7" applyNumberFormat="1" applyFont="1" applyFill="1" applyAlignment="1">
      <alignment horizontal="left" vertical="center"/>
    </xf>
    <xf numFmtId="0" fontId="1" fillId="0" borderId="304" xfId="7" applyBorder="1"/>
    <xf numFmtId="0" fontId="522" fillId="8" borderId="279" xfId="7" applyFont="1" applyFill="1" applyBorder="1" applyAlignment="1">
      <alignment horizontal="left" vertical="center"/>
    </xf>
    <xf numFmtId="0" fontId="454" fillId="8" borderId="0" xfId="7" applyFont="1" applyFill="1" applyAlignment="1">
      <alignment horizontal="right" vertical="center"/>
    </xf>
    <xf numFmtId="0" fontId="536" fillId="8" borderId="0" xfId="7" applyFont="1" applyFill="1" applyAlignment="1">
      <alignment horizontal="center" vertical="center"/>
    </xf>
    <xf numFmtId="180" fontId="454" fillId="66" borderId="305" xfId="7" applyNumberFormat="1" applyFont="1" applyFill="1" applyBorder="1" applyAlignment="1" applyProtection="1">
      <alignment horizontal="center" vertical="center"/>
      <protection locked="0"/>
    </xf>
    <xf numFmtId="0" fontId="547" fillId="8" borderId="0" xfId="1" applyFont="1" applyFill="1" applyAlignment="1">
      <alignment horizontal="left" vertical="center"/>
    </xf>
    <xf numFmtId="0" fontId="447" fillId="8" borderId="0" xfId="5" applyFont="1" applyFill="1" applyAlignment="1">
      <alignment horizontal="right" vertical="center"/>
    </xf>
    <xf numFmtId="0" fontId="447" fillId="8" borderId="0" xfId="5" applyFont="1" applyFill="1" applyAlignment="1">
      <alignment horizontal="center" vertical="center"/>
    </xf>
    <xf numFmtId="0" fontId="281" fillId="8" borderId="0" xfId="7" applyFont="1" applyFill="1" applyAlignment="1">
      <alignment horizontal="right" vertical="center"/>
    </xf>
    <xf numFmtId="179" fontId="281" fillId="8" borderId="295" xfId="5" applyNumberFormat="1" applyFont="1" applyFill="1" applyBorder="1" applyAlignment="1">
      <alignment horizontal="center" vertical="center"/>
    </xf>
    <xf numFmtId="179" fontId="281" fillId="8" borderId="306" xfId="5" applyNumberFormat="1" applyFont="1" applyFill="1" applyBorder="1" applyAlignment="1">
      <alignment horizontal="center" vertical="center"/>
    </xf>
    <xf numFmtId="185" fontId="281" fillId="8" borderId="0" xfId="5" applyNumberFormat="1" applyFont="1" applyFill="1" applyAlignment="1">
      <alignment horizontal="centerContinuous" vertical="center"/>
    </xf>
    <xf numFmtId="0" fontId="281" fillId="8" borderId="0" xfId="7" applyFont="1" applyFill="1" applyAlignment="1">
      <alignment horizontal="left" vertical="center"/>
    </xf>
    <xf numFmtId="0" fontId="1" fillId="8" borderId="279" xfId="7" applyFill="1" applyBorder="1"/>
    <xf numFmtId="0" fontId="447" fillId="8" borderId="0" xfId="7" applyFont="1" applyFill="1" applyAlignment="1">
      <alignment horizontal="right" vertical="center"/>
    </xf>
    <xf numFmtId="179" fontId="447" fillId="8" borderId="295" xfId="5" applyNumberFormat="1" applyFont="1" applyFill="1" applyBorder="1" applyAlignment="1">
      <alignment horizontal="center" vertical="center"/>
    </xf>
    <xf numFmtId="179" fontId="447" fillId="8" borderId="306" xfId="5" applyNumberFormat="1" applyFont="1" applyFill="1" applyBorder="1" applyAlignment="1">
      <alignment horizontal="center" vertical="center"/>
    </xf>
    <xf numFmtId="185" fontId="444" fillId="8" borderId="0" xfId="5" applyNumberFormat="1" applyFont="1" applyFill="1" applyAlignment="1">
      <alignment horizontal="centerContinuous" vertical="center"/>
    </xf>
    <xf numFmtId="185" fontId="447" fillId="8" borderId="0" xfId="5" applyNumberFormat="1" applyFont="1" applyFill="1" applyAlignment="1">
      <alignment horizontal="centerContinuous" vertical="center"/>
    </xf>
    <xf numFmtId="185" fontId="548" fillId="8" borderId="0" xfId="5" applyNumberFormat="1" applyFont="1" applyFill="1" applyAlignment="1">
      <alignment horizontal="centerContinuous" vertical="center"/>
    </xf>
    <xf numFmtId="0" fontId="548" fillId="8" borderId="0" xfId="7" applyFont="1" applyFill="1" applyAlignment="1">
      <alignment horizontal="left" vertical="center"/>
    </xf>
    <xf numFmtId="0" fontId="549" fillId="8" borderId="0" xfId="7" applyFont="1" applyFill="1" applyAlignment="1">
      <alignment horizontal="left" vertical="center"/>
    </xf>
    <xf numFmtId="231" fontId="548" fillId="8" borderId="0" xfId="5" applyNumberFormat="1" applyFont="1" applyFill="1" applyAlignment="1">
      <alignment horizontal="centerContinuous" vertical="center"/>
    </xf>
    <xf numFmtId="0" fontId="547" fillId="8" borderId="0" xfId="1" applyFont="1" applyFill="1" applyAlignment="1">
      <alignment horizontal="center" vertical="center"/>
    </xf>
    <xf numFmtId="0" fontId="45" fillId="8" borderId="0" xfId="7" applyFont="1" applyFill="1" applyAlignment="1">
      <alignment horizontal="left" vertical="center"/>
    </xf>
    <xf numFmtId="0" fontId="68" fillId="8" borderId="0" xfId="7" applyFont="1" applyFill="1" applyAlignment="1">
      <alignment horizontal="left" vertical="center"/>
    </xf>
    <xf numFmtId="0" fontId="24" fillId="37" borderId="0" xfId="1" applyFont="1" applyFill="1" applyAlignment="1" applyProtection="1">
      <alignment horizontal="center" vertical="center"/>
      <protection locked="0"/>
    </xf>
    <xf numFmtId="0" fontId="13" fillId="8" borderId="0" xfId="7" applyFont="1" applyFill="1"/>
    <xf numFmtId="0" fontId="24" fillId="8" borderId="0" xfId="5" applyFont="1" applyFill="1" applyAlignment="1">
      <alignment vertical="center"/>
    </xf>
    <xf numFmtId="0" fontId="48" fillId="8" borderId="0" xfId="1" applyFont="1" applyFill="1" applyAlignment="1" applyProtection="1">
      <alignment vertical="center"/>
      <protection hidden="1"/>
    </xf>
    <xf numFmtId="0" fontId="13" fillId="8" borderId="0" xfId="27" applyFont="1" applyFill="1" applyAlignment="1">
      <alignment vertical="center"/>
    </xf>
    <xf numFmtId="0" fontId="13" fillId="8" borderId="0" xfId="27" applyFont="1" applyFill="1" applyAlignment="1">
      <alignment horizontal="right" vertical="center"/>
    </xf>
    <xf numFmtId="0" fontId="424" fillId="8" borderId="6" xfId="7" applyFont="1" applyFill="1" applyBorder="1" applyAlignment="1" applyProtection="1">
      <alignment horizontal="left" vertical="center"/>
      <protection locked="0"/>
    </xf>
    <xf numFmtId="0" fontId="175" fillId="8" borderId="48" xfId="7" applyFont="1" applyFill="1" applyBorder="1" applyAlignment="1" applyProtection="1">
      <alignment horizontal="right" vertical="center"/>
      <protection locked="0"/>
    </xf>
    <xf numFmtId="182" fontId="425" fillId="66" borderId="279" xfId="7" applyNumberFormat="1" applyFont="1" applyFill="1" applyBorder="1" applyAlignment="1" applyProtection="1">
      <alignment horizontal="center" vertical="center"/>
      <protection locked="0"/>
    </xf>
    <xf numFmtId="0" fontId="175" fillId="8" borderId="0" xfId="7" applyFont="1" applyFill="1" applyAlignment="1" applyProtection="1">
      <alignment horizontal="right" vertical="center"/>
      <protection locked="0"/>
    </xf>
    <xf numFmtId="0" fontId="134" fillId="8" borderId="0" xfId="7" applyFont="1" applyFill="1" applyAlignment="1" applyProtection="1">
      <alignment horizontal="right" vertical="center"/>
      <protection locked="0"/>
    </xf>
    <xf numFmtId="182" fontId="96" fillId="66" borderId="9" xfId="7" applyNumberFormat="1" applyFont="1" applyFill="1" applyBorder="1" applyAlignment="1" applyProtection="1">
      <alignment horizontal="center" vertical="center"/>
      <protection locked="0"/>
    </xf>
    <xf numFmtId="0" fontId="112" fillId="8" borderId="6" xfId="7" applyFont="1" applyFill="1" applyBorder="1" applyAlignment="1" applyProtection="1">
      <alignment horizontal="left" vertical="center"/>
      <protection locked="0"/>
    </xf>
    <xf numFmtId="0" fontId="112" fillId="8" borderId="0" xfId="7" applyFont="1" applyFill="1" applyAlignment="1" applyProtection="1">
      <alignment horizontal="right" vertical="center"/>
      <protection locked="0"/>
    </xf>
    <xf numFmtId="187" fontId="96" fillId="66" borderId="279" xfId="7" applyNumberFormat="1" applyFont="1" applyFill="1" applyBorder="1" applyAlignment="1" applyProtection="1">
      <alignment horizontal="center" vertical="center"/>
      <protection locked="0"/>
    </xf>
    <xf numFmtId="182" fontId="96" fillId="66" borderId="279" xfId="7" applyNumberFormat="1" applyFont="1" applyFill="1" applyBorder="1" applyAlignment="1" applyProtection="1">
      <alignment horizontal="center" vertical="center"/>
      <protection locked="0"/>
    </xf>
    <xf numFmtId="182" fontId="425" fillId="66" borderId="9" xfId="7" applyNumberFormat="1" applyFont="1" applyFill="1" applyBorder="1" applyAlignment="1" applyProtection="1">
      <alignment horizontal="center" vertical="center"/>
      <protection locked="0"/>
    </xf>
    <xf numFmtId="0" fontId="57" fillId="8" borderId="6" xfId="7" applyFont="1" applyFill="1" applyBorder="1" applyAlignment="1" applyProtection="1">
      <alignment horizontal="left" vertical="center"/>
      <protection locked="0"/>
    </xf>
    <xf numFmtId="0" fontId="57" fillId="8" borderId="0" xfId="7" applyFont="1" applyFill="1" applyAlignment="1" applyProtection="1">
      <alignment horizontal="right" vertical="center"/>
      <protection locked="0"/>
    </xf>
    <xf numFmtId="182" fontId="20" fillId="8" borderId="279" xfId="7" applyNumberFormat="1" applyFont="1" applyFill="1" applyBorder="1" applyAlignment="1" applyProtection="1">
      <alignment horizontal="center" vertical="center"/>
      <protection locked="0"/>
    </xf>
    <xf numFmtId="0" fontId="24" fillId="8" borderId="0" xfId="7" applyFont="1" applyFill="1" applyAlignment="1" applyProtection="1">
      <alignment horizontal="right" vertical="center"/>
      <protection locked="0"/>
    </xf>
    <xf numFmtId="182" fontId="20" fillId="8" borderId="9" xfId="7" applyNumberFormat="1" applyFont="1" applyFill="1" applyBorder="1" applyAlignment="1" applyProtection="1">
      <alignment horizontal="center" vertical="center"/>
      <protection locked="0"/>
    </xf>
    <xf numFmtId="0" fontId="20" fillId="8" borderId="0" xfId="7" applyFont="1" applyFill="1" applyAlignment="1" applyProtection="1">
      <alignment horizontal="right" vertical="center"/>
      <protection locked="0"/>
    </xf>
    <xf numFmtId="187" fontId="20" fillId="8" borderId="279" xfId="7" applyNumberFormat="1" applyFont="1" applyFill="1" applyBorder="1" applyAlignment="1" applyProtection="1">
      <alignment horizontal="center" vertical="center"/>
      <protection locked="0"/>
    </xf>
    <xf numFmtId="187" fontId="20" fillId="8" borderId="9" xfId="7" applyNumberFormat="1" applyFont="1" applyFill="1" applyBorder="1" applyAlignment="1" applyProtection="1">
      <alignment horizontal="center" vertical="center"/>
      <protection locked="0"/>
    </xf>
    <xf numFmtId="0" fontId="134" fillId="8" borderId="6" xfId="7" applyFont="1" applyFill="1" applyBorder="1" applyAlignment="1" applyProtection="1">
      <alignment horizontal="left" vertical="center"/>
      <protection locked="0"/>
    </xf>
    <xf numFmtId="0" fontId="96" fillId="8" borderId="0" xfId="7" applyFont="1" applyFill="1" applyAlignment="1" applyProtection="1">
      <alignment horizontal="right" vertical="center" wrapText="1"/>
      <protection locked="0"/>
    </xf>
    <xf numFmtId="175" fontId="98" fillId="66" borderId="279" xfId="7" applyNumberFormat="1" applyFont="1" applyFill="1" applyBorder="1" applyAlignment="1" applyProtection="1">
      <alignment horizontal="center" vertical="center"/>
      <protection locked="0"/>
    </xf>
    <xf numFmtId="0" fontId="112" fillId="8" borderId="0" xfId="7" applyFont="1" applyFill="1" applyAlignment="1" applyProtection="1">
      <alignment horizontal="right" vertical="center" wrapText="1"/>
      <protection locked="0"/>
    </xf>
    <xf numFmtId="0" fontId="20" fillId="8" borderId="128" xfId="7" applyFont="1" applyFill="1" applyBorder="1" applyAlignment="1" applyProtection="1">
      <alignment horizontal="left" vertical="center"/>
      <protection locked="0"/>
    </xf>
    <xf numFmtId="0" fontId="24" fillId="8" borderId="0" xfId="1" applyFont="1" applyFill="1" applyAlignment="1">
      <alignment horizontal="center" vertical="center"/>
    </xf>
    <xf numFmtId="0" fontId="24" fillId="8" borderId="0" xfId="1" applyFont="1" applyFill="1" applyAlignment="1">
      <alignment horizontal="centerContinuous" vertical="center"/>
    </xf>
    <xf numFmtId="0" fontId="550" fillId="0" borderId="0" xfId="7" applyFont="1" applyAlignment="1">
      <alignment horizontal="center" vertical="center"/>
    </xf>
    <xf numFmtId="0" fontId="550" fillId="8" borderId="0" xfId="7" applyFont="1" applyFill="1" applyAlignment="1">
      <alignment vertical="center"/>
    </xf>
    <xf numFmtId="0" fontId="550" fillId="0" borderId="0" xfId="7" applyFont="1" applyAlignment="1">
      <alignment vertical="center"/>
    </xf>
    <xf numFmtId="0" fontId="13" fillId="4" borderId="137" xfId="5" applyFont="1" applyFill="1" applyBorder="1" applyAlignment="1" applyProtection="1">
      <alignment horizontal="centerContinuous" vertical="center"/>
      <protection locked="0"/>
    </xf>
    <xf numFmtId="0" fontId="13" fillId="4" borderId="179" xfId="5" applyFont="1" applyFill="1" applyBorder="1" applyAlignment="1" applyProtection="1">
      <alignment horizontal="right" vertical="center"/>
      <protection locked="0"/>
    </xf>
    <xf numFmtId="0" fontId="176" fillId="65" borderId="278" xfId="7" applyFont="1" applyFill="1" applyBorder="1" applyAlignment="1" applyProtection="1">
      <alignment horizontal="right" vertical="center"/>
      <protection locked="0"/>
    </xf>
    <xf numFmtId="168" fontId="121" fillId="20" borderId="279" xfId="7" applyNumberFormat="1" applyFont="1" applyFill="1" applyBorder="1" applyAlignment="1" applyProtection="1">
      <alignment horizontal="center" vertical="center"/>
      <protection locked="0"/>
    </xf>
    <xf numFmtId="0" fontId="176" fillId="8" borderId="0" xfId="7" applyFont="1" applyFill="1" applyAlignment="1" applyProtection="1">
      <alignment horizontal="right" vertical="center"/>
      <protection locked="0"/>
    </xf>
    <xf numFmtId="185" fontId="121" fillId="66" borderId="279" xfId="7" applyNumberFormat="1" applyFont="1" applyFill="1" applyBorder="1" applyAlignment="1" applyProtection="1">
      <alignment horizontal="center" vertical="center"/>
      <protection locked="0"/>
    </xf>
    <xf numFmtId="0" fontId="84" fillId="65" borderId="278" xfId="7" applyFont="1" applyFill="1" applyBorder="1" applyAlignment="1" applyProtection="1">
      <alignment horizontal="right" vertical="center"/>
      <protection locked="0"/>
    </xf>
    <xf numFmtId="168" fontId="84" fillId="66" borderId="279" xfId="7" applyNumberFormat="1" applyFont="1" applyFill="1" applyBorder="1" applyAlignment="1" applyProtection="1">
      <alignment horizontal="center" vertical="center"/>
      <protection locked="0"/>
    </xf>
    <xf numFmtId="0" fontId="84" fillId="8" borderId="0" xfId="7" applyFont="1" applyFill="1" applyAlignment="1" applyProtection="1">
      <alignment horizontal="right" vertical="center"/>
      <protection locked="0"/>
    </xf>
    <xf numFmtId="175" fontId="84" fillId="66" borderId="279" xfId="7" applyNumberFormat="1" applyFont="1" applyFill="1" applyBorder="1" applyAlignment="1" applyProtection="1">
      <alignment horizontal="center" vertical="center"/>
      <protection locked="0"/>
    </xf>
    <xf numFmtId="185" fontId="84" fillId="66" borderId="279" xfId="7" applyNumberFormat="1" applyFont="1" applyFill="1" applyBorder="1" applyAlignment="1" applyProtection="1">
      <alignment horizontal="center" vertical="center"/>
      <protection locked="0"/>
    </xf>
    <xf numFmtId="0" fontId="57" fillId="65" borderId="278" xfId="7" applyFont="1" applyFill="1" applyBorder="1" applyAlignment="1" applyProtection="1">
      <alignment horizontal="right" vertical="center"/>
      <protection locked="0"/>
    </xf>
    <xf numFmtId="168" fontId="57" fillId="65" borderId="279" xfId="7" applyNumberFormat="1" applyFont="1" applyFill="1" applyBorder="1" applyAlignment="1" applyProtection="1">
      <alignment horizontal="center" vertical="center"/>
      <protection locked="0"/>
    </xf>
    <xf numFmtId="231" fontId="57" fillId="65" borderId="279" xfId="7" applyNumberFormat="1" applyFont="1" applyFill="1" applyBorder="1" applyAlignment="1" applyProtection="1">
      <alignment horizontal="center" vertical="center"/>
      <protection locked="0"/>
    </xf>
    <xf numFmtId="185" fontId="57" fillId="65" borderId="279" xfId="7" applyNumberFormat="1" applyFont="1" applyFill="1" applyBorder="1" applyAlignment="1" applyProtection="1">
      <alignment horizontal="center" vertical="center"/>
      <protection locked="0"/>
    </xf>
    <xf numFmtId="0" fontId="36" fillId="65" borderId="278" xfId="7" applyFont="1" applyFill="1" applyBorder="1" applyAlignment="1" applyProtection="1">
      <alignment horizontal="right" vertical="center"/>
      <protection locked="0"/>
    </xf>
    <xf numFmtId="185" fontId="36" fillId="66" borderId="279" xfId="7" applyNumberFormat="1" applyFont="1" applyFill="1" applyBorder="1" applyAlignment="1" applyProtection="1">
      <alignment horizontal="center" vertical="center"/>
      <protection locked="0"/>
    </xf>
    <xf numFmtId="0" fontId="176" fillId="65" borderId="0" xfId="7" applyFont="1" applyFill="1" applyAlignment="1" applyProtection="1">
      <alignment horizontal="right" vertical="center"/>
      <protection locked="0"/>
    </xf>
    <xf numFmtId="175" fontId="58" fillId="66" borderId="279" xfId="7" applyNumberFormat="1" applyFont="1" applyFill="1" applyBorder="1" applyAlignment="1" applyProtection="1">
      <alignment horizontal="center" vertical="center"/>
      <protection locked="0"/>
    </xf>
    <xf numFmtId="185" fontId="58" fillId="66" borderId="279" xfId="7" applyNumberFormat="1" applyFont="1" applyFill="1" applyBorder="1" applyAlignment="1" applyProtection="1">
      <alignment horizontal="center" vertical="center"/>
      <protection locked="0"/>
    </xf>
    <xf numFmtId="0" fontId="72" fillId="8" borderId="0" xfId="7" applyFont="1" applyFill="1" applyAlignment="1">
      <alignment vertical="center"/>
    </xf>
    <xf numFmtId="0" fontId="72" fillId="8" borderId="0" xfId="7" applyFont="1" applyFill="1"/>
    <xf numFmtId="0" fontId="0" fillId="8" borderId="0" xfId="7" applyFont="1" applyFill="1"/>
    <xf numFmtId="0" fontId="58" fillId="8" borderId="0" xfId="7" applyFont="1" applyFill="1"/>
    <xf numFmtId="0" fontId="176" fillId="8" borderId="0" xfId="7" applyFont="1" applyFill="1"/>
    <xf numFmtId="0" fontId="134" fillId="65" borderId="6" xfId="7" applyFont="1" applyFill="1" applyBorder="1" applyAlignment="1" applyProtection="1">
      <alignment horizontal="right" vertical="center"/>
      <protection locked="0"/>
    </xf>
    <xf numFmtId="232" fontId="134" fillId="66" borderId="9" xfId="7" applyNumberFormat="1" applyFont="1" applyFill="1" applyBorder="1" applyAlignment="1" applyProtection="1">
      <alignment horizontal="center" vertical="center"/>
      <protection locked="0"/>
    </xf>
    <xf numFmtId="232" fontId="154" fillId="66" borderId="9" xfId="7" applyNumberFormat="1" applyFont="1" applyFill="1" applyBorder="1" applyAlignment="1" applyProtection="1">
      <alignment horizontal="center" vertical="center"/>
      <protection locked="0"/>
    </xf>
    <xf numFmtId="0" fontId="175" fillId="65" borderId="6" xfId="7" applyFont="1" applyFill="1" applyBorder="1" applyAlignment="1" applyProtection="1">
      <alignment horizontal="right" vertical="center"/>
      <protection locked="0"/>
    </xf>
    <xf numFmtId="175" fontId="97" fillId="66" borderId="9" xfId="7" applyNumberFormat="1" applyFont="1" applyFill="1" applyBorder="1" applyAlignment="1" applyProtection="1">
      <alignment horizontal="center" vertical="center"/>
      <protection locked="0"/>
    </xf>
    <xf numFmtId="0" fontId="13" fillId="65" borderId="6" xfId="7" applyFont="1" applyFill="1" applyBorder="1" applyAlignment="1" applyProtection="1">
      <alignment horizontal="right" vertical="center"/>
      <protection locked="0"/>
    </xf>
    <xf numFmtId="2" fontId="13" fillId="65" borderId="9" xfId="7" applyNumberFormat="1" applyFont="1" applyFill="1" applyBorder="1" applyAlignment="1" applyProtection="1">
      <alignment horizontal="center" vertical="center"/>
      <protection locked="0"/>
    </xf>
    <xf numFmtId="0" fontId="13" fillId="65" borderId="58" xfId="7" applyFont="1" applyFill="1" applyBorder="1" applyAlignment="1" applyProtection="1">
      <alignment horizontal="right" vertical="center"/>
      <protection locked="0"/>
    </xf>
    <xf numFmtId="174" fontId="13" fillId="8" borderId="59" xfId="7" applyNumberFormat="1" applyFont="1" applyFill="1" applyBorder="1" applyAlignment="1" applyProtection="1">
      <alignment horizontal="center" vertical="center"/>
      <protection locked="0"/>
    </xf>
    <xf numFmtId="0" fontId="84" fillId="65" borderId="6" xfId="7" applyFont="1" applyFill="1" applyBorder="1" applyAlignment="1" applyProtection="1">
      <alignment horizontal="right" vertical="center"/>
      <protection locked="0"/>
    </xf>
    <xf numFmtId="232" fontId="84" fillId="66" borderId="9" xfId="7" applyNumberFormat="1" applyFont="1" applyFill="1" applyBorder="1" applyAlignment="1" applyProtection="1">
      <alignment horizontal="center" vertical="center"/>
      <protection locked="0"/>
    </xf>
    <xf numFmtId="0" fontId="176" fillId="65" borderId="6" xfId="7" applyFont="1" applyFill="1" applyBorder="1" applyAlignment="1" applyProtection="1">
      <alignment horizontal="right" vertical="center"/>
      <protection locked="0"/>
    </xf>
    <xf numFmtId="175" fontId="58" fillId="66" borderId="9" xfId="7" applyNumberFormat="1" applyFont="1" applyFill="1" applyBorder="1" applyAlignment="1" applyProtection="1">
      <alignment horizontal="center" vertical="center"/>
      <protection locked="0"/>
    </xf>
    <xf numFmtId="0" fontId="57" fillId="65" borderId="6" xfId="7" applyFont="1" applyFill="1" applyBorder="1" applyAlignment="1" applyProtection="1">
      <alignment horizontal="right" vertical="center"/>
      <protection locked="0"/>
    </xf>
    <xf numFmtId="166" fontId="57" fillId="8" borderId="9" xfId="7" applyNumberFormat="1" applyFont="1" applyFill="1" applyBorder="1" applyAlignment="1" applyProtection="1">
      <alignment horizontal="center" vertical="center"/>
      <protection locked="0"/>
    </xf>
    <xf numFmtId="0" fontId="96" fillId="65" borderId="6" xfId="7" applyFont="1" applyFill="1" applyBorder="1" applyAlignment="1" applyProtection="1">
      <alignment horizontal="right" vertical="center"/>
      <protection locked="0"/>
    </xf>
    <xf numFmtId="232" fontId="96" fillId="66" borderId="9" xfId="7" applyNumberFormat="1" applyFont="1" applyFill="1" applyBorder="1" applyAlignment="1" applyProtection="1">
      <alignment horizontal="center" vertical="center"/>
      <protection locked="0"/>
    </xf>
    <xf numFmtId="167" fontId="57" fillId="65" borderId="9" xfId="7" applyNumberFormat="1" applyFont="1" applyFill="1" applyBorder="1" applyAlignment="1" applyProtection="1">
      <alignment horizontal="center" vertical="center"/>
      <protection locked="0"/>
    </xf>
    <xf numFmtId="0" fontId="551" fillId="65" borderId="6" xfId="7" applyFont="1" applyFill="1" applyBorder="1" applyAlignment="1" applyProtection="1">
      <alignment horizontal="right" vertical="center"/>
      <protection locked="0"/>
    </xf>
    <xf numFmtId="175" fontId="3" fillId="66" borderId="9" xfId="7" applyNumberFormat="1" applyFont="1" applyFill="1" applyBorder="1" applyAlignment="1" applyProtection="1">
      <alignment horizontal="center" vertical="center"/>
      <protection locked="0"/>
    </xf>
    <xf numFmtId="166" fontId="13" fillId="8" borderId="9" xfId="7" applyNumberFormat="1" applyFont="1" applyFill="1" applyBorder="1" applyAlignment="1" applyProtection="1">
      <alignment horizontal="center" vertical="center"/>
      <protection locked="0"/>
    </xf>
    <xf numFmtId="167" fontId="13" fillId="65" borderId="310" xfId="7" applyNumberFormat="1" applyFont="1" applyFill="1" applyBorder="1" applyAlignment="1" applyProtection="1">
      <alignment horizontal="center" vertical="center"/>
      <protection locked="0"/>
    </xf>
    <xf numFmtId="166" fontId="13" fillId="8" borderId="174" xfId="7" applyNumberFormat="1" applyFont="1" applyFill="1" applyBorder="1" applyAlignment="1" applyProtection="1">
      <alignment horizontal="center" vertical="center"/>
      <protection locked="0"/>
    </xf>
    <xf numFmtId="2" fontId="13" fillId="65" borderId="58" xfId="7" applyNumberFormat="1" applyFont="1" applyFill="1" applyBorder="1" applyAlignment="1" applyProtection="1">
      <alignment horizontal="center" vertical="center"/>
      <protection locked="0"/>
    </xf>
    <xf numFmtId="166" fontId="13" fillId="8" borderId="59" xfId="7" applyNumberFormat="1" applyFont="1" applyFill="1" applyBorder="1" applyAlignment="1" applyProtection="1">
      <alignment horizontal="center" vertical="center"/>
      <protection locked="0"/>
    </xf>
    <xf numFmtId="167" fontId="57" fillId="65" borderId="58" xfId="7" applyNumberFormat="1" applyFont="1" applyFill="1" applyBorder="1" applyAlignment="1" applyProtection="1">
      <alignment horizontal="center" vertical="center"/>
      <protection locked="0"/>
    </xf>
    <xf numFmtId="0" fontId="183" fillId="8" borderId="0" xfId="34" applyFont="1" applyFill="1"/>
    <xf numFmtId="0" fontId="32" fillId="160" borderId="0" xfId="1" applyFont="1" applyFill="1" applyAlignment="1" applyProtection="1">
      <alignment horizontal="center" vertical="center"/>
      <protection hidden="1"/>
    </xf>
    <xf numFmtId="0" fontId="72" fillId="13" borderId="0" xfId="1" applyFont="1" applyFill="1" applyAlignment="1">
      <alignment horizontal="left" vertical="center"/>
    </xf>
    <xf numFmtId="0" fontId="361" fillId="13" borderId="0" xfId="1" applyFont="1" applyFill="1" applyAlignment="1">
      <alignment horizontal="centerContinuous" vertical="center"/>
    </xf>
    <xf numFmtId="0" fontId="361" fillId="13" borderId="0" xfId="1" applyFont="1" applyFill="1" applyAlignment="1">
      <alignment horizontal="center" vertical="center"/>
    </xf>
    <xf numFmtId="0" fontId="147" fillId="8" borderId="0" xfId="1" applyFont="1" applyFill="1" applyProtection="1">
      <protection hidden="1"/>
    </xf>
    <xf numFmtId="0" fontId="144" fillId="8" borderId="0" xfId="7" applyFont="1" applyFill="1"/>
    <xf numFmtId="0" fontId="108" fillId="8" borderId="0" xfId="7" applyFont="1" applyFill="1"/>
    <xf numFmtId="0" fontId="1" fillId="7" borderId="0" xfId="7" applyFill="1"/>
    <xf numFmtId="179" fontId="10" fillId="7" borderId="255" xfId="7" applyNumberFormat="1" applyFont="1" applyFill="1" applyBorder="1" applyAlignment="1">
      <alignment horizontal="center" vertical="center"/>
    </xf>
    <xf numFmtId="9" fontId="10" fillId="142" borderId="135" xfId="7" applyNumberFormat="1" applyFont="1" applyFill="1" applyBorder="1" applyAlignment="1">
      <alignment horizontal="center" vertical="center"/>
    </xf>
    <xf numFmtId="0" fontId="1" fillId="142" borderId="0" xfId="7" applyFill="1" applyAlignment="1">
      <alignment horizontal="centerContinuous" vertical="center" wrapText="1"/>
    </xf>
    <xf numFmtId="206" fontId="24" fillId="159" borderId="9" xfId="7" applyNumberFormat="1" applyFont="1" applyFill="1" applyBorder="1" applyAlignment="1">
      <alignment horizontal="centerContinuous" vertical="center" wrapText="1"/>
    </xf>
    <xf numFmtId="186" fontId="134" fillId="66" borderId="135" xfId="7" applyNumberFormat="1" applyFont="1" applyFill="1" applyBorder="1" applyAlignment="1">
      <alignment horizontal="center" vertical="center"/>
    </xf>
    <xf numFmtId="175" fontId="154" fillId="20" borderId="0" xfId="7" applyNumberFormat="1" applyFont="1" applyFill="1" applyAlignment="1" applyProtection="1">
      <alignment horizontal="center" vertical="center"/>
      <protection locked="0"/>
    </xf>
    <xf numFmtId="174" fontId="13" fillId="7" borderId="9" xfId="7" applyNumberFormat="1" applyFont="1" applyFill="1" applyBorder="1" applyAlignment="1" applyProtection="1">
      <alignment horizontal="center" vertical="center"/>
      <protection locked="0"/>
    </xf>
    <xf numFmtId="174" fontId="13" fillId="7" borderId="0" xfId="7" applyNumberFormat="1" applyFont="1" applyFill="1" applyAlignment="1" applyProtection="1">
      <alignment horizontal="center" vertical="center"/>
      <protection locked="0"/>
    </xf>
    <xf numFmtId="175" fontId="154" fillId="66" borderId="0" xfId="7" applyNumberFormat="1" applyFont="1" applyFill="1" applyAlignment="1" applyProtection="1">
      <alignment horizontal="center" vertical="center"/>
      <protection locked="0"/>
    </xf>
    <xf numFmtId="186" fontId="134" fillId="66" borderId="291" xfId="7" applyNumberFormat="1" applyFont="1" applyFill="1" applyBorder="1" applyAlignment="1">
      <alignment horizontal="center" vertical="center"/>
    </xf>
    <xf numFmtId="0" fontId="57" fillId="8" borderId="6" xfId="1" applyFont="1" applyFill="1" applyBorder="1" applyAlignment="1">
      <alignment horizontal="left" vertical="center"/>
    </xf>
    <xf numFmtId="0" fontId="551" fillId="8" borderId="0" xfId="7" applyFont="1" applyFill="1"/>
    <xf numFmtId="0" fontId="556" fillId="8" borderId="6" xfId="1" applyFont="1" applyFill="1" applyBorder="1" applyAlignment="1">
      <alignment horizontal="right" vertical="center"/>
    </xf>
    <xf numFmtId="0" fontId="155" fillId="8" borderId="3" xfId="1" applyFont="1" applyFill="1" applyBorder="1" applyAlignment="1">
      <alignment horizontal="center" vertical="center" wrapText="1"/>
    </xf>
    <xf numFmtId="0" fontId="155" fillId="8" borderId="59" xfId="1" applyFont="1" applyFill="1" applyBorder="1" applyAlignment="1">
      <alignment horizontal="center" vertical="center" wrapText="1"/>
    </xf>
    <xf numFmtId="0" fontId="556" fillId="8" borderId="121" xfId="1" applyFont="1" applyFill="1" applyBorder="1" applyAlignment="1">
      <alignment horizontal="right" vertical="center"/>
    </xf>
    <xf numFmtId="0" fontId="1" fillId="8" borderId="68" xfId="7" applyFill="1" applyBorder="1"/>
    <xf numFmtId="0" fontId="1" fillId="0" borderId="68" xfId="7" applyBorder="1"/>
    <xf numFmtId="0" fontId="1" fillId="0" borderId="122" xfId="7" applyBorder="1"/>
    <xf numFmtId="0" fontId="57" fillId="8" borderId="218" xfId="1" applyFont="1" applyFill="1" applyBorder="1" applyAlignment="1">
      <alignment horizontal="left" vertical="center"/>
    </xf>
    <xf numFmtId="0" fontId="57" fillId="8" borderId="130" xfId="1" applyFont="1" applyFill="1" applyBorder="1" applyAlignment="1">
      <alignment horizontal="left" vertical="center"/>
    </xf>
    <xf numFmtId="0" fontId="20" fillId="8" borderId="130" xfId="7" applyFont="1" applyFill="1" applyBorder="1"/>
    <xf numFmtId="0" fontId="155" fillId="8" borderId="219" xfId="1" applyFont="1" applyFill="1" applyBorder="1" applyAlignment="1">
      <alignment horizontal="center" vertical="center" wrapText="1"/>
    </xf>
    <xf numFmtId="0" fontId="551" fillId="8" borderId="3" xfId="7" applyFont="1" applyFill="1" applyBorder="1"/>
    <xf numFmtId="0" fontId="3" fillId="8" borderId="3" xfId="7" applyFont="1" applyFill="1" applyBorder="1"/>
    <xf numFmtId="0" fontId="29" fillId="42" borderId="0" xfId="1" applyFont="1" applyFill="1" applyAlignment="1">
      <alignment horizontal="center" vertical="center"/>
    </xf>
    <xf numFmtId="0" fontId="69" fillId="8" borderId="0" xfId="1" applyFont="1" applyFill="1" applyAlignment="1">
      <alignment horizontal="center" vertical="center" wrapText="1"/>
    </xf>
    <xf numFmtId="0" fontId="69" fillId="8" borderId="0" xfId="1" applyFont="1" applyFill="1" applyProtection="1">
      <protection hidden="1"/>
    </xf>
    <xf numFmtId="0" fontId="69" fillId="8" borderId="0" xfId="1" applyFont="1" applyFill="1" applyAlignment="1">
      <alignment horizontal="center" vertical="center"/>
    </xf>
    <xf numFmtId="0" fontId="69" fillId="8" borderId="0" xfId="1" applyFont="1" applyFill="1" applyAlignment="1">
      <alignment horizontal="centerContinuous" vertical="center"/>
    </xf>
    <xf numFmtId="2" fontId="26" fillId="65" borderId="0" xfId="7" applyNumberFormat="1" applyFont="1" applyFill="1" applyAlignment="1" applyProtection="1">
      <alignment horizontal="center" vertical="center"/>
      <protection locked="0"/>
    </xf>
    <xf numFmtId="166" fontId="13" fillId="8" borderId="0" xfId="7" applyNumberFormat="1" applyFont="1" applyFill="1" applyAlignment="1" applyProtection="1">
      <alignment horizontal="center" vertical="center"/>
      <protection locked="0"/>
    </xf>
    <xf numFmtId="0" fontId="73" fillId="8" borderId="0" xfId="1" applyFont="1" applyFill="1" applyAlignment="1">
      <alignment horizontal="center" vertical="center"/>
    </xf>
    <xf numFmtId="0" fontId="87" fillId="8" borderId="0" xfId="7" applyFont="1" applyFill="1"/>
    <xf numFmtId="0" fontId="151" fillId="8" borderId="0" xfId="34" applyFont="1" applyFill="1"/>
    <xf numFmtId="0" fontId="184" fillId="8" borderId="0" xfId="7" applyFont="1" applyFill="1"/>
    <xf numFmtId="0" fontId="86" fillId="8" borderId="0" xfId="17" applyFill="1"/>
    <xf numFmtId="0" fontId="2" fillId="71" borderId="0" xfId="3" applyFont="1" applyFill="1" applyAlignment="1">
      <alignment horizontal="right" vertical="center"/>
    </xf>
    <xf numFmtId="0" fontId="69" fillId="0" borderId="0" xfId="3" applyFont="1" applyAlignment="1">
      <alignment horizontal="center" vertical="center"/>
    </xf>
    <xf numFmtId="0" fontId="168" fillId="88" borderId="0" xfId="3" applyFont="1" applyFill="1" applyAlignment="1">
      <alignment vertical="center"/>
    </xf>
    <xf numFmtId="0" fontId="5" fillId="176" borderId="0" xfId="46" applyFont="1" applyFill="1" applyAlignment="1">
      <alignment horizontal="center" vertical="center"/>
    </xf>
    <xf numFmtId="0" fontId="558" fillId="65" borderId="0" xfId="46" applyFont="1" applyFill="1" applyAlignment="1">
      <alignment horizontal="center" vertical="center"/>
    </xf>
    <xf numFmtId="0" fontId="1" fillId="177" borderId="0" xfId="46" applyFont="1" applyFill="1" applyAlignment="1">
      <alignment horizontal="center" vertical="center"/>
    </xf>
    <xf numFmtId="0" fontId="558" fillId="178" borderId="0" xfId="46" applyFont="1" applyFill="1" applyAlignment="1">
      <alignment horizontal="center" vertical="center"/>
    </xf>
    <xf numFmtId="0" fontId="5" fillId="179" borderId="0" xfId="46" applyFont="1" applyFill="1" applyAlignment="1">
      <alignment horizontal="center" vertical="center"/>
    </xf>
    <xf numFmtId="0" fontId="558" fillId="180" borderId="0" xfId="46" applyFont="1" applyFill="1" applyAlignment="1">
      <alignment horizontal="center" vertical="center"/>
    </xf>
    <xf numFmtId="0" fontId="558" fillId="181" borderId="0" xfId="46" applyFont="1" applyFill="1" applyAlignment="1">
      <alignment horizontal="center" vertical="center"/>
    </xf>
    <xf numFmtId="0" fontId="558" fillId="182" borderId="0" xfId="46" applyFont="1" applyFill="1" applyAlignment="1">
      <alignment horizontal="center" vertical="center"/>
    </xf>
    <xf numFmtId="0" fontId="5" fillId="183" borderId="0" xfId="46" applyFont="1" applyFill="1" applyAlignment="1">
      <alignment horizontal="center" vertical="center"/>
    </xf>
    <xf numFmtId="0" fontId="5" fillId="184" borderId="0" xfId="46" applyFont="1" applyFill="1" applyAlignment="1">
      <alignment horizontal="center" vertical="center"/>
    </xf>
    <xf numFmtId="0" fontId="5" fillId="185" borderId="0" xfId="46" applyFont="1" applyFill="1" applyAlignment="1">
      <alignment horizontal="center" vertical="center"/>
    </xf>
    <xf numFmtId="0" fontId="558" fillId="186" borderId="0" xfId="46" applyFont="1" applyFill="1" applyAlignment="1">
      <alignment horizontal="center" vertical="center"/>
    </xf>
    <xf numFmtId="0" fontId="5" fillId="187" borderId="0" xfId="46" applyFont="1" applyFill="1" applyAlignment="1">
      <alignment horizontal="center" vertical="center"/>
    </xf>
    <xf numFmtId="0" fontId="558" fillId="188" borderId="0" xfId="46" applyFont="1" applyFill="1" applyAlignment="1">
      <alignment horizontal="center" vertical="center"/>
    </xf>
    <xf numFmtId="0" fontId="558" fillId="163" borderId="0" xfId="46" applyFont="1" applyFill="1" applyAlignment="1">
      <alignment horizontal="center" vertical="center"/>
    </xf>
    <xf numFmtId="0" fontId="558" fillId="5" borderId="0" xfId="46" applyFont="1" applyFill="1" applyAlignment="1">
      <alignment horizontal="center" vertical="center"/>
    </xf>
    <xf numFmtId="0" fontId="558" fillId="189" borderId="0" xfId="46" applyFont="1" applyFill="1" applyAlignment="1">
      <alignment horizontal="center" vertical="center"/>
    </xf>
    <xf numFmtId="0" fontId="5" fillId="190" borderId="0" xfId="46" applyFont="1" applyFill="1" applyAlignment="1">
      <alignment horizontal="center" vertical="center"/>
    </xf>
    <xf numFmtId="0" fontId="558" fillId="66" borderId="0" xfId="46" applyFont="1" applyFill="1" applyAlignment="1">
      <alignment horizontal="center" vertical="center"/>
    </xf>
    <xf numFmtId="0" fontId="558" fillId="191" borderId="0" xfId="46" applyFont="1" applyFill="1" applyAlignment="1">
      <alignment horizontal="center" vertical="center"/>
    </xf>
    <xf numFmtId="0" fontId="5" fillId="192" borderId="0" xfId="46" applyFont="1" applyFill="1" applyAlignment="1">
      <alignment horizontal="center" vertical="center"/>
    </xf>
    <xf numFmtId="0" fontId="558" fillId="193" borderId="0" xfId="46" applyFont="1" applyFill="1" applyAlignment="1">
      <alignment horizontal="center" vertical="center"/>
    </xf>
    <xf numFmtId="0" fontId="558" fillId="194" borderId="0" xfId="46" applyFont="1" applyFill="1" applyAlignment="1">
      <alignment horizontal="center" vertical="center"/>
    </xf>
    <xf numFmtId="0" fontId="558" fillId="195" borderId="0" xfId="46" applyFont="1" applyFill="1" applyAlignment="1">
      <alignment horizontal="center" vertical="center"/>
    </xf>
    <xf numFmtId="0" fontId="5" fillId="196" borderId="0" xfId="46" applyFont="1" applyFill="1" applyAlignment="1">
      <alignment horizontal="center" vertical="center"/>
    </xf>
    <xf numFmtId="0" fontId="5" fillId="197" borderId="0" xfId="46" applyFont="1" applyFill="1" applyAlignment="1">
      <alignment horizontal="center" vertical="center"/>
    </xf>
    <xf numFmtId="0" fontId="558" fillId="198" borderId="0" xfId="46" applyFont="1" applyFill="1" applyAlignment="1">
      <alignment horizontal="center" vertical="center"/>
    </xf>
    <xf numFmtId="0" fontId="558" fillId="199" borderId="0" xfId="46" applyFont="1" applyFill="1" applyAlignment="1">
      <alignment horizontal="center" vertical="center"/>
    </xf>
    <xf numFmtId="0" fontId="5" fillId="200" borderId="0" xfId="46" applyFont="1" applyFill="1" applyAlignment="1">
      <alignment horizontal="center" vertical="center"/>
    </xf>
    <xf numFmtId="0" fontId="5" fillId="201" borderId="0" xfId="46" applyFont="1" applyFill="1" applyAlignment="1">
      <alignment horizontal="center" vertical="center"/>
    </xf>
    <xf numFmtId="0" fontId="5" fillId="202" borderId="0" xfId="46" applyFont="1" applyFill="1" applyAlignment="1">
      <alignment horizontal="center" vertical="center"/>
    </xf>
    <xf numFmtId="0" fontId="5" fillId="203" borderId="0" xfId="46" applyFont="1" applyFill="1" applyAlignment="1">
      <alignment horizontal="center" vertical="center"/>
    </xf>
    <xf numFmtId="0" fontId="558" fillId="204" borderId="0" xfId="46" applyFont="1" applyFill="1" applyAlignment="1">
      <alignment horizontal="center" vertical="center"/>
    </xf>
    <xf numFmtId="0" fontId="558" fillId="205" borderId="0" xfId="46" applyFont="1" applyFill="1" applyAlignment="1">
      <alignment horizontal="center" vertical="center"/>
    </xf>
    <xf numFmtId="0" fontId="558" fillId="157" borderId="0" xfId="46" applyFont="1" applyFill="1" applyAlignment="1">
      <alignment horizontal="center" vertical="center"/>
    </xf>
    <xf numFmtId="0" fontId="558" fillId="172" borderId="0" xfId="46" applyFont="1" applyFill="1" applyAlignment="1">
      <alignment horizontal="center" vertical="center"/>
    </xf>
    <xf numFmtId="0" fontId="558" fillId="206" borderId="0" xfId="46" applyFont="1" applyFill="1" applyAlignment="1">
      <alignment horizontal="center" vertical="center"/>
    </xf>
    <xf numFmtId="0" fontId="558" fillId="207" borderId="0" xfId="46" applyFont="1" applyFill="1" applyAlignment="1">
      <alignment horizontal="center" vertical="center"/>
    </xf>
    <xf numFmtId="0" fontId="558" fillId="161" borderId="0" xfId="46" applyFont="1" applyFill="1" applyAlignment="1">
      <alignment horizontal="center" vertical="center"/>
    </xf>
    <xf numFmtId="0" fontId="558" fillId="208" borderId="0" xfId="46" applyFont="1" applyFill="1" applyAlignment="1">
      <alignment horizontal="center" vertical="center"/>
    </xf>
    <xf numFmtId="0" fontId="5" fillId="209" borderId="0" xfId="46" applyFont="1" applyFill="1" applyAlignment="1">
      <alignment horizontal="center" vertical="center"/>
    </xf>
    <xf numFmtId="0" fontId="558" fillId="210" borderId="0" xfId="46" applyFont="1" applyFill="1" applyAlignment="1">
      <alignment horizontal="center" vertical="center"/>
    </xf>
    <xf numFmtId="0" fontId="558" fillId="168" borderId="0" xfId="46" applyFont="1" applyFill="1" applyAlignment="1">
      <alignment horizontal="center" vertical="center"/>
    </xf>
    <xf numFmtId="0" fontId="558" fillId="211" borderId="0" xfId="46" applyFont="1" applyFill="1" applyAlignment="1">
      <alignment horizontal="center" vertical="center"/>
    </xf>
    <xf numFmtId="0" fontId="558" fillId="212" borderId="0" xfId="46" applyFont="1" applyFill="1" applyAlignment="1">
      <alignment horizontal="center" vertical="center"/>
    </xf>
    <xf numFmtId="0" fontId="5" fillId="174" borderId="0" xfId="46" applyFont="1" applyFill="1" applyAlignment="1">
      <alignment horizontal="center" vertical="center"/>
    </xf>
    <xf numFmtId="0" fontId="5" fillId="213" borderId="0" xfId="46" applyFont="1" applyFill="1" applyAlignment="1">
      <alignment horizontal="center" vertical="center"/>
    </xf>
    <xf numFmtId="0" fontId="5" fillId="214" borderId="0" xfId="46" applyFont="1" applyFill="1" applyAlignment="1">
      <alignment horizontal="center" vertical="center"/>
    </xf>
    <xf numFmtId="0" fontId="5" fillId="215" borderId="0" xfId="46" applyFont="1" applyFill="1" applyAlignment="1">
      <alignment horizontal="center" vertical="center"/>
    </xf>
    <xf numFmtId="0" fontId="5" fillId="216" borderId="0" xfId="46" applyFont="1" applyFill="1" applyAlignment="1">
      <alignment horizontal="center" vertical="center"/>
    </xf>
    <xf numFmtId="0" fontId="5" fillId="217" borderId="0" xfId="46" applyFont="1" applyFill="1" applyAlignment="1">
      <alignment horizontal="center" vertical="center"/>
    </xf>
    <xf numFmtId="0" fontId="5" fillId="218" borderId="0" xfId="46" applyFont="1" applyFill="1" applyAlignment="1">
      <alignment horizontal="center" vertical="center"/>
    </xf>
    <xf numFmtId="0" fontId="5" fillId="219" borderId="0" xfId="46" applyFont="1" applyFill="1" applyAlignment="1">
      <alignment horizontal="center" vertical="center"/>
    </xf>
    <xf numFmtId="0" fontId="5" fillId="220" borderId="0" xfId="46" applyFont="1" applyFill="1" applyAlignment="1">
      <alignment horizontal="center" vertical="center"/>
    </xf>
    <xf numFmtId="0" fontId="5" fillId="221" borderId="0" xfId="46" applyFont="1" applyFill="1" applyAlignment="1">
      <alignment horizontal="center" vertical="center"/>
    </xf>
    <xf numFmtId="0" fontId="5" fillId="222" borderId="0" xfId="46" applyFont="1" applyFill="1" applyAlignment="1">
      <alignment horizontal="center" vertical="center"/>
    </xf>
    <xf numFmtId="0" fontId="48" fillId="8" borderId="278" xfId="6" applyFont="1" applyFill="1" applyBorder="1" applyAlignment="1">
      <alignment vertical="center"/>
    </xf>
    <xf numFmtId="0" fontId="48" fillId="8" borderId="279" xfId="6" applyFont="1" applyFill="1" applyBorder="1" applyAlignment="1">
      <alignment vertical="center"/>
    </xf>
    <xf numFmtId="0" fontId="561" fillId="8" borderId="3" xfId="0" applyFont="1" applyFill="1" applyBorder="1" applyAlignment="1">
      <alignment horizontal="center"/>
    </xf>
    <xf numFmtId="0" fontId="561" fillId="8" borderId="3" xfId="48" applyFont="1" applyFill="1" applyBorder="1" applyAlignment="1">
      <alignment horizontal="center"/>
    </xf>
    <xf numFmtId="0" fontId="561" fillId="8" borderId="314" xfId="48" applyFont="1" applyFill="1" applyBorder="1" applyAlignment="1">
      <alignment horizontal="center"/>
    </xf>
    <xf numFmtId="0" fontId="561" fillId="8" borderId="59" xfId="0" applyFont="1" applyFill="1" applyBorder="1" applyAlignment="1">
      <alignment horizontal="center"/>
    </xf>
    <xf numFmtId="0" fontId="561" fillId="8" borderId="148" xfId="48" applyFont="1" applyFill="1" applyBorder="1" applyAlignment="1">
      <alignment horizontal="center"/>
    </xf>
    <xf numFmtId="0" fontId="561" fillId="8" borderId="258" xfId="0" applyFont="1" applyFill="1" applyBorder="1" applyAlignment="1">
      <alignment horizontal="center"/>
    </xf>
    <xf numFmtId="0" fontId="564" fillId="224" borderId="0" xfId="0" applyFont="1" applyFill="1"/>
    <xf numFmtId="0" fontId="383" fillId="0" borderId="315" xfId="48" applyFont="1" applyBorder="1" applyAlignment="1">
      <alignment horizontal="left" vertical="center" wrapText="1"/>
    </xf>
    <xf numFmtId="0" fontId="383" fillId="0" borderId="316" xfId="48" applyFont="1" applyBorder="1" applyAlignment="1">
      <alignment horizontal="left" vertical="center"/>
    </xf>
    <xf numFmtId="0" fontId="383" fillId="0" borderId="317" xfId="48" applyFont="1" applyBorder="1" applyAlignment="1">
      <alignment horizontal="center" vertical="center"/>
    </xf>
    <xf numFmtId="0" fontId="564" fillId="0" borderId="318" xfId="0" applyFont="1" applyBorder="1" applyAlignment="1">
      <alignment horizontal="center" vertical="center"/>
    </xf>
    <xf numFmtId="0" fontId="564" fillId="0" borderId="319" xfId="0" applyFont="1" applyBorder="1" applyAlignment="1">
      <alignment horizontal="center" vertical="center"/>
    </xf>
    <xf numFmtId="0" fontId="564" fillId="225" borderId="0" xfId="0" applyFont="1" applyFill="1"/>
    <xf numFmtId="0" fontId="383" fillId="0" borderId="320" xfId="48" applyFont="1" applyBorder="1" applyAlignment="1">
      <alignment horizontal="left" wrapText="1" indent="1"/>
    </xf>
    <xf numFmtId="0" fontId="383" fillId="0" borderId="321" xfId="48" applyFont="1" applyBorder="1" applyAlignment="1">
      <alignment horizontal="left" indent="1"/>
    </xf>
    <xf numFmtId="0" fontId="383" fillId="0" borderId="322" xfId="48" applyFont="1" applyBorder="1" applyAlignment="1">
      <alignment horizontal="right" indent="1"/>
    </xf>
    <xf numFmtId="0" fontId="564" fillId="0" borderId="323" xfId="0" applyFont="1" applyBorder="1" applyAlignment="1">
      <alignment horizontal="right" indent="1"/>
    </xf>
    <xf numFmtId="0" fontId="564" fillId="0" borderId="324" xfId="0" applyFont="1" applyBorder="1" applyAlignment="1">
      <alignment horizontal="right" indent="1"/>
    </xf>
    <xf numFmtId="0" fontId="564" fillId="226" borderId="0" xfId="0" applyFont="1" applyFill="1"/>
    <xf numFmtId="0" fontId="383" fillId="0" borderId="324" xfId="48" applyFont="1" applyBorder="1" applyAlignment="1">
      <alignment horizontal="left" wrapText="1" indent="1"/>
    </xf>
    <xf numFmtId="0" fontId="564" fillId="228" borderId="0" xfId="0" applyFont="1" applyFill="1"/>
    <xf numFmtId="0" fontId="383" fillId="0" borderId="320" xfId="48" applyFont="1" applyBorder="1" applyAlignment="1">
      <alignment horizontal="left" vertical="center" wrapText="1"/>
    </xf>
    <xf numFmtId="0" fontId="383" fillId="0" borderId="321" xfId="48" applyFont="1" applyBorder="1" applyAlignment="1">
      <alignment horizontal="left" vertical="center"/>
    </xf>
    <xf numFmtId="0" fontId="383" fillId="0" borderId="322" xfId="48" applyFont="1" applyBorder="1" applyAlignment="1">
      <alignment horizontal="center" vertical="center"/>
    </xf>
    <xf numFmtId="0" fontId="564" fillId="0" borderId="323" xfId="0" applyFont="1" applyBorder="1" applyAlignment="1">
      <alignment horizontal="center" vertical="center"/>
    </xf>
    <xf numFmtId="0" fontId="564" fillId="0" borderId="324" xfId="0" applyFont="1" applyBorder="1" applyAlignment="1">
      <alignment horizontal="center" vertical="center"/>
    </xf>
    <xf numFmtId="0" fontId="564" fillId="229" borderId="0" xfId="0" applyFont="1" applyFill="1"/>
    <xf numFmtId="0" fontId="564" fillId="230" borderId="0" xfId="0" applyFont="1" applyFill="1"/>
    <xf numFmtId="0" fontId="383" fillId="0" borderId="324" xfId="48" applyFont="1" applyBorder="1" applyAlignment="1">
      <alignment horizontal="left" indent="1"/>
    </xf>
    <xf numFmtId="0" fontId="564" fillId="231" borderId="0" xfId="0" applyFont="1" applyFill="1"/>
    <xf numFmtId="0" fontId="564" fillId="232" borderId="0" xfId="0" applyFont="1" applyFill="1"/>
    <xf numFmtId="0" fontId="564" fillId="233" borderId="0" xfId="0" applyFont="1" applyFill="1"/>
    <xf numFmtId="0" fontId="564" fillId="234" borderId="0" xfId="0" applyFont="1" applyFill="1"/>
    <xf numFmtId="0" fontId="564" fillId="235" borderId="0" xfId="0" applyFont="1" applyFill="1"/>
    <xf numFmtId="0" fontId="564" fillId="236" borderId="0" xfId="0" applyFont="1" applyFill="1"/>
    <xf numFmtId="0" fontId="564" fillId="237" borderId="0" xfId="0" applyFont="1" applyFill="1"/>
    <xf numFmtId="0" fontId="383" fillId="0" borderId="320" xfId="48" applyFont="1" applyBorder="1" applyAlignment="1">
      <alignment horizontal="left" vertical="center"/>
    </xf>
    <xf numFmtId="0" fontId="564" fillId="238" borderId="0" xfId="0" applyFont="1" applyFill="1"/>
    <xf numFmtId="0" fontId="564" fillId="239" borderId="0" xfId="0" applyFont="1" applyFill="1"/>
    <xf numFmtId="0" fontId="564" fillId="240" borderId="0" xfId="0" applyFont="1" applyFill="1"/>
    <xf numFmtId="0" fontId="564" fillId="241" borderId="0" xfId="0" applyFont="1" applyFill="1"/>
    <xf numFmtId="0" fontId="564" fillId="242" borderId="0" xfId="0" applyFont="1" applyFill="1"/>
    <xf numFmtId="0" fontId="564" fillId="243" borderId="0" xfId="0" applyFont="1" applyFill="1"/>
    <xf numFmtId="0" fontId="564" fillId="244" borderId="0" xfId="0" applyFont="1" applyFill="1"/>
    <xf numFmtId="0" fontId="564" fillId="245" borderId="0" xfId="0" applyFont="1" applyFill="1"/>
    <xf numFmtId="0" fontId="564" fillId="247" borderId="0" xfId="0" applyFont="1" applyFill="1"/>
    <xf numFmtId="0" fontId="564" fillId="248" borderId="0" xfId="0" applyFont="1" applyFill="1"/>
    <xf numFmtId="0" fontId="564" fillId="249" borderId="0" xfId="0" applyFont="1" applyFill="1"/>
    <xf numFmtId="0" fontId="564" fillId="250" borderId="0" xfId="0" applyFont="1" applyFill="1"/>
    <xf numFmtId="0" fontId="564" fillId="251" borderId="0" xfId="0" applyFont="1" applyFill="1"/>
    <xf numFmtId="0" fontId="564" fillId="252" borderId="0" xfId="0" applyFont="1" applyFill="1"/>
    <xf numFmtId="0" fontId="564" fillId="253" borderId="0" xfId="0" applyFont="1" applyFill="1"/>
    <xf numFmtId="0" fontId="564" fillId="254" borderId="0" xfId="0" applyFont="1" applyFill="1"/>
    <xf numFmtId="0" fontId="564" fillId="255" borderId="0" xfId="0" applyFont="1" applyFill="1"/>
    <xf numFmtId="0" fontId="564" fillId="256" borderId="0" xfId="0" applyFont="1" applyFill="1"/>
    <xf numFmtId="0" fontId="564" fillId="257" borderId="0" xfId="0" applyFont="1" applyFill="1"/>
    <xf numFmtId="0" fontId="383" fillId="0" borderId="320" xfId="48" applyFont="1" applyBorder="1" applyAlignment="1">
      <alignment horizontal="left" indent="1"/>
    </xf>
    <xf numFmtId="0" fontId="564" fillId="258" borderId="0" xfId="0" applyFont="1" applyFill="1"/>
    <xf numFmtId="0" fontId="564" fillId="259" borderId="0" xfId="0" applyFont="1" applyFill="1"/>
    <xf numFmtId="0" fontId="564" fillId="260" borderId="0" xfId="0" applyFont="1" applyFill="1"/>
    <xf numFmtId="0" fontId="564" fillId="261" borderId="0" xfId="0" applyFont="1" applyFill="1"/>
    <xf numFmtId="0" fontId="564" fillId="262" borderId="0" xfId="0" applyFont="1" applyFill="1"/>
    <xf numFmtId="0" fontId="564" fillId="263" borderId="0" xfId="0" applyFont="1" applyFill="1"/>
    <xf numFmtId="0" fontId="564" fillId="264" borderId="0" xfId="0" applyFont="1" applyFill="1"/>
    <xf numFmtId="0" fontId="564" fillId="265" borderId="0" xfId="0" applyFont="1" applyFill="1"/>
    <xf numFmtId="0" fontId="564" fillId="266" borderId="0" xfId="0" applyFont="1" applyFill="1"/>
    <xf numFmtId="0" fontId="564" fillId="267" borderId="0" xfId="0" applyFont="1" applyFill="1"/>
    <xf numFmtId="0" fontId="564" fillId="268" borderId="0" xfId="0" applyFont="1" applyFill="1"/>
    <xf numFmtId="0" fontId="564" fillId="269" borderId="0" xfId="0" applyFont="1" applyFill="1"/>
    <xf numFmtId="0" fontId="564" fillId="270" borderId="0" xfId="0" applyFont="1" applyFill="1"/>
    <xf numFmtId="0" fontId="564" fillId="271" borderId="0" xfId="0" applyFont="1" applyFill="1"/>
    <xf numFmtId="0" fontId="564" fillId="272" borderId="0" xfId="0" applyFont="1" applyFill="1"/>
    <xf numFmtId="0" fontId="564" fillId="273" borderId="0" xfId="0" applyFont="1" applyFill="1"/>
    <xf numFmtId="0" fontId="564" fillId="274" borderId="0" xfId="0" applyFont="1" applyFill="1"/>
    <xf numFmtId="0" fontId="564" fillId="275" borderId="0" xfId="0" applyFont="1" applyFill="1"/>
    <xf numFmtId="0" fontId="564" fillId="276" borderId="0" xfId="0" applyFont="1" applyFill="1"/>
    <xf numFmtId="0" fontId="564" fillId="277" borderId="0" xfId="0" applyFont="1" applyFill="1"/>
    <xf numFmtId="0" fontId="564" fillId="278" borderId="0" xfId="0" applyFont="1" applyFill="1"/>
    <xf numFmtId="0" fontId="564" fillId="279" borderId="0" xfId="0" applyFont="1" applyFill="1"/>
    <xf numFmtId="0" fontId="564" fillId="280" borderId="0" xfId="0" applyFont="1" applyFill="1"/>
    <xf numFmtId="0" fontId="564" fillId="281" borderId="0" xfId="0" applyFont="1" applyFill="1"/>
    <xf numFmtId="0" fontId="564" fillId="282" borderId="0" xfId="0" applyFont="1" applyFill="1"/>
    <xf numFmtId="0" fontId="564" fillId="283" borderId="0" xfId="0" applyFont="1" applyFill="1"/>
    <xf numFmtId="0" fontId="564" fillId="284" borderId="0" xfId="0" applyFont="1" applyFill="1"/>
    <xf numFmtId="0" fontId="564" fillId="285" borderId="0" xfId="0" applyFont="1" applyFill="1"/>
    <xf numFmtId="0" fontId="564" fillId="286" borderId="0" xfId="0" applyFont="1" applyFill="1"/>
    <xf numFmtId="0" fontId="564" fillId="287" borderId="0" xfId="0" applyFont="1" applyFill="1"/>
    <xf numFmtId="0" fontId="564" fillId="288" borderId="0" xfId="0" applyFont="1" applyFill="1"/>
    <xf numFmtId="0" fontId="564" fillId="289" borderId="0" xfId="0" applyFont="1" applyFill="1"/>
    <xf numFmtId="0" fontId="564" fillId="290" borderId="0" xfId="0" applyFont="1" applyFill="1"/>
    <xf numFmtId="0" fontId="564" fillId="291" borderId="0" xfId="0" applyFont="1" applyFill="1"/>
    <xf numFmtId="0" fontId="564" fillId="292" borderId="0" xfId="0" applyFont="1" applyFill="1"/>
    <xf numFmtId="0" fontId="564" fillId="293" borderId="0" xfId="0" applyFont="1" applyFill="1"/>
    <xf numFmtId="0" fontId="564" fillId="294" borderId="0" xfId="0" applyFont="1" applyFill="1"/>
    <xf numFmtId="0" fontId="564" fillId="295" borderId="0" xfId="0" applyFont="1" applyFill="1"/>
    <xf numFmtId="0" fontId="564" fillId="296" borderId="0" xfId="0" applyFont="1" applyFill="1"/>
    <xf numFmtId="0" fontId="564" fillId="297" borderId="0" xfId="0" applyFont="1" applyFill="1"/>
    <xf numFmtId="0" fontId="564" fillId="298" borderId="0" xfId="0" applyFont="1" applyFill="1"/>
    <xf numFmtId="0" fontId="564" fillId="299" borderId="0" xfId="0" applyFont="1" applyFill="1"/>
    <xf numFmtId="0" fontId="564" fillId="300" borderId="0" xfId="0" applyFont="1" applyFill="1"/>
    <xf numFmtId="0" fontId="564" fillId="301" borderId="0" xfId="0" applyFont="1" applyFill="1"/>
    <xf numFmtId="0" fontId="564" fillId="302" borderId="0" xfId="0" applyFont="1" applyFill="1"/>
    <xf numFmtId="0" fontId="564" fillId="303" borderId="0" xfId="0" applyFont="1" applyFill="1"/>
    <xf numFmtId="0" fontId="564" fillId="304" borderId="0" xfId="0" applyFont="1" applyFill="1"/>
    <xf numFmtId="0" fontId="564" fillId="305" borderId="0" xfId="0" applyFont="1" applyFill="1"/>
    <xf numFmtId="0" fontId="564" fillId="306" borderId="0" xfId="0" applyFont="1" applyFill="1"/>
    <xf numFmtId="0" fontId="564" fillId="307" borderId="0" xfId="0" applyFont="1" applyFill="1"/>
    <xf numFmtId="0" fontId="564" fillId="308" borderId="0" xfId="0" applyFont="1" applyFill="1"/>
    <xf numFmtId="0" fontId="564" fillId="309" borderId="0" xfId="0" applyFont="1" applyFill="1"/>
    <xf numFmtId="0" fontId="564" fillId="310" borderId="0" xfId="0" applyFont="1" applyFill="1"/>
    <xf numFmtId="0" fontId="564" fillId="311" borderId="0" xfId="0" applyFont="1" applyFill="1"/>
    <xf numFmtId="0" fontId="564" fillId="312" borderId="0" xfId="0" applyFont="1" applyFill="1"/>
    <xf numFmtId="0" fontId="87" fillId="0" borderId="0" xfId="0" applyFont="1"/>
    <xf numFmtId="0" fontId="564" fillId="313" borderId="0" xfId="0" applyFont="1" applyFill="1"/>
    <xf numFmtId="0" fontId="564" fillId="21" borderId="0" xfId="0" applyFont="1" applyFill="1"/>
    <xf numFmtId="0" fontId="564" fillId="314" borderId="0" xfId="0" applyFont="1" applyFill="1"/>
    <xf numFmtId="0" fontId="350" fillId="0" borderId="0" xfId="17" applyFont="1"/>
    <xf numFmtId="0" fontId="564" fillId="315" borderId="0" xfId="0" applyFont="1" applyFill="1"/>
    <xf numFmtId="0" fontId="564" fillId="316" borderId="0" xfId="0" applyFont="1" applyFill="1"/>
    <xf numFmtId="0" fontId="564" fillId="317" borderId="0" xfId="0" applyFont="1" applyFill="1"/>
    <xf numFmtId="0" fontId="564" fillId="318" borderId="0" xfId="0" applyFont="1" applyFill="1"/>
    <xf numFmtId="0" fontId="564" fillId="319" borderId="0" xfId="0" applyFont="1" applyFill="1"/>
    <xf numFmtId="0" fontId="564" fillId="320" borderId="0" xfId="0" applyFont="1" applyFill="1"/>
    <xf numFmtId="0" fontId="565" fillId="223" borderId="0" xfId="0" applyFont="1" applyFill="1" applyAlignment="1">
      <alignment horizontal="center" vertical="center" wrapText="1"/>
    </xf>
    <xf numFmtId="0" fontId="565" fillId="321" borderId="0" xfId="0" applyFont="1" applyFill="1" applyAlignment="1">
      <alignment horizontal="center" vertical="center" wrapText="1"/>
    </xf>
    <xf numFmtId="0" fontId="565" fillId="322" borderId="0" xfId="0" applyFont="1" applyFill="1" applyAlignment="1">
      <alignment horizontal="center" vertical="center" wrapText="1"/>
    </xf>
    <xf numFmtId="0" fontId="565" fillId="323" borderId="0" xfId="0" applyFont="1" applyFill="1" applyAlignment="1">
      <alignment horizontal="center" vertical="center" wrapText="1"/>
    </xf>
    <xf numFmtId="0" fontId="565" fillId="324" borderId="0" xfId="0" applyFont="1" applyFill="1" applyAlignment="1">
      <alignment horizontal="center" vertical="center" wrapText="1"/>
    </xf>
    <xf numFmtId="0" fontId="565" fillId="325" borderId="0" xfId="0" applyFont="1" applyFill="1" applyAlignment="1">
      <alignment horizontal="center" vertical="center" wrapText="1"/>
    </xf>
    <xf numFmtId="0" fontId="565" fillId="326" borderId="0" xfId="0" applyFont="1" applyFill="1" applyAlignment="1">
      <alignment horizontal="center" vertical="center" wrapText="1"/>
    </xf>
    <xf numFmtId="0" fontId="565" fillId="327" borderId="0" xfId="0" applyFont="1" applyFill="1" applyAlignment="1">
      <alignment horizontal="center" vertical="center" wrapText="1"/>
    </xf>
    <xf numFmtId="0" fontId="565" fillId="68" borderId="0" xfId="0" applyFont="1" applyFill="1" applyAlignment="1">
      <alignment horizontal="center" vertical="center" wrapText="1"/>
    </xf>
    <xf numFmtId="0" fontId="564" fillId="328" borderId="0" xfId="0" applyFont="1" applyFill="1"/>
    <xf numFmtId="0" fontId="564" fillId="329" borderId="0" xfId="0" applyFont="1" applyFill="1"/>
    <xf numFmtId="0" fontId="564" fillId="330" borderId="0" xfId="0" applyFont="1" applyFill="1"/>
    <xf numFmtId="0" fontId="565" fillId="331" borderId="0" xfId="0" applyFont="1" applyFill="1" applyAlignment="1">
      <alignment horizontal="center" vertical="center" wrapText="1"/>
    </xf>
    <xf numFmtId="0" fontId="565" fillId="332" borderId="0" xfId="0" applyFont="1" applyFill="1" applyAlignment="1">
      <alignment horizontal="center" vertical="center" wrapText="1"/>
    </xf>
    <xf numFmtId="0" fontId="565" fillId="333" borderId="0" xfId="0" applyFont="1" applyFill="1" applyAlignment="1">
      <alignment horizontal="center" vertical="center" wrapText="1"/>
    </xf>
    <xf numFmtId="0" fontId="565" fillId="334" borderId="0" xfId="0" applyFont="1" applyFill="1" applyAlignment="1">
      <alignment horizontal="center" vertical="center" wrapText="1"/>
    </xf>
    <xf numFmtId="0" fontId="565" fillId="335" borderId="0" xfId="0" applyFont="1" applyFill="1" applyAlignment="1">
      <alignment horizontal="center" vertical="center" wrapText="1"/>
    </xf>
    <xf numFmtId="0" fontId="565" fillId="336" borderId="0" xfId="0" applyFont="1" applyFill="1" applyAlignment="1">
      <alignment horizontal="center" vertical="center" wrapText="1"/>
    </xf>
    <xf numFmtId="0" fontId="565" fillId="337" borderId="0" xfId="0" applyFont="1" applyFill="1" applyAlignment="1">
      <alignment horizontal="center" vertical="center" wrapText="1"/>
    </xf>
    <xf numFmtId="0" fontId="565" fillId="338" borderId="0" xfId="0" applyFont="1" applyFill="1" applyAlignment="1">
      <alignment horizontal="center" vertical="center" wrapText="1"/>
    </xf>
    <xf numFmtId="0" fontId="565" fillId="339" borderId="0" xfId="0" applyFont="1" applyFill="1" applyAlignment="1">
      <alignment horizontal="center" vertical="center" wrapText="1"/>
    </xf>
    <xf numFmtId="0" fontId="564" fillId="340" borderId="0" xfId="0" applyFont="1" applyFill="1"/>
    <xf numFmtId="0" fontId="564" fillId="341" borderId="0" xfId="0" applyFont="1" applyFill="1"/>
    <xf numFmtId="0" fontId="564" fillId="342" borderId="0" xfId="0" applyFont="1" applyFill="1"/>
    <xf numFmtId="0" fontId="565" fillId="343" borderId="0" xfId="0" applyFont="1" applyFill="1" applyAlignment="1">
      <alignment horizontal="center" vertical="center" wrapText="1"/>
    </xf>
    <xf numFmtId="0" fontId="565" fillId="344" borderId="0" xfId="0" applyFont="1" applyFill="1" applyAlignment="1">
      <alignment horizontal="center" vertical="center" wrapText="1"/>
    </xf>
    <xf numFmtId="0" fontId="565" fillId="345" borderId="0" xfId="0" applyFont="1" applyFill="1" applyAlignment="1">
      <alignment horizontal="center" vertical="center" wrapText="1"/>
    </xf>
    <xf numFmtId="0" fontId="565" fillId="346" borderId="0" xfId="0" applyFont="1" applyFill="1" applyAlignment="1">
      <alignment horizontal="center" vertical="center" wrapText="1"/>
    </xf>
    <xf numFmtId="0" fontId="565" fillId="347" borderId="0" xfId="0" applyFont="1" applyFill="1" applyAlignment="1">
      <alignment horizontal="center" vertical="center" wrapText="1"/>
    </xf>
    <xf numFmtId="0" fontId="565" fillId="348" borderId="0" xfId="0" applyFont="1" applyFill="1" applyAlignment="1">
      <alignment horizontal="center" vertical="center" wrapText="1"/>
    </xf>
    <xf numFmtId="0" fontId="565" fillId="349" borderId="0" xfId="0" applyFont="1" applyFill="1" applyAlignment="1">
      <alignment horizontal="center" vertical="center" wrapText="1"/>
    </xf>
    <xf numFmtId="0" fontId="565" fillId="350" borderId="0" xfId="0" applyFont="1" applyFill="1" applyAlignment="1">
      <alignment horizontal="center" vertical="center" wrapText="1"/>
    </xf>
    <xf numFmtId="0" fontId="565" fillId="351" borderId="0" xfId="0" applyFont="1" applyFill="1" applyAlignment="1">
      <alignment horizontal="center" vertical="center" wrapText="1"/>
    </xf>
    <xf numFmtId="0" fontId="564" fillId="352" borderId="0" xfId="0" applyFont="1" applyFill="1"/>
    <xf numFmtId="0" fontId="564" fillId="353" borderId="0" xfId="0" applyFont="1" applyFill="1"/>
    <xf numFmtId="0" fontId="564" fillId="354" borderId="0" xfId="0" applyFont="1" applyFill="1"/>
    <xf numFmtId="0" fontId="565" fillId="355" borderId="0" xfId="0" applyFont="1" applyFill="1" applyAlignment="1">
      <alignment horizontal="center" vertical="center" wrapText="1"/>
    </xf>
    <xf numFmtId="0" fontId="565" fillId="356" borderId="0" xfId="0" applyFont="1" applyFill="1" applyAlignment="1">
      <alignment horizontal="center" vertical="center" wrapText="1"/>
    </xf>
    <xf numFmtId="0" fontId="565" fillId="357" borderId="0" xfId="0" applyFont="1" applyFill="1" applyAlignment="1">
      <alignment horizontal="center" vertical="center" wrapText="1"/>
    </xf>
    <xf numFmtId="0" fontId="565" fillId="358" borderId="0" xfId="0" applyFont="1" applyFill="1" applyAlignment="1">
      <alignment horizontal="center" vertical="center" wrapText="1"/>
    </xf>
    <xf numFmtId="0" fontId="565" fillId="359" borderId="0" xfId="0" applyFont="1" applyFill="1" applyAlignment="1">
      <alignment horizontal="center" vertical="center" wrapText="1"/>
    </xf>
    <xf numFmtId="0" fontId="565" fillId="360" borderId="0" xfId="0" applyFont="1" applyFill="1" applyAlignment="1">
      <alignment horizontal="center" vertical="center" wrapText="1"/>
    </xf>
    <xf numFmtId="0" fontId="565" fillId="361" borderId="0" xfId="0" applyFont="1" applyFill="1" applyAlignment="1">
      <alignment horizontal="center" vertical="center" wrapText="1"/>
    </xf>
    <xf numFmtId="0" fontId="565" fillId="362" borderId="0" xfId="0" applyFont="1" applyFill="1" applyAlignment="1">
      <alignment horizontal="center" vertical="center" wrapText="1"/>
    </xf>
    <xf numFmtId="0" fontId="565" fillId="363" borderId="0" xfId="0" applyFont="1" applyFill="1" applyAlignment="1">
      <alignment horizontal="center" vertical="center" wrapText="1"/>
    </xf>
    <xf numFmtId="0" fontId="564" fillId="364" borderId="0" xfId="0" applyFont="1" applyFill="1"/>
    <xf numFmtId="0" fontId="564" fillId="365" borderId="0" xfId="0" applyFont="1" applyFill="1"/>
    <xf numFmtId="0" fontId="564" fillId="366" borderId="0" xfId="0" applyFont="1" applyFill="1"/>
    <xf numFmtId="0" fontId="565" fillId="72" borderId="0" xfId="0" applyFont="1" applyFill="1" applyAlignment="1">
      <alignment horizontal="center" vertical="center" wrapText="1"/>
    </xf>
    <xf numFmtId="0" fontId="565" fillId="367" borderId="0" xfId="0" applyFont="1" applyFill="1" applyAlignment="1">
      <alignment horizontal="center" vertical="center" wrapText="1"/>
    </xf>
    <xf numFmtId="0" fontId="565" fillId="368" borderId="0" xfId="0" applyFont="1" applyFill="1" applyAlignment="1">
      <alignment horizontal="center" vertical="center" wrapText="1"/>
    </xf>
    <xf numFmtId="0" fontId="565" fillId="369" borderId="0" xfId="0" applyFont="1" applyFill="1" applyAlignment="1">
      <alignment horizontal="center" vertical="center" wrapText="1"/>
    </xf>
    <xf numFmtId="0" fontId="565" fillId="370" borderId="0" xfId="0" applyFont="1" applyFill="1" applyAlignment="1">
      <alignment horizontal="center" vertical="center" wrapText="1"/>
    </xf>
    <xf numFmtId="0" fontId="565" fillId="371" borderId="0" xfId="0" applyFont="1" applyFill="1" applyAlignment="1">
      <alignment horizontal="center" vertical="center" wrapText="1"/>
    </xf>
    <xf numFmtId="0" fontId="565" fillId="372" borderId="0" xfId="0" applyFont="1" applyFill="1" applyAlignment="1">
      <alignment horizontal="center" vertical="center" wrapText="1"/>
    </xf>
    <xf numFmtId="0" fontId="565" fillId="373" borderId="0" xfId="0" applyFont="1" applyFill="1" applyAlignment="1">
      <alignment horizontal="center" vertical="center" wrapText="1"/>
    </xf>
    <xf numFmtId="0" fontId="565" fillId="374" borderId="0" xfId="0" applyFont="1" applyFill="1" applyAlignment="1">
      <alignment horizontal="center" vertical="center" wrapText="1"/>
    </xf>
    <xf numFmtId="0" fontId="564" fillId="85" borderId="0" xfId="0" applyFont="1" applyFill="1"/>
    <xf numFmtId="0" fontId="564" fillId="375" borderId="0" xfId="0" applyFont="1" applyFill="1"/>
    <xf numFmtId="0" fontId="564" fillId="376" borderId="0" xfId="0" applyFont="1" applyFill="1"/>
    <xf numFmtId="0" fontId="565" fillId="377" borderId="0" xfId="0" applyFont="1" applyFill="1" applyAlignment="1">
      <alignment horizontal="center" vertical="center" wrapText="1"/>
    </xf>
    <xf numFmtId="0" fontId="565" fillId="378" borderId="0" xfId="0" applyFont="1" applyFill="1" applyAlignment="1">
      <alignment horizontal="center" vertical="center" wrapText="1"/>
    </xf>
    <xf numFmtId="0" fontId="565" fillId="379" borderId="0" xfId="0" applyFont="1" applyFill="1" applyAlignment="1">
      <alignment horizontal="center" vertical="center" wrapText="1"/>
    </xf>
    <xf numFmtId="0" fontId="565" fillId="380" borderId="0" xfId="0" applyFont="1" applyFill="1" applyAlignment="1">
      <alignment horizontal="center" vertical="center" wrapText="1"/>
    </xf>
    <xf numFmtId="0" fontId="565" fillId="381" borderId="0" xfId="0" applyFont="1" applyFill="1" applyAlignment="1">
      <alignment horizontal="center" vertical="center" wrapText="1"/>
    </xf>
    <xf numFmtId="0" fontId="565" fillId="382" borderId="0" xfId="0" applyFont="1" applyFill="1" applyAlignment="1">
      <alignment horizontal="center" vertical="center" wrapText="1"/>
    </xf>
    <xf numFmtId="0" fontId="565" fillId="383" borderId="0" xfId="0" applyFont="1" applyFill="1" applyAlignment="1">
      <alignment horizontal="center" vertical="center" wrapText="1"/>
    </xf>
    <xf numFmtId="0" fontId="565" fillId="384" borderId="0" xfId="0" applyFont="1" applyFill="1" applyAlignment="1">
      <alignment horizontal="center" vertical="center" wrapText="1"/>
    </xf>
    <xf numFmtId="0" fontId="565" fillId="385" borderId="0" xfId="0" applyFont="1" applyFill="1" applyAlignment="1">
      <alignment horizontal="center" vertical="center" wrapText="1"/>
    </xf>
    <xf numFmtId="0" fontId="564" fillId="386" borderId="0" xfId="0" applyFont="1" applyFill="1"/>
    <xf numFmtId="0" fontId="564" fillId="387" borderId="0" xfId="0" applyFont="1" applyFill="1"/>
    <xf numFmtId="0" fontId="564" fillId="388" borderId="0" xfId="0" applyFont="1" applyFill="1"/>
    <xf numFmtId="0" fontId="565" fillId="389" borderId="0" xfId="0" applyFont="1" applyFill="1" applyAlignment="1">
      <alignment horizontal="center" vertical="center" wrapText="1"/>
    </xf>
    <xf numFmtId="0" fontId="565" fillId="390" borderId="0" xfId="0" applyFont="1" applyFill="1" applyAlignment="1">
      <alignment horizontal="center" vertical="center" wrapText="1"/>
    </xf>
    <xf numFmtId="0" fontId="565" fillId="391" borderId="0" xfId="0" applyFont="1" applyFill="1" applyAlignment="1">
      <alignment horizontal="center" vertical="center" wrapText="1"/>
    </xf>
    <xf numFmtId="0" fontId="565" fillId="392" borderId="0" xfId="0" applyFont="1" applyFill="1" applyAlignment="1">
      <alignment horizontal="center" vertical="center" wrapText="1"/>
    </xf>
    <xf numFmtId="0" fontId="565" fillId="393" borderId="0" xfId="0" applyFont="1" applyFill="1" applyAlignment="1">
      <alignment horizontal="center" vertical="center" wrapText="1"/>
    </xf>
    <xf numFmtId="0" fontId="565" fillId="394" borderId="0" xfId="0" applyFont="1" applyFill="1" applyAlignment="1">
      <alignment horizontal="center" vertical="center" wrapText="1"/>
    </xf>
    <xf numFmtId="0" fontId="565" fillId="395" borderId="0" xfId="0" applyFont="1" applyFill="1" applyAlignment="1">
      <alignment horizontal="center" vertical="center" wrapText="1"/>
    </xf>
    <xf numFmtId="0" fontId="565" fillId="396" borderId="0" xfId="0" applyFont="1" applyFill="1" applyAlignment="1">
      <alignment horizontal="center" vertical="center" wrapText="1"/>
    </xf>
    <xf numFmtId="0" fontId="565" fillId="397" borderId="0" xfId="0" applyFont="1" applyFill="1" applyAlignment="1">
      <alignment horizontal="center" vertical="center" wrapText="1"/>
    </xf>
    <xf numFmtId="0" fontId="564" fillId="398" borderId="0" xfId="0" applyFont="1" applyFill="1"/>
    <xf numFmtId="0" fontId="564" fillId="399" borderId="0" xfId="0" applyFont="1" applyFill="1"/>
    <xf numFmtId="0" fontId="564" fillId="400" borderId="0" xfId="0" applyFont="1" applyFill="1"/>
    <xf numFmtId="0" fontId="565" fillId="401" borderId="0" xfId="0" applyFont="1" applyFill="1" applyAlignment="1">
      <alignment horizontal="center" vertical="center" wrapText="1"/>
    </xf>
    <xf numFmtId="0" fontId="565" fillId="402" borderId="0" xfId="0" applyFont="1" applyFill="1" applyAlignment="1">
      <alignment horizontal="center" vertical="center" wrapText="1"/>
    </xf>
    <xf numFmtId="0" fontId="565" fillId="403" borderId="0" xfId="0" applyFont="1" applyFill="1" applyAlignment="1">
      <alignment horizontal="center" vertical="center" wrapText="1"/>
    </xf>
    <xf numFmtId="0" fontId="565" fillId="404" borderId="0" xfId="0" applyFont="1" applyFill="1" applyAlignment="1">
      <alignment horizontal="center" vertical="center" wrapText="1"/>
    </xf>
    <xf numFmtId="0" fontId="565" fillId="405" borderId="0" xfId="0" applyFont="1" applyFill="1" applyAlignment="1">
      <alignment horizontal="center" vertical="center" wrapText="1"/>
    </xf>
    <xf numFmtId="0" fontId="565" fillId="406" borderId="0" xfId="0" applyFont="1" applyFill="1" applyAlignment="1">
      <alignment horizontal="center" vertical="center" wrapText="1"/>
    </xf>
    <xf numFmtId="0" fontId="565" fillId="407" borderId="0" xfId="0" applyFont="1" applyFill="1" applyAlignment="1">
      <alignment horizontal="center" vertical="center" wrapText="1"/>
    </xf>
    <xf numFmtId="0" fontId="565" fillId="408" borderId="0" xfId="0" applyFont="1" applyFill="1" applyAlignment="1">
      <alignment horizontal="center" vertical="center" wrapText="1"/>
    </xf>
    <xf numFmtId="0" fontId="0" fillId="409" borderId="0" xfId="0" applyFill="1" applyAlignment="1">
      <alignment horizontal="center" vertical="center" wrapText="1"/>
    </xf>
    <xf numFmtId="0" fontId="564" fillId="410" borderId="0" xfId="0" applyFont="1" applyFill="1"/>
    <xf numFmtId="0" fontId="564" fillId="411" borderId="0" xfId="0" applyFont="1" applyFill="1"/>
    <xf numFmtId="0" fontId="564" fillId="412" borderId="0" xfId="0" applyFont="1" applyFill="1"/>
    <xf numFmtId="0" fontId="565" fillId="78" borderId="0" xfId="0" applyFont="1" applyFill="1" applyAlignment="1">
      <alignment horizontal="center" vertical="center" wrapText="1"/>
    </xf>
    <xf numFmtId="0" fontId="565" fillId="413" borderId="0" xfId="0" applyFont="1" applyFill="1" applyAlignment="1">
      <alignment horizontal="center" vertical="center" wrapText="1"/>
    </xf>
    <xf numFmtId="0" fontId="565" fillId="414" borderId="0" xfId="0" applyFont="1" applyFill="1" applyAlignment="1">
      <alignment horizontal="center" vertical="center" wrapText="1"/>
    </xf>
    <xf numFmtId="0" fontId="565" fillId="415" borderId="0" xfId="0" applyFont="1" applyFill="1" applyAlignment="1">
      <alignment horizontal="center" vertical="center" wrapText="1"/>
    </xf>
    <xf numFmtId="0" fontId="565" fillId="416" borderId="0" xfId="0" applyFont="1" applyFill="1" applyAlignment="1">
      <alignment horizontal="center" vertical="center" wrapText="1"/>
    </xf>
    <xf numFmtId="0" fontId="565" fillId="417" borderId="0" xfId="0" applyFont="1" applyFill="1" applyAlignment="1">
      <alignment horizontal="center" vertical="center" wrapText="1"/>
    </xf>
    <xf numFmtId="0" fontId="565" fillId="418" borderId="0" xfId="0" applyFont="1" applyFill="1" applyAlignment="1">
      <alignment horizontal="center" vertical="center" wrapText="1"/>
    </xf>
    <xf numFmtId="0" fontId="0" fillId="419" borderId="0" xfId="0" applyFill="1" applyAlignment="1">
      <alignment horizontal="center" vertical="center" wrapText="1"/>
    </xf>
    <xf numFmtId="0" fontId="0" fillId="246" borderId="0" xfId="0" applyFill="1" applyAlignment="1">
      <alignment horizontal="center" vertical="center" wrapText="1"/>
    </xf>
    <xf numFmtId="0" fontId="564" fillId="420" borderId="0" xfId="0" applyFont="1" applyFill="1"/>
    <xf numFmtId="0" fontId="564" fillId="421" borderId="0" xfId="0" applyFont="1" applyFill="1"/>
    <xf numFmtId="0" fontId="564" fillId="422" borderId="0" xfId="0" applyFont="1" applyFill="1"/>
    <xf numFmtId="0" fontId="565" fillId="423" borderId="0" xfId="0" applyFont="1" applyFill="1" applyAlignment="1">
      <alignment horizontal="center" vertical="center" wrapText="1"/>
    </xf>
    <xf numFmtId="0" fontId="565" fillId="424" borderId="0" xfId="0" applyFont="1" applyFill="1" applyAlignment="1">
      <alignment horizontal="center" vertical="center" wrapText="1"/>
    </xf>
    <xf numFmtId="0" fontId="565" fillId="425" borderId="0" xfId="0" applyFont="1" applyFill="1" applyAlignment="1">
      <alignment horizontal="center" vertical="center" wrapText="1"/>
    </xf>
    <xf numFmtId="0" fontId="565" fillId="426" borderId="0" xfId="0" applyFont="1" applyFill="1" applyAlignment="1">
      <alignment horizontal="center" vertical="center" wrapText="1"/>
    </xf>
    <xf numFmtId="0" fontId="565" fillId="427" borderId="0" xfId="0" applyFont="1" applyFill="1" applyAlignment="1">
      <alignment horizontal="center" vertical="center" wrapText="1"/>
    </xf>
    <xf numFmtId="0" fontId="565" fillId="428" borderId="0" xfId="0" applyFont="1" applyFill="1" applyAlignment="1">
      <alignment horizontal="center" vertical="center" wrapText="1"/>
    </xf>
    <xf numFmtId="0" fontId="565" fillId="429" borderId="0" xfId="0" applyFont="1" applyFill="1" applyAlignment="1">
      <alignment horizontal="center" vertical="center" wrapText="1"/>
    </xf>
    <xf numFmtId="0" fontId="565" fillId="430" borderId="0" xfId="0" applyFont="1" applyFill="1" applyAlignment="1">
      <alignment horizontal="center" vertical="center" wrapText="1"/>
    </xf>
    <xf numFmtId="0" fontId="565" fillId="431" borderId="0" xfId="0" applyFont="1" applyFill="1" applyAlignment="1">
      <alignment horizontal="center" vertical="center" wrapText="1"/>
    </xf>
    <xf numFmtId="0" fontId="564" fillId="432" borderId="0" xfId="0" applyFont="1" applyFill="1"/>
    <xf numFmtId="0" fontId="564" fillId="433" borderId="0" xfId="0" applyFont="1" applyFill="1"/>
    <xf numFmtId="0" fontId="565" fillId="434" borderId="0" xfId="0" applyFont="1" applyFill="1" applyAlignment="1">
      <alignment horizontal="center" vertical="center" wrapText="1"/>
    </xf>
    <xf numFmtId="0" fontId="565" fillId="435" borderId="0" xfId="0" applyFont="1" applyFill="1" applyAlignment="1">
      <alignment horizontal="center" vertical="center" wrapText="1"/>
    </xf>
    <xf numFmtId="0" fontId="565" fillId="436" borderId="0" xfId="0" applyFont="1" applyFill="1" applyAlignment="1">
      <alignment horizontal="center" vertical="center" wrapText="1"/>
    </xf>
    <xf numFmtId="0" fontId="565" fillId="437" borderId="0" xfId="0" applyFont="1" applyFill="1" applyAlignment="1">
      <alignment horizontal="center" vertical="center" wrapText="1"/>
    </xf>
    <xf numFmtId="0" fontId="565" fillId="438" borderId="0" xfId="0" applyFont="1" applyFill="1" applyAlignment="1">
      <alignment horizontal="center" vertical="center" wrapText="1"/>
    </xf>
    <xf numFmtId="0" fontId="565" fillId="439" borderId="0" xfId="0" applyFont="1" applyFill="1" applyAlignment="1">
      <alignment horizontal="center" vertical="center" wrapText="1"/>
    </xf>
    <xf numFmtId="0" fontId="565" fillId="440" borderId="0" xfId="0" applyFont="1" applyFill="1" applyAlignment="1">
      <alignment horizontal="center" vertical="center" wrapText="1"/>
    </xf>
    <xf numFmtId="0" fontId="565" fillId="441" borderId="0" xfId="0" applyFont="1" applyFill="1" applyAlignment="1">
      <alignment horizontal="center" vertical="center" wrapText="1"/>
    </xf>
    <xf numFmtId="0" fontId="565" fillId="442" borderId="0" xfId="0" applyFont="1" applyFill="1" applyAlignment="1">
      <alignment horizontal="center" vertical="center" wrapText="1"/>
    </xf>
    <xf numFmtId="0" fontId="564" fillId="443" borderId="0" xfId="0" applyFont="1" applyFill="1"/>
    <xf numFmtId="0" fontId="564" fillId="444" borderId="0" xfId="0" applyFont="1" applyFill="1"/>
    <xf numFmtId="0" fontId="564" fillId="445" borderId="0" xfId="0" applyFont="1" applyFill="1"/>
    <xf numFmtId="0" fontId="565" fillId="446" borderId="0" xfId="0" applyFont="1" applyFill="1" applyAlignment="1">
      <alignment horizontal="center" vertical="center" wrapText="1"/>
    </xf>
    <xf numFmtId="0" fontId="565" fillId="447" borderId="0" xfId="0" applyFont="1" applyFill="1" applyAlignment="1">
      <alignment horizontal="center" vertical="center" wrapText="1"/>
    </xf>
    <xf numFmtId="0" fontId="565" fillId="448" borderId="0" xfId="0" applyFont="1" applyFill="1" applyAlignment="1">
      <alignment horizontal="center" vertical="center" wrapText="1"/>
    </xf>
    <xf numFmtId="0" fontId="565" fillId="449" borderId="0" xfId="0" applyFont="1" applyFill="1" applyAlignment="1">
      <alignment horizontal="center" vertical="center" wrapText="1"/>
    </xf>
    <xf numFmtId="0" fontId="565" fillId="450" borderId="0" xfId="0" applyFont="1" applyFill="1" applyAlignment="1">
      <alignment horizontal="center" vertical="center" wrapText="1"/>
    </xf>
    <xf numFmtId="0" fontId="565" fillId="451" borderId="0" xfId="0" applyFont="1" applyFill="1" applyAlignment="1">
      <alignment horizontal="center" vertical="center" wrapText="1"/>
    </xf>
    <xf numFmtId="0" fontId="565" fillId="452" borderId="0" xfId="0" applyFont="1" applyFill="1" applyAlignment="1">
      <alignment horizontal="center" vertical="center" wrapText="1"/>
    </xf>
    <xf numFmtId="0" fontId="565" fillId="453" borderId="0" xfId="0" applyFont="1" applyFill="1" applyAlignment="1">
      <alignment horizontal="center" vertical="center" wrapText="1"/>
    </xf>
    <xf numFmtId="0" fontId="565" fillId="454" borderId="0" xfId="0" applyFont="1" applyFill="1" applyAlignment="1">
      <alignment horizontal="center" vertical="center" wrapText="1"/>
    </xf>
    <xf numFmtId="0" fontId="564" fillId="455" borderId="0" xfId="0" applyFont="1" applyFill="1"/>
    <xf numFmtId="0" fontId="564" fillId="456" borderId="0" xfId="0" applyFont="1" applyFill="1"/>
    <xf numFmtId="0" fontId="564" fillId="457" borderId="0" xfId="0" applyFont="1" applyFill="1"/>
    <xf numFmtId="0" fontId="565" fillId="458" borderId="0" xfId="0" applyFont="1" applyFill="1" applyAlignment="1">
      <alignment horizontal="center" vertical="center" wrapText="1"/>
    </xf>
    <xf numFmtId="0" fontId="565" fillId="459" borderId="0" xfId="0" applyFont="1" applyFill="1" applyAlignment="1">
      <alignment horizontal="center" vertical="center" wrapText="1"/>
    </xf>
    <xf numFmtId="0" fontId="565" fillId="460" borderId="0" xfId="0" applyFont="1" applyFill="1" applyAlignment="1">
      <alignment horizontal="center" vertical="center" wrapText="1"/>
    </xf>
    <xf numFmtId="0" fontId="565" fillId="461" borderId="0" xfId="0" applyFont="1" applyFill="1" applyAlignment="1">
      <alignment horizontal="center" vertical="center" wrapText="1"/>
    </xf>
    <xf numFmtId="0" fontId="565" fillId="462" borderId="0" xfId="0" applyFont="1" applyFill="1" applyAlignment="1">
      <alignment horizontal="center" vertical="center" wrapText="1"/>
    </xf>
    <xf numFmtId="0" fontId="565" fillId="463" borderId="0" xfId="0" applyFont="1" applyFill="1" applyAlignment="1">
      <alignment horizontal="center" vertical="center" wrapText="1"/>
    </xf>
    <xf numFmtId="0" fontId="565" fillId="464" borderId="0" xfId="0" applyFont="1" applyFill="1" applyAlignment="1">
      <alignment horizontal="center" vertical="center" wrapText="1"/>
    </xf>
    <xf numFmtId="0" fontId="565" fillId="465" borderId="0" xfId="0" applyFont="1" applyFill="1" applyAlignment="1">
      <alignment horizontal="center" vertical="center" wrapText="1"/>
    </xf>
    <xf numFmtId="0" fontId="565" fillId="466" borderId="0" xfId="0" applyFont="1" applyFill="1" applyAlignment="1">
      <alignment horizontal="center" vertical="center" wrapText="1"/>
    </xf>
    <xf numFmtId="0" fontId="564" fillId="467" borderId="0" xfId="0" applyFont="1" applyFill="1"/>
    <xf numFmtId="0" fontId="564" fillId="468" borderId="0" xfId="0" applyFont="1" applyFill="1"/>
    <xf numFmtId="0" fontId="564" fillId="469" borderId="0" xfId="0" applyFont="1" applyFill="1"/>
    <xf numFmtId="0" fontId="565" fillId="470" borderId="0" xfId="0" applyFont="1" applyFill="1" applyAlignment="1">
      <alignment horizontal="center" vertical="center" wrapText="1"/>
    </xf>
    <xf numFmtId="0" fontId="565" fillId="471" borderId="0" xfId="0" applyFont="1" applyFill="1" applyAlignment="1">
      <alignment horizontal="center" vertical="center" wrapText="1"/>
    </xf>
    <xf numFmtId="0" fontId="565" fillId="472" borderId="0" xfId="0" applyFont="1" applyFill="1" applyAlignment="1">
      <alignment horizontal="center" vertical="center" wrapText="1"/>
    </xf>
    <xf numFmtId="0" fontId="565" fillId="473" borderId="0" xfId="0" applyFont="1" applyFill="1" applyAlignment="1">
      <alignment horizontal="center" vertical="center" wrapText="1"/>
    </xf>
    <xf numFmtId="0" fontId="565" fillId="474" borderId="0" xfId="0" applyFont="1" applyFill="1" applyAlignment="1">
      <alignment horizontal="center" vertical="center" wrapText="1"/>
    </xf>
    <xf numFmtId="0" fontId="565" fillId="475" borderId="0" xfId="0" applyFont="1" applyFill="1" applyAlignment="1">
      <alignment horizontal="center" vertical="center" wrapText="1"/>
    </xf>
    <xf numFmtId="0" fontId="565" fillId="476" borderId="0" xfId="0" applyFont="1" applyFill="1" applyAlignment="1">
      <alignment horizontal="center" vertical="center" wrapText="1"/>
    </xf>
    <xf numFmtId="0" fontId="565" fillId="477" borderId="0" xfId="0" applyFont="1" applyFill="1" applyAlignment="1">
      <alignment horizontal="center" vertical="center" wrapText="1"/>
    </xf>
    <xf numFmtId="0" fontId="565" fillId="478" borderId="0" xfId="0" applyFont="1" applyFill="1" applyAlignment="1">
      <alignment horizontal="center" vertical="center" wrapText="1"/>
    </xf>
    <xf numFmtId="0" fontId="564" fillId="479" borderId="0" xfId="0" applyFont="1" applyFill="1"/>
    <xf numFmtId="0" fontId="564" fillId="480" borderId="0" xfId="0" applyFont="1" applyFill="1"/>
    <xf numFmtId="0" fontId="564" fillId="481" borderId="0" xfId="0" applyFont="1" applyFill="1"/>
    <xf numFmtId="0" fontId="565" fillId="482" borderId="0" xfId="0" applyFont="1" applyFill="1" applyAlignment="1">
      <alignment horizontal="center" vertical="center" wrapText="1"/>
    </xf>
    <xf numFmtId="0" fontId="565" fillId="483" borderId="0" xfId="0" applyFont="1" applyFill="1" applyAlignment="1">
      <alignment horizontal="center" vertical="center" wrapText="1"/>
    </xf>
    <xf numFmtId="0" fontId="565" fillId="484" borderId="0" xfId="0" applyFont="1" applyFill="1" applyAlignment="1">
      <alignment horizontal="center" vertical="center" wrapText="1"/>
    </xf>
    <xf numFmtId="0" fontId="565" fillId="485" borderId="0" xfId="0" applyFont="1" applyFill="1" applyAlignment="1">
      <alignment horizontal="center" vertical="center" wrapText="1"/>
    </xf>
    <xf numFmtId="0" fontId="565" fillId="486" borderId="0" xfId="0" applyFont="1" applyFill="1" applyAlignment="1">
      <alignment horizontal="center" vertical="center" wrapText="1"/>
    </xf>
    <xf numFmtId="0" fontId="565" fillId="487" borderId="0" xfId="0" applyFont="1" applyFill="1" applyAlignment="1">
      <alignment horizontal="center" vertical="center" wrapText="1"/>
    </xf>
    <xf numFmtId="0" fontId="565" fillId="488" borderId="0" xfId="0" applyFont="1" applyFill="1" applyAlignment="1">
      <alignment horizontal="center" vertical="center" wrapText="1"/>
    </xf>
    <xf numFmtId="0" fontId="565" fillId="489" borderId="0" xfId="0" applyFont="1" applyFill="1" applyAlignment="1">
      <alignment horizontal="center" vertical="center" wrapText="1"/>
    </xf>
    <xf numFmtId="0" fontId="565" fillId="490" borderId="0" xfId="0" applyFont="1" applyFill="1" applyAlignment="1">
      <alignment horizontal="center" vertical="center" wrapText="1"/>
    </xf>
    <xf numFmtId="0" fontId="564" fillId="491" borderId="0" xfId="0" applyFont="1" applyFill="1"/>
    <xf numFmtId="0" fontId="564" fillId="492" borderId="0" xfId="0" applyFont="1" applyFill="1"/>
    <xf numFmtId="0" fontId="564" fillId="493" borderId="0" xfId="0" applyFont="1" applyFill="1"/>
    <xf numFmtId="0" fontId="565" fillId="494" borderId="0" xfId="0" applyFont="1" applyFill="1" applyAlignment="1">
      <alignment horizontal="center" vertical="center" wrapText="1"/>
    </xf>
    <xf numFmtId="0" fontId="565" fillId="495" borderId="0" xfId="0" applyFont="1" applyFill="1" applyAlignment="1">
      <alignment horizontal="center" vertical="center" wrapText="1"/>
    </xf>
    <xf numFmtId="0" fontId="565" fillId="496" borderId="0" xfId="0" applyFont="1" applyFill="1" applyAlignment="1">
      <alignment horizontal="center" vertical="center" wrapText="1"/>
    </xf>
    <xf numFmtId="0" fontId="565" fillId="497" borderId="0" xfId="0" applyFont="1" applyFill="1" applyAlignment="1">
      <alignment horizontal="center" vertical="center" wrapText="1"/>
    </xf>
    <xf numFmtId="0" fontId="565" fillId="498" borderId="0" xfId="0" applyFont="1" applyFill="1" applyAlignment="1">
      <alignment horizontal="center" vertical="center" wrapText="1"/>
    </xf>
    <xf numFmtId="0" fontId="565" fillId="499" borderId="0" xfId="0" applyFont="1" applyFill="1" applyAlignment="1">
      <alignment horizontal="center" vertical="center" wrapText="1"/>
    </xf>
    <xf numFmtId="0" fontId="565" fillId="500" borderId="0" xfId="0" applyFont="1" applyFill="1" applyAlignment="1">
      <alignment horizontal="center" vertical="center" wrapText="1"/>
    </xf>
    <xf numFmtId="0" fontId="565" fillId="501" borderId="0" xfId="0" applyFont="1" applyFill="1" applyAlignment="1">
      <alignment horizontal="center" vertical="center" wrapText="1"/>
    </xf>
    <xf numFmtId="0" fontId="0" fillId="502" borderId="0" xfId="0" applyFill="1" applyAlignment="1">
      <alignment horizontal="center" vertical="center" wrapText="1"/>
    </xf>
    <xf numFmtId="0" fontId="564" fillId="503" borderId="0" xfId="0" applyFont="1" applyFill="1"/>
    <xf numFmtId="0" fontId="564" fillId="504" borderId="0" xfId="0" applyFont="1" applyFill="1"/>
    <xf numFmtId="0" fontId="564" fillId="505" borderId="0" xfId="0" applyFont="1" applyFill="1"/>
    <xf numFmtId="0" fontId="565" fillId="506" borderId="0" xfId="0" applyFont="1" applyFill="1" applyAlignment="1">
      <alignment horizontal="center" vertical="center" wrapText="1"/>
    </xf>
    <xf numFmtId="0" fontId="565" fillId="507" borderId="0" xfId="0" applyFont="1" applyFill="1" applyAlignment="1">
      <alignment horizontal="center" vertical="center" wrapText="1"/>
    </xf>
    <xf numFmtId="0" fontId="565" fillId="508" borderId="0" xfId="0" applyFont="1" applyFill="1" applyAlignment="1">
      <alignment horizontal="center" vertical="center" wrapText="1"/>
    </xf>
    <xf numFmtId="0" fontId="565" fillId="509" borderId="0" xfId="0" applyFont="1" applyFill="1" applyAlignment="1">
      <alignment horizontal="center" vertical="center" wrapText="1"/>
    </xf>
    <xf numFmtId="0" fontId="565" fillId="510" borderId="0" xfId="0" applyFont="1" applyFill="1" applyAlignment="1">
      <alignment horizontal="center" vertical="center" wrapText="1"/>
    </xf>
    <xf numFmtId="0" fontId="565" fillId="511" borderId="0" xfId="0" applyFont="1" applyFill="1" applyAlignment="1">
      <alignment horizontal="center" vertical="center" wrapText="1"/>
    </xf>
    <xf numFmtId="0" fontId="565" fillId="512" borderId="0" xfId="0" applyFont="1" applyFill="1" applyAlignment="1">
      <alignment horizontal="center" vertical="center" wrapText="1"/>
    </xf>
    <xf numFmtId="0" fontId="0" fillId="513" borderId="0" xfId="0" applyFill="1" applyAlignment="1">
      <alignment horizontal="center" vertical="center" wrapText="1"/>
    </xf>
    <xf numFmtId="0" fontId="0" fillId="514" borderId="0" xfId="0" applyFill="1" applyAlignment="1">
      <alignment horizontal="center" vertical="center" wrapText="1"/>
    </xf>
    <xf numFmtId="0" fontId="564" fillId="515" borderId="0" xfId="0" applyFont="1" applyFill="1"/>
    <xf numFmtId="0" fontId="564" fillId="516" borderId="0" xfId="0" applyFont="1" applyFill="1"/>
    <xf numFmtId="0" fontId="564" fillId="517" borderId="0" xfId="0" applyFont="1" applyFill="1"/>
    <xf numFmtId="0" fontId="565" fillId="518" borderId="0" xfId="0" applyFont="1" applyFill="1" applyAlignment="1">
      <alignment horizontal="center" vertical="center" wrapText="1"/>
    </xf>
    <xf numFmtId="0" fontId="565" fillId="519" borderId="0" xfId="0" applyFont="1" applyFill="1" applyAlignment="1">
      <alignment horizontal="center" vertical="center" wrapText="1"/>
    </xf>
    <xf numFmtId="0" fontId="565" fillId="520" borderId="0" xfId="0" applyFont="1" applyFill="1" applyAlignment="1">
      <alignment horizontal="center" vertical="center" wrapText="1"/>
    </xf>
    <xf numFmtId="0" fontId="565" fillId="521" borderId="0" xfId="0" applyFont="1" applyFill="1" applyAlignment="1">
      <alignment horizontal="center" vertical="center" wrapText="1"/>
    </xf>
    <xf numFmtId="0" fontId="565" fillId="522" borderId="0" xfId="0" applyFont="1" applyFill="1" applyAlignment="1">
      <alignment horizontal="center" vertical="center" wrapText="1"/>
    </xf>
    <xf numFmtId="0" fontId="565" fillId="523" borderId="0" xfId="0" applyFont="1" applyFill="1" applyAlignment="1">
      <alignment horizontal="center" vertical="center" wrapText="1"/>
    </xf>
    <xf numFmtId="0" fontId="0" fillId="524" borderId="0" xfId="0" applyFill="1" applyAlignment="1">
      <alignment horizontal="center" vertical="center" wrapText="1"/>
    </xf>
    <xf numFmtId="0" fontId="0" fillId="525" borderId="0" xfId="0" applyFill="1" applyAlignment="1">
      <alignment horizontal="center" vertical="center" wrapText="1"/>
    </xf>
    <xf numFmtId="0" fontId="0" fillId="526" borderId="0" xfId="0" applyFill="1" applyAlignment="1">
      <alignment horizontal="center" vertical="center" wrapText="1"/>
    </xf>
    <xf numFmtId="0" fontId="564" fillId="527" borderId="0" xfId="0" applyFont="1" applyFill="1"/>
    <xf numFmtId="0" fontId="564" fillId="528" borderId="0" xfId="0" applyFont="1" applyFill="1"/>
    <xf numFmtId="0" fontId="564" fillId="529" borderId="0" xfId="0" applyFont="1" applyFill="1"/>
    <xf numFmtId="0" fontId="565" fillId="530" borderId="0" xfId="0" applyFont="1" applyFill="1" applyAlignment="1">
      <alignment horizontal="center" vertical="center" wrapText="1"/>
    </xf>
    <xf numFmtId="0" fontId="565" fillId="531" borderId="0" xfId="0" applyFont="1" applyFill="1" applyAlignment="1">
      <alignment horizontal="center" vertical="center" wrapText="1"/>
    </xf>
    <xf numFmtId="0" fontId="565" fillId="532" borderId="0" xfId="0" applyFont="1" applyFill="1" applyAlignment="1">
      <alignment horizontal="center" vertical="center" wrapText="1"/>
    </xf>
    <xf numFmtId="0" fontId="565" fillId="533" borderId="0" xfId="0" applyFont="1" applyFill="1" applyAlignment="1">
      <alignment horizontal="center" vertical="center" wrapText="1"/>
    </xf>
    <xf numFmtId="0" fontId="565" fillId="534" borderId="0" xfId="0" applyFont="1" applyFill="1" applyAlignment="1">
      <alignment horizontal="center" vertical="center" wrapText="1"/>
    </xf>
    <xf numFmtId="0" fontId="565" fillId="535" borderId="0" xfId="0" applyFont="1" applyFill="1" applyAlignment="1">
      <alignment horizontal="center" vertical="center" wrapText="1"/>
    </xf>
    <xf numFmtId="0" fontId="565" fillId="536" borderId="0" xfId="0" applyFont="1" applyFill="1" applyAlignment="1">
      <alignment horizontal="center" vertical="center" wrapText="1"/>
    </xf>
    <xf numFmtId="0" fontId="565" fillId="537" borderId="0" xfId="0" applyFont="1" applyFill="1" applyAlignment="1">
      <alignment horizontal="center" vertical="center" wrapText="1"/>
    </xf>
    <xf numFmtId="0" fontId="565" fillId="538" borderId="0" xfId="0" applyFont="1" applyFill="1" applyAlignment="1">
      <alignment horizontal="center" vertical="center" wrapText="1"/>
    </xf>
    <xf numFmtId="0" fontId="564" fillId="539" borderId="0" xfId="0" applyFont="1" applyFill="1"/>
    <xf numFmtId="0" fontId="564" fillId="540" borderId="0" xfId="0" applyFont="1" applyFill="1"/>
    <xf numFmtId="0" fontId="564" fillId="541" borderId="0" xfId="0" applyFont="1" applyFill="1"/>
    <xf numFmtId="0" fontId="565" fillId="542" borderId="0" xfId="0" applyFont="1" applyFill="1" applyAlignment="1">
      <alignment horizontal="center" vertical="center" wrapText="1"/>
    </xf>
    <xf numFmtId="0" fontId="565" fillId="543" borderId="0" xfId="0" applyFont="1" applyFill="1" applyAlignment="1">
      <alignment horizontal="center" vertical="center" wrapText="1"/>
    </xf>
    <xf numFmtId="0" fontId="565" fillId="544" borderId="0" xfId="0" applyFont="1" applyFill="1" applyAlignment="1">
      <alignment horizontal="center" vertical="center" wrapText="1"/>
    </xf>
    <xf numFmtId="0" fontId="565" fillId="545" borderId="0" xfId="0" applyFont="1" applyFill="1" applyAlignment="1">
      <alignment horizontal="center" vertical="center" wrapText="1"/>
    </xf>
    <xf numFmtId="0" fontId="565" fillId="546" borderId="0" xfId="0" applyFont="1" applyFill="1" applyAlignment="1">
      <alignment horizontal="center" vertical="center" wrapText="1"/>
    </xf>
    <xf numFmtId="0" fontId="565" fillId="547" borderId="0" xfId="0" applyFont="1" applyFill="1" applyAlignment="1">
      <alignment horizontal="center" vertical="center" wrapText="1"/>
    </xf>
    <xf numFmtId="0" fontId="565" fillId="548" borderId="0" xfId="0" applyFont="1" applyFill="1" applyAlignment="1">
      <alignment horizontal="center" vertical="center" wrapText="1"/>
    </xf>
    <xf numFmtId="0" fontId="565" fillId="549" borderId="0" xfId="0" applyFont="1" applyFill="1" applyAlignment="1">
      <alignment horizontal="center" vertical="center" wrapText="1"/>
    </xf>
    <xf numFmtId="0" fontId="565" fillId="550" borderId="0" xfId="0" applyFont="1" applyFill="1" applyAlignment="1">
      <alignment horizontal="center" vertical="center" wrapText="1"/>
    </xf>
    <xf numFmtId="0" fontId="564" fillId="551" borderId="0" xfId="0" applyFont="1" applyFill="1"/>
    <xf numFmtId="0" fontId="564" fillId="552" borderId="0" xfId="0" applyFont="1" applyFill="1"/>
    <xf numFmtId="0" fontId="564" fillId="553" borderId="0" xfId="0" applyFont="1" applyFill="1"/>
    <xf numFmtId="0" fontId="565" fillId="554" borderId="0" xfId="0" applyFont="1" applyFill="1" applyAlignment="1">
      <alignment horizontal="center" vertical="center" wrapText="1"/>
    </xf>
    <xf numFmtId="0" fontId="565" fillId="555" borderId="0" xfId="0" applyFont="1" applyFill="1" applyAlignment="1">
      <alignment horizontal="center" vertical="center" wrapText="1"/>
    </xf>
    <xf numFmtId="0" fontId="565" fillId="238" borderId="0" xfId="0" applyFont="1" applyFill="1" applyAlignment="1">
      <alignment horizontal="center" vertical="center" wrapText="1"/>
    </xf>
    <xf numFmtId="0" fontId="565" fillId="556" borderId="0" xfId="0" applyFont="1" applyFill="1" applyAlignment="1">
      <alignment horizontal="center" vertical="center" wrapText="1"/>
    </xf>
    <xf numFmtId="0" fontId="565" fillId="557" borderId="0" xfId="0" applyFont="1" applyFill="1" applyAlignment="1">
      <alignment horizontal="center" vertical="center" wrapText="1"/>
    </xf>
    <xf numFmtId="0" fontId="565" fillId="558" borderId="0" xfId="0" applyFont="1" applyFill="1" applyAlignment="1">
      <alignment horizontal="center" vertical="center" wrapText="1"/>
    </xf>
    <xf numFmtId="0" fontId="565" fillId="559" borderId="0" xfId="0" applyFont="1" applyFill="1" applyAlignment="1">
      <alignment horizontal="center" vertical="center" wrapText="1"/>
    </xf>
    <xf numFmtId="0" fontId="565" fillId="560" borderId="0" xfId="0" applyFont="1" applyFill="1" applyAlignment="1">
      <alignment horizontal="center" vertical="center" wrapText="1"/>
    </xf>
    <xf numFmtId="0" fontId="565" fillId="561" borderId="0" xfId="0" applyFont="1" applyFill="1" applyAlignment="1">
      <alignment horizontal="center" vertical="center" wrapText="1"/>
    </xf>
    <xf numFmtId="0" fontId="564" fillId="562" borderId="0" xfId="0" applyFont="1" applyFill="1"/>
    <xf numFmtId="0" fontId="564" fillId="563" borderId="0" xfId="0" applyFont="1" applyFill="1"/>
    <xf numFmtId="0" fontId="564" fillId="564" borderId="0" xfId="0" applyFont="1" applyFill="1"/>
    <xf numFmtId="0" fontId="565" fillId="565" borderId="0" xfId="0" applyFont="1" applyFill="1" applyAlignment="1">
      <alignment horizontal="center" vertical="center" wrapText="1"/>
    </xf>
    <xf numFmtId="0" fontId="565" fillId="566" borderId="0" xfId="0" applyFont="1" applyFill="1" applyAlignment="1">
      <alignment horizontal="center" vertical="center" wrapText="1"/>
    </xf>
    <xf numFmtId="0" fontId="565" fillId="567" borderId="0" xfId="0" applyFont="1" applyFill="1" applyAlignment="1">
      <alignment horizontal="center" vertical="center" wrapText="1"/>
    </xf>
    <xf numFmtId="0" fontId="565" fillId="568" borderId="0" xfId="0" applyFont="1" applyFill="1" applyAlignment="1">
      <alignment horizontal="center" vertical="center" wrapText="1"/>
    </xf>
    <xf numFmtId="0" fontId="565" fillId="569" borderId="0" xfId="0" applyFont="1" applyFill="1" applyAlignment="1">
      <alignment horizontal="center" vertical="center" wrapText="1"/>
    </xf>
    <xf numFmtId="0" fontId="565" fillId="570" borderId="0" xfId="0" applyFont="1" applyFill="1" applyAlignment="1">
      <alignment horizontal="center" vertical="center" wrapText="1"/>
    </xf>
    <xf numFmtId="0" fontId="565" fillId="571" borderId="0" xfId="0" applyFont="1" applyFill="1" applyAlignment="1">
      <alignment horizontal="center" vertical="center" wrapText="1"/>
    </xf>
    <xf numFmtId="0" fontId="565" fillId="572" borderId="0" xfId="0" applyFont="1" applyFill="1" applyAlignment="1">
      <alignment horizontal="center" vertical="center" wrapText="1"/>
    </xf>
    <xf numFmtId="0" fontId="565" fillId="573" borderId="0" xfId="0" applyFont="1" applyFill="1" applyAlignment="1">
      <alignment horizontal="center" vertical="center" wrapText="1"/>
    </xf>
    <xf numFmtId="0" fontId="564" fillId="574" borderId="0" xfId="0" applyFont="1" applyFill="1"/>
    <xf numFmtId="0" fontId="564" fillId="575" borderId="0" xfId="0" applyFont="1" applyFill="1"/>
    <xf numFmtId="0" fontId="564" fillId="576" borderId="0" xfId="0" applyFont="1" applyFill="1"/>
    <xf numFmtId="0" fontId="565" fillId="577" borderId="0" xfId="0" applyFont="1" applyFill="1" applyAlignment="1">
      <alignment horizontal="center" vertical="center" wrapText="1"/>
    </xf>
    <xf numFmtId="0" fontId="565" fillId="578" borderId="0" xfId="0" applyFont="1" applyFill="1" applyAlignment="1">
      <alignment horizontal="center" vertical="center" wrapText="1"/>
    </xf>
    <xf numFmtId="0" fontId="565" fillId="579" borderId="0" xfId="0" applyFont="1" applyFill="1" applyAlignment="1">
      <alignment horizontal="center" vertical="center" wrapText="1"/>
    </xf>
    <xf numFmtId="0" fontId="565" fillId="580" borderId="0" xfId="0" applyFont="1" applyFill="1" applyAlignment="1">
      <alignment horizontal="center" vertical="center" wrapText="1"/>
    </xf>
    <xf numFmtId="0" fontId="565" fillId="581" borderId="0" xfId="0" applyFont="1" applyFill="1" applyAlignment="1">
      <alignment horizontal="center" vertical="center" wrapText="1"/>
    </xf>
    <xf numFmtId="0" fontId="565" fillId="582" borderId="0" xfId="0" applyFont="1" applyFill="1" applyAlignment="1">
      <alignment horizontal="center" vertical="center" wrapText="1"/>
    </xf>
    <xf numFmtId="0" fontId="565" fillId="583" borderId="0" xfId="0" applyFont="1" applyFill="1" applyAlignment="1">
      <alignment horizontal="center" vertical="center" wrapText="1"/>
    </xf>
    <xf numFmtId="0" fontId="565" fillId="584" borderId="0" xfId="0" applyFont="1" applyFill="1" applyAlignment="1">
      <alignment horizontal="center" vertical="center" wrapText="1"/>
    </xf>
    <xf numFmtId="0" fontId="565" fillId="585" borderId="0" xfId="0" applyFont="1" applyFill="1" applyAlignment="1">
      <alignment horizontal="center" vertical="center" wrapText="1"/>
    </xf>
    <xf numFmtId="0" fontId="564" fillId="586" borderId="0" xfId="0" applyFont="1" applyFill="1"/>
    <xf numFmtId="0" fontId="564" fillId="587" borderId="0" xfId="0" applyFont="1" applyFill="1"/>
    <xf numFmtId="0" fontId="564" fillId="588" borderId="0" xfId="0" applyFont="1" applyFill="1"/>
    <xf numFmtId="0" fontId="565" fillId="589" borderId="0" xfId="0" applyFont="1" applyFill="1" applyAlignment="1">
      <alignment horizontal="center" vertical="center" wrapText="1"/>
    </xf>
    <xf numFmtId="0" fontId="565" fillId="590" borderId="0" xfId="0" applyFont="1" applyFill="1" applyAlignment="1">
      <alignment horizontal="center" vertical="center" wrapText="1"/>
    </xf>
    <xf numFmtId="0" fontId="565" fillId="591" borderId="0" xfId="0" applyFont="1" applyFill="1" applyAlignment="1">
      <alignment horizontal="center" vertical="center" wrapText="1"/>
    </xf>
    <xf numFmtId="0" fontId="565" fillId="592" borderId="0" xfId="0" applyFont="1" applyFill="1" applyAlignment="1">
      <alignment horizontal="center" vertical="center" wrapText="1"/>
    </xf>
    <xf numFmtId="0" fontId="565" fillId="593" borderId="0" xfId="0" applyFont="1" applyFill="1" applyAlignment="1">
      <alignment horizontal="center" vertical="center" wrapText="1"/>
    </xf>
    <xf numFmtId="0" fontId="565" fillId="594" borderId="0" xfId="0" applyFont="1" applyFill="1" applyAlignment="1">
      <alignment horizontal="center" vertical="center" wrapText="1"/>
    </xf>
    <xf numFmtId="0" fontId="565" fillId="595" borderId="0" xfId="0" applyFont="1" applyFill="1" applyAlignment="1">
      <alignment horizontal="center" vertical="center" wrapText="1"/>
    </xf>
    <xf numFmtId="0" fontId="565" fillId="596" borderId="0" xfId="0" applyFont="1" applyFill="1" applyAlignment="1">
      <alignment horizontal="center" vertical="center" wrapText="1"/>
    </xf>
    <xf numFmtId="0" fontId="0" fillId="597" borderId="0" xfId="0" applyFill="1" applyAlignment="1">
      <alignment horizontal="center" vertical="center" wrapText="1"/>
    </xf>
    <xf numFmtId="0" fontId="564" fillId="598" borderId="0" xfId="0" applyFont="1" applyFill="1"/>
    <xf numFmtId="0" fontId="564" fillId="599" borderId="0" xfId="0" applyFont="1" applyFill="1"/>
    <xf numFmtId="0" fontId="564" fillId="600" borderId="0" xfId="0" applyFont="1" applyFill="1"/>
    <xf numFmtId="0" fontId="565" fillId="601" borderId="0" xfId="0" applyFont="1" applyFill="1" applyAlignment="1">
      <alignment horizontal="center" vertical="center" wrapText="1"/>
    </xf>
    <xf numFmtId="0" fontId="565" fillId="602" borderId="0" xfId="0" applyFont="1" applyFill="1" applyAlignment="1">
      <alignment horizontal="center" vertical="center" wrapText="1"/>
    </xf>
    <xf numFmtId="0" fontId="565" fillId="603" borderId="0" xfId="0" applyFont="1" applyFill="1" applyAlignment="1">
      <alignment horizontal="center" vertical="center" wrapText="1"/>
    </xf>
    <xf numFmtId="0" fontId="565" fillId="604" borderId="0" xfId="0" applyFont="1" applyFill="1" applyAlignment="1">
      <alignment horizontal="center" vertical="center" wrapText="1"/>
    </xf>
    <xf numFmtId="0" fontId="565" fillId="605" borderId="0" xfId="0" applyFont="1" applyFill="1" applyAlignment="1">
      <alignment horizontal="center" vertical="center" wrapText="1"/>
    </xf>
    <xf numFmtId="0" fontId="565" fillId="606" borderId="0" xfId="0" applyFont="1" applyFill="1" applyAlignment="1">
      <alignment horizontal="center" vertical="center" wrapText="1"/>
    </xf>
    <xf numFmtId="0" fontId="565" fillId="607" borderId="0" xfId="0" applyFont="1" applyFill="1" applyAlignment="1">
      <alignment horizontal="center" vertical="center" wrapText="1"/>
    </xf>
    <xf numFmtId="0" fontId="0" fillId="608" borderId="0" xfId="0" applyFill="1" applyAlignment="1">
      <alignment horizontal="center" vertical="center" wrapText="1"/>
    </xf>
    <xf numFmtId="0" fontId="0" fillId="609" borderId="0" xfId="0" applyFill="1" applyAlignment="1">
      <alignment horizontal="center" vertical="center" wrapText="1"/>
    </xf>
    <xf numFmtId="0" fontId="564" fillId="610" borderId="0" xfId="0" applyFont="1" applyFill="1"/>
    <xf numFmtId="0" fontId="564" fillId="611" borderId="0" xfId="0" applyFont="1" applyFill="1"/>
    <xf numFmtId="0" fontId="564" fillId="612" borderId="0" xfId="0" applyFont="1" applyFill="1"/>
    <xf numFmtId="0" fontId="565" fillId="613" borderId="0" xfId="0" applyFont="1" applyFill="1" applyAlignment="1">
      <alignment horizontal="center" vertical="center" wrapText="1"/>
    </xf>
    <xf numFmtId="0" fontId="565" fillId="614" borderId="0" xfId="0" applyFont="1" applyFill="1" applyAlignment="1">
      <alignment horizontal="center" vertical="center" wrapText="1"/>
    </xf>
    <xf numFmtId="0" fontId="565" fillId="615" borderId="0" xfId="0" applyFont="1" applyFill="1" applyAlignment="1">
      <alignment horizontal="center" vertical="center" wrapText="1"/>
    </xf>
    <xf numFmtId="0" fontId="565" fillId="616" borderId="0" xfId="0" applyFont="1" applyFill="1" applyAlignment="1">
      <alignment horizontal="center" vertical="center" wrapText="1"/>
    </xf>
    <xf numFmtId="0" fontId="565" fillId="617" borderId="0" xfId="0" applyFont="1" applyFill="1" applyAlignment="1">
      <alignment horizontal="center" vertical="center" wrapText="1"/>
    </xf>
    <xf numFmtId="0" fontId="565" fillId="618" borderId="0" xfId="0" applyFont="1" applyFill="1" applyAlignment="1">
      <alignment horizontal="center" vertical="center" wrapText="1"/>
    </xf>
    <xf numFmtId="0" fontId="0" fillId="619" borderId="0" xfId="0" applyFill="1" applyAlignment="1">
      <alignment horizontal="center" vertical="center" wrapText="1"/>
    </xf>
    <xf numFmtId="0" fontId="0" fillId="620" borderId="0" xfId="0" applyFill="1" applyAlignment="1">
      <alignment horizontal="center" vertical="center" wrapText="1"/>
    </xf>
    <xf numFmtId="0" fontId="0" fillId="621" borderId="0" xfId="0" applyFill="1" applyAlignment="1">
      <alignment horizontal="center" vertical="center" wrapText="1"/>
    </xf>
    <xf numFmtId="0" fontId="564" fillId="622" borderId="0" xfId="0" applyFont="1" applyFill="1"/>
    <xf numFmtId="0" fontId="564" fillId="623" borderId="0" xfId="0" applyFont="1" applyFill="1"/>
    <xf numFmtId="0" fontId="564" fillId="624" borderId="0" xfId="0" applyFont="1" applyFill="1"/>
    <xf numFmtId="0" fontId="565" fillId="625" borderId="0" xfId="0" applyFont="1" applyFill="1" applyAlignment="1">
      <alignment horizontal="center" vertical="center" wrapText="1"/>
    </xf>
    <xf numFmtId="0" fontId="565" fillId="626" borderId="0" xfId="0" applyFont="1" applyFill="1" applyAlignment="1">
      <alignment horizontal="center" vertical="center" wrapText="1"/>
    </xf>
    <xf numFmtId="0" fontId="565" fillId="627" borderId="0" xfId="0" applyFont="1" applyFill="1" applyAlignment="1">
      <alignment horizontal="center" vertical="center" wrapText="1"/>
    </xf>
    <xf numFmtId="0" fontId="565" fillId="628" borderId="0" xfId="0" applyFont="1" applyFill="1" applyAlignment="1">
      <alignment horizontal="center" vertical="center" wrapText="1"/>
    </xf>
    <xf numFmtId="0" fontId="565" fillId="629" borderId="0" xfId="0" applyFont="1" applyFill="1" applyAlignment="1">
      <alignment horizontal="center" vertical="center" wrapText="1"/>
    </xf>
    <xf numFmtId="0" fontId="0" fillId="630" borderId="0" xfId="0" applyFill="1" applyAlignment="1">
      <alignment horizontal="center" vertical="center" wrapText="1"/>
    </xf>
    <xf numFmtId="0" fontId="0" fillId="631" borderId="0" xfId="0" applyFill="1" applyAlignment="1">
      <alignment horizontal="center" vertical="center" wrapText="1"/>
    </xf>
    <xf numFmtId="0" fontId="0" fillId="632" borderId="0" xfId="0" applyFill="1" applyAlignment="1">
      <alignment horizontal="center" vertical="center" wrapText="1"/>
    </xf>
    <xf numFmtId="0" fontId="0" fillId="633" borderId="0" xfId="0" applyFill="1" applyAlignment="1">
      <alignment horizontal="center" vertical="center" wrapText="1"/>
    </xf>
    <xf numFmtId="0" fontId="564" fillId="634" borderId="0" xfId="0" applyFont="1" applyFill="1"/>
    <xf numFmtId="0" fontId="564" fillId="635" borderId="0" xfId="0" applyFont="1" applyFill="1"/>
    <xf numFmtId="0" fontId="564" fillId="636" borderId="0" xfId="0" applyFont="1" applyFill="1"/>
    <xf numFmtId="0" fontId="565" fillId="637" borderId="0" xfId="0" applyFont="1" applyFill="1" applyAlignment="1">
      <alignment horizontal="center" vertical="center" wrapText="1"/>
    </xf>
    <xf numFmtId="0" fontId="565" fillId="638" borderId="0" xfId="0" applyFont="1" applyFill="1" applyAlignment="1">
      <alignment horizontal="center" vertical="center" wrapText="1"/>
    </xf>
    <xf numFmtId="0" fontId="565" fillId="639" borderId="0" xfId="0" applyFont="1" applyFill="1" applyAlignment="1">
      <alignment horizontal="center" vertical="center" wrapText="1"/>
    </xf>
    <xf numFmtId="0" fontId="565" fillId="640" borderId="0" xfId="0" applyFont="1" applyFill="1" applyAlignment="1">
      <alignment horizontal="center" vertical="center" wrapText="1"/>
    </xf>
    <xf numFmtId="0" fontId="565" fillId="641" borderId="0" xfId="0" applyFont="1" applyFill="1" applyAlignment="1">
      <alignment horizontal="center" vertical="center" wrapText="1"/>
    </xf>
    <xf numFmtId="0" fontId="565" fillId="642" borderId="0" xfId="0" applyFont="1" applyFill="1" applyAlignment="1">
      <alignment horizontal="center" vertical="center" wrapText="1"/>
    </xf>
    <xf numFmtId="0" fontId="565" fillId="643" borderId="0" xfId="0" applyFont="1" applyFill="1" applyAlignment="1">
      <alignment horizontal="center" vertical="center" wrapText="1"/>
    </xf>
    <xf numFmtId="0" fontId="565" fillId="644" borderId="0" xfId="0" applyFont="1" applyFill="1" applyAlignment="1">
      <alignment horizontal="center" vertical="center" wrapText="1"/>
    </xf>
    <xf numFmtId="0" fontId="565" fillId="645" borderId="0" xfId="0" applyFont="1" applyFill="1" applyAlignment="1">
      <alignment horizontal="center" vertical="center" wrapText="1"/>
    </xf>
    <xf numFmtId="0" fontId="564" fillId="646" borderId="0" xfId="0" applyFont="1" applyFill="1"/>
    <xf numFmtId="0" fontId="564" fillId="647" borderId="0" xfId="0" applyFont="1" applyFill="1"/>
    <xf numFmtId="0" fontId="564" fillId="648" borderId="0" xfId="0" applyFont="1" applyFill="1"/>
    <xf numFmtId="0" fontId="565" fillId="649" borderId="0" xfId="0" applyFont="1" applyFill="1" applyAlignment="1">
      <alignment horizontal="center" vertical="center" wrapText="1"/>
    </xf>
    <xf numFmtId="0" fontId="565" fillId="650" borderId="0" xfId="0" applyFont="1" applyFill="1" applyAlignment="1">
      <alignment horizontal="center" vertical="center" wrapText="1"/>
    </xf>
    <xf numFmtId="0" fontId="565" fillId="651" borderId="0" xfId="0" applyFont="1" applyFill="1" applyAlignment="1">
      <alignment horizontal="center" vertical="center" wrapText="1"/>
    </xf>
    <xf numFmtId="0" fontId="565" fillId="652" borderId="0" xfId="0" applyFont="1" applyFill="1" applyAlignment="1">
      <alignment horizontal="center" vertical="center" wrapText="1"/>
    </xf>
    <xf numFmtId="0" fontId="565" fillId="653" borderId="0" xfId="0" applyFont="1" applyFill="1" applyAlignment="1">
      <alignment horizontal="center" vertical="center" wrapText="1"/>
    </xf>
    <xf numFmtId="0" fontId="565" fillId="654" borderId="0" xfId="0" applyFont="1" applyFill="1" applyAlignment="1">
      <alignment horizontal="center" vertical="center" wrapText="1"/>
    </xf>
    <xf numFmtId="0" fontId="565" fillId="655" borderId="0" xfId="0" applyFont="1" applyFill="1" applyAlignment="1">
      <alignment horizontal="center" vertical="center" wrapText="1"/>
    </xf>
    <xf numFmtId="0" fontId="565" fillId="656" borderId="0" xfId="0" applyFont="1" applyFill="1" applyAlignment="1">
      <alignment horizontal="center" vertical="center" wrapText="1"/>
    </xf>
    <xf numFmtId="0" fontId="565" fillId="657" borderId="0" xfId="0" applyFont="1" applyFill="1" applyAlignment="1">
      <alignment horizontal="center" vertical="center" wrapText="1"/>
    </xf>
    <xf numFmtId="0" fontId="564" fillId="658" borderId="0" xfId="0" applyFont="1" applyFill="1"/>
    <xf numFmtId="0" fontId="564" fillId="659" borderId="0" xfId="0" applyFont="1" applyFill="1"/>
    <xf numFmtId="0" fontId="564" fillId="660" borderId="0" xfId="0" applyFont="1" applyFill="1"/>
    <xf numFmtId="0" fontId="565" fillId="661" borderId="0" xfId="0" applyFont="1" applyFill="1" applyAlignment="1">
      <alignment horizontal="center" vertical="center" wrapText="1"/>
    </xf>
    <xf numFmtId="0" fontId="565" fillId="662" borderId="0" xfId="0" applyFont="1" applyFill="1" applyAlignment="1">
      <alignment horizontal="center" vertical="center" wrapText="1"/>
    </xf>
    <xf numFmtId="0" fontId="565" fillId="663" borderId="0" xfId="0" applyFont="1" applyFill="1" applyAlignment="1">
      <alignment horizontal="center" vertical="center" wrapText="1"/>
    </xf>
    <xf numFmtId="0" fontId="565" fillId="664" borderId="0" xfId="0" applyFont="1" applyFill="1" applyAlignment="1">
      <alignment horizontal="center" vertical="center" wrapText="1"/>
    </xf>
    <xf numFmtId="0" fontId="565" fillId="665" borderId="0" xfId="0" applyFont="1" applyFill="1" applyAlignment="1">
      <alignment horizontal="center" vertical="center" wrapText="1"/>
    </xf>
    <xf numFmtId="0" fontId="565" fillId="666" borderId="0" xfId="0" applyFont="1" applyFill="1" applyAlignment="1">
      <alignment horizontal="center" vertical="center" wrapText="1"/>
    </xf>
    <xf numFmtId="0" fontId="565" fillId="667" borderId="0" xfId="0" applyFont="1" applyFill="1" applyAlignment="1">
      <alignment horizontal="center" vertical="center" wrapText="1"/>
    </xf>
    <xf numFmtId="0" fontId="565" fillId="668" borderId="0" xfId="0" applyFont="1" applyFill="1" applyAlignment="1">
      <alignment horizontal="center" vertical="center" wrapText="1"/>
    </xf>
    <xf numFmtId="0" fontId="565" fillId="669" borderId="0" xfId="0" applyFont="1" applyFill="1" applyAlignment="1">
      <alignment horizontal="center" vertical="center" wrapText="1"/>
    </xf>
    <xf numFmtId="0" fontId="564" fillId="670" borderId="0" xfId="0" applyFont="1" applyFill="1"/>
    <xf numFmtId="0" fontId="564" fillId="671" borderId="0" xfId="0" applyFont="1" applyFill="1"/>
    <xf numFmtId="0" fontId="564" fillId="672" borderId="0" xfId="0" applyFont="1" applyFill="1"/>
    <xf numFmtId="0" fontId="565" fillId="673" borderId="0" xfId="0" applyFont="1" applyFill="1" applyAlignment="1">
      <alignment horizontal="center" vertical="center" wrapText="1"/>
    </xf>
    <xf numFmtId="0" fontId="565" fillId="674" borderId="0" xfId="0" applyFont="1" applyFill="1" applyAlignment="1">
      <alignment horizontal="center" vertical="center" wrapText="1"/>
    </xf>
    <xf numFmtId="0" fontId="565" fillId="675" borderId="0" xfId="0" applyFont="1" applyFill="1" applyAlignment="1">
      <alignment horizontal="center" vertical="center" wrapText="1"/>
    </xf>
    <xf numFmtId="0" fontId="565" fillId="676" borderId="0" xfId="0" applyFont="1" applyFill="1" applyAlignment="1">
      <alignment horizontal="center" vertical="center" wrapText="1"/>
    </xf>
    <xf numFmtId="0" fontId="565" fillId="677" borderId="0" xfId="0" applyFont="1" applyFill="1" applyAlignment="1">
      <alignment horizontal="center" vertical="center" wrapText="1"/>
    </xf>
    <xf numFmtId="0" fontId="565" fillId="678" borderId="0" xfId="0" applyFont="1" applyFill="1" applyAlignment="1">
      <alignment horizontal="center" vertical="center" wrapText="1"/>
    </xf>
    <xf numFmtId="0" fontId="565" fillId="679" borderId="0" xfId="0" applyFont="1" applyFill="1" applyAlignment="1">
      <alignment horizontal="center" vertical="center" wrapText="1"/>
    </xf>
    <xf numFmtId="0" fontId="565" fillId="680" borderId="0" xfId="0" applyFont="1" applyFill="1" applyAlignment="1">
      <alignment horizontal="center" vertical="center" wrapText="1"/>
    </xf>
    <xf numFmtId="0" fontId="565" fillId="681" borderId="0" xfId="0" applyFont="1" applyFill="1" applyAlignment="1">
      <alignment horizontal="center" vertical="center" wrapText="1"/>
    </xf>
    <xf numFmtId="0" fontId="564" fillId="682" borderId="0" xfId="0" applyFont="1" applyFill="1"/>
    <xf numFmtId="0" fontId="564" fillId="683" borderId="0" xfId="0" applyFont="1" applyFill="1"/>
    <xf numFmtId="0" fontId="564" fillId="684" borderId="0" xfId="0" applyFont="1" applyFill="1"/>
    <xf numFmtId="0" fontId="565" fillId="685" borderId="0" xfId="0" applyFont="1" applyFill="1" applyAlignment="1">
      <alignment horizontal="center" vertical="center" wrapText="1"/>
    </xf>
    <xf numFmtId="0" fontId="565" fillId="686" borderId="0" xfId="0" applyFont="1" applyFill="1" applyAlignment="1">
      <alignment horizontal="center" vertical="center" wrapText="1"/>
    </xf>
    <xf numFmtId="0" fontId="565" fillId="687" borderId="0" xfId="0" applyFont="1" applyFill="1" applyAlignment="1">
      <alignment horizontal="center" vertical="center" wrapText="1"/>
    </xf>
    <xf numFmtId="0" fontId="565" fillId="688" borderId="0" xfId="0" applyFont="1" applyFill="1" applyAlignment="1">
      <alignment horizontal="center" vertical="center" wrapText="1"/>
    </xf>
    <xf numFmtId="0" fontId="565" fillId="689" borderId="0" xfId="0" applyFont="1" applyFill="1" applyAlignment="1">
      <alignment horizontal="center" vertical="center" wrapText="1"/>
    </xf>
    <xf numFmtId="0" fontId="565" fillId="690" borderId="0" xfId="0" applyFont="1" applyFill="1" applyAlignment="1">
      <alignment horizontal="center" vertical="center" wrapText="1"/>
    </xf>
    <xf numFmtId="0" fontId="565" fillId="691" borderId="0" xfId="0" applyFont="1" applyFill="1" applyAlignment="1">
      <alignment horizontal="center" vertical="center" wrapText="1"/>
    </xf>
    <xf numFmtId="0" fontId="565" fillId="692" borderId="0" xfId="0" applyFont="1" applyFill="1" applyAlignment="1">
      <alignment horizontal="center" vertical="center" wrapText="1"/>
    </xf>
    <xf numFmtId="0" fontId="0" fillId="693" borderId="0" xfId="0" applyFill="1" applyAlignment="1">
      <alignment horizontal="center" vertical="center" wrapText="1"/>
    </xf>
    <xf numFmtId="0" fontId="564" fillId="694" borderId="0" xfId="0" applyFont="1" applyFill="1"/>
    <xf numFmtId="0" fontId="564" fillId="695" borderId="0" xfId="0" applyFont="1" applyFill="1"/>
    <xf numFmtId="0" fontId="564" fillId="696" borderId="0" xfId="0" applyFont="1" applyFill="1"/>
    <xf numFmtId="0" fontId="565" fillId="697" borderId="0" xfId="0" applyFont="1" applyFill="1" applyAlignment="1">
      <alignment horizontal="center" vertical="center" wrapText="1"/>
    </xf>
    <xf numFmtId="0" fontId="565" fillId="698" borderId="0" xfId="0" applyFont="1" applyFill="1" applyAlignment="1">
      <alignment horizontal="center" vertical="center" wrapText="1"/>
    </xf>
    <xf numFmtId="0" fontId="565" fillId="699" borderId="0" xfId="0" applyFont="1" applyFill="1" applyAlignment="1">
      <alignment horizontal="center" vertical="center" wrapText="1"/>
    </xf>
    <xf numFmtId="0" fontId="565" fillId="700" borderId="0" xfId="0" applyFont="1" applyFill="1" applyAlignment="1">
      <alignment horizontal="center" vertical="center" wrapText="1"/>
    </xf>
    <xf numFmtId="0" fontId="565" fillId="701" borderId="0" xfId="0" applyFont="1" applyFill="1" applyAlignment="1">
      <alignment horizontal="center" vertical="center" wrapText="1"/>
    </xf>
    <xf numFmtId="0" fontId="565" fillId="702" borderId="0" xfId="0" applyFont="1" applyFill="1" applyAlignment="1">
      <alignment horizontal="center" vertical="center" wrapText="1"/>
    </xf>
    <xf numFmtId="0" fontId="565" fillId="703" borderId="0" xfId="0" applyFont="1" applyFill="1" applyAlignment="1">
      <alignment horizontal="center" vertical="center" wrapText="1"/>
    </xf>
    <xf numFmtId="0" fontId="0" fillId="704" borderId="0" xfId="0" applyFill="1" applyAlignment="1">
      <alignment horizontal="center" vertical="center" wrapText="1"/>
    </xf>
    <xf numFmtId="0" fontId="0" fillId="705" borderId="0" xfId="0" applyFill="1" applyAlignment="1">
      <alignment horizontal="center" vertical="center" wrapText="1"/>
    </xf>
    <xf numFmtId="0" fontId="564" fillId="706" borderId="0" xfId="0" applyFont="1" applyFill="1"/>
    <xf numFmtId="0" fontId="564" fillId="707" borderId="0" xfId="0" applyFont="1" applyFill="1"/>
    <xf numFmtId="0" fontId="564" fillId="708" borderId="0" xfId="0" applyFont="1" applyFill="1"/>
    <xf numFmtId="0" fontId="565" fillId="709" borderId="0" xfId="0" applyFont="1" applyFill="1" applyAlignment="1">
      <alignment horizontal="center" vertical="center" wrapText="1"/>
    </xf>
    <xf numFmtId="0" fontId="565" fillId="710" borderId="0" xfId="0" applyFont="1" applyFill="1" applyAlignment="1">
      <alignment horizontal="center" vertical="center" wrapText="1"/>
    </xf>
    <xf numFmtId="0" fontId="565" fillId="711" borderId="0" xfId="0" applyFont="1" applyFill="1" applyAlignment="1">
      <alignment horizontal="center" vertical="center" wrapText="1"/>
    </xf>
    <xf numFmtId="0" fontId="565" fillId="712" borderId="0" xfId="0" applyFont="1" applyFill="1" applyAlignment="1">
      <alignment horizontal="center" vertical="center" wrapText="1"/>
    </xf>
    <xf numFmtId="0" fontId="565" fillId="713" borderId="0" xfId="0" applyFont="1" applyFill="1" applyAlignment="1">
      <alignment horizontal="center" vertical="center" wrapText="1"/>
    </xf>
    <xf numFmtId="0" fontId="565" fillId="714" borderId="0" xfId="0" applyFont="1" applyFill="1" applyAlignment="1">
      <alignment horizontal="center" vertical="center" wrapText="1"/>
    </xf>
    <xf numFmtId="0" fontId="0" fillId="715" borderId="0" xfId="0" applyFill="1" applyAlignment="1">
      <alignment horizontal="center" vertical="center" wrapText="1"/>
    </xf>
    <xf numFmtId="0" fontId="0" fillId="716" borderId="0" xfId="0" applyFill="1" applyAlignment="1">
      <alignment horizontal="center" vertical="center" wrapText="1"/>
    </xf>
    <xf numFmtId="0" fontId="0" fillId="717" borderId="0" xfId="0" applyFill="1" applyAlignment="1">
      <alignment horizontal="center" vertical="center" wrapText="1"/>
    </xf>
    <xf numFmtId="0" fontId="564" fillId="718" borderId="0" xfId="0" applyFont="1" applyFill="1"/>
    <xf numFmtId="0" fontId="564" fillId="719" borderId="0" xfId="0" applyFont="1" applyFill="1"/>
    <xf numFmtId="0" fontId="564" fillId="720" borderId="0" xfId="0" applyFont="1" applyFill="1"/>
    <xf numFmtId="0" fontId="565" fillId="721" borderId="0" xfId="0" applyFont="1" applyFill="1" applyAlignment="1">
      <alignment horizontal="center" vertical="center" wrapText="1"/>
    </xf>
    <xf numFmtId="0" fontId="565" fillId="722" borderId="0" xfId="0" applyFont="1" applyFill="1" applyAlignment="1">
      <alignment horizontal="center" vertical="center" wrapText="1"/>
    </xf>
    <xf numFmtId="0" fontId="565" fillId="723" borderId="0" xfId="0" applyFont="1" applyFill="1" applyAlignment="1">
      <alignment horizontal="center" vertical="center" wrapText="1"/>
    </xf>
    <xf numFmtId="0" fontId="565" fillId="724" borderId="0" xfId="0" applyFont="1" applyFill="1" applyAlignment="1">
      <alignment horizontal="center" vertical="center" wrapText="1"/>
    </xf>
    <xf numFmtId="0" fontId="565" fillId="725" borderId="0" xfId="0" applyFont="1" applyFill="1" applyAlignment="1">
      <alignment horizontal="center" vertical="center" wrapText="1"/>
    </xf>
    <xf numFmtId="0" fontId="0" fillId="726" borderId="0" xfId="0" applyFill="1" applyAlignment="1">
      <alignment horizontal="center" vertical="center" wrapText="1"/>
    </xf>
    <xf numFmtId="0" fontId="0" fillId="727" borderId="0" xfId="0" applyFill="1" applyAlignment="1">
      <alignment horizontal="center" vertical="center" wrapText="1"/>
    </xf>
    <xf numFmtId="0" fontId="0" fillId="728" borderId="0" xfId="0" applyFill="1" applyAlignment="1">
      <alignment horizontal="center" vertical="center" wrapText="1"/>
    </xf>
    <xf numFmtId="0" fontId="0" fillId="729" borderId="0" xfId="0" applyFill="1" applyAlignment="1">
      <alignment horizontal="center" vertical="center" wrapText="1"/>
    </xf>
    <xf numFmtId="0" fontId="564" fillId="730" borderId="0" xfId="0" applyFont="1" applyFill="1"/>
    <xf numFmtId="0" fontId="564" fillId="731" borderId="0" xfId="0" applyFont="1" applyFill="1"/>
    <xf numFmtId="0" fontId="564" fillId="732" borderId="0" xfId="0" applyFont="1" applyFill="1"/>
    <xf numFmtId="0" fontId="565" fillId="733" borderId="0" xfId="0" applyFont="1" applyFill="1" applyAlignment="1">
      <alignment horizontal="center" vertical="center" wrapText="1"/>
    </xf>
    <xf numFmtId="0" fontId="565" fillId="734" borderId="0" xfId="0" applyFont="1" applyFill="1" applyAlignment="1">
      <alignment horizontal="center" vertical="center" wrapText="1"/>
    </xf>
    <xf numFmtId="0" fontId="565" fillId="735" borderId="0" xfId="0" applyFont="1" applyFill="1" applyAlignment="1">
      <alignment horizontal="center" vertical="center" wrapText="1"/>
    </xf>
    <xf numFmtId="0" fontId="565" fillId="736" borderId="0" xfId="0" applyFont="1" applyFill="1" applyAlignment="1">
      <alignment horizontal="center" vertical="center" wrapText="1"/>
    </xf>
    <xf numFmtId="0" fontId="0" fillId="737" borderId="0" xfId="0" applyFill="1" applyAlignment="1">
      <alignment horizontal="center" vertical="center" wrapText="1"/>
    </xf>
    <xf numFmtId="0" fontId="0" fillId="738" borderId="0" xfId="0" applyFill="1" applyAlignment="1">
      <alignment horizontal="center" vertical="center" wrapText="1"/>
    </xf>
    <xf numFmtId="0" fontId="0" fillId="739" borderId="0" xfId="0" applyFill="1" applyAlignment="1">
      <alignment horizontal="center" vertical="center" wrapText="1"/>
    </xf>
    <xf numFmtId="0" fontId="0" fillId="740" borderId="0" xfId="0" applyFill="1" applyAlignment="1">
      <alignment horizontal="center" vertical="center" wrapText="1"/>
    </xf>
    <xf numFmtId="0" fontId="0" fillId="741" borderId="0" xfId="0" applyFill="1" applyAlignment="1">
      <alignment horizontal="center" vertical="center" wrapText="1"/>
    </xf>
    <xf numFmtId="0" fontId="564" fillId="742" borderId="0" xfId="0" applyFont="1" applyFill="1"/>
    <xf numFmtId="0" fontId="564" fillId="743" borderId="0" xfId="0" applyFont="1" applyFill="1"/>
    <xf numFmtId="0" fontId="564" fillId="744" borderId="0" xfId="0" applyFont="1" applyFill="1"/>
    <xf numFmtId="0" fontId="565" fillId="74" borderId="0" xfId="0" applyFont="1" applyFill="1" applyAlignment="1">
      <alignment horizontal="center" vertical="center" wrapText="1"/>
    </xf>
    <xf numFmtId="0" fontId="565" fillId="745" borderId="0" xfId="0" applyFont="1" applyFill="1" applyAlignment="1">
      <alignment horizontal="center" vertical="center" wrapText="1"/>
    </xf>
    <xf numFmtId="0" fontId="565" fillId="746" borderId="0" xfId="0" applyFont="1" applyFill="1" applyAlignment="1">
      <alignment horizontal="center" vertical="center" wrapText="1"/>
    </xf>
    <xf numFmtId="0" fontId="565" fillId="747" borderId="0" xfId="0" applyFont="1" applyFill="1" applyAlignment="1">
      <alignment horizontal="center" vertical="center" wrapText="1"/>
    </xf>
    <xf numFmtId="0" fontId="565" fillId="748" borderId="0" xfId="0" applyFont="1" applyFill="1" applyAlignment="1">
      <alignment horizontal="center" vertical="center" wrapText="1"/>
    </xf>
    <xf numFmtId="0" fontId="565" fillId="749" borderId="0" xfId="0" applyFont="1" applyFill="1" applyAlignment="1">
      <alignment horizontal="center" vertical="center" wrapText="1"/>
    </xf>
    <xf numFmtId="0" fontId="565" fillId="750" borderId="0" xfId="0" applyFont="1" applyFill="1" applyAlignment="1">
      <alignment horizontal="center" vertical="center" wrapText="1"/>
    </xf>
    <xf numFmtId="0" fontId="565" fillId="751" borderId="0" xfId="0" applyFont="1" applyFill="1" applyAlignment="1">
      <alignment horizontal="center" vertical="center" wrapText="1"/>
    </xf>
    <xf numFmtId="0" fontId="565" fillId="752" borderId="0" xfId="0" applyFont="1" applyFill="1" applyAlignment="1">
      <alignment horizontal="center" vertical="center" wrapText="1"/>
    </xf>
    <xf numFmtId="0" fontId="564" fillId="753" borderId="0" xfId="0" applyFont="1" applyFill="1"/>
    <xf numFmtId="0" fontId="564" fillId="754" borderId="0" xfId="0" applyFont="1" applyFill="1"/>
    <xf numFmtId="0" fontId="564" fillId="755" borderId="0" xfId="0" applyFont="1" applyFill="1"/>
    <xf numFmtId="0" fontId="565" fillId="756" borderId="0" xfId="0" applyFont="1" applyFill="1" applyAlignment="1">
      <alignment horizontal="center" vertical="center" wrapText="1"/>
    </xf>
    <xf numFmtId="0" fontId="565" fillId="757" borderId="0" xfId="0" applyFont="1" applyFill="1" applyAlignment="1">
      <alignment horizontal="center" vertical="center" wrapText="1"/>
    </xf>
    <xf numFmtId="0" fontId="565" fillId="758" borderId="0" xfId="0" applyFont="1" applyFill="1" applyAlignment="1">
      <alignment horizontal="center" vertical="center" wrapText="1"/>
    </xf>
    <xf numFmtId="0" fontId="565" fillId="759" borderId="0" xfId="0" applyFont="1" applyFill="1" applyAlignment="1">
      <alignment horizontal="center" vertical="center" wrapText="1"/>
    </xf>
    <xf numFmtId="0" fontId="565" fillId="760" borderId="0" xfId="0" applyFont="1" applyFill="1" applyAlignment="1">
      <alignment horizontal="center" vertical="center" wrapText="1"/>
    </xf>
    <xf numFmtId="0" fontId="565" fillId="761" borderId="0" xfId="0" applyFont="1" applyFill="1" applyAlignment="1">
      <alignment horizontal="center" vertical="center" wrapText="1"/>
    </xf>
    <xf numFmtId="0" fontId="565" fillId="762" borderId="0" xfId="0" applyFont="1" applyFill="1" applyAlignment="1">
      <alignment horizontal="center" vertical="center" wrapText="1"/>
    </xf>
    <xf numFmtId="0" fontId="565" fillId="763" borderId="0" xfId="0" applyFont="1" applyFill="1" applyAlignment="1">
      <alignment horizontal="center" vertical="center" wrapText="1"/>
    </xf>
    <xf numFmtId="0" fontId="565" fillId="764" borderId="0" xfId="0" applyFont="1" applyFill="1" applyAlignment="1">
      <alignment horizontal="center" vertical="center" wrapText="1"/>
    </xf>
    <xf numFmtId="0" fontId="564" fillId="765" borderId="0" xfId="0" applyFont="1" applyFill="1"/>
    <xf numFmtId="0" fontId="564" fillId="766" borderId="0" xfId="0" applyFont="1" applyFill="1"/>
    <xf numFmtId="0" fontId="564" fillId="767" borderId="0" xfId="0" applyFont="1" applyFill="1"/>
    <xf numFmtId="0" fontId="565" fillId="768" borderId="0" xfId="0" applyFont="1" applyFill="1" applyAlignment="1">
      <alignment horizontal="center" vertical="center" wrapText="1"/>
    </xf>
    <xf numFmtId="0" fontId="565" fillId="769" borderId="0" xfId="0" applyFont="1" applyFill="1" applyAlignment="1">
      <alignment horizontal="center" vertical="center" wrapText="1"/>
    </xf>
    <xf numFmtId="0" fontId="565" fillId="770" borderId="0" xfId="0" applyFont="1" applyFill="1" applyAlignment="1">
      <alignment horizontal="center" vertical="center" wrapText="1"/>
    </xf>
    <xf numFmtId="0" fontId="565" fillId="771" borderId="0" xfId="0" applyFont="1" applyFill="1" applyAlignment="1">
      <alignment horizontal="center" vertical="center" wrapText="1"/>
    </xf>
    <xf numFmtId="0" fontId="565" fillId="772" borderId="0" xfId="0" applyFont="1" applyFill="1" applyAlignment="1">
      <alignment horizontal="center" vertical="center" wrapText="1"/>
    </xf>
    <xf numFmtId="0" fontId="565" fillId="773" borderId="0" xfId="0" applyFont="1" applyFill="1" applyAlignment="1">
      <alignment horizontal="center" vertical="center" wrapText="1"/>
    </xf>
    <xf numFmtId="0" fontId="565" fillId="774" borderId="0" xfId="0" applyFont="1" applyFill="1" applyAlignment="1">
      <alignment horizontal="center" vertical="center" wrapText="1"/>
    </xf>
    <xf numFmtId="0" fontId="565" fillId="775" borderId="0" xfId="0" applyFont="1" applyFill="1" applyAlignment="1">
      <alignment horizontal="center" vertical="center" wrapText="1"/>
    </xf>
    <xf numFmtId="0" fontId="565" fillId="776" borderId="0" xfId="0" applyFont="1" applyFill="1" applyAlignment="1">
      <alignment horizontal="center" vertical="center" wrapText="1"/>
    </xf>
    <xf numFmtId="0" fontId="564" fillId="777" borderId="0" xfId="0" applyFont="1" applyFill="1"/>
    <xf numFmtId="0" fontId="564" fillId="778" borderId="0" xfId="0" applyFont="1" applyFill="1"/>
    <xf numFmtId="0" fontId="564" fillId="779" borderId="0" xfId="0" applyFont="1" applyFill="1"/>
    <xf numFmtId="0" fontId="565" fillId="780" borderId="0" xfId="0" applyFont="1" applyFill="1" applyAlignment="1">
      <alignment horizontal="center" vertical="center" wrapText="1"/>
    </xf>
    <xf numFmtId="0" fontId="565" fillId="781" borderId="0" xfId="0" applyFont="1" applyFill="1" applyAlignment="1">
      <alignment horizontal="center" vertical="center" wrapText="1"/>
    </xf>
    <xf numFmtId="0" fontId="565" fillId="782" borderId="0" xfId="0" applyFont="1" applyFill="1" applyAlignment="1">
      <alignment horizontal="center" vertical="center" wrapText="1"/>
    </xf>
    <xf numFmtId="0" fontId="565" fillId="783" borderId="0" xfId="0" applyFont="1" applyFill="1" applyAlignment="1">
      <alignment horizontal="center" vertical="center" wrapText="1"/>
    </xf>
    <xf numFmtId="0" fontId="565" fillId="784" borderId="0" xfId="0" applyFont="1" applyFill="1" applyAlignment="1">
      <alignment horizontal="center" vertical="center" wrapText="1"/>
    </xf>
    <xf numFmtId="0" fontId="565" fillId="785" borderId="0" xfId="0" applyFont="1" applyFill="1" applyAlignment="1">
      <alignment horizontal="center" vertical="center" wrapText="1"/>
    </xf>
    <xf numFmtId="0" fontId="565" fillId="786" borderId="0" xfId="0" applyFont="1" applyFill="1" applyAlignment="1">
      <alignment horizontal="center" vertical="center" wrapText="1"/>
    </xf>
    <xf numFmtId="0" fontId="565" fillId="787" borderId="0" xfId="0" applyFont="1" applyFill="1" applyAlignment="1">
      <alignment horizontal="center" vertical="center" wrapText="1"/>
    </xf>
    <xf numFmtId="0" fontId="0" fillId="788" borderId="0" xfId="0" applyFill="1" applyAlignment="1">
      <alignment horizontal="center" vertical="center" wrapText="1"/>
    </xf>
    <xf numFmtId="0" fontId="564" fillId="789" borderId="0" xfId="0" applyFont="1" applyFill="1"/>
    <xf numFmtId="0" fontId="564" fillId="790" borderId="0" xfId="0" applyFont="1" applyFill="1"/>
    <xf numFmtId="0" fontId="564" fillId="791" borderId="0" xfId="0" applyFont="1" applyFill="1"/>
    <xf numFmtId="0" fontId="565" fillId="671" borderId="0" xfId="0" applyFont="1" applyFill="1" applyAlignment="1">
      <alignment horizontal="center" vertical="center" wrapText="1"/>
    </xf>
    <xf numFmtId="0" fontId="565" fillId="792" borderId="0" xfId="0" applyFont="1" applyFill="1" applyAlignment="1">
      <alignment horizontal="center" vertical="center" wrapText="1"/>
    </xf>
    <xf numFmtId="0" fontId="565" fillId="793" borderId="0" xfId="0" applyFont="1" applyFill="1" applyAlignment="1">
      <alignment horizontal="center" vertical="center" wrapText="1"/>
    </xf>
    <xf numFmtId="0" fontId="565" fillId="794" borderId="0" xfId="0" applyFont="1" applyFill="1" applyAlignment="1">
      <alignment horizontal="center" vertical="center" wrapText="1"/>
    </xf>
    <xf numFmtId="0" fontId="566" fillId="6" borderId="0" xfId="0" applyFont="1" applyFill="1" applyAlignment="1">
      <alignment horizontal="center" vertical="center" wrapText="1"/>
    </xf>
    <xf numFmtId="0" fontId="565" fillId="795" borderId="0" xfId="0" applyFont="1" applyFill="1" applyAlignment="1">
      <alignment horizontal="center" vertical="center" wrapText="1"/>
    </xf>
    <xf numFmtId="0" fontId="565" fillId="796" borderId="0" xfId="0" applyFont="1" applyFill="1" applyAlignment="1">
      <alignment horizontal="center" vertical="center" wrapText="1"/>
    </xf>
    <xf numFmtId="0" fontId="0" fillId="797" borderId="0" xfId="0" applyFill="1" applyAlignment="1">
      <alignment horizontal="center" vertical="center" wrapText="1"/>
    </xf>
    <xf numFmtId="0" fontId="0" fillId="798" borderId="0" xfId="0" applyFill="1" applyAlignment="1">
      <alignment horizontal="center" vertical="center" wrapText="1"/>
    </xf>
    <xf numFmtId="0" fontId="564" fillId="227" borderId="0" xfId="0" applyFont="1" applyFill="1"/>
    <xf numFmtId="0" fontId="564" fillId="799" borderId="0" xfId="0" applyFont="1" applyFill="1"/>
    <xf numFmtId="0" fontId="564" fillId="800" borderId="0" xfId="0" applyFont="1" applyFill="1"/>
    <xf numFmtId="0" fontId="565" fillId="801" borderId="0" xfId="0" applyFont="1" applyFill="1" applyAlignment="1">
      <alignment horizontal="center" vertical="center" wrapText="1"/>
    </xf>
    <xf numFmtId="0" fontId="565" fillId="802" borderId="0" xfId="0" applyFont="1" applyFill="1" applyAlignment="1">
      <alignment horizontal="center" vertical="center" wrapText="1"/>
    </xf>
    <xf numFmtId="0" fontId="565" fillId="803" borderId="0" xfId="0" applyFont="1" applyFill="1" applyAlignment="1">
      <alignment horizontal="center" vertical="center" wrapText="1"/>
    </xf>
    <xf numFmtId="0" fontId="565" fillId="804" borderId="0" xfId="0" applyFont="1" applyFill="1" applyAlignment="1">
      <alignment horizontal="center" vertical="center" wrapText="1"/>
    </xf>
    <xf numFmtId="0" fontId="565" fillId="805" borderId="0" xfId="0" applyFont="1" applyFill="1" applyAlignment="1">
      <alignment horizontal="center" vertical="center" wrapText="1"/>
    </xf>
    <xf numFmtId="0" fontId="565" fillId="806" borderId="0" xfId="0" applyFont="1" applyFill="1" applyAlignment="1">
      <alignment horizontal="center" vertical="center" wrapText="1"/>
    </xf>
    <xf numFmtId="0" fontId="0" fillId="807" borderId="0" xfId="0" applyFill="1" applyAlignment="1">
      <alignment horizontal="center" vertical="center" wrapText="1"/>
    </xf>
    <xf numFmtId="0" fontId="0" fillId="808" borderId="0" xfId="0" applyFill="1" applyAlignment="1">
      <alignment horizontal="center" vertical="center" wrapText="1"/>
    </xf>
    <xf numFmtId="0" fontId="0" fillId="809" borderId="0" xfId="0" applyFill="1" applyAlignment="1">
      <alignment horizontal="center" vertical="center" wrapText="1"/>
    </xf>
    <xf numFmtId="0" fontId="564" fillId="68" borderId="0" xfId="0" applyFont="1" applyFill="1"/>
    <xf numFmtId="0" fontId="564" fillId="810" borderId="0" xfId="0" applyFont="1" applyFill="1"/>
    <xf numFmtId="0" fontId="564" fillId="811" borderId="0" xfId="0" applyFont="1" applyFill="1"/>
    <xf numFmtId="0" fontId="565" fillId="812" borderId="0" xfId="0" applyFont="1" applyFill="1" applyAlignment="1">
      <alignment horizontal="center" vertical="center" wrapText="1"/>
    </xf>
    <xf numFmtId="0" fontId="565" fillId="813" borderId="0" xfId="0" applyFont="1" applyFill="1" applyAlignment="1">
      <alignment horizontal="center" vertical="center" wrapText="1"/>
    </xf>
    <xf numFmtId="0" fontId="565" fillId="814" borderId="0" xfId="0" applyFont="1" applyFill="1" applyAlignment="1">
      <alignment horizontal="center" vertical="center" wrapText="1"/>
    </xf>
    <xf numFmtId="0" fontId="565" fillId="815" borderId="0" xfId="0" applyFont="1" applyFill="1" applyAlignment="1">
      <alignment horizontal="center" vertical="center" wrapText="1"/>
    </xf>
    <xf numFmtId="0" fontId="565" fillId="816" borderId="0" xfId="0" applyFont="1" applyFill="1" applyAlignment="1">
      <alignment horizontal="center" vertical="center" wrapText="1"/>
    </xf>
    <xf numFmtId="0" fontId="0" fillId="817" borderId="0" xfId="0" applyFill="1" applyAlignment="1">
      <alignment horizontal="center" vertical="center" wrapText="1"/>
    </xf>
    <xf numFmtId="0" fontId="0" fillId="818" borderId="0" xfId="0" applyFill="1" applyAlignment="1">
      <alignment horizontal="center" vertical="center" wrapText="1"/>
    </xf>
    <xf numFmtId="0" fontId="0" fillId="819" borderId="0" xfId="0" applyFill="1" applyAlignment="1">
      <alignment horizontal="center" vertical="center" wrapText="1"/>
    </xf>
    <xf numFmtId="0" fontId="0" fillId="820" borderId="0" xfId="0" applyFill="1" applyAlignment="1">
      <alignment horizontal="center" vertical="center" wrapText="1"/>
    </xf>
    <xf numFmtId="0" fontId="564" fillId="821" borderId="0" xfId="0" applyFont="1" applyFill="1"/>
    <xf numFmtId="0" fontId="564" fillId="822" borderId="0" xfId="0" applyFont="1" applyFill="1"/>
    <xf numFmtId="0" fontId="564" fillId="823" borderId="0" xfId="0" applyFont="1" applyFill="1"/>
    <xf numFmtId="0" fontId="565" fillId="824" borderId="0" xfId="0" applyFont="1" applyFill="1" applyAlignment="1">
      <alignment horizontal="center" vertical="center" wrapText="1"/>
    </xf>
    <xf numFmtId="0" fontId="565" fillId="825" borderId="0" xfId="0" applyFont="1" applyFill="1" applyAlignment="1">
      <alignment horizontal="center" vertical="center" wrapText="1"/>
    </xf>
    <xf numFmtId="0" fontId="565" fillId="826" borderId="0" xfId="0" applyFont="1" applyFill="1" applyAlignment="1">
      <alignment horizontal="center" vertical="center" wrapText="1"/>
    </xf>
    <xf numFmtId="0" fontId="565" fillId="827" borderId="0" xfId="0" applyFont="1" applyFill="1" applyAlignment="1">
      <alignment horizontal="center" vertical="center" wrapText="1"/>
    </xf>
    <xf numFmtId="0" fontId="0" fillId="828" borderId="0" xfId="0" applyFill="1" applyAlignment="1">
      <alignment horizontal="center" vertical="center" wrapText="1"/>
    </xf>
    <xf numFmtId="0" fontId="0" fillId="829" borderId="0" xfId="0" applyFill="1" applyAlignment="1">
      <alignment horizontal="center" vertical="center" wrapText="1"/>
    </xf>
    <xf numFmtId="0" fontId="0" fillId="830" borderId="0" xfId="0" applyFill="1" applyAlignment="1">
      <alignment horizontal="center" vertical="center" wrapText="1"/>
    </xf>
    <xf numFmtId="0" fontId="0" fillId="831" borderId="0" xfId="0" applyFill="1" applyAlignment="1">
      <alignment horizontal="center" vertical="center" wrapText="1"/>
    </xf>
    <xf numFmtId="0" fontId="0" fillId="832" borderId="0" xfId="0" applyFill="1" applyAlignment="1">
      <alignment horizontal="center" vertical="center" wrapText="1"/>
    </xf>
    <xf numFmtId="0" fontId="564" fillId="833" borderId="0" xfId="0" applyFont="1" applyFill="1"/>
    <xf numFmtId="0" fontId="564" fillId="834" borderId="0" xfId="0" applyFont="1" applyFill="1"/>
    <xf numFmtId="0" fontId="564" fillId="835" borderId="0" xfId="0" applyFont="1" applyFill="1"/>
    <xf numFmtId="0" fontId="565" fillId="836" borderId="0" xfId="0" applyFont="1" applyFill="1" applyAlignment="1">
      <alignment horizontal="center" vertical="center" wrapText="1"/>
    </xf>
    <xf numFmtId="0" fontId="565" fillId="837" borderId="0" xfId="0" applyFont="1" applyFill="1" applyAlignment="1">
      <alignment horizontal="center" vertical="center" wrapText="1"/>
    </xf>
    <xf numFmtId="0" fontId="565" fillId="838" borderId="0" xfId="0" applyFont="1" applyFill="1" applyAlignment="1">
      <alignment horizontal="center" vertical="center" wrapText="1"/>
    </xf>
    <xf numFmtId="0" fontId="0" fillId="839" borderId="0" xfId="0" applyFill="1" applyAlignment="1">
      <alignment horizontal="center" vertical="center" wrapText="1"/>
    </xf>
    <xf numFmtId="0" fontId="0" fillId="840" borderId="0" xfId="0" applyFill="1" applyAlignment="1">
      <alignment horizontal="center" vertical="center" wrapText="1"/>
    </xf>
    <xf numFmtId="0" fontId="0" fillId="841" borderId="0" xfId="0" applyFill="1" applyAlignment="1">
      <alignment horizontal="center" vertical="center" wrapText="1"/>
    </xf>
    <xf numFmtId="0" fontId="0" fillId="842" borderId="0" xfId="0" applyFill="1" applyAlignment="1">
      <alignment horizontal="center" vertical="center" wrapText="1"/>
    </xf>
    <xf numFmtId="0" fontId="0" fillId="843" borderId="0" xfId="0" applyFill="1" applyAlignment="1">
      <alignment horizontal="center" vertical="center" wrapText="1"/>
    </xf>
    <xf numFmtId="0" fontId="0" fillId="844" borderId="0" xfId="0" applyFill="1" applyAlignment="1">
      <alignment horizontal="center" vertical="center" wrapText="1"/>
    </xf>
    <xf numFmtId="0" fontId="564" fillId="845" borderId="0" xfId="0" applyFont="1" applyFill="1"/>
    <xf numFmtId="0" fontId="564" fillId="846" borderId="0" xfId="0" applyFont="1" applyFill="1"/>
    <xf numFmtId="0" fontId="564" fillId="847" borderId="0" xfId="0" applyFont="1" applyFill="1"/>
    <xf numFmtId="0" fontId="565" fillId="848" borderId="0" xfId="0" applyFont="1" applyFill="1" applyAlignment="1">
      <alignment horizontal="center" vertical="center" wrapText="1"/>
    </xf>
    <xf numFmtId="0" fontId="565" fillId="849" borderId="0" xfId="0" applyFont="1" applyFill="1" applyAlignment="1">
      <alignment horizontal="center" vertical="center" wrapText="1"/>
    </xf>
    <xf numFmtId="0" fontId="565" fillId="850" borderId="0" xfId="0" applyFont="1" applyFill="1" applyAlignment="1">
      <alignment horizontal="center" vertical="center" wrapText="1"/>
    </xf>
    <xf numFmtId="0" fontId="565" fillId="851" borderId="0" xfId="0" applyFont="1" applyFill="1" applyAlignment="1">
      <alignment horizontal="center" vertical="center" wrapText="1"/>
    </xf>
    <xf numFmtId="0" fontId="565" fillId="852" borderId="0" xfId="0" applyFont="1" applyFill="1" applyAlignment="1">
      <alignment horizontal="center" vertical="center" wrapText="1"/>
    </xf>
    <xf numFmtId="0" fontId="565" fillId="853" borderId="0" xfId="0" applyFont="1" applyFill="1" applyAlignment="1">
      <alignment horizontal="center" vertical="center" wrapText="1"/>
    </xf>
    <xf numFmtId="0" fontId="565" fillId="854" borderId="0" xfId="0" applyFont="1" applyFill="1" applyAlignment="1">
      <alignment horizontal="center" vertical="center" wrapText="1"/>
    </xf>
    <xf numFmtId="0" fontId="565" fillId="855" borderId="0" xfId="0" applyFont="1" applyFill="1" applyAlignment="1">
      <alignment horizontal="center" vertical="center" wrapText="1"/>
    </xf>
    <xf numFmtId="0" fontId="565" fillId="856" borderId="0" xfId="0" applyFont="1" applyFill="1" applyAlignment="1">
      <alignment horizontal="center" vertical="center" wrapText="1"/>
    </xf>
    <xf numFmtId="0" fontId="564" fillId="40" borderId="0" xfId="0" applyFont="1" applyFill="1"/>
    <xf numFmtId="0" fontId="564" fillId="857" borderId="0" xfId="0" applyFont="1" applyFill="1"/>
    <xf numFmtId="0" fontId="564" fillId="858" borderId="0" xfId="0" applyFont="1" applyFill="1"/>
    <xf numFmtId="0" fontId="565" fillId="859" borderId="0" xfId="0" applyFont="1" applyFill="1" applyAlignment="1">
      <alignment horizontal="center" vertical="center" wrapText="1"/>
    </xf>
    <xf numFmtId="0" fontId="565" fillId="860" borderId="0" xfId="0" applyFont="1" applyFill="1" applyAlignment="1">
      <alignment horizontal="center" vertical="center" wrapText="1"/>
    </xf>
    <xf numFmtId="0" fontId="565" fillId="861" borderId="0" xfId="0" applyFont="1" applyFill="1" applyAlignment="1">
      <alignment horizontal="center" vertical="center" wrapText="1"/>
    </xf>
    <xf numFmtId="0" fontId="565" fillId="862" borderId="0" xfId="0" applyFont="1" applyFill="1" applyAlignment="1">
      <alignment horizontal="center" vertical="center" wrapText="1"/>
    </xf>
    <xf numFmtId="0" fontId="565" fillId="863" borderId="0" xfId="0" applyFont="1" applyFill="1" applyAlignment="1">
      <alignment horizontal="center" vertical="center" wrapText="1"/>
    </xf>
    <xf numFmtId="0" fontId="565" fillId="864" borderId="0" xfId="0" applyFont="1" applyFill="1" applyAlignment="1">
      <alignment horizontal="center" vertical="center" wrapText="1"/>
    </xf>
    <xf numFmtId="0" fontId="565" fillId="865" borderId="0" xfId="0" applyFont="1" applyFill="1" applyAlignment="1">
      <alignment horizontal="center" vertical="center" wrapText="1"/>
    </xf>
    <xf numFmtId="0" fontId="565" fillId="866" borderId="0" xfId="0" applyFont="1" applyFill="1" applyAlignment="1">
      <alignment horizontal="center" vertical="center" wrapText="1"/>
    </xf>
    <xf numFmtId="0" fontId="565" fillId="867" borderId="0" xfId="0" applyFont="1" applyFill="1" applyAlignment="1">
      <alignment horizontal="center" vertical="center" wrapText="1"/>
    </xf>
    <xf numFmtId="0" fontId="564" fillId="868" borderId="0" xfId="0" applyFont="1" applyFill="1"/>
    <xf numFmtId="0" fontId="564" fillId="869" borderId="0" xfId="0" applyFont="1" applyFill="1"/>
    <xf numFmtId="0" fontId="564" fillId="870" borderId="0" xfId="0" applyFont="1" applyFill="1"/>
    <xf numFmtId="0" fontId="565" fillId="871" borderId="0" xfId="0" applyFont="1" applyFill="1" applyAlignment="1">
      <alignment horizontal="center" vertical="center" wrapText="1"/>
    </xf>
    <xf numFmtId="0" fontId="565" fillId="872" borderId="0" xfId="0" applyFont="1" applyFill="1" applyAlignment="1">
      <alignment horizontal="center" vertical="center" wrapText="1"/>
    </xf>
    <xf numFmtId="0" fontId="565" fillId="873" borderId="0" xfId="0" applyFont="1" applyFill="1" applyAlignment="1">
      <alignment horizontal="center" vertical="center" wrapText="1"/>
    </xf>
    <xf numFmtId="0" fontId="565" fillId="874" borderId="0" xfId="0" applyFont="1" applyFill="1" applyAlignment="1">
      <alignment horizontal="center" vertical="center" wrapText="1"/>
    </xf>
    <xf numFmtId="0" fontId="565" fillId="875" borderId="0" xfId="0" applyFont="1" applyFill="1" applyAlignment="1">
      <alignment horizontal="center" vertical="center" wrapText="1"/>
    </xf>
    <xf numFmtId="0" fontId="565" fillId="876" borderId="0" xfId="0" applyFont="1" applyFill="1" applyAlignment="1">
      <alignment horizontal="center" vertical="center" wrapText="1"/>
    </xf>
    <xf numFmtId="0" fontId="565" fillId="877" borderId="0" xfId="0" applyFont="1" applyFill="1" applyAlignment="1">
      <alignment horizontal="center" vertical="center" wrapText="1"/>
    </xf>
    <xf numFmtId="0" fontId="565" fillId="878" borderId="0" xfId="0" applyFont="1" applyFill="1" applyAlignment="1">
      <alignment horizontal="center" vertical="center" wrapText="1"/>
    </xf>
    <xf numFmtId="0" fontId="0" fillId="879" borderId="0" xfId="0" applyFill="1" applyAlignment="1">
      <alignment horizontal="center" vertical="center" wrapText="1"/>
    </xf>
    <xf numFmtId="0" fontId="564" fillId="880" borderId="0" xfId="0" applyFont="1" applyFill="1"/>
    <xf numFmtId="0" fontId="564" fillId="881" borderId="0" xfId="0" applyFont="1" applyFill="1"/>
    <xf numFmtId="0" fontId="564" fillId="882" borderId="0" xfId="0" applyFont="1" applyFill="1"/>
    <xf numFmtId="0" fontId="565" fillId="883" borderId="0" xfId="0" applyFont="1" applyFill="1" applyAlignment="1">
      <alignment horizontal="center" vertical="center" wrapText="1"/>
    </xf>
    <xf numFmtId="0" fontId="565" fillId="884" borderId="0" xfId="0" applyFont="1" applyFill="1" applyAlignment="1">
      <alignment horizontal="center" vertical="center" wrapText="1"/>
    </xf>
    <xf numFmtId="0" fontId="565" fillId="885" borderId="0" xfId="0" applyFont="1" applyFill="1" applyAlignment="1">
      <alignment horizontal="center" vertical="center" wrapText="1"/>
    </xf>
    <xf numFmtId="0" fontId="565" fillId="886" borderId="0" xfId="0" applyFont="1" applyFill="1" applyAlignment="1">
      <alignment horizontal="center" vertical="center" wrapText="1"/>
    </xf>
    <xf numFmtId="0" fontId="565" fillId="887" borderId="0" xfId="0" applyFont="1" applyFill="1" applyAlignment="1">
      <alignment horizontal="center" vertical="center" wrapText="1"/>
    </xf>
    <xf numFmtId="0" fontId="565" fillId="888" borderId="0" xfId="0" applyFont="1" applyFill="1" applyAlignment="1">
      <alignment horizontal="center" vertical="center" wrapText="1"/>
    </xf>
    <xf numFmtId="0" fontId="565" fillId="889" borderId="0" xfId="0" applyFont="1" applyFill="1" applyAlignment="1">
      <alignment horizontal="center" vertical="center" wrapText="1"/>
    </xf>
    <xf numFmtId="0" fontId="0" fillId="890" borderId="0" xfId="0" applyFill="1" applyAlignment="1">
      <alignment horizontal="center" vertical="center" wrapText="1"/>
    </xf>
    <xf numFmtId="0" fontId="0" fillId="891" borderId="0" xfId="0" applyFill="1" applyAlignment="1">
      <alignment horizontal="center" vertical="center" wrapText="1"/>
    </xf>
    <xf numFmtId="0" fontId="564" fillId="892" borderId="0" xfId="0" applyFont="1" applyFill="1"/>
    <xf numFmtId="0" fontId="564" fillId="893" borderId="0" xfId="0" applyFont="1" applyFill="1"/>
    <xf numFmtId="0" fontId="564" fillId="894" borderId="0" xfId="0" applyFont="1" applyFill="1"/>
    <xf numFmtId="0" fontId="565" fillId="895" borderId="0" xfId="0" applyFont="1" applyFill="1" applyAlignment="1">
      <alignment horizontal="center" vertical="center" wrapText="1"/>
    </xf>
    <xf numFmtId="0" fontId="565" fillId="896" borderId="0" xfId="0" applyFont="1" applyFill="1" applyAlignment="1">
      <alignment horizontal="center" vertical="center" wrapText="1"/>
    </xf>
    <xf numFmtId="0" fontId="565" fillId="897" borderId="0" xfId="0" applyFont="1" applyFill="1" applyAlignment="1">
      <alignment horizontal="center" vertical="center" wrapText="1"/>
    </xf>
    <xf numFmtId="0" fontId="565" fillId="898" borderId="0" xfId="0" applyFont="1" applyFill="1" applyAlignment="1">
      <alignment horizontal="center" vertical="center" wrapText="1"/>
    </xf>
    <xf numFmtId="0" fontId="565" fillId="899" borderId="0" xfId="0" applyFont="1" applyFill="1" applyAlignment="1">
      <alignment horizontal="center" vertical="center" wrapText="1"/>
    </xf>
    <xf numFmtId="0" fontId="565" fillId="900" borderId="0" xfId="0" applyFont="1" applyFill="1" applyAlignment="1">
      <alignment horizontal="center" vertical="center" wrapText="1"/>
    </xf>
    <xf numFmtId="0" fontId="0" fillId="901" borderId="0" xfId="0" applyFill="1" applyAlignment="1">
      <alignment horizontal="center" vertical="center" wrapText="1"/>
    </xf>
    <xf numFmtId="0" fontId="0" fillId="902" borderId="0" xfId="0" applyFill="1" applyAlignment="1">
      <alignment horizontal="center" vertical="center" wrapText="1"/>
    </xf>
    <xf numFmtId="0" fontId="0" fillId="903" borderId="0" xfId="0" applyFill="1" applyAlignment="1">
      <alignment horizontal="center" vertical="center" wrapText="1"/>
    </xf>
    <xf numFmtId="0" fontId="564" fillId="904" borderId="0" xfId="0" applyFont="1" applyFill="1"/>
    <xf numFmtId="0" fontId="564" fillId="905" borderId="0" xfId="0" applyFont="1" applyFill="1"/>
    <xf numFmtId="0" fontId="564" fillId="906" borderId="0" xfId="0" applyFont="1" applyFill="1"/>
    <xf numFmtId="0" fontId="565" fillId="907" borderId="0" xfId="0" applyFont="1" applyFill="1" applyAlignment="1">
      <alignment horizontal="center" vertical="center" wrapText="1"/>
    </xf>
    <xf numFmtId="0" fontId="565" fillId="908" borderId="0" xfId="0" applyFont="1" applyFill="1" applyAlignment="1">
      <alignment horizontal="center" vertical="center" wrapText="1"/>
    </xf>
    <xf numFmtId="0" fontId="565" fillId="909" borderId="0" xfId="0" applyFont="1" applyFill="1" applyAlignment="1">
      <alignment horizontal="center" vertical="center" wrapText="1"/>
    </xf>
    <xf numFmtId="0" fontId="565" fillId="910" borderId="0" xfId="0" applyFont="1" applyFill="1" applyAlignment="1">
      <alignment horizontal="center" vertical="center" wrapText="1"/>
    </xf>
    <xf numFmtId="0" fontId="565" fillId="911" borderId="0" xfId="0" applyFont="1" applyFill="1" applyAlignment="1">
      <alignment horizontal="center" vertical="center" wrapText="1"/>
    </xf>
    <xf numFmtId="0" fontId="0" fillId="912" borderId="0" xfId="0" applyFill="1" applyAlignment="1">
      <alignment horizontal="center" vertical="center" wrapText="1"/>
    </xf>
    <xf numFmtId="0" fontId="0" fillId="913" borderId="0" xfId="0" applyFill="1" applyAlignment="1">
      <alignment horizontal="center" vertical="center" wrapText="1"/>
    </xf>
    <xf numFmtId="0" fontId="0" fillId="914" borderId="0" xfId="0" applyFill="1" applyAlignment="1">
      <alignment horizontal="center" vertical="center" wrapText="1"/>
    </xf>
    <xf numFmtId="0" fontId="0" fillId="915" borderId="0" xfId="0" applyFill="1" applyAlignment="1">
      <alignment horizontal="center" vertical="center" wrapText="1"/>
    </xf>
    <xf numFmtId="0" fontId="564" fillId="916" borderId="0" xfId="0" applyFont="1" applyFill="1"/>
    <xf numFmtId="0" fontId="564" fillId="917" borderId="0" xfId="0" applyFont="1" applyFill="1"/>
    <xf numFmtId="0" fontId="564" fillId="918" borderId="0" xfId="0" applyFont="1" applyFill="1"/>
    <xf numFmtId="0" fontId="565" fillId="919" borderId="0" xfId="0" applyFont="1" applyFill="1" applyAlignment="1">
      <alignment horizontal="center" vertical="center" wrapText="1"/>
    </xf>
    <xf numFmtId="0" fontId="565" fillId="920" borderId="0" xfId="0" applyFont="1" applyFill="1" applyAlignment="1">
      <alignment horizontal="center" vertical="center" wrapText="1"/>
    </xf>
    <xf numFmtId="0" fontId="565" fillId="921" borderId="0" xfId="0" applyFont="1" applyFill="1" applyAlignment="1">
      <alignment horizontal="center" vertical="center" wrapText="1"/>
    </xf>
    <xf numFmtId="0" fontId="565" fillId="922" borderId="0" xfId="0" applyFont="1" applyFill="1" applyAlignment="1">
      <alignment horizontal="center" vertical="center" wrapText="1"/>
    </xf>
    <xf numFmtId="0" fontId="0" fillId="923" borderId="0" xfId="0" applyFill="1" applyAlignment="1">
      <alignment horizontal="center" vertical="center" wrapText="1"/>
    </xf>
    <xf numFmtId="0" fontId="0" fillId="924" borderId="0" xfId="0" applyFill="1" applyAlignment="1">
      <alignment horizontal="center" vertical="center" wrapText="1"/>
    </xf>
    <xf numFmtId="0" fontId="0" fillId="925" borderId="0" xfId="0" applyFill="1" applyAlignment="1">
      <alignment horizontal="center" vertical="center" wrapText="1"/>
    </xf>
    <xf numFmtId="0" fontId="0" fillId="926" borderId="0" xfId="0" applyFill="1" applyAlignment="1">
      <alignment horizontal="center" vertical="center" wrapText="1"/>
    </xf>
    <xf numFmtId="0" fontId="0" fillId="927" borderId="0" xfId="0" applyFill="1" applyAlignment="1">
      <alignment horizontal="center" vertical="center" wrapText="1"/>
    </xf>
    <xf numFmtId="0" fontId="564" fillId="928" borderId="0" xfId="0" applyFont="1" applyFill="1"/>
    <xf numFmtId="0" fontId="564" fillId="929" borderId="0" xfId="0" applyFont="1" applyFill="1"/>
    <xf numFmtId="0" fontId="564" fillId="930" borderId="0" xfId="0" applyFont="1" applyFill="1"/>
    <xf numFmtId="0" fontId="565" fillId="931" borderId="0" xfId="0" applyFont="1" applyFill="1" applyAlignment="1">
      <alignment horizontal="center" vertical="center" wrapText="1"/>
    </xf>
    <xf numFmtId="0" fontId="565" fillId="932" borderId="0" xfId="0" applyFont="1" applyFill="1" applyAlignment="1">
      <alignment horizontal="center" vertical="center" wrapText="1"/>
    </xf>
    <xf numFmtId="0" fontId="565" fillId="933" borderId="0" xfId="0" applyFont="1" applyFill="1" applyAlignment="1">
      <alignment horizontal="center" vertical="center" wrapText="1"/>
    </xf>
    <xf numFmtId="0" fontId="0" fillId="934" borderId="0" xfId="0" applyFill="1" applyAlignment="1">
      <alignment horizontal="center" vertical="center" wrapText="1"/>
    </xf>
    <xf numFmtId="0" fontId="0" fillId="935" borderId="0" xfId="0" applyFill="1" applyAlignment="1">
      <alignment horizontal="center" vertical="center" wrapText="1"/>
    </xf>
    <xf numFmtId="0" fontId="0" fillId="936" borderId="0" xfId="0" applyFill="1" applyAlignment="1">
      <alignment horizontal="center" vertical="center" wrapText="1"/>
    </xf>
    <xf numFmtId="0" fontId="0" fillId="937" borderId="0" xfId="0" applyFill="1" applyAlignment="1">
      <alignment horizontal="center" vertical="center" wrapText="1"/>
    </xf>
    <xf numFmtId="0" fontId="0" fillId="938" borderId="0" xfId="0" applyFill="1" applyAlignment="1">
      <alignment horizontal="center" vertical="center" wrapText="1"/>
    </xf>
    <xf numFmtId="0" fontId="0" fillId="939" borderId="0" xfId="0" applyFill="1" applyAlignment="1">
      <alignment horizontal="center" vertical="center" wrapText="1"/>
    </xf>
    <xf numFmtId="0" fontId="564" fillId="940" borderId="0" xfId="0" applyFont="1" applyFill="1"/>
    <xf numFmtId="0" fontId="564" fillId="941" borderId="0" xfId="0" applyFont="1" applyFill="1"/>
    <xf numFmtId="0" fontId="564" fillId="942" borderId="0" xfId="0" applyFont="1" applyFill="1"/>
    <xf numFmtId="0" fontId="565" fillId="943" borderId="0" xfId="0" applyFont="1" applyFill="1" applyAlignment="1">
      <alignment horizontal="center" vertical="center" wrapText="1"/>
    </xf>
    <xf numFmtId="0" fontId="565" fillId="944" borderId="0" xfId="0" applyFont="1" applyFill="1" applyAlignment="1">
      <alignment horizontal="center" vertical="center" wrapText="1"/>
    </xf>
    <xf numFmtId="0" fontId="0" fillId="945" borderId="0" xfId="0" applyFill="1" applyAlignment="1">
      <alignment horizontal="center" vertical="center" wrapText="1"/>
    </xf>
    <xf numFmtId="0" fontId="0" fillId="946" borderId="0" xfId="0" applyFill="1" applyAlignment="1">
      <alignment horizontal="center" vertical="center" wrapText="1"/>
    </xf>
    <xf numFmtId="0" fontId="0" fillId="947" borderId="0" xfId="0" applyFill="1" applyAlignment="1">
      <alignment horizontal="center" vertical="center" wrapText="1"/>
    </xf>
    <xf numFmtId="0" fontId="0" fillId="948" borderId="0" xfId="0" applyFill="1" applyAlignment="1">
      <alignment horizontal="center" vertical="center" wrapText="1"/>
    </xf>
    <xf numFmtId="0" fontId="0" fillId="949" borderId="0" xfId="0" applyFill="1" applyAlignment="1">
      <alignment horizontal="center" vertical="center" wrapText="1"/>
    </xf>
    <xf numFmtId="0" fontId="0" fillId="950" borderId="0" xfId="0" applyFill="1" applyAlignment="1">
      <alignment horizontal="center" vertical="center" wrapText="1"/>
    </xf>
    <xf numFmtId="0" fontId="0" fillId="951" borderId="0" xfId="0" applyFill="1" applyAlignment="1">
      <alignment horizontal="center" vertical="center" wrapText="1"/>
    </xf>
    <xf numFmtId="0" fontId="564" fillId="952" borderId="0" xfId="0" applyFont="1" applyFill="1"/>
    <xf numFmtId="0" fontId="564" fillId="953" borderId="0" xfId="0" applyFont="1" applyFill="1"/>
    <xf numFmtId="0" fontId="564" fillId="954" borderId="0" xfId="0" applyFont="1" applyFill="1"/>
    <xf numFmtId="0" fontId="565" fillId="42" borderId="0" xfId="0" applyFont="1" applyFill="1" applyAlignment="1">
      <alignment horizontal="center" vertical="center" wrapText="1"/>
    </xf>
    <xf numFmtId="0" fontId="565" fillId="955" borderId="0" xfId="0" applyFont="1" applyFill="1" applyAlignment="1">
      <alignment horizontal="center" vertical="center" wrapText="1"/>
    </xf>
    <xf numFmtId="0" fontId="565" fillId="956" borderId="0" xfId="0" applyFont="1" applyFill="1" applyAlignment="1">
      <alignment horizontal="center" vertical="center" wrapText="1"/>
    </xf>
    <xf numFmtId="0" fontId="565" fillId="957" borderId="0" xfId="0" applyFont="1" applyFill="1" applyAlignment="1">
      <alignment horizontal="center" vertical="center" wrapText="1"/>
    </xf>
    <xf numFmtId="0" fontId="565" fillId="958" borderId="0" xfId="0" applyFont="1" applyFill="1" applyAlignment="1">
      <alignment horizontal="center" vertical="center" wrapText="1"/>
    </xf>
    <xf numFmtId="0" fontId="565" fillId="959" borderId="0" xfId="0" applyFont="1" applyFill="1" applyAlignment="1">
      <alignment horizontal="center" vertical="center" wrapText="1"/>
    </xf>
    <xf numFmtId="0" fontId="565" fillId="960" borderId="0" xfId="0" applyFont="1" applyFill="1" applyAlignment="1">
      <alignment horizontal="center" vertical="center" wrapText="1"/>
    </xf>
    <xf numFmtId="0" fontId="565" fillId="961" borderId="0" xfId="0" applyFont="1" applyFill="1" applyAlignment="1">
      <alignment horizontal="center" vertical="center" wrapText="1"/>
    </xf>
    <xf numFmtId="0" fontId="565" fillId="962" borderId="0" xfId="0" applyFont="1" applyFill="1" applyAlignment="1">
      <alignment horizontal="center" vertical="center" wrapText="1"/>
    </xf>
    <xf numFmtId="0" fontId="564" fillId="963" borderId="0" xfId="0" applyFont="1" applyFill="1"/>
    <xf numFmtId="0" fontId="564" fillId="964" borderId="0" xfId="0" applyFont="1" applyFill="1"/>
    <xf numFmtId="0" fontId="564" fillId="965" borderId="0" xfId="0" applyFont="1" applyFill="1"/>
    <xf numFmtId="0" fontId="565" fillId="966" borderId="0" xfId="0" applyFont="1" applyFill="1" applyAlignment="1">
      <alignment horizontal="center" vertical="center" wrapText="1"/>
    </xf>
    <xf numFmtId="0" fontId="565" fillId="967" borderId="0" xfId="0" applyFont="1" applyFill="1" applyAlignment="1">
      <alignment horizontal="center" vertical="center" wrapText="1"/>
    </xf>
    <xf numFmtId="0" fontId="565" fillId="968" borderId="0" xfId="0" applyFont="1" applyFill="1" applyAlignment="1">
      <alignment horizontal="center" vertical="center" wrapText="1"/>
    </xf>
    <xf numFmtId="0" fontId="565" fillId="969" borderId="0" xfId="0" applyFont="1" applyFill="1" applyAlignment="1">
      <alignment horizontal="center" vertical="center" wrapText="1"/>
    </xf>
    <xf numFmtId="0" fontId="565" fillId="970" borderId="0" xfId="0" applyFont="1" applyFill="1" applyAlignment="1">
      <alignment horizontal="center" vertical="center" wrapText="1"/>
    </xf>
    <xf numFmtId="0" fontId="565" fillId="971" borderId="0" xfId="0" applyFont="1" applyFill="1" applyAlignment="1">
      <alignment horizontal="center" vertical="center" wrapText="1"/>
    </xf>
    <xf numFmtId="0" fontId="565" fillId="972" borderId="0" xfId="0" applyFont="1" applyFill="1" applyAlignment="1">
      <alignment horizontal="center" vertical="center" wrapText="1"/>
    </xf>
    <xf numFmtId="0" fontId="565" fillId="973" borderId="0" xfId="0" applyFont="1" applyFill="1" applyAlignment="1">
      <alignment horizontal="center" vertical="center" wrapText="1"/>
    </xf>
    <xf numFmtId="0" fontId="0" fillId="974" borderId="0" xfId="0" applyFill="1" applyAlignment="1">
      <alignment horizontal="center" vertical="center" wrapText="1"/>
    </xf>
    <xf numFmtId="0" fontId="564" fillId="975" borderId="0" xfId="0" applyFont="1" applyFill="1"/>
    <xf numFmtId="0" fontId="564" fillId="976" borderId="0" xfId="0" applyFont="1" applyFill="1"/>
    <xf numFmtId="0" fontId="564" fillId="977" borderId="0" xfId="0" applyFont="1" applyFill="1"/>
    <xf numFmtId="0" fontId="565" fillId="978" borderId="0" xfId="0" applyFont="1" applyFill="1" applyAlignment="1">
      <alignment horizontal="center" vertical="center" wrapText="1"/>
    </xf>
    <xf numFmtId="0" fontId="565" fillId="979" borderId="0" xfId="0" applyFont="1" applyFill="1" applyAlignment="1">
      <alignment horizontal="center" vertical="center" wrapText="1"/>
    </xf>
    <xf numFmtId="0" fontId="565" fillId="980" borderId="0" xfId="0" applyFont="1" applyFill="1" applyAlignment="1">
      <alignment horizontal="center" vertical="center" wrapText="1"/>
    </xf>
    <xf numFmtId="0" fontId="565" fillId="981" borderId="0" xfId="0" applyFont="1" applyFill="1" applyAlignment="1">
      <alignment horizontal="center" vertical="center" wrapText="1"/>
    </xf>
    <xf numFmtId="0" fontId="565" fillId="982" borderId="0" xfId="0" applyFont="1" applyFill="1" applyAlignment="1">
      <alignment horizontal="center" vertical="center" wrapText="1"/>
    </xf>
    <xf numFmtId="0" fontId="565" fillId="983" borderId="0" xfId="0" applyFont="1" applyFill="1" applyAlignment="1">
      <alignment horizontal="center" vertical="center" wrapText="1"/>
    </xf>
    <xf numFmtId="0" fontId="565" fillId="984" borderId="0" xfId="0" applyFont="1" applyFill="1" applyAlignment="1">
      <alignment horizontal="center" vertical="center" wrapText="1"/>
    </xf>
    <xf numFmtId="0" fontId="0" fillId="985" borderId="0" xfId="0" applyFill="1" applyAlignment="1">
      <alignment horizontal="center" vertical="center" wrapText="1"/>
    </xf>
    <xf numFmtId="0" fontId="0" fillId="986" borderId="0" xfId="0" applyFill="1" applyAlignment="1">
      <alignment horizontal="center" vertical="center" wrapText="1"/>
    </xf>
    <xf numFmtId="0" fontId="564" fillId="987" borderId="0" xfId="0" applyFont="1" applyFill="1"/>
    <xf numFmtId="0" fontId="564" fillId="988" borderId="0" xfId="0" applyFont="1" applyFill="1"/>
    <xf numFmtId="0" fontId="564" fillId="989" borderId="0" xfId="0" applyFont="1" applyFill="1"/>
    <xf numFmtId="0" fontId="565" fillId="990" borderId="0" xfId="0" applyFont="1" applyFill="1" applyAlignment="1">
      <alignment horizontal="center" vertical="center" wrapText="1"/>
    </xf>
    <xf numFmtId="0" fontId="565" fillId="991" borderId="0" xfId="0" applyFont="1" applyFill="1" applyAlignment="1">
      <alignment horizontal="center" vertical="center" wrapText="1"/>
    </xf>
    <xf numFmtId="0" fontId="565" fillId="992" borderId="0" xfId="0" applyFont="1" applyFill="1" applyAlignment="1">
      <alignment horizontal="center" vertical="center" wrapText="1"/>
    </xf>
    <xf numFmtId="0" fontId="565" fillId="993" borderId="0" xfId="0" applyFont="1" applyFill="1" applyAlignment="1">
      <alignment horizontal="center" vertical="center" wrapText="1"/>
    </xf>
    <xf numFmtId="0" fontId="565" fillId="994" borderId="0" xfId="0" applyFont="1" applyFill="1" applyAlignment="1">
      <alignment horizontal="center" vertical="center" wrapText="1"/>
    </xf>
    <xf numFmtId="0" fontId="565" fillId="995" borderId="0" xfId="0" applyFont="1" applyFill="1" applyAlignment="1">
      <alignment horizontal="center" vertical="center" wrapText="1"/>
    </xf>
    <xf numFmtId="0" fontId="0" fillId="996" borderId="0" xfId="0" applyFill="1" applyAlignment="1">
      <alignment horizontal="center" vertical="center" wrapText="1"/>
    </xf>
    <xf numFmtId="0" fontId="0" fillId="997" borderId="0" xfId="0" applyFill="1" applyAlignment="1">
      <alignment horizontal="center" vertical="center" wrapText="1"/>
    </xf>
    <xf numFmtId="0" fontId="0" fillId="998" borderId="0" xfId="0" applyFill="1" applyAlignment="1">
      <alignment horizontal="center" vertical="center" wrapText="1"/>
    </xf>
    <xf numFmtId="0" fontId="564" fillId="999" borderId="0" xfId="0" applyFont="1" applyFill="1"/>
    <xf numFmtId="0" fontId="564" fillId="1000" borderId="0" xfId="0" applyFont="1" applyFill="1"/>
    <xf numFmtId="0" fontId="564" fillId="1001" borderId="0" xfId="0" applyFont="1" applyFill="1"/>
    <xf numFmtId="0" fontId="565" fillId="1002" borderId="0" xfId="0" applyFont="1" applyFill="1" applyAlignment="1">
      <alignment horizontal="center" vertical="center" wrapText="1"/>
    </xf>
    <xf numFmtId="0" fontId="565" fillId="1003" borderId="0" xfId="0" applyFont="1" applyFill="1" applyAlignment="1">
      <alignment horizontal="center" vertical="center" wrapText="1"/>
    </xf>
    <xf numFmtId="0" fontId="565" fillId="1004" borderId="0" xfId="0" applyFont="1" applyFill="1" applyAlignment="1">
      <alignment horizontal="center" vertical="center" wrapText="1"/>
    </xf>
    <xf numFmtId="0" fontId="565" fillId="1005" borderId="0" xfId="0" applyFont="1" applyFill="1" applyAlignment="1">
      <alignment horizontal="center" vertical="center" wrapText="1"/>
    </xf>
    <xf numFmtId="0" fontId="565" fillId="1006" borderId="0" xfId="0" applyFont="1" applyFill="1" applyAlignment="1">
      <alignment horizontal="center" vertical="center" wrapText="1"/>
    </xf>
    <xf numFmtId="0" fontId="0" fillId="1007" borderId="0" xfId="0" applyFill="1" applyAlignment="1">
      <alignment horizontal="center" vertical="center" wrapText="1"/>
    </xf>
    <xf numFmtId="0" fontId="0" fillId="1008" borderId="0" xfId="0" applyFill="1" applyAlignment="1">
      <alignment horizontal="center" vertical="center" wrapText="1"/>
    </xf>
    <xf numFmtId="0" fontId="0" fillId="1009" borderId="0" xfId="0" applyFill="1" applyAlignment="1">
      <alignment horizontal="center" vertical="center" wrapText="1"/>
    </xf>
    <xf numFmtId="0" fontId="0" fillId="1010" borderId="0" xfId="0" applyFill="1" applyAlignment="1">
      <alignment horizontal="center" vertical="center" wrapText="1"/>
    </xf>
    <xf numFmtId="0" fontId="564" fillId="1011" borderId="0" xfId="0" applyFont="1" applyFill="1"/>
    <xf numFmtId="0" fontId="564" fillId="1012" borderId="0" xfId="0" applyFont="1" applyFill="1"/>
    <xf numFmtId="0" fontId="564" fillId="1013" borderId="0" xfId="0" applyFont="1" applyFill="1"/>
    <xf numFmtId="0" fontId="565" fillId="1014" borderId="0" xfId="0" applyFont="1" applyFill="1" applyAlignment="1">
      <alignment horizontal="center" vertical="center" wrapText="1"/>
    </xf>
    <xf numFmtId="0" fontId="565" fillId="1015" borderId="0" xfId="0" applyFont="1" applyFill="1" applyAlignment="1">
      <alignment horizontal="center" vertical="center" wrapText="1"/>
    </xf>
    <xf numFmtId="0" fontId="565" fillId="1016" borderId="0" xfId="0" applyFont="1" applyFill="1" applyAlignment="1">
      <alignment horizontal="center" vertical="center" wrapText="1"/>
    </xf>
    <xf numFmtId="0" fontId="565" fillId="1017" borderId="0" xfId="0" applyFont="1" applyFill="1" applyAlignment="1">
      <alignment horizontal="center" vertical="center" wrapText="1"/>
    </xf>
    <xf numFmtId="0" fontId="0" fillId="1018" borderId="0" xfId="0" applyFill="1" applyAlignment="1">
      <alignment horizontal="center" vertical="center" wrapText="1"/>
    </xf>
    <xf numFmtId="0" fontId="0" fillId="1019" borderId="0" xfId="0" applyFill="1" applyAlignment="1">
      <alignment horizontal="center" vertical="center" wrapText="1"/>
    </xf>
    <xf numFmtId="0" fontId="0" fillId="1020" borderId="0" xfId="0" applyFill="1" applyAlignment="1">
      <alignment horizontal="center" vertical="center" wrapText="1"/>
    </xf>
    <xf numFmtId="0" fontId="0" fillId="1021" borderId="0" xfId="0" applyFill="1" applyAlignment="1">
      <alignment horizontal="center" vertical="center" wrapText="1"/>
    </xf>
    <xf numFmtId="0" fontId="0" fillId="1022" borderId="0" xfId="0" applyFill="1" applyAlignment="1">
      <alignment horizontal="center" vertical="center" wrapText="1"/>
    </xf>
    <xf numFmtId="0" fontId="564" fillId="1023" borderId="0" xfId="0" applyFont="1" applyFill="1"/>
    <xf numFmtId="0" fontId="564" fillId="1024" borderId="0" xfId="0" applyFont="1" applyFill="1"/>
    <xf numFmtId="0" fontId="564" fillId="1025" borderId="0" xfId="0" applyFont="1" applyFill="1"/>
    <xf numFmtId="0" fontId="565" fillId="1026" borderId="0" xfId="0" applyFont="1" applyFill="1" applyAlignment="1">
      <alignment horizontal="center" vertical="center" wrapText="1"/>
    </xf>
    <xf numFmtId="0" fontId="565" fillId="1027" borderId="0" xfId="0" applyFont="1" applyFill="1" applyAlignment="1">
      <alignment horizontal="center" vertical="center" wrapText="1"/>
    </xf>
    <xf numFmtId="0" fontId="565" fillId="1028" borderId="0" xfId="0" applyFont="1" applyFill="1" applyAlignment="1">
      <alignment horizontal="center" vertical="center" wrapText="1"/>
    </xf>
    <xf numFmtId="0" fontId="0" fillId="1029" borderId="0" xfId="0" applyFill="1" applyAlignment="1">
      <alignment horizontal="center" vertical="center" wrapText="1"/>
    </xf>
    <xf numFmtId="0" fontId="0" fillId="1030" borderId="0" xfId="0" applyFill="1" applyAlignment="1">
      <alignment horizontal="center" vertical="center" wrapText="1"/>
    </xf>
    <xf numFmtId="0" fontId="0" fillId="1031" borderId="0" xfId="0" applyFill="1" applyAlignment="1">
      <alignment horizontal="center" vertical="center" wrapText="1"/>
    </xf>
    <xf numFmtId="0" fontId="0" fillId="1032" borderId="0" xfId="0" applyFill="1" applyAlignment="1">
      <alignment horizontal="center" vertical="center" wrapText="1"/>
    </xf>
    <xf numFmtId="0" fontId="0" fillId="1033" borderId="0" xfId="0" applyFill="1" applyAlignment="1">
      <alignment horizontal="center" vertical="center" wrapText="1"/>
    </xf>
    <xf numFmtId="0" fontId="0" fillId="1034" borderId="0" xfId="0" applyFill="1" applyAlignment="1">
      <alignment horizontal="center" vertical="center" wrapText="1"/>
    </xf>
    <xf numFmtId="0" fontId="564" fillId="1035" borderId="0" xfId="0" applyFont="1" applyFill="1"/>
    <xf numFmtId="0" fontId="564" fillId="1036" borderId="0" xfId="0" applyFont="1" applyFill="1"/>
    <xf numFmtId="0" fontId="564" fillId="1037" borderId="0" xfId="0" applyFont="1" applyFill="1"/>
    <xf numFmtId="0" fontId="565" fillId="1038" borderId="0" xfId="0" applyFont="1" applyFill="1" applyAlignment="1">
      <alignment horizontal="center" vertical="center" wrapText="1"/>
    </xf>
    <xf numFmtId="0" fontId="565" fillId="1039" borderId="0" xfId="0" applyFont="1" applyFill="1" applyAlignment="1">
      <alignment horizontal="center" vertical="center" wrapText="1"/>
    </xf>
    <xf numFmtId="0" fontId="0" fillId="1040" borderId="0" xfId="0" applyFill="1" applyAlignment="1">
      <alignment horizontal="center" vertical="center" wrapText="1"/>
    </xf>
    <xf numFmtId="0" fontId="0" fillId="1041" borderId="0" xfId="0" applyFill="1" applyAlignment="1">
      <alignment horizontal="center" vertical="center" wrapText="1"/>
    </xf>
    <xf numFmtId="0" fontId="0" fillId="1042" borderId="0" xfId="0" applyFill="1" applyAlignment="1">
      <alignment horizontal="center" vertical="center" wrapText="1"/>
    </xf>
    <xf numFmtId="0" fontId="0" fillId="1043" borderId="0" xfId="0" applyFill="1" applyAlignment="1">
      <alignment horizontal="center" vertical="center" wrapText="1"/>
    </xf>
    <xf numFmtId="0" fontId="0" fillId="1044" borderId="0" xfId="0" applyFill="1" applyAlignment="1">
      <alignment horizontal="center" vertical="center" wrapText="1"/>
    </xf>
    <xf numFmtId="0" fontId="0" fillId="1045" borderId="0" xfId="0" applyFill="1" applyAlignment="1">
      <alignment horizontal="center" vertical="center" wrapText="1"/>
    </xf>
    <xf numFmtId="0" fontId="0" fillId="1046" borderId="0" xfId="0" applyFill="1" applyAlignment="1">
      <alignment horizontal="center" vertical="center" wrapText="1"/>
    </xf>
    <xf numFmtId="0" fontId="564" fillId="324" borderId="0" xfId="0" applyFont="1" applyFill="1"/>
    <xf numFmtId="0" fontId="564" fillId="1047" borderId="0" xfId="0" applyFont="1" applyFill="1"/>
    <xf numFmtId="0" fontId="564" fillId="1048" borderId="0" xfId="0" applyFont="1" applyFill="1"/>
    <xf numFmtId="0" fontId="565" fillId="1049" borderId="0" xfId="0" applyFont="1" applyFill="1" applyAlignment="1">
      <alignment horizontal="center" vertical="center" wrapText="1"/>
    </xf>
    <xf numFmtId="0" fontId="0" fillId="1050" borderId="0" xfId="0" applyFill="1" applyAlignment="1">
      <alignment horizontal="center" vertical="center" wrapText="1"/>
    </xf>
    <xf numFmtId="0" fontId="0" fillId="1051" borderId="0" xfId="0" applyFill="1" applyAlignment="1">
      <alignment horizontal="center" vertical="center" wrapText="1"/>
    </xf>
    <xf numFmtId="0" fontId="0" fillId="1052" borderId="0" xfId="0" applyFill="1" applyAlignment="1">
      <alignment horizontal="center" vertical="center" wrapText="1"/>
    </xf>
    <xf numFmtId="0" fontId="0" fillId="1053" borderId="0" xfId="0" applyFill="1" applyAlignment="1">
      <alignment horizontal="center" vertical="center" wrapText="1"/>
    </xf>
    <xf numFmtId="0" fontId="0" fillId="1054" borderId="0" xfId="0" applyFill="1" applyAlignment="1">
      <alignment horizontal="center" vertical="center" wrapText="1"/>
    </xf>
    <xf numFmtId="0" fontId="0" fillId="1055" borderId="0" xfId="0" applyFill="1" applyAlignment="1">
      <alignment horizontal="center" vertical="center" wrapText="1"/>
    </xf>
    <xf numFmtId="0" fontId="0" fillId="1056" borderId="0" xfId="0" applyFill="1" applyAlignment="1">
      <alignment horizontal="center" vertical="center" wrapText="1"/>
    </xf>
    <xf numFmtId="0" fontId="0" fillId="1057" borderId="0" xfId="0" applyFill="1" applyAlignment="1">
      <alignment horizontal="center" vertical="center" wrapText="1"/>
    </xf>
    <xf numFmtId="0" fontId="564" fillId="1058" borderId="0" xfId="0" applyFont="1" applyFill="1"/>
    <xf numFmtId="0" fontId="564" fillId="1059" borderId="0" xfId="0" applyFont="1" applyFill="1"/>
    <xf numFmtId="0" fontId="564" fillId="1060" borderId="0" xfId="0" applyFont="1" applyFill="1"/>
    <xf numFmtId="0" fontId="565" fillId="1061" borderId="0" xfId="0" applyFont="1" applyFill="1" applyAlignment="1">
      <alignment horizontal="center" vertical="center" wrapText="1"/>
    </xf>
    <xf numFmtId="0" fontId="565" fillId="1062" borderId="0" xfId="0" applyFont="1" applyFill="1" applyAlignment="1">
      <alignment horizontal="center" vertical="center" wrapText="1"/>
    </xf>
    <xf numFmtId="0" fontId="565" fillId="1063" borderId="0" xfId="0" applyFont="1" applyFill="1" applyAlignment="1">
      <alignment horizontal="center" vertical="center" wrapText="1"/>
    </xf>
    <xf numFmtId="0" fontId="565" fillId="1064" borderId="0" xfId="0" applyFont="1" applyFill="1" applyAlignment="1">
      <alignment horizontal="center" vertical="center" wrapText="1"/>
    </xf>
    <xf numFmtId="0" fontId="565" fillId="1065" borderId="0" xfId="0" applyFont="1" applyFill="1" applyAlignment="1">
      <alignment horizontal="center" vertical="center" wrapText="1"/>
    </xf>
    <xf numFmtId="0" fontId="565" fillId="1066" borderId="0" xfId="0" applyFont="1" applyFill="1" applyAlignment="1">
      <alignment horizontal="center" vertical="center" wrapText="1"/>
    </xf>
    <xf numFmtId="0" fontId="565" fillId="1067" borderId="0" xfId="0" applyFont="1" applyFill="1" applyAlignment="1">
      <alignment horizontal="center" vertical="center" wrapText="1"/>
    </xf>
    <xf numFmtId="0" fontId="565" fillId="1068" borderId="0" xfId="0" applyFont="1" applyFill="1" applyAlignment="1">
      <alignment horizontal="center" vertical="center" wrapText="1"/>
    </xf>
    <xf numFmtId="0" fontId="0" fillId="1069" borderId="0" xfId="0" applyFill="1" applyAlignment="1">
      <alignment horizontal="center" vertical="center" wrapText="1"/>
    </xf>
    <xf numFmtId="0" fontId="564" fillId="1070" borderId="0" xfId="0" applyFont="1" applyFill="1"/>
    <xf numFmtId="0" fontId="564" fillId="1071" borderId="0" xfId="0" applyFont="1" applyFill="1"/>
    <xf numFmtId="0" fontId="564" fillId="1072" borderId="0" xfId="0" applyFont="1" applyFill="1"/>
    <xf numFmtId="0" fontId="565" fillId="1073" borderId="0" xfId="0" applyFont="1" applyFill="1" applyAlignment="1">
      <alignment horizontal="center" vertical="center" wrapText="1"/>
    </xf>
    <xf numFmtId="0" fontId="565" fillId="1074" borderId="0" xfId="0" applyFont="1" applyFill="1" applyAlignment="1">
      <alignment horizontal="center" vertical="center" wrapText="1"/>
    </xf>
    <xf numFmtId="0" fontId="565" fillId="1075" borderId="0" xfId="0" applyFont="1" applyFill="1" applyAlignment="1">
      <alignment horizontal="center" vertical="center" wrapText="1"/>
    </xf>
    <xf numFmtId="0" fontId="565" fillId="1076" borderId="0" xfId="0" applyFont="1" applyFill="1" applyAlignment="1">
      <alignment horizontal="center" vertical="center" wrapText="1"/>
    </xf>
    <xf numFmtId="0" fontId="565" fillId="1077" borderId="0" xfId="0" applyFont="1" applyFill="1" applyAlignment="1">
      <alignment horizontal="center" vertical="center" wrapText="1"/>
    </xf>
    <xf numFmtId="0" fontId="565" fillId="1078" borderId="0" xfId="0" applyFont="1" applyFill="1" applyAlignment="1">
      <alignment horizontal="center" vertical="center" wrapText="1"/>
    </xf>
    <xf numFmtId="0" fontId="565" fillId="1079" borderId="0" xfId="0" applyFont="1" applyFill="1" applyAlignment="1">
      <alignment horizontal="center" vertical="center" wrapText="1"/>
    </xf>
    <xf numFmtId="0" fontId="0" fillId="1080" borderId="0" xfId="0" applyFill="1" applyAlignment="1">
      <alignment horizontal="center" vertical="center" wrapText="1"/>
    </xf>
    <xf numFmtId="0" fontId="0" fillId="1081" borderId="0" xfId="0" applyFill="1" applyAlignment="1">
      <alignment horizontal="center" vertical="center" wrapText="1"/>
    </xf>
    <xf numFmtId="0" fontId="564" fillId="1082" borderId="0" xfId="0" applyFont="1" applyFill="1"/>
    <xf numFmtId="0" fontId="564" fillId="1083" borderId="0" xfId="0" applyFont="1" applyFill="1"/>
    <xf numFmtId="0" fontId="564" fillId="1084" borderId="0" xfId="0" applyFont="1" applyFill="1"/>
    <xf numFmtId="0" fontId="565" fillId="1085" borderId="0" xfId="0" applyFont="1" applyFill="1" applyAlignment="1">
      <alignment horizontal="center" vertical="center" wrapText="1"/>
    </xf>
    <xf numFmtId="0" fontId="565" fillId="1086" borderId="0" xfId="0" applyFont="1" applyFill="1" applyAlignment="1">
      <alignment horizontal="center" vertical="center" wrapText="1"/>
    </xf>
    <xf numFmtId="0" fontId="565" fillId="1087" borderId="0" xfId="0" applyFont="1" applyFill="1" applyAlignment="1">
      <alignment horizontal="center" vertical="center" wrapText="1"/>
    </xf>
    <xf numFmtId="0" fontId="565" fillId="1088" borderId="0" xfId="0" applyFont="1" applyFill="1" applyAlignment="1">
      <alignment horizontal="center" vertical="center" wrapText="1"/>
    </xf>
    <xf numFmtId="0" fontId="565" fillId="1089" borderId="0" xfId="0" applyFont="1" applyFill="1" applyAlignment="1">
      <alignment horizontal="center" vertical="center" wrapText="1"/>
    </xf>
    <xf numFmtId="0" fontId="565" fillId="1090" borderId="0" xfId="0" applyFont="1" applyFill="1" applyAlignment="1">
      <alignment horizontal="center" vertical="center" wrapText="1"/>
    </xf>
    <xf numFmtId="0" fontId="0" fillId="1091" borderId="0" xfId="0" applyFill="1" applyAlignment="1">
      <alignment horizontal="center" vertical="center" wrapText="1"/>
    </xf>
    <xf numFmtId="0" fontId="0" fillId="1092" borderId="0" xfId="0" applyFill="1" applyAlignment="1">
      <alignment horizontal="center" vertical="center" wrapText="1"/>
    </xf>
    <xf numFmtId="0" fontId="0" fillId="1093" borderId="0" xfId="0" applyFill="1" applyAlignment="1">
      <alignment horizontal="center" vertical="center" wrapText="1"/>
    </xf>
    <xf numFmtId="0" fontId="564" fillId="1094" borderId="0" xfId="0" applyFont="1" applyFill="1"/>
    <xf numFmtId="0" fontId="564" fillId="1095" borderId="0" xfId="0" applyFont="1" applyFill="1"/>
    <xf numFmtId="0" fontId="564" fillId="1096" borderId="0" xfId="0" applyFont="1" applyFill="1"/>
    <xf numFmtId="0" fontId="565" fillId="1097" borderId="0" xfId="0" applyFont="1" applyFill="1" applyAlignment="1">
      <alignment horizontal="center" vertical="center" wrapText="1"/>
    </xf>
    <xf numFmtId="0" fontId="565" fillId="1098" borderId="0" xfId="0" applyFont="1" applyFill="1" applyAlignment="1">
      <alignment horizontal="center" vertical="center" wrapText="1"/>
    </xf>
    <xf numFmtId="0" fontId="565" fillId="1099" borderId="0" xfId="0" applyFont="1" applyFill="1" applyAlignment="1">
      <alignment horizontal="center" vertical="center" wrapText="1"/>
    </xf>
    <xf numFmtId="0" fontId="565" fillId="1100" borderId="0" xfId="0" applyFont="1" applyFill="1" applyAlignment="1">
      <alignment horizontal="center" vertical="center" wrapText="1"/>
    </xf>
    <xf numFmtId="0" fontId="565" fillId="1101" borderId="0" xfId="0" applyFont="1" applyFill="1" applyAlignment="1">
      <alignment horizontal="center" vertical="center" wrapText="1"/>
    </xf>
    <xf numFmtId="0" fontId="0" fillId="1102" borderId="0" xfId="0" applyFill="1" applyAlignment="1">
      <alignment horizontal="center" vertical="center" wrapText="1"/>
    </xf>
    <xf numFmtId="0" fontId="0" fillId="1103" borderId="0" xfId="0" applyFill="1" applyAlignment="1">
      <alignment horizontal="center" vertical="center" wrapText="1"/>
    </xf>
    <xf numFmtId="0" fontId="0" fillId="1104" borderId="0" xfId="0" applyFill="1" applyAlignment="1">
      <alignment horizontal="center" vertical="center" wrapText="1"/>
    </xf>
    <xf numFmtId="0" fontId="0" fillId="1105" borderId="0" xfId="0" applyFill="1" applyAlignment="1">
      <alignment horizontal="center" vertical="center" wrapText="1"/>
    </xf>
    <xf numFmtId="0" fontId="564" fillId="1106" borderId="0" xfId="0" applyFont="1" applyFill="1"/>
    <xf numFmtId="0" fontId="564" fillId="1107" borderId="0" xfId="0" applyFont="1" applyFill="1"/>
    <xf numFmtId="0" fontId="564" fillId="1108" borderId="0" xfId="0" applyFont="1" applyFill="1"/>
    <xf numFmtId="0" fontId="565" fillId="1109" borderId="0" xfId="0" applyFont="1" applyFill="1" applyAlignment="1">
      <alignment horizontal="center" vertical="center" wrapText="1"/>
    </xf>
    <xf numFmtId="0" fontId="565" fillId="1110" borderId="0" xfId="0" applyFont="1" applyFill="1" applyAlignment="1">
      <alignment horizontal="center" vertical="center" wrapText="1"/>
    </xf>
    <xf numFmtId="0" fontId="565" fillId="1111" borderId="0" xfId="0" applyFont="1" applyFill="1" applyAlignment="1">
      <alignment horizontal="center" vertical="center" wrapText="1"/>
    </xf>
    <xf numFmtId="0" fontId="565" fillId="1112" borderId="0" xfId="0" applyFont="1" applyFill="1" applyAlignment="1">
      <alignment horizontal="center" vertical="center" wrapText="1"/>
    </xf>
    <xf numFmtId="0" fontId="0" fillId="1113" borderId="0" xfId="0" applyFill="1" applyAlignment="1">
      <alignment horizontal="center" vertical="center" wrapText="1"/>
    </xf>
    <xf numFmtId="0" fontId="0" fillId="1114" borderId="0" xfId="0" applyFill="1" applyAlignment="1">
      <alignment horizontal="center" vertical="center" wrapText="1"/>
    </xf>
    <xf numFmtId="0" fontId="0" fillId="1115" borderId="0" xfId="0" applyFill="1" applyAlignment="1">
      <alignment horizontal="center" vertical="center" wrapText="1"/>
    </xf>
    <xf numFmtId="0" fontId="0" fillId="1116" borderId="0" xfId="0" applyFill="1" applyAlignment="1">
      <alignment horizontal="center" vertical="center" wrapText="1"/>
    </xf>
    <xf numFmtId="0" fontId="0" fillId="1117" borderId="0" xfId="0" applyFill="1" applyAlignment="1">
      <alignment horizontal="center" vertical="center" wrapText="1"/>
    </xf>
    <xf numFmtId="0" fontId="564" fillId="1118" borderId="0" xfId="0" applyFont="1" applyFill="1"/>
    <xf numFmtId="0" fontId="564" fillId="1119" borderId="0" xfId="0" applyFont="1" applyFill="1"/>
    <xf numFmtId="0" fontId="564" fillId="1120" borderId="0" xfId="0" applyFont="1" applyFill="1"/>
    <xf numFmtId="0" fontId="565" fillId="1121" borderId="0" xfId="0" applyFont="1" applyFill="1" applyAlignment="1">
      <alignment horizontal="center" vertical="center" wrapText="1"/>
    </xf>
    <xf numFmtId="0" fontId="565" fillId="1122" borderId="0" xfId="0" applyFont="1" applyFill="1" applyAlignment="1">
      <alignment horizontal="center" vertical="center" wrapText="1"/>
    </xf>
    <xf numFmtId="0" fontId="565" fillId="1123" borderId="0" xfId="0" applyFont="1" applyFill="1" applyAlignment="1">
      <alignment horizontal="center" vertical="center" wrapText="1"/>
    </xf>
    <xf numFmtId="0" fontId="0" fillId="1124" borderId="0" xfId="0" applyFill="1" applyAlignment="1">
      <alignment horizontal="center" vertical="center" wrapText="1"/>
    </xf>
    <xf numFmtId="0" fontId="0" fillId="1125" borderId="0" xfId="0" applyFill="1" applyAlignment="1">
      <alignment horizontal="center" vertical="center" wrapText="1"/>
    </xf>
    <xf numFmtId="0" fontId="0" fillId="1126" borderId="0" xfId="0" applyFill="1" applyAlignment="1">
      <alignment horizontal="center" vertical="center" wrapText="1"/>
    </xf>
    <xf numFmtId="0" fontId="0" fillId="1127" borderId="0" xfId="0" applyFill="1" applyAlignment="1">
      <alignment horizontal="center" vertical="center" wrapText="1"/>
    </xf>
    <xf numFmtId="0" fontId="0" fillId="1128" borderId="0" xfId="0" applyFill="1" applyAlignment="1">
      <alignment horizontal="center" vertical="center" wrapText="1"/>
    </xf>
    <xf numFmtId="0" fontId="0" fillId="1129" borderId="0" xfId="0" applyFill="1" applyAlignment="1">
      <alignment horizontal="center" vertical="center" wrapText="1"/>
    </xf>
    <xf numFmtId="0" fontId="564" fillId="1130" borderId="0" xfId="0" applyFont="1" applyFill="1"/>
    <xf numFmtId="0" fontId="564" fillId="1131" borderId="0" xfId="0" applyFont="1" applyFill="1"/>
    <xf numFmtId="0" fontId="564" fillId="1132" borderId="0" xfId="0" applyFont="1" applyFill="1"/>
    <xf numFmtId="0" fontId="565" fillId="1133" borderId="0" xfId="0" applyFont="1" applyFill="1" applyAlignment="1">
      <alignment horizontal="center" vertical="center" wrapText="1"/>
    </xf>
    <xf numFmtId="0" fontId="565" fillId="1134" borderId="0" xfId="0" applyFont="1" applyFill="1" applyAlignment="1">
      <alignment horizontal="center" vertical="center" wrapText="1"/>
    </xf>
    <xf numFmtId="0" fontId="0" fillId="1135" borderId="0" xfId="0" applyFill="1" applyAlignment="1">
      <alignment horizontal="center" vertical="center" wrapText="1"/>
    </xf>
    <xf numFmtId="0" fontId="0" fillId="1136" borderId="0" xfId="0" applyFill="1" applyAlignment="1">
      <alignment horizontal="center" vertical="center" wrapText="1"/>
    </xf>
    <xf numFmtId="0" fontId="0" fillId="1137" borderId="0" xfId="0" applyFill="1" applyAlignment="1">
      <alignment horizontal="center" vertical="center" wrapText="1"/>
    </xf>
    <xf numFmtId="0" fontId="0" fillId="1138" borderId="0" xfId="0" applyFill="1" applyAlignment="1">
      <alignment horizontal="center" vertical="center" wrapText="1"/>
    </xf>
    <xf numFmtId="0" fontId="0" fillId="1139" borderId="0" xfId="0" applyFill="1" applyAlignment="1">
      <alignment horizontal="center" vertical="center" wrapText="1"/>
    </xf>
    <xf numFmtId="0" fontId="0" fillId="1140" borderId="0" xfId="0" applyFill="1" applyAlignment="1">
      <alignment horizontal="center" vertical="center" wrapText="1"/>
    </xf>
    <xf numFmtId="0" fontId="0" fillId="1141" borderId="0" xfId="0" applyFill="1" applyAlignment="1">
      <alignment horizontal="center" vertical="center" wrapText="1"/>
    </xf>
    <xf numFmtId="0" fontId="564" fillId="1142" borderId="0" xfId="0" applyFont="1" applyFill="1"/>
    <xf numFmtId="0" fontId="564" fillId="1143" borderId="0" xfId="0" applyFont="1" applyFill="1"/>
    <xf numFmtId="0" fontId="564" fillId="1144" borderId="0" xfId="0" applyFont="1" applyFill="1"/>
    <xf numFmtId="0" fontId="565" fillId="1145" borderId="0" xfId="0" applyFont="1" applyFill="1" applyAlignment="1">
      <alignment horizontal="center" vertical="center" wrapText="1"/>
    </xf>
    <xf numFmtId="0" fontId="0" fillId="1146" borderId="0" xfId="0" applyFill="1" applyAlignment="1">
      <alignment horizontal="center" vertical="center" wrapText="1"/>
    </xf>
    <xf numFmtId="0" fontId="0" fillId="1147" borderId="0" xfId="0" applyFill="1" applyAlignment="1">
      <alignment horizontal="center" vertical="center" wrapText="1"/>
    </xf>
    <xf numFmtId="0" fontId="0" fillId="1148" borderId="0" xfId="0" applyFill="1" applyAlignment="1">
      <alignment horizontal="center" vertical="center" wrapText="1"/>
    </xf>
    <xf numFmtId="0" fontId="0" fillId="1149" borderId="0" xfId="0" applyFill="1" applyAlignment="1">
      <alignment horizontal="center" vertical="center" wrapText="1"/>
    </xf>
    <xf numFmtId="0" fontId="0" fillId="1150" borderId="0" xfId="0" applyFill="1" applyAlignment="1">
      <alignment horizontal="center" vertical="center" wrapText="1"/>
    </xf>
    <xf numFmtId="0" fontId="0" fillId="1151" borderId="0" xfId="0" applyFill="1" applyAlignment="1">
      <alignment horizontal="center" vertical="center" wrapText="1"/>
    </xf>
    <xf numFmtId="0" fontId="0" fillId="1152" borderId="0" xfId="0" applyFill="1" applyAlignment="1">
      <alignment horizontal="center" vertical="center" wrapText="1"/>
    </xf>
    <xf numFmtId="0" fontId="0" fillId="1153" borderId="0" xfId="0" applyFill="1" applyAlignment="1">
      <alignment horizontal="center" vertical="center" wrapText="1"/>
    </xf>
    <xf numFmtId="0" fontId="564" fillId="1154" borderId="0" xfId="0" applyFont="1" applyFill="1"/>
    <xf numFmtId="0" fontId="564" fillId="1155" borderId="0" xfId="0" applyFont="1" applyFill="1"/>
    <xf numFmtId="0" fontId="564" fillId="1156" borderId="0" xfId="0" applyFont="1" applyFill="1"/>
    <xf numFmtId="0" fontId="0" fillId="1157" borderId="0" xfId="0" applyFill="1" applyAlignment="1">
      <alignment horizontal="center" vertical="center" wrapText="1"/>
    </xf>
    <xf numFmtId="0" fontId="0" fillId="1158" borderId="0" xfId="0" applyFill="1" applyAlignment="1">
      <alignment horizontal="center" vertical="center" wrapText="1"/>
    </xf>
    <xf numFmtId="0" fontId="0" fillId="1159" borderId="0" xfId="0" applyFill="1" applyAlignment="1">
      <alignment horizontal="center" vertical="center" wrapText="1"/>
    </xf>
    <xf numFmtId="0" fontId="0" fillId="1160" borderId="0" xfId="0" applyFill="1" applyAlignment="1">
      <alignment horizontal="center" vertical="center" wrapText="1"/>
    </xf>
    <xf numFmtId="0" fontId="0" fillId="1161" borderId="0" xfId="0" applyFill="1" applyAlignment="1">
      <alignment horizontal="center" vertical="center" wrapText="1"/>
    </xf>
    <xf numFmtId="0" fontId="0" fillId="1162" borderId="0" xfId="0" applyFill="1" applyAlignment="1">
      <alignment horizontal="center" vertical="center" wrapText="1"/>
    </xf>
    <xf numFmtId="0" fontId="0" fillId="1163" borderId="0" xfId="0" applyFill="1" applyAlignment="1">
      <alignment horizontal="center" vertical="center" wrapText="1"/>
    </xf>
    <xf numFmtId="0" fontId="0" fillId="1164" borderId="0" xfId="0" applyFill="1" applyAlignment="1">
      <alignment horizontal="center" vertical="center" wrapText="1"/>
    </xf>
    <xf numFmtId="0" fontId="0" fillId="1165" borderId="0" xfId="0" applyFill="1" applyAlignment="1">
      <alignment horizontal="center" vertical="center" wrapText="1"/>
    </xf>
    <xf numFmtId="0" fontId="564" fillId="1166" borderId="0" xfId="0" applyFont="1" applyFill="1"/>
    <xf numFmtId="0" fontId="564" fillId="1167" borderId="0" xfId="0" applyFont="1" applyFill="1"/>
    <xf numFmtId="0" fontId="564" fillId="1168" borderId="0" xfId="0" applyFont="1" applyFill="1"/>
    <xf numFmtId="0" fontId="565" fillId="13" borderId="0" xfId="0" applyFont="1" applyFill="1" applyAlignment="1">
      <alignment horizontal="center" vertical="center" wrapText="1"/>
    </xf>
    <xf numFmtId="0" fontId="565" fillId="1169" borderId="0" xfId="0" applyFont="1" applyFill="1" applyAlignment="1">
      <alignment horizontal="center" vertical="center" wrapText="1"/>
    </xf>
    <xf numFmtId="0" fontId="565" fillId="1170" borderId="0" xfId="0" applyFont="1" applyFill="1" applyAlignment="1">
      <alignment horizontal="center" vertical="center" wrapText="1"/>
    </xf>
    <xf numFmtId="0" fontId="565" fillId="1171" borderId="0" xfId="0" applyFont="1" applyFill="1" applyAlignment="1">
      <alignment horizontal="center" vertical="center" wrapText="1"/>
    </xf>
    <xf numFmtId="0" fontId="565" fillId="1172" borderId="0" xfId="0" applyFont="1" applyFill="1" applyAlignment="1">
      <alignment horizontal="center" vertical="center" wrapText="1"/>
    </xf>
    <xf numFmtId="0" fontId="565" fillId="1173" borderId="0" xfId="0" applyFont="1" applyFill="1" applyAlignment="1">
      <alignment horizontal="center" vertical="center" wrapText="1"/>
    </xf>
    <xf numFmtId="0" fontId="565" fillId="1174" borderId="0" xfId="0" applyFont="1" applyFill="1" applyAlignment="1">
      <alignment horizontal="center" vertical="center" wrapText="1"/>
    </xf>
    <xf numFmtId="0" fontId="0" fillId="1175" borderId="0" xfId="0" applyFill="1" applyAlignment="1">
      <alignment horizontal="center" vertical="center" wrapText="1"/>
    </xf>
    <xf numFmtId="0" fontId="0" fillId="69" borderId="0" xfId="0" applyFill="1" applyAlignment="1">
      <alignment horizontal="center" vertical="center" wrapText="1"/>
    </xf>
    <xf numFmtId="0" fontId="564" fillId="1176" borderId="0" xfId="0" applyFont="1" applyFill="1"/>
    <xf numFmtId="0" fontId="564" fillId="1177" borderId="0" xfId="0" applyFont="1" applyFill="1"/>
    <xf numFmtId="0" fontId="564" fillId="1178" borderId="0" xfId="0" applyFont="1" applyFill="1"/>
    <xf numFmtId="0" fontId="565" fillId="1179" borderId="0" xfId="0" applyFont="1" applyFill="1" applyAlignment="1">
      <alignment horizontal="center" vertical="center" wrapText="1"/>
    </xf>
    <xf numFmtId="0" fontId="565" fillId="1180" borderId="0" xfId="0" applyFont="1" applyFill="1" applyAlignment="1">
      <alignment horizontal="center" vertical="center" wrapText="1"/>
    </xf>
    <xf numFmtId="0" fontId="565" fillId="1181" borderId="0" xfId="0" applyFont="1" applyFill="1" applyAlignment="1">
      <alignment horizontal="center" vertical="center" wrapText="1"/>
    </xf>
    <xf numFmtId="0" fontId="565" fillId="1182" borderId="0" xfId="0" applyFont="1" applyFill="1" applyAlignment="1">
      <alignment horizontal="center" vertical="center" wrapText="1"/>
    </xf>
    <xf numFmtId="0" fontId="565" fillId="1183" borderId="0" xfId="0" applyFont="1" applyFill="1" applyAlignment="1">
      <alignment horizontal="center" vertical="center" wrapText="1"/>
    </xf>
    <xf numFmtId="0" fontId="565" fillId="1184" borderId="0" xfId="0" applyFont="1" applyFill="1" applyAlignment="1">
      <alignment horizontal="center" vertical="center" wrapText="1"/>
    </xf>
    <xf numFmtId="0" fontId="0" fillId="1185" borderId="0" xfId="0" applyFill="1" applyAlignment="1">
      <alignment horizontal="center" vertical="center" wrapText="1"/>
    </xf>
    <xf numFmtId="0" fontId="0" fillId="1186" borderId="0" xfId="0" applyFill="1" applyAlignment="1">
      <alignment horizontal="center" vertical="center" wrapText="1"/>
    </xf>
    <xf numFmtId="0" fontId="0" fillId="1187" borderId="0" xfId="0" applyFill="1" applyAlignment="1">
      <alignment horizontal="center" vertical="center" wrapText="1"/>
    </xf>
    <xf numFmtId="0" fontId="564" fillId="1188" borderId="0" xfId="0" applyFont="1" applyFill="1"/>
    <xf numFmtId="0" fontId="564" fillId="1189" borderId="0" xfId="0" applyFont="1" applyFill="1"/>
    <xf numFmtId="0" fontId="564" fillId="1190" borderId="0" xfId="0" applyFont="1" applyFill="1"/>
    <xf numFmtId="0" fontId="565" fillId="1191" borderId="0" xfId="0" applyFont="1" applyFill="1" applyAlignment="1">
      <alignment horizontal="center" vertical="center" wrapText="1"/>
    </xf>
    <xf numFmtId="0" fontId="565" fillId="1192" borderId="0" xfId="0" applyFont="1" applyFill="1" applyAlignment="1">
      <alignment horizontal="center" vertical="center" wrapText="1"/>
    </xf>
    <xf numFmtId="0" fontId="565" fillId="1193" borderId="0" xfId="0" applyFont="1" applyFill="1" applyAlignment="1">
      <alignment horizontal="center" vertical="center" wrapText="1"/>
    </xf>
    <xf numFmtId="0" fontId="565" fillId="1194" borderId="0" xfId="0" applyFont="1" applyFill="1" applyAlignment="1">
      <alignment horizontal="center" vertical="center" wrapText="1"/>
    </xf>
    <xf numFmtId="0" fontId="565" fillId="1195" borderId="0" xfId="0" applyFont="1" applyFill="1" applyAlignment="1">
      <alignment horizontal="center" vertical="center" wrapText="1"/>
    </xf>
    <xf numFmtId="0" fontId="0" fillId="1196" borderId="0" xfId="0" applyFill="1" applyAlignment="1">
      <alignment horizontal="center" vertical="center" wrapText="1"/>
    </xf>
    <xf numFmtId="0" fontId="0" fillId="1197" borderId="0" xfId="0" applyFill="1" applyAlignment="1">
      <alignment horizontal="center" vertical="center" wrapText="1"/>
    </xf>
    <xf numFmtId="0" fontId="0" fillId="1198" borderId="0" xfId="0" applyFill="1" applyAlignment="1">
      <alignment horizontal="center" vertical="center" wrapText="1"/>
    </xf>
    <xf numFmtId="0" fontId="0" fillId="1199" borderId="0" xfId="0" applyFill="1" applyAlignment="1">
      <alignment horizontal="center" vertical="center" wrapText="1"/>
    </xf>
    <xf numFmtId="0" fontId="564" fillId="1200" borderId="0" xfId="0" applyFont="1" applyFill="1"/>
    <xf numFmtId="0" fontId="564" fillId="1201" borderId="0" xfId="0" applyFont="1" applyFill="1"/>
    <xf numFmtId="0" fontId="564" fillId="1202" borderId="0" xfId="0" applyFont="1" applyFill="1"/>
    <xf numFmtId="0" fontId="565" fillId="1203" borderId="0" xfId="0" applyFont="1" applyFill="1" applyAlignment="1">
      <alignment horizontal="center" vertical="center" wrapText="1"/>
    </xf>
    <xf numFmtId="0" fontId="565" fillId="1204" borderId="0" xfId="0" applyFont="1" applyFill="1" applyAlignment="1">
      <alignment horizontal="center" vertical="center" wrapText="1"/>
    </xf>
    <xf numFmtId="0" fontId="565" fillId="1205" borderId="0" xfId="0" applyFont="1" applyFill="1" applyAlignment="1">
      <alignment horizontal="center" vertical="center" wrapText="1"/>
    </xf>
    <xf numFmtId="0" fontId="565" fillId="1206" borderId="0" xfId="0" applyFont="1" applyFill="1" applyAlignment="1">
      <alignment horizontal="center" vertical="center" wrapText="1"/>
    </xf>
    <xf numFmtId="0" fontId="0" fillId="1207" borderId="0" xfId="0" applyFill="1" applyAlignment="1">
      <alignment horizontal="center" vertical="center" wrapText="1"/>
    </xf>
    <xf numFmtId="0" fontId="0" fillId="1208" borderId="0" xfId="0" applyFill="1" applyAlignment="1">
      <alignment horizontal="center" vertical="center" wrapText="1"/>
    </xf>
    <xf numFmtId="0" fontId="0" fillId="1209" borderId="0" xfId="0" applyFill="1" applyAlignment="1">
      <alignment horizontal="center" vertical="center" wrapText="1"/>
    </xf>
    <xf numFmtId="0" fontId="0" fillId="1210" borderId="0" xfId="0" applyFill="1" applyAlignment="1">
      <alignment horizontal="center" vertical="center" wrapText="1"/>
    </xf>
    <xf numFmtId="0" fontId="0" fillId="1211" borderId="0" xfId="0" applyFill="1" applyAlignment="1">
      <alignment horizontal="center" vertical="center" wrapText="1"/>
    </xf>
    <xf numFmtId="0" fontId="564" fillId="1212" borderId="0" xfId="0" applyFont="1" applyFill="1"/>
    <xf numFmtId="0" fontId="564" fillId="1213" borderId="0" xfId="0" applyFont="1" applyFill="1"/>
    <xf numFmtId="0" fontId="564" fillId="1214" borderId="0" xfId="0" applyFont="1" applyFill="1"/>
    <xf numFmtId="0" fontId="565" fillId="1215" borderId="0" xfId="0" applyFont="1" applyFill="1" applyAlignment="1">
      <alignment horizontal="center" vertical="center" wrapText="1"/>
    </xf>
    <xf numFmtId="0" fontId="565" fillId="1216" borderId="0" xfId="0" applyFont="1" applyFill="1" applyAlignment="1">
      <alignment horizontal="center" vertical="center" wrapText="1"/>
    </xf>
    <xf numFmtId="0" fontId="565" fillId="1217" borderId="0" xfId="0" applyFont="1" applyFill="1" applyAlignment="1">
      <alignment horizontal="center" vertical="center" wrapText="1"/>
    </xf>
    <xf numFmtId="0" fontId="0" fillId="1218" borderId="0" xfId="0" applyFill="1" applyAlignment="1">
      <alignment horizontal="center" vertical="center" wrapText="1"/>
    </xf>
    <xf numFmtId="0" fontId="0" fillId="1219" borderId="0" xfId="0" applyFill="1" applyAlignment="1">
      <alignment horizontal="center" vertical="center" wrapText="1"/>
    </xf>
    <xf numFmtId="0" fontId="0" fillId="1220" borderId="0" xfId="0" applyFill="1" applyAlignment="1">
      <alignment horizontal="center" vertical="center" wrapText="1"/>
    </xf>
    <xf numFmtId="0" fontId="0" fillId="1221" borderId="0" xfId="0" applyFill="1" applyAlignment="1">
      <alignment horizontal="center" vertical="center" wrapText="1"/>
    </xf>
    <xf numFmtId="0" fontId="0" fillId="1222" borderId="0" xfId="0" applyFill="1" applyAlignment="1">
      <alignment horizontal="center" vertical="center" wrapText="1"/>
    </xf>
    <xf numFmtId="0" fontId="0" fillId="1223" borderId="0" xfId="0" applyFill="1" applyAlignment="1">
      <alignment horizontal="center" vertical="center" wrapText="1"/>
    </xf>
    <xf numFmtId="0" fontId="564" fillId="1224" borderId="0" xfId="0" applyFont="1" applyFill="1"/>
    <xf numFmtId="0" fontId="564" fillId="1225" borderId="0" xfId="0" applyFont="1" applyFill="1"/>
    <xf numFmtId="0" fontId="564" fillId="1226" borderId="0" xfId="0" applyFont="1" applyFill="1"/>
    <xf numFmtId="0" fontId="565" fillId="1227" borderId="0" xfId="0" applyFont="1" applyFill="1" applyAlignment="1">
      <alignment horizontal="center" vertical="center" wrapText="1"/>
    </xf>
    <xf numFmtId="0" fontId="565" fillId="1228" borderId="0" xfId="0" applyFont="1" applyFill="1" applyAlignment="1">
      <alignment horizontal="center" vertical="center" wrapText="1"/>
    </xf>
    <xf numFmtId="0" fontId="0" fillId="1229" borderId="0" xfId="0" applyFill="1" applyAlignment="1">
      <alignment horizontal="center" vertical="center" wrapText="1"/>
    </xf>
    <xf numFmtId="0" fontId="0" fillId="1230" borderId="0" xfId="0" applyFill="1" applyAlignment="1">
      <alignment horizontal="center" vertical="center" wrapText="1"/>
    </xf>
    <xf numFmtId="0" fontId="0" fillId="1231" borderId="0" xfId="0" applyFill="1" applyAlignment="1">
      <alignment horizontal="center" vertical="center" wrapText="1"/>
    </xf>
    <xf numFmtId="0" fontId="0" fillId="1232" borderId="0" xfId="0" applyFill="1" applyAlignment="1">
      <alignment horizontal="center" vertical="center" wrapText="1"/>
    </xf>
    <xf numFmtId="0" fontId="0" fillId="1233" borderId="0" xfId="0" applyFill="1" applyAlignment="1">
      <alignment horizontal="center" vertical="center" wrapText="1"/>
    </xf>
    <xf numFmtId="0" fontId="0" fillId="1234" borderId="0" xfId="0" applyFill="1" applyAlignment="1">
      <alignment horizontal="center" vertical="center" wrapText="1"/>
    </xf>
    <xf numFmtId="0" fontId="0" fillId="1235" borderId="0" xfId="0" applyFill="1" applyAlignment="1">
      <alignment horizontal="center" vertical="center" wrapText="1"/>
    </xf>
    <xf numFmtId="0" fontId="564" fillId="1236" borderId="0" xfId="0" applyFont="1" applyFill="1"/>
    <xf numFmtId="0" fontId="564" fillId="69" borderId="0" xfId="0" applyFont="1" applyFill="1"/>
    <xf numFmtId="0" fontId="564" fillId="1237" borderId="0" xfId="0" applyFont="1" applyFill="1"/>
    <xf numFmtId="0" fontId="565" fillId="16" borderId="0" xfId="0" applyFont="1" applyFill="1" applyAlignment="1">
      <alignment horizontal="center" vertical="center" wrapText="1"/>
    </xf>
    <xf numFmtId="0" fontId="0" fillId="1238" borderId="0" xfId="0" applyFill="1" applyAlignment="1">
      <alignment horizontal="center" vertical="center" wrapText="1"/>
    </xf>
    <xf numFmtId="0" fontId="0" fillId="1239" borderId="0" xfId="0" applyFill="1" applyAlignment="1">
      <alignment horizontal="center" vertical="center" wrapText="1"/>
    </xf>
    <xf numFmtId="0" fontId="0" fillId="1240" borderId="0" xfId="0" applyFill="1" applyAlignment="1">
      <alignment horizontal="center" vertical="center" wrapText="1"/>
    </xf>
    <xf numFmtId="0" fontId="0" fillId="1241" borderId="0" xfId="0" applyFill="1" applyAlignment="1">
      <alignment horizontal="center" vertical="center" wrapText="1"/>
    </xf>
    <xf numFmtId="0" fontId="0" fillId="1242" borderId="0" xfId="0" applyFill="1" applyAlignment="1">
      <alignment horizontal="center" vertical="center" wrapText="1"/>
    </xf>
    <xf numFmtId="0" fontId="0" fillId="1243" borderId="0" xfId="0" applyFill="1" applyAlignment="1">
      <alignment horizontal="center" vertical="center" wrapText="1"/>
    </xf>
    <xf numFmtId="0" fontId="0" fillId="1244" borderId="0" xfId="0" applyFill="1" applyAlignment="1">
      <alignment horizontal="center" vertical="center" wrapText="1"/>
    </xf>
    <xf numFmtId="0" fontId="0" fillId="1245" borderId="0" xfId="0" applyFill="1" applyAlignment="1">
      <alignment horizontal="center" vertical="center" wrapText="1"/>
    </xf>
    <xf numFmtId="0" fontId="564" fillId="1246" borderId="0" xfId="0" applyFont="1" applyFill="1"/>
    <xf numFmtId="0" fontId="564" fillId="1247" borderId="0" xfId="0" applyFont="1" applyFill="1"/>
    <xf numFmtId="0" fontId="564" fillId="1248" borderId="0" xfId="0" applyFont="1" applyFill="1"/>
    <xf numFmtId="0" fontId="0" fillId="1249" borderId="0" xfId="0" applyFill="1" applyAlignment="1">
      <alignment horizontal="center" vertical="center" wrapText="1"/>
    </xf>
    <xf numFmtId="0" fontId="0" fillId="1250" borderId="0" xfId="0" applyFill="1" applyAlignment="1">
      <alignment horizontal="center" vertical="center" wrapText="1"/>
    </xf>
    <xf numFmtId="0" fontId="0" fillId="1251" borderId="0" xfId="0" applyFill="1" applyAlignment="1">
      <alignment horizontal="center" vertical="center" wrapText="1"/>
    </xf>
    <xf numFmtId="0" fontId="0" fillId="1252" borderId="0" xfId="0" applyFill="1" applyAlignment="1">
      <alignment horizontal="center" vertical="center" wrapText="1"/>
    </xf>
    <xf numFmtId="0" fontId="0" fillId="1253" borderId="0" xfId="0" applyFill="1" applyAlignment="1">
      <alignment horizontal="center" vertical="center" wrapText="1"/>
    </xf>
    <xf numFmtId="0" fontId="0" fillId="1254" borderId="0" xfId="0" applyFill="1" applyAlignment="1">
      <alignment horizontal="center" vertical="center" wrapText="1"/>
    </xf>
    <xf numFmtId="0" fontId="0" fillId="1255" borderId="0" xfId="0" applyFill="1" applyAlignment="1">
      <alignment horizontal="center" vertical="center" wrapText="1"/>
    </xf>
    <xf numFmtId="0" fontId="0" fillId="1256" borderId="0" xfId="0" applyFill="1" applyAlignment="1">
      <alignment horizontal="center" vertical="center" wrapText="1"/>
    </xf>
    <xf numFmtId="0" fontId="0" fillId="1257" borderId="0" xfId="0" applyFill="1" applyAlignment="1">
      <alignment horizontal="center" vertical="center" wrapText="1"/>
    </xf>
    <xf numFmtId="0" fontId="564" fillId="1258" borderId="0" xfId="0" applyFont="1" applyFill="1"/>
    <xf numFmtId="0" fontId="564" fillId="1259" borderId="0" xfId="0" applyFont="1" applyFill="1"/>
    <xf numFmtId="0" fontId="564" fillId="1260" borderId="0" xfId="0" applyFont="1" applyFill="1"/>
    <xf numFmtId="0" fontId="0" fillId="21" borderId="0" xfId="0" applyFill="1" applyAlignment="1">
      <alignment horizontal="center" vertical="center" wrapText="1"/>
    </xf>
    <xf numFmtId="0" fontId="0" fillId="1261" borderId="0" xfId="0" applyFill="1" applyAlignment="1">
      <alignment horizontal="center" vertical="center" wrapText="1"/>
    </xf>
    <xf numFmtId="0" fontId="0" fillId="1262" borderId="0" xfId="0" applyFill="1" applyAlignment="1">
      <alignment horizontal="center" vertical="center" wrapText="1"/>
    </xf>
    <xf numFmtId="0" fontId="0" fillId="1263" borderId="0" xfId="0" applyFill="1" applyAlignment="1">
      <alignment horizontal="center" vertical="center" wrapText="1"/>
    </xf>
    <xf numFmtId="0" fontId="0" fillId="1264" borderId="0" xfId="0" applyFill="1" applyAlignment="1">
      <alignment horizontal="center" vertical="center" wrapText="1"/>
    </xf>
    <xf numFmtId="0" fontId="0" fillId="1265" borderId="0" xfId="0" applyFill="1" applyAlignment="1">
      <alignment horizontal="center" vertical="center" wrapText="1"/>
    </xf>
    <xf numFmtId="0" fontId="0" fillId="1266" borderId="0" xfId="0" applyFill="1" applyAlignment="1">
      <alignment horizontal="center" vertical="center" wrapText="1"/>
    </xf>
    <xf numFmtId="0" fontId="0" fillId="492" borderId="0" xfId="0" applyFill="1" applyAlignment="1">
      <alignment horizontal="center" vertical="center" wrapText="1"/>
    </xf>
    <xf numFmtId="0" fontId="0" fillId="227" borderId="0" xfId="0" applyFill="1" applyAlignment="1">
      <alignment horizontal="center" vertical="center" wrapText="1"/>
    </xf>
    <xf numFmtId="0" fontId="564" fillId="1267" borderId="0" xfId="0" applyFont="1" applyFill="1"/>
    <xf numFmtId="0" fontId="564" fillId="1268" borderId="0" xfId="0" applyFont="1" applyFill="1"/>
    <xf numFmtId="0" fontId="564" fillId="1269" borderId="0" xfId="0" applyFont="1" applyFill="1"/>
    <xf numFmtId="0" fontId="564" fillId="1270" borderId="0" xfId="0" applyFont="1" applyFill="1"/>
    <xf numFmtId="0" fontId="564" fillId="1271" borderId="0" xfId="0" applyFont="1" applyFill="1"/>
    <xf numFmtId="0" fontId="564" fillId="1272" borderId="0" xfId="0" applyFont="1" applyFill="1"/>
    <xf numFmtId="0" fontId="564" fillId="1273" borderId="0" xfId="0" applyFont="1" applyFill="1"/>
    <xf numFmtId="0" fontId="564" fillId="1274" borderId="0" xfId="0" applyFont="1" applyFill="1"/>
    <xf numFmtId="0" fontId="564" fillId="1275" borderId="0" xfId="0" applyFont="1" applyFill="1"/>
    <xf numFmtId="0" fontId="564" fillId="1276" borderId="0" xfId="0" applyFont="1" applyFill="1"/>
    <xf numFmtId="0" fontId="564" fillId="1277" borderId="0" xfId="0" applyFont="1" applyFill="1"/>
    <xf numFmtId="0" fontId="564" fillId="1278" borderId="0" xfId="0" applyFont="1" applyFill="1"/>
    <xf numFmtId="0" fontId="564" fillId="1279" borderId="0" xfId="0" applyFont="1" applyFill="1"/>
    <xf numFmtId="0" fontId="564" fillId="1280" borderId="0" xfId="0" applyFont="1" applyFill="1"/>
    <xf numFmtId="0" fontId="564" fillId="1281" borderId="0" xfId="0" applyFont="1" applyFill="1"/>
    <xf numFmtId="0" fontId="564" fillId="1282" borderId="0" xfId="0" applyFont="1" applyFill="1"/>
    <xf numFmtId="0" fontId="564" fillId="1283" borderId="0" xfId="0" applyFont="1" applyFill="1"/>
    <xf numFmtId="0" fontId="564" fillId="1284" borderId="0" xfId="0" applyFont="1" applyFill="1"/>
    <xf numFmtId="0" fontId="564" fillId="1285" borderId="0" xfId="0" applyFont="1" applyFill="1"/>
    <xf numFmtId="0" fontId="564" fillId="1286" borderId="0" xfId="0" applyFont="1" applyFill="1"/>
    <xf numFmtId="0" fontId="564" fillId="1287" borderId="0" xfId="0" applyFont="1" applyFill="1"/>
    <xf numFmtId="0" fontId="564" fillId="1288" borderId="0" xfId="0" applyFont="1" applyFill="1"/>
    <xf numFmtId="0" fontId="564" fillId="1289" borderId="0" xfId="0" applyFont="1" applyFill="1"/>
    <xf numFmtId="0" fontId="564" fillId="1290" borderId="0" xfId="0" applyFont="1" applyFill="1"/>
    <xf numFmtId="0" fontId="564" fillId="1291" borderId="0" xfId="0" applyFont="1" applyFill="1"/>
    <xf numFmtId="0" fontId="564" fillId="1292" borderId="0" xfId="0" applyFont="1" applyFill="1"/>
    <xf numFmtId="0" fontId="564" fillId="1293" borderId="0" xfId="0" applyFont="1" applyFill="1"/>
    <xf numFmtId="0" fontId="564" fillId="1294" borderId="0" xfId="0" applyFont="1" applyFill="1"/>
    <xf numFmtId="0" fontId="564" fillId="1295" borderId="0" xfId="0" applyFont="1" applyFill="1"/>
    <xf numFmtId="0" fontId="564" fillId="1296" borderId="0" xfId="0" applyFont="1" applyFill="1"/>
    <xf numFmtId="0" fontId="564" fillId="1297" borderId="0" xfId="0" applyFont="1" applyFill="1"/>
    <xf numFmtId="0" fontId="564" fillId="1298" borderId="0" xfId="0" applyFont="1" applyFill="1"/>
    <xf numFmtId="0" fontId="564" fillId="1299" borderId="0" xfId="0" applyFont="1" applyFill="1"/>
    <xf numFmtId="0" fontId="564" fillId="1300" borderId="0" xfId="0" applyFont="1" applyFill="1"/>
    <xf numFmtId="0" fontId="564" fillId="1301" borderId="0" xfId="0" applyFont="1" applyFill="1"/>
    <xf numFmtId="0" fontId="564" fillId="1302" borderId="0" xfId="0" applyFont="1" applyFill="1"/>
    <xf numFmtId="0" fontId="564" fillId="1303" borderId="0" xfId="0" applyFont="1" applyFill="1"/>
    <xf numFmtId="0" fontId="564" fillId="1304" borderId="0" xfId="0" applyFont="1" applyFill="1"/>
    <xf numFmtId="0" fontId="564" fillId="1305" borderId="0" xfId="0" applyFont="1" applyFill="1"/>
    <xf numFmtId="0" fontId="564" fillId="1306" borderId="0" xfId="0" applyFont="1" applyFill="1"/>
    <xf numFmtId="0" fontId="564" fillId="1307" borderId="0" xfId="0" applyFont="1" applyFill="1"/>
    <xf numFmtId="0" fontId="564" fillId="1308" borderId="0" xfId="0" applyFont="1" applyFill="1"/>
    <xf numFmtId="0" fontId="564" fillId="1309" borderId="0" xfId="0" applyFont="1" applyFill="1"/>
    <xf numFmtId="0" fontId="564" fillId="1310" borderId="0" xfId="0" applyFont="1" applyFill="1"/>
    <xf numFmtId="0" fontId="564" fillId="1311" borderId="0" xfId="0" applyFont="1" applyFill="1"/>
    <xf numFmtId="0" fontId="564" fillId="1312" borderId="0" xfId="0" applyFont="1" applyFill="1"/>
    <xf numFmtId="0" fontId="564" fillId="1313" borderId="0" xfId="0" applyFont="1" applyFill="1"/>
    <xf numFmtId="0" fontId="564" fillId="1314" borderId="0" xfId="0" applyFont="1" applyFill="1"/>
    <xf numFmtId="0" fontId="564" fillId="1315" borderId="0" xfId="0" applyFont="1" applyFill="1"/>
    <xf numFmtId="0" fontId="564" fillId="1316" borderId="0" xfId="0" applyFont="1" applyFill="1"/>
    <xf numFmtId="0" fontId="564" fillId="1317" borderId="0" xfId="0" applyFont="1" applyFill="1"/>
    <xf numFmtId="0" fontId="564" fillId="1318" borderId="0" xfId="0" applyFont="1" applyFill="1"/>
    <xf numFmtId="0" fontId="564" fillId="1319" borderId="0" xfId="0" applyFont="1" applyFill="1"/>
    <xf numFmtId="0" fontId="564" fillId="1320" borderId="0" xfId="0" applyFont="1" applyFill="1"/>
    <xf numFmtId="0" fontId="564" fillId="1321" borderId="0" xfId="0" applyFont="1" applyFill="1"/>
    <xf numFmtId="0" fontId="564" fillId="1322" borderId="0" xfId="0" applyFont="1" applyFill="1"/>
    <xf numFmtId="0" fontId="564" fillId="1323" borderId="0" xfId="0" applyFont="1" applyFill="1"/>
    <xf numFmtId="0" fontId="564" fillId="1324" borderId="0" xfId="0" applyFont="1" applyFill="1"/>
    <xf numFmtId="0" fontId="564" fillId="1325" borderId="0" xfId="0" applyFont="1" applyFill="1"/>
    <xf numFmtId="0" fontId="564" fillId="13" borderId="0" xfId="0" applyFont="1" applyFill="1"/>
    <xf numFmtId="0" fontId="564" fillId="1326" borderId="0" xfId="0" applyFont="1" applyFill="1"/>
    <xf numFmtId="0" fontId="564" fillId="1327" borderId="0" xfId="0" applyFont="1" applyFill="1"/>
    <xf numFmtId="0" fontId="564" fillId="1328" borderId="0" xfId="0" applyFont="1" applyFill="1"/>
    <xf numFmtId="0" fontId="564" fillId="1329" borderId="0" xfId="0" applyFont="1" applyFill="1"/>
    <xf numFmtId="0" fontId="564" fillId="1330" borderId="0" xfId="0" applyFont="1" applyFill="1"/>
    <xf numFmtId="0" fontId="564" fillId="1331" borderId="0" xfId="0" applyFont="1" applyFill="1"/>
    <xf numFmtId="0" fontId="564" fillId="1332" borderId="0" xfId="0" applyFont="1" applyFill="1"/>
    <xf numFmtId="0" fontId="564" fillId="1333" borderId="0" xfId="0" applyFont="1" applyFill="1"/>
    <xf numFmtId="0" fontId="564" fillId="1334" borderId="0" xfId="0" applyFont="1" applyFill="1"/>
    <xf numFmtId="0" fontId="564" fillId="1335" borderId="0" xfId="0" applyFont="1" applyFill="1"/>
    <xf numFmtId="0" fontId="564" fillId="748" borderId="0" xfId="0" applyFont="1" applyFill="1"/>
    <xf numFmtId="0" fontId="564" fillId="1336" borderId="0" xfId="0" applyFont="1" applyFill="1"/>
    <xf numFmtId="0" fontId="564" fillId="1337" borderId="0" xfId="0" applyFont="1" applyFill="1"/>
    <xf numFmtId="0" fontId="564" fillId="1338" borderId="0" xfId="0" applyFont="1" applyFill="1"/>
    <xf numFmtId="0" fontId="564" fillId="1339" borderId="0" xfId="0" applyFont="1" applyFill="1"/>
    <xf numFmtId="0" fontId="564" fillId="1340" borderId="0" xfId="0" applyFont="1" applyFill="1"/>
    <xf numFmtId="0" fontId="564" fillId="1341" borderId="0" xfId="0" applyFont="1" applyFill="1"/>
    <xf numFmtId="0" fontId="564" fillId="1193" borderId="0" xfId="0" applyFont="1" applyFill="1"/>
    <xf numFmtId="0" fontId="564" fillId="1342" borderId="0" xfId="0" applyFont="1" applyFill="1"/>
    <xf numFmtId="0" fontId="564" fillId="1343" borderId="0" xfId="0" applyFont="1" applyFill="1"/>
    <xf numFmtId="0" fontId="564" fillId="1344" borderId="0" xfId="0" applyFont="1" applyFill="1"/>
    <xf numFmtId="0" fontId="564" fillId="1345" borderId="0" xfId="0" applyFont="1" applyFill="1"/>
    <xf numFmtId="0" fontId="564" fillId="1346" borderId="0" xfId="0" applyFont="1" applyFill="1"/>
    <xf numFmtId="0" fontId="564" fillId="1347" borderId="0" xfId="0" applyFont="1" applyFill="1"/>
    <xf numFmtId="0" fontId="564" fillId="1348" borderId="0" xfId="0" applyFont="1" applyFill="1"/>
    <xf numFmtId="0" fontId="564" fillId="1349" borderId="0" xfId="0" applyFont="1" applyFill="1"/>
    <xf numFmtId="0" fontId="564" fillId="1350" borderId="0" xfId="0" applyFont="1" applyFill="1"/>
    <xf numFmtId="0" fontId="564" fillId="1351" borderId="0" xfId="0" applyFont="1" applyFill="1"/>
    <xf numFmtId="0" fontId="564" fillId="1352" borderId="0" xfId="0" applyFont="1" applyFill="1"/>
    <xf numFmtId="0" fontId="564" fillId="1353" borderId="0" xfId="0" applyFont="1" applyFill="1"/>
    <xf numFmtId="0" fontId="564" fillId="1354" borderId="0" xfId="0" applyFont="1" applyFill="1"/>
    <xf numFmtId="0" fontId="564" fillId="1355" borderId="0" xfId="0" applyFont="1" applyFill="1"/>
    <xf numFmtId="0" fontId="564" fillId="1356" borderId="0" xfId="0" applyFont="1" applyFill="1"/>
    <xf numFmtId="0" fontId="564" fillId="1357" borderId="0" xfId="0" applyFont="1" applyFill="1"/>
    <xf numFmtId="0" fontId="564" fillId="1358" borderId="0" xfId="0" applyFont="1" applyFill="1"/>
    <xf numFmtId="0" fontId="564" fillId="1359" borderId="0" xfId="0" applyFont="1" applyFill="1"/>
    <xf numFmtId="0" fontId="564" fillId="1360" borderId="0" xfId="0" applyFont="1" applyFill="1"/>
    <xf numFmtId="0" fontId="564" fillId="1361" borderId="0" xfId="0" applyFont="1" applyFill="1"/>
    <xf numFmtId="0" fontId="564" fillId="1362" borderId="0" xfId="0" applyFont="1" applyFill="1"/>
    <xf numFmtId="0" fontId="564" fillId="1363" borderId="0" xfId="0" applyFont="1" applyFill="1"/>
    <xf numFmtId="0" fontId="564" fillId="1364" borderId="0" xfId="0" applyFont="1" applyFill="1"/>
    <xf numFmtId="0" fontId="564" fillId="1365" borderId="0" xfId="0" applyFont="1" applyFill="1"/>
    <xf numFmtId="0" fontId="564" fillId="1366" borderId="0" xfId="0" applyFont="1" applyFill="1"/>
    <xf numFmtId="0" fontId="564" fillId="1367" borderId="0" xfId="0" applyFont="1" applyFill="1"/>
    <xf numFmtId="0" fontId="564" fillId="1368" borderId="0" xfId="0" applyFont="1" applyFill="1"/>
    <xf numFmtId="0" fontId="564" fillId="1369" borderId="0" xfId="0" applyFont="1" applyFill="1"/>
    <xf numFmtId="0" fontId="564" fillId="1370" borderId="0" xfId="0" applyFont="1" applyFill="1"/>
    <xf numFmtId="0" fontId="564" fillId="1371" borderId="0" xfId="0" applyFont="1" applyFill="1"/>
    <xf numFmtId="0" fontId="564" fillId="1372" borderId="0" xfId="0" applyFont="1" applyFill="1"/>
    <xf numFmtId="0" fontId="564" fillId="1373" borderId="0" xfId="0" applyFont="1" applyFill="1"/>
    <xf numFmtId="0" fontId="564" fillId="1374" borderId="0" xfId="0" applyFont="1" applyFill="1"/>
    <xf numFmtId="0" fontId="564" fillId="1375" borderId="0" xfId="0" applyFont="1" applyFill="1"/>
    <xf numFmtId="0" fontId="564" fillId="1376" borderId="0" xfId="0" applyFont="1" applyFill="1"/>
    <xf numFmtId="0" fontId="564" fillId="1377" borderId="0" xfId="0" applyFont="1" applyFill="1"/>
    <xf numFmtId="0" fontId="564" fillId="1378" borderId="0" xfId="0" applyFont="1" applyFill="1"/>
    <xf numFmtId="0" fontId="564" fillId="1379" borderId="0" xfId="0" applyFont="1" applyFill="1"/>
    <xf numFmtId="0" fontId="564" fillId="1380" borderId="0" xfId="0" applyFont="1" applyFill="1"/>
    <xf numFmtId="0" fontId="564" fillId="1381" borderId="0" xfId="0" applyFont="1" applyFill="1"/>
    <xf numFmtId="0" fontId="564" fillId="1382" borderId="0" xfId="0" applyFont="1" applyFill="1"/>
    <xf numFmtId="0" fontId="564" fillId="1383" borderId="0" xfId="0" applyFont="1" applyFill="1"/>
    <xf numFmtId="0" fontId="564" fillId="1384" borderId="0" xfId="0" applyFont="1" applyFill="1"/>
    <xf numFmtId="0" fontId="564" fillId="1385" borderId="0" xfId="0" applyFont="1" applyFill="1"/>
    <xf numFmtId="0" fontId="564" fillId="1386" borderId="0" xfId="0" applyFont="1" applyFill="1"/>
    <xf numFmtId="0" fontId="564" fillId="1387" borderId="0" xfId="0" applyFont="1" applyFill="1"/>
    <xf numFmtId="0" fontId="564" fillId="1388" borderId="0" xfId="0" applyFont="1" applyFill="1"/>
    <xf numFmtId="0" fontId="564" fillId="1389" borderId="0" xfId="0" applyFont="1" applyFill="1"/>
    <xf numFmtId="0" fontId="564" fillId="1390" borderId="0" xfId="0" applyFont="1" applyFill="1"/>
    <xf numFmtId="0" fontId="564" fillId="1391" borderId="0" xfId="0" applyFont="1" applyFill="1"/>
    <xf numFmtId="0" fontId="564" fillId="1392" borderId="0" xfId="0" applyFont="1" applyFill="1"/>
    <xf numFmtId="0" fontId="564" fillId="1393" borderId="0" xfId="0" applyFont="1" applyFill="1"/>
    <xf numFmtId="0" fontId="564" fillId="1394" borderId="0" xfId="0" applyFont="1" applyFill="1"/>
    <xf numFmtId="0" fontId="564" fillId="1395" borderId="0" xfId="0" applyFont="1" applyFill="1"/>
    <xf numFmtId="0" fontId="564" fillId="1396" borderId="0" xfId="0" applyFont="1" applyFill="1"/>
    <xf numFmtId="0" fontId="564" fillId="1397" borderId="0" xfId="0" applyFont="1" applyFill="1"/>
    <xf numFmtId="0" fontId="564" fillId="1398" borderId="0" xfId="0" applyFont="1" applyFill="1"/>
    <xf numFmtId="0" fontId="564" fillId="1399" borderId="0" xfId="0" applyFont="1" applyFill="1"/>
    <xf numFmtId="0" fontId="564" fillId="1400" borderId="0" xfId="0" applyFont="1" applyFill="1"/>
    <xf numFmtId="0" fontId="564" fillId="1401" borderId="0" xfId="0" applyFont="1" applyFill="1"/>
    <xf numFmtId="0" fontId="564" fillId="1402" borderId="0" xfId="0" applyFont="1" applyFill="1"/>
    <xf numFmtId="0" fontId="564" fillId="1403" borderId="0" xfId="0" applyFont="1" applyFill="1"/>
    <xf numFmtId="0" fontId="564" fillId="1404" borderId="0" xfId="0" applyFont="1" applyFill="1"/>
    <xf numFmtId="0" fontId="564" fillId="1405" borderId="0" xfId="0" applyFont="1" applyFill="1"/>
    <xf numFmtId="0" fontId="564" fillId="1406" borderId="0" xfId="0" applyFont="1" applyFill="1"/>
    <xf numFmtId="0" fontId="564" fillId="1407" borderId="0" xfId="0" applyFont="1" applyFill="1"/>
    <xf numFmtId="0" fontId="564" fillId="1408" borderId="0" xfId="0" applyFont="1" applyFill="1"/>
    <xf numFmtId="0" fontId="564" fillId="1409" borderId="0" xfId="0" applyFont="1" applyFill="1"/>
    <xf numFmtId="0" fontId="564" fillId="1410" borderId="0" xfId="0" applyFont="1" applyFill="1"/>
    <xf numFmtId="0" fontId="564" fillId="1411" borderId="0" xfId="0" applyFont="1" applyFill="1"/>
    <xf numFmtId="0" fontId="564" fillId="1412" borderId="0" xfId="0" applyFont="1" applyFill="1"/>
    <xf numFmtId="0" fontId="564" fillId="1413" borderId="0" xfId="0" applyFont="1" applyFill="1"/>
    <xf numFmtId="0" fontId="564" fillId="1414" borderId="0" xfId="0" applyFont="1" applyFill="1"/>
    <xf numFmtId="0" fontId="564" fillId="1415" borderId="0" xfId="0" applyFont="1" applyFill="1"/>
    <xf numFmtId="0" fontId="564" fillId="1416" borderId="0" xfId="0" applyFont="1" applyFill="1"/>
    <xf numFmtId="0" fontId="564" fillId="1417" borderId="0" xfId="0" applyFont="1" applyFill="1"/>
    <xf numFmtId="0" fontId="564" fillId="1418" borderId="0" xfId="0" applyFont="1" applyFill="1"/>
    <xf numFmtId="0" fontId="564" fillId="1419" borderId="0" xfId="0" applyFont="1" applyFill="1"/>
    <xf numFmtId="0" fontId="564" fillId="246" borderId="0" xfId="0" applyFont="1" applyFill="1"/>
    <xf numFmtId="0" fontId="564" fillId="1420" borderId="0" xfId="0" applyFont="1" applyFill="1"/>
    <xf numFmtId="0" fontId="564" fillId="1421" borderId="0" xfId="0" applyFont="1" applyFill="1"/>
    <xf numFmtId="0" fontId="564" fillId="1422" borderId="0" xfId="0" applyFont="1" applyFill="1"/>
    <xf numFmtId="0" fontId="564" fillId="1423" borderId="0" xfId="0" applyFont="1" applyFill="1"/>
    <xf numFmtId="0" fontId="564" fillId="1424" borderId="0" xfId="0" applyFont="1" applyFill="1"/>
    <xf numFmtId="0" fontId="564" fillId="1425" borderId="0" xfId="0" applyFont="1" applyFill="1"/>
    <xf numFmtId="0" fontId="564" fillId="1426" borderId="0" xfId="0" applyFont="1" applyFill="1"/>
    <xf numFmtId="0" fontId="564" fillId="1427" borderId="0" xfId="0" applyFont="1" applyFill="1"/>
    <xf numFmtId="0" fontId="564" fillId="1428" borderId="0" xfId="0" applyFont="1" applyFill="1"/>
    <xf numFmtId="0" fontId="564" fillId="1429" borderId="0" xfId="0" applyFont="1" applyFill="1"/>
    <xf numFmtId="0" fontId="564" fillId="1430" borderId="0" xfId="0" applyFont="1" applyFill="1"/>
    <xf numFmtId="0" fontId="564" fillId="1431" borderId="0" xfId="0" applyFont="1" applyFill="1"/>
    <xf numFmtId="0" fontId="564" fillId="1432" borderId="0" xfId="0" applyFont="1" applyFill="1"/>
    <xf numFmtId="0" fontId="564" fillId="1433" borderId="0" xfId="0" applyFont="1" applyFill="1"/>
    <xf numFmtId="0" fontId="564" fillId="1434" borderId="0" xfId="0" applyFont="1" applyFill="1"/>
    <xf numFmtId="0" fontId="564" fillId="1435" borderId="0" xfId="0" applyFont="1" applyFill="1"/>
    <xf numFmtId="0" fontId="564" fillId="1436" borderId="0" xfId="0" applyFont="1" applyFill="1"/>
    <xf numFmtId="0" fontId="564" fillId="1437" borderId="0" xfId="0" applyFont="1" applyFill="1"/>
    <xf numFmtId="0" fontId="564" fillId="1438" borderId="0" xfId="0" applyFont="1" applyFill="1"/>
    <xf numFmtId="0" fontId="564" fillId="1439" borderId="0" xfId="0" applyFont="1" applyFill="1"/>
    <xf numFmtId="0" fontId="564" fillId="1440" borderId="0" xfId="0" applyFont="1" applyFill="1"/>
    <xf numFmtId="0" fontId="564" fillId="1441" borderId="0" xfId="0" applyFont="1" applyFill="1"/>
    <xf numFmtId="0" fontId="564" fillId="1442" borderId="0" xfId="0" applyFont="1" applyFill="1"/>
    <xf numFmtId="0" fontId="564" fillId="1443" borderId="0" xfId="0" applyFont="1" applyFill="1"/>
    <xf numFmtId="0" fontId="564" fillId="1444" borderId="0" xfId="0" applyFont="1" applyFill="1"/>
    <xf numFmtId="0" fontId="564" fillId="1445" borderId="0" xfId="0" applyFont="1" applyFill="1"/>
    <xf numFmtId="0" fontId="564" fillId="1446" borderId="0" xfId="0" applyFont="1" applyFill="1"/>
    <xf numFmtId="0" fontId="564" fillId="1447" borderId="0" xfId="0" applyFont="1" applyFill="1"/>
    <xf numFmtId="0" fontId="564" fillId="1448" borderId="0" xfId="0" applyFont="1" applyFill="1"/>
    <xf numFmtId="0" fontId="564" fillId="1449" borderId="0" xfId="0" applyFont="1" applyFill="1"/>
    <xf numFmtId="0" fontId="564" fillId="1450" borderId="0" xfId="0" applyFont="1" applyFill="1"/>
    <xf numFmtId="0" fontId="564" fillId="1451" borderId="0" xfId="0" applyFont="1" applyFill="1"/>
    <xf numFmtId="0" fontId="564" fillId="1452" borderId="0" xfId="0" applyFont="1" applyFill="1"/>
    <xf numFmtId="0" fontId="564" fillId="1453" borderId="0" xfId="0" applyFont="1" applyFill="1"/>
    <xf numFmtId="0" fontId="564" fillId="1454" borderId="0" xfId="0" applyFont="1" applyFill="1"/>
    <xf numFmtId="0" fontId="564" fillId="1165" borderId="0" xfId="0" applyFont="1" applyFill="1"/>
    <xf numFmtId="0" fontId="564" fillId="1455" borderId="0" xfId="0" applyFont="1" applyFill="1"/>
    <xf numFmtId="0" fontId="564" fillId="1456" borderId="0" xfId="0" applyFont="1" applyFill="1"/>
    <xf numFmtId="0" fontId="564" fillId="1457" borderId="0" xfId="0" applyFont="1" applyFill="1"/>
    <xf numFmtId="0" fontId="564" fillId="1458" borderId="0" xfId="0" applyFont="1" applyFill="1"/>
    <xf numFmtId="0" fontId="564" fillId="1459" borderId="0" xfId="0" applyFont="1" applyFill="1"/>
    <xf numFmtId="0" fontId="564" fillId="1460" borderId="0" xfId="0" applyFont="1" applyFill="1"/>
    <xf numFmtId="0" fontId="564" fillId="1461" borderId="0" xfId="0" applyFont="1" applyFill="1"/>
    <xf numFmtId="0" fontId="564" fillId="1462" borderId="0" xfId="0" applyFont="1" applyFill="1"/>
    <xf numFmtId="0" fontId="564" fillId="1463" borderId="0" xfId="0" applyFont="1" applyFill="1"/>
    <xf numFmtId="0" fontId="564" fillId="1464" borderId="0" xfId="0" applyFont="1" applyFill="1"/>
    <xf numFmtId="0" fontId="564" fillId="1465" borderId="0" xfId="0" applyFont="1" applyFill="1"/>
    <xf numFmtId="0" fontId="564" fillId="1466" borderId="0" xfId="0" applyFont="1" applyFill="1"/>
    <xf numFmtId="0" fontId="564" fillId="1467" borderId="0" xfId="0" applyFont="1" applyFill="1"/>
    <xf numFmtId="0" fontId="564" fillId="1468" borderId="0" xfId="0" applyFont="1" applyFill="1"/>
    <xf numFmtId="0" fontId="564" fillId="1469" borderId="0" xfId="0" applyFont="1" applyFill="1"/>
    <xf numFmtId="0" fontId="564" fillId="1470" borderId="0" xfId="0" applyFont="1" applyFill="1"/>
    <xf numFmtId="0" fontId="564" fillId="1471" borderId="0" xfId="0" applyFont="1" applyFill="1"/>
    <xf numFmtId="0" fontId="564" fillId="1472" borderId="0" xfId="0" applyFont="1" applyFill="1"/>
    <xf numFmtId="0" fontId="564" fillId="1473" borderId="0" xfId="0" applyFont="1" applyFill="1"/>
    <xf numFmtId="0" fontId="564" fillId="1474" borderId="0" xfId="0" applyFont="1" applyFill="1"/>
    <xf numFmtId="0" fontId="564" fillId="1475" borderId="0" xfId="0" applyFont="1" applyFill="1"/>
    <xf numFmtId="0" fontId="564" fillId="1476" borderId="0" xfId="0" applyFont="1" applyFill="1"/>
    <xf numFmtId="0" fontId="564" fillId="1477" borderId="0" xfId="0" applyFont="1" applyFill="1"/>
    <xf numFmtId="0" fontId="564" fillId="1478" borderId="0" xfId="0" applyFont="1" applyFill="1"/>
    <xf numFmtId="0" fontId="564" fillId="1479" borderId="0" xfId="0" applyFont="1" applyFill="1"/>
    <xf numFmtId="0" fontId="564" fillId="1480" borderId="0" xfId="0" applyFont="1" applyFill="1"/>
    <xf numFmtId="0" fontId="564" fillId="1481" borderId="0" xfId="0" applyFont="1" applyFill="1"/>
    <xf numFmtId="0" fontId="564" fillId="1482" borderId="0" xfId="0" applyFont="1" applyFill="1"/>
    <xf numFmtId="0" fontId="564" fillId="1483" borderId="0" xfId="0" applyFont="1" applyFill="1"/>
    <xf numFmtId="0" fontId="564" fillId="1484" borderId="0" xfId="0" applyFont="1" applyFill="1"/>
    <xf numFmtId="0" fontId="564" fillId="1485" borderId="0" xfId="0" applyFont="1" applyFill="1"/>
    <xf numFmtId="0" fontId="564" fillId="1486" borderId="0" xfId="0" applyFont="1" applyFill="1"/>
    <xf numFmtId="0" fontId="564" fillId="1487" borderId="0" xfId="0" applyFont="1" applyFill="1"/>
    <xf numFmtId="0" fontId="564" fillId="1488" borderId="0" xfId="0" applyFont="1" applyFill="1"/>
    <xf numFmtId="0" fontId="564" fillId="1489" borderId="0" xfId="0" applyFont="1" applyFill="1"/>
    <xf numFmtId="0" fontId="564" fillId="1490" borderId="0" xfId="0" applyFont="1" applyFill="1"/>
    <xf numFmtId="0" fontId="564" fillId="1491" borderId="0" xfId="0" applyFont="1" applyFill="1"/>
    <xf numFmtId="0" fontId="564" fillId="1492" borderId="0" xfId="0" applyFont="1" applyFill="1"/>
    <xf numFmtId="0" fontId="564" fillId="1493" borderId="0" xfId="0" applyFont="1" applyFill="1"/>
    <xf numFmtId="0" fontId="564" fillId="1494" borderId="0" xfId="0" applyFont="1" applyFill="1"/>
    <xf numFmtId="0" fontId="564" fillId="1495" borderId="0" xfId="0" applyFont="1" applyFill="1"/>
    <xf numFmtId="0" fontId="564" fillId="1496" borderId="0" xfId="0" applyFont="1" applyFill="1"/>
    <xf numFmtId="0" fontId="564" fillId="1497" borderId="0" xfId="0" applyFont="1" applyFill="1"/>
    <xf numFmtId="0" fontId="564" fillId="1498" borderId="0" xfId="0" applyFont="1" applyFill="1"/>
    <xf numFmtId="0" fontId="564" fillId="1499" borderId="0" xfId="0" applyFont="1" applyFill="1"/>
    <xf numFmtId="0" fontId="564" fillId="1500" borderId="0" xfId="0" applyFont="1" applyFill="1"/>
    <xf numFmtId="0" fontId="564" fillId="1501" borderId="0" xfId="0" applyFont="1" applyFill="1"/>
    <xf numFmtId="0" fontId="564" fillId="1502" borderId="0" xfId="0" applyFont="1" applyFill="1"/>
    <xf numFmtId="0" fontId="564" fillId="1503" borderId="0" xfId="0" applyFont="1" applyFill="1"/>
    <xf numFmtId="0" fontId="564" fillId="1504" borderId="0" xfId="0" applyFont="1" applyFill="1"/>
    <xf numFmtId="0" fontId="564" fillId="1505" borderId="0" xfId="0" applyFont="1" applyFill="1"/>
    <xf numFmtId="0" fontId="564" fillId="1506" borderId="0" xfId="0" applyFont="1" applyFill="1"/>
    <xf numFmtId="0" fontId="564" fillId="1507" borderId="0" xfId="0" applyFont="1" applyFill="1"/>
    <xf numFmtId="0" fontId="564" fillId="1508" borderId="0" xfId="0" applyFont="1" applyFill="1"/>
    <xf numFmtId="0" fontId="564" fillId="1509" borderId="0" xfId="0" applyFont="1" applyFill="1"/>
    <xf numFmtId="0" fontId="564" fillId="42" borderId="0" xfId="0" applyFont="1" applyFill="1"/>
    <xf numFmtId="0" fontId="564" fillId="1510" borderId="0" xfId="0" applyFont="1" applyFill="1"/>
    <xf numFmtId="0" fontId="564" fillId="1511" borderId="0" xfId="0" applyFont="1" applyFill="1"/>
    <xf numFmtId="0" fontId="564" fillId="1512" borderId="0" xfId="0" applyFont="1" applyFill="1"/>
    <xf numFmtId="0" fontId="564" fillId="1513" borderId="0" xfId="0" applyFont="1" applyFill="1"/>
    <xf numFmtId="0" fontId="564" fillId="1514" borderId="0" xfId="0" applyFont="1" applyFill="1"/>
    <xf numFmtId="0" fontId="564" fillId="1515" borderId="0" xfId="0" applyFont="1" applyFill="1"/>
    <xf numFmtId="0" fontId="564" fillId="1516" borderId="0" xfId="0" applyFont="1" applyFill="1"/>
    <xf numFmtId="0" fontId="564" fillId="1517" borderId="0" xfId="0" applyFont="1" applyFill="1"/>
    <xf numFmtId="0" fontId="564" fillId="1518" borderId="0" xfId="0" applyFont="1" applyFill="1"/>
    <xf numFmtId="0" fontId="564" fillId="1519" borderId="0" xfId="0" applyFont="1" applyFill="1"/>
    <xf numFmtId="0" fontId="564" fillId="1520" borderId="0" xfId="0" applyFont="1" applyFill="1"/>
    <xf numFmtId="0" fontId="564" fillId="1521" borderId="0" xfId="0" applyFont="1" applyFill="1"/>
    <xf numFmtId="0" fontId="564" fillId="370" borderId="0" xfId="0" applyFont="1" applyFill="1"/>
    <xf numFmtId="0" fontId="564" fillId="1522" borderId="0" xfId="0" applyFont="1" applyFill="1"/>
    <xf numFmtId="0" fontId="564" fillId="1523" borderId="0" xfId="0" applyFont="1" applyFill="1"/>
    <xf numFmtId="0" fontId="564" fillId="1524" borderId="0" xfId="0" applyFont="1" applyFill="1"/>
    <xf numFmtId="0" fontId="564" fillId="1525" borderId="0" xfId="0" applyFont="1" applyFill="1"/>
    <xf numFmtId="0" fontId="564" fillId="1526" borderId="0" xfId="0" applyFont="1" applyFill="1"/>
    <xf numFmtId="0" fontId="564" fillId="1527" borderId="0" xfId="0" applyFont="1" applyFill="1"/>
    <xf numFmtId="0" fontId="564" fillId="1528" borderId="0" xfId="0" applyFont="1" applyFill="1"/>
    <xf numFmtId="0" fontId="564" fillId="1529" borderId="0" xfId="0" applyFont="1" applyFill="1"/>
    <xf numFmtId="0" fontId="564" fillId="1530" borderId="0" xfId="0" applyFont="1" applyFill="1"/>
    <xf numFmtId="0" fontId="564" fillId="1531" borderId="0" xfId="0" applyFont="1" applyFill="1"/>
    <xf numFmtId="0" fontId="564" fillId="1532" borderId="0" xfId="0" applyFont="1" applyFill="1"/>
    <xf numFmtId="0" fontId="564" fillId="1533" borderId="0" xfId="0" applyFont="1" applyFill="1"/>
    <xf numFmtId="0" fontId="564" fillId="1534" borderId="0" xfId="0" applyFont="1" applyFill="1"/>
    <xf numFmtId="0" fontId="564" fillId="1535" borderId="0" xfId="0" applyFont="1" applyFill="1"/>
    <xf numFmtId="0" fontId="564" fillId="1536" borderId="0" xfId="0" applyFont="1" applyFill="1"/>
    <xf numFmtId="0" fontId="564" fillId="1537" borderId="0" xfId="0" applyFont="1" applyFill="1"/>
    <xf numFmtId="0" fontId="564" fillId="1538" borderId="0" xfId="0" applyFont="1" applyFill="1"/>
    <xf numFmtId="0" fontId="564" fillId="1539" borderId="0" xfId="0" applyFont="1" applyFill="1"/>
    <xf numFmtId="0" fontId="564" fillId="1540" borderId="0" xfId="0" applyFont="1" applyFill="1"/>
    <xf numFmtId="0" fontId="564" fillId="1541" borderId="0" xfId="0" applyFont="1" applyFill="1"/>
    <xf numFmtId="0" fontId="564" fillId="1542" borderId="0" xfId="0" applyFont="1" applyFill="1"/>
    <xf numFmtId="0" fontId="564" fillId="1543" borderId="0" xfId="0" applyFont="1" applyFill="1"/>
    <xf numFmtId="0" fontId="564" fillId="1544" borderId="0" xfId="0" applyFont="1" applyFill="1"/>
    <xf numFmtId="0" fontId="564" fillId="1545" borderId="0" xfId="0" applyFont="1" applyFill="1"/>
    <xf numFmtId="0" fontId="564" fillId="1546" borderId="0" xfId="0" applyFont="1" applyFill="1"/>
    <xf numFmtId="0" fontId="564" fillId="1547" borderId="0" xfId="0" applyFont="1" applyFill="1"/>
    <xf numFmtId="0" fontId="564" fillId="1548" borderId="0" xfId="0" applyFont="1" applyFill="1"/>
    <xf numFmtId="0" fontId="564" fillId="1549" borderId="0" xfId="0" applyFont="1" applyFill="1"/>
    <xf numFmtId="0" fontId="564" fillId="1550" borderId="0" xfId="0" applyFont="1" applyFill="1"/>
    <xf numFmtId="0" fontId="564" fillId="1551" borderId="0" xfId="0" applyFont="1" applyFill="1"/>
    <xf numFmtId="0" fontId="564" fillId="1552" borderId="0" xfId="0" applyFont="1" applyFill="1"/>
    <xf numFmtId="0" fontId="564" fillId="1553" borderId="0" xfId="0" applyFont="1" applyFill="1"/>
    <xf numFmtId="0" fontId="564" fillId="1554" borderId="0" xfId="0" applyFont="1" applyFill="1"/>
    <xf numFmtId="0" fontId="564" fillId="1555" borderId="0" xfId="0" applyFont="1" applyFill="1"/>
    <xf numFmtId="0" fontId="564" fillId="1556" borderId="0" xfId="0" applyFont="1" applyFill="1"/>
    <xf numFmtId="0" fontId="564" fillId="1557" borderId="0" xfId="0" applyFont="1" applyFill="1"/>
    <xf numFmtId="0" fontId="564" fillId="1558" borderId="0" xfId="0" applyFont="1" applyFill="1"/>
    <xf numFmtId="0" fontId="564" fillId="1559" borderId="0" xfId="0" applyFont="1" applyFill="1"/>
    <xf numFmtId="0" fontId="564" fillId="1560" borderId="0" xfId="0" applyFont="1" applyFill="1"/>
    <xf numFmtId="0" fontId="564" fillId="1561" borderId="0" xfId="0" applyFont="1" applyFill="1"/>
    <xf numFmtId="0" fontId="564" fillId="1562" borderId="0" xfId="0" applyFont="1" applyFill="1"/>
    <xf numFmtId="0" fontId="564" fillId="1563" borderId="0" xfId="0" applyFont="1" applyFill="1"/>
    <xf numFmtId="0" fontId="564" fillId="1564" borderId="0" xfId="0" applyFont="1" applyFill="1"/>
    <xf numFmtId="0" fontId="564" fillId="1565" borderId="0" xfId="0" applyFont="1" applyFill="1"/>
    <xf numFmtId="0" fontId="564" fillId="1566" borderId="0" xfId="0" applyFont="1" applyFill="1"/>
    <xf numFmtId="0" fontId="564" fillId="1567" borderId="0" xfId="0" applyFont="1" applyFill="1"/>
    <xf numFmtId="0" fontId="564" fillId="1568" borderId="0" xfId="0" applyFont="1" applyFill="1"/>
    <xf numFmtId="0" fontId="564" fillId="1569" borderId="0" xfId="0" applyFont="1" applyFill="1"/>
    <xf numFmtId="0" fontId="564" fillId="1570" borderId="0" xfId="0" applyFont="1" applyFill="1"/>
    <xf numFmtId="0" fontId="564" fillId="1571" borderId="0" xfId="0" applyFont="1" applyFill="1"/>
    <xf numFmtId="0" fontId="564" fillId="1572" borderId="0" xfId="0" applyFont="1" applyFill="1"/>
    <xf numFmtId="0" fontId="564" fillId="1573" borderId="0" xfId="0" applyFont="1" applyFill="1"/>
    <xf numFmtId="0" fontId="564" fillId="1574" borderId="0" xfId="0" applyFont="1" applyFill="1"/>
    <xf numFmtId="0" fontId="564" fillId="1575" borderId="0" xfId="0" applyFont="1" applyFill="1"/>
    <xf numFmtId="0" fontId="564" fillId="1576" borderId="0" xfId="0" applyFont="1" applyFill="1"/>
    <xf numFmtId="0" fontId="564" fillId="1577" borderId="0" xfId="0" applyFont="1" applyFill="1"/>
    <xf numFmtId="0" fontId="564" fillId="1578" borderId="0" xfId="0" applyFont="1" applyFill="1"/>
    <xf numFmtId="0" fontId="564" fillId="1579" borderId="0" xfId="0" applyFont="1" applyFill="1"/>
    <xf numFmtId="0" fontId="564" fillId="1580" borderId="0" xfId="0" applyFont="1" applyFill="1"/>
    <xf numFmtId="0" fontId="564" fillId="1581" borderId="0" xfId="0" applyFont="1" applyFill="1"/>
    <xf numFmtId="0" fontId="564" fillId="1582" borderId="0" xfId="0" applyFont="1" applyFill="1"/>
    <xf numFmtId="0" fontId="564" fillId="1583" borderId="0" xfId="0" applyFont="1" applyFill="1"/>
    <xf numFmtId="0" fontId="564" fillId="1584" borderId="0" xfId="0" applyFont="1" applyFill="1"/>
    <xf numFmtId="0" fontId="564" fillId="1585" borderId="0" xfId="0" applyFont="1" applyFill="1"/>
    <xf numFmtId="0" fontId="564" fillId="1586" borderId="0" xfId="0" applyFont="1" applyFill="1"/>
    <xf numFmtId="0" fontId="564" fillId="1587" borderId="0" xfId="0" applyFont="1" applyFill="1"/>
    <xf numFmtId="0" fontId="564" fillId="1588" borderId="0" xfId="0" applyFont="1" applyFill="1"/>
    <xf numFmtId="0" fontId="564" fillId="74" borderId="0" xfId="0" applyFont="1" applyFill="1"/>
    <xf numFmtId="0" fontId="564" fillId="1589" borderId="0" xfId="0" applyFont="1" applyFill="1"/>
    <xf numFmtId="0" fontId="564" fillId="1590" borderId="0" xfId="0" applyFont="1" applyFill="1"/>
    <xf numFmtId="0" fontId="564" fillId="1591" borderId="0" xfId="0" applyFont="1" applyFill="1"/>
    <xf numFmtId="0" fontId="564" fillId="1592" borderId="0" xfId="0" applyFont="1" applyFill="1"/>
    <xf numFmtId="0" fontId="564" fillId="1593" borderId="0" xfId="0" applyFont="1" applyFill="1"/>
    <xf numFmtId="0" fontId="564" fillId="1594" borderId="0" xfId="0" applyFont="1" applyFill="1"/>
    <xf numFmtId="0" fontId="564" fillId="1595" borderId="0" xfId="0" applyFont="1" applyFill="1"/>
    <xf numFmtId="0" fontId="564" fillId="1596" borderId="0" xfId="0" applyFont="1" applyFill="1"/>
    <xf numFmtId="0" fontId="564" fillId="1597" borderId="0" xfId="0" applyFont="1" applyFill="1"/>
    <xf numFmtId="0" fontId="564" fillId="1598" borderId="0" xfId="0" applyFont="1" applyFill="1"/>
    <xf numFmtId="0" fontId="564" fillId="1599" borderId="0" xfId="0" applyFont="1" applyFill="1"/>
    <xf numFmtId="0" fontId="564" fillId="1600" borderId="0" xfId="0" applyFont="1" applyFill="1"/>
    <xf numFmtId="0" fontId="564" fillId="1601" borderId="0" xfId="0" applyFont="1" applyFill="1"/>
    <xf numFmtId="0" fontId="564" fillId="1602" borderId="0" xfId="0" applyFont="1" applyFill="1"/>
    <xf numFmtId="0" fontId="564" fillId="1603" borderId="0" xfId="0" applyFont="1" applyFill="1"/>
    <xf numFmtId="0" fontId="564" fillId="1604" borderId="0" xfId="0" applyFont="1" applyFill="1"/>
    <xf numFmtId="0" fontId="564" fillId="1605" borderId="0" xfId="0" applyFont="1" applyFill="1"/>
    <xf numFmtId="0" fontId="564" fillId="1606" borderId="0" xfId="0" applyFont="1" applyFill="1"/>
    <xf numFmtId="0" fontId="564" fillId="1607" borderId="0" xfId="0" applyFont="1" applyFill="1"/>
    <xf numFmtId="0" fontId="564" fillId="1608" borderId="0" xfId="0" applyFont="1" applyFill="1"/>
    <xf numFmtId="0" fontId="564" fillId="1609" borderId="0" xfId="0" applyFont="1" applyFill="1"/>
    <xf numFmtId="0" fontId="564" fillId="1610" borderId="0" xfId="0" applyFont="1" applyFill="1"/>
    <xf numFmtId="0" fontId="564" fillId="1611" borderId="0" xfId="0" applyFont="1" applyFill="1"/>
    <xf numFmtId="0" fontId="564" fillId="1612" borderId="0" xfId="0" applyFont="1" applyFill="1"/>
    <xf numFmtId="0" fontId="564" fillId="1613" borderId="0" xfId="0" applyFont="1" applyFill="1"/>
    <xf numFmtId="0" fontId="564" fillId="1614" borderId="0" xfId="0" applyFont="1" applyFill="1"/>
    <xf numFmtId="0" fontId="564" fillId="1615" borderId="0" xfId="0" applyFont="1" applyFill="1"/>
    <xf numFmtId="0" fontId="564" fillId="1616" borderId="0" xfId="0" applyFont="1" applyFill="1"/>
    <xf numFmtId="0" fontId="564" fillId="1617" borderId="0" xfId="0" applyFont="1" applyFill="1"/>
    <xf numFmtId="0" fontId="564" fillId="1618" borderId="0" xfId="0" applyFont="1" applyFill="1"/>
    <xf numFmtId="0" fontId="564" fillId="1619" borderId="0" xfId="0" applyFont="1" applyFill="1"/>
    <xf numFmtId="0" fontId="564" fillId="1620" borderId="0" xfId="0" applyFont="1" applyFill="1"/>
    <xf numFmtId="0" fontId="564" fillId="1621" borderId="0" xfId="0" applyFont="1" applyFill="1"/>
    <xf numFmtId="0" fontId="564" fillId="1622" borderId="0" xfId="0" applyFont="1" applyFill="1"/>
    <xf numFmtId="0" fontId="564" fillId="1623" borderId="0" xfId="0" applyFont="1" applyFill="1"/>
    <xf numFmtId="0" fontId="564" fillId="1624" borderId="0" xfId="0" applyFont="1" applyFill="1"/>
    <xf numFmtId="0" fontId="564" fillId="1625" borderId="0" xfId="0" applyFont="1" applyFill="1"/>
    <xf numFmtId="0" fontId="564" fillId="1626" borderId="0" xfId="0" applyFont="1" applyFill="1"/>
    <xf numFmtId="0" fontId="564" fillId="1627" borderId="0" xfId="0" applyFont="1" applyFill="1"/>
    <xf numFmtId="0" fontId="564" fillId="1628" borderId="0" xfId="0" applyFont="1" applyFill="1"/>
    <xf numFmtId="0" fontId="564" fillId="1629" borderId="0" xfId="0" applyFont="1" applyFill="1"/>
    <xf numFmtId="0" fontId="564" fillId="1630" borderId="0" xfId="0" applyFont="1" applyFill="1"/>
    <xf numFmtId="0" fontId="564" fillId="1631" borderId="0" xfId="0" applyFont="1" applyFill="1"/>
    <xf numFmtId="0" fontId="564" fillId="1632" borderId="0" xfId="0" applyFont="1" applyFill="1"/>
    <xf numFmtId="0" fontId="564" fillId="1633" borderId="0" xfId="0" applyFont="1" applyFill="1"/>
    <xf numFmtId="0" fontId="564" fillId="1634" borderId="0" xfId="0" applyFont="1" applyFill="1"/>
    <xf numFmtId="0" fontId="564" fillId="1635" borderId="0" xfId="0" applyFont="1" applyFill="1"/>
    <xf numFmtId="0" fontId="564" fillId="1636" borderId="0" xfId="0" applyFont="1" applyFill="1"/>
    <xf numFmtId="0" fontId="564" fillId="1637" borderId="0" xfId="0" applyFont="1" applyFill="1"/>
    <xf numFmtId="0" fontId="564" fillId="1638" borderId="0" xfId="0" applyFont="1" applyFill="1"/>
    <xf numFmtId="0" fontId="564" fillId="1639" borderId="0" xfId="0" applyFont="1" applyFill="1"/>
    <xf numFmtId="0" fontId="564" fillId="1640" borderId="0" xfId="0" applyFont="1" applyFill="1"/>
    <xf numFmtId="0" fontId="564" fillId="1641" borderId="0" xfId="0" applyFont="1" applyFill="1"/>
    <xf numFmtId="0" fontId="564" fillId="1642" borderId="0" xfId="0" applyFont="1" applyFill="1"/>
    <xf numFmtId="0" fontId="564" fillId="1643" borderId="0" xfId="0" applyFont="1" applyFill="1"/>
    <xf numFmtId="0" fontId="564" fillId="1644" borderId="0" xfId="0" applyFont="1" applyFill="1"/>
    <xf numFmtId="0" fontId="564" fillId="1645" borderId="0" xfId="0" applyFont="1" applyFill="1"/>
    <xf numFmtId="0" fontId="564" fillId="1646" borderId="0" xfId="0" applyFont="1" applyFill="1"/>
    <xf numFmtId="0" fontId="564" fillId="1647" borderId="0" xfId="0" applyFont="1" applyFill="1"/>
    <xf numFmtId="0" fontId="564" fillId="1648" borderId="0" xfId="0" applyFont="1" applyFill="1"/>
    <xf numFmtId="0" fontId="564" fillId="1649" borderId="0" xfId="0" applyFont="1" applyFill="1"/>
    <xf numFmtId="0" fontId="564" fillId="1650" borderId="0" xfId="0" applyFont="1" applyFill="1"/>
    <xf numFmtId="0" fontId="564" fillId="1651" borderId="0" xfId="0" applyFont="1" applyFill="1"/>
    <xf numFmtId="0" fontId="564" fillId="1652" borderId="0" xfId="0" applyFont="1" applyFill="1"/>
    <xf numFmtId="0" fontId="564" fillId="1653" borderId="0" xfId="0" applyFont="1" applyFill="1"/>
    <xf numFmtId="0" fontId="564" fillId="1654" borderId="0" xfId="0" applyFont="1" applyFill="1"/>
    <xf numFmtId="0" fontId="564" fillId="1655" borderId="0" xfId="0" applyFont="1" applyFill="1"/>
    <xf numFmtId="0" fontId="564" fillId="1656" borderId="0" xfId="0" applyFont="1" applyFill="1"/>
    <xf numFmtId="0" fontId="564" fillId="1657" borderId="0" xfId="0" applyFont="1" applyFill="1"/>
    <xf numFmtId="0" fontId="564" fillId="1658" borderId="0" xfId="0" applyFont="1" applyFill="1"/>
    <xf numFmtId="0" fontId="564" fillId="1659" borderId="0" xfId="0" applyFont="1" applyFill="1"/>
    <xf numFmtId="0" fontId="564" fillId="1660" borderId="0" xfId="0" applyFont="1" applyFill="1"/>
    <xf numFmtId="0" fontId="564" fillId="1661" borderId="0" xfId="0" applyFont="1" applyFill="1"/>
    <xf numFmtId="0" fontId="564" fillId="1662" borderId="0" xfId="0" applyFont="1" applyFill="1"/>
    <xf numFmtId="0" fontId="564" fillId="1663" borderId="0" xfId="0" applyFont="1" applyFill="1"/>
    <xf numFmtId="0" fontId="564" fillId="1664" borderId="0" xfId="0" applyFont="1" applyFill="1"/>
    <xf numFmtId="0" fontId="564" fillId="1665" borderId="0" xfId="0" applyFont="1" applyFill="1"/>
    <xf numFmtId="0" fontId="564" fillId="1666" borderId="0" xfId="0" applyFont="1" applyFill="1"/>
    <xf numFmtId="0" fontId="564" fillId="1667" borderId="0" xfId="0" applyFont="1" applyFill="1"/>
    <xf numFmtId="0" fontId="564" fillId="1668" borderId="0" xfId="0" applyFont="1" applyFill="1"/>
    <xf numFmtId="0" fontId="564" fillId="1669" borderId="0" xfId="0" applyFont="1" applyFill="1"/>
    <xf numFmtId="0" fontId="564" fillId="1670" borderId="0" xfId="0" applyFont="1" applyFill="1"/>
    <xf numFmtId="0" fontId="564" fillId="1671" borderId="0" xfId="0" applyFont="1" applyFill="1"/>
    <xf numFmtId="0" fontId="564" fillId="1672" borderId="0" xfId="0" applyFont="1" applyFill="1"/>
    <xf numFmtId="0" fontId="564" fillId="1673" borderId="0" xfId="0" applyFont="1" applyFill="1"/>
    <xf numFmtId="0" fontId="564" fillId="1674" borderId="0" xfId="0" applyFont="1" applyFill="1"/>
    <xf numFmtId="0" fontId="564" fillId="1675" borderId="0" xfId="0" applyFont="1" applyFill="1"/>
    <xf numFmtId="0" fontId="564" fillId="1676" borderId="0" xfId="0" applyFont="1" applyFill="1"/>
    <xf numFmtId="0" fontId="564" fillId="1677" borderId="0" xfId="0" applyFont="1" applyFill="1"/>
    <xf numFmtId="0" fontId="564" fillId="1678" borderId="0" xfId="0" applyFont="1" applyFill="1"/>
    <xf numFmtId="0" fontId="564" fillId="1679" borderId="0" xfId="0" applyFont="1" applyFill="1"/>
    <xf numFmtId="0" fontId="564" fillId="1680" borderId="0" xfId="0" applyFont="1" applyFill="1"/>
    <xf numFmtId="0" fontId="564" fillId="1681" borderId="0" xfId="0" applyFont="1" applyFill="1"/>
    <xf numFmtId="0" fontId="564" fillId="1682" borderId="0" xfId="0" applyFont="1" applyFill="1"/>
    <xf numFmtId="0" fontId="564" fillId="1683" borderId="0" xfId="0" applyFont="1" applyFill="1"/>
    <xf numFmtId="0" fontId="564" fillId="1684" borderId="0" xfId="0" applyFont="1" applyFill="1"/>
    <xf numFmtId="0" fontId="564" fillId="1685" borderId="0" xfId="0" applyFont="1" applyFill="1"/>
    <xf numFmtId="0" fontId="564" fillId="1686" borderId="0" xfId="0" applyFont="1" applyFill="1"/>
    <xf numFmtId="0" fontId="564" fillId="1687" borderId="0" xfId="0" applyFont="1" applyFill="1"/>
    <xf numFmtId="0" fontId="564" fillId="1688" borderId="0" xfId="0" applyFont="1" applyFill="1"/>
    <xf numFmtId="0" fontId="564" fillId="1689" borderId="0" xfId="0" applyFont="1" applyFill="1"/>
    <xf numFmtId="0" fontId="564" fillId="1690" borderId="0" xfId="0" applyFont="1" applyFill="1"/>
    <xf numFmtId="0" fontId="564" fillId="1691" borderId="0" xfId="0" applyFont="1" applyFill="1"/>
    <xf numFmtId="0" fontId="564" fillId="1692" borderId="0" xfId="0" applyFont="1" applyFill="1"/>
    <xf numFmtId="0" fontId="564" fillId="1693" borderId="0" xfId="0" applyFont="1" applyFill="1"/>
    <xf numFmtId="0" fontId="564" fillId="1694" borderId="0" xfId="0" applyFont="1" applyFill="1"/>
    <xf numFmtId="0" fontId="564" fillId="1695" borderId="0" xfId="0" applyFont="1" applyFill="1"/>
    <xf numFmtId="0" fontId="564" fillId="1696" borderId="0" xfId="0" applyFont="1" applyFill="1"/>
    <xf numFmtId="0" fontId="564" fillId="1697" borderId="0" xfId="0" applyFont="1" applyFill="1"/>
    <xf numFmtId="0" fontId="564" fillId="1698" borderId="0" xfId="0" applyFont="1" applyFill="1"/>
    <xf numFmtId="0" fontId="564" fillId="1699" borderId="0" xfId="0" applyFont="1" applyFill="1"/>
    <xf numFmtId="0" fontId="564" fillId="1700" borderId="0" xfId="0" applyFont="1" applyFill="1"/>
    <xf numFmtId="0" fontId="564" fillId="1701" borderId="0" xfId="0" applyFont="1" applyFill="1"/>
    <xf numFmtId="0" fontId="564" fillId="1702" borderId="0" xfId="0" applyFont="1" applyFill="1"/>
    <xf numFmtId="0" fontId="564" fillId="1703" borderId="0" xfId="0" applyFont="1" applyFill="1"/>
    <xf numFmtId="0" fontId="564" fillId="1704" borderId="0" xfId="0" applyFont="1" applyFill="1"/>
    <xf numFmtId="0" fontId="564" fillId="1705" borderId="0" xfId="0" applyFont="1" applyFill="1"/>
    <xf numFmtId="0" fontId="564" fillId="1706" borderId="0" xfId="0" applyFont="1" applyFill="1"/>
    <xf numFmtId="0" fontId="564" fillId="1707" borderId="0" xfId="0" applyFont="1" applyFill="1"/>
    <xf numFmtId="0" fontId="564" fillId="1708" borderId="0" xfId="0" applyFont="1" applyFill="1"/>
    <xf numFmtId="0" fontId="564" fillId="1709" borderId="0" xfId="0" applyFont="1" applyFill="1"/>
    <xf numFmtId="0" fontId="564" fillId="1710" borderId="0" xfId="0" applyFont="1" applyFill="1"/>
    <xf numFmtId="0" fontId="564" fillId="1711" borderId="0" xfId="0" applyFont="1" applyFill="1"/>
    <xf numFmtId="0" fontId="564" fillId="1712" borderId="0" xfId="0" applyFont="1" applyFill="1"/>
    <xf numFmtId="0" fontId="564" fillId="1713" borderId="0" xfId="0" applyFont="1" applyFill="1"/>
    <xf numFmtId="0" fontId="564" fillId="1714" borderId="0" xfId="0" applyFont="1" applyFill="1"/>
    <xf numFmtId="0" fontId="564" fillId="1715" borderId="0" xfId="0" applyFont="1" applyFill="1"/>
    <xf numFmtId="0" fontId="564" fillId="1716" borderId="0" xfId="0" applyFont="1" applyFill="1"/>
    <xf numFmtId="0" fontId="564" fillId="1717" borderId="0" xfId="0" applyFont="1" applyFill="1"/>
    <xf numFmtId="0" fontId="564" fillId="1718" borderId="0" xfId="0" applyFont="1" applyFill="1"/>
    <xf numFmtId="0" fontId="564" fillId="1719" borderId="0" xfId="0" applyFont="1" applyFill="1"/>
    <xf numFmtId="0" fontId="564" fillId="1720" borderId="0" xfId="0" applyFont="1" applyFill="1"/>
    <xf numFmtId="0" fontId="564" fillId="1721" borderId="0" xfId="0" applyFont="1" applyFill="1"/>
    <xf numFmtId="0" fontId="564" fillId="1722" borderId="0" xfId="0" applyFont="1" applyFill="1"/>
    <xf numFmtId="0" fontId="564" fillId="1723" borderId="0" xfId="0" applyFont="1" applyFill="1"/>
    <xf numFmtId="0" fontId="564" fillId="1724" borderId="0" xfId="0" applyFont="1" applyFill="1"/>
    <xf numFmtId="0" fontId="564" fillId="1725" borderId="0" xfId="0" applyFont="1" applyFill="1"/>
    <xf numFmtId="0" fontId="564" fillId="1726" borderId="0" xfId="0" applyFont="1" applyFill="1"/>
    <xf numFmtId="0" fontId="564" fillId="1727" borderId="0" xfId="0" applyFont="1" applyFill="1"/>
    <xf numFmtId="0" fontId="564" fillId="1728" borderId="0" xfId="0" applyFont="1" applyFill="1"/>
    <xf numFmtId="0" fontId="564" fillId="1729" borderId="0" xfId="0" applyFont="1" applyFill="1"/>
    <xf numFmtId="0" fontId="564" fillId="1730" borderId="0" xfId="0" applyFont="1" applyFill="1"/>
    <xf numFmtId="0" fontId="564" fillId="1731" borderId="0" xfId="0" applyFont="1" applyFill="1"/>
    <xf numFmtId="0" fontId="564" fillId="1732" borderId="0" xfId="0" applyFont="1" applyFill="1"/>
    <xf numFmtId="0" fontId="564" fillId="1733" borderId="0" xfId="0" applyFont="1" applyFill="1"/>
    <xf numFmtId="0" fontId="564" fillId="1734" borderId="0" xfId="0" applyFont="1" applyFill="1"/>
    <xf numFmtId="0" fontId="564" fillId="1735" borderId="0" xfId="0" applyFont="1" applyFill="1"/>
    <xf numFmtId="0" fontId="564" fillId="1736" borderId="0" xfId="0" applyFont="1" applyFill="1"/>
    <xf numFmtId="0" fontId="564" fillId="1737" borderId="0" xfId="0" applyFont="1" applyFill="1"/>
    <xf numFmtId="0" fontId="564" fillId="1738" borderId="0" xfId="0" applyFont="1" applyFill="1"/>
    <xf numFmtId="0" fontId="564" fillId="1739" borderId="0" xfId="0" applyFont="1" applyFill="1"/>
    <xf numFmtId="0" fontId="564" fillId="1740" borderId="0" xfId="0" applyFont="1" applyFill="1"/>
    <xf numFmtId="0" fontId="564" fillId="1741" borderId="0" xfId="0" applyFont="1" applyFill="1"/>
    <xf numFmtId="0" fontId="564" fillId="1742" borderId="0" xfId="0" applyFont="1" applyFill="1"/>
    <xf numFmtId="0" fontId="564" fillId="1743" borderId="0" xfId="0" applyFont="1" applyFill="1"/>
    <xf numFmtId="0" fontId="564" fillId="1744" borderId="0" xfId="0" applyFont="1" applyFill="1"/>
    <xf numFmtId="0" fontId="564" fillId="1745" borderId="0" xfId="0" applyFont="1" applyFill="1"/>
    <xf numFmtId="0" fontId="564" fillId="1746" borderId="0" xfId="0" applyFont="1" applyFill="1"/>
    <xf numFmtId="0" fontId="564" fillId="1747" borderId="0" xfId="0" applyFont="1" applyFill="1"/>
    <xf numFmtId="0" fontId="564" fillId="1748" borderId="0" xfId="0" applyFont="1" applyFill="1"/>
    <xf numFmtId="0" fontId="564" fillId="1749" borderId="0" xfId="0" applyFont="1" applyFill="1"/>
    <xf numFmtId="0" fontId="564" fillId="1750" borderId="0" xfId="0" applyFont="1" applyFill="1"/>
    <xf numFmtId="0" fontId="564" fillId="1751" borderId="0" xfId="0" applyFont="1" applyFill="1"/>
    <xf numFmtId="0" fontId="564" fillId="1752" borderId="0" xfId="0" applyFont="1" applyFill="1"/>
    <xf numFmtId="0" fontId="564" fillId="1753" borderId="0" xfId="0" applyFont="1" applyFill="1"/>
    <xf numFmtId="0" fontId="564" fillId="1754" borderId="0" xfId="0" applyFont="1" applyFill="1"/>
    <xf numFmtId="0" fontId="564" fillId="1755" borderId="0" xfId="0" applyFont="1" applyFill="1"/>
    <xf numFmtId="0" fontId="564" fillId="1756" borderId="0" xfId="0" applyFont="1" applyFill="1"/>
    <xf numFmtId="0" fontId="564" fillId="1757" borderId="0" xfId="0" applyFont="1" applyFill="1"/>
    <xf numFmtId="0" fontId="564" fillId="1758" borderId="0" xfId="0" applyFont="1" applyFill="1"/>
    <xf numFmtId="0" fontId="564" fillId="1759" borderId="0" xfId="0" applyFont="1" applyFill="1"/>
    <xf numFmtId="0" fontId="564" fillId="1760" borderId="0" xfId="0" applyFont="1" applyFill="1"/>
    <xf numFmtId="0" fontId="564" fillId="1761" borderId="0" xfId="0" applyFont="1" applyFill="1"/>
    <xf numFmtId="0" fontId="564" fillId="1762" borderId="0" xfId="0" applyFont="1" applyFill="1"/>
    <xf numFmtId="0" fontId="564" fillId="1763" borderId="0" xfId="0" applyFont="1" applyFill="1"/>
    <xf numFmtId="0" fontId="564" fillId="1764" borderId="0" xfId="0" applyFont="1" applyFill="1"/>
    <xf numFmtId="0" fontId="564" fillId="1765" borderId="0" xfId="0" applyFont="1" applyFill="1"/>
    <xf numFmtId="0" fontId="564" fillId="1766" borderId="0" xfId="0" applyFont="1" applyFill="1"/>
    <xf numFmtId="0" fontId="564" fillId="1767" borderId="0" xfId="0" applyFont="1" applyFill="1"/>
    <xf numFmtId="0" fontId="564" fillId="1768" borderId="0" xfId="0" applyFont="1" applyFill="1"/>
    <xf numFmtId="0" fontId="564" fillId="1769" borderId="0" xfId="0" applyFont="1" applyFill="1"/>
    <xf numFmtId="0" fontId="564" fillId="1770" borderId="0" xfId="0" applyFont="1" applyFill="1"/>
    <xf numFmtId="0" fontId="564" fillId="1771" borderId="0" xfId="0" applyFont="1" applyFill="1"/>
    <xf numFmtId="0" fontId="564" fillId="1772" borderId="0" xfId="0" applyFont="1" applyFill="1"/>
    <xf numFmtId="0" fontId="564" fillId="1773" borderId="0" xfId="0" applyFont="1" applyFill="1"/>
    <xf numFmtId="0" fontId="564" fillId="1774" borderId="0" xfId="0" applyFont="1" applyFill="1"/>
    <xf numFmtId="0" fontId="564" fillId="1775" borderId="0" xfId="0" applyFont="1" applyFill="1"/>
    <xf numFmtId="0" fontId="564" fillId="1776" borderId="0" xfId="0" applyFont="1" applyFill="1"/>
    <xf numFmtId="0" fontId="564" fillId="1777" borderId="0" xfId="0" applyFont="1" applyFill="1"/>
    <xf numFmtId="0" fontId="564" fillId="1778" borderId="0" xfId="0" applyFont="1" applyFill="1"/>
    <xf numFmtId="0" fontId="564" fillId="1779" borderId="0" xfId="0" applyFont="1" applyFill="1"/>
    <xf numFmtId="0" fontId="564" fillId="1780" borderId="0" xfId="0" applyFont="1" applyFill="1"/>
    <xf numFmtId="0" fontId="564" fillId="1781" borderId="0" xfId="0" applyFont="1" applyFill="1"/>
    <xf numFmtId="0" fontId="564" fillId="1782" borderId="0" xfId="0" applyFont="1" applyFill="1"/>
    <xf numFmtId="0" fontId="564" fillId="1783" borderId="0" xfId="0" applyFont="1" applyFill="1"/>
    <xf numFmtId="0" fontId="564" fillId="1784" borderId="0" xfId="0" applyFont="1" applyFill="1"/>
    <xf numFmtId="0" fontId="564" fillId="1785" borderId="0" xfId="0" applyFont="1" applyFill="1"/>
    <xf numFmtId="0" fontId="564" fillId="1786" borderId="0" xfId="0" applyFont="1" applyFill="1"/>
    <xf numFmtId="0" fontId="564" fillId="1787" borderId="0" xfId="0" applyFont="1" applyFill="1"/>
    <xf numFmtId="0" fontId="564" fillId="1788" borderId="0" xfId="0" applyFont="1" applyFill="1"/>
    <xf numFmtId="0" fontId="564" fillId="1789" borderId="0" xfId="0" applyFont="1" applyFill="1"/>
    <xf numFmtId="0" fontId="564" fillId="1790" borderId="0" xfId="0" applyFont="1" applyFill="1"/>
    <xf numFmtId="0" fontId="564" fillId="1791" borderId="0" xfId="0" applyFont="1" applyFill="1"/>
    <xf numFmtId="0" fontId="564" fillId="1792" borderId="0" xfId="0" applyFont="1" applyFill="1"/>
    <xf numFmtId="0" fontId="564" fillId="1793" borderId="0" xfId="0" applyFont="1" applyFill="1"/>
    <xf numFmtId="0" fontId="564" fillId="1794" borderId="0" xfId="0" applyFont="1" applyFill="1"/>
    <xf numFmtId="0" fontId="564" fillId="1795" borderId="0" xfId="0" applyFont="1" applyFill="1"/>
    <xf numFmtId="0" fontId="564" fillId="1796" borderId="0" xfId="0" applyFont="1" applyFill="1"/>
    <xf numFmtId="0" fontId="564" fillId="1797" borderId="0" xfId="0" applyFont="1" applyFill="1"/>
    <xf numFmtId="0" fontId="564" fillId="1798" borderId="0" xfId="0" applyFont="1" applyFill="1"/>
    <xf numFmtId="0" fontId="564" fillId="1799" borderId="0" xfId="0" applyFont="1" applyFill="1"/>
    <xf numFmtId="0" fontId="564" fillId="1800" borderId="0" xfId="0" applyFont="1" applyFill="1"/>
    <xf numFmtId="0" fontId="564" fillId="1801" borderId="0" xfId="0" applyFont="1" applyFill="1"/>
    <xf numFmtId="0" fontId="564" fillId="1802" borderId="0" xfId="0" applyFont="1" applyFill="1"/>
    <xf numFmtId="0" fontId="564" fillId="1803" borderId="0" xfId="0" applyFont="1" applyFill="1"/>
    <xf numFmtId="0" fontId="564" fillId="1804" borderId="0" xfId="0" applyFont="1" applyFill="1"/>
    <xf numFmtId="0" fontId="564" fillId="1805" borderId="0" xfId="0" applyFont="1" applyFill="1"/>
    <xf numFmtId="0" fontId="564" fillId="1806" borderId="0" xfId="0" applyFont="1" applyFill="1"/>
    <xf numFmtId="0" fontId="564" fillId="1807" borderId="0" xfId="0" applyFont="1" applyFill="1"/>
    <xf numFmtId="0" fontId="564" fillId="1808" borderId="0" xfId="0" applyFont="1" applyFill="1"/>
    <xf numFmtId="0" fontId="564" fillId="1809" borderId="0" xfId="0" applyFont="1" applyFill="1"/>
    <xf numFmtId="0" fontId="564" fillId="1810" borderId="0" xfId="0" applyFont="1" applyFill="1"/>
    <xf numFmtId="0" fontId="564" fillId="1811" borderId="0" xfId="0" applyFont="1" applyFill="1"/>
    <xf numFmtId="0" fontId="564" fillId="1812" borderId="0" xfId="0" applyFont="1" applyFill="1"/>
    <xf numFmtId="0" fontId="564" fillId="1813" borderId="0" xfId="0" applyFont="1" applyFill="1"/>
    <xf numFmtId="0" fontId="564" fillId="1814" borderId="0" xfId="0" applyFont="1" applyFill="1"/>
    <xf numFmtId="0" fontId="564" fillId="1815" borderId="0" xfId="0" applyFont="1" applyFill="1"/>
    <xf numFmtId="0" fontId="564" fillId="1816" borderId="0" xfId="0" applyFont="1" applyFill="1"/>
    <xf numFmtId="0" fontId="564" fillId="1032" borderId="0" xfId="0" applyFont="1" applyFill="1"/>
    <xf numFmtId="0" fontId="564" fillId="1817" borderId="0" xfId="0" applyFont="1" applyFill="1"/>
    <xf numFmtId="0" fontId="564" fillId="1818" borderId="0" xfId="0" applyFont="1" applyFill="1"/>
    <xf numFmtId="0" fontId="564" fillId="1819" borderId="0" xfId="0" applyFont="1" applyFill="1"/>
    <xf numFmtId="0" fontId="564" fillId="1820" borderId="0" xfId="0" applyFont="1" applyFill="1"/>
    <xf numFmtId="0" fontId="564" fillId="1821" borderId="0" xfId="0" applyFont="1" applyFill="1"/>
    <xf numFmtId="0" fontId="564" fillId="1822" borderId="0" xfId="0" applyFont="1" applyFill="1"/>
    <xf numFmtId="0" fontId="564" fillId="1823" borderId="0" xfId="0" applyFont="1" applyFill="1"/>
    <xf numFmtId="0" fontId="564" fillId="1824" borderId="0" xfId="0" applyFont="1" applyFill="1"/>
    <xf numFmtId="0" fontId="564" fillId="1825" borderId="0" xfId="0" applyFont="1" applyFill="1"/>
    <xf numFmtId="0" fontId="564" fillId="1826" borderId="0" xfId="0" applyFont="1" applyFill="1"/>
    <xf numFmtId="0" fontId="564" fillId="1827" borderId="0" xfId="0" applyFont="1" applyFill="1"/>
    <xf numFmtId="0" fontId="564" fillId="1828" borderId="0" xfId="0" applyFont="1" applyFill="1"/>
    <xf numFmtId="0" fontId="564" fillId="1829" borderId="0" xfId="0" applyFont="1" applyFill="1"/>
    <xf numFmtId="0" fontId="564" fillId="1830" borderId="0" xfId="0" applyFont="1" applyFill="1"/>
    <xf numFmtId="0" fontId="564" fillId="1831" borderId="0" xfId="0" applyFont="1" applyFill="1"/>
    <xf numFmtId="0" fontId="564" fillId="1832" borderId="0" xfId="0" applyFont="1" applyFill="1"/>
    <xf numFmtId="0" fontId="564" fillId="1833" borderId="0" xfId="0" applyFont="1" applyFill="1"/>
    <xf numFmtId="0" fontId="564" fillId="1834" borderId="0" xfId="0" applyFont="1" applyFill="1"/>
    <xf numFmtId="0" fontId="564" fillId="1835" borderId="0" xfId="0" applyFont="1" applyFill="1"/>
    <xf numFmtId="0" fontId="564" fillId="1836" borderId="0" xfId="0" applyFont="1" applyFill="1"/>
    <xf numFmtId="0" fontId="564" fillId="1837" borderId="0" xfId="0" applyFont="1" applyFill="1"/>
    <xf numFmtId="0" fontId="564" fillId="1838" borderId="0" xfId="0" applyFont="1" applyFill="1"/>
    <xf numFmtId="0" fontId="564" fillId="1839" borderId="0" xfId="0" applyFont="1" applyFill="1"/>
    <xf numFmtId="0" fontId="564" fillId="1840" borderId="0" xfId="0" applyFont="1" applyFill="1"/>
    <xf numFmtId="0" fontId="564" fillId="1841" borderId="0" xfId="0" applyFont="1" applyFill="1"/>
    <xf numFmtId="0" fontId="564" fillId="1842" borderId="0" xfId="0" applyFont="1" applyFill="1"/>
    <xf numFmtId="0" fontId="564" fillId="1843" borderId="0" xfId="0" applyFont="1" applyFill="1"/>
    <xf numFmtId="0" fontId="564" fillId="1844" borderId="0" xfId="0" applyFont="1" applyFill="1"/>
    <xf numFmtId="0" fontId="564" fillId="1845" borderId="0" xfId="0" applyFont="1" applyFill="1"/>
    <xf numFmtId="0" fontId="564" fillId="1846" borderId="0" xfId="0" applyFont="1" applyFill="1"/>
    <xf numFmtId="0" fontId="564" fillId="1847" borderId="0" xfId="0" applyFont="1" applyFill="1"/>
    <xf numFmtId="0" fontId="564" fillId="78" borderId="0" xfId="0" applyFont="1" applyFill="1"/>
    <xf numFmtId="0" fontId="564" fillId="1848" borderId="0" xfId="0" applyFont="1" applyFill="1"/>
    <xf numFmtId="0" fontId="564" fillId="1849" borderId="0" xfId="0" applyFont="1" applyFill="1"/>
    <xf numFmtId="0" fontId="564" fillId="1850" borderId="0" xfId="0" applyFont="1" applyFill="1"/>
    <xf numFmtId="0" fontId="564" fillId="1851" borderId="0" xfId="0" applyFont="1" applyFill="1"/>
    <xf numFmtId="0" fontId="564" fillId="1852" borderId="0" xfId="0" applyFont="1" applyFill="1"/>
    <xf numFmtId="0" fontId="564" fillId="1853" borderId="0" xfId="0" applyFont="1" applyFill="1"/>
    <xf numFmtId="0" fontId="564" fillId="1854" borderId="0" xfId="0" applyFont="1" applyFill="1"/>
    <xf numFmtId="0" fontId="564" fillId="1855" borderId="0" xfId="0" applyFont="1" applyFill="1"/>
    <xf numFmtId="0" fontId="564" fillId="1856" borderId="0" xfId="0" applyFont="1" applyFill="1"/>
    <xf numFmtId="0" fontId="564" fillId="1857" borderId="0" xfId="0" applyFont="1" applyFill="1"/>
    <xf numFmtId="0" fontId="564" fillId="1858" borderId="0" xfId="0" applyFont="1" applyFill="1"/>
    <xf numFmtId="0" fontId="564" fillId="1859" borderId="0" xfId="0" applyFont="1" applyFill="1"/>
    <xf numFmtId="0" fontId="564" fillId="1860" borderId="0" xfId="0" applyFont="1" applyFill="1"/>
    <xf numFmtId="0" fontId="564" fillId="1861" borderId="0" xfId="0" applyFont="1" applyFill="1"/>
    <xf numFmtId="0" fontId="564" fillId="1862" borderId="0" xfId="0" applyFont="1" applyFill="1"/>
    <xf numFmtId="0" fontId="564" fillId="1863" borderId="0" xfId="0" applyFont="1" applyFill="1"/>
    <xf numFmtId="0" fontId="564" fillId="1864" borderId="0" xfId="0" applyFont="1" applyFill="1"/>
    <xf numFmtId="0" fontId="564" fillId="1865" borderId="0" xfId="0" applyFont="1" applyFill="1"/>
    <xf numFmtId="0" fontId="564" fillId="1866" borderId="0" xfId="0" applyFont="1" applyFill="1"/>
    <xf numFmtId="0" fontId="564" fillId="1867" borderId="0" xfId="0" applyFont="1" applyFill="1"/>
    <xf numFmtId="0" fontId="564" fillId="1868" borderId="0" xfId="0" applyFont="1" applyFill="1"/>
    <xf numFmtId="0" fontId="564" fillId="1152" borderId="0" xfId="0" applyFont="1" applyFill="1"/>
    <xf numFmtId="0" fontId="564" fillId="1869" borderId="0" xfId="0" applyFont="1" applyFill="1"/>
    <xf numFmtId="0" fontId="564" fillId="1870" borderId="0" xfId="0" applyFont="1" applyFill="1"/>
    <xf numFmtId="0" fontId="564" fillId="1871" borderId="0" xfId="0" applyFont="1" applyFill="1"/>
    <xf numFmtId="0" fontId="564" fillId="1872" borderId="0" xfId="0" applyFont="1" applyFill="1"/>
    <xf numFmtId="0" fontId="564" fillId="1873" borderId="0" xfId="0" applyFont="1" applyFill="1"/>
    <xf numFmtId="0" fontId="564" fillId="1874" borderId="0" xfId="0" applyFont="1" applyFill="1"/>
    <xf numFmtId="0" fontId="564" fillId="1875" borderId="0" xfId="0" applyFont="1" applyFill="1"/>
    <xf numFmtId="0" fontId="564" fillId="1876" borderId="0" xfId="0" applyFont="1" applyFill="1"/>
    <xf numFmtId="0" fontId="564" fillId="1877" borderId="0" xfId="0" applyFont="1" applyFill="1"/>
    <xf numFmtId="0" fontId="564" fillId="1878" borderId="0" xfId="0" applyFont="1" applyFill="1"/>
    <xf numFmtId="0" fontId="564" fillId="1879" borderId="0" xfId="0" applyFont="1" applyFill="1"/>
    <xf numFmtId="0" fontId="564" fillId="1880" borderId="0" xfId="0" applyFont="1" applyFill="1"/>
    <xf numFmtId="0" fontId="564" fillId="1881" borderId="0" xfId="0" applyFont="1" applyFill="1"/>
    <xf numFmtId="0" fontId="564" fillId="1882" borderId="0" xfId="0" applyFont="1" applyFill="1"/>
    <xf numFmtId="0" fontId="564" fillId="1883" borderId="0" xfId="0" applyFont="1" applyFill="1"/>
    <xf numFmtId="0" fontId="564" fillId="1884" borderId="0" xfId="0" applyFont="1" applyFill="1"/>
    <xf numFmtId="0" fontId="564" fillId="1885" borderId="0" xfId="0" applyFont="1" applyFill="1"/>
    <xf numFmtId="0" fontId="564" fillId="1886" borderId="0" xfId="0" applyFont="1" applyFill="1"/>
    <xf numFmtId="0" fontId="564" fillId="1887" borderId="0" xfId="0" applyFont="1" applyFill="1"/>
    <xf numFmtId="0" fontId="564" fillId="1888" borderId="0" xfId="0" applyFont="1" applyFill="1"/>
    <xf numFmtId="0" fontId="564" fillId="1889" borderId="0" xfId="0" applyFont="1" applyFill="1"/>
    <xf numFmtId="0" fontId="564" fillId="1890" borderId="0" xfId="0" applyFont="1" applyFill="1"/>
    <xf numFmtId="0" fontId="564" fillId="1891" borderId="0" xfId="0" applyFont="1" applyFill="1"/>
    <xf numFmtId="0" fontId="564" fillId="1892" borderId="0" xfId="0" applyFont="1" applyFill="1"/>
    <xf numFmtId="0" fontId="564" fillId="1893" borderId="0" xfId="0" applyFont="1" applyFill="1"/>
    <xf numFmtId="0" fontId="564" fillId="1894" borderId="0" xfId="0" applyFont="1" applyFill="1"/>
    <xf numFmtId="0" fontId="564" fillId="67" borderId="0" xfId="0" applyFont="1" applyFill="1"/>
    <xf numFmtId="0" fontId="564" fillId="1895" borderId="0" xfId="0" applyFont="1" applyFill="1"/>
    <xf numFmtId="0" fontId="564" fillId="1896" borderId="0" xfId="0" applyFont="1" applyFill="1"/>
    <xf numFmtId="0" fontId="564" fillId="1897" borderId="0" xfId="0" applyFont="1" applyFill="1"/>
    <xf numFmtId="0" fontId="564" fillId="1898" borderId="0" xfId="0" applyFont="1" applyFill="1"/>
    <xf numFmtId="0" fontId="564" fillId="1899" borderId="0" xfId="0" applyFont="1" applyFill="1"/>
    <xf numFmtId="0" fontId="564" fillId="1900" borderId="0" xfId="0" applyFont="1" applyFill="1"/>
    <xf numFmtId="0" fontId="564" fillId="1901" borderId="0" xfId="0" applyFont="1" applyFill="1"/>
    <xf numFmtId="0" fontId="564" fillId="1902" borderId="0" xfId="0" applyFont="1" applyFill="1"/>
    <xf numFmtId="0" fontId="564" fillId="1903" borderId="0" xfId="0" applyFont="1" applyFill="1"/>
    <xf numFmtId="0" fontId="564" fillId="1904" borderId="0" xfId="0" applyFont="1" applyFill="1"/>
    <xf numFmtId="0" fontId="564" fillId="1905" borderId="0" xfId="0" applyFont="1" applyFill="1"/>
    <xf numFmtId="0" fontId="564" fillId="1906" borderId="0" xfId="0" applyFont="1" applyFill="1"/>
    <xf numFmtId="0" fontId="564" fillId="1907" borderId="0" xfId="0" applyFont="1" applyFill="1"/>
    <xf numFmtId="0" fontId="564" fillId="1908" borderId="0" xfId="0" applyFont="1" applyFill="1"/>
    <xf numFmtId="0" fontId="564" fillId="1909" borderId="0" xfId="0" applyFont="1" applyFill="1"/>
    <xf numFmtId="0" fontId="564" fillId="1910" borderId="0" xfId="0" applyFont="1" applyFill="1"/>
    <xf numFmtId="0" fontId="564" fillId="1911" borderId="0" xfId="0" applyFont="1" applyFill="1"/>
    <xf numFmtId="0" fontId="564" fillId="1912" borderId="0" xfId="0" applyFont="1" applyFill="1"/>
    <xf numFmtId="0" fontId="564" fillId="1913" borderId="0" xfId="0" applyFont="1" applyFill="1"/>
    <xf numFmtId="0" fontId="564" fillId="1914" borderId="0" xfId="0" applyFont="1" applyFill="1"/>
    <xf numFmtId="0" fontId="564" fillId="1915" borderId="0" xfId="0" applyFont="1" applyFill="1"/>
    <xf numFmtId="0" fontId="564" fillId="1916" borderId="0" xfId="0" applyFont="1" applyFill="1"/>
    <xf numFmtId="0" fontId="564" fillId="1917" borderId="0" xfId="0" applyFont="1" applyFill="1"/>
    <xf numFmtId="0" fontId="564" fillId="1918" borderId="0" xfId="0" applyFont="1" applyFill="1"/>
    <xf numFmtId="0" fontId="564" fillId="1919" borderId="0" xfId="0" applyFont="1" applyFill="1"/>
    <xf numFmtId="0" fontId="564" fillId="1920" borderId="0" xfId="0" applyFont="1" applyFill="1"/>
    <xf numFmtId="0" fontId="564" fillId="1921" borderId="0" xfId="0" applyFont="1" applyFill="1"/>
    <xf numFmtId="0" fontId="564" fillId="1922" borderId="0" xfId="0" applyFont="1" applyFill="1"/>
    <xf numFmtId="0" fontId="564" fillId="1923" borderId="0" xfId="0" applyFont="1" applyFill="1"/>
    <xf numFmtId="0" fontId="564" fillId="1924" borderId="0" xfId="0" applyFont="1" applyFill="1"/>
    <xf numFmtId="0" fontId="564" fillId="1925" borderId="0" xfId="0" applyFont="1" applyFill="1"/>
    <xf numFmtId="0" fontId="564" fillId="1926" borderId="0" xfId="0" applyFont="1" applyFill="1"/>
    <xf numFmtId="0" fontId="564" fillId="1927" borderId="0" xfId="0" applyFont="1" applyFill="1"/>
    <xf numFmtId="0" fontId="564" fillId="1928" borderId="0" xfId="0" applyFont="1" applyFill="1"/>
    <xf numFmtId="0" fontId="564" fillId="1929" borderId="0" xfId="0" applyFont="1" applyFill="1"/>
    <xf numFmtId="0" fontId="564" fillId="1930" borderId="0" xfId="0" applyFont="1" applyFill="1"/>
    <xf numFmtId="0" fontId="564" fillId="1931" borderId="0" xfId="0" applyFont="1" applyFill="1"/>
    <xf numFmtId="0" fontId="564" fillId="1932" borderId="0" xfId="0" applyFont="1" applyFill="1"/>
    <xf numFmtId="0" fontId="564" fillId="1933" borderId="0" xfId="0" applyFont="1" applyFill="1"/>
    <xf numFmtId="0" fontId="564" fillId="1934" borderId="0" xfId="0" applyFont="1" applyFill="1"/>
    <xf numFmtId="0" fontId="564" fillId="1935" borderId="0" xfId="0" applyFont="1" applyFill="1"/>
    <xf numFmtId="0" fontId="564" fillId="1936" borderId="0" xfId="0" applyFont="1" applyFill="1"/>
    <xf numFmtId="0" fontId="564" fillId="1937" borderId="0" xfId="0" applyFont="1" applyFill="1"/>
    <xf numFmtId="0" fontId="564" fillId="72" borderId="0" xfId="0" applyFont="1" applyFill="1"/>
    <xf numFmtId="0" fontId="564" fillId="1938" borderId="0" xfId="0" applyFont="1" applyFill="1"/>
    <xf numFmtId="0" fontId="564" fillId="1939" borderId="0" xfId="0" applyFont="1" applyFill="1"/>
    <xf numFmtId="0" fontId="564" fillId="1940" borderId="0" xfId="0" applyFont="1" applyFill="1"/>
    <xf numFmtId="0" fontId="564" fillId="1941" borderId="0" xfId="0" applyFont="1" applyFill="1"/>
    <xf numFmtId="0" fontId="564" fillId="1942" borderId="0" xfId="0" applyFont="1" applyFill="1"/>
    <xf numFmtId="0" fontId="564" fillId="1943" borderId="0" xfId="0" applyFont="1" applyFill="1"/>
    <xf numFmtId="0" fontId="564" fillId="1944" borderId="0" xfId="0" applyFont="1" applyFill="1"/>
    <xf numFmtId="0" fontId="564" fillId="1945" borderId="0" xfId="0" applyFont="1" applyFill="1"/>
    <xf numFmtId="0" fontId="564" fillId="1946" borderId="0" xfId="0" applyFont="1" applyFill="1"/>
    <xf numFmtId="0" fontId="564" fillId="1947" borderId="0" xfId="0" applyFont="1" applyFill="1"/>
    <xf numFmtId="0" fontId="564" fillId="1948" borderId="0" xfId="0" applyFont="1" applyFill="1"/>
    <xf numFmtId="0" fontId="564" fillId="1949" borderId="0" xfId="0" applyFont="1" applyFill="1"/>
    <xf numFmtId="0" fontId="564" fillId="1950" borderId="0" xfId="0" applyFont="1" applyFill="1"/>
    <xf numFmtId="0" fontId="564" fillId="1951" borderId="0" xfId="0" applyFont="1" applyFill="1"/>
    <xf numFmtId="0" fontId="564" fillId="1952" borderId="0" xfId="0" applyFont="1" applyFill="1"/>
    <xf numFmtId="0" fontId="564" fillId="1953" borderId="0" xfId="0" applyFont="1" applyFill="1"/>
    <xf numFmtId="0" fontId="564" fillId="1954" borderId="0" xfId="0" applyFont="1" applyFill="1"/>
    <xf numFmtId="0" fontId="564" fillId="1955" borderId="0" xfId="0" applyFont="1" applyFill="1"/>
    <xf numFmtId="0" fontId="564" fillId="1956" borderId="0" xfId="0" applyFont="1" applyFill="1"/>
    <xf numFmtId="0" fontId="564" fillId="1957" borderId="0" xfId="0" applyFont="1" applyFill="1"/>
    <xf numFmtId="0" fontId="564" fillId="1958" borderId="0" xfId="0" applyFont="1" applyFill="1"/>
    <xf numFmtId="0" fontId="564" fillId="1959" borderId="0" xfId="0" applyFont="1" applyFill="1"/>
    <xf numFmtId="0" fontId="564" fillId="1960" borderId="0" xfId="0" applyFont="1" applyFill="1"/>
    <xf numFmtId="0" fontId="564" fillId="1961" borderId="0" xfId="0" applyFont="1" applyFill="1"/>
    <xf numFmtId="0" fontId="564" fillId="1962" borderId="0" xfId="0" applyFont="1" applyFill="1"/>
    <xf numFmtId="0" fontId="564" fillId="1963" borderId="0" xfId="0" applyFont="1" applyFill="1"/>
    <xf numFmtId="0" fontId="564" fillId="1964" borderId="0" xfId="0" applyFont="1" applyFill="1"/>
    <xf numFmtId="0" fontId="564" fillId="1965" borderId="0" xfId="0" applyFont="1" applyFill="1"/>
    <xf numFmtId="0" fontId="564" fillId="1966" borderId="0" xfId="0" applyFont="1" applyFill="1"/>
    <xf numFmtId="0" fontId="564" fillId="1967" borderId="0" xfId="0" applyFont="1" applyFill="1"/>
    <xf numFmtId="0" fontId="564" fillId="1968" borderId="0" xfId="0" applyFont="1" applyFill="1"/>
    <xf numFmtId="0" fontId="564" fillId="1969" borderId="0" xfId="0" applyFont="1" applyFill="1"/>
    <xf numFmtId="0" fontId="564" fillId="1970" borderId="0" xfId="0" applyFont="1" applyFill="1"/>
    <xf numFmtId="0" fontId="564" fillId="1971" borderId="0" xfId="0" applyFont="1" applyFill="1"/>
    <xf numFmtId="0" fontId="564" fillId="1972" borderId="0" xfId="0" applyFont="1" applyFill="1"/>
    <xf numFmtId="0" fontId="564" fillId="1973" borderId="0" xfId="0" applyFont="1" applyFill="1"/>
    <xf numFmtId="0" fontId="564" fillId="1974" borderId="0" xfId="0" applyFont="1" applyFill="1"/>
    <xf numFmtId="0" fontId="564" fillId="1975" borderId="0" xfId="0" applyFont="1" applyFill="1"/>
    <xf numFmtId="0" fontId="564" fillId="1976" borderId="0" xfId="0" applyFont="1" applyFill="1"/>
    <xf numFmtId="0" fontId="564" fillId="1977" borderId="0" xfId="0" applyFont="1" applyFill="1"/>
    <xf numFmtId="0" fontId="564" fillId="1978" borderId="0" xfId="0" applyFont="1" applyFill="1"/>
    <xf numFmtId="0" fontId="564" fillId="1979" borderId="0" xfId="0" applyFont="1" applyFill="1"/>
    <xf numFmtId="0" fontId="564" fillId="1980" borderId="0" xfId="0" applyFont="1" applyFill="1"/>
    <xf numFmtId="0" fontId="564" fillId="1981" borderId="0" xfId="0" applyFont="1" applyFill="1"/>
    <xf numFmtId="0" fontId="564" fillId="1982" borderId="0" xfId="0" applyFont="1" applyFill="1"/>
    <xf numFmtId="0" fontId="564" fillId="1983" borderId="0" xfId="0" applyFont="1" applyFill="1"/>
    <xf numFmtId="0" fontId="564" fillId="1984" borderId="0" xfId="0" applyFont="1" applyFill="1"/>
    <xf numFmtId="0" fontId="564" fillId="1985" borderId="0" xfId="0" applyFont="1" applyFill="1"/>
    <xf numFmtId="0" fontId="564" fillId="1986" borderId="0" xfId="0" applyFont="1" applyFill="1"/>
    <xf numFmtId="0" fontId="564" fillId="1987" borderId="0" xfId="0" applyFont="1" applyFill="1"/>
    <xf numFmtId="0" fontId="564" fillId="1988" borderId="0" xfId="0" applyFont="1" applyFill="1"/>
    <xf numFmtId="0" fontId="564" fillId="1989" borderId="0" xfId="0" applyFont="1" applyFill="1"/>
    <xf numFmtId="0" fontId="564" fillId="1990" borderId="0" xfId="0" applyFont="1" applyFill="1"/>
    <xf numFmtId="0" fontId="564" fillId="1991" borderId="0" xfId="0" applyFont="1" applyFill="1"/>
    <xf numFmtId="0" fontId="564" fillId="1992" borderId="0" xfId="0" applyFont="1" applyFill="1"/>
    <xf numFmtId="0" fontId="564" fillId="1993" borderId="0" xfId="0" applyFont="1" applyFill="1"/>
    <xf numFmtId="0" fontId="564" fillId="1994" borderId="0" xfId="0" applyFont="1" applyFill="1"/>
    <xf numFmtId="0" fontId="564" fillId="1995" borderId="0" xfId="0" applyFont="1" applyFill="1"/>
    <xf numFmtId="0" fontId="564" fillId="1996" borderId="0" xfId="0" applyFont="1" applyFill="1"/>
    <xf numFmtId="0" fontId="564" fillId="1997" borderId="0" xfId="0" applyFont="1" applyFill="1"/>
    <xf numFmtId="0" fontId="564" fillId="1998" borderId="0" xfId="0" applyFont="1" applyFill="1"/>
    <xf numFmtId="0" fontId="564" fillId="1999" borderId="0" xfId="0" applyFont="1" applyFill="1"/>
    <xf numFmtId="0" fontId="564" fillId="2000" borderId="0" xfId="0" applyFont="1" applyFill="1"/>
    <xf numFmtId="0" fontId="564" fillId="2001" borderId="0" xfId="0" applyFont="1" applyFill="1"/>
    <xf numFmtId="0" fontId="564" fillId="2002" borderId="0" xfId="0" applyFont="1" applyFill="1"/>
    <xf numFmtId="0" fontId="564" fillId="2003" borderId="0" xfId="0" applyFont="1" applyFill="1"/>
    <xf numFmtId="0" fontId="564" fillId="2004" borderId="0" xfId="0" applyFont="1" applyFill="1"/>
    <xf numFmtId="0" fontId="564" fillId="2005" borderId="0" xfId="0" applyFont="1" applyFill="1"/>
    <xf numFmtId="0" fontId="564" fillId="2006" borderId="0" xfId="0" applyFont="1" applyFill="1"/>
    <xf numFmtId="0" fontId="564" fillId="2007" borderId="0" xfId="0" applyFont="1" applyFill="1"/>
    <xf numFmtId="0" fontId="564" fillId="2008" borderId="0" xfId="0" applyFont="1" applyFill="1"/>
    <xf numFmtId="0" fontId="564" fillId="2009" borderId="0" xfId="0" applyFont="1" applyFill="1"/>
    <xf numFmtId="0" fontId="564" fillId="2010" borderId="0" xfId="0" applyFont="1" applyFill="1"/>
    <xf numFmtId="0" fontId="564" fillId="2011" borderId="0" xfId="0" applyFont="1" applyFill="1"/>
    <xf numFmtId="0" fontId="564" fillId="2012" borderId="0" xfId="0" applyFont="1" applyFill="1"/>
    <xf numFmtId="0" fontId="564" fillId="2013" borderId="0" xfId="0" applyFont="1" applyFill="1"/>
    <xf numFmtId="0" fontId="564" fillId="2014" borderId="0" xfId="0" applyFont="1" applyFill="1"/>
    <xf numFmtId="0" fontId="564" fillId="2015" borderId="0" xfId="0" applyFont="1" applyFill="1"/>
    <xf numFmtId="0" fontId="564" fillId="2016" borderId="0" xfId="0" applyFont="1" applyFill="1"/>
    <xf numFmtId="0" fontId="564" fillId="2017" borderId="0" xfId="0" applyFont="1" applyFill="1"/>
    <xf numFmtId="0" fontId="564" fillId="2018" borderId="0" xfId="0" applyFont="1" applyFill="1"/>
    <xf numFmtId="0" fontId="564" fillId="2019" borderId="0" xfId="0" applyFont="1" applyFill="1"/>
    <xf numFmtId="0" fontId="564" fillId="2020" borderId="0" xfId="0" applyFont="1" applyFill="1"/>
    <xf numFmtId="0" fontId="564" fillId="2021" borderId="0" xfId="0" applyFont="1" applyFill="1"/>
    <xf numFmtId="0" fontId="564" fillId="2022" borderId="0" xfId="0" applyFont="1" applyFill="1"/>
    <xf numFmtId="0" fontId="564" fillId="2023" borderId="0" xfId="0" applyFont="1" applyFill="1"/>
    <xf numFmtId="0" fontId="564" fillId="2024" borderId="0" xfId="0" applyFont="1" applyFill="1"/>
    <xf numFmtId="0" fontId="564" fillId="2025" borderId="0" xfId="0" applyFont="1" applyFill="1"/>
    <xf numFmtId="0" fontId="564" fillId="2026" borderId="0" xfId="0" applyFont="1" applyFill="1"/>
    <xf numFmtId="0" fontId="564" fillId="2027" borderId="0" xfId="0" applyFont="1" applyFill="1"/>
    <xf numFmtId="0" fontId="564" fillId="676" borderId="0" xfId="0" applyFont="1" applyFill="1"/>
    <xf numFmtId="0" fontId="564" fillId="223" borderId="0" xfId="0" applyFont="1" applyFill="1"/>
    <xf numFmtId="0" fontId="564" fillId="2028" borderId="0" xfId="0" applyFont="1" applyFill="1"/>
    <xf numFmtId="0" fontId="564" fillId="2029" borderId="0" xfId="0" applyFont="1" applyFill="1"/>
    <xf numFmtId="0" fontId="564" fillId="2030" borderId="0" xfId="0" applyFont="1" applyFill="1"/>
    <xf numFmtId="0" fontId="564" fillId="2031" borderId="0" xfId="0" applyFont="1" applyFill="1"/>
    <xf numFmtId="0" fontId="564" fillId="2032" borderId="0" xfId="0" applyFont="1" applyFill="1"/>
    <xf numFmtId="0" fontId="564" fillId="2033" borderId="0" xfId="0" applyFont="1" applyFill="1"/>
    <xf numFmtId="0" fontId="564" fillId="2034" borderId="0" xfId="0" applyFont="1" applyFill="1"/>
    <xf numFmtId="0" fontId="564" fillId="2035" borderId="0" xfId="0" applyFont="1" applyFill="1"/>
    <xf numFmtId="0" fontId="564" fillId="2036" borderId="0" xfId="0" applyFont="1" applyFill="1"/>
    <xf numFmtId="0" fontId="564" fillId="2037" borderId="0" xfId="0" applyFont="1" applyFill="1"/>
    <xf numFmtId="0" fontId="564" fillId="2038" borderId="0" xfId="0" applyFont="1" applyFill="1"/>
    <xf numFmtId="0" fontId="564" fillId="2039" borderId="0" xfId="0" applyFont="1" applyFill="1"/>
    <xf numFmtId="0" fontId="564" fillId="2040" borderId="0" xfId="0" applyFont="1" applyFill="1"/>
    <xf numFmtId="0" fontId="564" fillId="2041" borderId="0" xfId="0" applyFont="1" applyFill="1"/>
    <xf numFmtId="0" fontId="564" fillId="2042" borderId="0" xfId="0" applyFont="1" applyFill="1"/>
    <xf numFmtId="0" fontId="564" fillId="2043" borderId="0" xfId="0" applyFont="1" applyFill="1"/>
    <xf numFmtId="0" fontId="564" fillId="2044" borderId="0" xfId="0" applyFont="1" applyFill="1"/>
    <xf numFmtId="0" fontId="564" fillId="2045" borderId="0" xfId="0" applyFont="1" applyFill="1"/>
    <xf numFmtId="0" fontId="564" fillId="2046" borderId="0" xfId="0" applyFont="1" applyFill="1"/>
    <xf numFmtId="0" fontId="564" fillId="2047" borderId="0" xfId="0" applyFont="1" applyFill="1"/>
    <xf numFmtId="0" fontId="564" fillId="2048" borderId="0" xfId="0" applyFont="1" applyFill="1"/>
    <xf numFmtId="0" fontId="564" fillId="2049" borderId="0" xfId="0" applyFont="1" applyFill="1"/>
    <xf numFmtId="0" fontId="564" fillId="2050" borderId="0" xfId="0" applyFont="1" applyFill="1"/>
    <xf numFmtId="0" fontId="564" fillId="2051" borderId="0" xfId="0" applyFont="1" applyFill="1"/>
    <xf numFmtId="0" fontId="564" fillId="2052" borderId="0" xfId="0" applyFont="1" applyFill="1"/>
    <xf numFmtId="0" fontId="564" fillId="2053" borderId="0" xfId="0" applyFont="1" applyFill="1"/>
    <xf numFmtId="0" fontId="564" fillId="2054" borderId="0" xfId="0" applyFont="1" applyFill="1"/>
    <xf numFmtId="0" fontId="564" fillId="2055" borderId="0" xfId="0" applyFont="1" applyFill="1"/>
    <xf numFmtId="0" fontId="564" fillId="0" borderId="0" xfId="0" applyFont="1"/>
    <xf numFmtId="0" fontId="383" fillId="0" borderId="0" xfId="48" applyFont="1" applyAlignment="1">
      <alignment horizontal="left" indent="1"/>
    </xf>
    <xf numFmtId="0" fontId="383" fillId="0" borderId="0" xfId="48" applyFont="1" applyAlignment="1">
      <alignment horizontal="right" indent="1"/>
    </xf>
    <xf numFmtId="0" fontId="564" fillId="0" borderId="0" xfId="0" applyFont="1" applyAlignment="1">
      <alignment horizontal="right" indent="1"/>
    </xf>
    <xf numFmtId="0" fontId="564" fillId="2056" borderId="0" xfId="0" applyFont="1" applyFill="1"/>
    <xf numFmtId="0" fontId="564" fillId="2057" borderId="0" xfId="0" applyFont="1" applyFill="1"/>
    <xf numFmtId="0" fontId="383" fillId="0" borderId="325" xfId="48" applyFont="1" applyBorder="1" applyAlignment="1">
      <alignment horizontal="left" indent="1"/>
    </xf>
    <xf numFmtId="0" fontId="383" fillId="0" borderId="326" xfId="48" applyFont="1" applyBorder="1" applyAlignment="1">
      <alignment horizontal="left" indent="1"/>
    </xf>
    <xf numFmtId="0" fontId="383" fillId="0" borderId="327" xfId="48" applyFont="1" applyBorder="1" applyAlignment="1">
      <alignment horizontal="right" indent="1"/>
    </xf>
    <xf numFmtId="0" fontId="564" fillId="0" borderId="328" xfId="0" applyFont="1" applyBorder="1" applyAlignment="1">
      <alignment horizontal="right" indent="1"/>
    </xf>
    <xf numFmtId="0" fontId="564" fillId="0" borderId="325" xfId="0" applyFont="1" applyBorder="1" applyAlignment="1">
      <alignment horizontal="right" indent="1"/>
    </xf>
    <xf numFmtId="0" fontId="10" fillId="43" borderId="0" xfId="2" applyFont="1" applyFill="1" applyAlignment="1">
      <alignment horizontal="center" vertical="center"/>
    </xf>
    <xf numFmtId="0" fontId="10" fillId="40" borderId="0" xfId="1" applyFont="1" applyFill="1" applyAlignment="1">
      <alignment horizontal="center" vertical="center"/>
    </xf>
    <xf numFmtId="0" fontId="152" fillId="8" borderId="47" xfId="1" applyFont="1" applyFill="1" applyBorder="1" applyAlignment="1" applyProtection="1">
      <alignment vertical="center" wrapText="1"/>
      <protection hidden="1"/>
    </xf>
    <xf numFmtId="0" fontId="25" fillId="14" borderId="2" xfId="1" applyFont="1" applyFill="1" applyBorder="1" applyAlignment="1">
      <alignment vertical="center" wrapText="1"/>
    </xf>
    <xf numFmtId="0" fontId="143" fillId="14" borderId="2" xfId="1" applyFont="1" applyFill="1" applyBorder="1" applyAlignment="1">
      <alignment vertical="center"/>
    </xf>
    <xf numFmtId="0" fontId="69" fillId="0" borderId="0" xfId="1" applyFont="1" applyAlignment="1">
      <alignment horizontal="right" vertical="center"/>
    </xf>
    <xf numFmtId="0" fontId="152" fillId="8" borderId="0" xfId="1" applyFont="1" applyFill="1" applyAlignment="1" applyProtection="1">
      <alignment vertical="center" wrapText="1"/>
      <protection hidden="1"/>
    </xf>
    <xf numFmtId="0" fontId="0" fillId="8" borderId="218" xfId="0" applyFill="1" applyBorder="1" applyAlignment="1">
      <alignment vertical="center"/>
    </xf>
    <xf numFmtId="0" fontId="0" fillId="8" borderId="130" xfId="0" applyFill="1" applyBorder="1" applyAlignment="1">
      <alignment vertical="center"/>
    </xf>
    <xf numFmtId="0" fontId="0" fillId="8" borderId="219" xfId="0" applyFill="1" applyBorder="1" applyAlignment="1">
      <alignment vertical="center"/>
    </xf>
    <xf numFmtId="0" fontId="26" fillId="8" borderId="6" xfId="4" applyFont="1" applyFill="1" applyBorder="1" applyAlignment="1">
      <alignment vertical="center"/>
    </xf>
    <xf numFmtId="0" fontId="61" fillId="27" borderId="329" xfId="1" applyFont="1" applyFill="1" applyBorder="1" applyAlignment="1" applyProtection="1">
      <alignment horizontal="center" vertical="center"/>
      <protection hidden="1"/>
    </xf>
    <xf numFmtId="0" fontId="61" fillId="25" borderId="329" xfId="1" applyFont="1" applyFill="1" applyBorder="1" applyAlignment="1" applyProtection="1">
      <alignment horizontal="center" vertical="center"/>
      <protection hidden="1"/>
    </xf>
    <xf numFmtId="170" fontId="20" fillId="30" borderId="333" xfId="1" applyNumberFormat="1" applyFont="1" applyFill="1" applyBorder="1" applyAlignment="1">
      <alignment horizontal="center" vertical="center"/>
    </xf>
    <xf numFmtId="0" fontId="65" fillId="34" borderId="334" xfId="1" applyFont="1" applyFill="1" applyBorder="1" applyAlignment="1" applyProtection="1">
      <alignment horizontal="center" vertical="center"/>
      <protection hidden="1"/>
    </xf>
    <xf numFmtId="1" fontId="20" fillId="31" borderId="335" xfId="1" applyNumberFormat="1" applyFont="1" applyFill="1" applyBorder="1" applyAlignment="1">
      <alignment horizontal="center" vertical="center"/>
    </xf>
    <xf numFmtId="0" fontId="57" fillId="35" borderId="334" xfId="1" applyFont="1" applyFill="1" applyBorder="1" applyAlignment="1" applyProtection="1">
      <alignment horizontal="center" vertical="center"/>
      <protection hidden="1"/>
    </xf>
    <xf numFmtId="1" fontId="31" fillId="31" borderId="336" xfId="1" applyNumberFormat="1" applyFont="1" applyFill="1" applyBorder="1" applyAlignment="1">
      <alignment horizontal="left" vertical="center"/>
    </xf>
    <xf numFmtId="0" fontId="53" fillId="20" borderId="337" xfId="1" applyFont="1" applyFill="1" applyBorder="1" applyAlignment="1" applyProtection="1">
      <alignment horizontal="center" vertical="center"/>
      <protection locked="0"/>
    </xf>
    <xf numFmtId="0" fontId="61" fillId="35" borderId="330" xfId="1" applyFont="1" applyFill="1" applyBorder="1" applyAlignment="1" applyProtection="1">
      <alignment horizontal="center" vertical="center"/>
      <protection hidden="1"/>
    </xf>
    <xf numFmtId="0" fontId="75" fillId="7" borderId="329" xfId="1" applyFont="1" applyFill="1" applyBorder="1" applyAlignment="1" applyProtection="1">
      <alignment horizontal="center" vertical="center"/>
      <protection hidden="1"/>
    </xf>
    <xf numFmtId="0" fontId="57" fillId="35" borderId="329" xfId="1" applyFont="1" applyFill="1" applyBorder="1" applyAlignment="1" applyProtection="1">
      <alignment horizontal="center" vertical="center"/>
      <protection hidden="1"/>
    </xf>
    <xf numFmtId="0" fontId="65" fillId="34" borderId="329" xfId="1" applyFont="1" applyFill="1" applyBorder="1" applyAlignment="1" applyProtection="1">
      <alignment horizontal="center" vertical="center"/>
      <protection hidden="1"/>
    </xf>
    <xf numFmtId="0" fontId="65" fillId="34" borderId="338" xfId="1" applyFont="1" applyFill="1" applyBorder="1" applyAlignment="1" applyProtection="1">
      <alignment horizontal="center" vertical="center"/>
      <protection hidden="1"/>
    </xf>
    <xf numFmtId="1" fontId="68" fillId="36" borderId="329" xfId="1" applyNumberFormat="1" applyFont="1" applyFill="1" applyBorder="1" applyAlignment="1" applyProtection="1">
      <alignment horizontal="left" vertical="center"/>
      <protection hidden="1"/>
    </xf>
    <xf numFmtId="1" fontId="74" fillId="20" borderId="278" xfId="5" applyNumberFormat="1" applyFont="1" applyFill="1" applyBorder="1" applyAlignment="1">
      <alignment horizontal="center" vertical="center"/>
    </xf>
    <xf numFmtId="0" fontId="36" fillId="46" borderId="278" xfId="1" applyFont="1" applyFill="1" applyBorder="1" applyAlignment="1">
      <alignment horizontal="center" vertical="center"/>
    </xf>
    <xf numFmtId="167" fontId="84" fillId="45" borderId="278" xfId="16" applyNumberFormat="1" applyFont="1" applyFill="1" applyBorder="1" applyAlignment="1" applyProtection="1">
      <alignment horizontal="center" vertical="center"/>
      <protection locked="0"/>
    </xf>
    <xf numFmtId="168" fontId="36" fillId="45" borderId="278" xfId="1" applyNumberFormat="1" applyFont="1" applyFill="1" applyBorder="1" applyAlignment="1">
      <alignment horizontal="center" vertical="center"/>
    </xf>
    <xf numFmtId="0" fontId="69" fillId="8" borderId="289" xfId="14" applyFont="1" applyFill="1" applyBorder="1" applyAlignment="1">
      <alignment vertical="center"/>
    </xf>
    <xf numFmtId="0" fontId="36" fillId="15" borderId="0" xfId="0" applyFont="1" applyFill="1" applyAlignment="1">
      <alignment vertical="center"/>
    </xf>
    <xf numFmtId="0" fontId="24" fillId="17" borderId="339" xfId="1" applyFont="1" applyFill="1" applyBorder="1" applyAlignment="1" applyProtection="1">
      <alignment horizontal="center"/>
      <protection locked="0"/>
    </xf>
    <xf numFmtId="0" fontId="48" fillId="15" borderId="256" xfId="1" applyFont="1" applyFill="1" applyBorder="1" applyAlignment="1">
      <alignment horizontal="center"/>
    </xf>
    <xf numFmtId="0" fontId="57" fillId="8" borderId="343" xfId="11" applyFont="1" applyFill="1" applyBorder="1" applyAlignment="1">
      <alignment horizontal="right" vertical="center"/>
    </xf>
    <xf numFmtId="2" fontId="1" fillId="29" borderId="344" xfId="12" applyNumberFormat="1" applyFill="1" applyBorder="1" applyAlignment="1" applyProtection="1">
      <alignment horizontal="center" vertical="center"/>
      <protection locked="0"/>
    </xf>
    <xf numFmtId="0" fontId="48" fillId="8" borderId="345" xfId="9" applyFont="1" applyFill="1" applyBorder="1" applyAlignment="1">
      <alignment horizontal="center" vertical="center"/>
    </xf>
    <xf numFmtId="0" fontId="65" fillId="34" borderId="346" xfId="1" applyFont="1" applyFill="1" applyBorder="1" applyAlignment="1" applyProtection="1">
      <alignment horizontal="center" vertical="center"/>
      <protection hidden="1"/>
    </xf>
    <xf numFmtId="0" fontId="57" fillId="58" borderId="346" xfId="1" applyFont="1" applyFill="1" applyBorder="1" applyAlignment="1" applyProtection="1">
      <alignment horizontal="center" vertical="center"/>
      <protection hidden="1"/>
    </xf>
    <xf numFmtId="0" fontId="399" fillId="43" borderId="0" xfId="1" applyFont="1" applyFill="1" applyAlignment="1">
      <alignment horizontal="left" vertical="center"/>
    </xf>
    <xf numFmtId="0" fontId="16" fillId="9" borderId="307" xfId="3" applyFont="1" applyFill="1" applyBorder="1" applyAlignment="1">
      <alignment horizontal="center" vertical="center"/>
    </xf>
    <xf numFmtId="0" fontId="16" fillId="9" borderId="346" xfId="3" applyFont="1" applyFill="1" applyBorder="1" applyAlignment="1">
      <alignment horizontal="center" vertical="center"/>
    </xf>
    <xf numFmtId="0" fontId="10" fillId="23" borderId="347" xfId="3" applyFont="1" applyFill="1" applyBorder="1" applyAlignment="1">
      <alignment horizontal="left" vertical="center"/>
    </xf>
    <xf numFmtId="0" fontId="61" fillId="27" borderId="338" xfId="1" applyFont="1" applyFill="1" applyBorder="1" applyAlignment="1" applyProtection="1">
      <alignment horizontal="center" vertical="center"/>
      <protection hidden="1"/>
    </xf>
    <xf numFmtId="171" fontId="118" fillId="43" borderId="307" xfId="0" applyNumberFormat="1" applyFont="1" applyFill="1" applyBorder="1" applyAlignment="1">
      <alignment horizontal="center" vertical="center"/>
    </xf>
    <xf numFmtId="171" fontId="118" fillId="43" borderId="346" xfId="0" applyNumberFormat="1" applyFont="1" applyFill="1" applyBorder="1" applyAlignment="1">
      <alignment horizontal="center" vertical="center"/>
    </xf>
    <xf numFmtId="0" fontId="118" fillId="43" borderId="346" xfId="0" applyFont="1" applyFill="1" applyBorder="1" applyAlignment="1">
      <alignment horizontal="center" vertical="center"/>
    </xf>
    <xf numFmtId="172" fontId="118" fillId="43" borderId="346" xfId="0" applyNumberFormat="1" applyFont="1" applyFill="1" applyBorder="1" applyAlignment="1">
      <alignment horizontal="center" vertical="center"/>
    </xf>
    <xf numFmtId="172" fontId="118" fillId="43" borderId="348" xfId="0" applyNumberFormat="1" applyFont="1" applyFill="1" applyBorder="1" applyAlignment="1">
      <alignment horizontal="center" vertical="center"/>
    </xf>
    <xf numFmtId="0" fontId="57" fillId="38" borderId="330" xfId="1" applyFont="1" applyFill="1" applyBorder="1" applyAlignment="1" applyProtection="1">
      <alignment horizontal="center" vertical="center"/>
      <protection hidden="1"/>
    </xf>
    <xf numFmtId="1" fontId="68" fillId="36" borderId="329" xfId="1" applyNumberFormat="1" applyFont="1" applyFill="1" applyBorder="1" applyAlignment="1" applyProtection="1">
      <alignment horizontal="center" vertical="center"/>
      <protection hidden="1"/>
    </xf>
    <xf numFmtId="1" fontId="50" fillId="36" borderId="338" xfId="1" applyNumberFormat="1" applyFont="1" applyFill="1" applyBorder="1" applyAlignment="1" applyProtection="1">
      <alignment horizontal="center" vertical="center"/>
      <protection hidden="1"/>
    </xf>
    <xf numFmtId="0" fontId="123" fillId="7" borderId="349" xfId="0" applyFont="1" applyFill="1" applyBorder="1" applyAlignment="1">
      <alignment horizontal="left" vertical="center"/>
    </xf>
    <xf numFmtId="0" fontId="320" fillId="15" borderId="0" xfId="17" applyFont="1" applyFill="1" applyBorder="1" applyAlignment="1">
      <alignment vertical="center"/>
    </xf>
    <xf numFmtId="0" fontId="2" fillId="133" borderId="350" xfId="3" applyFont="1" applyFill="1" applyBorder="1" applyAlignment="1">
      <alignment horizontal="left" vertical="center"/>
    </xf>
    <xf numFmtId="0" fontId="190" fillId="133" borderId="347" xfId="3" applyFont="1" applyFill="1" applyBorder="1" applyAlignment="1">
      <alignment horizontal="left" vertical="center"/>
    </xf>
    <xf numFmtId="0" fontId="57" fillId="25" borderId="296" xfId="8" applyFont="1" applyFill="1" applyBorder="1" applyAlignment="1">
      <alignment horizontal="right" vertical="center"/>
    </xf>
    <xf numFmtId="0" fontId="1" fillId="8" borderId="297" xfId="3" applyFill="1" applyBorder="1"/>
    <xf numFmtId="0" fontId="0" fillId="8" borderId="351" xfId="0" applyFill="1" applyBorder="1"/>
    <xf numFmtId="0" fontId="80" fillId="20" borderId="257" xfId="15" applyFont="1" applyFill="1" applyBorder="1" applyAlignment="1">
      <alignment horizontal="center" vertical="center"/>
    </xf>
    <xf numFmtId="0" fontId="0" fillId="8" borderId="278" xfId="0" applyFill="1" applyBorder="1"/>
    <xf numFmtId="0" fontId="128" fillId="44" borderId="278" xfId="16" applyFont="1" applyFill="1" applyBorder="1" applyAlignment="1" applyProtection="1">
      <alignment horizontal="center" vertical="center" wrapText="1"/>
      <protection locked="0"/>
    </xf>
    <xf numFmtId="174" fontId="84" fillId="45" borderId="278" xfId="16" applyNumberFormat="1" applyFont="1" applyFill="1" applyBorder="1" applyAlignment="1" applyProtection="1">
      <alignment horizontal="center" vertical="center"/>
      <protection locked="0"/>
    </xf>
    <xf numFmtId="0" fontId="152" fillId="8" borderId="353" xfId="1" applyFont="1" applyFill="1" applyBorder="1" applyAlignment="1" applyProtection="1">
      <alignment vertical="center" wrapText="1"/>
      <protection hidden="1"/>
    </xf>
    <xf numFmtId="0" fontId="76" fillId="8" borderId="353" xfId="1" applyFont="1" applyFill="1" applyBorder="1" applyAlignment="1" applyProtection="1">
      <alignment horizontal="right" vertical="center"/>
      <protection hidden="1"/>
    </xf>
    <xf numFmtId="0" fontId="24" fillId="43" borderId="6" xfId="0" applyFont="1" applyFill="1" applyBorder="1" applyAlignment="1">
      <alignment horizontal="center" vertical="center"/>
    </xf>
    <xf numFmtId="0" fontId="95" fillId="43" borderId="0" xfId="0" applyFont="1" applyFill="1" applyAlignment="1">
      <alignment horizontal="right" vertical="center"/>
    </xf>
    <xf numFmtId="0" fontId="7" fillId="3" borderId="0" xfId="2" applyFont="1" applyFill="1" applyAlignment="1">
      <alignment horizontal="center" vertical="center"/>
    </xf>
    <xf numFmtId="0" fontId="346" fillId="48" borderId="77" xfId="1" applyFont="1" applyFill="1" applyBorder="1" applyAlignment="1">
      <alignment horizontal="left" vertical="center"/>
    </xf>
    <xf numFmtId="0" fontId="346" fillId="12" borderId="77" xfId="1" applyFont="1" applyFill="1" applyBorder="1" applyAlignment="1">
      <alignment horizontal="left" vertical="center"/>
    </xf>
    <xf numFmtId="0" fontId="24" fillId="48" borderId="354" xfId="1" applyFont="1" applyFill="1" applyBorder="1" applyAlignment="1">
      <alignment horizontal="left" vertical="center"/>
    </xf>
    <xf numFmtId="0" fontId="24" fillId="12" borderId="76" xfId="1" applyFont="1" applyFill="1" applyBorder="1" applyAlignment="1">
      <alignment horizontal="left" vertical="center"/>
    </xf>
    <xf numFmtId="0" fontId="24" fillId="48" borderId="76" xfId="1" applyFont="1" applyFill="1" applyBorder="1" applyAlignment="1">
      <alignment horizontal="left" vertical="center"/>
    </xf>
    <xf numFmtId="0" fontId="163" fillId="68" borderId="0" xfId="0" applyFont="1" applyFill="1" applyAlignment="1">
      <alignment horizontal="left" vertical="center"/>
    </xf>
    <xf numFmtId="0" fontId="68" fillId="8" borderId="0" xfId="0" applyFont="1" applyFill="1" applyAlignment="1">
      <alignment horizontal="left" vertical="center"/>
    </xf>
    <xf numFmtId="0" fontId="20" fillId="8" borderId="0" xfId="0" applyFont="1" applyFill="1" applyAlignment="1">
      <alignment horizontal="left" vertical="center"/>
    </xf>
    <xf numFmtId="0" fontId="0" fillId="8" borderId="343" xfId="0" applyFill="1" applyBorder="1"/>
    <xf numFmtId="0" fontId="68" fillId="8" borderId="13" xfId="0" applyFont="1" applyFill="1" applyBorder="1" applyAlignment="1">
      <alignment horizontal="left" vertical="center"/>
    </xf>
    <xf numFmtId="0" fontId="0" fillId="8" borderId="21" xfId="0" applyFill="1" applyBorder="1"/>
    <xf numFmtId="0" fontId="391" fillId="8" borderId="6" xfId="0" applyFont="1" applyFill="1" applyBorder="1" applyAlignment="1">
      <alignment vertical="center"/>
    </xf>
    <xf numFmtId="0" fontId="73" fillId="8" borderId="6" xfId="0" applyFont="1" applyFill="1" applyBorder="1" applyAlignment="1">
      <alignment vertical="center"/>
    </xf>
    <xf numFmtId="0" fontId="71" fillId="8" borderId="6" xfId="0" applyFont="1" applyFill="1" applyBorder="1" applyAlignment="1">
      <alignment vertical="center"/>
    </xf>
    <xf numFmtId="0" fontId="71" fillId="8" borderId="343" xfId="0" applyFont="1" applyFill="1" applyBorder="1" applyAlignment="1">
      <alignment vertical="center"/>
    </xf>
    <xf numFmtId="0" fontId="71" fillId="8" borderId="13" xfId="0" applyFont="1" applyFill="1" applyBorder="1" applyAlignment="1">
      <alignment vertical="center"/>
    </xf>
    <xf numFmtId="0" fontId="76" fillId="8" borderId="13" xfId="1" applyFont="1" applyFill="1" applyBorder="1" applyAlignment="1" applyProtection="1">
      <alignment horizontal="center" vertical="center"/>
      <protection hidden="1"/>
    </xf>
    <xf numFmtId="0" fontId="0" fillId="0" borderId="13" xfId="0" applyBorder="1"/>
    <xf numFmtId="0" fontId="0" fillId="8" borderId="118" xfId="0" applyFill="1" applyBorder="1"/>
    <xf numFmtId="0" fontId="68" fillId="8" borderId="48" xfId="0" applyFont="1" applyFill="1" applyBorder="1" applyAlignment="1">
      <alignment horizontal="left" vertical="center"/>
    </xf>
    <xf numFmtId="0" fontId="0" fillId="8" borderId="50" xfId="0" applyFill="1" applyBorder="1"/>
    <xf numFmtId="0" fontId="26" fillId="8" borderId="6" xfId="4" applyFont="1" applyFill="1" applyBorder="1" applyAlignment="1">
      <alignment horizontal="left" vertical="center"/>
    </xf>
    <xf numFmtId="0" fontId="20" fillId="8" borderId="0" xfId="4" applyFont="1" applyFill="1" applyAlignment="1">
      <alignment horizontal="center" vertical="center"/>
    </xf>
    <xf numFmtId="0" fontId="26" fillId="8" borderId="0" xfId="4" applyFont="1" applyFill="1" applyAlignment="1">
      <alignment horizontal="left" vertical="center"/>
    </xf>
    <xf numFmtId="0" fontId="48" fillId="8" borderId="6" xfId="4" applyFont="1" applyFill="1" applyBorder="1" applyAlignment="1">
      <alignment horizontal="left" vertical="center"/>
    </xf>
    <xf numFmtId="0" fontId="48" fillId="8" borderId="0" xfId="4" applyFont="1" applyFill="1" applyAlignment="1">
      <alignment horizontal="left" vertical="center"/>
    </xf>
    <xf numFmtId="0" fontId="1" fillId="8" borderId="6" xfId="4" applyFill="1" applyBorder="1" applyAlignment="1">
      <alignment vertical="center"/>
    </xf>
    <xf numFmtId="0" fontId="2" fillId="10" borderId="0" xfId="5" applyFont="1" applyFill="1" applyAlignment="1">
      <alignment horizontal="center" vertical="center"/>
    </xf>
    <xf numFmtId="0" fontId="64" fillId="32" borderId="0" xfId="13" applyFont="1" applyFill="1" applyAlignment="1">
      <alignment horizontal="center" vertical="center"/>
    </xf>
    <xf numFmtId="0" fontId="0" fillId="8" borderId="6" xfId="0" applyFill="1" applyBorder="1" applyAlignment="1">
      <alignment horizontal="left" vertical="center"/>
    </xf>
    <xf numFmtId="0" fontId="20" fillId="40" borderId="0" xfId="7" applyFont="1" applyFill="1" applyAlignment="1">
      <alignment horizontal="center" vertical="center"/>
    </xf>
    <xf numFmtId="0" fontId="53" fillId="8" borderId="6" xfId="4" applyFont="1" applyFill="1" applyBorder="1" applyAlignment="1">
      <alignment horizontal="left" vertical="center"/>
    </xf>
    <xf numFmtId="0" fontId="567" fillId="136" borderId="0" xfId="4" applyFont="1" applyFill="1" applyAlignment="1">
      <alignment horizontal="left" vertical="center"/>
    </xf>
    <xf numFmtId="0" fontId="567" fillId="8" borderId="0" xfId="4" applyFont="1" applyFill="1" applyAlignment="1">
      <alignment horizontal="left" vertical="center"/>
    </xf>
    <xf numFmtId="0" fontId="29" fillId="14" borderId="0" xfId="7" applyFont="1" applyFill="1" applyAlignment="1">
      <alignment horizontal="center" vertical="center"/>
    </xf>
    <xf numFmtId="0" fontId="20" fillId="8" borderId="6" xfId="4" applyFont="1" applyFill="1" applyBorder="1" applyAlignment="1">
      <alignment horizontal="center" vertical="center"/>
    </xf>
    <xf numFmtId="0" fontId="69" fillId="8" borderId="279" xfId="14" applyFont="1" applyFill="1" applyBorder="1" applyAlignment="1">
      <alignment vertical="center"/>
    </xf>
    <xf numFmtId="0" fontId="24" fillId="17" borderId="343" xfId="1" applyFont="1" applyFill="1" applyBorder="1" applyAlignment="1" applyProtection="1">
      <alignment horizontal="center" vertical="center"/>
      <protection hidden="1"/>
    </xf>
    <xf numFmtId="165" fontId="24" fillId="24" borderId="358" xfId="1" applyNumberFormat="1" applyFont="1" applyFill="1" applyBorder="1" applyAlignment="1">
      <alignment horizontal="center" vertical="center"/>
    </xf>
    <xf numFmtId="2" fontId="1" fillId="29" borderId="358" xfId="12" applyNumberFormat="1" applyFill="1" applyBorder="1" applyAlignment="1" applyProtection="1">
      <alignment horizontal="center" vertical="center"/>
      <protection locked="0"/>
    </xf>
    <xf numFmtId="1" fontId="57" fillId="33" borderId="358" xfId="1" applyNumberFormat="1" applyFont="1" applyFill="1" applyBorder="1" applyAlignment="1">
      <alignment horizontal="center" vertical="center"/>
    </xf>
    <xf numFmtId="0" fontId="57" fillId="8" borderId="355" xfId="11" applyFont="1" applyFill="1" applyBorder="1" applyAlignment="1">
      <alignment horizontal="right" vertical="center"/>
    </xf>
    <xf numFmtId="182" fontId="21" fillId="62" borderId="279" xfId="1" applyNumberFormat="1" applyFont="1" applyFill="1" applyBorder="1" applyAlignment="1" applyProtection="1">
      <alignment horizontal="center" vertical="center" wrapText="1"/>
      <protection hidden="1"/>
    </xf>
    <xf numFmtId="0" fontId="57" fillId="38" borderId="329" xfId="1" applyFont="1" applyFill="1" applyBorder="1" applyAlignment="1" applyProtection="1">
      <alignment horizontal="center" vertical="center"/>
      <protection hidden="1"/>
    </xf>
    <xf numFmtId="173" fontId="84" fillId="21" borderId="279" xfId="1" applyNumberFormat="1" applyFont="1" applyFill="1" applyBorder="1" applyAlignment="1">
      <alignment horizontal="center" vertical="center"/>
    </xf>
    <xf numFmtId="173" fontId="58" fillId="21" borderId="279" xfId="1" applyNumberFormat="1" applyFont="1" applyFill="1" applyBorder="1" applyAlignment="1">
      <alignment horizontal="center" vertical="center"/>
    </xf>
    <xf numFmtId="173" fontId="36" fillId="36" borderId="279" xfId="1" applyNumberFormat="1" applyFont="1" applyFill="1" applyBorder="1" applyAlignment="1">
      <alignment horizontal="center" vertical="center"/>
    </xf>
    <xf numFmtId="173" fontId="13" fillId="43" borderId="279" xfId="1" applyNumberFormat="1" applyFont="1" applyFill="1" applyBorder="1" applyAlignment="1">
      <alignment horizontal="center" vertical="center"/>
    </xf>
    <xf numFmtId="0" fontId="73" fillId="44" borderId="278" xfId="16" applyFont="1" applyFill="1" applyBorder="1" applyAlignment="1" applyProtection="1">
      <alignment horizontal="center" vertical="center"/>
      <protection locked="0"/>
    </xf>
    <xf numFmtId="169" fontId="84" fillId="45" borderId="278" xfId="16" applyNumberFormat="1" applyFont="1" applyFill="1" applyBorder="1" applyAlignment="1" applyProtection="1">
      <alignment horizontal="center" vertical="center"/>
      <protection locked="0"/>
    </xf>
    <xf numFmtId="0" fontId="65" fillId="20" borderId="359" xfId="1" applyFont="1" applyFill="1" applyBorder="1" applyAlignment="1" applyProtection="1">
      <alignment vertical="center"/>
      <protection hidden="1"/>
    </xf>
    <xf numFmtId="0" fontId="20" fillId="8" borderId="0" xfId="3" applyFont="1" applyFill="1" applyAlignment="1">
      <alignment horizontal="right" vertical="center"/>
    </xf>
    <xf numFmtId="0" fontId="568" fillId="0" borderId="0" xfId="0" applyFont="1"/>
    <xf numFmtId="0" fontId="36" fillId="8" borderId="9" xfId="0" applyFont="1" applyFill="1" applyBorder="1"/>
    <xf numFmtId="0" fontId="24" fillId="43" borderId="0" xfId="3" applyFont="1" applyFill="1" applyAlignment="1">
      <alignment horizontal="right" vertical="center"/>
    </xf>
    <xf numFmtId="0" fontId="24" fillId="43" borderId="358" xfId="0" applyFont="1" applyFill="1" applyBorder="1" applyAlignment="1">
      <alignment horizontal="right" vertical="center"/>
    </xf>
    <xf numFmtId="0" fontId="143" fillId="8" borderId="0" xfId="0" applyFont="1" applyFill="1" applyAlignment="1">
      <alignment vertical="center"/>
    </xf>
    <xf numFmtId="0" fontId="341" fillId="8" borderId="0" xfId="17" applyFont="1" applyFill="1" applyAlignment="1"/>
    <xf numFmtId="0" fontId="569" fillId="8" borderId="0" xfId="1" applyFont="1" applyFill="1" applyAlignment="1">
      <alignment horizontal="center" vertical="center"/>
    </xf>
    <xf numFmtId="0" fontId="150" fillId="8" borderId="0" xfId="0" applyFont="1" applyFill="1" applyAlignment="1">
      <alignment horizontal="right" vertical="center"/>
    </xf>
    <xf numFmtId="0" fontId="341" fillId="8" borderId="0" xfId="17" applyFont="1" applyFill="1" applyAlignment="1">
      <alignment horizontal="left" vertical="center"/>
    </xf>
    <xf numFmtId="0" fontId="53" fillId="0" borderId="0" xfId="0" applyFont="1"/>
    <xf numFmtId="0" fontId="53" fillId="8" borderId="0" xfId="3" applyFont="1" applyFill="1"/>
    <xf numFmtId="0" fontId="570" fillId="8" borderId="0" xfId="1" applyFont="1" applyFill="1" applyAlignment="1" applyProtection="1">
      <alignment horizontal="left" vertical="center"/>
      <protection locked="0"/>
    </xf>
    <xf numFmtId="0" fontId="73" fillId="8" borderId="0" xfId="0" applyFont="1" applyFill="1" applyAlignment="1">
      <alignment vertical="center" wrapText="1"/>
    </xf>
    <xf numFmtId="0" fontId="71" fillId="8" borderId="0" xfId="0" applyFont="1" applyFill="1" applyAlignment="1">
      <alignment vertical="center" wrapText="1"/>
    </xf>
    <xf numFmtId="0" fontId="8" fillId="37" borderId="0" xfId="3" applyFont="1" applyFill="1" applyAlignment="1">
      <alignment horizontal="center" vertical="center"/>
    </xf>
    <xf numFmtId="0" fontId="148" fillId="8" borderId="0" xfId="29" applyFont="1" applyFill="1" applyAlignment="1" applyProtection="1">
      <alignment vertical="center"/>
      <protection locked="0"/>
    </xf>
    <xf numFmtId="0" fontId="22" fillId="14" borderId="48" xfId="2" applyFont="1" applyFill="1" applyBorder="1" applyAlignment="1">
      <alignment horizontal="center" vertical="center"/>
    </xf>
    <xf numFmtId="173" fontId="84" fillId="112" borderId="9" xfId="1" applyNumberFormat="1" applyFont="1" applyFill="1" applyBorder="1" applyAlignment="1">
      <alignment horizontal="center" vertical="center"/>
    </xf>
    <xf numFmtId="173" fontId="58" fillId="112" borderId="9" xfId="1" applyNumberFormat="1" applyFont="1" applyFill="1" applyBorder="1" applyAlignment="1">
      <alignment horizontal="center" vertical="center"/>
    </xf>
    <xf numFmtId="0" fontId="354" fillId="109" borderId="360" xfId="7" applyFont="1" applyFill="1" applyBorder="1" applyAlignment="1">
      <alignment horizontal="right" vertical="center"/>
    </xf>
    <xf numFmtId="0" fontId="354" fillId="109" borderId="230" xfId="7" applyFont="1" applyFill="1" applyBorder="1" applyAlignment="1">
      <alignment horizontal="right" vertical="center"/>
    </xf>
    <xf numFmtId="0" fontId="354" fillId="109" borderId="230" xfId="7" applyFont="1" applyFill="1" applyBorder="1" applyAlignment="1">
      <alignment horizontal="left" vertical="center"/>
    </xf>
    <xf numFmtId="1" fontId="354" fillId="109" borderId="230" xfId="7" applyNumberFormat="1" applyFont="1" applyFill="1" applyBorder="1" applyAlignment="1">
      <alignment horizontal="right" vertical="center"/>
    </xf>
    <xf numFmtId="0" fontId="73" fillId="136" borderId="0" xfId="0" applyFont="1" applyFill="1" applyAlignment="1">
      <alignment vertical="center"/>
    </xf>
    <xf numFmtId="0" fontId="68" fillId="136" borderId="0" xfId="0" applyFont="1" applyFill="1" applyAlignment="1">
      <alignment horizontal="left" vertical="center"/>
    </xf>
    <xf numFmtId="0" fontId="20" fillId="136" borderId="0" xfId="0" applyFont="1" applyFill="1" applyAlignment="1">
      <alignment horizontal="left" vertical="center"/>
    </xf>
    <xf numFmtId="0" fontId="572" fillId="132" borderId="48" xfId="2" applyFont="1" applyFill="1" applyBorder="1" applyAlignment="1">
      <alignment horizontal="center" vertical="center"/>
    </xf>
    <xf numFmtId="0" fontId="118" fillId="134" borderId="48" xfId="2" applyFont="1" applyFill="1" applyBorder="1" applyAlignment="1">
      <alignment horizontal="center" vertical="center"/>
    </xf>
    <xf numFmtId="0" fontId="573" fillId="134" borderId="48" xfId="2" applyFont="1" applyFill="1" applyBorder="1" applyAlignment="1">
      <alignment horizontal="center" vertical="center"/>
    </xf>
    <xf numFmtId="0" fontId="46" fillId="4" borderId="48" xfId="2" applyFont="1" applyFill="1" applyBorder="1" applyAlignment="1">
      <alignment horizontal="center" vertical="center"/>
    </xf>
    <xf numFmtId="0" fontId="571" fillId="4" borderId="48" xfId="2" applyFont="1" applyFill="1" applyBorder="1" applyAlignment="1">
      <alignment horizontal="center" vertical="center"/>
    </xf>
    <xf numFmtId="0" fontId="394" fillId="132" borderId="13" xfId="1" quotePrefix="1" applyFont="1" applyFill="1" applyBorder="1" applyAlignment="1">
      <alignment horizontal="center" vertical="center"/>
    </xf>
    <xf numFmtId="0" fontId="572" fillId="132" borderId="13" xfId="1" quotePrefix="1" applyFont="1" applyFill="1" applyBorder="1" applyAlignment="1">
      <alignment horizontal="center" vertical="center"/>
    </xf>
    <xf numFmtId="0" fontId="118" fillId="134" borderId="13" xfId="1" quotePrefix="1" applyFont="1" applyFill="1" applyBorder="1" applyAlignment="1">
      <alignment horizontal="center" vertical="center"/>
    </xf>
    <xf numFmtId="0" fontId="573" fillId="134" borderId="13" xfId="1" quotePrefix="1" applyFont="1" applyFill="1" applyBorder="1" applyAlignment="1">
      <alignment horizontal="center" vertical="center"/>
    </xf>
    <xf numFmtId="0" fontId="46" fillId="4" borderId="13" xfId="1" quotePrefix="1" applyFont="1" applyFill="1" applyBorder="1" applyAlignment="1">
      <alignment horizontal="center" vertical="center"/>
    </xf>
    <xf numFmtId="0" fontId="571" fillId="4" borderId="13" xfId="1" quotePrefix="1" applyFont="1" applyFill="1" applyBorder="1" applyAlignment="1">
      <alignment horizontal="center" vertical="center"/>
    </xf>
    <xf numFmtId="0" fontId="46" fillId="131" borderId="48" xfId="2" applyFont="1" applyFill="1" applyBorder="1" applyAlignment="1">
      <alignment horizontal="center" vertical="center"/>
    </xf>
    <xf numFmtId="0" fontId="46" fillId="131" borderId="13" xfId="1" quotePrefix="1" applyFont="1" applyFill="1" applyBorder="1" applyAlignment="1">
      <alignment horizontal="center" vertical="center"/>
    </xf>
    <xf numFmtId="0" fontId="574" fillId="131" borderId="48" xfId="2" applyFont="1" applyFill="1" applyBorder="1" applyAlignment="1">
      <alignment horizontal="center" vertical="center"/>
    </xf>
    <xf numFmtId="0" fontId="574" fillId="131" borderId="13" xfId="1" quotePrefix="1" applyFont="1" applyFill="1" applyBorder="1" applyAlignment="1">
      <alignment horizontal="center" vertical="center"/>
    </xf>
    <xf numFmtId="0" fontId="349" fillId="62" borderId="48" xfId="2" applyFont="1" applyFill="1" applyBorder="1" applyAlignment="1">
      <alignment horizontal="center" vertical="center"/>
    </xf>
    <xf numFmtId="0" fontId="349" fillId="62" borderId="13" xfId="1" quotePrefix="1" applyFont="1" applyFill="1" applyBorder="1" applyAlignment="1">
      <alignment horizontal="center" vertical="center"/>
    </xf>
    <xf numFmtId="0" fontId="22" fillId="62" borderId="48" xfId="2" applyFont="1" applyFill="1" applyBorder="1" applyAlignment="1">
      <alignment horizontal="center" vertical="center"/>
    </xf>
    <xf numFmtId="0" fontId="22" fillId="62" borderId="13" xfId="1" quotePrefix="1" applyFont="1" applyFill="1" applyBorder="1" applyAlignment="1">
      <alignment horizontal="center" vertical="center"/>
    </xf>
    <xf numFmtId="0" fontId="363" fillId="16" borderId="48" xfId="2" applyFont="1" applyFill="1" applyBorder="1" applyAlignment="1">
      <alignment horizontal="center" vertical="center"/>
    </xf>
    <xf numFmtId="0" fontId="363" fillId="16" borderId="13" xfId="1" quotePrefix="1" applyFont="1" applyFill="1" applyBorder="1" applyAlignment="1">
      <alignment horizontal="center" vertical="center"/>
    </xf>
    <xf numFmtId="0" fontId="575" fillId="16" borderId="48" xfId="2" applyFont="1" applyFill="1" applyBorder="1" applyAlignment="1">
      <alignment horizontal="center" vertical="center"/>
    </xf>
    <xf numFmtId="0" fontId="575" fillId="16" borderId="13" xfId="1" quotePrefix="1" applyFont="1" applyFill="1" applyBorder="1" applyAlignment="1">
      <alignment horizontal="center" vertical="center"/>
    </xf>
    <xf numFmtId="0" fontId="30" fillId="129" borderId="48" xfId="2" applyFont="1" applyFill="1" applyBorder="1" applyAlignment="1">
      <alignment horizontal="center" vertical="center"/>
    </xf>
    <xf numFmtId="0" fontId="30" fillId="129" borderId="13" xfId="1" quotePrefix="1" applyFont="1" applyFill="1" applyBorder="1" applyAlignment="1">
      <alignment horizontal="center" vertical="center"/>
    </xf>
    <xf numFmtId="0" fontId="126" fillId="129" borderId="48" xfId="2" applyFont="1" applyFill="1" applyBorder="1" applyAlignment="1">
      <alignment horizontal="center" vertical="center"/>
    </xf>
    <xf numFmtId="0" fontId="126" fillId="129" borderId="13" xfId="1" quotePrefix="1" applyFont="1" applyFill="1" applyBorder="1" applyAlignment="1">
      <alignment horizontal="center" vertical="center"/>
    </xf>
    <xf numFmtId="0" fontId="363" fillId="37" borderId="0" xfId="26" applyFont="1" applyFill="1" applyAlignment="1">
      <alignment horizontal="center" vertical="center"/>
    </xf>
    <xf numFmtId="0" fontId="22" fillId="14" borderId="13" xfId="1" quotePrefix="1" applyFont="1" applyFill="1" applyBorder="1" applyAlignment="1">
      <alignment horizontal="center" vertical="center"/>
    </xf>
    <xf numFmtId="0" fontId="571" fillId="14" borderId="13" xfId="1" quotePrefix="1" applyFont="1" applyFill="1" applyBorder="1" applyAlignment="1">
      <alignment horizontal="center" vertical="center"/>
    </xf>
    <xf numFmtId="0" fontId="181" fillId="61" borderId="48" xfId="2" applyFont="1" applyFill="1" applyBorder="1" applyAlignment="1">
      <alignment horizontal="center" vertical="center"/>
    </xf>
    <xf numFmtId="0" fontId="415" fillId="61" borderId="13" xfId="1" quotePrefix="1" applyFont="1" applyFill="1" applyBorder="1" applyAlignment="1">
      <alignment horizontal="center" vertical="center"/>
    </xf>
    <xf numFmtId="0" fontId="13" fillId="50" borderId="353" xfId="3" applyFont="1" applyFill="1" applyBorder="1" applyAlignment="1">
      <alignment horizontal="left" vertical="center"/>
    </xf>
    <xf numFmtId="0" fontId="22" fillId="129" borderId="13" xfId="1" quotePrefix="1" applyFont="1" applyFill="1" applyBorder="1" applyAlignment="1">
      <alignment horizontal="center" vertical="center"/>
    </xf>
    <xf numFmtId="0" fontId="75" fillId="129" borderId="48" xfId="2" applyFont="1" applyFill="1" applyBorder="1" applyAlignment="1">
      <alignment horizontal="center" vertical="center"/>
    </xf>
    <xf numFmtId="0" fontId="75" fillId="129" borderId="13" xfId="1" quotePrefix="1" applyFont="1" applyFill="1" applyBorder="1" applyAlignment="1">
      <alignment horizontal="center" vertical="center"/>
    </xf>
    <xf numFmtId="0" fontId="181" fillId="110" borderId="48" xfId="2" applyFont="1" applyFill="1" applyBorder="1" applyAlignment="1">
      <alignment horizontal="center" vertical="center"/>
    </xf>
    <xf numFmtId="0" fontId="415" fillId="110" borderId="13" xfId="1" quotePrefix="1" applyFont="1" applyFill="1" applyBorder="1" applyAlignment="1">
      <alignment horizontal="center" vertical="center"/>
    </xf>
    <xf numFmtId="0" fontId="405" fillId="8" borderId="0" xfId="17" applyFont="1" applyFill="1" applyAlignment="1">
      <alignment vertical="center"/>
    </xf>
    <xf numFmtId="0" fontId="576" fillId="8" borderId="0" xfId="0" applyFont="1" applyFill="1" applyAlignment="1">
      <alignment vertical="center"/>
    </xf>
    <xf numFmtId="0" fontId="577" fillId="17" borderId="0" xfId="7" applyFont="1" applyFill="1" applyAlignment="1">
      <alignment horizontal="left" vertical="center"/>
    </xf>
    <xf numFmtId="0" fontId="198" fillId="88" borderId="0" xfId="1" applyFont="1" applyFill="1" applyAlignment="1">
      <alignment horizontal="center" vertical="center"/>
    </xf>
    <xf numFmtId="0" fontId="324" fillId="8" borderId="0" xfId="1" applyFont="1" applyFill="1" applyAlignment="1">
      <alignment horizontal="center" vertical="center" wrapText="1"/>
    </xf>
    <xf numFmtId="0" fontId="428" fillId="37" borderId="0" xfId="1" applyFont="1" applyFill="1" applyAlignment="1" applyProtection="1">
      <alignment horizontal="center"/>
      <protection hidden="1"/>
    </xf>
    <xf numFmtId="0" fontId="190" fillId="129" borderId="351" xfId="1" applyFont="1" applyFill="1" applyBorder="1" applyAlignment="1">
      <alignment horizontal="center" vertical="center"/>
    </xf>
    <xf numFmtId="0" fontId="21" fillId="74" borderId="346" xfId="1" applyFont="1" applyFill="1" applyBorder="1" applyAlignment="1">
      <alignment horizontal="center" vertical="center" wrapText="1"/>
    </xf>
    <xf numFmtId="0" fontId="86" fillId="8" borderId="346" xfId="17" applyFill="1" applyBorder="1" applyAlignment="1">
      <alignment vertical="center"/>
    </xf>
    <xf numFmtId="0" fontId="86" fillId="8" borderId="348" xfId="17" applyFill="1" applyBorder="1" applyAlignment="1">
      <alignment vertical="center"/>
    </xf>
    <xf numFmtId="182" fontId="425" fillId="66" borderId="279" xfId="13" applyNumberFormat="1" applyFont="1" applyFill="1" applyBorder="1" applyAlignment="1" applyProtection="1">
      <alignment horizontal="center" vertical="center"/>
      <protection locked="0"/>
    </xf>
    <xf numFmtId="187" fontId="96" fillId="66" borderId="279" xfId="13" applyNumberFormat="1" applyFont="1" applyFill="1" applyBorder="1" applyAlignment="1" applyProtection="1">
      <alignment horizontal="center" vertical="center"/>
      <protection locked="0"/>
    </xf>
    <xf numFmtId="182" fontId="96" fillId="66" borderId="279" xfId="13" applyNumberFormat="1" applyFont="1" applyFill="1" applyBorder="1" applyAlignment="1" applyProtection="1">
      <alignment horizontal="center" vertical="center"/>
      <protection locked="0"/>
    </xf>
    <xf numFmtId="182" fontId="20" fillId="8" borderId="279" xfId="13" applyNumberFormat="1" applyFont="1" applyFill="1" applyBorder="1" applyAlignment="1" applyProtection="1">
      <alignment horizontal="center" vertical="center"/>
      <protection locked="0"/>
    </xf>
    <xf numFmtId="187" fontId="20" fillId="8" borderId="279" xfId="13" applyNumberFormat="1" applyFont="1" applyFill="1" applyBorder="1" applyAlignment="1" applyProtection="1">
      <alignment horizontal="center" vertical="center"/>
      <protection locked="0"/>
    </xf>
    <xf numFmtId="0" fontId="24" fillId="7" borderId="346" xfId="13" applyFont="1" applyFill="1" applyBorder="1" applyAlignment="1" applyProtection="1">
      <alignment horizontal="left" vertical="center"/>
      <protection locked="0"/>
    </xf>
    <xf numFmtId="0" fontId="24" fillId="7" borderId="346" xfId="13" applyFont="1" applyFill="1" applyBorder="1" applyAlignment="1" applyProtection="1">
      <alignment horizontal="right" vertical="center"/>
      <protection locked="0"/>
    </xf>
    <xf numFmtId="182" fontId="20" fillId="7" borderId="346" xfId="13" applyNumberFormat="1" applyFont="1" applyFill="1" applyBorder="1" applyAlignment="1" applyProtection="1">
      <alignment horizontal="center" vertical="center"/>
      <protection locked="0"/>
    </xf>
    <xf numFmtId="0" fontId="24" fillId="7" borderId="346" xfId="1" applyFont="1" applyFill="1" applyBorder="1" applyProtection="1">
      <protection hidden="1"/>
    </xf>
    <xf numFmtId="0" fontId="20" fillId="7" borderId="346" xfId="13" applyFont="1" applyFill="1" applyBorder="1" applyAlignment="1" applyProtection="1">
      <alignment horizontal="right" vertical="center"/>
      <protection locked="0"/>
    </xf>
    <xf numFmtId="187" fontId="20" fillId="7" borderId="346" xfId="13" applyNumberFormat="1" applyFont="1" applyFill="1" applyBorder="1" applyAlignment="1" applyProtection="1">
      <alignment horizontal="center" vertical="center"/>
      <protection locked="0"/>
    </xf>
    <xf numFmtId="187" fontId="20" fillId="7" borderId="348" xfId="13" applyNumberFormat="1" applyFont="1" applyFill="1" applyBorder="1" applyAlignment="1" applyProtection="1">
      <alignment horizontal="center" vertical="center"/>
      <protection locked="0"/>
    </xf>
    <xf numFmtId="175" fontId="98" fillId="66" borderId="279" xfId="13" applyNumberFormat="1" applyFont="1" applyFill="1" applyBorder="1" applyAlignment="1" applyProtection="1">
      <alignment horizontal="center" vertical="center"/>
      <protection locked="0"/>
    </xf>
    <xf numFmtId="0" fontId="20" fillId="8" borderId="288" xfId="13" applyFont="1" applyFill="1" applyBorder="1" applyAlignment="1" applyProtection="1">
      <alignment horizontal="left" vertical="center"/>
      <protection locked="0"/>
    </xf>
    <xf numFmtId="0" fontId="20" fillId="8" borderId="288" xfId="13" applyFont="1" applyFill="1" applyBorder="1" applyAlignment="1" applyProtection="1">
      <alignment horizontal="right" vertical="center"/>
      <protection locked="0"/>
    </xf>
    <xf numFmtId="187" fontId="20" fillId="8" borderId="289" xfId="13" applyNumberFormat="1" applyFont="1" applyFill="1" applyBorder="1" applyAlignment="1" applyProtection="1">
      <alignment horizontal="center" vertical="center"/>
      <protection locked="0"/>
    </xf>
    <xf numFmtId="0" fontId="24" fillId="8" borderId="288" xfId="13" applyFont="1" applyFill="1" applyBorder="1" applyAlignment="1" applyProtection="1">
      <alignment horizontal="right" vertical="center"/>
      <protection locked="0"/>
    </xf>
    <xf numFmtId="182" fontId="20" fillId="8" borderId="289" xfId="13" applyNumberFormat="1" applyFont="1" applyFill="1" applyBorder="1" applyAlignment="1" applyProtection="1">
      <alignment horizontal="center" vertical="center"/>
      <protection locked="0"/>
    </xf>
    <xf numFmtId="187" fontId="20" fillId="8" borderId="290" xfId="13" applyNumberFormat="1" applyFont="1" applyFill="1" applyBorder="1" applyAlignment="1" applyProtection="1">
      <alignment horizontal="center" vertical="center"/>
      <protection locked="0"/>
    </xf>
    <xf numFmtId="0" fontId="1" fillId="8" borderId="351" xfId="0" applyFont="1" applyFill="1" applyBorder="1"/>
    <xf numFmtId="0" fontId="54" fillId="8" borderId="351" xfId="1" applyFont="1" applyFill="1" applyBorder="1" applyAlignment="1">
      <alignment horizontal="center" vertical="center"/>
    </xf>
    <xf numFmtId="185" fontId="84" fillId="66" borderId="279" xfId="13" applyNumberFormat="1" applyFont="1" applyFill="1" applyBorder="1" applyAlignment="1" applyProtection="1">
      <alignment horizontal="center" vertical="center"/>
      <protection locked="0"/>
    </xf>
    <xf numFmtId="0" fontId="1" fillId="8" borderId="278" xfId="0" applyFont="1" applyFill="1" applyBorder="1"/>
    <xf numFmtId="0" fontId="54" fillId="8" borderId="278" xfId="1" applyFont="1" applyFill="1" applyBorder="1" applyAlignment="1">
      <alignment horizontal="center" vertical="center"/>
    </xf>
    <xf numFmtId="185" fontId="57" fillId="65" borderId="279" xfId="13" applyNumberFormat="1" applyFont="1" applyFill="1" applyBorder="1" applyAlignment="1" applyProtection="1">
      <alignment horizontal="center" vertical="center"/>
      <protection locked="0"/>
    </xf>
    <xf numFmtId="0" fontId="1" fillId="8" borderId="288" xfId="0" applyFont="1" applyFill="1" applyBorder="1"/>
    <xf numFmtId="0" fontId="57" fillId="65" borderId="288" xfId="13" applyFont="1" applyFill="1" applyBorder="1" applyAlignment="1" applyProtection="1">
      <alignment horizontal="right" vertical="center"/>
      <protection locked="0"/>
    </xf>
    <xf numFmtId="186" fontId="57" fillId="65" borderId="289" xfId="13" applyNumberFormat="1" applyFont="1" applyFill="1" applyBorder="1" applyAlignment="1" applyProtection="1">
      <alignment horizontal="center" vertical="center"/>
      <protection locked="0"/>
    </xf>
    <xf numFmtId="0" fontId="1" fillId="8" borderId="287" xfId="0" applyFont="1" applyFill="1" applyBorder="1"/>
    <xf numFmtId="0" fontId="54" fillId="8" borderId="287" xfId="1" applyFont="1" applyFill="1" applyBorder="1" applyAlignment="1">
      <alignment horizontal="center" vertical="center"/>
    </xf>
    <xf numFmtId="171" fontId="57" fillId="65" borderId="290" xfId="13" applyNumberFormat="1" applyFont="1" applyFill="1" applyBorder="1" applyAlignment="1" applyProtection="1">
      <alignment horizontal="center" vertical="center"/>
      <protection locked="0"/>
    </xf>
    <xf numFmtId="2" fontId="20" fillId="114" borderId="344" xfId="13" applyNumberFormat="1" applyFont="1" applyFill="1" applyBorder="1" applyAlignment="1" applyProtection="1">
      <alignment horizontal="center" vertical="center" wrapText="1"/>
      <protection locked="0"/>
    </xf>
    <xf numFmtId="179" fontId="10" fillId="7" borderId="362" xfId="13" applyNumberFormat="1" applyFont="1" applyFill="1" applyBorder="1" applyAlignment="1">
      <alignment horizontal="center" vertical="center"/>
    </xf>
    <xf numFmtId="0" fontId="24" fillId="7" borderId="342" xfId="13" applyFont="1" applyFill="1" applyBorder="1" applyAlignment="1">
      <alignment horizontal="center" vertical="center"/>
    </xf>
    <xf numFmtId="2" fontId="10" fillId="7" borderId="338" xfId="13" applyNumberFormat="1" applyFont="1" applyFill="1" applyBorder="1" applyAlignment="1">
      <alignment horizontal="center" vertical="center"/>
    </xf>
    <xf numFmtId="185" fontId="58" fillId="66" borderId="279" xfId="13" applyNumberFormat="1" applyFont="1" applyFill="1" applyBorder="1" applyAlignment="1" applyProtection="1">
      <alignment horizontal="center" vertical="center"/>
      <protection locked="0"/>
    </xf>
    <xf numFmtId="9" fontId="10" fillId="142" borderId="358" xfId="13" applyNumberFormat="1" applyFont="1" applyFill="1" applyBorder="1" applyAlignment="1">
      <alignment horizontal="center" vertical="center"/>
    </xf>
    <xf numFmtId="169" fontId="424" fillId="20" borderId="363" xfId="5" applyNumberFormat="1" applyFont="1" applyFill="1" applyBorder="1" applyAlignment="1">
      <alignment horizontal="center" vertical="center"/>
    </xf>
    <xf numFmtId="9" fontId="174" fillId="142" borderId="358" xfId="13" applyNumberFormat="1" applyFont="1" applyFill="1" applyBorder="1" applyAlignment="1">
      <alignment horizontal="center" vertical="center"/>
    </xf>
    <xf numFmtId="186" fontId="134" fillId="66" borderId="358" xfId="13" applyNumberFormat="1" applyFont="1" applyFill="1" applyBorder="1" applyAlignment="1">
      <alignment horizontal="center" vertical="center"/>
    </xf>
    <xf numFmtId="174" fontId="13" fillId="7" borderId="364" xfId="13" applyNumberFormat="1" applyFont="1" applyFill="1" applyBorder="1" applyAlignment="1" applyProtection="1">
      <alignment horizontal="center" vertical="center"/>
      <protection locked="0"/>
    </xf>
    <xf numFmtId="185" fontId="57" fillId="65" borderId="290" xfId="13" applyNumberFormat="1" applyFont="1" applyFill="1" applyBorder="1" applyAlignment="1" applyProtection="1">
      <alignment horizontal="center" vertical="center"/>
      <protection locked="0"/>
    </xf>
    <xf numFmtId="186" fontId="134" fillId="66" borderId="365" xfId="13" applyNumberFormat="1" applyFont="1" applyFill="1" applyBorder="1" applyAlignment="1">
      <alignment horizontal="center" vertical="center"/>
    </xf>
    <xf numFmtId="0" fontId="84" fillId="66" borderId="288" xfId="5" applyFont="1" applyFill="1" applyBorder="1" applyAlignment="1">
      <alignment horizontal="left" vertical="center"/>
    </xf>
    <xf numFmtId="174" fontId="13" fillId="7" borderId="288" xfId="13" applyNumberFormat="1" applyFont="1" applyFill="1" applyBorder="1" applyAlignment="1" applyProtection="1">
      <alignment horizontal="center" vertical="center"/>
      <protection locked="0"/>
    </xf>
    <xf numFmtId="175" fontId="154" fillId="66" borderId="288" xfId="13" applyNumberFormat="1" applyFont="1" applyFill="1" applyBorder="1" applyAlignment="1" applyProtection="1">
      <alignment horizontal="center" vertical="center"/>
      <protection locked="0"/>
    </xf>
    <xf numFmtId="174" fontId="13" fillId="7" borderId="290" xfId="13" applyNumberFormat="1" applyFont="1" applyFill="1" applyBorder="1" applyAlignment="1" applyProtection="1">
      <alignment horizontal="center" vertical="center"/>
      <protection locked="0"/>
    </xf>
    <xf numFmtId="0" fontId="54" fillId="4" borderId="279" xfId="1" applyFont="1" applyFill="1" applyBorder="1" applyAlignment="1">
      <alignment horizontal="center" vertical="center"/>
    </xf>
    <xf numFmtId="0" fontId="13" fillId="37" borderId="279" xfId="1" applyFont="1" applyFill="1" applyBorder="1" applyAlignment="1" applyProtection="1">
      <alignment horizontal="center" vertical="center"/>
      <protection locked="0"/>
    </xf>
    <xf numFmtId="0" fontId="2" fillId="2" borderId="289" xfId="1" applyFont="1" applyFill="1" applyBorder="1" applyAlignment="1">
      <alignment horizontal="center" vertical="center"/>
    </xf>
    <xf numFmtId="0" fontId="36" fillId="8" borderId="367" xfId="3" applyFont="1" applyFill="1" applyBorder="1"/>
    <xf numFmtId="0" fontId="361" fillId="223" borderId="369" xfId="46" applyFont="1" applyFill="1" applyBorder="1" applyAlignment="1">
      <alignment horizontal="center" vertical="center" wrapText="1"/>
    </xf>
    <xf numFmtId="0" fontId="0" fillId="0" borderId="372" xfId="0" applyBorder="1" applyAlignment="1">
      <alignment horizontal="center" vertical="center"/>
    </xf>
    <xf numFmtId="0" fontId="563" fillId="65" borderId="372" xfId="46" applyFont="1" applyFill="1" applyBorder="1" applyAlignment="1">
      <alignment horizontal="center" vertical="center" wrapText="1"/>
    </xf>
    <xf numFmtId="0" fontId="361" fillId="187" borderId="373" xfId="46" applyFont="1" applyFill="1" applyBorder="1" applyAlignment="1">
      <alignment horizontal="center" vertical="center" wrapText="1"/>
    </xf>
    <xf numFmtId="0" fontId="563" fillId="227" borderId="369" xfId="46" applyFont="1" applyFill="1" applyBorder="1" applyAlignment="1">
      <alignment horizontal="center" vertical="center" wrapText="1"/>
    </xf>
    <xf numFmtId="0" fontId="361" fillId="183" borderId="373" xfId="46" applyFont="1" applyFill="1" applyBorder="1" applyAlignment="1">
      <alignment horizontal="center" vertical="center" wrapText="1"/>
    </xf>
    <xf numFmtId="0" fontId="563" fillId="13" borderId="369" xfId="46" applyFont="1" applyFill="1" applyBorder="1" applyAlignment="1">
      <alignment horizontal="center" vertical="center" wrapText="1"/>
    </xf>
    <xf numFmtId="0" fontId="361" fillId="188" borderId="373" xfId="46" applyFont="1" applyFill="1" applyBorder="1" applyAlignment="1">
      <alignment horizontal="center" vertical="center" wrapText="1"/>
    </xf>
    <xf numFmtId="0" fontId="563" fillId="78" borderId="369" xfId="46" applyFont="1" applyFill="1" applyBorder="1" applyAlignment="1">
      <alignment horizontal="center" vertical="center" wrapText="1"/>
    </xf>
    <xf numFmtId="0" fontId="361" fillId="179" borderId="373" xfId="46" applyFont="1" applyFill="1" applyBorder="1" applyAlignment="1">
      <alignment horizontal="center" vertical="center" wrapText="1"/>
    </xf>
    <xf numFmtId="0" fontId="563" fillId="68" borderId="373" xfId="46" applyFont="1" applyFill="1" applyBorder="1" applyAlignment="1">
      <alignment horizontal="center" vertical="center" wrapText="1"/>
    </xf>
    <xf numFmtId="0" fontId="563" fillId="204" borderId="373" xfId="46" applyFont="1" applyFill="1" applyBorder="1" applyAlignment="1">
      <alignment horizontal="center" vertical="center" wrapText="1"/>
    </xf>
    <xf numFmtId="0" fontId="563" fillId="21" borderId="373" xfId="46" applyFont="1" applyFill="1" applyBorder="1" applyAlignment="1">
      <alignment horizontal="center" vertical="center" wrapText="1"/>
    </xf>
    <xf numFmtId="0" fontId="563" fillId="191" borderId="373" xfId="46" applyFont="1" applyFill="1" applyBorder="1" applyAlignment="1">
      <alignment horizontal="center" vertical="center" wrapText="1"/>
    </xf>
    <xf numFmtId="0" fontId="563" fillId="69" borderId="373" xfId="46" applyFont="1" applyFill="1" applyBorder="1" applyAlignment="1">
      <alignment horizontal="center" vertical="center" wrapText="1"/>
    </xf>
    <xf numFmtId="0" fontId="563" fillId="157" borderId="373" xfId="46" applyFont="1" applyFill="1" applyBorder="1" applyAlignment="1">
      <alignment horizontal="center" vertical="center" wrapText="1"/>
    </xf>
    <xf numFmtId="0" fontId="563" fillId="246" borderId="373" xfId="46" applyFont="1" applyFill="1" applyBorder="1" applyAlignment="1">
      <alignment horizontal="center" vertical="center" wrapText="1"/>
    </xf>
    <xf numFmtId="0" fontId="563" fillId="172" borderId="373" xfId="46" applyFont="1" applyFill="1" applyBorder="1" applyAlignment="1">
      <alignment horizontal="center" vertical="center" wrapText="1"/>
    </xf>
    <xf numFmtId="0" fontId="361" fillId="74" borderId="373" xfId="46" applyFont="1" applyFill="1" applyBorder="1" applyAlignment="1">
      <alignment horizontal="center" vertical="center" wrapText="1"/>
    </xf>
    <xf numFmtId="0" fontId="563" fillId="206" borderId="373" xfId="46" applyFont="1" applyFill="1" applyBorder="1" applyAlignment="1">
      <alignment horizontal="center" vertical="center" wrapText="1"/>
    </xf>
    <xf numFmtId="0" fontId="90" fillId="80" borderId="374" xfId="6" applyFont="1" applyFill="1" applyBorder="1" applyAlignment="1">
      <alignment horizontal="center" vertical="center"/>
    </xf>
    <xf numFmtId="0" fontId="90" fillId="80" borderId="375" xfId="6" applyFont="1" applyFill="1" applyBorder="1" applyAlignment="1">
      <alignment horizontal="center" vertical="center"/>
    </xf>
    <xf numFmtId="0" fontId="361" fillId="72" borderId="373" xfId="46" applyFont="1" applyFill="1" applyBorder="1" applyAlignment="1">
      <alignment horizontal="center" vertical="center" wrapText="1"/>
    </xf>
    <xf numFmtId="0" fontId="563" fillId="207" borderId="373" xfId="46" applyFont="1" applyFill="1" applyBorder="1" applyAlignment="1">
      <alignment horizontal="center" vertical="center" wrapText="1"/>
    </xf>
    <xf numFmtId="0" fontId="361" fillId="185" borderId="373" xfId="46" applyFont="1" applyFill="1" applyBorder="1" applyAlignment="1">
      <alignment horizontal="center" vertical="center" wrapText="1"/>
    </xf>
    <xf numFmtId="0" fontId="563" fillId="161" borderId="373" xfId="46" applyFont="1" applyFill="1" applyBorder="1" applyAlignment="1">
      <alignment horizontal="center" vertical="center" wrapText="1"/>
    </xf>
    <xf numFmtId="0" fontId="361" fillId="186" borderId="373" xfId="46" applyFont="1" applyFill="1" applyBorder="1" applyAlignment="1">
      <alignment horizontal="center" vertical="center" wrapText="1"/>
    </xf>
    <xf numFmtId="0" fontId="563" fillId="208" borderId="373" xfId="46" applyFont="1" applyFill="1" applyBorder="1" applyAlignment="1">
      <alignment horizontal="center" vertical="center" wrapText="1"/>
    </xf>
    <xf numFmtId="0" fontId="563" fillId="209" borderId="373" xfId="46" applyFont="1" applyFill="1" applyBorder="1" applyAlignment="1">
      <alignment horizontal="center" vertical="center" wrapText="1"/>
    </xf>
    <xf numFmtId="0" fontId="563" fillId="210" borderId="373" xfId="46" applyFont="1" applyFill="1" applyBorder="1" applyAlignment="1">
      <alignment horizontal="center" vertical="center" wrapText="1"/>
    </xf>
    <xf numFmtId="0" fontId="563" fillId="163" borderId="373" xfId="46" applyFont="1" applyFill="1" applyBorder="1" applyAlignment="1">
      <alignment horizontal="center" vertical="center" wrapText="1"/>
    </xf>
    <xf numFmtId="0" fontId="563" fillId="168" borderId="373" xfId="46" applyFont="1" applyFill="1" applyBorder="1" applyAlignment="1">
      <alignment horizontal="center" vertical="center" wrapText="1"/>
    </xf>
    <xf numFmtId="0" fontId="563" fillId="5" borderId="373" xfId="46" applyFont="1" applyFill="1" applyBorder="1" applyAlignment="1">
      <alignment horizontal="center" vertical="center" wrapText="1"/>
    </xf>
    <xf numFmtId="0" fontId="563" fillId="211" borderId="373" xfId="46" applyFont="1" applyFill="1" applyBorder="1" applyAlignment="1">
      <alignment horizontal="center" vertical="center" wrapText="1"/>
    </xf>
    <xf numFmtId="0" fontId="361" fillId="189" borderId="373" xfId="46" applyFont="1" applyFill="1" applyBorder="1" applyAlignment="1">
      <alignment horizontal="center" vertical="center" wrapText="1"/>
    </xf>
    <xf numFmtId="0" fontId="563" fillId="212" borderId="373" xfId="46" applyFont="1" applyFill="1" applyBorder="1" applyAlignment="1">
      <alignment horizontal="center" vertical="center" wrapText="1"/>
    </xf>
    <xf numFmtId="0" fontId="361" fillId="190" borderId="373" xfId="46" applyFont="1" applyFill="1" applyBorder="1" applyAlignment="1">
      <alignment horizontal="center" vertical="center" wrapText="1"/>
    </xf>
    <xf numFmtId="0" fontId="563" fillId="174" borderId="373" xfId="46" applyFont="1" applyFill="1" applyBorder="1" applyAlignment="1">
      <alignment horizontal="center" vertical="center" wrapText="1"/>
    </xf>
    <xf numFmtId="0" fontId="563" fillId="20" borderId="373" xfId="46" applyFont="1" applyFill="1" applyBorder="1" applyAlignment="1">
      <alignment horizontal="center" vertical="center" wrapText="1"/>
    </xf>
    <xf numFmtId="0" fontId="361" fillId="213" borderId="373" xfId="46" applyFont="1" applyFill="1" applyBorder="1" applyAlignment="1">
      <alignment horizontal="center" vertical="center" wrapText="1"/>
    </xf>
    <xf numFmtId="0" fontId="563" fillId="214" borderId="373" xfId="46" applyFont="1" applyFill="1" applyBorder="1" applyAlignment="1">
      <alignment horizontal="center" vertical="center" wrapText="1"/>
    </xf>
    <xf numFmtId="0" fontId="361" fillId="192" borderId="373" xfId="46" applyFont="1" applyFill="1" applyBorder="1" applyAlignment="1">
      <alignment horizontal="center" vertical="center" wrapText="1"/>
    </xf>
    <xf numFmtId="0" fontId="361" fillId="215" borderId="373" xfId="46" applyFont="1" applyFill="1" applyBorder="1" applyAlignment="1">
      <alignment horizontal="center" vertical="center" wrapText="1"/>
    </xf>
    <xf numFmtId="0" fontId="563" fillId="193" borderId="373" xfId="46" applyFont="1" applyFill="1" applyBorder="1" applyAlignment="1">
      <alignment horizontal="center" vertical="center" wrapText="1"/>
    </xf>
    <xf numFmtId="0" fontId="563" fillId="77" borderId="373" xfId="46" applyFont="1" applyFill="1" applyBorder="1" applyAlignment="1">
      <alignment horizontal="center" vertical="center" wrapText="1"/>
    </xf>
    <xf numFmtId="0" fontId="361" fillId="194" borderId="373" xfId="46" applyFont="1" applyFill="1" applyBorder="1" applyAlignment="1">
      <alignment horizontal="center" vertical="center" wrapText="1"/>
    </xf>
    <xf numFmtId="0" fontId="361" fillId="218" borderId="373" xfId="46" applyFont="1" applyFill="1" applyBorder="1" applyAlignment="1">
      <alignment horizontal="center" vertical="center" wrapText="1"/>
    </xf>
    <xf numFmtId="0" fontId="563" fillId="195" borderId="373" xfId="46" applyFont="1" applyFill="1" applyBorder="1" applyAlignment="1">
      <alignment horizontal="center" vertical="center" wrapText="1"/>
    </xf>
    <xf numFmtId="0" fontId="361" fillId="219" borderId="373" xfId="46" applyFont="1" applyFill="1" applyBorder="1" applyAlignment="1">
      <alignment horizontal="center" vertical="center" wrapText="1"/>
    </xf>
    <xf numFmtId="0" fontId="563" fillId="181" borderId="373" xfId="46" applyFont="1" applyFill="1" applyBorder="1" applyAlignment="1">
      <alignment horizontal="center" vertical="center" wrapText="1"/>
    </xf>
    <xf numFmtId="0" fontId="361" fillId="221" borderId="373" xfId="46" applyFont="1" applyFill="1" applyBorder="1" applyAlignment="1">
      <alignment horizontal="center" vertical="center" wrapText="1"/>
    </xf>
    <xf numFmtId="0" fontId="563" fillId="180" borderId="373" xfId="46" applyFont="1" applyFill="1" applyBorder="1" applyAlignment="1">
      <alignment horizontal="center" vertical="center" wrapText="1"/>
    </xf>
    <xf numFmtId="0" fontId="361" fillId="222" borderId="373" xfId="46" applyFont="1" applyFill="1" applyBorder="1" applyAlignment="1">
      <alignment horizontal="center" vertical="center" wrapText="1"/>
    </xf>
    <xf numFmtId="0" fontId="563" fillId="182" borderId="373" xfId="46" applyFont="1" applyFill="1" applyBorder="1" applyAlignment="1">
      <alignment horizontal="center" vertical="center" wrapText="1"/>
    </xf>
    <xf numFmtId="0" fontId="77" fillId="8" borderId="0" xfId="1" applyFont="1" applyFill="1" applyAlignment="1" applyProtection="1">
      <alignment horizontal="left" vertical="center"/>
      <protection locked="0"/>
    </xf>
    <xf numFmtId="0" fontId="41" fillId="129" borderId="339" xfId="1" applyFont="1" applyFill="1" applyBorder="1" applyAlignment="1">
      <alignment horizontal="center" vertical="center"/>
    </xf>
    <xf numFmtId="0" fontId="183" fillId="8" borderId="376" xfId="39" applyFill="1" applyBorder="1" applyAlignment="1">
      <alignment vertical="center"/>
    </xf>
    <xf numFmtId="0" fontId="183" fillId="8" borderId="377" xfId="39" applyFill="1" applyBorder="1" applyAlignment="1">
      <alignment vertical="center"/>
    </xf>
    <xf numFmtId="0" fontId="24" fillId="8" borderId="343" xfId="7" applyFont="1" applyFill="1" applyBorder="1" applyAlignment="1" applyProtection="1">
      <alignment horizontal="left" vertical="center"/>
      <protection locked="0"/>
    </xf>
    <xf numFmtId="0" fontId="24" fillId="7" borderId="378" xfId="7" applyFont="1" applyFill="1" applyBorder="1" applyAlignment="1" applyProtection="1">
      <alignment horizontal="left" vertical="center"/>
      <protection locked="0"/>
    </xf>
    <xf numFmtId="0" fontId="24" fillId="7" borderId="376" xfId="7" applyFont="1" applyFill="1" applyBorder="1" applyAlignment="1" applyProtection="1">
      <alignment horizontal="right" vertical="center"/>
      <protection locked="0"/>
    </xf>
    <xf numFmtId="182" fontId="20" fillId="7" borderId="376" xfId="7" applyNumberFormat="1" applyFont="1" applyFill="1" applyBorder="1" applyAlignment="1" applyProtection="1">
      <alignment horizontal="center" vertical="center"/>
      <protection locked="0"/>
    </xf>
    <xf numFmtId="0" fontId="24" fillId="7" borderId="376" xfId="1" applyFont="1" applyFill="1" applyBorder="1" applyProtection="1">
      <protection hidden="1"/>
    </xf>
    <xf numFmtId="0" fontId="20" fillId="7" borderId="376" xfId="7" applyFont="1" applyFill="1" applyBorder="1" applyAlignment="1" applyProtection="1">
      <alignment horizontal="right" vertical="center"/>
      <protection locked="0"/>
    </xf>
    <xf numFmtId="187" fontId="20" fillId="7" borderId="376" xfId="7" applyNumberFormat="1" applyFont="1" applyFill="1" applyBorder="1" applyAlignment="1" applyProtection="1">
      <alignment horizontal="center" vertical="center"/>
      <protection locked="0"/>
    </xf>
    <xf numFmtId="187" fontId="20" fillId="7" borderId="377" xfId="7" applyNumberFormat="1" applyFont="1" applyFill="1" applyBorder="1" applyAlignment="1" applyProtection="1">
      <alignment horizontal="center" vertical="center"/>
      <protection locked="0"/>
    </xf>
    <xf numFmtId="0" fontId="20" fillId="8" borderId="288" xfId="7" applyFont="1" applyFill="1" applyBorder="1" applyAlignment="1" applyProtection="1">
      <alignment horizontal="right" vertical="center"/>
      <protection locked="0"/>
    </xf>
    <xf numFmtId="187" fontId="20" fillId="8" borderId="289" xfId="7" applyNumberFormat="1" applyFont="1" applyFill="1" applyBorder="1" applyAlignment="1" applyProtection="1">
      <alignment horizontal="center" vertical="center"/>
      <protection locked="0"/>
    </xf>
    <xf numFmtId="0" fontId="24" fillId="8" borderId="288" xfId="7" applyFont="1" applyFill="1" applyBorder="1" applyAlignment="1" applyProtection="1">
      <alignment horizontal="right" vertical="center"/>
      <protection locked="0"/>
    </xf>
    <xf numFmtId="182" fontId="20" fillId="8" borderId="289" xfId="7" applyNumberFormat="1" applyFont="1" applyFill="1" applyBorder="1" applyAlignment="1" applyProtection="1">
      <alignment horizontal="center" vertical="center"/>
      <protection locked="0"/>
    </xf>
    <xf numFmtId="187" fontId="20" fillId="8" borderId="290" xfId="7" applyNumberFormat="1" applyFont="1" applyFill="1" applyBorder="1" applyAlignment="1" applyProtection="1">
      <alignment horizontal="center" vertical="center"/>
      <protection locked="0"/>
    </xf>
    <xf numFmtId="0" fontId="26" fillId="4" borderId="379" xfId="5" applyFont="1" applyFill="1" applyBorder="1" applyAlignment="1" applyProtection="1">
      <alignment horizontal="left" vertical="center"/>
      <protection locked="0"/>
    </xf>
    <xf numFmtId="0" fontId="13" fillId="4" borderId="379" xfId="5" applyFont="1" applyFill="1" applyBorder="1" applyAlignment="1" applyProtection="1">
      <alignment horizontal="left" vertical="center"/>
      <protection locked="0"/>
    </xf>
    <xf numFmtId="0" fontId="57" fillId="65" borderId="287" xfId="7" applyFont="1" applyFill="1" applyBorder="1" applyAlignment="1" applyProtection="1">
      <alignment horizontal="right" vertical="center"/>
      <protection locked="0"/>
    </xf>
    <xf numFmtId="186" fontId="57" fillId="65" borderId="289" xfId="7" applyNumberFormat="1" applyFont="1" applyFill="1" applyBorder="1" applyAlignment="1" applyProtection="1">
      <alignment horizontal="center" vertical="center"/>
      <protection locked="0"/>
    </xf>
    <xf numFmtId="171" fontId="57" fillId="65" borderId="289" xfId="7" applyNumberFormat="1" applyFont="1" applyFill="1" applyBorder="1" applyAlignment="1" applyProtection="1">
      <alignment horizontal="center" vertical="center"/>
      <protection locked="0"/>
    </xf>
    <xf numFmtId="0" fontId="36" fillId="65" borderId="5" xfId="7" applyFont="1" applyFill="1" applyBorder="1" applyAlignment="1" applyProtection="1">
      <alignment horizontal="right" vertical="center"/>
      <protection locked="0"/>
    </xf>
    <xf numFmtId="0" fontId="36" fillId="65" borderId="351" xfId="7" applyFont="1" applyFill="1" applyBorder="1" applyAlignment="1" applyProtection="1">
      <alignment horizontal="right" vertical="center"/>
      <protection locked="0"/>
    </xf>
    <xf numFmtId="168" fontId="84" fillId="66" borderId="101" xfId="7" applyNumberFormat="1" applyFont="1" applyFill="1" applyBorder="1" applyAlignment="1" applyProtection="1">
      <alignment horizontal="center" vertical="center"/>
      <protection locked="0"/>
    </xf>
    <xf numFmtId="0" fontId="36" fillId="65" borderId="380" xfId="7" applyFont="1" applyFill="1" applyBorder="1" applyAlignment="1" applyProtection="1">
      <alignment horizontal="right" vertical="center"/>
      <protection locked="0"/>
    </xf>
    <xf numFmtId="185" fontId="36" fillId="66" borderId="101" xfId="7" applyNumberFormat="1" applyFont="1" applyFill="1" applyBorder="1" applyAlignment="1" applyProtection="1">
      <alignment horizontal="center" vertical="center"/>
      <protection locked="0"/>
    </xf>
    <xf numFmtId="231" fontId="57" fillId="65" borderId="289" xfId="7" applyNumberFormat="1" applyFont="1" applyFill="1" applyBorder="1" applyAlignment="1" applyProtection="1">
      <alignment horizontal="center" vertical="center"/>
      <protection locked="0"/>
    </xf>
    <xf numFmtId="185" fontId="57" fillId="65" borderId="289" xfId="7" applyNumberFormat="1" applyFont="1" applyFill="1" applyBorder="1" applyAlignment="1" applyProtection="1">
      <alignment horizontal="center" vertical="center"/>
      <protection locked="0"/>
    </xf>
    <xf numFmtId="0" fontId="1" fillId="7" borderId="378" xfId="7" applyFill="1" applyBorder="1" applyAlignment="1">
      <alignment horizontal="center" vertical="center"/>
    </xf>
    <xf numFmtId="0" fontId="31" fillId="8" borderId="377" xfId="1" applyFont="1" applyFill="1" applyBorder="1" applyAlignment="1">
      <alignment horizontal="left" vertical="center"/>
    </xf>
    <xf numFmtId="0" fontId="1" fillId="7" borderId="343" xfId="7" applyFill="1" applyBorder="1" applyAlignment="1">
      <alignment horizontal="center" vertical="center"/>
    </xf>
    <xf numFmtId="2" fontId="20" fillId="114" borderId="382" xfId="7" applyNumberFormat="1" applyFont="1" applyFill="1" applyBorder="1" applyAlignment="1" applyProtection="1">
      <alignment horizontal="center" vertical="center" wrapText="1"/>
      <protection locked="0"/>
    </xf>
    <xf numFmtId="0" fontId="24" fillId="7" borderId="342" xfId="7" applyFont="1" applyFill="1" applyBorder="1" applyAlignment="1">
      <alignment horizontal="center" vertical="center"/>
    </xf>
    <xf numFmtId="2" fontId="10" fillId="7" borderId="338" xfId="7" applyNumberFormat="1" applyFont="1" applyFill="1" applyBorder="1" applyAlignment="1">
      <alignment horizontal="center" vertical="center"/>
    </xf>
    <xf numFmtId="169" fontId="424" fillId="20" borderId="383" xfId="5" applyNumberFormat="1" applyFont="1" applyFill="1" applyBorder="1" applyAlignment="1">
      <alignment horizontal="center" vertical="center"/>
    </xf>
    <xf numFmtId="9" fontId="174" fillId="142" borderId="358" xfId="7" applyNumberFormat="1" applyFont="1" applyFill="1" applyBorder="1" applyAlignment="1">
      <alignment horizontal="center" vertical="center"/>
    </xf>
    <xf numFmtId="174" fontId="13" fillId="7" borderId="384" xfId="7" applyNumberFormat="1" applyFont="1" applyFill="1" applyBorder="1" applyAlignment="1" applyProtection="1">
      <alignment horizontal="center" vertical="center"/>
      <protection locked="0"/>
    </xf>
    <xf numFmtId="174" fontId="13" fillId="7" borderId="288" xfId="7" applyNumberFormat="1" applyFont="1" applyFill="1" applyBorder="1" applyAlignment="1" applyProtection="1">
      <alignment horizontal="center" vertical="center"/>
      <protection locked="0"/>
    </xf>
    <xf numFmtId="175" fontId="154" fillId="66" borderId="288" xfId="7" applyNumberFormat="1" applyFont="1" applyFill="1" applyBorder="1" applyAlignment="1" applyProtection="1">
      <alignment horizontal="center" vertical="center"/>
      <protection locked="0"/>
    </xf>
    <xf numFmtId="174" fontId="13" fillId="7" borderId="290" xfId="7" applyNumberFormat="1" applyFont="1" applyFill="1" applyBorder="1" applyAlignment="1" applyProtection="1">
      <alignment horizontal="center" vertical="center"/>
      <protection locked="0"/>
    </xf>
    <xf numFmtId="0" fontId="57" fillId="8" borderId="339" xfId="1" applyFont="1" applyFill="1" applyBorder="1" applyAlignment="1">
      <alignment horizontal="center" vertical="center"/>
    </xf>
    <xf numFmtId="0" fontId="555" fillId="8" borderId="380" xfId="1" quotePrefix="1" applyFont="1" applyFill="1" applyBorder="1" applyAlignment="1">
      <alignment horizontal="center" vertical="center"/>
    </xf>
    <xf numFmtId="175" fontId="48" fillId="7" borderId="380" xfId="45" applyNumberFormat="1" applyFont="1" applyFill="1" applyBorder="1" applyAlignment="1" applyProtection="1">
      <alignment horizontal="center" vertical="center" wrapText="1"/>
      <protection locked="0"/>
    </xf>
    <xf numFmtId="226" fontId="48" fillId="7" borderId="54" xfId="45" applyNumberFormat="1" applyFont="1" applyFill="1" applyBorder="1" applyAlignment="1" applyProtection="1">
      <alignment horizontal="center" vertical="center" wrapText="1"/>
      <protection locked="0"/>
    </xf>
    <xf numFmtId="0" fontId="438" fillId="129" borderId="339" xfId="1" applyFont="1" applyFill="1" applyBorder="1" applyAlignment="1">
      <alignment horizontal="center" vertical="center"/>
    </xf>
    <xf numFmtId="0" fontId="432" fillId="4" borderId="351" xfId="1" applyFont="1" applyFill="1" applyBorder="1" applyAlignment="1">
      <alignment horizontal="center" vertical="center"/>
    </xf>
    <xf numFmtId="0" fontId="439" fillId="129" borderId="351" xfId="1" applyFont="1" applyFill="1" applyBorder="1" applyAlignment="1">
      <alignment horizontal="center" vertical="center"/>
    </xf>
    <xf numFmtId="0" fontId="1" fillId="8" borderId="343" xfId="7" applyFill="1" applyBorder="1" applyAlignment="1">
      <alignment horizontal="center" vertical="center"/>
    </xf>
    <xf numFmtId="0" fontId="6" fillId="8" borderId="278" xfId="1" applyFill="1" applyBorder="1" applyAlignment="1">
      <alignment horizontal="center" vertical="center" wrapText="1"/>
    </xf>
    <xf numFmtId="0" fontId="31" fillId="8" borderId="288" xfId="1" applyFont="1" applyFill="1" applyBorder="1" applyAlignment="1">
      <alignment horizontal="left" vertical="center"/>
    </xf>
    <xf numFmtId="179" fontId="455" fillId="162" borderId="402" xfId="16" applyNumberFormat="1" applyFont="1" applyFill="1" applyBorder="1" applyAlignment="1" applyProtection="1">
      <alignment horizontal="center" vertical="center"/>
      <protection locked="0"/>
    </xf>
    <xf numFmtId="179" fontId="456" fillId="54" borderId="403" xfId="16" applyNumberFormat="1" applyFont="1" applyFill="1" applyBorder="1" applyAlignment="1" applyProtection="1">
      <alignment horizontal="center" vertical="center"/>
      <protection locked="0"/>
    </xf>
    <xf numFmtId="1" fontId="6" fillId="65" borderId="404" xfId="16" applyNumberFormat="1" applyFont="1" applyFill="1" applyBorder="1" applyAlignment="1" applyProtection="1">
      <alignment horizontal="left" vertical="center"/>
      <protection locked="0"/>
    </xf>
    <xf numFmtId="220" fontId="447" fillId="65" borderId="403" xfId="16" applyNumberFormat="1" applyFont="1" applyFill="1" applyBorder="1" applyAlignment="1" applyProtection="1">
      <alignment horizontal="right" vertical="center"/>
      <protection locked="0"/>
    </xf>
    <xf numFmtId="0" fontId="71" fillId="8" borderId="339" xfId="27" applyFill="1" applyBorder="1"/>
    <xf numFmtId="0" fontId="453" fillId="44" borderId="405" xfId="16" applyFont="1" applyFill="1" applyBorder="1" applyAlignment="1" applyProtection="1">
      <alignment horizontal="right" vertical="center" wrapText="1"/>
      <protection locked="0"/>
    </xf>
    <xf numFmtId="0" fontId="454" fillId="44" borderId="405" xfId="16" applyFont="1" applyFill="1" applyBorder="1" applyAlignment="1" applyProtection="1">
      <alignment horizontal="center" vertical="center"/>
      <protection locked="0"/>
    </xf>
    <xf numFmtId="0" fontId="454" fillId="44" borderId="405" xfId="16" applyFont="1" applyFill="1" applyBorder="1" applyAlignment="1" applyProtection="1">
      <alignment horizontal="left" vertical="center"/>
      <protection locked="0"/>
    </xf>
    <xf numFmtId="179" fontId="455" fillId="44" borderId="405" xfId="16" applyNumberFormat="1" applyFont="1" applyFill="1" applyBorder="1" applyAlignment="1" applyProtection="1">
      <alignment horizontal="center" vertical="center"/>
      <protection locked="0"/>
    </xf>
    <xf numFmtId="179" fontId="456" fillId="44" borderId="405" xfId="16" applyNumberFormat="1" applyFont="1" applyFill="1" applyBorder="1" applyAlignment="1" applyProtection="1">
      <alignment horizontal="center" vertical="center"/>
      <protection locked="0"/>
    </xf>
    <xf numFmtId="0" fontId="456" fillId="8" borderId="405" xfId="16" applyFont="1" applyFill="1" applyBorder="1" applyAlignment="1" applyProtection="1">
      <alignment horizontal="left" vertical="center"/>
      <protection locked="0"/>
    </xf>
    <xf numFmtId="220" fontId="447" fillId="8" borderId="405" xfId="16" applyNumberFormat="1" applyFont="1" applyFill="1" applyBorder="1" applyAlignment="1" applyProtection="1">
      <alignment horizontal="right" vertical="center"/>
      <protection locked="0"/>
    </xf>
    <xf numFmtId="222" fontId="447" fillId="8" borderId="405" xfId="27" applyNumberFormat="1" applyFont="1" applyFill="1" applyBorder="1" applyAlignment="1">
      <alignment horizontal="center" vertical="center"/>
    </xf>
    <xf numFmtId="1" fontId="6" fillId="8" borderId="405" xfId="16" applyNumberFormat="1" applyFont="1" applyFill="1" applyBorder="1" applyAlignment="1" applyProtection="1">
      <alignment horizontal="left" vertical="center"/>
      <protection locked="0"/>
    </xf>
    <xf numFmtId="221" fontId="447" fillId="8" borderId="405" xfId="27" applyNumberFormat="1" applyFont="1" applyFill="1" applyBorder="1" applyAlignment="1">
      <alignment horizontal="center" vertical="center"/>
    </xf>
    <xf numFmtId="1" fontId="6" fillId="8" borderId="406" xfId="16" applyNumberFormat="1" applyFont="1" applyFill="1" applyBorder="1" applyAlignment="1" applyProtection="1">
      <alignment horizontal="left" vertical="center"/>
      <protection locked="0"/>
    </xf>
    <xf numFmtId="0" fontId="71" fillId="8" borderId="343" xfId="27" applyFill="1" applyBorder="1" applyAlignment="1">
      <alignment vertical="center"/>
    </xf>
    <xf numFmtId="0" fontId="432" fillId="4" borderId="368" xfId="1" applyFont="1" applyFill="1" applyBorder="1" applyAlignment="1">
      <alignment horizontal="center" vertical="center"/>
    </xf>
    <xf numFmtId="0" fontId="432" fillId="158" borderId="368" xfId="1" applyFont="1" applyFill="1" applyBorder="1" applyAlignment="1">
      <alignment horizontal="center" vertical="center"/>
    </xf>
    <xf numFmtId="0" fontId="183" fillId="8" borderId="288" xfId="39" applyFill="1" applyBorder="1" applyAlignment="1">
      <alignment vertical="center"/>
    </xf>
    <xf numFmtId="0" fontId="183" fillId="8" borderId="290" xfId="39" applyFill="1" applyBorder="1" applyAlignment="1">
      <alignment vertical="center"/>
    </xf>
    <xf numFmtId="0" fontId="1" fillId="8" borderId="368" xfId="7" applyFill="1" applyBorder="1"/>
    <xf numFmtId="0" fontId="13" fillId="8" borderId="405" xfId="16" applyFont="1" applyFill="1" applyBorder="1" applyAlignment="1" applyProtection="1">
      <alignment horizontal="right" vertical="center"/>
      <protection locked="0"/>
    </xf>
    <xf numFmtId="203" fontId="111" fillId="152" borderId="405" xfId="1" applyNumberFormat="1" applyFont="1" applyFill="1" applyBorder="1" applyAlignment="1">
      <alignment horizontal="center" vertical="center"/>
    </xf>
    <xf numFmtId="0" fontId="13" fillId="8" borderId="368" xfId="27" applyFont="1" applyFill="1" applyBorder="1" applyAlignment="1">
      <alignment horizontal="right" vertical="center"/>
    </xf>
    <xf numFmtId="0" fontId="13" fillId="8" borderId="405" xfId="27" applyFont="1" applyFill="1" applyBorder="1" applyAlignment="1">
      <alignment horizontal="left" vertical="center"/>
    </xf>
    <xf numFmtId="0" fontId="13" fillId="8" borderId="405" xfId="27" applyFont="1" applyFill="1" applyBorder="1" applyAlignment="1">
      <alignment vertical="center"/>
    </xf>
    <xf numFmtId="0" fontId="13" fillId="8" borderId="407" xfId="27" applyFont="1" applyFill="1" applyBorder="1" applyAlignment="1">
      <alignment vertical="center"/>
    </xf>
    <xf numFmtId="0" fontId="24" fillId="8" borderId="287" xfId="1" applyFont="1" applyFill="1" applyBorder="1"/>
    <xf numFmtId="203" fontId="13" fillId="150" borderId="288" xfId="1" applyNumberFormat="1" applyFont="1" applyFill="1" applyBorder="1" applyAlignment="1">
      <alignment horizontal="center" vertical="center"/>
    </xf>
    <xf numFmtId="203" fontId="13" fillId="150" borderId="288" xfId="1" applyNumberFormat="1" applyFont="1" applyFill="1" applyBorder="1" applyAlignment="1">
      <alignment horizontal="left" vertical="center"/>
    </xf>
    <xf numFmtId="0" fontId="71" fillId="8" borderId="289" xfId="27" applyFill="1" applyBorder="1"/>
    <xf numFmtId="0" fontId="69" fillId="8" borderId="405" xfId="29" applyFont="1" applyFill="1" applyBorder="1" applyAlignment="1">
      <alignment horizontal="right" vertical="center"/>
    </xf>
    <xf numFmtId="203" fontId="13" fillId="150" borderId="405" xfId="1" applyNumberFormat="1" applyFont="1" applyFill="1" applyBorder="1" applyAlignment="1">
      <alignment horizontal="center" vertical="center"/>
    </xf>
    <xf numFmtId="203" fontId="13" fillId="150" borderId="405" xfId="1" applyNumberFormat="1" applyFont="1" applyFill="1" applyBorder="1" applyAlignment="1">
      <alignment horizontal="left" vertical="center"/>
    </xf>
    <xf numFmtId="0" fontId="71" fillId="8" borderId="405" xfId="27" applyFill="1" applyBorder="1"/>
    <xf numFmtId="0" fontId="457" fillId="8" borderId="406" xfId="1" applyFont="1" applyFill="1" applyBorder="1"/>
    <xf numFmtId="0" fontId="432" fillId="4" borderId="408" xfId="1" applyFont="1" applyFill="1" applyBorder="1" applyAlignment="1">
      <alignment horizontal="center" vertical="center"/>
    </xf>
    <xf numFmtId="0" fontId="464" fillId="7" borderId="343" xfId="7" applyFont="1" applyFill="1" applyBorder="1" applyAlignment="1">
      <alignment horizontal="center" vertical="center"/>
    </xf>
    <xf numFmtId="0" fontId="72" fillId="8" borderId="290" xfId="27" applyFont="1" applyFill="1" applyBorder="1" applyAlignment="1">
      <alignment horizontal="center"/>
    </xf>
    <xf numFmtId="0" fontId="57" fillId="8" borderId="405" xfId="43" applyFont="1" applyFill="1" applyBorder="1" applyAlignment="1">
      <alignment horizontal="center"/>
    </xf>
    <xf numFmtId="0" fontId="57" fillId="8" borderId="407" xfId="43" applyFont="1" applyFill="1" applyBorder="1" applyAlignment="1">
      <alignment horizontal="center"/>
    </xf>
    <xf numFmtId="0" fontId="57" fillId="8" borderId="406" xfId="43" applyFont="1" applyFill="1" applyBorder="1" applyAlignment="1">
      <alignment horizontal="center"/>
    </xf>
    <xf numFmtId="0" fontId="111" fillId="20" borderId="345" xfId="43" applyFont="1" applyFill="1" applyBorder="1" applyAlignment="1" applyProtection="1">
      <alignment horizontal="center" vertical="center"/>
      <protection locked="0"/>
    </xf>
    <xf numFmtId="0" fontId="422" fillId="20" borderId="342" xfId="19" applyFont="1" applyFill="1" applyBorder="1" applyAlignment="1">
      <alignment horizontal="center" vertical="center" wrapText="1"/>
    </xf>
    <xf numFmtId="179" fontId="36" fillId="20" borderId="342" xfId="43" applyNumberFormat="1" applyFont="1" applyFill="1" applyBorder="1" applyAlignment="1" applyProtection="1">
      <alignment horizontal="center" vertical="center"/>
      <protection locked="0"/>
    </xf>
    <xf numFmtId="169" fontId="13" fillId="43" borderId="411" xfId="27" applyNumberFormat="1" applyFont="1" applyFill="1" applyBorder="1" applyAlignment="1">
      <alignment horizontal="center" vertical="center"/>
    </xf>
    <xf numFmtId="0" fontId="375" fillId="8" borderId="412" xfId="43" quotePrefix="1" applyFont="1" applyFill="1" applyBorder="1" applyAlignment="1">
      <alignment horizontal="right" vertical="center"/>
    </xf>
    <xf numFmtId="1" fontId="375" fillId="8" borderId="412" xfId="43" applyNumberFormat="1" applyFont="1" applyFill="1" applyBorder="1" applyAlignment="1">
      <alignment horizontal="center" vertical="center"/>
    </xf>
    <xf numFmtId="0" fontId="72" fillId="8" borderId="343" xfId="27" applyFont="1" applyFill="1" applyBorder="1" applyAlignment="1">
      <alignment horizontal="center"/>
    </xf>
    <xf numFmtId="167" fontId="36" fillId="20" borderId="342" xfId="43" applyNumberFormat="1" applyFont="1" applyFill="1" applyBorder="1" applyAlignment="1" applyProtection="1">
      <alignment horizontal="center" vertical="center"/>
      <protection locked="0"/>
    </xf>
    <xf numFmtId="0" fontId="116" fillId="8" borderId="339" xfId="43" quotePrefix="1" applyFont="1" applyFill="1" applyBorder="1" applyAlignment="1">
      <alignment vertical="center"/>
    </xf>
    <xf numFmtId="0" fontId="375" fillId="8" borderId="405" xfId="43" quotePrefix="1" applyFont="1" applyFill="1" applyBorder="1" applyAlignment="1">
      <alignment horizontal="right" vertical="center"/>
    </xf>
    <xf numFmtId="1" fontId="375" fillId="8" borderId="405" xfId="43" applyNumberFormat="1" applyFont="1" applyFill="1" applyBorder="1" applyAlignment="1">
      <alignment horizontal="center" vertical="center"/>
    </xf>
    <xf numFmtId="0" fontId="107" fillId="0" borderId="406" xfId="27" applyFont="1" applyBorder="1"/>
    <xf numFmtId="0" fontId="28" fillId="16" borderId="288" xfId="16" applyFont="1" applyFill="1" applyBorder="1" applyAlignment="1">
      <alignment horizontal="left" vertical="center"/>
    </xf>
    <xf numFmtId="0" fontId="28" fillId="16" borderId="288" xfId="16" applyFont="1" applyFill="1" applyBorder="1" applyAlignment="1">
      <alignment horizontal="centerContinuous" vertical="center"/>
    </xf>
    <xf numFmtId="0" fontId="28" fillId="16" borderId="290" xfId="16" applyFont="1" applyFill="1" applyBorder="1" applyAlignment="1">
      <alignment horizontal="right" vertical="center"/>
    </xf>
    <xf numFmtId="221" fontId="26" fillId="8" borderId="288" xfId="7" applyNumberFormat="1" applyFont="1" applyFill="1" applyBorder="1" applyAlignment="1">
      <alignment horizontal="center" vertical="center"/>
    </xf>
    <xf numFmtId="1" fontId="26" fillId="8" borderId="288" xfId="16" applyNumberFormat="1" applyFont="1" applyFill="1" applyBorder="1" applyAlignment="1" applyProtection="1">
      <alignment horizontal="left" vertical="center"/>
      <protection locked="0"/>
    </xf>
    <xf numFmtId="220" fontId="26" fillId="8" borderId="287" xfId="16" applyNumberFormat="1" applyFont="1" applyFill="1" applyBorder="1" applyAlignment="1" applyProtection="1">
      <alignment horizontal="right" vertical="center"/>
      <protection locked="0"/>
    </xf>
    <xf numFmtId="1" fontId="26" fillId="8" borderId="290" xfId="16" applyNumberFormat="1" applyFont="1" applyFill="1" applyBorder="1" applyAlignment="1" applyProtection="1">
      <alignment horizontal="left" vertical="center"/>
      <protection locked="0"/>
    </xf>
    <xf numFmtId="0" fontId="439" fillId="129" borderId="368" xfId="1" applyFont="1" applyFill="1" applyBorder="1" applyAlignment="1">
      <alignment horizontal="center" vertical="center"/>
    </xf>
    <xf numFmtId="179" fontId="69" fillId="8" borderId="365" xfId="7" applyNumberFormat="1" applyFont="1" applyFill="1" applyBorder="1" applyAlignment="1">
      <alignment vertical="center"/>
    </xf>
    <xf numFmtId="179" fontId="69" fillId="8" borderId="290" xfId="7" applyNumberFormat="1" applyFont="1" applyFill="1" applyBorder="1" applyAlignment="1">
      <alignment vertical="center"/>
    </xf>
    <xf numFmtId="0" fontId="48" fillId="8" borderId="405" xfId="16" applyFont="1" applyFill="1" applyBorder="1" applyAlignment="1">
      <alignment vertical="center"/>
    </xf>
    <xf numFmtId="0" fontId="281" fillId="65" borderId="414" xfId="5" applyFont="1" applyFill="1" applyBorder="1" applyAlignment="1">
      <alignment horizontal="center" vertical="center"/>
    </xf>
    <xf numFmtId="0" fontId="281" fillId="65" borderId="414" xfId="7" applyFont="1" applyFill="1" applyBorder="1" applyAlignment="1" applyProtection="1">
      <alignment horizontal="center" vertical="center"/>
      <protection locked="0"/>
    </xf>
    <xf numFmtId="0" fontId="491" fillId="66" borderId="415" xfId="5" applyFont="1" applyFill="1" applyBorder="1" applyAlignment="1">
      <alignment horizontal="center" vertical="center"/>
    </xf>
    <xf numFmtId="179" fontId="453" fillId="66" borderId="415" xfId="29" applyNumberFormat="1" applyFont="1" applyFill="1" applyBorder="1" applyAlignment="1">
      <alignment horizontal="center" vertical="center"/>
    </xf>
    <xf numFmtId="0" fontId="1" fillId="65" borderId="288" xfId="7" applyFill="1" applyBorder="1" applyAlignment="1">
      <alignment vertical="center"/>
    </xf>
    <xf numFmtId="0" fontId="1" fillId="65" borderId="290" xfId="7" applyFill="1" applyBorder="1" applyAlignment="1">
      <alignment vertical="center"/>
    </xf>
    <xf numFmtId="0" fontId="281" fillId="65" borderId="416" xfId="5" applyFont="1" applyFill="1" applyBorder="1" applyAlignment="1">
      <alignment horizontal="center" vertical="center"/>
    </xf>
    <xf numFmtId="0" fontId="281" fillId="65" borderId="416" xfId="7" applyFont="1" applyFill="1" applyBorder="1" applyAlignment="1" applyProtection="1">
      <alignment horizontal="center" vertical="center"/>
      <protection locked="0"/>
    </xf>
    <xf numFmtId="169" fontId="499" fillId="66" borderId="342" xfId="29" applyNumberFormat="1" applyFont="1" applyFill="1" applyBorder="1" applyAlignment="1">
      <alignment horizontal="center" vertical="center"/>
    </xf>
    <xf numFmtId="2" fontId="456" fillId="65" borderId="416" xfId="29" applyNumberFormat="1" applyFont="1" applyFill="1" applyBorder="1" applyAlignment="1">
      <alignment horizontal="center" vertical="center"/>
    </xf>
    <xf numFmtId="0" fontId="1" fillId="65" borderId="288" xfId="7" applyFill="1" applyBorder="1"/>
    <xf numFmtId="0" fontId="1" fillId="65" borderId="290" xfId="7" applyFill="1" applyBorder="1"/>
    <xf numFmtId="0" fontId="183" fillId="8" borderId="429" xfId="39" applyFill="1" applyBorder="1" applyAlignment="1">
      <alignment vertical="center"/>
    </xf>
    <xf numFmtId="0" fontId="514" fillId="8" borderId="406" xfId="1" applyFont="1" applyFill="1" applyBorder="1" applyAlignment="1" applyProtection="1">
      <alignment horizontal="right" vertical="center"/>
      <protection hidden="1"/>
    </xf>
    <xf numFmtId="0" fontId="516" fillId="21" borderId="287" xfId="1" applyFont="1" applyFill="1" applyBorder="1" applyAlignment="1">
      <alignment horizontal="center" vertical="center"/>
    </xf>
    <xf numFmtId="0" fontId="521" fillId="8" borderId="288" xfId="1" applyFont="1" applyFill="1" applyBorder="1" applyAlignment="1" applyProtection="1">
      <alignment horizontal="left"/>
      <protection hidden="1"/>
    </xf>
    <xf numFmtId="0" fontId="58" fillId="8" borderId="288" xfId="7" applyFont="1" applyFill="1" applyBorder="1" applyAlignment="1">
      <alignment horizontal="center" vertical="center" wrapText="1"/>
    </xf>
    <xf numFmtId="0" fontId="58" fillId="8" borderId="289" xfId="7" applyFont="1" applyFill="1" applyBorder="1" applyAlignment="1">
      <alignment horizontal="center" vertical="center" wrapText="1"/>
    </xf>
    <xf numFmtId="0" fontId="434" fillId="8" borderId="288" xfId="7" applyFont="1" applyFill="1" applyBorder="1" applyAlignment="1">
      <alignment horizontal="center" vertical="center"/>
    </xf>
    <xf numFmtId="0" fontId="515" fillId="8" borderId="288" xfId="1" applyFont="1" applyFill="1" applyBorder="1" applyAlignment="1">
      <alignment horizontal="center" vertical="center"/>
    </xf>
    <xf numFmtId="0" fontId="516" fillId="8" borderId="288" xfId="1" applyFont="1" applyFill="1" applyBorder="1" applyAlignment="1">
      <alignment horizontal="center" vertical="center"/>
    </xf>
    <xf numFmtId="0" fontId="434" fillId="8" borderId="290" xfId="7" applyFont="1" applyFill="1" applyBorder="1" applyAlignment="1">
      <alignment horizontal="center" vertical="center"/>
    </xf>
    <xf numFmtId="168" fontId="523" fillId="173" borderId="405" xfId="7" applyNumberFormat="1" applyFont="1" applyFill="1" applyBorder="1" applyAlignment="1">
      <alignment horizontal="center" vertical="center"/>
    </xf>
    <xf numFmtId="9" fontId="1" fillId="8" borderId="405" xfId="7" applyNumberFormat="1" applyFill="1" applyBorder="1" applyAlignment="1">
      <alignment horizontal="center" vertical="center"/>
    </xf>
    <xf numFmtId="0" fontId="1" fillId="8" borderId="405" xfId="7" applyFill="1" applyBorder="1"/>
    <xf numFmtId="186" fontId="1" fillId="0" borderId="405" xfId="7" applyNumberFormat="1" applyBorder="1" applyAlignment="1">
      <alignment horizontal="center"/>
    </xf>
    <xf numFmtId="186" fontId="1" fillId="0" borderId="406" xfId="7" applyNumberFormat="1" applyBorder="1" applyAlignment="1">
      <alignment horizontal="center"/>
    </xf>
    <xf numFmtId="0" fontId="1" fillId="8" borderId="288" xfId="7" applyFill="1" applyBorder="1"/>
    <xf numFmtId="186" fontId="515" fillId="8" borderId="288" xfId="7" applyNumberFormat="1" applyFont="1" applyFill="1" applyBorder="1" applyAlignment="1">
      <alignment horizontal="center" vertical="center"/>
    </xf>
    <xf numFmtId="0" fontId="515" fillId="8" borderId="290" xfId="1" applyFont="1" applyFill="1" applyBorder="1" applyAlignment="1">
      <alignment horizontal="center" vertical="center"/>
    </xf>
    <xf numFmtId="0" fontId="183" fillId="8" borderId="430" xfId="39" applyFill="1" applyBorder="1" applyAlignment="1">
      <alignment vertical="center"/>
    </xf>
    <xf numFmtId="0" fontId="183" fillId="8" borderId="431" xfId="39" applyFill="1" applyBorder="1" applyAlignment="1">
      <alignment vertical="center"/>
    </xf>
    <xf numFmtId="9" fontId="1" fillId="8" borderId="288" xfId="7" applyNumberFormat="1" applyFill="1" applyBorder="1" applyAlignment="1">
      <alignment vertical="center"/>
    </xf>
    <xf numFmtId="0" fontId="512" fillId="174" borderId="288" xfId="1" applyFont="1" applyFill="1" applyBorder="1" applyAlignment="1" applyProtection="1">
      <alignment horizontal="center" vertical="center" wrapText="1"/>
      <protection hidden="1"/>
    </xf>
    <xf numFmtId="0" fontId="6" fillId="8" borderId="288" xfId="1" applyFill="1" applyBorder="1" applyProtection="1">
      <protection hidden="1"/>
    </xf>
    <xf numFmtId="0" fontId="1" fillId="8" borderId="288" xfId="7" applyFill="1" applyBorder="1" applyAlignment="1">
      <alignment vertical="center"/>
    </xf>
    <xf numFmtId="0" fontId="6" fillId="8" borderId="290" xfId="1" applyFill="1" applyBorder="1" applyProtection="1">
      <protection hidden="1"/>
    </xf>
    <xf numFmtId="0" fontId="447" fillId="8" borderId="381" xfId="7" applyFont="1" applyFill="1" applyBorder="1" applyAlignment="1">
      <alignment vertical="center"/>
    </xf>
    <xf numFmtId="0" fontId="447" fillId="8" borderId="343" xfId="7" applyFont="1" applyFill="1" applyBorder="1" applyAlignment="1">
      <alignment vertical="center"/>
    </xf>
    <xf numFmtId="171" fontId="544" fillId="43" borderId="288" xfId="5" applyNumberFormat="1" applyFont="1" applyFill="1" applyBorder="1" applyAlignment="1">
      <alignment horizontal="center" vertical="center"/>
    </xf>
    <xf numFmtId="1" fontId="544" fillId="43" borderId="288" xfId="5" applyNumberFormat="1" applyFont="1" applyFill="1" applyBorder="1" applyAlignment="1">
      <alignment horizontal="center" vertical="center"/>
    </xf>
    <xf numFmtId="0" fontId="544" fillId="43" borderId="288" xfId="7" applyFont="1" applyFill="1" applyBorder="1" applyAlignment="1">
      <alignment horizontal="center" vertical="center"/>
    </xf>
    <xf numFmtId="2" fontId="544" fillId="43" borderId="288" xfId="5" applyNumberFormat="1" applyFont="1" applyFill="1" applyBorder="1" applyAlignment="1">
      <alignment horizontal="center" vertical="center"/>
    </xf>
    <xf numFmtId="0" fontId="544" fillId="43" borderId="290" xfId="7" applyFont="1" applyFill="1" applyBorder="1" applyAlignment="1">
      <alignment horizontal="center" vertical="center"/>
    </xf>
    <xf numFmtId="0" fontId="450" fillId="66" borderId="432" xfId="5" applyFont="1" applyFill="1" applyBorder="1" applyAlignment="1">
      <alignment horizontal="center" vertical="center"/>
    </xf>
    <xf numFmtId="179" fontId="454" fillId="66" borderId="432" xfId="5" applyNumberFormat="1" applyFont="1" applyFill="1" applyBorder="1" applyAlignment="1">
      <alignment horizontal="center" vertical="center"/>
    </xf>
    <xf numFmtId="179" fontId="476" fillId="66" borderId="432" xfId="5" applyNumberFormat="1" applyFont="1" applyFill="1" applyBorder="1" applyAlignment="1">
      <alignment horizontal="center" vertical="center"/>
    </xf>
    <xf numFmtId="0" fontId="447" fillId="8" borderId="433" xfId="5" applyFont="1" applyFill="1" applyBorder="1" applyAlignment="1">
      <alignment horizontal="center" vertical="center"/>
    </xf>
    <xf numFmtId="0" fontId="447" fillId="8" borderId="433" xfId="7" applyFont="1" applyFill="1" applyBorder="1" applyAlignment="1" applyProtection="1">
      <alignment horizontal="center" vertical="center"/>
      <protection locked="0"/>
    </xf>
    <xf numFmtId="0" fontId="6" fillId="8" borderId="287" xfId="1" applyFill="1" applyBorder="1" applyProtection="1">
      <protection hidden="1"/>
    </xf>
    <xf numFmtId="0" fontId="6" fillId="8" borderId="289" xfId="1" applyFill="1" applyBorder="1" applyProtection="1">
      <protection hidden="1"/>
    </xf>
    <xf numFmtId="0" fontId="77" fillId="43" borderId="434" xfId="1" applyFont="1" applyFill="1" applyBorder="1" applyAlignment="1" applyProtection="1">
      <alignment horizontal="left" vertical="center"/>
      <protection hidden="1"/>
    </xf>
    <xf numFmtId="0" fontId="77" fillId="43" borderId="434" xfId="1" applyFont="1" applyFill="1" applyBorder="1" applyAlignment="1" applyProtection="1">
      <alignment horizontal="center" vertical="center"/>
      <protection hidden="1"/>
    </xf>
    <xf numFmtId="0" fontId="36" fillId="8" borderId="434" xfId="1" applyFont="1" applyFill="1" applyBorder="1" applyAlignment="1" applyProtection="1">
      <alignment horizontal="center" vertical="center"/>
      <protection hidden="1"/>
    </xf>
    <xf numFmtId="0" fontId="39" fillId="55" borderId="434" xfId="1" applyFont="1" applyFill="1" applyBorder="1" applyAlignment="1" applyProtection="1">
      <alignment horizontal="center" vertical="center"/>
      <protection hidden="1"/>
    </xf>
    <xf numFmtId="0" fontId="36" fillId="55" borderId="434" xfId="1" applyFont="1" applyFill="1" applyBorder="1" applyAlignment="1" applyProtection="1">
      <alignment horizontal="left" vertical="center"/>
      <protection hidden="1"/>
    </xf>
    <xf numFmtId="0" fontId="36" fillId="8" borderId="434" xfId="1" applyFont="1" applyFill="1" applyBorder="1" applyAlignment="1" applyProtection="1">
      <alignment horizontal="left" vertical="center"/>
      <protection hidden="1"/>
    </xf>
    <xf numFmtId="0" fontId="77" fillId="8" borderId="434" xfId="1" applyFont="1" applyFill="1" applyBorder="1" applyAlignment="1" applyProtection="1">
      <alignment horizontal="left" vertical="center"/>
      <protection hidden="1"/>
    </xf>
    <xf numFmtId="0" fontId="76" fillId="8" borderId="434" xfId="1" applyFont="1" applyFill="1" applyBorder="1" applyAlignment="1" applyProtection="1">
      <alignment horizontal="center" vertical="center"/>
      <protection hidden="1"/>
    </xf>
    <xf numFmtId="0" fontId="374" fillId="8" borderId="434" xfId="1" applyFont="1" applyFill="1" applyBorder="1" applyAlignment="1" applyProtection="1">
      <alignment horizontal="center" vertical="center"/>
      <protection hidden="1"/>
    </xf>
    <xf numFmtId="0" fontId="68" fillId="8" borderId="434" xfId="1" applyFont="1" applyFill="1" applyBorder="1" applyAlignment="1" applyProtection="1">
      <alignment horizontal="left" vertical="center"/>
      <protection hidden="1"/>
    </xf>
    <xf numFmtId="0" fontId="83" fillId="0" borderId="278" xfId="1" applyFont="1" applyBorder="1" applyAlignment="1" applyProtection="1">
      <alignment horizontal="center" vertical="center"/>
      <protection hidden="1"/>
    </xf>
    <xf numFmtId="0" fontId="0" fillId="0" borderId="368" xfId="0" applyBorder="1" applyAlignment="1">
      <alignment horizontal="center" vertical="center"/>
    </xf>
    <xf numFmtId="0" fontId="351" fillId="0" borderId="407" xfId="8" applyFont="1" applyBorder="1" applyAlignment="1">
      <alignment horizontal="center" vertical="center"/>
    </xf>
    <xf numFmtId="0" fontId="102" fillId="8" borderId="278" xfId="0" applyFont="1" applyFill="1" applyBorder="1" applyAlignment="1">
      <alignment horizontal="right" vertical="center" wrapText="1"/>
    </xf>
    <xf numFmtId="0" fontId="136" fillId="8" borderId="278" xfId="0" applyFont="1" applyFill="1" applyBorder="1" applyAlignment="1">
      <alignment horizontal="right" vertical="center" wrapText="1"/>
    </xf>
    <xf numFmtId="0" fontId="0" fillId="8" borderId="279" xfId="0" applyFill="1" applyBorder="1" applyAlignment="1">
      <alignment vertical="center" wrapText="1"/>
    </xf>
    <xf numFmtId="0" fontId="353" fillId="0" borderId="278" xfId="5" applyFont="1" applyBorder="1" applyAlignment="1">
      <alignment horizontal="center" vertical="center"/>
    </xf>
    <xf numFmtId="0" fontId="336" fillId="8" borderId="278" xfId="1" applyFont="1" applyFill="1" applyBorder="1" applyAlignment="1" applyProtection="1">
      <alignment horizontal="center" vertical="center"/>
      <protection hidden="1"/>
    </xf>
    <xf numFmtId="0" fontId="140" fillId="0" borderId="278" xfId="0" applyFont="1" applyBorder="1" applyAlignment="1">
      <alignment horizontal="right" vertical="center" wrapText="1"/>
    </xf>
    <xf numFmtId="0" fontId="140" fillId="0" borderId="279" xfId="0" applyFont="1" applyBorder="1" applyAlignment="1">
      <alignment vertical="center" wrapText="1"/>
    </xf>
    <xf numFmtId="0" fontId="333" fillId="8" borderId="278" xfId="5" applyFont="1" applyFill="1" applyBorder="1" applyAlignment="1">
      <alignment horizontal="right" vertical="center"/>
    </xf>
    <xf numFmtId="0" fontId="333" fillId="0" borderId="279" xfId="5" applyFont="1" applyBorder="1" applyAlignment="1">
      <alignment horizontal="center" vertical="center"/>
    </xf>
    <xf numFmtId="0" fontId="108" fillId="0" borderId="279" xfId="0" applyFont="1" applyBorder="1"/>
    <xf numFmtId="0" fontId="0" fillId="8" borderId="435" xfId="0" applyFill="1" applyBorder="1" applyAlignment="1">
      <alignment vertical="center" wrapText="1"/>
    </xf>
    <xf numFmtId="0" fontId="0" fillId="0" borderId="278" xfId="0" applyBorder="1" applyAlignment="1">
      <alignment horizontal="center" vertical="center"/>
    </xf>
    <xf numFmtId="0" fontId="352" fillId="8" borderId="279" xfId="1" applyFont="1" applyFill="1" applyBorder="1" applyAlignment="1" applyProtection="1">
      <alignment horizontal="left" vertical="center"/>
      <protection locked="0"/>
    </xf>
    <xf numFmtId="0" fontId="0" fillId="8" borderId="430" xfId="0" applyFill="1" applyBorder="1" applyAlignment="1">
      <alignment vertical="center" wrapText="1"/>
    </xf>
    <xf numFmtId="0" fontId="102" fillId="8" borderId="436" xfId="0" applyFont="1" applyFill="1" applyBorder="1" applyAlignment="1">
      <alignment horizontal="right" vertical="center" wrapText="1"/>
    </xf>
    <xf numFmtId="0" fontId="136" fillId="8" borderId="436" xfId="0" applyFont="1" applyFill="1" applyBorder="1" applyAlignment="1">
      <alignment horizontal="right" vertical="center" wrapText="1"/>
    </xf>
    <xf numFmtId="0" fontId="0" fillId="8" borderId="437" xfId="0" applyFill="1" applyBorder="1" applyAlignment="1">
      <alignment vertical="center" wrapText="1"/>
    </xf>
    <xf numFmtId="0" fontId="102" fillId="8" borderId="438" xfId="0" applyFont="1" applyFill="1" applyBorder="1" applyAlignment="1">
      <alignment horizontal="right" vertical="center" wrapText="1"/>
    </xf>
    <xf numFmtId="0" fontId="136" fillId="8" borderId="438" xfId="0" applyFont="1" applyFill="1" applyBorder="1" applyAlignment="1">
      <alignment horizontal="right" vertical="center" wrapText="1"/>
    </xf>
    <xf numFmtId="0" fontId="353" fillId="43" borderId="278" xfId="5" applyFont="1" applyFill="1" applyBorder="1" applyAlignment="1">
      <alignment horizontal="center" vertical="center"/>
    </xf>
    <xf numFmtId="0" fontId="377" fillId="8" borderId="278" xfId="5" applyFont="1" applyFill="1" applyBorder="1" applyAlignment="1">
      <alignment horizontal="right" vertical="center"/>
    </xf>
    <xf numFmtId="0" fontId="83" fillId="0" borderId="278" xfId="1" applyFont="1" applyBorder="1" applyAlignment="1" applyProtection="1">
      <alignment horizontal="right" vertical="center"/>
      <protection locked="0"/>
    </xf>
    <xf numFmtId="0" fontId="102" fillId="0" borderId="278" xfId="0" applyFont="1" applyBorder="1" applyAlignment="1">
      <alignment horizontal="right" vertical="center" wrapText="1"/>
    </xf>
    <xf numFmtId="0" fontId="136" fillId="0" borderId="278" xfId="0" applyFont="1" applyBorder="1" applyAlignment="1">
      <alignment horizontal="right" vertical="center" wrapText="1"/>
    </xf>
    <xf numFmtId="0" fontId="0" fillId="0" borderId="279" xfId="0" applyBorder="1" applyAlignment="1">
      <alignment vertical="center" wrapText="1"/>
    </xf>
    <xf numFmtId="0" fontId="166" fillId="8" borderId="278" xfId="5" applyFont="1" applyFill="1" applyBorder="1" applyAlignment="1">
      <alignment horizontal="right" vertical="center"/>
    </xf>
    <xf numFmtId="0" fontId="166" fillId="8" borderId="279" xfId="5" applyFont="1" applyFill="1" applyBorder="1" applyAlignment="1">
      <alignment horizontal="center" vertical="center"/>
    </xf>
    <xf numFmtId="0" fontId="166" fillId="0" borderId="279" xfId="5" applyFont="1" applyBorder="1" applyAlignment="1">
      <alignment horizontal="center" vertical="center"/>
    </xf>
    <xf numFmtId="0" fontId="351" fillId="8" borderId="279" xfId="8" applyFont="1" applyFill="1" applyBorder="1" applyAlignment="1">
      <alignment vertical="center"/>
    </xf>
    <xf numFmtId="0" fontId="108" fillId="8" borderId="279" xfId="0" applyFont="1" applyFill="1" applyBorder="1"/>
    <xf numFmtId="0" fontId="83" fillId="43" borderId="278" xfId="1" applyFont="1" applyFill="1" applyBorder="1" applyAlignment="1" applyProtection="1">
      <alignment horizontal="center" vertical="center"/>
      <protection hidden="1"/>
    </xf>
    <xf numFmtId="0" fontId="337" fillId="8" borderId="278" xfId="0" applyFont="1" applyFill="1" applyBorder="1" applyAlignment="1">
      <alignment horizontal="right" vertical="center" wrapText="1"/>
    </xf>
    <xf numFmtId="0" fontId="140" fillId="8" borderId="279" xfId="0" applyFont="1" applyFill="1" applyBorder="1" applyAlignment="1">
      <alignment vertical="center" wrapText="1"/>
    </xf>
    <xf numFmtId="0" fontId="140" fillId="8" borderId="278" xfId="0" applyFont="1" applyFill="1" applyBorder="1" applyAlignment="1">
      <alignment horizontal="right" vertical="center" wrapText="1"/>
    </xf>
    <xf numFmtId="0" fontId="0" fillId="0" borderId="287" xfId="0" applyBorder="1" applyAlignment="1">
      <alignment horizontal="center" vertical="center"/>
    </xf>
    <xf numFmtId="0" fontId="108" fillId="8" borderId="289" xfId="0" applyFont="1" applyFill="1" applyBorder="1"/>
    <xf numFmtId="0" fontId="337" fillId="0" borderId="279" xfId="0" applyFont="1" applyBorder="1" applyAlignment="1">
      <alignment vertical="center" wrapText="1"/>
    </xf>
    <xf numFmtId="0" fontId="166" fillId="0" borderId="439" xfId="5" applyFont="1" applyBorder="1" applyAlignment="1">
      <alignment horizontal="center" vertical="center"/>
    </xf>
    <xf numFmtId="0" fontId="80" fillId="0" borderId="439" xfId="5" applyFont="1" applyBorder="1" applyAlignment="1">
      <alignment horizontal="center" vertical="center"/>
    </xf>
    <xf numFmtId="0" fontId="338" fillId="8" borderId="278" xfId="1" applyFont="1" applyFill="1" applyBorder="1" applyAlignment="1" applyProtection="1">
      <alignment horizontal="center" vertical="center"/>
      <protection hidden="1"/>
    </xf>
    <xf numFmtId="0" fontId="4" fillId="0" borderId="407" xfId="0" applyFont="1" applyBorder="1" applyAlignment="1">
      <alignment horizontal="left" vertical="center" wrapText="1"/>
    </xf>
    <xf numFmtId="0" fontId="159" fillId="0" borderId="288" xfId="5" applyFont="1" applyBorder="1" applyAlignment="1">
      <alignment horizontal="center" vertical="center"/>
    </xf>
    <xf numFmtId="0" fontId="129" fillId="8" borderId="278" xfId="1" applyFont="1" applyFill="1" applyBorder="1" applyAlignment="1" applyProtection="1">
      <alignment horizontal="center" vertical="center"/>
      <protection hidden="1"/>
    </xf>
    <xf numFmtId="0" fontId="0" fillId="8" borderId="280" xfId="0" applyFill="1" applyBorder="1" applyAlignment="1">
      <alignment vertical="center" wrapText="1"/>
    </xf>
    <xf numFmtId="0" fontId="340" fillId="7" borderId="279" xfId="2" applyFont="1" applyFill="1" applyBorder="1" applyAlignment="1">
      <alignment horizontal="center" vertical="center"/>
    </xf>
    <xf numFmtId="0" fontId="159" fillId="0" borderId="439" xfId="5" applyFont="1" applyBorder="1" applyAlignment="1">
      <alignment horizontal="center" vertical="center"/>
    </xf>
    <xf numFmtId="0" fontId="78" fillId="7" borderId="280" xfId="1" applyFont="1" applyFill="1" applyBorder="1" applyAlignment="1" applyProtection="1">
      <alignment horizontal="left" vertical="center"/>
      <protection hidden="1"/>
    </xf>
    <xf numFmtId="0" fontId="65" fillId="8" borderId="278" xfId="1" applyFont="1" applyFill="1" applyBorder="1" applyAlignment="1" applyProtection="1">
      <alignment horizontal="center" vertical="center"/>
      <protection hidden="1"/>
    </xf>
    <xf numFmtId="0" fontId="1" fillId="8" borderId="280" xfId="0" applyFont="1" applyFill="1" applyBorder="1" applyAlignment="1">
      <alignment vertical="center" wrapText="1"/>
    </xf>
    <xf numFmtId="0" fontId="1" fillId="8" borderId="280" xfId="0" applyFont="1" applyFill="1" applyBorder="1"/>
    <xf numFmtId="0" fontId="129" fillId="8" borderId="287" xfId="1" applyFont="1" applyFill="1" applyBorder="1" applyAlignment="1" applyProtection="1">
      <alignment horizontal="center" vertical="center"/>
      <protection hidden="1"/>
    </xf>
    <xf numFmtId="0" fontId="13" fillId="8" borderId="288" xfId="1" applyFont="1" applyFill="1" applyBorder="1" applyAlignment="1" applyProtection="1">
      <alignment horizontal="left" vertical="center"/>
      <protection hidden="1"/>
    </xf>
    <xf numFmtId="0" fontId="108" fillId="8" borderId="280" xfId="0" applyFont="1" applyFill="1" applyBorder="1" applyAlignment="1">
      <alignment vertical="center" wrapText="1"/>
    </xf>
    <xf numFmtId="0" fontId="378" fillId="7" borderId="440" xfId="2" applyFont="1" applyFill="1" applyBorder="1" applyAlignment="1">
      <alignment horizontal="center" vertical="center" wrapText="1"/>
    </xf>
    <xf numFmtId="0" fontId="43" fillId="7" borderId="404" xfId="1" applyFont="1" applyFill="1" applyBorder="1" applyAlignment="1" applyProtection="1">
      <alignment horizontal="left" vertical="center"/>
      <protection hidden="1"/>
    </xf>
    <xf numFmtId="0" fontId="1" fillId="0" borderId="280" xfId="2" applyBorder="1" applyAlignment="1">
      <alignment wrapText="1"/>
    </xf>
    <xf numFmtId="0" fontId="20" fillId="8" borderId="280" xfId="1" applyFont="1" applyFill="1" applyBorder="1" applyAlignment="1" applyProtection="1">
      <alignment horizontal="left" vertical="center" wrapText="1"/>
      <protection hidden="1"/>
    </xf>
    <xf numFmtId="0" fontId="1" fillId="7" borderId="440" xfId="2" applyFill="1" applyBorder="1" applyAlignment="1">
      <alignment wrapText="1"/>
    </xf>
    <xf numFmtId="0" fontId="1" fillId="8" borderId="280" xfId="3" applyFill="1" applyBorder="1" applyAlignment="1">
      <alignment vertical="center"/>
    </xf>
    <xf numFmtId="0" fontId="39" fillId="7" borderId="280" xfId="1" applyFont="1" applyFill="1" applyBorder="1" applyAlignment="1" applyProtection="1">
      <alignment horizontal="left" vertical="center"/>
      <protection hidden="1"/>
    </xf>
    <xf numFmtId="0" fontId="59" fillId="8" borderId="280" xfId="0" applyFont="1" applyFill="1" applyBorder="1" applyAlignment="1">
      <alignment vertical="center" wrapText="1"/>
    </xf>
    <xf numFmtId="0" fontId="0" fillId="8" borderId="358" xfId="0" applyFill="1" applyBorder="1" applyAlignment="1">
      <alignment horizontal="left" vertical="center" wrapText="1"/>
    </xf>
    <xf numFmtId="0" fontId="129" fillId="8" borderId="441" xfId="1" applyFont="1" applyFill="1" applyBorder="1" applyAlignment="1" applyProtection="1">
      <alignment horizontal="center" vertical="center"/>
      <protection hidden="1"/>
    </xf>
    <xf numFmtId="0" fontId="0" fillId="8" borderId="442" xfId="0" applyFill="1" applyBorder="1" applyAlignment="1">
      <alignment horizontal="left" vertical="center" wrapText="1"/>
    </xf>
    <xf numFmtId="0" fontId="43" fillId="7" borderId="358" xfId="1" applyFont="1" applyFill="1" applyBorder="1" applyAlignment="1" applyProtection="1">
      <alignment horizontal="left" vertical="center"/>
      <protection hidden="1"/>
    </xf>
    <xf numFmtId="0" fontId="1" fillId="8" borderId="358" xfId="2" applyFill="1" applyBorder="1" applyAlignment="1">
      <alignment horizontal="left" vertical="center" wrapText="1"/>
    </xf>
    <xf numFmtId="0" fontId="129" fillId="7" borderId="440" xfId="1" applyFont="1" applyFill="1" applyBorder="1" applyAlignment="1" applyProtection="1">
      <alignment horizontal="center" vertical="center"/>
      <protection hidden="1"/>
    </xf>
    <xf numFmtId="0" fontId="13" fillId="7" borderId="404" xfId="1" applyFont="1" applyFill="1" applyBorder="1" applyAlignment="1" applyProtection="1">
      <alignment horizontal="left" vertical="center"/>
      <protection hidden="1"/>
    </xf>
    <xf numFmtId="0" fontId="13" fillId="8" borderId="358" xfId="1" applyFont="1" applyFill="1" applyBorder="1" applyAlignment="1" applyProtection="1">
      <alignment horizontal="left" vertical="center"/>
      <protection hidden="1"/>
    </xf>
    <xf numFmtId="0" fontId="13" fillId="8" borderId="442" xfId="1" applyFont="1" applyFill="1" applyBorder="1" applyAlignment="1" applyProtection="1">
      <alignment horizontal="left" vertical="center"/>
      <protection hidden="1"/>
    </xf>
    <xf numFmtId="0" fontId="71" fillId="8" borderId="358" xfId="0" applyFont="1" applyFill="1" applyBorder="1" applyAlignment="1">
      <alignment horizontal="left" vertical="center"/>
    </xf>
    <xf numFmtId="0" fontId="1" fillId="8" borderId="358" xfId="2" applyFill="1" applyBorder="1" applyAlignment="1">
      <alignment wrapText="1"/>
    </xf>
    <xf numFmtId="0" fontId="1" fillId="8" borderId="442" xfId="2" applyFill="1" applyBorder="1" applyAlignment="1">
      <alignment wrapText="1"/>
    </xf>
    <xf numFmtId="0" fontId="83" fillId="8" borderId="278" xfId="1" applyFont="1" applyFill="1" applyBorder="1" applyAlignment="1" applyProtection="1">
      <alignment horizontal="center" vertical="center"/>
      <protection hidden="1"/>
    </xf>
    <xf numFmtId="0" fontId="159" fillId="8" borderId="439" xfId="5" applyFont="1" applyFill="1" applyBorder="1" applyAlignment="1">
      <alignment horizontal="center" vertical="center"/>
    </xf>
    <xf numFmtId="0" fontId="48" fillId="143" borderId="443" xfId="7" applyFont="1" applyFill="1" applyBorder="1" applyAlignment="1">
      <alignment horizontal="center" vertical="center"/>
    </xf>
    <xf numFmtId="0" fontId="20" fillId="143" borderId="404" xfId="0" applyFont="1" applyFill="1" applyBorder="1" applyAlignment="1">
      <alignment horizontal="left" vertical="center"/>
    </xf>
    <xf numFmtId="0" fontId="2" fillId="144" borderId="443" xfId="7" applyFont="1" applyFill="1" applyBorder="1" applyAlignment="1">
      <alignment horizontal="center" vertical="center"/>
    </xf>
    <xf numFmtId="0" fontId="5" fillId="144" borderId="404" xfId="0" applyFont="1" applyFill="1" applyBorder="1" applyAlignment="1">
      <alignment horizontal="left" vertical="center"/>
    </xf>
    <xf numFmtId="0" fontId="2" fillId="42" borderId="443" xfId="7" applyFont="1" applyFill="1" applyBorder="1" applyAlignment="1">
      <alignment horizontal="center" vertical="center"/>
    </xf>
    <xf numFmtId="0" fontId="5" fillId="42" borderId="404" xfId="0" applyFont="1" applyFill="1" applyBorder="1" applyAlignment="1">
      <alignment horizontal="left" vertical="center"/>
    </xf>
    <xf numFmtId="0" fontId="198" fillId="88" borderId="0" xfId="1" applyFont="1" applyFill="1" applyAlignment="1">
      <alignment vertical="center"/>
    </xf>
    <xf numFmtId="0" fontId="225" fillId="8" borderId="0" xfId="1" applyFont="1" applyFill="1" applyAlignment="1" applyProtection="1">
      <alignment horizontal="center" vertical="center"/>
      <protection locked="0"/>
    </xf>
    <xf numFmtId="0" fontId="456" fillId="8" borderId="0" xfId="1" applyFont="1" applyFill="1" applyAlignment="1" applyProtection="1">
      <alignment horizontal="left" vertical="center"/>
      <protection locked="0"/>
    </xf>
    <xf numFmtId="0" fontId="174" fillId="41" borderId="445" xfId="0" applyFont="1" applyFill="1" applyBorder="1" applyAlignment="1">
      <alignment horizontal="right" vertical="center"/>
    </xf>
    <xf numFmtId="0" fontId="24" fillId="41" borderId="190" xfId="0" applyFont="1" applyFill="1" applyBorder="1" applyAlignment="1">
      <alignment horizontal="left" vertical="center"/>
    </xf>
    <xf numFmtId="0" fontId="24" fillId="8" borderId="0" xfId="6" applyFont="1" applyFill="1" applyAlignment="1">
      <alignment horizontal="right" vertical="center"/>
    </xf>
    <xf numFmtId="0" fontId="24" fillId="8" borderId="0" xfId="5" applyFont="1" applyFill="1" applyAlignment="1">
      <alignment horizontal="right" vertical="center"/>
    </xf>
    <xf numFmtId="0" fontId="181" fillId="110" borderId="50" xfId="2" applyFont="1" applyFill="1" applyBorder="1" applyAlignment="1">
      <alignment horizontal="center" vertical="center"/>
    </xf>
    <xf numFmtId="0" fontId="415" fillId="110" borderId="21" xfId="1" quotePrefix="1" applyFont="1" applyFill="1" applyBorder="1" applyAlignment="1">
      <alignment horizontal="center" vertical="center"/>
    </xf>
    <xf numFmtId="0" fontId="10" fillId="41" borderId="445" xfId="0" applyFont="1" applyFill="1" applyBorder="1" applyAlignment="1">
      <alignment horizontal="left" vertical="center"/>
    </xf>
    <xf numFmtId="0" fontId="10" fillId="41" borderId="190" xfId="0" applyFont="1" applyFill="1" applyBorder="1" applyAlignment="1">
      <alignment horizontal="left" vertical="center"/>
    </xf>
    <xf numFmtId="0" fontId="37" fillId="41" borderId="0" xfId="9" applyFont="1" applyFill="1" applyAlignment="1">
      <alignment horizontal="right" vertical="center"/>
    </xf>
    <xf numFmtId="0" fontId="37" fillId="41" borderId="0" xfId="9" applyFont="1" applyFill="1" applyAlignment="1">
      <alignment horizontal="left" vertical="center"/>
    </xf>
    <xf numFmtId="0" fontId="415" fillId="61" borderId="21" xfId="1" quotePrefix="1" applyFont="1" applyFill="1" applyBorder="1" applyAlignment="1">
      <alignment horizontal="center" vertical="center"/>
    </xf>
    <xf numFmtId="0" fontId="181" fillId="2058" borderId="50" xfId="2" applyFont="1" applyFill="1" applyBorder="1" applyAlignment="1">
      <alignment horizontal="center" vertical="center"/>
    </xf>
    <xf numFmtId="0" fontId="181" fillId="2058" borderId="48" xfId="2" applyFont="1" applyFill="1" applyBorder="1" applyAlignment="1">
      <alignment horizontal="center" vertical="center"/>
    </xf>
    <xf numFmtId="0" fontId="24" fillId="8" borderId="405" xfId="6" applyFont="1" applyFill="1" applyBorder="1" applyAlignment="1">
      <alignment horizontal="right" vertical="center"/>
    </xf>
    <xf numFmtId="0" fontId="24" fillId="8" borderId="5" xfId="6" applyFont="1" applyFill="1" applyBorder="1" applyAlignment="1">
      <alignment horizontal="right" vertical="center"/>
    </xf>
    <xf numFmtId="0" fontId="174" fillId="2059" borderId="48" xfId="2" applyFont="1" applyFill="1" applyBorder="1" applyAlignment="1">
      <alignment horizontal="center" vertical="center"/>
    </xf>
    <xf numFmtId="0" fontId="174" fillId="2059" borderId="13" xfId="1" quotePrefix="1" applyFont="1" applyFill="1" applyBorder="1" applyAlignment="1">
      <alignment horizontal="center" vertical="center"/>
    </xf>
    <xf numFmtId="0" fontId="174" fillId="2059" borderId="50" xfId="2" applyFont="1" applyFill="1" applyBorder="1" applyAlignment="1">
      <alignment horizontal="center" vertical="center"/>
    </xf>
    <xf numFmtId="0" fontId="174" fillId="2059" borderId="21" xfId="1" quotePrefix="1" applyFont="1" applyFill="1" applyBorder="1" applyAlignment="1">
      <alignment horizontal="center" vertical="center"/>
    </xf>
    <xf numFmtId="0" fontId="174" fillId="2060" borderId="48" xfId="2" applyFont="1" applyFill="1" applyBorder="1" applyAlignment="1">
      <alignment horizontal="center" vertical="center"/>
    </xf>
    <xf numFmtId="0" fontId="174" fillId="2060" borderId="13" xfId="1" quotePrefix="1" applyFont="1" applyFill="1" applyBorder="1" applyAlignment="1">
      <alignment horizontal="center" vertical="center"/>
    </xf>
    <xf numFmtId="0" fontId="174" fillId="2060" borderId="50" xfId="2" applyFont="1" applyFill="1" applyBorder="1" applyAlignment="1">
      <alignment horizontal="center" vertical="center"/>
    </xf>
    <xf numFmtId="0" fontId="174" fillId="2060" borderId="21" xfId="1" quotePrefix="1" applyFont="1" applyFill="1" applyBorder="1" applyAlignment="1">
      <alignment horizontal="center" vertical="center"/>
    </xf>
    <xf numFmtId="0" fontId="174" fillId="35" borderId="48" xfId="2" applyFont="1" applyFill="1" applyBorder="1" applyAlignment="1">
      <alignment horizontal="center" vertical="center"/>
    </xf>
    <xf numFmtId="0" fontId="174" fillId="35" borderId="13" xfId="1" quotePrefix="1" applyFont="1" applyFill="1" applyBorder="1" applyAlignment="1">
      <alignment horizontal="center" vertical="center"/>
    </xf>
    <xf numFmtId="0" fontId="174" fillId="35" borderId="50" xfId="2" applyFont="1" applyFill="1" applyBorder="1" applyAlignment="1">
      <alignment horizontal="center" vertical="center"/>
    </xf>
    <xf numFmtId="0" fontId="174" fillId="35" borderId="21" xfId="1" quotePrefix="1" applyFont="1" applyFill="1" applyBorder="1" applyAlignment="1">
      <alignment horizontal="center" vertical="center"/>
    </xf>
    <xf numFmtId="0" fontId="174" fillId="2061" borderId="48" xfId="2" applyFont="1" applyFill="1" applyBorder="1" applyAlignment="1">
      <alignment horizontal="center" vertical="center"/>
    </xf>
    <xf numFmtId="0" fontId="174" fillId="2061" borderId="13" xfId="1" quotePrefix="1" applyFont="1" applyFill="1" applyBorder="1" applyAlignment="1">
      <alignment horizontal="center" vertical="center"/>
    </xf>
    <xf numFmtId="0" fontId="174" fillId="2061" borderId="50" xfId="2" applyFont="1" applyFill="1" applyBorder="1" applyAlignment="1">
      <alignment horizontal="center" vertical="center"/>
    </xf>
    <xf numFmtId="0" fontId="174" fillId="2061" borderId="21" xfId="1" quotePrefix="1" applyFont="1" applyFill="1" applyBorder="1" applyAlignment="1">
      <alignment horizontal="center" vertical="center"/>
    </xf>
    <xf numFmtId="0" fontId="572" fillId="2062" borderId="48" xfId="2" applyFont="1" applyFill="1" applyBorder="1" applyAlignment="1">
      <alignment horizontal="center" vertical="center"/>
    </xf>
    <xf numFmtId="0" fontId="572" fillId="2062" borderId="13" xfId="1" quotePrefix="1" applyFont="1" applyFill="1" applyBorder="1" applyAlignment="1">
      <alignment horizontal="center" vertical="center"/>
    </xf>
    <xf numFmtId="0" fontId="572" fillId="2062" borderId="50" xfId="2" applyFont="1" applyFill="1" applyBorder="1" applyAlignment="1">
      <alignment horizontal="center" vertical="center"/>
    </xf>
    <xf numFmtId="0" fontId="572" fillId="2062" borderId="21" xfId="1" quotePrefix="1" applyFont="1" applyFill="1" applyBorder="1" applyAlignment="1">
      <alignment horizontal="center" vertical="center"/>
    </xf>
    <xf numFmtId="0" fontId="174" fillId="143" borderId="48" xfId="2" applyFont="1" applyFill="1" applyBorder="1" applyAlignment="1">
      <alignment horizontal="center" vertical="center"/>
    </xf>
    <xf numFmtId="0" fontId="174" fillId="143" borderId="13" xfId="1" quotePrefix="1" applyFont="1" applyFill="1" applyBorder="1" applyAlignment="1">
      <alignment horizontal="center" vertical="center"/>
    </xf>
    <xf numFmtId="0" fontId="174" fillId="143" borderId="50" xfId="2" applyFont="1" applyFill="1" applyBorder="1" applyAlignment="1">
      <alignment horizontal="center" vertical="center"/>
    </xf>
    <xf numFmtId="0" fontId="174" fillId="143" borderId="21" xfId="1" quotePrefix="1" applyFont="1" applyFill="1" applyBorder="1" applyAlignment="1">
      <alignment horizontal="center" vertical="center"/>
    </xf>
    <xf numFmtId="0" fontId="174" fillId="61" borderId="48" xfId="2" applyFont="1" applyFill="1" applyBorder="1" applyAlignment="1">
      <alignment horizontal="center" vertical="center"/>
    </xf>
    <xf numFmtId="0" fontId="174" fillId="61" borderId="13" xfId="1" quotePrefix="1" applyFont="1" applyFill="1" applyBorder="1" applyAlignment="1">
      <alignment horizontal="center" vertical="center"/>
    </xf>
    <xf numFmtId="0" fontId="174" fillId="61" borderId="50" xfId="2" applyFont="1" applyFill="1" applyBorder="1" applyAlignment="1">
      <alignment horizontal="center" vertical="center"/>
    </xf>
    <xf numFmtId="0" fontId="174" fillId="61" borderId="21" xfId="1" quotePrefix="1" applyFont="1" applyFill="1" applyBorder="1" applyAlignment="1">
      <alignment horizontal="center" vertical="center"/>
    </xf>
    <xf numFmtId="0" fontId="10" fillId="2058" borderId="445" xfId="0" applyFont="1" applyFill="1" applyBorder="1" applyAlignment="1">
      <alignment horizontal="left" vertical="center"/>
    </xf>
    <xf numFmtId="0" fontId="10" fillId="2058" borderId="190" xfId="0" applyFont="1" applyFill="1" applyBorder="1" applyAlignment="1">
      <alignment horizontal="left" vertical="center"/>
    </xf>
    <xf numFmtId="0" fontId="10" fillId="110" borderId="445" xfId="0" applyFont="1" applyFill="1" applyBorder="1" applyAlignment="1">
      <alignment horizontal="left" vertical="center"/>
    </xf>
    <xf numFmtId="0" fontId="10" fillId="110" borderId="190" xfId="0" applyFont="1" applyFill="1" applyBorder="1" applyAlignment="1">
      <alignment horizontal="left" vertical="center"/>
    </xf>
    <xf numFmtId="0" fontId="24" fillId="61" borderId="190" xfId="0" applyFont="1" applyFill="1" applyBorder="1" applyAlignment="1">
      <alignment horizontal="left" vertical="center"/>
    </xf>
    <xf numFmtId="0" fontId="174" fillId="61" borderId="445" xfId="0" applyFont="1" applyFill="1" applyBorder="1" applyAlignment="1">
      <alignment horizontal="left" vertical="center"/>
    </xf>
    <xf numFmtId="0" fontId="225" fillId="8" borderId="0" xfId="1" applyFont="1" applyFill="1" applyAlignment="1" applyProtection="1">
      <alignment horizontal="left" vertical="center"/>
      <protection locked="0"/>
    </xf>
    <xf numFmtId="0" fontId="21" fillId="13" borderId="0" xfId="2" applyFont="1" applyFill="1" applyAlignment="1">
      <alignment horizontal="center" vertical="center"/>
    </xf>
    <xf numFmtId="0" fontId="54" fillId="16" borderId="0" xfId="2" applyFont="1" applyFill="1" applyAlignment="1">
      <alignment horizontal="center" vertical="center"/>
    </xf>
    <xf numFmtId="0" fontId="10" fillId="4" borderId="0" xfId="1" applyFont="1" applyFill="1" applyAlignment="1">
      <alignment horizontal="center" vertical="center"/>
    </xf>
    <xf numFmtId="0" fontId="20" fillId="4" borderId="0" xfId="1" applyFont="1" applyFill="1" applyAlignment="1" applyProtection="1">
      <alignment horizontal="center" vertical="center" wrapText="1"/>
      <protection hidden="1"/>
    </xf>
    <xf numFmtId="0" fontId="20" fillId="2063" borderId="0" xfId="1" applyFont="1" applyFill="1" applyAlignment="1">
      <alignment horizontal="left" vertical="center"/>
    </xf>
    <xf numFmtId="0" fontId="10" fillId="2063" borderId="0" xfId="1" applyFont="1" applyFill="1" applyAlignment="1">
      <alignment horizontal="center" vertical="center"/>
    </xf>
    <xf numFmtId="0" fontId="26" fillId="2063" borderId="0" xfId="1" applyFont="1" applyFill="1" applyAlignment="1">
      <alignment horizontal="center" vertical="center"/>
    </xf>
    <xf numFmtId="0" fontId="578" fillId="42" borderId="0" xfId="1" applyFont="1" applyFill="1" applyAlignment="1" applyProtection="1">
      <alignment vertical="center"/>
      <protection hidden="1"/>
    </xf>
    <xf numFmtId="0" fontId="0" fillId="8" borderId="444" xfId="0" applyFill="1" applyBorder="1" applyAlignment="1">
      <alignment horizontal="left" vertical="center"/>
    </xf>
    <xf numFmtId="0" fontId="143" fillId="8" borderId="0" xfId="0" applyFont="1" applyFill="1" applyAlignment="1">
      <alignment horizontal="center" vertical="center"/>
    </xf>
    <xf numFmtId="0" fontId="143" fillId="7" borderId="0" xfId="0" applyFont="1" applyFill="1" applyAlignment="1">
      <alignment horizontal="center" vertical="center"/>
    </xf>
    <xf numFmtId="0" fontId="13" fillId="23" borderId="0" xfId="3" applyFont="1" applyFill="1" applyAlignment="1">
      <alignment vertical="center"/>
    </xf>
    <xf numFmtId="0" fontId="0" fillId="4" borderId="444" xfId="0" applyFill="1" applyBorder="1" applyAlignment="1">
      <alignment horizontal="left" vertical="center"/>
    </xf>
    <xf numFmtId="0" fontId="116" fillId="8" borderId="0" xfId="1" applyFont="1" applyFill="1" applyAlignment="1" applyProtection="1">
      <alignment horizontal="center" vertical="center" wrapText="1"/>
      <protection hidden="1"/>
    </xf>
    <xf numFmtId="0" fontId="132" fillId="112" borderId="0" xfId="0" applyFont="1" applyFill="1" applyAlignment="1">
      <alignment horizontal="center" vertical="center"/>
    </xf>
    <xf numFmtId="0" fontId="110" fillId="8" borderId="0" xfId="0" applyFont="1" applyFill="1" applyAlignment="1">
      <alignment horizontal="left" vertical="center"/>
    </xf>
    <xf numFmtId="0" fontId="579" fillId="8" borderId="0" xfId="1" applyFont="1" applyFill="1" applyAlignment="1" applyProtection="1">
      <alignment horizontal="center" vertical="center"/>
      <protection locked="0"/>
    </xf>
    <xf numFmtId="0" fontId="580" fillId="8" borderId="0" xfId="1" applyFont="1" applyFill="1" applyAlignment="1" applyProtection="1">
      <alignment horizontal="center" vertical="center"/>
      <protection locked="0"/>
    </xf>
    <xf numFmtId="0" fontId="110" fillId="8" borderId="0" xfId="0" applyFont="1" applyFill="1" applyAlignment="1">
      <alignment horizontal="right" vertical="center"/>
    </xf>
    <xf numFmtId="190" fontId="369" fillId="21" borderId="0" xfId="30" applyNumberFormat="1" applyFont="1" applyFill="1" applyAlignment="1">
      <alignment horizontal="center" vertical="center"/>
    </xf>
    <xf numFmtId="0" fontId="13" fillId="8" borderId="0" xfId="30" applyFont="1" applyFill="1" applyAlignment="1">
      <alignment horizontal="center" vertical="center"/>
    </xf>
    <xf numFmtId="0" fontId="110" fillId="23" borderId="0" xfId="3" applyFont="1" applyFill="1" applyAlignment="1">
      <alignment horizontal="right" vertical="center"/>
    </xf>
    <xf numFmtId="0" fontId="57" fillId="2064" borderId="0" xfId="30" applyFont="1" applyFill="1" applyAlignment="1">
      <alignment horizontal="center" vertical="center"/>
    </xf>
    <xf numFmtId="0" fontId="31" fillId="2064" borderId="0" xfId="30" applyFont="1" applyFill="1" applyAlignment="1">
      <alignment horizontal="left" vertical="center"/>
    </xf>
    <xf numFmtId="0" fontId="174" fillId="113" borderId="0" xfId="30" applyFont="1" applyFill="1" applyAlignment="1">
      <alignment horizontal="center" vertical="center"/>
    </xf>
    <xf numFmtId="0" fontId="578" fillId="42" borderId="0" xfId="1" applyFont="1" applyFill="1" applyAlignment="1" applyProtection="1">
      <alignment horizontal="center" vertical="center"/>
      <protection hidden="1"/>
    </xf>
    <xf numFmtId="0" fontId="48" fillId="16" borderId="0" xfId="30" applyFont="1" applyFill="1" applyAlignment="1">
      <alignment horizontal="center" vertical="center"/>
    </xf>
    <xf numFmtId="0" fontId="358" fillId="42" borderId="0" xfId="1" applyFont="1" applyFill="1" applyAlignment="1">
      <alignment horizontal="left" vertical="center"/>
    </xf>
    <xf numFmtId="0" fontId="118" fillId="82" borderId="0" xfId="0" applyFont="1" applyFill="1" applyAlignment="1">
      <alignment horizontal="left" vertical="center"/>
    </xf>
    <xf numFmtId="0" fontId="174" fillId="7" borderId="0" xfId="3" applyFont="1" applyFill="1" applyAlignment="1">
      <alignment horizontal="right" vertical="center"/>
    </xf>
    <xf numFmtId="0" fontId="174" fillId="7" borderId="0" xfId="0" applyFont="1" applyFill="1" applyAlignment="1">
      <alignment horizontal="right" vertical="center"/>
    </xf>
    <xf numFmtId="0" fontId="349" fillId="7" borderId="0" xfId="0" applyFont="1" applyFill="1" applyAlignment="1">
      <alignment horizontal="center" vertical="center"/>
    </xf>
    <xf numFmtId="0" fontId="83" fillId="0" borderId="0" xfId="9" applyFont="1" applyAlignment="1">
      <alignment horizontal="left" vertical="center"/>
    </xf>
    <xf numFmtId="0" fontId="118" fillId="82" borderId="0" xfId="0" applyFont="1" applyFill="1" applyAlignment="1">
      <alignment vertical="center"/>
    </xf>
    <xf numFmtId="190" fontId="174" fillId="112" borderId="0" xfId="30" applyNumberFormat="1" applyFont="1" applyFill="1" applyAlignment="1">
      <alignment horizontal="center" vertical="center"/>
    </xf>
    <xf numFmtId="0" fontId="118" fillId="7" borderId="0" xfId="0" applyFont="1" applyFill="1" applyAlignment="1">
      <alignment vertical="center"/>
    </xf>
    <xf numFmtId="0" fontId="118" fillId="7" borderId="0" xfId="0" applyFont="1" applyFill="1" applyAlignment="1">
      <alignment horizontal="left" vertical="center"/>
    </xf>
    <xf numFmtId="0" fontId="10" fillId="7" borderId="447" xfId="1" applyFont="1" applyFill="1" applyBorder="1" applyAlignment="1">
      <alignment horizontal="center" vertical="center"/>
    </xf>
    <xf numFmtId="0" fontId="118" fillId="4" borderId="0" xfId="0" applyFont="1" applyFill="1" applyAlignment="1">
      <alignment horizontal="left" vertical="center"/>
    </xf>
    <xf numFmtId="0" fontId="174" fillId="4" borderId="0" xfId="3" applyFont="1" applyFill="1" applyAlignment="1">
      <alignment horizontal="right" vertical="center"/>
    </xf>
    <xf numFmtId="0" fontId="174" fillId="4" borderId="0" xfId="0" applyFont="1" applyFill="1" applyAlignment="1">
      <alignment horizontal="right" vertical="center"/>
    </xf>
    <xf numFmtId="0" fontId="349" fillId="4" borderId="0" xfId="0" applyFont="1" applyFill="1" applyAlignment="1">
      <alignment horizontal="center" vertical="center"/>
    </xf>
    <xf numFmtId="0" fontId="581" fillId="8" borderId="0" xfId="1" applyFont="1" applyFill="1" applyAlignment="1" applyProtection="1">
      <alignment horizontal="left" vertical="center"/>
      <protection locked="0"/>
    </xf>
    <xf numFmtId="0" fontId="582" fillId="8" borderId="0" xfId="1" applyFont="1" applyFill="1" applyAlignment="1" applyProtection="1">
      <alignment horizontal="left" vertical="center"/>
      <protection locked="0"/>
    </xf>
    <xf numFmtId="0" fontId="45" fillId="8" borderId="0" xfId="0" applyFont="1" applyFill="1" applyAlignment="1">
      <alignment horizontal="center" vertical="center"/>
    </xf>
    <xf numFmtId="0" fontId="54" fillId="16" borderId="279" xfId="2" applyFont="1" applyFill="1" applyBorder="1" applyAlignment="1">
      <alignment horizontal="center" vertical="center"/>
    </xf>
    <xf numFmtId="0" fontId="10" fillId="7" borderId="279" xfId="1" applyFont="1" applyFill="1" applyBorder="1" applyAlignment="1">
      <alignment horizontal="center" vertical="center"/>
    </xf>
    <xf numFmtId="0" fontId="10" fillId="4" borderId="279" xfId="1" applyFont="1" applyFill="1" applyBorder="1" applyAlignment="1">
      <alignment horizontal="center" vertical="center"/>
    </xf>
    <xf numFmtId="0" fontId="578" fillId="42" borderId="279" xfId="1" applyFont="1" applyFill="1" applyBorder="1" applyAlignment="1" applyProtection="1">
      <alignment vertical="center"/>
      <protection hidden="1"/>
    </xf>
    <xf numFmtId="0" fontId="13" fillId="23" borderId="279" xfId="3" applyFont="1" applyFill="1" applyBorder="1" applyAlignment="1">
      <alignment vertical="center"/>
    </xf>
    <xf numFmtId="190" fontId="369" fillId="8" borderId="279" xfId="30" applyNumberFormat="1" applyFont="1" applyFill="1" applyBorder="1" applyAlignment="1">
      <alignment horizontal="center" vertical="center"/>
    </xf>
    <xf numFmtId="0" fontId="110" fillId="23" borderId="279" xfId="3" applyFont="1" applyFill="1" applyBorder="1" applyAlignment="1">
      <alignment horizontal="right" vertical="center"/>
    </xf>
    <xf numFmtId="0" fontId="48" fillId="16" borderId="279" xfId="30" applyFont="1" applyFill="1" applyBorder="1" applyAlignment="1">
      <alignment horizontal="center" vertical="center"/>
    </xf>
    <xf numFmtId="0" fontId="174" fillId="7" borderId="448" xfId="3" applyFont="1" applyFill="1" applyBorder="1" applyAlignment="1">
      <alignment horizontal="center" vertical="center"/>
    </xf>
    <xf numFmtId="0" fontId="57" fillId="8" borderId="446" xfId="0" applyFont="1" applyFill="1" applyBorder="1" applyAlignment="1">
      <alignment vertical="center"/>
    </xf>
    <xf numFmtId="0" fontId="66" fillId="8" borderId="58" xfId="1" applyFont="1" applyFill="1" applyBorder="1" applyAlignment="1">
      <alignment vertical="center"/>
    </xf>
    <xf numFmtId="0" fontId="0" fillId="0" borderId="3" xfId="0" applyBorder="1" applyAlignment="1">
      <alignment vertical="center"/>
    </xf>
    <xf numFmtId="0" fontId="0" fillId="109" borderId="188" xfId="0" applyFill="1" applyBorder="1" applyAlignment="1">
      <alignment vertical="center"/>
    </xf>
    <xf numFmtId="0" fontId="31" fillId="8" borderId="0" xfId="4" applyFont="1" applyFill="1" applyAlignment="1">
      <alignment horizontal="right" vertical="center"/>
    </xf>
    <xf numFmtId="0" fontId="1" fillId="8" borderId="0" xfId="4" applyFill="1" applyAlignment="1">
      <alignment vertical="center" wrapText="1"/>
    </xf>
    <xf numFmtId="0" fontId="0" fillId="8" borderId="10" xfId="0" applyFill="1" applyBorder="1" applyAlignment="1">
      <alignment vertical="center"/>
    </xf>
    <xf numFmtId="0" fontId="24" fillId="17" borderId="16" xfId="1" applyFont="1" applyFill="1" applyBorder="1" applyAlignment="1" applyProtection="1">
      <alignment horizontal="center" vertical="center"/>
      <protection locked="0"/>
    </xf>
    <xf numFmtId="0" fontId="50" fillId="17" borderId="0" xfId="1" applyFont="1" applyFill="1" applyAlignment="1" applyProtection="1">
      <alignment horizontal="center" vertical="center"/>
      <protection locked="0"/>
    </xf>
    <xf numFmtId="0" fontId="48" fillId="8" borderId="17" xfId="1" applyFont="1" applyFill="1" applyBorder="1" applyAlignment="1">
      <alignment horizontal="center" vertical="center"/>
    </xf>
    <xf numFmtId="0" fontId="0" fillId="8" borderId="279" xfId="0" applyFill="1" applyBorder="1" applyAlignment="1">
      <alignment vertical="center"/>
    </xf>
    <xf numFmtId="0" fontId="179" fillId="21" borderId="0" xfId="0" applyFont="1" applyFill="1" applyAlignment="1">
      <alignment horizontal="center" vertical="center"/>
    </xf>
    <xf numFmtId="0" fontId="0" fillId="109" borderId="230" xfId="0" applyFill="1" applyBorder="1" applyAlignment="1">
      <alignment vertical="center"/>
    </xf>
    <xf numFmtId="0" fontId="1" fillId="41" borderId="0" xfId="4" applyFill="1" applyAlignment="1">
      <alignment vertical="center"/>
    </xf>
    <xf numFmtId="0" fontId="0" fillId="41" borderId="0" xfId="0" applyFill="1" applyAlignment="1">
      <alignment vertical="center"/>
    </xf>
    <xf numFmtId="0" fontId="0" fillId="17" borderId="0" xfId="0" applyFill="1" applyAlignment="1">
      <alignment vertical="center"/>
    </xf>
    <xf numFmtId="0" fontId="374" fillId="17" borderId="0" xfId="0" applyFont="1" applyFill="1" applyAlignment="1">
      <alignment horizontal="right" vertical="center"/>
    </xf>
    <xf numFmtId="0" fontId="389" fillId="12" borderId="0" xfId="0" applyFont="1" applyFill="1" applyAlignment="1">
      <alignment horizontal="right" vertical="center"/>
    </xf>
    <xf numFmtId="0" fontId="389" fillId="7" borderId="0" xfId="0" applyFont="1" applyFill="1" applyAlignment="1">
      <alignment horizontal="right" vertical="center"/>
    </xf>
    <xf numFmtId="0" fontId="118" fillId="4" borderId="0" xfId="0" applyFont="1" applyFill="1" applyAlignment="1">
      <alignment vertical="center"/>
    </xf>
    <xf numFmtId="0" fontId="389" fillId="4" borderId="0" xfId="0" applyFont="1" applyFill="1" applyAlignment="1">
      <alignment horizontal="right" vertical="center"/>
    </xf>
    <xf numFmtId="0" fontId="118" fillId="90" borderId="0" xfId="0" applyFont="1" applyFill="1" applyAlignment="1">
      <alignment vertical="center"/>
    </xf>
    <xf numFmtId="0" fontId="0" fillId="37" borderId="0" xfId="0" applyFill="1" applyAlignment="1">
      <alignment vertical="center"/>
    </xf>
    <xf numFmtId="0" fontId="583" fillId="15" borderId="0" xfId="26" applyFont="1" applyFill="1" applyAlignment="1">
      <alignment horizontal="center" vertical="center"/>
    </xf>
    <xf numFmtId="0" fontId="1" fillId="37" borderId="0" xfId="4" applyFill="1" applyAlignment="1">
      <alignment vertical="center"/>
    </xf>
    <xf numFmtId="0" fontId="584" fillId="8" borderId="0" xfId="13" applyFont="1" applyFill="1" applyAlignment="1">
      <alignment horizontal="center" vertical="center"/>
    </xf>
    <xf numFmtId="0" fontId="466" fillId="8" borderId="0" xfId="28" applyFont="1" applyFill="1" applyAlignment="1">
      <alignment horizontal="center" vertical="center"/>
    </xf>
    <xf numFmtId="0" fontId="73" fillId="8" borderId="0" xfId="0" applyFont="1" applyFill="1" applyAlignment="1">
      <alignment horizontal="left" vertical="center"/>
    </xf>
    <xf numFmtId="0" fontId="139" fillId="8" borderId="0" xfId="0" applyFont="1" applyFill="1" applyAlignment="1">
      <alignment horizontal="right" vertical="center"/>
    </xf>
    <xf numFmtId="0" fontId="139" fillId="8" borderId="0" xfId="0" applyFont="1" applyFill="1" applyAlignment="1">
      <alignment horizontal="left" vertical="center"/>
    </xf>
    <xf numFmtId="0" fontId="24" fillId="17" borderId="444" xfId="1" applyFont="1" applyFill="1" applyBorder="1" applyAlignment="1" applyProtection="1">
      <alignment horizontal="center"/>
      <protection locked="0"/>
    </xf>
    <xf numFmtId="0" fontId="24" fillId="17" borderId="441" xfId="1" applyFont="1" applyFill="1" applyBorder="1" applyAlignment="1" applyProtection="1">
      <alignment horizontal="center" vertical="center"/>
      <protection hidden="1"/>
    </xf>
    <xf numFmtId="0" fontId="48" fillId="8" borderId="442" xfId="9" applyFont="1" applyFill="1" applyBorder="1" applyAlignment="1">
      <alignment horizontal="center" vertical="center"/>
    </xf>
    <xf numFmtId="166" fontId="58" fillId="8" borderId="442" xfId="1" applyNumberFormat="1" applyFont="1" applyFill="1" applyBorder="1" applyAlignment="1">
      <alignment horizontal="left" vertical="center"/>
    </xf>
    <xf numFmtId="0" fontId="59" fillId="20" borderId="434" xfId="1" applyFont="1" applyFill="1" applyBorder="1" applyAlignment="1">
      <alignment horizontal="left" vertical="center"/>
    </xf>
    <xf numFmtId="0" fontId="76" fillId="8" borderId="440" xfId="1" applyFont="1" applyFill="1" applyBorder="1" applyAlignment="1" applyProtection="1">
      <alignment horizontal="right" vertical="center"/>
      <protection hidden="1"/>
    </xf>
    <xf numFmtId="0" fontId="76" fillId="8" borderId="444" xfId="1" applyFont="1" applyFill="1" applyBorder="1" applyAlignment="1" applyProtection="1">
      <alignment horizontal="right" vertical="center"/>
      <protection hidden="1"/>
    </xf>
    <xf numFmtId="0" fontId="61" fillId="8" borderId="434" xfId="1" applyFont="1" applyFill="1" applyBorder="1" applyAlignment="1" applyProtection="1">
      <alignment horizontal="center" vertical="center"/>
      <protection hidden="1"/>
    </xf>
    <xf numFmtId="167" fontId="59" fillId="26" borderId="441" xfId="1" applyNumberFormat="1" applyFont="1" applyFill="1" applyBorder="1" applyAlignment="1">
      <alignment horizontal="center" vertical="center"/>
    </xf>
    <xf numFmtId="167" fontId="70" fillId="20" borderId="442" xfId="1" applyNumberFormat="1" applyFont="1" applyFill="1" applyBorder="1" applyAlignment="1">
      <alignment horizontal="center" vertical="center"/>
    </xf>
    <xf numFmtId="0" fontId="61" fillId="35" borderId="434" xfId="1" applyFont="1" applyFill="1" applyBorder="1" applyAlignment="1" applyProtection="1">
      <alignment horizontal="center" vertical="center"/>
      <protection hidden="1"/>
    </xf>
    <xf numFmtId="0" fontId="61" fillId="25" borderId="434" xfId="1" applyFont="1" applyFill="1" applyBorder="1" applyAlignment="1" applyProtection="1">
      <alignment horizontal="center" vertical="center"/>
      <protection hidden="1"/>
    </xf>
    <xf numFmtId="0" fontId="75" fillId="7" borderId="434" xfId="1" applyFont="1" applyFill="1" applyBorder="1" applyAlignment="1" applyProtection="1">
      <alignment horizontal="center" vertical="center"/>
      <protection hidden="1"/>
    </xf>
    <xf numFmtId="0" fontId="57" fillId="38" borderId="434" xfId="1" applyFont="1" applyFill="1" applyBorder="1" applyAlignment="1" applyProtection="1">
      <alignment horizontal="center" vertical="center"/>
      <protection hidden="1"/>
    </xf>
    <xf numFmtId="0" fontId="57" fillId="35" borderId="434" xfId="1" applyFont="1" applyFill="1" applyBorder="1" applyAlignment="1" applyProtection="1">
      <alignment horizontal="center" vertical="center"/>
      <protection hidden="1"/>
    </xf>
    <xf numFmtId="0" fontId="61" fillId="27" borderId="434" xfId="1" applyFont="1" applyFill="1" applyBorder="1" applyAlignment="1" applyProtection="1">
      <alignment horizontal="center" vertical="center"/>
      <protection hidden="1"/>
    </xf>
    <xf numFmtId="0" fontId="65" fillId="34" borderId="434" xfId="1" applyFont="1" applyFill="1" applyBorder="1" applyAlignment="1" applyProtection="1">
      <alignment horizontal="center" vertical="center"/>
      <protection hidden="1"/>
    </xf>
    <xf numFmtId="1" fontId="68" fillId="36" borderId="434" xfId="1" applyNumberFormat="1" applyFont="1" applyFill="1" applyBorder="1" applyAlignment="1" applyProtection="1">
      <alignment horizontal="center" vertical="center"/>
      <protection hidden="1"/>
    </xf>
    <xf numFmtId="1" fontId="68" fillId="36" borderId="434" xfId="1" applyNumberFormat="1" applyFont="1" applyFill="1" applyBorder="1" applyAlignment="1" applyProtection="1">
      <alignment horizontal="left" vertical="center"/>
      <protection hidden="1"/>
    </xf>
    <xf numFmtId="1" fontId="79" fillId="39" borderId="434" xfId="1" applyNumberFormat="1" applyFont="1" applyFill="1" applyBorder="1" applyAlignment="1" applyProtection="1">
      <alignment horizontal="left" vertical="center"/>
      <protection hidden="1"/>
    </xf>
    <xf numFmtId="171" fontId="118" fillId="43" borderId="18" xfId="0" applyNumberFormat="1" applyFont="1" applyFill="1" applyBorder="1" applyAlignment="1">
      <alignment horizontal="center" vertical="center"/>
    </xf>
    <xf numFmtId="0" fontId="118" fillId="43" borderId="18" xfId="0" applyFont="1" applyFill="1" applyBorder="1" applyAlignment="1">
      <alignment horizontal="center" vertical="center"/>
    </xf>
    <xf numFmtId="172" fontId="118" fillId="43" borderId="18" xfId="0" applyNumberFormat="1" applyFont="1" applyFill="1" applyBorder="1" applyAlignment="1">
      <alignment horizontal="center" vertical="center"/>
    </xf>
    <xf numFmtId="172" fontId="118" fillId="43" borderId="449" xfId="0" applyNumberFormat="1" applyFont="1" applyFill="1" applyBorder="1" applyAlignment="1">
      <alignment horizontal="center" vertical="center"/>
    </xf>
    <xf numFmtId="171" fontId="118" fillId="43" borderId="342" xfId="0" applyNumberFormat="1" applyFont="1" applyFill="1" applyBorder="1" applyAlignment="1">
      <alignment horizontal="center" vertical="center"/>
    </xf>
    <xf numFmtId="0" fontId="118" fillId="43" borderId="342" xfId="0" applyFont="1" applyFill="1" applyBorder="1" applyAlignment="1">
      <alignment horizontal="center" vertical="center"/>
    </xf>
    <xf numFmtId="172" fontId="118" fillId="43" borderId="342" xfId="0" applyNumberFormat="1" applyFont="1" applyFill="1" applyBorder="1" applyAlignment="1">
      <alignment horizontal="center" vertical="center"/>
    </xf>
    <xf numFmtId="172" fontId="118" fillId="43" borderId="450" xfId="0" applyNumberFormat="1" applyFont="1" applyFill="1" applyBorder="1" applyAlignment="1">
      <alignment horizontal="center" vertical="center"/>
    </xf>
    <xf numFmtId="0" fontId="130" fillId="14" borderId="0" xfId="1" quotePrefix="1" applyFont="1" applyFill="1" applyAlignment="1">
      <alignment horizontal="center" vertical="center"/>
    </xf>
    <xf numFmtId="0" fontId="354" fillId="42" borderId="0" xfId="7" applyFont="1" applyFill="1" applyAlignment="1">
      <alignment horizontal="right" vertical="center"/>
    </xf>
    <xf numFmtId="0" fontId="354" fillId="42" borderId="0" xfId="7" applyFont="1" applyFill="1" applyAlignment="1">
      <alignment horizontal="left" vertical="center"/>
    </xf>
    <xf numFmtId="1" fontId="354" fillId="42" borderId="0" xfId="7" applyNumberFormat="1" applyFont="1" applyFill="1" applyAlignment="1">
      <alignment horizontal="right" vertical="center"/>
    </xf>
    <xf numFmtId="0" fontId="13" fillId="20" borderId="444" xfId="1" applyFont="1" applyFill="1" applyBorder="1" applyAlignment="1" applyProtection="1">
      <alignment horizontal="center" vertical="center"/>
      <protection hidden="1"/>
    </xf>
    <xf numFmtId="0" fontId="13" fillId="20" borderId="451" xfId="1" applyFont="1" applyFill="1" applyBorder="1" applyAlignment="1" applyProtection="1">
      <alignment horizontal="center" vertical="center"/>
      <protection hidden="1"/>
    </xf>
    <xf numFmtId="0" fontId="83" fillId="8" borderId="444" xfId="1" applyFont="1" applyFill="1" applyBorder="1" applyAlignment="1" applyProtection="1">
      <alignment horizontal="left" vertical="center"/>
      <protection locked="0"/>
    </xf>
    <xf numFmtId="0" fontId="83" fillId="8" borderId="429" xfId="1" applyFont="1" applyFill="1" applyBorder="1" applyAlignment="1" applyProtection="1">
      <alignment horizontal="right" vertical="center"/>
      <protection locked="0"/>
    </xf>
    <xf numFmtId="0" fontId="374" fillId="8" borderId="0" xfId="0" applyFont="1" applyFill="1" applyAlignment="1">
      <alignment horizontal="left" vertical="center"/>
    </xf>
    <xf numFmtId="0" fontId="49" fillId="23" borderId="0" xfId="3" applyFont="1" applyFill="1" applyAlignment="1">
      <alignment horizontal="right" vertical="center"/>
    </xf>
    <xf numFmtId="0" fontId="10" fillId="23" borderId="0" xfId="3" applyFont="1" applyFill="1" applyAlignment="1">
      <alignment horizontal="left" vertical="center"/>
    </xf>
    <xf numFmtId="0" fontId="20" fillId="40" borderId="343" xfId="7" applyFont="1" applyFill="1" applyBorder="1" applyAlignment="1">
      <alignment horizontal="center" vertical="center"/>
    </xf>
    <xf numFmtId="0" fontId="126" fillId="14" borderId="0" xfId="1" quotePrefix="1" applyFont="1" applyFill="1" applyAlignment="1">
      <alignment horizontal="center" vertical="center"/>
    </xf>
    <xf numFmtId="0" fontId="126" fillId="14" borderId="9" xfId="1" quotePrefix="1" applyFont="1" applyFill="1" applyBorder="1" applyAlignment="1">
      <alignment horizontal="center" vertical="center"/>
    </xf>
    <xf numFmtId="0" fontId="31" fillId="41" borderId="0" xfId="2" applyFont="1" applyFill="1" applyAlignment="1">
      <alignment horizontal="right" vertical="center"/>
    </xf>
    <xf numFmtId="0" fontId="13" fillId="41" borderId="0" xfId="1" applyFont="1" applyFill="1" applyAlignment="1" applyProtection="1">
      <alignment vertical="center"/>
      <protection hidden="1"/>
    </xf>
    <xf numFmtId="0" fontId="190" fillId="42" borderId="0" xfId="2" applyFont="1" applyFill="1" applyAlignment="1">
      <alignment horizontal="left" vertical="center"/>
    </xf>
    <xf numFmtId="0" fontId="190" fillId="42" borderId="0" xfId="0" applyFont="1" applyFill="1" applyAlignment="1">
      <alignment horizontal="left" vertical="center"/>
    </xf>
    <xf numFmtId="0" fontId="190" fillId="42" borderId="0" xfId="0" applyFont="1" applyFill="1"/>
    <xf numFmtId="0" fontId="190" fillId="42" borderId="0" xfId="2" applyFont="1" applyFill="1" applyAlignment="1">
      <alignment horizontal="right" vertical="center"/>
    </xf>
    <xf numFmtId="0" fontId="585" fillId="43" borderId="0" xfId="1" quotePrefix="1" applyFont="1" applyFill="1" applyAlignment="1">
      <alignment horizontal="center" vertical="center"/>
    </xf>
    <xf numFmtId="0" fontId="49" fillId="41" borderId="0" xfId="1" quotePrefix="1" applyFont="1" applyFill="1" applyAlignment="1">
      <alignment horizontal="center" vertical="center"/>
    </xf>
    <xf numFmtId="0" fontId="49" fillId="41" borderId="9" xfId="1" quotePrefix="1" applyFont="1" applyFill="1" applyBorder="1" applyAlignment="1">
      <alignment horizontal="center" vertical="center"/>
    </xf>
    <xf numFmtId="0" fontId="73" fillId="8" borderId="0" xfId="0" applyFont="1" applyFill="1" applyAlignment="1">
      <alignment horizontal="left" vertical="center" wrapText="1"/>
    </xf>
    <xf numFmtId="0" fontId="71" fillId="8" borderId="0" xfId="0" applyFont="1" applyFill="1" applyAlignment="1">
      <alignment horizontal="left" vertical="center" wrapText="1"/>
    </xf>
    <xf numFmtId="0" fontId="36" fillId="8" borderId="0" xfId="0" applyFont="1" applyFill="1" applyAlignment="1">
      <alignment vertical="center"/>
    </xf>
    <xf numFmtId="0" fontId="586" fillId="8" borderId="0" xfId="0" applyFont="1" applyFill="1" applyAlignment="1">
      <alignment vertical="center"/>
    </xf>
    <xf numFmtId="0" fontId="26" fillId="8" borderId="0" xfId="1" applyFont="1" applyFill="1" applyAlignment="1" applyProtection="1">
      <alignment vertical="center"/>
      <protection hidden="1"/>
    </xf>
    <xf numFmtId="0" fontId="102" fillId="8" borderId="0" xfId="0" applyFont="1" applyFill="1" applyAlignment="1">
      <alignment vertical="center"/>
    </xf>
    <xf numFmtId="0" fontId="569" fillId="8" borderId="0" xfId="1" applyFont="1" applyFill="1" applyAlignment="1" applyProtection="1">
      <alignment horizontal="left" vertical="center"/>
      <protection hidden="1"/>
    </xf>
    <xf numFmtId="0" fontId="569" fillId="8" borderId="0" xfId="1" applyFont="1" applyFill="1" applyAlignment="1" applyProtection="1">
      <alignment vertical="center"/>
      <protection hidden="1"/>
    </xf>
    <xf numFmtId="0" fontId="354" fillId="109" borderId="443" xfId="7" applyFont="1" applyFill="1" applyBorder="1" applyAlignment="1">
      <alignment horizontal="right" vertical="center"/>
    </xf>
    <xf numFmtId="0" fontId="354" fillId="109" borderId="443" xfId="7" applyFont="1" applyFill="1" applyBorder="1" applyAlignment="1">
      <alignment horizontal="left" vertical="center"/>
    </xf>
    <xf numFmtId="1" fontId="354" fillId="109" borderId="443" xfId="7" applyNumberFormat="1" applyFont="1" applyFill="1" applyBorder="1" applyAlignment="1">
      <alignment horizontal="right" vertical="center"/>
    </xf>
    <xf numFmtId="0" fontId="0" fillId="109" borderId="443" xfId="0" applyFill="1" applyBorder="1"/>
    <xf numFmtId="0" fontId="5" fillId="42" borderId="0" xfId="0" applyFont="1" applyFill="1" applyAlignment="1">
      <alignment horizontal="right" vertical="center"/>
    </xf>
    <xf numFmtId="170" fontId="20" fillId="2065" borderId="177" xfId="1" applyNumberFormat="1" applyFont="1" applyFill="1" applyBorder="1" applyAlignment="1">
      <alignment vertical="center"/>
    </xf>
    <xf numFmtId="1" fontId="57" fillId="31" borderId="9" xfId="1" applyNumberFormat="1" applyFont="1" applyFill="1" applyBorder="1" applyAlignment="1">
      <alignment horizontal="right" vertical="center"/>
    </xf>
    <xf numFmtId="0" fontId="569" fillId="8" borderId="0" xfId="27" applyFont="1" applyFill="1" applyAlignment="1">
      <alignment horizontal="left" vertical="center"/>
    </xf>
    <xf numFmtId="0" fontId="78" fillId="8" borderId="0" xfId="0" applyFont="1" applyFill="1" applyAlignment="1">
      <alignment horizontal="left" vertical="center"/>
    </xf>
    <xf numFmtId="0" fontId="150" fillId="8" borderId="0" xfId="28" applyFont="1" applyFill="1" applyAlignment="1">
      <alignment horizontal="left" vertical="center"/>
    </xf>
    <xf numFmtId="0" fontId="21" fillId="42" borderId="0" xfId="1" applyFont="1" applyFill="1" applyAlignment="1">
      <alignment horizontal="left" vertical="center"/>
    </xf>
    <xf numFmtId="0" fontId="2" fillId="42" borderId="0" xfId="1" applyFont="1" applyFill="1" applyAlignment="1">
      <alignment horizontal="right" vertical="center"/>
    </xf>
    <xf numFmtId="0" fontId="588" fillId="8" borderId="0" xfId="1" applyFont="1" applyFill="1" applyAlignment="1" applyProtection="1">
      <alignment horizontal="left" vertical="center"/>
      <protection locked="0"/>
    </xf>
    <xf numFmtId="0" fontId="589" fillId="8" borderId="0" xfId="9" applyFont="1" applyFill="1" applyAlignment="1">
      <alignment horizontal="left" vertical="center"/>
    </xf>
    <xf numFmtId="0" fontId="589" fillId="8" borderId="9" xfId="9" applyFont="1" applyFill="1" applyBorder="1" applyAlignment="1">
      <alignment horizontal="right" vertical="center"/>
    </xf>
    <xf numFmtId="0" fontId="590" fillId="8" borderId="0" xfId="1" applyFont="1" applyFill="1" applyAlignment="1" applyProtection="1">
      <alignment horizontal="left" vertical="center"/>
      <protection locked="0"/>
    </xf>
    <xf numFmtId="0" fontId="589" fillId="8" borderId="0" xfId="9" applyFont="1" applyFill="1" applyAlignment="1">
      <alignment horizontal="right" vertical="center"/>
    </xf>
    <xf numFmtId="164" fontId="42" fillId="8" borderId="13" xfId="0" applyNumberFormat="1" applyFont="1" applyFill="1" applyBorder="1" applyAlignment="1">
      <alignment horizontal="right" vertical="center"/>
    </xf>
    <xf numFmtId="164" fontId="0" fillId="8" borderId="13" xfId="0" applyNumberFormat="1" applyFill="1" applyBorder="1" applyAlignment="1">
      <alignment horizontal="left" vertical="center"/>
    </xf>
    <xf numFmtId="0" fontId="0" fillId="0" borderId="21" xfId="0" applyBorder="1"/>
    <xf numFmtId="0" fontId="29" fillId="14" borderId="457" xfId="7" applyFont="1" applyFill="1" applyBorder="1" applyAlignment="1">
      <alignment horizontal="center" vertical="center"/>
    </xf>
    <xf numFmtId="0" fontId="0" fillId="8" borderId="11" xfId="0" applyFill="1" applyBorder="1"/>
    <xf numFmtId="0" fontId="29" fillId="14" borderId="12" xfId="7" applyFont="1" applyFill="1" applyBorder="1" applyAlignment="1">
      <alignment horizontal="center" vertical="center"/>
    </xf>
    <xf numFmtId="0" fontId="62" fillId="8" borderId="440" xfId="1" applyFont="1" applyFill="1" applyBorder="1" applyAlignment="1" applyProtection="1">
      <alignment horizontal="center" vertical="center"/>
      <protection hidden="1"/>
    </xf>
    <xf numFmtId="0" fontId="39" fillId="0" borderId="416" xfId="1" applyFont="1" applyBorder="1" applyAlignment="1">
      <alignment horizontal="left" vertical="center"/>
    </xf>
    <xf numFmtId="170" fontId="57" fillId="30" borderId="458" xfId="1" applyNumberFormat="1" applyFont="1" applyFill="1" applyBorder="1" applyAlignment="1">
      <alignment horizontal="center" vertical="center"/>
    </xf>
    <xf numFmtId="0" fontId="62" fillId="8" borderId="444" xfId="1" applyFont="1" applyFill="1" applyBorder="1" applyAlignment="1" applyProtection="1">
      <alignment horizontal="center" vertical="center"/>
      <protection hidden="1"/>
    </xf>
    <xf numFmtId="0" fontId="39" fillId="0" borderId="18" xfId="1" applyFont="1" applyBorder="1" applyAlignment="1">
      <alignment horizontal="left" vertical="center"/>
    </xf>
    <xf numFmtId="170" fontId="20" fillId="0" borderId="0" xfId="1" applyNumberFormat="1" applyFont="1" applyAlignment="1">
      <alignment horizontal="center" vertical="center"/>
    </xf>
    <xf numFmtId="170" fontId="57" fillId="8" borderId="458" xfId="1" applyNumberFormat="1" applyFont="1" applyFill="1" applyBorder="1" applyAlignment="1">
      <alignment horizontal="center" vertical="center"/>
    </xf>
    <xf numFmtId="0" fontId="591" fillId="8" borderId="0" xfId="1" applyFont="1" applyFill="1" applyAlignment="1" applyProtection="1">
      <alignment horizontal="left" vertical="center"/>
      <protection locked="0"/>
    </xf>
    <xf numFmtId="0" fontId="107" fillId="8" borderId="0" xfId="0" applyFont="1" applyFill="1" applyAlignment="1">
      <alignment horizontal="left" vertical="center" indent="1"/>
    </xf>
    <xf numFmtId="0" fontId="87" fillId="8" borderId="0" xfId="0" applyFont="1" applyFill="1" applyAlignment="1">
      <alignment horizontal="left"/>
    </xf>
    <xf numFmtId="0" fontId="156" fillId="8" borderId="0" xfId="1" applyFont="1" applyFill="1" applyAlignment="1" applyProtection="1">
      <alignment horizontal="left" vertical="center"/>
      <protection locked="0"/>
    </xf>
    <xf numFmtId="0" fontId="239" fillId="8" borderId="0" xfId="1" applyFont="1" applyFill="1" applyAlignment="1" applyProtection="1">
      <alignment vertical="center"/>
      <protection hidden="1"/>
    </xf>
    <xf numFmtId="0" fontId="26" fillId="8" borderId="444" xfId="1" applyFont="1" applyFill="1" applyBorder="1" applyAlignment="1" applyProtection="1">
      <alignment vertical="center"/>
      <protection hidden="1"/>
    </xf>
    <xf numFmtId="0" fontId="71" fillId="7" borderId="0" xfId="0" applyFont="1" applyFill="1" applyAlignment="1">
      <alignment horizontal="center" vertical="center"/>
    </xf>
    <xf numFmtId="164" fontId="48" fillId="7" borderId="41" xfId="1" applyNumberFormat="1" applyFont="1" applyFill="1" applyBorder="1" applyAlignment="1">
      <alignment horizontal="center" vertical="center"/>
    </xf>
    <xf numFmtId="0" fontId="48" fillId="7" borderId="9" xfId="9" applyFont="1" applyFill="1" applyBorder="1" applyAlignment="1">
      <alignment horizontal="right" vertical="center"/>
    </xf>
    <xf numFmtId="0" fontId="72" fillId="0" borderId="459" xfId="0" applyFont="1" applyBorder="1" applyAlignment="1">
      <alignment horizontal="center" vertical="center"/>
    </xf>
    <xf numFmtId="0" fontId="0" fillId="16" borderId="2" xfId="0" applyFill="1" applyBorder="1"/>
    <xf numFmtId="0" fontId="0" fillId="16" borderId="8" xfId="0" applyFill="1" applyBorder="1"/>
    <xf numFmtId="0" fontId="54" fillId="16" borderId="460" xfId="2" applyFont="1" applyFill="1" applyBorder="1" applyAlignment="1">
      <alignment horizontal="center" vertical="center"/>
    </xf>
    <xf numFmtId="0" fontId="54" fillId="16" borderId="9" xfId="2" applyFont="1" applyFill="1" applyBorder="1" applyAlignment="1">
      <alignment horizontal="center" vertical="center"/>
    </xf>
    <xf numFmtId="0" fontId="2" fillId="68" borderId="0" xfId="1" applyFont="1" applyFill="1" applyAlignment="1">
      <alignment horizontal="center" vertical="center"/>
    </xf>
    <xf numFmtId="0" fontId="0" fillId="8" borderId="7" xfId="0" applyFill="1" applyBorder="1"/>
    <xf numFmtId="0" fontId="0" fillId="0" borderId="2" xfId="0" applyBorder="1" applyAlignment="1">
      <alignment horizontal="right" vertical="center"/>
    </xf>
    <xf numFmtId="0" fontId="10" fillId="14" borderId="2" xfId="1" quotePrefix="1" applyFont="1" applyFill="1" applyBorder="1" applyAlignment="1">
      <alignment horizontal="center" vertical="center"/>
    </xf>
    <xf numFmtId="0" fontId="10" fillId="14" borderId="8" xfId="1" quotePrefix="1" applyFont="1" applyFill="1" applyBorder="1" applyAlignment="1">
      <alignment horizontal="center" vertical="center"/>
    </xf>
    <xf numFmtId="171" fontId="118" fillId="43" borderId="430" xfId="0" applyNumberFormat="1" applyFont="1" applyFill="1" applyBorder="1" applyAlignment="1">
      <alignment horizontal="center" vertical="center"/>
    </xf>
    <xf numFmtId="0" fontId="118" fillId="43" borderId="430" xfId="0" applyFont="1" applyFill="1" applyBorder="1" applyAlignment="1">
      <alignment horizontal="center" vertical="center"/>
    </xf>
    <xf numFmtId="172" fontId="118" fillId="43" borderId="430" xfId="0" applyNumberFormat="1" applyFont="1" applyFill="1" applyBorder="1" applyAlignment="1">
      <alignment horizontal="center" vertical="center"/>
    </xf>
    <xf numFmtId="0" fontId="24" fillId="2063" borderId="6" xfId="1" applyFont="1" applyFill="1" applyBorder="1" applyAlignment="1">
      <alignment vertical="center"/>
    </xf>
    <xf numFmtId="0" fontId="10" fillId="7" borderId="460" xfId="1" quotePrefix="1" applyFont="1" applyFill="1" applyBorder="1" applyAlignment="1">
      <alignment horizontal="center" vertical="center"/>
    </xf>
    <xf numFmtId="0" fontId="10" fillId="7" borderId="9" xfId="1" quotePrefix="1" applyFont="1" applyFill="1" applyBorder="1" applyAlignment="1">
      <alignment horizontal="center" vertical="center"/>
    </xf>
    <xf numFmtId="0" fontId="369" fillId="23" borderId="0" xfId="3" applyFont="1" applyFill="1" applyAlignment="1">
      <alignment horizontal="center" vertical="center"/>
    </xf>
    <xf numFmtId="0" fontId="179" fillId="21" borderId="461" xfId="0" applyFont="1" applyFill="1" applyBorder="1" applyAlignment="1">
      <alignment horizontal="center"/>
    </xf>
    <xf numFmtId="0" fontId="22" fillId="14" borderId="6" xfId="2" applyFont="1" applyFill="1" applyBorder="1" applyAlignment="1">
      <alignment horizontal="center" vertical="center"/>
    </xf>
    <xf numFmtId="0" fontId="22" fillId="14" borderId="0" xfId="2" applyFont="1" applyFill="1" applyAlignment="1">
      <alignment horizontal="center" vertical="center"/>
    </xf>
    <xf numFmtId="0" fontId="181" fillId="61" borderId="0" xfId="2" applyFont="1" applyFill="1" applyAlignment="1">
      <alignment horizontal="center" vertical="center"/>
    </xf>
    <xf numFmtId="0" fontId="181" fillId="2058" borderId="0" xfId="2" applyFont="1" applyFill="1" applyAlignment="1">
      <alignment horizontal="center" vertical="center"/>
    </xf>
    <xf numFmtId="0" fontId="22" fillId="14" borderId="9" xfId="2" applyFont="1" applyFill="1" applyBorder="1" applyAlignment="1">
      <alignment horizontal="center" vertical="center"/>
    </xf>
    <xf numFmtId="1" fontId="50" fillId="36" borderId="434" xfId="1" applyNumberFormat="1" applyFont="1" applyFill="1" applyBorder="1" applyAlignment="1" applyProtection="1">
      <alignment horizontal="left" vertical="center"/>
      <protection hidden="1"/>
    </xf>
    <xf numFmtId="0" fontId="24" fillId="2063" borderId="6" xfId="1" applyFont="1" applyFill="1" applyBorder="1" applyAlignment="1">
      <alignment horizontal="center" vertical="center"/>
    </xf>
    <xf numFmtId="0" fontId="10" fillId="14" borderId="460" xfId="1" quotePrefix="1" applyFont="1" applyFill="1" applyBorder="1" applyAlignment="1">
      <alignment horizontal="center" vertical="center"/>
    </xf>
    <xf numFmtId="0" fontId="10" fillId="14" borderId="9" xfId="1" quotePrefix="1" applyFont="1" applyFill="1" applyBorder="1" applyAlignment="1">
      <alignment horizontal="center" vertical="center"/>
    </xf>
    <xf numFmtId="0" fontId="22" fillId="14" borderId="6" xfId="1" quotePrefix="1" applyFont="1" applyFill="1" applyBorder="1" applyAlignment="1">
      <alignment horizontal="center" vertical="center"/>
    </xf>
    <xf numFmtId="0" fontId="22" fillId="14" borderId="0" xfId="1" quotePrefix="1" applyFont="1" applyFill="1" applyAlignment="1">
      <alignment horizontal="center" vertical="center"/>
    </xf>
    <xf numFmtId="0" fontId="415" fillId="61" borderId="0" xfId="1" quotePrefix="1" applyFont="1" applyFill="1" applyAlignment="1">
      <alignment horizontal="center" vertical="center"/>
    </xf>
    <xf numFmtId="0" fontId="571" fillId="14" borderId="0" xfId="1" quotePrefix="1" applyFont="1" applyFill="1" applyAlignment="1">
      <alignment horizontal="center" vertical="center"/>
    </xf>
    <xf numFmtId="0" fontId="571" fillId="14" borderId="9" xfId="1" quotePrefix="1" applyFont="1" applyFill="1" applyBorder="1" applyAlignment="1">
      <alignment horizontal="center" vertical="center"/>
    </xf>
    <xf numFmtId="172" fontId="118" fillId="43" borderId="431" xfId="0" applyNumberFormat="1" applyFont="1" applyFill="1" applyBorder="1" applyAlignment="1">
      <alignment horizontal="center" vertical="center"/>
    </xf>
    <xf numFmtId="0" fontId="0" fillId="68" borderId="0" xfId="0" applyFill="1"/>
    <xf numFmtId="0" fontId="0" fillId="42" borderId="9" xfId="0" applyFill="1" applyBorder="1"/>
    <xf numFmtId="0" fontId="22" fillId="21" borderId="6" xfId="1" quotePrefix="1" applyFont="1" applyFill="1" applyBorder="1" applyAlignment="1">
      <alignment horizontal="center" vertical="center"/>
    </xf>
    <xf numFmtId="0" fontId="22" fillId="21" borderId="0" xfId="1" quotePrefix="1" applyFont="1" applyFill="1" applyAlignment="1">
      <alignment horizontal="center" vertical="center"/>
    </xf>
    <xf numFmtId="0" fontId="13" fillId="21" borderId="0" xfId="0" applyFont="1" applyFill="1" applyAlignment="1">
      <alignment horizontal="left" vertical="center"/>
    </xf>
    <xf numFmtId="0" fontId="571" fillId="21" borderId="0" xfId="1" quotePrefix="1" applyFont="1" applyFill="1" applyAlignment="1">
      <alignment horizontal="center" vertical="center"/>
    </xf>
    <xf numFmtId="0" fontId="571" fillId="21" borderId="9" xfId="1" quotePrefix="1" applyFont="1" applyFill="1" applyBorder="1" applyAlignment="1">
      <alignment horizontal="center" vertical="center"/>
    </xf>
    <xf numFmtId="0" fontId="16" fillId="9" borderId="430" xfId="3" applyFont="1" applyFill="1" applyBorder="1" applyAlignment="1">
      <alignment horizontal="center" vertical="center"/>
    </xf>
    <xf numFmtId="0" fontId="16" fillId="9" borderId="48" xfId="3" applyFont="1" applyFill="1" applyBorder="1" applyAlignment="1">
      <alignment horizontal="center" vertical="center"/>
    </xf>
    <xf numFmtId="0" fontId="10" fillId="23" borderId="48" xfId="3" applyFont="1" applyFill="1" applyBorder="1" applyAlignment="1">
      <alignment horizontal="left" vertical="center"/>
    </xf>
    <xf numFmtId="0" fontId="54" fillId="2066" borderId="445" xfId="0" applyFont="1" applyFill="1" applyBorder="1" applyAlignment="1">
      <alignment horizontal="right" vertical="center"/>
    </xf>
    <xf numFmtId="0" fontId="54" fillId="2067" borderId="48" xfId="3" applyFont="1" applyFill="1" applyBorder="1" applyAlignment="1">
      <alignment horizontal="left" vertical="center"/>
    </xf>
    <xf numFmtId="0" fontId="54" fillId="2066" borderId="50" xfId="0" applyFont="1" applyFill="1" applyBorder="1" applyAlignment="1">
      <alignment horizontal="right" vertical="center"/>
    </xf>
    <xf numFmtId="0" fontId="21" fillId="42" borderId="0" xfId="30" applyFont="1" applyFill="1" applyAlignment="1">
      <alignment horizontal="centerContinuous" vertical="center"/>
    </xf>
    <xf numFmtId="0" fontId="21" fillId="42" borderId="279" xfId="30" applyFont="1" applyFill="1" applyBorder="1" applyAlignment="1">
      <alignment horizontal="centerContinuous" vertical="center"/>
    </xf>
    <xf numFmtId="0" fontId="21" fillId="68" borderId="0" xfId="30" applyFont="1" applyFill="1" applyAlignment="1">
      <alignment horizontal="centerContinuous" vertical="center"/>
    </xf>
    <xf numFmtId="0" fontId="21" fillId="68" borderId="9" xfId="30" applyFont="1" applyFill="1" applyBorder="1" applyAlignment="1">
      <alignment horizontal="centerContinuous" vertical="center"/>
    </xf>
    <xf numFmtId="0" fontId="2" fillId="68" borderId="278" xfId="0" applyFont="1" applyFill="1" applyBorder="1" applyAlignment="1">
      <alignment horizontal="right" vertical="center"/>
    </xf>
    <xf numFmtId="0" fontId="2" fillId="68" borderId="0" xfId="0" applyFont="1" applyFill="1" applyAlignment="1">
      <alignment horizontal="right" vertical="center"/>
    </xf>
    <xf numFmtId="0" fontId="592" fillId="20" borderId="0" xfId="0" applyFont="1" applyFill="1" applyAlignment="1">
      <alignment horizontal="center"/>
    </xf>
    <xf numFmtId="0" fontId="2" fillId="42" borderId="0" xfId="0" applyFont="1" applyFill="1" applyAlignment="1">
      <alignment horizontal="right" vertical="center"/>
    </xf>
    <xf numFmtId="0" fontId="179" fillId="116" borderId="0" xfId="0" applyFont="1" applyFill="1" applyAlignment="1">
      <alignment horizontal="center"/>
    </xf>
    <xf numFmtId="0" fontId="2" fillId="42" borderId="9" xfId="1" applyFont="1" applyFill="1" applyBorder="1" applyAlignment="1">
      <alignment horizontal="center" vertical="center"/>
    </xf>
    <xf numFmtId="0" fontId="0" fillId="19" borderId="6" xfId="0" applyFill="1" applyBorder="1"/>
    <xf numFmtId="0" fontId="0" fillId="19" borderId="0" xfId="0" applyFill="1"/>
    <xf numFmtId="0" fontId="0" fillId="19" borderId="17" xfId="0" applyFill="1" applyBorder="1"/>
    <xf numFmtId="0" fontId="0" fillId="19" borderId="0" xfId="0" applyFill="1" applyAlignment="1">
      <alignment horizontal="right"/>
    </xf>
    <xf numFmtId="0" fontId="0" fillId="19" borderId="0" xfId="0" applyFill="1" applyAlignment="1">
      <alignment horizontal="center" vertical="center"/>
    </xf>
    <xf numFmtId="0" fontId="13" fillId="41" borderId="444" xfId="1" applyFont="1" applyFill="1" applyBorder="1" applyAlignment="1" applyProtection="1">
      <alignment vertical="center"/>
      <protection hidden="1"/>
    </xf>
    <xf numFmtId="0" fontId="8" fillId="14" borderId="118" xfId="7" applyFont="1" applyFill="1" applyBorder="1" applyAlignment="1">
      <alignment horizontal="center" vertical="center"/>
    </xf>
    <xf numFmtId="0" fontId="593" fillId="14" borderId="48" xfId="2" applyFont="1" applyFill="1" applyBorder="1" applyAlignment="1">
      <alignment horizontal="center" vertical="center"/>
    </xf>
    <xf numFmtId="0" fontId="181" fillId="2066" borderId="48" xfId="2" applyFont="1" applyFill="1" applyBorder="1" applyAlignment="1">
      <alignment horizontal="center" vertical="center"/>
    </xf>
    <xf numFmtId="0" fontId="571" fillId="14" borderId="48" xfId="2" applyFont="1" applyFill="1" applyBorder="1" applyAlignment="1">
      <alignment horizontal="center" vertical="center"/>
    </xf>
    <xf numFmtId="0" fontId="571" fillId="2066" borderId="48" xfId="2" applyFont="1" applyFill="1" applyBorder="1" applyAlignment="1">
      <alignment horizontal="center" vertical="center"/>
    </xf>
    <xf numFmtId="0" fontId="571" fillId="2066" borderId="50" xfId="2" applyFont="1" applyFill="1" applyBorder="1" applyAlignment="1">
      <alignment horizontal="center" vertical="center"/>
    </xf>
    <xf numFmtId="0" fontId="594" fillId="42" borderId="0" xfId="1" applyFont="1" applyFill="1" applyAlignment="1" applyProtection="1">
      <alignment horizontal="centerContinuous" vertical="center"/>
      <protection hidden="1"/>
    </xf>
    <xf numFmtId="0" fontId="594" fillId="42" borderId="279" xfId="1" applyFont="1" applyFill="1" applyBorder="1" applyAlignment="1" applyProtection="1">
      <alignment horizontal="centerContinuous" vertical="center"/>
      <protection hidden="1"/>
    </xf>
    <xf numFmtId="0" fontId="190" fillId="68" borderId="0" xfId="30" applyFont="1" applyFill="1" applyAlignment="1">
      <alignment horizontal="centerContinuous" vertical="center"/>
    </xf>
    <xf numFmtId="0" fontId="594" fillId="68" borderId="0" xfId="1" applyFont="1" applyFill="1" applyAlignment="1" applyProtection="1">
      <alignment horizontal="centerContinuous" vertical="center"/>
      <protection hidden="1"/>
    </xf>
    <xf numFmtId="0" fontId="594" fillId="68" borderId="9" xfId="1" applyFont="1" applyFill="1" applyBorder="1" applyAlignment="1" applyProtection="1">
      <alignment horizontal="centerContinuous" vertical="center"/>
      <protection hidden="1"/>
    </xf>
    <xf numFmtId="0" fontId="48" fillId="16" borderId="6" xfId="30" applyFont="1" applyFill="1" applyBorder="1" applyAlignment="1">
      <alignment horizontal="center" vertical="center"/>
    </xf>
    <xf numFmtId="0" fontId="49" fillId="16" borderId="0" xfId="30" applyFont="1" applyFill="1" applyAlignment="1">
      <alignment horizontal="centerContinuous" vertical="center"/>
    </xf>
    <xf numFmtId="0" fontId="48" fillId="16" borderId="0" xfId="30" applyFont="1" applyFill="1" applyAlignment="1">
      <alignment horizontal="centerContinuous" vertical="center"/>
    </xf>
    <xf numFmtId="0" fontId="49" fillId="16" borderId="9" xfId="2" applyFont="1" applyFill="1" applyBorder="1" applyAlignment="1">
      <alignment horizontal="right" vertical="center"/>
    </xf>
    <xf numFmtId="0" fontId="21" fillId="68" borderId="454" xfId="0" applyFont="1" applyFill="1" applyBorder="1" applyAlignment="1">
      <alignment horizontal="centerContinuous" vertical="center"/>
    </xf>
    <xf numFmtId="0" fontId="21" fillId="68" borderId="455" xfId="0" applyFont="1" applyFill="1" applyBorder="1" applyAlignment="1">
      <alignment horizontal="centerContinuous" vertical="center"/>
    </xf>
    <xf numFmtId="0" fontId="0" fillId="68" borderId="0" xfId="0" applyFill="1" applyAlignment="1">
      <alignment horizontal="centerContinuous" vertical="center"/>
    </xf>
    <xf numFmtId="0" fontId="21" fillId="42" borderId="455" xfId="0" applyFont="1" applyFill="1" applyBorder="1" applyAlignment="1">
      <alignment vertical="center"/>
    </xf>
    <xf numFmtId="0" fontId="0" fillId="42" borderId="9" xfId="0" applyFill="1" applyBorder="1" applyAlignment="1">
      <alignment vertical="center"/>
    </xf>
    <xf numFmtId="0" fontId="49" fillId="139" borderId="6" xfId="3" applyFont="1" applyFill="1" applyBorder="1" applyAlignment="1">
      <alignment horizontal="right" vertical="center"/>
    </xf>
    <xf numFmtId="0" fontId="10" fillId="139" borderId="0" xfId="3" applyFont="1" applyFill="1" applyAlignment="1">
      <alignment horizontal="center" vertical="center"/>
    </xf>
    <xf numFmtId="0" fontId="8" fillId="14" borderId="343" xfId="7" applyFont="1" applyFill="1" applyBorder="1" applyAlignment="1">
      <alignment horizontal="center" vertical="center"/>
    </xf>
    <xf numFmtId="0" fontId="593" fillId="14" borderId="13" xfId="1" quotePrefix="1" applyFont="1" applyFill="1" applyBorder="1" applyAlignment="1">
      <alignment horizontal="center" vertical="center"/>
    </xf>
    <xf numFmtId="0" fontId="415" fillId="2066" borderId="13" xfId="1" quotePrefix="1" applyFont="1" applyFill="1" applyBorder="1" applyAlignment="1">
      <alignment horizontal="center" vertical="center"/>
    </xf>
    <xf numFmtId="0" fontId="415" fillId="14" borderId="0" xfId="1" quotePrefix="1" applyFont="1" applyFill="1" applyAlignment="1">
      <alignment horizontal="center" vertical="center"/>
    </xf>
    <xf numFmtId="0" fontId="415" fillId="2066" borderId="0" xfId="1" quotePrefix="1" applyFont="1" applyFill="1" applyAlignment="1">
      <alignment horizontal="center" vertical="center"/>
    </xf>
    <xf numFmtId="0" fontId="415" fillId="2066" borderId="9" xfId="1" quotePrefix="1" applyFont="1" applyFill="1" applyBorder="1" applyAlignment="1">
      <alignment horizontal="center" vertical="center"/>
    </xf>
    <xf numFmtId="190" fontId="24" fillId="112" borderId="452" xfId="30" applyNumberFormat="1" applyFont="1" applyFill="1" applyBorder="1" applyAlignment="1">
      <alignment horizontal="center" vertical="center"/>
    </xf>
    <xf numFmtId="0" fontId="8" fillId="13" borderId="380" xfId="1" applyFont="1" applyFill="1" applyBorder="1" applyAlignment="1">
      <alignment horizontal="left" vertical="center"/>
    </xf>
    <xf numFmtId="0" fontId="118" fillId="2068" borderId="380" xfId="0" applyFont="1" applyFill="1" applyBorder="1" applyAlignment="1">
      <alignment horizontal="right" vertical="center"/>
    </xf>
    <xf numFmtId="0" fontId="595" fillId="2068" borderId="380" xfId="0" applyFont="1" applyFill="1" applyBorder="1" applyAlignment="1">
      <alignment horizontal="left" vertical="center"/>
    </xf>
    <xf numFmtId="0" fontId="31" fillId="2068" borderId="453" xfId="0" applyFont="1" applyFill="1" applyBorder="1" applyAlignment="1">
      <alignment horizontal="left" vertical="center"/>
    </xf>
    <xf numFmtId="0" fontId="31" fillId="2068" borderId="279" xfId="0" applyFont="1" applyFill="1" applyBorder="1" applyAlignment="1">
      <alignment horizontal="left" vertical="center"/>
    </xf>
    <xf numFmtId="0" fontId="31" fillId="2068" borderId="456" xfId="0" applyFont="1" applyFill="1" applyBorder="1" applyAlignment="1">
      <alignment horizontal="left" vertical="center"/>
    </xf>
    <xf numFmtId="0" fontId="31" fillId="118" borderId="453" xfId="0" applyFont="1" applyFill="1" applyBorder="1" applyAlignment="1">
      <alignment horizontal="left" vertical="center"/>
    </xf>
    <xf numFmtId="0" fontId="31" fillId="118" borderId="279" xfId="0" applyFont="1" applyFill="1" applyBorder="1" applyAlignment="1">
      <alignment horizontal="left" vertical="center"/>
    </xf>
    <xf numFmtId="0" fontId="31" fillId="118" borderId="456" xfId="0" applyFont="1" applyFill="1" applyBorder="1" applyAlignment="1">
      <alignment horizontal="left" vertical="center"/>
    </xf>
    <xf numFmtId="0" fontId="174" fillId="2069" borderId="278" xfId="0" applyFont="1" applyFill="1" applyBorder="1" applyAlignment="1">
      <alignment horizontal="center" vertical="center"/>
    </xf>
    <xf numFmtId="0" fontId="358" fillId="160" borderId="380" xfId="1" applyFont="1" applyFill="1" applyBorder="1" applyAlignment="1">
      <alignment horizontal="left" vertical="center"/>
    </xf>
    <xf numFmtId="0" fontId="118" fillId="2069" borderId="380" xfId="1" applyFont="1" applyFill="1" applyBorder="1" applyAlignment="1">
      <alignment horizontal="left" vertical="center"/>
    </xf>
    <xf numFmtId="0" fontId="118" fillId="2069" borderId="380" xfId="0" applyFont="1" applyFill="1" applyBorder="1" applyAlignment="1">
      <alignment horizontal="right" vertical="center"/>
    </xf>
    <xf numFmtId="0" fontId="118" fillId="2069" borderId="0" xfId="0" applyFont="1" applyFill="1" applyAlignment="1">
      <alignment horizontal="right" vertical="center"/>
    </xf>
    <xf numFmtId="0" fontId="31" fillId="2069" borderId="453" xfId="0" applyFont="1" applyFill="1" applyBorder="1" applyAlignment="1">
      <alignment horizontal="left" vertical="center"/>
    </xf>
    <xf numFmtId="0" fontId="31" fillId="2069" borderId="279" xfId="0" applyFont="1" applyFill="1" applyBorder="1" applyAlignment="1">
      <alignment horizontal="left" vertical="center"/>
    </xf>
    <xf numFmtId="0" fontId="31" fillId="2069" borderId="456" xfId="0" applyFont="1" applyFill="1" applyBorder="1" applyAlignment="1">
      <alignment horizontal="left" vertical="center"/>
    </xf>
    <xf numFmtId="0" fontId="31" fillId="2070" borderId="453" xfId="0" applyFont="1" applyFill="1" applyBorder="1" applyAlignment="1">
      <alignment horizontal="left" vertical="center"/>
    </xf>
    <xf numFmtId="0" fontId="31" fillId="2070" borderId="279" xfId="0" applyFont="1" applyFill="1" applyBorder="1" applyAlignment="1">
      <alignment horizontal="left" vertical="center"/>
    </xf>
    <xf numFmtId="0" fontId="31" fillId="2070" borderId="456" xfId="0" applyFont="1" applyFill="1" applyBorder="1" applyAlignment="1">
      <alignment horizontal="left" vertical="center"/>
    </xf>
    <xf numFmtId="0" fontId="83" fillId="0" borderId="6" xfId="9" applyFont="1" applyBorder="1" applyAlignment="1">
      <alignment horizontal="left" vertical="center"/>
    </xf>
    <xf numFmtId="0" fontId="174" fillId="16" borderId="0" xfId="9" applyFont="1" applyFill="1" applyAlignment="1">
      <alignment horizontal="left" vertical="center"/>
    </xf>
    <xf numFmtId="0" fontId="46" fillId="7" borderId="0" xfId="9" applyFont="1" applyFill="1" applyAlignment="1">
      <alignment horizontal="right" vertical="center"/>
    </xf>
    <xf numFmtId="0" fontId="46" fillId="7" borderId="0" xfId="1" applyFont="1" applyFill="1" applyAlignment="1">
      <alignment horizontal="left" vertical="center"/>
    </xf>
    <xf numFmtId="0" fontId="390" fillId="16" borderId="9" xfId="9" applyFont="1" applyFill="1" applyBorder="1" applyAlignment="1">
      <alignment horizontal="right" vertical="center"/>
    </xf>
    <xf numFmtId="0" fontId="18" fillId="27" borderId="0" xfId="9" applyFont="1" applyFill="1" applyAlignment="1">
      <alignment horizontal="right" vertical="center"/>
    </xf>
    <xf numFmtId="0" fontId="18" fillId="27" borderId="0" xfId="9" applyFont="1" applyFill="1" applyAlignment="1">
      <alignment horizontal="left" vertical="center"/>
    </xf>
    <xf numFmtId="167" fontId="111" fillId="19" borderId="102" xfId="0" applyNumberFormat="1" applyFont="1" applyFill="1" applyBorder="1" applyAlignment="1">
      <alignment horizontal="center" vertical="center"/>
    </xf>
    <xf numFmtId="0" fontId="18" fillId="48" borderId="0" xfId="9" applyFont="1" applyFill="1" applyAlignment="1">
      <alignment horizontal="right" vertical="center"/>
    </xf>
    <xf numFmtId="0" fontId="18" fillId="48" borderId="0" xfId="9" applyFont="1" applyFill="1" applyAlignment="1">
      <alignment horizontal="left" vertical="center"/>
    </xf>
    <xf numFmtId="190" fontId="110" fillId="19" borderId="431" xfId="30" applyNumberFormat="1" applyFont="1" applyFill="1" applyBorder="1" applyAlignment="1">
      <alignment horizontal="center" vertical="center"/>
    </xf>
    <xf numFmtId="0" fontId="24" fillId="43" borderId="6" xfId="3" applyFont="1" applyFill="1" applyBorder="1" applyAlignment="1">
      <alignment horizontal="right" vertical="center"/>
    </xf>
    <xf numFmtId="0" fontId="10" fillId="43" borderId="0" xfId="0" applyFont="1" applyFill="1" applyAlignment="1">
      <alignment horizontal="center" vertical="center"/>
    </xf>
    <xf numFmtId="0" fontId="596" fillId="43" borderId="0" xfId="9" applyFont="1" applyFill="1" applyAlignment="1">
      <alignment horizontal="left" vertical="center"/>
    </xf>
    <xf numFmtId="0" fontId="48" fillId="43" borderId="0" xfId="0" applyFont="1" applyFill="1" applyAlignment="1">
      <alignment horizontal="center" vertical="center"/>
    </xf>
    <xf numFmtId="0" fontId="46" fillId="41" borderId="48" xfId="7" applyFont="1" applyFill="1" applyBorder="1" applyAlignment="1">
      <alignment horizontal="right" vertical="center"/>
    </xf>
    <xf numFmtId="0" fontId="46" fillId="41" borderId="48" xfId="7" applyFont="1" applyFill="1" applyBorder="1" applyAlignment="1">
      <alignment horizontal="left" vertical="center"/>
    </xf>
    <xf numFmtId="1" fontId="46" fillId="41" borderId="48" xfId="7" applyNumberFormat="1" applyFont="1" applyFill="1" applyBorder="1" applyAlignment="1">
      <alignment horizontal="right" vertical="center"/>
    </xf>
    <xf numFmtId="0" fontId="2" fillId="42" borderId="440" xfId="9" applyFont="1" applyFill="1" applyBorder="1" applyAlignment="1">
      <alignment horizontal="center" vertical="center"/>
    </xf>
    <xf numFmtId="0" fontId="13" fillId="8" borderId="48" xfId="1" applyFont="1" applyFill="1" applyBorder="1" applyAlignment="1" applyProtection="1">
      <alignment vertical="center"/>
      <protection hidden="1"/>
    </xf>
    <xf numFmtId="0" fontId="81" fillId="8" borderId="48" xfId="5" applyFont="1" applyFill="1" applyBorder="1" applyAlignment="1">
      <alignment horizontal="left" vertical="center"/>
    </xf>
    <xf numFmtId="0" fontId="83" fillId="8" borderId="48" xfId="1" applyFont="1" applyFill="1" applyBorder="1" applyAlignment="1" applyProtection="1">
      <alignment horizontal="left" vertical="center"/>
      <protection locked="0"/>
    </xf>
    <xf numFmtId="0" fontId="24" fillId="8" borderId="48" xfId="6" applyFont="1" applyFill="1" applyBorder="1" applyAlignment="1">
      <alignment horizontal="right" vertical="center"/>
    </xf>
    <xf numFmtId="0" fontId="80" fillId="20" borderId="50" xfId="15" applyFont="1" applyFill="1" applyBorder="1" applyAlignment="1">
      <alignment horizontal="center" vertical="center"/>
    </xf>
    <xf numFmtId="190" fontId="24" fillId="7" borderId="278" xfId="30" applyNumberFormat="1" applyFont="1" applyFill="1" applyBorder="1" applyAlignment="1">
      <alignment horizontal="center" vertical="center"/>
    </xf>
    <xf numFmtId="0" fontId="118" fillId="2068" borderId="0" xfId="0" applyFont="1" applyFill="1" applyAlignment="1">
      <alignment horizontal="left" vertical="center"/>
    </xf>
    <xf numFmtId="0" fontId="118" fillId="2068" borderId="0" xfId="0" applyFont="1" applyFill="1" applyAlignment="1">
      <alignment horizontal="right" vertical="center"/>
    </xf>
    <xf numFmtId="0" fontId="595" fillId="2068" borderId="0" xfId="0" applyFont="1" applyFill="1" applyAlignment="1">
      <alignment horizontal="left" vertical="center"/>
    </xf>
    <xf numFmtId="0" fontId="51" fillId="2071" borderId="0" xfId="0" applyFont="1" applyFill="1" applyAlignment="1">
      <alignment horizontal="center"/>
    </xf>
    <xf numFmtId="0" fontId="118" fillId="2069" borderId="0" xfId="1" applyFont="1" applyFill="1" applyAlignment="1" applyProtection="1">
      <alignment horizontal="left" vertical="center"/>
      <protection locked="0"/>
    </xf>
    <xf numFmtId="0" fontId="118" fillId="2069" borderId="0" xfId="0" applyFont="1" applyFill="1" applyAlignment="1">
      <alignment horizontal="left" vertical="center"/>
    </xf>
    <xf numFmtId="167" fontId="111" fillId="112" borderId="0" xfId="0" applyNumberFormat="1" applyFont="1" applyFill="1" applyAlignment="1">
      <alignment horizontal="center" vertical="center"/>
    </xf>
    <xf numFmtId="0" fontId="24" fillId="43" borderId="0" xfId="0" applyFont="1" applyFill="1" applyAlignment="1">
      <alignment horizontal="center" vertical="center"/>
    </xf>
    <xf numFmtId="0" fontId="18" fillId="43" borderId="0" xfId="9" applyFont="1" applyFill="1" applyAlignment="1">
      <alignment horizontal="left" vertical="center"/>
    </xf>
    <xf numFmtId="0" fontId="20" fillId="43" borderId="0" xfId="0" applyFont="1" applyFill="1" applyAlignment="1">
      <alignment horizontal="center" vertical="center"/>
    </xf>
    <xf numFmtId="0" fontId="110" fillId="8" borderId="0" xfId="1" applyFont="1" applyFill="1" applyAlignment="1" applyProtection="1">
      <alignment horizontal="left" vertical="center"/>
      <protection locked="0"/>
    </xf>
    <xf numFmtId="0" fontId="597" fillId="2069" borderId="0" xfId="1" applyFont="1" applyFill="1" applyAlignment="1" applyProtection="1">
      <alignment horizontal="center" vertical="center"/>
      <protection locked="0"/>
    </xf>
    <xf numFmtId="173" fontId="36" fillId="67" borderId="9" xfId="1" applyNumberFormat="1" applyFont="1" applyFill="1" applyBorder="1" applyAlignment="1">
      <alignment horizontal="center" vertical="center"/>
    </xf>
    <xf numFmtId="0" fontId="598" fillId="2069" borderId="0" xfId="1" applyFont="1" applyFill="1" applyAlignment="1" applyProtection="1">
      <alignment horizontal="left" vertical="center"/>
      <protection locked="0"/>
    </xf>
    <xf numFmtId="0" fontId="174" fillId="2069" borderId="0" xfId="0" applyFont="1" applyFill="1" applyAlignment="1">
      <alignment vertical="center"/>
    </xf>
    <xf numFmtId="0" fontId="10" fillId="8" borderId="0" xfId="5" applyFont="1" applyFill="1" applyAlignment="1">
      <alignment horizontal="right" vertical="center"/>
    </xf>
    <xf numFmtId="0" fontId="57" fillId="40" borderId="6" xfId="7" applyFont="1" applyFill="1" applyBorder="1" applyAlignment="1">
      <alignment horizontal="center" vertical="center"/>
    </xf>
    <xf numFmtId="190" fontId="24" fillId="7" borderId="454" xfId="30" applyNumberFormat="1" applyFont="1" applyFill="1" applyBorder="1" applyAlignment="1">
      <alignment horizontal="center" vertical="center"/>
    </xf>
    <xf numFmtId="0" fontId="118" fillId="2068" borderId="455" xfId="0" applyFont="1" applyFill="1" applyBorder="1" applyAlignment="1">
      <alignment horizontal="right" vertical="center"/>
    </xf>
    <xf numFmtId="0" fontId="595" fillId="2068" borderId="455" xfId="0" applyFont="1" applyFill="1" applyBorder="1" applyAlignment="1">
      <alignment horizontal="left" vertical="center"/>
    </xf>
    <xf numFmtId="0" fontId="174" fillId="2069" borderId="455" xfId="0" applyFont="1" applyFill="1" applyBorder="1" applyAlignment="1">
      <alignment vertical="center"/>
    </xf>
    <xf numFmtId="0" fontId="118" fillId="2069" borderId="455" xfId="1" applyFont="1" applyFill="1" applyBorder="1" applyAlignment="1" applyProtection="1">
      <alignment horizontal="left" vertical="center"/>
      <protection locked="0"/>
    </xf>
    <xf numFmtId="0" fontId="118" fillId="2069" borderId="455" xfId="0" applyFont="1" applyFill="1" applyBorder="1" applyAlignment="1">
      <alignment horizontal="left" vertical="center"/>
    </xf>
    <xf numFmtId="0" fontId="118" fillId="2069" borderId="455" xfId="0" applyFont="1" applyFill="1" applyBorder="1"/>
    <xf numFmtId="0" fontId="118" fillId="118" borderId="380" xfId="0" applyFont="1" applyFill="1" applyBorder="1" applyAlignment="1">
      <alignment horizontal="right" vertical="center"/>
    </xf>
    <xf numFmtId="0" fontId="595" fillId="118" borderId="380" xfId="0" applyFont="1" applyFill="1" applyBorder="1" applyAlignment="1">
      <alignment horizontal="left" vertical="center"/>
    </xf>
    <xf numFmtId="0" fontId="174" fillId="2070" borderId="452" xfId="0" applyFont="1" applyFill="1" applyBorder="1" applyAlignment="1">
      <alignment horizontal="center" vertical="center"/>
    </xf>
    <xf numFmtId="0" fontId="118" fillId="2070" borderId="380" xfId="1" applyFont="1" applyFill="1" applyBorder="1" applyAlignment="1">
      <alignment horizontal="left" vertical="center"/>
    </xf>
    <xf numFmtId="0" fontId="118" fillId="2070" borderId="380" xfId="0" applyFont="1" applyFill="1" applyBorder="1" applyAlignment="1">
      <alignment horizontal="right" vertical="center"/>
    </xf>
    <xf numFmtId="0" fontId="118" fillId="2070" borderId="0" xfId="0" applyFont="1" applyFill="1" applyAlignment="1">
      <alignment horizontal="right" vertical="center"/>
    </xf>
    <xf numFmtId="0" fontId="20" fillId="8" borderId="450" xfId="1" applyFont="1" applyFill="1" applyBorder="1" applyAlignment="1" applyProtection="1">
      <alignment horizontal="right" vertical="center"/>
      <protection locked="0"/>
    </xf>
    <xf numFmtId="0" fontId="118" fillId="118" borderId="0" xfId="0" applyFont="1" applyFill="1" applyAlignment="1">
      <alignment horizontal="left" vertical="center"/>
    </xf>
    <xf numFmtId="0" fontId="118" fillId="118" borderId="0" xfId="0" applyFont="1" applyFill="1" applyAlignment="1">
      <alignment horizontal="right" vertical="center"/>
    </xf>
    <xf numFmtId="0" fontId="595" fillId="118" borderId="0" xfId="0" applyFont="1" applyFill="1" applyAlignment="1">
      <alignment horizontal="left" vertical="center"/>
    </xf>
    <xf numFmtId="0" fontId="174" fillId="2070" borderId="278" xfId="0" applyFont="1" applyFill="1" applyBorder="1" applyAlignment="1">
      <alignment horizontal="center" vertical="center"/>
    </xf>
    <xf numFmtId="0" fontId="51" fillId="2070" borderId="0" xfId="0" applyFont="1" applyFill="1" applyAlignment="1">
      <alignment horizontal="center"/>
    </xf>
    <xf numFmtId="0" fontId="118" fillId="2070" borderId="0" xfId="1" applyFont="1" applyFill="1" applyAlignment="1" applyProtection="1">
      <alignment horizontal="left" vertical="center"/>
      <protection locked="0"/>
    </xf>
    <xf numFmtId="0" fontId="118" fillId="2070" borderId="0" xfId="0" applyFont="1" applyFill="1" applyAlignment="1">
      <alignment horizontal="left" vertical="center"/>
    </xf>
    <xf numFmtId="0" fontId="89" fillId="40" borderId="0" xfId="1" applyFont="1" applyFill="1" applyAlignment="1" applyProtection="1">
      <alignment vertical="center"/>
      <protection hidden="1"/>
    </xf>
    <xf numFmtId="0" fontId="597" fillId="2070" borderId="0" xfId="1" applyFont="1" applyFill="1" applyAlignment="1" applyProtection="1">
      <alignment horizontal="center" vertical="center"/>
      <protection locked="0"/>
    </xf>
    <xf numFmtId="0" fontId="190" fillId="49" borderId="3" xfId="1" applyFont="1" applyFill="1" applyBorder="1" applyAlignment="1" applyProtection="1">
      <alignment vertical="center"/>
      <protection hidden="1"/>
    </xf>
    <xf numFmtId="0" fontId="598" fillId="2070" borderId="0" xfId="1" applyFont="1" applyFill="1" applyAlignment="1" applyProtection="1">
      <alignment horizontal="left" vertical="center"/>
      <protection locked="0"/>
    </xf>
    <xf numFmtId="0" fontId="61" fillId="25" borderId="0" xfId="1" applyFont="1" applyFill="1" applyAlignment="1" applyProtection="1">
      <alignment horizontal="center" vertical="center"/>
      <protection hidden="1"/>
    </xf>
    <xf numFmtId="0" fontId="20" fillId="20" borderId="0" xfId="1" applyFont="1" applyFill="1" applyAlignment="1">
      <alignment horizontal="left" vertical="center"/>
    </xf>
    <xf numFmtId="0" fontId="76" fillId="8" borderId="0" xfId="1" applyFont="1" applyFill="1" applyAlignment="1">
      <alignment horizontal="right" vertical="center"/>
    </xf>
    <xf numFmtId="170" fontId="57" fillId="8" borderId="9" xfId="1" applyNumberFormat="1" applyFont="1" applyFill="1" applyBorder="1" applyAlignment="1">
      <alignment horizontal="center" vertical="center"/>
    </xf>
    <xf numFmtId="0" fontId="174" fillId="2070" borderId="0" xfId="0" applyFont="1" applyFill="1" applyAlignment="1">
      <alignment vertical="center"/>
    </xf>
    <xf numFmtId="0" fontId="118" fillId="118" borderId="455" xfId="0" applyFont="1" applyFill="1" applyBorder="1" applyAlignment="1">
      <alignment horizontal="left" vertical="center"/>
    </xf>
    <xf numFmtId="0" fontId="118" fillId="118" borderId="455" xfId="0" applyFont="1" applyFill="1" applyBorder="1" applyAlignment="1">
      <alignment horizontal="right" vertical="center"/>
    </xf>
    <xf numFmtId="0" fontId="595" fillId="118" borderId="455" xfId="0" applyFont="1" applyFill="1" applyBorder="1" applyAlignment="1">
      <alignment horizontal="left" vertical="center"/>
    </xf>
    <xf numFmtId="0" fontId="174" fillId="2070" borderId="454" xfId="0" applyFont="1" applyFill="1" applyBorder="1" applyAlignment="1">
      <alignment horizontal="center" vertical="center"/>
    </xf>
    <xf numFmtId="0" fontId="174" fillId="2070" borderId="455" xfId="0" applyFont="1" applyFill="1" applyBorder="1" applyAlignment="1">
      <alignment vertical="center"/>
    </xf>
    <xf numFmtId="0" fontId="118" fillId="2070" borderId="455" xfId="1" applyFont="1" applyFill="1" applyBorder="1" applyAlignment="1" applyProtection="1">
      <alignment horizontal="left" vertical="center"/>
      <protection locked="0"/>
    </xf>
    <xf numFmtId="0" fontId="118" fillId="2070" borderId="455" xfId="0" applyFont="1" applyFill="1" applyBorder="1" applyAlignment="1">
      <alignment horizontal="left" vertical="center"/>
    </xf>
    <xf numFmtId="0" fontId="118" fillId="2070" borderId="455" xfId="0" applyFont="1" applyFill="1" applyBorder="1"/>
    <xf numFmtId="0" fontId="118" fillId="2068" borderId="455" xfId="0" applyFont="1" applyFill="1" applyBorder="1" applyAlignment="1">
      <alignment horizontal="left" vertical="center"/>
    </xf>
    <xf numFmtId="0" fontId="83" fillId="0" borderId="58" xfId="9" applyFont="1" applyBorder="1" applyAlignment="1">
      <alignment horizontal="left" vertical="center"/>
    </xf>
    <xf numFmtId="0" fontId="46" fillId="7" borderId="3" xfId="9" applyFont="1" applyFill="1" applyBorder="1" applyAlignment="1">
      <alignment horizontal="right" vertical="center"/>
    </xf>
    <xf numFmtId="0" fontId="46" fillId="7" borderId="3" xfId="1" applyFont="1" applyFill="1" applyBorder="1" applyAlignment="1">
      <alignment horizontal="left" vertical="center"/>
    </xf>
    <xf numFmtId="0" fontId="390" fillId="16" borderId="59" xfId="9" applyFont="1" applyFill="1" applyBorder="1" applyAlignment="1">
      <alignment horizontal="right" vertical="center"/>
    </xf>
    <xf numFmtId="0" fontId="0" fillId="0" borderId="279" xfId="0" applyBorder="1"/>
    <xf numFmtId="0" fontId="83" fillId="7" borderId="343" xfId="1" applyFont="1" applyFill="1" applyBorder="1" applyAlignment="1" applyProtection="1">
      <alignment horizontal="left" vertical="center"/>
      <protection locked="0"/>
    </xf>
    <xf numFmtId="0" fontId="57" fillId="43" borderId="6" xfId="1" applyFont="1" applyFill="1" applyBorder="1" applyAlignment="1" applyProtection="1">
      <alignment vertical="center"/>
      <protection hidden="1"/>
    </xf>
    <xf numFmtId="0" fontId="13" fillId="49" borderId="58" xfId="1" applyFont="1" applyFill="1" applyBorder="1" applyAlignment="1" applyProtection="1">
      <alignment vertical="center"/>
      <protection hidden="1"/>
    </xf>
    <xf numFmtId="0" fontId="20" fillId="7" borderId="13" xfId="1" applyFont="1" applyFill="1" applyBorder="1" applyAlignment="1" applyProtection="1">
      <alignment horizontal="left" vertical="center"/>
      <protection locked="0"/>
    </xf>
    <xf numFmtId="0" fontId="20" fillId="49" borderId="3" xfId="7" applyFont="1" applyFill="1" applyBorder="1" applyAlignment="1">
      <alignment vertical="center"/>
    </xf>
    <xf numFmtId="0" fontId="130" fillId="14" borderId="50" xfId="1" quotePrefix="1" applyFont="1" applyFill="1" applyBorder="1" applyAlignment="1">
      <alignment horizontal="center" vertical="center"/>
    </xf>
    <xf numFmtId="0" fontId="0" fillId="8" borderId="0" xfId="0" applyFill="1" applyAlignment="1">
      <alignment horizontal="left" vertical="center" wrapText="1"/>
    </xf>
    <xf numFmtId="0" fontId="86" fillId="8" borderId="0" xfId="17" applyFill="1" applyAlignment="1">
      <alignment horizontal="left" vertical="center" wrapText="1"/>
    </xf>
    <xf numFmtId="0" fontId="87" fillId="8" borderId="6" xfId="2" applyFont="1" applyFill="1" applyBorder="1" applyAlignment="1">
      <alignment horizontal="left" vertical="center" wrapText="1"/>
    </xf>
    <xf numFmtId="0" fontId="87" fillId="8" borderId="0" xfId="2" applyFont="1" applyFill="1" applyAlignment="1">
      <alignment horizontal="left" vertical="center" wrapText="1"/>
    </xf>
    <xf numFmtId="0" fontId="87" fillId="8" borderId="9" xfId="2" applyFont="1" applyFill="1" applyBorder="1" applyAlignment="1">
      <alignment horizontal="left" vertical="center" wrapText="1"/>
    </xf>
    <xf numFmtId="0" fontId="87" fillId="8" borderId="58" xfId="2" applyFont="1" applyFill="1" applyBorder="1" applyAlignment="1">
      <alignment horizontal="left" vertical="center" wrapText="1"/>
    </xf>
    <xf numFmtId="0" fontId="87" fillId="8" borderId="3" xfId="2" applyFont="1" applyFill="1" applyBorder="1" applyAlignment="1">
      <alignment horizontal="left" vertical="center" wrapText="1"/>
    </xf>
    <xf numFmtId="0" fontId="87" fillId="8" borderId="59" xfId="2" applyFont="1" applyFill="1" applyBorder="1" applyAlignment="1">
      <alignment horizontal="left" vertical="center" wrapText="1"/>
    </xf>
    <xf numFmtId="169" fontId="279" fillId="27" borderId="0" xfId="29" applyNumberFormat="1" applyFont="1" applyFill="1" applyAlignment="1">
      <alignment horizontal="center" vertical="center"/>
    </xf>
    <xf numFmtId="0" fontId="44" fillId="45" borderId="0" xfId="16" applyFont="1" applyFill="1" applyAlignment="1" applyProtection="1">
      <alignment horizontal="center" vertical="center"/>
      <protection locked="0"/>
    </xf>
    <xf numFmtId="0" fontId="326" fillId="15" borderId="0" xfId="26" applyFont="1" applyFill="1" applyAlignment="1">
      <alignment horizontal="left" vertical="center" wrapText="1"/>
    </xf>
    <xf numFmtId="0" fontId="80" fillId="15" borderId="0" xfId="26" applyFont="1" applyFill="1" applyAlignment="1">
      <alignment horizontal="left" vertical="center" wrapText="1"/>
    </xf>
    <xf numFmtId="0" fontId="327" fillId="15" borderId="0" xfId="26" applyFont="1" applyFill="1" applyAlignment="1">
      <alignment horizontal="left" vertical="center" wrapText="1"/>
    </xf>
    <xf numFmtId="0" fontId="143" fillId="15" borderId="0" xfId="3" applyFont="1" applyFill="1" applyAlignment="1">
      <alignment horizontal="center" vertical="center" wrapText="1"/>
    </xf>
    <xf numFmtId="0" fontId="28" fillId="7" borderId="53" xfId="1" applyFont="1" applyFill="1" applyBorder="1" applyAlignment="1">
      <alignment horizontal="center" vertical="center"/>
    </xf>
    <xf numFmtId="0" fontId="28" fillId="7" borderId="5" xfId="1" applyFont="1" applyFill="1" applyBorder="1" applyAlignment="1">
      <alignment horizontal="center" vertical="center"/>
    </xf>
    <xf numFmtId="0" fontId="28" fillId="7" borderId="101" xfId="1" applyFont="1" applyFill="1" applyBorder="1" applyAlignment="1">
      <alignment horizontal="center" vertical="center"/>
    </xf>
    <xf numFmtId="0" fontId="57" fillId="8" borderId="35" xfId="14" applyFont="1" applyFill="1" applyBorder="1" applyAlignment="1">
      <alignment horizontal="center" vertical="center" wrapText="1"/>
    </xf>
    <xf numFmtId="0" fontId="57" fillId="8" borderId="38" xfId="14" applyFont="1" applyFill="1" applyBorder="1" applyAlignment="1">
      <alignment horizontal="center" vertical="center" wrapText="1"/>
    </xf>
    <xf numFmtId="1" fontId="38" fillId="20" borderId="35" xfId="5" applyNumberFormat="1" applyFont="1" applyFill="1" applyBorder="1" applyAlignment="1">
      <alignment horizontal="center" vertical="center"/>
    </xf>
    <xf numFmtId="0" fontId="26" fillId="8" borderId="7" xfId="2" applyFont="1" applyFill="1" applyBorder="1" applyAlignment="1">
      <alignment horizontal="center"/>
    </xf>
    <xf numFmtId="0" fontId="26" fillId="8" borderId="2" xfId="2" applyFont="1" applyFill="1" applyBorder="1" applyAlignment="1">
      <alignment horizontal="center"/>
    </xf>
    <xf numFmtId="0" fontId="108" fillId="8" borderId="0" xfId="0" quotePrefix="1" applyFont="1" applyFill="1" applyAlignment="1">
      <alignment horizontal="left" vertical="center" wrapText="1"/>
    </xf>
    <xf numFmtId="0" fontId="372" fillId="8" borderId="0" xfId="0" applyFont="1" applyFill="1" applyAlignment="1">
      <alignment horizontal="left" vertical="center" wrapText="1"/>
    </xf>
    <xf numFmtId="0" fontId="166" fillId="0" borderId="379" xfId="5" applyFont="1" applyBorder="1" applyAlignment="1">
      <alignment horizontal="center" vertical="center"/>
    </xf>
    <xf numFmtId="0" fontId="166" fillId="0" borderId="137" xfId="5" applyFont="1" applyBorder="1" applyAlignment="1">
      <alignment horizontal="center" vertical="center"/>
    </xf>
    <xf numFmtId="0" fontId="166" fillId="0" borderId="179" xfId="5" applyFont="1" applyBorder="1" applyAlignment="1">
      <alignment horizontal="center" vertical="center"/>
    </xf>
    <xf numFmtId="0" fontId="164" fillId="88" borderId="9" xfId="1" applyFont="1" applyFill="1" applyBorder="1" applyAlignment="1">
      <alignment horizontal="center" vertical="center"/>
    </xf>
    <xf numFmtId="0" fontId="41" fillId="68" borderId="7" xfId="3" applyFont="1" applyFill="1" applyBorder="1" applyAlignment="1">
      <alignment horizontal="center" vertical="center"/>
    </xf>
    <xf numFmtId="0" fontId="41" fillId="68" borderId="2" xfId="3" applyFont="1" applyFill="1" applyBorder="1" applyAlignment="1">
      <alignment horizontal="center" vertical="center"/>
    </xf>
    <xf numFmtId="0" fontId="41" fillId="68" borderId="8" xfId="3" applyFont="1" applyFill="1" applyBorder="1" applyAlignment="1">
      <alignment horizontal="center" vertical="center"/>
    </xf>
    <xf numFmtId="0" fontId="41" fillId="68" borderId="6" xfId="3" applyFont="1" applyFill="1" applyBorder="1" applyAlignment="1">
      <alignment horizontal="center" vertical="center"/>
    </xf>
    <xf numFmtId="0" fontId="41" fillId="68" borderId="0" xfId="3" applyFont="1" applyFill="1" applyAlignment="1">
      <alignment horizontal="center" vertical="center"/>
    </xf>
    <xf numFmtId="0" fontId="41" fillId="68" borderId="9" xfId="3" applyFont="1" applyFill="1" applyBorder="1" applyAlignment="1">
      <alignment horizontal="center" vertical="center"/>
    </xf>
    <xf numFmtId="0" fontId="184" fillId="21" borderId="0" xfId="1" applyFont="1" applyFill="1" applyAlignment="1" applyProtection="1">
      <alignment horizontal="center" vertical="center"/>
      <protection hidden="1"/>
    </xf>
    <xf numFmtId="0" fontId="73" fillId="8" borderId="0" xfId="0" applyFont="1" applyFill="1" applyAlignment="1">
      <alignment horizontal="left" vertical="center" wrapText="1"/>
    </xf>
    <xf numFmtId="0" fontId="73" fillId="8" borderId="9" xfId="0" applyFont="1" applyFill="1" applyBorder="1" applyAlignment="1">
      <alignment horizontal="left" vertical="center" wrapText="1"/>
    </xf>
    <xf numFmtId="0" fontId="71" fillId="8" borderId="0" xfId="0" applyFont="1" applyFill="1" applyAlignment="1">
      <alignment horizontal="left" vertical="center" wrapText="1"/>
    </xf>
    <xf numFmtId="0" fontId="71" fillId="8" borderId="9" xfId="0" applyFont="1" applyFill="1" applyBorder="1" applyAlignment="1">
      <alignment horizontal="left" vertical="center" wrapText="1"/>
    </xf>
    <xf numFmtId="0" fontId="32" fillId="68" borderId="6" xfId="1" applyFont="1" applyFill="1" applyBorder="1" applyAlignment="1">
      <alignment horizontal="center" vertical="center"/>
    </xf>
    <xf numFmtId="0" fontId="32" fillId="68" borderId="0" xfId="1" applyFont="1" applyFill="1" applyAlignment="1">
      <alignment horizontal="center" vertical="center"/>
    </xf>
    <xf numFmtId="0" fontId="32" fillId="68" borderId="9" xfId="1" applyFont="1" applyFill="1" applyBorder="1" applyAlignment="1">
      <alignment horizontal="center" vertical="center"/>
    </xf>
    <xf numFmtId="0" fontId="26" fillId="8" borderId="0" xfId="1" applyFont="1" applyFill="1" applyAlignment="1" applyProtection="1">
      <alignment horizontal="left" vertical="center"/>
      <protection locked="0"/>
    </xf>
    <xf numFmtId="0" fontId="26" fillId="8" borderId="9" xfId="1" applyFont="1" applyFill="1" applyBorder="1" applyAlignment="1" applyProtection="1">
      <alignment horizontal="left" vertical="center"/>
      <protection locked="0"/>
    </xf>
    <xf numFmtId="0" fontId="24" fillId="17" borderId="340" xfId="1" applyFont="1" applyFill="1" applyBorder="1" applyAlignment="1">
      <alignment horizontal="center" vertical="center" wrapText="1"/>
    </xf>
    <xf numFmtId="0" fontId="24" fillId="17" borderId="14" xfId="1" applyFont="1" applyFill="1" applyBorder="1" applyAlignment="1">
      <alignment horizontal="center" vertical="center" wrapText="1"/>
    </xf>
    <xf numFmtId="0" fontId="163" fillId="88" borderId="6" xfId="1" applyFont="1" applyFill="1" applyBorder="1" applyAlignment="1" applyProtection="1">
      <alignment horizontal="left" vertical="center" wrapText="1"/>
      <protection hidden="1"/>
    </xf>
    <xf numFmtId="0" fontId="163" fillId="88" borderId="0" xfId="1" applyFont="1" applyFill="1" applyAlignment="1" applyProtection="1">
      <alignment horizontal="left" vertical="center" wrapText="1"/>
      <protection hidden="1"/>
    </xf>
    <xf numFmtId="0" fontId="163" fillId="88" borderId="9" xfId="1" applyFont="1" applyFill="1" applyBorder="1" applyAlignment="1" applyProtection="1">
      <alignment horizontal="left" vertical="center" wrapText="1"/>
      <protection hidden="1"/>
    </xf>
    <xf numFmtId="0" fontId="20" fillId="15" borderId="6" xfId="1" applyFont="1" applyFill="1" applyBorder="1" applyAlignment="1">
      <alignment horizontal="left" vertical="center" wrapText="1"/>
    </xf>
    <xf numFmtId="0" fontId="20" fillId="15" borderId="0" xfId="1" applyFont="1" applyFill="1" applyAlignment="1">
      <alignment horizontal="left" vertical="center" wrapText="1"/>
    </xf>
    <xf numFmtId="0" fontId="20" fillId="15" borderId="9" xfId="1" applyFont="1" applyFill="1" applyBorder="1" applyAlignment="1">
      <alignment horizontal="left" vertical="center" wrapText="1"/>
    </xf>
    <xf numFmtId="169" fontId="89" fillId="25" borderId="0" xfId="1" applyNumberFormat="1" applyFont="1" applyFill="1" applyAlignment="1">
      <alignment horizontal="center" vertical="top" wrapText="1"/>
    </xf>
    <xf numFmtId="169" fontId="89" fillId="25" borderId="9" xfId="1" applyNumberFormat="1" applyFont="1" applyFill="1" applyBorder="1" applyAlignment="1">
      <alignment horizontal="center" vertical="top" wrapText="1"/>
    </xf>
    <xf numFmtId="0" fontId="20" fillId="25" borderId="71" xfId="1" applyFont="1" applyFill="1" applyBorder="1" applyAlignment="1">
      <alignment horizontal="center" vertical="center" wrapText="1"/>
    </xf>
    <xf numFmtId="0" fontId="20" fillId="25" borderId="1" xfId="1" applyFont="1" applyFill="1" applyBorder="1" applyAlignment="1">
      <alignment horizontal="center" vertical="center" wrapText="1"/>
    </xf>
    <xf numFmtId="0" fontId="20" fillId="25" borderId="355" xfId="1" applyFont="1" applyFill="1" applyBorder="1" applyAlignment="1">
      <alignment horizontal="center" vertical="center" wrapText="1"/>
    </xf>
    <xf numFmtId="0" fontId="20" fillId="25" borderId="13" xfId="1" applyFont="1" applyFill="1" applyBorder="1" applyAlignment="1">
      <alignment horizontal="center" vertical="center" wrapText="1"/>
    </xf>
    <xf numFmtId="0" fontId="53" fillId="20" borderId="1" xfId="1" applyFont="1" applyFill="1" applyBorder="1" applyAlignment="1" applyProtection="1">
      <alignment horizontal="center" vertical="center"/>
      <protection locked="0"/>
    </xf>
    <xf numFmtId="0" fontId="53" fillId="20" borderId="13" xfId="1" applyFont="1" applyFill="1" applyBorder="1" applyAlignment="1" applyProtection="1">
      <alignment horizontal="center" vertical="center"/>
      <protection locked="0"/>
    </xf>
    <xf numFmtId="0" fontId="24" fillId="55" borderId="1" xfId="1" applyFont="1" applyFill="1" applyBorder="1" applyAlignment="1">
      <alignment horizontal="center" vertical="center" wrapText="1"/>
    </xf>
    <xf numFmtId="0" fontId="24" fillId="55" borderId="73" xfId="1" applyFont="1" applyFill="1" applyBorder="1" applyAlignment="1">
      <alignment horizontal="center" vertical="center" wrapText="1"/>
    </xf>
    <xf numFmtId="0" fontId="24" fillId="55" borderId="13" xfId="1" applyFont="1" applyFill="1" applyBorder="1" applyAlignment="1">
      <alignment horizontal="center" vertical="center" wrapText="1"/>
    </xf>
    <xf numFmtId="0" fontId="24" fillId="55" borderId="21" xfId="1" applyFont="1" applyFill="1" applyBorder="1" applyAlignment="1">
      <alignment horizontal="center" vertical="center" wrapText="1"/>
    </xf>
    <xf numFmtId="0" fontId="24" fillId="17" borderId="1" xfId="1" applyFont="1" applyFill="1" applyBorder="1" applyAlignment="1" applyProtection="1">
      <alignment horizontal="center" vertical="center" wrapText="1"/>
      <protection locked="0"/>
    </xf>
    <xf numFmtId="0" fontId="24" fillId="17" borderId="187" xfId="1" applyFont="1" applyFill="1" applyBorder="1" applyAlignment="1" applyProtection="1">
      <alignment horizontal="center" vertical="center" wrapText="1"/>
      <protection locked="0"/>
    </xf>
    <xf numFmtId="0" fontId="24" fillId="17" borderId="105" xfId="1" applyFont="1" applyFill="1" applyBorder="1" applyAlignment="1">
      <alignment horizontal="center" vertical="center" wrapText="1"/>
    </xf>
    <xf numFmtId="0" fontId="24" fillId="17" borderId="357" xfId="1" applyFont="1" applyFill="1" applyBorder="1" applyAlignment="1">
      <alignment horizontal="center" vertical="center" wrapText="1"/>
    </xf>
    <xf numFmtId="0" fontId="72" fillId="0" borderId="356" xfId="3" applyFont="1" applyBorder="1" applyAlignment="1">
      <alignment horizontal="center" vertical="center"/>
    </xf>
    <xf numFmtId="0" fontId="72" fillId="0" borderId="72" xfId="3" applyFont="1" applyBorder="1" applyAlignment="1">
      <alignment horizontal="center" vertical="center"/>
    </xf>
    <xf numFmtId="0" fontId="24" fillId="8" borderId="1" xfId="1" applyFont="1" applyFill="1" applyBorder="1" applyAlignment="1">
      <alignment horizontal="center" vertical="center" wrapText="1"/>
    </xf>
    <xf numFmtId="0" fontId="72" fillId="0" borderId="71" xfId="3" applyFont="1" applyBorder="1" applyAlignment="1">
      <alignment horizontal="center" vertical="center"/>
    </xf>
    <xf numFmtId="0" fontId="72" fillId="0" borderId="1" xfId="3" applyFont="1" applyBorder="1" applyAlignment="1">
      <alignment horizontal="center" vertical="center"/>
    </xf>
    <xf numFmtId="0" fontId="28" fillId="21" borderId="7" xfId="1" applyFont="1" applyFill="1" applyBorder="1" applyAlignment="1">
      <alignment horizontal="center" vertical="center" wrapText="1"/>
    </xf>
    <xf numFmtId="0" fontId="28" fillId="21" borderId="2" xfId="1" applyFont="1" applyFill="1" applyBorder="1" applyAlignment="1">
      <alignment horizontal="center" vertical="center" wrapText="1"/>
    </xf>
    <xf numFmtId="0" fontId="28" fillId="21" borderId="8" xfId="1" applyFont="1" applyFill="1" applyBorder="1" applyAlignment="1">
      <alignment horizontal="center" vertical="center" wrapText="1"/>
    </xf>
    <xf numFmtId="0" fontId="28" fillId="21" borderId="6" xfId="1" applyFont="1" applyFill="1" applyBorder="1" applyAlignment="1">
      <alignment horizontal="center" vertical="center" wrapText="1"/>
    </xf>
    <xf numFmtId="0" fontId="28" fillId="21" borderId="0" xfId="1" applyFont="1" applyFill="1" applyAlignment="1">
      <alignment horizontal="center" vertical="center" wrapText="1"/>
    </xf>
    <xf numFmtId="0" fontId="28" fillId="21" borderId="9" xfId="1" applyFont="1" applyFill="1" applyBorder="1" applyAlignment="1">
      <alignment horizontal="center" vertical="center" wrapText="1"/>
    </xf>
    <xf numFmtId="0" fontId="28" fillId="21" borderId="64" xfId="1" applyFont="1" applyFill="1" applyBorder="1" applyAlignment="1">
      <alignment horizontal="center" vertical="center" wrapText="1"/>
    </xf>
    <xf numFmtId="0" fontId="28" fillId="21" borderId="13" xfId="1" applyFont="1" applyFill="1" applyBorder="1" applyAlignment="1">
      <alignment horizontal="center" vertical="center" wrapText="1"/>
    </xf>
    <xf numFmtId="0" fontId="28" fillId="21" borderId="21" xfId="1" applyFont="1" applyFill="1" applyBorder="1" applyAlignment="1">
      <alignment horizontal="center" vertical="center" wrapText="1"/>
    </xf>
    <xf numFmtId="0" fontId="143" fillId="15" borderId="143" xfId="1" applyFont="1" applyFill="1" applyBorder="1" applyAlignment="1">
      <alignment horizontal="center" vertical="center"/>
    </xf>
    <xf numFmtId="0" fontId="143" fillId="15" borderId="132" xfId="1" applyFont="1" applyFill="1" applyBorder="1" applyAlignment="1">
      <alignment horizontal="center" vertical="center"/>
    </xf>
    <xf numFmtId="0" fontId="143" fillId="15" borderId="144" xfId="1" applyFont="1" applyFill="1" applyBorder="1" applyAlignment="1">
      <alignment horizontal="center" vertical="center"/>
    </xf>
    <xf numFmtId="0" fontId="348" fillId="15" borderId="6" xfId="3" applyFont="1" applyFill="1" applyBorder="1" applyAlignment="1">
      <alignment horizontal="left" vertical="center" wrapText="1"/>
    </xf>
    <xf numFmtId="0" fontId="348" fillId="15" borderId="0" xfId="3" applyFont="1" applyFill="1" applyAlignment="1">
      <alignment horizontal="left" vertical="center" wrapText="1"/>
    </xf>
    <xf numFmtId="0" fontId="348" fillId="15" borderId="9" xfId="3" applyFont="1" applyFill="1" applyBorder="1" applyAlignment="1">
      <alignment horizontal="left" vertical="center" wrapText="1"/>
    </xf>
    <xf numFmtId="0" fontId="163" fillId="3" borderId="145" xfId="1" applyFont="1" applyFill="1" applyBorder="1" applyAlignment="1">
      <alignment horizontal="left" vertical="center"/>
    </xf>
    <xf numFmtId="0" fontId="163" fillId="3" borderId="146" xfId="1" applyFont="1" applyFill="1" applyBorder="1" applyAlignment="1">
      <alignment horizontal="left" vertical="center"/>
    </xf>
    <xf numFmtId="0" fontId="163" fillId="3" borderId="147" xfId="1" applyFont="1" applyFill="1" applyBorder="1" applyAlignment="1">
      <alignment horizontal="left" vertical="center"/>
    </xf>
    <xf numFmtId="0" fontId="163" fillId="3" borderId="6" xfId="1" applyFont="1" applyFill="1" applyBorder="1" applyAlignment="1">
      <alignment horizontal="left" vertical="center"/>
    </xf>
    <xf numFmtId="0" fontId="163" fillId="3" borderId="0" xfId="1" applyFont="1" applyFill="1" applyAlignment="1">
      <alignment horizontal="left" vertical="center"/>
    </xf>
    <xf numFmtId="0" fontId="163" fillId="3" borderId="9" xfId="1" applyFont="1" applyFill="1" applyBorder="1" applyAlignment="1">
      <alignment horizontal="left" vertical="center"/>
    </xf>
    <xf numFmtId="0" fontId="168" fillId="89" borderId="6" xfId="1" applyFont="1" applyFill="1" applyBorder="1" applyAlignment="1">
      <alignment horizontal="left" vertical="center"/>
    </xf>
    <xf numFmtId="0" fontId="168" fillId="89" borderId="0" xfId="1" applyFont="1" applyFill="1" applyAlignment="1">
      <alignment horizontal="left" vertical="center"/>
    </xf>
    <xf numFmtId="0" fontId="168" fillId="89" borderId="9" xfId="1" applyFont="1" applyFill="1" applyBorder="1" applyAlignment="1">
      <alignment horizontal="left" vertical="center"/>
    </xf>
    <xf numFmtId="0" fontId="72" fillId="48" borderId="131" xfId="0" applyFont="1" applyFill="1" applyBorder="1" applyAlignment="1">
      <alignment horizontal="center" vertical="center" wrapText="1"/>
    </xf>
    <xf numFmtId="0" fontId="72" fillId="48" borderId="0" xfId="0" applyFont="1" applyFill="1" applyAlignment="1">
      <alignment horizontal="center" vertical="center" wrapText="1"/>
    </xf>
    <xf numFmtId="0" fontId="72" fillId="48" borderId="9" xfId="0" applyFont="1" applyFill="1" applyBorder="1" applyAlignment="1">
      <alignment horizontal="center" vertical="center" wrapText="1"/>
    </xf>
    <xf numFmtId="0" fontId="72" fillId="48" borderId="136" xfId="0" applyFont="1" applyFill="1" applyBorder="1" applyAlignment="1">
      <alignment horizontal="center" vertical="center" wrapText="1"/>
    </xf>
    <xf numFmtId="0" fontId="72" fillId="48" borderId="288" xfId="0" applyFont="1" applyFill="1" applyBorder="1" applyAlignment="1">
      <alignment horizontal="center" vertical="center" wrapText="1"/>
    </xf>
    <xf numFmtId="0" fontId="72" fillId="48" borderId="290" xfId="0" applyFont="1" applyFill="1" applyBorder="1" applyAlignment="1">
      <alignment horizontal="center" vertical="center" wrapText="1"/>
    </xf>
    <xf numFmtId="0" fontId="87" fillId="48" borderId="232" xfId="0" applyFont="1" applyFill="1" applyBorder="1" applyAlignment="1">
      <alignment horizontal="center" vertical="center" wrapText="1"/>
    </xf>
    <xf numFmtId="0" fontId="87" fillId="48" borderId="48" xfId="0" applyFont="1" applyFill="1" applyBorder="1" applyAlignment="1">
      <alignment horizontal="center" vertical="center" wrapText="1"/>
    </xf>
    <xf numFmtId="0" fontId="87" fillId="48" borderId="233" xfId="0" applyFont="1" applyFill="1" applyBorder="1" applyAlignment="1">
      <alignment horizontal="center" vertical="center" wrapText="1"/>
    </xf>
    <xf numFmtId="0" fontId="87" fillId="48" borderId="38" xfId="0" applyFont="1" applyFill="1" applyBorder="1" applyAlignment="1">
      <alignment horizontal="center" vertical="center" wrapText="1"/>
    </xf>
    <xf numFmtId="0" fontId="87" fillId="48" borderId="56" xfId="0" applyFont="1" applyFill="1" applyBorder="1" applyAlignment="1">
      <alignment horizontal="center" vertical="center" wrapText="1"/>
    </xf>
    <xf numFmtId="0" fontId="87" fillId="48" borderId="40" xfId="0" applyFont="1" applyFill="1" applyBorder="1" applyAlignment="1">
      <alignment horizontal="center" vertical="center" wrapText="1"/>
    </xf>
    <xf numFmtId="0" fontId="78" fillId="45" borderId="278" xfId="16" applyFont="1" applyFill="1" applyBorder="1" applyAlignment="1" applyProtection="1">
      <alignment horizontal="center" vertical="center"/>
      <protection locked="0"/>
    </xf>
    <xf numFmtId="0" fontId="78" fillId="45" borderId="0" xfId="16" applyFont="1" applyFill="1" applyAlignment="1" applyProtection="1">
      <alignment horizontal="center" vertical="center"/>
      <protection locked="0"/>
    </xf>
    <xf numFmtId="0" fontId="26" fillId="25" borderId="352" xfId="16" applyFont="1" applyFill="1" applyBorder="1" applyAlignment="1" applyProtection="1">
      <alignment horizontal="center" vertical="center" wrapText="1"/>
      <protection locked="0"/>
    </xf>
    <xf numFmtId="0" fontId="26" fillId="25" borderId="48" xfId="16" applyFont="1" applyFill="1" applyBorder="1" applyAlignment="1" applyProtection="1">
      <alignment horizontal="center" vertical="center" wrapText="1"/>
      <protection locked="0"/>
    </xf>
    <xf numFmtId="0" fontId="26" fillId="25" borderId="233" xfId="16" applyFont="1" applyFill="1" applyBorder="1" applyAlignment="1" applyProtection="1">
      <alignment horizontal="center" vertical="center" wrapText="1"/>
      <protection locked="0"/>
    </xf>
    <xf numFmtId="0" fontId="26" fillId="25" borderId="55" xfId="16" applyFont="1" applyFill="1" applyBorder="1" applyAlignment="1" applyProtection="1">
      <alignment horizontal="center" vertical="center" wrapText="1"/>
      <protection locked="0"/>
    </xf>
    <xf numFmtId="0" fontId="26" fillId="25" borderId="13" xfId="16" applyFont="1" applyFill="1" applyBorder="1" applyAlignment="1" applyProtection="1">
      <alignment horizontal="center" vertical="center" wrapText="1"/>
      <protection locked="0"/>
    </xf>
    <xf numFmtId="0" fontId="26" fillId="25" borderId="102" xfId="16" applyFont="1" applyFill="1" applyBorder="1" applyAlignment="1" applyProtection="1">
      <alignment horizontal="center" vertical="center" wrapText="1"/>
      <protection locked="0"/>
    </xf>
    <xf numFmtId="0" fontId="87" fillId="48" borderId="352" xfId="0" applyFont="1" applyFill="1" applyBorder="1" applyAlignment="1">
      <alignment horizontal="center" vertical="center" wrapText="1"/>
    </xf>
    <xf numFmtId="0" fontId="87" fillId="48" borderId="287" xfId="0" applyFont="1" applyFill="1" applyBorder="1" applyAlignment="1">
      <alignment horizontal="center" vertical="center" wrapText="1"/>
    </xf>
    <xf numFmtId="0" fontId="87" fillId="48" borderId="288" xfId="0" applyFont="1" applyFill="1" applyBorder="1" applyAlignment="1">
      <alignment horizontal="center" vertical="center" wrapText="1"/>
    </xf>
    <xf numFmtId="0" fontId="87" fillId="48" borderId="289" xfId="0" applyFont="1" applyFill="1" applyBorder="1" applyAlignment="1">
      <alignment horizontal="center" vertical="center" wrapText="1"/>
    </xf>
    <xf numFmtId="0" fontId="43" fillId="8" borderId="6" xfId="3" applyFont="1" applyFill="1" applyBorder="1" applyAlignment="1">
      <alignment horizontal="center" vertical="center" wrapText="1"/>
    </xf>
    <xf numFmtId="0" fontId="43" fillId="8" borderId="0" xfId="3" applyFont="1" applyFill="1" applyAlignment="1">
      <alignment horizontal="center" vertical="center" wrapText="1"/>
    </xf>
    <xf numFmtId="0" fontId="43" fillId="8" borderId="9" xfId="3" applyFont="1" applyFill="1" applyBorder="1" applyAlignment="1">
      <alignment horizontal="center" vertical="center" wrapText="1"/>
    </xf>
    <xf numFmtId="0" fontId="73" fillId="8" borderId="6" xfId="3" applyFont="1" applyFill="1" applyBorder="1" applyAlignment="1">
      <alignment horizontal="center" vertical="center"/>
    </xf>
    <xf numFmtId="0" fontId="119" fillId="7" borderId="6" xfId="3" applyFont="1" applyFill="1" applyBorder="1" applyAlignment="1">
      <alignment horizontal="center" vertical="center"/>
    </xf>
    <xf numFmtId="0" fontId="119" fillId="7" borderId="0" xfId="3" applyFont="1" applyFill="1" applyAlignment="1">
      <alignment horizontal="center" vertical="center"/>
    </xf>
    <xf numFmtId="0" fontId="119" fillId="7" borderId="9" xfId="3" applyFont="1" applyFill="1" applyBorder="1" applyAlignment="1">
      <alignment horizontal="center" vertical="center"/>
    </xf>
    <xf numFmtId="0" fontId="20" fillId="8" borderId="110" xfId="1" applyFont="1" applyFill="1" applyBorder="1" applyAlignment="1">
      <alignment horizontal="center" vertical="center" wrapText="1"/>
    </xf>
    <xf numFmtId="0" fontId="20" fillId="8" borderId="102" xfId="1" applyFont="1" applyFill="1" applyBorder="1" applyAlignment="1">
      <alignment horizontal="center" vertical="center" wrapText="1"/>
    </xf>
    <xf numFmtId="0" fontId="13" fillId="25" borderId="131" xfId="16" applyFont="1" applyFill="1" applyBorder="1" applyAlignment="1" applyProtection="1">
      <alignment horizontal="center" vertical="center" wrapText="1"/>
      <protection locked="0"/>
    </xf>
    <xf numFmtId="0" fontId="13" fillId="25" borderId="0" xfId="16" applyFont="1" applyFill="1" applyAlignment="1" applyProtection="1">
      <alignment horizontal="center" vertical="center" wrapText="1"/>
      <protection locked="0"/>
    </xf>
    <xf numFmtId="0" fontId="13" fillId="25" borderId="9" xfId="16" applyFont="1" applyFill="1" applyBorder="1" applyAlignment="1" applyProtection="1">
      <alignment horizontal="center" vertical="center" wrapText="1"/>
      <protection locked="0"/>
    </xf>
    <xf numFmtId="0" fontId="13" fillId="25" borderId="172" xfId="16" applyFont="1" applyFill="1" applyBorder="1" applyAlignment="1" applyProtection="1">
      <alignment horizontal="center" vertical="center" wrapText="1"/>
      <protection locked="0"/>
    </xf>
    <xf numFmtId="0" fontId="13" fillId="25" borderId="173" xfId="16" applyFont="1" applyFill="1" applyBorder="1" applyAlignment="1" applyProtection="1">
      <alignment horizontal="center" vertical="center" wrapText="1"/>
      <protection locked="0"/>
    </xf>
    <xf numFmtId="0" fontId="13" fillId="25" borderId="174" xfId="16" applyFont="1" applyFill="1" applyBorder="1" applyAlignment="1" applyProtection="1">
      <alignment horizontal="center" vertical="center" wrapText="1"/>
      <protection locked="0"/>
    </xf>
    <xf numFmtId="0" fontId="28" fillId="16" borderId="7" xfId="1" applyFont="1" applyFill="1" applyBorder="1" applyAlignment="1">
      <alignment horizontal="center" vertical="center" wrapText="1"/>
    </xf>
    <xf numFmtId="0" fontId="28" fillId="16" borderId="2" xfId="1" applyFont="1" applyFill="1" applyBorder="1" applyAlignment="1">
      <alignment horizontal="center" vertical="center" wrapText="1"/>
    </xf>
    <xf numFmtId="0" fontId="28" fillId="16" borderId="8" xfId="1" applyFont="1" applyFill="1" applyBorder="1" applyAlignment="1">
      <alignment horizontal="center" vertical="center" wrapText="1"/>
    </xf>
    <xf numFmtId="0" fontId="28" fillId="16" borderId="6" xfId="1" applyFont="1" applyFill="1" applyBorder="1" applyAlignment="1">
      <alignment horizontal="center" vertical="center" wrapText="1"/>
    </xf>
    <xf numFmtId="0" fontId="28" fillId="16" borderId="0" xfId="1" applyFont="1" applyFill="1" applyAlignment="1">
      <alignment horizontal="center" vertical="center" wrapText="1"/>
    </xf>
    <xf numFmtId="0" fontId="28" fillId="16" borderId="9" xfId="1" applyFont="1" applyFill="1" applyBorder="1" applyAlignment="1">
      <alignment horizontal="center" vertical="center" wrapText="1"/>
    </xf>
    <xf numFmtId="0" fontId="0" fillId="15" borderId="9" xfId="0" applyFill="1" applyBorder="1" applyAlignment="1">
      <alignment horizontal="center" wrapText="1"/>
    </xf>
    <xf numFmtId="0" fontId="37" fillId="8" borderId="0" xfId="4" applyFont="1" applyFill="1" applyAlignment="1">
      <alignment horizontal="center" vertical="top" wrapText="1"/>
    </xf>
    <xf numFmtId="0" fontId="57" fillId="8" borderId="331" xfId="14" applyFont="1" applyFill="1" applyBorder="1" applyAlignment="1">
      <alignment horizontal="center" vertical="center" wrapText="1"/>
    </xf>
    <xf numFmtId="0" fontId="57" fillId="8" borderId="149" xfId="14" applyFont="1" applyFill="1" applyBorder="1" applyAlignment="1">
      <alignment horizontal="center" vertical="center" wrapText="1"/>
    </xf>
    <xf numFmtId="0" fontId="57" fillId="8" borderId="332" xfId="14" applyFont="1" applyFill="1" applyBorder="1" applyAlignment="1">
      <alignment horizontal="center" vertical="center" wrapText="1"/>
    </xf>
    <xf numFmtId="0" fontId="82" fillId="17" borderId="6" xfId="1" applyFont="1" applyFill="1" applyBorder="1" applyAlignment="1">
      <alignment horizontal="left" vertical="center"/>
    </xf>
    <xf numFmtId="0" fontId="71" fillId="15" borderId="0" xfId="3" applyFont="1" applyFill="1" applyAlignment="1">
      <alignment horizontal="left" vertical="center" wrapText="1"/>
    </xf>
    <xf numFmtId="0" fontId="71" fillId="15" borderId="9" xfId="3" applyFont="1" applyFill="1" applyBorder="1" applyAlignment="1">
      <alignment horizontal="left" vertical="center" wrapText="1"/>
    </xf>
    <xf numFmtId="0" fontId="24" fillId="17" borderId="5" xfId="1" applyFont="1" applyFill="1" applyBorder="1" applyAlignment="1" applyProtection="1">
      <alignment horizontal="center" vertical="center" wrapText="1"/>
      <protection locked="0"/>
    </xf>
    <xf numFmtId="0" fontId="24" fillId="17" borderId="13" xfId="1" applyFont="1" applyFill="1" applyBorder="1" applyAlignment="1" applyProtection="1">
      <alignment horizontal="center" vertical="center" wrapText="1"/>
      <protection locked="0"/>
    </xf>
    <xf numFmtId="0" fontId="55" fillId="20" borderId="341" xfId="1" applyFont="1" applyFill="1" applyBorder="1" applyAlignment="1" applyProtection="1">
      <alignment horizontal="center" vertical="center" wrapText="1"/>
      <protection hidden="1"/>
    </xf>
    <xf numFmtId="0" fontId="55" fillId="20" borderId="342" xfId="1" applyFont="1" applyFill="1" applyBorder="1" applyAlignment="1" applyProtection="1">
      <alignment horizontal="center" vertical="center" wrapText="1"/>
      <protection hidden="1"/>
    </xf>
    <xf numFmtId="0" fontId="56" fillId="7" borderId="16" xfId="1" applyFont="1" applyFill="1" applyBorder="1" applyAlignment="1">
      <alignment horizontal="center" vertical="center" wrapText="1"/>
    </xf>
    <xf numFmtId="0" fontId="56" fillId="7" borderId="355" xfId="1" applyFont="1" applyFill="1" applyBorder="1" applyAlignment="1">
      <alignment horizontal="center" vertical="center" wrapText="1"/>
    </xf>
    <xf numFmtId="0" fontId="24" fillId="8" borderId="0" xfId="1" applyFont="1" applyFill="1" applyAlignment="1">
      <alignment horizontal="center" vertical="center" wrapText="1"/>
    </xf>
    <xf numFmtId="0" fontId="24" fillId="8" borderId="13" xfId="1" applyFont="1" applyFill="1" applyBorder="1" applyAlignment="1">
      <alignment horizontal="center" vertical="center" wrapText="1"/>
    </xf>
    <xf numFmtId="0" fontId="24" fillId="25" borderId="0" xfId="1" applyFont="1" applyFill="1" applyAlignment="1">
      <alignment horizontal="center" vertical="center" wrapText="1"/>
    </xf>
    <xf numFmtId="0" fontId="24" fillId="25" borderId="13" xfId="1" applyFont="1" applyFill="1" applyBorder="1" applyAlignment="1">
      <alignment horizontal="center" vertical="center" wrapText="1"/>
    </xf>
    <xf numFmtId="0" fontId="24" fillId="8" borderId="358" xfId="1" applyFont="1" applyFill="1" applyBorder="1" applyAlignment="1">
      <alignment horizontal="center" vertical="center" wrapText="1"/>
    </xf>
    <xf numFmtId="0" fontId="24" fillId="8" borderId="14" xfId="1" applyFont="1" applyFill="1" applyBorder="1" applyAlignment="1">
      <alignment horizontal="center" vertical="center" wrapText="1"/>
    </xf>
    <xf numFmtId="0" fontId="39" fillId="20" borderId="6" xfId="1" applyFont="1" applyFill="1" applyBorder="1" applyAlignment="1" applyProtection="1">
      <alignment horizontal="center" vertical="center"/>
      <protection hidden="1"/>
    </xf>
    <xf numFmtId="0" fontId="0" fillId="17" borderId="0" xfId="0" applyFill="1" applyAlignment="1">
      <alignment horizontal="center" vertical="center" wrapText="1"/>
    </xf>
    <xf numFmtId="0" fontId="0" fillId="17" borderId="0" xfId="0" applyFill="1" applyAlignment="1">
      <alignment horizontal="center" vertical="center"/>
    </xf>
    <xf numFmtId="0" fontId="0" fillId="17" borderId="0" xfId="0" applyFill="1" applyAlignment="1">
      <alignment horizontal="left" vertical="center"/>
    </xf>
    <xf numFmtId="0" fontId="33" fillId="15" borderId="6"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9" xfId="0" applyFont="1" applyFill="1" applyBorder="1" applyAlignment="1">
      <alignment horizontal="left" vertical="center" wrapText="1"/>
    </xf>
    <xf numFmtId="0" fontId="26" fillId="7" borderId="351" xfId="1" applyFont="1" applyFill="1" applyBorder="1" applyAlignment="1">
      <alignment horizontal="center" vertical="center"/>
    </xf>
    <xf numFmtId="0" fontId="26" fillId="7" borderId="5" xfId="1" applyFont="1" applyFill="1" applyBorder="1" applyAlignment="1">
      <alignment horizontal="center" vertical="center"/>
    </xf>
    <xf numFmtId="0" fontId="26" fillId="7" borderId="54" xfId="1" applyFont="1" applyFill="1" applyBorder="1" applyAlignment="1">
      <alignment horizontal="center" vertical="center"/>
    </xf>
    <xf numFmtId="0" fontId="36" fillId="45" borderId="0" xfId="16" applyFont="1" applyFill="1" applyAlignment="1" applyProtection="1">
      <alignment horizontal="center" vertical="center"/>
      <protection locked="0"/>
    </xf>
    <xf numFmtId="0" fontId="36" fillId="45" borderId="9" xfId="16" applyFont="1" applyFill="1" applyBorder="1" applyAlignment="1" applyProtection="1">
      <alignment horizontal="center" vertical="center"/>
      <protection locked="0"/>
    </xf>
    <xf numFmtId="0" fontId="36" fillId="45" borderId="278" xfId="16" applyFont="1" applyFill="1" applyBorder="1" applyAlignment="1" applyProtection="1">
      <alignment horizontal="right" vertical="center"/>
      <protection locked="0"/>
    </xf>
    <xf numFmtId="0" fontId="36" fillId="45" borderId="0" xfId="16" applyFont="1" applyFill="1" applyAlignment="1" applyProtection="1">
      <alignment horizontal="right" vertical="center"/>
      <protection locked="0"/>
    </xf>
    <xf numFmtId="0" fontId="57" fillId="43" borderId="0" xfId="1" applyFont="1" applyFill="1" applyAlignment="1">
      <alignment horizontal="center" vertical="center" wrapText="1"/>
    </xf>
    <xf numFmtId="0" fontId="10" fillId="43" borderId="0" xfId="1" applyFont="1" applyFill="1" applyAlignment="1">
      <alignment horizontal="left" wrapText="1"/>
    </xf>
    <xf numFmtId="0" fontId="24" fillId="17" borderId="62" xfId="1" applyFont="1" applyFill="1" applyBorder="1" applyAlignment="1">
      <alignment horizontal="center" vertical="center" wrapText="1"/>
    </xf>
    <xf numFmtId="0" fontId="55" fillId="20" borderId="63" xfId="1" applyFont="1" applyFill="1" applyBorder="1" applyAlignment="1" applyProtection="1">
      <alignment horizontal="center" vertical="center" wrapText="1"/>
      <protection hidden="1"/>
    </xf>
    <xf numFmtId="0" fontId="55" fillId="20" borderId="20" xfId="1" applyFont="1" applyFill="1" applyBorder="1" applyAlignment="1" applyProtection="1">
      <alignment horizontal="center" vertical="center" wrapText="1"/>
      <protection hidden="1"/>
    </xf>
    <xf numFmtId="0" fontId="56" fillId="7" borderId="0" xfId="1" applyFont="1" applyFill="1" applyAlignment="1">
      <alignment horizontal="center" vertical="center" wrapText="1"/>
    </xf>
    <xf numFmtId="0" fontId="56" fillId="7" borderId="13" xfId="1" applyFont="1" applyFill="1" applyBorder="1" applyAlignment="1">
      <alignment horizontal="center" vertical="center" wrapText="1"/>
    </xf>
    <xf numFmtId="0" fontId="24" fillId="8" borderId="17" xfId="1" applyFont="1" applyFill="1" applyBorder="1" applyAlignment="1">
      <alignment horizontal="center" vertical="center" wrapText="1"/>
    </xf>
    <xf numFmtId="0" fontId="20" fillId="25" borderId="19" xfId="1" applyFont="1" applyFill="1" applyBorder="1" applyAlignment="1">
      <alignment horizontal="center" vertical="center" wrapText="1"/>
    </xf>
    <xf numFmtId="0" fontId="53" fillId="20" borderId="72" xfId="1" applyFont="1" applyFill="1" applyBorder="1" applyAlignment="1" applyProtection="1">
      <alignment horizontal="center" vertical="center"/>
      <protection locked="0"/>
    </xf>
    <xf numFmtId="0" fontId="24" fillId="17" borderId="0" xfId="1" applyFont="1" applyFill="1" applyAlignment="1" applyProtection="1">
      <alignment horizontal="center" vertical="center" wrapText="1"/>
      <protection locked="0"/>
    </xf>
    <xf numFmtId="0" fontId="24" fillId="17" borderId="1" xfId="1" applyFont="1" applyFill="1" applyBorder="1" applyAlignment="1">
      <alignment horizontal="center" vertical="center" wrapText="1"/>
    </xf>
    <xf numFmtId="0" fontId="24" fillId="17" borderId="0" xfId="1" applyFont="1" applyFill="1" applyAlignment="1">
      <alignment horizontal="center" vertical="center" wrapText="1"/>
    </xf>
    <xf numFmtId="0" fontId="397" fillId="17" borderId="6" xfId="1" applyFont="1" applyFill="1" applyBorder="1" applyAlignment="1">
      <alignment horizontal="left" vertical="center"/>
    </xf>
    <xf numFmtId="0" fontId="77" fillId="44" borderId="0" xfId="16" applyFont="1" applyFill="1" applyAlignment="1" applyProtection="1">
      <alignment horizontal="center" vertical="center"/>
      <protection locked="0"/>
    </xf>
    <xf numFmtId="0" fontId="77" fillId="44" borderId="36" xfId="16" applyFont="1" applyFill="1" applyBorder="1" applyAlignment="1" applyProtection="1">
      <alignment horizontal="center" vertical="center"/>
      <protection locked="0"/>
    </xf>
    <xf numFmtId="0" fontId="26" fillId="7" borderId="257" xfId="1" applyFont="1" applyFill="1" applyBorder="1" applyAlignment="1">
      <alignment horizontal="center" vertical="center"/>
    </xf>
    <xf numFmtId="0" fontId="36" fillId="45" borderId="36" xfId="16" applyFont="1" applyFill="1" applyBorder="1" applyAlignment="1" applyProtection="1">
      <alignment horizontal="center" vertical="center"/>
      <protection locked="0"/>
    </xf>
    <xf numFmtId="0" fontId="78" fillId="45" borderId="35" xfId="16" applyFont="1" applyFill="1" applyBorder="1" applyAlignment="1" applyProtection="1">
      <alignment horizontal="center" vertical="center"/>
      <protection locked="0"/>
    </xf>
    <xf numFmtId="0" fontId="26" fillId="25" borderId="232" xfId="16" applyFont="1" applyFill="1" applyBorder="1" applyAlignment="1" applyProtection="1">
      <alignment horizontal="center" vertical="center" wrapText="1"/>
      <protection locked="0"/>
    </xf>
    <xf numFmtId="0" fontId="26" fillId="7" borderId="53" xfId="1" applyFont="1" applyFill="1" applyBorder="1" applyAlignment="1">
      <alignment horizontal="center" vertical="center"/>
    </xf>
    <xf numFmtId="0" fontId="26" fillId="7" borderId="101" xfId="1" applyFont="1" applyFill="1" applyBorder="1" applyAlignment="1">
      <alignment horizontal="center" vertical="center"/>
    </xf>
    <xf numFmtId="1" fontId="21" fillId="72" borderId="0" xfId="1" applyNumberFormat="1" applyFont="1" applyFill="1" applyAlignment="1" applyProtection="1">
      <alignment horizontal="center" vertical="center" wrapText="1"/>
      <protection hidden="1"/>
    </xf>
    <xf numFmtId="1" fontId="21" fillId="13" borderId="0" xfId="1" applyNumberFormat="1" applyFont="1" applyFill="1" applyAlignment="1" applyProtection="1">
      <alignment horizontal="center" vertical="center" wrapText="1"/>
      <protection hidden="1"/>
    </xf>
    <xf numFmtId="1" fontId="13" fillId="14" borderId="0" xfId="1" applyNumberFormat="1" applyFont="1" applyFill="1" applyAlignment="1" applyProtection="1">
      <alignment horizontal="center" vertical="center" wrapText="1"/>
      <protection hidden="1"/>
    </xf>
    <xf numFmtId="0" fontId="130" fillId="8" borderId="0" xfId="0" applyFont="1" applyFill="1" applyAlignment="1">
      <alignment horizontal="left" wrapText="1"/>
    </xf>
    <xf numFmtId="0" fontId="130" fillId="0" borderId="0" xfId="0" applyFont="1" applyAlignment="1">
      <alignment horizontal="left" wrapText="1"/>
    </xf>
    <xf numFmtId="1" fontId="21" fillId="74" borderId="2" xfId="1" applyNumberFormat="1" applyFont="1" applyFill="1" applyBorder="1" applyAlignment="1" applyProtection="1">
      <alignment horizontal="center" vertical="center" wrapText="1"/>
      <protection hidden="1"/>
    </xf>
    <xf numFmtId="1" fontId="21" fillId="74" borderId="0" xfId="1" applyNumberFormat="1" applyFont="1" applyFill="1" applyAlignment="1" applyProtection="1">
      <alignment horizontal="center" vertical="center" wrapText="1"/>
      <protection hidden="1"/>
    </xf>
    <xf numFmtId="1" fontId="32" fillId="75" borderId="2" xfId="1" applyNumberFormat="1" applyFont="1" applyFill="1" applyBorder="1" applyAlignment="1" applyProtection="1">
      <alignment horizontal="center" vertical="center" wrapText="1"/>
      <protection hidden="1"/>
    </xf>
    <xf numFmtId="1" fontId="32" fillId="75" borderId="0" xfId="1" applyNumberFormat="1" applyFont="1" applyFill="1" applyAlignment="1" applyProtection="1">
      <alignment horizontal="center" vertical="center" wrapText="1"/>
      <protection hidden="1"/>
    </xf>
    <xf numFmtId="0" fontId="159" fillId="21" borderId="0" xfId="3" applyFont="1" applyFill="1" applyAlignment="1">
      <alignment horizontal="left" vertical="center" wrapText="1"/>
    </xf>
    <xf numFmtId="0" fontId="25" fillId="14" borderId="2" xfId="1" applyFont="1" applyFill="1" applyBorder="1" applyAlignment="1">
      <alignment horizontal="center" vertical="center" wrapText="1"/>
    </xf>
    <xf numFmtId="0" fontId="25" fillId="14" borderId="0" xfId="1" applyFont="1" applyFill="1" applyAlignment="1">
      <alignment horizontal="center" vertical="center" wrapText="1"/>
    </xf>
    <xf numFmtId="1" fontId="26" fillId="15" borderId="2" xfId="1" applyNumberFormat="1" applyFont="1" applyFill="1" applyBorder="1" applyAlignment="1" applyProtection="1">
      <alignment horizontal="center" vertical="center" wrapText="1"/>
      <protection hidden="1"/>
    </xf>
    <xf numFmtId="1" fontId="26" fillId="15" borderId="0" xfId="1" applyNumberFormat="1" applyFont="1" applyFill="1" applyAlignment="1" applyProtection="1">
      <alignment horizontal="center" vertical="center" wrapText="1"/>
      <protection hidden="1"/>
    </xf>
    <xf numFmtId="0" fontId="27" fillId="14" borderId="8" xfId="3" applyFont="1" applyFill="1" applyBorder="1" applyAlignment="1">
      <alignment horizontal="center" vertical="center" wrapText="1"/>
    </xf>
    <xf numFmtId="0" fontId="27" fillId="14" borderId="9" xfId="3" applyFont="1" applyFill="1" applyBorder="1" applyAlignment="1">
      <alignment horizontal="center" vertical="center" wrapText="1"/>
    </xf>
    <xf numFmtId="1" fontId="13" fillId="76" borderId="2" xfId="1" applyNumberFormat="1" applyFont="1" applyFill="1" applyBorder="1" applyAlignment="1" applyProtection="1">
      <alignment horizontal="center" vertical="center" wrapText="1"/>
      <protection hidden="1"/>
    </xf>
    <xf numFmtId="1" fontId="13" fillId="76" borderId="0" xfId="1" applyNumberFormat="1" applyFont="1" applyFill="1" applyAlignment="1" applyProtection="1">
      <alignment horizontal="center" vertical="center" wrapText="1"/>
      <protection hidden="1"/>
    </xf>
    <xf numFmtId="1" fontId="26" fillId="37" borderId="2" xfId="1" applyNumberFormat="1" applyFont="1" applyFill="1" applyBorder="1" applyAlignment="1" applyProtection="1">
      <alignment horizontal="center" vertical="center" wrapText="1"/>
      <protection hidden="1"/>
    </xf>
    <xf numFmtId="1" fontId="26" fillId="37" borderId="0" xfId="1" applyNumberFormat="1" applyFont="1" applyFill="1" applyAlignment="1" applyProtection="1">
      <alignment horizontal="center" vertical="center" wrapText="1"/>
      <protection hidden="1"/>
    </xf>
    <xf numFmtId="1" fontId="26" fillId="37" borderId="2" xfId="1" applyNumberFormat="1" applyFont="1" applyFill="1" applyBorder="1" applyAlignment="1" applyProtection="1">
      <alignment horizontal="center" vertical="center"/>
      <protection hidden="1"/>
    </xf>
    <xf numFmtId="1" fontId="26" fillId="37" borderId="0" xfId="1" applyNumberFormat="1" applyFont="1" applyFill="1" applyAlignment="1" applyProtection="1">
      <alignment horizontal="center" vertical="center"/>
      <protection hidden="1"/>
    </xf>
    <xf numFmtId="1" fontId="26" fillId="27" borderId="2" xfId="1" applyNumberFormat="1" applyFont="1" applyFill="1" applyBorder="1" applyAlignment="1" applyProtection="1">
      <alignment horizontal="center" vertical="center" wrapText="1"/>
      <protection hidden="1"/>
    </xf>
    <xf numFmtId="1" fontId="26" fillId="27" borderId="0" xfId="1" applyNumberFormat="1" applyFont="1" applyFill="1" applyAlignment="1" applyProtection="1">
      <alignment horizontal="center" vertical="center" wrapText="1"/>
      <protection hidden="1"/>
    </xf>
    <xf numFmtId="1" fontId="26" fillId="73" borderId="2" xfId="1" applyNumberFormat="1" applyFont="1" applyFill="1" applyBorder="1" applyAlignment="1" applyProtection="1">
      <alignment horizontal="center" vertical="center" wrapText="1"/>
      <protection hidden="1"/>
    </xf>
    <xf numFmtId="1" fontId="26" fillId="73" borderId="0" xfId="1" applyNumberFormat="1" applyFont="1" applyFill="1" applyAlignment="1" applyProtection="1">
      <alignment horizontal="center" vertical="center" wrapText="1"/>
      <protection hidden="1"/>
    </xf>
    <xf numFmtId="2" fontId="160" fillId="45" borderId="2" xfId="1" applyNumberFormat="1" applyFont="1" applyFill="1" applyBorder="1" applyAlignment="1" applyProtection="1">
      <alignment horizontal="center" vertical="center"/>
      <protection locked="0"/>
    </xf>
    <xf numFmtId="2" fontId="160" fillId="45" borderId="0" xfId="1" applyNumberFormat="1" applyFont="1" applyFill="1" applyAlignment="1" applyProtection="1">
      <alignment horizontal="center" vertical="center"/>
      <protection locked="0"/>
    </xf>
    <xf numFmtId="1" fontId="21" fillId="13" borderId="2" xfId="1" applyNumberFormat="1" applyFont="1" applyFill="1" applyBorder="1" applyAlignment="1" applyProtection="1">
      <alignment horizontal="center" vertical="center" wrapText="1"/>
      <protection hidden="1"/>
    </xf>
    <xf numFmtId="1" fontId="21" fillId="72" borderId="2" xfId="1" applyNumberFormat="1" applyFont="1" applyFill="1" applyBorder="1" applyAlignment="1" applyProtection="1">
      <alignment horizontal="center" vertical="center" wrapText="1"/>
      <protection hidden="1"/>
    </xf>
    <xf numFmtId="0" fontId="155" fillId="43" borderId="0" xfId="1" applyFont="1" applyFill="1" applyAlignment="1">
      <alignment horizontal="center" vertical="center" wrapText="1"/>
    </xf>
    <xf numFmtId="1" fontId="26" fillId="15" borderId="2" xfId="1" applyNumberFormat="1" applyFont="1" applyFill="1" applyBorder="1" applyAlignment="1" applyProtection="1">
      <alignment horizontal="center" vertical="center"/>
      <protection hidden="1"/>
    </xf>
    <xf numFmtId="1" fontId="26" fillId="15" borderId="0" xfId="1" applyNumberFormat="1" applyFont="1" applyFill="1" applyAlignment="1" applyProtection="1">
      <alignment horizontal="center" vertical="center"/>
      <protection hidden="1"/>
    </xf>
    <xf numFmtId="1" fontId="13" fillId="14" borderId="2" xfId="1" applyNumberFormat="1" applyFont="1" applyFill="1" applyBorder="1" applyAlignment="1" applyProtection="1">
      <alignment horizontal="center" vertical="center" wrapText="1"/>
      <protection hidden="1"/>
    </xf>
    <xf numFmtId="1" fontId="21" fillId="77" borderId="0" xfId="1" applyNumberFormat="1" applyFont="1" applyFill="1" applyAlignment="1" applyProtection="1">
      <alignment horizontal="center" vertical="center" wrapText="1"/>
      <protection hidden="1"/>
    </xf>
    <xf numFmtId="1" fontId="13" fillId="78" borderId="2" xfId="1" applyNumberFormat="1" applyFont="1" applyFill="1" applyBorder="1" applyAlignment="1" applyProtection="1">
      <alignment horizontal="center" vertical="center" wrapText="1"/>
      <protection hidden="1"/>
    </xf>
    <xf numFmtId="1" fontId="13" fillId="78" borderId="0" xfId="1" applyNumberFormat="1" applyFont="1" applyFill="1" applyAlignment="1" applyProtection="1">
      <alignment horizontal="center" vertical="center" wrapText="1"/>
      <protection hidden="1"/>
    </xf>
    <xf numFmtId="0" fontId="13" fillId="8" borderId="56" xfId="6" applyFont="1" applyFill="1" applyBorder="1" applyAlignment="1">
      <alignment horizontal="center"/>
    </xf>
    <xf numFmtId="0" fontId="24" fillId="8" borderId="53" xfId="6" applyFont="1" applyFill="1" applyBorder="1" applyAlignment="1">
      <alignment horizontal="center" vertical="center" wrapText="1"/>
    </xf>
    <xf numFmtId="0" fontId="24" fillId="8" borderId="101" xfId="6" applyFont="1" applyFill="1" applyBorder="1" applyAlignment="1">
      <alignment horizontal="center" vertical="center" wrapText="1"/>
    </xf>
    <xf numFmtId="0" fontId="24" fillId="8" borderId="35" xfId="6" applyFont="1" applyFill="1" applyBorder="1" applyAlignment="1">
      <alignment horizontal="center" vertical="center" wrapText="1"/>
    </xf>
    <xf numFmtId="0" fontId="24" fillId="8" borderId="36" xfId="6" applyFont="1" applyFill="1" applyBorder="1" applyAlignment="1">
      <alignment horizontal="center" vertical="center" wrapText="1"/>
    </xf>
    <xf numFmtId="0" fontId="24" fillId="8" borderId="38" xfId="6" applyFont="1" applyFill="1" applyBorder="1" applyAlignment="1">
      <alignment horizontal="center" vertical="center" wrapText="1"/>
    </xf>
    <xf numFmtId="0" fontId="24" fillId="8" borderId="40" xfId="6" applyFont="1" applyFill="1" applyBorder="1" applyAlignment="1">
      <alignment horizontal="center" vertical="center" wrapText="1"/>
    </xf>
    <xf numFmtId="1" fontId="26" fillId="78" borderId="2" xfId="1" applyNumberFormat="1" applyFont="1" applyFill="1" applyBorder="1" applyAlignment="1" applyProtection="1">
      <alignment horizontal="center" vertical="center" wrapText="1"/>
      <protection hidden="1"/>
    </xf>
    <xf numFmtId="1" fontId="26" fillId="78" borderId="0" xfId="1" applyNumberFormat="1" applyFont="1" applyFill="1" applyAlignment="1" applyProtection="1">
      <alignment horizontal="center" vertical="center" wrapText="1"/>
      <protection hidden="1"/>
    </xf>
    <xf numFmtId="1" fontId="32" fillId="72" borderId="2" xfId="1" applyNumberFormat="1" applyFont="1" applyFill="1" applyBorder="1" applyAlignment="1" applyProtection="1">
      <alignment horizontal="center" vertical="center" wrapText="1"/>
      <protection hidden="1"/>
    </xf>
    <xf numFmtId="1" fontId="32" fillId="72" borderId="0" xfId="1" applyNumberFormat="1" applyFont="1" applyFill="1" applyAlignment="1" applyProtection="1">
      <alignment horizontal="center" vertical="center" wrapText="1"/>
      <protection hidden="1"/>
    </xf>
    <xf numFmtId="1" fontId="190" fillId="72" borderId="2" xfId="1" applyNumberFormat="1" applyFont="1" applyFill="1" applyBorder="1" applyAlignment="1" applyProtection="1">
      <alignment horizontal="center" vertical="center" wrapText="1"/>
      <protection hidden="1"/>
    </xf>
    <xf numFmtId="1" fontId="190" fillId="72" borderId="0" xfId="1" applyNumberFormat="1" applyFont="1" applyFill="1" applyAlignment="1" applyProtection="1">
      <alignment horizontal="center" vertical="center" wrapText="1"/>
      <protection hidden="1"/>
    </xf>
    <xf numFmtId="1" fontId="21" fillId="69" borderId="0" xfId="1" applyNumberFormat="1" applyFont="1" applyFill="1" applyAlignment="1" applyProtection="1">
      <alignment horizontal="center" vertical="center" wrapText="1"/>
      <protection hidden="1"/>
    </xf>
    <xf numFmtId="1" fontId="13" fillId="79" borderId="0" xfId="1" applyNumberFormat="1" applyFont="1" applyFill="1" applyAlignment="1" applyProtection="1">
      <alignment horizontal="center" vertical="center" wrapText="1"/>
      <protection hidden="1"/>
    </xf>
    <xf numFmtId="1" fontId="13" fillId="80" borderId="0" xfId="1" applyNumberFormat="1" applyFont="1" applyFill="1" applyAlignment="1" applyProtection="1">
      <alignment horizontal="center" vertical="center" wrapText="1"/>
      <protection hidden="1"/>
    </xf>
    <xf numFmtId="1" fontId="13" fillId="81" borderId="0" xfId="1" applyNumberFormat="1" applyFont="1" applyFill="1" applyAlignment="1" applyProtection="1">
      <alignment horizontal="center" vertical="center" wrapText="1"/>
      <protection hidden="1"/>
    </xf>
    <xf numFmtId="0" fontId="45" fillId="8" borderId="35" xfId="6" applyFont="1" applyFill="1" applyBorder="1" applyAlignment="1">
      <alignment horizontal="center" vertical="center"/>
    </xf>
    <xf numFmtId="0" fontId="45" fillId="8" borderId="36" xfId="6" applyFont="1" applyFill="1" applyBorder="1" applyAlignment="1">
      <alignment horizontal="center" vertical="center"/>
    </xf>
    <xf numFmtId="1" fontId="13" fillId="8" borderId="53" xfId="1" applyNumberFormat="1" applyFont="1" applyFill="1" applyBorder="1" applyAlignment="1" applyProtection="1">
      <alignment horizontal="center" vertical="center" wrapText="1"/>
      <protection hidden="1"/>
    </xf>
    <xf numFmtId="1" fontId="13" fillId="8" borderId="101" xfId="1" applyNumberFormat="1" applyFont="1" applyFill="1" applyBorder="1" applyAlignment="1" applyProtection="1">
      <alignment horizontal="center" vertical="center" wrapText="1"/>
      <protection hidden="1"/>
    </xf>
    <xf numFmtId="1" fontId="13" fillId="8" borderId="38" xfId="1" applyNumberFormat="1" applyFont="1" applyFill="1" applyBorder="1" applyAlignment="1" applyProtection="1">
      <alignment horizontal="center" vertical="center" wrapText="1"/>
      <protection hidden="1"/>
    </xf>
    <xf numFmtId="1" fontId="13" fillId="8" borderId="40" xfId="1" applyNumberFormat="1" applyFont="1" applyFill="1" applyBorder="1" applyAlignment="1" applyProtection="1">
      <alignment horizontal="center" vertical="center" wrapText="1"/>
      <protection hidden="1"/>
    </xf>
    <xf numFmtId="0" fontId="45" fillId="8" borderId="53" xfId="6" applyFont="1" applyFill="1" applyBorder="1" applyAlignment="1">
      <alignment horizontal="center" vertical="center"/>
    </xf>
    <xf numFmtId="0" fontId="45" fillId="8" borderId="101" xfId="6" applyFont="1" applyFill="1" applyBorder="1" applyAlignment="1">
      <alignment horizontal="center" vertical="center"/>
    </xf>
    <xf numFmtId="1" fontId="26" fillId="14" borderId="2" xfId="1" applyNumberFormat="1" applyFont="1" applyFill="1" applyBorder="1" applyAlignment="1" applyProtection="1">
      <alignment horizontal="center" vertical="center" wrapText="1"/>
      <protection hidden="1"/>
    </xf>
    <xf numFmtId="1" fontId="26" fillId="14" borderId="0" xfId="1" applyNumberFormat="1" applyFont="1" applyFill="1" applyAlignment="1" applyProtection="1">
      <alignment horizontal="center" vertical="center" wrapText="1"/>
      <protection hidden="1"/>
    </xf>
    <xf numFmtId="1" fontId="72" fillId="13" borderId="0" xfId="1" applyNumberFormat="1" applyFont="1" applyFill="1" applyAlignment="1" applyProtection="1">
      <alignment horizontal="center" vertical="center" wrapText="1"/>
      <protection hidden="1"/>
    </xf>
    <xf numFmtId="1" fontId="13" fillId="82" borderId="0" xfId="1" applyNumberFormat="1" applyFont="1" applyFill="1" applyAlignment="1" applyProtection="1">
      <alignment horizontal="center" vertical="center" wrapText="1"/>
      <protection hidden="1"/>
    </xf>
    <xf numFmtId="0" fontId="26" fillId="12" borderId="2" xfId="1" applyFont="1" applyFill="1" applyBorder="1" applyAlignment="1">
      <alignment horizontal="center" vertical="center" wrapText="1"/>
    </xf>
    <xf numFmtId="0" fontId="26" fillId="12" borderId="0" xfId="1" applyFont="1" applyFill="1" applyAlignment="1">
      <alignment horizontal="center" vertical="center" wrapText="1"/>
    </xf>
    <xf numFmtId="0" fontId="48" fillId="8" borderId="35" xfId="6" applyFont="1" applyFill="1" applyBorder="1" applyAlignment="1">
      <alignment horizontal="center" vertical="center"/>
    </xf>
    <xf numFmtId="0" fontId="48" fillId="8" borderId="36" xfId="6" applyFont="1" applyFill="1" applyBorder="1" applyAlignment="1">
      <alignment horizontal="center" vertical="center"/>
    </xf>
    <xf numFmtId="1" fontId="21" fillId="68" borderId="0" xfId="1" applyNumberFormat="1" applyFont="1" applyFill="1" applyAlignment="1" applyProtection="1">
      <alignment horizontal="center" vertical="center" wrapText="1"/>
      <protection hidden="1"/>
    </xf>
    <xf numFmtId="1" fontId="32" fillId="83" borderId="2" xfId="1" applyNumberFormat="1" applyFont="1" applyFill="1" applyBorder="1" applyAlignment="1" applyProtection="1">
      <alignment horizontal="center" vertical="center" wrapText="1"/>
      <protection hidden="1"/>
    </xf>
    <xf numFmtId="1" fontId="32" fillId="83" borderId="0" xfId="1" applyNumberFormat="1" applyFont="1" applyFill="1" applyAlignment="1" applyProtection="1">
      <alignment horizontal="center" vertical="center" wrapText="1"/>
      <protection hidden="1"/>
    </xf>
    <xf numFmtId="2" fontId="160" fillId="45" borderId="2" xfId="1" applyNumberFormat="1" applyFont="1" applyFill="1" applyBorder="1" applyAlignment="1" applyProtection="1">
      <alignment horizontal="center" vertical="center" wrapText="1"/>
      <protection locked="0"/>
    </xf>
    <xf numFmtId="2" fontId="160" fillId="45" borderId="0" xfId="1" applyNumberFormat="1" applyFont="1" applyFill="1" applyAlignment="1" applyProtection="1">
      <alignment horizontal="center" vertical="center" wrapText="1"/>
      <protection locked="0"/>
    </xf>
    <xf numFmtId="1" fontId="32" fillId="77" borderId="2" xfId="1" applyNumberFormat="1" applyFont="1" applyFill="1" applyBorder="1" applyAlignment="1" applyProtection="1">
      <alignment horizontal="center" vertical="center" wrapText="1"/>
      <protection hidden="1"/>
    </xf>
    <xf numFmtId="1" fontId="32" fillId="77" borderId="0" xfId="1" applyNumberFormat="1" applyFont="1" applyFill="1" applyAlignment="1" applyProtection="1">
      <alignment horizontal="center" vertical="center" wrapText="1"/>
      <protection hidden="1"/>
    </xf>
    <xf numFmtId="1" fontId="13" fillId="86" borderId="0" xfId="1" applyNumberFormat="1" applyFont="1" applyFill="1" applyAlignment="1" applyProtection="1">
      <alignment horizontal="center" vertical="center" wrapText="1"/>
      <protection hidden="1"/>
    </xf>
    <xf numFmtId="1" fontId="13" fillId="85" borderId="0" xfId="1" applyNumberFormat="1" applyFont="1" applyFill="1" applyAlignment="1" applyProtection="1">
      <alignment horizontal="center" vertical="center" wrapText="1"/>
      <protection hidden="1"/>
    </xf>
    <xf numFmtId="0" fontId="48" fillId="8" borderId="38" xfId="6" applyFont="1" applyFill="1" applyBorder="1" applyAlignment="1">
      <alignment horizontal="center" vertical="center"/>
    </xf>
    <xf numFmtId="0" fontId="48" fillId="8" borderId="40" xfId="6" applyFont="1" applyFill="1" applyBorder="1" applyAlignment="1">
      <alignment horizontal="center" vertical="center"/>
    </xf>
    <xf numFmtId="1" fontId="13" fillId="84" borderId="0" xfId="1" applyNumberFormat="1" applyFont="1" applyFill="1" applyAlignment="1" applyProtection="1">
      <alignment horizontal="center" vertical="center" wrapText="1"/>
      <protection hidden="1"/>
    </xf>
    <xf numFmtId="1" fontId="32" fillId="87" borderId="2" xfId="1" applyNumberFormat="1" applyFont="1" applyFill="1" applyBorder="1" applyAlignment="1" applyProtection="1">
      <alignment horizontal="center" vertical="center" wrapText="1"/>
      <protection hidden="1"/>
    </xf>
    <xf numFmtId="1" fontId="32" fillId="87" borderId="0" xfId="1" applyNumberFormat="1" applyFont="1" applyFill="1" applyAlignment="1" applyProtection="1">
      <alignment horizontal="center" vertical="center" wrapText="1"/>
      <protection hidden="1"/>
    </xf>
    <xf numFmtId="1" fontId="21" fillId="83" borderId="0" xfId="1" applyNumberFormat="1" applyFont="1" applyFill="1" applyAlignment="1" applyProtection="1">
      <alignment horizontal="center" vertical="center" wrapText="1"/>
      <protection hidden="1"/>
    </xf>
    <xf numFmtId="1" fontId="26" fillId="86" borderId="2" xfId="1" applyNumberFormat="1" applyFont="1" applyFill="1" applyBorder="1" applyAlignment="1" applyProtection="1">
      <alignment horizontal="center" vertical="center" wrapText="1"/>
      <protection hidden="1"/>
    </xf>
    <xf numFmtId="1" fontId="26" fillId="86" borderId="0" xfId="1" applyNumberFormat="1" applyFont="1" applyFill="1" applyAlignment="1" applyProtection="1">
      <alignment horizontal="center" vertical="center" wrapText="1"/>
      <protection hidden="1"/>
    </xf>
    <xf numFmtId="1" fontId="26" fillId="85" borderId="2" xfId="1" applyNumberFormat="1" applyFont="1" applyFill="1" applyBorder="1" applyAlignment="1" applyProtection="1">
      <alignment horizontal="center" vertical="center" wrapText="1"/>
      <protection hidden="1"/>
    </xf>
    <xf numFmtId="1" fontId="26" fillId="85" borderId="0" xfId="1" applyNumberFormat="1" applyFont="1" applyFill="1" applyAlignment="1" applyProtection="1">
      <alignment horizontal="center" vertical="center" wrapText="1"/>
      <protection hidden="1"/>
    </xf>
    <xf numFmtId="1" fontId="21" fillId="68" borderId="2" xfId="1" applyNumberFormat="1" applyFont="1" applyFill="1" applyBorder="1" applyAlignment="1" applyProtection="1">
      <alignment horizontal="center" vertical="center" wrapText="1"/>
      <protection hidden="1"/>
    </xf>
    <xf numFmtId="1" fontId="26" fillId="84" borderId="2" xfId="1" applyNumberFormat="1" applyFont="1" applyFill="1" applyBorder="1" applyAlignment="1" applyProtection="1">
      <alignment horizontal="center" vertical="center" wrapText="1"/>
      <protection hidden="1"/>
    </xf>
    <xf numFmtId="1" fontId="26" fillId="84" borderId="0" xfId="1" applyNumberFormat="1" applyFont="1" applyFill="1" applyAlignment="1" applyProtection="1">
      <alignment horizontal="center" vertical="center" wrapText="1"/>
      <protection hidden="1"/>
    </xf>
    <xf numFmtId="1" fontId="32" fillId="69" borderId="2" xfId="1" applyNumberFormat="1" applyFont="1" applyFill="1" applyBorder="1" applyAlignment="1" applyProtection="1">
      <alignment horizontal="center" vertical="center" wrapText="1"/>
      <protection hidden="1"/>
    </xf>
    <xf numFmtId="1" fontId="32" fillId="69" borderId="0" xfId="1" applyNumberFormat="1" applyFont="1" applyFill="1" applyAlignment="1" applyProtection="1">
      <alignment horizontal="center" vertical="center" wrapText="1"/>
      <protection hidden="1"/>
    </xf>
    <xf numFmtId="1" fontId="26" fillId="80" borderId="2" xfId="1" applyNumberFormat="1" applyFont="1" applyFill="1" applyBorder="1" applyAlignment="1" applyProtection="1">
      <alignment horizontal="center" vertical="center" wrapText="1"/>
      <protection hidden="1"/>
    </xf>
    <xf numFmtId="1" fontId="26" fillId="80" borderId="0" xfId="1" applyNumberFormat="1" applyFont="1" applyFill="1" applyAlignment="1" applyProtection="1">
      <alignment horizontal="center" vertical="center" wrapText="1"/>
      <protection hidden="1"/>
    </xf>
    <xf numFmtId="1" fontId="26" fillId="81" borderId="2" xfId="1" applyNumberFormat="1" applyFont="1" applyFill="1" applyBorder="1" applyAlignment="1" applyProtection="1">
      <alignment horizontal="center" vertical="center" wrapText="1"/>
      <protection hidden="1"/>
    </xf>
    <xf numFmtId="1" fontId="26" fillId="81" borderId="0" xfId="1" applyNumberFormat="1" applyFont="1" applyFill="1" applyAlignment="1" applyProtection="1">
      <alignment horizontal="center" vertical="center" wrapText="1"/>
      <protection hidden="1"/>
    </xf>
    <xf numFmtId="1" fontId="13" fillId="79" borderId="2" xfId="1" applyNumberFormat="1" applyFont="1" applyFill="1" applyBorder="1" applyAlignment="1" applyProtection="1">
      <alignment horizontal="center" vertical="center" wrapText="1"/>
      <protection hidden="1"/>
    </xf>
    <xf numFmtId="1" fontId="32" fillId="13" borderId="2" xfId="1" applyNumberFormat="1" applyFont="1" applyFill="1" applyBorder="1" applyAlignment="1" applyProtection="1">
      <alignment horizontal="center" vertical="center" wrapText="1"/>
      <protection hidden="1"/>
    </xf>
    <xf numFmtId="1" fontId="32" fillId="13" borderId="0" xfId="1" applyNumberFormat="1" applyFont="1" applyFill="1" applyAlignment="1" applyProtection="1">
      <alignment horizontal="center" vertical="center" wrapText="1"/>
      <protection hidden="1"/>
    </xf>
    <xf numFmtId="1" fontId="26" fillId="82" borderId="2" xfId="1" applyNumberFormat="1" applyFont="1" applyFill="1" applyBorder="1" applyAlignment="1" applyProtection="1">
      <alignment horizontal="center" vertical="center" wrapText="1"/>
      <protection hidden="1"/>
    </xf>
    <xf numFmtId="1" fontId="26" fillId="82" borderId="0" xfId="1" applyNumberFormat="1" applyFont="1" applyFill="1" applyAlignment="1" applyProtection="1">
      <alignment horizontal="center" vertical="center" wrapText="1"/>
      <protection hidden="1"/>
    </xf>
    <xf numFmtId="0" fontId="24" fillId="8" borderId="48" xfId="1" applyFont="1" applyFill="1" applyBorder="1" applyAlignment="1">
      <alignment horizontal="center" vertical="center" wrapText="1"/>
    </xf>
    <xf numFmtId="0" fontId="24" fillId="8" borderId="9" xfId="1" applyFont="1" applyFill="1" applyBorder="1" applyAlignment="1">
      <alignment horizontal="center" vertical="center" wrapText="1"/>
    </xf>
    <xf numFmtId="0" fontId="24" fillId="8" borderId="429" xfId="1" applyFont="1" applyFill="1" applyBorder="1" applyAlignment="1">
      <alignment horizontal="center" vertical="center" wrapText="1"/>
    </xf>
    <xf numFmtId="0" fontId="24" fillId="17" borderId="17" xfId="1" applyFont="1" applyFill="1" applyBorder="1" applyAlignment="1">
      <alignment horizontal="center" vertical="center" wrapText="1"/>
    </xf>
    <xf numFmtId="0" fontId="24" fillId="17" borderId="442" xfId="1" applyFont="1" applyFill="1" applyBorder="1" applyAlignment="1">
      <alignment horizontal="center" vertical="center" wrapText="1"/>
    </xf>
    <xf numFmtId="0" fontId="55" fillId="20" borderId="18" xfId="1" applyFont="1" applyFill="1" applyBorder="1" applyAlignment="1" applyProtection="1">
      <alignment horizontal="center" vertical="center" wrapText="1"/>
      <protection hidden="1"/>
    </xf>
    <xf numFmtId="0" fontId="152" fillId="8" borderId="440" xfId="1" applyFont="1" applyFill="1" applyBorder="1" applyAlignment="1" applyProtection="1">
      <alignment horizontal="center" vertical="center" wrapText="1"/>
      <protection hidden="1"/>
    </xf>
    <xf numFmtId="0" fontId="152" fillId="8" borderId="441" xfId="1" applyFont="1" applyFill="1" applyBorder="1" applyAlignment="1" applyProtection="1">
      <alignment horizontal="center" vertical="center" wrapText="1"/>
      <protection hidden="1"/>
    </xf>
    <xf numFmtId="0" fontId="48" fillId="7" borderId="10" xfId="0" applyFont="1" applyFill="1" applyBorder="1" applyAlignment="1">
      <alignment horizontal="center" vertical="center"/>
    </xf>
    <xf numFmtId="0" fontId="37" fillId="8" borderId="0" xfId="4" applyFont="1" applyFill="1" applyAlignment="1">
      <alignment horizontal="right" vertical="top" wrapText="1"/>
    </xf>
    <xf numFmtId="164" fontId="3" fillId="8" borderId="13" xfId="0" applyNumberFormat="1" applyFont="1" applyFill="1" applyBorder="1" applyAlignment="1">
      <alignment horizontal="left" vertical="center"/>
    </xf>
    <xf numFmtId="0" fontId="152" fillId="8" borderId="47" xfId="1" applyFont="1" applyFill="1" applyBorder="1" applyAlignment="1" applyProtection="1">
      <alignment horizontal="center" vertical="center" wrapText="1"/>
      <protection hidden="1"/>
    </xf>
    <xf numFmtId="0" fontId="152" fillId="8" borderId="19" xfId="1" applyFont="1" applyFill="1" applyBorder="1" applyAlignment="1" applyProtection="1">
      <alignment horizontal="center" vertical="center" wrapText="1"/>
      <protection hidden="1"/>
    </xf>
    <xf numFmtId="174" fontId="4" fillId="7" borderId="194" xfId="0" applyNumberFormat="1" applyFont="1" applyFill="1" applyBorder="1" applyAlignment="1">
      <alignment horizontal="center" vertical="center"/>
    </xf>
    <xf numFmtId="174" fontId="4" fillId="7" borderId="215" xfId="0" applyNumberFormat="1" applyFont="1" applyFill="1" applyBorder="1" applyAlignment="1">
      <alignment horizontal="center" vertical="center"/>
    </xf>
    <xf numFmtId="0" fontId="72" fillId="7" borderId="0" xfId="0" applyFont="1" applyFill="1" applyAlignment="1">
      <alignment horizontal="center" vertical="center"/>
    </xf>
    <xf numFmtId="0" fontId="72" fillId="7" borderId="9" xfId="0" applyFont="1" applyFill="1" applyBorder="1" applyAlignment="1">
      <alignment horizontal="center" vertical="center"/>
    </xf>
    <xf numFmtId="0" fontId="72" fillId="7" borderId="13" xfId="0" applyFont="1" applyFill="1" applyBorder="1" applyAlignment="1">
      <alignment horizontal="center" vertical="center"/>
    </xf>
    <xf numFmtId="0" fontId="72" fillId="7" borderId="21"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19" xfId="0" applyFont="1" applyFill="1" applyBorder="1" applyAlignment="1">
      <alignment horizontal="center" vertical="center"/>
    </xf>
    <xf numFmtId="0" fontId="72" fillId="7" borderId="193" xfId="0" applyFont="1" applyFill="1" applyBorder="1" applyAlignment="1">
      <alignment horizontal="center" vertical="center"/>
    </xf>
    <xf numFmtId="0" fontId="72" fillId="7" borderId="16" xfId="0" applyFont="1" applyFill="1" applyBorder="1" applyAlignment="1">
      <alignment horizontal="center" vertical="center"/>
    </xf>
    <xf numFmtId="0" fontId="13" fillId="25" borderId="211" xfId="5" applyFont="1" applyFill="1" applyBorder="1" applyAlignment="1">
      <alignment horizontal="right" vertical="center"/>
    </xf>
    <xf numFmtId="0" fontId="13" fillId="25" borderId="210" xfId="5" applyFont="1" applyFill="1" applyBorder="1" applyAlignment="1">
      <alignment horizontal="right" vertical="center"/>
    </xf>
    <xf numFmtId="0" fontId="13" fillId="118" borderId="211" xfId="5" applyFont="1" applyFill="1" applyBorder="1" applyAlignment="1">
      <alignment horizontal="right" vertical="center"/>
    </xf>
    <xf numFmtId="0" fontId="13" fillId="118" borderId="210" xfId="5" applyFont="1" applyFill="1" applyBorder="1" applyAlignment="1">
      <alignment horizontal="right" vertical="center"/>
    </xf>
    <xf numFmtId="0" fontId="13" fillId="119" borderId="211" xfId="5" applyFont="1" applyFill="1" applyBorder="1" applyAlignment="1">
      <alignment horizontal="right" vertical="center"/>
    </xf>
    <xf numFmtId="0" fontId="13" fillId="119" borderId="210" xfId="5" applyFont="1" applyFill="1" applyBorder="1" applyAlignment="1">
      <alignment horizontal="right" vertical="center"/>
    </xf>
    <xf numFmtId="1" fontId="111" fillId="20" borderId="0" xfId="5" applyNumberFormat="1" applyFont="1" applyFill="1" applyAlignment="1">
      <alignment horizontal="center" vertical="center"/>
    </xf>
    <xf numFmtId="1" fontId="111" fillId="20" borderId="16" xfId="5" applyNumberFormat="1" applyFont="1" applyFill="1" applyBorder="1" applyAlignment="1">
      <alignment horizontal="center" vertical="center"/>
    </xf>
    <xf numFmtId="0" fontId="101" fillId="8" borderId="0" xfId="1" applyFont="1" applyFill="1" applyAlignment="1">
      <alignment horizontal="center" vertical="top" wrapText="1"/>
    </xf>
    <xf numFmtId="0" fontId="101" fillId="8" borderId="9" xfId="1" applyFont="1" applyFill="1" applyBorder="1" applyAlignment="1">
      <alignment horizontal="center" vertical="top" wrapText="1"/>
    </xf>
    <xf numFmtId="0" fontId="13" fillId="59" borderId="207" xfId="5" applyFont="1" applyFill="1" applyBorder="1" applyAlignment="1">
      <alignment horizontal="right" vertical="center"/>
    </xf>
    <xf numFmtId="0" fontId="13" fillId="59" borderId="210" xfId="5" applyFont="1" applyFill="1" applyBorder="1" applyAlignment="1">
      <alignment horizontal="right" vertical="center"/>
    </xf>
    <xf numFmtId="0" fontId="20" fillId="8" borderId="0" xfId="5" applyFont="1" applyFill="1" applyAlignment="1">
      <alignment horizontal="center" vertical="top" wrapText="1"/>
    </xf>
    <xf numFmtId="0" fontId="20" fillId="8" borderId="9" xfId="5" applyFont="1" applyFill="1" applyBorder="1" applyAlignment="1">
      <alignment horizontal="center" vertical="top" wrapText="1"/>
    </xf>
    <xf numFmtId="0" fontId="20" fillId="8" borderId="82" xfId="5" applyFont="1" applyFill="1" applyBorder="1" applyAlignment="1">
      <alignment horizontal="center" vertical="top" wrapText="1"/>
    </xf>
    <xf numFmtId="0" fontId="20" fillId="8" borderId="124" xfId="5" applyFont="1" applyFill="1" applyBorder="1" applyAlignment="1">
      <alignment horizontal="center" vertical="top" wrapText="1"/>
    </xf>
    <xf numFmtId="0" fontId="24" fillId="17" borderId="13" xfId="1" applyFont="1" applyFill="1" applyBorder="1" applyAlignment="1">
      <alignment horizontal="center" vertical="center" wrapText="1"/>
    </xf>
    <xf numFmtId="0" fontId="20" fillId="43" borderId="0" xfId="1" applyFont="1" applyFill="1" applyAlignment="1">
      <alignment horizontal="center" vertical="center"/>
    </xf>
    <xf numFmtId="0" fontId="20" fillId="43" borderId="13" xfId="1" applyFont="1" applyFill="1" applyBorder="1" applyAlignment="1">
      <alignment horizontal="center" vertical="center"/>
    </xf>
    <xf numFmtId="0" fontId="57" fillId="8" borderId="47" xfId="1" applyFont="1" applyFill="1" applyBorder="1" applyAlignment="1">
      <alignment horizontal="center" vertical="center" wrapText="1"/>
    </xf>
    <xf numFmtId="0" fontId="57" fillId="8" borderId="19" xfId="1" applyFont="1" applyFill="1" applyBorder="1" applyAlignment="1">
      <alignment horizontal="center" vertical="center" wrapText="1"/>
    </xf>
    <xf numFmtId="0" fontId="57" fillId="8" borderId="26" xfId="1" applyFont="1" applyFill="1" applyBorder="1" applyAlignment="1">
      <alignment horizontal="center" vertical="center" wrapText="1"/>
    </xf>
    <xf numFmtId="0" fontId="57" fillId="8" borderId="14" xfId="1" applyFont="1" applyFill="1" applyBorder="1" applyAlignment="1">
      <alignment horizontal="center" vertical="center" wrapText="1"/>
    </xf>
    <xf numFmtId="0" fontId="96" fillId="54" borderId="0" xfId="19" applyFont="1" applyFill="1" applyAlignment="1">
      <alignment horizontal="center" vertical="top" wrapText="1"/>
    </xf>
    <xf numFmtId="0" fontId="96" fillId="54" borderId="9" xfId="19" applyFont="1" applyFill="1" applyBorder="1" applyAlignment="1">
      <alignment horizontal="center" vertical="top" wrapText="1"/>
    </xf>
    <xf numFmtId="0" fontId="48" fillId="136" borderId="0" xfId="1" applyFont="1" applyFill="1" applyAlignment="1">
      <alignment horizontal="left" vertical="center" wrapText="1"/>
    </xf>
    <xf numFmtId="0" fontId="13" fillId="25" borderId="194" xfId="16" applyFont="1" applyFill="1" applyBorder="1" applyAlignment="1" applyProtection="1">
      <alignment horizontal="center" vertical="center" wrapText="1"/>
      <protection locked="0"/>
    </xf>
    <xf numFmtId="0" fontId="13" fillId="25" borderId="223" xfId="16" applyFont="1" applyFill="1" applyBorder="1" applyAlignment="1" applyProtection="1">
      <alignment horizontal="center" vertical="center" wrapText="1"/>
      <protection locked="0"/>
    </xf>
    <xf numFmtId="0" fontId="13" fillId="25" borderId="16" xfId="16" applyFont="1" applyFill="1" applyBorder="1" applyAlignment="1" applyProtection="1">
      <alignment horizontal="center" vertical="center" wrapText="1"/>
      <protection locked="0"/>
    </xf>
    <xf numFmtId="0" fontId="13" fillId="25" borderId="229" xfId="16" applyFont="1" applyFill="1" applyBorder="1" applyAlignment="1" applyProtection="1">
      <alignment horizontal="center" vertical="center" wrapText="1"/>
      <protection locked="0"/>
    </xf>
    <xf numFmtId="0" fontId="72" fillId="48" borderId="194" xfId="0" applyFont="1" applyFill="1" applyBorder="1" applyAlignment="1">
      <alignment horizontal="center" vertical="center" wrapText="1"/>
    </xf>
    <xf numFmtId="0" fontId="72" fillId="48" borderId="196" xfId="0" applyFont="1" applyFill="1" applyBorder="1" applyAlignment="1">
      <alignment horizontal="center" vertical="center" wrapText="1"/>
    </xf>
    <xf numFmtId="0" fontId="72" fillId="48" borderId="82" xfId="0" applyFont="1" applyFill="1" applyBorder="1" applyAlignment="1">
      <alignment horizontal="center" vertical="center" wrapText="1"/>
    </xf>
    <xf numFmtId="0" fontId="72" fillId="48" borderId="124" xfId="0" applyFont="1" applyFill="1" applyBorder="1" applyAlignment="1">
      <alignment horizontal="center" vertical="center" wrapText="1"/>
    </xf>
    <xf numFmtId="0" fontId="72" fillId="48" borderId="16" xfId="0" applyFont="1" applyFill="1" applyBorder="1" applyAlignment="1">
      <alignment horizontal="center" vertical="center" wrapText="1"/>
    </xf>
    <xf numFmtId="0" fontId="72" fillId="48" borderId="81" xfId="0" applyFont="1" applyFill="1" applyBorder="1" applyAlignment="1">
      <alignment horizontal="center" vertical="center" wrapText="1"/>
    </xf>
    <xf numFmtId="0" fontId="24" fillId="8" borderId="21" xfId="1" applyFont="1" applyFill="1" applyBorder="1" applyAlignment="1">
      <alignment horizontal="center" vertical="center" wrapText="1"/>
    </xf>
    <xf numFmtId="0" fontId="24" fillId="17" borderId="48" xfId="1" applyFont="1" applyFill="1" applyBorder="1" applyAlignment="1" applyProtection="1">
      <alignment horizontal="center" vertical="center" wrapText="1"/>
      <protection locked="0"/>
    </xf>
    <xf numFmtId="0" fontId="24" fillId="17" borderId="26" xfId="1" applyFont="1" applyFill="1" applyBorder="1" applyAlignment="1">
      <alignment horizontal="center" vertical="center" wrapText="1"/>
    </xf>
    <xf numFmtId="0" fontId="56" fillId="7" borderId="47" xfId="1" applyFont="1" applyFill="1" applyBorder="1" applyAlignment="1">
      <alignment horizontal="center" vertical="center" wrapText="1"/>
    </xf>
    <xf numFmtId="0" fontId="56" fillId="7" borderId="19" xfId="1" applyFont="1" applyFill="1" applyBorder="1" applyAlignment="1">
      <alignment horizontal="center" vertical="center" wrapText="1"/>
    </xf>
    <xf numFmtId="0" fontId="24" fillId="25" borderId="48" xfId="1" applyFont="1" applyFill="1" applyBorder="1" applyAlignment="1">
      <alignment horizontal="center" vertical="center" wrapText="1"/>
    </xf>
    <xf numFmtId="0" fontId="24" fillId="8" borderId="50" xfId="1" applyFont="1" applyFill="1" applyBorder="1" applyAlignment="1">
      <alignment horizontal="center" vertical="center" wrapText="1"/>
    </xf>
    <xf numFmtId="0" fontId="24" fillId="2063" borderId="0" xfId="1" applyFont="1" applyFill="1" applyAlignment="1">
      <alignment horizontal="center" vertical="center"/>
    </xf>
    <xf numFmtId="0" fontId="130" fillId="0" borderId="0" xfId="0" applyFont="1" applyAlignment="1">
      <alignment horizontal="left" vertical="center" wrapText="1"/>
    </xf>
    <xf numFmtId="0" fontId="25" fillId="129" borderId="2" xfId="1" applyFont="1" applyFill="1" applyBorder="1" applyAlignment="1">
      <alignment horizontal="center" vertical="center" wrapText="1"/>
    </xf>
    <xf numFmtId="0" fontId="25" fillId="129" borderId="0" xfId="1" applyFont="1" applyFill="1" applyAlignment="1">
      <alignment horizontal="center" vertical="center" wrapText="1"/>
    </xf>
    <xf numFmtId="0" fontId="27" fillId="129" borderId="8" xfId="3" applyFont="1" applyFill="1" applyBorder="1" applyAlignment="1">
      <alignment horizontal="center" vertical="center" wrapText="1"/>
    </xf>
    <xf numFmtId="0" fontId="27" fillId="129" borderId="9" xfId="3" applyFont="1" applyFill="1" applyBorder="1" applyAlignment="1">
      <alignment horizontal="center" vertical="center" wrapText="1"/>
    </xf>
    <xf numFmtId="0" fontId="37" fillId="8" borderId="0" xfId="4" applyFont="1" applyFill="1" applyAlignment="1">
      <alignment horizontal="right" vertical="center" wrapText="1"/>
    </xf>
    <xf numFmtId="0" fontId="26" fillId="25" borderId="3" xfId="1" applyFont="1" applyFill="1" applyBorder="1" applyAlignment="1" applyProtection="1">
      <alignment horizontal="center" vertical="center"/>
      <protection hidden="1"/>
    </xf>
    <xf numFmtId="0" fontId="26" fillId="25" borderId="59" xfId="1" applyFont="1" applyFill="1" applyBorder="1" applyAlignment="1" applyProtection="1">
      <alignment horizontal="center" vertical="center"/>
      <protection hidden="1"/>
    </xf>
    <xf numFmtId="0" fontId="356" fillId="8" borderId="2" xfId="1" applyFont="1" applyFill="1" applyBorder="1" applyAlignment="1" applyProtection="1">
      <alignment horizontal="center" vertical="center"/>
      <protection hidden="1"/>
    </xf>
    <xf numFmtId="0" fontId="356" fillId="8" borderId="0" xfId="1" applyFont="1" applyFill="1" applyAlignment="1" applyProtection="1">
      <alignment horizontal="center" vertical="center"/>
      <protection hidden="1"/>
    </xf>
    <xf numFmtId="0" fontId="143" fillId="25" borderId="2" xfId="1" applyFont="1" applyFill="1" applyBorder="1" applyAlignment="1" applyProtection="1">
      <alignment horizontal="center" vertical="center"/>
      <protection hidden="1"/>
    </xf>
    <xf numFmtId="0" fontId="143" fillId="25" borderId="8" xfId="1" applyFont="1" applyFill="1" applyBorder="1" applyAlignment="1" applyProtection="1">
      <alignment horizontal="center" vertical="center"/>
      <protection hidden="1"/>
    </xf>
    <xf numFmtId="0" fontId="192" fillId="25" borderId="0" xfId="1" applyFont="1" applyFill="1" applyAlignment="1" applyProtection="1">
      <alignment horizontal="center" vertical="center"/>
      <protection hidden="1"/>
    </xf>
    <xf numFmtId="0" fontId="192" fillId="25" borderId="9" xfId="1" applyFont="1" applyFill="1" applyBorder="1" applyAlignment="1" applyProtection="1">
      <alignment horizontal="center" vertical="center"/>
      <protection hidden="1"/>
    </xf>
    <xf numFmtId="0" fontId="191" fillId="8" borderId="2" xfId="1" applyFont="1" applyFill="1" applyBorder="1" applyAlignment="1" applyProtection="1">
      <alignment horizontal="center" vertical="center" wrapText="1"/>
      <protection hidden="1"/>
    </xf>
    <xf numFmtId="0" fontId="191" fillId="8" borderId="0" xfId="1" applyFont="1" applyFill="1" applyAlignment="1" applyProtection="1">
      <alignment horizontal="center" vertical="center" wrapText="1"/>
      <protection hidden="1"/>
    </xf>
    <xf numFmtId="0" fontId="192" fillId="25" borderId="0" xfId="1" applyFont="1" applyFill="1" applyAlignment="1" applyProtection="1">
      <alignment horizontal="center" vertical="center" wrapText="1"/>
      <protection hidden="1"/>
    </xf>
    <xf numFmtId="0" fontId="192" fillId="25" borderId="9" xfId="1" applyFont="1" applyFill="1" applyBorder="1" applyAlignment="1" applyProtection="1">
      <alignment horizontal="center" vertical="center" wrapText="1"/>
      <protection hidden="1"/>
    </xf>
    <xf numFmtId="0" fontId="191" fillId="8" borderId="452" xfId="1" applyFont="1" applyFill="1" applyBorder="1" applyAlignment="1" applyProtection="1">
      <alignment horizontal="center" vertical="center" wrapText="1"/>
      <protection hidden="1"/>
    </xf>
    <xf numFmtId="0" fontId="191" fillId="8" borderId="380" xfId="1" applyFont="1" applyFill="1" applyBorder="1" applyAlignment="1" applyProtection="1">
      <alignment horizontal="center" vertical="center" wrapText="1"/>
      <protection hidden="1"/>
    </xf>
    <xf numFmtId="0" fontId="191" fillId="8" borderId="453" xfId="1" applyFont="1" applyFill="1" applyBorder="1" applyAlignment="1" applyProtection="1">
      <alignment horizontal="center" vertical="center" wrapText="1"/>
      <protection hidden="1"/>
    </xf>
    <xf numFmtId="0" fontId="191" fillId="8" borderId="454" xfId="1" applyFont="1" applyFill="1" applyBorder="1" applyAlignment="1" applyProtection="1">
      <alignment horizontal="center" vertical="center" wrapText="1"/>
      <protection hidden="1"/>
    </xf>
    <xf numFmtId="0" fontId="191" fillId="8" borderId="455" xfId="1" applyFont="1" applyFill="1" applyBorder="1" applyAlignment="1" applyProtection="1">
      <alignment horizontal="center" vertical="center" wrapText="1"/>
      <protection hidden="1"/>
    </xf>
    <xf numFmtId="0" fontId="191" fillId="8" borderId="456" xfId="1" applyFont="1" applyFill="1" applyBorder="1" applyAlignment="1" applyProtection="1">
      <alignment horizontal="center" vertical="center" wrapText="1"/>
      <protection hidden="1"/>
    </xf>
    <xf numFmtId="0" fontId="80" fillId="25" borderId="3" xfId="1" applyFont="1" applyFill="1" applyBorder="1" applyAlignment="1" applyProtection="1">
      <alignment horizontal="center" vertical="center"/>
      <protection hidden="1"/>
    </xf>
    <xf numFmtId="0" fontId="80" fillId="25" borderId="59" xfId="1" applyFont="1" applyFill="1" applyBorder="1" applyAlignment="1" applyProtection="1">
      <alignment horizontal="center" vertical="center"/>
      <protection hidden="1"/>
    </xf>
    <xf numFmtId="0" fontId="37" fillId="8" borderId="0" xfId="4" applyFont="1" applyFill="1" applyAlignment="1">
      <alignment horizontal="left" vertical="top" wrapText="1"/>
    </xf>
    <xf numFmtId="0" fontId="24" fillId="8" borderId="0" xfId="9" applyFont="1" applyFill="1" applyAlignment="1">
      <alignment horizontal="left" vertical="center" wrapText="1"/>
    </xf>
    <xf numFmtId="0" fontId="24" fillId="8" borderId="9" xfId="9" applyFont="1" applyFill="1" applyBorder="1" applyAlignment="1">
      <alignment horizontal="left" vertical="center" wrapText="1"/>
    </xf>
    <xf numFmtId="0" fontId="55" fillId="20" borderId="416" xfId="1" applyFont="1" applyFill="1" applyBorder="1" applyAlignment="1" applyProtection="1">
      <alignment horizontal="center" vertical="center" wrapText="1"/>
      <protection hidden="1"/>
    </xf>
    <xf numFmtId="0" fontId="24" fillId="8" borderId="440" xfId="1" applyFont="1" applyFill="1" applyBorder="1" applyAlignment="1">
      <alignment horizontal="center" vertical="center" wrapText="1"/>
    </xf>
    <xf numFmtId="0" fontId="24" fillId="8" borderId="441" xfId="1" applyFont="1" applyFill="1" applyBorder="1" applyAlignment="1">
      <alignment horizontal="center" vertical="center" wrapText="1"/>
    </xf>
    <xf numFmtId="0" fontId="56" fillId="25" borderId="48" xfId="1" applyFont="1" applyFill="1" applyBorder="1" applyAlignment="1">
      <alignment horizontal="center" vertical="center" wrapText="1"/>
    </xf>
    <xf numFmtId="0" fontId="56" fillId="25" borderId="13" xfId="1" applyFont="1" applyFill="1" applyBorder="1" applyAlignment="1">
      <alignment horizontal="center" vertical="center" wrapText="1"/>
    </xf>
    <xf numFmtId="0" fontId="369" fillId="23" borderId="460" xfId="3" applyFont="1" applyFill="1" applyBorder="1" applyAlignment="1">
      <alignment horizontal="center" vertical="center"/>
    </xf>
    <xf numFmtId="0" fontId="369" fillId="23" borderId="462" xfId="3" applyFont="1" applyFill="1" applyBorder="1" applyAlignment="1">
      <alignment horizontal="center" vertical="center"/>
    </xf>
    <xf numFmtId="0" fontId="369" fillId="23" borderId="6" xfId="3" applyFont="1" applyFill="1" applyBorder="1" applyAlignment="1">
      <alignment horizontal="right" vertical="center" wrapText="1"/>
    </xf>
    <xf numFmtId="0" fontId="369" fillId="23" borderId="0" xfId="3" applyFont="1" applyFill="1" applyAlignment="1">
      <alignment horizontal="right" vertical="center" wrapText="1"/>
    </xf>
    <xf numFmtId="0" fontId="369" fillId="23" borderId="9" xfId="3" applyFont="1" applyFill="1" applyBorder="1" applyAlignment="1">
      <alignment horizontal="right" vertical="center" wrapText="1"/>
    </xf>
    <xf numFmtId="0" fontId="369" fillId="23" borderId="58" xfId="3" applyFont="1" applyFill="1" applyBorder="1" applyAlignment="1">
      <alignment horizontal="right" vertical="center" wrapText="1"/>
    </xf>
    <xf numFmtId="0" fontId="369" fillId="23" borderId="3" xfId="3" applyFont="1" applyFill="1" applyBorder="1" applyAlignment="1">
      <alignment horizontal="right" vertical="center" wrapText="1"/>
    </xf>
    <xf numFmtId="0" fontId="369" fillId="23" borderId="59" xfId="3" applyFont="1" applyFill="1" applyBorder="1" applyAlignment="1">
      <alignment horizontal="right" vertical="center" wrapText="1"/>
    </xf>
    <xf numFmtId="0" fontId="21" fillId="68" borderId="452" xfId="0" applyFont="1" applyFill="1" applyBorder="1" applyAlignment="1">
      <alignment horizontal="center" vertical="center"/>
    </xf>
    <xf numFmtId="0" fontId="21" fillId="68" borderId="380" xfId="0" applyFont="1" applyFill="1" applyBorder="1" applyAlignment="1">
      <alignment horizontal="center" vertical="center"/>
    </xf>
    <xf numFmtId="0" fontId="21" fillId="42" borderId="380" xfId="0" applyFont="1" applyFill="1" applyBorder="1" applyAlignment="1">
      <alignment horizontal="center" vertical="center"/>
    </xf>
    <xf numFmtId="0" fontId="146" fillId="15" borderId="0" xfId="26" applyFont="1" applyFill="1" applyAlignment="1">
      <alignment horizontal="center" vertical="top" wrapText="1"/>
    </xf>
    <xf numFmtId="195" fontId="26" fillId="116" borderId="0" xfId="26" applyNumberFormat="1" applyFont="1" applyFill="1" applyAlignment="1">
      <alignment horizontal="center" vertical="center"/>
    </xf>
    <xf numFmtId="195" fontId="26" fillId="7" borderId="0" xfId="26" applyNumberFormat="1" applyFont="1" applyFill="1" applyAlignment="1">
      <alignment horizontal="center" vertical="center"/>
    </xf>
    <xf numFmtId="0" fontId="163" fillId="130" borderId="0" xfId="12" applyFont="1" applyFill="1" applyAlignment="1">
      <alignment horizontal="center" vertical="center"/>
    </xf>
    <xf numFmtId="0" fontId="26" fillId="15" borderId="0" xfId="26" applyFont="1" applyFill="1" applyAlignment="1">
      <alignment horizontal="center" vertical="center" wrapText="1"/>
    </xf>
    <xf numFmtId="0" fontId="69" fillId="15" borderId="0" xfId="26" applyFont="1" applyFill="1" applyAlignment="1">
      <alignment horizontal="center" vertical="center" wrapText="1"/>
    </xf>
    <xf numFmtId="0" fontId="146" fillId="15" borderId="0" xfId="26" applyFont="1" applyFill="1" applyAlignment="1">
      <alignment horizontal="center" vertical="center" wrapText="1"/>
    </xf>
    <xf numFmtId="0" fontId="1" fillId="8" borderId="0" xfId="3" applyFill="1" applyAlignment="1">
      <alignment horizontal="left" vertical="center" wrapText="1"/>
    </xf>
    <xf numFmtId="0" fontId="186" fillId="15" borderId="0" xfId="4" applyFont="1" applyFill="1" applyAlignment="1">
      <alignment horizontal="center" vertical="center" wrapText="1"/>
    </xf>
    <xf numFmtId="0" fontId="1" fillId="12" borderId="7" xfId="3" applyFill="1" applyBorder="1" applyAlignment="1">
      <alignment horizontal="center" vertical="center" wrapText="1"/>
    </xf>
    <xf numFmtId="0" fontId="1" fillId="12" borderId="2" xfId="3" applyFill="1" applyBorder="1" applyAlignment="1">
      <alignment horizontal="center" vertical="center" wrapText="1"/>
    </xf>
    <xf numFmtId="0" fontId="1" fillId="12" borderId="8" xfId="3" applyFill="1" applyBorder="1" applyAlignment="1">
      <alignment horizontal="center" vertical="center" wrapText="1"/>
    </xf>
    <xf numFmtId="0" fontId="1" fillId="12" borderId="64" xfId="3" applyFill="1" applyBorder="1" applyAlignment="1">
      <alignment horizontal="center" vertical="center" wrapText="1"/>
    </xf>
    <xf numFmtId="0" fontId="1" fillId="12" borderId="13" xfId="3" applyFill="1" applyBorder="1" applyAlignment="1">
      <alignment horizontal="center" vertical="center" wrapText="1"/>
    </xf>
    <xf numFmtId="0" fontId="1" fillId="12" borderId="21" xfId="3" applyFill="1" applyBorder="1" applyAlignment="1">
      <alignment horizontal="center" vertical="center" wrapText="1"/>
    </xf>
    <xf numFmtId="0" fontId="135" fillId="8" borderId="0" xfId="0" applyFont="1" applyFill="1" applyAlignment="1">
      <alignment horizontal="left" vertical="center" wrapText="1"/>
    </xf>
    <xf numFmtId="0" fontId="184" fillId="15" borderId="0" xfId="4" applyFont="1" applyFill="1" applyAlignment="1">
      <alignment horizontal="center" vertical="center" wrapText="1"/>
    </xf>
    <xf numFmtId="0" fontId="1" fillId="0" borderId="0" xfId="3" applyAlignment="1">
      <alignment horizontal="center" vertical="center" wrapText="1"/>
    </xf>
    <xf numFmtId="0" fontId="44" fillId="15" borderId="0" xfId="4" applyFont="1" applyFill="1" applyAlignment="1">
      <alignment horizontal="center" vertical="center" wrapText="1"/>
    </xf>
    <xf numFmtId="0" fontId="146" fillId="15" borderId="0" xfId="26" applyFont="1" applyFill="1" applyAlignment="1">
      <alignment horizontal="left" vertical="center" wrapText="1"/>
    </xf>
    <xf numFmtId="0" fontId="78" fillId="15" borderId="0" xfId="13" applyFont="1" applyFill="1" applyAlignment="1">
      <alignment horizontal="center" vertical="center" wrapText="1"/>
    </xf>
    <xf numFmtId="179" fontId="175" fillId="8" borderId="152" xfId="14" applyNumberFormat="1" applyFont="1" applyFill="1" applyBorder="1" applyAlignment="1">
      <alignment horizontal="center" vertical="center" wrapText="1"/>
    </xf>
    <xf numFmtId="179" fontId="175" fillId="8" borderId="156" xfId="14" applyNumberFormat="1" applyFont="1" applyFill="1" applyBorder="1" applyAlignment="1">
      <alignment horizontal="center" vertical="center" wrapText="1"/>
    </xf>
    <xf numFmtId="0" fontId="48" fillId="8" borderId="153" xfId="1" applyFont="1" applyFill="1" applyBorder="1" applyAlignment="1">
      <alignment horizontal="center" vertical="center"/>
    </xf>
    <xf numFmtId="0" fontId="48" fillId="8" borderId="1" xfId="1" applyFont="1" applyFill="1" applyBorder="1" applyAlignment="1">
      <alignment horizontal="center" vertical="center"/>
    </xf>
    <xf numFmtId="0" fontId="48" fillId="8" borderId="157" xfId="1" applyFont="1" applyFill="1" applyBorder="1" applyAlignment="1">
      <alignment horizontal="center" vertical="center"/>
    </xf>
    <xf numFmtId="0" fontId="48" fillId="8" borderId="133" xfId="1" applyFont="1" applyFill="1" applyBorder="1" applyAlignment="1">
      <alignment horizontal="center" vertical="center"/>
    </xf>
    <xf numFmtId="0" fontId="71" fillId="7" borderId="150" xfId="4" applyFont="1" applyFill="1" applyBorder="1" applyAlignment="1">
      <alignment horizontal="center" vertical="center"/>
    </xf>
    <xf numFmtId="0" fontId="71" fillId="7" borderId="1" xfId="4" applyFont="1" applyFill="1" applyBorder="1" applyAlignment="1">
      <alignment horizontal="center" vertical="center"/>
    </xf>
    <xf numFmtId="0" fontId="71" fillId="7" borderId="151" xfId="4" applyFont="1" applyFill="1" applyBorder="1" applyAlignment="1">
      <alignment horizontal="center" vertical="center"/>
    </xf>
    <xf numFmtId="0" fontId="71" fillId="7" borderId="168" xfId="4" applyFont="1" applyFill="1" applyBorder="1" applyAlignment="1">
      <alignment horizontal="center" vertical="center"/>
    </xf>
    <xf numFmtId="0" fontId="71" fillId="7" borderId="183" xfId="4" applyFont="1" applyFill="1" applyBorder="1" applyAlignment="1">
      <alignment horizontal="center" vertical="center"/>
    </xf>
    <xf numFmtId="0" fontId="71" fillId="7" borderId="169" xfId="4" applyFont="1" applyFill="1" applyBorder="1" applyAlignment="1">
      <alignment horizontal="center" vertical="center"/>
    </xf>
    <xf numFmtId="0" fontId="95" fillId="7" borderId="150" xfId="1" applyFont="1" applyFill="1" applyBorder="1" applyAlignment="1">
      <alignment horizontal="center" vertical="center" wrapText="1"/>
    </xf>
    <xf numFmtId="0" fontId="95" fillId="7" borderId="1" xfId="1" applyFont="1" applyFill="1" applyBorder="1" applyAlignment="1">
      <alignment horizontal="center" vertical="center" wrapText="1"/>
    </xf>
    <xf numFmtId="0" fontId="95" fillId="7" borderId="166" xfId="1" applyFont="1" applyFill="1" applyBorder="1" applyAlignment="1">
      <alignment horizontal="center" vertical="center" wrapText="1"/>
    </xf>
    <xf numFmtId="0" fontId="95" fillId="7" borderId="154" xfId="1" applyFont="1" applyFill="1" applyBorder="1" applyAlignment="1">
      <alignment horizontal="center" vertical="center" wrapText="1"/>
    </xf>
    <xf numFmtId="0" fontId="95" fillId="7" borderId="133" xfId="1" applyFont="1" applyFill="1" applyBorder="1" applyAlignment="1">
      <alignment horizontal="center" vertical="center" wrapText="1"/>
    </xf>
    <xf numFmtId="0" fontId="95" fillId="7" borderId="170" xfId="1" applyFont="1" applyFill="1" applyBorder="1" applyAlignment="1">
      <alignment horizontal="center" vertical="center" wrapText="1"/>
    </xf>
    <xf numFmtId="0" fontId="20" fillId="7" borderId="167" xfId="9" applyFont="1" applyFill="1" applyBorder="1" applyAlignment="1">
      <alignment horizontal="center" vertical="center"/>
    </xf>
    <xf numFmtId="0" fontId="20" fillId="7" borderId="1" xfId="9" applyFont="1" applyFill="1" applyBorder="1" applyAlignment="1">
      <alignment horizontal="center" vertical="center"/>
    </xf>
    <xf numFmtId="0" fontId="20" fillId="7" borderId="171" xfId="9" applyFont="1" applyFill="1" applyBorder="1" applyAlignment="1">
      <alignment horizontal="center" vertical="center"/>
    </xf>
    <xf numFmtId="0" fontId="20" fillId="7" borderId="133" xfId="9" applyFont="1" applyFill="1" applyBorder="1" applyAlignment="1">
      <alignment horizontal="center" vertical="center"/>
    </xf>
    <xf numFmtId="0" fontId="3" fillId="43" borderId="1" xfId="9" applyFont="1" applyFill="1" applyBorder="1" applyAlignment="1">
      <alignment horizontal="center" vertical="center" wrapText="1"/>
    </xf>
    <xf numFmtId="0" fontId="20" fillId="55" borderId="1" xfId="1" applyFont="1" applyFill="1" applyBorder="1" applyAlignment="1">
      <alignment horizontal="center" vertical="center"/>
    </xf>
    <xf numFmtId="0" fontId="20" fillId="55" borderId="133" xfId="1" applyFont="1" applyFill="1" applyBorder="1" applyAlignment="1">
      <alignment horizontal="center" vertical="center"/>
    </xf>
    <xf numFmtId="0" fontId="20" fillId="55" borderId="1" xfId="1" applyFont="1" applyFill="1" applyBorder="1" applyAlignment="1">
      <alignment horizontal="center" vertical="center" wrapText="1"/>
    </xf>
    <xf numFmtId="0" fontId="20" fillId="55" borderId="133" xfId="1" applyFont="1" applyFill="1" applyBorder="1" applyAlignment="1">
      <alignment horizontal="center" vertical="center" wrapText="1"/>
    </xf>
    <xf numFmtId="0" fontId="26" fillId="15" borderId="0" xfId="26" applyFont="1" applyFill="1" applyAlignment="1">
      <alignment horizontal="left" vertical="center" wrapText="1"/>
    </xf>
    <xf numFmtId="0" fontId="148" fillId="15" borderId="0" xfId="26" applyFont="1" applyFill="1" applyAlignment="1">
      <alignment horizontal="left" vertical="center" wrapText="1"/>
    </xf>
    <xf numFmtId="0" fontId="71" fillId="8" borderId="73" xfId="0" applyFont="1" applyFill="1" applyBorder="1" applyAlignment="1">
      <alignment horizontal="center" vertical="center"/>
    </xf>
    <xf numFmtId="0" fontId="71" fillId="8" borderId="159" xfId="0" applyFont="1" applyFill="1" applyBorder="1" applyAlignment="1">
      <alignment horizontal="center" vertical="center"/>
    </xf>
    <xf numFmtId="0" fontId="20" fillId="8" borderId="1" xfId="1" applyFont="1" applyFill="1" applyBorder="1" applyAlignment="1">
      <alignment horizontal="center" vertical="center" wrapText="1"/>
    </xf>
    <xf numFmtId="0" fontId="20" fillId="8" borderId="133" xfId="1" applyFont="1" applyFill="1" applyBorder="1" applyAlignment="1">
      <alignment horizontal="center" vertical="center" wrapText="1"/>
    </xf>
    <xf numFmtId="0" fontId="24" fillId="8" borderId="133" xfId="1" applyFont="1" applyFill="1" applyBorder="1" applyAlignment="1">
      <alignment horizontal="center" vertical="center" wrapText="1"/>
    </xf>
    <xf numFmtId="0" fontId="176" fillId="8" borderId="71" xfId="0" applyFont="1" applyFill="1" applyBorder="1" applyAlignment="1">
      <alignment horizontal="center" vertical="center"/>
    </xf>
    <xf numFmtId="0" fontId="176" fillId="8" borderId="158" xfId="0" applyFont="1" applyFill="1" applyBorder="1" applyAlignment="1">
      <alignment horizontal="center" vertical="center"/>
    </xf>
    <xf numFmtId="0" fontId="71" fillId="8" borderId="1" xfId="0" applyFont="1" applyFill="1" applyBorder="1" applyAlignment="1">
      <alignment horizontal="center" vertical="center"/>
    </xf>
    <xf numFmtId="0" fontId="71" fillId="8" borderId="133" xfId="0" applyFont="1" applyFill="1" applyBorder="1" applyAlignment="1">
      <alignment horizontal="center" vertical="center"/>
    </xf>
    <xf numFmtId="0" fontId="24" fillId="55" borderId="133" xfId="1" applyFont="1" applyFill="1" applyBorder="1" applyAlignment="1">
      <alignment horizontal="center" vertical="center" wrapText="1"/>
    </xf>
    <xf numFmtId="0" fontId="71" fillId="7" borderId="161" xfId="4" applyFont="1" applyFill="1" applyBorder="1" applyAlignment="1">
      <alignment horizontal="center" vertical="center"/>
    </xf>
    <xf numFmtId="0" fontId="68" fillId="43" borderId="1" xfId="9" applyFont="1" applyFill="1" applyBorder="1" applyAlignment="1">
      <alignment horizontal="center" vertical="center" wrapText="1"/>
    </xf>
    <xf numFmtId="0" fontId="68" fillId="43" borderId="133" xfId="9" applyFont="1" applyFill="1" applyBorder="1" applyAlignment="1">
      <alignment horizontal="center" vertical="center" wrapText="1"/>
    </xf>
    <xf numFmtId="0" fontId="71" fillId="7" borderId="154" xfId="4" applyFont="1" applyFill="1" applyBorder="1" applyAlignment="1">
      <alignment horizontal="center" vertical="center"/>
    </xf>
    <xf numFmtId="0" fontId="5" fillId="3" borderId="6" xfId="3" applyFont="1" applyFill="1" applyBorder="1" applyAlignment="1">
      <alignment horizontal="center" vertical="center"/>
    </xf>
    <xf numFmtId="0" fontId="5" fillId="3" borderId="0" xfId="3" applyFont="1" applyFill="1" applyAlignment="1">
      <alignment horizontal="center" vertical="center"/>
    </xf>
    <xf numFmtId="0" fontId="5" fillId="3" borderId="9" xfId="3" applyFont="1" applyFill="1" applyBorder="1" applyAlignment="1">
      <alignment horizontal="center" vertical="center"/>
    </xf>
    <xf numFmtId="0" fontId="13" fillId="7" borderId="0" xfId="1" applyFont="1" applyFill="1" applyAlignment="1" applyProtection="1">
      <alignment horizontal="center" vertical="center"/>
      <protection hidden="1"/>
    </xf>
    <xf numFmtId="0" fontId="13" fillId="7" borderId="9" xfId="1" applyFont="1" applyFill="1" applyBorder="1" applyAlignment="1" applyProtection="1">
      <alignment horizontal="center" vertical="center"/>
      <protection hidden="1"/>
    </xf>
    <xf numFmtId="0" fontId="333" fillId="8" borderId="0" xfId="1" applyFont="1" applyFill="1" applyAlignment="1">
      <alignment horizontal="center" vertical="center"/>
    </xf>
    <xf numFmtId="0" fontId="333" fillId="8" borderId="3" xfId="1" applyFont="1" applyFill="1" applyBorder="1" applyAlignment="1">
      <alignment horizontal="center" vertical="center"/>
    </xf>
    <xf numFmtId="0" fontId="19" fillId="14" borderId="2" xfId="1" applyFont="1" applyFill="1" applyBorder="1" applyAlignment="1">
      <alignment horizontal="right" vertical="center" wrapText="1"/>
    </xf>
    <xf numFmtId="0" fontId="19" fillId="14" borderId="0" xfId="1" applyFont="1" applyFill="1" applyAlignment="1">
      <alignment horizontal="right" vertical="center" wrapText="1"/>
    </xf>
    <xf numFmtId="0" fontId="169" fillId="14" borderId="2" xfId="1" applyFont="1" applyFill="1" applyBorder="1" applyAlignment="1">
      <alignment horizontal="center" vertical="center" wrapText="1"/>
    </xf>
    <xf numFmtId="0" fontId="169" fillId="14" borderId="0" xfId="1" applyFont="1" applyFill="1" applyAlignment="1">
      <alignment horizontal="center" vertical="center" wrapText="1"/>
    </xf>
    <xf numFmtId="0" fontId="169" fillId="14" borderId="36" xfId="4" applyFont="1" applyFill="1" applyBorder="1" applyAlignment="1">
      <alignment horizontal="center" vertical="center"/>
    </xf>
    <xf numFmtId="0" fontId="170" fillId="92" borderId="141" xfId="1" applyFont="1" applyFill="1" applyBorder="1" applyAlignment="1">
      <alignment horizontal="center" vertical="center"/>
    </xf>
    <xf numFmtId="0" fontId="170" fillId="92" borderId="142" xfId="1" applyFont="1" applyFill="1" applyBorder="1" applyAlignment="1">
      <alignment horizontal="center" vertical="center"/>
    </xf>
    <xf numFmtId="0" fontId="28" fillId="16" borderId="64" xfId="1" applyFont="1" applyFill="1" applyBorder="1" applyAlignment="1">
      <alignment horizontal="center" vertical="center" wrapText="1"/>
    </xf>
    <xf numFmtId="0" fontId="28" fillId="16" borderId="13" xfId="1" applyFont="1" applyFill="1" applyBorder="1" applyAlignment="1">
      <alignment horizontal="center" vertical="center" wrapText="1"/>
    </xf>
    <xf numFmtId="0" fontId="28" fillId="16" borderId="21" xfId="1" applyFont="1" applyFill="1" applyBorder="1" applyAlignment="1">
      <alignment horizontal="center" vertical="center" wrapText="1"/>
    </xf>
    <xf numFmtId="0" fontId="74" fillId="12" borderId="0" xfId="5" applyFont="1" applyFill="1" applyAlignment="1">
      <alignment horizontal="right" vertical="center"/>
    </xf>
    <xf numFmtId="0" fontId="172" fillId="21" borderId="0" xfId="1" applyFont="1" applyFill="1" applyAlignment="1" applyProtection="1">
      <alignment horizontal="center" vertical="center"/>
      <protection hidden="1"/>
    </xf>
    <xf numFmtId="0" fontId="173" fillId="25" borderId="0" xfId="4" applyFont="1" applyFill="1" applyAlignment="1">
      <alignment horizontal="left" vertical="center"/>
    </xf>
    <xf numFmtId="0" fontId="21" fillId="3" borderId="7" xfId="1" applyFont="1" applyFill="1" applyBorder="1" applyAlignment="1">
      <alignment horizontal="center" vertical="center"/>
    </xf>
    <xf numFmtId="0" fontId="21" fillId="3" borderId="2" xfId="1" applyFont="1" applyFill="1" applyBorder="1" applyAlignment="1">
      <alignment horizontal="center" vertical="center"/>
    </xf>
    <xf numFmtId="0" fontId="21" fillId="3" borderId="8" xfId="1" applyFont="1" applyFill="1" applyBorder="1" applyAlignment="1">
      <alignment horizontal="center" vertical="center"/>
    </xf>
    <xf numFmtId="0" fontId="21" fillId="3" borderId="6" xfId="3" applyFont="1" applyFill="1" applyBorder="1" applyAlignment="1">
      <alignment horizontal="center" vertical="center"/>
    </xf>
    <xf numFmtId="0" fontId="21" fillId="3" borderId="0" xfId="3" applyFont="1" applyFill="1" applyAlignment="1">
      <alignment horizontal="center" vertical="center"/>
    </xf>
    <xf numFmtId="0" fontId="21" fillId="3" borderId="9" xfId="3" applyFont="1" applyFill="1" applyBorder="1" applyAlignment="1">
      <alignment horizontal="center" vertical="center"/>
    </xf>
    <xf numFmtId="0" fontId="26" fillId="15" borderId="0" xfId="3" applyFont="1" applyFill="1" applyAlignment="1">
      <alignment horizontal="center" vertical="center" wrapText="1"/>
    </xf>
    <xf numFmtId="0" fontId="26" fillId="92" borderId="0" xfId="4" applyFont="1" applyFill="1" applyAlignment="1">
      <alignment horizontal="right" vertical="center" wrapText="1"/>
    </xf>
    <xf numFmtId="0" fontId="80" fillId="92" borderId="0" xfId="1" applyFont="1" applyFill="1" applyAlignment="1">
      <alignment horizontal="center" vertical="center" wrapText="1"/>
    </xf>
    <xf numFmtId="0" fontId="44" fillId="92" borderId="0" xfId="1" applyFont="1" applyFill="1" applyAlignment="1">
      <alignment horizontal="center" vertical="center" wrapText="1"/>
    </xf>
    <xf numFmtId="0" fontId="57" fillId="92" borderId="0" xfId="1" quotePrefix="1" applyFont="1" applyFill="1" applyAlignment="1">
      <alignment horizontal="center" vertical="top" wrapText="1"/>
    </xf>
    <xf numFmtId="0" fontId="57" fillId="92" borderId="36" xfId="1" applyFont="1" applyFill="1" applyBorder="1" applyAlignment="1">
      <alignment horizontal="right" vertical="center"/>
    </xf>
    <xf numFmtId="0" fontId="27" fillId="134" borderId="8" xfId="3" applyFont="1" applyFill="1" applyBorder="1" applyAlignment="1">
      <alignment horizontal="center" vertical="center" wrapText="1"/>
    </xf>
    <xf numFmtId="0" fontId="27" fillId="134" borderId="9" xfId="3" applyFont="1" applyFill="1" applyBorder="1" applyAlignment="1">
      <alignment horizontal="center" vertical="center" wrapText="1"/>
    </xf>
    <xf numFmtId="0" fontId="364" fillId="4" borderId="8" xfId="3" applyFont="1" applyFill="1" applyBorder="1" applyAlignment="1">
      <alignment horizontal="center" vertical="center" wrapText="1"/>
    </xf>
    <xf numFmtId="0" fontId="364" fillId="4" borderId="9" xfId="3" applyFont="1" applyFill="1" applyBorder="1" applyAlignment="1">
      <alignment horizontal="center" vertical="center" wrapText="1"/>
    </xf>
    <xf numFmtId="0" fontId="51" fillId="7" borderId="6" xfId="0" applyFont="1" applyFill="1" applyBorder="1" applyAlignment="1">
      <alignment horizontal="center" vertical="center" wrapText="1"/>
    </xf>
    <xf numFmtId="2" fontId="24" fillId="8" borderId="52" xfId="23" applyNumberFormat="1" applyFont="1" applyFill="1" applyBorder="1" applyAlignment="1">
      <alignment horizontal="center" vertical="center" wrapText="1"/>
    </xf>
    <xf numFmtId="2" fontId="24" fillId="8" borderId="0" xfId="23" applyNumberFormat="1" applyFont="1" applyFill="1" applyAlignment="1">
      <alignment horizontal="center" vertical="center" wrapText="1"/>
    </xf>
    <xf numFmtId="0" fontId="174" fillId="7" borderId="9" xfId="9" applyFont="1" applyFill="1" applyBorder="1" applyAlignment="1">
      <alignment horizontal="center" vertical="center" wrapText="1"/>
    </xf>
    <xf numFmtId="0" fontId="130" fillId="43" borderId="0" xfId="0" applyFont="1" applyFill="1" applyAlignment="1">
      <alignment horizontal="left" wrapText="1"/>
    </xf>
    <xf numFmtId="0" fontId="130" fillId="25" borderId="0" xfId="0" applyFont="1" applyFill="1" applyAlignment="1">
      <alignment horizontal="left" vertical="center" wrapText="1"/>
    </xf>
    <xf numFmtId="0" fontId="143" fillId="110" borderId="7" xfId="29" applyFont="1" applyFill="1" applyBorder="1" applyAlignment="1" applyProtection="1">
      <alignment horizontal="center" vertical="center"/>
      <protection locked="0"/>
    </xf>
    <xf numFmtId="0" fontId="143" fillId="110" borderId="2" xfId="29" applyFont="1" applyFill="1" applyBorder="1" applyAlignment="1" applyProtection="1">
      <alignment horizontal="center" vertical="center"/>
      <protection locked="0"/>
    </xf>
    <xf numFmtId="0" fontId="143" fillId="110" borderId="8" xfId="29" applyFont="1" applyFill="1" applyBorder="1" applyAlignment="1" applyProtection="1">
      <alignment horizontal="center" vertical="center"/>
      <protection locked="0"/>
    </xf>
    <xf numFmtId="0" fontId="28" fillId="4" borderId="2" xfId="1" applyFont="1" applyFill="1" applyBorder="1" applyAlignment="1">
      <alignment horizontal="center" vertical="center" wrapText="1"/>
    </xf>
    <xf numFmtId="0" fontId="28" fillId="4" borderId="0" xfId="1" applyFont="1" applyFill="1" applyAlignment="1">
      <alignment horizontal="center" vertical="center" wrapText="1"/>
    </xf>
    <xf numFmtId="0" fontId="25" fillId="134" borderId="2" xfId="1" applyFont="1" applyFill="1" applyBorder="1" applyAlignment="1">
      <alignment horizontal="center" vertical="center" wrapText="1"/>
    </xf>
    <xf numFmtId="0" fontId="25" fillId="134" borderId="0" xfId="1" applyFont="1" applyFill="1" applyAlignment="1">
      <alignment horizontal="center" vertical="center" wrapText="1"/>
    </xf>
    <xf numFmtId="0" fontId="25" fillId="62" borderId="2" xfId="1" applyFont="1" applyFill="1" applyBorder="1" applyAlignment="1">
      <alignment horizontal="center" vertical="center" wrapText="1"/>
    </xf>
    <xf numFmtId="0" fontId="25" fillId="62" borderId="0" xfId="1" applyFont="1" applyFill="1" applyAlignment="1">
      <alignment horizontal="center" vertical="center" wrapText="1"/>
    </xf>
    <xf numFmtId="0" fontId="25" fillId="132" borderId="2" xfId="1" applyFont="1" applyFill="1" applyBorder="1" applyAlignment="1">
      <alignment horizontal="center" vertical="center" wrapText="1"/>
    </xf>
    <xf numFmtId="0" fontId="25" fillId="132" borderId="0" xfId="1" applyFont="1" applyFill="1" applyAlignment="1">
      <alignment horizontal="center" vertical="center" wrapText="1"/>
    </xf>
    <xf numFmtId="0" fontId="27" fillId="62" borderId="8" xfId="3" applyFont="1" applyFill="1" applyBorder="1" applyAlignment="1">
      <alignment horizontal="center" vertical="center" wrapText="1"/>
    </xf>
    <xf numFmtId="0" fontId="27" fillId="62" borderId="9" xfId="3" applyFont="1" applyFill="1" applyBorder="1" applyAlignment="1">
      <alignment horizontal="center" vertical="center" wrapText="1"/>
    </xf>
    <xf numFmtId="0" fontId="364" fillId="16" borderId="8" xfId="3" applyFont="1" applyFill="1" applyBorder="1" applyAlignment="1">
      <alignment horizontal="center" vertical="center" wrapText="1"/>
    </xf>
    <xf numFmtId="0" fontId="364" fillId="16" borderId="9" xfId="3" applyFont="1" applyFill="1" applyBorder="1" applyAlignment="1">
      <alignment horizontal="center" vertical="center" wrapText="1"/>
    </xf>
    <xf numFmtId="0" fontId="108" fillId="8" borderId="0" xfId="0" applyFont="1" applyFill="1" applyAlignment="1">
      <alignment horizontal="left" vertical="center"/>
    </xf>
    <xf numFmtId="0" fontId="96" fillId="54" borderId="6" xfId="19" applyFont="1" applyFill="1" applyBorder="1" applyAlignment="1">
      <alignment horizontal="left" vertical="top" wrapText="1"/>
    </xf>
    <xf numFmtId="0" fontId="96" fillId="54" borderId="0" xfId="19" applyFont="1" applyFill="1" applyAlignment="1">
      <alignment horizontal="left" vertical="top" wrapText="1"/>
    </xf>
    <xf numFmtId="0" fontId="96" fillId="54" borderId="9" xfId="19" applyFont="1" applyFill="1" applyBorder="1" applyAlignment="1">
      <alignment horizontal="left" vertical="top" wrapText="1"/>
    </xf>
    <xf numFmtId="0" fontId="57" fillId="8" borderId="6" xfId="5" applyFont="1" applyFill="1" applyBorder="1" applyAlignment="1">
      <alignment horizontal="center" vertical="top" wrapText="1"/>
    </xf>
    <xf numFmtId="0" fontId="57" fillId="8" borderId="0" xfId="5" applyFont="1" applyFill="1" applyAlignment="1">
      <alignment horizontal="center" vertical="top" wrapText="1"/>
    </xf>
    <xf numFmtId="0" fontId="57" fillId="8" borderId="9" xfId="5" applyFont="1" applyFill="1" applyBorder="1" applyAlignment="1">
      <alignment horizontal="center" vertical="top" wrapText="1"/>
    </xf>
    <xf numFmtId="0" fontId="57" fillId="8" borderId="123" xfId="5" applyFont="1" applyFill="1" applyBorder="1" applyAlignment="1">
      <alignment horizontal="center" vertical="top" wrapText="1"/>
    </xf>
    <xf numFmtId="0" fontId="57" fillId="8" borderId="82" xfId="5" applyFont="1" applyFill="1" applyBorder="1" applyAlignment="1">
      <alignment horizontal="center" vertical="top" wrapText="1"/>
    </xf>
    <xf numFmtId="0" fontId="57" fillId="8" borderId="124" xfId="5" applyFont="1" applyFill="1" applyBorder="1" applyAlignment="1">
      <alignment horizontal="center" vertical="top" wrapText="1"/>
    </xf>
    <xf numFmtId="0" fontId="72" fillId="48" borderId="56" xfId="0" applyFont="1" applyFill="1" applyBorder="1" applyAlignment="1">
      <alignment horizontal="center" vertical="center" wrapText="1"/>
    </xf>
    <xf numFmtId="0" fontId="72" fillId="48" borderId="57" xfId="0" applyFont="1" applyFill="1" applyBorder="1" applyAlignment="1">
      <alignment horizontal="center" vertical="center" wrapText="1"/>
    </xf>
    <xf numFmtId="0" fontId="36" fillId="45" borderId="35" xfId="16" applyFont="1" applyFill="1" applyBorder="1" applyAlignment="1" applyProtection="1">
      <alignment horizontal="right" vertical="center"/>
      <protection locked="0"/>
    </xf>
    <xf numFmtId="0" fontId="115" fillId="8" borderId="6" xfId="1" applyFont="1" applyFill="1" applyBorder="1" applyAlignment="1">
      <alignment horizontal="center" vertical="center"/>
    </xf>
    <xf numFmtId="0" fontId="364" fillId="131" borderId="8" xfId="3" applyFont="1" applyFill="1" applyBorder="1" applyAlignment="1">
      <alignment horizontal="center" vertical="center" wrapText="1"/>
    </xf>
    <xf numFmtId="0" fontId="364" fillId="131" borderId="9" xfId="3" applyFont="1" applyFill="1" applyBorder="1" applyAlignment="1">
      <alignment horizontal="center" vertical="center" wrapText="1"/>
    </xf>
    <xf numFmtId="0" fontId="27" fillId="132" borderId="8" xfId="3" applyFont="1" applyFill="1" applyBorder="1" applyAlignment="1">
      <alignment horizontal="center" vertical="center" wrapText="1"/>
    </xf>
    <xf numFmtId="0" fontId="27" fillId="132" borderId="9" xfId="3" applyFont="1" applyFill="1" applyBorder="1" applyAlignment="1">
      <alignment horizontal="center" vertical="center" wrapText="1"/>
    </xf>
    <xf numFmtId="0" fontId="21" fillId="42" borderId="6" xfId="9" applyFont="1" applyFill="1" applyBorder="1" applyAlignment="1">
      <alignment horizontal="right" vertical="center" wrapText="1"/>
    </xf>
    <xf numFmtId="0" fontId="21" fillId="42" borderId="0" xfId="9" applyFont="1" applyFill="1" applyAlignment="1">
      <alignment horizontal="right" vertical="center" wrapText="1"/>
    </xf>
    <xf numFmtId="0" fontId="28" fillId="131" borderId="2" xfId="1" applyFont="1" applyFill="1" applyBorder="1" applyAlignment="1">
      <alignment horizontal="center" vertical="center" wrapText="1"/>
    </xf>
    <xf numFmtId="0" fontId="28" fillId="131" borderId="0" xfId="1" applyFont="1" applyFill="1" applyAlignment="1">
      <alignment horizontal="center" vertical="center" wrapText="1"/>
    </xf>
    <xf numFmtId="0" fontId="130" fillId="0" borderId="0" xfId="0" applyFont="1" applyAlignment="1">
      <alignment horizontal="center" vertical="center" wrapText="1"/>
    </xf>
    <xf numFmtId="0" fontId="191" fillId="8" borderId="7" xfId="1" applyFont="1" applyFill="1" applyBorder="1" applyAlignment="1" applyProtection="1">
      <alignment horizontal="center" vertical="center"/>
      <protection hidden="1"/>
    </xf>
    <xf numFmtId="0" fontId="191" fillId="8" borderId="2" xfId="1" applyFont="1" applyFill="1" applyBorder="1" applyAlignment="1" applyProtection="1">
      <alignment horizontal="center" vertical="center"/>
      <protection hidden="1"/>
    </xf>
    <xf numFmtId="0" fontId="191" fillId="8" borderId="6" xfId="1" applyFont="1" applyFill="1" applyBorder="1" applyAlignment="1" applyProtection="1">
      <alignment horizontal="center" vertical="center"/>
      <protection hidden="1"/>
    </xf>
    <xf numFmtId="0" fontId="191" fillId="8" borderId="0" xfId="1" applyFont="1" applyFill="1" applyAlignment="1" applyProtection="1">
      <alignment horizontal="center" vertical="center"/>
      <protection hidden="1"/>
    </xf>
    <xf numFmtId="0" fontId="192" fillId="25" borderId="2" xfId="1" applyFont="1" applyFill="1" applyBorder="1" applyAlignment="1" applyProtection="1">
      <alignment horizontal="center" vertical="center"/>
      <protection hidden="1"/>
    </xf>
    <xf numFmtId="0" fontId="192" fillId="25" borderId="8" xfId="1" applyFont="1" applyFill="1" applyBorder="1" applyAlignment="1" applyProtection="1">
      <alignment horizontal="center" vertical="center"/>
      <protection hidden="1"/>
    </xf>
    <xf numFmtId="0" fontId="192" fillId="25" borderId="3" xfId="1" applyFont="1" applyFill="1" applyBorder="1" applyAlignment="1" applyProtection="1">
      <alignment horizontal="center" vertical="center"/>
      <protection hidden="1"/>
    </xf>
    <xf numFmtId="0" fontId="192" fillId="25" borderId="59" xfId="1" applyFont="1" applyFill="1" applyBorder="1" applyAlignment="1" applyProtection="1">
      <alignment horizontal="center" vertical="center"/>
      <protection hidden="1"/>
    </xf>
    <xf numFmtId="0" fontId="64" fillId="8" borderId="0" xfId="1" applyFont="1" applyFill="1" applyAlignment="1" applyProtection="1">
      <alignment horizontal="left" vertical="center" wrapText="1"/>
      <protection hidden="1"/>
    </xf>
    <xf numFmtId="0" fontId="129" fillId="8" borderId="0" xfId="1" applyFont="1" applyFill="1" applyAlignment="1" applyProtection="1">
      <alignment horizontal="center" vertical="center"/>
      <protection hidden="1"/>
    </xf>
    <xf numFmtId="0" fontId="13" fillId="8" borderId="0" xfId="1" applyFont="1" applyFill="1" applyAlignment="1" applyProtection="1">
      <alignment horizontal="center" vertical="center" wrapText="1"/>
      <protection hidden="1"/>
    </xf>
    <xf numFmtId="0" fontId="20" fillId="8" borderId="280" xfId="1" applyFont="1" applyFill="1" applyBorder="1" applyAlignment="1" applyProtection="1">
      <alignment horizontal="left" vertical="center" wrapText="1"/>
      <protection hidden="1"/>
    </xf>
    <xf numFmtId="0" fontId="20" fillId="8" borderId="0" xfId="1" applyFont="1" applyFill="1" applyAlignment="1" applyProtection="1">
      <alignment horizontal="left" vertical="center" wrapText="1"/>
      <protection hidden="1"/>
    </xf>
    <xf numFmtId="0" fontId="64" fillId="8" borderId="0" xfId="1" applyFont="1" applyFill="1" applyAlignment="1" applyProtection="1">
      <alignment horizontal="center" vertical="center"/>
      <protection hidden="1"/>
    </xf>
    <xf numFmtId="0" fontId="59" fillId="8" borderId="280" xfId="0" applyFont="1" applyFill="1" applyBorder="1" applyAlignment="1">
      <alignment horizontal="left" vertical="center" wrapText="1"/>
    </xf>
    <xf numFmtId="0" fontId="59" fillId="8" borderId="0" xfId="0" applyFont="1" applyFill="1" applyAlignment="1">
      <alignment horizontal="left" vertical="center" wrapText="1"/>
    </xf>
    <xf numFmtId="0" fontId="335" fillId="8" borderId="0" xfId="1" applyFont="1" applyFill="1" applyAlignment="1" applyProtection="1">
      <alignment horizontal="center" vertical="center"/>
      <protection hidden="1"/>
    </xf>
    <xf numFmtId="0" fontId="369" fillId="43" borderId="0" xfId="3" applyFont="1" applyFill="1" applyAlignment="1">
      <alignment horizontal="left" vertical="center" wrapText="1"/>
    </xf>
    <xf numFmtId="0" fontId="369" fillId="43" borderId="280" xfId="3" applyFont="1" applyFill="1" applyBorder="1" applyAlignment="1">
      <alignment horizontal="left" vertical="center" wrapText="1"/>
    </xf>
    <xf numFmtId="0" fontId="159" fillId="8" borderId="185" xfId="5" applyFont="1" applyFill="1" applyBorder="1" applyAlignment="1">
      <alignment horizontal="center" vertical="center"/>
    </xf>
    <xf numFmtId="0" fontId="159" fillId="8" borderId="186" xfId="5" applyFont="1" applyFill="1" applyBorder="1" applyAlignment="1">
      <alignment horizontal="center" vertical="center"/>
    </xf>
    <xf numFmtId="0" fontId="44" fillId="7" borderId="0" xfId="1" applyFont="1" applyFill="1" applyAlignment="1" applyProtection="1">
      <alignment horizontal="left" vertical="center" wrapText="1"/>
      <protection hidden="1"/>
    </xf>
    <xf numFmtId="0" fontId="369" fillId="8" borderId="0" xfId="0" applyFont="1" applyFill="1" applyAlignment="1">
      <alignment horizontal="center" vertical="center" wrapText="1"/>
    </xf>
    <xf numFmtId="0" fontId="369" fillId="8" borderId="280" xfId="0" applyFont="1" applyFill="1" applyBorder="1" applyAlignment="1">
      <alignment horizontal="left" vertical="center" wrapText="1"/>
    </xf>
    <xf numFmtId="0" fontId="369" fillId="8" borderId="0" xfId="0" applyFont="1" applyFill="1" applyAlignment="1">
      <alignment horizontal="left" vertical="center" wrapText="1"/>
    </xf>
    <xf numFmtId="0" fontId="369" fillId="8" borderId="0" xfId="1" applyFont="1" applyFill="1" applyAlignment="1" applyProtection="1">
      <alignment horizontal="left" vertical="center" wrapText="1"/>
      <protection hidden="1"/>
    </xf>
    <xf numFmtId="0" fontId="352" fillId="8" borderId="280" xfId="1" applyFont="1" applyFill="1" applyBorder="1" applyAlignment="1" applyProtection="1">
      <alignment horizontal="left" vertical="center" wrapText="1"/>
      <protection hidden="1"/>
    </xf>
    <xf numFmtId="0" fontId="352" fillId="8" borderId="0" xfId="1" applyFont="1" applyFill="1" applyAlignment="1" applyProtection="1">
      <alignment horizontal="left" vertical="center" wrapText="1"/>
      <protection hidden="1"/>
    </xf>
    <xf numFmtId="0" fontId="80" fillId="106" borderId="2" xfId="1" applyFont="1" applyFill="1" applyBorder="1" applyAlignment="1">
      <alignment horizontal="center" vertical="center" wrapText="1"/>
    </xf>
    <xf numFmtId="0" fontId="80" fillId="106" borderId="0" xfId="1" applyFont="1" applyFill="1" applyAlignment="1">
      <alignment horizontal="center" vertical="center" wrapText="1"/>
    </xf>
    <xf numFmtId="0" fontId="144" fillId="21" borderId="2" xfId="2" applyFont="1" applyFill="1" applyBorder="1" applyAlignment="1">
      <alignment horizontal="center" vertical="center"/>
    </xf>
    <xf numFmtId="0" fontId="144" fillId="21" borderId="0" xfId="2" applyFont="1" applyFill="1" applyAlignment="1">
      <alignment horizontal="center" vertical="center"/>
    </xf>
    <xf numFmtId="0" fontId="318" fillId="21" borderId="2" xfId="1" applyFont="1" applyFill="1" applyBorder="1" applyAlignment="1">
      <alignment horizontal="center" vertical="center"/>
    </xf>
    <xf numFmtId="0" fontId="318" fillId="21" borderId="0" xfId="1" applyFont="1" applyFill="1" applyAlignment="1">
      <alignment horizontal="center" vertical="center"/>
    </xf>
    <xf numFmtId="0" fontId="144" fillId="8" borderId="0" xfId="0" applyFont="1" applyFill="1" applyAlignment="1">
      <alignment horizontal="center" vertical="center"/>
    </xf>
    <xf numFmtId="0" fontId="13" fillId="8" borderId="0" xfId="1" applyFont="1" applyFill="1" applyAlignment="1" applyProtection="1">
      <alignment horizontal="left" vertical="center" wrapText="1"/>
      <protection hidden="1"/>
    </xf>
    <xf numFmtId="0" fontId="351" fillId="43" borderId="16" xfId="8" applyFont="1" applyFill="1" applyBorder="1" applyAlignment="1">
      <alignment horizontal="center" vertical="center"/>
    </xf>
    <xf numFmtId="0" fontId="351" fillId="43" borderId="279" xfId="8" applyFont="1" applyFill="1" applyBorder="1" applyAlignment="1">
      <alignment horizontal="center" vertical="center"/>
    </xf>
    <xf numFmtId="0" fontId="76" fillId="8" borderId="0" xfId="1" applyFont="1" applyFill="1" applyAlignment="1" applyProtection="1">
      <alignment horizontal="center" vertical="center"/>
      <protection hidden="1"/>
    </xf>
    <xf numFmtId="0" fontId="1" fillId="8" borderId="0" xfId="0" applyFont="1" applyFill="1" applyAlignment="1">
      <alignment horizontal="left" vertical="center" wrapText="1"/>
    </xf>
    <xf numFmtId="0" fontId="39" fillId="8" borderId="0" xfId="1" applyFont="1" applyFill="1" applyAlignment="1" applyProtection="1">
      <alignment horizontal="center" vertical="center" wrapText="1"/>
      <protection hidden="1"/>
    </xf>
    <xf numFmtId="0" fontId="40" fillId="8" borderId="0" xfId="1" applyFont="1" applyFill="1" applyAlignment="1" applyProtection="1">
      <alignment horizontal="left" vertical="center" wrapText="1"/>
      <protection hidden="1"/>
    </xf>
    <xf numFmtId="0" fontId="39" fillId="8" borderId="0" xfId="3" applyFont="1" applyFill="1" applyAlignment="1">
      <alignment horizontal="center" vertical="center" wrapText="1"/>
    </xf>
    <xf numFmtId="0" fontId="44" fillId="8" borderId="0" xfId="1" applyFont="1" applyFill="1" applyAlignment="1" applyProtection="1">
      <alignment horizontal="left" vertical="center" wrapText="1"/>
      <protection hidden="1"/>
    </xf>
    <xf numFmtId="0" fontId="39" fillId="8" borderId="0" xfId="0" applyFont="1" applyFill="1" applyAlignment="1">
      <alignment horizontal="center" vertical="center" wrapText="1"/>
    </xf>
    <xf numFmtId="0" fontId="351" fillId="8" borderId="16" xfId="8" applyFont="1" applyFill="1" applyBorder="1" applyAlignment="1">
      <alignment horizontal="center" vertical="center"/>
    </xf>
    <xf numFmtId="0" fontId="351" fillId="8" borderId="279" xfId="8" applyFont="1" applyFill="1" applyBorder="1" applyAlignment="1">
      <alignment horizontal="center" vertical="center"/>
    </xf>
    <xf numFmtId="0" fontId="80" fillId="21" borderId="2" xfId="8" applyFont="1" applyFill="1" applyBorder="1" applyAlignment="1">
      <alignment horizontal="center" vertical="center"/>
    </xf>
    <xf numFmtId="0" fontId="80" fillId="21" borderId="0" xfId="8" applyFont="1" applyFill="1" applyAlignment="1">
      <alignment horizontal="center" vertical="center"/>
    </xf>
    <xf numFmtId="0" fontId="144" fillId="21" borderId="2" xfId="0" applyFont="1" applyFill="1" applyBorder="1" applyAlignment="1">
      <alignment horizontal="center" vertical="center"/>
    </xf>
    <xf numFmtId="0" fontId="144" fillId="21" borderId="0" xfId="0" applyFont="1" applyFill="1" applyAlignment="1">
      <alignment horizontal="center" vertical="center"/>
    </xf>
    <xf numFmtId="0" fontId="166" fillId="21" borderId="2" xfId="5" applyFont="1" applyFill="1" applyBorder="1" applyAlignment="1">
      <alignment horizontal="center" vertical="center"/>
    </xf>
    <xf numFmtId="0" fontId="166" fillId="21" borderId="0" xfId="5" applyFont="1" applyFill="1" applyAlignment="1">
      <alignment horizontal="center" vertical="center"/>
    </xf>
    <xf numFmtId="0" fontId="58" fillId="67" borderId="0" xfId="0" applyFont="1" applyFill="1" applyAlignment="1">
      <alignment horizontal="center" vertical="center"/>
    </xf>
    <xf numFmtId="0" fontId="155" fillId="8" borderId="6" xfId="1" applyFont="1" applyFill="1" applyBorder="1" applyAlignment="1">
      <alignment horizontal="center" vertical="center" wrapText="1"/>
    </xf>
    <xf numFmtId="0" fontId="155" fillId="8" borderId="0" xfId="1" applyFont="1" applyFill="1" applyAlignment="1">
      <alignment horizontal="center" vertical="center" wrapText="1"/>
    </xf>
    <xf numFmtId="0" fontId="155" fillId="8" borderId="9" xfId="1" applyFont="1" applyFill="1" applyBorder="1" applyAlignment="1">
      <alignment horizontal="center" vertical="center" wrapText="1"/>
    </xf>
    <xf numFmtId="0" fontId="57" fillId="8" borderId="6" xfId="7" applyFont="1" applyFill="1" applyBorder="1" applyAlignment="1">
      <alignment horizontal="center" vertical="center" wrapText="1"/>
    </xf>
    <xf numFmtId="0" fontId="57" fillId="8" borderId="0" xfId="7" applyFont="1" applyFill="1" applyAlignment="1">
      <alignment horizontal="center" vertical="center" wrapText="1"/>
    </xf>
    <xf numFmtId="0" fontId="57" fillId="8" borderId="9" xfId="7" applyFont="1" applyFill="1" applyBorder="1" applyAlignment="1">
      <alignment horizontal="center" vertical="center" wrapText="1"/>
    </xf>
    <xf numFmtId="2" fontId="447" fillId="8" borderId="9" xfId="7" applyNumberFormat="1" applyFont="1" applyFill="1" applyBorder="1" applyAlignment="1">
      <alignment horizontal="center" vertical="center"/>
    </xf>
    <xf numFmtId="0" fontId="447" fillId="8" borderId="48" xfId="7" applyFont="1" applyFill="1" applyBorder="1" applyAlignment="1">
      <alignment horizontal="center" vertical="center"/>
    </xf>
    <xf numFmtId="0" fontId="447" fillId="8" borderId="13" xfId="7" applyFont="1" applyFill="1" applyBorder="1" applyAlignment="1">
      <alignment horizontal="center" vertical="center"/>
    </xf>
    <xf numFmtId="0" fontId="447" fillId="8" borderId="48" xfId="7" applyFont="1" applyFill="1" applyBorder="1" applyAlignment="1">
      <alignment horizontal="right" vertical="center"/>
    </xf>
    <xf numFmtId="0" fontId="447" fillId="8" borderId="13" xfId="7" applyFont="1" applyFill="1" applyBorder="1" applyAlignment="1">
      <alignment horizontal="right" vertical="center"/>
    </xf>
    <xf numFmtId="0" fontId="545" fillId="175" borderId="288" xfId="1" applyFont="1" applyFill="1" applyBorder="1" applyAlignment="1" applyProtection="1">
      <alignment horizontal="center" vertical="center"/>
      <protection hidden="1"/>
    </xf>
    <xf numFmtId="0" fontId="31" fillId="106" borderId="279" xfId="1" applyFont="1" applyFill="1" applyBorder="1" applyAlignment="1">
      <alignment horizontal="center" vertical="center" textRotation="90"/>
    </xf>
    <xf numFmtId="0" fontId="457" fillId="0" borderId="278" xfId="5" applyFont="1" applyBorder="1" applyAlignment="1" applyProtection="1">
      <alignment horizontal="center" vertical="center"/>
      <protection locked="0"/>
    </xf>
    <xf numFmtId="0" fontId="457" fillId="0" borderId="0" xfId="5" applyFont="1" applyAlignment="1" applyProtection="1">
      <alignment horizontal="center" vertical="center"/>
      <protection locked="0"/>
    </xf>
    <xf numFmtId="0" fontId="457" fillId="0" borderId="279" xfId="5" applyFont="1" applyBorder="1" applyAlignment="1" applyProtection="1">
      <alignment horizontal="center" vertical="center"/>
      <protection locked="0"/>
    </xf>
    <xf numFmtId="0" fontId="434" fillId="8" borderId="0" xfId="5" applyFont="1" applyFill="1" applyAlignment="1">
      <alignment horizontal="center" vertical="center"/>
    </xf>
    <xf numFmtId="0" fontId="281" fillId="8" borderId="0" xfId="7" applyFont="1" applyFill="1" applyAlignment="1">
      <alignment horizontal="center" vertical="center"/>
    </xf>
    <xf numFmtId="171" fontId="281" fillId="8" borderId="0" xfId="5" applyNumberFormat="1" applyFont="1" applyFill="1" applyAlignment="1">
      <alignment horizontal="left" vertical="center"/>
    </xf>
    <xf numFmtId="0" fontId="447" fillId="8" borderId="6" xfId="7" applyFont="1" applyFill="1" applyBorder="1" applyAlignment="1">
      <alignment horizontal="right" vertical="center"/>
    </xf>
    <xf numFmtId="1" fontId="447" fillId="8" borderId="0" xfId="7" applyNumberFormat="1" applyFont="1" applyFill="1" applyAlignment="1">
      <alignment horizontal="right" vertical="center"/>
    </xf>
    <xf numFmtId="1" fontId="447" fillId="8" borderId="0" xfId="7" applyNumberFormat="1" applyFont="1" applyFill="1" applyAlignment="1">
      <alignment horizontal="center" vertical="center"/>
    </xf>
    <xf numFmtId="0" fontId="447" fillId="8" borderId="0" xfId="7" applyFont="1" applyFill="1" applyAlignment="1">
      <alignment horizontal="center" vertical="center"/>
    </xf>
    <xf numFmtId="0" fontId="441" fillId="8" borderId="0" xfId="7" applyFont="1" applyFill="1" applyAlignment="1">
      <alignment horizontal="center" vertical="center"/>
    </xf>
    <xf numFmtId="0" fontId="31" fillId="106" borderId="9" xfId="1" applyFont="1" applyFill="1" applyBorder="1" applyAlignment="1">
      <alignment horizontal="center" vertical="center" textRotation="90"/>
    </xf>
    <xf numFmtId="207" fontId="541" fillId="20" borderId="381" xfId="5" applyNumberFormat="1" applyFont="1" applyFill="1" applyBorder="1" applyAlignment="1">
      <alignment horizontal="center" vertical="center" wrapText="1"/>
    </xf>
    <xf numFmtId="207" fontId="541" fillId="20" borderId="48" xfId="5" applyNumberFormat="1" applyFont="1" applyFill="1" applyBorder="1" applyAlignment="1">
      <alignment horizontal="center" vertical="center" wrapText="1"/>
    </xf>
    <xf numFmtId="207" fontId="541" fillId="20" borderId="50" xfId="5" applyNumberFormat="1" applyFont="1" applyFill="1" applyBorder="1" applyAlignment="1">
      <alignment horizontal="center" vertical="center" wrapText="1"/>
    </xf>
    <xf numFmtId="207" fontId="541" fillId="20" borderId="6" xfId="5" applyNumberFormat="1" applyFont="1" applyFill="1" applyBorder="1" applyAlignment="1">
      <alignment horizontal="center" vertical="center" wrapText="1"/>
    </xf>
    <xf numFmtId="207" fontId="541" fillId="20" borderId="0" xfId="5" applyNumberFormat="1" applyFont="1" applyFill="1" applyAlignment="1">
      <alignment horizontal="center" vertical="center" wrapText="1"/>
    </xf>
    <xf numFmtId="207" fontId="541" fillId="20" borderId="9" xfId="5" applyNumberFormat="1" applyFont="1" applyFill="1" applyBorder="1" applyAlignment="1">
      <alignment horizontal="center" vertical="center" wrapText="1"/>
    </xf>
    <xf numFmtId="207" fontId="477" fillId="8" borderId="6" xfId="5" applyNumberFormat="1" applyFont="1" applyFill="1" applyBorder="1" applyAlignment="1">
      <alignment horizontal="right" vertical="center" wrapText="1"/>
    </xf>
    <xf numFmtId="207" fontId="477" fillId="8" borderId="0" xfId="5" applyNumberFormat="1" applyFont="1" applyFill="1" applyAlignment="1">
      <alignment horizontal="right" vertical="center" wrapText="1"/>
    </xf>
    <xf numFmtId="202" fontId="476" fillId="20" borderId="0" xfId="5" applyNumberFormat="1" applyFont="1" applyFill="1" applyAlignment="1">
      <alignment horizontal="center" vertical="center"/>
    </xf>
    <xf numFmtId="202" fontId="476" fillId="20" borderId="13" xfId="5" applyNumberFormat="1" applyFont="1" applyFill="1" applyBorder="1" applyAlignment="1">
      <alignment horizontal="center" vertical="center"/>
    </xf>
    <xf numFmtId="207" fontId="542" fillId="8" borderId="0" xfId="5" applyNumberFormat="1" applyFont="1" applyFill="1" applyAlignment="1">
      <alignment horizontal="right" vertical="center" wrapText="1"/>
    </xf>
    <xf numFmtId="0" fontId="444" fillId="4" borderId="7" xfId="7" applyFont="1" applyFill="1" applyBorder="1" applyAlignment="1">
      <alignment horizontal="center" vertical="center"/>
    </xf>
    <xf numFmtId="0" fontId="444" fillId="4" borderId="2" xfId="7" applyFont="1" applyFill="1" applyBorder="1" applyAlignment="1">
      <alignment horizontal="center" vertical="center"/>
    </xf>
    <xf numFmtId="0" fontId="444" fillId="4" borderId="8" xfId="7" applyFont="1" applyFill="1" applyBorder="1" applyAlignment="1">
      <alignment horizontal="center" vertical="center"/>
    </xf>
    <xf numFmtId="1" fontId="447" fillId="8" borderId="0" xfId="5" applyNumberFormat="1" applyFont="1" applyFill="1" applyAlignment="1">
      <alignment horizontal="center" vertical="center"/>
    </xf>
    <xf numFmtId="202" fontId="447" fillId="8" borderId="9" xfId="5" applyNumberFormat="1" applyFont="1" applyFill="1" applyBorder="1" applyAlignment="1">
      <alignment horizontal="center" vertical="center"/>
    </xf>
    <xf numFmtId="202" fontId="543" fillId="20" borderId="0" xfId="5" applyNumberFormat="1" applyFont="1" applyFill="1" applyAlignment="1">
      <alignment horizontal="center" vertical="center"/>
    </xf>
    <xf numFmtId="202" fontId="543" fillId="20" borderId="13" xfId="5" applyNumberFormat="1" applyFont="1" applyFill="1" applyBorder="1" applyAlignment="1">
      <alignment horizontal="center" vertical="center"/>
    </xf>
    <xf numFmtId="0" fontId="434" fillId="8" borderId="0" xfId="7" applyFont="1" applyFill="1" applyAlignment="1">
      <alignment horizontal="right" vertical="center" wrapText="1"/>
    </xf>
    <xf numFmtId="207" fontId="444" fillId="8" borderId="381" xfId="5" applyNumberFormat="1" applyFont="1" applyFill="1" applyBorder="1" applyAlignment="1">
      <alignment horizontal="center" vertical="center" wrapText="1"/>
    </xf>
    <xf numFmtId="207" fontId="444" fillId="8" borderId="48" xfId="5" applyNumberFormat="1" applyFont="1" applyFill="1" applyBorder="1" applyAlignment="1">
      <alignment horizontal="center" vertical="center" wrapText="1"/>
    </xf>
    <xf numFmtId="207" fontId="444" fillId="8" borderId="50" xfId="5" applyNumberFormat="1" applyFont="1" applyFill="1" applyBorder="1" applyAlignment="1">
      <alignment horizontal="center" vertical="center" wrapText="1"/>
    </xf>
    <xf numFmtId="207" fontId="444" fillId="8" borderId="6" xfId="5" applyNumberFormat="1" applyFont="1" applyFill="1" applyBorder="1" applyAlignment="1">
      <alignment horizontal="center" vertical="center" wrapText="1"/>
    </xf>
    <xf numFmtId="207" fontId="444" fillId="8" borderId="0" xfId="5" applyNumberFormat="1" applyFont="1" applyFill="1" applyAlignment="1">
      <alignment horizontal="center" vertical="center" wrapText="1"/>
    </xf>
    <xf numFmtId="207" fontId="444" fillId="8" borderId="9" xfId="5" applyNumberFormat="1" applyFont="1" applyFill="1" applyBorder="1" applyAlignment="1">
      <alignment horizontal="center" vertical="center" wrapText="1"/>
    </xf>
    <xf numFmtId="1" fontId="447" fillId="8" borderId="0" xfId="5" applyNumberFormat="1" applyFont="1" applyFill="1" applyAlignment="1">
      <alignment horizontal="right" vertical="center"/>
    </xf>
    <xf numFmtId="0" fontId="26" fillId="4" borderId="302" xfId="42" applyFont="1" applyFill="1" applyBorder="1" applyAlignment="1">
      <alignment horizontal="center" vertical="center" wrapText="1"/>
    </xf>
    <xf numFmtId="0" fontId="26" fillId="4" borderId="253" xfId="42" applyFont="1" applyFill="1" applyBorder="1" applyAlignment="1">
      <alignment horizontal="center" vertical="center" wrapText="1"/>
    </xf>
    <xf numFmtId="0" fontId="26" fillId="4" borderId="254" xfId="42" applyFont="1" applyFill="1" applyBorder="1" applyAlignment="1">
      <alignment horizontal="center" vertical="center" wrapText="1"/>
    </xf>
    <xf numFmtId="0" fontId="4" fillId="8" borderId="6" xfId="7" applyFont="1" applyFill="1" applyBorder="1" applyAlignment="1">
      <alignment horizontal="right" vertical="center"/>
    </xf>
    <xf numFmtId="0" fontId="4" fillId="8" borderId="0" xfId="7" applyFont="1" applyFill="1" applyAlignment="1">
      <alignment horizontal="right" vertical="center"/>
    </xf>
    <xf numFmtId="171" fontId="6" fillId="8" borderId="0" xfId="7" applyNumberFormat="1" applyFont="1" applyFill="1" applyAlignment="1" applyProtection="1">
      <alignment horizontal="center" vertical="center"/>
      <protection locked="0"/>
    </xf>
    <xf numFmtId="171" fontId="432" fillId="8" borderId="0" xfId="7" applyNumberFormat="1" applyFont="1" applyFill="1" applyAlignment="1" applyProtection="1">
      <alignment horizontal="center" vertical="center"/>
      <protection locked="0"/>
    </xf>
    <xf numFmtId="171" fontId="432" fillId="8" borderId="9" xfId="7" applyNumberFormat="1" applyFont="1" applyFill="1" applyBorder="1" applyAlignment="1" applyProtection="1">
      <alignment horizontal="center" vertical="center"/>
      <protection locked="0"/>
    </xf>
    <xf numFmtId="0" fontId="31" fillId="106" borderId="0" xfId="1" applyFont="1" applyFill="1" applyAlignment="1">
      <alignment horizontal="center" vertical="center" textRotation="90"/>
    </xf>
    <xf numFmtId="0" fontId="530" fillId="8" borderId="6" xfId="42" applyFont="1" applyFill="1" applyBorder="1" applyAlignment="1">
      <alignment horizontal="center" vertical="center" wrapText="1"/>
    </xf>
    <xf numFmtId="0" fontId="104" fillId="8" borderId="0" xfId="42" applyFont="1" applyFill="1" applyAlignment="1">
      <alignment horizontal="center" vertical="center" wrapText="1"/>
    </xf>
    <xf numFmtId="0" fontId="104" fillId="8" borderId="9" xfId="42" applyFont="1" applyFill="1" applyBorder="1" applyAlignment="1">
      <alignment horizontal="center" vertical="center" wrapText="1"/>
    </xf>
    <xf numFmtId="0" fontId="444" fillId="7" borderId="6" xfId="42" applyFont="1" applyFill="1" applyBorder="1" applyAlignment="1">
      <alignment horizontal="center" vertical="center"/>
    </xf>
    <xf numFmtId="0" fontId="444" fillId="7" borderId="0" xfId="42" applyFont="1" applyFill="1" applyAlignment="1">
      <alignment horizontal="center" vertical="center"/>
    </xf>
    <xf numFmtId="0" fontId="444" fillId="7" borderId="9" xfId="42" applyFont="1" applyFill="1" applyBorder="1" applyAlignment="1">
      <alignment horizontal="center" vertical="center"/>
    </xf>
    <xf numFmtId="0" fontId="531" fillId="8" borderId="6" xfId="16" applyFont="1" applyFill="1" applyBorder="1" applyAlignment="1">
      <alignment horizontal="center" vertical="center" wrapText="1"/>
    </xf>
    <xf numFmtId="0" fontId="531" fillId="8" borderId="0" xfId="16" applyFont="1" applyFill="1" applyAlignment="1">
      <alignment horizontal="center" vertical="center" wrapText="1"/>
    </xf>
    <xf numFmtId="0" fontId="531" fillId="8" borderId="9" xfId="16" applyFont="1" applyFill="1" applyBorder="1" applyAlignment="1">
      <alignment horizontal="center" vertical="center" wrapText="1"/>
    </xf>
    <xf numFmtId="0" fontId="532" fillId="66" borderId="6" xfId="42" applyFont="1" applyFill="1" applyBorder="1" applyAlignment="1">
      <alignment horizontal="center" vertical="center"/>
    </xf>
    <xf numFmtId="0" fontId="532" fillId="66" borderId="0" xfId="42" applyFont="1" applyFill="1" applyAlignment="1">
      <alignment horizontal="center" vertical="center"/>
    </xf>
    <xf numFmtId="0" fontId="532" fillId="66" borderId="9" xfId="42" applyFont="1" applyFill="1" applyBorder="1" applyAlignment="1">
      <alignment horizontal="center" vertical="center"/>
    </xf>
    <xf numFmtId="207" fontId="432" fillId="8" borderId="0" xfId="5" applyNumberFormat="1" applyFont="1" applyFill="1" applyAlignment="1">
      <alignment horizontal="left" vertical="center" wrapText="1"/>
    </xf>
    <xf numFmtId="207" fontId="432" fillId="8" borderId="0" xfId="5" applyNumberFormat="1" applyFont="1" applyFill="1" applyAlignment="1">
      <alignment horizontal="right" vertical="center" wrapText="1"/>
    </xf>
    <xf numFmtId="207" fontId="537" fillId="8" borderId="0" xfId="5" applyNumberFormat="1" applyFont="1" applyFill="1" applyAlignment="1">
      <alignment horizontal="center" vertical="center" wrapText="1"/>
    </xf>
    <xf numFmtId="0" fontId="447" fillId="4" borderId="7" xfId="7" applyFont="1" applyFill="1" applyBorder="1" applyAlignment="1">
      <alignment horizontal="center" vertical="center"/>
    </xf>
    <xf numFmtId="0" fontId="447" fillId="4" borderId="2" xfId="7" applyFont="1" applyFill="1" applyBorder="1" applyAlignment="1">
      <alignment horizontal="center" vertical="center"/>
    </xf>
    <xf numFmtId="0" fontId="447" fillId="4" borderId="8" xfId="7" applyFont="1" applyFill="1" applyBorder="1" applyAlignment="1">
      <alignment horizontal="center" vertical="center"/>
    </xf>
    <xf numFmtId="0" fontId="432" fillId="8" borderId="381" xfId="7" applyFont="1" applyFill="1" applyBorder="1" applyAlignment="1">
      <alignment horizontal="center" vertical="center" wrapText="1"/>
    </xf>
    <xf numFmtId="0" fontId="432" fillId="8" borderId="48" xfId="7" applyFont="1" applyFill="1" applyBorder="1" applyAlignment="1">
      <alignment horizontal="center" vertical="center" wrapText="1"/>
    </xf>
    <xf numFmtId="0" fontId="432" fillId="8" borderId="48" xfId="7" applyFont="1" applyFill="1" applyBorder="1" applyAlignment="1">
      <alignment horizontal="center" vertical="center"/>
    </xf>
    <xf numFmtId="171" fontId="435" fillId="8" borderId="48" xfId="7" applyNumberFormat="1" applyFont="1" applyFill="1" applyBorder="1" applyAlignment="1" applyProtection="1">
      <alignment horizontal="center" vertical="center" wrapText="1"/>
      <protection locked="0"/>
    </xf>
    <xf numFmtId="171" fontId="435" fillId="8" borderId="50" xfId="7" applyNumberFormat="1" applyFont="1" applyFill="1" applyBorder="1" applyAlignment="1" applyProtection="1">
      <alignment horizontal="center" vertical="center" wrapText="1"/>
      <protection locked="0"/>
    </xf>
    <xf numFmtId="0" fontId="1" fillId="8" borderId="6" xfId="7" applyFill="1" applyBorder="1" applyAlignment="1">
      <alignment horizontal="right" vertical="center"/>
    </xf>
    <xf numFmtId="0" fontId="1" fillId="8" borderId="0" xfId="7" applyFill="1" applyAlignment="1">
      <alignment horizontal="right" vertical="center"/>
    </xf>
    <xf numFmtId="0" fontId="530" fillId="8" borderId="283" xfId="42" applyFont="1" applyFill="1" applyBorder="1" applyAlignment="1">
      <alignment horizontal="center" vertical="center" wrapText="1"/>
    </xf>
    <xf numFmtId="0" fontId="530" fillId="8" borderId="412" xfId="42" applyFont="1" applyFill="1" applyBorder="1" applyAlignment="1">
      <alignment horizontal="center" vertical="center" wrapText="1"/>
    </xf>
    <xf numFmtId="0" fontId="530" fillId="8" borderId="284" xfId="42" applyFont="1" applyFill="1" applyBorder="1" applyAlignment="1">
      <alignment horizontal="center" vertical="center" wrapText="1"/>
    </xf>
    <xf numFmtId="0" fontId="87" fillId="106" borderId="7" xfId="7" applyFont="1" applyFill="1" applyBorder="1" applyAlignment="1">
      <alignment horizontal="center"/>
    </xf>
    <xf numFmtId="0" fontId="87" fillId="106" borderId="2" xfId="7" applyFont="1" applyFill="1" applyBorder="1" applyAlignment="1">
      <alignment horizontal="center"/>
    </xf>
    <xf numFmtId="0" fontId="87" fillId="106" borderId="8" xfId="7" applyFont="1" applyFill="1" applyBorder="1" applyAlignment="1">
      <alignment horizontal="center"/>
    </xf>
    <xf numFmtId="0" fontId="31" fillId="106" borderId="0" xfId="1" applyFont="1" applyFill="1" applyAlignment="1">
      <alignment horizontal="center" vertical="center" textRotation="90" wrapText="1"/>
    </xf>
    <xf numFmtId="0" fontId="31" fillId="106" borderId="9" xfId="1" applyFont="1" applyFill="1" applyBorder="1" applyAlignment="1">
      <alignment horizontal="center" vertical="center" textRotation="90" wrapText="1"/>
    </xf>
    <xf numFmtId="0" fontId="513" fillId="8" borderId="6" xfId="1" applyFont="1" applyFill="1" applyBorder="1" applyAlignment="1" applyProtection="1">
      <alignment horizontal="center" vertical="center"/>
      <protection hidden="1"/>
    </xf>
    <xf numFmtId="0" fontId="513" fillId="8" borderId="0" xfId="1" applyFont="1" applyFill="1" applyAlignment="1" applyProtection="1">
      <alignment horizontal="center" vertical="center"/>
      <protection hidden="1"/>
    </xf>
    <xf numFmtId="0" fontId="513" fillId="8" borderId="9" xfId="1" applyFont="1" applyFill="1" applyBorder="1" applyAlignment="1" applyProtection="1">
      <alignment horizontal="center" vertical="center"/>
      <protection hidden="1"/>
    </xf>
    <xf numFmtId="0" fontId="26" fillId="8" borderId="6" xfId="29" applyFont="1" applyFill="1" applyBorder="1" applyAlignment="1">
      <alignment horizontal="center" vertical="center" wrapText="1"/>
    </xf>
    <xf numFmtId="0" fontId="26" fillId="8" borderId="0" xfId="29" applyFont="1" applyFill="1" applyAlignment="1">
      <alignment horizontal="center" vertical="center" wrapText="1"/>
    </xf>
    <xf numFmtId="0" fontId="26" fillId="8" borderId="9" xfId="29" applyFont="1" applyFill="1" applyBorder="1" applyAlignment="1">
      <alignment horizontal="center" vertical="center" wrapText="1"/>
    </xf>
    <xf numFmtId="0" fontId="26" fillId="8" borderId="128" xfId="29" applyFont="1" applyFill="1" applyBorder="1" applyAlignment="1">
      <alignment horizontal="center" vertical="center" wrapText="1"/>
    </xf>
    <xf numFmtId="0" fontId="26" fillId="8" borderId="288" xfId="29" applyFont="1" applyFill="1" applyBorder="1" applyAlignment="1">
      <alignment horizontal="center" vertical="center" wrapText="1"/>
    </xf>
    <xf numFmtId="0" fontId="26" fillId="8" borderId="290" xfId="29" applyFont="1" applyFill="1" applyBorder="1" applyAlignment="1">
      <alignment horizontal="center" vertical="center" wrapText="1"/>
    </xf>
    <xf numFmtId="0" fontId="434" fillId="157" borderId="6" xfId="7" applyFont="1" applyFill="1" applyBorder="1" applyAlignment="1">
      <alignment horizontal="center" vertical="center"/>
    </xf>
    <xf numFmtId="0" fontId="434" fillId="157" borderId="0" xfId="7" applyFont="1" applyFill="1" applyAlignment="1">
      <alignment horizontal="center" vertical="center"/>
    </xf>
    <xf numFmtId="0" fontId="434" fillId="157" borderId="9" xfId="7" applyFont="1" applyFill="1" applyBorder="1" applyAlignment="1">
      <alignment horizontal="center" vertical="center"/>
    </xf>
    <xf numFmtId="0" fontId="87" fillId="8" borderId="339" xfId="7" applyFont="1" applyFill="1" applyBorder="1" applyAlignment="1">
      <alignment horizontal="right" vertical="center"/>
    </xf>
    <xf numFmtId="0" fontId="87" fillId="8" borderId="405" xfId="7" applyFont="1" applyFill="1" applyBorder="1" applyAlignment="1">
      <alignment horizontal="right" vertical="center"/>
    </xf>
    <xf numFmtId="0" fontId="72" fillId="8" borderId="339" xfId="7" applyFont="1" applyFill="1" applyBorder="1" applyAlignment="1">
      <alignment horizontal="right" vertical="center"/>
    </xf>
    <xf numFmtId="0" fontId="72" fillId="8" borderId="405" xfId="7" applyFont="1" applyFill="1" applyBorder="1" applyAlignment="1">
      <alignment horizontal="right" vertical="center"/>
    </xf>
    <xf numFmtId="0" fontId="37" fillId="8" borderId="339" xfId="7" applyFont="1" applyFill="1" applyBorder="1" applyAlignment="1">
      <alignment horizontal="center" vertical="center" wrapText="1"/>
    </xf>
    <xf numFmtId="0" fontId="37" fillId="8" borderId="405" xfId="7" applyFont="1" applyFill="1" applyBorder="1" applyAlignment="1">
      <alignment horizontal="center" vertical="center" wrapText="1"/>
    </xf>
    <xf numFmtId="0" fontId="37" fillId="8" borderId="406" xfId="7" applyFont="1" applyFill="1" applyBorder="1" applyAlignment="1">
      <alignment horizontal="center" vertical="center" wrapText="1"/>
    </xf>
    <xf numFmtId="0" fontId="37" fillId="8" borderId="58" xfId="7" applyFont="1" applyFill="1" applyBorder="1" applyAlignment="1">
      <alignment horizontal="center" vertical="center" wrapText="1"/>
    </xf>
    <xf numFmtId="0" fontId="37" fillId="8" borderId="3" xfId="7" applyFont="1" applyFill="1" applyBorder="1" applyAlignment="1">
      <alignment horizontal="center" vertical="center" wrapText="1"/>
    </xf>
    <xf numFmtId="0" fontId="37" fillId="8" borderId="59" xfId="7" applyFont="1" applyFill="1" applyBorder="1" applyAlignment="1">
      <alignment horizontal="center" vertical="center" wrapText="1"/>
    </xf>
    <xf numFmtId="0" fontId="175" fillId="8" borderId="283" xfId="1" applyFont="1" applyFill="1" applyBorder="1" applyAlignment="1">
      <alignment horizontal="center" vertical="center" wrapText="1"/>
    </xf>
    <xf numFmtId="0" fontId="97" fillId="8" borderId="412" xfId="1" applyFont="1" applyFill="1" applyBorder="1" applyAlignment="1">
      <alignment horizontal="center" vertical="center" wrapText="1"/>
    </xf>
    <xf numFmtId="0" fontId="97" fillId="8" borderId="284" xfId="1" applyFont="1" applyFill="1" applyBorder="1" applyAlignment="1">
      <alignment horizontal="center" vertical="center" wrapText="1"/>
    </xf>
    <xf numFmtId="0" fontId="434" fillId="157" borderId="368" xfId="7" applyFont="1" applyFill="1" applyBorder="1" applyAlignment="1">
      <alignment horizontal="center" vertical="center"/>
    </xf>
    <xf numFmtId="0" fontId="434" fillId="157" borderId="405" xfId="7" applyFont="1" applyFill="1" applyBorder="1" applyAlignment="1">
      <alignment horizontal="center" vertical="center"/>
    </xf>
    <xf numFmtId="0" fontId="434" fillId="157" borderId="407" xfId="7" applyFont="1" applyFill="1" applyBorder="1" applyAlignment="1">
      <alignment horizontal="center" vertical="center"/>
    </xf>
    <xf numFmtId="0" fontId="434" fillId="36" borderId="0" xfId="7" applyFont="1" applyFill="1" applyAlignment="1">
      <alignment horizontal="center" vertical="center"/>
    </xf>
    <xf numFmtId="0" fontId="434" fillId="36" borderId="279" xfId="7" applyFont="1" applyFill="1" applyBorder="1" applyAlignment="1">
      <alignment horizontal="center" vertical="center"/>
    </xf>
    <xf numFmtId="0" fontId="72" fillId="8" borderId="0" xfId="7" applyFont="1" applyFill="1" applyAlignment="1">
      <alignment horizontal="right" vertical="center"/>
    </xf>
    <xf numFmtId="207" fontId="509" fillId="171" borderId="426" xfId="5" applyNumberFormat="1" applyFont="1" applyFill="1" applyBorder="1" applyAlignment="1">
      <alignment horizontal="right" vertical="center"/>
    </xf>
    <xf numFmtId="207" fontId="509" fillId="171" borderId="128" xfId="5" applyNumberFormat="1" applyFont="1" applyFill="1" applyBorder="1" applyAlignment="1">
      <alignment horizontal="right" vertical="center"/>
    </xf>
    <xf numFmtId="0" fontId="510" fillId="171" borderId="427" xfId="7" applyFont="1" applyFill="1" applyBorder="1" applyAlignment="1">
      <alignment horizontal="center" vertical="center"/>
    </xf>
    <xf numFmtId="0" fontId="510" fillId="171" borderId="288" xfId="7" applyFont="1" applyFill="1" applyBorder="1" applyAlignment="1">
      <alignment horizontal="center" vertical="center"/>
    </xf>
    <xf numFmtId="0" fontId="511" fillId="171" borderId="427" xfId="7" applyFont="1" applyFill="1" applyBorder="1" applyAlignment="1">
      <alignment horizontal="right" vertical="center"/>
    </xf>
    <xf numFmtId="0" fontId="511" fillId="171" borderId="288" xfId="7" applyFont="1" applyFill="1" applyBorder="1" applyAlignment="1">
      <alignment horizontal="right" vertical="center"/>
    </xf>
    <xf numFmtId="167" fontId="510" fillId="171" borderId="428" xfId="7" applyNumberFormat="1" applyFont="1" applyFill="1" applyBorder="1" applyAlignment="1">
      <alignment horizontal="center" vertical="center"/>
    </xf>
    <xf numFmtId="167" fontId="512" fillId="171" borderId="290" xfId="7" applyNumberFormat="1" applyFont="1" applyFill="1" applyBorder="1" applyAlignment="1">
      <alignment horizontal="center" vertical="center"/>
    </xf>
    <xf numFmtId="0" fontId="439" fillId="129" borderId="58" xfId="7" applyFont="1" applyFill="1" applyBorder="1" applyAlignment="1">
      <alignment horizontal="center" vertical="center"/>
    </xf>
    <xf numFmtId="0" fontId="439" fillId="129" borderId="3" xfId="7" applyFont="1" applyFill="1" applyBorder="1" applyAlignment="1">
      <alignment horizontal="center" vertical="center"/>
    </xf>
    <xf numFmtId="0" fontId="439" fillId="129" borderId="59" xfId="7" applyFont="1" applyFill="1" applyBorder="1" applyAlignment="1">
      <alignment horizontal="center" vertical="center"/>
    </xf>
    <xf numFmtId="171" fontId="71" fillId="8" borderId="135" xfId="7" applyNumberFormat="1" applyFont="1" applyFill="1" applyBorder="1" applyAlignment="1">
      <alignment horizontal="center" vertical="center"/>
    </xf>
    <xf numFmtId="171" fontId="71" fillId="8" borderId="18" xfId="7" applyNumberFormat="1" applyFont="1" applyFill="1" applyBorder="1" applyAlignment="1">
      <alignment horizontal="center" vertical="center"/>
    </xf>
    <xf numFmtId="171" fontId="441" fillId="0" borderId="6" xfId="7" applyNumberFormat="1" applyFont="1" applyBorder="1" applyAlignment="1">
      <alignment horizontal="center" vertical="center"/>
    </xf>
    <xf numFmtId="171" fontId="441" fillId="0" borderId="0" xfId="7" applyNumberFormat="1" applyFont="1" applyAlignment="1">
      <alignment horizontal="center" vertical="center"/>
    </xf>
    <xf numFmtId="171" fontId="479" fillId="66" borderId="0" xfId="7" applyNumberFormat="1" applyFont="1" applyFill="1" applyAlignment="1" applyProtection="1">
      <alignment horizontal="center" vertical="center"/>
      <protection locked="0"/>
    </xf>
    <xf numFmtId="171" fontId="1" fillId="0" borderId="9" xfId="7" applyNumberFormat="1" applyBorder="1" applyAlignment="1">
      <alignment horizontal="center" vertical="center"/>
    </xf>
    <xf numFmtId="171" fontId="71" fillId="8" borderId="294" xfId="7" applyNumberFormat="1" applyFont="1" applyFill="1" applyBorder="1" applyAlignment="1">
      <alignment horizontal="center" vertical="center"/>
    </xf>
    <xf numFmtId="0" fontId="497" fillId="65" borderId="381" xfId="7" applyFont="1" applyFill="1" applyBorder="1" applyAlignment="1">
      <alignment horizontal="center" vertical="center" wrapText="1"/>
    </xf>
    <xf numFmtId="0" fontId="497" fillId="65" borderId="48" xfId="7" applyFont="1" applyFill="1" applyBorder="1" applyAlignment="1">
      <alignment horizontal="center" vertical="center" wrapText="1"/>
    </xf>
    <xf numFmtId="0" fontId="497" fillId="65" borderId="50" xfId="7" applyFont="1" applyFill="1" applyBorder="1" applyAlignment="1">
      <alignment horizontal="center" vertical="center" wrapText="1"/>
    </xf>
    <xf numFmtId="0" fontId="497" fillId="65" borderId="123" xfId="7" applyFont="1" applyFill="1" applyBorder="1" applyAlignment="1">
      <alignment horizontal="center" vertical="center" wrapText="1"/>
    </xf>
    <xf numFmtId="0" fontId="497" fillId="65" borderId="82" xfId="7" applyFont="1" applyFill="1" applyBorder="1" applyAlignment="1">
      <alignment horizontal="center" vertical="center" wrapText="1"/>
    </xf>
    <xf numFmtId="0" fontId="497" fillId="65" borderId="124" xfId="7" applyFont="1" applyFill="1" applyBorder="1" applyAlignment="1">
      <alignment horizontal="center" vertical="center" wrapText="1"/>
    </xf>
    <xf numFmtId="169" fontId="194" fillId="163" borderId="52" xfId="29" applyNumberFormat="1" applyFont="1" applyFill="1" applyBorder="1" applyAlignment="1">
      <alignment horizontal="left" vertical="center"/>
    </xf>
    <xf numFmtId="169" fontId="194" fillId="163" borderId="117" xfId="29" applyNumberFormat="1" applyFont="1" applyFill="1" applyBorder="1" applyAlignment="1">
      <alignment horizontal="left" vertical="center"/>
    </xf>
    <xf numFmtId="169" fontId="194" fillId="163" borderId="0" xfId="29" applyNumberFormat="1" applyFont="1" applyFill="1" applyAlignment="1">
      <alignment horizontal="left" vertical="center"/>
    </xf>
    <xf numFmtId="169" fontId="194" fillId="163" borderId="9" xfId="29" applyNumberFormat="1" applyFont="1" applyFill="1" applyBorder="1" applyAlignment="1">
      <alignment horizontal="left" vertical="center"/>
    </xf>
    <xf numFmtId="0" fontId="157" fillId="65" borderId="58" xfId="5" applyFont="1" applyFill="1" applyBorder="1" applyAlignment="1">
      <alignment horizontal="center" vertical="center"/>
    </xf>
    <xf numFmtId="0" fontId="157" fillId="65" borderId="3" xfId="5" applyFont="1" applyFill="1" applyBorder="1" applyAlignment="1">
      <alignment horizontal="center" vertical="center"/>
    </xf>
    <xf numFmtId="0" fontId="157" fillId="65" borderId="59" xfId="5" applyFont="1" applyFill="1" applyBorder="1" applyAlignment="1">
      <alignment horizontal="center" vertical="center"/>
    </xf>
    <xf numFmtId="207" fontId="505" fillId="0" borderId="6" xfId="5" applyNumberFormat="1" applyFont="1" applyBorder="1" applyAlignment="1">
      <alignment horizontal="center" vertical="center"/>
    </xf>
    <xf numFmtId="207" fontId="505" fillId="0" borderId="0" xfId="5" applyNumberFormat="1" applyFont="1" applyAlignment="1">
      <alignment horizontal="center" vertical="center"/>
    </xf>
    <xf numFmtId="207" fontId="505" fillId="0" borderId="417" xfId="5" applyNumberFormat="1" applyFont="1" applyBorder="1" applyAlignment="1">
      <alignment horizontal="center" vertical="center"/>
    </xf>
    <xf numFmtId="207" fontId="505" fillId="0" borderId="418" xfId="5" applyNumberFormat="1" applyFont="1" applyBorder="1" applyAlignment="1">
      <alignment horizontal="center" vertical="center"/>
    </xf>
    <xf numFmtId="180" fontId="506" fillId="171" borderId="0" xfId="7" applyNumberFormat="1" applyFont="1" applyFill="1" applyAlignment="1" applyProtection="1">
      <alignment horizontal="right" vertical="center" wrapText="1"/>
      <protection locked="0"/>
    </xf>
    <xf numFmtId="180" fontId="506" fillId="171" borderId="418" xfId="7" applyNumberFormat="1" applyFont="1" applyFill="1" applyBorder="1" applyAlignment="1" applyProtection="1">
      <alignment horizontal="right" vertical="center" wrapText="1"/>
      <protection locked="0"/>
    </xf>
    <xf numFmtId="171" fontId="507" fillId="6" borderId="50" xfId="5" applyNumberFormat="1" applyFont="1" applyFill="1" applyBorder="1" applyAlignment="1">
      <alignment horizontal="center" vertical="center"/>
    </xf>
    <xf numFmtId="171" fontId="507" fillId="6" borderId="419" xfId="5" applyNumberFormat="1" applyFont="1" applyFill="1" applyBorder="1" applyAlignment="1">
      <alignment horizontal="center" vertical="center"/>
    </xf>
    <xf numFmtId="171" fontId="508" fillId="172" borderId="6" xfId="7" applyNumberFormat="1" applyFont="1" applyFill="1" applyBorder="1" applyAlignment="1" applyProtection="1">
      <alignment horizontal="center" vertical="center"/>
      <protection locked="0"/>
    </xf>
    <xf numFmtId="185" fontId="508" fillId="172" borderId="9" xfId="7" applyNumberFormat="1" applyFont="1" applyFill="1" applyBorder="1" applyAlignment="1" applyProtection="1">
      <alignment horizontal="center" vertical="center"/>
      <protection locked="0"/>
    </xf>
    <xf numFmtId="0" fontId="508" fillId="66" borderId="135" xfId="5" applyFont="1" applyFill="1" applyBorder="1" applyAlignment="1">
      <alignment horizontal="center" vertical="center"/>
    </xf>
    <xf numFmtId="0" fontId="508" fillId="66" borderId="423" xfId="5" applyFont="1" applyFill="1" applyBorder="1" applyAlignment="1">
      <alignment horizontal="center" vertical="center"/>
    </xf>
    <xf numFmtId="0" fontId="508" fillId="66" borderId="18" xfId="5" applyFont="1" applyFill="1" applyBorder="1" applyAlignment="1">
      <alignment horizontal="center" vertical="center"/>
    </xf>
    <xf numFmtId="0" fontId="508" fillId="66" borderId="424" xfId="5" applyFont="1" applyFill="1" applyBorder="1" applyAlignment="1">
      <alignment horizontal="center" vertical="center"/>
    </xf>
    <xf numFmtId="0" fontId="508" fillId="66" borderId="294" xfId="5" applyFont="1" applyFill="1" applyBorder="1" applyAlignment="1">
      <alignment horizontal="center" vertical="center"/>
    </xf>
    <xf numFmtId="0" fontId="508" fillId="66" borderId="425" xfId="5" applyFont="1" applyFill="1" applyBorder="1" applyAlignment="1">
      <alignment horizontal="center" vertical="center"/>
    </xf>
    <xf numFmtId="171" fontId="441" fillId="8" borderId="298" xfId="7" applyNumberFormat="1" applyFont="1" applyFill="1" applyBorder="1" applyAlignment="1">
      <alignment horizontal="center" vertical="center"/>
    </xf>
    <xf numFmtId="171" fontId="441" fillId="8" borderId="52" xfId="7" applyNumberFormat="1" applyFont="1" applyFill="1" applyBorder="1" applyAlignment="1">
      <alignment horizontal="center" vertical="center"/>
    </xf>
    <xf numFmtId="171" fontId="441" fillId="8" borderId="117" xfId="7" applyNumberFormat="1" applyFont="1" applyFill="1" applyBorder="1" applyAlignment="1">
      <alignment horizontal="center" vertical="center"/>
    </xf>
    <xf numFmtId="171" fontId="479" fillId="66" borderId="420" xfId="5" applyNumberFormat="1" applyFont="1" applyFill="1" applyBorder="1" applyAlignment="1">
      <alignment horizontal="center" vertical="center"/>
    </xf>
    <xf numFmtId="171" fontId="479" fillId="66" borderId="135" xfId="5" applyNumberFormat="1" applyFont="1" applyFill="1" applyBorder="1" applyAlignment="1">
      <alignment horizontal="center" vertical="center"/>
    </xf>
    <xf numFmtId="171" fontId="479" fillId="66" borderId="421" xfId="5" applyNumberFormat="1" applyFont="1" applyFill="1" applyBorder="1" applyAlignment="1">
      <alignment horizontal="center" vertical="center"/>
    </xf>
    <xf numFmtId="171" fontId="479" fillId="66" borderId="18" xfId="5" applyNumberFormat="1" applyFont="1" applyFill="1" applyBorder="1" applyAlignment="1">
      <alignment horizontal="center" vertical="center"/>
    </xf>
    <xf numFmtId="171" fontId="479" fillId="66" borderId="422" xfId="5" applyNumberFormat="1" applyFont="1" applyFill="1" applyBorder="1" applyAlignment="1">
      <alignment horizontal="center" vertical="center"/>
    </xf>
    <xf numFmtId="171" fontId="479" fillId="66" borderId="294" xfId="5" applyNumberFormat="1" applyFont="1" applyFill="1" applyBorder="1" applyAlignment="1">
      <alignment horizontal="center" vertical="center"/>
    </xf>
    <xf numFmtId="0" fontId="484" fillId="167" borderId="2" xfId="5" applyFont="1" applyFill="1" applyBorder="1" applyAlignment="1">
      <alignment horizontal="center" vertical="center"/>
    </xf>
    <xf numFmtId="0" fontId="484" fillId="167" borderId="0" xfId="5" applyFont="1" applyFill="1" applyAlignment="1">
      <alignment horizontal="center" vertical="center"/>
    </xf>
    <xf numFmtId="0" fontId="437" fillId="4" borderId="7" xfId="1" applyFont="1" applyFill="1" applyBorder="1" applyAlignment="1" applyProtection="1">
      <alignment horizontal="center" vertical="center" wrapText="1"/>
      <protection hidden="1"/>
    </xf>
    <xf numFmtId="0" fontId="437" fillId="4" borderId="2" xfId="1" applyFont="1" applyFill="1" applyBorder="1" applyAlignment="1" applyProtection="1">
      <alignment horizontal="center" vertical="center" wrapText="1"/>
      <protection hidden="1"/>
    </xf>
    <xf numFmtId="0" fontId="437" fillId="4" borderId="6" xfId="1" applyFont="1" applyFill="1" applyBorder="1" applyAlignment="1" applyProtection="1">
      <alignment horizontal="center" vertical="center" wrapText="1"/>
      <protection hidden="1"/>
    </xf>
    <xf numFmtId="0" fontId="437" fillId="4" borderId="0" xfId="1" applyFont="1" applyFill="1" applyAlignment="1" applyProtection="1">
      <alignment horizontal="center" vertical="center" wrapText="1"/>
      <protection hidden="1"/>
    </xf>
    <xf numFmtId="0" fontId="485" fillId="4" borderId="8" xfId="5" applyFont="1" applyFill="1" applyBorder="1" applyAlignment="1">
      <alignment horizontal="center" vertical="center"/>
    </xf>
    <xf numFmtId="0" fontId="485" fillId="4" borderId="9" xfId="5" applyFont="1" applyFill="1" applyBorder="1" applyAlignment="1">
      <alignment horizontal="center" vertical="center"/>
    </xf>
    <xf numFmtId="0" fontId="1" fillId="168" borderId="9" xfId="7" applyFill="1" applyBorder="1" applyAlignment="1">
      <alignment horizontal="center" vertical="center" textRotation="90"/>
    </xf>
    <xf numFmtId="0" fontId="437" fillId="8" borderId="6" xfId="29" applyFont="1" applyFill="1" applyBorder="1" applyAlignment="1">
      <alignment horizontal="center" vertical="center" wrapText="1"/>
    </xf>
    <xf numFmtId="0" fontId="437" fillId="8" borderId="0" xfId="29" applyFont="1" applyFill="1" applyAlignment="1">
      <alignment horizontal="center" vertical="center" wrapText="1"/>
    </xf>
    <xf numFmtId="0" fontId="437" fillId="8" borderId="9" xfId="29" applyFont="1" applyFill="1" applyBorder="1" applyAlignment="1">
      <alignment horizontal="center" vertical="center" wrapText="1"/>
    </xf>
    <xf numFmtId="0" fontId="486" fillId="8" borderId="6" xfId="29" applyFont="1" applyFill="1" applyBorder="1" applyAlignment="1">
      <alignment horizontal="center" vertical="center" wrapText="1"/>
    </xf>
    <xf numFmtId="0" fontId="486" fillId="8" borderId="0" xfId="29" applyFont="1" applyFill="1" applyAlignment="1">
      <alignment horizontal="center" vertical="center" wrapText="1"/>
    </xf>
    <xf numFmtId="0" fontId="486" fillId="8" borderId="9" xfId="29" applyFont="1" applyFill="1" applyBorder="1" applyAlignment="1">
      <alignment horizontal="center" vertical="center" wrapText="1"/>
    </xf>
    <xf numFmtId="0" fontId="434" fillId="169" borderId="6" xfId="1" applyFont="1" applyFill="1" applyBorder="1" applyAlignment="1">
      <alignment horizontal="left" vertical="center"/>
    </xf>
    <xf numFmtId="0" fontId="434" fillId="169" borderId="0" xfId="1" applyFont="1" applyFill="1" applyAlignment="1">
      <alignment horizontal="left" vertical="center"/>
    </xf>
    <xf numFmtId="0" fontId="434" fillId="169" borderId="9" xfId="1" applyFont="1" applyFill="1" applyBorder="1" applyAlignment="1">
      <alignment horizontal="left" vertical="center"/>
    </xf>
    <xf numFmtId="0" fontId="487" fillId="65" borderId="0" xfId="1" applyFont="1" applyFill="1" applyAlignment="1">
      <alignment horizontal="center" vertical="center"/>
    </xf>
    <xf numFmtId="0" fontId="498" fillId="65" borderId="0" xfId="1" applyFont="1" applyFill="1" applyAlignment="1">
      <alignment horizontal="center" vertical="center"/>
    </xf>
    <xf numFmtId="0" fontId="450" fillId="66" borderId="379" xfId="7" applyFont="1" applyFill="1" applyBorder="1" applyAlignment="1">
      <alignment horizontal="center" vertical="center"/>
    </xf>
    <xf numFmtId="0" fontId="450" fillId="66" borderId="179" xfId="7" applyFont="1" applyFill="1" applyBorder="1" applyAlignment="1">
      <alignment horizontal="center" vertical="center"/>
    </xf>
    <xf numFmtId="169" fontId="450" fillId="66" borderId="0" xfId="29" applyNumberFormat="1" applyFont="1" applyFill="1" applyAlignment="1">
      <alignment horizontal="center" vertical="center"/>
    </xf>
    <xf numFmtId="0" fontId="434" fillId="170" borderId="6" xfId="1" applyFont="1" applyFill="1" applyBorder="1" applyAlignment="1">
      <alignment horizontal="center" vertical="center"/>
    </xf>
    <xf numFmtId="0" fontId="434" fillId="170" borderId="0" xfId="1" applyFont="1" applyFill="1" applyAlignment="1">
      <alignment horizontal="center" vertical="center"/>
    </xf>
    <xf numFmtId="0" fontId="434" fillId="170" borderId="9" xfId="1" applyFont="1" applyFill="1" applyBorder="1" applyAlignment="1">
      <alignment horizontal="center" vertical="center"/>
    </xf>
    <xf numFmtId="0" fontId="503" fillId="65" borderId="0" xfId="1" applyFont="1" applyFill="1" applyAlignment="1">
      <alignment horizontal="center" vertical="center"/>
    </xf>
    <xf numFmtId="0" fontId="446" fillId="66" borderId="379" xfId="7" applyFont="1" applyFill="1" applyBorder="1" applyAlignment="1">
      <alignment horizontal="center" vertical="center"/>
    </xf>
    <xf numFmtId="0" fontId="446" fillId="66" borderId="179" xfId="7" applyFont="1" applyFill="1" applyBorder="1" applyAlignment="1">
      <alignment horizontal="center" vertical="center"/>
    </xf>
    <xf numFmtId="0" fontId="487" fillId="65" borderId="288" xfId="1" applyFont="1" applyFill="1" applyBorder="1" applyAlignment="1">
      <alignment horizontal="center" vertical="center"/>
    </xf>
    <xf numFmtId="0" fontId="76" fillId="8" borderId="6" xfId="42" applyFont="1" applyFill="1" applyBorder="1" applyAlignment="1">
      <alignment horizontal="center" vertical="center" wrapText="1"/>
    </xf>
    <xf numFmtId="0" fontId="76" fillId="8" borderId="0" xfId="42" applyFont="1" applyFill="1" applyAlignment="1">
      <alignment horizontal="center" vertical="center" wrapText="1"/>
    </xf>
    <xf numFmtId="0" fontId="76" fillId="8" borderId="0" xfId="16" applyFont="1" applyFill="1" applyAlignment="1">
      <alignment horizontal="center" vertical="center" wrapText="1"/>
    </xf>
    <xf numFmtId="0" fontId="48" fillId="8" borderId="9" xfId="16" applyFont="1" applyFill="1" applyBorder="1" applyAlignment="1">
      <alignment horizontal="center" wrapText="1"/>
    </xf>
    <xf numFmtId="0" fontId="48" fillId="8" borderId="339" xfId="16" applyFont="1" applyFill="1" applyBorder="1" applyAlignment="1">
      <alignment horizontal="center" vertical="center"/>
    </xf>
    <xf numFmtId="0" fontId="48" fillId="8" borderId="405" xfId="16" applyFont="1" applyFill="1" applyBorder="1" applyAlignment="1">
      <alignment horizontal="center" vertical="center"/>
    </xf>
    <xf numFmtId="0" fontId="48" fillId="8" borderId="6" xfId="16" applyFont="1" applyFill="1" applyBorder="1" applyAlignment="1">
      <alignment horizontal="center" vertical="center"/>
    </xf>
    <xf numFmtId="0" fontId="48" fillId="8" borderId="0" xfId="16" applyFont="1" applyFill="1" applyAlignment="1">
      <alignment horizontal="center" vertical="center"/>
    </xf>
    <xf numFmtId="0" fontId="48" fillId="8" borderId="406" xfId="16" applyFont="1" applyFill="1" applyBorder="1" applyAlignment="1">
      <alignment horizontal="center" wrapText="1"/>
    </xf>
    <xf numFmtId="0" fontId="475" fillId="62" borderId="7" xfId="42" applyFont="1" applyFill="1" applyBorder="1" applyAlignment="1">
      <alignment horizontal="center" vertical="center"/>
    </xf>
    <xf numFmtId="0" fontId="475" fillId="62" borderId="2" xfId="42" applyFont="1" applyFill="1" applyBorder="1" applyAlignment="1">
      <alignment horizontal="center" vertical="center"/>
    </xf>
    <xf numFmtId="0" fontId="475" fillId="62" borderId="8" xfId="42" applyFont="1" applyFill="1" applyBorder="1" applyAlignment="1">
      <alignment horizontal="center" vertical="center"/>
    </xf>
    <xf numFmtId="0" fontId="424" fillId="19" borderId="381" xfId="42" applyFont="1" applyFill="1" applyBorder="1" applyAlignment="1">
      <alignment horizontal="center" vertical="center" wrapText="1"/>
    </xf>
    <xf numFmtId="0" fontId="424" fillId="19" borderId="6" xfId="42" applyFont="1" applyFill="1" applyBorder="1" applyAlignment="1">
      <alignment horizontal="center" vertical="center" wrapText="1"/>
    </xf>
    <xf numFmtId="0" fontId="154" fillId="20" borderId="48" xfId="16" applyFont="1" applyFill="1" applyBorder="1" applyAlignment="1">
      <alignment horizontal="center" vertical="center" wrapText="1"/>
    </xf>
    <xf numFmtId="0" fontId="154" fillId="20" borderId="0" xfId="16" applyFont="1" applyFill="1" applyAlignment="1">
      <alignment horizontal="center" vertical="center" wrapText="1"/>
    </xf>
    <xf numFmtId="0" fontId="432" fillId="8" borderId="48" xfId="16" applyFont="1" applyFill="1" applyBorder="1" applyAlignment="1">
      <alignment horizontal="center" vertical="center" wrapText="1"/>
    </xf>
    <xf numFmtId="0" fontId="432" fillId="8" borderId="0" xfId="16" applyFont="1" applyFill="1" applyAlignment="1">
      <alignment horizontal="center" vertical="center" wrapText="1"/>
    </xf>
    <xf numFmtId="0" fontId="13" fillId="8" borderId="9" xfId="16" applyFont="1" applyFill="1" applyBorder="1" applyAlignment="1">
      <alignment horizontal="center" vertical="center" wrapText="1"/>
    </xf>
    <xf numFmtId="224" fontId="481" fillId="8" borderId="6" xfId="16" applyNumberFormat="1" applyFont="1" applyFill="1" applyBorder="1" applyAlignment="1">
      <alignment horizontal="left" vertical="center" wrapText="1"/>
    </xf>
    <xf numFmtId="224" fontId="481" fillId="8" borderId="0" xfId="16" applyNumberFormat="1" applyFont="1" applyFill="1" applyAlignment="1">
      <alignment horizontal="left" vertical="center" wrapText="1"/>
    </xf>
    <xf numFmtId="224" fontId="481" fillId="8" borderId="9" xfId="16" applyNumberFormat="1" applyFont="1" applyFill="1" applyBorder="1" applyAlignment="1">
      <alignment horizontal="left" vertical="center" wrapText="1"/>
    </xf>
    <xf numFmtId="224" fontId="481" fillId="8" borderId="58" xfId="16" applyNumberFormat="1" applyFont="1" applyFill="1" applyBorder="1" applyAlignment="1">
      <alignment horizontal="left" vertical="center" wrapText="1"/>
    </xf>
    <xf numFmtId="224" fontId="481" fillId="8" borderId="3" xfId="16" applyNumberFormat="1" applyFont="1" applyFill="1" applyBorder="1" applyAlignment="1">
      <alignment horizontal="left" vertical="center" wrapText="1"/>
    </xf>
    <xf numFmtId="224" fontId="481" fillId="8" borderId="59" xfId="16" applyNumberFormat="1" applyFont="1" applyFill="1" applyBorder="1" applyAlignment="1">
      <alignment horizontal="left" vertical="center" wrapText="1"/>
    </xf>
    <xf numFmtId="0" fontId="31" fillId="16" borderId="9" xfId="1" applyFont="1" applyFill="1" applyBorder="1" applyAlignment="1">
      <alignment horizontal="center" vertical="center" textRotation="90" wrapText="1"/>
    </xf>
    <xf numFmtId="0" fontId="80" fillId="40" borderId="339" xfId="7" applyFont="1" applyFill="1" applyBorder="1" applyAlignment="1">
      <alignment horizontal="center" vertical="center" wrapText="1"/>
    </xf>
    <xf numFmtId="0" fontId="80" fillId="40" borderId="405" xfId="7" applyFont="1" applyFill="1" applyBorder="1" applyAlignment="1">
      <alignment horizontal="center" vertical="center" wrapText="1"/>
    </xf>
    <xf numFmtId="0" fontId="80" fillId="40" borderId="6" xfId="7" applyFont="1" applyFill="1" applyBorder="1" applyAlignment="1">
      <alignment horizontal="center" vertical="center" wrapText="1"/>
    </xf>
    <xf numFmtId="0" fontId="80" fillId="40" borderId="0" xfId="7" applyFont="1" applyFill="1" applyAlignment="1">
      <alignment horizontal="center" vertical="center" wrapText="1"/>
    </xf>
    <xf numFmtId="0" fontId="473" fillId="65" borderId="405" xfId="7" applyFont="1" applyFill="1" applyBorder="1" applyAlignment="1">
      <alignment horizontal="right" vertical="center" wrapText="1"/>
    </xf>
    <xf numFmtId="0" fontId="473" fillId="65" borderId="0" xfId="7" applyFont="1" applyFill="1" applyAlignment="1">
      <alignment horizontal="right" vertical="center" wrapText="1"/>
    </xf>
    <xf numFmtId="169" fontId="473" fillId="66" borderId="405" xfId="7" applyNumberFormat="1" applyFont="1" applyFill="1" applyBorder="1" applyAlignment="1">
      <alignment horizontal="center" vertical="center" wrapText="1"/>
    </xf>
    <xf numFmtId="169" fontId="473" fillId="66" borderId="406" xfId="7" applyNumberFormat="1" applyFont="1" applyFill="1" applyBorder="1" applyAlignment="1">
      <alignment horizontal="center" vertical="center" wrapText="1"/>
    </xf>
    <xf numFmtId="169" fontId="473" fillId="66" borderId="0" xfId="7" applyNumberFormat="1" applyFont="1" applyFill="1" applyAlignment="1">
      <alignment horizontal="center" vertical="center" wrapText="1"/>
    </xf>
    <xf numFmtId="169" fontId="473" fillId="66" borderId="9" xfId="7" applyNumberFormat="1" applyFont="1" applyFill="1" applyBorder="1" applyAlignment="1">
      <alignment horizontal="center" vertical="center" wrapText="1"/>
    </xf>
    <xf numFmtId="0" fontId="58" fillId="20" borderId="281" xfId="1" applyFont="1" applyFill="1" applyBorder="1" applyAlignment="1">
      <alignment horizontal="center" vertical="center"/>
    </xf>
    <xf numFmtId="0" fontId="58" fillId="20" borderId="274" xfId="1" applyFont="1" applyFill="1" applyBorder="1" applyAlignment="1">
      <alignment horizontal="center" vertical="center"/>
    </xf>
    <xf numFmtId="0" fontId="58" fillId="20" borderId="293" xfId="1" applyFont="1" applyFill="1" applyBorder="1" applyAlignment="1">
      <alignment horizontal="center" vertical="center"/>
    </xf>
    <xf numFmtId="0" fontId="58" fillId="0" borderId="135" xfId="7" applyFont="1" applyBorder="1" applyAlignment="1">
      <alignment horizontal="center" vertical="center"/>
    </xf>
    <xf numFmtId="0" fontId="84" fillId="65" borderId="280" xfId="7" applyFont="1" applyFill="1" applyBorder="1" applyAlignment="1">
      <alignment horizontal="center" vertical="center" wrapText="1"/>
    </xf>
    <xf numFmtId="2" fontId="380" fillId="60" borderId="0" xfId="16" applyNumberFormat="1" applyFont="1" applyFill="1" applyAlignment="1" applyProtection="1">
      <alignment horizontal="center" vertical="center"/>
      <protection locked="0"/>
    </xf>
    <xf numFmtId="2" fontId="380" fillId="60" borderId="13" xfId="16" applyNumberFormat="1" applyFont="1" applyFill="1" applyBorder="1" applyAlignment="1" applyProtection="1">
      <alignment horizontal="center" vertical="center"/>
      <protection locked="0"/>
    </xf>
    <xf numFmtId="1" fontId="26" fillId="60" borderId="0" xfId="16" applyNumberFormat="1" applyFont="1" applyFill="1" applyAlignment="1" applyProtection="1">
      <alignment horizontal="center" vertical="center"/>
      <protection locked="0"/>
    </xf>
    <xf numFmtId="1" fontId="26" fillId="60" borderId="13" xfId="16" applyNumberFormat="1" applyFont="1" applyFill="1" applyBorder="1" applyAlignment="1" applyProtection="1">
      <alignment horizontal="center" vertical="center"/>
      <protection locked="0"/>
    </xf>
    <xf numFmtId="0" fontId="26" fillId="43" borderId="0" xfId="16" applyFont="1" applyFill="1" applyAlignment="1" applyProtection="1">
      <alignment horizontal="center" vertical="center"/>
      <protection locked="0"/>
    </xf>
    <xf numFmtId="0" fontId="26" fillId="43" borderId="13" xfId="16" applyFont="1" applyFill="1" applyBorder="1" applyAlignment="1" applyProtection="1">
      <alignment horizontal="center" vertical="center"/>
      <protection locked="0"/>
    </xf>
    <xf numFmtId="220" fontId="26" fillId="43" borderId="0" xfId="16" applyNumberFormat="1" applyFont="1" applyFill="1" applyAlignment="1" applyProtection="1">
      <alignment horizontal="right" vertical="center"/>
      <protection locked="0"/>
    </xf>
    <xf numFmtId="220" fontId="26" fillId="43" borderId="13" xfId="16" applyNumberFormat="1" applyFont="1" applyFill="1" applyBorder="1" applyAlignment="1" applyProtection="1">
      <alignment horizontal="right" vertical="center"/>
      <protection locked="0"/>
    </xf>
    <xf numFmtId="221" fontId="26" fillId="43" borderId="0" xfId="7" applyNumberFormat="1" applyFont="1" applyFill="1" applyAlignment="1">
      <alignment horizontal="center" vertical="center"/>
    </xf>
    <xf numFmtId="221" fontId="26" fillId="43" borderId="13" xfId="7" applyNumberFormat="1" applyFont="1" applyFill="1" applyBorder="1" applyAlignment="1">
      <alignment horizontal="center" vertical="center"/>
    </xf>
    <xf numFmtId="1" fontId="69" fillId="43" borderId="0" xfId="16" applyNumberFormat="1" applyFont="1" applyFill="1" applyAlignment="1" applyProtection="1">
      <alignment horizontal="left" vertical="center"/>
      <protection locked="0"/>
    </xf>
    <xf numFmtId="1" fontId="69" fillId="43" borderId="13" xfId="16" applyNumberFormat="1" applyFont="1" applyFill="1" applyBorder="1" applyAlignment="1" applyProtection="1">
      <alignment horizontal="left" vertical="center"/>
      <protection locked="0"/>
    </xf>
    <xf numFmtId="0" fontId="176" fillId="65" borderId="280" xfId="7" applyFont="1" applyFill="1" applyBorder="1" applyAlignment="1">
      <alignment horizontal="center" vertical="center" wrapText="1"/>
    </xf>
    <xf numFmtId="0" fontId="57" fillId="65" borderId="280" xfId="7" applyFont="1" applyFill="1" applyBorder="1" applyAlignment="1">
      <alignment horizontal="center" vertical="center" wrapText="1"/>
    </xf>
    <xf numFmtId="0" fontId="13" fillId="65" borderId="280" xfId="7" applyFont="1" applyFill="1" applyBorder="1" applyAlignment="1">
      <alignment horizontal="center" vertical="center" wrapText="1"/>
    </xf>
    <xf numFmtId="0" fontId="57" fillId="65" borderId="294" xfId="7" applyFont="1" applyFill="1" applyBorder="1" applyAlignment="1">
      <alignment horizontal="center" vertical="center" wrapText="1"/>
    </xf>
    <xf numFmtId="0" fontId="58" fillId="20" borderId="283" xfId="1" applyFont="1" applyFill="1" applyBorder="1" applyAlignment="1">
      <alignment horizontal="center" vertical="center"/>
    </xf>
    <xf numFmtId="0" fontId="58" fillId="20" borderId="412" xfId="1" applyFont="1" applyFill="1" applyBorder="1" applyAlignment="1">
      <alignment horizontal="center" vertical="center"/>
    </xf>
    <xf numFmtId="0" fontId="58" fillId="20" borderId="284" xfId="1" applyFont="1" applyFill="1" applyBorder="1" applyAlignment="1">
      <alignment horizontal="center" vertical="center"/>
    </xf>
    <xf numFmtId="220" fontId="26" fillId="43" borderId="0" xfId="16" applyNumberFormat="1" applyFont="1" applyFill="1" applyAlignment="1" applyProtection="1">
      <alignment horizontal="center" vertical="center"/>
      <protection locked="0"/>
    </xf>
    <xf numFmtId="220" fontId="26" fillId="43" borderId="13" xfId="16" applyNumberFormat="1" applyFont="1" applyFill="1" applyBorder="1" applyAlignment="1" applyProtection="1">
      <alignment horizontal="center" vertical="center"/>
      <protection locked="0"/>
    </xf>
    <xf numFmtId="221" fontId="26" fillId="43" borderId="0" xfId="7" applyNumberFormat="1" applyFont="1" applyFill="1" applyAlignment="1">
      <alignment horizontal="left" vertical="center"/>
    </xf>
    <xf numFmtId="221" fontId="26" fillId="43" borderId="13" xfId="7" applyNumberFormat="1" applyFont="1" applyFill="1" applyBorder="1" applyAlignment="1">
      <alignment horizontal="left" vertical="center"/>
    </xf>
    <xf numFmtId="1" fontId="69" fillId="43" borderId="9" xfId="16" applyNumberFormat="1" applyFont="1" applyFill="1" applyBorder="1" applyAlignment="1" applyProtection="1">
      <alignment horizontal="center" vertical="center"/>
      <protection locked="0"/>
    </xf>
    <xf numFmtId="1" fontId="69" fillId="43" borderId="21" xfId="16" applyNumberFormat="1" applyFont="1" applyFill="1" applyBorder="1" applyAlignment="1" applyProtection="1">
      <alignment horizontal="center" vertical="center"/>
      <protection locked="0"/>
    </xf>
    <xf numFmtId="0" fontId="160" fillId="60" borderId="0" xfId="16" applyFont="1" applyFill="1" applyAlignment="1" applyProtection="1">
      <alignment horizontal="right" vertical="center" wrapText="1"/>
      <protection locked="0"/>
    </xf>
    <xf numFmtId="0" fontId="160" fillId="162" borderId="0" xfId="16" applyFont="1" applyFill="1" applyAlignment="1" applyProtection="1">
      <alignment horizontal="center" vertical="center"/>
      <protection locked="0"/>
    </xf>
    <xf numFmtId="0" fontId="160" fillId="162" borderId="0" xfId="16" applyFont="1" applyFill="1" applyAlignment="1" applyProtection="1">
      <alignment horizontal="left" vertical="center"/>
      <protection locked="0"/>
    </xf>
    <xf numFmtId="185" fontId="13" fillId="60" borderId="9" xfId="16" applyNumberFormat="1" applyFont="1" applyFill="1" applyBorder="1" applyAlignment="1" applyProtection="1">
      <alignment horizontal="center" vertical="center"/>
      <protection locked="0"/>
    </xf>
    <xf numFmtId="0" fontId="26" fillId="43" borderId="0" xfId="16" applyFont="1" applyFill="1" applyAlignment="1">
      <alignment horizontal="center"/>
    </xf>
    <xf numFmtId="220" fontId="26" fillId="8" borderId="0" xfId="16" applyNumberFormat="1" applyFont="1" applyFill="1" applyAlignment="1" applyProtection="1">
      <alignment horizontal="center" vertical="center"/>
      <protection locked="0"/>
    </xf>
    <xf numFmtId="220" fontId="26" fillId="8" borderId="3" xfId="16" applyNumberFormat="1" applyFont="1" applyFill="1" applyBorder="1" applyAlignment="1" applyProtection="1">
      <alignment horizontal="center" vertical="center"/>
      <protection locked="0"/>
    </xf>
    <xf numFmtId="221" fontId="26" fillId="8" borderId="288" xfId="7" applyNumberFormat="1" applyFont="1" applyFill="1" applyBorder="1" applyAlignment="1">
      <alignment horizontal="center" vertical="center"/>
    </xf>
    <xf numFmtId="221" fontId="26" fillId="8" borderId="3" xfId="7" applyNumberFormat="1" applyFont="1" applyFill="1" applyBorder="1" applyAlignment="1">
      <alignment horizontal="center" vertical="center"/>
    </xf>
    <xf numFmtId="1" fontId="69" fillId="8" borderId="9" xfId="16" applyNumberFormat="1" applyFont="1" applyFill="1" applyBorder="1" applyAlignment="1" applyProtection="1">
      <alignment horizontal="center" vertical="center"/>
      <protection locked="0"/>
    </xf>
    <xf numFmtId="1" fontId="69" fillId="8" borderId="59" xfId="16" applyNumberFormat="1" applyFont="1" applyFill="1" applyBorder="1" applyAlignment="1" applyProtection="1">
      <alignment horizontal="center" vertical="center"/>
      <protection locked="0"/>
    </xf>
    <xf numFmtId="0" fontId="28" fillId="16" borderId="381" xfId="16" applyFont="1" applyFill="1" applyBorder="1" applyAlignment="1">
      <alignment horizontal="center" vertical="center"/>
    </xf>
    <xf numFmtId="0" fontId="28" fillId="16" borderId="48" xfId="16" applyFont="1" applyFill="1" applyBorder="1" applyAlignment="1">
      <alignment horizontal="center" vertical="center"/>
    </xf>
    <xf numFmtId="179" fontId="20" fillId="8" borderId="6" xfId="16" applyNumberFormat="1" applyFont="1" applyFill="1" applyBorder="1" applyAlignment="1" applyProtection="1">
      <alignment horizontal="center" vertical="center"/>
      <protection locked="0"/>
    </xf>
    <xf numFmtId="179" fontId="20" fillId="8" borderId="0" xfId="16" applyNumberFormat="1" applyFont="1" applyFill="1" applyAlignment="1" applyProtection="1">
      <alignment horizontal="center" vertical="center"/>
      <protection locked="0"/>
    </xf>
    <xf numFmtId="0" fontId="64" fillId="43" borderId="0" xfId="16" applyFont="1" applyFill="1" applyAlignment="1" applyProtection="1">
      <alignment horizontal="center" vertical="center" wrapText="1"/>
      <protection locked="0"/>
    </xf>
    <xf numFmtId="0" fontId="474" fillId="166" borderId="7" xfId="16" applyFont="1" applyFill="1" applyBorder="1" applyAlignment="1">
      <alignment horizontal="left" vertical="center"/>
    </xf>
    <xf numFmtId="0" fontId="474" fillId="166" borderId="2" xfId="16" applyFont="1" applyFill="1" applyBorder="1" applyAlignment="1">
      <alignment horizontal="left" vertical="center"/>
    </xf>
    <xf numFmtId="0" fontId="474" fillId="166" borderId="8" xfId="16" applyFont="1" applyFill="1" applyBorder="1" applyAlignment="1">
      <alignment horizontal="left" vertical="center"/>
    </xf>
    <xf numFmtId="0" fontId="13" fillId="60" borderId="6" xfId="16" applyFont="1" applyFill="1" applyBorder="1" applyAlignment="1" applyProtection="1">
      <alignment horizontal="right" vertical="center" wrapText="1"/>
      <protection locked="0"/>
    </xf>
    <xf numFmtId="0" fontId="13" fillId="60" borderId="0" xfId="16" applyFont="1" applyFill="1" applyAlignment="1" applyProtection="1">
      <alignment horizontal="right" vertical="center" wrapText="1"/>
      <protection locked="0"/>
    </xf>
    <xf numFmtId="0" fontId="13" fillId="60" borderId="343" xfId="16" applyFont="1" applyFill="1" applyBorder="1" applyAlignment="1" applyProtection="1">
      <alignment horizontal="right" vertical="center" wrapText="1"/>
      <protection locked="0"/>
    </xf>
    <xf numFmtId="0" fontId="13" fillId="60" borderId="13" xfId="16" applyFont="1" applyFill="1" applyBorder="1" applyAlignment="1" applyProtection="1">
      <alignment horizontal="right" vertical="center" wrapText="1"/>
      <protection locked="0"/>
    </xf>
    <xf numFmtId="171" fontId="26" fillId="8" borderId="6" xfId="16" applyNumberFormat="1" applyFont="1" applyFill="1" applyBorder="1" applyAlignment="1" applyProtection="1">
      <alignment horizontal="center" vertical="center"/>
      <protection locked="0"/>
    </xf>
    <xf numFmtId="171" fontId="26" fillId="8" borderId="17" xfId="16" applyNumberFormat="1" applyFont="1" applyFill="1" applyBorder="1" applyAlignment="1" applyProtection="1">
      <alignment horizontal="center" vertical="center"/>
      <protection locked="0"/>
    </xf>
    <xf numFmtId="171" fontId="26" fillId="8" borderId="58" xfId="16" applyNumberFormat="1" applyFont="1" applyFill="1" applyBorder="1" applyAlignment="1" applyProtection="1">
      <alignment horizontal="center" vertical="center"/>
      <protection locked="0"/>
    </xf>
    <xf numFmtId="171" fontId="26" fillId="8" borderId="292" xfId="16" applyNumberFormat="1" applyFont="1" applyFill="1" applyBorder="1" applyAlignment="1" applyProtection="1">
      <alignment horizontal="center" vertical="center"/>
      <protection locked="0"/>
    </xf>
    <xf numFmtId="2" fontId="26" fillId="8" borderId="16" xfId="16" applyNumberFormat="1" applyFont="1" applyFill="1" applyBorder="1" applyAlignment="1" applyProtection="1">
      <alignment horizontal="right" vertical="center"/>
      <protection locked="0"/>
    </xf>
    <xf numFmtId="2" fontId="26" fillId="8" borderId="175" xfId="16" applyNumberFormat="1" applyFont="1" applyFill="1" applyBorder="1" applyAlignment="1" applyProtection="1">
      <alignment horizontal="right" vertical="center"/>
      <protection locked="0"/>
    </xf>
    <xf numFmtId="0" fontId="26" fillId="8" borderId="279" xfId="16" applyFont="1" applyFill="1" applyBorder="1" applyAlignment="1" applyProtection="1">
      <alignment horizontal="left" vertical="center"/>
      <protection locked="0"/>
    </xf>
    <xf numFmtId="0" fontId="26" fillId="8" borderId="258" xfId="16" applyFont="1" applyFill="1" applyBorder="1" applyAlignment="1" applyProtection="1">
      <alignment horizontal="left" vertical="center"/>
      <protection locked="0"/>
    </xf>
    <xf numFmtId="1" fontId="69" fillId="8" borderId="17" xfId="16" applyNumberFormat="1" applyFont="1" applyFill="1" applyBorder="1" applyAlignment="1" applyProtection="1">
      <alignment horizontal="center" vertical="center"/>
      <protection locked="0"/>
    </xf>
    <xf numFmtId="1" fontId="69" fillId="8" borderId="292" xfId="16" applyNumberFormat="1" applyFont="1" applyFill="1" applyBorder="1" applyAlignment="1" applyProtection="1">
      <alignment horizontal="center" vertical="center"/>
      <protection locked="0"/>
    </xf>
    <xf numFmtId="0" fontId="143" fillId="65" borderId="381" xfId="16" applyFont="1" applyFill="1" applyBorder="1" applyAlignment="1">
      <alignment horizontal="center" vertical="center"/>
    </xf>
    <xf numFmtId="0" fontId="143" fillId="65" borderId="48" xfId="16" applyFont="1" applyFill="1" applyBorder="1" applyAlignment="1">
      <alignment horizontal="center" vertical="center"/>
    </xf>
    <xf numFmtId="0" fontId="143" fillId="65" borderId="50" xfId="16" applyFont="1" applyFill="1" applyBorder="1" applyAlignment="1">
      <alignment horizontal="center" vertical="center"/>
    </xf>
    <xf numFmtId="0" fontId="143" fillId="65" borderId="128" xfId="16" applyFont="1" applyFill="1" applyBorder="1" applyAlignment="1">
      <alignment horizontal="center" vertical="center"/>
    </xf>
    <xf numFmtId="0" fontId="143" fillId="65" borderId="288" xfId="16" applyFont="1" applyFill="1" applyBorder="1" applyAlignment="1">
      <alignment horizontal="center" vertical="center"/>
    </xf>
    <xf numFmtId="0" fontId="143" fillId="65" borderId="290" xfId="16" applyFont="1" applyFill="1" applyBorder="1" applyAlignment="1">
      <alignment horizontal="center" vertical="center"/>
    </xf>
    <xf numFmtId="0" fontId="26" fillId="8" borderId="288" xfId="16" applyFont="1" applyFill="1" applyBorder="1" applyAlignment="1" applyProtection="1">
      <alignment horizontal="left" vertical="center"/>
      <protection locked="0"/>
    </xf>
    <xf numFmtId="0" fontId="13" fillId="0" borderId="339" xfId="16" applyFont="1" applyBorder="1" applyAlignment="1" applyProtection="1">
      <alignment horizontal="center" vertical="center" wrapText="1"/>
      <protection locked="0"/>
    </xf>
    <xf numFmtId="0" fontId="13" fillId="0" borderId="413" xfId="16" applyFont="1" applyBorder="1" applyAlignment="1" applyProtection="1">
      <alignment horizontal="center" vertical="center" wrapText="1"/>
      <protection locked="0"/>
    </xf>
    <xf numFmtId="0" fontId="13" fillId="0" borderId="6" xfId="16" applyFont="1" applyBorder="1" applyAlignment="1" applyProtection="1">
      <alignment horizontal="center" vertical="center" wrapText="1"/>
      <protection locked="0"/>
    </xf>
    <xf numFmtId="0" fontId="13" fillId="0" borderId="17" xfId="16" applyFont="1" applyBorder="1" applyAlignment="1" applyProtection="1">
      <alignment horizontal="center" vertical="center" wrapText="1"/>
      <protection locked="0"/>
    </xf>
    <xf numFmtId="0" fontId="13" fillId="0" borderId="51" xfId="16" applyFont="1" applyBorder="1" applyAlignment="1" applyProtection="1">
      <alignment horizontal="center" vertical="center"/>
      <protection locked="0"/>
    </xf>
    <xf numFmtId="0" fontId="13" fillId="0" borderId="407" xfId="16" applyFont="1" applyBorder="1" applyAlignment="1" applyProtection="1">
      <alignment horizontal="center" vertical="center"/>
      <protection locked="0"/>
    </xf>
    <xf numFmtId="0" fontId="13" fillId="0" borderId="16" xfId="16" applyFont="1" applyBorder="1" applyAlignment="1" applyProtection="1">
      <alignment horizontal="center" vertical="center"/>
      <protection locked="0"/>
    </xf>
    <xf numFmtId="0" fontId="13" fillId="0" borderId="279" xfId="16" applyFont="1" applyBorder="1" applyAlignment="1" applyProtection="1">
      <alignment horizontal="center" vertical="center"/>
      <protection locked="0"/>
    </xf>
    <xf numFmtId="0" fontId="178" fillId="8" borderId="405" xfId="16" applyFont="1" applyFill="1" applyBorder="1" applyAlignment="1" applyProtection="1">
      <alignment horizontal="center" vertical="center"/>
      <protection locked="0"/>
    </xf>
    <xf numFmtId="0" fontId="178" fillId="8" borderId="406" xfId="16" applyFont="1" applyFill="1" applyBorder="1" applyAlignment="1" applyProtection="1">
      <alignment horizontal="center" vertical="center"/>
      <protection locked="0"/>
    </xf>
    <xf numFmtId="0" fontId="178" fillId="8" borderId="0" xfId="16" applyFont="1" applyFill="1" applyAlignment="1" applyProtection="1">
      <alignment horizontal="center" vertical="center"/>
      <protection locked="0"/>
    </xf>
    <xf numFmtId="0" fontId="178" fillId="8" borderId="9" xfId="16" applyFont="1" applyFill="1" applyBorder="1" applyAlignment="1" applyProtection="1">
      <alignment horizontal="center" vertical="center"/>
      <protection locked="0"/>
    </xf>
    <xf numFmtId="0" fontId="474" fillId="16" borderId="7" xfId="16" applyFont="1" applyFill="1" applyBorder="1" applyAlignment="1">
      <alignment horizontal="center" vertical="center"/>
    </xf>
    <xf numFmtId="0" fontId="474" fillId="16" borderId="2" xfId="16" applyFont="1" applyFill="1" applyBorder="1" applyAlignment="1">
      <alignment horizontal="center" vertical="center"/>
    </xf>
    <xf numFmtId="0" fontId="474" fillId="16" borderId="8" xfId="16" applyFont="1" applyFill="1" applyBorder="1" applyAlignment="1">
      <alignment horizontal="center" vertical="center"/>
    </xf>
    <xf numFmtId="0" fontId="160" fillId="45" borderId="6" xfId="16" applyFont="1" applyFill="1" applyBorder="1" applyAlignment="1" applyProtection="1">
      <alignment horizontal="center" vertical="center" wrapText="1"/>
      <protection locked="0"/>
    </xf>
    <xf numFmtId="0" fontId="160" fillId="45" borderId="0" xfId="16" applyFont="1" applyFill="1" applyAlignment="1" applyProtection="1">
      <alignment horizontal="center" vertical="center" wrapText="1"/>
      <protection locked="0"/>
    </xf>
    <xf numFmtId="0" fontId="160" fillId="45" borderId="17" xfId="16" applyFont="1" applyFill="1" applyBorder="1" applyAlignment="1" applyProtection="1">
      <alignment horizontal="center" vertical="center" wrapText="1"/>
      <protection locked="0"/>
    </xf>
    <xf numFmtId="0" fontId="160" fillId="45" borderId="128" xfId="16" applyFont="1" applyFill="1" applyBorder="1" applyAlignment="1" applyProtection="1">
      <alignment horizontal="center" vertical="center" wrapText="1"/>
      <protection locked="0"/>
    </xf>
    <xf numFmtId="0" fontId="160" fillId="45" borderId="288" xfId="16" applyFont="1" applyFill="1" applyBorder="1" applyAlignment="1" applyProtection="1">
      <alignment horizontal="center" vertical="center" wrapText="1"/>
      <protection locked="0"/>
    </xf>
    <xf numFmtId="0" fontId="160" fillId="45" borderId="365" xfId="16" applyFont="1" applyFill="1" applyBorder="1" applyAlignment="1" applyProtection="1">
      <alignment horizontal="center" vertical="center" wrapText="1"/>
      <protection locked="0"/>
    </xf>
    <xf numFmtId="0" fontId="160" fillId="162" borderId="280" xfId="16" applyFont="1" applyFill="1" applyBorder="1" applyAlignment="1" applyProtection="1">
      <alignment horizontal="center" vertical="center"/>
      <protection locked="0"/>
    </xf>
    <xf numFmtId="0" fontId="160" fillId="162" borderId="236" xfId="16" applyFont="1" applyFill="1" applyBorder="1" applyAlignment="1" applyProtection="1">
      <alignment horizontal="center" vertical="center"/>
      <protection locked="0"/>
    </xf>
    <xf numFmtId="0" fontId="160" fillId="162" borderId="17" xfId="16" applyFont="1" applyFill="1" applyBorder="1" applyAlignment="1" applyProtection="1">
      <alignment horizontal="center" vertical="center"/>
      <protection locked="0"/>
    </xf>
    <xf numFmtId="0" fontId="160" fillId="162" borderId="365" xfId="16" applyFont="1" applyFill="1" applyBorder="1" applyAlignment="1" applyProtection="1">
      <alignment horizontal="center" vertical="center"/>
      <protection locked="0"/>
    </xf>
    <xf numFmtId="0" fontId="184" fillId="162" borderId="0" xfId="16" applyFont="1" applyFill="1" applyAlignment="1" applyProtection="1">
      <alignment horizontal="center" vertical="center"/>
      <protection locked="0"/>
    </xf>
    <xf numFmtId="0" fontId="184" fillId="162" borderId="288" xfId="16" applyFont="1" applyFill="1" applyBorder="1" applyAlignment="1" applyProtection="1">
      <alignment horizontal="center" vertical="center"/>
      <protection locked="0"/>
    </xf>
    <xf numFmtId="1" fontId="473" fillId="162" borderId="16" xfId="16" applyNumberFormat="1" applyFont="1" applyFill="1" applyBorder="1" applyAlignment="1" applyProtection="1">
      <alignment horizontal="center" vertical="center"/>
      <protection locked="0"/>
    </xf>
    <xf numFmtId="1" fontId="473" fillId="162" borderId="9" xfId="16" applyNumberFormat="1" applyFont="1" applyFill="1" applyBorder="1" applyAlignment="1" applyProtection="1">
      <alignment horizontal="center" vertical="center"/>
      <protection locked="0"/>
    </xf>
    <xf numFmtId="1" fontId="473" fillId="162" borderId="39" xfId="16" applyNumberFormat="1" applyFont="1" applyFill="1" applyBorder="1" applyAlignment="1" applyProtection="1">
      <alignment horizontal="center" vertical="center"/>
      <protection locked="0"/>
    </xf>
    <xf numFmtId="1" fontId="473" fillId="162" borderId="290" xfId="16" applyNumberFormat="1" applyFont="1" applyFill="1" applyBorder="1" applyAlignment="1" applyProtection="1">
      <alignment horizontal="center" vertical="center"/>
      <protection locked="0"/>
    </xf>
    <xf numFmtId="0" fontId="26" fillId="7" borderId="381" xfId="16" applyFont="1" applyFill="1" applyBorder="1" applyAlignment="1">
      <alignment horizontal="center" vertical="center"/>
    </xf>
    <xf numFmtId="0" fontId="26" fillId="7" borderId="48" xfId="16" applyFont="1" applyFill="1" applyBorder="1" applyAlignment="1">
      <alignment horizontal="center" vertical="center"/>
    </xf>
    <xf numFmtId="0" fontId="26" fillId="7" borderId="50" xfId="16" applyFont="1" applyFill="1" applyBorder="1" applyAlignment="1">
      <alignment horizontal="center" vertical="center"/>
    </xf>
    <xf numFmtId="0" fontId="26" fillId="8" borderId="16" xfId="16" applyFont="1" applyFill="1" applyBorder="1" applyAlignment="1" applyProtection="1">
      <alignment horizontal="center" vertical="center"/>
      <protection locked="0"/>
    </xf>
    <xf numFmtId="0" fontId="26" fillId="8" borderId="0" xfId="16" applyFont="1" applyFill="1" applyAlignment="1" applyProtection="1">
      <alignment horizontal="center" vertical="center"/>
      <protection locked="0"/>
    </xf>
    <xf numFmtId="0" fontId="26" fillId="8" borderId="9" xfId="16" applyFont="1" applyFill="1" applyBorder="1" applyAlignment="1" applyProtection="1">
      <alignment horizontal="center" vertical="center"/>
      <protection locked="0"/>
    </xf>
    <xf numFmtId="0" fontId="251" fillId="16" borderId="6" xfId="16" applyFont="1" applyFill="1" applyBorder="1" applyAlignment="1">
      <alignment horizontal="center" vertical="center" wrapText="1"/>
    </xf>
    <xf numFmtId="0" fontId="251" fillId="16" borderId="0" xfId="16" applyFont="1" applyFill="1" applyAlignment="1">
      <alignment horizontal="center" vertical="center" wrapText="1"/>
    </xf>
    <xf numFmtId="0" fontId="251" fillId="16" borderId="128" xfId="16" applyFont="1" applyFill="1" applyBorder="1" applyAlignment="1">
      <alignment horizontal="center" vertical="center" wrapText="1"/>
    </xf>
    <xf numFmtId="0" fontId="251" fillId="16" borderId="288" xfId="16" applyFont="1" applyFill="1" applyBorder="1" applyAlignment="1">
      <alignment horizontal="center" vertical="center" wrapText="1"/>
    </xf>
    <xf numFmtId="0" fontId="251" fillId="166" borderId="381" xfId="16" applyFont="1" applyFill="1" applyBorder="1" applyAlignment="1">
      <alignment horizontal="center" vertical="center" wrapText="1"/>
    </xf>
    <xf numFmtId="0" fontId="251" fillId="166" borderId="48" xfId="16" applyFont="1" applyFill="1" applyBorder="1" applyAlignment="1">
      <alignment horizontal="center" vertical="center" wrapText="1"/>
    </xf>
    <xf numFmtId="0" fontId="251" fillId="166" borderId="6" xfId="16" applyFont="1" applyFill="1" applyBorder="1" applyAlignment="1">
      <alignment horizontal="center" vertical="center" wrapText="1"/>
    </xf>
    <xf numFmtId="0" fontId="251" fillId="166" borderId="0" xfId="16" applyFont="1" applyFill="1" applyAlignment="1">
      <alignment horizontal="center" vertical="center" wrapText="1"/>
    </xf>
    <xf numFmtId="0" fontId="472" fillId="66" borderId="6" xfId="16" applyFont="1" applyFill="1" applyBorder="1" applyAlignment="1">
      <alignment horizontal="center" vertical="center"/>
    </xf>
    <xf numFmtId="0" fontId="472" fillId="66" borderId="0" xfId="16" applyFont="1" applyFill="1" applyAlignment="1">
      <alignment horizontal="center" vertical="center"/>
    </xf>
    <xf numFmtId="0" fontId="472" fillId="66" borderId="9" xfId="16" applyFont="1" applyFill="1" applyBorder="1" applyAlignment="1">
      <alignment horizontal="center" vertical="center"/>
    </xf>
    <xf numFmtId="0" fontId="143" fillId="7" borderId="6" xfId="16" applyFont="1" applyFill="1" applyBorder="1" applyAlignment="1">
      <alignment horizontal="center" vertical="center"/>
    </xf>
    <xf numFmtId="0" fontId="143" fillId="7" borderId="0" xfId="16" applyFont="1" applyFill="1" applyAlignment="1">
      <alignment horizontal="center" vertical="center"/>
    </xf>
    <xf numFmtId="0" fontId="143" fillId="7" borderId="9" xfId="16" applyFont="1" applyFill="1" applyBorder="1" applyAlignment="1">
      <alignment horizontal="center" vertical="center"/>
    </xf>
    <xf numFmtId="0" fontId="148" fillId="0" borderId="381" xfId="16" applyFont="1" applyBorder="1" applyAlignment="1" applyProtection="1">
      <alignment horizontal="center" vertical="center"/>
      <protection locked="0"/>
    </xf>
    <xf numFmtId="0" fontId="148" fillId="0" borderId="48" xfId="16" applyFont="1" applyBorder="1" applyAlignment="1" applyProtection="1">
      <alignment horizontal="center" vertical="center"/>
      <protection locked="0"/>
    </xf>
    <xf numFmtId="0" fontId="148" fillId="0" borderId="404" xfId="16" applyFont="1" applyBorder="1" applyAlignment="1" applyProtection="1">
      <alignment horizontal="center" vertical="center"/>
      <protection locked="0"/>
    </xf>
    <xf numFmtId="0" fontId="148" fillId="0" borderId="6" xfId="16" applyFont="1" applyBorder="1" applyAlignment="1" applyProtection="1">
      <alignment horizontal="center" vertical="center"/>
      <protection locked="0"/>
    </xf>
    <xf numFmtId="0" fontId="148" fillId="0" borderId="0" xfId="16" applyFont="1" applyAlignment="1" applyProtection="1">
      <alignment horizontal="center" vertical="center"/>
      <protection locked="0"/>
    </xf>
    <xf numFmtId="0" fontId="148" fillId="0" borderId="17" xfId="16" applyFont="1" applyBorder="1" applyAlignment="1" applyProtection="1">
      <alignment horizontal="center" vertical="center"/>
      <protection locked="0"/>
    </xf>
    <xf numFmtId="0" fontId="175" fillId="8" borderId="339" xfId="1" applyFont="1" applyFill="1" applyBorder="1" applyAlignment="1">
      <alignment horizontal="center" vertical="center" wrapText="1"/>
    </xf>
    <xf numFmtId="0" fontId="97" fillId="8" borderId="405" xfId="1" applyFont="1" applyFill="1" applyBorder="1" applyAlignment="1">
      <alignment horizontal="center" vertical="center" wrapText="1"/>
    </xf>
    <xf numFmtId="0" fontId="13" fillId="8" borderId="381" xfId="43" applyFont="1" applyFill="1" applyBorder="1" applyAlignment="1">
      <alignment horizontal="center" vertical="center" wrapText="1"/>
    </xf>
    <xf numFmtId="0" fontId="13" fillId="8" borderId="6" xfId="43" applyFont="1" applyFill="1" applyBorder="1" applyAlignment="1">
      <alignment horizontal="center" vertical="center" wrapText="1"/>
    </xf>
    <xf numFmtId="0" fontId="13" fillId="8" borderId="343" xfId="43" applyFont="1" applyFill="1" applyBorder="1" applyAlignment="1">
      <alignment horizontal="center" vertical="center" wrapText="1"/>
    </xf>
    <xf numFmtId="1" fontId="13" fillId="8" borderId="48" xfId="43" applyNumberFormat="1" applyFont="1" applyFill="1" applyBorder="1" applyAlignment="1">
      <alignment horizontal="center" vertical="center"/>
    </xf>
    <xf numFmtId="1" fontId="13" fillId="8" borderId="0" xfId="43" applyNumberFormat="1" applyFont="1" applyFill="1" applyAlignment="1">
      <alignment horizontal="center" vertical="center"/>
    </xf>
    <xf numFmtId="0" fontId="13" fillId="8" borderId="9" xfId="27" applyFont="1" applyFill="1" applyBorder="1" applyAlignment="1">
      <alignment horizontal="center" vertical="center"/>
    </xf>
    <xf numFmtId="0" fontId="13" fillId="8" borderId="21" xfId="27" applyFont="1" applyFill="1" applyBorder="1" applyAlignment="1">
      <alignment horizontal="center" vertical="center"/>
    </xf>
    <xf numFmtId="0" fontId="48" fillId="8" borderId="381" xfId="43" applyFont="1" applyFill="1" applyBorder="1" applyAlignment="1">
      <alignment horizontal="right" vertical="center" wrapText="1"/>
    </xf>
    <xf numFmtId="0" fontId="48" fillId="8" borderId="6" xfId="43" applyFont="1" applyFill="1" applyBorder="1" applyAlignment="1">
      <alignment horizontal="right" vertical="center" wrapText="1"/>
    </xf>
    <xf numFmtId="0" fontId="13" fillId="0" borderId="403" xfId="16" applyFont="1" applyBorder="1" applyAlignment="1" applyProtection="1">
      <alignment horizontal="center" vertical="center" wrapText="1"/>
      <protection locked="0"/>
    </xf>
    <xf numFmtId="0" fontId="13" fillId="0" borderId="16" xfId="16" applyFont="1" applyBorder="1" applyAlignment="1" applyProtection="1">
      <alignment horizontal="center" vertical="center" wrapText="1"/>
      <protection locked="0"/>
    </xf>
    <xf numFmtId="0" fontId="13" fillId="0" borderId="404" xfId="16" applyFont="1" applyBorder="1" applyAlignment="1" applyProtection="1">
      <alignment horizontal="center" vertical="center" wrapText="1"/>
      <protection locked="0"/>
    </xf>
    <xf numFmtId="0" fontId="58" fillId="0" borderId="403" xfId="16" applyFont="1" applyBorder="1" applyAlignment="1" applyProtection="1">
      <alignment horizontal="center" vertical="center" wrapText="1"/>
      <protection locked="0"/>
    </xf>
    <xf numFmtId="0" fontId="58" fillId="0" borderId="48" xfId="16" applyFont="1" applyBorder="1" applyAlignment="1" applyProtection="1">
      <alignment horizontal="center" vertical="center" wrapText="1"/>
      <protection locked="0"/>
    </xf>
    <xf numFmtId="0" fontId="58" fillId="0" borderId="16" xfId="16" applyFont="1" applyBorder="1" applyAlignment="1" applyProtection="1">
      <alignment horizontal="center" vertical="center" wrapText="1"/>
      <protection locked="0"/>
    </xf>
    <xf numFmtId="0" fontId="58" fillId="0" borderId="0" xfId="16" applyFont="1" applyAlignment="1" applyProtection="1">
      <alignment horizontal="center" vertical="center" wrapText="1"/>
      <protection locked="0"/>
    </xf>
    <xf numFmtId="0" fontId="13" fillId="0" borderId="50" xfId="16" applyFont="1" applyBorder="1" applyAlignment="1" applyProtection="1">
      <alignment horizontal="center" vertical="center" wrapText="1"/>
      <protection locked="0"/>
    </xf>
    <xf numFmtId="0" fontId="13" fillId="0" borderId="9" xfId="16" applyFont="1" applyBorder="1" applyAlignment="1" applyProtection="1">
      <alignment horizontal="center" vertical="center" wrapText="1"/>
      <protection locked="0"/>
    </xf>
    <xf numFmtId="0" fontId="10" fillId="0" borderId="0" xfId="16" applyFont="1" applyAlignment="1" applyProtection="1">
      <alignment horizontal="center" vertical="center" wrapText="1"/>
      <protection locked="0"/>
    </xf>
    <xf numFmtId="0" fontId="160" fillId="162" borderId="343" xfId="16" applyFont="1" applyFill="1" applyBorder="1" applyAlignment="1" applyProtection="1">
      <alignment horizontal="center" vertical="center" wrapText="1"/>
      <protection locked="0"/>
    </xf>
    <xf numFmtId="0" fontId="160" fillId="162" borderId="13" xfId="16" applyFont="1" applyFill="1" applyBorder="1" applyAlignment="1" applyProtection="1">
      <alignment horizontal="center" vertical="center" wrapText="1"/>
      <protection locked="0"/>
    </xf>
    <xf numFmtId="0" fontId="160" fillId="162" borderId="13" xfId="16" applyFont="1" applyFill="1" applyBorder="1" applyAlignment="1" applyProtection="1">
      <alignment horizontal="left" vertical="center"/>
      <protection locked="0"/>
    </xf>
    <xf numFmtId="0" fontId="97" fillId="8" borderId="406" xfId="1" applyFont="1" applyFill="1" applyBorder="1" applyAlignment="1">
      <alignment horizontal="center" vertical="center" wrapText="1"/>
    </xf>
    <xf numFmtId="0" fontId="251" fillId="16" borderId="7" xfId="16" applyFont="1" applyFill="1" applyBorder="1" applyAlignment="1">
      <alignment horizontal="left" vertical="center"/>
    </xf>
    <xf numFmtId="0" fontId="251" fillId="16" borderId="2" xfId="16" applyFont="1" applyFill="1" applyBorder="1" applyAlignment="1">
      <alignment horizontal="left" vertical="center"/>
    </xf>
    <xf numFmtId="0" fontId="251" fillId="16" borderId="8" xfId="16" applyFont="1" applyFill="1" applyBorder="1" applyAlignment="1">
      <alignment horizontal="left" vertical="center"/>
    </xf>
    <xf numFmtId="0" fontId="251" fillId="166" borderId="7" xfId="16" applyFont="1" applyFill="1" applyBorder="1" applyAlignment="1">
      <alignment horizontal="left" vertical="center"/>
    </xf>
    <xf numFmtId="0" fontId="251" fillId="166" borderId="2" xfId="16" applyFont="1" applyFill="1" applyBorder="1" applyAlignment="1">
      <alignment horizontal="left" vertical="center"/>
    </xf>
    <xf numFmtId="0" fontId="251" fillId="166" borderId="8" xfId="16" applyFont="1" applyFill="1" applyBorder="1" applyAlignment="1">
      <alignment horizontal="left" vertical="center"/>
    </xf>
    <xf numFmtId="0" fontId="71" fillId="8" borderId="6" xfId="27" applyFill="1" applyBorder="1" applyAlignment="1">
      <alignment horizontal="left" vertical="center" wrapText="1"/>
    </xf>
    <xf numFmtId="0" fontId="71" fillId="8" borderId="0" xfId="27" applyFill="1" applyAlignment="1">
      <alignment horizontal="left" vertical="center" wrapText="1"/>
    </xf>
    <xf numFmtId="0" fontId="71" fillId="8" borderId="9" xfId="27" applyFill="1" applyBorder="1" applyAlignment="1">
      <alignment horizontal="left" vertical="center" wrapText="1"/>
    </xf>
    <xf numFmtId="0" fontId="71" fillId="8" borderId="58" xfId="27" applyFill="1" applyBorder="1" applyAlignment="1">
      <alignment horizontal="left" vertical="center" wrapText="1"/>
    </xf>
    <xf numFmtId="0" fontId="71" fillId="8" borderId="3" xfId="27" applyFill="1" applyBorder="1" applyAlignment="1">
      <alignment horizontal="left" vertical="center" wrapText="1"/>
    </xf>
    <xf numFmtId="0" fontId="71" fillId="8" borderId="59" xfId="27" applyFill="1" applyBorder="1" applyAlignment="1">
      <alignment horizontal="left" vertical="center" wrapText="1"/>
    </xf>
    <xf numFmtId="0" fontId="72" fillId="4" borderId="7" xfId="27" applyFont="1" applyFill="1" applyBorder="1" applyAlignment="1">
      <alignment horizontal="center"/>
    </xf>
    <xf numFmtId="0" fontId="72" fillId="4" borderId="2" xfId="27" applyFont="1" applyFill="1" applyBorder="1" applyAlignment="1">
      <alignment horizontal="center"/>
    </xf>
    <xf numFmtId="0" fontId="72" fillId="4" borderId="8" xfId="27" applyFont="1" applyFill="1" applyBorder="1" applyAlignment="1">
      <alignment horizontal="center"/>
    </xf>
    <xf numFmtId="0" fontId="72" fillId="4" borderId="249" xfId="27" applyFont="1" applyFill="1" applyBorder="1" applyAlignment="1">
      <alignment horizontal="center"/>
    </xf>
    <xf numFmtId="0" fontId="72" fillId="4" borderId="250" xfId="27" applyFont="1" applyFill="1" applyBorder="1" applyAlignment="1">
      <alignment horizontal="center"/>
    </xf>
    <xf numFmtId="0" fontId="72" fillId="4" borderId="251" xfId="27" applyFont="1" applyFill="1" applyBorder="1" applyAlignment="1">
      <alignment horizontal="center"/>
    </xf>
    <xf numFmtId="0" fontId="31" fillId="164" borderId="9" xfId="1" applyFont="1" applyFill="1" applyBorder="1" applyAlignment="1">
      <alignment horizontal="center" vertical="center" textRotation="90" wrapText="1"/>
    </xf>
    <xf numFmtId="0" fontId="36" fillId="20" borderId="268" xfId="27" applyFont="1" applyFill="1" applyBorder="1" applyAlignment="1">
      <alignment horizontal="left" vertical="center"/>
    </xf>
    <xf numFmtId="0" fontId="36" fillId="20" borderId="286" xfId="27" applyFont="1" applyFill="1" applyBorder="1" applyAlignment="1">
      <alignment horizontal="left" vertical="center"/>
    </xf>
    <xf numFmtId="0" fontId="36" fillId="20" borderId="13" xfId="27" applyFont="1" applyFill="1" applyBorder="1" applyAlignment="1">
      <alignment horizontal="left"/>
    </xf>
    <xf numFmtId="0" fontId="36" fillId="20" borderId="21" xfId="27" applyFont="1" applyFill="1" applyBorder="1" applyAlignment="1">
      <alignment horizontal="left"/>
    </xf>
    <xf numFmtId="0" fontId="468" fillId="8" borderId="135" xfId="43" applyFont="1" applyFill="1" applyBorder="1" applyAlignment="1">
      <alignment horizontal="center" vertical="center" wrapText="1"/>
    </xf>
    <xf numFmtId="0" fontId="65" fillId="8" borderId="135" xfId="43" applyFont="1" applyFill="1" applyBorder="1" applyAlignment="1">
      <alignment horizontal="center" vertical="center" wrapText="1"/>
    </xf>
    <xf numFmtId="0" fontId="469" fillId="8" borderId="402" xfId="43" applyFont="1" applyFill="1" applyBorder="1" applyAlignment="1">
      <alignment horizontal="center" vertical="center" wrapText="1"/>
    </xf>
    <xf numFmtId="0" fontId="469" fillId="8" borderId="280" xfId="43" applyFont="1" applyFill="1" applyBorder="1" applyAlignment="1">
      <alignment horizontal="center" vertical="center" wrapText="1"/>
    </xf>
    <xf numFmtId="0" fontId="77" fillId="8" borderId="402" xfId="19" applyFont="1" applyFill="1" applyBorder="1" applyAlignment="1">
      <alignment horizontal="center" vertical="center" wrapText="1"/>
    </xf>
    <xf numFmtId="0" fontId="77" fillId="8" borderId="280" xfId="19" applyFont="1" applyFill="1" applyBorder="1" applyAlignment="1">
      <alignment horizontal="center" vertical="center" wrapText="1"/>
    </xf>
    <xf numFmtId="0" fontId="13" fillId="43" borderId="0" xfId="19" applyFont="1" applyFill="1" applyAlignment="1">
      <alignment horizontal="center" vertical="center" wrapText="1"/>
    </xf>
    <xf numFmtId="0" fontId="48" fillId="8" borderId="278" xfId="43" applyFont="1" applyFill="1" applyBorder="1" applyAlignment="1">
      <alignment horizontal="center" vertical="center" wrapText="1"/>
    </xf>
    <xf numFmtId="0" fontId="48" fillId="8" borderId="287" xfId="43" applyFont="1" applyFill="1" applyBorder="1" applyAlignment="1">
      <alignment horizontal="center" vertical="center" wrapText="1"/>
    </xf>
    <xf numFmtId="0" fontId="48" fillId="8" borderId="0" xfId="43" applyFont="1" applyFill="1" applyAlignment="1">
      <alignment horizontal="right" vertical="center" wrapText="1"/>
    </xf>
    <xf numFmtId="0" fontId="468" fillId="8" borderId="382" xfId="43" applyFont="1" applyFill="1" applyBorder="1" applyAlignment="1">
      <alignment horizontal="center" vertical="center" wrapText="1"/>
    </xf>
    <xf numFmtId="0" fontId="412" fillId="8" borderId="402" xfId="43" applyFont="1" applyFill="1" applyBorder="1" applyAlignment="1">
      <alignment horizontal="center" vertical="center" wrapText="1"/>
    </xf>
    <xf numFmtId="0" fontId="412" fillId="8" borderId="280" xfId="43" applyFont="1" applyFill="1" applyBorder="1" applyAlignment="1">
      <alignment horizontal="center" vertical="center" wrapText="1"/>
    </xf>
    <xf numFmtId="0" fontId="13" fillId="43" borderId="9" xfId="19" applyFont="1" applyFill="1" applyBorder="1" applyAlignment="1">
      <alignment horizontal="center" vertical="center" wrapText="1"/>
    </xf>
    <xf numFmtId="0" fontId="13" fillId="8" borderId="279" xfId="27" applyFont="1" applyFill="1" applyBorder="1" applyAlignment="1">
      <alignment horizontal="center" vertical="center"/>
    </xf>
    <xf numFmtId="0" fontId="13" fillId="8" borderId="289" xfId="27" applyFont="1" applyFill="1" applyBorder="1" applyAlignment="1">
      <alignment horizontal="center" vertical="center"/>
    </xf>
    <xf numFmtId="0" fontId="468" fillId="8" borderId="410" xfId="43" applyFont="1" applyFill="1" applyBorder="1" applyAlignment="1">
      <alignment horizontal="center" vertical="center" wrapText="1"/>
    </xf>
    <xf numFmtId="0" fontId="469" fillId="8" borderId="341" xfId="43" applyFont="1" applyFill="1" applyBorder="1" applyAlignment="1">
      <alignment horizontal="center" vertical="center" wrapText="1"/>
    </xf>
    <xf numFmtId="0" fontId="77" fillId="8" borderId="341" xfId="19" applyFont="1" applyFill="1" applyBorder="1" applyAlignment="1">
      <alignment horizontal="center" vertical="center" wrapText="1"/>
    </xf>
    <xf numFmtId="169" fontId="57" fillId="8" borderId="0" xfId="27" applyNumberFormat="1" applyFont="1" applyFill="1" applyAlignment="1">
      <alignment horizontal="center" vertical="center"/>
    </xf>
    <xf numFmtId="169" fontId="57" fillId="8" borderId="13" xfId="27" applyNumberFormat="1" applyFont="1" applyFill="1" applyBorder="1" applyAlignment="1">
      <alignment horizontal="center" vertical="center"/>
    </xf>
    <xf numFmtId="0" fontId="13" fillId="8" borderId="9" xfId="19" applyFont="1" applyFill="1" applyBorder="1" applyAlignment="1">
      <alignment horizontal="center" vertical="center" wrapText="1"/>
    </xf>
    <xf numFmtId="0" fontId="13" fillId="8" borderId="21" xfId="19" applyFont="1" applyFill="1" applyBorder="1" applyAlignment="1">
      <alignment horizontal="center" vertical="center" wrapText="1"/>
    </xf>
    <xf numFmtId="0" fontId="13" fillId="8" borderId="381" xfId="43" applyFont="1" applyFill="1" applyBorder="1" applyAlignment="1">
      <alignment horizontal="right" vertical="center" wrapText="1"/>
    </xf>
    <xf numFmtId="0" fontId="13" fillId="8" borderId="343" xfId="43" applyFont="1" applyFill="1" applyBorder="1" applyAlignment="1">
      <alignment horizontal="right" vertical="center" wrapText="1"/>
    </xf>
    <xf numFmtId="0" fontId="175" fillId="8" borderId="281" xfId="1" applyFont="1" applyFill="1" applyBorder="1" applyAlignment="1">
      <alignment horizontal="center" vertical="center" wrapText="1"/>
    </xf>
    <xf numFmtId="0" fontId="97" fillId="8" borderId="274" xfId="1" applyFont="1" applyFill="1" applyBorder="1" applyAlignment="1">
      <alignment horizontal="center" vertical="center" wrapText="1"/>
    </xf>
    <xf numFmtId="0" fontId="97" fillId="8" borderId="282" xfId="1" applyFont="1" applyFill="1" applyBorder="1" applyAlignment="1">
      <alignment horizontal="center" vertical="center" wrapText="1"/>
    </xf>
    <xf numFmtId="0" fontId="13" fillId="8" borderId="6" xfId="43" applyFont="1" applyFill="1" applyBorder="1" applyAlignment="1">
      <alignment horizontal="right" vertical="center" wrapText="1"/>
    </xf>
    <xf numFmtId="0" fontId="71" fillId="8" borderId="7" xfId="27" applyFill="1" applyBorder="1" applyAlignment="1">
      <alignment horizontal="left" wrapText="1"/>
    </xf>
    <xf numFmtId="0" fontId="71" fillId="8" borderId="2" xfId="27" applyFill="1" applyBorder="1" applyAlignment="1">
      <alignment horizontal="left" wrapText="1"/>
    </xf>
    <xf numFmtId="0" fontId="71" fillId="8" borderId="8" xfId="27" applyFill="1" applyBorder="1" applyAlignment="1">
      <alignment horizontal="left" wrapText="1"/>
    </xf>
    <xf numFmtId="0" fontId="71" fillId="8" borderId="6" xfId="27" applyFill="1" applyBorder="1" applyAlignment="1">
      <alignment horizontal="left" wrapText="1"/>
    </xf>
    <xf numFmtId="0" fontId="71" fillId="8" borderId="0" xfId="27" applyFill="1" applyAlignment="1">
      <alignment horizontal="left" wrapText="1"/>
    </xf>
    <xf numFmtId="0" fontId="71" fillId="8" borderId="9" xfId="27" applyFill="1" applyBorder="1" applyAlignment="1">
      <alignment horizontal="left" wrapText="1"/>
    </xf>
    <xf numFmtId="0" fontId="13" fillId="43" borderId="234" xfId="19" applyFont="1" applyFill="1" applyBorder="1" applyAlignment="1">
      <alignment horizontal="center" vertical="center" wrapText="1"/>
    </xf>
    <xf numFmtId="0" fontId="13" fillId="43" borderId="235" xfId="19" applyFont="1" applyFill="1" applyBorder="1" applyAlignment="1">
      <alignment horizontal="center" vertical="center" wrapText="1"/>
    </xf>
    <xf numFmtId="0" fontId="13" fillId="8" borderId="351" xfId="43" applyFont="1" applyFill="1" applyBorder="1" applyAlignment="1">
      <alignment horizontal="center" vertical="center" wrapText="1"/>
    </xf>
    <xf numFmtId="0" fontId="13" fillId="8" borderId="278" xfId="43" applyFont="1" applyFill="1" applyBorder="1" applyAlignment="1">
      <alignment horizontal="center" vertical="center" wrapText="1"/>
    </xf>
    <xf numFmtId="0" fontId="13" fillId="8" borderId="55" xfId="43" applyFont="1" applyFill="1" applyBorder="1" applyAlignment="1">
      <alignment horizontal="center" vertical="center" wrapText="1"/>
    </xf>
    <xf numFmtId="1" fontId="13" fillId="8" borderId="405" xfId="43" applyNumberFormat="1" applyFont="1" applyFill="1" applyBorder="1" applyAlignment="1">
      <alignment horizontal="center" vertical="center"/>
    </xf>
    <xf numFmtId="0" fontId="13" fillId="8" borderId="405" xfId="43" applyFont="1" applyFill="1" applyBorder="1" applyAlignment="1">
      <alignment horizontal="center" vertical="center" wrapText="1"/>
    </xf>
    <xf numFmtId="0" fontId="13" fillId="8" borderId="0" xfId="43" applyFont="1" applyFill="1" applyAlignment="1">
      <alignment horizontal="center" vertical="center" wrapText="1"/>
    </xf>
    <xf numFmtId="0" fontId="13" fillId="8" borderId="13" xfId="43" applyFont="1" applyFill="1" applyBorder="1" applyAlignment="1">
      <alignment horizontal="center" vertical="center" wrapText="1"/>
    </xf>
    <xf numFmtId="0" fontId="13" fillId="8" borderId="102" xfId="27" applyFont="1" applyFill="1" applyBorder="1" applyAlignment="1">
      <alignment horizontal="center" vertical="center"/>
    </xf>
    <xf numFmtId="0" fontId="462" fillId="4" borderId="7" xfId="7" applyFont="1" applyFill="1" applyBorder="1" applyAlignment="1">
      <alignment horizontal="center" vertical="center"/>
    </xf>
    <xf numFmtId="0" fontId="462" fillId="4" borderId="2" xfId="7" applyFont="1" applyFill="1" applyBorder="1" applyAlignment="1">
      <alignment horizontal="center" vertical="center"/>
    </xf>
    <xf numFmtId="0" fontId="462" fillId="4" borderId="8" xfId="7" applyFont="1" applyFill="1" applyBorder="1" applyAlignment="1">
      <alignment horizontal="center" vertical="center"/>
    </xf>
    <xf numFmtId="0" fontId="463" fillId="164" borderId="141" xfId="1" applyFont="1" applyFill="1" applyBorder="1" applyAlignment="1">
      <alignment horizontal="center" vertical="center" textRotation="90" wrapText="1"/>
    </xf>
    <xf numFmtId="0" fontId="463" fillId="164" borderId="409" xfId="1" applyFont="1" applyFill="1" applyBorder="1" applyAlignment="1">
      <alignment horizontal="center" vertical="center" textRotation="90" wrapText="1"/>
    </xf>
    <xf numFmtId="0" fontId="281" fillId="8" borderId="6" xfId="1" applyFont="1" applyFill="1" applyBorder="1" applyAlignment="1">
      <alignment horizontal="center" vertical="center"/>
    </xf>
    <xf numFmtId="0" fontId="281" fillId="8" borderId="0" xfId="1" applyFont="1" applyFill="1" applyAlignment="1">
      <alignment horizontal="center" vertical="center"/>
    </xf>
    <xf numFmtId="0" fontId="466" fillId="20" borderId="6" xfId="27" applyFont="1" applyFill="1" applyBorder="1" applyAlignment="1">
      <alignment horizontal="center" vertical="center"/>
    </xf>
    <xf numFmtId="0" fontId="466" fillId="20" borderId="0" xfId="27" applyFont="1" applyFill="1" applyAlignment="1">
      <alignment horizontal="center" vertical="center"/>
    </xf>
    <xf numFmtId="204" fontId="444" fillId="150" borderId="0" xfId="1" applyNumberFormat="1" applyFont="1" applyFill="1" applyAlignment="1">
      <alignment horizontal="left" vertical="center"/>
    </xf>
    <xf numFmtId="0" fontId="466" fillId="20" borderId="128" xfId="27" applyFont="1" applyFill="1" applyBorder="1" applyAlignment="1">
      <alignment horizontal="center" vertical="center"/>
    </xf>
    <xf numFmtId="0" fontId="466" fillId="20" borderId="288" xfId="27" applyFont="1" applyFill="1" applyBorder="1" applyAlignment="1">
      <alignment horizontal="center" vertical="center"/>
    </xf>
    <xf numFmtId="0" fontId="466" fillId="20" borderId="290" xfId="27" applyFont="1" applyFill="1" applyBorder="1" applyAlignment="1">
      <alignment horizontal="center" vertical="center"/>
    </xf>
    <xf numFmtId="0" fontId="437" fillId="8" borderId="7" xfId="1" applyFont="1" applyFill="1" applyBorder="1" applyAlignment="1">
      <alignment horizontal="left"/>
    </xf>
    <xf numFmtId="0" fontId="437" fillId="8" borderId="2" xfId="1" applyFont="1" applyFill="1" applyBorder="1" applyAlignment="1">
      <alignment horizontal="left"/>
    </xf>
    <xf numFmtId="0" fontId="437" fillId="8" borderId="8" xfId="1" applyFont="1" applyFill="1" applyBorder="1" applyAlignment="1">
      <alignment horizontal="left"/>
    </xf>
    <xf numFmtId="0" fontId="405" fillId="8" borderId="0" xfId="34" applyFont="1" applyFill="1" applyAlignment="1">
      <alignment horizontal="center" vertical="center"/>
    </xf>
    <xf numFmtId="0" fontId="350" fillId="8" borderId="0" xfId="34" applyFont="1" applyFill="1" applyAlignment="1">
      <alignment horizontal="center" vertical="center"/>
    </xf>
    <xf numFmtId="0" fontId="13" fillId="0" borderId="0" xfId="16" applyFont="1" applyAlignment="1" applyProtection="1">
      <alignment horizontal="center" vertical="center"/>
      <protection locked="0"/>
    </xf>
    <xf numFmtId="0" fontId="13" fillId="8" borderId="0" xfId="29" applyFont="1" applyFill="1" applyAlignment="1">
      <alignment horizontal="center" vertical="center" wrapText="1"/>
    </xf>
    <xf numFmtId="0" fontId="57" fillId="8" borderId="0" xfId="29" applyFont="1" applyFill="1" applyAlignment="1">
      <alignment horizontal="center" vertical="center" wrapText="1"/>
    </xf>
    <xf numFmtId="0" fontId="175" fillId="8" borderId="287" xfId="1" applyFont="1" applyFill="1" applyBorder="1" applyAlignment="1">
      <alignment horizontal="center" vertical="center" wrapText="1"/>
    </xf>
    <xf numFmtId="0" fontId="175" fillId="8" borderId="288" xfId="1" applyFont="1" applyFill="1" applyBorder="1" applyAlignment="1">
      <alignment horizontal="center" vertical="center" wrapText="1"/>
    </xf>
    <xf numFmtId="0" fontId="175" fillId="8" borderId="289" xfId="1" applyFont="1" applyFill="1" applyBorder="1" applyAlignment="1">
      <alignment horizontal="center" vertical="center" wrapText="1"/>
    </xf>
    <xf numFmtId="0" fontId="84" fillId="44" borderId="6" xfId="16" applyFont="1" applyFill="1" applyBorder="1" applyAlignment="1" applyProtection="1">
      <alignment horizontal="right" vertical="center" wrapText="1"/>
      <protection locked="0"/>
    </xf>
    <xf numFmtId="0" fontId="84" fillId="44" borderId="0" xfId="16" applyFont="1" applyFill="1" applyAlignment="1" applyProtection="1">
      <alignment horizontal="right" vertical="center" wrapText="1"/>
      <protection locked="0"/>
    </xf>
    <xf numFmtId="0" fontId="453" fillId="54" borderId="398" xfId="16" applyFont="1" applyFill="1" applyBorder="1" applyAlignment="1" applyProtection="1">
      <alignment horizontal="right" vertical="center" wrapText="1"/>
      <protection locked="0"/>
    </xf>
    <xf numFmtId="0" fontId="453" fillId="54" borderId="399" xfId="16" applyFont="1" applyFill="1" applyBorder="1" applyAlignment="1" applyProtection="1">
      <alignment horizontal="right" vertical="center" wrapText="1"/>
      <protection locked="0"/>
    </xf>
    <xf numFmtId="0" fontId="456" fillId="65" borderId="274" xfId="16" applyFont="1" applyFill="1" applyBorder="1" applyAlignment="1" applyProtection="1">
      <alignment horizontal="left" vertical="center"/>
      <protection locked="0"/>
    </xf>
    <xf numFmtId="0" fontId="453" fillId="54" borderId="400" xfId="16" applyFont="1" applyFill="1" applyBorder="1" applyAlignment="1" applyProtection="1">
      <alignment horizontal="right" vertical="center" wrapText="1"/>
      <protection locked="0"/>
    </xf>
    <xf numFmtId="0" fontId="456" fillId="65" borderId="268" xfId="16" applyFont="1" applyFill="1" applyBorder="1" applyAlignment="1" applyProtection="1">
      <alignment horizontal="left" vertical="center"/>
      <protection locked="0"/>
    </xf>
    <xf numFmtId="0" fontId="84" fillId="44" borderId="58" xfId="16" applyFont="1" applyFill="1" applyBorder="1" applyAlignment="1" applyProtection="1">
      <alignment horizontal="right" vertical="center" wrapText="1"/>
      <protection locked="0"/>
    </xf>
    <xf numFmtId="0" fontId="84" fillId="44" borderId="3" xfId="16" applyFont="1" applyFill="1" applyBorder="1" applyAlignment="1" applyProtection="1">
      <alignment horizontal="right" vertical="center" wrapText="1"/>
      <protection locked="0"/>
    </xf>
    <xf numFmtId="0" fontId="453" fillId="54" borderId="401" xfId="16" applyFont="1" applyFill="1" applyBorder="1" applyAlignment="1" applyProtection="1">
      <alignment horizontal="right" vertical="center" wrapText="1"/>
      <protection locked="0"/>
    </xf>
    <xf numFmtId="0" fontId="453" fillId="54" borderId="389" xfId="16" applyFont="1" applyFill="1" applyBorder="1" applyAlignment="1" applyProtection="1">
      <alignment horizontal="right" vertical="center" wrapText="1"/>
      <protection locked="0"/>
    </xf>
    <xf numFmtId="0" fontId="456" fillId="65" borderId="48" xfId="16" applyFont="1" applyFill="1" applyBorder="1" applyAlignment="1" applyProtection="1">
      <alignment horizontal="left" vertical="center"/>
      <protection locked="0"/>
    </xf>
    <xf numFmtId="0" fontId="58" fillId="20" borderId="288" xfId="1" applyFont="1" applyFill="1" applyBorder="1" applyAlignment="1">
      <alignment horizontal="center" vertical="center" wrapText="1"/>
    </xf>
    <xf numFmtId="0" fontId="87" fillId="4" borderId="7" xfId="7" applyFont="1" applyFill="1" applyBorder="1" applyAlignment="1">
      <alignment horizontal="center" vertical="center"/>
    </xf>
    <xf numFmtId="0" fontId="87" fillId="4" borderId="2" xfId="7" applyFont="1" applyFill="1" applyBorder="1" applyAlignment="1">
      <alignment horizontal="center" vertical="center"/>
    </xf>
    <xf numFmtId="0" fontId="87" fillId="4" borderId="8" xfId="7" applyFont="1" applyFill="1" applyBorder="1" applyAlignment="1">
      <alignment horizontal="center" vertical="center"/>
    </xf>
    <xf numFmtId="0" fontId="13" fillId="8" borderId="278" xfId="7" applyFont="1" applyFill="1" applyBorder="1" applyAlignment="1">
      <alignment horizontal="center" vertical="center" wrapText="1"/>
    </xf>
    <xf numFmtId="0" fontId="13" fillId="8" borderId="0" xfId="7" applyFont="1" applyFill="1" applyAlignment="1">
      <alignment horizontal="center" vertical="center" wrapText="1"/>
    </xf>
    <xf numFmtId="0" fontId="13" fillId="8" borderId="279" xfId="7" applyFont="1" applyFill="1" applyBorder="1" applyAlignment="1">
      <alignment horizontal="center" vertical="center" wrapText="1"/>
    </xf>
    <xf numFmtId="0" fontId="58" fillId="118" borderId="278" xfId="7" applyFont="1" applyFill="1" applyBorder="1" applyAlignment="1">
      <alignment horizontal="center" vertical="center" wrapText="1"/>
    </xf>
    <xf numFmtId="0" fontId="58" fillId="118" borderId="0" xfId="7" applyFont="1" applyFill="1" applyAlignment="1">
      <alignment horizontal="center" vertical="center" wrapText="1"/>
    </xf>
    <xf numFmtId="0" fontId="58" fillId="118" borderId="279" xfId="7" applyFont="1" applyFill="1" applyBorder="1" applyAlignment="1">
      <alignment horizontal="center" vertical="center" wrapText="1"/>
    </xf>
    <xf numFmtId="0" fontId="155" fillId="20" borderId="278" xfId="7" applyFont="1" applyFill="1" applyBorder="1" applyAlignment="1">
      <alignment horizontal="center" vertical="center" wrapText="1"/>
    </xf>
    <xf numFmtId="0" fontId="155" fillId="20" borderId="0" xfId="7" applyFont="1" applyFill="1" applyAlignment="1">
      <alignment horizontal="center" vertical="center" wrapText="1"/>
    </xf>
    <xf numFmtId="0" fontId="155" fillId="20" borderId="279" xfId="7" applyFont="1" applyFill="1" applyBorder="1" applyAlignment="1">
      <alignment horizontal="center" vertical="center" wrapText="1"/>
    </xf>
    <xf numFmtId="0" fontId="155" fillId="20" borderId="287" xfId="7" applyFont="1" applyFill="1" applyBorder="1" applyAlignment="1">
      <alignment horizontal="center" vertical="center" wrapText="1"/>
    </xf>
    <xf numFmtId="0" fontId="155" fillId="20" borderId="288" xfId="7" applyFont="1" applyFill="1" applyBorder="1" applyAlignment="1">
      <alignment horizontal="center" vertical="center" wrapText="1"/>
    </xf>
    <xf numFmtId="0" fontId="155" fillId="20" borderId="289" xfId="7" applyFont="1" applyFill="1" applyBorder="1" applyAlignment="1">
      <alignment horizontal="center" vertical="center" wrapText="1"/>
    </xf>
    <xf numFmtId="0" fontId="436" fillId="4" borderId="385" xfId="16" applyFont="1" applyFill="1" applyBorder="1" applyAlignment="1">
      <alignment horizontal="left" vertical="center"/>
    </xf>
    <xf numFmtId="0" fontId="436" fillId="4" borderId="386" xfId="16" applyFont="1" applyFill="1" applyBorder="1" applyAlignment="1">
      <alignment horizontal="left" vertical="center"/>
    </xf>
    <xf numFmtId="0" fontId="436" fillId="4" borderId="387" xfId="16" applyFont="1" applyFill="1" applyBorder="1" applyAlignment="1">
      <alignment horizontal="left" vertical="center"/>
    </xf>
    <xf numFmtId="0" fontId="443" fillId="66" borderId="385" xfId="16" applyFont="1" applyFill="1" applyBorder="1" applyAlignment="1">
      <alignment horizontal="center" vertical="center"/>
    </xf>
    <xf numFmtId="0" fontId="443" fillId="66" borderId="386" xfId="27" applyFont="1" applyFill="1" applyBorder="1" applyAlignment="1">
      <alignment horizontal="center" vertical="center"/>
    </xf>
    <xf numFmtId="0" fontId="444" fillId="65" borderId="385" xfId="16" applyFont="1" applyFill="1" applyBorder="1" applyAlignment="1">
      <alignment horizontal="center" vertical="center"/>
    </xf>
    <xf numFmtId="0" fontId="444" fillId="65" borderId="386" xfId="27" applyFont="1" applyFill="1" applyBorder="1" applyAlignment="1">
      <alignment horizontal="center" vertical="center"/>
    </xf>
    <xf numFmtId="0" fontId="444" fillId="65" borderId="387" xfId="27" applyFont="1" applyFill="1" applyBorder="1" applyAlignment="1">
      <alignment horizontal="center" vertical="center"/>
    </xf>
    <xf numFmtId="0" fontId="445" fillId="0" borderId="388" xfId="16" applyFont="1" applyBorder="1" applyAlignment="1" applyProtection="1">
      <alignment horizontal="center" vertical="center"/>
      <protection locked="0"/>
    </xf>
    <xf numFmtId="0" fontId="445" fillId="0" borderId="389" xfId="16" applyFont="1" applyBorder="1" applyAlignment="1" applyProtection="1">
      <alignment horizontal="center" vertical="center"/>
      <protection locked="0"/>
    </xf>
    <xf numFmtId="0" fontId="445" fillId="0" borderId="262" xfId="16" applyFont="1" applyBorder="1" applyAlignment="1" applyProtection="1">
      <alignment horizontal="center" vertical="center"/>
      <protection locked="0"/>
    </xf>
    <xf numFmtId="0" fontId="445" fillId="0" borderId="0" xfId="16" applyFont="1" applyAlignment="1" applyProtection="1">
      <alignment horizontal="center" vertical="center"/>
      <protection locked="0"/>
    </xf>
    <xf numFmtId="0" fontId="445" fillId="0" borderId="393" xfId="16" applyFont="1" applyBorder="1" applyAlignment="1" applyProtection="1">
      <alignment horizontal="center" vertical="center"/>
      <protection locked="0"/>
    </xf>
    <xf numFmtId="0" fontId="445" fillId="0" borderId="394" xfId="16" applyFont="1" applyBorder="1" applyAlignment="1" applyProtection="1">
      <alignment horizontal="center" vertical="center"/>
      <protection locked="0"/>
    </xf>
    <xf numFmtId="0" fontId="6" fillId="0" borderId="389" xfId="16" applyFont="1" applyBorder="1" applyAlignment="1" applyProtection="1">
      <alignment horizontal="center" vertical="center" wrapText="1"/>
      <protection locked="0"/>
    </xf>
    <xf numFmtId="0" fontId="6" fillId="0" borderId="0" xfId="16" applyFont="1" applyAlignment="1" applyProtection="1">
      <alignment horizontal="center" vertical="center" wrapText="1"/>
      <protection locked="0"/>
    </xf>
    <xf numFmtId="0" fontId="6" fillId="0" borderId="394" xfId="16" applyFont="1" applyBorder="1" applyAlignment="1" applyProtection="1">
      <alignment horizontal="center" vertical="center" wrapText="1"/>
      <protection locked="0"/>
    </xf>
    <xf numFmtId="0" fontId="432" fillId="0" borderId="390" xfId="16" applyFont="1" applyBorder="1" applyAlignment="1" applyProtection="1">
      <alignment horizontal="center" vertical="center" wrapText="1"/>
      <protection locked="0"/>
    </xf>
    <xf numFmtId="0" fontId="432" fillId="0" borderId="263" xfId="16" applyFont="1" applyBorder="1" applyAlignment="1" applyProtection="1">
      <alignment horizontal="center" vertical="center" wrapText="1"/>
      <protection locked="0"/>
    </xf>
    <xf numFmtId="0" fontId="432" fillId="0" borderId="395" xfId="16" applyFont="1" applyBorder="1" applyAlignment="1" applyProtection="1">
      <alignment horizontal="center" vertical="center" wrapText="1"/>
      <protection locked="0"/>
    </xf>
    <xf numFmtId="0" fontId="446" fillId="65" borderId="259" xfId="16" applyFont="1" applyFill="1" applyBorder="1" applyAlignment="1" applyProtection="1">
      <alignment horizontal="center" vertical="center" wrapText="1"/>
      <protection locked="0"/>
    </xf>
    <xf numFmtId="0" fontId="446" fillId="65" borderId="260" xfId="16" applyFont="1" applyFill="1" applyBorder="1" applyAlignment="1" applyProtection="1">
      <alignment horizontal="center" vertical="center" wrapText="1"/>
      <protection locked="0"/>
    </xf>
    <xf numFmtId="0" fontId="446" fillId="65" borderId="261" xfId="16" applyFont="1" applyFill="1" applyBorder="1" applyAlignment="1" applyProtection="1">
      <alignment horizontal="center" vertical="center" wrapText="1"/>
      <protection locked="0"/>
    </xf>
    <xf numFmtId="0" fontId="447" fillId="0" borderId="391" xfId="16" applyFont="1" applyBorder="1" applyAlignment="1" applyProtection="1">
      <alignment horizontal="center" vertical="center"/>
      <protection locked="0"/>
    </xf>
    <xf numFmtId="0" fontId="447" fillId="0" borderId="392" xfId="16" applyFont="1" applyBorder="1" applyAlignment="1" applyProtection="1">
      <alignment horizontal="center" vertical="center"/>
      <protection locked="0"/>
    </xf>
    <xf numFmtId="0" fontId="447" fillId="0" borderId="265" xfId="16" applyFont="1" applyBorder="1" applyAlignment="1" applyProtection="1">
      <alignment horizontal="center" vertical="center"/>
      <protection locked="0"/>
    </xf>
    <xf numFmtId="0" fontId="447" fillId="0" borderId="266" xfId="16" applyFont="1" applyBorder="1" applyAlignment="1" applyProtection="1">
      <alignment horizontal="center" vertical="center"/>
      <protection locked="0"/>
    </xf>
    <xf numFmtId="0" fontId="448" fillId="0" borderId="391" xfId="16" applyFont="1" applyBorder="1" applyAlignment="1" applyProtection="1">
      <alignment horizontal="center" vertical="center"/>
      <protection locked="0"/>
    </xf>
    <xf numFmtId="0" fontId="448" fillId="0" borderId="389" xfId="16" applyFont="1" applyBorder="1" applyAlignment="1" applyProtection="1">
      <alignment horizontal="center" vertical="center"/>
      <protection locked="0"/>
    </xf>
    <xf numFmtId="0" fontId="448" fillId="0" borderId="392" xfId="16" applyFont="1" applyBorder="1" applyAlignment="1" applyProtection="1">
      <alignment horizontal="center" vertical="center"/>
      <protection locked="0"/>
    </xf>
    <xf numFmtId="0" fontId="448" fillId="0" borderId="265" xfId="16" applyFont="1" applyBorder="1" applyAlignment="1" applyProtection="1">
      <alignment horizontal="center" vertical="center"/>
      <protection locked="0"/>
    </xf>
    <xf numFmtId="0" fontId="448" fillId="0" borderId="0" xfId="16" applyFont="1" applyAlignment="1" applyProtection="1">
      <alignment horizontal="center" vertical="center"/>
      <protection locked="0"/>
    </xf>
    <xf numFmtId="0" fontId="448" fillId="0" borderId="266" xfId="16" applyFont="1" applyBorder="1" applyAlignment="1" applyProtection="1">
      <alignment horizontal="center" vertical="center"/>
      <protection locked="0"/>
    </xf>
    <xf numFmtId="0" fontId="448" fillId="0" borderId="396" xfId="16" applyFont="1" applyBorder="1" applyAlignment="1" applyProtection="1">
      <alignment horizontal="center" vertical="center"/>
      <protection locked="0"/>
    </xf>
    <xf numFmtId="0" fontId="448" fillId="0" borderId="394" xfId="16" applyFont="1" applyBorder="1" applyAlignment="1" applyProtection="1">
      <alignment horizontal="center" vertical="center"/>
      <protection locked="0"/>
    </xf>
    <xf numFmtId="0" fontId="448" fillId="0" borderId="397" xfId="16" applyFont="1" applyBorder="1" applyAlignment="1" applyProtection="1">
      <alignment horizontal="center" vertical="center"/>
      <protection locked="0"/>
    </xf>
    <xf numFmtId="2" fontId="432" fillId="65" borderId="265" xfId="5" applyNumberFormat="1" applyFont="1" applyFill="1" applyBorder="1" applyAlignment="1">
      <alignment horizontal="center" vertical="center"/>
    </xf>
    <xf numFmtId="2" fontId="432" fillId="65" borderId="266" xfId="5" applyNumberFormat="1" applyFont="1" applyFill="1" applyBorder="1" applyAlignment="1">
      <alignment horizontal="center" vertical="center"/>
    </xf>
    <xf numFmtId="0" fontId="451" fillId="0" borderId="267" xfId="16" applyFont="1" applyBorder="1" applyAlignment="1" applyProtection="1">
      <alignment horizontal="center" vertical="center" wrapText="1"/>
      <protection locked="0"/>
    </xf>
    <xf numFmtId="0" fontId="444" fillId="65" borderId="396" xfId="5" applyFont="1" applyFill="1" applyBorder="1" applyAlignment="1">
      <alignment horizontal="center" vertical="center"/>
    </xf>
    <xf numFmtId="0" fontId="444" fillId="65" borderId="397" xfId="5" applyFont="1" applyFill="1" applyBorder="1" applyAlignment="1">
      <alignment horizontal="center" vertical="center"/>
    </xf>
    <xf numFmtId="0" fontId="184" fillId="8" borderId="351" xfId="7" applyFont="1" applyFill="1" applyBorder="1" applyAlignment="1">
      <alignment horizontal="center" vertical="center" wrapText="1"/>
    </xf>
    <xf numFmtId="0" fontId="184" fillId="8" borderId="380" xfId="7" applyFont="1" applyFill="1" applyBorder="1" applyAlignment="1">
      <alignment horizontal="center" vertical="center" wrapText="1"/>
    </xf>
    <xf numFmtId="0" fontId="184" fillId="8" borderId="101" xfId="7" applyFont="1" applyFill="1" applyBorder="1" applyAlignment="1">
      <alignment horizontal="center" vertical="center" wrapText="1"/>
    </xf>
    <xf numFmtId="0" fontId="184" fillId="8" borderId="278" xfId="7" applyFont="1" applyFill="1" applyBorder="1" applyAlignment="1">
      <alignment horizontal="center" vertical="center" wrapText="1"/>
    </xf>
    <xf numFmtId="0" fontId="184" fillId="8" borderId="0" xfId="7" applyFont="1" applyFill="1" applyAlignment="1">
      <alignment horizontal="center" vertical="center" wrapText="1"/>
    </xf>
    <xf numFmtId="0" fontId="184" fillId="8" borderId="279" xfId="7" applyFont="1" applyFill="1" applyBorder="1" applyAlignment="1">
      <alignment horizontal="center" vertical="center" wrapText="1"/>
    </xf>
    <xf numFmtId="0" fontId="405" fillId="8" borderId="0" xfId="17" applyFont="1" applyFill="1" applyAlignment="1" applyProtection="1">
      <alignment horizontal="left" vertical="center"/>
    </xf>
    <xf numFmtId="0" fontId="442" fillId="8" borderId="0" xfId="41" applyFont="1" applyFill="1" applyAlignment="1" applyProtection="1">
      <alignment horizontal="left" vertical="center"/>
    </xf>
    <xf numFmtId="0" fontId="26" fillId="8" borderId="278" xfId="7" applyFont="1" applyFill="1" applyBorder="1" applyAlignment="1">
      <alignment horizontal="center" vertical="center" wrapText="1"/>
    </xf>
    <xf numFmtId="0" fontId="26" fillId="8" borderId="0" xfId="7" applyFont="1" applyFill="1" applyAlignment="1">
      <alignment horizontal="center" vertical="center" wrapText="1"/>
    </xf>
    <xf numFmtId="0" fontId="26" fillId="8" borderId="279" xfId="7" applyFont="1" applyFill="1" applyBorder="1" applyAlignment="1">
      <alignment horizontal="center" vertical="center" wrapText="1"/>
    </xf>
    <xf numFmtId="0" fontId="26" fillId="8" borderId="287" xfId="7" applyFont="1" applyFill="1" applyBorder="1" applyAlignment="1">
      <alignment horizontal="center" vertical="center" wrapText="1"/>
    </xf>
    <xf numFmtId="0" fontId="26" fillId="8" borderId="288" xfId="7" applyFont="1" applyFill="1" applyBorder="1" applyAlignment="1">
      <alignment horizontal="center" vertical="center" wrapText="1"/>
    </xf>
    <xf numFmtId="0" fontId="26" fillId="8" borderId="289" xfId="7" applyFont="1" applyFill="1" applyBorder="1" applyAlignment="1">
      <alignment horizontal="center" vertical="center" wrapText="1"/>
    </xf>
    <xf numFmtId="0" fontId="350" fillId="8" borderId="0" xfId="40" applyFont="1" applyFill="1" applyAlignment="1">
      <alignment horizontal="left" vertical="center"/>
    </xf>
    <xf numFmtId="0" fontId="350" fillId="21" borderId="0" xfId="34" applyFont="1" applyFill="1" applyAlignment="1" applyProtection="1">
      <alignment horizontal="left" vertical="center"/>
      <protection hidden="1"/>
    </xf>
    <xf numFmtId="0" fontId="21" fillId="160" borderId="278" xfId="7" applyFont="1" applyFill="1" applyBorder="1" applyAlignment="1">
      <alignment horizontal="center" vertical="center"/>
    </xf>
    <xf numFmtId="0" fontId="21" fillId="160" borderId="0" xfId="7" applyFont="1" applyFill="1" applyAlignment="1">
      <alignment horizontal="center" vertical="center"/>
    </xf>
    <xf numFmtId="0" fontId="21" fillId="160" borderId="279" xfId="7" applyFont="1" applyFill="1" applyBorder="1" applyAlignment="1">
      <alignment horizontal="center" vertical="center"/>
    </xf>
    <xf numFmtId="0" fontId="432" fillId="8" borderId="6" xfId="1" applyFont="1" applyFill="1" applyBorder="1" applyAlignment="1">
      <alignment horizontal="center" vertical="center"/>
    </xf>
    <xf numFmtId="0" fontId="432" fillId="8" borderId="0" xfId="1" applyFont="1" applyFill="1" applyAlignment="1">
      <alignment horizontal="center" vertical="center"/>
    </xf>
    <xf numFmtId="0" fontId="440" fillId="8" borderId="6" xfId="1" applyFont="1" applyFill="1" applyBorder="1" applyAlignment="1">
      <alignment horizontal="center" vertical="center" wrapText="1"/>
    </xf>
    <xf numFmtId="0" fontId="440" fillId="8" borderId="0" xfId="1" applyFont="1" applyFill="1" applyAlignment="1">
      <alignment horizontal="center" vertical="center" wrapText="1"/>
    </xf>
    <xf numFmtId="0" fontId="440" fillId="8" borderId="58" xfId="1" applyFont="1" applyFill="1" applyBorder="1" applyAlignment="1">
      <alignment horizontal="center" vertical="center" wrapText="1"/>
    </xf>
    <xf numFmtId="0" fontId="440" fillId="8" borderId="3" xfId="1" applyFont="1" applyFill="1" applyBorder="1" applyAlignment="1">
      <alignment horizontal="center" vertical="center" wrapText="1"/>
    </xf>
    <xf numFmtId="0" fontId="6" fillId="8" borderId="6" xfId="1" applyFill="1" applyBorder="1" applyAlignment="1">
      <alignment horizontal="center" vertical="center"/>
    </xf>
    <xf numFmtId="0" fontId="6" fillId="8" borderId="0" xfId="1" applyFill="1" applyAlignment="1">
      <alignment horizontal="center" vertical="center"/>
    </xf>
    <xf numFmtId="0" fontId="6" fillId="8" borderId="58" xfId="1" applyFill="1" applyBorder="1" applyAlignment="1">
      <alignment horizontal="center" vertical="center"/>
    </xf>
    <xf numFmtId="0" fontId="6" fillId="8" borderId="3" xfId="1" applyFill="1" applyBorder="1" applyAlignment="1">
      <alignment horizontal="center" vertical="center"/>
    </xf>
    <xf numFmtId="0" fontId="431" fillId="37" borderId="0" xfId="1" applyFont="1" applyFill="1" applyAlignment="1" applyProtection="1">
      <alignment horizontal="center"/>
      <protection hidden="1"/>
    </xf>
    <xf numFmtId="0" fontId="324" fillId="8" borderId="0" xfId="1" applyFont="1" applyFill="1" applyAlignment="1">
      <alignment horizontal="center" vertical="center" wrapText="1"/>
    </xf>
    <xf numFmtId="0" fontId="432" fillId="4" borderId="351" xfId="1" applyFont="1" applyFill="1" applyBorder="1" applyAlignment="1">
      <alignment horizontal="center" vertical="center"/>
    </xf>
    <xf numFmtId="0" fontId="432" fillId="4" borderId="380" xfId="1" applyFont="1" applyFill="1" applyBorder="1" applyAlignment="1">
      <alignment horizontal="center" vertical="center"/>
    </xf>
    <xf numFmtId="0" fontId="432" fillId="4" borderId="101" xfId="1" applyFont="1" applyFill="1" applyBorder="1" applyAlignment="1">
      <alignment horizontal="center" vertical="center"/>
    </xf>
    <xf numFmtId="0" fontId="432" fillId="4" borderId="278" xfId="1" applyFont="1" applyFill="1" applyBorder="1" applyAlignment="1">
      <alignment horizontal="center" vertical="center"/>
    </xf>
    <xf numFmtId="0" fontId="432" fillId="4" borderId="0" xfId="1" applyFont="1" applyFill="1" applyAlignment="1">
      <alignment horizontal="center" vertical="center"/>
    </xf>
    <xf numFmtId="0" fontId="432" fillId="4" borderId="279" xfId="1" applyFont="1" applyFill="1" applyBorder="1" applyAlignment="1">
      <alignment horizontal="center" vertical="center"/>
    </xf>
    <xf numFmtId="0" fontId="433" fillId="8" borderId="7" xfId="1" applyFont="1" applyFill="1" applyBorder="1" applyAlignment="1">
      <alignment horizontal="center" vertical="center"/>
    </xf>
    <xf numFmtId="0" fontId="433" fillId="8" borderId="2" xfId="1" applyFont="1" applyFill="1" applyBorder="1" applyAlignment="1">
      <alignment horizontal="center" vertical="center"/>
    </xf>
    <xf numFmtId="0" fontId="433" fillId="8" borderId="8" xfId="1" applyFont="1" applyFill="1" applyBorder="1" applyAlignment="1">
      <alignment horizontal="center" vertical="center"/>
    </xf>
    <xf numFmtId="0" fontId="183" fillId="8" borderId="0" xfId="39" applyFill="1" applyBorder="1" applyAlignment="1">
      <alignment horizontal="left" vertical="center"/>
    </xf>
    <xf numFmtId="0" fontId="183" fillId="8" borderId="9" xfId="39" applyFill="1" applyBorder="1" applyAlignment="1">
      <alignment horizontal="left" vertical="center"/>
    </xf>
    <xf numFmtId="0" fontId="6" fillId="8" borderId="278" xfId="1" applyFill="1" applyBorder="1" applyAlignment="1">
      <alignment horizontal="center" vertical="center" wrapText="1"/>
    </xf>
    <xf numFmtId="0" fontId="6" fillId="8" borderId="0" xfId="1" applyFill="1" applyAlignment="1">
      <alignment horizontal="center" vertical="center" wrapText="1"/>
    </xf>
    <xf numFmtId="0" fontId="6" fillId="8" borderId="279" xfId="1" applyFill="1" applyBorder="1" applyAlignment="1">
      <alignment horizontal="center" vertical="center" wrapText="1"/>
    </xf>
    <xf numFmtId="0" fontId="341" fillId="8" borderId="6" xfId="40" applyFont="1" applyFill="1" applyBorder="1" applyAlignment="1">
      <alignment horizontal="center" vertical="center" wrapText="1"/>
    </xf>
    <xf numFmtId="0" fontId="341" fillId="8" borderId="0" xfId="40" applyFont="1" applyFill="1" applyBorder="1" applyAlignment="1">
      <alignment horizontal="center" vertical="center" wrapText="1"/>
    </xf>
    <xf numFmtId="0" fontId="341" fillId="8" borderId="9" xfId="40" applyFont="1" applyFill="1" applyBorder="1" applyAlignment="1">
      <alignment horizontal="center" vertical="center" wrapText="1"/>
    </xf>
    <xf numFmtId="0" fontId="6" fillId="8" borderId="0" xfId="1" applyFill="1" applyAlignment="1">
      <alignment horizontal="left" vertical="center"/>
    </xf>
    <xf numFmtId="0" fontId="6" fillId="8" borderId="279" xfId="1" applyFill="1" applyBorder="1" applyAlignment="1">
      <alignment horizontal="left" vertical="center"/>
    </xf>
    <xf numFmtId="0" fontId="6" fillId="8" borderId="287" xfId="1" applyFill="1" applyBorder="1" applyAlignment="1">
      <alignment horizontal="center" vertical="center" wrapText="1"/>
    </xf>
    <xf numFmtId="0" fontId="6" fillId="8" borderId="288" xfId="1" applyFill="1" applyBorder="1" applyAlignment="1">
      <alignment horizontal="center" vertical="center" wrapText="1"/>
    </xf>
    <xf numFmtId="0" fontId="6" fillId="8" borderId="289" xfId="1" applyFill="1" applyBorder="1" applyAlignment="1">
      <alignment horizontal="center" vertical="center" wrapText="1"/>
    </xf>
    <xf numFmtId="0" fontId="432" fillId="4" borderId="7" xfId="1" applyFont="1" applyFill="1" applyBorder="1" applyAlignment="1">
      <alignment horizontal="center" vertical="center" wrapText="1"/>
    </xf>
    <xf numFmtId="0" fontId="432" fillId="4" borderId="2" xfId="1" applyFont="1" applyFill="1" applyBorder="1" applyAlignment="1">
      <alignment horizontal="center" vertical="center" wrapText="1"/>
    </xf>
    <xf numFmtId="0" fontId="432" fillId="4" borderId="6" xfId="1" applyFont="1" applyFill="1" applyBorder="1" applyAlignment="1">
      <alignment horizontal="center" vertical="center" wrapText="1"/>
    </xf>
    <xf numFmtId="0" fontId="432" fillId="4" borderId="0" xfId="1" applyFont="1" applyFill="1" applyAlignment="1">
      <alignment horizontal="center" vertical="center" wrapText="1"/>
    </xf>
    <xf numFmtId="0" fontId="435" fillId="4" borderId="2" xfId="1" applyFont="1" applyFill="1" applyBorder="1" applyAlignment="1">
      <alignment horizontal="center" vertical="center" wrapText="1"/>
    </xf>
    <xf numFmtId="0" fontId="435" fillId="4" borderId="0" xfId="1" applyFont="1" applyFill="1" applyAlignment="1">
      <alignment horizontal="center" vertical="center" wrapText="1"/>
    </xf>
    <xf numFmtId="0" fontId="85" fillId="4" borderId="2" xfId="1" applyFont="1" applyFill="1" applyBorder="1" applyAlignment="1">
      <alignment horizontal="center" vertical="center" wrapText="1"/>
    </xf>
    <xf numFmtId="0" fontId="85" fillId="4" borderId="0" xfId="1" applyFont="1" applyFill="1" applyAlignment="1">
      <alignment horizontal="center" vertical="center" wrapText="1"/>
    </xf>
    <xf numFmtId="0" fontId="435" fillId="4" borderId="8" xfId="1" applyFont="1" applyFill="1" applyBorder="1" applyAlignment="1">
      <alignment horizontal="center" vertical="center"/>
    </xf>
    <xf numFmtId="0" fontId="435" fillId="4" borderId="9" xfId="1" applyFont="1" applyFill="1" applyBorder="1" applyAlignment="1">
      <alignment horizontal="center" vertical="center"/>
    </xf>
    <xf numFmtId="0" fontId="151" fillId="8" borderId="0" xfId="34" applyFont="1" applyFill="1" applyAlignment="1">
      <alignment horizontal="left" vertical="center"/>
    </xf>
    <xf numFmtId="0" fontId="428" fillId="37" borderId="0" xfId="1" applyFont="1" applyFill="1" applyAlignment="1" applyProtection="1">
      <alignment horizontal="center"/>
      <protection hidden="1"/>
    </xf>
    <xf numFmtId="0" fontId="151" fillId="0" borderId="0" xfId="17" applyFont="1" applyAlignment="1">
      <alignment vertical="center"/>
    </xf>
    <xf numFmtId="0" fontId="57" fillId="8" borderId="378" xfId="1" applyFont="1" applyFill="1" applyBorder="1" applyAlignment="1">
      <alignment horizontal="center" vertical="center"/>
    </xf>
    <xf numFmtId="0" fontId="57" fillId="8" borderId="381" xfId="1" applyFont="1" applyFill="1" applyBorder="1" applyAlignment="1">
      <alignment horizontal="center" vertical="center"/>
    </xf>
    <xf numFmtId="0" fontId="551" fillId="8" borderId="376" xfId="1" quotePrefix="1" applyFont="1" applyFill="1" applyBorder="1" applyAlignment="1">
      <alignment horizontal="center" vertical="center"/>
    </xf>
    <xf numFmtId="0" fontId="3" fillId="8" borderId="376" xfId="1" quotePrefix="1" applyFont="1" applyFill="1" applyBorder="1" applyAlignment="1">
      <alignment horizontal="center" vertical="center"/>
    </xf>
    <xf numFmtId="0" fontId="3" fillId="8" borderId="48" xfId="1" quotePrefix="1" applyFont="1" applyFill="1" applyBorder="1" applyAlignment="1">
      <alignment horizontal="center" vertical="center"/>
    </xf>
    <xf numFmtId="233" fontId="48" fillId="8" borderId="376" xfId="45" applyNumberFormat="1" applyFont="1" applyFill="1" applyBorder="1" applyAlignment="1" applyProtection="1">
      <alignment horizontal="center" vertical="center" wrapText="1"/>
      <protection locked="0"/>
    </xf>
    <xf numFmtId="233" fontId="48" fillId="8" borderId="48" xfId="45" applyNumberFormat="1" applyFont="1" applyFill="1" applyBorder="1" applyAlignment="1" applyProtection="1">
      <alignment horizontal="center" vertical="center" wrapText="1"/>
      <protection locked="0"/>
    </xf>
    <xf numFmtId="227" fontId="48" fillId="8" borderId="377" xfId="45" applyNumberFormat="1" applyFont="1" applyFill="1" applyBorder="1" applyAlignment="1" applyProtection="1">
      <alignment horizontal="center" vertical="center" wrapText="1"/>
      <protection locked="0"/>
    </xf>
    <xf numFmtId="227" fontId="48" fillId="8" borderId="50" xfId="45" applyNumberFormat="1" applyFont="1" applyFill="1" applyBorder="1" applyAlignment="1" applyProtection="1">
      <alignment horizontal="center" vertical="center" wrapText="1"/>
      <protection locked="0"/>
    </xf>
    <xf numFmtId="0" fontId="155" fillId="8" borderId="339" xfId="1" applyFont="1" applyFill="1" applyBorder="1" applyAlignment="1">
      <alignment horizontal="center" vertical="center" wrapText="1"/>
    </xf>
    <xf numFmtId="0" fontId="155" fillId="8" borderId="380" xfId="1" applyFont="1" applyFill="1" applyBorder="1" applyAlignment="1">
      <alignment horizontal="center" vertical="center" wrapText="1"/>
    </xf>
    <xf numFmtId="0" fontId="155" fillId="8" borderId="54" xfId="1" applyFont="1" applyFill="1" applyBorder="1" applyAlignment="1">
      <alignment horizontal="center" vertical="center" wrapText="1"/>
    </xf>
    <xf numFmtId="233" fontId="13" fillId="8" borderId="312" xfId="45" applyNumberFormat="1" applyFont="1" applyFill="1" applyBorder="1" applyAlignment="1" applyProtection="1">
      <alignment horizontal="center" vertical="center" wrapText="1"/>
      <protection locked="0"/>
    </xf>
    <xf numFmtId="233" fontId="13" fillId="8" borderId="376" xfId="45" applyNumberFormat="1" applyFont="1" applyFill="1" applyBorder="1" applyAlignment="1" applyProtection="1">
      <alignment horizontal="center" vertical="center" wrapText="1"/>
      <protection locked="0"/>
    </xf>
    <xf numFmtId="227" fontId="13" fillId="8" borderId="313" xfId="45" applyNumberFormat="1" applyFont="1" applyFill="1" applyBorder="1" applyAlignment="1" applyProtection="1">
      <alignment horizontal="center" vertical="center" wrapText="1"/>
      <protection locked="0"/>
    </xf>
    <xf numFmtId="227" fontId="13" fillId="8" borderId="377" xfId="45" applyNumberFormat="1" applyFont="1" applyFill="1" applyBorder="1" applyAlignment="1" applyProtection="1">
      <alignment horizontal="center" vertical="center" wrapText="1"/>
      <protection locked="0"/>
    </xf>
    <xf numFmtId="0" fontId="554" fillId="8" borderId="376" xfId="1" applyFont="1" applyFill="1" applyBorder="1" applyAlignment="1">
      <alignment horizontal="right" vertical="center"/>
    </xf>
    <xf numFmtId="0" fontId="551" fillId="8" borderId="48" xfId="1" applyFont="1" applyFill="1" applyBorder="1" applyAlignment="1">
      <alignment horizontal="center" vertical="center"/>
    </xf>
    <xf numFmtId="0" fontId="551" fillId="8" borderId="13" xfId="1" applyFont="1" applyFill="1" applyBorder="1" applyAlignment="1">
      <alignment horizontal="center" vertical="center"/>
    </xf>
    <xf numFmtId="0" fontId="427" fillId="20" borderId="48" xfId="7" applyFont="1" applyFill="1" applyBorder="1" applyAlignment="1">
      <alignment horizontal="center" vertical="center"/>
    </xf>
    <xf numFmtId="0" fontId="427" fillId="20" borderId="50" xfId="7" applyFont="1" applyFill="1" applyBorder="1" applyAlignment="1">
      <alignment horizontal="center" vertical="center"/>
    </xf>
    <xf numFmtId="0" fontId="427" fillId="20" borderId="13" xfId="7" applyFont="1" applyFill="1" applyBorder="1" applyAlignment="1">
      <alignment horizontal="center" vertical="center"/>
    </xf>
    <xf numFmtId="0" fontId="427" fillId="20" borderId="21" xfId="7" applyFont="1" applyFill="1" applyBorder="1" applyAlignment="1">
      <alignment horizontal="center" vertical="center"/>
    </xf>
    <xf numFmtId="0" fontId="10" fillId="142" borderId="381" xfId="5" applyFont="1" applyFill="1" applyBorder="1" applyAlignment="1">
      <alignment horizontal="center" vertical="center"/>
    </xf>
    <xf numFmtId="0" fontId="10" fillId="142" borderId="48" xfId="5" applyFont="1" applyFill="1" applyBorder="1" applyAlignment="1">
      <alignment horizontal="center" vertical="center"/>
    </xf>
    <xf numFmtId="0" fontId="10" fillId="142" borderId="128" xfId="5" applyFont="1" applyFill="1" applyBorder="1" applyAlignment="1">
      <alignment horizontal="center" vertical="center"/>
    </xf>
    <xf numFmtId="0" fontId="10" fillId="142" borderId="288" xfId="5" applyFont="1" applyFill="1" applyBorder="1" applyAlignment="1">
      <alignment horizontal="center" vertical="center"/>
    </xf>
    <xf numFmtId="226" fontId="36" fillId="21" borderId="48" xfId="45" applyNumberFormat="1" applyFont="1" applyFill="1" applyBorder="1" applyAlignment="1" applyProtection="1">
      <alignment horizontal="center" vertical="center" wrapText="1"/>
      <protection locked="0"/>
    </xf>
    <xf numFmtId="226" fontId="36" fillId="21" borderId="288" xfId="45" applyNumberFormat="1" applyFont="1" applyFill="1" applyBorder="1" applyAlignment="1" applyProtection="1">
      <alignment horizontal="center" vertical="center" wrapText="1"/>
      <protection locked="0"/>
    </xf>
    <xf numFmtId="175" fontId="13" fillId="43" borderId="50" xfId="45" applyNumberFormat="1" applyFont="1" applyFill="1" applyBorder="1" applyAlignment="1" applyProtection="1">
      <alignment horizontal="center" vertical="center" wrapText="1"/>
      <protection locked="0"/>
    </xf>
    <xf numFmtId="175" fontId="13" fillId="43" borderId="290" xfId="45" applyNumberFormat="1" applyFont="1" applyFill="1" applyBorder="1" applyAlignment="1" applyProtection="1">
      <alignment horizontal="center" vertical="center" wrapText="1"/>
      <protection locked="0"/>
    </xf>
    <xf numFmtId="0" fontId="1" fillId="0" borderId="381" xfId="7" applyBorder="1" applyAlignment="1">
      <alignment horizontal="center" vertical="center"/>
    </xf>
    <xf numFmtId="0" fontId="1" fillId="0" borderId="343" xfId="7" applyBorder="1" applyAlignment="1">
      <alignment horizontal="center" vertical="center"/>
    </xf>
    <xf numFmtId="186" fontId="13" fillId="8" borderId="48" xfId="5" applyNumberFormat="1" applyFont="1" applyFill="1" applyBorder="1" applyAlignment="1">
      <alignment horizontal="left" vertical="center"/>
    </xf>
    <xf numFmtId="186" fontId="13" fillId="8" borderId="0" xfId="5" applyNumberFormat="1" applyFont="1" applyFill="1" applyAlignment="1">
      <alignment horizontal="left" vertical="center"/>
    </xf>
    <xf numFmtId="0" fontId="26" fillId="8" borderId="48" xfId="5" applyFont="1" applyFill="1" applyBorder="1" applyAlignment="1">
      <alignment horizontal="right" vertical="center"/>
    </xf>
    <xf numFmtId="0" fontId="26" fillId="8" borderId="13" xfId="5" applyFont="1" applyFill="1" applyBorder="1" applyAlignment="1">
      <alignment horizontal="right" vertical="center"/>
    </xf>
    <xf numFmtId="9" fontId="26" fillId="8" borderId="50" xfId="7" applyNumberFormat="1" applyFont="1" applyFill="1" applyBorder="1" applyAlignment="1">
      <alignment horizontal="center" vertical="center"/>
    </xf>
    <xf numFmtId="9" fontId="26" fillId="8" borderId="21" xfId="7" applyNumberFormat="1" applyFont="1" applyFill="1" applyBorder="1" applyAlignment="1">
      <alignment horizontal="center" vertical="center"/>
    </xf>
    <xf numFmtId="0" fontId="405" fillId="8" borderId="0" xfId="34" applyFont="1" applyFill="1" applyAlignment="1">
      <alignment horizontal="left" vertical="center"/>
    </xf>
    <xf numFmtId="0" fontId="13" fillId="4" borderId="7" xfId="27" applyFont="1" applyFill="1" applyBorder="1" applyAlignment="1">
      <alignment horizontal="center"/>
    </xf>
    <xf numFmtId="0" fontId="13" fillId="4" borderId="2" xfId="27" applyFont="1" applyFill="1" applyBorder="1" applyAlignment="1">
      <alignment horizontal="center"/>
    </xf>
    <xf numFmtId="0" fontId="13" fillId="4" borderId="8" xfId="27" applyFont="1" applyFill="1" applyBorder="1" applyAlignment="1">
      <alignment horizontal="center"/>
    </xf>
    <xf numFmtId="0" fontId="143" fillId="4" borderId="7" xfId="5" applyFont="1" applyFill="1" applyBorder="1" applyAlignment="1" applyProtection="1">
      <alignment horizontal="right" vertical="center"/>
      <protection locked="0"/>
    </xf>
    <xf numFmtId="0" fontId="143" fillId="4" borderId="2" xfId="5" applyFont="1" applyFill="1" applyBorder="1" applyAlignment="1" applyProtection="1">
      <alignment horizontal="right" vertical="center"/>
      <protection locked="0"/>
    </xf>
    <xf numFmtId="0" fontId="143" fillId="4" borderId="8" xfId="5" applyFont="1" applyFill="1" applyBorder="1" applyAlignment="1" applyProtection="1">
      <alignment horizontal="right" vertical="center"/>
      <protection locked="0"/>
    </xf>
    <xf numFmtId="0" fontId="37" fillId="8" borderId="381" xfId="7" applyFont="1" applyFill="1" applyBorder="1" applyAlignment="1">
      <alignment horizontal="center" vertical="center" wrapText="1"/>
    </xf>
    <xf numFmtId="0" fontId="37" fillId="8" borderId="6" xfId="7" applyFont="1" applyFill="1" applyBorder="1" applyAlignment="1">
      <alignment horizontal="center" vertical="center" wrapText="1"/>
    </xf>
    <xf numFmtId="0" fontId="427" fillId="20" borderId="0" xfId="7" applyFont="1" applyFill="1" applyAlignment="1">
      <alignment horizontal="center" vertical="center"/>
    </xf>
    <xf numFmtId="0" fontId="427" fillId="20" borderId="9" xfId="7" applyFont="1" applyFill="1" applyBorder="1" applyAlignment="1">
      <alignment horizontal="center" vertical="center"/>
    </xf>
    <xf numFmtId="0" fontId="37" fillId="8" borderId="381" xfId="7" applyFont="1" applyFill="1" applyBorder="1" applyAlignment="1">
      <alignment horizontal="center" vertical="center"/>
    </xf>
    <xf numFmtId="0" fontId="37" fillId="8" borderId="343" xfId="7" applyFont="1" applyFill="1" applyBorder="1" applyAlignment="1">
      <alignment horizontal="center" vertical="center"/>
    </xf>
    <xf numFmtId="0" fontId="552" fillId="43" borderId="6" xfId="1" applyFont="1" applyFill="1" applyBorder="1" applyAlignment="1">
      <alignment horizontal="center" vertical="center"/>
    </xf>
    <xf numFmtId="0" fontId="552" fillId="43" borderId="343" xfId="1" applyFont="1" applyFill="1" applyBorder="1" applyAlignment="1">
      <alignment horizontal="center" vertical="center"/>
    </xf>
    <xf numFmtId="186" fontId="553" fillId="20" borderId="0" xfId="45" applyNumberFormat="1" applyFont="1" applyFill="1" applyAlignment="1" applyProtection="1">
      <alignment horizontal="center" vertical="center" wrapText="1"/>
      <protection locked="0"/>
    </xf>
    <xf numFmtId="186" fontId="553" fillId="20" borderId="13" xfId="45" applyNumberFormat="1" applyFont="1" applyFill="1" applyBorder="1" applyAlignment="1" applyProtection="1">
      <alignment horizontal="center" vertical="center" wrapText="1"/>
      <protection locked="0"/>
    </xf>
    <xf numFmtId="233" fontId="76" fillId="21" borderId="0" xfId="45" applyNumberFormat="1" applyFont="1" applyFill="1" applyAlignment="1" applyProtection="1">
      <alignment horizontal="center" vertical="center" wrapText="1"/>
      <protection locked="0"/>
    </xf>
    <xf numFmtId="233" fontId="76" fillId="21" borderId="13" xfId="45" applyNumberFormat="1" applyFont="1" applyFill="1" applyBorder="1" applyAlignment="1" applyProtection="1">
      <alignment horizontal="center" vertical="center" wrapText="1"/>
      <protection locked="0"/>
    </xf>
    <xf numFmtId="227" fontId="20" fillId="43" borderId="9" xfId="45" applyNumberFormat="1" applyFont="1" applyFill="1" applyBorder="1" applyAlignment="1" applyProtection="1">
      <alignment horizontal="center" vertical="center" wrapText="1"/>
      <protection locked="0"/>
    </xf>
    <xf numFmtId="227" fontId="20" fillId="43" borderId="21" xfId="45" applyNumberFormat="1" applyFont="1" applyFill="1" applyBorder="1" applyAlignment="1" applyProtection="1">
      <alignment horizontal="center" vertical="center" wrapText="1"/>
      <protection locked="0"/>
    </xf>
    <xf numFmtId="0" fontId="65" fillId="43" borderId="6" xfId="1" applyFont="1" applyFill="1" applyBorder="1" applyAlignment="1">
      <alignment horizontal="center" vertical="center"/>
    </xf>
    <xf numFmtId="186" fontId="58" fillId="20" borderId="0" xfId="45" applyNumberFormat="1" applyFont="1" applyFill="1" applyAlignment="1" applyProtection="1">
      <alignment horizontal="center" vertical="center" wrapText="1"/>
      <protection locked="0"/>
    </xf>
    <xf numFmtId="233" fontId="58" fillId="21" borderId="0" xfId="45" applyNumberFormat="1" applyFont="1" applyFill="1" applyAlignment="1" applyProtection="1">
      <alignment horizontal="center" vertical="center" wrapText="1"/>
      <protection locked="0"/>
    </xf>
    <xf numFmtId="0" fontId="57" fillId="8" borderId="311" xfId="1" applyFont="1" applyFill="1" applyBorder="1" applyAlignment="1">
      <alignment horizontal="center" vertical="center"/>
    </xf>
    <xf numFmtId="0" fontId="26" fillId="8" borderId="312" xfId="7" applyFont="1" applyFill="1" applyBorder="1" applyAlignment="1">
      <alignment horizontal="right" vertical="center"/>
    </xf>
    <xf numFmtId="0" fontId="26" fillId="8" borderId="376" xfId="7" applyFont="1" applyFill="1" applyBorder="1" applyAlignment="1">
      <alignment horizontal="right" vertical="center"/>
    </xf>
    <xf numFmtId="0" fontId="1" fillId="8" borderId="6" xfId="7" applyFill="1" applyBorder="1" applyAlignment="1">
      <alignment horizontal="center"/>
    </xf>
    <xf numFmtId="0" fontId="1" fillId="8" borderId="9" xfId="7" applyFill="1" applyBorder="1" applyAlignment="1">
      <alignment horizontal="center"/>
    </xf>
    <xf numFmtId="0" fontId="72" fillId="0" borderId="308" xfId="7" applyFont="1" applyBorder="1" applyAlignment="1">
      <alignment horizontal="center"/>
    </xf>
    <xf numFmtId="0" fontId="72" fillId="0" borderId="309" xfId="7" applyFont="1" applyBorder="1" applyAlignment="1">
      <alignment horizontal="center"/>
    </xf>
    <xf numFmtId="0" fontId="4" fillId="8" borderId="298" xfId="7" applyFont="1" applyFill="1" applyBorder="1" applyAlignment="1">
      <alignment horizontal="center"/>
    </xf>
    <xf numFmtId="0" fontId="4" fillId="8" borderId="117" xfId="7" applyFont="1" applyFill="1" applyBorder="1" applyAlignment="1">
      <alignment horizontal="center"/>
    </xf>
    <xf numFmtId="0" fontId="0" fillId="8" borderId="6" xfId="7" applyFont="1" applyFill="1" applyBorder="1" applyAlignment="1">
      <alignment horizontal="center"/>
    </xf>
    <xf numFmtId="0" fontId="0" fillId="8" borderId="9" xfId="7" applyFont="1" applyFill="1" applyBorder="1" applyAlignment="1">
      <alignment horizontal="center"/>
    </xf>
    <xf numFmtId="0" fontId="1" fillId="8" borderId="308" xfId="7" applyFill="1" applyBorder="1" applyAlignment="1">
      <alignment horizontal="center"/>
    </xf>
    <xf numFmtId="0" fontId="1" fillId="8" borderId="309" xfId="7" applyFill="1" applyBorder="1" applyAlignment="1">
      <alignment horizontal="center"/>
    </xf>
    <xf numFmtId="0" fontId="234" fillId="0" borderId="0" xfId="34" applyFont="1" applyAlignment="1">
      <alignment horizontal="center" vertical="center"/>
    </xf>
    <xf numFmtId="0" fontId="405" fillId="8" borderId="0" xfId="17" applyFont="1" applyFill="1" applyAlignment="1">
      <alignment horizontal="left" vertical="center"/>
    </xf>
    <xf numFmtId="0" fontId="48" fillId="8" borderId="7" xfId="7" applyFont="1" applyFill="1" applyBorder="1" applyAlignment="1">
      <alignment horizontal="center" wrapText="1"/>
    </xf>
    <xf numFmtId="0" fontId="48" fillId="8" borderId="8" xfId="7" applyFont="1" applyFill="1" applyBorder="1" applyAlignment="1">
      <alignment horizontal="center" wrapText="1"/>
    </xf>
    <xf numFmtId="0" fontId="48" fillId="8" borderId="6" xfId="7" applyFont="1" applyFill="1" applyBorder="1" applyAlignment="1">
      <alignment horizontal="center" wrapText="1"/>
    </xf>
    <xf numFmtId="0" fontId="48" fillId="8" borderId="9" xfId="7" applyFont="1" applyFill="1" applyBorder="1" applyAlignment="1">
      <alignment horizontal="center" wrapText="1"/>
    </xf>
    <xf numFmtId="0" fontId="174" fillId="106" borderId="9" xfId="1" applyFont="1" applyFill="1" applyBorder="1" applyAlignment="1">
      <alignment horizontal="center" vertical="center" textRotation="90"/>
    </xf>
    <xf numFmtId="0" fontId="174" fillId="106" borderId="9" xfId="1" applyFont="1" applyFill="1" applyBorder="1" applyAlignment="1">
      <alignment horizontal="center" vertical="center" textRotation="90" wrapText="1"/>
    </xf>
    <xf numFmtId="0" fontId="13" fillId="8" borderId="7" xfId="7" applyFont="1" applyFill="1" applyBorder="1" applyAlignment="1">
      <alignment horizontal="center" vertical="center"/>
    </xf>
    <xf numFmtId="0" fontId="13" fillId="8" borderId="8" xfId="7" applyFont="1" applyFill="1" applyBorder="1" applyAlignment="1">
      <alignment horizontal="center" vertical="center"/>
    </xf>
    <xf numFmtId="0" fontId="4" fillId="8" borderId="7" xfId="7" applyFont="1" applyFill="1" applyBorder="1" applyAlignment="1">
      <alignment horizontal="center" vertical="center" wrapText="1"/>
    </xf>
    <xf numFmtId="0" fontId="4" fillId="8" borderId="8" xfId="7" applyFont="1" applyFill="1" applyBorder="1" applyAlignment="1">
      <alignment horizontal="center" vertical="center" wrapText="1"/>
    </xf>
    <xf numFmtId="0" fontId="4" fillId="8" borderId="6" xfId="7" applyFont="1" applyFill="1" applyBorder="1" applyAlignment="1">
      <alignment horizontal="center" vertical="center" wrapText="1"/>
    </xf>
    <xf numFmtId="0" fontId="4" fillId="8" borderId="9" xfId="7" applyFont="1" applyFill="1" applyBorder="1" applyAlignment="1">
      <alignment horizontal="center" vertical="center" wrapText="1"/>
    </xf>
    <xf numFmtId="0" fontId="20" fillId="8" borderId="6" xfId="7" applyFont="1" applyFill="1" applyBorder="1" applyAlignment="1">
      <alignment horizontal="center" vertical="center"/>
    </xf>
    <xf numFmtId="0" fontId="20" fillId="8" borderId="9" xfId="7" applyFont="1" applyFill="1" applyBorder="1" applyAlignment="1">
      <alignment horizontal="center" vertical="center"/>
    </xf>
    <xf numFmtId="0" fontId="4" fillId="8" borderId="298" xfId="7" applyFont="1" applyFill="1" applyBorder="1" applyAlignment="1">
      <alignment horizontal="center" vertical="center"/>
    </xf>
    <xf numFmtId="0" fontId="4" fillId="8" borderId="117" xfId="7" applyFont="1" applyFill="1" applyBorder="1" applyAlignment="1">
      <alignment horizontal="center" vertical="center"/>
    </xf>
    <xf numFmtId="0" fontId="190" fillId="129" borderId="6" xfId="7" applyFont="1" applyFill="1" applyBorder="1" applyAlignment="1">
      <alignment horizontal="center" vertical="center"/>
    </xf>
    <xf numFmtId="0" fontId="190" fillId="129" borderId="0" xfId="7" applyFont="1" applyFill="1" applyAlignment="1">
      <alignment horizontal="center" vertical="center"/>
    </xf>
    <xf numFmtId="0" fontId="190" fillId="129" borderId="339" xfId="7" applyFont="1" applyFill="1" applyBorder="1" applyAlignment="1">
      <alignment horizontal="center" vertical="center"/>
    </xf>
    <xf numFmtId="0" fontId="190" fillId="129" borderId="380" xfId="7" applyFont="1" applyFill="1" applyBorder="1" applyAlignment="1">
      <alignment horizontal="center" vertical="center"/>
    </xf>
    <xf numFmtId="0" fontId="48" fillId="8" borderId="278" xfId="6" applyFont="1" applyFill="1" applyBorder="1" applyAlignment="1">
      <alignment horizontal="center" vertical="center"/>
    </xf>
    <xf numFmtId="0" fontId="48" fillId="8" borderId="279" xfId="6" applyFont="1" applyFill="1" applyBorder="1" applyAlignment="1">
      <alignment horizontal="center" vertical="center"/>
    </xf>
    <xf numFmtId="0" fontId="48" fillId="8" borderId="287" xfId="6" applyFont="1" applyFill="1" applyBorder="1" applyAlignment="1">
      <alignment horizontal="center" vertical="center"/>
    </xf>
    <xf numFmtId="0" fontId="48" fillId="8" borderId="289" xfId="6" applyFont="1" applyFill="1" applyBorder="1" applyAlignment="1">
      <alignment horizontal="center" vertical="center"/>
    </xf>
    <xf numFmtId="0" fontId="45" fillId="8" borderId="278" xfId="6" applyFont="1" applyFill="1" applyBorder="1" applyAlignment="1">
      <alignment horizontal="center" vertical="center"/>
    </xf>
    <xf numFmtId="0" fontId="45" fillId="8" borderId="279" xfId="6" applyFont="1" applyFill="1" applyBorder="1" applyAlignment="1">
      <alignment horizontal="center" vertical="center"/>
    </xf>
    <xf numFmtId="0" fontId="560" fillId="65" borderId="369" xfId="46" applyFont="1" applyFill="1" applyBorder="1" applyAlignment="1">
      <alignment horizontal="center" vertical="center"/>
    </xf>
    <xf numFmtId="0" fontId="560" fillId="65" borderId="370" xfId="46" applyFont="1" applyFill="1" applyBorder="1" applyAlignment="1">
      <alignment horizontal="center" vertical="center"/>
    </xf>
    <xf numFmtId="0" fontId="560" fillId="65" borderId="371" xfId="46" applyFont="1" applyFill="1" applyBorder="1" applyAlignment="1">
      <alignment horizontal="center" vertical="center"/>
    </xf>
    <xf numFmtId="0" fontId="13" fillId="8" borderId="288" xfId="6" applyFont="1" applyFill="1" applyBorder="1" applyAlignment="1">
      <alignment horizontal="center"/>
    </xf>
    <xf numFmtId="0" fontId="24" fillId="8" borderId="351" xfId="6" applyFont="1" applyFill="1" applyBorder="1" applyAlignment="1">
      <alignment horizontal="center" vertical="center" wrapText="1"/>
    </xf>
    <xf numFmtId="0" fontId="24" fillId="8" borderId="366" xfId="6" applyFont="1" applyFill="1" applyBorder="1" applyAlignment="1">
      <alignment horizontal="center" vertical="center" wrapText="1"/>
    </xf>
    <xf numFmtId="0" fontId="24" fillId="8" borderId="278" xfId="6" applyFont="1" applyFill="1" applyBorder="1" applyAlignment="1">
      <alignment horizontal="center" vertical="center" wrapText="1"/>
    </xf>
    <xf numFmtId="0" fontId="24" fillId="8" borderId="279" xfId="6" applyFont="1" applyFill="1" applyBorder="1" applyAlignment="1">
      <alignment horizontal="center" vertical="center" wrapText="1"/>
    </xf>
    <xf numFmtId="0" fontId="24" fillId="8" borderId="287" xfId="6" applyFont="1" applyFill="1" applyBorder="1" applyAlignment="1">
      <alignment horizontal="center" vertical="center" wrapText="1"/>
    </xf>
    <xf numFmtId="0" fontId="24" fillId="8" borderId="289" xfId="6" applyFont="1" applyFill="1" applyBorder="1" applyAlignment="1">
      <alignment horizontal="center" vertical="center" wrapText="1"/>
    </xf>
    <xf numFmtId="1" fontId="13" fillId="8" borderId="368" xfId="1" applyNumberFormat="1" applyFont="1" applyFill="1" applyBorder="1" applyAlignment="1" applyProtection="1">
      <alignment horizontal="center" vertical="center" wrapText="1"/>
      <protection hidden="1"/>
    </xf>
    <xf numFmtId="1" fontId="13" fillId="8" borderId="287" xfId="1" applyNumberFormat="1" applyFont="1" applyFill="1" applyBorder="1" applyAlignment="1" applyProtection="1">
      <alignment horizontal="center" vertical="center" wrapText="1"/>
      <protection hidden="1"/>
    </xf>
    <xf numFmtId="1" fontId="13" fillId="8" borderId="289" xfId="1" applyNumberFormat="1" applyFont="1" applyFill="1" applyBorder="1" applyAlignment="1" applyProtection="1">
      <alignment horizontal="center" vertical="center" wrapText="1"/>
      <protection hidden="1"/>
    </xf>
    <xf numFmtId="0" fontId="559" fillId="0" borderId="0" xfId="47" applyFont="1" applyAlignment="1" applyProtection="1">
      <alignment horizontal="center" vertical="center" wrapText="1"/>
    </xf>
    <xf numFmtId="0" fontId="559" fillId="0" borderId="0" xfId="47" applyFont="1" applyBorder="1" applyAlignment="1" applyProtection="1">
      <alignment horizontal="center" vertical="center" wrapText="1"/>
    </xf>
    <xf numFmtId="0" fontId="45" fillId="8" borderId="368" xfId="6" applyFont="1" applyFill="1" applyBorder="1" applyAlignment="1">
      <alignment horizontal="center" vertical="center"/>
    </xf>
    <xf numFmtId="0" fontId="86" fillId="8" borderId="0" xfId="17" applyFill="1" applyAlignment="1">
      <alignment horizontal="left" vertical="center"/>
    </xf>
    <xf numFmtId="0" fontId="69" fillId="8" borderId="0" xfId="3" applyFont="1" applyFill="1" applyAlignment="1">
      <alignment horizontal="center" vertical="center"/>
    </xf>
    <xf numFmtId="208" fontId="58" fillId="20" borderId="0" xfId="1" applyNumberFormat="1" applyFont="1" applyFill="1" applyAlignment="1" applyProtection="1">
      <alignment horizontal="center" vertical="center"/>
      <protection hidden="1"/>
    </xf>
    <xf numFmtId="172" fontId="13" fillId="7" borderId="0" xfId="1" applyNumberFormat="1" applyFont="1" applyFill="1" applyAlignment="1" applyProtection="1">
      <alignment horizontal="center" vertical="center"/>
      <protection hidden="1"/>
    </xf>
    <xf numFmtId="0" fontId="31" fillId="106" borderId="6" xfId="1" applyFont="1" applyFill="1" applyBorder="1" applyAlignment="1">
      <alignment horizontal="center"/>
    </xf>
    <xf numFmtId="0" fontId="31" fillId="106" borderId="58" xfId="1" applyFont="1" applyFill="1" applyBorder="1" applyAlignment="1">
      <alignment horizontal="center"/>
    </xf>
    <xf numFmtId="0" fontId="37" fillId="8" borderId="48" xfId="13" applyFont="1" applyFill="1" applyBorder="1" applyAlignment="1">
      <alignment horizontal="center" vertical="center"/>
    </xf>
    <xf numFmtId="0" fontId="37" fillId="8" borderId="13" xfId="13" applyFont="1" applyFill="1" applyBorder="1" applyAlignment="1">
      <alignment horizontal="center" vertical="center"/>
    </xf>
    <xf numFmtId="0" fontId="427" fillId="20" borderId="48" xfId="13" applyFont="1" applyFill="1" applyBorder="1" applyAlignment="1">
      <alignment horizontal="center" vertical="center"/>
    </xf>
    <xf numFmtId="0" fontId="427" fillId="20" borderId="50" xfId="13" applyFont="1" applyFill="1" applyBorder="1" applyAlignment="1">
      <alignment horizontal="center" vertical="center"/>
    </xf>
    <xf numFmtId="0" fontId="427" fillId="20" borderId="13" xfId="13" applyFont="1" applyFill="1" applyBorder="1" applyAlignment="1">
      <alignment horizontal="center" vertical="center"/>
    </xf>
    <xf numFmtId="0" fontId="427" fillId="20" borderId="21" xfId="13" applyFont="1" applyFill="1" applyBorder="1" applyAlignment="1">
      <alignment horizontal="center" vertical="center"/>
    </xf>
    <xf numFmtId="0" fontId="1" fillId="0" borderId="48" xfId="13" applyBorder="1" applyAlignment="1">
      <alignment horizontal="center" vertical="center"/>
    </xf>
    <xf numFmtId="0" fontId="1" fillId="0" borderId="13" xfId="13" applyBorder="1" applyAlignment="1">
      <alignment horizontal="center" vertical="center"/>
    </xf>
    <xf numFmtId="9" fontId="26" fillId="8" borderId="50" xfId="13" applyNumberFormat="1" applyFont="1" applyFill="1" applyBorder="1" applyAlignment="1">
      <alignment horizontal="center" vertical="center"/>
    </xf>
    <xf numFmtId="9" fontId="26" fillId="8" borderId="21" xfId="13" applyNumberFormat="1" applyFont="1" applyFill="1" applyBorder="1" applyAlignment="1">
      <alignment horizontal="center" vertical="center"/>
    </xf>
    <xf numFmtId="0" fontId="426" fillId="20" borderId="5" xfId="13" applyFont="1" applyFill="1" applyBorder="1" applyAlignment="1">
      <alignment horizontal="center" vertical="center"/>
    </xf>
    <xf numFmtId="0" fontId="426" fillId="20" borderId="54" xfId="13" applyFont="1" applyFill="1" applyBorder="1" applyAlignment="1">
      <alignment horizontal="center" vertical="center"/>
    </xf>
    <xf numFmtId="0" fontId="155" fillId="8" borderId="5" xfId="1" applyFont="1" applyFill="1" applyBorder="1" applyAlignment="1">
      <alignment horizontal="center" vertical="center" wrapText="1"/>
    </xf>
    <xf numFmtId="0" fontId="97" fillId="8" borderId="5" xfId="1" applyFont="1" applyFill="1" applyBorder="1" applyAlignment="1">
      <alignment horizontal="center" vertical="center" wrapText="1"/>
    </xf>
    <xf numFmtId="0" fontId="97" fillId="8" borderId="101" xfId="1" applyFont="1" applyFill="1" applyBorder="1" applyAlignment="1">
      <alignment horizontal="center" vertical="center" wrapText="1"/>
    </xf>
    <xf numFmtId="49" fontId="21" fillId="129" borderId="2" xfId="1" applyNumberFormat="1" applyFont="1" applyFill="1" applyBorder="1" applyAlignment="1">
      <alignment horizontal="center" vertical="center"/>
    </xf>
    <xf numFmtId="49" fontId="21" fillId="129" borderId="8" xfId="1" applyNumberFormat="1" applyFont="1" applyFill="1" applyBorder="1" applyAlignment="1">
      <alignment horizontal="center" vertical="center"/>
    </xf>
    <xf numFmtId="0" fontId="31" fillId="106" borderId="6" xfId="1" applyFont="1" applyFill="1" applyBorder="1" applyAlignment="1">
      <alignment horizontal="center" wrapText="1"/>
    </xf>
    <xf numFmtId="0" fontId="31" fillId="106" borderId="58" xfId="1" applyFont="1" applyFill="1" applyBorder="1" applyAlignment="1">
      <alignment horizontal="center" wrapText="1"/>
    </xf>
    <xf numFmtId="0" fontId="20" fillId="8" borderId="13" xfId="1" applyFont="1" applyFill="1" applyBorder="1" applyAlignment="1" applyProtection="1">
      <alignment horizontal="center" vertical="center"/>
      <protection hidden="1"/>
    </xf>
    <xf numFmtId="0" fontId="48" fillId="8" borderId="13" xfId="1" applyFont="1" applyFill="1" applyBorder="1" applyAlignment="1" applyProtection="1">
      <alignment horizontal="center" vertical="center"/>
      <protection hidden="1"/>
    </xf>
    <xf numFmtId="0" fontId="48" fillId="8" borderId="21" xfId="1" applyFont="1" applyFill="1" applyBorder="1" applyAlignment="1" applyProtection="1">
      <alignment horizontal="center" vertical="center"/>
      <protection hidden="1"/>
    </xf>
    <xf numFmtId="0" fontId="31" fillId="154" borderId="6" xfId="1" applyFont="1" applyFill="1" applyBorder="1" applyAlignment="1">
      <alignment horizontal="center"/>
    </xf>
    <xf numFmtId="0" fontId="31" fillId="154" borderId="58" xfId="1" applyFont="1" applyFill="1" applyBorder="1" applyAlignment="1">
      <alignment horizontal="center"/>
    </xf>
    <xf numFmtId="0" fontId="325" fillId="146" borderId="0" xfId="3" applyFont="1" applyFill="1" applyAlignment="1">
      <alignment horizontal="center" vertical="center"/>
    </xf>
    <xf numFmtId="0" fontId="325" fillId="146" borderId="9" xfId="3" applyFont="1" applyFill="1" applyBorder="1" applyAlignment="1">
      <alignment horizontal="center" vertical="center"/>
    </xf>
    <xf numFmtId="0" fontId="57" fillId="8" borderId="0" xfId="1" applyFont="1" applyFill="1" applyAlignment="1">
      <alignment horizontal="left" vertical="center" wrapText="1"/>
    </xf>
    <xf numFmtId="0" fontId="57" fillId="8" borderId="9" xfId="1" applyFont="1" applyFill="1" applyBorder="1" applyAlignment="1">
      <alignment horizontal="left" vertical="center" wrapText="1"/>
    </xf>
    <xf numFmtId="0" fontId="13" fillId="154" borderId="48" xfId="3" applyFont="1" applyFill="1" applyBorder="1" applyAlignment="1">
      <alignment horizontal="center" vertical="center"/>
    </xf>
    <xf numFmtId="0" fontId="13" fillId="154" borderId="50" xfId="3" applyFont="1" applyFill="1" applyBorder="1" applyAlignment="1">
      <alignment horizontal="center" vertical="center"/>
    </xf>
    <xf numFmtId="0" fontId="426" fillId="20" borderId="137" xfId="13" applyFont="1" applyFill="1" applyBorder="1" applyAlignment="1">
      <alignment horizontal="center" vertical="center"/>
    </xf>
    <xf numFmtId="0" fontId="426" fillId="20" borderId="361" xfId="13" applyFont="1" applyFill="1" applyBorder="1" applyAlignment="1">
      <alignment horizontal="center" vertical="center"/>
    </xf>
    <xf numFmtId="0" fontId="190" fillId="129" borderId="7" xfId="1" applyFont="1" applyFill="1" applyBorder="1" applyAlignment="1">
      <alignment horizontal="center" vertical="center"/>
    </xf>
    <xf numFmtId="0" fontId="190" fillId="129" borderId="6" xfId="1" applyFont="1" applyFill="1" applyBorder="1" applyAlignment="1">
      <alignment horizontal="center" vertical="center"/>
    </xf>
    <xf numFmtId="0" fontId="87" fillId="154" borderId="2" xfId="2" applyFont="1" applyFill="1" applyBorder="1" applyAlignment="1">
      <alignment horizontal="center" vertical="center"/>
    </xf>
    <xf numFmtId="0" fontId="31" fillId="145" borderId="6" xfId="1" applyFont="1" applyFill="1" applyBorder="1" applyAlignment="1">
      <alignment horizontal="center"/>
    </xf>
    <xf numFmtId="0" fontId="31" fillId="145" borderId="58" xfId="1" applyFont="1" applyFill="1" applyBorder="1" applyAlignment="1">
      <alignment horizontal="center"/>
    </xf>
    <xf numFmtId="0" fontId="413" fillId="20" borderId="0" xfId="16" applyFont="1" applyFill="1" applyAlignment="1" applyProtection="1">
      <alignment horizontal="center" vertical="center"/>
      <protection locked="0"/>
    </xf>
    <xf numFmtId="0" fontId="413" fillId="20" borderId="9" xfId="16" applyFont="1" applyFill="1" applyBorder="1" applyAlignment="1" applyProtection="1">
      <alignment horizontal="center" vertical="center"/>
      <protection locked="0"/>
    </xf>
    <xf numFmtId="0" fontId="13" fillId="145" borderId="48" xfId="3" applyFont="1" applyFill="1" applyBorder="1" applyAlignment="1">
      <alignment horizontal="center" vertical="center"/>
    </xf>
    <xf numFmtId="0" fontId="13" fillId="145" borderId="50" xfId="3" applyFont="1" applyFill="1" applyBorder="1" applyAlignment="1">
      <alignment horizontal="center" vertical="center"/>
    </xf>
    <xf numFmtId="0" fontId="32" fillId="151" borderId="2" xfId="2" applyFont="1" applyFill="1" applyBorder="1" applyAlignment="1">
      <alignment horizontal="center" vertical="center"/>
    </xf>
    <xf numFmtId="0" fontId="90" fillId="151" borderId="6" xfId="1" applyFont="1" applyFill="1" applyBorder="1" applyAlignment="1">
      <alignment horizontal="center"/>
    </xf>
    <xf numFmtId="0" fontId="90" fillId="151" borderId="58" xfId="1" applyFont="1" applyFill="1" applyBorder="1" applyAlignment="1">
      <alignment horizontal="center"/>
    </xf>
    <xf numFmtId="0" fontId="419" fillId="74" borderId="0" xfId="3" applyFont="1" applyFill="1" applyAlignment="1">
      <alignment horizontal="center" vertical="center"/>
    </xf>
    <xf numFmtId="0" fontId="419" fillId="74" borderId="9" xfId="3" applyFont="1" applyFill="1" applyBorder="1" applyAlignment="1">
      <alignment horizontal="center" vertical="center"/>
    </xf>
    <xf numFmtId="0" fontId="21" fillId="153" borderId="48" xfId="3" applyFont="1" applyFill="1" applyBorder="1" applyAlignment="1">
      <alignment horizontal="center" vertical="center"/>
    </xf>
    <xf numFmtId="0" fontId="21" fillId="153" borderId="50" xfId="3" applyFont="1" applyFill="1" applyBorder="1" applyAlignment="1">
      <alignment horizontal="center" vertical="center"/>
    </xf>
    <xf numFmtId="0" fontId="87" fillId="145" borderId="2" xfId="2" applyFont="1" applyFill="1" applyBorder="1" applyAlignment="1">
      <alignment horizontal="center" vertical="center"/>
    </xf>
    <xf numFmtId="0" fontId="1" fillId="8" borderId="0" xfId="27" applyFont="1" applyFill="1" applyAlignment="1">
      <alignment horizontal="center" vertical="top" wrapText="1"/>
    </xf>
    <xf numFmtId="0" fontId="1" fillId="8" borderId="9" xfId="27" applyFont="1" applyFill="1" applyBorder="1" applyAlignment="1">
      <alignment horizontal="center" vertical="top" wrapText="1"/>
    </xf>
    <xf numFmtId="0" fontId="72" fillId="4" borderId="2" xfId="0" applyFont="1" applyFill="1" applyBorder="1" applyAlignment="1">
      <alignment horizontal="center" vertical="center"/>
    </xf>
    <xf numFmtId="0" fontId="72" fillId="4" borderId="8" xfId="0" applyFont="1" applyFill="1" applyBorder="1" applyAlignment="1">
      <alignment horizontal="center" vertical="center"/>
    </xf>
    <xf numFmtId="0" fontId="0" fillId="4" borderId="6" xfId="0" applyFill="1" applyBorder="1" applyAlignment="1">
      <alignment horizontal="center"/>
    </xf>
    <xf numFmtId="0" fontId="0" fillId="4" borderId="58" xfId="0" applyFill="1" applyBorder="1" applyAlignment="1">
      <alignment horizontal="center"/>
    </xf>
    <xf numFmtId="0" fontId="0" fillId="0" borderId="0" xfId="0" applyAlignment="1">
      <alignment horizontal="center" wrapText="1"/>
    </xf>
    <xf numFmtId="0" fontId="0" fillId="0" borderId="9" xfId="0" applyBorder="1" applyAlignment="1">
      <alignment horizontal="center" wrapText="1"/>
    </xf>
    <xf numFmtId="0" fontId="405" fillId="0" borderId="0" xfId="34" applyFont="1" applyBorder="1" applyAlignment="1">
      <alignment horizontal="left" vertical="center"/>
    </xf>
    <xf numFmtId="0" fontId="408" fillId="12" borderId="0" xfId="27" applyFont="1" applyFill="1" applyAlignment="1">
      <alignment horizontal="center" vertical="center"/>
    </xf>
    <xf numFmtId="0" fontId="409" fillId="25" borderId="0" xfId="3" applyFont="1" applyFill="1" applyAlignment="1">
      <alignment horizontal="center" vertical="center"/>
    </xf>
    <xf numFmtId="0" fontId="411" fillId="20" borderId="0" xfId="3" applyFont="1" applyFill="1" applyAlignment="1">
      <alignment horizontal="center" vertical="center"/>
    </xf>
    <xf numFmtId="200" fontId="400" fillId="8" borderId="0" xfId="3" applyNumberFormat="1" applyFont="1" applyFill="1" applyAlignment="1">
      <alignment horizontal="center" vertical="center"/>
    </xf>
    <xf numFmtId="0" fontId="87" fillId="4" borderId="2" xfId="27" applyFont="1" applyFill="1" applyBorder="1" applyAlignment="1">
      <alignment horizontal="center" vertical="center"/>
    </xf>
    <xf numFmtId="0" fontId="87" fillId="4" borderId="8" xfId="27" applyFont="1" applyFill="1" applyBorder="1" applyAlignment="1">
      <alignment horizontal="center" vertical="center"/>
    </xf>
    <xf numFmtId="0" fontId="90" fillId="4" borderId="6" xfId="1" applyFont="1" applyFill="1" applyBorder="1" applyAlignment="1">
      <alignment horizontal="center" vertical="center" textRotation="90"/>
    </xf>
    <xf numFmtId="0" fontId="90" fillId="4" borderId="58" xfId="1" applyFont="1" applyFill="1" applyBorder="1" applyAlignment="1">
      <alignment horizontal="center" vertical="center" textRotation="90"/>
    </xf>
    <xf numFmtId="0" fontId="1" fillId="8" borderId="0" xfId="27" applyFont="1" applyFill="1" applyAlignment="1">
      <alignment horizontal="left" vertical="center" wrapText="1"/>
    </xf>
    <xf numFmtId="0" fontId="1" fillId="8" borderId="9" xfId="27" applyFont="1" applyFill="1" applyBorder="1" applyAlignment="1">
      <alignment horizontal="left" vertical="center" wrapText="1"/>
    </xf>
    <xf numFmtId="0" fontId="71" fillId="8" borderId="0" xfId="27" applyFill="1" applyAlignment="1">
      <alignment horizontal="left" vertical="top" wrapText="1"/>
    </xf>
    <xf numFmtId="0" fontId="71" fillId="8" borderId="9" xfId="27" applyFill="1" applyBorder="1" applyAlignment="1">
      <alignment horizontal="left" vertical="top" wrapText="1"/>
    </xf>
    <xf numFmtId="0" fontId="1" fillId="8" borderId="0" xfId="27" applyFont="1" applyFill="1" applyAlignment="1">
      <alignment horizontal="left" vertical="top" wrapText="1"/>
    </xf>
    <xf numFmtId="0" fontId="1" fillId="8" borderId="9" xfId="27" applyFont="1" applyFill="1" applyBorder="1" applyAlignment="1">
      <alignment horizontal="left" vertical="top" wrapText="1"/>
    </xf>
    <xf numFmtId="0" fontId="71" fillId="8" borderId="0" xfId="27" applyFill="1" applyAlignment="1">
      <alignment horizontal="center" vertical="top" wrapText="1"/>
    </xf>
    <xf numFmtId="0" fontId="71" fillId="8" borderId="9" xfId="27" applyFill="1" applyBorder="1" applyAlignment="1">
      <alignment horizontal="center" vertical="top" wrapText="1"/>
    </xf>
    <xf numFmtId="0" fontId="599" fillId="8" borderId="0" xfId="0" applyFont="1" applyFill="1" applyAlignment="1">
      <alignment vertical="center"/>
    </xf>
    <xf numFmtId="0" fontId="37" fillId="2072" borderId="0" xfId="0" applyFont="1" applyFill="1" applyAlignment="1">
      <alignment horizontal="center" vertical="center"/>
    </xf>
    <xf numFmtId="0" fontId="5" fillId="2080" borderId="0" xfId="0" applyFont="1" applyFill="1" applyAlignment="1">
      <alignment horizontal="left" vertical="center"/>
    </xf>
    <xf numFmtId="0" fontId="51" fillId="2082" borderId="0" xfId="0" applyFont="1" applyFill="1" applyAlignment="1">
      <alignment horizontal="left" vertical="center"/>
    </xf>
    <xf numFmtId="0" fontId="5" fillId="2084" borderId="0" xfId="0" applyFont="1" applyFill="1" applyAlignment="1">
      <alignment horizontal="left" vertical="center"/>
    </xf>
    <xf numFmtId="0" fontId="0" fillId="2085" borderId="0" xfId="0" applyFill="1" applyAlignment="1">
      <alignment horizontal="left" vertical="center"/>
    </xf>
    <xf numFmtId="0" fontId="51" fillId="2076" borderId="0" xfId="0" applyFont="1" applyFill="1" applyAlignment="1">
      <alignment horizontal="left" vertical="center"/>
    </xf>
    <xf numFmtId="0" fontId="51" fillId="2077" borderId="0" xfId="0" applyFont="1" applyFill="1" applyAlignment="1">
      <alignment horizontal="left" vertical="center"/>
    </xf>
    <xf numFmtId="0" fontId="90" fillId="2078" borderId="0" xfId="0" applyFont="1" applyFill="1" applyAlignment="1">
      <alignment horizontal="left" vertical="center"/>
    </xf>
    <xf numFmtId="0" fontId="51" fillId="2079" borderId="0" xfId="0" applyFont="1" applyFill="1" applyAlignment="1">
      <alignment horizontal="left" vertical="center"/>
    </xf>
    <xf numFmtId="0" fontId="51" fillId="2081" borderId="0" xfId="0" applyFont="1" applyFill="1" applyAlignment="1">
      <alignment horizontal="left" vertical="center"/>
    </xf>
    <xf numFmtId="0" fontId="51" fillId="2083" borderId="0" xfId="0" applyFont="1" applyFill="1" applyAlignment="1">
      <alignment horizontal="left" vertical="center"/>
    </xf>
    <xf numFmtId="0" fontId="0" fillId="0" borderId="0" xfId="0" applyAlignment="1">
      <alignment horizontal="left" vertical="center"/>
    </xf>
    <xf numFmtId="0" fontId="0" fillId="227" borderId="0" xfId="0" applyFill="1" applyAlignment="1">
      <alignment vertical="center"/>
    </xf>
    <xf numFmtId="0" fontId="0" fillId="8" borderId="452" xfId="0" applyFill="1" applyBorder="1" applyAlignment="1">
      <alignment vertical="center"/>
    </xf>
    <xf numFmtId="0" fontId="0" fillId="8" borderId="380" xfId="0" applyFill="1" applyBorder="1" applyAlignment="1">
      <alignment vertical="center"/>
    </xf>
    <xf numFmtId="0" fontId="0" fillId="0" borderId="380" xfId="0" applyBorder="1" applyAlignment="1">
      <alignment vertical="center"/>
    </xf>
    <xf numFmtId="0" fontId="0" fillId="0" borderId="453" xfId="0" applyBorder="1" applyAlignment="1">
      <alignment vertical="center"/>
    </xf>
    <xf numFmtId="0" fontId="0" fillId="8" borderId="278" xfId="0" applyFill="1" applyBorder="1" applyAlignment="1">
      <alignment vertical="center"/>
    </xf>
    <xf numFmtId="0" fontId="86" fillId="0" borderId="0" xfId="17" applyBorder="1" applyAlignment="1">
      <alignment vertical="center"/>
    </xf>
    <xf numFmtId="0" fontId="0" fillId="0" borderId="279" xfId="0" applyBorder="1" applyAlignment="1">
      <alignment vertical="center"/>
    </xf>
    <xf numFmtId="0" fontId="0" fillId="8" borderId="454" xfId="0" applyFill="1" applyBorder="1" applyAlignment="1">
      <alignment vertical="center"/>
    </xf>
    <xf numFmtId="0" fontId="0" fillId="8" borderId="455" xfId="0" applyFill="1" applyBorder="1" applyAlignment="1">
      <alignment vertical="center"/>
    </xf>
    <xf numFmtId="0" fontId="0" fillId="0" borderId="455" xfId="0" applyBorder="1" applyAlignment="1">
      <alignment vertical="center"/>
    </xf>
    <xf numFmtId="0" fontId="0" fillId="0" borderId="456" xfId="0" applyBorder="1" applyAlignment="1">
      <alignment vertical="center"/>
    </xf>
    <xf numFmtId="0" fontId="51" fillId="0" borderId="0" xfId="0" applyFont="1" applyAlignment="1">
      <alignment vertical="center"/>
    </xf>
    <xf numFmtId="0" fontId="37" fillId="2073" borderId="0" xfId="0" applyFont="1" applyFill="1" applyAlignment="1">
      <alignment vertical="center"/>
    </xf>
    <xf numFmtId="0" fontId="37" fillId="2074" borderId="0" xfId="0" applyFont="1" applyFill="1" applyAlignment="1">
      <alignment vertical="center"/>
    </xf>
    <xf numFmtId="0" fontId="361" fillId="2075" borderId="0" xfId="0" applyFont="1" applyFill="1" applyAlignment="1">
      <alignment vertical="center"/>
    </xf>
    <xf numFmtId="0" fontId="0" fillId="2086" borderId="0" xfId="0" applyFill="1" applyAlignment="1">
      <alignment vertical="center"/>
    </xf>
    <xf numFmtId="0" fontId="0" fillId="2087" borderId="0" xfId="0" applyFill="1" applyAlignment="1">
      <alignment vertical="center"/>
    </xf>
    <xf numFmtId="0" fontId="0" fillId="2088" borderId="0" xfId="0" applyFill="1" applyAlignment="1">
      <alignment vertical="center"/>
    </xf>
    <xf numFmtId="0" fontId="72" fillId="8" borderId="0" xfId="0" applyFont="1" applyFill="1" applyAlignment="1">
      <alignment horizontal="left" vertical="center"/>
    </xf>
    <xf numFmtId="0" fontId="0" fillId="0" borderId="0" xfId="0" applyFont="1" applyAlignment="1">
      <alignment horizontal="left" vertical="center"/>
    </xf>
    <xf numFmtId="0" fontId="0" fillId="0" borderId="380" xfId="0" applyFont="1" applyBorder="1" applyAlignment="1">
      <alignment horizontal="left" vertical="center"/>
    </xf>
    <xf numFmtId="0" fontId="86" fillId="0" borderId="0" xfId="17" applyAlignment="1">
      <alignment horizontal="left" vertical="center"/>
    </xf>
    <xf numFmtId="0" fontId="5" fillId="2092" borderId="0" xfId="0" applyFont="1" applyFill="1" applyAlignment="1">
      <alignment horizontal="left" vertical="center"/>
    </xf>
    <xf numFmtId="0" fontId="5" fillId="2093" borderId="0" xfId="0" applyFont="1" applyFill="1" applyAlignment="1">
      <alignment horizontal="left" vertical="center"/>
    </xf>
    <xf numFmtId="0" fontId="20" fillId="2094" borderId="0" xfId="0" applyFont="1" applyFill="1" applyAlignment="1">
      <alignment horizontal="left" vertical="center"/>
    </xf>
    <xf numFmtId="0" fontId="20" fillId="2095" borderId="0" xfId="0" applyFont="1" applyFill="1" applyAlignment="1">
      <alignment vertical="center"/>
    </xf>
    <xf numFmtId="0" fontId="5" fillId="2096" borderId="0" xfId="0" applyFont="1" applyFill="1" applyAlignment="1">
      <alignment horizontal="left" vertical="center"/>
    </xf>
    <xf numFmtId="0" fontId="5" fillId="2097" borderId="0" xfId="0" applyFont="1" applyFill="1" applyAlignment="1">
      <alignment horizontal="left" vertical="center"/>
    </xf>
    <xf numFmtId="0" fontId="0" fillId="2099" borderId="0" xfId="0" applyFont="1" applyFill="1" applyAlignment="1">
      <alignment horizontal="left" vertical="center"/>
    </xf>
    <xf numFmtId="0" fontId="5" fillId="2098" borderId="0" xfId="0" applyFont="1" applyFill="1" applyAlignment="1">
      <alignment horizontal="left" vertical="center"/>
    </xf>
    <xf numFmtId="0" fontId="5" fillId="2100" borderId="0" xfId="0" applyFont="1" applyFill="1" applyAlignment="1">
      <alignment vertical="center"/>
    </xf>
    <xf numFmtId="0" fontId="5" fillId="2101" borderId="0" xfId="0" applyFont="1" applyFill="1" applyAlignment="1">
      <alignment horizontal="left" vertical="center"/>
    </xf>
    <xf numFmtId="0" fontId="0" fillId="2102" borderId="0" xfId="0" applyFont="1" applyFill="1" applyAlignment="1">
      <alignment horizontal="left" vertical="center"/>
    </xf>
    <xf numFmtId="0" fontId="5" fillId="2103" borderId="0" xfId="0" applyFont="1" applyFill="1" applyAlignment="1">
      <alignment horizontal="left" vertical="center"/>
    </xf>
    <xf numFmtId="0" fontId="51" fillId="2086" borderId="0" xfId="0" applyFont="1" applyFill="1" applyBorder="1" applyAlignment="1">
      <alignment horizontal="left" vertical="center"/>
    </xf>
    <xf numFmtId="0" fontId="51" fillId="2087" borderId="0" xfId="0" applyFont="1" applyFill="1" applyBorder="1" applyAlignment="1">
      <alignment horizontal="left" vertical="center"/>
    </xf>
    <xf numFmtId="0" fontId="51" fillId="2088" borderId="0" xfId="0" applyFont="1" applyFill="1" applyBorder="1" applyAlignment="1">
      <alignment horizontal="left" vertical="center"/>
    </xf>
    <xf numFmtId="0" fontId="0" fillId="0" borderId="0" xfId="0" applyBorder="1" applyAlignment="1">
      <alignment vertical="center"/>
    </xf>
    <xf numFmtId="0" fontId="90" fillId="2089" borderId="0" xfId="0" applyFont="1" applyFill="1" applyBorder="1" applyAlignment="1">
      <alignment horizontal="left" vertical="center"/>
    </xf>
    <xf numFmtId="0" fontId="90" fillId="2090" borderId="0" xfId="0" applyFont="1" applyFill="1" applyBorder="1" applyAlignment="1">
      <alignment horizontal="left" vertical="center"/>
    </xf>
    <xf numFmtId="0" fontId="51" fillId="2091" borderId="0" xfId="0" applyFont="1" applyFill="1" applyBorder="1" applyAlignment="1">
      <alignment horizontal="left" vertical="center"/>
    </xf>
    <xf numFmtId="0" fontId="36" fillId="8" borderId="0" xfId="0" applyFont="1" applyFill="1" applyAlignment="1">
      <alignment horizontal="left" vertical="center"/>
    </xf>
  </cellXfs>
  <cellStyles count="49">
    <cellStyle name="Lien hypertexte" xfId="17" builtinId="8"/>
    <cellStyle name="Lien hypertexte 2 2 2" xfId="39" xr:uid="{4D893C51-781B-4240-A646-2416E0655683}"/>
    <cellStyle name="Lien hypertexte 2 2 3" xfId="38" xr:uid="{4516A5B2-382F-486F-A04F-0A178C18D7E6}"/>
    <cellStyle name="Lien hypertexte 3 2 2" xfId="34" xr:uid="{DC774B6A-1240-4A6F-9EA8-C37535D57CAE}"/>
    <cellStyle name="Lien hypertexte 3 2 3" xfId="41" xr:uid="{90446325-CC0D-4B6B-8C3F-B7883E60D5CB}"/>
    <cellStyle name="Lien hypertexte 4 2" xfId="40" xr:uid="{E8370C1A-DB40-48C7-8584-3E1A62A0239A}"/>
    <cellStyle name="Lien hypertexte_Copie de cc2_festival_menus_gemrcn_2011" xfId="47" xr:uid="{95F7EC06-D739-4843-AF3A-39FE6746CD9F}"/>
    <cellStyle name="Lien hypertexte_PG Positionnement 2009 2" xfId="31" xr:uid="{C229A44F-6BCB-4D77-A3DB-059E5B40A527}"/>
    <cellStyle name="Normal" xfId="0" builtinId="0"/>
    <cellStyle name="Normal 10 2 2 2 2 3 2 3 2 2 4 2" xfId="3" xr:uid="{4F0482B0-9525-45E8-BA39-1703383B3CC6}"/>
    <cellStyle name="Normal 10 3 2 3 2" xfId="25" xr:uid="{E3EA9C3E-E1E5-4F59-9A09-4DF8239244C8}"/>
    <cellStyle name="Normal 11 2 3 2 3 2 2 4 2" xfId="4" xr:uid="{037A6596-580B-46A4-A804-4E531945EAED}"/>
    <cellStyle name="Normal 12 2" xfId="6" xr:uid="{7BA1AD76-1D9E-411A-A401-29DA3F04AB88}"/>
    <cellStyle name="Normal 2 2 2 2 2" xfId="1" xr:uid="{91DC355E-895E-4584-98F3-77CA86917AEA}"/>
    <cellStyle name="Normal 2 2 2 2 3" xfId="28" xr:uid="{F6D3B9E7-FAEE-42B1-94EF-EEBBF43DFF9B}"/>
    <cellStyle name="Normal 2 2 4" xfId="9" xr:uid="{1C1F6EA4-4BCF-4826-83F3-9FD0435E33D4}"/>
    <cellStyle name="Normal 2 2 5" xfId="27" xr:uid="{7DCECCD4-4F7C-4E05-BAEE-5697C92F1B41}"/>
    <cellStyle name="Normal 2 3" xfId="8" xr:uid="{478D4418-E952-42E3-A10B-B42DAA92EC71}"/>
    <cellStyle name="Normal 3 2" xfId="18" xr:uid="{FF133437-DB1D-4329-AF61-839B54DB9A4E}"/>
    <cellStyle name="Normal 3 3 2" xfId="30" xr:uid="{26C4BBBB-06CA-4FF1-AE14-8A4222E464FC}"/>
    <cellStyle name="Normal 4" xfId="48" xr:uid="{C36B71F9-4C4A-4AE0-A49C-F4DB0B4CFDF3}"/>
    <cellStyle name="Normal 4 2 2 2 2 2 2 2 3 3 2" xfId="7" xr:uid="{6D06A39C-76DF-4ADC-8A86-1928272DC9EE}"/>
    <cellStyle name="Normal 4 2 2 2 2 2 2 2 4 3 6 2" xfId="11" xr:uid="{98AB1942-6F28-4501-BE54-602BB4D8E09E}"/>
    <cellStyle name="Normal 4 2 2 2 2 2 2 2 4 5 2" xfId="35" xr:uid="{FB94429A-CEB0-4975-AF52-AFBD95FADE99}"/>
    <cellStyle name="Normal 4 2 2 2 2 2 2 2 4 5 2 2" xfId="37" xr:uid="{437AEC56-AEEE-4B27-8AE4-52371D51891F}"/>
    <cellStyle name="Normal 4 2 2 2 2 2 2 5 4 2 3 2 2 3 2 2 4 2" xfId="12" xr:uid="{AE822A74-2F75-4225-B73F-E50D207E5C89}"/>
    <cellStyle name="Normal 4 2 2 2 2 2 2 6 2 2 3 2 3 3 2 2 4 2" xfId="13" xr:uid="{7B2A2A80-6994-4670-BEC6-DE0D59A02101}"/>
    <cellStyle name="Normal 4 2 2 2 3 2 2 3 2 2" xfId="23" xr:uid="{CFFEB201-6DE7-4369-A0F1-C76462831F66}"/>
    <cellStyle name="Normal 4 2 4 2 2 4 2 2 2 2 3 2" xfId="10" xr:uid="{3A0E1854-5F2D-4CC1-BAFF-768FB97CB744}"/>
    <cellStyle name="Normal 4 2 5" xfId="22" xr:uid="{CBDAD130-9BFC-4CAB-A9A9-F0A5389EEAB4}"/>
    <cellStyle name="Normal 4 3 4 2 2 2" xfId="2" xr:uid="{A7092AC8-AC33-444F-A436-744B041704DF}"/>
    <cellStyle name="Normal 4 3 4 3 2" xfId="24" xr:uid="{D71AA164-697E-4F58-B1F5-7093F0BAD800}"/>
    <cellStyle name="Normal 9 2 2 2 3 3 2 2 2 2 4 2" xfId="26" xr:uid="{97E126EB-92D1-4569-AF30-9993619A07E1}"/>
    <cellStyle name="Normal 9 2 2 2 5 2 2" xfId="36" xr:uid="{A53F2DB7-2502-421E-9804-3BA6A916A5DD}"/>
    <cellStyle name="Normal_Bases Cuisine 2" xfId="15" xr:uid="{36D152CD-160D-402F-9AF3-0AD65B032BFE}"/>
    <cellStyle name="Normal_Bons de commande livraison" xfId="16" xr:uid="{1B683803-05F8-4814-8051-70BD0BE2D95B}"/>
    <cellStyle name="Normal_Comparer recettes 2009 OK 2 2" xfId="29" xr:uid="{BFA613B3-F982-45D2-83E4-0955401D52D9}"/>
    <cellStyle name="Normal_Conditionnement 3 décembre" xfId="42" xr:uid="{3EF45BA2-3483-42B7-BFA4-BD28E9166489}"/>
    <cellStyle name="Normal_Cuissons Températures portait16-11-2006" xfId="44" xr:uid="{8BF06D94-6F82-456C-A152-BEDC8E25ED4B}"/>
    <cellStyle name="Normal_EFECTIF1 2" xfId="43" xr:uid="{B417BAF5-4508-4054-9784-17A6AE4B6695}"/>
    <cellStyle name="Normal_Effectif Conditionnement Goulin" xfId="19" xr:uid="{18A659F5-28B7-4D14-9A36-654D9E24810C}"/>
    <cellStyle name="Normal_Fiche test plat ou produit 2" xfId="20" xr:uid="{8D391CF7-7062-4587-88E6-CFDE8256AD92}"/>
    <cellStyle name="Normal_Forum Marais 15 09 2001 2 2 2" xfId="5" xr:uid="{27B56DAE-4FDA-4D74-8D72-543136FD9812}"/>
    <cellStyle name="Normal_Forum Marais 15 09 2001_Fiche technique C2 Mars 2008 " xfId="33" xr:uid="{96F40FF2-445F-4D53-94DB-726F89CBB054}"/>
    <cellStyle name="Normal_FT Cuisson Evolutive" xfId="14" xr:uid="{3D1C54F4-FCB8-45E6-9431-FF2D476A2259}"/>
    <cellStyle name="Normal_GERMCN UPC brouillon" xfId="46" xr:uid="{C92E978E-02BA-4AB5-B714-E849AC7538E4}"/>
    <cellStyle name="Normal_Marché 2002 filtre automatique" xfId="45" xr:uid="{1331540C-8B98-4BB2-B1CA-81B95685C5FD}"/>
    <cellStyle name="Normal_Non conformité 2002 2" xfId="21" xr:uid="{94886064-E374-4520-B7BA-F021BD7AE6DB}"/>
    <cellStyle name="Normal_space" xfId="32" xr:uid="{39EDD626-6D15-43B5-90B2-4BB7DEEFB184}"/>
  </cellStyles>
  <dxfs count="70">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s>
  <tableStyles count="0" defaultTableStyle="TableStyleMedium2" defaultPivotStyle="PivotStyleLight16"/>
  <colors>
    <mruColors>
      <color rgb="FF0000FF"/>
      <color rgb="FF7D4427"/>
      <color rgb="FFA2C523"/>
      <color rgb="FF486B00"/>
      <color rgb="FF2E4600"/>
      <color rgb="FFC4DFE6"/>
      <color rgb="FF66A5AD"/>
      <color rgb="FF07575B"/>
      <color rgb="FF003B46"/>
      <color rgb="FF89DA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7.png"/><Relationship Id="rId13" Type="http://schemas.openxmlformats.org/officeDocument/2006/relationships/image" Target="../media/image50.png"/><Relationship Id="rId3" Type="http://schemas.openxmlformats.org/officeDocument/2006/relationships/image" Target="../media/image18.png"/><Relationship Id="rId7" Type="http://schemas.openxmlformats.org/officeDocument/2006/relationships/image" Target="../media/image56.png"/><Relationship Id="rId12" Type="http://schemas.openxmlformats.org/officeDocument/2006/relationships/image" Target="../media/image49.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55.png"/><Relationship Id="rId11" Type="http://schemas.openxmlformats.org/officeDocument/2006/relationships/image" Target="../media/image19.png"/><Relationship Id="rId5" Type="http://schemas.openxmlformats.org/officeDocument/2006/relationships/image" Target="../media/image54.jpeg"/><Relationship Id="rId10" Type="http://schemas.openxmlformats.org/officeDocument/2006/relationships/image" Target="../media/image15.png"/><Relationship Id="rId4" Type="http://schemas.openxmlformats.org/officeDocument/2006/relationships/image" Target="../media/image53.png"/><Relationship Id="rId9" Type="http://schemas.openxmlformats.org/officeDocument/2006/relationships/image" Target="../media/image58.png"/></Relationships>
</file>

<file path=xl/drawings/_rels/drawing11.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5.png"/><Relationship Id="rId3" Type="http://schemas.openxmlformats.org/officeDocument/2006/relationships/image" Target="../media/image18.png"/><Relationship Id="rId7" Type="http://schemas.openxmlformats.org/officeDocument/2006/relationships/image" Target="../media/image59.png"/><Relationship Id="rId12" Type="http://schemas.openxmlformats.org/officeDocument/2006/relationships/image" Target="../media/image64.png"/><Relationship Id="rId2" Type="http://schemas.openxmlformats.org/officeDocument/2006/relationships/image" Target="../media/image16.png"/><Relationship Id="rId1" Type="http://schemas.openxmlformats.org/officeDocument/2006/relationships/image" Target="../media/image17.png"/><Relationship Id="rId6" Type="http://schemas.openxmlformats.org/officeDocument/2006/relationships/image" Target="../media/image52.png"/><Relationship Id="rId11" Type="http://schemas.openxmlformats.org/officeDocument/2006/relationships/image" Target="../media/image63.png"/><Relationship Id="rId5" Type="http://schemas.openxmlformats.org/officeDocument/2006/relationships/image" Target="../media/image51.png"/><Relationship Id="rId10" Type="http://schemas.openxmlformats.org/officeDocument/2006/relationships/image" Target="../media/image62.png"/><Relationship Id="rId4" Type="http://schemas.openxmlformats.org/officeDocument/2006/relationships/image" Target="../media/image50.png"/><Relationship Id="rId9" Type="http://schemas.openxmlformats.org/officeDocument/2006/relationships/image" Target="../media/image61.png"/><Relationship Id="rId1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18.png"/><Relationship Id="rId7" Type="http://schemas.openxmlformats.org/officeDocument/2006/relationships/image" Target="../media/image49.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19.png"/><Relationship Id="rId5" Type="http://schemas.openxmlformats.org/officeDocument/2006/relationships/image" Target="../media/image15.png"/><Relationship Id="rId4" Type="http://schemas.openxmlformats.org/officeDocument/2006/relationships/image" Target="../media/image5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66.png"/><Relationship Id="rId4" Type="http://schemas.openxmlformats.org/officeDocument/2006/relationships/image" Target="../media/image6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image" Target="../media/image7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image" Target="../media/image72.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76.png"/><Relationship Id="rId7" Type="http://schemas.openxmlformats.org/officeDocument/2006/relationships/image" Target="../media/image19.png"/><Relationship Id="rId2" Type="http://schemas.openxmlformats.org/officeDocument/2006/relationships/image" Target="../media/image75.png"/><Relationship Id="rId1" Type="http://schemas.openxmlformats.org/officeDocument/2006/relationships/image" Target="../media/image74.png"/><Relationship Id="rId6" Type="http://schemas.openxmlformats.org/officeDocument/2006/relationships/image" Target="../media/image15.png"/><Relationship Id="rId5" Type="http://schemas.openxmlformats.org/officeDocument/2006/relationships/image" Target="../media/image78.png"/><Relationship Id="rId4" Type="http://schemas.openxmlformats.org/officeDocument/2006/relationships/image" Target="../media/image77.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emf"/><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3.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emf"/><Relationship Id="rId6" Type="http://schemas.openxmlformats.org/officeDocument/2006/relationships/image" Target="../media/image8.png"/><Relationship Id="rId11" Type="http://schemas.openxmlformats.org/officeDocument/2006/relationships/image" Target="../media/image14.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emf"/><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26" Type="http://schemas.openxmlformats.org/officeDocument/2006/relationships/image" Target="../media/image46.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5" Type="http://schemas.openxmlformats.org/officeDocument/2006/relationships/image" Target="../media/image45.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 Id="rId27"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48.png"/><Relationship Id="rId4" Type="http://schemas.openxmlformats.org/officeDocument/2006/relationships/image" Target="../media/image49.png"/></Relationships>
</file>

<file path=xl/drawings/_rels/drawing7.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19.png"/><Relationship Id="rId1" Type="http://schemas.openxmlformats.org/officeDocument/2006/relationships/image" Target="../media/image15.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67</xdr:row>
      <xdr:rowOff>1</xdr:rowOff>
    </xdr:from>
    <xdr:to>
      <xdr:col>2</xdr:col>
      <xdr:colOff>314325</xdr:colOff>
      <xdr:row>72</xdr:row>
      <xdr:rowOff>117209</xdr:rowOff>
    </xdr:to>
    <xdr:pic>
      <xdr:nvPicPr>
        <xdr:cNvPr id="2" name="Image 1">
          <a:extLst>
            <a:ext uri="{FF2B5EF4-FFF2-40B4-BE49-F238E27FC236}">
              <a16:creationId xmlns:a16="http://schemas.microsoft.com/office/drawing/2014/main" id="{02D2184B-96EA-4717-89DB-2797CD863E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3287376"/>
          <a:ext cx="1076325" cy="106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657225</xdr:colOff>
      <xdr:row>0</xdr:row>
      <xdr:rowOff>133350</xdr:rowOff>
    </xdr:from>
    <xdr:to>
      <xdr:col>11</xdr:col>
      <xdr:colOff>391658</xdr:colOff>
      <xdr:row>6</xdr:row>
      <xdr:rowOff>57304</xdr:rowOff>
    </xdr:to>
    <xdr:pic>
      <xdr:nvPicPr>
        <xdr:cNvPr id="3" name="Image 2">
          <a:extLst>
            <a:ext uri="{FF2B5EF4-FFF2-40B4-BE49-F238E27FC236}">
              <a16:creationId xmlns:a16="http://schemas.microsoft.com/office/drawing/2014/main" id="{164C62A3-C611-47FD-9745-FC5BDF85FD60}"/>
            </a:ext>
          </a:extLst>
        </xdr:cNvPr>
        <xdr:cNvPicPr>
          <a:picLocks noChangeAspect="1"/>
        </xdr:cNvPicPr>
      </xdr:nvPicPr>
      <xdr:blipFill>
        <a:blip xmlns:r="http://schemas.openxmlformats.org/officeDocument/2006/relationships" r:embed="rId2"/>
        <a:stretch>
          <a:fillRect/>
        </a:stretch>
      </xdr:blipFill>
      <xdr:spPr>
        <a:xfrm>
          <a:off x="657225" y="133350"/>
          <a:ext cx="8116433" cy="11050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83</xdr:col>
      <xdr:colOff>476250</xdr:colOff>
      <xdr:row>23</xdr:row>
      <xdr:rowOff>0</xdr:rowOff>
    </xdr:from>
    <xdr:ext cx="2289175" cy="1058870"/>
    <xdr:pic>
      <xdr:nvPicPr>
        <xdr:cNvPr id="8" name="Image 7">
          <a:extLst>
            <a:ext uri="{FF2B5EF4-FFF2-40B4-BE49-F238E27FC236}">
              <a16:creationId xmlns:a16="http://schemas.microsoft.com/office/drawing/2014/main" id="{2C7EA473-2566-4D27-8771-3008DD58D509}"/>
            </a:ext>
          </a:extLst>
        </xdr:cNvPr>
        <xdr:cNvPicPr>
          <a:picLocks noChangeAspect="1"/>
        </xdr:cNvPicPr>
      </xdr:nvPicPr>
      <xdr:blipFill>
        <a:blip xmlns:r="http://schemas.openxmlformats.org/officeDocument/2006/relationships" r:embed="rId1"/>
        <a:stretch>
          <a:fillRect/>
        </a:stretch>
      </xdr:blipFill>
      <xdr:spPr>
        <a:xfrm>
          <a:off x="67894200" y="6191250"/>
          <a:ext cx="2289175" cy="1058870"/>
        </a:xfrm>
        <a:prstGeom prst="rect">
          <a:avLst/>
        </a:prstGeom>
      </xdr:spPr>
    </xdr:pic>
    <xdr:clientData/>
  </xdr:oneCellAnchor>
  <xdr:oneCellAnchor>
    <xdr:from>
      <xdr:col>83</xdr:col>
      <xdr:colOff>685800</xdr:colOff>
      <xdr:row>39</xdr:row>
      <xdr:rowOff>85725</xdr:rowOff>
    </xdr:from>
    <xdr:ext cx="2248026" cy="1098550"/>
    <xdr:pic>
      <xdr:nvPicPr>
        <xdr:cNvPr id="9" name="Image 8">
          <a:extLst>
            <a:ext uri="{FF2B5EF4-FFF2-40B4-BE49-F238E27FC236}">
              <a16:creationId xmlns:a16="http://schemas.microsoft.com/office/drawing/2014/main" id="{CADA75D0-6A91-4ACB-825B-2F42C7A65D12}"/>
            </a:ext>
          </a:extLst>
        </xdr:cNvPr>
        <xdr:cNvPicPr>
          <a:picLocks noChangeAspect="1"/>
        </xdr:cNvPicPr>
      </xdr:nvPicPr>
      <xdr:blipFill>
        <a:blip xmlns:r="http://schemas.openxmlformats.org/officeDocument/2006/relationships" r:embed="rId2"/>
        <a:stretch>
          <a:fillRect/>
        </a:stretch>
      </xdr:blipFill>
      <xdr:spPr>
        <a:xfrm>
          <a:off x="68103750" y="10544175"/>
          <a:ext cx="2248026" cy="1098550"/>
        </a:xfrm>
        <a:prstGeom prst="rect">
          <a:avLst/>
        </a:prstGeom>
      </xdr:spPr>
    </xdr:pic>
    <xdr:clientData/>
  </xdr:oneCellAnchor>
  <xdr:oneCellAnchor>
    <xdr:from>
      <xdr:col>84</xdr:col>
      <xdr:colOff>38100</xdr:colOff>
      <xdr:row>53</xdr:row>
      <xdr:rowOff>19050</xdr:rowOff>
    </xdr:from>
    <xdr:ext cx="1057275" cy="1120810"/>
    <xdr:pic>
      <xdr:nvPicPr>
        <xdr:cNvPr id="10" name="Image 9">
          <a:extLst>
            <a:ext uri="{FF2B5EF4-FFF2-40B4-BE49-F238E27FC236}">
              <a16:creationId xmlns:a16="http://schemas.microsoft.com/office/drawing/2014/main" id="{D6F1B9B2-8B7B-4145-BF16-183D902433D4}"/>
            </a:ext>
          </a:extLst>
        </xdr:cNvPr>
        <xdr:cNvPicPr>
          <a:picLocks noChangeAspect="1"/>
        </xdr:cNvPicPr>
      </xdr:nvPicPr>
      <xdr:blipFill>
        <a:blip xmlns:r="http://schemas.openxmlformats.org/officeDocument/2006/relationships" r:embed="rId3"/>
        <a:stretch>
          <a:fillRect/>
        </a:stretch>
      </xdr:blipFill>
      <xdr:spPr>
        <a:xfrm>
          <a:off x="68589525" y="14211300"/>
          <a:ext cx="1057275" cy="1120810"/>
        </a:xfrm>
        <a:prstGeom prst="rect">
          <a:avLst/>
        </a:prstGeom>
      </xdr:spPr>
    </xdr:pic>
    <xdr:clientData/>
  </xdr:oneCellAnchor>
  <xdr:oneCellAnchor>
    <xdr:from>
      <xdr:col>85</xdr:col>
      <xdr:colOff>1343025</xdr:colOff>
      <xdr:row>95</xdr:row>
      <xdr:rowOff>180975</xdr:rowOff>
    </xdr:from>
    <xdr:ext cx="1448868" cy="1238250"/>
    <xdr:pic>
      <xdr:nvPicPr>
        <xdr:cNvPr id="11" name="Image 10" descr="Man Cook: Medium-Light Skin Tone">
          <a:extLst>
            <a:ext uri="{FF2B5EF4-FFF2-40B4-BE49-F238E27FC236}">
              <a16:creationId xmlns:a16="http://schemas.microsoft.com/office/drawing/2014/main" id="{53331EAC-6D09-4E71-9179-6330E22DF6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675500" y="25574625"/>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333375</xdr:colOff>
      <xdr:row>13</xdr:row>
      <xdr:rowOff>95250</xdr:rowOff>
    </xdr:from>
    <xdr:ext cx="3799261" cy="5353050"/>
    <xdr:pic>
      <xdr:nvPicPr>
        <xdr:cNvPr id="12" name="Image 11">
          <a:extLst>
            <a:ext uri="{FF2B5EF4-FFF2-40B4-BE49-F238E27FC236}">
              <a16:creationId xmlns:a16="http://schemas.microsoft.com/office/drawing/2014/main" id="{D5FF2713-7426-415B-8C56-B4BB4FDB8E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43700" y="3619500"/>
          <a:ext cx="3799261" cy="535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33</xdr:row>
      <xdr:rowOff>57150</xdr:rowOff>
    </xdr:from>
    <xdr:ext cx="4282094" cy="3502025"/>
    <xdr:pic>
      <xdr:nvPicPr>
        <xdr:cNvPr id="13" name="Image 12">
          <a:extLst>
            <a:ext uri="{FF2B5EF4-FFF2-40B4-BE49-F238E27FC236}">
              <a16:creationId xmlns:a16="http://schemas.microsoft.com/office/drawing/2014/main" id="{FE55389B-0700-43C1-9F74-191893F0D9F1}"/>
            </a:ext>
          </a:extLst>
        </xdr:cNvPr>
        <xdr:cNvPicPr>
          <a:picLocks noChangeAspect="1"/>
        </xdr:cNvPicPr>
      </xdr:nvPicPr>
      <xdr:blipFill>
        <a:blip xmlns:r="http://schemas.openxmlformats.org/officeDocument/2006/relationships" r:embed="rId6"/>
        <a:stretch>
          <a:fillRect/>
        </a:stretch>
      </xdr:blipFill>
      <xdr:spPr>
        <a:xfrm>
          <a:off x="13287375" y="8915400"/>
          <a:ext cx="4282094" cy="3502025"/>
        </a:xfrm>
        <a:prstGeom prst="rect">
          <a:avLst/>
        </a:prstGeom>
      </xdr:spPr>
    </xdr:pic>
    <xdr:clientData/>
  </xdr:oneCellAnchor>
  <xdr:oneCellAnchor>
    <xdr:from>
      <xdr:col>3</xdr:col>
      <xdr:colOff>361950</xdr:colOff>
      <xdr:row>49</xdr:row>
      <xdr:rowOff>238125</xdr:rowOff>
    </xdr:from>
    <xdr:ext cx="4064000" cy="2331288"/>
    <xdr:pic>
      <xdr:nvPicPr>
        <xdr:cNvPr id="14" name="Image 13">
          <a:extLst>
            <a:ext uri="{FF2B5EF4-FFF2-40B4-BE49-F238E27FC236}">
              <a16:creationId xmlns:a16="http://schemas.microsoft.com/office/drawing/2014/main" id="{45A0F8AF-6124-48CD-BB0D-4017A3E813C2}"/>
            </a:ext>
          </a:extLst>
        </xdr:cNvPr>
        <xdr:cNvPicPr>
          <a:picLocks noChangeAspect="1"/>
        </xdr:cNvPicPr>
      </xdr:nvPicPr>
      <xdr:blipFill>
        <a:blip xmlns:r="http://schemas.openxmlformats.org/officeDocument/2006/relationships" r:embed="rId7"/>
        <a:stretch>
          <a:fillRect/>
        </a:stretch>
      </xdr:blipFill>
      <xdr:spPr>
        <a:xfrm>
          <a:off x="13420725" y="13363575"/>
          <a:ext cx="4064000" cy="2331288"/>
        </a:xfrm>
        <a:prstGeom prst="rect">
          <a:avLst/>
        </a:prstGeom>
      </xdr:spPr>
    </xdr:pic>
    <xdr:clientData/>
  </xdr:oneCellAnchor>
  <xdr:oneCellAnchor>
    <xdr:from>
      <xdr:col>4</xdr:col>
      <xdr:colOff>647700</xdr:colOff>
      <xdr:row>62</xdr:row>
      <xdr:rowOff>238125</xdr:rowOff>
    </xdr:from>
    <xdr:ext cx="3733800" cy="1301173"/>
    <xdr:pic>
      <xdr:nvPicPr>
        <xdr:cNvPr id="15" name="Image 14">
          <a:extLst>
            <a:ext uri="{FF2B5EF4-FFF2-40B4-BE49-F238E27FC236}">
              <a16:creationId xmlns:a16="http://schemas.microsoft.com/office/drawing/2014/main" id="{6BE497FE-ACCA-4844-A1AD-7BE9553DCFA0}"/>
            </a:ext>
          </a:extLst>
        </xdr:cNvPr>
        <xdr:cNvPicPr>
          <a:picLocks noChangeAspect="1"/>
        </xdr:cNvPicPr>
      </xdr:nvPicPr>
      <xdr:blipFill>
        <a:blip xmlns:r="http://schemas.openxmlformats.org/officeDocument/2006/relationships" r:embed="rId8"/>
        <a:stretch>
          <a:fillRect/>
        </a:stretch>
      </xdr:blipFill>
      <xdr:spPr>
        <a:xfrm>
          <a:off x="14154150" y="16830675"/>
          <a:ext cx="3733800" cy="1301173"/>
        </a:xfrm>
        <a:prstGeom prst="rect">
          <a:avLst/>
        </a:prstGeom>
      </xdr:spPr>
    </xdr:pic>
    <xdr:clientData/>
  </xdr:oneCellAnchor>
  <xdr:oneCellAnchor>
    <xdr:from>
      <xdr:col>3</xdr:col>
      <xdr:colOff>142875</xdr:colOff>
      <xdr:row>69</xdr:row>
      <xdr:rowOff>152400</xdr:rowOff>
    </xdr:from>
    <xdr:ext cx="3752686" cy="1701800"/>
    <xdr:pic>
      <xdr:nvPicPr>
        <xdr:cNvPr id="16" name="Image 15">
          <a:extLst>
            <a:ext uri="{FF2B5EF4-FFF2-40B4-BE49-F238E27FC236}">
              <a16:creationId xmlns:a16="http://schemas.microsoft.com/office/drawing/2014/main" id="{4D02F6F9-5775-4144-AA24-82E55A20830D}"/>
            </a:ext>
          </a:extLst>
        </xdr:cNvPr>
        <xdr:cNvPicPr>
          <a:picLocks noChangeAspect="1"/>
        </xdr:cNvPicPr>
      </xdr:nvPicPr>
      <xdr:blipFill>
        <a:blip xmlns:r="http://schemas.openxmlformats.org/officeDocument/2006/relationships" r:embed="rId9"/>
        <a:stretch>
          <a:fillRect/>
        </a:stretch>
      </xdr:blipFill>
      <xdr:spPr>
        <a:xfrm>
          <a:off x="13201650" y="18611850"/>
          <a:ext cx="3752686" cy="1701800"/>
        </a:xfrm>
        <a:prstGeom prst="rect">
          <a:avLst/>
        </a:prstGeom>
      </xdr:spPr>
    </xdr:pic>
    <xdr:clientData/>
  </xdr:oneCellAnchor>
  <xdr:twoCellAnchor editAs="oneCell">
    <xdr:from>
      <xdr:col>94</xdr:col>
      <xdr:colOff>1314450</xdr:colOff>
      <xdr:row>5</xdr:row>
      <xdr:rowOff>161925</xdr:rowOff>
    </xdr:from>
    <xdr:to>
      <xdr:col>94</xdr:col>
      <xdr:colOff>2020981</xdr:colOff>
      <xdr:row>7</xdr:row>
      <xdr:rowOff>123825</xdr:rowOff>
    </xdr:to>
    <xdr:pic>
      <xdr:nvPicPr>
        <xdr:cNvPr id="17" name="Image 16">
          <a:extLst>
            <a:ext uri="{FF2B5EF4-FFF2-40B4-BE49-F238E27FC236}">
              <a16:creationId xmlns:a16="http://schemas.microsoft.com/office/drawing/2014/main" id="{D82B3DF6-DD12-48DE-86B7-EB207DAE56DC}"/>
            </a:ext>
          </a:extLst>
        </xdr:cNvPr>
        <xdr:cNvPicPr>
          <a:picLocks noChangeAspect="1"/>
        </xdr:cNvPicPr>
      </xdr:nvPicPr>
      <xdr:blipFill>
        <a:blip xmlns:r="http://schemas.openxmlformats.org/officeDocument/2006/relationships" r:embed="rId10"/>
        <a:stretch>
          <a:fillRect/>
        </a:stretch>
      </xdr:blipFill>
      <xdr:spPr>
        <a:xfrm>
          <a:off x="84172425" y="1552575"/>
          <a:ext cx="706531" cy="495300"/>
        </a:xfrm>
        <a:prstGeom prst="rect">
          <a:avLst/>
        </a:prstGeom>
      </xdr:spPr>
    </xdr:pic>
    <xdr:clientData/>
  </xdr:twoCellAnchor>
  <xdr:twoCellAnchor editAs="oneCell">
    <xdr:from>
      <xdr:col>102</xdr:col>
      <xdr:colOff>1352550</xdr:colOff>
      <xdr:row>5</xdr:row>
      <xdr:rowOff>104775</xdr:rowOff>
    </xdr:from>
    <xdr:to>
      <xdr:col>102</xdr:col>
      <xdr:colOff>2372591</xdr:colOff>
      <xdr:row>7</xdr:row>
      <xdr:rowOff>161925</xdr:rowOff>
    </xdr:to>
    <xdr:pic>
      <xdr:nvPicPr>
        <xdr:cNvPr id="18" name="Image 17">
          <a:extLst>
            <a:ext uri="{FF2B5EF4-FFF2-40B4-BE49-F238E27FC236}">
              <a16:creationId xmlns:a16="http://schemas.microsoft.com/office/drawing/2014/main" id="{DA87966E-3CAC-4297-816D-91900B5EEC3B}"/>
            </a:ext>
          </a:extLst>
        </xdr:cNvPr>
        <xdr:cNvPicPr>
          <a:picLocks noChangeAspect="1"/>
        </xdr:cNvPicPr>
      </xdr:nvPicPr>
      <xdr:blipFill>
        <a:blip xmlns:r="http://schemas.openxmlformats.org/officeDocument/2006/relationships" r:embed="rId11"/>
        <a:stretch>
          <a:fillRect/>
        </a:stretch>
      </xdr:blipFill>
      <xdr:spPr>
        <a:xfrm>
          <a:off x="93954600" y="1495425"/>
          <a:ext cx="1020041" cy="590550"/>
        </a:xfrm>
        <a:prstGeom prst="rect">
          <a:avLst/>
        </a:prstGeom>
      </xdr:spPr>
    </xdr:pic>
    <xdr:clientData/>
  </xdr:twoCellAnchor>
  <xdr:twoCellAnchor editAs="oneCell">
    <xdr:from>
      <xdr:col>110</xdr:col>
      <xdr:colOff>1485900</xdr:colOff>
      <xdr:row>5</xdr:row>
      <xdr:rowOff>171450</xdr:rowOff>
    </xdr:from>
    <xdr:to>
      <xdr:col>110</xdr:col>
      <xdr:colOff>2549383</xdr:colOff>
      <xdr:row>7</xdr:row>
      <xdr:rowOff>219075</xdr:rowOff>
    </xdr:to>
    <xdr:pic>
      <xdr:nvPicPr>
        <xdr:cNvPr id="19" name="Image 18">
          <a:extLst>
            <a:ext uri="{FF2B5EF4-FFF2-40B4-BE49-F238E27FC236}">
              <a16:creationId xmlns:a16="http://schemas.microsoft.com/office/drawing/2014/main" id="{050FE06C-8D1F-40CD-9BBC-FCCC823564EE}"/>
            </a:ext>
          </a:extLst>
        </xdr:cNvPr>
        <xdr:cNvPicPr>
          <a:picLocks noChangeAspect="1"/>
        </xdr:cNvPicPr>
      </xdr:nvPicPr>
      <xdr:blipFill>
        <a:blip xmlns:r="http://schemas.openxmlformats.org/officeDocument/2006/relationships" r:embed="rId12"/>
        <a:stretch>
          <a:fillRect/>
        </a:stretch>
      </xdr:blipFill>
      <xdr:spPr>
        <a:xfrm>
          <a:off x="103832025" y="1562100"/>
          <a:ext cx="1063483" cy="581025"/>
        </a:xfrm>
        <a:prstGeom prst="rect">
          <a:avLst/>
        </a:prstGeom>
      </xdr:spPr>
    </xdr:pic>
    <xdr:clientData/>
  </xdr:twoCellAnchor>
  <xdr:oneCellAnchor>
    <xdr:from>
      <xdr:col>102</xdr:col>
      <xdr:colOff>1495425</xdr:colOff>
      <xdr:row>24</xdr:row>
      <xdr:rowOff>114300</xdr:rowOff>
    </xdr:from>
    <xdr:ext cx="571500" cy="571500"/>
    <xdr:pic>
      <xdr:nvPicPr>
        <xdr:cNvPr id="32" name="Image 31">
          <a:extLst>
            <a:ext uri="{FF2B5EF4-FFF2-40B4-BE49-F238E27FC236}">
              <a16:creationId xmlns:a16="http://schemas.microsoft.com/office/drawing/2014/main" id="{A4057ACA-7BC3-41B2-8DB5-DDC656A67ED1}"/>
            </a:ext>
          </a:extLst>
        </xdr:cNvPr>
        <xdr:cNvPicPr>
          <a:picLocks noChangeAspect="1"/>
        </xdr:cNvPicPr>
      </xdr:nvPicPr>
      <xdr:blipFill>
        <a:blip xmlns:r="http://schemas.openxmlformats.org/officeDocument/2006/relationships" r:embed="rId13"/>
        <a:stretch>
          <a:fillRect/>
        </a:stretch>
      </xdr:blipFill>
      <xdr:spPr>
        <a:xfrm>
          <a:off x="94097475" y="6572250"/>
          <a:ext cx="571500" cy="571500"/>
        </a:xfrm>
        <a:prstGeom prst="rect">
          <a:avLst/>
        </a:prstGeom>
      </xdr:spPr>
    </xdr:pic>
    <xdr:clientData/>
  </xdr:oneCellAnchor>
  <xdr:oneCellAnchor>
    <xdr:from>
      <xdr:col>110</xdr:col>
      <xdr:colOff>1676400</xdr:colOff>
      <xdr:row>24</xdr:row>
      <xdr:rowOff>152400</xdr:rowOff>
    </xdr:from>
    <xdr:ext cx="571500" cy="571500"/>
    <xdr:pic>
      <xdr:nvPicPr>
        <xdr:cNvPr id="33" name="Image 32">
          <a:extLst>
            <a:ext uri="{FF2B5EF4-FFF2-40B4-BE49-F238E27FC236}">
              <a16:creationId xmlns:a16="http://schemas.microsoft.com/office/drawing/2014/main" id="{186815A5-E49C-4B59-BED9-1B9EDFD8A767}"/>
            </a:ext>
          </a:extLst>
        </xdr:cNvPr>
        <xdr:cNvPicPr>
          <a:picLocks noChangeAspect="1"/>
        </xdr:cNvPicPr>
      </xdr:nvPicPr>
      <xdr:blipFill>
        <a:blip xmlns:r="http://schemas.openxmlformats.org/officeDocument/2006/relationships" r:embed="rId13"/>
        <a:stretch>
          <a:fillRect/>
        </a:stretch>
      </xdr:blipFill>
      <xdr:spPr>
        <a:xfrm>
          <a:off x="104022525" y="6610350"/>
          <a:ext cx="571500" cy="571500"/>
        </a:xfrm>
        <a:prstGeom prst="rect">
          <a:avLst/>
        </a:prstGeom>
      </xdr:spPr>
    </xdr:pic>
    <xdr:clientData/>
  </xdr:oneCellAnchor>
  <xdr:oneCellAnchor>
    <xdr:from>
      <xdr:col>94</xdr:col>
      <xdr:colOff>1228725</xdr:colOff>
      <xdr:row>25</xdr:row>
      <xdr:rowOff>95250</xdr:rowOff>
    </xdr:from>
    <xdr:ext cx="571500" cy="571500"/>
    <xdr:pic>
      <xdr:nvPicPr>
        <xdr:cNvPr id="37" name="Image 36">
          <a:extLst>
            <a:ext uri="{FF2B5EF4-FFF2-40B4-BE49-F238E27FC236}">
              <a16:creationId xmlns:a16="http://schemas.microsoft.com/office/drawing/2014/main" id="{B9432CE1-B14C-4D6C-93BC-B5C35143017C}"/>
            </a:ext>
          </a:extLst>
        </xdr:cNvPr>
        <xdr:cNvPicPr>
          <a:picLocks noChangeAspect="1"/>
        </xdr:cNvPicPr>
      </xdr:nvPicPr>
      <xdr:blipFill>
        <a:blip xmlns:r="http://schemas.openxmlformats.org/officeDocument/2006/relationships" r:embed="rId13"/>
        <a:stretch>
          <a:fillRect/>
        </a:stretch>
      </xdr:blipFill>
      <xdr:spPr>
        <a:xfrm>
          <a:off x="84086700" y="6819900"/>
          <a:ext cx="571500" cy="571500"/>
        </a:xfrm>
        <a:prstGeom prst="rect">
          <a:avLst/>
        </a:prstGeom>
      </xdr:spPr>
    </xdr:pic>
    <xdr:clientData/>
  </xdr:oneCellAnchor>
  <xdr:oneCellAnchor>
    <xdr:from>
      <xdr:col>14</xdr:col>
      <xdr:colOff>704850</xdr:colOff>
      <xdr:row>32</xdr:row>
      <xdr:rowOff>114300</xdr:rowOff>
    </xdr:from>
    <xdr:ext cx="1962150" cy="958850"/>
    <xdr:pic>
      <xdr:nvPicPr>
        <xdr:cNvPr id="5" name="Image 4">
          <a:extLst>
            <a:ext uri="{FF2B5EF4-FFF2-40B4-BE49-F238E27FC236}">
              <a16:creationId xmlns:a16="http://schemas.microsoft.com/office/drawing/2014/main" id="{D201CDA6-4C72-4ECA-B8E4-38A05100DDE8}"/>
            </a:ext>
          </a:extLst>
        </xdr:cNvPr>
        <xdr:cNvPicPr>
          <a:picLocks noChangeAspect="1"/>
        </xdr:cNvPicPr>
      </xdr:nvPicPr>
      <xdr:blipFill>
        <a:blip xmlns:r="http://schemas.openxmlformats.org/officeDocument/2006/relationships" r:embed="rId2"/>
        <a:stretch>
          <a:fillRect/>
        </a:stretch>
      </xdr:blipFill>
      <xdr:spPr>
        <a:xfrm>
          <a:off x="12601575" y="8705850"/>
          <a:ext cx="1962150" cy="958850"/>
        </a:xfrm>
        <a:prstGeom prst="rect">
          <a:avLst/>
        </a:prstGeom>
      </xdr:spPr>
    </xdr:pic>
    <xdr:clientData/>
  </xdr:oneCellAnchor>
  <xdr:oneCellAnchor>
    <xdr:from>
      <xdr:col>14</xdr:col>
      <xdr:colOff>761999</xdr:colOff>
      <xdr:row>41</xdr:row>
      <xdr:rowOff>171450</xdr:rowOff>
    </xdr:from>
    <xdr:ext cx="1709147" cy="790575"/>
    <xdr:pic>
      <xdr:nvPicPr>
        <xdr:cNvPr id="6" name="Image 5">
          <a:extLst>
            <a:ext uri="{FF2B5EF4-FFF2-40B4-BE49-F238E27FC236}">
              <a16:creationId xmlns:a16="http://schemas.microsoft.com/office/drawing/2014/main" id="{95571A24-D0D8-4212-B23D-D743287DA287}"/>
            </a:ext>
          </a:extLst>
        </xdr:cNvPr>
        <xdr:cNvPicPr>
          <a:picLocks noChangeAspect="1"/>
        </xdr:cNvPicPr>
      </xdr:nvPicPr>
      <xdr:blipFill>
        <a:blip xmlns:r="http://schemas.openxmlformats.org/officeDocument/2006/relationships" r:embed="rId1"/>
        <a:stretch>
          <a:fillRect/>
        </a:stretch>
      </xdr:blipFill>
      <xdr:spPr>
        <a:xfrm>
          <a:off x="6410324" y="11049000"/>
          <a:ext cx="1709147" cy="790575"/>
        </a:xfrm>
        <a:prstGeom prst="rect">
          <a:avLst/>
        </a:prstGeom>
      </xdr:spPr>
    </xdr:pic>
    <xdr:clientData/>
  </xdr:oneCellAnchor>
  <xdr:oneCellAnchor>
    <xdr:from>
      <xdr:col>14</xdr:col>
      <xdr:colOff>1047750</xdr:colOff>
      <xdr:row>49</xdr:row>
      <xdr:rowOff>133350</xdr:rowOff>
    </xdr:from>
    <xdr:ext cx="1057275" cy="1028700"/>
    <xdr:pic>
      <xdr:nvPicPr>
        <xdr:cNvPr id="7" name="Image 6">
          <a:extLst>
            <a:ext uri="{FF2B5EF4-FFF2-40B4-BE49-F238E27FC236}">
              <a16:creationId xmlns:a16="http://schemas.microsoft.com/office/drawing/2014/main" id="{C9A6BF77-3BAB-4AB9-912A-7763E149BEF6}"/>
            </a:ext>
          </a:extLst>
        </xdr:cNvPr>
        <xdr:cNvPicPr>
          <a:picLocks noChangeAspect="1"/>
        </xdr:cNvPicPr>
      </xdr:nvPicPr>
      <xdr:blipFill>
        <a:blip xmlns:r="http://schemas.openxmlformats.org/officeDocument/2006/relationships" r:embed="rId3"/>
        <a:stretch>
          <a:fillRect/>
        </a:stretch>
      </xdr:blipFill>
      <xdr:spPr>
        <a:xfrm>
          <a:off x="6696075" y="12534900"/>
          <a:ext cx="1057275" cy="10287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36</xdr:col>
      <xdr:colOff>695325</xdr:colOff>
      <xdr:row>29</xdr:row>
      <xdr:rowOff>171450</xdr:rowOff>
    </xdr:from>
    <xdr:ext cx="1962150" cy="958850"/>
    <xdr:pic>
      <xdr:nvPicPr>
        <xdr:cNvPr id="2" name="Image 1">
          <a:extLst>
            <a:ext uri="{FF2B5EF4-FFF2-40B4-BE49-F238E27FC236}">
              <a16:creationId xmlns:a16="http://schemas.microsoft.com/office/drawing/2014/main" id="{539F9780-693C-49A8-8203-DE0436845158}"/>
            </a:ext>
          </a:extLst>
        </xdr:cNvPr>
        <xdr:cNvPicPr>
          <a:picLocks noChangeAspect="1"/>
        </xdr:cNvPicPr>
      </xdr:nvPicPr>
      <xdr:blipFill>
        <a:blip xmlns:r="http://schemas.openxmlformats.org/officeDocument/2006/relationships" r:embed="rId1"/>
        <a:stretch>
          <a:fillRect/>
        </a:stretch>
      </xdr:blipFill>
      <xdr:spPr>
        <a:xfrm>
          <a:off x="29727525" y="7772400"/>
          <a:ext cx="1962150" cy="958850"/>
        </a:xfrm>
        <a:prstGeom prst="rect">
          <a:avLst/>
        </a:prstGeom>
      </xdr:spPr>
    </xdr:pic>
    <xdr:clientData/>
  </xdr:oneCellAnchor>
  <xdr:oneCellAnchor>
    <xdr:from>
      <xdr:col>36</xdr:col>
      <xdr:colOff>761999</xdr:colOff>
      <xdr:row>38</xdr:row>
      <xdr:rowOff>171450</xdr:rowOff>
    </xdr:from>
    <xdr:ext cx="1709147" cy="790575"/>
    <xdr:pic>
      <xdr:nvPicPr>
        <xdr:cNvPr id="3" name="Image 2">
          <a:extLst>
            <a:ext uri="{FF2B5EF4-FFF2-40B4-BE49-F238E27FC236}">
              <a16:creationId xmlns:a16="http://schemas.microsoft.com/office/drawing/2014/main" id="{D52A39C5-F2AB-45B8-879D-C7E75166E92B}"/>
            </a:ext>
          </a:extLst>
        </xdr:cNvPr>
        <xdr:cNvPicPr>
          <a:picLocks noChangeAspect="1"/>
        </xdr:cNvPicPr>
      </xdr:nvPicPr>
      <xdr:blipFill>
        <a:blip xmlns:r="http://schemas.openxmlformats.org/officeDocument/2006/relationships" r:embed="rId2"/>
        <a:stretch>
          <a:fillRect/>
        </a:stretch>
      </xdr:blipFill>
      <xdr:spPr>
        <a:xfrm>
          <a:off x="29794199" y="10172700"/>
          <a:ext cx="1709147" cy="790575"/>
        </a:xfrm>
        <a:prstGeom prst="rect">
          <a:avLst/>
        </a:prstGeom>
      </xdr:spPr>
    </xdr:pic>
    <xdr:clientData/>
  </xdr:oneCellAnchor>
  <xdr:oneCellAnchor>
    <xdr:from>
      <xdr:col>36</xdr:col>
      <xdr:colOff>1047750</xdr:colOff>
      <xdr:row>46</xdr:row>
      <xdr:rowOff>133350</xdr:rowOff>
    </xdr:from>
    <xdr:ext cx="1057275" cy="1028700"/>
    <xdr:pic>
      <xdr:nvPicPr>
        <xdr:cNvPr id="4" name="Image 3">
          <a:extLst>
            <a:ext uri="{FF2B5EF4-FFF2-40B4-BE49-F238E27FC236}">
              <a16:creationId xmlns:a16="http://schemas.microsoft.com/office/drawing/2014/main" id="{9E114BFD-70C8-447A-8E98-243477D6B096}"/>
            </a:ext>
          </a:extLst>
        </xdr:cNvPr>
        <xdr:cNvPicPr>
          <a:picLocks noChangeAspect="1"/>
        </xdr:cNvPicPr>
      </xdr:nvPicPr>
      <xdr:blipFill>
        <a:blip xmlns:r="http://schemas.openxmlformats.org/officeDocument/2006/relationships" r:embed="rId3"/>
        <a:stretch>
          <a:fillRect/>
        </a:stretch>
      </xdr:blipFill>
      <xdr:spPr>
        <a:xfrm>
          <a:off x="30079950" y="12268200"/>
          <a:ext cx="1057275" cy="1028700"/>
        </a:xfrm>
        <a:prstGeom prst="rect">
          <a:avLst/>
        </a:prstGeom>
      </xdr:spPr>
    </xdr:pic>
    <xdr:clientData/>
  </xdr:oneCellAnchor>
  <xdr:oneCellAnchor>
    <xdr:from>
      <xdr:col>43</xdr:col>
      <xdr:colOff>1247775</xdr:colOff>
      <xdr:row>12</xdr:row>
      <xdr:rowOff>209550</xdr:rowOff>
    </xdr:from>
    <xdr:ext cx="571500" cy="571500"/>
    <xdr:pic>
      <xdr:nvPicPr>
        <xdr:cNvPr id="12" name="Image 11">
          <a:extLst>
            <a:ext uri="{FF2B5EF4-FFF2-40B4-BE49-F238E27FC236}">
              <a16:creationId xmlns:a16="http://schemas.microsoft.com/office/drawing/2014/main" id="{AB6AF9D3-843D-4055-A85E-0E411C7EDC93}"/>
            </a:ext>
          </a:extLst>
        </xdr:cNvPr>
        <xdr:cNvPicPr>
          <a:picLocks noChangeAspect="1"/>
        </xdr:cNvPicPr>
      </xdr:nvPicPr>
      <xdr:blipFill>
        <a:blip xmlns:r="http://schemas.openxmlformats.org/officeDocument/2006/relationships" r:embed="rId4"/>
        <a:stretch>
          <a:fillRect/>
        </a:stretch>
      </xdr:blipFill>
      <xdr:spPr>
        <a:xfrm>
          <a:off x="36414075" y="3276600"/>
          <a:ext cx="571500" cy="571500"/>
        </a:xfrm>
        <a:prstGeom prst="rect">
          <a:avLst/>
        </a:prstGeom>
      </xdr:spPr>
    </xdr:pic>
    <xdr:clientData/>
  </xdr:oneCellAnchor>
  <xdr:oneCellAnchor>
    <xdr:from>
      <xdr:col>39</xdr:col>
      <xdr:colOff>0</xdr:colOff>
      <xdr:row>46</xdr:row>
      <xdr:rowOff>0</xdr:rowOff>
    </xdr:from>
    <xdr:ext cx="4873625" cy="1121830"/>
    <xdr:pic>
      <xdr:nvPicPr>
        <xdr:cNvPr id="13" name="Image 12">
          <a:extLst>
            <a:ext uri="{FF2B5EF4-FFF2-40B4-BE49-F238E27FC236}">
              <a16:creationId xmlns:a16="http://schemas.microsoft.com/office/drawing/2014/main" id="{70D1DC6F-57B9-4E36-868D-BBEC07B3C194}"/>
            </a:ext>
          </a:extLst>
        </xdr:cNvPr>
        <xdr:cNvPicPr>
          <a:picLocks noChangeAspect="1"/>
        </xdr:cNvPicPr>
      </xdr:nvPicPr>
      <xdr:blipFill>
        <a:blip xmlns:r="http://schemas.openxmlformats.org/officeDocument/2006/relationships" r:embed="rId5"/>
        <a:stretch>
          <a:fillRect/>
        </a:stretch>
      </xdr:blipFill>
      <xdr:spPr>
        <a:xfrm>
          <a:off x="29870400" y="12134850"/>
          <a:ext cx="4873625" cy="1121830"/>
        </a:xfrm>
        <a:prstGeom prst="rect">
          <a:avLst/>
        </a:prstGeom>
      </xdr:spPr>
    </xdr:pic>
    <xdr:clientData/>
  </xdr:oneCellAnchor>
  <xdr:oneCellAnchor>
    <xdr:from>
      <xdr:col>39</xdr:col>
      <xdr:colOff>0</xdr:colOff>
      <xdr:row>130</xdr:row>
      <xdr:rowOff>0</xdr:rowOff>
    </xdr:from>
    <xdr:ext cx="4366866" cy="2173604"/>
    <xdr:pic>
      <xdr:nvPicPr>
        <xdr:cNvPr id="14" name="Image 13">
          <a:extLst>
            <a:ext uri="{FF2B5EF4-FFF2-40B4-BE49-F238E27FC236}">
              <a16:creationId xmlns:a16="http://schemas.microsoft.com/office/drawing/2014/main" id="{053D8F3B-98A7-4396-9DB2-36DD228B604F}"/>
            </a:ext>
          </a:extLst>
        </xdr:cNvPr>
        <xdr:cNvPicPr>
          <a:picLocks noChangeAspect="1"/>
        </xdr:cNvPicPr>
      </xdr:nvPicPr>
      <xdr:blipFill>
        <a:blip xmlns:r="http://schemas.openxmlformats.org/officeDocument/2006/relationships" r:embed="rId6"/>
        <a:stretch>
          <a:fillRect/>
        </a:stretch>
      </xdr:blipFill>
      <xdr:spPr>
        <a:xfrm>
          <a:off x="29870400" y="34537650"/>
          <a:ext cx="4366866" cy="2173604"/>
        </a:xfrm>
        <a:prstGeom prst="rect">
          <a:avLst/>
        </a:prstGeom>
      </xdr:spPr>
    </xdr:pic>
    <xdr:clientData/>
  </xdr:oneCellAnchor>
  <xdr:oneCellAnchor>
    <xdr:from>
      <xdr:col>5</xdr:col>
      <xdr:colOff>38100</xdr:colOff>
      <xdr:row>20</xdr:row>
      <xdr:rowOff>44451</xdr:rowOff>
    </xdr:from>
    <xdr:ext cx="2570590" cy="3746500"/>
    <xdr:pic>
      <xdr:nvPicPr>
        <xdr:cNvPr id="5" name="Image 4">
          <a:extLst>
            <a:ext uri="{FF2B5EF4-FFF2-40B4-BE49-F238E27FC236}">
              <a16:creationId xmlns:a16="http://schemas.microsoft.com/office/drawing/2014/main" id="{1EE56844-FE1E-4A72-9F6B-516EE039C95E}"/>
            </a:ext>
          </a:extLst>
        </xdr:cNvPr>
        <xdr:cNvPicPr>
          <a:picLocks noChangeAspect="1"/>
        </xdr:cNvPicPr>
      </xdr:nvPicPr>
      <xdr:blipFill>
        <a:blip xmlns:r="http://schemas.openxmlformats.org/officeDocument/2006/relationships" r:embed="rId7"/>
        <a:stretch>
          <a:fillRect/>
        </a:stretch>
      </xdr:blipFill>
      <xdr:spPr>
        <a:xfrm>
          <a:off x="18326100" y="4330701"/>
          <a:ext cx="2570590" cy="3746500"/>
        </a:xfrm>
        <a:prstGeom prst="rect">
          <a:avLst/>
        </a:prstGeom>
      </xdr:spPr>
    </xdr:pic>
    <xdr:clientData/>
  </xdr:oneCellAnchor>
  <xdr:oneCellAnchor>
    <xdr:from>
      <xdr:col>3</xdr:col>
      <xdr:colOff>333375</xdr:colOff>
      <xdr:row>76</xdr:row>
      <xdr:rowOff>76201</xdr:rowOff>
    </xdr:from>
    <xdr:ext cx="4664075" cy="2797175"/>
    <xdr:pic>
      <xdr:nvPicPr>
        <xdr:cNvPr id="6" name="Image 5">
          <a:extLst>
            <a:ext uri="{FF2B5EF4-FFF2-40B4-BE49-F238E27FC236}">
              <a16:creationId xmlns:a16="http://schemas.microsoft.com/office/drawing/2014/main" id="{52726C71-74CA-425C-8738-2D4290482B40}"/>
            </a:ext>
          </a:extLst>
        </xdr:cNvPr>
        <xdr:cNvPicPr>
          <a:picLocks noChangeAspect="1"/>
        </xdr:cNvPicPr>
      </xdr:nvPicPr>
      <xdr:blipFill>
        <a:blip xmlns:r="http://schemas.openxmlformats.org/officeDocument/2006/relationships" r:embed="rId8"/>
        <a:stretch>
          <a:fillRect/>
        </a:stretch>
      </xdr:blipFill>
      <xdr:spPr>
        <a:xfrm>
          <a:off x="17097375" y="15992476"/>
          <a:ext cx="4664075" cy="2797175"/>
        </a:xfrm>
        <a:prstGeom prst="rect">
          <a:avLst/>
        </a:prstGeom>
      </xdr:spPr>
    </xdr:pic>
    <xdr:clientData/>
  </xdr:oneCellAnchor>
  <xdr:oneCellAnchor>
    <xdr:from>
      <xdr:col>3</xdr:col>
      <xdr:colOff>571500</xdr:colOff>
      <xdr:row>133</xdr:row>
      <xdr:rowOff>57150</xdr:rowOff>
    </xdr:from>
    <xdr:ext cx="4609948" cy="2895600"/>
    <xdr:pic>
      <xdr:nvPicPr>
        <xdr:cNvPr id="7" name="Image 6">
          <a:extLst>
            <a:ext uri="{FF2B5EF4-FFF2-40B4-BE49-F238E27FC236}">
              <a16:creationId xmlns:a16="http://schemas.microsoft.com/office/drawing/2014/main" id="{E8870BB7-9B50-4B94-AC3A-409D92FC86EE}"/>
            </a:ext>
          </a:extLst>
        </xdr:cNvPr>
        <xdr:cNvPicPr>
          <a:picLocks noChangeAspect="1"/>
        </xdr:cNvPicPr>
      </xdr:nvPicPr>
      <xdr:blipFill>
        <a:blip xmlns:r="http://schemas.openxmlformats.org/officeDocument/2006/relationships" r:embed="rId9"/>
        <a:stretch>
          <a:fillRect/>
        </a:stretch>
      </xdr:blipFill>
      <xdr:spPr>
        <a:xfrm>
          <a:off x="17335500" y="27803475"/>
          <a:ext cx="4609948" cy="2895600"/>
        </a:xfrm>
        <a:prstGeom prst="rect">
          <a:avLst/>
        </a:prstGeom>
      </xdr:spPr>
    </xdr:pic>
    <xdr:clientData/>
  </xdr:oneCellAnchor>
  <xdr:oneCellAnchor>
    <xdr:from>
      <xdr:col>4</xdr:col>
      <xdr:colOff>365125</xdr:colOff>
      <xdr:row>189</xdr:row>
      <xdr:rowOff>127000</xdr:rowOff>
    </xdr:from>
    <xdr:ext cx="2905083" cy="5197475"/>
    <xdr:pic>
      <xdr:nvPicPr>
        <xdr:cNvPr id="8" name="Image 7">
          <a:extLst>
            <a:ext uri="{FF2B5EF4-FFF2-40B4-BE49-F238E27FC236}">
              <a16:creationId xmlns:a16="http://schemas.microsoft.com/office/drawing/2014/main" id="{DD3FA4B7-26B5-4FF9-9CC5-895A3AA836AD}"/>
            </a:ext>
          </a:extLst>
        </xdr:cNvPr>
        <xdr:cNvPicPr>
          <a:picLocks noChangeAspect="1"/>
        </xdr:cNvPicPr>
      </xdr:nvPicPr>
      <xdr:blipFill>
        <a:blip xmlns:r="http://schemas.openxmlformats.org/officeDocument/2006/relationships" r:embed="rId10"/>
        <a:stretch>
          <a:fillRect/>
        </a:stretch>
      </xdr:blipFill>
      <xdr:spPr>
        <a:xfrm>
          <a:off x="17891125" y="39503350"/>
          <a:ext cx="2905083" cy="5197475"/>
        </a:xfrm>
        <a:prstGeom prst="rect">
          <a:avLst/>
        </a:prstGeom>
      </xdr:spPr>
    </xdr:pic>
    <xdr:clientData/>
  </xdr:oneCellAnchor>
  <xdr:oneCellAnchor>
    <xdr:from>
      <xdr:col>3</xdr:col>
      <xdr:colOff>180975</xdr:colOff>
      <xdr:row>245</xdr:row>
      <xdr:rowOff>85725</xdr:rowOff>
    </xdr:from>
    <xdr:ext cx="5552211" cy="2952750"/>
    <xdr:pic>
      <xdr:nvPicPr>
        <xdr:cNvPr id="9" name="Image 8">
          <a:extLst>
            <a:ext uri="{FF2B5EF4-FFF2-40B4-BE49-F238E27FC236}">
              <a16:creationId xmlns:a16="http://schemas.microsoft.com/office/drawing/2014/main" id="{3B70D223-9F64-44D9-B01E-70F844EAD94E}"/>
            </a:ext>
          </a:extLst>
        </xdr:cNvPr>
        <xdr:cNvPicPr>
          <a:picLocks noChangeAspect="1"/>
        </xdr:cNvPicPr>
      </xdr:nvPicPr>
      <xdr:blipFill>
        <a:blip xmlns:r="http://schemas.openxmlformats.org/officeDocument/2006/relationships" r:embed="rId11"/>
        <a:stretch>
          <a:fillRect/>
        </a:stretch>
      </xdr:blipFill>
      <xdr:spPr>
        <a:xfrm>
          <a:off x="16944975" y="50863500"/>
          <a:ext cx="5552211" cy="2952750"/>
        </a:xfrm>
        <a:prstGeom prst="rect">
          <a:avLst/>
        </a:prstGeom>
      </xdr:spPr>
    </xdr:pic>
    <xdr:clientData/>
  </xdr:oneCellAnchor>
  <xdr:oneCellAnchor>
    <xdr:from>
      <xdr:col>4</xdr:col>
      <xdr:colOff>438150</xdr:colOff>
      <xdr:row>303</xdr:row>
      <xdr:rowOff>57150</xdr:rowOff>
    </xdr:from>
    <xdr:ext cx="3204580" cy="3187700"/>
    <xdr:pic>
      <xdr:nvPicPr>
        <xdr:cNvPr id="10" name="Image 9">
          <a:extLst>
            <a:ext uri="{FF2B5EF4-FFF2-40B4-BE49-F238E27FC236}">
              <a16:creationId xmlns:a16="http://schemas.microsoft.com/office/drawing/2014/main" id="{FAFA24D1-C05F-4574-82DA-5677E36FE89D}"/>
            </a:ext>
          </a:extLst>
        </xdr:cNvPr>
        <xdr:cNvPicPr>
          <a:picLocks noChangeAspect="1"/>
        </xdr:cNvPicPr>
      </xdr:nvPicPr>
      <xdr:blipFill>
        <a:blip xmlns:r="http://schemas.openxmlformats.org/officeDocument/2006/relationships" r:embed="rId12"/>
        <a:stretch>
          <a:fillRect/>
        </a:stretch>
      </xdr:blipFill>
      <xdr:spPr>
        <a:xfrm>
          <a:off x="17964150" y="62865000"/>
          <a:ext cx="3204580" cy="3187700"/>
        </a:xfrm>
        <a:prstGeom prst="rect">
          <a:avLst/>
        </a:prstGeom>
      </xdr:spPr>
    </xdr:pic>
    <xdr:clientData/>
  </xdr:oneCellAnchor>
  <xdr:oneCellAnchor>
    <xdr:from>
      <xdr:col>3</xdr:col>
      <xdr:colOff>752475</xdr:colOff>
      <xdr:row>358</xdr:row>
      <xdr:rowOff>95250</xdr:rowOff>
    </xdr:from>
    <xdr:ext cx="3094770" cy="2273300"/>
    <xdr:pic>
      <xdr:nvPicPr>
        <xdr:cNvPr id="11" name="Image 10">
          <a:extLst>
            <a:ext uri="{FF2B5EF4-FFF2-40B4-BE49-F238E27FC236}">
              <a16:creationId xmlns:a16="http://schemas.microsoft.com/office/drawing/2014/main" id="{0861D4A5-3B7E-4526-A898-D664722821B0}"/>
            </a:ext>
          </a:extLst>
        </xdr:cNvPr>
        <xdr:cNvPicPr>
          <a:picLocks noChangeAspect="1"/>
        </xdr:cNvPicPr>
      </xdr:nvPicPr>
      <xdr:blipFill>
        <a:blip xmlns:r="http://schemas.openxmlformats.org/officeDocument/2006/relationships" r:embed="rId13"/>
        <a:stretch>
          <a:fillRect/>
        </a:stretch>
      </xdr:blipFill>
      <xdr:spPr>
        <a:xfrm>
          <a:off x="17516475" y="74371200"/>
          <a:ext cx="3094770" cy="2273300"/>
        </a:xfrm>
        <a:prstGeom prst="rect">
          <a:avLst/>
        </a:prstGeom>
      </xdr:spPr>
    </xdr:pic>
    <xdr:clientData/>
  </xdr:oneCellAnchor>
  <xdr:twoCellAnchor editAs="oneCell">
    <xdr:from>
      <xdr:col>21</xdr:col>
      <xdr:colOff>466725</xdr:colOff>
      <xdr:row>409</xdr:row>
      <xdr:rowOff>114300</xdr:rowOff>
    </xdr:from>
    <xdr:to>
      <xdr:col>22</xdr:col>
      <xdr:colOff>634253</xdr:colOff>
      <xdr:row>411</xdr:row>
      <xdr:rowOff>152400</xdr:rowOff>
    </xdr:to>
    <xdr:pic>
      <xdr:nvPicPr>
        <xdr:cNvPr id="15" name="Image 14">
          <a:extLst>
            <a:ext uri="{FF2B5EF4-FFF2-40B4-BE49-F238E27FC236}">
              <a16:creationId xmlns:a16="http://schemas.microsoft.com/office/drawing/2014/main" id="{D4867298-DC75-44EF-ACBE-CFE4411530D6}"/>
            </a:ext>
          </a:extLst>
        </xdr:cNvPr>
        <xdr:cNvPicPr>
          <a:picLocks noChangeAspect="1"/>
        </xdr:cNvPicPr>
      </xdr:nvPicPr>
      <xdr:blipFill>
        <a:blip xmlns:r="http://schemas.openxmlformats.org/officeDocument/2006/relationships" r:embed="rId14"/>
        <a:stretch>
          <a:fillRect/>
        </a:stretch>
      </xdr:blipFill>
      <xdr:spPr>
        <a:xfrm>
          <a:off x="4143375" y="41043225"/>
          <a:ext cx="815228"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83</xdr:col>
      <xdr:colOff>476250</xdr:colOff>
      <xdr:row>23</xdr:row>
      <xdr:rowOff>0</xdr:rowOff>
    </xdr:from>
    <xdr:ext cx="2289175" cy="1058870"/>
    <xdr:pic>
      <xdr:nvPicPr>
        <xdr:cNvPr id="2" name="Image 1">
          <a:extLst>
            <a:ext uri="{FF2B5EF4-FFF2-40B4-BE49-F238E27FC236}">
              <a16:creationId xmlns:a16="http://schemas.microsoft.com/office/drawing/2014/main" id="{4DF246EA-71DE-4264-A9F6-7115487EE03C}"/>
            </a:ext>
          </a:extLst>
        </xdr:cNvPr>
        <xdr:cNvPicPr>
          <a:picLocks noChangeAspect="1"/>
        </xdr:cNvPicPr>
      </xdr:nvPicPr>
      <xdr:blipFill>
        <a:blip xmlns:r="http://schemas.openxmlformats.org/officeDocument/2006/relationships" r:embed="rId1"/>
        <a:stretch>
          <a:fillRect/>
        </a:stretch>
      </xdr:blipFill>
      <xdr:spPr>
        <a:xfrm>
          <a:off x="74456925" y="6191250"/>
          <a:ext cx="2289175" cy="1058870"/>
        </a:xfrm>
        <a:prstGeom prst="rect">
          <a:avLst/>
        </a:prstGeom>
      </xdr:spPr>
    </xdr:pic>
    <xdr:clientData/>
  </xdr:oneCellAnchor>
  <xdr:oneCellAnchor>
    <xdr:from>
      <xdr:col>83</xdr:col>
      <xdr:colOff>685800</xdr:colOff>
      <xdr:row>39</xdr:row>
      <xdr:rowOff>85725</xdr:rowOff>
    </xdr:from>
    <xdr:ext cx="2248026" cy="1098550"/>
    <xdr:pic>
      <xdr:nvPicPr>
        <xdr:cNvPr id="3" name="Image 2">
          <a:extLst>
            <a:ext uri="{FF2B5EF4-FFF2-40B4-BE49-F238E27FC236}">
              <a16:creationId xmlns:a16="http://schemas.microsoft.com/office/drawing/2014/main" id="{CE28674B-C066-42C3-B8A9-76AB4E9BF29C}"/>
            </a:ext>
          </a:extLst>
        </xdr:cNvPr>
        <xdr:cNvPicPr>
          <a:picLocks noChangeAspect="1"/>
        </xdr:cNvPicPr>
      </xdr:nvPicPr>
      <xdr:blipFill>
        <a:blip xmlns:r="http://schemas.openxmlformats.org/officeDocument/2006/relationships" r:embed="rId2"/>
        <a:stretch>
          <a:fillRect/>
        </a:stretch>
      </xdr:blipFill>
      <xdr:spPr>
        <a:xfrm>
          <a:off x="74666475" y="10544175"/>
          <a:ext cx="2248026" cy="1098550"/>
        </a:xfrm>
        <a:prstGeom prst="rect">
          <a:avLst/>
        </a:prstGeom>
      </xdr:spPr>
    </xdr:pic>
    <xdr:clientData/>
  </xdr:oneCellAnchor>
  <xdr:oneCellAnchor>
    <xdr:from>
      <xdr:col>84</xdr:col>
      <xdr:colOff>38100</xdr:colOff>
      <xdr:row>53</xdr:row>
      <xdr:rowOff>19050</xdr:rowOff>
    </xdr:from>
    <xdr:ext cx="1057275" cy="1120810"/>
    <xdr:pic>
      <xdr:nvPicPr>
        <xdr:cNvPr id="4" name="Image 3">
          <a:extLst>
            <a:ext uri="{FF2B5EF4-FFF2-40B4-BE49-F238E27FC236}">
              <a16:creationId xmlns:a16="http://schemas.microsoft.com/office/drawing/2014/main" id="{82BF3006-38F1-4880-9D96-B70BC824B6DF}"/>
            </a:ext>
          </a:extLst>
        </xdr:cNvPr>
        <xdr:cNvPicPr>
          <a:picLocks noChangeAspect="1"/>
        </xdr:cNvPicPr>
      </xdr:nvPicPr>
      <xdr:blipFill>
        <a:blip xmlns:r="http://schemas.openxmlformats.org/officeDocument/2006/relationships" r:embed="rId3"/>
        <a:stretch>
          <a:fillRect/>
        </a:stretch>
      </xdr:blipFill>
      <xdr:spPr>
        <a:xfrm>
          <a:off x="75152250" y="14211300"/>
          <a:ext cx="1057275" cy="1120810"/>
        </a:xfrm>
        <a:prstGeom prst="rect">
          <a:avLst/>
        </a:prstGeom>
      </xdr:spPr>
    </xdr:pic>
    <xdr:clientData/>
  </xdr:oneCellAnchor>
  <xdr:oneCellAnchor>
    <xdr:from>
      <xdr:col>85</xdr:col>
      <xdr:colOff>1343025</xdr:colOff>
      <xdr:row>95</xdr:row>
      <xdr:rowOff>180975</xdr:rowOff>
    </xdr:from>
    <xdr:ext cx="1448868" cy="1238250"/>
    <xdr:pic>
      <xdr:nvPicPr>
        <xdr:cNvPr id="5" name="Image 4" descr="Man Cook: Medium-Light Skin Tone">
          <a:extLst>
            <a:ext uri="{FF2B5EF4-FFF2-40B4-BE49-F238E27FC236}">
              <a16:creationId xmlns:a16="http://schemas.microsoft.com/office/drawing/2014/main" id="{F1CD9122-16EA-468F-B182-B1F7CB11F4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238225" y="25574625"/>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94</xdr:col>
      <xdr:colOff>1314450</xdr:colOff>
      <xdr:row>5</xdr:row>
      <xdr:rowOff>161925</xdr:rowOff>
    </xdr:from>
    <xdr:to>
      <xdr:col>94</xdr:col>
      <xdr:colOff>2020981</xdr:colOff>
      <xdr:row>7</xdr:row>
      <xdr:rowOff>123825</xdr:rowOff>
    </xdr:to>
    <xdr:pic>
      <xdr:nvPicPr>
        <xdr:cNvPr id="11" name="Image 10">
          <a:extLst>
            <a:ext uri="{FF2B5EF4-FFF2-40B4-BE49-F238E27FC236}">
              <a16:creationId xmlns:a16="http://schemas.microsoft.com/office/drawing/2014/main" id="{3E4E24AA-2065-4AE6-A4A9-E8531042B813}"/>
            </a:ext>
          </a:extLst>
        </xdr:cNvPr>
        <xdr:cNvPicPr>
          <a:picLocks noChangeAspect="1"/>
        </xdr:cNvPicPr>
      </xdr:nvPicPr>
      <xdr:blipFill>
        <a:blip xmlns:r="http://schemas.openxmlformats.org/officeDocument/2006/relationships" r:embed="rId5"/>
        <a:stretch>
          <a:fillRect/>
        </a:stretch>
      </xdr:blipFill>
      <xdr:spPr>
        <a:xfrm>
          <a:off x="87258525" y="1552575"/>
          <a:ext cx="706531" cy="495300"/>
        </a:xfrm>
        <a:prstGeom prst="rect">
          <a:avLst/>
        </a:prstGeom>
      </xdr:spPr>
    </xdr:pic>
    <xdr:clientData/>
  </xdr:twoCellAnchor>
  <xdr:twoCellAnchor editAs="oneCell">
    <xdr:from>
      <xdr:col>102</xdr:col>
      <xdr:colOff>1352550</xdr:colOff>
      <xdr:row>5</xdr:row>
      <xdr:rowOff>104775</xdr:rowOff>
    </xdr:from>
    <xdr:to>
      <xdr:col>102</xdr:col>
      <xdr:colOff>2372591</xdr:colOff>
      <xdr:row>7</xdr:row>
      <xdr:rowOff>161925</xdr:rowOff>
    </xdr:to>
    <xdr:pic>
      <xdr:nvPicPr>
        <xdr:cNvPr id="12" name="Image 11">
          <a:extLst>
            <a:ext uri="{FF2B5EF4-FFF2-40B4-BE49-F238E27FC236}">
              <a16:creationId xmlns:a16="http://schemas.microsoft.com/office/drawing/2014/main" id="{344B1A11-9ED4-4849-B8D6-389FF42EE567}"/>
            </a:ext>
          </a:extLst>
        </xdr:cNvPr>
        <xdr:cNvPicPr>
          <a:picLocks noChangeAspect="1"/>
        </xdr:cNvPicPr>
      </xdr:nvPicPr>
      <xdr:blipFill>
        <a:blip xmlns:r="http://schemas.openxmlformats.org/officeDocument/2006/relationships" r:embed="rId6"/>
        <a:stretch>
          <a:fillRect/>
        </a:stretch>
      </xdr:blipFill>
      <xdr:spPr>
        <a:xfrm>
          <a:off x="97040700" y="1495425"/>
          <a:ext cx="1020041" cy="590550"/>
        </a:xfrm>
        <a:prstGeom prst="rect">
          <a:avLst/>
        </a:prstGeom>
      </xdr:spPr>
    </xdr:pic>
    <xdr:clientData/>
  </xdr:twoCellAnchor>
  <xdr:twoCellAnchor editAs="oneCell">
    <xdr:from>
      <xdr:col>110</xdr:col>
      <xdr:colOff>1485900</xdr:colOff>
      <xdr:row>5</xdr:row>
      <xdr:rowOff>171450</xdr:rowOff>
    </xdr:from>
    <xdr:to>
      <xdr:col>110</xdr:col>
      <xdr:colOff>2549383</xdr:colOff>
      <xdr:row>7</xdr:row>
      <xdr:rowOff>219075</xdr:rowOff>
    </xdr:to>
    <xdr:pic>
      <xdr:nvPicPr>
        <xdr:cNvPr id="13" name="Image 12">
          <a:extLst>
            <a:ext uri="{FF2B5EF4-FFF2-40B4-BE49-F238E27FC236}">
              <a16:creationId xmlns:a16="http://schemas.microsoft.com/office/drawing/2014/main" id="{A7E0A302-DC50-408D-B50E-3FBE915FE28F}"/>
            </a:ext>
          </a:extLst>
        </xdr:cNvPr>
        <xdr:cNvPicPr>
          <a:picLocks noChangeAspect="1"/>
        </xdr:cNvPicPr>
      </xdr:nvPicPr>
      <xdr:blipFill>
        <a:blip xmlns:r="http://schemas.openxmlformats.org/officeDocument/2006/relationships" r:embed="rId7"/>
        <a:stretch>
          <a:fillRect/>
        </a:stretch>
      </xdr:blipFill>
      <xdr:spPr>
        <a:xfrm>
          <a:off x="106918125" y="1562100"/>
          <a:ext cx="1063483" cy="581025"/>
        </a:xfrm>
        <a:prstGeom prst="rect">
          <a:avLst/>
        </a:prstGeom>
      </xdr:spPr>
    </xdr:pic>
    <xdr:clientData/>
  </xdr:twoCellAnchor>
  <xdr:oneCellAnchor>
    <xdr:from>
      <xdr:col>102</xdr:col>
      <xdr:colOff>1495425</xdr:colOff>
      <xdr:row>24</xdr:row>
      <xdr:rowOff>114300</xdr:rowOff>
    </xdr:from>
    <xdr:ext cx="571500" cy="571500"/>
    <xdr:pic>
      <xdr:nvPicPr>
        <xdr:cNvPr id="14" name="Image 13">
          <a:extLst>
            <a:ext uri="{FF2B5EF4-FFF2-40B4-BE49-F238E27FC236}">
              <a16:creationId xmlns:a16="http://schemas.microsoft.com/office/drawing/2014/main" id="{2AE9027D-ED6B-4FE1-8116-0A08ED99BEF8}"/>
            </a:ext>
          </a:extLst>
        </xdr:cNvPr>
        <xdr:cNvPicPr>
          <a:picLocks noChangeAspect="1"/>
        </xdr:cNvPicPr>
      </xdr:nvPicPr>
      <xdr:blipFill>
        <a:blip xmlns:r="http://schemas.openxmlformats.org/officeDocument/2006/relationships" r:embed="rId8"/>
        <a:stretch>
          <a:fillRect/>
        </a:stretch>
      </xdr:blipFill>
      <xdr:spPr>
        <a:xfrm>
          <a:off x="97183575" y="6572250"/>
          <a:ext cx="571500" cy="571500"/>
        </a:xfrm>
        <a:prstGeom prst="rect">
          <a:avLst/>
        </a:prstGeom>
      </xdr:spPr>
    </xdr:pic>
    <xdr:clientData/>
  </xdr:oneCellAnchor>
  <xdr:oneCellAnchor>
    <xdr:from>
      <xdr:col>110</xdr:col>
      <xdr:colOff>1676400</xdr:colOff>
      <xdr:row>24</xdr:row>
      <xdr:rowOff>152400</xdr:rowOff>
    </xdr:from>
    <xdr:ext cx="571500" cy="571500"/>
    <xdr:pic>
      <xdr:nvPicPr>
        <xdr:cNvPr id="15" name="Image 14">
          <a:extLst>
            <a:ext uri="{FF2B5EF4-FFF2-40B4-BE49-F238E27FC236}">
              <a16:creationId xmlns:a16="http://schemas.microsoft.com/office/drawing/2014/main" id="{680982D0-C8EA-475D-B364-9D8D4BFBA860}"/>
            </a:ext>
          </a:extLst>
        </xdr:cNvPr>
        <xdr:cNvPicPr>
          <a:picLocks noChangeAspect="1"/>
        </xdr:cNvPicPr>
      </xdr:nvPicPr>
      <xdr:blipFill>
        <a:blip xmlns:r="http://schemas.openxmlformats.org/officeDocument/2006/relationships" r:embed="rId8"/>
        <a:stretch>
          <a:fillRect/>
        </a:stretch>
      </xdr:blipFill>
      <xdr:spPr>
        <a:xfrm>
          <a:off x="107108625" y="6610350"/>
          <a:ext cx="571500" cy="571500"/>
        </a:xfrm>
        <a:prstGeom prst="rect">
          <a:avLst/>
        </a:prstGeom>
      </xdr:spPr>
    </xdr:pic>
    <xdr:clientData/>
  </xdr:oneCellAnchor>
  <xdr:oneCellAnchor>
    <xdr:from>
      <xdr:col>94</xdr:col>
      <xdr:colOff>1228725</xdr:colOff>
      <xdr:row>25</xdr:row>
      <xdr:rowOff>95250</xdr:rowOff>
    </xdr:from>
    <xdr:ext cx="571500" cy="571500"/>
    <xdr:pic>
      <xdr:nvPicPr>
        <xdr:cNvPr id="16" name="Image 15">
          <a:extLst>
            <a:ext uri="{FF2B5EF4-FFF2-40B4-BE49-F238E27FC236}">
              <a16:creationId xmlns:a16="http://schemas.microsoft.com/office/drawing/2014/main" id="{4EF60C74-AC64-4E4C-A2EF-90E0EE668838}"/>
            </a:ext>
          </a:extLst>
        </xdr:cNvPr>
        <xdr:cNvPicPr>
          <a:picLocks noChangeAspect="1"/>
        </xdr:cNvPicPr>
      </xdr:nvPicPr>
      <xdr:blipFill>
        <a:blip xmlns:r="http://schemas.openxmlformats.org/officeDocument/2006/relationships" r:embed="rId8"/>
        <a:stretch>
          <a:fillRect/>
        </a:stretch>
      </xdr:blipFill>
      <xdr:spPr>
        <a:xfrm>
          <a:off x="87172800" y="6819900"/>
          <a:ext cx="571500" cy="571500"/>
        </a:xfrm>
        <a:prstGeom prst="rect">
          <a:avLst/>
        </a:prstGeom>
      </xdr:spPr>
    </xdr:pic>
    <xdr:clientData/>
  </xdr:oneCellAnchor>
  <xdr:oneCellAnchor>
    <xdr:from>
      <xdr:col>14</xdr:col>
      <xdr:colOff>704850</xdr:colOff>
      <xdr:row>32</xdr:row>
      <xdr:rowOff>114300</xdr:rowOff>
    </xdr:from>
    <xdr:ext cx="1962150" cy="958850"/>
    <xdr:pic>
      <xdr:nvPicPr>
        <xdr:cNvPr id="17" name="Image 16">
          <a:extLst>
            <a:ext uri="{FF2B5EF4-FFF2-40B4-BE49-F238E27FC236}">
              <a16:creationId xmlns:a16="http://schemas.microsoft.com/office/drawing/2014/main" id="{C2125EB1-22BB-44FF-B931-6903F522FC79}"/>
            </a:ext>
          </a:extLst>
        </xdr:cNvPr>
        <xdr:cNvPicPr>
          <a:picLocks noChangeAspect="1"/>
        </xdr:cNvPicPr>
      </xdr:nvPicPr>
      <xdr:blipFill>
        <a:blip xmlns:r="http://schemas.openxmlformats.org/officeDocument/2006/relationships" r:embed="rId2"/>
        <a:stretch>
          <a:fillRect/>
        </a:stretch>
      </xdr:blipFill>
      <xdr:spPr>
        <a:xfrm>
          <a:off x="12601575" y="8705850"/>
          <a:ext cx="1962150" cy="958850"/>
        </a:xfrm>
        <a:prstGeom prst="rect">
          <a:avLst/>
        </a:prstGeom>
      </xdr:spPr>
    </xdr:pic>
    <xdr:clientData/>
  </xdr:oneCellAnchor>
  <xdr:oneCellAnchor>
    <xdr:from>
      <xdr:col>14</xdr:col>
      <xdr:colOff>761999</xdr:colOff>
      <xdr:row>41</xdr:row>
      <xdr:rowOff>171450</xdr:rowOff>
    </xdr:from>
    <xdr:ext cx="1709147" cy="790575"/>
    <xdr:pic>
      <xdr:nvPicPr>
        <xdr:cNvPr id="18" name="Image 17">
          <a:extLst>
            <a:ext uri="{FF2B5EF4-FFF2-40B4-BE49-F238E27FC236}">
              <a16:creationId xmlns:a16="http://schemas.microsoft.com/office/drawing/2014/main" id="{6E7C8416-08C7-4EA7-B0C3-AD49961A573A}"/>
            </a:ext>
          </a:extLst>
        </xdr:cNvPr>
        <xdr:cNvPicPr>
          <a:picLocks noChangeAspect="1"/>
        </xdr:cNvPicPr>
      </xdr:nvPicPr>
      <xdr:blipFill>
        <a:blip xmlns:r="http://schemas.openxmlformats.org/officeDocument/2006/relationships" r:embed="rId1"/>
        <a:stretch>
          <a:fillRect/>
        </a:stretch>
      </xdr:blipFill>
      <xdr:spPr>
        <a:xfrm>
          <a:off x="12658724" y="11163300"/>
          <a:ext cx="1709147" cy="790575"/>
        </a:xfrm>
        <a:prstGeom prst="rect">
          <a:avLst/>
        </a:prstGeom>
      </xdr:spPr>
    </xdr:pic>
    <xdr:clientData/>
  </xdr:oneCellAnchor>
  <xdr:oneCellAnchor>
    <xdr:from>
      <xdr:col>14</xdr:col>
      <xdr:colOff>1047750</xdr:colOff>
      <xdr:row>49</xdr:row>
      <xdr:rowOff>133350</xdr:rowOff>
    </xdr:from>
    <xdr:ext cx="1057275" cy="1028700"/>
    <xdr:pic>
      <xdr:nvPicPr>
        <xdr:cNvPr id="19" name="Image 18">
          <a:extLst>
            <a:ext uri="{FF2B5EF4-FFF2-40B4-BE49-F238E27FC236}">
              <a16:creationId xmlns:a16="http://schemas.microsoft.com/office/drawing/2014/main" id="{BA614772-5DB7-49B5-A7EA-895AA0AEDE9D}"/>
            </a:ext>
          </a:extLst>
        </xdr:cNvPr>
        <xdr:cNvPicPr>
          <a:picLocks noChangeAspect="1"/>
        </xdr:cNvPicPr>
      </xdr:nvPicPr>
      <xdr:blipFill>
        <a:blip xmlns:r="http://schemas.openxmlformats.org/officeDocument/2006/relationships" r:embed="rId3"/>
        <a:stretch>
          <a:fillRect/>
        </a:stretch>
      </xdr:blipFill>
      <xdr:spPr>
        <a:xfrm>
          <a:off x="12944475" y="13258800"/>
          <a:ext cx="1057275" cy="10287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23</xdr:col>
      <xdr:colOff>323850</xdr:colOff>
      <xdr:row>199</xdr:row>
      <xdr:rowOff>0</xdr:rowOff>
    </xdr:from>
    <xdr:to>
      <xdr:col>23</xdr:col>
      <xdr:colOff>323850</xdr:colOff>
      <xdr:row>199</xdr:row>
      <xdr:rowOff>0</xdr:rowOff>
    </xdr:to>
    <xdr:sp macro="" textlink="">
      <xdr:nvSpPr>
        <xdr:cNvPr id="2" name="Line 7">
          <a:extLst>
            <a:ext uri="{FF2B5EF4-FFF2-40B4-BE49-F238E27FC236}">
              <a16:creationId xmlns:a16="http://schemas.microsoft.com/office/drawing/2014/main" id="{98C0B5FF-010D-412A-9235-042D4EDA8E56}"/>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188</xdr:row>
      <xdr:rowOff>0</xdr:rowOff>
    </xdr:from>
    <xdr:to>
      <xdr:col>23</xdr:col>
      <xdr:colOff>323850</xdr:colOff>
      <xdr:row>188</xdr:row>
      <xdr:rowOff>0</xdr:rowOff>
    </xdr:to>
    <xdr:sp macro="" textlink="">
      <xdr:nvSpPr>
        <xdr:cNvPr id="3" name="Line 7">
          <a:extLst>
            <a:ext uri="{FF2B5EF4-FFF2-40B4-BE49-F238E27FC236}">
              <a16:creationId xmlns:a16="http://schemas.microsoft.com/office/drawing/2014/main" id="{42DCAA5C-44CC-474A-B85B-3304250E53BA}"/>
            </a:ext>
          </a:extLst>
        </xdr:cNvPr>
        <xdr:cNvSpPr>
          <a:spLocks noChangeShapeType="1"/>
        </xdr:cNvSpPr>
      </xdr:nvSpPr>
      <xdr:spPr bwMode="auto">
        <a:xfrm>
          <a:off x="7347585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196</xdr:row>
      <xdr:rowOff>0</xdr:rowOff>
    </xdr:from>
    <xdr:to>
      <xdr:col>23</xdr:col>
      <xdr:colOff>323850</xdr:colOff>
      <xdr:row>196</xdr:row>
      <xdr:rowOff>0</xdr:rowOff>
    </xdr:to>
    <xdr:sp macro="" textlink="">
      <xdr:nvSpPr>
        <xdr:cNvPr id="4" name="Line 7">
          <a:extLst>
            <a:ext uri="{FF2B5EF4-FFF2-40B4-BE49-F238E27FC236}">
              <a16:creationId xmlns:a16="http://schemas.microsoft.com/office/drawing/2014/main" id="{B32FF713-EC2D-4715-9955-2A9374FB72C4}"/>
            </a:ext>
          </a:extLst>
        </xdr:cNvPr>
        <xdr:cNvSpPr>
          <a:spLocks noChangeShapeType="1"/>
        </xdr:cNvSpPr>
      </xdr:nvSpPr>
      <xdr:spPr bwMode="auto">
        <a:xfrm>
          <a:off x="7347585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5" name="Line 7">
          <a:extLst>
            <a:ext uri="{FF2B5EF4-FFF2-40B4-BE49-F238E27FC236}">
              <a16:creationId xmlns:a16="http://schemas.microsoft.com/office/drawing/2014/main" id="{05B00FF9-8F5D-4D37-896E-6E7632F8A900}"/>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188</xdr:row>
      <xdr:rowOff>0</xdr:rowOff>
    </xdr:from>
    <xdr:to>
      <xdr:col>29</xdr:col>
      <xdr:colOff>323850</xdr:colOff>
      <xdr:row>188</xdr:row>
      <xdr:rowOff>0</xdr:rowOff>
    </xdr:to>
    <xdr:sp macro="" textlink="">
      <xdr:nvSpPr>
        <xdr:cNvPr id="6" name="Line 7">
          <a:extLst>
            <a:ext uri="{FF2B5EF4-FFF2-40B4-BE49-F238E27FC236}">
              <a16:creationId xmlns:a16="http://schemas.microsoft.com/office/drawing/2014/main" id="{134E36D5-053B-44C9-A695-DE95D11C0FBA}"/>
            </a:ext>
          </a:extLst>
        </xdr:cNvPr>
        <xdr:cNvSpPr>
          <a:spLocks noChangeShapeType="1"/>
        </xdr:cNvSpPr>
      </xdr:nvSpPr>
      <xdr:spPr bwMode="auto">
        <a:xfrm>
          <a:off x="8976360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196</xdr:row>
      <xdr:rowOff>0</xdr:rowOff>
    </xdr:from>
    <xdr:to>
      <xdr:col>29</xdr:col>
      <xdr:colOff>323850</xdr:colOff>
      <xdr:row>196</xdr:row>
      <xdr:rowOff>0</xdr:rowOff>
    </xdr:to>
    <xdr:sp macro="" textlink="">
      <xdr:nvSpPr>
        <xdr:cNvPr id="7" name="Line 7">
          <a:extLst>
            <a:ext uri="{FF2B5EF4-FFF2-40B4-BE49-F238E27FC236}">
              <a16:creationId xmlns:a16="http://schemas.microsoft.com/office/drawing/2014/main" id="{D239FB94-CDE2-4C26-A338-E22865984068}"/>
            </a:ext>
          </a:extLst>
        </xdr:cNvPr>
        <xdr:cNvSpPr>
          <a:spLocks noChangeShapeType="1"/>
        </xdr:cNvSpPr>
      </xdr:nvSpPr>
      <xdr:spPr bwMode="auto">
        <a:xfrm>
          <a:off x="8976360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202</xdr:row>
      <xdr:rowOff>0</xdr:rowOff>
    </xdr:from>
    <xdr:to>
      <xdr:col>23</xdr:col>
      <xdr:colOff>323850</xdr:colOff>
      <xdr:row>202</xdr:row>
      <xdr:rowOff>0</xdr:rowOff>
    </xdr:to>
    <xdr:sp macro="" textlink="">
      <xdr:nvSpPr>
        <xdr:cNvPr id="8" name="Line 7">
          <a:extLst>
            <a:ext uri="{FF2B5EF4-FFF2-40B4-BE49-F238E27FC236}">
              <a16:creationId xmlns:a16="http://schemas.microsoft.com/office/drawing/2014/main" id="{AEA666B6-9AE7-47F6-B0DA-7A75BD094CFA}"/>
            </a:ext>
          </a:extLst>
        </xdr:cNvPr>
        <xdr:cNvSpPr>
          <a:spLocks noChangeShapeType="1"/>
        </xdr:cNvSpPr>
      </xdr:nvSpPr>
      <xdr:spPr bwMode="auto">
        <a:xfrm>
          <a:off x="7347585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191</xdr:row>
      <xdr:rowOff>0</xdr:rowOff>
    </xdr:from>
    <xdr:to>
      <xdr:col>23</xdr:col>
      <xdr:colOff>323850</xdr:colOff>
      <xdr:row>191</xdr:row>
      <xdr:rowOff>0</xdr:rowOff>
    </xdr:to>
    <xdr:sp macro="" textlink="">
      <xdr:nvSpPr>
        <xdr:cNvPr id="9" name="Line 7">
          <a:extLst>
            <a:ext uri="{FF2B5EF4-FFF2-40B4-BE49-F238E27FC236}">
              <a16:creationId xmlns:a16="http://schemas.microsoft.com/office/drawing/2014/main" id="{7BA8CF6B-BFD1-4E35-8C3C-75AF6BBD5CBC}"/>
            </a:ext>
          </a:extLst>
        </xdr:cNvPr>
        <xdr:cNvSpPr>
          <a:spLocks noChangeShapeType="1"/>
        </xdr:cNvSpPr>
      </xdr:nvSpPr>
      <xdr:spPr bwMode="auto">
        <a:xfrm>
          <a:off x="7347585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199</xdr:row>
      <xdr:rowOff>0</xdr:rowOff>
    </xdr:from>
    <xdr:to>
      <xdr:col>23</xdr:col>
      <xdr:colOff>323850</xdr:colOff>
      <xdr:row>199</xdr:row>
      <xdr:rowOff>0</xdr:rowOff>
    </xdr:to>
    <xdr:sp macro="" textlink="">
      <xdr:nvSpPr>
        <xdr:cNvPr id="10" name="Line 7">
          <a:extLst>
            <a:ext uri="{FF2B5EF4-FFF2-40B4-BE49-F238E27FC236}">
              <a16:creationId xmlns:a16="http://schemas.microsoft.com/office/drawing/2014/main" id="{172E2D3E-AC5F-45CA-B8B7-91099DE40EB4}"/>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202</xdr:row>
      <xdr:rowOff>0</xdr:rowOff>
    </xdr:from>
    <xdr:to>
      <xdr:col>29</xdr:col>
      <xdr:colOff>323850</xdr:colOff>
      <xdr:row>202</xdr:row>
      <xdr:rowOff>0</xdr:rowOff>
    </xdr:to>
    <xdr:sp macro="" textlink="">
      <xdr:nvSpPr>
        <xdr:cNvPr id="11" name="Line 7">
          <a:extLst>
            <a:ext uri="{FF2B5EF4-FFF2-40B4-BE49-F238E27FC236}">
              <a16:creationId xmlns:a16="http://schemas.microsoft.com/office/drawing/2014/main" id="{2E8B385E-0A72-4C31-A39C-46DFAC878DF1}"/>
            </a:ext>
          </a:extLst>
        </xdr:cNvPr>
        <xdr:cNvSpPr>
          <a:spLocks noChangeShapeType="1"/>
        </xdr:cNvSpPr>
      </xdr:nvSpPr>
      <xdr:spPr bwMode="auto">
        <a:xfrm>
          <a:off x="8976360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191</xdr:row>
      <xdr:rowOff>0</xdr:rowOff>
    </xdr:from>
    <xdr:to>
      <xdr:col>29</xdr:col>
      <xdr:colOff>323850</xdr:colOff>
      <xdr:row>191</xdr:row>
      <xdr:rowOff>0</xdr:rowOff>
    </xdr:to>
    <xdr:sp macro="" textlink="">
      <xdr:nvSpPr>
        <xdr:cNvPr id="12" name="Line 7">
          <a:extLst>
            <a:ext uri="{FF2B5EF4-FFF2-40B4-BE49-F238E27FC236}">
              <a16:creationId xmlns:a16="http://schemas.microsoft.com/office/drawing/2014/main" id="{39DDB03B-EAA4-405D-9F83-3FC269D58977}"/>
            </a:ext>
          </a:extLst>
        </xdr:cNvPr>
        <xdr:cNvSpPr>
          <a:spLocks noChangeShapeType="1"/>
        </xdr:cNvSpPr>
      </xdr:nvSpPr>
      <xdr:spPr bwMode="auto">
        <a:xfrm>
          <a:off x="8976360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13" name="Line 7">
          <a:extLst>
            <a:ext uri="{FF2B5EF4-FFF2-40B4-BE49-F238E27FC236}">
              <a16:creationId xmlns:a16="http://schemas.microsoft.com/office/drawing/2014/main" id="{1FAB43C8-E8B9-4868-9665-336BE028DB1D}"/>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201</xdr:row>
      <xdr:rowOff>0</xdr:rowOff>
    </xdr:from>
    <xdr:to>
      <xdr:col>23</xdr:col>
      <xdr:colOff>323850</xdr:colOff>
      <xdr:row>201</xdr:row>
      <xdr:rowOff>0</xdr:rowOff>
    </xdr:to>
    <xdr:sp macro="" textlink="">
      <xdr:nvSpPr>
        <xdr:cNvPr id="14" name="Line 7">
          <a:extLst>
            <a:ext uri="{FF2B5EF4-FFF2-40B4-BE49-F238E27FC236}">
              <a16:creationId xmlns:a16="http://schemas.microsoft.com/office/drawing/2014/main" id="{7251369A-DB3C-406C-96E6-DF08C0A2FF07}"/>
            </a:ext>
          </a:extLst>
        </xdr:cNvPr>
        <xdr:cNvSpPr>
          <a:spLocks noChangeShapeType="1"/>
        </xdr:cNvSpPr>
      </xdr:nvSpPr>
      <xdr:spPr bwMode="auto">
        <a:xfrm>
          <a:off x="7347585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190</xdr:row>
      <xdr:rowOff>0</xdr:rowOff>
    </xdr:from>
    <xdr:to>
      <xdr:col>23</xdr:col>
      <xdr:colOff>323850</xdr:colOff>
      <xdr:row>190</xdr:row>
      <xdr:rowOff>0</xdr:rowOff>
    </xdr:to>
    <xdr:sp macro="" textlink="">
      <xdr:nvSpPr>
        <xdr:cNvPr id="15" name="Line 7">
          <a:extLst>
            <a:ext uri="{FF2B5EF4-FFF2-40B4-BE49-F238E27FC236}">
              <a16:creationId xmlns:a16="http://schemas.microsoft.com/office/drawing/2014/main" id="{BEC51278-EB1F-4FD7-9867-77B66F0A90C4}"/>
            </a:ext>
          </a:extLst>
        </xdr:cNvPr>
        <xdr:cNvSpPr>
          <a:spLocks noChangeShapeType="1"/>
        </xdr:cNvSpPr>
      </xdr:nvSpPr>
      <xdr:spPr bwMode="auto">
        <a:xfrm>
          <a:off x="7347585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198</xdr:row>
      <xdr:rowOff>0</xdr:rowOff>
    </xdr:from>
    <xdr:to>
      <xdr:col>23</xdr:col>
      <xdr:colOff>323850</xdr:colOff>
      <xdr:row>198</xdr:row>
      <xdr:rowOff>0</xdr:rowOff>
    </xdr:to>
    <xdr:sp macro="" textlink="">
      <xdr:nvSpPr>
        <xdr:cNvPr id="16" name="Line 7">
          <a:extLst>
            <a:ext uri="{FF2B5EF4-FFF2-40B4-BE49-F238E27FC236}">
              <a16:creationId xmlns:a16="http://schemas.microsoft.com/office/drawing/2014/main" id="{B3F89839-5A7A-48EA-8E56-3362B209C28D}"/>
            </a:ext>
          </a:extLst>
        </xdr:cNvPr>
        <xdr:cNvSpPr>
          <a:spLocks noChangeShapeType="1"/>
        </xdr:cNvSpPr>
      </xdr:nvSpPr>
      <xdr:spPr bwMode="auto">
        <a:xfrm>
          <a:off x="7347585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201</xdr:row>
      <xdr:rowOff>0</xdr:rowOff>
    </xdr:from>
    <xdr:to>
      <xdr:col>29</xdr:col>
      <xdr:colOff>323850</xdr:colOff>
      <xdr:row>201</xdr:row>
      <xdr:rowOff>0</xdr:rowOff>
    </xdr:to>
    <xdr:sp macro="" textlink="">
      <xdr:nvSpPr>
        <xdr:cNvPr id="17" name="Line 7">
          <a:extLst>
            <a:ext uri="{FF2B5EF4-FFF2-40B4-BE49-F238E27FC236}">
              <a16:creationId xmlns:a16="http://schemas.microsoft.com/office/drawing/2014/main" id="{E56EB914-A769-43FA-9F06-8B95DA6D793F}"/>
            </a:ext>
          </a:extLst>
        </xdr:cNvPr>
        <xdr:cNvSpPr>
          <a:spLocks noChangeShapeType="1"/>
        </xdr:cNvSpPr>
      </xdr:nvSpPr>
      <xdr:spPr bwMode="auto">
        <a:xfrm>
          <a:off x="8976360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190</xdr:row>
      <xdr:rowOff>0</xdr:rowOff>
    </xdr:from>
    <xdr:to>
      <xdr:col>29</xdr:col>
      <xdr:colOff>323850</xdr:colOff>
      <xdr:row>190</xdr:row>
      <xdr:rowOff>0</xdr:rowOff>
    </xdr:to>
    <xdr:sp macro="" textlink="">
      <xdr:nvSpPr>
        <xdr:cNvPr id="18" name="Line 7">
          <a:extLst>
            <a:ext uri="{FF2B5EF4-FFF2-40B4-BE49-F238E27FC236}">
              <a16:creationId xmlns:a16="http://schemas.microsoft.com/office/drawing/2014/main" id="{E5BBD1F5-FB4D-4161-8767-C80D13133FDE}"/>
            </a:ext>
          </a:extLst>
        </xdr:cNvPr>
        <xdr:cNvSpPr>
          <a:spLocks noChangeShapeType="1"/>
        </xdr:cNvSpPr>
      </xdr:nvSpPr>
      <xdr:spPr bwMode="auto">
        <a:xfrm>
          <a:off x="8976360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198</xdr:row>
      <xdr:rowOff>0</xdr:rowOff>
    </xdr:from>
    <xdr:to>
      <xdr:col>29</xdr:col>
      <xdr:colOff>323850</xdr:colOff>
      <xdr:row>198</xdr:row>
      <xdr:rowOff>0</xdr:rowOff>
    </xdr:to>
    <xdr:sp macro="" textlink="">
      <xdr:nvSpPr>
        <xdr:cNvPr id="19" name="Line 7">
          <a:extLst>
            <a:ext uri="{FF2B5EF4-FFF2-40B4-BE49-F238E27FC236}">
              <a16:creationId xmlns:a16="http://schemas.microsoft.com/office/drawing/2014/main" id="{86B3EDF5-9C46-42AE-BCEA-A2BCB4F00ED9}"/>
            </a:ext>
          </a:extLst>
        </xdr:cNvPr>
        <xdr:cNvSpPr>
          <a:spLocks noChangeShapeType="1"/>
        </xdr:cNvSpPr>
      </xdr:nvSpPr>
      <xdr:spPr bwMode="auto">
        <a:xfrm>
          <a:off x="8976360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18</xdr:col>
      <xdr:colOff>457200</xdr:colOff>
      <xdr:row>8</xdr:row>
      <xdr:rowOff>28575</xdr:rowOff>
    </xdr:from>
    <xdr:to>
      <xdr:col>18</xdr:col>
      <xdr:colOff>923925</xdr:colOff>
      <xdr:row>8</xdr:row>
      <xdr:rowOff>355764</xdr:rowOff>
    </xdr:to>
    <xdr:pic>
      <xdr:nvPicPr>
        <xdr:cNvPr id="20" name="Image 19">
          <a:extLst>
            <a:ext uri="{FF2B5EF4-FFF2-40B4-BE49-F238E27FC236}">
              <a16:creationId xmlns:a16="http://schemas.microsoft.com/office/drawing/2014/main" id="{6901FC61-544A-48D1-9822-E32EE5292815}"/>
            </a:ext>
          </a:extLst>
        </xdr:cNvPr>
        <xdr:cNvPicPr>
          <a:picLocks noChangeAspect="1"/>
        </xdr:cNvPicPr>
      </xdr:nvPicPr>
      <xdr:blipFill>
        <a:blip xmlns:r="http://schemas.openxmlformats.org/officeDocument/2006/relationships" r:embed="rId1"/>
        <a:stretch>
          <a:fillRect/>
        </a:stretch>
      </xdr:blipFill>
      <xdr:spPr>
        <a:xfrm>
          <a:off x="52187475" y="2038350"/>
          <a:ext cx="466725" cy="327189"/>
        </a:xfrm>
        <a:prstGeom prst="rect">
          <a:avLst/>
        </a:prstGeom>
      </xdr:spPr>
    </xdr:pic>
    <xdr:clientData/>
  </xdr:twoCellAnchor>
  <xdr:twoCellAnchor editAs="oneCell">
    <xdr:from>
      <xdr:col>23</xdr:col>
      <xdr:colOff>257175</xdr:colOff>
      <xdr:row>8</xdr:row>
      <xdr:rowOff>76200</xdr:rowOff>
    </xdr:from>
    <xdr:to>
      <xdr:col>23</xdr:col>
      <xdr:colOff>624028</xdr:colOff>
      <xdr:row>8</xdr:row>
      <xdr:rowOff>333375</xdr:rowOff>
    </xdr:to>
    <xdr:pic>
      <xdr:nvPicPr>
        <xdr:cNvPr id="21" name="Image 20">
          <a:extLst>
            <a:ext uri="{FF2B5EF4-FFF2-40B4-BE49-F238E27FC236}">
              <a16:creationId xmlns:a16="http://schemas.microsoft.com/office/drawing/2014/main" id="{203F5261-51F3-46B6-9AB7-2B12705F528E}"/>
            </a:ext>
          </a:extLst>
        </xdr:cNvPr>
        <xdr:cNvPicPr>
          <a:picLocks noChangeAspect="1"/>
        </xdr:cNvPicPr>
      </xdr:nvPicPr>
      <xdr:blipFill>
        <a:blip xmlns:r="http://schemas.openxmlformats.org/officeDocument/2006/relationships" r:embed="rId1"/>
        <a:stretch>
          <a:fillRect/>
        </a:stretch>
      </xdr:blipFill>
      <xdr:spPr>
        <a:xfrm>
          <a:off x="73409175" y="2085975"/>
          <a:ext cx="366853" cy="257175"/>
        </a:xfrm>
        <a:prstGeom prst="rect">
          <a:avLst/>
        </a:prstGeom>
      </xdr:spPr>
    </xdr:pic>
    <xdr:clientData/>
  </xdr:twoCellAnchor>
  <xdr:twoCellAnchor editAs="oneCell">
    <xdr:from>
      <xdr:col>24</xdr:col>
      <xdr:colOff>266700</xdr:colOff>
      <xdr:row>8</xdr:row>
      <xdr:rowOff>38100</xdr:rowOff>
    </xdr:from>
    <xdr:to>
      <xdr:col>24</xdr:col>
      <xdr:colOff>637760</xdr:colOff>
      <xdr:row>8</xdr:row>
      <xdr:rowOff>304800</xdr:rowOff>
    </xdr:to>
    <xdr:pic>
      <xdr:nvPicPr>
        <xdr:cNvPr id="22" name="Image 21">
          <a:extLst>
            <a:ext uri="{FF2B5EF4-FFF2-40B4-BE49-F238E27FC236}">
              <a16:creationId xmlns:a16="http://schemas.microsoft.com/office/drawing/2014/main" id="{95F4D1D5-E87F-4F39-AC0A-BDF6FA4AF821}"/>
            </a:ext>
          </a:extLst>
        </xdr:cNvPr>
        <xdr:cNvPicPr>
          <a:picLocks noChangeAspect="1"/>
        </xdr:cNvPicPr>
      </xdr:nvPicPr>
      <xdr:blipFill>
        <a:blip xmlns:r="http://schemas.openxmlformats.org/officeDocument/2006/relationships" r:embed="rId2"/>
        <a:stretch>
          <a:fillRect/>
        </a:stretch>
      </xdr:blipFill>
      <xdr:spPr>
        <a:xfrm>
          <a:off x="75466575" y="2047875"/>
          <a:ext cx="371060" cy="266700"/>
        </a:xfrm>
        <a:prstGeom prst="rect">
          <a:avLst/>
        </a:prstGeom>
      </xdr:spPr>
    </xdr:pic>
    <xdr:clientData/>
  </xdr:twoCellAnchor>
  <xdr:twoCellAnchor editAs="oneCell">
    <xdr:from>
      <xdr:col>19</xdr:col>
      <xdr:colOff>276224</xdr:colOff>
      <xdr:row>8</xdr:row>
      <xdr:rowOff>9525</xdr:rowOff>
    </xdr:from>
    <xdr:to>
      <xdr:col>19</xdr:col>
      <xdr:colOff>828675</xdr:colOff>
      <xdr:row>8</xdr:row>
      <xdr:rowOff>338138</xdr:rowOff>
    </xdr:to>
    <xdr:pic>
      <xdr:nvPicPr>
        <xdr:cNvPr id="23" name="Image 22">
          <a:extLst>
            <a:ext uri="{FF2B5EF4-FFF2-40B4-BE49-F238E27FC236}">
              <a16:creationId xmlns:a16="http://schemas.microsoft.com/office/drawing/2014/main" id="{F3A886F4-10AE-468F-92DD-C0504EC00A81}"/>
            </a:ext>
          </a:extLst>
        </xdr:cNvPr>
        <xdr:cNvPicPr>
          <a:picLocks noChangeAspect="1"/>
        </xdr:cNvPicPr>
      </xdr:nvPicPr>
      <xdr:blipFill>
        <a:blip xmlns:r="http://schemas.openxmlformats.org/officeDocument/2006/relationships" r:embed="rId2"/>
        <a:stretch>
          <a:fillRect/>
        </a:stretch>
      </xdr:blipFill>
      <xdr:spPr>
        <a:xfrm>
          <a:off x="58654949" y="2019300"/>
          <a:ext cx="552451" cy="328613"/>
        </a:xfrm>
        <a:prstGeom prst="rect">
          <a:avLst/>
        </a:prstGeom>
      </xdr:spPr>
    </xdr:pic>
    <xdr:clientData/>
  </xdr:twoCellAnchor>
  <xdr:twoCellAnchor editAs="oneCell">
    <xdr:from>
      <xdr:col>20</xdr:col>
      <xdr:colOff>276225</xdr:colOff>
      <xdr:row>8</xdr:row>
      <xdr:rowOff>66676</xdr:rowOff>
    </xdr:from>
    <xdr:to>
      <xdr:col>20</xdr:col>
      <xdr:colOff>695325</xdr:colOff>
      <xdr:row>8</xdr:row>
      <xdr:rowOff>356822</xdr:rowOff>
    </xdr:to>
    <xdr:pic>
      <xdr:nvPicPr>
        <xdr:cNvPr id="24" name="Image 23">
          <a:extLst>
            <a:ext uri="{FF2B5EF4-FFF2-40B4-BE49-F238E27FC236}">
              <a16:creationId xmlns:a16="http://schemas.microsoft.com/office/drawing/2014/main" id="{60E11712-6A32-4A19-BB6C-EABA2BA85C9B}"/>
            </a:ext>
          </a:extLst>
        </xdr:cNvPr>
        <xdr:cNvPicPr>
          <a:picLocks noChangeAspect="1"/>
        </xdr:cNvPicPr>
      </xdr:nvPicPr>
      <xdr:blipFill>
        <a:blip xmlns:r="http://schemas.openxmlformats.org/officeDocument/2006/relationships" r:embed="rId3"/>
        <a:stretch>
          <a:fillRect/>
        </a:stretch>
      </xdr:blipFill>
      <xdr:spPr>
        <a:xfrm>
          <a:off x="65303400" y="2076451"/>
          <a:ext cx="419100" cy="290146"/>
        </a:xfrm>
        <a:prstGeom prst="rect">
          <a:avLst/>
        </a:prstGeom>
      </xdr:spPr>
    </xdr:pic>
    <xdr:clientData/>
  </xdr:twoCellAnchor>
  <xdr:twoCellAnchor editAs="oneCell">
    <xdr:from>
      <xdr:col>25</xdr:col>
      <xdr:colOff>266700</xdr:colOff>
      <xdr:row>8</xdr:row>
      <xdr:rowOff>76201</xdr:rowOff>
    </xdr:from>
    <xdr:to>
      <xdr:col>25</xdr:col>
      <xdr:colOff>581025</xdr:colOff>
      <xdr:row>8</xdr:row>
      <xdr:rowOff>293811</xdr:rowOff>
    </xdr:to>
    <xdr:pic>
      <xdr:nvPicPr>
        <xdr:cNvPr id="25" name="Image 24">
          <a:extLst>
            <a:ext uri="{FF2B5EF4-FFF2-40B4-BE49-F238E27FC236}">
              <a16:creationId xmlns:a16="http://schemas.microsoft.com/office/drawing/2014/main" id="{32908990-FBAB-40D8-8C83-FEBCB54595F5}"/>
            </a:ext>
          </a:extLst>
        </xdr:cNvPr>
        <xdr:cNvPicPr>
          <a:picLocks noChangeAspect="1"/>
        </xdr:cNvPicPr>
      </xdr:nvPicPr>
      <xdr:blipFill>
        <a:blip xmlns:r="http://schemas.openxmlformats.org/officeDocument/2006/relationships" r:embed="rId3"/>
        <a:stretch>
          <a:fillRect/>
        </a:stretch>
      </xdr:blipFill>
      <xdr:spPr>
        <a:xfrm>
          <a:off x="77514450" y="2085976"/>
          <a:ext cx="314325" cy="217610"/>
        </a:xfrm>
        <a:prstGeom prst="rect">
          <a:avLst/>
        </a:prstGeom>
      </xdr:spPr>
    </xdr:pic>
    <xdr:clientData/>
  </xdr:twoCellAnchor>
  <xdr:twoCellAnchor editAs="oneCell">
    <xdr:from>
      <xdr:col>29</xdr:col>
      <xdr:colOff>1504950</xdr:colOff>
      <xdr:row>8</xdr:row>
      <xdr:rowOff>57150</xdr:rowOff>
    </xdr:from>
    <xdr:to>
      <xdr:col>29</xdr:col>
      <xdr:colOff>1871803</xdr:colOff>
      <xdr:row>8</xdr:row>
      <xdr:rowOff>314325</xdr:rowOff>
    </xdr:to>
    <xdr:pic>
      <xdr:nvPicPr>
        <xdr:cNvPr id="26" name="Image 25">
          <a:extLst>
            <a:ext uri="{FF2B5EF4-FFF2-40B4-BE49-F238E27FC236}">
              <a16:creationId xmlns:a16="http://schemas.microsoft.com/office/drawing/2014/main" id="{2917F632-CF2F-4B6D-A9F5-D00650037C56}"/>
            </a:ext>
          </a:extLst>
        </xdr:cNvPr>
        <xdr:cNvPicPr>
          <a:picLocks noChangeAspect="1"/>
        </xdr:cNvPicPr>
      </xdr:nvPicPr>
      <xdr:blipFill>
        <a:blip xmlns:r="http://schemas.openxmlformats.org/officeDocument/2006/relationships" r:embed="rId1"/>
        <a:stretch>
          <a:fillRect/>
        </a:stretch>
      </xdr:blipFill>
      <xdr:spPr>
        <a:xfrm>
          <a:off x="90944700" y="2066925"/>
          <a:ext cx="366853" cy="257175"/>
        </a:xfrm>
        <a:prstGeom prst="rect">
          <a:avLst/>
        </a:prstGeom>
      </xdr:spPr>
    </xdr:pic>
    <xdr:clientData/>
  </xdr:twoCellAnchor>
  <xdr:twoCellAnchor editAs="oneCell">
    <xdr:from>
      <xdr:col>12</xdr:col>
      <xdr:colOff>76200</xdr:colOff>
      <xdr:row>8</xdr:row>
      <xdr:rowOff>19051</xdr:rowOff>
    </xdr:from>
    <xdr:to>
      <xdr:col>12</xdr:col>
      <xdr:colOff>447675</xdr:colOff>
      <xdr:row>8</xdr:row>
      <xdr:rowOff>356565</xdr:rowOff>
    </xdr:to>
    <xdr:pic>
      <xdr:nvPicPr>
        <xdr:cNvPr id="27" name="Image 26">
          <a:extLst>
            <a:ext uri="{FF2B5EF4-FFF2-40B4-BE49-F238E27FC236}">
              <a16:creationId xmlns:a16="http://schemas.microsoft.com/office/drawing/2014/main" id="{C8099C22-F00C-4F03-A8E1-251E29A79908}"/>
            </a:ext>
          </a:extLst>
        </xdr:cNvPr>
        <xdr:cNvPicPr>
          <a:picLocks noChangeAspect="1"/>
        </xdr:cNvPicPr>
      </xdr:nvPicPr>
      <xdr:blipFill>
        <a:blip xmlns:r="http://schemas.openxmlformats.org/officeDocument/2006/relationships" r:embed="rId1"/>
        <a:stretch>
          <a:fillRect/>
        </a:stretch>
      </xdr:blipFill>
      <xdr:spPr>
        <a:xfrm>
          <a:off x="31556325" y="2028826"/>
          <a:ext cx="371475" cy="337514"/>
        </a:xfrm>
        <a:prstGeom prst="rect">
          <a:avLst/>
        </a:prstGeom>
      </xdr:spPr>
    </xdr:pic>
    <xdr:clientData/>
  </xdr:twoCellAnchor>
  <xdr:twoCellAnchor editAs="oneCell">
    <xdr:from>
      <xdr:col>13</xdr:col>
      <xdr:colOff>123825</xdr:colOff>
      <xdr:row>8</xdr:row>
      <xdr:rowOff>19050</xdr:rowOff>
    </xdr:from>
    <xdr:to>
      <xdr:col>13</xdr:col>
      <xdr:colOff>475517</xdr:colOff>
      <xdr:row>8</xdr:row>
      <xdr:rowOff>352425</xdr:rowOff>
    </xdr:to>
    <xdr:pic>
      <xdr:nvPicPr>
        <xdr:cNvPr id="28" name="Image 27">
          <a:extLst>
            <a:ext uri="{FF2B5EF4-FFF2-40B4-BE49-F238E27FC236}">
              <a16:creationId xmlns:a16="http://schemas.microsoft.com/office/drawing/2014/main" id="{12F9EC96-D6BF-4BD7-8773-ED9E87F6A67F}"/>
            </a:ext>
          </a:extLst>
        </xdr:cNvPr>
        <xdr:cNvPicPr>
          <a:picLocks noChangeAspect="1"/>
        </xdr:cNvPicPr>
      </xdr:nvPicPr>
      <xdr:blipFill>
        <a:blip xmlns:r="http://schemas.openxmlformats.org/officeDocument/2006/relationships" r:embed="rId2"/>
        <a:stretch>
          <a:fillRect/>
        </a:stretch>
      </xdr:blipFill>
      <xdr:spPr>
        <a:xfrm>
          <a:off x="36118800" y="2028825"/>
          <a:ext cx="351692" cy="333375"/>
        </a:xfrm>
        <a:prstGeom prst="rect">
          <a:avLst/>
        </a:prstGeom>
      </xdr:spPr>
    </xdr:pic>
    <xdr:clientData/>
  </xdr:twoCellAnchor>
  <xdr:twoCellAnchor editAs="oneCell">
    <xdr:from>
      <xdr:col>14</xdr:col>
      <xdr:colOff>104776</xdr:colOff>
      <xdr:row>8</xdr:row>
      <xdr:rowOff>38101</xdr:rowOff>
    </xdr:from>
    <xdr:to>
      <xdr:col>14</xdr:col>
      <xdr:colOff>419100</xdr:colOff>
      <xdr:row>8</xdr:row>
      <xdr:rowOff>327742</xdr:rowOff>
    </xdr:to>
    <xdr:pic>
      <xdr:nvPicPr>
        <xdr:cNvPr id="29" name="Image 28">
          <a:extLst>
            <a:ext uri="{FF2B5EF4-FFF2-40B4-BE49-F238E27FC236}">
              <a16:creationId xmlns:a16="http://schemas.microsoft.com/office/drawing/2014/main" id="{411C002F-E4D7-44C1-B25E-760643FB44B5}"/>
            </a:ext>
          </a:extLst>
        </xdr:cNvPr>
        <xdr:cNvPicPr>
          <a:picLocks noChangeAspect="1"/>
        </xdr:cNvPicPr>
      </xdr:nvPicPr>
      <xdr:blipFill>
        <a:blip xmlns:r="http://schemas.openxmlformats.org/officeDocument/2006/relationships" r:embed="rId3"/>
        <a:stretch>
          <a:fillRect/>
        </a:stretch>
      </xdr:blipFill>
      <xdr:spPr>
        <a:xfrm>
          <a:off x="40614601" y="2047876"/>
          <a:ext cx="314324" cy="289641"/>
        </a:xfrm>
        <a:prstGeom prst="rect">
          <a:avLst/>
        </a:prstGeom>
      </xdr:spPr>
    </xdr:pic>
    <xdr:clientData/>
  </xdr:twoCellAnchor>
  <xdr:twoCellAnchor editAs="oneCell">
    <xdr:from>
      <xdr:col>2</xdr:col>
      <xdr:colOff>723900</xdr:colOff>
      <xdr:row>8</xdr:row>
      <xdr:rowOff>19050</xdr:rowOff>
    </xdr:from>
    <xdr:to>
      <xdr:col>2</xdr:col>
      <xdr:colOff>1095375</xdr:colOff>
      <xdr:row>8</xdr:row>
      <xdr:rowOff>356564</xdr:rowOff>
    </xdr:to>
    <xdr:pic>
      <xdr:nvPicPr>
        <xdr:cNvPr id="30" name="Image 29">
          <a:extLst>
            <a:ext uri="{FF2B5EF4-FFF2-40B4-BE49-F238E27FC236}">
              <a16:creationId xmlns:a16="http://schemas.microsoft.com/office/drawing/2014/main" id="{3EFC7C12-9141-401C-9E4D-C2A5EF7A9F4C}"/>
            </a:ext>
          </a:extLst>
        </xdr:cNvPr>
        <xdr:cNvPicPr>
          <a:picLocks noChangeAspect="1"/>
        </xdr:cNvPicPr>
      </xdr:nvPicPr>
      <xdr:blipFill>
        <a:blip xmlns:r="http://schemas.openxmlformats.org/officeDocument/2006/relationships" r:embed="rId1"/>
        <a:stretch>
          <a:fillRect/>
        </a:stretch>
      </xdr:blipFill>
      <xdr:spPr>
        <a:xfrm>
          <a:off x="1800225" y="2028825"/>
          <a:ext cx="371475" cy="337514"/>
        </a:xfrm>
        <a:prstGeom prst="rect">
          <a:avLst/>
        </a:prstGeom>
      </xdr:spPr>
    </xdr:pic>
    <xdr:clientData/>
  </xdr:twoCellAnchor>
  <xdr:twoCellAnchor editAs="oneCell">
    <xdr:from>
      <xdr:col>3</xdr:col>
      <xdr:colOff>504825</xdr:colOff>
      <xdr:row>8</xdr:row>
      <xdr:rowOff>38100</xdr:rowOff>
    </xdr:from>
    <xdr:to>
      <xdr:col>3</xdr:col>
      <xdr:colOff>856517</xdr:colOff>
      <xdr:row>8</xdr:row>
      <xdr:rowOff>371475</xdr:rowOff>
    </xdr:to>
    <xdr:pic>
      <xdr:nvPicPr>
        <xdr:cNvPr id="31" name="Image 30">
          <a:extLst>
            <a:ext uri="{FF2B5EF4-FFF2-40B4-BE49-F238E27FC236}">
              <a16:creationId xmlns:a16="http://schemas.microsoft.com/office/drawing/2014/main" id="{0463321E-82EB-4D94-8C0C-A440F899AC78}"/>
            </a:ext>
          </a:extLst>
        </xdr:cNvPr>
        <xdr:cNvPicPr>
          <a:picLocks noChangeAspect="1"/>
        </xdr:cNvPicPr>
      </xdr:nvPicPr>
      <xdr:blipFill>
        <a:blip xmlns:r="http://schemas.openxmlformats.org/officeDocument/2006/relationships" r:embed="rId2"/>
        <a:stretch>
          <a:fillRect/>
        </a:stretch>
      </xdr:blipFill>
      <xdr:spPr>
        <a:xfrm>
          <a:off x="5619750" y="2047875"/>
          <a:ext cx="351692" cy="333375"/>
        </a:xfrm>
        <a:prstGeom prst="rect">
          <a:avLst/>
        </a:prstGeom>
      </xdr:spPr>
    </xdr:pic>
    <xdr:clientData/>
  </xdr:twoCellAnchor>
  <xdr:twoCellAnchor editAs="oneCell">
    <xdr:from>
      <xdr:col>4</xdr:col>
      <xdr:colOff>219075</xdr:colOff>
      <xdr:row>8</xdr:row>
      <xdr:rowOff>57150</xdr:rowOff>
    </xdr:from>
    <xdr:to>
      <xdr:col>4</xdr:col>
      <xdr:colOff>533399</xdr:colOff>
      <xdr:row>8</xdr:row>
      <xdr:rowOff>346791</xdr:rowOff>
    </xdr:to>
    <xdr:pic>
      <xdr:nvPicPr>
        <xdr:cNvPr id="32" name="Image 31">
          <a:extLst>
            <a:ext uri="{FF2B5EF4-FFF2-40B4-BE49-F238E27FC236}">
              <a16:creationId xmlns:a16="http://schemas.microsoft.com/office/drawing/2014/main" id="{CC4FF52D-53C9-4E8B-90BF-4AC6DEDBD585}"/>
            </a:ext>
          </a:extLst>
        </xdr:cNvPr>
        <xdr:cNvPicPr>
          <a:picLocks noChangeAspect="1"/>
        </xdr:cNvPicPr>
      </xdr:nvPicPr>
      <xdr:blipFill>
        <a:blip xmlns:r="http://schemas.openxmlformats.org/officeDocument/2006/relationships" r:embed="rId3"/>
        <a:stretch>
          <a:fillRect/>
        </a:stretch>
      </xdr:blipFill>
      <xdr:spPr>
        <a:xfrm>
          <a:off x="8715375" y="2066925"/>
          <a:ext cx="314324" cy="289641"/>
        </a:xfrm>
        <a:prstGeom prst="rect">
          <a:avLst/>
        </a:prstGeom>
      </xdr:spPr>
    </xdr:pic>
    <xdr:clientData/>
  </xdr:twoCellAnchor>
  <xdr:twoCellAnchor editAs="oneCell">
    <xdr:from>
      <xdr:col>7</xdr:col>
      <xdr:colOff>4219575</xdr:colOff>
      <xdr:row>11</xdr:row>
      <xdr:rowOff>38100</xdr:rowOff>
    </xdr:from>
    <xdr:to>
      <xdr:col>7</xdr:col>
      <xdr:colOff>4591050</xdr:colOff>
      <xdr:row>11</xdr:row>
      <xdr:rowOff>375614</xdr:rowOff>
    </xdr:to>
    <xdr:pic>
      <xdr:nvPicPr>
        <xdr:cNvPr id="33" name="Image 32">
          <a:extLst>
            <a:ext uri="{FF2B5EF4-FFF2-40B4-BE49-F238E27FC236}">
              <a16:creationId xmlns:a16="http://schemas.microsoft.com/office/drawing/2014/main" id="{6400561B-66C2-4E33-A407-DC0AE7536908}"/>
            </a:ext>
          </a:extLst>
        </xdr:cNvPr>
        <xdr:cNvPicPr>
          <a:picLocks noChangeAspect="1"/>
        </xdr:cNvPicPr>
      </xdr:nvPicPr>
      <xdr:blipFill>
        <a:blip xmlns:r="http://schemas.openxmlformats.org/officeDocument/2006/relationships" r:embed="rId1"/>
        <a:stretch>
          <a:fillRect/>
        </a:stretch>
      </xdr:blipFill>
      <xdr:spPr>
        <a:xfrm>
          <a:off x="17364075" y="3190875"/>
          <a:ext cx="371475" cy="337514"/>
        </a:xfrm>
        <a:prstGeom prst="rect">
          <a:avLst/>
        </a:prstGeom>
      </xdr:spPr>
    </xdr:pic>
    <xdr:clientData/>
  </xdr:twoCellAnchor>
  <xdr:twoCellAnchor editAs="oneCell">
    <xdr:from>
      <xdr:col>8</xdr:col>
      <xdr:colOff>2286000</xdr:colOff>
      <xdr:row>11</xdr:row>
      <xdr:rowOff>38100</xdr:rowOff>
    </xdr:from>
    <xdr:to>
      <xdr:col>8</xdr:col>
      <xdr:colOff>2637692</xdr:colOff>
      <xdr:row>11</xdr:row>
      <xdr:rowOff>371475</xdr:rowOff>
    </xdr:to>
    <xdr:pic>
      <xdr:nvPicPr>
        <xdr:cNvPr id="34" name="Image 33">
          <a:extLst>
            <a:ext uri="{FF2B5EF4-FFF2-40B4-BE49-F238E27FC236}">
              <a16:creationId xmlns:a16="http://schemas.microsoft.com/office/drawing/2014/main" id="{AD46D50D-671E-4BAB-B41B-2755603FE3AF}"/>
            </a:ext>
          </a:extLst>
        </xdr:cNvPr>
        <xdr:cNvPicPr>
          <a:picLocks noChangeAspect="1"/>
        </xdr:cNvPicPr>
      </xdr:nvPicPr>
      <xdr:blipFill>
        <a:blip xmlns:r="http://schemas.openxmlformats.org/officeDocument/2006/relationships" r:embed="rId2"/>
        <a:stretch>
          <a:fillRect/>
        </a:stretch>
      </xdr:blipFill>
      <xdr:spPr>
        <a:xfrm>
          <a:off x="22488525" y="3190875"/>
          <a:ext cx="351692" cy="333375"/>
        </a:xfrm>
        <a:prstGeom prst="rect">
          <a:avLst/>
        </a:prstGeom>
      </xdr:spPr>
    </xdr:pic>
    <xdr:clientData/>
  </xdr:twoCellAnchor>
  <xdr:twoCellAnchor editAs="oneCell">
    <xdr:from>
      <xdr:col>9</xdr:col>
      <xdr:colOff>3486150</xdr:colOff>
      <xdr:row>11</xdr:row>
      <xdr:rowOff>47625</xdr:rowOff>
    </xdr:from>
    <xdr:to>
      <xdr:col>9</xdr:col>
      <xdr:colOff>3800474</xdr:colOff>
      <xdr:row>11</xdr:row>
      <xdr:rowOff>337266</xdr:rowOff>
    </xdr:to>
    <xdr:pic>
      <xdr:nvPicPr>
        <xdr:cNvPr id="35" name="Image 34">
          <a:extLst>
            <a:ext uri="{FF2B5EF4-FFF2-40B4-BE49-F238E27FC236}">
              <a16:creationId xmlns:a16="http://schemas.microsoft.com/office/drawing/2014/main" id="{142DEDB6-71B9-4243-99B3-B7BCB028344E}"/>
            </a:ext>
          </a:extLst>
        </xdr:cNvPr>
        <xdr:cNvPicPr>
          <a:picLocks noChangeAspect="1"/>
        </xdr:cNvPicPr>
      </xdr:nvPicPr>
      <xdr:blipFill>
        <a:blip xmlns:r="http://schemas.openxmlformats.org/officeDocument/2006/relationships" r:embed="rId3"/>
        <a:stretch>
          <a:fillRect/>
        </a:stretch>
      </xdr:blipFill>
      <xdr:spPr>
        <a:xfrm>
          <a:off x="28108275" y="3200400"/>
          <a:ext cx="314324" cy="2896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323850</xdr:colOff>
      <xdr:row>145</xdr:row>
      <xdr:rowOff>0</xdr:rowOff>
    </xdr:from>
    <xdr:to>
      <xdr:col>14</xdr:col>
      <xdr:colOff>323850</xdr:colOff>
      <xdr:row>145</xdr:row>
      <xdr:rowOff>0</xdr:rowOff>
    </xdr:to>
    <xdr:sp macro="" textlink="">
      <xdr:nvSpPr>
        <xdr:cNvPr id="2" name="Line 7">
          <a:extLst>
            <a:ext uri="{FF2B5EF4-FFF2-40B4-BE49-F238E27FC236}">
              <a16:creationId xmlns:a16="http://schemas.microsoft.com/office/drawing/2014/main" id="{CE5833E2-79BF-4B69-8ED2-E0A856347DDE}"/>
            </a:ext>
          </a:extLst>
        </xdr:cNvPr>
        <xdr:cNvSpPr>
          <a:spLocks noChangeShapeType="1"/>
        </xdr:cNvSpPr>
      </xdr:nvSpPr>
      <xdr:spPr bwMode="auto">
        <a:xfrm>
          <a:off x="27546300" y="5420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121</xdr:row>
      <xdr:rowOff>0</xdr:rowOff>
    </xdr:from>
    <xdr:to>
      <xdr:col>14</xdr:col>
      <xdr:colOff>323850</xdr:colOff>
      <xdr:row>121</xdr:row>
      <xdr:rowOff>0</xdr:rowOff>
    </xdr:to>
    <xdr:sp macro="" textlink="">
      <xdr:nvSpPr>
        <xdr:cNvPr id="3" name="Line 7">
          <a:extLst>
            <a:ext uri="{FF2B5EF4-FFF2-40B4-BE49-F238E27FC236}">
              <a16:creationId xmlns:a16="http://schemas.microsoft.com/office/drawing/2014/main" id="{FBDF5F6C-58E9-499C-8D6D-C96E04DAB6A9}"/>
            </a:ext>
          </a:extLst>
        </xdr:cNvPr>
        <xdr:cNvSpPr>
          <a:spLocks noChangeShapeType="1"/>
        </xdr:cNvSpPr>
      </xdr:nvSpPr>
      <xdr:spPr bwMode="auto">
        <a:xfrm>
          <a:off x="27546300" y="450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183</xdr:row>
      <xdr:rowOff>0</xdr:rowOff>
    </xdr:from>
    <xdr:to>
      <xdr:col>14</xdr:col>
      <xdr:colOff>323850</xdr:colOff>
      <xdr:row>183</xdr:row>
      <xdr:rowOff>0</xdr:rowOff>
    </xdr:to>
    <xdr:sp macro="" textlink="">
      <xdr:nvSpPr>
        <xdr:cNvPr id="4" name="Line 7">
          <a:extLst>
            <a:ext uri="{FF2B5EF4-FFF2-40B4-BE49-F238E27FC236}">
              <a16:creationId xmlns:a16="http://schemas.microsoft.com/office/drawing/2014/main" id="{BBB8F9F3-3E8F-43E5-8EDE-5B161EA01F37}"/>
            </a:ext>
          </a:extLst>
        </xdr:cNvPr>
        <xdr:cNvSpPr>
          <a:spLocks noChangeShapeType="1"/>
        </xdr:cNvSpPr>
      </xdr:nvSpPr>
      <xdr:spPr bwMode="auto">
        <a:xfrm>
          <a:off x="27546300" y="6868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142</xdr:row>
      <xdr:rowOff>0</xdr:rowOff>
    </xdr:from>
    <xdr:to>
      <xdr:col>14</xdr:col>
      <xdr:colOff>323850</xdr:colOff>
      <xdr:row>142</xdr:row>
      <xdr:rowOff>0</xdr:rowOff>
    </xdr:to>
    <xdr:sp macro="" textlink="">
      <xdr:nvSpPr>
        <xdr:cNvPr id="5" name="Line 7">
          <a:extLst>
            <a:ext uri="{FF2B5EF4-FFF2-40B4-BE49-F238E27FC236}">
              <a16:creationId xmlns:a16="http://schemas.microsoft.com/office/drawing/2014/main" id="{5EF9BA13-C724-4B69-941A-CB4918A5E5A8}"/>
            </a:ext>
          </a:extLst>
        </xdr:cNvPr>
        <xdr:cNvSpPr>
          <a:spLocks noChangeShapeType="1"/>
        </xdr:cNvSpPr>
      </xdr:nvSpPr>
      <xdr:spPr bwMode="auto">
        <a:xfrm>
          <a:off x="27546300" y="5306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111</xdr:row>
      <xdr:rowOff>0</xdr:rowOff>
    </xdr:from>
    <xdr:to>
      <xdr:col>14</xdr:col>
      <xdr:colOff>323850</xdr:colOff>
      <xdr:row>111</xdr:row>
      <xdr:rowOff>0</xdr:rowOff>
    </xdr:to>
    <xdr:sp macro="" textlink="">
      <xdr:nvSpPr>
        <xdr:cNvPr id="6" name="Line 7">
          <a:extLst>
            <a:ext uri="{FF2B5EF4-FFF2-40B4-BE49-F238E27FC236}">
              <a16:creationId xmlns:a16="http://schemas.microsoft.com/office/drawing/2014/main" id="{7EC657EF-DB32-4344-BB7B-046794341DE8}"/>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144</xdr:row>
      <xdr:rowOff>0</xdr:rowOff>
    </xdr:from>
    <xdr:to>
      <xdr:col>14</xdr:col>
      <xdr:colOff>323850</xdr:colOff>
      <xdr:row>144</xdr:row>
      <xdr:rowOff>0</xdr:rowOff>
    </xdr:to>
    <xdr:sp macro="" textlink="">
      <xdr:nvSpPr>
        <xdr:cNvPr id="7" name="Line 7">
          <a:extLst>
            <a:ext uri="{FF2B5EF4-FFF2-40B4-BE49-F238E27FC236}">
              <a16:creationId xmlns:a16="http://schemas.microsoft.com/office/drawing/2014/main" id="{FA670FD1-59F9-402C-8C79-FAD565FC3FB0}"/>
            </a:ext>
          </a:extLst>
        </xdr:cNvPr>
        <xdr:cNvSpPr>
          <a:spLocks noChangeShapeType="1"/>
        </xdr:cNvSpPr>
      </xdr:nvSpPr>
      <xdr:spPr bwMode="auto">
        <a:xfrm>
          <a:off x="27546300" y="5382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120</xdr:row>
      <xdr:rowOff>0</xdr:rowOff>
    </xdr:from>
    <xdr:to>
      <xdr:col>14</xdr:col>
      <xdr:colOff>323850</xdr:colOff>
      <xdr:row>120</xdr:row>
      <xdr:rowOff>0</xdr:rowOff>
    </xdr:to>
    <xdr:sp macro="" textlink="">
      <xdr:nvSpPr>
        <xdr:cNvPr id="8" name="Line 7">
          <a:extLst>
            <a:ext uri="{FF2B5EF4-FFF2-40B4-BE49-F238E27FC236}">
              <a16:creationId xmlns:a16="http://schemas.microsoft.com/office/drawing/2014/main" id="{8937AE74-A13D-46A9-80A5-950940450D8D}"/>
            </a:ext>
          </a:extLst>
        </xdr:cNvPr>
        <xdr:cNvSpPr>
          <a:spLocks noChangeShapeType="1"/>
        </xdr:cNvSpPr>
      </xdr:nvSpPr>
      <xdr:spPr bwMode="auto">
        <a:xfrm>
          <a:off x="27546300" y="4468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182</xdr:row>
      <xdr:rowOff>0</xdr:rowOff>
    </xdr:from>
    <xdr:to>
      <xdr:col>14</xdr:col>
      <xdr:colOff>323850</xdr:colOff>
      <xdr:row>182</xdr:row>
      <xdr:rowOff>0</xdr:rowOff>
    </xdr:to>
    <xdr:sp macro="" textlink="">
      <xdr:nvSpPr>
        <xdr:cNvPr id="9" name="Line 7">
          <a:extLst>
            <a:ext uri="{FF2B5EF4-FFF2-40B4-BE49-F238E27FC236}">
              <a16:creationId xmlns:a16="http://schemas.microsoft.com/office/drawing/2014/main" id="{95F21B14-AED0-4C0B-8980-0FB9C25B509B}"/>
            </a:ext>
          </a:extLst>
        </xdr:cNvPr>
        <xdr:cNvSpPr>
          <a:spLocks noChangeShapeType="1"/>
        </xdr:cNvSpPr>
      </xdr:nvSpPr>
      <xdr:spPr bwMode="auto">
        <a:xfrm>
          <a:off x="27546300" y="6830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141</xdr:row>
      <xdr:rowOff>0</xdr:rowOff>
    </xdr:from>
    <xdr:to>
      <xdr:col>14</xdr:col>
      <xdr:colOff>323850</xdr:colOff>
      <xdr:row>141</xdr:row>
      <xdr:rowOff>0</xdr:rowOff>
    </xdr:to>
    <xdr:sp macro="" textlink="">
      <xdr:nvSpPr>
        <xdr:cNvPr id="10" name="Line 7">
          <a:extLst>
            <a:ext uri="{FF2B5EF4-FFF2-40B4-BE49-F238E27FC236}">
              <a16:creationId xmlns:a16="http://schemas.microsoft.com/office/drawing/2014/main" id="{414C4364-6195-4B4D-B54B-30A083C872F9}"/>
            </a:ext>
          </a:extLst>
        </xdr:cNvPr>
        <xdr:cNvSpPr>
          <a:spLocks noChangeShapeType="1"/>
        </xdr:cNvSpPr>
      </xdr:nvSpPr>
      <xdr:spPr bwMode="auto">
        <a:xfrm>
          <a:off x="27546300" y="5268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323850</xdr:colOff>
      <xdr:row>111</xdr:row>
      <xdr:rowOff>0</xdr:rowOff>
    </xdr:from>
    <xdr:to>
      <xdr:col>14</xdr:col>
      <xdr:colOff>323850</xdr:colOff>
      <xdr:row>111</xdr:row>
      <xdr:rowOff>0</xdr:rowOff>
    </xdr:to>
    <xdr:sp macro="" textlink="">
      <xdr:nvSpPr>
        <xdr:cNvPr id="11" name="Line 7">
          <a:extLst>
            <a:ext uri="{FF2B5EF4-FFF2-40B4-BE49-F238E27FC236}">
              <a16:creationId xmlns:a16="http://schemas.microsoft.com/office/drawing/2014/main" id="{7D1402B7-5A14-42F6-B614-C5AC80A56155}"/>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1533525</xdr:colOff>
      <xdr:row>6</xdr:row>
      <xdr:rowOff>57151</xdr:rowOff>
    </xdr:from>
    <xdr:to>
      <xdr:col>4</xdr:col>
      <xdr:colOff>2085976</xdr:colOff>
      <xdr:row>6</xdr:row>
      <xdr:rowOff>361951</xdr:rowOff>
    </xdr:to>
    <xdr:pic>
      <xdr:nvPicPr>
        <xdr:cNvPr id="12" name="Image 11">
          <a:extLst>
            <a:ext uri="{FF2B5EF4-FFF2-40B4-BE49-F238E27FC236}">
              <a16:creationId xmlns:a16="http://schemas.microsoft.com/office/drawing/2014/main" id="{F844F857-546E-4FA4-977D-776F20F810F5}"/>
            </a:ext>
          </a:extLst>
        </xdr:cNvPr>
        <xdr:cNvPicPr>
          <a:picLocks noChangeAspect="1"/>
        </xdr:cNvPicPr>
      </xdr:nvPicPr>
      <xdr:blipFill>
        <a:blip xmlns:r="http://schemas.openxmlformats.org/officeDocument/2006/relationships" r:embed="rId1"/>
        <a:stretch>
          <a:fillRect/>
        </a:stretch>
      </xdr:blipFill>
      <xdr:spPr>
        <a:xfrm>
          <a:off x="8924925" y="1304926"/>
          <a:ext cx="552451" cy="304800"/>
        </a:xfrm>
        <a:prstGeom prst="rect">
          <a:avLst/>
        </a:prstGeom>
      </xdr:spPr>
    </xdr:pic>
    <xdr:clientData/>
  </xdr:twoCellAnchor>
  <xdr:twoCellAnchor editAs="oneCell">
    <xdr:from>
      <xdr:col>6</xdr:col>
      <xdr:colOff>1000125</xdr:colOff>
      <xdr:row>6</xdr:row>
      <xdr:rowOff>95250</xdr:rowOff>
    </xdr:from>
    <xdr:to>
      <xdr:col>6</xdr:col>
      <xdr:colOff>1419225</xdr:colOff>
      <xdr:row>7</xdr:row>
      <xdr:rowOff>4396</xdr:rowOff>
    </xdr:to>
    <xdr:pic>
      <xdr:nvPicPr>
        <xdr:cNvPr id="13" name="Image 12">
          <a:extLst>
            <a:ext uri="{FF2B5EF4-FFF2-40B4-BE49-F238E27FC236}">
              <a16:creationId xmlns:a16="http://schemas.microsoft.com/office/drawing/2014/main" id="{84E6229B-6413-43E8-A9A4-6B9D0C9C143B}"/>
            </a:ext>
          </a:extLst>
        </xdr:cNvPr>
        <xdr:cNvPicPr>
          <a:picLocks noChangeAspect="1"/>
        </xdr:cNvPicPr>
      </xdr:nvPicPr>
      <xdr:blipFill>
        <a:blip xmlns:r="http://schemas.openxmlformats.org/officeDocument/2006/relationships" r:embed="rId2"/>
        <a:stretch>
          <a:fillRect/>
        </a:stretch>
      </xdr:blipFill>
      <xdr:spPr>
        <a:xfrm>
          <a:off x="14077950" y="1343025"/>
          <a:ext cx="419100" cy="290146"/>
        </a:xfrm>
        <a:prstGeom prst="rect">
          <a:avLst/>
        </a:prstGeom>
      </xdr:spPr>
    </xdr:pic>
    <xdr:clientData/>
  </xdr:twoCellAnchor>
  <xdr:twoCellAnchor editAs="oneCell">
    <xdr:from>
      <xdr:col>2</xdr:col>
      <xdr:colOff>971550</xdr:colOff>
      <xdr:row>6</xdr:row>
      <xdr:rowOff>47625</xdr:rowOff>
    </xdr:from>
    <xdr:to>
      <xdr:col>2</xdr:col>
      <xdr:colOff>1433513</xdr:colOff>
      <xdr:row>6</xdr:row>
      <xdr:rowOff>371475</xdr:rowOff>
    </xdr:to>
    <xdr:pic>
      <xdr:nvPicPr>
        <xdr:cNvPr id="14" name="Image 13">
          <a:extLst>
            <a:ext uri="{FF2B5EF4-FFF2-40B4-BE49-F238E27FC236}">
              <a16:creationId xmlns:a16="http://schemas.microsoft.com/office/drawing/2014/main" id="{C830385A-90D5-4708-A528-614E61CE3543}"/>
            </a:ext>
          </a:extLst>
        </xdr:cNvPr>
        <xdr:cNvPicPr>
          <a:picLocks noChangeAspect="1"/>
        </xdr:cNvPicPr>
      </xdr:nvPicPr>
      <xdr:blipFill>
        <a:blip xmlns:r="http://schemas.openxmlformats.org/officeDocument/2006/relationships" r:embed="rId3"/>
        <a:stretch>
          <a:fillRect/>
        </a:stretch>
      </xdr:blipFill>
      <xdr:spPr>
        <a:xfrm>
          <a:off x="2447925" y="1295400"/>
          <a:ext cx="461963" cy="323850"/>
        </a:xfrm>
        <a:prstGeom prst="rect">
          <a:avLst/>
        </a:prstGeom>
      </xdr:spPr>
    </xdr:pic>
    <xdr:clientData/>
  </xdr:twoCellAnchor>
  <xdr:twoCellAnchor editAs="oneCell">
    <xdr:from>
      <xdr:col>16</xdr:col>
      <xdr:colOff>1676400</xdr:colOff>
      <xdr:row>5</xdr:row>
      <xdr:rowOff>238125</xdr:rowOff>
    </xdr:from>
    <xdr:to>
      <xdr:col>17</xdr:col>
      <xdr:colOff>180976</xdr:colOff>
      <xdr:row>6</xdr:row>
      <xdr:rowOff>276225</xdr:rowOff>
    </xdr:to>
    <xdr:pic>
      <xdr:nvPicPr>
        <xdr:cNvPr id="15" name="Image 14">
          <a:extLst>
            <a:ext uri="{FF2B5EF4-FFF2-40B4-BE49-F238E27FC236}">
              <a16:creationId xmlns:a16="http://schemas.microsoft.com/office/drawing/2014/main" id="{DEAD0745-49EC-4643-A4F7-96A007ECE9A6}"/>
            </a:ext>
          </a:extLst>
        </xdr:cNvPr>
        <xdr:cNvPicPr>
          <a:picLocks noChangeAspect="1"/>
        </xdr:cNvPicPr>
      </xdr:nvPicPr>
      <xdr:blipFill>
        <a:blip xmlns:r="http://schemas.openxmlformats.org/officeDocument/2006/relationships" r:embed="rId1"/>
        <a:stretch>
          <a:fillRect/>
        </a:stretch>
      </xdr:blipFill>
      <xdr:spPr>
        <a:xfrm>
          <a:off x="33661350" y="1219200"/>
          <a:ext cx="552451" cy="304800"/>
        </a:xfrm>
        <a:prstGeom prst="rect">
          <a:avLst/>
        </a:prstGeom>
      </xdr:spPr>
    </xdr:pic>
    <xdr:clientData/>
  </xdr:twoCellAnchor>
  <xdr:twoCellAnchor editAs="oneCell">
    <xdr:from>
      <xdr:col>15</xdr:col>
      <xdr:colOff>647700</xdr:colOff>
      <xdr:row>6</xdr:row>
      <xdr:rowOff>66675</xdr:rowOff>
    </xdr:from>
    <xdr:to>
      <xdr:col>15</xdr:col>
      <xdr:colOff>1109663</xdr:colOff>
      <xdr:row>7</xdr:row>
      <xdr:rowOff>9525</xdr:rowOff>
    </xdr:to>
    <xdr:pic>
      <xdr:nvPicPr>
        <xdr:cNvPr id="16" name="Image 15">
          <a:extLst>
            <a:ext uri="{FF2B5EF4-FFF2-40B4-BE49-F238E27FC236}">
              <a16:creationId xmlns:a16="http://schemas.microsoft.com/office/drawing/2014/main" id="{C2D7BC23-1747-4D0C-BDD3-0B1BF5976D87}"/>
            </a:ext>
          </a:extLst>
        </xdr:cNvPr>
        <xdr:cNvPicPr>
          <a:picLocks noChangeAspect="1"/>
        </xdr:cNvPicPr>
      </xdr:nvPicPr>
      <xdr:blipFill>
        <a:blip xmlns:r="http://schemas.openxmlformats.org/officeDocument/2006/relationships" r:embed="rId3"/>
        <a:stretch>
          <a:fillRect/>
        </a:stretch>
      </xdr:blipFill>
      <xdr:spPr>
        <a:xfrm>
          <a:off x="29918025" y="1314450"/>
          <a:ext cx="461963" cy="323850"/>
        </a:xfrm>
        <a:prstGeom prst="rect">
          <a:avLst/>
        </a:prstGeom>
      </xdr:spPr>
    </xdr:pic>
    <xdr:clientData/>
  </xdr:twoCellAnchor>
  <xdr:twoCellAnchor editAs="oneCell">
    <xdr:from>
      <xdr:col>18</xdr:col>
      <xdr:colOff>1038225</xdr:colOff>
      <xdr:row>6</xdr:row>
      <xdr:rowOff>19050</xdr:rowOff>
    </xdr:from>
    <xdr:to>
      <xdr:col>18</xdr:col>
      <xdr:colOff>1457325</xdr:colOff>
      <xdr:row>6</xdr:row>
      <xdr:rowOff>309196</xdr:rowOff>
    </xdr:to>
    <xdr:pic>
      <xdr:nvPicPr>
        <xdr:cNvPr id="17" name="Image 16">
          <a:extLst>
            <a:ext uri="{FF2B5EF4-FFF2-40B4-BE49-F238E27FC236}">
              <a16:creationId xmlns:a16="http://schemas.microsoft.com/office/drawing/2014/main" id="{FD441E42-5D8A-4A9A-90B4-075D8D2278AC}"/>
            </a:ext>
          </a:extLst>
        </xdr:cNvPr>
        <xdr:cNvPicPr>
          <a:picLocks noChangeAspect="1"/>
        </xdr:cNvPicPr>
      </xdr:nvPicPr>
      <xdr:blipFill>
        <a:blip xmlns:r="http://schemas.openxmlformats.org/officeDocument/2006/relationships" r:embed="rId2"/>
        <a:stretch>
          <a:fillRect/>
        </a:stretch>
      </xdr:blipFill>
      <xdr:spPr>
        <a:xfrm>
          <a:off x="37785675" y="1266825"/>
          <a:ext cx="419100" cy="2901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5</xdr:col>
      <xdr:colOff>476250</xdr:colOff>
      <xdr:row>82</xdr:row>
      <xdr:rowOff>28575</xdr:rowOff>
    </xdr:from>
    <xdr:ext cx="2791215" cy="3553321"/>
    <xdr:pic>
      <xdr:nvPicPr>
        <xdr:cNvPr id="2" name="Image 1">
          <a:extLst>
            <a:ext uri="{FF2B5EF4-FFF2-40B4-BE49-F238E27FC236}">
              <a16:creationId xmlns:a16="http://schemas.microsoft.com/office/drawing/2014/main" id="{8F40EE05-0296-4705-A5F0-A8FEA6DBC52E}"/>
            </a:ext>
          </a:extLst>
        </xdr:cNvPr>
        <xdr:cNvPicPr>
          <a:picLocks noChangeAspect="1"/>
        </xdr:cNvPicPr>
      </xdr:nvPicPr>
      <xdr:blipFill>
        <a:blip xmlns:r="http://schemas.openxmlformats.org/officeDocument/2006/relationships" r:embed="rId1"/>
        <a:stretch>
          <a:fillRect/>
        </a:stretch>
      </xdr:blipFill>
      <xdr:spPr>
        <a:xfrm>
          <a:off x="8639175" y="16659225"/>
          <a:ext cx="2791215" cy="3553321"/>
        </a:xfrm>
        <a:prstGeom prst="rect">
          <a:avLst/>
        </a:prstGeom>
      </xdr:spPr>
    </xdr:pic>
    <xdr:clientData/>
  </xdr:oneCellAnchor>
  <xdr:oneCellAnchor>
    <xdr:from>
      <xdr:col>6</xdr:col>
      <xdr:colOff>2990850</xdr:colOff>
      <xdr:row>82</xdr:row>
      <xdr:rowOff>142875</xdr:rowOff>
    </xdr:from>
    <xdr:ext cx="2543530" cy="3057952"/>
    <xdr:pic>
      <xdr:nvPicPr>
        <xdr:cNvPr id="3" name="Image 2">
          <a:extLst>
            <a:ext uri="{FF2B5EF4-FFF2-40B4-BE49-F238E27FC236}">
              <a16:creationId xmlns:a16="http://schemas.microsoft.com/office/drawing/2014/main" id="{32D4CCDD-3257-44B4-9184-FE9259FEA199}"/>
            </a:ext>
          </a:extLst>
        </xdr:cNvPr>
        <xdr:cNvPicPr>
          <a:picLocks noChangeAspect="1"/>
        </xdr:cNvPicPr>
      </xdr:nvPicPr>
      <xdr:blipFill>
        <a:blip xmlns:r="http://schemas.openxmlformats.org/officeDocument/2006/relationships" r:embed="rId2"/>
        <a:stretch>
          <a:fillRect/>
        </a:stretch>
      </xdr:blipFill>
      <xdr:spPr>
        <a:xfrm>
          <a:off x="13687425" y="16773525"/>
          <a:ext cx="2543530" cy="3057952"/>
        </a:xfrm>
        <a:prstGeom prst="rect">
          <a:avLst/>
        </a:prstGeom>
      </xdr:spPr>
    </xdr:pic>
    <xdr:clientData/>
  </xdr:oneCellAnchor>
  <xdr:oneCellAnchor>
    <xdr:from>
      <xdr:col>5</xdr:col>
      <xdr:colOff>371475</xdr:colOff>
      <xdr:row>101</xdr:row>
      <xdr:rowOff>171450</xdr:rowOff>
    </xdr:from>
    <xdr:ext cx="2619741" cy="3458058"/>
    <xdr:pic>
      <xdr:nvPicPr>
        <xdr:cNvPr id="4" name="Image 3">
          <a:extLst>
            <a:ext uri="{FF2B5EF4-FFF2-40B4-BE49-F238E27FC236}">
              <a16:creationId xmlns:a16="http://schemas.microsoft.com/office/drawing/2014/main" id="{BC0C5322-9540-4377-9A87-2F670F52CF31}"/>
            </a:ext>
          </a:extLst>
        </xdr:cNvPr>
        <xdr:cNvPicPr>
          <a:picLocks noChangeAspect="1"/>
        </xdr:cNvPicPr>
      </xdr:nvPicPr>
      <xdr:blipFill>
        <a:blip xmlns:r="http://schemas.openxmlformats.org/officeDocument/2006/relationships" r:embed="rId3"/>
        <a:stretch>
          <a:fillRect/>
        </a:stretch>
      </xdr:blipFill>
      <xdr:spPr>
        <a:xfrm>
          <a:off x="8534400" y="20564475"/>
          <a:ext cx="2619741" cy="3458058"/>
        </a:xfrm>
        <a:prstGeom prst="rect">
          <a:avLst/>
        </a:prstGeom>
      </xdr:spPr>
    </xdr:pic>
    <xdr:clientData/>
  </xdr:oneCellAnchor>
  <xdr:oneCellAnchor>
    <xdr:from>
      <xdr:col>6</xdr:col>
      <xdr:colOff>2009775</xdr:colOff>
      <xdr:row>101</xdr:row>
      <xdr:rowOff>19050</xdr:rowOff>
    </xdr:from>
    <xdr:ext cx="3629532" cy="2953162"/>
    <xdr:pic>
      <xdr:nvPicPr>
        <xdr:cNvPr id="5" name="Image 4">
          <a:extLst>
            <a:ext uri="{FF2B5EF4-FFF2-40B4-BE49-F238E27FC236}">
              <a16:creationId xmlns:a16="http://schemas.microsoft.com/office/drawing/2014/main" id="{2785C505-7D1A-4C9F-BC24-0AF6271C08B6}"/>
            </a:ext>
          </a:extLst>
        </xdr:cNvPr>
        <xdr:cNvPicPr>
          <a:picLocks noChangeAspect="1"/>
        </xdr:cNvPicPr>
      </xdr:nvPicPr>
      <xdr:blipFill>
        <a:blip xmlns:r="http://schemas.openxmlformats.org/officeDocument/2006/relationships" r:embed="rId4"/>
        <a:stretch>
          <a:fillRect/>
        </a:stretch>
      </xdr:blipFill>
      <xdr:spPr>
        <a:xfrm>
          <a:off x="12706350" y="20412075"/>
          <a:ext cx="3629532" cy="2953162"/>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9</xdr:col>
      <xdr:colOff>304800</xdr:colOff>
      <xdr:row>59</xdr:row>
      <xdr:rowOff>66675</xdr:rowOff>
    </xdr:from>
    <xdr:ext cx="2448267" cy="2676899"/>
    <xdr:pic>
      <xdr:nvPicPr>
        <xdr:cNvPr id="2" name="Image 1">
          <a:extLst>
            <a:ext uri="{FF2B5EF4-FFF2-40B4-BE49-F238E27FC236}">
              <a16:creationId xmlns:a16="http://schemas.microsoft.com/office/drawing/2014/main" id="{0CE3D8E8-750A-4771-9484-BF90339CC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950" y="16087725"/>
          <a:ext cx="2448267" cy="2676899"/>
        </a:xfrm>
        <a:prstGeom prst="rect">
          <a:avLst/>
        </a:prstGeom>
      </xdr:spPr>
    </xdr:pic>
    <xdr:clientData/>
  </xdr:oneCellAnchor>
  <xdr:oneCellAnchor>
    <xdr:from>
      <xdr:col>12</xdr:col>
      <xdr:colOff>276225</xdr:colOff>
      <xdr:row>60</xdr:row>
      <xdr:rowOff>104775</xdr:rowOff>
    </xdr:from>
    <xdr:ext cx="2600688" cy="1686160"/>
    <xdr:pic>
      <xdr:nvPicPr>
        <xdr:cNvPr id="3" name="Image 2">
          <a:extLst>
            <a:ext uri="{FF2B5EF4-FFF2-40B4-BE49-F238E27FC236}">
              <a16:creationId xmlns:a16="http://schemas.microsoft.com/office/drawing/2014/main" id="{AF120C60-6A99-477A-9F20-AE9BA7243A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39375" y="16392525"/>
          <a:ext cx="2600688" cy="168616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66675</xdr:colOff>
      <xdr:row>145</xdr:row>
      <xdr:rowOff>47625</xdr:rowOff>
    </xdr:from>
    <xdr:ext cx="3362325" cy="1562100"/>
    <xdr:pic>
      <xdr:nvPicPr>
        <xdr:cNvPr id="2" name="Image 1" descr="Résultats de pourcentage dans la colonne D">
          <a:extLst>
            <a:ext uri="{FF2B5EF4-FFF2-40B4-BE49-F238E27FC236}">
              <a16:creationId xmlns:a16="http://schemas.microsoft.com/office/drawing/2014/main" id="{8EABAFDD-033B-4DA8-A82B-9E26CBF7F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0" y="328707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123825</xdr:rowOff>
    </xdr:from>
    <xdr:ext cx="8316486" cy="1876687"/>
    <xdr:pic>
      <xdr:nvPicPr>
        <xdr:cNvPr id="3" name="Image 2">
          <a:extLst>
            <a:ext uri="{FF2B5EF4-FFF2-40B4-BE49-F238E27FC236}">
              <a16:creationId xmlns:a16="http://schemas.microsoft.com/office/drawing/2014/main" id="{36247D67-CFEA-46B7-BC1A-B9CEB7412B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18916650"/>
          <a:ext cx="8316486" cy="187668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4</xdr:col>
      <xdr:colOff>228599</xdr:colOff>
      <xdr:row>88</xdr:row>
      <xdr:rowOff>9525</xdr:rowOff>
    </xdr:from>
    <xdr:to>
      <xdr:col>4</xdr:col>
      <xdr:colOff>636737</xdr:colOff>
      <xdr:row>89</xdr:row>
      <xdr:rowOff>150963</xdr:rowOff>
    </xdr:to>
    <xdr:pic>
      <xdr:nvPicPr>
        <xdr:cNvPr id="2" name="Image 1" descr="Google (Android 12L)">
          <a:extLst>
            <a:ext uri="{FF2B5EF4-FFF2-40B4-BE49-F238E27FC236}">
              <a16:creationId xmlns:a16="http://schemas.microsoft.com/office/drawing/2014/main" id="{FC8C8F11-B043-4FD4-9C88-59D528902A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589847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88</xdr:row>
      <xdr:rowOff>0</xdr:rowOff>
    </xdr:from>
    <xdr:to>
      <xdr:col>5</xdr:col>
      <xdr:colOff>447675</xdr:colOff>
      <xdr:row>89</xdr:row>
      <xdr:rowOff>38100</xdr:rowOff>
    </xdr:to>
    <xdr:pic>
      <xdr:nvPicPr>
        <xdr:cNvPr id="3" name="Image 2" descr="🔗 Lien">
          <a:extLst>
            <a:ext uri="{FF2B5EF4-FFF2-40B4-BE49-F238E27FC236}">
              <a16:creationId xmlns:a16="http://schemas.microsoft.com/office/drawing/2014/main" id="{3E2B1D1B-E6B0-429F-9851-4D199031E3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58889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88</xdr:row>
      <xdr:rowOff>1</xdr:rowOff>
    </xdr:from>
    <xdr:to>
      <xdr:col>6</xdr:col>
      <xdr:colOff>333375</xdr:colOff>
      <xdr:row>89</xdr:row>
      <xdr:rowOff>104417</xdr:rowOff>
    </xdr:to>
    <xdr:pic>
      <xdr:nvPicPr>
        <xdr:cNvPr id="4" name="Image 3">
          <a:extLst>
            <a:ext uri="{FF2B5EF4-FFF2-40B4-BE49-F238E27FC236}">
              <a16:creationId xmlns:a16="http://schemas.microsoft.com/office/drawing/2014/main" id="{F78D40F5-507E-4986-851B-534AEF405C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5888951"/>
          <a:ext cx="333375" cy="371116"/>
        </a:xfrm>
        <a:prstGeom prst="rect">
          <a:avLst/>
        </a:prstGeom>
      </xdr:spPr>
    </xdr:pic>
    <xdr:clientData/>
  </xdr:twoCellAnchor>
  <xdr:oneCellAnchor>
    <xdr:from>
      <xdr:col>9</xdr:col>
      <xdr:colOff>0</xdr:colOff>
      <xdr:row>42</xdr:row>
      <xdr:rowOff>0</xdr:rowOff>
    </xdr:from>
    <xdr:ext cx="1438476" cy="781159"/>
    <xdr:pic>
      <xdr:nvPicPr>
        <xdr:cNvPr id="5" name="Image 4">
          <a:extLst>
            <a:ext uri="{FF2B5EF4-FFF2-40B4-BE49-F238E27FC236}">
              <a16:creationId xmlns:a16="http://schemas.microsoft.com/office/drawing/2014/main" id="{6E7A7471-F51B-4501-963A-F853A8C0394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3620750"/>
          <a:ext cx="1438476" cy="781159"/>
        </a:xfrm>
        <a:prstGeom prst="rect">
          <a:avLst/>
        </a:prstGeom>
      </xdr:spPr>
    </xdr:pic>
    <xdr:clientData/>
  </xdr:oneCellAnchor>
  <xdr:oneCellAnchor>
    <xdr:from>
      <xdr:col>9</xdr:col>
      <xdr:colOff>0</xdr:colOff>
      <xdr:row>47</xdr:row>
      <xdr:rowOff>0</xdr:rowOff>
    </xdr:from>
    <xdr:ext cx="3639058" cy="2133898"/>
    <xdr:pic>
      <xdr:nvPicPr>
        <xdr:cNvPr id="6" name="Image 5">
          <a:extLst>
            <a:ext uri="{FF2B5EF4-FFF2-40B4-BE49-F238E27FC236}">
              <a16:creationId xmlns:a16="http://schemas.microsoft.com/office/drawing/2014/main" id="{27523574-EE42-4DCE-8FF0-4849D8B368E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4954250"/>
          <a:ext cx="3639058" cy="2133898"/>
        </a:xfrm>
        <a:prstGeom prst="rect">
          <a:avLst/>
        </a:prstGeom>
      </xdr:spPr>
    </xdr:pic>
    <xdr:clientData/>
  </xdr:oneCellAnchor>
  <xdr:twoCellAnchor editAs="oneCell">
    <xdr:from>
      <xdr:col>9</xdr:col>
      <xdr:colOff>844550</xdr:colOff>
      <xdr:row>4</xdr:row>
      <xdr:rowOff>22225</xdr:rowOff>
    </xdr:from>
    <xdr:to>
      <xdr:col>10</xdr:col>
      <xdr:colOff>392953</xdr:colOff>
      <xdr:row>5</xdr:row>
      <xdr:rowOff>323850</xdr:rowOff>
    </xdr:to>
    <xdr:pic>
      <xdr:nvPicPr>
        <xdr:cNvPr id="7" name="Image 6">
          <a:extLst>
            <a:ext uri="{FF2B5EF4-FFF2-40B4-BE49-F238E27FC236}">
              <a16:creationId xmlns:a16="http://schemas.microsoft.com/office/drawing/2014/main" id="{0545DC0A-426C-4EBC-A0C9-0E756F4FC12F}"/>
            </a:ext>
          </a:extLst>
        </xdr:cNvPr>
        <xdr:cNvPicPr>
          <a:picLocks noChangeAspect="1"/>
        </xdr:cNvPicPr>
      </xdr:nvPicPr>
      <xdr:blipFill>
        <a:blip xmlns:r="http://schemas.openxmlformats.org/officeDocument/2006/relationships" r:embed="rId6"/>
        <a:stretch>
          <a:fillRect/>
        </a:stretch>
      </xdr:blipFill>
      <xdr:spPr>
        <a:xfrm>
          <a:off x="8312150" y="879475"/>
          <a:ext cx="815228" cy="568325"/>
        </a:xfrm>
        <a:prstGeom prst="rect">
          <a:avLst/>
        </a:prstGeom>
      </xdr:spPr>
    </xdr:pic>
    <xdr:clientData/>
  </xdr:twoCellAnchor>
  <xdr:twoCellAnchor editAs="oneCell">
    <xdr:from>
      <xdr:col>24</xdr:col>
      <xdr:colOff>73025</xdr:colOff>
      <xdr:row>4</xdr:row>
      <xdr:rowOff>165100</xdr:rowOff>
    </xdr:from>
    <xdr:to>
      <xdr:col>25</xdr:col>
      <xdr:colOff>3588</xdr:colOff>
      <xdr:row>6</xdr:row>
      <xdr:rowOff>127000</xdr:rowOff>
    </xdr:to>
    <xdr:pic>
      <xdr:nvPicPr>
        <xdr:cNvPr id="8" name="Image 7">
          <a:extLst>
            <a:ext uri="{FF2B5EF4-FFF2-40B4-BE49-F238E27FC236}">
              <a16:creationId xmlns:a16="http://schemas.microsoft.com/office/drawing/2014/main" id="{7EB7366F-127E-4CE2-AEA5-45EA3071A30E}"/>
            </a:ext>
          </a:extLst>
        </xdr:cNvPr>
        <xdr:cNvPicPr>
          <a:picLocks noChangeAspect="1"/>
        </xdr:cNvPicPr>
      </xdr:nvPicPr>
      <xdr:blipFill>
        <a:blip xmlns:r="http://schemas.openxmlformats.org/officeDocument/2006/relationships" r:embed="rId7"/>
        <a:stretch>
          <a:fillRect/>
        </a:stretch>
      </xdr:blipFill>
      <xdr:spPr>
        <a:xfrm>
          <a:off x="22685375" y="1022350"/>
          <a:ext cx="844963" cy="609600"/>
        </a:xfrm>
        <a:prstGeom prst="rect">
          <a:avLst/>
        </a:prstGeom>
      </xdr:spPr>
    </xdr:pic>
    <xdr:clientData/>
  </xdr:twoCellAnchor>
  <xdr:twoCellAnchor editAs="oneCell">
    <xdr:from>
      <xdr:col>40</xdr:col>
      <xdr:colOff>593725</xdr:colOff>
      <xdr:row>5</xdr:row>
      <xdr:rowOff>82550</xdr:rowOff>
    </xdr:from>
    <xdr:to>
      <xdr:col>41</xdr:col>
      <xdr:colOff>546221</xdr:colOff>
      <xdr:row>6</xdr:row>
      <xdr:rowOff>298534</xdr:rowOff>
    </xdr:to>
    <xdr:pic>
      <xdr:nvPicPr>
        <xdr:cNvPr id="9" name="Image 8">
          <a:extLst>
            <a:ext uri="{FF2B5EF4-FFF2-40B4-BE49-F238E27FC236}">
              <a16:creationId xmlns:a16="http://schemas.microsoft.com/office/drawing/2014/main" id="{6782CDED-0D72-41BF-A8B9-4D9B290A473E}"/>
            </a:ext>
          </a:extLst>
        </xdr:cNvPr>
        <xdr:cNvPicPr>
          <a:picLocks noChangeAspect="1"/>
        </xdr:cNvPicPr>
      </xdr:nvPicPr>
      <xdr:blipFill>
        <a:blip xmlns:r="http://schemas.openxmlformats.org/officeDocument/2006/relationships" r:embed="rId8"/>
        <a:stretch>
          <a:fillRect/>
        </a:stretch>
      </xdr:blipFill>
      <xdr:spPr>
        <a:xfrm>
          <a:off x="40151050" y="1206500"/>
          <a:ext cx="866896" cy="5969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33</xdr:col>
      <xdr:colOff>355600</xdr:colOff>
      <xdr:row>280</xdr:row>
      <xdr:rowOff>317500</xdr:rowOff>
    </xdr:from>
    <xdr:ext cx="1781299" cy="1686185"/>
    <xdr:pic>
      <xdr:nvPicPr>
        <xdr:cNvPr id="2" name="Picture 1">
          <a:extLst>
            <a:ext uri="{FF2B5EF4-FFF2-40B4-BE49-F238E27FC236}">
              <a16:creationId xmlns:a16="http://schemas.microsoft.com/office/drawing/2014/main" id="{04FD77D8-B58B-435D-986A-5BCD32A1DE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12102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267</xdr:row>
      <xdr:rowOff>469900</xdr:rowOff>
    </xdr:from>
    <xdr:ext cx="558799" cy="562381"/>
    <xdr:pic>
      <xdr:nvPicPr>
        <xdr:cNvPr id="3" name="Image 2">
          <a:extLst>
            <a:ext uri="{FF2B5EF4-FFF2-40B4-BE49-F238E27FC236}">
              <a16:creationId xmlns:a16="http://schemas.microsoft.com/office/drawing/2014/main" id="{AD011651-2533-45E6-8A7D-AEADB26562F5}"/>
            </a:ext>
          </a:extLst>
        </xdr:cNvPr>
        <xdr:cNvPicPr>
          <a:picLocks noChangeAspect="1"/>
        </xdr:cNvPicPr>
      </xdr:nvPicPr>
      <xdr:blipFill>
        <a:blip xmlns:r="http://schemas.openxmlformats.org/officeDocument/2006/relationships" r:embed="rId2"/>
        <a:stretch>
          <a:fillRect/>
        </a:stretch>
      </xdr:blipFill>
      <xdr:spPr>
        <a:xfrm>
          <a:off x="14951076" y="105568750"/>
          <a:ext cx="558799" cy="562381"/>
        </a:xfrm>
        <a:prstGeom prst="rect">
          <a:avLst/>
        </a:prstGeom>
        <a:solidFill>
          <a:srgbClr val="000000"/>
        </a:solidFill>
      </xdr:spPr>
    </xdr:pic>
    <xdr:clientData/>
  </xdr:oneCellAnchor>
  <xdr:oneCellAnchor>
    <xdr:from>
      <xdr:col>17</xdr:col>
      <xdr:colOff>215900</xdr:colOff>
      <xdr:row>267</xdr:row>
      <xdr:rowOff>457200</xdr:rowOff>
    </xdr:from>
    <xdr:ext cx="533400" cy="536755"/>
    <xdr:pic>
      <xdr:nvPicPr>
        <xdr:cNvPr id="4" name="Image 3">
          <a:extLst>
            <a:ext uri="{FF2B5EF4-FFF2-40B4-BE49-F238E27FC236}">
              <a16:creationId xmlns:a16="http://schemas.microsoft.com/office/drawing/2014/main" id="{5A3A1553-25D5-4C22-BACA-F613387F6E9E}"/>
            </a:ext>
          </a:extLst>
        </xdr:cNvPr>
        <xdr:cNvPicPr>
          <a:picLocks noChangeAspect="1"/>
        </xdr:cNvPicPr>
      </xdr:nvPicPr>
      <xdr:blipFill>
        <a:blip xmlns:r="http://schemas.openxmlformats.org/officeDocument/2006/relationships" r:embed="rId3"/>
        <a:stretch>
          <a:fillRect/>
        </a:stretch>
      </xdr:blipFill>
      <xdr:spPr>
        <a:xfrm>
          <a:off x="16122650" y="105556050"/>
          <a:ext cx="533400" cy="536755"/>
        </a:xfrm>
        <a:prstGeom prst="rect">
          <a:avLst/>
        </a:prstGeom>
      </xdr:spPr>
    </xdr:pic>
    <xdr:clientData/>
  </xdr:oneCellAnchor>
  <xdr:oneCellAnchor>
    <xdr:from>
      <xdr:col>18</xdr:col>
      <xdr:colOff>381001</xdr:colOff>
      <xdr:row>267</xdr:row>
      <xdr:rowOff>431801</xdr:rowOff>
    </xdr:from>
    <xdr:ext cx="584200" cy="556214"/>
    <xdr:pic>
      <xdr:nvPicPr>
        <xdr:cNvPr id="5" name="Image 4">
          <a:extLst>
            <a:ext uri="{FF2B5EF4-FFF2-40B4-BE49-F238E27FC236}">
              <a16:creationId xmlns:a16="http://schemas.microsoft.com/office/drawing/2014/main" id="{A420001A-FB18-4956-92DA-5693DC37B2B7}"/>
            </a:ext>
          </a:extLst>
        </xdr:cNvPr>
        <xdr:cNvPicPr>
          <a:picLocks noChangeAspect="1"/>
        </xdr:cNvPicPr>
      </xdr:nvPicPr>
      <xdr:blipFill>
        <a:blip xmlns:r="http://schemas.openxmlformats.org/officeDocument/2006/relationships" r:embed="rId4"/>
        <a:stretch>
          <a:fillRect/>
        </a:stretch>
      </xdr:blipFill>
      <xdr:spPr>
        <a:xfrm>
          <a:off x="17049751" y="105530651"/>
          <a:ext cx="584200" cy="556214"/>
        </a:xfrm>
        <a:prstGeom prst="rect">
          <a:avLst/>
        </a:prstGeom>
      </xdr:spPr>
    </xdr:pic>
    <xdr:clientData/>
  </xdr:oneCellAnchor>
  <xdr:oneCellAnchor>
    <xdr:from>
      <xdr:col>19</xdr:col>
      <xdr:colOff>622301</xdr:colOff>
      <xdr:row>267</xdr:row>
      <xdr:rowOff>457200</xdr:rowOff>
    </xdr:from>
    <xdr:ext cx="647700" cy="505624"/>
    <xdr:pic>
      <xdr:nvPicPr>
        <xdr:cNvPr id="6" name="Image 5">
          <a:extLst>
            <a:ext uri="{FF2B5EF4-FFF2-40B4-BE49-F238E27FC236}">
              <a16:creationId xmlns:a16="http://schemas.microsoft.com/office/drawing/2014/main" id="{B394626D-FFF6-4C76-AD68-4C5ACE7815BF}"/>
            </a:ext>
          </a:extLst>
        </xdr:cNvPr>
        <xdr:cNvPicPr>
          <a:picLocks noChangeAspect="1"/>
        </xdr:cNvPicPr>
      </xdr:nvPicPr>
      <xdr:blipFill>
        <a:blip xmlns:r="http://schemas.openxmlformats.org/officeDocument/2006/relationships" r:embed="rId5"/>
        <a:stretch>
          <a:fillRect/>
        </a:stretch>
      </xdr:blipFill>
      <xdr:spPr>
        <a:xfrm>
          <a:off x="18053051" y="105556050"/>
          <a:ext cx="647700" cy="505624"/>
        </a:xfrm>
        <a:prstGeom prst="rect">
          <a:avLst/>
        </a:prstGeom>
      </xdr:spPr>
    </xdr:pic>
    <xdr:clientData/>
  </xdr:oneCellAnchor>
  <xdr:oneCellAnchor>
    <xdr:from>
      <xdr:col>21</xdr:col>
      <xdr:colOff>127000</xdr:colOff>
      <xdr:row>267</xdr:row>
      <xdr:rowOff>431800</xdr:rowOff>
    </xdr:from>
    <xdr:ext cx="518583" cy="533400"/>
    <xdr:pic>
      <xdr:nvPicPr>
        <xdr:cNvPr id="7" name="Image 6">
          <a:extLst>
            <a:ext uri="{FF2B5EF4-FFF2-40B4-BE49-F238E27FC236}">
              <a16:creationId xmlns:a16="http://schemas.microsoft.com/office/drawing/2014/main" id="{D1DFDE4F-3945-4A01-BBF8-416C3F7525FB}"/>
            </a:ext>
          </a:extLst>
        </xdr:cNvPr>
        <xdr:cNvPicPr>
          <a:picLocks noChangeAspect="1"/>
        </xdr:cNvPicPr>
      </xdr:nvPicPr>
      <xdr:blipFill>
        <a:blip xmlns:r="http://schemas.openxmlformats.org/officeDocument/2006/relationships" r:embed="rId6"/>
        <a:stretch>
          <a:fillRect/>
        </a:stretch>
      </xdr:blipFill>
      <xdr:spPr>
        <a:xfrm>
          <a:off x="19119850" y="105530650"/>
          <a:ext cx="518583" cy="533400"/>
        </a:xfrm>
        <a:prstGeom prst="rect">
          <a:avLst/>
        </a:prstGeom>
      </xdr:spPr>
    </xdr:pic>
    <xdr:clientData/>
  </xdr:oneCellAnchor>
  <xdr:oneCellAnchor>
    <xdr:from>
      <xdr:col>21</xdr:col>
      <xdr:colOff>990600</xdr:colOff>
      <xdr:row>267</xdr:row>
      <xdr:rowOff>444500</xdr:rowOff>
    </xdr:from>
    <xdr:ext cx="508000" cy="508000"/>
    <xdr:pic>
      <xdr:nvPicPr>
        <xdr:cNvPr id="8" name="Image 7">
          <a:extLst>
            <a:ext uri="{FF2B5EF4-FFF2-40B4-BE49-F238E27FC236}">
              <a16:creationId xmlns:a16="http://schemas.microsoft.com/office/drawing/2014/main" id="{0095B397-1918-47B7-83D8-117E9E2EBBFD}"/>
            </a:ext>
          </a:extLst>
        </xdr:cNvPr>
        <xdr:cNvPicPr>
          <a:picLocks noChangeAspect="1"/>
        </xdr:cNvPicPr>
      </xdr:nvPicPr>
      <xdr:blipFill>
        <a:blip xmlns:r="http://schemas.openxmlformats.org/officeDocument/2006/relationships" r:embed="rId7"/>
        <a:stretch>
          <a:fillRect/>
        </a:stretch>
      </xdr:blipFill>
      <xdr:spPr>
        <a:xfrm>
          <a:off x="19983450" y="105543350"/>
          <a:ext cx="508000" cy="508000"/>
        </a:xfrm>
        <a:prstGeom prst="rect">
          <a:avLst/>
        </a:prstGeom>
      </xdr:spPr>
    </xdr:pic>
    <xdr:clientData/>
  </xdr:oneCellAnchor>
  <xdr:oneCellAnchor>
    <xdr:from>
      <xdr:col>23</xdr:col>
      <xdr:colOff>558800</xdr:colOff>
      <xdr:row>267</xdr:row>
      <xdr:rowOff>469900</xdr:rowOff>
    </xdr:from>
    <xdr:ext cx="516579" cy="469900"/>
    <xdr:pic>
      <xdr:nvPicPr>
        <xdr:cNvPr id="9" name="Image 8">
          <a:extLst>
            <a:ext uri="{FF2B5EF4-FFF2-40B4-BE49-F238E27FC236}">
              <a16:creationId xmlns:a16="http://schemas.microsoft.com/office/drawing/2014/main" id="{5871861C-042A-43F0-A4F4-E91B1C7E39BE}"/>
            </a:ext>
          </a:extLst>
        </xdr:cNvPr>
        <xdr:cNvPicPr>
          <a:picLocks noChangeAspect="1"/>
        </xdr:cNvPicPr>
      </xdr:nvPicPr>
      <xdr:blipFill>
        <a:blip xmlns:r="http://schemas.openxmlformats.org/officeDocument/2006/relationships" r:embed="rId8"/>
        <a:stretch>
          <a:fillRect/>
        </a:stretch>
      </xdr:blipFill>
      <xdr:spPr>
        <a:xfrm>
          <a:off x="21828125" y="105568750"/>
          <a:ext cx="516579" cy="469900"/>
        </a:xfrm>
        <a:prstGeom prst="rect">
          <a:avLst/>
        </a:prstGeom>
      </xdr:spPr>
    </xdr:pic>
    <xdr:clientData/>
  </xdr:oneCellAnchor>
  <xdr:oneCellAnchor>
    <xdr:from>
      <xdr:col>22</xdr:col>
      <xdr:colOff>673100</xdr:colOff>
      <xdr:row>267</xdr:row>
      <xdr:rowOff>457200</xdr:rowOff>
    </xdr:from>
    <xdr:ext cx="495299" cy="495299"/>
    <xdr:pic>
      <xdr:nvPicPr>
        <xdr:cNvPr id="10" name="Image 9">
          <a:extLst>
            <a:ext uri="{FF2B5EF4-FFF2-40B4-BE49-F238E27FC236}">
              <a16:creationId xmlns:a16="http://schemas.microsoft.com/office/drawing/2014/main" id="{58ADBFE6-94B0-4AAB-9D88-D5558EE4DD86}"/>
            </a:ext>
          </a:extLst>
        </xdr:cNvPr>
        <xdr:cNvPicPr>
          <a:picLocks noChangeAspect="1"/>
        </xdr:cNvPicPr>
      </xdr:nvPicPr>
      <xdr:blipFill>
        <a:blip xmlns:r="http://schemas.openxmlformats.org/officeDocument/2006/relationships" r:embed="rId9"/>
        <a:stretch>
          <a:fillRect/>
        </a:stretch>
      </xdr:blipFill>
      <xdr:spPr>
        <a:xfrm>
          <a:off x="20875625" y="105556050"/>
          <a:ext cx="495299" cy="495299"/>
        </a:xfrm>
        <a:prstGeom prst="rect">
          <a:avLst/>
        </a:prstGeom>
      </xdr:spPr>
    </xdr:pic>
    <xdr:clientData/>
  </xdr:oneCellAnchor>
  <xdr:oneCellAnchor>
    <xdr:from>
      <xdr:col>4</xdr:col>
      <xdr:colOff>25400</xdr:colOff>
      <xdr:row>222</xdr:row>
      <xdr:rowOff>12700</xdr:rowOff>
    </xdr:from>
    <xdr:ext cx="2562583" cy="276253"/>
    <xdr:pic>
      <xdr:nvPicPr>
        <xdr:cNvPr id="15" name="Image 14">
          <a:extLst>
            <a:ext uri="{FF2B5EF4-FFF2-40B4-BE49-F238E27FC236}">
              <a16:creationId xmlns:a16="http://schemas.microsoft.com/office/drawing/2014/main" id="{F9D4CBEC-90EA-424E-BE50-806B418AD2F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06900" y="84004150"/>
          <a:ext cx="2562583" cy="276253"/>
        </a:xfrm>
        <a:prstGeom prst="rect">
          <a:avLst/>
        </a:prstGeom>
      </xdr:spPr>
    </xdr:pic>
    <xdr:clientData/>
  </xdr:oneCellAnchor>
  <xdr:oneCellAnchor>
    <xdr:from>
      <xdr:col>4</xdr:col>
      <xdr:colOff>596900</xdr:colOff>
      <xdr:row>224</xdr:row>
      <xdr:rowOff>25399</xdr:rowOff>
    </xdr:from>
    <xdr:ext cx="2235200" cy="1197925"/>
    <xdr:pic>
      <xdr:nvPicPr>
        <xdr:cNvPr id="16" name="Image 15">
          <a:extLst>
            <a:ext uri="{FF2B5EF4-FFF2-40B4-BE49-F238E27FC236}">
              <a16:creationId xmlns:a16="http://schemas.microsoft.com/office/drawing/2014/main" id="{81281F8A-0ECC-4CE2-B27D-3BE970EC1B0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84778849"/>
          <a:ext cx="2235200" cy="1197925"/>
        </a:xfrm>
        <a:prstGeom prst="rect">
          <a:avLst/>
        </a:prstGeom>
      </xdr:spPr>
    </xdr:pic>
    <xdr:clientData/>
  </xdr:oneCellAnchor>
  <xdr:oneCellAnchor>
    <xdr:from>
      <xdr:col>16</xdr:col>
      <xdr:colOff>85725</xdr:colOff>
      <xdr:row>222</xdr:row>
      <xdr:rowOff>238125</xdr:rowOff>
    </xdr:from>
    <xdr:ext cx="5105400" cy="2000250"/>
    <xdr:pic>
      <xdr:nvPicPr>
        <xdr:cNvPr id="17" name="Image 16">
          <a:extLst>
            <a:ext uri="{FF2B5EF4-FFF2-40B4-BE49-F238E27FC236}">
              <a16:creationId xmlns:a16="http://schemas.microsoft.com/office/drawing/2014/main" id="{AD0E039A-7DCE-4A4F-9455-371B49C3E385}"/>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230475" y="84229575"/>
          <a:ext cx="5105400" cy="2000250"/>
        </a:xfrm>
        <a:prstGeom prst="rect">
          <a:avLst/>
        </a:prstGeom>
      </xdr:spPr>
    </xdr:pic>
    <xdr:clientData/>
  </xdr:oneCellAnchor>
  <xdr:twoCellAnchor editAs="oneCell">
    <xdr:from>
      <xdr:col>18</xdr:col>
      <xdr:colOff>174625</xdr:colOff>
      <xdr:row>9</xdr:row>
      <xdr:rowOff>209550</xdr:rowOff>
    </xdr:from>
    <xdr:to>
      <xdr:col>20</xdr:col>
      <xdr:colOff>161925</xdr:colOff>
      <xdr:row>12</xdr:row>
      <xdr:rowOff>143824</xdr:rowOff>
    </xdr:to>
    <xdr:pic>
      <xdr:nvPicPr>
        <xdr:cNvPr id="18" name="Image 17">
          <a:extLst>
            <a:ext uri="{FF2B5EF4-FFF2-40B4-BE49-F238E27FC236}">
              <a16:creationId xmlns:a16="http://schemas.microsoft.com/office/drawing/2014/main" id="{1FEBBCF7-0A98-4AD6-9C08-A0301B529023}"/>
            </a:ext>
          </a:extLst>
        </xdr:cNvPr>
        <xdr:cNvPicPr>
          <a:picLocks noChangeAspect="1"/>
        </xdr:cNvPicPr>
      </xdr:nvPicPr>
      <xdr:blipFill>
        <a:blip xmlns:r="http://schemas.openxmlformats.org/officeDocument/2006/relationships" r:embed="rId13"/>
        <a:stretch>
          <a:fillRect/>
        </a:stretch>
      </xdr:blipFill>
      <xdr:spPr>
        <a:xfrm>
          <a:off x="17929225" y="3257550"/>
          <a:ext cx="1536700" cy="1077274"/>
        </a:xfrm>
        <a:prstGeom prst="rect">
          <a:avLst/>
        </a:prstGeom>
      </xdr:spPr>
    </xdr:pic>
    <xdr:clientData/>
  </xdr:twoCellAnchor>
  <xdr:oneCellAnchor>
    <xdr:from>
      <xdr:col>5</xdr:col>
      <xdr:colOff>476250</xdr:colOff>
      <xdr:row>88</xdr:row>
      <xdr:rowOff>0</xdr:rowOff>
    </xdr:from>
    <xdr:ext cx="2289175" cy="1058870"/>
    <xdr:pic>
      <xdr:nvPicPr>
        <xdr:cNvPr id="11" name="Image 10">
          <a:extLst>
            <a:ext uri="{FF2B5EF4-FFF2-40B4-BE49-F238E27FC236}">
              <a16:creationId xmlns:a16="http://schemas.microsoft.com/office/drawing/2014/main" id="{426571B6-BB29-412C-8C33-5D07FD4E6B70}"/>
            </a:ext>
          </a:extLst>
        </xdr:cNvPr>
        <xdr:cNvPicPr>
          <a:picLocks noChangeAspect="1"/>
        </xdr:cNvPicPr>
      </xdr:nvPicPr>
      <xdr:blipFill>
        <a:blip xmlns:r="http://schemas.openxmlformats.org/officeDocument/2006/relationships" r:embed="rId14"/>
        <a:stretch>
          <a:fillRect/>
        </a:stretch>
      </xdr:blipFill>
      <xdr:spPr>
        <a:xfrm>
          <a:off x="61188600" y="5895975"/>
          <a:ext cx="2289175" cy="1058870"/>
        </a:xfrm>
        <a:prstGeom prst="rect">
          <a:avLst/>
        </a:prstGeom>
      </xdr:spPr>
    </xdr:pic>
    <xdr:clientData/>
  </xdr:oneCellAnchor>
  <xdr:oneCellAnchor>
    <xdr:from>
      <xdr:col>5</xdr:col>
      <xdr:colOff>622300</xdr:colOff>
      <xdr:row>99</xdr:row>
      <xdr:rowOff>288925</xdr:rowOff>
    </xdr:from>
    <xdr:ext cx="2248026" cy="1098550"/>
    <xdr:pic>
      <xdr:nvPicPr>
        <xdr:cNvPr id="12" name="Image 11">
          <a:extLst>
            <a:ext uri="{FF2B5EF4-FFF2-40B4-BE49-F238E27FC236}">
              <a16:creationId xmlns:a16="http://schemas.microsoft.com/office/drawing/2014/main" id="{D1EAE5BD-A456-4AC1-B646-30033F52242E}"/>
            </a:ext>
          </a:extLst>
        </xdr:cNvPr>
        <xdr:cNvPicPr>
          <a:picLocks noChangeAspect="1"/>
        </xdr:cNvPicPr>
      </xdr:nvPicPr>
      <xdr:blipFill>
        <a:blip xmlns:r="http://schemas.openxmlformats.org/officeDocument/2006/relationships" r:embed="rId15"/>
        <a:stretch>
          <a:fillRect/>
        </a:stretch>
      </xdr:blipFill>
      <xdr:spPr>
        <a:xfrm>
          <a:off x="5765800" y="33435925"/>
          <a:ext cx="2248026" cy="1098550"/>
        </a:xfrm>
        <a:prstGeom prst="rect">
          <a:avLst/>
        </a:prstGeom>
      </xdr:spPr>
    </xdr:pic>
    <xdr:clientData/>
  </xdr:oneCellAnchor>
  <xdr:oneCellAnchor>
    <xdr:from>
      <xdr:col>6</xdr:col>
      <xdr:colOff>63500</xdr:colOff>
      <xdr:row>111</xdr:row>
      <xdr:rowOff>158750</xdr:rowOff>
    </xdr:from>
    <xdr:ext cx="1057275" cy="1120810"/>
    <xdr:pic>
      <xdr:nvPicPr>
        <xdr:cNvPr id="13" name="Image 12">
          <a:extLst>
            <a:ext uri="{FF2B5EF4-FFF2-40B4-BE49-F238E27FC236}">
              <a16:creationId xmlns:a16="http://schemas.microsoft.com/office/drawing/2014/main" id="{A7A0FF1A-B95F-4647-AC53-C6F7E11A3EC7}"/>
            </a:ext>
          </a:extLst>
        </xdr:cNvPr>
        <xdr:cNvPicPr>
          <a:picLocks noChangeAspect="1"/>
        </xdr:cNvPicPr>
      </xdr:nvPicPr>
      <xdr:blipFill>
        <a:blip xmlns:r="http://schemas.openxmlformats.org/officeDocument/2006/relationships" r:embed="rId16"/>
        <a:stretch>
          <a:fillRect/>
        </a:stretch>
      </xdr:blipFill>
      <xdr:spPr>
        <a:xfrm>
          <a:off x="6337300" y="37877750"/>
          <a:ext cx="1057275" cy="11208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33</xdr:col>
      <xdr:colOff>355600</xdr:colOff>
      <xdr:row>276</xdr:row>
      <xdr:rowOff>317500</xdr:rowOff>
    </xdr:from>
    <xdr:ext cx="1781299" cy="1686185"/>
    <xdr:pic>
      <xdr:nvPicPr>
        <xdr:cNvPr id="2" name="Picture 1">
          <a:extLst>
            <a:ext uri="{FF2B5EF4-FFF2-40B4-BE49-F238E27FC236}">
              <a16:creationId xmlns:a16="http://schemas.microsoft.com/office/drawing/2014/main" id="{3BA4A734-1960-4E89-92EB-E6C067ED6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26580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263</xdr:row>
      <xdr:rowOff>469900</xdr:rowOff>
    </xdr:from>
    <xdr:ext cx="558799" cy="562381"/>
    <xdr:pic>
      <xdr:nvPicPr>
        <xdr:cNvPr id="3" name="Image 2">
          <a:extLst>
            <a:ext uri="{FF2B5EF4-FFF2-40B4-BE49-F238E27FC236}">
              <a16:creationId xmlns:a16="http://schemas.microsoft.com/office/drawing/2014/main" id="{CF6784D7-3600-402A-AB4F-A84CF3642CC5}"/>
            </a:ext>
          </a:extLst>
        </xdr:cNvPr>
        <xdr:cNvPicPr>
          <a:picLocks noChangeAspect="1"/>
        </xdr:cNvPicPr>
      </xdr:nvPicPr>
      <xdr:blipFill>
        <a:blip xmlns:r="http://schemas.openxmlformats.org/officeDocument/2006/relationships" r:embed="rId2"/>
        <a:stretch>
          <a:fillRect/>
        </a:stretch>
      </xdr:blipFill>
      <xdr:spPr>
        <a:xfrm>
          <a:off x="14951076" y="120046750"/>
          <a:ext cx="558799" cy="562381"/>
        </a:xfrm>
        <a:prstGeom prst="rect">
          <a:avLst/>
        </a:prstGeom>
        <a:solidFill>
          <a:srgbClr val="000000"/>
        </a:solidFill>
      </xdr:spPr>
    </xdr:pic>
    <xdr:clientData/>
  </xdr:oneCellAnchor>
  <xdr:oneCellAnchor>
    <xdr:from>
      <xdr:col>17</xdr:col>
      <xdr:colOff>215900</xdr:colOff>
      <xdr:row>263</xdr:row>
      <xdr:rowOff>457200</xdr:rowOff>
    </xdr:from>
    <xdr:ext cx="533400" cy="536755"/>
    <xdr:pic>
      <xdr:nvPicPr>
        <xdr:cNvPr id="4" name="Image 3">
          <a:extLst>
            <a:ext uri="{FF2B5EF4-FFF2-40B4-BE49-F238E27FC236}">
              <a16:creationId xmlns:a16="http://schemas.microsoft.com/office/drawing/2014/main" id="{33FE2060-440A-4666-A3AE-6485B68B960B}"/>
            </a:ext>
          </a:extLst>
        </xdr:cNvPr>
        <xdr:cNvPicPr>
          <a:picLocks noChangeAspect="1"/>
        </xdr:cNvPicPr>
      </xdr:nvPicPr>
      <xdr:blipFill>
        <a:blip xmlns:r="http://schemas.openxmlformats.org/officeDocument/2006/relationships" r:embed="rId3"/>
        <a:stretch>
          <a:fillRect/>
        </a:stretch>
      </xdr:blipFill>
      <xdr:spPr>
        <a:xfrm>
          <a:off x="16122650" y="120034050"/>
          <a:ext cx="533400" cy="536755"/>
        </a:xfrm>
        <a:prstGeom prst="rect">
          <a:avLst/>
        </a:prstGeom>
      </xdr:spPr>
    </xdr:pic>
    <xdr:clientData/>
  </xdr:oneCellAnchor>
  <xdr:oneCellAnchor>
    <xdr:from>
      <xdr:col>18</xdr:col>
      <xdr:colOff>381001</xdr:colOff>
      <xdr:row>263</xdr:row>
      <xdr:rowOff>431801</xdr:rowOff>
    </xdr:from>
    <xdr:ext cx="584200" cy="556214"/>
    <xdr:pic>
      <xdr:nvPicPr>
        <xdr:cNvPr id="5" name="Image 4">
          <a:extLst>
            <a:ext uri="{FF2B5EF4-FFF2-40B4-BE49-F238E27FC236}">
              <a16:creationId xmlns:a16="http://schemas.microsoft.com/office/drawing/2014/main" id="{14D14B34-9C8A-433A-9B93-BB853AE7FB9D}"/>
            </a:ext>
          </a:extLst>
        </xdr:cNvPr>
        <xdr:cNvPicPr>
          <a:picLocks noChangeAspect="1"/>
        </xdr:cNvPicPr>
      </xdr:nvPicPr>
      <xdr:blipFill>
        <a:blip xmlns:r="http://schemas.openxmlformats.org/officeDocument/2006/relationships" r:embed="rId4"/>
        <a:stretch>
          <a:fillRect/>
        </a:stretch>
      </xdr:blipFill>
      <xdr:spPr>
        <a:xfrm>
          <a:off x="17049751" y="120008651"/>
          <a:ext cx="584200" cy="556214"/>
        </a:xfrm>
        <a:prstGeom prst="rect">
          <a:avLst/>
        </a:prstGeom>
      </xdr:spPr>
    </xdr:pic>
    <xdr:clientData/>
  </xdr:oneCellAnchor>
  <xdr:oneCellAnchor>
    <xdr:from>
      <xdr:col>19</xdr:col>
      <xdr:colOff>622301</xdr:colOff>
      <xdr:row>263</xdr:row>
      <xdr:rowOff>457200</xdr:rowOff>
    </xdr:from>
    <xdr:ext cx="647700" cy="505624"/>
    <xdr:pic>
      <xdr:nvPicPr>
        <xdr:cNvPr id="6" name="Image 5">
          <a:extLst>
            <a:ext uri="{FF2B5EF4-FFF2-40B4-BE49-F238E27FC236}">
              <a16:creationId xmlns:a16="http://schemas.microsoft.com/office/drawing/2014/main" id="{CB2B1288-378D-493D-8099-21AEAB789AAB}"/>
            </a:ext>
          </a:extLst>
        </xdr:cNvPr>
        <xdr:cNvPicPr>
          <a:picLocks noChangeAspect="1"/>
        </xdr:cNvPicPr>
      </xdr:nvPicPr>
      <xdr:blipFill>
        <a:blip xmlns:r="http://schemas.openxmlformats.org/officeDocument/2006/relationships" r:embed="rId5"/>
        <a:stretch>
          <a:fillRect/>
        </a:stretch>
      </xdr:blipFill>
      <xdr:spPr>
        <a:xfrm>
          <a:off x="18053051" y="120034050"/>
          <a:ext cx="647700" cy="505624"/>
        </a:xfrm>
        <a:prstGeom prst="rect">
          <a:avLst/>
        </a:prstGeom>
      </xdr:spPr>
    </xdr:pic>
    <xdr:clientData/>
  </xdr:oneCellAnchor>
  <xdr:oneCellAnchor>
    <xdr:from>
      <xdr:col>21</xdr:col>
      <xdr:colOff>127000</xdr:colOff>
      <xdr:row>263</xdr:row>
      <xdr:rowOff>431800</xdr:rowOff>
    </xdr:from>
    <xdr:ext cx="518583" cy="533400"/>
    <xdr:pic>
      <xdr:nvPicPr>
        <xdr:cNvPr id="7" name="Image 6">
          <a:extLst>
            <a:ext uri="{FF2B5EF4-FFF2-40B4-BE49-F238E27FC236}">
              <a16:creationId xmlns:a16="http://schemas.microsoft.com/office/drawing/2014/main" id="{3184AA01-2AA3-4505-993F-8CA8BD80F825}"/>
            </a:ext>
          </a:extLst>
        </xdr:cNvPr>
        <xdr:cNvPicPr>
          <a:picLocks noChangeAspect="1"/>
        </xdr:cNvPicPr>
      </xdr:nvPicPr>
      <xdr:blipFill>
        <a:blip xmlns:r="http://schemas.openxmlformats.org/officeDocument/2006/relationships" r:embed="rId6"/>
        <a:stretch>
          <a:fillRect/>
        </a:stretch>
      </xdr:blipFill>
      <xdr:spPr>
        <a:xfrm>
          <a:off x="19119850" y="120008650"/>
          <a:ext cx="518583" cy="533400"/>
        </a:xfrm>
        <a:prstGeom prst="rect">
          <a:avLst/>
        </a:prstGeom>
      </xdr:spPr>
    </xdr:pic>
    <xdr:clientData/>
  </xdr:oneCellAnchor>
  <xdr:oneCellAnchor>
    <xdr:from>
      <xdr:col>21</xdr:col>
      <xdr:colOff>990600</xdr:colOff>
      <xdr:row>263</xdr:row>
      <xdr:rowOff>444500</xdr:rowOff>
    </xdr:from>
    <xdr:ext cx="508000" cy="508000"/>
    <xdr:pic>
      <xdr:nvPicPr>
        <xdr:cNvPr id="8" name="Image 7">
          <a:extLst>
            <a:ext uri="{FF2B5EF4-FFF2-40B4-BE49-F238E27FC236}">
              <a16:creationId xmlns:a16="http://schemas.microsoft.com/office/drawing/2014/main" id="{7AA1B40F-64B8-4538-9D1D-5EB8BB3BA11F}"/>
            </a:ext>
          </a:extLst>
        </xdr:cNvPr>
        <xdr:cNvPicPr>
          <a:picLocks noChangeAspect="1"/>
        </xdr:cNvPicPr>
      </xdr:nvPicPr>
      <xdr:blipFill>
        <a:blip xmlns:r="http://schemas.openxmlformats.org/officeDocument/2006/relationships" r:embed="rId7"/>
        <a:stretch>
          <a:fillRect/>
        </a:stretch>
      </xdr:blipFill>
      <xdr:spPr>
        <a:xfrm>
          <a:off x="19983450" y="120021350"/>
          <a:ext cx="508000" cy="508000"/>
        </a:xfrm>
        <a:prstGeom prst="rect">
          <a:avLst/>
        </a:prstGeom>
      </xdr:spPr>
    </xdr:pic>
    <xdr:clientData/>
  </xdr:oneCellAnchor>
  <xdr:oneCellAnchor>
    <xdr:from>
      <xdr:col>23</xdr:col>
      <xdr:colOff>558800</xdr:colOff>
      <xdr:row>263</xdr:row>
      <xdr:rowOff>469900</xdr:rowOff>
    </xdr:from>
    <xdr:ext cx="516579" cy="469900"/>
    <xdr:pic>
      <xdr:nvPicPr>
        <xdr:cNvPr id="9" name="Image 8">
          <a:extLst>
            <a:ext uri="{FF2B5EF4-FFF2-40B4-BE49-F238E27FC236}">
              <a16:creationId xmlns:a16="http://schemas.microsoft.com/office/drawing/2014/main" id="{6A430137-F0A6-4996-9328-E91B18A104CC}"/>
            </a:ext>
          </a:extLst>
        </xdr:cNvPr>
        <xdr:cNvPicPr>
          <a:picLocks noChangeAspect="1"/>
        </xdr:cNvPicPr>
      </xdr:nvPicPr>
      <xdr:blipFill>
        <a:blip xmlns:r="http://schemas.openxmlformats.org/officeDocument/2006/relationships" r:embed="rId8"/>
        <a:stretch>
          <a:fillRect/>
        </a:stretch>
      </xdr:blipFill>
      <xdr:spPr>
        <a:xfrm>
          <a:off x="21828125" y="120046750"/>
          <a:ext cx="516579" cy="469900"/>
        </a:xfrm>
        <a:prstGeom prst="rect">
          <a:avLst/>
        </a:prstGeom>
      </xdr:spPr>
    </xdr:pic>
    <xdr:clientData/>
  </xdr:oneCellAnchor>
  <xdr:oneCellAnchor>
    <xdr:from>
      <xdr:col>22</xdr:col>
      <xdr:colOff>673100</xdr:colOff>
      <xdr:row>263</xdr:row>
      <xdr:rowOff>457200</xdr:rowOff>
    </xdr:from>
    <xdr:ext cx="495299" cy="495299"/>
    <xdr:pic>
      <xdr:nvPicPr>
        <xdr:cNvPr id="10" name="Image 9">
          <a:extLst>
            <a:ext uri="{FF2B5EF4-FFF2-40B4-BE49-F238E27FC236}">
              <a16:creationId xmlns:a16="http://schemas.microsoft.com/office/drawing/2014/main" id="{FBE33644-3DF8-4E3F-ADC6-E08FD7DF47D6}"/>
            </a:ext>
          </a:extLst>
        </xdr:cNvPr>
        <xdr:cNvPicPr>
          <a:picLocks noChangeAspect="1"/>
        </xdr:cNvPicPr>
      </xdr:nvPicPr>
      <xdr:blipFill>
        <a:blip xmlns:r="http://schemas.openxmlformats.org/officeDocument/2006/relationships" r:embed="rId9"/>
        <a:stretch>
          <a:fillRect/>
        </a:stretch>
      </xdr:blipFill>
      <xdr:spPr>
        <a:xfrm>
          <a:off x="20875625" y="120034050"/>
          <a:ext cx="495299" cy="495299"/>
        </a:xfrm>
        <a:prstGeom prst="rect">
          <a:avLst/>
        </a:prstGeom>
      </xdr:spPr>
    </xdr:pic>
    <xdr:clientData/>
  </xdr:oneCellAnchor>
  <xdr:oneCellAnchor>
    <xdr:from>
      <xdr:col>4</xdr:col>
      <xdr:colOff>25400</xdr:colOff>
      <xdr:row>216</xdr:row>
      <xdr:rowOff>12700</xdr:rowOff>
    </xdr:from>
    <xdr:ext cx="2562583" cy="276253"/>
    <xdr:pic>
      <xdr:nvPicPr>
        <xdr:cNvPr id="15" name="Image 14">
          <a:extLst>
            <a:ext uri="{FF2B5EF4-FFF2-40B4-BE49-F238E27FC236}">
              <a16:creationId xmlns:a16="http://schemas.microsoft.com/office/drawing/2014/main" id="{8B843487-98A4-42CD-A988-D6D97FC4ED7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06900" y="98482150"/>
          <a:ext cx="2562583" cy="276253"/>
        </a:xfrm>
        <a:prstGeom prst="rect">
          <a:avLst/>
        </a:prstGeom>
      </xdr:spPr>
    </xdr:pic>
    <xdr:clientData/>
  </xdr:oneCellAnchor>
  <xdr:oneCellAnchor>
    <xdr:from>
      <xdr:col>16</xdr:col>
      <xdr:colOff>85725</xdr:colOff>
      <xdr:row>216</xdr:row>
      <xdr:rowOff>238125</xdr:rowOff>
    </xdr:from>
    <xdr:ext cx="5105400" cy="2000250"/>
    <xdr:pic>
      <xdr:nvPicPr>
        <xdr:cNvPr id="17" name="Image 16">
          <a:extLst>
            <a:ext uri="{FF2B5EF4-FFF2-40B4-BE49-F238E27FC236}">
              <a16:creationId xmlns:a16="http://schemas.microsoft.com/office/drawing/2014/main" id="{CFC31D0D-B3AF-41EF-AF77-80EED4FA325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230475" y="98707575"/>
          <a:ext cx="5105400" cy="2000250"/>
        </a:xfrm>
        <a:prstGeom prst="rect">
          <a:avLst/>
        </a:prstGeom>
      </xdr:spPr>
    </xdr:pic>
    <xdr:clientData/>
  </xdr:oneCellAnchor>
  <xdr:twoCellAnchor editAs="oneCell">
    <xdr:from>
      <xdr:col>20</xdr:col>
      <xdr:colOff>673100</xdr:colOff>
      <xdr:row>6</xdr:row>
      <xdr:rowOff>203200</xdr:rowOff>
    </xdr:from>
    <xdr:to>
      <xdr:col>22</xdr:col>
      <xdr:colOff>609601</xdr:colOff>
      <xdr:row>9</xdr:row>
      <xdr:rowOff>177800</xdr:rowOff>
    </xdr:to>
    <xdr:pic>
      <xdr:nvPicPr>
        <xdr:cNvPr id="19" name="Image 18">
          <a:extLst>
            <a:ext uri="{FF2B5EF4-FFF2-40B4-BE49-F238E27FC236}">
              <a16:creationId xmlns:a16="http://schemas.microsoft.com/office/drawing/2014/main" id="{660F7C08-0BA1-481B-B4E9-D8C0B5E80F8E}"/>
            </a:ext>
          </a:extLst>
        </xdr:cNvPr>
        <xdr:cNvPicPr>
          <a:picLocks noChangeAspect="1"/>
        </xdr:cNvPicPr>
      </xdr:nvPicPr>
      <xdr:blipFill>
        <a:blip xmlns:r="http://schemas.openxmlformats.org/officeDocument/2006/relationships" r:embed="rId12"/>
        <a:stretch>
          <a:fillRect/>
        </a:stretch>
      </xdr:blipFill>
      <xdr:spPr>
        <a:xfrm>
          <a:off x="21653500" y="2489200"/>
          <a:ext cx="1930401" cy="1117600"/>
        </a:xfrm>
        <a:prstGeom prst="rect">
          <a:avLst/>
        </a:prstGeom>
      </xdr:spPr>
    </xdr:pic>
    <xdr:clientData/>
  </xdr:twoCellAnchor>
  <xdr:oneCellAnchor>
    <xdr:from>
      <xdr:col>4</xdr:col>
      <xdr:colOff>596900</xdr:colOff>
      <xdr:row>219</xdr:row>
      <xdr:rowOff>25399</xdr:rowOff>
    </xdr:from>
    <xdr:ext cx="2235200" cy="1197925"/>
    <xdr:pic>
      <xdr:nvPicPr>
        <xdr:cNvPr id="20" name="Image 19">
          <a:extLst>
            <a:ext uri="{FF2B5EF4-FFF2-40B4-BE49-F238E27FC236}">
              <a16:creationId xmlns:a16="http://schemas.microsoft.com/office/drawing/2014/main" id="{436DDCCD-553C-4E76-A7C1-E9A3961FFC3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978400" y="81988024"/>
          <a:ext cx="2235200" cy="1197925"/>
        </a:xfrm>
        <a:prstGeom prst="rect">
          <a:avLst/>
        </a:prstGeom>
      </xdr:spPr>
    </xdr:pic>
    <xdr:clientData/>
  </xdr:oneCellAnchor>
  <xdr:oneCellAnchor>
    <xdr:from>
      <xdr:col>5</xdr:col>
      <xdr:colOff>476250</xdr:colOff>
      <xdr:row>85</xdr:row>
      <xdr:rowOff>0</xdr:rowOff>
    </xdr:from>
    <xdr:ext cx="2289175" cy="1058870"/>
    <xdr:pic>
      <xdr:nvPicPr>
        <xdr:cNvPr id="11" name="Image 10">
          <a:extLst>
            <a:ext uri="{FF2B5EF4-FFF2-40B4-BE49-F238E27FC236}">
              <a16:creationId xmlns:a16="http://schemas.microsoft.com/office/drawing/2014/main" id="{B32468AA-318E-44FF-96E3-B581DC410214}"/>
            </a:ext>
          </a:extLst>
        </xdr:cNvPr>
        <xdr:cNvPicPr>
          <a:picLocks noChangeAspect="1"/>
        </xdr:cNvPicPr>
      </xdr:nvPicPr>
      <xdr:blipFill>
        <a:blip xmlns:r="http://schemas.openxmlformats.org/officeDocument/2006/relationships" r:embed="rId14"/>
        <a:stretch>
          <a:fillRect/>
        </a:stretch>
      </xdr:blipFill>
      <xdr:spPr>
        <a:xfrm>
          <a:off x="5619750" y="28956000"/>
          <a:ext cx="2289175" cy="1058870"/>
        </a:xfrm>
        <a:prstGeom prst="rect">
          <a:avLst/>
        </a:prstGeom>
      </xdr:spPr>
    </xdr:pic>
    <xdr:clientData/>
  </xdr:oneCellAnchor>
  <xdr:oneCellAnchor>
    <xdr:from>
      <xdr:col>5</xdr:col>
      <xdr:colOff>622300</xdr:colOff>
      <xdr:row>96</xdr:row>
      <xdr:rowOff>288925</xdr:rowOff>
    </xdr:from>
    <xdr:ext cx="2248026" cy="1098550"/>
    <xdr:pic>
      <xdr:nvPicPr>
        <xdr:cNvPr id="12" name="Image 11">
          <a:extLst>
            <a:ext uri="{FF2B5EF4-FFF2-40B4-BE49-F238E27FC236}">
              <a16:creationId xmlns:a16="http://schemas.microsoft.com/office/drawing/2014/main" id="{0B82753E-956C-46FE-919C-7BCCD5F0786A}"/>
            </a:ext>
          </a:extLst>
        </xdr:cNvPr>
        <xdr:cNvPicPr>
          <a:picLocks noChangeAspect="1"/>
        </xdr:cNvPicPr>
      </xdr:nvPicPr>
      <xdr:blipFill>
        <a:blip xmlns:r="http://schemas.openxmlformats.org/officeDocument/2006/relationships" r:embed="rId15"/>
        <a:stretch>
          <a:fillRect/>
        </a:stretch>
      </xdr:blipFill>
      <xdr:spPr>
        <a:xfrm>
          <a:off x="5765800" y="33435925"/>
          <a:ext cx="2248026" cy="1098550"/>
        </a:xfrm>
        <a:prstGeom prst="rect">
          <a:avLst/>
        </a:prstGeom>
      </xdr:spPr>
    </xdr:pic>
    <xdr:clientData/>
  </xdr:oneCellAnchor>
  <xdr:oneCellAnchor>
    <xdr:from>
      <xdr:col>6</xdr:col>
      <xdr:colOff>63500</xdr:colOff>
      <xdr:row>108</xdr:row>
      <xdr:rowOff>158750</xdr:rowOff>
    </xdr:from>
    <xdr:ext cx="1057275" cy="1120810"/>
    <xdr:pic>
      <xdr:nvPicPr>
        <xdr:cNvPr id="13" name="Image 12">
          <a:extLst>
            <a:ext uri="{FF2B5EF4-FFF2-40B4-BE49-F238E27FC236}">
              <a16:creationId xmlns:a16="http://schemas.microsoft.com/office/drawing/2014/main" id="{48731548-6BAC-419B-88B3-067D524C3A6F}"/>
            </a:ext>
          </a:extLst>
        </xdr:cNvPr>
        <xdr:cNvPicPr>
          <a:picLocks noChangeAspect="1"/>
        </xdr:cNvPicPr>
      </xdr:nvPicPr>
      <xdr:blipFill>
        <a:blip xmlns:r="http://schemas.openxmlformats.org/officeDocument/2006/relationships" r:embed="rId16"/>
        <a:stretch>
          <a:fillRect/>
        </a:stretch>
      </xdr:blipFill>
      <xdr:spPr>
        <a:xfrm>
          <a:off x="6340475" y="37877750"/>
          <a:ext cx="1057275" cy="11208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33</xdr:col>
      <xdr:colOff>355600</xdr:colOff>
      <xdr:row>281</xdr:row>
      <xdr:rowOff>317500</xdr:rowOff>
    </xdr:from>
    <xdr:ext cx="1781299" cy="1686185"/>
    <xdr:pic>
      <xdr:nvPicPr>
        <xdr:cNvPr id="2" name="Picture 1">
          <a:extLst>
            <a:ext uri="{FF2B5EF4-FFF2-40B4-BE49-F238E27FC236}">
              <a16:creationId xmlns:a16="http://schemas.microsoft.com/office/drawing/2014/main" id="{21E04B9B-F009-47D7-B6A5-78986B4C65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25818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268</xdr:row>
      <xdr:rowOff>469900</xdr:rowOff>
    </xdr:from>
    <xdr:ext cx="558799" cy="562381"/>
    <xdr:pic>
      <xdr:nvPicPr>
        <xdr:cNvPr id="3" name="Image 2">
          <a:extLst>
            <a:ext uri="{FF2B5EF4-FFF2-40B4-BE49-F238E27FC236}">
              <a16:creationId xmlns:a16="http://schemas.microsoft.com/office/drawing/2014/main" id="{175AC609-C11C-4C3C-B5DE-22E56A80DC11}"/>
            </a:ext>
          </a:extLst>
        </xdr:cNvPr>
        <xdr:cNvPicPr>
          <a:picLocks noChangeAspect="1"/>
        </xdr:cNvPicPr>
      </xdr:nvPicPr>
      <xdr:blipFill>
        <a:blip xmlns:r="http://schemas.openxmlformats.org/officeDocument/2006/relationships" r:embed="rId2"/>
        <a:stretch>
          <a:fillRect/>
        </a:stretch>
      </xdr:blipFill>
      <xdr:spPr>
        <a:xfrm>
          <a:off x="14951076" y="119284750"/>
          <a:ext cx="558799" cy="562381"/>
        </a:xfrm>
        <a:prstGeom prst="rect">
          <a:avLst/>
        </a:prstGeom>
        <a:solidFill>
          <a:srgbClr val="000000"/>
        </a:solidFill>
      </xdr:spPr>
    </xdr:pic>
    <xdr:clientData/>
  </xdr:oneCellAnchor>
  <xdr:oneCellAnchor>
    <xdr:from>
      <xdr:col>17</xdr:col>
      <xdr:colOff>215900</xdr:colOff>
      <xdr:row>268</xdr:row>
      <xdr:rowOff>457200</xdr:rowOff>
    </xdr:from>
    <xdr:ext cx="533400" cy="536755"/>
    <xdr:pic>
      <xdr:nvPicPr>
        <xdr:cNvPr id="4" name="Image 3">
          <a:extLst>
            <a:ext uri="{FF2B5EF4-FFF2-40B4-BE49-F238E27FC236}">
              <a16:creationId xmlns:a16="http://schemas.microsoft.com/office/drawing/2014/main" id="{80E6D437-501C-4A5C-9C47-5B97A9E94A17}"/>
            </a:ext>
          </a:extLst>
        </xdr:cNvPr>
        <xdr:cNvPicPr>
          <a:picLocks noChangeAspect="1"/>
        </xdr:cNvPicPr>
      </xdr:nvPicPr>
      <xdr:blipFill>
        <a:blip xmlns:r="http://schemas.openxmlformats.org/officeDocument/2006/relationships" r:embed="rId3"/>
        <a:stretch>
          <a:fillRect/>
        </a:stretch>
      </xdr:blipFill>
      <xdr:spPr>
        <a:xfrm>
          <a:off x="16122650" y="119272050"/>
          <a:ext cx="533400" cy="536755"/>
        </a:xfrm>
        <a:prstGeom prst="rect">
          <a:avLst/>
        </a:prstGeom>
      </xdr:spPr>
    </xdr:pic>
    <xdr:clientData/>
  </xdr:oneCellAnchor>
  <xdr:oneCellAnchor>
    <xdr:from>
      <xdr:col>18</xdr:col>
      <xdr:colOff>381001</xdr:colOff>
      <xdr:row>268</xdr:row>
      <xdr:rowOff>431801</xdr:rowOff>
    </xdr:from>
    <xdr:ext cx="584200" cy="556214"/>
    <xdr:pic>
      <xdr:nvPicPr>
        <xdr:cNvPr id="5" name="Image 4">
          <a:extLst>
            <a:ext uri="{FF2B5EF4-FFF2-40B4-BE49-F238E27FC236}">
              <a16:creationId xmlns:a16="http://schemas.microsoft.com/office/drawing/2014/main" id="{09453A6F-0594-4E66-9F64-082D1D7794CA}"/>
            </a:ext>
          </a:extLst>
        </xdr:cNvPr>
        <xdr:cNvPicPr>
          <a:picLocks noChangeAspect="1"/>
        </xdr:cNvPicPr>
      </xdr:nvPicPr>
      <xdr:blipFill>
        <a:blip xmlns:r="http://schemas.openxmlformats.org/officeDocument/2006/relationships" r:embed="rId4"/>
        <a:stretch>
          <a:fillRect/>
        </a:stretch>
      </xdr:blipFill>
      <xdr:spPr>
        <a:xfrm>
          <a:off x="17049751" y="119246651"/>
          <a:ext cx="584200" cy="556214"/>
        </a:xfrm>
        <a:prstGeom prst="rect">
          <a:avLst/>
        </a:prstGeom>
      </xdr:spPr>
    </xdr:pic>
    <xdr:clientData/>
  </xdr:oneCellAnchor>
  <xdr:oneCellAnchor>
    <xdr:from>
      <xdr:col>19</xdr:col>
      <xdr:colOff>622301</xdr:colOff>
      <xdr:row>268</xdr:row>
      <xdr:rowOff>457200</xdr:rowOff>
    </xdr:from>
    <xdr:ext cx="647700" cy="505624"/>
    <xdr:pic>
      <xdr:nvPicPr>
        <xdr:cNvPr id="6" name="Image 5">
          <a:extLst>
            <a:ext uri="{FF2B5EF4-FFF2-40B4-BE49-F238E27FC236}">
              <a16:creationId xmlns:a16="http://schemas.microsoft.com/office/drawing/2014/main" id="{B155D07E-9D7C-4D69-A45C-43B69CE98543}"/>
            </a:ext>
          </a:extLst>
        </xdr:cNvPr>
        <xdr:cNvPicPr>
          <a:picLocks noChangeAspect="1"/>
        </xdr:cNvPicPr>
      </xdr:nvPicPr>
      <xdr:blipFill>
        <a:blip xmlns:r="http://schemas.openxmlformats.org/officeDocument/2006/relationships" r:embed="rId5"/>
        <a:stretch>
          <a:fillRect/>
        </a:stretch>
      </xdr:blipFill>
      <xdr:spPr>
        <a:xfrm>
          <a:off x="18053051" y="119272050"/>
          <a:ext cx="647700" cy="505624"/>
        </a:xfrm>
        <a:prstGeom prst="rect">
          <a:avLst/>
        </a:prstGeom>
      </xdr:spPr>
    </xdr:pic>
    <xdr:clientData/>
  </xdr:oneCellAnchor>
  <xdr:oneCellAnchor>
    <xdr:from>
      <xdr:col>21</xdr:col>
      <xdr:colOff>127000</xdr:colOff>
      <xdr:row>268</xdr:row>
      <xdr:rowOff>431800</xdr:rowOff>
    </xdr:from>
    <xdr:ext cx="518583" cy="533400"/>
    <xdr:pic>
      <xdr:nvPicPr>
        <xdr:cNvPr id="7" name="Image 6">
          <a:extLst>
            <a:ext uri="{FF2B5EF4-FFF2-40B4-BE49-F238E27FC236}">
              <a16:creationId xmlns:a16="http://schemas.microsoft.com/office/drawing/2014/main" id="{23631B4C-DDED-479A-9AEE-40877316FBC0}"/>
            </a:ext>
          </a:extLst>
        </xdr:cNvPr>
        <xdr:cNvPicPr>
          <a:picLocks noChangeAspect="1"/>
        </xdr:cNvPicPr>
      </xdr:nvPicPr>
      <xdr:blipFill>
        <a:blip xmlns:r="http://schemas.openxmlformats.org/officeDocument/2006/relationships" r:embed="rId6"/>
        <a:stretch>
          <a:fillRect/>
        </a:stretch>
      </xdr:blipFill>
      <xdr:spPr>
        <a:xfrm>
          <a:off x="19119850" y="119246650"/>
          <a:ext cx="518583" cy="533400"/>
        </a:xfrm>
        <a:prstGeom prst="rect">
          <a:avLst/>
        </a:prstGeom>
      </xdr:spPr>
    </xdr:pic>
    <xdr:clientData/>
  </xdr:oneCellAnchor>
  <xdr:oneCellAnchor>
    <xdr:from>
      <xdr:col>21</xdr:col>
      <xdr:colOff>990600</xdr:colOff>
      <xdr:row>268</xdr:row>
      <xdr:rowOff>444500</xdr:rowOff>
    </xdr:from>
    <xdr:ext cx="508000" cy="508000"/>
    <xdr:pic>
      <xdr:nvPicPr>
        <xdr:cNvPr id="8" name="Image 7">
          <a:extLst>
            <a:ext uri="{FF2B5EF4-FFF2-40B4-BE49-F238E27FC236}">
              <a16:creationId xmlns:a16="http://schemas.microsoft.com/office/drawing/2014/main" id="{5B70FC1C-E94B-4108-95DD-A9FA3345D35C}"/>
            </a:ext>
          </a:extLst>
        </xdr:cNvPr>
        <xdr:cNvPicPr>
          <a:picLocks noChangeAspect="1"/>
        </xdr:cNvPicPr>
      </xdr:nvPicPr>
      <xdr:blipFill>
        <a:blip xmlns:r="http://schemas.openxmlformats.org/officeDocument/2006/relationships" r:embed="rId7"/>
        <a:stretch>
          <a:fillRect/>
        </a:stretch>
      </xdr:blipFill>
      <xdr:spPr>
        <a:xfrm>
          <a:off x="19983450" y="119259350"/>
          <a:ext cx="508000" cy="508000"/>
        </a:xfrm>
        <a:prstGeom prst="rect">
          <a:avLst/>
        </a:prstGeom>
      </xdr:spPr>
    </xdr:pic>
    <xdr:clientData/>
  </xdr:oneCellAnchor>
  <xdr:oneCellAnchor>
    <xdr:from>
      <xdr:col>23</xdr:col>
      <xdr:colOff>558800</xdr:colOff>
      <xdr:row>268</xdr:row>
      <xdr:rowOff>469900</xdr:rowOff>
    </xdr:from>
    <xdr:ext cx="516579" cy="469900"/>
    <xdr:pic>
      <xdr:nvPicPr>
        <xdr:cNvPr id="9" name="Image 8">
          <a:extLst>
            <a:ext uri="{FF2B5EF4-FFF2-40B4-BE49-F238E27FC236}">
              <a16:creationId xmlns:a16="http://schemas.microsoft.com/office/drawing/2014/main" id="{16B72144-D45F-4ABE-80C8-4D7E3823F5B1}"/>
            </a:ext>
          </a:extLst>
        </xdr:cNvPr>
        <xdr:cNvPicPr>
          <a:picLocks noChangeAspect="1"/>
        </xdr:cNvPicPr>
      </xdr:nvPicPr>
      <xdr:blipFill>
        <a:blip xmlns:r="http://schemas.openxmlformats.org/officeDocument/2006/relationships" r:embed="rId8"/>
        <a:stretch>
          <a:fillRect/>
        </a:stretch>
      </xdr:blipFill>
      <xdr:spPr>
        <a:xfrm>
          <a:off x="21828125" y="119284750"/>
          <a:ext cx="516579" cy="469900"/>
        </a:xfrm>
        <a:prstGeom prst="rect">
          <a:avLst/>
        </a:prstGeom>
      </xdr:spPr>
    </xdr:pic>
    <xdr:clientData/>
  </xdr:oneCellAnchor>
  <xdr:oneCellAnchor>
    <xdr:from>
      <xdr:col>22</xdr:col>
      <xdr:colOff>673100</xdr:colOff>
      <xdr:row>268</xdr:row>
      <xdr:rowOff>457200</xdr:rowOff>
    </xdr:from>
    <xdr:ext cx="495299" cy="495299"/>
    <xdr:pic>
      <xdr:nvPicPr>
        <xdr:cNvPr id="10" name="Image 9">
          <a:extLst>
            <a:ext uri="{FF2B5EF4-FFF2-40B4-BE49-F238E27FC236}">
              <a16:creationId xmlns:a16="http://schemas.microsoft.com/office/drawing/2014/main" id="{40FFA059-A45C-4937-AA31-35DA467B9051}"/>
            </a:ext>
          </a:extLst>
        </xdr:cNvPr>
        <xdr:cNvPicPr>
          <a:picLocks noChangeAspect="1"/>
        </xdr:cNvPicPr>
      </xdr:nvPicPr>
      <xdr:blipFill>
        <a:blip xmlns:r="http://schemas.openxmlformats.org/officeDocument/2006/relationships" r:embed="rId9"/>
        <a:stretch>
          <a:fillRect/>
        </a:stretch>
      </xdr:blipFill>
      <xdr:spPr>
        <a:xfrm>
          <a:off x="20875625" y="119272050"/>
          <a:ext cx="495299" cy="495299"/>
        </a:xfrm>
        <a:prstGeom prst="rect">
          <a:avLst/>
        </a:prstGeom>
      </xdr:spPr>
    </xdr:pic>
    <xdr:clientData/>
  </xdr:oneCellAnchor>
  <xdr:oneCellAnchor>
    <xdr:from>
      <xdr:col>4</xdr:col>
      <xdr:colOff>120650</xdr:colOff>
      <xdr:row>222</xdr:row>
      <xdr:rowOff>79375</xdr:rowOff>
    </xdr:from>
    <xdr:ext cx="2562583" cy="276253"/>
    <xdr:pic>
      <xdr:nvPicPr>
        <xdr:cNvPr id="15" name="Image 14">
          <a:extLst>
            <a:ext uri="{FF2B5EF4-FFF2-40B4-BE49-F238E27FC236}">
              <a16:creationId xmlns:a16="http://schemas.microsoft.com/office/drawing/2014/main" id="{9D3E6B67-D748-4A1C-9616-F37F2456CE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02150" y="81280000"/>
          <a:ext cx="2562583" cy="276253"/>
        </a:xfrm>
        <a:prstGeom prst="rect">
          <a:avLst/>
        </a:prstGeom>
      </xdr:spPr>
    </xdr:pic>
    <xdr:clientData/>
  </xdr:oneCellAnchor>
  <xdr:oneCellAnchor>
    <xdr:from>
      <xdr:col>4</xdr:col>
      <xdr:colOff>596900</xdr:colOff>
      <xdr:row>225</xdr:row>
      <xdr:rowOff>25399</xdr:rowOff>
    </xdr:from>
    <xdr:ext cx="2235200" cy="1197925"/>
    <xdr:pic>
      <xdr:nvPicPr>
        <xdr:cNvPr id="16" name="Image 15">
          <a:extLst>
            <a:ext uri="{FF2B5EF4-FFF2-40B4-BE49-F238E27FC236}">
              <a16:creationId xmlns:a16="http://schemas.microsoft.com/office/drawing/2014/main" id="{4B634C5A-F7DD-4004-B2CB-A8F03094462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98494849"/>
          <a:ext cx="2235200" cy="1197925"/>
        </a:xfrm>
        <a:prstGeom prst="rect">
          <a:avLst/>
        </a:prstGeom>
      </xdr:spPr>
    </xdr:pic>
    <xdr:clientData/>
  </xdr:oneCellAnchor>
  <xdr:oneCellAnchor>
    <xdr:from>
      <xdr:col>16</xdr:col>
      <xdr:colOff>85725</xdr:colOff>
      <xdr:row>222</xdr:row>
      <xdr:rowOff>238125</xdr:rowOff>
    </xdr:from>
    <xdr:ext cx="5105400" cy="2000250"/>
    <xdr:pic>
      <xdr:nvPicPr>
        <xdr:cNvPr id="17" name="Image 16">
          <a:extLst>
            <a:ext uri="{FF2B5EF4-FFF2-40B4-BE49-F238E27FC236}">
              <a16:creationId xmlns:a16="http://schemas.microsoft.com/office/drawing/2014/main" id="{1AEA7886-6876-4AB5-961F-BF86B5B9182B}"/>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230475" y="97945575"/>
          <a:ext cx="5105400" cy="2000250"/>
        </a:xfrm>
        <a:prstGeom prst="rect">
          <a:avLst/>
        </a:prstGeom>
      </xdr:spPr>
    </xdr:pic>
    <xdr:clientData/>
  </xdr:oneCellAnchor>
  <xdr:twoCellAnchor editAs="oneCell">
    <xdr:from>
      <xdr:col>21</xdr:col>
      <xdr:colOff>1130300</xdr:colOff>
      <xdr:row>6</xdr:row>
      <xdr:rowOff>101600</xdr:rowOff>
    </xdr:from>
    <xdr:to>
      <xdr:col>23</xdr:col>
      <xdr:colOff>546100</xdr:colOff>
      <xdr:row>9</xdr:row>
      <xdr:rowOff>127977</xdr:rowOff>
    </xdr:to>
    <xdr:pic>
      <xdr:nvPicPr>
        <xdr:cNvPr id="18" name="Image 17">
          <a:extLst>
            <a:ext uri="{FF2B5EF4-FFF2-40B4-BE49-F238E27FC236}">
              <a16:creationId xmlns:a16="http://schemas.microsoft.com/office/drawing/2014/main" id="{AD9B10C2-5A91-4A1B-9484-5DAA9436F852}"/>
            </a:ext>
          </a:extLst>
        </xdr:cNvPr>
        <xdr:cNvPicPr>
          <a:picLocks noChangeAspect="1"/>
        </xdr:cNvPicPr>
      </xdr:nvPicPr>
      <xdr:blipFill>
        <a:blip xmlns:r="http://schemas.openxmlformats.org/officeDocument/2006/relationships" r:embed="rId13"/>
        <a:stretch>
          <a:fillRect/>
        </a:stretch>
      </xdr:blipFill>
      <xdr:spPr>
        <a:xfrm>
          <a:off x="20408900" y="2387600"/>
          <a:ext cx="1689100" cy="1169377"/>
        </a:xfrm>
        <a:prstGeom prst="rect">
          <a:avLst/>
        </a:prstGeom>
      </xdr:spPr>
    </xdr:pic>
    <xdr:clientData/>
  </xdr:twoCellAnchor>
  <xdr:oneCellAnchor>
    <xdr:from>
      <xdr:col>5</xdr:col>
      <xdr:colOff>476250</xdr:colOff>
      <xdr:row>86</xdr:row>
      <xdr:rowOff>0</xdr:rowOff>
    </xdr:from>
    <xdr:ext cx="2289175" cy="1058870"/>
    <xdr:pic>
      <xdr:nvPicPr>
        <xdr:cNvPr id="11" name="Image 10">
          <a:extLst>
            <a:ext uri="{FF2B5EF4-FFF2-40B4-BE49-F238E27FC236}">
              <a16:creationId xmlns:a16="http://schemas.microsoft.com/office/drawing/2014/main" id="{CFAF5C7C-F9EC-4EF0-A35D-BB8995B4FAAD}"/>
            </a:ext>
          </a:extLst>
        </xdr:cNvPr>
        <xdr:cNvPicPr>
          <a:picLocks noChangeAspect="1"/>
        </xdr:cNvPicPr>
      </xdr:nvPicPr>
      <xdr:blipFill>
        <a:blip xmlns:r="http://schemas.openxmlformats.org/officeDocument/2006/relationships" r:embed="rId14"/>
        <a:stretch>
          <a:fillRect/>
        </a:stretch>
      </xdr:blipFill>
      <xdr:spPr>
        <a:xfrm>
          <a:off x="6229350" y="27813000"/>
          <a:ext cx="2289175" cy="1058870"/>
        </a:xfrm>
        <a:prstGeom prst="rect">
          <a:avLst/>
        </a:prstGeom>
      </xdr:spPr>
    </xdr:pic>
    <xdr:clientData/>
  </xdr:oneCellAnchor>
  <xdr:oneCellAnchor>
    <xdr:from>
      <xdr:col>5</xdr:col>
      <xdr:colOff>622300</xdr:colOff>
      <xdr:row>98</xdr:row>
      <xdr:rowOff>288925</xdr:rowOff>
    </xdr:from>
    <xdr:ext cx="2248026" cy="1098550"/>
    <xdr:pic>
      <xdr:nvPicPr>
        <xdr:cNvPr id="12" name="Image 11">
          <a:extLst>
            <a:ext uri="{FF2B5EF4-FFF2-40B4-BE49-F238E27FC236}">
              <a16:creationId xmlns:a16="http://schemas.microsoft.com/office/drawing/2014/main" id="{262045C7-4C2D-47B5-9205-4B5348AC2761}"/>
            </a:ext>
          </a:extLst>
        </xdr:cNvPr>
        <xdr:cNvPicPr>
          <a:picLocks noChangeAspect="1"/>
        </xdr:cNvPicPr>
      </xdr:nvPicPr>
      <xdr:blipFill>
        <a:blip xmlns:r="http://schemas.openxmlformats.org/officeDocument/2006/relationships" r:embed="rId15"/>
        <a:stretch>
          <a:fillRect/>
        </a:stretch>
      </xdr:blipFill>
      <xdr:spPr>
        <a:xfrm>
          <a:off x="6375400" y="32292925"/>
          <a:ext cx="2248026" cy="1098550"/>
        </a:xfrm>
        <a:prstGeom prst="rect">
          <a:avLst/>
        </a:prstGeom>
      </xdr:spPr>
    </xdr:pic>
    <xdr:clientData/>
  </xdr:oneCellAnchor>
  <xdr:oneCellAnchor>
    <xdr:from>
      <xdr:col>6</xdr:col>
      <xdr:colOff>63500</xdr:colOff>
      <xdr:row>110</xdr:row>
      <xdr:rowOff>158750</xdr:rowOff>
    </xdr:from>
    <xdr:ext cx="1057275" cy="1120810"/>
    <xdr:pic>
      <xdr:nvPicPr>
        <xdr:cNvPr id="13" name="Image 12">
          <a:extLst>
            <a:ext uri="{FF2B5EF4-FFF2-40B4-BE49-F238E27FC236}">
              <a16:creationId xmlns:a16="http://schemas.microsoft.com/office/drawing/2014/main" id="{DEE5ECC8-BA59-4343-810B-DAEE0CB60E89}"/>
            </a:ext>
          </a:extLst>
        </xdr:cNvPr>
        <xdr:cNvPicPr>
          <a:picLocks noChangeAspect="1"/>
        </xdr:cNvPicPr>
      </xdr:nvPicPr>
      <xdr:blipFill>
        <a:blip xmlns:r="http://schemas.openxmlformats.org/officeDocument/2006/relationships" r:embed="rId16"/>
        <a:stretch>
          <a:fillRect/>
        </a:stretch>
      </xdr:blipFill>
      <xdr:spPr>
        <a:xfrm>
          <a:off x="6797675" y="36734750"/>
          <a:ext cx="1057275" cy="112081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342900</xdr:colOff>
      <xdr:row>142</xdr:row>
      <xdr:rowOff>1</xdr:rowOff>
    </xdr:from>
    <xdr:to>
      <xdr:col>4</xdr:col>
      <xdr:colOff>31857</xdr:colOff>
      <xdr:row>148</xdr:row>
      <xdr:rowOff>19050</xdr:rowOff>
    </xdr:to>
    <xdr:pic>
      <xdr:nvPicPr>
        <xdr:cNvPr id="2" name="Image 1" descr="canva - associer les couleurs - graphisme - design">
          <a:extLst>
            <a:ext uri="{FF2B5EF4-FFF2-40B4-BE49-F238E27FC236}">
              <a16:creationId xmlns:a16="http://schemas.microsoft.com/office/drawing/2014/main" id="{89CA1CAE-AF82-4924-83BF-EC2C0E98D2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28584526"/>
          <a:ext cx="2413107"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492816</xdr:colOff>
      <xdr:row>155</xdr:row>
      <xdr:rowOff>161924</xdr:rowOff>
    </xdr:from>
    <xdr:to>
      <xdr:col>4</xdr:col>
      <xdr:colOff>76200</xdr:colOff>
      <xdr:row>164</xdr:row>
      <xdr:rowOff>69504</xdr:rowOff>
    </xdr:to>
    <xdr:pic>
      <xdr:nvPicPr>
        <xdr:cNvPr id="3" name="Image 2" descr="canva - nature - associer les couleurs - graphisme - design">
          <a:extLst>
            <a:ext uri="{FF2B5EF4-FFF2-40B4-BE49-F238E27FC236}">
              <a16:creationId xmlns:a16="http://schemas.microsoft.com/office/drawing/2014/main" id="{A50EC93F-87BD-449A-ADB3-621CABE7C6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4816" y="32565974"/>
          <a:ext cx="2307534" cy="1622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295275</xdr:colOff>
      <xdr:row>177</xdr:row>
      <xdr:rowOff>123824</xdr:rowOff>
    </xdr:from>
    <xdr:to>
      <xdr:col>4</xdr:col>
      <xdr:colOff>361861</xdr:colOff>
      <xdr:row>186</xdr:row>
      <xdr:rowOff>133350</xdr:rowOff>
    </xdr:to>
    <xdr:pic>
      <xdr:nvPicPr>
        <xdr:cNvPr id="4" name="Image 3" descr="canva - associer les couleurs - graphisme - design - nature">
          <a:extLst>
            <a:ext uri="{FF2B5EF4-FFF2-40B4-BE49-F238E27FC236}">
              <a16:creationId xmlns:a16="http://schemas.microsoft.com/office/drawing/2014/main" id="{E0C96B79-AF4F-43AB-84D7-142489237BE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7275" y="36718874"/>
          <a:ext cx="2790736" cy="1762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409575</xdr:colOff>
      <xdr:row>188</xdr:row>
      <xdr:rowOff>104775</xdr:rowOff>
    </xdr:from>
    <xdr:to>
      <xdr:col>4</xdr:col>
      <xdr:colOff>419100</xdr:colOff>
      <xdr:row>197</xdr:row>
      <xdr:rowOff>129643</xdr:rowOff>
    </xdr:to>
    <xdr:pic>
      <xdr:nvPicPr>
        <xdr:cNvPr id="5" name="Image 4" descr="canva - associer couleurs - graphisme - design - nature">
          <a:extLst>
            <a:ext uri="{FF2B5EF4-FFF2-40B4-BE49-F238E27FC236}">
              <a16:creationId xmlns:a16="http://schemas.microsoft.com/office/drawing/2014/main" id="{9F0A2140-86C8-426A-BACA-28EEE33F2C8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1575" y="38833425"/>
          <a:ext cx="2733675" cy="1739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199</xdr:row>
      <xdr:rowOff>104775</xdr:rowOff>
    </xdr:from>
    <xdr:to>
      <xdr:col>4</xdr:col>
      <xdr:colOff>225272</xdr:colOff>
      <xdr:row>208</xdr:row>
      <xdr:rowOff>0</xdr:rowOff>
    </xdr:to>
    <xdr:pic>
      <xdr:nvPicPr>
        <xdr:cNvPr id="6" name="Image 5" descr="canva - design - graphisme - associer les couleurs ">
          <a:extLst>
            <a:ext uri="{FF2B5EF4-FFF2-40B4-BE49-F238E27FC236}">
              <a16:creationId xmlns:a16="http://schemas.microsoft.com/office/drawing/2014/main" id="{30AB1A40-BDE7-4428-87AE-5DEDB7839EE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0" y="40928925"/>
          <a:ext cx="2549372"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210</xdr:row>
      <xdr:rowOff>114300</xdr:rowOff>
    </xdr:from>
    <xdr:to>
      <xdr:col>4</xdr:col>
      <xdr:colOff>190500</xdr:colOff>
      <xdr:row>219</xdr:row>
      <xdr:rowOff>47711</xdr:rowOff>
    </xdr:to>
    <xdr:pic>
      <xdr:nvPicPr>
        <xdr:cNvPr id="7" name="Image 6" descr="canva - associer les couleurs - graphisme - design">
          <a:extLst>
            <a:ext uri="{FF2B5EF4-FFF2-40B4-BE49-F238E27FC236}">
              <a16:creationId xmlns:a16="http://schemas.microsoft.com/office/drawing/2014/main" id="{C7844DEA-7646-4C67-B6FE-3312D3230A5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800" y="43033950"/>
          <a:ext cx="2609850" cy="1647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222</xdr:row>
      <xdr:rowOff>114300</xdr:rowOff>
    </xdr:from>
    <xdr:to>
      <xdr:col>3</xdr:col>
      <xdr:colOff>681607</xdr:colOff>
      <xdr:row>230</xdr:row>
      <xdr:rowOff>19050</xdr:rowOff>
    </xdr:to>
    <xdr:pic>
      <xdr:nvPicPr>
        <xdr:cNvPr id="8" name="Image 7" descr="canva - associer les couleurs - graphisme - design ">
          <a:extLst>
            <a:ext uri="{FF2B5EF4-FFF2-40B4-BE49-F238E27FC236}">
              <a16:creationId xmlns:a16="http://schemas.microsoft.com/office/drawing/2014/main" id="{703B5836-8797-404B-A7AA-D4F3B3296F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0" y="43186350"/>
          <a:ext cx="2262757"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232</xdr:row>
      <xdr:rowOff>28575</xdr:rowOff>
    </xdr:from>
    <xdr:to>
      <xdr:col>4</xdr:col>
      <xdr:colOff>531573</xdr:colOff>
      <xdr:row>241</xdr:row>
      <xdr:rowOff>104775</xdr:rowOff>
    </xdr:to>
    <xdr:pic>
      <xdr:nvPicPr>
        <xdr:cNvPr id="9" name="Image 8" descr="canva - associer les couleurs - design - graphisme ">
          <a:extLst>
            <a:ext uri="{FF2B5EF4-FFF2-40B4-BE49-F238E27FC236}">
              <a16:creationId xmlns:a16="http://schemas.microsoft.com/office/drawing/2014/main" id="{286BD413-780E-4A35-8076-B7C98CEAA13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 y="47139225"/>
          <a:ext cx="2817573"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390525</xdr:colOff>
      <xdr:row>243</xdr:row>
      <xdr:rowOff>95250</xdr:rowOff>
    </xdr:from>
    <xdr:to>
      <xdr:col>4</xdr:col>
      <xdr:colOff>291173</xdr:colOff>
      <xdr:row>252</xdr:row>
      <xdr:rowOff>38100</xdr:rowOff>
    </xdr:to>
    <xdr:pic>
      <xdr:nvPicPr>
        <xdr:cNvPr id="10" name="Image 9" descr="canva - associer les couleurs - design - graphisme ">
          <a:extLst>
            <a:ext uri="{FF2B5EF4-FFF2-40B4-BE49-F238E27FC236}">
              <a16:creationId xmlns:a16="http://schemas.microsoft.com/office/drawing/2014/main" id="{B2E6FE5F-7FA6-4571-8374-5ADE62CB7B8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2525" y="49301400"/>
          <a:ext cx="2624798"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255</xdr:row>
      <xdr:rowOff>9525</xdr:rowOff>
    </xdr:from>
    <xdr:to>
      <xdr:col>4</xdr:col>
      <xdr:colOff>242730</xdr:colOff>
      <xdr:row>263</xdr:row>
      <xdr:rowOff>76201</xdr:rowOff>
    </xdr:to>
    <xdr:pic>
      <xdr:nvPicPr>
        <xdr:cNvPr id="11" name="Image 10" descr="canva - associer les couleurs - graphisme - design ">
          <a:extLst>
            <a:ext uri="{FF2B5EF4-FFF2-40B4-BE49-F238E27FC236}">
              <a16:creationId xmlns:a16="http://schemas.microsoft.com/office/drawing/2014/main" id="{363BB208-31E6-43B7-B92B-0DD3AE40CCD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09675" y="51501675"/>
          <a:ext cx="2519205" cy="1590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276226</xdr:colOff>
      <xdr:row>265</xdr:row>
      <xdr:rowOff>95249</xdr:rowOff>
    </xdr:from>
    <xdr:to>
      <xdr:col>4</xdr:col>
      <xdr:colOff>38100</xdr:colOff>
      <xdr:row>273</xdr:row>
      <xdr:rowOff>140974</xdr:rowOff>
    </xdr:to>
    <xdr:pic>
      <xdr:nvPicPr>
        <xdr:cNvPr id="12" name="Image 11" descr="canva - associer les couleurs - graphisme - design">
          <a:extLst>
            <a:ext uri="{FF2B5EF4-FFF2-40B4-BE49-F238E27FC236}">
              <a16:creationId xmlns:a16="http://schemas.microsoft.com/office/drawing/2014/main" id="{3E579D97-0A4A-4359-B9AC-499BF9AD13A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38226" y="53492399"/>
          <a:ext cx="2486024" cy="156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400050</xdr:colOff>
      <xdr:row>277</xdr:row>
      <xdr:rowOff>76200</xdr:rowOff>
    </xdr:from>
    <xdr:to>
      <xdr:col>4</xdr:col>
      <xdr:colOff>59338</xdr:colOff>
      <xdr:row>285</xdr:row>
      <xdr:rowOff>57150</xdr:rowOff>
    </xdr:to>
    <xdr:pic>
      <xdr:nvPicPr>
        <xdr:cNvPr id="13" name="Image 12" descr="canva - associer les couleurs - graphisme - design">
          <a:extLst>
            <a:ext uri="{FF2B5EF4-FFF2-40B4-BE49-F238E27FC236}">
              <a16:creationId xmlns:a16="http://schemas.microsoft.com/office/drawing/2014/main" id="{8EA5AEB0-722D-4EDF-AEDA-B4134CE01AA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62050" y="53625750"/>
          <a:ext cx="2383438"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447675</xdr:colOff>
      <xdr:row>288</xdr:row>
      <xdr:rowOff>85725</xdr:rowOff>
    </xdr:from>
    <xdr:to>
      <xdr:col>3</xdr:col>
      <xdr:colOff>642687</xdr:colOff>
      <xdr:row>295</xdr:row>
      <xdr:rowOff>114300</xdr:rowOff>
    </xdr:to>
    <xdr:pic>
      <xdr:nvPicPr>
        <xdr:cNvPr id="14" name="Image 13" descr="canva - associer les couleurs - design - graphisme">
          <a:extLst>
            <a:ext uri="{FF2B5EF4-FFF2-40B4-BE49-F238E27FC236}">
              <a16:creationId xmlns:a16="http://schemas.microsoft.com/office/drawing/2014/main" id="{31E20D73-A2C3-49F5-B9F1-7D306E53401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9675" y="55730775"/>
          <a:ext cx="2157162"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299</xdr:row>
      <xdr:rowOff>0</xdr:rowOff>
    </xdr:from>
    <xdr:to>
      <xdr:col>4</xdr:col>
      <xdr:colOff>57150</xdr:colOff>
      <xdr:row>307</xdr:row>
      <xdr:rowOff>109379</xdr:rowOff>
    </xdr:to>
    <xdr:pic>
      <xdr:nvPicPr>
        <xdr:cNvPr id="15" name="Image 14" descr="canva - associer les couleurs - graphisme - design">
          <a:extLst>
            <a:ext uri="{FF2B5EF4-FFF2-40B4-BE49-F238E27FC236}">
              <a16:creationId xmlns:a16="http://schemas.microsoft.com/office/drawing/2014/main" id="{AC170AD3-5961-417C-8A9C-C0793809809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71550" y="57740550"/>
          <a:ext cx="2571750" cy="1633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310</xdr:row>
      <xdr:rowOff>47624</xdr:rowOff>
    </xdr:from>
    <xdr:to>
      <xdr:col>3</xdr:col>
      <xdr:colOff>630018</xdr:colOff>
      <xdr:row>317</xdr:row>
      <xdr:rowOff>152399</xdr:rowOff>
    </xdr:to>
    <xdr:pic>
      <xdr:nvPicPr>
        <xdr:cNvPr id="16" name="Image 15" descr="canva - associer les couleurs - graphisme - design">
          <a:extLst>
            <a:ext uri="{FF2B5EF4-FFF2-40B4-BE49-F238E27FC236}">
              <a16:creationId xmlns:a16="http://schemas.microsoft.com/office/drawing/2014/main" id="{675167F0-F53C-40C9-8CED-1A2A35CCAAC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76325" y="59883674"/>
          <a:ext cx="2277843"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419100</xdr:colOff>
      <xdr:row>321</xdr:row>
      <xdr:rowOff>19050</xdr:rowOff>
    </xdr:from>
    <xdr:to>
      <xdr:col>3</xdr:col>
      <xdr:colOff>733425</xdr:colOff>
      <xdr:row>328</xdr:row>
      <xdr:rowOff>122962</xdr:rowOff>
    </xdr:to>
    <xdr:pic>
      <xdr:nvPicPr>
        <xdr:cNvPr id="17" name="Image 16" descr="canva - associer les couleurs - graphisme - design">
          <a:extLst>
            <a:ext uri="{FF2B5EF4-FFF2-40B4-BE49-F238E27FC236}">
              <a16:creationId xmlns:a16="http://schemas.microsoft.com/office/drawing/2014/main" id="{1B2F9DE0-A3CC-4B32-87A6-AA9AF4CEC0A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81100" y="61950600"/>
          <a:ext cx="2276475" cy="1437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209550</xdr:colOff>
      <xdr:row>332</xdr:row>
      <xdr:rowOff>0</xdr:rowOff>
    </xdr:from>
    <xdr:to>
      <xdr:col>3</xdr:col>
      <xdr:colOff>600668</xdr:colOff>
      <xdr:row>339</xdr:row>
      <xdr:rowOff>152400</xdr:rowOff>
    </xdr:to>
    <xdr:pic>
      <xdr:nvPicPr>
        <xdr:cNvPr id="18" name="Image 17" descr="canva - associer les couleurs - design - graphisme">
          <a:extLst>
            <a:ext uri="{FF2B5EF4-FFF2-40B4-BE49-F238E27FC236}">
              <a16:creationId xmlns:a16="http://schemas.microsoft.com/office/drawing/2014/main" id="{27D51ABE-CD37-466D-88E7-E1907C43531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71550" y="64027050"/>
          <a:ext cx="2353268"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333375</xdr:colOff>
      <xdr:row>343</xdr:row>
      <xdr:rowOff>38100</xdr:rowOff>
    </xdr:from>
    <xdr:to>
      <xdr:col>3</xdr:col>
      <xdr:colOff>724493</xdr:colOff>
      <xdr:row>351</xdr:row>
      <xdr:rowOff>0</xdr:rowOff>
    </xdr:to>
    <xdr:pic>
      <xdr:nvPicPr>
        <xdr:cNvPr id="19" name="Image 18" descr="canva - associer les couleurs - design - graphisme">
          <a:extLst>
            <a:ext uri="{FF2B5EF4-FFF2-40B4-BE49-F238E27FC236}">
              <a16:creationId xmlns:a16="http://schemas.microsoft.com/office/drawing/2014/main" id="{EB2A5741-0546-4D51-8720-094072ACE27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95375" y="66160650"/>
          <a:ext cx="2353268"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276225</xdr:colOff>
      <xdr:row>354</xdr:row>
      <xdr:rowOff>1</xdr:rowOff>
    </xdr:from>
    <xdr:to>
      <xdr:col>3</xdr:col>
      <xdr:colOff>757853</xdr:colOff>
      <xdr:row>362</xdr:row>
      <xdr:rowOff>19051</xdr:rowOff>
    </xdr:to>
    <xdr:pic>
      <xdr:nvPicPr>
        <xdr:cNvPr id="20" name="Image 19" descr="canva - associer les couleurs - graphisme - design ">
          <a:extLst>
            <a:ext uri="{FF2B5EF4-FFF2-40B4-BE49-F238E27FC236}">
              <a16:creationId xmlns:a16="http://schemas.microsoft.com/office/drawing/2014/main" id="{355C2CB1-F033-4883-8A86-7C7D89E3118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38225" y="70351651"/>
          <a:ext cx="2443778"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365</xdr:row>
      <xdr:rowOff>0</xdr:rowOff>
    </xdr:from>
    <xdr:to>
      <xdr:col>3</xdr:col>
      <xdr:colOff>680059</xdr:colOff>
      <xdr:row>373</xdr:row>
      <xdr:rowOff>0</xdr:rowOff>
    </xdr:to>
    <xdr:pic>
      <xdr:nvPicPr>
        <xdr:cNvPr id="21" name="Image 20" descr="canva - associer les couleurs - design - graphisme">
          <a:extLst>
            <a:ext uri="{FF2B5EF4-FFF2-40B4-BE49-F238E27FC236}">
              <a16:creationId xmlns:a16="http://schemas.microsoft.com/office/drawing/2014/main" id="{B5EE4785-AFB7-4797-AF36-7416EA2507C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90601" y="70313550"/>
          <a:ext cx="2413608"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342900</xdr:colOff>
      <xdr:row>166</xdr:row>
      <xdr:rowOff>123825</xdr:rowOff>
    </xdr:from>
    <xdr:to>
      <xdr:col>4</xdr:col>
      <xdr:colOff>295275</xdr:colOff>
      <xdr:row>175</xdr:row>
      <xdr:rowOff>99336</xdr:rowOff>
    </xdr:to>
    <xdr:pic>
      <xdr:nvPicPr>
        <xdr:cNvPr id="22" name="Image 21" descr="canva - associer les couleurs - graphisme - design - nature">
          <a:extLst>
            <a:ext uri="{FF2B5EF4-FFF2-40B4-BE49-F238E27FC236}">
              <a16:creationId xmlns:a16="http://schemas.microsoft.com/office/drawing/2014/main" id="{EDA3FFED-FED1-4DA6-BB54-63B60770901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104900" y="34623375"/>
          <a:ext cx="2676525" cy="1690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361950</xdr:colOff>
      <xdr:row>378</xdr:row>
      <xdr:rowOff>180976</xdr:rowOff>
    </xdr:from>
    <xdr:to>
      <xdr:col>4</xdr:col>
      <xdr:colOff>180830</xdr:colOff>
      <xdr:row>384</xdr:row>
      <xdr:rowOff>133350</xdr:rowOff>
    </xdr:to>
    <xdr:pic>
      <xdr:nvPicPr>
        <xdr:cNvPr id="23" name="Image 22">
          <a:extLst>
            <a:ext uri="{FF2B5EF4-FFF2-40B4-BE49-F238E27FC236}">
              <a16:creationId xmlns:a16="http://schemas.microsoft.com/office/drawing/2014/main" id="{E6DF38D7-1497-45EE-9058-8D7E4517A95A}"/>
            </a:ext>
          </a:extLst>
        </xdr:cNvPr>
        <xdr:cNvPicPr>
          <a:picLocks noChangeAspect="1"/>
        </xdr:cNvPicPr>
      </xdr:nvPicPr>
      <xdr:blipFill>
        <a:blip xmlns:r="http://schemas.openxmlformats.org/officeDocument/2006/relationships" r:embed="rId22"/>
        <a:stretch>
          <a:fillRect/>
        </a:stretch>
      </xdr:blipFill>
      <xdr:spPr>
        <a:xfrm>
          <a:off x="1123950" y="72590026"/>
          <a:ext cx="2543030" cy="1095374"/>
        </a:xfrm>
        <a:prstGeom prst="rect">
          <a:avLst/>
        </a:prstGeom>
      </xdr:spPr>
    </xdr:pic>
    <xdr:clientData/>
  </xdr:twoCellAnchor>
  <xdr:twoCellAnchor>
    <xdr:from>
      <xdr:col>1</xdr:col>
      <xdr:colOff>323850</xdr:colOff>
      <xdr:row>389</xdr:row>
      <xdr:rowOff>85726</xdr:rowOff>
    </xdr:from>
    <xdr:to>
      <xdr:col>4</xdr:col>
      <xdr:colOff>180975</xdr:colOff>
      <xdr:row>395</xdr:row>
      <xdr:rowOff>154454</xdr:rowOff>
    </xdr:to>
    <xdr:pic>
      <xdr:nvPicPr>
        <xdr:cNvPr id="24" name="Image 23">
          <a:extLst>
            <a:ext uri="{FF2B5EF4-FFF2-40B4-BE49-F238E27FC236}">
              <a16:creationId xmlns:a16="http://schemas.microsoft.com/office/drawing/2014/main" id="{0F7BD04A-DCBF-4EC6-800A-6A23D3FFD0CF}"/>
            </a:ext>
          </a:extLst>
        </xdr:cNvPr>
        <xdr:cNvPicPr>
          <a:picLocks noChangeAspect="1"/>
        </xdr:cNvPicPr>
      </xdr:nvPicPr>
      <xdr:blipFill>
        <a:blip xmlns:r="http://schemas.openxmlformats.org/officeDocument/2006/relationships" r:embed="rId23"/>
        <a:stretch>
          <a:fillRect/>
        </a:stretch>
      </xdr:blipFill>
      <xdr:spPr>
        <a:xfrm>
          <a:off x="1085850" y="74590276"/>
          <a:ext cx="2581275" cy="1211728"/>
        </a:xfrm>
        <a:prstGeom prst="rect">
          <a:avLst/>
        </a:prstGeom>
      </xdr:spPr>
    </xdr:pic>
    <xdr:clientData/>
  </xdr:twoCellAnchor>
  <xdr:twoCellAnchor>
    <xdr:from>
      <xdr:col>1</xdr:col>
      <xdr:colOff>457200</xdr:colOff>
      <xdr:row>401</xdr:row>
      <xdr:rowOff>0</xdr:rowOff>
    </xdr:from>
    <xdr:to>
      <xdr:col>4</xdr:col>
      <xdr:colOff>156621</xdr:colOff>
      <xdr:row>406</xdr:row>
      <xdr:rowOff>47625</xdr:rowOff>
    </xdr:to>
    <xdr:pic>
      <xdr:nvPicPr>
        <xdr:cNvPr id="25" name="Image 24">
          <a:extLst>
            <a:ext uri="{FF2B5EF4-FFF2-40B4-BE49-F238E27FC236}">
              <a16:creationId xmlns:a16="http://schemas.microsoft.com/office/drawing/2014/main" id="{DD02CD60-13DE-4524-BB25-E2802C0B7F3E}"/>
            </a:ext>
          </a:extLst>
        </xdr:cNvPr>
        <xdr:cNvPicPr>
          <a:picLocks noChangeAspect="1"/>
        </xdr:cNvPicPr>
      </xdr:nvPicPr>
      <xdr:blipFill>
        <a:blip xmlns:r="http://schemas.openxmlformats.org/officeDocument/2006/relationships" r:embed="rId24"/>
        <a:stretch>
          <a:fillRect/>
        </a:stretch>
      </xdr:blipFill>
      <xdr:spPr>
        <a:xfrm>
          <a:off x="1219200" y="76790550"/>
          <a:ext cx="2423571" cy="1000125"/>
        </a:xfrm>
        <a:prstGeom prst="rect">
          <a:avLst/>
        </a:prstGeom>
      </xdr:spPr>
    </xdr:pic>
    <xdr:clientData/>
  </xdr:twoCellAnchor>
  <xdr:twoCellAnchor>
    <xdr:from>
      <xdr:col>1</xdr:col>
      <xdr:colOff>495300</xdr:colOff>
      <xdr:row>411</xdr:row>
      <xdr:rowOff>104776</xdr:rowOff>
    </xdr:from>
    <xdr:to>
      <xdr:col>4</xdr:col>
      <xdr:colOff>28575</xdr:colOff>
      <xdr:row>417</xdr:row>
      <xdr:rowOff>82964</xdr:rowOff>
    </xdr:to>
    <xdr:pic>
      <xdr:nvPicPr>
        <xdr:cNvPr id="26" name="Image 25">
          <a:extLst>
            <a:ext uri="{FF2B5EF4-FFF2-40B4-BE49-F238E27FC236}">
              <a16:creationId xmlns:a16="http://schemas.microsoft.com/office/drawing/2014/main" id="{33339210-1F29-4C79-930D-6FB0E7C01534}"/>
            </a:ext>
          </a:extLst>
        </xdr:cNvPr>
        <xdr:cNvPicPr>
          <a:picLocks noChangeAspect="1"/>
        </xdr:cNvPicPr>
      </xdr:nvPicPr>
      <xdr:blipFill>
        <a:blip xmlns:r="http://schemas.openxmlformats.org/officeDocument/2006/relationships" r:embed="rId25"/>
        <a:stretch>
          <a:fillRect/>
        </a:stretch>
      </xdr:blipFill>
      <xdr:spPr>
        <a:xfrm>
          <a:off x="1257300" y="78800326"/>
          <a:ext cx="2257425" cy="1121188"/>
        </a:xfrm>
        <a:prstGeom prst="rect">
          <a:avLst/>
        </a:prstGeom>
      </xdr:spPr>
    </xdr:pic>
    <xdr:clientData/>
  </xdr:twoCellAnchor>
  <xdr:twoCellAnchor editAs="oneCell">
    <xdr:from>
      <xdr:col>10</xdr:col>
      <xdr:colOff>638175</xdr:colOff>
      <xdr:row>155</xdr:row>
      <xdr:rowOff>38100</xdr:rowOff>
    </xdr:from>
    <xdr:to>
      <xdr:col>15</xdr:col>
      <xdr:colOff>124285</xdr:colOff>
      <xdr:row>174</xdr:row>
      <xdr:rowOff>19553</xdr:rowOff>
    </xdr:to>
    <xdr:pic>
      <xdr:nvPicPr>
        <xdr:cNvPr id="27" name="Image 26">
          <a:extLst>
            <a:ext uri="{FF2B5EF4-FFF2-40B4-BE49-F238E27FC236}">
              <a16:creationId xmlns:a16="http://schemas.microsoft.com/office/drawing/2014/main" id="{1EB9E0C0-A33F-46DD-A72E-5F07CC462947}"/>
            </a:ext>
          </a:extLst>
        </xdr:cNvPr>
        <xdr:cNvPicPr>
          <a:picLocks noChangeAspect="1"/>
        </xdr:cNvPicPr>
      </xdr:nvPicPr>
      <xdr:blipFill>
        <a:blip xmlns:r="http://schemas.openxmlformats.org/officeDocument/2006/relationships" r:embed="rId26"/>
        <a:stretch>
          <a:fillRect/>
        </a:stretch>
      </xdr:blipFill>
      <xdr:spPr>
        <a:xfrm>
          <a:off x="7905750" y="31251525"/>
          <a:ext cx="3296110" cy="3600953"/>
        </a:xfrm>
        <a:prstGeom prst="rect">
          <a:avLst/>
        </a:prstGeom>
      </xdr:spPr>
    </xdr:pic>
    <xdr:clientData/>
  </xdr:twoCellAnchor>
  <xdr:twoCellAnchor editAs="oneCell">
    <xdr:from>
      <xdr:col>10</xdr:col>
      <xdr:colOff>628650</xdr:colOff>
      <xdr:row>184</xdr:row>
      <xdr:rowOff>85725</xdr:rowOff>
    </xdr:from>
    <xdr:to>
      <xdr:col>14</xdr:col>
      <xdr:colOff>743391</xdr:colOff>
      <xdr:row>198</xdr:row>
      <xdr:rowOff>171834</xdr:rowOff>
    </xdr:to>
    <xdr:pic>
      <xdr:nvPicPr>
        <xdr:cNvPr id="34" name="Image 33">
          <a:extLst>
            <a:ext uri="{FF2B5EF4-FFF2-40B4-BE49-F238E27FC236}">
              <a16:creationId xmlns:a16="http://schemas.microsoft.com/office/drawing/2014/main" id="{854A6F3D-6CEB-A394-31F8-8858165EAAFB}"/>
            </a:ext>
          </a:extLst>
        </xdr:cNvPr>
        <xdr:cNvPicPr>
          <a:picLocks noChangeAspect="1"/>
        </xdr:cNvPicPr>
      </xdr:nvPicPr>
      <xdr:blipFill>
        <a:blip xmlns:r="http://schemas.openxmlformats.org/officeDocument/2006/relationships" r:embed="rId27"/>
        <a:stretch>
          <a:fillRect/>
        </a:stretch>
      </xdr:blipFill>
      <xdr:spPr>
        <a:xfrm>
          <a:off x="8334375" y="38052375"/>
          <a:ext cx="3162741" cy="27531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13</xdr:col>
      <xdr:colOff>0</xdr:colOff>
      <xdr:row>17</xdr:row>
      <xdr:rowOff>0</xdr:rowOff>
    </xdr:from>
    <xdr:ext cx="3857625" cy="2128665"/>
    <xdr:pic>
      <xdr:nvPicPr>
        <xdr:cNvPr id="2" name="Image 1">
          <a:extLst>
            <a:ext uri="{FF2B5EF4-FFF2-40B4-BE49-F238E27FC236}">
              <a16:creationId xmlns:a16="http://schemas.microsoft.com/office/drawing/2014/main" id="{02D98DA5-E7F2-4CEE-AB14-E876079D3F39}"/>
            </a:ext>
          </a:extLst>
        </xdr:cNvPr>
        <xdr:cNvPicPr>
          <a:picLocks noChangeAspect="1"/>
        </xdr:cNvPicPr>
      </xdr:nvPicPr>
      <xdr:blipFill>
        <a:blip xmlns:r="http://schemas.openxmlformats.org/officeDocument/2006/relationships" r:embed="rId1"/>
        <a:stretch>
          <a:fillRect/>
        </a:stretch>
      </xdr:blipFill>
      <xdr:spPr>
        <a:xfrm>
          <a:off x="19250025" y="4524375"/>
          <a:ext cx="3857625" cy="2128665"/>
        </a:xfrm>
        <a:prstGeom prst="rect">
          <a:avLst/>
        </a:prstGeom>
      </xdr:spPr>
    </xdr:pic>
    <xdr:clientData/>
  </xdr:oneCellAnchor>
  <xdr:twoCellAnchor editAs="oneCell">
    <xdr:from>
      <xdr:col>3</xdr:col>
      <xdr:colOff>800100</xdr:colOff>
      <xdr:row>8</xdr:row>
      <xdr:rowOff>114300</xdr:rowOff>
    </xdr:from>
    <xdr:to>
      <xdr:col>3</xdr:col>
      <xdr:colOff>1506631</xdr:colOff>
      <xdr:row>8</xdr:row>
      <xdr:rowOff>609600</xdr:rowOff>
    </xdr:to>
    <xdr:pic>
      <xdr:nvPicPr>
        <xdr:cNvPr id="3" name="Image 2">
          <a:extLst>
            <a:ext uri="{FF2B5EF4-FFF2-40B4-BE49-F238E27FC236}">
              <a16:creationId xmlns:a16="http://schemas.microsoft.com/office/drawing/2014/main" id="{CC49F86C-AF99-44D8-8939-923343D6C4FC}"/>
            </a:ext>
          </a:extLst>
        </xdr:cNvPr>
        <xdr:cNvPicPr>
          <a:picLocks noChangeAspect="1"/>
        </xdr:cNvPicPr>
      </xdr:nvPicPr>
      <xdr:blipFill>
        <a:blip xmlns:r="http://schemas.openxmlformats.org/officeDocument/2006/relationships" r:embed="rId2"/>
        <a:stretch>
          <a:fillRect/>
        </a:stretch>
      </xdr:blipFill>
      <xdr:spPr>
        <a:xfrm>
          <a:off x="4648200" y="1733550"/>
          <a:ext cx="706531" cy="495300"/>
        </a:xfrm>
        <a:prstGeom prst="rect">
          <a:avLst/>
        </a:prstGeom>
      </xdr:spPr>
    </xdr:pic>
    <xdr:clientData/>
  </xdr:twoCellAnchor>
  <xdr:twoCellAnchor editAs="oneCell">
    <xdr:from>
      <xdr:col>7</xdr:col>
      <xdr:colOff>685800</xdr:colOff>
      <xdr:row>8</xdr:row>
      <xdr:rowOff>76200</xdr:rowOff>
    </xdr:from>
    <xdr:to>
      <xdr:col>7</xdr:col>
      <xdr:colOff>1705841</xdr:colOff>
      <xdr:row>8</xdr:row>
      <xdr:rowOff>666750</xdr:rowOff>
    </xdr:to>
    <xdr:pic>
      <xdr:nvPicPr>
        <xdr:cNvPr id="4" name="Image 3">
          <a:extLst>
            <a:ext uri="{FF2B5EF4-FFF2-40B4-BE49-F238E27FC236}">
              <a16:creationId xmlns:a16="http://schemas.microsoft.com/office/drawing/2014/main" id="{E802527F-843B-454C-BA09-42C8A96C6F89}"/>
            </a:ext>
          </a:extLst>
        </xdr:cNvPr>
        <xdr:cNvPicPr>
          <a:picLocks noChangeAspect="1"/>
        </xdr:cNvPicPr>
      </xdr:nvPicPr>
      <xdr:blipFill>
        <a:blip xmlns:r="http://schemas.openxmlformats.org/officeDocument/2006/relationships" r:embed="rId3"/>
        <a:stretch>
          <a:fillRect/>
        </a:stretch>
      </xdr:blipFill>
      <xdr:spPr>
        <a:xfrm>
          <a:off x="10801350" y="1695450"/>
          <a:ext cx="1020041" cy="590550"/>
        </a:xfrm>
        <a:prstGeom prst="rect">
          <a:avLst/>
        </a:prstGeom>
      </xdr:spPr>
    </xdr:pic>
    <xdr:clientData/>
  </xdr:twoCellAnchor>
  <xdr:twoCellAnchor editAs="oneCell">
    <xdr:from>
      <xdr:col>11</xdr:col>
      <xdr:colOff>904875</xdr:colOff>
      <xdr:row>8</xdr:row>
      <xdr:rowOff>104775</xdr:rowOff>
    </xdr:from>
    <xdr:to>
      <xdr:col>11</xdr:col>
      <xdr:colOff>1968358</xdr:colOff>
      <xdr:row>8</xdr:row>
      <xdr:rowOff>685800</xdr:rowOff>
    </xdr:to>
    <xdr:pic>
      <xdr:nvPicPr>
        <xdr:cNvPr id="5" name="Image 4">
          <a:extLst>
            <a:ext uri="{FF2B5EF4-FFF2-40B4-BE49-F238E27FC236}">
              <a16:creationId xmlns:a16="http://schemas.microsoft.com/office/drawing/2014/main" id="{4768EA67-4B06-4386-B9DD-31F948CFBDB4}"/>
            </a:ext>
          </a:extLst>
        </xdr:cNvPr>
        <xdr:cNvPicPr>
          <a:picLocks noChangeAspect="1"/>
        </xdr:cNvPicPr>
      </xdr:nvPicPr>
      <xdr:blipFill>
        <a:blip xmlns:r="http://schemas.openxmlformats.org/officeDocument/2006/relationships" r:embed="rId4"/>
        <a:stretch>
          <a:fillRect/>
        </a:stretch>
      </xdr:blipFill>
      <xdr:spPr>
        <a:xfrm>
          <a:off x="17002125" y="1724025"/>
          <a:ext cx="1063483" cy="581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32</xdr:col>
      <xdr:colOff>981075</xdr:colOff>
      <xdr:row>5</xdr:row>
      <xdr:rowOff>190500</xdr:rowOff>
    </xdr:from>
    <xdr:to>
      <xdr:col>32</xdr:col>
      <xdr:colOff>2228850</xdr:colOff>
      <xdr:row>7</xdr:row>
      <xdr:rowOff>152400</xdr:rowOff>
    </xdr:to>
    <xdr:pic>
      <xdr:nvPicPr>
        <xdr:cNvPr id="2" name="Image 1">
          <a:extLst>
            <a:ext uri="{FF2B5EF4-FFF2-40B4-BE49-F238E27FC236}">
              <a16:creationId xmlns:a16="http://schemas.microsoft.com/office/drawing/2014/main" id="{C693DFAD-3200-448A-AF33-D7AC422FB0C8}"/>
            </a:ext>
          </a:extLst>
        </xdr:cNvPr>
        <xdr:cNvPicPr>
          <a:picLocks noChangeAspect="1"/>
        </xdr:cNvPicPr>
      </xdr:nvPicPr>
      <xdr:blipFill>
        <a:blip xmlns:r="http://schemas.openxmlformats.org/officeDocument/2006/relationships" r:embed="rId1"/>
        <a:stretch>
          <a:fillRect/>
        </a:stretch>
      </xdr:blipFill>
      <xdr:spPr>
        <a:xfrm>
          <a:off x="43100625" y="1485900"/>
          <a:ext cx="1247775" cy="495300"/>
        </a:xfrm>
        <a:prstGeom prst="rect">
          <a:avLst/>
        </a:prstGeom>
      </xdr:spPr>
    </xdr:pic>
    <xdr:clientData/>
  </xdr:twoCellAnchor>
  <xdr:twoCellAnchor editAs="oneCell">
    <xdr:from>
      <xdr:col>40</xdr:col>
      <xdr:colOff>1181100</xdr:colOff>
      <xdr:row>5</xdr:row>
      <xdr:rowOff>133350</xdr:rowOff>
    </xdr:from>
    <xdr:to>
      <xdr:col>40</xdr:col>
      <xdr:colOff>2581275</xdr:colOff>
      <xdr:row>7</xdr:row>
      <xdr:rowOff>190500</xdr:rowOff>
    </xdr:to>
    <xdr:pic>
      <xdr:nvPicPr>
        <xdr:cNvPr id="3" name="Image 2">
          <a:extLst>
            <a:ext uri="{FF2B5EF4-FFF2-40B4-BE49-F238E27FC236}">
              <a16:creationId xmlns:a16="http://schemas.microsoft.com/office/drawing/2014/main" id="{AF221AB5-5806-4E88-9749-749EF241C55F}"/>
            </a:ext>
          </a:extLst>
        </xdr:cNvPr>
        <xdr:cNvPicPr>
          <a:picLocks noChangeAspect="1"/>
        </xdr:cNvPicPr>
      </xdr:nvPicPr>
      <xdr:blipFill>
        <a:blip xmlns:r="http://schemas.openxmlformats.org/officeDocument/2006/relationships" r:embed="rId2"/>
        <a:stretch>
          <a:fillRect/>
        </a:stretch>
      </xdr:blipFill>
      <xdr:spPr>
        <a:xfrm>
          <a:off x="53044725" y="1428750"/>
          <a:ext cx="1400175" cy="590550"/>
        </a:xfrm>
        <a:prstGeom prst="rect">
          <a:avLst/>
        </a:prstGeom>
      </xdr:spPr>
    </xdr:pic>
    <xdr:clientData/>
  </xdr:twoCellAnchor>
  <xdr:twoCellAnchor editAs="oneCell">
    <xdr:from>
      <xdr:col>48</xdr:col>
      <xdr:colOff>1600201</xdr:colOff>
      <xdr:row>5</xdr:row>
      <xdr:rowOff>133350</xdr:rowOff>
    </xdr:from>
    <xdr:to>
      <xdr:col>48</xdr:col>
      <xdr:colOff>2876551</xdr:colOff>
      <xdr:row>7</xdr:row>
      <xdr:rowOff>180975</xdr:rowOff>
    </xdr:to>
    <xdr:pic>
      <xdr:nvPicPr>
        <xdr:cNvPr id="4" name="Image 3">
          <a:extLst>
            <a:ext uri="{FF2B5EF4-FFF2-40B4-BE49-F238E27FC236}">
              <a16:creationId xmlns:a16="http://schemas.microsoft.com/office/drawing/2014/main" id="{3B472EEB-CA71-4195-9FDC-003A2917DE02}"/>
            </a:ext>
          </a:extLst>
        </xdr:cNvPr>
        <xdr:cNvPicPr>
          <a:picLocks noChangeAspect="1"/>
        </xdr:cNvPicPr>
      </xdr:nvPicPr>
      <xdr:blipFill>
        <a:blip xmlns:r="http://schemas.openxmlformats.org/officeDocument/2006/relationships" r:embed="rId3"/>
        <a:stretch>
          <a:fillRect/>
        </a:stretch>
      </xdr:blipFill>
      <xdr:spPr>
        <a:xfrm>
          <a:off x="63207901" y="1428750"/>
          <a:ext cx="1276350" cy="581025"/>
        </a:xfrm>
        <a:prstGeom prst="rect">
          <a:avLst/>
        </a:prstGeom>
      </xdr:spPr>
    </xdr:pic>
    <xdr:clientData/>
  </xdr:twoCellAnchor>
  <xdr:oneCellAnchor>
    <xdr:from>
      <xdr:col>40</xdr:col>
      <xdr:colOff>1419225</xdr:colOff>
      <xdr:row>24</xdr:row>
      <xdr:rowOff>133350</xdr:rowOff>
    </xdr:from>
    <xdr:ext cx="571500" cy="571500"/>
    <xdr:pic>
      <xdr:nvPicPr>
        <xdr:cNvPr id="8" name="Image 7">
          <a:extLst>
            <a:ext uri="{FF2B5EF4-FFF2-40B4-BE49-F238E27FC236}">
              <a16:creationId xmlns:a16="http://schemas.microsoft.com/office/drawing/2014/main" id="{AAD1444E-80C5-453C-A67E-4AEEF320DC06}"/>
            </a:ext>
          </a:extLst>
        </xdr:cNvPr>
        <xdr:cNvPicPr>
          <a:picLocks noChangeAspect="1"/>
        </xdr:cNvPicPr>
      </xdr:nvPicPr>
      <xdr:blipFill>
        <a:blip xmlns:r="http://schemas.openxmlformats.org/officeDocument/2006/relationships" r:embed="rId4"/>
        <a:stretch>
          <a:fillRect/>
        </a:stretch>
      </xdr:blipFill>
      <xdr:spPr>
        <a:xfrm>
          <a:off x="94526100" y="6591300"/>
          <a:ext cx="571500" cy="571500"/>
        </a:xfrm>
        <a:prstGeom prst="rect">
          <a:avLst/>
        </a:prstGeom>
      </xdr:spPr>
    </xdr:pic>
    <xdr:clientData/>
  </xdr:oneCellAnchor>
  <xdr:oneCellAnchor>
    <xdr:from>
      <xdr:col>48</xdr:col>
      <xdr:colOff>1533525</xdr:colOff>
      <xdr:row>24</xdr:row>
      <xdr:rowOff>161925</xdr:rowOff>
    </xdr:from>
    <xdr:ext cx="571500" cy="571500"/>
    <xdr:pic>
      <xdr:nvPicPr>
        <xdr:cNvPr id="9" name="Image 8">
          <a:extLst>
            <a:ext uri="{FF2B5EF4-FFF2-40B4-BE49-F238E27FC236}">
              <a16:creationId xmlns:a16="http://schemas.microsoft.com/office/drawing/2014/main" id="{6825D154-95F6-4E8A-9E65-28A2AAC8FB72}"/>
            </a:ext>
          </a:extLst>
        </xdr:cNvPr>
        <xdr:cNvPicPr>
          <a:picLocks noChangeAspect="1"/>
        </xdr:cNvPicPr>
      </xdr:nvPicPr>
      <xdr:blipFill>
        <a:blip xmlns:r="http://schemas.openxmlformats.org/officeDocument/2006/relationships" r:embed="rId4"/>
        <a:stretch>
          <a:fillRect/>
        </a:stretch>
      </xdr:blipFill>
      <xdr:spPr>
        <a:xfrm>
          <a:off x="63141225" y="6515100"/>
          <a:ext cx="571500" cy="571500"/>
        </a:xfrm>
        <a:prstGeom prst="rect">
          <a:avLst/>
        </a:prstGeom>
      </xdr:spPr>
    </xdr:pic>
    <xdr:clientData/>
  </xdr:oneCellAnchor>
  <xdr:oneCellAnchor>
    <xdr:from>
      <xdr:col>32</xdr:col>
      <xdr:colOff>1276350</xdr:colOff>
      <xdr:row>25</xdr:row>
      <xdr:rowOff>76200</xdr:rowOff>
    </xdr:from>
    <xdr:ext cx="571500" cy="571500"/>
    <xdr:pic>
      <xdr:nvPicPr>
        <xdr:cNvPr id="10" name="Image 9">
          <a:extLst>
            <a:ext uri="{FF2B5EF4-FFF2-40B4-BE49-F238E27FC236}">
              <a16:creationId xmlns:a16="http://schemas.microsoft.com/office/drawing/2014/main" id="{CCFED085-71C4-4525-B179-61DB5231FF3D}"/>
            </a:ext>
          </a:extLst>
        </xdr:cNvPr>
        <xdr:cNvPicPr>
          <a:picLocks noChangeAspect="1"/>
        </xdr:cNvPicPr>
      </xdr:nvPicPr>
      <xdr:blipFill>
        <a:blip xmlns:r="http://schemas.openxmlformats.org/officeDocument/2006/relationships" r:embed="rId4"/>
        <a:stretch>
          <a:fillRect/>
        </a:stretch>
      </xdr:blipFill>
      <xdr:spPr>
        <a:xfrm>
          <a:off x="84639150" y="6800850"/>
          <a:ext cx="571500" cy="571500"/>
        </a:xfrm>
        <a:prstGeom prst="rect">
          <a:avLst/>
        </a:prstGeom>
      </xdr:spPr>
    </xdr:pic>
    <xdr:clientData/>
  </xdr:oneCellAnchor>
  <xdr:oneCellAnchor>
    <xdr:from>
      <xdr:col>25</xdr:col>
      <xdr:colOff>0</xdr:colOff>
      <xdr:row>61</xdr:row>
      <xdr:rowOff>28575</xdr:rowOff>
    </xdr:from>
    <xdr:ext cx="4873625" cy="1121830"/>
    <xdr:pic>
      <xdr:nvPicPr>
        <xdr:cNvPr id="27" name="Image 26">
          <a:extLst>
            <a:ext uri="{FF2B5EF4-FFF2-40B4-BE49-F238E27FC236}">
              <a16:creationId xmlns:a16="http://schemas.microsoft.com/office/drawing/2014/main" id="{1B5FC292-C1BA-4247-977F-41F35DD67B53}"/>
            </a:ext>
          </a:extLst>
        </xdr:cNvPr>
        <xdr:cNvPicPr>
          <a:picLocks noChangeAspect="1"/>
        </xdr:cNvPicPr>
      </xdr:nvPicPr>
      <xdr:blipFill>
        <a:blip xmlns:r="http://schemas.openxmlformats.org/officeDocument/2006/relationships" r:embed="rId5"/>
        <a:stretch>
          <a:fillRect/>
        </a:stretch>
      </xdr:blipFill>
      <xdr:spPr>
        <a:xfrm>
          <a:off x="25774650" y="11725275"/>
          <a:ext cx="4873625" cy="1121830"/>
        </a:xfrm>
        <a:prstGeom prst="rect">
          <a:avLst/>
        </a:prstGeom>
      </xdr:spPr>
    </xdr:pic>
    <xdr:clientData/>
  </xdr:oneCellAnchor>
  <xdr:oneCellAnchor>
    <xdr:from>
      <xdr:col>25</xdr:col>
      <xdr:colOff>0</xdr:colOff>
      <xdr:row>147</xdr:row>
      <xdr:rowOff>0</xdr:rowOff>
    </xdr:from>
    <xdr:ext cx="4366866" cy="2173604"/>
    <xdr:pic>
      <xdr:nvPicPr>
        <xdr:cNvPr id="30" name="Image 29">
          <a:extLst>
            <a:ext uri="{FF2B5EF4-FFF2-40B4-BE49-F238E27FC236}">
              <a16:creationId xmlns:a16="http://schemas.microsoft.com/office/drawing/2014/main" id="{14CCB383-CED3-42B4-B1DF-EF39E029B497}"/>
            </a:ext>
          </a:extLst>
        </xdr:cNvPr>
        <xdr:cNvPicPr>
          <a:picLocks noChangeAspect="1"/>
        </xdr:cNvPicPr>
      </xdr:nvPicPr>
      <xdr:blipFill>
        <a:blip xmlns:r="http://schemas.openxmlformats.org/officeDocument/2006/relationships" r:embed="rId6"/>
        <a:stretch>
          <a:fillRect/>
        </a:stretch>
      </xdr:blipFill>
      <xdr:spPr>
        <a:xfrm>
          <a:off x="25850850" y="34632900"/>
          <a:ext cx="4366866" cy="2173604"/>
        </a:xfrm>
        <a:prstGeom prst="rect">
          <a:avLst/>
        </a:prstGeom>
      </xdr:spPr>
    </xdr:pic>
    <xdr:clientData/>
  </xdr:oneCellAnchor>
  <xdr:oneCellAnchor>
    <xdr:from>
      <xdr:col>25</xdr:col>
      <xdr:colOff>0</xdr:colOff>
      <xdr:row>61</xdr:row>
      <xdr:rowOff>104775</xdr:rowOff>
    </xdr:from>
    <xdr:ext cx="4873625" cy="1121830"/>
    <xdr:pic>
      <xdr:nvPicPr>
        <xdr:cNvPr id="33" name="Image 32">
          <a:extLst>
            <a:ext uri="{FF2B5EF4-FFF2-40B4-BE49-F238E27FC236}">
              <a16:creationId xmlns:a16="http://schemas.microsoft.com/office/drawing/2014/main" id="{0E5C71D9-03BC-4F91-81CE-7D46CB3105A8}"/>
            </a:ext>
          </a:extLst>
        </xdr:cNvPr>
        <xdr:cNvPicPr>
          <a:picLocks noChangeAspect="1"/>
        </xdr:cNvPicPr>
      </xdr:nvPicPr>
      <xdr:blipFill>
        <a:blip xmlns:r="http://schemas.openxmlformats.org/officeDocument/2006/relationships" r:embed="rId5"/>
        <a:stretch>
          <a:fillRect/>
        </a:stretch>
      </xdr:blipFill>
      <xdr:spPr>
        <a:xfrm>
          <a:off x="13744575" y="11801475"/>
          <a:ext cx="4873625" cy="1121830"/>
        </a:xfrm>
        <a:prstGeom prst="rect">
          <a:avLst/>
        </a:prstGeom>
      </xdr:spPr>
    </xdr:pic>
    <xdr:clientData/>
  </xdr:oneCellAnchor>
  <xdr:oneCellAnchor>
    <xdr:from>
      <xdr:col>25</xdr:col>
      <xdr:colOff>0</xdr:colOff>
      <xdr:row>146</xdr:row>
      <xdr:rowOff>85725</xdr:rowOff>
    </xdr:from>
    <xdr:ext cx="4366866" cy="2173604"/>
    <xdr:pic>
      <xdr:nvPicPr>
        <xdr:cNvPr id="34" name="Image 33">
          <a:extLst>
            <a:ext uri="{FF2B5EF4-FFF2-40B4-BE49-F238E27FC236}">
              <a16:creationId xmlns:a16="http://schemas.microsoft.com/office/drawing/2014/main" id="{745D4A7A-47E7-4412-AC55-436D2AF1DF17}"/>
            </a:ext>
          </a:extLst>
        </xdr:cNvPr>
        <xdr:cNvPicPr>
          <a:picLocks noChangeAspect="1"/>
        </xdr:cNvPicPr>
      </xdr:nvPicPr>
      <xdr:blipFill>
        <a:blip xmlns:r="http://schemas.openxmlformats.org/officeDocument/2006/relationships" r:embed="rId6"/>
        <a:stretch>
          <a:fillRect/>
        </a:stretch>
      </xdr:blipFill>
      <xdr:spPr>
        <a:xfrm>
          <a:off x="14030325" y="34451925"/>
          <a:ext cx="4366866" cy="2173604"/>
        </a:xfrm>
        <a:prstGeom prst="rect">
          <a:avLst/>
        </a:prstGeom>
      </xdr:spPr>
    </xdr:pic>
    <xdr:clientData/>
  </xdr:oneCellAnchor>
  <xdr:twoCellAnchor editAs="oneCell">
    <xdr:from>
      <xdr:col>8</xdr:col>
      <xdr:colOff>1762125</xdr:colOff>
      <xdr:row>6</xdr:row>
      <xdr:rowOff>133350</xdr:rowOff>
    </xdr:from>
    <xdr:to>
      <xdr:col>8</xdr:col>
      <xdr:colOff>2562225</xdr:colOff>
      <xdr:row>8</xdr:row>
      <xdr:rowOff>209550</xdr:rowOff>
    </xdr:to>
    <xdr:pic>
      <xdr:nvPicPr>
        <xdr:cNvPr id="82" name="Image 81">
          <a:extLst>
            <a:ext uri="{FF2B5EF4-FFF2-40B4-BE49-F238E27FC236}">
              <a16:creationId xmlns:a16="http://schemas.microsoft.com/office/drawing/2014/main" id="{39BF2E06-9791-4BCA-A5F5-707C77D4EEAC}"/>
            </a:ext>
          </a:extLst>
        </xdr:cNvPr>
        <xdr:cNvPicPr>
          <a:picLocks noChangeAspect="1"/>
        </xdr:cNvPicPr>
      </xdr:nvPicPr>
      <xdr:blipFill>
        <a:blip xmlns:r="http://schemas.openxmlformats.org/officeDocument/2006/relationships" r:embed="rId1"/>
        <a:stretch>
          <a:fillRect/>
        </a:stretch>
      </xdr:blipFill>
      <xdr:spPr>
        <a:xfrm>
          <a:off x="11039475" y="1685925"/>
          <a:ext cx="800100" cy="609600"/>
        </a:xfrm>
        <a:prstGeom prst="rect">
          <a:avLst/>
        </a:prstGeom>
      </xdr:spPr>
    </xdr:pic>
    <xdr:clientData/>
  </xdr:twoCellAnchor>
  <xdr:oneCellAnchor>
    <xdr:from>
      <xdr:col>8</xdr:col>
      <xdr:colOff>885825</xdr:colOff>
      <xdr:row>52</xdr:row>
      <xdr:rowOff>95250</xdr:rowOff>
    </xdr:from>
    <xdr:ext cx="571500" cy="571500"/>
    <xdr:pic>
      <xdr:nvPicPr>
        <xdr:cNvPr id="17" name="Image 16">
          <a:extLst>
            <a:ext uri="{FF2B5EF4-FFF2-40B4-BE49-F238E27FC236}">
              <a16:creationId xmlns:a16="http://schemas.microsoft.com/office/drawing/2014/main" id="{68851182-5ABB-4887-837B-B1B9F655E519}"/>
            </a:ext>
          </a:extLst>
        </xdr:cNvPr>
        <xdr:cNvPicPr>
          <a:picLocks noChangeAspect="1"/>
        </xdr:cNvPicPr>
      </xdr:nvPicPr>
      <xdr:blipFill>
        <a:blip xmlns:r="http://schemas.openxmlformats.org/officeDocument/2006/relationships" r:embed="rId4"/>
        <a:stretch>
          <a:fillRect/>
        </a:stretch>
      </xdr:blipFill>
      <xdr:spPr>
        <a:xfrm>
          <a:off x="58969275" y="14201775"/>
          <a:ext cx="571500" cy="571500"/>
        </a:xfrm>
        <a:prstGeom prst="rect">
          <a:avLst/>
        </a:prstGeom>
      </xdr:spPr>
    </xdr:pic>
    <xdr:clientData/>
  </xdr:oneCellAnchor>
  <xdr:oneCellAnchor>
    <xdr:from>
      <xdr:col>3</xdr:col>
      <xdr:colOff>200025</xdr:colOff>
      <xdr:row>82</xdr:row>
      <xdr:rowOff>28575</xdr:rowOff>
    </xdr:from>
    <xdr:ext cx="4873625" cy="1121830"/>
    <xdr:pic>
      <xdr:nvPicPr>
        <xdr:cNvPr id="18" name="Image 17">
          <a:extLst>
            <a:ext uri="{FF2B5EF4-FFF2-40B4-BE49-F238E27FC236}">
              <a16:creationId xmlns:a16="http://schemas.microsoft.com/office/drawing/2014/main" id="{84D07A70-5593-4E05-A865-0E1DBA97E7AD}"/>
            </a:ext>
          </a:extLst>
        </xdr:cNvPr>
        <xdr:cNvPicPr>
          <a:picLocks noChangeAspect="1"/>
        </xdr:cNvPicPr>
      </xdr:nvPicPr>
      <xdr:blipFill>
        <a:blip xmlns:r="http://schemas.openxmlformats.org/officeDocument/2006/relationships" r:embed="rId5"/>
        <a:stretch>
          <a:fillRect/>
        </a:stretch>
      </xdr:blipFill>
      <xdr:spPr>
        <a:xfrm>
          <a:off x="2066925" y="21850350"/>
          <a:ext cx="4873625" cy="1121830"/>
        </a:xfrm>
        <a:prstGeom prst="rect">
          <a:avLst/>
        </a:prstGeom>
      </xdr:spPr>
    </xdr:pic>
    <xdr:clientData/>
  </xdr:oneCellAnchor>
  <xdr:oneCellAnchor>
    <xdr:from>
      <xdr:col>2</xdr:col>
      <xdr:colOff>1304925</xdr:colOff>
      <xdr:row>166</xdr:row>
      <xdr:rowOff>257175</xdr:rowOff>
    </xdr:from>
    <xdr:ext cx="4366866" cy="2173604"/>
    <xdr:pic>
      <xdr:nvPicPr>
        <xdr:cNvPr id="19" name="Image 18">
          <a:extLst>
            <a:ext uri="{FF2B5EF4-FFF2-40B4-BE49-F238E27FC236}">
              <a16:creationId xmlns:a16="http://schemas.microsoft.com/office/drawing/2014/main" id="{94CC7006-3604-41AB-90E4-878FE4D7928D}"/>
            </a:ext>
          </a:extLst>
        </xdr:cNvPr>
        <xdr:cNvPicPr>
          <a:picLocks noChangeAspect="1"/>
        </xdr:cNvPicPr>
      </xdr:nvPicPr>
      <xdr:blipFill>
        <a:blip xmlns:r="http://schemas.openxmlformats.org/officeDocument/2006/relationships" r:embed="rId6"/>
        <a:stretch>
          <a:fillRect/>
        </a:stretch>
      </xdr:blipFill>
      <xdr:spPr>
        <a:xfrm>
          <a:off x="1857375" y="44481750"/>
          <a:ext cx="4366866" cy="2173604"/>
        </a:xfrm>
        <a:prstGeom prst="rect">
          <a:avLst/>
        </a:prstGeom>
      </xdr:spPr>
    </xdr:pic>
    <xdr:clientData/>
  </xdr:oneCellAnchor>
  <xdr:oneCellAnchor>
    <xdr:from>
      <xdr:col>16</xdr:col>
      <xdr:colOff>314325</xdr:colOff>
      <xdr:row>52</xdr:row>
      <xdr:rowOff>247650</xdr:rowOff>
    </xdr:from>
    <xdr:ext cx="857250" cy="590550"/>
    <xdr:pic>
      <xdr:nvPicPr>
        <xdr:cNvPr id="5" name="Image 4">
          <a:extLst>
            <a:ext uri="{FF2B5EF4-FFF2-40B4-BE49-F238E27FC236}">
              <a16:creationId xmlns:a16="http://schemas.microsoft.com/office/drawing/2014/main" id="{805A4324-82FC-4B01-B902-C2388BE5B7CA}"/>
            </a:ext>
          </a:extLst>
        </xdr:cNvPr>
        <xdr:cNvPicPr>
          <a:picLocks noChangeAspect="1"/>
        </xdr:cNvPicPr>
      </xdr:nvPicPr>
      <xdr:blipFill>
        <a:blip xmlns:r="http://schemas.openxmlformats.org/officeDocument/2006/relationships" r:embed="rId2"/>
        <a:stretch>
          <a:fillRect/>
        </a:stretch>
      </xdr:blipFill>
      <xdr:spPr>
        <a:xfrm>
          <a:off x="47958375" y="8477250"/>
          <a:ext cx="857250" cy="590550"/>
        </a:xfrm>
        <a:prstGeom prst="rect">
          <a:avLst/>
        </a:prstGeom>
      </xdr:spPr>
    </xdr:pic>
    <xdr:clientData/>
  </xdr:oneCellAnchor>
  <xdr:oneCellAnchor>
    <xdr:from>
      <xdr:col>10</xdr:col>
      <xdr:colOff>1257300</xdr:colOff>
      <xdr:row>82</xdr:row>
      <xdr:rowOff>104775</xdr:rowOff>
    </xdr:from>
    <xdr:ext cx="4873625" cy="1121830"/>
    <xdr:pic>
      <xdr:nvPicPr>
        <xdr:cNvPr id="6" name="Image 5">
          <a:extLst>
            <a:ext uri="{FF2B5EF4-FFF2-40B4-BE49-F238E27FC236}">
              <a16:creationId xmlns:a16="http://schemas.microsoft.com/office/drawing/2014/main" id="{F5DC9E30-98B5-4E65-88A8-3D9208939911}"/>
            </a:ext>
          </a:extLst>
        </xdr:cNvPr>
        <xdr:cNvPicPr>
          <a:picLocks noChangeAspect="1"/>
        </xdr:cNvPicPr>
      </xdr:nvPicPr>
      <xdr:blipFill>
        <a:blip xmlns:r="http://schemas.openxmlformats.org/officeDocument/2006/relationships" r:embed="rId5"/>
        <a:stretch>
          <a:fillRect/>
        </a:stretch>
      </xdr:blipFill>
      <xdr:spPr>
        <a:xfrm>
          <a:off x="40157400" y="16335375"/>
          <a:ext cx="4873625" cy="1121830"/>
        </a:xfrm>
        <a:prstGeom prst="rect">
          <a:avLst/>
        </a:prstGeom>
      </xdr:spPr>
    </xdr:pic>
    <xdr:clientData/>
  </xdr:oneCellAnchor>
  <xdr:oneCellAnchor>
    <xdr:from>
      <xdr:col>11</xdr:col>
      <xdr:colOff>161925</xdr:colOff>
      <xdr:row>167</xdr:row>
      <xdr:rowOff>76200</xdr:rowOff>
    </xdr:from>
    <xdr:ext cx="4366866" cy="2173604"/>
    <xdr:pic>
      <xdr:nvPicPr>
        <xdr:cNvPr id="7" name="Image 6">
          <a:extLst>
            <a:ext uri="{FF2B5EF4-FFF2-40B4-BE49-F238E27FC236}">
              <a16:creationId xmlns:a16="http://schemas.microsoft.com/office/drawing/2014/main" id="{96F0058A-3D36-4C0E-85EF-301AC3B5F537}"/>
            </a:ext>
          </a:extLst>
        </xdr:cNvPr>
        <xdr:cNvPicPr>
          <a:picLocks noChangeAspect="1"/>
        </xdr:cNvPicPr>
      </xdr:nvPicPr>
      <xdr:blipFill>
        <a:blip xmlns:r="http://schemas.openxmlformats.org/officeDocument/2006/relationships" r:embed="rId6"/>
        <a:stretch>
          <a:fillRect/>
        </a:stretch>
      </xdr:blipFill>
      <xdr:spPr>
        <a:xfrm>
          <a:off x="14420850" y="44567475"/>
          <a:ext cx="4366866" cy="2173604"/>
        </a:xfrm>
        <a:prstGeom prst="rect">
          <a:avLst/>
        </a:prstGeom>
      </xdr:spPr>
    </xdr:pic>
    <xdr:clientData/>
  </xdr:oneCellAnchor>
  <xdr:oneCellAnchor>
    <xdr:from>
      <xdr:col>15</xdr:col>
      <xdr:colOff>1266825</xdr:colOff>
      <xdr:row>50</xdr:row>
      <xdr:rowOff>66675</xdr:rowOff>
    </xdr:from>
    <xdr:ext cx="571500" cy="571500"/>
    <xdr:pic>
      <xdr:nvPicPr>
        <xdr:cNvPr id="11" name="Image 10">
          <a:extLst>
            <a:ext uri="{FF2B5EF4-FFF2-40B4-BE49-F238E27FC236}">
              <a16:creationId xmlns:a16="http://schemas.microsoft.com/office/drawing/2014/main" id="{BEAFCEFC-C4B0-4AAF-B79F-F1069880A07B}"/>
            </a:ext>
          </a:extLst>
        </xdr:cNvPr>
        <xdr:cNvPicPr>
          <a:picLocks noChangeAspect="1"/>
        </xdr:cNvPicPr>
      </xdr:nvPicPr>
      <xdr:blipFill>
        <a:blip xmlns:r="http://schemas.openxmlformats.org/officeDocument/2006/relationships" r:embed="rId4"/>
        <a:stretch>
          <a:fillRect/>
        </a:stretch>
      </xdr:blipFill>
      <xdr:spPr>
        <a:xfrm>
          <a:off x="46796325" y="7762875"/>
          <a:ext cx="571500" cy="571500"/>
        </a:xfrm>
        <a:prstGeom prst="rect">
          <a:avLst/>
        </a:prstGeom>
      </xdr:spPr>
    </xdr:pic>
    <xdr:clientData/>
  </xdr:oneCellAnchor>
  <xdr:twoCellAnchor editAs="oneCell">
    <xdr:from>
      <xdr:col>16</xdr:col>
      <xdr:colOff>819150</xdr:colOff>
      <xdr:row>6</xdr:row>
      <xdr:rowOff>171450</xdr:rowOff>
    </xdr:from>
    <xdr:to>
      <xdr:col>16</xdr:col>
      <xdr:colOff>2219325</xdr:colOff>
      <xdr:row>8</xdr:row>
      <xdr:rowOff>228600</xdr:rowOff>
    </xdr:to>
    <xdr:pic>
      <xdr:nvPicPr>
        <xdr:cNvPr id="15" name="Image 14">
          <a:extLst>
            <a:ext uri="{FF2B5EF4-FFF2-40B4-BE49-F238E27FC236}">
              <a16:creationId xmlns:a16="http://schemas.microsoft.com/office/drawing/2014/main" id="{00059704-6B41-4FCA-AA7A-919AA9C6C3EE}"/>
            </a:ext>
          </a:extLst>
        </xdr:cNvPr>
        <xdr:cNvPicPr>
          <a:picLocks noChangeAspect="1"/>
        </xdr:cNvPicPr>
      </xdr:nvPicPr>
      <xdr:blipFill>
        <a:blip xmlns:r="http://schemas.openxmlformats.org/officeDocument/2006/relationships" r:embed="rId2"/>
        <a:stretch>
          <a:fillRect/>
        </a:stretch>
      </xdr:blipFill>
      <xdr:spPr>
        <a:xfrm>
          <a:off x="22555200" y="1733550"/>
          <a:ext cx="1400175" cy="590550"/>
        </a:xfrm>
        <a:prstGeom prst="rect">
          <a:avLst/>
        </a:prstGeom>
      </xdr:spPr>
    </xdr:pic>
    <xdr:clientData/>
  </xdr:twoCellAnchor>
  <xdr:oneCellAnchor>
    <xdr:from>
      <xdr:col>24</xdr:col>
      <xdr:colOff>933450</xdr:colOff>
      <xdr:row>6</xdr:row>
      <xdr:rowOff>85725</xdr:rowOff>
    </xdr:from>
    <xdr:ext cx="914400" cy="647700"/>
    <xdr:pic>
      <xdr:nvPicPr>
        <xdr:cNvPr id="16" name="Image 15">
          <a:extLst>
            <a:ext uri="{FF2B5EF4-FFF2-40B4-BE49-F238E27FC236}">
              <a16:creationId xmlns:a16="http://schemas.microsoft.com/office/drawing/2014/main" id="{87D0C477-07C2-439D-87F9-0FC4AD81F017}"/>
            </a:ext>
          </a:extLst>
        </xdr:cNvPr>
        <xdr:cNvPicPr>
          <a:picLocks noChangeAspect="1"/>
        </xdr:cNvPicPr>
      </xdr:nvPicPr>
      <xdr:blipFill>
        <a:blip xmlns:r="http://schemas.openxmlformats.org/officeDocument/2006/relationships" r:embed="rId3"/>
        <a:stretch>
          <a:fillRect/>
        </a:stretch>
      </xdr:blipFill>
      <xdr:spPr>
        <a:xfrm>
          <a:off x="35090100" y="1647825"/>
          <a:ext cx="914400" cy="647700"/>
        </a:xfrm>
        <a:prstGeom prst="rect">
          <a:avLst/>
        </a:prstGeom>
      </xdr:spPr>
    </xdr:pic>
    <xdr:clientData/>
  </xdr:oneCellAnchor>
  <xdr:oneCellAnchor>
    <xdr:from>
      <xdr:col>23</xdr:col>
      <xdr:colOff>1152525</xdr:colOff>
      <xdr:row>50</xdr:row>
      <xdr:rowOff>114300</xdr:rowOff>
    </xdr:from>
    <xdr:ext cx="571500" cy="571500"/>
    <xdr:pic>
      <xdr:nvPicPr>
        <xdr:cNvPr id="36" name="Image 35">
          <a:extLst>
            <a:ext uri="{FF2B5EF4-FFF2-40B4-BE49-F238E27FC236}">
              <a16:creationId xmlns:a16="http://schemas.microsoft.com/office/drawing/2014/main" id="{EA509CB4-AC75-48ED-9F3E-589A2E37EEF3}"/>
            </a:ext>
          </a:extLst>
        </xdr:cNvPr>
        <xdr:cNvPicPr>
          <a:picLocks noChangeAspect="1"/>
        </xdr:cNvPicPr>
      </xdr:nvPicPr>
      <xdr:blipFill>
        <a:blip xmlns:r="http://schemas.openxmlformats.org/officeDocument/2006/relationships" r:embed="rId4"/>
        <a:stretch>
          <a:fillRect/>
        </a:stretch>
      </xdr:blipFill>
      <xdr:spPr>
        <a:xfrm>
          <a:off x="58550175" y="7810500"/>
          <a:ext cx="571500" cy="571500"/>
        </a:xfrm>
        <a:prstGeom prst="rect">
          <a:avLst/>
        </a:prstGeom>
      </xdr:spPr>
    </xdr:pic>
    <xdr:clientData/>
  </xdr:oneCellAnchor>
  <xdr:oneCellAnchor>
    <xdr:from>
      <xdr:col>19</xdr:col>
      <xdr:colOff>38100</xdr:colOff>
      <xdr:row>82</xdr:row>
      <xdr:rowOff>28575</xdr:rowOff>
    </xdr:from>
    <xdr:ext cx="4873625" cy="1121830"/>
    <xdr:pic>
      <xdr:nvPicPr>
        <xdr:cNvPr id="40" name="Image 39">
          <a:extLst>
            <a:ext uri="{FF2B5EF4-FFF2-40B4-BE49-F238E27FC236}">
              <a16:creationId xmlns:a16="http://schemas.microsoft.com/office/drawing/2014/main" id="{EE76B7F4-9893-4BB7-81CC-B6F67CC62A6D}"/>
            </a:ext>
          </a:extLst>
        </xdr:cNvPr>
        <xdr:cNvPicPr>
          <a:picLocks noChangeAspect="1"/>
        </xdr:cNvPicPr>
      </xdr:nvPicPr>
      <xdr:blipFill>
        <a:blip xmlns:r="http://schemas.openxmlformats.org/officeDocument/2006/relationships" r:embed="rId5"/>
        <a:stretch>
          <a:fillRect/>
        </a:stretch>
      </xdr:blipFill>
      <xdr:spPr>
        <a:xfrm>
          <a:off x="52216050" y="16259175"/>
          <a:ext cx="4873625" cy="1121830"/>
        </a:xfrm>
        <a:prstGeom prst="rect">
          <a:avLst/>
        </a:prstGeom>
      </xdr:spPr>
    </xdr:pic>
    <xdr:clientData/>
  </xdr:oneCellAnchor>
  <xdr:oneCellAnchor>
    <xdr:from>
      <xdr:col>19</xdr:col>
      <xdr:colOff>114300</xdr:colOff>
      <xdr:row>168</xdr:row>
      <xdr:rowOff>0</xdr:rowOff>
    </xdr:from>
    <xdr:ext cx="4366866" cy="2173604"/>
    <xdr:pic>
      <xdr:nvPicPr>
        <xdr:cNvPr id="43" name="Image 42">
          <a:extLst>
            <a:ext uri="{FF2B5EF4-FFF2-40B4-BE49-F238E27FC236}">
              <a16:creationId xmlns:a16="http://schemas.microsoft.com/office/drawing/2014/main" id="{0C4E2978-57B2-4E45-B6DF-4B3237816A24}"/>
            </a:ext>
          </a:extLst>
        </xdr:cNvPr>
        <xdr:cNvPicPr>
          <a:picLocks noChangeAspect="1"/>
        </xdr:cNvPicPr>
      </xdr:nvPicPr>
      <xdr:blipFill>
        <a:blip xmlns:r="http://schemas.openxmlformats.org/officeDocument/2006/relationships" r:embed="rId6"/>
        <a:stretch>
          <a:fillRect/>
        </a:stretch>
      </xdr:blipFill>
      <xdr:spPr>
        <a:xfrm>
          <a:off x="52292250" y="39166800"/>
          <a:ext cx="4366866" cy="217360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16</xdr:col>
      <xdr:colOff>152400</xdr:colOff>
      <xdr:row>21</xdr:row>
      <xdr:rowOff>180975</xdr:rowOff>
    </xdr:from>
    <xdr:to>
      <xdr:col>17</xdr:col>
      <xdr:colOff>53228</xdr:colOff>
      <xdr:row>23</xdr:row>
      <xdr:rowOff>180975</xdr:rowOff>
    </xdr:to>
    <xdr:pic>
      <xdr:nvPicPr>
        <xdr:cNvPr id="3" name="Image 2">
          <a:extLst>
            <a:ext uri="{FF2B5EF4-FFF2-40B4-BE49-F238E27FC236}">
              <a16:creationId xmlns:a16="http://schemas.microsoft.com/office/drawing/2014/main" id="{FB590C5B-1E1A-4DAA-B1BA-528D629613FA}"/>
            </a:ext>
          </a:extLst>
        </xdr:cNvPr>
        <xdr:cNvPicPr>
          <a:picLocks noChangeAspect="1"/>
        </xdr:cNvPicPr>
      </xdr:nvPicPr>
      <xdr:blipFill>
        <a:blip xmlns:r="http://schemas.openxmlformats.org/officeDocument/2006/relationships" r:embed="rId1"/>
        <a:stretch>
          <a:fillRect/>
        </a:stretch>
      </xdr:blipFill>
      <xdr:spPr>
        <a:xfrm>
          <a:off x="10458450" y="6019800"/>
          <a:ext cx="815228" cy="571500"/>
        </a:xfrm>
        <a:prstGeom prst="rect">
          <a:avLst/>
        </a:prstGeom>
      </xdr:spPr>
    </xdr:pic>
    <xdr:clientData/>
  </xdr:twoCellAnchor>
  <xdr:twoCellAnchor editAs="oneCell">
    <xdr:from>
      <xdr:col>53</xdr:col>
      <xdr:colOff>523875</xdr:colOff>
      <xdr:row>19</xdr:row>
      <xdr:rowOff>190500</xdr:rowOff>
    </xdr:from>
    <xdr:to>
      <xdr:col>55</xdr:col>
      <xdr:colOff>162338</xdr:colOff>
      <xdr:row>21</xdr:row>
      <xdr:rowOff>228600</xdr:rowOff>
    </xdr:to>
    <xdr:pic>
      <xdr:nvPicPr>
        <xdr:cNvPr id="5" name="Image 4">
          <a:extLst>
            <a:ext uri="{FF2B5EF4-FFF2-40B4-BE49-F238E27FC236}">
              <a16:creationId xmlns:a16="http://schemas.microsoft.com/office/drawing/2014/main" id="{081F91F7-2B69-442C-B70A-83A74605415A}"/>
            </a:ext>
          </a:extLst>
        </xdr:cNvPr>
        <xdr:cNvPicPr>
          <a:picLocks noChangeAspect="1"/>
        </xdr:cNvPicPr>
      </xdr:nvPicPr>
      <xdr:blipFill>
        <a:blip xmlns:r="http://schemas.openxmlformats.org/officeDocument/2006/relationships" r:embed="rId2"/>
        <a:stretch>
          <a:fillRect/>
        </a:stretch>
      </xdr:blipFill>
      <xdr:spPr>
        <a:xfrm>
          <a:off x="36833175" y="5457825"/>
          <a:ext cx="848138" cy="609600"/>
        </a:xfrm>
        <a:prstGeom prst="rect">
          <a:avLst/>
        </a:prstGeom>
      </xdr:spPr>
    </xdr:pic>
    <xdr:clientData/>
  </xdr:twoCellAnchor>
  <xdr:twoCellAnchor editAs="oneCell">
    <xdr:from>
      <xdr:col>91</xdr:col>
      <xdr:colOff>114300</xdr:colOff>
      <xdr:row>18</xdr:row>
      <xdr:rowOff>200025</xdr:rowOff>
    </xdr:from>
    <xdr:to>
      <xdr:col>92</xdr:col>
      <xdr:colOff>66796</xdr:colOff>
      <xdr:row>20</xdr:row>
      <xdr:rowOff>228684</xdr:rowOff>
    </xdr:to>
    <xdr:pic>
      <xdr:nvPicPr>
        <xdr:cNvPr id="6" name="Image 5">
          <a:extLst>
            <a:ext uri="{FF2B5EF4-FFF2-40B4-BE49-F238E27FC236}">
              <a16:creationId xmlns:a16="http://schemas.microsoft.com/office/drawing/2014/main" id="{4A5E3FB2-E3FA-4918-86CA-C185BCBFD626}"/>
            </a:ext>
          </a:extLst>
        </xdr:cNvPr>
        <xdr:cNvPicPr>
          <a:picLocks noChangeAspect="1"/>
        </xdr:cNvPicPr>
      </xdr:nvPicPr>
      <xdr:blipFill>
        <a:blip xmlns:r="http://schemas.openxmlformats.org/officeDocument/2006/relationships" r:embed="rId3"/>
        <a:stretch>
          <a:fillRect/>
        </a:stretch>
      </xdr:blipFill>
      <xdr:spPr>
        <a:xfrm>
          <a:off x="65646300" y="5181600"/>
          <a:ext cx="866896" cy="6001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1238250</xdr:colOff>
      <xdr:row>3</xdr:row>
      <xdr:rowOff>95250</xdr:rowOff>
    </xdr:from>
    <xdr:to>
      <xdr:col>13</xdr:col>
      <xdr:colOff>2053478</xdr:colOff>
      <xdr:row>5</xdr:row>
      <xdr:rowOff>133350</xdr:rowOff>
    </xdr:to>
    <xdr:pic>
      <xdr:nvPicPr>
        <xdr:cNvPr id="2" name="Image 1">
          <a:extLst>
            <a:ext uri="{FF2B5EF4-FFF2-40B4-BE49-F238E27FC236}">
              <a16:creationId xmlns:a16="http://schemas.microsoft.com/office/drawing/2014/main" id="{7C507611-2598-4DDA-93AB-52BD9EEE2E98}"/>
            </a:ext>
          </a:extLst>
        </xdr:cNvPr>
        <xdr:cNvPicPr>
          <a:picLocks noChangeAspect="1"/>
        </xdr:cNvPicPr>
      </xdr:nvPicPr>
      <xdr:blipFill>
        <a:blip xmlns:r="http://schemas.openxmlformats.org/officeDocument/2006/relationships" r:embed="rId1"/>
        <a:stretch>
          <a:fillRect/>
        </a:stretch>
      </xdr:blipFill>
      <xdr:spPr>
        <a:xfrm>
          <a:off x="7781925" y="762000"/>
          <a:ext cx="815228" cy="571500"/>
        </a:xfrm>
        <a:prstGeom prst="rect">
          <a:avLst/>
        </a:prstGeom>
      </xdr:spPr>
    </xdr:pic>
    <xdr:clientData/>
  </xdr:twoCellAnchor>
  <xdr:twoCellAnchor editAs="oneCell">
    <xdr:from>
      <xdr:col>34</xdr:col>
      <xdr:colOff>704850</xdr:colOff>
      <xdr:row>3</xdr:row>
      <xdr:rowOff>161925</xdr:rowOff>
    </xdr:from>
    <xdr:to>
      <xdr:col>34</xdr:col>
      <xdr:colOff>1552988</xdr:colOff>
      <xdr:row>5</xdr:row>
      <xdr:rowOff>238125</xdr:rowOff>
    </xdr:to>
    <xdr:pic>
      <xdr:nvPicPr>
        <xdr:cNvPr id="3" name="Image 2">
          <a:extLst>
            <a:ext uri="{FF2B5EF4-FFF2-40B4-BE49-F238E27FC236}">
              <a16:creationId xmlns:a16="http://schemas.microsoft.com/office/drawing/2014/main" id="{B7C007BA-60FD-488A-BA48-0F73891AA070}"/>
            </a:ext>
          </a:extLst>
        </xdr:cNvPr>
        <xdr:cNvPicPr>
          <a:picLocks noChangeAspect="1"/>
        </xdr:cNvPicPr>
      </xdr:nvPicPr>
      <xdr:blipFill>
        <a:blip xmlns:r="http://schemas.openxmlformats.org/officeDocument/2006/relationships" r:embed="rId2"/>
        <a:stretch>
          <a:fillRect/>
        </a:stretch>
      </xdr:blipFill>
      <xdr:spPr>
        <a:xfrm>
          <a:off x="23860125" y="828675"/>
          <a:ext cx="848138" cy="609600"/>
        </a:xfrm>
        <a:prstGeom prst="rect">
          <a:avLst/>
        </a:prstGeom>
      </xdr:spPr>
    </xdr:pic>
    <xdr:clientData/>
  </xdr:twoCellAnchor>
  <xdr:twoCellAnchor editAs="oneCell">
    <xdr:from>
      <xdr:col>55</xdr:col>
      <xdr:colOff>1562100</xdr:colOff>
      <xdr:row>3</xdr:row>
      <xdr:rowOff>66675</xdr:rowOff>
    </xdr:from>
    <xdr:to>
      <xdr:col>55</xdr:col>
      <xdr:colOff>2428996</xdr:colOff>
      <xdr:row>5</xdr:row>
      <xdr:rowOff>133434</xdr:rowOff>
    </xdr:to>
    <xdr:pic>
      <xdr:nvPicPr>
        <xdr:cNvPr id="4" name="Image 3">
          <a:extLst>
            <a:ext uri="{FF2B5EF4-FFF2-40B4-BE49-F238E27FC236}">
              <a16:creationId xmlns:a16="http://schemas.microsoft.com/office/drawing/2014/main" id="{6C51992D-EE94-415A-90F2-5FF69124B2D5}"/>
            </a:ext>
          </a:extLst>
        </xdr:cNvPr>
        <xdr:cNvPicPr>
          <a:picLocks noChangeAspect="1"/>
        </xdr:cNvPicPr>
      </xdr:nvPicPr>
      <xdr:blipFill>
        <a:blip xmlns:r="http://schemas.openxmlformats.org/officeDocument/2006/relationships" r:embed="rId3"/>
        <a:stretch>
          <a:fillRect/>
        </a:stretch>
      </xdr:blipFill>
      <xdr:spPr>
        <a:xfrm>
          <a:off x="41367075" y="733425"/>
          <a:ext cx="866896" cy="600159"/>
        </a:xfrm>
        <a:prstGeom prst="rect">
          <a:avLst/>
        </a:prstGeom>
      </xdr:spPr>
    </xdr:pic>
    <xdr:clientData/>
  </xdr:twoCellAnchor>
  <xdr:oneCellAnchor>
    <xdr:from>
      <xdr:col>9</xdr:col>
      <xdr:colOff>466725</xdr:colOff>
      <xdr:row>499</xdr:row>
      <xdr:rowOff>114300</xdr:rowOff>
    </xdr:from>
    <xdr:ext cx="815228" cy="571500"/>
    <xdr:pic>
      <xdr:nvPicPr>
        <xdr:cNvPr id="5" name="Image 4">
          <a:extLst>
            <a:ext uri="{FF2B5EF4-FFF2-40B4-BE49-F238E27FC236}">
              <a16:creationId xmlns:a16="http://schemas.microsoft.com/office/drawing/2014/main" id="{A75C9EB2-F1D9-435D-A16C-2125F38B1A96}"/>
            </a:ext>
          </a:extLst>
        </xdr:cNvPr>
        <xdr:cNvPicPr>
          <a:picLocks noChangeAspect="1"/>
        </xdr:cNvPicPr>
      </xdr:nvPicPr>
      <xdr:blipFill>
        <a:blip xmlns:r="http://schemas.openxmlformats.org/officeDocument/2006/relationships" r:embed="rId1"/>
        <a:stretch>
          <a:fillRect/>
        </a:stretch>
      </xdr:blipFill>
      <xdr:spPr>
        <a:xfrm>
          <a:off x="4143375" y="40776525"/>
          <a:ext cx="815228" cy="571500"/>
        </a:xfrm>
        <a:prstGeom prst="rect">
          <a:avLst/>
        </a:prstGeom>
      </xdr:spPr>
    </xdr:pic>
    <xdr:clientData/>
  </xdr:oneCellAnchor>
  <xdr:oneCellAnchor>
    <xdr:from>
      <xdr:col>30</xdr:col>
      <xdr:colOff>495300</xdr:colOff>
      <xdr:row>501</xdr:row>
      <xdr:rowOff>133350</xdr:rowOff>
    </xdr:from>
    <xdr:ext cx="848138" cy="609600"/>
    <xdr:pic>
      <xdr:nvPicPr>
        <xdr:cNvPr id="6" name="Image 5">
          <a:extLst>
            <a:ext uri="{FF2B5EF4-FFF2-40B4-BE49-F238E27FC236}">
              <a16:creationId xmlns:a16="http://schemas.microsoft.com/office/drawing/2014/main" id="{77DCC346-5274-41E5-BC94-E81BA8128B7F}"/>
            </a:ext>
          </a:extLst>
        </xdr:cNvPr>
        <xdr:cNvPicPr>
          <a:picLocks noChangeAspect="1"/>
        </xdr:cNvPicPr>
      </xdr:nvPicPr>
      <xdr:blipFill>
        <a:blip xmlns:r="http://schemas.openxmlformats.org/officeDocument/2006/relationships" r:embed="rId2"/>
        <a:stretch>
          <a:fillRect/>
        </a:stretch>
      </xdr:blipFill>
      <xdr:spPr>
        <a:xfrm>
          <a:off x="20326350" y="41328975"/>
          <a:ext cx="848138" cy="609600"/>
        </a:xfrm>
        <a:prstGeom prst="rect">
          <a:avLst/>
        </a:prstGeom>
      </xdr:spPr>
    </xdr:pic>
    <xdr:clientData/>
  </xdr:oneCellAnchor>
  <xdr:oneCellAnchor>
    <xdr:from>
      <xdr:col>51</xdr:col>
      <xdr:colOff>476250</xdr:colOff>
      <xdr:row>499</xdr:row>
      <xdr:rowOff>123825</xdr:rowOff>
    </xdr:from>
    <xdr:ext cx="866896" cy="600159"/>
    <xdr:pic>
      <xdr:nvPicPr>
        <xdr:cNvPr id="7" name="Image 6">
          <a:extLst>
            <a:ext uri="{FF2B5EF4-FFF2-40B4-BE49-F238E27FC236}">
              <a16:creationId xmlns:a16="http://schemas.microsoft.com/office/drawing/2014/main" id="{B827ED88-357B-4494-AE96-20E9121DB19D}"/>
            </a:ext>
          </a:extLst>
        </xdr:cNvPr>
        <xdr:cNvPicPr>
          <a:picLocks noChangeAspect="1"/>
        </xdr:cNvPicPr>
      </xdr:nvPicPr>
      <xdr:blipFill>
        <a:blip xmlns:r="http://schemas.openxmlformats.org/officeDocument/2006/relationships" r:embed="rId3"/>
        <a:stretch>
          <a:fillRect/>
        </a:stretch>
      </xdr:blipFill>
      <xdr:spPr>
        <a:xfrm>
          <a:off x="36957000" y="40786050"/>
          <a:ext cx="866896" cy="6001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reau/joel.uprt/Modele_fiches_metiers_de_bouche_EXE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 val="Transmission des savoirs.faire"/>
      <sheetName val="Formats-formules (2)"/>
      <sheetName val="Nethè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Categories"/>
      <sheetName val="T_SousCategories"/>
      <sheetName val="T_Familles"/>
      <sheetName val="Listes"/>
      <sheetName val="Recettes"/>
      <sheetName val="Ex_Paella"/>
      <sheetName val="Ex_Croissants"/>
      <sheetName val="Ex_Bourguignon"/>
    </sheetNames>
    <sheetDataSet>
      <sheetData sheetId="0" refreshError="1"/>
      <sheetData sheetId="1"/>
      <sheetData sheetId="2" refreshError="1"/>
      <sheetData sheetId="3">
        <row r="2">
          <cell r="A2" t="str">
            <v>CUI</v>
          </cell>
        </row>
        <row r="3">
          <cell r="A3" t="str">
            <v>CHA</v>
          </cell>
        </row>
        <row r="4">
          <cell r="A4" t="str">
            <v>PAT</v>
          </cell>
        </row>
        <row r="5">
          <cell r="A5" t="str">
            <v>TRA</v>
          </cell>
        </row>
        <row r="6">
          <cell r="A6" t="str">
            <v>POI</v>
          </cell>
        </row>
        <row r="7">
          <cell r="A7" t="str">
            <v>BOI</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uisine-centrale17.fr/" TargetMode="External"/><Relationship Id="rId7" Type="http://schemas.openxmlformats.org/officeDocument/2006/relationships/hyperlink" Target="https://www.hotellerie-restauration.ac-versailles.fr/spip.php?article4551" TargetMode="External"/><Relationship Id="rId2" Type="http://schemas.openxmlformats.org/officeDocument/2006/relationships/hyperlink" Target="https://cuisine-centrale17.fr/" TargetMode="External"/><Relationship Id="rId1" Type="http://schemas.openxmlformats.org/officeDocument/2006/relationships/hyperlink" Target="https://www.hotellerie-restauration.ac-versailles.fr/spip.php?auteur69" TargetMode="External"/><Relationship Id="rId6" Type="http://schemas.openxmlformats.org/officeDocument/2006/relationships/hyperlink" Target="https://www.facebook.com/UPRT.fr" TargetMode="External"/><Relationship Id="rId5" Type="http://schemas.openxmlformats.org/officeDocument/2006/relationships/hyperlink" Target="https://cuisine-centrale17.fr/" TargetMode="External"/><Relationship Id="rId4" Type="http://schemas.openxmlformats.org/officeDocument/2006/relationships/hyperlink" Target="mailto:%20cuisine.centrale17@gmail.com"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youtube.com/watch?v=q-52-9FshWw"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drawing" Target="../drawings/drawing10.xml"/><Relationship Id="rId5" Type="http://schemas.openxmlformats.org/officeDocument/2006/relationships/printerSettings" Target="../printerSettings/printerSettings5.bin"/><Relationship Id="rId4" Type="http://schemas.openxmlformats.org/officeDocument/2006/relationships/hyperlink" Target="https://www.youtube.com/watch?v=8NMinBfc9EU" TargetMode="External"/></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www.youtube.com/watch?v=q-52-9FshWw" TargetMode="External"/><Relationship Id="rId7" Type="http://schemas.openxmlformats.org/officeDocument/2006/relationships/hyperlink" Target="https://www.bonbache.fr/syntheses-graphiques-excel-avec-les-emoticones-499.html"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facebook.com/terresduzes/photos/les-carnets-de-julie-le-pays-de-luz%C3%A8ge-dans-le-gardles-beignets-de-fleurs-dacaci/723584744361304/" TargetMode="External"/><Relationship Id="rId5" Type="http://schemas.openxmlformats.org/officeDocument/2006/relationships/hyperlink" Target="https://www.youtube.com/watch?v=8Lz6KCW3Nqo" TargetMode="External"/><Relationship Id="rId4" Type="http://schemas.openxmlformats.org/officeDocument/2006/relationships/hyperlink" Target="https://www.youtube.com/watch?v=8NMinBfc9EU"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youtube.com/watch?v=q-52-9FshWw"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drawing" Target="../drawings/drawing12.xml"/><Relationship Id="rId5" Type="http://schemas.openxmlformats.org/officeDocument/2006/relationships/printerSettings" Target="../printerSettings/printerSettings6.bin"/><Relationship Id="rId4" Type="http://schemas.openxmlformats.org/officeDocument/2006/relationships/hyperlink" Target="https://www.youtube.com/watch?v=8NMinBfc9EU"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fr.extendoffice.com/documents/excel/4027-excel-increase-letter-by-one.html" TargetMode="External"/><Relationship Id="rId3" Type="http://schemas.openxmlformats.org/officeDocument/2006/relationships/hyperlink" Target="https://kulturegeek.fr/news-224456/microsoft-police-voudriez-remplacer-calibri" TargetMode="External"/><Relationship Id="rId21" Type="http://schemas.openxmlformats.org/officeDocument/2006/relationships/hyperlink" Target="https://savour.eu/portfolio/pifometrie/"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www.appvizer.fr/magazine/collaboration/km/gestion-des-connaissances"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24" Type="http://schemas.openxmlformats.org/officeDocument/2006/relationships/drawing" Target="../drawings/drawing2.xm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23" Type="http://schemas.openxmlformats.org/officeDocument/2006/relationships/printerSettings" Target="../printerSettings/printerSettings1.bin"/><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google.com/search?client=firefox-b-d&amp;q=Mondial+de+la+Pifom%C3%A9trie" TargetMode="Externa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hyperlink" Target="https://www.youtube.com/watch?v=8Lz6KCW3Nqo"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encoreungateau.com/pourquoi-un-blog-de-patisserie/vocabulaire-du-patissier/" TargetMode="External"/><Relationship Id="rId2" Type="http://schemas.openxmlformats.org/officeDocument/2006/relationships/hyperlink" Target="https://devenirpatissier.fr/vocabulaire-professionnel/" TargetMode="External"/><Relationship Id="rId1" Type="http://schemas.openxmlformats.org/officeDocument/2006/relationships/hyperlink" Target="http://devenir.patissier.free.fr/cours-CAP-vocabulaire-professionnel-eleve.pdf" TargetMode="External"/><Relationship Id="rId5" Type="http://schemas.openxmlformats.org/officeDocument/2006/relationships/drawing" Target="../drawings/drawing13.xml"/><Relationship Id="rId4" Type="http://schemas.openxmlformats.org/officeDocument/2006/relationships/hyperlink" Target="https://www.mercotte.fr/lexique/termes-culinaire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mercotte.fr/lexique/termes-culinaires/"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dieteticienne.over-blog.com/article-pourcentage-de-dechets-des-viandes-97921565.html?utm_source=chatgpt.com" TargetMode="External"/><Relationship Id="rId3" Type="http://schemas.openxmlformats.org/officeDocument/2006/relationships/hyperlink" Target="https://www.facebook.com/DKcoaching.prepa/posts/conna%C3%AEtre-les-%C3%A9quivalences-poids-crucuit-voil%C3%A0-un-post-qui-jesp%C3%A8re-te-sembleras-/1103043807120035/" TargetMode="External"/><Relationship Id="rId7" Type="http://schemas.openxmlformats.org/officeDocument/2006/relationships/hyperlink" Target="https://fatsecretfrance.fr/astuces-et-conseils/equivalences-cru-cuit/" TargetMode="External"/><Relationship Id="rId12" Type="http://schemas.openxmlformats.org/officeDocument/2006/relationships/drawing" Target="../drawings/drawing15.xml"/><Relationship Id="rId2" Type="http://schemas.openxmlformats.org/officeDocument/2006/relationships/hyperlink" Target="https://guide-alimentaire.canada.ca/fr/" TargetMode="External"/><Relationship Id="rId1" Type="http://schemas.openxmlformats.org/officeDocument/2006/relationships/hyperlink" Target="https://books.google.fr/books?id=ldcKa0614jAC&amp;newbks=1&amp;newbks_redir=0&amp;printsec=frontcover" TargetMode="External"/><Relationship Id="rId6" Type="http://schemas.openxmlformats.org/officeDocument/2006/relationships/hyperlink" Target="https://www.facebook.com/ecolosophie/posts/toujours-int%C3%A9ressant-de-savoir-l%C3%A9quivalence-entre-cuit-et-cru/2819013355067283/" TargetMode="External"/><Relationship Id="rId11" Type="http://schemas.openxmlformats.org/officeDocument/2006/relationships/hyperlink" Target="https://goodfood.brussels/sites/default/files/inline-files/Vademecum%20cantines%20FR%20-%2020240828.pdf" TargetMode="External"/><Relationship Id="rId5" Type="http://schemas.openxmlformats.org/officeDocument/2006/relationships/hyperlink" Target="https://faq.croq-kilos.com/hc/fr/articles/360018894799-Equivalence-poids-cru-et-cuit" TargetMode="External"/><Relationship Id="rId10" Type="http://schemas.openxmlformats.org/officeDocument/2006/relationships/hyperlink" Target="https://goodfood.brussels/fr/news/modification-du-critere-de-lassiette-equilibree-grammages-de-viande-du-label-cantine-good-food?domain=cit" TargetMode="External"/><Relationship Id="rId4" Type="http://schemas.openxmlformats.org/officeDocument/2006/relationships/hyperlink" Target="https://fr.pinterest.com/brigittek80/equivalences-crucuit/" TargetMode="External"/><Relationship Id="rId9" Type="http://schemas.openxmlformats.org/officeDocument/2006/relationships/hyperlink" Target="https://environnement.brussels/citoyen/outils-et-donnees/sites-web-et-outils/lalimentation-durable-bruxelle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youtube.com/shorts/fBWGlwtdljc" TargetMode="External"/><Relationship Id="rId2" Type="http://schemas.openxmlformats.org/officeDocument/2006/relationships/hyperlink" Target="https://www.youtube.com/watch?v=aZ-SY0ORaoA" TargetMode="External"/><Relationship Id="rId1" Type="http://schemas.openxmlformats.org/officeDocument/2006/relationships/hyperlink" Target="https://www.youtube.com/watch?v=Lozx5O243Do" TargetMode="External"/><Relationship Id="rId6" Type="http://schemas.openxmlformats.org/officeDocument/2006/relationships/hyperlink" Target="https://chatgpt.com/share/67b0cbdb-19d8-8007-823f-c64157ad99cf" TargetMode="External"/><Relationship Id="rId5" Type="http://schemas.openxmlformats.org/officeDocument/2006/relationships/hyperlink" Target="https://youtu.be/wn3uinXeO-Y" TargetMode="External"/><Relationship Id="rId4" Type="http://schemas.openxmlformats.org/officeDocument/2006/relationships/hyperlink" Target="https://www.youtube.com/watch?v=Q_NLy_NQ86M&amp;list=PL_YIPTyDwH029le6-8T91wPfpqGH-iIIU"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excel-exercice.com/modulo-mod/" TargetMode="External"/><Relationship Id="rId13" Type="http://schemas.openxmlformats.org/officeDocument/2006/relationships/hyperlink" Target="https://www.google.com/search?client=firefox-b-d&amp;q=banque+d%27image+cuisine+patisserie+charcuterie+fromage" TargetMode="External"/><Relationship Id="rId3" Type="http://schemas.openxmlformats.org/officeDocument/2006/relationships/hyperlink" Target="https://www.dieteticien-nutritionniste-sante.com/conseils-alimentaires/a-telecharger/6545-2_POIDSETMESURES_FR_2005_2_4400388_fr.pdf" TargetMode="External"/><Relationship Id="rId7" Type="http://schemas.openxmlformats.org/officeDocument/2006/relationships/hyperlink" Target="https://www.youtube.com/watch?v=zSpH3J0RKUQ" TargetMode="External"/><Relationship Id="rId12" Type="http://schemas.openxmlformats.org/officeDocument/2006/relationships/hyperlink" Target="https://www.lesoeufs.ca/oeufs101/voir/4/introduction-aux-oeufs" TargetMode="External"/><Relationship Id="rId2" Type="http://schemas.openxmlformats.org/officeDocument/2006/relationships/hyperlink" Target="http://www.aliments.org/poids.htm" TargetMode="External"/><Relationship Id="rId1" Type="http://schemas.openxmlformats.org/officeDocument/2006/relationships/hyperlink" Target="https://fr.wikipedia.org/wiki/Gastro_Norm" TargetMode="External"/><Relationship Id="rId6" Type="http://schemas.openxmlformats.org/officeDocument/2006/relationships/hyperlink" Target="https://www.youtube.com/watch?v=oLiOogBFyqw" TargetMode="External"/><Relationship Id="rId11" Type="http://schemas.openxmlformats.org/officeDocument/2006/relationships/hyperlink" Target="https://www.meilleurduchef.com/fr/recette/glacage-brillant-chocolat.html" TargetMode="External"/><Relationship Id="rId5" Type="http://schemas.openxmlformats.org/officeDocument/2006/relationships/hyperlink" Target="http://miam-images.centerblog.net/rub-vaisselle-ustensiles-de-cuisson--3.html" TargetMode="External"/><Relationship Id="rId15" Type="http://schemas.openxmlformats.org/officeDocument/2006/relationships/drawing" Target="../drawings/drawing16.xml"/><Relationship Id="rId10" Type="http://schemas.openxmlformats.org/officeDocument/2006/relationships/hyperlink" Target="https://www.google.com/search?q=feuilles+de+g%C3%A9latine&amp;client=firefox-b-d&amp;sca_esv=564262174&amp;tbm=vid&amp;sxsrf=AB5stBhVwchfIVK22tzLW58_8S7u2IL_Rg:1694411797681&amp;source=lnms&amp;sa=X&amp;ved=2ahUKEwjp9bbq76GBAxWCTaQEHXZcBtcQ_AUoA3oECAIQBQ&amp;biw=1564&amp;bih=722&amp;dpr=1.2" TargetMode="External"/><Relationship Id="rId4" Type="http://schemas.openxmlformats.org/officeDocument/2006/relationships/hyperlink" Target="http://www.crenoexpert.fr/flipbooks/expproduit/TABLEAUX-CALIBRES-FRUITS-2.pdf" TargetMode="External"/><Relationship Id="rId9" Type="http://schemas.openxmlformats.org/officeDocument/2006/relationships/hyperlink" Target="https://www.google.com/search?q=g%C3%A9latine+et+agar-agar+principes+et+utilisations&amp;client=firefox-b-d&amp;sca_esv=564262174&amp;tbm=vid&amp;sxsrf=AB5stBizTm0AytiaSjIib_2tQMKOnr0Ang:1694411714355&amp;source=lnms&amp;sa=X&amp;ved=2ahUKEwjoidnC76GBAxWIdqQEHRtbAJsQ_AUoA3oECAQQBQ&amp;biw=1564&amp;bih=722&amp;dpr=1.2" TargetMode="External"/><Relationship Id="rId14" Type="http://schemas.openxmlformats.org/officeDocument/2006/relationships/hyperlink" Target="https://www.google.com/search?client=firefox-b-d&amp;q=Quelle+quantit%C3%A9+dans+mon+assiette+%3F"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cmath.fr/6eme/pourcentages/cours.php" TargetMode="External"/><Relationship Id="rId13" Type="http://schemas.openxmlformats.org/officeDocument/2006/relationships/hyperlink" Target="https://www.youtube.com/watch?v=dQafvb2O01U" TargetMode="External"/><Relationship Id="rId18" Type="http://schemas.openxmlformats.org/officeDocument/2006/relationships/hyperlink" Target="https://www.youtube.com/watch?v=dWC54hCv0pc" TargetMode="External"/><Relationship Id="rId26" Type="http://schemas.openxmlformats.org/officeDocument/2006/relationships/hyperlink" Target="https://www.google.com/search?client=firefox-b-d&amp;sca_esv=564255901&amp;sxsrf=AB5stBihJ69cL1ng1vQDYXKmUFWjQYd6jQ:1694407722726&amp;q=dgccrf+Poids+brut+ou+poids+net+?+Ne+payer+pas+l%27emballage+!&amp;spell=1&amp;sa=X&amp;ved=2ahUKEwjRtKvT4KGBAxVJWqQEHb3mCrcQBSgAegQICBAB&amp;biw=1564&amp;bih=722&amp;dpr=1.2"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_PTjJ7UD4eo" TargetMode="External"/><Relationship Id="rId7" Type="http://schemas.openxmlformats.org/officeDocument/2006/relationships/hyperlink" Target="https://www.cmath.fr/cesite/presentation.php" TargetMode="External"/><Relationship Id="rId12" Type="http://schemas.openxmlformats.org/officeDocument/2006/relationships/hyperlink" Target="http://www.astuceshebdo.com/2012/03/comment-calculer-un-pourcentage-cas-n-1.html" TargetMode="External"/><Relationship Id="rId17" Type="http://schemas.openxmlformats.org/officeDocument/2006/relationships/hyperlink" Target="https://www.youtube.com/c/YMONKA" TargetMode="External"/><Relationship Id="rId25" Type="http://schemas.openxmlformats.org/officeDocument/2006/relationships/hyperlink" Target="https://www.google.com/search?q=comment-compter-le-pourcentage-de-tete-vite-et-facilement&amp;client=firefox-b-d&amp;sca_esv=564255901&amp;sxsrf=AB5stBht_2JMUoJjcN6G_I3PsSwWLfGaWQ:1694407223966&amp;source=lnms&amp;sa=X&amp;ved=2ahUKEwjSxMHl3qGBAxU6TaQEHfycCw8Q_AUoAHoECAEQAg&amp;biw=1564&amp;bih=722&amp;dpr=1.2"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SgFaLduHeAE" TargetMode="External"/><Relationship Id="rId20" Type="http://schemas.openxmlformats.org/officeDocument/2006/relationships/hyperlink" Target="https://www.youtube.com/watch?v=mGDjvAcvigc" TargetMode="Externa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s://www.deleze.name/marcel/culture/taux_composes/taux_simple.html" TargetMode="External"/><Relationship Id="rId11" Type="http://schemas.openxmlformats.org/officeDocument/2006/relationships/hyperlink" Target="https://fr.wikihow.com/convertir-en-pourcentage" TargetMode="External"/><Relationship Id="rId24" Type="http://schemas.openxmlformats.org/officeDocument/2006/relationships/hyperlink" Target="http://www.maths-et-tiques.fr/index.php/cours-en-videos" TargetMode="External"/><Relationship Id="rId5" Type="http://schemas.openxmlformats.org/officeDocument/2006/relationships/hyperlink" Target="http://www.slate.fr/story/82029/soldes-calculer-rabais" TargetMode="External"/><Relationship Id="rId15" Type="http://schemas.openxmlformats.org/officeDocument/2006/relationships/hyperlink" Target="http://www.capte-les-maths.com/pourcentage/les_pourcentages_p6.php" TargetMode="External"/><Relationship Id="rId23" Type="http://schemas.openxmlformats.org/officeDocument/2006/relationships/hyperlink" Target="https://www.maths-et-tiques.fr/telech/Pourcent.pdf" TargetMode="External"/><Relationship Id="rId10" Type="http://schemas.openxmlformats.org/officeDocument/2006/relationships/hyperlink" Target="http://fortimelp.fr/content/44-calculer-un-pourcentage" TargetMode="External"/><Relationship Id="rId19" Type="http://schemas.openxmlformats.org/officeDocument/2006/relationships/hyperlink" Target="https://www.youtube.com/watch?v=psIZ0y_8VVc" TargetMode="External"/><Relationship Id="rId4" Type="http://schemas.openxmlformats.org/officeDocument/2006/relationships/hyperlink" Target="http://www.capte-les-maths.com/pourcentage/les_pourcentages_p10.php" TargetMode="External"/><Relationship Id="rId9" Type="http://schemas.openxmlformats.org/officeDocument/2006/relationships/hyperlink" Target="https://fr.wikipedia.org/wiki/Pourcentage" TargetMode="External"/><Relationship Id="rId14" Type="http://schemas.openxmlformats.org/officeDocument/2006/relationships/hyperlink" Target="https://www.youtube.com/watch?v=QTGvjmAhEHo" TargetMode="External"/><Relationship Id="rId22" Type="http://schemas.openxmlformats.org/officeDocument/2006/relationships/hyperlink" Target="https://www.youtube.com/watch?v=tSp2xkS-tKs" TargetMode="External"/><Relationship Id="rId27"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13" Type="http://schemas.openxmlformats.org/officeDocument/2006/relationships/hyperlink" Target="https://www.canva.com/fr_fr/decouvrir/association-de-couleur-tendance-exemple/"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12" Type="http://schemas.openxmlformats.org/officeDocument/2006/relationships/hyperlink" Target="https://clickup.com/fr-FR/blog/202591/comment-faire-un-code-couleur-dans-excel"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11" Type="http://schemas.openxmlformats.org/officeDocument/2006/relationships/hyperlink" Target="https://excel-downloads.com/forums/forum-excel.7/" TargetMode="External"/><Relationship Id="rId5" Type="http://schemas.openxmlformats.org/officeDocument/2006/relationships/hyperlink" Target="https://encycolorpedia.com/paints" TargetMode="External"/><Relationship Id="rId10" Type="http://schemas.openxmlformats.org/officeDocument/2006/relationships/hyperlink" Target="https://excel-pratique.com/fr/vba/liste-couleurs-rgb.php"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 Id="rId14"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uprt.fr/mesimages/fichiers-uprt/hop-alimentation/hop-photos-quantit%C3%A9s.pdf" TargetMode="External"/><Relationship Id="rId3" Type="http://schemas.openxmlformats.org/officeDocument/2006/relationships/hyperlink" Target="https://bepo.fr/wiki/Menu" TargetMode="External"/><Relationship Id="rId7" Type="http://schemas.openxmlformats.org/officeDocument/2006/relationships/hyperlink" Target="https://everything.fr.softonic.com/" TargetMode="External"/><Relationship Id="rId12" Type="http://schemas.openxmlformats.org/officeDocument/2006/relationships/drawing" Target="../drawings/drawing18.xm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BEAwIv4fIw4" TargetMode="External"/><Relationship Id="rId11" Type="http://schemas.openxmlformats.org/officeDocument/2006/relationships/printerSettings" Target="../printerSettings/printerSettings8.bin"/><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www.youtube.com/watch?v=2TmdhLLUsOQ"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diet-life.fr/visuellement-100-calorie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cellulexcel.blogspot.com/p/blog-page_16.html" TargetMode="External"/><Relationship Id="rId18" Type="http://schemas.openxmlformats.org/officeDocument/2006/relationships/printerSettings" Target="../printerSettings/printerSettings2.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v=FZwdUZUwnuI" TargetMode="External"/><Relationship Id="rId17" Type="http://schemas.openxmlformats.org/officeDocument/2006/relationships/hyperlink" Target="https://www.automateexcel.com/fr/how-to/que-signifient-les-symboles-etc-dans-les-formules-excel-et-google-sheets/" TargetMode="External"/><Relationship Id="rId2" Type="http://schemas.openxmlformats.org/officeDocument/2006/relationships/hyperlink" Target="https://fr.wikipedia.org/wiki/Calibri" TargetMode="External"/><Relationship Id="rId16" Type="http://schemas.openxmlformats.org/officeDocument/2006/relationships/hyperlink" Target="https://fr.extendoffice.com/documents/excel/4027-excel-increase-letter-by-one.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www.youtube.com/watch?app=desktop&amp;v=Yuy1jisXErY"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www.bonbache.fr/syntheses-graphiques-excel-avec-les-emoticones-499.html" TargetMode="External"/><Relationship Id="rId10" Type="http://schemas.openxmlformats.org/officeDocument/2006/relationships/hyperlink" Target="https://fr.vecteezy.com/video/5480445-appuyer-sur-la-touche-entree-sur-le-clavier-d-un-ordinateur-de-bureau" TargetMode="External"/><Relationship Id="rId19" Type="http://schemas.openxmlformats.org/officeDocument/2006/relationships/drawing" Target="../drawings/drawing3.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excel-exercice.com/comment-faire-une-liste-alphabetique-automatiqu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v=FZwdUZUwnuI" TargetMode="External"/><Relationship Id="rId18" Type="http://schemas.openxmlformats.org/officeDocument/2006/relationships/printerSettings" Target="../printerSettings/printerSettings3.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app=desktop&amp;v=Yuy1jisXErY" TargetMode="External"/><Relationship Id="rId17" Type="http://schemas.openxmlformats.org/officeDocument/2006/relationships/hyperlink" Target="https://fr.extendoffice.com/documents/excel/4027-excel-increase-letter-by-one.html" TargetMode="External"/><Relationship Id="rId2" Type="http://schemas.openxmlformats.org/officeDocument/2006/relationships/hyperlink" Target="https://fr.wikipedia.org/wiki/Calibri" TargetMode="External"/><Relationship Id="rId16" Type="http://schemas.openxmlformats.org/officeDocument/2006/relationships/hyperlink" Target="https://www.bonbache.fr/syntheses-graphiques-excel-avec-les-emoticones-499.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fr.vecteezy.com/video/5480445-appuyer-sur-la-touche-entree-sur-le-clavier-d-un-ordinateur-de-bureau"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excel-exercice.com/comment-faire-une-liste-alphabetique-automatique/"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drawing" Target="../drawings/drawing4.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cellulexcel.blogspot.com/p/blog-page_16.htm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canva.com/fr_fr/decouvrir/association-de-couleur-tendance-exemple/" TargetMode="External"/><Relationship Id="rId13" Type="http://schemas.openxmlformats.org/officeDocument/2006/relationships/hyperlink" Target="https://www.flickr.com/photos/lolo65/" TargetMode="External"/><Relationship Id="rId18" Type="http://schemas.openxmlformats.org/officeDocument/2006/relationships/drawing" Target="../drawings/drawing5.xml"/><Relationship Id="rId3" Type="http://schemas.openxmlformats.org/officeDocument/2006/relationships/hyperlink" Target="https://www.laduree.fr/" TargetMode="External"/><Relationship Id="rId7" Type="http://schemas.openxmlformats.org/officeDocument/2006/relationships/hyperlink" Target="https://www.canva.com/fr_fr/decouvrir/code-couleur-usage-signification/" TargetMode="External"/><Relationship Id="rId12" Type="http://schemas.openxmlformats.org/officeDocument/2006/relationships/hyperlink" Target="https://99designs.fr/blog/inspiration-graphique/combinaisons-de-couleurs/" TargetMode="External"/><Relationship Id="rId17" Type="http://schemas.openxmlformats.org/officeDocument/2006/relationships/hyperlink" Target="https://www.flickr.com/photos/johnfish/" TargetMode="External"/><Relationship Id="rId2" Type="http://schemas.openxmlformats.org/officeDocument/2006/relationships/hyperlink" Target="http://www.aquatonic-saint-malo.com/" TargetMode="External"/><Relationship Id="rId16" Type="http://schemas.openxmlformats.org/officeDocument/2006/relationships/hyperlink" Target="https://www.flickr.com/photos/jean-mi83/" TargetMode="External"/><Relationship Id="rId1" Type="http://schemas.openxmlformats.org/officeDocument/2006/relationships/hyperlink" Target="http://www.wolfandson.net/" TargetMode="External"/><Relationship Id="rId6" Type="http://schemas.openxmlformats.org/officeDocument/2006/relationships/hyperlink" Target="https://www.canva.com/fr_fr/decouvrir/comment-creer-la-palette-de-couleurs-de-votre-marque/" TargetMode="External"/><Relationship Id="rId11" Type="http://schemas.openxmlformats.org/officeDocument/2006/relationships/hyperlink" Target="https://www.behance.net/gallery/223506737/Sunwhip-tanning-foam-Brand-identity" TargetMode="External"/><Relationship Id="rId5" Type="http://schemas.openxmlformats.org/officeDocument/2006/relationships/hyperlink" Target="https://www.canva.com/fr_fr/" TargetMode="External"/><Relationship Id="rId15" Type="http://schemas.openxmlformats.org/officeDocument/2006/relationships/hyperlink" Target="https://www.flickr.com/photos/mizzmurray/" TargetMode="External"/><Relationship Id="rId10" Type="http://schemas.openxmlformats.org/officeDocument/2006/relationships/hyperlink" Target="https://www.vistaprint.fr/hub/tendances-couleurs" TargetMode="External"/><Relationship Id="rId4" Type="http://schemas.openxmlformats.org/officeDocument/2006/relationships/hyperlink" Target="https://www.cinabre-paris.com/fr/" TargetMode="External"/><Relationship Id="rId9" Type="http://schemas.openxmlformats.org/officeDocument/2006/relationships/hyperlink" Target="https://www.canva.com/fr_fr/decouvrir/association-de-couleur-tendance-exemple/" TargetMode="External"/><Relationship Id="rId14" Type="http://schemas.openxmlformats.org/officeDocument/2006/relationships/hyperlink" Target="https://www.flickr.com/photos/sunova_surfboard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solpedinn.com/articles/comment-booster-le-design-de-tes-tableaux-excel" TargetMode="External"/><Relationship Id="rId13" Type="http://schemas.openxmlformats.org/officeDocument/2006/relationships/hyperlink" Target="https://www.histoires-et-slides.fr/blog/tendances-design-2025" TargetMode="External"/><Relationship Id="rId18" Type="http://schemas.openxmlformats.org/officeDocument/2006/relationships/drawing" Target="../drawings/drawing6.xml"/><Relationship Id="rId3" Type="http://schemas.openxmlformats.org/officeDocument/2006/relationships/hyperlink" Target="https://www.istockphoto.com/fr/photos/%C3%A9pices" TargetMode="External"/><Relationship Id="rId7" Type="http://schemas.openxmlformats.org/officeDocument/2006/relationships/hyperlink" Target="https://www.lesfruitsetlegumesfrais.com/" TargetMode="External"/><Relationship Id="rId12" Type="http://schemas.openxmlformats.org/officeDocument/2006/relationships/hyperlink" Target="https://business.pinterest.com/fr/blog/2025-pinterest-palette-this-years-trending-colors/" TargetMode="External"/><Relationship Id="rId17" Type="http://schemas.openxmlformats.org/officeDocument/2006/relationships/printerSettings" Target="../printerSettings/printerSettings4.bin"/><Relationship Id="rId2" Type="http://schemas.openxmlformats.org/officeDocument/2006/relationships/hyperlink" Target="https://www.aprifel.com/fr/" TargetMode="External"/><Relationship Id="rId16" Type="http://schemas.openxmlformats.org/officeDocument/2006/relationships/hyperlink" Target="https://99designs.fr/blog/inspiration-graphique/combinaisons-de-couleurs/" TargetMode="External"/><Relationship Id="rId1" Type="http://schemas.openxmlformats.org/officeDocument/2006/relationships/hyperlink" Target="https://gastronomierestauration.blogspot.com/2019/01/audiovisuel-les-aliments-vocabulaire-et.html" TargetMode="External"/><Relationship Id="rId6" Type="http://schemas.openxmlformats.org/officeDocument/2006/relationships/hyperlink" Target="https://www.pexels.com/fr-fr/chercher/%C3%A9pices/" TargetMode="External"/><Relationship Id="rId11" Type="http://schemas.openxmlformats.org/officeDocument/2006/relationships/hyperlink" Target="https://www.vistaprint.fr/hub/tendances-couleurs?srsltid=AfmBOorRM251g5qKzJ262HRID5taij6POxPc7_yxcjqiwD6SrckPZXBB" TargetMode="External"/><Relationship Id="rId5" Type="http://schemas.openxmlformats.org/officeDocument/2006/relationships/hyperlink" Target="https://pixabay.com/fr/photos/search/%C3%A9pices/" TargetMode="External"/><Relationship Id="rId15" Type="http://schemas.openxmlformats.org/officeDocument/2006/relationships/hyperlink" Target="https://www.toybox-design.com/web/palette-de-couleur-pour-site-web-2025-les-tendances-par-secteur-qui-boostent-votre-conversion/" TargetMode="External"/><Relationship Id="rId10" Type="http://schemas.openxmlformats.org/officeDocument/2006/relationships/hyperlink" Target="https://www.youtube.com/watch?v=SrcZ8Dadqqg" TargetMode="External"/><Relationship Id="rId4" Type="http://schemas.openxmlformats.org/officeDocument/2006/relationships/hyperlink" Target="https://fr.freepik.com/photos/epices" TargetMode="External"/><Relationship Id="rId9" Type="http://schemas.openxmlformats.org/officeDocument/2006/relationships/hyperlink" Target="https://insightsoftware.com/fr/blog/effective-color-schemes-for-analytics-dashboards/" TargetMode="External"/><Relationship Id="rId14" Type="http://schemas.openxmlformats.org/officeDocument/2006/relationships/hyperlink" Target="https://www.canva.com/fr_fr/decouvrir/association-de-couleur-tendance-exempl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aprifel.com/fr/" TargetMode="External"/><Relationship Id="rId13" Type="http://schemas.openxmlformats.org/officeDocument/2006/relationships/hyperlink" Target="https://www.lesfruitsetlegumesfrais.com/" TargetMode="External"/><Relationship Id="rId3" Type="http://schemas.openxmlformats.org/officeDocument/2006/relationships/hyperlink" Target="https://www.youtube.com/watch?v=8Lz6KCW3Nqo" TargetMode="External"/><Relationship Id="rId7" Type="http://schemas.openxmlformats.org/officeDocument/2006/relationships/hyperlink" Target="https://gastronomierestauration.blogspot.com/2019/01/audiovisuel-les-aliments-vocabulaire-et.html" TargetMode="External"/><Relationship Id="rId12" Type="http://schemas.openxmlformats.org/officeDocument/2006/relationships/hyperlink" Target="https://www.pexels.com/fr-fr/chercher/%C3%A9pices/" TargetMode="External"/><Relationship Id="rId2" Type="http://schemas.openxmlformats.org/officeDocument/2006/relationships/hyperlink" Target="https://www.bonbache.fr/syntheses-graphiques-excel-avec-les-emoticones-499.html" TargetMode="External"/><Relationship Id="rId1" Type="http://schemas.openxmlformats.org/officeDocument/2006/relationships/hyperlink" Target="https://www.youtube.com/watch?v=8Lz6KCW3Nqo" TargetMode="External"/><Relationship Id="rId6" Type="http://schemas.openxmlformats.org/officeDocument/2006/relationships/hyperlink" Target="https://www.bonbache.fr/syntheses-graphiques-excel-avec-les-emoticones-499.html" TargetMode="External"/><Relationship Id="rId11" Type="http://schemas.openxmlformats.org/officeDocument/2006/relationships/hyperlink" Target="https://pixabay.com/fr/photos/search/%C3%A9pices/" TargetMode="External"/><Relationship Id="rId5" Type="http://schemas.openxmlformats.org/officeDocument/2006/relationships/hyperlink" Target="https://www.youtube.com/watch?v=8Lz6KCW3Nqo" TargetMode="External"/><Relationship Id="rId10" Type="http://schemas.openxmlformats.org/officeDocument/2006/relationships/hyperlink" Target="https://fr.freepik.com/photos/epices" TargetMode="External"/><Relationship Id="rId4" Type="http://schemas.openxmlformats.org/officeDocument/2006/relationships/hyperlink" Target="https://www.bonbache.fr/syntheses-graphiques-excel-avec-les-emoticones-499.html" TargetMode="External"/><Relationship Id="rId9" Type="http://schemas.openxmlformats.org/officeDocument/2006/relationships/hyperlink" Target="https://www.istockphoto.com/fr/photos/%C3%A9pices" TargetMode="External"/><Relationship Id="rId1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7C0A-88F9-438A-9244-67E87FEDBDD5}">
  <dimension ref="A1:O115"/>
  <sheetViews>
    <sheetView workbookViewId="0">
      <selection activeCell="H32" sqref="H32"/>
    </sheetView>
  </sheetViews>
  <sheetFormatPr baseColWidth="10" defaultRowHeight="15"/>
  <cols>
    <col min="1" max="12" width="11.42578125" style="630"/>
    <col min="15" max="15" width="86" customWidth="1"/>
    <col min="16" max="16384" width="11.42578125" style="630"/>
  </cols>
  <sheetData>
    <row r="1" spans="1:15">
      <c r="A1" s="1" t="str">
        <f>ADDRESS(ROW(),COLUMN(),4)</f>
        <v>A1</v>
      </c>
      <c r="B1" s="186"/>
      <c r="C1" s="186"/>
      <c r="D1" s="186"/>
      <c r="E1" s="186"/>
      <c r="F1" s="186"/>
      <c r="G1" s="186"/>
      <c r="H1" s="186"/>
      <c r="I1" s="186"/>
      <c r="J1" s="186"/>
      <c r="K1" s="186"/>
      <c r="L1" s="186"/>
      <c r="M1" s="3">
        <v>1</v>
      </c>
      <c r="N1" s="4" t="str">
        <f>SUBSTITUTE(ADDRESS(1,COLUMN(),4),"1","")</f>
        <v>N</v>
      </c>
      <c r="O1" s="5" t="str">
        <f>SUBSTITUTE(ADDRESS(1,COLUMN(),4),"1","")</f>
        <v>O</v>
      </c>
    </row>
    <row r="2" spans="1:15">
      <c r="A2" s="186"/>
      <c r="B2" s="186"/>
      <c r="C2" s="186"/>
      <c r="D2" s="186"/>
      <c r="E2" s="186"/>
      <c r="F2" s="186"/>
      <c r="G2" s="186"/>
      <c r="H2" s="186"/>
      <c r="I2" s="186"/>
      <c r="J2" s="186"/>
      <c r="K2" s="186"/>
      <c r="L2" s="186"/>
      <c r="M2" s="3">
        <v>1</v>
      </c>
      <c r="N2" s="7" t="s">
        <v>3</v>
      </c>
      <c r="O2" s="8"/>
    </row>
    <row r="3" spans="1:15" ht="15.75">
      <c r="A3" s="186"/>
      <c r="B3" s="186"/>
      <c r="C3" s="186"/>
      <c r="D3" s="186"/>
      <c r="E3" s="186"/>
      <c r="F3" s="186"/>
      <c r="G3" s="186"/>
      <c r="H3" s="186"/>
      <c r="I3" s="186"/>
      <c r="J3" s="186"/>
      <c r="K3" s="186"/>
      <c r="L3" s="186"/>
      <c r="M3" s="3">
        <v>1</v>
      </c>
      <c r="N3" s="10">
        <f>COUNTA(A1:M115) + COUNTBLANK(A1:M115)</f>
        <v>1495</v>
      </c>
      <c r="O3" s="11" t="str">
        <f>"cellules entre -cells -celdas  "&amp;" " &amp;A1&amp;" et  "&amp;M115</f>
        <v>cellules entre -cells -celdas   A1 et  M115</v>
      </c>
    </row>
    <row r="4" spans="1:15" ht="15.75">
      <c r="A4" s="186"/>
      <c r="B4" s="186"/>
      <c r="C4" s="186"/>
      <c r="D4" s="186"/>
      <c r="E4" s="186"/>
      <c r="F4" s="186"/>
      <c r="G4" s="186"/>
      <c r="H4" s="186"/>
      <c r="I4" s="186"/>
      <c r="J4" s="186"/>
      <c r="K4" s="186"/>
      <c r="L4" s="186"/>
      <c r="M4" s="3">
        <v>1</v>
      </c>
      <c r="N4" s="10">
        <f>COUNTA(A1:M115)</f>
        <v>185</v>
      </c>
      <c r="O4" s="11" t="s">
        <v>9</v>
      </c>
    </row>
    <row r="5" spans="1:15" ht="15.75">
      <c r="A5" s="186"/>
      <c r="B5" s="186"/>
      <c r="C5" s="186"/>
      <c r="D5" s="186"/>
      <c r="E5" s="186"/>
      <c r="F5" s="186"/>
      <c r="G5" s="186"/>
      <c r="H5" s="186"/>
      <c r="I5" s="186"/>
      <c r="J5" s="186"/>
      <c r="K5" s="186"/>
      <c r="L5" s="186"/>
      <c r="M5" s="3">
        <v>1</v>
      </c>
      <c r="N5" s="10">
        <f>COUNTBLANK(A1:M115)</f>
        <v>1310</v>
      </c>
      <c r="O5" s="11" t="s">
        <v>12</v>
      </c>
    </row>
    <row r="6" spans="1:15" ht="15.75">
      <c r="A6" s="186"/>
      <c r="B6" s="186"/>
      <c r="C6" s="186"/>
      <c r="D6" s="186"/>
      <c r="E6" s="186"/>
      <c r="F6" s="186"/>
      <c r="G6" s="186"/>
      <c r="H6" s="186"/>
      <c r="I6" s="186"/>
      <c r="J6" s="186"/>
      <c r="K6" s="186"/>
      <c r="L6" s="186"/>
      <c r="M6" s="3">
        <v>1</v>
      </c>
      <c r="N6" s="10">
        <f>SUM(M1:M113)+2</f>
        <v>115</v>
      </c>
      <c r="O6" s="11" t="s">
        <v>14</v>
      </c>
    </row>
    <row r="7" spans="1:15" ht="15.75">
      <c r="A7" s="186"/>
      <c r="B7" s="186"/>
      <c r="C7" s="186"/>
      <c r="D7" s="186"/>
      <c r="E7" s="186"/>
      <c r="F7" s="186"/>
      <c r="G7" s="186"/>
      <c r="H7" s="186"/>
      <c r="I7" s="186"/>
      <c r="J7" s="186"/>
      <c r="K7" s="186"/>
      <c r="L7" s="186"/>
      <c r="M7" s="3">
        <v>1</v>
      </c>
      <c r="N7" s="10" cm="1">
        <f t="array" ref="N7">SUM(A115:L115+1)</f>
        <v>24</v>
      </c>
      <c r="O7" s="11" t="s">
        <v>17</v>
      </c>
    </row>
    <row r="8" spans="1:15" ht="18.75">
      <c r="A8" s="570"/>
      <c r="B8" s="5611" t="s">
        <v>14173</v>
      </c>
      <c r="C8" s="186"/>
      <c r="D8" s="186"/>
      <c r="E8" s="186"/>
      <c r="F8" s="186"/>
      <c r="G8" s="186"/>
      <c r="H8" s="186"/>
      <c r="I8" s="186"/>
      <c r="J8" s="186"/>
      <c r="K8" s="186"/>
      <c r="L8" s="186"/>
      <c r="M8" s="3">
        <v>1</v>
      </c>
      <c r="N8" s="10"/>
      <c r="O8" s="11"/>
    </row>
    <row r="9" spans="1:15" ht="31.5">
      <c r="A9" s="186"/>
      <c r="B9" s="5612" t="s">
        <v>14174</v>
      </c>
      <c r="C9" s="186"/>
      <c r="D9" s="186"/>
      <c r="E9" s="186"/>
      <c r="F9" s="186"/>
      <c r="G9" s="186"/>
      <c r="H9" s="186"/>
      <c r="I9" s="186"/>
      <c r="J9" s="186"/>
      <c r="K9" s="186"/>
      <c r="L9" s="186"/>
      <c r="M9" s="3">
        <v>1</v>
      </c>
    </row>
    <row r="10" spans="1:15">
      <c r="A10" s="186"/>
      <c r="B10" s="186"/>
      <c r="C10" s="186"/>
      <c r="D10" s="186"/>
      <c r="E10" s="186"/>
      <c r="F10" s="186"/>
      <c r="G10" s="186"/>
      <c r="H10" s="186"/>
      <c r="I10" s="186"/>
      <c r="J10" s="186"/>
      <c r="K10" s="186"/>
      <c r="L10" s="186"/>
      <c r="M10" s="3">
        <v>1</v>
      </c>
    </row>
    <row r="11" spans="1:15" ht="23.25">
      <c r="A11" s="186"/>
      <c r="B11" s="1314" t="s">
        <v>14175</v>
      </c>
      <c r="C11" s="186"/>
      <c r="D11" s="186"/>
      <c r="E11" s="186"/>
      <c r="F11" s="186"/>
      <c r="G11" s="186"/>
      <c r="H11" s="186"/>
      <c r="I11" s="186"/>
      <c r="J11" s="186"/>
      <c r="K11" s="186"/>
      <c r="L11" s="186"/>
      <c r="M11" s="3">
        <v>1</v>
      </c>
    </row>
    <row r="12" spans="1:15">
      <c r="A12" s="186"/>
      <c r="B12" s="186"/>
      <c r="C12" s="186"/>
      <c r="D12" s="186"/>
      <c r="E12" s="186"/>
      <c r="F12" s="186"/>
      <c r="G12" s="186"/>
      <c r="H12" s="186"/>
      <c r="I12" s="186"/>
      <c r="J12" s="186"/>
      <c r="K12" s="186"/>
      <c r="L12" s="186"/>
      <c r="M12" s="3">
        <v>1</v>
      </c>
    </row>
    <row r="13" spans="1:15">
      <c r="A13" s="186"/>
      <c r="B13" s="186" t="s">
        <v>14176</v>
      </c>
      <c r="C13" s="186"/>
      <c r="D13" s="186"/>
      <c r="E13" s="186"/>
      <c r="F13" s="186"/>
      <c r="G13" s="186"/>
      <c r="H13" s="186"/>
      <c r="I13" s="186"/>
      <c r="J13" s="186"/>
      <c r="K13" s="186"/>
      <c r="L13" s="186"/>
      <c r="M13" s="3">
        <v>1</v>
      </c>
    </row>
    <row r="14" spans="1:15">
      <c r="A14" s="186"/>
      <c r="B14" s="186"/>
      <c r="C14" s="186"/>
      <c r="D14" s="186"/>
      <c r="E14" s="186"/>
      <c r="F14" s="186"/>
      <c r="G14" s="186"/>
      <c r="H14" s="186"/>
      <c r="I14" s="186"/>
      <c r="J14" s="186"/>
      <c r="K14" s="186"/>
      <c r="L14" s="186"/>
      <c r="M14" s="3">
        <v>1</v>
      </c>
    </row>
    <row r="15" spans="1:15">
      <c r="A15" s="186"/>
      <c r="B15" s="656" t="s">
        <v>14177</v>
      </c>
      <c r="C15" s="186"/>
      <c r="D15" s="186"/>
      <c r="E15" s="186"/>
      <c r="F15" s="186"/>
      <c r="G15" s="186"/>
      <c r="H15" s="186"/>
      <c r="I15" s="186"/>
      <c r="J15" s="186"/>
      <c r="K15" s="186"/>
      <c r="L15" s="186"/>
      <c r="M15" s="3">
        <v>1</v>
      </c>
    </row>
    <row r="16" spans="1:15">
      <c r="A16" s="186"/>
      <c r="B16" s="186"/>
      <c r="C16" s="186"/>
      <c r="D16" s="186"/>
      <c r="E16" s="186"/>
      <c r="F16" s="186"/>
      <c r="G16" s="186"/>
      <c r="H16" s="186"/>
      <c r="I16" s="186"/>
      <c r="J16" s="186"/>
      <c r="K16" s="186"/>
      <c r="L16" s="186"/>
      <c r="M16" s="3">
        <v>1</v>
      </c>
    </row>
    <row r="17" spans="1:13">
      <c r="A17" s="186"/>
      <c r="B17" s="6427" t="s">
        <v>14178</v>
      </c>
      <c r="C17" s="6427"/>
      <c r="D17" s="6427"/>
      <c r="E17" s="6427"/>
      <c r="F17" s="6427"/>
      <c r="G17" s="6427"/>
      <c r="H17" s="6427"/>
      <c r="I17" s="6427"/>
      <c r="J17" s="6427"/>
      <c r="K17" s="6427"/>
      <c r="L17" s="186"/>
      <c r="M17" s="3">
        <v>1</v>
      </c>
    </row>
    <row r="18" spans="1:13">
      <c r="A18" s="186"/>
      <c r="B18" s="6427"/>
      <c r="C18" s="6427"/>
      <c r="D18" s="6427"/>
      <c r="E18" s="6427"/>
      <c r="F18" s="6427"/>
      <c r="G18" s="6427"/>
      <c r="H18" s="6427"/>
      <c r="I18" s="6427"/>
      <c r="J18" s="6427"/>
      <c r="K18" s="6427"/>
      <c r="L18" s="186"/>
      <c r="M18" s="3">
        <v>1</v>
      </c>
    </row>
    <row r="19" spans="1:13">
      <c r="A19" s="186"/>
      <c r="B19" s="6427"/>
      <c r="C19" s="6427"/>
      <c r="D19" s="6427"/>
      <c r="E19" s="6427"/>
      <c r="F19" s="6427"/>
      <c r="G19" s="6427"/>
      <c r="H19" s="6427"/>
      <c r="I19" s="6427"/>
      <c r="J19" s="6427"/>
      <c r="K19" s="6427"/>
      <c r="L19" s="186"/>
      <c r="M19" s="3">
        <v>1</v>
      </c>
    </row>
    <row r="20" spans="1:13">
      <c r="A20" s="186"/>
      <c r="B20" s="186"/>
      <c r="C20" s="186"/>
      <c r="D20" s="186"/>
      <c r="E20" s="186"/>
      <c r="F20" s="186"/>
      <c r="G20" s="186"/>
      <c r="H20" s="186"/>
      <c r="I20" s="186"/>
      <c r="J20" s="186"/>
      <c r="K20" s="186"/>
      <c r="L20" s="186"/>
      <c r="M20" s="3">
        <v>1</v>
      </c>
    </row>
    <row r="21" spans="1:13">
      <c r="A21" s="186"/>
      <c r="B21" s="6426" t="s">
        <v>14179</v>
      </c>
      <c r="C21" s="6426"/>
      <c r="D21" s="6426"/>
      <c r="E21" s="6426"/>
      <c r="F21" s="6426"/>
      <c r="G21" s="6426"/>
      <c r="H21" s="6426"/>
      <c r="I21" s="6426"/>
      <c r="J21" s="6426"/>
      <c r="K21" s="6426"/>
      <c r="L21" s="186"/>
      <c r="M21" s="3">
        <v>1</v>
      </c>
    </row>
    <row r="22" spans="1:13">
      <c r="A22" s="186"/>
      <c r="B22" s="6426"/>
      <c r="C22" s="6426"/>
      <c r="D22" s="6426"/>
      <c r="E22" s="6426"/>
      <c r="F22" s="6426"/>
      <c r="G22" s="6426"/>
      <c r="H22" s="6426"/>
      <c r="I22" s="6426"/>
      <c r="J22" s="6426"/>
      <c r="K22" s="6426"/>
      <c r="L22" s="186"/>
      <c r="M22" s="3">
        <v>1</v>
      </c>
    </row>
    <row r="23" spans="1:13">
      <c r="A23" s="186"/>
      <c r="B23" s="6426"/>
      <c r="C23" s="6426"/>
      <c r="D23" s="6426"/>
      <c r="E23" s="6426"/>
      <c r="F23" s="6426"/>
      <c r="G23" s="6426"/>
      <c r="H23" s="6426"/>
      <c r="I23" s="6426"/>
      <c r="J23" s="6426"/>
      <c r="K23" s="6426"/>
      <c r="L23" s="186"/>
      <c r="M23" s="3">
        <v>1</v>
      </c>
    </row>
    <row r="24" spans="1:13">
      <c r="A24" s="186"/>
      <c r="B24" s="6426"/>
      <c r="C24" s="6426"/>
      <c r="D24" s="6426"/>
      <c r="E24" s="6426"/>
      <c r="F24" s="6426"/>
      <c r="G24" s="6426"/>
      <c r="H24" s="6426"/>
      <c r="I24" s="6426"/>
      <c r="J24" s="6426"/>
      <c r="K24" s="6426"/>
      <c r="L24" s="186"/>
      <c r="M24" s="3">
        <v>1</v>
      </c>
    </row>
    <row r="25" spans="1:13">
      <c r="A25" s="186"/>
      <c r="B25" s="6426"/>
      <c r="C25" s="6426"/>
      <c r="D25" s="6426"/>
      <c r="E25" s="6426"/>
      <c r="F25" s="6426"/>
      <c r="G25" s="6426"/>
      <c r="H25" s="6426"/>
      <c r="I25" s="6426"/>
      <c r="J25" s="6426"/>
      <c r="K25" s="6426"/>
      <c r="L25" s="186"/>
      <c r="M25" s="3">
        <v>1</v>
      </c>
    </row>
    <row r="26" spans="1:13">
      <c r="A26" s="186"/>
      <c r="B26" s="186"/>
      <c r="C26" s="186"/>
      <c r="D26" s="186"/>
      <c r="E26" s="186"/>
      <c r="F26" s="186"/>
      <c r="G26" s="186"/>
      <c r="H26" s="186"/>
      <c r="I26" s="186"/>
      <c r="J26" s="186"/>
      <c r="K26" s="186"/>
      <c r="L26" s="186"/>
      <c r="M26" s="3">
        <v>1</v>
      </c>
    </row>
    <row r="27" spans="1:13" ht="18">
      <c r="A27" s="186"/>
      <c r="B27" s="1302" t="s">
        <v>14175</v>
      </c>
      <c r="C27" s="186"/>
      <c r="D27" s="186"/>
      <c r="E27" s="186"/>
      <c r="F27" s="186"/>
      <c r="G27" s="186"/>
      <c r="H27" s="186"/>
      <c r="I27" s="186"/>
      <c r="J27" s="186"/>
      <c r="K27" s="186"/>
      <c r="L27" s="186"/>
      <c r="M27" s="3">
        <v>1</v>
      </c>
    </row>
    <row r="28" spans="1:13">
      <c r="A28" s="186"/>
      <c r="B28" s="186"/>
      <c r="C28" s="186"/>
      <c r="D28" s="186"/>
      <c r="E28" s="186"/>
      <c r="F28" s="186"/>
      <c r="G28" s="186"/>
      <c r="H28" s="186"/>
      <c r="I28" s="186"/>
      <c r="J28" s="186"/>
      <c r="K28" s="186"/>
      <c r="L28" s="186"/>
      <c r="M28" s="3">
        <v>1</v>
      </c>
    </row>
    <row r="29" spans="1:13">
      <c r="A29" s="186"/>
      <c r="B29" s="186" t="s">
        <v>14180</v>
      </c>
      <c r="C29" s="186"/>
      <c r="D29" s="186"/>
      <c r="E29" s="186"/>
      <c r="F29" s="186"/>
      <c r="G29" s="186"/>
      <c r="H29" s="186"/>
      <c r="I29" s="186"/>
      <c r="J29" s="186"/>
      <c r="K29" s="186"/>
      <c r="L29" s="186"/>
      <c r="M29" s="3">
        <v>1</v>
      </c>
    </row>
    <row r="30" spans="1:13">
      <c r="A30" s="186"/>
      <c r="B30" s="54"/>
      <c r="C30" s="186"/>
      <c r="D30" s="186"/>
      <c r="E30" s="186"/>
      <c r="F30" s="186"/>
      <c r="G30" s="186"/>
      <c r="H30" s="186"/>
      <c r="I30" s="186"/>
      <c r="J30" s="186"/>
      <c r="K30" s="186"/>
      <c r="L30" s="186"/>
      <c r="M30" s="3">
        <v>1</v>
      </c>
    </row>
    <row r="31" spans="1:13">
      <c r="A31" s="186"/>
      <c r="B31" s="54" t="s">
        <v>14181</v>
      </c>
      <c r="C31" s="186"/>
      <c r="D31" s="186"/>
      <c r="E31" s="186"/>
      <c r="F31" s="186"/>
      <c r="G31" s="186"/>
      <c r="H31" s="186"/>
      <c r="I31" s="186"/>
      <c r="J31" s="186"/>
      <c r="K31" s="186"/>
      <c r="L31" s="186"/>
      <c r="M31" s="3">
        <v>1</v>
      </c>
    </row>
    <row r="32" spans="1:13">
      <c r="A32" s="186"/>
      <c r="B32" s="54" t="s">
        <v>14182</v>
      </c>
      <c r="C32" s="186"/>
      <c r="D32" s="186"/>
      <c r="E32" s="186"/>
      <c r="F32" s="186"/>
      <c r="G32" s="186"/>
      <c r="H32" s="186"/>
      <c r="I32" s="186"/>
      <c r="J32" s="186"/>
      <c r="K32" s="186"/>
      <c r="L32" s="186"/>
      <c r="M32" s="3">
        <v>1</v>
      </c>
    </row>
    <row r="33" spans="1:13">
      <c r="A33" s="186"/>
      <c r="B33" s="54" t="s">
        <v>14183</v>
      </c>
      <c r="C33" s="186"/>
      <c r="D33" s="186"/>
      <c r="E33" s="186"/>
      <c r="F33" s="186"/>
      <c r="G33" s="186"/>
      <c r="H33" s="186"/>
      <c r="I33" s="186"/>
      <c r="J33" s="186"/>
      <c r="K33" s="186"/>
      <c r="L33" s="186"/>
      <c r="M33" s="3">
        <v>1</v>
      </c>
    </row>
    <row r="34" spans="1:13">
      <c r="A34" s="186"/>
      <c r="B34" s="54" t="s">
        <v>14184</v>
      </c>
      <c r="C34" s="186"/>
      <c r="D34" s="186"/>
      <c r="E34" s="186"/>
      <c r="F34" s="186"/>
      <c r="G34" s="186"/>
      <c r="H34" s="186"/>
      <c r="I34" s="186"/>
      <c r="J34" s="186"/>
      <c r="K34" s="186"/>
      <c r="L34" s="186"/>
      <c r="M34" s="3">
        <v>1</v>
      </c>
    </row>
    <row r="35" spans="1:13">
      <c r="A35" s="186"/>
      <c r="B35" s="54" t="s">
        <v>14185</v>
      </c>
      <c r="C35" s="186"/>
      <c r="D35" s="186"/>
      <c r="E35" s="186"/>
      <c r="F35" s="186"/>
      <c r="G35" s="186"/>
      <c r="H35" s="186"/>
      <c r="I35" s="186"/>
      <c r="J35" s="186"/>
      <c r="K35" s="186"/>
      <c r="L35" s="186"/>
      <c r="M35" s="3">
        <v>1</v>
      </c>
    </row>
    <row r="36" spans="1:13">
      <c r="A36" s="186"/>
      <c r="B36" s="54" t="s">
        <v>14186</v>
      </c>
      <c r="C36" s="186"/>
      <c r="D36" s="186"/>
      <c r="E36" s="186"/>
      <c r="F36" s="186"/>
      <c r="G36" s="186"/>
      <c r="H36" s="186"/>
      <c r="I36" s="186"/>
      <c r="J36" s="186"/>
      <c r="K36" s="186"/>
      <c r="L36" s="186"/>
      <c r="M36" s="3">
        <v>1</v>
      </c>
    </row>
    <row r="37" spans="1:13">
      <c r="A37" s="186"/>
      <c r="B37" s="186"/>
      <c r="C37" s="186"/>
      <c r="D37" s="186"/>
      <c r="E37" s="186"/>
      <c r="F37" s="186"/>
      <c r="G37" s="186"/>
      <c r="H37" s="186"/>
      <c r="I37" s="186"/>
      <c r="J37" s="186"/>
      <c r="K37" s="186"/>
      <c r="L37" s="186"/>
      <c r="M37" s="3">
        <v>1</v>
      </c>
    </row>
    <row r="38" spans="1:13">
      <c r="A38" s="186"/>
      <c r="B38" s="6426" t="s">
        <v>14187</v>
      </c>
      <c r="C38" s="6426"/>
      <c r="D38" s="6426"/>
      <c r="E38" s="6426"/>
      <c r="F38" s="6426"/>
      <c r="G38" s="6426"/>
      <c r="H38" s="6426"/>
      <c r="I38" s="6426"/>
      <c r="J38" s="6426"/>
      <c r="K38" s="6426"/>
      <c r="L38" s="186"/>
      <c r="M38" s="3">
        <v>1</v>
      </c>
    </row>
    <row r="39" spans="1:13">
      <c r="A39" s="186"/>
      <c r="B39" s="6426"/>
      <c r="C39" s="6426"/>
      <c r="D39" s="6426"/>
      <c r="E39" s="6426"/>
      <c r="F39" s="6426"/>
      <c r="G39" s="6426"/>
      <c r="H39" s="6426"/>
      <c r="I39" s="6426"/>
      <c r="J39" s="6426"/>
      <c r="K39" s="6426"/>
      <c r="L39" s="186"/>
      <c r="M39" s="3">
        <v>1</v>
      </c>
    </row>
    <row r="40" spans="1:13">
      <c r="A40" s="186"/>
      <c r="B40" s="54"/>
      <c r="C40" s="186"/>
      <c r="D40" s="186"/>
      <c r="E40" s="186"/>
      <c r="F40" s="186"/>
      <c r="G40" s="186"/>
      <c r="H40" s="186"/>
      <c r="I40" s="186"/>
      <c r="J40" s="186"/>
      <c r="K40" s="186"/>
      <c r="L40" s="186"/>
      <c r="M40" s="3">
        <v>1</v>
      </c>
    </row>
    <row r="41" spans="1:13">
      <c r="A41" s="186"/>
      <c r="B41" s="677" t="s">
        <v>14188</v>
      </c>
      <c r="C41" s="186"/>
      <c r="D41" s="186"/>
      <c r="E41" s="186"/>
      <c r="F41" s="186"/>
      <c r="G41" s="186"/>
      <c r="H41" s="186"/>
      <c r="I41" s="186"/>
      <c r="J41" s="186"/>
      <c r="K41" s="186"/>
      <c r="L41" s="186"/>
      <c r="M41" s="3">
        <v>1</v>
      </c>
    </row>
    <row r="42" spans="1:13">
      <c r="A42" s="186"/>
      <c r="B42" s="677" t="s">
        <v>14189</v>
      </c>
      <c r="C42" s="186"/>
      <c r="D42" s="186"/>
      <c r="E42" s="186"/>
      <c r="F42" s="186"/>
      <c r="G42" s="186"/>
      <c r="H42" s="186"/>
      <c r="I42" s="186"/>
      <c r="J42" s="186"/>
      <c r="K42" s="186"/>
      <c r="L42" s="186"/>
      <c r="M42" s="3">
        <v>1</v>
      </c>
    </row>
    <row r="43" spans="1:13">
      <c r="A43" s="186"/>
      <c r="B43" s="677" t="s">
        <v>14190</v>
      </c>
      <c r="C43" s="186"/>
      <c r="D43" s="186"/>
      <c r="E43" s="186"/>
      <c r="F43" s="186"/>
      <c r="G43" s="186"/>
      <c r="H43" s="186"/>
      <c r="I43" s="186"/>
      <c r="J43" s="186"/>
      <c r="K43" s="186"/>
      <c r="L43" s="186"/>
      <c r="M43" s="3">
        <v>1</v>
      </c>
    </row>
    <row r="44" spans="1:13">
      <c r="A44" s="186"/>
      <c r="B44" s="677" t="s">
        <v>14191</v>
      </c>
      <c r="C44" s="186"/>
      <c r="D44" s="186"/>
      <c r="E44" s="186"/>
      <c r="F44" s="186"/>
      <c r="G44" s="186"/>
      <c r="H44" s="186"/>
      <c r="I44" s="186"/>
      <c r="J44" s="186"/>
      <c r="K44" s="186"/>
      <c r="L44" s="186"/>
      <c r="M44" s="3">
        <v>1</v>
      </c>
    </row>
    <row r="45" spans="1:13">
      <c r="A45" s="186"/>
      <c r="B45" s="677" t="s">
        <v>14192</v>
      </c>
      <c r="C45" s="186"/>
      <c r="D45" s="186"/>
      <c r="E45" s="186"/>
      <c r="F45" s="186"/>
      <c r="G45" s="186"/>
      <c r="H45" s="186"/>
      <c r="I45" s="186"/>
      <c r="J45" s="186"/>
      <c r="K45" s="186"/>
      <c r="L45" s="186"/>
      <c r="M45" s="3">
        <v>1</v>
      </c>
    </row>
    <row r="46" spans="1:13">
      <c r="A46" s="186"/>
      <c r="B46" s="677" t="s">
        <v>14193</v>
      </c>
      <c r="C46" s="186"/>
      <c r="D46" s="186"/>
      <c r="E46" s="186"/>
      <c r="F46" s="186"/>
      <c r="G46" s="186"/>
      <c r="H46" s="186"/>
      <c r="I46" s="186"/>
      <c r="J46" s="186"/>
      <c r="K46" s="186"/>
      <c r="L46" s="186"/>
      <c r="M46" s="3">
        <v>1</v>
      </c>
    </row>
    <row r="47" spans="1:13">
      <c r="A47" s="186"/>
      <c r="B47" s="677" t="s">
        <v>14194</v>
      </c>
      <c r="C47" s="186"/>
      <c r="D47" s="186"/>
      <c r="E47" s="186"/>
      <c r="F47" s="186"/>
      <c r="G47" s="186"/>
      <c r="H47" s="186"/>
      <c r="I47" s="186"/>
      <c r="J47" s="186"/>
      <c r="K47" s="186"/>
      <c r="L47" s="186"/>
      <c r="M47" s="3">
        <v>1</v>
      </c>
    </row>
    <row r="48" spans="1:13">
      <c r="A48" s="186"/>
      <c r="B48" s="186"/>
      <c r="C48" s="186"/>
      <c r="D48" s="186"/>
      <c r="E48" s="186"/>
      <c r="F48" s="186"/>
      <c r="G48" s="186"/>
      <c r="H48" s="186"/>
      <c r="I48" s="186"/>
      <c r="J48" s="186"/>
      <c r="K48" s="186"/>
      <c r="L48" s="186"/>
      <c r="M48" s="3">
        <v>1</v>
      </c>
    </row>
    <row r="49" spans="1:13">
      <c r="A49" s="186"/>
      <c r="B49" s="186" t="s">
        <v>14195</v>
      </c>
      <c r="C49" s="186"/>
      <c r="D49" s="186"/>
      <c r="E49" s="186"/>
      <c r="F49" s="186"/>
      <c r="G49" s="186"/>
      <c r="H49" s="186"/>
      <c r="I49" s="186"/>
      <c r="J49" s="186"/>
      <c r="K49" s="186"/>
      <c r="L49" s="186"/>
      <c r="M49" s="3">
        <v>1</v>
      </c>
    </row>
    <row r="50" spans="1:13">
      <c r="A50" s="186"/>
      <c r="B50" s="186" t="s">
        <v>14196</v>
      </c>
      <c r="C50" s="186"/>
      <c r="D50" s="186"/>
      <c r="E50" s="186"/>
      <c r="F50" s="186"/>
      <c r="G50" s="186"/>
      <c r="H50" s="186"/>
      <c r="I50" s="186"/>
      <c r="J50" s="186"/>
      <c r="K50" s="186"/>
      <c r="L50" s="186"/>
      <c r="M50" s="3">
        <v>1</v>
      </c>
    </row>
    <row r="51" spans="1:13">
      <c r="A51" s="186"/>
      <c r="B51" s="186"/>
      <c r="C51" s="186"/>
      <c r="D51" s="186"/>
      <c r="E51" s="186"/>
      <c r="F51" s="186"/>
      <c r="G51" s="186"/>
      <c r="H51" s="186"/>
      <c r="I51" s="186"/>
      <c r="J51" s="186"/>
      <c r="K51" s="186"/>
      <c r="L51" s="186"/>
      <c r="M51" s="3">
        <v>1</v>
      </c>
    </row>
    <row r="52" spans="1:13" ht="18">
      <c r="A52" s="186"/>
      <c r="B52" s="1302" t="s">
        <v>14197</v>
      </c>
      <c r="C52" s="186"/>
      <c r="D52" s="186"/>
      <c r="E52" s="186"/>
      <c r="F52" s="186"/>
      <c r="G52" s="186"/>
      <c r="H52" s="186"/>
      <c r="I52" s="186"/>
      <c r="J52" s="186"/>
      <c r="K52" s="186"/>
      <c r="L52" s="186"/>
      <c r="M52" s="3">
        <v>1</v>
      </c>
    </row>
    <row r="53" spans="1:13">
      <c r="A53" s="186"/>
      <c r="B53" s="186"/>
      <c r="C53" s="186"/>
      <c r="D53" s="186"/>
      <c r="E53" s="186"/>
      <c r="F53" s="186"/>
      <c r="G53" s="186"/>
      <c r="H53" s="186"/>
      <c r="I53" s="186"/>
      <c r="J53" s="186"/>
      <c r="K53" s="186"/>
      <c r="L53" s="186"/>
      <c r="M53" s="3">
        <v>1</v>
      </c>
    </row>
    <row r="54" spans="1:13">
      <c r="A54" s="186"/>
      <c r="B54" s="186" t="s">
        <v>14198</v>
      </c>
      <c r="C54" s="186"/>
      <c r="D54" s="186"/>
      <c r="E54" s="186"/>
      <c r="F54" s="186"/>
      <c r="G54" s="186"/>
      <c r="H54" s="186"/>
      <c r="I54" s="186"/>
      <c r="J54" s="186"/>
      <c r="K54" s="186"/>
      <c r="L54" s="186"/>
      <c r="M54" s="3">
        <v>1</v>
      </c>
    </row>
    <row r="55" spans="1:13">
      <c r="A55" s="186"/>
      <c r="B55" s="54" t="s">
        <v>14199</v>
      </c>
      <c r="C55" s="186"/>
      <c r="D55" s="186"/>
      <c r="E55" s="186"/>
      <c r="F55" s="186"/>
      <c r="G55" s="186"/>
      <c r="H55" s="186"/>
      <c r="I55" s="186"/>
      <c r="J55" s="186"/>
      <c r="K55" s="186"/>
      <c r="L55" s="186"/>
      <c r="M55" s="3">
        <v>1</v>
      </c>
    </row>
    <row r="56" spans="1:13">
      <c r="A56" s="186"/>
      <c r="B56" s="54"/>
      <c r="C56" s="186"/>
      <c r="D56" s="186"/>
      <c r="E56" s="186"/>
      <c r="F56" s="186"/>
      <c r="G56" s="186"/>
      <c r="H56" s="186"/>
      <c r="I56" s="186"/>
      <c r="J56" s="186"/>
      <c r="K56" s="186"/>
      <c r="L56" s="186"/>
      <c r="M56" s="3">
        <v>1</v>
      </c>
    </row>
    <row r="57" spans="1:13">
      <c r="A57" s="186"/>
      <c r="B57" s="54" t="s">
        <v>14200</v>
      </c>
      <c r="C57" s="186"/>
      <c r="D57" s="186"/>
      <c r="E57" s="186"/>
      <c r="F57" s="186"/>
      <c r="G57" s="186"/>
      <c r="H57" s="186"/>
      <c r="I57" s="186"/>
      <c r="J57" s="186"/>
      <c r="K57" s="186"/>
      <c r="L57" s="186"/>
      <c r="M57" s="3">
        <v>1</v>
      </c>
    </row>
    <row r="58" spans="1:13">
      <c r="A58" s="186"/>
      <c r="B58" s="54" t="s">
        <v>14201</v>
      </c>
      <c r="C58" s="186"/>
      <c r="D58" s="186"/>
      <c r="E58" s="186"/>
      <c r="F58" s="186"/>
      <c r="G58" s="186"/>
      <c r="H58" s="186"/>
      <c r="I58" s="186"/>
      <c r="J58" s="186"/>
      <c r="K58" s="186"/>
      <c r="L58" s="186"/>
      <c r="M58" s="3">
        <v>1</v>
      </c>
    </row>
    <row r="59" spans="1:13">
      <c r="A59" s="186"/>
      <c r="B59" s="54" t="s">
        <v>14202</v>
      </c>
      <c r="C59" s="186"/>
      <c r="D59" s="186"/>
      <c r="E59" s="186"/>
      <c r="F59" s="186"/>
      <c r="G59" s="186"/>
      <c r="H59" s="186"/>
      <c r="I59" s="186"/>
      <c r="J59" s="186"/>
      <c r="K59" s="186"/>
      <c r="L59" s="186"/>
      <c r="M59" s="3">
        <v>1</v>
      </c>
    </row>
    <row r="60" spans="1:13">
      <c r="A60" s="186"/>
      <c r="B60" s="186"/>
      <c r="C60" s="186"/>
      <c r="D60" s="186"/>
      <c r="E60" s="186"/>
      <c r="F60" s="186"/>
      <c r="G60" s="186"/>
      <c r="H60" s="186"/>
      <c r="I60" s="186"/>
      <c r="J60" s="186"/>
      <c r="K60" s="186"/>
      <c r="L60" s="186"/>
      <c r="M60" s="3">
        <v>1</v>
      </c>
    </row>
    <row r="61" spans="1:13">
      <c r="A61" s="186"/>
      <c r="B61" s="2694" t="s">
        <v>14203</v>
      </c>
      <c r="C61" s="186"/>
      <c r="D61" s="186"/>
      <c r="E61" s="186"/>
      <c r="F61" s="186"/>
      <c r="G61" s="186"/>
      <c r="H61" s="186"/>
      <c r="I61" s="186"/>
      <c r="J61" s="186"/>
      <c r="K61" s="186"/>
      <c r="L61" s="186"/>
      <c r="M61" s="3">
        <v>1</v>
      </c>
    </row>
    <row r="62" spans="1:13">
      <c r="A62" s="186"/>
      <c r="B62" s="186" t="s">
        <v>14204</v>
      </c>
      <c r="C62" s="186"/>
      <c r="D62" s="186"/>
      <c r="E62" s="186"/>
      <c r="F62" s="186"/>
      <c r="G62" s="186"/>
      <c r="H62" s="186"/>
      <c r="I62" s="186"/>
      <c r="J62" s="186"/>
      <c r="K62" s="186"/>
      <c r="L62" s="186"/>
      <c r="M62" s="3">
        <v>1</v>
      </c>
    </row>
    <row r="63" spans="1:13">
      <c r="A63" s="186"/>
      <c r="B63" s="186"/>
      <c r="C63" s="186"/>
      <c r="D63" s="186"/>
      <c r="E63" s="186"/>
      <c r="F63" s="186"/>
      <c r="G63" s="186"/>
      <c r="H63" s="186"/>
      <c r="I63" s="186"/>
      <c r="J63" s="186"/>
      <c r="K63" s="186"/>
      <c r="L63" s="186"/>
      <c r="M63" s="3">
        <v>1</v>
      </c>
    </row>
    <row r="64" spans="1:13">
      <c r="A64" s="186"/>
      <c r="B64" s="186" t="s">
        <v>14205</v>
      </c>
      <c r="C64" s="186"/>
      <c r="D64" s="186"/>
      <c r="E64" s="186"/>
      <c r="F64" s="186"/>
      <c r="G64" s="186"/>
      <c r="H64" s="186"/>
      <c r="I64" s="186"/>
      <c r="J64" s="186"/>
      <c r="K64" s="186"/>
      <c r="L64" s="186"/>
      <c r="M64" s="3">
        <v>1</v>
      </c>
    </row>
    <row r="65" spans="1:13">
      <c r="A65" s="186"/>
      <c r="B65" s="186"/>
      <c r="C65" s="186"/>
      <c r="D65" s="186"/>
      <c r="E65" s="186"/>
      <c r="F65" s="186"/>
      <c r="G65" s="186"/>
      <c r="H65" s="186"/>
      <c r="I65" s="186"/>
      <c r="J65" s="186"/>
      <c r="K65" s="186"/>
      <c r="L65" s="186"/>
      <c r="M65" s="3">
        <v>1</v>
      </c>
    </row>
    <row r="66" spans="1:13" ht="18">
      <c r="A66" s="186"/>
      <c r="B66" s="1302" t="s">
        <v>14206</v>
      </c>
      <c r="C66" s="186"/>
      <c r="D66" s="186"/>
      <c r="E66" s="186"/>
      <c r="F66" s="186"/>
      <c r="G66" s="186"/>
      <c r="H66" s="186"/>
      <c r="I66" s="186"/>
      <c r="J66" s="186"/>
      <c r="K66" s="186"/>
      <c r="L66" s="186"/>
      <c r="M66" s="3">
        <v>1</v>
      </c>
    </row>
    <row r="67" spans="1:13">
      <c r="A67" s="186"/>
      <c r="B67" s="186"/>
      <c r="C67" s="186"/>
      <c r="D67" s="186"/>
      <c r="E67" s="186"/>
      <c r="F67" s="186"/>
      <c r="G67" s="186"/>
      <c r="H67" s="186"/>
      <c r="I67" s="186"/>
      <c r="J67" s="186"/>
      <c r="K67" s="186"/>
      <c r="L67" s="186"/>
      <c r="M67" s="3">
        <v>1</v>
      </c>
    </row>
    <row r="68" spans="1:13">
      <c r="A68" s="186"/>
      <c r="B68" s="186"/>
      <c r="C68" s="186"/>
      <c r="D68" s="186"/>
      <c r="E68" s="186"/>
      <c r="F68" s="186"/>
      <c r="G68" s="186"/>
      <c r="H68" s="186"/>
      <c r="I68" s="186"/>
      <c r="J68" s="186"/>
      <c r="K68" s="186"/>
      <c r="L68" s="186"/>
      <c r="M68" s="3">
        <v>1</v>
      </c>
    </row>
    <row r="69" spans="1:13">
      <c r="A69" s="186"/>
      <c r="B69" s="186"/>
      <c r="C69" s="186"/>
      <c r="D69" s="186"/>
      <c r="E69" s="186"/>
      <c r="F69" s="186"/>
      <c r="G69" s="186"/>
      <c r="H69" s="186"/>
      <c r="I69" s="186"/>
      <c r="J69" s="186"/>
      <c r="K69" s="186"/>
      <c r="L69" s="186"/>
      <c r="M69" s="3">
        <v>1</v>
      </c>
    </row>
    <row r="70" spans="1:13">
      <c r="A70" s="186"/>
      <c r="B70" s="186"/>
      <c r="C70" s="186"/>
      <c r="D70" s="186"/>
      <c r="E70" s="186"/>
      <c r="F70" s="186"/>
      <c r="G70" s="186"/>
      <c r="H70" s="186"/>
      <c r="I70" s="186"/>
      <c r="J70" s="186"/>
      <c r="K70" s="186"/>
      <c r="L70" s="186"/>
      <c r="M70" s="3">
        <v>1</v>
      </c>
    </row>
    <row r="71" spans="1:13">
      <c r="A71" s="186"/>
      <c r="B71" s="186"/>
      <c r="C71" s="186"/>
      <c r="D71" s="186"/>
      <c r="E71" s="186"/>
      <c r="F71" s="186"/>
      <c r="G71" s="186"/>
      <c r="H71" s="186"/>
      <c r="I71" s="186"/>
      <c r="J71" s="186"/>
      <c r="K71" s="186"/>
      <c r="L71" s="186"/>
      <c r="M71" s="3">
        <v>1</v>
      </c>
    </row>
    <row r="72" spans="1:13">
      <c r="A72" s="186"/>
      <c r="B72" s="186"/>
      <c r="C72" s="186"/>
      <c r="D72" s="186"/>
      <c r="E72" s="186"/>
      <c r="F72" s="186"/>
      <c r="G72" s="186"/>
      <c r="H72" s="186"/>
      <c r="I72" s="186"/>
      <c r="J72" s="186"/>
      <c r="K72" s="186"/>
      <c r="L72" s="186"/>
      <c r="M72" s="3">
        <v>1</v>
      </c>
    </row>
    <row r="73" spans="1:13">
      <c r="A73" s="186"/>
      <c r="B73" s="186"/>
      <c r="C73" s="186"/>
      <c r="D73" s="186"/>
      <c r="E73" s="186"/>
      <c r="F73" s="186"/>
      <c r="G73" s="186"/>
      <c r="H73" s="186"/>
      <c r="I73" s="186"/>
      <c r="J73" s="186"/>
      <c r="K73" s="186"/>
      <c r="L73" s="186"/>
      <c r="M73" s="3">
        <v>1</v>
      </c>
    </row>
    <row r="74" spans="1:13">
      <c r="A74" s="186"/>
      <c r="B74" s="6427" t="s">
        <v>14207</v>
      </c>
      <c r="C74" s="6427"/>
      <c r="D74" s="6427"/>
      <c r="E74" s="6427"/>
      <c r="F74" s="6427"/>
      <c r="G74" s="6427"/>
      <c r="H74" s="6427"/>
      <c r="I74" s="6427"/>
      <c r="J74" s="6427"/>
      <c r="K74" s="6427"/>
      <c r="L74" s="186"/>
      <c r="M74" s="3">
        <v>1</v>
      </c>
    </row>
    <row r="75" spans="1:13">
      <c r="A75" s="186"/>
      <c r="B75" s="6427"/>
      <c r="C75" s="6427"/>
      <c r="D75" s="6427"/>
      <c r="E75" s="6427"/>
      <c r="F75" s="6427"/>
      <c r="G75" s="6427"/>
      <c r="H75" s="6427"/>
      <c r="I75" s="6427"/>
      <c r="J75" s="6427"/>
      <c r="K75" s="6427"/>
      <c r="L75" s="186"/>
      <c r="M75" s="3">
        <v>1</v>
      </c>
    </row>
    <row r="76" spans="1:13">
      <c r="A76" s="186"/>
      <c r="B76" s="6427"/>
      <c r="C76" s="6427"/>
      <c r="D76" s="6427"/>
      <c r="E76" s="6427"/>
      <c r="F76" s="6427"/>
      <c r="G76" s="6427"/>
      <c r="H76" s="6427"/>
      <c r="I76" s="6427"/>
      <c r="J76" s="6427"/>
      <c r="K76" s="6427"/>
      <c r="L76" s="186"/>
      <c r="M76" s="3">
        <v>1</v>
      </c>
    </row>
    <row r="77" spans="1:13">
      <c r="A77" s="186"/>
      <c r="B77" s="6427"/>
      <c r="C77" s="6427"/>
      <c r="D77" s="6427"/>
      <c r="E77" s="6427"/>
      <c r="F77" s="6427"/>
      <c r="G77" s="6427"/>
      <c r="H77" s="6427"/>
      <c r="I77" s="6427"/>
      <c r="J77" s="6427"/>
      <c r="K77" s="6427"/>
      <c r="L77" s="186"/>
      <c r="M77" s="3">
        <v>1</v>
      </c>
    </row>
    <row r="78" spans="1:13">
      <c r="A78" s="186"/>
      <c r="B78" s="54"/>
      <c r="C78" s="186"/>
      <c r="D78" s="186"/>
      <c r="E78" s="186"/>
      <c r="F78" s="186"/>
      <c r="G78" s="186"/>
      <c r="H78" s="186"/>
      <c r="I78" s="186"/>
      <c r="J78" s="186"/>
      <c r="K78" s="186"/>
      <c r="L78" s="186"/>
      <c r="M78" s="3">
        <v>1</v>
      </c>
    </row>
    <row r="79" spans="1:13">
      <c r="A79" s="186"/>
      <c r="B79" s="54" t="s">
        <v>14208</v>
      </c>
      <c r="C79" s="186"/>
      <c r="D79" s="186"/>
      <c r="E79" s="186"/>
      <c r="F79" s="186"/>
      <c r="G79" s="186"/>
      <c r="H79" s="186"/>
      <c r="I79" s="186"/>
      <c r="J79" s="186"/>
      <c r="K79" s="186"/>
      <c r="L79" s="186"/>
      <c r="M79" s="3">
        <v>1</v>
      </c>
    </row>
    <row r="80" spans="1:13">
      <c r="A80" s="186"/>
      <c r="B80" s="54" t="s">
        <v>14209</v>
      </c>
      <c r="C80" s="186"/>
      <c r="D80" s="186"/>
      <c r="E80" s="186"/>
      <c r="F80" s="186"/>
      <c r="G80" s="186"/>
      <c r="H80" s="186"/>
      <c r="I80" s="186"/>
      <c r="J80" s="186"/>
      <c r="K80" s="186"/>
      <c r="L80" s="186"/>
      <c r="M80" s="3">
        <v>1</v>
      </c>
    </row>
    <row r="81" spans="1:13">
      <c r="A81" s="186"/>
      <c r="B81" s="54" t="s">
        <v>14210</v>
      </c>
      <c r="C81" s="186"/>
      <c r="D81" s="186"/>
      <c r="E81" s="186"/>
      <c r="F81" s="186"/>
      <c r="G81" s="186"/>
      <c r="H81" s="186"/>
      <c r="I81" s="186"/>
      <c r="J81" s="186"/>
      <c r="K81" s="186"/>
      <c r="L81" s="186"/>
      <c r="M81" s="3">
        <v>1</v>
      </c>
    </row>
    <row r="82" spans="1:13">
      <c r="A82" s="186"/>
      <c r="B82" s="54" t="s">
        <v>14211</v>
      </c>
      <c r="C82" s="186"/>
      <c r="D82" s="186"/>
      <c r="E82" s="186"/>
      <c r="F82" s="186"/>
      <c r="G82" s="186"/>
      <c r="H82" s="186"/>
      <c r="I82" s="186"/>
      <c r="J82" s="186"/>
      <c r="K82" s="186"/>
      <c r="L82" s="186"/>
      <c r="M82" s="3">
        <v>1</v>
      </c>
    </row>
    <row r="83" spans="1:13">
      <c r="A83" s="186"/>
      <c r="B83" s="186"/>
      <c r="C83" s="186"/>
      <c r="D83" s="186"/>
      <c r="E83" s="186"/>
      <c r="F83" s="186"/>
      <c r="G83" s="186"/>
      <c r="H83" s="186"/>
      <c r="I83" s="186"/>
      <c r="J83" s="186"/>
      <c r="K83" s="186"/>
      <c r="L83" s="186"/>
      <c r="M83" s="3">
        <v>1</v>
      </c>
    </row>
    <row r="84" spans="1:13">
      <c r="A84" s="186"/>
      <c r="B84" s="186" t="s">
        <v>14212</v>
      </c>
      <c r="C84" s="186"/>
      <c r="D84" s="186"/>
      <c r="E84" s="186"/>
      <c r="F84" s="186"/>
      <c r="G84" s="186"/>
      <c r="H84" s="186"/>
      <c r="I84" s="186"/>
      <c r="J84" s="186"/>
      <c r="K84" s="186"/>
      <c r="L84" s="186"/>
      <c r="M84" s="3">
        <v>1</v>
      </c>
    </row>
    <row r="85" spans="1:13">
      <c r="A85" s="186"/>
      <c r="B85" s="6426" t="s">
        <v>14213</v>
      </c>
      <c r="C85" s="6426"/>
      <c r="D85" s="6426"/>
      <c r="E85" s="6426"/>
      <c r="F85" s="6426"/>
      <c r="G85" s="6426"/>
      <c r="H85" s="6426"/>
      <c r="I85" s="6426"/>
      <c r="J85" s="6426"/>
      <c r="K85" s="6426"/>
      <c r="L85" s="186"/>
      <c r="M85" s="3">
        <v>1</v>
      </c>
    </row>
    <row r="86" spans="1:13">
      <c r="A86" s="186"/>
      <c r="B86" s="6426"/>
      <c r="C86" s="6426"/>
      <c r="D86" s="6426"/>
      <c r="E86" s="6426"/>
      <c r="F86" s="6426"/>
      <c r="G86" s="6426"/>
      <c r="H86" s="6426"/>
      <c r="I86" s="6426"/>
      <c r="J86" s="6426"/>
      <c r="K86" s="6426"/>
      <c r="L86" s="186"/>
      <c r="M86" s="3">
        <v>1</v>
      </c>
    </row>
    <row r="87" spans="1:13">
      <c r="A87" s="186"/>
      <c r="B87" s="6426"/>
      <c r="C87" s="6426"/>
      <c r="D87" s="6426"/>
      <c r="E87" s="6426"/>
      <c r="F87" s="6426"/>
      <c r="G87" s="6426"/>
      <c r="H87" s="6426"/>
      <c r="I87" s="6426"/>
      <c r="J87" s="6426"/>
      <c r="K87" s="6426"/>
      <c r="L87" s="186"/>
      <c r="M87" s="3">
        <v>1</v>
      </c>
    </row>
    <row r="88" spans="1:13" ht="18">
      <c r="A88" s="186"/>
      <c r="B88" s="1302" t="s">
        <v>14214</v>
      </c>
      <c r="C88" s="186"/>
      <c r="D88" s="186"/>
      <c r="E88" s="186"/>
      <c r="F88" s="186"/>
      <c r="G88" s="186"/>
      <c r="H88" s="186"/>
      <c r="I88" s="186"/>
      <c r="J88" s="186"/>
      <c r="K88" s="186"/>
      <c r="L88" s="186"/>
      <c r="M88" s="3">
        <v>1</v>
      </c>
    </row>
    <row r="89" spans="1:13">
      <c r="A89" s="186"/>
      <c r="B89" s="186"/>
      <c r="C89" s="186"/>
      <c r="D89" s="186"/>
      <c r="E89" s="186"/>
      <c r="F89" s="186"/>
      <c r="G89" s="186"/>
      <c r="H89" s="186"/>
      <c r="I89" s="186"/>
      <c r="J89" s="186"/>
      <c r="K89" s="186"/>
      <c r="L89" s="186"/>
      <c r="M89" s="3">
        <v>1</v>
      </c>
    </row>
    <row r="90" spans="1:13">
      <c r="A90" s="186"/>
      <c r="B90" s="6426" t="s">
        <v>14215</v>
      </c>
      <c r="C90" s="6426"/>
      <c r="D90" s="6426"/>
      <c r="E90" s="6426"/>
      <c r="F90" s="6426"/>
      <c r="G90" s="6426"/>
      <c r="H90" s="6426"/>
      <c r="I90" s="6426"/>
      <c r="J90" s="6426"/>
      <c r="K90" s="6426"/>
      <c r="L90" s="186"/>
      <c r="M90" s="3">
        <v>1</v>
      </c>
    </row>
    <row r="91" spans="1:13">
      <c r="A91" s="186"/>
      <c r="B91" s="6426"/>
      <c r="C91" s="6426"/>
      <c r="D91" s="6426"/>
      <c r="E91" s="6426"/>
      <c r="F91" s="6426"/>
      <c r="G91" s="6426"/>
      <c r="H91" s="6426"/>
      <c r="I91" s="6426"/>
      <c r="J91" s="6426"/>
      <c r="K91" s="6426"/>
      <c r="L91" s="186"/>
      <c r="M91" s="3">
        <v>1</v>
      </c>
    </row>
    <row r="92" spans="1:13">
      <c r="A92" s="186"/>
      <c r="B92" s="6426"/>
      <c r="C92" s="6426"/>
      <c r="D92" s="6426"/>
      <c r="E92" s="6426"/>
      <c r="F92" s="6426"/>
      <c r="G92" s="6426"/>
      <c r="H92" s="6426"/>
      <c r="I92" s="6426"/>
      <c r="J92" s="6426"/>
      <c r="K92" s="6426"/>
      <c r="L92" s="186"/>
      <c r="M92" s="3">
        <v>1</v>
      </c>
    </row>
    <row r="93" spans="1:13">
      <c r="A93" s="186"/>
      <c r="B93" s="54"/>
      <c r="C93" s="186"/>
      <c r="D93" s="186"/>
      <c r="E93" s="186"/>
      <c r="F93" s="186"/>
      <c r="G93" s="186"/>
      <c r="H93" s="186"/>
      <c r="I93" s="186"/>
      <c r="J93" s="186"/>
      <c r="K93" s="186"/>
      <c r="L93" s="186"/>
      <c r="M93" s="3">
        <v>1</v>
      </c>
    </row>
    <row r="94" spans="1:13">
      <c r="A94" s="186"/>
      <c r="B94" s="54" t="s">
        <v>14216</v>
      </c>
      <c r="C94" s="186"/>
      <c r="D94" s="186"/>
      <c r="E94" s="186"/>
      <c r="F94" s="186"/>
      <c r="G94" s="186"/>
      <c r="H94" s="186"/>
      <c r="I94" s="186"/>
      <c r="J94" s="186"/>
      <c r="K94" s="186"/>
      <c r="L94" s="186"/>
      <c r="M94" s="3">
        <v>1</v>
      </c>
    </row>
    <row r="95" spans="1:13">
      <c r="A95" s="186"/>
      <c r="B95" s="54" t="s">
        <v>14217</v>
      </c>
      <c r="C95" s="186"/>
      <c r="D95" s="186"/>
      <c r="E95" s="186"/>
      <c r="F95" s="186"/>
      <c r="G95" s="186"/>
      <c r="H95" s="186"/>
      <c r="I95" s="186"/>
      <c r="J95" s="186"/>
      <c r="K95" s="186"/>
      <c r="L95" s="186"/>
      <c r="M95" s="3">
        <v>1</v>
      </c>
    </row>
    <row r="96" spans="1:13">
      <c r="A96" s="186"/>
      <c r="B96" s="54" t="s">
        <v>14218</v>
      </c>
      <c r="C96" s="186"/>
      <c r="D96" s="186"/>
      <c r="E96" s="186"/>
      <c r="F96" s="186"/>
      <c r="G96" s="186"/>
      <c r="H96" s="186"/>
      <c r="I96" s="186"/>
      <c r="J96" s="186"/>
      <c r="K96" s="186"/>
      <c r="L96" s="186"/>
      <c r="M96" s="3">
        <v>1</v>
      </c>
    </row>
    <row r="97" spans="1:13">
      <c r="A97" s="186"/>
      <c r="B97" s="186"/>
      <c r="C97" s="186"/>
      <c r="D97" s="186"/>
      <c r="E97" s="186"/>
      <c r="F97" s="186"/>
      <c r="G97" s="186"/>
      <c r="H97" s="186"/>
      <c r="I97" s="186"/>
      <c r="J97" s="186"/>
      <c r="K97" s="186"/>
      <c r="L97" s="186"/>
      <c r="M97" s="3">
        <v>1</v>
      </c>
    </row>
    <row r="98" spans="1:13">
      <c r="A98" s="186"/>
      <c r="B98" s="6426" t="s">
        <v>14219</v>
      </c>
      <c r="C98" s="6426"/>
      <c r="D98" s="6426"/>
      <c r="E98" s="6426"/>
      <c r="F98" s="6426"/>
      <c r="G98" s="6426"/>
      <c r="H98" s="6426"/>
      <c r="I98" s="6426"/>
      <c r="J98" s="6426"/>
      <c r="K98" s="6426"/>
      <c r="L98" s="6426"/>
      <c r="M98" s="3">
        <v>1</v>
      </c>
    </row>
    <row r="99" spans="1:13">
      <c r="A99" s="186"/>
      <c r="B99" s="6426"/>
      <c r="C99" s="6426"/>
      <c r="D99" s="6426"/>
      <c r="E99" s="6426"/>
      <c r="F99" s="6426"/>
      <c r="G99" s="6426"/>
      <c r="H99" s="6426"/>
      <c r="I99" s="6426"/>
      <c r="J99" s="6426"/>
      <c r="K99" s="6426"/>
      <c r="L99" s="6426"/>
      <c r="M99" s="3">
        <v>1</v>
      </c>
    </row>
    <row r="100" spans="1:13">
      <c r="A100" s="186"/>
      <c r="B100" s="1247"/>
      <c r="C100" s="1247"/>
      <c r="D100" s="1247"/>
      <c r="E100" s="1247"/>
      <c r="F100" s="1247"/>
      <c r="G100" s="1247"/>
      <c r="H100" s="1247"/>
      <c r="I100" s="1247"/>
      <c r="J100" s="1247"/>
      <c r="K100" s="1247"/>
      <c r="L100" s="1247"/>
      <c r="M100" s="3">
        <v>1</v>
      </c>
    </row>
    <row r="101" spans="1:13">
      <c r="A101" s="186"/>
      <c r="B101" s="54" t="s">
        <v>14223</v>
      </c>
      <c r="C101" s="1247"/>
      <c r="D101" s="1247"/>
      <c r="E101" s="1247"/>
      <c r="F101" s="1247"/>
      <c r="G101" s="1247"/>
      <c r="H101" s="1247"/>
      <c r="I101" s="1247"/>
      <c r="J101" s="1247"/>
      <c r="K101" s="1247"/>
      <c r="L101" s="1247"/>
      <c r="M101" s="3">
        <v>1</v>
      </c>
    </row>
    <row r="102" spans="1:13">
      <c r="A102" s="186"/>
      <c r="B102" s="54" t="s">
        <v>14226</v>
      </c>
      <c r="C102" s="1247"/>
      <c r="D102" s="1247"/>
      <c r="E102" s="1247"/>
      <c r="F102" s="1247"/>
      <c r="G102" s="1247"/>
      <c r="H102" s="1247"/>
      <c r="I102" s="1247"/>
      <c r="J102" s="1247"/>
      <c r="K102" s="1247"/>
      <c r="L102" s="1247"/>
      <c r="M102" s="3">
        <v>1</v>
      </c>
    </row>
    <row r="103" spans="1:13">
      <c r="A103" s="186"/>
      <c r="B103" s="54" t="s">
        <v>14229</v>
      </c>
      <c r="C103" s="1247"/>
      <c r="D103" s="1247"/>
      <c r="E103" s="1247"/>
      <c r="F103" s="1247"/>
      <c r="G103" s="1247"/>
      <c r="H103" s="1247"/>
      <c r="I103" s="1247"/>
      <c r="J103" s="1247"/>
      <c r="K103" s="1247"/>
      <c r="L103" s="1247"/>
      <c r="M103" s="3">
        <v>1</v>
      </c>
    </row>
    <row r="104" spans="1:13">
      <c r="A104" s="186"/>
      <c r="B104" s="54"/>
      <c r="C104" s="1247"/>
      <c r="D104" s="1247"/>
      <c r="E104" s="1247"/>
      <c r="F104" s="1247"/>
      <c r="G104" s="1247"/>
      <c r="H104" s="1247"/>
      <c r="I104" s="1247"/>
      <c r="J104" s="1247"/>
      <c r="K104" s="1247"/>
      <c r="L104" s="1247"/>
      <c r="M104" s="3">
        <v>1</v>
      </c>
    </row>
    <row r="105" spans="1:13">
      <c r="A105" s="186"/>
      <c r="B105" s="54" t="s">
        <v>14232</v>
      </c>
      <c r="C105" s="1247"/>
      <c r="D105" s="1247"/>
      <c r="E105" s="1247"/>
      <c r="F105" s="1247"/>
      <c r="G105" s="1247"/>
      <c r="H105" s="1247"/>
      <c r="I105" s="1247"/>
      <c r="J105" s="1247"/>
      <c r="K105" s="1247"/>
      <c r="L105" s="1247"/>
      <c r="M105" s="3">
        <v>1</v>
      </c>
    </row>
    <row r="106" spans="1:13">
      <c r="A106" s="186"/>
      <c r="B106" s="54" t="s">
        <v>14235</v>
      </c>
      <c r="C106" s="1247"/>
      <c r="D106" s="1247"/>
      <c r="E106" s="1247"/>
      <c r="F106" s="1247"/>
      <c r="G106" s="1247"/>
      <c r="H106" s="1247"/>
      <c r="I106" s="1247"/>
      <c r="J106" s="1247"/>
      <c r="K106" s="1247"/>
      <c r="L106" s="1247"/>
      <c r="M106" s="3">
        <v>1</v>
      </c>
    </row>
    <row r="107" spans="1:13">
      <c r="A107" s="186"/>
      <c r="B107" s="1247"/>
      <c r="C107" s="1247"/>
      <c r="D107" s="1247"/>
      <c r="E107" s="1247"/>
      <c r="F107" s="1247"/>
      <c r="G107" s="1247"/>
      <c r="H107" s="1247"/>
      <c r="I107" s="1247"/>
      <c r="J107" s="1247"/>
      <c r="K107" s="1247"/>
      <c r="L107" s="1247"/>
      <c r="M107" s="3">
        <v>1</v>
      </c>
    </row>
    <row r="108" spans="1:13" ht="23.25">
      <c r="A108" s="186"/>
      <c r="B108" s="1314" t="s">
        <v>10352</v>
      </c>
      <c r="C108" s="186"/>
      <c r="D108" s="186"/>
      <c r="E108" s="186"/>
      <c r="F108" s="186"/>
      <c r="G108" s="186"/>
      <c r="H108" s="186"/>
      <c r="I108" s="186"/>
      <c r="J108" s="186"/>
      <c r="K108" s="186"/>
      <c r="L108" s="186"/>
      <c r="M108" s="3">
        <v>1</v>
      </c>
    </row>
    <row r="109" spans="1:13">
      <c r="A109" s="186"/>
      <c r="B109" s="186"/>
      <c r="C109" s="186"/>
      <c r="D109" s="186"/>
      <c r="E109" s="186"/>
      <c r="F109" s="186"/>
      <c r="G109" s="186"/>
      <c r="H109" s="186"/>
      <c r="I109" s="186"/>
      <c r="J109" s="186"/>
      <c r="K109" s="186"/>
      <c r="L109" s="186"/>
      <c r="M109" s="3">
        <v>1</v>
      </c>
    </row>
    <row r="110" spans="1:13">
      <c r="A110" s="186"/>
      <c r="B110" s="656" t="s">
        <v>14220</v>
      </c>
      <c r="C110" s="186"/>
      <c r="D110" s="186"/>
      <c r="E110" s="186"/>
      <c r="F110" s="186"/>
      <c r="G110" s="186"/>
      <c r="H110" s="186"/>
      <c r="I110" s="186"/>
      <c r="J110" s="186"/>
      <c r="K110" s="186"/>
      <c r="L110" s="186"/>
      <c r="M110" s="3">
        <v>1</v>
      </c>
    </row>
    <row r="111" spans="1:13">
      <c r="A111" s="186"/>
      <c r="B111" s="656" t="s">
        <v>14221</v>
      </c>
      <c r="C111" s="186"/>
      <c r="D111" s="186"/>
      <c r="E111" s="186"/>
      <c r="F111" s="186"/>
      <c r="G111" s="186"/>
      <c r="H111" s="186"/>
      <c r="I111" s="186"/>
      <c r="J111" s="186"/>
      <c r="K111" s="186"/>
      <c r="L111" s="186"/>
      <c r="M111" s="3">
        <v>1</v>
      </c>
    </row>
    <row r="112" spans="1:13">
      <c r="A112" s="186"/>
      <c r="B112" s="656" t="s">
        <v>14222</v>
      </c>
      <c r="C112" s="186"/>
      <c r="D112" s="186"/>
      <c r="E112" s="186"/>
      <c r="F112" s="186"/>
      <c r="G112" s="186"/>
      <c r="H112" s="186"/>
      <c r="I112" s="186"/>
      <c r="J112" s="186"/>
      <c r="K112" s="186"/>
      <c r="L112" s="186"/>
      <c r="M112" s="3">
        <v>1</v>
      </c>
    </row>
    <row r="113" spans="1:15">
      <c r="A113" s="186"/>
      <c r="B113" s="186"/>
      <c r="C113" s="186"/>
      <c r="D113" s="186"/>
      <c r="E113" s="186"/>
      <c r="F113" s="186"/>
      <c r="G113" s="186"/>
      <c r="H113" s="186"/>
      <c r="I113" s="186"/>
      <c r="J113" s="186"/>
      <c r="K113" s="186"/>
      <c r="L113" s="186"/>
      <c r="M113" s="3">
        <v>1</v>
      </c>
    </row>
    <row r="114" spans="1:15">
      <c r="A114" s="186"/>
      <c r="B114" s="186"/>
      <c r="C114" s="186"/>
      <c r="D114" s="186"/>
      <c r="E114" s="186"/>
      <c r="F114" s="186"/>
      <c r="G114" s="186"/>
      <c r="H114" s="186"/>
      <c r="I114" s="186"/>
      <c r="J114" s="186"/>
      <c r="K114" s="186"/>
      <c r="L114" s="186"/>
      <c r="M114" s="626" t="s">
        <v>793</v>
      </c>
    </row>
    <row r="115" spans="1:15">
      <c r="A115" s="3">
        <v>1</v>
      </c>
      <c r="B115" s="3">
        <v>1</v>
      </c>
      <c r="C115" s="3">
        <v>1</v>
      </c>
      <c r="D115" s="3">
        <v>1</v>
      </c>
      <c r="E115" s="3">
        <v>1</v>
      </c>
      <c r="F115" s="3">
        <v>1</v>
      </c>
      <c r="G115" s="3">
        <v>1</v>
      </c>
      <c r="H115" s="3">
        <v>1</v>
      </c>
      <c r="I115" s="3">
        <v>1</v>
      </c>
      <c r="J115" s="3">
        <v>1</v>
      </c>
      <c r="K115" s="3">
        <v>1</v>
      </c>
      <c r="L115" s="3">
        <v>1</v>
      </c>
      <c r="M115" s="1" t="str">
        <f>ADDRESS(ROW(),COLUMN(),4)</f>
        <v>M115</v>
      </c>
      <c r="N115" s="628"/>
      <c r="O115" s="629" t="str">
        <f>ADDRESS(ROW(),COLUMN(),4)</f>
        <v>O115</v>
      </c>
    </row>
  </sheetData>
  <mergeCells count="7">
    <mergeCell ref="B98:L99"/>
    <mergeCell ref="B17:K19"/>
    <mergeCell ref="B21:K25"/>
    <mergeCell ref="B38:K39"/>
    <mergeCell ref="B74:K77"/>
    <mergeCell ref="B85:K87"/>
    <mergeCell ref="B90:K92"/>
  </mergeCells>
  <hyperlinks>
    <hyperlink ref="B15" r:id="rId1" display="https://www.hotellerie-restauration.ac-versailles.fr/spip.php?auteur69" xr:uid="{F3CCD23E-FFCA-4AB3-B000-E925708B5674}"/>
    <hyperlink ref="B17" r:id="rId2" display="https://cuisine-centrale17.fr/" xr:uid="{9A82F4BC-05B0-404C-AA73-559D5494F853}"/>
    <hyperlink ref="B74" r:id="rId3" display="https://cuisine-centrale17.fr/" xr:uid="{97F032EC-1291-481E-BB5D-582756E7B588}"/>
    <hyperlink ref="B110" r:id="rId4" display="mailto: cuisine.centrale17@gmail.com" xr:uid="{066656DD-F5BA-4D41-9D7D-481940C7CDB5}"/>
    <hyperlink ref="B111" r:id="rId5" display="https://cuisine-centrale17.fr/" xr:uid="{E25D3037-07A3-48CB-A755-181E29DCD643}"/>
    <hyperlink ref="B112" r:id="rId6" display="https://www.facebook.com/UPRT.fr" xr:uid="{B37B5236-FD31-4F27-85B8-9E8DD59BC687}"/>
    <hyperlink ref="B8" r:id="rId7" xr:uid="{C7A701B6-348A-455E-B5B7-6AC759163173}"/>
  </hyperlinks>
  <pageMargins left="0.7" right="0.7" top="0.75" bottom="0.75" header="0.3" footer="0.3"/>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711FA-5B69-485E-8CCD-ABF54037C73C}">
  <dimension ref="A4:U144"/>
  <sheetViews>
    <sheetView showZeros="0" topLeftCell="C1" workbookViewId="0">
      <selection activeCell="P3" sqref="P3"/>
    </sheetView>
  </sheetViews>
  <sheetFormatPr baseColWidth="10" defaultRowHeight="15"/>
  <cols>
    <col min="7" max="8" width="12.7109375" customWidth="1"/>
    <col min="9" max="9" width="3.7109375" customWidth="1"/>
    <col min="10" max="10" width="9.7109375" customWidth="1"/>
    <col min="11" max="11" width="12.7109375" customWidth="1"/>
    <col min="12" max="12" width="13.7109375" customWidth="1"/>
    <col min="13" max="13" width="6.7109375" customWidth="1"/>
    <col min="14" max="14" width="40.7109375" customWidth="1"/>
    <col min="15" max="15" width="10.7109375" customWidth="1"/>
    <col min="16" max="16" width="9.7109375" customWidth="1"/>
    <col min="17" max="17" width="18.7109375" customWidth="1"/>
    <col min="18" max="20" width="13.7109375" customWidth="1"/>
    <col min="21" max="21" width="17.7109375" customWidth="1"/>
  </cols>
  <sheetData>
    <row r="4" spans="2:21" ht="15.75" thickBot="1"/>
    <row r="5" spans="2:21" ht="21" customHeight="1">
      <c r="B5" s="19" t="s">
        <v>10</v>
      </c>
      <c r="C5" s="20" t="str">
        <f>C11</f>
        <v>MAJUSCULE(GAUCHE(J21;1))&amp;" "&amp;J21&amp;" | "&amp;S21&amp;"| "&amp;J23&amp;" "&amp;K23</v>
      </c>
      <c r="D5" s="21">
        <f>D11</f>
        <v>1</v>
      </c>
      <c r="E5" s="21" t="str">
        <f>E11</f>
        <v>coupe</v>
      </c>
      <c r="F5" s="22" t="str">
        <f>F11</f>
        <v>Recette mère ► MILLE-FEUILLE  aux fraises des bois</v>
      </c>
      <c r="G5" s="23" t="s">
        <v>21</v>
      </c>
      <c r="H5" s="24" t="s">
        <v>22</v>
      </c>
      <c r="I5" s="24"/>
      <c r="J5" s="6634" t="s">
        <v>1339</v>
      </c>
      <c r="K5" s="6634"/>
      <c r="L5" s="6634"/>
      <c r="M5" s="6634"/>
      <c r="N5" s="6634"/>
      <c r="O5" s="6634"/>
      <c r="P5" s="6634"/>
      <c r="Q5" s="6634"/>
      <c r="R5" s="6634"/>
      <c r="S5" s="6636" t="s">
        <v>1348</v>
      </c>
      <c r="T5" s="6636"/>
      <c r="U5" s="6638" t="str">
        <f>UPPER(LEFT(J5,1))</f>
        <v>N</v>
      </c>
    </row>
    <row r="6" spans="2:21" ht="21" customHeight="1">
      <c r="B6" s="25" t="s">
        <v>10</v>
      </c>
      <c r="C6" s="26" t="str">
        <f>C11</f>
        <v>MAJUSCULE(GAUCHE(J21;1))&amp;" "&amp;J21&amp;" | "&amp;S21&amp;"| "&amp;J23&amp;" "&amp;K23</v>
      </c>
      <c r="D6" s="27">
        <f>D11</f>
        <v>1</v>
      </c>
      <c r="E6" s="27" t="str">
        <f>E11</f>
        <v>coupe</v>
      </c>
      <c r="F6" s="28" t="str">
        <f>F11</f>
        <v>Recette mère ► MILLE-FEUILLE  aux fraises des bois</v>
      </c>
      <c r="G6" s="29" t="s">
        <v>28</v>
      </c>
      <c r="H6" s="30" t="s">
        <v>831</v>
      </c>
      <c r="I6" s="30"/>
      <c r="J6" s="6635"/>
      <c r="K6" s="6635"/>
      <c r="L6" s="6635"/>
      <c r="M6" s="6635"/>
      <c r="N6" s="6635"/>
      <c r="O6" s="6635"/>
      <c r="P6" s="6635"/>
      <c r="Q6" s="6635"/>
      <c r="R6" s="6635"/>
      <c r="S6" s="6637"/>
      <c r="T6" s="6637"/>
      <c r="U6" s="6639"/>
    </row>
    <row r="7" spans="2:21" ht="21" customHeight="1">
      <c r="B7" s="25" t="s">
        <v>10</v>
      </c>
      <c r="C7" s="31" t="str">
        <f>C11</f>
        <v>MAJUSCULE(GAUCHE(J21;1))&amp;" "&amp;J21&amp;" | "&amp;S21&amp;"| "&amp;J23&amp;" "&amp;K23</v>
      </c>
      <c r="D7" s="32">
        <f>D11</f>
        <v>1</v>
      </c>
      <c r="E7" s="32" t="str">
        <f>E11</f>
        <v>coupe</v>
      </c>
      <c r="F7" s="33" t="str">
        <f>F11</f>
        <v>Recette mère ► MILLE-FEUILLE  aux fraises des bois</v>
      </c>
      <c r="G7" s="1357"/>
      <c r="H7" s="1358" t="s">
        <v>30</v>
      </c>
      <c r="I7" s="34"/>
      <c r="J7" s="35" t="s">
        <v>31</v>
      </c>
      <c r="K7" s="36" t="s">
        <v>57</v>
      </c>
      <c r="L7" s="9"/>
      <c r="M7" s="9"/>
      <c r="N7" s="36"/>
      <c r="O7" s="36"/>
      <c r="P7" s="36"/>
      <c r="Q7" s="37"/>
      <c r="R7" s="9"/>
      <c r="S7" s="9"/>
      <c r="T7" s="9"/>
      <c r="U7" s="2062" t="str" cm="1">
        <f t="array" aca="1" ref="U7" ca="1">IF(COUNTIF(G76:U76,"&lt;0.5")=0,"Aucune colonne masquée ",COUNTIF(G76:U76,"&lt;0.5") &amp; " " &amp; IF(COUNTIF(G76:U76,"&lt;0.5")&gt;1,"colonnes masquées","colonne masquée") &amp; " " &amp; _xlfn.TEXTJOIN(" ", TRUE, IF(G76:U76&lt;0.5,G75:U75,"")))&amp;" "</f>
        <v xml:space="preserve">Aucune colonne masquée  </v>
      </c>
    </row>
    <row r="8" spans="2:21" ht="21" customHeight="1">
      <c r="B8" s="25" t="s">
        <v>10</v>
      </c>
      <c r="C8" s="31" t="str">
        <f>C11</f>
        <v>MAJUSCULE(GAUCHE(J21;1))&amp;" "&amp;J21&amp;" | "&amp;S21&amp;"| "&amp;J23&amp;" "&amp;K23</v>
      </c>
      <c r="D8" s="32">
        <f>D11</f>
        <v>1</v>
      </c>
      <c r="E8" s="32" t="str">
        <f>E11</f>
        <v>coupe</v>
      </c>
      <c r="F8" s="33" t="str">
        <f>F11</f>
        <v>Recette mère ► MILLE-FEUILLE  aux fraises des bois</v>
      </c>
      <c r="G8" s="39" t="s">
        <v>32</v>
      </c>
      <c r="H8" s="40"/>
      <c r="I8" s="40"/>
      <c r="J8" s="41" t="s">
        <v>33</v>
      </c>
      <c r="K8" s="6736" t="str">
        <f>M11&amp;" "&amp;N11&amp;" ► Famille = "&amp;S5&amp;" ► "&amp;J5&amp;" "&amp;Q8&amp;" "&amp;S8&amp;" "&amp;T8&amp;" "&amp;U8</f>
        <v>Recette mère ► MILLE-FEUILLE  aux fraises des bois ► Famille = collez la--FAMILLE ► NOM DE VOTRE RECETTE  ⓫  Dupliquée pour 10 coupes</v>
      </c>
      <c r="L8" s="6736"/>
      <c r="M8" s="6736"/>
      <c r="N8" s="6736"/>
      <c r="O8" s="6736"/>
      <c r="P8" s="6736"/>
      <c r="Q8" s="6736"/>
      <c r="R8" s="1359"/>
      <c r="S8" s="1359" t="s">
        <v>35</v>
      </c>
      <c r="T8" s="140">
        <v>10</v>
      </c>
      <c r="U8" s="43" t="str">
        <f>U10</f>
        <v>coupes</v>
      </c>
    </row>
    <row r="9" spans="2:21" ht="21" customHeight="1">
      <c r="B9" s="25" t="s">
        <v>10</v>
      </c>
      <c r="C9" s="31" t="str">
        <f>C11</f>
        <v>MAJUSCULE(GAUCHE(J21;1))&amp;" "&amp;J21&amp;" | "&amp;S21&amp;"| "&amp;J23&amp;" "&amp;K23</v>
      </c>
      <c r="D9" s="32">
        <f>D11</f>
        <v>1</v>
      </c>
      <c r="E9" s="32" t="str">
        <f>E11</f>
        <v>coupe</v>
      </c>
      <c r="F9" s="33" t="str">
        <f>F11</f>
        <v>Recette mère ► MILLE-FEUILLE  aux fraises des bois</v>
      </c>
      <c r="G9" s="1360">
        <v>1</v>
      </c>
      <c r="H9" s="1361" t="s">
        <v>1783</v>
      </c>
      <c r="I9" s="39"/>
      <c r="J9" s="39"/>
      <c r="K9" s="6736"/>
      <c r="L9" s="6736"/>
      <c r="M9" s="6736"/>
      <c r="N9" s="6736"/>
      <c r="O9" s="6736"/>
      <c r="P9" s="6736"/>
      <c r="Q9" s="6736"/>
      <c r="R9" s="696"/>
      <c r="S9" s="696"/>
      <c r="T9" s="47" t="s">
        <v>40</v>
      </c>
      <c r="U9" s="48" t="s">
        <v>41</v>
      </c>
    </row>
    <row r="10" spans="2:21" ht="21" customHeight="1">
      <c r="B10" s="25" t="s">
        <v>10</v>
      </c>
      <c r="C10" s="31" t="str">
        <f>C11</f>
        <v>MAJUSCULE(GAUCHE(J21;1))&amp;" "&amp;J21&amp;" | "&amp;S21&amp;"| "&amp;J23&amp;" "&amp;K23</v>
      </c>
      <c r="D10" s="32">
        <f>D11</f>
        <v>1</v>
      </c>
      <c r="E10" s="32" t="str">
        <f>E11</f>
        <v>coupe</v>
      </c>
      <c r="F10" s="33" t="str">
        <f>F11</f>
        <v>Recette mère ► MILLE-FEUILLE  aux fraises des bois</v>
      </c>
      <c r="G10" s="53"/>
      <c r="H10" s="1323" t="s">
        <v>8094</v>
      </c>
      <c r="I10" s="6737">
        <f>Q70</f>
        <v>2.2199999999999998</v>
      </c>
      <c r="J10" s="6737"/>
      <c r="K10" s="1324" t="str" cm="1">
        <f t="array" ref="K10">"1= "&amp;IF(OR(G9&lt;=0,I10=""),"",_xlfn.LET(_xlpm.kg,IF(ISNUMBER(I10),I10,VALEUR(SUBSTITUTE(SUBSTITUTE(SUBSTITUTE(LOWER(I10),"kg",""),",",".")," ",""))),TEXT(ROUND(_xlpm.kg*1000/G9,2),"0.##")&amp;" g"))</f>
        <v>1= 2220. g</v>
      </c>
      <c r="L10" s="1325">
        <f>IFERROR(T8/T10,0)</f>
        <v>2</v>
      </c>
      <c r="M10" s="1817" t="s">
        <v>8411</v>
      </c>
      <c r="N10" s="579"/>
      <c r="O10" s="55"/>
      <c r="P10" s="55"/>
      <c r="R10" s="1362"/>
      <c r="S10" s="1362" t="s">
        <v>50</v>
      </c>
      <c r="T10" s="2102">
        <v>5</v>
      </c>
      <c r="U10" s="56" t="s">
        <v>1784</v>
      </c>
    </row>
    <row r="11" spans="2:21" ht="21" customHeight="1">
      <c r="B11" s="25" t="s">
        <v>10</v>
      </c>
      <c r="C11" s="61" t="str">
        <f>G11</f>
        <v>MAJUSCULE(GAUCHE(J21;1))&amp;" "&amp;J21&amp;" | "&amp;S21&amp;"| "&amp;J23&amp;" "&amp;K23</v>
      </c>
      <c r="D11" s="62">
        <f>G9</f>
        <v>1</v>
      </c>
      <c r="E11" s="61" t="str">
        <f>H9</f>
        <v>coupe</v>
      </c>
      <c r="F11" s="63" t="str">
        <f>M11&amp;" "&amp;N11</f>
        <v>Recette mère ► MILLE-FEUILLE  aux fraises des bois</v>
      </c>
      <c r="G11" s="64" t="s">
        <v>8786</v>
      </c>
      <c r="H11" s="65" t="s">
        <v>53</v>
      </c>
      <c r="I11" s="6735" t="s">
        <v>54</v>
      </c>
      <c r="J11" s="6735"/>
      <c r="K11" s="6735"/>
      <c r="L11" s="66"/>
      <c r="M11" s="66" t="str">
        <f>IF(ISTEXT(N11),"Recette mère ►",H11)</f>
        <v>Recette mère ►</v>
      </c>
      <c r="N11" s="67" t="s">
        <v>3081</v>
      </c>
      <c r="O11" s="67"/>
      <c r="P11" s="67"/>
      <c r="Q11" s="883"/>
      <c r="R11" s="68"/>
      <c r="S11" s="68"/>
      <c r="T11" s="68"/>
      <c r="U11"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row>
    <row r="12" spans="2:21" ht="21" customHeight="1">
      <c r="B12" s="25" t="s">
        <v>10</v>
      </c>
      <c r="C12" s="70" t="str">
        <f>C11</f>
        <v>MAJUSCULE(GAUCHE(J21;1))&amp;" "&amp;J21&amp;" | "&amp;S21&amp;"| "&amp;J23&amp;" "&amp;K23</v>
      </c>
      <c r="D12" s="70">
        <f>D11</f>
        <v>1</v>
      </c>
      <c r="E12" s="70" t="str">
        <f>E11</f>
        <v>coupe</v>
      </c>
      <c r="F12" s="71" t="str">
        <f>F11</f>
        <v>Recette mère ► MILLE-FEUILLE  aux fraises des bois</v>
      </c>
      <c r="G12" s="12" t="s">
        <v>65</v>
      </c>
      <c r="H12" s="12" t="s">
        <v>66</v>
      </c>
      <c r="I12" s="12" t="s">
        <v>67</v>
      </c>
      <c r="J12" s="12" t="s">
        <v>68</v>
      </c>
      <c r="K12" s="72" t="s">
        <v>69</v>
      </c>
      <c r="L12" s="73" t="s">
        <v>70</v>
      </c>
      <c r="M12" s="12" t="s">
        <v>71</v>
      </c>
      <c r="N12" s="12" t="s">
        <v>72</v>
      </c>
      <c r="O12" s="12" t="s">
        <v>73</v>
      </c>
      <c r="P12" s="12" t="s">
        <v>74</v>
      </c>
      <c r="Q12" s="12" t="s">
        <v>75</v>
      </c>
      <c r="R12" s="12" t="s">
        <v>76</v>
      </c>
      <c r="S12" s="12" t="s">
        <v>77</v>
      </c>
      <c r="T12" s="12" t="s">
        <v>8143</v>
      </c>
      <c r="U12" s="74" t="s">
        <v>8407</v>
      </c>
    </row>
    <row r="13" spans="2:21" ht="21" customHeight="1">
      <c r="B13" s="25" t="s">
        <v>10</v>
      </c>
      <c r="C13" s="31" t="str">
        <f>C11</f>
        <v>MAJUSCULE(GAUCHE(J21;1))&amp;" "&amp;J21&amp;" | "&amp;S21&amp;"| "&amp;J23&amp;" "&amp;K23</v>
      </c>
      <c r="D13" s="32">
        <f>D11</f>
        <v>1</v>
      </c>
      <c r="E13" s="31" t="str">
        <f>E11</f>
        <v>coupe</v>
      </c>
      <c r="F13" s="33" t="str">
        <f>F11</f>
        <v>Recette mère ► MILLE-FEUILLE  aux fraises des bois</v>
      </c>
      <c r="G13" s="6125" t="s">
        <v>78</v>
      </c>
      <c r="H13" s="77" t="s">
        <v>79</v>
      </c>
      <c r="I13" s="78"/>
      <c r="J13" s="6612" t="s">
        <v>80</v>
      </c>
      <c r="K13" s="6730" t="s">
        <v>81</v>
      </c>
      <c r="L13" s="6732" t="s">
        <v>82</v>
      </c>
      <c r="M13" s="6733" t="s">
        <v>8575</v>
      </c>
      <c r="N13" s="79" t="s">
        <v>83</v>
      </c>
      <c r="O13" s="80" t="s">
        <v>49</v>
      </c>
      <c r="P13" s="81" t="s">
        <v>84</v>
      </c>
      <c r="Q13" s="6607" t="s">
        <v>85</v>
      </c>
      <c r="R13" s="6582" t="s">
        <v>84</v>
      </c>
      <c r="S13" s="6727" t="s">
        <v>8405</v>
      </c>
      <c r="T13" s="6584" t="s">
        <v>86</v>
      </c>
      <c r="U13" s="6728" t="s">
        <v>87</v>
      </c>
    </row>
    <row r="14" spans="2:21" ht="21" customHeight="1">
      <c r="B14" s="25" t="s">
        <v>10</v>
      </c>
      <c r="C14" s="31" t="str">
        <f>C11</f>
        <v>MAJUSCULE(GAUCHE(J21;1))&amp;" "&amp;J21&amp;" | "&amp;S21&amp;"| "&amp;J23&amp;" "&amp;K23</v>
      </c>
      <c r="D14" s="32">
        <f>D11</f>
        <v>1</v>
      </c>
      <c r="E14" s="31" t="str">
        <f>E11</f>
        <v>coupe</v>
      </c>
      <c r="F14" s="33" t="str">
        <f>F11</f>
        <v>Recette mère ► MILLE-FEUILLE  aux fraises des bois</v>
      </c>
      <c r="G14" s="6126" t="s">
        <v>92</v>
      </c>
      <c r="H14" s="84" t="s">
        <v>93</v>
      </c>
      <c r="I14" s="85" t="s">
        <v>94</v>
      </c>
      <c r="J14" s="6577"/>
      <c r="K14" s="6731"/>
      <c r="L14" s="6579"/>
      <c r="M14" s="6734"/>
      <c r="N14" s="6127" t="s">
        <v>95</v>
      </c>
      <c r="O14" s="87" t="s">
        <v>96</v>
      </c>
      <c r="P14" s="6128">
        <v>1</v>
      </c>
      <c r="Q14" s="6608"/>
      <c r="R14" s="6583"/>
      <c r="S14" s="6583"/>
      <c r="T14" s="6585"/>
      <c r="U14" s="6729"/>
    </row>
    <row r="15" spans="2:21" ht="21" customHeight="1">
      <c r="B15" s="25" t="s">
        <v>10</v>
      </c>
      <c r="C15" s="31" t="str">
        <f>C11</f>
        <v>MAJUSCULE(GAUCHE(J21;1))&amp;" "&amp;J21&amp;" | "&amp;S21&amp;"| "&amp;J23&amp;" "&amp;K23</v>
      </c>
      <c r="D15" s="32">
        <f>D11</f>
        <v>1</v>
      </c>
      <c r="E15" s="31" t="str">
        <f>E11</f>
        <v>coupe</v>
      </c>
      <c r="F15" s="33" t="str">
        <f>F11</f>
        <v>Recette mère ► MILLE-FEUILLE  aux fraises des bois</v>
      </c>
      <c r="G15" s="89"/>
      <c r="H15" s="90"/>
      <c r="I15" s="91" t="str">
        <f t="shared" ref="I15:I46" si="0">IF(OR(ISTEXT(G15), G15&lt;=0, J15&lt;=0), "", "de")</f>
        <v/>
      </c>
      <c r="J15" s="92">
        <v>3</v>
      </c>
      <c r="K15" s="6129" t="s">
        <v>156</v>
      </c>
      <c r="L15" s="130">
        <v>1</v>
      </c>
      <c r="M15" s="6130" t="str">
        <f>ROWS(M15:M15)&amp;" ►"</f>
        <v>1 ►</v>
      </c>
      <c r="N15" s="1580"/>
      <c r="O15" s="95">
        <f>IF(Q70=0,0,(Q15/Q70)*P14*1000)</f>
        <v>175.67567567567571</v>
      </c>
      <c r="P15" s="96">
        <f>IF(Q70=0, 0, (G15*L15)/(Q70*P14))</f>
        <v>0</v>
      </c>
      <c r="Q15" s="97">
        <f>IFERROR(_xlfn.XLOOKUP(UPPER(TRIM(SUBSTITUTE(K15,CHAR(160)," "))),G71:U71,G73:U73,_xlfn.XLOOKUP(UPPER(TRIM(SUBSTITUTE(K15,CHAR(160)," "))),G72:U72,G74:U74,0))*J15*IF(G15&gt;0,G15,1),0)</f>
        <v>0.39</v>
      </c>
      <c r="R15" s="98">
        <f>IF(T10&lt;&gt;0,G15*L15*L10,0)</f>
        <v>0</v>
      </c>
      <c r="S15" s="1834">
        <f t="shared" ref="S15:S46" si="1">H15</f>
        <v>0</v>
      </c>
      <c r="T15" s="99">
        <f>IF(OR(ISBLANK(T10),T10=0),0,Q15*L15*L10)</f>
        <v>0.78</v>
      </c>
      <c r="U15" s="1366" t="str">
        <f>IF(J15="",0,IF(K15="","",IF(COUNTIF(N71:U71,SUBSTITUTE(TRIM(K15)," (s)",""))+COUNTIF(N72:U72,SUBSTITUTE(TRIM(K15)," (s)",""))&gt;0,IF(ROUND(T15,3)&gt;=1,ROUND(T15,3)&amp;" L",MAX(1,ROUND(T15*100,0))&amp;" cl"),IF(COUNTIF(G71:L71,SUBSTITUTE(TRIM(K15)," (s)",""))+COUNTIF(G72:L72,SUBSTITUTE(TRIM(K15)," (s)",""))&gt;0,IF(ROUND(T15,3)&gt;=1,ROUND(T15,3)&amp;" Kg",MAX(1,ROUND(T15*1000,0))&amp;" g"),""))))</f>
        <v>780 g</v>
      </c>
    </row>
    <row r="16" spans="2:21" ht="21" customHeight="1">
      <c r="B16" s="25" t="s">
        <v>10</v>
      </c>
      <c r="C16" s="31" t="str">
        <f>C11</f>
        <v>MAJUSCULE(GAUCHE(J21;1))&amp;" "&amp;J21&amp;" | "&amp;S21&amp;"| "&amp;J23&amp;" "&amp;K23</v>
      </c>
      <c r="D16" s="32">
        <f>D11</f>
        <v>1</v>
      </c>
      <c r="E16" s="31" t="str">
        <f>E11</f>
        <v>coupe</v>
      </c>
      <c r="F16" s="33" t="str">
        <f>F11</f>
        <v>Recette mère ► MILLE-FEUILLE  aux fraises des bois</v>
      </c>
      <c r="G16" s="89"/>
      <c r="H16" s="108"/>
      <c r="I16" s="91" t="str">
        <f t="shared" si="0"/>
        <v/>
      </c>
      <c r="J16" s="92">
        <v>3</v>
      </c>
      <c r="K16" s="6129" t="s">
        <v>156</v>
      </c>
      <c r="L16" s="130">
        <v>1</v>
      </c>
      <c r="M16" s="6131" t="str">
        <f>ROWS(M15:M16)&amp;" ►"</f>
        <v>2 ►</v>
      </c>
      <c r="N16" s="1580"/>
      <c r="O16" s="95">
        <f>IF(Q70=0,0,(Q16/Q70)*P14*1000)</f>
        <v>175.67567567567571</v>
      </c>
      <c r="P16" s="105">
        <f>IF(Q70=0, 0, (G16*L16)/(Q70*P14))</f>
        <v>0</v>
      </c>
      <c r="Q16" s="97">
        <f>IFERROR(_xlfn.XLOOKUP(UPPER(TRIM(SUBSTITUTE(K16,CHAR(160)," "))),G71:U71,G73:U73,_xlfn.XLOOKUP(UPPER(TRIM(SUBSTITUTE(K16,CHAR(160)," "))),G72:U72,G74:U74,0))*J16*IF(G16&gt;0,G16,1),0)</f>
        <v>0.39</v>
      </c>
      <c r="R16" s="106">
        <f>IF(T10&lt;&gt;0,G16*L16*L10,0)</f>
        <v>0</v>
      </c>
      <c r="S16" s="1747">
        <f t="shared" si="1"/>
        <v>0</v>
      </c>
      <c r="T16" s="99">
        <f>IF(OR(ISBLANK(T10),T10=0),0,Q16*L16*L10)</f>
        <v>0.78</v>
      </c>
      <c r="U16" s="1367" t="str">
        <f>IF(J16="",0,IF(K16="","",IF(COUNTIF(N71:U71,SUBSTITUTE(TRIM(K16)," (s)",""))+COUNTIF(N72:U72,SUBSTITUTE(TRIM(K16)," (s)",""))&gt;0,IF(ROUND(T16,3)&gt;=1,ROUND(T16,3)&amp;" L",MAX(1,ROUND(T16*100,0))&amp;" cl"),IF(COUNTIF(G71:L71,SUBSTITUTE(TRIM(K16)," (s)",""))+COUNTIF(G72:L72,SUBSTITUTE(TRIM(K16)," (s)",""))&gt;0,IF(ROUND(T16,3)&gt;=1,ROUND(T16,3)&amp;" Kg",MAX(1,ROUND(T16*1000,0))&amp;" g"),""))))</f>
        <v>780 g</v>
      </c>
    </row>
    <row r="17" spans="2:21" ht="21" customHeight="1">
      <c r="B17" s="103" t="str">
        <f t="shared" ref="B17:B48" si="2">IF(N17&lt;&gt;"","A","►")</f>
        <v>►</v>
      </c>
      <c r="C17" s="31" t="str">
        <f>C11</f>
        <v>MAJUSCULE(GAUCHE(J21;1))&amp;" "&amp;J21&amp;" | "&amp;S21&amp;"| "&amp;J23&amp;" "&amp;K23</v>
      </c>
      <c r="D17" s="32">
        <f>D11</f>
        <v>1</v>
      </c>
      <c r="E17" s="31" t="str">
        <f>E11</f>
        <v>coupe</v>
      </c>
      <c r="F17" s="33" t="str">
        <f>F11</f>
        <v>Recette mère ► MILLE-FEUILLE  aux fraises des bois</v>
      </c>
      <c r="G17" s="89"/>
      <c r="H17" s="108"/>
      <c r="I17" s="91" t="str">
        <f t="shared" si="0"/>
        <v/>
      </c>
      <c r="J17" s="92"/>
      <c r="K17" s="6132"/>
      <c r="L17" s="130">
        <v>1</v>
      </c>
      <c r="M17" s="6131" t="str">
        <f>ROWS(M15:M17)&amp;" ►"</f>
        <v>3 ►</v>
      </c>
      <c r="N17" s="1580"/>
      <c r="O17" s="95">
        <f>IF(Q70=0,0,(Q17/Q70)*P14*1000)</f>
        <v>0</v>
      </c>
      <c r="P17" s="105">
        <f>IF(Q70=0, 0, (G17*L17)/(Q70*P14))</f>
        <v>0</v>
      </c>
      <c r="Q17" s="97">
        <f>IFERROR(_xlfn.XLOOKUP(UPPER(TRIM(SUBSTITUTE(K17,CHAR(160)," "))),G71:U71,G73:U73,_xlfn.XLOOKUP(UPPER(TRIM(SUBSTITUTE(K17,CHAR(160)," "))),G72:U72,G74:U74,0))*J17*IF(G17&gt;0,G17,1),0)</f>
        <v>0</v>
      </c>
      <c r="R17" s="110">
        <f>IF(T10&lt;&gt;0,G17*L17*L10,0)</f>
        <v>0</v>
      </c>
      <c r="S17" s="1748">
        <f t="shared" si="1"/>
        <v>0</v>
      </c>
      <c r="T17" s="99">
        <f>IF(OR(ISBLANK(T10),T10=0),0,Q17*L17*L10)</f>
        <v>0</v>
      </c>
      <c r="U17" s="1368">
        <f>IF(J17="",0,IF(K17="","",IF(COUNTIF(N71:U71,SUBSTITUTE(TRIM(K17)," (s)",""))+COUNTIF(N72:U72,SUBSTITUTE(TRIM(K17)," (s)",""))&gt;0,IF(ROUND(T17,3)&gt;=1,ROUND(T17,3)&amp;" L",MAX(1,ROUND(T17*100,0))&amp;" cl"),IF(COUNTIF(G71:L71,SUBSTITUTE(TRIM(K17)," (s)",""))+COUNTIF(G72:L72,SUBSTITUTE(TRIM(K17)," (s)",""))&gt;0,IF(ROUND(T17,3)&gt;=1,ROUND(T17,3)&amp;" Kg",MAX(1,ROUND(T17*1000,0))&amp;" g"),""))))</f>
        <v>0</v>
      </c>
    </row>
    <row r="18" spans="2:21" ht="21" customHeight="1">
      <c r="B18" s="103" t="str">
        <f t="shared" si="2"/>
        <v>►</v>
      </c>
      <c r="C18" s="31" t="str">
        <f>C11</f>
        <v>MAJUSCULE(GAUCHE(J21;1))&amp;" "&amp;J21&amp;" | "&amp;S21&amp;"| "&amp;J23&amp;" "&amp;K23</v>
      </c>
      <c r="D18" s="32">
        <f>D11</f>
        <v>1</v>
      </c>
      <c r="E18" s="31" t="str">
        <f>E11</f>
        <v>coupe</v>
      </c>
      <c r="F18" s="33" t="str">
        <f>F11</f>
        <v>Recette mère ► MILLE-FEUILLE  aux fraises des bois</v>
      </c>
      <c r="G18" s="89"/>
      <c r="H18" s="108"/>
      <c r="I18" s="91" t="str">
        <f t="shared" si="0"/>
        <v/>
      </c>
      <c r="J18" s="92"/>
      <c r="K18" s="6132"/>
      <c r="L18" s="130">
        <v>1</v>
      </c>
      <c r="M18" s="6131" t="str">
        <f>ROWS(M15:M18)&amp;" ►"</f>
        <v>4 ►</v>
      </c>
      <c r="N18" s="1580"/>
      <c r="O18" s="95">
        <f>IF(Q70=0,0,(Q18/Q70)*P14*1000)</f>
        <v>0</v>
      </c>
      <c r="P18" s="105">
        <f>IF(Q70=0, 0, (G18*L18)/(Q70*P14))</f>
        <v>0</v>
      </c>
      <c r="Q18" s="97">
        <f>IFERROR(_xlfn.XLOOKUP(UPPER(TRIM(SUBSTITUTE(K18,CHAR(160)," "))),G71:U71,G73:U73,_xlfn.XLOOKUP(UPPER(TRIM(SUBSTITUTE(K18,CHAR(160)," "))),G72:U72,G74:U74,0))*J18*IF(G18&gt;0,G18,1),0)</f>
        <v>0</v>
      </c>
      <c r="R18" s="106">
        <f>IF(T10&lt;&gt;0,G18*L18*L10,0)</f>
        <v>0</v>
      </c>
      <c r="S18" s="1747">
        <f t="shared" si="1"/>
        <v>0</v>
      </c>
      <c r="T18" s="99">
        <f>IF(OR(ISBLANK(T10),T10=0),0,Q18*L18*L10)</f>
        <v>0</v>
      </c>
      <c r="U18" s="1367">
        <f>IF(J18="",0,IF(K18="","",IF(COUNTIF(N71:U71,SUBSTITUTE(TRIM(K18)," (s)",""))+COUNTIF(N72:U72,SUBSTITUTE(TRIM(K18)," (s)",""))&gt;0,IF(ROUND(T18,3)&gt;=1,ROUND(T18,3)&amp;" L",MAX(1,ROUND(T18*100,0))&amp;" cl"),IF(COUNTIF(G71:L71,SUBSTITUTE(TRIM(K18)," (s)",""))+COUNTIF(G72:L72,SUBSTITUTE(TRIM(K18)," (s)",""))&gt;0,IF(ROUND(T18,3)&gt;=1,ROUND(T18,3)&amp;" Kg",MAX(1,ROUND(T18*1000,0))&amp;" g"),""))))</f>
        <v>0</v>
      </c>
    </row>
    <row r="19" spans="2:21" ht="21" customHeight="1">
      <c r="B19" s="103" t="str">
        <f t="shared" si="2"/>
        <v>►</v>
      </c>
      <c r="C19" s="31" t="str">
        <f>C11</f>
        <v>MAJUSCULE(GAUCHE(J21;1))&amp;" "&amp;J21&amp;" | "&amp;S21&amp;"| "&amp;J23&amp;" "&amp;K23</v>
      </c>
      <c r="D19" s="32">
        <f>D11</f>
        <v>1</v>
      </c>
      <c r="E19" s="31" t="str">
        <f>E11</f>
        <v>coupe</v>
      </c>
      <c r="F19" s="33" t="str">
        <f>F11</f>
        <v>Recette mère ► MILLE-FEUILLE  aux fraises des bois</v>
      </c>
      <c r="G19" s="89"/>
      <c r="H19" s="108"/>
      <c r="I19" s="91" t="str">
        <f t="shared" si="0"/>
        <v/>
      </c>
      <c r="J19" s="92"/>
      <c r="K19" s="6132"/>
      <c r="L19" s="130">
        <v>1</v>
      </c>
      <c r="M19" s="6131" t="str">
        <f>ROWS(M15:M19)&amp;" ►"</f>
        <v>5 ►</v>
      </c>
      <c r="N19" s="1580"/>
      <c r="O19" s="95">
        <f>IF(Q70=0,0,(Q19/Q70)*P14*1000)</f>
        <v>0</v>
      </c>
      <c r="P19" s="105">
        <f>IF(Q70=0, 0, (G19*L19)/(Q70*P14))</f>
        <v>0</v>
      </c>
      <c r="Q19" s="97">
        <f>IFERROR(_xlfn.XLOOKUP(UPPER(TRIM(SUBSTITUTE(K19,CHAR(160)," "))),G71:U71,G73:U73,_xlfn.XLOOKUP(UPPER(TRIM(SUBSTITUTE(K19,CHAR(160)," "))),G72:U72,G74:U74,0))*J19*IF(G19&gt;0,G19,1),0)</f>
        <v>0</v>
      </c>
      <c r="R19" s="110">
        <f>IF(T10&lt;&gt;0,G19*L19*L10,0)</f>
        <v>0</v>
      </c>
      <c r="S19" s="1748">
        <f t="shared" si="1"/>
        <v>0</v>
      </c>
      <c r="T19" s="99">
        <f>IF(OR(ISBLANK(T10),T10=0),0,Q19*L19*L10)</f>
        <v>0</v>
      </c>
      <c r="U19" s="1368">
        <f>IF(J19="",0,IF(K19="","",IF(COUNTIF(N71:U71,SUBSTITUTE(TRIM(K19)," (s)",""))+COUNTIF(N72:U72,SUBSTITUTE(TRIM(K19)," (s)",""))&gt;0,IF(ROUND(T19,3)&gt;=1,ROUND(T19,3)&amp;" L",MAX(1,ROUND(T19*100,0))&amp;" cl"),IF(COUNTIF(G71:L71,SUBSTITUTE(TRIM(K19)," (s)",""))+COUNTIF(G72:L72,SUBSTITUTE(TRIM(K19)," (s)",""))&gt;0,IF(ROUND(T19,3)&gt;=1,ROUND(T19,3)&amp;" Kg",MAX(1,ROUND(T19*1000,0))&amp;" g"),""))))</f>
        <v>0</v>
      </c>
    </row>
    <row r="20" spans="2:21" ht="21" customHeight="1">
      <c r="B20" s="103" t="str">
        <f t="shared" si="2"/>
        <v>►</v>
      </c>
      <c r="C20" s="31" t="str">
        <f>C11</f>
        <v>MAJUSCULE(GAUCHE(J21;1))&amp;" "&amp;J21&amp;" | "&amp;S21&amp;"| "&amp;J23&amp;" "&amp;K23</v>
      </c>
      <c r="D20" s="32">
        <f>D11</f>
        <v>1</v>
      </c>
      <c r="E20" s="31" t="str">
        <f>E11</f>
        <v>coupe</v>
      </c>
      <c r="F20" s="33" t="str">
        <f>F11</f>
        <v>Recette mère ► MILLE-FEUILLE  aux fraises des bois</v>
      </c>
      <c r="G20" s="89"/>
      <c r="H20" s="108"/>
      <c r="I20" s="91" t="str">
        <f t="shared" si="0"/>
        <v/>
      </c>
      <c r="J20" s="92"/>
      <c r="K20" s="6132"/>
      <c r="L20" s="130">
        <v>1</v>
      </c>
      <c r="M20" s="6131" t="str">
        <f>ROWS(M15:M20)&amp;" ►"</f>
        <v>6 ►</v>
      </c>
      <c r="N20" s="1580"/>
      <c r="O20" s="95">
        <f>IF(Q70=0,0,(Q20/Q70)*P14*1000)</f>
        <v>0</v>
      </c>
      <c r="P20" s="105">
        <f>IF(Q70=0, 0, (G20*L20)/(Q70*P14))</f>
        <v>0</v>
      </c>
      <c r="Q20" s="97">
        <f>IFERROR(_xlfn.XLOOKUP(UPPER(TRIM(SUBSTITUTE(K20,CHAR(160)," "))),G71:U71,G73:U73,_xlfn.XLOOKUP(UPPER(TRIM(SUBSTITUTE(K20,CHAR(160)," "))),G72:U72,G74:U74,0))*J20*IF(G20&gt;0,G20,1),0)</f>
        <v>0</v>
      </c>
      <c r="R20" s="106">
        <f>IF(T10&lt;&gt;0,G20*L20*L10,0)</f>
        <v>0</v>
      </c>
      <c r="S20" s="1747">
        <f t="shared" si="1"/>
        <v>0</v>
      </c>
      <c r="T20" s="99">
        <f>IF(OR(ISBLANK(T10),T10=0),0,Q20*L20*L10)</f>
        <v>0</v>
      </c>
      <c r="U20" s="1367">
        <f>IF(J20="",0,IF(K20="","",IF(COUNTIF(N71:U71,SUBSTITUTE(TRIM(K20)," (s)",""))+COUNTIF(N72:U72,SUBSTITUTE(TRIM(K20)," (s)",""))&gt;0,IF(ROUND(T20,3)&gt;=1,ROUND(T20,3)&amp;" L",MAX(1,ROUND(T20*100,0))&amp;" cl"),IF(COUNTIF(G71:L71,SUBSTITUTE(TRIM(K20)," (s)",""))+COUNTIF(G72:L72,SUBSTITUTE(TRIM(K20)," (s)",""))&gt;0,IF(ROUND(T20,3)&gt;=1,ROUND(T20,3)&amp;" Kg",MAX(1,ROUND(T20*1000,0))&amp;" g"),""))))</f>
        <v>0</v>
      </c>
    </row>
    <row r="21" spans="2:21" ht="21" customHeight="1">
      <c r="B21" s="103" t="str">
        <f t="shared" si="2"/>
        <v>►</v>
      </c>
      <c r="C21" s="31" t="str">
        <f>C11</f>
        <v>MAJUSCULE(GAUCHE(J21;1))&amp;" "&amp;J21&amp;" | "&amp;S21&amp;"| "&amp;J23&amp;" "&amp;K23</v>
      </c>
      <c r="D21" s="32">
        <f>D11</f>
        <v>1</v>
      </c>
      <c r="E21" s="31" t="str">
        <f>E11</f>
        <v>coupe</v>
      </c>
      <c r="F21" s="33" t="str">
        <f>F11</f>
        <v>Recette mère ► MILLE-FEUILLE  aux fraises des bois</v>
      </c>
      <c r="G21" s="89"/>
      <c r="H21" s="108"/>
      <c r="I21" s="91" t="str">
        <f t="shared" si="0"/>
        <v/>
      </c>
      <c r="J21" s="92"/>
      <c r="K21" s="6132"/>
      <c r="L21" s="130">
        <v>1</v>
      </c>
      <c r="M21" s="6131" t="str">
        <f>ROWS(M15:M21)&amp;" ►"</f>
        <v>7 ►</v>
      </c>
      <c r="N21" s="1580"/>
      <c r="O21" s="95">
        <f>IF(Q70=0,0,(Q21/Q70)*P14*1000)</f>
        <v>0</v>
      </c>
      <c r="P21" s="105">
        <f>IF(Q70=0, 0, (G21*L21)/(Q70*P14))</f>
        <v>0</v>
      </c>
      <c r="Q21" s="97">
        <f>IFERROR(_xlfn.XLOOKUP(UPPER(TRIM(SUBSTITUTE(K21,CHAR(160)," "))),G71:U71,G73:U73,_xlfn.XLOOKUP(UPPER(TRIM(SUBSTITUTE(K21,CHAR(160)," "))),G72:U72,G74:U74,0))*J21*IF(G21&gt;0,G21,1),0)</f>
        <v>0</v>
      </c>
      <c r="R21" s="110">
        <f>IF(T10&lt;&gt;0,G21*L21*L10,0)</f>
        <v>0</v>
      </c>
      <c r="S21" s="1748">
        <f t="shared" si="1"/>
        <v>0</v>
      </c>
      <c r="T21" s="99">
        <f>IF(OR(ISBLANK(T10),T10=0),0,Q21*L21*L10)</f>
        <v>0</v>
      </c>
      <c r="U21" s="1369">
        <f>IF(J21="",0,IF(K21="","",IF(COUNTIF(N71:U71,SUBSTITUTE(TRIM(K21)," (s)",""))+COUNTIF(N72:U72,SUBSTITUTE(TRIM(K21)," (s)",""))&gt;0,IF(ROUND(T21,3)&gt;=1,ROUND(T21,3)&amp;" L",MAX(1,ROUND(T21*100,0))&amp;" cl"),IF(COUNTIF(G71:L71,SUBSTITUTE(TRIM(K21)," (s)",""))+COUNTIF(G72:L72,SUBSTITUTE(TRIM(K21)," (s)",""))&gt;0,IF(ROUND(T21,3)&gt;=1,ROUND(T21,3)&amp;" Kg",MAX(1,ROUND(T21*1000,0))&amp;" g"),""))))</f>
        <v>0</v>
      </c>
    </row>
    <row r="22" spans="2:21" ht="21" customHeight="1">
      <c r="B22" s="103" t="str">
        <f t="shared" si="2"/>
        <v>►</v>
      </c>
      <c r="C22" s="31" t="str">
        <f>C11</f>
        <v>MAJUSCULE(GAUCHE(J21;1))&amp;" "&amp;J21&amp;" | "&amp;S21&amp;"| "&amp;J23&amp;" "&amp;K23</v>
      </c>
      <c r="D22" s="32">
        <f>D11</f>
        <v>1</v>
      </c>
      <c r="E22" s="31" t="str">
        <f>E11</f>
        <v>coupe</v>
      </c>
      <c r="F22" s="33" t="str">
        <f>F11</f>
        <v>Recette mère ► MILLE-FEUILLE  aux fraises des bois</v>
      </c>
      <c r="G22" s="89"/>
      <c r="H22" s="108"/>
      <c r="I22" s="91" t="str">
        <f t="shared" si="0"/>
        <v/>
      </c>
      <c r="J22" s="92"/>
      <c r="K22" s="6132"/>
      <c r="L22" s="130">
        <v>1</v>
      </c>
      <c r="M22" s="6131" t="str">
        <f>ROWS(M15:M22)&amp;" ►"</f>
        <v>8 ►</v>
      </c>
      <c r="N22" s="1580"/>
      <c r="O22" s="95">
        <f>IF(Q70=0,0,(Q22/Q70)*P14*1000)</f>
        <v>0</v>
      </c>
      <c r="P22" s="105">
        <f>IF(Q70=0, 0, (G22*L22)/(Q70*P14))</f>
        <v>0</v>
      </c>
      <c r="Q22" s="97">
        <f>IFERROR(_xlfn.XLOOKUP(UPPER(TRIM(SUBSTITUTE(K22,CHAR(160)," "))),G71:U71,G73:U73,_xlfn.XLOOKUP(UPPER(TRIM(SUBSTITUTE(K22,CHAR(160)," "))),G72:U72,G74:U74,0))*J22*IF(G22&gt;0,G22,1),0)</f>
        <v>0</v>
      </c>
      <c r="R22" s="106">
        <f>IF(T10&lt;&gt;0,G22*L22*L10,0)</f>
        <v>0</v>
      </c>
      <c r="S22" s="1747">
        <f t="shared" si="1"/>
        <v>0</v>
      </c>
      <c r="T22" s="99">
        <f>IF(OR(ISBLANK(T10),T10=0),0,Q22*L22*L10)</f>
        <v>0</v>
      </c>
      <c r="U22" s="1367">
        <f>IF(J22="",0,IF(K22="","",IF(COUNTIF(N71:U71,SUBSTITUTE(TRIM(K22)," (s)",""))+COUNTIF(N72:U72,SUBSTITUTE(TRIM(K22)," (s)",""))&gt;0,IF(ROUND(T22,3)&gt;=1,ROUND(T22,3)&amp;" L",MAX(1,ROUND(T22*100,0))&amp;" cl"),IF(COUNTIF(G71:L71,SUBSTITUTE(TRIM(K22)," (s)",""))+COUNTIF(G72:L72,SUBSTITUTE(TRIM(K22)," (s)",""))&gt;0,IF(ROUND(T22,3)&gt;=1,ROUND(T22,3)&amp;" Kg",MAX(1,ROUND(T22*1000,0))&amp;" g"),""))))</f>
        <v>0</v>
      </c>
    </row>
    <row r="23" spans="2:21" ht="21" customHeight="1">
      <c r="B23" s="103" t="str">
        <f t="shared" si="2"/>
        <v>►</v>
      </c>
      <c r="C23" s="31" t="str">
        <f>C11</f>
        <v>MAJUSCULE(GAUCHE(J21;1))&amp;" "&amp;J21&amp;" | "&amp;S21&amp;"| "&amp;J23&amp;" "&amp;K23</v>
      </c>
      <c r="D23" s="32">
        <f>D11</f>
        <v>1</v>
      </c>
      <c r="E23" s="31" t="str">
        <f>E11</f>
        <v>coupe</v>
      </c>
      <c r="F23" s="33" t="str">
        <f>F11</f>
        <v>Recette mère ► MILLE-FEUILLE  aux fraises des bois</v>
      </c>
      <c r="G23" s="89"/>
      <c r="H23" s="108"/>
      <c r="I23" s="91" t="str">
        <f t="shared" si="0"/>
        <v/>
      </c>
      <c r="J23" s="92"/>
      <c r="K23" s="6132"/>
      <c r="L23" s="130">
        <v>1</v>
      </c>
      <c r="M23" s="6131" t="str">
        <f>ROWS(M15:M23)&amp;" ►"</f>
        <v>9 ►</v>
      </c>
      <c r="N23" s="1580"/>
      <c r="O23" s="95">
        <f>IF(Q70=0,0,(Q23/Q70)*P14*1000)</f>
        <v>0</v>
      </c>
      <c r="P23" s="105">
        <f>IF(Q70=0, 0, (G23*L23)/(Q70*P14))</f>
        <v>0</v>
      </c>
      <c r="Q23" s="97">
        <f>IFERROR(_xlfn.XLOOKUP(UPPER(TRIM(SUBSTITUTE(K23,CHAR(160)," "))),G71:U71,G73:U73,_xlfn.XLOOKUP(UPPER(TRIM(SUBSTITUTE(K23,CHAR(160)," "))),G72:U72,G74:U74,0))*J23*IF(G23&gt;0,G23,1),0)</f>
        <v>0</v>
      </c>
      <c r="R23" s="110">
        <f>IF(T10&lt;&gt;0,G23*L23*L10,0)</f>
        <v>0</v>
      </c>
      <c r="S23" s="1748">
        <f t="shared" si="1"/>
        <v>0</v>
      </c>
      <c r="T23" s="99">
        <f>IF(OR(ISBLANK(T10),T10=0),0,Q23*L23*L10)</f>
        <v>0</v>
      </c>
      <c r="U23" s="1369">
        <f>IF(J23="",0,IF(K23="","",IF(COUNTIF(N71:U71,SUBSTITUTE(TRIM(K23)," (s)",""))+COUNTIF(N72:U72,SUBSTITUTE(TRIM(K23)," (s)",""))&gt;0,IF(ROUND(T23,3)&gt;=1,ROUND(T23,3)&amp;" L",MAX(1,ROUND(T23*100,0))&amp;" cl"),IF(COUNTIF(G71:L71,SUBSTITUTE(TRIM(K23)," (s)",""))+COUNTIF(G72:L72,SUBSTITUTE(TRIM(K23)," (s)",""))&gt;0,IF(ROUND(T23,3)&gt;=1,ROUND(T23,3)&amp;" Kg",MAX(1,ROUND(T23*1000,0))&amp;" g"),""))))</f>
        <v>0</v>
      </c>
    </row>
    <row r="24" spans="2:21" ht="21" customHeight="1">
      <c r="B24" s="103" t="str">
        <f t="shared" si="2"/>
        <v>►</v>
      </c>
      <c r="C24" s="31" t="str">
        <f>C11</f>
        <v>MAJUSCULE(GAUCHE(J21;1))&amp;" "&amp;J21&amp;" | "&amp;S21&amp;"| "&amp;J23&amp;" "&amp;K23</v>
      </c>
      <c r="D24" s="32">
        <f>D11</f>
        <v>1</v>
      </c>
      <c r="E24" s="31" t="str">
        <f>E11</f>
        <v>coupe</v>
      </c>
      <c r="F24" s="33" t="str">
        <f>F11</f>
        <v>Recette mère ► MILLE-FEUILLE  aux fraises des bois</v>
      </c>
      <c r="G24" s="89"/>
      <c r="H24" s="108"/>
      <c r="I24" s="91" t="str">
        <f t="shared" si="0"/>
        <v/>
      </c>
      <c r="J24" s="92"/>
      <c r="K24" s="6132"/>
      <c r="L24" s="130">
        <v>1</v>
      </c>
      <c r="M24" s="6131" t="str">
        <f>ROWS(M15:M24)&amp;" ►"</f>
        <v>10 ►</v>
      </c>
      <c r="N24" s="1580"/>
      <c r="O24" s="95">
        <f>IF(Q70=0,0,(Q24/Q70)*P14*1000)</f>
        <v>0</v>
      </c>
      <c r="P24" s="105">
        <f>IF(Q70=0, 0, (G24*L24)/(Q70*P14))</f>
        <v>0</v>
      </c>
      <c r="Q24" s="97">
        <f>IFERROR(_xlfn.XLOOKUP(UPPER(TRIM(SUBSTITUTE(K24,CHAR(160)," "))),G71:U71,G73:U73,_xlfn.XLOOKUP(UPPER(TRIM(SUBSTITUTE(K24,CHAR(160)," "))),G72:U72,G74:U74,0))*J24*IF(G24&gt;0,G24,1),0)</f>
        <v>0</v>
      </c>
      <c r="R24" s="106">
        <f>IF(T10&lt;&gt;0,G24*L24*L10,0)</f>
        <v>0</v>
      </c>
      <c r="S24" s="1747">
        <f t="shared" si="1"/>
        <v>0</v>
      </c>
      <c r="T24" s="99">
        <f>IF(OR(ISBLANK(T10),T10=0),0,Q24*L24*L10)</f>
        <v>0</v>
      </c>
      <c r="U24" s="1367">
        <f>IF(J24="",0,IF(K24="","",IF(COUNTIF(N71:U71,SUBSTITUTE(TRIM(K24)," (s)",""))+COUNTIF(N72:U72,SUBSTITUTE(TRIM(K24)," (s)",""))&gt;0,IF(ROUND(T24,3)&gt;=1,ROUND(T24,3)&amp;" L",MAX(1,ROUND(T24*100,0))&amp;" cl"),IF(COUNTIF(G71:L71,SUBSTITUTE(TRIM(K24)," (s)",""))+COUNTIF(G72:L72,SUBSTITUTE(TRIM(K24)," (s)",""))&gt;0,IF(ROUND(T24,3)&gt;=1,ROUND(T24,3)&amp;" Kg",MAX(1,ROUND(T24*1000,0))&amp;" g"),""))))</f>
        <v>0</v>
      </c>
    </row>
    <row r="25" spans="2:21" ht="21" customHeight="1">
      <c r="B25" s="103" t="str">
        <f t="shared" si="2"/>
        <v>►</v>
      </c>
      <c r="C25" s="31" t="str">
        <f>C11</f>
        <v>MAJUSCULE(GAUCHE(J21;1))&amp;" "&amp;J21&amp;" | "&amp;S21&amp;"| "&amp;J23&amp;" "&amp;K23</v>
      </c>
      <c r="D25" s="32">
        <f>D11</f>
        <v>1</v>
      </c>
      <c r="E25" s="31" t="str">
        <f>E11</f>
        <v>coupe</v>
      </c>
      <c r="F25" s="33" t="str">
        <f>F11</f>
        <v>Recette mère ► MILLE-FEUILLE  aux fraises des bois</v>
      </c>
      <c r="G25" s="89"/>
      <c r="H25" s="108"/>
      <c r="I25" s="91" t="str">
        <f t="shared" si="0"/>
        <v/>
      </c>
      <c r="J25" s="92"/>
      <c r="K25" s="6132"/>
      <c r="L25" s="130">
        <v>1</v>
      </c>
      <c r="M25" s="6131" t="str">
        <f>ROWS(M15:M25)&amp;" ►"</f>
        <v>11 ►</v>
      </c>
      <c r="N25" s="1580"/>
      <c r="O25" s="95">
        <f>IF(Q70=0,0,(Q25/Q70)*P14*1000)</f>
        <v>0</v>
      </c>
      <c r="P25" s="105">
        <f>IF(Q70=0, 0, (G25*L25)/(Q70*P14))</f>
        <v>0</v>
      </c>
      <c r="Q25" s="97">
        <f>IFERROR(_xlfn.XLOOKUP(UPPER(TRIM(SUBSTITUTE(K25,CHAR(160)," "))),G71:U71,G73:U73,_xlfn.XLOOKUP(UPPER(TRIM(SUBSTITUTE(K25,CHAR(160)," "))),G72:U72,G74:U74,0))*J25*IF(G25&gt;0,G25,1),0)</f>
        <v>0</v>
      </c>
      <c r="R25" s="110">
        <f>IF(T10&lt;&gt;0,G25*L25*L10,0)</f>
        <v>0</v>
      </c>
      <c r="S25" s="1748">
        <f t="shared" si="1"/>
        <v>0</v>
      </c>
      <c r="T25" s="99">
        <f>IF(OR(ISBLANK(T10),T10=0),0,Q25*L25*L10)</f>
        <v>0</v>
      </c>
      <c r="U25" s="1617">
        <f>IF(J25="",0,IF(K25="","",IF(COUNTIF(N71:U71,SUBSTITUTE(TRIM(K25)," (s)",""))+COUNTIF(N72:U72,SUBSTITUTE(TRIM(K25)," (s)",""))&gt;0,IF(ROUND(T25,3)&gt;=1,ROUND(T25,3)&amp;" L",MAX(1,ROUND(T25*100,0))&amp;" cl"),IF(COUNTIF(G71:L71,SUBSTITUTE(TRIM(K25)," (s)",""))+COUNTIF(G72:L72,SUBSTITUTE(TRIM(K25)," (s)",""))&gt;0,IF(ROUND(T25,3)&gt;=1,ROUND(T25,3)&amp;" Kg",MAX(1,ROUND(T25*1000,0))&amp;" g"),""))))</f>
        <v>0</v>
      </c>
    </row>
    <row r="26" spans="2:21" ht="21" customHeight="1">
      <c r="B26" s="103" t="str">
        <f t="shared" si="2"/>
        <v>►</v>
      </c>
      <c r="C26" s="31" t="str">
        <f>C11</f>
        <v>MAJUSCULE(GAUCHE(J21;1))&amp;" "&amp;J21&amp;" | "&amp;S21&amp;"| "&amp;J23&amp;" "&amp;K23</v>
      </c>
      <c r="D26" s="32">
        <f>D11</f>
        <v>1</v>
      </c>
      <c r="E26" s="31" t="str">
        <f>E11</f>
        <v>coupe</v>
      </c>
      <c r="F26" s="33" t="str">
        <f>F11</f>
        <v>Recette mère ► MILLE-FEUILLE  aux fraises des bois</v>
      </c>
      <c r="G26" s="89"/>
      <c r="H26" s="108"/>
      <c r="I26" s="91" t="str">
        <f t="shared" si="0"/>
        <v/>
      </c>
      <c r="J26" s="92"/>
      <c r="K26" s="6132"/>
      <c r="L26" s="130">
        <v>1</v>
      </c>
      <c r="M26" s="6131" t="str">
        <f>ROWS(M15:M26)&amp;" ►"</f>
        <v>12 ►</v>
      </c>
      <c r="N26" s="1580"/>
      <c r="O26" s="95">
        <f>IF(Q70=0,0,(Q26/Q70)*P14*1000)</f>
        <v>0</v>
      </c>
      <c r="P26" s="105">
        <f>IF(Q70=0, 0, (G26*L26)/(Q70*P14))</f>
        <v>0</v>
      </c>
      <c r="Q26" s="97">
        <f>IFERROR(_xlfn.XLOOKUP(UPPER(TRIM(SUBSTITUTE(K26,CHAR(160)," "))),G71:U71,G73:U73,_xlfn.XLOOKUP(UPPER(TRIM(SUBSTITUTE(K26,CHAR(160)," "))),G72:U72,G74:U74,0))*J26*IF(G26&gt;0,G26,1),0)</f>
        <v>0</v>
      </c>
      <c r="R26" s="106">
        <f>IF(T10&lt;&gt;0,G26*L26*L10,0)</f>
        <v>0</v>
      </c>
      <c r="S26" s="1747">
        <f t="shared" si="1"/>
        <v>0</v>
      </c>
      <c r="T26" s="99">
        <f>IF(OR(ISBLANK(T10),T10=0),0,Q26*L26*L10)</f>
        <v>0</v>
      </c>
      <c r="U26" s="1367">
        <f>IF(J26="",0,IF(K26="","",IF(COUNTIF(N71:U71,SUBSTITUTE(TRIM(K26)," (s)",""))+COUNTIF(N72:U72,SUBSTITUTE(TRIM(K26)," (s)",""))&gt;0,IF(ROUND(T26,3)&gt;=1,ROUND(T26,3)&amp;" L",MAX(1,ROUND(T26*100,0))&amp;" cl"),IF(COUNTIF(G71:L71,SUBSTITUTE(TRIM(K26)," (s)",""))+COUNTIF(G72:L72,SUBSTITUTE(TRIM(K26)," (s)",""))&gt;0,IF(ROUND(T26,3)&gt;=1,ROUND(T26,3)&amp;" Kg",MAX(1,ROUND(T26*1000,0))&amp;" g"),""))))</f>
        <v>0</v>
      </c>
    </row>
    <row r="27" spans="2:21" ht="21" customHeight="1">
      <c r="B27" s="103" t="str">
        <f t="shared" si="2"/>
        <v>►</v>
      </c>
      <c r="C27" s="31" t="str">
        <f>C11</f>
        <v>MAJUSCULE(GAUCHE(J21;1))&amp;" "&amp;J21&amp;" | "&amp;S21&amp;"| "&amp;J23&amp;" "&amp;K23</v>
      </c>
      <c r="D27" s="32">
        <f>D11</f>
        <v>1</v>
      </c>
      <c r="E27" s="31" t="str">
        <f>E11</f>
        <v>coupe</v>
      </c>
      <c r="F27" s="33" t="str">
        <f>F11</f>
        <v>Recette mère ► MILLE-FEUILLE  aux fraises des bois</v>
      </c>
      <c r="G27" s="89"/>
      <c r="H27" s="108"/>
      <c r="I27" s="91" t="str">
        <f t="shared" si="0"/>
        <v/>
      </c>
      <c r="J27" s="92"/>
      <c r="K27" s="6132"/>
      <c r="L27" s="130">
        <v>1</v>
      </c>
      <c r="M27" s="6131" t="str">
        <f>ROWS(M15:M27)&amp;" ►"</f>
        <v>13 ►</v>
      </c>
      <c r="N27" s="1580"/>
      <c r="O27" s="95">
        <f>IF(Q70=0,0,(Q27/Q70)*P14*1000)</f>
        <v>0</v>
      </c>
      <c r="P27" s="105">
        <f>IF(Q70=0, 0, (G27*L27)/(Q70*P14))</f>
        <v>0</v>
      </c>
      <c r="Q27" s="97">
        <f>IFERROR(_xlfn.XLOOKUP(UPPER(TRIM(SUBSTITUTE(K27,CHAR(160)," "))),G71:U71,G73:U73,_xlfn.XLOOKUP(UPPER(TRIM(SUBSTITUTE(K27,CHAR(160)," "))),G72:U72,G74:U74,0))*J27*IF(G27&gt;0,G27,1),0)</f>
        <v>0</v>
      </c>
      <c r="R27" s="110">
        <f>IF(T10&lt;&gt;0,G27*L27*L10,0)</f>
        <v>0</v>
      </c>
      <c r="S27" s="1748">
        <f t="shared" si="1"/>
        <v>0</v>
      </c>
      <c r="T27" s="99">
        <f>IF(OR(ISBLANK(T10),T10=0),0,Q27*L27*L10)</f>
        <v>0</v>
      </c>
      <c r="U27" s="1617">
        <f>IF(J27="",0,IF(K27="","",IF(COUNTIF(N71:U71,SUBSTITUTE(TRIM(K27)," (s)",""))+COUNTIF(N72:U72,SUBSTITUTE(TRIM(K27)," (s)",""))&gt;0,IF(ROUND(T27,3)&gt;=1,ROUND(T27,3)&amp;" L",MAX(1,ROUND(T27*100,0))&amp;" cl"),IF(COUNTIF(G71:L71,SUBSTITUTE(TRIM(K27)," (s)",""))+COUNTIF(G72:L72,SUBSTITUTE(TRIM(K27)," (s)",""))&gt;0,IF(ROUND(T27,3)&gt;=1,ROUND(T27,3)&amp;" Kg",MAX(1,ROUND(T27*1000,0))&amp;" g"),""))))</f>
        <v>0</v>
      </c>
    </row>
    <row r="28" spans="2:21" ht="21" customHeight="1">
      <c r="B28" s="103" t="str">
        <f t="shared" si="2"/>
        <v>►</v>
      </c>
      <c r="C28" s="31" t="str">
        <f>C11</f>
        <v>MAJUSCULE(GAUCHE(J21;1))&amp;" "&amp;J21&amp;" | "&amp;S21&amp;"| "&amp;J23&amp;" "&amp;K23</v>
      </c>
      <c r="D28" s="32">
        <f>D11</f>
        <v>1</v>
      </c>
      <c r="E28" s="31" t="str">
        <f>E11</f>
        <v>coupe</v>
      </c>
      <c r="F28" s="33" t="str">
        <f>F11</f>
        <v>Recette mère ► MILLE-FEUILLE  aux fraises des bois</v>
      </c>
      <c r="G28" s="89"/>
      <c r="H28" s="108"/>
      <c r="I28" s="91" t="str">
        <f t="shared" si="0"/>
        <v/>
      </c>
      <c r="J28" s="92"/>
      <c r="K28" s="6132"/>
      <c r="L28" s="130">
        <v>1</v>
      </c>
      <c r="M28" s="6131" t="str">
        <f>ROWS(M15:M28)&amp;" ►"</f>
        <v>14 ►</v>
      </c>
      <c r="N28" s="1580"/>
      <c r="O28" s="95">
        <f>IF(Q70=0,0,(Q28/Q70)*P14*1000)</f>
        <v>0</v>
      </c>
      <c r="P28" s="105">
        <f>IF(Q70=0, 0, (G28*L28)/(Q70*P14))</f>
        <v>0</v>
      </c>
      <c r="Q28" s="97">
        <f>IFERROR(_xlfn.XLOOKUP(UPPER(TRIM(SUBSTITUTE(K28,CHAR(160)," "))),G71:U71,G73:U73,_xlfn.XLOOKUP(UPPER(TRIM(SUBSTITUTE(K28,CHAR(160)," "))),G72:U72,G74:U74,0))*J28*IF(G28&gt;0,G28,1),0)</f>
        <v>0</v>
      </c>
      <c r="R28" s="106">
        <f>IF(T10&lt;&gt;0,G28*L28*L10,0)</f>
        <v>0</v>
      </c>
      <c r="S28" s="1747">
        <f t="shared" si="1"/>
        <v>0</v>
      </c>
      <c r="T28" s="99">
        <f>IF(OR(ISBLANK(T10),T10=0),0,Q28*L28*L10)</f>
        <v>0</v>
      </c>
      <c r="U28" s="1367">
        <f>IF(J28="",0,IF(K28="","",IF(COUNTIF(N71:U71,SUBSTITUTE(TRIM(K28)," (s)",""))+COUNTIF(N72:U72,SUBSTITUTE(TRIM(K28)," (s)",""))&gt;0,IF(ROUND(T28,3)&gt;=1,ROUND(T28,3)&amp;" L",MAX(1,ROUND(T28*100,0))&amp;" cl"),IF(COUNTIF(G71:L71,SUBSTITUTE(TRIM(K28)," (s)",""))+COUNTIF(G72:L72,SUBSTITUTE(TRIM(K28)," (s)",""))&gt;0,IF(ROUND(T28,3)&gt;=1,ROUND(T28,3)&amp;" Kg",MAX(1,ROUND(T28*1000,0))&amp;" g"),""))))</f>
        <v>0</v>
      </c>
    </row>
    <row r="29" spans="2:21" ht="21" customHeight="1">
      <c r="B29" s="103" t="str">
        <f t="shared" si="2"/>
        <v>►</v>
      </c>
      <c r="C29" s="31" t="str">
        <f>C11</f>
        <v>MAJUSCULE(GAUCHE(J21;1))&amp;" "&amp;J21&amp;" | "&amp;S21&amp;"| "&amp;J23&amp;" "&amp;K23</v>
      </c>
      <c r="D29" s="32">
        <f>D11</f>
        <v>1</v>
      </c>
      <c r="E29" s="31" t="str">
        <f>E11</f>
        <v>coupe</v>
      </c>
      <c r="F29" s="33" t="str">
        <f>F11</f>
        <v>Recette mère ► MILLE-FEUILLE  aux fraises des bois</v>
      </c>
      <c r="G29" s="89"/>
      <c r="H29" s="108"/>
      <c r="I29" s="91" t="str">
        <f t="shared" si="0"/>
        <v/>
      </c>
      <c r="J29" s="92"/>
      <c r="K29" s="6132"/>
      <c r="L29" s="130">
        <v>1</v>
      </c>
      <c r="M29" s="6131" t="str">
        <f>ROWS(M15:M29)&amp;" ►"</f>
        <v>15 ►</v>
      </c>
      <c r="N29" s="1580"/>
      <c r="O29" s="95">
        <f>IF(Q70=0,0,(Q29/Q70)*P14*1000)</f>
        <v>0</v>
      </c>
      <c r="P29" s="105">
        <f>IF(Q70=0, 0, (G29*L29)/(Q70*P14))</f>
        <v>0</v>
      </c>
      <c r="Q29" s="97">
        <f>IFERROR(_xlfn.XLOOKUP(UPPER(TRIM(SUBSTITUTE(K29,CHAR(160)," "))),G71:U71,G73:U73,_xlfn.XLOOKUP(UPPER(TRIM(SUBSTITUTE(K29,CHAR(160)," "))),G72:U72,G74:U74,0))*J29*IF(G29&gt;0,G29,1),0)</f>
        <v>0</v>
      </c>
      <c r="R29" s="110">
        <f>IF(T10&lt;&gt;0,G29*L29*L10,0)</f>
        <v>0</v>
      </c>
      <c r="S29" s="1748">
        <f t="shared" si="1"/>
        <v>0</v>
      </c>
      <c r="T29" s="99">
        <f>IF(OR(ISBLANK(T10),T10=0),0,Q29*L29*L10)</f>
        <v>0</v>
      </c>
      <c r="U29" s="1617">
        <f>IF(J29="",0,IF(K29="","",IF(COUNTIF(N71:U71,SUBSTITUTE(TRIM(K29)," (s)",""))+COUNTIF(N72:U72,SUBSTITUTE(TRIM(K29)," (s)",""))&gt;0,IF(ROUND(T29,3)&gt;=1,ROUND(T29,3)&amp;" L",MAX(1,ROUND(T29*100,0))&amp;" cl"),IF(COUNTIF(G71:L71,SUBSTITUTE(TRIM(K29)," (s)",""))+COUNTIF(G72:L72,SUBSTITUTE(TRIM(K29)," (s)",""))&gt;0,IF(ROUND(T29,3)&gt;=1,ROUND(T29,3)&amp;" Kg",MAX(1,ROUND(T29*1000,0))&amp;" g"),""))))</f>
        <v>0</v>
      </c>
    </row>
    <row r="30" spans="2:21" ht="21" customHeight="1">
      <c r="B30" s="103" t="str">
        <f t="shared" si="2"/>
        <v>►</v>
      </c>
      <c r="C30" s="31" t="str">
        <f>C11</f>
        <v>MAJUSCULE(GAUCHE(J21;1))&amp;" "&amp;J21&amp;" | "&amp;S21&amp;"| "&amp;J23&amp;" "&amp;K23</v>
      </c>
      <c r="D30" s="32">
        <f>D11</f>
        <v>1</v>
      </c>
      <c r="E30" s="31" t="str">
        <f>E11</f>
        <v>coupe</v>
      </c>
      <c r="F30" s="33" t="str">
        <f>F11</f>
        <v>Recette mère ► MILLE-FEUILLE  aux fraises des bois</v>
      </c>
      <c r="G30" s="89"/>
      <c r="H30" s="108"/>
      <c r="I30" s="91" t="str">
        <f t="shared" si="0"/>
        <v/>
      </c>
      <c r="J30" s="92"/>
      <c r="K30" s="6132"/>
      <c r="L30" s="130">
        <v>1</v>
      </c>
      <c r="M30" s="6131" t="str">
        <f>ROWS(M15:M30)&amp;" ►"</f>
        <v>16 ►</v>
      </c>
      <c r="N30" s="1580"/>
      <c r="O30" s="95">
        <f>IF(Q70=0,0,(Q30/Q70)*P14*1000)</f>
        <v>0</v>
      </c>
      <c r="P30" s="105">
        <f>IF(Q70=0, 0, (G30*L30)/(Q70*P14))</f>
        <v>0</v>
      </c>
      <c r="Q30" s="97">
        <f>IFERROR(_xlfn.XLOOKUP(UPPER(TRIM(SUBSTITUTE(K30,CHAR(160)," "))),G71:U71,G73:U73,_xlfn.XLOOKUP(UPPER(TRIM(SUBSTITUTE(K30,CHAR(160)," "))),G72:U72,G74:U74,0))*J30*IF(G30&gt;0,G30,1),0)</f>
        <v>0</v>
      </c>
      <c r="R30" s="106">
        <f>IF(T10&lt;&gt;0,G30*L30*L10,0)</f>
        <v>0</v>
      </c>
      <c r="S30" s="1747">
        <f t="shared" si="1"/>
        <v>0</v>
      </c>
      <c r="T30" s="99">
        <f>IF(OR(ISBLANK(T10),T10=0),0,Q30*L30*L10)</f>
        <v>0</v>
      </c>
      <c r="U30" s="1367">
        <f>IF(J30="",0,IF(K30="","",IF(COUNTIF(N71:U71,SUBSTITUTE(TRIM(K30)," (s)",""))+COUNTIF(N72:U72,SUBSTITUTE(TRIM(K30)," (s)",""))&gt;0,IF(ROUND(T30,3)&gt;=1,ROUND(T30,3)&amp;" L",MAX(1,ROUND(T30*100,0))&amp;" cl"),IF(COUNTIF(G71:L71,SUBSTITUTE(TRIM(K30)," (s)",""))+COUNTIF(G72:L72,SUBSTITUTE(TRIM(K30)," (s)",""))&gt;0,IF(ROUND(T30,3)&gt;=1,ROUND(T30,3)&amp;" Kg",MAX(1,ROUND(T30*1000,0))&amp;" g"),""))))</f>
        <v>0</v>
      </c>
    </row>
    <row r="31" spans="2:21" ht="21" customHeight="1">
      <c r="B31" s="103" t="str">
        <f t="shared" si="2"/>
        <v>►</v>
      </c>
      <c r="C31" s="31" t="str">
        <f>C11</f>
        <v>MAJUSCULE(GAUCHE(J21;1))&amp;" "&amp;J21&amp;" | "&amp;S21&amp;"| "&amp;J23&amp;" "&amp;K23</v>
      </c>
      <c r="D31" s="32">
        <f>D11</f>
        <v>1</v>
      </c>
      <c r="E31" s="31" t="str">
        <f>E11</f>
        <v>coupe</v>
      </c>
      <c r="F31" s="33" t="str">
        <f>F11</f>
        <v>Recette mère ► MILLE-FEUILLE  aux fraises des bois</v>
      </c>
      <c r="G31" s="89"/>
      <c r="H31" s="108"/>
      <c r="I31" s="91" t="str">
        <f t="shared" si="0"/>
        <v/>
      </c>
      <c r="J31" s="92"/>
      <c r="K31" s="6132"/>
      <c r="L31" s="130">
        <v>1</v>
      </c>
      <c r="M31" s="6131" t="str">
        <f>ROWS(M15:M31)&amp;" ►"</f>
        <v>17 ►</v>
      </c>
      <c r="N31" s="1580"/>
      <c r="O31" s="95">
        <f>IF(Q70=0,0,(Q31/Q70)*P14*1000)</f>
        <v>0</v>
      </c>
      <c r="P31" s="105">
        <f>IF(Q70=0, 0, (G31*L31)/(Q70*P14))</f>
        <v>0</v>
      </c>
      <c r="Q31" s="97">
        <f>IFERROR(_xlfn.XLOOKUP(UPPER(TRIM(SUBSTITUTE(K31,CHAR(160)," "))),G71:U71,G73:U73,_xlfn.XLOOKUP(UPPER(TRIM(SUBSTITUTE(K31,CHAR(160)," "))),G72:U72,G74:U74,0))*J31*IF(G31&gt;0,G31,1),0)</f>
        <v>0</v>
      </c>
      <c r="R31" s="110">
        <f>IF(T10&lt;&gt;0,G31*L31*L10,0)</f>
        <v>0</v>
      </c>
      <c r="S31" s="1748">
        <f t="shared" si="1"/>
        <v>0</v>
      </c>
      <c r="T31" s="99">
        <f>IF(OR(ISBLANK(T10),T10=0),0,Q31*L31*L10)</f>
        <v>0</v>
      </c>
      <c r="U31" s="1617">
        <f>IF(J31="",0,IF(K31="","",IF(COUNTIF(N71:U71,SUBSTITUTE(TRIM(K31)," (s)",""))+COUNTIF(N72:U72,SUBSTITUTE(TRIM(K31)," (s)",""))&gt;0,IF(ROUND(T31,3)&gt;=1,ROUND(T31,3)&amp;" L",MAX(1,ROUND(T31*100,0))&amp;" cl"),IF(COUNTIF(G71:L71,SUBSTITUTE(TRIM(K31)," (s)",""))+COUNTIF(G72:L72,SUBSTITUTE(TRIM(K31)," (s)",""))&gt;0,IF(ROUND(T31,3)&gt;=1,ROUND(T31,3)&amp;" Kg",MAX(1,ROUND(T31*1000,0))&amp;" g"),""))))</f>
        <v>0</v>
      </c>
    </row>
    <row r="32" spans="2:21" ht="21" customHeight="1">
      <c r="B32" s="103" t="str">
        <f t="shared" si="2"/>
        <v>►</v>
      </c>
      <c r="C32" s="31" t="str">
        <f>C11</f>
        <v>MAJUSCULE(GAUCHE(J21;1))&amp;" "&amp;J21&amp;" | "&amp;S21&amp;"| "&amp;J23&amp;" "&amp;K23</v>
      </c>
      <c r="D32" s="32">
        <f>D11</f>
        <v>1</v>
      </c>
      <c r="E32" s="31" t="str">
        <f>E11</f>
        <v>coupe</v>
      </c>
      <c r="F32" s="33" t="str">
        <f>F11</f>
        <v>Recette mère ► MILLE-FEUILLE  aux fraises des bois</v>
      </c>
      <c r="G32" s="89"/>
      <c r="H32" s="108"/>
      <c r="I32" s="91" t="str">
        <f t="shared" si="0"/>
        <v/>
      </c>
      <c r="J32" s="92"/>
      <c r="K32" s="6132"/>
      <c r="L32" s="130">
        <v>1</v>
      </c>
      <c r="M32" s="6131" t="str">
        <f>ROWS(M15:M32)&amp;" ►"</f>
        <v>18 ►</v>
      </c>
      <c r="N32" s="1580"/>
      <c r="O32" s="95">
        <f>IF(Q70=0,0,(Q32/Q70)*P14*1000)</f>
        <v>0</v>
      </c>
      <c r="P32" s="105">
        <f>IF(Q70=0, 0, (G32*L32)/(Q70*P14))</f>
        <v>0</v>
      </c>
      <c r="Q32" s="97">
        <f>IFERROR(_xlfn.XLOOKUP(UPPER(TRIM(SUBSTITUTE(K32,CHAR(160)," "))),G71:U71,G73:U73,_xlfn.XLOOKUP(UPPER(TRIM(SUBSTITUTE(K32,CHAR(160)," "))),G72:U72,G74:U74,0))*J32*IF(G32&gt;0,G32,1),0)</f>
        <v>0</v>
      </c>
      <c r="R32" s="106">
        <f>IF(T10&lt;&gt;0,G32*L32*L10,0)</f>
        <v>0</v>
      </c>
      <c r="S32" s="1747">
        <f t="shared" si="1"/>
        <v>0</v>
      </c>
      <c r="T32" s="99">
        <f>IF(OR(ISBLANK(T10),T10=0),0,Q32*L32*L10)</f>
        <v>0</v>
      </c>
      <c r="U32" s="1367">
        <f>IF(J32="",0,IF(K32="","",IF(COUNTIF(N71:U71,SUBSTITUTE(TRIM(K32)," (s)",""))+COUNTIF(N72:U72,SUBSTITUTE(TRIM(K32)," (s)",""))&gt;0,IF(ROUND(T32,3)&gt;=1,ROUND(T32,3)&amp;" L",MAX(1,ROUND(T32*100,0))&amp;" cl"),IF(COUNTIF(G71:L71,SUBSTITUTE(TRIM(K32)," (s)",""))+COUNTIF(G72:L72,SUBSTITUTE(TRIM(K32)," (s)",""))&gt;0,IF(ROUND(T32,3)&gt;=1,ROUND(T32,3)&amp;" Kg",MAX(1,ROUND(T32*1000,0))&amp;" g"),""))))</f>
        <v>0</v>
      </c>
    </row>
    <row r="33" spans="2:21" ht="21" customHeight="1">
      <c r="B33" s="103" t="str">
        <f t="shared" si="2"/>
        <v>►</v>
      </c>
      <c r="C33" s="31" t="str">
        <f>C11</f>
        <v>MAJUSCULE(GAUCHE(J21;1))&amp;" "&amp;J21&amp;" | "&amp;S21&amp;"| "&amp;J23&amp;" "&amp;K23</v>
      </c>
      <c r="D33" s="32">
        <f>D11</f>
        <v>1</v>
      </c>
      <c r="E33" s="31" t="str">
        <f>E11</f>
        <v>coupe</v>
      </c>
      <c r="F33" s="33" t="str">
        <f>F11</f>
        <v>Recette mère ► MILLE-FEUILLE  aux fraises des bois</v>
      </c>
      <c r="G33" s="89"/>
      <c r="H33" s="108"/>
      <c r="I33" s="91" t="str">
        <f t="shared" si="0"/>
        <v/>
      </c>
      <c r="J33" s="92"/>
      <c r="K33" s="6132"/>
      <c r="L33" s="130">
        <v>1</v>
      </c>
      <c r="M33" s="6131" t="str">
        <f>ROWS(M15:M33)&amp;" ►"</f>
        <v>19 ►</v>
      </c>
      <c r="N33" s="1580"/>
      <c r="O33" s="95">
        <f>IF(Q70=0,0,(Q33/Q70)*P14*1000)</f>
        <v>0</v>
      </c>
      <c r="P33" s="105">
        <f>IF(Q70=0, 0, (G33*L33)/(Q70*P14))</f>
        <v>0</v>
      </c>
      <c r="Q33" s="97">
        <f>IFERROR(_xlfn.XLOOKUP(UPPER(TRIM(SUBSTITUTE(K33,CHAR(160)," "))),G71:U71,G73:U73,_xlfn.XLOOKUP(UPPER(TRIM(SUBSTITUTE(K33,CHAR(160)," "))),G72:U72,G74:U74,0))*J33*IF(G33&gt;0,G33,1),0)</f>
        <v>0</v>
      </c>
      <c r="R33" s="110">
        <f>IF(T10&lt;&gt;0,G33*L33*L10,0)</f>
        <v>0</v>
      </c>
      <c r="S33" s="1748">
        <f t="shared" si="1"/>
        <v>0</v>
      </c>
      <c r="T33" s="99">
        <f>IF(OR(ISBLANK(T10),T10=0),0,Q33*L33*L10)</f>
        <v>0</v>
      </c>
      <c r="U33" s="1617">
        <f>IF(J33="",0,IF(K33="","",IF(COUNTIF(N71:U71,SUBSTITUTE(TRIM(K33)," (s)",""))+COUNTIF(N72:U72,SUBSTITUTE(TRIM(K33)," (s)",""))&gt;0,IF(ROUND(T33,3)&gt;=1,ROUND(T33,3)&amp;" L",MAX(1,ROUND(T33*100,0))&amp;" cl"),IF(COUNTIF(G71:L71,SUBSTITUTE(TRIM(K33)," (s)",""))+COUNTIF(G72:L72,SUBSTITUTE(TRIM(K33)," (s)",""))&gt;0,IF(ROUND(T33,3)&gt;=1,ROUND(T33,3)&amp;" Kg",MAX(1,ROUND(T33*1000,0))&amp;" g"),""))))</f>
        <v>0</v>
      </c>
    </row>
    <row r="34" spans="2:21" ht="21" customHeight="1">
      <c r="B34" s="103" t="str">
        <f t="shared" si="2"/>
        <v>►</v>
      </c>
      <c r="C34" s="31" t="str">
        <f>C11</f>
        <v>MAJUSCULE(GAUCHE(J21;1))&amp;" "&amp;J21&amp;" | "&amp;S21&amp;"| "&amp;J23&amp;" "&amp;K23</v>
      </c>
      <c r="D34" s="32">
        <f>D11</f>
        <v>1</v>
      </c>
      <c r="E34" s="31" t="str">
        <f>E11</f>
        <v>coupe</v>
      </c>
      <c r="F34" s="33" t="str">
        <f>F11</f>
        <v>Recette mère ► MILLE-FEUILLE  aux fraises des bois</v>
      </c>
      <c r="G34" s="89"/>
      <c r="H34" s="108"/>
      <c r="I34" s="91" t="str">
        <f t="shared" si="0"/>
        <v/>
      </c>
      <c r="J34" s="92"/>
      <c r="K34" s="6132"/>
      <c r="L34" s="130">
        <v>1</v>
      </c>
      <c r="M34" s="6131" t="str">
        <f>ROWS(M15:M34)&amp;" ►"</f>
        <v>20 ►</v>
      </c>
      <c r="N34" s="1580"/>
      <c r="O34" s="95">
        <f>IF(Q70=0,0,(Q34/Q70)*P14*1000)</f>
        <v>0</v>
      </c>
      <c r="P34" s="105">
        <f>IF(Q70=0, 0, (G34*L34)/(Q70*P14))</f>
        <v>0</v>
      </c>
      <c r="Q34" s="97">
        <f>IFERROR(_xlfn.XLOOKUP(UPPER(TRIM(SUBSTITUTE(K34,CHAR(160)," "))),G71:U71,G73:U73,_xlfn.XLOOKUP(UPPER(TRIM(SUBSTITUTE(K34,CHAR(160)," "))),G72:U72,G74:U74,0))*J34*IF(G34&gt;0,G34,1),0)</f>
        <v>0</v>
      </c>
      <c r="R34" s="106">
        <f>IF(T10&lt;&gt;0,G34*L34*L10,0)</f>
        <v>0</v>
      </c>
      <c r="S34" s="1747">
        <f t="shared" si="1"/>
        <v>0</v>
      </c>
      <c r="T34" s="99">
        <f>IF(OR(ISBLANK(T10),T10=0),0,Q34*L34*L10)</f>
        <v>0</v>
      </c>
      <c r="U34" s="1367">
        <f>IF(J34="",0,IF(K34="","",IF(COUNTIF(N71:U71,SUBSTITUTE(TRIM(K34)," (s)",""))+COUNTIF(N72:U72,SUBSTITUTE(TRIM(K34)," (s)",""))&gt;0,IF(ROUND(T34,3)&gt;=1,ROUND(T34,3)&amp;" L",MAX(1,ROUND(T34*100,0))&amp;" cl"),IF(COUNTIF(G71:L71,SUBSTITUTE(TRIM(K34)," (s)",""))+COUNTIF(G72:L72,SUBSTITUTE(TRIM(K34)," (s)",""))&gt;0,IF(ROUND(T34,3)&gt;=1,ROUND(T34,3)&amp;" Kg",MAX(1,ROUND(T34*1000,0))&amp;" g"),""))))</f>
        <v>0</v>
      </c>
    </row>
    <row r="35" spans="2:21" ht="21" customHeight="1">
      <c r="B35" s="103" t="str">
        <f t="shared" si="2"/>
        <v>►</v>
      </c>
      <c r="C35" s="31" t="str">
        <f>C11</f>
        <v>MAJUSCULE(GAUCHE(J21;1))&amp;" "&amp;J21&amp;" | "&amp;S21&amp;"| "&amp;J23&amp;" "&amp;K23</v>
      </c>
      <c r="D35" s="32">
        <f>D11</f>
        <v>1</v>
      </c>
      <c r="E35" s="31" t="str">
        <f>E11</f>
        <v>coupe</v>
      </c>
      <c r="F35" s="33" t="str">
        <f>F11</f>
        <v>Recette mère ► MILLE-FEUILLE  aux fraises des bois</v>
      </c>
      <c r="G35" s="89"/>
      <c r="H35" s="108"/>
      <c r="I35" s="91" t="str">
        <f t="shared" si="0"/>
        <v/>
      </c>
      <c r="J35" s="92"/>
      <c r="K35" s="6132"/>
      <c r="L35" s="130">
        <v>1</v>
      </c>
      <c r="M35" s="6131" t="str">
        <f>ROWS(M15:M35)&amp;" ►"</f>
        <v>21 ►</v>
      </c>
      <c r="N35" s="1580"/>
      <c r="O35" s="95">
        <f>IF(Q70=0,0,(Q35/Q70)*P14*1000)</f>
        <v>0</v>
      </c>
      <c r="P35" s="105">
        <f>IF(Q70=0, 0, (G35*L35)/(Q70*P14))</f>
        <v>0</v>
      </c>
      <c r="Q35" s="97">
        <f>IFERROR(_xlfn.XLOOKUP(UPPER(TRIM(SUBSTITUTE(K35,CHAR(160)," "))),G71:U71,G73:U73,_xlfn.XLOOKUP(UPPER(TRIM(SUBSTITUTE(K35,CHAR(160)," "))),G72:U72,G74:U74,0))*J35*IF(G35&gt;0,G35,1),0)</f>
        <v>0</v>
      </c>
      <c r="R35" s="110">
        <f>IF(T10&lt;&gt;0,G35*L35*L10,0)</f>
        <v>0</v>
      </c>
      <c r="S35" s="1748">
        <f t="shared" si="1"/>
        <v>0</v>
      </c>
      <c r="T35" s="99">
        <f>IF(OR(ISBLANK(T10),T10=0),0,Q35*L35*L10)</f>
        <v>0</v>
      </c>
      <c r="U35" s="1617">
        <f>IF(J35="",0,IF(K35="","",IF(COUNTIF(N71:U71,SUBSTITUTE(TRIM(K35)," (s)",""))+COUNTIF(N72:U72,SUBSTITUTE(TRIM(K35)," (s)",""))&gt;0,IF(ROUND(T35,3)&gt;=1,ROUND(T35,3)&amp;" L",MAX(1,ROUND(T35*100,0))&amp;" cl"),IF(COUNTIF(G71:L71,SUBSTITUTE(TRIM(K35)," (s)",""))+COUNTIF(G72:L72,SUBSTITUTE(TRIM(K35)," (s)",""))&gt;0,IF(ROUND(T35,3)&gt;=1,ROUND(T35,3)&amp;" Kg",MAX(1,ROUND(T35*1000,0))&amp;" g"),""))))</f>
        <v>0</v>
      </c>
    </row>
    <row r="36" spans="2:21" ht="21" customHeight="1">
      <c r="B36" s="103" t="str">
        <f t="shared" si="2"/>
        <v>►</v>
      </c>
      <c r="C36" s="31" t="str">
        <f>C11</f>
        <v>MAJUSCULE(GAUCHE(J21;1))&amp;" "&amp;J21&amp;" | "&amp;S21&amp;"| "&amp;J23&amp;" "&amp;K23</v>
      </c>
      <c r="D36" s="32">
        <f>D11</f>
        <v>1</v>
      </c>
      <c r="E36" s="31" t="str">
        <f>E11</f>
        <v>coupe</v>
      </c>
      <c r="F36" s="33" t="str">
        <f>F11</f>
        <v>Recette mère ► MILLE-FEUILLE  aux fraises des bois</v>
      </c>
      <c r="G36" s="89"/>
      <c r="H36" s="108"/>
      <c r="I36" s="91" t="str">
        <f t="shared" si="0"/>
        <v/>
      </c>
      <c r="J36" s="92"/>
      <c r="K36" s="6132"/>
      <c r="L36" s="130">
        <v>1</v>
      </c>
      <c r="M36" s="6131" t="str">
        <f>ROWS(M15:M36)&amp;" ►"</f>
        <v>22 ►</v>
      </c>
      <c r="N36" s="1580"/>
      <c r="O36" s="95">
        <f>IF(Q70=0,0,(Q36/Q70)*P14*1000)</f>
        <v>0</v>
      </c>
      <c r="P36" s="105">
        <f>IF(Q70=0, 0, (G36*L36)/(Q70*P14))</f>
        <v>0</v>
      </c>
      <c r="Q36" s="97">
        <f>IFERROR(_xlfn.XLOOKUP(UPPER(TRIM(SUBSTITUTE(K36,CHAR(160)," "))),G71:U71,G73:U73,_xlfn.XLOOKUP(UPPER(TRIM(SUBSTITUTE(K36,CHAR(160)," "))),G72:U72,G74:U74,0))*J36*IF(G36&gt;0,G36,1),0)</f>
        <v>0</v>
      </c>
      <c r="R36" s="106">
        <f>IF(T10&lt;&gt;0,G36*L36*L10,0)</f>
        <v>0</v>
      </c>
      <c r="S36" s="1747">
        <f t="shared" si="1"/>
        <v>0</v>
      </c>
      <c r="T36" s="99">
        <f>IF(OR(ISBLANK(T10),T10=0),0,Q36*L36*L10)</f>
        <v>0</v>
      </c>
      <c r="U36" s="1367">
        <f>IF(J36="",0,IF(K36="","",IF(COUNTIF(N71:U71,SUBSTITUTE(TRIM(K36)," (s)",""))+COUNTIF(N72:U72,SUBSTITUTE(TRIM(K36)," (s)",""))&gt;0,IF(ROUND(T36,3)&gt;=1,ROUND(T36,3)&amp;" L",MAX(1,ROUND(T36*100,0))&amp;" cl"),IF(COUNTIF(G71:L71,SUBSTITUTE(TRIM(K36)," (s)",""))+COUNTIF(G72:L72,SUBSTITUTE(TRIM(K36)," (s)",""))&gt;0,IF(ROUND(T36,3)&gt;=1,ROUND(T36,3)&amp;" Kg",MAX(1,ROUND(T36*1000,0))&amp;" g"),""))))</f>
        <v>0</v>
      </c>
    </row>
    <row r="37" spans="2:21" ht="21" customHeight="1">
      <c r="B37" s="103" t="str">
        <f t="shared" si="2"/>
        <v>►</v>
      </c>
      <c r="C37" s="31" t="str">
        <f>C11</f>
        <v>MAJUSCULE(GAUCHE(J21;1))&amp;" "&amp;J21&amp;" | "&amp;S21&amp;"| "&amp;J23&amp;" "&amp;K23</v>
      </c>
      <c r="D37" s="32">
        <f>D11</f>
        <v>1</v>
      </c>
      <c r="E37" s="31" t="str">
        <f>E11</f>
        <v>coupe</v>
      </c>
      <c r="F37" s="33" t="str">
        <f>F11</f>
        <v>Recette mère ► MILLE-FEUILLE  aux fraises des bois</v>
      </c>
      <c r="G37" s="89"/>
      <c r="H37" s="108"/>
      <c r="I37" s="91" t="str">
        <f t="shared" si="0"/>
        <v/>
      </c>
      <c r="J37" s="92"/>
      <c r="K37" s="6132"/>
      <c r="L37" s="130">
        <v>1</v>
      </c>
      <c r="M37" s="6131" t="str">
        <f>ROWS(M15:M37)&amp;" ►"</f>
        <v>23 ►</v>
      </c>
      <c r="N37" s="1580"/>
      <c r="O37" s="95">
        <f>IF(Q70=0,0,(Q37/Q70)*P14*1000)</f>
        <v>0</v>
      </c>
      <c r="P37" s="105">
        <f>IF(Q70=0, 0, (G37*L37)/(Q70*P14))</f>
        <v>0</v>
      </c>
      <c r="Q37" s="97">
        <f>IFERROR(_xlfn.XLOOKUP(UPPER(TRIM(SUBSTITUTE(K37,CHAR(160)," "))),G71:U71,G73:U73,_xlfn.XLOOKUP(UPPER(TRIM(SUBSTITUTE(K37,CHAR(160)," "))),G72:U72,G74:U74,0))*J37*IF(G37&gt;0,G37,1),0)</f>
        <v>0</v>
      </c>
      <c r="R37" s="110">
        <f>IF(T10&lt;&gt;0,G37*L37*L10,0)</f>
        <v>0</v>
      </c>
      <c r="S37" s="1748">
        <f t="shared" si="1"/>
        <v>0</v>
      </c>
      <c r="T37" s="99">
        <f>IF(OR(ISBLANK(T10),T10=0),0,Q37*L37*L10)</f>
        <v>0</v>
      </c>
      <c r="U37" s="1617">
        <f>IF(J37="",0,IF(K37="","",IF(COUNTIF(N71:U71,SUBSTITUTE(TRIM(K37)," (s)",""))+COUNTIF(N72:U72,SUBSTITUTE(TRIM(K37)," (s)",""))&gt;0,IF(ROUND(T37,3)&gt;=1,ROUND(T37,3)&amp;" L",MAX(1,ROUND(T37*100,0))&amp;" cl"),IF(COUNTIF(G71:L71,SUBSTITUTE(TRIM(K37)," (s)",""))+COUNTIF(G72:L72,SUBSTITUTE(TRIM(K37)," (s)",""))&gt;0,IF(ROUND(T37,3)&gt;=1,ROUND(T37,3)&amp;" Kg",MAX(1,ROUND(T37*1000,0))&amp;" g"),""))))</f>
        <v>0</v>
      </c>
    </row>
    <row r="38" spans="2:21" ht="21" customHeight="1">
      <c r="B38" s="103" t="str">
        <f t="shared" si="2"/>
        <v>►</v>
      </c>
      <c r="C38" s="31" t="str">
        <f>C11</f>
        <v>MAJUSCULE(GAUCHE(J21;1))&amp;" "&amp;J21&amp;" | "&amp;S21&amp;"| "&amp;J23&amp;" "&amp;K23</v>
      </c>
      <c r="D38" s="32">
        <f>D11</f>
        <v>1</v>
      </c>
      <c r="E38" s="31" t="str">
        <f>E11</f>
        <v>coupe</v>
      </c>
      <c r="F38" s="33" t="str">
        <f>F11</f>
        <v>Recette mère ► MILLE-FEUILLE  aux fraises des bois</v>
      </c>
      <c r="G38" s="89"/>
      <c r="H38" s="108"/>
      <c r="I38" s="91" t="str">
        <f t="shared" si="0"/>
        <v/>
      </c>
      <c r="J38" s="92"/>
      <c r="K38" s="6132"/>
      <c r="L38" s="130">
        <v>1</v>
      </c>
      <c r="M38" s="6131" t="str">
        <f>ROWS(M15:M38)&amp;" ►"</f>
        <v>24 ►</v>
      </c>
      <c r="N38" s="1580"/>
      <c r="O38" s="95">
        <f>IF(Q70=0,0,(Q38/Q70)*P14*1000)</f>
        <v>0</v>
      </c>
      <c r="P38" s="105">
        <f>IF(Q70=0, 0, (G38*L38)/(Q70*P14))</f>
        <v>0</v>
      </c>
      <c r="Q38" s="97">
        <f>IFERROR(_xlfn.XLOOKUP(UPPER(TRIM(SUBSTITUTE(K38,CHAR(160)," "))),G71:U71,G73:U73,_xlfn.XLOOKUP(UPPER(TRIM(SUBSTITUTE(K38,CHAR(160)," "))),G72:U72,G74:U74,0))*J38*IF(G38&gt;0,G38,1),0)</f>
        <v>0</v>
      </c>
      <c r="R38" s="106">
        <f>IF(T10&lt;&gt;0,G38*L38*L10,0)</f>
        <v>0</v>
      </c>
      <c r="S38" s="1747">
        <f t="shared" si="1"/>
        <v>0</v>
      </c>
      <c r="T38" s="99">
        <f>IF(OR(ISBLANK(T10),T10=0),0,Q38*L38*L10)</f>
        <v>0</v>
      </c>
      <c r="U38" s="1367">
        <f>IF(J38="",0,IF(K38="","",IF(COUNTIF(N71:U71,SUBSTITUTE(TRIM(K38)," (s)",""))+COUNTIF(N72:U72,SUBSTITUTE(TRIM(K38)," (s)",""))&gt;0,IF(ROUND(T38,3)&gt;=1,ROUND(T38,3)&amp;" L",MAX(1,ROUND(T38*100,0))&amp;" cl"),IF(COUNTIF(G71:L71,SUBSTITUTE(TRIM(K38)," (s)",""))+COUNTIF(G72:L72,SUBSTITUTE(TRIM(K38)," (s)",""))&gt;0,IF(ROUND(T38,3)&gt;=1,ROUND(T38,3)&amp;" Kg",MAX(1,ROUND(T38*1000,0))&amp;" g"),""))))</f>
        <v>0</v>
      </c>
    </row>
    <row r="39" spans="2:21" ht="21" customHeight="1">
      <c r="B39" s="103" t="str">
        <f t="shared" si="2"/>
        <v>►</v>
      </c>
      <c r="C39" s="31" t="str">
        <f>C11</f>
        <v>MAJUSCULE(GAUCHE(J21;1))&amp;" "&amp;J21&amp;" | "&amp;S21&amp;"| "&amp;J23&amp;" "&amp;K23</v>
      </c>
      <c r="D39" s="32">
        <f>D11</f>
        <v>1</v>
      </c>
      <c r="E39" s="31" t="str">
        <f>E11</f>
        <v>coupe</v>
      </c>
      <c r="F39" s="33" t="str">
        <f>F11</f>
        <v>Recette mère ► MILLE-FEUILLE  aux fraises des bois</v>
      </c>
      <c r="G39" s="89"/>
      <c r="H39" s="108"/>
      <c r="I39" s="91" t="str">
        <f t="shared" si="0"/>
        <v/>
      </c>
      <c r="J39" s="92"/>
      <c r="K39" s="6132"/>
      <c r="L39" s="130">
        <v>1</v>
      </c>
      <c r="M39" s="6131" t="str">
        <f>ROWS(M15:M39)&amp;" ►"</f>
        <v>25 ►</v>
      </c>
      <c r="N39" s="1580"/>
      <c r="O39" s="95">
        <f>IF(Q70=0,0,(Q39/Q70)*P14*1000)</f>
        <v>0</v>
      </c>
      <c r="P39" s="105">
        <f>IF(Q70=0, 0, (G39*L39)/(Q70*P14))</f>
        <v>0</v>
      </c>
      <c r="Q39" s="97">
        <f>IFERROR(_xlfn.XLOOKUP(UPPER(TRIM(SUBSTITUTE(K39,CHAR(160)," "))),G71:U71,G73:U73,_xlfn.XLOOKUP(UPPER(TRIM(SUBSTITUTE(K39,CHAR(160)," "))),G72:U72,G74:U74,0))*J39*IF(G39&gt;0,G39,1),0)</f>
        <v>0</v>
      </c>
      <c r="R39" s="110">
        <f>IF(T10&lt;&gt;0,G39*L39*L10,0)</f>
        <v>0</v>
      </c>
      <c r="S39" s="1748">
        <f t="shared" si="1"/>
        <v>0</v>
      </c>
      <c r="T39" s="99">
        <f>IF(OR(ISBLANK(T10),T10=0),0,Q39*L39*L10)</f>
        <v>0</v>
      </c>
      <c r="U39" s="1617">
        <f>IF(J39="",0,IF(K39="","",IF(COUNTIF(N71:U71,SUBSTITUTE(TRIM(K39)," (s)",""))+COUNTIF(N72:U72,SUBSTITUTE(TRIM(K39)," (s)",""))&gt;0,IF(ROUND(T39,3)&gt;=1,ROUND(T39,3)&amp;" L",MAX(1,ROUND(T39*100,0))&amp;" cl"),IF(COUNTIF(G71:L71,SUBSTITUTE(TRIM(K39)," (s)",""))+COUNTIF(G72:L72,SUBSTITUTE(TRIM(K39)," (s)",""))&gt;0,IF(ROUND(T39,3)&gt;=1,ROUND(T39,3)&amp;" Kg",MAX(1,ROUND(T39*1000,0))&amp;" g"),""))))</f>
        <v>0</v>
      </c>
    </row>
    <row r="40" spans="2:21" ht="21" customHeight="1">
      <c r="B40" s="103" t="str">
        <f t="shared" si="2"/>
        <v>►</v>
      </c>
      <c r="C40" s="31" t="str">
        <f>C11</f>
        <v>MAJUSCULE(GAUCHE(J21;1))&amp;" "&amp;J21&amp;" | "&amp;S21&amp;"| "&amp;J23&amp;" "&amp;K23</v>
      </c>
      <c r="D40" s="32">
        <f>D11</f>
        <v>1</v>
      </c>
      <c r="E40" s="31" t="str">
        <f>E11</f>
        <v>coupe</v>
      </c>
      <c r="F40" s="33" t="str">
        <f>F11</f>
        <v>Recette mère ► MILLE-FEUILLE  aux fraises des bois</v>
      </c>
      <c r="G40" s="89"/>
      <c r="H40" s="108"/>
      <c r="I40" s="91" t="str">
        <f t="shared" si="0"/>
        <v/>
      </c>
      <c r="J40" s="92"/>
      <c r="K40" s="6132"/>
      <c r="L40" s="130">
        <v>1</v>
      </c>
      <c r="M40" s="6131" t="str">
        <f>ROWS(M15:M40)&amp;" ►"</f>
        <v>26 ►</v>
      </c>
      <c r="N40" s="1580"/>
      <c r="O40" s="95">
        <f>IF(Q70=0,0,(Q40/Q70)*P14*1000)</f>
        <v>0</v>
      </c>
      <c r="P40" s="105">
        <f>IF(Q70=0, 0, (G40*L40)/(Q70*P14))</f>
        <v>0</v>
      </c>
      <c r="Q40" s="97">
        <f>IFERROR(_xlfn.XLOOKUP(UPPER(TRIM(SUBSTITUTE(K40,CHAR(160)," "))),G71:U71,G73:U73,_xlfn.XLOOKUP(UPPER(TRIM(SUBSTITUTE(K40,CHAR(160)," "))),G72:U72,G74:U74,0))*J40*IF(G40&gt;0,G40,1),0)</f>
        <v>0</v>
      </c>
      <c r="R40" s="106">
        <f>IF(T10&lt;&gt;0,G40*L40*L10,0)</f>
        <v>0</v>
      </c>
      <c r="S40" s="1747">
        <f t="shared" si="1"/>
        <v>0</v>
      </c>
      <c r="T40" s="99">
        <f>IF(OR(ISBLANK(T10),T10=0),0,Q40*L40*L10)</f>
        <v>0</v>
      </c>
      <c r="U40" s="1367">
        <f>IF(J40="",0,IF(K40="","",IF(COUNTIF(N71:U71,SUBSTITUTE(TRIM(K40)," (s)",""))+COUNTIF(N72:U72,SUBSTITUTE(TRIM(K40)," (s)",""))&gt;0,IF(ROUND(T40,3)&gt;=1,ROUND(T40,3)&amp;" L",MAX(1,ROUND(T40*100,0))&amp;" cl"),IF(COUNTIF(G71:L71,SUBSTITUTE(TRIM(K40)," (s)",""))+COUNTIF(G72:L72,SUBSTITUTE(TRIM(K40)," (s)",""))&gt;0,IF(ROUND(T40,3)&gt;=1,ROUND(T40,3)&amp;" Kg",MAX(1,ROUND(T40*1000,0))&amp;" g"),""))))</f>
        <v>0</v>
      </c>
    </row>
    <row r="41" spans="2:21" ht="21" customHeight="1">
      <c r="B41" s="103" t="str">
        <f t="shared" si="2"/>
        <v>►</v>
      </c>
      <c r="C41" s="31" t="str">
        <f>C11</f>
        <v>MAJUSCULE(GAUCHE(J21;1))&amp;" "&amp;J21&amp;" | "&amp;S21&amp;"| "&amp;J23&amp;" "&amp;K23</v>
      </c>
      <c r="D41" s="32">
        <f>D11</f>
        <v>1</v>
      </c>
      <c r="E41" s="31" t="str">
        <f>E11</f>
        <v>coupe</v>
      </c>
      <c r="F41" s="33" t="str">
        <f>F11</f>
        <v>Recette mère ► MILLE-FEUILLE  aux fraises des bois</v>
      </c>
      <c r="G41" s="89"/>
      <c r="H41" s="108"/>
      <c r="I41" s="91" t="str">
        <f t="shared" si="0"/>
        <v/>
      </c>
      <c r="J41" s="92"/>
      <c r="K41" s="6132"/>
      <c r="L41" s="130">
        <v>1</v>
      </c>
      <c r="M41" s="6131" t="str">
        <f>ROWS(M15:M41)&amp;" ►"</f>
        <v>27 ►</v>
      </c>
      <c r="N41" s="1580"/>
      <c r="O41" s="95">
        <f>IF(Q70=0,0,(Q41/Q70)*P14*1000)</f>
        <v>0</v>
      </c>
      <c r="P41" s="105">
        <f>IF(Q70=0, 0, (G41*L41)/(Q70*P14))</f>
        <v>0</v>
      </c>
      <c r="Q41" s="97">
        <f>IFERROR(_xlfn.XLOOKUP(UPPER(TRIM(SUBSTITUTE(K41,CHAR(160)," "))),G71:U71,G73:U73,_xlfn.XLOOKUP(UPPER(TRIM(SUBSTITUTE(K41,CHAR(160)," "))),G72:U72,G74:U74,0))*J41*IF(G41&gt;0,G41,1),0)</f>
        <v>0</v>
      </c>
      <c r="R41" s="110">
        <f>IF(T10&lt;&gt;0,G41*L41*L10,0)</f>
        <v>0</v>
      </c>
      <c r="S41" s="1748">
        <f t="shared" si="1"/>
        <v>0</v>
      </c>
      <c r="T41" s="99">
        <f>IF(OR(ISBLANK(T10),T10=0),0,Q41*L41*L10)</f>
        <v>0</v>
      </c>
      <c r="U41" s="1617">
        <f>IF(J41="",0,IF(K41="","",IF(COUNTIF(N71:U71,SUBSTITUTE(TRIM(K41)," (s)",""))+COUNTIF(N72:U72,SUBSTITUTE(TRIM(K41)," (s)",""))&gt;0,IF(ROUND(T41,3)&gt;=1,ROUND(T41,3)&amp;" L",MAX(1,ROUND(T41*100,0))&amp;" cl"),IF(COUNTIF(G71:L71,SUBSTITUTE(TRIM(K41)," (s)",""))+COUNTIF(G72:L72,SUBSTITUTE(TRIM(K41)," (s)",""))&gt;0,IF(ROUND(T41,3)&gt;=1,ROUND(T41,3)&amp;" Kg",MAX(1,ROUND(T41*1000,0))&amp;" g"),""))))</f>
        <v>0</v>
      </c>
    </row>
    <row r="42" spans="2:21" ht="21" customHeight="1">
      <c r="B42" s="103" t="str">
        <f t="shared" si="2"/>
        <v>►</v>
      </c>
      <c r="C42" s="31" t="str">
        <f>C11</f>
        <v>MAJUSCULE(GAUCHE(J21;1))&amp;" "&amp;J21&amp;" | "&amp;S21&amp;"| "&amp;J23&amp;" "&amp;K23</v>
      </c>
      <c r="D42" s="32">
        <f>D11</f>
        <v>1</v>
      </c>
      <c r="E42" s="31" t="str">
        <f>E11</f>
        <v>coupe</v>
      </c>
      <c r="F42" s="33" t="str">
        <f>F11</f>
        <v>Recette mère ► MILLE-FEUILLE  aux fraises des bois</v>
      </c>
      <c r="G42" s="89"/>
      <c r="H42" s="108"/>
      <c r="I42" s="91" t="str">
        <f t="shared" si="0"/>
        <v/>
      </c>
      <c r="J42" s="92"/>
      <c r="K42" s="6132"/>
      <c r="L42" s="130">
        <v>1</v>
      </c>
      <c r="M42" s="6131" t="str">
        <f>ROWS(M15:M42)&amp;" ►"</f>
        <v>28 ►</v>
      </c>
      <c r="N42" s="1580"/>
      <c r="O42" s="95">
        <f>IF(Q70=0,0,(Q42/Q70)*P14*1000)</f>
        <v>0</v>
      </c>
      <c r="P42" s="105">
        <f>IF(Q70=0, 0, (G42*L42)/(Q70*P14))</f>
        <v>0</v>
      </c>
      <c r="Q42" s="97">
        <f>IFERROR(_xlfn.XLOOKUP(UPPER(TRIM(SUBSTITUTE(K42,CHAR(160)," "))),G71:U71,G73:U73,_xlfn.XLOOKUP(UPPER(TRIM(SUBSTITUTE(K42,CHAR(160)," "))),G72:U72,G74:U74,0))*J42*IF(G42&gt;0,G42,1),0)</f>
        <v>0</v>
      </c>
      <c r="R42" s="106">
        <f>IF(T10&lt;&gt;0,G42*L42*L10,0)</f>
        <v>0</v>
      </c>
      <c r="S42" s="1747">
        <f t="shared" si="1"/>
        <v>0</v>
      </c>
      <c r="T42" s="99">
        <f>IF(OR(ISBLANK(T10),T10=0),0,Q42*L42*L10)</f>
        <v>0</v>
      </c>
      <c r="U42" s="1367">
        <f>IF(J42="",0,IF(K42="","",IF(COUNTIF(N71:U71,SUBSTITUTE(TRIM(K42)," (s)",""))+COUNTIF(N72:U72,SUBSTITUTE(TRIM(K42)," (s)",""))&gt;0,IF(ROUND(T42,3)&gt;=1,ROUND(T42,3)&amp;" L",MAX(1,ROUND(T42*100,0))&amp;" cl"),IF(COUNTIF(G71:L71,SUBSTITUTE(TRIM(K42)," (s)",""))+COUNTIF(G72:L72,SUBSTITUTE(TRIM(K42)," (s)",""))&gt;0,IF(ROUND(T42,3)&gt;=1,ROUND(T42,3)&amp;" Kg",MAX(1,ROUND(T42*1000,0))&amp;" g"),""))))</f>
        <v>0</v>
      </c>
    </row>
    <row r="43" spans="2:21" ht="21" customHeight="1">
      <c r="B43" s="103" t="str">
        <f t="shared" si="2"/>
        <v>►</v>
      </c>
      <c r="C43" s="31" t="str">
        <f>C11</f>
        <v>MAJUSCULE(GAUCHE(J21;1))&amp;" "&amp;J21&amp;" | "&amp;S21&amp;"| "&amp;J23&amp;" "&amp;K23</v>
      </c>
      <c r="D43" s="32">
        <f>D11</f>
        <v>1</v>
      </c>
      <c r="E43" s="31" t="str">
        <f>E11</f>
        <v>coupe</v>
      </c>
      <c r="F43" s="33" t="str">
        <f>F11</f>
        <v>Recette mère ► MILLE-FEUILLE  aux fraises des bois</v>
      </c>
      <c r="G43" s="89"/>
      <c r="H43" s="108"/>
      <c r="I43" s="91" t="str">
        <f t="shared" si="0"/>
        <v/>
      </c>
      <c r="J43" s="92"/>
      <c r="K43" s="6132"/>
      <c r="L43" s="130">
        <v>1</v>
      </c>
      <c r="M43" s="6131" t="str">
        <f>ROWS(M15:M43)&amp;" ►"</f>
        <v>29 ►</v>
      </c>
      <c r="N43" s="1580"/>
      <c r="O43" s="95">
        <f>IF(Q70=0,0,(Q43/Q70)*P14*1000)</f>
        <v>0</v>
      </c>
      <c r="P43" s="105">
        <f>IF(Q70=0, 0, (G43*L43)/(Q70*P14))</f>
        <v>0</v>
      </c>
      <c r="Q43" s="97">
        <f>IFERROR(_xlfn.XLOOKUP(UPPER(TRIM(SUBSTITUTE(K43,CHAR(160)," "))),G71:U71,G73:U73,_xlfn.XLOOKUP(UPPER(TRIM(SUBSTITUTE(K43,CHAR(160)," "))),G72:U72,G74:U74,0))*J43*IF(G43&gt;0,G43,1),0)</f>
        <v>0</v>
      </c>
      <c r="R43" s="110">
        <f>IF(T10&lt;&gt;0,G43*L43*L10,0)</f>
        <v>0</v>
      </c>
      <c r="S43" s="1748">
        <f t="shared" si="1"/>
        <v>0</v>
      </c>
      <c r="T43" s="99">
        <f>IF(OR(ISBLANK(T10),T10=0),0,Q43*L43*L10)</f>
        <v>0</v>
      </c>
      <c r="U43" s="1617">
        <f>IF(J43="",0,IF(K43="","",IF(COUNTIF(N71:U71,SUBSTITUTE(TRIM(K43)," (s)",""))+COUNTIF(N72:U72,SUBSTITUTE(TRIM(K43)," (s)",""))&gt;0,IF(ROUND(T43,3)&gt;=1,ROUND(T43,3)&amp;" L",MAX(1,ROUND(T43*100,0))&amp;" cl"),IF(COUNTIF(G71:L71,SUBSTITUTE(TRIM(K43)," (s)",""))+COUNTIF(G72:L72,SUBSTITUTE(TRIM(K43)," (s)",""))&gt;0,IF(ROUND(T43,3)&gt;=1,ROUND(T43,3)&amp;" Kg",MAX(1,ROUND(T43*1000,0))&amp;" g"),""))))</f>
        <v>0</v>
      </c>
    </row>
    <row r="44" spans="2:21" ht="21" customHeight="1">
      <c r="B44" s="103" t="str">
        <f t="shared" si="2"/>
        <v>►</v>
      </c>
      <c r="C44" s="31" t="str">
        <f>C11</f>
        <v>MAJUSCULE(GAUCHE(J21;1))&amp;" "&amp;J21&amp;" | "&amp;S21&amp;"| "&amp;J23&amp;" "&amp;K23</v>
      </c>
      <c r="D44" s="32">
        <f>D11</f>
        <v>1</v>
      </c>
      <c r="E44" s="31" t="str">
        <f>E11</f>
        <v>coupe</v>
      </c>
      <c r="F44" s="33" t="str">
        <f>F11</f>
        <v>Recette mère ► MILLE-FEUILLE  aux fraises des bois</v>
      </c>
      <c r="G44" s="89"/>
      <c r="H44" s="108"/>
      <c r="I44" s="91" t="str">
        <f t="shared" si="0"/>
        <v/>
      </c>
      <c r="J44" s="92"/>
      <c r="K44" s="6132"/>
      <c r="L44" s="130">
        <v>1</v>
      </c>
      <c r="M44" s="6131" t="str">
        <f>ROWS(M15:M44)&amp;" ►"</f>
        <v>30 ►</v>
      </c>
      <c r="N44" s="1580"/>
      <c r="O44" s="95">
        <f>IF(Q70=0,0,(Q44/Q70)*P14*1000)</f>
        <v>0</v>
      </c>
      <c r="P44" s="105">
        <f>IF(Q70=0, 0, (G44*L44)/(Q70*P14))</f>
        <v>0</v>
      </c>
      <c r="Q44" s="97">
        <f>IFERROR(_xlfn.XLOOKUP(UPPER(TRIM(SUBSTITUTE(K44,CHAR(160)," "))),G71:U71,G73:U73,_xlfn.XLOOKUP(UPPER(TRIM(SUBSTITUTE(K44,CHAR(160)," "))),G72:U72,G74:U74,0))*J44*IF(G44&gt;0,G44,1),0)</f>
        <v>0</v>
      </c>
      <c r="R44" s="106">
        <f>IF(T10&lt;&gt;0,G44*L44*L10,0)</f>
        <v>0</v>
      </c>
      <c r="S44" s="1747">
        <f t="shared" si="1"/>
        <v>0</v>
      </c>
      <c r="T44" s="99">
        <f>IF(OR(ISBLANK(T10),T10=0),0,Q44*L44*L10)</f>
        <v>0</v>
      </c>
      <c r="U44" s="1367">
        <f>IF(J44="",0,IF(K44="","",IF(COUNTIF(N71:U71,SUBSTITUTE(TRIM(K44)," (s)",""))+COUNTIF(N72:U72,SUBSTITUTE(TRIM(K44)," (s)",""))&gt;0,IF(ROUND(T44,3)&gt;=1,ROUND(T44,3)&amp;" L",MAX(1,ROUND(T44*100,0))&amp;" cl"),IF(COUNTIF(G71:L71,SUBSTITUTE(TRIM(K44)," (s)",""))+COUNTIF(G72:L72,SUBSTITUTE(TRIM(K44)," (s)",""))&gt;0,IF(ROUND(T44,3)&gt;=1,ROUND(T44,3)&amp;" Kg",MAX(1,ROUND(T44*1000,0))&amp;" g"),""))))</f>
        <v>0</v>
      </c>
    </row>
    <row r="45" spans="2:21" ht="21" customHeight="1">
      <c r="B45" s="103" t="str">
        <f t="shared" si="2"/>
        <v>►</v>
      </c>
      <c r="C45" s="31" t="str">
        <f>C11</f>
        <v>MAJUSCULE(GAUCHE(J21;1))&amp;" "&amp;J21&amp;" | "&amp;S21&amp;"| "&amp;J23&amp;" "&amp;K23</v>
      </c>
      <c r="D45" s="32">
        <f>D11</f>
        <v>1</v>
      </c>
      <c r="E45" s="31" t="str">
        <f>E11</f>
        <v>coupe</v>
      </c>
      <c r="F45" s="33" t="str">
        <f>F11</f>
        <v>Recette mère ► MILLE-FEUILLE  aux fraises des bois</v>
      </c>
      <c r="G45" s="89"/>
      <c r="H45" s="108"/>
      <c r="I45" s="91" t="str">
        <f t="shared" si="0"/>
        <v/>
      </c>
      <c r="J45" s="92"/>
      <c r="K45" s="6132"/>
      <c r="L45" s="130">
        <v>1</v>
      </c>
      <c r="M45" s="6131" t="str">
        <f>ROWS(M15:M45)&amp;" ►"</f>
        <v>31 ►</v>
      </c>
      <c r="N45" s="1580"/>
      <c r="O45" s="95">
        <f>IF(Q70=0,0,(Q45/Q70)*P14*1000)</f>
        <v>0</v>
      </c>
      <c r="P45" s="105">
        <f>IF(Q70=0, 0, (G45*L45)/(Q70*P14))</f>
        <v>0</v>
      </c>
      <c r="Q45" s="97">
        <f>IFERROR(_xlfn.XLOOKUP(UPPER(TRIM(SUBSTITUTE(K45,CHAR(160)," "))),G71:U71,G73:U73,_xlfn.XLOOKUP(UPPER(TRIM(SUBSTITUTE(K45,CHAR(160)," "))),G72:U72,G74:U74,0))*J45*IF(G45&gt;0,G45,1),0)</f>
        <v>0</v>
      </c>
      <c r="R45" s="110">
        <f>IF(T10&lt;&gt;0,G45*L45*L10,0)</f>
        <v>0</v>
      </c>
      <c r="S45" s="1748">
        <f t="shared" si="1"/>
        <v>0</v>
      </c>
      <c r="T45" s="99">
        <f>IF(OR(ISBLANK(T10),T10=0),0,Q45*L45*L10)</f>
        <v>0</v>
      </c>
      <c r="U45" s="1617">
        <f>IF(J45="",0,IF(K45="","",IF(COUNTIF(N71:U71,SUBSTITUTE(TRIM(K45)," (s)",""))+COUNTIF(N72:U72,SUBSTITUTE(TRIM(K45)," (s)",""))&gt;0,IF(ROUND(T45,3)&gt;=1,ROUND(T45,3)&amp;" L",MAX(1,ROUND(T45*100,0))&amp;" cl"),IF(COUNTIF(G71:L71,SUBSTITUTE(TRIM(K45)," (s)",""))+COUNTIF(G72:L72,SUBSTITUTE(TRIM(K45)," (s)",""))&gt;0,IF(ROUND(T45,3)&gt;=1,ROUND(T45,3)&amp;" Kg",MAX(1,ROUND(T45*1000,0))&amp;" g"),""))))</f>
        <v>0</v>
      </c>
    </row>
    <row r="46" spans="2:21" ht="21" customHeight="1">
      <c r="B46" s="103" t="str">
        <f t="shared" si="2"/>
        <v>►</v>
      </c>
      <c r="C46" s="31" t="str">
        <f>C11</f>
        <v>MAJUSCULE(GAUCHE(J21;1))&amp;" "&amp;J21&amp;" | "&amp;S21&amp;"| "&amp;J23&amp;" "&amp;K23</v>
      </c>
      <c r="D46" s="32">
        <f>D11</f>
        <v>1</v>
      </c>
      <c r="E46" s="31" t="str">
        <f>E11</f>
        <v>coupe</v>
      </c>
      <c r="F46" s="33" t="str">
        <f>F11</f>
        <v>Recette mère ► MILLE-FEUILLE  aux fraises des bois</v>
      </c>
      <c r="G46" s="89"/>
      <c r="H46" s="108"/>
      <c r="I46" s="91" t="str">
        <f t="shared" si="0"/>
        <v/>
      </c>
      <c r="J46" s="92"/>
      <c r="K46" s="6132"/>
      <c r="L46" s="130">
        <v>1</v>
      </c>
      <c r="M46" s="6131" t="str">
        <f>ROWS(M15:M46)&amp;" ►"</f>
        <v>32 ►</v>
      </c>
      <c r="N46" s="1580"/>
      <c r="O46" s="95">
        <f>IF(Q70=0,0,(Q46/Q70)*P14*1000)</f>
        <v>0</v>
      </c>
      <c r="P46" s="105">
        <f>IF(Q70=0, 0, (G46*L46)/(Q70*P14))</f>
        <v>0</v>
      </c>
      <c r="Q46" s="97">
        <f>IFERROR(_xlfn.XLOOKUP(UPPER(TRIM(SUBSTITUTE(K46,CHAR(160)," "))),G71:U71,G73:U73,_xlfn.XLOOKUP(UPPER(TRIM(SUBSTITUTE(K46,CHAR(160)," "))),G72:U72,G74:U74,0))*J46*IF(G46&gt;0,G46,1),0)</f>
        <v>0</v>
      </c>
      <c r="R46" s="106">
        <f>IF(T10&lt;&gt;0,G46*L46*L10,0)</f>
        <v>0</v>
      </c>
      <c r="S46" s="1747">
        <f t="shared" si="1"/>
        <v>0</v>
      </c>
      <c r="T46" s="99">
        <f>IF(OR(ISBLANK(T10),T10=0),0,Q46*L46*L10)</f>
        <v>0</v>
      </c>
      <c r="U46" s="1367">
        <f>IF(J46="",0,IF(K46="","",IF(COUNTIF(N71:U71,SUBSTITUTE(TRIM(K46)," (s)",""))+COUNTIF(N72:U72,SUBSTITUTE(TRIM(K46)," (s)",""))&gt;0,IF(ROUND(T46,3)&gt;=1,ROUND(T46,3)&amp;" L",MAX(1,ROUND(T46*100,0))&amp;" cl"),IF(COUNTIF(G71:L71,SUBSTITUTE(TRIM(K46)," (s)",""))+COUNTIF(G72:L72,SUBSTITUTE(TRIM(K46)," (s)",""))&gt;0,IF(ROUND(T46,3)&gt;=1,ROUND(T46,3)&amp;" Kg",MAX(1,ROUND(T46*1000,0))&amp;" g"),""))))</f>
        <v>0</v>
      </c>
    </row>
    <row r="47" spans="2:21" ht="21" customHeight="1">
      <c r="B47" s="103" t="str">
        <f t="shared" si="2"/>
        <v>►</v>
      </c>
      <c r="C47" s="31" t="str">
        <f>C11</f>
        <v>MAJUSCULE(GAUCHE(J21;1))&amp;" "&amp;J21&amp;" | "&amp;S21&amp;"| "&amp;J23&amp;" "&amp;K23</v>
      </c>
      <c r="D47" s="32">
        <f>D11</f>
        <v>1</v>
      </c>
      <c r="E47" s="31" t="str">
        <f>E11</f>
        <v>coupe</v>
      </c>
      <c r="F47" s="33" t="str">
        <f>F11</f>
        <v>Recette mère ► MILLE-FEUILLE  aux fraises des bois</v>
      </c>
      <c r="G47" s="89"/>
      <c r="H47" s="108"/>
      <c r="I47" s="91" t="str">
        <f t="shared" ref="I47:I69" si="3">IF(OR(ISTEXT(G47), G47&lt;=0, J47&lt;=0), "", "de")</f>
        <v/>
      </c>
      <c r="J47" s="92">
        <v>3</v>
      </c>
      <c r="K47" s="6129" t="s">
        <v>156</v>
      </c>
      <c r="L47" s="130">
        <v>1</v>
      </c>
      <c r="M47" s="6131" t="str">
        <f>ROWS(M15:M47)&amp;" ►"</f>
        <v>33 ►</v>
      </c>
      <c r="N47" s="1580"/>
      <c r="O47" s="95">
        <f>IF(Q70=0,0,(Q47/Q70)*P14*1000)</f>
        <v>175.67567567567571</v>
      </c>
      <c r="P47" s="105">
        <f>IF(Q70=0, 0, (G47*L47)/(Q70*P14))</f>
        <v>0</v>
      </c>
      <c r="Q47" s="97">
        <f>IFERROR(_xlfn.XLOOKUP(UPPER(TRIM(SUBSTITUTE(K47,CHAR(160)," "))),G71:U71,G73:U73,_xlfn.XLOOKUP(UPPER(TRIM(SUBSTITUTE(K47,CHAR(160)," "))),G72:U72,G74:U74,0))*J47*IF(G47&gt;0,G47,1),0)</f>
        <v>0.39</v>
      </c>
      <c r="R47" s="110">
        <f>IF(T10&lt;&gt;0,G47*L47*L10,0)</f>
        <v>0</v>
      </c>
      <c r="S47" s="1748">
        <f t="shared" ref="S47:S69" si="4">H47</f>
        <v>0</v>
      </c>
      <c r="T47" s="99">
        <f>IF(OR(ISBLANK(T10),T10=0),0,Q47*L47*L10)</f>
        <v>0.78</v>
      </c>
      <c r="U47" s="1617" t="str">
        <f>IF(J47="",0,IF(K47="","",IF(COUNTIF(N71:U71,SUBSTITUTE(TRIM(K47)," (s)",""))+COUNTIF(N72:U72,SUBSTITUTE(TRIM(K47)," (s)",""))&gt;0,IF(ROUND(T47,3)&gt;=1,ROUND(T47,3)&amp;" L",MAX(1,ROUND(T47*100,0))&amp;" cl"),IF(COUNTIF(G71:L71,SUBSTITUTE(TRIM(K47)," (s)",""))+COUNTIF(G72:L72,SUBSTITUTE(TRIM(K47)," (s)",""))&gt;0,IF(ROUND(T47,3)&gt;=1,ROUND(T47,3)&amp;" Kg",MAX(1,ROUND(T47*1000,0))&amp;" g"),""))))</f>
        <v>780 g</v>
      </c>
    </row>
    <row r="48" spans="2:21" ht="21" customHeight="1">
      <c r="B48" s="103" t="str">
        <f t="shared" si="2"/>
        <v>►</v>
      </c>
      <c r="C48" s="31" t="str">
        <f>C11</f>
        <v>MAJUSCULE(GAUCHE(J21;1))&amp;" "&amp;J21&amp;" | "&amp;S21&amp;"| "&amp;J23&amp;" "&amp;K23</v>
      </c>
      <c r="D48" s="32">
        <f>D11</f>
        <v>1</v>
      </c>
      <c r="E48" s="31" t="str">
        <f>E11</f>
        <v>coupe</v>
      </c>
      <c r="F48" s="33" t="str">
        <f>F11</f>
        <v>Recette mère ► MILLE-FEUILLE  aux fraises des bois</v>
      </c>
      <c r="G48" s="89"/>
      <c r="H48" s="108"/>
      <c r="I48" s="91" t="str">
        <f t="shared" si="3"/>
        <v/>
      </c>
      <c r="J48" s="92"/>
      <c r="K48" s="6132"/>
      <c r="L48" s="130">
        <v>1</v>
      </c>
      <c r="M48" s="6131" t="str">
        <f>ROWS(M15:M48)&amp;" ►"</f>
        <v>34 ►</v>
      </c>
      <c r="N48" s="1580"/>
      <c r="O48" s="95">
        <f>IF(Q70=0,0,(Q48/Q70)*P14*1000)</f>
        <v>0</v>
      </c>
      <c r="P48" s="105">
        <f>IF(Q70=0, 0, (G48*L48)/(Q70*P14))</f>
        <v>0</v>
      </c>
      <c r="Q48" s="97">
        <f>IFERROR(_xlfn.XLOOKUP(UPPER(TRIM(SUBSTITUTE(K48,CHAR(160)," "))),G71:U71,G73:U73,_xlfn.XLOOKUP(UPPER(TRIM(SUBSTITUTE(K48,CHAR(160)," "))),G72:U72,G74:U74,0))*J48*IF(G48&gt;0,G48,1),0)</f>
        <v>0</v>
      </c>
      <c r="R48" s="106">
        <f>IF(T10&lt;&gt;0,G48*L48*L10,0)</f>
        <v>0</v>
      </c>
      <c r="S48" s="1747">
        <f t="shared" si="4"/>
        <v>0</v>
      </c>
      <c r="T48" s="99">
        <f>IF(OR(ISBLANK(T10),T10=0),0,Q48*L48*L10)</f>
        <v>0</v>
      </c>
      <c r="U48" s="1617">
        <f>IF(J48="",0,IF(K48="","",IF(COUNTIF(N71:U71,SUBSTITUTE(TRIM(K48)," (s)",""))+COUNTIF(N72:U72,SUBSTITUTE(TRIM(K48)," (s)",""))&gt;0,IF(ROUND(T48,3)&gt;=1,ROUND(T48,3)&amp;" L",MAX(1,ROUND(T48*100,0))&amp;" cl"),IF(COUNTIF(G71:L71,SUBSTITUTE(TRIM(K48)," (s)",""))+COUNTIF(G72:L72,SUBSTITUTE(TRIM(K48)," (s)",""))&gt;0,IF(ROUND(T48,3)&gt;=1,ROUND(T48,3)&amp;" Kg",MAX(1,ROUND(T48*1000,0))&amp;" g"),""))))</f>
        <v>0</v>
      </c>
    </row>
    <row r="49" spans="2:21" ht="21" customHeight="1">
      <c r="B49" s="103" t="str">
        <f t="shared" ref="B49:B67" si="5">IF(N49&lt;&gt;"","A","►")</f>
        <v>►</v>
      </c>
      <c r="C49" s="31" t="str">
        <f>C11</f>
        <v>MAJUSCULE(GAUCHE(J21;1))&amp;" "&amp;J21&amp;" | "&amp;S21&amp;"| "&amp;J23&amp;" "&amp;K23</v>
      </c>
      <c r="D49" s="32">
        <f>D11</f>
        <v>1</v>
      </c>
      <c r="E49" s="31" t="str">
        <f>E11</f>
        <v>coupe</v>
      </c>
      <c r="F49" s="33" t="str">
        <f>F11</f>
        <v>Recette mère ► MILLE-FEUILLE  aux fraises des bois</v>
      </c>
      <c r="G49" s="89"/>
      <c r="H49" s="108"/>
      <c r="I49" s="91" t="str">
        <f t="shared" si="3"/>
        <v/>
      </c>
      <c r="J49" s="92">
        <v>3</v>
      </c>
      <c r="K49" s="6142" t="s">
        <v>115</v>
      </c>
      <c r="L49" s="130">
        <v>1</v>
      </c>
      <c r="M49" s="6131" t="str">
        <f>ROWS(M15:M49)&amp;" ►"</f>
        <v>35 ►</v>
      </c>
      <c r="N49" s="1580"/>
      <c r="O49" s="95">
        <f>IF(Q70=0,0,(Q49/Q70)*P14*1000)</f>
        <v>472.97297297297297</v>
      </c>
      <c r="P49" s="105">
        <f>IF(Q70=0, 0, (G49*L49)/(Q70*P14))</f>
        <v>0</v>
      </c>
      <c r="Q49" s="97">
        <f>IFERROR(_xlfn.XLOOKUP(UPPER(TRIM(SUBSTITUTE(K49,CHAR(160)," "))),G71:U71,G73:U73,_xlfn.XLOOKUP(UPPER(TRIM(SUBSTITUTE(K49,CHAR(160)," "))),G72:U72,G74:U74,0))*J49*IF(G49&gt;0,G49,1),0)</f>
        <v>1.0499999999999998</v>
      </c>
      <c r="R49" s="110">
        <f>IF(T10&lt;&gt;0,G49*L49*L10,0)</f>
        <v>0</v>
      </c>
      <c r="S49" s="1748">
        <f t="shared" si="4"/>
        <v>0</v>
      </c>
      <c r="T49" s="99">
        <f>IF(OR(ISBLANK(T10),T10=0),0,Q49*L49*L10)</f>
        <v>2.0999999999999996</v>
      </c>
      <c r="U49" s="1617" t="str">
        <f>IF(J49="",0,IF(K49="","",IF(COUNTIF(N71:U71,SUBSTITUTE(TRIM(K49)," (s)",""))+COUNTIF(N72:U72,SUBSTITUTE(TRIM(K49)," (s)",""))&gt;0,IF(ROUND(T49,3)&gt;=1,ROUND(T49,3)&amp;" L",MAX(1,ROUND(T49*100,0))&amp;" cl"),IF(COUNTIF(G71:L71,SUBSTITUTE(TRIM(K49)," (s)",""))+COUNTIF(G72:L72,SUBSTITUTE(TRIM(K49)," (s)",""))&gt;0,IF(ROUND(T49,3)&gt;=1,ROUND(T49,3)&amp;" Kg",MAX(1,ROUND(T49*1000,0))&amp;" g"),""))))</f>
        <v>2.1 L</v>
      </c>
    </row>
    <row r="50" spans="2:21" ht="21" customHeight="1">
      <c r="B50" s="103" t="str">
        <f t="shared" si="5"/>
        <v>►</v>
      </c>
      <c r="C50" s="31" t="str">
        <f>C11</f>
        <v>MAJUSCULE(GAUCHE(J21;1))&amp;" "&amp;J21&amp;" | "&amp;S21&amp;"| "&amp;J23&amp;" "&amp;K23</v>
      </c>
      <c r="D50" s="32">
        <f>D11</f>
        <v>1</v>
      </c>
      <c r="E50" s="31" t="str">
        <f>E11</f>
        <v>coupe</v>
      </c>
      <c r="F50" s="33" t="str">
        <f>F11</f>
        <v>Recette mère ► MILLE-FEUILLE  aux fraises des bois</v>
      </c>
      <c r="G50" s="89"/>
      <c r="H50" s="108"/>
      <c r="I50" s="91" t="str">
        <f t="shared" si="3"/>
        <v/>
      </c>
      <c r="J50" s="92"/>
      <c r="K50" s="6132"/>
      <c r="L50" s="130">
        <v>1</v>
      </c>
      <c r="M50" s="6131" t="str">
        <f>ROWS(M15:M50)&amp;" ►"</f>
        <v>36 ►</v>
      </c>
      <c r="N50" s="1580"/>
      <c r="O50" s="95">
        <f>IF(Q70=0,0,(Q50/Q70)*P14*1000)</f>
        <v>0</v>
      </c>
      <c r="P50" s="105">
        <f>IF(Q70=0, 0, (G50*L50)/(Q70*P14))</f>
        <v>0</v>
      </c>
      <c r="Q50" s="97">
        <f>IFERROR(_xlfn.XLOOKUP(UPPER(TRIM(SUBSTITUTE(K50,CHAR(160)," "))),G71:U71,G73:U73,_xlfn.XLOOKUP(UPPER(TRIM(SUBSTITUTE(K50,CHAR(160)," "))),G72:U72,G74:U74,0))*J50*IF(G50&gt;0,G50,1),0)</f>
        <v>0</v>
      </c>
      <c r="R50" s="106">
        <f>IF(T10&lt;&gt;0,G50*L50*L10,0)</f>
        <v>0</v>
      </c>
      <c r="S50" s="1747">
        <f t="shared" si="4"/>
        <v>0</v>
      </c>
      <c r="T50" s="99">
        <f>IF(OR(ISBLANK(T10),T10=0),0,Q50*L50*L10)</f>
        <v>0</v>
      </c>
      <c r="U50" s="1367">
        <f>IF(J50="",0,IF(K50="","",IF(COUNTIF(N71:U71,SUBSTITUTE(TRIM(K50)," (s)",""))+COUNTIF(N72:U72,SUBSTITUTE(TRIM(K50)," (s)",""))&gt;0,IF(ROUND(T50,3)&gt;=1,ROUND(T50,3)&amp;" L",MAX(1,ROUND(T50*100,0))&amp;" cl"),IF(COUNTIF(G71:L71,SUBSTITUTE(TRIM(K50)," (s)",""))+COUNTIF(G72:L72,SUBSTITUTE(TRIM(K50)," (s)",""))&gt;0,IF(ROUND(T50,3)&gt;=1,ROUND(T50,3)&amp;" Kg",MAX(1,ROUND(T50*1000,0))&amp;" g"),""))))</f>
        <v>0</v>
      </c>
    </row>
    <row r="51" spans="2:21" ht="21" customHeight="1">
      <c r="B51" s="103" t="str">
        <f t="shared" si="5"/>
        <v>►</v>
      </c>
      <c r="C51" s="31" t="str">
        <f>C11</f>
        <v>MAJUSCULE(GAUCHE(J21;1))&amp;" "&amp;J21&amp;" | "&amp;S21&amp;"| "&amp;J23&amp;" "&amp;K23</v>
      </c>
      <c r="D51" s="32">
        <f>D11</f>
        <v>1</v>
      </c>
      <c r="E51" s="31" t="str">
        <f>E11</f>
        <v>coupe</v>
      </c>
      <c r="F51" s="33" t="str">
        <f>F11</f>
        <v>Recette mère ► MILLE-FEUILLE  aux fraises des bois</v>
      </c>
      <c r="G51" s="89"/>
      <c r="H51" s="108"/>
      <c r="I51" s="91" t="str">
        <f t="shared" si="3"/>
        <v/>
      </c>
      <c r="J51" s="92"/>
      <c r="K51" s="6132"/>
      <c r="L51" s="130">
        <v>1</v>
      </c>
      <c r="M51" s="6131" t="str">
        <f>ROWS(M15:M51)&amp;" ►"</f>
        <v>37 ►</v>
      </c>
      <c r="N51" s="1580"/>
      <c r="O51" s="95">
        <f>IF(Q70=0,0,(Q51/Q70)*P14*1000)</f>
        <v>0</v>
      </c>
      <c r="P51" s="105">
        <f>IF(Q70=0, 0, (G51*L51)/(Q70*P14))</f>
        <v>0</v>
      </c>
      <c r="Q51" s="97">
        <f>IFERROR(_xlfn.XLOOKUP(UPPER(TRIM(SUBSTITUTE(K51,CHAR(160)," "))),G71:U71,G73:U73,_xlfn.XLOOKUP(UPPER(TRIM(SUBSTITUTE(K51,CHAR(160)," "))),G72:U72,G74:U74,0))*J51*IF(G51&gt;0,G51,1),0)</f>
        <v>0</v>
      </c>
      <c r="R51" s="110">
        <f>IF(T10&lt;&gt;0,G51*L51*L10,0)</f>
        <v>0</v>
      </c>
      <c r="S51" s="1748">
        <f t="shared" si="4"/>
        <v>0</v>
      </c>
      <c r="T51" s="99">
        <f>IF(OR(ISBLANK(T10),T10=0),0,Q51*L51*L10)</f>
        <v>0</v>
      </c>
      <c r="U51" s="1617">
        <f>IF(J51="",0,IF(K51="","",IF(COUNTIF(N71:U71,SUBSTITUTE(TRIM(K51)," (s)",""))+COUNTIF(N72:U72,SUBSTITUTE(TRIM(K51)," (s)",""))&gt;0,IF(ROUND(T51,3)&gt;=1,ROUND(T51,3)&amp;" L",MAX(1,ROUND(T51*100,0))&amp;" cl"),IF(COUNTIF(G71:L71,SUBSTITUTE(TRIM(K51)," (s)",""))+COUNTIF(G72:L72,SUBSTITUTE(TRIM(K51)," (s)",""))&gt;0,IF(ROUND(T51,3)&gt;=1,ROUND(T51,3)&amp;" Kg",MAX(1,ROUND(T51*1000,0))&amp;" g"),""))))</f>
        <v>0</v>
      </c>
    </row>
    <row r="52" spans="2:21" ht="21" customHeight="1">
      <c r="B52" s="103" t="str">
        <f t="shared" si="5"/>
        <v>►</v>
      </c>
      <c r="C52" s="31" t="str">
        <f>C11</f>
        <v>MAJUSCULE(GAUCHE(J21;1))&amp;" "&amp;J21&amp;" | "&amp;S21&amp;"| "&amp;J23&amp;" "&amp;K23</v>
      </c>
      <c r="D52" s="32">
        <f>D11</f>
        <v>1</v>
      </c>
      <c r="E52" s="31" t="str">
        <f>E11</f>
        <v>coupe</v>
      </c>
      <c r="F52" s="33" t="str">
        <f>F11</f>
        <v>Recette mère ► MILLE-FEUILLE  aux fraises des bois</v>
      </c>
      <c r="G52" s="89"/>
      <c r="H52" s="108"/>
      <c r="I52" s="91" t="str">
        <f t="shared" si="3"/>
        <v/>
      </c>
      <c r="J52" s="92"/>
      <c r="K52" s="6132"/>
      <c r="L52" s="130">
        <v>1</v>
      </c>
      <c r="M52" s="6131" t="str">
        <f>ROWS(M15:M52)&amp;" ►"</f>
        <v>38 ►</v>
      </c>
      <c r="N52" s="1580"/>
      <c r="O52" s="95">
        <f>IF(Q70=0,0,(Q52/Q70)*P14*1000)</f>
        <v>0</v>
      </c>
      <c r="P52" s="105">
        <f>IF(Q70=0, 0, (G52*L52)/(Q70*P14))</f>
        <v>0</v>
      </c>
      <c r="Q52" s="97">
        <f>IFERROR(_xlfn.XLOOKUP(UPPER(TRIM(SUBSTITUTE(K52,CHAR(160)," "))),G71:U71,G73:U73,_xlfn.XLOOKUP(UPPER(TRIM(SUBSTITUTE(K52,CHAR(160)," "))),G72:U72,G74:U74,0))*J52*IF(G52&gt;0,G52,1),0)</f>
        <v>0</v>
      </c>
      <c r="R52" s="106">
        <f>IF(T10&lt;&gt;0,G52*L52*L10,0)</f>
        <v>0</v>
      </c>
      <c r="S52" s="1747">
        <f t="shared" si="4"/>
        <v>0</v>
      </c>
      <c r="T52" s="99">
        <f>IF(OR(ISBLANK(T10),T10=0),0,Q52*L52*L10)</f>
        <v>0</v>
      </c>
      <c r="U52" s="1367">
        <f>IF(J52="",0,IF(K52="","",IF(COUNTIF(N71:U71,SUBSTITUTE(TRIM(K52)," (s)",""))+COUNTIF(N72:U72,SUBSTITUTE(TRIM(K52)," (s)",""))&gt;0,IF(ROUND(T52,3)&gt;=1,ROUND(T52,3)&amp;" L",MAX(1,ROUND(T52*100,0))&amp;" cl"),IF(COUNTIF(G71:L71,SUBSTITUTE(TRIM(K52)," (s)",""))+COUNTIF(G72:L72,SUBSTITUTE(TRIM(K52)," (s)",""))&gt;0,IF(ROUND(T52,3)&gt;=1,ROUND(T52,3)&amp;" Kg",MAX(1,ROUND(T52*1000,0))&amp;" g"),""))))</f>
        <v>0</v>
      </c>
    </row>
    <row r="53" spans="2:21" ht="21" customHeight="1">
      <c r="B53" s="103" t="str">
        <f t="shared" si="5"/>
        <v>►</v>
      </c>
      <c r="C53" s="31" t="str">
        <f>C11</f>
        <v>MAJUSCULE(GAUCHE(J21;1))&amp;" "&amp;J21&amp;" | "&amp;S21&amp;"| "&amp;J23&amp;" "&amp;K23</v>
      </c>
      <c r="D53" s="32">
        <f>D11</f>
        <v>1</v>
      </c>
      <c r="E53" s="31" t="str">
        <f>E11</f>
        <v>coupe</v>
      </c>
      <c r="F53" s="33" t="str">
        <f>F11</f>
        <v>Recette mère ► MILLE-FEUILLE  aux fraises des bois</v>
      </c>
      <c r="G53" s="89"/>
      <c r="H53" s="108"/>
      <c r="I53" s="91" t="str">
        <f t="shared" si="3"/>
        <v/>
      </c>
      <c r="J53" s="92"/>
      <c r="K53" s="6132"/>
      <c r="L53" s="130">
        <v>1</v>
      </c>
      <c r="M53" s="6131" t="str">
        <f>ROWS(M15:M53)&amp;" ►"</f>
        <v>39 ►</v>
      </c>
      <c r="N53" s="1580"/>
      <c r="O53" s="95">
        <f>IF(Q70=0,0,(Q53/Q70)*P14*1000)</f>
        <v>0</v>
      </c>
      <c r="P53" s="105">
        <f>IF(Q70=0, 0, (G53*L53)/(Q70*P14))</f>
        <v>0</v>
      </c>
      <c r="Q53" s="97">
        <f>IFERROR(_xlfn.XLOOKUP(UPPER(TRIM(SUBSTITUTE(K53,CHAR(160)," "))),G71:U71,G73:U73,_xlfn.XLOOKUP(UPPER(TRIM(SUBSTITUTE(K53,CHAR(160)," "))),G72:U72,G74:U74,0))*J53*IF(G53&gt;0,G53,1),0)</f>
        <v>0</v>
      </c>
      <c r="R53" s="110">
        <f>IF(T10&lt;&gt;0,G53*L53*L10,0)</f>
        <v>0</v>
      </c>
      <c r="S53" s="1748">
        <f t="shared" si="4"/>
        <v>0</v>
      </c>
      <c r="T53" s="99">
        <f>IF(OR(ISBLANK(T10),T10=0),0,Q53*L53*L10)</f>
        <v>0</v>
      </c>
      <c r="U53" s="1617">
        <f>IF(J53="",0,IF(K53="","",IF(COUNTIF(N71:U71,SUBSTITUTE(TRIM(K53)," (s)",""))+COUNTIF(N72:U72,SUBSTITUTE(TRIM(K53)," (s)",""))&gt;0,IF(ROUND(T53,3)&gt;=1,ROUND(T53,3)&amp;" L",MAX(1,ROUND(T53*100,0))&amp;" cl"),IF(COUNTIF(G71:L71,SUBSTITUTE(TRIM(K53)," (s)",""))+COUNTIF(G72:L72,SUBSTITUTE(TRIM(K53)," (s)",""))&gt;0,IF(ROUND(T53,3)&gt;=1,ROUND(T53,3)&amp;" Kg",MAX(1,ROUND(T53*1000,0))&amp;" g"),""))))</f>
        <v>0</v>
      </c>
    </row>
    <row r="54" spans="2:21" ht="21" customHeight="1">
      <c r="B54" s="103" t="str">
        <f t="shared" si="5"/>
        <v>►</v>
      </c>
      <c r="C54" s="31" t="str">
        <f>C11</f>
        <v>MAJUSCULE(GAUCHE(J21;1))&amp;" "&amp;J21&amp;" | "&amp;S21&amp;"| "&amp;J23&amp;" "&amp;K23</v>
      </c>
      <c r="D54" s="32">
        <f>D11</f>
        <v>1</v>
      </c>
      <c r="E54" s="31" t="str">
        <f>E11</f>
        <v>coupe</v>
      </c>
      <c r="F54" s="33" t="str">
        <f>F11</f>
        <v>Recette mère ► MILLE-FEUILLE  aux fraises des bois</v>
      </c>
      <c r="G54" s="89"/>
      <c r="H54" s="108"/>
      <c r="I54" s="91" t="str">
        <f t="shared" si="3"/>
        <v/>
      </c>
      <c r="J54" s="92"/>
      <c r="K54" s="6132"/>
      <c r="L54" s="130">
        <v>1</v>
      </c>
      <c r="M54" s="6131" t="str">
        <f>ROWS(M15:M54)&amp;" ►"</f>
        <v>40 ►</v>
      </c>
      <c r="N54" s="1580"/>
      <c r="O54" s="95">
        <f>IF(Q70=0,0,(Q54/Q70)*P14*1000)</f>
        <v>0</v>
      </c>
      <c r="P54" s="105">
        <f>IF(Q70=0, 0, (G54*L54)/(Q70*P14))</f>
        <v>0</v>
      </c>
      <c r="Q54" s="97">
        <f>IFERROR(_xlfn.XLOOKUP(UPPER(TRIM(SUBSTITUTE(K54,CHAR(160)," "))),G71:U71,G73:U73,_xlfn.XLOOKUP(UPPER(TRIM(SUBSTITUTE(K54,CHAR(160)," "))),G72:U72,G74:U74,0))*J54*IF(G54&gt;0,G54,1),0)</f>
        <v>0</v>
      </c>
      <c r="R54" s="106">
        <f>IF(T10&lt;&gt;0,G54*L54*L10,0)</f>
        <v>0</v>
      </c>
      <c r="S54" s="1747">
        <f t="shared" si="4"/>
        <v>0</v>
      </c>
      <c r="T54" s="99">
        <f>IF(OR(ISBLANK(T10),T10=0),0,Q54*L54*L10)</f>
        <v>0</v>
      </c>
      <c r="U54" s="1367">
        <f>IF(J54="",0,IF(K54="","",IF(COUNTIF(N71:U71,SUBSTITUTE(TRIM(K54)," (s)",""))+COUNTIF(N72:U72,SUBSTITUTE(TRIM(K54)," (s)",""))&gt;0,IF(ROUND(T54,3)&gt;=1,ROUND(T54,3)&amp;" L",MAX(1,ROUND(T54*100,0))&amp;" cl"),IF(COUNTIF(G71:L71,SUBSTITUTE(TRIM(K54)," (s)",""))+COUNTIF(G72:L72,SUBSTITUTE(TRIM(K54)," (s)",""))&gt;0,IF(ROUND(T54,3)&gt;=1,ROUND(T54,3)&amp;" Kg",MAX(1,ROUND(T54*1000,0))&amp;" g"),""))))</f>
        <v>0</v>
      </c>
    </row>
    <row r="55" spans="2:21" ht="21" customHeight="1">
      <c r="B55" s="103" t="str">
        <f t="shared" si="5"/>
        <v>►</v>
      </c>
      <c r="C55" s="31" t="str">
        <f>C11</f>
        <v>MAJUSCULE(GAUCHE(J21;1))&amp;" "&amp;J21&amp;" | "&amp;S21&amp;"| "&amp;J23&amp;" "&amp;K23</v>
      </c>
      <c r="D55" s="32">
        <f>D11</f>
        <v>1</v>
      </c>
      <c r="E55" s="31" t="str">
        <f>E11</f>
        <v>coupe</v>
      </c>
      <c r="F55" s="33" t="str">
        <f>F11</f>
        <v>Recette mère ► MILLE-FEUILLE  aux fraises des bois</v>
      </c>
      <c r="G55" s="89"/>
      <c r="H55" s="108"/>
      <c r="I55" s="91" t="str">
        <f t="shared" si="3"/>
        <v/>
      </c>
      <c r="J55" s="92"/>
      <c r="K55" s="6132"/>
      <c r="L55" s="130">
        <v>1</v>
      </c>
      <c r="M55" s="6131" t="str">
        <f>ROWS(M15:M55)&amp;" ►"</f>
        <v>41 ►</v>
      </c>
      <c r="N55" s="1580"/>
      <c r="O55" s="95">
        <f>IF(Q70=0,0,(Q55/Q70)*P14*1000)</f>
        <v>0</v>
      </c>
      <c r="P55" s="105">
        <f>IF(Q70=0, 0, (G55*L55)/(Q70*P14))</f>
        <v>0</v>
      </c>
      <c r="Q55" s="97">
        <f>IFERROR(_xlfn.XLOOKUP(UPPER(TRIM(SUBSTITUTE(K55,CHAR(160)," "))),G71:U71,G73:U73,_xlfn.XLOOKUP(UPPER(TRIM(SUBSTITUTE(K55,CHAR(160)," "))),G72:U72,G74:U74,0))*J55*IF(G55&gt;0,G55,1),0)</f>
        <v>0</v>
      </c>
      <c r="R55" s="110">
        <f>IF(T10&lt;&gt;0,G55*L55*L10,0)</f>
        <v>0</v>
      </c>
      <c r="S55" s="1748">
        <f t="shared" si="4"/>
        <v>0</v>
      </c>
      <c r="T55" s="99">
        <f>IF(OR(ISBLANK(T10),T10=0),0,Q55*L55*L10)</f>
        <v>0</v>
      </c>
      <c r="U55" s="1617">
        <f>IF(J55="",0,IF(K55="","",IF(COUNTIF(N71:U71,SUBSTITUTE(TRIM(K55)," (s)",""))+COUNTIF(N72:U72,SUBSTITUTE(TRIM(K55)," (s)",""))&gt;0,IF(ROUND(T55,3)&gt;=1,ROUND(T55,3)&amp;" L",MAX(1,ROUND(T55*100,0))&amp;" cl"),IF(COUNTIF(G71:L71,SUBSTITUTE(TRIM(K55)," (s)",""))+COUNTIF(G72:L72,SUBSTITUTE(TRIM(K55)," (s)",""))&gt;0,IF(ROUND(T55,3)&gt;=1,ROUND(T55,3)&amp;" Kg",MAX(1,ROUND(T55*1000,0))&amp;" g"),""))))</f>
        <v>0</v>
      </c>
    </row>
    <row r="56" spans="2:21" ht="21" customHeight="1">
      <c r="B56" s="103" t="str">
        <f t="shared" si="5"/>
        <v>►</v>
      </c>
      <c r="C56" s="31" t="str">
        <f>C11</f>
        <v>MAJUSCULE(GAUCHE(J21;1))&amp;" "&amp;J21&amp;" | "&amp;S21&amp;"| "&amp;J23&amp;" "&amp;K23</v>
      </c>
      <c r="D56" s="32">
        <f>D11</f>
        <v>1</v>
      </c>
      <c r="E56" s="31" t="str">
        <f>E11</f>
        <v>coupe</v>
      </c>
      <c r="F56" s="33" t="str">
        <f>F11</f>
        <v>Recette mère ► MILLE-FEUILLE  aux fraises des bois</v>
      </c>
      <c r="G56" s="89"/>
      <c r="H56" s="108"/>
      <c r="I56" s="91" t="str">
        <f t="shared" si="3"/>
        <v/>
      </c>
      <c r="J56" s="92"/>
      <c r="K56" s="6132"/>
      <c r="L56" s="130">
        <v>1</v>
      </c>
      <c r="M56" s="6131" t="str">
        <f>ROWS(M15:M56)&amp;" ►"</f>
        <v>42 ►</v>
      </c>
      <c r="N56" s="1580"/>
      <c r="O56" s="95">
        <f>IF(Q70=0,0,(Q56/Q70)*P14*1000)</f>
        <v>0</v>
      </c>
      <c r="P56" s="105">
        <f>IF(Q70=0, 0, (G56*L56)/(Q70*P14))</f>
        <v>0</v>
      </c>
      <c r="Q56" s="97">
        <f>IFERROR(_xlfn.XLOOKUP(UPPER(TRIM(SUBSTITUTE(K56,CHAR(160)," "))),G71:U71,G73:U73,_xlfn.XLOOKUP(UPPER(TRIM(SUBSTITUTE(K56,CHAR(160)," "))),G72:U72,G74:U74,0))*J56*IF(G56&gt;0,G56,1),0)</f>
        <v>0</v>
      </c>
      <c r="R56" s="106">
        <f>IF(T10&lt;&gt;0,G56*L56*L10,0)</f>
        <v>0</v>
      </c>
      <c r="S56" s="1747">
        <f t="shared" si="4"/>
        <v>0</v>
      </c>
      <c r="T56" s="99">
        <f>IF(OR(ISBLANK(T10),T10=0),0,Q56*L56*L10)</f>
        <v>0</v>
      </c>
      <c r="U56" s="1367">
        <f>IF(J56="",0,IF(K56="","",IF(COUNTIF(N71:U71,SUBSTITUTE(TRIM(K56)," (s)",""))+COUNTIF(N72:U72,SUBSTITUTE(TRIM(K56)," (s)",""))&gt;0,IF(ROUND(T56,3)&gt;=1,ROUND(T56,3)&amp;" L",MAX(1,ROUND(T56*100,0))&amp;" cl"),IF(COUNTIF(G71:L71,SUBSTITUTE(TRIM(K56)," (s)",""))+COUNTIF(G72:L72,SUBSTITUTE(TRIM(K56)," (s)",""))&gt;0,IF(ROUND(T56,3)&gt;=1,ROUND(T56,3)&amp;" Kg",MAX(1,ROUND(T56*1000,0))&amp;" g"),""))))</f>
        <v>0</v>
      </c>
    </row>
    <row r="57" spans="2:21" ht="21" customHeight="1">
      <c r="B57" s="103" t="str">
        <f t="shared" si="5"/>
        <v>►</v>
      </c>
      <c r="C57" s="31" t="str">
        <f>C11</f>
        <v>MAJUSCULE(GAUCHE(J21;1))&amp;" "&amp;J21&amp;" | "&amp;S21&amp;"| "&amp;J23&amp;" "&amp;K23</v>
      </c>
      <c r="D57" s="32">
        <f>D11</f>
        <v>1</v>
      </c>
      <c r="E57" s="31" t="str">
        <f>E11</f>
        <v>coupe</v>
      </c>
      <c r="F57" s="33" t="str">
        <f>F11</f>
        <v>Recette mère ► MILLE-FEUILLE  aux fraises des bois</v>
      </c>
      <c r="G57" s="89"/>
      <c r="H57" s="108"/>
      <c r="I57" s="91" t="str">
        <f t="shared" si="3"/>
        <v/>
      </c>
      <c r="J57" s="92"/>
      <c r="K57" s="6132"/>
      <c r="L57" s="130">
        <v>1</v>
      </c>
      <c r="M57" s="6131" t="str">
        <f>ROWS(M15:M57)&amp;" ►"</f>
        <v>43 ►</v>
      </c>
      <c r="N57" s="1580"/>
      <c r="O57" s="95">
        <f>IF(Q70=0,0,(Q57/Q70)*P14*1000)</f>
        <v>0</v>
      </c>
      <c r="P57" s="105">
        <f>IF(Q70=0, 0, (G57*L57)/(Q70*P14))</f>
        <v>0</v>
      </c>
      <c r="Q57" s="97">
        <f>IFERROR(_xlfn.XLOOKUP(UPPER(TRIM(SUBSTITUTE(K57,CHAR(160)," "))),G71:U71,G73:U73,_xlfn.XLOOKUP(UPPER(TRIM(SUBSTITUTE(K57,CHAR(160)," "))),G72:U72,G74:U74,0))*J57*IF(G57&gt;0,G57,1),0)</f>
        <v>0</v>
      </c>
      <c r="R57" s="110">
        <f>IF(T10&lt;&gt;0,G57*L57*L10,0)</f>
        <v>0</v>
      </c>
      <c r="S57" s="1748">
        <f t="shared" si="4"/>
        <v>0</v>
      </c>
      <c r="T57" s="99">
        <f>IF(OR(ISBLANK(T10),T10=0),0,Q57*L57*L10)</f>
        <v>0</v>
      </c>
      <c r="U57" s="1617">
        <f>IF(J57="",0,IF(K57="","",IF(COUNTIF(N71:U71,SUBSTITUTE(TRIM(K57)," (s)",""))+COUNTIF(N72:U72,SUBSTITUTE(TRIM(K57)," (s)",""))&gt;0,IF(ROUND(T57,3)&gt;=1,ROUND(T57,3)&amp;" L",MAX(1,ROUND(T57*100,0))&amp;" cl"),IF(COUNTIF(G71:L71,SUBSTITUTE(TRIM(K57)," (s)",""))+COUNTIF(G72:L72,SUBSTITUTE(TRIM(K57)," (s)",""))&gt;0,IF(ROUND(T57,3)&gt;=1,ROUND(T57,3)&amp;" Kg",MAX(1,ROUND(T57*1000,0))&amp;" g"),""))))</f>
        <v>0</v>
      </c>
    </row>
    <row r="58" spans="2:21" ht="21" customHeight="1">
      <c r="B58" s="103" t="str">
        <f t="shared" si="5"/>
        <v>►</v>
      </c>
      <c r="C58" s="31" t="str">
        <f>C11</f>
        <v>MAJUSCULE(GAUCHE(J21;1))&amp;" "&amp;J21&amp;" | "&amp;S21&amp;"| "&amp;J23&amp;" "&amp;K23</v>
      </c>
      <c r="D58" s="32">
        <f>D11</f>
        <v>1</v>
      </c>
      <c r="E58" s="31" t="str">
        <f>E11</f>
        <v>coupe</v>
      </c>
      <c r="F58" s="33" t="str">
        <f>F11</f>
        <v>Recette mère ► MILLE-FEUILLE  aux fraises des bois</v>
      </c>
      <c r="G58" s="89"/>
      <c r="H58" s="108"/>
      <c r="I58" s="91" t="str">
        <f t="shared" si="3"/>
        <v/>
      </c>
      <c r="J58" s="92"/>
      <c r="K58" s="6132"/>
      <c r="L58" s="130">
        <v>1</v>
      </c>
      <c r="M58" s="6131" t="str">
        <f>ROWS(M15:M58)&amp;" ►"</f>
        <v>44 ►</v>
      </c>
      <c r="N58" s="1580"/>
      <c r="O58" s="95">
        <f>IF(Q70=0,0,(Q58/Q70)*P14*1000)</f>
        <v>0</v>
      </c>
      <c r="P58" s="105">
        <f>IF(Q70=0, 0, (G58*L58)/(Q70*P14))</f>
        <v>0</v>
      </c>
      <c r="Q58" s="97">
        <f>IFERROR(_xlfn.XLOOKUP(UPPER(TRIM(SUBSTITUTE(K58,CHAR(160)," "))),G71:U71,G73:U73,_xlfn.XLOOKUP(UPPER(TRIM(SUBSTITUTE(K58,CHAR(160)," "))),G72:U72,G74:U74,0))*J58*IF(G58&gt;0,G58,1),0)</f>
        <v>0</v>
      </c>
      <c r="R58" s="106">
        <f>IF(T10&lt;&gt;0,G58*L58*L10,0)</f>
        <v>0</v>
      </c>
      <c r="S58" s="1747">
        <f t="shared" si="4"/>
        <v>0</v>
      </c>
      <c r="T58" s="99">
        <f>IF(OR(ISBLANK(T10),T10=0),0,Q58*L58*L10)</f>
        <v>0</v>
      </c>
      <c r="U58" s="1367">
        <f>IF(J58="",0,IF(K58="","",IF(COUNTIF(N71:U71,SUBSTITUTE(TRIM(K58)," (s)",""))+COUNTIF(N72:U72,SUBSTITUTE(TRIM(K58)," (s)",""))&gt;0,IF(ROUND(T58,3)&gt;=1,ROUND(T58,3)&amp;" L",MAX(1,ROUND(T58*100,0))&amp;" cl"),IF(COUNTIF(G71:L71,SUBSTITUTE(TRIM(K58)," (s)",""))+COUNTIF(G72:L72,SUBSTITUTE(TRIM(K58)," (s)",""))&gt;0,IF(ROUND(T58,3)&gt;=1,ROUND(T58,3)&amp;" Kg",MAX(1,ROUND(T58*1000,0))&amp;" g"),""))))</f>
        <v>0</v>
      </c>
    </row>
    <row r="59" spans="2:21" ht="21" customHeight="1">
      <c r="B59" s="103" t="str">
        <f t="shared" si="5"/>
        <v>►</v>
      </c>
      <c r="C59" s="31" t="str">
        <f>C11</f>
        <v>MAJUSCULE(GAUCHE(J21;1))&amp;" "&amp;J21&amp;" | "&amp;S21&amp;"| "&amp;J23&amp;" "&amp;K23</v>
      </c>
      <c r="D59" s="32">
        <f>D11</f>
        <v>1</v>
      </c>
      <c r="E59" s="31" t="str">
        <f>E11</f>
        <v>coupe</v>
      </c>
      <c r="F59" s="33" t="str">
        <f>F11</f>
        <v>Recette mère ► MILLE-FEUILLE  aux fraises des bois</v>
      </c>
      <c r="G59" s="89"/>
      <c r="H59" s="108"/>
      <c r="I59" s="91" t="str">
        <f t="shared" si="3"/>
        <v/>
      </c>
      <c r="J59" s="92"/>
      <c r="K59" s="6132"/>
      <c r="L59" s="130">
        <v>1</v>
      </c>
      <c r="M59" s="6131" t="str">
        <f>ROWS(M15:M59)&amp;" ►"</f>
        <v>45 ►</v>
      </c>
      <c r="N59" s="1580"/>
      <c r="O59" s="95">
        <f>IF(Q70=0,0,(Q59/Q70)*P14*1000)</f>
        <v>0</v>
      </c>
      <c r="P59" s="105">
        <f>IF(Q70=0, 0, (G59*L59)/(Q70*P14))</f>
        <v>0</v>
      </c>
      <c r="Q59" s="97">
        <f>IFERROR(_xlfn.XLOOKUP(UPPER(TRIM(SUBSTITUTE(K59,CHAR(160)," "))),G71:U71,G73:U73,_xlfn.XLOOKUP(UPPER(TRIM(SUBSTITUTE(K59,CHAR(160)," "))),G72:U72,G74:U74,0))*J59*IF(G59&gt;0,G59,1),0)</f>
        <v>0</v>
      </c>
      <c r="R59" s="110">
        <f>IF(T10&lt;&gt;0,G59*L59*L10,0)</f>
        <v>0</v>
      </c>
      <c r="S59" s="1748">
        <f t="shared" si="4"/>
        <v>0</v>
      </c>
      <c r="T59" s="99">
        <f>IF(OR(ISBLANK(T10),T10=0),0,Q59*L59*L10)</f>
        <v>0</v>
      </c>
      <c r="U59" s="1617">
        <f>IF(J59="",0,IF(K59="","",IF(COUNTIF(N71:U71,SUBSTITUTE(TRIM(K59)," (s)",""))+COUNTIF(N72:U72,SUBSTITUTE(TRIM(K59)," (s)",""))&gt;0,IF(ROUND(T59,3)&gt;=1,ROUND(T59,3)&amp;" L",MAX(1,ROUND(T59*100,0))&amp;" cl"),IF(COUNTIF(G71:L71,SUBSTITUTE(TRIM(K59)," (s)",""))+COUNTIF(G72:L72,SUBSTITUTE(TRIM(K59)," (s)",""))&gt;0,IF(ROUND(T59,3)&gt;=1,ROUND(T59,3)&amp;" Kg",MAX(1,ROUND(T59*1000,0))&amp;" g"),""))))</f>
        <v>0</v>
      </c>
    </row>
    <row r="60" spans="2:21" ht="21" customHeight="1">
      <c r="B60" s="103" t="str">
        <f t="shared" si="5"/>
        <v>►</v>
      </c>
      <c r="C60" s="31" t="str">
        <f>C11</f>
        <v>MAJUSCULE(GAUCHE(J21;1))&amp;" "&amp;J21&amp;" | "&amp;S21&amp;"| "&amp;J23&amp;" "&amp;K23</v>
      </c>
      <c r="D60" s="32">
        <f>D11</f>
        <v>1</v>
      </c>
      <c r="E60" s="31" t="str">
        <f>E11</f>
        <v>coupe</v>
      </c>
      <c r="F60" s="33" t="str">
        <f>F11</f>
        <v>Recette mère ► MILLE-FEUILLE  aux fraises des bois</v>
      </c>
      <c r="G60" s="89"/>
      <c r="H60" s="108"/>
      <c r="I60" s="91" t="str">
        <f t="shared" si="3"/>
        <v/>
      </c>
      <c r="J60" s="92"/>
      <c r="K60" s="6132"/>
      <c r="L60" s="130">
        <v>1</v>
      </c>
      <c r="M60" s="6131" t="str">
        <f>ROWS(M15:M60)&amp;" ►"</f>
        <v>46 ►</v>
      </c>
      <c r="N60" s="1580"/>
      <c r="O60" s="95">
        <f>IF(Q70=0,0,(Q60/Q70)*P14*1000)</f>
        <v>0</v>
      </c>
      <c r="P60" s="105">
        <f>IF(Q70=0, 0, (G60*L60)/(Q70*P14))</f>
        <v>0</v>
      </c>
      <c r="Q60" s="97">
        <f>IFERROR(_xlfn.XLOOKUP(UPPER(TRIM(SUBSTITUTE(K60,CHAR(160)," "))),G71:U71,G73:U73,_xlfn.XLOOKUP(UPPER(TRIM(SUBSTITUTE(K60,CHAR(160)," "))),G72:U72,G74:U74,0))*J60*IF(G60&gt;0,G60,1),0)</f>
        <v>0</v>
      </c>
      <c r="R60" s="106">
        <f>IF(T10&lt;&gt;0,G60*L60*L10,0)</f>
        <v>0</v>
      </c>
      <c r="S60" s="1747">
        <f t="shared" si="4"/>
        <v>0</v>
      </c>
      <c r="T60" s="99">
        <f>IF(OR(ISBLANK(T10),T10=0),0,Q60*L60*L10)</f>
        <v>0</v>
      </c>
      <c r="U60" s="1367">
        <f>IF(J60="",0,IF(K60="","",IF(COUNTIF(N71:U71,SUBSTITUTE(TRIM(K60)," (s)",""))+COUNTIF(N72:U72,SUBSTITUTE(TRIM(K60)," (s)",""))&gt;0,IF(ROUND(T60,3)&gt;=1,ROUND(T60,3)&amp;" L",MAX(1,ROUND(T60*100,0))&amp;" cl"),IF(COUNTIF(G71:L71,SUBSTITUTE(TRIM(K60)," (s)",""))+COUNTIF(G72:L72,SUBSTITUTE(TRIM(K60)," (s)",""))&gt;0,IF(ROUND(T60,3)&gt;=1,ROUND(T60,3)&amp;" Kg",MAX(1,ROUND(T60*1000,0))&amp;" g"),""))))</f>
        <v>0</v>
      </c>
    </row>
    <row r="61" spans="2:21" ht="21" customHeight="1">
      <c r="B61" s="103" t="str">
        <f t="shared" si="5"/>
        <v>►</v>
      </c>
      <c r="C61" s="31" t="str">
        <f>C11</f>
        <v>MAJUSCULE(GAUCHE(J21;1))&amp;" "&amp;J21&amp;" | "&amp;S21&amp;"| "&amp;J23&amp;" "&amp;K23</v>
      </c>
      <c r="D61" s="32">
        <f>D11</f>
        <v>1</v>
      </c>
      <c r="E61" s="31" t="str">
        <f>E11</f>
        <v>coupe</v>
      </c>
      <c r="F61" s="33" t="str">
        <f>F11</f>
        <v>Recette mère ► MILLE-FEUILLE  aux fraises des bois</v>
      </c>
      <c r="G61" s="89"/>
      <c r="H61" s="108"/>
      <c r="I61" s="91" t="str">
        <f t="shared" si="3"/>
        <v/>
      </c>
      <c r="J61" s="92"/>
      <c r="K61" s="6132"/>
      <c r="L61" s="130">
        <v>1</v>
      </c>
      <c r="M61" s="6131" t="str">
        <f>ROWS(M15:M61)&amp;" ►"</f>
        <v>47 ►</v>
      </c>
      <c r="N61" s="1580"/>
      <c r="O61" s="95">
        <f>IF(Q70=0,0,(Q61/Q70)*P14*1000)</f>
        <v>0</v>
      </c>
      <c r="P61" s="105">
        <f>IF(Q70=0, 0, (G61*L61)/(Q70*P14))</f>
        <v>0</v>
      </c>
      <c r="Q61" s="97">
        <f>IFERROR(_xlfn.XLOOKUP(UPPER(TRIM(SUBSTITUTE(K61,CHAR(160)," "))),G71:U71,G73:U73,_xlfn.XLOOKUP(UPPER(TRIM(SUBSTITUTE(K61,CHAR(160)," "))),G72:U72,G74:U74,0))*J61*IF(G61&gt;0,G61,1),0)</f>
        <v>0</v>
      </c>
      <c r="R61" s="110">
        <f>IF(T10&lt;&gt;0,G61*L61*L10,0)</f>
        <v>0</v>
      </c>
      <c r="S61" s="1748">
        <f t="shared" si="4"/>
        <v>0</v>
      </c>
      <c r="T61" s="99">
        <f>IF(OR(ISBLANK(T10),T10=0),0,Q61*L61*L10)</f>
        <v>0</v>
      </c>
      <c r="U61" s="1617">
        <f>IF(J61="",0,IF(K61="","",IF(COUNTIF(N71:U71,SUBSTITUTE(TRIM(K61)," (s)",""))+COUNTIF(N72:U72,SUBSTITUTE(TRIM(K61)," (s)",""))&gt;0,IF(ROUND(T61,3)&gt;=1,ROUND(T61,3)&amp;" L",MAX(1,ROUND(T61*100,0))&amp;" cl"),IF(COUNTIF(G71:L71,SUBSTITUTE(TRIM(K61)," (s)",""))+COUNTIF(G72:L72,SUBSTITUTE(TRIM(K61)," (s)",""))&gt;0,IF(ROUND(T61,3)&gt;=1,ROUND(T61,3)&amp;" Kg",MAX(1,ROUND(T61*1000,0))&amp;" g"),""))))</f>
        <v>0</v>
      </c>
    </row>
    <row r="62" spans="2:21" ht="21" customHeight="1">
      <c r="B62" s="103" t="str">
        <f t="shared" si="5"/>
        <v>►</v>
      </c>
      <c r="C62" s="31" t="str">
        <f>C11</f>
        <v>MAJUSCULE(GAUCHE(J21;1))&amp;" "&amp;J21&amp;" | "&amp;S21&amp;"| "&amp;J23&amp;" "&amp;K23</v>
      </c>
      <c r="D62" s="32">
        <f>D11</f>
        <v>1</v>
      </c>
      <c r="E62" s="31" t="str">
        <f>E11</f>
        <v>coupe</v>
      </c>
      <c r="F62" s="33" t="str">
        <f>F11</f>
        <v>Recette mère ► MILLE-FEUILLE  aux fraises des bois</v>
      </c>
      <c r="G62" s="89"/>
      <c r="H62" s="108"/>
      <c r="I62" s="91" t="str">
        <f t="shared" si="3"/>
        <v/>
      </c>
      <c r="J62" s="92"/>
      <c r="K62" s="6132"/>
      <c r="L62" s="130">
        <v>1</v>
      </c>
      <c r="M62" s="6131" t="str">
        <f>ROWS(M15:M62)&amp;" ►"</f>
        <v>48 ►</v>
      </c>
      <c r="N62" s="1580"/>
      <c r="O62" s="95">
        <f>IF(Q70=0,0,(Q62/Q70)*P14*1000)</f>
        <v>0</v>
      </c>
      <c r="P62" s="105">
        <f>IF(Q70=0, 0, (G62*L62)/(Q70*P14))</f>
        <v>0</v>
      </c>
      <c r="Q62" s="97">
        <f>IFERROR(_xlfn.XLOOKUP(UPPER(TRIM(SUBSTITUTE(K62,CHAR(160)," "))),G71:U71,G73:U73,_xlfn.XLOOKUP(UPPER(TRIM(SUBSTITUTE(K62,CHAR(160)," "))),G72:U72,G74:U74,0))*J62*IF(G62&gt;0,G62,1),0)</f>
        <v>0</v>
      </c>
      <c r="R62" s="106">
        <f>IF(T10&lt;&gt;0,G62*L62*L10,0)</f>
        <v>0</v>
      </c>
      <c r="S62" s="1747">
        <f t="shared" si="4"/>
        <v>0</v>
      </c>
      <c r="T62" s="99">
        <f>IF(OR(ISBLANK(T10),T10=0),0,Q62*L62*L10)</f>
        <v>0</v>
      </c>
      <c r="U62" s="1367">
        <f>IF(J62="",0,IF(K62="","",IF(COUNTIF(N71:U71,SUBSTITUTE(TRIM(K62)," (s)",""))+COUNTIF(N72:U72,SUBSTITUTE(TRIM(K62)," (s)",""))&gt;0,IF(ROUND(T62,3)&gt;=1,ROUND(T62,3)&amp;" L",MAX(1,ROUND(T62*100,0))&amp;" cl"),IF(COUNTIF(G71:L71,SUBSTITUTE(TRIM(K62)," (s)",""))+COUNTIF(G72:L72,SUBSTITUTE(TRIM(K62)," (s)",""))&gt;0,IF(ROUND(T62,3)&gt;=1,ROUND(T62,3)&amp;" Kg",MAX(1,ROUND(T62*1000,0))&amp;" g"),""))))</f>
        <v>0</v>
      </c>
    </row>
    <row r="63" spans="2:21" ht="21" customHeight="1">
      <c r="B63" s="103" t="str">
        <f t="shared" si="5"/>
        <v>►</v>
      </c>
      <c r="C63" s="31" t="str">
        <f>C11</f>
        <v>MAJUSCULE(GAUCHE(J21;1))&amp;" "&amp;J21&amp;" | "&amp;S21&amp;"| "&amp;J23&amp;" "&amp;K23</v>
      </c>
      <c r="D63" s="32">
        <f>D11</f>
        <v>1</v>
      </c>
      <c r="E63" s="31" t="str">
        <f>E11</f>
        <v>coupe</v>
      </c>
      <c r="F63" s="33" t="str">
        <f>F11</f>
        <v>Recette mère ► MILLE-FEUILLE  aux fraises des bois</v>
      </c>
      <c r="G63" s="89"/>
      <c r="H63" s="108"/>
      <c r="I63" s="91" t="str">
        <f t="shared" si="3"/>
        <v/>
      </c>
      <c r="J63" s="92"/>
      <c r="K63" s="6132"/>
      <c r="L63" s="130">
        <v>1</v>
      </c>
      <c r="M63" s="6131" t="str">
        <f>ROWS(M15:M63)&amp;" ►"</f>
        <v>49 ►</v>
      </c>
      <c r="N63" s="1580"/>
      <c r="O63" s="95">
        <f>IF(Q70=0,0,(Q63/Q70)*P14*1000)</f>
        <v>0</v>
      </c>
      <c r="P63" s="105">
        <f>IF(Q70=0, 0, (G63*L63)/(Q70*P14))</f>
        <v>0</v>
      </c>
      <c r="Q63" s="97">
        <f>IFERROR(_xlfn.XLOOKUP(UPPER(TRIM(SUBSTITUTE(K63,CHAR(160)," "))),G71:U71,G73:U73,_xlfn.XLOOKUP(UPPER(TRIM(SUBSTITUTE(K63,CHAR(160)," "))),G72:U72,G74:U74,0))*J63*IF(G63&gt;0,G63,1),0)</f>
        <v>0</v>
      </c>
      <c r="R63" s="110">
        <f>IF(T10&lt;&gt;0,G63*L63*L10,0)</f>
        <v>0</v>
      </c>
      <c r="S63" s="1748">
        <f t="shared" si="4"/>
        <v>0</v>
      </c>
      <c r="T63" s="99">
        <f>IF(OR(ISBLANK(T10),T10=0),0,Q63*L63*L10)</f>
        <v>0</v>
      </c>
      <c r="U63" s="1617">
        <f>IF(J63="",0,IF(K63="","",IF(COUNTIF(N71:U71,SUBSTITUTE(TRIM(K63)," (s)",""))+COUNTIF(N72:U72,SUBSTITUTE(TRIM(K63)," (s)",""))&gt;0,IF(ROUND(T63,3)&gt;=1,ROUND(T63,3)&amp;" L",MAX(1,ROUND(T63*100,0))&amp;" cl"),IF(COUNTIF(G71:L71,SUBSTITUTE(TRIM(K63)," (s)",""))+COUNTIF(G72:L72,SUBSTITUTE(TRIM(K63)," (s)",""))&gt;0,IF(ROUND(T63,3)&gt;=1,ROUND(T63,3)&amp;" Kg",MAX(1,ROUND(T63*1000,0))&amp;" g"),""))))</f>
        <v>0</v>
      </c>
    </row>
    <row r="64" spans="2:21" ht="21" customHeight="1">
      <c r="B64" s="103" t="str">
        <f t="shared" si="5"/>
        <v>►</v>
      </c>
      <c r="C64" s="31" t="str">
        <f>C11</f>
        <v>MAJUSCULE(GAUCHE(J21;1))&amp;" "&amp;J21&amp;" | "&amp;S21&amp;"| "&amp;J23&amp;" "&amp;K23</v>
      </c>
      <c r="D64" s="32">
        <f>D11</f>
        <v>1</v>
      </c>
      <c r="E64" s="31" t="str">
        <f>E11</f>
        <v>coupe</v>
      </c>
      <c r="F64" s="33" t="str">
        <f>F11</f>
        <v>Recette mère ► MILLE-FEUILLE  aux fraises des bois</v>
      </c>
      <c r="G64" s="89"/>
      <c r="H64" s="108"/>
      <c r="I64" s="91" t="str">
        <f t="shared" si="3"/>
        <v/>
      </c>
      <c r="J64" s="92"/>
      <c r="K64" s="6132"/>
      <c r="L64" s="130">
        <v>1</v>
      </c>
      <c r="M64" s="6131" t="str">
        <f>ROWS(M15:M64)&amp;" ►"</f>
        <v>50 ►</v>
      </c>
      <c r="N64" s="1580"/>
      <c r="O64" s="95">
        <f>IF(Q70=0,0,(Q64/Q70)*P14*1000)</f>
        <v>0</v>
      </c>
      <c r="P64" s="105">
        <f>IF(Q70=0, 0, (G64*L64)/(Q70*P14))</f>
        <v>0</v>
      </c>
      <c r="Q64" s="97">
        <f>IFERROR(_xlfn.XLOOKUP(UPPER(TRIM(SUBSTITUTE(K64,CHAR(160)," "))),G71:U71,G73:U73,_xlfn.XLOOKUP(UPPER(TRIM(SUBSTITUTE(K64,CHAR(160)," "))),G72:U72,G74:U74,0))*J64*IF(G64&gt;0,G64,1),0)</f>
        <v>0</v>
      </c>
      <c r="R64" s="106">
        <f>IF(T10&lt;&gt;0,G64*L64*L10,0)</f>
        <v>0</v>
      </c>
      <c r="S64" s="1747">
        <f t="shared" si="4"/>
        <v>0</v>
      </c>
      <c r="T64" s="99">
        <f>IF(OR(ISBLANK(T10),T10=0),0,Q64*L64*L10)</f>
        <v>0</v>
      </c>
      <c r="U64" s="1367">
        <f>IF(J64="",0,IF(K64="","",IF(COUNTIF(N71:U71,SUBSTITUTE(TRIM(K64)," (s)",""))+COUNTIF(N72:U72,SUBSTITUTE(TRIM(K64)," (s)",""))&gt;0,IF(ROUND(T64,3)&gt;=1,ROUND(T64,3)&amp;" L",MAX(1,ROUND(T64*100,0))&amp;" cl"),IF(COUNTIF(G71:L71,SUBSTITUTE(TRIM(K64)," (s)",""))+COUNTIF(G72:L72,SUBSTITUTE(TRIM(K64)," (s)",""))&gt;0,IF(ROUND(T64,3)&gt;=1,ROUND(T64,3)&amp;" Kg",MAX(1,ROUND(T64*1000,0))&amp;" g"),""))))</f>
        <v>0</v>
      </c>
    </row>
    <row r="65" spans="1:21" ht="21" customHeight="1">
      <c r="B65" s="103" t="str">
        <f t="shared" si="5"/>
        <v>►</v>
      </c>
      <c r="C65" s="31" t="str">
        <f>C11</f>
        <v>MAJUSCULE(GAUCHE(J21;1))&amp;" "&amp;J21&amp;" | "&amp;S21&amp;"| "&amp;J23&amp;" "&amp;K23</v>
      </c>
      <c r="D65" s="32">
        <f>D11</f>
        <v>1</v>
      </c>
      <c r="E65" s="31" t="str">
        <f>E11</f>
        <v>coupe</v>
      </c>
      <c r="F65" s="33" t="str">
        <f>F11</f>
        <v>Recette mère ► MILLE-FEUILLE  aux fraises des bois</v>
      </c>
      <c r="G65" s="89"/>
      <c r="H65" s="108"/>
      <c r="I65" s="91" t="str">
        <f t="shared" si="3"/>
        <v/>
      </c>
      <c r="J65" s="92"/>
      <c r="K65" s="6132"/>
      <c r="L65" s="130">
        <v>1</v>
      </c>
      <c r="M65" s="6131" t="str">
        <f>ROWS(M15:M65)&amp;" ►"</f>
        <v>51 ►</v>
      </c>
      <c r="N65" s="1580"/>
      <c r="O65" s="95">
        <f>IF(Q70=0,0,(Q65/Q70)*P14*1000)</f>
        <v>0</v>
      </c>
      <c r="P65" s="105">
        <f>IF(Q70=0, 0, (G65*L65)/(Q70*P14))</f>
        <v>0</v>
      </c>
      <c r="Q65" s="97">
        <f>IFERROR(_xlfn.XLOOKUP(UPPER(TRIM(SUBSTITUTE(K65,CHAR(160)," "))),G71:U71,G73:U73,_xlfn.XLOOKUP(UPPER(TRIM(SUBSTITUTE(K65,CHAR(160)," "))),G72:U72,G74:U74,0))*J65*IF(G65&gt;0,G65,1),0)</f>
        <v>0</v>
      </c>
      <c r="R65" s="110">
        <f>IF(T10&lt;&gt;0,G65*L65*L10,0)</f>
        <v>0</v>
      </c>
      <c r="S65" s="1748">
        <f t="shared" si="4"/>
        <v>0</v>
      </c>
      <c r="T65" s="99">
        <f>IF(OR(ISBLANK(T10),T10=0),0,Q65*L65*L10)</f>
        <v>0</v>
      </c>
      <c r="U65" s="1617">
        <f>IF(J65="",0,IF(K65="","",IF(COUNTIF(N71:U71,SUBSTITUTE(TRIM(K65)," (s)",""))+COUNTIF(N72:U72,SUBSTITUTE(TRIM(K65)," (s)",""))&gt;0,IF(ROUND(T65,3)&gt;=1,ROUND(T65,3)&amp;" L",MAX(1,ROUND(T65*100,0))&amp;" cl"),IF(COUNTIF(G71:L71,SUBSTITUTE(TRIM(K65)," (s)",""))+COUNTIF(G72:L72,SUBSTITUTE(TRIM(K65)," (s)",""))&gt;0,IF(ROUND(T65,3)&gt;=1,ROUND(T65,3)&amp;" Kg",MAX(1,ROUND(T65*1000,0))&amp;" g"),""))))</f>
        <v>0</v>
      </c>
    </row>
    <row r="66" spans="1:21" ht="21" customHeight="1">
      <c r="B66" s="103" t="str">
        <f t="shared" si="5"/>
        <v>►</v>
      </c>
      <c r="C66" s="31" t="str">
        <f>C11</f>
        <v>MAJUSCULE(GAUCHE(J21;1))&amp;" "&amp;J21&amp;" | "&amp;S21&amp;"| "&amp;J23&amp;" "&amp;K23</v>
      </c>
      <c r="D66" s="32">
        <f>D11</f>
        <v>1</v>
      </c>
      <c r="E66" s="31" t="str">
        <f>E11</f>
        <v>coupe</v>
      </c>
      <c r="F66" s="33" t="str">
        <f>F11</f>
        <v>Recette mère ► MILLE-FEUILLE  aux fraises des bois</v>
      </c>
      <c r="G66" s="89"/>
      <c r="H66" s="108"/>
      <c r="I66" s="91" t="str">
        <f t="shared" si="3"/>
        <v/>
      </c>
      <c r="J66" s="92"/>
      <c r="K66" s="6132"/>
      <c r="L66" s="130">
        <v>1</v>
      </c>
      <c r="M66" s="6131" t="str">
        <f>ROWS(M15:M66)&amp;" ►"</f>
        <v>52 ►</v>
      </c>
      <c r="N66" s="1580"/>
      <c r="O66" s="95">
        <f>IF(Q70=0,0,(Q66/Q70)*P14*1000)</f>
        <v>0</v>
      </c>
      <c r="P66" s="105">
        <f>IF(Q70=0, 0, (G66*L66)/(Q70*P14))</f>
        <v>0</v>
      </c>
      <c r="Q66" s="97">
        <f>IFERROR(_xlfn.XLOOKUP(UPPER(TRIM(SUBSTITUTE(K66,CHAR(160)," "))),G71:U71,G73:U73,_xlfn.XLOOKUP(UPPER(TRIM(SUBSTITUTE(K66,CHAR(160)," "))),G72:U72,G74:U74,0))*J66*IF(G66&gt;0,G66,1),0)</f>
        <v>0</v>
      </c>
      <c r="R66" s="106">
        <f>IF(T10&lt;&gt;0,G66*L66*L10,0)</f>
        <v>0</v>
      </c>
      <c r="S66" s="1747">
        <f t="shared" si="4"/>
        <v>0</v>
      </c>
      <c r="T66" s="99">
        <f>IF(OR(ISBLANK(T10),T10=0),0,Q66*L66*L10)</f>
        <v>0</v>
      </c>
      <c r="U66" s="1367">
        <f>IF(J66="",0,IF(K66="","",IF(COUNTIF(N71:U71,SUBSTITUTE(TRIM(K66)," (s)",""))+COUNTIF(N72:U72,SUBSTITUTE(TRIM(K66)," (s)",""))&gt;0,IF(ROUND(T66,3)&gt;=1,ROUND(T66,3)&amp;" L",MAX(1,ROUND(T66*100,0))&amp;" cl"),IF(COUNTIF(G71:L71,SUBSTITUTE(TRIM(K66)," (s)",""))+COUNTIF(G72:L72,SUBSTITUTE(TRIM(K66)," (s)",""))&gt;0,IF(ROUND(T66,3)&gt;=1,ROUND(T66,3)&amp;" Kg",MAX(1,ROUND(T66*1000,0))&amp;" g"),""))))</f>
        <v>0</v>
      </c>
    </row>
    <row r="67" spans="1:21" ht="21" customHeight="1">
      <c r="B67" s="103" t="str">
        <f t="shared" si="5"/>
        <v>►</v>
      </c>
      <c r="C67" s="31" t="str">
        <f>C11</f>
        <v>MAJUSCULE(GAUCHE(J21;1))&amp;" "&amp;J21&amp;" | "&amp;S21&amp;"| "&amp;J23&amp;" "&amp;K23</v>
      </c>
      <c r="D67" s="32">
        <f>D11</f>
        <v>1</v>
      </c>
      <c r="E67" s="31" t="str">
        <f>E11</f>
        <v>coupe</v>
      </c>
      <c r="F67" s="33" t="str">
        <f>F11</f>
        <v>Recette mère ► MILLE-FEUILLE  aux fraises des bois</v>
      </c>
      <c r="G67" s="89"/>
      <c r="H67" s="108"/>
      <c r="I67" s="91" t="str">
        <f t="shared" si="3"/>
        <v/>
      </c>
      <c r="J67" s="92"/>
      <c r="K67" s="6132"/>
      <c r="L67" s="130">
        <v>1</v>
      </c>
      <c r="M67" s="6131" t="str">
        <f>ROWS(M15:M67)&amp;" ►"</f>
        <v>53 ►</v>
      </c>
      <c r="N67" s="1580"/>
      <c r="O67" s="95">
        <f>IF(Q70=0,0,(Q67/Q70)*P14*1000)</f>
        <v>0</v>
      </c>
      <c r="P67" s="105">
        <f>IF(Q70=0, 0, (G67*L67)/(Q70*P14))</f>
        <v>0</v>
      </c>
      <c r="Q67" s="97">
        <f>IFERROR(_xlfn.XLOOKUP(UPPER(TRIM(SUBSTITUTE(K67,CHAR(160)," "))),G71:U71,G73:U73,_xlfn.XLOOKUP(UPPER(TRIM(SUBSTITUTE(K67,CHAR(160)," "))),G72:U72,G74:U74,0))*J67*IF(G67&gt;0,G67,1),0)</f>
        <v>0</v>
      </c>
      <c r="R67" s="110">
        <f>IF(T10&lt;&gt;0,G67*L67*L10,0)</f>
        <v>0</v>
      </c>
      <c r="S67" s="1748">
        <f t="shared" si="4"/>
        <v>0</v>
      </c>
      <c r="T67" s="99">
        <f>IF(OR(ISBLANK(T10),T10=0),0,Q67*L67*L10)</f>
        <v>0</v>
      </c>
      <c r="U67" s="1617">
        <f>IF(J67="",0,IF(K67="","",IF(COUNTIF(N71:U71,SUBSTITUTE(TRIM(K67)," (s)",""))+COUNTIF(N72:U72,SUBSTITUTE(TRIM(K67)," (s)",""))&gt;0,IF(ROUND(T67,3)&gt;=1,ROUND(T67,3)&amp;" L",MAX(1,ROUND(T67*100,0))&amp;" cl"),IF(COUNTIF(G71:L71,SUBSTITUTE(TRIM(K67)," (s)",""))+COUNTIF(G72:L72,SUBSTITUTE(TRIM(K67)," (s)",""))&gt;0,IF(ROUND(T67,3)&gt;=1,ROUND(T67,3)&amp;" Kg",MAX(1,ROUND(T67*1000,0))&amp;" g"),""))))</f>
        <v>0</v>
      </c>
    </row>
    <row r="68" spans="1:21" ht="21" customHeight="1">
      <c r="B68" s="25" t="s">
        <v>10</v>
      </c>
      <c r="C68" s="31" t="str">
        <f>C11</f>
        <v>MAJUSCULE(GAUCHE(J21;1))&amp;" "&amp;J21&amp;" | "&amp;S21&amp;"| "&amp;J23&amp;" "&amp;K23</v>
      </c>
      <c r="D68" s="32">
        <f>D11</f>
        <v>1</v>
      </c>
      <c r="E68" s="31" t="str">
        <f>E11</f>
        <v>coupe</v>
      </c>
      <c r="F68" s="33" t="str">
        <f>F11</f>
        <v>Recette mère ► MILLE-FEUILLE  aux fraises des bois</v>
      </c>
      <c r="G68" s="89"/>
      <c r="H68" s="108"/>
      <c r="I68" s="91" t="str">
        <f t="shared" si="3"/>
        <v/>
      </c>
      <c r="J68" s="92"/>
      <c r="K68" s="6132"/>
      <c r="L68" s="130">
        <v>1</v>
      </c>
      <c r="M68" s="6131" t="str">
        <f>ROWS(M15:M68)&amp;" ►"</f>
        <v>54 ►</v>
      </c>
      <c r="N68" s="1580"/>
      <c r="O68" s="95">
        <f>IF(Q70=0,0,(Q68/Q70)*P14*1000)</f>
        <v>0</v>
      </c>
      <c r="P68" s="105">
        <f>IF(Q70=0, 0, (G68*L68)/(Q70*P14))</f>
        <v>0</v>
      </c>
      <c r="Q68" s="97">
        <f>IFERROR(_xlfn.XLOOKUP(UPPER(TRIM(SUBSTITUTE(K68,CHAR(160)," "))),G71:U71,G73:U73,_xlfn.XLOOKUP(UPPER(TRIM(SUBSTITUTE(K68,CHAR(160)," "))),G72:U72,G74:U74,0))*J68*IF(G68&gt;0,G68,1),0)</f>
        <v>0</v>
      </c>
      <c r="R68" s="106">
        <f>IF(T10&lt;&gt;0,G68*L68*L10,0)</f>
        <v>0</v>
      </c>
      <c r="S68" s="1747">
        <f t="shared" si="4"/>
        <v>0</v>
      </c>
      <c r="T68" s="99">
        <f>IF(OR(ISBLANK(T10),T10=0),0,Q68*L68*L10)</f>
        <v>0</v>
      </c>
      <c r="U68" s="1367">
        <f>IF(J68="",0,IF(K68="","",IF(COUNTIF(N71:U71,SUBSTITUTE(TRIM(K68)," (s)",""))+COUNTIF(N72:U72,SUBSTITUTE(TRIM(K68)," (s)",""))&gt;0,IF(ROUND(T68,3)&gt;=1,ROUND(T68,3)&amp;" L",MAX(1,ROUND(T68*100,0))&amp;" cl"),IF(COUNTIF(G71:L71,SUBSTITUTE(TRIM(K68)," (s)",""))+COUNTIF(G72:L72,SUBSTITUTE(TRIM(K68)," (s)",""))&gt;0,IF(ROUND(T68,3)&gt;=1,ROUND(T68,3)&amp;" Kg",MAX(1,ROUND(T68*1000,0))&amp;" g"),""))))</f>
        <v>0</v>
      </c>
    </row>
    <row r="69" spans="1:21" ht="21" customHeight="1">
      <c r="B69" s="25" t="s">
        <v>10</v>
      </c>
      <c r="C69" s="31" t="str">
        <f>C11</f>
        <v>MAJUSCULE(GAUCHE(J21;1))&amp;" "&amp;J21&amp;" | "&amp;S21&amp;"| "&amp;J23&amp;" "&amp;K23</v>
      </c>
      <c r="D69" s="32">
        <f>D11</f>
        <v>1</v>
      </c>
      <c r="E69" s="31" t="str">
        <f>E11</f>
        <v>coupe</v>
      </c>
      <c r="F69" s="33" t="str">
        <f>F11</f>
        <v>Recette mère ► MILLE-FEUILLE  aux fraises des bois</v>
      </c>
      <c r="G69" s="6133"/>
      <c r="H69" s="1199"/>
      <c r="I69" s="91" t="str">
        <f t="shared" si="3"/>
        <v/>
      </c>
      <c r="J69" s="1200"/>
      <c r="K69" s="6132"/>
      <c r="L69" s="6134">
        <v>1</v>
      </c>
      <c r="M69" s="6131" t="str">
        <f>ROWS(M15:M69)&amp;" ►"</f>
        <v>55 ►</v>
      </c>
      <c r="N69" s="1580"/>
      <c r="O69" s="95">
        <f>IF(Q70=0,0,(Q69/Q70)*P14*1000)</f>
        <v>0</v>
      </c>
      <c r="P69" s="105">
        <f>IF(Q70=0, 0, (G69*L69)/(Q70*P14))</f>
        <v>0</v>
      </c>
      <c r="Q69" s="97">
        <f>IFERROR(_xlfn.XLOOKUP(UPPER(TRIM(SUBSTITUTE(K69,CHAR(160)," "))),G71:U71,G73:U73,_xlfn.XLOOKUP(UPPER(TRIM(SUBSTITUTE(K69,CHAR(160)," "))),G72:U72,G74:U74,0))*J69*IF(G69&gt;0,G69,1),0)</f>
        <v>0</v>
      </c>
      <c r="R69" s="110">
        <f>IF(T10&lt;&gt;0,G69*L69*L10,0)</f>
        <v>0</v>
      </c>
      <c r="S69" s="1748">
        <f t="shared" si="4"/>
        <v>0</v>
      </c>
      <c r="T69" s="99">
        <f>IF(OR(ISBLANK(T10),T10=0),0,Q69*L69*L10)</f>
        <v>0</v>
      </c>
      <c r="U69" s="1617">
        <f>IF(J69="",0,IF(K69="","",IF(COUNTIF(N71:U71,SUBSTITUTE(TRIM(K69)," (s)",""))+COUNTIF(N72:U72,SUBSTITUTE(TRIM(K69)," (s)",""))&gt;0,IF(ROUND(T69,3)&gt;=1,ROUND(T69,3)&amp;" L",MAX(1,ROUND(T69*100,0))&amp;" cl"),IF(COUNTIF(G71:L71,SUBSTITUTE(TRIM(K69)," (s)",""))+COUNTIF(G72:L72,SUBSTITUTE(TRIM(K69)," (s)",""))&gt;0,IF(ROUND(T69,3)&gt;=1,ROUND(T69,3)&amp;" Kg",MAX(1,ROUND(T69*1000,0))&amp;" g"),""))))</f>
        <v>0</v>
      </c>
    </row>
    <row r="70" spans="1:21" ht="21" customHeight="1">
      <c r="B70" s="25" t="s">
        <v>10</v>
      </c>
      <c r="C70" s="31" t="str">
        <f>C11</f>
        <v>MAJUSCULE(GAUCHE(J21;1))&amp;" "&amp;J21&amp;" | "&amp;S21&amp;"| "&amp;J23&amp;" "&amp;K23</v>
      </c>
      <c r="D70" s="32">
        <f>D11</f>
        <v>1</v>
      </c>
      <c r="E70" s="31" t="str">
        <f>E11</f>
        <v>coupe</v>
      </c>
      <c r="F70" s="33" t="str">
        <f>F11</f>
        <v>Recette mère ► MILLE-FEUILLE  aux fraises des bois</v>
      </c>
      <c r="G70" s="680" t="s">
        <v>8411</v>
      </c>
      <c r="H70" s="474"/>
      <c r="I70" s="474"/>
      <c r="J70" s="474"/>
      <c r="K70" s="474"/>
      <c r="L70" s="681"/>
      <c r="M70" s="681"/>
      <c r="N70" s="641" t="s">
        <v>14283</v>
      </c>
      <c r="O70" s="682"/>
      <c r="P70" s="682"/>
      <c r="Q70" s="1197">
        <f>SUM(Q15:Q69)</f>
        <v>2.2199999999999998</v>
      </c>
      <c r="R70" s="683"/>
      <c r="S70" s="683" t="str">
        <f>"Total " &amp; T12&amp;" &gt;"</f>
        <v>Total Col.19 &gt;</v>
      </c>
      <c r="T70" s="1835">
        <f>SUM(T15:T69)</f>
        <v>4.4399999999999995</v>
      </c>
      <c r="U70" s="684"/>
    </row>
    <row r="71" spans="1:21" ht="21" customHeight="1">
      <c r="B71" s="25" t="s">
        <v>10</v>
      </c>
      <c r="C71" s="31" t="str">
        <f>C11</f>
        <v>MAJUSCULE(GAUCHE(J21;1))&amp;" "&amp;J21&amp;" | "&amp;S21&amp;"| "&amp;J23&amp;" "&amp;K23</v>
      </c>
      <c r="D71" s="32">
        <f>D11</f>
        <v>1</v>
      </c>
      <c r="E71" s="31" t="str">
        <f>E11</f>
        <v>coupe</v>
      </c>
      <c r="F71" s="33" t="str">
        <f>F11</f>
        <v>Recette mère ► MILLE-FEUILLE  aux fraises des bois</v>
      </c>
      <c r="G71" s="6135" t="s">
        <v>140</v>
      </c>
      <c r="H71" s="6136" t="s">
        <v>100</v>
      </c>
      <c r="I71" s="6137" t="s">
        <v>141</v>
      </c>
      <c r="J71" s="6138" t="s">
        <v>142</v>
      </c>
      <c r="K71" s="6139" t="s">
        <v>143</v>
      </c>
      <c r="L71" s="6139" t="s">
        <v>109</v>
      </c>
      <c r="M71" s="6137" t="s">
        <v>141</v>
      </c>
      <c r="N71" s="6140" t="s">
        <v>0</v>
      </c>
      <c r="O71" s="6140" t="s">
        <v>97</v>
      </c>
      <c r="P71" s="6140" t="s">
        <v>144</v>
      </c>
      <c r="Q71" s="6140" t="s">
        <v>145</v>
      </c>
      <c r="R71" s="6141" t="s">
        <v>104</v>
      </c>
      <c r="S71" s="6141" t="s">
        <v>359</v>
      </c>
      <c r="T71" s="335" t="s">
        <v>146</v>
      </c>
      <c r="U71" s="6141" t="s">
        <v>147</v>
      </c>
    </row>
    <row r="72" spans="1:21" ht="21" customHeight="1">
      <c r="B72" s="25" t="s">
        <v>10</v>
      </c>
      <c r="C72" s="31" t="str">
        <f>C11</f>
        <v>MAJUSCULE(GAUCHE(J21;1))&amp;" "&amp;J21&amp;" | "&amp;S21&amp;"| "&amp;J23&amp;" "&amp;K23</v>
      </c>
      <c r="D72" s="32">
        <f>D11</f>
        <v>1</v>
      </c>
      <c r="E72" s="31" t="str">
        <f>E11</f>
        <v>coupe</v>
      </c>
      <c r="F72" s="33" t="str">
        <f>F11</f>
        <v>Recette mère ► MILLE-FEUILLE  aux fraises des bois</v>
      </c>
      <c r="G72" s="6129" t="s">
        <v>155</v>
      </c>
      <c r="H72" s="6129" t="s">
        <v>156</v>
      </c>
      <c r="I72" s="6137" t="s">
        <v>141</v>
      </c>
      <c r="J72" s="6129" t="s">
        <v>110</v>
      </c>
      <c r="K72" s="6129" t="s">
        <v>157</v>
      </c>
      <c r="L72" s="6129" t="s">
        <v>158</v>
      </c>
      <c r="M72" s="6137" t="s">
        <v>141</v>
      </c>
      <c r="N72" s="6142" t="s">
        <v>115</v>
      </c>
      <c r="O72" s="6143" t="s">
        <v>159</v>
      </c>
      <c r="P72" s="6143" t="s">
        <v>160</v>
      </c>
      <c r="Q72" s="6141" t="s">
        <v>161</v>
      </c>
      <c r="R72" s="6141" t="s">
        <v>162</v>
      </c>
      <c r="S72" s="6141" t="s">
        <v>105</v>
      </c>
      <c r="T72" s="1758" t="s">
        <v>1689</v>
      </c>
      <c r="U72" s="6144" t="s">
        <v>163</v>
      </c>
    </row>
    <row r="73" spans="1:21" ht="21" customHeight="1">
      <c r="B73" s="25" t="s">
        <v>15</v>
      </c>
      <c r="C73" s="31" t="str">
        <f>C11</f>
        <v>MAJUSCULE(GAUCHE(J21;1))&amp;" "&amp;J21&amp;" | "&amp;S21&amp;"| "&amp;J23&amp;" "&amp;K23</v>
      </c>
      <c r="D73" s="32">
        <f>D11</f>
        <v>1</v>
      </c>
      <c r="E73" s="31" t="str">
        <f>E11</f>
        <v>coupe</v>
      </c>
      <c r="F73" s="33" t="str">
        <f>F11</f>
        <v>Recette mère ► MILLE-FEUILLE  aux fraises des bois</v>
      </c>
      <c r="G73" s="6145">
        <v>1</v>
      </c>
      <c r="H73" s="6145">
        <v>1E-3</v>
      </c>
      <c r="I73" s="6146">
        <v>0</v>
      </c>
      <c r="J73" s="6145">
        <v>0.25</v>
      </c>
      <c r="K73" s="6145">
        <v>0.33332999999999996</v>
      </c>
      <c r="L73" s="6145">
        <v>0.5</v>
      </c>
      <c r="M73" s="6146">
        <v>0</v>
      </c>
      <c r="N73" s="6147">
        <v>1</v>
      </c>
      <c r="O73" s="6147">
        <v>0.1</v>
      </c>
      <c r="P73" s="6147">
        <v>0.01</v>
      </c>
      <c r="Q73" s="6147">
        <v>1E-3</v>
      </c>
      <c r="R73" s="6147">
        <v>0.5</v>
      </c>
      <c r="S73" s="6147">
        <v>0.25</v>
      </c>
      <c r="T73" s="6147">
        <v>0.33300000000000002</v>
      </c>
      <c r="U73" s="6148">
        <v>0.2</v>
      </c>
    </row>
    <row r="74" spans="1:21" ht="21" customHeight="1">
      <c r="B74" s="25" t="s">
        <v>15</v>
      </c>
      <c r="C74" s="31" t="str">
        <f>C11</f>
        <v>MAJUSCULE(GAUCHE(J21;1))&amp;" "&amp;J21&amp;" | "&amp;S21&amp;"| "&amp;J23&amp;" "&amp;K23</v>
      </c>
      <c r="D74" s="32">
        <f>D11</f>
        <v>1</v>
      </c>
      <c r="E74" s="31" t="str">
        <f>E11</f>
        <v>coupe</v>
      </c>
      <c r="F74" s="33" t="str">
        <f>F11</f>
        <v>Recette mère ► MILLE-FEUILLE  aux fraises des bois</v>
      </c>
      <c r="G74" s="6149">
        <v>2.835E-2</v>
      </c>
      <c r="H74" s="6149">
        <v>0.13</v>
      </c>
      <c r="I74" s="6150">
        <v>0</v>
      </c>
      <c r="J74" s="6149">
        <v>0.2</v>
      </c>
      <c r="K74" s="6149">
        <v>0.23</v>
      </c>
      <c r="L74" s="6149">
        <v>0.22500000000000001</v>
      </c>
      <c r="M74" s="6150">
        <v>0</v>
      </c>
      <c r="N74" s="6151">
        <v>0.35</v>
      </c>
      <c r="O74" s="6151">
        <v>5.0000000000000001E-3</v>
      </c>
      <c r="P74" s="6151">
        <v>5.0000000000000001E-3</v>
      </c>
      <c r="Q74" s="6151">
        <v>1.4999999999999999E-2</v>
      </c>
      <c r="R74" s="6151">
        <v>0.1</v>
      </c>
      <c r="S74" s="6151">
        <v>0.22500000000000001</v>
      </c>
      <c r="T74" s="6151">
        <v>4.0000000000000001E-3</v>
      </c>
      <c r="U74" s="6152">
        <v>1E-3</v>
      </c>
    </row>
    <row r="75" spans="1:21" ht="21" customHeight="1">
      <c r="B75" s="25" t="s">
        <v>15</v>
      </c>
      <c r="C75" s="31" t="str">
        <f>C11</f>
        <v>MAJUSCULE(GAUCHE(J21;1))&amp;" "&amp;J21&amp;" | "&amp;S21&amp;"| "&amp;J23&amp;" "&amp;K23</v>
      </c>
      <c r="D75" s="32">
        <f>D11</f>
        <v>1</v>
      </c>
      <c r="E75" s="31" t="str">
        <f>E11</f>
        <v>coupe</v>
      </c>
      <c r="F75" s="33" t="str">
        <f>F11</f>
        <v>Recette mère ► MILLE-FEUILLE  aux fraises des bois</v>
      </c>
      <c r="G75" s="6153" t="str">
        <f t="shared" ref="G75:U75" si="6">SUBSTITUTE(ADDRESS(1,COLUMN(),4),"1","")</f>
        <v>G</v>
      </c>
      <c r="H75" s="6153" t="str">
        <f t="shared" si="6"/>
        <v>H</v>
      </c>
      <c r="I75" s="6153" t="str">
        <f t="shared" si="6"/>
        <v>I</v>
      </c>
      <c r="J75" s="6153" t="str">
        <f t="shared" si="6"/>
        <v>J</v>
      </c>
      <c r="K75" s="6153" t="str">
        <f t="shared" si="6"/>
        <v>K</v>
      </c>
      <c r="L75" s="6153" t="str">
        <f t="shared" si="6"/>
        <v>L</v>
      </c>
      <c r="M75" s="6153" t="str">
        <f t="shared" si="6"/>
        <v>M</v>
      </c>
      <c r="N75" s="6153" t="str">
        <f t="shared" si="6"/>
        <v>N</v>
      </c>
      <c r="O75" s="6153" t="str">
        <f t="shared" si="6"/>
        <v>O</v>
      </c>
      <c r="P75" s="6153" t="str">
        <f t="shared" si="6"/>
        <v>P</v>
      </c>
      <c r="Q75" s="6153" t="str">
        <f t="shared" si="6"/>
        <v>Q</v>
      </c>
      <c r="R75" s="6153" t="str">
        <f t="shared" si="6"/>
        <v>R</v>
      </c>
      <c r="S75" s="6153" t="str">
        <f t="shared" si="6"/>
        <v>S</v>
      </c>
      <c r="T75" s="6153" t="str">
        <f t="shared" si="6"/>
        <v>T</v>
      </c>
      <c r="U75" s="6425" t="str">
        <f t="shared" si="6"/>
        <v>U</v>
      </c>
    </row>
    <row r="76" spans="1:21" ht="21" customHeight="1">
      <c r="B76" s="25" t="s">
        <v>15</v>
      </c>
      <c r="C76" s="31" t="str">
        <f>C11</f>
        <v>MAJUSCULE(GAUCHE(J21;1))&amp;" "&amp;J21&amp;" | "&amp;S21&amp;"| "&amp;J23&amp;" "&amp;K23</v>
      </c>
      <c r="D76" s="32">
        <f>D11</f>
        <v>1</v>
      </c>
      <c r="E76" s="31" t="str">
        <f>E11</f>
        <v>coupe</v>
      </c>
      <c r="F76" s="33" t="str">
        <f>F11</f>
        <v>Recette mère ► MILLE-FEUILLE  aux fraises des bois</v>
      </c>
      <c r="G76" s="6173">
        <f t="shared" ref="G76:U77" ca="1" si="7">CELL("largeur",G76)</f>
        <v>12</v>
      </c>
      <c r="H76" s="6173">
        <f t="shared" ca="1" si="7"/>
        <v>12</v>
      </c>
      <c r="I76" s="6173">
        <f t="shared" ca="1" si="7"/>
        <v>3</v>
      </c>
      <c r="J76" s="6173">
        <f t="shared" ca="1" si="7"/>
        <v>9</v>
      </c>
      <c r="K76" s="6173">
        <f t="shared" ca="1" si="7"/>
        <v>12</v>
      </c>
      <c r="L76" s="6173">
        <f t="shared" ca="1" si="7"/>
        <v>13</v>
      </c>
      <c r="M76" s="6173">
        <f t="shared" ca="1" si="7"/>
        <v>6</v>
      </c>
      <c r="N76" s="6173">
        <f t="shared" ca="1" si="7"/>
        <v>40</v>
      </c>
      <c r="O76" s="6173">
        <f t="shared" ca="1" si="7"/>
        <v>10</v>
      </c>
      <c r="P76" s="6173">
        <f t="shared" ca="1" si="7"/>
        <v>9</v>
      </c>
      <c r="Q76" s="6173">
        <f t="shared" ca="1" si="7"/>
        <v>18</v>
      </c>
      <c r="R76" s="6173">
        <f t="shared" ca="1" si="7"/>
        <v>13</v>
      </c>
      <c r="S76" s="6173">
        <f t="shared" ca="1" si="7"/>
        <v>13</v>
      </c>
      <c r="T76" s="6173">
        <f t="shared" ca="1" si="7"/>
        <v>13</v>
      </c>
      <c r="U76" s="6173">
        <f t="shared" ca="1" si="7"/>
        <v>17</v>
      </c>
    </row>
    <row r="77" spans="1:21" ht="21" customHeight="1">
      <c r="B77" s="25" t="s">
        <v>15</v>
      </c>
      <c r="C77" s="31" t="str">
        <f>C11</f>
        <v>MAJUSCULE(GAUCHE(J21;1))&amp;" "&amp;J21&amp;" | "&amp;S21&amp;"| "&amp;J23&amp;" "&amp;K23</v>
      </c>
      <c r="D77" s="32">
        <f>D11</f>
        <v>1</v>
      </c>
      <c r="E77" s="31" t="str">
        <f>E11</f>
        <v>coupe</v>
      </c>
      <c r="F77" s="33" t="str">
        <f>F11</f>
        <v>Recette mère ► MILLE-FEUILLE  aux fraises des bois</v>
      </c>
      <c r="G77" s="6173">
        <f t="shared" ca="1" si="7"/>
        <v>12</v>
      </c>
      <c r="H77" s="6173">
        <f t="shared" ca="1" si="7"/>
        <v>12</v>
      </c>
      <c r="I77" s="6173">
        <f t="shared" ca="1" si="7"/>
        <v>3</v>
      </c>
      <c r="J77" s="6173">
        <f t="shared" ca="1" si="7"/>
        <v>9</v>
      </c>
      <c r="K77" s="6173">
        <f t="shared" ca="1" si="7"/>
        <v>12</v>
      </c>
      <c r="L77" s="6173">
        <f t="shared" ca="1" si="7"/>
        <v>13</v>
      </c>
      <c r="M77" s="6174">
        <f t="shared" ca="1" si="7"/>
        <v>6</v>
      </c>
      <c r="N77" s="6173">
        <f t="shared" ca="1" si="7"/>
        <v>40</v>
      </c>
      <c r="O77" s="6173">
        <f t="shared" ca="1" si="7"/>
        <v>10</v>
      </c>
      <c r="P77" s="6173">
        <f t="shared" ca="1" si="7"/>
        <v>9</v>
      </c>
      <c r="Q77" s="6173">
        <f t="shared" ca="1" si="7"/>
        <v>18</v>
      </c>
      <c r="R77" s="6174">
        <f t="shared" ca="1" si="7"/>
        <v>13</v>
      </c>
      <c r="S77" s="6173">
        <f t="shared" ca="1" si="7"/>
        <v>13</v>
      </c>
      <c r="T77" s="6173">
        <f t="shared" ca="1" si="7"/>
        <v>13</v>
      </c>
      <c r="U77" s="6175">
        <f t="shared" ca="1" si="7"/>
        <v>17</v>
      </c>
    </row>
    <row r="78" spans="1:21" ht="21" customHeight="1">
      <c r="A78" s="1987" t="s">
        <v>8145</v>
      </c>
      <c r="B78" s="162" t="s">
        <v>10</v>
      </c>
      <c r="C78" s="6154" t="str">
        <f>C11</f>
        <v>MAJUSCULE(GAUCHE(J21;1))&amp;" "&amp;J21&amp;" | "&amp;S21&amp;"| "&amp;J23&amp;" "&amp;K23</v>
      </c>
      <c r="D78" s="6154">
        <f>D11</f>
        <v>1</v>
      </c>
      <c r="E78" s="6155" t="str">
        <f>E11</f>
        <v>coupe</v>
      </c>
      <c r="F78" s="6156" t="str">
        <f>F11</f>
        <v>Recette mère ► MILLE-FEUILLE  aux fraises des bois</v>
      </c>
      <c r="G78" s="6169" t="str">
        <f ca="1">"PHASES DE PROGRESSION ► largeur mini  = "&amp;SUM(M77:R77)</f>
        <v>PHASES DE PROGRESSION ► largeur mini  = 96</v>
      </c>
      <c r="H78" s="6170"/>
      <c r="I78" s="6171"/>
      <c r="J78" s="6171"/>
      <c r="K78" s="6171"/>
      <c r="L78" s="6172" t="str">
        <f ca="1">"largeur maxi  = "&amp;SUM(M77:U77)</f>
        <v>largeur maxi  = 139</v>
      </c>
      <c r="M78" s="6168" t="s">
        <v>821</v>
      </c>
      <c r="N78" s="1941"/>
      <c r="O78" s="1942"/>
      <c r="P78" s="1942"/>
      <c r="Q78" s="1942"/>
      <c r="R78" s="6167"/>
      <c r="S78" s="1989"/>
      <c r="T78" s="1989"/>
      <c r="U78" s="1990" t="s">
        <v>218</v>
      </c>
    </row>
    <row r="79" spans="1:21" ht="21" customHeight="1">
      <c r="B79" s="162" t="s">
        <v>10</v>
      </c>
      <c r="C79" s="163" t="str">
        <f>C11</f>
        <v>MAJUSCULE(GAUCHE(J21;1))&amp;" "&amp;J21&amp;" | "&amp;S21&amp;"| "&amp;J23&amp;" "&amp;K23</v>
      </c>
      <c r="D79" s="163">
        <f>D11</f>
        <v>1</v>
      </c>
      <c r="E79" s="164" t="str">
        <f>E11</f>
        <v>coupe</v>
      </c>
      <c r="F79" s="165" t="str">
        <f>F11</f>
        <v>Recette mère ► MILLE-FEUILLE  aux fraises des bois</v>
      </c>
      <c r="G79" s="1548"/>
      <c r="H79" s="2189"/>
      <c r="I79" s="2190"/>
      <c r="J79" s="5549"/>
      <c r="K79" s="2263"/>
      <c r="L79" s="1374">
        <v>0</v>
      </c>
      <c r="M79" s="1375" t="s">
        <v>8146</v>
      </c>
      <c r="N79" s="1810"/>
      <c r="O79" s="1810"/>
      <c r="P79" s="1810"/>
      <c r="Q79" s="1810"/>
      <c r="R79" s="1810"/>
      <c r="S79" s="9"/>
      <c r="T79" s="5993" t="s">
        <v>164</v>
      </c>
      <c r="U79" s="1330" t="s">
        <v>165</v>
      </c>
    </row>
    <row r="80" spans="1:21" ht="21" customHeight="1">
      <c r="B80" s="162" t="s">
        <v>10</v>
      </c>
      <c r="C80" s="163" t="str">
        <f>C11</f>
        <v>MAJUSCULE(GAUCHE(J21;1))&amp;" "&amp;J21&amp;" | "&amp;S21&amp;"| "&amp;J23&amp;" "&amp;K23</v>
      </c>
      <c r="D80" s="163">
        <f>D11</f>
        <v>1</v>
      </c>
      <c r="E80" s="164" t="str">
        <f>E11</f>
        <v>coupe</v>
      </c>
      <c r="F80" s="165" t="str">
        <f>F11</f>
        <v>Recette mère ► MILLE-FEUILLE  aux fraises des bois</v>
      </c>
      <c r="G80" s="1548"/>
      <c r="H80" s="2189" t="s">
        <v>8771</v>
      </c>
      <c r="I80" s="2190">
        <f>ROWS(M80:M80)</f>
        <v>1</v>
      </c>
      <c r="J80" s="5549" t="str" cm="1">
        <f t="array" ref="J80">IF(SUMPRODUCT((M80:R80&lt;&gt;"")*1)=0,"",SUMPRODUCT((M80:R80&lt;&gt;"")*(LEN(TRIM(SUBSTITUTE(M80:R80,CHAR(160)," "))) - LEN(SUBSTITUTE(TRIM(SUBSTITUTE(M80:R80,CHAR(160)," "))," ","")) + 1)) &amp; " mot" &amp; IF(SUMPRODUCT((M80:R80&lt;&gt;"")*(LEN(TRIM(SUBSTITUTE(M80:R80,CHAR(160)," "))) - LEN(SUBSTITUTE(TRIM(SUBSTITUTE(M80:R80,CHAR(160)," "))," ","")) + 1))&gt;1,"s",""))</f>
        <v>7 mots</v>
      </c>
      <c r="K80" s="2263" t="str" cm="1">
        <f t="array" ref="K80">SUMPRODUCT(--(M80:R80&lt;&gt;""), LEN(TRIM(SUBSTITUTE(M80:R80, CHAR(160), "")))) &amp; " Car."</f>
        <v>30 Car.</v>
      </c>
      <c r="L80" s="1376" t="str">
        <f>IF(ISBLANK(M80),"",LARGE(L79:L79,1)+1)</f>
        <v/>
      </c>
      <c r="M80" s="1810"/>
      <c r="N80" s="1810" t="s">
        <v>8410</v>
      </c>
      <c r="O80" s="1810"/>
      <c r="P80" s="1810"/>
      <c r="Q80" s="1810"/>
      <c r="R80" s="1810"/>
      <c r="S80" s="9"/>
      <c r="T80" s="5993" t="s">
        <v>167</v>
      </c>
      <c r="U80" s="1330" t="s">
        <v>165</v>
      </c>
    </row>
    <row r="81" spans="2:21" ht="21" customHeight="1">
      <c r="B81" s="162" t="s">
        <v>10</v>
      </c>
      <c r="C81" s="163" t="str">
        <f>C11</f>
        <v>MAJUSCULE(GAUCHE(J21;1))&amp;" "&amp;J21&amp;" | "&amp;S21&amp;"| "&amp;J23&amp;" "&amp;K23</v>
      </c>
      <c r="D81" s="163">
        <f>D11</f>
        <v>1</v>
      </c>
      <c r="E81" s="164" t="str">
        <f>E11</f>
        <v>coupe</v>
      </c>
      <c r="F81" s="165" t="str">
        <f>F11</f>
        <v>Recette mère ► MILLE-FEUILLE  aux fraises des bois</v>
      </c>
      <c r="G81" s="1548"/>
      <c r="H81" s="1548"/>
      <c r="I81" s="2190">
        <f>ROWS(M80:M81)</f>
        <v>2</v>
      </c>
      <c r="J81" s="5549" t="str" cm="1">
        <f t="array" ref="J81">IF(SUMPRODUCT((M81:R81&lt;&gt;"")*1)=0,"",SUMPRODUCT((M81:R81&lt;&gt;"")*(LEN(TRIM(SUBSTITUTE(M81:R81,CHAR(160)," "))) - LEN(SUBSTITUTE(TRIM(SUBSTITUTE(M81:R81,CHAR(160)," "))," ","")) + 1)) &amp; " mot" &amp; IF(SUMPRODUCT((M81:R81&lt;&gt;"")*(LEN(TRIM(SUBSTITUTE(M81:R81,CHAR(160)," "))) - LEN(SUBSTITUTE(TRIM(SUBSTITUTE(M81:R81,CHAR(160)," "))," ","")) + 1))&gt;1,"s",""))</f>
        <v>6 mots</v>
      </c>
      <c r="K81" s="2263" t="str" cm="1">
        <f t="array" ref="K81">SUMPRODUCT(--(M81:R81&lt;&gt;""), LEN(TRIM(SUBSTITUTE(M81:R81, CHAR(160), "")))) &amp; " Car."</f>
        <v>33 Car.</v>
      </c>
      <c r="L81" s="1376" t="str">
        <f>IF(ISBLANK(M81),"",LARGE(L79:L80,1)+1)</f>
        <v/>
      </c>
      <c r="M81" s="1810"/>
      <c r="N81" s="1810" t="s">
        <v>8408</v>
      </c>
      <c r="O81" s="1810"/>
      <c r="P81" s="1810"/>
      <c r="Q81" s="1810"/>
      <c r="R81" s="1810"/>
      <c r="S81" s="1810"/>
      <c r="T81" s="5994" t="s">
        <v>171</v>
      </c>
      <c r="U81" s="5564">
        <v>3.472222222222222E-3</v>
      </c>
    </row>
    <row r="82" spans="2:21" ht="21" customHeight="1">
      <c r="B82" s="162" t="s">
        <v>10</v>
      </c>
      <c r="C82" s="163" t="str">
        <f>C11</f>
        <v>MAJUSCULE(GAUCHE(J21;1))&amp;" "&amp;J21&amp;" | "&amp;S21&amp;"| "&amp;J23&amp;" "&amp;K23</v>
      </c>
      <c r="D82" s="163">
        <f>D11</f>
        <v>1</v>
      </c>
      <c r="E82" s="164" t="str">
        <f>E11</f>
        <v>coupe</v>
      </c>
      <c r="F82" s="165" t="str">
        <f>F11</f>
        <v>Recette mère ► MILLE-FEUILLE  aux fraises des bois</v>
      </c>
      <c r="G82" s="1548"/>
      <c r="H82" s="1548"/>
      <c r="I82" s="2190">
        <f>ROWS(M80:M82)</f>
        <v>3</v>
      </c>
      <c r="J82" s="5549" t="str" cm="1">
        <f t="array" ref="J82">IF(SUMPRODUCT((M82:R82&lt;&gt;"")*1)=0,"",SUMPRODUCT((M82:R82&lt;&gt;"")*(LEN(TRIM(SUBSTITUTE(M82:R82,CHAR(160)," "))) - LEN(SUBSTITUTE(TRIM(SUBSTITUTE(M82:R82,CHAR(160)," "))," ","")) + 1)) &amp; " mot" &amp; IF(SUMPRODUCT((M82:R82&lt;&gt;"")*(LEN(TRIM(SUBSTITUTE(M82:R82,CHAR(160)," "))) - LEN(SUBSTITUTE(TRIM(SUBSTITUTE(M82:R82,CHAR(160)," "))," ","")) + 1))&gt;1,"s",""))</f>
        <v>3 mots</v>
      </c>
      <c r="K82" s="2263" t="str" cm="1">
        <f t="array" ref="K82">SUMPRODUCT(--(M82:R82&lt;&gt;""), LEN(TRIM(SUBSTITUTE(M82:R82, CHAR(160), "")))) &amp; " Car."</f>
        <v>23 Car.</v>
      </c>
      <c r="L82" s="1376" t="str">
        <f>IF(ISBLANK(M82),"",LARGE(L79:L81,1)+1)</f>
        <v/>
      </c>
      <c r="M82" s="1810"/>
      <c r="N82" s="1810" t="s">
        <v>8409</v>
      </c>
      <c r="O82" s="1810"/>
      <c r="P82" s="1810"/>
      <c r="Q82" s="1810"/>
      <c r="R82" s="1810"/>
      <c r="S82" s="1810"/>
      <c r="T82" s="5994" t="s">
        <v>173</v>
      </c>
      <c r="U82" s="5565">
        <v>1.0416666666666666E-2</v>
      </c>
    </row>
    <row r="83" spans="2:21" ht="21" customHeight="1">
      <c r="B83" s="162" t="s">
        <v>10</v>
      </c>
      <c r="C83" s="163" t="str">
        <f>C11</f>
        <v>MAJUSCULE(GAUCHE(J21;1))&amp;" "&amp;J21&amp;" | "&amp;S21&amp;"| "&amp;J23&amp;" "&amp;K23</v>
      </c>
      <c r="D83" s="163">
        <f>D11</f>
        <v>1</v>
      </c>
      <c r="E83" s="164" t="str">
        <f>E11</f>
        <v>coupe</v>
      </c>
      <c r="F83" s="165" t="str">
        <f>F11</f>
        <v>Recette mère ► MILLE-FEUILLE  aux fraises des bois</v>
      </c>
      <c r="G83" s="1548"/>
      <c r="H83" s="1548"/>
      <c r="I83" s="2190">
        <f>ROWS(M80:M83)</f>
        <v>4</v>
      </c>
      <c r="J83" s="5549" t="str" cm="1">
        <f t="array" ref="J83">IF(SUMPRODUCT((M83:R83&lt;&gt;"")*1)=0,"",SUMPRODUCT((M83:R83&lt;&gt;"")*(LEN(TRIM(SUBSTITUTE(M83:R83,CHAR(160)," "))) - LEN(SUBSTITUTE(TRIM(SUBSTITUTE(M83:R83,CHAR(160)," "))," ","")) + 1)) &amp; " mot" &amp; IF(SUMPRODUCT((M83:R83&lt;&gt;"")*(LEN(TRIM(SUBSTITUTE(M83:R83,CHAR(160)," "))) - LEN(SUBSTITUTE(TRIM(SUBSTITUTE(M83:R83,CHAR(160)," "))," ","")) + 1))&gt;1,"s",""))</f>
        <v/>
      </c>
      <c r="K83" s="2263" t="str" cm="1">
        <f t="array" ref="K83">SUMPRODUCT(--(M83:R83&lt;&gt;""), LEN(TRIM(SUBSTITUTE(M83:R83, CHAR(160), "")))) &amp; " Car."</f>
        <v>0 Car.</v>
      </c>
      <c r="L83" s="1376" t="str">
        <f>IF(ISBLANK(M83),"",LARGE(L79:L82,1)+1)</f>
        <v/>
      </c>
      <c r="M83" s="1810"/>
      <c r="N83" s="1833"/>
      <c r="O83" s="1810"/>
      <c r="P83" s="1810"/>
      <c r="Q83" s="1810"/>
      <c r="R83" s="1810"/>
      <c r="S83" s="1810"/>
      <c r="T83" s="5994" t="s">
        <v>181</v>
      </c>
      <c r="U83" s="178">
        <v>2.0833333333333332E-2</v>
      </c>
    </row>
    <row r="84" spans="2:21" ht="21" customHeight="1">
      <c r="B84" s="162" t="s">
        <v>10</v>
      </c>
      <c r="C84" s="163" t="str">
        <f>C11</f>
        <v>MAJUSCULE(GAUCHE(J21;1))&amp;" "&amp;J21&amp;" | "&amp;S21&amp;"| "&amp;J23&amp;" "&amp;K23</v>
      </c>
      <c r="D84" s="163">
        <f>D11</f>
        <v>1</v>
      </c>
      <c r="E84" s="164" t="str">
        <f>E11</f>
        <v>coupe</v>
      </c>
      <c r="F84" s="165" t="str">
        <f>F11</f>
        <v>Recette mère ► MILLE-FEUILLE  aux fraises des bois</v>
      </c>
      <c r="G84" s="1548"/>
      <c r="H84" s="1548"/>
      <c r="I84" s="2190">
        <f>ROWS(M80:M84)</f>
        <v>5</v>
      </c>
      <c r="J84" s="5549" t="str" cm="1">
        <f t="array" ref="J84">IF(SUMPRODUCT((M84:R84&lt;&gt;"")*1)=0,"",SUMPRODUCT((M84:R84&lt;&gt;"")*(LEN(TRIM(SUBSTITUTE(M84:R84,CHAR(160)," "))) - LEN(SUBSTITUTE(TRIM(SUBSTITUTE(M84:R84,CHAR(160)," "))," ","")) + 1)) &amp; " mot" &amp; IF(SUMPRODUCT((M84:R84&lt;&gt;"")*(LEN(TRIM(SUBSTITUTE(M84:R84,CHAR(160)," "))) - LEN(SUBSTITUTE(TRIM(SUBSTITUTE(M84:R84,CHAR(160)," "))," ","")) + 1))&gt;1,"s",""))</f>
        <v/>
      </c>
      <c r="K84" s="2263" t="str" cm="1">
        <f t="array" ref="K84">SUMPRODUCT(--(M84:R84&lt;&gt;""), LEN(TRIM(SUBSTITUTE(M84:R84, CHAR(160), "")))) &amp; " Car."</f>
        <v>0 Car.</v>
      </c>
      <c r="L84" s="1376" t="str">
        <f>IF(ISBLANK(M84),"",LARGE(L79:L83,1)+1)</f>
        <v/>
      </c>
      <c r="M84" s="1810"/>
      <c r="N84" s="1810"/>
      <c r="O84" s="1810"/>
      <c r="P84" s="1810"/>
      <c r="Q84" s="1810"/>
      <c r="R84" s="1810"/>
      <c r="S84" s="1810"/>
      <c r="T84" s="179" t="s">
        <v>182</v>
      </c>
      <c r="U84" s="180">
        <f>U81+U82+U83</f>
        <v>3.4722222222222224E-2</v>
      </c>
    </row>
    <row r="85" spans="2:21" ht="21" customHeight="1">
      <c r="B85" s="162" t="s">
        <v>10</v>
      </c>
      <c r="C85" s="163" t="str">
        <f>C11</f>
        <v>MAJUSCULE(GAUCHE(J21;1))&amp;" "&amp;J21&amp;" | "&amp;S21&amp;"| "&amp;J23&amp;" "&amp;K23</v>
      </c>
      <c r="D85" s="163">
        <f>D11</f>
        <v>1</v>
      </c>
      <c r="E85" s="164" t="str">
        <f>E11</f>
        <v>coupe</v>
      </c>
      <c r="F85" s="165" t="str">
        <f>F11</f>
        <v>Recette mère ► MILLE-FEUILLE  aux fraises des bois</v>
      </c>
      <c r="G85" s="1548"/>
      <c r="H85" s="1548"/>
      <c r="I85" s="2190">
        <f>ROWS(M80:M85)</f>
        <v>6</v>
      </c>
      <c r="J85" s="5549" t="str" cm="1">
        <f t="array" ref="J85">IF(SUMPRODUCT((M85:R85&lt;&gt;"")*1)=0,"",SUMPRODUCT((M85:R85&lt;&gt;"")*(LEN(TRIM(SUBSTITUTE(M85:R85,CHAR(160)," "))) - LEN(SUBSTITUTE(TRIM(SUBSTITUTE(M85:R85,CHAR(160)," "))," ","")) + 1)) &amp; " mot" &amp; IF(SUMPRODUCT((M85:R85&lt;&gt;"")*(LEN(TRIM(SUBSTITUTE(M85:R85,CHAR(160)," "))) - LEN(SUBSTITUTE(TRIM(SUBSTITUTE(M85:R85,CHAR(160)," "))," ","")) + 1))&gt;1,"s",""))</f>
        <v>5 mots</v>
      </c>
      <c r="K85" s="2263" t="str" cm="1">
        <f t="array" ref="K85">SUMPRODUCT(--(M85:R85&lt;&gt;""), LEN(TRIM(SUBSTITUTE(M85:R85, CHAR(160), "")))) &amp; " Car."</f>
        <v>43 Car.</v>
      </c>
      <c r="L85" s="1376">
        <f>IF(ISBLANK(M85),"",LARGE(L79:L84,1)+1)</f>
        <v>1</v>
      </c>
      <c r="M85" s="1810" t="s">
        <v>8578</v>
      </c>
      <c r="N85" s="1833"/>
      <c r="O85" s="1810"/>
      <c r="P85" s="1810"/>
      <c r="Q85" s="1810"/>
      <c r="R85" s="1810"/>
      <c r="S85" s="1810"/>
      <c r="T85" s="1810"/>
      <c r="U85" s="1811"/>
    </row>
    <row r="86" spans="2:21" ht="21" customHeight="1">
      <c r="B86" s="162" t="s">
        <v>10</v>
      </c>
      <c r="C86" s="163" t="str">
        <f>C11</f>
        <v>MAJUSCULE(GAUCHE(J21;1))&amp;" "&amp;J21&amp;" | "&amp;S21&amp;"| "&amp;J23&amp;" "&amp;K23</v>
      </c>
      <c r="D86" s="163">
        <f>D11</f>
        <v>1</v>
      </c>
      <c r="E86" s="164" t="str">
        <f>E11</f>
        <v>coupe</v>
      </c>
      <c r="F86" s="165" t="str">
        <f>F11</f>
        <v>Recette mère ► MILLE-FEUILLE  aux fraises des bois</v>
      </c>
      <c r="G86" s="1548"/>
      <c r="H86" s="1548"/>
      <c r="I86" s="2190">
        <f>ROWS(M80:M86)</f>
        <v>7</v>
      </c>
      <c r="J86" s="5549" t="str" cm="1">
        <f t="array" ref="J86">IF(SUMPRODUCT((M86:R86&lt;&gt;"")*1)=0,"",SUMPRODUCT((M86:R86&lt;&gt;"")*(LEN(TRIM(SUBSTITUTE(M86:R86,CHAR(160)," "))) - LEN(SUBSTITUTE(TRIM(SUBSTITUTE(M86:R86,CHAR(160)," "))," ","")) + 1)) &amp; " mot" &amp; IF(SUMPRODUCT((M86:R86&lt;&gt;"")*(LEN(TRIM(SUBSTITUTE(M86:R86,CHAR(160)," "))) - LEN(SUBSTITUTE(TRIM(SUBSTITUTE(M86:R86,CHAR(160)," "))," ","")) + 1))&gt;1,"s",""))</f>
        <v>8 mots</v>
      </c>
      <c r="K86" s="2263" t="str" cm="1">
        <f t="array" ref="K86">SUMPRODUCT(--(M86:R86&lt;&gt;""), LEN(TRIM(SUBSTITUTE(M86:R86, CHAR(160), "")))) &amp; " Car."</f>
        <v>50 Car.</v>
      </c>
      <c r="L86" s="1376" t="str">
        <f>IF(ISBLANK(M86),"",LARGE(L79:L85,1)+1)</f>
        <v/>
      </c>
      <c r="M86" s="1810"/>
      <c r="N86" s="1810" t="s">
        <v>8579</v>
      </c>
      <c r="O86" s="1810"/>
      <c r="P86" s="1810"/>
      <c r="Q86" s="1810"/>
      <c r="R86" s="1810"/>
      <c r="S86" s="1810"/>
      <c r="T86" s="1810"/>
      <c r="U86" s="1811"/>
    </row>
    <row r="87" spans="2:21" ht="21" customHeight="1">
      <c r="B87" s="162" t="s">
        <v>10</v>
      </c>
      <c r="C87" s="163" t="str">
        <f>C11</f>
        <v>MAJUSCULE(GAUCHE(J21;1))&amp;" "&amp;J21&amp;" | "&amp;S21&amp;"| "&amp;J23&amp;" "&amp;K23</v>
      </c>
      <c r="D87" s="163">
        <f>D11</f>
        <v>1</v>
      </c>
      <c r="E87" s="164" t="str">
        <f>E11</f>
        <v>coupe</v>
      </c>
      <c r="F87" s="165" t="str">
        <f>F11</f>
        <v>Recette mère ► MILLE-FEUILLE  aux fraises des bois</v>
      </c>
      <c r="G87" s="1548"/>
      <c r="H87" s="1548"/>
      <c r="I87" s="2190">
        <f>ROWS(M80:M87)</f>
        <v>8</v>
      </c>
      <c r="J87" s="5549" t="str" cm="1">
        <f t="array" ref="J87">IF(SUMPRODUCT((M87:R87&lt;&gt;"")*1)=0,"",SUMPRODUCT((M87:R87&lt;&gt;"")*(LEN(TRIM(SUBSTITUTE(M87:R87,CHAR(160)," "))) - LEN(SUBSTITUTE(TRIM(SUBSTITUTE(M87:R87,CHAR(160)," "))," ","")) + 1)) &amp; " mot" &amp; IF(SUMPRODUCT((M87:R87&lt;&gt;"")*(LEN(TRIM(SUBSTITUTE(M87:R87,CHAR(160)," "))) - LEN(SUBSTITUTE(TRIM(SUBSTITUTE(M87:R87,CHAR(160)," "))," ","")) + 1))&gt;1,"s",""))</f>
        <v/>
      </c>
      <c r="K87" s="2263" t="str" cm="1">
        <f t="array" ref="K87">SUMPRODUCT(--(M87:R87&lt;&gt;""), LEN(TRIM(SUBSTITUTE(M87:R87, CHAR(160), "")))) &amp; " Car."</f>
        <v>0 Car.</v>
      </c>
      <c r="L87" s="1376" t="str">
        <f>IF(ISBLANK(M87),"",LARGE(L79:L86,1)+1)</f>
        <v/>
      </c>
      <c r="M87" s="1810"/>
      <c r="N87" s="1810"/>
      <c r="O87" s="1810"/>
      <c r="P87" s="1810"/>
      <c r="Q87" s="1810"/>
      <c r="R87" s="1810"/>
      <c r="S87" s="1810"/>
      <c r="T87" s="1810"/>
      <c r="U87" s="1811"/>
    </row>
    <row r="88" spans="2:21" ht="21" customHeight="1">
      <c r="B88" s="162" t="s">
        <v>10</v>
      </c>
      <c r="C88" s="163" t="str">
        <f>C11</f>
        <v>MAJUSCULE(GAUCHE(J21;1))&amp;" "&amp;J21&amp;" | "&amp;S21&amp;"| "&amp;J23&amp;" "&amp;K23</v>
      </c>
      <c r="D88" s="163">
        <f>D11</f>
        <v>1</v>
      </c>
      <c r="E88" s="164" t="str">
        <f>E11</f>
        <v>coupe</v>
      </c>
      <c r="F88" s="165" t="str">
        <f>F11</f>
        <v>Recette mère ► MILLE-FEUILLE  aux fraises des bois</v>
      </c>
      <c r="G88" s="1548"/>
      <c r="H88" s="1548"/>
      <c r="I88" s="2190">
        <f>ROWS(M80:M88)</f>
        <v>9</v>
      </c>
      <c r="J88" s="5549" t="str" cm="1">
        <f t="array" ref="J88">IF(SUMPRODUCT((M88:R88&lt;&gt;"")*1)=0,"",SUMPRODUCT((M88:R88&lt;&gt;"")*(LEN(TRIM(SUBSTITUTE(M88:R88,CHAR(160)," "))) - LEN(SUBSTITUTE(TRIM(SUBSTITUTE(M88:R88,CHAR(160)," "))," ","")) + 1)) &amp; " mot" &amp; IF(SUMPRODUCT((M88:R88&lt;&gt;"")*(LEN(TRIM(SUBSTITUTE(M88:R88,CHAR(160)," "))) - LEN(SUBSTITUTE(TRIM(SUBSTITUTE(M88:R88,CHAR(160)," "))," ","")) + 1))&gt;1,"s",""))</f>
        <v/>
      </c>
      <c r="K88" s="2263" t="str" cm="1">
        <f t="array" ref="K88">SUMPRODUCT(--(M88:R88&lt;&gt;""), LEN(TRIM(SUBSTITUTE(M88:R88, CHAR(160), "")))) &amp; " Car."</f>
        <v>0 Car.</v>
      </c>
      <c r="L88" s="1376" t="str">
        <f>IF(ISBLANK(M88),"",LARGE(L79:L87,1)+1)</f>
        <v/>
      </c>
      <c r="M88" s="1810"/>
      <c r="N88" s="1810"/>
      <c r="O88" s="1810"/>
      <c r="P88" s="1810"/>
      <c r="Q88" s="1810"/>
      <c r="R88" s="1810"/>
      <c r="S88" s="1810"/>
      <c r="T88" s="1810"/>
      <c r="U88" s="1811"/>
    </row>
    <row r="89" spans="2:21" ht="21" customHeight="1">
      <c r="B89" s="162" t="s">
        <v>10</v>
      </c>
      <c r="C89" s="163" t="str">
        <f>C11</f>
        <v>MAJUSCULE(GAUCHE(J21;1))&amp;" "&amp;J21&amp;" | "&amp;S21&amp;"| "&amp;J23&amp;" "&amp;K23</v>
      </c>
      <c r="D89" s="163">
        <f>D11</f>
        <v>1</v>
      </c>
      <c r="E89" s="164" t="str">
        <f>E11</f>
        <v>coupe</v>
      </c>
      <c r="F89" s="165" t="str">
        <f>F11</f>
        <v>Recette mère ► MILLE-FEUILLE  aux fraises des bois</v>
      </c>
      <c r="G89" s="1548"/>
      <c r="H89" s="1548"/>
      <c r="I89" s="2190">
        <f>ROWS(M80:M89)</f>
        <v>10</v>
      </c>
      <c r="J89" s="5549" t="str" cm="1">
        <f t="array" ref="J89">IF(SUMPRODUCT((M89:R89&lt;&gt;"")*1)=0,"",SUMPRODUCT((M89:R89&lt;&gt;"")*(LEN(TRIM(SUBSTITUTE(M89:R89,CHAR(160)," "))) - LEN(SUBSTITUTE(TRIM(SUBSTITUTE(M89:R89,CHAR(160)," "))," ","")) + 1)) &amp; " mot" &amp; IF(SUMPRODUCT((M89:R89&lt;&gt;"")*(LEN(TRIM(SUBSTITUTE(M89:R89,CHAR(160)," "))) - LEN(SUBSTITUTE(TRIM(SUBSTITUTE(M89:R89,CHAR(160)," "))," ","")) + 1))&gt;1,"s",""))</f>
        <v/>
      </c>
      <c r="K89" s="2263" t="str" cm="1">
        <f t="array" ref="K89">SUMPRODUCT(--(M89:R89&lt;&gt;""), LEN(TRIM(SUBSTITUTE(M89:R89, CHAR(160), "")))) &amp; " Car."</f>
        <v>0 Car.</v>
      </c>
      <c r="L89" s="1376" t="str">
        <f>IF(ISBLANK(M89),"",LARGE(L79:L88,1)+1)</f>
        <v/>
      </c>
      <c r="M89" s="1810"/>
      <c r="N89" s="1810"/>
      <c r="O89" s="1810"/>
      <c r="P89" s="1810"/>
      <c r="Q89" s="1810"/>
      <c r="R89" s="1810"/>
      <c r="S89" s="1810"/>
      <c r="T89" s="1810"/>
      <c r="U89" s="1811"/>
    </row>
    <row r="90" spans="2:21" ht="21" customHeight="1">
      <c r="B90" s="162" t="s">
        <v>10</v>
      </c>
      <c r="C90" s="163" t="str">
        <f>C11</f>
        <v>MAJUSCULE(GAUCHE(J21;1))&amp;" "&amp;J21&amp;" | "&amp;S21&amp;"| "&amp;J23&amp;" "&amp;K23</v>
      </c>
      <c r="D90" s="1943">
        <f>D11</f>
        <v>1</v>
      </c>
      <c r="E90" s="164" t="str">
        <f>E11</f>
        <v>coupe</v>
      </c>
      <c r="F90" s="165" t="str">
        <f>F11</f>
        <v>Recette mère ► MILLE-FEUILLE  aux fraises des bois</v>
      </c>
      <c r="G90" s="1548"/>
      <c r="H90" s="1548"/>
      <c r="I90" s="2190">
        <f>ROWS(M80:M90)</f>
        <v>11</v>
      </c>
      <c r="J90" s="5549" t="str" cm="1">
        <f t="array" ref="J90">IF(SUMPRODUCT((M90:R90&lt;&gt;"")*1)=0,"",SUMPRODUCT((M90:R90&lt;&gt;"")*(LEN(TRIM(SUBSTITUTE(M90:R90,CHAR(160)," "))) - LEN(SUBSTITUTE(TRIM(SUBSTITUTE(M90:R90,CHAR(160)," "))," ","")) + 1)) &amp; " mot" &amp; IF(SUMPRODUCT((M90:R90&lt;&gt;"")*(LEN(TRIM(SUBSTITUTE(M90:R90,CHAR(160)," "))) - LEN(SUBSTITUTE(TRIM(SUBSTITUTE(M90:R90,CHAR(160)," "))," ","")) + 1))&gt;1,"s",""))</f>
        <v/>
      </c>
      <c r="K90" s="2263" t="str" cm="1">
        <f t="array" ref="K90">SUMPRODUCT(--(M90:R90&lt;&gt;""), LEN(TRIM(SUBSTITUTE(M90:R90, CHAR(160), "")))) &amp; " Car."</f>
        <v>0 Car.</v>
      </c>
      <c r="L90" s="1376" t="str">
        <f>IF(ISBLANK(M90),"",LARGE(L79:L89,1)+1)</f>
        <v/>
      </c>
      <c r="M90" s="1810"/>
      <c r="N90" s="1810"/>
      <c r="O90" s="1810"/>
      <c r="P90" s="1810"/>
      <c r="Q90" s="1810"/>
      <c r="R90" s="1810"/>
      <c r="S90" s="1810"/>
      <c r="T90" s="1810"/>
      <c r="U90" s="1811"/>
    </row>
    <row r="91" spans="2:21" ht="21" customHeight="1">
      <c r="B91" s="162" t="s">
        <v>10</v>
      </c>
      <c r="C91" s="163" t="str">
        <f>C11</f>
        <v>MAJUSCULE(GAUCHE(J21;1))&amp;" "&amp;J21&amp;" | "&amp;S21&amp;"| "&amp;J23&amp;" "&amp;K23</v>
      </c>
      <c r="D91" s="163">
        <f>D11</f>
        <v>1</v>
      </c>
      <c r="E91" s="164" t="str">
        <f>E11</f>
        <v>coupe</v>
      </c>
      <c r="F91" s="165" t="str">
        <f>F11</f>
        <v>Recette mère ► MILLE-FEUILLE  aux fraises des bois</v>
      </c>
      <c r="G91" s="1548"/>
      <c r="H91" s="1548"/>
      <c r="I91" s="2190">
        <f>ROWS(M80:M91)</f>
        <v>12</v>
      </c>
      <c r="J91" s="5549" t="str" cm="1">
        <f t="array" ref="J91">IF(SUMPRODUCT((M91:R91&lt;&gt;"")*1)=0,"",SUMPRODUCT((M91:R91&lt;&gt;"")*(LEN(TRIM(SUBSTITUTE(M91:R91,CHAR(160)," "))) - LEN(SUBSTITUTE(TRIM(SUBSTITUTE(M91:R91,CHAR(160)," "))," ","")) + 1)) &amp; " mot" &amp; IF(SUMPRODUCT((M91:R91&lt;&gt;"")*(LEN(TRIM(SUBSTITUTE(M91:R91,CHAR(160)," "))) - LEN(SUBSTITUTE(TRIM(SUBSTITUTE(M91:R91,CHAR(160)," "))," ","")) + 1))&gt;1,"s",""))</f>
        <v/>
      </c>
      <c r="K91" s="2263" t="str" cm="1">
        <f t="array" ref="K91">SUMPRODUCT(--(M91:R91&lt;&gt;""), LEN(TRIM(SUBSTITUTE(M91:R91, CHAR(160), "")))) &amp; " Car."</f>
        <v>0 Car.</v>
      </c>
      <c r="L91" s="1376" t="str">
        <f>IF(ISBLANK(M91),"",LARGE(L79:L90,1)+1)</f>
        <v/>
      </c>
      <c r="M91" s="1810"/>
      <c r="N91" s="1810"/>
      <c r="O91" s="1810"/>
      <c r="P91" s="1810"/>
      <c r="Q91" s="1810"/>
      <c r="R91" s="1810"/>
      <c r="S91" s="1810"/>
      <c r="T91" s="1810"/>
      <c r="U91" s="1811"/>
    </row>
    <row r="92" spans="2:21" ht="21" customHeight="1">
      <c r="B92" s="162" t="s">
        <v>10</v>
      </c>
      <c r="C92" s="163" t="str">
        <f>C11</f>
        <v>MAJUSCULE(GAUCHE(J21;1))&amp;" "&amp;J21&amp;" | "&amp;S21&amp;"| "&amp;J23&amp;" "&amp;K23</v>
      </c>
      <c r="D92" s="163">
        <f>D11</f>
        <v>1</v>
      </c>
      <c r="E92" s="164" t="str">
        <f>E11</f>
        <v>coupe</v>
      </c>
      <c r="F92" s="165" t="str">
        <f>F11</f>
        <v>Recette mère ► MILLE-FEUILLE  aux fraises des bois</v>
      </c>
      <c r="G92" s="1548"/>
      <c r="H92" s="1548"/>
      <c r="I92" s="2190">
        <f>ROWS(M80:M92)</f>
        <v>13</v>
      </c>
      <c r="J92" s="5549" t="str" cm="1">
        <f t="array" ref="J92">IF(SUMPRODUCT((M92:R92&lt;&gt;"")*1)=0,"",SUMPRODUCT((M92:R92&lt;&gt;"")*(LEN(TRIM(SUBSTITUTE(M92:R92,CHAR(160)," "))) - LEN(SUBSTITUTE(TRIM(SUBSTITUTE(M92:R92,CHAR(160)," "))," ","")) + 1)) &amp; " mot" &amp; IF(SUMPRODUCT((M92:R92&lt;&gt;"")*(LEN(TRIM(SUBSTITUTE(M92:R92,CHAR(160)," "))) - LEN(SUBSTITUTE(TRIM(SUBSTITUTE(M92:R92,CHAR(160)," "))," ","")) + 1))&gt;1,"s",""))</f>
        <v/>
      </c>
      <c r="K92" s="2263" t="str" cm="1">
        <f t="array" ref="K92">SUMPRODUCT(--(M92:R92&lt;&gt;""), LEN(TRIM(SUBSTITUTE(M92:R92, CHAR(160), "")))) &amp; " Car."</f>
        <v>0 Car.</v>
      </c>
      <c r="L92" s="1376" t="str">
        <f>IF(ISBLANK(M92),"",LARGE(L79:L91,1)+1)</f>
        <v/>
      </c>
      <c r="M92" s="1810"/>
      <c r="N92" s="1810"/>
      <c r="O92" s="1810"/>
      <c r="P92" s="1810"/>
      <c r="Q92" s="1810"/>
      <c r="R92" s="1810"/>
      <c r="S92" s="1810"/>
      <c r="T92" s="1810"/>
      <c r="U92" s="1811"/>
    </row>
    <row r="93" spans="2:21" ht="21" customHeight="1">
      <c r="B93" s="162" t="s">
        <v>10</v>
      </c>
      <c r="C93" s="163" t="str">
        <f>C11</f>
        <v>MAJUSCULE(GAUCHE(J21;1))&amp;" "&amp;J21&amp;" | "&amp;S21&amp;"| "&amp;J23&amp;" "&amp;K23</v>
      </c>
      <c r="D93" s="163">
        <f>D11</f>
        <v>1</v>
      </c>
      <c r="E93" s="164" t="str">
        <f>E11</f>
        <v>coupe</v>
      </c>
      <c r="F93" s="165" t="str">
        <f>F11</f>
        <v>Recette mère ► MILLE-FEUILLE  aux fraises des bois</v>
      </c>
      <c r="G93" s="1548"/>
      <c r="H93" s="1548"/>
      <c r="I93" s="2190">
        <f>ROWS(M80:M93)</f>
        <v>14</v>
      </c>
      <c r="J93" s="5549" t="str" cm="1">
        <f t="array" ref="J93">IF(SUMPRODUCT((M93:R93&lt;&gt;"")*1)=0,"",SUMPRODUCT((M93:R93&lt;&gt;"")*(LEN(TRIM(SUBSTITUTE(M93:R93,CHAR(160)," "))) - LEN(SUBSTITUTE(TRIM(SUBSTITUTE(M93:R93,CHAR(160)," "))," ","")) + 1)) &amp; " mot" &amp; IF(SUMPRODUCT((M93:R93&lt;&gt;"")*(LEN(TRIM(SUBSTITUTE(M93:R93,CHAR(160)," "))) - LEN(SUBSTITUTE(TRIM(SUBSTITUTE(M93:R93,CHAR(160)," "))," ","")) + 1))&gt;1,"s",""))</f>
        <v/>
      </c>
      <c r="K93" s="2263" t="str" cm="1">
        <f t="array" ref="K93">SUMPRODUCT(--(M93:R93&lt;&gt;""), LEN(TRIM(SUBSTITUTE(M93:R93, CHAR(160), "")))) &amp; " Car."</f>
        <v>0 Car.</v>
      </c>
      <c r="L93" s="1376" t="str">
        <f>IF(ISBLANK(M93),"",LARGE(L79:L92,1)+1)</f>
        <v/>
      </c>
      <c r="M93" s="1810"/>
      <c r="N93" s="1810"/>
      <c r="O93" s="1810"/>
      <c r="P93" s="1810"/>
      <c r="Q93" s="1810"/>
      <c r="R93" s="1810"/>
      <c r="S93" s="1810"/>
      <c r="T93" s="1810"/>
      <c r="U93" s="1811"/>
    </row>
    <row r="94" spans="2:21" ht="21" customHeight="1">
      <c r="B94" s="162" t="s">
        <v>10</v>
      </c>
      <c r="C94" s="163" t="str">
        <f>C11</f>
        <v>MAJUSCULE(GAUCHE(J21;1))&amp;" "&amp;J21&amp;" | "&amp;S21&amp;"| "&amp;J23&amp;" "&amp;K23</v>
      </c>
      <c r="D94" s="163">
        <f>D11</f>
        <v>1</v>
      </c>
      <c r="E94" s="164" t="str">
        <f>E11</f>
        <v>coupe</v>
      </c>
      <c r="F94" s="165" t="str">
        <f>F11</f>
        <v>Recette mère ► MILLE-FEUILLE  aux fraises des bois</v>
      </c>
      <c r="G94" s="1548"/>
      <c r="H94" s="1548"/>
      <c r="I94" s="2190">
        <f>ROWS(M80:M94)</f>
        <v>15</v>
      </c>
      <c r="J94" s="5549" t="str" cm="1">
        <f t="array" ref="J94">IF(SUMPRODUCT((M94:R94&lt;&gt;"")*1)=0,"",SUMPRODUCT((M94:R94&lt;&gt;"")*(LEN(TRIM(SUBSTITUTE(M94:R94,CHAR(160)," "))) - LEN(SUBSTITUTE(TRIM(SUBSTITUTE(M94:R94,CHAR(160)," "))," ","")) + 1)) &amp; " mot" &amp; IF(SUMPRODUCT((M94:R94&lt;&gt;"")*(LEN(TRIM(SUBSTITUTE(M94:R94,CHAR(160)," "))) - LEN(SUBSTITUTE(TRIM(SUBSTITUTE(M94:R94,CHAR(160)," "))," ","")) + 1))&gt;1,"s",""))</f>
        <v/>
      </c>
      <c r="K94" s="2263" t="str" cm="1">
        <f t="array" ref="K94">SUMPRODUCT(--(M94:R94&lt;&gt;""), LEN(TRIM(SUBSTITUTE(M94:R94, CHAR(160), "")))) &amp; " Car."</f>
        <v>0 Car.</v>
      </c>
      <c r="L94" s="1376" t="str">
        <f>IF(ISBLANK(M94),"",LARGE(L79:L93,1)+1)</f>
        <v/>
      </c>
      <c r="M94" s="1810"/>
      <c r="N94" s="1810"/>
      <c r="O94" s="1810"/>
      <c r="P94" s="1810"/>
      <c r="Q94" s="1810"/>
      <c r="R94" s="1810"/>
      <c r="S94" s="1810"/>
      <c r="T94" s="1810"/>
      <c r="U94" s="1811"/>
    </row>
    <row r="95" spans="2:21" ht="21" customHeight="1">
      <c r="B95" s="162" t="s">
        <v>10</v>
      </c>
      <c r="C95" s="163" t="str">
        <f>C11</f>
        <v>MAJUSCULE(GAUCHE(J21;1))&amp;" "&amp;J21&amp;" | "&amp;S21&amp;"| "&amp;J23&amp;" "&amp;K23</v>
      </c>
      <c r="D95" s="163">
        <f>D11</f>
        <v>1</v>
      </c>
      <c r="E95" s="164" t="str">
        <f>E11</f>
        <v>coupe</v>
      </c>
      <c r="F95" s="165" t="str">
        <f>F11</f>
        <v>Recette mère ► MILLE-FEUILLE  aux fraises des bois</v>
      </c>
      <c r="G95" s="1548"/>
      <c r="H95" s="1548"/>
      <c r="I95" s="2190">
        <f>ROWS(M80:M95)</f>
        <v>16</v>
      </c>
      <c r="J95" s="5549" t="str" cm="1">
        <f t="array" ref="J95">IF(SUMPRODUCT((M95:R95&lt;&gt;"")*1)=0,"",SUMPRODUCT((M95:R95&lt;&gt;"")*(LEN(TRIM(SUBSTITUTE(M95:R95,CHAR(160)," "))) - LEN(SUBSTITUTE(TRIM(SUBSTITUTE(M95:R95,CHAR(160)," "))," ","")) + 1)) &amp; " mot" &amp; IF(SUMPRODUCT((M95:R95&lt;&gt;"")*(LEN(TRIM(SUBSTITUTE(M95:R95,CHAR(160)," "))) - LEN(SUBSTITUTE(TRIM(SUBSTITUTE(M95:R95,CHAR(160)," "))," ","")) + 1))&gt;1,"s",""))</f>
        <v/>
      </c>
      <c r="K95" s="2263" t="str" cm="1">
        <f t="array" ref="K95">SUMPRODUCT(--(M95:R95&lt;&gt;""), LEN(TRIM(SUBSTITUTE(M95:R95, CHAR(160), "")))) &amp; " Car."</f>
        <v>0 Car.</v>
      </c>
      <c r="L95" s="1376" t="str">
        <f>IF(ISBLANK(M95),"",LARGE(L79:L94,1)+1)</f>
        <v/>
      </c>
      <c r="M95" s="1810"/>
      <c r="N95" s="1810"/>
      <c r="O95" s="1810"/>
      <c r="P95" s="1810"/>
      <c r="Q95" s="1810"/>
      <c r="R95" s="1810"/>
      <c r="S95" s="1810"/>
      <c r="T95" s="1810"/>
      <c r="U95" s="1811"/>
    </row>
    <row r="96" spans="2:21" ht="21" customHeight="1">
      <c r="B96" s="162" t="s">
        <v>10</v>
      </c>
      <c r="C96" s="163" t="str">
        <f>C11</f>
        <v>MAJUSCULE(GAUCHE(J21;1))&amp;" "&amp;J21&amp;" | "&amp;S21&amp;"| "&amp;J23&amp;" "&amp;K23</v>
      </c>
      <c r="D96" s="163">
        <f>D11</f>
        <v>1</v>
      </c>
      <c r="E96" s="164" t="str">
        <f>E11</f>
        <v>coupe</v>
      </c>
      <c r="F96" s="165" t="str">
        <f>F11</f>
        <v>Recette mère ► MILLE-FEUILLE  aux fraises des bois</v>
      </c>
      <c r="G96" s="1548"/>
      <c r="H96" s="1548"/>
      <c r="I96" s="2190">
        <f>ROWS(M80:M96)</f>
        <v>17</v>
      </c>
      <c r="J96" s="5549" t="str" cm="1">
        <f t="array" ref="J96">IF(SUMPRODUCT((M96:R96&lt;&gt;"")*1)=0,"",SUMPRODUCT((M96:R96&lt;&gt;"")*(LEN(TRIM(SUBSTITUTE(M96:R96,CHAR(160)," "))) - LEN(SUBSTITUTE(TRIM(SUBSTITUTE(M96:R96,CHAR(160)," "))," ","")) + 1)) &amp; " mot" &amp; IF(SUMPRODUCT((M96:R96&lt;&gt;"")*(LEN(TRIM(SUBSTITUTE(M96:R96,CHAR(160)," "))) - LEN(SUBSTITUTE(TRIM(SUBSTITUTE(M96:R96,CHAR(160)," "))," ","")) + 1))&gt;1,"s",""))</f>
        <v/>
      </c>
      <c r="K96" s="2263" t="str" cm="1">
        <f t="array" ref="K96">SUMPRODUCT(--(M96:R96&lt;&gt;""), LEN(TRIM(SUBSTITUTE(M96:R96, CHAR(160), "")))) &amp; " Car."</f>
        <v>0 Car.</v>
      </c>
      <c r="L96" s="1376"/>
      <c r="M96" s="1810"/>
      <c r="N96" s="1810"/>
      <c r="O96" s="1810"/>
      <c r="P96" s="1810"/>
      <c r="Q96" s="1810"/>
      <c r="R96" s="1810"/>
      <c r="S96" s="1810"/>
      <c r="T96" s="1810"/>
      <c r="U96" s="1811"/>
    </row>
    <row r="97" spans="2:21" ht="21" customHeight="1">
      <c r="B97" s="162" t="s">
        <v>10</v>
      </c>
      <c r="C97" s="163" t="str">
        <f>C11</f>
        <v>MAJUSCULE(GAUCHE(J21;1))&amp;" "&amp;J21&amp;" | "&amp;S21&amp;"| "&amp;J23&amp;" "&amp;K23</v>
      </c>
      <c r="D97" s="163">
        <f>D11</f>
        <v>1</v>
      </c>
      <c r="E97" s="164" t="str">
        <f>E11</f>
        <v>coupe</v>
      </c>
      <c r="F97" s="165" t="str">
        <f>F11</f>
        <v>Recette mère ► MILLE-FEUILLE  aux fraises des bois</v>
      </c>
      <c r="G97" s="1548"/>
      <c r="H97" s="1548"/>
      <c r="I97" s="2190">
        <f>ROWS(M80:M97)</f>
        <v>18</v>
      </c>
      <c r="J97" s="5549" t="str" cm="1">
        <f t="array" ref="J97">IF(SUMPRODUCT((M97:R97&lt;&gt;"")*1)=0,"",SUMPRODUCT((M97:R97&lt;&gt;"")*(LEN(TRIM(SUBSTITUTE(M97:R97,CHAR(160)," "))) - LEN(SUBSTITUTE(TRIM(SUBSTITUTE(M97:R97,CHAR(160)," "))," ","")) + 1)) &amp; " mot" &amp; IF(SUMPRODUCT((M97:R97&lt;&gt;"")*(LEN(TRIM(SUBSTITUTE(M97:R97,CHAR(160)," "))) - LEN(SUBSTITUTE(TRIM(SUBSTITUTE(M97:R97,CHAR(160)," "))," ","")) + 1))&gt;1,"s",""))</f>
        <v/>
      </c>
      <c r="K97" s="2263" t="str" cm="1">
        <f t="array" ref="K97">SUMPRODUCT(--(M97:R97&lt;&gt;""), LEN(TRIM(SUBSTITUTE(M97:R97, CHAR(160), "")))) &amp; " Car."</f>
        <v>0 Car.</v>
      </c>
      <c r="L97" s="1376"/>
      <c r="M97" s="1810"/>
      <c r="N97" s="1810"/>
      <c r="O97" s="1810"/>
      <c r="P97" s="1810"/>
      <c r="Q97" s="1810"/>
      <c r="R97" s="1810"/>
      <c r="S97" s="1810"/>
      <c r="T97" s="1810"/>
      <c r="U97" s="1811"/>
    </row>
    <row r="98" spans="2:21" ht="21" customHeight="1">
      <c r="B98" s="103" t="str">
        <f t="shared" ref="B98:B132" si="8">IF(M98&lt;&gt;"","A","►")</f>
        <v>►</v>
      </c>
      <c r="C98" s="163" t="str">
        <f>C11</f>
        <v>MAJUSCULE(GAUCHE(J21;1))&amp;" "&amp;J21&amp;" | "&amp;S21&amp;"| "&amp;J23&amp;" "&amp;K23</v>
      </c>
      <c r="D98" s="163">
        <f>D11</f>
        <v>1</v>
      </c>
      <c r="E98" s="164" t="str">
        <f>E11</f>
        <v>coupe</v>
      </c>
      <c r="F98" s="165" t="str">
        <f>F11</f>
        <v>Recette mère ► MILLE-FEUILLE  aux fraises des bois</v>
      </c>
      <c r="G98" s="1548"/>
      <c r="H98" s="1548"/>
      <c r="I98" s="2190">
        <f>ROWS(M80:M98)</f>
        <v>19</v>
      </c>
      <c r="J98" s="5549" t="str" cm="1">
        <f t="array" ref="J98">IF(SUMPRODUCT((M98:R98&lt;&gt;"")*1)=0,"",SUMPRODUCT((M98:R98&lt;&gt;"")*(LEN(TRIM(SUBSTITUTE(M98:R98,CHAR(160)," "))) - LEN(SUBSTITUTE(TRIM(SUBSTITUTE(M98:R98,CHAR(160)," "))," ","")) + 1)) &amp; " mot" &amp; IF(SUMPRODUCT((M98:R98&lt;&gt;"")*(LEN(TRIM(SUBSTITUTE(M98:R98,CHAR(160)," "))) - LEN(SUBSTITUTE(TRIM(SUBSTITUTE(M98:R98,CHAR(160)," "))," ","")) + 1))&gt;1,"s",""))</f>
        <v/>
      </c>
      <c r="K98" s="2263" t="str" cm="1">
        <f t="array" ref="K98">SUMPRODUCT(--(M98:R98&lt;&gt;""), LEN(TRIM(SUBSTITUTE(M98:R98, CHAR(160), "")))) &amp; " Car."</f>
        <v>0 Car.</v>
      </c>
      <c r="L98" s="1376" t="str">
        <f>IF(ISBLANK(M98),"",LARGE(L79:L97,1)+1)</f>
        <v/>
      </c>
      <c r="M98" s="1810"/>
      <c r="N98" s="1810"/>
      <c r="O98" s="1810"/>
      <c r="P98" s="1810"/>
      <c r="Q98" s="1810"/>
      <c r="R98" s="1810"/>
      <c r="S98" s="1810"/>
      <c r="T98" s="1810"/>
      <c r="U98" s="1811"/>
    </row>
    <row r="99" spans="2:21" ht="21" customHeight="1">
      <c r="B99" s="103" t="str">
        <f t="shared" si="8"/>
        <v>►</v>
      </c>
      <c r="C99" s="163" t="str">
        <f>C11</f>
        <v>MAJUSCULE(GAUCHE(J21;1))&amp;" "&amp;J21&amp;" | "&amp;S21&amp;"| "&amp;J23&amp;" "&amp;K23</v>
      </c>
      <c r="D99" s="163">
        <f>D11</f>
        <v>1</v>
      </c>
      <c r="E99" s="164" t="str">
        <f>E11</f>
        <v>coupe</v>
      </c>
      <c r="F99" s="165" t="str">
        <f>F11</f>
        <v>Recette mère ► MILLE-FEUILLE  aux fraises des bois</v>
      </c>
      <c r="G99" s="1548"/>
      <c r="H99" s="1548"/>
      <c r="I99" s="2190">
        <f>ROWS(M80:M99)</f>
        <v>20</v>
      </c>
      <c r="J99" s="5549" t="str" cm="1">
        <f t="array" ref="J99">IF(SUMPRODUCT((M99:R99&lt;&gt;"")*1)=0,"",SUMPRODUCT((M99:R99&lt;&gt;"")*(LEN(TRIM(SUBSTITUTE(M99:R99,CHAR(160)," "))) - LEN(SUBSTITUTE(TRIM(SUBSTITUTE(M99:R99,CHAR(160)," "))," ","")) + 1)) &amp; " mot" &amp; IF(SUMPRODUCT((M99:R99&lt;&gt;"")*(LEN(TRIM(SUBSTITUTE(M99:R99,CHAR(160)," "))) - LEN(SUBSTITUTE(TRIM(SUBSTITUTE(M99:R99,CHAR(160)," "))," ","")) + 1))&gt;1,"s",""))</f>
        <v/>
      </c>
      <c r="K99" s="2263" t="str" cm="1">
        <f t="array" ref="K99">SUMPRODUCT(--(M99:R99&lt;&gt;""), LEN(TRIM(SUBSTITUTE(M99:R99, CHAR(160), "")))) &amp; " Car."</f>
        <v>0 Car.</v>
      </c>
      <c r="L99" s="1376" t="str">
        <f>IF(ISBLANK(M99),"",LARGE(L79:L98,1)+1)</f>
        <v/>
      </c>
      <c r="M99" s="1810"/>
      <c r="N99" s="1810"/>
      <c r="O99" s="1810"/>
      <c r="P99" s="1810"/>
      <c r="Q99" s="1810"/>
      <c r="R99" s="1810"/>
      <c r="S99" s="1810"/>
      <c r="T99" s="1810"/>
      <c r="U99" s="1811"/>
    </row>
    <row r="100" spans="2:21" ht="21" customHeight="1">
      <c r="B100" s="103" t="str">
        <f t="shared" si="8"/>
        <v>►</v>
      </c>
      <c r="C100" s="163" t="str">
        <f>C11</f>
        <v>MAJUSCULE(GAUCHE(J21;1))&amp;" "&amp;J21&amp;" | "&amp;S21&amp;"| "&amp;J23&amp;" "&amp;K23</v>
      </c>
      <c r="D100" s="163">
        <f>D11</f>
        <v>1</v>
      </c>
      <c r="E100" s="164" t="str">
        <f>E11</f>
        <v>coupe</v>
      </c>
      <c r="F100" s="165" t="str">
        <f>F11</f>
        <v>Recette mère ► MILLE-FEUILLE  aux fraises des bois</v>
      </c>
      <c r="G100" s="1548"/>
      <c r="H100" s="1548"/>
      <c r="I100" s="2190">
        <f>ROWS(M80:M100)</f>
        <v>21</v>
      </c>
      <c r="J100" s="5549" t="str" cm="1">
        <f t="array" ref="J100">IF(SUMPRODUCT((M100:R100&lt;&gt;"")*1)=0,"",SUMPRODUCT((M100:R100&lt;&gt;"")*(LEN(TRIM(SUBSTITUTE(M100:R100,CHAR(160)," "))) - LEN(SUBSTITUTE(TRIM(SUBSTITUTE(M100:R100,CHAR(160)," "))," ","")) + 1)) &amp; " mot" &amp; IF(SUMPRODUCT((M100:R100&lt;&gt;"")*(LEN(TRIM(SUBSTITUTE(M100:R100,CHAR(160)," "))) - LEN(SUBSTITUTE(TRIM(SUBSTITUTE(M100:R100,CHAR(160)," "))," ","")) + 1))&gt;1,"s",""))</f>
        <v/>
      </c>
      <c r="K100" s="2263" t="str" cm="1">
        <f t="array" ref="K100">SUMPRODUCT(--(M100:R100&lt;&gt;""), LEN(TRIM(SUBSTITUTE(M100:R100, CHAR(160), "")))) &amp; " Car."</f>
        <v>0 Car.</v>
      </c>
      <c r="L100" s="1376" t="str">
        <f>IF(ISBLANK(M100),"",LARGE(L79:L99,1)+1)</f>
        <v/>
      </c>
      <c r="M100" s="1810"/>
      <c r="N100" s="1810"/>
      <c r="O100" s="1810"/>
      <c r="P100" s="1810"/>
      <c r="Q100" s="1810"/>
      <c r="R100" s="1810"/>
      <c r="S100" s="1810"/>
      <c r="T100" s="1810"/>
      <c r="U100" s="1811"/>
    </row>
    <row r="101" spans="2:21" ht="21" customHeight="1">
      <c r="B101" s="103" t="str">
        <f t="shared" si="8"/>
        <v>►</v>
      </c>
      <c r="C101" s="163" t="str">
        <f>C11</f>
        <v>MAJUSCULE(GAUCHE(J21;1))&amp;" "&amp;J21&amp;" | "&amp;S21&amp;"| "&amp;J23&amp;" "&amp;K23</v>
      </c>
      <c r="D101" s="163">
        <f>D11</f>
        <v>1</v>
      </c>
      <c r="E101" s="164" t="str">
        <f>E11</f>
        <v>coupe</v>
      </c>
      <c r="F101" s="165" t="str">
        <f>F11</f>
        <v>Recette mère ► MILLE-FEUILLE  aux fraises des bois</v>
      </c>
      <c r="G101" s="1548"/>
      <c r="H101" s="1548"/>
      <c r="I101" s="2190">
        <f>ROWS(M80:M101)</f>
        <v>22</v>
      </c>
      <c r="J101" s="5549" t="str" cm="1">
        <f t="array" ref="J101">IF(SUMPRODUCT((M101:R101&lt;&gt;"")*1)=0,"",SUMPRODUCT((M101:R101&lt;&gt;"")*(LEN(TRIM(SUBSTITUTE(M101:R101,CHAR(160)," "))) - LEN(SUBSTITUTE(TRIM(SUBSTITUTE(M101:R101,CHAR(160)," "))," ","")) + 1)) &amp; " mot" &amp; IF(SUMPRODUCT((M101:R101&lt;&gt;"")*(LEN(TRIM(SUBSTITUTE(M101:R101,CHAR(160)," "))) - LEN(SUBSTITUTE(TRIM(SUBSTITUTE(M101:R101,CHAR(160)," "))," ","")) + 1))&gt;1,"s",""))</f>
        <v/>
      </c>
      <c r="K101" s="2263" t="str" cm="1">
        <f t="array" ref="K101">SUMPRODUCT(--(M101:R101&lt;&gt;""), LEN(TRIM(SUBSTITUTE(M101:R101, CHAR(160), "")))) &amp; " Car."</f>
        <v>0 Car.</v>
      </c>
      <c r="L101" s="1376" t="str">
        <f>IF(ISBLANK(M101),"",LARGE(L79:L100,1)+1)</f>
        <v/>
      </c>
      <c r="M101" s="1810"/>
      <c r="N101" s="1810"/>
      <c r="O101" s="1810"/>
      <c r="P101" s="1810"/>
      <c r="Q101" s="1810"/>
      <c r="R101" s="1810"/>
      <c r="S101" s="1810"/>
      <c r="T101" s="1810"/>
      <c r="U101" s="1811"/>
    </row>
    <row r="102" spans="2:21" ht="21" customHeight="1">
      <c r="B102" s="103" t="str">
        <f t="shared" si="8"/>
        <v>►</v>
      </c>
      <c r="C102" s="163" t="str">
        <f>C11</f>
        <v>MAJUSCULE(GAUCHE(J21;1))&amp;" "&amp;J21&amp;" | "&amp;S21&amp;"| "&amp;J23&amp;" "&amp;K23</v>
      </c>
      <c r="D102" s="163">
        <f>D11</f>
        <v>1</v>
      </c>
      <c r="E102" s="164" t="str">
        <f>E11</f>
        <v>coupe</v>
      </c>
      <c r="F102" s="165" t="str">
        <f>F11</f>
        <v>Recette mère ► MILLE-FEUILLE  aux fraises des bois</v>
      </c>
      <c r="G102" s="1548"/>
      <c r="H102" s="1548"/>
      <c r="I102" s="2190">
        <f>ROWS(M80:M102)</f>
        <v>23</v>
      </c>
      <c r="J102" s="5549" t="str" cm="1">
        <f t="array" ref="J102">IF(SUMPRODUCT((M102:R102&lt;&gt;"")*1)=0,"",SUMPRODUCT((M102:R102&lt;&gt;"")*(LEN(TRIM(SUBSTITUTE(M102:R102,CHAR(160)," "))) - LEN(SUBSTITUTE(TRIM(SUBSTITUTE(M102:R102,CHAR(160)," "))," ","")) + 1)) &amp; " mot" &amp; IF(SUMPRODUCT((M102:R102&lt;&gt;"")*(LEN(TRIM(SUBSTITUTE(M102:R102,CHAR(160)," "))) - LEN(SUBSTITUTE(TRIM(SUBSTITUTE(M102:R102,CHAR(160)," "))," ","")) + 1))&gt;1,"s",""))</f>
        <v/>
      </c>
      <c r="K102" s="2263" t="str" cm="1">
        <f t="array" ref="K102">SUMPRODUCT(--(M102:R102&lt;&gt;""), LEN(TRIM(SUBSTITUTE(M102:R102, CHAR(160), "")))) &amp; " Car."</f>
        <v>0 Car.</v>
      </c>
      <c r="L102" s="1376" t="str">
        <f>IF(ISBLANK(M102),"",LARGE(L79:L101,1)+1)</f>
        <v/>
      </c>
      <c r="M102" s="1810"/>
      <c r="N102" s="1810"/>
      <c r="O102" s="1810"/>
      <c r="P102" s="1810"/>
      <c r="Q102" s="1810"/>
      <c r="R102" s="1810"/>
      <c r="S102" s="1810"/>
      <c r="T102" s="1810"/>
      <c r="U102" s="1811"/>
    </row>
    <row r="103" spans="2:21" ht="21" customHeight="1">
      <c r="B103" s="103" t="str">
        <f t="shared" si="8"/>
        <v>►</v>
      </c>
      <c r="C103" s="163" t="str">
        <f>C11</f>
        <v>MAJUSCULE(GAUCHE(J21;1))&amp;" "&amp;J21&amp;" | "&amp;S21&amp;"| "&amp;J23&amp;" "&amp;K23</v>
      </c>
      <c r="D103" s="163">
        <f>D11</f>
        <v>1</v>
      </c>
      <c r="E103" s="164" t="str">
        <f>E11</f>
        <v>coupe</v>
      </c>
      <c r="F103" s="165" t="str">
        <f>F11</f>
        <v>Recette mère ► MILLE-FEUILLE  aux fraises des bois</v>
      </c>
      <c r="G103" s="1548"/>
      <c r="H103" s="1548"/>
      <c r="I103" s="2190">
        <f>ROWS(M80:M103)</f>
        <v>24</v>
      </c>
      <c r="J103" s="5549" t="str" cm="1">
        <f t="array" ref="J103">IF(SUMPRODUCT((M103:R103&lt;&gt;"")*1)=0,"",SUMPRODUCT((M103:R103&lt;&gt;"")*(LEN(TRIM(SUBSTITUTE(M103:R103,CHAR(160)," "))) - LEN(SUBSTITUTE(TRIM(SUBSTITUTE(M103:R103,CHAR(160)," "))," ","")) + 1)) &amp; " mot" &amp; IF(SUMPRODUCT((M103:R103&lt;&gt;"")*(LEN(TRIM(SUBSTITUTE(M103:R103,CHAR(160)," "))) - LEN(SUBSTITUTE(TRIM(SUBSTITUTE(M103:R103,CHAR(160)," "))," ","")) + 1))&gt;1,"s",""))</f>
        <v/>
      </c>
      <c r="K103" s="2263" t="str" cm="1">
        <f t="array" ref="K103">SUMPRODUCT(--(M103:R103&lt;&gt;""), LEN(TRIM(SUBSTITUTE(M103:R103, CHAR(160), "")))) &amp; " Car."</f>
        <v>0 Car.</v>
      </c>
      <c r="L103" s="6157"/>
      <c r="M103" s="1810"/>
      <c r="N103" s="1810"/>
      <c r="O103" s="1810"/>
      <c r="P103" s="1810"/>
      <c r="Q103" s="1810"/>
      <c r="R103" s="1810"/>
      <c r="S103" s="1810"/>
      <c r="T103" s="1810"/>
      <c r="U103" s="1811"/>
    </row>
    <row r="104" spans="2:21" ht="21" customHeight="1">
      <c r="B104" s="103" t="str">
        <f t="shared" si="8"/>
        <v>►</v>
      </c>
      <c r="C104" s="163" t="str">
        <f>C11</f>
        <v>MAJUSCULE(GAUCHE(J21;1))&amp;" "&amp;J21&amp;" | "&amp;S21&amp;"| "&amp;J23&amp;" "&amp;K23</v>
      </c>
      <c r="D104" s="163">
        <f>D11</f>
        <v>1</v>
      </c>
      <c r="E104" s="164" t="str">
        <f>E11</f>
        <v>coupe</v>
      </c>
      <c r="F104" s="165" t="str">
        <f>F11</f>
        <v>Recette mère ► MILLE-FEUILLE  aux fraises des bois</v>
      </c>
      <c r="G104" s="1548"/>
      <c r="H104" s="1548"/>
      <c r="I104" s="2190">
        <f>ROWS(M80:M104)</f>
        <v>25</v>
      </c>
      <c r="J104" s="5549" t="str" cm="1">
        <f t="array" ref="J104">IF(SUMPRODUCT((M104:R104&lt;&gt;"")*1)=0,"",SUMPRODUCT((M104:R104&lt;&gt;"")*(LEN(TRIM(SUBSTITUTE(M104:R104,CHAR(160)," "))) - LEN(SUBSTITUTE(TRIM(SUBSTITUTE(M104:R104,CHAR(160)," "))," ","")) + 1)) &amp; " mot" &amp; IF(SUMPRODUCT((M104:R104&lt;&gt;"")*(LEN(TRIM(SUBSTITUTE(M104:R104,CHAR(160)," "))) - LEN(SUBSTITUTE(TRIM(SUBSTITUTE(M104:R104,CHAR(160)," "))," ","")) + 1))&gt;1,"s",""))</f>
        <v/>
      </c>
      <c r="K104" s="2263" t="str" cm="1">
        <f t="array" ref="K104">SUMPRODUCT(--(M104:R104&lt;&gt;""), LEN(TRIM(SUBSTITUTE(M104:R104, CHAR(160), "")))) &amp; " Car."</f>
        <v>0 Car.</v>
      </c>
      <c r="L104" s="6158"/>
      <c r="M104" s="1810"/>
      <c r="N104" s="1810"/>
      <c r="O104" s="1810"/>
      <c r="P104" s="1810"/>
      <c r="Q104" s="1810"/>
      <c r="R104" s="1810"/>
      <c r="S104" s="1810"/>
      <c r="T104" s="1810"/>
      <c r="U104" s="1811"/>
    </row>
    <row r="105" spans="2:21" ht="21" customHeight="1">
      <c r="B105" s="103" t="str">
        <f t="shared" si="8"/>
        <v>►</v>
      </c>
      <c r="C105" s="163" t="str">
        <f>C11</f>
        <v>MAJUSCULE(GAUCHE(J21;1))&amp;" "&amp;J21&amp;" | "&amp;S21&amp;"| "&amp;J23&amp;" "&amp;K23</v>
      </c>
      <c r="D105" s="163">
        <f>D11</f>
        <v>1</v>
      </c>
      <c r="E105" s="164" t="str">
        <f>E11</f>
        <v>coupe</v>
      </c>
      <c r="F105" s="165" t="str">
        <f>F11</f>
        <v>Recette mère ► MILLE-FEUILLE  aux fraises des bois</v>
      </c>
      <c r="G105" s="1548"/>
      <c r="H105" s="1548"/>
      <c r="I105" s="2190">
        <f>ROWS(M80:M105)</f>
        <v>26</v>
      </c>
      <c r="J105" s="5549" t="str" cm="1">
        <f t="array" ref="J105">IF(SUMPRODUCT((M105:R105&lt;&gt;"")*1)=0,"",SUMPRODUCT((M105:R105&lt;&gt;"")*(LEN(TRIM(SUBSTITUTE(M105:R105,CHAR(160)," "))) - LEN(SUBSTITUTE(TRIM(SUBSTITUTE(M105:R105,CHAR(160)," "))," ","")) + 1)) &amp; " mot" &amp; IF(SUMPRODUCT((M105:R105&lt;&gt;"")*(LEN(TRIM(SUBSTITUTE(M105:R105,CHAR(160)," "))) - LEN(SUBSTITUTE(TRIM(SUBSTITUTE(M105:R105,CHAR(160)," "))," ","")) + 1))&gt;1,"s",""))</f>
        <v/>
      </c>
      <c r="K105" s="2263" t="str" cm="1">
        <f t="array" ref="K105">SUMPRODUCT(--(M105:R105&lt;&gt;""), LEN(TRIM(SUBSTITUTE(M105:R105, CHAR(160), "")))) &amp; " Car."</f>
        <v>0 Car.</v>
      </c>
      <c r="L105" s="1376" t="str">
        <f>IF(ISBLANK(M105),"",LARGE(L79:L104,1)+1)</f>
        <v/>
      </c>
      <c r="M105" s="1810"/>
      <c r="N105" s="1810"/>
      <c r="O105" s="1810"/>
      <c r="P105" s="1810"/>
      <c r="Q105" s="1810"/>
      <c r="R105" s="1810"/>
      <c r="S105" s="1810"/>
      <c r="T105" s="1810"/>
      <c r="U105" s="1811"/>
    </row>
    <row r="106" spans="2:21" ht="21" customHeight="1">
      <c r="B106" s="103" t="str">
        <f t="shared" si="8"/>
        <v>►</v>
      </c>
      <c r="C106" s="163" t="str">
        <f>C11</f>
        <v>MAJUSCULE(GAUCHE(J21;1))&amp;" "&amp;J21&amp;" | "&amp;S21&amp;"| "&amp;J23&amp;" "&amp;K23</v>
      </c>
      <c r="D106" s="163">
        <f>D11</f>
        <v>1</v>
      </c>
      <c r="E106" s="164" t="str">
        <f>E11</f>
        <v>coupe</v>
      </c>
      <c r="F106" s="165" t="str">
        <f>F11</f>
        <v>Recette mère ► MILLE-FEUILLE  aux fraises des bois</v>
      </c>
      <c r="G106" s="1548"/>
      <c r="H106" s="1548"/>
      <c r="I106" s="2190">
        <f>ROWS(M80:M106)</f>
        <v>27</v>
      </c>
      <c r="J106" s="5549" t="str" cm="1">
        <f t="array" ref="J106">IF(SUMPRODUCT((M106:R106&lt;&gt;"")*1)=0,"",SUMPRODUCT((M106:R106&lt;&gt;"")*(LEN(TRIM(SUBSTITUTE(M106:R106,CHAR(160)," "))) - LEN(SUBSTITUTE(TRIM(SUBSTITUTE(M106:R106,CHAR(160)," "))," ","")) + 1)) &amp; " mot" &amp; IF(SUMPRODUCT((M106:R106&lt;&gt;"")*(LEN(TRIM(SUBSTITUTE(M106:R106,CHAR(160)," "))) - LEN(SUBSTITUTE(TRIM(SUBSTITUTE(M106:R106,CHAR(160)," "))," ","")) + 1))&gt;1,"s",""))</f>
        <v/>
      </c>
      <c r="K106" s="2263" t="str" cm="1">
        <f t="array" ref="K106">SUMPRODUCT(--(M106:R106&lt;&gt;""), LEN(TRIM(SUBSTITUTE(M106:R106, CHAR(160), "")))) &amp; " Car."</f>
        <v>0 Car.</v>
      </c>
      <c r="L106" s="1376" t="str">
        <f>IF(ISBLANK(M106),"",LARGE(L79:L105,1)+1)</f>
        <v/>
      </c>
      <c r="M106" s="1810"/>
      <c r="N106" s="1810"/>
      <c r="O106" s="1810"/>
      <c r="P106" s="1810"/>
      <c r="Q106" s="1810"/>
      <c r="R106" s="1810"/>
      <c r="S106" s="1810"/>
      <c r="T106" s="1810"/>
      <c r="U106" s="1811"/>
    </row>
    <row r="107" spans="2:21" ht="21" customHeight="1">
      <c r="B107" s="103" t="str">
        <f t="shared" si="8"/>
        <v>►</v>
      </c>
      <c r="C107" s="163" t="str">
        <f>C11</f>
        <v>MAJUSCULE(GAUCHE(J21;1))&amp;" "&amp;J21&amp;" | "&amp;S21&amp;"| "&amp;J23&amp;" "&amp;K23</v>
      </c>
      <c r="D107" s="163">
        <f>D11</f>
        <v>1</v>
      </c>
      <c r="E107" s="164" t="str">
        <f>E11</f>
        <v>coupe</v>
      </c>
      <c r="F107" s="165" t="str">
        <f>F11</f>
        <v>Recette mère ► MILLE-FEUILLE  aux fraises des bois</v>
      </c>
      <c r="G107" s="1548"/>
      <c r="H107" s="1548"/>
      <c r="I107" s="2190">
        <f>ROWS(M80:M107)</f>
        <v>28</v>
      </c>
      <c r="J107" s="5549" t="str" cm="1">
        <f t="array" ref="J107">IF(SUMPRODUCT((M107:R107&lt;&gt;"")*1)=0,"",SUMPRODUCT((M107:R107&lt;&gt;"")*(LEN(TRIM(SUBSTITUTE(M107:R107,CHAR(160)," "))) - LEN(SUBSTITUTE(TRIM(SUBSTITUTE(M107:R107,CHAR(160)," "))," ","")) + 1)) &amp; " mot" &amp; IF(SUMPRODUCT((M107:R107&lt;&gt;"")*(LEN(TRIM(SUBSTITUTE(M107:R107,CHAR(160)," "))) - LEN(SUBSTITUTE(TRIM(SUBSTITUTE(M107:R107,CHAR(160)," "))," ","")) + 1))&gt;1,"s",""))</f>
        <v/>
      </c>
      <c r="K107" s="2263" t="str" cm="1">
        <f t="array" ref="K107">SUMPRODUCT(--(M107:R107&lt;&gt;""), LEN(TRIM(SUBSTITUTE(M107:R107, CHAR(160), "")))) &amp; " Car."</f>
        <v>0 Car.</v>
      </c>
      <c r="L107" s="1376" t="str">
        <f>IF(ISBLANK(M107),"",LARGE(L79:L106,1)+1)</f>
        <v/>
      </c>
      <c r="M107" s="1810"/>
      <c r="N107" s="1810"/>
      <c r="O107" s="1810"/>
      <c r="P107" s="1810"/>
      <c r="Q107" s="1810"/>
      <c r="R107" s="1810"/>
      <c r="S107" s="1810"/>
      <c r="T107" s="1810"/>
      <c r="U107" s="1811"/>
    </row>
    <row r="108" spans="2:21" ht="21" customHeight="1">
      <c r="B108" s="103" t="str">
        <f t="shared" si="8"/>
        <v>►</v>
      </c>
      <c r="C108" s="163" t="str">
        <f>C11</f>
        <v>MAJUSCULE(GAUCHE(J21;1))&amp;" "&amp;J21&amp;" | "&amp;S21&amp;"| "&amp;J23&amp;" "&amp;K23</v>
      </c>
      <c r="D108" s="163">
        <f>D11</f>
        <v>1</v>
      </c>
      <c r="E108" s="164" t="str">
        <f>E11</f>
        <v>coupe</v>
      </c>
      <c r="F108" s="165" t="str">
        <f>F11</f>
        <v>Recette mère ► MILLE-FEUILLE  aux fraises des bois</v>
      </c>
      <c r="G108" s="1548"/>
      <c r="H108" s="1548"/>
      <c r="I108" s="2190">
        <f>ROWS(M80:M108)</f>
        <v>29</v>
      </c>
      <c r="J108" s="5549" t="str" cm="1">
        <f t="array" ref="J108">IF(SUMPRODUCT((M108:R108&lt;&gt;"")*1)=0,"",SUMPRODUCT((M108:R108&lt;&gt;"")*(LEN(TRIM(SUBSTITUTE(M108:R108,CHAR(160)," "))) - LEN(SUBSTITUTE(TRIM(SUBSTITUTE(M108:R108,CHAR(160)," "))," ","")) + 1)) &amp; " mot" &amp; IF(SUMPRODUCT((M108:R108&lt;&gt;"")*(LEN(TRIM(SUBSTITUTE(M108:R108,CHAR(160)," "))) - LEN(SUBSTITUTE(TRIM(SUBSTITUTE(M108:R108,CHAR(160)," "))," ","")) + 1))&gt;1,"s",""))</f>
        <v/>
      </c>
      <c r="K108" s="2263" t="str" cm="1">
        <f t="array" ref="K108">SUMPRODUCT(--(M108:R108&lt;&gt;""), LEN(TRIM(SUBSTITUTE(M108:R108, CHAR(160), "")))) &amp; " Car."</f>
        <v>0 Car.</v>
      </c>
      <c r="L108" s="1376" t="str">
        <f>IF(ISBLANK(M108),"",LARGE(L79:L107,1)+1)</f>
        <v/>
      </c>
      <c r="M108" s="1810"/>
      <c r="N108" s="1810"/>
      <c r="O108" s="1810"/>
      <c r="P108" s="1810"/>
      <c r="Q108" s="1810"/>
      <c r="R108" s="1810"/>
      <c r="S108" s="1810"/>
      <c r="T108" s="1810"/>
      <c r="U108" s="1811"/>
    </row>
    <row r="109" spans="2:21" ht="21" customHeight="1">
      <c r="B109" s="103" t="str">
        <f t="shared" si="8"/>
        <v>►</v>
      </c>
      <c r="C109" s="163" t="str">
        <f>C11</f>
        <v>MAJUSCULE(GAUCHE(J21;1))&amp;" "&amp;J21&amp;" | "&amp;S21&amp;"| "&amp;J23&amp;" "&amp;K23</v>
      </c>
      <c r="D109" s="163">
        <f>D11</f>
        <v>1</v>
      </c>
      <c r="E109" s="164" t="str">
        <f>E11</f>
        <v>coupe</v>
      </c>
      <c r="F109" s="165" t="str">
        <f>F11</f>
        <v>Recette mère ► MILLE-FEUILLE  aux fraises des bois</v>
      </c>
      <c r="G109" s="1548"/>
      <c r="H109" s="1548"/>
      <c r="I109" s="2190">
        <f>ROWS(M80:M109)</f>
        <v>30</v>
      </c>
      <c r="J109" s="5549" t="str" cm="1">
        <f t="array" ref="J109">IF(SUMPRODUCT((M109:R109&lt;&gt;"")*1)=0,"",SUMPRODUCT((M109:R109&lt;&gt;"")*(LEN(TRIM(SUBSTITUTE(M109:R109,CHAR(160)," "))) - LEN(SUBSTITUTE(TRIM(SUBSTITUTE(M109:R109,CHAR(160)," "))," ","")) + 1)) &amp; " mot" &amp; IF(SUMPRODUCT((M109:R109&lt;&gt;"")*(LEN(TRIM(SUBSTITUTE(M109:R109,CHAR(160)," "))) - LEN(SUBSTITUTE(TRIM(SUBSTITUTE(M109:R109,CHAR(160)," "))," ","")) + 1))&gt;1,"s",""))</f>
        <v/>
      </c>
      <c r="K109" s="2263" t="str" cm="1">
        <f t="array" ref="K109">SUMPRODUCT(--(M109:R109&lt;&gt;""), LEN(TRIM(SUBSTITUTE(M109:R109, CHAR(160), "")))) &amp; " Car."</f>
        <v>0 Car.</v>
      </c>
      <c r="L109" s="1376" t="str">
        <f>IF(ISBLANK(M109),"",LARGE(L79:L108,1)+1)</f>
        <v/>
      </c>
      <c r="M109" s="1810"/>
      <c r="N109" s="1810"/>
      <c r="O109" s="1810"/>
      <c r="P109" s="1810"/>
      <c r="Q109" s="1810"/>
      <c r="R109" s="1810"/>
      <c r="S109" s="1810"/>
      <c r="T109" s="1810"/>
      <c r="U109" s="1811"/>
    </row>
    <row r="110" spans="2:21" ht="21" customHeight="1">
      <c r="B110" s="103" t="str">
        <f t="shared" si="8"/>
        <v>►</v>
      </c>
      <c r="C110" s="163" t="str">
        <f>C11</f>
        <v>MAJUSCULE(GAUCHE(J21;1))&amp;" "&amp;J21&amp;" | "&amp;S21&amp;"| "&amp;J23&amp;" "&amp;K23</v>
      </c>
      <c r="D110" s="163">
        <f>D11</f>
        <v>1</v>
      </c>
      <c r="E110" s="164" t="str">
        <f>E11</f>
        <v>coupe</v>
      </c>
      <c r="F110" s="165" t="str">
        <f>F11</f>
        <v>Recette mère ► MILLE-FEUILLE  aux fraises des bois</v>
      </c>
      <c r="G110" s="1548"/>
      <c r="H110" s="1548"/>
      <c r="I110" s="2190">
        <f>ROWS(M80:M110)</f>
        <v>31</v>
      </c>
      <c r="J110" s="5549" t="str" cm="1">
        <f t="array" ref="J110">IF(SUMPRODUCT((M110:R110&lt;&gt;"")*1)=0,"",SUMPRODUCT((M110:R110&lt;&gt;"")*(LEN(TRIM(SUBSTITUTE(M110:R110,CHAR(160)," "))) - LEN(SUBSTITUTE(TRIM(SUBSTITUTE(M110:R110,CHAR(160)," "))," ","")) + 1)) &amp; " mot" &amp; IF(SUMPRODUCT((M110:R110&lt;&gt;"")*(LEN(TRIM(SUBSTITUTE(M110:R110,CHAR(160)," "))) - LEN(SUBSTITUTE(TRIM(SUBSTITUTE(M110:R110,CHAR(160)," "))," ","")) + 1))&gt;1,"s",""))</f>
        <v/>
      </c>
      <c r="K110" s="2263" t="str" cm="1">
        <f t="array" ref="K110">SUMPRODUCT(--(M110:R110&lt;&gt;""), LEN(TRIM(SUBSTITUTE(M110:R110, CHAR(160), "")))) &amp; " Car."</f>
        <v>0 Car.</v>
      </c>
      <c r="L110" s="1376" t="str">
        <f>IF(ISBLANK(M110),"",LARGE(L79:L109,1)+1)</f>
        <v/>
      </c>
      <c r="M110" s="1810"/>
      <c r="N110" s="1810"/>
      <c r="O110" s="1810"/>
      <c r="P110" s="1810"/>
      <c r="Q110" s="1810"/>
      <c r="R110" s="1810"/>
      <c r="S110" s="1810"/>
      <c r="T110" s="1810"/>
      <c r="U110" s="1811"/>
    </row>
    <row r="111" spans="2:21" ht="21" customHeight="1">
      <c r="B111" s="103" t="str">
        <f t="shared" si="8"/>
        <v>►</v>
      </c>
      <c r="C111" s="163" t="str">
        <f>C11</f>
        <v>MAJUSCULE(GAUCHE(J21;1))&amp;" "&amp;J21&amp;" | "&amp;S21&amp;"| "&amp;J23&amp;" "&amp;K23</v>
      </c>
      <c r="D111" s="163">
        <f>D11</f>
        <v>1</v>
      </c>
      <c r="E111" s="164" t="str">
        <f>E11</f>
        <v>coupe</v>
      </c>
      <c r="F111" s="165" t="str">
        <f>F11</f>
        <v>Recette mère ► MILLE-FEUILLE  aux fraises des bois</v>
      </c>
      <c r="G111" s="1548"/>
      <c r="H111" s="1548"/>
      <c r="I111" s="2190">
        <f>ROWS(M80:M111)</f>
        <v>32</v>
      </c>
      <c r="J111" s="5549" t="str" cm="1">
        <f t="array" ref="J111">IF(SUMPRODUCT((M111:R111&lt;&gt;"")*1)=0,"",SUMPRODUCT((M111:R111&lt;&gt;"")*(LEN(TRIM(SUBSTITUTE(M111:R111,CHAR(160)," "))) - LEN(SUBSTITUTE(TRIM(SUBSTITUTE(M111:R111,CHAR(160)," "))," ","")) + 1)) &amp; " mot" &amp; IF(SUMPRODUCT((M111:R111&lt;&gt;"")*(LEN(TRIM(SUBSTITUTE(M111:R111,CHAR(160)," "))) - LEN(SUBSTITUTE(TRIM(SUBSTITUTE(M111:R111,CHAR(160)," "))," ","")) + 1))&gt;1,"s",""))</f>
        <v/>
      </c>
      <c r="K111" s="2263" t="str" cm="1">
        <f t="array" ref="K111">SUMPRODUCT(--(M111:R111&lt;&gt;""), LEN(TRIM(SUBSTITUTE(M111:R111, CHAR(160), "")))) &amp; " Car."</f>
        <v>0 Car.</v>
      </c>
      <c r="L111" s="1376" t="str">
        <f>IF(ISBLANK(M111),"",LARGE(L79:L110,1)+1)</f>
        <v/>
      </c>
      <c r="M111" s="1810"/>
      <c r="N111" s="1810"/>
      <c r="O111" s="1810"/>
      <c r="P111" s="1810"/>
      <c r="Q111" s="1810"/>
      <c r="R111" s="1810"/>
      <c r="S111" s="1810"/>
      <c r="T111" s="1810"/>
      <c r="U111" s="1811"/>
    </row>
    <row r="112" spans="2:21" ht="21" customHeight="1">
      <c r="B112" s="103" t="str">
        <f t="shared" si="8"/>
        <v>►</v>
      </c>
      <c r="C112" s="163" t="str">
        <f>C11</f>
        <v>MAJUSCULE(GAUCHE(J21;1))&amp;" "&amp;J21&amp;" | "&amp;S21&amp;"| "&amp;J23&amp;" "&amp;K23</v>
      </c>
      <c r="D112" s="163">
        <f>D11</f>
        <v>1</v>
      </c>
      <c r="E112" s="164" t="str">
        <f>E11</f>
        <v>coupe</v>
      </c>
      <c r="F112" s="165" t="str">
        <f>F11</f>
        <v>Recette mère ► MILLE-FEUILLE  aux fraises des bois</v>
      </c>
      <c r="G112" s="1548"/>
      <c r="H112" s="1548"/>
      <c r="I112" s="2190">
        <f>ROWS(M80:M112)</f>
        <v>33</v>
      </c>
      <c r="J112" s="5549" t="str" cm="1">
        <f t="array" ref="J112">IF(SUMPRODUCT((M112:R112&lt;&gt;"")*1)=0,"",SUMPRODUCT((M112:R112&lt;&gt;"")*(LEN(TRIM(SUBSTITUTE(M112:R112,CHAR(160)," "))) - LEN(SUBSTITUTE(TRIM(SUBSTITUTE(M112:R112,CHAR(160)," "))," ","")) + 1)) &amp; " mot" &amp; IF(SUMPRODUCT((M112:R112&lt;&gt;"")*(LEN(TRIM(SUBSTITUTE(M112:R112,CHAR(160)," "))) - LEN(SUBSTITUTE(TRIM(SUBSTITUTE(M112:R112,CHAR(160)," "))," ","")) + 1))&gt;1,"s",""))</f>
        <v/>
      </c>
      <c r="K112" s="2263" t="str" cm="1">
        <f t="array" ref="K112">SUMPRODUCT(--(M112:R112&lt;&gt;""), LEN(TRIM(SUBSTITUTE(M112:R112, CHAR(160), "")))) &amp; " Car."</f>
        <v>0 Car.</v>
      </c>
      <c r="L112" s="1376" t="str">
        <f>IF(ISBLANK(M112),"",LARGE(L79:L111,1)+1)</f>
        <v/>
      </c>
      <c r="M112" s="1810"/>
      <c r="N112" s="1810"/>
      <c r="O112" s="1810"/>
      <c r="P112" s="1810"/>
      <c r="Q112" s="1810"/>
      <c r="R112" s="1810"/>
      <c r="S112" s="1810"/>
      <c r="T112" s="1810"/>
      <c r="U112" s="1811"/>
    </row>
    <row r="113" spans="2:21" ht="21" customHeight="1">
      <c r="B113" s="103" t="str">
        <f t="shared" si="8"/>
        <v>►</v>
      </c>
      <c r="C113" s="163" t="str">
        <f>C11</f>
        <v>MAJUSCULE(GAUCHE(J21;1))&amp;" "&amp;J21&amp;" | "&amp;S21&amp;"| "&amp;J23&amp;" "&amp;K23</v>
      </c>
      <c r="D113" s="163">
        <f>D11</f>
        <v>1</v>
      </c>
      <c r="E113" s="164" t="str">
        <f>E11</f>
        <v>coupe</v>
      </c>
      <c r="F113" s="165" t="str">
        <f>F11</f>
        <v>Recette mère ► MILLE-FEUILLE  aux fraises des bois</v>
      </c>
      <c r="G113" s="1548"/>
      <c r="H113" s="1548"/>
      <c r="I113" s="2190">
        <f>ROWS(M80:M113)</f>
        <v>34</v>
      </c>
      <c r="J113" s="5549" t="str" cm="1">
        <f t="array" ref="J113">IF(SUMPRODUCT((M113:R113&lt;&gt;"")*1)=0,"",SUMPRODUCT((M113:R113&lt;&gt;"")*(LEN(TRIM(SUBSTITUTE(M113:R113,CHAR(160)," "))) - LEN(SUBSTITUTE(TRIM(SUBSTITUTE(M113:R113,CHAR(160)," "))," ","")) + 1)) &amp; " mot" &amp; IF(SUMPRODUCT((M113:R113&lt;&gt;"")*(LEN(TRIM(SUBSTITUTE(M113:R113,CHAR(160)," "))) - LEN(SUBSTITUTE(TRIM(SUBSTITUTE(M113:R113,CHAR(160)," "))," ","")) + 1))&gt;1,"s",""))</f>
        <v/>
      </c>
      <c r="K113" s="2263" t="str" cm="1">
        <f t="array" ref="K113">SUMPRODUCT(--(M113:R113&lt;&gt;""), LEN(TRIM(SUBSTITUTE(M113:R113, CHAR(160), "")))) &amp; " Car."</f>
        <v>0 Car.</v>
      </c>
      <c r="L113" s="1376" t="str">
        <f>IF(ISBLANK(M113),"",LARGE(L79:L112,1)+1)</f>
        <v/>
      </c>
      <c r="M113" s="1810"/>
      <c r="N113" s="1810"/>
      <c r="O113" s="1810"/>
      <c r="P113" s="1810"/>
      <c r="Q113" s="1810"/>
      <c r="R113" s="1810"/>
      <c r="S113" s="1810"/>
      <c r="T113" s="1810"/>
      <c r="U113" s="1811"/>
    </row>
    <row r="114" spans="2:21" ht="21" customHeight="1">
      <c r="B114" s="103" t="str">
        <f t="shared" si="8"/>
        <v>►</v>
      </c>
      <c r="C114" s="163" t="str">
        <f>C11</f>
        <v>MAJUSCULE(GAUCHE(J21;1))&amp;" "&amp;J21&amp;" | "&amp;S21&amp;"| "&amp;J23&amp;" "&amp;K23</v>
      </c>
      <c r="D114" s="163">
        <f>D11</f>
        <v>1</v>
      </c>
      <c r="E114" s="164" t="str">
        <f>E11</f>
        <v>coupe</v>
      </c>
      <c r="F114" s="165" t="str">
        <f>F11</f>
        <v>Recette mère ► MILLE-FEUILLE  aux fraises des bois</v>
      </c>
      <c r="G114" s="1548"/>
      <c r="H114" s="1548"/>
      <c r="I114" s="2190">
        <f>ROWS(M80:M114)</f>
        <v>35</v>
      </c>
      <c r="J114" s="5549" t="str" cm="1">
        <f t="array" ref="J114">IF(SUMPRODUCT((M114:R114&lt;&gt;"")*1)=0,"",SUMPRODUCT((M114:R114&lt;&gt;"")*(LEN(TRIM(SUBSTITUTE(M114:R114,CHAR(160)," "))) - LEN(SUBSTITUTE(TRIM(SUBSTITUTE(M114:R114,CHAR(160)," "))," ","")) + 1)) &amp; " mot" &amp; IF(SUMPRODUCT((M114:R114&lt;&gt;"")*(LEN(TRIM(SUBSTITUTE(M114:R114,CHAR(160)," "))) - LEN(SUBSTITUTE(TRIM(SUBSTITUTE(M114:R114,CHAR(160)," "))," ","")) + 1))&gt;1,"s",""))</f>
        <v/>
      </c>
      <c r="K114" s="2263" t="str" cm="1">
        <f t="array" ref="K114">SUMPRODUCT(--(M114:R114&lt;&gt;""), LEN(TRIM(SUBSTITUTE(M114:R114, CHAR(160), "")))) &amp; " Car."</f>
        <v>0 Car.</v>
      </c>
      <c r="L114" s="1376" t="str">
        <f>IF(ISBLANK(M114),"",LARGE(L79:L113,1)+1)</f>
        <v/>
      </c>
      <c r="M114" s="1810"/>
      <c r="N114" s="1810"/>
      <c r="O114" s="1810"/>
      <c r="P114" s="1810"/>
      <c r="Q114" s="1810"/>
      <c r="R114" s="1810"/>
      <c r="S114" s="1810"/>
      <c r="T114" s="1810"/>
      <c r="U114" s="1811"/>
    </row>
    <row r="115" spans="2:21" ht="21" customHeight="1">
      <c r="B115" s="103" t="str">
        <f t="shared" si="8"/>
        <v>►</v>
      </c>
      <c r="C115" s="163" t="str">
        <f>C11</f>
        <v>MAJUSCULE(GAUCHE(J21;1))&amp;" "&amp;J21&amp;" | "&amp;S21&amp;"| "&amp;J23&amp;" "&amp;K23</v>
      </c>
      <c r="D115" s="163">
        <f>D11</f>
        <v>1</v>
      </c>
      <c r="E115" s="164" t="str">
        <f>E11</f>
        <v>coupe</v>
      </c>
      <c r="F115" s="165" t="str">
        <f>F11</f>
        <v>Recette mère ► MILLE-FEUILLE  aux fraises des bois</v>
      </c>
      <c r="G115" s="1548"/>
      <c r="H115" s="1548"/>
      <c r="I115" s="2190">
        <f>ROWS(M80:M115)</f>
        <v>36</v>
      </c>
      <c r="J115" s="5549" t="str" cm="1">
        <f t="array" ref="J115">IF(SUMPRODUCT((M115:R115&lt;&gt;"")*1)=0,"",SUMPRODUCT((M115:R115&lt;&gt;"")*(LEN(TRIM(SUBSTITUTE(M115:R115,CHAR(160)," "))) - LEN(SUBSTITUTE(TRIM(SUBSTITUTE(M115:R115,CHAR(160)," "))," ","")) + 1)) &amp; " mot" &amp; IF(SUMPRODUCT((M115:R115&lt;&gt;"")*(LEN(TRIM(SUBSTITUTE(M115:R115,CHAR(160)," "))) - LEN(SUBSTITUTE(TRIM(SUBSTITUTE(M115:R115,CHAR(160)," "))," ","")) + 1))&gt;1,"s",""))</f>
        <v/>
      </c>
      <c r="K115" s="2263" t="str" cm="1">
        <f t="array" ref="K115">SUMPRODUCT(--(M115:R115&lt;&gt;""), LEN(TRIM(SUBSTITUTE(M115:R115, CHAR(160), "")))) &amp; " Car."</f>
        <v>0 Car.</v>
      </c>
      <c r="L115" s="1376" t="str">
        <f>IF(ISBLANK(M115),"",LARGE(L79:L114,1)+1)</f>
        <v/>
      </c>
      <c r="M115" s="1810"/>
      <c r="N115" s="1810"/>
      <c r="O115" s="1810"/>
      <c r="P115" s="1810"/>
      <c r="Q115" s="1810"/>
      <c r="R115" s="1810"/>
      <c r="S115" s="1810"/>
      <c r="T115" s="1810"/>
      <c r="U115" s="1811"/>
    </row>
    <row r="116" spans="2:21" ht="21" customHeight="1">
      <c r="B116" s="103" t="str">
        <f t="shared" si="8"/>
        <v>►</v>
      </c>
      <c r="C116" s="163" t="str">
        <f>C11</f>
        <v>MAJUSCULE(GAUCHE(J21;1))&amp;" "&amp;J21&amp;" | "&amp;S21&amp;"| "&amp;J23&amp;" "&amp;K23</v>
      </c>
      <c r="D116" s="163">
        <f>D11</f>
        <v>1</v>
      </c>
      <c r="E116" s="164" t="str">
        <f>E11</f>
        <v>coupe</v>
      </c>
      <c r="F116" s="165" t="str">
        <f>F11</f>
        <v>Recette mère ► MILLE-FEUILLE  aux fraises des bois</v>
      </c>
      <c r="G116" s="1548"/>
      <c r="H116" s="1548"/>
      <c r="I116" s="2190">
        <f>ROWS(M80:M116)</f>
        <v>37</v>
      </c>
      <c r="J116" s="5549" t="str" cm="1">
        <f t="array" ref="J116">IF(SUMPRODUCT((M116:R116&lt;&gt;"")*1)=0,"",SUMPRODUCT((M116:R116&lt;&gt;"")*(LEN(TRIM(SUBSTITUTE(M116:R116,CHAR(160)," "))) - LEN(SUBSTITUTE(TRIM(SUBSTITUTE(M116:R116,CHAR(160)," "))," ","")) + 1)) &amp; " mot" &amp; IF(SUMPRODUCT((M116:R116&lt;&gt;"")*(LEN(TRIM(SUBSTITUTE(M116:R116,CHAR(160)," "))) - LEN(SUBSTITUTE(TRIM(SUBSTITUTE(M116:R116,CHAR(160)," "))," ","")) + 1))&gt;1,"s",""))</f>
        <v/>
      </c>
      <c r="K116" s="2263" t="str" cm="1">
        <f t="array" ref="K116">SUMPRODUCT(--(M116:R116&lt;&gt;""), LEN(TRIM(SUBSTITUTE(M116:R116, CHAR(160), "")))) &amp; " Car."</f>
        <v>0 Car.</v>
      </c>
      <c r="L116" s="1376" t="str">
        <f>IF(ISBLANK(M116),"",LARGE(L79:L115,1)+1)</f>
        <v/>
      </c>
      <c r="M116" s="1810"/>
      <c r="N116" s="1810"/>
      <c r="O116" s="1810"/>
      <c r="P116" s="1810"/>
      <c r="Q116" s="1810"/>
      <c r="R116" s="1810"/>
      <c r="S116" s="1810"/>
      <c r="T116" s="1810"/>
      <c r="U116" s="1811"/>
    </row>
    <row r="117" spans="2:21" ht="21" customHeight="1">
      <c r="B117" s="103" t="str">
        <f t="shared" si="8"/>
        <v>►</v>
      </c>
      <c r="C117" s="163" t="str">
        <f>C11</f>
        <v>MAJUSCULE(GAUCHE(J21;1))&amp;" "&amp;J21&amp;" | "&amp;S21&amp;"| "&amp;J23&amp;" "&amp;K23</v>
      </c>
      <c r="D117" s="163">
        <f>D11</f>
        <v>1</v>
      </c>
      <c r="E117" s="164" t="str">
        <f>E11</f>
        <v>coupe</v>
      </c>
      <c r="F117" s="165" t="str">
        <f>F11</f>
        <v>Recette mère ► MILLE-FEUILLE  aux fraises des bois</v>
      </c>
      <c r="G117" s="1548"/>
      <c r="H117" s="1548"/>
      <c r="I117" s="2190">
        <f>ROWS(M80:M117)</f>
        <v>38</v>
      </c>
      <c r="J117" s="5549" t="str" cm="1">
        <f t="array" ref="J117">IF(SUMPRODUCT((M117:R117&lt;&gt;"")*1)=0,"",SUMPRODUCT((M117:R117&lt;&gt;"")*(LEN(TRIM(SUBSTITUTE(M117:R117,CHAR(160)," "))) - LEN(SUBSTITUTE(TRIM(SUBSTITUTE(M117:R117,CHAR(160)," "))," ","")) + 1)) &amp; " mot" &amp; IF(SUMPRODUCT((M117:R117&lt;&gt;"")*(LEN(TRIM(SUBSTITUTE(M117:R117,CHAR(160)," "))) - LEN(SUBSTITUTE(TRIM(SUBSTITUTE(M117:R117,CHAR(160)," "))," ","")) + 1))&gt;1,"s",""))</f>
        <v/>
      </c>
      <c r="K117" s="2263" t="str" cm="1">
        <f t="array" ref="K117">SUMPRODUCT(--(M117:R117&lt;&gt;""), LEN(TRIM(SUBSTITUTE(M117:R117, CHAR(160), "")))) &amp; " Car."</f>
        <v>0 Car.</v>
      </c>
      <c r="L117" s="1376" t="str">
        <f>IF(ISBLANK(M117),"",LARGE(L79:L116,1)+1)</f>
        <v/>
      </c>
      <c r="M117" s="1810"/>
      <c r="N117" s="1810"/>
      <c r="O117" s="1810"/>
      <c r="P117" s="1810"/>
      <c r="Q117" s="1810"/>
      <c r="R117" s="1810"/>
      <c r="S117" s="1810"/>
      <c r="T117" s="1810"/>
      <c r="U117" s="1811"/>
    </row>
    <row r="118" spans="2:21" ht="21" customHeight="1">
      <c r="B118" s="103" t="str">
        <f t="shared" si="8"/>
        <v>►</v>
      </c>
      <c r="C118" s="163" t="str">
        <f>C11</f>
        <v>MAJUSCULE(GAUCHE(J21;1))&amp;" "&amp;J21&amp;" | "&amp;S21&amp;"| "&amp;J23&amp;" "&amp;K23</v>
      </c>
      <c r="D118" s="163">
        <f>D11</f>
        <v>1</v>
      </c>
      <c r="E118" s="164" t="str">
        <f>E11</f>
        <v>coupe</v>
      </c>
      <c r="F118" s="165" t="str">
        <f>F11</f>
        <v>Recette mère ► MILLE-FEUILLE  aux fraises des bois</v>
      </c>
      <c r="G118" s="1548"/>
      <c r="H118" s="1548"/>
      <c r="I118" s="2190">
        <f>ROWS(M80:M118)</f>
        <v>39</v>
      </c>
      <c r="J118" s="5549" t="str" cm="1">
        <f t="array" ref="J118">IF(SUMPRODUCT((M118:R118&lt;&gt;"")*1)=0,"",SUMPRODUCT((M118:R118&lt;&gt;"")*(LEN(TRIM(SUBSTITUTE(M118:R118,CHAR(160)," "))) - LEN(SUBSTITUTE(TRIM(SUBSTITUTE(M118:R118,CHAR(160)," "))," ","")) + 1)) &amp; " mot" &amp; IF(SUMPRODUCT((M118:R118&lt;&gt;"")*(LEN(TRIM(SUBSTITUTE(M118:R118,CHAR(160)," "))) - LEN(SUBSTITUTE(TRIM(SUBSTITUTE(M118:R118,CHAR(160)," "))," ","")) + 1))&gt;1,"s",""))</f>
        <v/>
      </c>
      <c r="K118" s="2263" t="str" cm="1">
        <f t="array" ref="K118">SUMPRODUCT(--(M118:R118&lt;&gt;""), LEN(TRIM(SUBSTITUTE(M118:R118, CHAR(160), "")))) &amp; " Car."</f>
        <v>0 Car.</v>
      </c>
      <c r="L118" s="1376" t="str">
        <f>IF(ISBLANK(M118),"",LARGE(L79:L117,1)+1)</f>
        <v/>
      </c>
      <c r="M118" s="1810"/>
      <c r="N118" s="1810"/>
      <c r="O118" s="1810"/>
      <c r="P118" s="1810"/>
      <c r="Q118" s="1810"/>
      <c r="R118" s="1810"/>
      <c r="S118" s="1810"/>
      <c r="T118" s="1810"/>
      <c r="U118" s="1811"/>
    </row>
    <row r="119" spans="2:21" ht="21" customHeight="1">
      <c r="B119" s="103" t="str">
        <f t="shared" si="8"/>
        <v>►</v>
      </c>
      <c r="C119" s="163" t="str">
        <f>C11</f>
        <v>MAJUSCULE(GAUCHE(J21;1))&amp;" "&amp;J21&amp;" | "&amp;S21&amp;"| "&amp;J23&amp;" "&amp;K23</v>
      </c>
      <c r="D119" s="163">
        <f>D11</f>
        <v>1</v>
      </c>
      <c r="E119" s="164" t="str">
        <f>E11</f>
        <v>coupe</v>
      </c>
      <c r="F119" s="165" t="str">
        <f>F11</f>
        <v>Recette mère ► MILLE-FEUILLE  aux fraises des bois</v>
      </c>
      <c r="G119" s="1548"/>
      <c r="H119" s="1548"/>
      <c r="I119" s="2190">
        <f>ROWS(M80:M119)</f>
        <v>40</v>
      </c>
      <c r="J119" s="5549" t="str" cm="1">
        <f t="array" ref="J119">IF(SUMPRODUCT((M119:R119&lt;&gt;"")*1)=0,"",SUMPRODUCT((M119:R119&lt;&gt;"")*(LEN(TRIM(SUBSTITUTE(M119:R119,CHAR(160)," "))) - LEN(SUBSTITUTE(TRIM(SUBSTITUTE(M119:R119,CHAR(160)," "))," ","")) + 1)) &amp; " mot" &amp; IF(SUMPRODUCT((M119:R119&lt;&gt;"")*(LEN(TRIM(SUBSTITUTE(M119:R119,CHAR(160)," "))) - LEN(SUBSTITUTE(TRIM(SUBSTITUTE(M119:R119,CHAR(160)," "))," ","")) + 1))&gt;1,"s",""))</f>
        <v/>
      </c>
      <c r="K119" s="2263" t="str" cm="1">
        <f t="array" ref="K119">SUMPRODUCT(--(M119:R119&lt;&gt;""), LEN(TRIM(SUBSTITUTE(M119:R119, CHAR(160), "")))) &amp; " Car."</f>
        <v>0 Car.</v>
      </c>
      <c r="L119" s="1376" t="str">
        <f>IF(ISBLANK(M119),"",LARGE(L79:L118,1)+1)</f>
        <v/>
      </c>
      <c r="M119" s="1810"/>
      <c r="N119" s="1810"/>
      <c r="O119" s="1810"/>
      <c r="P119" s="1810"/>
      <c r="Q119" s="1810"/>
      <c r="R119" s="1810"/>
      <c r="S119" s="1810"/>
      <c r="T119" s="1810"/>
      <c r="U119" s="1811"/>
    </row>
    <row r="120" spans="2:21" ht="21" customHeight="1">
      <c r="B120" s="103" t="str">
        <f t="shared" si="8"/>
        <v>►</v>
      </c>
      <c r="C120" s="163" t="str">
        <f>C11</f>
        <v>MAJUSCULE(GAUCHE(J21;1))&amp;" "&amp;J21&amp;" | "&amp;S21&amp;"| "&amp;J23&amp;" "&amp;K23</v>
      </c>
      <c r="D120" s="163">
        <f>D11</f>
        <v>1</v>
      </c>
      <c r="E120" s="164" t="str">
        <f>E11</f>
        <v>coupe</v>
      </c>
      <c r="F120" s="165" t="str">
        <f>F11</f>
        <v>Recette mère ► MILLE-FEUILLE  aux fraises des bois</v>
      </c>
      <c r="G120" s="1548"/>
      <c r="H120" s="1548"/>
      <c r="I120" s="2190">
        <f>ROWS(M80:M120)</f>
        <v>41</v>
      </c>
      <c r="J120" s="5549" t="str" cm="1">
        <f t="array" ref="J120">IF(SUMPRODUCT((M120:R120&lt;&gt;"")*1)=0,"",SUMPRODUCT((M120:R120&lt;&gt;"")*(LEN(TRIM(SUBSTITUTE(M120:R120,CHAR(160)," "))) - LEN(SUBSTITUTE(TRIM(SUBSTITUTE(M120:R120,CHAR(160)," "))," ","")) + 1)) &amp; " mot" &amp; IF(SUMPRODUCT((M120:R120&lt;&gt;"")*(LEN(TRIM(SUBSTITUTE(M120:R120,CHAR(160)," "))) - LEN(SUBSTITUTE(TRIM(SUBSTITUTE(M120:R120,CHAR(160)," "))," ","")) + 1))&gt;1,"s",""))</f>
        <v/>
      </c>
      <c r="K120" s="2263" t="str" cm="1">
        <f t="array" ref="K120">SUMPRODUCT(--(M120:R120&lt;&gt;""), LEN(TRIM(SUBSTITUTE(M120:R120, CHAR(160), "")))) &amp; " Car."</f>
        <v>0 Car.</v>
      </c>
      <c r="L120" s="1376" t="str">
        <f>IF(ISBLANK(M120),"",LARGE(L79:L119,1)+1)</f>
        <v/>
      </c>
      <c r="M120" s="1810"/>
      <c r="N120" s="1810"/>
      <c r="O120" s="1810"/>
      <c r="P120" s="1810"/>
      <c r="Q120" s="1810"/>
      <c r="R120" s="1810"/>
      <c r="S120" s="1810"/>
      <c r="T120" s="1810"/>
      <c r="U120" s="1811"/>
    </row>
    <row r="121" spans="2:21" ht="21" customHeight="1">
      <c r="B121" s="103" t="str">
        <f t="shared" si="8"/>
        <v>►</v>
      </c>
      <c r="C121" s="163" t="str">
        <f>C11</f>
        <v>MAJUSCULE(GAUCHE(J21;1))&amp;" "&amp;J21&amp;" | "&amp;S21&amp;"| "&amp;J23&amp;" "&amp;K23</v>
      </c>
      <c r="D121" s="163">
        <f>D11</f>
        <v>1</v>
      </c>
      <c r="E121" s="164" t="str">
        <f>E11</f>
        <v>coupe</v>
      </c>
      <c r="F121" s="165" t="str">
        <f>F11</f>
        <v>Recette mère ► MILLE-FEUILLE  aux fraises des bois</v>
      </c>
      <c r="G121" s="1548"/>
      <c r="H121" s="1548"/>
      <c r="I121" s="2190">
        <f>ROWS(M80:M121)</f>
        <v>42</v>
      </c>
      <c r="J121" s="5549" t="str" cm="1">
        <f t="array" ref="J121">IF(SUMPRODUCT((M121:R121&lt;&gt;"")*1)=0,"",SUMPRODUCT((M121:R121&lt;&gt;"")*(LEN(TRIM(SUBSTITUTE(M121:R121,CHAR(160)," "))) - LEN(SUBSTITUTE(TRIM(SUBSTITUTE(M121:R121,CHAR(160)," "))," ","")) + 1)) &amp; " mot" &amp; IF(SUMPRODUCT((M121:R121&lt;&gt;"")*(LEN(TRIM(SUBSTITUTE(M121:R121,CHAR(160)," "))) - LEN(SUBSTITUTE(TRIM(SUBSTITUTE(M121:R121,CHAR(160)," "))," ","")) + 1))&gt;1,"s",""))</f>
        <v/>
      </c>
      <c r="K121" s="2263" t="str" cm="1">
        <f t="array" ref="K121">SUMPRODUCT(--(M121:R121&lt;&gt;""), LEN(TRIM(SUBSTITUTE(M121:R121, CHAR(160), "")))) &amp; " Car."</f>
        <v>0 Car.</v>
      </c>
      <c r="L121" s="1376" t="str">
        <f>IF(ISBLANK(M121),"",LARGE(L79:L120,1)+1)</f>
        <v/>
      </c>
      <c r="M121" s="1810"/>
      <c r="N121" s="1810"/>
      <c r="O121" s="1810"/>
      <c r="P121" s="1810"/>
      <c r="Q121" s="1810"/>
      <c r="R121" s="1810"/>
      <c r="S121" s="1810"/>
      <c r="T121" s="1810"/>
      <c r="U121" s="1811"/>
    </row>
    <row r="122" spans="2:21" ht="21" customHeight="1">
      <c r="B122" s="103" t="str">
        <f t="shared" si="8"/>
        <v>►</v>
      </c>
      <c r="C122" s="163" t="str">
        <f>C11</f>
        <v>MAJUSCULE(GAUCHE(J21;1))&amp;" "&amp;J21&amp;" | "&amp;S21&amp;"| "&amp;J23&amp;" "&amp;K23</v>
      </c>
      <c r="D122" s="163">
        <f>D11</f>
        <v>1</v>
      </c>
      <c r="E122" s="164" t="str">
        <f>E11</f>
        <v>coupe</v>
      </c>
      <c r="F122" s="165" t="str">
        <f>F11</f>
        <v>Recette mère ► MILLE-FEUILLE  aux fraises des bois</v>
      </c>
      <c r="G122" s="1548"/>
      <c r="H122" s="1548"/>
      <c r="I122" s="2190">
        <f>ROWS(M80:M122)</f>
        <v>43</v>
      </c>
      <c r="J122" s="5549" t="str" cm="1">
        <f t="array" ref="J122">IF(SUMPRODUCT((M122:R122&lt;&gt;"")*1)=0,"",SUMPRODUCT((M122:R122&lt;&gt;"")*(LEN(TRIM(SUBSTITUTE(M122:R122,CHAR(160)," "))) - LEN(SUBSTITUTE(TRIM(SUBSTITUTE(M122:R122,CHAR(160)," "))," ","")) + 1)) &amp; " mot" &amp; IF(SUMPRODUCT((M122:R122&lt;&gt;"")*(LEN(TRIM(SUBSTITUTE(M122:R122,CHAR(160)," "))) - LEN(SUBSTITUTE(TRIM(SUBSTITUTE(M122:R122,CHAR(160)," "))," ","")) + 1))&gt;1,"s",""))</f>
        <v/>
      </c>
      <c r="K122" s="2263" t="str" cm="1">
        <f t="array" ref="K122">SUMPRODUCT(--(M122:R122&lt;&gt;""), LEN(TRIM(SUBSTITUTE(M122:R122, CHAR(160), "")))) &amp; " Car."</f>
        <v>0 Car.</v>
      </c>
      <c r="L122" s="1376" t="str">
        <f>IF(ISBLANK(M122),"",LARGE(L79:L121,1)+1)</f>
        <v/>
      </c>
      <c r="M122" s="1810"/>
      <c r="N122" s="1810"/>
      <c r="O122" s="1810"/>
      <c r="P122" s="1810"/>
      <c r="Q122" s="1810"/>
      <c r="R122" s="1810"/>
      <c r="S122" s="1810"/>
      <c r="T122" s="1810"/>
      <c r="U122" s="1811"/>
    </row>
    <row r="123" spans="2:21" ht="21" customHeight="1">
      <c r="B123" s="103" t="str">
        <f t="shared" si="8"/>
        <v>►</v>
      </c>
      <c r="C123" s="163" t="str">
        <f>C11</f>
        <v>MAJUSCULE(GAUCHE(J21;1))&amp;" "&amp;J21&amp;" | "&amp;S21&amp;"| "&amp;J23&amp;" "&amp;K23</v>
      </c>
      <c r="D123" s="163">
        <f>D11</f>
        <v>1</v>
      </c>
      <c r="E123" s="164" t="str">
        <f>E11</f>
        <v>coupe</v>
      </c>
      <c r="F123" s="165" t="str">
        <f>F11</f>
        <v>Recette mère ► MILLE-FEUILLE  aux fraises des bois</v>
      </c>
      <c r="G123" s="1548"/>
      <c r="H123" s="1548"/>
      <c r="I123" s="2190">
        <f>ROWS(M80:M123)</f>
        <v>44</v>
      </c>
      <c r="J123" s="5549" t="str" cm="1">
        <f t="array" ref="J123">IF(SUMPRODUCT((M123:R123&lt;&gt;"")*1)=0,"",SUMPRODUCT((M123:R123&lt;&gt;"")*(LEN(TRIM(SUBSTITUTE(M123:R123,CHAR(160)," "))) - LEN(SUBSTITUTE(TRIM(SUBSTITUTE(M123:R123,CHAR(160)," "))," ","")) + 1)) &amp; " mot" &amp; IF(SUMPRODUCT((M123:R123&lt;&gt;"")*(LEN(TRIM(SUBSTITUTE(M123:R123,CHAR(160)," "))) - LEN(SUBSTITUTE(TRIM(SUBSTITUTE(M123:R123,CHAR(160)," "))," ","")) + 1))&gt;1,"s",""))</f>
        <v/>
      </c>
      <c r="K123" s="2263" t="str" cm="1">
        <f t="array" ref="K123">SUMPRODUCT(--(M123:R123&lt;&gt;""), LEN(TRIM(SUBSTITUTE(M123:R123, CHAR(160), "")))) &amp; " Car."</f>
        <v>0 Car.</v>
      </c>
      <c r="L123" s="1376" t="str">
        <f>IF(ISBLANK(M123),"",LARGE(L79:L122,1)+1)</f>
        <v/>
      </c>
      <c r="M123" s="1810"/>
      <c r="N123" s="1810"/>
      <c r="O123" s="1810"/>
      <c r="P123" s="1810"/>
      <c r="Q123" s="1810"/>
      <c r="R123" s="1810"/>
      <c r="S123" s="1810"/>
      <c r="T123" s="1810"/>
      <c r="U123" s="1811"/>
    </row>
    <row r="124" spans="2:21" ht="21" customHeight="1">
      <c r="B124" s="103" t="str">
        <f t="shared" si="8"/>
        <v>►</v>
      </c>
      <c r="C124" s="163" t="str">
        <f>C11</f>
        <v>MAJUSCULE(GAUCHE(J21;1))&amp;" "&amp;J21&amp;" | "&amp;S21&amp;"| "&amp;J23&amp;" "&amp;K23</v>
      </c>
      <c r="D124" s="163">
        <f>D11</f>
        <v>1</v>
      </c>
      <c r="E124" s="164" t="str">
        <f>E11</f>
        <v>coupe</v>
      </c>
      <c r="F124" s="165" t="str">
        <f>F11</f>
        <v>Recette mère ► MILLE-FEUILLE  aux fraises des bois</v>
      </c>
      <c r="G124" s="1548"/>
      <c r="H124" s="1548"/>
      <c r="I124" s="2190">
        <f>ROWS(M80:M124)</f>
        <v>45</v>
      </c>
      <c r="J124" s="5549" t="str" cm="1">
        <f t="array" ref="J124">IF(SUMPRODUCT((M124:R124&lt;&gt;"")*1)=0,"",SUMPRODUCT((M124:R124&lt;&gt;"")*(LEN(TRIM(SUBSTITUTE(M124:R124,CHAR(160)," "))) - LEN(SUBSTITUTE(TRIM(SUBSTITUTE(M124:R124,CHAR(160)," "))," ","")) + 1)) &amp; " mot" &amp; IF(SUMPRODUCT((M124:R124&lt;&gt;"")*(LEN(TRIM(SUBSTITUTE(M124:R124,CHAR(160)," "))) - LEN(SUBSTITUTE(TRIM(SUBSTITUTE(M124:R124,CHAR(160)," "))," ","")) + 1))&gt;1,"s",""))</f>
        <v/>
      </c>
      <c r="K124" s="2263" t="str" cm="1">
        <f t="array" ref="K124">SUMPRODUCT(--(M124:R124&lt;&gt;""), LEN(TRIM(SUBSTITUTE(M124:R124, CHAR(160), "")))) &amp; " Car."</f>
        <v>0 Car.</v>
      </c>
      <c r="L124" s="1376" t="str">
        <f>IF(ISBLANK(M124),"",LARGE(L79:L123,1)+1)</f>
        <v/>
      </c>
      <c r="M124" s="1810"/>
      <c r="N124" s="1810"/>
      <c r="O124" s="1810"/>
      <c r="P124" s="1810"/>
      <c r="Q124" s="1810"/>
      <c r="R124" s="1810"/>
      <c r="S124" s="1810"/>
      <c r="T124" s="1810"/>
      <c r="U124" s="1811"/>
    </row>
    <row r="125" spans="2:21" ht="21" customHeight="1">
      <c r="B125" s="103" t="str">
        <f t="shared" si="8"/>
        <v>►</v>
      </c>
      <c r="C125" s="163" t="str">
        <f>C11</f>
        <v>MAJUSCULE(GAUCHE(J21;1))&amp;" "&amp;J21&amp;" | "&amp;S21&amp;"| "&amp;J23&amp;" "&amp;K23</v>
      </c>
      <c r="D125" s="163">
        <f>D11</f>
        <v>1</v>
      </c>
      <c r="E125" s="164" t="str">
        <f>E11</f>
        <v>coupe</v>
      </c>
      <c r="F125" s="165" t="str">
        <f>F11</f>
        <v>Recette mère ► MILLE-FEUILLE  aux fraises des bois</v>
      </c>
      <c r="G125" s="1548"/>
      <c r="H125" s="1548"/>
      <c r="I125" s="2190">
        <f>ROWS(M80:M125)</f>
        <v>46</v>
      </c>
      <c r="J125" s="5549" t="str" cm="1">
        <f t="array" ref="J125">IF(SUMPRODUCT((M125:R125&lt;&gt;"")*1)=0,"",SUMPRODUCT((M125:R125&lt;&gt;"")*(LEN(TRIM(SUBSTITUTE(M125:R125,CHAR(160)," "))) - LEN(SUBSTITUTE(TRIM(SUBSTITUTE(M125:R125,CHAR(160)," "))," ","")) + 1)) &amp; " mot" &amp; IF(SUMPRODUCT((M125:R125&lt;&gt;"")*(LEN(TRIM(SUBSTITUTE(M125:R125,CHAR(160)," "))) - LEN(SUBSTITUTE(TRIM(SUBSTITUTE(M125:R125,CHAR(160)," "))," ","")) + 1))&gt;1,"s",""))</f>
        <v/>
      </c>
      <c r="K125" s="2263" t="str" cm="1">
        <f t="array" ref="K125">SUMPRODUCT(--(M125:R125&lt;&gt;""), LEN(TRIM(SUBSTITUTE(M125:R125, CHAR(160), "")))) &amp; " Car."</f>
        <v>0 Car.</v>
      </c>
      <c r="L125" s="1376" t="str">
        <f>IF(ISBLANK(M125),"",LARGE(L79:L124,1)+1)</f>
        <v/>
      </c>
      <c r="M125" s="1810"/>
      <c r="N125" s="1810"/>
      <c r="O125" s="1810"/>
      <c r="P125" s="1810"/>
      <c r="Q125" s="1810"/>
      <c r="R125" s="1810"/>
      <c r="S125" s="1810"/>
      <c r="T125" s="1810"/>
      <c r="U125" s="1811"/>
    </row>
    <row r="126" spans="2:21" ht="21" customHeight="1">
      <c r="B126" s="103" t="str">
        <f t="shared" si="8"/>
        <v>►</v>
      </c>
      <c r="C126" s="163" t="str">
        <f>C11</f>
        <v>MAJUSCULE(GAUCHE(J21;1))&amp;" "&amp;J21&amp;" | "&amp;S21&amp;"| "&amp;J23&amp;" "&amp;K23</v>
      </c>
      <c r="D126" s="163">
        <f>D11</f>
        <v>1</v>
      </c>
      <c r="E126" s="164" t="str">
        <f>E11</f>
        <v>coupe</v>
      </c>
      <c r="F126" s="165" t="str">
        <f>F11</f>
        <v>Recette mère ► MILLE-FEUILLE  aux fraises des bois</v>
      </c>
      <c r="G126" s="1548"/>
      <c r="H126" s="1548"/>
      <c r="I126" s="2190">
        <f>ROWS(M80:M126)</f>
        <v>47</v>
      </c>
      <c r="J126" s="5549" t="str" cm="1">
        <f t="array" ref="J126">IF(SUMPRODUCT((M126:R126&lt;&gt;"")*1)=0,"",SUMPRODUCT((M126:R126&lt;&gt;"")*(LEN(TRIM(SUBSTITUTE(M126:R126,CHAR(160)," "))) - LEN(SUBSTITUTE(TRIM(SUBSTITUTE(M126:R126,CHAR(160)," "))," ","")) + 1)) &amp; " mot" &amp; IF(SUMPRODUCT((M126:R126&lt;&gt;"")*(LEN(TRIM(SUBSTITUTE(M126:R126,CHAR(160)," "))) - LEN(SUBSTITUTE(TRIM(SUBSTITUTE(M126:R126,CHAR(160)," "))," ","")) + 1))&gt;1,"s",""))</f>
        <v/>
      </c>
      <c r="K126" s="2263" t="str" cm="1">
        <f t="array" ref="K126">SUMPRODUCT(--(M126:R126&lt;&gt;""), LEN(TRIM(SUBSTITUTE(M126:R126, CHAR(160), "")))) &amp; " Car."</f>
        <v>0 Car.</v>
      </c>
      <c r="L126" s="1376" t="str">
        <f>IF(ISBLANK(M126),"",LARGE(L79:L125,1)+1)</f>
        <v/>
      </c>
      <c r="M126" s="1810"/>
      <c r="N126" s="1810"/>
      <c r="O126" s="1810"/>
      <c r="P126" s="1810"/>
      <c r="Q126" s="1810"/>
      <c r="R126" s="1810"/>
      <c r="S126" s="1810"/>
      <c r="T126" s="1810"/>
      <c r="U126" s="1811"/>
    </row>
    <row r="127" spans="2:21" ht="21" customHeight="1">
      <c r="B127" s="103" t="str">
        <f t="shared" si="8"/>
        <v>►</v>
      </c>
      <c r="C127" s="163" t="str">
        <f>C11</f>
        <v>MAJUSCULE(GAUCHE(J21;1))&amp;" "&amp;J21&amp;" | "&amp;S21&amp;"| "&amp;J23&amp;" "&amp;K23</v>
      </c>
      <c r="D127" s="163">
        <f>D11</f>
        <v>1</v>
      </c>
      <c r="E127" s="164" t="str">
        <f>E11</f>
        <v>coupe</v>
      </c>
      <c r="F127" s="165" t="str">
        <f>F11</f>
        <v>Recette mère ► MILLE-FEUILLE  aux fraises des bois</v>
      </c>
      <c r="G127" s="1548"/>
      <c r="H127" s="1548"/>
      <c r="I127" s="2190">
        <f>ROWS(M80:M127)</f>
        <v>48</v>
      </c>
      <c r="J127" s="5549" t="str" cm="1">
        <f t="array" ref="J127">IF(SUMPRODUCT((M127:R127&lt;&gt;"")*1)=0,"",SUMPRODUCT((M127:R127&lt;&gt;"")*(LEN(TRIM(SUBSTITUTE(M127:R127,CHAR(160)," "))) - LEN(SUBSTITUTE(TRIM(SUBSTITUTE(M127:R127,CHAR(160)," "))," ","")) + 1)) &amp; " mot" &amp; IF(SUMPRODUCT((M127:R127&lt;&gt;"")*(LEN(TRIM(SUBSTITUTE(M127:R127,CHAR(160)," "))) - LEN(SUBSTITUTE(TRIM(SUBSTITUTE(M127:R127,CHAR(160)," "))," ","")) + 1))&gt;1,"s",""))</f>
        <v/>
      </c>
      <c r="K127" s="2263" t="str" cm="1">
        <f t="array" ref="K127">SUMPRODUCT(--(M127:R127&lt;&gt;""), LEN(TRIM(SUBSTITUTE(M127:R127, CHAR(160), "")))) &amp; " Car."</f>
        <v>0 Car.</v>
      </c>
      <c r="L127" s="1376" t="str">
        <f>IF(ISBLANK(M127),"",LARGE(L79:L126,1)+1)</f>
        <v/>
      </c>
      <c r="M127" s="1810"/>
      <c r="N127" s="1810"/>
      <c r="O127" s="1810"/>
      <c r="P127" s="1810"/>
      <c r="Q127" s="1810"/>
      <c r="R127" s="1810"/>
      <c r="S127" s="1810"/>
      <c r="T127" s="1810"/>
      <c r="U127" s="1811"/>
    </row>
    <row r="128" spans="2:21" ht="21" customHeight="1">
      <c r="B128" s="103" t="str">
        <f t="shared" si="8"/>
        <v>►</v>
      </c>
      <c r="C128" s="163" t="str">
        <f>C11</f>
        <v>MAJUSCULE(GAUCHE(J21;1))&amp;" "&amp;J21&amp;" | "&amp;S21&amp;"| "&amp;J23&amp;" "&amp;K23</v>
      </c>
      <c r="D128" s="163">
        <f>D11</f>
        <v>1</v>
      </c>
      <c r="E128" s="164" t="str">
        <f>E11</f>
        <v>coupe</v>
      </c>
      <c r="F128" s="165" t="str">
        <f>F11</f>
        <v>Recette mère ► MILLE-FEUILLE  aux fraises des bois</v>
      </c>
      <c r="G128" s="1548"/>
      <c r="H128" s="1548"/>
      <c r="I128" s="2190">
        <f>ROWS(M80:M128)</f>
        <v>49</v>
      </c>
      <c r="J128" s="5549" t="str" cm="1">
        <f t="array" ref="J128">IF(SUMPRODUCT((M128:R128&lt;&gt;"")*1)=0,"",SUMPRODUCT((M128:R128&lt;&gt;"")*(LEN(TRIM(SUBSTITUTE(M128:R128,CHAR(160)," "))) - LEN(SUBSTITUTE(TRIM(SUBSTITUTE(M128:R128,CHAR(160)," "))," ","")) + 1)) &amp; " mot" &amp; IF(SUMPRODUCT((M128:R128&lt;&gt;"")*(LEN(TRIM(SUBSTITUTE(M128:R128,CHAR(160)," "))) - LEN(SUBSTITUTE(TRIM(SUBSTITUTE(M128:R128,CHAR(160)," "))," ","")) + 1))&gt;1,"s",""))</f>
        <v/>
      </c>
      <c r="K128" s="2263" t="str" cm="1">
        <f t="array" ref="K128">SUMPRODUCT(--(M128:R128&lt;&gt;""), LEN(TRIM(SUBSTITUTE(M128:R128, CHAR(160), "")))) &amp; " Car."</f>
        <v>0 Car.</v>
      </c>
      <c r="L128" s="1376" t="str">
        <f>IF(ISBLANK(M128),"",LARGE(L79:L127,1)+1)</f>
        <v/>
      </c>
      <c r="M128" s="1810"/>
      <c r="N128" s="1810"/>
      <c r="O128" s="1810"/>
      <c r="P128" s="1810"/>
      <c r="Q128" s="1810"/>
      <c r="R128" s="1810"/>
      <c r="S128" s="1810"/>
      <c r="T128" s="1810"/>
      <c r="U128" s="1811"/>
    </row>
    <row r="129" spans="2:21" ht="21" customHeight="1">
      <c r="B129" s="103" t="str">
        <f t="shared" si="8"/>
        <v>►</v>
      </c>
      <c r="C129" s="163" t="str">
        <f>C11</f>
        <v>MAJUSCULE(GAUCHE(J21;1))&amp;" "&amp;J21&amp;" | "&amp;S21&amp;"| "&amp;J23&amp;" "&amp;K23</v>
      </c>
      <c r="D129" s="163">
        <f>D11</f>
        <v>1</v>
      </c>
      <c r="E129" s="164" t="str">
        <f>E11</f>
        <v>coupe</v>
      </c>
      <c r="F129" s="165" t="str">
        <f>F11</f>
        <v>Recette mère ► MILLE-FEUILLE  aux fraises des bois</v>
      </c>
      <c r="G129" s="1548"/>
      <c r="H129" s="1548"/>
      <c r="I129" s="2190">
        <f>ROWS(M80:M129)</f>
        <v>50</v>
      </c>
      <c r="J129" s="5549" t="str" cm="1">
        <f t="array" ref="J129">IF(SUMPRODUCT((M129:R129&lt;&gt;"")*1)=0,"",SUMPRODUCT((M129:R129&lt;&gt;"")*(LEN(TRIM(SUBSTITUTE(M129:R129,CHAR(160)," "))) - LEN(SUBSTITUTE(TRIM(SUBSTITUTE(M129:R129,CHAR(160)," "))," ","")) + 1)) &amp; " mot" &amp; IF(SUMPRODUCT((M129:R129&lt;&gt;"")*(LEN(TRIM(SUBSTITUTE(M129:R129,CHAR(160)," "))) - LEN(SUBSTITUTE(TRIM(SUBSTITUTE(M129:R129,CHAR(160)," "))," ","")) + 1))&gt;1,"s",""))</f>
        <v/>
      </c>
      <c r="K129" s="2263" t="str" cm="1">
        <f t="array" ref="K129">SUMPRODUCT(--(M129:R129&lt;&gt;""), LEN(TRIM(SUBSTITUTE(M129:R129, CHAR(160), "")))) &amp; " Car."</f>
        <v>0 Car.</v>
      </c>
      <c r="L129" s="1376" t="str">
        <f>IF(ISBLANK(M129),"",LARGE(L79:L128,1)+1)</f>
        <v/>
      </c>
      <c r="M129" s="1810"/>
      <c r="N129" s="1810"/>
      <c r="O129" s="1810"/>
      <c r="P129" s="1810"/>
      <c r="Q129" s="1810"/>
      <c r="R129" s="1810"/>
      <c r="S129" s="1810"/>
      <c r="T129" s="1810"/>
      <c r="U129" s="1811"/>
    </row>
    <row r="130" spans="2:21" ht="21" customHeight="1">
      <c r="B130" s="103" t="str">
        <f t="shared" si="8"/>
        <v>►</v>
      </c>
      <c r="C130" s="163" t="str">
        <f>C11</f>
        <v>MAJUSCULE(GAUCHE(J21;1))&amp;" "&amp;J21&amp;" | "&amp;S21&amp;"| "&amp;J23&amp;" "&amp;K23</v>
      </c>
      <c r="D130" s="163">
        <f>D11</f>
        <v>1</v>
      </c>
      <c r="E130" s="164" t="str">
        <f>E11</f>
        <v>coupe</v>
      </c>
      <c r="F130" s="165" t="str">
        <f>F11</f>
        <v>Recette mère ► MILLE-FEUILLE  aux fraises des bois</v>
      </c>
      <c r="G130" s="1548"/>
      <c r="H130" s="1548"/>
      <c r="I130" s="2190">
        <f>ROWS(M80:M130)</f>
        <v>51</v>
      </c>
      <c r="J130" s="5549" t="str" cm="1">
        <f t="array" ref="J130">IF(SUMPRODUCT((M130:R130&lt;&gt;"")*1)=0,"",SUMPRODUCT((M130:R130&lt;&gt;"")*(LEN(TRIM(SUBSTITUTE(M130:R130,CHAR(160)," "))) - LEN(SUBSTITUTE(TRIM(SUBSTITUTE(M130:R130,CHAR(160)," "))," ","")) + 1)) &amp; " mot" &amp; IF(SUMPRODUCT((M130:R130&lt;&gt;"")*(LEN(TRIM(SUBSTITUTE(M130:R130,CHAR(160)," "))) - LEN(SUBSTITUTE(TRIM(SUBSTITUTE(M130:R130,CHAR(160)," "))," ","")) + 1))&gt;1,"s",""))</f>
        <v/>
      </c>
      <c r="K130" s="2263" t="str" cm="1">
        <f t="array" ref="K130">SUMPRODUCT(--(M130:R130&lt;&gt;""), LEN(TRIM(SUBSTITUTE(M130:R130, CHAR(160), "")))) &amp; " Car."</f>
        <v>0 Car.</v>
      </c>
      <c r="L130" s="1376" t="str">
        <f>IF(ISBLANK(M130),"",LARGE(L79:L129,1)+1)</f>
        <v/>
      </c>
      <c r="M130" s="1810"/>
      <c r="N130" s="1810"/>
      <c r="O130" s="1810"/>
      <c r="P130" s="1810"/>
      <c r="Q130" s="1810"/>
      <c r="R130" s="1810"/>
      <c r="S130" s="1810"/>
      <c r="T130" s="1810"/>
      <c r="U130" s="1811"/>
    </row>
    <row r="131" spans="2:21" ht="21" customHeight="1">
      <c r="B131" s="103" t="str">
        <f t="shared" si="8"/>
        <v>►</v>
      </c>
      <c r="C131" s="163" t="str">
        <f>C11</f>
        <v>MAJUSCULE(GAUCHE(J21;1))&amp;" "&amp;J21&amp;" | "&amp;S21&amp;"| "&amp;J23&amp;" "&amp;K23</v>
      </c>
      <c r="D131" s="163">
        <f>D11</f>
        <v>1</v>
      </c>
      <c r="E131" s="164" t="str">
        <f>E11</f>
        <v>coupe</v>
      </c>
      <c r="F131" s="165" t="str">
        <f>F11</f>
        <v>Recette mère ► MILLE-FEUILLE  aux fraises des bois</v>
      </c>
      <c r="G131" s="1548"/>
      <c r="H131" s="1548"/>
      <c r="I131" s="2190">
        <f>ROWS(M80:M131)</f>
        <v>52</v>
      </c>
      <c r="J131" s="5549" t="str" cm="1">
        <f t="array" ref="J131">IF(SUMPRODUCT((M131:R131&lt;&gt;"")*1)=0,"",SUMPRODUCT((M131:R131&lt;&gt;"")*(LEN(TRIM(SUBSTITUTE(M131:R131,CHAR(160)," "))) - LEN(SUBSTITUTE(TRIM(SUBSTITUTE(M131:R131,CHAR(160)," "))," ","")) + 1)) &amp; " mot" &amp; IF(SUMPRODUCT((M131:R131&lt;&gt;"")*(LEN(TRIM(SUBSTITUTE(M131:R131,CHAR(160)," "))) - LEN(SUBSTITUTE(TRIM(SUBSTITUTE(M131:R131,CHAR(160)," "))," ","")) + 1))&gt;1,"s",""))</f>
        <v/>
      </c>
      <c r="K131" s="2263" t="str" cm="1">
        <f t="array" ref="K131">SUMPRODUCT(--(M131:R131&lt;&gt;""), LEN(TRIM(SUBSTITUTE(M131:R131, CHAR(160), "")))) &amp; " Car."</f>
        <v>0 Car.</v>
      </c>
      <c r="L131" s="1376" t="str">
        <f>IF(ISBLANK(M131),"",LARGE(L79:L130,1)+1)</f>
        <v/>
      </c>
      <c r="M131" s="1810"/>
      <c r="N131" s="1810"/>
      <c r="O131" s="1810"/>
      <c r="P131" s="1810"/>
      <c r="Q131" s="1810"/>
      <c r="R131" s="1810"/>
      <c r="S131" s="1810"/>
      <c r="T131" s="1810"/>
      <c r="U131" s="1811"/>
    </row>
    <row r="132" spans="2:21" ht="21" customHeight="1">
      <c r="B132" s="103" t="str">
        <f t="shared" si="8"/>
        <v>►</v>
      </c>
      <c r="C132" s="163" t="str">
        <f>C11</f>
        <v>MAJUSCULE(GAUCHE(J21;1))&amp;" "&amp;J21&amp;" | "&amp;S21&amp;"| "&amp;J23&amp;" "&amp;K23</v>
      </c>
      <c r="D132" s="163">
        <f>D11</f>
        <v>1</v>
      </c>
      <c r="E132" s="164" t="str">
        <f>E11</f>
        <v>coupe</v>
      </c>
      <c r="F132" s="165" t="str">
        <f>F11</f>
        <v>Recette mère ► MILLE-FEUILLE  aux fraises des bois</v>
      </c>
      <c r="G132" s="1548"/>
      <c r="H132" s="1548"/>
      <c r="I132" s="2190">
        <f>ROWS(M80:M132)</f>
        <v>53</v>
      </c>
      <c r="J132" s="5549" t="str" cm="1">
        <f t="array" ref="J132">IF(SUMPRODUCT((M132:R132&lt;&gt;"")*1)=0,"",SUMPRODUCT((M132:R132&lt;&gt;"")*(LEN(TRIM(SUBSTITUTE(M132:R132,CHAR(160)," "))) - LEN(SUBSTITUTE(TRIM(SUBSTITUTE(M132:R132,CHAR(160)," "))," ","")) + 1)) &amp; " mot" &amp; IF(SUMPRODUCT((M132:R132&lt;&gt;"")*(LEN(TRIM(SUBSTITUTE(M132:R132,CHAR(160)," "))) - LEN(SUBSTITUTE(TRIM(SUBSTITUTE(M132:R132,CHAR(160)," "))," ","")) + 1))&gt;1,"s",""))</f>
        <v/>
      </c>
      <c r="K132" s="2263" t="str" cm="1">
        <f t="array" ref="K132">SUMPRODUCT(--(M132:R132&lt;&gt;""), LEN(TRIM(SUBSTITUTE(M132:R132, CHAR(160), "")))) &amp; " Car."</f>
        <v>0 Car.</v>
      </c>
      <c r="L132" s="1376" t="str">
        <f>IF(ISBLANK(M132),"",LARGE(L79:L131,1)+1)</f>
        <v/>
      </c>
      <c r="M132" s="1810"/>
      <c r="N132" s="1810"/>
      <c r="O132" s="1810"/>
      <c r="P132" s="1810"/>
      <c r="Q132" s="1810"/>
      <c r="R132" s="1810"/>
      <c r="S132" s="1810"/>
      <c r="T132" s="1810"/>
      <c r="U132" s="1811"/>
    </row>
    <row r="133" spans="2:21" ht="21" customHeight="1">
      <c r="B133" s="162" t="s">
        <v>10</v>
      </c>
      <c r="C133" s="163" t="str">
        <f>C11</f>
        <v>MAJUSCULE(GAUCHE(J21;1))&amp;" "&amp;J21&amp;" | "&amp;S21&amp;"| "&amp;J23&amp;" "&amp;K23</v>
      </c>
      <c r="D133" s="163">
        <f>D11</f>
        <v>1</v>
      </c>
      <c r="E133" s="164" t="str">
        <f>E11</f>
        <v>coupe</v>
      </c>
      <c r="F133" s="165" t="str">
        <f>F11</f>
        <v>Recette mère ► MILLE-FEUILLE  aux fraises des bois</v>
      </c>
      <c r="G133" s="1548"/>
      <c r="H133" s="1548"/>
      <c r="I133" s="2190">
        <f>ROWS(M80:M133)</f>
        <v>54</v>
      </c>
      <c r="J133" s="5549" t="str" cm="1">
        <f t="array" ref="J133">IF(SUMPRODUCT((M133:R133&lt;&gt;"")*1)=0,"",SUMPRODUCT((M133:R133&lt;&gt;"")*(LEN(TRIM(SUBSTITUTE(M133:R133,CHAR(160)," "))) - LEN(SUBSTITUTE(TRIM(SUBSTITUTE(M133:R133,CHAR(160)," "))," ","")) + 1)) &amp; " mot" &amp; IF(SUMPRODUCT((M133:R133&lt;&gt;"")*(LEN(TRIM(SUBSTITUTE(M133:R133,CHAR(160)," "))) - LEN(SUBSTITUTE(TRIM(SUBSTITUTE(M133:R133,CHAR(160)," "))," ","")) + 1))&gt;1,"s",""))</f>
        <v/>
      </c>
      <c r="K133" s="2263" t="str" cm="1">
        <f t="array" ref="K133">SUMPRODUCT(--(M133:R133&lt;&gt;""), LEN(TRIM(SUBSTITUTE(M133:R133, CHAR(160), "")))) &amp; " Car."</f>
        <v>0 Car.</v>
      </c>
      <c r="L133" s="1376" t="str">
        <f>IF(ISBLANK(M133),"",LARGE(L79:L132,1)+1)</f>
        <v/>
      </c>
      <c r="M133" s="1810"/>
      <c r="N133" s="1810"/>
      <c r="O133" s="1810"/>
      <c r="P133" s="1810"/>
      <c r="Q133" s="1810"/>
      <c r="R133" s="1810"/>
      <c r="S133" s="1810"/>
      <c r="T133" s="1810"/>
      <c r="U133" s="1811"/>
    </row>
    <row r="134" spans="2:21" ht="21" customHeight="1">
      <c r="B134" s="162" t="s">
        <v>10</v>
      </c>
      <c r="C134" s="163" t="str">
        <f>C11</f>
        <v>MAJUSCULE(GAUCHE(J21;1))&amp;" "&amp;J21&amp;" | "&amp;S21&amp;"| "&amp;J23&amp;" "&amp;K23</v>
      </c>
      <c r="D134" s="163">
        <f>D11</f>
        <v>1</v>
      </c>
      <c r="E134" s="164" t="str">
        <f>E11</f>
        <v>coupe</v>
      </c>
      <c r="F134" s="165" t="str">
        <f>F11</f>
        <v>Recette mère ► MILLE-FEUILLE  aux fraises des bois</v>
      </c>
      <c r="G134" s="1548"/>
      <c r="H134" s="1548"/>
      <c r="I134" s="2190">
        <f>ROWS(M80:M134)</f>
        <v>55</v>
      </c>
      <c r="J134" s="5549" t="str" cm="1">
        <f t="array" ref="J134">IF(SUMPRODUCT((M134:R134&lt;&gt;"")*1)=0,"",SUMPRODUCT((M134:R134&lt;&gt;"")*(LEN(TRIM(SUBSTITUTE(M134:R134,CHAR(160)," "))) - LEN(SUBSTITUTE(TRIM(SUBSTITUTE(M134:R134,CHAR(160)," "))," ","")) + 1)) &amp; " mot" &amp; IF(SUMPRODUCT((M134:R134&lt;&gt;"")*(LEN(TRIM(SUBSTITUTE(M134:R134,CHAR(160)," "))) - LEN(SUBSTITUTE(TRIM(SUBSTITUTE(M134:R134,CHAR(160)," "))," ","")) + 1))&gt;1,"s",""))</f>
        <v>13 mots</v>
      </c>
      <c r="K134" s="2263" t="str" cm="1">
        <f t="array" ref="K134">SUMPRODUCT(--(M134:R134&lt;&gt;""), LEN(TRIM(SUBSTITUTE(M134:R134, CHAR(160), "")))) &amp; " Car."</f>
        <v>80 Car.</v>
      </c>
      <c r="L134" s="1376" t="str">
        <f>IF(ISBLANK(M134),"",LARGE(L79:L133,1)+1)</f>
        <v/>
      </c>
      <c r="M134" s="1810"/>
      <c r="N134" s="1810" t="s">
        <v>14252</v>
      </c>
      <c r="O134" s="1810"/>
      <c r="P134" s="1810"/>
      <c r="Q134" s="1810"/>
      <c r="R134" s="1810"/>
      <c r="S134" s="1810"/>
      <c r="T134" s="1810"/>
      <c r="U134" s="1811"/>
    </row>
    <row r="135" spans="2:21" ht="21" customHeight="1" thickBot="1">
      <c r="B135" s="162" t="s">
        <v>10</v>
      </c>
      <c r="C135" s="163" t="str">
        <f>C11</f>
        <v>MAJUSCULE(GAUCHE(J21;1))&amp;" "&amp;J21&amp;" | "&amp;S21&amp;"| "&amp;J23&amp;" "&amp;K23</v>
      </c>
      <c r="D135" s="163">
        <f>D11</f>
        <v>1</v>
      </c>
      <c r="E135" s="164" t="str">
        <f>E11</f>
        <v>coupe</v>
      </c>
      <c r="F135" s="165" t="str">
        <f>F11</f>
        <v>Recette mère ► MILLE-FEUILLE  aux fraises des bois</v>
      </c>
      <c r="G135" s="6159"/>
      <c r="H135" s="1378" t="s">
        <v>207</v>
      </c>
      <c r="I135" s="1712" t="s">
        <v>8475</v>
      </c>
      <c r="J135" s="176"/>
      <c r="K135" s="176"/>
      <c r="L135" s="176"/>
      <c r="M135" s="176"/>
      <c r="N135" s="176"/>
      <c r="O135" s="176"/>
      <c r="P135" s="176"/>
      <c r="Q135" s="176"/>
      <c r="R135" s="176"/>
      <c r="S135" s="176"/>
      <c r="T135" s="176"/>
      <c r="U135" s="884"/>
    </row>
    <row r="136" spans="2:21" ht="21" customHeight="1">
      <c r="B136" s="162" t="s">
        <v>10</v>
      </c>
      <c r="C136" s="163" t="str">
        <f>C11</f>
        <v>MAJUSCULE(GAUCHE(J21;1))&amp;" "&amp;J21&amp;" | "&amp;S21&amp;"| "&amp;J23&amp;" "&amp;K23</v>
      </c>
      <c r="D136" s="163">
        <f>D11</f>
        <v>1</v>
      </c>
      <c r="E136" s="164" t="str">
        <f>E11</f>
        <v>coupe</v>
      </c>
      <c r="F136" s="165" t="str">
        <f>F11</f>
        <v>Recette mère ► MILLE-FEUILLE  aux fraises des bois</v>
      </c>
      <c r="G136" s="1379"/>
      <c r="H136" s="1380"/>
      <c r="I136" s="1380"/>
      <c r="J136" s="1380"/>
      <c r="K136" s="1380"/>
      <c r="L136" s="1380"/>
      <c r="M136" s="1380"/>
      <c r="N136" s="1381" t="s">
        <v>196</v>
      </c>
      <c r="O136" s="202"/>
      <c r="P136" s="202"/>
      <c r="Q136" s="202"/>
      <c r="R136" s="202"/>
      <c r="S136" s="202"/>
      <c r="T136" s="202"/>
      <c r="U136" s="6160"/>
    </row>
    <row r="137" spans="2:21" ht="21" customHeight="1" thickBot="1">
      <c r="B137" s="162" t="s">
        <v>10</v>
      </c>
      <c r="C137" s="163" t="str">
        <f>C11</f>
        <v>MAJUSCULE(GAUCHE(J21;1))&amp;" "&amp;J21&amp;" | "&amp;S21&amp;"| "&amp;J23&amp;" "&amp;K23</v>
      </c>
      <c r="D137" s="163">
        <f>D11</f>
        <v>1</v>
      </c>
      <c r="E137" s="164" t="str">
        <f>E11</f>
        <v>coupe</v>
      </c>
      <c r="F137" s="165" t="str">
        <f>F11</f>
        <v>Recette mère ► MILLE-FEUILLE  aux fraises des bois</v>
      </c>
      <c r="G137" s="2603"/>
      <c r="H137" s="54"/>
      <c r="I137" s="6161"/>
      <c r="J137" s="6162"/>
      <c r="K137" s="6163"/>
      <c r="L137" s="886" t="s">
        <v>200</v>
      </c>
      <c r="M137" s="2137"/>
      <c r="N137" s="2137"/>
      <c r="O137" s="2137"/>
      <c r="P137" s="472"/>
      <c r="Q137" s="472"/>
      <c r="R137" s="472"/>
      <c r="S137" s="2260" t="str">
        <f>IF(M138="","",(LEN(TRIM(SUBSTITUTE(M138,CHAR(160)," ")))-LEN(SUBSTITUTE(TRIM(SUBSTITUTE(M138,CHAR(160)," "))," ",""))+1)&amp;" mot"&amp;IF((LEN(TRIM(SUBSTITUTE(M138,CHAR(160)," ")))-LEN(SUBSTITUTE(TRIM(SUBSTITUTE(M138,CHAR(160)," "))," ",""))+1)&gt;1,"s",""))</f>
        <v>17 mots</v>
      </c>
      <c r="T137" s="2259" t="str">
        <f>IF(M138="","",LEN(TRIM(SUBSTITUTE(M138,CHAR(160),""))))&amp;" Car."</f>
        <v>123 Car.</v>
      </c>
      <c r="U137" s="2261" t="s">
        <v>8863</v>
      </c>
    </row>
    <row r="138" spans="2:21" ht="21" customHeight="1" thickBot="1">
      <c r="B138" s="6164" t="s">
        <v>10</v>
      </c>
      <c r="C138" s="209" t="str">
        <f>C11</f>
        <v>MAJUSCULE(GAUCHE(J21;1))&amp;" "&amp;J21&amp;" | "&amp;S21&amp;"| "&amp;J23&amp;" "&amp;K23</v>
      </c>
      <c r="D138" s="209">
        <f>D11</f>
        <v>1</v>
      </c>
      <c r="E138" s="210" t="str">
        <f>E11</f>
        <v>coupe</v>
      </c>
      <c r="F138" s="211" t="str">
        <f>F11</f>
        <v>Recette mère ► MILLE-FEUILLE  aux fraises des bois</v>
      </c>
      <c r="G138" s="2129"/>
      <c r="H138" s="2130"/>
      <c r="I138" s="2131"/>
      <c r="J138" s="2132"/>
      <c r="K138" s="2133"/>
      <c r="L138" s="2133" t="s">
        <v>8864</v>
      </c>
      <c r="M138" s="5545" t="s">
        <v>8866</v>
      </c>
      <c r="N138" s="2136"/>
      <c r="O138" s="2134"/>
      <c r="P138" s="2134"/>
      <c r="Q138" s="2134"/>
      <c r="R138" s="2134"/>
      <c r="S138" s="2134"/>
      <c r="T138" s="2134"/>
      <c r="U138" s="2135"/>
    </row>
    <row r="139" spans="2:21" ht="21" customHeight="1" thickBot="1">
      <c r="B139" s="215" t="s">
        <v>10</v>
      </c>
      <c r="C139" s="6424" t="s">
        <v>14431</v>
      </c>
      <c r="D139" s="216"/>
      <c r="E139" s="216"/>
      <c r="F139" s="217"/>
      <c r="G139" s="218" t="s">
        <v>207</v>
      </c>
      <c r="H139" s="219" t="str">
        <f ca="1">CELL("nomfichier")</f>
        <v>D:\Données\1.UPRT\0-UPRT.fait\1-UPRT.FR-SITE-WEB\ff-fiches-fabrications\ff.fiches.fabrication.2023\ffr.restaurant.2023\[ff.FICHE.TRILINGUE.20.COLONNES.05.01.2026.xlsx]Couleurs.pour.vos.documents</v>
      </c>
      <c r="I139" s="220"/>
      <c r="J139" s="220"/>
      <c r="K139" s="220"/>
      <c r="L139" s="220"/>
      <c r="M139" s="220"/>
      <c r="N139" s="220"/>
      <c r="O139" s="220"/>
      <c r="P139" s="220"/>
      <c r="Q139" s="220"/>
      <c r="R139" s="220"/>
      <c r="S139" s="220"/>
      <c r="T139" s="220"/>
      <c r="U139" s="221"/>
    </row>
    <row r="140" spans="2:21" ht="21" customHeight="1" thickBot="1">
      <c r="B140" s="1216" t="s">
        <v>10</v>
      </c>
      <c r="C140" s="1217" t="s">
        <v>10</v>
      </c>
      <c r="D140" s="1217" t="s">
        <v>10</v>
      </c>
      <c r="E140" s="1217" t="s">
        <v>10</v>
      </c>
      <c r="F140" s="1217" t="s">
        <v>10</v>
      </c>
      <c r="G140" s="1218" t="s">
        <v>2394</v>
      </c>
      <c r="H140" s="1219"/>
      <c r="I140" s="1220"/>
      <c r="J140" s="1221"/>
      <c r="K140" s="1222"/>
      <c r="L140" s="1223"/>
      <c r="M140" s="1223"/>
      <c r="N140" s="1221"/>
      <c r="O140" s="1221"/>
      <c r="P140" s="1219"/>
      <c r="Q140" s="1219"/>
      <c r="R140" s="1219"/>
      <c r="S140" s="1219"/>
      <c r="T140" s="1219"/>
      <c r="U140" s="1224" t="s">
        <v>1755</v>
      </c>
    </row>
    <row r="142" spans="2:21" ht="15.75" thickBot="1">
      <c r="B142" s="695">
        <v>3</v>
      </c>
      <c r="C142" s="695">
        <v>3</v>
      </c>
      <c r="D142" s="695">
        <v>3</v>
      </c>
      <c r="E142" s="695">
        <v>3</v>
      </c>
      <c r="F142" s="695">
        <v>5</v>
      </c>
      <c r="G142" s="695">
        <v>12</v>
      </c>
      <c r="H142" s="695">
        <v>12</v>
      </c>
      <c r="I142" s="695">
        <v>3</v>
      </c>
      <c r="J142" s="695">
        <v>9</v>
      </c>
      <c r="K142" s="695">
        <v>12</v>
      </c>
      <c r="L142" s="695">
        <v>13</v>
      </c>
      <c r="M142" s="695">
        <v>6</v>
      </c>
      <c r="N142" s="695">
        <v>40</v>
      </c>
      <c r="O142" s="695">
        <v>10</v>
      </c>
      <c r="P142" s="695">
        <v>9</v>
      </c>
      <c r="Q142" s="695">
        <v>18</v>
      </c>
      <c r="R142" s="695">
        <v>13</v>
      </c>
      <c r="S142" s="695">
        <v>13</v>
      </c>
      <c r="T142" s="695">
        <v>13</v>
      </c>
      <c r="U142" s="695">
        <v>17</v>
      </c>
    </row>
    <row r="144" spans="2:21">
      <c r="G144" s="6165">
        <v>12</v>
      </c>
      <c r="H144" s="6165">
        <v>12</v>
      </c>
      <c r="I144" s="6165">
        <v>3</v>
      </c>
      <c r="J144" s="6165">
        <v>9</v>
      </c>
      <c r="K144" s="6165">
        <v>12</v>
      </c>
      <c r="L144" s="6165">
        <v>13</v>
      </c>
      <c r="M144" s="6165">
        <v>6</v>
      </c>
      <c r="N144" s="6165">
        <v>40</v>
      </c>
      <c r="O144" s="6165">
        <v>10</v>
      </c>
      <c r="P144" s="6165">
        <v>9</v>
      </c>
      <c r="Q144" s="6165">
        <v>18</v>
      </c>
      <c r="R144" s="6165">
        <v>13</v>
      </c>
      <c r="S144" s="6165">
        <v>13</v>
      </c>
      <c r="T144" s="6165">
        <v>13</v>
      </c>
      <c r="U144" s="6166">
        <v>17</v>
      </c>
    </row>
  </sheetData>
  <mergeCells count="15">
    <mergeCell ref="I11:K11"/>
    <mergeCell ref="J5:R6"/>
    <mergeCell ref="S5:T6"/>
    <mergeCell ref="U5:U6"/>
    <mergeCell ref="K8:Q9"/>
    <mergeCell ref="I10:J10"/>
    <mergeCell ref="S13:S14"/>
    <mergeCell ref="T13:T14"/>
    <mergeCell ref="U13:U14"/>
    <mergeCell ref="J13:J14"/>
    <mergeCell ref="K13:K14"/>
    <mergeCell ref="L13:L14"/>
    <mergeCell ref="M13:M14"/>
    <mergeCell ref="Q13:Q14"/>
    <mergeCell ref="R13:R14"/>
  </mergeCells>
  <conditionalFormatting sqref="L15:L69">
    <cfRule type="cellIs" dxfId="63" priority="1" operator="not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DD190-FC95-42B2-958A-A32F17697F16}">
  <dimension ref="A1:BO815"/>
  <sheetViews>
    <sheetView showZeros="0" zoomScaleNormal="100" workbookViewId="0">
      <selection activeCell="U16" sqref="U16"/>
    </sheetView>
  </sheetViews>
  <sheetFormatPr baseColWidth="10" defaultRowHeight="15"/>
  <cols>
    <col min="1" max="1" width="5.7109375" customWidth="1"/>
    <col min="2" max="5" width="3.7109375" style="227" customWidth="1"/>
    <col min="6" max="6" width="5.28515625" style="227" customWidth="1"/>
    <col min="7" max="8" width="12.7109375" style="227" customWidth="1"/>
    <col min="9" max="9" width="4" style="227" customWidth="1"/>
    <col min="10" max="10" width="9.7109375" style="227" customWidth="1"/>
    <col min="11" max="11" width="12.85546875" style="227" customWidth="1"/>
    <col min="12" max="12" width="13.42578125" style="227" customWidth="1"/>
    <col min="13" max="13" width="7" style="227" customWidth="1"/>
    <col min="14" max="14" width="40.7109375" style="227" customWidth="1"/>
    <col min="15" max="15" width="10.5703125" style="227" customWidth="1"/>
    <col min="16" max="16" width="9.28515625" style="227" customWidth="1"/>
    <col min="17" max="17" width="18.7109375" style="227" customWidth="1"/>
    <col min="18" max="20" width="13.7109375" style="227" customWidth="1"/>
    <col min="21" max="21" width="17.7109375" style="227" customWidth="1"/>
    <col min="22" max="22" width="18.42578125" customWidth="1"/>
    <col min="23" max="26" width="3.7109375" customWidth="1"/>
    <col min="27" max="27" width="5.7109375" customWidth="1"/>
    <col min="28" max="29" width="12.7109375" customWidth="1"/>
    <col min="30" max="30" width="3.7109375" customWidth="1"/>
    <col min="31" max="31" width="9.7109375" customWidth="1"/>
    <col min="32" max="32" width="12.7109375" customWidth="1"/>
    <col min="33" max="33" width="13.7109375" customWidth="1"/>
    <col min="34" max="34" width="6.7109375" customWidth="1"/>
    <col min="35" max="35" width="40.7109375" customWidth="1"/>
    <col min="36" max="36" width="10.7109375" customWidth="1"/>
    <col min="37" max="37" width="9.7109375" customWidth="1"/>
    <col min="38" max="38" width="18.7109375" customWidth="1"/>
    <col min="39" max="41" width="13.7109375" customWidth="1"/>
    <col min="42" max="42" width="17.7109375" customWidth="1"/>
    <col min="43" max="43" width="16.5703125" customWidth="1"/>
    <col min="44" max="47" width="3.7109375" customWidth="1"/>
    <col min="48" max="48" width="5.7109375" customWidth="1"/>
    <col min="49" max="50" width="12.7109375" customWidth="1"/>
    <col min="51" max="51" width="3.7109375" customWidth="1"/>
    <col min="52" max="52" width="9.7109375" customWidth="1"/>
    <col min="53" max="53" width="12.7109375" customWidth="1"/>
    <col min="54" max="54" width="13.7109375" customWidth="1"/>
    <col min="55" max="55" width="6.7109375" customWidth="1"/>
    <col min="56" max="56" width="40.7109375" customWidth="1"/>
    <col min="57" max="57" width="10.7109375" customWidth="1"/>
    <col min="58" max="58" width="9.7109375" customWidth="1"/>
    <col min="59" max="59" width="18.28515625" customWidth="1"/>
    <col min="60" max="62" width="13.7109375" customWidth="1"/>
    <col min="63" max="63" width="17.7109375" customWidth="1"/>
    <col min="64" max="64" width="21.140625" customWidth="1"/>
    <col min="67" max="67" width="86" customWidth="1"/>
  </cols>
  <sheetData>
    <row r="1" spans="1:67" ht="15.75" customHeight="1" thickTop="1">
      <c r="A1" s="1" t="str">
        <f>ADDRESS(ROW(),COLUMN(),4)</f>
        <v>A1</v>
      </c>
      <c r="B1" s="2" t="str">
        <f t="shared" ref="B1:BK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6628" t="s">
        <v>8774</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6628" t="s">
        <v>8775</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F1" s="2" t="str">
        <f t="shared" si="0"/>
        <v>BF</v>
      </c>
      <c r="BG1" s="2" t="str">
        <f t="shared" si="0"/>
        <v>BG</v>
      </c>
      <c r="BH1" s="2" t="str">
        <f t="shared" si="0"/>
        <v>BH</v>
      </c>
      <c r="BI1" s="2" t="str">
        <f t="shared" si="0"/>
        <v>BI</v>
      </c>
      <c r="BJ1" s="2" t="str">
        <f t="shared" si="0"/>
        <v>BJ</v>
      </c>
      <c r="BK1" s="2" t="str">
        <f t="shared" si="0"/>
        <v>BK</v>
      </c>
      <c r="BL1" s="6628" t="s">
        <v>8776</v>
      </c>
      <c r="BM1" s="3">
        <v>1</v>
      </c>
      <c r="BN1" s="4" t="str">
        <f>SUBSTITUTE(ADDRESS(1,COLUMN(),4),"1","")</f>
        <v>BN</v>
      </c>
      <c r="BO1" s="5" t="str">
        <f>SUBSTITUTE(ADDRESS(1,COLUMN(),4),"1","")</f>
        <v>BO</v>
      </c>
    </row>
    <row r="2" spans="1:67">
      <c r="B2" s="694">
        <f t="shared" ref="B2:U2" ca="1" si="1">CELL("largeur",B2)</f>
        <v>3</v>
      </c>
      <c r="C2" s="694">
        <f t="shared" ca="1" si="1"/>
        <v>3</v>
      </c>
      <c r="D2" s="694">
        <f t="shared" ca="1" si="1"/>
        <v>3</v>
      </c>
      <c r="E2" s="694">
        <f t="shared" ca="1" si="1"/>
        <v>3</v>
      </c>
      <c r="F2" s="694">
        <f t="shared" ca="1" si="1"/>
        <v>5</v>
      </c>
      <c r="G2" s="694">
        <f t="shared" ca="1" si="1"/>
        <v>12</v>
      </c>
      <c r="H2" s="694">
        <f t="shared" ca="1" si="1"/>
        <v>12</v>
      </c>
      <c r="I2" s="694">
        <f t="shared" ca="1" si="1"/>
        <v>3</v>
      </c>
      <c r="J2" s="694">
        <f t="shared" ca="1" si="1"/>
        <v>9</v>
      </c>
      <c r="K2" s="694">
        <f t="shared" ca="1" si="1"/>
        <v>12</v>
      </c>
      <c r="L2" s="694">
        <f t="shared" ca="1" si="1"/>
        <v>13</v>
      </c>
      <c r="M2" s="694">
        <f t="shared" ca="1" si="1"/>
        <v>6</v>
      </c>
      <c r="N2" s="694">
        <f t="shared" ca="1" si="1"/>
        <v>40</v>
      </c>
      <c r="O2" s="694">
        <f t="shared" ca="1" si="1"/>
        <v>10</v>
      </c>
      <c r="P2" s="694">
        <f t="shared" ca="1" si="1"/>
        <v>9</v>
      </c>
      <c r="Q2" s="694">
        <f t="shared" ca="1" si="1"/>
        <v>18</v>
      </c>
      <c r="R2" s="694">
        <f t="shared" ca="1" si="1"/>
        <v>13</v>
      </c>
      <c r="S2" s="694">
        <f t="shared" ca="1" si="1"/>
        <v>13</v>
      </c>
      <c r="T2" s="694">
        <f t="shared" ca="1" si="1"/>
        <v>13</v>
      </c>
      <c r="U2" s="694">
        <f t="shared" ca="1" si="1"/>
        <v>17</v>
      </c>
      <c r="V2" s="6628"/>
      <c r="W2" s="694">
        <f t="shared" ref="W2:AP2" ca="1" si="2">CELL("largeur",W2)</f>
        <v>3</v>
      </c>
      <c r="X2" s="694">
        <f t="shared" ca="1" si="2"/>
        <v>3</v>
      </c>
      <c r="Y2" s="694">
        <f t="shared" ca="1" si="2"/>
        <v>3</v>
      </c>
      <c r="Z2" s="694">
        <f t="shared" ca="1" si="2"/>
        <v>3</v>
      </c>
      <c r="AA2" s="694">
        <f t="shared" ca="1" si="2"/>
        <v>5</v>
      </c>
      <c r="AB2" s="694">
        <f t="shared" ca="1" si="2"/>
        <v>12</v>
      </c>
      <c r="AC2" s="694">
        <f t="shared" ca="1" si="2"/>
        <v>12</v>
      </c>
      <c r="AD2" s="694">
        <f t="shared" ca="1" si="2"/>
        <v>3</v>
      </c>
      <c r="AE2" s="694">
        <f t="shared" ca="1" si="2"/>
        <v>9</v>
      </c>
      <c r="AF2" s="694">
        <f t="shared" ca="1" si="2"/>
        <v>12</v>
      </c>
      <c r="AG2" s="694">
        <f t="shared" ca="1" si="2"/>
        <v>13</v>
      </c>
      <c r="AH2" s="694">
        <f t="shared" ca="1" si="2"/>
        <v>6</v>
      </c>
      <c r="AI2" s="694">
        <f t="shared" ca="1" si="2"/>
        <v>40</v>
      </c>
      <c r="AJ2" s="694">
        <f t="shared" ca="1" si="2"/>
        <v>10</v>
      </c>
      <c r="AK2" s="694">
        <f t="shared" ca="1" si="2"/>
        <v>9</v>
      </c>
      <c r="AL2" s="694">
        <f t="shared" ca="1" si="2"/>
        <v>18</v>
      </c>
      <c r="AM2" s="694">
        <f t="shared" ca="1" si="2"/>
        <v>13</v>
      </c>
      <c r="AN2" s="694">
        <f t="shared" ca="1" si="2"/>
        <v>13</v>
      </c>
      <c r="AO2" s="694">
        <f t="shared" ca="1" si="2"/>
        <v>13</v>
      </c>
      <c r="AP2" s="694">
        <f t="shared" ca="1" si="2"/>
        <v>17</v>
      </c>
      <c r="AQ2" s="6628"/>
      <c r="AR2" s="694">
        <f t="shared" ref="AR2:BK2" ca="1" si="3">CELL("largeur",AR2)</f>
        <v>3</v>
      </c>
      <c r="AS2" s="694">
        <f t="shared" ca="1" si="3"/>
        <v>3</v>
      </c>
      <c r="AT2" s="694">
        <f t="shared" ca="1" si="3"/>
        <v>3</v>
      </c>
      <c r="AU2" s="694">
        <f t="shared" ca="1" si="3"/>
        <v>3</v>
      </c>
      <c r="AV2" s="694">
        <f t="shared" ca="1" si="3"/>
        <v>5</v>
      </c>
      <c r="AW2" s="694">
        <f t="shared" ca="1" si="3"/>
        <v>12</v>
      </c>
      <c r="AX2" s="694">
        <f t="shared" ca="1" si="3"/>
        <v>12</v>
      </c>
      <c r="AY2" s="694">
        <f t="shared" ca="1" si="3"/>
        <v>3</v>
      </c>
      <c r="AZ2" s="694">
        <f t="shared" ca="1" si="3"/>
        <v>9</v>
      </c>
      <c r="BA2" s="694">
        <f t="shared" ca="1" si="3"/>
        <v>12</v>
      </c>
      <c r="BB2" s="694">
        <f t="shared" ca="1" si="3"/>
        <v>13</v>
      </c>
      <c r="BC2" s="694">
        <f t="shared" ca="1" si="3"/>
        <v>6</v>
      </c>
      <c r="BD2" s="694">
        <f t="shared" ca="1" si="3"/>
        <v>40</v>
      </c>
      <c r="BE2" s="694">
        <f t="shared" ca="1" si="3"/>
        <v>10</v>
      </c>
      <c r="BF2" s="694">
        <f t="shared" ca="1" si="3"/>
        <v>9</v>
      </c>
      <c r="BG2" s="694">
        <f t="shared" ca="1" si="3"/>
        <v>18</v>
      </c>
      <c r="BH2" s="694">
        <f t="shared" ca="1" si="3"/>
        <v>13</v>
      </c>
      <c r="BI2" s="694">
        <f t="shared" ca="1" si="3"/>
        <v>13</v>
      </c>
      <c r="BJ2" s="694">
        <f t="shared" ca="1" si="3"/>
        <v>13</v>
      </c>
      <c r="BK2" s="694">
        <f t="shared" ca="1" si="3"/>
        <v>17</v>
      </c>
      <c r="BL2" s="6628"/>
      <c r="BM2" s="3">
        <v>1</v>
      </c>
      <c r="BN2" s="7" t="s">
        <v>3</v>
      </c>
      <c r="BO2" s="8"/>
    </row>
    <row r="3" spans="1:67" ht="21" customHeight="1" thickBot="1">
      <c r="B3" s="695">
        <v>3</v>
      </c>
      <c r="C3" s="695">
        <v>3</v>
      </c>
      <c r="D3" s="695">
        <v>3</v>
      </c>
      <c r="E3" s="695">
        <v>3</v>
      </c>
      <c r="F3" s="695">
        <v>5</v>
      </c>
      <c r="G3" s="695">
        <v>12</v>
      </c>
      <c r="H3" s="695">
        <v>12</v>
      </c>
      <c r="I3" s="695">
        <v>3</v>
      </c>
      <c r="J3" s="695">
        <v>9</v>
      </c>
      <c r="K3" s="695">
        <v>12</v>
      </c>
      <c r="L3" s="695">
        <v>13</v>
      </c>
      <c r="M3" s="695">
        <v>6</v>
      </c>
      <c r="N3" s="695">
        <v>40</v>
      </c>
      <c r="O3" s="695">
        <v>10</v>
      </c>
      <c r="P3" s="695">
        <v>9</v>
      </c>
      <c r="Q3" s="695">
        <v>18</v>
      </c>
      <c r="R3" s="695">
        <v>13</v>
      </c>
      <c r="S3" s="695">
        <v>13</v>
      </c>
      <c r="T3" s="695">
        <v>13</v>
      </c>
      <c r="U3" s="695">
        <v>17</v>
      </c>
      <c r="V3" s="2066" t="s">
        <v>8779</v>
      </c>
      <c r="W3" s="695">
        <v>3</v>
      </c>
      <c r="X3" s="695">
        <v>3</v>
      </c>
      <c r="Y3" s="695">
        <v>3</v>
      </c>
      <c r="Z3" s="695">
        <v>3</v>
      </c>
      <c r="AA3" s="695">
        <v>5</v>
      </c>
      <c r="AB3" s="695">
        <v>12</v>
      </c>
      <c r="AC3" s="695">
        <v>12</v>
      </c>
      <c r="AD3" s="695">
        <v>3</v>
      </c>
      <c r="AE3" s="695">
        <v>9</v>
      </c>
      <c r="AF3" s="695">
        <v>12</v>
      </c>
      <c r="AG3" s="695">
        <v>13</v>
      </c>
      <c r="AH3" s="695">
        <v>6</v>
      </c>
      <c r="AI3" s="695">
        <v>40</v>
      </c>
      <c r="AJ3" s="695">
        <v>10</v>
      </c>
      <c r="AK3" s="695">
        <v>9</v>
      </c>
      <c r="AL3" s="695">
        <v>18</v>
      </c>
      <c r="AM3" s="695">
        <v>13</v>
      </c>
      <c r="AN3" s="695">
        <v>13</v>
      </c>
      <c r="AO3" s="695">
        <v>13</v>
      </c>
      <c r="AP3" s="695">
        <v>17</v>
      </c>
      <c r="AQ3" s="2066" t="s">
        <v>8778</v>
      </c>
      <c r="AR3" s="695">
        <v>3</v>
      </c>
      <c r="AS3" s="695">
        <v>3</v>
      </c>
      <c r="AT3" s="695">
        <v>3</v>
      </c>
      <c r="AU3" s="695">
        <v>3</v>
      </c>
      <c r="AV3" s="695">
        <v>5</v>
      </c>
      <c r="AW3" s="695">
        <v>12</v>
      </c>
      <c r="AX3" s="695">
        <v>12</v>
      </c>
      <c r="AY3" s="695">
        <v>3</v>
      </c>
      <c r="AZ3" s="695">
        <v>9</v>
      </c>
      <c r="BA3" s="695">
        <v>12</v>
      </c>
      <c r="BB3" s="695">
        <v>13</v>
      </c>
      <c r="BC3" s="695">
        <v>6</v>
      </c>
      <c r="BD3" s="695">
        <v>40</v>
      </c>
      <c r="BE3" s="695">
        <v>10</v>
      </c>
      <c r="BF3" s="695">
        <v>9</v>
      </c>
      <c r="BG3" s="695">
        <v>18</v>
      </c>
      <c r="BH3" s="695">
        <v>13</v>
      </c>
      <c r="BI3" s="695">
        <v>13</v>
      </c>
      <c r="BJ3" s="695">
        <v>13</v>
      </c>
      <c r="BK3" s="695">
        <v>17</v>
      </c>
      <c r="BL3" s="2066" t="s">
        <v>8777</v>
      </c>
      <c r="BM3" s="3">
        <v>1</v>
      </c>
      <c r="BN3" s="10">
        <f ca="1">COUNTA(A1:BM815) + COUNTBLANK(A1:BM815)</f>
        <v>55479</v>
      </c>
      <c r="BO3" s="11" t="str">
        <f>"cellules entre -cells -celdas  "&amp;" " &amp;A1&amp;" et  "&amp;BM815</f>
        <v>cellules entre -cells -celdas   A1 et  BM815</v>
      </c>
    </row>
    <row r="4" spans="1:67" ht="21" customHeight="1">
      <c r="B4" s="12" t="s">
        <v>4</v>
      </c>
      <c r="C4" s="12" t="s">
        <v>5</v>
      </c>
      <c r="D4" s="13" t="s">
        <v>6</v>
      </c>
      <c r="E4" s="13" t="s">
        <v>7</v>
      </c>
      <c r="F4" s="13" t="s">
        <v>8</v>
      </c>
      <c r="G4" s="1951"/>
      <c r="H4" s="1951"/>
      <c r="I4" s="1951"/>
      <c r="J4" s="1951"/>
      <c r="K4" s="1951"/>
      <c r="L4" s="1951"/>
      <c r="M4" s="1951"/>
      <c r="N4" s="1962"/>
      <c r="O4" s="1960" t="s">
        <v>1344</v>
      </c>
      <c r="P4" s="1951"/>
      <c r="Q4" s="1951"/>
      <c r="R4" s="1951"/>
      <c r="S4" s="1951"/>
      <c r="T4" s="1951"/>
      <c r="U4" s="1951"/>
      <c r="W4" s="12" t="s">
        <v>4</v>
      </c>
      <c r="X4" s="12" t="s">
        <v>5</v>
      </c>
      <c r="Y4" s="13" t="s">
        <v>6</v>
      </c>
      <c r="Z4" s="13" t="s">
        <v>7</v>
      </c>
      <c r="AA4" s="13" t="s">
        <v>8</v>
      </c>
      <c r="AB4" s="1958"/>
      <c r="AC4" s="1958"/>
      <c r="AD4" s="1958"/>
      <c r="AE4" s="1958"/>
      <c r="AF4" s="1958"/>
      <c r="AG4" s="1958"/>
      <c r="AH4" s="1958"/>
      <c r="AI4" s="1958"/>
      <c r="AJ4" s="1960" t="s">
        <v>1344</v>
      </c>
      <c r="AK4" s="1961"/>
      <c r="AL4" s="1961"/>
      <c r="AM4" s="1961"/>
      <c r="AN4" s="1961"/>
      <c r="AO4" s="1961"/>
      <c r="AP4" s="1961"/>
      <c r="AR4" s="12" t="s">
        <v>4</v>
      </c>
      <c r="AS4" s="12" t="s">
        <v>5</v>
      </c>
      <c r="AT4" s="13" t="s">
        <v>6</v>
      </c>
      <c r="AU4" s="13" t="s">
        <v>7</v>
      </c>
      <c r="AV4" s="13" t="s">
        <v>8</v>
      </c>
      <c r="AW4" s="1958"/>
      <c r="AX4" s="1958"/>
      <c r="AY4" s="1958"/>
      <c r="AZ4" s="1958"/>
      <c r="BA4" s="1958"/>
      <c r="BB4" s="1958"/>
      <c r="BC4" s="1958"/>
      <c r="BD4" s="1958"/>
      <c r="BE4" s="1960" t="s">
        <v>1345</v>
      </c>
      <c r="BF4" s="1958"/>
      <c r="BG4" s="1958"/>
      <c r="BH4" s="1958"/>
      <c r="BI4" s="1958"/>
      <c r="BJ4" s="1958"/>
      <c r="BK4" s="1982" t="s">
        <v>1491</v>
      </c>
      <c r="BL4" s="1" t="str">
        <f>BM815</f>
        <v>BM815</v>
      </c>
      <c r="BM4" s="3">
        <v>1</v>
      </c>
      <c r="BN4" s="10">
        <f ca="1">COUNTA(A1:BM815)</f>
        <v>21154</v>
      </c>
      <c r="BO4" s="11" t="s">
        <v>9</v>
      </c>
    </row>
    <row r="5" spans="1:67" ht="21" customHeight="1">
      <c r="B5" s="15" t="s">
        <v>10</v>
      </c>
      <c r="C5" s="1945" t="s">
        <v>8621</v>
      </c>
      <c r="D5" s="1946"/>
      <c r="E5" s="1946"/>
      <c r="F5" s="1946"/>
      <c r="G5" s="1947"/>
      <c r="H5" s="1947"/>
      <c r="I5" s="1947"/>
      <c r="J5" s="1947"/>
      <c r="K5" s="1947"/>
      <c r="L5" s="1947"/>
      <c r="M5" s="1947"/>
      <c r="N5" s="1948"/>
      <c r="O5" s="6775" t="s">
        <v>8622</v>
      </c>
      <c r="P5" s="6775"/>
      <c r="Q5" s="6775"/>
      <c r="R5" s="6775"/>
      <c r="S5" s="6775"/>
      <c r="T5" s="6775"/>
      <c r="U5" s="6775"/>
      <c r="W5" s="15" t="s">
        <v>10</v>
      </c>
      <c r="X5" s="1945" t="s">
        <v>8625</v>
      </c>
      <c r="Y5" s="1958"/>
      <c r="Z5" s="1958"/>
      <c r="AA5" s="1958"/>
      <c r="AB5" s="1958"/>
      <c r="AC5" s="1958"/>
      <c r="AD5" s="1958"/>
      <c r="AE5" s="1958"/>
      <c r="AF5" s="1958"/>
      <c r="AG5" s="1958"/>
      <c r="AH5" s="1958"/>
      <c r="AI5" s="1958"/>
      <c r="AJ5" s="6775" t="s">
        <v>8623</v>
      </c>
      <c r="AK5" s="6775"/>
      <c r="AL5" s="6775"/>
      <c r="AM5" s="6775"/>
      <c r="AN5" s="6775"/>
      <c r="AO5" s="6775"/>
      <c r="AP5" s="6775"/>
      <c r="AR5" s="15" t="s">
        <v>10</v>
      </c>
      <c r="AS5" s="1945" t="s">
        <v>8627</v>
      </c>
      <c r="AT5" s="1958"/>
      <c r="AU5" s="1958"/>
      <c r="AV5" s="1958"/>
      <c r="AW5" s="1958"/>
      <c r="AX5" s="1958"/>
      <c r="AY5" s="1958"/>
      <c r="AZ5" s="1958"/>
      <c r="BA5" s="1958"/>
      <c r="BB5" s="1958"/>
      <c r="BC5" s="1958"/>
      <c r="BD5" s="1958"/>
      <c r="BE5" s="6775" t="s">
        <v>8624</v>
      </c>
      <c r="BF5" s="6775"/>
      <c r="BG5" s="6775"/>
      <c r="BH5" s="6775"/>
      <c r="BI5" s="6775"/>
      <c r="BJ5" s="6775"/>
      <c r="BK5" s="6775"/>
      <c r="BM5" s="3">
        <v>1</v>
      </c>
      <c r="BN5" s="10">
        <f ca="1">COUNTBLANK(A1:BM815)</f>
        <v>34325</v>
      </c>
      <c r="BO5" s="11" t="s">
        <v>12</v>
      </c>
    </row>
    <row r="6" spans="1:67" ht="21" customHeight="1">
      <c r="B6" s="15" t="s">
        <v>10</v>
      </c>
      <c r="C6" s="1950"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D6" s="1946"/>
      <c r="E6" s="1946"/>
      <c r="F6" s="1946"/>
      <c r="G6" s="1951"/>
      <c r="H6" s="1951"/>
      <c r="I6" s="1951"/>
      <c r="J6" s="1951"/>
      <c r="K6" s="1951"/>
      <c r="L6" s="1951"/>
      <c r="M6" s="1951"/>
      <c r="N6" s="1948"/>
      <c r="O6" s="6775"/>
      <c r="P6" s="6775"/>
      <c r="Q6" s="6775"/>
      <c r="R6" s="6775"/>
      <c r="S6" s="6775"/>
      <c r="T6" s="6775"/>
      <c r="U6" s="6775"/>
      <c r="W6" s="15" t="s">
        <v>10</v>
      </c>
      <c r="X6" s="1950" t="str">
        <f>IF(ISNUMBER(IFERROR(VALUE("0,5"),"")),"WARNING: on this computer, the decimal separator is the COMMA,",IF(ISNUMBER(IFERROR(VALUE("0.5"),"")),"  OK. ALL GOOD: on this computer. the decimal separator is the PERIOD (DOT).","Unable to determine the decimal separator"))</f>
        <v xml:space="preserve">  OK. ALL GOOD: on this computer. the decimal separator is the PERIOD (DOT).</v>
      </c>
      <c r="Y6" s="1958"/>
      <c r="Z6" s="1958"/>
      <c r="AA6" s="1958"/>
      <c r="AB6" s="1958"/>
      <c r="AC6" s="1958"/>
      <c r="AD6" s="1958"/>
      <c r="AE6" s="1958"/>
      <c r="AF6" s="1958"/>
      <c r="AG6" s="1958"/>
      <c r="AH6" s="1958"/>
      <c r="AI6" s="1958"/>
      <c r="AJ6" s="6775"/>
      <c r="AK6" s="6775"/>
      <c r="AL6" s="6775"/>
      <c r="AM6" s="6775"/>
      <c r="AN6" s="6775"/>
      <c r="AO6" s="6775"/>
      <c r="AP6" s="6775"/>
      <c r="AR6" s="15" t="s">
        <v>10</v>
      </c>
      <c r="AS6" s="1950" t="str">
        <f>IF(ISNUMBER(IFERROR(VALUE("0,5"),"")),"ATENCIÓN: en este ordenador, el separador decimal es la COMA",IF(ISNUMBER(IFERROR(VALUE("0.5"),"")),"  OK. TODO BIEN: en este ordenador. el separador decimal es el PUNTO","Imposible determinar el separador decimal"))</f>
        <v xml:space="preserve">  OK. TODO BIEN: en este ordenador. el separador decimal es el PUNTO</v>
      </c>
      <c r="AT6" s="1958"/>
      <c r="AU6" s="1958"/>
      <c r="AV6" s="1958"/>
      <c r="AW6" s="1958"/>
      <c r="AX6" s="1958"/>
      <c r="AY6" s="1958"/>
      <c r="AZ6" s="1958"/>
      <c r="BA6" s="1958"/>
      <c r="BB6" s="1958"/>
      <c r="BC6" s="1958"/>
      <c r="BD6" s="1958"/>
      <c r="BE6" s="6775"/>
      <c r="BF6" s="6775"/>
      <c r="BG6" s="6775"/>
      <c r="BH6" s="6775"/>
      <c r="BI6" s="6775"/>
      <c r="BJ6" s="6775"/>
      <c r="BK6" s="6775"/>
      <c r="BM6" s="3">
        <v>1</v>
      </c>
      <c r="BN6" s="10">
        <f>SUM(BM1:BM363)+2</f>
        <v>359</v>
      </c>
      <c r="BO6" s="11" t="s">
        <v>14</v>
      </c>
    </row>
    <row r="7" spans="1:67" ht="21" customHeight="1">
      <c r="B7" s="15" t="s">
        <v>10</v>
      </c>
      <c r="C7" s="1952" t="s">
        <v>8620</v>
      </c>
      <c r="D7" s="1946"/>
      <c r="E7" s="1946"/>
      <c r="F7" s="1946"/>
      <c r="G7" s="1951"/>
      <c r="H7" s="1951"/>
      <c r="I7" s="1951"/>
      <c r="J7" s="1951"/>
      <c r="K7" s="1951"/>
      <c r="L7" s="1951"/>
      <c r="M7" s="1951"/>
      <c r="N7" s="1951"/>
      <c r="O7" s="1983" t="s">
        <v>8640</v>
      </c>
      <c r="P7" s="1949"/>
      <c r="Q7" s="1949"/>
      <c r="R7" s="1949"/>
      <c r="S7" s="1949"/>
      <c r="T7" s="1949"/>
      <c r="U7" s="1949"/>
      <c r="W7" s="15" t="s">
        <v>10</v>
      </c>
      <c r="X7" s="1952" t="s">
        <v>8626</v>
      </c>
      <c r="Y7" s="1958"/>
      <c r="Z7" s="1958"/>
      <c r="AA7" s="1958"/>
      <c r="AB7" s="1958"/>
      <c r="AC7" s="1958"/>
      <c r="AD7" s="1958"/>
      <c r="AE7" s="1958"/>
      <c r="AF7" s="1958"/>
      <c r="AG7" s="1958"/>
      <c r="AH7" s="1958"/>
      <c r="AI7" s="1958"/>
      <c r="AJ7" s="1983" t="s">
        <v>8651</v>
      </c>
      <c r="AK7" s="1949"/>
      <c r="AL7" s="1949"/>
      <c r="AM7" s="1949"/>
      <c r="AN7" s="1949"/>
      <c r="AO7" s="1949"/>
      <c r="AP7" s="1949"/>
      <c r="AR7" s="15" t="s">
        <v>10</v>
      </c>
      <c r="AS7" s="1952" t="s">
        <v>8628</v>
      </c>
      <c r="AT7" s="1958"/>
      <c r="AU7" s="1958"/>
      <c r="AV7" s="1958"/>
      <c r="AW7" s="1958"/>
      <c r="AX7" s="1958"/>
      <c r="AY7" s="1958"/>
      <c r="AZ7" s="1958"/>
      <c r="BA7" s="1958"/>
      <c r="BB7" s="1958"/>
      <c r="BC7" s="1958"/>
      <c r="BD7" s="1958"/>
      <c r="BE7" s="1983" t="s">
        <v>8650</v>
      </c>
      <c r="BF7" s="1949"/>
      <c r="BG7" s="1949"/>
      <c r="BH7" s="1949"/>
      <c r="BI7" s="1949"/>
      <c r="BJ7" s="1949"/>
      <c r="BK7" s="1949"/>
      <c r="BM7" s="3">
        <v>1</v>
      </c>
      <c r="BN7" s="10" cm="1">
        <f t="array" ref="BN7">SUM(A815:BL815+1)</f>
        <v>128</v>
      </c>
      <c r="BO7" s="11" t="s">
        <v>17</v>
      </c>
    </row>
    <row r="8" spans="1:67" ht="21" customHeight="1">
      <c r="B8" s="15" t="s">
        <v>10</v>
      </c>
      <c r="C8" s="1954" t="s">
        <v>14060</v>
      </c>
      <c r="D8" s="1944"/>
      <c r="E8" s="1944"/>
      <c r="F8" s="1944"/>
      <c r="G8" s="1953"/>
      <c r="H8" s="1951"/>
      <c r="I8" s="1944"/>
      <c r="J8" s="1944"/>
      <c r="K8" s="1944"/>
      <c r="L8" s="1944"/>
      <c r="M8" s="1944"/>
      <c r="N8" s="1944"/>
      <c r="O8" s="1944"/>
      <c r="P8" s="1944"/>
      <c r="Q8" s="1944"/>
      <c r="R8" s="1944"/>
      <c r="S8" s="1944"/>
      <c r="T8" s="1944"/>
      <c r="U8" s="1944"/>
      <c r="W8" s="15" t="s">
        <v>10</v>
      </c>
      <c r="X8" s="1958"/>
      <c r="Y8" s="1958"/>
      <c r="Z8" s="1958"/>
      <c r="AA8" s="1958"/>
      <c r="AB8" s="1958"/>
      <c r="AC8" s="1954" t="s">
        <v>14062</v>
      </c>
      <c r="AD8" s="1958"/>
      <c r="AE8" s="1958"/>
      <c r="AF8" s="1958"/>
      <c r="AG8" s="1958"/>
      <c r="AH8" s="1958"/>
      <c r="AI8" s="1958"/>
      <c r="AJ8" s="1958"/>
      <c r="AK8" s="1958"/>
      <c r="AL8" s="1958"/>
      <c r="AM8" s="1958"/>
      <c r="AN8" s="1958"/>
      <c r="AO8" s="1958"/>
      <c r="AP8" s="1959"/>
      <c r="AR8" s="15" t="s">
        <v>10</v>
      </c>
      <c r="AS8" s="1958"/>
      <c r="AT8" s="1958"/>
      <c r="AU8" s="1958"/>
      <c r="AV8" s="1958"/>
      <c r="AW8" s="1958"/>
      <c r="AX8" s="1954" t="s">
        <v>14064</v>
      </c>
      <c r="AY8" s="1958"/>
      <c r="AZ8" s="1958"/>
      <c r="BA8" s="1958"/>
      <c r="BB8" s="1958"/>
      <c r="BC8" s="1958"/>
      <c r="BD8" s="1958"/>
      <c r="BE8" s="1958"/>
      <c r="BF8" s="1958"/>
      <c r="BG8" s="1958"/>
      <c r="BH8" s="1958"/>
      <c r="BI8" s="1958"/>
      <c r="BJ8" s="1958"/>
      <c r="BK8" s="1959"/>
      <c r="BM8" s="3">
        <v>1</v>
      </c>
      <c r="BN8" s="10"/>
      <c r="BO8" s="11"/>
    </row>
    <row r="9" spans="1:67" ht="21" customHeight="1">
      <c r="B9" s="15" t="s">
        <v>10</v>
      </c>
      <c r="C9" s="1954" t="s">
        <v>14061</v>
      </c>
      <c r="D9" s="1944"/>
      <c r="E9" s="1944"/>
      <c r="F9" s="1944"/>
      <c r="G9" s="1953"/>
      <c r="H9" s="1951"/>
      <c r="I9" s="1944"/>
      <c r="J9" s="1944"/>
      <c r="K9" s="1954"/>
      <c r="L9" s="1944"/>
      <c r="M9" s="1944"/>
      <c r="N9" s="1956" t="s">
        <v>8596</v>
      </c>
      <c r="O9" s="1951"/>
      <c r="P9" s="1957"/>
      <c r="Q9" s="5570" t="s">
        <v>13818</v>
      </c>
      <c r="R9" s="1944"/>
      <c r="S9" s="1944"/>
      <c r="T9" s="1944"/>
      <c r="U9" s="1944"/>
      <c r="W9" s="15" t="s">
        <v>10</v>
      </c>
      <c r="X9" s="1958"/>
      <c r="Y9" s="1958"/>
      <c r="Z9" s="1958"/>
      <c r="AA9" s="1958"/>
      <c r="AB9" s="1958"/>
      <c r="AC9" s="1954" t="s">
        <v>14063</v>
      </c>
      <c r="AD9" s="1958"/>
      <c r="AE9" s="1958"/>
      <c r="AF9" s="1958"/>
      <c r="AG9" s="1958"/>
      <c r="AH9" s="1958"/>
      <c r="AI9" s="1958"/>
      <c r="AJ9" s="1956" t="s">
        <v>8604</v>
      </c>
      <c r="AK9" s="1958"/>
      <c r="AL9" s="1958"/>
      <c r="AM9" s="1958"/>
      <c r="AN9" s="1958"/>
      <c r="AO9" s="1958"/>
      <c r="AP9" s="1959"/>
      <c r="AR9" s="15" t="s">
        <v>10</v>
      </c>
      <c r="AS9" s="1958"/>
      <c r="AT9" s="1958"/>
      <c r="AU9" s="1958"/>
      <c r="AV9" s="1958"/>
      <c r="AW9" s="1958"/>
      <c r="AX9" s="1954" t="s">
        <v>14065</v>
      </c>
      <c r="AY9" s="1958"/>
      <c r="AZ9" s="1958"/>
      <c r="BA9" s="1958"/>
      <c r="BB9" s="1958"/>
      <c r="BC9" s="1958"/>
      <c r="BD9" s="1958"/>
      <c r="BE9" s="1956" t="s">
        <v>8612</v>
      </c>
      <c r="BF9" s="1958"/>
      <c r="BG9" s="1958"/>
      <c r="BH9" s="1958"/>
      <c r="BI9" s="1958"/>
      <c r="BJ9" s="1958"/>
      <c r="BK9" s="1959"/>
      <c r="BM9" s="3">
        <v>1</v>
      </c>
    </row>
    <row r="10" spans="1:67" ht="21" customHeight="1">
      <c r="B10" s="15" t="s">
        <v>10</v>
      </c>
      <c r="C10" s="1954" t="s">
        <v>8590</v>
      </c>
      <c r="D10" s="1953"/>
      <c r="E10" s="1944"/>
      <c r="F10" s="1944"/>
      <c r="G10" s="1953"/>
      <c r="H10" s="1951"/>
      <c r="I10" s="1944"/>
      <c r="J10" s="1944"/>
      <c r="K10" s="1954"/>
      <c r="L10" s="1944"/>
      <c r="M10" s="1944"/>
      <c r="N10" s="1956" t="s">
        <v>8597</v>
      </c>
      <c r="O10" s="1951"/>
      <c r="P10" s="1957"/>
      <c r="Q10" s="5571" t="s">
        <v>13819</v>
      </c>
      <c r="R10" s="1944"/>
      <c r="S10" s="1944"/>
      <c r="T10" s="1944"/>
      <c r="U10" s="1944"/>
      <c r="W10" s="15" t="s">
        <v>10</v>
      </c>
      <c r="X10" s="1958"/>
      <c r="Y10" s="1958"/>
      <c r="Z10" s="1958"/>
      <c r="AA10" s="1958"/>
      <c r="AB10" s="1958"/>
      <c r="AC10" s="1954" t="s">
        <v>8592</v>
      </c>
      <c r="AD10" s="1958"/>
      <c r="AE10" s="1958"/>
      <c r="AF10" s="1958"/>
      <c r="AG10" s="1958"/>
      <c r="AH10" s="1958"/>
      <c r="AI10" s="1958"/>
      <c r="AJ10" s="1956" t="s">
        <v>8605</v>
      </c>
      <c r="AK10" s="1958"/>
      <c r="AL10" s="1958"/>
      <c r="AM10" s="1958"/>
      <c r="AN10" s="1958"/>
      <c r="AO10" s="1958"/>
      <c r="AP10" s="1959"/>
      <c r="AR10" s="15" t="s">
        <v>10</v>
      </c>
      <c r="AS10" s="1958"/>
      <c r="AT10" s="1958"/>
      <c r="AU10" s="1958"/>
      <c r="AV10" s="1958"/>
      <c r="AW10" s="1958"/>
      <c r="AX10" s="1954" t="s">
        <v>8594</v>
      </c>
      <c r="AY10" s="1958"/>
      <c r="AZ10" s="1958"/>
      <c r="BA10" s="1958"/>
      <c r="BB10" s="1958"/>
      <c r="BC10" s="1958"/>
      <c r="BD10" s="1958"/>
      <c r="BE10" s="1956" t="s">
        <v>8613</v>
      </c>
      <c r="BF10" s="1958"/>
      <c r="BG10" s="1958"/>
      <c r="BH10" s="1958"/>
      <c r="BI10" s="1958"/>
      <c r="BJ10" s="1958"/>
      <c r="BK10" s="1959"/>
      <c r="BM10" s="3">
        <v>1</v>
      </c>
    </row>
    <row r="11" spans="1:67" ht="21" customHeight="1">
      <c r="B11" s="15" t="s">
        <v>10</v>
      </c>
      <c r="C11" s="1954" t="s">
        <v>8591</v>
      </c>
      <c r="D11" s="1953"/>
      <c r="E11" s="1944"/>
      <c r="F11" s="1944"/>
      <c r="G11" s="1953"/>
      <c r="H11" s="1951"/>
      <c r="I11" s="1944"/>
      <c r="J11" s="1944"/>
      <c r="K11" s="1954"/>
      <c r="L11" s="1944"/>
      <c r="M11" s="1944"/>
      <c r="N11" s="1956" t="s">
        <v>8598</v>
      </c>
      <c r="O11" s="1951"/>
      <c r="P11" s="1957"/>
      <c r="Q11" s="5571" t="s">
        <v>13821</v>
      </c>
      <c r="R11" s="1944"/>
      <c r="S11" s="1944"/>
      <c r="T11" s="1944"/>
      <c r="U11" s="1944"/>
      <c r="W11" s="15" t="s">
        <v>10</v>
      </c>
      <c r="X11" s="1958"/>
      <c r="Y11" s="1958"/>
      <c r="Z11" s="1958"/>
      <c r="AA11" s="1958"/>
      <c r="AB11" s="1958"/>
      <c r="AC11" s="1954" t="s">
        <v>8593</v>
      </c>
      <c r="AD11" s="1958"/>
      <c r="AE11" s="1958"/>
      <c r="AF11" s="1958"/>
      <c r="AG11" s="1958"/>
      <c r="AH11" s="1958"/>
      <c r="AI11" s="1958"/>
      <c r="AJ11" s="1956" t="s">
        <v>8606</v>
      </c>
      <c r="AK11" s="1958"/>
      <c r="AL11" s="1958"/>
      <c r="AM11" s="1958"/>
      <c r="AN11" s="1958"/>
      <c r="AO11" s="1958"/>
      <c r="AP11" s="1959"/>
      <c r="AR11" s="15" t="s">
        <v>10</v>
      </c>
      <c r="AS11" s="1958"/>
      <c r="AT11" s="1958"/>
      <c r="AU11" s="1958"/>
      <c r="AV11" s="1958"/>
      <c r="AW11" s="1958"/>
      <c r="AX11" s="1954" t="s">
        <v>8595</v>
      </c>
      <c r="AY11" s="1958"/>
      <c r="AZ11" s="1958"/>
      <c r="BA11" s="1958"/>
      <c r="BB11" s="1958"/>
      <c r="BC11" s="1958"/>
      <c r="BD11" s="1958"/>
      <c r="BE11" s="1956" t="s">
        <v>8614</v>
      </c>
      <c r="BF11" s="1958"/>
      <c r="BG11" s="1958"/>
      <c r="BH11" s="1958"/>
      <c r="BI11" s="1958"/>
      <c r="BJ11" s="1958"/>
      <c r="BK11" s="1959"/>
      <c r="BM11" s="3">
        <v>1</v>
      </c>
    </row>
    <row r="12" spans="1:67" ht="21" customHeight="1">
      <c r="B12" s="15" t="s">
        <v>10</v>
      </c>
      <c r="C12" s="1954" t="s">
        <v>8679</v>
      </c>
      <c r="D12" s="1953"/>
      <c r="E12" s="1944"/>
      <c r="F12" s="1944"/>
      <c r="G12" s="1953"/>
      <c r="H12" s="1951"/>
      <c r="I12" s="1944"/>
      <c r="J12" s="1944"/>
      <c r="K12" s="1944"/>
      <c r="L12" s="1944"/>
      <c r="M12" s="1944"/>
      <c r="N12" s="1956" t="s">
        <v>8599</v>
      </c>
      <c r="O12" s="1951"/>
      <c r="P12" s="1957"/>
      <c r="Q12" s="5572" t="s">
        <v>13823</v>
      </c>
      <c r="R12" s="1944"/>
      <c r="S12" s="1944"/>
      <c r="T12" s="1944"/>
      <c r="U12" s="1944"/>
      <c r="W12" s="15" t="s">
        <v>10</v>
      </c>
      <c r="X12" s="1958"/>
      <c r="Y12" s="1958"/>
      <c r="Z12" s="1958"/>
      <c r="AA12" s="1958"/>
      <c r="AB12" s="1958"/>
      <c r="AC12" s="1954" t="s">
        <v>8636</v>
      </c>
      <c r="AD12" s="1958"/>
      <c r="AE12" s="1958"/>
      <c r="AF12" s="1958"/>
      <c r="AG12" s="1958"/>
      <c r="AH12" s="1958"/>
      <c r="AI12" s="1958"/>
      <c r="AJ12" s="1956" t="s">
        <v>8607</v>
      </c>
      <c r="AK12" s="1958"/>
      <c r="AL12" s="1958"/>
      <c r="AM12" s="1958"/>
      <c r="AN12" s="1958"/>
      <c r="AO12" s="1958"/>
      <c r="AP12" s="1959"/>
      <c r="AR12" s="15" t="s">
        <v>10</v>
      </c>
      <c r="AS12" s="1958"/>
      <c r="AT12" s="1958"/>
      <c r="AU12" s="1958"/>
      <c r="AV12" s="1958"/>
      <c r="AW12" s="1958"/>
      <c r="AX12" s="1954" t="s">
        <v>8638</v>
      </c>
      <c r="AY12" s="1958"/>
      <c r="AZ12" s="1958"/>
      <c r="BA12" s="1958"/>
      <c r="BB12" s="1958"/>
      <c r="BC12" s="1958"/>
      <c r="BD12" s="1958"/>
      <c r="BE12" s="1956" t="s">
        <v>8615</v>
      </c>
      <c r="BF12" s="1958"/>
      <c r="BG12" s="1958"/>
      <c r="BH12" s="1958"/>
      <c r="BI12" s="1958"/>
      <c r="BJ12" s="1958"/>
      <c r="BK12" s="1959"/>
      <c r="BM12" s="3">
        <v>1</v>
      </c>
      <c r="BO12" s="198" t="s">
        <v>14241</v>
      </c>
    </row>
    <row r="13" spans="1:67" ht="21" customHeight="1">
      <c r="B13" s="15" t="s">
        <v>10</v>
      </c>
      <c r="C13" s="1954" t="s">
        <v>8635</v>
      </c>
      <c r="D13" s="1944"/>
      <c r="E13" s="1944"/>
      <c r="F13" s="1944"/>
      <c r="G13" s="1953"/>
      <c r="H13" s="1951"/>
      <c r="I13" s="1944"/>
      <c r="J13" s="1944"/>
      <c r="K13" s="1944"/>
      <c r="L13" s="1944"/>
      <c r="M13" s="1944"/>
      <c r="N13" s="1956" t="s">
        <v>8600</v>
      </c>
      <c r="O13" s="1951"/>
      <c r="P13" s="1957"/>
      <c r="Q13" s="5571" t="s">
        <v>13825</v>
      </c>
      <c r="R13" s="1944"/>
      <c r="S13" s="1944"/>
      <c r="T13" s="1944"/>
      <c r="U13" s="1944"/>
      <c r="W13" s="15" t="s">
        <v>10</v>
      </c>
      <c r="X13" s="1958"/>
      <c r="Y13" s="1958"/>
      <c r="Z13" s="1958"/>
      <c r="AA13" s="1958"/>
      <c r="AB13" s="1958"/>
      <c r="AC13" s="1954" t="s">
        <v>8637</v>
      </c>
      <c r="AD13" s="1958"/>
      <c r="AE13" s="1958"/>
      <c r="AF13" s="1958"/>
      <c r="AG13" s="1958"/>
      <c r="AH13" s="1958"/>
      <c r="AI13" s="1958"/>
      <c r="AJ13" s="1956" t="s">
        <v>8608</v>
      </c>
      <c r="AK13" s="1958"/>
      <c r="AL13" s="1958"/>
      <c r="AM13" s="1958"/>
      <c r="AN13" s="1958"/>
      <c r="AO13" s="1958"/>
      <c r="AP13" s="1959"/>
      <c r="AR13" s="15" t="s">
        <v>10</v>
      </c>
      <c r="AS13" s="1958"/>
      <c r="AT13" s="1958"/>
      <c r="AU13" s="1958"/>
      <c r="AV13" s="1958"/>
      <c r="AW13" s="1958"/>
      <c r="AX13" s="1954" t="s">
        <v>8639</v>
      </c>
      <c r="AY13" s="1958"/>
      <c r="AZ13" s="1958"/>
      <c r="BA13" s="1958"/>
      <c r="BB13" s="1958"/>
      <c r="BC13" s="1958"/>
      <c r="BD13" s="1958"/>
      <c r="BE13" s="1956" t="s">
        <v>8616</v>
      </c>
      <c r="BF13" s="1958"/>
      <c r="BG13" s="1958"/>
      <c r="BH13" s="1958"/>
      <c r="BI13" s="1958"/>
      <c r="BJ13" s="1958"/>
      <c r="BK13" s="1959"/>
      <c r="BM13" s="3">
        <v>1</v>
      </c>
      <c r="BO13" s="198" t="s">
        <v>14229</v>
      </c>
    </row>
    <row r="14" spans="1:67" ht="21" customHeight="1">
      <c r="B14" s="15" t="s">
        <v>10</v>
      </c>
      <c r="C14" s="1944"/>
      <c r="D14" s="1944"/>
      <c r="E14" s="1944"/>
      <c r="F14" s="1944"/>
      <c r="G14" s="1953"/>
      <c r="H14" s="1944"/>
      <c r="I14" s="1944"/>
      <c r="J14" s="1944"/>
      <c r="K14" s="1944"/>
      <c r="L14" s="1944"/>
      <c r="M14" s="1944"/>
      <c r="N14" s="1956" t="s">
        <v>8601</v>
      </c>
      <c r="O14" s="1951"/>
      <c r="P14" s="1957"/>
      <c r="Q14" s="5572" t="s">
        <v>13826</v>
      </c>
      <c r="R14" s="1944"/>
      <c r="S14" s="1944"/>
      <c r="T14" s="1944"/>
      <c r="U14" s="1944"/>
      <c r="W14" s="15" t="s">
        <v>10</v>
      </c>
      <c r="X14" s="1958"/>
      <c r="Y14" s="1958"/>
      <c r="Z14" s="1958"/>
      <c r="AA14" s="1958"/>
      <c r="AB14" s="1958"/>
      <c r="AC14" s="1958"/>
      <c r="AD14" s="1958"/>
      <c r="AE14" s="1958"/>
      <c r="AF14" s="1958"/>
      <c r="AG14" s="1958"/>
      <c r="AH14" s="1958"/>
      <c r="AI14" s="1958"/>
      <c r="AJ14" s="1956" t="s">
        <v>8609</v>
      </c>
      <c r="AK14" s="1958"/>
      <c r="AL14" s="1958"/>
      <c r="AM14" s="1958"/>
      <c r="AN14" s="1958"/>
      <c r="AO14" s="1958"/>
      <c r="AP14" s="1959"/>
      <c r="AR14" s="15" t="s">
        <v>10</v>
      </c>
      <c r="AS14" s="1958"/>
      <c r="AT14" s="1958"/>
      <c r="AU14" s="1958"/>
      <c r="AV14" s="1958"/>
      <c r="AW14" s="1958"/>
      <c r="AX14" s="1958"/>
      <c r="AY14" s="1958"/>
      <c r="AZ14" s="1958"/>
      <c r="BA14" s="1958"/>
      <c r="BB14" s="1958"/>
      <c r="BC14" s="1958"/>
      <c r="BD14" s="1958"/>
      <c r="BE14" s="1956" t="s">
        <v>8617</v>
      </c>
      <c r="BF14" s="1958"/>
      <c r="BG14" s="1958"/>
      <c r="BH14" s="1958"/>
      <c r="BI14" s="1958"/>
      <c r="BJ14" s="1958"/>
      <c r="BK14" s="1959"/>
      <c r="BM14" s="3">
        <v>1</v>
      </c>
      <c r="BO14" s="198"/>
    </row>
    <row r="15" spans="1:67" ht="21" customHeight="1">
      <c r="B15" s="15" t="s">
        <v>10</v>
      </c>
      <c r="C15" s="1953"/>
      <c r="D15" s="1944"/>
      <c r="E15" s="1944"/>
      <c r="F15" s="1944"/>
      <c r="G15" s="1953"/>
      <c r="H15" s="1944"/>
      <c r="I15" s="1944"/>
      <c r="J15" s="1944"/>
      <c r="K15" s="1944"/>
      <c r="L15" s="1944"/>
      <c r="M15" s="1944"/>
      <c r="N15" s="1956" t="s">
        <v>8602</v>
      </c>
      <c r="O15" s="1951"/>
      <c r="P15" s="1957"/>
      <c r="Q15" s="5571" t="s">
        <v>13820</v>
      </c>
      <c r="R15" s="1944"/>
      <c r="S15" s="1944"/>
      <c r="T15" s="1944"/>
      <c r="U15" s="1944"/>
      <c r="W15" s="15" t="s">
        <v>10</v>
      </c>
      <c r="X15" s="1958"/>
      <c r="Y15" s="1953" t="s">
        <v>1346</v>
      </c>
      <c r="Z15" s="1958"/>
      <c r="AA15" s="1958"/>
      <c r="AB15" s="1958"/>
      <c r="AC15" s="1958"/>
      <c r="AD15" s="1958"/>
      <c r="AE15" s="1958"/>
      <c r="AF15" s="1958"/>
      <c r="AG15" s="1958"/>
      <c r="AH15" s="1958"/>
      <c r="AI15" s="1958"/>
      <c r="AJ15" s="1956" t="s">
        <v>8610</v>
      </c>
      <c r="AK15" s="1958"/>
      <c r="AL15" s="1958"/>
      <c r="AM15" s="1958"/>
      <c r="AN15" s="1958"/>
      <c r="AO15" s="1958"/>
      <c r="AP15" s="1959"/>
      <c r="AR15" s="15" t="s">
        <v>10</v>
      </c>
      <c r="AS15" s="1958"/>
      <c r="AT15" s="1953" t="s">
        <v>1347</v>
      </c>
      <c r="AU15" s="1958"/>
      <c r="AV15" s="1958"/>
      <c r="AW15" s="1958"/>
      <c r="AX15" s="1958"/>
      <c r="AY15" s="1958"/>
      <c r="AZ15" s="1958"/>
      <c r="BA15" s="1958"/>
      <c r="BB15" s="1958"/>
      <c r="BC15" s="1958"/>
      <c r="BD15" s="1958"/>
      <c r="BE15" s="1956" t="s">
        <v>8618</v>
      </c>
      <c r="BF15" s="1958"/>
      <c r="BG15" s="1958"/>
      <c r="BH15" s="1958"/>
      <c r="BI15" s="1958"/>
      <c r="BJ15" s="1958"/>
      <c r="BK15" s="1959"/>
      <c r="BM15" s="3">
        <v>1</v>
      </c>
      <c r="BO15" s="198" t="s">
        <v>14232</v>
      </c>
    </row>
    <row r="16" spans="1:67" ht="21" customHeight="1">
      <c r="B16" s="15" t="s">
        <v>10</v>
      </c>
      <c r="C16" s="1953" t="s">
        <v>13</v>
      </c>
      <c r="D16" s="1944"/>
      <c r="E16" s="1944"/>
      <c r="F16" s="1944"/>
      <c r="G16" s="1953"/>
      <c r="H16" s="1944"/>
      <c r="I16" s="1944"/>
      <c r="J16" s="1944"/>
      <c r="K16" s="1944"/>
      <c r="L16" s="1944"/>
      <c r="M16" s="1944"/>
      <c r="N16" s="1956" t="s">
        <v>8603</v>
      </c>
      <c r="O16" s="1951"/>
      <c r="P16" s="1957"/>
      <c r="Q16" s="5572" t="s">
        <v>13822</v>
      </c>
      <c r="R16" s="1944"/>
      <c r="S16" s="1944"/>
      <c r="T16" s="1944"/>
      <c r="U16" s="1944"/>
      <c r="W16" s="15" t="s">
        <v>10</v>
      </c>
      <c r="X16" s="1958"/>
      <c r="Y16" s="1953" t="s">
        <v>8403</v>
      </c>
      <c r="Z16" s="1958"/>
      <c r="AA16" s="1958"/>
      <c r="AB16" s="1958"/>
      <c r="AC16" s="1958"/>
      <c r="AD16" s="1958"/>
      <c r="AE16" s="1958"/>
      <c r="AF16" s="1958"/>
      <c r="AG16" s="1958"/>
      <c r="AH16" s="1958"/>
      <c r="AI16" s="1958"/>
      <c r="AJ16" s="1956" t="s">
        <v>8611</v>
      </c>
      <c r="AK16" s="1958"/>
      <c r="AL16" s="1958"/>
      <c r="AM16" s="1958"/>
      <c r="AN16" s="1958"/>
      <c r="AO16" s="1958"/>
      <c r="AP16" s="1959"/>
      <c r="AR16" s="15" t="s">
        <v>10</v>
      </c>
      <c r="AS16" s="1958"/>
      <c r="AT16" s="1953" t="s">
        <v>8404</v>
      </c>
      <c r="AU16" s="1958"/>
      <c r="AV16" s="1958"/>
      <c r="AW16" s="1958"/>
      <c r="AX16" s="1958"/>
      <c r="AY16" s="1958"/>
      <c r="AZ16" s="1958"/>
      <c r="BA16" s="1958"/>
      <c r="BB16" s="1958"/>
      <c r="BC16" s="1958"/>
      <c r="BD16" s="1958"/>
      <c r="BE16" s="1956" t="s">
        <v>8619</v>
      </c>
      <c r="BF16" s="1958"/>
      <c r="BG16" s="1958"/>
      <c r="BH16" s="1958"/>
      <c r="BI16" s="1958"/>
      <c r="BJ16" s="1958"/>
      <c r="BK16" s="1959"/>
      <c r="BM16" s="3">
        <v>1</v>
      </c>
      <c r="BO16" s="198" t="s">
        <v>14235</v>
      </c>
    </row>
    <row r="17" spans="1:67" ht="21" customHeight="1">
      <c r="B17" s="15" t="s">
        <v>10</v>
      </c>
      <c r="C17" s="1953" t="s">
        <v>8228</v>
      </c>
      <c r="D17" s="1953"/>
      <c r="E17" s="1944"/>
      <c r="F17" s="1944"/>
      <c r="G17" s="1953"/>
      <c r="H17" s="1944"/>
      <c r="I17" s="1944"/>
      <c r="J17" s="1944"/>
      <c r="K17" s="1944"/>
      <c r="L17" s="1944"/>
      <c r="M17" s="1944"/>
      <c r="N17" s="1944"/>
      <c r="O17" s="1944"/>
      <c r="P17" s="1944"/>
      <c r="Q17" s="5572" t="s">
        <v>13824</v>
      </c>
      <c r="R17" s="1944"/>
      <c r="S17" s="1944"/>
      <c r="T17" s="1944"/>
      <c r="U17" s="1944"/>
      <c r="W17" s="15" t="s">
        <v>10</v>
      </c>
      <c r="X17" s="1958"/>
      <c r="Y17" s="1958"/>
      <c r="Z17" s="1958"/>
      <c r="AA17" s="1958"/>
      <c r="AB17" s="1958"/>
      <c r="AC17" s="1958"/>
      <c r="AD17" s="1958"/>
      <c r="AE17" s="1958"/>
      <c r="AF17" s="1958"/>
      <c r="AG17" s="1958"/>
      <c r="AH17" s="1958"/>
      <c r="AI17" s="1958"/>
      <c r="AJ17" s="1958"/>
      <c r="AK17" s="1958"/>
      <c r="AL17" s="1958"/>
      <c r="AM17" s="1958"/>
      <c r="AN17" s="1958"/>
      <c r="AO17" s="1958"/>
      <c r="AP17" s="1959"/>
      <c r="AR17" s="15" t="s">
        <v>10</v>
      </c>
      <c r="AS17" s="1958"/>
      <c r="AT17" s="1958"/>
      <c r="AU17" s="1958"/>
      <c r="AV17" s="1958"/>
      <c r="AW17" s="1958"/>
      <c r="AX17" s="1958"/>
      <c r="AY17" s="1958"/>
      <c r="AZ17" s="1958"/>
      <c r="BA17" s="1958"/>
      <c r="BB17" s="1958"/>
      <c r="BC17" s="1958"/>
      <c r="BD17" s="1958"/>
      <c r="BE17" s="1958"/>
      <c r="BF17" s="1958"/>
      <c r="BG17" s="1958"/>
      <c r="BH17" s="1958"/>
      <c r="BI17" s="1958"/>
      <c r="BJ17" s="1958"/>
      <c r="BK17" s="1959"/>
      <c r="BM17" s="3">
        <v>1</v>
      </c>
    </row>
    <row r="18" spans="1:67" ht="18.75">
      <c r="A18" s="1965"/>
      <c r="B18" s="1966" t="s">
        <v>8632</v>
      </c>
      <c r="C18" s="1965"/>
      <c r="D18" s="1965"/>
      <c r="E18" s="1965"/>
      <c r="F18" s="1965"/>
      <c r="G18" s="1965"/>
      <c r="H18" s="1965"/>
      <c r="I18" s="1965"/>
      <c r="J18" s="1965"/>
      <c r="K18" s="1965"/>
      <c r="L18" s="1965"/>
      <c r="M18" s="1965"/>
      <c r="N18" s="1965"/>
      <c r="O18" s="1965"/>
      <c r="P18" s="1965"/>
      <c r="Q18" s="1965"/>
      <c r="R18" s="1965"/>
      <c r="S18" s="1965"/>
      <c r="T18" s="1965"/>
      <c r="U18" s="1965"/>
      <c r="W18" s="1966" t="s">
        <v>8633</v>
      </c>
      <c r="X18" s="1965"/>
      <c r="Y18" s="1965"/>
      <c r="Z18" s="1965"/>
      <c r="AA18" s="1965"/>
      <c r="AB18" s="1965"/>
      <c r="AC18" s="1965"/>
      <c r="AD18" s="1965"/>
      <c r="AE18" s="1965"/>
      <c r="AF18" s="1965"/>
      <c r="AG18" s="1965"/>
      <c r="AH18" s="1965"/>
      <c r="AI18" s="1965"/>
      <c r="AJ18" s="1965"/>
      <c r="AK18" s="1965"/>
      <c r="AL18" s="1965"/>
      <c r="AM18" s="1965"/>
      <c r="AN18" s="1965"/>
      <c r="AO18" s="1965"/>
      <c r="AP18" s="1965"/>
      <c r="AR18" s="1966" t="s">
        <v>8634</v>
      </c>
      <c r="AS18" s="1965"/>
      <c r="AT18" s="1965"/>
      <c r="AU18" s="1965"/>
      <c r="AV18" s="1965"/>
      <c r="AW18" s="1965"/>
      <c r="AX18" s="1965"/>
      <c r="AY18" s="1965"/>
      <c r="AZ18" s="1965"/>
      <c r="BA18" s="1965"/>
      <c r="BB18" s="1965"/>
      <c r="BC18" s="1965"/>
      <c r="BD18" s="1965"/>
      <c r="BE18" s="1965"/>
      <c r="BF18" s="1965"/>
      <c r="BG18" s="1965"/>
      <c r="BH18" s="1965"/>
      <c r="BI18" s="1965"/>
      <c r="BJ18" s="1965"/>
      <c r="BK18" s="1965"/>
      <c r="BM18" s="3">
        <v>1</v>
      </c>
    </row>
    <row r="19" spans="1:67" ht="20.25" customHeight="1" thickBot="1">
      <c r="A19" s="9"/>
      <c r="B19" s="14"/>
      <c r="C19" s="14"/>
      <c r="D19" s="14"/>
      <c r="E19" s="14"/>
      <c r="F19" s="14"/>
      <c r="G19" s="14"/>
      <c r="H19" s="14"/>
      <c r="I19" s="14"/>
      <c r="J19" s="14"/>
      <c r="K19" s="14"/>
      <c r="L19" s="14"/>
      <c r="M19" s="14"/>
      <c r="N19" s="14"/>
      <c r="O19" s="14"/>
      <c r="P19" s="14"/>
      <c r="Q19" s="14"/>
      <c r="R19" s="14"/>
      <c r="S19" s="14"/>
      <c r="T19" s="14"/>
      <c r="U19" s="14"/>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M19" s="3">
        <v>1</v>
      </c>
      <c r="BO19" s="198" t="s">
        <v>14242</v>
      </c>
    </row>
    <row r="20" spans="1:67" ht="21" customHeight="1">
      <c r="B20" s="19" t="s">
        <v>10</v>
      </c>
      <c r="C20" s="20" t="str">
        <f>C26</f>
        <v>N NOM DE VOTRE RECETTE | collez la--FAMILLE| Auteur &gt; VOUS</v>
      </c>
      <c r="D20" s="21">
        <f>D26</f>
        <v>1</v>
      </c>
      <c r="E20" s="21" t="str">
        <f>E26</f>
        <v>coupe</v>
      </c>
      <c r="F20" s="22" t="str">
        <f>F26</f>
        <v>Recette mère ► MILLE-FEUILLE  aux fraises des bois</v>
      </c>
      <c r="G20" s="23" t="s">
        <v>21</v>
      </c>
      <c r="H20" s="24" t="s">
        <v>22</v>
      </c>
      <c r="I20" s="24"/>
      <c r="J20" s="6634" t="s">
        <v>1339</v>
      </c>
      <c r="K20" s="6634"/>
      <c r="L20" s="6634"/>
      <c r="M20" s="6634"/>
      <c r="N20" s="6634"/>
      <c r="O20" s="6634"/>
      <c r="P20" s="6634"/>
      <c r="Q20" s="6634"/>
      <c r="R20" s="6634"/>
      <c r="S20" s="6636" t="s">
        <v>1348</v>
      </c>
      <c r="T20" s="6636"/>
      <c r="U20" s="6638" t="str">
        <f>UPPER(LEFT(J20,1))</f>
        <v>N</v>
      </c>
      <c r="W20" s="19" t="s">
        <v>10</v>
      </c>
      <c r="X20" s="20" t="str">
        <f>X26</f>
        <v>N NAME OF YOUR RECIPE | paste it — FAMILY|  Author &gt; YOU</v>
      </c>
      <c r="Y20" s="21">
        <f>Y26</f>
        <v>1</v>
      </c>
      <c r="Z20" s="21" t="str">
        <f>Z26</f>
        <v>coupe</v>
      </c>
      <c r="AA20" s="22" t="str">
        <f>AA26</f>
        <v>Master recipe ► MILLE-FEUILLE  aux fraises des bois</v>
      </c>
      <c r="AB20" s="23" t="s">
        <v>21</v>
      </c>
      <c r="AC20" s="24" t="s">
        <v>22</v>
      </c>
      <c r="AD20" s="24"/>
      <c r="AE20" s="6634" t="s">
        <v>851</v>
      </c>
      <c r="AF20" s="6634"/>
      <c r="AG20" s="6634"/>
      <c r="AH20" s="6634"/>
      <c r="AI20" s="6634"/>
      <c r="AJ20" s="6634"/>
      <c r="AK20" s="6634"/>
      <c r="AL20" s="6634"/>
      <c r="AM20" s="6634"/>
      <c r="AN20" s="6636" t="s">
        <v>1349</v>
      </c>
      <c r="AO20" s="6636"/>
      <c r="AP20" s="6638" t="str">
        <f>UPPER(LEFT(AE20,1))</f>
        <v>N</v>
      </c>
      <c r="AR20" s="19" t="s">
        <v>10</v>
      </c>
      <c r="AS20" s="20" t="str">
        <f>AS26</f>
        <v>N NOMBRE DE SU RECETA | pegue esto — FAMILIA| Auteur &gt; VOUS</v>
      </c>
      <c r="AT20" s="21">
        <f>AT26</f>
        <v>1</v>
      </c>
      <c r="AU20" s="21" t="str">
        <f>AU26</f>
        <v>coupe</v>
      </c>
      <c r="AV20" s="22" t="str">
        <f>AV26</f>
        <v>Receta madre ► MILLE-FEUILLE  aux fraises des bois</v>
      </c>
      <c r="AW20" s="23" t="s">
        <v>21</v>
      </c>
      <c r="AX20" s="24" t="s">
        <v>866</v>
      </c>
      <c r="AY20" s="24"/>
      <c r="AZ20" s="6634" t="s">
        <v>867</v>
      </c>
      <c r="BA20" s="6634"/>
      <c r="BB20" s="6634"/>
      <c r="BC20" s="6634"/>
      <c r="BD20" s="6634"/>
      <c r="BE20" s="6634"/>
      <c r="BF20" s="6634"/>
      <c r="BG20" s="6634"/>
      <c r="BH20" s="6634"/>
      <c r="BI20" s="6636" t="s">
        <v>1350</v>
      </c>
      <c r="BJ20" s="6636"/>
      <c r="BK20" s="6638" t="str">
        <f>UPPER(LEFT(AZ20,1))</f>
        <v>N</v>
      </c>
      <c r="BM20" s="3">
        <v>1</v>
      </c>
      <c r="BO20" s="198" t="s">
        <v>14230</v>
      </c>
    </row>
    <row r="21" spans="1:67" ht="21" customHeight="1">
      <c r="B21" s="25" t="s">
        <v>10</v>
      </c>
      <c r="C21" s="26" t="str">
        <f>C26</f>
        <v>N NOM DE VOTRE RECETTE | collez la--FAMILLE| Auteur &gt; VOUS</v>
      </c>
      <c r="D21" s="27">
        <f>D26</f>
        <v>1</v>
      </c>
      <c r="E21" s="27" t="str">
        <f>E26</f>
        <v>coupe</v>
      </c>
      <c r="F21" s="28" t="str">
        <f>F26</f>
        <v>Recette mère ► MILLE-FEUILLE  aux fraises des bois</v>
      </c>
      <c r="G21" s="29" t="s">
        <v>28</v>
      </c>
      <c r="H21" s="30" t="s">
        <v>831</v>
      </c>
      <c r="I21" s="30"/>
      <c r="J21" s="6635"/>
      <c r="K21" s="6635"/>
      <c r="L21" s="6635"/>
      <c r="M21" s="6635"/>
      <c r="N21" s="6635"/>
      <c r="O21" s="6635"/>
      <c r="P21" s="6635"/>
      <c r="Q21" s="6635"/>
      <c r="R21" s="6635"/>
      <c r="S21" s="6637"/>
      <c r="T21" s="6637"/>
      <c r="U21" s="6639"/>
      <c r="W21" s="25" t="s">
        <v>10</v>
      </c>
      <c r="X21" s="26" t="str">
        <f>X26</f>
        <v>N NAME OF YOUR RECIPE | paste it — FAMILY|  Author &gt; YOU</v>
      </c>
      <c r="Y21" s="27">
        <f>Y26</f>
        <v>1</v>
      </c>
      <c r="Z21" s="27" t="str">
        <f>Z26</f>
        <v>coupe</v>
      </c>
      <c r="AA21" s="28" t="str">
        <f>AA26</f>
        <v>Master recipe ► MILLE-FEUILLE  aux fraises des bois</v>
      </c>
      <c r="AB21" s="29" t="s">
        <v>1299</v>
      </c>
      <c r="AC21" s="30" t="s">
        <v>831</v>
      </c>
      <c r="AD21" s="30"/>
      <c r="AE21" s="6635"/>
      <c r="AF21" s="6635"/>
      <c r="AG21" s="6635"/>
      <c r="AH21" s="6635"/>
      <c r="AI21" s="6635"/>
      <c r="AJ21" s="6635"/>
      <c r="AK21" s="6635"/>
      <c r="AL21" s="6635"/>
      <c r="AM21" s="6635"/>
      <c r="AN21" s="6637"/>
      <c r="AO21" s="6637"/>
      <c r="AP21" s="6639"/>
      <c r="AR21" s="25" t="s">
        <v>10</v>
      </c>
      <c r="AS21" s="26" t="str">
        <f>AS26</f>
        <v>N NOMBRE DE SU RECETA | pegue esto — FAMILIA| Auteur &gt; VOUS</v>
      </c>
      <c r="AT21" s="27">
        <f>AT26</f>
        <v>1</v>
      </c>
      <c r="AU21" s="27" t="str">
        <f>AU26</f>
        <v>coupe</v>
      </c>
      <c r="AV21" s="28" t="str">
        <f>AV26</f>
        <v>Receta madre ► MILLE-FEUILLE  aux fraises des bois</v>
      </c>
      <c r="AW21" s="29" t="s">
        <v>868</v>
      </c>
      <c r="AX21" s="30" t="s">
        <v>29</v>
      </c>
      <c r="AY21" s="30"/>
      <c r="AZ21" s="6635"/>
      <c r="BA21" s="6635"/>
      <c r="BB21" s="6635"/>
      <c r="BC21" s="6635"/>
      <c r="BD21" s="6635"/>
      <c r="BE21" s="6635"/>
      <c r="BF21" s="6635"/>
      <c r="BG21" s="6635"/>
      <c r="BH21" s="6635"/>
      <c r="BI21" s="6637"/>
      <c r="BJ21" s="6637"/>
      <c r="BK21" s="6639"/>
      <c r="BM21" s="3">
        <v>1</v>
      </c>
      <c r="BO21" s="198"/>
    </row>
    <row r="22" spans="1:67" ht="21" customHeight="1">
      <c r="B22" s="25" t="s">
        <v>10</v>
      </c>
      <c r="C22" s="31" t="str">
        <f>C26</f>
        <v>N NOM DE VOTRE RECETTE | collez la--FAMILLE| Auteur &gt; VOUS</v>
      </c>
      <c r="D22" s="32">
        <f>D26</f>
        <v>1</v>
      </c>
      <c r="E22" s="32" t="str">
        <f>E26</f>
        <v>coupe</v>
      </c>
      <c r="F22" s="33" t="str">
        <f>F26</f>
        <v>Recette mère ► MILLE-FEUILLE  aux fraises des bois</v>
      </c>
      <c r="G22" s="1357"/>
      <c r="H22" s="1358" t="s">
        <v>30</v>
      </c>
      <c r="I22" s="34"/>
      <c r="J22" s="35" t="s">
        <v>31</v>
      </c>
      <c r="K22" s="36" t="s">
        <v>57</v>
      </c>
      <c r="L22" s="9"/>
      <c r="M22" s="9"/>
      <c r="N22" s="36"/>
      <c r="O22" s="36"/>
      <c r="P22" s="36"/>
      <c r="Q22" s="37"/>
      <c r="R22" s="9"/>
      <c r="S22" s="9"/>
      <c r="T22" s="9"/>
      <c r="U22" s="2062" t="str" cm="1">
        <f t="array" aca="1" ref="U22" ca="1">IF(COUNTIF(C42:U42,"&lt;0.5")=0,"Aucune colonne masquée ",COUNTIF(C42:U42,"&lt;0.5") &amp; " " &amp; IF(COUNTIF(C42:U42,"&lt;0.5")&gt;1,"colonnes masquées","colonne masquée") &amp; " " &amp; _xlfn.TEXTJOIN(" ", TRUE, IF(C42:U42&lt;0.5,C41:U41,"")))&amp;" "</f>
        <v xml:space="preserve">Aucune colonne masquée  </v>
      </c>
      <c r="W22" s="25" t="s">
        <v>10</v>
      </c>
      <c r="X22" s="31" t="str">
        <f>X26</f>
        <v>N NAME OF YOUR RECIPE | paste it — FAMILY|  Author &gt; YOU</v>
      </c>
      <c r="Y22" s="32">
        <f>Y26</f>
        <v>1</v>
      </c>
      <c r="Z22" s="32" t="str">
        <f>Z26</f>
        <v>coupe</v>
      </c>
      <c r="AA22" s="33" t="str">
        <f>AA26</f>
        <v>Master recipe ► MILLE-FEUILLE  aux fraises des bois</v>
      </c>
      <c r="AB22" s="1357"/>
      <c r="AC22" s="1358" t="s">
        <v>30</v>
      </c>
      <c r="AD22" s="34"/>
      <c r="AE22" s="35" t="s">
        <v>853</v>
      </c>
      <c r="AF22" s="36" t="s">
        <v>60</v>
      </c>
      <c r="AG22" s="9"/>
      <c r="AH22" s="9"/>
      <c r="AI22" s="36"/>
      <c r="AJ22" s="36"/>
      <c r="AK22" s="36"/>
      <c r="AL22" s="37"/>
      <c r="AM22" s="9"/>
      <c r="AN22" s="9"/>
      <c r="AO22" s="9"/>
      <c r="AP22" s="2062" t="str" cm="1">
        <f t="array" aca="1" ref="AP22" ca="1">IF(COUNTIF(X42:AP42,"&lt;0.5")=0,"Aucune colonne masquée ",COUNTIF(X42:AP42,"&lt;0.5") &amp; " " &amp; IF(COUNTIF(X42:AP42,"&lt;0.5")&gt;1,"colonnes masquées","colonne masquée") &amp; " " &amp; _xlfn.TEXTJOIN(" ", TRUE, IF(X42:AP42&lt;0.5,X41:AP41,"")))&amp;" "</f>
        <v xml:space="preserve">Aucune colonne masquée  </v>
      </c>
      <c r="AR22" s="25" t="s">
        <v>10</v>
      </c>
      <c r="AS22" s="31" t="str">
        <f>AS26</f>
        <v>N NOMBRE DE SU RECETA | pegue esto — FAMILIA| Auteur &gt; VOUS</v>
      </c>
      <c r="AT22" s="32">
        <f>AT26</f>
        <v>1</v>
      </c>
      <c r="AU22" s="32" t="str">
        <f>AU26</f>
        <v>coupe</v>
      </c>
      <c r="AV22" s="33" t="str">
        <f>AV26</f>
        <v>Receta madre ► MILLE-FEUILLE  aux fraises des bois</v>
      </c>
      <c r="AW22" s="1357"/>
      <c r="AX22" s="1358" t="s">
        <v>30</v>
      </c>
      <c r="AY22" s="34"/>
      <c r="AZ22" s="35" t="s">
        <v>31</v>
      </c>
      <c r="BA22" s="36" t="s">
        <v>57</v>
      </c>
      <c r="BB22" s="9"/>
      <c r="BC22" s="9"/>
      <c r="BD22" s="36"/>
      <c r="BE22" s="36"/>
      <c r="BF22" s="36"/>
      <c r="BG22" s="37"/>
      <c r="BH22" s="9"/>
      <c r="BI22" s="9"/>
      <c r="BJ22" s="9"/>
      <c r="BK22" s="2062" t="str" cm="1">
        <f t="array" aca="1" ref="BK22" ca="1">IF(COUNTIF(AS42:BK42,"&lt;0.5")=0,"Aucune colonne masquée ",COUNTIF(AS42:BK42,"&lt;0.5") &amp; " " &amp; IF(COUNTIF(AS42:BK42,"&lt;0.5")&gt;1,"colonnes masquées","colonne masquée") &amp; " " &amp; _xlfn.TEXTJOIN(" ", TRUE, IF(AS42:BK42&lt;0.5,AS41:BK41,"")))&amp;" "</f>
        <v xml:space="preserve">Aucune colonne masquée  </v>
      </c>
      <c r="BM22" s="3">
        <v>1</v>
      </c>
      <c r="BO22" s="198" t="s">
        <v>14233</v>
      </c>
    </row>
    <row r="23" spans="1:67" ht="21" customHeight="1">
      <c r="B23" s="25" t="s">
        <v>10</v>
      </c>
      <c r="C23" s="31" t="str">
        <f>C26</f>
        <v>N NOM DE VOTRE RECETTE | collez la--FAMILLE| Auteur &gt; VOUS</v>
      </c>
      <c r="D23" s="32">
        <f>D26</f>
        <v>1</v>
      </c>
      <c r="E23" s="32" t="str">
        <f>E26</f>
        <v>coupe</v>
      </c>
      <c r="F23" s="33" t="str">
        <f>F26</f>
        <v>Recette mère ► MILLE-FEUILLE  aux fraises des bois</v>
      </c>
      <c r="G23" s="39" t="s">
        <v>32</v>
      </c>
      <c r="H23" s="40"/>
      <c r="I23" s="40"/>
      <c r="J23" s="41" t="s">
        <v>33</v>
      </c>
      <c r="K23" s="6736" t="str">
        <f>M26&amp;" "&amp;N26&amp;" ► Famille = "&amp;S20&amp;" ► "&amp;J20&amp;" "&amp;Q23&amp;" "&amp;S23&amp;" "&amp;T23&amp;" "&amp;U23</f>
        <v>Recette mère ► MILLE-FEUILLE  aux fraises des bois ► Famille = collez la--FAMILLE ► NOM DE VOTRE RECETTE  ⓫  Dupliquée pour 5 coupes</v>
      </c>
      <c r="L23" s="6736"/>
      <c r="M23" s="6736"/>
      <c r="N23" s="6736"/>
      <c r="O23" s="6736"/>
      <c r="P23" s="6736"/>
      <c r="Q23" s="6736"/>
      <c r="R23" s="1359"/>
      <c r="S23" s="1359" t="s">
        <v>35</v>
      </c>
      <c r="T23" s="140">
        <v>5</v>
      </c>
      <c r="U23" s="43" t="str">
        <f>U25</f>
        <v>coupes</v>
      </c>
      <c r="W23" s="25" t="s">
        <v>10</v>
      </c>
      <c r="X23" s="31" t="str">
        <f>X26</f>
        <v>N NAME OF YOUR RECIPE | paste it — FAMILY|  Author &gt; YOU</v>
      </c>
      <c r="Y23" s="32">
        <f>Y26</f>
        <v>1</v>
      </c>
      <c r="Z23" s="32" t="str">
        <f>Z26</f>
        <v>coupe</v>
      </c>
      <c r="AA23" s="33" t="str">
        <f>AA26</f>
        <v>Master recipe ► MILLE-FEUILLE  aux fraises des bois</v>
      </c>
      <c r="AB23" s="39" t="s">
        <v>134</v>
      </c>
      <c r="AC23" s="40"/>
      <c r="AD23" s="40"/>
      <c r="AE23" s="41" t="s">
        <v>33</v>
      </c>
      <c r="AF23" s="6736" t="str">
        <f>AH26&amp;" "&amp;AI26&amp;" ► Famille = "&amp;AN20&amp;" ► "&amp;AE20&amp;" "&amp;AL23&amp;" "&amp;AN23&amp;" "&amp;AO23&amp;" "&amp;AP23</f>
        <v>Master recipe ► MILLE-FEUILLE  aux fraises des bois ► Famille = paste it — FAMILY ► NAME OF YOUR RECIPE  ⓫ Duplicated for 5 coupes</v>
      </c>
      <c r="AG23" s="6736"/>
      <c r="AH23" s="6736"/>
      <c r="AI23" s="6736"/>
      <c r="AJ23" s="6736"/>
      <c r="AK23" s="6736"/>
      <c r="AL23" s="6736"/>
      <c r="AM23" s="1359"/>
      <c r="AN23" s="1359" t="s">
        <v>135</v>
      </c>
      <c r="AO23" s="140">
        <v>5</v>
      </c>
      <c r="AP23" s="43" t="str">
        <f>AP25</f>
        <v>coupes</v>
      </c>
      <c r="AR23" s="25" t="s">
        <v>10</v>
      </c>
      <c r="AS23" s="31" t="str">
        <f>AS26</f>
        <v>N NOMBRE DE SU RECETA | pegue esto — FAMILIA| Auteur &gt; VOUS</v>
      </c>
      <c r="AT23" s="32">
        <f>AT26</f>
        <v>1</v>
      </c>
      <c r="AU23" s="32" t="str">
        <f>AU26</f>
        <v>coupe</v>
      </c>
      <c r="AV23" s="33" t="str">
        <f>AV26</f>
        <v>Receta madre ► MILLE-FEUILLE  aux fraises des bois</v>
      </c>
      <c r="AW23" s="39" t="s">
        <v>869</v>
      </c>
      <c r="AX23" s="40"/>
      <c r="AY23" s="40"/>
      <c r="AZ23" s="41" t="s">
        <v>33</v>
      </c>
      <c r="BA23" s="6736" t="str">
        <f>BC26&amp;" "&amp;BD26&amp;" ► Famille = "&amp;BI20&amp;" ► "&amp;AZ20&amp;" "&amp;BG23&amp;" "&amp;BI23&amp;" "&amp;BJ23&amp;" "&amp;BK23</f>
        <v>Receta madre ► MILLE-FEUILLE  aux fraises des bois ► Famille = pegue esto — FAMILIA ► NOMBRE DE SU RECETA  ⓫ Duplicada para 5 coupes</v>
      </c>
      <c r="BB23" s="6736"/>
      <c r="BC23" s="6736"/>
      <c r="BD23" s="6736"/>
      <c r="BE23" s="6736"/>
      <c r="BF23" s="6736"/>
      <c r="BG23" s="6736"/>
      <c r="BH23" s="1359"/>
      <c r="BI23" s="1359" t="s">
        <v>138</v>
      </c>
      <c r="BJ23" s="140">
        <v>5</v>
      </c>
      <c r="BK23" s="43" t="str">
        <f>BK25</f>
        <v>coupes</v>
      </c>
      <c r="BM23" s="3">
        <v>1</v>
      </c>
      <c r="BO23" s="198" t="s">
        <v>14236</v>
      </c>
    </row>
    <row r="24" spans="1:67" ht="21" customHeight="1">
      <c r="B24" s="25" t="s">
        <v>10</v>
      </c>
      <c r="C24" s="31" t="str">
        <f>C26</f>
        <v>N NOM DE VOTRE RECETTE | collez la--FAMILLE| Auteur &gt; VOUS</v>
      </c>
      <c r="D24" s="32">
        <f>D26</f>
        <v>1</v>
      </c>
      <c r="E24" s="32" t="str">
        <f>E26</f>
        <v>coupe</v>
      </c>
      <c r="F24" s="33" t="str">
        <f>F26</f>
        <v>Recette mère ► MILLE-FEUILLE  aux fraises des bois</v>
      </c>
      <c r="G24" s="1360">
        <v>1</v>
      </c>
      <c r="H24" s="1361" t="s">
        <v>1783</v>
      </c>
      <c r="I24" s="39"/>
      <c r="J24" s="39"/>
      <c r="K24" s="6736"/>
      <c r="L24" s="6736"/>
      <c r="M24" s="6736"/>
      <c r="N24" s="6736"/>
      <c r="O24" s="6736"/>
      <c r="P24" s="6736"/>
      <c r="Q24" s="6736"/>
      <c r="R24" s="696"/>
      <c r="S24" s="696"/>
      <c r="T24" s="47" t="s">
        <v>40</v>
      </c>
      <c r="U24" s="48" t="s">
        <v>41</v>
      </c>
      <c r="W24" s="25" t="s">
        <v>10</v>
      </c>
      <c r="X24" s="31" t="str">
        <f>X26</f>
        <v>N NAME OF YOUR RECIPE | paste it — FAMILY|  Author &gt; YOU</v>
      </c>
      <c r="Y24" s="32">
        <f>Y26</f>
        <v>1</v>
      </c>
      <c r="Z24" s="32" t="str">
        <f>Z26</f>
        <v>coupe</v>
      </c>
      <c r="AA24" s="33" t="str">
        <f>AA26</f>
        <v>Master recipe ► MILLE-FEUILLE  aux fraises des bois</v>
      </c>
      <c r="AB24" s="1360">
        <v>1</v>
      </c>
      <c r="AC24" s="1361" t="s">
        <v>1783</v>
      </c>
      <c r="AD24" s="39"/>
      <c r="AE24" s="39"/>
      <c r="AF24" s="6736"/>
      <c r="AG24" s="6736"/>
      <c r="AH24" s="6736"/>
      <c r="AI24" s="6736"/>
      <c r="AJ24" s="6736"/>
      <c r="AK24" s="6736"/>
      <c r="AL24" s="6736"/>
      <c r="AM24" s="696"/>
      <c r="AN24" s="696"/>
      <c r="AO24" s="47" t="s">
        <v>148</v>
      </c>
      <c r="AP24" s="48" t="s">
        <v>854</v>
      </c>
      <c r="AR24" s="25" t="s">
        <v>10</v>
      </c>
      <c r="AS24" s="31" t="str">
        <f>AS26</f>
        <v>N NOMBRE DE SU RECETA | pegue esto — FAMILIA| Auteur &gt; VOUS</v>
      </c>
      <c r="AT24" s="32">
        <f>AT26</f>
        <v>1</v>
      </c>
      <c r="AU24" s="32" t="str">
        <f>AU26</f>
        <v>coupe</v>
      </c>
      <c r="AV24" s="33" t="str">
        <f>AV26</f>
        <v>Receta madre ► MILLE-FEUILLE  aux fraises des bois</v>
      </c>
      <c r="AW24" s="1360">
        <v>1</v>
      </c>
      <c r="AX24" s="1361" t="s">
        <v>1783</v>
      </c>
      <c r="AY24" s="39"/>
      <c r="AZ24" s="39"/>
      <c r="BA24" s="6736"/>
      <c r="BB24" s="6736"/>
      <c r="BC24" s="6736"/>
      <c r="BD24" s="6736"/>
      <c r="BE24" s="6736"/>
      <c r="BF24" s="6736"/>
      <c r="BG24" s="6736"/>
      <c r="BH24" s="696"/>
      <c r="BI24" s="696"/>
      <c r="BJ24" s="47" t="s">
        <v>150</v>
      </c>
      <c r="BK24" s="48" t="s">
        <v>151</v>
      </c>
      <c r="BM24" s="3">
        <v>1</v>
      </c>
    </row>
    <row r="25" spans="1:67" ht="21" customHeight="1">
      <c r="B25" s="25" t="s">
        <v>10</v>
      </c>
      <c r="C25" s="31" t="str">
        <f>C26</f>
        <v>N NOM DE VOTRE RECETTE | collez la--FAMILLE| Auteur &gt; VOUS</v>
      </c>
      <c r="D25" s="32">
        <f>D26</f>
        <v>1</v>
      </c>
      <c r="E25" s="32" t="str">
        <f>E26</f>
        <v>coupe</v>
      </c>
      <c r="F25" s="33" t="str">
        <f>F26</f>
        <v>Recette mère ► MILLE-FEUILLE  aux fraises des bois</v>
      </c>
      <c r="G25" s="53"/>
      <c r="H25" s="1323" t="s">
        <v>8094</v>
      </c>
      <c r="I25" s="6737">
        <f>Q36</f>
        <v>0</v>
      </c>
      <c r="J25" s="6737"/>
      <c r="K25" s="1324" t="str" cm="1">
        <f t="array" ref="K25">"1= "&amp;IF(OR(G24&lt;=0,I25=""),"",_xlfn.LET(_xlpm.kg,IF(ISNUMBER(I25),I25,VALEUR(SUBSTITUTE(SUBSTITUTE(SUBSTITUTE(LOWER(I25),"kg",""),",",".")," ",""))),TEXT(ROUND(_xlpm.kg*1000/G24,2),"0.##")&amp;" g"))</f>
        <v>1= 0. g</v>
      </c>
      <c r="L25" s="1325">
        <f>IFERROR(T23/T25,0)</f>
        <v>1</v>
      </c>
      <c r="M25" s="1817" t="s">
        <v>8411</v>
      </c>
      <c r="N25" s="579"/>
      <c r="O25" s="55"/>
      <c r="P25" s="55"/>
      <c r="Q25"/>
      <c r="R25" s="1362"/>
      <c r="S25" s="1362" t="s">
        <v>50</v>
      </c>
      <c r="T25" s="2102">
        <v>5</v>
      </c>
      <c r="U25" s="56" t="s">
        <v>1784</v>
      </c>
      <c r="W25" s="25" t="s">
        <v>10</v>
      </c>
      <c r="X25" s="31" t="str">
        <f>X26</f>
        <v>N NAME OF YOUR RECIPE | paste it — FAMILY|  Author &gt; YOU</v>
      </c>
      <c r="Y25" s="32">
        <f>Y26</f>
        <v>1</v>
      </c>
      <c r="Z25" s="32" t="str">
        <f>Z26</f>
        <v>coupe</v>
      </c>
      <c r="AA25" s="33" t="str">
        <f>AA26</f>
        <v>Master recipe ► MILLE-FEUILLE  aux fraises des bois</v>
      </c>
      <c r="AB25" s="53"/>
      <c r="AC25" s="1323" t="s">
        <v>8095</v>
      </c>
      <c r="AD25" s="6737">
        <f>AL36</f>
        <v>0</v>
      </c>
      <c r="AE25" s="6737"/>
      <c r="AF25" s="1324" t="str" cm="1">
        <f t="array" ref="AF25">"1= "&amp;IF(OR(AB24&lt;=0,AD25=""),"",_xlfn.LET(_xlpm.kg,IF(ISNUMBER(AD25),AD25,VALEUR(SUBSTITUTE(SUBSTITUTE(SUBSTITUTE(LOWER(AD25),"kg",""),",",".")," ",""))),TEXT(ROUND(_xlpm.kg*1000/AB24,2),"0.##")&amp;" g"))</f>
        <v>1= 0. g</v>
      </c>
      <c r="AG25" s="1325">
        <f>IFERROR(AO23/AO25,0)</f>
        <v>3.3333333333333335</v>
      </c>
      <c r="AH25" s="1817" t="s">
        <v>8412</v>
      </c>
      <c r="AI25" s="55"/>
      <c r="AJ25" s="55"/>
      <c r="AK25" s="55"/>
      <c r="AM25" s="1362"/>
      <c r="AN25" s="1362" t="s">
        <v>153</v>
      </c>
      <c r="AO25" s="2102">
        <v>1.5</v>
      </c>
      <c r="AP25" s="56" t="s">
        <v>1784</v>
      </c>
      <c r="AR25" s="25" t="s">
        <v>10</v>
      </c>
      <c r="AS25" s="31" t="str">
        <f>AS26</f>
        <v>N NOMBRE DE SU RECETA | pegue esto — FAMILIA| Auteur &gt; VOUS</v>
      </c>
      <c r="AT25" s="32">
        <f>AT26</f>
        <v>1</v>
      </c>
      <c r="AU25" s="32" t="str">
        <f>AU26</f>
        <v>coupe</v>
      </c>
      <c r="AV25" s="33" t="str">
        <f>AV26</f>
        <v>Receta madre ► MILLE-FEUILLE  aux fraises des bois</v>
      </c>
      <c r="AW25" s="53"/>
      <c r="AX25" s="1323" t="s">
        <v>8096</v>
      </c>
      <c r="AY25" s="6737">
        <f>BG36</f>
        <v>0</v>
      </c>
      <c r="AZ25" s="6737"/>
      <c r="BA25" s="1324" t="str" cm="1">
        <f t="array" ref="BA25">"1= "&amp;IF(OR(AW24&lt;=0,AY25=""),"",_xlfn.LET(_xlpm.kg,IF(ISNUMBER(AY25),AY25,VALEUR(SUBSTITUTE(SUBSTITUTE(SUBSTITUTE(LOWER(AY25),"kg",""),",",".")," ",""))),TEXT(ROUND(_xlpm.kg*1000/AW24,2),"0.##")&amp;" g"))</f>
        <v>1= 0. g</v>
      </c>
      <c r="BB25" s="1325">
        <f>IFERROR(BJ23/BJ25,0)</f>
        <v>3.3333333333333335</v>
      </c>
      <c r="BC25" s="1817" t="s">
        <v>8413</v>
      </c>
      <c r="BD25" s="55"/>
      <c r="BE25" s="55"/>
      <c r="BF25" s="55"/>
      <c r="BH25" s="1362"/>
      <c r="BI25" s="1362" t="s">
        <v>154</v>
      </c>
      <c r="BJ25" s="2102">
        <v>1.5</v>
      </c>
      <c r="BK25" s="56" t="s">
        <v>1784</v>
      </c>
      <c r="BM25" s="3">
        <v>1</v>
      </c>
    </row>
    <row r="26" spans="1:67" ht="21" customHeight="1">
      <c r="B26" s="25" t="s">
        <v>10</v>
      </c>
      <c r="C26" s="61" t="str">
        <f>G26</f>
        <v>N NOM DE VOTRE RECETTE | collez la--FAMILLE| Auteur &gt; VOUS</v>
      </c>
      <c r="D26" s="62">
        <f>G24</f>
        <v>1</v>
      </c>
      <c r="E26" s="61" t="str">
        <f>H24</f>
        <v>coupe</v>
      </c>
      <c r="F26" s="63" t="str">
        <f>M26&amp;" "&amp;N26</f>
        <v>Recette mère ► MILLE-FEUILLE  aux fraises des bois</v>
      </c>
      <c r="G26" s="64" t="str">
        <f>UPPER(LEFT(J20,1))&amp;" "&amp;J20&amp;" | "&amp;S20&amp;"| "&amp;J22&amp;" "&amp;K22</f>
        <v>N NOM DE VOTRE RECETTE | collez la--FAMILLE| Auteur &gt; VOUS</v>
      </c>
      <c r="H26" s="65" t="s">
        <v>53</v>
      </c>
      <c r="I26" s="6735" t="s">
        <v>54</v>
      </c>
      <c r="J26" s="6735"/>
      <c r="K26" s="6735"/>
      <c r="L26" s="66"/>
      <c r="M26" s="66" t="str">
        <f>IF(ISTEXT(N26),"Recette mère ►",H26)</f>
        <v>Recette mère ►</v>
      </c>
      <c r="N26" s="67" t="s">
        <v>3081</v>
      </c>
      <c r="O26" s="67"/>
      <c r="P26" s="67"/>
      <c r="Q26" s="883"/>
      <c r="R26" s="68"/>
      <c r="S26" s="68"/>
      <c r="T26" s="68"/>
      <c r="U26"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W26" s="25" t="s">
        <v>10</v>
      </c>
      <c r="X26" s="61" t="str">
        <f>AB26</f>
        <v>N NAME OF YOUR RECIPE | paste it — FAMILY|  Author &gt; YOU</v>
      </c>
      <c r="Y26" s="62">
        <f>AB24</f>
        <v>1</v>
      </c>
      <c r="Z26" s="61" t="str">
        <f>AC24</f>
        <v>coupe</v>
      </c>
      <c r="AA26" s="63" t="str">
        <f>AH26&amp;" "&amp;AI26</f>
        <v>Master recipe ► MILLE-FEUILLE  aux fraises des bois</v>
      </c>
      <c r="AB26" s="64" t="str">
        <f>UPPER(LEFT(AE20,1))&amp;" "&amp;AE20&amp;" | "&amp;AN20&amp;"| "&amp;AE22&amp;" "&amp;AF22</f>
        <v>N NAME OF YOUR RECIPE | paste it — FAMILY|  Author &gt; YOU</v>
      </c>
      <c r="AC26" s="65" t="s">
        <v>855</v>
      </c>
      <c r="AD26" s="6735" t="s">
        <v>852</v>
      </c>
      <c r="AE26" s="6735"/>
      <c r="AF26" s="6735"/>
      <c r="AG26" s="66"/>
      <c r="AH26" s="66" t="str">
        <f>IF(ISTEXT(AI26),"Master recipe ►",AC26)</f>
        <v>Master recipe ►</v>
      </c>
      <c r="AI26" s="67" t="s">
        <v>3081</v>
      </c>
      <c r="AJ26" s="67"/>
      <c r="AK26" s="67"/>
      <c r="AL26" s="883"/>
      <c r="AM26" s="68"/>
      <c r="AN26" s="68"/>
      <c r="AO26" s="68"/>
      <c r="AP26" s="1818" t="str">
        <f>IF(ISNUMBER(IFERROR(VALUE("0,5"),"")),"WARNING: on this computer, the decimal separator is the COMMA,",IF(ISNUMBER(IFERROR(VALUE("0.5"),"")),"  OK. ALL GOOD: on this computer. the decimal separator is the PERIOD (DOT).","Unable to determine the decimal separator"))</f>
        <v xml:space="preserve">  OK. ALL GOOD: on this computer. the decimal separator is the PERIOD (DOT).</v>
      </c>
      <c r="AR26" s="25" t="s">
        <v>10</v>
      </c>
      <c r="AS26" s="61" t="str">
        <f>AW26</f>
        <v>N NOMBRE DE SU RECETA | pegue esto — FAMILIA| Auteur &gt; VOUS</v>
      </c>
      <c r="AT26" s="62">
        <f>AW24</f>
        <v>1</v>
      </c>
      <c r="AU26" s="61" t="str">
        <f>AX24</f>
        <v>coupe</v>
      </c>
      <c r="AV26" s="63" t="str">
        <f>BC26&amp;" "&amp;BD26</f>
        <v>Receta madre ► MILLE-FEUILLE  aux fraises des bois</v>
      </c>
      <c r="AW26" s="64" t="str">
        <f>UPPER(LEFT(AZ20,1))&amp;" "&amp;AZ20&amp;" | "&amp;BI20&amp;"| "&amp;AZ22&amp;" "&amp;BA22</f>
        <v>N NOMBRE DE SU RECETA | pegue esto — FAMILIA| Auteur &gt; VOUS</v>
      </c>
      <c r="AX26" s="65" t="s">
        <v>53</v>
      </c>
      <c r="AY26" s="6735" t="s">
        <v>870</v>
      </c>
      <c r="AZ26" s="6735"/>
      <c r="BA26" s="6735"/>
      <c r="BB26" s="66"/>
      <c r="BC26" s="66" t="str">
        <f>IF(ISTEXT(BD26),"Receta madre ►",AX26)</f>
        <v>Receta madre ►</v>
      </c>
      <c r="BD26" s="67" t="s">
        <v>3081</v>
      </c>
      <c r="BE26" s="67"/>
      <c r="BF26" s="67"/>
      <c r="BG26" s="883"/>
      <c r="BH26" s="68"/>
      <c r="BI26" s="68"/>
      <c r="BJ26" s="68"/>
      <c r="BK26" s="1818" t="str">
        <f>IF(ISNUMBER(IFERROR(VALUE("0,5"),"")),"ATENCIÓN: en este ordenador, el separador decimal es la COMA",IF(ISNUMBER(IFERROR(VALUE("0.5"),"")),"  OK. TODO BIEN: en este ordenador. el separador decimal es el PUNTO","Imposible determinar el separador decimal"))</f>
        <v xml:space="preserve">  OK. TODO BIEN: en este ordenador. el separador decimal es el PUNTO</v>
      </c>
      <c r="BM26" s="3">
        <v>1</v>
      </c>
      <c r="BO26" s="198" t="s">
        <v>14243</v>
      </c>
    </row>
    <row r="27" spans="1:67" ht="21" customHeight="1">
      <c r="B27" s="25" t="s">
        <v>10</v>
      </c>
      <c r="C27" s="70" t="str">
        <f>C26</f>
        <v>N NOM DE VOTRE RECETTE | collez la--FAMILLE| Auteur &gt; VOUS</v>
      </c>
      <c r="D27" s="70">
        <f>D26</f>
        <v>1</v>
      </c>
      <c r="E27" s="70" t="str">
        <f>E26</f>
        <v>coupe</v>
      </c>
      <c r="F27" s="71" t="str">
        <f>F26</f>
        <v>Recette mère ► MILLE-FEUILLE  aux fraises des bois</v>
      </c>
      <c r="G27" s="12" t="s">
        <v>65</v>
      </c>
      <c r="H27" s="12" t="s">
        <v>66</v>
      </c>
      <c r="I27" s="12" t="s">
        <v>67</v>
      </c>
      <c r="J27" s="12" t="s">
        <v>68</v>
      </c>
      <c r="K27" s="72" t="s">
        <v>69</v>
      </c>
      <c r="L27" s="73" t="s">
        <v>70</v>
      </c>
      <c r="M27" s="12" t="s">
        <v>71</v>
      </c>
      <c r="N27" s="12" t="s">
        <v>72</v>
      </c>
      <c r="O27" s="12" t="s">
        <v>73</v>
      </c>
      <c r="P27" s="12" t="s">
        <v>74</v>
      </c>
      <c r="Q27" s="12" t="s">
        <v>75</v>
      </c>
      <c r="R27" s="12" t="s">
        <v>76</v>
      </c>
      <c r="S27" s="12" t="s">
        <v>77</v>
      </c>
      <c r="T27" s="12" t="s">
        <v>8143</v>
      </c>
      <c r="U27" s="74" t="s">
        <v>8407</v>
      </c>
      <c r="W27" s="25" t="s">
        <v>10</v>
      </c>
      <c r="X27" s="70" t="str">
        <f>X26</f>
        <v>N NAME OF YOUR RECIPE | paste it — FAMILY|  Author &gt; YOU</v>
      </c>
      <c r="Y27" s="70">
        <f>Y26</f>
        <v>1</v>
      </c>
      <c r="Z27" s="70" t="str">
        <f>Z26</f>
        <v>coupe</v>
      </c>
      <c r="AA27" s="71" t="str">
        <f>AA26</f>
        <v>Master recipe ► MILLE-FEUILLE  aux fraises des bois</v>
      </c>
      <c r="AB27" s="12" t="s">
        <v>65</v>
      </c>
      <c r="AC27" s="12" t="s">
        <v>66</v>
      </c>
      <c r="AD27" s="12" t="s">
        <v>67</v>
      </c>
      <c r="AE27" s="12" t="s">
        <v>68</v>
      </c>
      <c r="AF27" s="72" t="s">
        <v>69</v>
      </c>
      <c r="AG27" s="73" t="s">
        <v>70</v>
      </c>
      <c r="AH27" s="12" t="s">
        <v>71</v>
      </c>
      <c r="AI27" s="12" t="s">
        <v>72</v>
      </c>
      <c r="AJ27" s="12" t="s">
        <v>73</v>
      </c>
      <c r="AK27" s="12" t="s">
        <v>74</v>
      </c>
      <c r="AL27" s="12" t="s">
        <v>75</v>
      </c>
      <c r="AM27" s="12" t="s">
        <v>76</v>
      </c>
      <c r="AN27" s="12" t="s">
        <v>77</v>
      </c>
      <c r="AO27" s="12" t="s">
        <v>8143</v>
      </c>
      <c r="AP27" s="74" t="s">
        <v>8407</v>
      </c>
      <c r="AR27" s="25" t="s">
        <v>10</v>
      </c>
      <c r="AS27" s="70" t="str">
        <f>AS26</f>
        <v>N NOMBRE DE SU RECETA | pegue esto — FAMILIA| Auteur &gt; VOUS</v>
      </c>
      <c r="AT27" s="70">
        <f>AT26</f>
        <v>1</v>
      </c>
      <c r="AU27" s="70" t="str">
        <f>AU26</f>
        <v>coupe</v>
      </c>
      <c r="AV27" s="71" t="str">
        <f>AV26</f>
        <v>Receta madre ► MILLE-FEUILLE  aux fraises des bois</v>
      </c>
      <c r="AW27" s="12" t="s">
        <v>65</v>
      </c>
      <c r="AX27" s="12" t="s">
        <v>66</v>
      </c>
      <c r="AY27" s="12" t="s">
        <v>67</v>
      </c>
      <c r="AZ27" s="12" t="s">
        <v>68</v>
      </c>
      <c r="BA27" s="72" t="s">
        <v>69</v>
      </c>
      <c r="BB27" s="73" t="s">
        <v>70</v>
      </c>
      <c r="BC27" s="12" t="s">
        <v>71</v>
      </c>
      <c r="BD27" s="12" t="s">
        <v>72</v>
      </c>
      <c r="BE27" s="12" t="s">
        <v>73</v>
      </c>
      <c r="BF27" s="12" t="s">
        <v>74</v>
      </c>
      <c r="BG27" s="12" t="s">
        <v>75</v>
      </c>
      <c r="BH27" s="12" t="s">
        <v>76</v>
      </c>
      <c r="BI27" s="12" t="s">
        <v>77</v>
      </c>
      <c r="BJ27" s="12" t="s">
        <v>8143</v>
      </c>
      <c r="BK27" s="74" t="s">
        <v>8407</v>
      </c>
      <c r="BM27" s="3">
        <v>1</v>
      </c>
      <c r="BO27" s="198" t="s">
        <v>14231</v>
      </c>
    </row>
    <row r="28" spans="1:67" ht="21" customHeight="1">
      <c r="B28" s="25" t="s">
        <v>10</v>
      </c>
      <c r="C28" s="31" t="str">
        <f>C26</f>
        <v>N NOM DE VOTRE RECETTE | collez la--FAMILLE| Auteur &gt; VOUS</v>
      </c>
      <c r="D28" s="32">
        <f>D26</f>
        <v>1</v>
      </c>
      <c r="E28" s="31" t="str">
        <f>E26</f>
        <v>coupe</v>
      </c>
      <c r="F28" s="33" t="str">
        <f>F26</f>
        <v>Recette mère ► MILLE-FEUILLE  aux fraises des bois</v>
      </c>
      <c r="G28" s="76" t="s">
        <v>78</v>
      </c>
      <c r="H28" s="77" t="s">
        <v>79</v>
      </c>
      <c r="I28" s="78"/>
      <c r="J28" s="6612" t="s">
        <v>80</v>
      </c>
      <c r="K28" s="6730" t="s">
        <v>81</v>
      </c>
      <c r="L28" s="6732" t="s">
        <v>82</v>
      </c>
      <c r="M28" s="6738" t="s">
        <v>8575</v>
      </c>
      <c r="N28" s="79" t="s">
        <v>83</v>
      </c>
      <c r="O28" s="80" t="s">
        <v>49</v>
      </c>
      <c r="P28" s="81" t="s">
        <v>84</v>
      </c>
      <c r="Q28" s="6607" t="s">
        <v>85</v>
      </c>
      <c r="R28" s="6582" t="s">
        <v>84</v>
      </c>
      <c r="S28" s="6727" t="s">
        <v>8405</v>
      </c>
      <c r="T28" s="6584" t="s">
        <v>86</v>
      </c>
      <c r="U28" s="6728" t="s">
        <v>87</v>
      </c>
      <c r="W28" s="25" t="s">
        <v>10</v>
      </c>
      <c r="X28" s="31" t="str">
        <f>X26</f>
        <v>N NAME OF YOUR RECIPE | paste it — FAMILY|  Author &gt; YOU</v>
      </c>
      <c r="Y28" s="32">
        <f>Y26</f>
        <v>1</v>
      </c>
      <c r="Z28" s="31" t="str">
        <f>Z26</f>
        <v>coupe</v>
      </c>
      <c r="AA28" s="33" t="str">
        <f>AA26</f>
        <v>Master recipe ► MILLE-FEUILLE  aux fraises des bois</v>
      </c>
      <c r="AB28" s="76" t="s">
        <v>78</v>
      </c>
      <c r="AC28" s="77" t="s">
        <v>79</v>
      </c>
      <c r="AD28" s="78"/>
      <c r="AE28" s="6612" t="s">
        <v>226</v>
      </c>
      <c r="AF28" s="6730" t="s">
        <v>81</v>
      </c>
      <c r="AG28" s="6732" t="s">
        <v>82</v>
      </c>
      <c r="AH28" s="6738" t="s">
        <v>8575</v>
      </c>
      <c r="AI28" s="79" t="s">
        <v>83</v>
      </c>
      <c r="AJ28" s="80" t="s">
        <v>152</v>
      </c>
      <c r="AK28" s="81" t="s">
        <v>242</v>
      </c>
      <c r="AL28" s="6607" t="s">
        <v>856</v>
      </c>
      <c r="AM28" s="6582" t="s">
        <v>242</v>
      </c>
      <c r="AN28" s="6582" t="s">
        <v>230</v>
      </c>
      <c r="AO28" s="6584" t="s">
        <v>857</v>
      </c>
      <c r="AP28" s="6728" t="s">
        <v>245</v>
      </c>
      <c r="AR28" s="25" t="s">
        <v>10</v>
      </c>
      <c r="AS28" s="31" t="str">
        <f>AS26</f>
        <v>N NOMBRE DE SU RECETA | pegue esto — FAMILIA| Auteur &gt; VOUS</v>
      </c>
      <c r="AT28" s="32">
        <f>AT26</f>
        <v>1</v>
      </c>
      <c r="AU28" s="31" t="str">
        <f>AU26</f>
        <v>coupe</v>
      </c>
      <c r="AV28" s="33" t="str">
        <f>AV26</f>
        <v>Receta madre ► MILLE-FEUILLE  aux fraises des bois</v>
      </c>
      <c r="AW28" s="76" t="s">
        <v>78</v>
      </c>
      <c r="AX28" s="77" t="s">
        <v>79</v>
      </c>
      <c r="AY28" s="78"/>
      <c r="AZ28" s="6787" t="s">
        <v>227</v>
      </c>
      <c r="BA28" s="6788" t="s">
        <v>81</v>
      </c>
      <c r="BB28" s="6732" t="s">
        <v>82</v>
      </c>
      <c r="BC28" s="6738" t="s">
        <v>8575</v>
      </c>
      <c r="BD28" s="79" t="s">
        <v>83</v>
      </c>
      <c r="BE28" s="80" t="s">
        <v>246</v>
      </c>
      <c r="BF28" s="81" t="s">
        <v>247</v>
      </c>
      <c r="BG28" s="6789" t="s">
        <v>871</v>
      </c>
      <c r="BH28" s="6727" t="s">
        <v>247</v>
      </c>
      <c r="BI28" s="6582" t="s">
        <v>8405</v>
      </c>
      <c r="BJ28" s="6791" t="s">
        <v>872</v>
      </c>
      <c r="BK28" s="6792" t="s">
        <v>250</v>
      </c>
      <c r="BM28" s="3">
        <v>1</v>
      </c>
      <c r="BO28" s="198"/>
    </row>
    <row r="29" spans="1:67" ht="21" customHeight="1">
      <c r="B29" s="25" t="s">
        <v>10</v>
      </c>
      <c r="C29" s="31" t="str">
        <f>C26</f>
        <v>N NOM DE VOTRE RECETTE | collez la--FAMILLE| Auteur &gt; VOUS</v>
      </c>
      <c r="D29" s="32">
        <f>D26</f>
        <v>1</v>
      </c>
      <c r="E29" s="31" t="str">
        <f>E26</f>
        <v>coupe</v>
      </c>
      <c r="F29" s="33" t="str">
        <f>F26</f>
        <v>Recette mère ► MILLE-FEUILLE  aux fraises des bois</v>
      </c>
      <c r="G29" s="83" t="s">
        <v>92</v>
      </c>
      <c r="H29" s="84" t="s">
        <v>93</v>
      </c>
      <c r="I29" s="85" t="s">
        <v>94</v>
      </c>
      <c r="J29" s="6577"/>
      <c r="K29" s="6471"/>
      <c r="L29" s="6606"/>
      <c r="M29" s="6739"/>
      <c r="N29" s="86" t="s">
        <v>95</v>
      </c>
      <c r="O29" s="87" t="s">
        <v>96</v>
      </c>
      <c r="P29" s="88">
        <v>1</v>
      </c>
      <c r="Q29" s="6608"/>
      <c r="R29" s="6583"/>
      <c r="S29" s="6583"/>
      <c r="T29" s="6585"/>
      <c r="U29" s="6786"/>
      <c r="W29" s="25" t="s">
        <v>10</v>
      </c>
      <c r="X29" s="31" t="str">
        <f>X26</f>
        <v>N NAME OF YOUR RECIPE | paste it — FAMILY|  Author &gt; YOU</v>
      </c>
      <c r="Y29" s="32">
        <f>Y26</f>
        <v>1</v>
      </c>
      <c r="Z29" s="31" t="str">
        <f>Z26</f>
        <v>coupe</v>
      </c>
      <c r="AA29" s="33" t="str">
        <f>AA26</f>
        <v>Master recipe ► MILLE-FEUILLE  aux fraises des bois</v>
      </c>
      <c r="AB29" s="83" t="s">
        <v>229</v>
      </c>
      <c r="AC29" s="84" t="s">
        <v>230</v>
      </c>
      <c r="AD29" s="85" t="s">
        <v>858</v>
      </c>
      <c r="AE29" s="6577"/>
      <c r="AF29" s="6471"/>
      <c r="AG29" s="6606"/>
      <c r="AH29" s="6739"/>
      <c r="AI29" s="86" t="s">
        <v>832</v>
      </c>
      <c r="AJ29" s="87" t="s">
        <v>436</v>
      </c>
      <c r="AK29" s="88">
        <v>1</v>
      </c>
      <c r="AL29" s="6608"/>
      <c r="AM29" s="6583"/>
      <c r="AN29" s="6583"/>
      <c r="AO29" s="6585"/>
      <c r="AP29" s="6786"/>
      <c r="AR29" s="25" t="s">
        <v>10</v>
      </c>
      <c r="AS29" s="31" t="str">
        <f>AS26</f>
        <v>N NOMBRE DE SU RECETA | pegue esto — FAMILIA| Auteur &gt; VOUS</v>
      </c>
      <c r="AT29" s="32">
        <f>AT26</f>
        <v>1</v>
      </c>
      <c r="AU29" s="31" t="str">
        <f>AU26</f>
        <v>coupe</v>
      </c>
      <c r="AV29" s="33" t="str">
        <f>AV26</f>
        <v>Receta madre ► MILLE-FEUILLE  aux fraises des bois</v>
      </c>
      <c r="AW29" s="83" t="s">
        <v>232</v>
      </c>
      <c r="AX29" s="84" t="s">
        <v>233</v>
      </c>
      <c r="AY29" s="85" t="s">
        <v>94</v>
      </c>
      <c r="AZ29" s="6577"/>
      <c r="BA29" s="6471"/>
      <c r="BB29" s="6606"/>
      <c r="BC29" s="6739"/>
      <c r="BD29" s="86" t="s">
        <v>834</v>
      </c>
      <c r="BE29" s="87" t="s">
        <v>437</v>
      </c>
      <c r="BF29" s="88">
        <v>1</v>
      </c>
      <c r="BG29" s="6790"/>
      <c r="BH29" s="6583"/>
      <c r="BI29" s="6583"/>
      <c r="BJ29" s="6585"/>
      <c r="BK29" s="6786"/>
      <c r="BM29" s="3">
        <v>1</v>
      </c>
      <c r="BO29" s="198" t="s">
        <v>14234</v>
      </c>
    </row>
    <row r="30" spans="1:67" ht="21" customHeight="1">
      <c r="B30" s="25" t="s">
        <v>10</v>
      </c>
      <c r="C30" s="31" t="str">
        <f>C26</f>
        <v>N NOM DE VOTRE RECETTE | collez la--FAMILLE| Auteur &gt; VOUS</v>
      </c>
      <c r="D30" s="32">
        <f>D26</f>
        <v>1</v>
      </c>
      <c r="E30" s="31" t="str">
        <f>E26</f>
        <v>coupe</v>
      </c>
      <c r="F30" s="33" t="str">
        <f>F26</f>
        <v>Recette mère ► MILLE-FEUILLE  aux fraises des bois</v>
      </c>
      <c r="G30" s="89"/>
      <c r="H30" s="90"/>
      <c r="I30" s="91" t="str">
        <f t="shared" ref="I30:I35" si="4">IF(OR(ISTEXT(G30), G30&lt;=0, J30&lt;=0), "", "de")</f>
        <v/>
      </c>
      <c r="J30" s="92"/>
      <c r="K30" s="128"/>
      <c r="L30" s="130">
        <v>1</v>
      </c>
      <c r="M30" s="1812" t="str">
        <f>ROWS(M30:M30)&amp;" ►"</f>
        <v>1 ►</v>
      </c>
      <c r="N30" s="1580"/>
      <c r="O30" s="95">
        <f>IF(Q36=0,0,(Q30/Q36)*P29*1000)</f>
        <v>0</v>
      </c>
      <c r="P30" s="96">
        <f>IF(Q36=0, 0, (G30*L30)/(Q36*P29))</f>
        <v>0</v>
      </c>
      <c r="Q30" s="97" cm="1">
        <f t="array" ref="Q30">IFERROR(_xlfn.XLOOKUP(UPPER(TRIM(K30)),UPPER(TRIM(G37:U37)),G38:U38,_xlfn.XLOOKUP(UPPER(TRIM(K30)),UPPER(TRIM(G39:U39)),G40:U40,0))*J30*IF(G30&gt;0,G30,1),0)</f>
        <v>0</v>
      </c>
      <c r="R30" s="98">
        <f>IF(T25&lt;&gt;0,G30*L30*L25,0)</f>
        <v>0</v>
      </c>
      <c r="S30" s="1834">
        <f>H30</f>
        <v>0</v>
      </c>
      <c r="T30" s="99">
        <f>IF(OR(ISBLANK(T25),T25=0),0,Q30*L30*L25)</f>
        <v>0</v>
      </c>
      <c r="U30" s="1366" t="str">
        <f>IF(K30="","",IF(COUNTIF(N37:U37,SUBSTITUTE(TRIM(K30)," (s)",""))+COUNTIF(N39:U39,SUBSTITUTE(TRIM(K30)," (s)",""))&gt;0,IF(ROUND(T30,3)&gt;=1,ROUND(T30,3)&amp;" L",MAX(1,ROUND(T30*100,0))&amp;" cl"),IF(COUNTIF(G37:L37,SUBSTITUTE(TRIM(K30)," (s)",""))+COUNTIF(G39:L39,SUBSTITUTE(TRIM(K30)," (s)",""))&gt;0,IF(ROUND(T30,3)&gt;=1,ROUND(T30,3)&amp;" Kg",MAX(1,ROUND(T30*1000,0))&amp;" g"),"")))</f>
        <v/>
      </c>
      <c r="W30" s="25" t="s">
        <v>10</v>
      </c>
      <c r="X30" s="31" t="str">
        <f>X26</f>
        <v>N NAME OF YOUR RECIPE | paste it — FAMILY|  Author &gt; YOU</v>
      </c>
      <c r="Y30" s="32">
        <f>Y26</f>
        <v>1</v>
      </c>
      <c r="Z30" s="31" t="str">
        <f>Z26</f>
        <v>coupe</v>
      </c>
      <c r="AA30" s="33" t="str">
        <f>AA26</f>
        <v>Master recipe ► MILLE-FEUILLE  aux fraises des bois</v>
      </c>
      <c r="AB30" s="89"/>
      <c r="AC30" s="90"/>
      <c r="AD30" s="91" t="str">
        <f t="shared" ref="AD30:AD35" si="5">IF(OR(ISTEXT(AB30), AB30&lt;=0, AE30&lt;=0), "", "de")</f>
        <v/>
      </c>
      <c r="AE30" s="92"/>
      <c r="AF30" s="128"/>
      <c r="AG30" s="130">
        <v>1</v>
      </c>
      <c r="AH30" s="1812" t="str">
        <f>ROWS(AH30:AH30)&amp;" ►"</f>
        <v>1 ►</v>
      </c>
      <c r="AI30" s="1580"/>
      <c r="AJ30" s="95">
        <f>IF(AL36=0,0,(AL30/AL36)*AK29*1000)</f>
        <v>0</v>
      </c>
      <c r="AK30" s="96">
        <f>IF(AL36=0, 0, (AB30*AG30)/(AL36*AK29))</f>
        <v>0</v>
      </c>
      <c r="AL30" s="97" cm="1">
        <f t="array" ref="AL30">IFERROR(_xlfn.XLOOKUP(UPPER(TRIM(AF30)),UPPER(TRIM(AB37:AP37)),AB38:AP38,_xlfn.XLOOKUP(UPPER(TRIM(AF30)),UPPER(TRIM(AB39:AP39)),AB40:AP40,0))*AE30*IF(AB30&gt;0,AB30,1),0)</f>
        <v>0</v>
      </c>
      <c r="AM30" s="98">
        <f>IF(AO25&lt;&gt;0,AB30*AG30*AG25,0)</f>
        <v>0</v>
      </c>
      <c r="AN30" s="1834">
        <f>AC30</f>
        <v>0</v>
      </c>
      <c r="AO30" s="99">
        <f>IF(OR(ISBLANK(AO25),AO25=0),0,AL30*AG30*AG25)</f>
        <v>0</v>
      </c>
      <c r="AP30" s="1366" t="str">
        <f>IF(AF30="","",IF(COUNTIF(AI37:AP37,SUBSTITUTE(TRIM(AF30)," (s)",""))+COUNTIF(AI39:AP39,SUBSTITUTE(TRIM(AF30)," (s)",""))&gt;0,IF(ROUND(AO30,3)&gt;=1,ROUND(AO30,3)&amp;" L",MAX(1,ROUND(AO30*100,0))&amp;" cl"),IF(COUNTIF(AB37:AG37,SUBSTITUTE(TRIM(AF30)," (s)",""))+COUNTIF(AB39:AG39,SUBSTITUTE(TRIM(AF30)," (s)",""))&gt;0,IF(ROUND(AO30,3)&gt;=1,ROUND(AO30,3)&amp;" Kg",MAX(1,ROUND(AO30*1000,0))&amp;" g"),"")))</f>
        <v/>
      </c>
      <c r="AR30" s="25" t="s">
        <v>10</v>
      </c>
      <c r="AS30" s="31" t="str">
        <f>AS26</f>
        <v>N NOMBRE DE SU RECETA | pegue esto — FAMILIA| Auteur &gt; VOUS</v>
      </c>
      <c r="AT30" s="32">
        <f>AT26</f>
        <v>1</v>
      </c>
      <c r="AU30" s="31" t="str">
        <f>AU26</f>
        <v>coupe</v>
      </c>
      <c r="AV30" s="33" t="str">
        <f>AV26</f>
        <v>Receta madre ► MILLE-FEUILLE  aux fraises des bois</v>
      </c>
      <c r="AW30" s="89"/>
      <c r="AX30" s="90"/>
      <c r="AY30" s="91" t="str">
        <f t="shared" ref="AY30:AY35" si="6">IF(OR(ISTEXT(AW30), AW30&lt;=0, AZ30&lt;=0), "", "de")</f>
        <v/>
      </c>
      <c r="AZ30" s="92"/>
      <c r="BA30" s="128"/>
      <c r="BB30" s="130">
        <v>1</v>
      </c>
      <c r="BC30" s="1812" t="str">
        <f>ROWS(BC30:BC30)&amp;" ►"</f>
        <v>1 ►</v>
      </c>
      <c r="BD30" s="1580"/>
      <c r="BE30" s="95">
        <f>IF(BG36=0,0,(BG30/BG36)*BF29*1000)</f>
        <v>0</v>
      </c>
      <c r="BF30" s="96">
        <f>IF(BG36=0, 0, (AW30*BB30)/(BG36*BF29))</f>
        <v>0</v>
      </c>
      <c r="BG30" s="97" cm="1">
        <f t="array" ref="BG30">IFERROR(_xlfn.XLOOKUP(UPPER(TRIM(BA30)),UPPER(TRIM(AW37:BK37)),AW38:BK38,_xlfn.XLOOKUP(UPPER(TRIM(BA30)),UPPER(TRIM(AW39:BK39)),AW40:BK40,0))*AZ30*IF(AW30&gt;0,AW30,1),0)</f>
        <v>0</v>
      </c>
      <c r="BH30" s="98">
        <f>IF(BJ25&lt;&gt;0,AW30*BB30*BB25,0)</f>
        <v>0</v>
      </c>
      <c r="BI30" s="1834">
        <f>AX30</f>
        <v>0</v>
      </c>
      <c r="BJ30" s="99">
        <f>IF(OR(ISBLANK(BJ25),BJ25=0),0,BG30*BB30*BB25)</f>
        <v>0</v>
      </c>
      <c r="BK30" s="1366" t="str">
        <f>IF(BA30="","",IF(COUNTIF(BD37:BK37,SUBSTITUTE(TRIM(BA30)," (s)",""))+COUNTIF(BD39:BK39,SUBSTITUTE(TRIM(BA30)," (s)",""))&gt;0,IF(ROUND(BJ30,3)&gt;=1,ROUND(BJ30,3)&amp;" L",MAX(1,ROUND(BJ30*100,0))&amp;" cl"),IF(COUNTIF(AW37:BB37,SUBSTITUTE(TRIM(BA30)," (s)",""))+COUNTIF(AW39:BB39,SUBSTITUTE(TRIM(BA30)," (s)",""))&gt;0,IF(ROUND(BJ30,3)&gt;=1,ROUND(BJ30,3)&amp;" Kg",MAX(1,ROUND(BJ30*1000,0))&amp;" g"),"")))</f>
        <v/>
      </c>
      <c r="BM30" s="3">
        <v>1</v>
      </c>
      <c r="BO30" s="198" t="s">
        <v>14237</v>
      </c>
    </row>
    <row r="31" spans="1:67" ht="21" customHeight="1">
      <c r="B31" s="103" t="str">
        <f>IF(N31&lt;&gt;"","A","►")</f>
        <v>►</v>
      </c>
      <c r="C31" s="31" t="str">
        <f>C26</f>
        <v>N NOM DE VOTRE RECETTE | collez la--FAMILLE| Auteur &gt; VOUS</v>
      </c>
      <c r="D31" s="32">
        <f>D26</f>
        <v>1</v>
      </c>
      <c r="E31" s="31" t="str">
        <f>E26</f>
        <v>coupe</v>
      </c>
      <c r="F31" s="33" t="str">
        <f>F26</f>
        <v>Recette mère ► MILLE-FEUILLE  aux fraises des bois</v>
      </c>
      <c r="G31" s="89"/>
      <c r="H31" s="108"/>
      <c r="I31" s="91" t="str">
        <f t="shared" si="4"/>
        <v/>
      </c>
      <c r="J31" s="92"/>
      <c r="K31" s="128"/>
      <c r="L31" s="130">
        <v>1</v>
      </c>
      <c r="M31" s="1813" t="str">
        <f>ROWS(M30:M31)&amp;" ►"</f>
        <v>2 ►</v>
      </c>
      <c r="N31" s="1580"/>
      <c r="O31" s="95">
        <f>IF(Q36=0,0,(Q31/Q36)*P29*1000)</f>
        <v>0</v>
      </c>
      <c r="P31" s="105">
        <f>IF(Q36=0, 0, (G31*L31)/(Q36*P29))</f>
        <v>0</v>
      </c>
      <c r="Q31" s="97" cm="1">
        <f t="array" ref="Q31">IFERROR(_xlfn.XLOOKUP(UPPER(TRIM(K31)),UPPER(TRIM(G37:U37)),G38:U38,_xlfn.XLOOKUP(UPPER(TRIM(K31)),UPPER(TRIM(G39:U39)),G40:U40,0))*J31*IF(G31&gt;0,G31,1),0)</f>
        <v>0</v>
      </c>
      <c r="R31" s="110">
        <f>IF(T25&lt;&gt;0,G31*L31*L25,0)</f>
        <v>0</v>
      </c>
      <c r="S31" s="1748">
        <f t="shared" ref="S31:S35" si="7">H31</f>
        <v>0</v>
      </c>
      <c r="T31" s="99">
        <f>IF(OR(ISBLANK(T25),T25=0),0,Q31*L31*L25)</f>
        <v>0</v>
      </c>
      <c r="U31" s="1368" t="str">
        <f>IF(K31="","",IF(COUNTIF(N37:U37,SUBSTITUTE(TRIM(K31)," (s)",""))+COUNTIF(N39:U39,SUBSTITUTE(TRIM(K31)," (s)",""))&gt;0,IF(ROUND(T31,3)&gt;=1,ROUND(T31,3)&amp;" L",MAX(1,ROUND(T31*100,0))&amp;" cl"),IF(COUNTIF(G37:L37,SUBSTITUTE(TRIM(K31)," (s)",""))+COUNTIF(G39:L39,SUBSTITUTE(TRIM(K31)," (s)",""))&gt;0,IF(ROUND(T31,3)&gt;=1,ROUND(T31,3)&amp;" Kg",MAX(1,ROUND(T31*1000,0))&amp;" g"),"")))</f>
        <v/>
      </c>
      <c r="W31" s="103" t="str">
        <f t="shared" ref="W31:W34" si="8">IF(AI31&lt;&gt;"","A","►")</f>
        <v>►</v>
      </c>
      <c r="X31" s="31" t="str">
        <f>X26</f>
        <v>N NAME OF YOUR RECIPE | paste it — FAMILY|  Author &gt; YOU</v>
      </c>
      <c r="Y31" s="32">
        <f>Y26</f>
        <v>1</v>
      </c>
      <c r="Z31" s="31" t="str">
        <f>Z26</f>
        <v>coupe</v>
      </c>
      <c r="AA31" s="33" t="str">
        <f>AA26</f>
        <v>Master recipe ► MILLE-FEUILLE  aux fraises des bois</v>
      </c>
      <c r="AB31" s="89"/>
      <c r="AC31" s="108"/>
      <c r="AD31" s="91" t="str">
        <f t="shared" si="5"/>
        <v/>
      </c>
      <c r="AE31" s="92"/>
      <c r="AF31" s="128"/>
      <c r="AG31" s="130">
        <v>1</v>
      </c>
      <c r="AH31" s="1813" t="str">
        <f>ROWS(AH30:AH31)&amp;" ►"</f>
        <v>2 ►</v>
      </c>
      <c r="AI31" s="1580"/>
      <c r="AJ31" s="95">
        <f>IF(AL36=0,0,(AL31/AL36)*AK29*1000)</f>
        <v>0</v>
      </c>
      <c r="AK31" s="105">
        <f>IF(AL36=0, 0, (AB31*AG31)/(AL36*AK29))</f>
        <v>0</v>
      </c>
      <c r="AL31" s="97" cm="1">
        <f t="array" ref="AL31">IFERROR(_xlfn.XLOOKUP(UPPER(TRIM(AF31)),UPPER(TRIM(AB37:AP37)),AB38:AP38,_xlfn.XLOOKUP(UPPER(TRIM(AF31)),UPPER(TRIM(AB39:AP39)),AB40:AP40,0))*AE31*IF(AB31&gt;0,AB31,1),0)</f>
        <v>0</v>
      </c>
      <c r="AM31" s="110">
        <f>IF(AO25&lt;&gt;0,AB31*AG31*AG25,0)</f>
        <v>0</v>
      </c>
      <c r="AN31" s="1748">
        <f t="shared" ref="AN31:AN35" si="9">AC31</f>
        <v>0</v>
      </c>
      <c r="AO31" s="99">
        <f>IF(OR(ISBLANK(AO25),AO25=0),0,AL31*AG31*AG25)</f>
        <v>0</v>
      </c>
      <c r="AP31" s="1368" t="str">
        <f>IF(AF31="","",IF(COUNTIF(AI37:AP37,SUBSTITUTE(TRIM(AF31)," (s)",""))+COUNTIF(AI39:AP39,SUBSTITUTE(TRIM(AF31)," (s)",""))&gt;0,IF(ROUND(AO31,3)&gt;=1,ROUND(AO31,3)&amp;" L",MAX(1,ROUND(AO31*100,0))&amp;" cl"),IF(COUNTIF(AB37:AG37,SUBSTITUTE(TRIM(AF31)," (s)",""))+COUNTIF(AB39:AG39,SUBSTITUTE(TRIM(AF31)," (s)",""))&gt;0,IF(ROUND(AO31,3)&gt;=1,ROUND(AO31,3)&amp;" Kg",MAX(1,ROUND(AO31*1000,0))&amp;" g"),"")))</f>
        <v/>
      </c>
      <c r="AR31" s="103" t="str">
        <f t="shared" ref="AR31:AR34" si="10">IF(BD31&lt;&gt;"","A","►")</f>
        <v>►</v>
      </c>
      <c r="AS31" s="31" t="str">
        <f>AS26</f>
        <v>N NOMBRE DE SU RECETA | pegue esto — FAMILIA| Auteur &gt; VOUS</v>
      </c>
      <c r="AT31" s="32">
        <f>AT26</f>
        <v>1</v>
      </c>
      <c r="AU31" s="31" t="str">
        <f>AU26</f>
        <v>coupe</v>
      </c>
      <c r="AV31" s="33" t="str">
        <f>AV26</f>
        <v>Receta madre ► MILLE-FEUILLE  aux fraises des bois</v>
      </c>
      <c r="AW31" s="89"/>
      <c r="AX31" s="108"/>
      <c r="AY31" s="91" t="str">
        <f t="shared" si="6"/>
        <v/>
      </c>
      <c r="AZ31" s="92"/>
      <c r="BA31" s="128"/>
      <c r="BB31" s="130">
        <v>1</v>
      </c>
      <c r="BC31" s="1813" t="str">
        <f>ROWS(BC30:BC31)&amp;" ►"</f>
        <v>2 ►</v>
      </c>
      <c r="BD31" s="1580"/>
      <c r="BE31" s="95">
        <f>IF(BG36=0,0,(BG31/BG36)*BF29*1000)</f>
        <v>0</v>
      </c>
      <c r="BF31" s="105">
        <f>IF(BG36=0, 0, (AW31*BB31)/(BG36*BF29))</f>
        <v>0</v>
      </c>
      <c r="BG31" s="97" cm="1">
        <f t="array" ref="BG31">IFERROR(_xlfn.XLOOKUP(UPPER(TRIM(BA31)),UPPER(TRIM(AW37:BK37)),AW38:BK38,_xlfn.XLOOKUP(UPPER(TRIM(BA31)),UPPER(TRIM(AW39:BK39)),AW40:BK40,0))*AZ31*IF(AW31&gt;0,AW31,1),0)</f>
        <v>0</v>
      </c>
      <c r="BH31" s="110">
        <f>IF(BJ25&lt;&gt;0,AW31*BB31*BB25,0)</f>
        <v>0</v>
      </c>
      <c r="BI31" s="1748">
        <f t="shared" ref="BI31:BI35" si="11">AX31</f>
        <v>0</v>
      </c>
      <c r="BJ31" s="99">
        <f>IF(OR(ISBLANK(BJ25),BJ25=0),0,BG31*BB31*BB25)</f>
        <v>0</v>
      </c>
      <c r="BK31" s="1368" t="str">
        <f>IF(BA31="","",IF(COUNTIF(BD37:BK37,SUBSTITUTE(TRIM(BA31)," (s)",""))+COUNTIF(BD39:BK39,SUBSTITUTE(TRIM(BA31)," (s)",""))&gt;0,IF(ROUND(BJ31,3)&gt;=1,ROUND(BJ31,3)&amp;" L",MAX(1,ROUND(BJ31*100,0))&amp;" cl"),IF(COUNTIF(AW37:BB37,SUBSTITUTE(TRIM(BA31)," (s)",""))+COUNTIF(AW39:BB39,SUBSTITUTE(TRIM(BA31)," (s)",""))&gt;0,IF(ROUND(BJ31,3)&gt;=1,ROUND(BJ31,3)&amp;" Kg",MAX(1,ROUND(BJ31*1000,0))&amp;" g"),"")))</f>
        <v/>
      </c>
      <c r="BM31" s="3">
        <v>1</v>
      </c>
    </row>
    <row r="32" spans="1:67" ht="21" customHeight="1">
      <c r="B32" s="103" t="str">
        <f t="shared" ref="B32:B34" si="12">IF(N32&lt;&gt;"","A","►")</f>
        <v>►</v>
      </c>
      <c r="C32" s="31" t="str">
        <f>C26</f>
        <v>N NOM DE VOTRE RECETTE | collez la--FAMILLE| Auteur &gt; VOUS</v>
      </c>
      <c r="D32" s="32">
        <f>D26</f>
        <v>1</v>
      </c>
      <c r="E32" s="31" t="str">
        <f>E26</f>
        <v>coupe</v>
      </c>
      <c r="F32" s="33" t="str">
        <f>F26</f>
        <v>Recette mère ► MILLE-FEUILLE  aux fraises des bois</v>
      </c>
      <c r="G32" s="89"/>
      <c r="H32" s="108"/>
      <c r="I32" s="91" t="str">
        <f t="shared" si="4"/>
        <v/>
      </c>
      <c r="J32" s="92"/>
      <c r="K32" s="128"/>
      <c r="L32" s="130">
        <v>1</v>
      </c>
      <c r="M32" s="1813" t="str">
        <f>ROWS(M30:M32)&amp;" ►"</f>
        <v>3 ►</v>
      </c>
      <c r="N32" s="1580"/>
      <c r="O32" s="95">
        <f>IF(Q36=0,0,(Q32/Q36)*P29*1000)</f>
        <v>0</v>
      </c>
      <c r="P32" s="105">
        <f>IF(Q36=0, 0, (G32*L32)/(Q36*P29))</f>
        <v>0</v>
      </c>
      <c r="Q32" s="97" cm="1">
        <f t="array" ref="Q32">IFERROR(_xlfn.XLOOKUP(UPPER(TRIM(K32)),UPPER(TRIM(G37:U37)),G38:U38,_xlfn.XLOOKUP(UPPER(TRIM(K32)),UPPER(TRIM(G39:U39)),G40:U40,0))*J32*IF(G32&gt;0,G32,1),0)</f>
        <v>0</v>
      </c>
      <c r="R32" s="106">
        <f>IF(T25&lt;&gt;0,G32*L32*L25,0)</f>
        <v>0</v>
      </c>
      <c r="S32" s="1747">
        <f t="shared" si="7"/>
        <v>0</v>
      </c>
      <c r="T32" s="99">
        <f>IF(OR(ISBLANK(T25),T25=0),0,Q32*L32*L25)</f>
        <v>0</v>
      </c>
      <c r="U32" s="1367" t="str">
        <f>IF(K32="","",IF(COUNTIF(N37:U37,SUBSTITUTE(TRIM(K32)," (s)",""))+COUNTIF(N39:U39,SUBSTITUTE(TRIM(K32)," (s)",""))&gt;0,IF(ROUND(T32,3)&gt;=1,ROUND(T32,3)&amp;" L",MAX(1,ROUND(T32*100,0))&amp;" cl"),IF(COUNTIF(G37:L37,SUBSTITUTE(TRIM(K32)," (s)",""))+COUNTIF(G39:L39,SUBSTITUTE(TRIM(K32)," (s)",""))&gt;0,IF(ROUND(T32,3)&gt;=1,ROUND(T32,3)&amp;" Kg",MAX(1,ROUND(T32*1000,0))&amp;" g"),"")))</f>
        <v/>
      </c>
      <c r="W32" s="103" t="str">
        <f t="shared" si="8"/>
        <v>►</v>
      </c>
      <c r="X32" s="31" t="str">
        <f>X26</f>
        <v>N NAME OF YOUR RECIPE | paste it — FAMILY|  Author &gt; YOU</v>
      </c>
      <c r="Y32" s="32">
        <f>Y26</f>
        <v>1</v>
      </c>
      <c r="Z32" s="31" t="str">
        <f>Z26</f>
        <v>coupe</v>
      </c>
      <c r="AA32" s="33" t="str">
        <f>AA26</f>
        <v>Master recipe ► MILLE-FEUILLE  aux fraises des bois</v>
      </c>
      <c r="AB32" s="89"/>
      <c r="AC32" s="108"/>
      <c r="AD32" s="91" t="str">
        <f t="shared" si="5"/>
        <v/>
      </c>
      <c r="AE32" s="92"/>
      <c r="AF32" s="128"/>
      <c r="AG32" s="130">
        <v>1</v>
      </c>
      <c r="AH32" s="1813" t="str">
        <f>ROWS(AH30:AH32)&amp;" ►"</f>
        <v>3 ►</v>
      </c>
      <c r="AI32" s="1580"/>
      <c r="AJ32" s="95">
        <f>IF(AL36=0,0,(AL32/AL36)*AK29*1000)</f>
        <v>0</v>
      </c>
      <c r="AK32" s="105">
        <f>IF(AL36=0, 0, (AB32*AG32)/(AL36*AK29))</f>
        <v>0</v>
      </c>
      <c r="AL32" s="97" cm="1">
        <f t="array" ref="AL32">IFERROR(_xlfn.XLOOKUP(UPPER(TRIM(AF32)),UPPER(TRIM(AB37:AP37)),AB38:AP38,_xlfn.XLOOKUP(UPPER(TRIM(AF32)),UPPER(TRIM(AB39:AP39)),AB40:AP40,0))*AE32*IF(AB32&gt;0,AB32,1),0)</f>
        <v>0</v>
      </c>
      <c r="AM32" s="106">
        <f>IF(AO25&lt;&gt;0,AB32*AG32*AG25,0)</f>
        <v>0</v>
      </c>
      <c r="AN32" s="1747">
        <f t="shared" si="9"/>
        <v>0</v>
      </c>
      <c r="AO32" s="99">
        <f>IF(OR(ISBLANK(AO25),AO25=0),0,AL32*AG32*AG25)</f>
        <v>0</v>
      </c>
      <c r="AP32" s="1367" t="str">
        <f>IF(AF32="","",IF(COUNTIF(AI37:AP37,SUBSTITUTE(TRIM(AF32)," (s)",""))+COUNTIF(AI39:AP39,SUBSTITUTE(TRIM(AF32)," (s)",""))&gt;0,IF(ROUND(AO32,3)&gt;=1,ROUND(AO32,3)&amp;" L",MAX(1,ROUND(AO32*100,0))&amp;" cl"),IF(COUNTIF(AB37:AG37,SUBSTITUTE(TRIM(AF32)," (s)",""))+COUNTIF(AB39:AG39,SUBSTITUTE(TRIM(AF32)," (s)",""))&gt;0,IF(ROUND(AO32,3)&gt;=1,ROUND(AO32,3)&amp;" Kg",MAX(1,ROUND(AO32*1000,0))&amp;" g"),"")))</f>
        <v/>
      </c>
      <c r="AR32" s="103" t="str">
        <f t="shared" si="10"/>
        <v>►</v>
      </c>
      <c r="AS32" s="31" t="str">
        <f>AS26</f>
        <v>N NOMBRE DE SU RECETA | pegue esto — FAMILIA| Auteur &gt; VOUS</v>
      </c>
      <c r="AT32" s="32">
        <f>AT26</f>
        <v>1</v>
      </c>
      <c r="AU32" s="31" t="str">
        <f>AU26</f>
        <v>coupe</v>
      </c>
      <c r="AV32" s="33" t="str">
        <f>AV26</f>
        <v>Receta madre ► MILLE-FEUILLE  aux fraises des bois</v>
      </c>
      <c r="AW32" s="89"/>
      <c r="AX32" s="108"/>
      <c r="AY32" s="91" t="str">
        <f t="shared" si="6"/>
        <v/>
      </c>
      <c r="AZ32" s="92"/>
      <c r="BA32" s="128"/>
      <c r="BB32" s="130">
        <v>1</v>
      </c>
      <c r="BC32" s="1813" t="str">
        <f>ROWS(BC30:BC32)&amp;" ►"</f>
        <v>3 ►</v>
      </c>
      <c r="BD32" s="1580"/>
      <c r="BE32" s="95">
        <f>IF(BG36=0,0,(BG32/BG36)*BF29*1000)</f>
        <v>0</v>
      </c>
      <c r="BF32" s="105">
        <f>IF(BG36=0, 0, (AW32*BB32)/(BG36*BF29))</f>
        <v>0</v>
      </c>
      <c r="BG32" s="97" cm="1">
        <f t="array" ref="BG32">IFERROR(_xlfn.XLOOKUP(UPPER(TRIM(BA32)),UPPER(TRIM(AW37:BK37)),AW38:BK38,_xlfn.XLOOKUP(UPPER(TRIM(BA32)),UPPER(TRIM(AW39:BK39)),AW40:BK40,0))*AZ32*IF(AW32&gt;0,AW32,1),0)</f>
        <v>0</v>
      </c>
      <c r="BH32" s="106">
        <f>IF(BJ25&lt;&gt;0,AW32*BB32*BB25,0)</f>
        <v>0</v>
      </c>
      <c r="BI32" s="1747">
        <f t="shared" si="11"/>
        <v>0</v>
      </c>
      <c r="BJ32" s="99">
        <f>IF(OR(ISBLANK(BJ25),BJ25=0),0,BG32*BB32*BB25)</f>
        <v>0</v>
      </c>
      <c r="BK32" s="1367" t="str">
        <f>IF(BA32="","",IF(COUNTIF(BD37:BK37,SUBSTITUTE(TRIM(BA32)," (s)",""))+COUNTIF(BD39:BK39,SUBSTITUTE(TRIM(BA32)," (s)",""))&gt;0,IF(ROUND(BJ32,3)&gt;=1,ROUND(BJ32,3)&amp;" L",MAX(1,ROUND(BJ32*100,0))&amp;" cl"),IF(COUNTIF(AW37:BB37,SUBSTITUTE(TRIM(BA32)," (s)",""))+COUNTIF(AW39:BB39,SUBSTITUTE(TRIM(BA32)," (s)",""))&gt;0,IF(ROUND(BJ32,3)&gt;=1,ROUND(BJ32,3)&amp;" Kg",MAX(1,ROUND(BJ32*1000,0))&amp;" g"),"")))</f>
        <v/>
      </c>
      <c r="BM32" s="3">
        <v>1</v>
      </c>
    </row>
    <row r="33" spans="2:65" ht="21" customHeight="1">
      <c r="B33" s="103" t="str">
        <f t="shared" si="12"/>
        <v>►</v>
      </c>
      <c r="C33" s="31" t="str">
        <f>C26</f>
        <v>N NOM DE VOTRE RECETTE | collez la--FAMILLE| Auteur &gt; VOUS</v>
      </c>
      <c r="D33" s="32">
        <f>D26</f>
        <v>1</v>
      </c>
      <c r="E33" s="31" t="str">
        <f>E26</f>
        <v>coupe</v>
      </c>
      <c r="F33" s="33" t="str">
        <f>F26</f>
        <v>Recette mère ► MILLE-FEUILLE  aux fraises des bois</v>
      </c>
      <c r="G33" s="89"/>
      <c r="H33" s="108"/>
      <c r="I33" s="91" t="str">
        <f t="shared" si="4"/>
        <v/>
      </c>
      <c r="J33" s="92"/>
      <c r="K33" s="128"/>
      <c r="L33" s="130">
        <v>1</v>
      </c>
      <c r="M33" s="1813" t="str">
        <f>ROWS(M30:M33)&amp;" ►"</f>
        <v>4 ►</v>
      </c>
      <c r="N33" s="1580"/>
      <c r="O33" s="95">
        <f>IF(Q36=0,0,(Q33/Q36)*P29*1000)</f>
        <v>0</v>
      </c>
      <c r="P33" s="105">
        <f>IF(Q36=0, 0, (G33*L33)/(Q36*P29))</f>
        <v>0</v>
      </c>
      <c r="Q33" s="97" cm="1">
        <f t="array" ref="Q33">IFERROR(_xlfn.XLOOKUP(UPPER(TRIM(K33)),UPPER(TRIM(G37:U37)),G38:U38,_xlfn.XLOOKUP(UPPER(TRIM(K33)),UPPER(TRIM(G39:U39)),G40:U40,0))*J33*IF(G33&gt;0,G33,1),0)</f>
        <v>0</v>
      </c>
      <c r="R33" s="110">
        <f>IF(T25&lt;&gt;0,G33*L33*L25,0)</f>
        <v>0</v>
      </c>
      <c r="S33" s="1748">
        <f t="shared" si="7"/>
        <v>0</v>
      </c>
      <c r="T33" s="99">
        <f>IF(OR(ISBLANK(T25),T25=0),0,Q33*L33*L25)</f>
        <v>0</v>
      </c>
      <c r="U33" s="1368" t="str">
        <f>IF(K33="","",IF(COUNTIF(N37:U37,SUBSTITUTE(TRIM(K33)," (s)",""))+COUNTIF(N39:U39,SUBSTITUTE(TRIM(K33)," (s)",""))&gt;0,IF(ROUND(T33,3)&gt;=1,ROUND(T33,3)&amp;" L",MAX(1,ROUND(T33*100,0))&amp;" cl"),IF(COUNTIF(G37:L37,SUBSTITUTE(TRIM(K33)," (s)",""))+COUNTIF(G39:L39,SUBSTITUTE(TRIM(K33)," (s)",""))&gt;0,IF(ROUND(T33,3)&gt;=1,ROUND(T33,3)&amp;" Kg",MAX(1,ROUND(T33*1000,0))&amp;" g"),"")))</f>
        <v/>
      </c>
      <c r="W33" s="103" t="str">
        <f t="shared" si="8"/>
        <v>►</v>
      </c>
      <c r="X33" s="31" t="str">
        <f>X26</f>
        <v>N NAME OF YOUR RECIPE | paste it — FAMILY|  Author &gt; YOU</v>
      </c>
      <c r="Y33" s="32">
        <f>Y26</f>
        <v>1</v>
      </c>
      <c r="Z33" s="31" t="str">
        <f>Z26</f>
        <v>coupe</v>
      </c>
      <c r="AA33" s="33" t="str">
        <f>AA26</f>
        <v>Master recipe ► MILLE-FEUILLE  aux fraises des bois</v>
      </c>
      <c r="AB33" s="89"/>
      <c r="AC33" s="108"/>
      <c r="AD33" s="91" t="str">
        <f t="shared" si="5"/>
        <v/>
      </c>
      <c r="AE33" s="92"/>
      <c r="AF33" s="128"/>
      <c r="AG33" s="130">
        <v>1</v>
      </c>
      <c r="AH33" s="1813" t="str">
        <f>ROWS(AH30:AH33)&amp;" ►"</f>
        <v>4 ►</v>
      </c>
      <c r="AI33" s="1580"/>
      <c r="AJ33" s="95">
        <f>IF(AL36=0,0,(AL33/AL36)*AK29*1000)</f>
        <v>0</v>
      </c>
      <c r="AK33" s="105">
        <f>IF(AL36=0, 0, (AB33*AG33)/(AL36*AK29))</f>
        <v>0</v>
      </c>
      <c r="AL33" s="97" cm="1">
        <f t="array" ref="AL33">IFERROR(_xlfn.XLOOKUP(UPPER(TRIM(AF33)),UPPER(TRIM(AB37:AP37)),AB38:AP38,_xlfn.XLOOKUP(UPPER(TRIM(AF33)),UPPER(TRIM(AB39:AP39)),AB40:AP40,0))*AE33*IF(AB33&gt;0,AB33,1),0)</f>
        <v>0</v>
      </c>
      <c r="AM33" s="110">
        <f>IF(AO25&lt;&gt;0,AB33*AG33*AG25,0)</f>
        <v>0</v>
      </c>
      <c r="AN33" s="1748">
        <f t="shared" si="9"/>
        <v>0</v>
      </c>
      <c r="AO33" s="99">
        <f>IF(OR(ISBLANK(AO25),AO25=0),0,AL33*AG33*AG25)</f>
        <v>0</v>
      </c>
      <c r="AP33" s="1368" t="str">
        <f>IF(AF33="","",IF(COUNTIF(AI37:AP37,SUBSTITUTE(TRIM(AF33)," (s)",""))+COUNTIF(AI39:AP39,SUBSTITUTE(TRIM(AF33)," (s)",""))&gt;0,IF(ROUND(AO33,3)&gt;=1,ROUND(AO33,3)&amp;" L",MAX(1,ROUND(AO33*100,0))&amp;" cl"),IF(COUNTIF(AB37:AG37,SUBSTITUTE(TRIM(AF33)," (s)",""))+COUNTIF(AB39:AG39,SUBSTITUTE(TRIM(AF33)," (s)",""))&gt;0,IF(ROUND(AO33,3)&gt;=1,ROUND(AO33,3)&amp;" Kg",MAX(1,ROUND(AO33*1000,0))&amp;" g"),"")))</f>
        <v/>
      </c>
      <c r="AR33" s="103" t="str">
        <f t="shared" si="10"/>
        <v>►</v>
      </c>
      <c r="AS33" s="31" t="str">
        <f>AS26</f>
        <v>N NOMBRE DE SU RECETA | pegue esto — FAMILIA| Auteur &gt; VOUS</v>
      </c>
      <c r="AT33" s="32">
        <f>AT26</f>
        <v>1</v>
      </c>
      <c r="AU33" s="31" t="str">
        <f>AU26</f>
        <v>coupe</v>
      </c>
      <c r="AV33" s="33" t="str">
        <f>AV26</f>
        <v>Receta madre ► MILLE-FEUILLE  aux fraises des bois</v>
      </c>
      <c r="AW33" s="89"/>
      <c r="AX33" s="108"/>
      <c r="AY33" s="91" t="str">
        <f t="shared" si="6"/>
        <v/>
      </c>
      <c r="AZ33" s="92"/>
      <c r="BA33" s="128"/>
      <c r="BB33" s="130">
        <v>1</v>
      </c>
      <c r="BC33" s="1813" t="str">
        <f>ROWS(BC30:BC33)&amp;" ►"</f>
        <v>4 ►</v>
      </c>
      <c r="BD33" s="1580"/>
      <c r="BE33" s="95">
        <f>IF(BG36=0,0,(BG33/BG36)*BF29*1000)</f>
        <v>0</v>
      </c>
      <c r="BF33" s="105">
        <f>IF(BG36=0, 0, (AW33*BB33)/(BG36*BF29))</f>
        <v>0</v>
      </c>
      <c r="BG33" s="97" cm="1">
        <f t="array" ref="BG33">IFERROR(_xlfn.XLOOKUP(UPPER(TRIM(BA33)),UPPER(TRIM(AW37:BK37)),AW38:BK38,_xlfn.XLOOKUP(UPPER(TRIM(BA33)),UPPER(TRIM(AW39:BK39)),AW40:BK40,0))*AZ33*IF(AW33&gt;0,AW33,1),0)</f>
        <v>0</v>
      </c>
      <c r="BH33" s="110">
        <f>IF(BJ25&lt;&gt;0,AW33*BB33*BB25,0)</f>
        <v>0</v>
      </c>
      <c r="BI33" s="1748">
        <f t="shared" si="11"/>
        <v>0</v>
      </c>
      <c r="BJ33" s="99">
        <f>IF(OR(ISBLANK(BJ25),BJ25=0),0,BG33*BB33*BB25)</f>
        <v>0</v>
      </c>
      <c r="BK33" s="1368" t="str">
        <f>IF(BA33="","",IF(COUNTIF(BD37:BK37,SUBSTITUTE(TRIM(BA33)," (s)",""))+COUNTIF(BD39:BK39,SUBSTITUTE(TRIM(BA33)," (s)",""))&gt;0,IF(ROUND(BJ33,3)&gt;=1,ROUND(BJ33,3)&amp;" L",MAX(1,ROUND(BJ33*100,0))&amp;" cl"),IF(COUNTIF(AW37:BB37,SUBSTITUTE(TRIM(BA33)," (s)",""))+COUNTIF(AW39:BB39,SUBSTITUTE(TRIM(BA33)," (s)",""))&gt;0,IF(ROUND(BJ33,3)&gt;=1,ROUND(BJ33,3)&amp;" Kg",MAX(1,ROUND(BJ33*1000,0))&amp;" g"),"")))</f>
        <v/>
      </c>
      <c r="BM33" s="3">
        <v>1</v>
      </c>
    </row>
    <row r="34" spans="2:65" ht="21" customHeight="1">
      <c r="B34" s="103" t="str">
        <f t="shared" si="12"/>
        <v>►</v>
      </c>
      <c r="C34" s="31" t="str">
        <f>C26</f>
        <v>N NOM DE VOTRE RECETTE | collez la--FAMILLE| Auteur &gt; VOUS</v>
      </c>
      <c r="D34" s="32">
        <f>D26</f>
        <v>1</v>
      </c>
      <c r="E34" s="31" t="str">
        <f>E26</f>
        <v>coupe</v>
      </c>
      <c r="F34" s="33" t="str">
        <f>F26</f>
        <v>Recette mère ► MILLE-FEUILLE  aux fraises des bois</v>
      </c>
      <c r="G34" s="89"/>
      <c r="H34" s="108"/>
      <c r="I34" s="91" t="str">
        <f t="shared" si="4"/>
        <v/>
      </c>
      <c r="J34" s="92"/>
      <c r="K34" s="128"/>
      <c r="L34" s="130">
        <v>1</v>
      </c>
      <c r="M34" s="1813" t="str">
        <f>ROWS(M30:M34)&amp;" ►"</f>
        <v>5 ►</v>
      </c>
      <c r="N34" s="1580"/>
      <c r="O34" s="95">
        <f>IF(Q36=0,0,(Q34/Q36)*P29*1000)</f>
        <v>0</v>
      </c>
      <c r="P34" s="105">
        <f>IF(Q36=0, 0, (G34*L34)/(Q36*P29))</f>
        <v>0</v>
      </c>
      <c r="Q34" s="97" cm="1">
        <f t="array" ref="Q34">IFERROR(_xlfn.XLOOKUP(UPPER(TRIM(K34)),UPPER(TRIM(G37:U37)),G38:U38,_xlfn.XLOOKUP(UPPER(TRIM(K34)),UPPER(TRIM(G39:U39)),G40:U40,0))*J34*IF(G34&gt;0,G34,1),0)</f>
        <v>0</v>
      </c>
      <c r="R34" s="106">
        <f>IF(T25&lt;&gt;0,G34*L34*L25,0)</f>
        <v>0</v>
      </c>
      <c r="S34" s="1747">
        <f t="shared" si="7"/>
        <v>0</v>
      </c>
      <c r="T34" s="99">
        <f>IF(OR(ISBLANK(T25),T25=0),0,Q34*L34*L25)</f>
        <v>0</v>
      </c>
      <c r="U34" s="1367" t="str">
        <f>IF(K34="","",IF(COUNTIF(N37:U37,SUBSTITUTE(TRIM(K34)," (s)",""))+COUNTIF(N39:U39,SUBSTITUTE(TRIM(K34)," (s)",""))&gt;0,IF(ROUND(T34,3)&gt;=1,ROUND(T34,3)&amp;" L",MAX(1,ROUND(T34*100,0))&amp;" cl"),IF(COUNTIF(G37:L37,SUBSTITUTE(TRIM(K34)," (s)",""))+COUNTIF(G39:L39,SUBSTITUTE(TRIM(K34)," (s)",""))&gt;0,IF(ROUND(T34,3)&gt;=1,ROUND(T34,3)&amp;" Kg",MAX(1,ROUND(T34*1000,0))&amp;" g"),"")))</f>
        <v/>
      </c>
      <c r="W34" s="103" t="str">
        <f t="shared" si="8"/>
        <v>►</v>
      </c>
      <c r="X34" s="31" t="str">
        <f>X26</f>
        <v>N NAME OF YOUR RECIPE | paste it — FAMILY|  Author &gt; YOU</v>
      </c>
      <c r="Y34" s="32">
        <f>Y26</f>
        <v>1</v>
      </c>
      <c r="Z34" s="31" t="str">
        <f>Z26</f>
        <v>coupe</v>
      </c>
      <c r="AA34" s="33" t="str">
        <f>AA26</f>
        <v>Master recipe ► MILLE-FEUILLE  aux fraises des bois</v>
      </c>
      <c r="AB34" s="89"/>
      <c r="AC34" s="108"/>
      <c r="AD34" s="91" t="str">
        <f t="shared" si="5"/>
        <v/>
      </c>
      <c r="AE34" s="92"/>
      <c r="AF34" s="128"/>
      <c r="AG34" s="130">
        <v>1</v>
      </c>
      <c r="AH34" s="1813" t="str">
        <f>ROWS(AH30:AH34)&amp;" ►"</f>
        <v>5 ►</v>
      </c>
      <c r="AI34" s="1580"/>
      <c r="AJ34" s="95">
        <f>IF(AL36=0,0,(AL34/AL36)*AK29*1000)</f>
        <v>0</v>
      </c>
      <c r="AK34" s="105">
        <f>IF(AL36=0, 0, (AB34*AG34)/(AL36*AK29))</f>
        <v>0</v>
      </c>
      <c r="AL34" s="97" cm="1">
        <f t="array" ref="AL34">IFERROR(_xlfn.XLOOKUP(UPPER(TRIM(AF34)),UPPER(TRIM(AB37:AP37)),AB38:AP38,_xlfn.XLOOKUP(UPPER(TRIM(AF34)),UPPER(TRIM(AB39:AP39)),AB40:AP40,0))*AE34*IF(AB34&gt;0,AB34,1),0)</f>
        <v>0</v>
      </c>
      <c r="AM34" s="106">
        <f>IF(AO25&lt;&gt;0,AB34*AG34*AG25,0)</f>
        <v>0</v>
      </c>
      <c r="AN34" s="1747">
        <f t="shared" si="9"/>
        <v>0</v>
      </c>
      <c r="AO34" s="99">
        <f>IF(OR(ISBLANK(AO25),AO25=0),0,AL34*AG34*AG25)</f>
        <v>0</v>
      </c>
      <c r="AP34" s="1367" t="str">
        <f>IF(AF34="","",IF(COUNTIF(AI37:AP37,SUBSTITUTE(TRIM(AF34)," (s)",""))+COUNTIF(AI39:AP39,SUBSTITUTE(TRIM(AF34)," (s)",""))&gt;0,IF(ROUND(AO34,3)&gt;=1,ROUND(AO34,3)&amp;" L",MAX(1,ROUND(AO34*100,0))&amp;" cl"),IF(COUNTIF(AB37:AG37,SUBSTITUTE(TRIM(AF34)," (s)",""))+COUNTIF(AB39:AG39,SUBSTITUTE(TRIM(AF34)," (s)",""))&gt;0,IF(ROUND(AO34,3)&gt;=1,ROUND(AO34,3)&amp;" Kg",MAX(1,ROUND(AO34*1000,0))&amp;" g"),"")))</f>
        <v/>
      </c>
      <c r="AR34" s="103" t="str">
        <f t="shared" si="10"/>
        <v>►</v>
      </c>
      <c r="AS34" s="31" t="str">
        <f>AS26</f>
        <v>N NOMBRE DE SU RECETA | pegue esto — FAMILIA| Auteur &gt; VOUS</v>
      </c>
      <c r="AT34" s="32">
        <f>AT26</f>
        <v>1</v>
      </c>
      <c r="AU34" s="31" t="str">
        <f>AU26</f>
        <v>coupe</v>
      </c>
      <c r="AV34" s="33" t="str">
        <f>AV26</f>
        <v>Receta madre ► MILLE-FEUILLE  aux fraises des bois</v>
      </c>
      <c r="AW34" s="89"/>
      <c r="AX34" s="108"/>
      <c r="AY34" s="91" t="str">
        <f t="shared" si="6"/>
        <v/>
      </c>
      <c r="AZ34" s="92"/>
      <c r="BA34" s="128"/>
      <c r="BB34" s="130">
        <v>1</v>
      </c>
      <c r="BC34" s="1813" t="str">
        <f>ROWS(BC30:BC34)&amp;" ►"</f>
        <v>5 ►</v>
      </c>
      <c r="BD34" s="1580"/>
      <c r="BE34" s="95">
        <f>IF(BG36=0,0,(BG34/BG36)*BF29*1000)</f>
        <v>0</v>
      </c>
      <c r="BF34" s="105">
        <f>IF(BG36=0, 0, (AW34*BB34)/(BG36*BF29))</f>
        <v>0</v>
      </c>
      <c r="BG34" s="97" cm="1">
        <f t="array" ref="BG34">IFERROR(_xlfn.XLOOKUP(UPPER(TRIM(BA34)),UPPER(TRIM(AW37:BK37)),AW38:BK38,_xlfn.XLOOKUP(UPPER(TRIM(BA34)),UPPER(TRIM(AW39:BK39)),AW40:BK40,0))*AZ34*IF(AW34&gt;0,AW34,1),0)</f>
        <v>0</v>
      </c>
      <c r="BH34" s="106">
        <f>IF(BJ25&lt;&gt;0,AW34*BB34*BB25,0)</f>
        <v>0</v>
      </c>
      <c r="BI34" s="1747">
        <f t="shared" si="11"/>
        <v>0</v>
      </c>
      <c r="BJ34" s="99">
        <f>IF(OR(ISBLANK(BJ25),BJ25=0),0,BG34*BB34*BB25)</f>
        <v>0</v>
      </c>
      <c r="BK34" s="1367" t="str">
        <f>IF(BA34="","",IF(COUNTIF(BD37:BK37,SUBSTITUTE(TRIM(BA34)," (s)",""))+COUNTIF(BD39:BK39,SUBSTITUTE(TRIM(BA34)," (s)",""))&gt;0,IF(ROUND(BJ34,3)&gt;=1,ROUND(BJ34,3)&amp;" L",MAX(1,ROUND(BJ34*100,0))&amp;" cl"),IF(COUNTIF(AW37:BB37,SUBSTITUTE(TRIM(BA34)," (s)",""))+COUNTIF(AW39:BB39,SUBSTITUTE(TRIM(BA34)," (s)",""))&gt;0,IF(ROUND(BJ34,3)&gt;=1,ROUND(BJ34,3)&amp;" Kg",MAX(1,ROUND(BJ34*1000,0))&amp;" g"),"")))</f>
        <v/>
      </c>
      <c r="BM34" s="3">
        <v>1</v>
      </c>
    </row>
    <row r="35" spans="2:65" ht="21" customHeight="1">
      <c r="B35" s="25" t="s">
        <v>10</v>
      </c>
      <c r="C35" s="31" t="str">
        <f>C26</f>
        <v>N NOM DE VOTRE RECETTE | collez la--FAMILLE| Auteur &gt; VOUS</v>
      </c>
      <c r="D35" s="32">
        <f>D26</f>
        <v>1</v>
      </c>
      <c r="E35" s="31" t="str">
        <f>E26</f>
        <v>coupe</v>
      </c>
      <c r="F35" s="33" t="str">
        <f>F26</f>
        <v>Recette mère ► MILLE-FEUILLE  aux fraises des bois</v>
      </c>
      <c r="G35" s="1198"/>
      <c r="H35" s="1199"/>
      <c r="I35" s="91" t="str">
        <f t="shared" si="4"/>
        <v/>
      </c>
      <c r="J35" s="1200"/>
      <c r="K35" s="128"/>
      <c r="L35" s="1201">
        <v>1</v>
      </c>
      <c r="M35" s="1813" t="str">
        <f>ROWS(M30:M35)&amp;" ►"</f>
        <v>6 ►</v>
      </c>
      <c r="N35" s="1580"/>
      <c r="O35" s="95">
        <f>IF(Q36=0,0,(Q35/Q36)*P29*1000)</f>
        <v>0</v>
      </c>
      <c r="P35" s="105">
        <f>IF(Q36=0, 0, (G35*L35)/(Q36*P29))</f>
        <v>0</v>
      </c>
      <c r="Q35" s="97" cm="1">
        <f t="array" ref="Q35">IFERROR(_xlfn.XLOOKUP(UPPER(TRIM(K35)),UPPER(TRIM(G37:U37)),G38:U38,_xlfn.XLOOKUP(UPPER(TRIM(K35)),UPPER(TRIM(G39:U39)),G40:U40,0))*J35*IF(G35&gt;0,G35,1),0)</f>
        <v>0</v>
      </c>
      <c r="R35" s="110">
        <f>IF(T25&lt;&gt;0,G35*L35*L25,0)</f>
        <v>0</v>
      </c>
      <c r="S35" s="1748">
        <f t="shared" si="7"/>
        <v>0</v>
      </c>
      <c r="T35" s="99">
        <f>IF(OR(ISBLANK(T25),T25=0),0,Q35*L35*L25)</f>
        <v>0</v>
      </c>
      <c r="U35" s="1617" t="str">
        <f>IF(K35="","",IF(COUNTIF(N37:U37,SUBSTITUTE(TRIM(K35)," (s)",""))+COUNTIF(N39:U39,SUBSTITUTE(TRIM(K35)," (s)",""))&gt;0,IF(ROUND(T35,3)&gt;=1,ROUND(T35,3)&amp;" L",MAX(1,ROUND(T35*100,0))&amp;" cl"),IF(COUNTIF(G37:L37,SUBSTITUTE(TRIM(K35)," (s)",""))+COUNTIF(G39:L39,SUBSTITUTE(TRIM(K35)," (s)",""))&gt;0,IF(ROUND(T35,3)&gt;=1,ROUND(T35,3)&amp;" Kg",MAX(1,ROUND(T35*1000,0))&amp;" g"),"")))</f>
        <v/>
      </c>
      <c r="W35" s="25" t="s">
        <v>10</v>
      </c>
      <c r="X35" s="31" t="str">
        <f>X26</f>
        <v>N NAME OF YOUR RECIPE | paste it — FAMILY|  Author &gt; YOU</v>
      </c>
      <c r="Y35" s="32">
        <f>Y26</f>
        <v>1</v>
      </c>
      <c r="Z35" s="31" t="str">
        <f>Z26</f>
        <v>coupe</v>
      </c>
      <c r="AA35" s="33" t="str">
        <f>AA26</f>
        <v>Master recipe ► MILLE-FEUILLE  aux fraises des bois</v>
      </c>
      <c r="AB35" s="1198"/>
      <c r="AC35" s="1199"/>
      <c r="AD35" s="91" t="str">
        <f t="shared" si="5"/>
        <v/>
      </c>
      <c r="AE35" s="1200"/>
      <c r="AF35" s="128"/>
      <c r="AG35" s="1201">
        <v>1</v>
      </c>
      <c r="AH35" s="1813" t="str">
        <f>ROWS(AH30:AH35)&amp;" ►"</f>
        <v>6 ►</v>
      </c>
      <c r="AI35" s="1580"/>
      <c r="AJ35" s="95">
        <f>IF(AL36=0,0,(AL35/AL36)*AK29*1000)</f>
        <v>0</v>
      </c>
      <c r="AK35" s="105">
        <f>IF(AL36=0, 0, (AB35*AG35)/(AL36*AK29))</f>
        <v>0</v>
      </c>
      <c r="AL35" s="97" cm="1">
        <f t="array" ref="AL35">IFERROR(_xlfn.XLOOKUP(UPPER(TRIM(AF35)),UPPER(TRIM(AB37:AP37)),AB38:AP38,_xlfn.XLOOKUP(UPPER(TRIM(AF35)),UPPER(TRIM(AB39:AP39)),AB40:AP40,0))*AE35*IF(AB35&gt;0,AB35,1),0)</f>
        <v>0</v>
      </c>
      <c r="AM35" s="110">
        <f>IF(AO25&lt;&gt;0,AB35*AG35*AG25,0)</f>
        <v>0</v>
      </c>
      <c r="AN35" s="1748">
        <f t="shared" si="9"/>
        <v>0</v>
      </c>
      <c r="AO35" s="99">
        <f>IF(OR(ISBLANK(AO25),AO25=0),0,AL35*AG35*AG25)</f>
        <v>0</v>
      </c>
      <c r="AP35" s="1617" t="str">
        <f>IF(AF35="","",IF(COUNTIF(AI37:AP37,SUBSTITUTE(TRIM(AF35)," (s)",""))+COUNTIF(AI39:AP39,SUBSTITUTE(TRIM(AF35)," (s)",""))&gt;0,IF(ROUND(AO35,3)&gt;=1,ROUND(AO35,3)&amp;" L",MAX(1,ROUND(AO35*100,0))&amp;" cl"),IF(COUNTIF(AB37:AG37,SUBSTITUTE(TRIM(AF35)," (s)",""))+COUNTIF(AB39:AG39,SUBSTITUTE(TRIM(AF35)," (s)",""))&gt;0,IF(ROUND(AO35,3)&gt;=1,ROUND(AO35,3)&amp;" Kg",MAX(1,ROUND(AO35*1000,0))&amp;" g"),"")))</f>
        <v/>
      </c>
      <c r="AR35" s="25" t="s">
        <v>10</v>
      </c>
      <c r="AS35" s="31" t="str">
        <f>AS26</f>
        <v>N NOMBRE DE SU RECETA | pegue esto — FAMILIA| Auteur &gt; VOUS</v>
      </c>
      <c r="AT35" s="32">
        <f>AT26</f>
        <v>1</v>
      </c>
      <c r="AU35" s="31" t="str">
        <f>AU26</f>
        <v>coupe</v>
      </c>
      <c r="AV35" s="33" t="str">
        <f>AV26</f>
        <v>Receta madre ► MILLE-FEUILLE  aux fraises des bois</v>
      </c>
      <c r="AW35" s="1198"/>
      <c r="AX35" s="1199"/>
      <c r="AY35" s="91" t="str">
        <f t="shared" si="6"/>
        <v/>
      </c>
      <c r="AZ35" s="1200"/>
      <c r="BA35" s="128"/>
      <c r="BB35" s="1201">
        <v>1</v>
      </c>
      <c r="BC35" s="1813" t="str">
        <f>ROWS(BC30:BC35)&amp;" ►"</f>
        <v>6 ►</v>
      </c>
      <c r="BD35" s="1580"/>
      <c r="BE35" s="95">
        <f>IF(BG36=0,0,(BG35/BG36)*BF29*1000)</f>
        <v>0</v>
      </c>
      <c r="BF35" s="105">
        <f>IF(BG36=0, 0, (AW35*BB35)/(BG36*BF29))</f>
        <v>0</v>
      </c>
      <c r="BG35" s="97" cm="1">
        <f t="array" ref="BG35">IFERROR(_xlfn.XLOOKUP(UPPER(TRIM(BA35)),UPPER(TRIM(AW37:BK37)),AW38:BK38,_xlfn.XLOOKUP(UPPER(TRIM(BA35)),UPPER(TRIM(AW39:BK39)),AW40:BK40,0))*AZ35*IF(AW35&gt;0,AW35,1),0)</f>
        <v>0</v>
      </c>
      <c r="BH35" s="110">
        <f>IF(BJ25&lt;&gt;0,AW35*BB35*BB25,0)</f>
        <v>0</v>
      </c>
      <c r="BI35" s="1748">
        <f t="shared" si="11"/>
        <v>0</v>
      </c>
      <c r="BJ35" s="99">
        <f>IF(OR(ISBLANK(BJ25),BJ25=0),0,BG35*BB35*BB25)</f>
        <v>0</v>
      </c>
      <c r="BK35" s="1617" t="str">
        <f>IF(BA35="","",IF(COUNTIF(BD37:BK37,SUBSTITUTE(TRIM(BA35)," (s)",""))+COUNTIF(BD39:BK39,SUBSTITUTE(TRIM(BA35)," (s)",""))&gt;0,IF(ROUND(BJ35,3)&gt;=1,ROUND(BJ35,3)&amp;" L",MAX(1,ROUND(BJ35*100,0))&amp;" cl"),IF(COUNTIF(AW37:BB37,SUBSTITUTE(TRIM(BA35)," (s)",""))+COUNTIF(AW39:BB39,SUBSTITUTE(TRIM(BA35)," (s)",""))&gt;0,IF(ROUND(BJ35,3)&gt;=1,ROUND(BJ35,3)&amp;" Kg",MAX(1,ROUND(BJ35*1000,0))&amp;" g"),"")))</f>
        <v/>
      </c>
      <c r="BM35" s="3">
        <v>1</v>
      </c>
    </row>
    <row r="36" spans="2:65" ht="21" customHeight="1">
      <c r="B36" s="25" t="s">
        <v>10</v>
      </c>
      <c r="C36" s="31" t="str">
        <f>C26</f>
        <v>N NOM DE VOTRE RECETTE | collez la--FAMILLE| Auteur &gt; VOUS</v>
      </c>
      <c r="D36" s="32">
        <f>D26</f>
        <v>1</v>
      </c>
      <c r="E36" s="31" t="str">
        <f>E26</f>
        <v>coupe</v>
      </c>
      <c r="F36" s="33" t="str">
        <f>F26</f>
        <v>Recette mère ► MILLE-FEUILLE  aux fraises des bois</v>
      </c>
      <c r="G36" s="680" t="s">
        <v>8411</v>
      </c>
      <c r="H36" s="474"/>
      <c r="I36" s="474"/>
      <c r="J36" s="474"/>
      <c r="K36" s="474"/>
      <c r="L36" s="681"/>
      <c r="M36" s="681"/>
      <c r="N36" s="1984" t="s">
        <v>8652</v>
      </c>
      <c r="O36" s="682"/>
      <c r="P36" s="682"/>
      <c r="Q36" s="1197">
        <f>SUM(Q30:Q35)</f>
        <v>0</v>
      </c>
      <c r="R36" s="683"/>
      <c r="S36" s="683" t="str">
        <f>"Total " &amp; T27&amp;" &gt;"</f>
        <v>Total Col.19 &gt;</v>
      </c>
      <c r="T36" s="1835">
        <f>SUM(T30:T35)</f>
        <v>0</v>
      </c>
      <c r="U36" s="684"/>
      <c r="W36" s="25" t="s">
        <v>10</v>
      </c>
      <c r="X36" s="31" t="str">
        <f>X26</f>
        <v>N NAME OF YOUR RECIPE | paste it — FAMILY|  Author &gt; YOU</v>
      </c>
      <c r="Y36" s="32">
        <f>Y26</f>
        <v>1</v>
      </c>
      <c r="Z36" s="31" t="str">
        <f>Z26</f>
        <v>coupe</v>
      </c>
      <c r="AA36" s="33" t="str">
        <f>AA26</f>
        <v>Master recipe ► MILLE-FEUILLE  aux fraises des bois</v>
      </c>
      <c r="AB36" s="680" t="s">
        <v>8573</v>
      </c>
      <c r="AC36" s="474"/>
      <c r="AD36" s="474"/>
      <c r="AE36" s="474"/>
      <c r="AF36" s="474"/>
      <c r="AG36" s="681"/>
      <c r="AH36" s="681"/>
      <c r="AI36" s="1984" t="s">
        <v>8653</v>
      </c>
      <c r="AJ36" s="682"/>
      <c r="AK36" s="682"/>
      <c r="AL36" s="1197">
        <f>SUM(AL30:AL35)</f>
        <v>0</v>
      </c>
      <c r="AM36" s="683"/>
      <c r="AN36" s="683" t="str">
        <f>"Total " &amp; AO27&amp;" &gt;"</f>
        <v>Total Col.19 &gt;</v>
      </c>
      <c r="AO36" s="1835">
        <f>SUM(AO30:AO35)</f>
        <v>0</v>
      </c>
      <c r="AP36" s="684"/>
      <c r="AR36" s="25" t="s">
        <v>10</v>
      </c>
      <c r="AS36" s="31" t="str">
        <f>AS26</f>
        <v>N NOMBRE DE SU RECETA | pegue esto — FAMILIA| Auteur &gt; VOUS</v>
      </c>
      <c r="AT36" s="32">
        <f>AT26</f>
        <v>1</v>
      </c>
      <c r="AU36" s="31" t="str">
        <f>AU26</f>
        <v>coupe</v>
      </c>
      <c r="AV36" s="33" t="str">
        <f>AV26</f>
        <v>Receta madre ► MILLE-FEUILLE  aux fraises des bois</v>
      </c>
      <c r="AW36" s="680" t="s">
        <v>8574</v>
      </c>
      <c r="AX36" s="474"/>
      <c r="AY36" s="474"/>
      <c r="AZ36" s="474"/>
      <c r="BA36" s="474"/>
      <c r="BB36" s="681"/>
      <c r="BC36" s="681"/>
      <c r="BD36" s="1984" t="s">
        <v>8654</v>
      </c>
      <c r="BE36" s="682"/>
      <c r="BF36" s="682"/>
      <c r="BG36" s="1197">
        <f>SUM(BG30:BG35)</f>
        <v>0</v>
      </c>
      <c r="BH36" s="683"/>
      <c r="BI36" s="683" t="str">
        <f>"Total " &amp; BJ27&amp;" &gt;"</f>
        <v>Total Col.19 &gt;</v>
      </c>
      <c r="BJ36" s="1835">
        <f>SUM(BJ30:BJ35)</f>
        <v>0</v>
      </c>
      <c r="BK36" s="684"/>
      <c r="BM36" s="3">
        <v>1</v>
      </c>
    </row>
    <row r="37" spans="2:65" ht="21" customHeight="1">
      <c r="B37" s="25" t="s">
        <v>10</v>
      </c>
      <c r="C37" s="31" t="str">
        <f>C26</f>
        <v>N NOM DE VOTRE RECETTE | collez la--FAMILLE| Auteur &gt; VOUS</v>
      </c>
      <c r="D37" s="32">
        <f>D26</f>
        <v>1</v>
      </c>
      <c r="E37" s="31" t="str">
        <f>E26</f>
        <v>coupe</v>
      </c>
      <c r="F37" s="33" t="str">
        <f>F26</f>
        <v>Recette mère ► MILLE-FEUILLE  aux fraises des bois</v>
      </c>
      <c r="G37" s="142" t="s">
        <v>140</v>
      </c>
      <c r="H37" s="104" t="s">
        <v>100</v>
      </c>
      <c r="I37" s="143" t="s">
        <v>141</v>
      </c>
      <c r="J37" s="144" t="s">
        <v>142</v>
      </c>
      <c r="K37" s="118" t="s">
        <v>143</v>
      </c>
      <c r="L37" s="118" t="s">
        <v>109</v>
      </c>
      <c r="M37" s="143" t="s">
        <v>141</v>
      </c>
      <c r="N37" s="93" t="s">
        <v>0</v>
      </c>
      <c r="O37" s="93" t="s">
        <v>97</v>
      </c>
      <c r="P37" s="93" t="s">
        <v>144</v>
      </c>
      <c r="Q37" s="93" t="s">
        <v>145</v>
      </c>
      <c r="R37" s="109" t="s">
        <v>104</v>
      </c>
      <c r="S37" s="109" t="s">
        <v>359</v>
      </c>
      <c r="T37" s="335" t="s">
        <v>146</v>
      </c>
      <c r="U37" s="109" t="s">
        <v>147</v>
      </c>
      <c r="W37" s="25" t="s">
        <v>10</v>
      </c>
      <c r="X37" s="31" t="str">
        <f>X26</f>
        <v>N NAME OF YOUR RECIPE | paste it — FAMILY|  Author &gt; YOU</v>
      </c>
      <c r="Y37" s="32">
        <f>Y26</f>
        <v>1</v>
      </c>
      <c r="Z37" s="31" t="str">
        <f>Z26</f>
        <v>coupe</v>
      </c>
      <c r="AA37" s="33" t="str">
        <f>AA26</f>
        <v>Master recipe ► MILLE-FEUILLE  aux fraises des bois</v>
      </c>
      <c r="AB37" s="422" t="s">
        <v>140</v>
      </c>
      <c r="AC37" s="104" t="s">
        <v>100</v>
      </c>
      <c r="AD37" s="143" t="s">
        <v>1327</v>
      </c>
      <c r="AE37" s="118" t="s">
        <v>1320</v>
      </c>
      <c r="AF37" s="118" t="s">
        <v>1321</v>
      </c>
      <c r="AG37" s="118" t="s">
        <v>1322</v>
      </c>
      <c r="AH37" s="143" t="s">
        <v>141</v>
      </c>
      <c r="AI37" s="93" t="s">
        <v>0</v>
      </c>
      <c r="AJ37" s="93" t="s">
        <v>97</v>
      </c>
      <c r="AK37" s="93" t="s">
        <v>144</v>
      </c>
      <c r="AL37" s="93" t="s">
        <v>145</v>
      </c>
      <c r="AM37" s="109" t="s">
        <v>1341</v>
      </c>
      <c r="AN37" s="109" t="s">
        <v>1323</v>
      </c>
      <c r="AO37" s="109" t="s">
        <v>1324</v>
      </c>
      <c r="AP37" s="335" t="s">
        <v>1325</v>
      </c>
      <c r="AR37" s="25" t="s">
        <v>10</v>
      </c>
      <c r="AS37" s="31" t="str">
        <f>AS26</f>
        <v>N NOMBRE DE SU RECETA | pegue esto — FAMILIA| Auteur &gt; VOUS</v>
      </c>
      <c r="AT37" s="32">
        <f>AT26</f>
        <v>1</v>
      </c>
      <c r="AU37" s="31" t="str">
        <f>AU26</f>
        <v>coupe</v>
      </c>
      <c r="AV37" s="33" t="str">
        <f>AV26</f>
        <v>Receta madre ► MILLE-FEUILLE  aux fraises des bois</v>
      </c>
      <c r="AW37" s="422" t="s">
        <v>140</v>
      </c>
      <c r="AX37" s="104" t="s">
        <v>100</v>
      </c>
      <c r="AY37" s="143" t="s">
        <v>1309</v>
      </c>
      <c r="AZ37" s="118" t="s">
        <v>1301</v>
      </c>
      <c r="BA37" s="118" t="s">
        <v>1302</v>
      </c>
      <c r="BB37" s="118" t="s">
        <v>1303</v>
      </c>
      <c r="BC37" s="143" t="s">
        <v>141</v>
      </c>
      <c r="BD37" s="93" t="s">
        <v>0</v>
      </c>
      <c r="BE37" s="93" t="s">
        <v>97</v>
      </c>
      <c r="BF37" s="93" t="s">
        <v>144</v>
      </c>
      <c r="BG37" s="93" t="s">
        <v>145</v>
      </c>
      <c r="BH37" s="335" t="s">
        <v>1306</v>
      </c>
      <c r="BI37" s="2104" t="s">
        <v>1342</v>
      </c>
      <c r="BJ37" s="2104" t="s">
        <v>1305</v>
      </c>
      <c r="BK37" s="2104" t="s">
        <v>1306</v>
      </c>
      <c r="BM37" s="3">
        <v>1</v>
      </c>
    </row>
    <row r="38" spans="2:65" ht="21" customHeight="1">
      <c r="B38" s="25" t="s">
        <v>10</v>
      </c>
      <c r="C38" s="31" t="str">
        <f>C26</f>
        <v>N NOM DE VOTRE RECETTE | collez la--FAMILLE| Auteur &gt; VOUS</v>
      </c>
      <c r="D38" s="32">
        <f>D26</f>
        <v>1</v>
      </c>
      <c r="E38" s="31" t="str">
        <f>E26</f>
        <v>coupe</v>
      </c>
      <c r="F38" s="33" t="str">
        <f>F26</f>
        <v>Recette mère ► MILLE-FEUILLE  aux fraises des bois</v>
      </c>
      <c r="G38" s="685">
        <v>1</v>
      </c>
      <c r="H38" s="686">
        <v>1E-3</v>
      </c>
      <c r="I38" s="687">
        <v>0</v>
      </c>
      <c r="J38" s="686">
        <v>0.25</v>
      </c>
      <c r="K38" s="686">
        <v>0.33332999999999996</v>
      </c>
      <c r="L38" s="686">
        <v>0.5</v>
      </c>
      <c r="M38" s="687">
        <v>0</v>
      </c>
      <c r="N38" s="688">
        <v>1</v>
      </c>
      <c r="O38" s="688">
        <v>0.1</v>
      </c>
      <c r="P38" s="688">
        <v>0.01</v>
      </c>
      <c r="Q38" s="688">
        <v>1E-3</v>
      </c>
      <c r="R38" s="688">
        <v>0.5</v>
      </c>
      <c r="S38" s="688">
        <v>0.25</v>
      </c>
      <c r="T38" s="688">
        <v>0.33300000000000002</v>
      </c>
      <c r="U38" s="1756">
        <v>0.2</v>
      </c>
      <c r="W38" s="25" t="s">
        <v>10</v>
      </c>
      <c r="X38" s="31" t="str">
        <f>X26</f>
        <v>N NAME OF YOUR RECIPE | paste it — FAMILY|  Author &gt; YOU</v>
      </c>
      <c r="Y38" s="32">
        <f>Y26</f>
        <v>1</v>
      </c>
      <c r="Z38" s="31" t="str">
        <f>Z26</f>
        <v>coupe</v>
      </c>
      <c r="AA38" s="33" t="str">
        <f>AA26</f>
        <v>Master recipe ► MILLE-FEUILLE  aux fraises des bois</v>
      </c>
      <c r="AB38" s="685">
        <v>1</v>
      </c>
      <c r="AC38" s="686">
        <v>1E-3</v>
      </c>
      <c r="AD38" s="687">
        <v>0</v>
      </c>
      <c r="AE38" s="686">
        <v>0.25</v>
      </c>
      <c r="AF38" s="686">
        <v>0.33332999999999996</v>
      </c>
      <c r="AG38" s="686">
        <v>0.5</v>
      </c>
      <c r="AH38" s="687">
        <v>0</v>
      </c>
      <c r="AI38" s="688">
        <v>1</v>
      </c>
      <c r="AJ38" s="688">
        <v>0.1</v>
      </c>
      <c r="AK38" s="688">
        <v>0.01</v>
      </c>
      <c r="AL38" s="688">
        <v>1E-3</v>
      </c>
      <c r="AM38" s="688">
        <v>0.25</v>
      </c>
      <c r="AN38" s="688">
        <v>0.5</v>
      </c>
      <c r="AO38" s="688">
        <v>0.33300000000000002</v>
      </c>
      <c r="AP38" s="688">
        <v>0.2</v>
      </c>
      <c r="AR38" s="25" t="s">
        <v>10</v>
      </c>
      <c r="AS38" s="31" t="str">
        <f>AS26</f>
        <v>N NOMBRE DE SU RECETA | pegue esto — FAMILIA| Auteur &gt; VOUS</v>
      </c>
      <c r="AT38" s="32">
        <f>AT26</f>
        <v>1</v>
      </c>
      <c r="AU38" s="31" t="str">
        <f>AU26</f>
        <v>coupe</v>
      </c>
      <c r="AV38" s="33" t="str">
        <f>AV26</f>
        <v>Receta madre ► MILLE-FEUILLE  aux fraises des bois</v>
      </c>
      <c r="AW38" s="685">
        <v>1</v>
      </c>
      <c r="AX38" s="686">
        <v>1E-3</v>
      </c>
      <c r="AY38" s="687">
        <v>0</v>
      </c>
      <c r="AZ38" s="686">
        <v>0.25</v>
      </c>
      <c r="BA38" s="686">
        <v>0.33332999999999996</v>
      </c>
      <c r="BB38" s="686">
        <v>0.5</v>
      </c>
      <c r="BC38" s="687">
        <v>0</v>
      </c>
      <c r="BD38" s="688">
        <v>1</v>
      </c>
      <c r="BE38" s="688">
        <v>0.1</v>
      </c>
      <c r="BF38" s="688">
        <v>0.01</v>
      </c>
      <c r="BG38" s="688">
        <v>1E-3</v>
      </c>
      <c r="BH38" s="688">
        <v>0.2</v>
      </c>
      <c r="BI38" s="1882">
        <v>0.25</v>
      </c>
      <c r="BJ38" s="1882">
        <v>0.33300000000000002</v>
      </c>
      <c r="BK38" s="1882">
        <v>0.2</v>
      </c>
      <c r="BM38" s="3">
        <v>1</v>
      </c>
    </row>
    <row r="39" spans="2:65" ht="21" customHeight="1">
      <c r="B39" s="25" t="s">
        <v>10</v>
      </c>
      <c r="C39" s="31" t="str">
        <f>C26</f>
        <v>N NOM DE VOTRE RECETTE | collez la--FAMILLE| Auteur &gt; VOUS</v>
      </c>
      <c r="D39" s="32">
        <f>D26</f>
        <v>1</v>
      </c>
      <c r="E39" s="31" t="str">
        <f>E26</f>
        <v>coupe</v>
      </c>
      <c r="F39" s="33" t="str">
        <f>F26</f>
        <v>Recette mère ► MILLE-FEUILLE  aux fraises des bois</v>
      </c>
      <c r="G39" s="121" t="s">
        <v>155</v>
      </c>
      <c r="H39" s="121" t="s">
        <v>156</v>
      </c>
      <c r="I39" s="143" t="s">
        <v>141</v>
      </c>
      <c r="J39" s="121" t="s">
        <v>110</v>
      </c>
      <c r="K39" s="121" t="s">
        <v>157</v>
      </c>
      <c r="L39" s="121" t="s">
        <v>158</v>
      </c>
      <c r="M39" s="143" t="s">
        <v>141</v>
      </c>
      <c r="N39" s="125" t="s">
        <v>115</v>
      </c>
      <c r="O39" s="155" t="s">
        <v>159</v>
      </c>
      <c r="P39" s="155" t="s">
        <v>160</v>
      </c>
      <c r="Q39" s="109" t="s">
        <v>161</v>
      </c>
      <c r="R39" s="109" t="s">
        <v>162</v>
      </c>
      <c r="S39" s="109" t="s">
        <v>105</v>
      </c>
      <c r="T39" s="1758" t="s">
        <v>1689</v>
      </c>
      <c r="U39" s="697" t="s">
        <v>163</v>
      </c>
      <c r="W39" s="25" t="s">
        <v>10</v>
      </c>
      <c r="X39" s="31" t="str">
        <f>X26</f>
        <v>N NAME OF YOUR RECIPE | paste it — FAMILY|  Author &gt; YOU</v>
      </c>
      <c r="Y39" s="32">
        <f>Y26</f>
        <v>1</v>
      </c>
      <c r="Z39" s="31" t="str">
        <f>Z26</f>
        <v>coupe</v>
      </c>
      <c r="AA39" s="33" t="str">
        <f>AA26</f>
        <v>Master recipe ► MILLE-FEUILLE  aux fraises des bois</v>
      </c>
      <c r="AB39" s="121" t="s">
        <v>155</v>
      </c>
      <c r="AC39" s="121" t="s">
        <v>1326</v>
      </c>
      <c r="AD39" s="143" t="s">
        <v>1327</v>
      </c>
      <c r="AE39" s="121" t="s">
        <v>1328</v>
      </c>
      <c r="AF39" s="121" t="s">
        <v>1329</v>
      </c>
      <c r="AG39" s="121" t="s">
        <v>1343</v>
      </c>
      <c r="AH39" s="143" t="s">
        <v>141</v>
      </c>
      <c r="AI39" s="155" t="s">
        <v>1330</v>
      </c>
      <c r="AJ39" s="155" t="s">
        <v>1331</v>
      </c>
      <c r="AK39" s="155"/>
      <c r="AL39" s="155" t="s">
        <v>1332</v>
      </c>
      <c r="AM39" s="109" t="s">
        <v>1333</v>
      </c>
      <c r="AN39" s="109" t="s">
        <v>1334</v>
      </c>
      <c r="AO39" s="109" t="s">
        <v>1335</v>
      </c>
      <c r="AP39" s="697" t="s">
        <v>1689</v>
      </c>
      <c r="AR39" s="25" t="s">
        <v>10</v>
      </c>
      <c r="AS39" s="31" t="str">
        <f>AS26</f>
        <v>N NOMBRE DE SU RECETA | pegue esto — FAMILIA| Auteur &gt; VOUS</v>
      </c>
      <c r="AT39" s="32">
        <f>AT26</f>
        <v>1</v>
      </c>
      <c r="AU39" s="31" t="str">
        <f>AU26</f>
        <v>coupe</v>
      </c>
      <c r="AV39" s="33" t="str">
        <f>AV26</f>
        <v>Receta madre ► MILLE-FEUILLE  aux fraises des bois</v>
      </c>
      <c r="AW39" s="121" t="s">
        <v>1307</v>
      </c>
      <c r="AX39" s="121" t="s">
        <v>1308</v>
      </c>
      <c r="AY39" s="143" t="s">
        <v>1309</v>
      </c>
      <c r="AZ39" s="121" t="s">
        <v>1310</v>
      </c>
      <c r="BA39" s="121" t="s">
        <v>1311</v>
      </c>
      <c r="BB39" s="121" t="s">
        <v>1312</v>
      </c>
      <c r="BC39" s="143" t="s">
        <v>141</v>
      </c>
      <c r="BD39" s="125" t="s">
        <v>1313</v>
      </c>
      <c r="BE39" s="155" t="s">
        <v>1314</v>
      </c>
      <c r="BF39" s="155" t="s">
        <v>1315</v>
      </c>
      <c r="BG39" s="109" t="s">
        <v>1316</v>
      </c>
      <c r="BH39" s="109" t="s">
        <v>1317</v>
      </c>
      <c r="BI39" s="109" t="s">
        <v>1318</v>
      </c>
      <c r="BJ39" s="697" t="s">
        <v>1689</v>
      </c>
      <c r="BK39" s="697" t="s">
        <v>1319</v>
      </c>
      <c r="BM39" s="3">
        <v>1</v>
      </c>
    </row>
    <row r="40" spans="2:65" ht="21" customHeight="1">
      <c r="B40" s="25" t="s">
        <v>10</v>
      </c>
      <c r="C40" s="31" t="str">
        <f>C26</f>
        <v>N NOM DE VOTRE RECETTE | collez la--FAMILLE| Auteur &gt; VOUS</v>
      </c>
      <c r="D40" s="32">
        <f>D26</f>
        <v>1</v>
      </c>
      <c r="E40" s="31" t="str">
        <f>E26</f>
        <v>coupe</v>
      </c>
      <c r="F40" s="33" t="str">
        <f>F26</f>
        <v>Recette mère ► MILLE-FEUILLE  aux fraises des bois</v>
      </c>
      <c r="G40" s="685">
        <v>2.835E-2</v>
      </c>
      <c r="H40" s="686">
        <v>0.13</v>
      </c>
      <c r="I40" s="687">
        <v>0</v>
      </c>
      <c r="J40" s="686">
        <v>0.2</v>
      </c>
      <c r="K40" s="686">
        <v>0.23</v>
      </c>
      <c r="L40" s="686">
        <v>0.22500000000000001</v>
      </c>
      <c r="M40" s="687">
        <v>0</v>
      </c>
      <c r="N40" s="688">
        <v>0.35</v>
      </c>
      <c r="O40" s="688">
        <v>5.0000000000000001E-3</v>
      </c>
      <c r="P40" s="688">
        <v>5.0000000000000001E-3</v>
      </c>
      <c r="Q40" s="688">
        <v>1.4999999999999999E-2</v>
      </c>
      <c r="R40" s="688">
        <v>0.1</v>
      </c>
      <c r="S40" s="688">
        <v>0.22500000000000001</v>
      </c>
      <c r="T40" s="688">
        <v>4.0000000000000001E-3</v>
      </c>
      <c r="U40" s="1757">
        <v>1E-3</v>
      </c>
      <c r="W40" s="25" t="s">
        <v>10</v>
      </c>
      <c r="X40" s="31" t="str">
        <f>X26</f>
        <v>N NAME OF YOUR RECIPE | paste it — FAMILY|  Author &gt; YOU</v>
      </c>
      <c r="Y40" s="32">
        <f>Y26</f>
        <v>1</v>
      </c>
      <c r="Z40" s="31" t="str">
        <f>Z26</f>
        <v>coupe</v>
      </c>
      <c r="AA40" s="33" t="str">
        <f>AA26</f>
        <v>Master recipe ► MILLE-FEUILLE  aux fraises des bois</v>
      </c>
      <c r="AB40" s="690">
        <v>2.835E-2</v>
      </c>
      <c r="AC40" s="691">
        <v>0.13</v>
      </c>
      <c r="AD40" s="692">
        <v>0</v>
      </c>
      <c r="AE40" s="691">
        <v>0.2</v>
      </c>
      <c r="AF40" s="691">
        <v>0.23</v>
      </c>
      <c r="AG40" s="691">
        <v>0.22500000000000001</v>
      </c>
      <c r="AH40" s="687">
        <v>0</v>
      </c>
      <c r="AI40" s="688">
        <v>0.35</v>
      </c>
      <c r="AJ40" s="688">
        <v>5.0000000000000001E-3</v>
      </c>
      <c r="AK40" s="688"/>
      <c r="AL40" s="688">
        <v>5.0000000000000001E-3</v>
      </c>
      <c r="AM40" s="688">
        <v>1.4999999999999999E-2</v>
      </c>
      <c r="AN40" s="688">
        <v>0.1</v>
      </c>
      <c r="AO40" s="688">
        <v>0.22500000000000001</v>
      </c>
      <c r="AP40" s="688">
        <v>4.0000000000000001E-3</v>
      </c>
      <c r="AR40" s="25" t="s">
        <v>10</v>
      </c>
      <c r="AS40" s="31" t="str">
        <f>AS26</f>
        <v>N NOMBRE DE SU RECETA | pegue esto — FAMILIA| Auteur &gt; VOUS</v>
      </c>
      <c r="AT40" s="32">
        <f>AT26</f>
        <v>1</v>
      </c>
      <c r="AU40" s="31" t="str">
        <f>AU26</f>
        <v>coupe</v>
      </c>
      <c r="AV40" s="33" t="str">
        <f>AV26</f>
        <v>Receta madre ► MILLE-FEUILLE  aux fraises des bois</v>
      </c>
      <c r="AW40" s="690">
        <v>2.835E-2</v>
      </c>
      <c r="AX40" s="691">
        <v>0.13</v>
      </c>
      <c r="AY40" s="692">
        <v>0</v>
      </c>
      <c r="AZ40" s="691">
        <v>0.2</v>
      </c>
      <c r="BA40" s="691">
        <v>0.23</v>
      </c>
      <c r="BB40" s="691">
        <v>0.22500000000000001</v>
      </c>
      <c r="BC40" s="687">
        <v>0</v>
      </c>
      <c r="BD40" s="688">
        <v>0.35</v>
      </c>
      <c r="BE40" s="688">
        <v>5.0000000000000001E-3</v>
      </c>
      <c r="BF40" s="688">
        <v>5.0000000000000001E-3</v>
      </c>
      <c r="BG40" s="688">
        <v>1.4999999999999999E-2</v>
      </c>
      <c r="BH40" s="688">
        <v>0.1</v>
      </c>
      <c r="BI40" s="688">
        <v>0.22500000000000001</v>
      </c>
      <c r="BJ40" s="688">
        <v>4.0000000000000001E-3</v>
      </c>
      <c r="BK40" s="1757">
        <v>1E-3</v>
      </c>
      <c r="BM40" s="3">
        <v>1</v>
      </c>
    </row>
    <row r="41" spans="2:65" ht="21" customHeight="1">
      <c r="B41" s="25" t="s">
        <v>15</v>
      </c>
      <c r="C41" s="5563" t="str">
        <f t="shared" ref="C41:U41" si="13">SUBSTITUTE(ADDRESS(1,COLUMN(),4),"1","")</f>
        <v>C</v>
      </c>
      <c r="D41" s="5563" t="str">
        <f t="shared" si="13"/>
        <v>D</v>
      </c>
      <c r="E41" s="5563" t="str">
        <f t="shared" si="13"/>
        <v>E</v>
      </c>
      <c r="F41" s="5563" t="str">
        <f t="shared" si="13"/>
        <v>F</v>
      </c>
      <c r="G41" s="5563" t="str">
        <f t="shared" si="13"/>
        <v>G</v>
      </c>
      <c r="H41" s="5563" t="str">
        <f t="shared" si="13"/>
        <v>H</v>
      </c>
      <c r="I41" s="5563" t="str">
        <f t="shared" si="13"/>
        <v>I</v>
      </c>
      <c r="J41" s="5563" t="str">
        <f t="shared" si="13"/>
        <v>J</v>
      </c>
      <c r="K41" s="5563" t="str">
        <f t="shared" si="13"/>
        <v>K</v>
      </c>
      <c r="L41" s="5563" t="str">
        <f t="shared" si="13"/>
        <v>L</v>
      </c>
      <c r="M41" s="5603" t="str">
        <f t="shared" si="13"/>
        <v>M</v>
      </c>
      <c r="N41" s="5563" t="str">
        <f t="shared" si="13"/>
        <v>N</v>
      </c>
      <c r="O41" s="5563" t="str">
        <f t="shared" si="13"/>
        <v>O</v>
      </c>
      <c r="P41" s="5563" t="str">
        <f t="shared" si="13"/>
        <v>P</v>
      </c>
      <c r="Q41" s="5563" t="str">
        <f t="shared" si="13"/>
        <v>Q</v>
      </c>
      <c r="R41" s="6003" t="str">
        <f t="shared" si="13"/>
        <v>R</v>
      </c>
      <c r="S41" s="5563" t="str">
        <f t="shared" si="13"/>
        <v>S</v>
      </c>
      <c r="T41" s="5563" t="str">
        <f t="shared" si="13"/>
        <v>T</v>
      </c>
      <c r="U41" s="6002" t="str">
        <f t="shared" si="13"/>
        <v>U</v>
      </c>
      <c r="V41" s="6628" t="s">
        <v>8774</v>
      </c>
      <c r="W41" s="25" t="s">
        <v>15</v>
      </c>
      <c r="X41" s="5563" t="str">
        <f t="shared" ref="X41:AP41" si="14">SUBSTITUTE(ADDRESS(1,COLUMN(),4),"1","")</f>
        <v>X</v>
      </c>
      <c r="Y41" s="5563" t="str">
        <f t="shared" si="14"/>
        <v>Y</v>
      </c>
      <c r="Z41" s="5563" t="str">
        <f t="shared" si="14"/>
        <v>Z</v>
      </c>
      <c r="AA41" s="5563" t="str">
        <f t="shared" si="14"/>
        <v>AA</v>
      </c>
      <c r="AB41" s="5563" t="str">
        <f t="shared" si="14"/>
        <v>AB</v>
      </c>
      <c r="AC41" s="5563" t="str">
        <f t="shared" si="14"/>
        <v>AC</v>
      </c>
      <c r="AD41" s="5563" t="str">
        <f t="shared" si="14"/>
        <v>AD</v>
      </c>
      <c r="AE41" s="5563" t="str">
        <f t="shared" si="14"/>
        <v>AE</v>
      </c>
      <c r="AF41" s="5563" t="str">
        <f t="shared" si="14"/>
        <v>AF</v>
      </c>
      <c r="AG41" s="5563" t="str">
        <f t="shared" si="14"/>
        <v>AG</v>
      </c>
      <c r="AH41" s="5603" t="str">
        <f t="shared" si="14"/>
        <v>AH</v>
      </c>
      <c r="AI41" s="5563" t="str">
        <f t="shared" si="14"/>
        <v>AI</v>
      </c>
      <c r="AJ41" s="5563" t="str">
        <f t="shared" si="14"/>
        <v>AJ</v>
      </c>
      <c r="AK41" s="5563" t="str">
        <f t="shared" si="14"/>
        <v>AK</v>
      </c>
      <c r="AL41" s="5563" t="str">
        <f t="shared" si="14"/>
        <v>AL</v>
      </c>
      <c r="AM41" s="6003" t="str">
        <f t="shared" si="14"/>
        <v>AM</v>
      </c>
      <c r="AN41" s="5563" t="str">
        <f t="shared" si="14"/>
        <v>AN</v>
      </c>
      <c r="AO41" s="5563" t="str">
        <f t="shared" si="14"/>
        <v>AO</v>
      </c>
      <c r="AP41" s="6002" t="str">
        <f t="shared" si="14"/>
        <v>AP</v>
      </c>
      <c r="AQ41" s="6628" t="s">
        <v>8775</v>
      </c>
      <c r="AR41" s="25" t="s">
        <v>15</v>
      </c>
      <c r="AS41" s="5563" t="str">
        <f t="shared" ref="AS41:BK41" si="15">SUBSTITUTE(ADDRESS(1,COLUMN(),4),"1","")</f>
        <v>AS</v>
      </c>
      <c r="AT41" s="5563" t="str">
        <f t="shared" si="15"/>
        <v>AT</v>
      </c>
      <c r="AU41" s="5563" t="str">
        <f t="shared" si="15"/>
        <v>AU</v>
      </c>
      <c r="AV41" s="5563" t="str">
        <f t="shared" si="15"/>
        <v>AV</v>
      </c>
      <c r="AW41" s="5563" t="str">
        <f t="shared" si="15"/>
        <v>AW</v>
      </c>
      <c r="AX41" s="5563" t="str">
        <f t="shared" si="15"/>
        <v>AX</v>
      </c>
      <c r="AY41" s="5563" t="str">
        <f t="shared" si="15"/>
        <v>AY</v>
      </c>
      <c r="AZ41" s="5563" t="str">
        <f t="shared" si="15"/>
        <v>AZ</v>
      </c>
      <c r="BA41" s="5563" t="str">
        <f t="shared" si="15"/>
        <v>BA</v>
      </c>
      <c r="BB41" s="5563" t="str">
        <f t="shared" si="15"/>
        <v>BB</v>
      </c>
      <c r="BC41" s="5603" t="str">
        <f t="shared" si="15"/>
        <v>BC</v>
      </c>
      <c r="BD41" s="5563" t="str">
        <f t="shared" si="15"/>
        <v>BD</v>
      </c>
      <c r="BE41" s="5563" t="str">
        <f t="shared" si="15"/>
        <v>BE</v>
      </c>
      <c r="BF41" s="5563" t="str">
        <f t="shared" si="15"/>
        <v>BF</v>
      </c>
      <c r="BG41" s="5563" t="str">
        <f t="shared" si="15"/>
        <v>BG</v>
      </c>
      <c r="BH41" s="6003" t="str">
        <f t="shared" si="15"/>
        <v>BH</v>
      </c>
      <c r="BI41" s="5563" t="str">
        <f t="shared" si="15"/>
        <v>BI</v>
      </c>
      <c r="BJ41" s="5563" t="str">
        <f t="shared" si="15"/>
        <v>BJ</v>
      </c>
      <c r="BK41" s="6002" t="str">
        <f t="shared" si="15"/>
        <v>BK</v>
      </c>
      <c r="BL41" s="6628" t="s">
        <v>8776</v>
      </c>
      <c r="BM41" s="3">
        <v>1</v>
      </c>
    </row>
    <row r="42" spans="2:65" ht="21" customHeight="1">
      <c r="B42" s="25" t="s">
        <v>10</v>
      </c>
      <c r="C42" s="5601">
        <f t="shared" ref="C42:U42" ca="1" si="16">CELL("largeur",C42)</f>
        <v>3</v>
      </c>
      <c r="D42" s="5601">
        <f t="shared" ca="1" si="16"/>
        <v>3</v>
      </c>
      <c r="E42" s="5601">
        <f t="shared" ca="1" si="16"/>
        <v>3</v>
      </c>
      <c r="F42" s="5601">
        <f t="shared" ca="1" si="16"/>
        <v>5</v>
      </c>
      <c r="G42" s="5601">
        <f t="shared" ca="1" si="16"/>
        <v>12</v>
      </c>
      <c r="H42" s="5601">
        <f t="shared" ca="1" si="16"/>
        <v>12</v>
      </c>
      <c r="I42" s="5601">
        <f t="shared" ca="1" si="16"/>
        <v>3</v>
      </c>
      <c r="J42" s="5601">
        <f t="shared" ca="1" si="16"/>
        <v>9</v>
      </c>
      <c r="K42" s="5601">
        <f t="shared" ca="1" si="16"/>
        <v>12</v>
      </c>
      <c r="L42" s="5601">
        <f t="shared" ca="1" si="16"/>
        <v>13</v>
      </c>
      <c r="M42" s="5604">
        <f t="shared" ca="1" si="16"/>
        <v>6</v>
      </c>
      <c r="N42" s="5602">
        <f t="shared" ca="1" si="16"/>
        <v>40</v>
      </c>
      <c r="O42" s="5602">
        <f t="shared" ca="1" si="16"/>
        <v>10</v>
      </c>
      <c r="P42" s="5602">
        <f t="shared" ca="1" si="16"/>
        <v>9</v>
      </c>
      <c r="Q42" s="5602">
        <f t="shared" ca="1" si="16"/>
        <v>18</v>
      </c>
      <c r="R42" s="5604">
        <f t="shared" ca="1" si="16"/>
        <v>13</v>
      </c>
      <c r="S42" s="5602">
        <f t="shared" ca="1" si="16"/>
        <v>13</v>
      </c>
      <c r="T42" s="5602">
        <f t="shared" ca="1" si="16"/>
        <v>13</v>
      </c>
      <c r="U42" s="6001">
        <f t="shared" ca="1" si="16"/>
        <v>17</v>
      </c>
      <c r="V42" s="6628"/>
      <c r="W42" s="25" t="s">
        <v>10</v>
      </c>
      <c r="X42" s="5601">
        <f t="shared" ref="X42:AP42" ca="1" si="17">CELL("largeur",X42)</f>
        <v>3</v>
      </c>
      <c r="Y42" s="5601">
        <f t="shared" ca="1" si="17"/>
        <v>3</v>
      </c>
      <c r="Z42" s="5601">
        <f t="shared" ca="1" si="17"/>
        <v>3</v>
      </c>
      <c r="AA42" s="5601">
        <f t="shared" ca="1" si="17"/>
        <v>5</v>
      </c>
      <c r="AB42" s="5601">
        <f t="shared" ca="1" si="17"/>
        <v>12</v>
      </c>
      <c r="AC42" s="5601">
        <f t="shared" ca="1" si="17"/>
        <v>12</v>
      </c>
      <c r="AD42" s="5601">
        <f t="shared" ca="1" si="17"/>
        <v>3</v>
      </c>
      <c r="AE42" s="5601">
        <f t="shared" ca="1" si="17"/>
        <v>9</v>
      </c>
      <c r="AF42" s="5601">
        <f t="shared" ca="1" si="17"/>
        <v>12</v>
      </c>
      <c r="AG42" s="5601">
        <f t="shared" ca="1" si="17"/>
        <v>13</v>
      </c>
      <c r="AH42" s="5604">
        <f t="shared" ca="1" si="17"/>
        <v>6</v>
      </c>
      <c r="AI42" s="5602">
        <f t="shared" ca="1" si="17"/>
        <v>40</v>
      </c>
      <c r="AJ42" s="5602">
        <f t="shared" ca="1" si="17"/>
        <v>10</v>
      </c>
      <c r="AK42" s="5602">
        <f t="shared" ca="1" si="17"/>
        <v>9</v>
      </c>
      <c r="AL42" s="5602">
        <f t="shared" ca="1" si="17"/>
        <v>18</v>
      </c>
      <c r="AM42" s="5604">
        <f t="shared" ca="1" si="17"/>
        <v>13</v>
      </c>
      <c r="AN42" s="5602">
        <f t="shared" ca="1" si="17"/>
        <v>13</v>
      </c>
      <c r="AO42" s="5602">
        <f t="shared" ca="1" si="17"/>
        <v>13</v>
      </c>
      <c r="AP42" s="6001">
        <f t="shared" ca="1" si="17"/>
        <v>17</v>
      </c>
      <c r="AQ42" s="6628"/>
      <c r="AR42" s="25" t="s">
        <v>10</v>
      </c>
      <c r="AS42" s="5601">
        <f t="shared" ref="AS42:BK42" ca="1" si="18">CELL("largeur",AS42)</f>
        <v>3</v>
      </c>
      <c r="AT42" s="5601">
        <f t="shared" ca="1" si="18"/>
        <v>3</v>
      </c>
      <c r="AU42" s="5601">
        <f t="shared" ca="1" si="18"/>
        <v>3</v>
      </c>
      <c r="AV42" s="5601">
        <f t="shared" ca="1" si="18"/>
        <v>5</v>
      </c>
      <c r="AW42" s="5601">
        <f t="shared" ca="1" si="18"/>
        <v>12</v>
      </c>
      <c r="AX42" s="5601">
        <f t="shared" ca="1" si="18"/>
        <v>12</v>
      </c>
      <c r="AY42" s="5601">
        <f t="shared" ca="1" si="18"/>
        <v>3</v>
      </c>
      <c r="AZ42" s="5601">
        <f t="shared" ca="1" si="18"/>
        <v>9</v>
      </c>
      <c r="BA42" s="5601">
        <f t="shared" ca="1" si="18"/>
        <v>12</v>
      </c>
      <c r="BB42" s="5601">
        <f t="shared" ca="1" si="18"/>
        <v>13</v>
      </c>
      <c r="BC42" s="5604">
        <f t="shared" ca="1" si="18"/>
        <v>6</v>
      </c>
      <c r="BD42" s="5602">
        <f t="shared" ca="1" si="18"/>
        <v>40</v>
      </c>
      <c r="BE42" s="5602">
        <f t="shared" ca="1" si="18"/>
        <v>10</v>
      </c>
      <c r="BF42" s="5602">
        <f t="shared" ca="1" si="18"/>
        <v>9</v>
      </c>
      <c r="BG42" s="5602">
        <f t="shared" ca="1" si="18"/>
        <v>18</v>
      </c>
      <c r="BH42" s="5604">
        <f t="shared" ca="1" si="18"/>
        <v>13</v>
      </c>
      <c r="BI42" s="5602">
        <f t="shared" ca="1" si="18"/>
        <v>13</v>
      </c>
      <c r="BJ42" s="5602">
        <f t="shared" ca="1" si="18"/>
        <v>13</v>
      </c>
      <c r="BK42" s="6001">
        <f t="shared" ca="1" si="18"/>
        <v>17</v>
      </c>
      <c r="BL42" s="6628"/>
      <c r="BM42" s="3">
        <v>1</v>
      </c>
    </row>
    <row r="43" spans="2:65" ht="21" customHeight="1">
      <c r="B43" s="162" t="s">
        <v>10</v>
      </c>
      <c r="C43" s="1370" t="str">
        <f>C26</f>
        <v>N NOM DE VOTRE RECETTE | collez la--FAMILLE| Auteur &gt; VOUS</v>
      </c>
      <c r="D43" s="1348">
        <f>D26</f>
        <v>1</v>
      </c>
      <c r="E43" s="1349" t="str">
        <f>E26</f>
        <v>coupe</v>
      </c>
      <c r="F43" s="1350" t="str">
        <f>F26</f>
        <v>Recette mère ► MILLE-FEUILLE  aux fraises des bois</v>
      </c>
      <c r="G43" s="6039" t="str">
        <f ca="1">"Phases de progression largeur &gt; "&amp;SUM(M42:U42)</f>
        <v>Phases de progression largeur &gt; 139</v>
      </c>
      <c r="H43" s="6038"/>
      <c r="I43" s="1986"/>
      <c r="J43" s="1986"/>
      <c r="K43" s="1986"/>
      <c r="L43" s="1987" t="s">
        <v>8145</v>
      </c>
      <c r="M43" s="1988" t="s">
        <v>821</v>
      </c>
      <c r="N43" s="1941"/>
      <c r="O43" s="5999" t="str">
        <f ca="1">"largeur mini  = "&amp;SUM(M42:R42)</f>
        <v>largeur mini  = 96</v>
      </c>
      <c r="P43" s="6000" t="str">
        <f ca="1">"largeur maxi  = "&amp;SUM(M42:U42)</f>
        <v>largeur maxi  = 139</v>
      </c>
      <c r="Q43" s="1942"/>
      <c r="R43" s="1942"/>
      <c r="S43" s="1989"/>
      <c r="T43" s="1989"/>
      <c r="U43" s="1990" t="s">
        <v>218</v>
      </c>
      <c r="W43" s="162" t="s">
        <v>10</v>
      </c>
      <c r="X43" s="1370" t="str">
        <f>X26</f>
        <v>N NAME OF YOUR RECIPE | paste it — FAMILY|  Author &gt; YOU</v>
      </c>
      <c r="Y43" s="1348">
        <f>Y26</f>
        <v>1</v>
      </c>
      <c r="Z43" s="1349" t="str">
        <f>Z26</f>
        <v>coupe</v>
      </c>
      <c r="AA43" s="1350" t="str">
        <f>AA26</f>
        <v>Master recipe ► MILLE-FEUILLE  aux fraises des bois</v>
      </c>
      <c r="AB43" s="6039" t="str">
        <f ca="1">"Phases of progression Width &gt; "&amp;SUM(AH42:AP42)</f>
        <v>Phases of progression Width &gt; 139</v>
      </c>
      <c r="AC43" s="6038"/>
      <c r="AD43" s="1986"/>
      <c r="AE43" s="1986"/>
      <c r="AF43" s="1986"/>
      <c r="AG43" s="1987" t="s">
        <v>8216</v>
      </c>
      <c r="AH43" s="1988" t="s">
        <v>860</v>
      </c>
      <c r="AI43" s="1941"/>
      <c r="AJ43" s="5999" t="str">
        <f ca="1">"minimum width  = "&amp;SUM(AH42:AM42)</f>
        <v>minimum width  = 96</v>
      </c>
      <c r="AK43" s="6000" t="str">
        <f ca="1">"maximum width  = "&amp;SUM(AH42:AP42)</f>
        <v>maximum width  = 139</v>
      </c>
      <c r="AL43" s="1942"/>
      <c r="AM43" s="1942"/>
      <c r="AN43" s="1989"/>
      <c r="AO43" s="1989"/>
      <c r="AP43" s="1990" t="s">
        <v>1399</v>
      </c>
      <c r="AR43" s="162" t="s">
        <v>10</v>
      </c>
      <c r="AS43" s="1370" t="str">
        <f>AS26</f>
        <v>N NOMBRE DE SU RECETA | pegue esto — FAMILIA| Auteur &gt; VOUS</v>
      </c>
      <c r="AT43" s="1348">
        <f>AT26</f>
        <v>1</v>
      </c>
      <c r="AU43" s="1349" t="str">
        <f>AU26</f>
        <v>coupe</v>
      </c>
      <c r="AV43" s="1350" t="str">
        <f>AV26</f>
        <v>Receta madre ► MILLE-FEUILLE  aux fraises des bois</v>
      </c>
      <c r="AW43" s="5991" t="s">
        <v>14245</v>
      </c>
      <c r="AX43" s="5992">
        <f ca="1">SUM(BC42:BJ42)</f>
        <v>122</v>
      </c>
      <c r="AY43" s="1986"/>
      <c r="AZ43" s="1986"/>
      <c r="BA43" s="1986"/>
      <c r="BB43" s="1987" t="s">
        <v>8217</v>
      </c>
      <c r="BC43" s="5605" t="s">
        <v>874</v>
      </c>
      <c r="BD43" s="1941"/>
      <c r="BE43" s="5999" t="str">
        <f ca="1">"anchura mínima  = "&amp;SUM(BC42:BH42)</f>
        <v>anchura mínima  = 96</v>
      </c>
      <c r="BF43" s="6000" t="str">
        <f ca="1">"anchura máxima  = "&amp;SUM(BC42:BK42)</f>
        <v>anchura máxima  = 139</v>
      </c>
      <c r="BG43" s="1942"/>
      <c r="BH43" s="1942"/>
      <c r="BI43" s="1989"/>
      <c r="BJ43" s="1989"/>
      <c r="BK43" s="1990" t="s">
        <v>726</v>
      </c>
      <c r="BM43" s="3">
        <v>1</v>
      </c>
    </row>
    <row r="44" spans="2:65" ht="21" customHeight="1">
      <c r="B44" s="162" t="s">
        <v>10</v>
      </c>
      <c r="C44" s="163" t="str">
        <f>C26</f>
        <v>N NOM DE VOTRE RECETTE | collez la--FAMILLE| Auteur &gt; VOUS</v>
      </c>
      <c r="D44" s="163">
        <f>D26</f>
        <v>1</v>
      </c>
      <c r="E44" s="164" t="str">
        <f>E26</f>
        <v>coupe</v>
      </c>
      <c r="F44" s="165" t="str">
        <f>F26</f>
        <v>Recette mère ► MILLE-FEUILLE  aux fraises des bois</v>
      </c>
      <c r="G44" s="508"/>
      <c r="H44" s="508"/>
      <c r="I44" s="2063"/>
      <c r="J44" s="2064" t="s">
        <v>8860</v>
      </c>
      <c r="K44" s="2065">
        <f ca="1">SUM(M42:U42)</f>
        <v>139</v>
      </c>
      <c r="L44" s="1374">
        <v>0</v>
      </c>
      <c r="M44" s="1375" t="s">
        <v>8146</v>
      </c>
      <c r="N44" s="1810"/>
      <c r="O44" s="1810"/>
      <c r="P44" s="1810"/>
      <c r="Q44" s="1810"/>
      <c r="R44" s="1810"/>
      <c r="S44" s="9"/>
      <c r="T44" s="5993" t="s">
        <v>164</v>
      </c>
      <c r="U44" s="1330" t="s">
        <v>165</v>
      </c>
      <c r="W44" s="162" t="s">
        <v>10</v>
      </c>
      <c r="X44" s="163" t="str">
        <f>X26</f>
        <v>N NAME OF YOUR RECIPE | paste it — FAMILY|  Author &gt; YOU</v>
      </c>
      <c r="Y44" s="163">
        <f>Y26</f>
        <v>1</v>
      </c>
      <c r="Z44" s="164" t="str">
        <f>Z26</f>
        <v>coupe</v>
      </c>
      <c r="AA44" s="165" t="str">
        <f>AA26</f>
        <v>Master recipe ► MILLE-FEUILLE  aux fraises des bois</v>
      </c>
      <c r="AB44" s="508"/>
      <c r="AC44" s="508"/>
      <c r="AD44" s="2063"/>
      <c r="AE44" s="2064" t="s">
        <v>8862</v>
      </c>
      <c r="AF44" s="2065">
        <f ca="1">SUM(AH42:AP42)</f>
        <v>139</v>
      </c>
      <c r="AG44" s="1374">
        <v>0</v>
      </c>
      <c r="AH44" s="1375" t="s">
        <v>8194</v>
      </c>
      <c r="AI44" s="1810"/>
      <c r="AJ44" s="1810"/>
      <c r="AK44" s="1810"/>
      <c r="AL44" s="1810"/>
      <c r="AM44" s="1810"/>
      <c r="AN44" s="9"/>
      <c r="AO44" s="5993" t="s">
        <v>859</v>
      </c>
      <c r="AP44" s="1330" t="s">
        <v>165</v>
      </c>
      <c r="AR44" s="162" t="s">
        <v>10</v>
      </c>
      <c r="AS44" s="163" t="str">
        <f>AS26</f>
        <v>N NOMBRE DE SU RECETA | pegue esto — FAMILIA| Auteur &gt; VOUS</v>
      </c>
      <c r="AT44" s="163">
        <f>AT26</f>
        <v>1</v>
      </c>
      <c r="AU44" s="164" t="str">
        <f>AU26</f>
        <v>coupe</v>
      </c>
      <c r="AV44" s="165" t="str">
        <f>AV26</f>
        <v>Receta madre ► MILLE-FEUILLE  aux fraises des bois</v>
      </c>
      <c r="AW44" s="508"/>
      <c r="AX44" s="508"/>
      <c r="AY44" s="2063"/>
      <c r="AZ44" s="2127" t="s">
        <v>8861</v>
      </c>
      <c r="BA44" s="2065">
        <f ca="1">SUM(BC42:BK42)</f>
        <v>139</v>
      </c>
      <c r="BB44" s="1374">
        <v>0</v>
      </c>
      <c r="BC44" s="1375" t="s">
        <v>8193</v>
      </c>
      <c r="BD44" s="1810"/>
      <c r="BE44" s="1810"/>
      <c r="BF44" s="1810"/>
      <c r="BG44" s="1810"/>
      <c r="BH44" s="9"/>
      <c r="BI44" s="9"/>
      <c r="BJ44" s="5993" t="s">
        <v>873</v>
      </c>
      <c r="BK44" s="1330" t="s">
        <v>165</v>
      </c>
      <c r="BM44" s="3">
        <v>1</v>
      </c>
    </row>
    <row r="45" spans="2:65" ht="21" customHeight="1">
      <c r="B45" s="162" t="s">
        <v>10</v>
      </c>
      <c r="C45" s="163" t="str">
        <f>C26</f>
        <v>N NOM DE VOTRE RECETTE | collez la--FAMILLE| Auteur &gt; VOUS</v>
      </c>
      <c r="D45" s="163">
        <f>D26</f>
        <v>1</v>
      </c>
      <c r="E45" s="164" t="str">
        <f>E26</f>
        <v>coupe</v>
      </c>
      <c r="F45" s="165" t="str">
        <f>F26</f>
        <v>Recette mère ► MILLE-FEUILLE  aux fraises des bois</v>
      </c>
      <c r="G45" s="1548"/>
      <c r="H45" s="2189" t="s">
        <v>8771</v>
      </c>
      <c r="I45" s="2190">
        <f>ROWS(M45:M45)</f>
        <v>1</v>
      </c>
      <c r="J45" s="5549" t="str" cm="1">
        <f t="array" ref="J45">IF(SUMPRODUCT((M45:R45&lt;&gt;"")*1)=0,"",SUMPRODUCT((M45:R45&lt;&gt;"")*(LEN(TRIM(SUBSTITUTE(M45:R45,CHAR(160)," "))) - LEN(SUBSTITUTE(TRIM(SUBSTITUTE(M45:R45,CHAR(160)," "))," ","")) + 1)) &amp; " mot" &amp; IF(SUMPRODUCT((M45:R45&lt;&gt;"")*(LEN(TRIM(SUBSTITUTE(M45:R45,CHAR(160)," "))) - LEN(SUBSTITUTE(TRIM(SUBSTITUTE(M45:R45,CHAR(160)," "))," ","")) + 1))&gt;1,"s",""))</f>
        <v>7 mots</v>
      </c>
      <c r="K45" s="5550" t="str" cm="1">
        <f t="array" ref="K45">SUMPRODUCT(--(M45:R45&lt;&gt;""), LEN(TRIM(SUBSTITUTE(M45:R45, CHAR(160), "")))) &amp; " Car."</f>
        <v>30 Car.</v>
      </c>
      <c r="L45" s="1376" t="str">
        <f>IF(ISBLANK(M45),"",LARGE(L44:L44,1)+1)</f>
        <v/>
      </c>
      <c r="M45" s="1810"/>
      <c r="N45" s="1810" t="s">
        <v>8410</v>
      </c>
      <c r="O45" s="1810"/>
      <c r="P45" s="1810"/>
      <c r="Q45" s="1810"/>
      <c r="R45" s="1810"/>
      <c r="S45" s="9"/>
      <c r="T45" s="5993" t="s">
        <v>167</v>
      </c>
      <c r="U45" s="1330" t="s">
        <v>165</v>
      </c>
      <c r="W45" s="162" t="s">
        <v>10</v>
      </c>
      <c r="X45" s="163" t="str">
        <f>X26</f>
        <v>N NAME OF YOUR RECIPE | paste it — FAMILY|  Author &gt; YOU</v>
      </c>
      <c r="Y45" s="163">
        <f>Y26</f>
        <v>1</v>
      </c>
      <c r="Z45" s="164" t="str">
        <f>Z26</f>
        <v>coupe</v>
      </c>
      <c r="AA45" s="165" t="str">
        <f>AA26</f>
        <v>Master recipe ► MILLE-FEUILLE  aux fraises des bois</v>
      </c>
      <c r="AB45" s="1548"/>
      <c r="AC45" s="2189" t="s">
        <v>8772</v>
      </c>
      <c r="AD45" s="2190">
        <f>ROWS(AH45:AH45)</f>
        <v>1</v>
      </c>
      <c r="AE45" s="5549" t="str" cm="1">
        <f t="array" ref="AE45">IF(SUMPRODUCT((AH45:AM45&lt;&gt;"")*1)=0,"",SUMPRODUCT((AH45:AM45&lt;&gt;"")*(LEN(TRIM(SUBSTITUTE(AH45:AM45,CHAR(160)," "))) - LEN(SUBSTITUTE(TRIM(SUBSTITUTE(AH45:AM45,CHAR(160)," "))," ","")) + 1)) &amp; " word" &amp; IF(SUMPRODUCT((AH45:AM45&lt;&gt;"")*(LEN(TRIM(SUBSTITUTE(AH45:AM45,CHAR(160)," "))) - LEN(SUBSTITUTE(TRIM(SUBSTITUTE(AH45:AM45,CHAR(160)," "))," ","")) + 1))&gt;1,"s",""))</f>
        <v>8 words</v>
      </c>
      <c r="AF45" s="5550" t="str" cm="1">
        <f t="array" ref="AF45">SUMPRODUCT(--(AH45:AM45&lt;&gt;""), LEN(TRIM(SUBSTITUTE(AH45:AM45, CHAR(160), "")))) &amp; " Car."</f>
        <v>38 Car.</v>
      </c>
      <c r="AG45" s="1376" t="str">
        <f>IF(ISBLANK(AH45),"",LARGE(AG44:AG44,1)+1)</f>
        <v/>
      </c>
      <c r="AH45" s="1810"/>
      <c r="AI45" s="1810" t="s">
        <v>8580</v>
      </c>
      <c r="AJ45" s="1810"/>
      <c r="AK45" s="1810"/>
      <c r="AL45" s="1810"/>
      <c r="AM45" s="1810"/>
      <c r="AN45" s="9"/>
      <c r="AO45" s="5993" t="s">
        <v>861</v>
      </c>
      <c r="AP45" s="1330" t="s">
        <v>165</v>
      </c>
      <c r="AR45" s="162" t="s">
        <v>10</v>
      </c>
      <c r="AS45" s="163" t="str">
        <f>AS26</f>
        <v>N NOMBRE DE SU RECETA | pegue esto — FAMILIA| Auteur &gt; VOUS</v>
      </c>
      <c r="AT45" s="163">
        <f>AT26</f>
        <v>1</v>
      </c>
      <c r="AU45" s="164" t="str">
        <f>AU26</f>
        <v>coupe</v>
      </c>
      <c r="AV45" s="165" t="str">
        <f>AV26</f>
        <v>Receta madre ► MILLE-FEUILLE  aux fraises des bois</v>
      </c>
      <c r="AW45" s="1548"/>
      <c r="AX45" s="2189" t="s">
        <v>8773</v>
      </c>
      <c r="AY45" s="2190">
        <f>ROWS(BC45:BC45)</f>
        <v>1</v>
      </c>
      <c r="AZ45" s="5549" t="str" cm="1">
        <f t="array" ref="AZ45">IF(SUMPRODUCT((BC45:BH45&lt;&gt;"")*1)=0,"",SUMPRODUCT((BC45:BH45&lt;&gt;"")*(LEN(TRIM(SUBSTITUTE(BC45:BH45,CHAR(160)," "))) - LEN(SUBSTITUTE(TRIM(SUBSTITUTE(BC45:BH45,CHAR(160)," "))," ","")) + 1)) &amp; " palabra" &amp; IF(SUMPRODUCT((BC45:BH45&lt;&gt;"")*(LEN(TRIM(SUBSTITUTE(BC45:BH45,CHAR(160)," "))) - LEN(SUBSTITUTE(TRIM(SUBSTITUTE(BC45:BH45,CHAR(160)," "))," ","")) + 1))&gt;1,"s",""))</f>
        <v>7 palabras</v>
      </c>
      <c r="BA45" s="5550" t="str" cm="1">
        <f t="array" ref="BA45">SUMPRODUCT(--(BC45:BH45&lt;&gt;""), LEN(TRIM(SUBSTITUTE(BC45:BH45, CHAR(160), "")))) &amp; " Car."</f>
        <v>33 Car.</v>
      </c>
      <c r="BB45" s="1376" t="str">
        <f>IF(ISBLANK(BC45),"",LARGE(BB44:BB44,1)+1)</f>
        <v/>
      </c>
      <c r="BC45" s="1810"/>
      <c r="BD45" s="1810" t="s">
        <v>8585</v>
      </c>
      <c r="BE45" s="1810"/>
      <c r="BF45" s="1810"/>
      <c r="BG45" s="1810"/>
      <c r="BH45" s="1810"/>
      <c r="BI45" s="9"/>
      <c r="BJ45" s="5993" t="s">
        <v>875</v>
      </c>
      <c r="BK45" s="1330" t="s">
        <v>165</v>
      </c>
      <c r="BM45" s="3">
        <v>1</v>
      </c>
    </row>
    <row r="46" spans="2:65" ht="21" customHeight="1">
      <c r="B46" s="162" t="s">
        <v>10</v>
      </c>
      <c r="C46" s="163" t="str">
        <f>C26</f>
        <v>N NOM DE VOTRE RECETTE | collez la--FAMILLE| Auteur &gt; VOUS</v>
      </c>
      <c r="D46" s="163">
        <f>D26</f>
        <v>1</v>
      </c>
      <c r="E46" s="164" t="str">
        <f>E26</f>
        <v>coupe</v>
      </c>
      <c r="F46" s="165" t="str">
        <f>F26</f>
        <v>Recette mère ► MILLE-FEUILLE  aux fraises des bois</v>
      </c>
      <c r="G46" s="1548"/>
      <c r="H46" s="1548"/>
      <c r="I46" s="2190">
        <f>ROWS(M45:M46)</f>
        <v>2</v>
      </c>
      <c r="J46" s="5549" t="str" cm="1">
        <f t="array" ref="J46">IF(SUMPRODUCT((M46:R46&lt;&gt;"")*1)=0,"",SUMPRODUCT((M46:R46&lt;&gt;"")*(LEN(TRIM(SUBSTITUTE(M46:R46,CHAR(160)," "))) - LEN(SUBSTITUTE(TRIM(SUBSTITUTE(M46:R46,CHAR(160)," "))," ","")) + 1)) &amp; " mot" &amp; IF(SUMPRODUCT((M46:R46&lt;&gt;"")*(LEN(TRIM(SUBSTITUTE(M46:R46,CHAR(160)," "))) - LEN(SUBSTITUTE(TRIM(SUBSTITUTE(M46:R46,CHAR(160)," "))," ","")) + 1))&gt;1,"s",""))</f>
        <v>6 mots</v>
      </c>
      <c r="K46" s="5550" t="str" cm="1">
        <f t="array" ref="K46">SUMPRODUCT(--(M46:R46&lt;&gt;""), LEN(TRIM(SUBSTITUTE(M46:R46, CHAR(160), "")))) &amp; " Car."</f>
        <v>33 Car.</v>
      </c>
      <c r="L46" s="1376" t="str">
        <f>IF(ISBLANK(M46),"",LARGE(L44:L45,1)+1)</f>
        <v/>
      </c>
      <c r="M46" s="1810"/>
      <c r="N46" s="1810" t="s">
        <v>8408</v>
      </c>
      <c r="O46" s="1810"/>
      <c r="P46" s="1810"/>
      <c r="Q46" s="1810"/>
      <c r="R46" s="1810"/>
      <c r="S46" s="1810"/>
      <c r="T46" s="5994" t="s">
        <v>171</v>
      </c>
      <c r="U46" s="5564">
        <v>3.472222222222222E-3</v>
      </c>
      <c r="W46" s="162" t="s">
        <v>10</v>
      </c>
      <c r="X46" s="163" t="str">
        <f>X26</f>
        <v>N NAME OF YOUR RECIPE | paste it — FAMILY|  Author &gt; YOU</v>
      </c>
      <c r="Y46" s="163">
        <f>Y26</f>
        <v>1</v>
      </c>
      <c r="Z46" s="164" t="str">
        <f>Z26</f>
        <v>coupe</v>
      </c>
      <c r="AA46" s="165" t="str">
        <f>AA26</f>
        <v>Master recipe ► MILLE-FEUILLE  aux fraises des bois</v>
      </c>
      <c r="AB46" s="1548"/>
      <c r="AC46" s="1548"/>
      <c r="AD46" s="2190">
        <f>ROWS(AH45:AH46)</f>
        <v>2</v>
      </c>
      <c r="AE46" s="5549" t="str" cm="1">
        <f t="array" ref="AE46">IF(SUMPRODUCT((AH46:AM46&lt;&gt;"")*1)=0,"",SUMPRODUCT((AH46:AM46&lt;&gt;"")*(LEN(TRIM(SUBSTITUTE(AH46:AM46,CHAR(160)," "))) - LEN(SUBSTITUTE(TRIM(SUBSTITUTE(AH46:AM46,CHAR(160)," "))," ","")) + 1)) &amp; " word" &amp; IF(SUMPRODUCT((AH46:AM46&lt;&gt;"")*(LEN(TRIM(SUBSTITUTE(AH46:AM46,CHAR(160)," "))) - LEN(SUBSTITUTE(TRIM(SUBSTITUTE(AH46:AM46,CHAR(160)," "))," ","")) + 1))&gt;1,"s",""))</f>
        <v>6 words</v>
      </c>
      <c r="AF46" s="5550" t="str" cm="1">
        <f t="array" ref="AF46">SUMPRODUCT(--(AH46:AM46&lt;&gt;""), LEN(TRIM(SUBSTITUTE(AH46:AM46, CHAR(160), "")))) &amp; " Car."</f>
        <v>28 Car.</v>
      </c>
      <c r="AG46" s="1376" t="str">
        <f>IF(ISBLANK(AH46),"",LARGE(AG44:AG45,1)+1)</f>
        <v/>
      </c>
      <c r="AH46" s="1810"/>
      <c r="AI46" s="1810" t="s">
        <v>8581</v>
      </c>
      <c r="AJ46" s="1810"/>
      <c r="AK46" s="1810"/>
      <c r="AL46" s="1810"/>
      <c r="AM46" s="1810"/>
      <c r="AN46" s="1810"/>
      <c r="AO46" s="5994" t="s">
        <v>14172</v>
      </c>
      <c r="AP46" s="5564">
        <v>3.472222222222222E-3</v>
      </c>
      <c r="AR46" s="162" t="s">
        <v>10</v>
      </c>
      <c r="AS46" s="163" t="str">
        <f>AS26</f>
        <v>N NOMBRE DE SU RECETA | pegue esto — FAMILIA| Auteur &gt; VOUS</v>
      </c>
      <c r="AT46" s="163">
        <f>AT26</f>
        <v>1</v>
      </c>
      <c r="AU46" s="164" t="str">
        <f>AU26</f>
        <v>coupe</v>
      </c>
      <c r="AV46" s="165" t="str">
        <f>AV26</f>
        <v>Receta madre ► MILLE-FEUILLE  aux fraises des bois</v>
      </c>
      <c r="AW46" s="1548"/>
      <c r="AX46" s="1548"/>
      <c r="AY46" s="2190">
        <f>ROWS(BC45:BC46)</f>
        <v>2</v>
      </c>
      <c r="AZ46" s="5549" t="str" cm="1">
        <f t="array" ref="AZ46">IF(SUMPRODUCT((BC46:BH46&lt;&gt;"")*1)=0,"",SUMPRODUCT((BC46:BH46&lt;&gt;"")*(LEN(TRIM(SUBSTITUTE(BC46:BH46,CHAR(160)," "))) - LEN(SUBSTITUTE(TRIM(SUBSTITUTE(BC46:BH46,CHAR(160)," "))," ","")) + 1)) &amp; " palabra" &amp; IF(SUMPRODUCT((BC46:BH46&lt;&gt;"")*(LEN(TRIM(SUBSTITUTE(BC46:BH46,CHAR(160)," "))) - LEN(SUBSTITUTE(TRIM(SUBSTITUTE(BC46:BH46,CHAR(160)," "))," ","")) + 1))&gt;1,"s",""))</f>
        <v>6 palabras</v>
      </c>
      <c r="BA46" s="5550" t="str" cm="1">
        <f t="array" ref="BA46">SUMPRODUCT(--(BC46:BH46&lt;&gt;""), LEN(TRIM(SUBSTITUTE(BC46:BH46, CHAR(160), "")))) &amp; " Car."</f>
        <v>32 Car.</v>
      </c>
      <c r="BB46" s="1376" t="str">
        <f>IF(ISBLANK(BC46),"",LARGE(BB44:BB45,1)+1)</f>
        <v/>
      </c>
      <c r="BC46" s="1810"/>
      <c r="BD46" s="1810" t="s">
        <v>8586</v>
      </c>
      <c r="BE46" s="1810"/>
      <c r="BF46" s="1810"/>
      <c r="BG46" s="1810"/>
      <c r="BH46" s="1810"/>
      <c r="BI46" s="1810"/>
      <c r="BJ46" s="5994" t="s">
        <v>651</v>
      </c>
      <c r="BK46" s="5564">
        <v>3.472222222222222E-3</v>
      </c>
      <c r="BM46" s="3">
        <v>1</v>
      </c>
    </row>
    <row r="47" spans="2:65" ht="21" customHeight="1">
      <c r="B47" s="162" t="s">
        <v>10</v>
      </c>
      <c r="C47" s="163" t="str">
        <f>C26</f>
        <v>N NOM DE VOTRE RECETTE | collez la--FAMILLE| Auteur &gt; VOUS</v>
      </c>
      <c r="D47" s="163">
        <f>D26</f>
        <v>1</v>
      </c>
      <c r="E47" s="164" t="str">
        <f>E26</f>
        <v>coupe</v>
      </c>
      <c r="F47" s="165" t="str">
        <f>F26</f>
        <v>Recette mère ► MILLE-FEUILLE  aux fraises des bois</v>
      </c>
      <c r="G47" s="1548"/>
      <c r="H47" s="1548"/>
      <c r="I47" s="2190">
        <f>ROWS(M45:M47)</f>
        <v>3</v>
      </c>
      <c r="J47" s="5549" t="str" cm="1">
        <f t="array" ref="J47">IF(SUMPRODUCT((M47:R47&lt;&gt;"")*1)=0,"",SUMPRODUCT((M47:R47&lt;&gt;"")*(LEN(TRIM(SUBSTITUTE(M47:R47,CHAR(160)," "))) - LEN(SUBSTITUTE(TRIM(SUBSTITUTE(M47:R47,CHAR(160)," "))," ","")) + 1)) &amp; " mot" &amp; IF(SUMPRODUCT((M47:R47&lt;&gt;"")*(LEN(TRIM(SUBSTITUTE(M47:R47,CHAR(160)," "))) - LEN(SUBSTITUTE(TRIM(SUBSTITUTE(M47:R47,CHAR(160)," "))," ","")) + 1))&gt;1,"s",""))</f>
        <v>3 mots</v>
      </c>
      <c r="K47" s="5550" t="str" cm="1">
        <f t="array" ref="K47">SUMPRODUCT(--(M47:R47&lt;&gt;""), LEN(TRIM(SUBSTITUTE(M47:R47, CHAR(160), "")))) &amp; " Car."</f>
        <v>23 Car.</v>
      </c>
      <c r="L47" s="1376" t="str">
        <f>IF(ISBLANK(M47),"",LARGE(L44:L46,1)+1)</f>
        <v/>
      </c>
      <c r="M47" s="1810"/>
      <c r="N47" s="1810" t="s">
        <v>8409</v>
      </c>
      <c r="O47" s="1810"/>
      <c r="P47" s="1810"/>
      <c r="Q47" s="1810"/>
      <c r="R47" s="1810"/>
      <c r="S47" s="1810"/>
      <c r="T47" s="5994" t="s">
        <v>173</v>
      </c>
      <c r="U47" s="5565">
        <v>1.0416666666666666E-2</v>
      </c>
      <c r="W47" s="162" t="s">
        <v>10</v>
      </c>
      <c r="X47" s="163" t="str">
        <f>X26</f>
        <v>N NAME OF YOUR RECIPE | paste it — FAMILY|  Author &gt; YOU</v>
      </c>
      <c r="Y47" s="163">
        <f>Y26</f>
        <v>1</v>
      </c>
      <c r="Z47" s="164" t="str">
        <f>Z26</f>
        <v>coupe</v>
      </c>
      <c r="AA47" s="165" t="str">
        <f>AA26</f>
        <v>Master recipe ► MILLE-FEUILLE  aux fraises des bois</v>
      </c>
      <c r="AB47" s="1548"/>
      <c r="AC47" s="1548"/>
      <c r="AD47" s="2190">
        <f>ROWS(AH45:AH47)</f>
        <v>3</v>
      </c>
      <c r="AE47" s="5549" t="str" cm="1">
        <f t="array" ref="AE47">IF(SUMPRODUCT((AH47:AM47&lt;&gt;"")*1)=0,"",SUMPRODUCT((AH47:AM47&lt;&gt;"")*(LEN(TRIM(SUBSTITUTE(AH47:AM47,CHAR(160)," "))) - LEN(SUBSTITUTE(TRIM(SUBSTITUTE(AH47:AM47,CHAR(160)," "))," ","")) + 1)) &amp; " word" &amp; IF(SUMPRODUCT((AH47:AM47&lt;&gt;"")*(LEN(TRIM(SUBSTITUTE(AH47:AM47,CHAR(160)," "))) - LEN(SUBSTITUTE(TRIM(SUBSTITUTE(AH47:AM47,CHAR(160)," "))," ","")) + 1))&gt;1,"s",""))</f>
        <v>7 words</v>
      </c>
      <c r="AF47" s="5550" t="str" cm="1">
        <f t="array" ref="AF47">SUMPRODUCT(--(AH47:AM47&lt;&gt;""), LEN(TRIM(SUBSTITUTE(AH47:AM47, CHAR(160), "")))) &amp; " Car."</f>
        <v>22 Car.</v>
      </c>
      <c r="AG47" s="1376" t="str">
        <f>IF(ISBLANK(AH47),"",LARGE(AG44:AG46,1)+1)</f>
        <v/>
      </c>
      <c r="AH47" s="1810"/>
      <c r="AI47" s="1810" t="s">
        <v>8582</v>
      </c>
      <c r="AJ47" s="1810"/>
      <c r="AK47" s="1810"/>
      <c r="AL47" s="1810"/>
      <c r="AM47" s="1810"/>
      <c r="AN47" s="1810"/>
      <c r="AO47" s="5994" t="s">
        <v>655</v>
      </c>
      <c r="AP47" s="5565">
        <v>1.0416666666666666E-2</v>
      </c>
      <c r="AR47" s="162" t="s">
        <v>10</v>
      </c>
      <c r="AS47" s="163" t="str">
        <f>AS26</f>
        <v>N NOMBRE DE SU RECETA | pegue esto — FAMILIA| Auteur &gt; VOUS</v>
      </c>
      <c r="AT47" s="163">
        <f>AT26</f>
        <v>1</v>
      </c>
      <c r="AU47" s="164" t="str">
        <f>AU26</f>
        <v>coupe</v>
      </c>
      <c r="AV47" s="165" t="str">
        <f>AV26</f>
        <v>Receta madre ► MILLE-FEUILLE  aux fraises des bois</v>
      </c>
      <c r="AW47" s="1548"/>
      <c r="AX47" s="1548"/>
      <c r="AY47" s="2190">
        <f>ROWS(BC45:BC47)</f>
        <v>3</v>
      </c>
      <c r="AZ47" s="5549" t="str" cm="1">
        <f t="array" ref="AZ47">IF(SUMPRODUCT((BC47:BH47&lt;&gt;"")*1)=0,"",SUMPRODUCT((BC47:BH47&lt;&gt;"")*(LEN(TRIM(SUBSTITUTE(BC47:BH47,CHAR(160)," "))) - LEN(SUBSTITUTE(TRIM(SUBSTITUTE(BC47:BH47,CHAR(160)," "))," ","")) + 1)) &amp; " palabra" &amp; IF(SUMPRODUCT((BC47:BH47&lt;&gt;"")*(LEN(TRIM(SUBSTITUTE(BC47:BH47,CHAR(160)," "))) - LEN(SUBSTITUTE(TRIM(SUBSTITUTE(BC47:BH47,CHAR(160)," "))," ","")) + 1))&gt;1,"s",""))</f>
        <v>7 palabras</v>
      </c>
      <c r="BA47" s="5550" t="str" cm="1">
        <f t="array" ref="BA47">SUMPRODUCT(--(BC47:BH47&lt;&gt;""), LEN(TRIM(SUBSTITUTE(BC47:BH47, CHAR(160), "")))) &amp; " Car."</f>
        <v>25 Car.</v>
      </c>
      <c r="BB47" s="1376" t="str">
        <f>IF(ISBLANK(BC47),"",LARGE(BB44:BB46,1)+1)</f>
        <v/>
      </c>
      <c r="BC47" s="1810"/>
      <c r="BD47" s="1810" t="s">
        <v>8587</v>
      </c>
      <c r="BE47" s="1810"/>
      <c r="BF47" s="1810"/>
      <c r="BG47" s="1810"/>
      <c r="BH47" s="1810"/>
      <c r="BI47" s="1810"/>
      <c r="BJ47" s="5994" t="s">
        <v>656</v>
      </c>
      <c r="BK47" s="5565">
        <v>1.0416666666666666E-2</v>
      </c>
      <c r="BM47" s="3">
        <v>1</v>
      </c>
    </row>
    <row r="48" spans="2:65" ht="21" customHeight="1">
      <c r="B48" s="162" t="s">
        <v>10</v>
      </c>
      <c r="C48" s="163" t="str">
        <f>C26</f>
        <v>N NOM DE VOTRE RECETTE | collez la--FAMILLE| Auteur &gt; VOUS</v>
      </c>
      <c r="D48" s="163">
        <f>D26</f>
        <v>1</v>
      </c>
      <c r="E48" s="164" t="str">
        <f>E26</f>
        <v>coupe</v>
      </c>
      <c r="F48" s="165" t="str">
        <f>F26</f>
        <v>Recette mère ► MILLE-FEUILLE  aux fraises des bois</v>
      </c>
      <c r="G48" s="1548"/>
      <c r="H48" s="1548"/>
      <c r="I48" s="2190">
        <f>ROWS(M45:M48)</f>
        <v>4</v>
      </c>
      <c r="J48" s="5549" t="str" cm="1">
        <f t="array" ref="J48">IF(SUMPRODUCT((M48:R48&lt;&gt;"")*1)=0,"",SUMPRODUCT((M48:R48&lt;&gt;"")*(LEN(TRIM(SUBSTITUTE(M48:R48,CHAR(160)," "))) - LEN(SUBSTITUTE(TRIM(SUBSTITUTE(M48:R48,CHAR(160)," "))," ","")) + 1)) &amp; " mot" &amp; IF(SUMPRODUCT((M48:R48&lt;&gt;"")*(LEN(TRIM(SUBSTITUTE(M48:R48,CHAR(160)," "))) - LEN(SUBSTITUTE(TRIM(SUBSTITUTE(M48:R48,CHAR(160)," "))," ","")) + 1))&gt;1,"s",""))</f>
        <v/>
      </c>
      <c r="K48" s="5550" t="str" cm="1">
        <f t="array" ref="K48">SUMPRODUCT(--(M48:R48&lt;&gt;""), LEN(TRIM(SUBSTITUTE(M48:R48, CHAR(160), "")))) &amp; " Car."</f>
        <v>0 Car.</v>
      </c>
      <c r="L48" s="1376" t="str">
        <f>IF(ISBLANK(M48),"",LARGE(L44:L47,1)+1)</f>
        <v/>
      </c>
      <c r="M48" s="1810"/>
      <c r="N48" s="1833"/>
      <c r="O48" s="1810"/>
      <c r="P48" s="1810"/>
      <c r="Q48" s="1810"/>
      <c r="R48" s="1810"/>
      <c r="S48" s="1810"/>
      <c r="T48" s="5994" t="s">
        <v>181</v>
      </c>
      <c r="U48" s="178">
        <v>2.0833333333333332E-2</v>
      </c>
      <c r="W48" s="162" t="s">
        <v>10</v>
      </c>
      <c r="X48" s="163" t="str">
        <f>X26</f>
        <v>N NAME OF YOUR RECIPE | paste it — FAMILY|  Author &gt; YOU</v>
      </c>
      <c r="Y48" s="163">
        <f>Y26</f>
        <v>1</v>
      </c>
      <c r="Z48" s="164" t="str">
        <f>Z26</f>
        <v>coupe</v>
      </c>
      <c r="AA48" s="165" t="str">
        <f>AA26</f>
        <v>Master recipe ► MILLE-FEUILLE  aux fraises des bois</v>
      </c>
      <c r="AB48" s="1548"/>
      <c r="AC48" s="1548"/>
      <c r="AD48" s="2190">
        <f>ROWS(AH45:AH48)</f>
        <v>4</v>
      </c>
      <c r="AE48" s="5549" t="str" cm="1">
        <f t="array" ref="AE48">IF(SUMPRODUCT((AH48:AM48&lt;&gt;"")*1)=0,"",SUMPRODUCT((AH48:AM48&lt;&gt;"")*(LEN(TRIM(SUBSTITUTE(AH48:AM48,CHAR(160)," "))) - LEN(SUBSTITUTE(TRIM(SUBSTITUTE(AH48:AM48,CHAR(160)," "))," ","")) + 1)) &amp; " word" &amp; IF(SUMPRODUCT((AH48:AM48&lt;&gt;"")*(LEN(TRIM(SUBSTITUTE(AH48:AM48,CHAR(160)," "))) - LEN(SUBSTITUTE(TRIM(SUBSTITUTE(AH48:AM48,CHAR(160)," "))," ","")) + 1))&gt;1,"s",""))</f>
        <v/>
      </c>
      <c r="AF48" s="5550" t="str" cm="1">
        <f t="array" ref="AF48">SUMPRODUCT(--(AH48:AM48&lt;&gt;""), LEN(TRIM(SUBSTITUTE(AH48:AM48, CHAR(160), "")))) &amp; " Car."</f>
        <v>0 Car.</v>
      </c>
      <c r="AG48" s="1376" t="str">
        <f>IF(ISBLANK(AH48),"",LARGE(AG44:AG47,1)+1)</f>
        <v/>
      </c>
      <c r="AH48" s="1810"/>
      <c r="AI48" s="1833"/>
      <c r="AJ48" s="1810"/>
      <c r="AK48" s="1810"/>
      <c r="AL48" s="1810"/>
      <c r="AM48" s="1810"/>
      <c r="AN48" s="1810"/>
      <c r="AO48" s="5994" t="s">
        <v>657</v>
      </c>
      <c r="AP48" s="178">
        <v>2.0833333333333332E-2</v>
      </c>
      <c r="AR48" s="162" t="s">
        <v>10</v>
      </c>
      <c r="AS48" s="163" t="str">
        <f>AS26</f>
        <v>N NOMBRE DE SU RECETA | pegue esto — FAMILIA| Auteur &gt; VOUS</v>
      </c>
      <c r="AT48" s="163">
        <f>AT26</f>
        <v>1</v>
      </c>
      <c r="AU48" s="164" t="str">
        <f>AU26</f>
        <v>coupe</v>
      </c>
      <c r="AV48" s="165" t="str">
        <f>AV26</f>
        <v>Receta madre ► MILLE-FEUILLE  aux fraises des bois</v>
      </c>
      <c r="AW48" s="1548"/>
      <c r="AX48" s="1548"/>
      <c r="AY48" s="2190">
        <f>ROWS(BC45:BC48)</f>
        <v>4</v>
      </c>
      <c r="AZ48" s="5549" t="str" cm="1">
        <f t="array" ref="AZ48">IF(SUMPRODUCT((BC48:BH48&lt;&gt;"")*1)=0,"",SUMPRODUCT((BC48:BH48&lt;&gt;"")*(LEN(TRIM(SUBSTITUTE(BC48:BH48,CHAR(160)," "))) - LEN(SUBSTITUTE(TRIM(SUBSTITUTE(BC48:BH48,CHAR(160)," "))," ","")) + 1)) &amp; " palabra" &amp; IF(SUMPRODUCT((BC48:BH48&lt;&gt;"")*(LEN(TRIM(SUBSTITUTE(BC48:BH48,CHAR(160)," "))) - LEN(SUBSTITUTE(TRIM(SUBSTITUTE(BC48:BH48,CHAR(160)," "))," ","")) + 1))&gt;1,"s",""))</f>
        <v/>
      </c>
      <c r="BA48" s="5550" t="str" cm="1">
        <f t="array" ref="BA48">SUMPRODUCT(--(BC48:BH48&lt;&gt;""), LEN(TRIM(SUBSTITUTE(BC48:BH48, CHAR(160), "")))) &amp; " Car."</f>
        <v>0 Car.</v>
      </c>
      <c r="BB48" s="1376" t="str">
        <f>IF(ISBLANK(BC48),"",LARGE(BB44:BB47,1)+1)</f>
        <v/>
      </c>
      <c r="BC48" s="1810"/>
      <c r="BD48" s="1833"/>
      <c r="BE48" s="1810"/>
      <c r="BF48" s="1810"/>
      <c r="BG48" s="1810"/>
      <c r="BH48" s="1810"/>
      <c r="BI48" s="1810"/>
      <c r="BJ48" s="5994" t="s">
        <v>877</v>
      </c>
      <c r="BK48" s="178">
        <v>2.0833333333333332E-2</v>
      </c>
      <c r="BM48" s="3">
        <v>1</v>
      </c>
    </row>
    <row r="49" spans="2:65" ht="21" customHeight="1">
      <c r="B49" s="162" t="s">
        <v>10</v>
      </c>
      <c r="C49" s="163" t="str">
        <f>C26</f>
        <v>N NOM DE VOTRE RECETTE | collez la--FAMILLE| Auteur &gt; VOUS</v>
      </c>
      <c r="D49" s="163">
        <f>D26</f>
        <v>1</v>
      </c>
      <c r="E49" s="164" t="str">
        <f>E26</f>
        <v>coupe</v>
      </c>
      <c r="F49" s="165" t="str">
        <f>F26</f>
        <v>Recette mère ► MILLE-FEUILLE  aux fraises des bois</v>
      </c>
      <c r="G49" s="1548"/>
      <c r="H49" s="1548"/>
      <c r="I49" s="2190">
        <f>ROWS(M45:M49)</f>
        <v>5</v>
      </c>
      <c r="J49" s="5549" t="str" cm="1">
        <f t="array" ref="J49">IF(SUMPRODUCT((M49:R49&lt;&gt;"")*1)=0,"",SUMPRODUCT((M49:R49&lt;&gt;"")*(LEN(TRIM(SUBSTITUTE(M49:R49,CHAR(160)," "))) - LEN(SUBSTITUTE(TRIM(SUBSTITUTE(M49:R49,CHAR(160)," "))," ","")) + 1)) &amp; " mot" &amp; IF(SUMPRODUCT((M49:R49&lt;&gt;"")*(LEN(TRIM(SUBSTITUTE(M49:R49,CHAR(160)," "))) - LEN(SUBSTITUTE(TRIM(SUBSTITUTE(M49:R49,CHAR(160)," "))," ","")) + 1))&gt;1,"s",""))</f>
        <v/>
      </c>
      <c r="K49" s="5550" t="str" cm="1">
        <f t="array" ref="K49">SUMPRODUCT(--(M49:R49&lt;&gt;""), LEN(TRIM(SUBSTITUTE(M49:R49, CHAR(160), "")))) &amp; " Car."</f>
        <v>0 Car.</v>
      </c>
      <c r="L49" s="1376" t="str">
        <f>IF(ISBLANK(M49),"",LARGE(L44:L48,1)+1)</f>
        <v/>
      </c>
      <c r="M49" s="1810"/>
      <c r="N49" s="1810"/>
      <c r="O49" s="1810"/>
      <c r="P49" s="1810"/>
      <c r="Q49" s="1810"/>
      <c r="R49" s="1810"/>
      <c r="S49" s="1810"/>
      <c r="T49" s="179" t="s">
        <v>182</v>
      </c>
      <c r="U49" s="180">
        <f>U46+U47+U48</f>
        <v>3.4722222222222224E-2</v>
      </c>
      <c r="W49" s="162" t="s">
        <v>10</v>
      </c>
      <c r="X49" s="163" t="str">
        <f>X26</f>
        <v>N NAME OF YOUR RECIPE | paste it — FAMILY|  Author &gt; YOU</v>
      </c>
      <c r="Y49" s="163">
        <f>Y26</f>
        <v>1</v>
      </c>
      <c r="Z49" s="164" t="str">
        <f>Z26</f>
        <v>coupe</v>
      </c>
      <c r="AA49" s="165" t="str">
        <f>AA26</f>
        <v>Master recipe ► MILLE-FEUILLE  aux fraises des bois</v>
      </c>
      <c r="AB49" s="1548"/>
      <c r="AC49" s="1548"/>
      <c r="AD49" s="2190">
        <f>ROWS(AH45:AH49)</f>
        <v>5</v>
      </c>
      <c r="AE49" s="5549" t="str" cm="1">
        <f t="array" ref="AE49">IF(SUMPRODUCT((AH49:AM49&lt;&gt;"")*1)=0,"",SUMPRODUCT((AH49:AM49&lt;&gt;"")*(LEN(TRIM(SUBSTITUTE(AH49:AM49,CHAR(160)," "))) - LEN(SUBSTITUTE(TRIM(SUBSTITUTE(AH49:AM49,CHAR(160)," "))," ","")) + 1)) &amp; " word" &amp; IF(SUMPRODUCT((AH49:AM49&lt;&gt;"")*(LEN(TRIM(SUBSTITUTE(AH49:AM49,CHAR(160)," "))) - LEN(SUBSTITUTE(TRIM(SUBSTITUTE(AH49:AM49,CHAR(160)," "))," ","")) + 1))&gt;1,"s",""))</f>
        <v/>
      </c>
      <c r="AF49" s="5550" t="str" cm="1">
        <f t="array" ref="AF49">SUMPRODUCT(--(AH49:AM49&lt;&gt;""), LEN(TRIM(SUBSTITUTE(AH49:AM49, CHAR(160), "")))) &amp; " Car."</f>
        <v>0 Car.</v>
      </c>
      <c r="AG49" s="1376" t="str">
        <f>IF(ISBLANK(AH49),"",LARGE(AG44:AG48,1)+1)</f>
        <v/>
      </c>
      <c r="AH49" s="1810"/>
      <c r="AI49" s="1810"/>
      <c r="AJ49" s="1810"/>
      <c r="AK49" s="1810"/>
      <c r="AL49" s="1810"/>
      <c r="AM49" s="1810"/>
      <c r="AN49" s="1810"/>
      <c r="AO49" s="179" t="s">
        <v>182</v>
      </c>
      <c r="AP49" s="180">
        <f>AP46+AP47+AP48</f>
        <v>3.4722222222222224E-2</v>
      </c>
      <c r="AR49" s="162" t="s">
        <v>10</v>
      </c>
      <c r="AS49" s="163" t="str">
        <f>AS26</f>
        <v>N NOMBRE DE SU RECETA | pegue esto — FAMILIA| Auteur &gt; VOUS</v>
      </c>
      <c r="AT49" s="163">
        <f>AT26</f>
        <v>1</v>
      </c>
      <c r="AU49" s="164" t="str">
        <f>AU26</f>
        <v>coupe</v>
      </c>
      <c r="AV49" s="165" t="str">
        <f>AV26</f>
        <v>Receta madre ► MILLE-FEUILLE  aux fraises des bois</v>
      </c>
      <c r="AW49" s="1548"/>
      <c r="AX49" s="1548"/>
      <c r="AY49" s="2190">
        <f>ROWS(BC45:BC49)</f>
        <v>5</v>
      </c>
      <c r="AZ49" s="5549" t="str" cm="1">
        <f t="array" ref="AZ49">IF(SUMPRODUCT((BC49:BH49&lt;&gt;"")*1)=0,"",SUMPRODUCT((BC49:BH49&lt;&gt;"")*(LEN(TRIM(SUBSTITUTE(BC49:BH49,CHAR(160)," "))) - LEN(SUBSTITUTE(TRIM(SUBSTITUTE(BC49:BH49,CHAR(160)," "))," ","")) + 1)) &amp; " palabra" &amp; IF(SUMPRODUCT((BC49:BH49&lt;&gt;"")*(LEN(TRIM(SUBSTITUTE(BC49:BH49,CHAR(160)," "))) - LEN(SUBSTITUTE(TRIM(SUBSTITUTE(BC49:BH49,CHAR(160)," "))," ","")) + 1))&gt;1,"s",""))</f>
        <v/>
      </c>
      <c r="BA49" s="5550" t="str" cm="1">
        <f t="array" ref="BA49">SUMPRODUCT(--(BC49:BH49&lt;&gt;""), LEN(TRIM(SUBSTITUTE(BC49:BH49, CHAR(160), "")))) &amp; " Car."</f>
        <v>0 Car.</v>
      </c>
      <c r="BB49" s="1376" t="str">
        <f>IF(ISBLANK(BC49),"",LARGE(BB44:BB48,1)+1)</f>
        <v/>
      </c>
      <c r="BC49" s="1810"/>
      <c r="BD49" s="1810"/>
      <c r="BE49" s="1810"/>
      <c r="BF49" s="1810"/>
      <c r="BG49" s="1810"/>
      <c r="BH49" s="1810"/>
      <c r="BI49" s="1810"/>
      <c r="BJ49" s="179" t="s">
        <v>182</v>
      </c>
      <c r="BK49" s="180">
        <f>BK46+BK47+BK48</f>
        <v>3.4722222222222224E-2</v>
      </c>
      <c r="BM49" s="3">
        <v>1</v>
      </c>
    </row>
    <row r="50" spans="2:65" ht="21" customHeight="1">
      <c r="B50" s="162" t="s">
        <v>10</v>
      </c>
      <c r="C50" s="163" t="str">
        <f>C26</f>
        <v>N NOM DE VOTRE RECETTE | collez la--FAMILLE| Auteur &gt; VOUS</v>
      </c>
      <c r="D50" s="163">
        <f>D26</f>
        <v>1</v>
      </c>
      <c r="E50" s="164" t="str">
        <f>E26</f>
        <v>coupe</v>
      </c>
      <c r="F50" s="165" t="str">
        <f>F26</f>
        <v>Recette mère ► MILLE-FEUILLE  aux fraises des bois</v>
      </c>
      <c r="G50" s="1548"/>
      <c r="H50" s="1548"/>
      <c r="I50" s="2190">
        <f>ROWS(M45:M50)</f>
        <v>6</v>
      </c>
      <c r="J50" s="5549" t="str" cm="1">
        <f t="array" ref="J50">IF(SUMPRODUCT((M50:R50&lt;&gt;"")*1)=0,"",SUMPRODUCT((M50:R50&lt;&gt;"")*(LEN(TRIM(SUBSTITUTE(M50:R50,CHAR(160)," "))) - LEN(SUBSTITUTE(TRIM(SUBSTITUTE(M50:R50,CHAR(160)," "))," ","")) + 1)) &amp; " mot" &amp; IF(SUMPRODUCT((M50:R50&lt;&gt;"")*(LEN(TRIM(SUBSTITUTE(M50:R50,CHAR(160)," "))) - LEN(SUBSTITUTE(TRIM(SUBSTITUTE(M50:R50,CHAR(160)," "))," ","")) + 1))&gt;1,"s",""))</f>
        <v>5 mots</v>
      </c>
      <c r="K50" s="5550" t="str" cm="1">
        <f t="array" ref="K50">SUMPRODUCT(--(M50:R50&lt;&gt;""), LEN(TRIM(SUBSTITUTE(M50:R50, CHAR(160), "")))) &amp; " Car."</f>
        <v>43 Car.</v>
      </c>
      <c r="L50" s="1376">
        <f>IF(ISBLANK(M50),"",LARGE(L44:L49,1)+1)</f>
        <v>1</v>
      </c>
      <c r="M50" s="1810" t="s">
        <v>8578</v>
      </c>
      <c r="N50" s="1833"/>
      <c r="O50" s="1810"/>
      <c r="P50" s="1810"/>
      <c r="Q50" s="1810"/>
      <c r="R50" s="1810"/>
      <c r="S50" s="1810"/>
      <c r="T50" s="1810"/>
      <c r="U50" s="1811"/>
      <c r="W50" s="162" t="s">
        <v>10</v>
      </c>
      <c r="X50" s="163" t="str">
        <f>X26</f>
        <v>N NAME OF YOUR RECIPE | paste it — FAMILY|  Author &gt; YOU</v>
      </c>
      <c r="Y50" s="163">
        <f>Y26</f>
        <v>1</v>
      </c>
      <c r="Z50" s="164" t="str">
        <f>Z26</f>
        <v>coupe</v>
      </c>
      <c r="AA50" s="165" t="str">
        <f>AA26</f>
        <v>Master recipe ► MILLE-FEUILLE  aux fraises des bois</v>
      </c>
      <c r="AB50" s="1548"/>
      <c r="AC50" s="1548"/>
      <c r="AD50" s="2190">
        <f>ROWS(AH45:AH50)</f>
        <v>6</v>
      </c>
      <c r="AE50" s="5549" t="str" cm="1">
        <f t="array" ref="AE50">IF(SUMPRODUCT((AH50:AM50&lt;&gt;"")*1)=0,"",SUMPRODUCT((AH50:AM50&lt;&gt;"")*(LEN(TRIM(SUBSTITUTE(AH50:AM50,CHAR(160)," "))) - LEN(SUBSTITUTE(TRIM(SUBSTITUTE(AH50:AM50,CHAR(160)," "))," ","")) + 1)) &amp; " word" &amp; IF(SUMPRODUCT((AH50:AM50&lt;&gt;"")*(LEN(TRIM(SUBSTITUTE(AH50:AM50,CHAR(160)," "))) - LEN(SUBSTITUTE(TRIM(SUBSTITUTE(AH50:AM50,CHAR(160)," "))," ","")) + 1))&gt;1,"s",""))</f>
        <v>4 words</v>
      </c>
      <c r="AF50" s="5550" t="str" cm="1">
        <f t="array" ref="AF50">SUMPRODUCT(--(AH50:AM50&lt;&gt;""), LEN(TRIM(SUBSTITUTE(AH50:AM50, CHAR(160), "")))) &amp; " Car."</f>
        <v>29 Car.</v>
      </c>
      <c r="AG50" s="1376">
        <f>IF(ISBLANK(AH50),"",LARGE(AG44:AG49,1)+1)</f>
        <v>1</v>
      </c>
      <c r="AH50" s="1810" t="s">
        <v>8583</v>
      </c>
      <c r="AI50" s="1833"/>
      <c r="AJ50" s="1810"/>
      <c r="AK50" s="1810"/>
      <c r="AL50" s="1810"/>
      <c r="AM50" s="1810"/>
      <c r="AN50" s="1810"/>
      <c r="AO50" s="1810"/>
      <c r="AP50" s="1811"/>
      <c r="AR50" s="162" t="s">
        <v>10</v>
      </c>
      <c r="AS50" s="163" t="str">
        <f>AS26</f>
        <v>N NOMBRE DE SU RECETA | pegue esto — FAMILIA| Auteur &gt; VOUS</v>
      </c>
      <c r="AT50" s="163">
        <f>AT26</f>
        <v>1</v>
      </c>
      <c r="AU50" s="164" t="str">
        <f>AU26</f>
        <v>coupe</v>
      </c>
      <c r="AV50" s="165" t="str">
        <f>AV26</f>
        <v>Receta madre ► MILLE-FEUILLE  aux fraises des bois</v>
      </c>
      <c r="AW50" s="1548"/>
      <c r="AX50" s="1548"/>
      <c r="AY50" s="2190">
        <f>ROWS(BC45:BC50)</f>
        <v>6</v>
      </c>
      <c r="AZ50" s="5549" t="str" cm="1">
        <f t="array" ref="AZ50">IF(SUMPRODUCT((BC50:BH50&lt;&gt;"")*1)=0,"",SUMPRODUCT((BC50:BH50&lt;&gt;"")*(LEN(TRIM(SUBSTITUTE(BC50:BH50,CHAR(160)," "))) - LEN(SUBSTITUTE(TRIM(SUBSTITUTE(BC50:BH50,CHAR(160)," "))," ","")) + 1)) &amp; " palabra" &amp; IF(SUMPRODUCT((BC50:BH50&lt;&gt;"")*(LEN(TRIM(SUBSTITUTE(BC50:BH50,CHAR(160)," "))) - LEN(SUBSTITUTE(TRIM(SUBSTITUTE(BC50:BH50,CHAR(160)," "))," ","")) + 1))&gt;1,"s",""))</f>
        <v>5 palabras</v>
      </c>
      <c r="BA50" s="5550" t="str" cm="1">
        <f t="array" ref="BA50">SUMPRODUCT(--(BC50:BH50&lt;&gt;""), LEN(TRIM(SUBSTITUTE(BC50:BH50, CHAR(160), "")))) &amp; " Car."</f>
        <v>37 Car.</v>
      </c>
      <c r="BB50" s="1376">
        <f>IF(ISBLANK(BC50),"",LARGE(BB44:BB49,1)+1)</f>
        <v>1</v>
      </c>
      <c r="BC50" s="1810" t="s">
        <v>8588</v>
      </c>
      <c r="BD50" s="1833"/>
      <c r="BE50" s="1810"/>
      <c r="BF50" s="1810"/>
      <c r="BG50" s="1810"/>
      <c r="BH50" s="1810"/>
      <c r="BI50" s="1810"/>
      <c r="BJ50" s="1810"/>
      <c r="BK50" s="1811"/>
      <c r="BM50" s="3">
        <v>1</v>
      </c>
    </row>
    <row r="51" spans="2:65" ht="21" customHeight="1">
      <c r="B51" s="162" t="s">
        <v>10</v>
      </c>
      <c r="C51" s="163" t="str">
        <f>C26</f>
        <v>N NOM DE VOTRE RECETTE | collez la--FAMILLE| Auteur &gt; VOUS</v>
      </c>
      <c r="D51" s="163">
        <f>D26</f>
        <v>1</v>
      </c>
      <c r="E51" s="164" t="str">
        <f>E26</f>
        <v>coupe</v>
      </c>
      <c r="F51" s="165" t="str">
        <f>F26</f>
        <v>Recette mère ► MILLE-FEUILLE  aux fraises des bois</v>
      </c>
      <c r="G51" s="1548"/>
      <c r="H51" s="1548"/>
      <c r="I51" s="2190">
        <f>ROWS(M45:M51)</f>
        <v>7</v>
      </c>
      <c r="J51" s="5549" t="str" cm="1">
        <f t="array" ref="J51">IF(SUMPRODUCT((M51:R51&lt;&gt;"")*1)=0,"",SUMPRODUCT((M51:R51&lt;&gt;"")*(LEN(TRIM(SUBSTITUTE(M51:R51,CHAR(160)," "))) - LEN(SUBSTITUTE(TRIM(SUBSTITUTE(M51:R51,CHAR(160)," "))," ","")) + 1)) &amp; " mot" &amp; IF(SUMPRODUCT((M51:R51&lt;&gt;"")*(LEN(TRIM(SUBSTITUTE(M51:R51,CHAR(160)," "))) - LEN(SUBSTITUTE(TRIM(SUBSTITUTE(M51:R51,CHAR(160)," "))," ","")) + 1))&gt;1,"s",""))</f>
        <v>8 mots</v>
      </c>
      <c r="K51" s="5550" t="str" cm="1">
        <f t="array" ref="K51">SUMPRODUCT(--(M51:R51&lt;&gt;""), LEN(TRIM(SUBSTITUTE(M51:R51, CHAR(160), "")))) &amp; " Car."</f>
        <v>50 Car.</v>
      </c>
      <c r="L51" s="1376" t="str">
        <f>IF(ISBLANK(M51),"",LARGE(L44:L50,1)+1)</f>
        <v/>
      </c>
      <c r="M51" s="1810"/>
      <c r="N51" s="1810" t="s">
        <v>8579</v>
      </c>
      <c r="O51" s="1810"/>
      <c r="P51" s="1810"/>
      <c r="Q51" s="1810"/>
      <c r="R51" s="1810"/>
      <c r="S51" s="1810"/>
      <c r="T51" s="1810"/>
      <c r="U51" s="1811"/>
      <c r="W51" s="162" t="s">
        <v>10</v>
      </c>
      <c r="X51" s="163" t="str">
        <f>X26</f>
        <v>N NAME OF YOUR RECIPE | paste it — FAMILY|  Author &gt; YOU</v>
      </c>
      <c r="Y51" s="163">
        <f>Y26</f>
        <v>1</v>
      </c>
      <c r="Z51" s="164" t="str">
        <f>Z26</f>
        <v>coupe</v>
      </c>
      <c r="AA51" s="165" t="str">
        <f>AA26</f>
        <v>Master recipe ► MILLE-FEUILLE  aux fraises des bois</v>
      </c>
      <c r="AB51" s="1548"/>
      <c r="AC51" s="1548"/>
      <c r="AD51" s="2190">
        <f>ROWS(AH45:AH51)</f>
        <v>7</v>
      </c>
      <c r="AE51" s="5549" t="str" cm="1">
        <f t="array" ref="AE51">IF(SUMPRODUCT((AH51:AM51&lt;&gt;"")*1)=0,"",SUMPRODUCT((AH51:AM51&lt;&gt;"")*(LEN(TRIM(SUBSTITUTE(AH51:AM51,CHAR(160)," "))) - LEN(SUBSTITUTE(TRIM(SUBSTITUTE(AH51:AM51,CHAR(160)," "))," ","")) + 1)) &amp; " word" &amp; IF(SUMPRODUCT((AH51:AM51&lt;&gt;"")*(LEN(TRIM(SUBSTITUTE(AH51:AM51,CHAR(160)," "))) - LEN(SUBSTITUTE(TRIM(SUBSTITUTE(AH51:AM51,CHAR(160)," "))," ","")) + 1))&gt;1,"s",""))</f>
        <v>9 words</v>
      </c>
      <c r="AF51" s="5550" t="str" cm="1">
        <f t="array" ref="AF51">SUMPRODUCT(--(AH51:AM51&lt;&gt;""), LEN(TRIM(SUBSTITUTE(AH51:AM51, CHAR(160), "")))) &amp; " Car."</f>
        <v>47 Car.</v>
      </c>
      <c r="AG51" s="1376" t="str">
        <f>IF(ISBLANK(AH51),"",LARGE(AG44:AG50,1)+1)</f>
        <v/>
      </c>
      <c r="AH51" s="1810"/>
      <c r="AI51" s="1810" t="s">
        <v>8584</v>
      </c>
      <c r="AJ51" s="1810"/>
      <c r="AK51" s="1810"/>
      <c r="AL51" s="1810"/>
      <c r="AM51" s="1810"/>
      <c r="AN51" s="1810"/>
      <c r="AO51" s="1810"/>
      <c r="AP51" s="1811"/>
      <c r="AR51" s="162" t="s">
        <v>10</v>
      </c>
      <c r="AS51" s="163" t="str">
        <f>AS26</f>
        <v>N NOMBRE DE SU RECETA | pegue esto — FAMILIA| Auteur &gt; VOUS</v>
      </c>
      <c r="AT51" s="163">
        <f>AT26</f>
        <v>1</v>
      </c>
      <c r="AU51" s="164" t="str">
        <f>AU26</f>
        <v>coupe</v>
      </c>
      <c r="AV51" s="165" t="str">
        <f>AV26</f>
        <v>Receta madre ► MILLE-FEUILLE  aux fraises des bois</v>
      </c>
      <c r="AW51" s="1548"/>
      <c r="AX51" s="1548"/>
      <c r="AY51" s="2190">
        <f>ROWS(BC45:BC51)</f>
        <v>7</v>
      </c>
      <c r="AZ51" s="5549" t="str" cm="1">
        <f t="array" ref="AZ51">IF(SUMPRODUCT((BC51:BH51&lt;&gt;"")*1)=0,"",SUMPRODUCT((BC51:BH51&lt;&gt;"")*(LEN(TRIM(SUBSTITUTE(BC51:BH51,CHAR(160)," "))) - LEN(SUBSTITUTE(TRIM(SUBSTITUTE(BC51:BH51,CHAR(160)," "))," ","")) + 1)) &amp; " palabra" &amp; IF(SUMPRODUCT((BC51:BH51&lt;&gt;"")*(LEN(TRIM(SUBSTITUTE(BC51:BH51,CHAR(160)," "))) - LEN(SUBSTITUTE(TRIM(SUBSTITUTE(BC51:BH51,CHAR(160)," "))," ","")) + 1))&gt;1,"s",""))</f>
        <v>7 palabras</v>
      </c>
      <c r="BA51" s="5550" t="str" cm="1">
        <f t="array" ref="BA51">SUMPRODUCT(--(BC51:BH51&lt;&gt;""), LEN(TRIM(SUBSTITUTE(BC51:BH51, CHAR(160), "")))) &amp; " Car."</f>
        <v>39 Car.</v>
      </c>
      <c r="BB51" s="1376" t="str">
        <f>IF(ISBLANK(BC51),"",LARGE(BB44:BB50,1)+1)</f>
        <v/>
      </c>
      <c r="BC51" s="1810"/>
      <c r="BD51" s="1810" t="s">
        <v>8589</v>
      </c>
      <c r="BE51" s="1810"/>
      <c r="BF51" s="1810"/>
      <c r="BG51" s="1810"/>
      <c r="BH51" s="1810"/>
      <c r="BI51" s="1810"/>
      <c r="BJ51" s="1810"/>
      <c r="BK51" s="1811"/>
      <c r="BM51" s="3">
        <v>1</v>
      </c>
    </row>
    <row r="52" spans="2:65" ht="21" customHeight="1">
      <c r="B52" s="162" t="s">
        <v>10</v>
      </c>
      <c r="C52" s="163" t="str">
        <f>C26</f>
        <v>N NOM DE VOTRE RECETTE | collez la--FAMILLE| Auteur &gt; VOUS</v>
      </c>
      <c r="D52" s="163">
        <f>D26</f>
        <v>1</v>
      </c>
      <c r="E52" s="164" t="str">
        <f>E26</f>
        <v>coupe</v>
      </c>
      <c r="F52" s="165" t="str">
        <f>F26</f>
        <v>Recette mère ► MILLE-FEUILLE  aux fraises des bois</v>
      </c>
      <c r="G52" s="1548"/>
      <c r="H52" s="1548"/>
      <c r="I52" s="2190">
        <f>ROWS(M45:M52)</f>
        <v>8</v>
      </c>
      <c r="J52" s="5549" t="str" cm="1">
        <f t="array" ref="J52">IF(SUMPRODUCT((M52:R52&lt;&gt;"")*1)=0,"",SUMPRODUCT((M52:R52&lt;&gt;"")*(LEN(TRIM(SUBSTITUTE(M52:R52,CHAR(160)," "))) - LEN(SUBSTITUTE(TRIM(SUBSTITUTE(M52:R52,CHAR(160)," "))," ","")) + 1)) &amp; " mot" &amp; IF(SUMPRODUCT((M52:R52&lt;&gt;"")*(LEN(TRIM(SUBSTITUTE(M52:R52,CHAR(160)," "))) - LEN(SUBSTITUTE(TRIM(SUBSTITUTE(M52:R52,CHAR(160)," "))," ","")) + 1))&gt;1,"s",""))</f>
        <v/>
      </c>
      <c r="K52" s="5550" t="str" cm="1">
        <f t="array" ref="K52">SUMPRODUCT(--(M52:R52&lt;&gt;""), LEN(TRIM(SUBSTITUTE(M52:R52, CHAR(160), "")))) &amp; " Car."</f>
        <v>0 Car.</v>
      </c>
      <c r="L52" s="1376" t="str">
        <f>IF(ISBLANK(M52),"",LARGE(L44:L51,1)+1)</f>
        <v/>
      </c>
      <c r="M52" s="1810"/>
      <c r="N52" s="1810"/>
      <c r="O52" s="1810"/>
      <c r="P52" s="1810"/>
      <c r="Q52" s="1810"/>
      <c r="R52" s="1810"/>
      <c r="S52" s="1810"/>
      <c r="T52" s="1810"/>
      <c r="U52" s="1811"/>
      <c r="W52" s="162" t="s">
        <v>10</v>
      </c>
      <c r="X52" s="163" t="str">
        <f>X26</f>
        <v>N NAME OF YOUR RECIPE | paste it — FAMILY|  Author &gt; YOU</v>
      </c>
      <c r="Y52" s="163">
        <f>Y26</f>
        <v>1</v>
      </c>
      <c r="Z52" s="164" t="str">
        <f>Z26</f>
        <v>coupe</v>
      </c>
      <c r="AA52" s="165" t="str">
        <f>AA26</f>
        <v>Master recipe ► MILLE-FEUILLE  aux fraises des bois</v>
      </c>
      <c r="AB52" s="1548"/>
      <c r="AC52" s="1548"/>
      <c r="AD52" s="2190">
        <f>ROWS(AH45:AH52)</f>
        <v>8</v>
      </c>
      <c r="AE52" s="5549" t="str" cm="1">
        <f t="array" ref="AE52">IF(SUMPRODUCT((AH52:AM52&lt;&gt;"")*1)=0,"",SUMPRODUCT((AH52:AM52&lt;&gt;"")*(LEN(TRIM(SUBSTITUTE(AH52:AM52,CHAR(160)," "))) - LEN(SUBSTITUTE(TRIM(SUBSTITUTE(AH52:AM52,CHAR(160)," "))," ","")) + 1)) &amp; " word" &amp; IF(SUMPRODUCT((AH52:AM52&lt;&gt;"")*(LEN(TRIM(SUBSTITUTE(AH52:AM52,CHAR(160)," "))) - LEN(SUBSTITUTE(TRIM(SUBSTITUTE(AH52:AM52,CHAR(160)," "))," ","")) + 1))&gt;1,"s",""))</f>
        <v/>
      </c>
      <c r="AF52" s="5550" t="str" cm="1">
        <f t="array" ref="AF52">SUMPRODUCT(--(AH52:AM52&lt;&gt;""), LEN(TRIM(SUBSTITUTE(AH52:AM52, CHAR(160), "")))) &amp; " Car."</f>
        <v>0 Car.</v>
      </c>
      <c r="AG52" s="1376" t="str">
        <f>IF(ISBLANK(AH52),"",LARGE(AG44:AG51,1)+1)</f>
        <v/>
      </c>
      <c r="AH52" s="1810"/>
      <c r="AI52" s="1810"/>
      <c r="AJ52" s="1810"/>
      <c r="AK52" s="1810"/>
      <c r="AL52" s="1810"/>
      <c r="AM52" s="1810"/>
      <c r="AN52" s="1810"/>
      <c r="AO52" s="1810"/>
      <c r="AP52" s="1811"/>
      <c r="AR52" s="162" t="s">
        <v>10</v>
      </c>
      <c r="AS52" s="163" t="str">
        <f>AS26</f>
        <v>N NOMBRE DE SU RECETA | pegue esto — FAMILIA| Auteur &gt; VOUS</v>
      </c>
      <c r="AT52" s="163">
        <f>AT26</f>
        <v>1</v>
      </c>
      <c r="AU52" s="164" t="str">
        <f>AU26</f>
        <v>coupe</v>
      </c>
      <c r="AV52" s="165" t="str">
        <f>AV26</f>
        <v>Receta madre ► MILLE-FEUILLE  aux fraises des bois</v>
      </c>
      <c r="AW52" s="1548"/>
      <c r="AX52" s="1548"/>
      <c r="AY52" s="2190">
        <f>ROWS(BC45:BC52)</f>
        <v>8</v>
      </c>
      <c r="AZ52" s="5549" t="str" cm="1">
        <f t="array" ref="AZ52">IF(SUMPRODUCT((BC52:BH52&lt;&gt;"")*1)=0,"",SUMPRODUCT((BC52:BH52&lt;&gt;"")*(LEN(TRIM(SUBSTITUTE(BC52:BH52,CHAR(160)," "))) - LEN(SUBSTITUTE(TRIM(SUBSTITUTE(BC52:BH52,CHAR(160)," "))," ","")) + 1)) &amp; " palabra" &amp; IF(SUMPRODUCT((BC52:BH52&lt;&gt;"")*(LEN(TRIM(SUBSTITUTE(BC52:BH52,CHAR(160)," "))) - LEN(SUBSTITUTE(TRIM(SUBSTITUTE(BC52:BH52,CHAR(160)," "))," ","")) + 1))&gt;1,"s",""))</f>
        <v/>
      </c>
      <c r="BA52" s="5550" t="str" cm="1">
        <f t="array" ref="BA52">SUMPRODUCT(--(BC52:BH52&lt;&gt;""), LEN(TRIM(SUBSTITUTE(BC52:BH52, CHAR(160), "")))) &amp; " Car."</f>
        <v>0 Car.</v>
      </c>
      <c r="BB52" s="1376" t="str">
        <f>IF(ISBLANK(BC52),"",LARGE(BB44:BB51,1)+1)</f>
        <v/>
      </c>
      <c r="BC52" s="1810"/>
      <c r="BD52" s="1810"/>
      <c r="BE52" s="1810"/>
      <c r="BF52" s="1810"/>
      <c r="BG52" s="1810"/>
      <c r="BH52" s="1810"/>
      <c r="BI52" s="1810"/>
      <c r="BJ52" s="1810"/>
      <c r="BK52" s="1811"/>
      <c r="BM52" s="3">
        <v>1</v>
      </c>
    </row>
    <row r="53" spans="2:65" ht="21" customHeight="1">
      <c r="B53" s="162" t="s">
        <v>10</v>
      </c>
      <c r="C53" s="163" t="str">
        <f>C26</f>
        <v>N NOM DE VOTRE RECETTE | collez la--FAMILLE| Auteur &gt; VOUS</v>
      </c>
      <c r="D53" s="163">
        <f>D26</f>
        <v>1</v>
      </c>
      <c r="E53" s="164" t="str">
        <f>E26</f>
        <v>coupe</v>
      </c>
      <c r="F53" s="165" t="str">
        <f>F26</f>
        <v>Recette mère ► MILLE-FEUILLE  aux fraises des bois</v>
      </c>
      <c r="G53" s="1548"/>
      <c r="H53" s="1548"/>
      <c r="I53" s="2190">
        <f>ROWS(M45:M53)</f>
        <v>9</v>
      </c>
      <c r="J53" s="5549" t="str" cm="1">
        <f t="array" ref="J53">IF(SUMPRODUCT((M53:R53&lt;&gt;"")*1)=0,"",SUMPRODUCT((M53:R53&lt;&gt;"")*(LEN(TRIM(SUBSTITUTE(M53:R53,CHAR(160)," "))) - LEN(SUBSTITUTE(TRIM(SUBSTITUTE(M53:R53,CHAR(160)," "))," ","")) + 1)) &amp; " mot" &amp; IF(SUMPRODUCT((M53:R53&lt;&gt;"")*(LEN(TRIM(SUBSTITUTE(M53:R53,CHAR(160)," "))) - LEN(SUBSTITUTE(TRIM(SUBSTITUTE(M53:R53,CHAR(160)," "))," ","")) + 1))&gt;1,"s",""))</f>
        <v/>
      </c>
      <c r="K53" s="5550" t="str" cm="1">
        <f t="array" ref="K53">SUMPRODUCT(--(M53:R53&lt;&gt;""), LEN(TRIM(SUBSTITUTE(M53:R53, CHAR(160), "")))) &amp; " Car."</f>
        <v>0 Car.</v>
      </c>
      <c r="L53" s="1376" t="str">
        <f>IF(ISBLANK(M53),"",LARGE(L44:L52,1)+1)</f>
        <v/>
      </c>
      <c r="M53" s="1810"/>
      <c r="N53" s="1810"/>
      <c r="O53" s="1810"/>
      <c r="P53" s="1810"/>
      <c r="Q53" s="1810"/>
      <c r="R53" s="1810"/>
      <c r="S53" s="1810"/>
      <c r="T53" s="1810"/>
      <c r="U53" s="1811"/>
      <c r="W53" s="162" t="s">
        <v>10</v>
      </c>
      <c r="X53" s="163" t="str">
        <f>X26</f>
        <v>N NAME OF YOUR RECIPE | paste it — FAMILY|  Author &gt; YOU</v>
      </c>
      <c r="Y53" s="163">
        <f>Y26</f>
        <v>1</v>
      </c>
      <c r="Z53" s="164" t="str">
        <f>Z26</f>
        <v>coupe</v>
      </c>
      <c r="AA53" s="165" t="str">
        <f>AA26</f>
        <v>Master recipe ► MILLE-FEUILLE  aux fraises des bois</v>
      </c>
      <c r="AB53" s="1548"/>
      <c r="AC53" s="1548"/>
      <c r="AD53" s="2190">
        <f>ROWS(AH45:AH53)</f>
        <v>9</v>
      </c>
      <c r="AE53" s="5549" t="str" cm="1">
        <f t="array" ref="AE53">IF(SUMPRODUCT((AH53:AM53&lt;&gt;"")*1)=0,"",SUMPRODUCT((AH53:AM53&lt;&gt;"")*(LEN(TRIM(SUBSTITUTE(AH53:AM53,CHAR(160)," "))) - LEN(SUBSTITUTE(TRIM(SUBSTITUTE(AH53:AM53,CHAR(160)," "))," ","")) + 1)) &amp; " word" &amp; IF(SUMPRODUCT((AH53:AM53&lt;&gt;"")*(LEN(TRIM(SUBSTITUTE(AH53:AM53,CHAR(160)," "))) - LEN(SUBSTITUTE(TRIM(SUBSTITUTE(AH53:AM53,CHAR(160)," "))," ","")) + 1))&gt;1,"s",""))</f>
        <v/>
      </c>
      <c r="AF53" s="5550" t="str" cm="1">
        <f t="array" ref="AF53">SUMPRODUCT(--(AH53:AM53&lt;&gt;""), LEN(TRIM(SUBSTITUTE(AH53:AM53, CHAR(160), "")))) &amp; " Car."</f>
        <v>0 Car.</v>
      </c>
      <c r="AG53" s="1376" t="str">
        <f>IF(ISBLANK(AH53),"",LARGE(AG44:AG52,1)+1)</f>
        <v/>
      </c>
      <c r="AH53" s="1810"/>
      <c r="AI53" s="1810"/>
      <c r="AJ53" s="1810"/>
      <c r="AK53" s="1810"/>
      <c r="AL53" s="1810"/>
      <c r="AM53" s="1810"/>
      <c r="AN53" s="1810"/>
      <c r="AO53" s="1810"/>
      <c r="AP53" s="1811"/>
      <c r="AR53" s="162" t="s">
        <v>10</v>
      </c>
      <c r="AS53" s="163" t="str">
        <f>AS26</f>
        <v>N NOMBRE DE SU RECETA | pegue esto — FAMILIA| Auteur &gt; VOUS</v>
      </c>
      <c r="AT53" s="163">
        <f>AT26</f>
        <v>1</v>
      </c>
      <c r="AU53" s="164" t="str">
        <f>AU26</f>
        <v>coupe</v>
      </c>
      <c r="AV53" s="165" t="str">
        <f>AV26</f>
        <v>Receta madre ► MILLE-FEUILLE  aux fraises des bois</v>
      </c>
      <c r="AW53" s="1548"/>
      <c r="AX53" s="1548"/>
      <c r="AY53" s="2190">
        <f>ROWS(BC45:BC53)</f>
        <v>9</v>
      </c>
      <c r="AZ53" s="5549" t="str" cm="1">
        <f t="array" ref="AZ53">IF(SUMPRODUCT((BC53:BH53&lt;&gt;"")*1)=0,"",SUMPRODUCT((BC53:BH53&lt;&gt;"")*(LEN(TRIM(SUBSTITUTE(BC53:BH53,CHAR(160)," "))) - LEN(SUBSTITUTE(TRIM(SUBSTITUTE(BC53:BH53,CHAR(160)," "))," ","")) + 1)) &amp; " palabra" &amp; IF(SUMPRODUCT((BC53:BH53&lt;&gt;"")*(LEN(TRIM(SUBSTITUTE(BC53:BH53,CHAR(160)," "))) - LEN(SUBSTITUTE(TRIM(SUBSTITUTE(BC53:BH53,CHAR(160)," "))," ","")) + 1))&gt;1,"s",""))</f>
        <v/>
      </c>
      <c r="BA53" s="5550" t="str" cm="1">
        <f t="array" ref="BA53">SUMPRODUCT(--(BC53:BH53&lt;&gt;""), LEN(TRIM(SUBSTITUTE(BC53:BH53, CHAR(160), "")))) &amp; " Car."</f>
        <v>0 Car.</v>
      </c>
      <c r="BB53" s="1376" t="str">
        <f>IF(ISBLANK(BC53),"",LARGE(BB44:BB52,1)+1)</f>
        <v/>
      </c>
      <c r="BC53" s="1810"/>
      <c r="BD53" s="1810"/>
      <c r="BE53" s="1810"/>
      <c r="BF53" s="1810"/>
      <c r="BG53" s="1810"/>
      <c r="BH53" s="1810"/>
      <c r="BI53" s="1810"/>
      <c r="BJ53" s="1810"/>
      <c r="BK53" s="1811"/>
      <c r="BM53" s="3">
        <v>1</v>
      </c>
    </row>
    <row r="54" spans="2:65" ht="21" customHeight="1">
      <c r="B54" s="162" t="s">
        <v>10</v>
      </c>
      <c r="C54" s="163" t="str">
        <f>C26</f>
        <v>N NOM DE VOTRE RECETTE | collez la--FAMILLE| Auteur &gt; VOUS</v>
      </c>
      <c r="D54" s="163">
        <f>D26</f>
        <v>1</v>
      </c>
      <c r="E54" s="164" t="str">
        <f>E26</f>
        <v>coupe</v>
      </c>
      <c r="F54" s="165" t="str">
        <f>F26</f>
        <v>Recette mère ► MILLE-FEUILLE  aux fraises des bois</v>
      </c>
      <c r="G54" s="1548"/>
      <c r="H54" s="1548"/>
      <c r="I54" s="2190">
        <f>ROWS(M45:M54)</f>
        <v>10</v>
      </c>
      <c r="J54" s="5549" t="str" cm="1">
        <f t="array" ref="J54">IF(SUMPRODUCT((M54:R54&lt;&gt;"")*1)=0,"",SUMPRODUCT((M54:R54&lt;&gt;"")*(LEN(TRIM(SUBSTITUTE(M54:R54,CHAR(160)," "))) - LEN(SUBSTITUTE(TRIM(SUBSTITUTE(M54:R54,CHAR(160)," "))," ","")) + 1)) &amp; " mot" &amp; IF(SUMPRODUCT((M54:R54&lt;&gt;"")*(LEN(TRIM(SUBSTITUTE(M54:R54,CHAR(160)," "))) - LEN(SUBSTITUTE(TRIM(SUBSTITUTE(M54:R54,CHAR(160)," "))," ","")) + 1))&gt;1,"s",""))</f>
        <v/>
      </c>
      <c r="K54" s="5550" t="str" cm="1">
        <f t="array" ref="K54">SUMPRODUCT(--(M54:R54&lt;&gt;""), LEN(TRIM(SUBSTITUTE(M54:R54, CHAR(160), "")))) &amp; " Car."</f>
        <v>0 Car.</v>
      </c>
      <c r="L54" s="1376" t="str">
        <f>IF(ISBLANK(M54),"",LARGE(L44:L53,1)+1)</f>
        <v/>
      </c>
      <c r="M54" s="1810"/>
      <c r="N54" s="1810"/>
      <c r="O54" s="1810"/>
      <c r="P54" s="1810"/>
      <c r="Q54" s="1810"/>
      <c r="R54" s="1810"/>
      <c r="S54" s="1810"/>
      <c r="T54" s="1810"/>
      <c r="U54" s="1811"/>
      <c r="W54" s="162" t="s">
        <v>10</v>
      </c>
      <c r="X54" s="163" t="str">
        <f>X26</f>
        <v>N NAME OF YOUR RECIPE | paste it — FAMILY|  Author &gt; YOU</v>
      </c>
      <c r="Y54" s="163">
        <f>Y26</f>
        <v>1</v>
      </c>
      <c r="Z54" s="164" t="str">
        <f>Z26</f>
        <v>coupe</v>
      </c>
      <c r="AA54" s="165" t="str">
        <f>AA26</f>
        <v>Master recipe ► MILLE-FEUILLE  aux fraises des bois</v>
      </c>
      <c r="AB54" s="1548"/>
      <c r="AC54" s="1548"/>
      <c r="AD54" s="2190">
        <f>ROWS(AH45:AH54)</f>
        <v>10</v>
      </c>
      <c r="AE54" s="5549" t="str" cm="1">
        <f t="array" ref="AE54">IF(SUMPRODUCT((AH54:AM54&lt;&gt;"")*1)=0,"",SUMPRODUCT((AH54:AM54&lt;&gt;"")*(LEN(TRIM(SUBSTITUTE(AH54:AM54,CHAR(160)," "))) - LEN(SUBSTITUTE(TRIM(SUBSTITUTE(AH54:AM54,CHAR(160)," "))," ","")) + 1)) &amp; " word" &amp; IF(SUMPRODUCT((AH54:AM54&lt;&gt;"")*(LEN(TRIM(SUBSTITUTE(AH54:AM54,CHAR(160)," "))) - LEN(SUBSTITUTE(TRIM(SUBSTITUTE(AH54:AM54,CHAR(160)," "))," ","")) + 1))&gt;1,"s",""))</f>
        <v/>
      </c>
      <c r="AF54" s="5550" t="str" cm="1">
        <f t="array" ref="AF54">SUMPRODUCT(--(AH54:AM54&lt;&gt;""), LEN(TRIM(SUBSTITUTE(AH54:AM54, CHAR(160), "")))) &amp; " Car."</f>
        <v>0 Car.</v>
      </c>
      <c r="AG54" s="1376" t="str">
        <f>IF(ISBLANK(AH54),"",LARGE(AG44:AG53,1)+1)</f>
        <v/>
      </c>
      <c r="AH54" s="1810"/>
      <c r="AI54" s="1810"/>
      <c r="AJ54" s="1810"/>
      <c r="AK54" s="1810"/>
      <c r="AL54" s="1810"/>
      <c r="AM54" s="1810"/>
      <c r="AN54" s="1810"/>
      <c r="AO54" s="1810"/>
      <c r="AP54" s="1811"/>
      <c r="AR54" s="162" t="s">
        <v>10</v>
      </c>
      <c r="AS54" s="163" t="str">
        <f>AS26</f>
        <v>N NOMBRE DE SU RECETA | pegue esto — FAMILIA| Auteur &gt; VOUS</v>
      </c>
      <c r="AT54" s="163">
        <f>AT26</f>
        <v>1</v>
      </c>
      <c r="AU54" s="164" t="str">
        <f>AU26</f>
        <v>coupe</v>
      </c>
      <c r="AV54" s="165" t="str">
        <f>AV26</f>
        <v>Receta madre ► MILLE-FEUILLE  aux fraises des bois</v>
      </c>
      <c r="AW54" s="1548"/>
      <c r="AX54" s="1548"/>
      <c r="AY54" s="2190">
        <f>ROWS(BC45:BC54)</f>
        <v>10</v>
      </c>
      <c r="AZ54" s="5549" t="str" cm="1">
        <f t="array" ref="AZ54">IF(SUMPRODUCT((BC54:BH54&lt;&gt;"")*1)=0,"",SUMPRODUCT((BC54:BH54&lt;&gt;"")*(LEN(TRIM(SUBSTITUTE(BC54:BH54,CHAR(160)," "))) - LEN(SUBSTITUTE(TRIM(SUBSTITUTE(BC54:BH54,CHAR(160)," "))," ","")) + 1)) &amp; " palabra" &amp; IF(SUMPRODUCT((BC54:BH54&lt;&gt;"")*(LEN(TRIM(SUBSTITUTE(BC54:BH54,CHAR(160)," "))) - LEN(SUBSTITUTE(TRIM(SUBSTITUTE(BC54:BH54,CHAR(160)," "))," ","")) + 1))&gt;1,"s",""))</f>
        <v/>
      </c>
      <c r="BA54" s="5550" t="str" cm="1">
        <f t="array" ref="BA54">SUMPRODUCT(--(BC54:BH54&lt;&gt;""), LEN(TRIM(SUBSTITUTE(BC54:BH54, CHAR(160), "")))) &amp; " Car."</f>
        <v>0 Car.</v>
      </c>
      <c r="BB54" s="1376" t="str">
        <f>IF(ISBLANK(BC54),"",LARGE(BB44:BB53,1)+1)</f>
        <v/>
      </c>
      <c r="BC54" s="1810"/>
      <c r="BD54" s="1810"/>
      <c r="BE54" s="1810"/>
      <c r="BF54" s="1810"/>
      <c r="BG54" s="1810"/>
      <c r="BH54" s="1810"/>
      <c r="BI54" s="1810"/>
      <c r="BJ54" s="1810"/>
      <c r="BK54" s="1811"/>
      <c r="BM54" s="3">
        <v>1</v>
      </c>
    </row>
    <row r="55" spans="2:65" ht="21" customHeight="1">
      <c r="B55" s="162" t="s">
        <v>10</v>
      </c>
      <c r="C55" s="163" t="str">
        <f>C26</f>
        <v>N NOM DE VOTRE RECETTE | collez la--FAMILLE| Auteur &gt; VOUS</v>
      </c>
      <c r="D55" s="163">
        <f>D26</f>
        <v>1</v>
      </c>
      <c r="E55" s="164" t="str">
        <f>E26</f>
        <v>coupe</v>
      </c>
      <c r="F55" s="165" t="str">
        <f>F26</f>
        <v>Recette mère ► MILLE-FEUILLE  aux fraises des bois</v>
      </c>
      <c r="G55" s="1548"/>
      <c r="H55" s="1548"/>
      <c r="I55" s="2190">
        <f>ROWS(M45:M55)</f>
        <v>11</v>
      </c>
      <c r="J55" s="5549" t="str" cm="1">
        <f t="array" ref="J55">IF(SUMPRODUCT((M55:R55&lt;&gt;"")*1)=0,"",SUMPRODUCT((M55:R55&lt;&gt;"")*(LEN(TRIM(SUBSTITUTE(M55:R55,CHAR(160)," "))) - LEN(SUBSTITUTE(TRIM(SUBSTITUTE(M55:R55,CHAR(160)," "))," ","")) + 1)) &amp; " mot" &amp; IF(SUMPRODUCT((M55:R55&lt;&gt;"")*(LEN(TRIM(SUBSTITUTE(M55:R55,CHAR(160)," "))) - LEN(SUBSTITUTE(TRIM(SUBSTITUTE(M55:R55,CHAR(160)," "))," ","")) + 1))&gt;1,"s",""))</f>
        <v/>
      </c>
      <c r="K55" s="5550" t="str" cm="1">
        <f t="array" ref="K55">SUMPRODUCT(--(M55:R55&lt;&gt;""), LEN(TRIM(SUBSTITUTE(M55:R55, CHAR(160), "")))) &amp; " Car."</f>
        <v>0 Car.</v>
      </c>
      <c r="L55" s="1376" t="str">
        <f>IF(ISBLANK(M55),"",LARGE(L44:L54,1)+1)</f>
        <v/>
      </c>
      <c r="M55" s="1810"/>
      <c r="N55" s="1810"/>
      <c r="O55" s="1810"/>
      <c r="P55" s="1810"/>
      <c r="Q55" s="1810"/>
      <c r="R55" s="1810"/>
      <c r="S55" s="1810"/>
      <c r="T55" s="1810"/>
      <c r="U55" s="1811"/>
      <c r="W55" s="162" t="s">
        <v>10</v>
      </c>
      <c r="X55" s="163" t="str">
        <f>X26</f>
        <v>N NAME OF YOUR RECIPE | paste it — FAMILY|  Author &gt; YOU</v>
      </c>
      <c r="Y55" s="163">
        <f>Y26</f>
        <v>1</v>
      </c>
      <c r="Z55" s="164" t="str">
        <f>Z26</f>
        <v>coupe</v>
      </c>
      <c r="AA55" s="165" t="str">
        <f>AA26</f>
        <v>Master recipe ► MILLE-FEUILLE  aux fraises des bois</v>
      </c>
      <c r="AB55" s="1548"/>
      <c r="AC55" s="1548"/>
      <c r="AD55" s="2190">
        <f>ROWS(AH45:AH55)</f>
        <v>11</v>
      </c>
      <c r="AE55" s="5549" t="str" cm="1">
        <f t="array" ref="AE55">IF(SUMPRODUCT((AH55:AM55&lt;&gt;"")*1)=0,"",SUMPRODUCT((AH55:AM55&lt;&gt;"")*(LEN(TRIM(SUBSTITUTE(AH55:AM55,CHAR(160)," "))) - LEN(SUBSTITUTE(TRIM(SUBSTITUTE(AH55:AM55,CHAR(160)," "))," ","")) + 1)) &amp; " word" &amp; IF(SUMPRODUCT((AH55:AM55&lt;&gt;"")*(LEN(TRIM(SUBSTITUTE(AH55:AM55,CHAR(160)," "))) - LEN(SUBSTITUTE(TRIM(SUBSTITUTE(AH55:AM55,CHAR(160)," "))," ","")) + 1))&gt;1,"s",""))</f>
        <v/>
      </c>
      <c r="AF55" s="5550" t="str" cm="1">
        <f t="array" ref="AF55">SUMPRODUCT(--(AH55:AM55&lt;&gt;""), LEN(TRIM(SUBSTITUTE(AH55:AM55, CHAR(160), "")))) &amp; " Car."</f>
        <v>0 Car.</v>
      </c>
      <c r="AG55" s="1376" t="str">
        <f>IF(ISBLANK(AH55),"",LARGE(AG44:AG54,1)+1)</f>
        <v/>
      </c>
      <c r="AH55" s="1810"/>
      <c r="AI55" s="1810"/>
      <c r="AJ55" s="1810"/>
      <c r="AK55" s="1810"/>
      <c r="AL55" s="1810"/>
      <c r="AM55" s="1810"/>
      <c r="AN55" s="1810"/>
      <c r="AO55" s="1810"/>
      <c r="AP55" s="1811"/>
      <c r="AR55" s="162" t="s">
        <v>10</v>
      </c>
      <c r="AS55" s="163" t="str">
        <f>AS26</f>
        <v>N NOMBRE DE SU RECETA | pegue esto — FAMILIA| Auteur &gt; VOUS</v>
      </c>
      <c r="AT55" s="163">
        <f>AT26</f>
        <v>1</v>
      </c>
      <c r="AU55" s="164" t="str">
        <f>AU26</f>
        <v>coupe</v>
      </c>
      <c r="AV55" s="165" t="str">
        <f>AV26</f>
        <v>Receta madre ► MILLE-FEUILLE  aux fraises des bois</v>
      </c>
      <c r="AW55" s="1548"/>
      <c r="AX55" s="1548"/>
      <c r="AY55" s="2190">
        <f>ROWS(BC45:BC55)</f>
        <v>11</v>
      </c>
      <c r="AZ55" s="5549" t="str" cm="1">
        <f t="array" ref="AZ55">IF(SUMPRODUCT((BC55:BH55&lt;&gt;"")*1)=0,"",SUMPRODUCT((BC55:BH55&lt;&gt;"")*(LEN(TRIM(SUBSTITUTE(BC55:BH55,CHAR(160)," "))) - LEN(SUBSTITUTE(TRIM(SUBSTITUTE(BC55:BH55,CHAR(160)," "))," ","")) + 1)) &amp; " palabra" &amp; IF(SUMPRODUCT((BC55:BH55&lt;&gt;"")*(LEN(TRIM(SUBSTITUTE(BC55:BH55,CHAR(160)," "))) - LEN(SUBSTITUTE(TRIM(SUBSTITUTE(BC55:BH55,CHAR(160)," "))," ","")) + 1))&gt;1,"s",""))</f>
        <v/>
      </c>
      <c r="BA55" s="5550" t="str" cm="1">
        <f t="array" ref="BA55">SUMPRODUCT(--(BC55:BH55&lt;&gt;""), LEN(TRIM(SUBSTITUTE(BC55:BH55, CHAR(160), "")))) &amp; " Car."</f>
        <v>0 Car.</v>
      </c>
      <c r="BB55" s="1376" t="str">
        <f>IF(ISBLANK(BC55),"",LARGE(BB44:BB54,1)+1)</f>
        <v/>
      </c>
      <c r="BC55" s="1810"/>
      <c r="BD55" s="1810"/>
      <c r="BE55" s="1810"/>
      <c r="BF55" s="1810"/>
      <c r="BG55" s="1810"/>
      <c r="BH55" s="1810"/>
      <c r="BI55" s="1810"/>
      <c r="BJ55" s="1810"/>
      <c r="BK55" s="1811"/>
      <c r="BM55" s="3"/>
    </row>
    <row r="56" spans="2:65" ht="21" customHeight="1">
      <c r="B56" s="162" t="s">
        <v>10</v>
      </c>
      <c r="C56" s="163" t="str">
        <f>C26</f>
        <v>N NOM DE VOTRE RECETTE | collez la--FAMILLE| Auteur &gt; VOUS</v>
      </c>
      <c r="D56" s="163">
        <f>D26</f>
        <v>1</v>
      </c>
      <c r="E56" s="164" t="str">
        <f>E26</f>
        <v>coupe</v>
      </c>
      <c r="F56" s="165" t="str">
        <f>F26</f>
        <v>Recette mère ► MILLE-FEUILLE  aux fraises des bois</v>
      </c>
      <c r="G56" s="1548"/>
      <c r="H56" s="1548"/>
      <c r="I56" s="2190">
        <f>ROWS(M45:M56)</f>
        <v>12</v>
      </c>
      <c r="J56" s="5549" t="str" cm="1">
        <f t="array" ref="J56">IF(SUMPRODUCT((M56:R56&lt;&gt;"")*1)=0,"",SUMPRODUCT((M56:R56&lt;&gt;"")*(LEN(TRIM(SUBSTITUTE(M56:R56,CHAR(160)," "))) - LEN(SUBSTITUTE(TRIM(SUBSTITUTE(M56:R56,CHAR(160)," "))," ","")) + 1)) &amp; " mot" &amp; IF(SUMPRODUCT((M56:R56&lt;&gt;"")*(LEN(TRIM(SUBSTITUTE(M56:R56,CHAR(160)," "))) - LEN(SUBSTITUTE(TRIM(SUBSTITUTE(M56:R56,CHAR(160)," "))," ","")) + 1))&gt;1,"s",""))</f>
        <v/>
      </c>
      <c r="K56" s="5550" t="str" cm="1">
        <f t="array" ref="K56">SUMPRODUCT(--(M56:R56&lt;&gt;""), LEN(TRIM(SUBSTITUTE(M56:R56, CHAR(160), "")))) &amp; " Car."</f>
        <v>0 Car.</v>
      </c>
      <c r="L56" s="1376" t="str">
        <f>IF(ISBLANK(M56),"",LARGE(L44:L55,1)+1)</f>
        <v/>
      </c>
      <c r="M56" s="1810"/>
      <c r="N56" s="1810"/>
      <c r="O56" s="1810"/>
      <c r="P56" s="1810"/>
      <c r="Q56" s="1810"/>
      <c r="R56" s="1810"/>
      <c r="S56" s="1810"/>
      <c r="T56" s="1810"/>
      <c r="U56" s="1811"/>
      <c r="W56" s="162" t="s">
        <v>10</v>
      </c>
      <c r="X56" s="163" t="str">
        <f>X26</f>
        <v>N NAME OF YOUR RECIPE | paste it — FAMILY|  Author &gt; YOU</v>
      </c>
      <c r="Y56" s="163">
        <f>Y26</f>
        <v>1</v>
      </c>
      <c r="Z56" s="164" t="str">
        <f>Z26</f>
        <v>coupe</v>
      </c>
      <c r="AA56" s="165" t="str">
        <f>AA26</f>
        <v>Master recipe ► MILLE-FEUILLE  aux fraises des bois</v>
      </c>
      <c r="AB56" s="1548"/>
      <c r="AC56" s="1548"/>
      <c r="AD56" s="2190">
        <f>ROWS(AH45:AH56)</f>
        <v>12</v>
      </c>
      <c r="AE56" s="5549" t="str" cm="1">
        <f t="array" ref="AE56">IF(SUMPRODUCT((AH56:AM56&lt;&gt;"")*1)=0,"",SUMPRODUCT((AH56:AM56&lt;&gt;"")*(LEN(TRIM(SUBSTITUTE(AH56:AM56,CHAR(160)," "))) - LEN(SUBSTITUTE(TRIM(SUBSTITUTE(AH56:AM56,CHAR(160)," "))," ","")) + 1)) &amp; " word" &amp; IF(SUMPRODUCT((AH56:AM56&lt;&gt;"")*(LEN(TRIM(SUBSTITUTE(AH56:AM56,CHAR(160)," "))) - LEN(SUBSTITUTE(TRIM(SUBSTITUTE(AH56:AM56,CHAR(160)," "))," ","")) + 1))&gt;1,"s",""))</f>
        <v/>
      </c>
      <c r="AF56" s="5550" t="str" cm="1">
        <f t="array" ref="AF56">SUMPRODUCT(--(AH56:AM56&lt;&gt;""), LEN(TRIM(SUBSTITUTE(AH56:AM56, CHAR(160), "")))) &amp; " Car."</f>
        <v>0 Car.</v>
      </c>
      <c r="AG56" s="1376" t="str">
        <f>IF(ISBLANK(AH56),"",LARGE(AG44:AG55,1)+1)</f>
        <v/>
      </c>
      <c r="AH56" s="1810"/>
      <c r="AI56" s="1810"/>
      <c r="AJ56" s="1810"/>
      <c r="AK56" s="1810"/>
      <c r="AL56" s="1810"/>
      <c r="AM56" s="1810"/>
      <c r="AN56" s="1810"/>
      <c r="AO56" s="1810"/>
      <c r="AP56" s="1811"/>
      <c r="AR56" s="162" t="s">
        <v>10</v>
      </c>
      <c r="AS56" s="163" t="str">
        <f>AS26</f>
        <v>N NOMBRE DE SU RECETA | pegue esto — FAMILIA| Auteur &gt; VOUS</v>
      </c>
      <c r="AT56" s="163">
        <f>AT26</f>
        <v>1</v>
      </c>
      <c r="AU56" s="164" t="str">
        <f>AU26</f>
        <v>coupe</v>
      </c>
      <c r="AV56" s="165" t="str">
        <f>AV26</f>
        <v>Receta madre ► MILLE-FEUILLE  aux fraises des bois</v>
      </c>
      <c r="AW56" s="1548"/>
      <c r="AX56" s="1548"/>
      <c r="AY56" s="2190">
        <f>ROWS(BC45:BC56)</f>
        <v>12</v>
      </c>
      <c r="AZ56" s="5549" t="str" cm="1">
        <f t="array" ref="AZ56">IF(SUMPRODUCT((BC56:BH56&lt;&gt;"")*1)=0,"",SUMPRODUCT((BC56:BH56&lt;&gt;"")*(LEN(TRIM(SUBSTITUTE(BC56:BH56,CHAR(160)," "))) - LEN(SUBSTITUTE(TRIM(SUBSTITUTE(BC56:BH56,CHAR(160)," "))," ","")) + 1)) &amp; " palabra" &amp; IF(SUMPRODUCT((BC56:BH56&lt;&gt;"")*(LEN(TRIM(SUBSTITUTE(BC56:BH56,CHAR(160)," "))) - LEN(SUBSTITUTE(TRIM(SUBSTITUTE(BC56:BH56,CHAR(160)," "))," ","")) + 1))&gt;1,"s",""))</f>
        <v/>
      </c>
      <c r="BA56" s="5550" t="str" cm="1">
        <f t="array" ref="BA56">SUMPRODUCT(--(BC56:BH56&lt;&gt;""), LEN(TRIM(SUBSTITUTE(BC56:BH56, CHAR(160), "")))) &amp; " Car."</f>
        <v>0 Car.</v>
      </c>
      <c r="BB56" s="1376" t="str">
        <f>IF(ISBLANK(BC56),"",LARGE(BB44:BB55,1)+1)</f>
        <v/>
      </c>
      <c r="BC56" s="1810"/>
      <c r="BD56" s="1810"/>
      <c r="BE56" s="1810"/>
      <c r="BF56" s="1810"/>
      <c r="BG56" s="1810"/>
      <c r="BH56" s="1810"/>
      <c r="BI56" s="1810"/>
      <c r="BJ56" s="1810"/>
      <c r="BK56" s="1811"/>
      <c r="BM56" s="3"/>
    </row>
    <row r="57" spans="2:65" ht="21" customHeight="1">
      <c r="B57" s="162" t="s">
        <v>10</v>
      </c>
      <c r="C57" s="163" t="str">
        <f>C26</f>
        <v>N NOM DE VOTRE RECETTE | collez la--FAMILLE| Auteur &gt; VOUS</v>
      </c>
      <c r="D57" s="163">
        <f>D26</f>
        <v>1</v>
      </c>
      <c r="E57" s="164" t="str">
        <f>E26</f>
        <v>coupe</v>
      </c>
      <c r="F57" s="165" t="str">
        <f>F26</f>
        <v>Recette mère ► MILLE-FEUILLE  aux fraises des bois</v>
      </c>
      <c r="G57" s="1548"/>
      <c r="H57" s="1548"/>
      <c r="I57" s="2190">
        <f>ROWS(M45:M57)</f>
        <v>13</v>
      </c>
      <c r="J57" s="5549" t="str" cm="1">
        <f t="array" ref="J57">IF(SUMPRODUCT((M57:R57&lt;&gt;"")*1)=0,"",SUMPRODUCT((M57:R57&lt;&gt;"")*(LEN(TRIM(SUBSTITUTE(M57:R57,CHAR(160)," "))) - LEN(SUBSTITUTE(TRIM(SUBSTITUTE(M57:R57,CHAR(160)," "))," ","")) + 1)) &amp; " mot" &amp; IF(SUMPRODUCT((M57:R57&lt;&gt;"")*(LEN(TRIM(SUBSTITUTE(M57:R57,CHAR(160)," "))) - LEN(SUBSTITUTE(TRIM(SUBSTITUTE(M57:R57,CHAR(160)," "))," ","")) + 1))&gt;1,"s",""))</f>
        <v/>
      </c>
      <c r="K57" s="5550" t="str" cm="1">
        <f t="array" ref="K57">SUMPRODUCT(--(M57:R57&lt;&gt;""), LEN(TRIM(SUBSTITUTE(M57:R57, CHAR(160), "")))) &amp; " Car."</f>
        <v>0 Car.</v>
      </c>
      <c r="L57" s="1376" t="str">
        <f>IF(ISBLANK(M57),"",LARGE(L44:L56,1)+1)</f>
        <v/>
      </c>
      <c r="M57" s="1810"/>
      <c r="N57" s="1810"/>
      <c r="O57" s="1810"/>
      <c r="P57" s="1810"/>
      <c r="Q57" s="1810"/>
      <c r="R57" s="1810"/>
      <c r="S57" s="1810"/>
      <c r="T57" s="1810"/>
      <c r="U57" s="1811"/>
      <c r="W57" s="162" t="s">
        <v>10</v>
      </c>
      <c r="X57" s="163" t="str">
        <f>X26</f>
        <v>N NAME OF YOUR RECIPE | paste it — FAMILY|  Author &gt; YOU</v>
      </c>
      <c r="Y57" s="163">
        <f>Y26</f>
        <v>1</v>
      </c>
      <c r="Z57" s="164" t="str">
        <f>Z26</f>
        <v>coupe</v>
      </c>
      <c r="AA57" s="165" t="str">
        <f>AA26</f>
        <v>Master recipe ► MILLE-FEUILLE  aux fraises des bois</v>
      </c>
      <c r="AB57" s="1548"/>
      <c r="AC57" s="1548"/>
      <c r="AD57" s="2190">
        <f>ROWS(AH45:AH57)</f>
        <v>13</v>
      </c>
      <c r="AE57" s="5549" t="str" cm="1">
        <f t="array" ref="AE57">IF(SUMPRODUCT((AH57:AM57&lt;&gt;"")*1)=0,"",SUMPRODUCT((AH57:AM57&lt;&gt;"")*(LEN(TRIM(SUBSTITUTE(AH57:AM57,CHAR(160)," "))) - LEN(SUBSTITUTE(TRIM(SUBSTITUTE(AH57:AM57,CHAR(160)," "))," ","")) + 1)) &amp; " word" &amp; IF(SUMPRODUCT((AH57:AM57&lt;&gt;"")*(LEN(TRIM(SUBSTITUTE(AH57:AM57,CHAR(160)," "))) - LEN(SUBSTITUTE(TRIM(SUBSTITUTE(AH57:AM57,CHAR(160)," "))," ","")) + 1))&gt;1,"s",""))</f>
        <v/>
      </c>
      <c r="AF57" s="5550" t="str" cm="1">
        <f t="array" ref="AF57">SUMPRODUCT(--(AH57:AM57&lt;&gt;""), LEN(TRIM(SUBSTITUTE(AH57:AM57, CHAR(160), "")))) &amp; " Car."</f>
        <v>0 Car.</v>
      </c>
      <c r="AG57" s="1376" t="str">
        <f>IF(ISBLANK(AH57),"",LARGE(AG44:AG56,1)+1)</f>
        <v/>
      </c>
      <c r="AH57" s="1810"/>
      <c r="AI57" s="1810"/>
      <c r="AJ57" s="1810"/>
      <c r="AK57" s="1810"/>
      <c r="AL57" s="1810"/>
      <c r="AM57" s="1810"/>
      <c r="AN57" s="1810"/>
      <c r="AO57" s="1810"/>
      <c r="AP57" s="1811"/>
      <c r="AR57" s="162" t="s">
        <v>10</v>
      </c>
      <c r="AS57" s="163" t="str">
        <f>AS26</f>
        <v>N NOMBRE DE SU RECETA | pegue esto — FAMILIA| Auteur &gt; VOUS</v>
      </c>
      <c r="AT57" s="163">
        <f>AT26</f>
        <v>1</v>
      </c>
      <c r="AU57" s="164" t="str">
        <f>AU26</f>
        <v>coupe</v>
      </c>
      <c r="AV57" s="165" t="str">
        <f>AV26</f>
        <v>Receta madre ► MILLE-FEUILLE  aux fraises des bois</v>
      </c>
      <c r="AW57" s="1548"/>
      <c r="AX57" s="1548"/>
      <c r="AY57" s="2190">
        <f>ROWS(BC45:BC57)</f>
        <v>13</v>
      </c>
      <c r="AZ57" s="5549" t="str" cm="1">
        <f t="array" ref="AZ57">IF(SUMPRODUCT((BC57:BH57&lt;&gt;"")*1)=0,"",SUMPRODUCT((BC57:BH57&lt;&gt;"")*(LEN(TRIM(SUBSTITUTE(BC57:BH57,CHAR(160)," "))) - LEN(SUBSTITUTE(TRIM(SUBSTITUTE(BC57:BH57,CHAR(160)," "))," ","")) + 1)) &amp; " palabra" &amp; IF(SUMPRODUCT((BC57:BH57&lt;&gt;"")*(LEN(TRIM(SUBSTITUTE(BC57:BH57,CHAR(160)," "))) - LEN(SUBSTITUTE(TRIM(SUBSTITUTE(BC57:BH57,CHAR(160)," "))," ","")) + 1))&gt;1,"s",""))</f>
        <v/>
      </c>
      <c r="BA57" s="5550" t="str" cm="1">
        <f t="array" ref="BA57">SUMPRODUCT(--(BC57:BH57&lt;&gt;""), LEN(TRIM(SUBSTITUTE(BC57:BH57, CHAR(160), "")))) &amp; " Car."</f>
        <v>0 Car.</v>
      </c>
      <c r="BB57" s="1376" t="str">
        <f>IF(ISBLANK(BC57),"",LARGE(BB44:BB56,1)+1)</f>
        <v/>
      </c>
      <c r="BC57" s="1810"/>
      <c r="BD57" s="1810"/>
      <c r="BE57" s="1810"/>
      <c r="BF57" s="1810"/>
      <c r="BG57" s="1810"/>
      <c r="BH57" s="1810"/>
      <c r="BI57" s="1810"/>
      <c r="BJ57" s="1810"/>
      <c r="BK57" s="1811"/>
      <c r="BM57" s="3"/>
    </row>
    <row r="58" spans="2:65" ht="21" customHeight="1">
      <c r="B58" s="162" t="s">
        <v>10</v>
      </c>
      <c r="C58" s="163" t="str">
        <f>C26</f>
        <v>N NOM DE VOTRE RECETTE | collez la--FAMILLE| Auteur &gt; VOUS</v>
      </c>
      <c r="D58" s="163">
        <f>D26</f>
        <v>1</v>
      </c>
      <c r="E58" s="164" t="str">
        <f>E26</f>
        <v>coupe</v>
      </c>
      <c r="F58" s="165" t="str">
        <f>F26</f>
        <v>Recette mère ► MILLE-FEUILLE  aux fraises des bois</v>
      </c>
      <c r="G58" s="1548"/>
      <c r="H58" s="1548"/>
      <c r="I58" s="2190">
        <f>ROWS(M45:M58)</f>
        <v>14</v>
      </c>
      <c r="J58" s="5549" t="str" cm="1">
        <f t="array" ref="J58">IF(SUMPRODUCT((M58:R58&lt;&gt;"")*1)=0,"",SUMPRODUCT((M58:R58&lt;&gt;"")*(LEN(TRIM(SUBSTITUTE(M58:R58,CHAR(160)," "))) - LEN(SUBSTITUTE(TRIM(SUBSTITUTE(M58:R58,CHAR(160)," "))," ","")) + 1)) &amp; " mot" &amp; IF(SUMPRODUCT((M58:R58&lt;&gt;"")*(LEN(TRIM(SUBSTITUTE(M58:R58,CHAR(160)," "))) - LEN(SUBSTITUTE(TRIM(SUBSTITUTE(M58:R58,CHAR(160)," "))," ","")) + 1))&gt;1,"s",""))</f>
        <v/>
      </c>
      <c r="K58" s="5550" t="str" cm="1">
        <f t="array" ref="K58">SUMPRODUCT(--(M58:R58&lt;&gt;""), LEN(TRIM(SUBSTITUTE(M58:R58, CHAR(160), "")))) &amp; " Car."</f>
        <v>0 Car.</v>
      </c>
      <c r="L58" s="1376" t="str">
        <f>IF(ISBLANK(M58),"",LARGE(L44:L57,1)+1)</f>
        <v/>
      </c>
      <c r="M58" s="1810"/>
      <c r="N58" s="1810"/>
      <c r="O58" s="1810"/>
      <c r="P58" s="1810"/>
      <c r="Q58" s="1810"/>
      <c r="R58" s="1810"/>
      <c r="S58" s="1810"/>
      <c r="T58" s="1810"/>
      <c r="U58" s="1811"/>
      <c r="W58" s="162" t="s">
        <v>10</v>
      </c>
      <c r="X58" s="163" t="str">
        <f>X26</f>
        <v>N NAME OF YOUR RECIPE | paste it — FAMILY|  Author &gt; YOU</v>
      </c>
      <c r="Y58" s="163">
        <f>Y26</f>
        <v>1</v>
      </c>
      <c r="Z58" s="164" t="str">
        <f>Z26</f>
        <v>coupe</v>
      </c>
      <c r="AA58" s="165" t="str">
        <f>AA26</f>
        <v>Master recipe ► MILLE-FEUILLE  aux fraises des bois</v>
      </c>
      <c r="AB58" s="1548"/>
      <c r="AC58" s="1548"/>
      <c r="AD58" s="2190">
        <f>ROWS(AH45:AH58)</f>
        <v>14</v>
      </c>
      <c r="AE58" s="5549" t="str" cm="1">
        <f t="array" ref="AE58">IF(SUMPRODUCT((AH58:AM58&lt;&gt;"")*1)=0,"",SUMPRODUCT((AH58:AM58&lt;&gt;"")*(LEN(TRIM(SUBSTITUTE(AH58:AM58,CHAR(160)," "))) - LEN(SUBSTITUTE(TRIM(SUBSTITUTE(AH58:AM58,CHAR(160)," "))," ","")) + 1)) &amp; " word" &amp; IF(SUMPRODUCT((AH58:AM58&lt;&gt;"")*(LEN(TRIM(SUBSTITUTE(AH58:AM58,CHAR(160)," "))) - LEN(SUBSTITUTE(TRIM(SUBSTITUTE(AH58:AM58,CHAR(160)," "))," ","")) + 1))&gt;1,"s",""))</f>
        <v/>
      </c>
      <c r="AF58" s="5550" t="str" cm="1">
        <f t="array" ref="AF58">SUMPRODUCT(--(AH58:AM58&lt;&gt;""), LEN(TRIM(SUBSTITUTE(AH58:AM58, CHAR(160), "")))) &amp; " Car."</f>
        <v>0 Car.</v>
      </c>
      <c r="AG58" s="1376" t="str">
        <f>IF(ISBLANK(AH58),"",LARGE(AG44:AG57,1)+1)</f>
        <v/>
      </c>
      <c r="AH58" s="1810"/>
      <c r="AI58" s="1810"/>
      <c r="AJ58" s="1810"/>
      <c r="AK58" s="1810"/>
      <c r="AL58" s="1810"/>
      <c r="AM58" s="1810"/>
      <c r="AN58" s="1810"/>
      <c r="AO58" s="1810"/>
      <c r="AP58" s="1811"/>
      <c r="AR58" s="162" t="s">
        <v>10</v>
      </c>
      <c r="AS58" s="163" t="str">
        <f>AS26</f>
        <v>N NOMBRE DE SU RECETA | pegue esto — FAMILIA| Auteur &gt; VOUS</v>
      </c>
      <c r="AT58" s="163">
        <f>AT26</f>
        <v>1</v>
      </c>
      <c r="AU58" s="164" t="str">
        <f>AU26</f>
        <v>coupe</v>
      </c>
      <c r="AV58" s="165" t="str">
        <f>AV26</f>
        <v>Receta madre ► MILLE-FEUILLE  aux fraises des bois</v>
      </c>
      <c r="AW58" s="1548"/>
      <c r="AX58" s="1548"/>
      <c r="AY58" s="2190">
        <f>ROWS(BC45:BC58)</f>
        <v>14</v>
      </c>
      <c r="AZ58" s="5549" t="str" cm="1">
        <f t="array" ref="AZ58">IF(SUMPRODUCT((BC58:BH58&lt;&gt;"")*1)=0,"",SUMPRODUCT((BC58:BH58&lt;&gt;"")*(LEN(TRIM(SUBSTITUTE(BC58:BH58,CHAR(160)," "))) - LEN(SUBSTITUTE(TRIM(SUBSTITUTE(BC58:BH58,CHAR(160)," "))," ","")) + 1)) &amp; " palabra" &amp; IF(SUMPRODUCT((BC58:BH58&lt;&gt;"")*(LEN(TRIM(SUBSTITUTE(BC58:BH58,CHAR(160)," "))) - LEN(SUBSTITUTE(TRIM(SUBSTITUTE(BC58:BH58,CHAR(160)," "))," ","")) + 1))&gt;1,"s",""))</f>
        <v/>
      </c>
      <c r="BA58" s="5550" t="str" cm="1">
        <f t="array" ref="BA58">SUMPRODUCT(--(BC58:BH58&lt;&gt;""), LEN(TRIM(SUBSTITUTE(BC58:BH58, CHAR(160), "")))) &amp; " Car."</f>
        <v>0 Car.</v>
      </c>
      <c r="BB58" s="1376" t="str">
        <f>IF(ISBLANK(BC58),"",LARGE(BB44:BB57,1)+1)</f>
        <v/>
      </c>
      <c r="BC58" s="1810"/>
      <c r="BD58" s="1810"/>
      <c r="BE58" s="1810"/>
      <c r="BF58" s="1810"/>
      <c r="BG58" s="1810"/>
      <c r="BH58" s="1810"/>
      <c r="BI58" s="1810"/>
      <c r="BJ58" s="1810"/>
      <c r="BK58" s="1811"/>
      <c r="BM58" s="3"/>
    </row>
    <row r="59" spans="2:65" ht="21" customHeight="1">
      <c r="B59" s="162" t="s">
        <v>10</v>
      </c>
      <c r="C59" s="163" t="str">
        <f>C26</f>
        <v>N NOM DE VOTRE RECETTE | collez la--FAMILLE| Auteur &gt; VOUS</v>
      </c>
      <c r="D59" s="163">
        <f>D26</f>
        <v>1</v>
      </c>
      <c r="E59" s="164" t="str">
        <f>E26</f>
        <v>coupe</v>
      </c>
      <c r="F59" s="165" t="str">
        <f>F26</f>
        <v>Recette mère ► MILLE-FEUILLE  aux fraises des bois</v>
      </c>
      <c r="G59" s="1548"/>
      <c r="H59" s="1548"/>
      <c r="I59" s="2190">
        <f>ROWS(M45:M59)</f>
        <v>15</v>
      </c>
      <c r="J59" s="5549" t="str" cm="1">
        <f t="array" ref="J59">IF(SUMPRODUCT((M59:R59&lt;&gt;"")*1)=0,"",SUMPRODUCT((M59:R59&lt;&gt;"")*(LEN(TRIM(SUBSTITUTE(M59:R59,CHAR(160)," "))) - LEN(SUBSTITUTE(TRIM(SUBSTITUTE(M59:R59,CHAR(160)," "))," ","")) + 1)) &amp; " mot" &amp; IF(SUMPRODUCT((M59:R59&lt;&gt;"")*(LEN(TRIM(SUBSTITUTE(M59:R59,CHAR(160)," "))) - LEN(SUBSTITUTE(TRIM(SUBSTITUTE(M59:R59,CHAR(160)," "))," ","")) + 1))&gt;1,"s",""))</f>
        <v/>
      </c>
      <c r="K59" s="5550" t="str" cm="1">
        <f t="array" ref="K59">SUMPRODUCT(--(M59:R59&lt;&gt;""), LEN(TRIM(SUBSTITUTE(M59:R59, CHAR(160), "")))) &amp; " Car."</f>
        <v>0 Car.</v>
      </c>
      <c r="L59" s="1376" t="str">
        <f>IF(ISBLANK(M59),"",LARGE(L44:L58,1)+1)</f>
        <v/>
      </c>
      <c r="M59" s="1810"/>
      <c r="N59" s="1810"/>
      <c r="O59" s="1810"/>
      <c r="P59" s="1810"/>
      <c r="Q59" s="1810"/>
      <c r="R59" s="1810"/>
      <c r="S59" s="1810"/>
      <c r="T59" s="1810"/>
      <c r="U59" s="1811"/>
      <c r="W59" s="162" t="s">
        <v>10</v>
      </c>
      <c r="X59" s="163" t="str">
        <f>X26</f>
        <v>N NAME OF YOUR RECIPE | paste it — FAMILY|  Author &gt; YOU</v>
      </c>
      <c r="Y59" s="163">
        <f>Y26</f>
        <v>1</v>
      </c>
      <c r="Z59" s="164" t="str">
        <f>Z26</f>
        <v>coupe</v>
      </c>
      <c r="AA59" s="165" t="str">
        <f>AA26</f>
        <v>Master recipe ► MILLE-FEUILLE  aux fraises des bois</v>
      </c>
      <c r="AB59" s="1548"/>
      <c r="AC59" s="1548"/>
      <c r="AD59" s="2190">
        <f>ROWS(AH45:AH59)</f>
        <v>15</v>
      </c>
      <c r="AE59" s="5549" t="str" cm="1">
        <f t="array" ref="AE59">IF(SUMPRODUCT((AH59:AM59&lt;&gt;"")*1)=0,"",SUMPRODUCT((AH59:AM59&lt;&gt;"")*(LEN(TRIM(SUBSTITUTE(AH59:AM59,CHAR(160)," "))) - LEN(SUBSTITUTE(TRIM(SUBSTITUTE(AH59:AM59,CHAR(160)," "))," ","")) + 1)) &amp; " word" &amp; IF(SUMPRODUCT((AH59:AM59&lt;&gt;"")*(LEN(TRIM(SUBSTITUTE(AH59:AM59,CHAR(160)," "))) - LEN(SUBSTITUTE(TRIM(SUBSTITUTE(AH59:AM59,CHAR(160)," "))," ","")) + 1))&gt;1,"s",""))</f>
        <v/>
      </c>
      <c r="AF59" s="5550" t="str" cm="1">
        <f t="array" ref="AF59">SUMPRODUCT(--(AH59:AM59&lt;&gt;""), LEN(TRIM(SUBSTITUTE(AH59:AM59, CHAR(160), "")))) &amp; " Car."</f>
        <v>0 Car.</v>
      </c>
      <c r="AG59" s="1376" t="str">
        <f>IF(ISBLANK(AH59),"",LARGE(AG44:AG58,1)+1)</f>
        <v/>
      </c>
      <c r="AH59" s="1810"/>
      <c r="AI59" s="1810"/>
      <c r="AJ59" s="1810"/>
      <c r="AK59" s="1810"/>
      <c r="AL59" s="1810"/>
      <c r="AM59" s="1810"/>
      <c r="AN59" s="1810"/>
      <c r="AO59" s="1810"/>
      <c r="AP59" s="1811"/>
      <c r="AR59" s="162" t="s">
        <v>10</v>
      </c>
      <c r="AS59" s="163" t="str">
        <f>AS26</f>
        <v>N NOMBRE DE SU RECETA | pegue esto — FAMILIA| Auteur &gt; VOUS</v>
      </c>
      <c r="AT59" s="163">
        <f>AT26</f>
        <v>1</v>
      </c>
      <c r="AU59" s="164" t="str">
        <f>AU26</f>
        <v>coupe</v>
      </c>
      <c r="AV59" s="165" t="str">
        <f>AV26</f>
        <v>Receta madre ► MILLE-FEUILLE  aux fraises des bois</v>
      </c>
      <c r="AW59" s="1548"/>
      <c r="AX59" s="1548"/>
      <c r="AY59" s="2190">
        <f>ROWS(BC45:BC59)</f>
        <v>15</v>
      </c>
      <c r="AZ59" s="5549" t="str" cm="1">
        <f t="array" ref="AZ59">IF(SUMPRODUCT((BC59:BH59&lt;&gt;"")*1)=0,"",SUMPRODUCT((BC59:BH59&lt;&gt;"")*(LEN(TRIM(SUBSTITUTE(BC59:BH59,CHAR(160)," "))) - LEN(SUBSTITUTE(TRIM(SUBSTITUTE(BC59:BH59,CHAR(160)," "))," ","")) + 1)) &amp; " palabra" &amp; IF(SUMPRODUCT((BC59:BH59&lt;&gt;"")*(LEN(TRIM(SUBSTITUTE(BC59:BH59,CHAR(160)," "))) - LEN(SUBSTITUTE(TRIM(SUBSTITUTE(BC59:BH59,CHAR(160)," "))," ","")) + 1))&gt;1,"s",""))</f>
        <v/>
      </c>
      <c r="BA59" s="5550" t="str" cm="1">
        <f t="array" ref="BA59">SUMPRODUCT(--(BC59:BH59&lt;&gt;""), LEN(TRIM(SUBSTITUTE(BC59:BH59, CHAR(160), "")))) &amp; " Car."</f>
        <v>0 Car.</v>
      </c>
      <c r="BB59" s="1376" t="str">
        <f>IF(ISBLANK(BC59),"",LARGE(BB44:BB58,1)+1)</f>
        <v/>
      </c>
      <c r="BC59" s="1810"/>
      <c r="BD59" s="1810"/>
      <c r="BE59" s="1810"/>
      <c r="BF59" s="1810"/>
      <c r="BG59" s="1810"/>
      <c r="BH59" s="1810"/>
      <c r="BI59" s="1810"/>
      <c r="BJ59" s="1810"/>
      <c r="BK59" s="1811"/>
      <c r="BM59" s="3"/>
    </row>
    <row r="60" spans="2:65" ht="21" customHeight="1">
      <c r="B60" s="162" t="s">
        <v>10</v>
      </c>
      <c r="C60" s="163" t="str">
        <f>C26</f>
        <v>N NOM DE VOTRE RECETTE | collez la--FAMILLE| Auteur &gt; VOUS</v>
      </c>
      <c r="D60" s="163">
        <f>D26</f>
        <v>1</v>
      </c>
      <c r="E60" s="164" t="str">
        <f>E26</f>
        <v>coupe</v>
      </c>
      <c r="F60" s="165" t="str">
        <f>F26</f>
        <v>Recette mère ► MILLE-FEUILLE  aux fraises des bois</v>
      </c>
      <c r="G60" s="1548"/>
      <c r="H60" s="1548"/>
      <c r="I60" s="2190">
        <f>ROWS(M45:M60)</f>
        <v>16</v>
      </c>
      <c r="J60" s="5549" t="str" cm="1">
        <f t="array" ref="J60">IF(SUMPRODUCT((M60:R60&lt;&gt;"")*1)=0,"",SUMPRODUCT((M60:R60&lt;&gt;"")*(LEN(TRIM(SUBSTITUTE(M60:R60,CHAR(160)," "))) - LEN(SUBSTITUTE(TRIM(SUBSTITUTE(M60:R60,CHAR(160)," "))," ","")) + 1)) &amp; " mot" &amp; IF(SUMPRODUCT((M60:R60&lt;&gt;"")*(LEN(TRIM(SUBSTITUTE(M60:R60,CHAR(160)," "))) - LEN(SUBSTITUTE(TRIM(SUBSTITUTE(M60:R60,CHAR(160)," "))," ","")) + 1))&gt;1,"s",""))</f>
        <v/>
      </c>
      <c r="K60" s="5550" t="str" cm="1">
        <f t="array" ref="K60">SUMPRODUCT(--(M60:R60&lt;&gt;""), LEN(TRIM(SUBSTITUTE(M60:R60, CHAR(160), "")))) &amp; " Car."</f>
        <v>0 Car.</v>
      </c>
      <c r="L60" s="1376" t="str">
        <f>IF(ISBLANK(M60),"",LARGE(L44:L59,1)+1)</f>
        <v/>
      </c>
      <c r="M60" s="1810"/>
      <c r="N60" s="1810"/>
      <c r="O60" s="1810"/>
      <c r="P60" s="1810"/>
      <c r="Q60" s="1810"/>
      <c r="R60" s="1810"/>
      <c r="S60" s="1810"/>
      <c r="T60" s="1810"/>
      <c r="U60" s="1811"/>
      <c r="W60" s="162" t="s">
        <v>10</v>
      </c>
      <c r="X60" s="163" t="str">
        <f>X26</f>
        <v>N NAME OF YOUR RECIPE | paste it — FAMILY|  Author &gt; YOU</v>
      </c>
      <c r="Y60" s="163">
        <f>Y26</f>
        <v>1</v>
      </c>
      <c r="Z60" s="164" t="str">
        <f>Z26</f>
        <v>coupe</v>
      </c>
      <c r="AA60" s="165" t="str">
        <f>AA26</f>
        <v>Master recipe ► MILLE-FEUILLE  aux fraises des bois</v>
      </c>
      <c r="AB60" s="1548"/>
      <c r="AC60" s="1548"/>
      <c r="AD60" s="2190">
        <f>ROWS(AH45:AH60)</f>
        <v>16</v>
      </c>
      <c r="AE60" s="5549" t="str" cm="1">
        <f t="array" ref="AE60">IF(SUMPRODUCT((AH60:AM60&lt;&gt;"")*1)=0,"",SUMPRODUCT((AH60:AM60&lt;&gt;"")*(LEN(TRIM(SUBSTITUTE(AH60:AM60,CHAR(160)," "))) - LEN(SUBSTITUTE(TRIM(SUBSTITUTE(AH60:AM60,CHAR(160)," "))," ","")) + 1)) &amp; " word" &amp; IF(SUMPRODUCT((AH60:AM60&lt;&gt;"")*(LEN(TRIM(SUBSTITUTE(AH60:AM60,CHAR(160)," "))) - LEN(SUBSTITUTE(TRIM(SUBSTITUTE(AH60:AM60,CHAR(160)," "))," ","")) + 1))&gt;1,"s",""))</f>
        <v/>
      </c>
      <c r="AF60" s="5550" t="str" cm="1">
        <f t="array" ref="AF60">SUMPRODUCT(--(AH60:AM60&lt;&gt;""), LEN(TRIM(SUBSTITUTE(AH60:AM60, CHAR(160), "")))) &amp; " Car."</f>
        <v>0 Car.</v>
      </c>
      <c r="AG60" s="1376" t="str">
        <f>IF(ISBLANK(AH60),"",LARGE(AG44:AG59,1)+1)</f>
        <v/>
      </c>
      <c r="AH60" s="1810"/>
      <c r="AI60" s="1810"/>
      <c r="AJ60" s="1810"/>
      <c r="AK60" s="1810"/>
      <c r="AL60" s="1810"/>
      <c r="AM60" s="1810"/>
      <c r="AN60" s="1810"/>
      <c r="AO60" s="1810"/>
      <c r="AP60" s="1811"/>
      <c r="AR60" s="162" t="s">
        <v>10</v>
      </c>
      <c r="AS60" s="163" t="str">
        <f>AS26</f>
        <v>N NOMBRE DE SU RECETA | pegue esto — FAMILIA| Auteur &gt; VOUS</v>
      </c>
      <c r="AT60" s="163">
        <f>AT26</f>
        <v>1</v>
      </c>
      <c r="AU60" s="164" t="str">
        <f>AU26</f>
        <v>coupe</v>
      </c>
      <c r="AV60" s="165" t="str">
        <f>AV26</f>
        <v>Receta madre ► MILLE-FEUILLE  aux fraises des bois</v>
      </c>
      <c r="AW60" s="1548"/>
      <c r="AX60" s="1548"/>
      <c r="AY60" s="2190">
        <f>ROWS(BC45:BC60)</f>
        <v>16</v>
      </c>
      <c r="AZ60" s="5549" t="str" cm="1">
        <f t="array" ref="AZ60">IF(SUMPRODUCT((BC60:BH60&lt;&gt;"")*1)=0,"",SUMPRODUCT((BC60:BH60&lt;&gt;"")*(LEN(TRIM(SUBSTITUTE(BC60:BH60,CHAR(160)," "))) - LEN(SUBSTITUTE(TRIM(SUBSTITUTE(BC60:BH60,CHAR(160)," "))," ","")) + 1)) &amp; " palabra" &amp; IF(SUMPRODUCT((BC60:BH60&lt;&gt;"")*(LEN(TRIM(SUBSTITUTE(BC60:BH60,CHAR(160)," "))) - LEN(SUBSTITUTE(TRIM(SUBSTITUTE(BC60:BH60,CHAR(160)," "))," ","")) + 1))&gt;1,"s",""))</f>
        <v/>
      </c>
      <c r="BA60" s="5550" t="str" cm="1">
        <f t="array" ref="BA60">SUMPRODUCT(--(BC60:BH60&lt;&gt;""), LEN(TRIM(SUBSTITUTE(BC60:BH60, CHAR(160), "")))) &amp; " Car."</f>
        <v>0 Car.</v>
      </c>
      <c r="BB60" s="1376" t="str">
        <f>IF(ISBLANK(BC60),"",LARGE(BB44:BB59,1)+1)</f>
        <v/>
      </c>
      <c r="BC60" s="1810"/>
      <c r="BD60" s="1810"/>
      <c r="BE60" s="1810"/>
      <c r="BF60" s="1810"/>
      <c r="BG60" s="1810"/>
      <c r="BH60" s="1810"/>
      <c r="BI60" s="1810"/>
      <c r="BJ60" s="1810"/>
      <c r="BK60" s="1811"/>
      <c r="BM60" s="3"/>
    </row>
    <row r="61" spans="2:65" ht="21" customHeight="1">
      <c r="B61" s="162" t="s">
        <v>10</v>
      </c>
      <c r="C61" s="163" t="str">
        <f>C26</f>
        <v>N NOM DE VOTRE RECETTE | collez la--FAMILLE| Auteur &gt; VOUS</v>
      </c>
      <c r="D61" s="1943">
        <f>D26</f>
        <v>1</v>
      </c>
      <c r="E61" s="164" t="str">
        <f>E26</f>
        <v>coupe</v>
      </c>
      <c r="F61" s="165" t="str">
        <f>F26</f>
        <v>Recette mère ► MILLE-FEUILLE  aux fraises des bois</v>
      </c>
      <c r="G61" s="1548"/>
      <c r="H61" s="1548"/>
      <c r="I61" s="2190">
        <f>ROWS(M45:M61)</f>
        <v>17</v>
      </c>
      <c r="J61" s="5549" t="str" cm="1">
        <f t="array" ref="J61">IF(SUMPRODUCT((M61:R61&lt;&gt;"")*1)=0,"",SUMPRODUCT((M61:R61&lt;&gt;"")*(LEN(TRIM(SUBSTITUTE(M61:R61,CHAR(160)," "))) - LEN(SUBSTITUTE(TRIM(SUBSTITUTE(M61:R61,CHAR(160)," "))," ","")) + 1)) &amp; " mot" &amp; IF(SUMPRODUCT((M61:R61&lt;&gt;"")*(LEN(TRIM(SUBSTITUTE(M61:R61,CHAR(160)," "))) - LEN(SUBSTITUTE(TRIM(SUBSTITUTE(M61:R61,CHAR(160)," "))," ","")) + 1))&gt;1,"s",""))</f>
        <v/>
      </c>
      <c r="K61" s="5550" t="str" cm="1">
        <f t="array" ref="K61">SUMPRODUCT(--(M61:R61&lt;&gt;""), LEN(TRIM(SUBSTITUTE(M61:R61, CHAR(160), "")))) &amp; " Car."</f>
        <v>0 Car.</v>
      </c>
      <c r="L61" s="1376" t="str">
        <f>IF(ISBLANK(M61),"",LARGE(L44:L60,1)+1)</f>
        <v/>
      </c>
      <c r="M61" s="1810"/>
      <c r="N61" s="1810"/>
      <c r="O61" s="1810"/>
      <c r="P61" s="1810"/>
      <c r="Q61" s="1810"/>
      <c r="R61" s="1810"/>
      <c r="S61" s="1810"/>
      <c r="T61" s="1810"/>
      <c r="U61" s="1811"/>
      <c r="W61" s="162" t="s">
        <v>10</v>
      </c>
      <c r="X61" s="163" t="str">
        <f>X26</f>
        <v>N NAME OF YOUR RECIPE | paste it — FAMILY|  Author &gt; YOU</v>
      </c>
      <c r="Y61" s="1943">
        <f>Y26</f>
        <v>1</v>
      </c>
      <c r="Z61" s="164" t="str">
        <f>Z26</f>
        <v>coupe</v>
      </c>
      <c r="AA61" s="165" t="str">
        <f>AA26</f>
        <v>Master recipe ► MILLE-FEUILLE  aux fraises des bois</v>
      </c>
      <c r="AB61" s="1548"/>
      <c r="AC61" s="1548"/>
      <c r="AD61" s="2190">
        <f>ROWS(AH45:AH61)</f>
        <v>17</v>
      </c>
      <c r="AE61" s="5549" t="str" cm="1">
        <f t="array" ref="AE61">IF(SUMPRODUCT((AH61:AM61&lt;&gt;"")*1)=0,"",SUMPRODUCT((AH61:AM61&lt;&gt;"")*(LEN(TRIM(SUBSTITUTE(AH61:AM61,CHAR(160)," "))) - LEN(SUBSTITUTE(TRIM(SUBSTITUTE(AH61:AM61,CHAR(160)," "))," ","")) + 1)) &amp; " word" &amp; IF(SUMPRODUCT((AH61:AM61&lt;&gt;"")*(LEN(TRIM(SUBSTITUTE(AH61:AM61,CHAR(160)," "))) - LEN(SUBSTITUTE(TRIM(SUBSTITUTE(AH61:AM61,CHAR(160)," "))," ","")) + 1))&gt;1,"s",""))</f>
        <v/>
      </c>
      <c r="AF61" s="5550" t="str" cm="1">
        <f t="array" ref="AF61">SUMPRODUCT(--(AH61:AM61&lt;&gt;""), LEN(TRIM(SUBSTITUTE(AH61:AM61, CHAR(160), "")))) &amp; " Car."</f>
        <v>0 Car.</v>
      </c>
      <c r="AG61" s="1376" t="str">
        <f>IF(ISBLANK(AH61),"",LARGE(AG44:AG60,1)+1)</f>
        <v/>
      </c>
      <c r="AH61" s="1810"/>
      <c r="AI61" s="1810"/>
      <c r="AJ61" s="1810"/>
      <c r="AK61" s="1810"/>
      <c r="AL61" s="1810"/>
      <c r="AM61" s="1810"/>
      <c r="AN61" s="1810"/>
      <c r="AO61" s="1810"/>
      <c r="AP61" s="1811"/>
      <c r="AR61" s="162" t="s">
        <v>10</v>
      </c>
      <c r="AS61" s="163" t="str">
        <f>AS26</f>
        <v>N NOMBRE DE SU RECETA | pegue esto — FAMILIA| Auteur &gt; VOUS</v>
      </c>
      <c r="AT61" s="1943">
        <f>AT26</f>
        <v>1</v>
      </c>
      <c r="AU61" s="164" t="str">
        <f>AU26</f>
        <v>coupe</v>
      </c>
      <c r="AV61" s="165" t="str">
        <f>AV26</f>
        <v>Receta madre ► MILLE-FEUILLE  aux fraises des bois</v>
      </c>
      <c r="AW61" s="1548"/>
      <c r="AX61" s="1548"/>
      <c r="AY61" s="2190">
        <f>ROWS(BC45:BC61)</f>
        <v>17</v>
      </c>
      <c r="AZ61" s="5549" t="str" cm="1">
        <f t="array" ref="AZ61">IF(SUMPRODUCT((BC61:BH61&lt;&gt;"")*1)=0,"",SUMPRODUCT((BC61:BH61&lt;&gt;"")*(LEN(TRIM(SUBSTITUTE(BC61:BH61,CHAR(160)," "))) - LEN(SUBSTITUTE(TRIM(SUBSTITUTE(BC61:BH61,CHAR(160)," "))," ","")) + 1)) &amp; " palabra" &amp; IF(SUMPRODUCT((BC61:BH61&lt;&gt;"")*(LEN(TRIM(SUBSTITUTE(BC61:BH61,CHAR(160)," "))) - LEN(SUBSTITUTE(TRIM(SUBSTITUTE(BC61:BH61,CHAR(160)," "))," ","")) + 1))&gt;1,"s",""))</f>
        <v/>
      </c>
      <c r="BA61" s="5550" t="str" cm="1">
        <f t="array" ref="BA61">SUMPRODUCT(--(BC61:BH61&lt;&gt;""), LEN(TRIM(SUBSTITUTE(BC61:BH61, CHAR(160), "")))) &amp; " Car."</f>
        <v>0 Car.</v>
      </c>
      <c r="BB61" s="1376" t="str">
        <f>IF(ISBLANK(BC61),"",LARGE(BB44:BB60,1)+1)</f>
        <v/>
      </c>
      <c r="BC61" s="1810"/>
      <c r="BD61" s="1810"/>
      <c r="BE61" s="1810"/>
      <c r="BF61" s="1810"/>
      <c r="BG61" s="1810"/>
      <c r="BH61" s="1810"/>
      <c r="BI61" s="1810"/>
      <c r="BJ61" s="1810"/>
      <c r="BK61" s="1811"/>
      <c r="BM61" s="3">
        <v>1</v>
      </c>
    </row>
    <row r="62" spans="2:65" ht="21" customHeight="1">
      <c r="B62" s="162" t="s">
        <v>10</v>
      </c>
      <c r="C62" s="163" t="str">
        <f>C26</f>
        <v>N NOM DE VOTRE RECETTE | collez la--FAMILLE| Auteur &gt; VOUS</v>
      </c>
      <c r="D62" s="163">
        <f>D26</f>
        <v>1</v>
      </c>
      <c r="E62" s="164" t="str">
        <f>E26</f>
        <v>coupe</v>
      </c>
      <c r="F62" s="165" t="str">
        <f>F26</f>
        <v>Recette mère ► MILLE-FEUILLE  aux fraises des bois</v>
      </c>
      <c r="G62" s="1548"/>
      <c r="H62" s="1548"/>
      <c r="I62" s="2190">
        <f>ROWS(M45:M62)</f>
        <v>18</v>
      </c>
      <c r="J62" s="5549" t="str" cm="1">
        <f t="array" ref="J62">IF(SUMPRODUCT((M62:R62&lt;&gt;"")*1)=0,"",SUMPRODUCT((M62:R62&lt;&gt;"")*(LEN(TRIM(SUBSTITUTE(M62:R62,CHAR(160)," "))) - LEN(SUBSTITUTE(TRIM(SUBSTITUTE(M62:R62,CHAR(160)," "))," ","")) + 1)) &amp; " mot" &amp; IF(SUMPRODUCT((M62:R62&lt;&gt;"")*(LEN(TRIM(SUBSTITUTE(M62:R62,CHAR(160)," "))) - LEN(SUBSTITUTE(TRIM(SUBSTITUTE(M62:R62,CHAR(160)," "))," ","")) + 1))&gt;1,"s",""))</f>
        <v>13 mots</v>
      </c>
      <c r="K62" s="5550" t="str" cm="1">
        <f t="array" ref="K62">SUMPRODUCT(--(M62:R62&lt;&gt;""), LEN(TRIM(SUBSTITUTE(M62:R62, CHAR(160), "")))) &amp; " Car."</f>
        <v>80 Car.</v>
      </c>
      <c r="L62" s="1376" t="str">
        <f>IF(ISBLANK(M62),"",LARGE(L44:L61,1)+1)</f>
        <v/>
      </c>
      <c r="M62" s="1810"/>
      <c r="N62" s="1810" t="s">
        <v>14252</v>
      </c>
      <c r="O62" s="1810"/>
      <c r="P62" s="1810"/>
      <c r="Q62" s="1810"/>
      <c r="R62" s="1810"/>
      <c r="S62" s="1810"/>
      <c r="T62" s="1810"/>
      <c r="U62" s="1811"/>
      <c r="W62" s="162" t="s">
        <v>10</v>
      </c>
      <c r="X62" s="163" t="str">
        <f>X26</f>
        <v>N NAME OF YOUR RECIPE | paste it — FAMILY|  Author &gt; YOU</v>
      </c>
      <c r="Y62" s="163">
        <f>Y26</f>
        <v>1</v>
      </c>
      <c r="Z62" s="164" t="str">
        <f>Z26</f>
        <v>coupe</v>
      </c>
      <c r="AA62" s="165" t="str">
        <f>AA26</f>
        <v>Master recipe ► MILLE-FEUILLE  aux fraises des bois</v>
      </c>
      <c r="AB62" s="1548"/>
      <c r="AC62" s="1548"/>
      <c r="AD62" s="2190">
        <f>ROWS(AH45:AH62)</f>
        <v>18</v>
      </c>
      <c r="AE62" s="5549" t="str" cm="1">
        <f t="array" ref="AE62">IF(SUMPRODUCT((AH62:AM62&lt;&gt;"")*1)=0,"",SUMPRODUCT((AH62:AM62&lt;&gt;"")*(LEN(TRIM(SUBSTITUTE(AH62:AM62,CHAR(160)," "))) - LEN(SUBSTITUTE(TRIM(SUBSTITUTE(AH62:AM62,CHAR(160)," "))," ","")) + 1)) &amp; " word" &amp; IF(SUMPRODUCT((AH62:AM62&lt;&gt;"")*(LEN(TRIM(SUBSTITUTE(AH62:AM62,CHAR(160)," "))) - LEN(SUBSTITUTE(TRIM(SUBSTITUTE(AH62:AM62,CHAR(160)," "))," ","")) + 1))&gt;1,"s",""))</f>
        <v>14 words</v>
      </c>
      <c r="AF62" s="5550" t="str" cm="1">
        <f t="array" ref="AF62">SUMPRODUCT(--(AH62:AM62&lt;&gt;""), LEN(TRIM(SUBSTITUTE(AH62:AM62, CHAR(160), "")))) &amp; " Car."</f>
        <v>80 Car.</v>
      </c>
      <c r="AG62" s="1376" t="str">
        <f>IF(ISBLANK(AH62),"",LARGE(AG44:AG61,1)+1)</f>
        <v/>
      </c>
      <c r="AH62" s="1810"/>
      <c r="AI62" s="1810" t="s">
        <v>14253</v>
      </c>
      <c r="AJ62" s="1810"/>
      <c r="AK62" s="1810"/>
      <c r="AL62" s="1810"/>
      <c r="AM62" s="1810"/>
      <c r="AN62" s="1810"/>
      <c r="AO62" s="1810"/>
      <c r="AP62" s="1811"/>
      <c r="AR62" s="162" t="s">
        <v>10</v>
      </c>
      <c r="AS62" s="163" t="str">
        <f>AS26</f>
        <v>N NOMBRE DE SU RECETA | pegue esto — FAMILIA| Auteur &gt; VOUS</v>
      </c>
      <c r="AT62" s="163">
        <f>AT26</f>
        <v>1</v>
      </c>
      <c r="AU62" s="164" t="str">
        <f>AU26</f>
        <v>coupe</v>
      </c>
      <c r="AV62" s="165" t="str">
        <f>AV26</f>
        <v>Receta madre ► MILLE-FEUILLE  aux fraises des bois</v>
      </c>
      <c r="AW62" s="1548"/>
      <c r="AX62" s="1548"/>
      <c r="AY62" s="2190">
        <f>ROWS(BC45:BC62)</f>
        <v>18</v>
      </c>
      <c r="AZ62" s="5549" t="str" cm="1">
        <f t="array" ref="AZ62">IF(SUMPRODUCT((BC62:BH62&lt;&gt;"")*1)=0,"",SUMPRODUCT((BC62:BH62&lt;&gt;"")*(LEN(TRIM(SUBSTITUTE(BC62:BH62,CHAR(160)," "))) - LEN(SUBSTITUTE(TRIM(SUBSTITUTE(BC62:BH62,CHAR(160)," "))," ","")) + 1)) &amp; " palabra" &amp; IF(SUMPRODUCT((BC62:BH62&lt;&gt;"")*(LEN(TRIM(SUBSTITUTE(BC62:BH62,CHAR(160)," "))) - LEN(SUBSTITUTE(TRIM(SUBSTITUTE(BC62:BH62,CHAR(160)," "))," ","")) + 1))&gt;1,"s",""))</f>
        <v>14 palabras</v>
      </c>
      <c r="BA62" s="5550" t="str" cm="1">
        <f t="array" ref="BA62">SUMPRODUCT(--(BC62:BH62&lt;&gt;""), LEN(TRIM(SUBSTITUTE(BC62:BH62, CHAR(160), "")))) &amp; " Car."</f>
        <v>88 Car.</v>
      </c>
      <c r="BB62" s="1376" t="str">
        <f>IF(ISBLANK(BC62),"",LARGE(BB44:BB61,1)+1)</f>
        <v/>
      </c>
      <c r="BC62" s="1810"/>
      <c r="BD62" s="1810" t="s">
        <v>14254</v>
      </c>
      <c r="BE62" s="1810"/>
      <c r="BF62" s="1810"/>
      <c r="BG62" s="1810"/>
      <c r="BH62" s="1810"/>
      <c r="BI62" s="1810"/>
      <c r="BJ62" s="1810"/>
      <c r="BK62" s="1811"/>
      <c r="BM62" s="3">
        <v>1</v>
      </c>
    </row>
    <row r="63" spans="2:65" ht="21" customHeight="1" thickBot="1">
      <c r="B63" s="162" t="s">
        <v>10</v>
      </c>
      <c r="C63" s="163" t="str">
        <f>C26</f>
        <v>N NOM DE VOTRE RECETTE | collez la--FAMILLE| Auteur &gt; VOUS</v>
      </c>
      <c r="D63" s="163">
        <f>D26</f>
        <v>1</v>
      </c>
      <c r="E63" s="164" t="str">
        <f>E26</f>
        <v>coupe</v>
      </c>
      <c r="F63" s="165" t="str">
        <f>F26</f>
        <v>Recette mère ► MILLE-FEUILLE  aux fraises des bois</v>
      </c>
      <c r="G63" s="172"/>
      <c r="H63" s="1378" t="s">
        <v>207</v>
      </c>
      <c r="I63" s="1712" t="s">
        <v>8475</v>
      </c>
      <c r="J63" s="176"/>
      <c r="K63" s="176"/>
      <c r="L63" s="176"/>
      <c r="M63" s="176"/>
      <c r="N63" s="176"/>
      <c r="O63" s="176"/>
      <c r="P63" s="176"/>
      <c r="Q63" s="176"/>
      <c r="R63" s="176"/>
      <c r="S63" s="176"/>
      <c r="T63" s="176"/>
      <c r="U63" s="884"/>
      <c r="W63" s="162" t="s">
        <v>10</v>
      </c>
      <c r="X63" s="163" t="str">
        <f>X26</f>
        <v>N NAME OF YOUR RECIPE | paste it — FAMILY|  Author &gt; YOU</v>
      </c>
      <c r="Y63" s="163">
        <f>Y26</f>
        <v>1</v>
      </c>
      <c r="Z63" s="164" t="str">
        <f>Z26</f>
        <v>coupe</v>
      </c>
      <c r="AA63" s="165" t="str">
        <f>AA26</f>
        <v>Master recipe ► MILLE-FEUILLE  aux fraises des bois</v>
      </c>
      <c r="AB63" s="172"/>
      <c r="AC63" s="1378" t="s">
        <v>1300</v>
      </c>
      <c r="AD63" s="1712" t="s">
        <v>8475</v>
      </c>
      <c r="AE63" s="176" t="s">
        <v>8473</v>
      </c>
      <c r="AF63" s="176"/>
      <c r="AG63" s="176"/>
      <c r="AH63" s="176"/>
      <c r="AI63" s="176"/>
      <c r="AJ63" s="176"/>
      <c r="AK63" s="176"/>
      <c r="AL63" s="176"/>
      <c r="AM63" s="176"/>
      <c r="AN63" s="176"/>
      <c r="AO63" s="176"/>
      <c r="AP63" s="884"/>
      <c r="AR63" s="162" t="s">
        <v>10</v>
      </c>
      <c r="AS63" s="163" t="str">
        <f>AS26</f>
        <v>N NOMBRE DE SU RECETA | pegue esto — FAMILIA| Auteur &gt; VOUS</v>
      </c>
      <c r="AT63" s="163">
        <f>AT26</f>
        <v>1</v>
      </c>
      <c r="AU63" s="164" t="str">
        <f>AU26</f>
        <v>coupe</v>
      </c>
      <c r="AV63" s="165" t="str">
        <f>AV26</f>
        <v>Receta madre ► MILLE-FEUILLE  aux fraises des bois</v>
      </c>
      <c r="AW63" s="172"/>
      <c r="AX63" s="176"/>
      <c r="AY63" s="1712" t="s">
        <v>8475</v>
      </c>
      <c r="AZ63" s="679" t="s">
        <v>1351</v>
      </c>
      <c r="BA63" s="1378" t="s">
        <v>207</v>
      </c>
      <c r="BB63" s="176" t="s">
        <v>8474</v>
      </c>
      <c r="BC63" s="176"/>
      <c r="BD63" s="176"/>
      <c r="BE63" s="176"/>
      <c r="BF63" s="176"/>
      <c r="BG63" s="176"/>
      <c r="BH63" s="176"/>
      <c r="BI63" s="176"/>
      <c r="BJ63" s="176"/>
      <c r="BK63" s="884"/>
      <c r="BM63" s="3">
        <v>1</v>
      </c>
    </row>
    <row r="64" spans="2:65" ht="21" customHeight="1">
      <c r="B64" s="162" t="s">
        <v>10</v>
      </c>
      <c r="C64" s="163" t="str">
        <f>C26</f>
        <v>N NOM DE VOTRE RECETTE | collez la--FAMILLE| Auteur &gt; VOUS</v>
      </c>
      <c r="D64" s="163">
        <f>D26</f>
        <v>1</v>
      </c>
      <c r="E64" s="164" t="str">
        <f>E26</f>
        <v>coupe</v>
      </c>
      <c r="F64" s="165" t="str">
        <f>F26</f>
        <v>Recette mère ► MILLE-FEUILLE  aux fraises des bois</v>
      </c>
      <c r="G64" s="6423" t="s">
        <v>14431</v>
      </c>
      <c r="H64" s="1380"/>
      <c r="I64" s="1380"/>
      <c r="J64" s="1380"/>
      <c r="K64" s="1380"/>
      <c r="L64" s="1380"/>
      <c r="M64" s="1380"/>
      <c r="N64" s="1381" t="s">
        <v>196</v>
      </c>
      <c r="O64" s="202"/>
      <c r="P64" s="202"/>
      <c r="Q64" s="202"/>
      <c r="R64" s="202"/>
      <c r="S64" s="202"/>
      <c r="T64" s="202"/>
      <c r="U64" s="885"/>
      <c r="W64" s="162" t="s">
        <v>10</v>
      </c>
      <c r="X64" s="163" t="str">
        <f>X26</f>
        <v>N NAME OF YOUR RECIPE | paste it — FAMILY|  Author &gt; YOU</v>
      </c>
      <c r="Y64" s="163">
        <f>Y26</f>
        <v>1</v>
      </c>
      <c r="Z64" s="164" t="str">
        <f>Z26</f>
        <v>coupe</v>
      </c>
      <c r="AA64" s="165" t="str">
        <f>AA26</f>
        <v>Master recipe ► MILLE-FEUILLE  aux fraises des bois</v>
      </c>
      <c r="AB64" s="6423" t="s">
        <v>14432</v>
      </c>
      <c r="AC64" s="1380"/>
      <c r="AD64" s="1380"/>
      <c r="AE64" s="1380"/>
      <c r="AF64" s="1380"/>
      <c r="AG64" s="1380"/>
      <c r="AH64" s="1380"/>
      <c r="AI64" s="1381" t="s">
        <v>864</v>
      </c>
      <c r="AJ64" s="202"/>
      <c r="AK64" s="202"/>
      <c r="AL64" s="202"/>
      <c r="AM64" s="202"/>
      <c r="AN64" s="202"/>
      <c r="AO64" s="202"/>
      <c r="AP64" s="885"/>
      <c r="AR64" s="162" t="s">
        <v>10</v>
      </c>
      <c r="AS64" s="163" t="str">
        <f>AS26</f>
        <v>N NOMBRE DE SU RECETA | pegue esto — FAMILIA| Auteur &gt; VOUS</v>
      </c>
      <c r="AT64" s="163">
        <f>AT26</f>
        <v>1</v>
      </c>
      <c r="AU64" s="164" t="str">
        <f>AU26</f>
        <v>coupe</v>
      </c>
      <c r="AV64" s="165" t="str">
        <f>AV26</f>
        <v>Receta madre ► MILLE-FEUILLE  aux fraises des bois</v>
      </c>
      <c r="AW64" s="6423" t="s">
        <v>14433</v>
      </c>
      <c r="AX64" s="1380"/>
      <c r="AY64" s="1380"/>
      <c r="AZ64" s="1380"/>
      <c r="BA64" s="1380"/>
      <c r="BB64" s="1380"/>
      <c r="BC64" s="1380"/>
      <c r="BD64" s="1381" t="s">
        <v>879</v>
      </c>
      <c r="BE64" s="202"/>
      <c r="BF64" s="202"/>
      <c r="BG64" s="202"/>
      <c r="BH64" s="202"/>
      <c r="BI64" s="202"/>
      <c r="BJ64" s="202"/>
      <c r="BK64" s="885"/>
      <c r="BM64" s="3">
        <v>1</v>
      </c>
    </row>
    <row r="65" spans="2:65" ht="21" customHeight="1" thickBot="1">
      <c r="B65" s="162" t="s">
        <v>10</v>
      </c>
      <c r="C65" s="163" t="str">
        <f>C26</f>
        <v>N NOM DE VOTRE RECETTE | collez la--FAMILLE| Auteur &gt; VOUS</v>
      </c>
      <c r="D65" s="163">
        <f>D26</f>
        <v>1</v>
      </c>
      <c r="E65" s="164" t="str">
        <f>E26</f>
        <v>coupe</v>
      </c>
      <c r="F65" s="165" t="str">
        <f>F26</f>
        <v>Recette mère ► MILLE-FEUILLE  aux fraises des bois</v>
      </c>
      <c r="G65" s="2139"/>
      <c r="H65" s="2124"/>
      <c r="I65" s="2138"/>
      <c r="J65" s="2064" t="s">
        <v>8860</v>
      </c>
      <c r="K65" s="2065">
        <f ca="1">K44</f>
        <v>139</v>
      </c>
      <c r="L65" s="886" t="s">
        <v>200</v>
      </c>
      <c r="M65" s="2137"/>
      <c r="N65" s="2137"/>
      <c r="O65" s="2137"/>
      <c r="P65" s="472"/>
      <c r="Q65" s="472"/>
      <c r="R65" s="472"/>
      <c r="S65" s="2260" t="str">
        <f>IF(M66="","",(LEN(TRIM(SUBSTITUTE(M66,CHAR(160)," ")))-LEN(SUBSTITUTE(TRIM(SUBSTITUTE(M66,CHAR(160)," "))," ",""))+1)&amp;" mot"&amp;IF((LEN(TRIM(SUBSTITUTE(M66,CHAR(160)," ")))-LEN(SUBSTITUTE(TRIM(SUBSTITUTE(M66,CHAR(160)," "))," ",""))+1)&gt;1,"s",""))</f>
        <v>17 mots</v>
      </c>
      <c r="T65" s="2259" t="str">
        <f>IF(M66="","",LEN(TRIM(SUBSTITUTE(M66,CHAR(160),""))))&amp;" Car."</f>
        <v>123 Car.</v>
      </c>
      <c r="U65" s="2261" t="s">
        <v>8863</v>
      </c>
      <c r="W65" s="162" t="s">
        <v>10</v>
      </c>
      <c r="X65" s="163" t="str">
        <f>X26</f>
        <v>N NAME OF YOUR RECIPE | paste it — FAMILY|  Author &gt; YOU</v>
      </c>
      <c r="Y65" s="163">
        <f>Y26</f>
        <v>1</v>
      </c>
      <c r="Z65" s="164" t="str">
        <f>Z26</f>
        <v>coupe</v>
      </c>
      <c r="AA65" s="165" t="str">
        <f>AA26</f>
        <v>Master recipe ► MILLE-FEUILLE  aux fraises des bois</v>
      </c>
      <c r="AB65" s="2139"/>
      <c r="AC65" s="2124"/>
      <c r="AD65" s="2138"/>
      <c r="AE65" s="2064" t="s">
        <v>8862</v>
      </c>
      <c r="AF65" s="2065">
        <f ca="1">AF44</f>
        <v>139</v>
      </c>
      <c r="AG65" s="886" t="s">
        <v>8867</v>
      </c>
      <c r="AH65" s="2137"/>
      <c r="AI65" s="2137"/>
      <c r="AJ65" s="2137"/>
      <c r="AK65" s="472"/>
      <c r="AL65" s="472"/>
      <c r="AM65" s="472"/>
      <c r="AN65" s="2260" t="str">
        <f>IF(AH66="","",(LEN(TRIM(SUBSTITUTE(AH66,CHAR(160)," ")))-LEN(SUBSTITUTE(TRIM(SUBSTITUTE(AH66,CHAR(160)," "))," ",""))+1)&amp;" mot"&amp;IF((LEN(TRIM(SUBSTITUTE(AH66,CHAR(160)," ")))-LEN(SUBSTITUTE(TRIM(SUBSTITUTE(AH66,CHAR(160)," "))," ",""))+1)&gt;1,"s",""))</f>
        <v>17 mots</v>
      </c>
      <c r="AO65" s="2259" t="str">
        <f>IF(AH66="","",LEN(TRIM(SUBSTITUTE(AH66,CHAR(160),""))))&amp;" Car."</f>
        <v>123 Car.</v>
      </c>
      <c r="AP65" s="2261" t="s">
        <v>8869</v>
      </c>
      <c r="AR65" s="162" t="s">
        <v>10</v>
      </c>
      <c r="AS65" s="163" t="str">
        <f>AS26</f>
        <v>N NOMBRE DE SU RECETA | pegue esto — FAMILIA| Auteur &gt; VOUS</v>
      </c>
      <c r="AT65" s="163">
        <f>AT26</f>
        <v>1</v>
      </c>
      <c r="AU65" s="164" t="str">
        <f>AU26</f>
        <v>coupe</v>
      </c>
      <c r="AV65" s="165" t="str">
        <f>AV26</f>
        <v>Receta madre ► MILLE-FEUILLE  aux fraises des bois</v>
      </c>
      <c r="AW65" s="2139"/>
      <c r="AX65" s="2124"/>
      <c r="AY65" s="2138"/>
      <c r="AZ65" s="2064" t="s">
        <v>8861</v>
      </c>
      <c r="BA65" s="2065">
        <f ca="1">BA44</f>
        <v>139</v>
      </c>
      <c r="BB65" s="886" t="s">
        <v>640</v>
      </c>
      <c r="BC65" s="2137"/>
      <c r="BD65" s="2137"/>
      <c r="BE65" s="2137"/>
      <c r="BF65" s="472"/>
      <c r="BG65" s="472"/>
      <c r="BH65" s="472"/>
      <c r="BI65" s="2260" t="str">
        <f>IF(BC66="","",(LEN(TRIM(SUBSTITUTE(BC66,CHAR(160)," ")))-LEN(SUBSTITUTE(TRIM(SUBSTITUTE(BC66,CHAR(160)," "))," ",""))+1)&amp;" mot"&amp;IF((LEN(TRIM(SUBSTITUTE(BC66,CHAR(160)," ")))-LEN(SUBSTITUTE(TRIM(SUBSTITUTE(BC66,CHAR(160)," "))," ",""))+1)&gt;1,"s",""))</f>
        <v>18 mots</v>
      </c>
      <c r="BJ65" s="2259" t="str">
        <f>IF(BC66="","",LEN(TRIM(SUBSTITUTE(BC66,CHAR(160),""))))&amp;" Car."</f>
        <v>123 Car.</v>
      </c>
      <c r="BK65" s="2261" t="s">
        <v>8871</v>
      </c>
      <c r="BM65" s="3">
        <v>1</v>
      </c>
    </row>
    <row r="66" spans="2:65" ht="21" customHeight="1" thickBot="1">
      <c r="B66" s="1814" t="s">
        <v>10</v>
      </c>
      <c r="C66" s="209" t="str">
        <f>C26</f>
        <v>N NOM DE VOTRE RECETTE | collez la--FAMILLE| Auteur &gt; VOUS</v>
      </c>
      <c r="D66" s="209">
        <f>D26</f>
        <v>1</v>
      </c>
      <c r="E66" s="210" t="str">
        <f>E26</f>
        <v>coupe</v>
      </c>
      <c r="F66" s="211" t="str">
        <f>F26</f>
        <v>Recette mère ► MILLE-FEUILLE  aux fraises des bois</v>
      </c>
      <c r="G66" s="2129"/>
      <c r="H66" s="2130"/>
      <c r="I66" s="2131"/>
      <c r="J66" s="2132"/>
      <c r="K66" s="2133"/>
      <c r="L66" s="2133" t="s">
        <v>8864</v>
      </c>
      <c r="M66" s="5545" t="s">
        <v>8866</v>
      </c>
      <c r="N66" s="2136"/>
      <c r="O66" s="2134"/>
      <c r="P66" s="2134"/>
      <c r="Q66" s="2134"/>
      <c r="R66" s="2134"/>
      <c r="S66" s="2134"/>
      <c r="T66" s="2134"/>
      <c r="U66" s="2135"/>
      <c r="W66" s="1814" t="s">
        <v>10</v>
      </c>
      <c r="X66" s="209" t="str">
        <f>X26</f>
        <v>N NAME OF YOUR RECIPE | paste it — FAMILY|  Author &gt; YOU</v>
      </c>
      <c r="Y66" s="209">
        <f>Y26</f>
        <v>1</v>
      </c>
      <c r="Z66" s="210" t="str">
        <f>Z26</f>
        <v>coupe</v>
      </c>
      <c r="AA66" s="211" t="str">
        <f>AA26</f>
        <v>Master recipe ► MILLE-FEUILLE  aux fraises des bois</v>
      </c>
      <c r="AB66" s="2129"/>
      <c r="AC66" s="2130"/>
      <c r="AD66" s="2131"/>
      <c r="AE66" s="2132"/>
      <c r="AF66" s="2133"/>
      <c r="AG66" s="2133" t="s">
        <v>8868</v>
      </c>
      <c r="AH66" s="5545" t="s">
        <v>8873</v>
      </c>
      <c r="AI66" s="2136"/>
      <c r="AJ66" s="2134"/>
      <c r="AK66" s="2134"/>
      <c r="AL66" s="2134"/>
      <c r="AM66" s="2134"/>
      <c r="AN66" s="2134"/>
      <c r="AO66" s="2134"/>
      <c r="AP66" s="2135"/>
      <c r="AR66" s="1814" t="s">
        <v>10</v>
      </c>
      <c r="AS66" s="209" t="str">
        <f>AS26</f>
        <v>N NOMBRE DE SU RECETA | pegue esto — FAMILIA| Auteur &gt; VOUS</v>
      </c>
      <c r="AT66" s="209">
        <f>AT26</f>
        <v>1</v>
      </c>
      <c r="AU66" s="210" t="str">
        <f>AU26</f>
        <v>coupe</v>
      </c>
      <c r="AV66" s="211" t="str">
        <f>AV26</f>
        <v>Receta madre ► MILLE-FEUILLE  aux fraises des bois</v>
      </c>
      <c r="AW66" s="2129"/>
      <c r="AX66" s="2130"/>
      <c r="AY66" s="2131"/>
      <c r="AZ66" s="2132"/>
      <c r="BA66" s="2133"/>
      <c r="BB66" s="2133" t="s">
        <v>8870</v>
      </c>
      <c r="BC66" s="5545" t="s">
        <v>8872</v>
      </c>
      <c r="BD66" s="2136"/>
      <c r="BE66" s="2134"/>
      <c r="BF66" s="2134"/>
      <c r="BG66" s="2134"/>
      <c r="BH66" s="2134"/>
      <c r="BI66" s="2134"/>
      <c r="BJ66" s="2134"/>
      <c r="BK66" s="2135"/>
      <c r="BM66" s="3">
        <v>1</v>
      </c>
    </row>
    <row r="67" spans="2:65" ht="21" customHeight="1" thickBot="1">
      <c r="B67" s="215" t="s">
        <v>10</v>
      </c>
      <c r="C67" s="216"/>
      <c r="D67" s="216"/>
      <c r="E67" s="216"/>
      <c r="F67" s="217"/>
      <c r="G67" s="218" t="s">
        <v>207</v>
      </c>
      <c r="H67" s="219" t="str">
        <f ca="1">CELL("nomfichier")</f>
        <v>D:\Données\1.UPRT\0-UPRT.fait\1-UPRT.FR-SITE-WEB\ff-fiches-fabrications\ff.fiches.fabrication.2023\ffr.restaurant.2023\[ff.FICHE.TRILINGUE.20.COLONNES.05.01.2026.xlsx]Couleurs.pour.vos.documents</v>
      </c>
      <c r="I67" s="220"/>
      <c r="J67" s="220"/>
      <c r="K67" s="220"/>
      <c r="L67" s="220"/>
      <c r="M67" s="220"/>
      <c r="N67" s="220"/>
      <c r="O67" s="220"/>
      <c r="P67" s="220"/>
      <c r="Q67" s="220"/>
      <c r="R67" s="220"/>
      <c r="S67" s="220"/>
      <c r="T67" s="220"/>
      <c r="U67" s="221"/>
      <c r="W67" s="215" t="s">
        <v>10</v>
      </c>
      <c r="X67" s="216"/>
      <c r="Y67" s="216"/>
      <c r="Z67" s="216"/>
      <c r="AA67" s="217"/>
      <c r="AB67" s="218" t="s">
        <v>207</v>
      </c>
      <c r="AC67" s="219" t="str">
        <f ca="1">CELL("nomfichier")</f>
        <v>D:\Données\1.UPRT\0-UPRT.fait\1-UPRT.FR-SITE-WEB\ff-fiches-fabrications\ff.fiches.fabrication.2023\ffr.restaurant.2023\[ff.FICHE.TRILINGUE.20.COLONNES.05.01.2026.xlsx]Couleurs.pour.vos.documents</v>
      </c>
      <c r="AD67" s="220"/>
      <c r="AE67" s="220"/>
      <c r="AF67" s="220"/>
      <c r="AG67" s="220"/>
      <c r="AH67" s="220"/>
      <c r="AI67" s="220"/>
      <c r="AJ67" s="220"/>
      <c r="AK67" s="220"/>
      <c r="AL67" s="220"/>
      <c r="AM67" s="220"/>
      <c r="AN67" s="220"/>
      <c r="AO67" s="220"/>
      <c r="AP67" s="221"/>
      <c r="AR67" s="215" t="s">
        <v>10</v>
      </c>
      <c r="AS67" s="216"/>
      <c r="AT67" s="216"/>
      <c r="AU67" s="216"/>
      <c r="AV67" s="217"/>
      <c r="AW67" s="218" t="s">
        <v>207</v>
      </c>
      <c r="AX67" s="219" t="str">
        <f ca="1">CELL("nomfichier")</f>
        <v>D:\Données\1.UPRT\0-UPRT.fait\1-UPRT.FR-SITE-WEB\ff-fiches-fabrications\ff.fiches.fabrication.2023\ffr.restaurant.2023\[ff.FICHE.TRILINGUE.20.COLONNES.05.01.2026.xlsx]Couleurs.pour.vos.documents</v>
      </c>
      <c r="AY67" s="220"/>
      <c r="AZ67" s="220"/>
      <c r="BA67" s="220"/>
      <c r="BB67" s="220"/>
      <c r="BC67" s="220"/>
      <c r="BD67" s="220"/>
      <c r="BE67" s="220"/>
      <c r="BF67" s="220"/>
      <c r="BG67" s="220"/>
      <c r="BH67" s="220"/>
      <c r="BI67" s="220"/>
      <c r="BJ67" s="220"/>
      <c r="BK67" s="221"/>
      <c r="BM67" s="3">
        <v>1</v>
      </c>
    </row>
    <row r="68" spans="2:65" ht="21" customHeight="1" thickBot="1">
      <c r="B68" s="1216" t="s">
        <v>10</v>
      </c>
      <c r="C68" s="1217" t="s">
        <v>10</v>
      </c>
      <c r="D68" s="1217" t="s">
        <v>10</v>
      </c>
      <c r="E68" s="1217" t="s">
        <v>10</v>
      </c>
      <c r="F68" s="1217" t="s">
        <v>10</v>
      </c>
      <c r="G68" s="1218" t="s">
        <v>2394</v>
      </c>
      <c r="H68" s="1219"/>
      <c r="I68" s="1220"/>
      <c r="J68" s="1221"/>
      <c r="K68" s="1222"/>
      <c r="L68" s="1223"/>
      <c r="M68" s="1223"/>
      <c r="N68" s="1221"/>
      <c r="O68" s="1221"/>
      <c r="P68" s="1219"/>
      <c r="Q68" s="1219"/>
      <c r="R68" s="1219"/>
      <c r="S68" s="1219"/>
      <c r="T68" s="1219"/>
      <c r="U68" s="1224" t="s">
        <v>1755</v>
      </c>
      <c r="W68" s="1216" t="s">
        <v>10</v>
      </c>
      <c r="X68" s="1217" t="s">
        <v>10</v>
      </c>
      <c r="Y68" s="1217" t="s">
        <v>10</v>
      </c>
      <c r="Z68" s="1217" t="s">
        <v>10</v>
      </c>
      <c r="AA68" s="1217" t="s">
        <v>10</v>
      </c>
      <c r="AB68" s="1218" t="s">
        <v>2394</v>
      </c>
      <c r="AC68" s="1219"/>
      <c r="AD68" s="1220"/>
      <c r="AE68" s="1221"/>
      <c r="AF68" s="1222"/>
      <c r="AG68" s="1223"/>
      <c r="AH68" s="1223"/>
      <c r="AI68" s="1221"/>
      <c r="AJ68" s="1221"/>
      <c r="AK68" s="1219"/>
      <c r="AL68" s="1219"/>
      <c r="AM68" s="1219"/>
      <c r="AN68" s="1219"/>
      <c r="AO68" s="1219"/>
      <c r="AP68" s="1224" t="s">
        <v>1755</v>
      </c>
      <c r="AR68" s="1216" t="s">
        <v>10</v>
      </c>
      <c r="AS68" s="1217" t="s">
        <v>10</v>
      </c>
      <c r="AT68" s="1217" t="s">
        <v>10</v>
      </c>
      <c r="AU68" s="1217" t="s">
        <v>10</v>
      </c>
      <c r="AV68" s="1217" t="s">
        <v>10</v>
      </c>
      <c r="AW68" s="1218" t="s">
        <v>2394</v>
      </c>
      <c r="AX68" s="1219"/>
      <c r="AY68" s="1220"/>
      <c r="AZ68" s="1221"/>
      <c r="BA68" s="1222"/>
      <c r="BB68" s="1223"/>
      <c r="BC68" s="1223"/>
      <c r="BD68" s="1221"/>
      <c r="BE68" s="1221"/>
      <c r="BF68" s="1219"/>
      <c r="BG68" s="1219"/>
      <c r="BH68" s="1219"/>
      <c r="BI68" s="1219"/>
      <c r="BJ68" s="1219"/>
      <c r="BK68" s="1224" t="s">
        <v>1755</v>
      </c>
      <c r="BM68" s="3">
        <v>1</v>
      </c>
    </row>
    <row r="69" spans="2:65" ht="21" customHeight="1">
      <c r="B69" s="19" t="s">
        <v>10</v>
      </c>
      <c r="C69" s="20" t="str">
        <f>C75</f>
        <v>N NOM DE VOTRE RECETTE | collez la--FAMILLE| Auteur &gt; VOUS</v>
      </c>
      <c r="D69" s="21">
        <f>D75</f>
        <v>1</v>
      </c>
      <c r="E69" s="21" t="str">
        <f>E75</f>
        <v>coupe</v>
      </c>
      <c r="F69" s="22" t="str">
        <f>F75</f>
        <v>Recette mère ► MILLE-FEUILLE  aux fraises des bois</v>
      </c>
      <c r="G69" s="23" t="s">
        <v>21</v>
      </c>
      <c r="H69" s="24" t="s">
        <v>22</v>
      </c>
      <c r="I69" s="24"/>
      <c r="J69" s="6634" t="s">
        <v>1339</v>
      </c>
      <c r="K69" s="6634"/>
      <c r="L69" s="6634"/>
      <c r="M69" s="6634"/>
      <c r="N69" s="6634"/>
      <c r="O69" s="6634"/>
      <c r="P69" s="6634"/>
      <c r="Q69" s="6634"/>
      <c r="R69" s="6634"/>
      <c r="S69" s="6636" t="s">
        <v>1348</v>
      </c>
      <c r="T69" s="6636"/>
      <c r="U69" s="6638" t="str">
        <f>UPPER(LEFT(J69,1))</f>
        <v>N</v>
      </c>
      <c r="W69" s="19" t="s">
        <v>10</v>
      </c>
      <c r="X69" s="20" t="str">
        <f>X75</f>
        <v>N NAME OF YOUR RECIPE | paste it — FAMILY|  Author &gt; YOU</v>
      </c>
      <c r="Y69" s="21">
        <f>Y75</f>
        <v>1</v>
      </c>
      <c r="Z69" s="21" t="str">
        <f>Z75</f>
        <v>coupe</v>
      </c>
      <c r="AA69" s="22" t="str">
        <f>AA75</f>
        <v>Master recipe ► MILLE-FEUILLE  aux fraises des bois</v>
      </c>
      <c r="AB69" s="23" t="s">
        <v>21</v>
      </c>
      <c r="AC69" s="24" t="s">
        <v>22</v>
      </c>
      <c r="AD69" s="24"/>
      <c r="AE69" s="6634" t="s">
        <v>851</v>
      </c>
      <c r="AF69" s="6634"/>
      <c r="AG69" s="6634"/>
      <c r="AH69" s="6634"/>
      <c r="AI69" s="6634"/>
      <c r="AJ69" s="6634"/>
      <c r="AK69" s="6634"/>
      <c r="AL69" s="6634"/>
      <c r="AM69" s="6634"/>
      <c r="AN69" s="6636" t="s">
        <v>1349</v>
      </c>
      <c r="AO69" s="6636"/>
      <c r="AP69" s="6638" t="str">
        <f>UPPER(LEFT(AE69,1))</f>
        <v>N</v>
      </c>
      <c r="AR69" s="19" t="s">
        <v>10</v>
      </c>
      <c r="AS69" s="20" t="str">
        <f>AS75</f>
        <v>N NOMBRE DE SU RECETA | pegue esto — FAMILIA| Auteur &gt; VOUS</v>
      </c>
      <c r="AT69" s="21">
        <f>AT75</f>
        <v>1</v>
      </c>
      <c r="AU69" s="21" t="str">
        <f>AU75</f>
        <v>coupe</v>
      </c>
      <c r="AV69" s="22" t="str">
        <f>AV75</f>
        <v>Receta madre ► MILLE-FEUILLE  aux fraises des bois</v>
      </c>
      <c r="AW69" s="23" t="s">
        <v>21</v>
      </c>
      <c r="AX69" s="24" t="s">
        <v>866</v>
      </c>
      <c r="AY69" s="24"/>
      <c r="AZ69" s="6634" t="s">
        <v>867</v>
      </c>
      <c r="BA69" s="6634"/>
      <c r="BB69" s="6634"/>
      <c r="BC69" s="6634"/>
      <c r="BD69" s="6634"/>
      <c r="BE69" s="6634"/>
      <c r="BF69" s="6634"/>
      <c r="BG69" s="6634"/>
      <c r="BH69" s="6634"/>
      <c r="BI69" s="6636" t="s">
        <v>1350</v>
      </c>
      <c r="BJ69" s="6636"/>
      <c r="BK69" s="6638" t="str">
        <f>UPPER(LEFT(AZ69,1))</f>
        <v>N</v>
      </c>
      <c r="BM69" s="3">
        <v>1</v>
      </c>
    </row>
    <row r="70" spans="2:65" ht="21" customHeight="1">
      <c r="B70" s="25" t="s">
        <v>10</v>
      </c>
      <c r="C70" s="26" t="str">
        <f>C75</f>
        <v>N NOM DE VOTRE RECETTE | collez la--FAMILLE| Auteur &gt; VOUS</v>
      </c>
      <c r="D70" s="27">
        <f>D75</f>
        <v>1</v>
      </c>
      <c r="E70" s="27" t="str">
        <f>E75</f>
        <v>coupe</v>
      </c>
      <c r="F70" s="28" t="str">
        <f>F75</f>
        <v>Recette mère ► MILLE-FEUILLE  aux fraises des bois</v>
      </c>
      <c r="G70" s="29" t="s">
        <v>28</v>
      </c>
      <c r="H70" s="30" t="s">
        <v>831</v>
      </c>
      <c r="I70" s="30"/>
      <c r="J70" s="6635"/>
      <c r="K70" s="6635"/>
      <c r="L70" s="6635"/>
      <c r="M70" s="6635"/>
      <c r="N70" s="6635"/>
      <c r="O70" s="6635"/>
      <c r="P70" s="6635"/>
      <c r="Q70" s="6635"/>
      <c r="R70" s="6635"/>
      <c r="S70" s="6637"/>
      <c r="T70" s="6637"/>
      <c r="U70" s="6639"/>
      <c r="W70" s="25" t="s">
        <v>10</v>
      </c>
      <c r="X70" s="26" t="str">
        <f>X75</f>
        <v>N NAME OF YOUR RECIPE | paste it — FAMILY|  Author &gt; YOU</v>
      </c>
      <c r="Y70" s="27">
        <f>Y75</f>
        <v>1</v>
      </c>
      <c r="Z70" s="27" t="str">
        <f>Z75</f>
        <v>coupe</v>
      </c>
      <c r="AA70" s="28" t="str">
        <f>AA75</f>
        <v>Master recipe ► MILLE-FEUILLE  aux fraises des bois</v>
      </c>
      <c r="AB70" s="29" t="s">
        <v>1299</v>
      </c>
      <c r="AC70" s="30" t="s">
        <v>831</v>
      </c>
      <c r="AD70" s="30"/>
      <c r="AE70" s="6635"/>
      <c r="AF70" s="6635"/>
      <c r="AG70" s="6635"/>
      <c r="AH70" s="6635"/>
      <c r="AI70" s="6635"/>
      <c r="AJ70" s="6635"/>
      <c r="AK70" s="6635"/>
      <c r="AL70" s="6635"/>
      <c r="AM70" s="6635"/>
      <c r="AN70" s="6637"/>
      <c r="AO70" s="6637"/>
      <c r="AP70" s="6639"/>
      <c r="AR70" s="25" t="s">
        <v>10</v>
      </c>
      <c r="AS70" s="26" t="str">
        <f>AS75</f>
        <v>N NOMBRE DE SU RECETA | pegue esto — FAMILIA| Auteur &gt; VOUS</v>
      </c>
      <c r="AT70" s="27">
        <f>AT75</f>
        <v>1</v>
      </c>
      <c r="AU70" s="27" t="str">
        <f>AU75</f>
        <v>coupe</v>
      </c>
      <c r="AV70" s="28" t="str">
        <f>AV75</f>
        <v>Receta madre ► MILLE-FEUILLE  aux fraises des bois</v>
      </c>
      <c r="AW70" s="29" t="s">
        <v>868</v>
      </c>
      <c r="AX70" s="30" t="s">
        <v>29</v>
      </c>
      <c r="AY70" s="30"/>
      <c r="AZ70" s="6635"/>
      <c r="BA70" s="6635"/>
      <c r="BB70" s="6635"/>
      <c r="BC70" s="6635"/>
      <c r="BD70" s="6635"/>
      <c r="BE70" s="6635"/>
      <c r="BF70" s="6635"/>
      <c r="BG70" s="6635"/>
      <c r="BH70" s="6635"/>
      <c r="BI70" s="6637"/>
      <c r="BJ70" s="6637"/>
      <c r="BK70" s="6639"/>
      <c r="BM70" s="3">
        <v>1</v>
      </c>
    </row>
    <row r="71" spans="2:65" ht="21" customHeight="1">
      <c r="B71" s="25" t="s">
        <v>10</v>
      </c>
      <c r="C71" s="31" t="str">
        <f>C75</f>
        <v>N NOM DE VOTRE RECETTE | collez la--FAMILLE| Auteur &gt; VOUS</v>
      </c>
      <c r="D71" s="32">
        <f>D75</f>
        <v>1</v>
      </c>
      <c r="E71" s="32" t="str">
        <f>E75</f>
        <v>coupe</v>
      </c>
      <c r="F71" s="33" t="str">
        <f>F75</f>
        <v>Recette mère ► MILLE-FEUILLE  aux fraises des bois</v>
      </c>
      <c r="G71" s="1357"/>
      <c r="H71" s="1358" t="s">
        <v>30</v>
      </c>
      <c r="I71" s="34"/>
      <c r="J71" s="35" t="s">
        <v>31</v>
      </c>
      <c r="K71" s="36" t="s">
        <v>57</v>
      </c>
      <c r="L71" s="9"/>
      <c r="M71" s="9"/>
      <c r="N71" s="36"/>
      <c r="O71" s="36"/>
      <c r="P71" s="36"/>
      <c r="Q71" s="37"/>
      <c r="R71" s="9"/>
      <c r="S71" s="9"/>
      <c r="T71" s="9"/>
      <c r="U71" s="2062" t="str" cm="1">
        <f t="array" aca="1" ref="U71" ca="1">IF(COUNTIF(C95:U95,"&lt;0.5")=0,"Aucune colonne masquée ",COUNTIF(C95:U95,"&lt;0.5") &amp; " " &amp; IF(COUNTIF(C95:U95,"&lt;0.5")&gt;1,"colonnes masquées","colonne masquée") &amp; " " &amp; _xlfn.TEXTJOIN(" ", TRUE, IF(C95:U95&lt;0.5,C94:U94,"")))&amp;" "</f>
        <v xml:space="preserve">Aucune colonne masquée  </v>
      </c>
      <c r="W71" s="25" t="s">
        <v>10</v>
      </c>
      <c r="X71" s="31" t="str">
        <f>X75</f>
        <v>N NAME OF YOUR RECIPE | paste it — FAMILY|  Author &gt; YOU</v>
      </c>
      <c r="Y71" s="32">
        <f>Y75</f>
        <v>1</v>
      </c>
      <c r="Z71" s="32" t="str">
        <f>Z75</f>
        <v>coupe</v>
      </c>
      <c r="AA71" s="33" t="str">
        <f>AA75</f>
        <v>Master recipe ► MILLE-FEUILLE  aux fraises des bois</v>
      </c>
      <c r="AB71" s="1357"/>
      <c r="AC71" s="1358" t="s">
        <v>30</v>
      </c>
      <c r="AD71" s="34"/>
      <c r="AE71" s="35" t="s">
        <v>853</v>
      </c>
      <c r="AF71" s="36" t="s">
        <v>60</v>
      </c>
      <c r="AG71" s="9"/>
      <c r="AH71" s="9"/>
      <c r="AI71" s="36"/>
      <c r="AJ71" s="36"/>
      <c r="AK71" s="36"/>
      <c r="AL71" s="37"/>
      <c r="AM71" s="9"/>
      <c r="AN71" s="9"/>
      <c r="AO71" s="9"/>
      <c r="AP71" s="38"/>
      <c r="AR71" s="25" t="s">
        <v>10</v>
      </c>
      <c r="AS71" s="31" t="str">
        <f>AS75</f>
        <v>N NOMBRE DE SU RECETA | pegue esto — FAMILIA| Auteur &gt; VOUS</v>
      </c>
      <c r="AT71" s="32">
        <f>AT75</f>
        <v>1</v>
      </c>
      <c r="AU71" s="32" t="str">
        <f>AU75</f>
        <v>coupe</v>
      </c>
      <c r="AV71" s="33" t="str">
        <f>AV75</f>
        <v>Receta madre ► MILLE-FEUILLE  aux fraises des bois</v>
      </c>
      <c r="AW71" s="1357"/>
      <c r="AX71" s="1358" t="s">
        <v>30</v>
      </c>
      <c r="AY71" s="34"/>
      <c r="AZ71" s="35" t="s">
        <v>31</v>
      </c>
      <c r="BA71" s="36" t="s">
        <v>57</v>
      </c>
      <c r="BB71" s="9"/>
      <c r="BC71" s="9"/>
      <c r="BD71" s="36"/>
      <c r="BE71" s="36"/>
      <c r="BF71" s="36"/>
      <c r="BG71" s="37"/>
      <c r="BH71" s="9"/>
      <c r="BI71" s="9"/>
      <c r="BJ71" s="9"/>
      <c r="BK71" s="38"/>
      <c r="BM71" s="3">
        <v>1</v>
      </c>
    </row>
    <row r="72" spans="2:65" ht="21" customHeight="1">
      <c r="B72" s="25" t="s">
        <v>10</v>
      </c>
      <c r="C72" s="31" t="str">
        <f>C75</f>
        <v>N NOM DE VOTRE RECETTE | collez la--FAMILLE| Auteur &gt; VOUS</v>
      </c>
      <c r="D72" s="32">
        <f>D75</f>
        <v>1</v>
      </c>
      <c r="E72" s="32" t="str">
        <f>E75</f>
        <v>coupe</v>
      </c>
      <c r="F72" s="33" t="str">
        <f>F75</f>
        <v>Recette mère ► MILLE-FEUILLE  aux fraises des bois</v>
      </c>
      <c r="G72" s="39" t="s">
        <v>32</v>
      </c>
      <c r="H72" s="40"/>
      <c r="I72" s="40"/>
      <c r="J72" s="41" t="s">
        <v>33</v>
      </c>
      <c r="K72" s="6736" t="str">
        <f>M75&amp;" "&amp;N75&amp;" ► Famille = "&amp;S69&amp;" ► "&amp;J69&amp;" "&amp;Q72&amp;" "&amp;S72&amp;" "&amp;T72&amp;" "&amp;U72</f>
        <v>Recette mère ► MILLE-FEUILLE  aux fraises des bois ► Famille = collez la--FAMILLE ► NOM DE VOTRE RECETTE  ⓫  Dupliquée pour 5 coupes</v>
      </c>
      <c r="L72" s="6736"/>
      <c r="M72" s="6736"/>
      <c r="N72" s="6736"/>
      <c r="O72" s="6736"/>
      <c r="P72" s="6736"/>
      <c r="Q72" s="6736"/>
      <c r="R72" s="1359"/>
      <c r="S72" s="1359" t="s">
        <v>35</v>
      </c>
      <c r="T72" s="140">
        <v>5</v>
      </c>
      <c r="U72" s="43" t="str">
        <f>U74</f>
        <v>coupes</v>
      </c>
      <c r="W72" s="25" t="s">
        <v>10</v>
      </c>
      <c r="X72" s="31" t="str">
        <f>X75</f>
        <v>N NAME OF YOUR RECIPE | paste it — FAMILY|  Author &gt; YOU</v>
      </c>
      <c r="Y72" s="32">
        <f>Y75</f>
        <v>1</v>
      </c>
      <c r="Z72" s="32" t="str">
        <f>Z75</f>
        <v>coupe</v>
      </c>
      <c r="AA72" s="33" t="str">
        <f>AA75</f>
        <v>Master recipe ► MILLE-FEUILLE  aux fraises des bois</v>
      </c>
      <c r="AB72" s="39" t="s">
        <v>134</v>
      </c>
      <c r="AC72" s="40"/>
      <c r="AD72" s="40"/>
      <c r="AE72" s="41" t="s">
        <v>33</v>
      </c>
      <c r="AF72" s="6736" t="str">
        <f>AH75&amp;" "&amp;AI75&amp;" ► Famille = "&amp;AN69&amp;" ► "&amp;AE69&amp;" "&amp;AL72&amp;" "&amp;AN72&amp;" "&amp;AO72&amp;" "&amp;AP72</f>
        <v>Master recipe ► MILLE-FEUILLE  aux fraises des bois ► Famille = paste it — FAMILY ► NAME OF YOUR RECIPE  ⓫ Duplicated for 5 coupes</v>
      </c>
      <c r="AG72" s="6736"/>
      <c r="AH72" s="6736"/>
      <c r="AI72" s="6736"/>
      <c r="AJ72" s="6736"/>
      <c r="AK72" s="6736"/>
      <c r="AL72" s="6736"/>
      <c r="AM72" s="1359"/>
      <c r="AN72" s="1359" t="s">
        <v>135</v>
      </c>
      <c r="AO72" s="140">
        <v>5</v>
      </c>
      <c r="AP72" s="43" t="str">
        <f>AP74</f>
        <v>coupes</v>
      </c>
      <c r="AR72" s="25" t="s">
        <v>10</v>
      </c>
      <c r="AS72" s="31" t="str">
        <f>AS75</f>
        <v>N NOMBRE DE SU RECETA | pegue esto — FAMILIA| Auteur &gt; VOUS</v>
      </c>
      <c r="AT72" s="32">
        <f>AT75</f>
        <v>1</v>
      </c>
      <c r="AU72" s="32" t="str">
        <f>AU75</f>
        <v>coupe</v>
      </c>
      <c r="AV72" s="33" t="str">
        <f>AV75</f>
        <v>Receta madre ► MILLE-FEUILLE  aux fraises des bois</v>
      </c>
      <c r="AW72" s="39" t="s">
        <v>869</v>
      </c>
      <c r="AX72" s="40"/>
      <c r="AY72" s="40"/>
      <c r="AZ72" s="41" t="s">
        <v>33</v>
      </c>
      <c r="BA72" s="6736" t="str">
        <f>BC75&amp;" "&amp;BD75&amp;" ► Famille = "&amp;BI69&amp;" ► "&amp;AZ69&amp;" "&amp;BG72&amp;" "&amp;BI72&amp;" "&amp;BJ72&amp;" "&amp;BK72</f>
        <v>Receta madre ► MILLE-FEUILLE  aux fraises des bois ► Famille = pegue esto — FAMILIA ► NOMBRE DE SU RECETA  ⓫ Duplicada para 5 coupes</v>
      </c>
      <c r="BB72" s="6736"/>
      <c r="BC72" s="6736"/>
      <c r="BD72" s="6736"/>
      <c r="BE72" s="6736"/>
      <c r="BF72" s="6736"/>
      <c r="BG72" s="6736"/>
      <c r="BH72" s="1359"/>
      <c r="BI72" s="1359" t="s">
        <v>138</v>
      </c>
      <c r="BJ72" s="140">
        <v>5</v>
      </c>
      <c r="BK72" s="43" t="str">
        <f>BK74</f>
        <v>coupes</v>
      </c>
      <c r="BM72" s="3">
        <v>1</v>
      </c>
    </row>
    <row r="73" spans="2:65" ht="21" customHeight="1">
      <c r="B73" s="25" t="s">
        <v>10</v>
      </c>
      <c r="C73" s="31" t="str">
        <f>C75</f>
        <v>N NOM DE VOTRE RECETTE | collez la--FAMILLE| Auteur &gt; VOUS</v>
      </c>
      <c r="D73" s="32">
        <f>D75</f>
        <v>1</v>
      </c>
      <c r="E73" s="32" t="str">
        <f>E75</f>
        <v>coupe</v>
      </c>
      <c r="F73" s="33" t="str">
        <f>F75</f>
        <v>Recette mère ► MILLE-FEUILLE  aux fraises des bois</v>
      </c>
      <c r="G73" s="1360">
        <v>1</v>
      </c>
      <c r="H73" s="1361" t="s">
        <v>1783</v>
      </c>
      <c r="I73" s="39"/>
      <c r="J73" s="39"/>
      <c r="K73" s="6736"/>
      <c r="L73" s="6736"/>
      <c r="M73" s="6736"/>
      <c r="N73" s="6736"/>
      <c r="O73" s="6736"/>
      <c r="P73" s="6736"/>
      <c r="Q73" s="6736"/>
      <c r="R73" s="696"/>
      <c r="S73" s="696"/>
      <c r="T73" s="47" t="s">
        <v>40</v>
      </c>
      <c r="U73" s="48" t="s">
        <v>41</v>
      </c>
      <c r="W73" s="25" t="s">
        <v>10</v>
      </c>
      <c r="X73" s="31" t="str">
        <f>X75</f>
        <v>N NAME OF YOUR RECIPE | paste it — FAMILY|  Author &gt; YOU</v>
      </c>
      <c r="Y73" s="32">
        <f>Y75</f>
        <v>1</v>
      </c>
      <c r="Z73" s="32" t="str">
        <f>Z75</f>
        <v>coupe</v>
      </c>
      <c r="AA73" s="33" t="str">
        <f>AA75</f>
        <v>Master recipe ► MILLE-FEUILLE  aux fraises des bois</v>
      </c>
      <c r="AB73" s="1360">
        <v>1</v>
      </c>
      <c r="AC73" s="1361" t="s">
        <v>1783</v>
      </c>
      <c r="AD73" s="39"/>
      <c r="AE73" s="39"/>
      <c r="AF73" s="6736"/>
      <c r="AG73" s="6736"/>
      <c r="AH73" s="6736"/>
      <c r="AI73" s="6736"/>
      <c r="AJ73" s="6736"/>
      <c r="AK73" s="6736"/>
      <c r="AL73" s="6736"/>
      <c r="AM73" s="696"/>
      <c r="AN73" s="696"/>
      <c r="AO73" s="47" t="s">
        <v>148</v>
      </c>
      <c r="AP73" s="48" t="s">
        <v>854</v>
      </c>
      <c r="AR73" s="25" t="s">
        <v>10</v>
      </c>
      <c r="AS73" s="31" t="str">
        <f>AS75</f>
        <v>N NOMBRE DE SU RECETA | pegue esto — FAMILIA| Auteur &gt; VOUS</v>
      </c>
      <c r="AT73" s="32">
        <f>AT75</f>
        <v>1</v>
      </c>
      <c r="AU73" s="32" t="str">
        <f>AU75</f>
        <v>coupe</v>
      </c>
      <c r="AV73" s="33" t="str">
        <f>AV75</f>
        <v>Receta madre ► MILLE-FEUILLE  aux fraises des bois</v>
      </c>
      <c r="AW73" s="1360">
        <v>1</v>
      </c>
      <c r="AX73" s="1361" t="s">
        <v>1783</v>
      </c>
      <c r="AY73" s="39"/>
      <c r="AZ73" s="39"/>
      <c r="BA73" s="6736"/>
      <c r="BB73" s="6736"/>
      <c r="BC73" s="6736"/>
      <c r="BD73" s="6736"/>
      <c r="BE73" s="6736"/>
      <c r="BF73" s="6736"/>
      <c r="BG73" s="6736"/>
      <c r="BH73" s="696"/>
      <c r="BI73" s="696"/>
      <c r="BJ73" s="47" t="s">
        <v>150</v>
      </c>
      <c r="BK73" s="48" t="s">
        <v>151</v>
      </c>
      <c r="BM73" s="3">
        <v>1</v>
      </c>
    </row>
    <row r="74" spans="2:65" ht="21" customHeight="1">
      <c r="B74" s="25" t="s">
        <v>10</v>
      </c>
      <c r="C74" s="31" t="str">
        <f>C75</f>
        <v>N NOM DE VOTRE RECETTE | collez la--FAMILLE| Auteur &gt; VOUS</v>
      </c>
      <c r="D74" s="32">
        <f>D75</f>
        <v>1</v>
      </c>
      <c r="E74" s="32" t="str">
        <f>E75</f>
        <v>coupe</v>
      </c>
      <c r="F74" s="33" t="str">
        <f>F75</f>
        <v>Recette mère ► MILLE-FEUILLE  aux fraises des bois</v>
      </c>
      <c r="G74" s="53"/>
      <c r="H74" s="1323" t="s">
        <v>8094</v>
      </c>
      <c r="I74" s="6737">
        <f>Q89</f>
        <v>0</v>
      </c>
      <c r="J74" s="6737"/>
      <c r="K74" s="1324" t="str" cm="1">
        <f t="array" ref="K74">"1= "&amp;IF(OR(G73&lt;=0,I74=""),"",_xlfn.LET(_xlpm.kg,IF(ISNUMBER(I74),I74,VALEUR(SUBSTITUTE(SUBSTITUTE(SUBSTITUTE(LOWER(I74),"kg",""),",",".")," ",""))),TEXT(ROUND(_xlpm.kg*1000/G73,2),"0.##")&amp;" g"))</f>
        <v>1= 0. g</v>
      </c>
      <c r="L74" s="1325">
        <f>IFERROR(T72/T74,0)</f>
        <v>1</v>
      </c>
      <c r="M74" s="1817" t="s">
        <v>8411</v>
      </c>
      <c r="N74" s="579"/>
      <c r="O74" s="55"/>
      <c r="P74" s="55"/>
      <c r="Q74"/>
      <c r="R74" s="1362"/>
      <c r="S74" s="1362" t="s">
        <v>50</v>
      </c>
      <c r="T74" s="2102">
        <v>5</v>
      </c>
      <c r="U74" s="56" t="s">
        <v>1784</v>
      </c>
      <c r="W74" s="25" t="s">
        <v>10</v>
      </c>
      <c r="X74" s="31" t="str">
        <f>X75</f>
        <v>N NAME OF YOUR RECIPE | paste it — FAMILY|  Author &gt; YOU</v>
      </c>
      <c r="Y74" s="32">
        <f>Y75</f>
        <v>1</v>
      </c>
      <c r="Z74" s="32" t="str">
        <f>Z75</f>
        <v>coupe</v>
      </c>
      <c r="AA74" s="33" t="str">
        <f>AA75</f>
        <v>Master recipe ► MILLE-FEUILLE  aux fraises des bois</v>
      </c>
      <c r="AB74" s="53"/>
      <c r="AC74" s="1323" t="s">
        <v>8095</v>
      </c>
      <c r="AD74" s="6737">
        <f>AL89</f>
        <v>0</v>
      </c>
      <c r="AE74" s="6737"/>
      <c r="AF74" s="1324" t="str" cm="1">
        <f t="array" ref="AF74">"1= "&amp;IF(OR(AB73&lt;=0,AD74=""),"",_xlfn.LET(_xlpm.kg,IF(ISNUMBER(AD74),AD74,VALEUR(SUBSTITUTE(SUBSTITUTE(SUBSTITUTE(LOWER(AD74),"kg",""),",",".")," ",""))),TEXT(ROUND(_xlpm.kg*1000/AB73,2),"0.##")&amp;" g"))</f>
        <v>1= 0. g</v>
      </c>
      <c r="AG74" s="1325">
        <f>IFERROR(AO72/AO74,0)</f>
        <v>3.3333333333333335</v>
      </c>
      <c r="AH74" s="1817" t="s">
        <v>8412</v>
      </c>
      <c r="AI74" s="55"/>
      <c r="AJ74" s="55"/>
      <c r="AK74" s="55"/>
      <c r="AM74" s="1362"/>
      <c r="AN74" s="1362" t="s">
        <v>153</v>
      </c>
      <c r="AO74" s="2102">
        <v>1.5</v>
      </c>
      <c r="AP74" s="56" t="s">
        <v>1784</v>
      </c>
      <c r="AR74" s="25" t="s">
        <v>10</v>
      </c>
      <c r="AS74" s="31" t="str">
        <f>AS75</f>
        <v>N NOMBRE DE SU RECETA | pegue esto — FAMILIA| Auteur &gt; VOUS</v>
      </c>
      <c r="AT74" s="32">
        <f>AT75</f>
        <v>1</v>
      </c>
      <c r="AU74" s="32" t="str">
        <f>AU75</f>
        <v>coupe</v>
      </c>
      <c r="AV74" s="33" t="str">
        <f>AV75</f>
        <v>Receta madre ► MILLE-FEUILLE  aux fraises des bois</v>
      </c>
      <c r="AW74" s="53"/>
      <c r="AX74" s="1323" t="s">
        <v>8096</v>
      </c>
      <c r="AY74" s="6737">
        <f>BG89</f>
        <v>0</v>
      </c>
      <c r="AZ74" s="6737"/>
      <c r="BA74" s="1324" t="str" cm="1">
        <f t="array" ref="BA74">"1= "&amp;IF(OR(AW73&lt;=0,AY74=""),"",_xlfn.LET(_xlpm.kg,IF(ISNUMBER(AY74),AY74,VALEUR(SUBSTITUTE(SUBSTITUTE(SUBSTITUTE(LOWER(AY74),"kg",""),",",".")," ",""))),TEXT(ROUND(_xlpm.kg*1000/AW73,2),"0.##")&amp;" g"))</f>
        <v>1= 0. g</v>
      </c>
      <c r="BB74" s="1325">
        <f>IFERROR(BJ72/BJ74,0)</f>
        <v>3.3333333333333335</v>
      </c>
      <c r="BC74" s="1817" t="s">
        <v>8413</v>
      </c>
      <c r="BD74" s="55"/>
      <c r="BE74" s="55"/>
      <c r="BF74" s="55"/>
      <c r="BH74" s="1362"/>
      <c r="BI74" s="1362" t="s">
        <v>154</v>
      </c>
      <c r="BJ74" s="2102">
        <v>1.5</v>
      </c>
      <c r="BK74" s="56" t="s">
        <v>1784</v>
      </c>
      <c r="BM74" s="3">
        <v>1</v>
      </c>
    </row>
    <row r="75" spans="2:65" ht="21" customHeight="1">
      <c r="B75" s="25" t="s">
        <v>10</v>
      </c>
      <c r="C75" s="61" t="str">
        <f>G75</f>
        <v>N NOM DE VOTRE RECETTE | collez la--FAMILLE| Auteur &gt; VOUS</v>
      </c>
      <c r="D75" s="62">
        <f>G73</f>
        <v>1</v>
      </c>
      <c r="E75" s="61" t="str">
        <f>H73</f>
        <v>coupe</v>
      </c>
      <c r="F75" s="63" t="str">
        <f>M75&amp;" "&amp;N75</f>
        <v>Recette mère ► MILLE-FEUILLE  aux fraises des bois</v>
      </c>
      <c r="G75" s="64" t="str">
        <f>UPPER(LEFT(J69,1))&amp;" "&amp;J69&amp;" | "&amp;S69&amp;"| "&amp;J71&amp;" "&amp;K71</f>
        <v>N NOM DE VOTRE RECETTE | collez la--FAMILLE| Auteur &gt; VOUS</v>
      </c>
      <c r="H75" s="65" t="s">
        <v>53</v>
      </c>
      <c r="I75" s="6735" t="s">
        <v>54</v>
      </c>
      <c r="J75" s="6735"/>
      <c r="K75" s="6735"/>
      <c r="L75" s="66"/>
      <c r="M75" s="66" t="str">
        <f>IF(ISTEXT(N75),"Recette mère ►",H75)</f>
        <v>Recette mère ►</v>
      </c>
      <c r="N75" s="67" t="s">
        <v>3081</v>
      </c>
      <c r="O75" s="67"/>
      <c r="P75" s="67"/>
      <c r="Q75" s="883"/>
      <c r="R75" s="68"/>
      <c r="S75" s="68"/>
      <c r="T75" s="68"/>
      <c r="U75"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W75" s="25" t="s">
        <v>10</v>
      </c>
      <c r="X75" s="61" t="str">
        <f>AB75</f>
        <v>N NAME OF YOUR RECIPE | paste it — FAMILY|  Author &gt; YOU</v>
      </c>
      <c r="Y75" s="62">
        <f>AB73</f>
        <v>1</v>
      </c>
      <c r="Z75" s="61" t="str">
        <f>AC73</f>
        <v>coupe</v>
      </c>
      <c r="AA75" s="63" t="str">
        <f>AH75&amp;" "&amp;AI75</f>
        <v>Master recipe ► MILLE-FEUILLE  aux fraises des bois</v>
      </c>
      <c r="AB75" s="64" t="str">
        <f>UPPER(LEFT(AE69,1))&amp;" "&amp;AE69&amp;" | "&amp;AN69&amp;"| "&amp;AE71&amp;" "&amp;AF71</f>
        <v>N NAME OF YOUR RECIPE | paste it — FAMILY|  Author &gt; YOU</v>
      </c>
      <c r="AC75" s="65" t="s">
        <v>855</v>
      </c>
      <c r="AD75" s="6735" t="s">
        <v>852</v>
      </c>
      <c r="AE75" s="6735"/>
      <c r="AF75" s="6735"/>
      <c r="AG75" s="66"/>
      <c r="AH75" s="66" t="str">
        <f>IF(ISTEXT(AI75),"Master recipe ►",AC75)</f>
        <v>Master recipe ►</v>
      </c>
      <c r="AI75" s="67" t="s">
        <v>3081</v>
      </c>
      <c r="AJ75" s="67"/>
      <c r="AK75" s="67"/>
      <c r="AL75" s="883"/>
      <c r="AM75" s="68"/>
      <c r="AN75" s="68"/>
      <c r="AO75" s="68"/>
      <c r="AP75" s="1818" t="str">
        <f>IF(ISNUMBER(IFERROR(VALUE("0,5"),"")),"WARNING: on this computer, the decimal separator is the COMMA,",IF(ISNUMBER(IFERROR(VALUE("0.5"),"")),"  OK. ALL GOOD: on this computer. the decimal separator is the PERIOD (DOT).","Unable to determine the decimal separator"))</f>
        <v xml:space="preserve">  OK. ALL GOOD: on this computer. the decimal separator is the PERIOD (DOT).</v>
      </c>
      <c r="AR75" s="25" t="s">
        <v>10</v>
      </c>
      <c r="AS75" s="61" t="str">
        <f>AW75</f>
        <v>N NOMBRE DE SU RECETA | pegue esto — FAMILIA| Auteur &gt; VOUS</v>
      </c>
      <c r="AT75" s="62">
        <f>AW73</f>
        <v>1</v>
      </c>
      <c r="AU75" s="61" t="str">
        <f>AX73</f>
        <v>coupe</v>
      </c>
      <c r="AV75" s="63" t="str">
        <f>BC75&amp;" "&amp;BD75</f>
        <v>Receta madre ► MILLE-FEUILLE  aux fraises des bois</v>
      </c>
      <c r="AW75" s="64" t="str">
        <f>UPPER(LEFT(AZ69,1))&amp;" "&amp;AZ69&amp;" | "&amp;BI69&amp;"| "&amp;AZ71&amp;" "&amp;BA71</f>
        <v>N NOMBRE DE SU RECETA | pegue esto — FAMILIA| Auteur &gt; VOUS</v>
      </c>
      <c r="AX75" s="65" t="s">
        <v>53</v>
      </c>
      <c r="AY75" s="6735" t="s">
        <v>870</v>
      </c>
      <c r="AZ75" s="6735"/>
      <c r="BA75" s="6735"/>
      <c r="BB75" s="66"/>
      <c r="BC75" s="66" t="str">
        <f>IF(ISTEXT(BD75),"Receta madre ►",AX75)</f>
        <v>Receta madre ►</v>
      </c>
      <c r="BD75" s="67" t="s">
        <v>3081</v>
      </c>
      <c r="BE75" s="67"/>
      <c r="BF75" s="67"/>
      <c r="BG75" s="883"/>
      <c r="BH75" s="68"/>
      <c r="BI75" s="68"/>
      <c r="BJ75" s="68"/>
      <c r="BK75" s="1818" t="str">
        <f>IF(ISNUMBER(IFERROR(VALUE("0,5"),"")),"ATENCIÓN: en este ordenador, el separador decimal es la COMA",IF(ISNUMBER(IFERROR(VALUE("0.5"),"")),"  OK. TODO BIEN: en este ordenador. el separador decimal es el PUNTO","Imposible determinar el separador decimal"))</f>
        <v xml:space="preserve">  OK. TODO BIEN: en este ordenador. el separador decimal es el PUNTO</v>
      </c>
      <c r="BM75" s="3">
        <v>1</v>
      </c>
    </row>
    <row r="76" spans="2:65" ht="21" customHeight="1">
      <c r="B76" s="25" t="s">
        <v>10</v>
      </c>
      <c r="C76" s="70" t="str">
        <f>C75</f>
        <v>N NOM DE VOTRE RECETTE | collez la--FAMILLE| Auteur &gt; VOUS</v>
      </c>
      <c r="D76" s="70">
        <f>D75</f>
        <v>1</v>
      </c>
      <c r="E76" s="70" t="str">
        <f>E75</f>
        <v>coupe</v>
      </c>
      <c r="F76" s="71" t="str">
        <f>F75</f>
        <v>Recette mère ► MILLE-FEUILLE  aux fraises des bois</v>
      </c>
      <c r="G76" s="12" t="s">
        <v>65</v>
      </c>
      <c r="H76" s="12" t="s">
        <v>66</v>
      </c>
      <c r="I76" s="12" t="s">
        <v>67</v>
      </c>
      <c r="J76" s="12" t="s">
        <v>68</v>
      </c>
      <c r="K76" s="72" t="s">
        <v>69</v>
      </c>
      <c r="L76" s="73" t="s">
        <v>70</v>
      </c>
      <c r="M76" s="12" t="s">
        <v>71</v>
      </c>
      <c r="N76" s="12" t="s">
        <v>72</v>
      </c>
      <c r="O76" s="12" t="s">
        <v>73</v>
      </c>
      <c r="P76" s="12" t="s">
        <v>74</v>
      </c>
      <c r="Q76" s="12" t="s">
        <v>75</v>
      </c>
      <c r="R76" s="12" t="s">
        <v>76</v>
      </c>
      <c r="S76" s="12" t="s">
        <v>77</v>
      </c>
      <c r="T76" s="12" t="s">
        <v>8143</v>
      </c>
      <c r="U76" s="74" t="s">
        <v>8407</v>
      </c>
      <c r="W76" s="25" t="s">
        <v>10</v>
      </c>
      <c r="X76" s="70" t="str">
        <f>X75</f>
        <v>N NAME OF YOUR RECIPE | paste it — FAMILY|  Author &gt; YOU</v>
      </c>
      <c r="Y76" s="70">
        <f>Y75</f>
        <v>1</v>
      </c>
      <c r="Z76" s="70" t="str">
        <f>Z75</f>
        <v>coupe</v>
      </c>
      <c r="AA76" s="71" t="str">
        <f>AA75</f>
        <v>Master recipe ► MILLE-FEUILLE  aux fraises des bois</v>
      </c>
      <c r="AB76" s="12" t="s">
        <v>65</v>
      </c>
      <c r="AC76" s="12" t="s">
        <v>66</v>
      </c>
      <c r="AD76" s="12" t="s">
        <v>67</v>
      </c>
      <c r="AE76" s="12" t="s">
        <v>68</v>
      </c>
      <c r="AF76" s="72" t="s">
        <v>69</v>
      </c>
      <c r="AG76" s="73" t="s">
        <v>70</v>
      </c>
      <c r="AH76" s="12" t="s">
        <v>71</v>
      </c>
      <c r="AI76" s="12" t="s">
        <v>72</v>
      </c>
      <c r="AJ76" s="12" t="s">
        <v>73</v>
      </c>
      <c r="AK76" s="12" t="s">
        <v>74</v>
      </c>
      <c r="AL76" s="12" t="s">
        <v>75</v>
      </c>
      <c r="AM76" s="12" t="s">
        <v>76</v>
      </c>
      <c r="AN76" s="12" t="s">
        <v>77</v>
      </c>
      <c r="AO76" s="12" t="s">
        <v>8143</v>
      </c>
      <c r="AP76" s="74" t="s">
        <v>8407</v>
      </c>
      <c r="AR76" s="25" t="s">
        <v>10</v>
      </c>
      <c r="AS76" s="70" t="str">
        <f>AS75</f>
        <v>N NOMBRE DE SU RECETA | pegue esto — FAMILIA| Auteur &gt; VOUS</v>
      </c>
      <c r="AT76" s="70">
        <f>AT75</f>
        <v>1</v>
      </c>
      <c r="AU76" s="70" t="str">
        <f>AU75</f>
        <v>coupe</v>
      </c>
      <c r="AV76" s="71" t="str">
        <f>AV75</f>
        <v>Receta madre ► MILLE-FEUILLE  aux fraises des bois</v>
      </c>
      <c r="AW76" s="12" t="s">
        <v>65</v>
      </c>
      <c r="AX76" s="12" t="s">
        <v>66</v>
      </c>
      <c r="AY76" s="12" t="s">
        <v>67</v>
      </c>
      <c r="AZ76" s="12" t="s">
        <v>68</v>
      </c>
      <c r="BA76" s="72" t="s">
        <v>69</v>
      </c>
      <c r="BB76" s="73" t="s">
        <v>70</v>
      </c>
      <c r="BC76" s="12" t="s">
        <v>71</v>
      </c>
      <c r="BD76" s="12" t="s">
        <v>72</v>
      </c>
      <c r="BE76" s="12" t="s">
        <v>73</v>
      </c>
      <c r="BF76" s="12" t="s">
        <v>74</v>
      </c>
      <c r="BG76" s="12" t="s">
        <v>75</v>
      </c>
      <c r="BH76" s="12" t="s">
        <v>76</v>
      </c>
      <c r="BI76" s="12" t="s">
        <v>77</v>
      </c>
      <c r="BJ76" s="12" t="s">
        <v>8143</v>
      </c>
      <c r="BK76" s="74" t="s">
        <v>8407</v>
      </c>
      <c r="BM76" s="3">
        <v>1</v>
      </c>
    </row>
    <row r="77" spans="2:65" ht="21" customHeight="1">
      <c r="B77" s="25" t="s">
        <v>10</v>
      </c>
      <c r="C77" s="31" t="str">
        <f>C75</f>
        <v>N NOM DE VOTRE RECETTE | collez la--FAMILLE| Auteur &gt; VOUS</v>
      </c>
      <c r="D77" s="32">
        <f>D75</f>
        <v>1</v>
      </c>
      <c r="E77" s="31" t="str">
        <f>E75</f>
        <v>coupe</v>
      </c>
      <c r="F77" s="33" t="str">
        <f>F75</f>
        <v>Recette mère ► MILLE-FEUILLE  aux fraises des bois</v>
      </c>
      <c r="G77" s="76" t="s">
        <v>78</v>
      </c>
      <c r="H77" s="77" t="s">
        <v>79</v>
      </c>
      <c r="I77" s="78"/>
      <c r="J77" s="6612" t="s">
        <v>80</v>
      </c>
      <c r="K77" s="6730" t="s">
        <v>81</v>
      </c>
      <c r="L77" s="6732" t="s">
        <v>82</v>
      </c>
      <c r="M77" s="6738" t="s">
        <v>8575</v>
      </c>
      <c r="N77" s="79" t="s">
        <v>83</v>
      </c>
      <c r="O77" s="80" t="s">
        <v>49</v>
      </c>
      <c r="P77" s="81" t="s">
        <v>84</v>
      </c>
      <c r="Q77" s="6607" t="s">
        <v>85</v>
      </c>
      <c r="R77" s="6582" t="s">
        <v>84</v>
      </c>
      <c r="S77" s="6727" t="s">
        <v>8405</v>
      </c>
      <c r="T77" s="6584" t="s">
        <v>86</v>
      </c>
      <c r="U77" s="6728" t="s">
        <v>87</v>
      </c>
      <c r="W77" s="25" t="s">
        <v>10</v>
      </c>
      <c r="X77" s="31" t="str">
        <f>X75</f>
        <v>N NAME OF YOUR RECIPE | paste it — FAMILY|  Author &gt; YOU</v>
      </c>
      <c r="Y77" s="32">
        <f>Y75</f>
        <v>1</v>
      </c>
      <c r="Z77" s="31" t="str">
        <f>Z75</f>
        <v>coupe</v>
      </c>
      <c r="AA77" s="33" t="str">
        <f>AA75</f>
        <v>Master recipe ► MILLE-FEUILLE  aux fraises des bois</v>
      </c>
      <c r="AB77" s="76" t="s">
        <v>78</v>
      </c>
      <c r="AC77" s="77" t="s">
        <v>79</v>
      </c>
      <c r="AD77" s="78"/>
      <c r="AE77" s="6612" t="s">
        <v>226</v>
      </c>
      <c r="AF77" s="6730" t="s">
        <v>81</v>
      </c>
      <c r="AG77" s="6732" t="s">
        <v>82</v>
      </c>
      <c r="AH77" s="6738" t="s">
        <v>8575</v>
      </c>
      <c r="AI77" s="79" t="s">
        <v>83</v>
      </c>
      <c r="AJ77" s="80" t="s">
        <v>152</v>
      </c>
      <c r="AK77" s="81" t="s">
        <v>242</v>
      </c>
      <c r="AL77" s="6607" t="s">
        <v>856</v>
      </c>
      <c r="AM77" s="6582" t="s">
        <v>242</v>
      </c>
      <c r="AN77" s="6582" t="s">
        <v>230</v>
      </c>
      <c r="AO77" s="6584" t="s">
        <v>857</v>
      </c>
      <c r="AP77" s="6728" t="s">
        <v>245</v>
      </c>
      <c r="AR77" s="25" t="s">
        <v>10</v>
      </c>
      <c r="AS77" s="31" t="str">
        <f>AS75</f>
        <v>N NOMBRE DE SU RECETA | pegue esto — FAMILIA| Auteur &gt; VOUS</v>
      </c>
      <c r="AT77" s="32">
        <f>AT75</f>
        <v>1</v>
      </c>
      <c r="AU77" s="31" t="str">
        <f>AU75</f>
        <v>coupe</v>
      </c>
      <c r="AV77" s="33" t="str">
        <f>AV75</f>
        <v>Receta madre ► MILLE-FEUILLE  aux fraises des bois</v>
      </c>
      <c r="AW77" s="76" t="s">
        <v>78</v>
      </c>
      <c r="AX77" s="77" t="s">
        <v>79</v>
      </c>
      <c r="AY77" s="78"/>
      <c r="AZ77" s="6787" t="s">
        <v>227</v>
      </c>
      <c r="BA77" s="6788" t="s">
        <v>81</v>
      </c>
      <c r="BB77" s="6732" t="s">
        <v>82</v>
      </c>
      <c r="BC77" s="6738" t="s">
        <v>8575</v>
      </c>
      <c r="BD77" s="79" t="s">
        <v>83</v>
      </c>
      <c r="BE77" s="80" t="s">
        <v>246</v>
      </c>
      <c r="BF77" s="81" t="s">
        <v>247</v>
      </c>
      <c r="BG77" s="6789" t="s">
        <v>871</v>
      </c>
      <c r="BH77" s="6727" t="s">
        <v>247</v>
      </c>
      <c r="BI77" s="6582" t="s">
        <v>8405</v>
      </c>
      <c r="BJ77" s="6791" t="s">
        <v>872</v>
      </c>
      <c r="BK77" s="6792" t="s">
        <v>250</v>
      </c>
      <c r="BM77" s="3">
        <v>1</v>
      </c>
    </row>
    <row r="78" spans="2:65" ht="21" customHeight="1">
      <c r="B78" s="25" t="s">
        <v>10</v>
      </c>
      <c r="C78" s="31" t="str">
        <f>C75</f>
        <v>N NOM DE VOTRE RECETTE | collez la--FAMILLE| Auteur &gt; VOUS</v>
      </c>
      <c r="D78" s="32">
        <f>D75</f>
        <v>1</v>
      </c>
      <c r="E78" s="31" t="str">
        <f>E75</f>
        <v>coupe</v>
      </c>
      <c r="F78" s="33" t="str">
        <f>F75</f>
        <v>Recette mère ► MILLE-FEUILLE  aux fraises des bois</v>
      </c>
      <c r="G78" s="83" t="s">
        <v>92</v>
      </c>
      <c r="H78" s="84" t="s">
        <v>93</v>
      </c>
      <c r="I78" s="85" t="s">
        <v>94</v>
      </c>
      <c r="J78" s="6577"/>
      <c r="K78" s="6471"/>
      <c r="L78" s="6606"/>
      <c r="M78" s="6739"/>
      <c r="N78" s="86" t="s">
        <v>95</v>
      </c>
      <c r="O78" s="87" t="s">
        <v>96</v>
      </c>
      <c r="P78" s="88">
        <v>1</v>
      </c>
      <c r="Q78" s="6608"/>
      <c r="R78" s="6583"/>
      <c r="S78" s="6583"/>
      <c r="T78" s="6585"/>
      <c r="U78" s="6786"/>
      <c r="W78" s="25" t="s">
        <v>10</v>
      </c>
      <c r="X78" s="31" t="str">
        <f>X75</f>
        <v>N NAME OF YOUR RECIPE | paste it — FAMILY|  Author &gt; YOU</v>
      </c>
      <c r="Y78" s="32">
        <f>Y75</f>
        <v>1</v>
      </c>
      <c r="Z78" s="31" t="str">
        <f>Z75</f>
        <v>coupe</v>
      </c>
      <c r="AA78" s="33" t="str">
        <f>AA75</f>
        <v>Master recipe ► MILLE-FEUILLE  aux fraises des bois</v>
      </c>
      <c r="AB78" s="83" t="s">
        <v>229</v>
      </c>
      <c r="AC78" s="84" t="s">
        <v>230</v>
      </c>
      <c r="AD78" s="85" t="s">
        <v>858</v>
      </c>
      <c r="AE78" s="6577"/>
      <c r="AF78" s="6471"/>
      <c r="AG78" s="6606"/>
      <c r="AH78" s="6739"/>
      <c r="AI78" s="86" t="s">
        <v>832</v>
      </c>
      <c r="AJ78" s="87" t="s">
        <v>436</v>
      </c>
      <c r="AK78" s="88">
        <v>1</v>
      </c>
      <c r="AL78" s="6608"/>
      <c r="AM78" s="6583"/>
      <c r="AN78" s="6583"/>
      <c r="AO78" s="6585"/>
      <c r="AP78" s="6786"/>
      <c r="AR78" s="25" t="s">
        <v>10</v>
      </c>
      <c r="AS78" s="31" t="str">
        <f>AS75</f>
        <v>N NOMBRE DE SU RECETA | pegue esto — FAMILIA| Auteur &gt; VOUS</v>
      </c>
      <c r="AT78" s="32">
        <f>AT75</f>
        <v>1</v>
      </c>
      <c r="AU78" s="31" t="str">
        <f>AU75</f>
        <v>coupe</v>
      </c>
      <c r="AV78" s="33" t="str">
        <f>AV75</f>
        <v>Receta madre ► MILLE-FEUILLE  aux fraises des bois</v>
      </c>
      <c r="AW78" s="83" t="s">
        <v>232</v>
      </c>
      <c r="AX78" s="84" t="s">
        <v>233</v>
      </c>
      <c r="AY78" s="85" t="s">
        <v>94</v>
      </c>
      <c r="AZ78" s="6577"/>
      <c r="BA78" s="6471"/>
      <c r="BB78" s="6606"/>
      <c r="BC78" s="6739"/>
      <c r="BD78" s="86" t="s">
        <v>834</v>
      </c>
      <c r="BE78" s="87" t="s">
        <v>437</v>
      </c>
      <c r="BF78" s="88">
        <v>1</v>
      </c>
      <c r="BG78" s="6790"/>
      <c r="BH78" s="6583"/>
      <c r="BI78" s="6583"/>
      <c r="BJ78" s="6585"/>
      <c r="BK78" s="6786"/>
      <c r="BM78" s="3">
        <v>1</v>
      </c>
    </row>
    <row r="79" spans="2:65" ht="21" customHeight="1">
      <c r="B79" s="25" t="s">
        <v>10</v>
      </c>
      <c r="C79" s="31" t="str">
        <f>C75</f>
        <v>N NOM DE VOTRE RECETTE | collez la--FAMILLE| Auteur &gt; VOUS</v>
      </c>
      <c r="D79" s="32">
        <f>D75</f>
        <v>1</v>
      </c>
      <c r="E79" s="31" t="str">
        <f>E75</f>
        <v>coupe</v>
      </c>
      <c r="F79" s="33" t="str">
        <f>F75</f>
        <v>Recette mère ► MILLE-FEUILLE  aux fraises des bois</v>
      </c>
      <c r="G79" s="89"/>
      <c r="H79" s="90"/>
      <c r="I79" s="91" t="str">
        <f t="shared" ref="I79:I88" si="19">IF(OR(ISTEXT(G79), G79&lt;=0, J79&lt;=0), "", "de")</f>
        <v/>
      </c>
      <c r="J79" s="92"/>
      <c r="K79" s="128"/>
      <c r="L79" s="130">
        <v>1</v>
      </c>
      <c r="M79" s="1812" t="str">
        <f>ROWS(M79:M79)&amp;" ►"</f>
        <v>1 ►</v>
      </c>
      <c r="N79" s="1580"/>
      <c r="O79" s="95">
        <f>IF(Q89=0,0,(Q79/Q89)*P78*1000)</f>
        <v>0</v>
      </c>
      <c r="P79" s="96">
        <f>IF(Q89=0, 0, (G79*L79)/(Q89*P78))</f>
        <v>0</v>
      </c>
      <c r="Q79" s="97" cm="1">
        <f t="array" ref="Q79">IFERROR(_xlfn.XLOOKUP(UPPER(TRIM(K79)),UPPER(TRIM(G90:U90)),G91:U91,_xlfn.XLOOKUP(UPPER(TRIM(K79)),UPPER(TRIM(G92:U92)),G93:U93,0))*J79*IF(G79&gt;0,G79,1),0)</f>
        <v>0</v>
      </c>
      <c r="R79" s="98">
        <f>IF(T74&lt;&gt;0,G79*L79*L74,0)</f>
        <v>0</v>
      </c>
      <c r="S79" s="1834">
        <f>H79</f>
        <v>0</v>
      </c>
      <c r="T79" s="99">
        <f>IF(OR(ISBLANK(T74),T74=0),0,Q79*L79*L74)</f>
        <v>0</v>
      </c>
      <c r="U79" s="1366" t="str">
        <f>IF(K79="","",IF(COUNTIF(N90:U90,SUBSTITUTE(TRIM(K79)," (s)",""))+COUNTIF(N92:U92,SUBSTITUTE(TRIM(K79)," (s)",""))&gt;0,IF(ROUND(T79,3)&gt;=1,ROUND(T79,3)&amp;" L",MAX(1,ROUND(T79*100,0))&amp;" cl"),IF(COUNTIF(G90:L90,SUBSTITUTE(TRIM(K79)," (s)",""))+COUNTIF(G92:L92,SUBSTITUTE(TRIM(K79)," (s)",""))&gt;0,IF(ROUND(T79,3)&gt;=1,ROUND(T79,3)&amp;" Kg",MAX(1,ROUND(T79*1000,0))&amp;" g"),"")))</f>
        <v/>
      </c>
      <c r="W79" s="25" t="s">
        <v>10</v>
      </c>
      <c r="X79" s="31" t="str">
        <f>X75</f>
        <v>N NAME OF YOUR RECIPE | paste it — FAMILY|  Author &gt; YOU</v>
      </c>
      <c r="Y79" s="32">
        <f>Y75</f>
        <v>1</v>
      </c>
      <c r="Z79" s="31" t="str">
        <f>Z75</f>
        <v>coupe</v>
      </c>
      <c r="AA79" s="33" t="str">
        <f>AA75</f>
        <v>Master recipe ► MILLE-FEUILLE  aux fraises des bois</v>
      </c>
      <c r="AB79" s="89"/>
      <c r="AC79" s="90"/>
      <c r="AD79" s="91" t="str">
        <f t="shared" ref="AD79:AD88" si="20">IF(OR(ISTEXT(AB79), AB79&lt;=0, AE79&lt;=0), "", "de")</f>
        <v/>
      </c>
      <c r="AE79" s="92"/>
      <c r="AF79" s="128"/>
      <c r="AG79" s="130">
        <v>1</v>
      </c>
      <c r="AH79" s="1812" t="str">
        <f>ROWS(AH79:AH79)&amp;" ►"</f>
        <v>1 ►</v>
      </c>
      <c r="AI79" s="1580"/>
      <c r="AJ79" s="95">
        <f>IF(AL89=0,0,(AL79/AL89)*AK78*1000)</f>
        <v>0</v>
      </c>
      <c r="AK79" s="96">
        <f>IF(AL89=0, 0, (AB79*AG79)/(AL89*AK78))</f>
        <v>0</v>
      </c>
      <c r="AL79" s="97" cm="1">
        <f t="array" ref="AL79">IFERROR(_xlfn.XLOOKUP(UPPER(TRIM(AF79)),UPPER(TRIM(AB90:AP90)),AB91:AP91,_xlfn.XLOOKUP(UPPER(TRIM(AF79)),UPPER(TRIM(AB92:AP92)),AB93:AP93,0))*AE79*IF(AB79&gt;0,AB79,1),0)</f>
        <v>0</v>
      </c>
      <c r="AM79" s="98">
        <f>IF(AO74&lt;&gt;0,AB79*AG79*AG74,0)</f>
        <v>0</v>
      </c>
      <c r="AN79" s="1834">
        <f>AC79</f>
        <v>0</v>
      </c>
      <c r="AO79" s="99">
        <f>IF(OR(ISBLANK(AO74),AO74=0),0,AL79*AG79*AG74)</f>
        <v>0</v>
      </c>
      <c r="AP79" s="1366" t="str">
        <f>IF(AF79="","",IF(COUNTIF(AI90:AP90,SUBSTITUTE(TRIM(AF79)," (s)",""))+COUNTIF(AI92:AP92,SUBSTITUTE(TRIM(AF79)," (s)",""))&gt;0,IF(ROUND(AO79,3)&gt;=1,ROUND(AO79,3)&amp;" L",MAX(1,ROUND(AO79*100,0))&amp;" cl"),IF(COUNTIF(AB90:AG90,SUBSTITUTE(TRIM(AF79)," (s)",""))+COUNTIF(AB92:AG92,SUBSTITUTE(TRIM(AF79)," (s)",""))&gt;0,IF(ROUND(AO79,3)&gt;=1,ROUND(AO79,3)&amp;" Kg",MAX(1,ROUND(AO79*1000,0))&amp;" g"),"")))</f>
        <v/>
      </c>
      <c r="AR79" s="25" t="s">
        <v>10</v>
      </c>
      <c r="AS79" s="31" t="str">
        <f>AS75</f>
        <v>N NOMBRE DE SU RECETA | pegue esto — FAMILIA| Auteur &gt; VOUS</v>
      </c>
      <c r="AT79" s="32">
        <f>AT75</f>
        <v>1</v>
      </c>
      <c r="AU79" s="31" t="str">
        <f>AU75</f>
        <v>coupe</v>
      </c>
      <c r="AV79" s="33" t="str">
        <f>AV75</f>
        <v>Receta madre ► MILLE-FEUILLE  aux fraises des bois</v>
      </c>
      <c r="AW79" s="89"/>
      <c r="AX79" s="90"/>
      <c r="AY79" s="91" t="str">
        <f t="shared" ref="AY79:AY88" si="21">IF(OR(ISTEXT(AW79), AW79&lt;=0, AZ79&lt;=0), "", "de")</f>
        <v/>
      </c>
      <c r="AZ79" s="92"/>
      <c r="BA79" s="128"/>
      <c r="BB79" s="130">
        <v>1</v>
      </c>
      <c r="BC79" s="1812" t="str">
        <f>ROWS(BC79:BC79)&amp;" ►"</f>
        <v>1 ►</v>
      </c>
      <c r="BD79" s="1580"/>
      <c r="BE79" s="95">
        <f>IF(BG89=0,0,(BG79/BG89)*BF78*1000)</f>
        <v>0</v>
      </c>
      <c r="BF79" s="96">
        <f>IF(BG89=0, 0, (AW79*BB79)/(BG89*BF78))</f>
        <v>0</v>
      </c>
      <c r="BG79" s="97" cm="1">
        <f t="array" ref="BG79">IFERROR(_xlfn.XLOOKUP(UPPER(TRIM(BA79)),UPPER(TRIM(AW90:BK90)),AW91:BK91,_xlfn.XLOOKUP(UPPER(TRIM(BA79)),UPPER(TRIM(AW92:BK92)),AW93:BK93,0))*AZ79*IF(AW79&gt;0,AW79,1),0)</f>
        <v>0</v>
      </c>
      <c r="BH79" s="98">
        <f>IF(BJ74&lt;&gt;0,AW79*BB79*BB74,0)</f>
        <v>0</v>
      </c>
      <c r="BI79" s="1834">
        <f>AX79</f>
        <v>0</v>
      </c>
      <c r="BJ79" s="99">
        <f>IF(OR(ISBLANK(BJ74),BJ74=0),0,BG79*BB79*BB74)</f>
        <v>0</v>
      </c>
      <c r="BK79" s="1366" t="str">
        <f>IF(BA79="","",IF(COUNTIF(BD90:BK90,SUBSTITUTE(TRIM(BA79)," (s)",""))+COUNTIF(BD92:BK92,SUBSTITUTE(TRIM(BA79)," (s)",""))&gt;0,IF(ROUND(BJ79,3)&gt;=1,ROUND(BJ79,3)&amp;" L",MAX(1,ROUND(BJ79*100,0))&amp;" cl"),IF(COUNTIF(AW90:BB90,SUBSTITUTE(TRIM(BA79)," (s)",""))+COUNTIF(AW92:BB92,SUBSTITUTE(TRIM(BA79)," (s)",""))&gt;0,IF(ROUND(BJ79,3)&gt;=1,ROUND(BJ79,3)&amp;" Kg",MAX(1,ROUND(BJ79*1000,0))&amp;" g"),"")))</f>
        <v/>
      </c>
      <c r="BM79" s="3">
        <v>1</v>
      </c>
    </row>
    <row r="80" spans="2:65" ht="21" customHeight="1">
      <c r="B80" s="25" t="s">
        <v>10</v>
      </c>
      <c r="C80" s="31" t="str">
        <f>C75</f>
        <v>N NOM DE VOTRE RECETTE | collez la--FAMILLE| Auteur &gt; VOUS</v>
      </c>
      <c r="D80" s="32">
        <f>D75</f>
        <v>1</v>
      </c>
      <c r="E80" s="31" t="str">
        <f>E75</f>
        <v>coupe</v>
      </c>
      <c r="F80" s="33" t="str">
        <f>F75</f>
        <v>Recette mère ► MILLE-FEUILLE  aux fraises des bois</v>
      </c>
      <c r="G80" s="89"/>
      <c r="H80" s="108"/>
      <c r="I80" s="91" t="str">
        <f t="shared" si="19"/>
        <v/>
      </c>
      <c r="J80" s="92"/>
      <c r="K80" s="128"/>
      <c r="L80" s="130">
        <v>1</v>
      </c>
      <c r="M80" s="1813" t="str">
        <f>ROWS(M79:M80)&amp;" ►"</f>
        <v>2 ►</v>
      </c>
      <c r="N80" s="1580"/>
      <c r="O80" s="95">
        <f>IF(Q89=0,0,(Q80/Q89)*P78*1000)</f>
        <v>0</v>
      </c>
      <c r="P80" s="105">
        <f>IF(Q89=0, 0, (G80*L80)/(Q89*P78))</f>
        <v>0</v>
      </c>
      <c r="Q80" s="97" cm="1">
        <f t="array" ref="Q80">IFERROR(_xlfn.XLOOKUP(UPPER(TRIM(K80)),UPPER(TRIM(G90:U90)),G91:U91,_xlfn.XLOOKUP(UPPER(TRIM(K80)),UPPER(TRIM(G92:U92)),G93:U93,0))*J80*IF(G80&gt;0,G80,1),0)</f>
        <v>0</v>
      </c>
      <c r="R80" s="106">
        <f>IF(T74&lt;&gt;0,G80*L80*L74,0)</f>
        <v>0</v>
      </c>
      <c r="S80" s="1747">
        <f t="shared" ref="S80:S88" si="22">H80</f>
        <v>0</v>
      </c>
      <c r="T80" s="99">
        <f>IF(OR(ISBLANK(T74),T74=0),0,Q80*L80*L74)</f>
        <v>0</v>
      </c>
      <c r="U80" s="1367" t="str">
        <f>IF(K80="","",IF(COUNTIF(N90:U90,SUBSTITUTE(TRIM(K80)," (s)",""))+COUNTIF(N92:U92,SUBSTITUTE(TRIM(K80)," (s)",""))&gt;0,IF(ROUND(T80,3)&gt;=1,ROUND(T80,3)&amp;" L",MAX(1,ROUND(T80*100,0))&amp;" cl"),IF(COUNTIF(G90:L90,SUBSTITUTE(TRIM(K80)," (s)",""))+COUNTIF(G92:L92,SUBSTITUTE(TRIM(K80)," (s)",""))&gt;0,IF(ROUND(T80,3)&gt;=1,ROUND(T80,3)&amp;" Kg",MAX(1,ROUND(T80*1000,0))&amp;" g"),"")))</f>
        <v/>
      </c>
      <c r="W80" s="25" t="s">
        <v>10</v>
      </c>
      <c r="X80" s="31" t="str">
        <f>X75</f>
        <v>N NAME OF YOUR RECIPE | paste it — FAMILY|  Author &gt; YOU</v>
      </c>
      <c r="Y80" s="32">
        <f>Y75</f>
        <v>1</v>
      </c>
      <c r="Z80" s="31" t="str">
        <f>Z75</f>
        <v>coupe</v>
      </c>
      <c r="AA80" s="33" t="str">
        <f>AA75</f>
        <v>Master recipe ► MILLE-FEUILLE  aux fraises des bois</v>
      </c>
      <c r="AB80" s="89"/>
      <c r="AC80" s="108"/>
      <c r="AD80" s="91" t="str">
        <f t="shared" si="20"/>
        <v/>
      </c>
      <c r="AE80" s="92"/>
      <c r="AF80" s="128"/>
      <c r="AG80" s="130">
        <v>1</v>
      </c>
      <c r="AH80" s="1813" t="str">
        <f>ROWS(AH79:AH80)&amp;" ►"</f>
        <v>2 ►</v>
      </c>
      <c r="AI80" s="1580"/>
      <c r="AJ80" s="95">
        <f>IF(AL89=0,0,(AL80/AL89)*AK78*1000)</f>
        <v>0</v>
      </c>
      <c r="AK80" s="105">
        <f>IF(AL89=0, 0, (AB80*AG80)/(AL89*AK78))</f>
        <v>0</v>
      </c>
      <c r="AL80" s="97" cm="1">
        <f t="array" ref="AL80">IFERROR(_xlfn.XLOOKUP(UPPER(TRIM(AF80)),UPPER(TRIM(AB90:AP90)),AB91:AP91,_xlfn.XLOOKUP(UPPER(TRIM(AF80)),UPPER(TRIM(AB92:AP92)),AB93:AP93,0))*AE80*IF(AB80&gt;0,AB80,1),0)</f>
        <v>0</v>
      </c>
      <c r="AM80" s="106">
        <f>IF(AO74&lt;&gt;0,AB80*AG80*AG74,0)</f>
        <v>0</v>
      </c>
      <c r="AN80" s="1747">
        <f t="shared" ref="AN80:AN88" si="23">AC80</f>
        <v>0</v>
      </c>
      <c r="AO80" s="99">
        <f>IF(OR(ISBLANK(AO74),AO74=0),0,AL80*AG80*AG74)</f>
        <v>0</v>
      </c>
      <c r="AP80" s="1367" t="str">
        <f>IF(AF80="","",IF(COUNTIF(AI90:AP90,SUBSTITUTE(TRIM(AF80)," (s)",""))+COUNTIF(AI92:AP92,SUBSTITUTE(TRIM(AF80)," (s)",""))&gt;0,IF(ROUND(AO80,3)&gt;=1,ROUND(AO80,3)&amp;" L",MAX(1,ROUND(AO80*100,0))&amp;" cl"),IF(COUNTIF(AB90:AG90,SUBSTITUTE(TRIM(AF80)," (s)",""))+COUNTIF(AB92:AG92,SUBSTITUTE(TRIM(AF80)," (s)",""))&gt;0,IF(ROUND(AO80,3)&gt;=1,ROUND(AO80,3)&amp;" Kg",MAX(1,ROUND(AO80*1000,0))&amp;" g"),"")))</f>
        <v/>
      </c>
      <c r="AR80" s="25" t="s">
        <v>10</v>
      </c>
      <c r="AS80" s="31" t="str">
        <f>AS75</f>
        <v>N NOMBRE DE SU RECETA | pegue esto — FAMILIA| Auteur &gt; VOUS</v>
      </c>
      <c r="AT80" s="32">
        <f>AT75</f>
        <v>1</v>
      </c>
      <c r="AU80" s="31" t="str">
        <f>AU75</f>
        <v>coupe</v>
      </c>
      <c r="AV80" s="33" t="str">
        <f>AV75</f>
        <v>Receta madre ► MILLE-FEUILLE  aux fraises des bois</v>
      </c>
      <c r="AW80" s="89"/>
      <c r="AX80" s="108"/>
      <c r="AY80" s="91" t="str">
        <f t="shared" si="21"/>
        <v/>
      </c>
      <c r="AZ80" s="92"/>
      <c r="BA80" s="128"/>
      <c r="BB80" s="130">
        <v>1</v>
      </c>
      <c r="BC80" s="1813" t="str">
        <f>ROWS(BC79:BC80)&amp;" ►"</f>
        <v>2 ►</v>
      </c>
      <c r="BD80" s="1580"/>
      <c r="BE80" s="95">
        <f>IF(BG89=0,0,(BG80/BG89)*BF78*1000)</f>
        <v>0</v>
      </c>
      <c r="BF80" s="105">
        <f>IF(BG89=0, 0, (AW80*BB80)/(BG89*BF78))</f>
        <v>0</v>
      </c>
      <c r="BG80" s="97" cm="1">
        <f t="array" ref="BG80">IFERROR(_xlfn.XLOOKUP(UPPER(TRIM(BA80)),UPPER(TRIM(AW90:BK90)),AW91:BK91,_xlfn.XLOOKUP(UPPER(TRIM(BA80)),UPPER(TRIM(AW92:BK92)),AW93:BK93,0))*AZ80*IF(AW80&gt;0,AW80,1),0)</f>
        <v>0</v>
      </c>
      <c r="BH80" s="106">
        <f>IF(BJ74&lt;&gt;0,AW80*BB80*BB74,0)</f>
        <v>0</v>
      </c>
      <c r="BI80" s="1747">
        <f t="shared" ref="BI80:BI88" si="24">AX80</f>
        <v>0</v>
      </c>
      <c r="BJ80" s="99">
        <f>IF(OR(ISBLANK(BJ74),BJ74=0),0,BG80*BB80*BB74)</f>
        <v>0</v>
      </c>
      <c r="BK80" s="1367" t="str">
        <f>IF(BA80="","",IF(COUNTIF(BD90:BK90,SUBSTITUTE(TRIM(BA80)," (s)",""))+COUNTIF(BD92:BK92,SUBSTITUTE(TRIM(BA80)," (s)",""))&gt;0,IF(ROUND(BJ80,3)&gt;=1,ROUND(BJ80,3)&amp;" L",MAX(1,ROUND(BJ80*100,0))&amp;" cl"),IF(COUNTIF(AW90:BB90,SUBSTITUTE(TRIM(BA80)," (s)",""))+COUNTIF(AW92:BB92,SUBSTITUTE(TRIM(BA80)," (s)",""))&gt;0,IF(ROUND(BJ80,3)&gt;=1,ROUND(BJ80,3)&amp;" Kg",MAX(1,ROUND(BJ80*1000,0))&amp;" g"),"")))</f>
        <v/>
      </c>
      <c r="BM80" s="3">
        <v>1</v>
      </c>
    </row>
    <row r="81" spans="2:65" ht="21" customHeight="1">
      <c r="B81" s="103" t="str">
        <f>IF(N81&lt;&gt;"","A","►")</f>
        <v>►</v>
      </c>
      <c r="C81" s="31" t="str">
        <f>C75</f>
        <v>N NOM DE VOTRE RECETTE | collez la--FAMILLE| Auteur &gt; VOUS</v>
      </c>
      <c r="D81" s="32">
        <f>D75</f>
        <v>1</v>
      </c>
      <c r="E81" s="31" t="str">
        <f>E75</f>
        <v>coupe</v>
      </c>
      <c r="F81" s="33" t="str">
        <f>F75</f>
        <v>Recette mère ► MILLE-FEUILLE  aux fraises des bois</v>
      </c>
      <c r="G81" s="89"/>
      <c r="H81" s="108"/>
      <c r="I81" s="91" t="str">
        <f t="shared" si="19"/>
        <v/>
      </c>
      <c r="J81" s="92"/>
      <c r="K81" s="128"/>
      <c r="L81" s="130">
        <v>1</v>
      </c>
      <c r="M81" s="1813" t="str">
        <f>ROWS(M79:M81)&amp;" ►"</f>
        <v>3 ►</v>
      </c>
      <c r="N81" s="1580"/>
      <c r="O81" s="95">
        <f>IF(Q89=0,0,(Q81/Q89)*P78*1000)</f>
        <v>0</v>
      </c>
      <c r="P81" s="105">
        <f>IF(Q89=0, 0, (G81*L81)/(Q89*P78))</f>
        <v>0</v>
      </c>
      <c r="Q81" s="97" cm="1">
        <f t="array" ref="Q81">IFERROR(_xlfn.XLOOKUP(UPPER(TRIM(K81)),UPPER(TRIM(G90:U90)),G91:U91,_xlfn.XLOOKUP(UPPER(TRIM(K81)),UPPER(TRIM(G92:U92)),G93:U93,0))*J81*IF(G81&gt;0,G81,1),0)</f>
        <v>0</v>
      </c>
      <c r="R81" s="110">
        <f>IF(T74&lt;&gt;0,G81*L81*L74,0)</f>
        <v>0</v>
      </c>
      <c r="S81" s="1748">
        <f t="shared" si="22"/>
        <v>0</v>
      </c>
      <c r="T81" s="99">
        <f>IF(OR(ISBLANK(T74),T74=0),0,Q81*L81*L74)</f>
        <v>0</v>
      </c>
      <c r="U81" s="1368" t="str">
        <f>IF(K81="","",IF(COUNTIF(N90:U90,SUBSTITUTE(TRIM(K81)," (s)",""))+COUNTIF(N92:U92,SUBSTITUTE(TRIM(K81)," (s)",""))&gt;0,IF(ROUND(T81,3)&gt;=1,ROUND(T81,3)&amp;" L",MAX(1,ROUND(T81*100,0))&amp;" cl"),IF(COUNTIF(G90:L90,SUBSTITUTE(TRIM(K81)," (s)",""))+COUNTIF(G92:L92,SUBSTITUTE(TRIM(K81)," (s)",""))&gt;0,IF(ROUND(T81,3)&gt;=1,ROUND(T81,3)&amp;" Kg",MAX(1,ROUND(T81*1000,0))&amp;" g"),"")))</f>
        <v/>
      </c>
      <c r="W81" s="103" t="str">
        <f t="shared" ref="W81:W87" si="25">IF(AI81&lt;&gt;"","A","►")</f>
        <v>►</v>
      </c>
      <c r="X81" s="31" t="str">
        <f>X75</f>
        <v>N NAME OF YOUR RECIPE | paste it — FAMILY|  Author &gt; YOU</v>
      </c>
      <c r="Y81" s="32">
        <f>Y75</f>
        <v>1</v>
      </c>
      <c r="Z81" s="31" t="str">
        <f>Z75</f>
        <v>coupe</v>
      </c>
      <c r="AA81" s="33" t="str">
        <f>AA75</f>
        <v>Master recipe ► MILLE-FEUILLE  aux fraises des bois</v>
      </c>
      <c r="AB81" s="89"/>
      <c r="AC81" s="108"/>
      <c r="AD81" s="91" t="str">
        <f t="shared" si="20"/>
        <v/>
      </c>
      <c r="AE81" s="92"/>
      <c r="AF81" s="128"/>
      <c r="AG81" s="130">
        <v>1</v>
      </c>
      <c r="AH81" s="1813" t="str">
        <f>ROWS(AH79:AH81)&amp;" ►"</f>
        <v>3 ►</v>
      </c>
      <c r="AI81" s="1580"/>
      <c r="AJ81" s="95">
        <f>IF(AL89=0,0,(AL81/AL89)*AK78*1000)</f>
        <v>0</v>
      </c>
      <c r="AK81" s="105">
        <f>IF(AL89=0, 0, (AB81*AG81)/(AL89*AK78))</f>
        <v>0</v>
      </c>
      <c r="AL81" s="97" cm="1">
        <f t="array" ref="AL81">IFERROR(_xlfn.XLOOKUP(UPPER(TRIM(AF81)),UPPER(TRIM(AB90:AP90)),AB91:AP91,_xlfn.XLOOKUP(UPPER(TRIM(AF81)),UPPER(TRIM(AB92:AP92)),AB93:AP93,0))*AE81*IF(AB81&gt;0,AB81,1),0)</f>
        <v>0</v>
      </c>
      <c r="AM81" s="110">
        <f>IF(AO74&lt;&gt;0,AB81*AG81*AG74,0)</f>
        <v>0</v>
      </c>
      <c r="AN81" s="1748">
        <f t="shared" si="23"/>
        <v>0</v>
      </c>
      <c r="AO81" s="99">
        <f>IF(OR(ISBLANK(AO74),AO74=0),0,AL81*AG81*AG74)</f>
        <v>0</v>
      </c>
      <c r="AP81" s="1368" t="str">
        <f>IF(AF81="","",IF(COUNTIF(AI90:AP90,SUBSTITUTE(TRIM(AF81)," (s)",""))+COUNTIF(AI92:AP92,SUBSTITUTE(TRIM(AF81)," (s)",""))&gt;0,IF(ROUND(AO81,3)&gt;=1,ROUND(AO81,3)&amp;" L",MAX(1,ROUND(AO81*100,0))&amp;" cl"),IF(COUNTIF(AB90:AG90,SUBSTITUTE(TRIM(AF81)," (s)",""))+COUNTIF(AB92:AG92,SUBSTITUTE(TRIM(AF81)," (s)",""))&gt;0,IF(ROUND(AO81,3)&gt;=1,ROUND(AO81,3)&amp;" Kg",MAX(1,ROUND(AO81*1000,0))&amp;" g"),"")))</f>
        <v/>
      </c>
      <c r="AR81" s="103" t="str">
        <f t="shared" ref="AR81:AR87" si="26">IF(BD81&lt;&gt;"","A","►")</f>
        <v>►</v>
      </c>
      <c r="AS81" s="31" t="str">
        <f>AS75</f>
        <v>N NOMBRE DE SU RECETA | pegue esto — FAMILIA| Auteur &gt; VOUS</v>
      </c>
      <c r="AT81" s="32">
        <f>AT75</f>
        <v>1</v>
      </c>
      <c r="AU81" s="31" t="str">
        <f>AU75</f>
        <v>coupe</v>
      </c>
      <c r="AV81" s="33" t="str">
        <f>AV75</f>
        <v>Receta madre ► MILLE-FEUILLE  aux fraises des bois</v>
      </c>
      <c r="AW81" s="89"/>
      <c r="AX81" s="108"/>
      <c r="AY81" s="91" t="str">
        <f t="shared" si="21"/>
        <v/>
      </c>
      <c r="AZ81" s="92"/>
      <c r="BA81" s="128"/>
      <c r="BB81" s="130">
        <v>1</v>
      </c>
      <c r="BC81" s="1813" t="str">
        <f>ROWS(BC79:BC81)&amp;" ►"</f>
        <v>3 ►</v>
      </c>
      <c r="BD81" s="1580"/>
      <c r="BE81" s="95">
        <f>IF(BG89=0,0,(BG81/BG89)*BF78*1000)</f>
        <v>0</v>
      </c>
      <c r="BF81" s="105">
        <f>IF(BG89=0, 0, (AW81*BB81)/(BG89*BF78))</f>
        <v>0</v>
      </c>
      <c r="BG81" s="97" cm="1">
        <f t="array" ref="BG81">IFERROR(_xlfn.XLOOKUP(UPPER(TRIM(BA81)),UPPER(TRIM(AW90:BK90)),AW91:BK91,_xlfn.XLOOKUP(UPPER(TRIM(BA81)),UPPER(TRIM(AW92:BK92)),AW93:BK93,0))*AZ81*IF(AW81&gt;0,AW81,1),0)</f>
        <v>0</v>
      </c>
      <c r="BH81" s="110">
        <f>IF(BJ74&lt;&gt;0,AW81*BB81*BB74,0)</f>
        <v>0</v>
      </c>
      <c r="BI81" s="1748">
        <f t="shared" si="24"/>
        <v>0</v>
      </c>
      <c r="BJ81" s="99">
        <f>IF(OR(ISBLANK(BJ74),BJ74=0),0,BG81*BB81*BB74)</f>
        <v>0</v>
      </c>
      <c r="BK81" s="1368" t="str">
        <f>IF(BA81="","",IF(COUNTIF(BD90:BK90,SUBSTITUTE(TRIM(BA81)," (s)",""))+COUNTIF(BD92:BK92,SUBSTITUTE(TRIM(BA81)," (s)",""))&gt;0,IF(ROUND(BJ81,3)&gt;=1,ROUND(BJ81,3)&amp;" L",MAX(1,ROUND(BJ81*100,0))&amp;" cl"),IF(COUNTIF(AW90:BB90,SUBSTITUTE(TRIM(BA81)," (s)",""))+COUNTIF(AW92:BB92,SUBSTITUTE(TRIM(BA81)," (s)",""))&gt;0,IF(ROUND(BJ81,3)&gt;=1,ROUND(BJ81,3)&amp;" Kg",MAX(1,ROUND(BJ81*1000,0))&amp;" g"),"")))</f>
        <v/>
      </c>
      <c r="BM81" s="3">
        <v>1</v>
      </c>
    </row>
    <row r="82" spans="2:65" ht="21" customHeight="1">
      <c r="B82" s="103" t="str">
        <f t="shared" ref="B82:B87" si="27">IF(N82&lt;&gt;"","A","►")</f>
        <v>►</v>
      </c>
      <c r="C82" s="31" t="str">
        <f>C75</f>
        <v>N NOM DE VOTRE RECETTE | collez la--FAMILLE| Auteur &gt; VOUS</v>
      </c>
      <c r="D82" s="32">
        <f>D75</f>
        <v>1</v>
      </c>
      <c r="E82" s="31" t="str">
        <f>E75</f>
        <v>coupe</v>
      </c>
      <c r="F82" s="33" t="str">
        <f>F75</f>
        <v>Recette mère ► MILLE-FEUILLE  aux fraises des bois</v>
      </c>
      <c r="G82" s="89"/>
      <c r="H82" s="108"/>
      <c r="I82" s="91" t="str">
        <f t="shared" si="19"/>
        <v/>
      </c>
      <c r="J82" s="92"/>
      <c r="K82" s="128"/>
      <c r="L82" s="130">
        <v>1</v>
      </c>
      <c r="M82" s="1813" t="str">
        <f>ROWS(M79:M82)&amp;" ►"</f>
        <v>4 ►</v>
      </c>
      <c r="N82" s="1580"/>
      <c r="O82" s="95">
        <f>IF(Q89=0,0,(Q82/Q89)*P78*1000)</f>
        <v>0</v>
      </c>
      <c r="P82" s="105">
        <f>IF(Q89=0, 0, (G82*L82)/(Q89*P78))</f>
        <v>0</v>
      </c>
      <c r="Q82" s="97" cm="1">
        <f t="array" ref="Q82">IFERROR(_xlfn.XLOOKUP(UPPER(TRIM(K82)),UPPER(TRIM(G90:U90)),G91:U91,_xlfn.XLOOKUP(UPPER(TRIM(K82)),UPPER(TRIM(G92:U92)),G93:U93,0))*J82*IF(G82&gt;0,G82,1),0)</f>
        <v>0</v>
      </c>
      <c r="R82" s="106">
        <f>IF(T74&lt;&gt;0,G82*L82*L74,0)</f>
        <v>0</v>
      </c>
      <c r="S82" s="1747">
        <f t="shared" si="22"/>
        <v>0</v>
      </c>
      <c r="T82" s="99">
        <f>IF(OR(ISBLANK(T74),T74=0),0,Q82*L82*L74)</f>
        <v>0</v>
      </c>
      <c r="U82" s="1367" t="str">
        <f>IF(K82="","",IF(COUNTIF(N90:U90,SUBSTITUTE(TRIM(K82)," (s)",""))+COUNTIF(N92:U92,SUBSTITUTE(TRIM(K82)," (s)",""))&gt;0,IF(ROUND(T82,3)&gt;=1,ROUND(T82,3)&amp;" L",MAX(1,ROUND(T82*100,0))&amp;" cl"),IF(COUNTIF(G90:L90,SUBSTITUTE(TRIM(K82)," (s)",""))+COUNTIF(G92:L92,SUBSTITUTE(TRIM(K82)," (s)",""))&gt;0,IF(ROUND(T82,3)&gt;=1,ROUND(T82,3)&amp;" Kg",MAX(1,ROUND(T82*1000,0))&amp;" g"),"")))</f>
        <v/>
      </c>
      <c r="W82" s="103" t="str">
        <f t="shared" si="25"/>
        <v>►</v>
      </c>
      <c r="X82" s="31" t="str">
        <f>X75</f>
        <v>N NAME OF YOUR RECIPE | paste it — FAMILY|  Author &gt; YOU</v>
      </c>
      <c r="Y82" s="32">
        <f>Y75</f>
        <v>1</v>
      </c>
      <c r="Z82" s="31" t="str">
        <f>Z75</f>
        <v>coupe</v>
      </c>
      <c r="AA82" s="33" t="str">
        <f>AA75</f>
        <v>Master recipe ► MILLE-FEUILLE  aux fraises des bois</v>
      </c>
      <c r="AB82" s="89"/>
      <c r="AC82" s="108"/>
      <c r="AD82" s="91" t="str">
        <f t="shared" si="20"/>
        <v/>
      </c>
      <c r="AE82" s="92"/>
      <c r="AF82" s="128"/>
      <c r="AG82" s="130">
        <v>1</v>
      </c>
      <c r="AH82" s="1813" t="str">
        <f>ROWS(AH79:AH82)&amp;" ►"</f>
        <v>4 ►</v>
      </c>
      <c r="AI82" s="1580"/>
      <c r="AJ82" s="95">
        <f>IF(AL89=0,0,(AL82/AL89)*AK78*1000)</f>
        <v>0</v>
      </c>
      <c r="AK82" s="105">
        <f>IF(AL89=0, 0, (AB82*AG82)/(AL89*AK78))</f>
        <v>0</v>
      </c>
      <c r="AL82" s="97" cm="1">
        <f t="array" ref="AL82">IFERROR(_xlfn.XLOOKUP(UPPER(TRIM(AF82)),UPPER(TRIM(AB90:AP90)),AB91:AP91,_xlfn.XLOOKUP(UPPER(TRIM(AF82)),UPPER(TRIM(AB92:AP92)),AB93:AP93,0))*AE82*IF(AB82&gt;0,AB82,1),0)</f>
        <v>0</v>
      </c>
      <c r="AM82" s="106">
        <f>IF(AO74&lt;&gt;0,AB82*AG82*AG74,0)</f>
        <v>0</v>
      </c>
      <c r="AN82" s="1747">
        <f t="shared" si="23"/>
        <v>0</v>
      </c>
      <c r="AO82" s="99">
        <f>IF(OR(ISBLANK(AO74),AO74=0),0,AL82*AG82*AG74)</f>
        <v>0</v>
      </c>
      <c r="AP82" s="1367" t="str">
        <f>IF(AF82="","",IF(COUNTIF(AI90:AP90,SUBSTITUTE(TRIM(AF82)," (s)",""))+COUNTIF(AI92:AP92,SUBSTITUTE(TRIM(AF82)," (s)",""))&gt;0,IF(ROUND(AO82,3)&gt;=1,ROUND(AO82,3)&amp;" L",MAX(1,ROUND(AO82*100,0))&amp;" cl"),IF(COUNTIF(AB90:AG90,SUBSTITUTE(TRIM(AF82)," (s)",""))+COUNTIF(AB92:AG92,SUBSTITUTE(TRIM(AF82)," (s)",""))&gt;0,IF(ROUND(AO82,3)&gt;=1,ROUND(AO82,3)&amp;" Kg",MAX(1,ROUND(AO82*1000,0))&amp;" g"),"")))</f>
        <v/>
      </c>
      <c r="AR82" s="103" t="str">
        <f t="shared" si="26"/>
        <v>►</v>
      </c>
      <c r="AS82" s="31" t="str">
        <f>AS75</f>
        <v>N NOMBRE DE SU RECETA | pegue esto — FAMILIA| Auteur &gt; VOUS</v>
      </c>
      <c r="AT82" s="32">
        <f>AT75</f>
        <v>1</v>
      </c>
      <c r="AU82" s="31" t="str">
        <f>AU75</f>
        <v>coupe</v>
      </c>
      <c r="AV82" s="33" t="str">
        <f>AV75</f>
        <v>Receta madre ► MILLE-FEUILLE  aux fraises des bois</v>
      </c>
      <c r="AW82" s="89"/>
      <c r="AX82" s="108"/>
      <c r="AY82" s="91" t="str">
        <f t="shared" si="21"/>
        <v/>
      </c>
      <c r="AZ82" s="92"/>
      <c r="BA82" s="128"/>
      <c r="BB82" s="130">
        <v>1</v>
      </c>
      <c r="BC82" s="1813" t="str">
        <f>ROWS(BC79:BC82)&amp;" ►"</f>
        <v>4 ►</v>
      </c>
      <c r="BD82" s="1580"/>
      <c r="BE82" s="95">
        <f>IF(BG89=0,0,(BG82/BG89)*BF78*1000)</f>
        <v>0</v>
      </c>
      <c r="BF82" s="105">
        <f>IF(BG89=0, 0, (AW82*BB82)/(BG89*BF78))</f>
        <v>0</v>
      </c>
      <c r="BG82" s="97" cm="1">
        <f t="array" ref="BG82">IFERROR(_xlfn.XLOOKUP(UPPER(TRIM(BA82)),UPPER(TRIM(AW90:BK90)),AW91:BK91,_xlfn.XLOOKUP(UPPER(TRIM(BA82)),UPPER(TRIM(AW92:BK92)),AW93:BK93,0))*AZ82*IF(AW82&gt;0,AW82,1),0)</f>
        <v>0</v>
      </c>
      <c r="BH82" s="106">
        <f>IF(BJ74&lt;&gt;0,AW82*BB82*BB74,0)</f>
        <v>0</v>
      </c>
      <c r="BI82" s="1747">
        <f t="shared" si="24"/>
        <v>0</v>
      </c>
      <c r="BJ82" s="99">
        <f>IF(OR(ISBLANK(BJ74),BJ74=0),0,BG82*BB82*BB74)</f>
        <v>0</v>
      </c>
      <c r="BK82" s="1367" t="str">
        <f>IF(BA82="","",IF(COUNTIF(BD90:BK90,SUBSTITUTE(TRIM(BA82)," (s)",""))+COUNTIF(BD92:BK92,SUBSTITUTE(TRIM(BA82)," (s)",""))&gt;0,IF(ROUND(BJ82,3)&gt;=1,ROUND(BJ82,3)&amp;" L",MAX(1,ROUND(BJ82*100,0))&amp;" cl"),IF(COUNTIF(AW90:BB90,SUBSTITUTE(TRIM(BA82)," (s)",""))+COUNTIF(AW92:BB92,SUBSTITUTE(TRIM(BA82)," (s)",""))&gt;0,IF(ROUND(BJ82,3)&gt;=1,ROUND(BJ82,3)&amp;" Kg",MAX(1,ROUND(BJ82*1000,0))&amp;" g"),"")))</f>
        <v/>
      </c>
      <c r="BM82" s="3">
        <v>1</v>
      </c>
    </row>
    <row r="83" spans="2:65" ht="21" customHeight="1">
      <c r="B83" s="103" t="str">
        <f t="shared" si="27"/>
        <v>►</v>
      </c>
      <c r="C83" s="31" t="str">
        <f>C75</f>
        <v>N NOM DE VOTRE RECETTE | collez la--FAMILLE| Auteur &gt; VOUS</v>
      </c>
      <c r="D83" s="32">
        <f>D75</f>
        <v>1</v>
      </c>
      <c r="E83" s="31" t="str">
        <f>E75</f>
        <v>coupe</v>
      </c>
      <c r="F83" s="33" t="str">
        <f>F75</f>
        <v>Recette mère ► MILLE-FEUILLE  aux fraises des bois</v>
      </c>
      <c r="G83" s="89"/>
      <c r="H83" s="108"/>
      <c r="I83" s="91" t="str">
        <f t="shared" si="19"/>
        <v/>
      </c>
      <c r="J83" s="92"/>
      <c r="K83" s="128"/>
      <c r="L83" s="130">
        <v>1</v>
      </c>
      <c r="M83" s="1813" t="str">
        <f>ROWS(M79:M83)&amp;" ►"</f>
        <v>5 ►</v>
      </c>
      <c r="N83" s="1580"/>
      <c r="O83" s="95">
        <f>IF(Q89=0,0,(Q83/Q89)*P78*1000)</f>
        <v>0</v>
      </c>
      <c r="P83" s="105">
        <f>IF(Q89=0, 0, (G83*L83)/(Q89*P78))</f>
        <v>0</v>
      </c>
      <c r="Q83" s="97" cm="1">
        <f t="array" ref="Q83">IFERROR(_xlfn.XLOOKUP(UPPER(TRIM(K83)),UPPER(TRIM(G90:U90)),G91:U91,_xlfn.XLOOKUP(UPPER(TRIM(K83)),UPPER(TRIM(G92:U92)),G93:U93,0))*J83*IF(G83&gt;0,G83,1),0)</f>
        <v>0</v>
      </c>
      <c r="R83" s="110">
        <f>IF(T74&lt;&gt;0,G83*L83*L74,0)</f>
        <v>0</v>
      </c>
      <c r="S83" s="1748">
        <f t="shared" si="22"/>
        <v>0</v>
      </c>
      <c r="T83" s="99">
        <f>IF(OR(ISBLANK(T74),T74=0),0,Q83*L83*L74)</f>
        <v>0</v>
      </c>
      <c r="U83" s="1368" t="str">
        <f>IF(K83="","",IF(COUNTIF(N90:U90,SUBSTITUTE(TRIM(K83)," (s)",""))+COUNTIF(N92:U92,SUBSTITUTE(TRIM(K83)," (s)",""))&gt;0,IF(ROUND(T83,3)&gt;=1,ROUND(T83,3)&amp;" L",MAX(1,ROUND(T83*100,0))&amp;" cl"),IF(COUNTIF(G90:L90,SUBSTITUTE(TRIM(K83)," (s)",""))+COUNTIF(G92:L92,SUBSTITUTE(TRIM(K83)," (s)",""))&gt;0,IF(ROUND(T83,3)&gt;=1,ROUND(T83,3)&amp;" Kg",MAX(1,ROUND(T83*1000,0))&amp;" g"),"")))</f>
        <v/>
      </c>
      <c r="W83" s="103" t="str">
        <f t="shared" si="25"/>
        <v>►</v>
      </c>
      <c r="X83" s="31" t="str">
        <f>X75</f>
        <v>N NAME OF YOUR RECIPE | paste it — FAMILY|  Author &gt; YOU</v>
      </c>
      <c r="Y83" s="32">
        <f>Y75</f>
        <v>1</v>
      </c>
      <c r="Z83" s="31" t="str">
        <f>Z75</f>
        <v>coupe</v>
      </c>
      <c r="AA83" s="33" t="str">
        <f>AA75</f>
        <v>Master recipe ► MILLE-FEUILLE  aux fraises des bois</v>
      </c>
      <c r="AB83" s="89"/>
      <c r="AC83" s="108"/>
      <c r="AD83" s="91" t="str">
        <f t="shared" si="20"/>
        <v/>
      </c>
      <c r="AE83" s="92"/>
      <c r="AF83" s="128"/>
      <c r="AG83" s="130">
        <v>1</v>
      </c>
      <c r="AH83" s="1813" t="str">
        <f>ROWS(AH79:AH83)&amp;" ►"</f>
        <v>5 ►</v>
      </c>
      <c r="AI83" s="1580"/>
      <c r="AJ83" s="95">
        <f>IF(AL89=0,0,(AL83/AL89)*AK78*1000)</f>
        <v>0</v>
      </c>
      <c r="AK83" s="105">
        <f>IF(AL89=0, 0, (AB83*AG83)/(AL89*AK78))</f>
        <v>0</v>
      </c>
      <c r="AL83" s="97" cm="1">
        <f t="array" ref="AL83">IFERROR(_xlfn.XLOOKUP(UPPER(TRIM(AF83)),UPPER(TRIM(AB90:AP90)),AB91:AP91,_xlfn.XLOOKUP(UPPER(TRIM(AF83)),UPPER(TRIM(AB92:AP92)),AB93:AP93,0))*AE83*IF(AB83&gt;0,AB83,1),0)</f>
        <v>0</v>
      </c>
      <c r="AM83" s="110">
        <f>IF(AO74&lt;&gt;0,AB83*AG83*AG74,0)</f>
        <v>0</v>
      </c>
      <c r="AN83" s="1748">
        <f t="shared" si="23"/>
        <v>0</v>
      </c>
      <c r="AO83" s="99">
        <f>IF(OR(ISBLANK(AO74),AO74=0),0,AL83*AG83*AG74)</f>
        <v>0</v>
      </c>
      <c r="AP83" s="1368" t="str">
        <f>IF(AF83="","",IF(COUNTIF(AI90:AP90,SUBSTITUTE(TRIM(AF83)," (s)",""))+COUNTIF(AI92:AP92,SUBSTITUTE(TRIM(AF83)," (s)",""))&gt;0,IF(ROUND(AO83,3)&gt;=1,ROUND(AO83,3)&amp;" L",MAX(1,ROUND(AO83*100,0))&amp;" cl"),IF(COUNTIF(AB90:AG90,SUBSTITUTE(TRIM(AF83)," (s)",""))+COUNTIF(AB92:AG92,SUBSTITUTE(TRIM(AF83)," (s)",""))&gt;0,IF(ROUND(AO83,3)&gt;=1,ROUND(AO83,3)&amp;" Kg",MAX(1,ROUND(AO83*1000,0))&amp;" g"),"")))</f>
        <v/>
      </c>
      <c r="AR83" s="103" t="str">
        <f t="shared" si="26"/>
        <v>►</v>
      </c>
      <c r="AS83" s="31" t="str">
        <f>AS75</f>
        <v>N NOMBRE DE SU RECETA | pegue esto — FAMILIA| Auteur &gt; VOUS</v>
      </c>
      <c r="AT83" s="32">
        <f>AT75</f>
        <v>1</v>
      </c>
      <c r="AU83" s="31" t="str">
        <f>AU75</f>
        <v>coupe</v>
      </c>
      <c r="AV83" s="33" t="str">
        <f>AV75</f>
        <v>Receta madre ► MILLE-FEUILLE  aux fraises des bois</v>
      </c>
      <c r="AW83" s="89"/>
      <c r="AX83" s="108"/>
      <c r="AY83" s="91" t="str">
        <f t="shared" si="21"/>
        <v/>
      </c>
      <c r="AZ83" s="92"/>
      <c r="BA83" s="128"/>
      <c r="BB83" s="130">
        <v>1</v>
      </c>
      <c r="BC83" s="1813" t="str">
        <f>ROWS(BC79:BC83)&amp;" ►"</f>
        <v>5 ►</v>
      </c>
      <c r="BD83" s="1580"/>
      <c r="BE83" s="95">
        <f>IF(BG89=0,0,(BG83/BG89)*BF78*1000)</f>
        <v>0</v>
      </c>
      <c r="BF83" s="105">
        <f>IF(BG89=0, 0, (AW83*BB83)/(BG89*BF78))</f>
        <v>0</v>
      </c>
      <c r="BG83" s="97" cm="1">
        <f t="array" ref="BG83">IFERROR(_xlfn.XLOOKUP(UPPER(TRIM(BA83)),UPPER(TRIM(AW90:BK90)),AW91:BK91,_xlfn.XLOOKUP(UPPER(TRIM(BA83)),UPPER(TRIM(AW92:BK92)),AW93:BK93,0))*AZ83*IF(AW83&gt;0,AW83,1),0)</f>
        <v>0</v>
      </c>
      <c r="BH83" s="110">
        <f>IF(BJ74&lt;&gt;0,AW83*BB83*BB74,0)</f>
        <v>0</v>
      </c>
      <c r="BI83" s="1748">
        <f t="shared" si="24"/>
        <v>0</v>
      </c>
      <c r="BJ83" s="99">
        <f>IF(OR(ISBLANK(BJ74),BJ74=0),0,BG83*BB83*BB74)</f>
        <v>0</v>
      </c>
      <c r="BK83" s="1368" t="str">
        <f>IF(BA83="","",IF(COUNTIF(BD90:BK90,SUBSTITUTE(TRIM(BA83)," (s)",""))+COUNTIF(BD92:BK92,SUBSTITUTE(TRIM(BA83)," (s)",""))&gt;0,IF(ROUND(BJ83,3)&gt;=1,ROUND(BJ83,3)&amp;" L",MAX(1,ROUND(BJ83*100,0))&amp;" cl"),IF(COUNTIF(AW90:BB90,SUBSTITUTE(TRIM(BA83)," (s)",""))+COUNTIF(AW92:BB92,SUBSTITUTE(TRIM(BA83)," (s)",""))&gt;0,IF(ROUND(BJ83,3)&gt;=1,ROUND(BJ83,3)&amp;" Kg",MAX(1,ROUND(BJ83*1000,0))&amp;" g"),"")))</f>
        <v/>
      </c>
      <c r="BM83" s="3">
        <v>1</v>
      </c>
    </row>
    <row r="84" spans="2:65" ht="21" customHeight="1">
      <c r="B84" s="103" t="str">
        <f t="shared" si="27"/>
        <v>►</v>
      </c>
      <c r="C84" s="31" t="str">
        <f>C75</f>
        <v>N NOM DE VOTRE RECETTE | collez la--FAMILLE| Auteur &gt; VOUS</v>
      </c>
      <c r="D84" s="32">
        <f>D75</f>
        <v>1</v>
      </c>
      <c r="E84" s="31" t="str">
        <f>E75</f>
        <v>coupe</v>
      </c>
      <c r="F84" s="33" t="str">
        <f>F75</f>
        <v>Recette mère ► MILLE-FEUILLE  aux fraises des bois</v>
      </c>
      <c r="G84" s="89"/>
      <c r="H84" s="108"/>
      <c r="I84" s="91" t="str">
        <f t="shared" si="19"/>
        <v/>
      </c>
      <c r="J84" s="92"/>
      <c r="K84" s="128"/>
      <c r="L84" s="130">
        <v>1</v>
      </c>
      <c r="M84" s="1813" t="str">
        <f>ROWS(M79:M84)&amp;" ►"</f>
        <v>6 ►</v>
      </c>
      <c r="N84" s="1580"/>
      <c r="O84" s="95">
        <f>IF(Q89=0,0,(Q84/Q89)*P78*1000)</f>
        <v>0</v>
      </c>
      <c r="P84" s="105">
        <f>IF(Q89=0, 0, (G84*L84)/(Q89*P78))</f>
        <v>0</v>
      </c>
      <c r="Q84" s="97" cm="1">
        <f t="array" ref="Q84">IFERROR(_xlfn.XLOOKUP(UPPER(TRIM(K84)),UPPER(TRIM(G90:U90)),G91:U91,_xlfn.XLOOKUP(UPPER(TRIM(K84)),UPPER(TRIM(G92:U92)),G93:U93,0))*J84*IF(G84&gt;0,G84,1),0)</f>
        <v>0</v>
      </c>
      <c r="R84" s="106">
        <f>IF(T74&lt;&gt;0,G84*L84*L74,0)</f>
        <v>0</v>
      </c>
      <c r="S84" s="1747">
        <f t="shared" si="22"/>
        <v>0</v>
      </c>
      <c r="T84" s="99">
        <f>IF(OR(ISBLANK(T74),T74=0),0,Q84*L84*L74)</f>
        <v>0</v>
      </c>
      <c r="U84" s="1367" t="str">
        <f>IF(K84="","",IF(COUNTIF(N90:U90,SUBSTITUTE(TRIM(K84)," (s)",""))+COUNTIF(N92:U92,SUBSTITUTE(TRIM(K84)," (s)",""))&gt;0,IF(ROUND(T84,3)&gt;=1,ROUND(T84,3)&amp;" L",MAX(1,ROUND(T84*100,0))&amp;" cl"),IF(COUNTIF(G90:L90,SUBSTITUTE(TRIM(K84)," (s)",""))+COUNTIF(G92:L92,SUBSTITUTE(TRIM(K84)," (s)",""))&gt;0,IF(ROUND(T84,3)&gt;=1,ROUND(T84,3)&amp;" Kg",MAX(1,ROUND(T84*1000,0))&amp;" g"),"")))</f>
        <v/>
      </c>
      <c r="W84" s="103" t="str">
        <f t="shared" si="25"/>
        <v>►</v>
      </c>
      <c r="X84" s="31" t="str">
        <f>X75</f>
        <v>N NAME OF YOUR RECIPE | paste it — FAMILY|  Author &gt; YOU</v>
      </c>
      <c r="Y84" s="32">
        <f>Y75</f>
        <v>1</v>
      </c>
      <c r="Z84" s="31" t="str">
        <f>Z75</f>
        <v>coupe</v>
      </c>
      <c r="AA84" s="33" t="str">
        <f>AA75</f>
        <v>Master recipe ► MILLE-FEUILLE  aux fraises des bois</v>
      </c>
      <c r="AB84" s="89"/>
      <c r="AC84" s="108"/>
      <c r="AD84" s="91" t="str">
        <f t="shared" si="20"/>
        <v/>
      </c>
      <c r="AE84" s="92"/>
      <c r="AF84" s="128"/>
      <c r="AG84" s="130">
        <v>1</v>
      </c>
      <c r="AH84" s="1813" t="str">
        <f>ROWS(AH79:AH84)&amp;" ►"</f>
        <v>6 ►</v>
      </c>
      <c r="AI84" s="1580"/>
      <c r="AJ84" s="95">
        <f>IF(AL89=0,0,(AL84/AL89)*AK78*1000)</f>
        <v>0</v>
      </c>
      <c r="AK84" s="105">
        <f>IF(AL89=0, 0, (AB84*AG84)/(AL89*AK78))</f>
        <v>0</v>
      </c>
      <c r="AL84" s="97" cm="1">
        <f t="array" ref="AL84">IFERROR(_xlfn.XLOOKUP(UPPER(TRIM(AF84)),UPPER(TRIM(AB90:AP90)),AB91:AP91,_xlfn.XLOOKUP(UPPER(TRIM(AF84)),UPPER(TRIM(AB92:AP92)),AB93:AP93,0))*AE84*IF(AB84&gt;0,AB84,1),0)</f>
        <v>0</v>
      </c>
      <c r="AM84" s="106">
        <f>IF(AO74&lt;&gt;0,AB84*AG84*AG74,0)</f>
        <v>0</v>
      </c>
      <c r="AN84" s="1747">
        <f t="shared" si="23"/>
        <v>0</v>
      </c>
      <c r="AO84" s="99">
        <f>IF(OR(ISBLANK(AO74),AO74=0),0,AL84*AG84*AG74)</f>
        <v>0</v>
      </c>
      <c r="AP84" s="1367" t="str">
        <f>IF(AF84="","",IF(COUNTIF(AI90:AP90,SUBSTITUTE(TRIM(AF84)," (s)",""))+COUNTIF(AI92:AP92,SUBSTITUTE(TRIM(AF84)," (s)",""))&gt;0,IF(ROUND(AO84,3)&gt;=1,ROUND(AO84,3)&amp;" L",MAX(1,ROUND(AO84*100,0))&amp;" cl"),IF(COUNTIF(AB90:AG90,SUBSTITUTE(TRIM(AF84)," (s)",""))+COUNTIF(AB92:AG92,SUBSTITUTE(TRIM(AF84)," (s)",""))&gt;0,IF(ROUND(AO84,3)&gt;=1,ROUND(AO84,3)&amp;" Kg",MAX(1,ROUND(AO84*1000,0))&amp;" g"),"")))</f>
        <v/>
      </c>
      <c r="AR84" s="103" t="str">
        <f t="shared" si="26"/>
        <v>►</v>
      </c>
      <c r="AS84" s="31" t="str">
        <f>AS75</f>
        <v>N NOMBRE DE SU RECETA | pegue esto — FAMILIA| Auteur &gt; VOUS</v>
      </c>
      <c r="AT84" s="32">
        <f>AT75</f>
        <v>1</v>
      </c>
      <c r="AU84" s="31" t="str">
        <f>AU75</f>
        <v>coupe</v>
      </c>
      <c r="AV84" s="33" t="str">
        <f>AV75</f>
        <v>Receta madre ► MILLE-FEUILLE  aux fraises des bois</v>
      </c>
      <c r="AW84" s="89"/>
      <c r="AX84" s="108"/>
      <c r="AY84" s="91" t="str">
        <f t="shared" si="21"/>
        <v/>
      </c>
      <c r="AZ84" s="92"/>
      <c r="BA84" s="128"/>
      <c r="BB84" s="130">
        <v>1</v>
      </c>
      <c r="BC84" s="1813" t="str">
        <f>ROWS(BC79:BC84)&amp;" ►"</f>
        <v>6 ►</v>
      </c>
      <c r="BD84" s="1580"/>
      <c r="BE84" s="95">
        <f>IF(BG89=0,0,(BG84/BG89)*BF78*1000)</f>
        <v>0</v>
      </c>
      <c r="BF84" s="105">
        <f>IF(BG89=0, 0, (AW84*BB84)/(BG89*BF78))</f>
        <v>0</v>
      </c>
      <c r="BG84" s="97" cm="1">
        <f t="array" ref="BG84">IFERROR(_xlfn.XLOOKUP(UPPER(TRIM(BA84)),UPPER(TRIM(AW90:BK90)),AW91:BK91,_xlfn.XLOOKUP(UPPER(TRIM(BA84)),UPPER(TRIM(AW92:BK92)),AW93:BK93,0))*AZ84*IF(AW84&gt;0,AW84,1),0)</f>
        <v>0</v>
      </c>
      <c r="BH84" s="106">
        <f>IF(BJ74&lt;&gt;0,AW84*BB84*BB74,0)</f>
        <v>0</v>
      </c>
      <c r="BI84" s="1747">
        <f t="shared" si="24"/>
        <v>0</v>
      </c>
      <c r="BJ84" s="99">
        <f>IF(OR(ISBLANK(BJ74),BJ74=0),0,BG84*BB84*BB74)</f>
        <v>0</v>
      </c>
      <c r="BK84" s="1367" t="str">
        <f>IF(BA84="","",IF(COUNTIF(BD90:BK90,SUBSTITUTE(TRIM(BA84)," (s)",""))+COUNTIF(BD92:BK92,SUBSTITUTE(TRIM(BA84)," (s)",""))&gt;0,IF(ROUND(BJ84,3)&gt;=1,ROUND(BJ84,3)&amp;" L",MAX(1,ROUND(BJ84*100,0))&amp;" cl"),IF(COUNTIF(AW90:BB90,SUBSTITUTE(TRIM(BA84)," (s)",""))+COUNTIF(AW92:BB92,SUBSTITUTE(TRIM(BA84)," (s)",""))&gt;0,IF(ROUND(BJ84,3)&gt;=1,ROUND(BJ84,3)&amp;" Kg",MAX(1,ROUND(BJ84*1000,0))&amp;" g"),"")))</f>
        <v/>
      </c>
      <c r="BM84" s="3">
        <v>1</v>
      </c>
    </row>
    <row r="85" spans="2:65" ht="21" customHeight="1">
      <c r="B85" s="103" t="str">
        <f t="shared" si="27"/>
        <v>►</v>
      </c>
      <c r="C85" s="31" t="str">
        <f>C75</f>
        <v>N NOM DE VOTRE RECETTE | collez la--FAMILLE| Auteur &gt; VOUS</v>
      </c>
      <c r="D85" s="32">
        <f>D75</f>
        <v>1</v>
      </c>
      <c r="E85" s="31" t="str">
        <f>E75</f>
        <v>coupe</v>
      </c>
      <c r="F85" s="33" t="str">
        <f>F75</f>
        <v>Recette mère ► MILLE-FEUILLE  aux fraises des bois</v>
      </c>
      <c r="G85" s="89"/>
      <c r="H85" s="108"/>
      <c r="I85" s="91" t="str">
        <f t="shared" si="19"/>
        <v/>
      </c>
      <c r="J85" s="92"/>
      <c r="K85" s="128"/>
      <c r="L85" s="130">
        <v>1</v>
      </c>
      <c r="M85" s="1813" t="str">
        <f>ROWS(M79:M85)&amp;" ►"</f>
        <v>7 ►</v>
      </c>
      <c r="N85" s="1580"/>
      <c r="O85" s="95">
        <f>IF(Q89=0,0,(Q85/Q89)*P78*1000)</f>
        <v>0</v>
      </c>
      <c r="P85" s="105">
        <f>IF(Q89=0, 0, (G85*L85)/(Q89*P78))</f>
        <v>0</v>
      </c>
      <c r="Q85" s="97" cm="1">
        <f t="array" ref="Q85">IFERROR(_xlfn.XLOOKUP(UPPER(TRIM(K85)),UPPER(TRIM(G90:U90)),G91:U91,_xlfn.XLOOKUP(UPPER(TRIM(K85)),UPPER(TRIM(G92:U92)),G93:U93,0))*J85*IF(G85&gt;0,G85,1),0)</f>
        <v>0</v>
      </c>
      <c r="R85" s="110">
        <f>IF(T74&lt;&gt;0,G85*L85*L74,0)</f>
        <v>0</v>
      </c>
      <c r="S85" s="1748">
        <f t="shared" si="22"/>
        <v>0</v>
      </c>
      <c r="T85" s="99">
        <f>IF(OR(ISBLANK(T74),T74=0),0,Q85*L85*L74)</f>
        <v>0</v>
      </c>
      <c r="U85" s="1369" t="str">
        <f>IF(K85="","",IF(COUNTIF(N90:U90,SUBSTITUTE(TRIM(K85)," (s)",""))+COUNTIF(N92:U92,SUBSTITUTE(TRIM(K85)," (s)",""))&gt;0,IF(ROUND(T85,3)&gt;=1,ROUND(T85,3)&amp;" L",MAX(1,ROUND(T85*100,0))&amp;" cl"),IF(COUNTIF(G90:L90,SUBSTITUTE(TRIM(K85)," (s)",""))+COUNTIF(G92:L92,SUBSTITUTE(TRIM(K85)," (s)",""))&gt;0,IF(ROUND(T85,3)&gt;=1,ROUND(T85,3)&amp;" Kg",MAX(1,ROUND(T85*1000,0))&amp;" g"),"")))</f>
        <v/>
      </c>
      <c r="W85" s="103" t="str">
        <f t="shared" si="25"/>
        <v>►</v>
      </c>
      <c r="X85" s="31" t="str">
        <f>X75</f>
        <v>N NAME OF YOUR RECIPE | paste it — FAMILY|  Author &gt; YOU</v>
      </c>
      <c r="Y85" s="32">
        <f>Y75</f>
        <v>1</v>
      </c>
      <c r="Z85" s="31" t="str">
        <f>Z75</f>
        <v>coupe</v>
      </c>
      <c r="AA85" s="33" t="str">
        <f>AA75</f>
        <v>Master recipe ► MILLE-FEUILLE  aux fraises des bois</v>
      </c>
      <c r="AB85" s="89"/>
      <c r="AC85" s="108"/>
      <c r="AD85" s="91" t="str">
        <f t="shared" si="20"/>
        <v/>
      </c>
      <c r="AE85" s="92"/>
      <c r="AF85" s="128"/>
      <c r="AG85" s="130">
        <v>1</v>
      </c>
      <c r="AH85" s="1813" t="str">
        <f>ROWS(AH79:AH85)&amp;" ►"</f>
        <v>7 ►</v>
      </c>
      <c r="AI85" s="1580"/>
      <c r="AJ85" s="95">
        <f>IF(AL89=0,0,(AL85/AL89)*AK78*1000)</f>
        <v>0</v>
      </c>
      <c r="AK85" s="105">
        <f>IF(AL89=0, 0, (AB85*AG85)/(AL89*AK78))</f>
        <v>0</v>
      </c>
      <c r="AL85" s="97" cm="1">
        <f t="array" ref="AL85">IFERROR(_xlfn.XLOOKUP(UPPER(TRIM(AF85)),UPPER(TRIM(AB90:AP90)),AB91:AP91,_xlfn.XLOOKUP(UPPER(TRIM(AF85)),UPPER(TRIM(AB92:AP92)),AB93:AP93,0))*AE85*IF(AB85&gt;0,AB85,1),0)</f>
        <v>0</v>
      </c>
      <c r="AM85" s="110">
        <f>IF(AO74&lt;&gt;0,AB85*AG85*AG74,0)</f>
        <v>0</v>
      </c>
      <c r="AN85" s="1748">
        <f t="shared" si="23"/>
        <v>0</v>
      </c>
      <c r="AO85" s="99">
        <f>IF(OR(ISBLANK(AO74),AO74=0),0,AL85*AG85*AG74)</f>
        <v>0</v>
      </c>
      <c r="AP85" s="1369" t="str">
        <f>IF(AF85="","",IF(COUNTIF(AI90:AP90,SUBSTITUTE(TRIM(AF85)," (s)",""))+COUNTIF(AI92:AP92,SUBSTITUTE(TRIM(AF85)," (s)",""))&gt;0,IF(ROUND(AO85,3)&gt;=1,ROUND(AO85,3)&amp;" L",MAX(1,ROUND(AO85*100,0))&amp;" cl"),IF(COUNTIF(AB90:AG90,SUBSTITUTE(TRIM(AF85)," (s)",""))+COUNTIF(AB92:AG92,SUBSTITUTE(TRIM(AF85)," (s)",""))&gt;0,IF(ROUND(AO85,3)&gt;=1,ROUND(AO85,3)&amp;" Kg",MAX(1,ROUND(AO85*1000,0))&amp;" g"),"")))</f>
        <v/>
      </c>
      <c r="AR85" s="103" t="str">
        <f t="shared" si="26"/>
        <v>►</v>
      </c>
      <c r="AS85" s="31" t="str">
        <f>AS75</f>
        <v>N NOMBRE DE SU RECETA | pegue esto — FAMILIA| Auteur &gt; VOUS</v>
      </c>
      <c r="AT85" s="32">
        <f>AT75</f>
        <v>1</v>
      </c>
      <c r="AU85" s="31" t="str">
        <f>AU75</f>
        <v>coupe</v>
      </c>
      <c r="AV85" s="33" t="str">
        <f>AV75</f>
        <v>Receta madre ► MILLE-FEUILLE  aux fraises des bois</v>
      </c>
      <c r="AW85" s="89"/>
      <c r="AX85" s="108"/>
      <c r="AY85" s="91" t="str">
        <f t="shared" si="21"/>
        <v/>
      </c>
      <c r="AZ85" s="92"/>
      <c r="BA85" s="128"/>
      <c r="BB85" s="130">
        <v>1</v>
      </c>
      <c r="BC85" s="1813" t="str">
        <f>ROWS(BC79:BC85)&amp;" ►"</f>
        <v>7 ►</v>
      </c>
      <c r="BD85" s="1580"/>
      <c r="BE85" s="95">
        <f>IF(BG89=0,0,(BG85/BG89)*BF78*1000)</f>
        <v>0</v>
      </c>
      <c r="BF85" s="105">
        <f>IF(BG89=0, 0, (AW85*BB85)/(BG89*BF78))</f>
        <v>0</v>
      </c>
      <c r="BG85" s="97" cm="1">
        <f t="array" ref="BG85">IFERROR(_xlfn.XLOOKUP(UPPER(TRIM(BA85)),UPPER(TRIM(AW90:BK90)),AW91:BK91,_xlfn.XLOOKUP(UPPER(TRIM(BA85)),UPPER(TRIM(AW92:BK92)),AW93:BK93,0))*AZ85*IF(AW85&gt;0,AW85,1),0)</f>
        <v>0</v>
      </c>
      <c r="BH85" s="110">
        <f>IF(BJ74&lt;&gt;0,AW85*BB85*BB74,0)</f>
        <v>0</v>
      </c>
      <c r="BI85" s="1748">
        <f t="shared" si="24"/>
        <v>0</v>
      </c>
      <c r="BJ85" s="99">
        <f>IF(OR(ISBLANK(BJ74),BJ74=0),0,BG85*BB85*BB74)</f>
        <v>0</v>
      </c>
      <c r="BK85" s="1369" t="str">
        <f>IF(BA85="","",IF(COUNTIF(BD90:BK90,SUBSTITUTE(TRIM(BA85)," (s)",""))+COUNTIF(BD92:BK92,SUBSTITUTE(TRIM(BA85)," (s)",""))&gt;0,IF(ROUND(BJ85,3)&gt;=1,ROUND(BJ85,3)&amp;" L",MAX(1,ROUND(BJ85*100,0))&amp;" cl"),IF(COUNTIF(AW90:BB90,SUBSTITUTE(TRIM(BA85)," (s)",""))+COUNTIF(AW92:BB92,SUBSTITUTE(TRIM(BA85)," (s)",""))&gt;0,IF(ROUND(BJ85,3)&gt;=1,ROUND(BJ85,3)&amp;" Kg",MAX(1,ROUND(BJ85*1000,0))&amp;" g"),"")))</f>
        <v/>
      </c>
      <c r="BM85" s="3">
        <v>1</v>
      </c>
    </row>
    <row r="86" spans="2:65" ht="21" customHeight="1">
      <c r="B86" s="103" t="str">
        <f t="shared" si="27"/>
        <v>►</v>
      </c>
      <c r="C86" s="31" t="str">
        <f>C75</f>
        <v>N NOM DE VOTRE RECETTE | collez la--FAMILLE| Auteur &gt; VOUS</v>
      </c>
      <c r="D86" s="32">
        <f>D75</f>
        <v>1</v>
      </c>
      <c r="E86" s="31" t="str">
        <f>E75</f>
        <v>coupe</v>
      </c>
      <c r="F86" s="33" t="str">
        <f>F75</f>
        <v>Recette mère ► MILLE-FEUILLE  aux fraises des bois</v>
      </c>
      <c r="G86" s="89"/>
      <c r="H86" s="108"/>
      <c r="I86" s="91" t="str">
        <f t="shared" si="19"/>
        <v/>
      </c>
      <c r="J86" s="92"/>
      <c r="K86" s="128"/>
      <c r="L86" s="130">
        <v>1</v>
      </c>
      <c r="M86" s="1813" t="str">
        <f>ROWS(M79:M86)&amp;" ►"</f>
        <v>8 ►</v>
      </c>
      <c r="N86" s="1580"/>
      <c r="O86" s="95">
        <f>IF(Q89=0,0,(Q86/Q89)*P78*1000)</f>
        <v>0</v>
      </c>
      <c r="P86" s="105">
        <f>IF(Q89=0, 0, (G86*L86)/(Q89*P78))</f>
        <v>0</v>
      </c>
      <c r="Q86" s="97" cm="1">
        <f t="array" ref="Q86">IFERROR(_xlfn.XLOOKUP(UPPER(TRIM(K86)),UPPER(TRIM(G90:U90)),G91:U91,_xlfn.XLOOKUP(UPPER(TRIM(K86)),UPPER(TRIM(G92:U92)),G93:U93,0))*J86*IF(G86&gt;0,G86,1),0)</f>
        <v>0</v>
      </c>
      <c r="R86" s="106">
        <f>IF(T74&lt;&gt;0,G86*L86*L74,0)</f>
        <v>0</v>
      </c>
      <c r="S86" s="1747">
        <f t="shared" si="22"/>
        <v>0</v>
      </c>
      <c r="T86" s="99">
        <f>IF(OR(ISBLANK(T74),T74=0),0,Q86*L86*L74)</f>
        <v>0</v>
      </c>
      <c r="U86" s="1367" t="str">
        <f>IF(K86="","",IF(COUNTIF(N90:U90,SUBSTITUTE(TRIM(K86)," (s)",""))+COUNTIF(N92:U92,SUBSTITUTE(TRIM(K86)," (s)",""))&gt;0,IF(ROUND(T86,3)&gt;=1,ROUND(T86,3)&amp;" L",MAX(1,ROUND(T86*100,0))&amp;" cl"),IF(COUNTIF(G90:L90,SUBSTITUTE(TRIM(K86)," (s)",""))+COUNTIF(G92:L92,SUBSTITUTE(TRIM(K86)," (s)",""))&gt;0,IF(ROUND(T86,3)&gt;=1,ROUND(T86,3)&amp;" Kg",MAX(1,ROUND(T86*1000,0))&amp;" g"),"")))</f>
        <v/>
      </c>
      <c r="W86" s="103" t="str">
        <f t="shared" si="25"/>
        <v>►</v>
      </c>
      <c r="X86" s="31" t="str">
        <f>X75</f>
        <v>N NAME OF YOUR RECIPE | paste it — FAMILY|  Author &gt; YOU</v>
      </c>
      <c r="Y86" s="32">
        <f>Y75</f>
        <v>1</v>
      </c>
      <c r="Z86" s="31" t="str">
        <f>Z75</f>
        <v>coupe</v>
      </c>
      <c r="AA86" s="33" t="str">
        <f>AA75</f>
        <v>Master recipe ► MILLE-FEUILLE  aux fraises des bois</v>
      </c>
      <c r="AB86" s="89"/>
      <c r="AC86" s="108"/>
      <c r="AD86" s="91" t="str">
        <f t="shared" si="20"/>
        <v/>
      </c>
      <c r="AE86" s="92"/>
      <c r="AF86" s="128"/>
      <c r="AG86" s="130">
        <v>1</v>
      </c>
      <c r="AH86" s="1813" t="str">
        <f>ROWS(AH79:AH86)&amp;" ►"</f>
        <v>8 ►</v>
      </c>
      <c r="AI86" s="1580"/>
      <c r="AJ86" s="95">
        <f>IF(AL89=0,0,(AL86/AL89)*AK78*1000)</f>
        <v>0</v>
      </c>
      <c r="AK86" s="105">
        <f>IF(AL89=0, 0, (AB86*AG86)/(AL89*AK78))</f>
        <v>0</v>
      </c>
      <c r="AL86" s="97" cm="1">
        <f t="array" ref="AL86">IFERROR(_xlfn.XLOOKUP(UPPER(TRIM(AF86)),UPPER(TRIM(AB90:AP90)),AB91:AP91,_xlfn.XLOOKUP(UPPER(TRIM(AF86)),UPPER(TRIM(AB92:AP92)),AB93:AP93,0))*AE86*IF(AB86&gt;0,AB86,1),0)</f>
        <v>0</v>
      </c>
      <c r="AM86" s="106">
        <f>IF(AO74&lt;&gt;0,AB86*AG86*AG74,0)</f>
        <v>0</v>
      </c>
      <c r="AN86" s="1747">
        <f t="shared" si="23"/>
        <v>0</v>
      </c>
      <c r="AO86" s="99">
        <f>IF(OR(ISBLANK(AO74),AO74=0),0,AL86*AG86*AG74)</f>
        <v>0</v>
      </c>
      <c r="AP86" s="1367" t="str">
        <f>IF(AF86="","",IF(COUNTIF(AI90:AP90,SUBSTITUTE(TRIM(AF86)," (s)",""))+COUNTIF(AI92:AP92,SUBSTITUTE(TRIM(AF86)," (s)",""))&gt;0,IF(ROUND(AO86,3)&gt;=1,ROUND(AO86,3)&amp;" L",MAX(1,ROUND(AO86*100,0))&amp;" cl"),IF(COUNTIF(AB90:AG90,SUBSTITUTE(TRIM(AF86)," (s)",""))+COUNTIF(AB92:AG92,SUBSTITUTE(TRIM(AF86)," (s)",""))&gt;0,IF(ROUND(AO86,3)&gt;=1,ROUND(AO86,3)&amp;" Kg",MAX(1,ROUND(AO86*1000,0))&amp;" g"),"")))</f>
        <v/>
      </c>
      <c r="AR86" s="103" t="str">
        <f t="shared" si="26"/>
        <v>►</v>
      </c>
      <c r="AS86" s="31" t="str">
        <f>AS75</f>
        <v>N NOMBRE DE SU RECETA | pegue esto — FAMILIA| Auteur &gt; VOUS</v>
      </c>
      <c r="AT86" s="32">
        <f>AT75</f>
        <v>1</v>
      </c>
      <c r="AU86" s="31" t="str">
        <f>AU75</f>
        <v>coupe</v>
      </c>
      <c r="AV86" s="33" t="str">
        <f>AV75</f>
        <v>Receta madre ► MILLE-FEUILLE  aux fraises des bois</v>
      </c>
      <c r="AW86" s="89"/>
      <c r="AX86" s="108"/>
      <c r="AY86" s="91" t="str">
        <f t="shared" si="21"/>
        <v/>
      </c>
      <c r="AZ86" s="92"/>
      <c r="BA86" s="128"/>
      <c r="BB86" s="130">
        <v>1</v>
      </c>
      <c r="BC86" s="1813" t="str">
        <f>ROWS(BC79:BC86)&amp;" ►"</f>
        <v>8 ►</v>
      </c>
      <c r="BD86" s="1580"/>
      <c r="BE86" s="95">
        <f>IF(BG89=0,0,(BG86/BG89)*BF78*1000)</f>
        <v>0</v>
      </c>
      <c r="BF86" s="105">
        <f>IF(BG89=0, 0, (AW86*BB86)/(BG89*BF78))</f>
        <v>0</v>
      </c>
      <c r="BG86" s="97" cm="1">
        <f t="array" ref="BG86">IFERROR(_xlfn.XLOOKUP(UPPER(TRIM(BA86)),UPPER(TRIM(AW90:BK90)),AW91:BK91,_xlfn.XLOOKUP(UPPER(TRIM(BA86)),UPPER(TRIM(AW92:BK92)),AW93:BK93,0))*AZ86*IF(AW86&gt;0,AW86,1),0)</f>
        <v>0</v>
      </c>
      <c r="BH86" s="106">
        <f>IF(BJ74&lt;&gt;0,AW86*BB86*BB74,0)</f>
        <v>0</v>
      </c>
      <c r="BI86" s="1747">
        <f t="shared" si="24"/>
        <v>0</v>
      </c>
      <c r="BJ86" s="99">
        <f>IF(OR(ISBLANK(BJ74),BJ74=0),0,BG86*BB86*BB74)</f>
        <v>0</v>
      </c>
      <c r="BK86" s="1367" t="str">
        <f>IF(BA86="","",IF(COUNTIF(BD90:BK90,SUBSTITUTE(TRIM(BA86)," (s)",""))+COUNTIF(BD92:BK92,SUBSTITUTE(TRIM(BA86)," (s)",""))&gt;0,IF(ROUND(BJ86,3)&gt;=1,ROUND(BJ86,3)&amp;" L",MAX(1,ROUND(BJ86*100,0))&amp;" cl"),IF(COUNTIF(AW90:BB90,SUBSTITUTE(TRIM(BA86)," (s)",""))+COUNTIF(AW92:BB92,SUBSTITUTE(TRIM(BA86)," (s)",""))&gt;0,IF(ROUND(BJ86,3)&gt;=1,ROUND(BJ86,3)&amp;" Kg",MAX(1,ROUND(BJ86*1000,0))&amp;" g"),"")))</f>
        <v/>
      </c>
      <c r="BM86" s="3">
        <v>1</v>
      </c>
    </row>
    <row r="87" spans="2:65" ht="21" customHeight="1">
      <c r="B87" s="103" t="str">
        <f t="shared" si="27"/>
        <v>►</v>
      </c>
      <c r="C87" s="31" t="str">
        <f>C75</f>
        <v>N NOM DE VOTRE RECETTE | collez la--FAMILLE| Auteur &gt; VOUS</v>
      </c>
      <c r="D87" s="32">
        <f>D75</f>
        <v>1</v>
      </c>
      <c r="E87" s="31" t="str">
        <f>E75</f>
        <v>coupe</v>
      </c>
      <c r="F87" s="33" t="str">
        <f>F75</f>
        <v>Recette mère ► MILLE-FEUILLE  aux fraises des bois</v>
      </c>
      <c r="G87" s="89"/>
      <c r="H87" s="108"/>
      <c r="I87" s="91" t="str">
        <f t="shared" si="19"/>
        <v/>
      </c>
      <c r="J87" s="92"/>
      <c r="K87" s="128"/>
      <c r="L87" s="130">
        <v>1</v>
      </c>
      <c r="M87" s="1813" t="str">
        <f>ROWS(M79:M87)&amp;" ►"</f>
        <v>9 ►</v>
      </c>
      <c r="N87" s="1580"/>
      <c r="O87" s="95">
        <f>IF(Q89=0,0,(Q87/Q89)*P78*1000)</f>
        <v>0</v>
      </c>
      <c r="P87" s="105">
        <f>IF(Q89=0, 0, (G87*L87)/(Q89*P78))</f>
        <v>0</v>
      </c>
      <c r="Q87" s="97" cm="1">
        <f t="array" ref="Q87">IFERROR(_xlfn.XLOOKUP(UPPER(TRIM(K87)),UPPER(TRIM(G90:U90)),G91:U91,_xlfn.XLOOKUP(UPPER(TRIM(K87)),UPPER(TRIM(G92:U92)),G93:U93,0))*J87*IF(G87&gt;0,G87,1),0)</f>
        <v>0</v>
      </c>
      <c r="R87" s="110">
        <f>IF(T74&lt;&gt;0,G87*L87*L74,0)</f>
        <v>0</v>
      </c>
      <c r="S87" s="1748">
        <f t="shared" si="22"/>
        <v>0</v>
      </c>
      <c r="T87" s="99">
        <f>IF(OR(ISBLANK(T74),T74=0),0,Q87*L87*L74)</f>
        <v>0</v>
      </c>
      <c r="U87" s="1617" t="str">
        <f>IF(K87="","",IF(COUNTIF(N90:U90,SUBSTITUTE(TRIM(K87)," (s)",""))+COUNTIF(N92:U92,SUBSTITUTE(TRIM(K87)," (s)",""))&gt;0,IF(ROUND(T87,3)&gt;=1,ROUND(T87,3)&amp;" L",MAX(1,ROUND(T87*100,0))&amp;" cl"),IF(COUNTIF(G90:L90,SUBSTITUTE(TRIM(K87)," (s)",""))+COUNTIF(G92:L92,SUBSTITUTE(TRIM(K87)," (s)",""))&gt;0,IF(ROUND(T87,3)&gt;=1,ROUND(T87,3)&amp;" Kg",MAX(1,ROUND(T87*1000,0))&amp;" g"),"")))</f>
        <v/>
      </c>
      <c r="W87" s="103" t="str">
        <f t="shared" si="25"/>
        <v>►</v>
      </c>
      <c r="X87" s="31" t="str">
        <f>X75</f>
        <v>N NAME OF YOUR RECIPE | paste it — FAMILY|  Author &gt; YOU</v>
      </c>
      <c r="Y87" s="32">
        <f>Y75</f>
        <v>1</v>
      </c>
      <c r="Z87" s="31" t="str">
        <f>Z75</f>
        <v>coupe</v>
      </c>
      <c r="AA87" s="33" t="str">
        <f>AA75</f>
        <v>Master recipe ► MILLE-FEUILLE  aux fraises des bois</v>
      </c>
      <c r="AB87" s="89"/>
      <c r="AC87" s="108"/>
      <c r="AD87" s="91" t="str">
        <f t="shared" si="20"/>
        <v/>
      </c>
      <c r="AE87" s="92"/>
      <c r="AF87" s="128"/>
      <c r="AG87" s="130">
        <v>1</v>
      </c>
      <c r="AH87" s="1813" t="str">
        <f>ROWS(AH79:AH87)&amp;" ►"</f>
        <v>9 ►</v>
      </c>
      <c r="AI87" s="1580"/>
      <c r="AJ87" s="95">
        <f>IF(AL89=0,0,(AL87/AL89)*AK78*1000)</f>
        <v>0</v>
      </c>
      <c r="AK87" s="105">
        <f>IF(AL89=0, 0, (AB87*AG87)/(AL89*AK78))</f>
        <v>0</v>
      </c>
      <c r="AL87" s="97" cm="1">
        <f t="array" ref="AL87">IFERROR(_xlfn.XLOOKUP(UPPER(TRIM(AF87)),UPPER(TRIM(AB90:AP90)),AB91:AP91,_xlfn.XLOOKUP(UPPER(TRIM(AF87)),UPPER(TRIM(AB92:AP92)),AB93:AP93,0))*AE87*IF(AB87&gt;0,AB87,1),0)</f>
        <v>0</v>
      </c>
      <c r="AM87" s="110">
        <f>IF(AO74&lt;&gt;0,AB87*AG87*AG74,0)</f>
        <v>0</v>
      </c>
      <c r="AN87" s="1748">
        <f t="shared" si="23"/>
        <v>0</v>
      </c>
      <c r="AO87" s="99">
        <f>IF(OR(ISBLANK(AO74),AO74=0),0,AL87*AG87*AG74)</f>
        <v>0</v>
      </c>
      <c r="AP87" s="1617" t="str">
        <f>IF(AF87="","",IF(COUNTIF(AI90:AP90,SUBSTITUTE(TRIM(AF87)," (s)",""))+COUNTIF(AI92:AP92,SUBSTITUTE(TRIM(AF87)," (s)",""))&gt;0,IF(ROUND(AO87,3)&gt;=1,ROUND(AO87,3)&amp;" L",MAX(1,ROUND(AO87*100,0))&amp;" cl"),IF(COUNTIF(AB90:AG90,SUBSTITUTE(TRIM(AF87)," (s)",""))+COUNTIF(AB92:AG92,SUBSTITUTE(TRIM(AF87)," (s)",""))&gt;0,IF(ROUND(AO87,3)&gt;=1,ROUND(AO87,3)&amp;" Kg",MAX(1,ROUND(AO87*1000,0))&amp;" g"),"")))</f>
        <v/>
      </c>
      <c r="AR87" s="103" t="str">
        <f t="shared" si="26"/>
        <v>►</v>
      </c>
      <c r="AS87" s="31" t="str">
        <f>AS75</f>
        <v>N NOMBRE DE SU RECETA | pegue esto — FAMILIA| Auteur &gt; VOUS</v>
      </c>
      <c r="AT87" s="32">
        <f>AT75</f>
        <v>1</v>
      </c>
      <c r="AU87" s="31" t="str">
        <f>AU75</f>
        <v>coupe</v>
      </c>
      <c r="AV87" s="33" t="str">
        <f>AV75</f>
        <v>Receta madre ► MILLE-FEUILLE  aux fraises des bois</v>
      </c>
      <c r="AW87" s="89"/>
      <c r="AX87" s="108"/>
      <c r="AY87" s="91" t="str">
        <f t="shared" si="21"/>
        <v/>
      </c>
      <c r="AZ87" s="92"/>
      <c r="BA87" s="128"/>
      <c r="BB87" s="130">
        <v>1</v>
      </c>
      <c r="BC87" s="1813" t="str">
        <f>ROWS(BC79:BC87)&amp;" ►"</f>
        <v>9 ►</v>
      </c>
      <c r="BD87" s="1580"/>
      <c r="BE87" s="95">
        <f>IF(BG89=0,0,(BG87/BG89)*BF78*1000)</f>
        <v>0</v>
      </c>
      <c r="BF87" s="105">
        <f>IF(BG89=0, 0, (AW87*BB87)/(BG89*BF78))</f>
        <v>0</v>
      </c>
      <c r="BG87" s="97" cm="1">
        <f t="array" ref="BG87">IFERROR(_xlfn.XLOOKUP(UPPER(TRIM(BA87)),UPPER(TRIM(AW90:BK90)),AW91:BK91,_xlfn.XLOOKUP(UPPER(TRIM(BA87)),UPPER(TRIM(AW92:BK92)),AW93:BK93,0))*AZ87*IF(AW87&gt;0,AW87,1),0)</f>
        <v>0</v>
      </c>
      <c r="BH87" s="110">
        <f>IF(BJ74&lt;&gt;0,AW87*BB87*BB74,0)</f>
        <v>0</v>
      </c>
      <c r="BI87" s="1748">
        <f t="shared" si="24"/>
        <v>0</v>
      </c>
      <c r="BJ87" s="99">
        <f>IF(OR(ISBLANK(BJ74),BJ74=0),0,BG87*BB87*BB74)</f>
        <v>0</v>
      </c>
      <c r="BK87" s="1617" t="str">
        <f>IF(BA87="","",IF(COUNTIF(BD90:BK90,SUBSTITUTE(TRIM(BA87)," (s)",""))+COUNTIF(BD92:BK92,SUBSTITUTE(TRIM(BA87)," (s)",""))&gt;0,IF(ROUND(BJ87,3)&gt;=1,ROUND(BJ87,3)&amp;" L",MAX(1,ROUND(BJ87*100,0))&amp;" cl"),IF(COUNTIF(AW90:BB90,SUBSTITUTE(TRIM(BA87)," (s)",""))+COUNTIF(AW92:BB92,SUBSTITUTE(TRIM(BA87)," (s)",""))&gt;0,IF(ROUND(BJ87,3)&gt;=1,ROUND(BJ87,3)&amp;" Kg",MAX(1,ROUND(BJ87*1000,0))&amp;" g"),"")))</f>
        <v/>
      </c>
      <c r="BM87" s="3">
        <v>1</v>
      </c>
    </row>
    <row r="88" spans="2:65" ht="21" customHeight="1">
      <c r="B88" s="25" t="s">
        <v>10</v>
      </c>
      <c r="C88" s="31" t="str">
        <f>C75</f>
        <v>N NOM DE VOTRE RECETTE | collez la--FAMILLE| Auteur &gt; VOUS</v>
      </c>
      <c r="D88" s="32">
        <f>D75</f>
        <v>1</v>
      </c>
      <c r="E88" s="31" t="str">
        <f>E75</f>
        <v>coupe</v>
      </c>
      <c r="F88" s="33" t="str">
        <f>F75</f>
        <v>Recette mère ► MILLE-FEUILLE  aux fraises des bois</v>
      </c>
      <c r="G88" s="1198"/>
      <c r="H88" s="1199"/>
      <c r="I88" s="91" t="str">
        <f t="shared" si="19"/>
        <v/>
      </c>
      <c r="J88" s="1200"/>
      <c r="K88" s="128"/>
      <c r="L88" s="1201">
        <v>1</v>
      </c>
      <c r="M88" s="1813" t="str">
        <f>ROWS(M79:M88)&amp;" ►"</f>
        <v>10 ►</v>
      </c>
      <c r="N88" s="1580"/>
      <c r="O88" s="95">
        <f>IF(Q89=0,0,(Q88/Q89)*P78*1000)</f>
        <v>0</v>
      </c>
      <c r="P88" s="105">
        <f>IF(Q89=0, 0, (G88*L88)/(Q89*P78))</f>
        <v>0</v>
      </c>
      <c r="Q88" s="97" cm="1">
        <f t="array" ref="Q88">IFERROR(_xlfn.XLOOKUP(UPPER(TRIM(K88)),UPPER(TRIM(G90:U90)),G91:U91,_xlfn.XLOOKUP(UPPER(TRIM(K88)),UPPER(TRIM(G92:U92)),G93:U93,0))*J88*IF(G88&gt;0,G88,1),0)</f>
        <v>0</v>
      </c>
      <c r="R88" s="110">
        <f>IF(T74&lt;&gt;0,G88*L88*L74,0)</f>
        <v>0</v>
      </c>
      <c r="S88" s="1748">
        <f t="shared" si="22"/>
        <v>0</v>
      </c>
      <c r="T88" s="99">
        <f>IF(OR(ISBLANK(T74),T74=0),0,Q88*L88*L74)</f>
        <v>0</v>
      </c>
      <c r="U88" s="1617" t="str">
        <f>IF(K88="","",IF(COUNTIF(N90:U90,SUBSTITUTE(TRIM(K88)," (s)",""))+COUNTIF(N92:U92,SUBSTITUTE(TRIM(K88)," (s)",""))&gt;0,IF(ROUND(T88,3)&gt;=1,ROUND(T88,3)&amp;" L",MAX(1,ROUND(T88*100,0))&amp;" cl"),IF(COUNTIF(G90:L90,SUBSTITUTE(TRIM(K88)," (s)",""))+COUNTIF(G92:L92,SUBSTITUTE(TRIM(K88)," (s)",""))&gt;0,IF(ROUND(T88,3)&gt;=1,ROUND(T88,3)&amp;" Kg",MAX(1,ROUND(T88*1000,0))&amp;" g"),"")))</f>
        <v/>
      </c>
      <c r="W88" s="25" t="s">
        <v>10</v>
      </c>
      <c r="X88" s="31" t="str">
        <f>X75</f>
        <v>N NAME OF YOUR RECIPE | paste it — FAMILY|  Author &gt; YOU</v>
      </c>
      <c r="Y88" s="32">
        <f>Y75</f>
        <v>1</v>
      </c>
      <c r="Z88" s="31" t="str">
        <f>Z75</f>
        <v>coupe</v>
      </c>
      <c r="AA88" s="33" t="str">
        <f>AA75</f>
        <v>Master recipe ► MILLE-FEUILLE  aux fraises des bois</v>
      </c>
      <c r="AB88" s="1198"/>
      <c r="AC88" s="1199"/>
      <c r="AD88" s="91" t="str">
        <f t="shared" si="20"/>
        <v/>
      </c>
      <c r="AE88" s="1200"/>
      <c r="AF88" s="128"/>
      <c r="AG88" s="1201">
        <v>1</v>
      </c>
      <c r="AH88" s="1813" t="str">
        <f>ROWS(AH79:AH88)&amp;" ►"</f>
        <v>10 ►</v>
      </c>
      <c r="AI88" s="1580"/>
      <c r="AJ88" s="95">
        <f>IF(AL89=0,0,(AL88/AL89)*AK78*1000)</f>
        <v>0</v>
      </c>
      <c r="AK88" s="105">
        <f>IF(AL89=0, 0, (AB88*AG88)/(AL89*AK78))</f>
        <v>0</v>
      </c>
      <c r="AL88" s="97" cm="1">
        <f t="array" ref="AL88">IFERROR(_xlfn.XLOOKUP(UPPER(TRIM(AF88)),UPPER(TRIM(AB90:AP90)),AB91:AP91,_xlfn.XLOOKUP(UPPER(TRIM(AF88)),UPPER(TRIM(AB92:AP92)),AB93:AP93,0))*AE88*IF(AB88&gt;0,AB88,1),0)</f>
        <v>0</v>
      </c>
      <c r="AM88" s="110">
        <f>IF(AO74&lt;&gt;0,AB88*AG88*AG74,0)</f>
        <v>0</v>
      </c>
      <c r="AN88" s="1748">
        <f t="shared" si="23"/>
        <v>0</v>
      </c>
      <c r="AO88" s="99">
        <f>IF(OR(ISBLANK(AO74),AO74=0),0,AL88*AG88*AG74)</f>
        <v>0</v>
      </c>
      <c r="AP88" s="1617" t="str">
        <f>IF(AF88="","",IF(COUNTIF(AI90:AP90,SUBSTITUTE(TRIM(AF88)," (s)",""))+COUNTIF(AI92:AP92,SUBSTITUTE(TRIM(AF88)," (s)",""))&gt;0,IF(ROUND(AO88,3)&gt;=1,ROUND(AO88,3)&amp;" L",MAX(1,ROUND(AO88*100,0))&amp;" cl"),IF(COUNTIF(AB90:AG90,SUBSTITUTE(TRIM(AF88)," (s)",""))+COUNTIF(AB92:AG92,SUBSTITUTE(TRIM(AF88)," (s)",""))&gt;0,IF(ROUND(AO88,3)&gt;=1,ROUND(AO88,3)&amp;" Kg",MAX(1,ROUND(AO88*1000,0))&amp;" g"),"")))</f>
        <v/>
      </c>
      <c r="AR88" s="25" t="s">
        <v>10</v>
      </c>
      <c r="AS88" s="31" t="str">
        <f>AS75</f>
        <v>N NOMBRE DE SU RECETA | pegue esto — FAMILIA| Auteur &gt; VOUS</v>
      </c>
      <c r="AT88" s="32">
        <f>AT75</f>
        <v>1</v>
      </c>
      <c r="AU88" s="31" t="str">
        <f>AU75</f>
        <v>coupe</v>
      </c>
      <c r="AV88" s="33" t="str">
        <f>AV75</f>
        <v>Receta madre ► MILLE-FEUILLE  aux fraises des bois</v>
      </c>
      <c r="AW88" s="1198"/>
      <c r="AX88" s="1199"/>
      <c r="AY88" s="91" t="str">
        <f t="shared" si="21"/>
        <v/>
      </c>
      <c r="AZ88" s="1200"/>
      <c r="BA88" s="128"/>
      <c r="BB88" s="1201">
        <v>1</v>
      </c>
      <c r="BC88" s="1813" t="str">
        <f>ROWS(BC79:BC88)&amp;" ►"</f>
        <v>10 ►</v>
      </c>
      <c r="BD88" s="1580"/>
      <c r="BE88" s="95">
        <f>IF(BG89=0,0,(BG88/BG89)*BF78*1000)</f>
        <v>0</v>
      </c>
      <c r="BF88" s="105">
        <f>IF(BG89=0, 0, (AW88*BB88)/(BG89*BF78))</f>
        <v>0</v>
      </c>
      <c r="BG88" s="97" cm="1">
        <f t="array" ref="BG88">IFERROR(_xlfn.XLOOKUP(UPPER(TRIM(BA88)),UPPER(TRIM(AW90:BK90)),AW91:BK91,_xlfn.XLOOKUP(UPPER(TRIM(BA88)),UPPER(TRIM(AW92:BK92)),AW93:BK93,0))*AZ88*IF(AW88&gt;0,AW88,1),0)</f>
        <v>0</v>
      </c>
      <c r="BH88" s="110">
        <f>IF(BJ74&lt;&gt;0,AW88*BB88*BB74,0)</f>
        <v>0</v>
      </c>
      <c r="BI88" s="1748">
        <f t="shared" si="24"/>
        <v>0</v>
      </c>
      <c r="BJ88" s="99">
        <f>IF(OR(ISBLANK(BJ74),BJ74=0),0,BG88*BB88*BB74)</f>
        <v>0</v>
      </c>
      <c r="BK88" s="1617" t="str">
        <f>IF(BA88="","",IF(COUNTIF(BD90:BK90,SUBSTITUTE(TRIM(BA88)," (s)",""))+COUNTIF(BD92:BK92,SUBSTITUTE(TRIM(BA88)," (s)",""))&gt;0,IF(ROUND(BJ88,3)&gt;=1,ROUND(BJ88,3)&amp;" L",MAX(1,ROUND(BJ88*100,0))&amp;" cl"),IF(COUNTIF(AW90:BB90,SUBSTITUTE(TRIM(BA88)," (s)",""))+COUNTIF(AW92:BB92,SUBSTITUTE(TRIM(BA88)," (s)",""))&gt;0,IF(ROUND(BJ88,3)&gt;=1,ROUND(BJ88,3)&amp;" Kg",MAX(1,ROUND(BJ88*1000,0))&amp;" g"),"")))</f>
        <v/>
      </c>
      <c r="BM88" s="3">
        <v>1</v>
      </c>
    </row>
    <row r="89" spans="2:65" ht="21" customHeight="1">
      <c r="B89" s="25" t="s">
        <v>10</v>
      </c>
      <c r="C89" s="31" t="str">
        <f>C75</f>
        <v>N NOM DE VOTRE RECETTE | collez la--FAMILLE| Auteur &gt; VOUS</v>
      </c>
      <c r="D89" s="32">
        <f>D75</f>
        <v>1</v>
      </c>
      <c r="E89" s="31" t="str">
        <f>E75</f>
        <v>coupe</v>
      </c>
      <c r="F89" s="33" t="str">
        <f>F75</f>
        <v>Recette mère ► MILLE-FEUILLE  aux fraises des bois</v>
      </c>
      <c r="G89" s="680" t="s">
        <v>8411</v>
      </c>
      <c r="H89" s="474"/>
      <c r="I89" s="474"/>
      <c r="J89" s="474"/>
      <c r="K89" s="474"/>
      <c r="L89" s="681"/>
      <c r="M89" s="681"/>
      <c r="N89" s="1984" t="s">
        <v>8652</v>
      </c>
      <c r="O89" s="682"/>
      <c r="P89" s="682"/>
      <c r="Q89" s="1197">
        <f>SUM(Q79:Q88)</f>
        <v>0</v>
      </c>
      <c r="R89" s="683"/>
      <c r="S89" s="683" t="str">
        <f>"Total " &amp; T76&amp;" &gt;"</f>
        <v>Total Col.19 &gt;</v>
      </c>
      <c r="T89" s="1835">
        <f>SUM(T79:T88)</f>
        <v>0</v>
      </c>
      <c r="U89" s="684"/>
      <c r="W89" s="25" t="s">
        <v>10</v>
      </c>
      <c r="X89" s="31" t="str">
        <f>X75</f>
        <v>N NAME OF YOUR RECIPE | paste it — FAMILY|  Author &gt; YOU</v>
      </c>
      <c r="Y89" s="32">
        <f>Y75</f>
        <v>1</v>
      </c>
      <c r="Z89" s="31" t="str">
        <f>Z75</f>
        <v>coupe</v>
      </c>
      <c r="AA89" s="33" t="str">
        <f>AA75</f>
        <v>Master recipe ► MILLE-FEUILLE  aux fraises des bois</v>
      </c>
      <c r="AB89" s="680" t="s">
        <v>8573</v>
      </c>
      <c r="AC89" s="474"/>
      <c r="AD89" s="474"/>
      <c r="AE89" s="474"/>
      <c r="AF89" s="474"/>
      <c r="AG89" s="681"/>
      <c r="AH89" s="681"/>
      <c r="AI89" s="1984" t="s">
        <v>8653</v>
      </c>
      <c r="AJ89" s="682"/>
      <c r="AK89" s="682"/>
      <c r="AL89" s="1197">
        <f>SUM(AL79:AL88)</f>
        <v>0</v>
      </c>
      <c r="AM89" s="683"/>
      <c r="AN89" s="683" t="str">
        <f>"Total " &amp; AO76&amp;" &gt;"</f>
        <v>Total Col.19 &gt;</v>
      </c>
      <c r="AO89" s="1835">
        <f>SUM(AO79:AO88)</f>
        <v>0</v>
      </c>
      <c r="AP89" s="684"/>
      <c r="AR89" s="25" t="s">
        <v>10</v>
      </c>
      <c r="AS89" s="31" t="str">
        <f>AS75</f>
        <v>N NOMBRE DE SU RECETA | pegue esto — FAMILIA| Auteur &gt; VOUS</v>
      </c>
      <c r="AT89" s="32">
        <f>AT75</f>
        <v>1</v>
      </c>
      <c r="AU89" s="31" t="str">
        <f>AU75</f>
        <v>coupe</v>
      </c>
      <c r="AV89" s="33" t="str">
        <f>AV75</f>
        <v>Receta madre ► MILLE-FEUILLE  aux fraises des bois</v>
      </c>
      <c r="AW89" s="680" t="s">
        <v>8574</v>
      </c>
      <c r="AX89" s="474"/>
      <c r="AY89" s="474"/>
      <c r="AZ89" s="474"/>
      <c r="BA89" s="474"/>
      <c r="BB89" s="681"/>
      <c r="BC89" s="681"/>
      <c r="BD89" s="1984" t="s">
        <v>8654</v>
      </c>
      <c r="BE89" s="682"/>
      <c r="BF89" s="682"/>
      <c r="BG89" s="1197">
        <f>SUM(BG79:BG88)</f>
        <v>0</v>
      </c>
      <c r="BH89" s="683"/>
      <c r="BI89" s="683" t="str">
        <f>"Total " &amp; BJ76&amp;" &gt;"</f>
        <v>Total Col.19 &gt;</v>
      </c>
      <c r="BJ89" s="1835">
        <f>SUM(BJ79:BJ88)</f>
        <v>0</v>
      </c>
      <c r="BK89" s="684"/>
      <c r="BM89" s="3">
        <v>1</v>
      </c>
    </row>
    <row r="90" spans="2:65" ht="21" customHeight="1">
      <c r="B90" s="25" t="s">
        <v>10</v>
      </c>
      <c r="C90" s="31" t="str">
        <f>C75</f>
        <v>N NOM DE VOTRE RECETTE | collez la--FAMILLE| Auteur &gt; VOUS</v>
      </c>
      <c r="D90" s="32">
        <f>D75</f>
        <v>1</v>
      </c>
      <c r="E90" s="31" t="str">
        <f>E75</f>
        <v>coupe</v>
      </c>
      <c r="F90" s="33" t="str">
        <f>F75</f>
        <v>Recette mère ► MILLE-FEUILLE  aux fraises des bois</v>
      </c>
      <c r="G90" s="142" t="s">
        <v>140</v>
      </c>
      <c r="H90" s="104" t="s">
        <v>100</v>
      </c>
      <c r="I90" s="143" t="s">
        <v>141</v>
      </c>
      <c r="J90" s="144" t="s">
        <v>142</v>
      </c>
      <c r="K90" s="118" t="s">
        <v>143</v>
      </c>
      <c r="L90" s="118" t="s">
        <v>109</v>
      </c>
      <c r="M90" s="143" t="s">
        <v>141</v>
      </c>
      <c r="N90" s="93" t="s">
        <v>0</v>
      </c>
      <c r="O90" s="93" t="s">
        <v>97</v>
      </c>
      <c r="P90" s="93" t="s">
        <v>144</v>
      </c>
      <c r="Q90" s="93" t="s">
        <v>145</v>
      </c>
      <c r="R90" s="109" t="s">
        <v>104</v>
      </c>
      <c r="S90" s="109" t="s">
        <v>359</v>
      </c>
      <c r="T90" s="335" t="s">
        <v>146</v>
      </c>
      <c r="U90" s="109" t="s">
        <v>147</v>
      </c>
      <c r="W90" s="25" t="s">
        <v>10</v>
      </c>
      <c r="X90" s="31" t="str">
        <f>X75</f>
        <v>N NAME OF YOUR RECIPE | paste it — FAMILY|  Author &gt; YOU</v>
      </c>
      <c r="Y90" s="32">
        <f>Y75</f>
        <v>1</v>
      </c>
      <c r="Z90" s="31" t="str">
        <f>Z75</f>
        <v>coupe</v>
      </c>
      <c r="AA90" s="33" t="str">
        <f>AA75</f>
        <v>Master recipe ► MILLE-FEUILLE  aux fraises des bois</v>
      </c>
      <c r="AB90" s="422" t="s">
        <v>140</v>
      </c>
      <c r="AC90" s="104" t="s">
        <v>100</v>
      </c>
      <c r="AD90" s="143" t="s">
        <v>1327</v>
      </c>
      <c r="AE90" s="118" t="s">
        <v>1320</v>
      </c>
      <c r="AF90" s="118" t="s">
        <v>1321</v>
      </c>
      <c r="AG90" s="118" t="s">
        <v>1322</v>
      </c>
      <c r="AH90" s="143" t="s">
        <v>141</v>
      </c>
      <c r="AI90" s="93" t="s">
        <v>0</v>
      </c>
      <c r="AJ90" s="93" t="s">
        <v>97</v>
      </c>
      <c r="AK90" s="93" t="s">
        <v>144</v>
      </c>
      <c r="AL90" s="93" t="s">
        <v>145</v>
      </c>
      <c r="AM90" s="109" t="s">
        <v>1341</v>
      </c>
      <c r="AN90" s="109" t="s">
        <v>1323</v>
      </c>
      <c r="AO90" s="109" t="s">
        <v>1324</v>
      </c>
      <c r="AP90" s="335" t="s">
        <v>1325</v>
      </c>
      <c r="AR90" s="25" t="s">
        <v>10</v>
      </c>
      <c r="AS90" s="31" t="str">
        <f>AS75</f>
        <v>N NOMBRE DE SU RECETA | pegue esto — FAMILIA| Auteur &gt; VOUS</v>
      </c>
      <c r="AT90" s="32">
        <f>AT75</f>
        <v>1</v>
      </c>
      <c r="AU90" s="31" t="str">
        <f>AU75</f>
        <v>coupe</v>
      </c>
      <c r="AV90" s="33" t="str">
        <f>AV75</f>
        <v>Receta madre ► MILLE-FEUILLE  aux fraises des bois</v>
      </c>
      <c r="AW90" s="422" t="s">
        <v>140</v>
      </c>
      <c r="AX90" s="104" t="s">
        <v>100</v>
      </c>
      <c r="AY90" s="143" t="s">
        <v>1309</v>
      </c>
      <c r="AZ90" s="118" t="s">
        <v>1301</v>
      </c>
      <c r="BA90" s="118" t="s">
        <v>1302</v>
      </c>
      <c r="BB90" s="118" t="s">
        <v>1303</v>
      </c>
      <c r="BC90" s="143" t="s">
        <v>141</v>
      </c>
      <c r="BD90" s="93" t="s">
        <v>0</v>
      </c>
      <c r="BE90" s="93" t="s">
        <v>97</v>
      </c>
      <c r="BF90" s="93" t="s">
        <v>144</v>
      </c>
      <c r="BG90" s="93" t="s">
        <v>145</v>
      </c>
      <c r="BH90" s="335" t="s">
        <v>1306</v>
      </c>
      <c r="BI90" s="2104" t="s">
        <v>1342</v>
      </c>
      <c r="BJ90" s="2104" t="s">
        <v>1305</v>
      </c>
      <c r="BK90" s="2104" t="s">
        <v>1306</v>
      </c>
      <c r="BM90" s="3">
        <v>1</v>
      </c>
    </row>
    <row r="91" spans="2:65" ht="21" customHeight="1">
      <c r="B91" s="25" t="s">
        <v>10</v>
      </c>
      <c r="C91" s="31" t="str">
        <f>C75</f>
        <v>N NOM DE VOTRE RECETTE | collez la--FAMILLE| Auteur &gt; VOUS</v>
      </c>
      <c r="D91" s="32">
        <f>D75</f>
        <v>1</v>
      </c>
      <c r="E91" s="31" t="str">
        <f>E75</f>
        <v>coupe</v>
      </c>
      <c r="F91" s="33" t="str">
        <f>F75</f>
        <v>Recette mère ► MILLE-FEUILLE  aux fraises des bois</v>
      </c>
      <c r="G91" s="685">
        <v>1</v>
      </c>
      <c r="H91" s="686">
        <v>1E-3</v>
      </c>
      <c r="I91" s="687">
        <v>0</v>
      </c>
      <c r="J91" s="686">
        <v>0.25</v>
      </c>
      <c r="K91" s="686">
        <v>0.33332999999999996</v>
      </c>
      <c r="L91" s="686">
        <v>0.5</v>
      </c>
      <c r="M91" s="687">
        <v>0</v>
      </c>
      <c r="N91" s="688">
        <v>1</v>
      </c>
      <c r="O91" s="688">
        <v>0.1</v>
      </c>
      <c r="P91" s="688">
        <v>0.01</v>
      </c>
      <c r="Q91" s="688">
        <v>1E-3</v>
      </c>
      <c r="R91" s="688">
        <v>0.5</v>
      </c>
      <c r="S91" s="688">
        <v>0.25</v>
      </c>
      <c r="T91" s="688">
        <v>0.33300000000000002</v>
      </c>
      <c r="U91" s="1756">
        <v>0.2</v>
      </c>
      <c r="W91" s="25" t="s">
        <v>10</v>
      </c>
      <c r="X91" s="31" t="str">
        <f>X75</f>
        <v>N NAME OF YOUR RECIPE | paste it — FAMILY|  Author &gt; YOU</v>
      </c>
      <c r="Y91" s="32">
        <f>Y75</f>
        <v>1</v>
      </c>
      <c r="Z91" s="31" t="str">
        <f>Z75</f>
        <v>coupe</v>
      </c>
      <c r="AA91" s="33" t="str">
        <f>AA75</f>
        <v>Master recipe ► MILLE-FEUILLE  aux fraises des bois</v>
      </c>
      <c r="AB91" s="685">
        <v>1</v>
      </c>
      <c r="AC91" s="686">
        <v>1E-3</v>
      </c>
      <c r="AD91" s="687">
        <v>0</v>
      </c>
      <c r="AE91" s="686">
        <v>0.25</v>
      </c>
      <c r="AF91" s="686">
        <v>0.33332999999999996</v>
      </c>
      <c r="AG91" s="686">
        <v>0.5</v>
      </c>
      <c r="AH91" s="687">
        <v>0</v>
      </c>
      <c r="AI91" s="688">
        <v>1</v>
      </c>
      <c r="AJ91" s="688">
        <v>0.1</v>
      </c>
      <c r="AK91" s="688">
        <v>0.01</v>
      </c>
      <c r="AL91" s="688">
        <v>1E-3</v>
      </c>
      <c r="AM91" s="688">
        <v>0.25</v>
      </c>
      <c r="AN91" s="688">
        <v>0.5</v>
      </c>
      <c r="AO91" s="688">
        <v>0.33300000000000002</v>
      </c>
      <c r="AP91" s="688">
        <v>0.2</v>
      </c>
      <c r="AR91" s="25" t="s">
        <v>10</v>
      </c>
      <c r="AS91" s="31" t="str">
        <f>AS75</f>
        <v>N NOMBRE DE SU RECETA | pegue esto — FAMILIA| Auteur &gt; VOUS</v>
      </c>
      <c r="AT91" s="32">
        <f>AT75</f>
        <v>1</v>
      </c>
      <c r="AU91" s="31" t="str">
        <f>AU75</f>
        <v>coupe</v>
      </c>
      <c r="AV91" s="33" t="str">
        <f>AV75</f>
        <v>Receta madre ► MILLE-FEUILLE  aux fraises des bois</v>
      </c>
      <c r="AW91" s="685">
        <v>1</v>
      </c>
      <c r="AX91" s="686">
        <v>1E-3</v>
      </c>
      <c r="AY91" s="687">
        <v>0</v>
      </c>
      <c r="AZ91" s="686">
        <v>0.25</v>
      </c>
      <c r="BA91" s="686">
        <v>0.33332999999999996</v>
      </c>
      <c r="BB91" s="686">
        <v>0.5</v>
      </c>
      <c r="BC91" s="687">
        <v>0</v>
      </c>
      <c r="BD91" s="688">
        <v>1</v>
      </c>
      <c r="BE91" s="688">
        <v>0.1</v>
      </c>
      <c r="BF91" s="688">
        <v>0.01</v>
      </c>
      <c r="BG91" s="688">
        <v>1E-3</v>
      </c>
      <c r="BH91" s="688">
        <v>0.2</v>
      </c>
      <c r="BI91" s="1882">
        <v>0.25</v>
      </c>
      <c r="BJ91" s="1882">
        <v>0.33300000000000002</v>
      </c>
      <c r="BK91" s="1882">
        <v>0.2</v>
      </c>
      <c r="BM91" s="3">
        <v>1</v>
      </c>
    </row>
    <row r="92" spans="2:65" ht="21" customHeight="1">
      <c r="B92" s="25" t="s">
        <v>10</v>
      </c>
      <c r="C92" s="31" t="str">
        <f>C75</f>
        <v>N NOM DE VOTRE RECETTE | collez la--FAMILLE| Auteur &gt; VOUS</v>
      </c>
      <c r="D92" s="32">
        <f>D75</f>
        <v>1</v>
      </c>
      <c r="E92" s="31" t="str">
        <f>E75</f>
        <v>coupe</v>
      </c>
      <c r="F92" s="33" t="str">
        <f>F75</f>
        <v>Recette mère ► MILLE-FEUILLE  aux fraises des bois</v>
      </c>
      <c r="G92" s="121" t="s">
        <v>155</v>
      </c>
      <c r="H92" s="121" t="s">
        <v>156</v>
      </c>
      <c r="I92" s="143" t="s">
        <v>141</v>
      </c>
      <c r="J92" s="121" t="s">
        <v>110</v>
      </c>
      <c r="K92" s="121" t="s">
        <v>157</v>
      </c>
      <c r="L92" s="121" t="s">
        <v>158</v>
      </c>
      <c r="M92" s="143" t="s">
        <v>141</v>
      </c>
      <c r="N92" s="125" t="s">
        <v>115</v>
      </c>
      <c r="O92" s="155" t="s">
        <v>159</v>
      </c>
      <c r="P92" s="155" t="s">
        <v>160</v>
      </c>
      <c r="Q92" s="109" t="s">
        <v>161</v>
      </c>
      <c r="R92" s="109" t="s">
        <v>162</v>
      </c>
      <c r="S92" s="109" t="s">
        <v>105</v>
      </c>
      <c r="T92" s="1758" t="s">
        <v>1689</v>
      </c>
      <c r="U92" s="697" t="s">
        <v>163</v>
      </c>
      <c r="W92" s="25" t="s">
        <v>10</v>
      </c>
      <c r="X92" s="31" t="str">
        <f>X75</f>
        <v>N NAME OF YOUR RECIPE | paste it — FAMILY|  Author &gt; YOU</v>
      </c>
      <c r="Y92" s="32">
        <f>Y75</f>
        <v>1</v>
      </c>
      <c r="Z92" s="31" t="str">
        <f>Z75</f>
        <v>coupe</v>
      </c>
      <c r="AA92" s="33" t="str">
        <f>AA75</f>
        <v>Master recipe ► MILLE-FEUILLE  aux fraises des bois</v>
      </c>
      <c r="AB92" s="121" t="s">
        <v>155</v>
      </c>
      <c r="AC92" s="121" t="s">
        <v>1326</v>
      </c>
      <c r="AD92" s="143" t="s">
        <v>1327</v>
      </c>
      <c r="AE92" s="121" t="s">
        <v>1328</v>
      </c>
      <c r="AF92" s="121" t="s">
        <v>1329</v>
      </c>
      <c r="AG92" s="121" t="s">
        <v>1343</v>
      </c>
      <c r="AH92" s="143" t="s">
        <v>141</v>
      </c>
      <c r="AI92" s="155" t="s">
        <v>1330</v>
      </c>
      <c r="AJ92" s="155" t="s">
        <v>1331</v>
      </c>
      <c r="AK92" s="155"/>
      <c r="AL92" s="155" t="s">
        <v>1332</v>
      </c>
      <c r="AM92" s="109" t="s">
        <v>1333</v>
      </c>
      <c r="AN92" s="109" t="s">
        <v>1334</v>
      </c>
      <c r="AO92" s="109" t="s">
        <v>1335</v>
      </c>
      <c r="AP92" s="697" t="s">
        <v>1689</v>
      </c>
      <c r="AR92" s="25" t="s">
        <v>10</v>
      </c>
      <c r="AS92" s="31" t="str">
        <f>AS75</f>
        <v>N NOMBRE DE SU RECETA | pegue esto — FAMILIA| Auteur &gt; VOUS</v>
      </c>
      <c r="AT92" s="32">
        <f>AT75</f>
        <v>1</v>
      </c>
      <c r="AU92" s="31" t="str">
        <f>AU75</f>
        <v>coupe</v>
      </c>
      <c r="AV92" s="33" t="str">
        <f>AV75</f>
        <v>Receta madre ► MILLE-FEUILLE  aux fraises des bois</v>
      </c>
      <c r="AW92" s="121" t="s">
        <v>1307</v>
      </c>
      <c r="AX92" s="121" t="s">
        <v>1308</v>
      </c>
      <c r="AY92" s="143" t="s">
        <v>1309</v>
      </c>
      <c r="AZ92" s="121" t="s">
        <v>1310</v>
      </c>
      <c r="BA92" s="121" t="s">
        <v>1311</v>
      </c>
      <c r="BB92" s="121" t="s">
        <v>1312</v>
      </c>
      <c r="BC92" s="143" t="s">
        <v>141</v>
      </c>
      <c r="BD92" s="125" t="s">
        <v>1313</v>
      </c>
      <c r="BE92" s="155" t="s">
        <v>1314</v>
      </c>
      <c r="BF92" s="155" t="s">
        <v>1315</v>
      </c>
      <c r="BG92" s="109" t="s">
        <v>1316</v>
      </c>
      <c r="BH92" s="109" t="s">
        <v>1317</v>
      </c>
      <c r="BI92" s="109" t="s">
        <v>1318</v>
      </c>
      <c r="BJ92" s="697" t="s">
        <v>1689</v>
      </c>
      <c r="BK92" s="697" t="s">
        <v>1319</v>
      </c>
      <c r="BM92" s="3">
        <v>1</v>
      </c>
    </row>
    <row r="93" spans="2:65" ht="21" customHeight="1">
      <c r="B93" s="25" t="s">
        <v>10</v>
      </c>
      <c r="C93" s="31" t="str">
        <f>C75</f>
        <v>N NOM DE VOTRE RECETTE | collez la--FAMILLE| Auteur &gt; VOUS</v>
      </c>
      <c r="D93" s="32">
        <f>D75</f>
        <v>1</v>
      </c>
      <c r="E93" s="31" t="str">
        <f>E75</f>
        <v>coupe</v>
      </c>
      <c r="F93" s="33" t="str">
        <f>F75</f>
        <v>Recette mère ► MILLE-FEUILLE  aux fraises des bois</v>
      </c>
      <c r="G93" s="685">
        <v>2.835E-2</v>
      </c>
      <c r="H93" s="686">
        <v>0.13</v>
      </c>
      <c r="I93" s="687">
        <v>0</v>
      </c>
      <c r="J93" s="686">
        <v>0.2</v>
      </c>
      <c r="K93" s="686">
        <v>0.23</v>
      </c>
      <c r="L93" s="686">
        <v>0.22500000000000001</v>
      </c>
      <c r="M93" s="687">
        <v>0</v>
      </c>
      <c r="N93" s="688">
        <v>0.35</v>
      </c>
      <c r="O93" s="688">
        <v>5.0000000000000001E-3</v>
      </c>
      <c r="P93" s="688">
        <v>5.0000000000000001E-3</v>
      </c>
      <c r="Q93" s="688">
        <v>1.4999999999999999E-2</v>
      </c>
      <c r="R93" s="688">
        <v>0.1</v>
      </c>
      <c r="S93" s="688">
        <v>0.22500000000000001</v>
      </c>
      <c r="T93" s="688">
        <v>4.0000000000000001E-3</v>
      </c>
      <c r="U93" s="1757">
        <v>1E-3</v>
      </c>
      <c r="W93" s="25" t="s">
        <v>10</v>
      </c>
      <c r="X93" s="31" t="str">
        <f>X75</f>
        <v>N NAME OF YOUR RECIPE | paste it — FAMILY|  Author &gt; YOU</v>
      </c>
      <c r="Y93" s="32">
        <f>Y75</f>
        <v>1</v>
      </c>
      <c r="Z93" s="31" t="str">
        <f>Z75</f>
        <v>coupe</v>
      </c>
      <c r="AA93" s="33" t="str">
        <f>AA75</f>
        <v>Master recipe ► MILLE-FEUILLE  aux fraises des bois</v>
      </c>
      <c r="AB93" s="690">
        <v>2.835E-2</v>
      </c>
      <c r="AC93" s="691">
        <v>0.13</v>
      </c>
      <c r="AD93" s="692">
        <v>0</v>
      </c>
      <c r="AE93" s="691">
        <v>0.2</v>
      </c>
      <c r="AF93" s="691">
        <v>0.23</v>
      </c>
      <c r="AG93" s="691">
        <v>0.22500000000000001</v>
      </c>
      <c r="AH93" s="687">
        <v>0</v>
      </c>
      <c r="AI93" s="688">
        <v>0.35</v>
      </c>
      <c r="AJ93" s="688">
        <v>5.0000000000000001E-3</v>
      </c>
      <c r="AK93" s="688"/>
      <c r="AL93" s="688">
        <v>5.0000000000000001E-3</v>
      </c>
      <c r="AM93" s="688">
        <v>1.4999999999999999E-2</v>
      </c>
      <c r="AN93" s="688">
        <v>0.1</v>
      </c>
      <c r="AO93" s="688">
        <v>0.22500000000000001</v>
      </c>
      <c r="AP93" s="688">
        <v>4.0000000000000001E-3</v>
      </c>
      <c r="AR93" s="25" t="s">
        <v>10</v>
      </c>
      <c r="AS93" s="31" t="str">
        <f>AS75</f>
        <v>N NOMBRE DE SU RECETA | pegue esto — FAMILIA| Auteur &gt; VOUS</v>
      </c>
      <c r="AT93" s="32">
        <f>AT75</f>
        <v>1</v>
      </c>
      <c r="AU93" s="31" t="str">
        <f>AU75</f>
        <v>coupe</v>
      </c>
      <c r="AV93" s="33" t="str">
        <f>AV75</f>
        <v>Receta madre ► MILLE-FEUILLE  aux fraises des bois</v>
      </c>
      <c r="AW93" s="690">
        <v>2.835E-2</v>
      </c>
      <c r="AX93" s="691">
        <v>0.13</v>
      </c>
      <c r="AY93" s="692">
        <v>0</v>
      </c>
      <c r="AZ93" s="691">
        <v>0.2</v>
      </c>
      <c r="BA93" s="691">
        <v>0.23</v>
      </c>
      <c r="BB93" s="691">
        <v>0.22500000000000001</v>
      </c>
      <c r="BC93" s="687">
        <v>0</v>
      </c>
      <c r="BD93" s="688">
        <v>0.35</v>
      </c>
      <c r="BE93" s="688">
        <v>5.0000000000000001E-3</v>
      </c>
      <c r="BF93" s="688">
        <v>5.0000000000000001E-3</v>
      </c>
      <c r="BG93" s="688">
        <v>1.4999999999999999E-2</v>
      </c>
      <c r="BH93" s="688">
        <v>0.1</v>
      </c>
      <c r="BI93" s="688">
        <v>0.22500000000000001</v>
      </c>
      <c r="BJ93" s="688">
        <v>4.0000000000000001E-3</v>
      </c>
      <c r="BK93" s="1757">
        <v>1E-3</v>
      </c>
      <c r="BM93" s="3">
        <v>1</v>
      </c>
    </row>
    <row r="94" spans="2:65" ht="21" customHeight="1">
      <c r="B94" s="25" t="s">
        <v>15</v>
      </c>
      <c r="C94" s="5563" t="str">
        <f t="shared" ref="C94:U94" si="28">SUBSTITUTE(ADDRESS(1,COLUMN(),4),"1","")</f>
        <v>C</v>
      </c>
      <c r="D94" s="5563" t="str">
        <f t="shared" si="28"/>
        <v>D</v>
      </c>
      <c r="E94" s="5563" t="str">
        <f t="shared" si="28"/>
        <v>E</v>
      </c>
      <c r="F94" s="5563" t="str">
        <f t="shared" si="28"/>
        <v>F</v>
      </c>
      <c r="G94" s="5563" t="str">
        <f t="shared" si="28"/>
        <v>G</v>
      </c>
      <c r="H94" s="5563" t="str">
        <f t="shared" si="28"/>
        <v>H</v>
      </c>
      <c r="I94" s="5563" t="str">
        <f t="shared" si="28"/>
        <v>I</v>
      </c>
      <c r="J94" s="5563" t="str">
        <f t="shared" si="28"/>
        <v>J</v>
      </c>
      <c r="K94" s="5563" t="str">
        <f t="shared" si="28"/>
        <v>K</v>
      </c>
      <c r="L94" s="5563" t="str">
        <f t="shared" si="28"/>
        <v>L</v>
      </c>
      <c r="M94" s="5603" t="str">
        <f t="shared" si="28"/>
        <v>M</v>
      </c>
      <c r="N94" s="5563" t="str">
        <f t="shared" si="28"/>
        <v>N</v>
      </c>
      <c r="O94" s="5563" t="str">
        <f t="shared" si="28"/>
        <v>O</v>
      </c>
      <c r="P94" s="5563" t="str">
        <f t="shared" si="28"/>
        <v>P</v>
      </c>
      <c r="Q94" s="5563" t="str">
        <f t="shared" si="28"/>
        <v>Q</v>
      </c>
      <c r="R94" s="6003" t="str">
        <f t="shared" si="28"/>
        <v>R</v>
      </c>
      <c r="S94" s="5563" t="str">
        <f t="shared" si="28"/>
        <v>S</v>
      </c>
      <c r="T94" s="5563" t="str">
        <f t="shared" si="28"/>
        <v>T</v>
      </c>
      <c r="U94" s="6002" t="str">
        <f t="shared" si="28"/>
        <v>U</v>
      </c>
      <c r="V94" s="6628" t="s">
        <v>8774</v>
      </c>
      <c r="W94" s="25" t="s">
        <v>15</v>
      </c>
      <c r="X94" s="5563" t="str">
        <f t="shared" ref="X94:AP94" si="29">SUBSTITUTE(ADDRESS(1,COLUMN(),4),"1","")</f>
        <v>X</v>
      </c>
      <c r="Y94" s="5563" t="str">
        <f t="shared" si="29"/>
        <v>Y</v>
      </c>
      <c r="Z94" s="5563" t="str">
        <f t="shared" si="29"/>
        <v>Z</v>
      </c>
      <c r="AA94" s="5563" t="str">
        <f t="shared" si="29"/>
        <v>AA</v>
      </c>
      <c r="AB94" s="5563" t="str">
        <f t="shared" si="29"/>
        <v>AB</v>
      </c>
      <c r="AC94" s="5563" t="str">
        <f t="shared" si="29"/>
        <v>AC</v>
      </c>
      <c r="AD94" s="5563" t="str">
        <f t="shared" si="29"/>
        <v>AD</v>
      </c>
      <c r="AE94" s="5563" t="str">
        <f t="shared" si="29"/>
        <v>AE</v>
      </c>
      <c r="AF94" s="5563" t="str">
        <f t="shared" si="29"/>
        <v>AF</v>
      </c>
      <c r="AG94" s="5563" t="str">
        <f t="shared" si="29"/>
        <v>AG</v>
      </c>
      <c r="AH94" s="5603" t="str">
        <f t="shared" si="29"/>
        <v>AH</v>
      </c>
      <c r="AI94" s="5563" t="str">
        <f t="shared" si="29"/>
        <v>AI</v>
      </c>
      <c r="AJ94" s="5563" t="str">
        <f t="shared" si="29"/>
        <v>AJ</v>
      </c>
      <c r="AK94" s="5563" t="str">
        <f t="shared" si="29"/>
        <v>AK</v>
      </c>
      <c r="AL94" s="5563" t="str">
        <f t="shared" si="29"/>
        <v>AL</v>
      </c>
      <c r="AM94" s="6003" t="str">
        <f t="shared" si="29"/>
        <v>AM</v>
      </c>
      <c r="AN94" s="5563" t="str">
        <f t="shared" si="29"/>
        <v>AN</v>
      </c>
      <c r="AO94" s="5563" t="str">
        <f t="shared" si="29"/>
        <v>AO</v>
      </c>
      <c r="AP94" s="6002" t="str">
        <f t="shared" si="29"/>
        <v>AP</v>
      </c>
      <c r="AQ94" s="6628" t="s">
        <v>8775</v>
      </c>
      <c r="AR94" s="25" t="s">
        <v>15</v>
      </c>
      <c r="AS94" s="5563" t="str">
        <f t="shared" ref="AS94:BK94" si="30">SUBSTITUTE(ADDRESS(1,COLUMN(),4),"1","")</f>
        <v>AS</v>
      </c>
      <c r="AT94" s="5563" t="str">
        <f t="shared" si="30"/>
        <v>AT</v>
      </c>
      <c r="AU94" s="5563" t="str">
        <f t="shared" si="30"/>
        <v>AU</v>
      </c>
      <c r="AV94" s="5563" t="str">
        <f t="shared" si="30"/>
        <v>AV</v>
      </c>
      <c r="AW94" s="5563" t="str">
        <f t="shared" si="30"/>
        <v>AW</v>
      </c>
      <c r="AX94" s="5563" t="str">
        <f t="shared" si="30"/>
        <v>AX</v>
      </c>
      <c r="AY94" s="5563" t="str">
        <f t="shared" si="30"/>
        <v>AY</v>
      </c>
      <c r="AZ94" s="5563" t="str">
        <f t="shared" si="30"/>
        <v>AZ</v>
      </c>
      <c r="BA94" s="5563" t="str">
        <f t="shared" si="30"/>
        <v>BA</v>
      </c>
      <c r="BB94" s="5563" t="str">
        <f t="shared" si="30"/>
        <v>BB</v>
      </c>
      <c r="BC94" s="5603" t="str">
        <f t="shared" si="30"/>
        <v>BC</v>
      </c>
      <c r="BD94" s="5563" t="str">
        <f t="shared" si="30"/>
        <v>BD</v>
      </c>
      <c r="BE94" s="5563" t="str">
        <f t="shared" si="30"/>
        <v>BE</v>
      </c>
      <c r="BF94" s="5563" t="str">
        <f t="shared" si="30"/>
        <v>BF</v>
      </c>
      <c r="BG94" s="5563" t="str">
        <f t="shared" si="30"/>
        <v>BG</v>
      </c>
      <c r="BH94" s="6003" t="str">
        <f t="shared" si="30"/>
        <v>BH</v>
      </c>
      <c r="BI94" s="5563" t="str">
        <f t="shared" si="30"/>
        <v>BI</v>
      </c>
      <c r="BJ94" s="5563" t="str">
        <f t="shared" si="30"/>
        <v>BJ</v>
      </c>
      <c r="BK94" s="6002" t="str">
        <f t="shared" si="30"/>
        <v>BK</v>
      </c>
      <c r="BL94" s="6628" t="s">
        <v>8776</v>
      </c>
      <c r="BM94" s="3">
        <v>1</v>
      </c>
    </row>
    <row r="95" spans="2:65" ht="21" customHeight="1">
      <c r="B95" s="25" t="s">
        <v>10</v>
      </c>
      <c r="C95" s="5601">
        <f t="shared" ref="C95:U95" ca="1" si="31">CELL("largeur",C95)</f>
        <v>3</v>
      </c>
      <c r="D95" s="5601">
        <f t="shared" ca="1" si="31"/>
        <v>3</v>
      </c>
      <c r="E95" s="5601">
        <f t="shared" ca="1" si="31"/>
        <v>3</v>
      </c>
      <c r="F95" s="5601">
        <f t="shared" ca="1" si="31"/>
        <v>5</v>
      </c>
      <c r="G95" s="5601">
        <f t="shared" ca="1" si="31"/>
        <v>12</v>
      </c>
      <c r="H95" s="5601">
        <f t="shared" ca="1" si="31"/>
        <v>12</v>
      </c>
      <c r="I95" s="5601">
        <f t="shared" ca="1" si="31"/>
        <v>3</v>
      </c>
      <c r="J95" s="5601">
        <f t="shared" ca="1" si="31"/>
        <v>9</v>
      </c>
      <c r="K95" s="5601">
        <f t="shared" ca="1" si="31"/>
        <v>12</v>
      </c>
      <c r="L95" s="5601">
        <f t="shared" ca="1" si="31"/>
        <v>13</v>
      </c>
      <c r="M95" s="5604">
        <f t="shared" ca="1" si="31"/>
        <v>6</v>
      </c>
      <c r="N95" s="5602">
        <f t="shared" ca="1" si="31"/>
        <v>40</v>
      </c>
      <c r="O95" s="5602">
        <f t="shared" ca="1" si="31"/>
        <v>10</v>
      </c>
      <c r="P95" s="5602">
        <f t="shared" ca="1" si="31"/>
        <v>9</v>
      </c>
      <c r="Q95" s="5602">
        <f t="shared" ca="1" si="31"/>
        <v>18</v>
      </c>
      <c r="R95" s="5604">
        <f t="shared" ca="1" si="31"/>
        <v>13</v>
      </c>
      <c r="S95" s="5602">
        <f t="shared" ca="1" si="31"/>
        <v>13</v>
      </c>
      <c r="T95" s="5602">
        <f t="shared" ca="1" si="31"/>
        <v>13</v>
      </c>
      <c r="U95" s="6001">
        <f t="shared" ca="1" si="31"/>
        <v>17</v>
      </c>
      <c r="V95" s="6628"/>
      <c r="W95" s="25" t="s">
        <v>10</v>
      </c>
      <c r="X95" s="5601">
        <f t="shared" ref="X95:AP95" ca="1" si="32">CELL("largeur",X95)</f>
        <v>3</v>
      </c>
      <c r="Y95" s="5601">
        <f t="shared" ca="1" si="32"/>
        <v>3</v>
      </c>
      <c r="Z95" s="5601">
        <f t="shared" ca="1" si="32"/>
        <v>3</v>
      </c>
      <c r="AA95" s="5601">
        <f t="shared" ca="1" si="32"/>
        <v>5</v>
      </c>
      <c r="AB95" s="5601">
        <f t="shared" ca="1" si="32"/>
        <v>12</v>
      </c>
      <c r="AC95" s="5601">
        <f t="shared" ca="1" si="32"/>
        <v>12</v>
      </c>
      <c r="AD95" s="5601">
        <f t="shared" ca="1" si="32"/>
        <v>3</v>
      </c>
      <c r="AE95" s="5601">
        <f t="shared" ca="1" si="32"/>
        <v>9</v>
      </c>
      <c r="AF95" s="5601">
        <f t="shared" ca="1" si="32"/>
        <v>12</v>
      </c>
      <c r="AG95" s="5601">
        <f t="shared" ca="1" si="32"/>
        <v>13</v>
      </c>
      <c r="AH95" s="5604">
        <f t="shared" ca="1" si="32"/>
        <v>6</v>
      </c>
      <c r="AI95" s="5602">
        <f t="shared" ca="1" si="32"/>
        <v>40</v>
      </c>
      <c r="AJ95" s="5602">
        <f t="shared" ca="1" si="32"/>
        <v>10</v>
      </c>
      <c r="AK95" s="5602">
        <f t="shared" ca="1" si="32"/>
        <v>9</v>
      </c>
      <c r="AL95" s="5602">
        <f t="shared" ca="1" si="32"/>
        <v>18</v>
      </c>
      <c r="AM95" s="5604">
        <f t="shared" ca="1" si="32"/>
        <v>13</v>
      </c>
      <c r="AN95" s="5602">
        <f t="shared" ca="1" si="32"/>
        <v>13</v>
      </c>
      <c r="AO95" s="5602">
        <f t="shared" ca="1" si="32"/>
        <v>13</v>
      </c>
      <c r="AP95" s="6001">
        <f t="shared" ca="1" si="32"/>
        <v>17</v>
      </c>
      <c r="AQ95" s="6628"/>
      <c r="AR95" s="25" t="s">
        <v>10</v>
      </c>
      <c r="AS95" s="5601">
        <f t="shared" ref="AS95:BK95" ca="1" si="33">CELL("largeur",AS95)</f>
        <v>3</v>
      </c>
      <c r="AT95" s="5601">
        <f t="shared" ca="1" si="33"/>
        <v>3</v>
      </c>
      <c r="AU95" s="5601">
        <f t="shared" ca="1" si="33"/>
        <v>3</v>
      </c>
      <c r="AV95" s="5601">
        <f t="shared" ca="1" si="33"/>
        <v>5</v>
      </c>
      <c r="AW95" s="5601">
        <f t="shared" ca="1" si="33"/>
        <v>12</v>
      </c>
      <c r="AX95" s="5601">
        <f t="shared" ca="1" si="33"/>
        <v>12</v>
      </c>
      <c r="AY95" s="5601">
        <f t="shared" ca="1" si="33"/>
        <v>3</v>
      </c>
      <c r="AZ95" s="5601">
        <f t="shared" ca="1" si="33"/>
        <v>9</v>
      </c>
      <c r="BA95" s="5601">
        <f t="shared" ca="1" si="33"/>
        <v>12</v>
      </c>
      <c r="BB95" s="5601">
        <f t="shared" ca="1" si="33"/>
        <v>13</v>
      </c>
      <c r="BC95" s="5604">
        <f t="shared" ca="1" si="33"/>
        <v>6</v>
      </c>
      <c r="BD95" s="5602">
        <f t="shared" ca="1" si="33"/>
        <v>40</v>
      </c>
      <c r="BE95" s="5602">
        <f t="shared" ca="1" si="33"/>
        <v>10</v>
      </c>
      <c r="BF95" s="5602">
        <f t="shared" ca="1" si="33"/>
        <v>9</v>
      </c>
      <c r="BG95" s="5602">
        <f t="shared" ca="1" si="33"/>
        <v>18</v>
      </c>
      <c r="BH95" s="5604">
        <f t="shared" ca="1" si="33"/>
        <v>13</v>
      </c>
      <c r="BI95" s="5602">
        <f t="shared" ca="1" si="33"/>
        <v>13</v>
      </c>
      <c r="BJ95" s="5602">
        <f t="shared" ca="1" si="33"/>
        <v>13</v>
      </c>
      <c r="BK95" s="6001">
        <f t="shared" ca="1" si="33"/>
        <v>17</v>
      </c>
      <c r="BL95" s="6628"/>
      <c r="BM95" s="3">
        <v>1</v>
      </c>
    </row>
    <row r="96" spans="2:65" ht="21" customHeight="1">
      <c r="B96" s="162" t="s">
        <v>10</v>
      </c>
      <c r="C96" s="1370" t="str">
        <f>C75</f>
        <v>N NOM DE VOTRE RECETTE | collez la--FAMILLE| Auteur &gt; VOUS</v>
      </c>
      <c r="D96" s="1348">
        <f>D75</f>
        <v>1</v>
      </c>
      <c r="E96" s="1349" t="str">
        <f>E75</f>
        <v>coupe</v>
      </c>
      <c r="F96" s="1350" t="str">
        <f>F75</f>
        <v>Recette mère ► MILLE-FEUILLE  aux fraises des bois</v>
      </c>
      <c r="G96" s="6039" t="str">
        <f ca="1">"Phases de progression largeur &gt; "&amp;SUM(M95:U95)</f>
        <v>Phases de progression largeur &gt; 139</v>
      </c>
      <c r="H96" s="6038"/>
      <c r="I96" s="1986"/>
      <c r="J96" s="1986"/>
      <c r="K96" s="1986"/>
      <c r="L96" s="1987" t="s">
        <v>8145</v>
      </c>
      <c r="M96" s="1988" t="s">
        <v>821</v>
      </c>
      <c r="N96" s="1941"/>
      <c r="O96" s="5999" t="str">
        <f ca="1">"largeur mini  = "&amp;SUM(M95:R95)</f>
        <v>largeur mini  = 96</v>
      </c>
      <c r="P96" s="6000" t="str">
        <f ca="1">"largeur maxi  = "&amp;SUM(M95:U95)</f>
        <v>largeur maxi  = 139</v>
      </c>
      <c r="Q96" s="1942"/>
      <c r="R96" s="1942"/>
      <c r="S96" s="1989"/>
      <c r="T96" s="1989"/>
      <c r="U96" s="1990" t="s">
        <v>218</v>
      </c>
      <c r="W96" s="162" t="s">
        <v>10</v>
      </c>
      <c r="X96" s="1370" t="str">
        <f>X75</f>
        <v>N NAME OF YOUR RECIPE | paste it — FAMILY|  Author &gt; YOU</v>
      </c>
      <c r="Y96" s="1348">
        <f>Y75</f>
        <v>1</v>
      </c>
      <c r="Z96" s="1349" t="str">
        <f>Z75</f>
        <v>coupe</v>
      </c>
      <c r="AA96" s="1350" t="str">
        <f>AA75</f>
        <v>Master recipe ► MILLE-FEUILLE  aux fraises des bois</v>
      </c>
      <c r="AB96" s="6039" t="str">
        <f ca="1">"Phases of progression Width &gt; "&amp;SUM(AH95:AP95)</f>
        <v>Phases of progression Width &gt; 139</v>
      </c>
      <c r="AC96" s="6038"/>
      <c r="AD96" s="1986"/>
      <c r="AE96" s="1986"/>
      <c r="AF96" s="1986"/>
      <c r="AG96" s="1987" t="s">
        <v>8216</v>
      </c>
      <c r="AH96" s="1988" t="s">
        <v>860</v>
      </c>
      <c r="AI96" s="1941"/>
      <c r="AJ96" s="5999" t="str">
        <f ca="1">"minimum width  = "&amp;SUM(AH95:AM95)</f>
        <v>minimum width  = 96</v>
      </c>
      <c r="AK96" s="6000" t="str">
        <f ca="1">"maximum width  = "&amp;SUM(AH95:AP95)</f>
        <v>maximum width  = 139</v>
      </c>
      <c r="AL96" s="1942"/>
      <c r="AM96" s="1942"/>
      <c r="AN96" s="1989"/>
      <c r="AO96" s="1989"/>
      <c r="AP96" s="1990" t="s">
        <v>1399</v>
      </c>
      <c r="AR96" s="162" t="s">
        <v>10</v>
      </c>
      <c r="AS96" s="1370" t="str">
        <f>AS75</f>
        <v>N NOMBRE DE SU RECETA | pegue esto — FAMILIA| Auteur &gt; VOUS</v>
      </c>
      <c r="AT96" s="1348">
        <f>AT75</f>
        <v>1</v>
      </c>
      <c r="AU96" s="1349" t="str">
        <f>AU75</f>
        <v>coupe</v>
      </c>
      <c r="AV96" s="1350" t="str">
        <f>AV75</f>
        <v>Receta madre ► MILLE-FEUILLE  aux fraises des bois</v>
      </c>
      <c r="AW96" s="5991" t="s">
        <v>14245</v>
      </c>
      <c r="AX96" s="5992">
        <f ca="1">SUM(BC95:BJ95)</f>
        <v>122</v>
      </c>
      <c r="AY96" s="1986"/>
      <c r="AZ96" s="1986"/>
      <c r="BA96" s="1986"/>
      <c r="BB96" s="1987" t="s">
        <v>8217</v>
      </c>
      <c r="BC96" s="5605" t="s">
        <v>874</v>
      </c>
      <c r="BD96" s="1941"/>
      <c r="BE96" s="5999" t="str">
        <f ca="1">"anchura mínima  = "&amp;SUM(BC95:BH95)</f>
        <v>anchura mínima  = 96</v>
      </c>
      <c r="BF96" s="6000" t="str">
        <f ca="1">"anchura máxima  = "&amp;SUM(BC95:BK95)</f>
        <v>anchura máxima  = 139</v>
      </c>
      <c r="BG96" s="1942"/>
      <c r="BH96" s="1942"/>
      <c r="BI96" s="1989"/>
      <c r="BJ96" s="1989"/>
      <c r="BK96" s="1990" t="s">
        <v>726</v>
      </c>
      <c r="BM96" s="3">
        <v>1</v>
      </c>
    </row>
    <row r="97" spans="2:65" ht="21" customHeight="1">
      <c r="B97" s="162" t="s">
        <v>10</v>
      </c>
      <c r="C97" s="163" t="str">
        <f>C75</f>
        <v>N NOM DE VOTRE RECETTE | collez la--FAMILLE| Auteur &gt; VOUS</v>
      </c>
      <c r="D97" s="163">
        <f>D75</f>
        <v>1</v>
      </c>
      <c r="E97" s="164" t="str">
        <f>E75</f>
        <v>coupe</v>
      </c>
      <c r="F97" s="165" t="str">
        <f>F75</f>
        <v>Recette mère ► MILLE-FEUILLE  aux fraises des bois</v>
      </c>
      <c r="G97" s="508"/>
      <c r="H97" s="508"/>
      <c r="I97" s="2063"/>
      <c r="J97" s="2064" t="s">
        <v>8860</v>
      </c>
      <c r="K97" s="2065">
        <f ca="1">SUM(M95:U95)</f>
        <v>139</v>
      </c>
      <c r="L97" s="1374">
        <v>0</v>
      </c>
      <c r="M97" s="1375" t="s">
        <v>8146</v>
      </c>
      <c r="N97" s="1810"/>
      <c r="O97" s="1810"/>
      <c r="P97" s="1810"/>
      <c r="Q97" s="1810"/>
      <c r="R97" s="1810"/>
      <c r="S97" s="9"/>
      <c r="T97" s="5993" t="s">
        <v>164</v>
      </c>
      <c r="U97" s="1330" t="s">
        <v>165</v>
      </c>
      <c r="W97" s="162" t="s">
        <v>10</v>
      </c>
      <c r="X97" s="163" t="str">
        <f>X75</f>
        <v>N NAME OF YOUR RECIPE | paste it — FAMILY|  Author &gt; YOU</v>
      </c>
      <c r="Y97" s="163">
        <f>Y75</f>
        <v>1</v>
      </c>
      <c r="Z97" s="164" t="str">
        <f>Z75</f>
        <v>coupe</v>
      </c>
      <c r="AA97" s="165" t="str">
        <f>AA75</f>
        <v>Master recipe ► MILLE-FEUILLE  aux fraises des bois</v>
      </c>
      <c r="AB97" s="508"/>
      <c r="AC97" s="508"/>
      <c r="AD97" s="2063"/>
      <c r="AE97" s="2064" t="s">
        <v>8862</v>
      </c>
      <c r="AF97" s="2065">
        <f ca="1">SUM(AH95:AP95)</f>
        <v>139</v>
      </c>
      <c r="AG97" s="1374">
        <v>0</v>
      </c>
      <c r="AH97" s="1375" t="s">
        <v>8194</v>
      </c>
      <c r="AI97" s="1810"/>
      <c r="AJ97" s="1810"/>
      <c r="AK97" s="1810"/>
      <c r="AL97" s="1810"/>
      <c r="AM97" s="1810"/>
      <c r="AN97" s="9"/>
      <c r="AO97" s="5993" t="s">
        <v>859</v>
      </c>
      <c r="AP97" s="1330" t="s">
        <v>165</v>
      </c>
      <c r="AR97" s="162" t="s">
        <v>10</v>
      </c>
      <c r="AS97" s="163" t="str">
        <f>AS75</f>
        <v>N NOMBRE DE SU RECETA | pegue esto — FAMILIA| Auteur &gt; VOUS</v>
      </c>
      <c r="AT97" s="163">
        <f>AT75</f>
        <v>1</v>
      </c>
      <c r="AU97" s="164" t="str">
        <f>AU75</f>
        <v>coupe</v>
      </c>
      <c r="AV97" s="165" t="str">
        <f>AV75</f>
        <v>Receta madre ► MILLE-FEUILLE  aux fraises des bois</v>
      </c>
      <c r="AW97" s="508"/>
      <c r="AX97" s="508"/>
      <c r="AY97" s="2063"/>
      <c r="AZ97" s="2127" t="s">
        <v>8861</v>
      </c>
      <c r="BA97" s="2065">
        <f ca="1">SUM(BC95:BK95)</f>
        <v>139</v>
      </c>
      <c r="BB97" s="1374">
        <v>0</v>
      </c>
      <c r="BC97" s="1375" t="s">
        <v>8193</v>
      </c>
      <c r="BD97" s="1810"/>
      <c r="BE97" s="1329"/>
      <c r="BF97" s="1810"/>
      <c r="BG97" s="9"/>
      <c r="BH97" s="9"/>
      <c r="BI97" s="9"/>
      <c r="BJ97" s="5993" t="s">
        <v>873</v>
      </c>
      <c r="BK97" s="1330" t="s">
        <v>165</v>
      </c>
      <c r="BM97" s="3">
        <v>1</v>
      </c>
    </row>
    <row r="98" spans="2:65" ht="21" customHeight="1">
      <c r="B98" s="162" t="s">
        <v>10</v>
      </c>
      <c r="C98" s="163" t="str">
        <f>C75</f>
        <v>N NOM DE VOTRE RECETTE | collez la--FAMILLE| Auteur &gt; VOUS</v>
      </c>
      <c r="D98" s="163">
        <f>D75</f>
        <v>1</v>
      </c>
      <c r="E98" s="164" t="str">
        <f>E75</f>
        <v>coupe</v>
      </c>
      <c r="F98" s="165" t="str">
        <f>F75</f>
        <v>Recette mère ► MILLE-FEUILLE  aux fraises des bois</v>
      </c>
      <c r="G98" s="1548"/>
      <c r="H98" s="2189" t="s">
        <v>8771</v>
      </c>
      <c r="I98" s="2190">
        <f>ROWS(M98:M98)</f>
        <v>1</v>
      </c>
      <c r="J98" s="5549" t="str" cm="1">
        <f t="array" ref="J98">IF(SUMPRODUCT((M98:R98&lt;&gt;"")*1)=0,"",SUMPRODUCT((M98:R98&lt;&gt;"")*(LEN(TRIM(SUBSTITUTE(M98:R98,CHAR(160)," "))) - LEN(SUBSTITUTE(TRIM(SUBSTITUTE(M98:R98,CHAR(160)," "))," ","")) + 1)) &amp; " mot" &amp; IF(SUMPRODUCT((M98:R98&lt;&gt;"")*(LEN(TRIM(SUBSTITUTE(M98:R98,CHAR(160)," "))) - LEN(SUBSTITUTE(TRIM(SUBSTITUTE(M98:R98,CHAR(160)," "))," ","")) + 1))&gt;1,"s",""))</f>
        <v>7 mots</v>
      </c>
      <c r="K98" s="5550" t="str" cm="1">
        <f t="array" ref="K98">SUMPRODUCT(--(M98:R98&lt;&gt;""), LEN(TRIM(SUBSTITUTE(M98:R98, CHAR(160), "")))) &amp; " Car."</f>
        <v>30 Car.</v>
      </c>
      <c r="L98" s="1376" t="str">
        <f>IF(ISBLANK(M98),"",LARGE(L97:L97,1)+1)</f>
        <v/>
      </c>
      <c r="M98" s="1810"/>
      <c r="N98" s="1810" t="s">
        <v>8410</v>
      </c>
      <c r="O98" s="1810"/>
      <c r="P98" s="1810"/>
      <c r="Q98" s="1810"/>
      <c r="R98" s="1810"/>
      <c r="S98" s="9"/>
      <c r="T98" s="5993" t="s">
        <v>167</v>
      </c>
      <c r="U98" s="1330" t="s">
        <v>165</v>
      </c>
      <c r="W98" s="162" t="s">
        <v>10</v>
      </c>
      <c r="X98" s="163" t="str">
        <f>X75</f>
        <v>N NAME OF YOUR RECIPE | paste it — FAMILY|  Author &gt; YOU</v>
      </c>
      <c r="Y98" s="163">
        <f>Y75</f>
        <v>1</v>
      </c>
      <c r="Z98" s="164" t="str">
        <f>Z75</f>
        <v>coupe</v>
      </c>
      <c r="AA98" s="165" t="str">
        <f>AA75</f>
        <v>Master recipe ► MILLE-FEUILLE  aux fraises des bois</v>
      </c>
      <c r="AB98" s="1548"/>
      <c r="AC98" s="2189" t="s">
        <v>8772</v>
      </c>
      <c r="AD98" s="2190">
        <f>ROWS(AH98:AH98)</f>
        <v>1</v>
      </c>
      <c r="AE98" s="5549" t="str" cm="1">
        <f t="array" ref="AE98">IF(SUMPRODUCT((AH98:AM98&lt;&gt;"")*1)=0,"",SUMPRODUCT((AH98:AM98&lt;&gt;"")*(LEN(TRIM(SUBSTITUTE(AH98:AM98,CHAR(160)," "))) - LEN(SUBSTITUTE(TRIM(SUBSTITUTE(AH98:AM98,CHAR(160)," "))," ","")) + 1)) &amp; " word" &amp; IF(SUMPRODUCT((AH98:AM98&lt;&gt;"")*(LEN(TRIM(SUBSTITUTE(AH98:AM98,CHAR(160)," "))) - LEN(SUBSTITUTE(TRIM(SUBSTITUTE(AH98:AM98,CHAR(160)," "))," ","")) + 1))&gt;1,"s",""))</f>
        <v>8 words</v>
      </c>
      <c r="AF98" s="5550" t="str" cm="1">
        <f t="array" ref="AF98">SUMPRODUCT(--(AH98:AM98&lt;&gt;""), LEN(TRIM(SUBSTITUTE(AH98:AM98, CHAR(160), "")))) &amp; " Car."</f>
        <v>38 Car.</v>
      </c>
      <c r="AG98" s="1376" t="str">
        <f>IF(ISBLANK(AH98),"",LARGE(AG97:AG97,1)+1)</f>
        <v/>
      </c>
      <c r="AH98" s="1810"/>
      <c r="AI98" s="1810" t="s">
        <v>8580</v>
      </c>
      <c r="AJ98" s="1810"/>
      <c r="AK98" s="1810"/>
      <c r="AL98" s="1810"/>
      <c r="AM98" s="1810"/>
      <c r="AN98" s="9"/>
      <c r="AO98" s="5993" t="s">
        <v>861</v>
      </c>
      <c r="AP98" s="1330" t="s">
        <v>165</v>
      </c>
      <c r="AR98" s="162" t="s">
        <v>10</v>
      </c>
      <c r="AS98" s="163" t="str">
        <f>AS75</f>
        <v>N NOMBRE DE SU RECETA | pegue esto — FAMILIA| Auteur &gt; VOUS</v>
      </c>
      <c r="AT98" s="163">
        <f>AT75</f>
        <v>1</v>
      </c>
      <c r="AU98" s="164" t="str">
        <f>AU75</f>
        <v>coupe</v>
      </c>
      <c r="AV98" s="165" t="str">
        <f>AV75</f>
        <v>Receta madre ► MILLE-FEUILLE  aux fraises des bois</v>
      </c>
      <c r="AW98" s="1548"/>
      <c r="AX98" s="2189" t="s">
        <v>8773</v>
      </c>
      <c r="AY98" s="2190">
        <f>ROWS(BC98:BC98)</f>
        <v>1</v>
      </c>
      <c r="AZ98" s="5549" t="str" cm="1">
        <f t="array" ref="AZ98">IF(SUMPRODUCT((BC98:BH98&lt;&gt;"")*1)=0,"",SUMPRODUCT((BC98:BH98&lt;&gt;"")*(LEN(TRIM(SUBSTITUTE(BC98:BH98,CHAR(160)," "))) - LEN(SUBSTITUTE(TRIM(SUBSTITUTE(BC98:BH98,CHAR(160)," "))," ","")) + 1)) &amp; " palabra" &amp; IF(SUMPRODUCT((BC98:BH98&lt;&gt;"")*(LEN(TRIM(SUBSTITUTE(BC98:BH98,CHAR(160)," "))) - LEN(SUBSTITUTE(TRIM(SUBSTITUTE(BC98:BH98,CHAR(160)," "))," ","")) + 1))&gt;1,"s",""))</f>
        <v>7 palabras</v>
      </c>
      <c r="BA98" s="5550" t="str" cm="1">
        <f t="array" ref="BA98">SUMPRODUCT(--(BC98:BH98&lt;&gt;""), LEN(TRIM(SUBSTITUTE(BC98:BH98, CHAR(160), "")))) &amp; " Car."</f>
        <v>33 Car.</v>
      </c>
      <c r="BB98" s="1376" t="str">
        <f>IF(ISBLANK(BC98),"",LARGE(BB97:BB97,1)+1)</f>
        <v/>
      </c>
      <c r="BC98" s="1810"/>
      <c r="BD98" s="1810" t="s">
        <v>8585</v>
      </c>
      <c r="BE98" s="1810"/>
      <c r="BF98" s="1810"/>
      <c r="BG98" s="1810"/>
      <c r="BH98" s="1810"/>
      <c r="BI98" s="9"/>
      <c r="BJ98" s="5993" t="s">
        <v>875</v>
      </c>
      <c r="BK98" s="1330" t="s">
        <v>165</v>
      </c>
      <c r="BM98" s="3">
        <v>1</v>
      </c>
    </row>
    <row r="99" spans="2:65" ht="21" customHeight="1">
      <c r="B99" s="162" t="s">
        <v>10</v>
      </c>
      <c r="C99" s="163" t="str">
        <f>C75</f>
        <v>N NOM DE VOTRE RECETTE | collez la--FAMILLE| Auteur &gt; VOUS</v>
      </c>
      <c r="D99" s="163">
        <f>D75</f>
        <v>1</v>
      </c>
      <c r="E99" s="164" t="str">
        <f>E75</f>
        <v>coupe</v>
      </c>
      <c r="F99" s="165" t="str">
        <f>F75</f>
        <v>Recette mère ► MILLE-FEUILLE  aux fraises des bois</v>
      </c>
      <c r="G99" s="1548"/>
      <c r="H99" s="1548"/>
      <c r="I99" s="2190">
        <f>ROWS(M98:M99)</f>
        <v>2</v>
      </c>
      <c r="J99" s="5549" t="str" cm="1">
        <f t="array" ref="J99">IF(SUMPRODUCT((M99:R99&lt;&gt;"")*1)=0,"",SUMPRODUCT((M99:R99&lt;&gt;"")*(LEN(TRIM(SUBSTITUTE(M99:R99,CHAR(160)," "))) - LEN(SUBSTITUTE(TRIM(SUBSTITUTE(M99:R99,CHAR(160)," "))," ","")) + 1)) &amp; " mot" &amp; IF(SUMPRODUCT((M99:R99&lt;&gt;"")*(LEN(TRIM(SUBSTITUTE(M99:R99,CHAR(160)," "))) - LEN(SUBSTITUTE(TRIM(SUBSTITUTE(M99:R99,CHAR(160)," "))," ","")) + 1))&gt;1,"s",""))</f>
        <v>6 mots</v>
      </c>
      <c r="K99" s="5550" t="str" cm="1">
        <f t="array" ref="K99">SUMPRODUCT(--(M99:R99&lt;&gt;""), LEN(TRIM(SUBSTITUTE(M99:R99, CHAR(160), "")))) &amp; " Car."</f>
        <v>33 Car.</v>
      </c>
      <c r="L99" s="1376" t="str">
        <f>IF(ISBLANK(M99),"",LARGE(L97:L98,1)+1)</f>
        <v/>
      </c>
      <c r="M99" s="1810"/>
      <c r="N99" s="1810" t="s">
        <v>8408</v>
      </c>
      <c r="O99" s="1810"/>
      <c r="P99" s="1810"/>
      <c r="Q99" s="1810"/>
      <c r="R99" s="1810"/>
      <c r="S99" s="1810"/>
      <c r="T99" s="5994" t="s">
        <v>171</v>
      </c>
      <c r="U99" s="5564">
        <v>3.472222222222222E-3</v>
      </c>
      <c r="W99" s="162" t="s">
        <v>10</v>
      </c>
      <c r="X99" s="163" t="str">
        <f>X75</f>
        <v>N NAME OF YOUR RECIPE | paste it — FAMILY|  Author &gt; YOU</v>
      </c>
      <c r="Y99" s="163">
        <f>Y75</f>
        <v>1</v>
      </c>
      <c r="Z99" s="164" t="str">
        <f>Z75</f>
        <v>coupe</v>
      </c>
      <c r="AA99" s="165" t="str">
        <f>AA75</f>
        <v>Master recipe ► MILLE-FEUILLE  aux fraises des bois</v>
      </c>
      <c r="AB99" s="1548"/>
      <c r="AC99" s="1548"/>
      <c r="AD99" s="2190">
        <f>ROWS(AH98:AH99)</f>
        <v>2</v>
      </c>
      <c r="AE99" s="5549" t="str" cm="1">
        <f t="array" ref="AE99">IF(SUMPRODUCT((AH99:AM99&lt;&gt;"")*1)=0,"",SUMPRODUCT((AH99:AM99&lt;&gt;"")*(LEN(TRIM(SUBSTITUTE(AH99:AM99,CHAR(160)," "))) - LEN(SUBSTITUTE(TRIM(SUBSTITUTE(AH99:AM99,CHAR(160)," "))," ","")) + 1)) &amp; " word" &amp; IF(SUMPRODUCT((AH99:AM99&lt;&gt;"")*(LEN(TRIM(SUBSTITUTE(AH99:AM99,CHAR(160)," "))) - LEN(SUBSTITUTE(TRIM(SUBSTITUTE(AH99:AM99,CHAR(160)," "))," ","")) + 1))&gt;1,"s",""))</f>
        <v>6 words</v>
      </c>
      <c r="AF99" s="5550" t="str" cm="1">
        <f t="array" ref="AF99">SUMPRODUCT(--(AH99:AM99&lt;&gt;""), LEN(TRIM(SUBSTITUTE(AH99:AM99, CHAR(160), "")))) &amp; " Car."</f>
        <v>28 Car.</v>
      </c>
      <c r="AG99" s="1376" t="str">
        <f>IF(ISBLANK(AH99),"",LARGE(AG97:AG98,1)+1)</f>
        <v/>
      </c>
      <c r="AH99" s="1810"/>
      <c r="AI99" s="1810" t="s">
        <v>8581</v>
      </c>
      <c r="AJ99" s="1810"/>
      <c r="AK99" s="1810"/>
      <c r="AL99" s="1810"/>
      <c r="AM99" s="1810"/>
      <c r="AN99" s="1810"/>
      <c r="AO99" s="5994" t="s">
        <v>14172</v>
      </c>
      <c r="AP99" s="5564">
        <v>3.472222222222222E-3</v>
      </c>
      <c r="AR99" s="162" t="s">
        <v>10</v>
      </c>
      <c r="AS99" s="163" t="str">
        <f>AS75</f>
        <v>N NOMBRE DE SU RECETA | pegue esto — FAMILIA| Auteur &gt; VOUS</v>
      </c>
      <c r="AT99" s="163">
        <f>AT75</f>
        <v>1</v>
      </c>
      <c r="AU99" s="164" t="str">
        <f>AU75</f>
        <v>coupe</v>
      </c>
      <c r="AV99" s="165" t="str">
        <f>AV75</f>
        <v>Receta madre ► MILLE-FEUILLE  aux fraises des bois</v>
      </c>
      <c r="AW99" s="1548"/>
      <c r="AX99" s="1548"/>
      <c r="AY99" s="2190">
        <f>ROWS(BC98:BC99)</f>
        <v>2</v>
      </c>
      <c r="AZ99" s="5549" t="str" cm="1">
        <f t="array" ref="AZ99">IF(SUMPRODUCT((BC99:BH99&lt;&gt;"")*1)=0,"",SUMPRODUCT((BC99:BH99&lt;&gt;"")*(LEN(TRIM(SUBSTITUTE(BC99:BH99,CHAR(160)," "))) - LEN(SUBSTITUTE(TRIM(SUBSTITUTE(BC99:BH99,CHAR(160)," "))," ","")) + 1)) &amp; " palabra" &amp; IF(SUMPRODUCT((BC99:BH99&lt;&gt;"")*(LEN(TRIM(SUBSTITUTE(BC99:BH99,CHAR(160)," "))) - LEN(SUBSTITUTE(TRIM(SUBSTITUTE(BC99:BH99,CHAR(160)," "))," ","")) + 1))&gt;1,"s",""))</f>
        <v>6 palabras</v>
      </c>
      <c r="BA99" s="5550" t="str" cm="1">
        <f t="array" ref="BA99">SUMPRODUCT(--(BC99:BH99&lt;&gt;""), LEN(TRIM(SUBSTITUTE(BC99:BH99, CHAR(160), "")))) &amp; " Car."</f>
        <v>32 Car.</v>
      </c>
      <c r="BB99" s="1376" t="str">
        <f>IF(ISBLANK(BC99),"",LARGE(BB97:BB98,1)+1)</f>
        <v/>
      </c>
      <c r="BC99" s="1810"/>
      <c r="BD99" s="1810" t="s">
        <v>8586</v>
      </c>
      <c r="BE99" s="1810"/>
      <c r="BF99" s="1810"/>
      <c r="BG99" s="1810"/>
      <c r="BH99" s="1810"/>
      <c r="BI99" s="1810"/>
      <c r="BJ99" s="5994" t="s">
        <v>651</v>
      </c>
      <c r="BK99" s="5564">
        <v>3.472222222222222E-3</v>
      </c>
      <c r="BM99" s="3">
        <v>1</v>
      </c>
    </row>
    <row r="100" spans="2:65" ht="21" customHeight="1">
      <c r="B100" s="162" t="s">
        <v>10</v>
      </c>
      <c r="C100" s="163" t="str">
        <f>C75</f>
        <v>N NOM DE VOTRE RECETTE | collez la--FAMILLE| Auteur &gt; VOUS</v>
      </c>
      <c r="D100" s="163">
        <f>D75</f>
        <v>1</v>
      </c>
      <c r="E100" s="164" t="str">
        <f>E75</f>
        <v>coupe</v>
      </c>
      <c r="F100" s="165" t="str">
        <f>F75</f>
        <v>Recette mère ► MILLE-FEUILLE  aux fraises des bois</v>
      </c>
      <c r="G100" s="1548"/>
      <c r="H100" s="1548"/>
      <c r="I100" s="2190">
        <f>ROWS(M98:M100)</f>
        <v>3</v>
      </c>
      <c r="J100" s="5549" t="str" cm="1">
        <f t="array" ref="J100">IF(SUMPRODUCT((M100:R100&lt;&gt;"")*1)=0,"",SUMPRODUCT((M100:R100&lt;&gt;"")*(LEN(TRIM(SUBSTITUTE(M100:R100,CHAR(160)," "))) - LEN(SUBSTITUTE(TRIM(SUBSTITUTE(M100:R100,CHAR(160)," "))," ","")) + 1)) &amp; " mot" &amp; IF(SUMPRODUCT((M100:R100&lt;&gt;"")*(LEN(TRIM(SUBSTITUTE(M100:R100,CHAR(160)," "))) - LEN(SUBSTITUTE(TRIM(SUBSTITUTE(M100:R100,CHAR(160)," "))," ","")) + 1))&gt;1,"s",""))</f>
        <v>3 mots</v>
      </c>
      <c r="K100" s="5550" t="str" cm="1">
        <f t="array" ref="K100">SUMPRODUCT(--(M100:R100&lt;&gt;""), LEN(TRIM(SUBSTITUTE(M100:R100, CHAR(160), "")))) &amp; " Car."</f>
        <v>23 Car.</v>
      </c>
      <c r="L100" s="1376" t="str">
        <f>IF(ISBLANK(M100),"",LARGE(L97:L99,1)+1)</f>
        <v/>
      </c>
      <c r="M100" s="1810"/>
      <c r="N100" s="1810" t="s">
        <v>8409</v>
      </c>
      <c r="O100" s="1810"/>
      <c r="P100" s="1810"/>
      <c r="Q100" s="1810"/>
      <c r="R100" s="1810"/>
      <c r="S100" s="1810"/>
      <c r="T100" s="5994" t="s">
        <v>173</v>
      </c>
      <c r="U100" s="5565">
        <v>1.0416666666666666E-2</v>
      </c>
      <c r="W100" s="162" t="s">
        <v>10</v>
      </c>
      <c r="X100" s="163" t="str">
        <f>X75</f>
        <v>N NAME OF YOUR RECIPE | paste it — FAMILY|  Author &gt; YOU</v>
      </c>
      <c r="Y100" s="163">
        <f>Y75</f>
        <v>1</v>
      </c>
      <c r="Z100" s="164" t="str">
        <f>Z75</f>
        <v>coupe</v>
      </c>
      <c r="AA100" s="165" t="str">
        <f>AA75</f>
        <v>Master recipe ► MILLE-FEUILLE  aux fraises des bois</v>
      </c>
      <c r="AB100" s="1548"/>
      <c r="AC100" s="1548"/>
      <c r="AD100" s="2190">
        <f>ROWS(AH98:AH100)</f>
        <v>3</v>
      </c>
      <c r="AE100" s="5549" t="str" cm="1">
        <f t="array" ref="AE100">IF(SUMPRODUCT((AH100:AM100&lt;&gt;"")*1)=0,"",SUMPRODUCT((AH100:AM100&lt;&gt;"")*(LEN(TRIM(SUBSTITUTE(AH100:AM100,CHAR(160)," "))) - LEN(SUBSTITUTE(TRIM(SUBSTITUTE(AH100:AM100,CHAR(160)," "))," ","")) + 1)) &amp; " word" &amp; IF(SUMPRODUCT((AH100:AM100&lt;&gt;"")*(LEN(TRIM(SUBSTITUTE(AH100:AM100,CHAR(160)," "))) - LEN(SUBSTITUTE(TRIM(SUBSTITUTE(AH100:AM100,CHAR(160)," "))," ","")) + 1))&gt;1,"s",""))</f>
        <v>7 words</v>
      </c>
      <c r="AF100" s="5550" t="str" cm="1">
        <f t="array" ref="AF100">SUMPRODUCT(--(AH100:AM100&lt;&gt;""), LEN(TRIM(SUBSTITUTE(AH100:AM100, CHAR(160), "")))) &amp; " Car."</f>
        <v>22 Car.</v>
      </c>
      <c r="AG100" s="1376" t="str">
        <f>IF(ISBLANK(AH100),"",LARGE(AG97:AG99,1)+1)</f>
        <v/>
      </c>
      <c r="AH100" s="1810"/>
      <c r="AI100" s="1810" t="s">
        <v>8582</v>
      </c>
      <c r="AJ100" s="1810"/>
      <c r="AK100" s="1810"/>
      <c r="AL100" s="1810"/>
      <c r="AM100" s="1810"/>
      <c r="AN100" s="1810"/>
      <c r="AO100" s="5994" t="s">
        <v>655</v>
      </c>
      <c r="AP100" s="5565">
        <v>1.0416666666666666E-2</v>
      </c>
      <c r="AR100" s="162" t="s">
        <v>10</v>
      </c>
      <c r="AS100" s="163" t="str">
        <f>AS75</f>
        <v>N NOMBRE DE SU RECETA | pegue esto — FAMILIA| Auteur &gt; VOUS</v>
      </c>
      <c r="AT100" s="163">
        <f>AT75</f>
        <v>1</v>
      </c>
      <c r="AU100" s="164" t="str">
        <f>AU75</f>
        <v>coupe</v>
      </c>
      <c r="AV100" s="165" t="str">
        <f>AV75</f>
        <v>Receta madre ► MILLE-FEUILLE  aux fraises des bois</v>
      </c>
      <c r="AW100" s="1548"/>
      <c r="AX100" s="1548"/>
      <c r="AY100" s="2190">
        <f>ROWS(BC98:BC100)</f>
        <v>3</v>
      </c>
      <c r="AZ100" s="5549" t="str" cm="1">
        <f t="array" ref="AZ100">IF(SUMPRODUCT((BC100:BH100&lt;&gt;"")*1)=0,"",SUMPRODUCT((BC100:BH100&lt;&gt;"")*(LEN(TRIM(SUBSTITUTE(BC100:BH100,CHAR(160)," "))) - LEN(SUBSTITUTE(TRIM(SUBSTITUTE(BC100:BH100,CHAR(160)," "))," ","")) + 1)) &amp; " palabra" &amp; IF(SUMPRODUCT((BC100:BH100&lt;&gt;"")*(LEN(TRIM(SUBSTITUTE(BC100:BH100,CHAR(160)," "))) - LEN(SUBSTITUTE(TRIM(SUBSTITUTE(BC100:BH100,CHAR(160)," "))," ","")) + 1))&gt;1,"s",""))</f>
        <v>7 palabras</v>
      </c>
      <c r="BA100" s="5550" t="str" cm="1">
        <f t="array" ref="BA100">SUMPRODUCT(--(BC100:BH100&lt;&gt;""), LEN(TRIM(SUBSTITUTE(BC100:BH100, CHAR(160), "")))) &amp; " Car."</f>
        <v>25 Car.</v>
      </c>
      <c r="BB100" s="1376" t="str">
        <f>IF(ISBLANK(BC100),"",LARGE(BB97:BB99,1)+1)</f>
        <v/>
      </c>
      <c r="BC100" s="1810"/>
      <c r="BD100" s="1810" t="s">
        <v>8587</v>
      </c>
      <c r="BE100" s="1810"/>
      <c r="BF100" s="1810"/>
      <c r="BG100" s="1810"/>
      <c r="BH100" s="1810"/>
      <c r="BI100" s="1810"/>
      <c r="BJ100" s="5994" t="s">
        <v>656</v>
      </c>
      <c r="BK100" s="5565">
        <v>1.0416666666666666E-2</v>
      </c>
      <c r="BM100" s="3">
        <v>1</v>
      </c>
    </row>
    <row r="101" spans="2:65" ht="21" customHeight="1">
      <c r="B101" s="162" t="s">
        <v>10</v>
      </c>
      <c r="C101" s="163" t="str">
        <f>C75</f>
        <v>N NOM DE VOTRE RECETTE | collez la--FAMILLE| Auteur &gt; VOUS</v>
      </c>
      <c r="D101" s="163">
        <f>D75</f>
        <v>1</v>
      </c>
      <c r="E101" s="164" t="str">
        <f>E75</f>
        <v>coupe</v>
      </c>
      <c r="F101" s="165" t="str">
        <f>F75</f>
        <v>Recette mère ► MILLE-FEUILLE  aux fraises des bois</v>
      </c>
      <c r="G101" s="1548"/>
      <c r="H101" s="1548"/>
      <c r="I101" s="2190">
        <f>ROWS(M98:M101)</f>
        <v>4</v>
      </c>
      <c r="J101" s="5549" t="str" cm="1">
        <f t="array" ref="J101">IF(SUMPRODUCT((M101:R101&lt;&gt;"")*1)=0,"",SUMPRODUCT((M101:R101&lt;&gt;"")*(LEN(TRIM(SUBSTITUTE(M101:R101,CHAR(160)," "))) - LEN(SUBSTITUTE(TRIM(SUBSTITUTE(M101:R101,CHAR(160)," "))," ","")) + 1)) &amp; " mot" &amp; IF(SUMPRODUCT((M101:R101&lt;&gt;"")*(LEN(TRIM(SUBSTITUTE(M101:R101,CHAR(160)," "))) - LEN(SUBSTITUTE(TRIM(SUBSTITUTE(M101:R101,CHAR(160)," "))," ","")) + 1))&gt;1,"s",""))</f>
        <v/>
      </c>
      <c r="K101" s="5550" t="str" cm="1">
        <f t="array" ref="K101">SUMPRODUCT(--(M101:R101&lt;&gt;""), LEN(TRIM(SUBSTITUTE(M101:R101, CHAR(160), "")))) &amp; " Car."</f>
        <v>0 Car.</v>
      </c>
      <c r="L101" s="1376" t="str">
        <f>IF(ISBLANK(M101),"",LARGE(L97:L100,1)+1)</f>
        <v/>
      </c>
      <c r="M101" s="1810"/>
      <c r="N101" s="1833"/>
      <c r="O101" s="1810"/>
      <c r="P101" s="1810"/>
      <c r="Q101" s="1810"/>
      <c r="R101" s="1810"/>
      <c r="S101" s="1810"/>
      <c r="T101" s="5994" t="s">
        <v>181</v>
      </c>
      <c r="U101" s="178">
        <v>2.0833333333333332E-2</v>
      </c>
      <c r="W101" s="162" t="s">
        <v>10</v>
      </c>
      <c r="X101" s="163" t="str">
        <f>X75</f>
        <v>N NAME OF YOUR RECIPE | paste it — FAMILY|  Author &gt; YOU</v>
      </c>
      <c r="Y101" s="163">
        <f>Y75</f>
        <v>1</v>
      </c>
      <c r="Z101" s="164" t="str">
        <f>Z75</f>
        <v>coupe</v>
      </c>
      <c r="AA101" s="165" t="str">
        <f>AA75</f>
        <v>Master recipe ► MILLE-FEUILLE  aux fraises des bois</v>
      </c>
      <c r="AB101" s="1548"/>
      <c r="AC101" s="1548"/>
      <c r="AD101" s="2190">
        <f>ROWS(AH98:AH101)</f>
        <v>4</v>
      </c>
      <c r="AE101" s="5549" t="str" cm="1">
        <f t="array" ref="AE101">IF(SUMPRODUCT((AH101:AM101&lt;&gt;"")*1)=0,"",SUMPRODUCT((AH101:AM101&lt;&gt;"")*(LEN(TRIM(SUBSTITUTE(AH101:AM101,CHAR(160)," "))) - LEN(SUBSTITUTE(TRIM(SUBSTITUTE(AH101:AM101,CHAR(160)," "))," ","")) + 1)) &amp; " word" &amp; IF(SUMPRODUCT((AH101:AM101&lt;&gt;"")*(LEN(TRIM(SUBSTITUTE(AH101:AM101,CHAR(160)," "))) - LEN(SUBSTITUTE(TRIM(SUBSTITUTE(AH101:AM101,CHAR(160)," "))," ","")) + 1))&gt;1,"s",""))</f>
        <v/>
      </c>
      <c r="AF101" s="5550" t="str" cm="1">
        <f t="array" ref="AF101">SUMPRODUCT(--(AH101:AM101&lt;&gt;""), LEN(TRIM(SUBSTITUTE(AH101:AM101, CHAR(160), "")))) &amp; " Car."</f>
        <v>0 Car.</v>
      </c>
      <c r="AG101" s="1376" t="str">
        <f>IF(ISBLANK(AH101),"",LARGE(AG97:AG100,1)+1)</f>
        <v/>
      </c>
      <c r="AH101" s="1810"/>
      <c r="AI101" s="1833"/>
      <c r="AJ101" s="1810"/>
      <c r="AK101" s="1810"/>
      <c r="AL101" s="1810"/>
      <c r="AM101" s="1810"/>
      <c r="AN101" s="1810"/>
      <c r="AO101" s="5994" t="s">
        <v>657</v>
      </c>
      <c r="AP101" s="178">
        <v>2.0833333333333332E-2</v>
      </c>
      <c r="AR101" s="162" t="s">
        <v>10</v>
      </c>
      <c r="AS101" s="163" t="str">
        <f>AS75</f>
        <v>N NOMBRE DE SU RECETA | pegue esto — FAMILIA| Auteur &gt; VOUS</v>
      </c>
      <c r="AT101" s="163">
        <f>AT75</f>
        <v>1</v>
      </c>
      <c r="AU101" s="164" t="str">
        <f>AU75</f>
        <v>coupe</v>
      </c>
      <c r="AV101" s="165" t="str">
        <f>AV75</f>
        <v>Receta madre ► MILLE-FEUILLE  aux fraises des bois</v>
      </c>
      <c r="AW101" s="1548"/>
      <c r="AX101" s="1548"/>
      <c r="AY101" s="2190">
        <f>ROWS(BC98:BC101)</f>
        <v>4</v>
      </c>
      <c r="AZ101" s="5549" t="str" cm="1">
        <f t="array" ref="AZ101">IF(SUMPRODUCT((BC101:BH101&lt;&gt;"")*1)=0,"",SUMPRODUCT((BC101:BH101&lt;&gt;"")*(LEN(TRIM(SUBSTITUTE(BC101:BH101,CHAR(160)," "))) - LEN(SUBSTITUTE(TRIM(SUBSTITUTE(BC101:BH101,CHAR(160)," "))," ","")) + 1)) &amp; " palabra" &amp; IF(SUMPRODUCT((BC101:BH101&lt;&gt;"")*(LEN(TRIM(SUBSTITUTE(BC101:BH101,CHAR(160)," "))) - LEN(SUBSTITUTE(TRIM(SUBSTITUTE(BC101:BH101,CHAR(160)," "))," ","")) + 1))&gt;1,"s",""))</f>
        <v/>
      </c>
      <c r="BA101" s="5550" t="str" cm="1">
        <f t="array" ref="BA101">SUMPRODUCT(--(BC101:BH101&lt;&gt;""), LEN(TRIM(SUBSTITUTE(BC101:BH101, CHAR(160), "")))) &amp; " Car."</f>
        <v>0 Car.</v>
      </c>
      <c r="BB101" s="1376" t="str">
        <f>IF(ISBLANK(BC101),"",LARGE(BB97:BB100,1)+1)</f>
        <v/>
      </c>
      <c r="BC101" s="1810"/>
      <c r="BD101" s="1833"/>
      <c r="BE101" s="1810"/>
      <c r="BF101" s="1810"/>
      <c r="BG101" s="1810"/>
      <c r="BH101" s="1810"/>
      <c r="BI101" s="1810"/>
      <c r="BJ101" s="5994" t="s">
        <v>877</v>
      </c>
      <c r="BK101" s="178">
        <v>2.0833333333333332E-2</v>
      </c>
      <c r="BM101" s="3">
        <v>1</v>
      </c>
    </row>
    <row r="102" spans="2:65" ht="21" customHeight="1">
      <c r="B102" s="162" t="s">
        <v>10</v>
      </c>
      <c r="C102" s="163" t="str">
        <f>C75</f>
        <v>N NOM DE VOTRE RECETTE | collez la--FAMILLE| Auteur &gt; VOUS</v>
      </c>
      <c r="D102" s="163">
        <f>D75</f>
        <v>1</v>
      </c>
      <c r="E102" s="164" t="str">
        <f>E75</f>
        <v>coupe</v>
      </c>
      <c r="F102" s="165" t="str">
        <f>F75</f>
        <v>Recette mère ► MILLE-FEUILLE  aux fraises des bois</v>
      </c>
      <c r="G102" s="1548"/>
      <c r="H102" s="1548"/>
      <c r="I102" s="2190">
        <f>ROWS(M98:M102)</f>
        <v>5</v>
      </c>
      <c r="J102" s="5549" t="str" cm="1">
        <f t="array" ref="J102">IF(SUMPRODUCT((M102:R102&lt;&gt;"")*1)=0,"",SUMPRODUCT((M102:R102&lt;&gt;"")*(LEN(TRIM(SUBSTITUTE(M102:R102,CHAR(160)," "))) - LEN(SUBSTITUTE(TRIM(SUBSTITUTE(M102:R102,CHAR(160)," "))," ","")) + 1)) &amp; " mot" &amp; IF(SUMPRODUCT((M102:R102&lt;&gt;"")*(LEN(TRIM(SUBSTITUTE(M102:R102,CHAR(160)," "))) - LEN(SUBSTITUTE(TRIM(SUBSTITUTE(M102:R102,CHAR(160)," "))," ","")) + 1))&gt;1,"s",""))</f>
        <v/>
      </c>
      <c r="K102" s="5550" t="str" cm="1">
        <f t="array" ref="K102">SUMPRODUCT(--(M102:R102&lt;&gt;""), LEN(TRIM(SUBSTITUTE(M102:R102, CHAR(160), "")))) &amp; " Car."</f>
        <v>0 Car.</v>
      </c>
      <c r="L102" s="1376" t="str">
        <f>IF(ISBLANK(M102),"",LARGE(L97:L101,1)+1)</f>
        <v/>
      </c>
      <c r="M102" s="1810"/>
      <c r="N102" s="1810"/>
      <c r="O102" s="1810"/>
      <c r="P102" s="1810"/>
      <c r="Q102" s="1810"/>
      <c r="R102" s="1810"/>
      <c r="S102" s="1810"/>
      <c r="T102" s="179" t="s">
        <v>182</v>
      </c>
      <c r="U102" s="180">
        <f>U99+U100+U101</f>
        <v>3.4722222222222224E-2</v>
      </c>
      <c r="W102" s="162" t="s">
        <v>10</v>
      </c>
      <c r="X102" s="163" t="str">
        <f>X75</f>
        <v>N NAME OF YOUR RECIPE | paste it — FAMILY|  Author &gt; YOU</v>
      </c>
      <c r="Y102" s="163">
        <f>Y75</f>
        <v>1</v>
      </c>
      <c r="Z102" s="164" t="str">
        <f>Z75</f>
        <v>coupe</v>
      </c>
      <c r="AA102" s="165" t="str">
        <f>AA75</f>
        <v>Master recipe ► MILLE-FEUILLE  aux fraises des bois</v>
      </c>
      <c r="AB102" s="1548"/>
      <c r="AC102" s="1548"/>
      <c r="AD102" s="2190">
        <f>ROWS(AH98:AH102)</f>
        <v>5</v>
      </c>
      <c r="AE102" s="5549" t="str" cm="1">
        <f t="array" ref="AE102">IF(SUMPRODUCT((AH102:AM102&lt;&gt;"")*1)=0,"",SUMPRODUCT((AH102:AM102&lt;&gt;"")*(LEN(TRIM(SUBSTITUTE(AH102:AM102,CHAR(160)," "))) - LEN(SUBSTITUTE(TRIM(SUBSTITUTE(AH102:AM102,CHAR(160)," "))," ","")) + 1)) &amp; " word" &amp; IF(SUMPRODUCT((AH102:AM102&lt;&gt;"")*(LEN(TRIM(SUBSTITUTE(AH102:AM102,CHAR(160)," "))) - LEN(SUBSTITUTE(TRIM(SUBSTITUTE(AH102:AM102,CHAR(160)," "))," ","")) + 1))&gt;1,"s",""))</f>
        <v/>
      </c>
      <c r="AF102" s="5550" t="str" cm="1">
        <f t="array" ref="AF102">SUMPRODUCT(--(AH102:AM102&lt;&gt;""), LEN(TRIM(SUBSTITUTE(AH102:AM102, CHAR(160), "")))) &amp; " Car."</f>
        <v>0 Car.</v>
      </c>
      <c r="AG102" s="1376" t="str">
        <f>IF(ISBLANK(AH102),"",LARGE(AG97:AG101,1)+1)</f>
        <v/>
      </c>
      <c r="AH102" s="1810"/>
      <c r="AI102" s="1810"/>
      <c r="AJ102" s="1810"/>
      <c r="AK102" s="1810"/>
      <c r="AL102" s="1810"/>
      <c r="AM102" s="1810"/>
      <c r="AN102" s="1810"/>
      <c r="AO102" s="179" t="s">
        <v>182</v>
      </c>
      <c r="AP102" s="180">
        <f>AP99+AP100+AP101</f>
        <v>3.4722222222222224E-2</v>
      </c>
      <c r="AR102" s="162" t="s">
        <v>10</v>
      </c>
      <c r="AS102" s="163" t="str">
        <f>AS75</f>
        <v>N NOMBRE DE SU RECETA | pegue esto — FAMILIA| Auteur &gt; VOUS</v>
      </c>
      <c r="AT102" s="163">
        <f>AT75</f>
        <v>1</v>
      </c>
      <c r="AU102" s="164" t="str">
        <f>AU75</f>
        <v>coupe</v>
      </c>
      <c r="AV102" s="165" t="str">
        <f>AV75</f>
        <v>Receta madre ► MILLE-FEUILLE  aux fraises des bois</v>
      </c>
      <c r="AW102" s="1548"/>
      <c r="AX102" s="1548"/>
      <c r="AY102" s="2190">
        <f>ROWS(BC98:BC102)</f>
        <v>5</v>
      </c>
      <c r="AZ102" s="5549" t="str" cm="1">
        <f t="array" ref="AZ102">IF(SUMPRODUCT((BC102:BH102&lt;&gt;"")*1)=0,"",SUMPRODUCT((BC102:BH102&lt;&gt;"")*(LEN(TRIM(SUBSTITUTE(BC102:BH102,CHAR(160)," "))) - LEN(SUBSTITUTE(TRIM(SUBSTITUTE(BC102:BH102,CHAR(160)," "))," ","")) + 1)) &amp; " palabra" &amp; IF(SUMPRODUCT((BC102:BH102&lt;&gt;"")*(LEN(TRIM(SUBSTITUTE(BC102:BH102,CHAR(160)," "))) - LEN(SUBSTITUTE(TRIM(SUBSTITUTE(BC102:BH102,CHAR(160)," "))," ","")) + 1))&gt;1,"s",""))</f>
        <v/>
      </c>
      <c r="BA102" s="5550" t="str" cm="1">
        <f t="array" ref="BA102">SUMPRODUCT(--(BC102:BH102&lt;&gt;""), LEN(TRIM(SUBSTITUTE(BC102:BH102, CHAR(160), "")))) &amp; " Car."</f>
        <v>0 Car.</v>
      </c>
      <c r="BB102" s="1376" t="str">
        <f>IF(ISBLANK(BC102),"",LARGE(BB97:BB101,1)+1)</f>
        <v/>
      </c>
      <c r="BC102" s="1810"/>
      <c r="BD102" s="1810"/>
      <c r="BE102" s="1810"/>
      <c r="BF102" s="1810"/>
      <c r="BG102" s="1810"/>
      <c r="BH102" s="1810"/>
      <c r="BI102" s="1810"/>
      <c r="BJ102" s="179" t="s">
        <v>182</v>
      </c>
      <c r="BK102" s="180">
        <f>BK99+BK100+BK101</f>
        <v>3.4722222222222224E-2</v>
      </c>
      <c r="BM102" s="3">
        <v>1</v>
      </c>
    </row>
    <row r="103" spans="2:65" ht="21" customHeight="1">
      <c r="B103" s="162" t="s">
        <v>10</v>
      </c>
      <c r="C103" s="163" t="str">
        <f>C75</f>
        <v>N NOM DE VOTRE RECETTE | collez la--FAMILLE| Auteur &gt; VOUS</v>
      </c>
      <c r="D103" s="163">
        <f>D75</f>
        <v>1</v>
      </c>
      <c r="E103" s="164" t="str">
        <f>E75</f>
        <v>coupe</v>
      </c>
      <c r="F103" s="165" t="str">
        <f>F75</f>
        <v>Recette mère ► MILLE-FEUILLE  aux fraises des bois</v>
      </c>
      <c r="G103" s="1548"/>
      <c r="H103" s="1548"/>
      <c r="I103" s="2190">
        <f>ROWS(M98:M103)</f>
        <v>6</v>
      </c>
      <c r="J103" s="5549" t="str" cm="1">
        <f t="array" ref="J103">IF(SUMPRODUCT((M103:R103&lt;&gt;"")*1)=0,"",SUMPRODUCT((M103:R103&lt;&gt;"")*(LEN(TRIM(SUBSTITUTE(M103:R103,CHAR(160)," "))) - LEN(SUBSTITUTE(TRIM(SUBSTITUTE(M103:R103,CHAR(160)," "))," ","")) + 1)) &amp; " mot" &amp; IF(SUMPRODUCT((M103:R103&lt;&gt;"")*(LEN(TRIM(SUBSTITUTE(M103:R103,CHAR(160)," "))) - LEN(SUBSTITUTE(TRIM(SUBSTITUTE(M103:R103,CHAR(160)," "))," ","")) + 1))&gt;1,"s",""))</f>
        <v>5 mots</v>
      </c>
      <c r="K103" s="5550" t="str" cm="1">
        <f t="array" ref="K103">SUMPRODUCT(--(M103:R103&lt;&gt;""), LEN(TRIM(SUBSTITUTE(M103:R103, CHAR(160), "")))) &amp; " Car."</f>
        <v>43 Car.</v>
      </c>
      <c r="L103" s="1376">
        <f>IF(ISBLANK(M103),"",LARGE(L97:L102,1)+1)</f>
        <v>1</v>
      </c>
      <c r="M103" s="1810" t="s">
        <v>8578</v>
      </c>
      <c r="N103" s="1833"/>
      <c r="O103" s="1810"/>
      <c r="P103" s="1810"/>
      <c r="Q103" s="1810"/>
      <c r="R103" s="1810"/>
      <c r="S103" s="1810"/>
      <c r="T103" s="1810"/>
      <c r="U103" s="1811"/>
      <c r="W103" s="162" t="s">
        <v>10</v>
      </c>
      <c r="X103" s="163" t="str">
        <f>X75</f>
        <v>N NAME OF YOUR RECIPE | paste it — FAMILY|  Author &gt; YOU</v>
      </c>
      <c r="Y103" s="163">
        <f>Y75</f>
        <v>1</v>
      </c>
      <c r="Z103" s="164" t="str">
        <f>Z75</f>
        <v>coupe</v>
      </c>
      <c r="AA103" s="165" t="str">
        <f>AA75</f>
        <v>Master recipe ► MILLE-FEUILLE  aux fraises des bois</v>
      </c>
      <c r="AB103" s="1548"/>
      <c r="AC103" s="1548"/>
      <c r="AD103" s="2190">
        <f>ROWS(AH98:AH103)</f>
        <v>6</v>
      </c>
      <c r="AE103" s="5549" t="str" cm="1">
        <f t="array" ref="AE103">IF(SUMPRODUCT((AH103:AM103&lt;&gt;"")*1)=0,"",SUMPRODUCT((AH103:AM103&lt;&gt;"")*(LEN(TRIM(SUBSTITUTE(AH103:AM103,CHAR(160)," "))) - LEN(SUBSTITUTE(TRIM(SUBSTITUTE(AH103:AM103,CHAR(160)," "))," ","")) + 1)) &amp; " word" &amp; IF(SUMPRODUCT((AH103:AM103&lt;&gt;"")*(LEN(TRIM(SUBSTITUTE(AH103:AM103,CHAR(160)," "))) - LEN(SUBSTITUTE(TRIM(SUBSTITUTE(AH103:AM103,CHAR(160)," "))," ","")) + 1))&gt;1,"s",""))</f>
        <v>4 words</v>
      </c>
      <c r="AF103" s="5550" t="str" cm="1">
        <f t="array" ref="AF103">SUMPRODUCT(--(AH103:AM103&lt;&gt;""), LEN(TRIM(SUBSTITUTE(AH103:AM103, CHAR(160), "")))) &amp; " Car."</f>
        <v>29 Car.</v>
      </c>
      <c r="AG103" s="1376">
        <f>IF(ISBLANK(AH103),"",LARGE(AG97:AG102,1)+1)</f>
        <v>1</v>
      </c>
      <c r="AH103" s="1810" t="s">
        <v>8583</v>
      </c>
      <c r="AI103" s="1833"/>
      <c r="AJ103" s="1810"/>
      <c r="AK103" s="1810"/>
      <c r="AL103" s="1810"/>
      <c r="AM103" s="1810"/>
      <c r="AN103" s="1810"/>
      <c r="AO103" s="1810"/>
      <c r="AP103" s="1811"/>
      <c r="AR103" s="162" t="s">
        <v>10</v>
      </c>
      <c r="AS103" s="163" t="str">
        <f>AS75</f>
        <v>N NOMBRE DE SU RECETA | pegue esto — FAMILIA| Auteur &gt; VOUS</v>
      </c>
      <c r="AT103" s="163">
        <f>AT75</f>
        <v>1</v>
      </c>
      <c r="AU103" s="164" t="str">
        <f>AU75</f>
        <v>coupe</v>
      </c>
      <c r="AV103" s="165" t="str">
        <f>AV75</f>
        <v>Receta madre ► MILLE-FEUILLE  aux fraises des bois</v>
      </c>
      <c r="AW103" s="1548"/>
      <c r="AX103" s="1548"/>
      <c r="AY103" s="2190">
        <f>ROWS(BC98:BC103)</f>
        <v>6</v>
      </c>
      <c r="AZ103" s="5549" t="str" cm="1">
        <f t="array" ref="AZ103">IF(SUMPRODUCT((BC103:BH103&lt;&gt;"")*1)=0,"",SUMPRODUCT((BC103:BH103&lt;&gt;"")*(LEN(TRIM(SUBSTITUTE(BC103:BH103,CHAR(160)," "))) - LEN(SUBSTITUTE(TRIM(SUBSTITUTE(BC103:BH103,CHAR(160)," "))," ","")) + 1)) &amp; " palabra" &amp; IF(SUMPRODUCT((BC103:BH103&lt;&gt;"")*(LEN(TRIM(SUBSTITUTE(BC103:BH103,CHAR(160)," "))) - LEN(SUBSTITUTE(TRIM(SUBSTITUTE(BC103:BH103,CHAR(160)," "))," ","")) + 1))&gt;1,"s",""))</f>
        <v>5 palabras</v>
      </c>
      <c r="BA103" s="5550" t="str" cm="1">
        <f t="array" ref="BA103">SUMPRODUCT(--(BC103:BH103&lt;&gt;""), LEN(TRIM(SUBSTITUTE(BC103:BH103, CHAR(160), "")))) &amp; " Car."</f>
        <v>37 Car.</v>
      </c>
      <c r="BB103" s="1376">
        <f>IF(ISBLANK(BC103),"",LARGE(BB97:BB102,1)+1)</f>
        <v>1</v>
      </c>
      <c r="BC103" s="1810" t="s">
        <v>8588</v>
      </c>
      <c r="BD103" s="1833"/>
      <c r="BE103" s="1810"/>
      <c r="BF103" s="1810"/>
      <c r="BG103" s="1810"/>
      <c r="BH103" s="1810"/>
      <c r="BI103" s="1810"/>
      <c r="BJ103" s="1810"/>
      <c r="BK103" s="1811"/>
      <c r="BM103" s="3">
        <v>1</v>
      </c>
    </row>
    <row r="104" spans="2:65" ht="21" customHeight="1">
      <c r="B104" s="162" t="s">
        <v>10</v>
      </c>
      <c r="C104" s="163" t="str">
        <f>C75</f>
        <v>N NOM DE VOTRE RECETTE | collez la--FAMILLE| Auteur &gt; VOUS</v>
      </c>
      <c r="D104" s="163">
        <f>D75</f>
        <v>1</v>
      </c>
      <c r="E104" s="164" t="str">
        <f>E75</f>
        <v>coupe</v>
      </c>
      <c r="F104" s="165" t="str">
        <f>F75</f>
        <v>Recette mère ► MILLE-FEUILLE  aux fraises des bois</v>
      </c>
      <c r="G104" s="1548"/>
      <c r="H104" s="1548"/>
      <c r="I104" s="2190">
        <f>ROWS(M98:M104)</f>
        <v>7</v>
      </c>
      <c r="J104" s="5549" t="str" cm="1">
        <f t="array" ref="J104">IF(SUMPRODUCT((M104:R104&lt;&gt;"")*1)=0,"",SUMPRODUCT((M104:R104&lt;&gt;"")*(LEN(TRIM(SUBSTITUTE(M104:R104,CHAR(160)," "))) - LEN(SUBSTITUTE(TRIM(SUBSTITUTE(M104:R104,CHAR(160)," "))," ","")) + 1)) &amp; " mot" &amp; IF(SUMPRODUCT((M104:R104&lt;&gt;"")*(LEN(TRIM(SUBSTITUTE(M104:R104,CHAR(160)," "))) - LEN(SUBSTITUTE(TRIM(SUBSTITUTE(M104:R104,CHAR(160)," "))," ","")) + 1))&gt;1,"s",""))</f>
        <v>8 mots</v>
      </c>
      <c r="K104" s="5550" t="str" cm="1">
        <f t="array" ref="K104">SUMPRODUCT(--(M104:R104&lt;&gt;""), LEN(TRIM(SUBSTITUTE(M104:R104, CHAR(160), "")))) &amp; " Car."</f>
        <v>50 Car.</v>
      </c>
      <c r="L104" s="1376" t="str">
        <f>IF(ISBLANK(M104),"",LARGE(L97:L103,1)+1)</f>
        <v/>
      </c>
      <c r="M104" s="1810"/>
      <c r="N104" s="1810" t="s">
        <v>8579</v>
      </c>
      <c r="O104" s="1810"/>
      <c r="P104" s="1810"/>
      <c r="Q104" s="1810"/>
      <c r="R104" s="1810"/>
      <c r="S104" s="1810"/>
      <c r="T104" s="1810"/>
      <c r="U104" s="1811"/>
      <c r="W104" s="162" t="s">
        <v>10</v>
      </c>
      <c r="X104" s="163" t="str">
        <f>X75</f>
        <v>N NAME OF YOUR RECIPE | paste it — FAMILY|  Author &gt; YOU</v>
      </c>
      <c r="Y104" s="163">
        <f>Y75</f>
        <v>1</v>
      </c>
      <c r="Z104" s="164" t="str">
        <f>Z75</f>
        <v>coupe</v>
      </c>
      <c r="AA104" s="165" t="str">
        <f>AA75</f>
        <v>Master recipe ► MILLE-FEUILLE  aux fraises des bois</v>
      </c>
      <c r="AB104" s="1548"/>
      <c r="AC104" s="1548"/>
      <c r="AD104" s="2190">
        <f>ROWS(AH98:AH104)</f>
        <v>7</v>
      </c>
      <c r="AE104" s="5549" t="str" cm="1">
        <f t="array" ref="AE104">IF(SUMPRODUCT((AH104:AM104&lt;&gt;"")*1)=0,"",SUMPRODUCT((AH104:AM104&lt;&gt;"")*(LEN(TRIM(SUBSTITUTE(AH104:AM104,CHAR(160)," "))) - LEN(SUBSTITUTE(TRIM(SUBSTITUTE(AH104:AM104,CHAR(160)," "))," ","")) + 1)) &amp; " word" &amp; IF(SUMPRODUCT((AH104:AM104&lt;&gt;"")*(LEN(TRIM(SUBSTITUTE(AH104:AM104,CHAR(160)," "))) - LEN(SUBSTITUTE(TRIM(SUBSTITUTE(AH104:AM104,CHAR(160)," "))," ","")) + 1))&gt;1,"s",""))</f>
        <v>9 words</v>
      </c>
      <c r="AF104" s="5550" t="str" cm="1">
        <f t="array" ref="AF104">SUMPRODUCT(--(AH104:AM104&lt;&gt;""), LEN(TRIM(SUBSTITUTE(AH104:AM104, CHAR(160), "")))) &amp; " Car."</f>
        <v>47 Car.</v>
      </c>
      <c r="AG104" s="1376" t="str">
        <f>IF(ISBLANK(AH104),"",LARGE(AG97:AG103,1)+1)</f>
        <v/>
      </c>
      <c r="AH104" s="1810"/>
      <c r="AI104" s="1810" t="s">
        <v>8584</v>
      </c>
      <c r="AJ104" s="1810"/>
      <c r="AK104" s="1810"/>
      <c r="AL104" s="1810"/>
      <c r="AM104" s="1810"/>
      <c r="AN104" s="1810"/>
      <c r="AO104" s="1810"/>
      <c r="AP104" s="1811"/>
      <c r="AR104" s="162" t="s">
        <v>10</v>
      </c>
      <c r="AS104" s="163" t="str">
        <f>AS75</f>
        <v>N NOMBRE DE SU RECETA | pegue esto — FAMILIA| Auteur &gt; VOUS</v>
      </c>
      <c r="AT104" s="163">
        <f>AT75</f>
        <v>1</v>
      </c>
      <c r="AU104" s="164" t="str">
        <f>AU75</f>
        <v>coupe</v>
      </c>
      <c r="AV104" s="165" t="str">
        <f>AV75</f>
        <v>Receta madre ► MILLE-FEUILLE  aux fraises des bois</v>
      </c>
      <c r="AW104" s="1548"/>
      <c r="AX104" s="1548"/>
      <c r="AY104" s="2190">
        <f>ROWS(BC98:BC104)</f>
        <v>7</v>
      </c>
      <c r="AZ104" s="5549" t="str" cm="1">
        <f t="array" ref="AZ104">IF(SUMPRODUCT((BC104:BH104&lt;&gt;"")*1)=0,"",SUMPRODUCT((BC104:BH104&lt;&gt;"")*(LEN(TRIM(SUBSTITUTE(BC104:BH104,CHAR(160)," "))) - LEN(SUBSTITUTE(TRIM(SUBSTITUTE(BC104:BH104,CHAR(160)," "))," ","")) + 1)) &amp; " palabra" &amp; IF(SUMPRODUCT((BC104:BH104&lt;&gt;"")*(LEN(TRIM(SUBSTITUTE(BC104:BH104,CHAR(160)," "))) - LEN(SUBSTITUTE(TRIM(SUBSTITUTE(BC104:BH104,CHAR(160)," "))," ","")) + 1))&gt;1,"s",""))</f>
        <v>7 palabras</v>
      </c>
      <c r="BA104" s="5550" t="str" cm="1">
        <f t="array" ref="BA104">SUMPRODUCT(--(BC104:BH104&lt;&gt;""), LEN(TRIM(SUBSTITUTE(BC104:BH104, CHAR(160), "")))) &amp; " Car."</f>
        <v>39 Car.</v>
      </c>
      <c r="BB104" s="1376" t="str">
        <f>IF(ISBLANK(BC104),"",LARGE(BB97:BB103,1)+1)</f>
        <v/>
      </c>
      <c r="BC104" s="1810"/>
      <c r="BD104" s="1810" t="s">
        <v>8589</v>
      </c>
      <c r="BE104" s="1810"/>
      <c r="BF104" s="1810"/>
      <c r="BG104" s="1810"/>
      <c r="BH104" s="1810"/>
      <c r="BI104" s="1810"/>
      <c r="BJ104" s="1810"/>
      <c r="BK104" s="1811"/>
      <c r="BM104" s="3">
        <v>1</v>
      </c>
    </row>
    <row r="105" spans="2:65" ht="21" customHeight="1">
      <c r="B105" s="162" t="s">
        <v>10</v>
      </c>
      <c r="C105" s="163" t="str">
        <f>C75</f>
        <v>N NOM DE VOTRE RECETTE | collez la--FAMILLE| Auteur &gt; VOUS</v>
      </c>
      <c r="D105" s="163">
        <f>D75</f>
        <v>1</v>
      </c>
      <c r="E105" s="164" t="str">
        <f>E75</f>
        <v>coupe</v>
      </c>
      <c r="F105" s="165" t="str">
        <f>F75</f>
        <v>Recette mère ► MILLE-FEUILLE  aux fraises des bois</v>
      </c>
      <c r="G105" s="1548"/>
      <c r="H105" s="1548"/>
      <c r="I105" s="2190">
        <f>ROWS(M98:M105)</f>
        <v>8</v>
      </c>
      <c r="J105" s="5549" t="str" cm="1">
        <f t="array" ref="J105">IF(SUMPRODUCT((M105:R105&lt;&gt;"")*1)=0,"",SUMPRODUCT((M105:R105&lt;&gt;"")*(LEN(TRIM(SUBSTITUTE(M105:R105,CHAR(160)," "))) - LEN(SUBSTITUTE(TRIM(SUBSTITUTE(M105:R105,CHAR(160)," "))," ","")) + 1)) &amp; " mot" &amp; IF(SUMPRODUCT((M105:R105&lt;&gt;"")*(LEN(TRIM(SUBSTITUTE(M105:R105,CHAR(160)," "))) - LEN(SUBSTITUTE(TRIM(SUBSTITUTE(M105:R105,CHAR(160)," "))," ","")) + 1))&gt;1,"s",""))</f>
        <v/>
      </c>
      <c r="K105" s="5550" t="str" cm="1">
        <f t="array" ref="K105">SUMPRODUCT(--(M105:R105&lt;&gt;""), LEN(TRIM(SUBSTITUTE(M105:R105, CHAR(160), "")))) &amp; " Car."</f>
        <v>0 Car.</v>
      </c>
      <c r="L105" s="1376" t="str">
        <f>IF(ISBLANK(M105),"",LARGE(L97:L104,1)+1)</f>
        <v/>
      </c>
      <c r="M105" s="1810"/>
      <c r="N105" s="1810"/>
      <c r="O105" s="1810"/>
      <c r="P105" s="1810"/>
      <c r="Q105" s="1810"/>
      <c r="R105" s="1810"/>
      <c r="S105" s="1810"/>
      <c r="T105" s="1810"/>
      <c r="U105" s="1811"/>
      <c r="W105" s="162" t="s">
        <v>10</v>
      </c>
      <c r="X105" s="163" t="str">
        <f>X75</f>
        <v>N NAME OF YOUR RECIPE | paste it — FAMILY|  Author &gt; YOU</v>
      </c>
      <c r="Y105" s="163">
        <f>Y75</f>
        <v>1</v>
      </c>
      <c r="Z105" s="164" t="str">
        <f>Z75</f>
        <v>coupe</v>
      </c>
      <c r="AA105" s="165" t="str">
        <f>AA75</f>
        <v>Master recipe ► MILLE-FEUILLE  aux fraises des bois</v>
      </c>
      <c r="AB105" s="1548"/>
      <c r="AC105" s="1548"/>
      <c r="AD105" s="2190">
        <f>ROWS(AH98:AH105)</f>
        <v>8</v>
      </c>
      <c r="AE105" s="5549" t="str" cm="1">
        <f t="array" ref="AE105">IF(SUMPRODUCT((AH105:AM105&lt;&gt;"")*1)=0,"",SUMPRODUCT((AH105:AM105&lt;&gt;"")*(LEN(TRIM(SUBSTITUTE(AH105:AM105,CHAR(160)," "))) - LEN(SUBSTITUTE(TRIM(SUBSTITUTE(AH105:AM105,CHAR(160)," "))," ","")) + 1)) &amp; " word" &amp; IF(SUMPRODUCT((AH105:AM105&lt;&gt;"")*(LEN(TRIM(SUBSTITUTE(AH105:AM105,CHAR(160)," "))) - LEN(SUBSTITUTE(TRIM(SUBSTITUTE(AH105:AM105,CHAR(160)," "))," ","")) + 1))&gt;1,"s",""))</f>
        <v/>
      </c>
      <c r="AF105" s="5550" t="str" cm="1">
        <f t="array" ref="AF105">SUMPRODUCT(--(AH105:AM105&lt;&gt;""), LEN(TRIM(SUBSTITUTE(AH105:AM105, CHAR(160), "")))) &amp; " Car."</f>
        <v>0 Car.</v>
      </c>
      <c r="AG105" s="1376" t="str">
        <f>IF(ISBLANK(AH105),"",LARGE(AG97:AG104,1)+1)</f>
        <v/>
      </c>
      <c r="AH105" s="1833"/>
      <c r="AI105" s="1810"/>
      <c r="AJ105" s="1810"/>
      <c r="AK105" s="1810"/>
      <c r="AL105" s="1810"/>
      <c r="AM105" s="1810"/>
      <c r="AN105" s="1810"/>
      <c r="AO105" s="1810"/>
      <c r="AP105" s="1811"/>
      <c r="AR105" s="162" t="s">
        <v>10</v>
      </c>
      <c r="AS105" s="163" t="str">
        <f>AS75</f>
        <v>N NOMBRE DE SU RECETA | pegue esto — FAMILIA| Auteur &gt; VOUS</v>
      </c>
      <c r="AT105" s="163">
        <f>AT75</f>
        <v>1</v>
      </c>
      <c r="AU105" s="164" t="str">
        <f>AU75</f>
        <v>coupe</v>
      </c>
      <c r="AV105" s="165" t="str">
        <f>AV75</f>
        <v>Receta madre ► MILLE-FEUILLE  aux fraises des bois</v>
      </c>
      <c r="AW105" s="1548"/>
      <c r="AX105" s="1548"/>
      <c r="AY105" s="2190">
        <f>ROWS(BC98:BC105)</f>
        <v>8</v>
      </c>
      <c r="AZ105" s="5549" t="str" cm="1">
        <f t="array" ref="AZ105">IF(SUMPRODUCT((BC105:BH105&lt;&gt;"")*1)=0,"",SUMPRODUCT((BC105:BH105&lt;&gt;"")*(LEN(TRIM(SUBSTITUTE(BC105:BH105,CHAR(160)," "))) - LEN(SUBSTITUTE(TRIM(SUBSTITUTE(BC105:BH105,CHAR(160)," "))," ","")) + 1)) &amp; " palabra" &amp; IF(SUMPRODUCT((BC105:BH105&lt;&gt;"")*(LEN(TRIM(SUBSTITUTE(BC105:BH105,CHAR(160)," "))) - LEN(SUBSTITUTE(TRIM(SUBSTITUTE(BC105:BH105,CHAR(160)," "))," ","")) + 1))&gt;1,"s",""))</f>
        <v/>
      </c>
      <c r="BA105" s="5550" t="str" cm="1">
        <f t="array" ref="BA105">SUMPRODUCT(--(BC105:BH105&lt;&gt;""), LEN(TRIM(SUBSTITUTE(BC105:BH105, CHAR(160), "")))) &amp; " Car."</f>
        <v>0 Car.</v>
      </c>
      <c r="BB105" s="1376" t="str">
        <f>IF(ISBLANK(BC105),"",LARGE(BB97:BB104,1)+1)</f>
        <v/>
      </c>
      <c r="BC105" s="1833"/>
      <c r="BD105" s="1810"/>
      <c r="BE105" s="1810"/>
      <c r="BF105" s="1810"/>
      <c r="BG105" s="1810"/>
      <c r="BH105" s="1810"/>
      <c r="BI105" s="1810"/>
      <c r="BJ105" s="1810"/>
      <c r="BK105" s="1811"/>
      <c r="BM105" s="3">
        <v>1</v>
      </c>
    </row>
    <row r="106" spans="2:65" ht="21" customHeight="1">
      <c r="B106" s="162" t="s">
        <v>10</v>
      </c>
      <c r="C106" s="163" t="str">
        <f>C75</f>
        <v>N NOM DE VOTRE RECETTE | collez la--FAMILLE| Auteur &gt; VOUS</v>
      </c>
      <c r="D106" s="163">
        <f>D75</f>
        <v>1</v>
      </c>
      <c r="E106" s="164" t="str">
        <f>E75</f>
        <v>coupe</v>
      </c>
      <c r="F106" s="165" t="str">
        <f>F75</f>
        <v>Recette mère ► MILLE-FEUILLE  aux fraises des bois</v>
      </c>
      <c r="G106" s="1548"/>
      <c r="H106" s="1548"/>
      <c r="I106" s="2190">
        <f>ROWS(M98:M106)</f>
        <v>9</v>
      </c>
      <c r="J106" s="5549" t="str" cm="1">
        <f t="array" ref="J106">IF(SUMPRODUCT((M106:R106&lt;&gt;"")*1)=0,"",SUMPRODUCT((M106:R106&lt;&gt;"")*(LEN(TRIM(SUBSTITUTE(M106:R106,CHAR(160)," "))) - LEN(SUBSTITUTE(TRIM(SUBSTITUTE(M106:R106,CHAR(160)," "))," ","")) + 1)) &amp; " mot" &amp; IF(SUMPRODUCT((M106:R106&lt;&gt;"")*(LEN(TRIM(SUBSTITUTE(M106:R106,CHAR(160)," "))) - LEN(SUBSTITUTE(TRIM(SUBSTITUTE(M106:R106,CHAR(160)," "))," ","")) + 1))&gt;1,"s",""))</f>
        <v/>
      </c>
      <c r="K106" s="5550" t="str" cm="1">
        <f t="array" ref="K106">SUMPRODUCT(--(M106:R106&lt;&gt;""), LEN(TRIM(SUBSTITUTE(M106:R106, CHAR(160), "")))) &amp; " Car."</f>
        <v>0 Car.</v>
      </c>
      <c r="L106" s="1376" t="str">
        <f>IF(ISBLANK(M106),"",LARGE(L97:L105,1)+1)</f>
        <v/>
      </c>
      <c r="M106" s="1810"/>
      <c r="N106" s="1810"/>
      <c r="O106" s="1810"/>
      <c r="P106" s="1810"/>
      <c r="Q106" s="1810"/>
      <c r="R106" s="1810"/>
      <c r="S106" s="1810"/>
      <c r="T106" s="1810"/>
      <c r="U106" s="1811"/>
      <c r="W106" s="162" t="s">
        <v>10</v>
      </c>
      <c r="X106" s="163" t="str">
        <f>X75</f>
        <v>N NAME OF YOUR RECIPE | paste it — FAMILY|  Author &gt; YOU</v>
      </c>
      <c r="Y106" s="163">
        <f>Y75</f>
        <v>1</v>
      </c>
      <c r="Z106" s="164" t="str">
        <f>Z75</f>
        <v>coupe</v>
      </c>
      <c r="AA106" s="165" t="str">
        <f>AA75</f>
        <v>Master recipe ► MILLE-FEUILLE  aux fraises des bois</v>
      </c>
      <c r="AB106" s="1548"/>
      <c r="AC106" s="1548"/>
      <c r="AD106" s="2190">
        <f>ROWS(AH98:AH106)</f>
        <v>9</v>
      </c>
      <c r="AE106" s="5549" t="str" cm="1">
        <f t="array" ref="AE106">IF(SUMPRODUCT((AH106:AM106&lt;&gt;"")*1)=0,"",SUMPRODUCT((AH106:AM106&lt;&gt;"")*(LEN(TRIM(SUBSTITUTE(AH106:AM106,CHAR(160)," "))) - LEN(SUBSTITUTE(TRIM(SUBSTITUTE(AH106:AM106,CHAR(160)," "))," ","")) + 1)) &amp; " word" &amp; IF(SUMPRODUCT((AH106:AM106&lt;&gt;"")*(LEN(TRIM(SUBSTITUTE(AH106:AM106,CHAR(160)," "))) - LEN(SUBSTITUTE(TRIM(SUBSTITUTE(AH106:AM106,CHAR(160)," "))," ","")) + 1))&gt;1,"s",""))</f>
        <v/>
      </c>
      <c r="AF106" s="5550" t="str" cm="1">
        <f t="array" ref="AF106">SUMPRODUCT(--(AH106:AM106&lt;&gt;""), LEN(TRIM(SUBSTITUTE(AH106:AM106, CHAR(160), "")))) &amp; " Car."</f>
        <v>0 Car.</v>
      </c>
      <c r="AG106" s="1376" t="str">
        <f>IF(ISBLANK(AH106),"",LARGE(AG97:AG105,1)+1)</f>
        <v/>
      </c>
      <c r="AH106" s="1810"/>
      <c r="AI106" s="1810"/>
      <c r="AJ106" s="1810"/>
      <c r="AK106" s="1810"/>
      <c r="AL106" s="1810"/>
      <c r="AM106" s="1810"/>
      <c r="AN106" s="1810"/>
      <c r="AO106" s="1810"/>
      <c r="AP106" s="1811"/>
      <c r="AR106" s="162" t="s">
        <v>10</v>
      </c>
      <c r="AS106" s="163" t="str">
        <f>AS75</f>
        <v>N NOMBRE DE SU RECETA | pegue esto — FAMILIA| Auteur &gt; VOUS</v>
      </c>
      <c r="AT106" s="163">
        <f>AT75</f>
        <v>1</v>
      </c>
      <c r="AU106" s="164" t="str">
        <f>AU75</f>
        <v>coupe</v>
      </c>
      <c r="AV106" s="165" t="str">
        <f>AV75</f>
        <v>Receta madre ► MILLE-FEUILLE  aux fraises des bois</v>
      </c>
      <c r="AW106" s="1548"/>
      <c r="AX106" s="1548"/>
      <c r="AY106" s="2190">
        <f>ROWS(BC98:BC106)</f>
        <v>9</v>
      </c>
      <c r="AZ106" s="5549" t="str" cm="1">
        <f t="array" ref="AZ106">IF(SUMPRODUCT((BC106:BH106&lt;&gt;"")*1)=0,"",SUMPRODUCT((BC106:BH106&lt;&gt;"")*(LEN(TRIM(SUBSTITUTE(BC106:BH106,CHAR(160)," "))) - LEN(SUBSTITUTE(TRIM(SUBSTITUTE(BC106:BH106,CHAR(160)," "))," ","")) + 1)) &amp; " palabra" &amp; IF(SUMPRODUCT((BC106:BH106&lt;&gt;"")*(LEN(TRIM(SUBSTITUTE(BC106:BH106,CHAR(160)," "))) - LEN(SUBSTITUTE(TRIM(SUBSTITUTE(BC106:BH106,CHAR(160)," "))," ","")) + 1))&gt;1,"s",""))</f>
        <v/>
      </c>
      <c r="BA106" s="5550" t="str" cm="1">
        <f t="array" ref="BA106">SUMPRODUCT(--(BC106:BH106&lt;&gt;""), LEN(TRIM(SUBSTITUTE(BC106:BH106, CHAR(160), "")))) &amp; " Car."</f>
        <v>0 Car.</v>
      </c>
      <c r="BB106" s="1376" t="str">
        <f>IF(ISBLANK(BC106),"",LARGE(BB97:BB105,1)+1)</f>
        <v/>
      </c>
      <c r="BC106" s="1833"/>
      <c r="BD106" s="1810"/>
      <c r="BE106" s="1810"/>
      <c r="BF106" s="1810"/>
      <c r="BG106" s="1810"/>
      <c r="BH106" s="1810"/>
      <c r="BI106" s="1810"/>
      <c r="BJ106" s="1810"/>
      <c r="BK106" s="1811"/>
      <c r="BM106" s="3">
        <v>1</v>
      </c>
    </row>
    <row r="107" spans="2:65" ht="21" customHeight="1">
      <c r="B107" s="162" t="s">
        <v>10</v>
      </c>
      <c r="C107" s="163" t="str">
        <f>C75</f>
        <v>N NOM DE VOTRE RECETTE | collez la--FAMILLE| Auteur &gt; VOUS</v>
      </c>
      <c r="D107" s="163">
        <f>D75</f>
        <v>1</v>
      </c>
      <c r="E107" s="164" t="str">
        <f>E75</f>
        <v>coupe</v>
      </c>
      <c r="F107" s="165" t="str">
        <f>F75</f>
        <v>Recette mère ► MILLE-FEUILLE  aux fraises des bois</v>
      </c>
      <c r="G107" s="1548"/>
      <c r="H107" s="1548"/>
      <c r="I107" s="2190">
        <f>ROWS(M98:M107)</f>
        <v>10</v>
      </c>
      <c r="J107" s="5549" t="str" cm="1">
        <f t="array" ref="J107">IF(SUMPRODUCT((M107:R107&lt;&gt;"")*1)=0,"",SUMPRODUCT((M107:R107&lt;&gt;"")*(LEN(TRIM(SUBSTITUTE(M107:R107,CHAR(160)," "))) - LEN(SUBSTITUTE(TRIM(SUBSTITUTE(M107:R107,CHAR(160)," "))," ","")) + 1)) &amp; " mot" &amp; IF(SUMPRODUCT((M107:R107&lt;&gt;"")*(LEN(TRIM(SUBSTITUTE(M107:R107,CHAR(160)," "))) - LEN(SUBSTITUTE(TRIM(SUBSTITUTE(M107:R107,CHAR(160)," "))," ","")) + 1))&gt;1,"s",""))</f>
        <v/>
      </c>
      <c r="K107" s="5550" t="str" cm="1">
        <f t="array" ref="K107">SUMPRODUCT(--(M107:R107&lt;&gt;""), LEN(TRIM(SUBSTITUTE(M107:R107, CHAR(160), "")))) &amp; " Car."</f>
        <v>0 Car.</v>
      </c>
      <c r="L107" s="1376" t="str">
        <f>IF(ISBLANK(M107),"",LARGE(L97:L106,1)+1)</f>
        <v/>
      </c>
      <c r="M107" s="1810"/>
      <c r="N107" s="1810"/>
      <c r="O107" s="1810"/>
      <c r="P107" s="1810"/>
      <c r="Q107" s="1810"/>
      <c r="R107" s="1810"/>
      <c r="S107" s="1810"/>
      <c r="T107" s="1810"/>
      <c r="U107" s="1811"/>
      <c r="W107" s="162" t="s">
        <v>10</v>
      </c>
      <c r="X107" s="163" t="str">
        <f>X75</f>
        <v>N NAME OF YOUR RECIPE | paste it — FAMILY|  Author &gt; YOU</v>
      </c>
      <c r="Y107" s="163">
        <f>Y75</f>
        <v>1</v>
      </c>
      <c r="Z107" s="164" t="str">
        <f>Z75</f>
        <v>coupe</v>
      </c>
      <c r="AA107" s="165" t="str">
        <f>AA75</f>
        <v>Master recipe ► MILLE-FEUILLE  aux fraises des bois</v>
      </c>
      <c r="AB107" s="1548"/>
      <c r="AC107" s="1548"/>
      <c r="AD107" s="2190">
        <f>ROWS(AH98:AH107)</f>
        <v>10</v>
      </c>
      <c r="AE107" s="5549" t="str" cm="1">
        <f t="array" ref="AE107">IF(SUMPRODUCT((AH107:AM107&lt;&gt;"")*1)=0,"",SUMPRODUCT((AH107:AM107&lt;&gt;"")*(LEN(TRIM(SUBSTITUTE(AH107:AM107,CHAR(160)," "))) - LEN(SUBSTITUTE(TRIM(SUBSTITUTE(AH107:AM107,CHAR(160)," "))," ","")) + 1)) &amp; " word" &amp; IF(SUMPRODUCT((AH107:AM107&lt;&gt;"")*(LEN(TRIM(SUBSTITUTE(AH107:AM107,CHAR(160)," "))) - LEN(SUBSTITUTE(TRIM(SUBSTITUTE(AH107:AM107,CHAR(160)," "))," ","")) + 1))&gt;1,"s",""))</f>
        <v/>
      </c>
      <c r="AF107" s="5550" t="str" cm="1">
        <f t="array" ref="AF107">SUMPRODUCT(--(AH107:AM107&lt;&gt;""), LEN(TRIM(SUBSTITUTE(AH107:AM107, CHAR(160), "")))) &amp; " Car."</f>
        <v>0 Car.</v>
      </c>
      <c r="AG107" s="1376" t="str">
        <f>IF(ISBLANK(AH107),"",LARGE(AG97:AG106,1)+1)</f>
        <v/>
      </c>
      <c r="AH107" s="1810"/>
      <c r="AI107" s="1810"/>
      <c r="AJ107" s="1810"/>
      <c r="AK107" s="1810"/>
      <c r="AL107" s="1810"/>
      <c r="AM107" s="1810"/>
      <c r="AN107" s="1810"/>
      <c r="AO107" s="1810"/>
      <c r="AP107" s="1811"/>
      <c r="AR107" s="162" t="s">
        <v>10</v>
      </c>
      <c r="AS107" s="163" t="str">
        <f>AS75</f>
        <v>N NOMBRE DE SU RECETA | pegue esto — FAMILIA| Auteur &gt; VOUS</v>
      </c>
      <c r="AT107" s="163">
        <f>AT75</f>
        <v>1</v>
      </c>
      <c r="AU107" s="164" t="str">
        <f>AU75</f>
        <v>coupe</v>
      </c>
      <c r="AV107" s="165" t="str">
        <f>AV75</f>
        <v>Receta madre ► MILLE-FEUILLE  aux fraises des bois</v>
      </c>
      <c r="AW107" s="1548"/>
      <c r="AX107" s="1548"/>
      <c r="AY107" s="2190">
        <f>ROWS(BC98:BC107)</f>
        <v>10</v>
      </c>
      <c r="AZ107" s="5549" t="str" cm="1">
        <f t="array" ref="AZ107">IF(SUMPRODUCT((BC107:BH107&lt;&gt;"")*1)=0,"",SUMPRODUCT((BC107:BH107&lt;&gt;"")*(LEN(TRIM(SUBSTITUTE(BC107:BH107,CHAR(160)," "))) - LEN(SUBSTITUTE(TRIM(SUBSTITUTE(BC107:BH107,CHAR(160)," "))," ","")) + 1)) &amp; " palabra" &amp; IF(SUMPRODUCT((BC107:BH107&lt;&gt;"")*(LEN(TRIM(SUBSTITUTE(BC107:BH107,CHAR(160)," "))) - LEN(SUBSTITUTE(TRIM(SUBSTITUTE(BC107:BH107,CHAR(160)," "))," ","")) + 1))&gt;1,"s",""))</f>
        <v/>
      </c>
      <c r="BA107" s="5550" t="str" cm="1">
        <f t="array" ref="BA107">SUMPRODUCT(--(BC107:BH107&lt;&gt;""), LEN(TRIM(SUBSTITUTE(BC107:BH107, CHAR(160), "")))) &amp; " Car."</f>
        <v>0 Car.</v>
      </c>
      <c r="BB107" s="1376" t="str">
        <f>IF(ISBLANK(BC107),"",LARGE(BB97:BB106,1)+1)</f>
        <v/>
      </c>
      <c r="BC107" s="1833"/>
      <c r="BD107" s="1810"/>
      <c r="BE107" s="1810"/>
      <c r="BF107" s="1810"/>
      <c r="BG107" s="1810"/>
      <c r="BH107" s="1810"/>
      <c r="BI107" s="1810"/>
      <c r="BJ107" s="1810"/>
      <c r="BK107" s="1811"/>
      <c r="BM107" s="3">
        <v>1</v>
      </c>
    </row>
    <row r="108" spans="2:65" ht="21" customHeight="1">
      <c r="B108" s="162" t="s">
        <v>10</v>
      </c>
      <c r="C108" s="163" t="str">
        <f>C75</f>
        <v>N NOM DE VOTRE RECETTE | collez la--FAMILLE| Auteur &gt; VOUS</v>
      </c>
      <c r="D108" s="1943">
        <f>D75</f>
        <v>1</v>
      </c>
      <c r="E108" s="164" t="str">
        <f>E75</f>
        <v>coupe</v>
      </c>
      <c r="F108" s="165" t="str">
        <f>F75</f>
        <v>Recette mère ► MILLE-FEUILLE  aux fraises des bois</v>
      </c>
      <c r="G108" s="1548"/>
      <c r="H108" s="1548"/>
      <c r="I108" s="2190">
        <f>ROWS(M98:M108)</f>
        <v>11</v>
      </c>
      <c r="J108" s="5549" t="str" cm="1">
        <f t="array" ref="J108">IF(SUMPRODUCT((M108:R108&lt;&gt;"")*1)=0,"",SUMPRODUCT((M108:R108&lt;&gt;"")*(LEN(TRIM(SUBSTITUTE(M108:R108,CHAR(160)," "))) - LEN(SUBSTITUTE(TRIM(SUBSTITUTE(M108:R108,CHAR(160)," "))," ","")) + 1)) &amp; " mot" &amp; IF(SUMPRODUCT((M108:R108&lt;&gt;"")*(LEN(TRIM(SUBSTITUTE(M108:R108,CHAR(160)," "))) - LEN(SUBSTITUTE(TRIM(SUBSTITUTE(M108:R108,CHAR(160)," "))," ","")) + 1))&gt;1,"s",""))</f>
        <v/>
      </c>
      <c r="K108" s="5550" t="str" cm="1">
        <f t="array" ref="K108">SUMPRODUCT(--(M108:R108&lt;&gt;""), LEN(TRIM(SUBSTITUTE(M108:R108, CHAR(160), "")))) &amp; " Car."</f>
        <v>0 Car.</v>
      </c>
      <c r="L108" s="1376" t="str">
        <f>IF(ISBLANK(M108),"",LARGE(L97:L107,1)+1)</f>
        <v/>
      </c>
      <c r="M108" s="1810"/>
      <c r="N108" s="1810"/>
      <c r="O108" s="1810"/>
      <c r="P108" s="1810"/>
      <c r="Q108" s="1810"/>
      <c r="R108" s="1810"/>
      <c r="S108" s="1810"/>
      <c r="T108" s="1810"/>
      <c r="U108" s="1811"/>
      <c r="W108" s="162" t="s">
        <v>10</v>
      </c>
      <c r="X108" s="163" t="str">
        <f>X75</f>
        <v>N NAME OF YOUR RECIPE | paste it — FAMILY|  Author &gt; YOU</v>
      </c>
      <c r="Y108" s="163">
        <f>Y75</f>
        <v>1</v>
      </c>
      <c r="Z108" s="164" t="str">
        <f>Z75</f>
        <v>coupe</v>
      </c>
      <c r="AA108" s="165" t="str">
        <f>AA75</f>
        <v>Master recipe ► MILLE-FEUILLE  aux fraises des bois</v>
      </c>
      <c r="AB108" s="1548"/>
      <c r="AC108" s="1548"/>
      <c r="AD108" s="2190">
        <f>ROWS(AH98:AH108)</f>
        <v>11</v>
      </c>
      <c r="AE108" s="5549" t="str" cm="1">
        <f t="array" ref="AE108">IF(SUMPRODUCT((AH108:AM108&lt;&gt;"")*1)=0,"",SUMPRODUCT((AH108:AM108&lt;&gt;"")*(LEN(TRIM(SUBSTITUTE(AH108:AM108,CHAR(160)," "))) - LEN(SUBSTITUTE(TRIM(SUBSTITUTE(AH108:AM108,CHAR(160)," "))," ","")) + 1)) &amp; " word" &amp; IF(SUMPRODUCT((AH108:AM108&lt;&gt;"")*(LEN(TRIM(SUBSTITUTE(AH108:AM108,CHAR(160)," "))) - LEN(SUBSTITUTE(TRIM(SUBSTITUTE(AH108:AM108,CHAR(160)," "))," ","")) + 1))&gt;1,"s",""))</f>
        <v/>
      </c>
      <c r="AF108" s="5550" t="str" cm="1">
        <f t="array" ref="AF108">SUMPRODUCT(--(AH108:AM108&lt;&gt;""), LEN(TRIM(SUBSTITUTE(AH108:AM108, CHAR(160), "")))) &amp; " Car."</f>
        <v>0 Car.</v>
      </c>
      <c r="AG108" s="1376" t="str">
        <f>IF(ISBLANK(AH108),"",LARGE(AG97:AG107,1)+1)</f>
        <v/>
      </c>
      <c r="AH108" s="1810"/>
      <c r="AI108" s="1810"/>
      <c r="AJ108" s="1810"/>
      <c r="AK108" s="1810"/>
      <c r="AL108" s="1810"/>
      <c r="AM108" s="1810"/>
      <c r="AN108" s="1810"/>
      <c r="AO108" s="1810"/>
      <c r="AP108" s="1811"/>
      <c r="AR108" s="162" t="s">
        <v>10</v>
      </c>
      <c r="AS108" s="163" t="str">
        <f>AS75</f>
        <v>N NOMBRE DE SU RECETA | pegue esto — FAMILIA| Auteur &gt; VOUS</v>
      </c>
      <c r="AT108" s="163">
        <f>AT75</f>
        <v>1</v>
      </c>
      <c r="AU108" s="164" t="str">
        <f>AU75</f>
        <v>coupe</v>
      </c>
      <c r="AV108" s="165" t="str">
        <f>AV75</f>
        <v>Receta madre ► MILLE-FEUILLE  aux fraises des bois</v>
      </c>
      <c r="AW108" s="1548"/>
      <c r="AX108" s="1548"/>
      <c r="AY108" s="2190">
        <f>ROWS(BC98:BC108)</f>
        <v>11</v>
      </c>
      <c r="AZ108" s="5549" t="str" cm="1">
        <f t="array" ref="AZ108">IF(SUMPRODUCT((BC108:BH108&lt;&gt;"")*1)=0,"",SUMPRODUCT((BC108:BH108&lt;&gt;"")*(LEN(TRIM(SUBSTITUTE(BC108:BH108,CHAR(160)," "))) - LEN(SUBSTITUTE(TRIM(SUBSTITUTE(BC108:BH108,CHAR(160)," "))," ","")) + 1)) &amp; " palabra" &amp; IF(SUMPRODUCT((BC108:BH108&lt;&gt;"")*(LEN(TRIM(SUBSTITUTE(BC108:BH108,CHAR(160)," "))) - LEN(SUBSTITUTE(TRIM(SUBSTITUTE(BC108:BH108,CHAR(160)," "))," ","")) + 1))&gt;1,"s",""))</f>
        <v/>
      </c>
      <c r="BA108" s="5550" t="str" cm="1">
        <f t="array" ref="BA108">SUMPRODUCT(--(BC108:BH108&lt;&gt;""), LEN(TRIM(SUBSTITUTE(BC108:BH108, CHAR(160), "")))) &amp; " Car."</f>
        <v>0 Car.</v>
      </c>
      <c r="BB108" s="1376" t="str">
        <f>IF(ISBLANK(BC108),"",LARGE(BB97:BB107,1)+1)</f>
        <v/>
      </c>
      <c r="BC108" s="1833"/>
      <c r="BD108" s="1810"/>
      <c r="BE108" s="1810"/>
      <c r="BF108" s="1810"/>
      <c r="BG108" s="1810"/>
      <c r="BH108" s="1810"/>
      <c r="BI108" s="1810"/>
      <c r="BJ108" s="1810"/>
      <c r="BK108" s="1811"/>
      <c r="BM108" s="3">
        <v>1</v>
      </c>
    </row>
    <row r="109" spans="2:65" ht="21" customHeight="1">
      <c r="B109" s="162" t="s">
        <v>10</v>
      </c>
      <c r="C109" s="163" t="str">
        <f>C75</f>
        <v>N NOM DE VOTRE RECETTE | collez la--FAMILLE| Auteur &gt; VOUS</v>
      </c>
      <c r="D109" s="163">
        <f>D75</f>
        <v>1</v>
      </c>
      <c r="E109" s="164" t="str">
        <f>E75</f>
        <v>coupe</v>
      </c>
      <c r="F109" s="165" t="str">
        <f>F75</f>
        <v>Recette mère ► MILLE-FEUILLE  aux fraises des bois</v>
      </c>
      <c r="G109" s="1548"/>
      <c r="H109" s="1548"/>
      <c r="I109" s="2190">
        <f>ROWS(M98:M109)</f>
        <v>12</v>
      </c>
      <c r="J109" s="5549" t="str" cm="1">
        <f t="array" ref="J109">IF(SUMPRODUCT((M109:R109&lt;&gt;"")*1)=0,"",SUMPRODUCT((M109:R109&lt;&gt;"")*(LEN(TRIM(SUBSTITUTE(M109:R109,CHAR(160)," "))) - LEN(SUBSTITUTE(TRIM(SUBSTITUTE(M109:R109,CHAR(160)," "))," ","")) + 1)) &amp; " mot" &amp; IF(SUMPRODUCT((M109:R109&lt;&gt;"")*(LEN(TRIM(SUBSTITUTE(M109:R109,CHAR(160)," "))) - LEN(SUBSTITUTE(TRIM(SUBSTITUTE(M109:R109,CHAR(160)," "))," ","")) + 1))&gt;1,"s",""))</f>
        <v/>
      </c>
      <c r="K109" s="5550" t="str" cm="1">
        <f t="array" ref="K109">SUMPRODUCT(--(M109:R109&lt;&gt;""), LEN(TRIM(SUBSTITUTE(M109:R109, CHAR(160), "")))) &amp; " Car."</f>
        <v>0 Car.</v>
      </c>
      <c r="L109" s="1376" t="str">
        <f>IF(ISBLANK(M109),"",LARGE(L97:L108,1)+1)</f>
        <v/>
      </c>
      <c r="M109" s="1810"/>
      <c r="N109" s="1810"/>
      <c r="O109" s="1810"/>
      <c r="P109" s="1810"/>
      <c r="Q109" s="1810"/>
      <c r="R109" s="1810"/>
      <c r="S109" s="1810"/>
      <c r="T109" s="1810"/>
      <c r="U109" s="1811"/>
      <c r="W109" s="162" t="s">
        <v>10</v>
      </c>
      <c r="X109" s="163" t="str">
        <f>X75</f>
        <v>N NAME OF YOUR RECIPE | paste it — FAMILY|  Author &gt; YOU</v>
      </c>
      <c r="Y109" s="163">
        <f>Y75</f>
        <v>1</v>
      </c>
      <c r="Z109" s="164" t="str">
        <f>Z75</f>
        <v>coupe</v>
      </c>
      <c r="AA109" s="165" t="str">
        <f>AA75</f>
        <v>Master recipe ► MILLE-FEUILLE  aux fraises des bois</v>
      </c>
      <c r="AB109" s="1548"/>
      <c r="AC109" s="1548"/>
      <c r="AD109" s="2190">
        <f>ROWS(AH98:AH109)</f>
        <v>12</v>
      </c>
      <c r="AE109" s="5549" t="str" cm="1">
        <f t="array" ref="AE109">IF(SUMPRODUCT((AH109:AM109&lt;&gt;"")*1)=0,"",SUMPRODUCT((AH109:AM109&lt;&gt;"")*(LEN(TRIM(SUBSTITUTE(AH109:AM109,CHAR(160)," "))) - LEN(SUBSTITUTE(TRIM(SUBSTITUTE(AH109:AM109,CHAR(160)," "))," ","")) + 1)) &amp; " word" &amp; IF(SUMPRODUCT((AH109:AM109&lt;&gt;"")*(LEN(TRIM(SUBSTITUTE(AH109:AM109,CHAR(160)," "))) - LEN(SUBSTITUTE(TRIM(SUBSTITUTE(AH109:AM109,CHAR(160)," "))," ","")) + 1))&gt;1,"s",""))</f>
        <v/>
      </c>
      <c r="AF109" s="5550" t="str" cm="1">
        <f t="array" ref="AF109">SUMPRODUCT(--(AH109:AM109&lt;&gt;""), LEN(TRIM(SUBSTITUTE(AH109:AM109, CHAR(160), "")))) &amp; " Car."</f>
        <v>0 Car.</v>
      </c>
      <c r="AG109" s="1376" t="str">
        <f>IF(ISBLANK(AH109),"",LARGE(AG97:AG108,1)+1)</f>
        <v/>
      </c>
      <c r="AH109" s="1810"/>
      <c r="AI109" s="1833"/>
      <c r="AJ109" s="1810"/>
      <c r="AK109" s="1810"/>
      <c r="AL109" s="1810"/>
      <c r="AM109" s="1810"/>
      <c r="AN109" s="1810"/>
      <c r="AO109" s="1810"/>
      <c r="AP109" s="1811"/>
      <c r="AR109" s="162" t="s">
        <v>10</v>
      </c>
      <c r="AS109" s="163" t="str">
        <f>AS75</f>
        <v>N NOMBRE DE SU RECETA | pegue esto — FAMILIA| Auteur &gt; VOUS</v>
      </c>
      <c r="AT109" s="163">
        <f>AT75</f>
        <v>1</v>
      </c>
      <c r="AU109" s="164" t="str">
        <f>AU75</f>
        <v>coupe</v>
      </c>
      <c r="AV109" s="165" t="str">
        <f>AV75</f>
        <v>Receta madre ► MILLE-FEUILLE  aux fraises des bois</v>
      </c>
      <c r="AW109" s="1548"/>
      <c r="AX109" s="1548"/>
      <c r="AY109" s="2190">
        <f>ROWS(BC98:BC109)</f>
        <v>12</v>
      </c>
      <c r="AZ109" s="5549" t="str" cm="1">
        <f t="array" ref="AZ109">IF(SUMPRODUCT((BC109:BH109&lt;&gt;"")*1)=0,"",SUMPRODUCT((BC109:BH109&lt;&gt;"")*(LEN(TRIM(SUBSTITUTE(BC109:BH109,CHAR(160)," "))) - LEN(SUBSTITUTE(TRIM(SUBSTITUTE(BC109:BH109,CHAR(160)," "))," ","")) + 1)) &amp; " palabra" &amp; IF(SUMPRODUCT((BC109:BH109&lt;&gt;"")*(LEN(TRIM(SUBSTITUTE(BC109:BH109,CHAR(160)," "))) - LEN(SUBSTITUTE(TRIM(SUBSTITUTE(BC109:BH109,CHAR(160)," "))," ","")) + 1))&gt;1,"s",""))</f>
        <v/>
      </c>
      <c r="BA109" s="5550" t="str" cm="1">
        <f t="array" ref="BA109">SUMPRODUCT(--(BC109:BH109&lt;&gt;""), LEN(TRIM(SUBSTITUTE(BC109:BH109, CHAR(160), "")))) &amp; " Car."</f>
        <v>0 Car.</v>
      </c>
      <c r="BB109" s="1376" t="str">
        <f>IF(ISBLANK(BC109),"",LARGE(BB97:BB108,1)+1)</f>
        <v/>
      </c>
      <c r="BC109" s="1833"/>
      <c r="BD109" s="1810"/>
      <c r="BE109" s="1810"/>
      <c r="BF109" s="1810"/>
      <c r="BG109" s="1810"/>
      <c r="BH109" s="1810"/>
      <c r="BI109" s="1810"/>
      <c r="BJ109" s="1810"/>
      <c r="BK109" s="1811"/>
      <c r="BM109" s="3">
        <v>1</v>
      </c>
    </row>
    <row r="110" spans="2:65" ht="21" customHeight="1">
      <c r="B110" s="162" t="s">
        <v>10</v>
      </c>
      <c r="C110" s="163" t="str">
        <f>C75</f>
        <v>N NOM DE VOTRE RECETTE | collez la--FAMILLE| Auteur &gt; VOUS</v>
      </c>
      <c r="D110" s="163">
        <f>D75</f>
        <v>1</v>
      </c>
      <c r="E110" s="164" t="str">
        <f>E75</f>
        <v>coupe</v>
      </c>
      <c r="F110" s="165" t="str">
        <f>F75</f>
        <v>Recette mère ► MILLE-FEUILLE  aux fraises des bois</v>
      </c>
      <c r="G110" s="1548"/>
      <c r="H110" s="1548"/>
      <c r="I110" s="2190">
        <f>ROWS(M98:M110)</f>
        <v>13</v>
      </c>
      <c r="J110" s="5549" t="str" cm="1">
        <f t="array" ref="J110">IF(SUMPRODUCT((M110:R110&lt;&gt;"")*1)=0,"",SUMPRODUCT((M110:R110&lt;&gt;"")*(LEN(TRIM(SUBSTITUTE(M110:R110,CHAR(160)," "))) - LEN(SUBSTITUTE(TRIM(SUBSTITUTE(M110:R110,CHAR(160)," "))," ","")) + 1)) &amp; " mot" &amp; IF(SUMPRODUCT((M110:R110&lt;&gt;"")*(LEN(TRIM(SUBSTITUTE(M110:R110,CHAR(160)," "))) - LEN(SUBSTITUTE(TRIM(SUBSTITUTE(M110:R110,CHAR(160)," "))," ","")) + 1))&gt;1,"s",""))</f>
        <v/>
      </c>
      <c r="K110" s="5550" t="str" cm="1">
        <f t="array" ref="K110">SUMPRODUCT(--(M110:R110&lt;&gt;""), LEN(TRIM(SUBSTITUTE(M110:R110, CHAR(160), "")))) &amp; " Car."</f>
        <v>0 Car.</v>
      </c>
      <c r="L110" s="1376" t="str">
        <f>IF(ISBLANK(M110),"",LARGE(L97:L109,1)+1)</f>
        <v/>
      </c>
      <c r="M110" s="1810"/>
      <c r="N110" s="1810"/>
      <c r="O110" s="1810"/>
      <c r="P110" s="1810"/>
      <c r="Q110" s="1810"/>
      <c r="R110" s="1810"/>
      <c r="S110" s="1810"/>
      <c r="T110" s="1810"/>
      <c r="U110" s="1811"/>
      <c r="W110" s="162" t="s">
        <v>10</v>
      </c>
      <c r="X110" s="163" t="str">
        <f>X75</f>
        <v>N NAME OF YOUR RECIPE | paste it — FAMILY|  Author &gt; YOU</v>
      </c>
      <c r="Y110" s="163">
        <f>Y75</f>
        <v>1</v>
      </c>
      <c r="Z110" s="164" t="str">
        <f>Z75</f>
        <v>coupe</v>
      </c>
      <c r="AA110" s="165" t="str">
        <f>AA75</f>
        <v>Master recipe ► MILLE-FEUILLE  aux fraises des bois</v>
      </c>
      <c r="AB110" s="1548"/>
      <c r="AC110" s="1548"/>
      <c r="AD110" s="2190">
        <f>ROWS(AH98:AH110)</f>
        <v>13</v>
      </c>
      <c r="AE110" s="5549" t="str" cm="1">
        <f t="array" ref="AE110">IF(SUMPRODUCT((AH110:AM110&lt;&gt;"")*1)=0,"",SUMPRODUCT((AH110:AM110&lt;&gt;"")*(LEN(TRIM(SUBSTITUTE(AH110:AM110,CHAR(160)," "))) - LEN(SUBSTITUTE(TRIM(SUBSTITUTE(AH110:AM110,CHAR(160)," "))," ","")) + 1)) &amp; " word" &amp; IF(SUMPRODUCT((AH110:AM110&lt;&gt;"")*(LEN(TRIM(SUBSTITUTE(AH110:AM110,CHAR(160)," "))) - LEN(SUBSTITUTE(TRIM(SUBSTITUTE(AH110:AM110,CHAR(160)," "))," ","")) + 1))&gt;1,"s",""))</f>
        <v/>
      </c>
      <c r="AF110" s="5550" t="str" cm="1">
        <f t="array" ref="AF110">SUMPRODUCT(--(AH110:AM110&lt;&gt;""), LEN(TRIM(SUBSTITUTE(AH110:AM110, CHAR(160), "")))) &amp; " Car."</f>
        <v>0 Car.</v>
      </c>
      <c r="AG110" s="1376" t="str">
        <f>IF(ISBLANK(AH110),"",LARGE(AG97:AG109,1)+1)</f>
        <v/>
      </c>
      <c r="AH110" s="1810"/>
      <c r="AI110" s="1810"/>
      <c r="AJ110" s="1810"/>
      <c r="AK110" s="1810"/>
      <c r="AL110" s="1810"/>
      <c r="AM110" s="1810"/>
      <c r="AN110" s="1810"/>
      <c r="AO110" s="1810"/>
      <c r="AP110" s="1811"/>
      <c r="AR110" s="162" t="s">
        <v>10</v>
      </c>
      <c r="AS110" s="163" t="str">
        <f>AS75</f>
        <v>N NOMBRE DE SU RECETA | pegue esto — FAMILIA| Auteur &gt; VOUS</v>
      </c>
      <c r="AT110" s="163">
        <f>AT75</f>
        <v>1</v>
      </c>
      <c r="AU110" s="164" t="str">
        <f>AU75</f>
        <v>coupe</v>
      </c>
      <c r="AV110" s="165" t="str">
        <f>AV75</f>
        <v>Receta madre ► MILLE-FEUILLE  aux fraises des bois</v>
      </c>
      <c r="AW110" s="1548"/>
      <c r="AX110" s="1548"/>
      <c r="AY110" s="2190">
        <f>ROWS(BC98:BC110)</f>
        <v>13</v>
      </c>
      <c r="AZ110" s="5549" t="str" cm="1">
        <f t="array" ref="AZ110">IF(SUMPRODUCT((BC110:BH110&lt;&gt;"")*1)=0,"",SUMPRODUCT((BC110:BH110&lt;&gt;"")*(LEN(TRIM(SUBSTITUTE(BC110:BH110,CHAR(160)," "))) - LEN(SUBSTITUTE(TRIM(SUBSTITUTE(BC110:BH110,CHAR(160)," "))," ","")) + 1)) &amp; " palabra" &amp; IF(SUMPRODUCT((BC110:BH110&lt;&gt;"")*(LEN(TRIM(SUBSTITUTE(BC110:BH110,CHAR(160)," "))) - LEN(SUBSTITUTE(TRIM(SUBSTITUTE(BC110:BH110,CHAR(160)," "))," ","")) + 1))&gt;1,"s",""))</f>
        <v/>
      </c>
      <c r="BA110" s="5550" t="str" cm="1">
        <f t="array" ref="BA110">SUMPRODUCT(--(BC110:BH110&lt;&gt;""), LEN(TRIM(SUBSTITUTE(BC110:BH110, CHAR(160), "")))) &amp; " Car."</f>
        <v>0 Car.</v>
      </c>
      <c r="BB110" s="1376" t="str">
        <f>IF(ISBLANK(BC110),"",LARGE(BB97:BB109,1)+1)</f>
        <v/>
      </c>
      <c r="BC110" s="1833"/>
      <c r="BD110" s="1810"/>
      <c r="BE110" s="1810"/>
      <c r="BF110" s="1810"/>
      <c r="BG110" s="1810"/>
      <c r="BH110" s="1810"/>
      <c r="BI110" s="1810"/>
      <c r="BJ110" s="1810"/>
      <c r="BK110" s="1811"/>
      <c r="BM110" s="3">
        <v>1</v>
      </c>
    </row>
    <row r="111" spans="2:65" ht="21" customHeight="1">
      <c r="B111" s="162" t="s">
        <v>10</v>
      </c>
      <c r="C111" s="163" t="str">
        <f>C75</f>
        <v>N NOM DE VOTRE RECETTE | collez la--FAMILLE| Auteur &gt; VOUS</v>
      </c>
      <c r="D111" s="163">
        <f>D75</f>
        <v>1</v>
      </c>
      <c r="E111" s="164" t="str">
        <f>E75</f>
        <v>coupe</v>
      </c>
      <c r="F111" s="165" t="str">
        <f>F75</f>
        <v>Recette mère ► MILLE-FEUILLE  aux fraises des bois</v>
      </c>
      <c r="G111" s="1548"/>
      <c r="H111" s="1548"/>
      <c r="I111" s="2190">
        <f>ROWS(M98:M111)</f>
        <v>14</v>
      </c>
      <c r="J111" s="5549" t="str" cm="1">
        <f t="array" ref="J111">IF(SUMPRODUCT((M111:R111&lt;&gt;"")*1)=0,"",SUMPRODUCT((M111:R111&lt;&gt;"")*(LEN(TRIM(SUBSTITUTE(M111:R111,CHAR(160)," "))) - LEN(SUBSTITUTE(TRIM(SUBSTITUTE(M111:R111,CHAR(160)," "))," ","")) + 1)) &amp; " mot" &amp; IF(SUMPRODUCT((M111:R111&lt;&gt;"")*(LEN(TRIM(SUBSTITUTE(M111:R111,CHAR(160)," "))) - LEN(SUBSTITUTE(TRIM(SUBSTITUTE(M111:R111,CHAR(160)," "))," ","")) + 1))&gt;1,"s",""))</f>
        <v/>
      </c>
      <c r="K111" s="5550" t="str" cm="1">
        <f t="array" ref="K111">SUMPRODUCT(--(M111:R111&lt;&gt;""), LEN(TRIM(SUBSTITUTE(M111:R111, CHAR(160), "")))) &amp; " Car."</f>
        <v>0 Car.</v>
      </c>
      <c r="L111" s="1376" t="str">
        <f>IF(ISBLANK(M111),"",LARGE(L97:L110,1)+1)</f>
        <v/>
      </c>
      <c r="M111" s="1810"/>
      <c r="N111" s="1810"/>
      <c r="O111" s="1810"/>
      <c r="P111" s="1810"/>
      <c r="Q111" s="1810"/>
      <c r="R111" s="1810"/>
      <c r="S111" s="1810"/>
      <c r="T111" s="1810"/>
      <c r="U111" s="1811"/>
      <c r="W111" s="162" t="s">
        <v>10</v>
      </c>
      <c r="X111" s="163" t="str">
        <f>X75</f>
        <v>N NAME OF YOUR RECIPE | paste it — FAMILY|  Author &gt; YOU</v>
      </c>
      <c r="Y111" s="163">
        <f>Y75</f>
        <v>1</v>
      </c>
      <c r="Z111" s="164" t="str">
        <f>Z75</f>
        <v>coupe</v>
      </c>
      <c r="AA111" s="165" t="str">
        <f>AA75</f>
        <v>Master recipe ► MILLE-FEUILLE  aux fraises des bois</v>
      </c>
      <c r="AB111" s="1548"/>
      <c r="AC111" s="1548"/>
      <c r="AD111" s="2190">
        <f>ROWS(AH98:AH111)</f>
        <v>14</v>
      </c>
      <c r="AE111" s="5549" t="str" cm="1">
        <f t="array" ref="AE111">IF(SUMPRODUCT((AH111:AM111&lt;&gt;"")*1)=0,"",SUMPRODUCT((AH111:AM111&lt;&gt;"")*(LEN(TRIM(SUBSTITUTE(AH111:AM111,CHAR(160)," "))) - LEN(SUBSTITUTE(TRIM(SUBSTITUTE(AH111:AM111,CHAR(160)," "))," ","")) + 1)) &amp; " word" &amp; IF(SUMPRODUCT((AH111:AM111&lt;&gt;"")*(LEN(TRIM(SUBSTITUTE(AH111:AM111,CHAR(160)," "))) - LEN(SUBSTITUTE(TRIM(SUBSTITUTE(AH111:AM111,CHAR(160)," "))," ","")) + 1))&gt;1,"s",""))</f>
        <v/>
      </c>
      <c r="AF111" s="5550" t="str" cm="1">
        <f t="array" ref="AF111">SUMPRODUCT(--(AH111:AM111&lt;&gt;""), LEN(TRIM(SUBSTITUTE(AH111:AM111, CHAR(160), "")))) &amp; " Car."</f>
        <v>0 Car.</v>
      </c>
      <c r="AG111" s="1376" t="str">
        <f>IF(ISBLANK(AH111),"",LARGE(AG97:AG110,1)+1)</f>
        <v/>
      </c>
      <c r="AH111" s="1810"/>
      <c r="AI111" s="1833"/>
      <c r="AJ111" s="1810"/>
      <c r="AK111" s="1810"/>
      <c r="AL111" s="1810"/>
      <c r="AM111" s="1810"/>
      <c r="AN111" s="1810"/>
      <c r="AO111" s="1810"/>
      <c r="AP111" s="1811"/>
      <c r="AR111" s="162" t="s">
        <v>10</v>
      </c>
      <c r="AS111" s="163" t="str">
        <f>AS75</f>
        <v>N NOMBRE DE SU RECETA | pegue esto — FAMILIA| Auteur &gt; VOUS</v>
      </c>
      <c r="AT111" s="163">
        <f>AT75</f>
        <v>1</v>
      </c>
      <c r="AU111" s="164" t="str">
        <f>AU75</f>
        <v>coupe</v>
      </c>
      <c r="AV111" s="165" t="str">
        <f>AV75</f>
        <v>Receta madre ► MILLE-FEUILLE  aux fraises des bois</v>
      </c>
      <c r="AW111" s="1548"/>
      <c r="AX111" s="1548"/>
      <c r="AY111" s="2190">
        <f>ROWS(BC98:BC111)</f>
        <v>14</v>
      </c>
      <c r="AZ111" s="5549" t="str" cm="1">
        <f t="array" ref="AZ111">IF(SUMPRODUCT((BC111:BH111&lt;&gt;"")*1)=0,"",SUMPRODUCT((BC111:BH111&lt;&gt;"")*(LEN(TRIM(SUBSTITUTE(BC111:BH111,CHAR(160)," "))) - LEN(SUBSTITUTE(TRIM(SUBSTITUTE(BC111:BH111,CHAR(160)," "))," ","")) + 1)) &amp; " palabra" &amp; IF(SUMPRODUCT((BC111:BH111&lt;&gt;"")*(LEN(TRIM(SUBSTITUTE(BC111:BH111,CHAR(160)," "))) - LEN(SUBSTITUTE(TRIM(SUBSTITUTE(BC111:BH111,CHAR(160)," "))," ","")) + 1))&gt;1,"s",""))</f>
        <v/>
      </c>
      <c r="BA111" s="5550" t="str" cm="1">
        <f t="array" ref="BA111">SUMPRODUCT(--(BC111:BH111&lt;&gt;""), LEN(TRIM(SUBSTITUTE(BC111:BH111, CHAR(160), "")))) &amp; " Car."</f>
        <v>0 Car.</v>
      </c>
      <c r="BB111" s="1376" t="str">
        <f>IF(ISBLANK(BC111),"",LARGE(BB97:BB110,1)+1)</f>
        <v/>
      </c>
      <c r="BC111" s="1833"/>
      <c r="BD111" s="1810"/>
      <c r="BE111" s="1810"/>
      <c r="BF111" s="1810"/>
      <c r="BG111" s="1810"/>
      <c r="BH111" s="1810"/>
      <c r="BI111" s="1810"/>
      <c r="BJ111" s="1810"/>
      <c r="BK111" s="1811"/>
      <c r="BM111" s="3">
        <v>1</v>
      </c>
    </row>
    <row r="112" spans="2:65" ht="21" customHeight="1">
      <c r="B112" s="162" t="s">
        <v>10</v>
      </c>
      <c r="C112" s="163" t="str">
        <f>C75</f>
        <v>N NOM DE VOTRE RECETTE | collez la--FAMILLE| Auteur &gt; VOUS</v>
      </c>
      <c r="D112" s="163">
        <f>D75</f>
        <v>1</v>
      </c>
      <c r="E112" s="164" t="str">
        <f>E75</f>
        <v>coupe</v>
      </c>
      <c r="F112" s="165" t="str">
        <f>F75</f>
        <v>Recette mère ► MILLE-FEUILLE  aux fraises des bois</v>
      </c>
      <c r="G112" s="1548"/>
      <c r="H112" s="1548"/>
      <c r="I112" s="2190">
        <f>ROWS(M98:M112)</f>
        <v>15</v>
      </c>
      <c r="J112" s="5549" t="str" cm="1">
        <f t="array" ref="J112">IF(SUMPRODUCT((M112:R112&lt;&gt;"")*1)=0,"",SUMPRODUCT((M112:R112&lt;&gt;"")*(LEN(TRIM(SUBSTITUTE(M112:R112,CHAR(160)," "))) - LEN(SUBSTITUTE(TRIM(SUBSTITUTE(M112:R112,CHAR(160)," "))," ","")) + 1)) &amp; " mot" &amp; IF(SUMPRODUCT((M112:R112&lt;&gt;"")*(LEN(TRIM(SUBSTITUTE(M112:R112,CHAR(160)," "))) - LEN(SUBSTITUTE(TRIM(SUBSTITUTE(M112:R112,CHAR(160)," "))," ","")) + 1))&gt;1,"s",""))</f>
        <v/>
      </c>
      <c r="K112" s="5550" t="str" cm="1">
        <f t="array" ref="K112">SUMPRODUCT(--(M112:R112&lt;&gt;""), LEN(TRIM(SUBSTITUTE(M112:R112, CHAR(160), "")))) &amp; " Car."</f>
        <v>0 Car.</v>
      </c>
      <c r="L112" s="1376" t="str">
        <f>IF(ISBLANK(M112),"",LARGE(L97:L111,1)+1)</f>
        <v/>
      </c>
      <c r="M112" s="1810"/>
      <c r="N112" s="1810"/>
      <c r="O112" s="1810"/>
      <c r="P112" s="1810"/>
      <c r="Q112" s="1810"/>
      <c r="R112" s="1810"/>
      <c r="S112" s="1810"/>
      <c r="T112" s="1810"/>
      <c r="U112" s="1811"/>
      <c r="W112" s="162" t="s">
        <v>10</v>
      </c>
      <c r="X112" s="163" t="str">
        <f>X75</f>
        <v>N NAME OF YOUR RECIPE | paste it — FAMILY|  Author &gt; YOU</v>
      </c>
      <c r="Y112" s="163">
        <f>Y75</f>
        <v>1</v>
      </c>
      <c r="Z112" s="164" t="str">
        <f>Z75</f>
        <v>coupe</v>
      </c>
      <c r="AA112" s="165" t="str">
        <f>AA75</f>
        <v>Master recipe ► MILLE-FEUILLE  aux fraises des bois</v>
      </c>
      <c r="AB112" s="1548"/>
      <c r="AC112" s="1548"/>
      <c r="AD112" s="2190">
        <f>ROWS(AH98:AH112)</f>
        <v>15</v>
      </c>
      <c r="AE112" s="5549" t="str" cm="1">
        <f t="array" ref="AE112">IF(SUMPRODUCT((AH112:AM112&lt;&gt;"")*1)=0,"",SUMPRODUCT((AH112:AM112&lt;&gt;"")*(LEN(TRIM(SUBSTITUTE(AH112:AM112,CHAR(160)," "))) - LEN(SUBSTITUTE(TRIM(SUBSTITUTE(AH112:AM112,CHAR(160)," "))," ","")) + 1)) &amp; " word" &amp; IF(SUMPRODUCT((AH112:AM112&lt;&gt;"")*(LEN(TRIM(SUBSTITUTE(AH112:AM112,CHAR(160)," "))) - LEN(SUBSTITUTE(TRIM(SUBSTITUTE(AH112:AM112,CHAR(160)," "))," ","")) + 1))&gt;1,"s",""))</f>
        <v/>
      </c>
      <c r="AF112" s="5550" t="str" cm="1">
        <f t="array" ref="AF112">SUMPRODUCT(--(AH112:AM112&lt;&gt;""), LEN(TRIM(SUBSTITUTE(AH112:AM112, CHAR(160), "")))) &amp; " Car."</f>
        <v>0 Car.</v>
      </c>
      <c r="AG112" s="1376" t="str">
        <f>IF(ISBLANK(AH112),"",LARGE(AG97:AG111,1)+1)</f>
        <v/>
      </c>
      <c r="AH112" s="1810"/>
      <c r="AI112" s="1810"/>
      <c r="AJ112" s="1810"/>
      <c r="AK112" s="1810"/>
      <c r="AL112" s="1810"/>
      <c r="AM112" s="1810"/>
      <c r="AN112" s="1810"/>
      <c r="AO112" s="1810"/>
      <c r="AP112" s="1811"/>
      <c r="AR112" s="162" t="s">
        <v>10</v>
      </c>
      <c r="AS112" s="163" t="str">
        <f>AS75</f>
        <v>N NOMBRE DE SU RECETA | pegue esto — FAMILIA| Auteur &gt; VOUS</v>
      </c>
      <c r="AT112" s="163">
        <f>AT75</f>
        <v>1</v>
      </c>
      <c r="AU112" s="164" t="str">
        <f>AU75</f>
        <v>coupe</v>
      </c>
      <c r="AV112" s="165" t="str">
        <f>AV75</f>
        <v>Receta madre ► MILLE-FEUILLE  aux fraises des bois</v>
      </c>
      <c r="AW112" s="1548"/>
      <c r="AX112" s="1548"/>
      <c r="AY112" s="2190">
        <f>ROWS(BC98:BC112)</f>
        <v>15</v>
      </c>
      <c r="AZ112" s="5549" t="str" cm="1">
        <f t="array" ref="AZ112">IF(SUMPRODUCT((BC112:BH112&lt;&gt;"")*1)=0,"",SUMPRODUCT((BC112:BH112&lt;&gt;"")*(LEN(TRIM(SUBSTITUTE(BC112:BH112,CHAR(160)," "))) - LEN(SUBSTITUTE(TRIM(SUBSTITUTE(BC112:BH112,CHAR(160)," "))," ","")) + 1)) &amp; " palabra" &amp; IF(SUMPRODUCT((BC112:BH112&lt;&gt;"")*(LEN(TRIM(SUBSTITUTE(BC112:BH112,CHAR(160)," "))) - LEN(SUBSTITUTE(TRIM(SUBSTITUTE(BC112:BH112,CHAR(160)," "))," ","")) + 1))&gt;1,"s",""))</f>
        <v/>
      </c>
      <c r="BA112" s="5550" t="str" cm="1">
        <f t="array" ref="BA112">SUMPRODUCT(--(BC112:BH112&lt;&gt;""), LEN(TRIM(SUBSTITUTE(BC112:BH112, CHAR(160), "")))) &amp; " Car."</f>
        <v>0 Car.</v>
      </c>
      <c r="BB112" s="1376" t="str">
        <f>IF(ISBLANK(BC112),"",LARGE(BB97:BB111,1)+1)</f>
        <v/>
      </c>
      <c r="BC112" s="1833"/>
      <c r="BD112" s="1810"/>
      <c r="BE112" s="1810"/>
      <c r="BF112" s="1810"/>
      <c r="BG112" s="1810"/>
      <c r="BH112" s="1810"/>
      <c r="BI112" s="1810"/>
      <c r="BJ112" s="1810"/>
      <c r="BK112" s="1811"/>
      <c r="BM112" s="3">
        <v>1</v>
      </c>
    </row>
    <row r="113" spans="2:65" ht="21" customHeight="1">
      <c r="B113" s="162" t="s">
        <v>10</v>
      </c>
      <c r="C113" s="163" t="str">
        <f>C75</f>
        <v>N NOM DE VOTRE RECETTE | collez la--FAMILLE| Auteur &gt; VOUS</v>
      </c>
      <c r="D113" s="163">
        <f>D75</f>
        <v>1</v>
      </c>
      <c r="E113" s="164" t="str">
        <f>E75</f>
        <v>coupe</v>
      </c>
      <c r="F113" s="165" t="str">
        <f>F75</f>
        <v>Recette mère ► MILLE-FEUILLE  aux fraises des bois</v>
      </c>
      <c r="G113" s="1548"/>
      <c r="H113" s="1548"/>
      <c r="I113" s="2190">
        <f>ROWS(M98:M113)</f>
        <v>16</v>
      </c>
      <c r="J113" s="5549" t="str" cm="1">
        <f t="array" ref="J113">IF(SUMPRODUCT((M113:R113&lt;&gt;"")*1)=0,"",SUMPRODUCT((M113:R113&lt;&gt;"")*(LEN(TRIM(SUBSTITUTE(M113:R113,CHAR(160)," "))) - LEN(SUBSTITUTE(TRIM(SUBSTITUTE(M113:R113,CHAR(160)," "))," ","")) + 1)) &amp; " mot" &amp; IF(SUMPRODUCT((M113:R113&lt;&gt;"")*(LEN(TRIM(SUBSTITUTE(M113:R113,CHAR(160)," "))) - LEN(SUBSTITUTE(TRIM(SUBSTITUTE(M113:R113,CHAR(160)," "))," ","")) + 1))&gt;1,"s",""))</f>
        <v/>
      </c>
      <c r="K113" s="5550" t="str" cm="1">
        <f t="array" ref="K113">SUMPRODUCT(--(M113:R113&lt;&gt;""), LEN(TRIM(SUBSTITUTE(M113:R113, CHAR(160), "")))) &amp; " Car."</f>
        <v>0 Car.</v>
      </c>
      <c r="L113" s="1376" t="str">
        <f>IF(ISBLANK(M113),"",LARGE(L97:L112,1)+1)</f>
        <v/>
      </c>
      <c r="M113" s="1810"/>
      <c r="N113" s="1810"/>
      <c r="O113" s="1810"/>
      <c r="P113" s="1810"/>
      <c r="Q113" s="1810"/>
      <c r="R113" s="1810"/>
      <c r="S113" s="1810"/>
      <c r="T113" s="1810"/>
      <c r="U113" s="1811"/>
      <c r="W113" s="162" t="s">
        <v>10</v>
      </c>
      <c r="X113" s="163" t="str">
        <f>X75</f>
        <v>N NAME OF YOUR RECIPE | paste it — FAMILY|  Author &gt; YOU</v>
      </c>
      <c r="Y113" s="163">
        <f>Y75</f>
        <v>1</v>
      </c>
      <c r="Z113" s="164" t="str">
        <f>Z75</f>
        <v>coupe</v>
      </c>
      <c r="AA113" s="165" t="str">
        <f>AA75</f>
        <v>Master recipe ► MILLE-FEUILLE  aux fraises des bois</v>
      </c>
      <c r="AB113" s="1548"/>
      <c r="AC113" s="1548"/>
      <c r="AD113" s="2190">
        <f>ROWS(AH98:AH113)</f>
        <v>16</v>
      </c>
      <c r="AE113" s="5549" t="str" cm="1">
        <f t="array" ref="AE113">IF(SUMPRODUCT((AH113:AM113&lt;&gt;"")*1)=0,"",SUMPRODUCT((AH113:AM113&lt;&gt;"")*(LEN(TRIM(SUBSTITUTE(AH113:AM113,CHAR(160)," "))) - LEN(SUBSTITUTE(TRIM(SUBSTITUTE(AH113:AM113,CHAR(160)," "))," ","")) + 1)) &amp; " word" &amp; IF(SUMPRODUCT((AH113:AM113&lt;&gt;"")*(LEN(TRIM(SUBSTITUTE(AH113:AM113,CHAR(160)," "))) - LEN(SUBSTITUTE(TRIM(SUBSTITUTE(AH113:AM113,CHAR(160)," "))," ","")) + 1))&gt;1,"s",""))</f>
        <v/>
      </c>
      <c r="AF113" s="5550" t="str" cm="1">
        <f t="array" ref="AF113">SUMPRODUCT(--(AH113:AM113&lt;&gt;""), LEN(TRIM(SUBSTITUTE(AH113:AM113, CHAR(160), "")))) &amp; " Car."</f>
        <v>0 Car.</v>
      </c>
      <c r="AG113" s="1376" t="str">
        <f>IF(ISBLANK(AH113),"",LARGE(AG97:AG112,1)+1)</f>
        <v/>
      </c>
      <c r="AH113" s="1833"/>
      <c r="AI113" s="1810"/>
      <c r="AJ113" s="1810"/>
      <c r="AK113" s="1810"/>
      <c r="AL113" s="1810"/>
      <c r="AM113" s="1810"/>
      <c r="AN113" s="1810"/>
      <c r="AO113" s="1810"/>
      <c r="AP113" s="1811"/>
      <c r="AR113" s="162" t="s">
        <v>10</v>
      </c>
      <c r="AS113" s="163" t="str">
        <f>AS75</f>
        <v>N NOMBRE DE SU RECETA | pegue esto — FAMILIA| Auteur &gt; VOUS</v>
      </c>
      <c r="AT113" s="163">
        <f>AT75</f>
        <v>1</v>
      </c>
      <c r="AU113" s="164" t="str">
        <f>AU75</f>
        <v>coupe</v>
      </c>
      <c r="AV113" s="165" t="str">
        <f>AV75</f>
        <v>Receta madre ► MILLE-FEUILLE  aux fraises des bois</v>
      </c>
      <c r="AW113" s="1548"/>
      <c r="AX113" s="1548"/>
      <c r="AY113" s="2190">
        <f>ROWS(BC98:BC113)</f>
        <v>16</v>
      </c>
      <c r="AZ113" s="5549" t="str" cm="1">
        <f t="array" ref="AZ113">IF(SUMPRODUCT((BC113:BH113&lt;&gt;"")*1)=0,"",SUMPRODUCT((BC113:BH113&lt;&gt;"")*(LEN(TRIM(SUBSTITUTE(BC113:BH113,CHAR(160)," "))) - LEN(SUBSTITUTE(TRIM(SUBSTITUTE(BC113:BH113,CHAR(160)," "))," ","")) + 1)) &amp; " palabra" &amp; IF(SUMPRODUCT((BC113:BH113&lt;&gt;"")*(LEN(TRIM(SUBSTITUTE(BC113:BH113,CHAR(160)," "))) - LEN(SUBSTITUTE(TRIM(SUBSTITUTE(BC113:BH113,CHAR(160)," "))," ","")) + 1))&gt;1,"s",""))</f>
        <v/>
      </c>
      <c r="BA113" s="5550" t="str" cm="1">
        <f t="array" ref="BA113">SUMPRODUCT(--(BC113:BH113&lt;&gt;""), LEN(TRIM(SUBSTITUTE(BC113:BH113, CHAR(160), "")))) &amp; " Car."</f>
        <v>0 Car.</v>
      </c>
      <c r="BB113" s="1376" t="str">
        <f>IF(ISBLANK(BC113),"",LARGE(BB97:BB112,1)+1)</f>
        <v/>
      </c>
      <c r="BC113" s="1833"/>
      <c r="BD113" s="1810"/>
      <c r="BE113" s="1810"/>
      <c r="BF113" s="1810"/>
      <c r="BG113" s="1810"/>
      <c r="BH113" s="1810"/>
      <c r="BI113" s="1810"/>
      <c r="BJ113" s="1810"/>
      <c r="BK113" s="1811"/>
      <c r="BM113" s="3">
        <v>1</v>
      </c>
    </row>
    <row r="114" spans="2:65" ht="21" customHeight="1">
      <c r="B114" s="162" t="s">
        <v>10</v>
      </c>
      <c r="C114" s="163" t="str">
        <f>C75</f>
        <v>N NOM DE VOTRE RECETTE | collez la--FAMILLE| Auteur &gt; VOUS</v>
      </c>
      <c r="D114" s="163">
        <f>D75</f>
        <v>1</v>
      </c>
      <c r="E114" s="164" t="str">
        <f>E75</f>
        <v>coupe</v>
      </c>
      <c r="F114" s="165" t="str">
        <f>F75</f>
        <v>Recette mère ► MILLE-FEUILLE  aux fraises des bois</v>
      </c>
      <c r="G114" s="1548"/>
      <c r="H114" s="1548"/>
      <c r="I114" s="2190">
        <f>ROWS(M98:M114)</f>
        <v>17</v>
      </c>
      <c r="J114" s="5549" t="str" cm="1">
        <f t="array" ref="J114">IF(SUMPRODUCT((M114:R114&lt;&gt;"")*1)=0,"",SUMPRODUCT((M114:R114&lt;&gt;"")*(LEN(TRIM(SUBSTITUTE(M114:R114,CHAR(160)," "))) - LEN(SUBSTITUTE(TRIM(SUBSTITUTE(M114:R114,CHAR(160)," "))," ","")) + 1)) &amp; " mot" &amp; IF(SUMPRODUCT((M114:R114&lt;&gt;"")*(LEN(TRIM(SUBSTITUTE(M114:R114,CHAR(160)," "))) - LEN(SUBSTITUTE(TRIM(SUBSTITUTE(M114:R114,CHAR(160)," "))," ","")) + 1))&gt;1,"s",""))</f>
        <v/>
      </c>
      <c r="K114" s="5550" t="str" cm="1">
        <f t="array" ref="K114">SUMPRODUCT(--(M114:R114&lt;&gt;""), LEN(TRIM(SUBSTITUTE(M114:R114, CHAR(160), "")))) &amp; " Car."</f>
        <v>0 Car.</v>
      </c>
      <c r="L114" s="1376"/>
      <c r="M114" s="1810"/>
      <c r="N114" s="1810"/>
      <c r="O114" s="1810"/>
      <c r="P114" s="1810"/>
      <c r="Q114" s="1810"/>
      <c r="R114" s="1810"/>
      <c r="S114" s="1810"/>
      <c r="T114" s="1810"/>
      <c r="U114" s="1811"/>
      <c r="W114" s="162" t="s">
        <v>10</v>
      </c>
      <c r="X114" s="163" t="str">
        <f>X75</f>
        <v>N NAME OF YOUR RECIPE | paste it — FAMILY|  Author &gt; YOU</v>
      </c>
      <c r="Y114" s="163">
        <f>Y75</f>
        <v>1</v>
      </c>
      <c r="Z114" s="164" t="str">
        <f>Z75</f>
        <v>coupe</v>
      </c>
      <c r="AA114" s="165" t="str">
        <f>AA75</f>
        <v>Master recipe ► MILLE-FEUILLE  aux fraises des bois</v>
      </c>
      <c r="AB114" s="1548"/>
      <c r="AC114" s="1548"/>
      <c r="AD114" s="2190">
        <f>ROWS(AH98:AH114)</f>
        <v>17</v>
      </c>
      <c r="AE114" s="5549" t="str" cm="1">
        <f t="array" ref="AE114">IF(SUMPRODUCT((AH114:AM114&lt;&gt;"")*1)=0,"",SUMPRODUCT((AH114:AM114&lt;&gt;"")*(LEN(TRIM(SUBSTITUTE(AH114:AM114,CHAR(160)," "))) - LEN(SUBSTITUTE(TRIM(SUBSTITUTE(AH114:AM114,CHAR(160)," "))," ","")) + 1)) &amp; " word" &amp; IF(SUMPRODUCT((AH114:AM114&lt;&gt;"")*(LEN(TRIM(SUBSTITUTE(AH114:AM114,CHAR(160)," "))) - LEN(SUBSTITUTE(TRIM(SUBSTITUTE(AH114:AM114,CHAR(160)," "))," ","")) + 1))&gt;1,"s",""))</f>
        <v/>
      </c>
      <c r="AF114" s="5550" t="str" cm="1">
        <f t="array" ref="AF114">SUMPRODUCT(--(AH114:AM114&lt;&gt;""), LEN(TRIM(SUBSTITUTE(AH114:AM114, CHAR(160), "")))) &amp; " Car."</f>
        <v>0 Car.</v>
      </c>
      <c r="AG114" s="1376" t="str">
        <f>IF(ISBLANK(AH114),"",LARGE(AG97:AG113,1)+1)</f>
        <v/>
      </c>
      <c r="AH114" s="1833"/>
      <c r="AI114" s="1810"/>
      <c r="AJ114" s="1810"/>
      <c r="AK114" s="1810"/>
      <c r="AL114" s="1810"/>
      <c r="AM114" s="1810"/>
      <c r="AN114" s="1810"/>
      <c r="AO114" s="1810"/>
      <c r="AP114" s="1811"/>
      <c r="AR114" s="162" t="s">
        <v>10</v>
      </c>
      <c r="AS114" s="163" t="str">
        <f>AS75</f>
        <v>N NOMBRE DE SU RECETA | pegue esto — FAMILIA| Auteur &gt; VOUS</v>
      </c>
      <c r="AT114" s="163">
        <f>AT75</f>
        <v>1</v>
      </c>
      <c r="AU114" s="164" t="str">
        <f>AU75</f>
        <v>coupe</v>
      </c>
      <c r="AV114" s="165" t="str">
        <f>AV75</f>
        <v>Receta madre ► MILLE-FEUILLE  aux fraises des bois</v>
      </c>
      <c r="AW114" s="1548"/>
      <c r="AX114" s="1548"/>
      <c r="AY114" s="2190">
        <f>ROWS(BC98:BC114)</f>
        <v>17</v>
      </c>
      <c r="AZ114" s="5549" t="str" cm="1">
        <f t="array" ref="AZ114">IF(SUMPRODUCT((BC114:BH114&lt;&gt;"")*1)=0,"",SUMPRODUCT((BC114:BH114&lt;&gt;"")*(LEN(TRIM(SUBSTITUTE(BC114:BH114,CHAR(160)," "))) - LEN(SUBSTITUTE(TRIM(SUBSTITUTE(BC114:BH114,CHAR(160)," "))," ","")) + 1)) &amp; " palabra" &amp; IF(SUMPRODUCT((BC114:BH114&lt;&gt;"")*(LEN(TRIM(SUBSTITUTE(BC114:BH114,CHAR(160)," "))) - LEN(SUBSTITUTE(TRIM(SUBSTITUTE(BC114:BH114,CHAR(160)," "))," ","")) + 1))&gt;1,"s",""))</f>
        <v/>
      </c>
      <c r="BA114" s="5550" t="str" cm="1">
        <f t="array" ref="BA114">SUMPRODUCT(--(BC114:BH114&lt;&gt;""), LEN(TRIM(SUBSTITUTE(BC114:BH114, CHAR(160), "")))) &amp; " Car."</f>
        <v>0 Car.</v>
      </c>
      <c r="BB114" s="1376" t="str">
        <f>IF(ISBLANK(BC114),"",LARGE(BB97:BB113,1)+1)</f>
        <v/>
      </c>
      <c r="BC114" s="1833"/>
      <c r="BD114" s="1810"/>
      <c r="BE114" s="1810"/>
      <c r="BF114" s="1810"/>
      <c r="BG114" s="1810"/>
      <c r="BH114" s="1810"/>
      <c r="BI114" s="1810"/>
      <c r="BJ114" s="1810"/>
      <c r="BK114" s="1811"/>
      <c r="BM114" s="3">
        <v>1</v>
      </c>
    </row>
    <row r="115" spans="2:65" ht="21" customHeight="1">
      <c r="B115" s="162" t="s">
        <v>10</v>
      </c>
      <c r="C115" s="163" t="str">
        <f>C75</f>
        <v>N NOM DE VOTRE RECETTE | collez la--FAMILLE| Auteur &gt; VOUS</v>
      </c>
      <c r="D115" s="163">
        <f>D75</f>
        <v>1</v>
      </c>
      <c r="E115" s="164" t="str">
        <f>E75</f>
        <v>coupe</v>
      </c>
      <c r="F115" s="165" t="str">
        <f>F75</f>
        <v>Recette mère ► MILLE-FEUILLE  aux fraises des bois</v>
      </c>
      <c r="G115" s="1548"/>
      <c r="H115" s="1548"/>
      <c r="I115" s="2190">
        <f>ROWS(M98:M115)</f>
        <v>18</v>
      </c>
      <c r="J115" s="5549" t="str" cm="1">
        <f t="array" ref="J115">IF(SUMPRODUCT((M115:R115&lt;&gt;"")*1)=0,"",SUMPRODUCT((M115:R115&lt;&gt;"")*(LEN(TRIM(SUBSTITUTE(M115:R115,CHAR(160)," "))) - LEN(SUBSTITUTE(TRIM(SUBSTITUTE(M115:R115,CHAR(160)," "))," ","")) + 1)) &amp; " mot" &amp; IF(SUMPRODUCT((M115:R115&lt;&gt;"")*(LEN(TRIM(SUBSTITUTE(M115:R115,CHAR(160)," "))) - LEN(SUBSTITUTE(TRIM(SUBSTITUTE(M115:R115,CHAR(160)," "))," ","")) + 1))&gt;1,"s",""))</f>
        <v/>
      </c>
      <c r="K115" s="5550" t="str" cm="1">
        <f t="array" ref="K115">SUMPRODUCT(--(M115:R115&lt;&gt;""), LEN(TRIM(SUBSTITUTE(M115:R115, CHAR(160), "")))) &amp; " Car."</f>
        <v>0 Car.</v>
      </c>
      <c r="L115" s="1376"/>
      <c r="M115" s="1810"/>
      <c r="N115" s="1810"/>
      <c r="O115" s="1810"/>
      <c r="P115" s="1810"/>
      <c r="Q115" s="1810"/>
      <c r="R115" s="1810"/>
      <c r="S115" s="1810"/>
      <c r="T115" s="1810"/>
      <c r="U115" s="1811"/>
      <c r="W115" s="162" t="s">
        <v>10</v>
      </c>
      <c r="X115" s="163" t="str">
        <f>X75</f>
        <v>N NAME OF YOUR RECIPE | paste it — FAMILY|  Author &gt; YOU</v>
      </c>
      <c r="Y115" s="163">
        <f>Y75</f>
        <v>1</v>
      </c>
      <c r="Z115" s="164" t="str">
        <f>Z75</f>
        <v>coupe</v>
      </c>
      <c r="AA115" s="165" t="str">
        <f>AA75</f>
        <v>Master recipe ► MILLE-FEUILLE  aux fraises des bois</v>
      </c>
      <c r="AB115" s="1548"/>
      <c r="AC115" s="1548"/>
      <c r="AD115" s="2190">
        <f>ROWS(AH98:AH115)</f>
        <v>18</v>
      </c>
      <c r="AE115" s="5549" t="str" cm="1">
        <f t="array" ref="AE115">IF(SUMPRODUCT((AH115:AM115&lt;&gt;"")*1)=0,"",SUMPRODUCT((AH115:AM115&lt;&gt;"")*(LEN(TRIM(SUBSTITUTE(AH115:AM115,CHAR(160)," "))) - LEN(SUBSTITUTE(TRIM(SUBSTITUTE(AH115:AM115,CHAR(160)," "))," ","")) + 1)) &amp; " word" &amp; IF(SUMPRODUCT((AH115:AM115&lt;&gt;"")*(LEN(TRIM(SUBSTITUTE(AH115:AM115,CHAR(160)," "))) - LEN(SUBSTITUTE(TRIM(SUBSTITUTE(AH115:AM115,CHAR(160)," "))," ","")) + 1))&gt;1,"s",""))</f>
        <v/>
      </c>
      <c r="AF115" s="5550" t="str" cm="1">
        <f t="array" ref="AF115">SUMPRODUCT(--(AH115:AM115&lt;&gt;""), LEN(TRIM(SUBSTITUTE(AH115:AM115, CHAR(160), "")))) &amp; " Car."</f>
        <v>0 Car.</v>
      </c>
      <c r="AG115" s="1376" t="str">
        <f>IF(ISBLANK(AH115),"",LARGE(AG97:AG114,1)+1)</f>
        <v/>
      </c>
      <c r="AH115" s="1833"/>
      <c r="AI115" s="1810"/>
      <c r="AJ115" s="1810"/>
      <c r="AK115" s="1810"/>
      <c r="AL115" s="1810"/>
      <c r="AM115" s="1810"/>
      <c r="AN115" s="1810"/>
      <c r="AO115" s="1810"/>
      <c r="AP115" s="1811"/>
      <c r="AR115" s="162" t="s">
        <v>10</v>
      </c>
      <c r="AS115" s="163" t="str">
        <f>AS75</f>
        <v>N NOMBRE DE SU RECETA | pegue esto — FAMILIA| Auteur &gt; VOUS</v>
      </c>
      <c r="AT115" s="163">
        <f>AT75</f>
        <v>1</v>
      </c>
      <c r="AU115" s="164" t="str">
        <f>AU75</f>
        <v>coupe</v>
      </c>
      <c r="AV115" s="165" t="str">
        <f>AV75</f>
        <v>Receta madre ► MILLE-FEUILLE  aux fraises des bois</v>
      </c>
      <c r="AW115" s="1548"/>
      <c r="AX115" s="1548"/>
      <c r="AY115" s="2190">
        <f>ROWS(BC98:BC115)</f>
        <v>18</v>
      </c>
      <c r="AZ115" s="5549" t="str" cm="1">
        <f t="array" ref="AZ115">IF(SUMPRODUCT((BC115:BH115&lt;&gt;"")*1)=0,"",SUMPRODUCT((BC115:BH115&lt;&gt;"")*(LEN(TRIM(SUBSTITUTE(BC115:BH115,CHAR(160)," "))) - LEN(SUBSTITUTE(TRIM(SUBSTITUTE(BC115:BH115,CHAR(160)," "))," ","")) + 1)) &amp; " palabra" &amp; IF(SUMPRODUCT((BC115:BH115&lt;&gt;"")*(LEN(TRIM(SUBSTITUTE(BC115:BH115,CHAR(160)," "))) - LEN(SUBSTITUTE(TRIM(SUBSTITUTE(BC115:BH115,CHAR(160)," "))," ","")) + 1))&gt;1,"s",""))</f>
        <v/>
      </c>
      <c r="BA115" s="5550" t="str" cm="1">
        <f t="array" ref="BA115">SUMPRODUCT(--(BC115:BH115&lt;&gt;""), LEN(TRIM(SUBSTITUTE(BC115:BH115, CHAR(160), "")))) &amp; " Car."</f>
        <v>0 Car.</v>
      </c>
      <c r="BB115" s="1376" t="str">
        <f>IF(ISBLANK(BC115),"",LARGE(BB97:BB114,1)+1)</f>
        <v/>
      </c>
      <c r="BC115" s="1833"/>
      <c r="BD115" s="1810"/>
      <c r="BE115" s="1810"/>
      <c r="BF115" s="1810"/>
      <c r="BG115" s="1810"/>
      <c r="BH115" s="1810"/>
      <c r="BI115" s="1810"/>
      <c r="BJ115" s="1810"/>
      <c r="BK115" s="1811"/>
      <c r="BM115" s="3">
        <v>1</v>
      </c>
    </row>
    <row r="116" spans="2:65" ht="21" customHeight="1">
      <c r="B116" s="162" t="s">
        <v>10</v>
      </c>
      <c r="C116" s="163" t="str">
        <f>C75</f>
        <v>N NOM DE VOTRE RECETTE | collez la--FAMILLE| Auteur &gt; VOUS</v>
      </c>
      <c r="D116" s="163">
        <f>D75</f>
        <v>1</v>
      </c>
      <c r="E116" s="164" t="str">
        <f>E75</f>
        <v>coupe</v>
      </c>
      <c r="F116" s="165" t="str">
        <f>F75</f>
        <v>Recette mère ► MILLE-FEUILLE  aux fraises des bois</v>
      </c>
      <c r="G116" s="1548"/>
      <c r="H116" s="1548"/>
      <c r="I116" s="2190">
        <f>ROWS(M98:M116)</f>
        <v>19</v>
      </c>
      <c r="J116" s="5549" t="str" cm="1">
        <f t="array" ref="J116">IF(SUMPRODUCT((M116:R116&lt;&gt;"")*1)=0,"",SUMPRODUCT((M116:R116&lt;&gt;"")*(LEN(TRIM(SUBSTITUTE(M116:R116,CHAR(160)," "))) - LEN(SUBSTITUTE(TRIM(SUBSTITUTE(M116:R116,CHAR(160)," "))," ","")) + 1)) &amp; " mot" &amp; IF(SUMPRODUCT((M116:R116&lt;&gt;"")*(LEN(TRIM(SUBSTITUTE(M116:R116,CHAR(160)," "))) - LEN(SUBSTITUTE(TRIM(SUBSTITUTE(M116:R116,CHAR(160)," "))," ","")) + 1))&gt;1,"s",""))</f>
        <v/>
      </c>
      <c r="K116" s="5550" t="str" cm="1">
        <f t="array" ref="K116">SUMPRODUCT(--(M116:R116&lt;&gt;""), LEN(TRIM(SUBSTITUTE(M116:R116, CHAR(160), "")))) &amp; " Car."</f>
        <v>0 Car.</v>
      </c>
      <c r="L116" s="1376" t="str">
        <f>IF(ISBLANK(M116),"",LARGE(L97:L115,1)+1)</f>
        <v/>
      </c>
      <c r="M116" s="1810"/>
      <c r="N116" s="1810"/>
      <c r="O116" s="1810"/>
      <c r="P116" s="1810"/>
      <c r="Q116" s="1810"/>
      <c r="R116" s="1810"/>
      <c r="S116" s="1810"/>
      <c r="T116" s="1810"/>
      <c r="U116" s="1811"/>
      <c r="W116" s="162" t="s">
        <v>10</v>
      </c>
      <c r="X116" s="163" t="str">
        <f>X75</f>
        <v>N NAME OF YOUR RECIPE | paste it — FAMILY|  Author &gt; YOU</v>
      </c>
      <c r="Y116" s="163">
        <f>Y75</f>
        <v>1</v>
      </c>
      <c r="Z116" s="164" t="str">
        <f>Z75</f>
        <v>coupe</v>
      </c>
      <c r="AA116" s="165" t="str">
        <f>AA75</f>
        <v>Master recipe ► MILLE-FEUILLE  aux fraises des bois</v>
      </c>
      <c r="AB116" s="1548"/>
      <c r="AC116" s="1548"/>
      <c r="AD116" s="2190">
        <f>ROWS(AH98:AH116)</f>
        <v>19</v>
      </c>
      <c r="AE116" s="5549" t="str" cm="1">
        <f t="array" ref="AE116">IF(SUMPRODUCT((AH116:AM116&lt;&gt;"")*1)=0,"",SUMPRODUCT((AH116:AM116&lt;&gt;"")*(LEN(TRIM(SUBSTITUTE(AH116:AM116,CHAR(160)," "))) - LEN(SUBSTITUTE(TRIM(SUBSTITUTE(AH116:AM116,CHAR(160)," "))," ","")) + 1)) &amp; " word" &amp; IF(SUMPRODUCT((AH116:AM116&lt;&gt;"")*(LEN(TRIM(SUBSTITUTE(AH116:AM116,CHAR(160)," "))) - LEN(SUBSTITUTE(TRIM(SUBSTITUTE(AH116:AM116,CHAR(160)," "))," ","")) + 1))&gt;1,"s",""))</f>
        <v/>
      </c>
      <c r="AF116" s="5550" t="str" cm="1">
        <f t="array" ref="AF116">SUMPRODUCT(--(AH116:AM116&lt;&gt;""), LEN(TRIM(SUBSTITUTE(AH116:AM116, CHAR(160), "")))) &amp; " Car."</f>
        <v>0 Car.</v>
      </c>
      <c r="AG116" s="1376" t="str">
        <f>IF(ISBLANK(AH116),"",LARGE(AG97:AG115,1)+1)</f>
        <v/>
      </c>
      <c r="AH116" s="1833"/>
      <c r="AI116" s="1810"/>
      <c r="AJ116" s="1810"/>
      <c r="AK116" s="1810"/>
      <c r="AL116" s="1810"/>
      <c r="AM116" s="1810"/>
      <c r="AN116" s="1810"/>
      <c r="AO116" s="1810"/>
      <c r="AP116" s="1811"/>
      <c r="AR116" s="162" t="s">
        <v>10</v>
      </c>
      <c r="AS116" s="163" t="str">
        <f>AS75</f>
        <v>N NOMBRE DE SU RECETA | pegue esto — FAMILIA| Auteur &gt; VOUS</v>
      </c>
      <c r="AT116" s="163">
        <f>AT75</f>
        <v>1</v>
      </c>
      <c r="AU116" s="164" t="str">
        <f>AU75</f>
        <v>coupe</v>
      </c>
      <c r="AV116" s="165" t="str">
        <f>AV75</f>
        <v>Receta madre ► MILLE-FEUILLE  aux fraises des bois</v>
      </c>
      <c r="AW116" s="1548"/>
      <c r="AX116" s="1548"/>
      <c r="AY116" s="2190">
        <f>ROWS(BC98:BC116)</f>
        <v>19</v>
      </c>
      <c r="AZ116" s="5549" t="str" cm="1">
        <f t="array" ref="AZ116">IF(SUMPRODUCT((BC116:BH116&lt;&gt;"")*1)=0,"",SUMPRODUCT((BC116:BH116&lt;&gt;"")*(LEN(TRIM(SUBSTITUTE(BC116:BH116,CHAR(160)," "))) - LEN(SUBSTITUTE(TRIM(SUBSTITUTE(BC116:BH116,CHAR(160)," "))," ","")) + 1)) &amp; " palabra" &amp; IF(SUMPRODUCT((BC116:BH116&lt;&gt;"")*(LEN(TRIM(SUBSTITUTE(BC116:BH116,CHAR(160)," "))) - LEN(SUBSTITUTE(TRIM(SUBSTITUTE(BC116:BH116,CHAR(160)," "))," ","")) + 1))&gt;1,"s",""))</f>
        <v/>
      </c>
      <c r="BA116" s="5550" t="str" cm="1">
        <f t="array" ref="BA116">SUMPRODUCT(--(BC116:BH116&lt;&gt;""), LEN(TRIM(SUBSTITUTE(BC116:BH116, CHAR(160), "")))) &amp; " Car."</f>
        <v>0 Car.</v>
      </c>
      <c r="BB116" s="1376" t="str">
        <f>IF(ISBLANK(BC116),"",LARGE(BB97:BB115,1)+1)</f>
        <v/>
      </c>
      <c r="BC116" s="1833"/>
      <c r="BD116" s="1810"/>
      <c r="BE116" s="1810"/>
      <c r="BF116" s="1810"/>
      <c r="BG116" s="1810"/>
      <c r="BH116" s="1810"/>
      <c r="BI116" s="1810"/>
      <c r="BJ116" s="1810"/>
      <c r="BK116" s="1811"/>
      <c r="BM116" s="3">
        <v>1</v>
      </c>
    </row>
    <row r="117" spans="2:65" ht="21" customHeight="1">
      <c r="B117" s="162" t="s">
        <v>10</v>
      </c>
      <c r="C117" s="163" t="str">
        <f>C75</f>
        <v>N NOM DE VOTRE RECETTE | collez la--FAMILLE| Auteur &gt; VOUS</v>
      </c>
      <c r="D117" s="163">
        <f>D75</f>
        <v>1</v>
      </c>
      <c r="E117" s="164" t="str">
        <f>E75</f>
        <v>coupe</v>
      </c>
      <c r="F117" s="165" t="str">
        <f>F75</f>
        <v>Recette mère ► MILLE-FEUILLE  aux fraises des bois</v>
      </c>
      <c r="G117" s="1548"/>
      <c r="H117" s="1548"/>
      <c r="I117" s="2190">
        <f>ROWS(M98:M117)</f>
        <v>20</v>
      </c>
      <c r="J117" s="5549" t="str" cm="1">
        <f t="array" ref="J117">IF(SUMPRODUCT((M117:R117&lt;&gt;"")*1)=0,"",SUMPRODUCT((M117:R117&lt;&gt;"")*(LEN(TRIM(SUBSTITUTE(M117:R117,CHAR(160)," "))) - LEN(SUBSTITUTE(TRIM(SUBSTITUTE(M117:R117,CHAR(160)," "))," ","")) + 1)) &amp; " mot" &amp; IF(SUMPRODUCT((M117:R117&lt;&gt;"")*(LEN(TRIM(SUBSTITUTE(M117:R117,CHAR(160)," "))) - LEN(SUBSTITUTE(TRIM(SUBSTITUTE(M117:R117,CHAR(160)," "))," ","")) + 1))&gt;1,"s",""))</f>
        <v>13 mots</v>
      </c>
      <c r="K117" s="5550" t="str" cm="1">
        <f t="array" ref="K117">SUMPRODUCT(--(M117:R117&lt;&gt;""), LEN(TRIM(SUBSTITUTE(M117:R117, CHAR(160), "")))) &amp; " Car."</f>
        <v>80 Car.</v>
      </c>
      <c r="L117" s="1376" t="str">
        <f>IF(ISBLANK(M117),"",LARGE(L97:L116,1)+1)</f>
        <v/>
      </c>
      <c r="M117" s="1810"/>
      <c r="N117" s="1810" t="s">
        <v>14252</v>
      </c>
      <c r="O117" s="1810"/>
      <c r="P117" s="1810"/>
      <c r="Q117" s="1810"/>
      <c r="R117" s="1810"/>
      <c r="S117" s="1810"/>
      <c r="T117" s="1810"/>
      <c r="U117" s="1811"/>
      <c r="W117" s="162" t="s">
        <v>10</v>
      </c>
      <c r="X117" s="163" t="str">
        <f>X75</f>
        <v>N NAME OF YOUR RECIPE | paste it — FAMILY|  Author &gt; YOU</v>
      </c>
      <c r="Y117" s="163">
        <f>Y75</f>
        <v>1</v>
      </c>
      <c r="Z117" s="164" t="str">
        <f>Z75</f>
        <v>coupe</v>
      </c>
      <c r="AA117" s="165" t="str">
        <f>AA75</f>
        <v>Master recipe ► MILLE-FEUILLE  aux fraises des bois</v>
      </c>
      <c r="AB117" s="1548"/>
      <c r="AC117" s="1548"/>
      <c r="AD117" s="2190">
        <f>ROWS(AH98:AH117)</f>
        <v>20</v>
      </c>
      <c r="AE117" s="5549" t="str" cm="1">
        <f t="array" ref="AE117">IF(SUMPRODUCT((AH117:AM117&lt;&gt;"")*1)=0,"",SUMPRODUCT((AH117:AM117&lt;&gt;"")*(LEN(TRIM(SUBSTITUTE(AH117:AM117,CHAR(160)," "))) - LEN(SUBSTITUTE(TRIM(SUBSTITUTE(AH117:AM117,CHAR(160)," "))," ","")) + 1)) &amp; " word" &amp; IF(SUMPRODUCT((AH117:AM117&lt;&gt;"")*(LEN(TRIM(SUBSTITUTE(AH117:AM117,CHAR(160)," "))) - LEN(SUBSTITUTE(TRIM(SUBSTITUTE(AH117:AM117,CHAR(160)," "))," ","")) + 1))&gt;1,"s",""))</f>
        <v>14 words</v>
      </c>
      <c r="AF117" s="5550" t="str" cm="1">
        <f t="array" ref="AF117">SUMPRODUCT(--(AH117:AM117&lt;&gt;""), LEN(TRIM(SUBSTITUTE(AH117:AM117, CHAR(160), "")))) &amp; " Car."</f>
        <v>80 Car.</v>
      </c>
      <c r="AG117" s="1376" t="str">
        <f>IF(ISBLANK(AH117),"",LARGE(AG97:AG116,1)+1)</f>
        <v/>
      </c>
      <c r="AH117" s="1833"/>
      <c r="AI117" s="1810" t="s">
        <v>14253</v>
      </c>
      <c r="AJ117" s="1810"/>
      <c r="AK117" s="1810"/>
      <c r="AL117" s="1810"/>
      <c r="AM117" s="1810"/>
      <c r="AN117" s="1810"/>
      <c r="AO117" s="1810"/>
      <c r="AP117" s="1811"/>
      <c r="AR117" s="162" t="s">
        <v>10</v>
      </c>
      <c r="AS117" s="163" t="str">
        <f>AS75</f>
        <v>N NOMBRE DE SU RECETA | pegue esto — FAMILIA| Auteur &gt; VOUS</v>
      </c>
      <c r="AT117" s="163">
        <f>AT75</f>
        <v>1</v>
      </c>
      <c r="AU117" s="164" t="str">
        <f>AU75</f>
        <v>coupe</v>
      </c>
      <c r="AV117" s="165" t="str">
        <f>AV75</f>
        <v>Receta madre ► MILLE-FEUILLE  aux fraises des bois</v>
      </c>
      <c r="AW117" s="1548"/>
      <c r="AX117" s="1548"/>
      <c r="AY117" s="2190">
        <f>ROWS(BC98:BC117)</f>
        <v>20</v>
      </c>
      <c r="AZ117" s="5549" t="str" cm="1">
        <f t="array" ref="AZ117">IF(SUMPRODUCT((BC117:BH117&lt;&gt;"")*1)=0,"",SUMPRODUCT((BC117:BH117&lt;&gt;"")*(LEN(TRIM(SUBSTITUTE(BC117:BH117,CHAR(160)," "))) - LEN(SUBSTITUTE(TRIM(SUBSTITUTE(BC117:BH117,CHAR(160)," "))," ","")) + 1)) &amp; " palabra" &amp; IF(SUMPRODUCT((BC117:BH117&lt;&gt;"")*(LEN(TRIM(SUBSTITUTE(BC117:BH117,CHAR(160)," "))) - LEN(SUBSTITUTE(TRIM(SUBSTITUTE(BC117:BH117,CHAR(160)," "))," ","")) + 1))&gt;1,"s",""))</f>
        <v>14 palabras</v>
      </c>
      <c r="BA117" s="5550" t="str" cm="1">
        <f t="array" ref="BA117">SUMPRODUCT(--(BC117:BH117&lt;&gt;""), LEN(TRIM(SUBSTITUTE(BC117:BH117, CHAR(160), "")))) &amp; " Car."</f>
        <v>88 Car.</v>
      </c>
      <c r="BB117" s="1376" t="str">
        <f>IF(ISBLANK(BC117),"",LARGE(BB97:BB116,1)+1)</f>
        <v/>
      </c>
      <c r="BC117" s="1833"/>
      <c r="BD117" s="1810" t="s">
        <v>14254</v>
      </c>
      <c r="BE117" s="1810"/>
      <c r="BF117" s="1810"/>
      <c r="BG117" s="1810"/>
      <c r="BH117" s="1810"/>
      <c r="BI117" s="1810"/>
      <c r="BJ117" s="1810"/>
      <c r="BK117" s="1811"/>
      <c r="BM117" s="3">
        <v>1</v>
      </c>
    </row>
    <row r="118" spans="2:65" ht="21" customHeight="1" thickBot="1">
      <c r="B118" s="162" t="s">
        <v>10</v>
      </c>
      <c r="C118" s="163" t="str">
        <f>C75</f>
        <v>N NOM DE VOTRE RECETTE | collez la--FAMILLE| Auteur &gt; VOUS</v>
      </c>
      <c r="D118" s="163">
        <f>D75</f>
        <v>1</v>
      </c>
      <c r="E118" s="164" t="str">
        <f>E75</f>
        <v>coupe</v>
      </c>
      <c r="F118" s="165" t="str">
        <f>F75</f>
        <v>Recette mère ► MILLE-FEUILLE  aux fraises des bois</v>
      </c>
      <c r="G118" s="172"/>
      <c r="H118" s="1378" t="s">
        <v>207</v>
      </c>
      <c r="I118" s="1712" t="s">
        <v>8475</v>
      </c>
      <c r="J118" s="176"/>
      <c r="K118" s="176"/>
      <c r="L118" s="176"/>
      <c r="M118" s="176"/>
      <c r="N118" s="176"/>
      <c r="O118" s="176"/>
      <c r="P118" s="176"/>
      <c r="Q118" s="176"/>
      <c r="R118" s="176"/>
      <c r="S118" s="176"/>
      <c r="T118" s="176"/>
      <c r="U118" s="884"/>
      <c r="W118" s="162" t="s">
        <v>10</v>
      </c>
      <c r="X118" s="163" t="str">
        <f>X75</f>
        <v>N NAME OF YOUR RECIPE | paste it — FAMILY|  Author &gt; YOU</v>
      </c>
      <c r="Y118" s="163">
        <f>Y75</f>
        <v>1</v>
      </c>
      <c r="Z118" s="164" t="str">
        <f>Z75</f>
        <v>coupe</v>
      </c>
      <c r="AA118" s="165" t="str">
        <f>AA75</f>
        <v>Master recipe ► MILLE-FEUILLE  aux fraises des bois</v>
      </c>
      <c r="AB118" s="172"/>
      <c r="AC118" s="1378" t="s">
        <v>1300</v>
      </c>
      <c r="AD118" s="1712" t="s">
        <v>8475</v>
      </c>
      <c r="AE118" s="176" t="s">
        <v>8473</v>
      </c>
      <c r="AF118" s="176"/>
      <c r="AG118" s="176"/>
      <c r="AH118" s="176"/>
      <c r="AI118" s="176"/>
      <c r="AJ118" s="176"/>
      <c r="AK118" s="176"/>
      <c r="AL118" s="176"/>
      <c r="AM118" s="176"/>
      <c r="AN118" s="176"/>
      <c r="AO118" s="176"/>
      <c r="AP118" s="884"/>
      <c r="AR118" s="162" t="s">
        <v>10</v>
      </c>
      <c r="AS118" s="163" t="str">
        <f>AS75</f>
        <v>N NOMBRE DE SU RECETA | pegue esto — FAMILIA| Auteur &gt; VOUS</v>
      </c>
      <c r="AT118" s="163">
        <f>AT75</f>
        <v>1</v>
      </c>
      <c r="AU118" s="164" t="str">
        <f>AU75</f>
        <v>coupe</v>
      </c>
      <c r="AV118" s="165" t="str">
        <f>AV75</f>
        <v>Receta madre ► MILLE-FEUILLE  aux fraises des bois</v>
      </c>
      <c r="AW118" s="172"/>
      <c r="AX118" s="176"/>
      <c r="AY118" s="1712" t="s">
        <v>8475</v>
      </c>
      <c r="AZ118" s="679" t="s">
        <v>1351</v>
      </c>
      <c r="BA118" s="1378" t="s">
        <v>207</v>
      </c>
      <c r="BB118" s="176" t="s">
        <v>8474</v>
      </c>
      <c r="BC118" s="176"/>
      <c r="BD118" s="176"/>
      <c r="BE118" s="176"/>
      <c r="BF118" s="176"/>
      <c r="BG118" s="176"/>
      <c r="BH118" s="176"/>
      <c r="BI118" s="176"/>
      <c r="BJ118" s="176"/>
      <c r="BK118" s="884"/>
      <c r="BM118" s="3">
        <v>1</v>
      </c>
    </row>
    <row r="119" spans="2:65" ht="21" customHeight="1">
      <c r="B119" s="162" t="s">
        <v>10</v>
      </c>
      <c r="C119" s="163" t="str">
        <f>C75</f>
        <v>N NOM DE VOTRE RECETTE | collez la--FAMILLE| Auteur &gt; VOUS</v>
      </c>
      <c r="D119" s="163">
        <f>D75</f>
        <v>1</v>
      </c>
      <c r="E119" s="164" t="str">
        <f>E75</f>
        <v>coupe</v>
      </c>
      <c r="F119" s="165" t="str">
        <f>F75</f>
        <v>Recette mère ► MILLE-FEUILLE  aux fraises des bois</v>
      </c>
      <c r="G119" s="6423" t="s">
        <v>14431</v>
      </c>
      <c r="H119" s="1380"/>
      <c r="I119" s="1380"/>
      <c r="J119" s="1380"/>
      <c r="K119" s="1380"/>
      <c r="L119" s="1380"/>
      <c r="M119" s="1380"/>
      <c r="N119" s="1381" t="s">
        <v>196</v>
      </c>
      <c r="O119" s="202"/>
      <c r="P119" s="202"/>
      <c r="Q119" s="202"/>
      <c r="R119" s="202"/>
      <c r="S119" s="202"/>
      <c r="T119" s="202"/>
      <c r="U119" s="885"/>
      <c r="W119" s="162" t="s">
        <v>10</v>
      </c>
      <c r="X119" s="163" t="str">
        <f>X75</f>
        <v>N NAME OF YOUR RECIPE | paste it — FAMILY|  Author &gt; YOU</v>
      </c>
      <c r="Y119" s="163">
        <f>Y75</f>
        <v>1</v>
      </c>
      <c r="Z119" s="164" t="str">
        <f>Z75</f>
        <v>coupe</v>
      </c>
      <c r="AA119" s="165" t="str">
        <f>AA75</f>
        <v>Master recipe ► MILLE-FEUILLE  aux fraises des bois</v>
      </c>
      <c r="AB119" s="6423" t="s">
        <v>14432</v>
      </c>
      <c r="AC119" s="1380"/>
      <c r="AD119" s="1380"/>
      <c r="AE119" s="1380"/>
      <c r="AF119" s="1380"/>
      <c r="AG119" s="1380"/>
      <c r="AH119" s="1380"/>
      <c r="AI119" s="1381" t="s">
        <v>864</v>
      </c>
      <c r="AJ119" s="202"/>
      <c r="AK119" s="202"/>
      <c r="AL119" s="202"/>
      <c r="AM119" s="202"/>
      <c r="AN119" s="202"/>
      <c r="AO119" s="202"/>
      <c r="AP119" s="885"/>
      <c r="AR119" s="162" t="s">
        <v>10</v>
      </c>
      <c r="AS119" s="163" t="str">
        <f>AS75</f>
        <v>N NOMBRE DE SU RECETA | pegue esto — FAMILIA| Auteur &gt; VOUS</v>
      </c>
      <c r="AT119" s="163">
        <f>AT75</f>
        <v>1</v>
      </c>
      <c r="AU119" s="164" t="str">
        <f>AU75</f>
        <v>coupe</v>
      </c>
      <c r="AV119" s="165" t="str">
        <f>AV75</f>
        <v>Receta madre ► MILLE-FEUILLE  aux fraises des bois</v>
      </c>
      <c r="AW119" s="6423" t="s">
        <v>14433</v>
      </c>
      <c r="AX119" s="1380"/>
      <c r="AY119" s="1380"/>
      <c r="AZ119" s="1380"/>
      <c r="BA119" s="1380"/>
      <c r="BB119" s="1380"/>
      <c r="BC119" s="1380"/>
      <c r="BD119" s="1381" t="s">
        <v>879</v>
      </c>
      <c r="BE119" s="202"/>
      <c r="BF119" s="202"/>
      <c r="BG119" s="202"/>
      <c r="BH119" s="202"/>
      <c r="BI119" s="202"/>
      <c r="BJ119" s="202"/>
      <c r="BK119" s="885"/>
      <c r="BM119" s="3">
        <v>1</v>
      </c>
    </row>
    <row r="120" spans="2:65" ht="21" customHeight="1" thickBot="1">
      <c r="B120" s="162" t="s">
        <v>10</v>
      </c>
      <c r="C120" s="163" t="str">
        <f>C75</f>
        <v>N NOM DE VOTRE RECETTE | collez la--FAMILLE| Auteur &gt; VOUS</v>
      </c>
      <c r="D120" s="163">
        <f>D75</f>
        <v>1</v>
      </c>
      <c r="E120" s="164" t="str">
        <f>E75</f>
        <v>coupe</v>
      </c>
      <c r="F120" s="165" t="str">
        <f>F75</f>
        <v>Recette mère ► MILLE-FEUILLE  aux fraises des bois</v>
      </c>
      <c r="G120" s="2139"/>
      <c r="H120" s="2124"/>
      <c r="I120" s="2138"/>
      <c r="J120" s="2064" t="s">
        <v>8860</v>
      </c>
      <c r="K120" s="2065">
        <f ca="1">K97</f>
        <v>139</v>
      </c>
      <c r="L120" s="886" t="s">
        <v>200</v>
      </c>
      <c r="M120" s="2137"/>
      <c r="N120" s="2137"/>
      <c r="O120" s="2137"/>
      <c r="P120" s="472"/>
      <c r="Q120" s="472"/>
      <c r="R120" s="472"/>
      <c r="S120" s="2260" t="str">
        <f>IF(M121="","",(LEN(TRIM(SUBSTITUTE(M121,CHAR(160)," ")))-LEN(SUBSTITUTE(TRIM(SUBSTITUTE(M121,CHAR(160)," "))," ",""))+1)&amp;" mot"&amp;IF((LEN(TRIM(SUBSTITUTE(M121,CHAR(160)," ")))-LEN(SUBSTITUTE(TRIM(SUBSTITUTE(M121,CHAR(160)," "))," ",""))+1)&gt;1,"s",""))</f>
        <v>17 mots</v>
      </c>
      <c r="T120" s="2259" t="str">
        <f>IF(M121="","",LEN(TRIM(SUBSTITUTE(M121,CHAR(160),""))))&amp;" Car."</f>
        <v>123 Car.</v>
      </c>
      <c r="U120" s="2261" t="s">
        <v>8863</v>
      </c>
      <c r="W120" s="162" t="s">
        <v>10</v>
      </c>
      <c r="X120" s="163" t="str">
        <f>X75</f>
        <v>N NAME OF YOUR RECIPE | paste it — FAMILY|  Author &gt; YOU</v>
      </c>
      <c r="Y120" s="163">
        <f>Y75</f>
        <v>1</v>
      </c>
      <c r="Z120" s="164" t="str">
        <f>Z75</f>
        <v>coupe</v>
      </c>
      <c r="AA120" s="165" t="str">
        <f>AA75</f>
        <v>Master recipe ► MILLE-FEUILLE  aux fraises des bois</v>
      </c>
      <c r="AB120" s="2139"/>
      <c r="AC120" s="2124"/>
      <c r="AD120" s="2138"/>
      <c r="AE120" s="2064" t="s">
        <v>8862</v>
      </c>
      <c r="AF120" s="2065">
        <f ca="1">AF97</f>
        <v>139</v>
      </c>
      <c r="AG120" s="886" t="s">
        <v>8867</v>
      </c>
      <c r="AH120" s="2137"/>
      <c r="AI120" s="2137"/>
      <c r="AJ120" s="2137"/>
      <c r="AK120" s="472"/>
      <c r="AL120" s="472"/>
      <c r="AM120" s="472"/>
      <c r="AN120" s="2260" t="str">
        <f>IF(AH121="","",(LEN(TRIM(SUBSTITUTE(AH121,CHAR(160)," ")))-LEN(SUBSTITUTE(TRIM(SUBSTITUTE(AH121,CHAR(160)," "))," ",""))+1)&amp;" mot"&amp;IF((LEN(TRIM(SUBSTITUTE(AH121,CHAR(160)," ")))-LEN(SUBSTITUTE(TRIM(SUBSTITUTE(AH121,CHAR(160)," "))," ",""))+1)&gt;1,"s",""))</f>
        <v>17 mots</v>
      </c>
      <c r="AO120" s="2259" t="str">
        <f>IF(AH121="","",LEN(TRIM(SUBSTITUTE(AH121,CHAR(160),""))))&amp;" Car."</f>
        <v>123 Car.</v>
      </c>
      <c r="AP120" s="2261" t="s">
        <v>8869</v>
      </c>
      <c r="AR120" s="162" t="s">
        <v>10</v>
      </c>
      <c r="AS120" s="163" t="str">
        <f>AS75</f>
        <v>N NOMBRE DE SU RECETA | pegue esto — FAMILIA| Auteur &gt; VOUS</v>
      </c>
      <c r="AT120" s="163">
        <f>AT75</f>
        <v>1</v>
      </c>
      <c r="AU120" s="164" t="str">
        <f>AU75</f>
        <v>coupe</v>
      </c>
      <c r="AV120" s="165" t="str">
        <f>AV75</f>
        <v>Receta madre ► MILLE-FEUILLE  aux fraises des bois</v>
      </c>
      <c r="AW120" s="2139"/>
      <c r="AX120" s="2124"/>
      <c r="AY120" s="2138"/>
      <c r="AZ120" s="2064" t="s">
        <v>8861</v>
      </c>
      <c r="BA120" s="2065">
        <f ca="1">BA97</f>
        <v>139</v>
      </c>
      <c r="BB120" s="886" t="s">
        <v>640</v>
      </c>
      <c r="BC120" s="2137"/>
      <c r="BD120" s="2137"/>
      <c r="BE120" s="2137"/>
      <c r="BF120" s="472"/>
      <c r="BG120" s="472"/>
      <c r="BH120" s="472"/>
      <c r="BI120" s="2260" t="str">
        <f>IF(BC121="","",(LEN(TRIM(SUBSTITUTE(BC121,CHAR(160)," ")))-LEN(SUBSTITUTE(TRIM(SUBSTITUTE(BC121,CHAR(160)," "))," ",""))+1)&amp;" mot"&amp;IF((LEN(TRIM(SUBSTITUTE(BC121,CHAR(160)," ")))-LEN(SUBSTITUTE(TRIM(SUBSTITUTE(BC121,CHAR(160)," "))," ",""))+1)&gt;1,"s",""))</f>
        <v>18 mots</v>
      </c>
      <c r="BJ120" s="2259" t="str">
        <f>IF(BC121="","",LEN(TRIM(SUBSTITUTE(BC121,CHAR(160),""))))&amp;" Car."</f>
        <v>123 Car.</v>
      </c>
      <c r="BK120" s="2261" t="s">
        <v>8871</v>
      </c>
      <c r="BM120" s="3">
        <v>1</v>
      </c>
    </row>
    <row r="121" spans="2:65" ht="21" customHeight="1" thickBot="1">
      <c r="B121" s="1814" t="s">
        <v>10</v>
      </c>
      <c r="C121" s="209" t="str">
        <f>C75</f>
        <v>N NOM DE VOTRE RECETTE | collez la--FAMILLE| Auteur &gt; VOUS</v>
      </c>
      <c r="D121" s="209">
        <f>D75</f>
        <v>1</v>
      </c>
      <c r="E121" s="210" t="str">
        <f>E75</f>
        <v>coupe</v>
      </c>
      <c r="F121" s="211" t="str">
        <f>F75</f>
        <v>Recette mère ► MILLE-FEUILLE  aux fraises des bois</v>
      </c>
      <c r="G121" s="2129"/>
      <c r="H121" s="2130"/>
      <c r="I121" s="2131"/>
      <c r="J121" s="2132"/>
      <c r="K121" s="2133"/>
      <c r="L121" s="2133" t="s">
        <v>8864</v>
      </c>
      <c r="M121" s="5545" t="s">
        <v>8866</v>
      </c>
      <c r="N121" s="2136"/>
      <c r="O121" s="2134"/>
      <c r="P121" s="2134"/>
      <c r="Q121" s="2134"/>
      <c r="R121" s="2134"/>
      <c r="S121" s="2134"/>
      <c r="T121" s="2134"/>
      <c r="U121" s="2135"/>
      <c r="W121" s="1814" t="s">
        <v>10</v>
      </c>
      <c r="X121" s="209" t="str">
        <f>X75</f>
        <v>N NAME OF YOUR RECIPE | paste it — FAMILY|  Author &gt; YOU</v>
      </c>
      <c r="Y121" s="209">
        <f>Y75</f>
        <v>1</v>
      </c>
      <c r="Z121" s="210" t="str">
        <f>Z75</f>
        <v>coupe</v>
      </c>
      <c r="AA121" s="211" t="str">
        <f>AA75</f>
        <v>Master recipe ► MILLE-FEUILLE  aux fraises des bois</v>
      </c>
      <c r="AB121" s="2129"/>
      <c r="AC121" s="2130"/>
      <c r="AD121" s="2131"/>
      <c r="AE121" s="2132"/>
      <c r="AF121" s="2133"/>
      <c r="AG121" s="2133" t="s">
        <v>8868</v>
      </c>
      <c r="AH121" s="5545" t="s">
        <v>8873</v>
      </c>
      <c r="AI121" s="2136"/>
      <c r="AJ121" s="2134"/>
      <c r="AK121" s="2134"/>
      <c r="AL121" s="2134"/>
      <c r="AM121" s="2134"/>
      <c r="AN121" s="2134"/>
      <c r="AO121" s="2134"/>
      <c r="AP121" s="2135"/>
      <c r="AR121" s="1814" t="s">
        <v>10</v>
      </c>
      <c r="AS121" s="209" t="str">
        <f>AS75</f>
        <v>N NOMBRE DE SU RECETA | pegue esto — FAMILIA| Auteur &gt; VOUS</v>
      </c>
      <c r="AT121" s="209">
        <f>AT75</f>
        <v>1</v>
      </c>
      <c r="AU121" s="210" t="str">
        <f>AU75</f>
        <v>coupe</v>
      </c>
      <c r="AV121" s="211" t="str">
        <f>AV75</f>
        <v>Receta madre ► MILLE-FEUILLE  aux fraises des bois</v>
      </c>
      <c r="AW121" s="2129"/>
      <c r="AX121" s="2130"/>
      <c r="AY121" s="2131"/>
      <c r="AZ121" s="2132"/>
      <c r="BA121" s="2133"/>
      <c r="BB121" s="2133" t="s">
        <v>8870</v>
      </c>
      <c r="BC121" s="5545" t="s">
        <v>8872</v>
      </c>
      <c r="BD121" s="2136"/>
      <c r="BE121" s="2134"/>
      <c r="BF121" s="2134"/>
      <c r="BG121" s="2134"/>
      <c r="BH121" s="2134"/>
      <c r="BI121" s="2134"/>
      <c r="BJ121" s="2134"/>
      <c r="BK121" s="2135"/>
      <c r="BM121" s="3">
        <v>1</v>
      </c>
    </row>
    <row r="122" spans="2:65" ht="21" customHeight="1" thickBot="1">
      <c r="B122" s="215" t="s">
        <v>10</v>
      </c>
      <c r="C122" s="216"/>
      <c r="D122" s="216"/>
      <c r="E122" s="216"/>
      <c r="F122" s="217"/>
      <c r="G122" s="218" t="s">
        <v>207</v>
      </c>
      <c r="H122" s="219" t="str">
        <f ca="1">CELL("nomfichier")</f>
        <v>D:\Données\1.UPRT\0-UPRT.fait\1-UPRT.FR-SITE-WEB\ff-fiches-fabrications\ff.fiches.fabrication.2023\ffr.restaurant.2023\[ff.FICHE.TRILINGUE.20.COLONNES.05.01.2026.xlsx]Couleurs.pour.vos.documents</v>
      </c>
      <c r="I122" s="220"/>
      <c r="J122" s="220"/>
      <c r="K122" s="220"/>
      <c r="L122" s="220"/>
      <c r="M122" s="220"/>
      <c r="N122" s="220"/>
      <c r="O122" s="220"/>
      <c r="P122" s="220"/>
      <c r="Q122" s="220"/>
      <c r="R122" s="220"/>
      <c r="S122" s="220"/>
      <c r="T122" s="220"/>
      <c r="U122" s="221"/>
      <c r="W122" s="215" t="s">
        <v>10</v>
      </c>
      <c r="X122" s="216"/>
      <c r="Y122" s="216"/>
      <c r="Z122" s="216"/>
      <c r="AA122" s="217"/>
      <c r="AB122" s="218" t="s">
        <v>207</v>
      </c>
      <c r="AC122" s="219" t="str">
        <f ca="1">CELL("nomfichier")</f>
        <v>D:\Données\1.UPRT\0-UPRT.fait\1-UPRT.FR-SITE-WEB\ff-fiches-fabrications\ff.fiches.fabrication.2023\ffr.restaurant.2023\[ff.FICHE.TRILINGUE.20.COLONNES.05.01.2026.xlsx]Couleurs.pour.vos.documents</v>
      </c>
      <c r="AD122" s="220"/>
      <c r="AE122" s="220"/>
      <c r="AF122" s="220"/>
      <c r="AG122" s="220"/>
      <c r="AH122" s="220"/>
      <c r="AI122" s="220"/>
      <c r="AJ122" s="220"/>
      <c r="AK122" s="220"/>
      <c r="AL122" s="220"/>
      <c r="AM122" s="220"/>
      <c r="AN122" s="220"/>
      <c r="AO122" s="220"/>
      <c r="AP122" s="221"/>
      <c r="AR122" s="215" t="s">
        <v>10</v>
      </c>
      <c r="AS122" s="216"/>
      <c r="AT122" s="216"/>
      <c r="AU122" s="216"/>
      <c r="AV122" s="217"/>
      <c r="AW122" s="218" t="s">
        <v>207</v>
      </c>
      <c r="AX122" s="219" t="str">
        <f ca="1">CELL("nomfichier")</f>
        <v>D:\Données\1.UPRT\0-UPRT.fait\1-UPRT.FR-SITE-WEB\ff-fiches-fabrications\ff.fiches.fabrication.2023\ffr.restaurant.2023\[ff.FICHE.TRILINGUE.20.COLONNES.05.01.2026.xlsx]Couleurs.pour.vos.documents</v>
      </c>
      <c r="AY122" s="220"/>
      <c r="AZ122" s="220"/>
      <c r="BA122" s="220"/>
      <c r="BB122" s="220"/>
      <c r="BC122" s="220"/>
      <c r="BD122" s="220"/>
      <c r="BE122" s="220"/>
      <c r="BF122" s="220"/>
      <c r="BG122" s="220"/>
      <c r="BH122" s="220"/>
      <c r="BI122" s="220"/>
      <c r="BJ122" s="220"/>
      <c r="BK122" s="221"/>
      <c r="BM122" s="3">
        <v>1</v>
      </c>
    </row>
    <row r="123" spans="2:65" ht="21" customHeight="1" thickBot="1">
      <c r="B123" s="1216" t="s">
        <v>10</v>
      </c>
      <c r="C123" s="1217" t="s">
        <v>10</v>
      </c>
      <c r="D123" s="1217" t="s">
        <v>10</v>
      </c>
      <c r="E123" s="1217" t="s">
        <v>10</v>
      </c>
      <c r="F123" s="1217" t="s">
        <v>10</v>
      </c>
      <c r="G123" s="1218" t="s">
        <v>2394</v>
      </c>
      <c r="H123" s="1219"/>
      <c r="I123" s="1220"/>
      <c r="J123" s="1221"/>
      <c r="K123" s="1222"/>
      <c r="L123" s="1223"/>
      <c r="M123" s="1223"/>
      <c r="N123" s="1221"/>
      <c r="O123" s="1221"/>
      <c r="P123" s="1219"/>
      <c r="Q123" s="1219"/>
      <c r="R123" s="1219"/>
      <c r="S123" s="1219"/>
      <c r="T123" s="1219"/>
      <c r="U123" s="1224" t="s">
        <v>1755</v>
      </c>
      <c r="W123" s="1216" t="s">
        <v>10</v>
      </c>
      <c r="X123" s="1217" t="s">
        <v>10</v>
      </c>
      <c r="Y123" s="1217" t="s">
        <v>10</v>
      </c>
      <c r="Z123" s="1217" t="s">
        <v>10</v>
      </c>
      <c r="AA123" s="1217" t="s">
        <v>10</v>
      </c>
      <c r="AB123" s="1218" t="s">
        <v>2394</v>
      </c>
      <c r="AC123" s="1219"/>
      <c r="AD123" s="1220"/>
      <c r="AE123" s="1221"/>
      <c r="AF123" s="1222"/>
      <c r="AG123" s="1223"/>
      <c r="AH123" s="1223"/>
      <c r="AI123" s="1221"/>
      <c r="AJ123" s="1221"/>
      <c r="AK123" s="1219"/>
      <c r="AL123" s="1219"/>
      <c r="AM123" s="1219"/>
      <c r="AN123" s="1219"/>
      <c r="AO123" s="1219"/>
      <c r="AP123" s="1224" t="s">
        <v>1755</v>
      </c>
      <c r="AR123" s="1216" t="s">
        <v>10</v>
      </c>
      <c r="AS123" s="1217" t="s">
        <v>10</v>
      </c>
      <c r="AT123" s="1217" t="s">
        <v>10</v>
      </c>
      <c r="AU123" s="1217" t="s">
        <v>10</v>
      </c>
      <c r="AV123" s="1217" t="s">
        <v>10</v>
      </c>
      <c r="AW123" s="1218" t="s">
        <v>2394</v>
      </c>
      <c r="AX123" s="1219"/>
      <c r="AY123" s="1220"/>
      <c r="AZ123" s="1221"/>
      <c r="BA123" s="1222"/>
      <c r="BB123" s="1223"/>
      <c r="BC123" s="1223"/>
      <c r="BD123" s="1221"/>
      <c r="BE123" s="1221"/>
      <c r="BF123" s="1219"/>
      <c r="BG123" s="1219"/>
      <c r="BH123" s="1219"/>
      <c r="BI123" s="1219"/>
      <c r="BJ123" s="1219"/>
      <c r="BK123" s="1224" t="s">
        <v>1755</v>
      </c>
      <c r="BM123" s="3">
        <v>1</v>
      </c>
    </row>
    <row r="124" spans="2:65" ht="21" customHeight="1">
      <c r="B124" s="19" t="s">
        <v>10</v>
      </c>
      <c r="C124" s="20" t="str">
        <f>C130</f>
        <v>N NOM DE VOTRE RECETTE | collez la--FAMILLE| Auteur &gt; VOUS</v>
      </c>
      <c r="D124" s="21">
        <f>D130</f>
        <v>1</v>
      </c>
      <c r="E124" s="21" t="str">
        <f>E130</f>
        <v>coupe</v>
      </c>
      <c r="F124" s="22" t="str">
        <f>F130</f>
        <v>Recette mère ► MILLE-FEUILLE  aux fraises des bois</v>
      </c>
      <c r="G124" s="23" t="s">
        <v>21</v>
      </c>
      <c r="H124" s="24" t="s">
        <v>22</v>
      </c>
      <c r="I124" s="24"/>
      <c r="J124" s="6634" t="s">
        <v>1339</v>
      </c>
      <c r="K124" s="6634"/>
      <c r="L124" s="6634"/>
      <c r="M124" s="6634"/>
      <c r="N124" s="6634"/>
      <c r="O124" s="6634"/>
      <c r="P124" s="6634"/>
      <c r="Q124" s="6634"/>
      <c r="R124" s="6634"/>
      <c r="S124" s="6636" t="s">
        <v>1348</v>
      </c>
      <c r="T124" s="6636"/>
      <c r="U124" s="6638" t="str">
        <f>UPPER(LEFT(J124,1))</f>
        <v>N</v>
      </c>
      <c r="W124" s="19" t="s">
        <v>10</v>
      </c>
      <c r="X124" s="20" t="str">
        <f>X130</f>
        <v>N NAME OF YOUR RECIPE | paste it — FAMILY|  Author &gt; YOU</v>
      </c>
      <c r="Y124" s="21">
        <f>Y130</f>
        <v>1</v>
      </c>
      <c r="Z124" s="21" t="str">
        <f>Z130</f>
        <v>coupe</v>
      </c>
      <c r="AA124" s="22" t="str">
        <f>AA130</f>
        <v>Master recipe ► MILLE-FEUILLE  aux fraises des bois</v>
      </c>
      <c r="AB124" s="23" t="s">
        <v>21</v>
      </c>
      <c r="AC124" s="24" t="s">
        <v>22</v>
      </c>
      <c r="AD124" s="24"/>
      <c r="AE124" s="6634" t="s">
        <v>851</v>
      </c>
      <c r="AF124" s="6634"/>
      <c r="AG124" s="6634"/>
      <c r="AH124" s="6634"/>
      <c r="AI124" s="6634"/>
      <c r="AJ124" s="6634"/>
      <c r="AK124" s="6634"/>
      <c r="AL124" s="6634"/>
      <c r="AM124" s="6634"/>
      <c r="AN124" s="6636" t="s">
        <v>1349</v>
      </c>
      <c r="AO124" s="6636"/>
      <c r="AP124" s="6638" t="str">
        <f>UPPER(LEFT(AE124,1))</f>
        <v>N</v>
      </c>
      <c r="AR124" s="19" t="s">
        <v>10</v>
      </c>
      <c r="AS124" s="20" t="str">
        <f>AS130</f>
        <v>N NOMBRE DE SU RECETA | pegue esto — FAMILIA| Auteur &gt; VOUS</v>
      </c>
      <c r="AT124" s="21">
        <f>AT130</f>
        <v>1</v>
      </c>
      <c r="AU124" s="21" t="str">
        <f>AU130</f>
        <v>coupe</v>
      </c>
      <c r="AV124" s="22" t="str">
        <f>AV130</f>
        <v>Receta madre ► MILLE-FEUILLE  aux fraises des bois</v>
      </c>
      <c r="AW124" s="23" t="s">
        <v>21</v>
      </c>
      <c r="AX124" s="24" t="s">
        <v>866</v>
      </c>
      <c r="AY124" s="24"/>
      <c r="AZ124" s="6634" t="s">
        <v>867</v>
      </c>
      <c r="BA124" s="6634"/>
      <c r="BB124" s="6634"/>
      <c r="BC124" s="6634"/>
      <c r="BD124" s="6634"/>
      <c r="BE124" s="6634"/>
      <c r="BF124" s="6634"/>
      <c r="BG124" s="6634"/>
      <c r="BH124" s="6634"/>
      <c r="BI124" s="6636" t="s">
        <v>1350</v>
      </c>
      <c r="BJ124" s="6636"/>
      <c r="BK124" s="6638" t="str">
        <f>UPPER(LEFT(AZ124,1))</f>
        <v>N</v>
      </c>
      <c r="BM124" s="3">
        <v>1</v>
      </c>
    </row>
    <row r="125" spans="2:65" ht="21" customHeight="1">
      <c r="B125" s="25" t="s">
        <v>10</v>
      </c>
      <c r="C125" s="26" t="str">
        <f>C130</f>
        <v>N NOM DE VOTRE RECETTE | collez la--FAMILLE| Auteur &gt; VOUS</v>
      </c>
      <c r="D125" s="27">
        <f>D130</f>
        <v>1</v>
      </c>
      <c r="E125" s="27" t="str">
        <f>E130</f>
        <v>coupe</v>
      </c>
      <c r="F125" s="28" t="str">
        <f>F130</f>
        <v>Recette mère ► MILLE-FEUILLE  aux fraises des bois</v>
      </c>
      <c r="G125" s="29" t="s">
        <v>28</v>
      </c>
      <c r="H125" s="30" t="s">
        <v>831</v>
      </c>
      <c r="I125" s="30"/>
      <c r="J125" s="6635"/>
      <c r="K125" s="6635"/>
      <c r="L125" s="6635"/>
      <c r="M125" s="6635"/>
      <c r="N125" s="6635"/>
      <c r="O125" s="6635"/>
      <c r="P125" s="6635"/>
      <c r="Q125" s="6635"/>
      <c r="R125" s="6635"/>
      <c r="S125" s="6637"/>
      <c r="T125" s="6637"/>
      <c r="U125" s="6639"/>
      <c r="W125" s="25" t="s">
        <v>10</v>
      </c>
      <c r="X125" s="26" t="str">
        <f>X130</f>
        <v>N NAME OF YOUR RECIPE | paste it — FAMILY|  Author &gt; YOU</v>
      </c>
      <c r="Y125" s="27">
        <f>Y130</f>
        <v>1</v>
      </c>
      <c r="Z125" s="27" t="str">
        <f>Z130</f>
        <v>coupe</v>
      </c>
      <c r="AA125" s="28" t="str">
        <f>AA130</f>
        <v>Master recipe ► MILLE-FEUILLE  aux fraises des bois</v>
      </c>
      <c r="AB125" s="29" t="s">
        <v>1299</v>
      </c>
      <c r="AC125" s="30" t="s">
        <v>831</v>
      </c>
      <c r="AD125" s="30"/>
      <c r="AE125" s="6635"/>
      <c r="AF125" s="6635"/>
      <c r="AG125" s="6635"/>
      <c r="AH125" s="6635"/>
      <c r="AI125" s="6635"/>
      <c r="AJ125" s="6635"/>
      <c r="AK125" s="6635"/>
      <c r="AL125" s="6635"/>
      <c r="AM125" s="6635"/>
      <c r="AN125" s="6637"/>
      <c r="AO125" s="6637"/>
      <c r="AP125" s="6639"/>
      <c r="AR125" s="25" t="s">
        <v>10</v>
      </c>
      <c r="AS125" s="26" t="str">
        <f>AS130</f>
        <v>N NOMBRE DE SU RECETA | pegue esto — FAMILIA| Auteur &gt; VOUS</v>
      </c>
      <c r="AT125" s="27">
        <f>AT130</f>
        <v>1</v>
      </c>
      <c r="AU125" s="27" t="str">
        <f>AU130</f>
        <v>coupe</v>
      </c>
      <c r="AV125" s="28" t="str">
        <f>AV130</f>
        <v>Receta madre ► MILLE-FEUILLE  aux fraises des bois</v>
      </c>
      <c r="AW125" s="29" t="s">
        <v>868</v>
      </c>
      <c r="AX125" s="30" t="s">
        <v>29</v>
      </c>
      <c r="AY125" s="30"/>
      <c r="AZ125" s="6635"/>
      <c r="BA125" s="6635"/>
      <c r="BB125" s="6635"/>
      <c r="BC125" s="6635"/>
      <c r="BD125" s="6635"/>
      <c r="BE125" s="6635"/>
      <c r="BF125" s="6635"/>
      <c r="BG125" s="6635"/>
      <c r="BH125" s="6635"/>
      <c r="BI125" s="6637"/>
      <c r="BJ125" s="6637"/>
      <c r="BK125" s="6639"/>
      <c r="BM125" s="3">
        <v>1</v>
      </c>
    </row>
    <row r="126" spans="2:65" ht="21" customHeight="1">
      <c r="B126" s="25" t="s">
        <v>10</v>
      </c>
      <c r="C126" s="31" t="str">
        <f>C130</f>
        <v>N NOM DE VOTRE RECETTE | collez la--FAMILLE| Auteur &gt; VOUS</v>
      </c>
      <c r="D126" s="32">
        <f>D130</f>
        <v>1</v>
      </c>
      <c r="E126" s="32" t="str">
        <f>E130</f>
        <v>coupe</v>
      </c>
      <c r="F126" s="33" t="str">
        <f>F130</f>
        <v>Recette mère ► MILLE-FEUILLE  aux fraises des bois</v>
      </c>
      <c r="G126" s="1357"/>
      <c r="H126" s="1358" t="s">
        <v>30</v>
      </c>
      <c r="I126" s="34"/>
      <c r="J126" s="35" t="s">
        <v>31</v>
      </c>
      <c r="K126" s="36" t="s">
        <v>57</v>
      </c>
      <c r="L126" s="9"/>
      <c r="M126" s="9"/>
      <c r="N126" s="36"/>
      <c r="O126" s="36"/>
      <c r="P126" s="36"/>
      <c r="Q126" s="37"/>
      <c r="R126" s="9"/>
      <c r="S126" s="9"/>
      <c r="T126" s="9"/>
      <c r="U126" s="2062" t="str" cm="1">
        <f t="array" aca="1" ref="U126" ca="1">IF(COUNTIF(C155:U155,"&lt;0.5")=0,"Aucune colonne masquée ",COUNTIF(C155:U155,"&lt;0.5") &amp; " " &amp; IF(COUNTIF(C155:U155,"&lt;0.5")&gt;1,"colonnes masquées","colonne masquée") &amp; " " &amp; _xlfn.TEXTJOIN(" ", TRUE, IF(C155:U155&lt;0.5,C154:U154,"")))&amp;" "</f>
        <v xml:space="preserve">Aucune colonne masquée  </v>
      </c>
      <c r="W126" s="25" t="s">
        <v>10</v>
      </c>
      <c r="X126" s="31" t="str">
        <f>X130</f>
        <v>N NAME OF YOUR RECIPE | paste it — FAMILY|  Author &gt; YOU</v>
      </c>
      <c r="Y126" s="32">
        <f>Y130</f>
        <v>1</v>
      </c>
      <c r="Z126" s="32" t="str">
        <f>Z130</f>
        <v>coupe</v>
      </c>
      <c r="AA126" s="33" t="str">
        <f>AA130</f>
        <v>Master recipe ► MILLE-FEUILLE  aux fraises des bois</v>
      </c>
      <c r="AB126" s="1357"/>
      <c r="AC126" s="1358" t="s">
        <v>30</v>
      </c>
      <c r="AD126" s="34"/>
      <c r="AE126" s="35" t="s">
        <v>853</v>
      </c>
      <c r="AF126" s="36" t="s">
        <v>60</v>
      </c>
      <c r="AG126" s="9"/>
      <c r="AH126" s="9"/>
      <c r="AI126" s="36"/>
      <c r="AJ126" s="36"/>
      <c r="AK126" s="36"/>
      <c r="AL126" s="37"/>
      <c r="AM126" s="9"/>
      <c r="AN126" s="9"/>
      <c r="AO126" s="9"/>
      <c r="AP126" s="38"/>
      <c r="AR126" s="25" t="s">
        <v>10</v>
      </c>
      <c r="AS126" s="31" t="str">
        <f>AS130</f>
        <v>N NOMBRE DE SU RECETA | pegue esto — FAMILIA| Auteur &gt; VOUS</v>
      </c>
      <c r="AT126" s="32">
        <f>AT130</f>
        <v>1</v>
      </c>
      <c r="AU126" s="32" t="str">
        <f>AU130</f>
        <v>coupe</v>
      </c>
      <c r="AV126" s="33" t="str">
        <f>AV130</f>
        <v>Receta madre ► MILLE-FEUILLE  aux fraises des bois</v>
      </c>
      <c r="AW126" s="1357"/>
      <c r="AX126" s="1358" t="s">
        <v>30</v>
      </c>
      <c r="AY126" s="34"/>
      <c r="AZ126" s="35" t="s">
        <v>31</v>
      </c>
      <c r="BA126" s="36" t="s">
        <v>57</v>
      </c>
      <c r="BB126" s="9"/>
      <c r="BC126" s="9"/>
      <c r="BD126" s="36"/>
      <c r="BE126" s="36"/>
      <c r="BF126" s="36"/>
      <c r="BG126" s="37"/>
      <c r="BH126" s="9"/>
      <c r="BI126" s="9"/>
      <c r="BJ126" s="9"/>
      <c r="BK126" s="38"/>
      <c r="BM126" s="3">
        <v>1</v>
      </c>
    </row>
    <row r="127" spans="2:65" ht="21" customHeight="1">
      <c r="B127" s="25" t="s">
        <v>10</v>
      </c>
      <c r="C127" s="31" t="str">
        <f>C130</f>
        <v>N NOM DE VOTRE RECETTE | collez la--FAMILLE| Auteur &gt; VOUS</v>
      </c>
      <c r="D127" s="32">
        <f>D130</f>
        <v>1</v>
      </c>
      <c r="E127" s="32" t="str">
        <f>E130</f>
        <v>coupe</v>
      </c>
      <c r="F127" s="33" t="str">
        <f>F130</f>
        <v>Recette mère ► MILLE-FEUILLE  aux fraises des bois</v>
      </c>
      <c r="G127" s="39" t="s">
        <v>32</v>
      </c>
      <c r="H127" s="40"/>
      <c r="I127" s="40"/>
      <c r="J127" s="41" t="s">
        <v>33</v>
      </c>
      <c r="K127" s="6736" t="str">
        <f>M130&amp;" "&amp;N130&amp;" ► Famille = "&amp;S124&amp;" ► "&amp;J124&amp;" "&amp;Q127&amp;" "&amp;S127&amp;" "&amp;T127&amp;" "&amp;U127</f>
        <v>Recette mère ► MILLE-FEUILLE  aux fraises des bois ► Famille = collez la--FAMILLE ► NOM DE VOTRE RECETTE  ⓫  Dupliquée pour 5 coupes</v>
      </c>
      <c r="L127" s="6736"/>
      <c r="M127" s="6736"/>
      <c r="N127" s="6736"/>
      <c r="O127" s="6736"/>
      <c r="P127" s="6736"/>
      <c r="Q127" s="6736"/>
      <c r="R127" s="1359"/>
      <c r="S127" s="1359" t="s">
        <v>35</v>
      </c>
      <c r="T127" s="140">
        <v>5</v>
      </c>
      <c r="U127" s="43" t="str">
        <f>U129</f>
        <v>coupes</v>
      </c>
      <c r="W127" s="25" t="s">
        <v>10</v>
      </c>
      <c r="X127" s="31" t="str">
        <f>X130</f>
        <v>N NAME OF YOUR RECIPE | paste it — FAMILY|  Author &gt; YOU</v>
      </c>
      <c r="Y127" s="32">
        <f>Y130</f>
        <v>1</v>
      </c>
      <c r="Z127" s="32" t="str">
        <f>Z130</f>
        <v>coupe</v>
      </c>
      <c r="AA127" s="33" t="str">
        <f>AA130</f>
        <v>Master recipe ► MILLE-FEUILLE  aux fraises des bois</v>
      </c>
      <c r="AB127" s="39" t="s">
        <v>134</v>
      </c>
      <c r="AC127" s="40"/>
      <c r="AD127" s="40"/>
      <c r="AE127" s="41" t="s">
        <v>33</v>
      </c>
      <c r="AF127" s="6736" t="str">
        <f>AH130&amp;" "&amp;AI130&amp;" ► Famille = "&amp;AN124&amp;" ► "&amp;AE124&amp;" "&amp;AL127&amp;" "&amp;AN127&amp;" "&amp;AO127&amp;" "&amp;AP127</f>
        <v>Master recipe ► MILLE-FEUILLE  aux fraises des bois ► Famille = paste it — FAMILY ► NAME OF YOUR RECIPE  ⓫ Duplicated for 5 coupes</v>
      </c>
      <c r="AG127" s="6736"/>
      <c r="AH127" s="6736"/>
      <c r="AI127" s="6736"/>
      <c r="AJ127" s="6736"/>
      <c r="AK127" s="6736"/>
      <c r="AL127" s="6736"/>
      <c r="AM127" s="1359"/>
      <c r="AN127" s="1359" t="s">
        <v>135</v>
      </c>
      <c r="AO127" s="140">
        <v>5</v>
      </c>
      <c r="AP127" s="43" t="str">
        <f>AP129</f>
        <v>coupes</v>
      </c>
      <c r="AR127" s="25" t="s">
        <v>10</v>
      </c>
      <c r="AS127" s="31" t="str">
        <f>AS130</f>
        <v>N NOMBRE DE SU RECETA | pegue esto — FAMILIA| Auteur &gt; VOUS</v>
      </c>
      <c r="AT127" s="32">
        <f>AT130</f>
        <v>1</v>
      </c>
      <c r="AU127" s="32" t="str">
        <f>AU130</f>
        <v>coupe</v>
      </c>
      <c r="AV127" s="33" t="str">
        <f>AV130</f>
        <v>Receta madre ► MILLE-FEUILLE  aux fraises des bois</v>
      </c>
      <c r="AW127" s="39" t="s">
        <v>869</v>
      </c>
      <c r="AX127" s="40"/>
      <c r="AY127" s="40"/>
      <c r="AZ127" s="41" t="s">
        <v>33</v>
      </c>
      <c r="BA127" s="6736" t="str">
        <f>BC130&amp;" "&amp;BD130&amp;" ► Famille = "&amp;BI124&amp;" ► "&amp;AZ124&amp;" "&amp;BG127&amp;" "&amp;BI127&amp;" "&amp;BJ127&amp;" "&amp;BK127</f>
        <v>Receta madre ► MILLE-FEUILLE  aux fraises des bois ► Famille = pegue esto — FAMILIA ► NOMBRE DE SU RECETA  ⓫ Duplicada para 5 coupes</v>
      </c>
      <c r="BB127" s="6736"/>
      <c r="BC127" s="6736"/>
      <c r="BD127" s="6736"/>
      <c r="BE127" s="6736"/>
      <c r="BF127" s="6736"/>
      <c r="BG127" s="6736"/>
      <c r="BH127" s="1359"/>
      <c r="BI127" s="1359" t="s">
        <v>138</v>
      </c>
      <c r="BJ127" s="140">
        <v>5</v>
      </c>
      <c r="BK127" s="43" t="str">
        <f>BK129</f>
        <v>coupes</v>
      </c>
      <c r="BM127" s="3">
        <v>1</v>
      </c>
    </row>
    <row r="128" spans="2:65" ht="21" customHeight="1">
      <c r="B128" s="25" t="s">
        <v>10</v>
      </c>
      <c r="C128" s="31" t="str">
        <f>C130</f>
        <v>N NOM DE VOTRE RECETTE | collez la--FAMILLE| Auteur &gt; VOUS</v>
      </c>
      <c r="D128" s="32">
        <f>D130</f>
        <v>1</v>
      </c>
      <c r="E128" s="32" t="str">
        <f>E130</f>
        <v>coupe</v>
      </c>
      <c r="F128" s="33" t="str">
        <f>F130</f>
        <v>Recette mère ► MILLE-FEUILLE  aux fraises des bois</v>
      </c>
      <c r="G128" s="1360">
        <v>1</v>
      </c>
      <c r="H128" s="1361" t="s">
        <v>1783</v>
      </c>
      <c r="I128" s="39"/>
      <c r="J128" s="39"/>
      <c r="K128" s="6736"/>
      <c r="L128" s="6736"/>
      <c r="M128" s="6736"/>
      <c r="N128" s="6736"/>
      <c r="O128" s="6736"/>
      <c r="P128" s="6736"/>
      <c r="Q128" s="6736"/>
      <c r="R128" s="696"/>
      <c r="S128" s="696"/>
      <c r="T128" s="47" t="s">
        <v>40</v>
      </c>
      <c r="U128" s="48" t="s">
        <v>41</v>
      </c>
      <c r="W128" s="25" t="s">
        <v>10</v>
      </c>
      <c r="X128" s="31" t="str">
        <f>X130</f>
        <v>N NAME OF YOUR RECIPE | paste it — FAMILY|  Author &gt; YOU</v>
      </c>
      <c r="Y128" s="32">
        <f>Y130</f>
        <v>1</v>
      </c>
      <c r="Z128" s="32" t="str">
        <f>Z130</f>
        <v>coupe</v>
      </c>
      <c r="AA128" s="33" t="str">
        <f>AA130</f>
        <v>Master recipe ► MILLE-FEUILLE  aux fraises des bois</v>
      </c>
      <c r="AB128" s="1360">
        <v>1</v>
      </c>
      <c r="AC128" s="1361" t="s">
        <v>1783</v>
      </c>
      <c r="AD128" s="39"/>
      <c r="AE128" s="39"/>
      <c r="AF128" s="6736"/>
      <c r="AG128" s="6736"/>
      <c r="AH128" s="6736"/>
      <c r="AI128" s="6736"/>
      <c r="AJ128" s="6736"/>
      <c r="AK128" s="6736"/>
      <c r="AL128" s="6736"/>
      <c r="AM128" s="696"/>
      <c r="AN128" s="696"/>
      <c r="AO128" s="47" t="s">
        <v>148</v>
      </c>
      <c r="AP128" s="48" t="s">
        <v>854</v>
      </c>
      <c r="AR128" s="25" t="s">
        <v>10</v>
      </c>
      <c r="AS128" s="31" t="str">
        <f>AS130</f>
        <v>N NOMBRE DE SU RECETA | pegue esto — FAMILIA| Auteur &gt; VOUS</v>
      </c>
      <c r="AT128" s="32">
        <f>AT130</f>
        <v>1</v>
      </c>
      <c r="AU128" s="32" t="str">
        <f>AU130</f>
        <v>coupe</v>
      </c>
      <c r="AV128" s="33" t="str">
        <f>AV130</f>
        <v>Receta madre ► MILLE-FEUILLE  aux fraises des bois</v>
      </c>
      <c r="AW128" s="1360">
        <v>1</v>
      </c>
      <c r="AX128" s="1361" t="s">
        <v>1783</v>
      </c>
      <c r="AY128" s="39"/>
      <c r="AZ128" s="39"/>
      <c r="BA128" s="6736"/>
      <c r="BB128" s="6736"/>
      <c r="BC128" s="6736"/>
      <c r="BD128" s="6736"/>
      <c r="BE128" s="6736"/>
      <c r="BF128" s="6736"/>
      <c r="BG128" s="6736"/>
      <c r="BH128" s="696"/>
      <c r="BI128" s="696"/>
      <c r="BJ128" s="47" t="s">
        <v>150</v>
      </c>
      <c r="BK128" s="48" t="s">
        <v>151</v>
      </c>
      <c r="BM128" s="3">
        <v>1</v>
      </c>
    </row>
    <row r="129" spans="2:65" ht="21" customHeight="1">
      <c r="B129" s="25" t="s">
        <v>10</v>
      </c>
      <c r="C129" s="31" t="str">
        <f>C130</f>
        <v>N NOM DE VOTRE RECETTE | collez la--FAMILLE| Auteur &gt; VOUS</v>
      </c>
      <c r="D129" s="32">
        <f>D130</f>
        <v>1</v>
      </c>
      <c r="E129" s="32" t="str">
        <f>E130</f>
        <v>coupe</v>
      </c>
      <c r="F129" s="33" t="str">
        <f>F130</f>
        <v>Recette mère ► MILLE-FEUILLE  aux fraises des bois</v>
      </c>
      <c r="G129" s="53"/>
      <c r="H129" s="1323" t="s">
        <v>8094</v>
      </c>
      <c r="I129" s="6737">
        <f>Q149</f>
        <v>0</v>
      </c>
      <c r="J129" s="6737"/>
      <c r="K129" s="1324" t="str" cm="1">
        <f t="array" ref="K129">"1= "&amp;IF(OR(G128&lt;=0,I129=""),"",_xlfn.LET(_xlpm.kg,IF(ISNUMBER(I129),I129,VALEUR(SUBSTITUTE(SUBSTITUTE(SUBSTITUTE(LOWER(I129),"kg",""),",",".")," ",""))),TEXT(ROUND(_xlpm.kg*1000/G128,2),"0.##")&amp;" g"))</f>
        <v>1= 0. g</v>
      </c>
      <c r="L129" s="1325">
        <f>IFERROR(T127/T129,0)</f>
        <v>1</v>
      </c>
      <c r="M129" s="1817" t="s">
        <v>8411</v>
      </c>
      <c r="N129" s="579"/>
      <c r="O129" s="55"/>
      <c r="P129" s="55"/>
      <c r="Q129"/>
      <c r="R129" s="1362"/>
      <c r="S129" s="1362" t="s">
        <v>50</v>
      </c>
      <c r="T129" s="2102">
        <v>5</v>
      </c>
      <c r="U129" s="56" t="s">
        <v>1784</v>
      </c>
      <c r="W129" s="25" t="s">
        <v>10</v>
      </c>
      <c r="X129" s="31" t="str">
        <f>X130</f>
        <v>N NAME OF YOUR RECIPE | paste it — FAMILY|  Author &gt; YOU</v>
      </c>
      <c r="Y129" s="32">
        <f>Y130</f>
        <v>1</v>
      </c>
      <c r="Z129" s="32" t="str">
        <f>Z130</f>
        <v>coupe</v>
      </c>
      <c r="AA129" s="33" t="str">
        <f>AA130</f>
        <v>Master recipe ► MILLE-FEUILLE  aux fraises des bois</v>
      </c>
      <c r="AB129" s="53"/>
      <c r="AC129" s="1323" t="s">
        <v>8095</v>
      </c>
      <c r="AD129" s="6737">
        <f>AL149</f>
        <v>0</v>
      </c>
      <c r="AE129" s="6737"/>
      <c r="AF129" s="1324" t="str" cm="1">
        <f t="array" ref="AF129">"1= "&amp;IF(OR(AB128&lt;=0,AD129=""),"",_xlfn.LET(_xlpm.kg,IF(ISNUMBER(AD129),AD129,VALEUR(SUBSTITUTE(SUBSTITUTE(SUBSTITUTE(LOWER(AD129),"kg",""),",",".")," ",""))),TEXT(ROUND(_xlpm.kg*1000/AB128,2),"0.##")&amp;" g"))</f>
        <v>1= 0. g</v>
      </c>
      <c r="AG129" s="1325">
        <f>IFERROR(AO127/AO129,0)</f>
        <v>3.3333333333333335</v>
      </c>
      <c r="AH129" s="1817" t="s">
        <v>8412</v>
      </c>
      <c r="AI129" s="55"/>
      <c r="AJ129" s="55"/>
      <c r="AK129" s="55"/>
      <c r="AM129" s="1362"/>
      <c r="AN129" s="1362" t="s">
        <v>153</v>
      </c>
      <c r="AO129" s="2102">
        <v>1.5</v>
      </c>
      <c r="AP129" s="56" t="s">
        <v>1784</v>
      </c>
      <c r="AR129" s="25" t="s">
        <v>10</v>
      </c>
      <c r="AS129" s="31" t="str">
        <f>AS130</f>
        <v>N NOMBRE DE SU RECETA | pegue esto — FAMILIA| Auteur &gt; VOUS</v>
      </c>
      <c r="AT129" s="32">
        <f>AT130</f>
        <v>1</v>
      </c>
      <c r="AU129" s="32" t="str">
        <f>AU130</f>
        <v>coupe</v>
      </c>
      <c r="AV129" s="33" t="str">
        <f>AV130</f>
        <v>Receta madre ► MILLE-FEUILLE  aux fraises des bois</v>
      </c>
      <c r="AW129" s="53"/>
      <c r="AX129" s="1323" t="s">
        <v>8096</v>
      </c>
      <c r="AY129" s="6737">
        <f>BG149</f>
        <v>0</v>
      </c>
      <c r="AZ129" s="6737"/>
      <c r="BA129" s="1324" t="str" cm="1">
        <f t="array" ref="BA129">"1= "&amp;IF(OR(AW128&lt;=0,AY129=""),"",_xlfn.LET(_xlpm.kg,IF(ISNUMBER(AY129),AY129,VALEUR(SUBSTITUTE(SUBSTITUTE(SUBSTITUTE(LOWER(AY129),"kg",""),",",".")," ",""))),TEXT(ROUND(_xlpm.kg*1000/AW128,2),"0.##")&amp;" g"))</f>
        <v>1= 0. g</v>
      </c>
      <c r="BB129" s="1325">
        <f>IFERROR(BJ127/BJ129,0)</f>
        <v>3.3333333333333335</v>
      </c>
      <c r="BC129" s="1817" t="s">
        <v>8413</v>
      </c>
      <c r="BD129" s="55"/>
      <c r="BE129" s="55"/>
      <c r="BF129" s="55"/>
      <c r="BH129" s="1362"/>
      <c r="BI129" s="1362" t="s">
        <v>154</v>
      </c>
      <c r="BJ129" s="2102">
        <v>1.5</v>
      </c>
      <c r="BK129" s="56" t="s">
        <v>1784</v>
      </c>
      <c r="BM129" s="3">
        <v>1</v>
      </c>
    </row>
    <row r="130" spans="2:65" ht="21" customHeight="1">
      <c r="B130" s="25" t="s">
        <v>10</v>
      </c>
      <c r="C130" s="61" t="str">
        <f>G130</f>
        <v>N NOM DE VOTRE RECETTE | collez la--FAMILLE| Auteur &gt; VOUS</v>
      </c>
      <c r="D130" s="62">
        <f>G128</f>
        <v>1</v>
      </c>
      <c r="E130" s="61" t="str">
        <f>H128</f>
        <v>coupe</v>
      </c>
      <c r="F130" s="63" t="str">
        <f>M130&amp;" "&amp;N130</f>
        <v>Recette mère ► MILLE-FEUILLE  aux fraises des bois</v>
      </c>
      <c r="G130" s="64" t="str">
        <f>UPPER(LEFT(J124,1))&amp;" "&amp;J124&amp;" | "&amp;S124&amp;"| "&amp;J126&amp;" "&amp;K126</f>
        <v>N NOM DE VOTRE RECETTE | collez la--FAMILLE| Auteur &gt; VOUS</v>
      </c>
      <c r="H130" s="65" t="s">
        <v>53</v>
      </c>
      <c r="I130" s="6735" t="s">
        <v>54</v>
      </c>
      <c r="J130" s="6735"/>
      <c r="K130" s="6735"/>
      <c r="L130" s="66"/>
      <c r="M130" s="66" t="str">
        <f>IF(ISTEXT(N130),"Recette mère ►",H130)</f>
        <v>Recette mère ►</v>
      </c>
      <c r="N130" s="67" t="s">
        <v>3081</v>
      </c>
      <c r="O130" s="67"/>
      <c r="P130" s="67"/>
      <c r="Q130" s="883"/>
      <c r="R130" s="68"/>
      <c r="S130" s="68"/>
      <c r="T130" s="68"/>
      <c r="U130"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W130" s="25" t="s">
        <v>10</v>
      </c>
      <c r="X130" s="61" t="str">
        <f>AB130</f>
        <v>N NAME OF YOUR RECIPE | paste it — FAMILY|  Author &gt; YOU</v>
      </c>
      <c r="Y130" s="62">
        <f>AB128</f>
        <v>1</v>
      </c>
      <c r="Z130" s="61" t="str">
        <f>AC128</f>
        <v>coupe</v>
      </c>
      <c r="AA130" s="63" t="str">
        <f>AH130&amp;" "&amp;AI130</f>
        <v>Master recipe ► MILLE-FEUILLE  aux fraises des bois</v>
      </c>
      <c r="AB130" s="64" t="str">
        <f>UPPER(LEFT(AE124,1))&amp;" "&amp;AE124&amp;" | "&amp;AN124&amp;"| "&amp;AE126&amp;" "&amp;AF126</f>
        <v>N NAME OF YOUR RECIPE | paste it — FAMILY|  Author &gt; YOU</v>
      </c>
      <c r="AC130" s="65" t="s">
        <v>855</v>
      </c>
      <c r="AD130" s="6735" t="s">
        <v>852</v>
      </c>
      <c r="AE130" s="6735"/>
      <c r="AF130" s="6735"/>
      <c r="AG130" s="66"/>
      <c r="AH130" s="66" t="str">
        <f>IF(ISTEXT(AI130),"Master recipe ►",AC130)</f>
        <v>Master recipe ►</v>
      </c>
      <c r="AI130" s="67" t="s">
        <v>3081</v>
      </c>
      <c r="AJ130" s="67"/>
      <c r="AK130" s="67"/>
      <c r="AL130" s="883"/>
      <c r="AM130" s="68"/>
      <c r="AN130" s="68"/>
      <c r="AO130" s="68"/>
      <c r="AP130" s="1818" t="str">
        <f>IF(ISNUMBER(IFERROR(VALUE("0,5"),"")),"WARNING: on this computer, the decimal separator is the COMMA,",IF(ISNUMBER(IFERROR(VALUE("0.5"),"")),"  OK. ALL GOOD: on this computer. the decimal separator is the PERIOD (DOT).","Unable to determine the decimal separator"))</f>
        <v xml:space="preserve">  OK. ALL GOOD: on this computer. the decimal separator is the PERIOD (DOT).</v>
      </c>
      <c r="AR130" s="25" t="s">
        <v>10</v>
      </c>
      <c r="AS130" s="61" t="str">
        <f>AW130</f>
        <v>N NOMBRE DE SU RECETA | pegue esto — FAMILIA| Auteur &gt; VOUS</v>
      </c>
      <c r="AT130" s="62">
        <f>AW128</f>
        <v>1</v>
      </c>
      <c r="AU130" s="61" t="str">
        <f>AX128</f>
        <v>coupe</v>
      </c>
      <c r="AV130" s="63" t="str">
        <f>BC130&amp;" "&amp;BD130</f>
        <v>Receta madre ► MILLE-FEUILLE  aux fraises des bois</v>
      </c>
      <c r="AW130" s="64" t="str">
        <f>UPPER(LEFT(AZ124,1))&amp;" "&amp;AZ124&amp;" | "&amp;BI124&amp;"| "&amp;AZ126&amp;" "&amp;BA126</f>
        <v>N NOMBRE DE SU RECETA | pegue esto — FAMILIA| Auteur &gt; VOUS</v>
      </c>
      <c r="AX130" s="65" t="s">
        <v>53</v>
      </c>
      <c r="AY130" s="6735" t="s">
        <v>870</v>
      </c>
      <c r="AZ130" s="6735"/>
      <c r="BA130" s="6735"/>
      <c r="BB130" s="66"/>
      <c r="BC130" s="66" t="str">
        <f>IF(ISTEXT(BD130),"Receta madre ►",AX130)</f>
        <v>Receta madre ►</v>
      </c>
      <c r="BD130" s="67" t="s">
        <v>3081</v>
      </c>
      <c r="BE130" s="67"/>
      <c r="BF130" s="67"/>
      <c r="BG130" s="883"/>
      <c r="BH130" s="68"/>
      <c r="BI130" s="68"/>
      <c r="BJ130" s="68"/>
      <c r="BK130" s="1818" t="str">
        <f>IF(ISNUMBER(IFERROR(VALUE("0,5"),"")),"ATENCIÓN: en este ordenador, el separador decimal es la COMA",IF(ISNUMBER(IFERROR(VALUE("0.5"),"")),"  OK. TODO BIEN: en este ordenador. el separador decimal es el PUNTO","Imposible determinar el separador decimal"))</f>
        <v xml:space="preserve">  OK. TODO BIEN: en este ordenador. el separador decimal es el PUNTO</v>
      </c>
      <c r="BM130" s="3">
        <v>1</v>
      </c>
    </row>
    <row r="131" spans="2:65" ht="21" customHeight="1">
      <c r="B131" s="25" t="s">
        <v>10</v>
      </c>
      <c r="C131" s="70" t="str">
        <f>C130</f>
        <v>N NOM DE VOTRE RECETTE | collez la--FAMILLE| Auteur &gt; VOUS</v>
      </c>
      <c r="D131" s="70">
        <f>D130</f>
        <v>1</v>
      </c>
      <c r="E131" s="70" t="str">
        <f>E130</f>
        <v>coupe</v>
      </c>
      <c r="F131" s="71" t="str">
        <f>F130</f>
        <v>Recette mère ► MILLE-FEUILLE  aux fraises des bois</v>
      </c>
      <c r="G131" s="12" t="s">
        <v>65</v>
      </c>
      <c r="H131" s="12" t="s">
        <v>66</v>
      </c>
      <c r="I131" s="12" t="s">
        <v>67</v>
      </c>
      <c r="J131" s="12" t="s">
        <v>68</v>
      </c>
      <c r="K131" s="72" t="s">
        <v>69</v>
      </c>
      <c r="L131" s="73" t="s">
        <v>70</v>
      </c>
      <c r="M131" s="12" t="s">
        <v>71</v>
      </c>
      <c r="N131" s="12" t="s">
        <v>72</v>
      </c>
      <c r="O131" s="12" t="s">
        <v>73</v>
      </c>
      <c r="P131" s="12" t="s">
        <v>74</v>
      </c>
      <c r="Q131" s="12" t="s">
        <v>75</v>
      </c>
      <c r="R131" s="12" t="s">
        <v>76</v>
      </c>
      <c r="S131" s="12" t="s">
        <v>77</v>
      </c>
      <c r="T131" s="12" t="s">
        <v>8143</v>
      </c>
      <c r="U131" s="74" t="s">
        <v>8407</v>
      </c>
      <c r="W131" s="25" t="s">
        <v>10</v>
      </c>
      <c r="X131" s="70" t="str">
        <f>X130</f>
        <v>N NAME OF YOUR RECIPE | paste it — FAMILY|  Author &gt; YOU</v>
      </c>
      <c r="Y131" s="70">
        <f>Y130</f>
        <v>1</v>
      </c>
      <c r="Z131" s="70" t="str">
        <f>Z130</f>
        <v>coupe</v>
      </c>
      <c r="AA131" s="71" t="str">
        <f>AA130</f>
        <v>Master recipe ► MILLE-FEUILLE  aux fraises des bois</v>
      </c>
      <c r="AB131" s="12" t="s">
        <v>65</v>
      </c>
      <c r="AC131" s="12" t="s">
        <v>66</v>
      </c>
      <c r="AD131" s="12" t="s">
        <v>67</v>
      </c>
      <c r="AE131" s="12" t="s">
        <v>68</v>
      </c>
      <c r="AF131" s="72" t="s">
        <v>69</v>
      </c>
      <c r="AG131" s="73" t="s">
        <v>70</v>
      </c>
      <c r="AH131" s="12" t="s">
        <v>71</v>
      </c>
      <c r="AI131" s="12" t="s">
        <v>72</v>
      </c>
      <c r="AJ131" s="12" t="s">
        <v>73</v>
      </c>
      <c r="AK131" s="12" t="s">
        <v>74</v>
      </c>
      <c r="AL131" s="12" t="s">
        <v>75</v>
      </c>
      <c r="AM131" s="12" t="s">
        <v>76</v>
      </c>
      <c r="AN131" s="12" t="s">
        <v>77</v>
      </c>
      <c r="AO131" s="12" t="s">
        <v>8143</v>
      </c>
      <c r="AP131" s="74" t="s">
        <v>8407</v>
      </c>
      <c r="AR131" s="25" t="s">
        <v>10</v>
      </c>
      <c r="AS131" s="70" t="str">
        <f>AS130</f>
        <v>N NOMBRE DE SU RECETA | pegue esto — FAMILIA| Auteur &gt; VOUS</v>
      </c>
      <c r="AT131" s="70">
        <f>AT130</f>
        <v>1</v>
      </c>
      <c r="AU131" s="70" t="str">
        <f>AU130</f>
        <v>coupe</v>
      </c>
      <c r="AV131" s="71" t="str">
        <f>AV130</f>
        <v>Receta madre ► MILLE-FEUILLE  aux fraises des bois</v>
      </c>
      <c r="AW131" s="12" t="s">
        <v>65</v>
      </c>
      <c r="AX131" s="12" t="s">
        <v>66</v>
      </c>
      <c r="AY131" s="12" t="s">
        <v>67</v>
      </c>
      <c r="AZ131" s="12" t="s">
        <v>68</v>
      </c>
      <c r="BA131" s="72" t="s">
        <v>69</v>
      </c>
      <c r="BB131" s="73" t="s">
        <v>70</v>
      </c>
      <c r="BC131" s="12" t="s">
        <v>71</v>
      </c>
      <c r="BD131" s="12" t="s">
        <v>72</v>
      </c>
      <c r="BE131" s="12" t="s">
        <v>73</v>
      </c>
      <c r="BF131" s="12" t="s">
        <v>74</v>
      </c>
      <c r="BG131" s="12" t="s">
        <v>75</v>
      </c>
      <c r="BH131" s="12" t="s">
        <v>76</v>
      </c>
      <c r="BI131" s="12" t="s">
        <v>77</v>
      </c>
      <c r="BJ131" s="12" t="s">
        <v>8143</v>
      </c>
      <c r="BK131" s="74" t="s">
        <v>8407</v>
      </c>
      <c r="BM131" s="3">
        <v>1</v>
      </c>
    </row>
    <row r="132" spans="2:65" ht="21" customHeight="1">
      <c r="B132" s="25" t="s">
        <v>10</v>
      </c>
      <c r="C132" s="31" t="str">
        <f>C130</f>
        <v>N NOM DE VOTRE RECETTE | collez la--FAMILLE| Auteur &gt; VOUS</v>
      </c>
      <c r="D132" s="32">
        <f>D130</f>
        <v>1</v>
      </c>
      <c r="E132" s="31" t="str">
        <f>E130</f>
        <v>coupe</v>
      </c>
      <c r="F132" s="33" t="str">
        <f>F130</f>
        <v>Recette mère ► MILLE-FEUILLE  aux fraises des bois</v>
      </c>
      <c r="G132" s="76" t="s">
        <v>78</v>
      </c>
      <c r="H132" s="77" t="s">
        <v>79</v>
      </c>
      <c r="I132" s="78"/>
      <c r="J132" s="6612" t="s">
        <v>80</v>
      </c>
      <c r="K132" s="6730" t="s">
        <v>81</v>
      </c>
      <c r="L132" s="6732" t="s">
        <v>82</v>
      </c>
      <c r="M132" s="6738" t="s">
        <v>8575</v>
      </c>
      <c r="N132" s="79" t="s">
        <v>83</v>
      </c>
      <c r="O132" s="80" t="s">
        <v>49</v>
      </c>
      <c r="P132" s="81" t="s">
        <v>84</v>
      </c>
      <c r="Q132" s="6607" t="s">
        <v>85</v>
      </c>
      <c r="R132" s="6582" t="s">
        <v>84</v>
      </c>
      <c r="S132" s="6727" t="s">
        <v>8405</v>
      </c>
      <c r="T132" s="6584" t="s">
        <v>86</v>
      </c>
      <c r="U132" s="6728" t="s">
        <v>87</v>
      </c>
      <c r="W132" s="25" t="s">
        <v>10</v>
      </c>
      <c r="X132" s="31" t="str">
        <f>X130</f>
        <v>N NAME OF YOUR RECIPE | paste it — FAMILY|  Author &gt; YOU</v>
      </c>
      <c r="Y132" s="32">
        <f>Y130</f>
        <v>1</v>
      </c>
      <c r="Z132" s="31" t="str">
        <f>Z130</f>
        <v>coupe</v>
      </c>
      <c r="AA132" s="33" t="str">
        <f>AA130</f>
        <v>Master recipe ► MILLE-FEUILLE  aux fraises des bois</v>
      </c>
      <c r="AB132" s="76" t="s">
        <v>78</v>
      </c>
      <c r="AC132" s="77" t="s">
        <v>79</v>
      </c>
      <c r="AD132" s="78"/>
      <c r="AE132" s="6612" t="s">
        <v>226</v>
      </c>
      <c r="AF132" s="6730" t="s">
        <v>81</v>
      </c>
      <c r="AG132" s="6732" t="s">
        <v>82</v>
      </c>
      <c r="AH132" s="6738" t="s">
        <v>8575</v>
      </c>
      <c r="AI132" s="79" t="s">
        <v>83</v>
      </c>
      <c r="AJ132" s="80" t="s">
        <v>152</v>
      </c>
      <c r="AK132" s="81" t="s">
        <v>242</v>
      </c>
      <c r="AL132" s="6607" t="s">
        <v>856</v>
      </c>
      <c r="AM132" s="6582" t="s">
        <v>242</v>
      </c>
      <c r="AN132" s="6582" t="s">
        <v>230</v>
      </c>
      <c r="AO132" s="6584" t="s">
        <v>857</v>
      </c>
      <c r="AP132" s="6728" t="s">
        <v>245</v>
      </c>
      <c r="AR132" s="25" t="s">
        <v>10</v>
      </c>
      <c r="AS132" s="31" t="str">
        <f>AS130</f>
        <v>N NOMBRE DE SU RECETA | pegue esto — FAMILIA| Auteur &gt; VOUS</v>
      </c>
      <c r="AT132" s="32">
        <f>AT130</f>
        <v>1</v>
      </c>
      <c r="AU132" s="31" t="str">
        <f>AU130</f>
        <v>coupe</v>
      </c>
      <c r="AV132" s="33" t="str">
        <f>AV130</f>
        <v>Receta madre ► MILLE-FEUILLE  aux fraises des bois</v>
      </c>
      <c r="AW132" s="76" t="s">
        <v>78</v>
      </c>
      <c r="AX132" s="77" t="s">
        <v>79</v>
      </c>
      <c r="AY132" s="78"/>
      <c r="AZ132" s="6787" t="s">
        <v>227</v>
      </c>
      <c r="BA132" s="6788" t="s">
        <v>81</v>
      </c>
      <c r="BB132" s="6732" t="s">
        <v>82</v>
      </c>
      <c r="BC132" s="6738" t="s">
        <v>8575</v>
      </c>
      <c r="BD132" s="79" t="s">
        <v>83</v>
      </c>
      <c r="BE132" s="80" t="s">
        <v>246</v>
      </c>
      <c r="BF132" s="81" t="s">
        <v>247</v>
      </c>
      <c r="BG132" s="6789" t="s">
        <v>871</v>
      </c>
      <c r="BH132" s="6727" t="s">
        <v>247</v>
      </c>
      <c r="BI132" s="6582" t="s">
        <v>8405</v>
      </c>
      <c r="BJ132" s="6791" t="s">
        <v>872</v>
      </c>
      <c r="BK132" s="6792" t="s">
        <v>250</v>
      </c>
      <c r="BM132" s="3">
        <v>1</v>
      </c>
    </row>
    <row r="133" spans="2:65" ht="21" customHeight="1">
      <c r="B133" s="25" t="s">
        <v>10</v>
      </c>
      <c r="C133" s="31" t="str">
        <f>C130</f>
        <v>N NOM DE VOTRE RECETTE | collez la--FAMILLE| Auteur &gt; VOUS</v>
      </c>
      <c r="D133" s="32">
        <f>D130</f>
        <v>1</v>
      </c>
      <c r="E133" s="31" t="str">
        <f>E130</f>
        <v>coupe</v>
      </c>
      <c r="F133" s="33" t="str">
        <f>F130</f>
        <v>Recette mère ► MILLE-FEUILLE  aux fraises des bois</v>
      </c>
      <c r="G133" s="83" t="s">
        <v>92</v>
      </c>
      <c r="H133" s="84" t="s">
        <v>93</v>
      </c>
      <c r="I133" s="85" t="s">
        <v>94</v>
      </c>
      <c r="J133" s="6577"/>
      <c r="K133" s="6471"/>
      <c r="L133" s="6606"/>
      <c r="M133" s="6739"/>
      <c r="N133" s="86" t="s">
        <v>95</v>
      </c>
      <c r="O133" s="87" t="s">
        <v>96</v>
      </c>
      <c r="P133" s="88">
        <v>1</v>
      </c>
      <c r="Q133" s="6608"/>
      <c r="R133" s="6583"/>
      <c r="S133" s="6583"/>
      <c r="T133" s="6585"/>
      <c r="U133" s="6786"/>
      <c r="W133" s="25" t="s">
        <v>10</v>
      </c>
      <c r="X133" s="31" t="str">
        <f>X130</f>
        <v>N NAME OF YOUR RECIPE | paste it — FAMILY|  Author &gt; YOU</v>
      </c>
      <c r="Y133" s="32">
        <f>Y130</f>
        <v>1</v>
      </c>
      <c r="Z133" s="31" t="str">
        <f>Z130</f>
        <v>coupe</v>
      </c>
      <c r="AA133" s="33" t="str">
        <f>AA130</f>
        <v>Master recipe ► MILLE-FEUILLE  aux fraises des bois</v>
      </c>
      <c r="AB133" s="83" t="s">
        <v>229</v>
      </c>
      <c r="AC133" s="84" t="s">
        <v>230</v>
      </c>
      <c r="AD133" s="85" t="s">
        <v>858</v>
      </c>
      <c r="AE133" s="6577"/>
      <c r="AF133" s="6471"/>
      <c r="AG133" s="6606"/>
      <c r="AH133" s="6739"/>
      <c r="AI133" s="86" t="s">
        <v>832</v>
      </c>
      <c r="AJ133" s="87" t="s">
        <v>436</v>
      </c>
      <c r="AK133" s="88">
        <v>1</v>
      </c>
      <c r="AL133" s="6608"/>
      <c r="AM133" s="6583"/>
      <c r="AN133" s="6583"/>
      <c r="AO133" s="6585"/>
      <c r="AP133" s="6786"/>
      <c r="AR133" s="25" t="s">
        <v>10</v>
      </c>
      <c r="AS133" s="31" t="str">
        <f>AS130</f>
        <v>N NOMBRE DE SU RECETA | pegue esto — FAMILIA| Auteur &gt; VOUS</v>
      </c>
      <c r="AT133" s="32">
        <f>AT130</f>
        <v>1</v>
      </c>
      <c r="AU133" s="31" t="str">
        <f>AU130</f>
        <v>coupe</v>
      </c>
      <c r="AV133" s="33" t="str">
        <f>AV130</f>
        <v>Receta madre ► MILLE-FEUILLE  aux fraises des bois</v>
      </c>
      <c r="AW133" s="83" t="s">
        <v>232</v>
      </c>
      <c r="AX133" s="84" t="s">
        <v>233</v>
      </c>
      <c r="AY133" s="85" t="s">
        <v>94</v>
      </c>
      <c r="AZ133" s="6577"/>
      <c r="BA133" s="6471"/>
      <c r="BB133" s="6606"/>
      <c r="BC133" s="6739"/>
      <c r="BD133" s="86" t="s">
        <v>834</v>
      </c>
      <c r="BE133" s="87" t="s">
        <v>437</v>
      </c>
      <c r="BF133" s="88">
        <v>1</v>
      </c>
      <c r="BG133" s="6790"/>
      <c r="BH133" s="6583"/>
      <c r="BI133" s="6583"/>
      <c r="BJ133" s="6585"/>
      <c r="BK133" s="6786"/>
      <c r="BM133" s="3">
        <v>1</v>
      </c>
    </row>
    <row r="134" spans="2:65" ht="21" customHeight="1">
      <c r="B134" s="25" t="s">
        <v>10</v>
      </c>
      <c r="C134" s="31" t="str">
        <f>C130</f>
        <v>N NOM DE VOTRE RECETTE | collez la--FAMILLE| Auteur &gt; VOUS</v>
      </c>
      <c r="D134" s="32">
        <f>D130</f>
        <v>1</v>
      </c>
      <c r="E134" s="31" t="str">
        <f>E130</f>
        <v>coupe</v>
      </c>
      <c r="F134" s="33" t="str">
        <f>F130</f>
        <v>Recette mère ► MILLE-FEUILLE  aux fraises des bois</v>
      </c>
      <c r="G134" s="89"/>
      <c r="H134" s="90"/>
      <c r="I134" s="91" t="str">
        <f t="shared" ref="I134:I148" si="34">IF(OR(ISTEXT(G134), G134&lt;=0, J134&lt;=0), "", "de")</f>
        <v/>
      </c>
      <c r="J134" s="92"/>
      <c r="K134" s="128"/>
      <c r="L134" s="130">
        <v>1</v>
      </c>
      <c r="M134" s="1812" t="str">
        <f>ROWS(M134:M134)&amp;" ►"</f>
        <v>1 ►</v>
      </c>
      <c r="N134" s="1580"/>
      <c r="O134" s="95">
        <f>IF(Q149=0,0,(Q134/Q149)*P133*1000)</f>
        <v>0</v>
      </c>
      <c r="P134" s="96">
        <f>IF(Q149=0, 0, (G134*L134)/(Q149*P133))</f>
        <v>0</v>
      </c>
      <c r="Q134" s="97" cm="1">
        <f t="array" ref="Q134">IFERROR(_xlfn.XLOOKUP(UPPER(TRIM(K134)),UPPER(TRIM(G150:U150)),G151:U151,_xlfn.XLOOKUP(UPPER(TRIM(K134)),UPPER(TRIM(G152:U152)),G153:U153,0))*J134*IF(G134&gt;0,G134,1),0)</f>
        <v>0</v>
      </c>
      <c r="R134" s="98">
        <f>IF(T129&lt;&gt;0,G134*L134*L129,0)</f>
        <v>0</v>
      </c>
      <c r="S134" s="1834">
        <f>H134</f>
        <v>0</v>
      </c>
      <c r="T134" s="99">
        <f>IF(OR(ISBLANK(T129),T129=0),0,Q134*L134*L129)</f>
        <v>0</v>
      </c>
      <c r="U134" s="1366" t="str">
        <f>IF(K134="","",IF(COUNTIF(N150:U150,SUBSTITUTE(TRIM(K134)," (s)",""))+COUNTIF(N152:U152,SUBSTITUTE(TRIM(K134)," (s)",""))&gt;0,IF(ROUND(T134,3)&gt;=1,ROUND(T134,3)&amp;" L",MAX(1,ROUND(T134*100,0))&amp;" cl"),IF(COUNTIF(G150:L150,SUBSTITUTE(TRIM(K134)," (s)",""))+COUNTIF(G152:L152,SUBSTITUTE(TRIM(K134)," (s)",""))&gt;0,IF(ROUND(T134,3)&gt;=1,ROUND(T134,3)&amp;" Kg",MAX(1,ROUND(T134*1000,0))&amp;" g"),"")))</f>
        <v/>
      </c>
      <c r="W134" s="25" t="s">
        <v>10</v>
      </c>
      <c r="X134" s="31" t="str">
        <f>X130</f>
        <v>N NAME OF YOUR RECIPE | paste it — FAMILY|  Author &gt; YOU</v>
      </c>
      <c r="Y134" s="32">
        <f>Y130</f>
        <v>1</v>
      </c>
      <c r="Z134" s="31" t="str">
        <f>Z130</f>
        <v>coupe</v>
      </c>
      <c r="AA134" s="33" t="str">
        <f>AA130</f>
        <v>Master recipe ► MILLE-FEUILLE  aux fraises des bois</v>
      </c>
      <c r="AB134" s="89"/>
      <c r="AC134" s="90"/>
      <c r="AD134" s="91" t="str">
        <f t="shared" ref="AD134:AD148" si="35">IF(OR(ISTEXT(AB134), AB134&lt;=0, AE134&lt;=0), "", "de")</f>
        <v/>
      </c>
      <c r="AE134" s="92"/>
      <c r="AF134" s="128"/>
      <c r="AG134" s="130">
        <v>1</v>
      </c>
      <c r="AH134" s="1812" t="str">
        <f>ROWS(AH134:AH134)&amp;" ►"</f>
        <v>1 ►</v>
      </c>
      <c r="AI134" s="1580"/>
      <c r="AJ134" s="95">
        <f>IF(AL149=0,0,(AL134/AL149)*AK133*1000)</f>
        <v>0</v>
      </c>
      <c r="AK134" s="96">
        <f>IF(AL149=0, 0, (AB134*AG134)/(AL149*AK133))</f>
        <v>0</v>
      </c>
      <c r="AL134" s="97" cm="1">
        <f t="array" ref="AL134">IFERROR(_xlfn.XLOOKUP(UPPER(TRIM(AF134)),UPPER(TRIM(AB150:AP150)),AB151:AP151,_xlfn.XLOOKUP(UPPER(TRIM(AF134)),UPPER(TRIM(AB152:AP152)),AB153:AP153,0))*AE134*IF(AB134&gt;0,AB134,1),0)</f>
        <v>0</v>
      </c>
      <c r="AM134" s="98">
        <f>IF(AO129&lt;&gt;0,AB134*AG134*AG129,0)</f>
        <v>0</v>
      </c>
      <c r="AN134" s="1834">
        <f>AC134</f>
        <v>0</v>
      </c>
      <c r="AO134" s="99">
        <f>IF(OR(ISBLANK(AO129),AO129=0),0,AL134*AG134*AG129)</f>
        <v>0</v>
      </c>
      <c r="AP134" s="1366" t="str">
        <f>IF(AF134="","",IF(COUNTIF(AI150:AP150,SUBSTITUTE(TRIM(AF134)," (s)",""))+COUNTIF(AI152:AP152,SUBSTITUTE(TRIM(AF134)," (s)",""))&gt;0,IF(ROUND(AO134,3)&gt;=1,ROUND(AO134,3)&amp;" L",MAX(1,ROUND(AO134*100,0))&amp;" cl"),IF(COUNTIF(AB150:AG150,SUBSTITUTE(TRIM(AF134)," (s)",""))+COUNTIF(AB152:AG152,SUBSTITUTE(TRIM(AF134)," (s)",""))&gt;0,IF(ROUND(AO134,3)&gt;=1,ROUND(AO134,3)&amp;" Kg",MAX(1,ROUND(AO134*1000,0))&amp;" g"),"")))</f>
        <v/>
      </c>
      <c r="AR134" s="25" t="s">
        <v>10</v>
      </c>
      <c r="AS134" s="31" t="str">
        <f>AS130</f>
        <v>N NOMBRE DE SU RECETA | pegue esto — FAMILIA| Auteur &gt; VOUS</v>
      </c>
      <c r="AT134" s="32">
        <f>AT130</f>
        <v>1</v>
      </c>
      <c r="AU134" s="31" t="str">
        <f>AU130</f>
        <v>coupe</v>
      </c>
      <c r="AV134" s="33" t="str">
        <f>AV130</f>
        <v>Receta madre ► MILLE-FEUILLE  aux fraises des bois</v>
      </c>
      <c r="AW134" s="89"/>
      <c r="AX134" s="90"/>
      <c r="AY134" s="91" t="str">
        <f t="shared" ref="AY134:AY148" si="36">IF(OR(ISTEXT(AW134), AW134&lt;=0, AZ134&lt;=0), "", "de")</f>
        <v/>
      </c>
      <c r="AZ134" s="92"/>
      <c r="BA134" s="128"/>
      <c r="BB134" s="130">
        <v>1</v>
      </c>
      <c r="BC134" s="1812" t="str">
        <f>ROWS(BC134:BC134)&amp;" ►"</f>
        <v>1 ►</v>
      </c>
      <c r="BD134" s="1580"/>
      <c r="BE134" s="95">
        <f>IF(BG149=0,0,(BG134/BG149)*BF133*1000)</f>
        <v>0</v>
      </c>
      <c r="BF134" s="96">
        <f>IF(BG149=0, 0, (AW134*BB134)/(BG149*BF133))</f>
        <v>0</v>
      </c>
      <c r="BG134" s="97" cm="1">
        <f t="array" ref="BG134">IFERROR(_xlfn.XLOOKUP(UPPER(TRIM(BA134)),UPPER(TRIM(AW150:BK150)),AW151:BK151,_xlfn.XLOOKUP(UPPER(TRIM(BA134)),UPPER(TRIM(AW152:BK152)),AW153:BK153,0))*AZ134*IF(AW134&gt;0,AW134,1),0)</f>
        <v>0</v>
      </c>
      <c r="BH134" s="98">
        <f>IF(BJ129&lt;&gt;0,AW134*BB134*BB129,0)</f>
        <v>0</v>
      </c>
      <c r="BI134" s="1834">
        <f>AX134</f>
        <v>0</v>
      </c>
      <c r="BJ134" s="99">
        <f>IF(OR(ISBLANK(BJ129),BJ129=0),0,BG134*BB134*BB129)</f>
        <v>0</v>
      </c>
      <c r="BK134" s="1366" t="str">
        <f>IF(BA134="","",IF(COUNTIF(BD150:BK150,SUBSTITUTE(TRIM(BA134)," (s)",""))+COUNTIF(BD152:BK152,SUBSTITUTE(TRIM(BA134)," (s)",""))&gt;0,IF(ROUND(BJ134,3)&gt;=1,ROUND(BJ134,3)&amp;" L",MAX(1,ROUND(BJ134*100,0))&amp;" cl"),IF(COUNTIF(AW150:BB150,SUBSTITUTE(TRIM(BA134)," (s)",""))+COUNTIF(AW152:BB152,SUBSTITUTE(TRIM(BA134)," (s)",""))&gt;0,IF(ROUND(BJ134,3)&gt;=1,ROUND(BJ134,3)&amp;" Kg",MAX(1,ROUND(BJ134*1000,0))&amp;" g"),"")))</f>
        <v/>
      </c>
      <c r="BM134" s="3">
        <v>1</v>
      </c>
    </row>
    <row r="135" spans="2:65" ht="21" customHeight="1">
      <c r="B135" s="103" t="str">
        <f>IF(N135&lt;&gt;"","A","►")</f>
        <v>►</v>
      </c>
      <c r="C135" s="31" t="str">
        <f>C130</f>
        <v>N NOM DE VOTRE RECETTE | collez la--FAMILLE| Auteur &gt; VOUS</v>
      </c>
      <c r="D135" s="32">
        <f>D130</f>
        <v>1</v>
      </c>
      <c r="E135" s="31" t="str">
        <f>E130</f>
        <v>coupe</v>
      </c>
      <c r="F135" s="33" t="str">
        <f>F130</f>
        <v>Recette mère ► MILLE-FEUILLE  aux fraises des bois</v>
      </c>
      <c r="G135" s="89"/>
      <c r="H135" s="108"/>
      <c r="I135" s="91" t="str">
        <f t="shared" si="34"/>
        <v/>
      </c>
      <c r="J135" s="92"/>
      <c r="K135" s="128"/>
      <c r="L135" s="130">
        <v>1</v>
      </c>
      <c r="M135" s="1813" t="str">
        <f>ROWS(M134:M135)&amp;" ►"</f>
        <v>2 ►</v>
      </c>
      <c r="N135" s="1580"/>
      <c r="O135" s="95">
        <f>IF(Q149=0,0,(Q135/Q149)*P133*1000)</f>
        <v>0</v>
      </c>
      <c r="P135" s="105">
        <f>IF(Q149=0, 0, (G135*L135)/(Q149*P133))</f>
        <v>0</v>
      </c>
      <c r="Q135" s="97" cm="1">
        <f t="array" ref="Q135">IFERROR(_xlfn.XLOOKUP(UPPER(TRIM(K135)),UPPER(TRIM(G150:U150)),G151:U151,_xlfn.XLOOKUP(UPPER(TRIM(K135)),UPPER(TRIM(G152:U152)),G153:U153,0))*J135*IF(G135&gt;0,G135,1),0)</f>
        <v>0</v>
      </c>
      <c r="R135" s="110">
        <f>IF(T129&lt;&gt;0,G135*L135*L129,0)</f>
        <v>0</v>
      </c>
      <c r="S135" s="1748">
        <f t="shared" ref="S135:S148" si="37">H135</f>
        <v>0</v>
      </c>
      <c r="T135" s="99">
        <f>IF(OR(ISBLANK(T129),T129=0),0,Q135*L135*L129)</f>
        <v>0</v>
      </c>
      <c r="U135" s="1368" t="str">
        <f>IF(K135="","",IF(COUNTIF(N150:U150,SUBSTITUTE(TRIM(K135)," (s)",""))+COUNTIF(N152:U152,SUBSTITUTE(TRIM(K135)," (s)",""))&gt;0,IF(ROUND(T135,3)&gt;=1,ROUND(T135,3)&amp;" L",MAX(1,ROUND(T135*100,0))&amp;" cl"),IF(COUNTIF(G150:L150,SUBSTITUTE(TRIM(K135)," (s)",""))+COUNTIF(G152:L152,SUBSTITUTE(TRIM(K135)," (s)",""))&gt;0,IF(ROUND(T135,3)&gt;=1,ROUND(T135,3)&amp;" Kg",MAX(1,ROUND(T135*1000,0))&amp;" g"),"")))</f>
        <v/>
      </c>
      <c r="W135" s="103" t="str">
        <f t="shared" ref="W135:W147" si="38">IF(AI135&lt;&gt;"","A","►")</f>
        <v>►</v>
      </c>
      <c r="X135" s="31" t="str">
        <f>X130</f>
        <v>N NAME OF YOUR RECIPE | paste it — FAMILY|  Author &gt; YOU</v>
      </c>
      <c r="Y135" s="32">
        <f>Y130</f>
        <v>1</v>
      </c>
      <c r="Z135" s="31" t="str">
        <f>Z130</f>
        <v>coupe</v>
      </c>
      <c r="AA135" s="33" t="str">
        <f>AA130</f>
        <v>Master recipe ► MILLE-FEUILLE  aux fraises des bois</v>
      </c>
      <c r="AB135" s="89"/>
      <c r="AC135" s="108"/>
      <c r="AD135" s="91" t="str">
        <f t="shared" si="35"/>
        <v/>
      </c>
      <c r="AE135" s="92"/>
      <c r="AF135" s="128"/>
      <c r="AG135" s="130">
        <v>1</v>
      </c>
      <c r="AH135" s="1813" t="str">
        <f>ROWS(AH134:AH135)&amp;" ►"</f>
        <v>2 ►</v>
      </c>
      <c r="AI135" s="1580"/>
      <c r="AJ135" s="95">
        <f>IF(AL149=0,0,(AL135/AL149)*AK133*1000)</f>
        <v>0</v>
      </c>
      <c r="AK135" s="105">
        <f>IF(AL149=0, 0, (AB135*AG135)/(AL149*AK133))</f>
        <v>0</v>
      </c>
      <c r="AL135" s="97" cm="1">
        <f t="array" ref="AL135">IFERROR(_xlfn.XLOOKUP(UPPER(TRIM(AF135)),UPPER(TRIM(AB150:AP150)),AB151:AP151,_xlfn.XLOOKUP(UPPER(TRIM(AF135)),UPPER(TRIM(AB152:AP152)),AB153:AP153,0))*AE135*IF(AB135&gt;0,AB135,1),0)</f>
        <v>0</v>
      </c>
      <c r="AM135" s="110">
        <f>IF(AO129&lt;&gt;0,AB135*AG135*AG129,0)</f>
        <v>0</v>
      </c>
      <c r="AN135" s="1748">
        <f t="shared" ref="AN135:AN148" si="39">AC135</f>
        <v>0</v>
      </c>
      <c r="AO135" s="99">
        <f>IF(OR(ISBLANK(AO129),AO129=0),0,AL135*AG135*AG129)</f>
        <v>0</v>
      </c>
      <c r="AP135" s="1368" t="str">
        <f>IF(AF135="","",IF(COUNTIF(AI150:AP150,SUBSTITUTE(TRIM(AF135)," (s)",""))+COUNTIF(AI152:AP152,SUBSTITUTE(TRIM(AF135)," (s)",""))&gt;0,IF(ROUND(AO135,3)&gt;=1,ROUND(AO135,3)&amp;" L",MAX(1,ROUND(AO135*100,0))&amp;" cl"),IF(COUNTIF(AB150:AG150,SUBSTITUTE(TRIM(AF135)," (s)",""))+COUNTIF(AB152:AG152,SUBSTITUTE(TRIM(AF135)," (s)",""))&gt;0,IF(ROUND(AO135,3)&gt;=1,ROUND(AO135,3)&amp;" Kg",MAX(1,ROUND(AO135*1000,0))&amp;" g"),"")))</f>
        <v/>
      </c>
      <c r="AR135" s="103" t="str">
        <f t="shared" ref="AR135:AR147" si="40">IF(BD135&lt;&gt;"","A","►")</f>
        <v>►</v>
      </c>
      <c r="AS135" s="31" t="str">
        <f>AS130</f>
        <v>N NOMBRE DE SU RECETA | pegue esto — FAMILIA| Auteur &gt; VOUS</v>
      </c>
      <c r="AT135" s="32">
        <f>AT130</f>
        <v>1</v>
      </c>
      <c r="AU135" s="31" t="str">
        <f>AU130</f>
        <v>coupe</v>
      </c>
      <c r="AV135" s="33" t="str">
        <f>AV130</f>
        <v>Receta madre ► MILLE-FEUILLE  aux fraises des bois</v>
      </c>
      <c r="AW135" s="89"/>
      <c r="AX135" s="108"/>
      <c r="AY135" s="91" t="str">
        <f t="shared" si="36"/>
        <v/>
      </c>
      <c r="AZ135" s="92"/>
      <c r="BA135" s="128"/>
      <c r="BB135" s="130">
        <v>1</v>
      </c>
      <c r="BC135" s="1813" t="str">
        <f>ROWS(BC134:BC135)&amp;" ►"</f>
        <v>2 ►</v>
      </c>
      <c r="BD135" s="1580"/>
      <c r="BE135" s="95">
        <f>IF(BG149=0,0,(BG135/BG149)*BF133*1000)</f>
        <v>0</v>
      </c>
      <c r="BF135" s="105">
        <f>IF(BG149=0, 0, (AW135*BB135)/(BG149*BF133))</f>
        <v>0</v>
      </c>
      <c r="BG135" s="97" cm="1">
        <f t="array" ref="BG135">IFERROR(_xlfn.XLOOKUP(UPPER(TRIM(BA135)),UPPER(TRIM(AW150:BK150)),AW151:BK151,_xlfn.XLOOKUP(UPPER(TRIM(BA135)),UPPER(TRIM(AW152:BK152)),AW153:BK153,0))*AZ135*IF(AW135&gt;0,AW135,1),0)</f>
        <v>0</v>
      </c>
      <c r="BH135" s="110">
        <f>IF(BJ129&lt;&gt;0,AW135*BB135*BB129,0)</f>
        <v>0</v>
      </c>
      <c r="BI135" s="1748">
        <f t="shared" ref="BI135:BI148" si="41">AX135</f>
        <v>0</v>
      </c>
      <c r="BJ135" s="99">
        <f>IF(OR(ISBLANK(BJ129),BJ129=0),0,BG135*BB135*BB129)</f>
        <v>0</v>
      </c>
      <c r="BK135" s="1368" t="str">
        <f>IF(BA135="","",IF(COUNTIF(BD150:BK150,SUBSTITUTE(TRIM(BA135)," (s)",""))+COUNTIF(BD152:BK152,SUBSTITUTE(TRIM(BA135)," (s)",""))&gt;0,IF(ROUND(BJ135,3)&gt;=1,ROUND(BJ135,3)&amp;" L",MAX(1,ROUND(BJ135*100,0))&amp;" cl"),IF(COUNTIF(AW150:BB150,SUBSTITUTE(TRIM(BA135)," (s)",""))+COUNTIF(AW152:BB152,SUBSTITUTE(TRIM(BA135)," (s)",""))&gt;0,IF(ROUND(BJ135,3)&gt;=1,ROUND(BJ135,3)&amp;" Kg",MAX(1,ROUND(BJ135*1000,0))&amp;" g"),"")))</f>
        <v/>
      </c>
      <c r="BM135" s="3">
        <v>1</v>
      </c>
    </row>
    <row r="136" spans="2:65" ht="21" customHeight="1">
      <c r="B136" s="103" t="str">
        <f t="shared" ref="B136:B147" si="42">IF(N136&lt;&gt;"","A","►")</f>
        <v>►</v>
      </c>
      <c r="C136" s="31" t="str">
        <f>C130</f>
        <v>N NOM DE VOTRE RECETTE | collez la--FAMILLE| Auteur &gt; VOUS</v>
      </c>
      <c r="D136" s="32">
        <f>D130</f>
        <v>1</v>
      </c>
      <c r="E136" s="31" t="str">
        <f>E130</f>
        <v>coupe</v>
      </c>
      <c r="F136" s="33" t="str">
        <f>F130</f>
        <v>Recette mère ► MILLE-FEUILLE  aux fraises des bois</v>
      </c>
      <c r="G136" s="89"/>
      <c r="H136" s="108"/>
      <c r="I136" s="91" t="str">
        <f t="shared" si="34"/>
        <v/>
      </c>
      <c r="J136" s="92"/>
      <c r="K136" s="128"/>
      <c r="L136" s="130">
        <v>1</v>
      </c>
      <c r="M136" s="1813" t="str">
        <f>ROWS(M134:M136)&amp;" ►"</f>
        <v>3 ►</v>
      </c>
      <c r="N136" s="1580"/>
      <c r="O136" s="95">
        <f>IF(Q149=0,0,(Q136/Q149)*P133*1000)</f>
        <v>0</v>
      </c>
      <c r="P136" s="105">
        <f>IF(Q149=0, 0, (G136*L136)/(Q149*P133))</f>
        <v>0</v>
      </c>
      <c r="Q136" s="97" cm="1">
        <f t="array" ref="Q136">IFERROR(_xlfn.XLOOKUP(UPPER(TRIM(K136)),UPPER(TRIM(G150:U150)),G151:U151,_xlfn.XLOOKUP(UPPER(TRIM(K136)),UPPER(TRIM(G152:U152)),G153:U153,0))*J136*IF(G136&gt;0,G136,1),0)</f>
        <v>0</v>
      </c>
      <c r="R136" s="106">
        <f>IF(T129&lt;&gt;0,G136*L136*L129,0)</f>
        <v>0</v>
      </c>
      <c r="S136" s="1747">
        <f t="shared" si="37"/>
        <v>0</v>
      </c>
      <c r="T136" s="99">
        <f>IF(OR(ISBLANK(T129),T129=0),0,Q136*L136*L129)</f>
        <v>0</v>
      </c>
      <c r="U136" s="1367" t="str">
        <f>IF(K136="","",IF(COUNTIF(N150:U150,SUBSTITUTE(TRIM(K136)," (s)",""))+COUNTIF(N152:U152,SUBSTITUTE(TRIM(K136)," (s)",""))&gt;0,IF(ROUND(T136,3)&gt;=1,ROUND(T136,3)&amp;" L",MAX(1,ROUND(T136*100,0))&amp;" cl"),IF(COUNTIF(G150:L150,SUBSTITUTE(TRIM(K136)," (s)",""))+COUNTIF(G152:L152,SUBSTITUTE(TRIM(K136)," (s)",""))&gt;0,IF(ROUND(T136,3)&gt;=1,ROUND(T136,3)&amp;" Kg",MAX(1,ROUND(T136*1000,0))&amp;" g"),"")))</f>
        <v/>
      </c>
      <c r="W136" s="103" t="str">
        <f t="shared" si="38"/>
        <v>►</v>
      </c>
      <c r="X136" s="31" t="str">
        <f>X130</f>
        <v>N NAME OF YOUR RECIPE | paste it — FAMILY|  Author &gt; YOU</v>
      </c>
      <c r="Y136" s="32">
        <f>Y130</f>
        <v>1</v>
      </c>
      <c r="Z136" s="31" t="str">
        <f>Z130</f>
        <v>coupe</v>
      </c>
      <c r="AA136" s="33" t="str">
        <f>AA130</f>
        <v>Master recipe ► MILLE-FEUILLE  aux fraises des bois</v>
      </c>
      <c r="AB136" s="89"/>
      <c r="AC136" s="108"/>
      <c r="AD136" s="91" t="str">
        <f t="shared" si="35"/>
        <v/>
      </c>
      <c r="AE136" s="92"/>
      <c r="AF136" s="128"/>
      <c r="AG136" s="130">
        <v>1</v>
      </c>
      <c r="AH136" s="1813" t="str">
        <f>ROWS(AH134:AH136)&amp;" ►"</f>
        <v>3 ►</v>
      </c>
      <c r="AI136" s="1580"/>
      <c r="AJ136" s="95">
        <f>IF(AL149=0,0,(AL136/AL149)*AK133*1000)</f>
        <v>0</v>
      </c>
      <c r="AK136" s="105">
        <f>IF(AL149=0, 0, (AB136*AG136)/(AL149*AK133))</f>
        <v>0</v>
      </c>
      <c r="AL136" s="97" cm="1">
        <f t="array" ref="AL136">IFERROR(_xlfn.XLOOKUP(UPPER(TRIM(AF136)),UPPER(TRIM(AB150:AP150)),AB151:AP151,_xlfn.XLOOKUP(UPPER(TRIM(AF136)),UPPER(TRIM(AB152:AP152)),AB153:AP153,0))*AE136*IF(AB136&gt;0,AB136,1),0)</f>
        <v>0</v>
      </c>
      <c r="AM136" s="106">
        <f>IF(AO129&lt;&gt;0,AB136*AG136*AG129,0)</f>
        <v>0</v>
      </c>
      <c r="AN136" s="1747">
        <f t="shared" si="39"/>
        <v>0</v>
      </c>
      <c r="AO136" s="99">
        <f>IF(OR(ISBLANK(AO129),AO129=0),0,AL136*AG136*AG129)</f>
        <v>0</v>
      </c>
      <c r="AP136" s="1367" t="str">
        <f>IF(AF136="","",IF(COUNTIF(AI150:AP150,SUBSTITUTE(TRIM(AF136)," (s)",""))+COUNTIF(AI152:AP152,SUBSTITUTE(TRIM(AF136)," (s)",""))&gt;0,IF(ROUND(AO136,3)&gt;=1,ROUND(AO136,3)&amp;" L",MAX(1,ROUND(AO136*100,0))&amp;" cl"),IF(COUNTIF(AB150:AG150,SUBSTITUTE(TRIM(AF136)," (s)",""))+COUNTIF(AB152:AG152,SUBSTITUTE(TRIM(AF136)," (s)",""))&gt;0,IF(ROUND(AO136,3)&gt;=1,ROUND(AO136,3)&amp;" Kg",MAX(1,ROUND(AO136*1000,0))&amp;" g"),"")))</f>
        <v/>
      </c>
      <c r="AR136" s="103" t="str">
        <f t="shared" si="40"/>
        <v>►</v>
      </c>
      <c r="AS136" s="31" t="str">
        <f>AS130</f>
        <v>N NOMBRE DE SU RECETA | pegue esto — FAMILIA| Auteur &gt; VOUS</v>
      </c>
      <c r="AT136" s="32">
        <f>AT130</f>
        <v>1</v>
      </c>
      <c r="AU136" s="31" t="str">
        <f>AU130</f>
        <v>coupe</v>
      </c>
      <c r="AV136" s="33" t="str">
        <f>AV130</f>
        <v>Receta madre ► MILLE-FEUILLE  aux fraises des bois</v>
      </c>
      <c r="AW136" s="89"/>
      <c r="AX136" s="108"/>
      <c r="AY136" s="91" t="str">
        <f t="shared" si="36"/>
        <v/>
      </c>
      <c r="AZ136" s="92"/>
      <c r="BA136" s="128"/>
      <c r="BB136" s="130">
        <v>1</v>
      </c>
      <c r="BC136" s="1813" t="str">
        <f>ROWS(BC134:BC136)&amp;" ►"</f>
        <v>3 ►</v>
      </c>
      <c r="BD136" s="1580"/>
      <c r="BE136" s="95">
        <f>IF(BG149=0,0,(BG136/BG149)*BF133*1000)</f>
        <v>0</v>
      </c>
      <c r="BF136" s="105">
        <f>IF(BG149=0, 0, (AW136*BB136)/(BG149*BF133))</f>
        <v>0</v>
      </c>
      <c r="BG136" s="97" cm="1">
        <f t="array" ref="BG136">IFERROR(_xlfn.XLOOKUP(UPPER(TRIM(BA136)),UPPER(TRIM(AW150:BK150)),AW151:BK151,_xlfn.XLOOKUP(UPPER(TRIM(BA136)),UPPER(TRIM(AW152:BK152)),AW153:BK153,0))*AZ136*IF(AW136&gt;0,AW136,1),0)</f>
        <v>0</v>
      </c>
      <c r="BH136" s="106">
        <f>IF(BJ129&lt;&gt;0,AW136*BB136*BB129,0)</f>
        <v>0</v>
      </c>
      <c r="BI136" s="1747">
        <f t="shared" si="41"/>
        <v>0</v>
      </c>
      <c r="BJ136" s="99">
        <f>IF(OR(ISBLANK(BJ129),BJ129=0),0,BG136*BB136*BB129)</f>
        <v>0</v>
      </c>
      <c r="BK136" s="1367" t="str">
        <f>IF(BA136="","",IF(COUNTIF(BD150:BK150,SUBSTITUTE(TRIM(BA136)," (s)",""))+COUNTIF(BD152:BK152,SUBSTITUTE(TRIM(BA136)," (s)",""))&gt;0,IF(ROUND(BJ136,3)&gt;=1,ROUND(BJ136,3)&amp;" L",MAX(1,ROUND(BJ136*100,0))&amp;" cl"),IF(COUNTIF(AW150:BB150,SUBSTITUTE(TRIM(BA136)," (s)",""))+COUNTIF(AW152:BB152,SUBSTITUTE(TRIM(BA136)," (s)",""))&gt;0,IF(ROUND(BJ136,3)&gt;=1,ROUND(BJ136,3)&amp;" Kg",MAX(1,ROUND(BJ136*1000,0))&amp;" g"),"")))</f>
        <v/>
      </c>
      <c r="BM136" s="3">
        <v>1</v>
      </c>
    </row>
    <row r="137" spans="2:65" ht="21" customHeight="1">
      <c r="B137" s="103" t="str">
        <f t="shared" si="42"/>
        <v>►</v>
      </c>
      <c r="C137" s="31" t="str">
        <f>C130</f>
        <v>N NOM DE VOTRE RECETTE | collez la--FAMILLE| Auteur &gt; VOUS</v>
      </c>
      <c r="D137" s="32">
        <f>D130</f>
        <v>1</v>
      </c>
      <c r="E137" s="31" t="str">
        <f>E130</f>
        <v>coupe</v>
      </c>
      <c r="F137" s="33" t="str">
        <f>F130</f>
        <v>Recette mère ► MILLE-FEUILLE  aux fraises des bois</v>
      </c>
      <c r="G137" s="89"/>
      <c r="H137" s="108"/>
      <c r="I137" s="91" t="str">
        <f t="shared" si="34"/>
        <v/>
      </c>
      <c r="J137" s="92"/>
      <c r="K137" s="128"/>
      <c r="L137" s="130">
        <v>1</v>
      </c>
      <c r="M137" s="1813" t="str">
        <f>ROWS(M134:M137)&amp;" ►"</f>
        <v>4 ►</v>
      </c>
      <c r="N137" s="1580"/>
      <c r="O137" s="95">
        <f>IF(Q149=0,0,(Q137/Q149)*P133*1000)</f>
        <v>0</v>
      </c>
      <c r="P137" s="105">
        <f>IF(Q149=0, 0, (G137*L137)/(Q149*P133))</f>
        <v>0</v>
      </c>
      <c r="Q137" s="97" cm="1">
        <f t="array" ref="Q137">IFERROR(_xlfn.XLOOKUP(UPPER(TRIM(K137)),UPPER(TRIM(G150:U150)),G151:U151,_xlfn.XLOOKUP(UPPER(TRIM(K137)),UPPER(TRIM(G152:U152)),G153:U153,0))*J137*IF(G137&gt;0,G137,1),0)</f>
        <v>0</v>
      </c>
      <c r="R137" s="110">
        <f>IF(T129&lt;&gt;0,G137*L137*L129,0)</f>
        <v>0</v>
      </c>
      <c r="S137" s="1748">
        <f t="shared" si="37"/>
        <v>0</v>
      </c>
      <c r="T137" s="99">
        <f>IF(OR(ISBLANK(T129),T129=0),0,Q137*L137*L129)</f>
        <v>0</v>
      </c>
      <c r="U137" s="1368" t="str">
        <f>IF(K137="","",IF(COUNTIF(N150:U150,SUBSTITUTE(TRIM(K137)," (s)",""))+COUNTIF(N152:U152,SUBSTITUTE(TRIM(K137)," (s)",""))&gt;0,IF(ROUND(T137,3)&gt;=1,ROUND(T137,3)&amp;" L",MAX(1,ROUND(T137*100,0))&amp;" cl"),IF(COUNTIF(G150:L150,SUBSTITUTE(TRIM(K137)," (s)",""))+COUNTIF(G152:L152,SUBSTITUTE(TRIM(K137)," (s)",""))&gt;0,IF(ROUND(T137,3)&gt;=1,ROUND(T137,3)&amp;" Kg",MAX(1,ROUND(T137*1000,0))&amp;" g"),"")))</f>
        <v/>
      </c>
      <c r="W137" s="103" t="str">
        <f t="shared" si="38"/>
        <v>►</v>
      </c>
      <c r="X137" s="31" t="str">
        <f>X130</f>
        <v>N NAME OF YOUR RECIPE | paste it — FAMILY|  Author &gt; YOU</v>
      </c>
      <c r="Y137" s="32">
        <f>Y130</f>
        <v>1</v>
      </c>
      <c r="Z137" s="31" t="str">
        <f>Z130</f>
        <v>coupe</v>
      </c>
      <c r="AA137" s="33" t="str">
        <f>AA130</f>
        <v>Master recipe ► MILLE-FEUILLE  aux fraises des bois</v>
      </c>
      <c r="AB137" s="89"/>
      <c r="AC137" s="108"/>
      <c r="AD137" s="91" t="str">
        <f t="shared" si="35"/>
        <v/>
      </c>
      <c r="AE137" s="92"/>
      <c r="AF137" s="128"/>
      <c r="AG137" s="130">
        <v>1</v>
      </c>
      <c r="AH137" s="1813" t="str">
        <f>ROWS(AH134:AH137)&amp;" ►"</f>
        <v>4 ►</v>
      </c>
      <c r="AI137" s="1580"/>
      <c r="AJ137" s="95">
        <f>IF(AL149=0,0,(AL137/AL149)*AK133*1000)</f>
        <v>0</v>
      </c>
      <c r="AK137" s="105">
        <f>IF(AL149=0, 0, (AB137*AG137)/(AL149*AK133))</f>
        <v>0</v>
      </c>
      <c r="AL137" s="97" cm="1">
        <f t="array" ref="AL137">IFERROR(_xlfn.XLOOKUP(UPPER(TRIM(AF137)),UPPER(TRIM(AB150:AP150)),AB151:AP151,_xlfn.XLOOKUP(UPPER(TRIM(AF137)),UPPER(TRIM(AB152:AP152)),AB153:AP153,0))*AE137*IF(AB137&gt;0,AB137,1),0)</f>
        <v>0</v>
      </c>
      <c r="AM137" s="110">
        <f>IF(AO129&lt;&gt;0,AB137*AG137*AG129,0)</f>
        <v>0</v>
      </c>
      <c r="AN137" s="1748">
        <f t="shared" si="39"/>
        <v>0</v>
      </c>
      <c r="AO137" s="99">
        <f>IF(OR(ISBLANK(AO129),AO129=0),0,AL137*AG137*AG129)</f>
        <v>0</v>
      </c>
      <c r="AP137" s="1368" t="str">
        <f>IF(AF137="","",IF(COUNTIF(AI150:AP150,SUBSTITUTE(TRIM(AF137)," (s)",""))+COUNTIF(AI152:AP152,SUBSTITUTE(TRIM(AF137)," (s)",""))&gt;0,IF(ROUND(AO137,3)&gt;=1,ROUND(AO137,3)&amp;" L",MAX(1,ROUND(AO137*100,0))&amp;" cl"),IF(COUNTIF(AB150:AG150,SUBSTITUTE(TRIM(AF137)," (s)",""))+COUNTIF(AB152:AG152,SUBSTITUTE(TRIM(AF137)," (s)",""))&gt;0,IF(ROUND(AO137,3)&gt;=1,ROUND(AO137,3)&amp;" Kg",MAX(1,ROUND(AO137*1000,0))&amp;" g"),"")))</f>
        <v/>
      </c>
      <c r="AR137" s="103" t="str">
        <f t="shared" si="40"/>
        <v>►</v>
      </c>
      <c r="AS137" s="31" t="str">
        <f>AS130</f>
        <v>N NOMBRE DE SU RECETA | pegue esto — FAMILIA| Auteur &gt; VOUS</v>
      </c>
      <c r="AT137" s="32">
        <f>AT130</f>
        <v>1</v>
      </c>
      <c r="AU137" s="31" t="str">
        <f>AU130</f>
        <v>coupe</v>
      </c>
      <c r="AV137" s="33" t="str">
        <f>AV130</f>
        <v>Receta madre ► MILLE-FEUILLE  aux fraises des bois</v>
      </c>
      <c r="AW137" s="89"/>
      <c r="AX137" s="108"/>
      <c r="AY137" s="91" t="str">
        <f t="shared" si="36"/>
        <v/>
      </c>
      <c r="AZ137" s="92"/>
      <c r="BA137" s="128"/>
      <c r="BB137" s="130">
        <v>1</v>
      </c>
      <c r="BC137" s="1813" t="str">
        <f>ROWS(BC134:BC137)&amp;" ►"</f>
        <v>4 ►</v>
      </c>
      <c r="BD137" s="1580"/>
      <c r="BE137" s="95">
        <f>IF(BG149=0,0,(BG137/BG149)*BF133*1000)</f>
        <v>0</v>
      </c>
      <c r="BF137" s="105">
        <f>IF(BG149=0, 0, (AW137*BB137)/(BG149*BF133))</f>
        <v>0</v>
      </c>
      <c r="BG137" s="97" cm="1">
        <f t="array" ref="BG137">IFERROR(_xlfn.XLOOKUP(UPPER(TRIM(BA137)),UPPER(TRIM(AW150:BK150)),AW151:BK151,_xlfn.XLOOKUP(UPPER(TRIM(BA137)),UPPER(TRIM(AW152:BK152)),AW153:BK153,0))*AZ137*IF(AW137&gt;0,AW137,1),0)</f>
        <v>0</v>
      </c>
      <c r="BH137" s="110">
        <f>IF(BJ129&lt;&gt;0,AW137*BB137*BB129,0)</f>
        <v>0</v>
      </c>
      <c r="BI137" s="1748">
        <f t="shared" si="41"/>
        <v>0</v>
      </c>
      <c r="BJ137" s="99">
        <f>IF(OR(ISBLANK(BJ129),BJ129=0),0,BG137*BB137*BB129)</f>
        <v>0</v>
      </c>
      <c r="BK137" s="1368" t="str">
        <f>IF(BA137="","",IF(COUNTIF(BD150:BK150,SUBSTITUTE(TRIM(BA137)," (s)",""))+COUNTIF(BD152:BK152,SUBSTITUTE(TRIM(BA137)," (s)",""))&gt;0,IF(ROUND(BJ137,3)&gt;=1,ROUND(BJ137,3)&amp;" L",MAX(1,ROUND(BJ137*100,0))&amp;" cl"),IF(COUNTIF(AW150:BB150,SUBSTITUTE(TRIM(BA137)," (s)",""))+COUNTIF(AW152:BB152,SUBSTITUTE(TRIM(BA137)," (s)",""))&gt;0,IF(ROUND(BJ137,3)&gt;=1,ROUND(BJ137,3)&amp;" Kg",MAX(1,ROUND(BJ137*1000,0))&amp;" g"),"")))</f>
        <v/>
      </c>
      <c r="BM137" s="3">
        <v>1</v>
      </c>
    </row>
    <row r="138" spans="2:65" ht="21" customHeight="1">
      <c r="B138" s="103" t="str">
        <f t="shared" si="42"/>
        <v>►</v>
      </c>
      <c r="C138" s="31" t="str">
        <f>C130</f>
        <v>N NOM DE VOTRE RECETTE | collez la--FAMILLE| Auteur &gt; VOUS</v>
      </c>
      <c r="D138" s="32">
        <f>D130</f>
        <v>1</v>
      </c>
      <c r="E138" s="31" t="str">
        <f>E130</f>
        <v>coupe</v>
      </c>
      <c r="F138" s="33" t="str">
        <f>F130</f>
        <v>Recette mère ► MILLE-FEUILLE  aux fraises des bois</v>
      </c>
      <c r="G138" s="89"/>
      <c r="H138" s="108"/>
      <c r="I138" s="91" t="str">
        <f t="shared" si="34"/>
        <v/>
      </c>
      <c r="J138" s="92"/>
      <c r="K138" s="128"/>
      <c r="L138" s="130">
        <v>1</v>
      </c>
      <c r="M138" s="1813" t="str">
        <f>ROWS(M134:M138)&amp;" ►"</f>
        <v>5 ►</v>
      </c>
      <c r="N138" s="1580"/>
      <c r="O138" s="95">
        <f>IF(Q149=0,0,(Q138/Q149)*P133*1000)</f>
        <v>0</v>
      </c>
      <c r="P138" s="105">
        <f>IF(Q149=0, 0, (G138*L138)/(Q149*P133))</f>
        <v>0</v>
      </c>
      <c r="Q138" s="97" cm="1">
        <f t="array" ref="Q138">IFERROR(_xlfn.XLOOKUP(UPPER(TRIM(K138)),UPPER(TRIM(G150:U150)),G151:U151,_xlfn.XLOOKUP(UPPER(TRIM(K138)),UPPER(TRIM(G152:U152)),G153:U153,0))*J138*IF(G138&gt;0,G138,1),0)</f>
        <v>0</v>
      </c>
      <c r="R138" s="106">
        <f>IF(T129&lt;&gt;0,G138*L138*L129,0)</f>
        <v>0</v>
      </c>
      <c r="S138" s="1747">
        <f t="shared" si="37"/>
        <v>0</v>
      </c>
      <c r="T138" s="99">
        <f>IF(OR(ISBLANK(T129),T129=0),0,Q138*L138*L129)</f>
        <v>0</v>
      </c>
      <c r="U138" s="1367" t="str">
        <f>IF(K138="","",IF(COUNTIF(N150:U150,SUBSTITUTE(TRIM(K138)," (s)",""))+COUNTIF(N152:U152,SUBSTITUTE(TRIM(K138)," (s)",""))&gt;0,IF(ROUND(T138,3)&gt;=1,ROUND(T138,3)&amp;" L",MAX(1,ROUND(T138*100,0))&amp;" cl"),IF(COUNTIF(G150:L150,SUBSTITUTE(TRIM(K138)," (s)",""))+COUNTIF(G152:L152,SUBSTITUTE(TRIM(K138)," (s)",""))&gt;0,IF(ROUND(T138,3)&gt;=1,ROUND(T138,3)&amp;" Kg",MAX(1,ROUND(T138*1000,0))&amp;" g"),"")))</f>
        <v/>
      </c>
      <c r="W138" s="103" t="str">
        <f t="shared" si="38"/>
        <v>►</v>
      </c>
      <c r="X138" s="31" t="str">
        <f>X130</f>
        <v>N NAME OF YOUR RECIPE | paste it — FAMILY|  Author &gt; YOU</v>
      </c>
      <c r="Y138" s="32">
        <f>Y130</f>
        <v>1</v>
      </c>
      <c r="Z138" s="31" t="str">
        <f>Z130</f>
        <v>coupe</v>
      </c>
      <c r="AA138" s="33" t="str">
        <f>AA130</f>
        <v>Master recipe ► MILLE-FEUILLE  aux fraises des bois</v>
      </c>
      <c r="AB138" s="89"/>
      <c r="AC138" s="108"/>
      <c r="AD138" s="91" t="str">
        <f t="shared" si="35"/>
        <v/>
      </c>
      <c r="AE138" s="92"/>
      <c r="AF138" s="128"/>
      <c r="AG138" s="130">
        <v>1</v>
      </c>
      <c r="AH138" s="1813" t="str">
        <f>ROWS(AH134:AH138)&amp;" ►"</f>
        <v>5 ►</v>
      </c>
      <c r="AI138" s="1580"/>
      <c r="AJ138" s="95">
        <f>IF(AL149=0,0,(AL138/AL149)*AK133*1000)</f>
        <v>0</v>
      </c>
      <c r="AK138" s="105">
        <f>IF(AL149=0, 0, (AB138*AG138)/(AL149*AK133))</f>
        <v>0</v>
      </c>
      <c r="AL138" s="97" cm="1">
        <f t="array" ref="AL138">IFERROR(_xlfn.XLOOKUP(UPPER(TRIM(AF138)),UPPER(TRIM(AB150:AP150)),AB151:AP151,_xlfn.XLOOKUP(UPPER(TRIM(AF138)),UPPER(TRIM(AB152:AP152)),AB153:AP153,0))*AE138*IF(AB138&gt;0,AB138,1),0)</f>
        <v>0</v>
      </c>
      <c r="AM138" s="106">
        <f>IF(AO129&lt;&gt;0,AB138*AG138*AG129,0)</f>
        <v>0</v>
      </c>
      <c r="AN138" s="1747">
        <f t="shared" si="39"/>
        <v>0</v>
      </c>
      <c r="AO138" s="99">
        <f>IF(OR(ISBLANK(AO129),AO129=0),0,AL138*AG138*AG129)</f>
        <v>0</v>
      </c>
      <c r="AP138" s="1367" t="str">
        <f>IF(AF138="","",IF(COUNTIF(AI150:AP150,SUBSTITUTE(TRIM(AF138)," (s)",""))+COUNTIF(AI152:AP152,SUBSTITUTE(TRIM(AF138)," (s)",""))&gt;0,IF(ROUND(AO138,3)&gt;=1,ROUND(AO138,3)&amp;" L",MAX(1,ROUND(AO138*100,0))&amp;" cl"),IF(COUNTIF(AB150:AG150,SUBSTITUTE(TRIM(AF138)," (s)",""))+COUNTIF(AB152:AG152,SUBSTITUTE(TRIM(AF138)," (s)",""))&gt;0,IF(ROUND(AO138,3)&gt;=1,ROUND(AO138,3)&amp;" Kg",MAX(1,ROUND(AO138*1000,0))&amp;" g"),"")))</f>
        <v/>
      </c>
      <c r="AR138" s="103" t="str">
        <f t="shared" si="40"/>
        <v>►</v>
      </c>
      <c r="AS138" s="31" t="str">
        <f>AS130</f>
        <v>N NOMBRE DE SU RECETA | pegue esto — FAMILIA| Auteur &gt; VOUS</v>
      </c>
      <c r="AT138" s="32">
        <f>AT130</f>
        <v>1</v>
      </c>
      <c r="AU138" s="31" t="str">
        <f>AU130</f>
        <v>coupe</v>
      </c>
      <c r="AV138" s="33" t="str">
        <f>AV130</f>
        <v>Receta madre ► MILLE-FEUILLE  aux fraises des bois</v>
      </c>
      <c r="AW138" s="89"/>
      <c r="AX138" s="108"/>
      <c r="AY138" s="91" t="str">
        <f t="shared" si="36"/>
        <v/>
      </c>
      <c r="AZ138" s="92"/>
      <c r="BA138" s="128"/>
      <c r="BB138" s="130">
        <v>1</v>
      </c>
      <c r="BC138" s="1813" t="str">
        <f>ROWS(BC134:BC138)&amp;" ►"</f>
        <v>5 ►</v>
      </c>
      <c r="BD138" s="1580"/>
      <c r="BE138" s="95">
        <f>IF(BG149=0,0,(BG138/BG149)*BF133*1000)</f>
        <v>0</v>
      </c>
      <c r="BF138" s="105">
        <f>IF(BG149=0, 0, (AW138*BB138)/(BG149*BF133))</f>
        <v>0</v>
      </c>
      <c r="BG138" s="97" cm="1">
        <f t="array" ref="BG138">IFERROR(_xlfn.XLOOKUP(UPPER(TRIM(BA138)),UPPER(TRIM(AW150:BK150)),AW151:BK151,_xlfn.XLOOKUP(UPPER(TRIM(BA138)),UPPER(TRIM(AW152:BK152)),AW153:BK153,0))*AZ138*IF(AW138&gt;0,AW138,1),0)</f>
        <v>0</v>
      </c>
      <c r="BH138" s="106">
        <f>IF(BJ129&lt;&gt;0,AW138*BB138*BB129,0)</f>
        <v>0</v>
      </c>
      <c r="BI138" s="1747">
        <f t="shared" si="41"/>
        <v>0</v>
      </c>
      <c r="BJ138" s="99">
        <f>IF(OR(ISBLANK(BJ129),BJ129=0),0,BG138*BB138*BB129)</f>
        <v>0</v>
      </c>
      <c r="BK138" s="1367" t="str">
        <f>IF(BA138="","",IF(COUNTIF(BD150:BK150,SUBSTITUTE(TRIM(BA138)," (s)",""))+COUNTIF(BD152:BK152,SUBSTITUTE(TRIM(BA138)," (s)",""))&gt;0,IF(ROUND(BJ138,3)&gt;=1,ROUND(BJ138,3)&amp;" L",MAX(1,ROUND(BJ138*100,0))&amp;" cl"),IF(COUNTIF(AW150:BB150,SUBSTITUTE(TRIM(BA138)," (s)",""))+COUNTIF(AW152:BB152,SUBSTITUTE(TRIM(BA138)," (s)",""))&gt;0,IF(ROUND(BJ138,3)&gt;=1,ROUND(BJ138,3)&amp;" Kg",MAX(1,ROUND(BJ138*1000,0))&amp;" g"),"")))</f>
        <v/>
      </c>
      <c r="BM138" s="3">
        <v>1</v>
      </c>
    </row>
    <row r="139" spans="2:65" ht="21" customHeight="1">
      <c r="B139" s="103" t="str">
        <f t="shared" si="42"/>
        <v>►</v>
      </c>
      <c r="C139" s="31" t="str">
        <f>C130</f>
        <v>N NOM DE VOTRE RECETTE | collez la--FAMILLE| Auteur &gt; VOUS</v>
      </c>
      <c r="D139" s="32">
        <f>D130</f>
        <v>1</v>
      </c>
      <c r="E139" s="31" t="str">
        <f>E130</f>
        <v>coupe</v>
      </c>
      <c r="F139" s="33" t="str">
        <f>F130</f>
        <v>Recette mère ► MILLE-FEUILLE  aux fraises des bois</v>
      </c>
      <c r="G139" s="89"/>
      <c r="H139" s="108"/>
      <c r="I139" s="91" t="str">
        <f t="shared" si="34"/>
        <v/>
      </c>
      <c r="J139" s="92"/>
      <c r="K139" s="128"/>
      <c r="L139" s="130">
        <v>1</v>
      </c>
      <c r="M139" s="1813" t="str">
        <f>ROWS(M134:M139)&amp;" ►"</f>
        <v>6 ►</v>
      </c>
      <c r="N139" s="1580"/>
      <c r="O139" s="95">
        <f>IF(Q149=0,0,(Q139/Q149)*P133*1000)</f>
        <v>0</v>
      </c>
      <c r="P139" s="105">
        <f>IF(Q149=0, 0, (G139*L139)/(Q149*P133))</f>
        <v>0</v>
      </c>
      <c r="Q139" s="97" cm="1">
        <f t="array" ref="Q139">IFERROR(_xlfn.XLOOKUP(UPPER(TRIM(K139)),UPPER(TRIM(G150:U150)),G151:U151,_xlfn.XLOOKUP(UPPER(TRIM(K139)),UPPER(TRIM(G152:U152)),G153:U153,0))*J139*IF(G139&gt;0,G139,1),0)</f>
        <v>0</v>
      </c>
      <c r="R139" s="110">
        <f>IF(T129&lt;&gt;0,G139*L139*L129,0)</f>
        <v>0</v>
      </c>
      <c r="S139" s="1748">
        <f t="shared" si="37"/>
        <v>0</v>
      </c>
      <c r="T139" s="99">
        <f>IF(OR(ISBLANK(T129),T129=0),0,Q139*L139*L129)</f>
        <v>0</v>
      </c>
      <c r="U139" s="1617" t="str">
        <f>IF(K139="","",IF(COUNTIF(N150:U150,SUBSTITUTE(TRIM(K139)," (s)",""))+COUNTIF(N152:U152,SUBSTITUTE(TRIM(K139)," (s)",""))&gt;0,IF(ROUND(T139,3)&gt;=1,ROUND(T139,3)&amp;" L",MAX(1,ROUND(T139*100,0))&amp;" cl"),IF(COUNTIF(G150:L150,SUBSTITUTE(TRIM(K139)," (s)",""))+COUNTIF(G152:L152,SUBSTITUTE(TRIM(K139)," (s)",""))&gt;0,IF(ROUND(T139,3)&gt;=1,ROUND(T139,3)&amp;" Kg",MAX(1,ROUND(T139*1000,0))&amp;" g"),"")))</f>
        <v/>
      </c>
      <c r="W139" s="103" t="str">
        <f t="shared" si="38"/>
        <v>►</v>
      </c>
      <c r="X139" s="31" t="str">
        <f>X130</f>
        <v>N NAME OF YOUR RECIPE | paste it — FAMILY|  Author &gt; YOU</v>
      </c>
      <c r="Y139" s="32">
        <f>Y130</f>
        <v>1</v>
      </c>
      <c r="Z139" s="31" t="str">
        <f>Z130</f>
        <v>coupe</v>
      </c>
      <c r="AA139" s="33" t="str">
        <f>AA130</f>
        <v>Master recipe ► MILLE-FEUILLE  aux fraises des bois</v>
      </c>
      <c r="AB139" s="89"/>
      <c r="AC139" s="108"/>
      <c r="AD139" s="91" t="str">
        <f t="shared" si="35"/>
        <v/>
      </c>
      <c r="AE139" s="92"/>
      <c r="AF139" s="128"/>
      <c r="AG139" s="130">
        <v>1</v>
      </c>
      <c r="AH139" s="1813" t="str">
        <f>ROWS(AH134:AH139)&amp;" ►"</f>
        <v>6 ►</v>
      </c>
      <c r="AI139" s="1580"/>
      <c r="AJ139" s="95">
        <f>IF(AL149=0,0,(AL139/AL149)*AK133*1000)</f>
        <v>0</v>
      </c>
      <c r="AK139" s="105">
        <f>IF(AL149=0, 0, (AB139*AG139)/(AL149*AK133))</f>
        <v>0</v>
      </c>
      <c r="AL139" s="97" cm="1">
        <f t="array" ref="AL139">IFERROR(_xlfn.XLOOKUP(UPPER(TRIM(AF139)),UPPER(TRIM(AB150:AP150)),AB151:AP151,_xlfn.XLOOKUP(UPPER(TRIM(AF139)),UPPER(TRIM(AB152:AP152)),AB153:AP153,0))*AE139*IF(AB139&gt;0,AB139,1),0)</f>
        <v>0</v>
      </c>
      <c r="AM139" s="110">
        <f>IF(AO129&lt;&gt;0,AB139*AG139*AG129,0)</f>
        <v>0</v>
      </c>
      <c r="AN139" s="1748">
        <f t="shared" si="39"/>
        <v>0</v>
      </c>
      <c r="AO139" s="99">
        <f>IF(OR(ISBLANK(AO129),AO129=0),0,AL139*AG139*AG129)</f>
        <v>0</v>
      </c>
      <c r="AP139" s="1617" t="str">
        <f>IF(AF139="","",IF(COUNTIF(AI150:AP150,SUBSTITUTE(TRIM(AF139)," (s)",""))+COUNTIF(AI152:AP152,SUBSTITUTE(TRIM(AF139)," (s)",""))&gt;0,IF(ROUND(AO139,3)&gt;=1,ROUND(AO139,3)&amp;" L",MAX(1,ROUND(AO139*100,0))&amp;" cl"),IF(COUNTIF(AB150:AG150,SUBSTITUTE(TRIM(AF139)," (s)",""))+COUNTIF(AB152:AG152,SUBSTITUTE(TRIM(AF139)," (s)",""))&gt;0,IF(ROUND(AO139,3)&gt;=1,ROUND(AO139,3)&amp;" Kg",MAX(1,ROUND(AO139*1000,0))&amp;" g"),"")))</f>
        <v/>
      </c>
      <c r="AR139" s="103" t="str">
        <f t="shared" si="40"/>
        <v>►</v>
      </c>
      <c r="AS139" s="31" t="str">
        <f>AS130</f>
        <v>N NOMBRE DE SU RECETA | pegue esto — FAMILIA| Auteur &gt; VOUS</v>
      </c>
      <c r="AT139" s="32">
        <f>AT130</f>
        <v>1</v>
      </c>
      <c r="AU139" s="31" t="str">
        <f>AU130</f>
        <v>coupe</v>
      </c>
      <c r="AV139" s="33" t="str">
        <f>AV130</f>
        <v>Receta madre ► MILLE-FEUILLE  aux fraises des bois</v>
      </c>
      <c r="AW139" s="89"/>
      <c r="AX139" s="108"/>
      <c r="AY139" s="91" t="str">
        <f t="shared" si="36"/>
        <v/>
      </c>
      <c r="AZ139" s="92"/>
      <c r="BA139" s="128"/>
      <c r="BB139" s="130">
        <v>1</v>
      </c>
      <c r="BC139" s="1813" t="str">
        <f>ROWS(BC134:BC139)&amp;" ►"</f>
        <v>6 ►</v>
      </c>
      <c r="BD139" s="1580"/>
      <c r="BE139" s="95">
        <f>IF(BG149=0,0,(BG139/BG149)*BF133*1000)</f>
        <v>0</v>
      </c>
      <c r="BF139" s="105">
        <f>IF(BG149=0, 0, (AW139*BB139)/(BG149*BF133))</f>
        <v>0</v>
      </c>
      <c r="BG139" s="97" cm="1">
        <f t="array" ref="BG139">IFERROR(_xlfn.XLOOKUP(UPPER(TRIM(BA139)),UPPER(TRIM(AW150:BK150)),AW151:BK151,_xlfn.XLOOKUP(UPPER(TRIM(BA139)),UPPER(TRIM(AW152:BK152)),AW153:BK153,0))*AZ139*IF(AW139&gt;0,AW139,1),0)</f>
        <v>0</v>
      </c>
      <c r="BH139" s="110">
        <f>IF(BJ129&lt;&gt;0,AW139*BB139*BB129,0)</f>
        <v>0</v>
      </c>
      <c r="BI139" s="1748">
        <f t="shared" si="41"/>
        <v>0</v>
      </c>
      <c r="BJ139" s="99">
        <f>IF(OR(ISBLANK(BJ129),BJ129=0),0,BG139*BB139*BB129)</f>
        <v>0</v>
      </c>
      <c r="BK139" s="1617" t="str">
        <f>IF(BA139="","",IF(COUNTIF(BD150:BK150,SUBSTITUTE(TRIM(BA139)," (s)",""))+COUNTIF(BD152:BK152,SUBSTITUTE(TRIM(BA139)," (s)",""))&gt;0,IF(ROUND(BJ139,3)&gt;=1,ROUND(BJ139,3)&amp;" L",MAX(1,ROUND(BJ139*100,0))&amp;" cl"),IF(COUNTIF(AW150:BB150,SUBSTITUTE(TRIM(BA139)," (s)",""))+COUNTIF(AW152:BB152,SUBSTITUTE(TRIM(BA139)," (s)",""))&gt;0,IF(ROUND(BJ139,3)&gt;=1,ROUND(BJ139,3)&amp;" Kg",MAX(1,ROUND(BJ139*1000,0))&amp;" g"),"")))</f>
        <v/>
      </c>
      <c r="BM139" s="3">
        <v>1</v>
      </c>
    </row>
    <row r="140" spans="2:65" ht="21" customHeight="1">
      <c r="B140" s="103" t="str">
        <f t="shared" si="42"/>
        <v>►</v>
      </c>
      <c r="C140" s="31" t="str">
        <f>C130</f>
        <v>N NOM DE VOTRE RECETTE | collez la--FAMILLE| Auteur &gt; VOUS</v>
      </c>
      <c r="D140" s="32">
        <f>D130</f>
        <v>1</v>
      </c>
      <c r="E140" s="31" t="str">
        <f>E130</f>
        <v>coupe</v>
      </c>
      <c r="F140" s="33" t="str">
        <f>F130</f>
        <v>Recette mère ► MILLE-FEUILLE  aux fraises des bois</v>
      </c>
      <c r="G140" s="89"/>
      <c r="H140" s="108"/>
      <c r="I140" s="91" t="str">
        <f t="shared" si="34"/>
        <v/>
      </c>
      <c r="J140" s="92"/>
      <c r="K140" s="128"/>
      <c r="L140" s="130">
        <v>1</v>
      </c>
      <c r="M140" s="1813" t="str">
        <f>ROWS(M134:M140)&amp;" ►"</f>
        <v>7 ►</v>
      </c>
      <c r="N140" s="1580"/>
      <c r="O140" s="95">
        <f>IF(Q149=0,0,(Q140/Q149)*P133*1000)</f>
        <v>0</v>
      </c>
      <c r="P140" s="105">
        <f>IF(Q149=0, 0, (G140*L140)/(Q149*P133))</f>
        <v>0</v>
      </c>
      <c r="Q140" s="97" cm="1">
        <f t="array" ref="Q140">IFERROR(_xlfn.XLOOKUP(UPPER(TRIM(K140)),UPPER(TRIM(G150:U150)),G151:U151,_xlfn.XLOOKUP(UPPER(TRIM(K140)),UPPER(TRIM(G152:U152)),G153:U153,0))*J140*IF(G140&gt;0,G140,1),0)</f>
        <v>0</v>
      </c>
      <c r="R140" s="106">
        <f>IF(T129&lt;&gt;0,G140*L140*L129,0)</f>
        <v>0</v>
      </c>
      <c r="S140" s="1747">
        <f t="shared" si="37"/>
        <v>0</v>
      </c>
      <c r="T140" s="99">
        <f>IF(OR(ISBLANK(T129),T129=0),0,Q140*L140*L129)</f>
        <v>0</v>
      </c>
      <c r="U140" s="1367" t="str">
        <f>IF(K140="","",IF(COUNTIF(N150:U150,SUBSTITUTE(TRIM(K140)," (s)",""))+COUNTIF(N152:U152,SUBSTITUTE(TRIM(K140)," (s)",""))&gt;0,IF(ROUND(T140,3)&gt;=1,ROUND(T140,3)&amp;" L",MAX(1,ROUND(T140*100,0))&amp;" cl"),IF(COUNTIF(G150:L150,SUBSTITUTE(TRIM(K140)," (s)",""))+COUNTIF(G152:L152,SUBSTITUTE(TRIM(K140)," (s)",""))&gt;0,IF(ROUND(T140,3)&gt;=1,ROUND(T140,3)&amp;" Kg",MAX(1,ROUND(T140*1000,0))&amp;" g"),"")))</f>
        <v/>
      </c>
      <c r="W140" s="103" t="str">
        <f t="shared" si="38"/>
        <v>►</v>
      </c>
      <c r="X140" s="31" t="str">
        <f>X130</f>
        <v>N NAME OF YOUR RECIPE | paste it — FAMILY|  Author &gt; YOU</v>
      </c>
      <c r="Y140" s="32">
        <f>Y130</f>
        <v>1</v>
      </c>
      <c r="Z140" s="31" t="str">
        <f>Z130</f>
        <v>coupe</v>
      </c>
      <c r="AA140" s="33" t="str">
        <f>AA130</f>
        <v>Master recipe ► MILLE-FEUILLE  aux fraises des bois</v>
      </c>
      <c r="AB140" s="89"/>
      <c r="AC140" s="108"/>
      <c r="AD140" s="91" t="str">
        <f t="shared" si="35"/>
        <v/>
      </c>
      <c r="AE140" s="92"/>
      <c r="AF140" s="128"/>
      <c r="AG140" s="130">
        <v>1</v>
      </c>
      <c r="AH140" s="1813" t="str">
        <f>ROWS(AH134:AH140)&amp;" ►"</f>
        <v>7 ►</v>
      </c>
      <c r="AI140" s="1580"/>
      <c r="AJ140" s="95">
        <f>IF(AL149=0,0,(AL140/AL149)*AK133*1000)</f>
        <v>0</v>
      </c>
      <c r="AK140" s="105">
        <f>IF(AL149=0, 0, (AB140*AG140)/(AL149*AK133))</f>
        <v>0</v>
      </c>
      <c r="AL140" s="97" cm="1">
        <f t="array" ref="AL140">IFERROR(_xlfn.XLOOKUP(UPPER(TRIM(AF140)),UPPER(TRIM(AB150:AP150)),AB151:AP151,_xlfn.XLOOKUP(UPPER(TRIM(AF140)),UPPER(TRIM(AB152:AP152)),AB153:AP153,0))*AE140*IF(AB140&gt;0,AB140,1),0)</f>
        <v>0</v>
      </c>
      <c r="AM140" s="106">
        <f>IF(AO129&lt;&gt;0,AB140*AG140*AG129,0)</f>
        <v>0</v>
      </c>
      <c r="AN140" s="1747">
        <f t="shared" si="39"/>
        <v>0</v>
      </c>
      <c r="AO140" s="99">
        <f>IF(OR(ISBLANK(AO129),AO129=0),0,AL140*AG140*AG129)</f>
        <v>0</v>
      </c>
      <c r="AP140" s="1367" t="str">
        <f>IF(AF140="","",IF(COUNTIF(AI150:AP150,SUBSTITUTE(TRIM(AF140)," (s)",""))+COUNTIF(AI152:AP152,SUBSTITUTE(TRIM(AF140)," (s)",""))&gt;0,IF(ROUND(AO140,3)&gt;=1,ROUND(AO140,3)&amp;" L",MAX(1,ROUND(AO140*100,0))&amp;" cl"),IF(COUNTIF(AB150:AG150,SUBSTITUTE(TRIM(AF140)," (s)",""))+COUNTIF(AB152:AG152,SUBSTITUTE(TRIM(AF140)," (s)",""))&gt;0,IF(ROUND(AO140,3)&gt;=1,ROUND(AO140,3)&amp;" Kg",MAX(1,ROUND(AO140*1000,0))&amp;" g"),"")))</f>
        <v/>
      </c>
      <c r="AR140" s="103" t="str">
        <f t="shared" si="40"/>
        <v>►</v>
      </c>
      <c r="AS140" s="31" t="str">
        <f>AS130</f>
        <v>N NOMBRE DE SU RECETA | pegue esto — FAMILIA| Auteur &gt; VOUS</v>
      </c>
      <c r="AT140" s="32">
        <f>AT130</f>
        <v>1</v>
      </c>
      <c r="AU140" s="31" t="str">
        <f>AU130</f>
        <v>coupe</v>
      </c>
      <c r="AV140" s="33" t="str">
        <f>AV130</f>
        <v>Receta madre ► MILLE-FEUILLE  aux fraises des bois</v>
      </c>
      <c r="AW140" s="89"/>
      <c r="AX140" s="108"/>
      <c r="AY140" s="91" t="str">
        <f t="shared" si="36"/>
        <v/>
      </c>
      <c r="AZ140" s="92"/>
      <c r="BA140" s="128"/>
      <c r="BB140" s="130">
        <v>1</v>
      </c>
      <c r="BC140" s="1813" t="str">
        <f>ROWS(BC134:BC140)&amp;" ►"</f>
        <v>7 ►</v>
      </c>
      <c r="BD140" s="1580"/>
      <c r="BE140" s="95">
        <f>IF(BG149=0,0,(BG140/BG149)*BF133*1000)</f>
        <v>0</v>
      </c>
      <c r="BF140" s="105">
        <f>IF(BG149=0, 0, (AW140*BB140)/(BG149*BF133))</f>
        <v>0</v>
      </c>
      <c r="BG140" s="97" cm="1">
        <f t="array" ref="BG140">IFERROR(_xlfn.XLOOKUP(UPPER(TRIM(BA140)),UPPER(TRIM(AW150:BK150)),AW151:BK151,_xlfn.XLOOKUP(UPPER(TRIM(BA140)),UPPER(TRIM(AW152:BK152)),AW153:BK153,0))*AZ140*IF(AW140&gt;0,AW140,1),0)</f>
        <v>0</v>
      </c>
      <c r="BH140" s="106">
        <f>IF(BJ129&lt;&gt;0,AW140*BB140*BB129,0)</f>
        <v>0</v>
      </c>
      <c r="BI140" s="1747">
        <f t="shared" si="41"/>
        <v>0</v>
      </c>
      <c r="BJ140" s="99">
        <f>IF(OR(ISBLANK(BJ129),BJ129=0),0,BG140*BB140*BB129)</f>
        <v>0</v>
      </c>
      <c r="BK140" s="1367" t="str">
        <f>IF(BA140="","",IF(COUNTIF(BD150:BK150,SUBSTITUTE(TRIM(BA140)," (s)",""))+COUNTIF(BD152:BK152,SUBSTITUTE(TRIM(BA140)," (s)",""))&gt;0,IF(ROUND(BJ140,3)&gt;=1,ROUND(BJ140,3)&amp;" L",MAX(1,ROUND(BJ140*100,0))&amp;" cl"),IF(COUNTIF(AW150:BB150,SUBSTITUTE(TRIM(BA140)," (s)",""))+COUNTIF(AW152:BB152,SUBSTITUTE(TRIM(BA140)," (s)",""))&gt;0,IF(ROUND(BJ140,3)&gt;=1,ROUND(BJ140,3)&amp;" Kg",MAX(1,ROUND(BJ140*1000,0))&amp;" g"),"")))</f>
        <v/>
      </c>
      <c r="BM140" s="3">
        <v>1</v>
      </c>
    </row>
    <row r="141" spans="2:65" ht="21" customHeight="1">
      <c r="B141" s="103" t="str">
        <f t="shared" si="42"/>
        <v>►</v>
      </c>
      <c r="C141" s="31" t="str">
        <f>C130</f>
        <v>N NOM DE VOTRE RECETTE | collez la--FAMILLE| Auteur &gt; VOUS</v>
      </c>
      <c r="D141" s="32">
        <f>D130</f>
        <v>1</v>
      </c>
      <c r="E141" s="31" t="str">
        <f>E130</f>
        <v>coupe</v>
      </c>
      <c r="F141" s="33" t="str">
        <f>F130</f>
        <v>Recette mère ► MILLE-FEUILLE  aux fraises des bois</v>
      </c>
      <c r="G141" s="89"/>
      <c r="H141" s="108"/>
      <c r="I141" s="91" t="str">
        <f t="shared" si="34"/>
        <v/>
      </c>
      <c r="J141" s="92"/>
      <c r="K141" s="128"/>
      <c r="L141" s="130">
        <v>1</v>
      </c>
      <c r="M141" s="1813" t="str">
        <f>ROWS(M134:M141)&amp;" ►"</f>
        <v>8 ►</v>
      </c>
      <c r="N141" s="1580"/>
      <c r="O141" s="95">
        <f>IF(Q149=0,0,(Q141/Q149)*P133*1000)</f>
        <v>0</v>
      </c>
      <c r="P141" s="105">
        <f>IF(Q149=0, 0, (G141*L141)/(Q149*P133))</f>
        <v>0</v>
      </c>
      <c r="Q141" s="97" cm="1">
        <f t="array" ref="Q141">IFERROR(_xlfn.XLOOKUP(UPPER(TRIM(K141)),UPPER(TRIM(G150:U150)),G151:U151,_xlfn.XLOOKUP(UPPER(TRIM(K141)),UPPER(TRIM(G152:U152)),G153:U153,0))*J141*IF(G141&gt;0,G141,1),0)</f>
        <v>0</v>
      </c>
      <c r="R141" s="110">
        <f>IF(T129&lt;&gt;0,G141*L141*L129,0)</f>
        <v>0</v>
      </c>
      <c r="S141" s="1748">
        <f t="shared" si="37"/>
        <v>0</v>
      </c>
      <c r="T141" s="99">
        <f>IF(OR(ISBLANK(T129),T129=0),0,Q141*L141*L129)</f>
        <v>0</v>
      </c>
      <c r="U141" s="1617" t="str">
        <f>IF(K141="","",IF(COUNTIF(N150:U150,SUBSTITUTE(TRIM(K141)," (s)",""))+COUNTIF(N152:U152,SUBSTITUTE(TRIM(K141)," (s)",""))&gt;0,IF(ROUND(T141,3)&gt;=1,ROUND(T141,3)&amp;" L",MAX(1,ROUND(T141*100,0))&amp;" cl"),IF(COUNTIF(G150:L150,SUBSTITUTE(TRIM(K141)," (s)",""))+COUNTIF(G152:L152,SUBSTITUTE(TRIM(K141)," (s)",""))&gt;0,IF(ROUND(T141,3)&gt;=1,ROUND(T141,3)&amp;" Kg",MAX(1,ROUND(T141*1000,0))&amp;" g"),"")))</f>
        <v/>
      </c>
      <c r="W141" s="103" t="str">
        <f t="shared" si="38"/>
        <v>►</v>
      </c>
      <c r="X141" s="31" t="str">
        <f>X130</f>
        <v>N NAME OF YOUR RECIPE | paste it — FAMILY|  Author &gt; YOU</v>
      </c>
      <c r="Y141" s="32">
        <f>Y130</f>
        <v>1</v>
      </c>
      <c r="Z141" s="31" t="str">
        <f>Z130</f>
        <v>coupe</v>
      </c>
      <c r="AA141" s="33" t="str">
        <f>AA130</f>
        <v>Master recipe ► MILLE-FEUILLE  aux fraises des bois</v>
      </c>
      <c r="AB141" s="89"/>
      <c r="AC141" s="108"/>
      <c r="AD141" s="91" t="str">
        <f t="shared" si="35"/>
        <v/>
      </c>
      <c r="AE141" s="92"/>
      <c r="AF141" s="128"/>
      <c r="AG141" s="130">
        <v>1</v>
      </c>
      <c r="AH141" s="1813" t="str">
        <f>ROWS(AH134:AH141)&amp;" ►"</f>
        <v>8 ►</v>
      </c>
      <c r="AI141" s="1580"/>
      <c r="AJ141" s="95">
        <f>IF(AL149=0,0,(AL141/AL149)*AK133*1000)</f>
        <v>0</v>
      </c>
      <c r="AK141" s="105">
        <f>IF(AL149=0, 0, (AB141*AG141)/(AL149*AK133))</f>
        <v>0</v>
      </c>
      <c r="AL141" s="97" cm="1">
        <f t="array" ref="AL141">IFERROR(_xlfn.XLOOKUP(UPPER(TRIM(AF141)),UPPER(TRIM(AB150:AP150)),AB151:AP151,_xlfn.XLOOKUP(UPPER(TRIM(AF141)),UPPER(TRIM(AB152:AP152)),AB153:AP153,0))*AE141*IF(AB141&gt;0,AB141,1),0)</f>
        <v>0</v>
      </c>
      <c r="AM141" s="110">
        <f>IF(AO129&lt;&gt;0,AB141*AG141*AG129,0)</f>
        <v>0</v>
      </c>
      <c r="AN141" s="1748">
        <f t="shared" si="39"/>
        <v>0</v>
      </c>
      <c r="AO141" s="99">
        <f>IF(OR(ISBLANK(AO129),AO129=0),0,AL141*AG141*AG129)</f>
        <v>0</v>
      </c>
      <c r="AP141" s="1617" t="str">
        <f>IF(AF141="","",IF(COUNTIF(AI150:AP150,SUBSTITUTE(TRIM(AF141)," (s)",""))+COUNTIF(AI152:AP152,SUBSTITUTE(TRIM(AF141)," (s)",""))&gt;0,IF(ROUND(AO141,3)&gt;=1,ROUND(AO141,3)&amp;" L",MAX(1,ROUND(AO141*100,0))&amp;" cl"),IF(COUNTIF(AB150:AG150,SUBSTITUTE(TRIM(AF141)," (s)",""))+COUNTIF(AB152:AG152,SUBSTITUTE(TRIM(AF141)," (s)",""))&gt;0,IF(ROUND(AO141,3)&gt;=1,ROUND(AO141,3)&amp;" Kg",MAX(1,ROUND(AO141*1000,0))&amp;" g"),"")))</f>
        <v/>
      </c>
      <c r="AR141" s="103" t="str">
        <f t="shared" si="40"/>
        <v>►</v>
      </c>
      <c r="AS141" s="31" t="str">
        <f>AS130</f>
        <v>N NOMBRE DE SU RECETA | pegue esto — FAMILIA| Auteur &gt; VOUS</v>
      </c>
      <c r="AT141" s="32">
        <f>AT130</f>
        <v>1</v>
      </c>
      <c r="AU141" s="31" t="str">
        <f>AU130</f>
        <v>coupe</v>
      </c>
      <c r="AV141" s="33" t="str">
        <f>AV130</f>
        <v>Receta madre ► MILLE-FEUILLE  aux fraises des bois</v>
      </c>
      <c r="AW141" s="89"/>
      <c r="AX141" s="108"/>
      <c r="AY141" s="91" t="str">
        <f t="shared" si="36"/>
        <v/>
      </c>
      <c r="AZ141" s="92"/>
      <c r="BA141" s="128"/>
      <c r="BB141" s="130">
        <v>1</v>
      </c>
      <c r="BC141" s="1813" t="str">
        <f>ROWS(BC134:BC141)&amp;" ►"</f>
        <v>8 ►</v>
      </c>
      <c r="BD141" s="1580"/>
      <c r="BE141" s="95">
        <f>IF(BG149=0,0,(BG141/BG149)*BF133*1000)</f>
        <v>0</v>
      </c>
      <c r="BF141" s="105">
        <f>IF(BG149=0, 0, (AW141*BB141)/(BG149*BF133))</f>
        <v>0</v>
      </c>
      <c r="BG141" s="97" cm="1">
        <f t="array" ref="BG141">IFERROR(_xlfn.XLOOKUP(UPPER(TRIM(BA141)),UPPER(TRIM(AW150:BK150)),AW151:BK151,_xlfn.XLOOKUP(UPPER(TRIM(BA141)),UPPER(TRIM(AW152:BK152)),AW153:BK153,0))*AZ141*IF(AW141&gt;0,AW141,1),0)</f>
        <v>0</v>
      </c>
      <c r="BH141" s="110">
        <f>IF(BJ129&lt;&gt;0,AW141*BB141*BB129,0)</f>
        <v>0</v>
      </c>
      <c r="BI141" s="1748">
        <f t="shared" si="41"/>
        <v>0</v>
      </c>
      <c r="BJ141" s="99">
        <f>IF(OR(ISBLANK(BJ129),BJ129=0),0,BG141*BB141*BB129)</f>
        <v>0</v>
      </c>
      <c r="BK141" s="1617" t="str">
        <f>IF(BA141="","",IF(COUNTIF(BD150:BK150,SUBSTITUTE(TRIM(BA141)," (s)",""))+COUNTIF(BD152:BK152,SUBSTITUTE(TRIM(BA141)," (s)",""))&gt;0,IF(ROUND(BJ141,3)&gt;=1,ROUND(BJ141,3)&amp;" L",MAX(1,ROUND(BJ141*100,0))&amp;" cl"),IF(COUNTIF(AW150:BB150,SUBSTITUTE(TRIM(BA141)," (s)",""))+COUNTIF(AW152:BB152,SUBSTITUTE(TRIM(BA141)," (s)",""))&gt;0,IF(ROUND(BJ141,3)&gt;=1,ROUND(BJ141,3)&amp;" Kg",MAX(1,ROUND(BJ141*1000,0))&amp;" g"),"")))</f>
        <v/>
      </c>
      <c r="BM141" s="3">
        <v>1</v>
      </c>
    </row>
    <row r="142" spans="2:65" ht="21" customHeight="1">
      <c r="B142" s="103" t="str">
        <f t="shared" si="42"/>
        <v>►</v>
      </c>
      <c r="C142" s="31" t="str">
        <f>C130</f>
        <v>N NOM DE VOTRE RECETTE | collez la--FAMILLE| Auteur &gt; VOUS</v>
      </c>
      <c r="D142" s="32">
        <f>D130</f>
        <v>1</v>
      </c>
      <c r="E142" s="31" t="str">
        <f>E130</f>
        <v>coupe</v>
      </c>
      <c r="F142" s="33" t="str">
        <f>F130</f>
        <v>Recette mère ► MILLE-FEUILLE  aux fraises des bois</v>
      </c>
      <c r="G142" s="89"/>
      <c r="H142" s="108"/>
      <c r="I142" s="91" t="str">
        <f t="shared" si="34"/>
        <v/>
      </c>
      <c r="J142" s="92"/>
      <c r="K142" s="128"/>
      <c r="L142" s="130">
        <v>1</v>
      </c>
      <c r="M142" s="1813" t="str">
        <f>ROWS(M134:M142)&amp;" ►"</f>
        <v>9 ►</v>
      </c>
      <c r="N142" s="1580"/>
      <c r="O142" s="95">
        <f>IF(Q149=0,0,(Q142/Q149)*P133*1000)</f>
        <v>0</v>
      </c>
      <c r="P142" s="105">
        <f>IF(Q149=0, 0, (G142*L142)/(Q149*P133))</f>
        <v>0</v>
      </c>
      <c r="Q142" s="97" cm="1">
        <f t="array" ref="Q142">IFERROR(_xlfn.XLOOKUP(UPPER(TRIM(K142)),UPPER(TRIM(G150:U150)),G151:U151,_xlfn.XLOOKUP(UPPER(TRIM(K142)),UPPER(TRIM(G152:U152)),G153:U153,0))*J142*IF(G142&gt;0,G142,1),0)</f>
        <v>0</v>
      </c>
      <c r="R142" s="106">
        <f>IF(T129&lt;&gt;0,G142*L142*L129,0)</f>
        <v>0</v>
      </c>
      <c r="S142" s="1747">
        <f t="shared" si="37"/>
        <v>0</v>
      </c>
      <c r="T142" s="99">
        <f>IF(OR(ISBLANK(T129),T129=0),0,Q142*L142*L129)</f>
        <v>0</v>
      </c>
      <c r="U142" s="1367" t="str">
        <f>IF(K142="","",IF(COUNTIF(N150:U150,SUBSTITUTE(TRIM(K142)," (s)",""))+COUNTIF(N152:U152,SUBSTITUTE(TRIM(K142)," (s)",""))&gt;0,IF(ROUND(T142,3)&gt;=1,ROUND(T142,3)&amp;" L",MAX(1,ROUND(T142*100,0))&amp;" cl"),IF(COUNTIF(G150:L150,SUBSTITUTE(TRIM(K142)," (s)",""))+COUNTIF(G152:L152,SUBSTITUTE(TRIM(K142)," (s)",""))&gt;0,IF(ROUND(T142,3)&gt;=1,ROUND(T142,3)&amp;" Kg",MAX(1,ROUND(T142*1000,0))&amp;" g"),"")))</f>
        <v/>
      </c>
      <c r="W142" s="103" t="str">
        <f t="shared" si="38"/>
        <v>►</v>
      </c>
      <c r="X142" s="31" t="str">
        <f>X130</f>
        <v>N NAME OF YOUR RECIPE | paste it — FAMILY|  Author &gt; YOU</v>
      </c>
      <c r="Y142" s="32">
        <f>Y130</f>
        <v>1</v>
      </c>
      <c r="Z142" s="31" t="str">
        <f>Z130</f>
        <v>coupe</v>
      </c>
      <c r="AA142" s="33" t="str">
        <f>AA130</f>
        <v>Master recipe ► MILLE-FEUILLE  aux fraises des bois</v>
      </c>
      <c r="AB142" s="89"/>
      <c r="AC142" s="108"/>
      <c r="AD142" s="91" t="str">
        <f t="shared" si="35"/>
        <v/>
      </c>
      <c r="AE142" s="92"/>
      <c r="AF142" s="128"/>
      <c r="AG142" s="130">
        <v>1</v>
      </c>
      <c r="AH142" s="1813" t="str">
        <f>ROWS(AH134:AH142)&amp;" ►"</f>
        <v>9 ►</v>
      </c>
      <c r="AI142" s="1580"/>
      <c r="AJ142" s="95">
        <f>IF(AL149=0,0,(AL142/AL149)*AK133*1000)</f>
        <v>0</v>
      </c>
      <c r="AK142" s="105">
        <f>IF(AL149=0, 0, (AB142*AG142)/(AL149*AK133))</f>
        <v>0</v>
      </c>
      <c r="AL142" s="97" cm="1">
        <f t="array" ref="AL142">IFERROR(_xlfn.XLOOKUP(UPPER(TRIM(AF142)),UPPER(TRIM(AB150:AP150)),AB151:AP151,_xlfn.XLOOKUP(UPPER(TRIM(AF142)),UPPER(TRIM(AB152:AP152)),AB153:AP153,0))*AE142*IF(AB142&gt;0,AB142,1),0)</f>
        <v>0</v>
      </c>
      <c r="AM142" s="106">
        <f>IF(AO129&lt;&gt;0,AB142*AG142*AG129,0)</f>
        <v>0</v>
      </c>
      <c r="AN142" s="1747">
        <f t="shared" si="39"/>
        <v>0</v>
      </c>
      <c r="AO142" s="99">
        <f>IF(OR(ISBLANK(AO129),AO129=0),0,AL142*AG142*AG129)</f>
        <v>0</v>
      </c>
      <c r="AP142" s="1367" t="str">
        <f>IF(AF142="","",IF(COUNTIF(AI150:AP150,SUBSTITUTE(TRIM(AF142)," (s)",""))+COUNTIF(AI152:AP152,SUBSTITUTE(TRIM(AF142)," (s)",""))&gt;0,IF(ROUND(AO142,3)&gt;=1,ROUND(AO142,3)&amp;" L",MAX(1,ROUND(AO142*100,0))&amp;" cl"),IF(COUNTIF(AB150:AG150,SUBSTITUTE(TRIM(AF142)," (s)",""))+COUNTIF(AB152:AG152,SUBSTITUTE(TRIM(AF142)," (s)",""))&gt;0,IF(ROUND(AO142,3)&gt;=1,ROUND(AO142,3)&amp;" Kg",MAX(1,ROUND(AO142*1000,0))&amp;" g"),"")))</f>
        <v/>
      </c>
      <c r="AR142" s="103" t="str">
        <f t="shared" si="40"/>
        <v>►</v>
      </c>
      <c r="AS142" s="31" t="str">
        <f>AS130</f>
        <v>N NOMBRE DE SU RECETA | pegue esto — FAMILIA| Auteur &gt; VOUS</v>
      </c>
      <c r="AT142" s="32">
        <f>AT130</f>
        <v>1</v>
      </c>
      <c r="AU142" s="31" t="str">
        <f>AU130</f>
        <v>coupe</v>
      </c>
      <c r="AV142" s="33" t="str">
        <f>AV130</f>
        <v>Receta madre ► MILLE-FEUILLE  aux fraises des bois</v>
      </c>
      <c r="AW142" s="89"/>
      <c r="AX142" s="108"/>
      <c r="AY142" s="91" t="str">
        <f t="shared" si="36"/>
        <v/>
      </c>
      <c r="AZ142" s="92"/>
      <c r="BA142" s="128"/>
      <c r="BB142" s="130">
        <v>1</v>
      </c>
      <c r="BC142" s="1813" t="str">
        <f>ROWS(BC134:BC142)&amp;" ►"</f>
        <v>9 ►</v>
      </c>
      <c r="BD142" s="1580"/>
      <c r="BE142" s="95">
        <f>IF(BG149=0,0,(BG142/BG149)*BF133*1000)</f>
        <v>0</v>
      </c>
      <c r="BF142" s="105">
        <f>IF(BG149=0, 0, (AW142*BB142)/(BG149*BF133))</f>
        <v>0</v>
      </c>
      <c r="BG142" s="97" cm="1">
        <f t="array" ref="BG142">IFERROR(_xlfn.XLOOKUP(UPPER(TRIM(BA142)),UPPER(TRIM(AW150:BK150)),AW151:BK151,_xlfn.XLOOKUP(UPPER(TRIM(BA142)),UPPER(TRIM(AW152:BK152)),AW153:BK153,0))*AZ142*IF(AW142&gt;0,AW142,1),0)</f>
        <v>0</v>
      </c>
      <c r="BH142" s="106">
        <f>IF(BJ129&lt;&gt;0,AW142*BB142*BB129,0)</f>
        <v>0</v>
      </c>
      <c r="BI142" s="1747">
        <f t="shared" si="41"/>
        <v>0</v>
      </c>
      <c r="BJ142" s="99">
        <f>IF(OR(ISBLANK(BJ129),BJ129=0),0,BG142*BB142*BB129)</f>
        <v>0</v>
      </c>
      <c r="BK142" s="1367" t="str">
        <f>IF(BA142="","",IF(COUNTIF(BD150:BK150,SUBSTITUTE(TRIM(BA142)," (s)",""))+COUNTIF(BD152:BK152,SUBSTITUTE(TRIM(BA142)," (s)",""))&gt;0,IF(ROUND(BJ142,3)&gt;=1,ROUND(BJ142,3)&amp;" L",MAX(1,ROUND(BJ142*100,0))&amp;" cl"),IF(COUNTIF(AW150:BB150,SUBSTITUTE(TRIM(BA142)," (s)",""))+COUNTIF(AW152:BB152,SUBSTITUTE(TRIM(BA142)," (s)",""))&gt;0,IF(ROUND(BJ142,3)&gt;=1,ROUND(BJ142,3)&amp;" Kg",MAX(1,ROUND(BJ142*1000,0))&amp;" g"),"")))</f>
        <v/>
      </c>
      <c r="BM142" s="3">
        <v>1</v>
      </c>
    </row>
    <row r="143" spans="2:65" ht="21" customHeight="1">
      <c r="B143" s="103" t="str">
        <f t="shared" si="42"/>
        <v>►</v>
      </c>
      <c r="C143" s="31" t="str">
        <f>C130</f>
        <v>N NOM DE VOTRE RECETTE | collez la--FAMILLE| Auteur &gt; VOUS</v>
      </c>
      <c r="D143" s="32">
        <f>D130</f>
        <v>1</v>
      </c>
      <c r="E143" s="31" t="str">
        <f>E130</f>
        <v>coupe</v>
      </c>
      <c r="F143" s="33" t="str">
        <f>F130</f>
        <v>Recette mère ► MILLE-FEUILLE  aux fraises des bois</v>
      </c>
      <c r="G143" s="89"/>
      <c r="H143" s="108"/>
      <c r="I143" s="91" t="str">
        <f t="shared" si="34"/>
        <v/>
      </c>
      <c r="J143" s="92"/>
      <c r="K143" s="128"/>
      <c r="L143" s="130">
        <v>1</v>
      </c>
      <c r="M143" s="1813" t="str">
        <f>ROWS(M134:M143)&amp;" ►"</f>
        <v>10 ►</v>
      </c>
      <c r="N143" s="1580"/>
      <c r="O143" s="95">
        <f>IF(Q149=0,0,(Q143/Q149)*P133*1000)</f>
        <v>0</v>
      </c>
      <c r="P143" s="105">
        <f>IF(Q149=0, 0, (G143*L143)/(Q149*P133))</f>
        <v>0</v>
      </c>
      <c r="Q143" s="97" cm="1">
        <f t="array" ref="Q143">IFERROR(_xlfn.XLOOKUP(UPPER(TRIM(K143)),UPPER(TRIM(G150:U150)),G151:U151,_xlfn.XLOOKUP(UPPER(TRIM(K143)),UPPER(TRIM(G152:U152)),G153:U153,0))*J143*IF(G143&gt;0,G143,1),0)</f>
        <v>0</v>
      </c>
      <c r="R143" s="110">
        <f>IF(T129&lt;&gt;0,G143*L143*L129,0)</f>
        <v>0</v>
      </c>
      <c r="S143" s="1748">
        <f t="shared" si="37"/>
        <v>0</v>
      </c>
      <c r="T143" s="99">
        <f>IF(OR(ISBLANK(T129),T129=0),0,Q143*L143*L129)</f>
        <v>0</v>
      </c>
      <c r="U143" s="1617" t="str">
        <f>IF(K143="","",IF(COUNTIF(N150:U150,SUBSTITUTE(TRIM(K143)," (s)",""))+COUNTIF(N152:U152,SUBSTITUTE(TRIM(K143)," (s)",""))&gt;0,IF(ROUND(T143,3)&gt;=1,ROUND(T143,3)&amp;" L",MAX(1,ROUND(T143*100,0))&amp;" cl"),IF(COUNTIF(G150:L150,SUBSTITUTE(TRIM(K143)," (s)",""))+COUNTIF(G152:L152,SUBSTITUTE(TRIM(K143)," (s)",""))&gt;0,IF(ROUND(T143,3)&gt;=1,ROUND(T143,3)&amp;" Kg",MAX(1,ROUND(T143*1000,0))&amp;" g"),"")))</f>
        <v/>
      </c>
      <c r="W143" s="103" t="str">
        <f t="shared" si="38"/>
        <v>►</v>
      </c>
      <c r="X143" s="31" t="str">
        <f>X130</f>
        <v>N NAME OF YOUR RECIPE | paste it — FAMILY|  Author &gt; YOU</v>
      </c>
      <c r="Y143" s="32">
        <f>Y130</f>
        <v>1</v>
      </c>
      <c r="Z143" s="31" t="str">
        <f>Z130</f>
        <v>coupe</v>
      </c>
      <c r="AA143" s="33" t="str">
        <f>AA130</f>
        <v>Master recipe ► MILLE-FEUILLE  aux fraises des bois</v>
      </c>
      <c r="AB143" s="89"/>
      <c r="AC143" s="108"/>
      <c r="AD143" s="91" t="str">
        <f t="shared" si="35"/>
        <v/>
      </c>
      <c r="AE143" s="92"/>
      <c r="AF143" s="128"/>
      <c r="AG143" s="130">
        <v>1</v>
      </c>
      <c r="AH143" s="1813" t="str">
        <f>ROWS(AH134:AH143)&amp;" ►"</f>
        <v>10 ►</v>
      </c>
      <c r="AI143" s="1580"/>
      <c r="AJ143" s="95">
        <f>IF(AL149=0,0,(AL143/AL149)*AK133*1000)</f>
        <v>0</v>
      </c>
      <c r="AK143" s="105">
        <f>IF(AL149=0, 0, (AB143*AG143)/(AL149*AK133))</f>
        <v>0</v>
      </c>
      <c r="AL143" s="97" cm="1">
        <f t="array" ref="AL143">IFERROR(_xlfn.XLOOKUP(UPPER(TRIM(AF143)),UPPER(TRIM(AB150:AP150)),AB151:AP151,_xlfn.XLOOKUP(UPPER(TRIM(AF143)),UPPER(TRIM(AB152:AP152)),AB153:AP153,0))*AE143*IF(AB143&gt;0,AB143,1),0)</f>
        <v>0</v>
      </c>
      <c r="AM143" s="110">
        <f>IF(AO129&lt;&gt;0,AB143*AG143*AG129,0)</f>
        <v>0</v>
      </c>
      <c r="AN143" s="1748">
        <f t="shared" si="39"/>
        <v>0</v>
      </c>
      <c r="AO143" s="99">
        <f>IF(OR(ISBLANK(AO129),AO129=0),0,AL143*AG143*AG129)</f>
        <v>0</v>
      </c>
      <c r="AP143" s="1617" t="str">
        <f>IF(AF143="","",IF(COUNTIF(AI150:AP150,SUBSTITUTE(TRIM(AF143)," (s)",""))+COUNTIF(AI152:AP152,SUBSTITUTE(TRIM(AF143)," (s)",""))&gt;0,IF(ROUND(AO143,3)&gt;=1,ROUND(AO143,3)&amp;" L",MAX(1,ROUND(AO143*100,0))&amp;" cl"),IF(COUNTIF(AB150:AG150,SUBSTITUTE(TRIM(AF143)," (s)",""))+COUNTIF(AB152:AG152,SUBSTITUTE(TRIM(AF143)," (s)",""))&gt;0,IF(ROUND(AO143,3)&gt;=1,ROUND(AO143,3)&amp;" Kg",MAX(1,ROUND(AO143*1000,0))&amp;" g"),"")))</f>
        <v/>
      </c>
      <c r="AR143" s="103" t="str">
        <f t="shared" si="40"/>
        <v>►</v>
      </c>
      <c r="AS143" s="31" t="str">
        <f>AS130</f>
        <v>N NOMBRE DE SU RECETA | pegue esto — FAMILIA| Auteur &gt; VOUS</v>
      </c>
      <c r="AT143" s="32">
        <f>AT130</f>
        <v>1</v>
      </c>
      <c r="AU143" s="31" t="str">
        <f>AU130</f>
        <v>coupe</v>
      </c>
      <c r="AV143" s="33" t="str">
        <f>AV130</f>
        <v>Receta madre ► MILLE-FEUILLE  aux fraises des bois</v>
      </c>
      <c r="AW143" s="89"/>
      <c r="AX143" s="108"/>
      <c r="AY143" s="91" t="str">
        <f t="shared" si="36"/>
        <v/>
      </c>
      <c r="AZ143" s="92"/>
      <c r="BA143" s="128"/>
      <c r="BB143" s="130">
        <v>1</v>
      </c>
      <c r="BC143" s="1813" t="str">
        <f>ROWS(BC134:BC143)&amp;" ►"</f>
        <v>10 ►</v>
      </c>
      <c r="BD143" s="1580"/>
      <c r="BE143" s="95">
        <f>IF(BG149=0,0,(BG143/BG149)*BF133*1000)</f>
        <v>0</v>
      </c>
      <c r="BF143" s="105">
        <f>IF(BG149=0, 0, (AW143*BB143)/(BG149*BF133))</f>
        <v>0</v>
      </c>
      <c r="BG143" s="97" cm="1">
        <f t="array" ref="BG143">IFERROR(_xlfn.XLOOKUP(UPPER(TRIM(BA143)),UPPER(TRIM(AW150:BK150)),AW151:BK151,_xlfn.XLOOKUP(UPPER(TRIM(BA143)),UPPER(TRIM(AW152:BK152)),AW153:BK153,0))*AZ143*IF(AW143&gt;0,AW143,1),0)</f>
        <v>0</v>
      </c>
      <c r="BH143" s="110">
        <f>IF(BJ129&lt;&gt;0,AW143*BB143*BB129,0)</f>
        <v>0</v>
      </c>
      <c r="BI143" s="1748">
        <f t="shared" si="41"/>
        <v>0</v>
      </c>
      <c r="BJ143" s="99">
        <f>IF(OR(ISBLANK(BJ129),BJ129=0),0,BG143*BB143*BB129)</f>
        <v>0</v>
      </c>
      <c r="BK143" s="1617" t="str">
        <f>IF(BA143="","",IF(COUNTIF(BD150:BK150,SUBSTITUTE(TRIM(BA143)," (s)",""))+COUNTIF(BD152:BK152,SUBSTITUTE(TRIM(BA143)," (s)",""))&gt;0,IF(ROUND(BJ143,3)&gt;=1,ROUND(BJ143,3)&amp;" L",MAX(1,ROUND(BJ143*100,0))&amp;" cl"),IF(COUNTIF(AW150:BB150,SUBSTITUTE(TRIM(BA143)," (s)",""))+COUNTIF(AW152:BB152,SUBSTITUTE(TRIM(BA143)," (s)",""))&gt;0,IF(ROUND(BJ143,3)&gt;=1,ROUND(BJ143,3)&amp;" Kg",MAX(1,ROUND(BJ143*1000,0))&amp;" g"),"")))</f>
        <v/>
      </c>
      <c r="BM143" s="3">
        <v>1</v>
      </c>
    </row>
    <row r="144" spans="2:65" ht="21" customHeight="1">
      <c r="B144" s="103" t="str">
        <f t="shared" si="42"/>
        <v>►</v>
      </c>
      <c r="C144" s="31" t="str">
        <f>C130</f>
        <v>N NOM DE VOTRE RECETTE | collez la--FAMILLE| Auteur &gt; VOUS</v>
      </c>
      <c r="D144" s="32">
        <f>D130</f>
        <v>1</v>
      </c>
      <c r="E144" s="31" t="str">
        <f>E130</f>
        <v>coupe</v>
      </c>
      <c r="F144" s="33" t="str">
        <f>F130</f>
        <v>Recette mère ► MILLE-FEUILLE  aux fraises des bois</v>
      </c>
      <c r="G144" s="89"/>
      <c r="H144" s="108"/>
      <c r="I144" s="91" t="str">
        <f t="shared" si="34"/>
        <v/>
      </c>
      <c r="J144" s="92"/>
      <c r="K144" s="128"/>
      <c r="L144" s="130">
        <v>1</v>
      </c>
      <c r="M144" s="1813" t="str">
        <f>ROWS(M134:M144)&amp;" ►"</f>
        <v>11 ►</v>
      </c>
      <c r="N144" s="1580"/>
      <c r="O144" s="95">
        <f>IF(Q149=0,0,(Q144/Q149)*P133*1000)</f>
        <v>0</v>
      </c>
      <c r="P144" s="105">
        <f>IF(Q149=0, 0, (G144*L144)/(Q149*P133))</f>
        <v>0</v>
      </c>
      <c r="Q144" s="97" cm="1">
        <f t="array" ref="Q144">IFERROR(_xlfn.XLOOKUP(UPPER(TRIM(K144)),UPPER(TRIM(G150:U150)),G151:U151,_xlfn.XLOOKUP(UPPER(TRIM(K144)),UPPER(TRIM(G152:U152)),G153:U153,0))*J144*IF(G144&gt;0,G144,1),0)</f>
        <v>0</v>
      </c>
      <c r="R144" s="106">
        <f>IF(T129&lt;&gt;0,G144*L144*L129,0)</f>
        <v>0</v>
      </c>
      <c r="S144" s="1747">
        <f t="shared" si="37"/>
        <v>0</v>
      </c>
      <c r="T144" s="99">
        <f>IF(OR(ISBLANK(T129),T129=0),0,Q144*L144*L129)</f>
        <v>0</v>
      </c>
      <c r="U144" s="1367" t="str">
        <f>IF(K144="","",IF(COUNTIF(N150:U150,SUBSTITUTE(TRIM(K144)," (s)",""))+COUNTIF(N152:U152,SUBSTITUTE(TRIM(K144)," (s)",""))&gt;0,IF(ROUND(T144,3)&gt;=1,ROUND(T144,3)&amp;" L",MAX(1,ROUND(T144*100,0))&amp;" cl"),IF(COUNTIF(G150:L150,SUBSTITUTE(TRIM(K144)," (s)",""))+COUNTIF(G152:L152,SUBSTITUTE(TRIM(K144)," (s)",""))&gt;0,IF(ROUND(T144,3)&gt;=1,ROUND(T144,3)&amp;" Kg",MAX(1,ROUND(T144*1000,0))&amp;" g"),"")))</f>
        <v/>
      </c>
      <c r="W144" s="103" t="str">
        <f t="shared" si="38"/>
        <v>►</v>
      </c>
      <c r="X144" s="31" t="str">
        <f>X130</f>
        <v>N NAME OF YOUR RECIPE | paste it — FAMILY|  Author &gt; YOU</v>
      </c>
      <c r="Y144" s="32">
        <f>Y130</f>
        <v>1</v>
      </c>
      <c r="Z144" s="31" t="str">
        <f>Z130</f>
        <v>coupe</v>
      </c>
      <c r="AA144" s="33" t="str">
        <f>AA130</f>
        <v>Master recipe ► MILLE-FEUILLE  aux fraises des bois</v>
      </c>
      <c r="AB144" s="89"/>
      <c r="AC144" s="108"/>
      <c r="AD144" s="91" t="str">
        <f t="shared" si="35"/>
        <v/>
      </c>
      <c r="AE144" s="92"/>
      <c r="AF144" s="128"/>
      <c r="AG144" s="130">
        <v>1</v>
      </c>
      <c r="AH144" s="1813" t="str">
        <f>ROWS(AH134:AH144)&amp;" ►"</f>
        <v>11 ►</v>
      </c>
      <c r="AI144" s="1580"/>
      <c r="AJ144" s="95">
        <f>IF(AL149=0,0,(AL144/AL149)*AK133*1000)</f>
        <v>0</v>
      </c>
      <c r="AK144" s="105">
        <f>IF(AL149=0, 0, (AB144*AG144)/(AL149*AK133))</f>
        <v>0</v>
      </c>
      <c r="AL144" s="97" cm="1">
        <f t="array" ref="AL144">IFERROR(_xlfn.XLOOKUP(UPPER(TRIM(AF144)),UPPER(TRIM(AB150:AP150)),AB151:AP151,_xlfn.XLOOKUP(UPPER(TRIM(AF144)),UPPER(TRIM(AB152:AP152)),AB153:AP153,0))*AE144*IF(AB144&gt;0,AB144,1),0)</f>
        <v>0</v>
      </c>
      <c r="AM144" s="106">
        <f>IF(AO129&lt;&gt;0,AB144*AG144*AG129,0)</f>
        <v>0</v>
      </c>
      <c r="AN144" s="1747">
        <f t="shared" si="39"/>
        <v>0</v>
      </c>
      <c r="AO144" s="99">
        <f>IF(OR(ISBLANK(AO129),AO129=0),0,AL144*AG144*AG129)</f>
        <v>0</v>
      </c>
      <c r="AP144" s="1367" t="str">
        <f>IF(AF144="","",IF(COUNTIF(AI150:AP150,SUBSTITUTE(TRIM(AF144)," (s)",""))+COUNTIF(AI152:AP152,SUBSTITUTE(TRIM(AF144)," (s)",""))&gt;0,IF(ROUND(AO144,3)&gt;=1,ROUND(AO144,3)&amp;" L",MAX(1,ROUND(AO144*100,0))&amp;" cl"),IF(COUNTIF(AB150:AG150,SUBSTITUTE(TRIM(AF144)," (s)",""))+COUNTIF(AB152:AG152,SUBSTITUTE(TRIM(AF144)," (s)",""))&gt;0,IF(ROUND(AO144,3)&gt;=1,ROUND(AO144,3)&amp;" Kg",MAX(1,ROUND(AO144*1000,0))&amp;" g"),"")))</f>
        <v/>
      </c>
      <c r="AR144" s="103" t="str">
        <f t="shared" si="40"/>
        <v>►</v>
      </c>
      <c r="AS144" s="31" t="str">
        <f>AS130</f>
        <v>N NOMBRE DE SU RECETA | pegue esto — FAMILIA| Auteur &gt; VOUS</v>
      </c>
      <c r="AT144" s="32">
        <f>AT130</f>
        <v>1</v>
      </c>
      <c r="AU144" s="31" t="str">
        <f>AU130</f>
        <v>coupe</v>
      </c>
      <c r="AV144" s="33" t="str">
        <f>AV130</f>
        <v>Receta madre ► MILLE-FEUILLE  aux fraises des bois</v>
      </c>
      <c r="AW144" s="89"/>
      <c r="AX144" s="108"/>
      <c r="AY144" s="91" t="str">
        <f t="shared" si="36"/>
        <v/>
      </c>
      <c r="AZ144" s="92"/>
      <c r="BA144" s="128"/>
      <c r="BB144" s="130">
        <v>1</v>
      </c>
      <c r="BC144" s="1813" t="str">
        <f>ROWS(BC134:BC144)&amp;" ►"</f>
        <v>11 ►</v>
      </c>
      <c r="BD144" s="1580"/>
      <c r="BE144" s="95">
        <f>IF(BG149=0,0,(BG144/BG149)*BF133*1000)</f>
        <v>0</v>
      </c>
      <c r="BF144" s="105">
        <f>IF(BG149=0, 0, (AW144*BB144)/(BG149*BF133))</f>
        <v>0</v>
      </c>
      <c r="BG144" s="97" cm="1">
        <f t="array" ref="BG144">IFERROR(_xlfn.XLOOKUP(UPPER(TRIM(BA144)),UPPER(TRIM(AW150:BK150)),AW151:BK151,_xlfn.XLOOKUP(UPPER(TRIM(BA144)),UPPER(TRIM(AW152:BK152)),AW153:BK153,0))*AZ144*IF(AW144&gt;0,AW144,1),0)</f>
        <v>0</v>
      </c>
      <c r="BH144" s="106">
        <f>IF(BJ129&lt;&gt;0,AW144*BB144*BB129,0)</f>
        <v>0</v>
      </c>
      <c r="BI144" s="1747">
        <f t="shared" si="41"/>
        <v>0</v>
      </c>
      <c r="BJ144" s="99">
        <f>IF(OR(ISBLANK(BJ129),BJ129=0),0,BG144*BB144*BB129)</f>
        <v>0</v>
      </c>
      <c r="BK144" s="1367" t="str">
        <f>IF(BA144="","",IF(COUNTIF(BD150:BK150,SUBSTITUTE(TRIM(BA144)," (s)",""))+COUNTIF(BD152:BK152,SUBSTITUTE(TRIM(BA144)," (s)",""))&gt;0,IF(ROUND(BJ144,3)&gt;=1,ROUND(BJ144,3)&amp;" L",MAX(1,ROUND(BJ144*100,0))&amp;" cl"),IF(COUNTIF(AW150:BB150,SUBSTITUTE(TRIM(BA144)," (s)",""))+COUNTIF(AW152:BB152,SUBSTITUTE(TRIM(BA144)," (s)",""))&gt;0,IF(ROUND(BJ144,3)&gt;=1,ROUND(BJ144,3)&amp;" Kg",MAX(1,ROUND(BJ144*1000,0))&amp;" g"),"")))</f>
        <v/>
      </c>
      <c r="BM144" s="3">
        <v>1</v>
      </c>
    </row>
    <row r="145" spans="2:65" ht="21" customHeight="1">
      <c r="B145" s="103" t="str">
        <f t="shared" si="42"/>
        <v>►</v>
      </c>
      <c r="C145" s="31" t="str">
        <f>C130</f>
        <v>N NOM DE VOTRE RECETTE | collez la--FAMILLE| Auteur &gt; VOUS</v>
      </c>
      <c r="D145" s="32">
        <f>D130</f>
        <v>1</v>
      </c>
      <c r="E145" s="31" t="str">
        <f>E130</f>
        <v>coupe</v>
      </c>
      <c r="F145" s="33" t="str">
        <f>F130</f>
        <v>Recette mère ► MILLE-FEUILLE  aux fraises des bois</v>
      </c>
      <c r="G145" s="89"/>
      <c r="H145" s="108"/>
      <c r="I145" s="91" t="str">
        <f t="shared" si="34"/>
        <v/>
      </c>
      <c r="J145" s="92"/>
      <c r="K145" s="128"/>
      <c r="L145" s="130">
        <v>1</v>
      </c>
      <c r="M145" s="1813" t="str">
        <f>ROWS(M134:M145)&amp;" ►"</f>
        <v>12 ►</v>
      </c>
      <c r="N145" s="1580"/>
      <c r="O145" s="95">
        <f>IF(Q149=0,0,(Q145/Q149)*P133*1000)</f>
        <v>0</v>
      </c>
      <c r="P145" s="105">
        <f>IF(Q149=0, 0, (G145*L145)/(Q149*P133))</f>
        <v>0</v>
      </c>
      <c r="Q145" s="97" cm="1">
        <f t="array" ref="Q145">IFERROR(_xlfn.XLOOKUP(UPPER(TRIM(K145)),UPPER(TRIM(G150:U150)),G151:U151,_xlfn.XLOOKUP(UPPER(TRIM(K145)),UPPER(TRIM(G152:U152)),G153:U153,0))*J145*IF(G145&gt;0,G145,1),0)</f>
        <v>0</v>
      </c>
      <c r="R145" s="110">
        <f>IF(T129&lt;&gt;0,G145*L145*L129,0)</f>
        <v>0</v>
      </c>
      <c r="S145" s="1748">
        <f t="shared" si="37"/>
        <v>0</v>
      </c>
      <c r="T145" s="99">
        <f>IF(OR(ISBLANK(T129),T129=0),0,Q145*L145*L129)</f>
        <v>0</v>
      </c>
      <c r="U145" s="1617" t="str">
        <f>IF(K145="","",IF(COUNTIF(N150:U150,SUBSTITUTE(TRIM(K145)," (s)",""))+COUNTIF(N152:U152,SUBSTITUTE(TRIM(K145)," (s)",""))&gt;0,IF(ROUND(T145,3)&gt;=1,ROUND(T145,3)&amp;" L",MAX(1,ROUND(T145*100,0))&amp;" cl"),IF(COUNTIF(G150:L150,SUBSTITUTE(TRIM(K145)," (s)",""))+COUNTIF(G152:L152,SUBSTITUTE(TRIM(K145)," (s)",""))&gt;0,IF(ROUND(T145,3)&gt;=1,ROUND(T145,3)&amp;" Kg",MAX(1,ROUND(T145*1000,0))&amp;" g"),"")))</f>
        <v/>
      </c>
      <c r="W145" s="103" t="str">
        <f t="shared" si="38"/>
        <v>►</v>
      </c>
      <c r="X145" s="31" t="str">
        <f>X130</f>
        <v>N NAME OF YOUR RECIPE | paste it — FAMILY|  Author &gt; YOU</v>
      </c>
      <c r="Y145" s="32">
        <f>Y130</f>
        <v>1</v>
      </c>
      <c r="Z145" s="31" t="str">
        <f>Z130</f>
        <v>coupe</v>
      </c>
      <c r="AA145" s="33" t="str">
        <f>AA130</f>
        <v>Master recipe ► MILLE-FEUILLE  aux fraises des bois</v>
      </c>
      <c r="AB145" s="89"/>
      <c r="AC145" s="108"/>
      <c r="AD145" s="91" t="str">
        <f t="shared" si="35"/>
        <v/>
      </c>
      <c r="AE145" s="92"/>
      <c r="AF145" s="128"/>
      <c r="AG145" s="130">
        <v>1</v>
      </c>
      <c r="AH145" s="1813" t="str">
        <f>ROWS(AH134:AH145)&amp;" ►"</f>
        <v>12 ►</v>
      </c>
      <c r="AI145" s="1580"/>
      <c r="AJ145" s="95">
        <f>IF(AL149=0,0,(AL145/AL149)*AK133*1000)</f>
        <v>0</v>
      </c>
      <c r="AK145" s="105">
        <f>IF(AL149=0, 0, (AB145*AG145)/(AL149*AK133))</f>
        <v>0</v>
      </c>
      <c r="AL145" s="97" cm="1">
        <f t="array" ref="AL145">IFERROR(_xlfn.XLOOKUP(UPPER(TRIM(AF145)),UPPER(TRIM(AB150:AP150)),AB151:AP151,_xlfn.XLOOKUP(UPPER(TRIM(AF145)),UPPER(TRIM(AB152:AP152)),AB153:AP153,0))*AE145*IF(AB145&gt;0,AB145,1),0)</f>
        <v>0</v>
      </c>
      <c r="AM145" s="110">
        <f>IF(AO129&lt;&gt;0,AB145*AG145*AG129,0)</f>
        <v>0</v>
      </c>
      <c r="AN145" s="1748">
        <f t="shared" si="39"/>
        <v>0</v>
      </c>
      <c r="AO145" s="99">
        <f>IF(OR(ISBLANK(AO129),AO129=0),0,AL145*AG145*AG129)</f>
        <v>0</v>
      </c>
      <c r="AP145" s="1617" t="str">
        <f>IF(AF145="","",IF(COUNTIF(AI150:AP150,SUBSTITUTE(TRIM(AF145)," (s)",""))+COUNTIF(AI152:AP152,SUBSTITUTE(TRIM(AF145)," (s)",""))&gt;0,IF(ROUND(AO145,3)&gt;=1,ROUND(AO145,3)&amp;" L",MAX(1,ROUND(AO145*100,0))&amp;" cl"),IF(COUNTIF(AB150:AG150,SUBSTITUTE(TRIM(AF145)," (s)",""))+COUNTIF(AB152:AG152,SUBSTITUTE(TRIM(AF145)," (s)",""))&gt;0,IF(ROUND(AO145,3)&gt;=1,ROUND(AO145,3)&amp;" Kg",MAX(1,ROUND(AO145*1000,0))&amp;" g"),"")))</f>
        <v/>
      </c>
      <c r="AR145" s="103" t="str">
        <f t="shared" si="40"/>
        <v>►</v>
      </c>
      <c r="AS145" s="31" t="str">
        <f>AS130</f>
        <v>N NOMBRE DE SU RECETA | pegue esto — FAMILIA| Auteur &gt; VOUS</v>
      </c>
      <c r="AT145" s="32">
        <f>AT130</f>
        <v>1</v>
      </c>
      <c r="AU145" s="31" t="str">
        <f>AU130</f>
        <v>coupe</v>
      </c>
      <c r="AV145" s="33" t="str">
        <f>AV130</f>
        <v>Receta madre ► MILLE-FEUILLE  aux fraises des bois</v>
      </c>
      <c r="AW145" s="89"/>
      <c r="AX145" s="108"/>
      <c r="AY145" s="91" t="str">
        <f t="shared" si="36"/>
        <v/>
      </c>
      <c r="AZ145" s="92"/>
      <c r="BA145" s="128"/>
      <c r="BB145" s="130">
        <v>1</v>
      </c>
      <c r="BC145" s="1813" t="str">
        <f>ROWS(BC134:BC145)&amp;" ►"</f>
        <v>12 ►</v>
      </c>
      <c r="BD145" s="1580"/>
      <c r="BE145" s="95">
        <f>IF(BG149=0,0,(BG145/BG149)*BF133*1000)</f>
        <v>0</v>
      </c>
      <c r="BF145" s="105">
        <f>IF(BG149=0, 0, (AW145*BB145)/(BG149*BF133))</f>
        <v>0</v>
      </c>
      <c r="BG145" s="97" cm="1">
        <f t="array" ref="BG145">IFERROR(_xlfn.XLOOKUP(UPPER(TRIM(BA145)),UPPER(TRIM(AW150:BK150)),AW151:BK151,_xlfn.XLOOKUP(UPPER(TRIM(BA145)),UPPER(TRIM(AW152:BK152)),AW153:BK153,0))*AZ145*IF(AW145&gt;0,AW145,1),0)</f>
        <v>0</v>
      </c>
      <c r="BH145" s="110">
        <f>IF(BJ129&lt;&gt;0,AW145*BB145*BB129,0)</f>
        <v>0</v>
      </c>
      <c r="BI145" s="1748">
        <f t="shared" si="41"/>
        <v>0</v>
      </c>
      <c r="BJ145" s="99">
        <f>IF(OR(ISBLANK(BJ129),BJ129=0),0,BG145*BB145*BB129)</f>
        <v>0</v>
      </c>
      <c r="BK145" s="1617" t="str">
        <f>IF(BA145="","",IF(COUNTIF(BD150:BK150,SUBSTITUTE(TRIM(BA145)," (s)",""))+COUNTIF(BD152:BK152,SUBSTITUTE(TRIM(BA145)," (s)",""))&gt;0,IF(ROUND(BJ145,3)&gt;=1,ROUND(BJ145,3)&amp;" L",MAX(1,ROUND(BJ145*100,0))&amp;" cl"),IF(COUNTIF(AW150:BB150,SUBSTITUTE(TRIM(BA145)," (s)",""))+COUNTIF(AW152:BB152,SUBSTITUTE(TRIM(BA145)," (s)",""))&gt;0,IF(ROUND(BJ145,3)&gt;=1,ROUND(BJ145,3)&amp;" Kg",MAX(1,ROUND(BJ145*1000,0))&amp;" g"),"")))</f>
        <v/>
      </c>
      <c r="BM145" s="3">
        <v>1</v>
      </c>
    </row>
    <row r="146" spans="2:65" ht="21" customHeight="1">
      <c r="B146" s="103" t="str">
        <f t="shared" si="42"/>
        <v>►</v>
      </c>
      <c r="C146" s="31" t="str">
        <f>C130</f>
        <v>N NOM DE VOTRE RECETTE | collez la--FAMILLE| Auteur &gt; VOUS</v>
      </c>
      <c r="D146" s="32">
        <f>D130</f>
        <v>1</v>
      </c>
      <c r="E146" s="31" t="str">
        <f>E130</f>
        <v>coupe</v>
      </c>
      <c r="F146" s="33" t="str">
        <f>F130</f>
        <v>Recette mère ► MILLE-FEUILLE  aux fraises des bois</v>
      </c>
      <c r="G146" s="89"/>
      <c r="H146" s="108"/>
      <c r="I146" s="91" t="str">
        <f t="shared" si="34"/>
        <v/>
      </c>
      <c r="J146" s="92"/>
      <c r="K146" s="128"/>
      <c r="L146" s="130">
        <v>1</v>
      </c>
      <c r="M146" s="1813" t="str">
        <f>ROWS(M134:M146)&amp;" ►"</f>
        <v>13 ►</v>
      </c>
      <c r="N146" s="1580"/>
      <c r="O146" s="95">
        <f>IF(Q149=0,0,(Q146/Q149)*P133*1000)</f>
        <v>0</v>
      </c>
      <c r="P146" s="105">
        <f>IF(Q149=0, 0, (G146*L146)/(Q149*P133))</f>
        <v>0</v>
      </c>
      <c r="Q146" s="97" cm="1">
        <f t="array" ref="Q146">IFERROR(_xlfn.XLOOKUP(UPPER(TRIM(K146)),UPPER(TRIM(G150:U150)),G151:U151,_xlfn.XLOOKUP(UPPER(TRIM(K146)),UPPER(TRIM(G152:U152)),G153:U153,0))*J146*IF(G146&gt;0,G146,1),0)</f>
        <v>0</v>
      </c>
      <c r="R146" s="106">
        <f>IF(T129&lt;&gt;0,G146*L146*L129,0)</f>
        <v>0</v>
      </c>
      <c r="S146" s="1747">
        <f t="shared" si="37"/>
        <v>0</v>
      </c>
      <c r="T146" s="99">
        <f>IF(OR(ISBLANK(T129),T129=0),0,Q146*L146*L129)</f>
        <v>0</v>
      </c>
      <c r="U146" s="1367" t="str">
        <f>IF(K146="","",IF(COUNTIF(N150:U150,SUBSTITUTE(TRIM(K146)," (s)",""))+COUNTIF(N152:U152,SUBSTITUTE(TRIM(K146)," (s)",""))&gt;0,IF(ROUND(T146,3)&gt;=1,ROUND(T146,3)&amp;" L",MAX(1,ROUND(T146*100,0))&amp;" cl"),IF(COUNTIF(G150:L150,SUBSTITUTE(TRIM(K146)," (s)",""))+COUNTIF(G152:L152,SUBSTITUTE(TRIM(K146)," (s)",""))&gt;0,IF(ROUND(T146,3)&gt;=1,ROUND(T146,3)&amp;" Kg",MAX(1,ROUND(T146*1000,0))&amp;" g"),"")))</f>
        <v/>
      </c>
      <c r="W146" s="103" t="str">
        <f t="shared" si="38"/>
        <v>►</v>
      </c>
      <c r="X146" s="31" t="str">
        <f>X130</f>
        <v>N NAME OF YOUR RECIPE | paste it — FAMILY|  Author &gt; YOU</v>
      </c>
      <c r="Y146" s="32">
        <f>Y130</f>
        <v>1</v>
      </c>
      <c r="Z146" s="31" t="str">
        <f>Z130</f>
        <v>coupe</v>
      </c>
      <c r="AA146" s="33" t="str">
        <f>AA130</f>
        <v>Master recipe ► MILLE-FEUILLE  aux fraises des bois</v>
      </c>
      <c r="AB146" s="89"/>
      <c r="AC146" s="108"/>
      <c r="AD146" s="91" t="str">
        <f t="shared" si="35"/>
        <v/>
      </c>
      <c r="AE146" s="92"/>
      <c r="AF146" s="128"/>
      <c r="AG146" s="130">
        <v>1</v>
      </c>
      <c r="AH146" s="1813" t="str">
        <f>ROWS(AH134:AH146)&amp;" ►"</f>
        <v>13 ►</v>
      </c>
      <c r="AI146" s="1580"/>
      <c r="AJ146" s="95">
        <f>IF(AL149=0,0,(AL146/AL149)*AK133*1000)</f>
        <v>0</v>
      </c>
      <c r="AK146" s="105">
        <f>IF(AL149=0, 0, (AB146*AG146)/(AL149*AK133))</f>
        <v>0</v>
      </c>
      <c r="AL146" s="97" cm="1">
        <f t="array" ref="AL146">IFERROR(_xlfn.XLOOKUP(UPPER(TRIM(AF146)),UPPER(TRIM(AB150:AP150)),AB151:AP151,_xlfn.XLOOKUP(UPPER(TRIM(AF146)),UPPER(TRIM(AB152:AP152)),AB153:AP153,0))*AE146*IF(AB146&gt;0,AB146,1),0)</f>
        <v>0</v>
      </c>
      <c r="AM146" s="106">
        <f>IF(AO129&lt;&gt;0,AB146*AG146*AG129,0)</f>
        <v>0</v>
      </c>
      <c r="AN146" s="1747">
        <f t="shared" si="39"/>
        <v>0</v>
      </c>
      <c r="AO146" s="99">
        <f>IF(OR(ISBLANK(AO129),AO129=0),0,AL146*AG146*AG129)</f>
        <v>0</v>
      </c>
      <c r="AP146" s="1367" t="str">
        <f>IF(AF146="","",IF(COUNTIF(AI150:AP150,SUBSTITUTE(TRIM(AF146)," (s)",""))+COUNTIF(AI152:AP152,SUBSTITUTE(TRIM(AF146)," (s)",""))&gt;0,IF(ROUND(AO146,3)&gt;=1,ROUND(AO146,3)&amp;" L",MAX(1,ROUND(AO146*100,0))&amp;" cl"),IF(COUNTIF(AB150:AG150,SUBSTITUTE(TRIM(AF146)," (s)",""))+COUNTIF(AB152:AG152,SUBSTITUTE(TRIM(AF146)," (s)",""))&gt;0,IF(ROUND(AO146,3)&gt;=1,ROUND(AO146,3)&amp;" Kg",MAX(1,ROUND(AO146*1000,0))&amp;" g"),"")))</f>
        <v/>
      </c>
      <c r="AR146" s="103" t="str">
        <f t="shared" si="40"/>
        <v>►</v>
      </c>
      <c r="AS146" s="31" t="str">
        <f>AS130</f>
        <v>N NOMBRE DE SU RECETA | pegue esto — FAMILIA| Auteur &gt; VOUS</v>
      </c>
      <c r="AT146" s="32">
        <f>AT130</f>
        <v>1</v>
      </c>
      <c r="AU146" s="31" t="str">
        <f>AU130</f>
        <v>coupe</v>
      </c>
      <c r="AV146" s="33" t="str">
        <f>AV130</f>
        <v>Receta madre ► MILLE-FEUILLE  aux fraises des bois</v>
      </c>
      <c r="AW146" s="89"/>
      <c r="AX146" s="108"/>
      <c r="AY146" s="91" t="str">
        <f t="shared" si="36"/>
        <v/>
      </c>
      <c r="AZ146" s="92"/>
      <c r="BA146" s="128"/>
      <c r="BB146" s="130">
        <v>1</v>
      </c>
      <c r="BC146" s="1813" t="str">
        <f>ROWS(BC134:BC146)&amp;" ►"</f>
        <v>13 ►</v>
      </c>
      <c r="BD146" s="1580"/>
      <c r="BE146" s="95">
        <f>IF(BG149=0,0,(BG146/BG149)*BF133*1000)</f>
        <v>0</v>
      </c>
      <c r="BF146" s="105">
        <f>IF(BG149=0, 0, (AW146*BB146)/(BG149*BF133))</f>
        <v>0</v>
      </c>
      <c r="BG146" s="97" cm="1">
        <f t="array" ref="BG146">IFERROR(_xlfn.XLOOKUP(UPPER(TRIM(BA146)),UPPER(TRIM(AW150:BK150)),AW151:BK151,_xlfn.XLOOKUP(UPPER(TRIM(BA146)),UPPER(TRIM(AW152:BK152)),AW153:BK153,0))*AZ146*IF(AW146&gt;0,AW146,1),0)</f>
        <v>0</v>
      </c>
      <c r="BH146" s="106">
        <f>IF(BJ129&lt;&gt;0,AW146*BB146*BB129,0)</f>
        <v>0</v>
      </c>
      <c r="BI146" s="1747">
        <f t="shared" si="41"/>
        <v>0</v>
      </c>
      <c r="BJ146" s="99">
        <f>IF(OR(ISBLANK(BJ129),BJ129=0),0,BG146*BB146*BB129)</f>
        <v>0</v>
      </c>
      <c r="BK146" s="1367" t="str">
        <f>IF(BA146="","",IF(COUNTIF(BD150:BK150,SUBSTITUTE(TRIM(BA146)," (s)",""))+COUNTIF(BD152:BK152,SUBSTITUTE(TRIM(BA146)," (s)",""))&gt;0,IF(ROUND(BJ146,3)&gt;=1,ROUND(BJ146,3)&amp;" L",MAX(1,ROUND(BJ146*100,0))&amp;" cl"),IF(COUNTIF(AW150:BB150,SUBSTITUTE(TRIM(BA146)," (s)",""))+COUNTIF(AW152:BB152,SUBSTITUTE(TRIM(BA146)," (s)",""))&gt;0,IF(ROUND(BJ146,3)&gt;=1,ROUND(BJ146,3)&amp;" Kg",MAX(1,ROUND(BJ146*1000,0))&amp;" g"),"")))</f>
        <v/>
      </c>
      <c r="BM146" s="3">
        <v>1</v>
      </c>
    </row>
    <row r="147" spans="2:65" ht="21" customHeight="1">
      <c r="B147" s="103" t="str">
        <f t="shared" si="42"/>
        <v>►</v>
      </c>
      <c r="C147" s="31" t="str">
        <f>C130</f>
        <v>N NOM DE VOTRE RECETTE | collez la--FAMILLE| Auteur &gt; VOUS</v>
      </c>
      <c r="D147" s="32">
        <f>D130</f>
        <v>1</v>
      </c>
      <c r="E147" s="31" t="str">
        <f>E130</f>
        <v>coupe</v>
      </c>
      <c r="F147" s="33" t="str">
        <f>F130</f>
        <v>Recette mère ► MILLE-FEUILLE  aux fraises des bois</v>
      </c>
      <c r="G147" s="89"/>
      <c r="H147" s="108"/>
      <c r="I147" s="91" t="str">
        <f t="shared" si="34"/>
        <v/>
      </c>
      <c r="J147" s="92"/>
      <c r="K147" s="128"/>
      <c r="L147" s="130">
        <v>1</v>
      </c>
      <c r="M147" s="1813" t="str">
        <f>ROWS(M134:M147)&amp;" ►"</f>
        <v>14 ►</v>
      </c>
      <c r="N147" s="1580"/>
      <c r="O147" s="95">
        <f>IF(Q149=0,0,(Q147/Q149)*P133*1000)</f>
        <v>0</v>
      </c>
      <c r="P147" s="105">
        <f>IF(Q149=0, 0, (G147*L147)/(Q149*P133))</f>
        <v>0</v>
      </c>
      <c r="Q147" s="97" cm="1">
        <f t="array" ref="Q147">IFERROR(_xlfn.XLOOKUP(UPPER(TRIM(K147)),UPPER(TRIM(G150:U150)),G151:U151,_xlfn.XLOOKUP(UPPER(TRIM(K147)),UPPER(TRIM(G152:U152)),G153:U153,0))*J147*IF(G147&gt;0,G147,1),0)</f>
        <v>0</v>
      </c>
      <c r="R147" s="110">
        <f>IF(T129&lt;&gt;0,G147*L147*L129,0)</f>
        <v>0</v>
      </c>
      <c r="S147" s="1748">
        <f t="shared" si="37"/>
        <v>0</v>
      </c>
      <c r="T147" s="99">
        <f>IF(OR(ISBLANK(T129),T129=0),0,Q147*L147*L129)</f>
        <v>0</v>
      </c>
      <c r="U147" s="1617" t="str">
        <f>IF(K147="","",IF(COUNTIF(N150:U150,SUBSTITUTE(TRIM(K147)," (s)",""))+COUNTIF(N152:U152,SUBSTITUTE(TRIM(K147)," (s)",""))&gt;0,IF(ROUND(T147,3)&gt;=1,ROUND(T147,3)&amp;" L",MAX(1,ROUND(T147*100,0))&amp;" cl"),IF(COUNTIF(G150:L150,SUBSTITUTE(TRIM(K147)," (s)",""))+COUNTIF(G152:L152,SUBSTITUTE(TRIM(K147)," (s)",""))&gt;0,IF(ROUND(T147,3)&gt;=1,ROUND(T147,3)&amp;" Kg",MAX(1,ROUND(T147*1000,0))&amp;" g"),"")))</f>
        <v/>
      </c>
      <c r="W147" s="103" t="str">
        <f t="shared" si="38"/>
        <v>►</v>
      </c>
      <c r="X147" s="31" t="str">
        <f>X130</f>
        <v>N NAME OF YOUR RECIPE | paste it — FAMILY|  Author &gt; YOU</v>
      </c>
      <c r="Y147" s="32">
        <f>Y130</f>
        <v>1</v>
      </c>
      <c r="Z147" s="31" t="str">
        <f>Z130</f>
        <v>coupe</v>
      </c>
      <c r="AA147" s="33" t="str">
        <f>AA130</f>
        <v>Master recipe ► MILLE-FEUILLE  aux fraises des bois</v>
      </c>
      <c r="AB147" s="89"/>
      <c r="AC147" s="108"/>
      <c r="AD147" s="91" t="str">
        <f t="shared" si="35"/>
        <v/>
      </c>
      <c r="AE147" s="92"/>
      <c r="AF147" s="128"/>
      <c r="AG147" s="130">
        <v>1</v>
      </c>
      <c r="AH147" s="1813" t="str">
        <f>ROWS(AH134:AH147)&amp;" ►"</f>
        <v>14 ►</v>
      </c>
      <c r="AI147" s="1580"/>
      <c r="AJ147" s="95">
        <f>IF(AL149=0,0,(AL147/AL149)*AK133*1000)</f>
        <v>0</v>
      </c>
      <c r="AK147" s="105">
        <f>IF(AL149=0, 0, (AB147*AG147)/(AL149*AK133))</f>
        <v>0</v>
      </c>
      <c r="AL147" s="97" cm="1">
        <f t="array" ref="AL147">IFERROR(_xlfn.XLOOKUP(UPPER(TRIM(AF147)),UPPER(TRIM(AB150:AP150)),AB151:AP151,_xlfn.XLOOKUP(UPPER(TRIM(AF147)),UPPER(TRIM(AB152:AP152)),AB153:AP153,0))*AE147*IF(AB147&gt;0,AB147,1),0)</f>
        <v>0</v>
      </c>
      <c r="AM147" s="110">
        <f>IF(AO129&lt;&gt;0,AB147*AG147*AG129,0)</f>
        <v>0</v>
      </c>
      <c r="AN147" s="1748">
        <f t="shared" si="39"/>
        <v>0</v>
      </c>
      <c r="AO147" s="99">
        <f>IF(OR(ISBLANK(AO129),AO129=0),0,AL147*AG147*AG129)</f>
        <v>0</v>
      </c>
      <c r="AP147" s="1617" t="str">
        <f>IF(AF147="","",IF(COUNTIF(AI150:AP150,SUBSTITUTE(TRIM(AF147)," (s)",""))+COUNTIF(AI152:AP152,SUBSTITUTE(TRIM(AF147)," (s)",""))&gt;0,IF(ROUND(AO147,3)&gt;=1,ROUND(AO147,3)&amp;" L",MAX(1,ROUND(AO147*100,0))&amp;" cl"),IF(COUNTIF(AB150:AG150,SUBSTITUTE(TRIM(AF147)," (s)",""))+COUNTIF(AB152:AG152,SUBSTITUTE(TRIM(AF147)," (s)",""))&gt;0,IF(ROUND(AO147,3)&gt;=1,ROUND(AO147,3)&amp;" Kg",MAX(1,ROUND(AO147*1000,0))&amp;" g"),"")))</f>
        <v/>
      </c>
      <c r="AR147" s="103" t="str">
        <f t="shared" si="40"/>
        <v>►</v>
      </c>
      <c r="AS147" s="31" t="str">
        <f>AS130</f>
        <v>N NOMBRE DE SU RECETA | pegue esto — FAMILIA| Auteur &gt; VOUS</v>
      </c>
      <c r="AT147" s="32">
        <f>AT130</f>
        <v>1</v>
      </c>
      <c r="AU147" s="31" t="str">
        <f>AU130</f>
        <v>coupe</v>
      </c>
      <c r="AV147" s="33" t="str">
        <f>AV130</f>
        <v>Receta madre ► MILLE-FEUILLE  aux fraises des bois</v>
      </c>
      <c r="AW147" s="89"/>
      <c r="AX147" s="108"/>
      <c r="AY147" s="91" t="str">
        <f t="shared" si="36"/>
        <v/>
      </c>
      <c r="AZ147" s="92"/>
      <c r="BA147" s="128"/>
      <c r="BB147" s="130">
        <v>1</v>
      </c>
      <c r="BC147" s="1813" t="str">
        <f>ROWS(BC134:BC147)&amp;" ►"</f>
        <v>14 ►</v>
      </c>
      <c r="BD147" s="1580"/>
      <c r="BE147" s="95">
        <f>IF(BG149=0,0,(BG147/BG149)*BF133*1000)</f>
        <v>0</v>
      </c>
      <c r="BF147" s="105">
        <f>IF(BG149=0, 0, (AW147*BB147)/(BG149*BF133))</f>
        <v>0</v>
      </c>
      <c r="BG147" s="97" cm="1">
        <f t="array" ref="BG147">IFERROR(_xlfn.XLOOKUP(UPPER(TRIM(BA147)),UPPER(TRIM(AW150:BK150)),AW151:BK151,_xlfn.XLOOKUP(UPPER(TRIM(BA147)),UPPER(TRIM(AW152:BK152)),AW153:BK153,0))*AZ147*IF(AW147&gt;0,AW147,1),0)</f>
        <v>0</v>
      </c>
      <c r="BH147" s="110">
        <f>IF(BJ129&lt;&gt;0,AW147*BB147*BB129,0)</f>
        <v>0</v>
      </c>
      <c r="BI147" s="1748">
        <f t="shared" si="41"/>
        <v>0</v>
      </c>
      <c r="BJ147" s="99">
        <f>IF(OR(ISBLANK(BJ129),BJ129=0),0,BG147*BB147*BB129)</f>
        <v>0</v>
      </c>
      <c r="BK147" s="1617" t="str">
        <f>IF(BA147="","",IF(COUNTIF(BD150:BK150,SUBSTITUTE(TRIM(BA147)," (s)",""))+COUNTIF(BD152:BK152,SUBSTITUTE(TRIM(BA147)," (s)",""))&gt;0,IF(ROUND(BJ147,3)&gt;=1,ROUND(BJ147,3)&amp;" L",MAX(1,ROUND(BJ147*100,0))&amp;" cl"),IF(COUNTIF(AW150:BB150,SUBSTITUTE(TRIM(BA147)," (s)",""))+COUNTIF(AW152:BB152,SUBSTITUTE(TRIM(BA147)," (s)",""))&gt;0,IF(ROUND(BJ147,3)&gt;=1,ROUND(BJ147,3)&amp;" Kg",MAX(1,ROUND(BJ147*1000,0))&amp;" g"),"")))</f>
        <v/>
      </c>
      <c r="BM147" s="3">
        <v>1</v>
      </c>
    </row>
    <row r="148" spans="2:65" ht="21" customHeight="1">
      <c r="B148" s="25" t="s">
        <v>10</v>
      </c>
      <c r="C148" s="31" t="str">
        <f>C130</f>
        <v>N NOM DE VOTRE RECETTE | collez la--FAMILLE| Auteur &gt; VOUS</v>
      </c>
      <c r="D148" s="32">
        <f>D130</f>
        <v>1</v>
      </c>
      <c r="E148" s="31" t="str">
        <f>E130</f>
        <v>coupe</v>
      </c>
      <c r="F148" s="33" t="str">
        <f>F130</f>
        <v>Recette mère ► MILLE-FEUILLE  aux fraises des bois</v>
      </c>
      <c r="G148" s="1198"/>
      <c r="H148" s="1199"/>
      <c r="I148" s="91" t="str">
        <f t="shared" si="34"/>
        <v/>
      </c>
      <c r="J148" s="1200"/>
      <c r="K148" s="128"/>
      <c r="L148" s="1201">
        <v>1</v>
      </c>
      <c r="M148" s="1813" t="str">
        <f>ROWS(M134:M148)&amp;" ►"</f>
        <v>15 ►</v>
      </c>
      <c r="N148" s="1580"/>
      <c r="O148" s="95">
        <f>IF(Q149=0,0,(Q148/Q149)*P133*1000)</f>
        <v>0</v>
      </c>
      <c r="P148" s="105">
        <f>IF(Q149=0, 0, (G148*L148)/(Q149*P133))</f>
        <v>0</v>
      </c>
      <c r="Q148" s="97" cm="1">
        <f t="array" ref="Q148">IFERROR(_xlfn.XLOOKUP(UPPER(TRIM(K148)),UPPER(TRIM(G150:U150)),G151:U151,_xlfn.XLOOKUP(UPPER(TRIM(K148)),UPPER(TRIM(G152:U152)),G153:U153,0))*J148*IF(G148&gt;0,G148,1),0)</f>
        <v>0</v>
      </c>
      <c r="R148" s="110">
        <f>IF(T129&lt;&gt;0,G148*L148*L129,0)</f>
        <v>0</v>
      </c>
      <c r="S148" s="1748">
        <f t="shared" si="37"/>
        <v>0</v>
      </c>
      <c r="T148" s="99">
        <f>IF(OR(ISBLANK(T129),T129=0),0,Q148*L148*L129)</f>
        <v>0</v>
      </c>
      <c r="U148" s="1617" t="str">
        <f>IF(K148="","",IF(COUNTIF(N150:U150,SUBSTITUTE(TRIM(K148)," (s)",""))+COUNTIF(N152:U152,SUBSTITUTE(TRIM(K148)," (s)",""))&gt;0,IF(ROUND(T148,3)&gt;=1,ROUND(T148,3)&amp;" L",MAX(1,ROUND(T148*100,0))&amp;" cl"),IF(COUNTIF(G150:L150,SUBSTITUTE(TRIM(K148)," (s)",""))+COUNTIF(G152:L152,SUBSTITUTE(TRIM(K148)," (s)",""))&gt;0,IF(ROUND(T148,3)&gt;=1,ROUND(T148,3)&amp;" Kg",MAX(1,ROUND(T148*1000,0))&amp;" g"),"")))</f>
        <v/>
      </c>
      <c r="W148" s="25" t="s">
        <v>10</v>
      </c>
      <c r="X148" s="31" t="str">
        <f>X130</f>
        <v>N NAME OF YOUR RECIPE | paste it — FAMILY|  Author &gt; YOU</v>
      </c>
      <c r="Y148" s="32">
        <f>Y130</f>
        <v>1</v>
      </c>
      <c r="Z148" s="31" t="str">
        <f>Z130</f>
        <v>coupe</v>
      </c>
      <c r="AA148" s="33" t="str">
        <f>AA130</f>
        <v>Master recipe ► MILLE-FEUILLE  aux fraises des bois</v>
      </c>
      <c r="AB148" s="1198"/>
      <c r="AC148" s="1199"/>
      <c r="AD148" s="91" t="str">
        <f t="shared" si="35"/>
        <v/>
      </c>
      <c r="AE148" s="1200"/>
      <c r="AF148" s="128"/>
      <c r="AG148" s="1201">
        <v>1</v>
      </c>
      <c r="AH148" s="1813" t="str">
        <f>ROWS(AH134:AH148)&amp;" ►"</f>
        <v>15 ►</v>
      </c>
      <c r="AI148" s="1580"/>
      <c r="AJ148" s="95">
        <f>IF(AL149=0,0,(AL148/AL149)*AK133*1000)</f>
        <v>0</v>
      </c>
      <c r="AK148" s="105">
        <f>IF(AL149=0, 0, (AB148*AG148)/(AL149*AK133))</f>
        <v>0</v>
      </c>
      <c r="AL148" s="97" cm="1">
        <f t="array" ref="AL148">IFERROR(_xlfn.XLOOKUP(UPPER(TRIM(AF148)),UPPER(TRIM(AB150:AP150)),AB151:AP151,_xlfn.XLOOKUP(UPPER(TRIM(AF148)),UPPER(TRIM(AB152:AP152)),AB153:AP153,0))*AE148*IF(AB148&gt;0,AB148,1),0)</f>
        <v>0</v>
      </c>
      <c r="AM148" s="110">
        <f>IF(AO129&lt;&gt;0,AB148*AG148*AG129,0)</f>
        <v>0</v>
      </c>
      <c r="AN148" s="1748">
        <f t="shared" si="39"/>
        <v>0</v>
      </c>
      <c r="AO148" s="99">
        <f>IF(OR(ISBLANK(AO129),AO129=0),0,AL148*AG148*AG129)</f>
        <v>0</v>
      </c>
      <c r="AP148" s="1617" t="str">
        <f>IF(AF148="","",IF(COUNTIF(AI150:AP150,SUBSTITUTE(TRIM(AF148)," (s)",""))+COUNTIF(AI152:AP152,SUBSTITUTE(TRIM(AF148)," (s)",""))&gt;0,IF(ROUND(AO148,3)&gt;=1,ROUND(AO148,3)&amp;" L",MAX(1,ROUND(AO148*100,0))&amp;" cl"),IF(COUNTIF(AB150:AG150,SUBSTITUTE(TRIM(AF148)," (s)",""))+COUNTIF(AB152:AG152,SUBSTITUTE(TRIM(AF148)," (s)",""))&gt;0,IF(ROUND(AO148,3)&gt;=1,ROUND(AO148,3)&amp;" Kg",MAX(1,ROUND(AO148*1000,0))&amp;" g"),"")))</f>
        <v/>
      </c>
      <c r="AR148" s="25" t="s">
        <v>10</v>
      </c>
      <c r="AS148" s="31" t="str">
        <f>AS130</f>
        <v>N NOMBRE DE SU RECETA | pegue esto — FAMILIA| Auteur &gt; VOUS</v>
      </c>
      <c r="AT148" s="32">
        <f>AT130</f>
        <v>1</v>
      </c>
      <c r="AU148" s="31" t="str">
        <f>AU130</f>
        <v>coupe</v>
      </c>
      <c r="AV148" s="33" t="str">
        <f>AV130</f>
        <v>Receta madre ► MILLE-FEUILLE  aux fraises des bois</v>
      </c>
      <c r="AW148" s="1198"/>
      <c r="AX148" s="1199"/>
      <c r="AY148" s="91" t="str">
        <f t="shared" si="36"/>
        <v/>
      </c>
      <c r="AZ148" s="1200"/>
      <c r="BA148" s="128"/>
      <c r="BB148" s="1201">
        <v>1</v>
      </c>
      <c r="BC148" s="1813" t="str">
        <f>ROWS(BC134:BC148)&amp;" ►"</f>
        <v>15 ►</v>
      </c>
      <c r="BD148" s="1580"/>
      <c r="BE148" s="95">
        <f>IF(BG149=0,0,(BG148/BG149)*BF133*1000)</f>
        <v>0</v>
      </c>
      <c r="BF148" s="105">
        <f>IF(BG149=0, 0, (AW148*BB148)/(BG149*BF133))</f>
        <v>0</v>
      </c>
      <c r="BG148" s="97" cm="1">
        <f t="array" ref="BG148">IFERROR(_xlfn.XLOOKUP(UPPER(TRIM(BA148)),UPPER(TRIM(AW150:BK150)),AW151:BK151,_xlfn.XLOOKUP(UPPER(TRIM(BA148)),UPPER(TRIM(AW152:BK152)),AW153:BK153,0))*AZ148*IF(AW148&gt;0,AW148,1),0)</f>
        <v>0</v>
      </c>
      <c r="BH148" s="110">
        <f>IF(BJ129&lt;&gt;0,AW148*BB148*BB129,0)</f>
        <v>0</v>
      </c>
      <c r="BI148" s="1748">
        <f t="shared" si="41"/>
        <v>0</v>
      </c>
      <c r="BJ148" s="99">
        <f>IF(OR(ISBLANK(BJ129),BJ129=0),0,BG148*BB148*BB129)</f>
        <v>0</v>
      </c>
      <c r="BK148" s="1617" t="str">
        <f>IF(BA148="","",IF(COUNTIF(BD150:BK150,SUBSTITUTE(TRIM(BA148)," (s)",""))+COUNTIF(BD152:BK152,SUBSTITUTE(TRIM(BA148)," (s)",""))&gt;0,IF(ROUND(BJ148,3)&gt;=1,ROUND(BJ148,3)&amp;" L",MAX(1,ROUND(BJ148*100,0))&amp;" cl"),IF(COUNTIF(AW150:BB150,SUBSTITUTE(TRIM(BA148)," (s)",""))+COUNTIF(AW152:BB152,SUBSTITUTE(TRIM(BA148)," (s)",""))&gt;0,IF(ROUND(BJ148,3)&gt;=1,ROUND(BJ148,3)&amp;" Kg",MAX(1,ROUND(BJ148*1000,0))&amp;" g"),"")))</f>
        <v/>
      </c>
      <c r="BM148" s="3">
        <v>1</v>
      </c>
    </row>
    <row r="149" spans="2:65" ht="21" customHeight="1">
      <c r="B149" s="25" t="s">
        <v>10</v>
      </c>
      <c r="C149" s="31" t="str">
        <f>C130</f>
        <v>N NOM DE VOTRE RECETTE | collez la--FAMILLE| Auteur &gt; VOUS</v>
      </c>
      <c r="D149" s="32">
        <f>D130</f>
        <v>1</v>
      </c>
      <c r="E149" s="31" t="str">
        <f>E130</f>
        <v>coupe</v>
      </c>
      <c r="F149" s="33" t="str">
        <f>F130</f>
        <v>Recette mère ► MILLE-FEUILLE  aux fraises des bois</v>
      </c>
      <c r="G149" s="680" t="s">
        <v>8411</v>
      </c>
      <c r="H149" s="474"/>
      <c r="I149" s="474"/>
      <c r="J149" s="474"/>
      <c r="K149" s="474"/>
      <c r="L149" s="681"/>
      <c r="M149" s="681"/>
      <c r="N149" s="1984" t="s">
        <v>8652</v>
      </c>
      <c r="O149" s="682"/>
      <c r="P149" s="682"/>
      <c r="Q149" s="1197">
        <f>SUM(Q134:Q148)</f>
        <v>0</v>
      </c>
      <c r="R149" s="683"/>
      <c r="S149" s="683" t="str">
        <f>"Total " &amp; T131&amp;" &gt;"</f>
        <v>Total Col.19 &gt;</v>
      </c>
      <c r="T149" s="1835">
        <f>SUM(T134:T148)</f>
        <v>0</v>
      </c>
      <c r="U149" s="684"/>
      <c r="W149" s="25" t="s">
        <v>10</v>
      </c>
      <c r="X149" s="31" t="str">
        <f>X130</f>
        <v>N NAME OF YOUR RECIPE | paste it — FAMILY|  Author &gt; YOU</v>
      </c>
      <c r="Y149" s="32">
        <f>Y130</f>
        <v>1</v>
      </c>
      <c r="Z149" s="31" t="str">
        <f>Z130</f>
        <v>coupe</v>
      </c>
      <c r="AA149" s="33" t="str">
        <f>AA130</f>
        <v>Master recipe ► MILLE-FEUILLE  aux fraises des bois</v>
      </c>
      <c r="AB149" s="680" t="s">
        <v>8573</v>
      </c>
      <c r="AC149" s="474"/>
      <c r="AD149" s="474"/>
      <c r="AE149" s="474"/>
      <c r="AF149" s="474"/>
      <c r="AG149" s="681"/>
      <c r="AH149" s="681"/>
      <c r="AI149" s="1984" t="s">
        <v>8653</v>
      </c>
      <c r="AJ149" s="682"/>
      <c r="AK149" s="682"/>
      <c r="AL149" s="1197">
        <f>SUM(AL134:AL148)</f>
        <v>0</v>
      </c>
      <c r="AM149" s="683"/>
      <c r="AN149" s="683" t="str">
        <f>"Total " &amp; AO131&amp;" &gt;"</f>
        <v>Total Col.19 &gt;</v>
      </c>
      <c r="AO149" s="1835">
        <f>SUM(AO134:AO148)</f>
        <v>0</v>
      </c>
      <c r="AP149" s="684"/>
      <c r="AR149" s="25" t="s">
        <v>10</v>
      </c>
      <c r="AS149" s="31" t="str">
        <f>AS130</f>
        <v>N NOMBRE DE SU RECETA | pegue esto — FAMILIA| Auteur &gt; VOUS</v>
      </c>
      <c r="AT149" s="32">
        <f>AT130</f>
        <v>1</v>
      </c>
      <c r="AU149" s="31" t="str">
        <f>AU130</f>
        <v>coupe</v>
      </c>
      <c r="AV149" s="33" t="str">
        <f>AV130</f>
        <v>Receta madre ► MILLE-FEUILLE  aux fraises des bois</v>
      </c>
      <c r="AW149" s="680" t="s">
        <v>8574</v>
      </c>
      <c r="AX149" s="474"/>
      <c r="AY149" s="474"/>
      <c r="AZ149" s="474"/>
      <c r="BA149" s="474"/>
      <c r="BB149" s="681"/>
      <c r="BC149" s="681"/>
      <c r="BD149" s="1984" t="s">
        <v>8654</v>
      </c>
      <c r="BE149" s="682"/>
      <c r="BF149" s="682"/>
      <c r="BG149" s="1197">
        <f>SUM(BG134:BG148)</f>
        <v>0</v>
      </c>
      <c r="BH149" s="683"/>
      <c r="BI149" s="683" t="str">
        <f>"Total " &amp; BJ131&amp;" &gt;"</f>
        <v>Total Col.19 &gt;</v>
      </c>
      <c r="BJ149" s="1835">
        <f>SUM(BJ134:BJ148)</f>
        <v>0</v>
      </c>
      <c r="BK149" s="684"/>
      <c r="BM149" s="3">
        <v>1</v>
      </c>
    </row>
    <row r="150" spans="2:65" ht="21" customHeight="1">
      <c r="B150" s="25" t="s">
        <v>10</v>
      </c>
      <c r="C150" s="31" t="str">
        <f>C130</f>
        <v>N NOM DE VOTRE RECETTE | collez la--FAMILLE| Auteur &gt; VOUS</v>
      </c>
      <c r="D150" s="32">
        <f>D130</f>
        <v>1</v>
      </c>
      <c r="E150" s="31" t="str">
        <f>E130</f>
        <v>coupe</v>
      </c>
      <c r="F150" s="33" t="str">
        <f>F130</f>
        <v>Recette mère ► MILLE-FEUILLE  aux fraises des bois</v>
      </c>
      <c r="G150" s="142" t="s">
        <v>140</v>
      </c>
      <c r="H150" s="104" t="s">
        <v>100</v>
      </c>
      <c r="I150" s="143" t="s">
        <v>141</v>
      </c>
      <c r="J150" s="144" t="s">
        <v>142</v>
      </c>
      <c r="K150" s="118" t="s">
        <v>143</v>
      </c>
      <c r="L150" s="118" t="s">
        <v>109</v>
      </c>
      <c r="M150" s="143" t="s">
        <v>141</v>
      </c>
      <c r="N150" s="93" t="s">
        <v>0</v>
      </c>
      <c r="O150" s="93" t="s">
        <v>97</v>
      </c>
      <c r="P150" s="93" t="s">
        <v>144</v>
      </c>
      <c r="Q150" s="93" t="s">
        <v>145</v>
      </c>
      <c r="R150" s="109" t="s">
        <v>104</v>
      </c>
      <c r="S150" s="109" t="s">
        <v>359</v>
      </c>
      <c r="T150" s="335" t="s">
        <v>146</v>
      </c>
      <c r="U150" s="109" t="s">
        <v>147</v>
      </c>
      <c r="W150" s="25" t="s">
        <v>10</v>
      </c>
      <c r="X150" s="31" t="str">
        <f>X130</f>
        <v>N NAME OF YOUR RECIPE | paste it — FAMILY|  Author &gt; YOU</v>
      </c>
      <c r="Y150" s="32">
        <f>Y130</f>
        <v>1</v>
      </c>
      <c r="Z150" s="31" t="str">
        <f>Z130</f>
        <v>coupe</v>
      </c>
      <c r="AA150" s="33" t="str">
        <f>AA130</f>
        <v>Master recipe ► MILLE-FEUILLE  aux fraises des bois</v>
      </c>
      <c r="AB150" s="422" t="s">
        <v>140</v>
      </c>
      <c r="AC150" s="104" t="s">
        <v>100</v>
      </c>
      <c r="AD150" s="143" t="s">
        <v>1327</v>
      </c>
      <c r="AE150" s="118" t="s">
        <v>1320</v>
      </c>
      <c r="AF150" s="118" t="s">
        <v>1321</v>
      </c>
      <c r="AG150" s="118" t="s">
        <v>1322</v>
      </c>
      <c r="AH150" s="143" t="s">
        <v>141</v>
      </c>
      <c r="AI150" s="93" t="s">
        <v>0</v>
      </c>
      <c r="AJ150" s="93" t="s">
        <v>97</v>
      </c>
      <c r="AK150" s="93" t="s">
        <v>144</v>
      </c>
      <c r="AL150" s="93" t="s">
        <v>145</v>
      </c>
      <c r="AM150" s="109" t="s">
        <v>1341</v>
      </c>
      <c r="AN150" s="109" t="s">
        <v>1323</v>
      </c>
      <c r="AO150" s="109" t="s">
        <v>1324</v>
      </c>
      <c r="AP150" s="335" t="s">
        <v>1325</v>
      </c>
      <c r="AR150" s="25" t="s">
        <v>10</v>
      </c>
      <c r="AS150" s="31" t="str">
        <f>AS130</f>
        <v>N NOMBRE DE SU RECETA | pegue esto — FAMILIA| Auteur &gt; VOUS</v>
      </c>
      <c r="AT150" s="32">
        <f>AT130</f>
        <v>1</v>
      </c>
      <c r="AU150" s="31" t="str">
        <f>AU130</f>
        <v>coupe</v>
      </c>
      <c r="AV150" s="33" t="str">
        <f>AV130</f>
        <v>Receta madre ► MILLE-FEUILLE  aux fraises des bois</v>
      </c>
      <c r="AW150" s="422" t="s">
        <v>140</v>
      </c>
      <c r="AX150" s="104" t="s">
        <v>100</v>
      </c>
      <c r="AY150" s="143" t="s">
        <v>1309</v>
      </c>
      <c r="AZ150" s="118" t="s">
        <v>1301</v>
      </c>
      <c r="BA150" s="118" t="s">
        <v>1302</v>
      </c>
      <c r="BB150" s="118" t="s">
        <v>1303</v>
      </c>
      <c r="BC150" s="143" t="s">
        <v>141</v>
      </c>
      <c r="BD150" s="93" t="s">
        <v>0</v>
      </c>
      <c r="BE150" s="93" t="s">
        <v>97</v>
      </c>
      <c r="BF150" s="93" t="s">
        <v>144</v>
      </c>
      <c r="BG150" s="93" t="s">
        <v>145</v>
      </c>
      <c r="BH150" s="335" t="s">
        <v>1306</v>
      </c>
      <c r="BI150" s="2104" t="s">
        <v>1342</v>
      </c>
      <c r="BJ150" s="2104" t="s">
        <v>1305</v>
      </c>
      <c r="BK150" s="2104" t="s">
        <v>1306</v>
      </c>
      <c r="BM150" s="3">
        <v>1</v>
      </c>
    </row>
    <row r="151" spans="2:65" ht="21" customHeight="1">
      <c r="B151" s="25" t="s">
        <v>10</v>
      </c>
      <c r="C151" s="31" t="str">
        <f>C130</f>
        <v>N NOM DE VOTRE RECETTE | collez la--FAMILLE| Auteur &gt; VOUS</v>
      </c>
      <c r="D151" s="32">
        <f>D130</f>
        <v>1</v>
      </c>
      <c r="E151" s="31" t="str">
        <f>E130</f>
        <v>coupe</v>
      </c>
      <c r="F151" s="33" t="str">
        <f>F130</f>
        <v>Recette mère ► MILLE-FEUILLE  aux fraises des bois</v>
      </c>
      <c r="G151" s="685">
        <v>1</v>
      </c>
      <c r="H151" s="686">
        <v>1E-3</v>
      </c>
      <c r="I151" s="687">
        <v>0</v>
      </c>
      <c r="J151" s="686">
        <v>0.25</v>
      </c>
      <c r="K151" s="686">
        <v>0.33332999999999996</v>
      </c>
      <c r="L151" s="686">
        <v>0.5</v>
      </c>
      <c r="M151" s="687">
        <v>0</v>
      </c>
      <c r="N151" s="688">
        <v>1</v>
      </c>
      <c r="O151" s="688">
        <v>0.1</v>
      </c>
      <c r="P151" s="688">
        <v>0.01</v>
      </c>
      <c r="Q151" s="688">
        <v>1E-3</v>
      </c>
      <c r="R151" s="688">
        <v>0.5</v>
      </c>
      <c r="S151" s="688">
        <v>0.25</v>
      </c>
      <c r="T151" s="688">
        <v>0.33300000000000002</v>
      </c>
      <c r="U151" s="1756">
        <v>0.2</v>
      </c>
      <c r="W151" s="25" t="s">
        <v>10</v>
      </c>
      <c r="X151" s="31" t="str">
        <f>X130</f>
        <v>N NAME OF YOUR RECIPE | paste it — FAMILY|  Author &gt; YOU</v>
      </c>
      <c r="Y151" s="32">
        <f>Y130</f>
        <v>1</v>
      </c>
      <c r="Z151" s="31" t="str">
        <f>Z130</f>
        <v>coupe</v>
      </c>
      <c r="AA151" s="33" t="str">
        <f>AA130</f>
        <v>Master recipe ► MILLE-FEUILLE  aux fraises des bois</v>
      </c>
      <c r="AB151" s="685">
        <v>1</v>
      </c>
      <c r="AC151" s="686">
        <v>1E-3</v>
      </c>
      <c r="AD151" s="687">
        <v>0</v>
      </c>
      <c r="AE151" s="686">
        <v>0.25</v>
      </c>
      <c r="AF151" s="686">
        <v>0.33332999999999996</v>
      </c>
      <c r="AG151" s="686">
        <v>0.5</v>
      </c>
      <c r="AH151" s="687">
        <v>0</v>
      </c>
      <c r="AI151" s="688">
        <v>1</v>
      </c>
      <c r="AJ151" s="688">
        <v>0.1</v>
      </c>
      <c r="AK151" s="688">
        <v>0.01</v>
      </c>
      <c r="AL151" s="688">
        <v>1E-3</v>
      </c>
      <c r="AM151" s="688">
        <v>0.25</v>
      </c>
      <c r="AN151" s="688">
        <v>0.5</v>
      </c>
      <c r="AO151" s="688">
        <v>0.33300000000000002</v>
      </c>
      <c r="AP151" s="688">
        <v>0.2</v>
      </c>
      <c r="AR151" s="25" t="s">
        <v>10</v>
      </c>
      <c r="AS151" s="31" t="str">
        <f>AS130</f>
        <v>N NOMBRE DE SU RECETA | pegue esto — FAMILIA| Auteur &gt; VOUS</v>
      </c>
      <c r="AT151" s="32">
        <f>AT130</f>
        <v>1</v>
      </c>
      <c r="AU151" s="31" t="str">
        <f>AU130</f>
        <v>coupe</v>
      </c>
      <c r="AV151" s="33" t="str">
        <f>AV130</f>
        <v>Receta madre ► MILLE-FEUILLE  aux fraises des bois</v>
      </c>
      <c r="AW151" s="685">
        <v>1</v>
      </c>
      <c r="AX151" s="686">
        <v>1E-3</v>
      </c>
      <c r="AY151" s="687">
        <v>0</v>
      </c>
      <c r="AZ151" s="686">
        <v>0.25</v>
      </c>
      <c r="BA151" s="686">
        <v>0.33332999999999996</v>
      </c>
      <c r="BB151" s="686">
        <v>0.5</v>
      </c>
      <c r="BC151" s="687">
        <v>0</v>
      </c>
      <c r="BD151" s="688">
        <v>1</v>
      </c>
      <c r="BE151" s="688">
        <v>0.1</v>
      </c>
      <c r="BF151" s="688">
        <v>0.01</v>
      </c>
      <c r="BG151" s="688">
        <v>1E-3</v>
      </c>
      <c r="BH151" s="688">
        <v>0.2</v>
      </c>
      <c r="BI151" s="1882">
        <v>0.25</v>
      </c>
      <c r="BJ151" s="1882">
        <v>0.33300000000000002</v>
      </c>
      <c r="BK151" s="1882">
        <v>0.2</v>
      </c>
      <c r="BM151" s="3">
        <v>1</v>
      </c>
    </row>
    <row r="152" spans="2:65" ht="21" customHeight="1">
      <c r="B152" s="25" t="s">
        <v>10</v>
      </c>
      <c r="C152" s="31" t="str">
        <f>C130</f>
        <v>N NOM DE VOTRE RECETTE | collez la--FAMILLE| Auteur &gt; VOUS</v>
      </c>
      <c r="D152" s="32">
        <f>D130</f>
        <v>1</v>
      </c>
      <c r="E152" s="31" t="str">
        <f>E130</f>
        <v>coupe</v>
      </c>
      <c r="F152" s="33" t="str">
        <f>F130</f>
        <v>Recette mère ► MILLE-FEUILLE  aux fraises des bois</v>
      </c>
      <c r="G152" s="121" t="s">
        <v>155</v>
      </c>
      <c r="H152" s="121" t="s">
        <v>156</v>
      </c>
      <c r="I152" s="143" t="s">
        <v>141</v>
      </c>
      <c r="J152" s="121" t="s">
        <v>110</v>
      </c>
      <c r="K152" s="121" t="s">
        <v>157</v>
      </c>
      <c r="L152" s="121" t="s">
        <v>158</v>
      </c>
      <c r="M152" s="143" t="s">
        <v>141</v>
      </c>
      <c r="N152" s="125" t="s">
        <v>115</v>
      </c>
      <c r="O152" s="155" t="s">
        <v>159</v>
      </c>
      <c r="P152" s="155" t="s">
        <v>160</v>
      </c>
      <c r="Q152" s="109" t="s">
        <v>161</v>
      </c>
      <c r="R152" s="109" t="s">
        <v>162</v>
      </c>
      <c r="S152" s="109" t="s">
        <v>105</v>
      </c>
      <c r="T152" s="1758" t="s">
        <v>1689</v>
      </c>
      <c r="U152" s="697" t="s">
        <v>163</v>
      </c>
      <c r="W152" s="25" t="s">
        <v>10</v>
      </c>
      <c r="X152" s="31" t="str">
        <f>X130</f>
        <v>N NAME OF YOUR RECIPE | paste it — FAMILY|  Author &gt; YOU</v>
      </c>
      <c r="Y152" s="32">
        <f>Y130</f>
        <v>1</v>
      </c>
      <c r="Z152" s="31" t="str">
        <f>Z130</f>
        <v>coupe</v>
      </c>
      <c r="AA152" s="33" t="str">
        <f>AA130</f>
        <v>Master recipe ► MILLE-FEUILLE  aux fraises des bois</v>
      </c>
      <c r="AB152" s="121" t="s">
        <v>155</v>
      </c>
      <c r="AC152" s="121" t="s">
        <v>1326</v>
      </c>
      <c r="AD152" s="143" t="s">
        <v>1327</v>
      </c>
      <c r="AE152" s="121" t="s">
        <v>1328</v>
      </c>
      <c r="AF152" s="121" t="s">
        <v>1329</v>
      </c>
      <c r="AG152" s="121" t="s">
        <v>1343</v>
      </c>
      <c r="AH152" s="143" t="s">
        <v>141</v>
      </c>
      <c r="AI152" s="155" t="s">
        <v>1330</v>
      </c>
      <c r="AJ152" s="155" t="s">
        <v>1331</v>
      </c>
      <c r="AK152" s="155"/>
      <c r="AL152" s="155" t="s">
        <v>1332</v>
      </c>
      <c r="AM152" s="109" t="s">
        <v>1333</v>
      </c>
      <c r="AN152" s="109" t="s">
        <v>1334</v>
      </c>
      <c r="AO152" s="109" t="s">
        <v>1335</v>
      </c>
      <c r="AP152" s="697" t="s">
        <v>1689</v>
      </c>
      <c r="AR152" s="25" t="s">
        <v>10</v>
      </c>
      <c r="AS152" s="31" t="str">
        <f>AS130</f>
        <v>N NOMBRE DE SU RECETA | pegue esto — FAMILIA| Auteur &gt; VOUS</v>
      </c>
      <c r="AT152" s="32">
        <f>AT130</f>
        <v>1</v>
      </c>
      <c r="AU152" s="31" t="str">
        <f>AU130</f>
        <v>coupe</v>
      </c>
      <c r="AV152" s="33" t="str">
        <f>AV130</f>
        <v>Receta madre ► MILLE-FEUILLE  aux fraises des bois</v>
      </c>
      <c r="AW152" s="121" t="s">
        <v>1307</v>
      </c>
      <c r="AX152" s="121" t="s">
        <v>1308</v>
      </c>
      <c r="AY152" s="143" t="s">
        <v>1309</v>
      </c>
      <c r="AZ152" s="121" t="s">
        <v>1310</v>
      </c>
      <c r="BA152" s="121" t="s">
        <v>1311</v>
      </c>
      <c r="BB152" s="121" t="s">
        <v>1312</v>
      </c>
      <c r="BC152" s="143" t="s">
        <v>141</v>
      </c>
      <c r="BD152" s="125" t="s">
        <v>1313</v>
      </c>
      <c r="BE152" s="155" t="s">
        <v>1314</v>
      </c>
      <c r="BF152" s="155" t="s">
        <v>1315</v>
      </c>
      <c r="BG152" s="109" t="s">
        <v>1316</v>
      </c>
      <c r="BH152" s="109" t="s">
        <v>1317</v>
      </c>
      <c r="BI152" s="109" t="s">
        <v>1318</v>
      </c>
      <c r="BJ152" s="697" t="s">
        <v>1689</v>
      </c>
      <c r="BK152" s="697" t="s">
        <v>1319</v>
      </c>
      <c r="BM152" s="3">
        <v>1</v>
      </c>
    </row>
    <row r="153" spans="2:65" ht="21" customHeight="1">
      <c r="B153" s="25" t="s">
        <v>10</v>
      </c>
      <c r="C153" s="31" t="str">
        <f>C130</f>
        <v>N NOM DE VOTRE RECETTE | collez la--FAMILLE| Auteur &gt; VOUS</v>
      </c>
      <c r="D153" s="32">
        <f>D130</f>
        <v>1</v>
      </c>
      <c r="E153" s="31" t="str">
        <f>E130</f>
        <v>coupe</v>
      </c>
      <c r="F153" s="33" t="str">
        <f>F130</f>
        <v>Recette mère ► MILLE-FEUILLE  aux fraises des bois</v>
      </c>
      <c r="G153" s="685">
        <v>2.835E-2</v>
      </c>
      <c r="H153" s="686">
        <v>0.13</v>
      </c>
      <c r="I153" s="687">
        <v>0</v>
      </c>
      <c r="J153" s="686">
        <v>0.2</v>
      </c>
      <c r="K153" s="686">
        <v>0.23</v>
      </c>
      <c r="L153" s="686">
        <v>0.22500000000000001</v>
      </c>
      <c r="M153" s="687">
        <v>0</v>
      </c>
      <c r="N153" s="688">
        <v>0.35</v>
      </c>
      <c r="O153" s="688">
        <v>5.0000000000000001E-3</v>
      </c>
      <c r="P153" s="688">
        <v>5.0000000000000001E-3</v>
      </c>
      <c r="Q153" s="688">
        <v>1.4999999999999999E-2</v>
      </c>
      <c r="R153" s="688">
        <v>0.1</v>
      </c>
      <c r="S153" s="688">
        <v>0.22500000000000001</v>
      </c>
      <c r="T153" s="688">
        <v>4.0000000000000001E-3</v>
      </c>
      <c r="U153" s="1757">
        <v>1E-3</v>
      </c>
      <c r="W153" s="25" t="s">
        <v>10</v>
      </c>
      <c r="X153" s="31" t="str">
        <f>X130</f>
        <v>N NAME OF YOUR RECIPE | paste it — FAMILY|  Author &gt; YOU</v>
      </c>
      <c r="Y153" s="32">
        <f>Y130</f>
        <v>1</v>
      </c>
      <c r="Z153" s="31" t="str">
        <f>Z130</f>
        <v>coupe</v>
      </c>
      <c r="AA153" s="33" t="str">
        <f>AA130</f>
        <v>Master recipe ► MILLE-FEUILLE  aux fraises des bois</v>
      </c>
      <c r="AB153" s="690">
        <v>2.835E-2</v>
      </c>
      <c r="AC153" s="691">
        <v>0.13</v>
      </c>
      <c r="AD153" s="692">
        <v>0</v>
      </c>
      <c r="AE153" s="691">
        <v>0.2</v>
      </c>
      <c r="AF153" s="691">
        <v>0.23</v>
      </c>
      <c r="AG153" s="691">
        <v>0.22500000000000001</v>
      </c>
      <c r="AH153" s="687">
        <v>0</v>
      </c>
      <c r="AI153" s="688">
        <v>0.35</v>
      </c>
      <c r="AJ153" s="688">
        <v>5.0000000000000001E-3</v>
      </c>
      <c r="AK153" s="688"/>
      <c r="AL153" s="688">
        <v>5.0000000000000001E-3</v>
      </c>
      <c r="AM153" s="688">
        <v>1.4999999999999999E-2</v>
      </c>
      <c r="AN153" s="688">
        <v>0.1</v>
      </c>
      <c r="AO153" s="688">
        <v>0.22500000000000001</v>
      </c>
      <c r="AP153" s="688">
        <v>4.0000000000000001E-3</v>
      </c>
      <c r="AR153" s="25" t="s">
        <v>10</v>
      </c>
      <c r="AS153" s="31" t="str">
        <f>AS130</f>
        <v>N NOMBRE DE SU RECETA | pegue esto — FAMILIA| Auteur &gt; VOUS</v>
      </c>
      <c r="AT153" s="32">
        <f>AT130</f>
        <v>1</v>
      </c>
      <c r="AU153" s="31" t="str">
        <f>AU130</f>
        <v>coupe</v>
      </c>
      <c r="AV153" s="33" t="str">
        <f>AV130</f>
        <v>Receta madre ► MILLE-FEUILLE  aux fraises des bois</v>
      </c>
      <c r="AW153" s="690">
        <v>2.835E-2</v>
      </c>
      <c r="AX153" s="691">
        <v>0.13</v>
      </c>
      <c r="AY153" s="692">
        <v>0</v>
      </c>
      <c r="AZ153" s="691">
        <v>0.2</v>
      </c>
      <c r="BA153" s="691">
        <v>0.23</v>
      </c>
      <c r="BB153" s="691">
        <v>0.22500000000000001</v>
      </c>
      <c r="BC153" s="687">
        <v>0</v>
      </c>
      <c r="BD153" s="688">
        <v>0.35</v>
      </c>
      <c r="BE153" s="688">
        <v>5.0000000000000001E-3</v>
      </c>
      <c r="BF153" s="688">
        <v>5.0000000000000001E-3</v>
      </c>
      <c r="BG153" s="688">
        <v>1.4999999999999999E-2</v>
      </c>
      <c r="BH153" s="688">
        <v>0.1</v>
      </c>
      <c r="BI153" s="688">
        <v>0.22500000000000001</v>
      </c>
      <c r="BJ153" s="688">
        <v>4.0000000000000001E-3</v>
      </c>
      <c r="BK153" s="1757">
        <v>1E-3</v>
      </c>
      <c r="BM153" s="3">
        <v>1</v>
      </c>
    </row>
    <row r="154" spans="2:65" ht="21" customHeight="1">
      <c r="B154" s="25" t="s">
        <v>15</v>
      </c>
      <c r="C154" s="5563" t="str">
        <f t="shared" ref="C154:U154" si="43">SUBSTITUTE(ADDRESS(1,COLUMN(),4),"1","")</f>
        <v>C</v>
      </c>
      <c r="D154" s="5563" t="str">
        <f t="shared" si="43"/>
        <v>D</v>
      </c>
      <c r="E154" s="5563" t="str">
        <f t="shared" si="43"/>
        <v>E</v>
      </c>
      <c r="F154" s="5563" t="str">
        <f t="shared" si="43"/>
        <v>F</v>
      </c>
      <c r="G154" s="5563" t="str">
        <f t="shared" si="43"/>
        <v>G</v>
      </c>
      <c r="H154" s="5563" t="str">
        <f t="shared" si="43"/>
        <v>H</v>
      </c>
      <c r="I154" s="5563" t="str">
        <f t="shared" si="43"/>
        <v>I</v>
      </c>
      <c r="J154" s="5563" t="str">
        <f t="shared" si="43"/>
        <v>J</v>
      </c>
      <c r="K154" s="5563" t="str">
        <f t="shared" si="43"/>
        <v>K</v>
      </c>
      <c r="L154" s="5563" t="str">
        <f t="shared" si="43"/>
        <v>L</v>
      </c>
      <c r="M154" s="5603" t="str">
        <f t="shared" si="43"/>
        <v>M</v>
      </c>
      <c r="N154" s="5563" t="str">
        <f t="shared" si="43"/>
        <v>N</v>
      </c>
      <c r="O154" s="5563" t="str">
        <f t="shared" si="43"/>
        <v>O</v>
      </c>
      <c r="P154" s="5563" t="str">
        <f t="shared" si="43"/>
        <v>P</v>
      </c>
      <c r="Q154" s="5563" t="str">
        <f t="shared" si="43"/>
        <v>Q</v>
      </c>
      <c r="R154" s="6003" t="str">
        <f t="shared" si="43"/>
        <v>R</v>
      </c>
      <c r="S154" s="5563" t="str">
        <f t="shared" si="43"/>
        <v>S</v>
      </c>
      <c r="T154" s="5563" t="str">
        <f t="shared" si="43"/>
        <v>T</v>
      </c>
      <c r="U154" s="6002" t="str">
        <f t="shared" si="43"/>
        <v>U</v>
      </c>
      <c r="V154" s="6628" t="s">
        <v>8774</v>
      </c>
      <c r="W154" s="25" t="s">
        <v>15</v>
      </c>
      <c r="X154" s="5563" t="str">
        <f t="shared" ref="X154:AP154" si="44">SUBSTITUTE(ADDRESS(1,COLUMN(),4),"1","")</f>
        <v>X</v>
      </c>
      <c r="Y154" s="5563" t="str">
        <f t="shared" si="44"/>
        <v>Y</v>
      </c>
      <c r="Z154" s="5563" t="str">
        <f t="shared" si="44"/>
        <v>Z</v>
      </c>
      <c r="AA154" s="5563" t="str">
        <f t="shared" si="44"/>
        <v>AA</v>
      </c>
      <c r="AB154" s="5563" t="str">
        <f t="shared" si="44"/>
        <v>AB</v>
      </c>
      <c r="AC154" s="5563" t="str">
        <f t="shared" si="44"/>
        <v>AC</v>
      </c>
      <c r="AD154" s="5563" t="str">
        <f t="shared" si="44"/>
        <v>AD</v>
      </c>
      <c r="AE154" s="5563" t="str">
        <f t="shared" si="44"/>
        <v>AE</v>
      </c>
      <c r="AF154" s="5563" t="str">
        <f t="shared" si="44"/>
        <v>AF</v>
      </c>
      <c r="AG154" s="5563" t="str">
        <f t="shared" si="44"/>
        <v>AG</v>
      </c>
      <c r="AH154" s="5603" t="str">
        <f t="shared" si="44"/>
        <v>AH</v>
      </c>
      <c r="AI154" s="5563" t="str">
        <f t="shared" si="44"/>
        <v>AI</v>
      </c>
      <c r="AJ154" s="5563" t="str">
        <f t="shared" si="44"/>
        <v>AJ</v>
      </c>
      <c r="AK154" s="5563" t="str">
        <f t="shared" si="44"/>
        <v>AK</v>
      </c>
      <c r="AL154" s="5563" t="str">
        <f t="shared" si="44"/>
        <v>AL</v>
      </c>
      <c r="AM154" s="6003" t="str">
        <f t="shared" si="44"/>
        <v>AM</v>
      </c>
      <c r="AN154" s="5563" t="str">
        <f t="shared" si="44"/>
        <v>AN</v>
      </c>
      <c r="AO154" s="5563" t="str">
        <f t="shared" si="44"/>
        <v>AO</v>
      </c>
      <c r="AP154" s="6002" t="str">
        <f t="shared" si="44"/>
        <v>AP</v>
      </c>
      <c r="AQ154" s="6628" t="s">
        <v>8775</v>
      </c>
      <c r="AR154" s="25" t="s">
        <v>15</v>
      </c>
      <c r="AS154" s="5563" t="str">
        <f t="shared" ref="AS154:BK154" si="45">SUBSTITUTE(ADDRESS(1,COLUMN(),4),"1","")</f>
        <v>AS</v>
      </c>
      <c r="AT154" s="5563" t="str">
        <f t="shared" si="45"/>
        <v>AT</v>
      </c>
      <c r="AU154" s="5563" t="str">
        <f t="shared" si="45"/>
        <v>AU</v>
      </c>
      <c r="AV154" s="5563" t="str">
        <f t="shared" si="45"/>
        <v>AV</v>
      </c>
      <c r="AW154" s="5563" t="str">
        <f t="shared" si="45"/>
        <v>AW</v>
      </c>
      <c r="AX154" s="5563" t="str">
        <f t="shared" si="45"/>
        <v>AX</v>
      </c>
      <c r="AY154" s="5563" t="str">
        <f t="shared" si="45"/>
        <v>AY</v>
      </c>
      <c r="AZ154" s="5563" t="str">
        <f t="shared" si="45"/>
        <v>AZ</v>
      </c>
      <c r="BA154" s="5563" t="str">
        <f t="shared" si="45"/>
        <v>BA</v>
      </c>
      <c r="BB154" s="5563" t="str">
        <f t="shared" si="45"/>
        <v>BB</v>
      </c>
      <c r="BC154" s="5603" t="str">
        <f t="shared" si="45"/>
        <v>BC</v>
      </c>
      <c r="BD154" s="5563" t="str">
        <f t="shared" si="45"/>
        <v>BD</v>
      </c>
      <c r="BE154" s="5563" t="str">
        <f t="shared" si="45"/>
        <v>BE</v>
      </c>
      <c r="BF154" s="5563" t="str">
        <f t="shared" si="45"/>
        <v>BF</v>
      </c>
      <c r="BG154" s="5563" t="str">
        <f t="shared" si="45"/>
        <v>BG</v>
      </c>
      <c r="BH154" s="6003" t="str">
        <f t="shared" si="45"/>
        <v>BH</v>
      </c>
      <c r="BI154" s="5563" t="str">
        <f t="shared" si="45"/>
        <v>BI</v>
      </c>
      <c r="BJ154" s="5563" t="str">
        <f t="shared" si="45"/>
        <v>BJ</v>
      </c>
      <c r="BK154" s="6002" t="str">
        <f t="shared" si="45"/>
        <v>BK</v>
      </c>
      <c r="BL154" s="6628" t="s">
        <v>8776</v>
      </c>
      <c r="BM154" s="3">
        <v>1</v>
      </c>
    </row>
    <row r="155" spans="2:65" ht="21" customHeight="1">
      <c r="B155" s="25" t="s">
        <v>10</v>
      </c>
      <c r="C155" s="5601">
        <f t="shared" ref="C155:U155" ca="1" si="46">CELL("largeur",C155)</f>
        <v>3</v>
      </c>
      <c r="D155" s="5601">
        <f t="shared" ca="1" si="46"/>
        <v>3</v>
      </c>
      <c r="E155" s="5601">
        <f t="shared" ca="1" si="46"/>
        <v>3</v>
      </c>
      <c r="F155" s="5601">
        <f t="shared" ca="1" si="46"/>
        <v>5</v>
      </c>
      <c r="G155" s="5601">
        <f t="shared" ca="1" si="46"/>
        <v>12</v>
      </c>
      <c r="H155" s="5601">
        <f t="shared" ca="1" si="46"/>
        <v>12</v>
      </c>
      <c r="I155" s="5601">
        <f t="shared" ca="1" si="46"/>
        <v>3</v>
      </c>
      <c r="J155" s="5601">
        <f t="shared" ca="1" si="46"/>
        <v>9</v>
      </c>
      <c r="K155" s="5601">
        <f t="shared" ca="1" si="46"/>
        <v>12</v>
      </c>
      <c r="L155" s="5601">
        <f t="shared" ca="1" si="46"/>
        <v>13</v>
      </c>
      <c r="M155" s="5604">
        <f t="shared" ca="1" si="46"/>
        <v>6</v>
      </c>
      <c r="N155" s="5602">
        <f t="shared" ca="1" si="46"/>
        <v>40</v>
      </c>
      <c r="O155" s="5602">
        <f t="shared" ca="1" si="46"/>
        <v>10</v>
      </c>
      <c r="P155" s="5602">
        <f t="shared" ca="1" si="46"/>
        <v>9</v>
      </c>
      <c r="Q155" s="5602">
        <f t="shared" ca="1" si="46"/>
        <v>18</v>
      </c>
      <c r="R155" s="5604">
        <f t="shared" ca="1" si="46"/>
        <v>13</v>
      </c>
      <c r="S155" s="5602">
        <f t="shared" ca="1" si="46"/>
        <v>13</v>
      </c>
      <c r="T155" s="5602">
        <f t="shared" ca="1" si="46"/>
        <v>13</v>
      </c>
      <c r="U155" s="6001">
        <f t="shared" ca="1" si="46"/>
        <v>17</v>
      </c>
      <c r="V155" s="6628"/>
      <c r="W155" s="25" t="s">
        <v>10</v>
      </c>
      <c r="X155" s="5601">
        <f t="shared" ref="X155:AP155" ca="1" si="47">CELL("largeur",X155)</f>
        <v>3</v>
      </c>
      <c r="Y155" s="5601">
        <f t="shared" ca="1" si="47"/>
        <v>3</v>
      </c>
      <c r="Z155" s="5601">
        <f t="shared" ca="1" si="47"/>
        <v>3</v>
      </c>
      <c r="AA155" s="5601">
        <f t="shared" ca="1" si="47"/>
        <v>5</v>
      </c>
      <c r="AB155" s="5601">
        <f t="shared" ca="1" si="47"/>
        <v>12</v>
      </c>
      <c r="AC155" s="5601">
        <f t="shared" ca="1" si="47"/>
        <v>12</v>
      </c>
      <c r="AD155" s="5601">
        <f t="shared" ca="1" si="47"/>
        <v>3</v>
      </c>
      <c r="AE155" s="5601">
        <f t="shared" ca="1" si="47"/>
        <v>9</v>
      </c>
      <c r="AF155" s="5601">
        <f t="shared" ca="1" si="47"/>
        <v>12</v>
      </c>
      <c r="AG155" s="5601">
        <f t="shared" ca="1" si="47"/>
        <v>13</v>
      </c>
      <c r="AH155" s="5604">
        <f t="shared" ca="1" si="47"/>
        <v>6</v>
      </c>
      <c r="AI155" s="5602">
        <f t="shared" ca="1" si="47"/>
        <v>40</v>
      </c>
      <c r="AJ155" s="5602">
        <f t="shared" ca="1" si="47"/>
        <v>10</v>
      </c>
      <c r="AK155" s="5602">
        <f t="shared" ca="1" si="47"/>
        <v>9</v>
      </c>
      <c r="AL155" s="5602">
        <f t="shared" ca="1" si="47"/>
        <v>18</v>
      </c>
      <c r="AM155" s="5604">
        <f t="shared" ca="1" si="47"/>
        <v>13</v>
      </c>
      <c r="AN155" s="5602">
        <f t="shared" ca="1" si="47"/>
        <v>13</v>
      </c>
      <c r="AO155" s="5602">
        <f t="shared" ca="1" si="47"/>
        <v>13</v>
      </c>
      <c r="AP155" s="6001">
        <f t="shared" ca="1" si="47"/>
        <v>17</v>
      </c>
      <c r="AQ155" s="6628"/>
      <c r="AR155" s="25" t="s">
        <v>10</v>
      </c>
      <c r="AS155" s="5601">
        <f t="shared" ref="AS155:BK155" ca="1" si="48">CELL("largeur",AS155)</f>
        <v>3</v>
      </c>
      <c r="AT155" s="5601">
        <f t="shared" ca="1" si="48"/>
        <v>3</v>
      </c>
      <c r="AU155" s="5601">
        <f t="shared" ca="1" si="48"/>
        <v>3</v>
      </c>
      <c r="AV155" s="5601">
        <f t="shared" ca="1" si="48"/>
        <v>5</v>
      </c>
      <c r="AW155" s="5601">
        <f t="shared" ca="1" si="48"/>
        <v>12</v>
      </c>
      <c r="AX155" s="5601">
        <f t="shared" ca="1" si="48"/>
        <v>12</v>
      </c>
      <c r="AY155" s="5601">
        <f t="shared" ca="1" si="48"/>
        <v>3</v>
      </c>
      <c r="AZ155" s="5601">
        <f t="shared" ca="1" si="48"/>
        <v>9</v>
      </c>
      <c r="BA155" s="5601">
        <f t="shared" ca="1" si="48"/>
        <v>12</v>
      </c>
      <c r="BB155" s="5601">
        <f t="shared" ca="1" si="48"/>
        <v>13</v>
      </c>
      <c r="BC155" s="5604">
        <f t="shared" ca="1" si="48"/>
        <v>6</v>
      </c>
      <c r="BD155" s="5602">
        <f t="shared" ca="1" si="48"/>
        <v>40</v>
      </c>
      <c r="BE155" s="5602">
        <f t="shared" ca="1" si="48"/>
        <v>10</v>
      </c>
      <c r="BF155" s="5602">
        <f t="shared" ca="1" si="48"/>
        <v>9</v>
      </c>
      <c r="BG155" s="5602">
        <f t="shared" ca="1" si="48"/>
        <v>18</v>
      </c>
      <c r="BH155" s="5604">
        <f t="shared" ca="1" si="48"/>
        <v>13</v>
      </c>
      <c r="BI155" s="5602">
        <f t="shared" ca="1" si="48"/>
        <v>13</v>
      </c>
      <c r="BJ155" s="5602">
        <f t="shared" ca="1" si="48"/>
        <v>13</v>
      </c>
      <c r="BK155" s="6001">
        <f t="shared" ca="1" si="48"/>
        <v>17</v>
      </c>
      <c r="BL155" s="6628"/>
      <c r="BM155" s="3">
        <v>1</v>
      </c>
    </row>
    <row r="156" spans="2:65" ht="21" customHeight="1">
      <c r="B156" s="162" t="s">
        <v>10</v>
      </c>
      <c r="C156" s="1370" t="str">
        <f>C130</f>
        <v>N NOM DE VOTRE RECETTE | collez la--FAMILLE| Auteur &gt; VOUS</v>
      </c>
      <c r="D156" s="1348">
        <f>D130</f>
        <v>1</v>
      </c>
      <c r="E156" s="1349" t="str">
        <f>E130</f>
        <v>coupe</v>
      </c>
      <c r="F156" s="1350" t="str">
        <f>F130</f>
        <v>Recette mère ► MILLE-FEUILLE  aux fraises des bois</v>
      </c>
      <c r="G156" s="6039" t="str">
        <f ca="1">"Phases de progression largeur &gt; "&amp;SUM(M155:U155)</f>
        <v>Phases de progression largeur &gt; 139</v>
      </c>
      <c r="H156" s="6038"/>
      <c r="I156" s="1986"/>
      <c r="J156" s="1986"/>
      <c r="K156" s="1986"/>
      <c r="L156" s="1987" t="s">
        <v>8145</v>
      </c>
      <c r="M156" s="1988" t="s">
        <v>821</v>
      </c>
      <c r="N156" s="1941"/>
      <c r="O156" s="5999" t="str">
        <f ca="1">"largeur mini  = "&amp;SUM(M155:R155)</f>
        <v>largeur mini  = 96</v>
      </c>
      <c r="P156" s="6000" t="str">
        <f ca="1">"largeur maxi  = "&amp;SUM(M155:U155)</f>
        <v>largeur maxi  = 139</v>
      </c>
      <c r="Q156" s="1942"/>
      <c r="R156" s="1942"/>
      <c r="S156" s="1989"/>
      <c r="T156" s="1989"/>
      <c r="U156" s="1990" t="s">
        <v>218</v>
      </c>
      <c r="W156" s="162" t="s">
        <v>10</v>
      </c>
      <c r="X156" s="1370" t="str">
        <f>X130</f>
        <v>N NAME OF YOUR RECIPE | paste it — FAMILY|  Author &gt; YOU</v>
      </c>
      <c r="Y156" s="1348">
        <f>Y130</f>
        <v>1</v>
      </c>
      <c r="Z156" s="1349" t="str">
        <f>Z130</f>
        <v>coupe</v>
      </c>
      <c r="AA156" s="1350" t="str">
        <f>AA130</f>
        <v>Master recipe ► MILLE-FEUILLE  aux fraises des bois</v>
      </c>
      <c r="AB156" s="6039" t="str">
        <f ca="1">"Phases of progression Width &gt; "&amp;SUM(AH155:AP155)</f>
        <v>Phases of progression Width &gt; 139</v>
      </c>
      <c r="AC156" s="6038"/>
      <c r="AD156" s="1986"/>
      <c r="AE156" s="1986"/>
      <c r="AF156" s="1986"/>
      <c r="AG156" s="1987" t="s">
        <v>8216</v>
      </c>
      <c r="AH156" s="1988" t="s">
        <v>860</v>
      </c>
      <c r="AI156" s="1941"/>
      <c r="AJ156" s="5999" t="str">
        <f ca="1">"minimum width  = "&amp;SUM(AH155:AM155)</f>
        <v>minimum width  = 96</v>
      </c>
      <c r="AK156" s="6000" t="str">
        <f ca="1">"maximum width  = "&amp;SUM(AH155:AP155)</f>
        <v>maximum width  = 139</v>
      </c>
      <c r="AL156" s="1942"/>
      <c r="AM156" s="1942"/>
      <c r="AN156" s="1989"/>
      <c r="AO156" s="1989"/>
      <c r="AP156" s="1990" t="s">
        <v>1399</v>
      </c>
      <c r="AR156" s="162" t="s">
        <v>10</v>
      </c>
      <c r="AS156" s="1370" t="str">
        <f>AS130</f>
        <v>N NOMBRE DE SU RECETA | pegue esto — FAMILIA| Auteur &gt; VOUS</v>
      </c>
      <c r="AT156" s="1348">
        <f>AT130</f>
        <v>1</v>
      </c>
      <c r="AU156" s="1349" t="str">
        <f>AU130</f>
        <v>coupe</v>
      </c>
      <c r="AV156" s="1350" t="str">
        <f>AV130</f>
        <v>Receta madre ► MILLE-FEUILLE  aux fraises des bois</v>
      </c>
      <c r="AW156" s="6039" t="str">
        <f ca="1">"Fases de progresion Ancho &gt; "&amp;SUM(BC155:BK155)</f>
        <v>Fases de progresion Ancho &gt; 139</v>
      </c>
      <c r="AX156" s="6038"/>
      <c r="AY156" s="1986"/>
      <c r="AZ156" s="1986"/>
      <c r="BA156" s="1986"/>
      <c r="BB156" s="1987" t="s">
        <v>8217</v>
      </c>
      <c r="BC156" s="5605" t="s">
        <v>874</v>
      </c>
      <c r="BD156" s="1941"/>
      <c r="BE156" s="5999" t="str">
        <f ca="1">"anchura mínima  = "&amp;SUM(BC155:BH155)</f>
        <v>anchura mínima  = 96</v>
      </c>
      <c r="BF156" s="6000" t="str">
        <f ca="1">"anchura máxima  = "&amp;SUM(BC155:BK155)</f>
        <v>anchura máxima  = 139</v>
      </c>
      <c r="BG156" s="1942"/>
      <c r="BH156" s="1942"/>
      <c r="BI156" s="1989"/>
      <c r="BJ156" s="1989"/>
      <c r="BK156" s="1990" t="s">
        <v>726</v>
      </c>
      <c r="BM156" s="3">
        <v>1</v>
      </c>
    </row>
    <row r="157" spans="2:65" ht="21" customHeight="1">
      <c r="B157" s="162" t="s">
        <v>10</v>
      </c>
      <c r="C157" s="163" t="str">
        <f>C130</f>
        <v>N NOM DE VOTRE RECETTE | collez la--FAMILLE| Auteur &gt; VOUS</v>
      </c>
      <c r="D157" s="163">
        <f>D130</f>
        <v>1</v>
      </c>
      <c r="E157" s="164" t="str">
        <f>E130</f>
        <v>coupe</v>
      </c>
      <c r="F157" s="165" t="str">
        <f>F130</f>
        <v>Recette mère ► MILLE-FEUILLE  aux fraises des bois</v>
      </c>
      <c r="G157" s="508"/>
      <c r="H157" s="508"/>
      <c r="I157" s="2063"/>
      <c r="J157" s="2064" t="s">
        <v>8860</v>
      </c>
      <c r="K157" s="2065">
        <f ca="1">SUM(M155:U155)</f>
        <v>139</v>
      </c>
      <c r="L157" s="1374">
        <v>0</v>
      </c>
      <c r="M157" s="1375" t="s">
        <v>8146</v>
      </c>
      <c r="N157" s="1810"/>
      <c r="O157" s="1810"/>
      <c r="P157" s="1810"/>
      <c r="Q157" s="1810"/>
      <c r="R157" s="1810"/>
      <c r="S157" s="9"/>
      <c r="T157" s="5993" t="s">
        <v>164</v>
      </c>
      <c r="U157" s="1330" t="s">
        <v>165</v>
      </c>
      <c r="W157" s="162" t="s">
        <v>10</v>
      </c>
      <c r="X157" s="163" t="str">
        <f>X130</f>
        <v>N NAME OF YOUR RECIPE | paste it — FAMILY|  Author &gt; YOU</v>
      </c>
      <c r="Y157" s="163">
        <f>Y130</f>
        <v>1</v>
      </c>
      <c r="Z157" s="164" t="str">
        <f>Z130</f>
        <v>coupe</v>
      </c>
      <c r="AA157" s="165" t="str">
        <f>AA130</f>
        <v>Master recipe ► MILLE-FEUILLE  aux fraises des bois</v>
      </c>
      <c r="AB157" s="508"/>
      <c r="AC157" s="508"/>
      <c r="AD157" s="2063"/>
      <c r="AE157" s="2064" t="s">
        <v>8862</v>
      </c>
      <c r="AF157" s="2065">
        <f ca="1">SUM(AH155:AP155)</f>
        <v>139</v>
      </c>
      <c r="AG157" s="1374">
        <v>0</v>
      </c>
      <c r="AH157" s="1375" t="s">
        <v>8194</v>
      </c>
      <c r="AI157" s="1810"/>
      <c r="AJ157" s="1810"/>
      <c r="AK157" s="1810"/>
      <c r="AL157" s="1810"/>
      <c r="AM157" s="1810"/>
      <c r="AN157" s="9"/>
      <c r="AO157" s="5993" t="s">
        <v>859</v>
      </c>
      <c r="AP157" s="1330" t="s">
        <v>165</v>
      </c>
      <c r="AR157" s="162" t="s">
        <v>10</v>
      </c>
      <c r="AS157" s="163" t="str">
        <f>AS130</f>
        <v>N NOMBRE DE SU RECETA | pegue esto — FAMILIA| Auteur &gt; VOUS</v>
      </c>
      <c r="AT157" s="163">
        <f>AT130</f>
        <v>1</v>
      </c>
      <c r="AU157" s="164" t="str">
        <f>AU130</f>
        <v>coupe</v>
      </c>
      <c r="AV157" s="165" t="str">
        <f>AV130</f>
        <v>Receta madre ► MILLE-FEUILLE  aux fraises des bois</v>
      </c>
      <c r="AW157" s="508"/>
      <c r="AX157" s="508"/>
      <c r="AY157" s="2063"/>
      <c r="AZ157" s="2127" t="s">
        <v>8861</v>
      </c>
      <c r="BA157" s="2065">
        <f ca="1">SUM(BC155:BK155)</f>
        <v>139</v>
      </c>
      <c r="BB157" s="1374">
        <v>0</v>
      </c>
      <c r="BC157" s="1375" t="s">
        <v>8193</v>
      </c>
      <c r="BD157" s="1810"/>
      <c r="BE157" s="1329"/>
      <c r="BF157" s="1810"/>
      <c r="BG157" s="9"/>
      <c r="BH157" s="9"/>
      <c r="BI157" s="9"/>
      <c r="BJ157" s="5993" t="s">
        <v>873</v>
      </c>
      <c r="BK157" s="1330" t="s">
        <v>165</v>
      </c>
      <c r="BM157" s="3">
        <v>1</v>
      </c>
    </row>
    <row r="158" spans="2:65" ht="21" customHeight="1">
      <c r="B158" s="162" t="s">
        <v>10</v>
      </c>
      <c r="C158" s="163" t="str">
        <f>C130</f>
        <v>N NOM DE VOTRE RECETTE | collez la--FAMILLE| Auteur &gt; VOUS</v>
      </c>
      <c r="D158" s="163">
        <f>D130</f>
        <v>1</v>
      </c>
      <c r="E158" s="164" t="str">
        <f>E130</f>
        <v>coupe</v>
      </c>
      <c r="F158" s="165" t="str">
        <f>F130</f>
        <v>Recette mère ► MILLE-FEUILLE  aux fraises des bois</v>
      </c>
      <c r="G158" s="1548"/>
      <c r="H158" s="2189" t="s">
        <v>8771</v>
      </c>
      <c r="I158" s="2190">
        <f>ROWS(M158:M158)</f>
        <v>1</v>
      </c>
      <c r="J158" s="5549" t="str" cm="1">
        <f t="array" ref="J158">IF(SUMPRODUCT((M158:R158&lt;&gt;"")*1)=0,"",SUMPRODUCT((M158:R158&lt;&gt;"")*(LEN(TRIM(SUBSTITUTE(M158:R158,CHAR(160)," "))) - LEN(SUBSTITUTE(TRIM(SUBSTITUTE(M158:R158,CHAR(160)," "))," ","")) + 1)) &amp; " mot" &amp; IF(SUMPRODUCT((M158:R158&lt;&gt;"")*(LEN(TRIM(SUBSTITUTE(M158:R158,CHAR(160)," "))) - LEN(SUBSTITUTE(TRIM(SUBSTITUTE(M158:R158,CHAR(160)," "))," ","")) + 1))&gt;1,"s",""))</f>
        <v>7 mots</v>
      </c>
      <c r="K158" s="5550" t="str" cm="1">
        <f t="array" ref="K158">SUMPRODUCT(--(M158:R158&lt;&gt;""), LEN(TRIM(SUBSTITUTE(M158:R158, CHAR(160), "")))) &amp; " Car."</f>
        <v>30 Car.</v>
      </c>
      <c r="L158" s="1376" t="str">
        <f>IF(ISBLANK(M158),"",LARGE(L157:L157,1)+1)</f>
        <v/>
      </c>
      <c r="M158" s="1810"/>
      <c r="N158" s="1810" t="s">
        <v>8410</v>
      </c>
      <c r="O158" s="1810"/>
      <c r="P158" s="1810"/>
      <c r="Q158" s="1810"/>
      <c r="R158" s="1810"/>
      <c r="S158" s="9"/>
      <c r="T158" s="5993" t="s">
        <v>167</v>
      </c>
      <c r="U158" s="1330" t="s">
        <v>165</v>
      </c>
      <c r="W158" s="162" t="s">
        <v>10</v>
      </c>
      <c r="X158" s="163" t="str">
        <f>X130</f>
        <v>N NAME OF YOUR RECIPE | paste it — FAMILY|  Author &gt; YOU</v>
      </c>
      <c r="Y158" s="163">
        <f>Y130</f>
        <v>1</v>
      </c>
      <c r="Z158" s="164" t="str">
        <f>Z130</f>
        <v>coupe</v>
      </c>
      <c r="AA158" s="165" t="str">
        <f>AA130</f>
        <v>Master recipe ► MILLE-FEUILLE  aux fraises des bois</v>
      </c>
      <c r="AB158" s="1548"/>
      <c r="AC158" s="2189" t="s">
        <v>8772</v>
      </c>
      <c r="AD158" s="2190">
        <f>ROWS(AH158:AH158)</f>
        <v>1</v>
      </c>
      <c r="AE158" s="5549" t="str" cm="1">
        <f t="array" ref="AE158">IF(SUMPRODUCT((AH158:AM158&lt;&gt;"")*1)=0,"",SUMPRODUCT((AH158:AM158&lt;&gt;"")*(LEN(TRIM(SUBSTITUTE(AH158:AM158,CHAR(160)," "))) - LEN(SUBSTITUTE(TRIM(SUBSTITUTE(AH158:AM158,CHAR(160)," "))," ","")) + 1)) &amp; " word" &amp; IF(SUMPRODUCT((AH158:AM158&lt;&gt;"")*(LEN(TRIM(SUBSTITUTE(AH158:AM158,CHAR(160)," "))) - LEN(SUBSTITUTE(TRIM(SUBSTITUTE(AH158:AM158,CHAR(160)," "))," ","")) + 1))&gt;1,"s",""))</f>
        <v>8 words</v>
      </c>
      <c r="AF158" s="5550" t="str" cm="1">
        <f t="array" ref="AF158">SUMPRODUCT(--(AH158:AM158&lt;&gt;""), LEN(TRIM(SUBSTITUTE(AH158:AM158, CHAR(160), "")))) &amp; " Car."</f>
        <v>38 Car.</v>
      </c>
      <c r="AG158" s="1376" t="str">
        <f>IF(ISBLANK(AH158),"",LARGE(AG157:AG157,1)+1)</f>
        <v/>
      </c>
      <c r="AH158" s="1810"/>
      <c r="AI158" s="1810" t="s">
        <v>8580</v>
      </c>
      <c r="AJ158" s="1810"/>
      <c r="AK158" s="1810"/>
      <c r="AL158" s="1810"/>
      <c r="AM158" s="1810"/>
      <c r="AN158" s="9"/>
      <c r="AO158" s="5993" t="s">
        <v>861</v>
      </c>
      <c r="AP158" s="1330" t="s">
        <v>165</v>
      </c>
      <c r="AR158" s="162" t="s">
        <v>10</v>
      </c>
      <c r="AS158" s="163" t="str">
        <f>AS130</f>
        <v>N NOMBRE DE SU RECETA | pegue esto — FAMILIA| Auteur &gt; VOUS</v>
      </c>
      <c r="AT158" s="163">
        <f>AT130</f>
        <v>1</v>
      </c>
      <c r="AU158" s="164" t="str">
        <f>AU130</f>
        <v>coupe</v>
      </c>
      <c r="AV158" s="165" t="str">
        <f>AV130</f>
        <v>Receta madre ► MILLE-FEUILLE  aux fraises des bois</v>
      </c>
      <c r="AW158" s="1548"/>
      <c r="AX158" s="2189" t="s">
        <v>8773</v>
      </c>
      <c r="AY158" s="2190">
        <f>ROWS(BC158:BC158)</f>
        <v>1</v>
      </c>
      <c r="AZ158" s="5549" t="str" cm="1">
        <f t="array" ref="AZ158">IF(SUMPRODUCT((BC158:BH158&lt;&gt;"")*1)=0,"",SUMPRODUCT((BC158:BH158&lt;&gt;"")*(LEN(TRIM(SUBSTITUTE(BC158:BH158,CHAR(160)," "))) - LEN(SUBSTITUTE(TRIM(SUBSTITUTE(BC158:BH158,CHAR(160)," "))," ","")) + 1)) &amp; " palabra" &amp; IF(SUMPRODUCT((BC158:BH158&lt;&gt;"")*(LEN(TRIM(SUBSTITUTE(BC158:BH158,CHAR(160)," "))) - LEN(SUBSTITUTE(TRIM(SUBSTITUTE(BC158:BH158,CHAR(160)," "))," ","")) + 1))&gt;1,"s",""))</f>
        <v>7 palabras</v>
      </c>
      <c r="BA158" s="5550" t="str" cm="1">
        <f t="array" ref="BA158">SUMPRODUCT(--(BC158:BH158&lt;&gt;""), LEN(TRIM(SUBSTITUTE(BC158:BH158, CHAR(160), "")))) &amp; " Car."</f>
        <v>33 Car.</v>
      </c>
      <c r="BB158" s="1376" t="str">
        <f>IF(ISBLANK(BC158),"",LARGE(BB157:BB157,1)+1)</f>
        <v/>
      </c>
      <c r="BC158" s="1810"/>
      <c r="BD158" s="1810" t="s">
        <v>8585</v>
      </c>
      <c r="BE158" s="1810"/>
      <c r="BF158" s="1810"/>
      <c r="BG158" s="1810"/>
      <c r="BH158" s="1810"/>
      <c r="BI158" s="9"/>
      <c r="BJ158" s="5993" t="s">
        <v>875</v>
      </c>
      <c r="BK158" s="1330" t="s">
        <v>165</v>
      </c>
      <c r="BM158" s="3">
        <v>1</v>
      </c>
    </row>
    <row r="159" spans="2:65" ht="21" customHeight="1">
      <c r="B159" s="162" t="s">
        <v>10</v>
      </c>
      <c r="C159" s="163" t="str">
        <f>C130</f>
        <v>N NOM DE VOTRE RECETTE | collez la--FAMILLE| Auteur &gt; VOUS</v>
      </c>
      <c r="D159" s="163">
        <f>D130</f>
        <v>1</v>
      </c>
      <c r="E159" s="164" t="str">
        <f>E130</f>
        <v>coupe</v>
      </c>
      <c r="F159" s="165" t="str">
        <f>F130</f>
        <v>Recette mère ► MILLE-FEUILLE  aux fraises des bois</v>
      </c>
      <c r="G159" s="1548"/>
      <c r="H159" s="1548"/>
      <c r="I159" s="2190">
        <f>ROWS(M158:M159)</f>
        <v>2</v>
      </c>
      <c r="J159" s="5549" t="str" cm="1">
        <f t="array" ref="J159">IF(SUMPRODUCT((M159:R159&lt;&gt;"")*1)=0,"",SUMPRODUCT((M159:R159&lt;&gt;"")*(LEN(TRIM(SUBSTITUTE(M159:R159,CHAR(160)," "))) - LEN(SUBSTITUTE(TRIM(SUBSTITUTE(M159:R159,CHAR(160)," "))," ","")) + 1)) &amp; " mot" &amp; IF(SUMPRODUCT((M159:R159&lt;&gt;"")*(LEN(TRIM(SUBSTITUTE(M159:R159,CHAR(160)," "))) - LEN(SUBSTITUTE(TRIM(SUBSTITUTE(M159:R159,CHAR(160)," "))," ","")) + 1))&gt;1,"s",""))</f>
        <v>6 mots</v>
      </c>
      <c r="K159" s="5550" t="str" cm="1">
        <f t="array" ref="K159">SUMPRODUCT(--(M159:R159&lt;&gt;""), LEN(TRIM(SUBSTITUTE(M159:R159, CHAR(160), "")))) &amp; " Car."</f>
        <v>33 Car.</v>
      </c>
      <c r="L159" s="1376" t="str">
        <f>IF(ISBLANK(M159),"",LARGE(L157:L158,1)+1)</f>
        <v/>
      </c>
      <c r="M159" s="1810"/>
      <c r="N159" s="1810" t="s">
        <v>8408</v>
      </c>
      <c r="O159" s="1810"/>
      <c r="P159" s="1810"/>
      <c r="Q159" s="1810"/>
      <c r="R159" s="1810"/>
      <c r="S159" s="1810"/>
      <c r="T159" s="5994" t="s">
        <v>171</v>
      </c>
      <c r="U159" s="5564">
        <v>3.472222222222222E-3</v>
      </c>
      <c r="W159" s="162" t="s">
        <v>10</v>
      </c>
      <c r="X159" s="163" t="str">
        <f>X130</f>
        <v>N NAME OF YOUR RECIPE | paste it — FAMILY|  Author &gt; YOU</v>
      </c>
      <c r="Y159" s="163">
        <f>Y130</f>
        <v>1</v>
      </c>
      <c r="Z159" s="164" t="str">
        <f>Z130</f>
        <v>coupe</v>
      </c>
      <c r="AA159" s="165" t="str">
        <f>AA130</f>
        <v>Master recipe ► MILLE-FEUILLE  aux fraises des bois</v>
      </c>
      <c r="AB159" s="1548"/>
      <c r="AC159" s="1548"/>
      <c r="AD159" s="2190">
        <f>ROWS(AH158:AH159)</f>
        <v>2</v>
      </c>
      <c r="AE159" s="5549" t="str" cm="1">
        <f t="array" ref="AE159">IF(SUMPRODUCT((AH159:AM159&lt;&gt;"")*1)=0,"",SUMPRODUCT((AH159:AM159&lt;&gt;"")*(LEN(TRIM(SUBSTITUTE(AH159:AM159,CHAR(160)," "))) - LEN(SUBSTITUTE(TRIM(SUBSTITUTE(AH159:AM159,CHAR(160)," "))," ","")) + 1)) &amp; " word" &amp; IF(SUMPRODUCT((AH159:AM159&lt;&gt;"")*(LEN(TRIM(SUBSTITUTE(AH159:AM159,CHAR(160)," "))) - LEN(SUBSTITUTE(TRIM(SUBSTITUTE(AH159:AM159,CHAR(160)," "))," ","")) + 1))&gt;1,"s",""))</f>
        <v>6 words</v>
      </c>
      <c r="AF159" s="5550" t="str" cm="1">
        <f t="array" ref="AF159">SUMPRODUCT(--(AH159:AM159&lt;&gt;""), LEN(TRIM(SUBSTITUTE(AH159:AM159, CHAR(160), "")))) &amp; " Car."</f>
        <v>28 Car.</v>
      </c>
      <c r="AG159" s="1376" t="str">
        <f>IF(ISBLANK(AH159),"",LARGE(AG157:AG158,1)+1)</f>
        <v/>
      </c>
      <c r="AH159" s="1810"/>
      <c r="AI159" s="1810" t="s">
        <v>8581</v>
      </c>
      <c r="AJ159" s="1810"/>
      <c r="AK159" s="1810"/>
      <c r="AL159" s="1810"/>
      <c r="AM159" s="1810"/>
      <c r="AN159" s="1810"/>
      <c r="AO159" s="5994" t="s">
        <v>14172</v>
      </c>
      <c r="AP159" s="5564">
        <v>3.472222222222222E-3</v>
      </c>
      <c r="AR159" s="162" t="s">
        <v>10</v>
      </c>
      <c r="AS159" s="163" t="str">
        <f>AS130</f>
        <v>N NOMBRE DE SU RECETA | pegue esto — FAMILIA| Auteur &gt; VOUS</v>
      </c>
      <c r="AT159" s="163">
        <f>AT130</f>
        <v>1</v>
      </c>
      <c r="AU159" s="164" t="str">
        <f>AU130</f>
        <v>coupe</v>
      </c>
      <c r="AV159" s="165" t="str">
        <f>AV130</f>
        <v>Receta madre ► MILLE-FEUILLE  aux fraises des bois</v>
      </c>
      <c r="AW159" s="1548"/>
      <c r="AX159" s="1548"/>
      <c r="AY159" s="2190">
        <f>ROWS(BC158:BC159)</f>
        <v>2</v>
      </c>
      <c r="AZ159" s="5549" t="str" cm="1">
        <f t="array" ref="AZ159">IF(SUMPRODUCT((BC159:BH159&lt;&gt;"")*1)=0,"",SUMPRODUCT((BC159:BH159&lt;&gt;"")*(LEN(TRIM(SUBSTITUTE(BC159:BH159,CHAR(160)," "))) - LEN(SUBSTITUTE(TRIM(SUBSTITUTE(BC159:BH159,CHAR(160)," "))," ","")) + 1)) &amp; " palabra" &amp; IF(SUMPRODUCT((BC159:BH159&lt;&gt;"")*(LEN(TRIM(SUBSTITUTE(BC159:BH159,CHAR(160)," "))) - LEN(SUBSTITUTE(TRIM(SUBSTITUTE(BC159:BH159,CHAR(160)," "))," ","")) + 1))&gt;1,"s",""))</f>
        <v>6 palabras</v>
      </c>
      <c r="BA159" s="5550" t="str" cm="1">
        <f t="array" ref="BA159">SUMPRODUCT(--(BC159:BH159&lt;&gt;""), LEN(TRIM(SUBSTITUTE(BC159:BH159, CHAR(160), "")))) &amp; " Car."</f>
        <v>32 Car.</v>
      </c>
      <c r="BB159" s="1376" t="str">
        <f>IF(ISBLANK(BC159),"",LARGE(BB157:BB158,1)+1)</f>
        <v/>
      </c>
      <c r="BC159" s="1810"/>
      <c r="BD159" s="1810" t="s">
        <v>8586</v>
      </c>
      <c r="BE159" s="1810"/>
      <c r="BF159" s="1810"/>
      <c r="BG159" s="1810"/>
      <c r="BH159" s="1810"/>
      <c r="BI159" s="1810"/>
      <c r="BJ159" s="5994" t="s">
        <v>651</v>
      </c>
      <c r="BK159" s="5564">
        <v>3.472222222222222E-3</v>
      </c>
      <c r="BM159" s="3">
        <v>1</v>
      </c>
    </row>
    <row r="160" spans="2:65" ht="21" customHeight="1">
      <c r="B160" s="162" t="s">
        <v>10</v>
      </c>
      <c r="C160" s="163" t="str">
        <f>C130</f>
        <v>N NOM DE VOTRE RECETTE | collez la--FAMILLE| Auteur &gt; VOUS</v>
      </c>
      <c r="D160" s="163">
        <f>D130</f>
        <v>1</v>
      </c>
      <c r="E160" s="164" t="str">
        <f>E130</f>
        <v>coupe</v>
      </c>
      <c r="F160" s="165" t="str">
        <f>F130</f>
        <v>Recette mère ► MILLE-FEUILLE  aux fraises des bois</v>
      </c>
      <c r="G160" s="1548"/>
      <c r="H160" s="1548"/>
      <c r="I160" s="2190">
        <f>ROWS(M158:M160)</f>
        <v>3</v>
      </c>
      <c r="J160" s="5549" t="str" cm="1">
        <f t="array" ref="J160">IF(SUMPRODUCT((M160:R160&lt;&gt;"")*1)=0,"",SUMPRODUCT((M160:R160&lt;&gt;"")*(LEN(TRIM(SUBSTITUTE(M160:R160,CHAR(160)," "))) - LEN(SUBSTITUTE(TRIM(SUBSTITUTE(M160:R160,CHAR(160)," "))," ","")) + 1)) &amp; " mot" &amp; IF(SUMPRODUCT((M160:R160&lt;&gt;"")*(LEN(TRIM(SUBSTITUTE(M160:R160,CHAR(160)," "))) - LEN(SUBSTITUTE(TRIM(SUBSTITUTE(M160:R160,CHAR(160)," "))," ","")) + 1))&gt;1,"s",""))</f>
        <v>3 mots</v>
      </c>
      <c r="K160" s="5550" t="str" cm="1">
        <f t="array" ref="K160">SUMPRODUCT(--(M160:R160&lt;&gt;""), LEN(TRIM(SUBSTITUTE(M160:R160, CHAR(160), "")))) &amp; " Car."</f>
        <v>23 Car.</v>
      </c>
      <c r="L160" s="1376" t="str">
        <f>IF(ISBLANK(M160),"",LARGE(L157:L159,1)+1)</f>
        <v/>
      </c>
      <c r="M160" s="1810"/>
      <c r="N160" s="1810" t="s">
        <v>8409</v>
      </c>
      <c r="O160" s="1810"/>
      <c r="P160" s="1810"/>
      <c r="Q160" s="1810"/>
      <c r="R160" s="1810"/>
      <c r="S160" s="1810"/>
      <c r="T160" s="5994" t="s">
        <v>173</v>
      </c>
      <c r="U160" s="5565">
        <v>1.0416666666666666E-2</v>
      </c>
      <c r="W160" s="162" t="s">
        <v>10</v>
      </c>
      <c r="X160" s="163" t="str">
        <f>X130</f>
        <v>N NAME OF YOUR RECIPE | paste it — FAMILY|  Author &gt; YOU</v>
      </c>
      <c r="Y160" s="163">
        <f>Y130</f>
        <v>1</v>
      </c>
      <c r="Z160" s="164" t="str">
        <f>Z130</f>
        <v>coupe</v>
      </c>
      <c r="AA160" s="165" t="str">
        <f>AA130</f>
        <v>Master recipe ► MILLE-FEUILLE  aux fraises des bois</v>
      </c>
      <c r="AB160" s="1548"/>
      <c r="AC160" s="1548"/>
      <c r="AD160" s="2190">
        <f>ROWS(AH158:AH160)</f>
        <v>3</v>
      </c>
      <c r="AE160" s="5549" t="str" cm="1">
        <f t="array" ref="AE160">IF(SUMPRODUCT((AH160:AM160&lt;&gt;"")*1)=0,"",SUMPRODUCT((AH160:AM160&lt;&gt;"")*(LEN(TRIM(SUBSTITUTE(AH160:AM160,CHAR(160)," "))) - LEN(SUBSTITUTE(TRIM(SUBSTITUTE(AH160:AM160,CHAR(160)," "))," ","")) + 1)) &amp; " word" &amp; IF(SUMPRODUCT((AH160:AM160&lt;&gt;"")*(LEN(TRIM(SUBSTITUTE(AH160:AM160,CHAR(160)," "))) - LEN(SUBSTITUTE(TRIM(SUBSTITUTE(AH160:AM160,CHAR(160)," "))," ","")) + 1))&gt;1,"s",""))</f>
        <v>7 words</v>
      </c>
      <c r="AF160" s="5550" t="str" cm="1">
        <f t="array" ref="AF160">SUMPRODUCT(--(AH160:AM160&lt;&gt;""), LEN(TRIM(SUBSTITUTE(AH160:AM160, CHAR(160), "")))) &amp; " Car."</f>
        <v>22 Car.</v>
      </c>
      <c r="AG160" s="1376" t="str">
        <f>IF(ISBLANK(AH160),"",LARGE(AG157:AG159,1)+1)</f>
        <v/>
      </c>
      <c r="AH160" s="1810"/>
      <c r="AI160" s="1810" t="s">
        <v>8582</v>
      </c>
      <c r="AJ160" s="1810"/>
      <c r="AK160" s="1810"/>
      <c r="AL160" s="1810"/>
      <c r="AM160" s="1810"/>
      <c r="AN160" s="1810"/>
      <c r="AO160" s="5994" t="s">
        <v>655</v>
      </c>
      <c r="AP160" s="5565">
        <v>1.0416666666666666E-2</v>
      </c>
      <c r="AR160" s="162" t="s">
        <v>10</v>
      </c>
      <c r="AS160" s="163" t="str">
        <f>AS130</f>
        <v>N NOMBRE DE SU RECETA | pegue esto — FAMILIA| Auteur &gt; VOUS</v>
      </c>
      <c r="AT160" s="163">
        <f>AT130</f>
        <v>1</v>
      </c>
      <c r="AU160" s="164" t="str">
        <f>AU130</f>
        <v>coupe</v>
      </c>
      <c r="AV160" s="165" t="str">
        <f>AV130</f>
        <v>Receta madre ► MILLE-FEUILLE  aux fraises des bois</v>
      </c>
      <c r="AW160" s="1548"/>
      <c r="AX160" s="1548"/>
      <c r="AY160" s="2190">
        <f>ROWS(BC158:BC160)</f>
        <v>3</v>
      </c>
      <c r="AZ160" s="5549" t="str" cm="1">
        <f t="array" ref="AZ160">IF(SUMPRODUCT((BC160:BH160&lt;&gt;"")*1)=0,"",SUMPRODUCT((BC160:BH160&lt;&gt;"")*(LEN(TRIM(SUBSTITUTE(BC160:BH160,CHAR(160)," "))) - LEN(SUBSTITUTE(TRIM(SUBSTITUTE(BC160:BH160,CHAR(160)," "))," ","")) + 1)) &amp; " palabra" &amp; IF(SUMPRODUCT((BC160:BH160&lt;&gt;"")*(LEN(TRIM(SUBSTITUTE(BC160:BH160,CHAR(160)," "))) - LEN(SUBSTITUTE(TRIM(SUBSTITUTE(BC160:BH160,CHAR(160)," "))," ","")) + 1))&gt;1,"s",""))</f>
        <v>7 palabras</v>
      </c>
      <c r="BA160" s="5550" t="str" cm="1">
        <f t="array" ref="BA160">SUMPRODUCT(--(BC160:BH160&lt;&gt;""), LEN(TRIM(SUBSTITUTE(BC160:BH160, CHAR(160), "")))) &amp; " Car."</f>
        <v>25 Car.</v>
      </c>
      <c r="BB160" s="1376" t="str">
        <f>IF(ISBLANK(BC160),"",LARGE(BB157:BB159,1)+1)</f>
        <v/>
      </c>
      <c r="BC160" s="1810"/>
      <c r="BD160" s="1810" t="s">
        <v>8587</v>
      </c>
      <c r="BE160" s="1810"/>
      <c r="BF160" s="1810"/>
      <c r="BG160" s="1810"/>
      <c r="BH160" s="1810"/>
      <c r="BI160" s="1810"/>
      <c r="BJ160" s="5994" t="s">
        <v>656</v>
      </c>
      <c r="BK160" s="5565">
        <v>1.0416666666666666E-2</v>
      </c>
      <c r="BM160" s="3">
        <v>1</v>
      </c>
    </row>
    <row r="161" spans="2:65" ht="21" customHeight="1">
      <c r="B161" s="162" t="s">
        <v>10</v>
      </c>
      <c r="C161" s="163" t="str">
        <f>C130</f>
        <v>N NOM DE VOTRE RECETTE | collez la--FAMILLE| Auteur &gt; VOUS</v>
      </c>
      <c r="D161" s="163">
        <f>D130</f>
        <v>1</v>
      </c>
      <c r="E161" s="164" t="str">
        <f>E130</f>
        <v>coupe</v>
      </c>
      <c r="F161" s="165" t="str">
        <f>F130</f>
        <v>Recette mère ► MILLE-FEUILLE  aux fraises des bois</v>
      </c>
      <c r="G161" s="1548"/>
      <c r="H161" s="1548"/>
      <c r="I161" s="2190">
        <f>ROWS(M158:M161)</f>
        <v>4</v>
      </c>
      <c r="J161" s="5549" t="str" cm="1">
        <f t="array" ref="J161">IF(SUMPRODUCT((M161:R161&lt;&gt;"")*1)=0,"",SUMPRODUCT((M161:R161&lt;&gt;"")*(LEN(TRIM(SUBSTITUTE(M161:R161,CHAR(160)," "))) - LEN(SUBSTITUTE(TRIM(SUBSTITUTE(M161:R161,CHAR(160)," "))," ","")) + 1)) &amp; " mot" &amp; IF(SUMPRODUCT((M161:R161&lt;&gt;"")*(LEN(TRIM(SUBSTITUTE(M161:R161,CHAR(160)," "))) - LEN(SUBSTITUTE(TRIM(SUBSTITUTE(M161:R161,CHAR(160)," "))," ","")) + 1))&gt;1,"s",""))</f>
        <v/>
      </c>
      <c r="K161" s="5550" t="str" cm="1">
        <f t="array" ref="K161">SUMPRODUCT(--(M161:R161&lt;&gt;""), LEN(TRIM(SUBSTITUTE(M161:R161, CHAR(160), "")))) &amp; " Car."</f>
        <v>0 Car.</v>
      </c>
      <c r="L161" s="1376" t="str">
        <f>IF(ISBLANK(M161),"",LARGE(L157:L160,1)+1)</f>
        <v/>
      </c>
      <c r="M161" s="1810"/>
      <c r="N161" s="1833"/>
      <c r="O161" s="1810"/>
      <c r="P161" s="1810"/>
      <c r="Q161" s="1810"/>
      <c r="R161" s="1810"/>
      <c r="S161" s="1810"/>
      <c r="T161" s="5994" t="s">
        <v>181</v>
      </c>
      <c r="U161" s="178">
        <v>2.0833333333333332E-2</v>
      </c>
      <c r="W161" s="162" t="s">
        <v>10</v>
      </c>
      <c r="X161" s="163" t="str">
        <f>X130</f>
        <v>N NAME OF YOUR RECIPE | paste it — FAMILY|  Author &gt; YOU</v>
      </c>
      <c r="Y161" s="163">
        <f>Y130</f>
        <v>1</v>
      </c>
      <c r="Z161" s="164" t="str">
        <f>Z130</f>
        <v>coupe</v>
      </c>
      <c r="AA161" s="165" t="str">
        <f>AA130</f>
        <v>Master recipe ► MILLE-FEUILLE  aux fraises des bois</v>
      </c>
      <c r="AB161" s="1548"/>
      <c r="AC161" s="1548"/>
      <c r="AD161" s="2190">
        <f>ROWS(AH158:AH161)</f>
        <v>4</v>
      </c>
      <c r="AE161" s="5549" t="str" cm="1">
        <f t="array" ref="AE161">IF(SUMPRODUCT((AH161:AM161&lt;&gt;"")*1)=0,"",SUMPRODUCT((AH161:AM161&lt;&gt;"")*(LEN(TRIM(SUBSTITUTE(AH161:AM161,CHAR(160)," "))) - LEN(SUBSTITUTE(TRIM(SUBSTITUTE(AH161:AM161,CHAR(160)," "))," ","")) + 1)) &amp; " word" &amp; IF(SUMPRODUCT((AH161:AM161&lt;&gt;"")*(LEN(TRIM(SUBSTITUTE(AH161:AM161,CHAR(160)," "))) - LEN(SUBSTITUTE(TRIM(SUBSTITUTE(AH161:AM161,CHAR(160)," "))," ","")) + 1))&gt;1,"s",""))</f>
        <v/>
      </c>
      <c r="AF161" s="5550" t="str" cm="1">
        <f t="array" ref="AF161">SUMPRODUCT(--(AH161:AM161&lt;&gt;""), LEN(TRIM(SUBSTITUTE(AH161:AM161, CHAR(160), "")))) &amp; " Car."</f>
        <v>0 Car.</v>
      </c>
      <c r="AG161" s="1376" t="str">
        <f>IF(ISBLANK(AH161),"",LARGE(AG157:AG160,1)+1)</f>
        <v/>
      </c>
      <c r="AH161" s="1810"/>
      <c r="AI161" s="1833"/>
      <c r="AJ161" s="1810"/>
      <c r="AK161" s="1810"/>
      <c r="AL161" s="1810"/>
      <c r="AM161" s="1810"/>
      <c r="AN161" s="1810"/>
      <c r="AO161" s="5994" t="s">
        <v>657</v>
      </c>
      <c r="AP161" s="178">
        <v>2.0833333333333332E-2</v>
      </c>
      <c r="AR161" s="162" t="s">
        <v>10</v>
      </c>
      <c r="AS161" s="163" t="str">
        <f>AS130</f>
        <v>N NOMBRE DE SU RECETA | pegue esto — FAMILIA| Auteur &gt; VOUS</v>
      </c>
      <c r="AT161" s="163">
        <f>AT130</f>
        <v>1</v>
      </c>
      <c r="AU161" s="164" t="str">
        <f>AU130</f>
        <v>coupe</v>
      </c>
      <c r="AV161" s="165" t="str">
        <f>AV130</f>
        <v>Receta madre ► MILLE-FEUILLE  aux fraises des bois</v>
      </c>
      <c r="AW161" s="1548"/>
      <c r="AX161" s="1548"/>
      <c r="AY161" s="2190">
        <f>ROWS(BC158:BC161)</f>
        <v>4</v>
      </c>
      <c r="AZ161" s="5549" t="str" cm="1">
        <f t="array" ref="AZ161">IF(SUMPRODUCT((BC161:BH161&lt;&gt;"")*1)=0,"",SUMPRODUCT((BC161:BH161&lt;&gt;"")*(LEN(TRIM(SUBSTITUTE(BC161:BH161,CHAR(160)," "))) - LEN(SUBSTITUTE(TRIM(SUBSTITUTE(BC161:BH161,CHAR(160)," "))," ","")) + 1)) &amp; " palabra" &amp; IF(SUMPRODUCT((BC161:BH161&lt;&gt;"")*(LEN(TRIM(SUBSTITUTE(BC161:BH161,CHAR(160)," "))) - LEN(SUBSTITUTE(TRIM(SUBSTITUTE(BC161:BH161,CHAR(160)," "))," ","")) + 1))&gt;1,"s",""))</f>
        <v/>
      </c>
      <c r="BA161" s="5550" t="str" cm="1">
        <f t="array" ref="BA161">SUMPRODUCT(--(BC161:BH161&lt;&gt;""), LEN(TRIM(SUBSTITUTE(BC161:BH161, CHAR(160), "")))) &amp; " Car."</f>
        <v>0 Car.</v>
      </c>
      <c r="BB161" s="1376" t="str">
        <f>IF(ISBLANK(BC161),"",LARGE(BB157:BB160,1)+1)</f>
        <v/>
      </c>
      <c r="BC161" s="1810"/>
      <c r="BD161" s="1833"/>
      <c r="BE161" s="1810"/>
      <c r="BF161" s="1810"/>
      <c r="BG161" s="1810"/>
      <c r="BH161" s="1810"/>
      <c r="BI161" s="1810"/>
      <c r="BJ161" s="5994" t="s">
        <v>877</v>
      </c>
      <c r="BK161" s="178">
        <v>2.0833333333333332E-2</v>
      </c>
      <c r="BM161" s="3">
        <v>1</v>
      </c>
    </row>
    <row r="162" spans="2:65" ht="21" customHeight="1">
      <c r="B162" s="162" t="s">
        <v>10</v>
      </c>
      <c r="C162" s="163" t="str">
        <f>C130</f>
        <v>N NOM DE VOTRE RECETTE | collez la--FAMILLE| Auteur &gt; VOUS</v>
      </c>
      <c r="D162" s="163">
        <f>D130</f>
        <v>1</v>
      </c>
      <c r="E162" s="164" t="str">
        <f>E130</f>
        <v>coupe</v>
      </c>
      <c r="F162" s="165" t="str">
        <f>F130</f>
        <v>Recette mère ► MILLE-FEUILLE  aux fraises des bois</v>
      </c>
      <c r="G162" s="1548"/>
      <c r="H162" s="1548"/>
      <c r="I162" s="2190">
        <f>ROWS(M158:M162)</f>
        <v>5</v>
      </c>
      <c r="J162" s="5549" t="str" cm="1">
        <f t="array" ref="J162">IF(SUMPRODUCT((M162:R162&lt;&gt;"")*1)=0,"",SUMPRODUCT((M162:R162&lt;&gt;"")*(LEN(TRIM(SUBSTITUTE(M162:R162,CHAR(160)," "))) - LEN(SUBSTITUTE(TRIM(SUBSTITUTE(M162:R162,CHAR(160)," "))," ","")) + 1)) &amp; " mot" &amp; IF(SUMPRODUCT((M162:R162&lt;&gt;"")*(LEN(TRIM(SUBSTITUTE(M162:R162,CHAR(160)," "))) - LEN(SUBSTITUTE(TRIM(SUBSTITUTE(M162:R162,CHAR(160)," "))," ","")) + 1))&gt;1,"s",""))</f>
        <v/>
      </c>
      <c r="K162" s="5550" t="str" cm="1">
        <f t="array" ref="K162">SUMPRODUCT(--(M162:R162&lt;&gt;""), LEN(TRIM(SUBSTITUTE(M162:R162, CHAR(160), "")))) &amp; " Car."</f>
        <v>0 Car.</v>
      </c>
      <c r="L162" s="1376" t="str">
        <f>IF(ISBLANK(M162),"",LARGE(L157:L161,1)+1)</f>
        <v/>
      </c>
      <c r="M162" s="1810"/>
      <c r="N162" s="1810"/>
      <c r="O162" s="1810"/>
      <c r="P162" s="1810"/>
      <c r="Q162" s="1810"/>
      <c r="R162" s="1810"/>
      <c r="S162" s="1810"/>
      <c r="T162" s="179" t="s">
        <v>182</v>
      </c>
      <c r="U162" s="180">
        <f>U159+U160+U161</f>
        <v>3.4722222222222224E-2</v>
      </c>
      <c r="W162" s="162" t="s">
        <v>10</v>
      </c>
      <c r="X162" s="163" t="str">
        <f>X130</f>
        <v>N NAME OF YOUR RECIPE | paste it — FAMILY|  Author &gt; YOU</v>
      </c>
      <c r="Y162" s="163">
        <f>Y130</f>
        <v>1</v>
      </c>
      <c r="Z162" s="164" t="str">
        <f>Z130</f>
        <v>coupe</v>
      </c>
      <c r="AA162" s="165" t="str">
        <f>AA130</f>
        <v>Master recipe ► MILLE-FEUILLE  aux fraises des bois</v>
      </c>
      <c r="AB162" s="1548"/>
      <c r="AC162" s="1548"/>
      <c r="AD162" s="2190">
        <f>ROWS(AH158:AH162)</f>
        <v>5</v>
      </c>
      <c r="AE162" s="5549" t="str" cm="1">
        <f t="array" ref="AE162">IF(SUMPRODUCT((AH162:AM162&lt;&gt;"")*1)=0,"",SUMPRODUCT((AH162:AM162&lt;&gt;"")*(LEN(TRIM(SUBSTITUTE(AH162:AM162,CHAR(160)," "))) - LEN(SUBSTITUTE(TRIM(SUBSTITUTE(AH162:AM162,CHAR(160)," "))," ","")) + 1)) &amp; " word" &amp; IF(SUMPRODUCT((AH162:AM162&lt;&gt;"")*(LEN(TRIM(SUBSTITUTE(AH162:AM162,CHAR(160)," "))) - LEN(SUBSTITUTE(TRIM(SUBSTITUTE(AH162:AM162,CHAR(160)," "))," ","")) + 1))&gt;1,"s",""))</f>
        <v/>
      </c>
      <c r="AF162" s="5550" t="str" cm="1">
        <f t="array" ref="AF162">SUMPRODUCT(--(AH162:AM162&lt;&gt;""), LEN(TRIM(SUBSTITUTE(AH162:AM162, CHAR(160), "")))) &amp; " Car."</f>
        <v>0 Car.</v>
      </c>
      <c r="AG162" s="1376" t="str">
        <f>IF(ISBLANK(AH162),"",LARGE(AG157:AG161,1)+1)</f>
        <v/>
      </c>
      <c r="AH162" s="1810"/>
      <c r="AI162" s="1810"/>
      <c r="AJ162" s="1810"/>
      <c r="AK162" s="1810"/>
      <c r="AL162" s="1810"/>
      <c r="AM162" s="1810"/>
      <c r="AN162" s="1810"/>
      <c r="AO162" s="179" t="s">
        <v>182</v>
      </c>
      <c r="AP162" s="180">
        <f>AP159+AP160+AP161</f>
        <v>3.4722222222222224E-2</v>
      </c>
      <c r="AR162" s="162" t="s">
        <v>10</v>
      </c>
      <c r="AS162" s="163" t="str">
        <f>AS130</f>
        <v>N NOMBRE DE SU RECETA | pegue esto — FAMILIA| Auteur &gt; VOUS</v>
      </c>
      <c r="AT162" s="163">
        <f>AT130</f>
        <v>1</v>
      </c>
      <c r="AU162" s="164" t="str">
        <f>AU130</f>
        <v>coupe</v>
      </c>
      <c r="AV162" s="165" t="str">
        <f>AV130</f>
        <v>Receta madre ► MILLE-FEUILLE  aux fraises des bois</v>
      </c>
      <c r="AW162" s="1548"/>
      <c r="AX162" s="1548"/>
      <c r="AY162" s="2190">
        <f>ROWS(BC158:BC162)</f>
        <v>5</v>
      </c>
      <c r="AZ162" s="5549" t="str" cm="1">
        <f t="array" ref="AZ162">IF(SUMPRODUCT((BC162:BH162&lt;&gt;"")*1)=0,"",SUMPRODUCT((BC162:BH162&lt;&gt;"")*(LEN(TRIM(SUBSTITUTE(BC162:BH162,CHAR(160)," "))) - LEN(SUBSTITUTE(TRIM(SUBSTITUTE(BC162:BH162,CHAR(160)," "))," ","")) + 1)) &amp; " palabra" &amp; IF(SUMPRODUCT((BC162:BH162&lt;&gt;"")*(LEN(TRIM(SUBSTITUTE(BC162:BH162,CHAR(160)," "))) - LEN(SUBSTITUTE(TRIM(SUBSTITUTE(BC162:BH162,CHAR(160)," "))," ","")) + 1))&gt;1,"s",""))</f>
        <v/>
      </c>
      <c r="BA162" s="5550" t="str" cm="1">
        <f t="array" ref="BA162">SUMPRODUCT(--(BC162:BH162&lt;&gt;""), LEN(TRIM(SUBSTITUTE(BC162:BH162, CHAR(160), "")))) &amp; " Car."</f>
        <v>0 Car.</v>
      </c>
      <c r="BB162" s="1376" t="str">
        <f>IF(ISBLANK(BC162),"",LARGE(BB157:BB161,1)+1)</f>
        <v/>
      </c>
      <c r="BC162" s="1810"/>
      <c r="BD162" s="1810"/>
      <c r="BE162" s="1810"/>
      <c r="BF162" s="1810"/>
      <c r="BG162" s="1810"/>
      <c r="BH162" s="1810"/>
      <c r="BI162" s="1810"/>
      <c r="BJ162" s="179" t="s">
        <v>182</v>
      </c>
      <c r="BK162" s="180">
        <f>BK159+BK160+BK161</f>
        <v>3.4722222222222224E-2</v>
      </c>
      <c r="BM162" s="3">
        <v>1</v>
      </c>
    </row>
    <row r="163" spans="2:65" ht="21" customHeight="1">
      <c r="B163" s="162" t="s">
        <v>10</v>
      </c>
      <c r="C163" s="163" t="str">
        <f>C130</f>
        <v>N NOM DE VOTRE RECETTE | collez la--FAMILLE| Auteur &gt; VOUS</v>
      </c>
      <c r="D163" s="163">
        <f>D130</f>
        <v>1</v>
      </c>
      <c r="E163" s="164" t="str">
        <f>E130</f>
        <v>coupe</v>
      </c>
      <c r="F163" s="165" t="str">
        <f>F130</f>
        <v>Recette mère ► MILLE-FEUILLE  aux fraises des bois</v>
      </c>
      <c r="G163" s="1548"/>
      <c r="H163" s="1548"/>
      <c r="I163" s="2190">
        <f>ROWS(M158:M163)</f>
        <v>6</v>
      </c>
      <c r="J163" s="5549" t="str" cm="1">
        <f t="array" ref="J163">IF(SUMPRODUCT((M163:R163&lt;&gt;"")*1)=0,"",SUMPRODUCT((M163:R163&lt;&gt;"")*(LEN(TRIM(SUBSTITUTE(M163:R163,CHAR(160)," "))) - LEN(SUBSTITUTE(TRIM(SUBSTITUTE(M163:R163,CHAR(160)," "))," ","")) + 1)) &amp; " mot" &amp; IF(SUMPRODUCT((M163:R163&lt;&gt;"")*(LEN(TRIM(SUBSTITUTE(M163:R163,CHAR(160)," "))) - LEN(SUBSTITUTE(TRIM(SUBSTITUTE(M163:R163,CHAR(160)," "))," ","")) + 1))&gt;1,"s",""))</f>
        <v>5 mots</v>
      </c>
      <c r="K163" s="5550" t="str" cm="1">
        <f t="array" ref="K163">SUMPRODUCT(--(M163:R163&lt;&gt;""), LEN(TRIM(SUBSTITUTE(M163:R163, CHAR(160), "")))) &amp; " Car."</f>
        <v>43 Car.</v>
      </c>
      <c r="L163" s="1376">
        <f>IF(ISBLANK(M163),"",LARGE(L157:L162,1)+1)</f>
        <v>1</v>
      </c>
      <c r="M163" s="1810" t="s">
        <v>8578</v>
      </c>
      <c r="N163" s="1833"/>
      <c r="O163" s="1810"/>
      <c r="P163" s="1810"/>
      <c r="Q163" s="1810"/>
      <c r="R163" s="1810"/>
      <c r="S163" s="1810"/>
      <c r="T163" s="1810"/>
      <c r="U163" s="1811"/>
      <c r="W163" s="162" t="s">
        <v>10</v>
      </c>
      <c r="X163" s="163" t="str">
        <f>X130</f>
        <v>N NAME OF YOUR RECIPE | paste it — FAMILY|  Author &gt; YOU</v>
      </c>
      <c r="Y163" s="163">
        <f>Y130</f>
        <v>1</v>
      </c>
      <c r="Z163" s="164" t="str">
        <f>Z130</f>
        <v>coupe</v>
      </c>
      <c r="AA163" s="165" t="str">
        <f>AA130</f>
        <v>Master recipe ► MILLE-FEUILLE  aux fraises des bois</v>
      </c>
      <c r="AB163" s="1548"/>
      <c r="AC163" s="1548"/>
      <c r="AD163" s="2190">
        <f>ROWS(AH158:AH163)</f>
        <v>6</v>
      </c>
      <c r="AE163" s="5549" t="str" cm="1">
        <f t="array" ref="AE163">IF(SUMPRODUCT((AH163:AM163&lt;&gt;"")*1)=0,"",SUMPRODUCT((AH163:AM163&lt;&gt;"")*(LEN(TRIM(SUBSTITUTE(AH163:AM163,CHAR(160)," "))) - LEN(SUBSTITUTE(TRIM(SUBSTITUTE(AH163:AM163,CHAR(160)," "))," ","")) + 1)) &amp; " word" &amp; IF(SUMPRODUCT((AH163:AM163&lt;&gt;"")*(LEN(TRIM(SUBSTITUTE(AH163:AM163,CHAR(160)," "))) - LEN(SUBSTITUTE(TRIM(SUBSTITUTE(AH163:AM163,CHAR(160)," "))," ","")) + 1))&gt;1,"s",""))</f>
        <v>4 words</v>
      </c>
      <c r="AF163" s="5550" t="str" cm="1">
        <f t="array" ref="AF163">SUMPRODUCT(--(AH163:AM163&lt;&gt;""), LEN(TRIM(SUBSTITUTE(AH163:AM163, CHAR(160), "")))) &amp; " Car."</f>
        <v>29 Car.</v>
      </c>
      <c r="AG163" s="1376">
        <f>IF(ISBLANK(AH163),"",LARGE(AG157:AG162,1)+1)</f>
        <v>1</v>
      </c>
      <c r="AH163" s="1810" t="s">
        <v>8583</v>
      </c>
      <c r="AI163" s="1833"/>
      <c r="AJ163" s="1810"/>
      <c r="AK163" s="1810"/>
      <c r="AL163" s="1810"/>
      <c r="AM163" s="1810"/>
      <c r="AN163" s="1810"/>
      <c r="AO163" s="1810"/>
      <c r="AP163" s="1811"/>
      <c r="AR163" s="162" t="s">
        <v>10</v>
      </c>
      <c r="AS163" s="163" t="str">
        <f>AS130</f>
        <v>N NOMBRE DE SU RECETA | pegue esto — FAMILIA| Auteur &gt; VOUS</v>
      </c>
      <c r="AT163" s="163">
        <f>AT130</f>
        <v>1</v>
      </c>
      <c r="AU163" s="164" t="str">
        <f>AU130</f>
        <v>coupe</v>
      </c>
      <c r="AV163" s="165" t="str">
        <f>AV130</f>
        <v>Receta madre ► MILLE-FEUILLE  aux fraises des bois</v>
      </c>
      <c r="AW163" s="1548"/>
      <c r="AX163" s="1548"/>
      <c r="AY163" s="2190">
        <f>ROWS(BC158:BC163)</f>
        <v>6</v>
      </c>
      <c r="AZ163" s="5549" t="str" cm="1">
        <f t="array" ref="AZ163">IF(SUMPRODUCT((BC163:BH163&lt;&gt;"")*1)=0,"",SUMPRODUCT((BC163:BH163&lt;&gt;"")*(LEN(TRIM(SUBSTITUTE(BC163:BH163,CHAR(160)," "))) - LEN(SUBSTITUTE(TRIM(SUBSTITUTE(BC163:BH163,CHAR(160)," "))," ","")) + 1)) &amp; " palabra" &amp; IF(SUMPRODUCT((BC163:BH163&lt;&gt;"")*(LEN(TRIM(SUBSTITUTE(BC163:BH163,CHAR(160)," "))) - LEN(SUBSTITUTE(TRIM(SUBSTITUTE(BC163:BH163,CHAR(160)," "))," ","")) + 1))&gt;1,"s",""))</f>
        <v>5 palabras</v>
      </c>
      <c r="BA163" s="5550" t="str" cm="1">
        <f t="array" ref="BA163">SUMPRODUCT(--(BC163:BH163&lt;&gt;""), LEN(TRIM(SUBSTITUTE(BC163:BH163, CHAR(160), "")))) &amp; " Car."</f>
        <v>37 Car.</v>
      </c>
      <c r="BB163" s="1376">
        <f>IF(ISBLANK(BC163),"",LARGE(BB157:BB162,1)+1)</f>
        <v>1</v>
      </c>
      <c r="BC163" s="1810" t="s">
        <v>8588</v>
      </c>
      <c r="BD163" s="1833"/>
      <c r="BE163" s="1810"/>
      <c r="BF163" s="1810"/>
      <c r="BG163" s="1810"/>
      <c r="BH163" s="1810"/>
      <c r="BI163" s="1810"/>
      <c r="BJ163" s="1810"/>
      <c r="BK163" s="1811"/>
      <c r="BM163" s="3">
        <v>1</v>
      </c>
    </row>
    <row r="164" spans="2:65" ht="21" customHeight="1">
      <c r="B164" s="162" t="s">
        <v>10</v>
      </c>
      <c r="C164" s="163" t="str">
        <f>C130</f>
        <v>N NOM DE VOTRE RECETTE | collez la--FAMILLE| Auteur &gt; VOUS</v>
      </c>
      <c r="D164" s="163">
        <f>D130</f>
        <v>1</v>
      </c>
      <c r="E164" s="164" t="str">
        <f>E130</f>
        <v>coupe</v>
      </c>
      <c r="F164" s="165" t="str">
        <f>F130</f>
        <v>Recette mère ► MILLE-FEUILLE  aux fraises des bois</v>
      </c>
      <c r="G164" s="1548"/>
      <c r="H164" s="1548"/>
      <c r="I164" s="2190">
        <f>ROWS(M158:M164)</f>
        <v>7</v>
      </c>
      <c r="J164" s="5549" t="str" cm="1">
        <f t="array" ref="J164">IF(SUMPRODUCT((M164:R164&lt;&gt;"")*1)=0,"",SUMPRODUCT((M164:R164&lt;&gt;"")*(LEN(TRIM(SUBSTITUTE(M164:R164,CHAR(160)," "))) - LEN(SUBSTITUTE(TRIM(SUBSTITUTE(M164:R164,CHAR(160)," "))," ","")) + 1)) &amp; " mot" &amp; IF(SUMPRODUCT((M164:R164&lt;&gt;"")*(LEN(TRIM(SUBSTITUTE(M164:R164,CHAR(160)," "))) - LEN(SUBSTITUTE(TRIM(SUBSTITUTE(M164:R164,CHAR(160)," "))," ","")) + 1))&gt;1,"s",""))</f>
        <v>8 mots</v>
      </c>
      <c r="K164" s="5550" t="str" cm="1">
        <f t="array" ref="K164">SUMPRODUCT(--(M164:R164&lt;&gt;""), LEN(TRIM(SUBSTITUTE(M164:R164, CHAR(160), "")))) &amp; " Car."</f>
        <v>50 Car.</v>
      </c>
      <c r="L164" s="1376" t="str">
        <f>IF(ISBLANK(M164),"",LARGE(L157:L163,1)+1)</f>
        <v/>
      </c>
      <c r="M164" s="1810"/>
      <c r="N164" s="1810" t="s">
        <v>8579</v>
      </c>
      <c r="O164" s="1810"/>
      <c r="P164" s="1810"/>
      <c r="Q164" s="1810"/>
      <c r="R164" s="1810"/>
      <c r="S164" s="1810"/>
      <c r="T164" s="1810"/>
      <c r="U164" s="1811"/>
      <c r="W164" s="162" t="s">
        <v>10</v>
      </c>
      <c r="X164" s="163" t="str">
        <f>X130</f>
        <v>N NAME OF YOUR RECIPE | paste it — FAMILY|  Author &gt; YOU</v>
      </c>
      <c r="Y164" s="163">
        <f>Y130</f>
        <v>1</v>
      </c>
      <c r="Z164" s="164" t="str">
        <f>Z130</f>
        <v>coupe</v>
      </c>
      <c r="AA164" s="165" t="str">
        <f>AA130</f>
        <v>Master recipe ► MILLE-FEUILLE  aux fraises des bois</v>
      </c>
      <c r="AB164" s="1548"/>
      <c r="AC164" s="1548"/>
      <c r="AD164" s="2190">
        <f>ROWS(AH158:AH164)</f>
        <v>7</v>
      </c>
      <c r="AE164" s="5549" t="str" cm="1">
        <f t="array" ref="AE164">IF(SUMPRODUCT((AH164:AM164&lt;&gt;"")*1)=0,"",SUMPRODUCT((AH164:AM164&lt;&gt;"")*(LEN(TRIM(SUBSTITUTE(AH164:AM164,CHAR(160)," "))) - LEN(SUBSTITUTE(TRIM(SUBSTITUTE(AH164:AM164,CHAR(160)," "))," ","")) + 1)) &amp; " word" &amp; IF(SUMPRODUCT((AH164:AM164&lt;&gt;"")*(LEN(TRIM(SUBSTITUTE(AH164:AM164,CHAR(160)," "))) - LEN(SUBSTITUTE(TRIM(SUBSTITUTE(AH164:AM164,CHAR(160)," "))," ","")) + 1))&gt;1,"s",""))</f>
        <v>9 words</v>
      </c>
      <c r="AF164" s="5550" t="str" cm="1">
        <f t="array" ref="AF164">SUMPRODUCT(--(AH164:AM164&lt;&gt;""), LEN(TRIM(SUBSTITUTE(AH164:AM164, CHAR(160), "")))) &amp; " Car."</f>
        <v>47 Car.</v>
      </c>
      <c r="AG164" s="1376" t="str">
        <f>IF(ISBLANK(AH164),"",LARGE(AG157:AG163,1)+1)</f>
        <v/>
      </c>
      <c r="AH164" s="1810"/>
      <c r="AI164" s="1810" t="s">
        <v>8584</v>
      </c>
      <c r="AJ164" s="1810"/>
      <c r="AK164" s="1810"/>
      <c r="AL164" s="1810"/>
      <c r="AM164" s="1810"/>
      <c r="AN164" s="1810"/>
      <c r="AO164" s="1810"/>
      <c r="AP164" s="1811"/>
      <c r="AR164" s="162" t="s">
        <v>10</v>
      </c>
      <c r="AS164" s="163" t="str">
        <f>AS130</f>
        <v>N NOMBRE DE SU RECETA | pegue esto — FAMILIA| Auteur &gt; VOUS</v>
      </c>
      <c r="AT164" s="163">
        <f>AT130</f>
        <v>1</v>
      </c>
      <c r="AU164" s="164" t="str">
        <f>AU130</f>
        <v>coupe</v>
      </c>
      <c r="AV164" s="165" t="str">
        <f>AV130</f>
        <v>Receta madre ► MILLE-FEUILLE  aux fraises des bois</v>
      </c>
      <c r="AW164" s="1548"/>
      <c r="AX164" s="1548"/>
      <c r="AY164" s="2190">
        <f>ROWS(BC158:BC164)</f>
        <v>7</v>
      </c>
      <c r="AZ164" s="5549" t="str" cm="1">
        <f t="array" ref="AZ164">IF(SUMPRODUCT((BC164:BH164&lt;&gt;"")*1)=0,"",SUMPRODUCT((BC164:BH164&lt;&gt;"")*(LEN(TRIM(SUBSTITUTE(BC164:BH164,CHAR(160)," "))) - LEN(SUBSTITUTE(TRIM(SUBSTITUTE(BC164:BH164,CHAR(160)," "))," ","")) + 1)) &amp; " palabra" &amp; IF(SUMPRODUCT((BC164:BH164&lt;&gt;"")*(LEN(TRIM(SUBSTITUTE(BC164:BH164,CHAR(160)," "))) - LEN(SUBSTITUTE(TRIM(SUBSTITUTE(BC164:BH164,CHAR(160)," "))," ","")) + 1))&gt;1,"s",""))</f>
        <v>7 palabras</v>
      </c>
      <c r="BA164" s="5550" t="str" cm="1">
        <f t="array" ref="BA164">SUMPRODUCT(--(BC164:BH164&lt;&gt;""), LEN(TRIM(SUBSTITUTE(BC164:BH164, CHAR(160), "")))) &amp; " Car."</f>
        <v>39 Car.</v>
      </c>
      <c r="BB164" s="1376" t="str">
        <f>IF(ISBLANK(BC164),"",LARGE(BB157:BB163,1)+1)</f>
        <v/>
      </c>
      <c r="BC164" s="1810"/>
      <c r="BD164" s="1810" t="s">
        <v>8589</v>
      </c>
      <c r="BE164" s="1810"/>
      <c r="BF164" s="1810"/>
      <c r="BG164" s="1810"/>
      <c r="BH164" s="1810"/>
      <c r="BI164" s="1810"/>
      <c r="BJ164" s="1810"/>
      <c r="BK164" s="1811"/>
      <c r="BM164" s="3">
        <v>1</v>
      </c>
    </row>
    <row r="165" spans="2:65" ht="21" customHeight="1">
      <c r="B165" s="162" t="s">
        <v>10</v>
      </c>
      <c r="C165" s="163" t="str">
        <f>C130</f>
        <v>N NOM DE VOTRE RECETTE | collez la--FAMILLE| Auteur &gt; VOUS</v>
      </c>
      <c r="D165" s="163">
        <f>D130</f>
        <v>1</v>
      </c>
      <c r="E165" s="164" t="str">
        <f>E130</f>
        <v>coupe</v>
      </c>
      <c r="F165" s="165" t="str">
        <f>F130</f>
        <v>Recette mère ► MILLE-FEUILLE  aux fraises des bois</v>
      </c>
      <c r="G165" s="1548"/>
      <c r="H165" s="1548"/>
      <c r="I165" s="2190">
        <f>ROWS(M158:M165)</f>
        <v>8</v>
      </c>
      <c r="J165" s="5549" t="str" cm="1">
        <f t="array" ref="J165">IF(SUMPRODUCT((M165:R165&lt;&gt;"")*1)=0,"",SUMPRODUCT((M165:R165&lt;&gt;"")*(LEN(TRIM(SUBSTITUTE(M165:R165,CHAR(160)," "))) - LEN(SUBSTITUTE(TRIM(SUBSTITUTE(M165:R165,CHAR(160)," "))," ","")) + 1)) &amp; " mot" &amp; IF(SUMPRODUCT((M165:R165&lt;&gt;"")*(LEN(TRIM(SUBSTITUTE(M165:R165,CHAR(160)," "))) - LEN(SUBSTITUTE(TRIM(SUBSTITUTE(M165:R165,CHAR(160)," "))," ","")) + 1))&gt;1,"s",""))</f>
        <v/>
      </c>
      <c r="K165" s="5550" t="str" cm="1">
        <f t="array" ref="K165">SUMPRODUCT(--(M165:R165&lt;&gt;""), LEN(TRIM(SUBSTITUTE(M165:R165, CHAR(160), "")))) &amp; " Car."</f>
        <v>0 Car.</v>
      </c>
      <c r="L165" s="1376" t="str">
        <f>IF(ISBLANK(M165),"",LARGE(L157:L164,1)+1)</f>
        <v/>
      </c>
      <c r="M165" s="1810"/>
      <c r="N165" s="1810"/>
      <c r="O165" s="1810"/>
      <c r="P165" s="1810"/>
      <c r="Q165" s="1810"/>
      <c r="R165" s="1810"/>
      <c r="S165" s="1810"/>
      <c r="T165" s="1810"/>
      <c r="U165" s="1811"/>
      <c r="W165" s="162" t="s">
        <v>10</v>
      </c>
      <c r="X165" s="163" t="str">
        <f>X130</f>
        <v>N NAME OF YOUR RECIPE | paste it — FAMILY|  Author &gt; YOU</v>
      </c>
      <c r="Y165" s="163">
        <f>Y130</f>
        <v>1</v>
      </c>
      <c r="Z165" s="164" t="str">
        <f>Z130</f>
        <v>coupe</v>
      </c>
      <c r="AA165" s="165" t="str">
        <f>AA130</f>
        <v>Master recipe ► MILLE-FEUILLE  aux fraises des bois</v>
      </c>
      <c r="AB165" s="1548"/>
      <c r="AC165" s="1548"/>
      <c r="AD165" s="2190">
        <f>ROWS(AH158:AH165)</f>
        <v>8</v>
      </c>
      <c r="AE165" s="5549" t="str" cm="1">
        <f t="array" ref="AE165">IF(SUMPRODUCT((AH165:AM165&lt;&gt;"")*1)=0,"",SUMPRODUCT((AH165:AM165&lt;&gt;"")*(LEN(TRIM(SUBSTITUTE(AH165:AM165,CHAR(160)," "))) - LEN(SUBSTITUTE(TRIM(SUBSTITUTE(AH165:AM165,CHAR(160)," "))," ","")) + 1)) &amp; " word" &amp; IF(SUMPRODUCT((AH165:AM165&lt;&gt;"")*(LEN(TRIM(SUBSTITUTE(AH165:AM165,CHAR(160)," "))) - LEN(SUBSTITUTE(TRIM(SUBSTITUTE(AH165:AM165,CHAR(160)," "))," ","")) + 1))&gt;1,"s",""))</f>
        <v/>
      </c>
      <c r="AF165" s="5550" t="str" cm="1">
        <f t="array" ref="AF165">SUMPRODUCT(--(AH165:AM165&lt;&gt;""), LEN(TRIM(SUBSTITUTE(AH165:AM165, CHAR(160), "")))) &amp; " Car."</f>
        <v>0 Car.</v>
      </c>
      <c r="AG165" s="1376" t="str">
        <f>IF(ISBLANK(AH165),"",LARGE(AG157:AG164,1)+1)</f>
        <v/>
      </c>
      <c r="AH165" s="1833"/>
      <c r="AI165" s="1810"/>
      <c r="AJ165" s="1810"/>
      <c r="AK165" s="1810"/>
      <c r="AL165" s="1810"/>
      <c r="AM165" s="1810"/>
      <c r="AN165" s="1810"/>
      <c r="AO165" s="1810"/>
      <c r="AP165" s="1811"/>
      <c r="AR165" s="162" t="s">
        <v>10</v>
      </c>
      <c r="AS165" s="163" t="str">
        <f>AS130</f>
        <v>N NOMBRE DE SU RECETA | pegue esto — FAMILIA| Auteur &gt; VOUS</v>
      </c>
      <c r="AT165" s="163">
        <f>AT130</f>
        <v>1</v>
      </c>
      <c r="AU165" s="164" t="str">
        <f>AU130</f>
        <v>coupe</v>
      </c>
      <c r="AV165" s="165" t="str">
        <f>AV130</f>
        <v>Receta madre ► MILLE-FEUILLE  aux fraises des bois</v>
      </c>
      <c r="AW165" s="1548"/>
      <c r="AX165" s="1548"/>
      <c r="AY165" s="2190">
        <f>ROWS(BC158:BC165)</f>
        <v>8</v>
      </c>
      <c r="AZ165" s="5549" t="str" cm="1">
        <f t="array" ref="AZ165">IF(SUMPRODUCT((BC165:BH165&lt;&gt;"")*1)=0,"",SUMPRODUCT((BC165:BH165&lt;&gt;"")*(LEN(TRIM(SUBSTITUTE(BC165:BH165,CHAR(160)," "))) - LEN(SUBSTITUTE(TRIM(SUBSTITUTE(BC165:BH165,CHAR(160)," "))," ","")) + 1)) &amp; " palabra" &amp; IF(SUMPRODUCT((BC165:BH165&lt;&gt;"")*(LEN(TRIM(SUBSTITUTE(BC165:BH165,CHAR(160)," "))) - LEN(SUBSTITUTE(TRIM(SUBSTITUTE(BC165:BH165,CHAR(160)," "))," ","")) + 1))&gt;1,"s",""))</f>
        <v/>
      </c>
      <c r="BA165" s="5550" t="str" cm="1">
        <f t="array" ref="BA165">SUMPRODUCT(--(BC165:BH165&lt;&gt;""), LEN(TRIM(SUBSTITUTE(BC165:BH165, CHAR(160), "")))) &amp; " Car."</f>
        <v>0 Car.</v>
      </c>
      <c r="BB165" s="1376" t="str">
        <f>IF(ISBLANK(BC165),"",LARGE(BB157:BB164,1)+1)</f>
        <v/>
      </c>
      <c r="BC165" s="1833"/>
      <c r="BD165" s="1810"/>
      <c r="BE165" s="1810"/>
      <c r="BF165" s="1810"/>
      <c r="BG165" s="1810"/>
      <c r="BH165" s="1810"/>
      <c r="BI165" s="1810"/>
      <c r="BJ165" s="1810"/>
      <c r="BK165" s="1811"/>
      <c r="BM165" s="3">
        <v>1</v>
      </c>
    </row>
    <row r="166" spans="2:65" ht="21" customHeight="1">
      <c r="B166" s="162" t="s">
        <v>10</v>
      </c>
      <c r="C166" s="163" t="str">
        <f>C130</f>
        <v>N NOM DE VOTRE RECETTE | collez la--FAMILLE| Auteur &gt; VOUS</v>
      </c>
      <c r="D166" s="163">
        <f>D130</f>
        <v>1</v>
      </c>
      <c r="E166" s="164" t="str">
        <f>E130</f>
        <v>coupe</v>
      </c>
      <c r="F166" s="165" t="str">
        <f>F130</f>
        <v>Recette mère ► MILLE-FEUILLE  aux fraises des bois</v>
      </c>
      <c r="G166" s="1548"/>
      <c r="H166" s="1548"/>
      <c r="I166" s="2190">
        <f>ROWS(M158:M166)</f>
        <v>9</v>
      </c>
      <c r="J166" s="5549" t="str" cm="1">
        <f t="array" ref="J166">IF(SUMPRODUCT((M166:R166&lt;&gt;"")*1)=0,"",SUMPRODUCT((M166:R166&lt;&gt;"")*(LEN(TRIM(SUBSTITUTE(M166:R166,CHAR(160)," "))) - LEN(SUBSTITUTE(TRIM(SUBSTITUTE(M166:R166,CHAR(160)," "))," ","")) + 1)) &amp; " mot" &amp; IF(SUMPRODUCT((M166:R166&lt;&gt;"")*(LEN(TRIM(SUBSTITUTE(M166:R166,CHAR(160)," "))) - LEN(SUBSTITUTE(TRIM(SUBSTITUTE(M166:R166,CHAR(160)," "))," ","")) + 1))&gt;1,"s",""))</f>
        <v/>
      </c>
      <c r="K166" s="5550" t="str" cm="1">
        <f t="array" ref="K166">SUMPRODUCT(--(M166:R166&lt;&gt;""), LEN(TRIM(SUBSTITUTE(M166:R166, CHAR(160), "")))) &amp; " Car."</f>
        <v>0 Car.</v>
      </c>
      <c r="L166" s="1376" t="str">
        <f>IF(ISBLANK(M166),"",LARGE(L157:L165,1)+1)</f>
        <v/>
      </c>
      <c r="M166" s="1810"/>
      <c r="N166" s="1810"/>
      <c r="O166" s="1810"/>
      <c r="P166" s="1810"/>
      <c r="Q166" s="1810"/>
      <c r="R166" s="1810"/>
      <c r="S166" s="1810"/>
      <c r="T166" s="1810"/>
      <c r="U166" s="1811"/>
      <c r="W166" s="162" t="s">
        <v>10</v>
      </c>
      <c r="X166" s="163" t="str">
        <f>X130</f>
        <v>N NAME OF YOUR RECIPE | paste it — FAMILY|  Author &gt; YOU</v>
      </c>
      <c r="Y166" s="163">
        <f>Y130</f>
        <v>1</v>
      </c>
      <c r="Z166" s="164" t="str">
        <f>Z130</f>
        <v>coupe</v>
      </c>
      <c r="AA166" s="165" t="str">
        <f>AA130</f>
        <v>Master recipe ► MILLE-FEUILLE  aux fraises des bois</v>
      </c>
      <c r="AB166" s="1548"/>
      <c r="AC166" s="1548"/>
      <c r="AD166" s="2190">
        <f>ROWS(AH158:AH166)</f>
        <v>9</v>
      </c>
      <c r="AE166" s="5549" t="str" cm="1">
        <f t="array" ref="AE166">IF(SUMPRODUCT((AH166:AM166&lt;&gt;"")*1)=0,"",SUMPRODUCT((AH166:AM166&lt;&gt;"")*(LEN(TRIM(SUBSTITUTE(AH166:AM166,CHAR(160)," "))) - LEN(SUBSTITUTE(TRIM(SUBSTITUTE(AH166:AM166,CHAR(160)," "))," ","")) + 1)) &amp; " word" &amp; IF(SUMPRODUCT((AH166:AM166&lt;&gt;"")*(LEN(TRIM(SUBSTITUTE(AH166:AM166,CHAR(160)," "))) - LEN(SUBSTITUTE(TRIM(SUBSTITUTE(AH166:AM166,CHAR(160)," "))," ","")) + 1))&gt;1,"s",""))</f>
        <v/>
      </c>
      <c r="AF166" s="5550" t="str" cm="1">
        <f t="array" ref="AF166">SUMPRODUCT(--(AH166:AM166&lt;&gt;""), LEN(TRIM(SUBSTITUTE(AH166:AM166, CHAR(160), "")))) &amp; " Car."</f>
        <v>0 Car.</v>
      </c>
      <c r="AG166" s="1376" t="str">
        <f>IF(ISBLANK(AH166),"",LARGE(AG157:AG165,1)+1)</f>
        <v/>
      </c>
      <c r="AH166" s="1810"/>
      <c r="AI166" s="1810"/>
      <c r="AJ166" s="1810"/>
      <c r="AK166" s="1810"/>
      <c r="AL166" s="1810"/>
      <c r="AM166" s="1810"/>
      <c r="AN166" s="1810"/>
      <c r="AO166" s="1810"/>
      <c r="AP166" s="1811"/>
      <c r="AR166" s="162" t="s">
        <v>10</v>
      </c>
      <c r="AS166" s="163" t="str">
        <f>AS130</f>
        <v>N NOMBRE DE SU RECETA | pegue esto — FAMILIA| Auteur &gt; VOUS</v>
      </c>
      <c r="AT166" s="163">
        <f>AT130</f>
        <v>1</v>
      </c>
      <c r="AU166" s="164" t="str">
        <f>AU130</f>
        <v>coupe</v>
      </c>
      <c r="AV166" s="165" t="str">
        <f>AV130</f>
        <v>Receta madre ► MILLE-FEUILLE  aux fraises des bois</v>
      </c>
      <c r="AW166" s="1548"/>
      <c r="AX166" s="1548"/>
      <c r="AY166" s="2190">
        <f>ROWS(BC158:BC166)</f>
        <v>9</v>
      </c>
      <c r="AZ166" s="5549" t="str" cm="1">
        <f t="array" ref="AZ166">IF(SUMPRODUCT((BC166:BH166&lt;&gt;"")*1)=0,"",SUMPRODUCT((BC166:BH166&lt;&gt;"")*(LEN(TRIM(SUBSTITUTE(BC166:BH166,CHAR(160)," "))) - LEN(SUBSTITUTE(TRIM(SUBSTITUTE(BC166:BH166,CHAR(160)," "))," ","")) + 1)) &amp; " palabra" &amp; IF(SUMPRODUCT((BC166:BH166&lt;&gt;"")*(LEN(TRIM(SUBSTITUTE(BC166:BH166,CHAR(160)," "))) - LEN(SUBSTITUTE(TRIM(SUBSTITUTE(BC166:BH166,CHAR(160)," "))," ","")) + 1))&gt;1,"s",""))</f>
        <v/>
      </c>
      <c r="BA166" s="5550" t="str" cm="1">
        <f t="array" ref="BA166">SUMPRODUCT(--(BC166:BH166&lt;&gt;""), LEN(TRIM(SUBSTITUTE(BC166:BH166, CHAR(160), "")))) &amp; " Car."</f>
        <v>0 Car.</v>
      </c>
      <c r="BB166" s="1376" t="str">
        <f>IF(ISBLANK(BC166),"",LARGE(BB157:BB165,1)+1)</f>
        <v/>
      </c>
      <c r="BC166" s="1833"/>
      <c r="BD166" s="1810"/>
      <c r="BE166" s="1810"/>
      <c r="BF166" s="1810"/>
      <c r="BG166" s="1810"/>
      <c r="BH166" s="1810"/>
      <c r="BI166" s="1810"/>
      <c r="BJ166" s="1810"/>
      <c r="BK166" s="1811"/>
      <c r="BM166" s="3">
        <v>1</v>
      </c>
    </row>
    <row r="167" spans="2:65" ht="21" customHeight="1">
      <c r="B167" s="162" t="s">
        <v>10</v>
      </c>
      <c r="C167" s="163" t="str">
        <f>C130</f>
        <v>N NOM DE VOTRE RECETTE | collez la--FAMILLE| Auteur &gt; VOUS</v>
      </c>
      <c r="D167" s="163">
        <f>D130</f>
        <v>1</v>
      </c>
      <c r="E167" s="164" t="str">
        <f>E130</f>
        <v>coupe</v>
      </c>
      <c r="F167" s="165" t="str">
        <f>F130</f>
        <v>Recette mère ► MILLE-FEUILLE  aux fraises des bois</v>
      </c>
      <c r="G167" s="1548"/>
      <c r="H167" s="1548"/>
      <c r="I167" s="2190">
        <f>ROWS(M158:M167)</f>
        <v>10</v>
      </c>
      <c r="J167" s="5549" t="str" cm="1">
        <f t="array" ref="J167">IF(SUMPRODUCT((M167:R167&lt;&gt;"")*1)=0,"",SUMPRODUCT((M167:R167&lt;&gt;"")*(LEN(TRIM(SUBSTITUTE(M167:R167,CHAR(160)," "))) - LEN(SUBSTITUTE(TRIM(SUBSTITUTE(M167:R167,CHAR(160)," "))," ","")) + 1)) &amp; " mot" &amp; IF(SUMPRODUCT((M167:R167&lt;&gt;"")*(LEN(TRIM(SUBSTITUTE(M167:R167,CHAR(160)," "))) - LEN(SUBSTITUTE(TRIM(SUBSTITUTE(M167:R167,CHAR(160)," "))," ","")) + 1))&gt;1,"s",""))</f>
        <v/>
      </c>
      <c r="K167" s="5550" t="str" cm="1">
        <f t="array" ref="K167">SUMPRODUCT(--(M167:R167&lt;&gt;""), LEN(TRIM(SUBSTITUTE(M167:R167, CHAR(160), "")))) &amp; " Car."</f>
        <v>0 Car.</v>
      </c>
      <c r="L167" s="1376" t="str">
        <f>IF(ISBLANK(M167),"",LARGE(L157:L166,1)+1)</f>
        <v/>
      </c>
      <c r="M167" s="1810"/>
      <c r="N167" s="1810"/>
      <c r="O167" s="1810"/>
      <c r="P167" s="1810"/>
      <c r="Q167" s="1810"/>
      <c r="R167" s="1810"/>
      <c r="S167" s="1810"/>
      <c r="T167" s="1810"/>
      <c r="U167" s="1811"/>
      <c r="W167" s="162" t="s">
        <v>10</v>
      </c>
      <c r="X167" s="163" t="str">
        <f>X130</f>
        <v>N NAME OF YOUR RECIPE | paste it — FAMILY|  Author &gt; YOU</v>
      </c>
      <c r="Y167" s="163">
        <f>Y130</f>
        <v>1</v>
      </c>
      <c r="Z167" s="164" t="str">
        <f>Z130</f>
        <v>coupe</v>
      </c>
      <c r="AA167" s="165" t="str">
        <f>AA130</f>
        <v>Master recipe ► MILLE-FEUILLE  aux fraises des bois</v>
      </c>
      <c r="AB167" s="1548"/>
      <c r="AC167" s="1548"/>
      <c r="AD167" s="2190">
        <f>ROWS(AH158:AH167)</f>
        <v>10</v>
      </c>
      <c r="AE167" s="5549" t="str" cm="1">
        <f t="array" ref="AE167">IF(SUMPRODUCT((AH167:AM167&lt;&gt;"")*1)=0,"",SUMPRODUCT((AH167:AM167&lt;&gt;"")*(LEN(TRIM(SUBSTITUTE(AH167:AM167,CHAR(160)," "))) - LEN(SUBSTITUTE(TRIM(SUBSTITUTE(AH167:AM167,CHAR(160)," "))," ","")) + 1)) &amp; " word" &amp; IF(SUMPRODUCT((AH167:AM167&lt;&gt;"")*(LEN(TRIM(SUBSTITUTE(AH167:AM167,CHAR(160)," "))) - LEN(SUBSTITUTE(TRIM(SUBSTITUTE(AH167:AM167,CHAR(160)," "))," ","")) + 1))&gt;1,"s",""))</f>
        <v/>
      </c>
      <c r="AF167" s="5550" t="str" cm="1">
        <f t="array" ref="AF167">SUMPRODUCT(--(AH167:AM167&lt;&gt;""), LEN(TRIM(SUBSTITUTE(AH167:AM167, CHAR(160), "")))) &amp; " Car."</f>
        <v>0 Car.</v>
      </c>
      <c r="AG167" s="1376" t="str">
        <f>IF(ISBLANK(AH167),"",LARGE(AG157:AG166,1)+1)</f>
        <v/>
      </c>
      <c r="AH167" s="1810"/>
      <c r="AI167" s="1810"/>
      <c r="AJ167" s="1810"/>
      <c r="AK167" s="1810"/>
      <c r="AL167" s="1810"/>
      <c r="AM167" s="1810"/>
      <c r="AN167" s="1810"/>
      <c r="AO167" s="1810"/>
      <c r="AP167" s="1811"/>
      <c r="AR167" s="162" t="s">
        <v>10</v>
      </c>
      <c r="AS167" s="163" t="str">
        <f>AS130</f>
        <v>N NOMBRE DE SU RECETA | pegue esto — FAMILIA| Auteur &gt; VOUS</v>
      </c>
      <c r="AT167" s="163">
        <f>AT130</f>
        <v>1</v>
      </c>
      <c r="AU167" s="164" t="str">
        <f>AU130</f>
        <v>coupe</v>
      </c>
      <c r="AV167" s="165" t="str">
        <f>AV130</f>
        <v>Receta madre ► MILLE-FEUILLE  aux fraises des bois</v>
      </c>
      <c r="AW167" s="1548"/>
      <c r="AX167" s="1548"/>
      <c r="AY167" s="2190">
        <f>ROWS(BC158:BC167)</f>
        <v>10</v>
      </c>
      <c r="AZ167" s="5549" t="str" cm="1">
        <f t="array" ref="AZ167">IF(SUMPRODUCT((BC167:BH167&lt;&gt;"")*1)=0,"",SUMPRODUCT((BC167:BH167&lt;&gt;"")*(LEN(TRIM(SUBSTITUTE(BC167:BH167,CHAR(160)," "))) - LEN(SUBSTITUTE(TRIM(SUBSTITUTE(BC167:BH167,CHAR(160)," "))," ","")) + 1)) &amp; " palabra" &amp; IF(SUMPRODUCT((BC167:BH167&lt;&gt;"")*(LEN(TRIM(SUBSTITUTE(BC167:BH167,CHAR(160)," "))) - LEN(SUBSTITUTE(TRIM(SUBSTITUTE(BC167:BH167,CHAR(160)," "))," ","")) + 1))&gt;1,"s",""))</f>
        <v/>
      </c>
      <c r="BA167" s="5550" t="str" cm="1">
        <f t="array" ref="BA167">SUMPRODUCT(--(BC167:BH167&lt;&gt;""), LEN(TRIM(SUBSTITUTE(BC167:BH167, CHAR(160), "")))) &amp; " Car."</f>
        <v>0 Car.</v>
      </c>
      <c r="BB167" s="1376" t="str">
        <f>IF(ISBLANK(BC167),"",LARGE(BB157:BB166,1)+1)</f>
        <v/>
      </c>
      <c r="BC167" s="1833"/>
      <c r="BD167" s="1810"/>
      <c r="BE167" s="1810"/>
      <c r="BF167" s="1810"/>
      <c r="BG167" s="1810"/>
      <c r="BH167" s="1810"/>
      <c r="BI167" s="1810"/>
      <c r="BJ167" s="1810"/>
      <c r="BK167" s="1811"/>
      <c r="BM167" s="3">
        <v>1</v>
      </c>
    </row>
    <row r="168" spans="2:65" ht="21" customHeight="1">
      <c r="B168" s="162" t="s">
        <v>10</v>
      </c>
      <c r="C168" s="163" t="str">
        <f>C130</f>
        <v>N NOM DE VOTRE RECETTE | collez la--FAMILLE| Auteur &gt; VOUS</v>
      </c>
      <c r="D168" s="1943">
        <f>D130</f>
        <v>1</v>
      </c>
      <c r="E168" s="164" t="str">
        <f>E130</f>
        <v>coupe</v>
      </c>
      <c r="F168" s="165" t="str">
        <f>F130</f>
        <v>Recette mère ► MILLE-FEUILLE  aux fraises des bois</v>
      </c>
      <c r="G168" s="1548"/>
      <c r="H168" s="1548"/>
      <c r="I168" s="2190">
        <f>ROWS(M158:M168)</f>
        <v>11</v>
      </c>
      <c r="J168" s="5549" t="str" cm="1">
        <f t="array" ref="J168">IF(SUMPRODUCT((M168:R168&lt;&gt;"")*1)=0,"",SUMPRODUCT((M168:R168&lt;&gt;"")*(LEN(TRIM(SUBSTITUTE(M168:R168,CHAR(160)," "))) - LEN(SUBSTITUTE(TRIM(SUBSTITUTE(M168:R168,CHAR(160)," "))," ","")) + 1)) &amp; " mot" &amp; IF(SUMPRODUCT((M168:R168&lt;&gt;"")*(LEN(TRIM(SUBSTITUTE(M168:R168,CHAR(160)," "))) - LEN(SUBSTITUTE(TRIM(SUBSTITUTE(M168:R168,CHAR(160)," "))," ","")) + 1))&gt;1,"s",""))</f>
        <v/>
      </c>
      <c r="K168" s="5550" t="str" cm="1">
        <f t="array" ref="K168">SUMPRODUCT(--(M168:R168&lt;&gt;""), LEN(TRIM(SUBSTITUTE(M168:R168, CHAR(160), "")))) &amp; " Car."</f>
        <v>0 Car.</v>
      </c>
      <c r="L168" s="1376" t="str">
        <f>IF(ISBLANK(M168),"",LARGE(L157:L167,1)+1)</f>
        <v/>
      </c>
      <c r="M168" s="1810"/>
      <c r="N168" s="1810"/>
      <c r="O168" s="1810"/>
      <c r="P168" s="1810"/>
      <c r="Q168" s="1810"/>
      <c r="R168" s="1810"/>
      <c r="S168" s="1810"/>
      <c r="T168" s="1810"/>
      <c r="U168" s="1811"/>
      <c r="W168" s="162" t="s">
        <v>10</v>
      </c>
      <c r="X168" s="163" t="str">
        <f>X130</f>
        <v>N NAME OF YOUR RECIPE | paste it — FAMILY|  Author &gt; YOU</v>
      </c>
      <c r="Y168" s="163">
        <f>Y130</f>
        <v>1</v>
      </c>
      <c r="Z168" s="164" t="str">
        <f>Z130</f>
        <v>coupe</v>
      </c>
      <c r="AA168" s="165" t="str">
        <f>AA130</f>
        <v>Master recipe ► MILLE-FEUILLE  aux fraises des bois</v>
      </c>
      <c r="AB168" s="1548"/>
      <c r="AC168" s="1548"/>
      <c r="AD168" s="2190">
        <f>ROWS(AH158:AH168)</f>
        <v>11</v>
      </c>
      <c r="AE168" s="5549" t="str" cm="1">
        <f t="array" ref="AE168">IF(SUMPRODUCT((AH168:AM168&lt;&gt;"")*1)=0,"",SUMPRODUCT((AH168:AM168&lt;&gt;"")*(LEN(TRIM(SUBSTITUTE(AH168:AM168,CHAR(160)," "))) - LEN(SUBSTITUTE(TRIM(SUBSTITUTE(AH168:AM168,CHAR(160)," "))," ","")) + 1)) &amp; " word" &amp; IF(SUMPRODUCT((AH168:AM168&lt;&gt;"")*(LEN(TRIM(SUBSTITUTE(AH168:AM168,CHAR(160)," "))) - LEN(SUBSTITUTE(TRIM(SUBSTITUTE(AH168:AM168,CHAR(160)," "))," ","")) + 1))&gt;1,"s",""))</f>
        <v/>
      </c>
      <c r="AF168" s="5550" t="str" cm="1">
        <f t="array" ref="AF168">SUMPRODUCT(--(AH168:AM168&lt;&gt;""), LEN(TRIM(SUBSTITUTE(AH168:AM168, CHAR(160), "")))) &amp; " Car."</f>
        <v>0 Car.</v>
      </c>
      <c r="AG168" s="1376" t="str">
        <f>IF(ISBLANK(AH168),"",LARGE(AG157:AG167,1)+1)</f>
        <v/>
      </c>
      <c r="AH168" s="1810"/>
      <c r="AI168" s="1810"/>
      <c r="AJ168" s="1810"/>
      <c r="AK168" s="1810"/>
      <c r="AL168" s="1810"/>
      <c r="AM168" s="1810"/>
      <c r="AN168" s="1810"/>
      <c r="AO168" s="1810"/>
      <c r="AP168" s="1811"/>
      <c r="AR168" s="162" t="s">
        <v>10</v>
      </c>
      <c r="AS168" s="163" t="str">
        <f>AS130</f>
        <v>N NOMBRE DE SU RECETA | pegue esto — FAMILIA| Auteur &gt; VOUS</v>
      </c>
      <c r="AT168" s="163">
        <f>AT130</f>
        <v>1</v>
      </c>
      <c r="AU168" s="164" t="str">
        <f>AU130</f>
        <v>coupe</v>
      </c>
      <c r="AV168" s="165" t="str">
        <f>AV130</f>
        <v>Receta madre ► MILLE-FEUILLE  aux fraises des bois</v>
      </c>
      <c r="AW168" s="1548"/>
      <c r="AX168" s="1548"/>
      <c r="AY168" s="2190">
        <f>ROWS(BC158:BC168)</f>
        <v>11</v>
      </c>
      <c r="AZ168" s="5549" t="str" cm="1">
        <f t="array" ref="AZ168">IF(SUMPRODUCT((BC168:BH168&lt;&gt;"")*1)=0,"",SUMPRODUCT((BC168:BH168&lt;&gt;"")*(LEN(TRIM(SUBSTITUTE(BC168:BH168,CHAR(160)," "))) - LEN(SUBSTITUTE(TRIM(SUBSTITUTE(BC168:BH168,CHAR(160)," "))," ","")) + 1)) &amp; " palabra" &amp; IF(SUMPRODUCT((BC168:BH168&lt;&gt;"")*(LEN(TRIM(SUBSTITUTE(BC168:BH168,CHAR(160)," "))) - LEN(SUBSTITUTE(TRIM(SUBSTITUTE(BC168:BH168,CHAR(160)," "))," ","")) + 1))&gt;1,"s",""))</f>
        <v/>
      </c>
      <c r="BA168" s="5550" t="str" cm="1">
        <f t="array" ref="BA168">SUMPRODUCT(--(BC168:BH168&lt;&gt;""), LEN(TRIM(SUBSTITUTE(BC168:BH168, CHAR(160), "")))) &amp; " Car."</f>
        <v>0 Car.</v>
      </c>
      <c r="BB168" s="1376" t="str">
        <f>IF(ISBLANK(BC168),"",LARGE(BB157:BB167,1)+1)</f>
        <v/>
      </c>
      <c r="BC168" s="1833"/>
      <c r="BD168" s="1810"/>
      <c r="BE168" s="1810"/>
      <c r="BF168" s="1810"/>
      <c r="BG168" s="1810"/>
      <c r="BH168" s="1810"/>
      <c r="BI168" s="1810"/>
      <c r="BJ168" s="1810"/>
      <c r="BK168" s="1811"/>
      <c r="BM168" s="3">
        <v>1</v>
      </c>
    </row>
    <row r="169" spans="2:65" ht="21" customHeight="1">
      <c r="B169" s="162" t="s">
        <v>10</v>
      </c>
      <c r="C169" s="163" t="str">
        <f>C130</f>
        <v>N NOM DE VOTRE RECETTE | collez la--FAMILLE| Auteur &gt; VOUS</v>
      </c>
      <c r="D169" s="163">
        <f>D130</f>
        <v>1</v>
      </c>
      <c r="E169" s="164" t="str">
        <f>E130</f>
        <v>coupe</v>
      </c>
      <c r="F169" s="165" t="str">
        <f>F130</f>
        <v>Recette mère ► MILLE-FEUILLE  aux fraises des bois</v>
      </c>
      <c r="G169" s="1548"/>
      <c r="H169" s="1548"/>
      <c r="I169" s="2190">
        <f>ROWS(M158:M169)</f>
        <v>12</v>
      </c>
      <c r="J169" s="5549" t="str" cm="1">
        <f t="array" ref="J169">IF(SUMPRODUCT((M169:R169&lt;&gt;"")*1)=0,"",SUMPRODUCT((M169:R169&lt;&gt;"")*(LEN(TRIM(SUBSTITUTE(M169:R169,CHAR(160)," "))) - LEN(SUBSTITUTE(TRIM(SUBSTITUTE(M169:R169,CHAR(160)," "))," ","")) + 1)) &amp; " mot" &amp; IF(SUMPRODUCT((M169:R169&lt;&gt;"")*(LEN(TRIM(SUBSTITUTE(M169:R169,CHAR(160)," "))) - LEN(SUBSTITUTE(TRIM(SUBSTITUTE(M169:R169,CHAR(160)," "))," ","")) + 1))&gt;1,"s",""))</f>
        <v/>
      </c>
      <c r="K169" s="5550" t="str" cm="1">
        <f t="array" ref="K169">SUMPRODUCT(--(M169:R169&lt;&gt;""), LEN(TRIM(SUBSTITUTE(M169:R169, CHAR(160), "")))) &amp; " Car."</f>
        <v>0 Car.</v>
      </c>
      <c r="L169" s="1376" t="str">
        <f>IF(ISBLANK(M169),"",LARGE(L157:L168,1)+1)</f>
        <v/>
      </c>
      <c r="M169" s="1810"/>
      <c r="N169" s="1810"/>
      <c r="O169" s="1810"/>
      <c r="P169" s="1810"/>
      <c r="Q169" s="1810"/>
      <c r="R169" s="1810"/>
      <c r="S169" s="1810"/>
      <c r="T169" s="1810"/>
      <c r="U169" s="1811"/>
      <c r="W169" s="162" t="s">
        <v>10</v>
      </c>
      <c r="X169" s="163" t="str">
        <f>X130</f>
        <v>N NAME OF YOUR RECIPE | paste it — FAMILY|  Author &gt; YOU</v>
      </c>
      <c r="Y169" s="163">
        <f>Y130</f>
        <v>1</v>
      </c>
      <c r="Z169" s="164" t="str">
        <f>Z130</f>
        <v>coupe</v>
      </c>
      <c r="AA169" s="165" t="str">
        <f>AA130</f>
        <v>Master recipe ► MILLE-FEUILLE  aux fraises des bois</v>
      </c>
      <c r="AB169" s="1548"/>
      <c r="AC169" s="1548"/>
      <c r="AD169" s="2190">
        <f>ROWS(AH158:AH169)</f>
        <v>12</v>
      </c>
      <c r="AE169" s="5549" t="str" cm="1">
        <f t="array" ref="AE169">IF(SUMPRODUCT((AH169:AM169&lt;&gt;"")*1)=0,"",SUMPRODUCT((AH169:AM169&lt;&gt;"")*(LEN(TRIM(SUBSTITUTE(AH169:AM169,CHAR(160)," "))) - LEN(SUBSTITUTE(TRIM(SUBSTITUTE(AH169:AM169,CHAR(160)," "))," ","")) + 1)) &amp; " word" &amp; IF(SUMPRODUCT((AH169:AM169&lt;&gt;"")*(LEN(TRIM(SUBSTITUTE(AH169:AM169,CHAR(160)," "))) - LEN(SUBSTITUTE(TRIM(SUBSTITUTE(AH169:AM169,CHAR(160)," "))," ","")) + 1))&gt;1,"s",""))</f>
        <v/>
      </c>
      <c r="AF169" s="5550" t="str" cm="1">
        <f t="array" ref="AF169">SUMPRODUCT(--(AH169:AM169&lt;&gt;""), LEN(TRIM(SUBSTITUTE(AH169:AM169, CHAR(160), "")))) &amp; " Car."</f>
        <v>0 Car.</v>
      </c>
      <c r="AG169" s="1376" t="str">
        <f>IF(ISBLANK(AH169),"",LARGE(AG157:AG168,1)+1)</f>
        <v/>
      </c>
      <c r="AH169" s="1810"/>
      <c r="AI169" s="1833"/>
      <c r="AJ169" s="1810"/>
      <c r="AK169" s="1810"/>
      <c r="AL169" s="1810"/>
      <c r="AM169" s="1810"/>
      <c r="AN169" s="1810"/>
      <c r="AO169" s="1810"/>
      <c r="AP169" s="1811"/>
      <c r="AR169" s="162" t="s">
        <v>10</v>
      </c>
      <c r="AS169" s="163" t="str">
        <f>AS130</f>
        <v>N NOMBRE DE SU RECETA | pegue esto — FAMILIA| Auteur &gt; VOUS</v>
      </c>
      <c r="AT169" s="163">
        <f>AT130</f>
        <v>1</v>
      </c>
      <c r="AU169" s="164" t="str">
        <f>AU130</f>
        <v>coupe</v>
      </c>
      <c r="AV169" s="165" t="str">
        <f>AV130</f>
        <v>Receta madre ► MILLE-FEUILLE  aux fraises des bois</v>
      </c>
      <c r="AW169" s="1548"/>
      <c r="AX169" s="1548"/>
      <c r="AY169" s="2190">
        <f>ROWS(BC158:BC169)</f>
        <v>12</v>
      </c>
      <c r="AZ169" s="5549" t="str" cm="1">
        <f t="array" ref="AZ169">IF(SUMPRODUCT((BC169:BH169&lt;&gt;"")*1)=0,"",SUMPRODUCT((BC169:BH169&lt;&gt;"")*(LEN(TRIM(SUBSTITUTE(BC169:BH169,CHAR(160)," "))) - LEN(SUBSTITUTE(TRIM(SUBSTITUTE(BC169:BH169,CHAR(160)," "))," ","")) + 1)) &amp; " palabra" &amp; IF(SUMPRODUCT((BC169:BH169&lt;&gt;"")*(LEN(TRIM(SUBSTITUTE(BC169:BH169,CHAR(160)," "))) - LEN(SUBSTITUTE(TRIM(SUBSTITUTE(BC169:BH169,CHAR(160)," "))," ","")) + 1))&gt;1,"s",""))</f>
        <v/>
      </c>
      <c r="BA169" s="5550" t="str" cm="1">
        <f t="array" ref="BA169">SUMPRODUCT(--(BC169:BH169&lt;&gt;""), LEN(TRIM(SUBSTITUTE(BC169:BH169, CHAR(160), "")))) &amp; " Car."</f>
        <v>0 Car.</v>
      </c>
      <c r="BB169" s="1376" t="str">
        <f>IF(ISBLANK(BC169),"",LARGE(BB157:BB168,1)+1)</f>
        <v/>
      </c>
      <c r="BC169" s="1833"/>
      <c r="BD169" s="1810"/>
      <c r="BE169" s="1810"/>
      <c r="BF169" s="1810"/>
      <c r="BG169" s="1810"/>
      <c r="BH169" s="1810"/>
      <c r="BI169" s="1810"/>
      <c r="BJ169" s="1810"/>
      <c r="BK169" s="1811"/>
      <c r="BM169" s="3">
        <v>1</v>
      </c>
    </row>
    <row r="170" spans="2:65" ht="21" customHeight="1">
      <c r="B170" s="162" t="s">
        <v>10</v>
      </c>
      <c r="C170" s="163" t="str">
        <f>C130</f>
        <v>N NOM DE VOTRE RECETTE | collez la--FAMILLE| Auteur &gt; VOUS</v>
      </c>
      <c r="D170" s="163">
        <f>D130</f>
        <v>1</v>
      </c>
      <c r="E170" s="164" t="str">
        <f>E130</f>
        <v>coupe</v>
      </c>
      <c r="F170" s="165" t="str">
        <f>F130</f>
        <v>Recette mère ► MILLE-FEUILLE  aux fraises des bois</v>
      </c>
      <c r="G170" s="1548"/>
      <c r="H170" s="1548"/>
      <c r="I170" s="2190">
        <f>ROWS(M158:M170)</f>
        <v>13</v>
      </c>
      <c r="J170" s="5549" t="str" cm="1">
        <f t="array" ref="J170">IF(SUMPRODUCT((M170:R170&lt;&gt;"")*1)=0,"",SUMPRODUCT((M170:R170&lt;&gt;"")*(LEN(TRIM(SUBSTITUTE(M170:R170,CHAR(160)," "))) - LEN(SUBSTITUTE(TRIM(SUBSTITUTE(M170:R170,CHAR(160)," "))," ","")) + 1)) &amp; " mot" &amp; IF(SUMPRODUCT((M170:R170&lt;&gt;"")*(LEN(TRIM(SUBSTITUTE(M170:R170,CHAR(160)," "))) - LEN(SUBSTITUTE(TRIM(SUBSTITUTE(M170:R170,CHAR(160)," "))," ","")) + 1))&gt;1,"s",""))</f>
        <v/>
      </c>
      <c r="K170" s="5550" t="str" cm="1">
        <f t="array" ref="K170">SUMPRODUCT(--(M170:R170&lt;&gt;""), LEN(TRIM(SUBSTITUTE(M170:R170, CHAR(160), "")))) &amp; " Car."</f>
        <v>0 Car.</v>
      </c>
      <c r="L170" s="1376" t="str">
        <f>IF(ISBLANK(M170),"",LARGE(L157:L169,1)+1)</f>
        <v/>
      </c>
      <c r="M170" s="1810"/>
      <c r="N170" s="1810"/>
      <c r="O170" s="1810"/>
      <c r="P170" s="1810"/>
      <c r="Q170" s="1810"/>
      <c r="R170" s="1810"/>
      <c r="S170" s="1810"/>
      <c r="T170" s="1810"/>
      <c r="U170" s="1811"/>
      <c r="W170" s="162" t="s">
        <v>10</v>
      </c>
      <c r="X170" s="163" t="str">
        <f>X130</f>
        <v>N NAME OF YOUR RECIPE | paste it — FAMILY|  Author &gt; YOU</v>
      </c>
      <c r="Y170" s="163">
        <f>Y130</f>
        <v>1</v>
      </c>
      <c r="Z170" s="164" t="str">
        <f>Z130</f>
        <v>coupe</v>
      </c>
      <c r="AA170" s="165" t="str">
        <f>AA130</f>
        <v>Master recipe ► MILLE-FEUILLE  aux fraises des bois</v>
      </c>
      <c r="AB170" s="1548"/>
      <c r="AC170" s="1548"/>
      <c r="AD170" s="2190">
        <f>ROWS(AH158:AH170)</f>
        <v>13</v>
      </c>
      <c r="AE170" s="5549" t="str" cm="1">
        <f t="array" ref="AE170">IF(SUMPRODUCT((AH170:AM170&lt;&gt;"")*1)=0,"",SUMPRODUCT((AH170:AM170&lt;&gt;"")*(LEN(TRIM(SUBSTITUTE(AH170:AM170,CHAR(160)," "))) - LEN(SUBSTITUTE(TRIM(SUBSTITUTE(AH170:AM170,CHAR(160)," "))," ","")) + 1)) &amp; " word" &amp; IF(SUMPRODUCT((AH170:AM170&lt;&gt;"")*(LEN(TRIM(SUBSTITUTE(AH170:AM170,CHAR(160)," "))) - LEN(SUBSTITUTE(TRIM(SUBSTITUTE(AH170:AM170,CHAR(160)," "))," ","")) + 1))&gt;1,"s",""))</f>
        <v/>
      </c>
      <c r="AF170" s="5550" t="str" cm="1">
        <f t="array" ref="AF170">SUMPRODUCT(--(AH170:AM170&lt;&gt;""), LEN(TRIM(SUBSTITUTE(AH170:AM170, CHAR(160), "")))) &amp; " Car."</f>
        <v>0 Car.</v>
      </c>
      <c r="AG170" s="1376" t="str">
        <f>IF(ISBLANK(AH170),"",LARGE(AG157:AG169,1)+1)</f>
        <v/>
      </c>
      <c r="AH170" s="1810"/>
      <c r="AI170" s="1810"/>
      <c r="AJ170" s="1810"/>
      <c r="AK170" s="1810"/>
      <c r="AL170" s="1810"/>
      <c r="AM170" s="1810"/>
      <c r="AN170" s="1810"/>
      <c r="AO170" s="1810"/>
      <c r="AP170" s="1811"/>
      <c r="AR170" s="162" t="s">
        <v>10</v>
      </c>
      <c r="AS170" s="163" t="str">
        <f>AS130</f>
        <v>N NOMBRE DE SU RECETA | pegue esto — FAMILIA| Auteur &gt; VOUS</v>
      </c>
      <c r="AT170" s="163">
        <f>AT130</f>
        <v>1</v>
      </c>
      <c r="AU170" s="164" t="str">
        <f>AU130</f>
        <v>coupe</v>
      </c>
      <c r="AV170" s="165" t="str">
        <f>AV130</f>
        <v>Receta madre ► MILLE-FEUILLE  aux fraises des bois</v>
      </c>
      <c r="AW170" s="1548"/>
      <c r="AX170" s="1548"/>
      <c r="AY170" s="2190">
        <f>ROWS(BC158:BC170)</f>
        <v>13</v>
      </c>
      <c r="AZ170" s="5549" t="str" cm="1">
        <f t="array" ref="AZ170">IF(SUMPRODUCT((BC170:BH170&lt;&gt;"")*1)=0,"",SUMPRODUCT((BC170:BH170&lt;&gt;"")*(LEN(TRIM(SUBSTITUTE(BC170:BH170,CHAR(160)," "))) - LEN(SUBSTITUTE(TRIM(SUBSTITUTE(BC170:BH170,CHAR(160)," "))," ","")) + 1)) &amp; " palabra" &amp; IF(SUMPRODUCT((BC170:BH170&lt;&gt;"")*(LEN(TRIM(SUBSTITUTE(BC170:BH170,CHAR(160)," "))) - LEN(SUBSTITUTE(TRIM(SUBSTITUTE(BC170:BH170,CHAR(160)," "))," ","")) + 1))&gt;1,"s",""))</f>
        <v/>
      </c>
      <c r="BA170" s="5550" t="str" cm="1">
        <f t="array" ref="BA170">SUMPRODUCT(--(BC170:BH170&lt;&gt;""), LEN(TRIM(SUBSTITUTE(BC170:BH170, CHAR(160), "")))) &amp; " Car."</f>
        <v>0 Car.</v>
      </c>
      <c r="BB170" s="1376" t="str">
        <f>IF(ISBLANK(BC170),"",LARGE(BB157:BB169,1)+1)</f>
        <v/>
      </c>
      <c r="BC170" s="1833"/>
      <c r="BD170" s="1810"/>
      <c r="BE170" s="1810"/>
      <c r="BF170" s="1810"/>
      <c r="BG170" s="1810"/>
      <c r="BH170" s="1810"/>
      <c r="BI170" s="1810"/>
      <c r="BJ170" s="1810"/>
      <c r="BK170" s="1811"/>
      <c r="BM170" s="3">
        <v>1</v>
      </c>
    </row>
    <row r="171" spans="2:65" ht="21" customHeight="1">
      <c r="B171" s="162" t="s">
        <v>10</v>
      </c>
      <c r="C171" s="163" t="str">
        <f>C130</f>
        <v>N NOM DE VOTRE RECETTE | collez la--FAMILLE| Auteur &gt; VOUS</v>
      </c>
      <c r="D171" s="163">
        <f>D130</f>
        <v>1</v>
      </c>
      <c r="E171" s="164" t="str">
        <f>E130</f>
        <v>coupe</v>
      </c>
      <c r="F171" s="165" t="str">
        <f>F130</f>
        <v>Recette mère ► MILLE-FEUILLE  aux fraises des bois</v>
      </c>
      <c r="G171" s="1548"/>
      <c r="H171" s="1548"/>
      <c r="I171" s="2190">
        <f>ROWS(M158:M171)</f>
        <v>14</v>
      </c>
      <c r="J171" s="5549" t="str" cm="1">
        <f t="array" ref="J171">IF(SUMPRODUCT((M171:R171&lt;&gt;"")*1)=0,"",SUMPRODUCT((M171:R171&lt;&gt;"")*(LEN(TRIM(SUBSTITUTE(M171:R171,CHAR(160)," "))) - LEN(SUBSTITUTE(TRIM(SUBSTITUTE(M171:R171,CHAR(160)," "))," ","")) + 1)) &amp; " mot" &amp; IF(SUMPRODUCT((M171:R171&lt;&gt;"")*(LEN(TRIM(SUBSTITUTE(M171:R171,CHAR(160)," "))) - LEN(SUBSTITUTE(TRIM(SUBSTITUTE(M171:R171,CHAR(160)," "))," ","")) + 1))&gt;1,"s",""))</f>
        <v/>
      </c>
      <c r="K171" s="5550" t="str" cm="1">
        <f t="array" ref="K171">SUMPRODUCT(--(M171:R171&lt;&gt;""), LEN(TRIM(SUBSTITUTE(M171:R171, CHAR(160), "")))) &amp; " Car."</f>
        <v>0 Car.</v>
      </c>
      <c r="L171" s="1376" t="str">
        <f>IF(ISBLANK(M171),"",LARGE(L157:L170,1)+1)</f>
        <v/>
      </c>
      <c r="M171" s="1810"/>
      <c r="N171" s="1810"/>
      <c r="O171" s="1810"/>
      <c r="P171" s="1810"/>
      <c r="Q171" s="1810"/>
      <c r="R171" s="1810"/>
      <c r="S171" s="1810"/>
      <c r="T171" s="1810"/>
      <c r="U171" s="1811"/>
      <c r="W171" s="162" t="s">
        <v>10</v>
      </c>
      <c r="X171" s="163" t="str">
        <f>X130</f>
        <v>N NAME OF YOUR RECIPE | paste it — FAMILY|  Author &gt; YOU</v>
      </c>
      <c r="Y171" s="163">
        <f>Y130</f>
        <v>1</v>
      </c>
      <c r="Z171" s="164" t="str">
        <f>Z130</f>
        <v>coupe</v>
      </c>
      <c r="AA171" s="165" t="str">
        <f>AA130</f>
        <v>Master recipe ► MILLE-FEUILLE  aux fraises des bois</v>
      </c>
      <c r="AB171" s="1548"/>
      <c r="AC171" s="1548"/>
      <c r="AD171" s="2190">
        <f>ROWS(AH158:AH171)</f>
        <v>14</v>
      </c>
      <c r="AE171" s="5549" t="str" cm="1">
        <f t="array" ref="AE171">IF(SUMPRODUCT((AH171:AM171&lt;&gt;"")*1)=0,"",SUMPRODUCT((AH171:AM171&lt;&gt;"")*(LEN(TRIM(SUBSTITUTE(AH171:AM171,CHAR(160)," "))) - LEN(SUBSTITUTE(TRIM(SUBSTITUTE(AH171:AM171,CHAR(160)," "))," ","")) + 1)) &amp; " word" &amp; IF(SUMPRODUCT((AH171:AM171&lt;&gt;"")*(LEN(TRIM(SUBSTITUTE(AH171:AM171,CHAR(160)," "))) - LEN(SUBSTITUTE(TRIM(SUBSTITUTE(AH171:AM171,CHAR(160)," "))," ","")) + 1))&gt;1,"s",""))</f>
        <v/>
      </c>
      <c r="AF171" s="5550" t="str" cm="1">
        <f t="array" ref="AF171">SUMPRODUCT(--(AH171:AM171&lt;&gt;""), LEN(TRIM(SUBSTITUTE(AH171:AM171, CHAR(160), "")))) &amp; " Car."</f>
        <v>0 Car.</v>
      </c>
      <c r="AG171" s="1376" t="str">
        <f>IF(ISBLANK(AH171),"",LARGE(AG157:AG170,1)+1)</f>
        <v/>
      </c>
      <c r="AH171" s="1810"/>
      <c r="AI171" s="1833"/>
      <c r="AJ171" s="1810"/>
      <c r="AK171" s="1810"/>
      <c r="AL171" s="1810"/>
      <c r="AM171" s="1810"/>
      <c r="AN171" s="1810"/>
      <c r="AO171" s="1810"/>
      <c r="AP171" s="1811"/>
      <c r="AR171" s="162" t="s">
        <v>10</v>
      </c>
      <c r="AS171" s="163" t="str">
        <f>AS130</f>
        <v>N NOMBRE DE SU RECETA | pegue esto — FAMILIA| Auteur &gt; VOUS</v>
      </c>
      <c r="AT171" s="163">
        <f>AT130</f>
        <v>1</v>
      </c>
      <c r="AU171" s="164" t="str">
        <f>AU130</f>
        <v>coupe</v>
      </c>
      <c r="AV171" s="165" t="str">
        <f>AV130</f>
        <v>Receta madre ► MILLE-FEUILLE  aux fraises des bois</v>
      </c>
      <c r="AW171" s="1548"/>
      <c r="AX171" s="1548"/>
      <c r="AY171" s="2190">
        <f>ROWS(BC158:BC171)</f>
        <v>14</v>
      </c>
      <c r="AZ171" s="5549" t="str" cm="1">
        <f t="array" ref="AZ171">IF(SUMPRODUCT((BC171:BH171&lt;&gt;"")*1)=0,"",SUMPRODUCT((BC171:BH171&lt;&gt;"")*(LEN(TRIM(SUBSTITUTE(BC171:BH171,CHAR(160)," "))) - LEN(SUBSTITUTE(TRIM(SUBSTITUTE(BC171:BH171,CHAR(160)," "))," ","")) + 1)) &amp; " palabra" &amp; IF(SUMPRODUCT((BC171:BH171&lt;&gt;"")*(LEN(TRIM(SUBSTITUTE(BC171:BH171,CHAR(160)," "))) - LEN(SUBSTITUTE(TRIM(SUBSTITUTE(BC171:BH171,CHAR(160)," "))," ","")) + 1))&gt;1,"s",""))</f>
        <v/>
      </c>
      <c r="BA171" s="5550" t="str" cm="1">
        <f t="array" ref="BA171">SUMPRODUCT(--(BC171:BH171&lt;&gt;""), LEN(TRIM(SUBSTITUTE(BC171:BH171, CHAR(160), "")))) &amp; " Car."</f>
        <v>0 Car.</v>
      </c>
      <c r="BB171" s="1376" t="str">
        <f>IF(ISBLANK(BC171),"",LARGE(BB157:BB170,1)+1)</f>
        <v/>
      </c>
      <c r="BC171" s="1833"/>
      <c r="BD171" s="1810"/>
      <c r="BE171" s="1810"/>
      <c r="BF171" s="1810"/>
      <c r="BG171" s="1810"/>
      <c r="BH171" s="1810"/>
      <c r="BI171" s="1810"/>
      <c r="BJ171" s="1810"/>
      <c r="BK171" s="1811"/>
      <c r="BM171" s="3">
        <v>1</v>
      </c>
    </row>
    <row r="172" spans="2:65" ht="21" customHeight="1">
      <c r="B172" s="162" t="s">
        <v>10</v>
      </c>
      <c r="C172" s="163" t="str">
        <f>C130</f>
        <v>N NOM DE VOTRE RECETTE | collez la--FAMILLE| Auteur &gt; VOUS</v>
      </c>
      <c r="D172" s="163">
        <f>D130</f>
        <v>1</v>
      </c>
      <c r="E172" s="164" t="str">
        <f>E130</f>
        <v>coupe</v>
      </c>
      <c r="F172" s="165" t="str">
        <f>F130</f>
        <v>Recette mère ► MILLE-FEUILLE  aux fraises des bois</v>
      </c>
      <c r="G172" s="1548"/>
      <c r="H172" s="1548"/>
      <c r="I172" s="2190">
        <f>ROWS(M158:M172)</f>
        <v>15</v>
      </c>
      <c r="J172" s="5549" t="str" cm="1">
        <f t="array" ref="J172">IF(SUMPRODUCT((M172:R172&lt;&gt;"")*1)=0,"",SUMPRODUCT((M172:R172&lt;&gt;"")*(LEN(TRIM(SUBSTITUTE(M172:R172,CHAR(160)," "))) - LEN(SUBSTITUTE(TRIM(SUBSTITUTE(M172:R172,CHAR(160)," "))," ","")) + 1)) &amp; " mot" &amp; IF(SUMPRODUCT((M172:R172&lt;&gt;"")*(LEN(TRIM(SUBSTITUTE(M172:R172,CHAR(160)," "))) - LEN(SUBSTITUTE(TRIM(SUBSTITUTE(M172:R172,CHAR(160)," "))," ","")) + 1))&gt;1,"s",""))</f>
        <v/>
      </c>
      <c r="K172" s="5550" t="str" cm="1">
        <f t="array" ref="K172">SUMPRODUCT(--(M172:R172&lt;&gt;""), LEN(TRIM(SUBSTITUTE(M172:R172, CHAR(160), "")))) &amp; " Car."</f>
        <v>0 Car.</v>
      </c>
      <c r="L172" s="1376" t="str">
        <f>IF(ISBLANK(M172),"",LARGE(L157:L171,1)+1)</f>
        <v/>
      </c>
      <c r="M172" s="1810"/>
      <c r="N172" s="1810"/>
      <c r="O172" s="1810"/>
      <c r="P172" s="1810"/>
      <c r="Q172" s="1810"/>
      <c r="R172" s="1810"/>
      <c r="S172" s="1810"/>
      <c r="T172" s="1810"/>
      <c r="U172" s="1811"/>
      <c r="W172" s="162" t="s">
        <v>10</v>
      </c>
      <c r="X172" s="163" t="str">
        <f>X130</f>
        <v>N NAME OF YOUR RECIPE | paste it — FAMILY|  Author &gt; YOU</v>
      </c>
      <c r="Y172" s="163">
        <f>Y130</f>
        <v>1</v>
      </c>
      <c r="Z172" s="164" t="str">
        <f>Z130</f>
        <v>coupe</v>
      </c>
      <c r="AA172" s="165" t="str">
        <f>AA130</f>
        <v>Master recipe ► MILLE-FEUILLE  aux fraises des bois</v>
      </c>
      <c r="AB172" s="1548"/>
      <c r="AC172" s="1548"/>
      <c r="AD172" s="2190">
        <f>ROWS(AH158:AH172)</f>
        <v>15</v>
      </c>
      <c r="AE172" s="5549" t="str" cm="1">
        <f t="array" ref="AE172">IF(SUMPRODUCT((AH172:AM172&lt;&gt;"")*1)=0,"",SUMPRODUCT((AH172:AM172&lt;&gt;"")*(LEN(TRIM(SUBSTITUTE(AH172:AM172,CHAR(160)," "))) - LEN(SUBSTITUTE(TRIM(SUBSTITUTE(AH172:AM172,CHAR(160)," "))," ","")) + 1)) &amp; " word" &amp; IF(SUMPRODUCT((AH172:AM172&lt;&gt;"")*(LEN(TRIM(SUBSTITUTE(AH172:AM172,CHAR(160)," "))) - LEN(SUBSTITUTE(TRIM(SUBSTITUTE(AH172:AM172,CHAR(160)," "))," ","")) + 1))&gt;1,"s",""))</f>
        <v/>
      </c>
      <c r="AF172" s="5550" t="str" cm="1">
        <f t="array" ref="AF172">SUMPRODUCT(--(AH172:AM172&lt;&gt;""), LEN(TRIM(SUBSTITUTE(AH172:AM172, CHAR(160), "")))) &amp; " Car."</f>
        <v>0 Car.</v>
      </c>
      <c r="AG172" s="1376" t="str">
        <f>IF(ISBLANK(AH172),"",LARGE(AG157:AG171,1)+1)</f>
        <v/>
      </c>
      <c r="AH172" s="1810"/>
      <c r="AI172" s="1810"/>
      <c r="AJ172" s="1810"/>
      <c r="AK172" s="1810"/>
      <c r="AL172" s="1810"/>
      <c r="AM172" s="1810"/>
      <c r="AN172" s="1810"/>
      <c r="AO172" s="1810"/>
      <c r="AP172" s="1811"/>
      <c r="AR172" s="162" t="s">
        <v>10</v>
      </c>
      <c r="AS172" s="163" t="str">
        <f>AS130</f>
        <v>N NOMBRE DE SU RECETA | pegue esto — FAMILIA| Auteur &gt; VOUS</v>
      </c>
      <c r="AT172" s="163">
        <f>AT130</f>
        <v>1</v>
      </c>
      <c r="AU172" s="164" t="str">
        <f>AU130</f>
        <v>coupe</v>
      </c>
      <c r="AV172" s="165" t="str">
        <f>AV130</f>
        <v>Receta madre ► MILLE-FEUILLE  aux fraises des bois</v>
      </c>
      <c r="AW172" s="1548"/>
      <c r="AX172" s="1548"/>
      <c r="AY172" s="2190">
        <f>ROWS(BC158:BC172)</f>
        <v>15</v>
      </c>
      <c r="AZ172" s="5549" t="str" cm="1">
        <f t="array" ref="AZ172">IF(SUMPRODUCT((BC172:BH172&lt;&gt;"")*1)=0,"",SUMPRODUCT((BC172:BH172&lt;&gt;"")*(LEN(TRIM(SUBSTITUTE(BC172:BH172,CHAR(160)," "))) - LEN(SUBSTITUTE(TRIM(SUBSTITUTE(BC172:BH172,CHAR(160)," "))," ","")) + 1)) &amp; " palabra" &amp; IF(SUMPRODUCT((BC172:BH172&lt;&gt;"")*(LEN(TRIM(SUBSTITUTE(BC172:BH172,CHAR(160)," "))) - LEN(SUBSTITUTE(TRIM(SUBSTITUTE(BC172:BH172,CHAR(160)," "))," ","")) + 1))&gt;1,"s",""))</f>
        <v/>
      </c>
      <c r="BA172" s="5550" t="str" cm="1">
        <f t="array" ref="BA172">SUMPRODUCT(--(BC172:BH172&lt;&gt;""), LEN(TRIM(SUBSTITUTE(BC172:BH172, CHAR(160), "")))) &amp; " Car."</f>
        <v>0 Car.</v>
      </c>
      <c r="BB172" s="1376" t="str">
        <f>IF(ISBLANK(BC172),"",LARGE(BB157:BB171,1)+1)</f>
        <v/>
      </c>
      <c r="BC172" s="1833"/>
      <c r="BD172" s="1810"/>
      <c r="BE172" s="1810"/>
      <c r="BF172" s="1810"/>
      <c r="BG172" s="1810"/>
      <c r="BH172" s="1810"/>
      <c r="BI172" s="1810"/>
      <c r="BJ172" s="1810"/>
      <c r="BK172" s="1811"/>
      <c r="BM172" s="3">
        <v>1</v>
      </c>
    </row>
    <row r="173" spans="2:65" ht="21" customHeight="1">
      <c r="B173" s="162" t="s">
        <v>10</v>
      </c>
      <c r="C173" s="163" t="str">
        <f>C130</f>
        <v>N NOM DE VOTRE RECETTE | collez la--FAMILLE| Auteur &gt; VOUS</v>
      </c>
      <c r="D173" s="163">
        <f>D130</f>
        <v>1</v>
      </c>
      <c r="E173" s="164" t="str">
        <f>E130</f>
        <v>coupe</v>
      </c>
      <c r="F173" s="165" t="str">
        <f>F130</f>
        <v>Recette mère ► MILLE-FEUILLE  aux fraises des bois</v>
      </c>
      <c r="G173" s="1548"/>
      <c r="H173" s="1548"/>
      <c r="I173" s="2190">
        <f>ROWS(M158:M173)</f>
        <v>16</v>
      </c>
      <c r="J173" s="5549" t="str" cm="1">
        <f t="array" ref="J173">IF(SUMPRODUCT((M173:R173&lt;&gt;"")*1)=0,"",SUMPRODUCT((M173:R173&lt;&gt;"")*(LEN(TRIM(SUBSTITUTE(M173:R173,CHAR(160)," "))) - LEN(SUBSTITUTE(TRIM(SUBSTITUTE(M173:R173,CHAR(160)," "))," ","")) + 1)) &amp; " mot" &amp; IF(SUMPRODUCT((M173:R173&lt;&gt;"")*(LEN(TRIM(SUBSTITUTE(M173:R173,CHAR(160)," "))) - LEN(SUBSTITUTE(TRIM(SUBSTITUTE(M173:R173,CHAR(160)," "))," ","")) + 1))&gt;1,"s",""))</f>
        <v/>
      </c>
      <c r="K173" s="5550" t="str" cm="1">
        <f t="array" ref="K173">SUMPRODUCT(--(M173:R173&lt;&gt;""), LEN(TRIM(SUBSTITUTE(M173:R173, CHAR(160), "")))) &amp; " Car."</f>
        <v>0 Car.</v>
      </c>
      <c r="L173" s="1376" t="str">
        <f>IF(ISBLANK(M173),"",LARGE(L157:L172,1)+1)</f>
        <v/>
      </c>
      <c r="M173" s="1810"/>
      <c r="N173" s="1810"/>
      <c r="O173" s="1810"/>
      <c r="P173" s="1810"/>
      <c r="Q173" s="1810"/>
      <c r="R173" s="1810"/>
      <c r="S173" s="1810"/>
      <c r="T173" s="1810"/>
      <c r="U173" s="1811"/>
      <c r="W173" s="162" t="s">
        <v>10</v>
      </c>
      <c r="X173" s="163" t="str">
        <f>X130</f>
        <v>N NAME OF YOUR RECIPE | paste it — FAMILY|  Author &gt; YOU</v>
      </c>
      <c r="Y173" s="163">
        <f>Y130</f>
        <v>1</v>
      </c>
      <c r="Z173" s="164" t="str">
        <f>Z130</f>
        <v>coupe</v>
      </c>
      <c r="AA173" s="165" t="str">
        <f>AA130</f>
        <v>Master recipe ► MILLE-FEUILLE  aux fraises des bois</v>
      </c>
      <c r="AB173" s="1548"/>
      <c r="AC173" s="1548"/>
      <c r="AD173" s="2190">
        <f>ROWS(AH158:AH173)</f>
        <v>16</v>
      </c>
      <c r="AE173" s="5549" t="str" cm="1">
        <f t="array" ref="AE173">IF(SUMPRODUCT((AH173:AM173&lt;&gt;"")*1)=0,"",SUMPRODUCT((AH173:AM173&lt;&gt;"")*(LEN(TRIM(SUBSTITUTE(AH173:AM173,CHAR(160)," "))) - LEN(SUBSTITUTE(TRIM(SUBSTITUTE(AH173:AM173,CHAR(160)," "))," ","")) + 1)) &amp; " word" &amp; IF(SUMPRODUCT((AH173:AM173&lt;&gt;"")*(LEN(TRIM(SUBSTITUTE(AH173:AM173,CHAR(160)," "))) - LEN(SUBSTITUTE(TRIM(SUBSTITUTE(AH173:AM173,CHAR(160)," "))," ","")) + 1))&gt;1,"s",""))</f>
        <v/>
      </c>
      <c r="AF173" s="5550" t="str" cm="1">
        <f t="array" ref="AF173">SUMPRODUCT(--(AH173:AM173&lt;&gt;""), LEN(TRIM(SUBSTITUTE(AH173:AM173, CHAR(160), "")))) &amp; " Car."</f>
        <v>0 Car.</v>
      </c>
      <c r="AG173" s="1376" t="str">
        <f>IF(ISBLANK(AH173),"",LARGE(AG157:AG172,1)+1)</f>
        <v/>
      </c>
      <c r="AH173" s="1833"/>
      <c r="AI173" s="1810"/>
      <c r="AJ173" s="1810"/>
      <c r="AK173" s="1810"/>
      <c r="AL173" s="1810"/>
      <c r="AM173" s="1810"/>
      <c r="AN173" s="1810"/>
      <c r="AO173" s="1810"/>
      <c r="AP173" s="1811"/>
      <c r="AR173" s="162" t="s">
        <v>10</v>
      </c>
      <c r="AS173" s="163" t="str">
        <f>AS130</f>
        <v>N NOMBRE DE SU RECETA | pegue esto — FAMILIA| Auteur &gt; VOUS</v>
      </c>
      <c r="AT173" s="163">
        <f>AT130</f>
        <v>1</v>
      </c>
      <c r="AU173" s="164" t="str">
        <f>AU130</f>
        <v>coupe</v>
      </c>
      <c r="AV173" s="165" t="str">
        <f>AV130</f>
        <v>Receta madre ► MILLE-FEUILLE  aux fraises des bois</v>
      </c>
      <c r="AW173" s="1548"/>
      <c r="AX173" s="1548"/>
      <c r="AY173" s="2190">
        <f>ROWS(BC158:BC173)</f>
        <v>16</v>
      </c>
      <c r="AZ173" s="5549" t="str" cm="1">
        <f t="array" ref="AZ173">IF(SUMPRODUCT((BC173:BH173&lt;&gt;"")*1)=0,"",SUMPRODUCT((BC173:BH173&lt;&gt;"")*(LEN(TRIM(SUBSTITUTE(BC173:BH173,CHAR(160)," "))) - LEN(SUBSTITUTE(TRIM(SUBSTITUTE(BC173:BH173,CHAR(160)," "))," ","")) + 1)) &amp; " palabra" &amp; IF(SUMPRODUCT((BC173:BH173&lt;&gt;"")*(LEN(TRIM(SUBSTITUTE(BC173:BH173,CHAR(160)," "))) - LEN(SUBSTITUTE(TRIM(SUBSTITUTE(BC173:BH173,CHAR(160)," "))," ","")) + 1))&gt;1,"s",""))</f>
        <v/>
      </c>
      <c r="BA173" s="5550" t="str" cm="1">
        <f t="array" ref="BA173">SUMPRODUCT(--(BC173:BH173&lt;&gt;""), LEN(TRIM(SUBSTITUTE(BC173:BH173, CHAR(160), "")))) &amp; " Car."</f>
        <v>0 Car.</v>
      </c>
      <c r="BB173" s="1376" t="str">
        <f>IF(ISBLANK(BC173),"",LARGE(BB157:BB172,1)+1)</f>
        <v/>
      </c>
      <c r="BC173" s="1833"/>
      <c r="BD173" s="1810"/>
      <c r="BE173" s="1810"/>
      <c r="BF173" s="1810"/>
      <c r="BG173" s="1810"/>
      <c r="BH173" s="1810"/>
      <c r="BI173" s="1810"/>
      <c r="BJ173" s="1810"/>
      <c r="BK173" s="1811"/>
      <c r="BM173" s="3">
        <v>1</v>
      </c>
    </row>
    <row r="174" spans="2:65" ht="21" customHeight="1">
      <c r="B174" s="162" t="s">
        <v>10</v>
      </c>
      <c r="C174" s="163" t="str">
        <f>C130</f>
        <v>N NOM DE VOTRE RECETTE | collez la--FAMILLE| Auteur &gt; VOUS</v>
      </c>
      <c r="D174" s="163">
        <f>D130</f>
        <v>1</v>
      </c>
      <c r="E174" s="164" t="str">
        <f>E130</f>
        <v>coupe</v>
      </c>
      <c r="F174" s="165" t="str">
        <f>F130</f>
        <v>Recette mère ► MILLE-FEUILLE  aux fraises des bois</v>
      </c>
      <c r="G174" s="1548"/>
      <c r="H174" s="1548"/>
      <c r="I174" s="2190">
        <f>ROWS(M158:M174)</f>
        <v>17</v>
      </c>
      <c r="J174" s="5549" t="str" cm="1">
        <f t="array" ref="J174">IF(SUMPRODUCT((M174:R174&lt;&gt;"")*1)=0,"",SUMPRODUCT((M174:R174&lt;&gt;"")*(LEN(TRIM(SUBSTITUTE(M174:R174,CHAR(160)," "))) - LEN(SUBSTITUTE(TRIM(SUBSTITUTE(M174:R174,CHAR(160)," "))," ","")) + 1)) &amp; " mot" &amp; IF(SUMPRODUCT((M174:R174&lt;&gt;"")*(LEN(TRIM(SUBSTITUTE(M174:R174,CHAR(160)," "))) - LEN(SUBSTITUTE(TRIM(SUBSTITUTE(M174:R174,CHAR(160)," "))," ","")) + 1))&gt;1,"s",""))</f>
        <v/>
      </c>
      <c r="K174" s="5550" t="str" cm="1">
        <f t="array" ref="K174">SUMPRODUCT(--(M174:R174&lt;&gt;""), LEN(TRIM(SUBSTITUTE(M174:R174, CHAR(160), "")))) &amp; " Car."</f>
        <v>0 Car.</v>
      </c>
      <c r="L174" s="1376"/>
      <c r="M174" s="1810"/>
      <c r="N174" s="1810"/>
      <c r="O174" s="1810"/>
      <c r="P174" s="1810"/>
      <c r="Q174" s="1810"/>
      <c r="R174" s="1810"/>
      <c r="S174" s="1810"/>
      <c r="T174" s="1810"/>
      <c r="U174" s="1811"/>
      <c r="W174" s="162" t="s">
        <v>10</v>
      </c>
      <c r="X174" s="163" t="str">
        <f>X130</f>
        <v>N NAME OF YOUR RECIPE | paste it — FAMILY|  Author &gt; YOU</v>
      </c>
      <c r="Y174" s="163">
        <f>Y130</f>
        <v>1</v>
      </c>
      <c r="Z174" s="164" t="str">
        <f>Z130</f>
        <v>coupe</v>
      </c>
      <c r="AA174" s="165" t="str">
        <f>AA130</f>
        <v>Master recipe ► MILLE-FEUILLE  aux fraises des bois</v>
      </c>
      <c r="AB174" s="1548"/>
      <c r="AC174" s="1548"/>
      <c r="AD174" s="2190">
        <f>ROWS(AH158:AH174)</f>
        <v>17</v>
      </c>
      <c r="AE174" s="5549" t="str" cm="1">
        <f t="array" ref="AE174">IF(SUMPRODUCT((AH174:AM174&lt;&gt;"")*1)=0,"",SUMPRODUCT((AH174:AM174&lt;&gt;"")*(LEN(TRIM(SUBSTITUTE(AH174:AM174,CHAR(160)," "))) - LEN(SUBSTITUTE(TRIM(SUBSTITUTE(AH174:AM174,CHAR(160)," "))," ","")) + 1)) &amp; " word" &amp; IF(SUMPRODUCT((AH174:AM174&lt;&gt;"")*(LEN(TRIM(SUBSTITUTE(AH174:AM174,CHAR(160)," "))) - LEN(SUBSTITUTE(TRIM(SUBSTITUTE(AH174:AM174,CHAR(160)," "))," ","")) + 1))&gt;1,"s",""))</f>
        <v/>
      </c>
      <c r="AF174" s="5550" t="str" cm="1">
        <f t="array" ref="AF174">SUMPRODUCT(--(AH174:AM174&lt;&gt;""), LEN(TRIM(SUBSTITUTE(AH174:AM174, CHAR(160), "")))) &amp; " Car."</f>
        <v>0 Car.</v>
      </c>
      <c r="AG174" s="1376" t="str">
        <f>IF(ISBLANK(AH174),"",LARGE(AG157:AG173,1)+1)</f>
        <v/>
      </c>
      <c r="AH174" s="1833"/>
      <c r="AI174" s="1810"/>
      <c r="AJ174" s="1810"/>
      <c r="AK174" s="1810"/>
      <c r="AL174" s="1810"/>
      <c r="AM174" s="1810"/>
      <c r="AN174" s="1810"/>
      <c r="AO174" s="1810"/>
      <c r="AP174" s="1811"/>
      <c r="AR174" s="162" t="s">
        <v>10</v>
      </c>
      <c r="AS174" s="163" t="str">
        <f>AS130</f>
        <v>N NOMBRE DE SU RECETA | pegue esto — FAMILIA| Auteur &gt; VOUS</v>
      </c>
      <c r="AT174" s="163">
        <f>AT130</f>
        <v>1</v>
      </c>
      <c r="AU174" s="164" t="str">
        <f>AU130</f>
        <v>coupe</v>
      </c>
      <c r="AV174" s="165" t="str">
        <f>AV130</f>
        <v>Receta madre ► MILLE-FEUILLE  aux fraises des bois</v>
      </c>
      <c r="AW174" s="1548"/>
      <c r="AX174" s="1548"/>
      <c r="AY174" s="2190">
        <f>ROWS(BC158:BC174)</f>
        <v>17</v>
      </c>
      <c r="AZ174" s="5549" t="str" cm="1">
        <f t="array" ref="AZ174">IF(SUMPRODUCT((BC174:BH174&lt;&gt;"")*1)=0,"",SUMPRODUCT((BC174:BH174&lt;&gt;"")*(LEN(TRIM(SUBSTITUTE(BC174:BH174,CHAR(160)," "))) - LEN(SUBSTITUTE(TRIM(SUBSTITUTE(BC174:BH174,CHAR(160)," "))," ","")) + 1)) &amp; " palabra" &amp; IF(SUMPRODUCT((BC174:BH174&lt;&gt;"")*(LEN(TRIM(SUBSTITUTE(BC174:BH174,CHAR(160)," "))) - LEN(SUBSTITUTE(TRIM(SUBSTITUTE(BC174:BH174,CHAR(160)," "))," ","")) + 1))&gt;1,"s",""))</f>
        <v/>
      </c>
      <c r="BA174" s="5550" t="str" cm="1">
        <f t="array" ref="BA174">SUMPRODUCT(--(BC174:BH174&lt;&gt;""), LEN(TRIM(SUBSTITUTE(BC174:BH174, CHAR(160), "")))) &amp; " Car."</f>
        <v>0 Car.</v>
      </c>
      <c r="BB174" s="1376" t="str">
        <f>IF(ISBLANK(BC174),"",LARGE(BB157:BB173,1)+1)</f>
        <v/>
      </c>
      <c r="BC174" s="1833"/>
      <c r="BD174" s="1810"/>
      <c r="BE174" s="1810"/>
      <c r="BF174" s="1810"/>
      <c r="BG174" s="1810"/>
      <c r="BH174" s="1810"/>
      <c r="BI174" s="1810"/>
      <c r="BJ174" s="1810"/>
      <c r="BK174" s="1811"/>
      <c r="BM174" s="3">
        <v>1</v>
      </c>
    </row>
    <row r="175" spans="2:65" ht="21" customHeight="1">
      <c r="B175" s="162" t="s">
        <v>10</v>
      </c>
      <c r="C175" s="163" t="str">
        <f>C130</f>
        <v>N NOM DE VOTRE RECETTE | collez la--FAMILLE| Auteur &gt; VOUS</v>
      </c>
      <c r="D175" s="163">
        <f>D130</f>
        <v>1</v>
      </c>
      <c r="E175" s="164" t="str">
        <f>E130</f>
        <v>coupe</v>
      </c>
      <c r="F175" s="165" t="str">
        <f>F130</f>
        <v>Recette mère ► MILLE-FEUILLE  aux fraises des bois</v>
      </c>
      <c r="G175" s="1548"/>
      <c r="H175" s="1548"/>
      <c r="I175" s="2190">
        <f>ROWS(M158:M175)</f>
        <v>18</v>
      </c>
      <c r="J175" s="5549" t="str" cm="1">
        <f t="array" ref="J175">IF(SUMPRODUCT((M175:R175&lt;&gt;"")*1)=0,"",SUMPRODUCT((M175:R175&lt;&gt;"")*(LEN(TRIM(SUBSTITUTE(M175:R175,CHAR(160)," "))) - LEN(SUBSTITUTE(TRIM(SUBSTITUTE(M175:R175,CHAR(160)," "))," ","")) + 1)) &amp; " mot" &amp; IF(SUMPRODUCT((M175:R175&lt;&gt;"")*(LEN(TRIM(SUBSTITUTE(M175:R175,CHAR(160)," "))) - LEN(SUBSTITUTE(TRIM(SUBSTITUTE(M175:R175,CHAR(160)," "))," ","")) + 1))&gt;1,"s",""))</f>
        <v/>
      </c>
      <c r="K175" s="5550" t="str" cm="1">
        <f t="array" ref="K175">SUMPRODUCT(--(M175:R175&lt;&gt;""), LEN(TRIM(SUBSTITUTE(M175:R175, CHAR(160), "")))) &amp; " Car."</f>
        <v>0 Car.</v>
      </c>
      <c r="L175" s="1376"/>
      <c r="M175" s="1810"/>
      <c r="N175" s="1810"/>
      <c r="O175" s="1810"/>
      <c r="P175" s="1810"/>
      <c r="Q175" s="1810"/>
      <c r="R175" s="1810"/>
      <c r="S175" s="1810"/>
      <c r="T175" s="1810"/>
      <c r="U175" s="1811"/>
      <c r="W175" s="162" t="s">
        <v>10</v>
      </c>
      <c r="X175" s="163" t="str">
        <f>X130</f>
        <v>N NAME OF YOUR RECIPE | paste it — FAMILY|  Author &gt; YOU</v>
      </c>
      <c r="Y175" s="163">
        <f>Y130</f>
        <v>1</v>
      </c>
      <c r="Z175" s="164" t="str">
        <f>Z130</f>
        <v>coupe</v>
      </c>
      <c r="AA175" s="165" t="str">
        <f>AA130</f>
        <v>Master recipe ► MILLE-FEUILLE  aux fraises des bois</v>
      </c>
      <c r="AB175" s="1548"/>
      <c r="AC175" s="1548"/>
      <c r="AD175" s="2190">
        <f>ROWS(AH158:AH175)</f>
        <v>18</v>
      </c>
      <c r="AE175" s="5549" t="str" cm="1">
        <f t="array" ref="AE175">IF(SUMPRODUCT((AH175:AM175&lt;&gt;"")*1)=0,"",SUMPRODUCT((AH175:AM175&lt;&gt;"")*(LEN(TRIM(SUBSTITUTE(AH175:AM175,CHAR(160)," "))) - LEN(SUBSTITUTE(TRIM(SUBSTITUTE(AH175:AM175,CHAR(160)," "))," ","")) + 1)) &amp; " word" &amp; IF(SUMPRODUCT((AH175:AM175&lt;&gt;"")*(LEN(TRIM(SUBSTITUTE(AH175:AM175,CHAR(160)," "))) - LEN(SUBSTITUTE(TRIM(SUBSTITUTE(AH175:AM175,CHAR(160)," "))," ","")) + 1))&gt;1,"s",""))</f>
        <v/>
      </c>
      <c r="AF175" s="5550" t="str" cm="1">
        <f t="array" ref="AF175">SUMPRODUCT(--(AH175:AM175&lt;&gt;""), LEN(TRIM(SUBSTITUTE(AH175:AM175, CHAR(160), "")))) &amp; " Car."</f>
        <v>0 Car.</v>
      </c>
      <c r="AG175" s="1376" t="str">
        <f>IF(ISBLANK(AH175),"",LARGE(AG157:AG174,1)+1)</f>
        <v/>
      </c>
      <c r="AH175" s="1833"/>
      <c r="AI175" s="1810"/>
      <c r="AJ175" s="1810"/>
      <c r="AK175" s="1810"/>
      <c r="AL175" s="1810"/>
      <c r="AM175" s="1810"/>
      <c r="AN175" s="1810"/>
      <c r="AO175" s="1810"/>
      <c r="AP175" s="1811"/>
      <c r="AR175" s="162" t="s">
        <v>10</v>
      </c>
      <c r="AS175" s="163" t="str">
        <f>AS130</f>
        <v>N NOMBRE DE SU RECETA | pegue esto — FAMILIA| Auteur &gt; VOUS</v>
      </c>
      <c r="AT175" s="163">
        <f>AT130</f>
        <v>1</v>
      </c>
      <c r="AU175" s="164" t="str">
        <f>AU130</f>
        <v>coupe</v>
      </c>
      <c r="AV175" s="165" t="str">
        <f>AV130</f>
        <v>Receta madre ► MILLE-FEUILLE  aux fraises des bois</v>
      </c>
      <c r="AW175" s="1548"/>
      <c r="AX175" s="1548"/>
      <c r="AY175" s="2190">
        <f>ROWS(BC158:BC175)</f>
        <v>18</v>
      </c>
      <c r="AZ175" s="5549" t="str" cm="1">
        <f t="array" ref="AZ175">IF(SUMPRODUCT((BC175:BH175&lt;&gt;"")*1)=0,"",SUMPRODUCT((BC175:BH175&lt;&gt;"")*(LEN(TRIM(SUBSTITUTE(BC175:BH175,CHAR(160)," "))) - LEN(SUBSTITUTE(TRIM(SUBSTITUTE(BC175:BH175,CHAR(160)," "))," ","")) + 1)) &amp; " palabra" &amp; IF(SUMPRODUCT((BC175:BH175&lt;&gt;"")*(LEN(TRIM(SUBSTITUTE(BC175:BH175,CHAR(160)," "))) - LEN(SUBSTITUTE(TRIM(SUBSTITUTE(BC175:BH175,CHAR(160)," "))," ","")) + 1))&gt;1,"s",""))</f>
        <v/>
      </c>
      <c r="BA175" s="5550" t="str" cm="1">
        <f t="array" ref="BA175">SUMPRODUCT(--(BC175:BH175&lt;&gt;""), LEN(TRIM(SUBSTITUTE(BC175:BH175, CHAR(160), "")))) &amp; " Car."</f>
        <v>0 Car.</v>
      </c>
      <c r="BB175" s="1376" t="str">
        <f>IF(ISBLANK(BC175),"",LARGE(BB157:BB174,1)+1)</f>
        <v/>
      </c>
      <c r="BC175" s="1833"/>
      <c r="BD175" s="1810"/>
      <c r="BE175" s="1810"/>
      <c r="BF175" s="1810"/>
      <c r="BG175" s="1810"/>
      <c r="BH175" s="1810"/>
      <c r="BI175" s="1810"/>
      <c r="BJ175" s="1810"/>
      <c r="BK175" s="1811"/>
      <c r="BM175" s="3">
        <v>1</v>
      </c>
    </row>
    <row r="176" spans="2:65" ht="21" customHeight="1">
      <c r="B176" s="162" t="s">
        <v>10</v>
      </c>
      <c r="C176" s="163" t="str">
        <f>C130</f>
        <v>N NOM DE VOTRE RECETTE | collez la--FAMILLE| Auteur &gt; VOUS</v>
      </c>
      <c r="D176" s="163">
        <f>D130</f>
        <v>1</v>
      </c>
      <c r="E176" s="164" t="str">
        <f>E130</f>
        <v>coupe</v>
      </c>
      <c r="F176" s="165" t="str">
        <f>F130</f>
        <v>Recette mère ► MILLE-FEUILLE  aux fraises des bois</v>
      </c>
      <c r="G176" s="1548"/>
      <c r="H176" s="1548"/>
      <c r="I176" s="2190">
        <f>ROWS(M158:M176)</f>
        <v>19</v>
      </c>
      <c r="J176" s="5549" t="str" cm="1">
        <f t="array" ref="J176">IF(SUMPRODUCT((M176:R176&lt;&gt;"")*1)=0,"",SUMPRODUCT((M176:R176&lt;&gt;"")*(LEN(TRIM(SUBSTITUTE(M176:R176,CHAR(160)," "))) - LEN(SUBSTITUTE(TRIM(SUBSTITUTE(M176:R176,CHAR(160)," "))," ","")) + 1)) &amp; " mot" &amp; IF(SUMPRODUCT((M176:R176&lt;&gt;"")*(LEN(TRIM(SUBSTITUTE(M176:R176,CHAR(160)," "))) - LEN(SUBSTITUTE(TRIM(SUBSTITUTE(M176:R176,CHAR(160)," "))," ","")) + 1))&gt;1,"s",""))</f>
        <v/>
      </c>
      <c r="K176" s="5550" t="str" cm="1">
        <f t="array" ref="K176">SUMPRODUCT(--(M176:R176&lt;&gt;""), LEN(TRIM(SUBSTITUTE(M176:R176, CHAR(160), "")))) &amp; " Car."</f>
        <v>0 Car.</v>
      </c>
      <c r="L176" s="1376" t="str">
        <f>IF(ISBLANK(M176),"",LARGE(L157:L175,1)+1)</f>
        <v/>
      </c>
      <c r="M176" s="1810"/>
      <c r="N176" s="1810"/>
      <c r="O176" s="1810"/>
      <c r="P176" s="1810"/>
      <c r="Q176" s="1810"/>
      <c r="R176" s="1810"/>
      <c r="S176" s="1810"/>
      <c r="T176" s="1810"/>
      <c r="U176" s="1811"/>
      <c r="W176" s="162" t="s">
        <v>10</v>
      </c>
      <c r="X176" s="163" t="str">
        <f>X130</f>
        <v>N NAME OF YOUR RECIPE | paste it — FAMILY|  Author &gt; YOU</v>
      </c>
      <c r="Y176" s="163">
        <f>Y130</f>
        <v>1</v>
      </c>
      <c r="Z176" s="164" t="str">
        <f>Z130</f>
        <v>coupe</v>
      </c>
      <c r="AA176" s="165" t="str">
        <f>AA130</f>
        <v>Master recipe ► MILLE-FEUILLE  aux fraises des bois</v>
      </c>
      <c r="AB176" s="1548"/>
      <c r="AC176" s="1548"/>
      <c r="AD176" s="2190">
        <f>ROWS(AH158:AH176)</f>
        <v>19</v>
      </c>
      <c r="AE176" s="5549" t="str" cm="1">
        <f t="array" ref="AE176">IF(SUMPRODUCT((AH176:AM176&lt;&gt;"")*1)=0,"",SUMPRODUCT((AH176:AM176&lt;&gt;"")*(LEN(TRIM(SUBSTITUTE(AH176:AM176,CHAR(160)," "))) - LEN(SUBSTITUTE(TRIM(SUBSTITUTE(AH176:AM176,CHAR(160)," "))," ","")) + 1)) &amp; " word" &amp; IF(SUMPRODUCT((AH176:AM176&lt;&gt;"")*(LEN(TRIM(SUBSTITUTE(AH176:AM176,CHAR(160)," "))) - LEN(SUBSTITUTE(TRIM(SUBSTITUTE(AH176:AM176,CHAR(160)," "))," ","")) + 1))&gt;1,"s",""))</f>
        <v/>
      </c>
      <c r="AF176" s="5550" t="str" cm="1">
        <f t="array" ref="AF176">SUMPRODUCT(--(AH176:AM176&lt;&gt;""), LEN(TRIM(SUBSTITUTE(AH176:AM176, CHAR(160), "")))) &amp; " Car."</f>
        <v>0 Car.</v>
      </c>
      <c r="AG176" s="1376" t="str">
        <f>IF(ISBLANK(AH176),"",LARGE(AG157:AG175,1)+1)</f>
        <v/>
      </c>
      <c r="AH176" s="1833"/>
      <c r="AI176" s="1810"/>
      <c r="AJ176" s="1810"/>
      <c r="AK176" s="1810"/>
      <c r="AL176" s="1810"/>
      <c r="AM176" s="1810"/>
      <c r="AN176" s="1810"/>
      <c r="AO176" s="1810"/>
      <c r="AP176" s="1811"/>
      <c r="AR176" s="162" t="s">
        <v>10</v>
      </c>
      <c r="AS176" s="163" t="str">
        <f>AS130</f>
        <v>N NOMBRE DE SU RECETA | pegue esto — FAMILIA| Auteur &gt; VOUS</v>
      </c>
      <c r="AT176" s="163">
        <f>AT130</f>
        <v>1</v>
      </c>
      <c r="AU176" s="164" t="str">
        <f>AU130</f>
        <v>coupe</v>
      </c>
      <c r="AV176" s="165" t="str">
        <f>AV130</f>
        <v>Receta madre ► MILLE-FEUILLE  aux fraises des bois</v>
      </c>
      <c r="AW176" s="1548"/>
      <c r="AX176" s="1548"/>
      <c r="AY176" s="2190">
        <f>ROWS(BC158:BC176)</f>
        <v>19</v>
      </c>
      <c r="AZ176" s="5549" t="str" cm="1">
        <f t="array" ref="AZ176">IF(SUMPRODUCT((BC176:BH176&lt;&gt;"")*1)=0,"",SUMPRODUCT((BC176:BH176&lt;&gt;"")*(LEN(TRIM(SUBSTITUTE(BC176:BH176,CHAR(160)," "))) - LEN(SUBSTITUTE(TRIM(SUBSTITUTE(BC176:BH176,CHAR(160)," "))," ","")) + 1)) &amp; " palabra" &amp; IF(SUMPRODUCT((BC176:BH176&lt;&gt;"")*(LEN(TRIM(SUBSTITUTE(BC176:BH176,CHAR(160)," "))) - LEN(SUBSTITUTE(TRIM(SUBSTITUTE(BC176:BH176,CHAR(160)," "))," ","")) + 1))&gt;1,"s",""))</f>
        <v/>
      </c>
      <c r="BA176" s="5550" t="str" cm="1">
        <f t="array" ref="BA176">SUMPRODUCT(--(BC176:BH176&lt;&gt;""), LEN(TRIM(SUBSTITUTE(BC176:BH176, CHAR(160), "")))) &amp; " Car."</f>
        <v>0 Car.</v>
      </c>
      <c r="BB176" s="1376" t="str">
        <f>IF(ISBLANK(BC176),"",LARGE(BB157:BB175,1)+1)</f>
        <v/>
      </c>
      <c r="BC176" s="1833"/>
      <c r="BD176" s="1810"/>
      <c r="BE176" s="1810"/>
      <c r="BF176" s="1810"/>
      <c r="BG176" s="1810"/>
      <c r="BH176" s="1810"/>
      <c r="BI176" s="1810"/>
      <c r="BJ176" s="1810"/>
      <c r="BK176" s="1811"/>
      <c r="BM176" s="3">
        <v>1</v>
      </c>
    </row>
    <row r="177" spans="2:65" ht="21" customHeight="1">
      <c r="B177" s="162" t="s">
        <v>10</v>
      </c>
      <c r="C177" s="163" t="str">
        <f>C130</f>
        <v>N NOM DE VOTRE RECETTE | collez la--FAMILLE| Auteur &gt; VOUS</v>
      </c>
      <c r="D177" s="163">
        <f>D130</f>
        <v>1</v>
      </c>
      <c r="E177" s="164" t="str">
        <f>E130</f>
        <v>coupe</v>
      </c>
      <c r="F177" s="165" t="str">
        <f>F130</f>
        <v>Recette mère ► MILLE-FEUILLE  aux fraises des bois</v>
      </c>
      <c r="G177" s="1548"/>
      <c r="H177" s="1548"/>
      <c r="I177" s="2190">
        <f>ROWS(M158:M177)</f>
        <v>20</v>
      </c>
      <c r="J177" s="5549" t="str" cm="1">
        <f t="array" ref="J177">IF(SUMPRODUCT((M177:R177&lt;&gt;"")*1)=0,"",SUMPRODUCT((M177:R177&lt;&gt;"")*(LEN(TRIM(SUBSTITUTE(M177:R177,CHAR(160)," "))) - LEN(SUBSTITUTE(TRIM(SUBSTITUTE(M177:R177,CHAR(160)," "))," ","")) + 1)) &amp; " mot" &amp; IF(SUMPRODUCT((M177:R177&lt;&gt;"")*(LEN(TRIM(SUBSTITUTE(M177:R177,CHAR(160)," "))) - LEN(SUBSTITUTE(TRIM(SUBSTITUTE(M177:R177,CHAR(160)," "))," ","")) + 1))&gt;1,"s",""))</f>
        <v>13 mots</v>
      </c>
      <c r="K177" s="5550" t="str" cm="1">
        <f t="array" ref="K177">SUMPRODUCT(--(M177:R177&lt;&gt;""), LEN(TRIM(SUBSTITUTE(M177:R177, CHAR(160), "")))) &amp; " Car."</f>
        <v>80 Car.</v>
      </c>
      <c r="L177" s="1376" t="str">
        <f>IF(ISBLANK(M177),"",LARGE(L157:L176,1)+1)</f>
        <v/>
      </c>
      <c r="M177" s="1810"/>
      <c r="N177" s="1810" t="s">
        <v>14252</v>
      </c>
      <c r="O177" s="1810"/>
      <c r="P177" s="1810"/>
      <c r="Q177" s="1810"/>
      <c r="R177" s="1810"/>
      <c r="S177" s="1810"/>
      <c r="T177" s="1810"/>
      <c r="U177" s="1811"/>
      <c r="W177" s="162" t="s">
        <v>10</v>
      </c>
      <c r="X177" s="163" t="str">
        <f>X130</f>
        <v>N NAME OF YOUR RECIPE | paste it — FAMILY|  Author &gt; YOU</v>
      </c>
      <c r="Y177" s="163">
        <f>Y130</f>
        <v>1</v>
      </c>
      <c r="Z177" s="164" t="str">
        <f>Z130</f>
        <v>coupe</v>
      </c>
      <c r="AA177" s="165" t="str">
        <f>AA130</f>
        <v>Master recipe ► MILLE-FEUILLE  aux fraises des bois</v>
      </c>
      <c r="AB177" s="1548"/>
      <c r="AC177" s="1548"/>
      <c r="AD177" s="2190">
        <f>ROWS(AH158:AH177)</f>
        <v>20</v>
      </c>
      <c r="AE177" s="5549" t="str" cm="1">
        <f t="array" ref="AE177">IF(SUMPRODUCT((AH177:AM177&lt;&gt;"")*1)=0,"",SUMPRODUCT((AH177:AM177&lt;&gt;"")*(LEN(TRIM(SUBSTITUTE(AH177:AM177,CHAR(160)," "))) - LEN(SUBSTITUTE(TRIM(SUBSTITUTE(AH177:AM177,CHAR(160)," "))," ","")) + 1)) &amp; " word" &amp; IF(SUMPRODUCT((AH177:AM177&lt;&gt;"")*(LEN(TRIM(SUBSTITUTE(AH177:AM177,CHAR(160)," "))) - LEN(SUBSTITUTE(TRIM(SUBSTITUTE(AH177:AM177,CHAR(160)," "))," ","")) + 1))&gt;1,"s",""))</f>
        <v>14 words</v>
      </c>
      <c r="AF177" s="5550" t="str" cm="1">
        <f t="array" ref="AF177">SUMPRODUCT(--(AH177:AM177&lt;&gt;""), LEN(TRIM(SUBSTITUTE(AH177:AM177, CHAR(160), "")))) &amp; " Car."</f>
        <v>80 Car.</v>
      </c>
      <c r="AG177" s="1376" t="str">
        <f>IF(ISBLANK(AH177),"",LARGE(AG157:AG176,1)+1)</f>
        <v/>
      </c>
      <c r="AH177" s="1833"/>
      <c r="AI177" s="1810" t="s">
        <v>14253</v>
      </c>
      <c r="AJ177" s="1810"/>
      <c r="AK177" s="1810"/>
      <c r="AL177" s="1810"/>
      <c r="AM177" s="1810"/>
      <c r="AN177" s="1810"/>
      <c r="AO177" s="1810"/>
      <c r="AP177" s="1811"/>
      <c r="AR177" s="162" t="s">
        <v>10</v>
      </c>
      <c r="AS177" s="163" t="str">
        <f>AS130</f>
        <v>N NOMBRE DE SU RECETA | pegue esto — FAMILIA| Auteur &gt; VOUS</v>
      </c>
      <c r="AT177" s="163">
        <f>AT130</f>
        <v>1</v>
      </c>
      <c r="AU177" s="164" t="str">
        <f>AU130</f>
        <v>coupe</v>
      </c>
      <c r="AV177" s="165" t="str">
        <f>AV130</f>
        <v>Receta madre ► MILLE-FEUILLE  aux fraises des bois</v>
      </c>
      <c r="AW177" s="1548"/>
      <c r="AX177" s="1548"/>
      <c r="AY177" s="2190">
        <f>ROWS(BC158:BC177)</f>
        <v>20</v>
      </c>
      <c r="AZ177" s="5549" t="str" cm="1">
        <f t="array" ref="AZ177">IF(SUMPRODUCT((BC177:BH177&lt;&gt;"")*1)=0,"",SUMPRODUCT((BC177:BH177&lt;&gt;"")*(LEN(TRIM(SUBSTITUTE(BC177:BH177,CHAR(160)," "))) - LEN(SUBSTITUTE(TRIM(SUBSTITUTE(BC177:BH177,CHAR(160)," "))," ","")) + 1)) &amp; " palabra" &amp; IF(SUMPRODUCT((BC177:BH177&lt;&gt;"")*(LEN(TRIM(SUBSTITUTE(BC177:BH177,CHAR(160)," "))) - LEN(SUBSTITUTE(TRIM(SUBSTITUTE(BC177:BH177,CHAR(160)," "))," ","")) + 1))&gt;1,"s",""))</f>
        <v>14 palabras</v>
      </c>
      <c r="BA177" s="5550" t="str" cm="1">
        <f t="array" ref="BA177">SUMPRODUCT(--(BC177:BH177&lt;&gt;""), LEN(TRIM(SUBSTITUTE(BC177:BH177, CHAR(160), "")))) &amp; " Car."</f>
        <v>88 Car.</v>
      </c>
      <c r="BB177" s="1376" t="str">
        <f>IF(ISBLANK(BC177),"",LARGE(BB157:BB176,1)+1)</f>
        <v/>
      </c>
      <c r="BC177" s="1833"/>
      <c r="BD177" s="1810" t="s">
        <v>14254</v>
      </c>
      <c r="BE177" s="1810"/>
      <c r="BF177" s="1810"/>
      <c r="BG177" s="1810"/>
      <c r="BH177" s="1810"/>
      <c r="BI177" s="1810"/>
      <c r="BJ177" s="1810"/>
      <c r="BK177" s="1811"/>
      <c r="BM177" s="3">
        <v>1</v>
      </c>
    </row>
    <row r="178" spans="2:65" ht="21" customHeight="1" thickBot="1">
      <c r="B178" s="162" t="s">
        <v>10</v>
      </c>
      <c r="C178" s="163" t="str">
        <f>C130</f>
        <v>N NOM DE VOTRE RECETTE | collez la--FAMILLE| Auteur &gt; VOUS</v>
      </c>
      <c r="D178" s="163">
        <f>D130</f>
        <v>1</v>
      </c>
      <c r="E178" s="164" t="str">
        <f>E130</f>
        <v>coupe</v>
      </c>
      <c r="F178" s="165" t="str">
        <f>F130</f>
        <v>Recette mère ► MILLE-FEUILLE  aux fraises des bois</v>
      </c>
      <c r="G178" s="172"/>
      <c r="H178" s="1378" t="s">
        <v>207</v>
      </c>
      <c r="I178" s="1712" t="s">
        <v>8475</v>
      </c>
      <c r="J178" s="176"/>
      <c r="K178" s="176"/>
      <c r="L178" s="176"/>
      <c r="M178" s="176"/>
      <c r="N178" s="176"/>
      <c r="O178" s="176"/>
      <c r="P178" s="176"/>
      <c r="Q178" s="176"/>
      <c r="R178" s="176"/>
      <c r="S178" s="176"/>
      <c r="T178" s="176"/>
      <c r="U178" s="884"/>
      <c r="W178" s="162" t="s">
        <v>10</v>
      </c>
      <c r="X178" s="163" t="str">
        <f>X130</f>
        <v>N NAME OF YOUR RECIPE | paste it — FAMILY|  Author &gt; YOU</v>
      </c>
      <c r="Y178" s="163">
        <f>Y130</f>
        <v>1</v>
      </c>
      <c r="Z178" s="164" t="str">
        <f>Z130</f>
        <v>coupe</v>
      </c>
      <c r="AA178" s="165" t="str">
        <f>AA130</f>
        <v>Master recipe ► MILLE-FEUILLE  aux fraises des bois</v>
      </c>
      <c r="AB178" s="172"/>
      <c r="AC178" s="1378" t="s">
        <v>1300</v>
      </c>
      <c r="AD178" s="1712" t="s">
        <v>8475</v>
      </c>
      <c r="AE178" s="176" t="s">
        <v>8473</v>
      </c>
      <c r="AF178" s="176"/>
      <c r="AG178" s="176"/>
      <c r="AH178" s="176"/>
      <c r="AI178" s="176"/>
      <c r="AJ178" s="176"/>
      <c r="AK178" s="176"/>
      <c r="AL178" s="176"/>
      <c r="AM178" s="176"/>
      <c r="AN178" s="176"/>
      <c r="AO178" s="176"/>
      <c r="AP178" s="884"/>
      <c r="AR178" s="162" t="s">
        <v>10</v>
      </c>
      <c r="AS178" s="163" t="str">
        <f>AS130</f>
        <v>N NOMBRE DE SU RECETA | pegue esto — FAMILIA| Auteur &gt; VOUS</v>
      </c>
      <c r="AT178" s="163">
        <f>AT130</f>
        <v>1</v>
      </c>
      <c r="AU178" s="164" t="str">
        <f>AU130</f>
        <v>coupe</v>
      </c>
      <c r="AV178" s="165" t="str">
        <f>AV130</f>
        <v>Receta madre ► MILLE-FEUILLE  aux fraises des bois</v>
      </c>
      <c r="AW178" s="172"/>
      <c r="AX178" s="176"/>
      <c r="AY178" s="1712" t="s">
        <v>8475</v>
      </c>
      <c r="AZ178" s="679" t="s">
        <v>1351</v>
      </c>
      <c r="BA178" s="1378" t="s">
        <v>207</v>
      </c>
      <c r="BB178" s="176" t="s">
        <v>8474</v>
      </c>
      <c r="BC178" s="176"/>
      <c r="BD178" s="176"/>
      <c r="BE178" s="176"/>
      <c r="BF178" s="176"/>
      <c r="BG178" s="176"/>
      <c r="BH178" s="176"/>
      <c r="BI178" s="176"/>
      <c r="BJ178" s="176"/>
      <c r="BK178" s="884"/>
      <c r="BM178" s="3">
        <v>1</v>
      </c>
    </row>
    <row r="179" spans="2:65" ht="21" customHeight="1">
      <c r="B179" s="162" t="s">
        <v>10</v>
      </c>
      <c r="C179" s="163" t="str">
        <f>C130</f>
        <v>N NOM DE VOTRE RECETTE | collez la--FAMILLE| Auteur &gt; VOUS</v>
      </c>
      <c r="D179" s="163">
        <f>D130</f>
        <v>1</v>
      </c>
      <c r="E179" s="164" t="str">
        <f>E130</f>
        <v>coupe</v>
      </c>
      <c r="F179" s="165" t="str">
        <f>F130</f>
        <v>Recette mère ► MILLE-FEUILLE  aux fraises des bois</v>
      </c>
      <c r="G179" s="6423" t="s">
        <v>14431</v>
      </c>
      <c r="H179" s="1380"/>
      <c r="I179" s="1380"/>
      <c r="J179" s="1380"/>
      <c r="K179" s="1380"/>
      <c r="L179" s="1380"/>
      <c r="M179" s="1380"/>
      <c r="N179" s="1381" t="s">
        <v>196</v>
      </c>
      <c r="O179" s="202"/>
      <c r="P179" s="202"/>
      <c r="Q179" s="202"/>
      <c r="R179" s="202"/>
      <c r="S179" s="202"/>
      <c r="T179" s="202"/>
      <c r="U179" s="885"/>
      <c r="W179" s="162" t="s">
        <v>10</v>
      </c>
      <c r="X179" s="163" t="str">
        <f>X130</f>
        <v>N NAME OF YOUR RECIPE | paste it — FAMILY|  Author &gt; YOU</v>
      </c>
      <c r="Y179" s="163">
        <f>Y130</f>
        <v>1</v>
      </c>
      <c r="Z179" s="164" t="str">
        <f>Z130</f>
        <v>coupe</v>
      </c>
      <c r="AA179" s="165" t="str">
        <f>AA130</f>
        <v>Master recipe ► MILLE-FEUILLE  aux fraises des bois</v>
      </c>
      <c r="AB179" s="6423" t="s">
        <v>14432</v>
      </c>
      <c r="AC179" s="1380"/>
      <c r="AD179" s="1380"/>
      <c r="AE179" s="1380"/>
      <c r="AF179" s="1380"/>
      <c r="AG179" s="1380"/>
      <c r="AH179" s="1380"/>
      <c r="AI179" s="1381" t="s">
        <v>864</v>
      </c>
      <c r="AJ179" s="202"/>
      <c r="AK179" s="202"/>
      <c r="AL179" s="202"/>
      <c r="AM179" s="202"/>
      <c r="AN179" s="202"/>
      <c r="AO179" s="202"/>
      <c r="AP179" s="885"/>
      <c r="AR179" s="162" t="s">
        <v>10</v>
      </c>
      <c r="AS179" s="163" t="str">
        <f>AS130</f>
        <v>N NOMBRE DE SU RECETA | pegue esto — FAMILIA| Auteur &gt; VOUS</v>
      </c>
      <c r="AT179" s="163">
        <f>AT130</f>
        <v>1</v>
      </c>
      <c r="AU179" s="164" t="str">
        <f>AU130</f>
        <v>coupe</v>
      </c>
      <c r="AV179" s="165" t="str">
        <f>AV130</f>
        <v>Receta madre ► MILLE-FEUILLE  aux fraises des bois</v>
      </c>
      <c r="AW179" s="6423" t="s">
        <v>14433</v>
      </c>
      <c r="AX179" s="1380"/>
      <c r="AY179" s="1380"/>
      <c r="AZ179" s="1380"/>
      <c r="BA179" s="1380"/>
      <c r="BB179" s="1380"/>
      <c r="BC179" s="1380"/>
      <c r="BD179" s="1381" t="s">
        <v>879</v>
      </c>
      <c r="BE179" s="202"/>
      <c r="BF179" s="202"/>
      <c r="BG179" s="202"/>
      <c r="BH179" s="202"/>
      <c r="BI179" s="202"/>
      <c r="BJ179" s="202"/>
      <c r="BK179" s="885"/>
      <c r="BM179" s="3">
        <v>1</v>
      </c>
    </row>
    <row r="180" spans="2:65" ht="21" customHeight="1" thickBot="1">
      <c r="B180" s="162" t="s">
        <v>10</v>
      </c>
      <c r="C180" s="163" t="str">
        <f>C130</f>
        <v>N NOM DE VOTRE RECETTE | collez la--FAMILLE| Auteur &gt; VOUS</v>
      </c>
      <c r="D180" s="163">
        <f>D130</f>
        <v>1</v>
      </c>
      <c r="E180" s="164" t="str">
        <f>E130</f>
        <v>coupe</v>
      </c>
      <c r="F180" s="165" t="str">
        <f>F130</f>
        <v>Recette mère ► MILLE-FEUILLE  aux fraises des bois</v>
      </c>
      <c r="G180" s="2139"/>
      <c r="H180" s="2124"/>
      <c r="I180" s="2138"/>
      <c r="J180" s="2064" t="s">
        <v>8860</v>
      </c>
      <c r="K180" s="2065">
        <f ca="1">K157</f>
        <v>139</v>
      </c>
      <c r="L180" s="886" t="s">
        <v>200</v>
      </c>
      <c r="M180" s="2137"/>
      <c r="N180" s="2137"/>
      <c r="O180" s="2137"/>
      <c r="P180" s="472"/>
      <c r="Q180" s="472"/>
      <c r="R180" s="472"/>
      <c r="S180" s="2260" t="str">
        <f>IF(M181="","",(LEN(TRIM(SUBSTITUTE(M181,CHAR(160)," ")))-LEN(SUBSTITUTE(TRIM(SUBSTITUTE(M181,CHAR(160)," "))," ",""))+1)&amp;" mot"&amp;IF((LEN(TRIM(SUBSTITUTE(M181,CHAR(160)," ")))-LEN(SUBSTITUTE(TRIM(SUBSTITUTE(M181,CHAR(160)," "))," ",""))+1)&gt;1,"s",""))</f>
        <v>17 mots</v>
      </c>
      <c r="T180" s="2259" t="str">
        <f>IF(M181="","",LEN(TRIM(SUBSTITUTE(M181,CHAR(160),""))))&amp;" Car."</f>
        <v>123 Car.</v>
      </c>
      <c r="U180" s="2261" t="s">
        <v>8863</v>
      </c>
      <c r="W180" s="162" t="s">
        <v>10</v>
      </c>
      <c r="X180" s="163" t="str">
        <f>X130</f>
        <v>N NAME OF YOUR RECIPE | paste it — FAMILY|  Author &gt; YOU</v>
      </c>
      <c r="Y180" s="163">
        <f>Y130</f>
        <v>1</v>
      </c>
      <c r="Z180" s="164" t="str">
        <f>Z130</f>
        <v>coupe</v>
      </c>
      <c r="AA180" s="165" t="str">
        <f>AA130</f>
        <v>Master recipe ► MILLE-FEUILLE  aux fraises des bois</v>
      </c>
      <c r="AB180" s="2139"/>
      <c r="AC180" s="2124"/>
      <c r="AD180" s="2138"/>
      <c r="AE180" s="2064" t="s">
        <v>8862</v>
      </c>
      <c r="AF180" s="2065">
        <f ca="1">AF157</f>
        <v>139</v>
      </c>
      <c r="AG180" s="886" t="s">
        <v>8867</v>
      </c>
      <c r="AH180" s="2137"/>
      <c r="AI180" s="2137"/>
      <c r="AJ180" s="2137"/>
      <c r="AK180" s="472"/>
      <c r="AL180" s="472"/>
      <c r="AM180" s="472"/>
      <c r="AN180" s="2260" t="str">
        <f>IF(AH181="","",(LEN(TRIM(SUBSTITUTE(AH181,CHAR(160)," ")))-LEN(SUBSTITUTE(TRIM(SUBSTITUTE(AH181,CHAR(160)," "))," ",""))+1)&amp;" mot"&amp;IF((LEN(TRIM(SUBSTITUTE(AH181,CHAR(160)," ")))-LEN(SUBSTITUTE(TRIM(SUBSTITUTE(AH181,CHAR(160)," "))," ",""))+1)&gt;1,"s",""))</f>
        <v>17 mots</v>
      </c>
      <c r="AO180" s="2259" t="str">
        <f>IF(AH181="","",LEN(TRIM(SUBSTITUTE(AH181,CHAR(160),""))))&amp;" Car."</f>
        <v>123 Car.</v>
      </c>
      <c r="AP180" s="2261" t="s">
        <v>8869</v>
      </c>
      <c r="AR180" s="162" t="s">
        <v>10</v>
      </c>
      <c r="AS180" s="163" t="str">
        <f>AS130</f>
        <v>N NOMBRE DE SU RECETA | pegue esto — FAMILIA| Auteur &gt; VOUS</v>
      </c>
      <c r="AT180" s="163">
        <f>AT130</f>
        <v>1</v>
      </c>
      <c r="AU180" s="164" t="str">
        <f>AU130</f>
        <v>coupe</v>
      </c>
      <c r="AV180" s="165" t="str">
        <f>AV130</f>
        <v>Receta madre ► MILLE-FEUILLE  aux fraises des bois</v>
      </c>
      <c r="AW180" s="2139"/>
      <c r="AX180" s="2124"/>
      <c r="AY180" s="2138"/>
      <c r="AZ180" s="2064" t="s">
        <v>8861</v>
      </c>
      <c r="BA180" s="2065">
        <f ca="1">BA157</f>
        <v>139</v>
      </c>
      <c r="BB180" s="886" t="s">
        <v>640</v>
      </c>
      <c r="BC180" s="2137"/>
      <c r="BD180" s="2137"/>
      <c r="BE180" s="2137"/>
      <c r="BF180" s="472"/>
      <c r="BG180" s="472"/>
      <c r="BH180" s="472"/>
      <c r="BI180" s="2260" t="str">
        <f>IF(BC181="","",(LEN(TRIM(SUBSTITUTE(BC181,CHAR(160)," ")))-LEN(SUBSTITUTE(TRIM(SUBSTITUTE(BC181,CHAR(160)," "))," ",""))+1)&amp;" mot"&amp;IF((LEN(TRIM(SUBSTITUTE(BC181,CHAR(160)," ")))-LEN(SUBSTITUTE(TRIM(SUBSTITUTE(BC181,CHAR(160)," "))," ",""))+1)&gt;1,"s",""))</f>
        <v>18 mots</v>
      </c>
      <c r="BJ180" s="2259" t="str">
        <f>IF(BC181="","",LEN(TRIM(SUBSTITUTE(BC181,CHAR(160),""))))&amp;" Car."</f>
        <v>123 Car.</v>
      </c>
      <c r="BK180" s="2261" t="s">
        <v>8871</v>
      </c>
      <c r="BM180" s="3">
        <v>1</v>
      </c>
    </row>
    <row r="181" spans="2:65" ht="21" customHeight="1" thickBot="1">
      <c r="B181" s="1814" t="s">
        <v>10</v>
      </c>
      <c r="C181" s="209" t="str">
        <f>C130</f>
        <v>N NOM DE VOTRE RECETTE | collez la--FAMILLE| Auteur &gt; VOUS</v>
      </c>
      <c r="D181" s="209">
        <f>D130</f>
        <v>1</v>
      </c>
      <c r="E181" s="210" t="str">
        <f>E130</f>
        <v>coupe</v>
      </c>
      <c r="F181" s="211" t="str">
        <f>F130</f>
        <v>Recette mère ► MILLE-FEUILLE  aux fraises des bois</v>
      </c>
      <c r="G181" s="2129"/>
      <c r="H181" s="2130"/>
      <c r="I181" s="2131"/>
      <c r="J181" s="2132"/>
      <c r="K181" s="2133"/>
      <c r="L181" s="2133" t="s">
        <v>8864</v>
      </c>
      <c r="M181" s="5545" t="s">
        <v>8866</v>
      </c>
      <c r="N181" s="2136"/>
      <c r="O181" s="2134"/>
      <c r="P181" s="2134"/>
      <c r="Q181" s="2134"/>
      <c r="R181" s="2134"/>
      <c r="S181" s="2134"/>
      <c r="T181" s="2134"/>
      <c r="U181" s="2135"/>
      <c r="W181" s="1814" t="s">
        <v>10</v>
      </c>
      <c r="X181" s="209" t="str">
        <f>X130</f>
        <v>N NAME OF YOUR RECIPE | paste it — FAMILY|  Author &gt; YOU</v>
      </c>
      <c r="Y181" s="209">
        <f>Y130</f>
        <v>1</v>
      </c>
      <c r="Z181" s="210" t="str">
        <f>Z130</f>
        <v>coupe</v>
      </c>
      <c r="AA181" s="211" t="str">
        <f>AA130</f>
        <v>Master recipe ► MILLE-FEUILLE  aux fraises des bois</v>
      </c>
      <c r="AB181" s="2129"/>
      <c r="AC181" s="2130"/>
      <c r="AD181" s="2131"/>
      <c r="AE181" s="2132"/>
      <c r="AF181" s="2133"/>
      <c r="AG181" s="2133" t="s">
        <v>8868</v>
      </c>
      <c r="AH181" s="5545" t="s">
        <v>8873</v>
      </c>
      <c r="AI181" s="2136"/>
      <c r="AJ181" s="2134"/>
      <c r="AK181" s="2134"/>
      <c r="AL181" s="2134"/>
      <c r="AM181" s="2134"/>
      <c r="AN181" s="2134"/>
      <c r="AO181" s="2134"/>
      <c r="AP181" s="2135"/>
      <c r="AR181" s="1814" t="s">
        <v>10</v>
      </c>
      <c r="AS181" s="209" t="str">
        <f>AS130</f>
        <v>N NOMBRE DE SU RECETA | pegue esto — FAMILIA| Auteur &gt; VOUS</v>
      </c>
      <c r="AT181" s="209">
        <f>AT130</f>
        <v>1</v>
      </c>
      <c r="AU181" s="210" t="str">
        <f>AU130</f>
        <v>coupe</v>
      </c>
      <c r="AV181" s="211" t="str">
        <f>AV130</f>
        <v>Receta madre ► MILLE-FEUILLE  aux fraises des bois</v>
      </c>
      <c r="AW181" s="2129"/>
      <c r="AX181" s="2130"/>
      <c r="AY181" s="2131"/>
      <c r="AZ181" s="2132"/>
      <c r="BA181" s="2133"/>
      <c r="BB181" s="2133" t="s">
        <v>8870</v>
      </c>
      <c r="BC181" s="5545" t="s">
        <v>8872</v>
      </c>
      <c r="BD181" s="2136"/>
      <c r="BE181" s="2134"/>
      <c r="BF181" s="2134"/>
      <c r="BG181" s="2134"/>
      <c r="BH181" s="2134"/>
      <c r="BI181" s="2134"/>
      <c r="BJ181" s="2134"/>
      <c r="BK181" s="2135"/>
      <c r="BM181" s="3">
        <v>1</v>
      </c>
    </row>
    <row r="182" spans="2:65" ht="21" customHeight="1" thickBot="1">
      <c r="B182" s="215" t="s">
        <v>10</v>
      </c>
      <c r="C182" s="216"/>
      <c r="D182" s="216"/>
      <c r="E182" s="216"/>
      <c r="F182" s="217"/>
      <c r="G182" s="218" t="s">
        <v>207</v>
      </c>
      <c r="H182" s="219" t="str">
        <f ca="1">CELL("nomfichier")</f>
        <v>D:\Données\1.UPRT\0-UPRT.fait\1-UPRT.FR-SITE-WEB\ff-fiches-fabrications\ff.fiches.fabrication.2023\ffr.restaurant.2023\[ff.FICHE.TRILINGUE.20.COLONNES.05.01.2026.xlsx]Couleurs.pour.vos.documents</v>
      </c>
      <c r="I182" s="220"/>
      <c r="J182" s="220"/>
      <c r="K182" s="220"/>
      <c r="L182" s="220"/>
      <c r="M182" s="220"/>
      <c r="N182" s="220"/>
      <c r="O182" s="220"/>
      <c r="P182" s="220"/>
      <c r="Q182" s="220"/>
      <c r="R182" s="220"/>
      <c r="S182" s="220"/>
      <c r="T182" s="220"/>
      <c r="U182" s="221"/>
      <c r="W182" s="215" t="s">
        <v>10</v>
      </c>
      <c r="X182" s="216"/>
      <c r="Y182" s="216"/>
      <c r="Z182" s="216"/>
      <c r="AA182" s="217"/>
      <c r="AB182" s="218" t="s">
        <v>207</v>
      </c>
      <c r="AC182" s="219" t="str">
        <f ca="1">CELL("nomfichier")</f>
        <v>D:\Données\1.UPRT\0-UPRT.fait\1-UPRT.FR-SITE-WEB\ff-fiches-fabrications\ff.fiches.fabrication.2023\ffr.restaurant.2023\[ff.FICHE.TRILINGUE.20.COLONNES.05.01.2026.xlsx]Couleurs.pour.vos.documents</v>
      </c>
      <c r="AD182" s="220"/>
      <c r="AE182" s="220"/>
      <c r="AF182" s="220"/>
      <c r="AG182" s="220"/>
      <c r="AH182" s="220"/>
      <c r="AI182" s="220"/>
      <c r="AJ182" s="220"/>
      <c r="AK182" s="220"/>
      <c r="AL182" s="220"/>
      <c r="AM182" s="220"/>
      <c r="AN182" s="220"/>
      <c r="AO182" s="220"/>
      <c r="AP182" s="221"/>
      <c r="AR182" s="215" t="s">
        <v>10</v>
      </c>
      <c r="AS182" s="216"/>
      <c r="AT182" s="216"/>
      <c r="AU182" s="216"/>
      <c r="AV182" s="217"/>
      <c r="AW182" s="218" t="s">
        <v>207</v>
      </c>
      <c r="AX182" s="219" t="str">
        <f ca="1">CELL("nomfichier")</f>
        <v>D:\Données\1.UPRT\0-UPRT.fait\1-UPRT.FR-SITE-WEB\ff-fiches-fabrications\ff.fiches.fabrication.2023\ffr.restaurant.2023\[ff.FICHE.TRILINGUE.20.COLONNES.05.01.2026.xlsx]Couleurs.pour.vos.documents</v>
      </c>
      <c r="AY182" s="220"/>
      <c r="AZ182" s="220"/>
      <c r="BA182" s="220"/>
      <c r="BB182" s="220"/>
      <c r="BC182" s="220"/>
      <c r="BD182" s="220"/>
      <c r="BE182" s="220"/>
      <c r="BF182" s="220"/>
      <c r="BG182" s="220"/>
      <c r="BH182" s="220"/>
      <c r="BI182" s="220"/>
      <c r="BJ182" s="220"/>
      <c r="BK182" s="221"/>
      <c r="BM182" s="3">
        <v>1</v>
      </c>
    </row>
    <row r="183" spans="2:65" ht="21" customHeight="1" thickBot="1">
      <c r="B183" s="1216" t="s">
        <v>10</v>
      </c>
      <c r="C183" s="1217" t="s">
        <v>10</v>
      </c>
      <c r="D183" s="1217" t="s">
        <v>10</v>
      </c>
      <c r="E183" s="1217" t="s">
        <v>10</v>
      </c>
      <c r="F183" s="1217" t="s">
        <v>10</v>
      </c>
      <c r="G183" s="1218" t="s">
        <v>2394</v>
      </c>
      <c r="H183" s="1219"/>
      <c r="I183" s="1220"/>
      <c r="J183" s="1221"/>
      <c r="K183" s="1222"/>
      <c r="L183" s="1223"/>
      <c r="M183" s="1223"/>
      <c r="N183" s="1221"/>
      <c r="O183" s="1221"/>
      <c r="P183" s="1219"/>
      <c r="Q183" s="1219"/>
      <c r="R183" s="1219"/>
      <c r="S183" s="1219"/>
      <c r="T183" s="1219"/>
      <c r="U183" s="1224" t="s">
        <v>1755</v>
      </c>
      <c r="W183" s="1216" t="s">
        <v>10</v>
      </c>
      <c r="X183" s="1217" t="s">
        <v>10</v>
      </c>
      <c r="Y183" s="1217" t="s">
        <v>10</v>
      </c>
      <c r="Z183" s="1217" t="s">
        <v>10</v>
      </c>
      <c r="AA183" s="1217" t="s">
        <v>10</v>
      </c>
      <c r="AB183" s="1218" t="s">
        <v>2394</v>
      </c>
      <c r="AC183" s="1219"/>
      <c r="AD183" s="1220"/>
      <c r="AE183" s="1221"/>
      <c r="AF183" s="1222"/>
      <c r="AG183" s="1223"/>
      <c r="AH183" s="1223"/>
      <c r="AI183" s="1221"/>
      <c r="AJ183" s="1221"/>
      <c r="AK183" s="1219"/>
      <c r="AL183" s="1219"/>
      <c r="AM183" s="1219"/>
      <c r="AN183" s="1219"/>
      <c r="AO183" s="1219"/>
      <c r="AP183" s="1224" t="s">
        <v>1755</v>
      </c>
      <c r="AR183" s="1216" t="s">
        <v>10</v>
      </c>
      <c r="AS183" s="1217" t="s">
        <v>10</v>
      </c>
      <c r="AT183" s="1217" t="s">
        <v>10</v>
      </c>
      <c r="AU183" s="1217" t="s">
        <v>10</v>
      </c>
      <c r="AV183" s="1217" t="s">
        <v>10</v>
      </c>
      <c r="AW183" s="1218" t="s">
        <v>2394</v>
      </c>
      <c r="AX183" s="1219"/>
      <c r="AY183" s="1220"/>
      <c r="AZ183" s="1221"/>
      <c r="BA183" s="1222"/>
      <c r="BB183" s="1223"/>
      <c r="BC183" s="1223"/>
      <c r="BD183" s="1221"/>
      <c r="BE183" s="1221"/>
      <c r="BF183" s="1219"/>
      <c r="BG183" s="1219"/>
      <c r="BH183" s="1219"/>
      <c r="BI183" s="1219"/>
      <c r="BJ183" s="1219"/>
      <c r="BK183" s="1224" t="s">
        <v>1755</v>
      </c>
      <c r="BM183" s="3">
        <v>1</v>
      </c>
    </row>
    <row r="184" spans="2:65" ht="21" customHeight="1">
      <c r="B184" s="19" t="s">
        <v>10</v>
      </c>
      <c r="C184" s="20" t="str">
        <f>C190</f>
        <v>N NOM DE VOTRE RECETTE | collez la--FAMILLE| Auteur &gt; VOUS</v>
      </c>
      <c r="D184" s="21">
        <f>D190</f>
        <v>1</v>
      </c>
      <c r="E184" s="21" t="str">
        <f>E190</f>
        <v>coupe</v>
      </c>
      <c r="F184" s="22" t="str">
        <f>F190</f>
        <v>Recette mère ► MILLE-FEUILLE  aux fraises des bois</v>
      </c>
      <c r="G184" s="23" t="s">
        <v>21</v>
      </c>
      <c r="H184" s="24" t="s">
        <v>22</v>
      </c>
      <c r="I184" s="24"/>
      <c r="J184" s="6634" t="s">
        <v>1339</v>
      </c>
      <c r="K184" s="6634"/>
      <c r="L184" s="6634"/>
      <c r="M184" s="6634"/>
      <c r="N184" s="6634"/>
      <c r="O184" s="6634"/>
      <c r="P184" s="6634"/>
      <c r="Q184" s="6634"/>
      <c r="R184" s="6634"/>
      <c r="S184" s="6636" t="s">
        <v>1348</v>
      </c>
      <c r="T184" s="6636"/>
      <c r="U184" s="6638" t="str">
        <f>UPPER(LEFT(J184,1))</f>
        <v>N</v>
      </c>
      <c r="W184" s="19" t="s">
        <v>10</v>
      </c>
      <c r="X184" s="20" t="str">
        <f>X190</f>
        <v>N NAME OF YOUR RECIPE | paste it — FAMILY|  Author &gt; YOU</v>
      </c>
      <c r="Y184" s="21">
        <f>Y190</f>
        <v>1</v>
      </c>
      <c r="Z184" s="21" t="str">
        <f>Z190</f>
        <v>coupe</v>
      </c>
      <c r="AA184" s="22" t="str">
        <f>AA190</f>
        <v>Master recipe ► MILLE-FEUILLE  aux fraises des bois</v>
      </c>
      <c r="AB184" s="23" t="s">
        <v>21</v>
      </c>
      <c r="AC184" s="24" t="s">
        <v>22</v>
      </c>
      <c r="AD184" s="24"/>
      <c r="AE184" s="6634" t="s">
        <v>851</v>
      </c>
      <c r="AF184" s="6634"/>
      <c r="AG184" s="6634"/>
      <c r="AH184" s="6634"/>
      <c r="AI184" s="6634"/>
      <c r="AJ184" s="6634"/>
      <c r="AK184" s="6634"/>
      <c r="AL184" s="6634"/>
      <c r="AM184" s="6634"/>
      <c r="AN184" s="6636" t="s">
        <v>1349</v>
      </c>
      <c r="AO184" s="6636"/>
      <c r="AP184" s="6638" t="str">
        <f>UPPER(LEFT(AE184,1))</f>
        <v>N</v>
      </c>
      <c r="AR184" s="19" t="s">
        <v>10</v>
      </c>
      <c r="AS184" s="20" t="str">
        <f>AS190</f>
        <v>N NOMBRE DE SU RECETA | pegue esto — FAMILIA| Auteur &gt; VOUS</v>
      </c>
      <c r="AT184" s="21">
        <f>AT190</f>
        <v>1</v>
      </c>
      <c r="AU184" s="21" t="str">
        <f>AU190</f>
        <v>coupe</v>
      </c>
      <c r="AV184" s="22" t="str">
        <f>AV190</f>
        <v>Receta madre ► MILLE-FEUILLE  aux fraises des bois</v>
      </c>
      <c r="AW184" s="23" t="s">
        <v>21</v>
      </c>
      <c r="AX184" s="24" t="s">
        <v>866</v>
      </c>
      <c r="AY184" s="24"/>
      <c r="AZ184" s="6634" t="s">
        <v>867</v>
      </c>
      <c r="BA184" s="6634"/>
      <c r="BB184" s="6634"/>
      <c r="BC184" s="6634"/>
      <c r="BD184" s="6634"/>
      <c r="BE184" s="6634"/>
      <c r="BF184" s="6634"/>
      <c r="BG184" s="6634"/>
      <c r="BH184" s="6634"/>
      <c r="BI184" s="6636" t="s">
        <v>1350</v>
      </c>
      <c r="BJ184" s="6636"/>
      <c r="BK184" s="6638" t="str">
        <f>UPPER(LEFT(AZ184,1))</f>
        <v>N</v>
      </c>
      <c r="BM184" s="3">
        <v>1</v>
      </c>
    </row>
    <row r="185" spans="2:65" ht="21" customHeight="1">
      <c r="B185" s="25" t="s">
        <v>10</v>
      </c>
      <c r="C185" s="26" t="str">
        <f>C190</f>
        <v>N NOM DE VOTRE RECETTE | collez la--FAMILLE| Auteur &gt; VOUS</v>
      </c>
      <c r="D185" s="27">
        <f>D190</f>
        <v>1</v>
      </c>
      <c r="E185" s="27" t="str">
        <f>E190</f>
        <v>coupe</v>
      </c>
      <c r="F185" s="28" t="str">
        <f>F190</f>
        <v>Recette mère ► MILLE-FEUILLE  aux fraises des bois</v>
      </c>
      <c r="G185" s="29" t="s">
        <v>28</v>
      </c>
      <c r="H185" s="30" t="s">
        <v>831</v>
      </c>
      <c r="I185" s="30"/>
      <c r="J185" s="6635"/>
      <c r="K185" s="6635"/>
      <c r="L185" s="6635"/>
      <c r="M185" s="6635"/>
      <c r="N185" s="6635"/>
      <c r="O185" s="6635"/>
      <c r="P185" s="6635"/>
      <c r="Q185" s="6635"/>
      <c r="R185" s="6635"/>
      <c r="S185" s="6637"/>
      <c r="T185" s="6637"/>
      <c r="U185" s="6639"/>
      <c r="W185" s="25" t="s">
        <v>10</v>
      </c>
      <c r="X185" s="26" t="str">
        <f>X190</f>
        <v>N NAME OF YOUR RECIPE | paste it — FAMILY|  Author &gt; YOU</v>
      </c>
      <c r="Y185" s="27">
        <f>Y190</f>
        <v>1</v>
      </c>
      <c r="Z185" s="27" t="str">
        <f>Z190</f>
        <v>coupe</v>
      </c>
      <c r="AA185" s="28" t="str">
        <f>AA190</f>
        <v>Master recipe ► MILLE-FEUILLE  aux fraises des bois</v>
      </c>
      <c r="AB185" s="29" t="s">
        <v>1299</v>
      </c>
      <c r="AC185" s="30" t="s">
        <v>831</v>
      </c>
      <c r="AD185" s="30"/>
      <c r="AE185" s="6635"/>
      <c r="AF185" s="6635"/>
      <c r="AG185" s="6635"/>
      <c r="AH185" s="6635"/>
      <c r="AI185" s="6635"/>
      <c r="AJ185" s="6635"/>
      <c r="AK185" s="6635"/>
      <c r="AL185" s="6635"/>
      <c r="AM185" s="6635"/>
      <c r="AN185" s="6637"/>
      <c r="AO185" s="6637"/>
      <c r="AP185" s="6639"/>
      <c r="AR185" s="25" t="s">
        <v>10</v>
      </c>
      <c r="AS185" s="26" t="str">
        <f>AS190</f>
        <v>N NOMBRE DE SU RECETA | pegue esto — FAMILIA| Auteur &gt; VOUS</v>
      </c>
      <c r="AT185" s="27">
        <f>AT190</f>
        <v>1</v>
      </c>
      <c r="AU185" s="27" t="str">
        <f>AU190</f>
        <v>coupe</v>
      </c>
      <c r="AV185" s="28" t="str">
        <f>AV190</f>
        <v>Receta madre ► MILLE-FEUILLE  aux fraises des bois</v>
      </c>
      <c r="AW185" s="29" t="s">
        <v>868</v>
      </c>
      <c r="AX185" s="30" t="s">
        <v>29</v>
      </c>
      <c r="AY185" s="30"/>
      <c r="AZ185" s="6635"/>
      <c r="BA185" s="6635"/>
      <c r="BB185" s="6635"/>
      <c r="BC185" s="6635"/>
      <c r="BD185" s="6635"/>
      <c r="BE185" s="6635"/>
      <c r="BF185" s="6635"/>
      <c r="BG185" s="6635"/>
      <c r="BH185" s="6635"/>
      <c r="BI185" s="6637"/>
      <c r="BJ185" s="6637"/>
      <c r="BK185" s="6639"/>
      <c r="BM185" s="3">
        <v>1</v>
      </c>
    </row>
    <row r="186" spans="2:65" ht="21" customHeight="1">
      <c r="B186" s="25" t="s">
        <v>10</v>
      </c>
      <c r="C186" s="31" t="str">
        <f>C190</f>
        <v>N NOM DE VOTRE RECETTE | collez la--FAMILLE| Auteur &gt; VOUS</v>
      </c>
      <c r="D186" s="32">
        <f>D190</f>
        <v>1</v>
      </c>
      <c r="E186" s="32" t="str">
        <f>E190</f>
        <v>coupe</v>
      </c>
      <c r="F186" s="33" t="str">
        <f>F190</f>
        <v>Recette mère ► MILLE-FEUILLE  aux fraises des bois</v>
      </c>
      <c r="G186" s="1357"/>
      <c r="H186" s="1358" t="s">
        <v>30</v>
      </c>
      <c r="I186" s="34"/>
      <c r="J186" s="35" t="s">
        <v>31</v>
      </c>
      <c r="K186" s="36" t="s">
        <v>57</v>
      </c>
      <c r="L186" s="9"/>
      <c r="M186" s="9"/>
      <c r="N186" s="36"/>
      <c r="O186" s="36"/>
      <c r="P186" s="36"/>
      <c r="Q186" s="37"/>
      <c r="R186" s="9"/>
      <c r="S186" s="9"/>
      <c r="T186" s="9"/>
      <c r="U186" s="2062" t="str" cm="1">
        <f t="array" aca="1" ref="U186" ca="1">IF(COUNTIF(C220:U220,"&lt;0.5")=0,"Aucune colonne masquée ",COUNTIF(C220:U220,"&lt;0.5") &amp; " " &amp; IF(COUNTIF(C220:U220,"&lt;0.5")&gt;1,"colonnes masquées","colonne masquée") &amp; " " &amp; _xlfn.TEXTJOIN(" ", TRUE, IF(C220:U220&lt;0.5,C219:U219,"")))&amp;" "</f>
        <v xml:space="preserve">Aucune colonne masquée  </v>
      </c>
      <c r="W186" s="25" t="s">
        <v>10</v>
      </c>
      <c r="X186" s="31" t="str">
        <f>X190</f>
        <v>N NAME OF YOUR RECIPE | paste it — FAMILY|  Author &gt; YOU</v>
      </c>
      <c r="Y186" s="32">
        <f>Y190</f>
        <v>1</v>
      </c>
      <c r="Z186" s="32" t="str">
        <f>Z190</f>
        <v>coupe</v>
      </c>
      <c r="AA186" s="33" t="str">
        <f>AA190</f>
        <v>Master recipe ► MILLE-FEUILLE  aux fraises des bois</v>
      </c>
      <c r="AB186" s="1357"/>
      <c r="AC186" s="1358" t="s">
        <v>30</v>
      </c>
      <c r="AD186" s="34"/>
      <c r="AE186" s="35" t="s">
        <v>853</v>
      </c>
      <c r="AF186" s="36" t="s">
        <v>60</v>
      </c>
      <c r="AG186" s="9"/>
      <c r="AH186" s="9"/>
      <c r="AI186" s="36"/>
      <c r="AJ186" s="36"/>
      <c r="AK186" s="36"/>
      <c r="AL186" s="37"/>
      <c r="AM186" s="9"/>
      <c r="AN186" s="9"/>
      <c r="AO186" s="9"/>
      <c r="AP186" s="38"/>
      <c r="AR186" s="25" t="s">
        <v>10</v>
      </c>
      <c r="AS186" s="31" t="str">
        <f>AS190</f>
        <v>N NOMBRE DE SU RECETA | pegue esto — FAMILIA| Auteur &gt; VOUS</v>
      </c>
      <c r="AT186" s="32">
        <f>AT190</f>
        <v>1</v>
      </c>
      <c r="AU186" s="32" t="str">
        <f>AU190</f>
        <v>coupe</v>
      </c>
      <c r="AV186" s="33" t="str">
        <f>AV190</f>
        <v>Receta madre ► MILLE-FEUILLE  aux fraises des bois</v>
      </c>
      <c r="AW186" s="1357"/>
      <c r="AX186" s="1358" t="s">
        <v>30</v>
      </c>
      <c r="AY186" s="34"/>
      <c r="AZ186" s="35" t="s">
        <v>31</v>
      </c>
      <c r="BA186" s="36" t="s">
        <v>57</v>
      </c>
      <c r="BB186" s="9"/>
      <c r="BC186" s="9"/>
      <c r="BD186" s="36"/>
      <c r="BE186" s="36"/>
      <c r="BF186" s="36"/>
      <c r="BG186" s="37"/>
      <c r="BH186" s="9"/>
      <c r="BI186" s="9"/>
      <c r="BJ186" s="9"/>
      <c r="BK186" s="38"/>
      <c r="BM186" s="3">
        <v>1</v>
      </c>
    </row>
    <row r="187" spans="2:65" ht="21" customHeight="1">
      <c r="B187" s="25" t="s">
        <v>10</v>
      </c>
      <c r="C187" s="31" t="str">
        <f>C190</f>
        <v>N NOM DE VOTRE RECETTE | collez la--FAMILLE| Auteur &gt; VOUS</v>
      </c>
      <c r="D187" s="32">
        <f>D190</f>
        <v>1</v>
      </c>
      <c r="E187" s="32" t="str">
        <f>E190</f>
        <v>coupe</v>
      </c>
      <c r="F187" s="33" t="str">
        <f>F190</f>
        <v>Recette mère ► MILLE-FEUILLE  aux fraises des bois</v>
      </c>
      <c r="G187" s="39" t="s">
        <v>32</v>
      </c>
      <c r="H187" s="40"/>
      <c r="I187" s="40"/>
      <c r="J187" s="41" t="s">
        <v>33</v>
      </c>
      <c r="K187" s="6736" t="str">
        <f>M190&amp;" "&amp;N190&amp;" ► Famille = "&amp;S184&amp;" ► "&amp;J184&amp;" "&amp;Q187&amp;" "&amp;S187&amp;" "&amp;T187&amp;" "&amp;U187</f>
        <v>Recette mère ► MILLE-FEUILLE  aux fraises des bois ► Famille = collez la--FAMILLE ► NOM DE VOTRE RECETTE  ⓫  Dupliquée pour 5 coupes</v>
      </c>
      <c r="L187" s="6736"/>
      <c r="M187" s="6736"/>
      <c r="N187" s="6736"/>
      <c r="O187" s="6736"/>
      <c r="P187" s="6736"/>
      <c r="Q187" s="6736"/>
      <c r="R187" s="1359"/>
      <c r="S187" s="1359" t="s">
        <v>35</v>
      </c>
      <c r="T187" s="140">
        <v>5</v>
      </c>
      <c r="U187" s="43" t="str">
        <f>U189</f>
        <v>coupes</v>
      </c>
      <c r="W187" s="25" t="s">
        <v>10</v>
      </c>
      <c r="X187" s="31" t="str">
        <f>X190</f>
        <v>N NAME OF YOUR RECIPE | paste it — FAMILY|  Author &gt; YOU</v>
      </c>
      <c r="Y187" s="32">
        <f>Y190</f>
        <v>1</v>
      </c>
      <c r="Z187" s="32" t="str">
        <f>Z190</f>
        <v>coupe</v>
      </c>
      <c r="AA187" s="33" t="str">
        <f>AA190</f>
        <v>Master recipe ► MILLE-FEUILLE  aux fraises des bois</v>
      </c>
      <c r="AB187" s="39" t="s">
        <v>134</v>
      </c>
      <c r="AC187" s="40"/>
      <c r="AD187" s="40"/>
      <c r="AE187" s="41" t="s">
        <v>33</v>
      </c>
      <c r="AF187" s="6736" t="str">
        <f>AH190&amp;" "&amp;AI190&amp;" ► Famille = "&amp;AN184&amp;" ► "&amp;AE184&amp;" "&amp;AL187&amp;" "&amp;AN187&amp;" "&amp;AO187&amp;" "&amp;AP187</f>
        <v>Master recipe ► MILLE-FEUILLE  aux fraises des bois ► Famille = paste it — FAMILY ► NAME OF YOUR RECIPE  ⓫ Duplicated for 5 coupes</v>
      </c>
      <c r="AG187" s="6736"/>
      <c r="AH187" s="6736"/>
      <c r="AI187" s="6736"/>
      <c r="AJ187" s="6736"/>
      <c r="AK187" s="6736"/>
      <c r="AL187" s="6736"/>
      <c r="AM187" s="1359"/>
      <c r="AN187" s="1359" t="s">
        <v>135</v>
      </c>
      <c r="AO187" s="140">
        <v>5</v>
      </c>
      <c r="AP187" s="43" t="str">
        <f>AP189</f>
        <v>coupes</v>
      </c>
      <c r="AR187" s="25" t="s">
        <v>10</v>
      </c>
      <c r="AS187" s="31" t="str">
        <f>AS190</f>
        <v>N NOMBRE DE SU RECETA | pegue esto — FAMILIA| Auteur &gt; VOUS</v>
      </c>
      <c r="AT187" s="32">
        <f>AT190</f>
        <v>1</v>
      </c>
      <c r="AU187" s="32" t="str">
        <f>AU190</f>
        <v>coupe</v>
      </c>
      <c r="AV187" s="33" t="str">
        <f>AV190</f>
        <v>Receta madre ► MILLE-FEUILLE  aux fraises des bois</v>
      </c>
      <c r="AW187" s="39" t="s">
        <v>869</v>
      </c>
      <c r="AX187" s="40"/>
      <c r="AY187" s="40"/>
      <c r="AZ187" s="41" t="s">
        <v>33</v>
      </c>
      <c r="BA187" s="6736" t="str">
        <f>BC190&amp;" "&amp;BD190&amp;" ► Famille = "&amp;BI184&amp;" ► "&amp;AZ184&amp;" "&amp;BG187&amp;" "&amp;BI187&amp;" "&amp;BJ187&amp;" "&amp;BK187</f>
        <v>Receta madre ► MILLE-FEUILLE  aux fraises des bois ► Famille = pegue esto — FAMILIA ► NOMBRE DE SU RECETA  ⓫ Duplicada para 5 coupes</v>
      </c>
      <c r="BB187" s="6736"/>
      <c r="BC187" s="6736"/>
      <c r="BD187" s="6736"/>
      <c r="BE187" s="6736"/>
      <c r="BF187" s="6736"/>
      <c r="BG187" s="6736"/>
      <c r="BH187" s="1359"/>
      <c r="BI187" s="1359" t="s">
        <v>138</v>
      </c>
      <c r="BJ187" s="140">
        <v>5</v>
      </c>
      <c r="BK187" s="43" t="str">
        <f>BK189</f>
        <v>coupes</v>
      </c>
      <c r="BM187" s="3">
        <v>1</v>
      </c>
    </row>
    <row r="188" spans="2:65" ht="21" customHeight="1">
      <c r="B188" s="25" t="s">
        <v>10</v>
      </c>
      <c r="C188" s="31" t="str">
        <f>C190</f>
        <v>N NOM DE VOTRE RECETTE | collez la--FAMILLE| Auteur &gt; VOUS</v>
      </c>
      <c r="D188" s="32">
        <f>D190</f>
        <v>1</v>
      </c>
      <c r="E188" s="32" t="str">
        <f>E190</f>
        <v>coupe</v>
      </c>
      <c r="F188" s="33" t="str">
        <f>F190</f>
        <v>Recette mère ► MILLE-FEUILLE  aux fraises des bois</v>
      </c>
      <c r="G188" s="1360">
        <v>1</v>
      </c>
      <c r="H188" s="1361" t="s">
        <v>1783</v>
      </c>
      <c r="I188" s="39"/>
      <c r="J188" s="39"/>
      <c r="K188" s="6736"/>
      <c r="L188" s="6736"/>
      <c r="M188" s="6736"/>
      <c r="N188" s="6736"/>
      <c r="O188" s="6736"/>
      <c r="P188" s="6736"/>
      <c r="Q188" s="6736"/>
      <c r="R188" s="696"/>
      <c r="S188" s="696"/>
      <c r="T188" s="47" t="s">
        <v>40</v>
      </c>
      <c r="U188" s="48" t="s">
        <v>41</v>
      </c>
      <c r="W188" s="25" t="s">
        <v>10</v>
      </c>
      <c r="X188" s="31" t="str">
        <f>X190</f>
        <v>N NAME OF YOUR RECIPE | paste it — FAMILY|  Author &gt; YOU</v>
      </c>
      <c r="Y188" s="32">
        <f>Y190</f>
        <v>1</v>
      </c>
      <c r="Z188" s="32" t="str">
        <f>Z190</f>
        <v>coupe</v>
      </c>
      <c r="AA188" s="33" t="str">
        <f>AA190</f>
        <v>Master recipe ► MILLE-FEUILLE  aux fraises des bois</v>
      </c>
      <c r="AB188" s="1360">
        <v>1</v>
      </c>
      <c r="AC188" s="1361" t="s">
        <v>1783</v>
      </c>
      <c r="AD188" s="39"/>
      <c r="AE188" s="39"/>
      <c r="AF188" s="6736"/>
      <c r="AG188" s="6736"/>
      <c r="AH188" s="6736"/>
      <c r="AI188" s="6736"/>
      <c r="AJ188" s="6736"/>
      <c r="AK188" s="6736"/>
      <c r="AL188" s="6736"/>
      <c r="AM188" s="696"/>
      <c r="AN188" s="696"/>
      <c r="AO188" s="47" t="s">
        <v>148</v>
      </c>
      <c r="AP188" s="48" t="s">
        <v>854</v>
      </c>
      <c r="AR188" s="25" t="s">
        <v>10</v>
      </c>
      <c r="AS188" s="31" t="str">
        <f>AS190</f>
        <v>N NOMBRE DE SU RECETA | pegue esto — FAMILIA| Auteur &gt; VOUS</v>
      </c>
      <c r="AT188" s="32">
        <f>AT190</f>
        <v>1</v>
      </c>
      <c r="AU188" s="32" t="str">
        <f>AU190</f>
        <v>coupe</v>
      </c>
      <c r="AV188" s="33" t="str">
        <f>AV190</f>
        <v>Receta madre ► MILLE-FEUILLE  aux fraises des bois</v>
      </c>
      <c r="AW188" s="1360">
        <v>1</v>
      </c>
      <c r="AX188" s="1361" t="s">
        <v>1783</v>
      </c>
      <c r="AY188" s="39"/>
      <c r="AZ188" s="39"/>
      <c r="BA188" s="6736"/>
      <c r="BB188" s="6736"/>
      <c r="BC188" s="6736"/>
      <c r="BD188" s="6736"/>
      <c r="BE188" s="6736"/>
      <c r="BF188" s="6736"/>
      <c r="BG188" s="6736"/>
      <c r="BH188" s="696"/>
      <c r="BI188" s="696"/>
      <c r="BJ188" s="47" t="s">
        <v>150</v>
      </c>
      <c r="BK188" s="48" t="s">
        <v>151</v>
      </c>
      <c r="BM188" s="3">
        <v>1</v>
      </c>
    </row>
    <row r="189" spans="2:65" ht="21" customHeight="1">
      <c r="B189" s="25" t="s">
        <v>10</v>
      </c>
      <c r="C189" s="31" t="str">
        <f>C190</f>
        <v>N NOM DE VOTRE RECETTE | collez la--FAMILLE| Auteur &gt; VOUS</v>
      </c>
      <c r="D189" s="32">
        <f>D190</f>
        <v>1</v>
      </c>
      <c r="E189" s="32" t="str">
        <f>E190</f>
        <v>coupe</v>
      </c>
      <c r="F189" s="33" t="str">
        <f>F190</f>
        <v>Recette mère ► MILLE-FEUILLE  aux fraises des bois</v>
      </c>
      <c r="G189" s="53"/>
      <c r="H189" s="1323" t="s">
        <v>8094</v>
      </c>
      <c r="I189" s="6737">
        <f>Q214</f>
        <v>0</v>
      </c>
      <c r="J189" s="6737"/>
      <c r="K189" s="1324" t="str" cm="1">
        <f t="array" ref="K189">"1= "&amp;IF(OR(G188&lt;=0,I189=""),"",_xlfn.LET(_xlpm.kg,IF(ISNUMBER(I189),I189,VALEUR(SUBSTITUTE(SUBSTITUTE(SUBSTITUTE(LOWER(I189),"kg",""),",",".")," ",""))),TEXT(ROUND(_xlpm.kg*1000/G188,2),"0.##")&amp;" g"))</f>
        <v>1= 0. g</v>
      </c>
      <c r="L189" s="1325">
        <f>IFERROR(T187/T189,0)</f>
        <v>1</v>
      </c>
      <c r="M189" s="1817" t="s">
        <v>8411</v>
      </c>
      <c r="N189" s="579"/>
      <c r="O189" s="55"/>
      <c r="P189" s="55"/>
      <c r="Q189"/>
      <c r="R189" s="1362"/>
      <c r="S189" s="1362" t="s">
        <v>50</v>
      </c>
      <c r="T189" s="2102">
        <v>5</v>
      </c>
      <c r="U189" s="56" t="s">
        <v>1784</v>
      </c>
      <c r="W189" s="25" t="s">
        <v>10</v>
      </c>
      <c r="X189" s="31" t="str">
        <f>X190</f>
        <v>N NAME OF YOUR RECIPE | paste it — FAMILY|  Author &gt; YOU</v>
      </c>
      <c r="Y189" s="32">
        <f>Y190</f>
        <v>1</v>
      </c>
      <c r="Z189" s="32" t="str">
        <f>Z190</f>
        <v>coupe</v>
      </c>
      <c r="AA189" s="33" t="str">
        <f>AA190</f>
        <v>Master recipe ► MILLE-FEUILLE  aux fraises des bois</v>
      </c>
      <c r="AB189" s="53"/>
      <c r="AC189" s="1323" t="s">
        <v>8095</v>
      </c>
      <c r="AD189" s="6737">
        <f>AL214</f>
        <v>0</v>
      </c>
      <c r="AE189" s="6737"/>
      <c r="AF189" s="1324" t="str" cm="1">
        <f t="array" ref="AF189">"1= "&amp;IF(OR(AB188&lt;=0,AD189=""),"",_xlfn.LET(_xlpm.kg,IF(ISNUMBER(AD189),AD189,VALEUR(SUBSTITUTE(SUBSTITUTE(SUBSTITUTE(LOWER(AD189),"kg",""),",",".")," ",""))),TEXT(ROUND(_xlpm.kg*1000/AB188,2),"0.##")&amp;" g"))</f>
        <v>1= 0. g</v>
      </c>
      <c r="AG189" s="1325">
        <f>IFERROR(AO187/AO189,0)</f>
        <v>3.3333333333333335</v>
      </c>
      <c r="AH189" s="1817" t="s">
        <v>8412</v>
      </c>
      <c r="AI189" s="55"/>
      <c r="AJ189" s="55"/>
      <c r="AK189" s="55"/>
      <c r="AM189" s="1362"/>
      <c r="AN189" s="1362" t="s">
        <v>153</v>
      </c>
      <c r="AO189" s="2102">
        <v>1.5</v>
      </c>
      <c r="AP189" s="56" t="s">
        <v>1784</v>
      </c>
      <c r="AR189" s="25" t="s">
        <v>10</v>
      </c>
      <c r="AS189" s="31" t="str">
        <f>AS190</f>
        <v>N NOMBRE DE SU RECETA | pegue esto — FAMILIA| Auteur &gt; VOUS</v>
      </c>
      <c r="AT189" s="32">
        <f>AT190</f>
        <v>1</v>
      </c>
      <c r="AU189" s="32" t="str">
        <f>AU190</f>
        <v>coupe</v>
      </c>
      <c r="AV189" s="33" t="str">
        <f>AV190</f>
        <v>Receta madre ► MILLE-FEUILLE  aux fraises des bois</v>
      </c>
      <c r="AW189" s="53"/>
      <c r="AX189" s="1323" t="s">
        <v>8096</v>
      </c>
      <c r="AY189" s="6737">
        <f>BG214</f>
        <v>0</v>
      </c>
      <c r="AZ189" s="6737"/>
      <c r="BA189" s="1324" t="str" cm="1">
        <f t="array" ref="BA189">"1= "&amp;IF(OR(AW188&lt;=0,AY189=""),"",_xlfn.LET(_xlpm.kg,IF(ISNUMBER(AY189),AY189,VALEUR(SUBSTITUTE(SUBSTITUTE(SUBSTITUTE(LOWER(AY189),"kg",""),",",".")," ",""))),TEXT(ROUND(_xlpm.kg*1000/AW188,2),"0.##")&amp;" g"))</f>
        <v>1= 0. g</v>
      </c>
      <c r="BB189" s="1325">
        <f>IFERROR(BJ187/BJ189,0)</f>
        <v>3.3333333333333335</v>
      </c>
      <c r="BC189" s="1817" t="s">
        <v>8413</v>
      </c>
      <c r="BD189" s="55"/>
      <c r="BE189" s="55"/>
      <c r="BF189" s="55"/>
      <c r="BH189" s="1362"/>
      <c r="BI189" s="1362" t="s">
        <v>154</v>
      </c>
      <c r="BJ189" s="2102">
        <v>1.5</v>
      </c>
      <c r="BK189" s="56" t="s">
        <v>1784</v>
      </c>
      <c r="BM189" s="3">
        <v>1</v>
      </c>
    </row>
    <row r="190" spans="2:65" ht="21" customHeight="1">
      <c r="B190" s="25" t="s">
        <v>10</v>
      </c>
      <c r="C190" s="61" t="str">
        <f>G190</f>
        <v>N NOM DE VOTRE RECETTE | collez la--FAMILLE| Auteur &gt; VOUS</v>
      </c>
      <c r="D190" s="62">
        <f>G188</f>
        <v>1</v>
      </c>
      <c r="E190" s="61" t="str">
        <f>H188</f>
        <v>coupe</v>
      </c>
      <c r="F190" s="63" t="str">
        <f>M190&amp;" "&amp;N190</f>
        <v>Recette mère ► MILLE-FEUILLE  aux fraises des bois</v>
      </c>
      <c r="G190" s="64" t="str">
        <f>UPPER(LEFT(J184,1))&amp;" "&amp;J184&amp;" | "&amp;S184&amp;"| "&amp;J186&amp;" "&amp;K186</f>
        <v>N NOM DE VOTRE RECETTE | collez la--FAMILLE| Auteur &gt; VOUS</v>
      </c>
      <c r="H190" s="65" t="s">
        <v>53</v>
      </c>
      <c r="I190" s="6735" t="s">
        <v>54</v>
      </c>
      <c r="J190" s="6735"/>
      <c r="K190" s="6735"/>
      <c r="L190" s="66"/>
      <c r="M190" s="66" t="str">
        <f>IF(ISTEXT(N190),"Recette mère ►",H190)</f>
        <v>Recette mère ►</v>
      </c>
      <c r="N190" s="67" t="s">
        <v>3081</v>
      </c>
      <c r="O190" s="67"/>
      <c r="P190" s="67"/>
      <c r="Q190" s="883"/>
      <c r="R190" s="68"/>
      <c r="S190" s="68"/>
      <c r="T190" s="68"/>
      <c r="U190"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W190" s="25" t="s">
        <v>10</v>
      </c>
      <c r="X190" s="61" t="str">
        <f>AB190</f>
        <v>N NAME OF YOUR RECIPE | paste it — FAMILY|  Author &gt; YOU</v>
      </c>
      <c r="Y190" s="62">
        <f>AB188</f>
        <v>1</v>
      </c>
      <c r="Z190" s="61" t="str">
        <f>AC188</f>
        <v>coupe</v>
      </c>
      <c r="AA190" s="63" t="str">
        <f>AH190&amp;" "&amp;AI190</f>
        <v>Master recipe ► MILLE-FEUILLE  aux fraises des bois</v>
      </c>
      <c r="AB190" s="64" t="str">
        <f>UPPER(LEFT(AE184,1))&amp;" "&amp;AE184&amp;" | "&amp;AN184&amp;"| "&amp;AE186&amp;" "&amp;AF186</f>
        <v>N NAME OF YOUR RECIPE | paste it — FAMILY|  Author &gt; YOU</v>
      </c>
      <c r="AC190" s="65" t="s">
        <v>855</v>
      </c>
      <c r="AD190" s="6735" t="s">
        <v>852</v>
      </c>
      <c r="AE190" s="6735"/>
      <c r="AF190" s="6735"/>
      <c r="AG190" s="66"/>
      <c r="AH190" s="66" t="str">
        <f>IF(ISTEXT(AI190),"Master recipe ►",AC190)</f>
        <v>Master recipe ►</v>
      </c>
      <c r="AI190" s="67" t="s">
        <v>3081</v>
      </c>
      <c r="AJ190" s="67"/>
      <c r="AK190" s="67"/>
      <c r="AL190" s="883"/>
      <c r="AM190" s="68"/>
      <c r="AN190" s="68"/>
      <c r="AO190" s="68"/>
      <c r="AP190" s="1818" t="str">
        <f>IF(ISNUMBER(IFERROR(VALUE("0,5"),"")),"WARNING: on this computer, the decimal separator is the COMMA,",IF(ISNUMBER(IFERROR(VALUE("0.5"),"")),"  OK. ALL GOOD: on this computer. the decimal separator is the PERIOD (DOT).","Unable to determine the decimal separator"))</f>
        <v xml:space="preserve">  OK. ALL GOOD: on this computer. the decimal separator is the PERIOD (DOT).</v>
      </c>
      <c r="AR190" s="25" t="s">
        <v>10</v>
      </c>
      <c r="AS190" s="61" t="str">
        <f>AW190</f>
        <v>N NOMBRE DE SU RECETA | pegue esto — FAMILIA| Auteur &gt; VOUS</v>
      </c>
      <c r="AT190" s="62">
        <f>AW188</f>
        <v>1</v>
      </c>
      <c r="AU190" s="61" t="str">
        <f>AX188</f>
        <v>coupe</v>
      </c>
      <c r="AV190" s="63" t="str">
        <f>BC190&amp;" "&amp;BD190</f>
        <v>Receta madre ► MILLE-FEUILLE  aux fraises des bois</v>
      </c>
      <c r="AW190" s="64" t="str">
        <f>UPPER(LEFT(AZ184,1))&amp;" "&amp;AZ184&amp;" | "&amp;BI184&amp;"| "&amp;AZ186&amp;" "&amp;BA186</f>
        <v>N NOMBRE DE SU RECETA | pegue esto — FAMILIA| Auteur &gt; VOUS</v>
      </c>
      <c r="AX190" s="65" t="s">
        <v>53</v>
      </c>
      <c r="AY190" s="6735" t="s">
        <v>870</v>
      </c>
      <c r="AZ190" s="6735"/>
      <c r="BA190" s="6735"/>
      <c r="BB190" s="66"/>
      <c r="BC190" s="66" t="str">
        <f>IF(ISTEXT(BD190),"Receta madre ►",AX190)</f>
        <v>Receta madre ►</v>
      </c>
      <c r="BD190" s="67" t="s">
        <v>3081</v>
      </c>
      <c r="BE190" s="67"/>
      <c r="BF190" s="67"/>
      <c r="BG190" s="883"/>
      <c r="BH190" s="68"/>
      <c r="BI190" s="68"/>
      <c r="BJ190" s="68"/>
      <c r="BK190" s="1818" t="str">
        <f>IF(ISNUMBER(IFERROR(VALUE("0,5"),"")),"ATENCIÓN: en este ordenador, el separador decimal es la COMA",IF(ISNUMBER(IFERROR(VALUE("0.5"),"")),"  OK. TODO BIEN: en este ordenador. el separador decimal es el PUNTO","Imposible determinar el separador decimal"))</f>
        <v xml:space="preserve">  OK. TODO BIEN: en este ordenador. el separador decimal es el PUNTO</v>
      </c>
      <c r="BM190" s="3">
        <v>1</v>
      </c>
    </row>
    <row r="191" spans="2:65" ht="21" customHeight="1">
      <c r="B191" s="25" t="s">
        <v>10</v>
      </c>
      <c r="C191" s="70" t="str">
        <f>C190</f>
        <v>N NOM DE VOTRE RECETTE | collez la--FAMILLE| Auteur &gt; VOUS</v>
      </c>
      <c r="D191" s="70">
        <f>D190</f>
        <v>1</v>
      </c>
      <c r="E191" s="70" t="str">
        <f>E190</f>
        <v>coupe</v>
      </c>
      <c r="F191" s="71" t="str">
        <f>F190</f>
        <v>Recette mère ► MILLE-FEUILLE  aux fraises des bois</v>
      </c>
      <c r="G191" s="12" t="s">
        <v>65</v>
      </c>
      <c r="H191" s="12" t="s">
        <v>66</v>
      </c>
      <c r="I191" s="12" t="s">
        <v>67</v>
      </c>
      <c r="J191" s="12" t="s">
        <v>68</v>
      </c>
      <c r="K191" s="72" t="s">
        <v>69</v>
      </c>
      <c r="L191" s="73" t="s">
        <v>70</v>
      </c>
      <c r="M191" s="12" t="s">
        <v>71</v>
      </c>
      <c r="N191" s="12" t="s">
        <v>72</v>
      </c>
      <c r="O191" s="12" t="s">
        <v>73</v>
      </c>
      <c r="P191" s="12" t="s">
        <v>74</v>
      </c>
      <c r="Q191" s="12" t="s">
        <v>75</v>
      </c>
      <c r="R191" s="12" t="s">
        <v>76</v>
      </c>
      <c r="S191" s="12" t="s">
        <v>77</v>
      </c>
      <c r="T191" s="12" t="s">
        <v>8143</v>
      </c>
      <c r="U191" s="74" t="s">
        <v>8407</v>
      </c>
      <c r="W191" s="25" t="s">
        <v>10</v>
      </c>
      <c r="X191" s="70" t="str">
        <f>X190</f>
        <v>N NAME OF YOUR RECIPE | paste it — FAMILY|  Author &gt; YOU</v>
      </c>
      <c r="Y191" s="70">
        <f>Y190</f>
        <v>1</v>
      </c>
      <c r="Z191" s="70" t="str">
        <f>Z190</f>
        <v>coupe</v>
      </c>
      <c r="AA191" s="71" t="str">
        <f>AA190</f>
        <v>Master recipe ► MILLE-FEUILLE  aux fraises des bois</v>
      </c>
      <c r="AB191" s="12" t="s">
        <v>65</v>
      </c>
      <c r="AC191" s="12" t="s">
        <v>66</v>
      </c>
      <c r="AD191" s="12" t="s">
        <v>67</v>
      </c>
      <c r="AE191" s="12" t="s">
        <v>68</v>
      </c>
      <c r="AF191" s="72" t="s">
        <v>69</v>
      </c>
      <c r="AG191" s="73" t="s">
        <v>70</v>
      </c>
      <c r="AH191" s="12" t="s">
        <v>71</v>
      </c>
      <c r="AI191" s="12" t="s">
        <v>72</v>
      </c>
      <c r="AJ191" s="12" t="s">
        <v>73</v>
      </c>
      <c r="AK191" s="12" t="s">
        <v>74</v>
      </c>
      <c r="AL191" s="12" t="s">
        <v>75</v>
      </c>
      <c r="AM191" s="12" t="s">
        <v>76</v>
      </c>
      <c r="AN191" s="12" t="s">
        <v>77</v>
      </c>
      <c r="AO191" s="12" t="s">
        <v>8143</v>
      </c>
      <c r="AP191" s="74" t="s">
        <v>8407</v>
      </c>
      <c r="AR191" s="25" t="s">
        <v>10</v>
      </c>
      <c r="AS191" s="70" t="str">
        <f>AS190</f>
        <v>N NOMBRE DE SU RECETA | pegue esto — FAMILIA| Auteur &gt; VOUS</v>
      </c>
      <c r="AT191" s="70">
        <f>AT190</f>
        <v>1</v>
      </c>
      <c r="AU191" s="70" t="str">
        <f>AU190</f>
        <v>coupe</v>
      </c>
      <c r="AV191" s="71" t="str">
        <f>AV190</f>
        <v>Receta madre ► MILLE-FEUILLE  aux fraises des bois</v>
      </c>
      <c r="AW191" s="12" t="s">
        <v>65</v>
      </c>
      <c r="AX191" s="12" t="s">
        <v>66</v>
      </c>
      <c r="AY191" s="12" t="s">
        <v>67</v>
      </c>
      <c r="AZ191" s="12" t="s">
        <v>68</v>
      </c>
      <c r="BA191" s="72" t="s">
        <v>69</v>
      </c>
      <c r="BB191" s="73" t="s">
        <v>70</v>
      </c>
      <c r="BC191" s="12" t="s">
        <v>71</v>
      </c>
      <c r="BD191" s="12" t="s">
        <v>72</v>
      </c>
      <c r="BE191" s="12" t="s">
        <v>73</v>
      </c>
      <c r="BF191" s="12" t="s">
        <v>74</v>
      </c>
      <c r="BG191" s="12" t="s">
        <v>75</v>
      </c>
      <c r="BH191" s="12" t="s">
        <v>76</v>
      </c>
      <c r="BI191" s="12" t="s">
        <v>77</v>
      </c>
      <c r="BJ191" s="12" t="s">
        <v>8143</v>
      </c>
      <c r="BK191" s="74" t="s">
        <v>8407</v>
      </c>
      <c r="BM191" s="3">
        <v>1</v>
      </c>
    </row>
    <row r="192" spans="2:65" ht="21" customHeight="1">
      <c r="B192" s="25" t="s">
        <v>10</v>
      </c>
      <c r="C192" s="31" t="str">
        <f>C190</f>
        <v>N NOM DE VOTRE RECETTE | collez la--FAMILLE| Auteur &gt; VOUS</v>
      </c>
      <c r="D192" s="32">
        <f>D190</f>
        <v>1</v>
      </c>
      <c r="E192" s="31" t="str">
        <f>E190</f>
        <v>coupe</v>
      </c>
      <c r="F192" s="33" t="str">
        <f>F190</f>
        <v>Recette mère ► MILLE-FEUILLE  aux fraises des bois</v>
      </c>
      <c r="G192" s="76" t="s">
        <v>78</v>
      </c>
      <c r="H192" s="77" t="s">
        <v>79</v>
      </c>
      <c r="I192" s="78"/>
      <c r="J192" s="6612" t="s">
        <v>80</v>
      </c>
      <c r="K192" s="6730" t="s">
        <v>81</v>
      </c>
      <c r="L192" s="6732" t="s">
        <v>82</v>
      </c>
      <c r="M192" s="6738" t="s">
        <v>8575</v>
      </c>
      <c r="N192" s="79" t="s">
        <v>83</v>
      </c>
      <c r="O192" s="80" t="s">
        <v>49</v>
      </c>
      <c r="P192" s="81" t="s">
        <v>84</v>
      </c>
      <c r="Q192" s="6607" t="s">
        <v>85</v>
      </c>
      <c r="R192" s="6582" t="s">
        <v>84</v>
      </c>
      <c r="S192" s="6727" t="s">
        <v>8405</v>
      </c>
      <c r="T192" s="6584" t="s">
        <v>86</v>
      </c>
      <c r="U192" s="6728" t="s">
        <v>87</v>
      </c>
      <c r="W192" s="25" t="s">
        <v>10</v>
      </c>
      <c r="X192" s="31" t="str">
        <f>X190</f>
        <v>N NAME OF YOUR RECIPE | paste it — FAMILY|  Author &gt; YOU</v>
      </c>
      <c r="Y192" s="32">
        <f>Y190</f>
        <v>1</v>
      </c>
      <c r="Z192" s="31" t="str">
        <f>Z190</f>
        <v>coupe</v>
      </c>
      <c r="AA192" s="33" t="str">
        <f>AA190</f>
        <v>Master recipe ► MILLE-FEUILLE  aux fraises des bois</v>
      </c>
      <c r="AB192" s="76" t="s">
        <v>78</v>
      </c>
      <c r="AC192" s="77" t="s">
        <v>79</v>
      </c>
      <c r="AD192" s="78"/>
      <c r="AE192" s="6612" t="s">
        <v>226</v>
      </c>
      <c r="AF192" s="6730" t="s">
        <v>81</v>
      </c>
      <c r="AG192" s="6732" t="s">
        <v>82</v>
      </c>
      <c r="AH192" s="6738" t="s">
        <v>8575</v>
      </c>
      <c r="AI192" s="79" t="s">
        <v>83</v>
      </c>
      <c r="AJ192" s="80" t="s">
        <v>152</v>
      </c>
      <c r="AK192" s="81" t="s">
        <v>242</v>
      </c>
      <c r="AL192" s="6607" t="s">
        <v>856</v>
      </c>
      <c r="AM192" s="6582" t="s">
        <v>242</v>
      </c>
      <c r="AN192" s="6582" t="s">
        <v>230</v>
      </c>
      <c r="AO192" s="6584" t="s">
        <v>857</v>
      </c>
      <c r="AP192" s="6728" t="s">
        <v>245</v>
      </c>
      <c r="AR192" s="25" t="s">
        <v>10</v>
      </c>
      <c r="AS192" s="31" t="str">
        <f>AS190</f>
        <v>N NOMBRE DE SU RECETA | pegue esto — FAMILIA| Auteur &gt; VOUS</v>
      </c>
      <c r="AT192" s="32">
        <f>AT190</f>
        <v>1</v>
      </c>
      <c r="AU192" s="31" t="str">
        <f>AU190</f>
        <v>coupe</v>
      </c>
      <c r="AV192" s="33" t="str">
        <f>AV190</f>
        <v>Receta madre ► MILLE-FEUILLE  aux fraises des bois</v>
      </c>
      <c r="AW192" s="76" t="s">
        <v>78</v>
      </c>
      <c r="AX192" s="77" t="s">
        <v>79</v>
      </c>
      <c r="AY192" s="78"/>
      <c r="AZ192" s="6787" t="s">
        <v>227</v>
      </c>
      <c r="BA192" s="6788" t="s">
        <v>81</v>
      </c>
      <c r="BB192" s="6732" t="s">
        <v>82</v>
      </c>
      <c r="BC192" s="6738" t="s">
        <v>8575</v>
      </c>
      <c r="BD192" s="79" t="s">
        <v>83</v>
      </c>
      <c r="BE192" s="80" t="s">
        <v>246</v>
      </c>
      <c r="BF192" s="81" t="s">
        <v>247</v>
      </c>
      <c r="BG192" s="6789" t="s">
        <v>871</v>
      </c>
      <c r="BH192" s="6727" t="s">
        <v>247</v>
      </c>
      <c r="BI192" s="6582" t="s">
        <v>8405</v>
      </c>
      <c r="BJ192" s="6791" t="s">
        <v>872</v>
      </c>
      <c r="BK192" s="6792" t="s">
        <v>250</v>
      </c>
      <c r="BM192" s="3">
        <v>1</v>
      </c>
    </row>
    <row r="193" spans="2:65" ht="21" customHeight="1">
      <c r="B193" s="25" t="s">
        <v>10</v>
      </c>
      <c r="C193" s="31" t="str">
        <f>C190</f>
        <v>N NOM DE VOTRE RECETTE | collez la--FAMILLE| Auteur &gt; VOUS</v>
      </c>
      <c r="D193" s="32">
        <f>D190</f>
        <v>1</v>
      </c>
      <c r="E193" s="31" t="str">
        <f>E190</f>
        <v>coupe</v>
      </c>
      <c r="F193" s="33" t="str">
        <f>F190</f>
        <v>Recette mère ► MILLE-FEUILLE  aux fraises des bois</v>
      </c>
      <c r="G193" s="83" t="s">
        <v>92</v>
      </c>
      <c r="H193" s="84" t="s">
        <v>93</v>
      </c>
      <c r="I193" s="85" t="s">
        <v>94</v>
      </c>
      <c r="J193" s="6577"/>
      <c r="K193" s="6471"/>
      <c r="L193" s="6606"/>
      <c r="M193" s="6739"/>
      <c r="N193" s="86" t="s">
        <v>95</v>
      </c>
      <c r="O193" s="87" t="s">
        <v>96</v>
      </c>
      <c r="P193" s="88">
        <v>1</v>
      </c>
      <c r="Q193" s="6608"/>
      <c r="R193" s="6583"/>
      <c r="S193" s="6583"/>
      <c r="T193" s="6585"/>
      <c r="U193" s="6786"/>
      <c r="W193" s="25" t="s">
        <v>10</v>
      </c>
      <c r="X193" s="31" t="str">
        <f>X190</f>
        <v>N NAME OF YOUR RECIPE | paste it — FAMILY|  Author &gt; YOU</v>
      </c>
      <c r="Y193" s="32">
        <f>Y190</f>
        <v>1</v>
      </c>
      <c r="Z193" s="31" t="str">
        <f>Z190</f>
        <v>coupe</v>
      </c>
      <c r="AA193" s="33" t="str">
        <f>AA190</f>
        <v>Master recipe ► MILLE-FEUILLE  aux fraises des bois</v>
      </c>
      <c r="AB193" s="83" t="s">
        <v>229</v>
      </c>
      <c r="AC193" s="84" t="s">
        <v>230</v>
      </c>
      <c r="AD193" s="85" t="s">
        <v>858</v>
      </c>
      <c r="AE193" s="6577"/>
      <c r="AF193" s="6471"/>
      <c r="AG193" s="6606"/>
      <c r="AH193" s="6739"/>
      <c r="AI193" s="86" t="s">
        <v>832</v>
      </c>
      <c r="AJ193" s="87" t="s">
        <v>436</v>
      </c>
      <c r="AK193" s="88">
        <v>1</v>
      </c>
      <c r="AL193" s="6608"/>
      <c r="AM193" s="6583"/>
      <c r="AN193" s="6583"/>
      <c r="AO193" s="6585"/>
      <c r="AP193" s="6786"/>
      <c r="AR193" s="25" t="s">
        <v>10</v>
      </c>
      <c r="AS193" s="31" t="str">
        <f>AS190</f>
        <v>N NOMBRE DE SU RECETA | pegue esto — FAMILIA| Auteur &gt; VOUS</v>
      </c>
      <c r="AT193" s="32">
        <f>AT190</f>
        <v>1</v>
      </c>
      <c r="AU193" s="31" t="str">
        <f>AU190</f>
        <v>coupe</v>
      </c>
      <c r="AV193" s="33" t="str">
        <f>AV190</f>
        <v>Receta madre ► MILLE-FEUILLE  aux fraises des bois</v>
      </c>
      <c r="AW193" s="83" t="s">
        <v>232</v>
      </c>
      <c r="AX193" s="84" t="s">
        <v>233</v>
      </c>
      <c r="AY193" s="85" t="s">
        <v>94</v>
      </c>
      <c r="AZ193" s="6577"/>
      <c r="BA193" s="6471"/>
      <c r="BB193" s="6606"/>
      <c r="BC193" s="6739"/>
      <c r="BD193" s="86" t="s">
        <v>834</v>
      </c>
      <c r="BE193" s="87" t="s">
        <v>437</v>
      </c>
      <c r="BF193" s="88">
        <v>1</v>
      </c>
      <c r="BG193" s="6790"/>
      <c r="BH193" s="6583"/>
      <c r="BI193" s="6583"/>
      <c r="BJ193" s="6585"/>
      <c r="BK193" s="6786"/>
      <c r="BM193" s="3">
        <v>1</v>
      </c>
    </row>
    <row r="194" spans="2:65" ht="21" customHeight="1">
      <c r="B194" s="25" t="s">
        <v>10</v>
      </c>
      <c r="C194" s="31" t="str">
        <f>C190</f>
        <v>N NOM DE VOTRE RECETTE | collez la--FAMILLE| Auteur &gt; VOUS</v>
      </c>
      <c r="D194" s="32">
        <f>D190</f>
        <v>1</v>
      </c>
      <c r="E194" s="31" t="str">
        <f>E190</f>
        <v>coupe</v>
      </c>
      <c r="F194" s="33" t="str">
        <f>F190</f>
        <v>Recette mère ► MILLE-FEUILLE  aux fraises des bois</v>
      </c>
      <c r="G194" s="89"/>
      <c r="H194" s="90"/>
      <c r="I194" s="91" t="str">
        <f t="shared" ref="I194:I213" si="49">IF(OR(ISTEXT(G194), G194&lt;=0, J194&lt;=0), "", "de")</f>
        <v/>
      </c>
      <c r="J194" s="92"/>
      <c r="K194" s="128"/>
      <c r="L194" s="130">
        <v>1</v>
      </c>
      <c r="M194" s="1812" t="str">
        <f>ROWS(M194:M194)&amp;" ►"</f>
        <v>1 ►</v>
      </c>
      <c r="N194" s="1580"/>
      <c r="O194" s="95">
        <f>IF(Q214=0,0,(Q194/Q214)*P193*1000)</f>
        <v>0</v>
      </c>
      <c r="P194" s="96">
        <f>IF(Q214=0, 0, (G194*L194)/(Q214*P193))</f>
        <v>0</v>
      </c>
      <c r="Q194" s="97" cm="1">
        <f t="array" ref="Q194">IFERROR(_xlfn.XLOOKUP(UPPER(TRIM(K194)),UPPER(TRIM(G215:U215)),G216:U216,_xlfn.XLOOKUP(UPPER(TRIM(K194)),UPPER(TRIM(G217:U217)),G218:U218,0))*J194*IF(G194&gt;0,G194,1),0)</f>
        <v>0</v>
      </c>
      <c r="R194" s="98">
        <f>IF(T189&lt;&gt;0,G194*L194*L189,0)</f>
        <v>0</v>
      </c>
      <c r="S194" s="1834">
        <f>H194</f>
        <v>0</v>
      </c>
      <c r="T194" s="99">
        <f>IF(OR(ISBLANK(T189),T189=0),0,Q194*L194*L189)</f>
        <v>0</v>
      </c>
      <c r="U194" s="1366" t="str">
        <f>IF(K194="","",IF(COUNTIF(N215:U215,SUBSTITUTE(TRIM(K194)," (s)",""))+COUNTIF(N217:U217,SUBSTITUTE(TRIM(K194)," (s)",""))&gt;0,IF(ROUND(T194,3)&gt;=1,ROUND(T194,3)&amp;" L",MAX(1,ROUND(T194*100,0))&amp;" cl"),IF(COUNTIF(G215:L215,SUBSTITUTE(TRIM(K194)," (s)",""))+COUNTIF(G217:L217,SUBSTITUTE(TRIM(K194)," (s)",""))&gt;0,IF(ROUND(T194,3)&gt;=1,ROUND(T194,3)&amp;" Kg",MAX(1,ROUND(T194*1000,0))&amp;" g"),"")))</f>
        <v/>
      </c>
      <c r="W194" s="25" t="s">
        <v>10</v>
      </c>
      <c r="X194" s="31" t="str">
        <f>X190</f>
        <v>N NAME OF YOUR RECIPE | paste it — FAMILY|  Author &gt; YOU</v>
      </c>
      <c r="Y194" s="32">
        <f>Y190</f>
        <v>1</v>
      </c>
      <c r="Z194" s="31" t="str">
        <f>Z190</f>
        <v>coupe</v>
      </c>
      <c r="AA194" s="33" t="str">
        <f>AA190</f>
        <v>Master recipe ► MILLE-FEUILLE  aux fraises des bois</v>
      </c>
      <c r="AB194" s="89"/>
      <c r="AC194" s="90"/>
      <c r="AD194" s="91" t="str">
        <f t="shared" ref="AD194:AD213" si="50">IF(OR(ISTEXT(AB194), AB194&lt;=0, AE194&lt;=0), "", "de")</f>
        <v/>
      </c>
      <c r="AE194" s="92"/>
      <c r="AF194" s="128"/>
      <c r="AG194" s="130">
        <v>1</v>
      </c>
      <c r="AH194" s="1812" t="str">
        <f>ROWS(AH194:AH194)&amp;" ►"</f>
        <v>1 ►</v>
      </c>
      <c r="AI194" s="1580"/>
      <c r="AJ194" s="95">
        <f>IF(AL214=0,0,(AL194/AL214)*AK193*1000)</f>
        <v>0</v>
      </c>
      <c r="AK194" s="96">
        <f>IF(AL214=0, 0, (AB194*AG194)/(AL214*AK193))</f>
        <v>0</v>
      </c>
      <c r="AL194" s="97" cm="1">
        <f t="array" ref="AL194">IFERROR(_xlfn.XLOOKUP(UPPER(TRIM(AF194)),UPPER(TRIM(AB215:AP215)),AB216:AP216,_xlfn.XLOOKUP(UPPER(TRIM(AF194)),UPPER(TRIM(AB217:AP217)),AB218:AP218,0))*AE194*IF(AB194&gt;0,AB194,1),0)</f>
        <v>0</v>
      </c>
      <c r="AM194" s="98">
        <f>IF(AO189&lt;&gt;0,AB194*AG194*AG189,0)</f>
        <v>0</v>
      </c>
      <c r="AN194" s="1834">
        <f>AC194</f>
        <v>0</v>
      </c>
      <c r="AO194" s="99">
        <f>IF(OR(ISBLANK(AO189),AO189=0),0,AL194*AG194*AG189)</f>
        <v>0</v>
      </c>
      <c r="AP194" s="1366" t="str">
        <f>IF(AF194="","",IF(COUNTIF(AI215:AP215,SUBSTITUTE(TRIM(AF194)," (s)",""))+COUNTIF(AI217:AP217,SUBSTITUTE(TRIM(AF194)," (s)",""))&gt;0,IF(ROUND(AO194,3)&gt;=1,ROUND(AO194,3)&amp;" L",MAX(1,ROUND(AO194*100,0))&amp;" cl"),IF(COUNTIF(AB215:AG215,SUBSTITUTE(TRIM(AF194)," (s)",""))+COUNTIF(AB217:AG217,SUBSTITUTE(TRIM(AF194)," (s)",""))&gt;0,IF(ROUND(AO194,3)&gt;=1,ROUND(AO194,3)&amp;" Kg",MAX(1,ROUND(AO194*1000,0))&amp;" g"),"")))</f>
        <v/>
      </c>
      <c r="AR194" s="25" t="s">
        <v>10</v>
      </c>
      <c r="AS194" s="31" t="str">
        <f>AS190</f>
        <v>N NOMBRE DE SU RECETA | pegue esto — FAMILIA| Auteur &gt; VOUS</v>
      </c>
      <c r="AT194" s="32">
        <f>AT190</f>
        <v>1</v>
      </c>
      <c r="AU194" s="31" t="str">
        <f>AU190</f>
        <v>coupe</v>
      </c>
      <c r="AV194" s="33" t="str">
        <f>AV190</f>
        <v>Receta madre ► MILLE-FEUILLE  aux fraises des bois</v>
      </c>
      <c r="AW194" s="89"/>
      <c r="AX194" s="90"/>
      <c r="AY194" s="91" t="str">
        <f t="shared" ref="AY194:AY213" si="51">IF(OR(ISTEXT(AW194), AW194&lt;=0, AZ194&lt;=0), "", "de")</f>
        <v/>
      </c>
      <c r="AZ194" s="92"/>
      <c r="BA194" s="128"/>
      <c r="BB194" s="130">
        <v>1</v>
      </c>
      <c r="BC194" s="1812" t="str">
        <f>ROWS(BC194:BC194)&amp;" ►"</f>
        <v>1 ►</v>
      </c>
      <c r="BD194" s="1580"/>
      <c r="BE194" s="95">
        <f>IF(BG214=0,0,(BG194/BG214)*BF193*1000)</f>
        <v>0</v>
      </c>
      <c r="BF194" s="96">
        <f>IF(BG214=0, 0, (AW194*BB194)/(BG214*BF193))</f>
        <v>0</v>
      </c>
      <c r="BG194" s="97" cm="1">
        <f t="array" ref="BG194">IFERROR(_xlfn.XLOOKUP(UPPER(TRIM(BA194)),UPPER(TRIM(AW215:BK215)),AW216:BK216,_xlfn.XLOOKUP(UPPER(TRIM(BA194)),UPPER(TRIM(AW217:BK217)),AW218:BK218,0))*AZ194*IF(AW194&gt;0,AW194,1),0)</f>
        <v>0</v>
      </c>
      <c r="BH194" s="98">
        <f>IF(BJ189&lt;&gt;0,AW194*BB194*BB189,0)</f>
        <v>0</v>
      </c>
      <c r="BI194" s="1834">
        <f>AX194</f>
        <v>0</v>
      </c>
      <c r="BJ194" s="99">
        <f>IF(OR(ISBLANK(BJ189),BJ189=0),0,BG194*BB194*BB189)</f>
        <v>0</v>
      </c>
      <c r="BK194" s="1366" t="str">
        <f>IF(BA194="","",IF(COUNTIF(BD215:BK215,SUBSTITUTE(TRIM(BA194)," (s)",""))+COUNTIF(BD217:BK217,SUBSTITUTE(TRIM(BA194)," (s)",""))&gt;0,IF(ROUND(BJ194,3)&gt;=1,ROUND(BJ194,3)&amp;" L",MAX(1,ROUND(BJ194*100,0))&amp;" cl"),IF(COUNTIF(AW215:BB215,SUBSTITUTE(TRIM(BA194)," (s)",""))+COUNTIF(AW217:BB217,SUBSTITUTE(TRIM(BA194)," (s)",""))&gt;0,IF(ROUND(BJ194,3)&gt;=1,ROUND(BJ194,3)&amp;" Kg",MAX(1,ROUND(BJ194*1000,0))&amp;" g"),"")))</f>
        <v/>
      </c>
      <c r="BM194" s="3">
        <v>1</v>
      </c>
    </row>
    <row r="195" spans="2:65" ht="21" customHeight="1">
      <c r="B195" s="103" t="str">
        <f>IF(N195&lt;&gt;"","A","►")</f>
        <v>►</v>
      </c>
      <c r="C195" s="31" t="str">
        <f>C190</f>
        <v>N NOM DE VOTRE RECETTE | collez la--FAMILLE| Auteur &gt; VOUS</v>
      </c>
      <c r="D195" s="32">
        <f>D190</f>
        <v>1</v>
      </c>
      <c r="E195" s="31" t="str">
        <f>E190</f>
        <v>coupe</v>
      </c>
      <c r="F195" s="33" t="str">
        <f>F190</f>
        <v>Recette mère ► MILLE-FEUILLE  aux fraises des bois</v>
      </c>
      <c r="G195" s="89"/>
      <c r="H195" s="108"/>
      <c r="I195" s="91" t="str">
        <f t="shared" si="49"/>
        <v/>
      </c>
      <c r="J195" s="92"/>
      <c r="K195" s="128"/>
      <c r="L195" s="130">
        <v>1</v>
      </c>
      <c r="M195" s="1813" t="str">
        <f>ROWS(M194:M195)&amp;" ►"</f>
        <v>2 ►</v>
      </c>
      <c r="N195" s="1580"/>
      <c r="O195" s="95">
        <f>IF(Q214=0,0,(Q195/Q214)*P193*1000)</f>
        <v>0</v>
      </c>
      <c r="P195" s="105">
        <f>IF(Q214=0, 0, (G195*L195)/(Q214*P193))</f>
        <v>0</v>
      </c>
      <c r="Q195" s="97" cm="1">
        <f t="array" ref="Q195">IFERROR(_xlfn.XLOOKUP(UPPER(TRIM(K195)),UPPER(TRIM(G215:U215)),G216:U216,_xlfn.XLOOKUP(UPPER(TRIM(K195)),UPPER(TRIM(G217:U217)),G218:U218,0))*J195*IF(G195&gt;0,G195,1),0)</f>
        <v>0</v>
      </c>
      <c r="R195" s="110">
        <f>IF(T189&lt;&gt;0,G195*L195*L189,0)</f>
        <v>0</v>
      </c>
      <c r="S195" s="1748">
        <f t="shared" ref="S195:S213" si="52">H195</f>
        <v>0</v>
      </c>
      <c r="T195" s="99">
        <f>IF(OR(ISBLANK(T189),T189=0),0,Q195*L195*L189)</f>
        <v>0</v>
      </c>
      <c r="U195" s="1368" t="str">
        <f>IF(K195="","",IF(COUNTIF(N215:U215,SUBSTITUTE(TRIM(K195)," (s)",""))+COUNTIF(N217:U217,SUBSTITUTE(TRIM(K195)," (s)",""))&gt;0,IF(ROUND(T195,3)&gt;=1,ROUND(T195,3)&amp;" L",MAX(1,ROUND(T195*100,0))&amp;" cl"),IF(COUNTIF(G215:L215,SUBSTITUTE(TRIM(K195)," (s)",""))+COUNTIF(G217:L217,SUBSTITUTE(TRIM(K195)," (s)",""))&gt;0,IF(ROUND(T195,3)&gt;=1,ROUND(T195,3)&amp;" Kg",MAX(1,ROUND(T195*1000,0))&amp;" g"),"")))</f>
        <v/>
      </c>
      <c r="W195" s="103" t="str">
        <f t="shared" ref="W195:W212" si="53">IF(AI195&lt;&gt;"","A","►")</f>
        <v>►</v>
      </c>
      <c r="X195" s="31" t="str">
        <f>X190</f>
        <v>N NAME OF YOUR RECIPE | paste it — FAMILY|  Author &gt; YOU</v>
      </c>
      <c r="Y195" s="32">
        <f>Y190</f>
        <v>1</v>
      </c>
      <c r="Z195" s="31" t="str">
        <f>Z190</f>
        <v>coupe</v>
      </c>
      <c r="AA195" s="33" t="str">
        <f>AA190</f>
        <v>Master recipe ► MILLE-FEUILLE  aux fraises des bois</v>
      </c>
      <c r="AB195" s="89"/>
      <c r="AC195" s="108"/>
      <c r="AD195" s="91" t="str">
        <f t="shared" si="50"/>
        <v/>
      </c>
      <c r="AE195" s="92"/>
      <c r="AF195" s="128"/>
      <c r="AG195" s="130">
        <v>1</v>
      </c>
      <c r="AH195" s="1813" t="str">
        <f>ROWS(AH194:AH195)&amp;" ►"</f>
        <v>2 ►</v>
      </c>
      <c r="AI195" s="1580"/>
      <c r="AJ195" s="95">
        <f>IF(AL214=0,0,(AL195/AL214)*AK193*1000)</f>
        <v>0</v>
      </c>
      <c r="AK195" s="105">
        <f>IF(AL214=0, 0, (AB195*AG195)/(AL214*AK193))</f>
        <v>0</v>
      </c>
      <c r="AL195" s="97" cm="1">
        <f t="array" ref="AL195">IFERROR(_xlfn.XLOOKUP(UPPER(TRIM(AF195)),UPPER(TRIM(AB215:AP215)),AB216:AP216,_xlfn.XLOOKUP(UPPER(TRIM(AF195)),UPPER(TRIM(AB217:AP217)),AB218:AP218,0))*AE195*IF(AB195&gt;0,AB195,1),0)</f>
        <v>0</v>
      </c>
      <c r="AM195" s="110">
        <f>IF(AO189&lt;&gt;0,AB195*AG195*AG189,0)</f>
        <v>0</v>
      </c>
      <c r="AN195" s="1748">
        <f t="shared" ref="AN195:AN213" si="54">AC195</f>
        <v>0</v>
      </c>
      <c r="AO195" s="99">
        <f>IF(OR(ISBLANK(AO189),AO189=0),0,AL195*AG195*AG189)</f>
        <v>0</v>
      </c>
      <c r="AP195" s="1368" t="str">
        <f>IF(AF195="","",IF(COUNTIF(AI215:AP215,SUBSTITUTE(TRIM(AF195)," (s)",""))+COUNTIF(AI217:AP217,SUBSTITUTE(TRIM(AF195)," (s)",""))&gt;0,IF(ROUND(AO195,3)&gt;=1,ROUND(AO195,3)&amp;" L",MAX(1,ROUND(AO195*100,0))&amp;" cl"),IF(COUNTIF(AB215:AG215,SUBSTITUTE(TRIM(AF195)," (s)",""))+COUNTIF(AB217:AG217,SUBSTITUTE(TRIM(AF195)," (s)",""))&gt;0,IF(ROUND(AO195,3)&gt;=1,ROUND(AO195,3)&amp;" Kg",MAX(1,ROUND(AO195*1000,0))&amp;" g"),"")))</f>
        <v/>
      </c>
      <c r="AR195" s="103" t="str">
        <f t="shared" ref="AR195:AR212" si="55">IF(BD195&lt;&gt;"","A","►")</f>
        <v>►</v>
      </c>
      <c r="AS195" s="31" t="str">
        <f>AS190</f>
        <v>N NOMBRE DE SU RECETA | pegue esto — FAMILIA| Auteur &gt; VOUS</v>
      </c>
      <c r="AT195" s="32">
        <f>AT190</f>
        <v>1</v>
      </c>
      <c r="AU195" s="31" t="str">
        <f>AU190</f>
        <v>coupe</v>
      </c>
      <c r="AV195" s="33" t="str">
        <f>AV190</f>
        <v>Receta madre ► MILLE-FEUILLE  aux fraises des bois</v>
      </c>
      <c r="AW195" s="89"/>
      <c r="AX195" s="108"/>
      <c r="AY195" s="91" t="str">
        <f t="shared" si="51"/>
        <v/>
      </c>
      <c r="AZ195" s="92"/>
      <c r="BA195" s="128"/>
      <c r="BB195" s="130">
        <v>1</v>
      </c>
      <c r="BC195" s="1813" t="str">
        <f>ROWS(BC194:BC195)&amp;" ►"</f>
        <v>2 ►</v>
      </c>
      <c r="BD195" s="1580"/>
      <c r="BE195" s="95">
        <f>IF(BG214=0,0,(BG195/BG214)*BF193*1000)</f>
        <v>0</v>
      </c>
      <c r="BF195" s="105">
        <f>IF(BG214=0, 0, (AW195*BB195)/(BG214*BF193))</f>
        <v>0</v>
      </c>
      <c r="BG195" s="97" cm="1">
        <f t="array" ref="BG195">IFERROR(_xlfn.XLOOKUP(UPPER(TRIM(BA195)),UPPER(TRIM(AW215:BK215)),AW216:BK216,_xlfn.XLOOKUP(UPPER(TRIM(BA195)),UPPER(TRIM(AW217:BK217)),AW218:BK218,0))*AZ195*IF(AW195&gt;0,AW195,1),0)</f>
        <v>0</v>
      </c>
      <c r="BH195" s="110">
        <f>IF(BJ189&lt;&gt;0,AW195*BB195*BB189,0)</f>
        <v>0</v>
      </c>
      <c r="BI195" s="1748">
        <f t="shared" ref="BI195:BI213" si="56">AX195</f>
        <v>0</v>
      </c>
      <c r="BJ195" s="99">
        <f>IF(OR(ISBLANK(BJ189),BJ189=0),0,BG195*BB195*BB189)</f>
        <v>0</v>
      </c>
      <c r="BK195" s="1368" t="str">
        <f>IF(BA195="","",IF(COUNTIF(BD215:BK215,SUBSTITUTE(TRIM(BA195)," (s)",""))+COUNTIF(BD217:BK217,SUBSTITUTE(TRIM(BA195)," (s)",""))&gt;0,IF(ROUND(BJ195,3)&gt;=1,ROUND(BJ195,3)&amp;" L",MAX(1,ROUND(BJ195*100,0))&amp;" cl"),IF(COUNTIF(AW215:BB215,SUBSTITUTE(TRIM(BA195)," (s)",""))+COUNTIF(AW217:BB217,SUBSTITUTE(TRIM(BA195)," (s)",""))&gt;0,IF(ROUND(BJ195,3)&gt;=1,ROUND(BJ195,3)&amp;" Kg",MAX(1,ROUND(BJ195*1000,0))&amp;" g"),"")))</f>
        <v/>
      </c>
      <c r="BM195" s="3">
        <v>1</v>
      </c>
    </row>
    <row r="196" spans="2:65" ht="21" customHeight="1">
      <c r="B196" s="103" t="str">
        <f t="shared" ref="B196:B212" si="57">IF(N196&lt;&gt;"","A","►")</f>
        <v>►</v>
      </c>
      <c r="C196" s="31" t="str">
        <f>C190</f>
        <v>N NOM DE VOTRE RECETTE | collez la--FAMILLE| Auteur &gt; VOUS</v>
      </c>
      <c r="D196" s="32">
        <f>D190</f>
        <v>1</v>
      </c>
      <c r="E196" s="31" t="str">
        <f>E190</f>
        <v>coupe</v>
      </c>
      <c r="F196" s="33" t="str">
        <f>F190</f>
        <v>Recette mère ► MILLE-FEUILLE  aux fraises des bois</v>
      </c>
      <c r="G196" s="89"/>
      <c r="H196" s="108"/>
      <c r="I196" s="91" t="str">
        <f t="shared" si="49"/>
        <v/>
      </c>
      <c r="J196" s="92"/>
      <c r="K196" s="128"/>
      <c r="L196" s="130">
        <v>1</v>
      </c>
      <c r="M196" s="1813" t="str">
        <f>ROWS(M194:M196)&amp;" ►"</f>
        <v>3 ►</v>
      </c>
      <c r="N196" s="1580"/>
      <c r="O196" s="95">
        <f>IF(Q214=0,0,(Q196/Q214)*P193*1000)</f>
        <v>0</v>
      </c>
      <c r="P196" s="105">
        <f>IF(Q214=0, 0, (G196*L196)/(Q214*P193))</f>
        <v>0</v>
      </c>
      <c r="Q196" s="97" cm="1">
        <f t="array" ref="Q196">IFERROR(_xlfn.XLOOKUP(UPPER(TRIM(K196)),UPPER(TRIM(G215:U215)),G216:U216,_xlfn.XLOOKUP(UPPER(TRIM(K196)),UPPER(TRIM(G217:U217)),G218:U218,0))*J196*IF(G196&gt;0,G196,1),0)</f>
        <v>0</v>
      </c>
      <c r="R196" s="106">
        <f>IF(T189&lt;&gt;0,G196*L196*L189,0)</f>
        <v>0</v>
      </c>
      <c r="S196" s="1747">
        <f t="shared" si="52"/>
        <v>0</v>
      </c>
      <c r="T196" s="99">
        <f>IF(OR(ISBLANK(T189),T189=0),0,Q196*L196*L189)</f>
        <v>0</v>
      </c>
      <c r="U196" s="1367" t="str">
        <f>IF(K196="","",IF(COUNTIF(N215:U215,SUBSTITUTE(TRIM(K196)," (s)",""))+COUNTIF(N217:U217,SUBSTITUTE(TRIM(K196)," (s)",""))&gt;0,IF(ROUND(T196,3)&gt;=1,ROUND(T196,3)&amp;" L",MAX(1,ROUND(T196*100,0))&amp;" cl"),IF(COUNTIF(G215:L215,SUBSTITUTE(TRIM(K196)," (s)",""))+COUNTIF(G217:L217,SUBSTITUTE(TRIM(K196)," (s)",""))&gt;0,IF(ROUND(T196,3)&gt;=1,ROUND(T196,3)&amp;" Kg",MAX(1,ROUND(T196*1000,0))&amp;" g"),"")))</f>
        <v/>
      </c>
      <c r="W196" s="103" t="str">
        <f t="shared" si="53"/>
        <v>►</v>
      </c>
      <c r="X196" s="31" t="str">
        <f>X190</f>
        <v>N NAME OF YOUR RECIPE | paste it — FAMILY|  Author &gt; YOU</v>
      </c>
      <c r="Y196" s="32">
        <f>Y190</f>
        <v>1</v>
      </c>
      <c r="Z196" s="31" t="str">
        <f>Z190</f>
        <v>coupe</v>
      </c>
      <c r="AA196" s="33" t="str">
        <f>AA190</f>
        <v>Master recipe ► MILLE-FEUILLE  aux fraises des bois</v>
      </c>
      <c r="AB196" s="89"/>
      <c r="AC196" s="108"/>
      <c r="AD196" s="91" t="str">
        <f t="shared" si="50"/>
        <v/>
      </c>
      <c r="AE196" s="92"/>
      <c r="AF196" s="128"/>
      <c r="AG196" s="130">
        <v>1</v>
      </c>
      <c r="AH196" s="1813" t="str">
        <f>ROWS(AH194:AH196)&amp;" ►"</f>
        <v>3 ►</v>
      </c>
      <c r="AI196" s="1580"/>
      <c r="AJ196" s="95">
        <f>IF(AL214=0,0,(AL196/AL214)*AK193*1000)</f>
        <v>0</v>
      </c>
      <c r="AK196" s="105">
        <f>IF(AL214=0, 0, (AB196*AG196)/(AL214*AK193))</f>
        <v>0</v>
      </c>
      <c r="AL196" s="97" cm="1">
        <f t="array" ref="AL196">IFERROR(_xlfn.XLOOKUP(UPPER(TRIM(AF196)),UPPER(TRIM(AB215:AP215)),AB216:AP216,_xlfn.XLOOKUP(UPPER(TRIM(AF196)),UPPER(TRIM(AB217:AP217)),AB218:AP218,0))*AE196*IF(AB196&gt;0,AB196,1),0)</f>
        <v>0</v>
      </c>
      <c r="AM196" s="106">
        <f>IF(AO189&lt;&gt;0,AB196*AG196*AG189,0)</f>
        <v>0</v>
      </c>
      <c r="AN196" s="1747">
        <f t="shared" si="54"/>
        <v>0</v>
      </c>
      <c r="AO196" s="99">
        <f>IF(OR(ISBLANK(AO189),AO189=0),0,AL196*AG196*AG189)</f>
        <v>0</v>
      </c>
      <c r="AP196" s="1367" t="str">
        <f>IF(AF196="","",IF(COUNTIF(AI215:AP215,SUBSTITUTE(TRIM(AF196)," (s)",""))+COUNTIF(AI217:AP217,SUBSTITUTE(TRIM(AF196)," (s)",""))&gt;0,IF(ROUND(AO196,3)&gt;=1,ROUND(AO196,3)&amp;" L",MAX(1,ROUND(AO196*100,0))&amp;" cl"),IF(COUNTIF(AB215:AG215,SUBSTITUTE(TRIM(AF196)," (s)",""))+COUNTIF(AB217:AG217,SUBSTITUTE(TRIM(AF196)," (s)",""))&gt;0,IF(ROUND(AO196,3)&gt;=1,ROUND(AO196,3)&amp;" Kg",MAX(1,ROUND(AO196*1000,0))&amp;" g"),"")))</f>
        <v/>
      </c>
      <c r="AR196" s="103" t="str">
        <f t="shared" si="55"/>
        <v>►</v>
      </c>
      <c r="AS196" s="31" t="str">
        <f>AS190</f>
        <v>N NOMBRE DE SU RECETA | pegue esto — FAMILIA| Auteur &gt; VOUS</v>
      </c>
      <c r="AT196" s="32">
        <f>AT190</f>
        <v>1</v>
      </c>
      <c r="AU196" s="31" t="str">
        <f>AU190</f>
        <v>coupe</v>
      </c>
      <c r="AV196" s="33" t="str">
        <f>AV190</f>
        <v>Receta madre ► MILLE-FEUILLE  aux fraises des bois</v>
      </c>
      <c r="AW196" s="89"/>
      <c r="AX196" s="108"/>
      <c r="AY196" s="91" t="str">
        <f t="shared" si="51"/>
        <v/>
      </c>
      <c r="AZ196" s="92"/>
      <c r="BA196" s="128"/>
      <c r="BB196" s="130">
        <v>1</v>
      </c>
      <c r="BC196" s="1813" t="str">
        <f>ROWS(BC194:BC196)&amp;" ►"</f>
        <v>3 ►</v>
      </c>
      <c r="BD196" s="1580"/>
      <c r="BE196" s="95">
        <f>IF(BG214=0,0,(BG196/BG214)*BF193*1000)</f>
        <v>0</v>
      </c>
      <c r="BF196" s="105">
        <f>IF(BG214=0, 0, (AW196*BB196)/(BG214*BF193))</f>
        <v>0</v>
      </c>
      <c r="BG196" s="97" cm="1">
        <f t="array" ref="BG196">IFERROR(_xlfn.XLOOKUP(UPPER(TRIM(BA196)),UPPER(TRIM(AW215:BK215)),AW216:BK216,_xlfn.XLOOKUP(UPPER(TRIM(BA196)),UPPER(TRIM(AW217:BK217)),AW218:BK218,0))*AZ196*IF(AW196&gt;0,AW196,1),0)</f>
        <v>0</v>
      </c>
      <c r="BH196" s="106">
        <f>IF(BJ189&lt;&gt;0,AW196*BB196*BB189,0)</f>
        <v>0</v>
      </c>
      <c r="BI196" s="1747">
        <f t="shared" si="56"/>
        <v>0</v>
      </c>
      <c r="BJ196" s="99">
        <f>IF(OR(ISBLANK(BJ189),BJ189=0),0,BG196*BB196*BB189)</f>
        <v>0</v>
      </c>
      <c r="BK196" s="1367" t="str">
        <f>IF(BA196="","",IF(COUNTIF(BD215:BK215,SUBSTITUTE(TRIM(BA196)," (s)",""))+COUNTIF(BD217:BK217,SUBSTITUTE(TRIM(BA196)," (s)",""))&gt;0,IF(ROUND(BJ196,3)&gt;=1,ROUND(BJ196,3)&amp;" L",MAX(1,ROUND(BJ196*100,0))&amp;" cl"),IF(COUNTIF(AW215:BB215,SUBSTITUTE(TRIM(BA196)," (s)",""))+COUNTIF(AW217:BB217,SUBSTITUTE(TRIM(BA196)," (s)",""))&gt;0,IF(ROUND(BJ196,3)&gt;=1,ROUND(BJ196,3)&amp;" Kg",MAX(1,ROUND(BJ196*1000,0))&amp;" g"),"")))</f>
        <v/>
      </c>
      <c r="BM196" s="3">
        <v>1</v>
      </c>
    </row>
    <row r="197" spans="2:65" ht="21" customHeight="1">
      <c r="B197" s="103" t="str">
        <f t="shared" si="57"/>
        <v>►</v>
      </c>
      <c r="C197" s="31" t="str">
        <f>C190</f>
        <v>N NOM DE VOTRE RECETTE | collez la--FAMILLE| Auteur &gt; VOUS</v>
      </c>
      <c r="D197" s="32">
        <f>D190</f>
        <v>1</v>
      </c>
      <c r="E197" s="31" t="str">
        <f>E190</f>
        <v>coupe</v>
      </c>
      <c r="F197" s="33" t="str">
        <f>F190</f>
        <v>Recette mère ► MILLE-FEUILLE  aux fraises des bois</v>
      </c>
      <c r="G197" s="89"/>
      <c r="H197" s="108"/>
      <c r="I197" s="91" t="str">
        <f t="shared" si="49"/>
        <v/>
      </c>
      <c r="J197" s="92"/>
      <c r="K197" s="128"/>
      <c r="L197" s="130">
        <v>1</v>
      </c>
      <c r="M197" s="1813" t="str">
        <f>ROWS(M194:M197)&amp;" ►"</f>
        <v>4 ►</v>
      </c>
      <c r="N197" s="1580"/>
      <c r="O197" s="95">
        <f>IF(Q214=0,0,(Q197/Q214)*P193*1000)</f>
        <v>0</v>
      </c>
      <c r="P197" s="105">
        <f>IF(Q214=0, 0, (G197*L197)/(Q214*P193))</f>
        <v>0</v>
      </c>
      <c r="Q197" s="97" cm="1">
        <f t="array" ref="Q197">IFERROR(_xlfn.XLOOKUP(UPPER(TRIM(K197)),UPPER(TRIM(G215:U215)),G216:U216,_xlfn.XLOOKUP(UPPER(TRIM(K197)),UPPER(TRIM(G217:U217)),G218:U218,0))*J197*IF(G197&gt;0,G197,1),0)</f>
        <v>0</v>
      </c>
      <c r="R197" s="110">
        <f>IF(T189&lt;&gt;0,G197*L197*L189,0)</f>
        <v>0</v>
      </c>
      <c r="S197" s="1748">
        <f t="shared" si="52"/>
        <v>0</v>
      </c>
      <c r="T197" s="99">
        <f>IF(OR(ISBLANK(T189),T189=0),0,Q197*L197*L189)</f>
        <v>0</v>
      </c>
      <c r="U197" s="1617" t="str">
        <f>IF(K197="","",IF(COUNTIF(N215:U215,SUBSTITUTE(TRIM(K197)," (s)",""))+COUNTIF(N217:U217,SUBSTITUTE(TRIM(K197)," (s)",""))&gt;0,IF(ROUND(T197,3)&gt;=1,ROUND(T197,3)&amp;" L",MAX(1,ROUND(T197*100,0))&amp;" cl"),IF(COUNTIF(G215:L215,SUBSTITUTE(TRIM(K197)," (s)",""))+COUNTIF(G217:L217,SUBSTITUTE(TRIM(K197)," (s)",""))&gt;0,IF(ROUND(T197,3)&gt;=1,ROUND(T197,3)&amp;" Kg",MAX(1,ROUND(T197*1000,0))&amp;" g"),"")))</f>
        <v/>
      </c>
      <c r="W197" s="103" t="str">
        <f t="shared" si="53"/>
        <v>►</v>
      </c>
      <c r="X197" s="31" t="str">
        <f>X190</f>
        <v>N NAME OF YOUR RECIPE | paste it — FAMILY|  Author &gt; YOU</v>
      </c>
      <c r="Y197" s="32">
        <f>Y190</f>
        <v>1</v>
      </c>
      <c r="Z197" s="31" t="str">
        <f>Z190</f>
        <v>coupe</v>
      </c>
      <c r="AA197" s="33" t="str">
        <f>AA190</f>
        <v>Master recipe ► MILLE-FEUILLE  aux fraises des bois</v>
      </c>
      <c r="AB197" s="89"/>
      <c r="AC197" s="108"/>
      <c r="AD197" s="91" t="str">
        <f t="shared" si="50"/>
        <v/>
      </c>
      <c r="AE197" s="92"/>
      <c r="AF197" s="128"/>
      <c r="AG197" s="130">
        <v>1</v>
      </c>
      <c r="AH197" s="1813" t="str">
        <f>ROWS(AH194:AH197)&amp;" ►"</f>
        <v>4 ►</v>
      </c>
      <c r="AI197" s="1580"/>
      <c r="AJ197" s="95">
        <f>IF(AL214=0,0,(AL197/AL214)*AK193*1000)</f>
        <v>0</v>
      </c>
      <c r="AK197" s="105">
        <f>IF(AL214=0, 0, (AB197*AG197)/(AL214*AK193))</f>
        <v>0</v>
      </c>
      <c r="AL197" s="97" cm="1">
        <f t="array" ref="AL197">IFERROR(_xlfn.XLOOKUP(UPPER(TRIM(AF197)),UPPER(TRIM(AB215:AP215)),AB216:AP216,_xlfn.XLOOKUP(UPPER(TRIM(AF197)),UPPER(TRIM(AB217:AP217)),AB218:AP218,0))*AE197*IF(AB197&gt;0,AB197,1),0)</f>
        <v>0</v>
      </c>
      <c r="AM197" s="110">
        <f>IF(AO189&lt;&gt;0,AB197*AG197*AG189,0)</f>
        <v>0</v>
      </c>
      <c r="AN197" s="1748">
        <f t="shared" si="54"/>
        <v>0</v>
      </c>
      <c r="AO197" s="99">
        <f>IF(OR(ISBLANK(AO189),AO189=0),0,AL197*AG197*AG189)</f>
        <v>0</v>
      </c>
      <c r="AP197" s="1617" t="str">
        <f>IF(AF197="","",IF(COUNTIF(AI215:AP215,SUBSTITUTE(TRIM(AF197)," (s)",""))+COUNTIF(AI217:AP217,SUBSTITUTE(TRIM(AF197)," (s)",""))&gt;0,IF(ROUND(AO197,3)&gt;=1,ROUND(AO197,3)&amp;" L",MAX(1,ROUND(AO197*100,0))&amp;" cl"),IF(COUNTIF(AB215:AG215,SUBSTITUTE(TRIM(AF197)," (s)",""))+COUNTIF(AB217:AG217,SUBSTITUTE(TRIM(AF197)," (s)",""))&gt;0,IF(ROUND(AO197,3)&gt;=1,ROUND(AO197,3)&amp;" Kg",MAX(1,ROUND(AO197*1000,0))&amp;" g"),"")))</f>
        <v/>
      </c>
      <c r="AR197" s="103" t="str">
        <f t="shared" si="55"/>
        <v>►</v>
      </c>
      <c r="AS197" s="31" t="str">
        <f>AS190</f>
        <v>N NOMBRE DE SU RECETA | pegue esto — FAMILIA| Auteur &gt; VOUS</v>
      </c>
      <c r="AT197" s="32">
        <f>AT190</f>
        <v>1</v>
      </c>
      <c r="AU197" s="31" t="str">
        <f>AU190</f>
        <v>coupe</v>
      </c>
      <c r="AV197" s="33" t="str">
        <f>AV190</f>
        <v>Receta madre ► MILLE-FEUILLE  aux fraises des bois</v>
      </c>
      <c r="AW197" s="89"/>
      <c r="AX197" s="108"/>
      <c r="AY197" s="91" t="str">
        <f t="shared" si="51"/>
        <v/>
      </c>
      <c r="AZ197" s="92"/>
      <c r="BA197" s="128"/>
      <c r="BB197" s="130">
        <v>1</v>
      </c>
      <c r="BC197" s="1813" t="str">
        <f>ROWS(BC194:BC197)&amp;" ►"</f>
        <v>4 ►</v>
      </c>
      <c r="BD197" s="1580"/>
      <c r="BE197" s="95">
        <f>IF(BG214=0,0,(BG197/BG214)*BF193*1000)</f>
        <v>0</v>
      </c>
      <c r="BF197" s="105">
        <f>IF(BG214=0, 0, (AW197*BB197)/(BG214*BF193))</f>
        <v>0</v>
      </c>
      <c r="BG197" s="97" cm="1">
        <f t="array" ref="BG197">IFERROR(_xlfn.XLOOKUP(UPPER(TRIM(BA197)),UPPER(TRIM(AW215:BK215)),AW216:BK216,_xlfn.XLOOKUP(UPPER(TRIM(BA197)),UPPER(TRIM(AW217:BK217)),AW218:BK218,0))*AZ197*IF(AW197&gt;0,AW197,1),0)</f>
        <v>0</v>
      </c>
      <c r="BH197" s="110">
        <f>IF(BJ189&lt;&gt;0,AW197*BB197*BB189,0)</f>
        <v>0</v>
      </c>
      <c r="BI197" s="1748">
        <f t="shared" si="56"/>
        <v>0</v>
      </c>
      <c r="BJ197" s="99">
        <f>IF(OR(ISBLANK(BJ189),BJ189=0),0,BG197*BB197*BB189)</f>
        <v>0</v>
      </c>
      <c r="BK197" s="1617" t="str">
        <f>IF(BA197="","",IF(COUNTIF(BD215:BK215,SUBSTITUTE(TRIM(BA197)," (s)",""))+COUNTIF(BD217:BK217,SUBSTITUTE(TRIM(BA197)," (s)",""))&gt;0,IF(ROUND(BJ197,3)&gt;=1,ROUND(BJ197,3)&amp;" L",MAX(1,ROUND(BJ197*100,0))&amp;" cl"),IF(COUNTIF(AW215:BB215,SUBSTITUTE(TRIM(BA197)," (s)",""))+COUNTIF(AW217:BB217,SUBSTITUTE(TRIM(BA197)," (s)",""))&gt;0,IF(ROUND(BJ197,3)&gt;=1,ROUND(BJ197,3)&amp;" Kg",MAX(1,ROUND(BJ197*1000,0))&amp;" g"),"")))</f>
        <v/>
      </c>
      <c r="BM197" s="3">
        <v>1</v>
      </c>
    </row>
    <row r="198" spans="2:65" ht="21" customHeight="1">
      <c r="B198" s="103" t="str">
        <f t="shared" si="57"/>
        <v>►</v>
      </c>
      <c r="C198" s="31" t="str">
        <f>C190</f>
        <v>N NOM DE VOTRE RECETTE | collez la--FAMILLE| Auteur &gt; VOUS</v>
      </c>
      <c r="D198" s="32">
        <f>D190</f>
        <v>1</v>
      </c>
      <c r="E198" s="31" t="str">
        <f>E190</f>
        <v>coupe</v>
      </c>
      <c r="F198" s="33" t="str">
        <f>F190</f>
        <v>Recette mère ► MILLE-FEUILLE  aux fraises des bois</v>
      </c>
      <c r="G198" s="89"/>
      <c r="H198" s="108"/>
      <c r="I198" s="91" t="str">
        <f t="shared" si="49"/>
        <v/>
      </c>
      <c r="J198" s="92"/>
      <c r="K198" s="128"/>
      <c r="L198" s="130">
        <v>1</v>
      </c>
      <c r="M198" s="1813" t="str">
        <f>ROWS(M194:M198)&amp;" ►"</f>
        <v>5 ►</v>
      </c>
      <c r="N198" s="1580"/>
      <c r="O198" s="95">
        <f>IF(Q214=0,0,(Q198/Q214)*P193*1000)</f>
        <v>0</v>
      </c>
      <c r="P198" s="105">
        <f>IF(Q214=0, 0, (G198*L198)/(Q214*P193))</f>
        <v>0</v>
      </c>
      <c r="Q198" s="97" cm="1">
        <f t="array" ref="Q198">IFERROR(_xlfn.XLOOKUP(UPPER(TRIM(K198)),UPPER(TRIM(G215:U215)),G216:U216,_xlfn.XLOOKUP(UPPER(TRIM(K198)),UPPER(TRIM(G217:U217)),G218:U218,0))*J198*IF(G198&gt;0,G198,1),0)</f>
        <v>0</v>
      </c>
      <c r="R198" s="106">
        <f>IF(T189&lt;&gt;0,G198*L198*L189,0)</f>
        <v>0</v>
      </c>
      <c r="S198" s="1747">
        <f t="shared" si="52"/>
        <v>0</v>
      </c>
      <c r="T198" s="99">
        <f>IF(OR(ISBLANK(T189),T189=0),0,Q198*L198*L189)</f>
        <v>0</v>
      </c>
      <c r="U198" s="1367" t="str">
        <f>IF(K198="","",IF(COUNTIF(N215:U215,SUBSTITUTE(TRIM(K198)," (s)",""))+COUNTIF(N217:U217,SUBSTITUTE(TRIM(K198)," (s)",""))&gt;0,IF(ROUND(T198,3)&gt;=1,ROUND(T198,3)&amp;" L",MAX(1,ROUND(T198*100,0))&amp;" cl"),IF(COUNTIF(G215:L215,SUBSTITUTE(TRIM(K198)," (s)",""))+COUNTIF(G217:L217,SUBSTITUTE(TRIM(K198)," (s)",""))&gt;0,IF(ROUND(T198,3)&gt;=1,ROUND(T198,3)&amp;" Kg",MAX(1,ROUND(T198*1000,0))&amp;" g"),"")))</f>
        <v/>
      </c>
      <c r="W198" s="103" t="str">
        <f t="shared" si="53"/>
        <v>►</v>
      </c>
      <c r="X198" s="31" t="str">
        <f>X190</f>
        <v>N NAME OF YOUR RECIPE | paste it — FAMILY|  Author &gt; YOU</v>
      </c>
      <c r="Y198" s="32">
        <f>Y190</f>
        <v>1</v>
      </c>
      <c r="Z198" s="31" t="str">
        <f>Z190</f>
        <v>coupe</v>
      </c>
      <c r="AA198" s="33" t="str">
        <f>AA190</f>
        <v>Master recipe ► MILLE-FEUILLE  aux fraises des bois</v>
      </c>
      <c r="AB198" s="89"/>
      <c r="AC198" s="108"/>
      <c r="AD198" s="91" t="str">
        <f t="shared" si="50"/>
        <v/>
      </c>
      <c r="AE198" s="92"/>
      <c r="AF198" s="128"/>
      <c r="AG198" s="130">
        <v>1</v>
      </c>
      <c r="AH198" s="1813" t="str">
        <f>ROWS(AH194:AH198)&amp;" ►"</f>
        <v>5 ►</v>
      </c>
      <c r="AI198" s="1580"/>
      <c r="AJ198" s="95">
        <f>IF(AL214=0,0,(AL198/AL214)*AK193*1000)</f>
        <v>0</v>
      </c>
      <c r="AK198" s="105">
        <f>IF(AL214=0, 0, (AB198*AG198)/(AL214*AK193))</f>
        <v>0</v>
      </c>
      <c r="AL198" s="97" cm="1">
        <f t="array" ref="AL198">IFERROR(_xlfn.XLOOKUP(UPPER(TRIM(AF198)),UPPER(TRIM(AB215:AP215)),AB216:AP216,_xlfn.XLOOKUP(UPPER(TRIM(AF198)),UPPER(TRIM(AB217:AP217)),AB218:AP218,0))*AE198*IF(AB198&gt;0,AB198,1),0)</f>
        <v>0</v>
      </c>
      <c r="AM198" s="106">
        <f>IF(AO189&lt;&gt;0,AB198*AG198*AG189,0)</f>
        <v>0</v>
      </c>
      <c r="AN198" s="1747">
        <f t="shared" si="54"/>
        <v>0</v>
      </c>
      <c r="AO198" s="99">
        <f>IF(OR(ISBLANK(AO189),AO189=0),0,AL198*AG198*AG189)</f>
        <v>0</v>
      </c>
      <c r="AP198" s="1367" t="str">
        <f>IF(AF198="","",IF(COUNTIF(AI215:AP215,SUBSTITUTE(TRIM(AF198)," (s)",""))+COUNTIF(AI217:AP217,SUBSTITUTE(TRIM(AF198)," (s)",""))&gt;0,IF(ROUND(AO198,3)&gt;=1,ROUND(AO198,3)&amp;" L",MAX(1,ROUND(AO198*100,0))&amp;" cl"),IF(COUNTIF(AB215:AG215,SUBSTITUTE(TRIM(AF198)," (s)",""))+COUNTIF(AB217:AG217,SUBSTITUTE(TRIM(AF198)," (s)",""))&gt;0,IF(ROUND(AO198,3)&gt;=1,ROUND(AO198,3)&amp;" Kg",MAX(1,ROUND(AO198*1000,0))&amp;" g"),"")))</f>
        <v/>
      </c>
      <c r="AR198" s="103" t="str">
        <f t="shared" si="55"/>
        <v>►</v>
      </c>
      <c r="AS198" s="31" t="str">
        <f>AS190</f>
        <v>N NOMBRE DE SU RECETA | pegue esto — FAMILIA| Auteur &gt; VOUS</v>
      </c>
      <c r="AT198" s="32">
        <f>AT190</f>
        <v>1</v>
      </c>
      <c r="AU198" s="31" t="str">
        <f>AU190</f>
        <v>coupe</v>
      </c>
      <c r="AV198" s="33" t="str">
        <f>AV190</f>
        <v>Receta madre ► MILLE-FEUILLE  aux fraises des bois</v>
      </c>
      <c r="AW198" s="89"/>
      <c r="AX198" s="108"/>
      <c r="AY198" s="91" t="str">
        <f t="shared" si="51"/>
        <v/>
      </c>
      <c r="AZ198" s="92"/>
      <c r="BA198" s="128"/>
      <c r="BB198" s="130">
        <v>1</v>
      </c>
      <c r="BC198" s="1813" t="str">
        <f>ROWS(BC194:BC198)&amp;" ►"</f>
        <v>5 ►</v>
      </c>
      <c r="BD198" s="1580"/>
      <c r="BE198" s="95">
        <f>IF(BG214=0,0,(BG198/BG214)*BF193*1000)</f>
        <v>0</v>
      </c>
      <c r="BF198" s="105">
        <f>IF(BG214=0, 0, (AW198*BB198)/(BG214*BF193))</f>
        <v>0</v>
      </c>
      <c r="BG198" s="97" cm="1">
        <f t="array" ref="BG198">IFERROR(_xlfn.XLOOKUP(UPPER(TRIM(BA198)),UPPER(TRIM(AW215:BK215)),AW216:BK216,_xlfn.XLOOKUP(UPPER(TRIM(BA198)),UPPER(TRIM(AW217:BK217)),AW218:BK218,0))*AZ198*IF(AW198&gt;0,AW198,1),0)</f>
        <v>0</v>
      </c>
      <c r="BH198" s="106">
        <f>IF(BJ189&lt;&gt;0,AW198*BB198*BB189,0)</f>
        <v>0</v>
      </c>
      <c r="BI198" s="1747">
        <f t="shared" si="56"/>
        <v>0</v>
      </c>
      <c r="BJ198" s="99">
        <f>IF(OR(ISBLANK(BJ189),BJ189=0),0,BG198*BB198*BB189)</f>
        <v>0</v>
      </c>
      <c r="BK198" s="1367" t="str">
        <f>IF(BA198="","",IF(COUNTIF(BD215:BK215,SUBSTITUTE(TRIM(BA198)," (s)",""))+COUNTIF(BD217:BK217,SUBSTITUTE(TRIM(BA198)," (s)",""))&gt;0,IF(ROUND(BJ198,3)&gt;=1,ROUND(BJ198,3)&amp;" L",MAX(1,ROUND(BJ198*100,0))&amp;" cl"),IF(COUNTIF(AW215:BB215,SUBSTITUTE(TRIM(BA198)," (s)",""))+COUNTIF(AW217:BB217,SUBSTITUTE(TRIM(BA198)," (s)",""))&gt;0,IF(ROUND(BJ198,3)&gt;=1,ROUND(BJ198,3)&amp;" Kg",MAX(1,ROUND(BJ198*1000,0))&amp;" g"),"")))</f>
        <v/>
      </c>
      <c r="BM198" s="3">
        <v>1</v>
      </c>
    </row>
    <row r="199" spans="2:65" ht="21" customHeight="1">
      <c r="B199" s="103" t="str">
        <f t="shared" si="57"/>
        <v>►</v>
      </c>
      <c r="C199" s="31" t="str">
        <f>C190</f>
        <v>N NOM DE VOTRE RECETTE | collez la--FAMILLE| Auteur &gt; VOUS</v>
      </c>
      <c r="D199" s="32">
        <f>D190</f>
        <v>1</v>
      </c>
      <c r="E199" s="31" t="str">
        <f>E190</f>
        <v>coupe</v>
      </c>
      <c r="F199" s="33" t="str">
        <f>F190</f>
        <v>Recette mère ► MILLE-FEUILLE  aux fraises des bois</v>
      </c>
      <c r="G199" s="89"/>
      <c r="H199" s="108"/>
      <c r="I199" s="91" t="str">
        <f t="shared" si="49"/>
        <v/>
      </c>
      <c r="J199" s="92"/>
      <c r="K199" s="128"/>
      <c r="L199" s="130">
        <v>1</v>
      </c>
      <c r="M199" s="1813" t="str">
        <f>ROWS(M194:M199)&amp;" ►"</f>
        <v>6 ►</v>
      </c>
      <c r="N199" s="1580"/>
      <c r="O199" s="95">
        <f>IF(Q214=0,0,(Q199/Q214)*P193*1000)</f>
        <v>0</v>
      </c>
      <c r="P199" s="105">
        <f>IF(Q214=0, 0, (G199*L199)/(Q214*P193))</f>
        <v>0</v>
      </c>
      <c r="Q199" s="97" cm="1">
        <f t="array" ref="Q199">IFERROR(_xlfn.XLOOKUP(UPPER(TRIM(K199)),UPPER(TRIM(G215:U215)),G216:U216,_xlfn.XLOOKUP(UPPER(TRIM(K199)),UPPER(TRIM(G217:U217)),G218:U218,0))*J199*IF(G199&gt;0,G199,1),0)</f>
        <v>0</v>
      </c>
      <c r="R199" s="110">
        <f>IF(T189&lt;&gt;0,G199*L199*L189,0)</f>
        <v>0</v>
      </c>
      <c r="S199" s="1748">
        <f t="shared" si="52"/>
        <v>0</v>
      </c>
      <c r="T199" s="99">
        <f>IF(OR(ISBLANK(T189),T189=0),0,Q199*L199*L189)</f>
        <v>0</v>
      </c>
      <c r="U199" s="1617" t="str">
        <f>IF(K199="","",IF(COUNTIF(N215:U215,SUBSTITUTE(TRIM(K199)," (s)",""))+COUNTIF(N217:U217,SUBSTITUTE(TRIM(K199)," (s)",""))&gt;0,IF(ROUND(T199,3)&gt;=1,ROUND(T199,3)&amp;" L",MAX(1,ROUND(T199*100,0))&amp;" cl"),IF(COUNTIF(G215:L215,SUBSTITUTE(TRIM(K199)," (s)",""))+COUNTIF(G217:L217,SUBSTITUTE(TRIM(K199)," (s)",""))&gt;0,IF(ROUND(T199,3)&gt;=1,ROUND(T199,3)&amp;" Kg",MAX(1,ROUND(T199*1000,0))&amp;" g"),"")))</f>
        <v/>
      </c>
      <c r="W199" s="103" t="str">
        <f t="shared" si="53"/>
        <v>►</v>
      </c>
      <c r="X199" s="31" t="str">
        <f>X190</f>
        <v>N NAME OF YOUR RECIPE | paste it — FAMILY|  Author &gt; YOU</v>
      </c>
      <c r="Y199" s="32">
        <f>Y190</f>
        <v>1</v>
      </c>
      <c r="Z199" s="31" t="str">
        <f>Z190</f>
        <v>coupe</v>
      </c>
      <c r="AA199" s="33" t="str">
        <f>AA190</f>
        <v>Master recipe ► MILLE-FEUILLE  aux fraises des bois</v>
      </c>
      <c r="AB199" s="89"/>
      <c r="AC199" s="108"/>
      <c r="AD199" s="91" t="str">
        <f t="shared" si="50"/>
        <v/>
      </c>
      <c r="AE199" s="92"/>
      <c r="AF199" s="128"/>
      <c r="AG199" s="130">
        <v>1</v>
      </c>
      <c r="AH199" s="1813" t="str">
        <f>ROWS(AH194:AH199)&amp;" ►"</f>
        <v>6 ►</v>
      </c>
      <c r="AI199" s="1580"/>
      <c r="AJ199" s="95">
        <f>IF(AL214=0,0,(AL199/AL214)*AK193*1000)</f>
        <v>0</v>
      </c>
      <c r="AK199" s="105">
        <f>IF(AL214=0, 0, (AB199*AG199)/(AL214*AK193))</f>
        <v>0</v>
      </c>
      <c r="AL199" s="97" cm="1">
        <f t="array" ref="AL199">IFERROR(_xlfn.XLOOKUP(UPPER(TRIM(AF199)),UPPER(TRIM(AB215:AP215)),AB216:AP216,_xlfn.XLOOKUP(UPPER(TRIM(AF199)),UPPER(TRIM(AB217:AP217)),AB218:AP218,0))*AE199*IF(AB199&gt;0,AB199,1),0)</f>
        <v>0</v>
      </c>
      <c r="AM199" s="110">
        <f>IF(AO189&lt;&gt;0,AB199*AG199*AG189,0)</f>
        <v>0</v>
      </c>
      <c r="AN199" s="1748">
        <f t="shared" si="54"/>
        <v>0</v>
      </c>
      <c r="AO199" s="99">
        <f>IF(OR(ISBLANK(AO189),AO189=0),0,AL199*AG199*AG189)</f>
        <v>0</v>
      </c>
      <c r="AP199" s="1617" t="str">
        <f>IF(AF199="","",IF(COUNTIF(AI215:AP215,SUBSTITUTE(TRIM(AF199)," (s)",""))+COUNTIF(AI217:AP217,SUBSTITUTE(TRIM(AF199)," (s)",""))&gt;0,IF(ROUND(AO199,3)&gt;=1,ROUND(AO199,3)&amp;" L",MAX(1,ROUND(AO199*100,0))&amp;" cl"),IF(COUNTIF(AB215:AG215,SUBSTITUTE(TRIM(AF199)," (s)",""))+COUNTIF(AB217:AG217,SUBSTITUTE(TRIM(AF199)," (s)",""))&gt;0,IF(ROUND(AO199,3)&gt;=1,ROUND(AO199,3)&amp;" Kg",MAX(1,ROUND(AO199*1000,0))&amp;" g"),"")))</f>
        <v/>
      </c>
      <c r="AR199" s="103" t="str">
        <f t="shared" si="55"/>
        <v>►</v>
      </c>
      <c r="AS199" s="31" t="str">
        <f>AS190</f>
        <v>N NOMBRE DE SU RECETA | pegue esto — FAMILIA| Auteur &gt; VOUS</v>
      </c>
      <c r="AT199" s="32">
        <f>AT190</f>
        <v>1</v>
      </c>
      <c r="AU199" s="31" t="str">
        <f>AU190</f>
        <v>coupe</v>
      </c>
      <c r="AV199" s="33" t="str">
        <f>AV190</f>
        <v>Receta madre ► MILLE-FEUILLE  aux fraises des bois</v>
      </c>
      <c r="AW199" s="89"/>
      <c r="AX199" s="108"/>
      <c r="AY199" s="91" t="str">
        <f t="shared" si="51"/>
        <v/>
      </c>
      <c r="AZ199" s="92"/>
      <c r="BA199" s="128"/>
      <c r="BB199" s="130">
        <v>1</v>
      </c>
      <c r="BC199" s="1813" t="str">
        <f>ROWS(BC194:BC199)&amp;" ►"</f>
        <v>6 ►</v>
      </c>
      <c r="BD199" s="1580"/>
      <c r="BE199" s="95">
        <f>IF(BG214=0,0,(BG199/BG214)*BF193*1000)</f>
        <v>0</v>
      </c>
      <c r="BF199" s="105">
        <f>IF(BG214=0, 0, (AW199*BB199)/(BG214*BF193))</f>
        <v>0</v>
      </c>
      <c r="BG199" s="97" cm="1">
        <f t="array" ref="BG199">IFERROR(_xlfn.XLOOKUP(UPPER(TRIM(BA199)),UPPER(TRIM(AW215:BK215)),AW216:BK216,_xlfn.XLOOKUP(UPPER(TRIM(BA199)),UPPER(TRIM(AW217:BK217)),AW218:BK218,0))*AZ199*IF(AW199&gt;0,AW199,1),0)</f>
        <v>0</v>
      </c>
      <c r="BH199" s="110">
        <f>IF(BJ189&lt;&gt;0,AW199*BB199*BB189,0)</f>
        <v>0</v>
      </c>
      <c r="BI199" s="1748">
        <f t="shared" si="56"/>
        <v>0</v>
      </c>
      <c r="BJ199" s="99">
        <f>IF(OR(ISBLANK(BJ189),BJ189=0),0,BG199*BB199*BB189)</f>
        <v>0</v>
      </c>
      <c r="BK199" s="1617" t="str">
        <f>IF(BA199="","",IF(COUNTIF(BD215:BK215,SUBSTITUTE(TRIM(BA199)," (s)",""))+COUNTIF(BD217:BK217,SUBSTITUTE(TRIM(BA199)," (s)",""))&gt;0,IF(ROUND(BJ199,3)&gt;=1,ROUND(BJ199,3)&amp;" L",MAX(1,ROUND(BJ199*100,0))&amp;" cl"),IF(COUNTIF(AW215:BB215,SUBSTITUTE(TRIM(BA199)," (s)",""))+COUNTIF(AW217:BB217,SUBSTITUTE(TRIM(BA199)," (s)",""))&gt;0,IF(ROUND(BJ199,3)&gt;=1,ROUND(BJ199,3)&amp;" Kg",MAX(1,ROUND(BJ199*1000,0))&amp;" g"),"")))</f>
        <v/>
      </c>
      <c r="BM199" s="3">
        <v>1</v>
      </c>
    </row>
    <row r="200" spans="2:65" ht="21" customHeight="1">
      <c r="B200" s="103" t="str">
        <f t="shared" si="57"/>
        <v>►</v>
      </c>
      <c r="C200" s="31" t="str">
        <f>C190</f>
        <v>N NOM DE VOTRE RECETTE | collez la--FAMILLE| Auteur &gt; VOUS</v>
      </c>
      <c r="D200" s="32">
        <f>D190</f>
        <v>1</v>
      </c>
      <c r="E200" s="31" t="str">
        <f>E190</f>
        <v>coupe</v>
      </c>
      <c r="F200" s="33" t="str">
        <f>F190</f>
        <v>Recette mère ► MILLE-FEUILLE  aux fraises des bois</v>
      </c>
      <c r="G200" s="89"/>
      <c r="H200" s="108"/>
      <c r="I200" s="91" t="str">
        <f t="shared" si="49"/>
        <v/>
      </c>
      <c r="J200" s="92"/>
      <c r="K200" s="128"/>
      <c r="L200" s="130">
        <v>1</v>
      </c>
      <c r="M200" s="1813" t="str">
        <f>ROWS(M194:M200)&amp;" ►"</f>
        <v>7 ►</v>
      </c>
      <c r="N200" s="1580"/>
      <c r="O200" s="95">
        <f>IF(Q214=0,0,(Q200/Q214)*P193*1000)</f>
        <v>0</v>
      </c>
      <c r="P200" s="105">
        <f>IF(Q214=0, 0, (G200*L200)/(Q214*P193))</f>
        <v>0</v>
      </c>
      <c r="Q200" s="97" cm="1">
        <f t="array" ref="Q200">IFERROR(_xlfn.XLOOKUP(UPPER(TRIM(K200)),UPPER(TRIM(G215:U215)),G216:U216,_xlfn.XLOOKUP(UPPER(TRIM(K200)),UPPER(TRIM(G217:U217)),G218:U218,0))*J200*IF(G200&gt;0,G200,1),0)</f>
        <v>0</v>
      </c>
      <c r="R200" s="106">
        <f>IF(T189&lt;&gt;0,G200*L200*L189,0)</f>
        <v>0</v>
      </c>
      <c r="S200" s="1747">
        <f t="shared" si="52"/>
        <v>0</v>
      </c>
      <c r="T200" s="99">
        <f>IF(OR(ISBLANK(T189),T189=0),0,Q200*L200*L189)</f>
        <v>0</v>
      </c>
      <c r="U200" s="1367" t="str">
        <f>IF(K200="","",IF(COUNTIF(N215:U215,SUBSTITUTE(TRIM(K200)," (s)",""))+COUNTIF(N217:U217,SUBSTITUTE(TRIM(K200)," (s)",""))&gt;0,IF(ROUND(T200,3)&gt;=1,ROUND(T200,3)&amp;" L",MAX(1,ROUND(T200*100,0))&amp;" cl"),IF(COUNTIF(G215:L215,SUBSTITUTE(TRIM(K200)," (s)",""))+COUNTIF(G217:L217,SUBSTITUTE(TRIM(K200)," (s)",""))&gt;0,IF(ROUND(T200,3)&gt;=1,ROUND(T200,3)&amp;" Kg",MAX(1,ROUND(T200*1000,0))&amp;" g"),"")))</f>
        <v/>
      </c>
      <c r="W200" s="103" t="str">
        <f t="shared" si="53"/>
        <v>►</v>
      </c>
      <c r="X200" s="31" t="str">
        <f>X190</f>
        <v>N NAME OF YOUR RECIPE | paste it — FAMILY|  Author &gt; YOU</v>
      </c>
      <c r="Y200" s="32">
        <f>Y190</f>
        <v>1</v>
      </c>
      <c r="Z200" s="31" t="str">
        <f>Z190</f>
        <v>coupe</v>
      </c>
      <c r="AA200" s="33" t="str">
        <f>AA190</f>
        <v>Master recipe ► MILLE-FEUILLE  aux fraises des bois</v>
      </c>
      <c r="AB200" s="89"/>
      <c r="AC200" s="108"/>
      <c r="AD200" s="91" t="str">
        <f t="shared" si="50"/>
        <v/>
      </c>
      <c r="AE200" s="92"/>
      <c r="AF200" s="128"/>
      <c r="AG200" s="130">
        <v>1</v>
      </c>
      <c r="AH200" s="1813" t="str">
        <f>ROWS(AH194:AH200)&amp;" ►"</f>
        <v>7 ►</v>
      </c>
      <c r="AI200" s="1580"/>
      <c r="AJ200" s="95">
        <f>IF(AL214=0,0,(AL200/AL214)*AK193*1000)</f>
        <v>0</v>
      </c>
      <c r="AK200" s="105">
        <f>IF(AL214=0, 0, (AB200*AG200)/(AL214*AK193))</f>
        <v>0</v>
      </c>
      <c r="AL200" s="97" cm="1">
        <f t="array" ref="AL200">IFERROR(_xlfn.XLOOKUP(UPPER(TRIM(AF200)),UPPER(TRIM(AB215:AP215)),AB216:AP216,_xlfn.XLOOKUP(UPPER(TRIM(AF200)),UPPER(TRIM(AB217:AP217)),AB218:AP218,0))*AE200*IF(AB200&gt;0,AB200,1),0)</f>
        <v>0</v>
      </c>
      <c r="AM200" s="106">
        <f>IF(AO189&lt;&gt;0,AB200*AG200*AG189,0)</f>
        <v>0</v>
      </c>
      <c r="AN200" s="1747">
        <f t="shared" si="54"/>
        <v>0</v>
      </c>
      <c r="AO200" s="99">
        <f>IF(OR(ISBLANK(AO189),AO189=0),0,AL200*AG200*AG189)</f>
        <v>0</v>
      </c>
      <c r="AP200" s="1367" t="str">
        <f>IF(AF200="","",IF(COUNTIF(AI215:AP215,SUBSTITUTE(TRIM(AF200)," (s)",""))+COUNTIF(AI217:AP217,SUBSTITUTE(TRIM(AF200)," (s)",""))&gt;0,IF(ROUND(AO200,3)&gt;=1,ROUND(AO200,3)&amp;" L",MAX(1,ROUND(AO200*100,0))&amp;" cl"),IF(COUNTIF(AB215:AG215,SUBSTITUTE(TRIM(AF200)," (s)",""))+COUNTIF(AB217:AG217,SUBSTITUTE(TRIM(AF200)," (s)",""))&gt;0,IF(ROUND(AO200,3)&gt;=1,ROUND(AO200,3)&amp;" Kg",MAX(1,ROUND(AO200*1000,0))&amp;" g"),"")))</f>
        <v/>
      </c>
      <c r="AR200" s="103" t="str">
        <f t="shared" si="55"/>
        <v>►</v>
      </c>
      <c r="AS200" s="31" t="str">
        <f>AS190</f>
        <v>N NOMBRE DE SU RECETA | pegue esto — FAMILIA| Auteur &gt; VOUS</v>
      </c>
      <c r="AT200" s="32">
        <f>AT190</f>
        <v>1</v>
      </c>
      <c r="AU200" s="31" t="str">
        <f>AU190</f>
        <v>coupe</v>
      </c>
      <c r="AV200" s="33" t="str">
        <f>AV190</f>
        <v>Receta madre ► MILLE-FEUILLE  aux fraises des bois</v>
      </c>
      <c r="AW200" s="89"/>
      <c r="AX200" s="108"/>
      <c r="AY200" s="91" t="str">
        <f t="shared" si="51"/>
        <v/>
      </c>
      <c r="AZ200" s="92"/>
      <c r="BA200" s="128"/>
      <c r="BB200" s="130">
        <v>1</v>
      </c>
      <c r="BC200" s="1813" t="str">
        <f>ROWS(BC194:BC200)&amp;" ►"</f>
        <v>7 ►</v>
      </c>
      <c r="BD200" s="1580"/>
      <c r="BE200" s="95">
        <f>IF(BG214=0,0,(BG200/BG214)*BF193*1000)</f>
        <v>0</v>
      </c>
      <c r="BF200" s="105">
        <f>IF(BG214=0, 0, (AW200*BB200)/(BG214*BF193))</f>
        <v>0</v>
      </c>
      <c r="BG200" s="97" cm="1">
        <f t="array" ref="BG200">IFERROR(_xlfn.XLOOKUP(UPPER(TRIM(BA200)),UPPER(TRIM(AW215:BK215)),AW216:BK216,_xlfn.XLOOKUP(UPPER(TRIM(BA200)),UPPER(TRIM(AW217:BK217)),AW218:BK218,0))*AZ200*IF(AW200&gt;0,AW200,1),0)</f>
        <v>0</v>
      </c>
      <c r="BH200" s="106">
        <f>IF(BJ189&lt;&gt;0,AW200*BB200*BB189,0)</f>
        <v>0</v>
      </c>
      <c r="BI200" s="1747">
        <f t="shared" si="56"/>
        <v>0</v>
      </c>
      <c r="BJ200" s="99">
        <f>IF(OR(ISBLANK(BJ189),BJ189=0),0,BG200*BB200*BB189)</f>
        <v>0</v>
      </c>
      <c r="BK200" s="1367" t="str">
        <f>IF(BA200="","",IF(COUNTIF(BD215:BK215,SUBSTITUTE(TRIM(BA200)," (s)",""))+COUNTIF(BD217:BK217,SUBSTITUTE(TRIM(BA200)," (s)",""))&gt;0,IF(ROUND(BJ200,3)&gt;=1,ROUND(BJ200,3)&amp;" L",MAX(1,ROUND(BJ200*100,0))&amp;" cl"),IF(COUNTIF(AW215:BB215,SUBSTITUTE(TRIM(BA200)," (s)",""))+COUNTIF(AW217:BB217,SUBSTITUTE(TRIM(BA200)," (s)",""))&gt;0,IF(ROUND(BJ200,3)&gt;=1,ROUND(BJ200,3)&amp;" Kg",MAX(1,ROUND(BJ200*1000,0))&amp;" g"),"")))</f>
        <v/>
      </c>
      <c r="BM200" s="3">
        <v>1</v>
      </c>
    </row>
    <row r="201" spans="2:65" ht="21" customHeight="1">
      <c r="B201" s="103" t="str">
        <f t="shared" si="57"/>
        <v>►</v>
      </c>
      <c r="C201" s="31" t="str">
        <f>C190</f>
        <v>N NOM DE VOTRE RECETTE | collez la--FAMILLE| Auteur &gt; VOUS</v>
      </c>
      <c r="D201" s="32">
        <f>D190</f>
        <v>1</v>
      </c>
      <c r="E201" s="31" t="str">
        <f>E190</f>
        <v>coupe</v>
      </c>
      <c r="F201" s="33" t="str">
        <f>F190</f>
        <v>Recette mère ► MILLE-FEUILLE  aux fraises des bois</v>
      </c>
      <c r="G201" s="89"/>
      <c r="H201" s="108"/>
      <c r="I201" s="91" t="str">
        <f t="shared" si="49"/>
        <v/>
      </c>
      <c r="J201" s="92"/>
      <c r="K201" s="128"/>
      <c r="L201" s="130">
        <v>1</v>
      </c>
      <c r="M201" s="1813" t="str">
        <f>ROWS(M194:M201)&amp;" ►"</f>
        <v>8 ►</v>
      </c>
      <c r="N201" s="1580"/>
      <c r="O201" s="95">
        <f>IF(Q214=0,0,(Q201/Q214)*P193*1000)</f>
        <v>0</v>
      </c>
      <c r="P201" s="105">
        <f>IF(Q214=0, 0, (G201*L201)/(Q214*P193))</f>
        <v>0</v>
      </c>
      <c r="Q201" s="97" cm="1">
        <f t="array" ref="Q201">IFERROR(_xlfn.XLOOKUP(UPPER(TRIM(K201)),UPPER(TRIM(G215:U215)),G216:U216,_xlfn.XLOOKUP(UPPER(TRIM(K201)),UPPER(TRIM(G217:U217)),G218:U218,0))*J201*IF(G201&gt;0,G201,1),0)</f>
        <v>0</v>
      </c>
      <c r="R201" s="110">
        <f>IF(T189&lt;&gt;0,G201*L201*L189,0)</f>
        <v>0</v>
      </c>
      <c r="S201" s="1748">
        <f t="shared" si="52"/>
        <v>0</v>
      </c>
      <c r="T201" s="99">
        <f>IF(OR(ISBLANK(T189),T189=0),0,Q201*L201*L189)</f>
        <v>0</v>
      </c>
      <c r="U201" s="1617" t="str">
        <f>IF(K201="","",IF(COUNTIF(N215:U215,SUBSTITUTE(TRIM(K201)," (s)",""))+COUNTIF(N217:U217,SUBSTITUTE(TRIM(K201)," (s)",""))&gt;0,IF(ROUND(T201,3)&gt;=1,ROUND(T201,3)&amp;" L",MAX(1,ROUND(T201*100,0))&amp;" cl"),IF(COUNTIF(G215:L215,SUBSTITUTE(TRIM(K201)," (s)",""))+COUNTIF(G217:L217,SUBSTITUTE(TRIM(K201)," (s)",""))&gt;0,IF(ROUND(T201,3)&gt;=1,ROUND(T201,3)&amp;" Kg",MAX(1,ROUND(T201*1000,0))&amp;" g"),"")))</f>
        <v/>
      </c>
      <c r="W201" s="103" t="str">
        <f t="shared" si="53"/>
        <v>►</v>
      </c>
      <c r="X201" s="31" t="str">
        <f>X190</f>
        <v>N NAME OF YOUR RECIPE | paste it — FAMILY|  Author &gt; YOU</v>
      </c>
      <c r="Y201" s="32">
        <f>Y190</f>
        <v>1</v>
      </c>
      <c r="Z201" s="31" t="str">
        <f>Z190</f>
        <v>coupe</v>
      </c>
      <c r="AA201" s="33" t="str">
        <f>AA190</f>
        <v>Master recipe ► MILLE-FEUILLE  aux fraises des bois</v>
      </c>
      <c r="AB201" s="89"/>
      <c r="AC201" s="108"/>
      <c r="AD201" s="91" t="str">
        <f t="shared" si="50"/>
        <v/>
      </c>
      <c r="AE201" s="92"/>
      <c r="AF201" s="128"/>
      <c r="AG201" s="130">
        <v>1</v>
      </c>
      <c r="AH201" s="1813" t="str">
        <f>ROWS(AH194:AH201)&amp;" ►"</f>
        <v>8 ►</v>
      </c>
      <c r="AI201" s="1580"/>
      <c r="AJ201" s="95">
        <f>IF(AL214=0,0,(AL201/AL214)*AK193*1000)</f>
        <v>0</v>
      </c>
      <c r="AK201" s="105">
        <f>IF(AL214=0, 0, (AB201*AG201)/(AL214*AK193))</f>
        <v>0</v>
      </c>
      <c r="AL201" s="97" cm="1">
        <f t="array" ref="AL201">IFERROR(_xlfn.XLOOKUP(UPPER(TRIM(AF201)),UPPER(TRIM(AB215:AP215)),AB216:AP216,_xlfn.XLOOKUP(UPPER(TRIM(AF201)),UPPER(TRIM(AB217:AP217)),AB218:AP218,0))*AE201*IF(AB201&gt;0,AB201,1),0)</f>
        <v>0</v>
      </c>
      <c r="AM201" s="110">
        <f>IF(AO189&lt;&gt;0,AB201*AG201*AG189,0)</f>
        <v>0</v>
      </c>
      <c r="AN201" s="1748">
        <f t="shared" si="54"/>
        <v>0</v>
      </c>
      <c r="AO201" s="99">
        <f>IF(OR(ISBLANK(AO189),AO189=0),0,AL201*AG201*AG189)</f>
        <v>0</v>
      </c>
      <c r="AP201" s="1617" t="str">
        <f>IF(AF201="","",IF(COUNTIF(AI215:AP215,SUBSTITUTE(TRIM(AF201)," (s)",""))+COUNTIF(AI217:AP217,SUBSTITUTE(TRIM(AF201)," (s)",""))&gt;0,IF(ROUND(AO201,3)&gt;=1,ROUND(AO201,3)&amp;" L",MAX(1,ROUND(AO201*100,0))&amp;" cl"),IF(COUNTIF(AB215:AG215,SUBSTITUTE(TRIM(AF201)," (s)",""))+COUNTIF(AB217:AG217,SUBSTITUTE(TRIM(AF201)," (s)",""))&gt;0,IF(ROUND(AO201,3)&gt;=1,ROUND(AO201,3)&amp;" Kg",MAX(1,ROUND(AO201*1000,0))&amp;" g"),"")))</f>
        <v/>
      </c>
      <c r="AR201" s="103" t="str">
        <f t="shared" si="55"/>
        <v>►</v>
      </c>
      <c r="AS201" s="31" t="str">
        <f>AS190</f>
        <v>N NOMBRE DE SU RECETA | pegue esto — FAMILIA| Auteur &gt; VOUS</v>
      </c>
      <c r="AT201" s="32">
        <f>AT190</f>
        <v>1</v>
      </c>
      <c r="AU201" s="31" t="str">
        <f>AU190</f>
        <v>coupe</v>
      </c>
      <c r="AV201" s="33" t="str">
        <f>AV190</f>
        <v>Receta madre ► MILLE-FEUILLE  aux fraises des bois</v>
      </c>
      <c r="AW201" s="89"/>
      <c r="AX201" s="108"/>
      <c r="AY201" s="91" t="str">
        <f t="shared" si="51"/>
        <v/>
      </c>
      <c r="AZ201" s="92"/>
      <c r="BA201" s="128"/>
      <c r="BB201" s="130">
        <v>1</v>
      </c>
      <c r="BC201" s="1813" t="str">
        <f>ROWS(BC194:BC201)&amp;" ►"</f>
        <v>8 ►</v>
      </c>
      <c r="BD201" s="1580"/>
      <c r="BE201" s="95">
        <f>IF(BG214=0,0,(BG201/BG214)*BF193*1000)</f>
        <v>0</v>
      </c>
      <c r="BF201" s="105">
        <f>IF(BG214=0, 0, (AW201*BB201)/(BG214*BF193))</f>
        <v>0</v>
      </c>
      <c r="BG201" s="97" cm="1">
        <f t="array" ref="BG201">IFERROR(_xlfn.XLOOKUP(UPPER(TRIM(BA201)),UPPER(TRIM(AW215:BK215)),AW216:BK216,_xlfn.XLOOKUP(UPPER(TRIM(BA201)),UPPER(TRIM(AW217:BK217)),AW218:BK218,0))*AZ201*IF(AW201&gt;0,AW201,1),0)</f>
        <v>0</v>
      </c>
      <c r="BH201" s="110">
        <f>IF(BJ189&lt;&gt;0,AW201*BB201*BB189,0)</f>
        <v>0</v>
      </c>
      <c r="BI201" s="1748">
        <f t="shared" si="56"/>
        <v>0</v>
      </c>
      <c r="BJ201" s="99">
        <f>IF(OR(ISBLANK(BJ189),BJ189=0),0,BG201*BB201*BB189)</f>
        <v>0</v>
      </c>
      <c r="BK201" s="1617" t="str">
        <f>IF(BA201="","",IF(COUNTIF(BD215:BK215,SUBSTITUTE(TRIM(BA201)," (s)",""))+COUNTIF(BD217:BK217,SUBSTITUTE(TRIM(BA201)," (s)",""))&gt;0,IF(ROUND(BJ201,3)&gt;=1,ROUND(BJ201,3)&amp;" L",MAX(1,ROUND(BJ201*100,0))&amp;" cl"),IF(COUNTIF(AW215:BB215,SUBSTITUTE(TRIM(BA201)," (s)",""))+COUNTIF(AW217:BB217,SUBSTITUTE(TRIM(BA201)," (s)",""))&gt;0,IF(ROUND(BJ201,3)&gt;=1,ROUND(BJ201,3)&amp;" Kg",MAX(1,ROUND(BJ201*1000,0))&amp;" g"),"")))</f>
        <v/>
      </c>
      <c r="BM201" s="3">
        <v>1</v>
      </c>
    </row>
    <row r="202" spans="2:65" ht="21" customHeight="1">
      <c r="B202" s="103" t="str">
        <f t="shared" si="57"/>
        <v>►</v>
      </c>
      <c r="C202" s="31" t="str">
        <f>C190</f>
        <v>N NOM DE VOTRE RECETTE | collez la--FAMILLE| Auteur &gt; VOUS</v>
      </c>
      <c r="D202" s="32">
        <f>D190</f>
        <v>1</v>
      </c>
      <c r="E202" s="31" t="str">
        <f>E190</f>
        <v>coupe</v>
      </c>
      <c r="F202" s="33" t="str">
        <f>F190</f>
        <v>Recette mère ► MILLE-FEUILLE  aux fraises des bois</v>
      </c>
      <c r="G202" s="89"/>
      <c r="H202" s="108"/>
      <c r="I202" s="91" t="str">
        <f t="shared" si="49"/>
        <v/>
      </c>
      <c r="J202" s="92"/>
      <c r="K202" s="128"/>
      <c r="L202" s="130">
        <v>1</v>
      </c>
      <c r="M202" s="1813" t="str">
        <f>ROWS(M194:M202)&amp;" ►"</f>
        <v>9 ►</v>
      </c>
      <c r="N202" s="1580"/>
      <c r="O202" s="95">
        <f>IF(Q214=0,0,(Q202/Q214)*P193*1000)</f>
        <v>0</v>
      </c>
      <c r="P202" s="105">
        <f>IF(Q214=0, 0, (G202*L202)/(Q214*P193))</f>
        <v>0</v>
      </c>
      <c r="Q202" s="97" cm="1">
        <f t="array" ref="Q202">IFERROR(_xlfn.XLOOKUP(UPPER(TRIM(K202)),UPPER(TRIM(G215:U215)),G216:U216,_xlfn.XLOOKUP(UPPER(TRIM(K202)),UPPER(TRIM(G217:U217)),G218:U218,0))*J202*IF(G202&gt;0,G202,1),0)</f>
        <v>0</v>
      </c>
      <c r="R202" s="106">
        <f>IF(T189&lt;&gt;0,G202*L202*L189,0)</f>
        <v>0</v>
      </c>
      <c r="S202" s="1747">
        <f t="shared" si="52"/>
        <v>0</v>
      </c>
      <c r="T202" s="99">
        <f>IF(OR(ISBLANK(T189),T189=0),0,Q202*L202*L189)</f>
        <v>0</v>
      </c>
      <c r="U202" s="1367" t="str">
        <f>IF(K202="","",IF(COUNTIF(N215:U215,SUBSTITUTE(TRIM(K202)," (s)",""))+COUNTIF(N217:U217,SUBSTITUTE(TRIM(K202)," (s)",""))&gt;0,IF(ROUND(T202,3)&gt;=1,ROUND(T202,3)&amp;" L",MAX(1,ROUND(T202*100,0))&amp;" cl"),IF(COUNTIF(G215:L215,SUBSTITUTE(TRIM(K202)," (s)",""))+COUNTIF(G217:L217,SUBSTITUTE(TRIM(K202)," (s)",""))&gt;0,IF(ROUND(T202,3)&gt;=1,ROUND(T202,3)&amp;" Kg",MAX(1,ROUND(T202*1000,0))&amp;" g"),"")))</f>
        <v/>
      </c>
      <c r="W202" s="103" t="str">
        <f t="shared" si="53"/>
        <v>►</v>
      </c>
      <c r="X202" s="31" t="str">
        <f>X190</f>
        <v>N NAME OF YOUR RECIPE | paste it — FAMILY|  Author &gt; YOU</v>
      </c>
      <c r="Y202" s="32">
        <f>Y190</f>
        <v>1</v>
      </c>
      <c r="Z202" s="31" t="str">
        <f>Z190</f>
        <v>coupe</v>
      </c>
      <c r="AA202" s="33" t="str">
        <f>AA190</f>
        <v>Master recipe ► MILLE-FEUILLE  aux fraises des bois</v>
      </c>
      <c r="AB202" s="89"/>
      <c r="AC202" s="108"/>
      <c r="AD202" s="91" t="str">
        <f t="shared" si="50"/>
        <v/>
      </c>
      <c r="AE202" s="92"/>
      <c r="AF202" s="128"/>
      <c r="AG202" s="130">
        <v>1</v>
      </c>
      <c r="AH202" s="1813" t="str">
        <f>ROWS(AH194:AH202)&amp;" ►"</f>
        <v>9 ►</v>
      </c>
      <c r="AI202" s="1580"/>
      <c r="AJ202" s="95">
        <f>IF(AL214=0,0,(AL202/AL214)*AK193*1000)</f>
        <v>0</v>
      </c>
      <c r="AK202" s="105">
        <f>IF(AL214=0, 0, (AB202*AG202)/(AL214*AK193))</f>
        <v>0</v>
      </c>
      <c r="AL202" s="97" cm="1">
        <f t="array" ref="AL202">IFERROR(_xlfn.XLOOKUP(UPPER(TRIM(AF202)),UPPER(TRIM(AB215:AP215)),AB216:AP216,_xlfn.XLOOKUP(UPPER(TRIM(AF202)),UPPER(TRIM(AB217:AP217)),AB218:AP218,0))*AE202*IF(AB202&gt;0,AB202,1),0)</f>
        <v>0</v>
      </c>
      <c r="AM202" s="106">
        <f>IF(AO189&lt;&gt;0,AB202*AG202*AG189,0)</f>
        <v>0</v>
      </c>
      <c r="AN202" s="1747">
        <f t="shared" si="54"/>
        <v>0</v>
      </c>
      <c r="AO202" s="99">
        <f>IF(OR(ISBLANK(AO189),AO189=0),0,AL202*AG202*AG189)</f>
        <v>0</v>
      </c>
      <c r="AP202" s="1367" t="str">
        <f>IF(AF202="","",IF(COUNTIF(AI215:AP215,SUBSTITUTE(TRIM(AF202)," (s)",""))+COUNTIF(AI217:AP217,SUBSTITUTE(TRIM(AF202)," (s)",""))&gt;0,IF(ROUND(AO202,3)&gt;=1,ROUND(AO202,3)&amp;" L",MAX(1,ROUND(AO202*100,0))&amp;" cl"),IF(COUNTIF(AB215:AG215,SUBSTITUTE(TRIM(AF202)," (s)",""))+COUNTIF(AB217:AG217,SUBSTITUTE(TRIM(AF202)," (s)",""))&gt;0,IF(ROUND(AO202,3)&gt;=1,ROUND(AO202,3)&amp;" Kg",MAX(1,ROUND(AO202*1000,0))&amp;" g"),"")))</f>
        <v/>
      </c>
      <c r="AR202" s="103" t="str">
        <f t="shared" si="55"/>
        <v>►</v>
      </c>
      <c r="AS202" s="31" t="str">
        <f>AS190</f>
        <v>N NOMBRE DE SU RECETA | pegue esto — FAMILIA| Auteur &gt; VOUS</v>
      </c>
      <c r="AT202" s="32">
        <f>AT190</f>
        <v>1</v>
      </c>
      <c r="AU202" s="31" t="str">
        <f>AU190</f>
        <v>coupe</v>
      </c>
      <c r="AV202" s="33" t="str">
        <f>AV190</f>
        <v>Receta madre ► MILLE-FEUILLE  aux fraises des bois</v>
      </c>
      <c r="AW202" s="89"/>
      <c r="AX202" s="108"/>
      <c r="AY202" s="91" t="str">
        <f t="shared" si="51"/>
        <v/>
      </c>
      <c r="AZ202" s="92"/>
      <c r="BA202" s="128"/>
      <c r="BB202" s="130">
        <v>1</v>
      </c>
      <c r="BC202" s="1813" t="str">
        <f>ROWS(BC194:BC202)&amp;" ►"</f>
        <v>9 ►</v>
      </c>
      <c r="BD202" s="1580"/>
      <c r="BE202" s="95">
        <f>IF(BG214=0,0,(BG202/BG214)*BF193*1000)</f>
        <v>0</v>
      </c>
      <c r="BF202" s="105">
        <f>IF(BG214=0, 0, (AW202*BB202)/(BG214*BF193))</f>
        <v>0</v>
      </c>
      <c r="BG202" s="97" cm="1">
        <f t="array" ref="BG202">IFERROR(_xlfn.XLOOKUP(UPPER(TRIM(BA202)),UPPER(TRIM(AW215:BK215)),AW216:BK216,_xlfn.XLOOKUP(UPPER(TRIM(BA202)),UPPER(TRIM(AW217:BK217)),AW218:BK218,0))*AZ202*IF(AW202&gt;0,AW202,1),0)</f>
        <v>0</v>
      </c>
      <c r="BH202" s="106">
        <f>IF(BJ189&lt;&gt;0,AW202*BB202*BB189,0)</f>
        <v>0</v>
      </c>
      <c r="BI202" s="1747">
        <f t="shared" si="56"/>
        <v>0</v>
      </c>
      <c r="BJ202" s="99">
        <f>IF(OR(ISBLANK(BJ189),BJ189=0),0,BG202*BB202*BB189)</f>
        <v>0</v>
      </c>
      <c r="BK202" s="1367" t="str">
        <f>IF(BA202="","",IF(COUNTIF(BD215:BK215,SUBSTITUTE(TRIM(BA202)," (s)",""))+COUNTIF(BD217:BK217,SUBSTITUTE(TRIM(BA202)," (s)",""))&gt;0,IF(ROUND(BJ202,3)&gt;=1,ROUND(BJ202,3)&amp;" L",MAX(1,ROUND(BJ202*100,0))&amp;" cl"),IF(COUNTIF(AW215:BB215,SUBSTITUTE(TRIM(BA202)," (s)",""))+COUNTIF(AW217:BB217,SUBSTITUTE(TRIM(BA202)," (s)",""))&gt;0,IF(ROUND(BJ202,3)&gt;=1,ROUND(BJ202,3)&amp;" Kg",MAX(1,ROUND(BJ202*1000,0))&amp;" g"),"")))</f>
        <v/>
      </c>
      <c r="BM202" s="3">
        <v>1</v>
      </c>
    </row>
    <row r="203" spans="2:65" ht="21" customHeight="1">
      <c r="B203" s="103" t="str">
        <f t="shared" si="57"/>
        <v>►</v>
      </c>
      <c r="C203" s="31" t="str">
        <f>C190</f>
        <v>N NOM DE VOTRE RECETTE | collez la--FAMILLE| Auteur &gt; VOUS</v>
      </c>
      <c r="D203" s="32">
        <f>D190</f>
        <v>1</v>
      </c>
      <c r="E203" s="31" t="str">
        <f>E190</f>
        <v>coupe</v>
      </c>
      <c r="F203" s="33" t="str">
        <f>F190</f>
        <v>Recette mère ► MILLE-FEUILLE  aux fraises des bois</v>
      </c>
      <c r="G203" s="89"/>
      <c r="H203" s="108"/>
      <c r="I203" s="91" t="str">
        <f t="shared" si="49"/>
        <v/>
      </c>
      <c r="J203" s="92"/>
      <c r="K203" s="128"/>
      <c r="L203" s="130">
        <v>1</v>
      </c>
      <c r="M203" s="1813" t="str">
        <f>ROWS(M194:M203)&amp;" ►"</f>
        <v>10 ►</v>
      </c>
      <c r="N203" s="1580"/>
      <c r="O203" s="95">
        <f>IF(Q214=0,0,(Q203/Q214)*P193*1000)</f>
        <v>0</v>
      </c>
      <c r="P203" s="105">
        <f>IF(Q214=0, 0, (G203*L203)/(Q214*P193))</f>
        <v>0</v>
      </c>
      <c r="Q203" s="97" cm="1">
        <f t="array" ref="Q203">IFERROR(_xlfn.XLOOKUP(UPPER(TRIM(K203)),UPPER(TRIM(G215:U215)),G216:U216,_xlfn.XLOOKUP(UPPER(TRIM(K203)),UPPER(TRIM(G217:U217)),G218:U218,0))*J203*IF(G203&gt;0,G203,1),0)</f>
        <v>0</v>
      </c>
      <c r="R203" s="110">
        <f>IF(T189&lt;&gt;0,G203*L203*L189,0)</f>
        <v>0</v>
      </c>
      <c r="S203" s="1748">
        <f t="shared" si="52"/>
        <v>0</v>
      </c>
      <c r="T203" s="99">
        <f>IF(OR(ISBLANK(T189),T189=0),0,Q203*L203*L189)</f>
        <v>0</v>
      </c>
      <c r="U203" s="1617" t="str">
        <f>IF(K203="","",IF(COUNTIF(N215:U215,SUBSTITUTE(TRIM(K203)," (s)",""))+COUNTIF(N217:U217,SUBSTITUTE(TRIM(K203)," (s)",""))&gt;0,IF(ROUND(T203,3)&gt;=1,ROUND(T203,3)&amp;" L",MAX(1,ROUND(T203*100,0))&amp;" cl"),IF(COUNTIF(G215:L215,SUBSTITUTE(TRIM(K203)," (s)",""))+COUNTIF(G217:L217,SUBSTITUTE(TRIM(K203)," (s)",""))&gt;0,IF(ROUND(T203,3)&gt;=1,ROUND(T203,3)&amp;" Kg",MAX(1,ROUND(T203*1000,0))&amp;" g"),"")))</f>
        <v/>
      </c>
      <c r="W203" s="103" t="str">
        <f t="shared" si="53"/>
        <v>►</v>
      </c>
      <c r="X203" s="31" t="str">
        <f>X190</f>
        <v>N NAME OF YOUR RECIPE | paste it — FAMILY|  Author &gt; YOU</v>
      </c>
      <c r="Y203" s="32">
        <f>Y190</f>
        <v>1</v>
      </c>
      <c r="Z203" s="31" t="str">
        <f>Z190</f>
        <v>coupe</v>
      </c>
      <c r="AA203" s="33" t="str">
        <f>AA190</f>
        <v>Master recipe ► MILLE-FEUILLE  aux fraises des bois</v>
      </c>
      <c r="AB203" s="89"/>
      <c r="AC203" s="108"/>
      <c r="AD203" s="91" t="str">
        <f t="shared" si="50"/>
        <v/>
      </c>
      <c r="AE203" s="92"/>
      <c r="AF203" s="128"/>
      <c r="AG203" s="130">
        <v>1</v>
      </c>
      <c r="AH203" s="1813" t="str">
        <f>ROWS(AH194:AH203)&amp;" ►"</f>
        <v>10 ►</v>
      </c>
      <c r="AI203" s="1580"/>
      <c r="AJ203" s="95">
        <f>IF(AL214=0,0,(AL203/AL214)*AK193*1000)</f>
        <v>0</v>
      </c>
      <c r="AK203" s="105">
        <f>IF(AL214=0, 0, (AB203*AG203)/(AL214*AK193))</f>
        <v>0</v>
      </c>
      <c r="AL203" s="97" cm="1">
        <f t="array" ref="AL203">IFERROR(_xlfn.XLOOKUP(UPPER(TRIM(AF203)),UPPER(TRIM(AB215:AP215)),AB216:AP216,_xlfn.XLOOKUP(UPPER(TRIM(AF203)),UPPER(TRIM(AB217:AP217)),AB218:AP218,0))*AE203*IF(AB203&gt;0,AB203,1),0)</f>
        <v>0</v>
      </c>
      <c r="AM203" s="110">
        <f>IF(AO189&lt;&gt;0,AB203*AG203*AG189,0)</f>
        <v>0</v>
      </c>
      <c r="AN203" s="1748">
        <f t="shared" si="54"/>
        <v>0</v>
      </c>
      <c r="AO203" s="99">
        <f>IF(OR(ISBLANK(AO189),AO189=0),0,AL203*AG203*AG189)</f>
        <v>0</v>
      </c>
      <c r="AP203" s="1617" t="str">
        <f>IF(AF203="","",IF(COUNTIF(AI215:AP215,SUBSTITUTE(TRIM(AF203)," (s)",""))+COUNTIF(AI217:AP217,SUBSTITUTE(TRIM(AF203)," (s)",""))&gt;0,IF(ROUND(AO203,3)&gt;=1,ROUND(AO203,3)&amp;" L",MAX(1,ROUND(AO203*100,0))&amp;" cl"),IF(COUNTIF(AB215:AG215,SUBSTITUTE(TRIM(AF203)," (s)",""))+COUNTIF(AB217:AG217,SUBSTITUTE(TRIM(AF203)," (s)",""))&gt;0,IF(ROUND(AO203,3)&gt;=1,ROUND(AO203,3)&amp;" Kg",MAX(1,ROUND(AO203*1000,0))&amp;" g"),"")))</f>
        <v/>
      </c>
      <c r="AR203" s="103" t="str">
        <f t="shared" si="55"/>
        <v>►</v>
      </c>
      <c r="AS203" s="31" t="str">
        <f>AS190</f>
        <v>N NOMBRE DE SU RECETA | pegue esto — FAMILIA| Auteur &gt; VOUS</v>
      </c>
      <c r="AT203" s="32">
        <f>AT190</f>
        <v>1</v>
      </c>
      <c r="AU203" s="31" t="str">
        <f>AU190</f>
        <v>coupe</v>
      </c>
      <c r="AV203" s="33" t="str">
        <f>AV190</f>
        <v>Receta madre ► MILLE-FEUILLE  aux fraises des bois</v>
      </c>
      <c r="AW203" s="89"/>
      <c r="AX203" s="108"/>
      <c r="AY203" s="91" t="str">
        <f t="shared" si="51"/>
        <v/>
      </c>
      <c r="AZ203" s="92"/>
      <c r="BA203" s="128"/>
      <c r="BB203" s="130">
        <v>1</v>
      </c>
      <c r="BC203" s="1813" t="str">
        <f>ROWS(BC194:BC203)&amp;" ►"</f>
        <v>10 ►</v>
      </c>
      <c r="BD203" s="1580"/>
      <c r="BE203" s="95">
        <f>IF(BG214=0,0,(BG203/BG214)*BF193*1000)</f>
        <v>0</v>
      </c>
      <c r="BF203" s="105">
        <f>IF(BG214=0, 0, (AW203*BB203)/(BG214*BF193))</f>
        <v>0</v>
      </c>
      <c r="BG203" s="97" cm="1">
        <f t="array" ref="BG203">IFERROR(_xlfn.XLOOKUP(UPPER(TRIM(BA203)),UPPER(TRIM(AW215:BK215)),AW216:BK216,_xlfn.XLOOKUP(UPPER(TRIM(BA203)),UPPER(TRIM(AW217:BK217)),AW218:BK218,0))*AZ203*IF(AW203&gt;0,AW203,1),0)</f>
        <v>0</v>
      </c>
      <c r="BH203" s="110">
        <f>IF(BJ189&lt;&gt;0,AW203*BB203*BB189,0)</f>
        <v>0</v>
      </c>
      <c r="BI203" s="1748">
        <f t="shared" si="56"/>
        <v>0</v>
      </c>
      <c r="BJ203" s="99">
        <f>IF(OR(ISBLANK(BJ189),BJ189=0),0,BG203*BB203*BB189)</f>
        <v>0</v>
      </c>
      <c r="BK203" s="1617" t="str">
        <f>IF(BA203="","",IF(COUNTIF(BD215:BK215,SUBSTITUTE(TRIM(BA203)," (s)",""))+COUNTIF(BD217:BK217,SUBSTITUTE(TRIM(BA203)," (s)",""))&gt;0,IF(ROUND(BJ203,3)&gt;=1,ROUND(BJ203,3)&amp;" L",MAX(1,ROUND(BJ203*100,0))&amp;" cl"),IF(COUNTIF(AW215:BB215,SUBSTITUTE(TRIM(BA203)," (s)",""))+COUNTIF(AW217:BB217,SUBSTITUTE(TRIM(BA203)," (s)",""))&gt;0,IF(ROUND(BJ203,3)&gt;=1,ROUND(BJ203,3)&amp;" Kg",MAX(1,ROUND(BJ203*1000,0))&amp;" g"),"")))</f>
        <v/>
      </c>
      <c r="BM203" s="3">
        <v>1</v>
      </c>
    </row>
    <row r="204" spans="2:65" ht="21" customHeight="1">
      <c r="B204" s="103" t="str">
        <f t="shared" si="57"/>
        <v>►</v>
      </c>
      <c r="C204" s="31" t="str">
        <f>C190</f>
        <v>N NOM DE VOTRE RECETTE | collez la--FAMILLE| Auteur &gt; VOUS</v>
      </c>
      <c r="D204" s="32">
        <f>D190</f>
        <v>1</v>
      </c>
      <c r="E204" s="31" t="str">
        <f>E190</f>
        <v>coupe</v>
      </c>
      <c r="F204" s="33" t="str">
        <f>F190</f>
        <v>Recette mère ► MILLE-FEUILLE  aux fraises des bois</v>
      </c>
      <c r="G204" s="89"/>
      <c r="H204" s="108"/>
      <c r="I204" s="91" t="str">
        <f t="shared" si="49"/>
        <v/>
      </c>
      <c r="J204" s="92"/>
      <c r="K204" s="128"/>
      <c r="L204" s="130">
        <v>1</v>
      </c>
      <c r="M204" s="1813" t="str">
        <f>ROWS(M194:M204)&amp;" ►"</f>
        <v>11 ►</v>
      </c>
      <c r="N204" s="1580"/>
      <c r="O204" s="95">
        <f>IF(Q214=0,0,(Q204/Q214)*P193*1000)</f>
        <v>0</v>
      </c>
      <c r="P204" s="105">
        <f>IF(Q214=0, 0, (G204*L204)/(Q214*P193))</f>
        <v>0</v>
      </c>
      <c r="Q204" s="97" cm="1">
        <f t="array" ref="Q204">IFERROR(_xlfn.XLOOKUP(UPPER(TRIM(K204)),UPPER(TRIM(G215:U215)),G216:U216,_xlfn.XLOOKUP(UPPER(TRIM(K204)),UPPER(TRIM(G217:U217)),G218:U218,0))*J204*IF(G204&gt;0,G204,1),0)</f>
        <v>0</v>
      </c>
      <c r="R204" s="106">
        <f>IF(T189&lt;&gt;0,G204*L204*L189,0)</f>
        <v>0</v>
      </c>
      <c r="S204" s="1747">
        <f t="shared" si="52"/>
        <v>0</v>
      </c>
      <c r="T204" s="99">
        <f>IF(OR(ISBLANK(T189),T189=0),0,Q204*L204*L189)</f>
        <v>0</v>
      </c>
      <c r="U204" s="1367" t="str">
        <f>IF(K204="","",IF(COUNTIF(N215:U215,SUBSTITUTE(TRIM(K204)," (s)",""))+COUNTIF(N217:U217,SUBSTITUTE(TRIM(K204)," (s)",""))&gt;0,IF(ROUND(T204,3)&gt;=1,ROUND(T204,3)&amp;" L",MAX(1,ROUND(T204*100,0))&amp;" cl"),IF(COUNTIF(G215:L215,SUBSTITUTE(TRIM(K204)," (s)",""))+COUNTIF(G217:L217,SUBSTITUTE(TRIM(K204)," (s)",""))&gt;0,IF(ROUND(T204,3)&gt;=1,ROUND(T204,3)&amp;" Kg",MAX(1,ROUND(T204*1000,0))&amp;" g"),"")))</f>
        <v/>
      </c>
      <c r="W204" s="103" t="str">
        <f t="shared" si="53"/>
        <v>►</v>
      </c>
      <c r="X204" s="31" t="str">
        <f>X190</f>
        <v>N NAME OF YOUR RECIPE | paste it — FAMILY|  Author &gt; YOU</v>
      </c>
      <c r="Y204" s="32">
        <f>Y190</f>
        <v>1</v>
      </c>
      <c r="Z204" s="31" t="str">
        <f>Z190</f>
        <v>coupe</v>
      </c>
      <c r="AA204" s="33" t="str">
        <f>AA190</f>
        <v>Master recipe ► MILLE-FEUILLE  aux fraises des bois</v>
      </c>
      <c r="AB204" s="89"/>
      <c r="AC204" s="108"/>
      <c r="AD204" s="91" t="str">
        <f t="shared" si="50"/>
        <v/>
      </c>
      <c r="AE204" s="92"/>
      <c r="AF204" s="128"/>
      <c r="AG204" s="130">
        <v>1</v>
      </c>
      <c r="AH204" s="1813" t="str">
        <f>ROWS(AH194:AH204)&amp;" ►"</f>
        <v>11 ►</v>
      </c>
      <c r="AI204" s="1580"/>
      <c r="AJ204" s="95">
        <f>IF(AL214=0,0,(AL204/AL214)*AK193*1000)</f>
        <v>0</v>
      </c>
      <c r="AK204" s="105">
        <f>IF(AL214=0, 0, (AB204*AG204)/(AL214*AK193))</f>
        <v>0</v>
      </c>
      <c r="AL204" s="97" cm="1">
        <f t="array" ref="AL204">IFERROR(_xlfn.XLOOKUP(UPPER(TRIM(AF204)),UPPER(TRIM(AB215:AP215)),AB216:AP216,_xlfn.XLOOKUP(UPPER(TRIM(AF204)),UPPER(TRIM(AB217:AP217)),AB218:AP218,0))*AE204*IF(AB204&gt;0,AB204,1),0)</f>
        <v>0</v>
      </c>
      <c r="AM204" s="106">
        <f>IF(AO189&lt;&gt;0,AB204*AG204*AG189,0)</f>
        <v>0</v>
      </c>
      <c r="AN204" s="1747">
        <f t="shared" si="54"/>
        <v>0</v>
      </c>
      <c r="AO204" s="99">
        <f>IF(OR(ISBLANK(AO189),AO189=0),0,AL204*AG204*AG189)</f>
        <v>0</v>
      </c>
      <c r="AP204" s="1367" t="str">
        <f>IF(AF204="","",IF(COUNTIF(AI215:AP215,SUBSTITUTE(TRIM(AF204)," (s)",""))+COUNTIF(AI217:AP217,SUBSTITUTE(TRIM(AF204)," (s)",""))&gt;0,IF(ROUND(AO204,3)&gt;=1,ROUND(AO204,3)&amp;" L",MAX(1,ROUND(AO204*100,0))&amp;" cl"),IF(COUNTIF(AB215:AG215,SUBSTITUTE(TRIM(AF204)," (s)",""))+COUNTIF(AB217:AG217,SUBSTITUTE(TRIM(AF204)," (s)",""))&gt;0,IF(ROUND(AO204,3)&gt;=1,ROUND(AO204,3)&amp;" Kg",MAX(1,ROUND(AO204*1000,0))&amp;" g"),"")))</f>
        <v/>
      </c>
      <c r="AR204" s="103" t="str">
        <f t="shared" si="55"/>
        <v>►</v>
      </c>
      <c r="AS204" s="31" t="str">
        <f>AS190</f>
        <v>N NOMBRE DE SU RECETA | pegue esto — FAMILIA| Auteur &gt; VOUS</v>
      </c>
      <c r="AT204" s="32">
        <f>AT190</f>
        <v>1</v>
      </c>
      <c r="AU204" s="31" t="str">
        <f>AU190</f>
        <v>coupe</v>
      </c>
      <c r="AV204" s="33" t="str">
        <f>AV190</f>
        <v>Receta madre ► MILLE-FEUILLE  aux fraises des bois</v>
      </c>
      <c r="AW204" s="89"/>
      <c r="AX204" s="108"/>
      <c r="AY204" s="91" t="str">
        <f t="shared" si="51"/>
        <v/>
      </c>
      <c r="AZ204" s="92"/>
      <c r="BA204" s="128"/>
      <c r="BB204" s="130">
        <v>1</v>
      </c>
      <c r="BC204" s="1813" t="str">
        <f>ROWS(BC194:BC204)&amp;" ►"</f>
        <v>11 ►</v>
      </c>
      <c r="BD204" s="1580"/>
      <c r="BE204" s="95">
        <f>IF(BG214=0,0,(BG204/BG214)*BF193*1000)</f>
        <v>0</v>
      </c>
      <c r="BF204" s="105">
        <f>IF(BG214=0, 0, (AW204*BB204)/(BG214*BF193))</f>
        <v>0</v>
      </c>
      <c r="BG204" s="97" cm="1">
        <f t="array" ref="BG204">IFERROR(_xlfn.XLOOKUP(UPPER(TRIM(BA204)),UPPER(TRIM(AW215:BK215)),AW216:BK216,_xlfn.XLOOKUP(UPPER(TRIM(BA204)),UPPER(TRIM(AW217:BK217)),AW218:BK218,0))*AZ204*IF(AW204&gt;0,AW204,1),0)</f>
        <v>0</v>
      </c>
      <c r="BH204" s="106">
        <f>IF(BJ189&lt;&gt;0,AW204*BB204*BB189,0)</f>
        <v>0</v>
      </c>
      <c r="BI204" s="1747">
        <f t="shared" si="56"/>
        <v>0</v>
      </c>
      <c r="BJ204" s="99">
        <f>IF(OR(ISBLANK(BJ189),BJ189=0),0,BG204*BB204*BB189)</f>
        <v>0</v>
      </c>
      <c r="BK204" s="1367" t="str">
        <f>IF(BA204="","",IF(COUNTIF(BD215:BK215,SUBSTITUTE(TRIM(BA204)," (s)",""))+COUNTIF(BD217:BK217,SUBSTITUTE(TRIM(BA204)," (s)",""))&gt;0,IF(ROUND(BJ204,3)&gt;=1,ROUND(BJ204,3)&amp;" L",MAX(1,ROUND(BJ204*100,0))&amp;" cl"),IF(COUNTIF(AW215:BB215,SUBSTITUTE(TRIM(BA204)," (s)",""))+COUNTIF(AW217:BB217,SUBSTITUTE(TRIM(BA204)," (s)",""))&gt;0,IF(ROUND(BJ204,3)&gt;=1,ROUND(BJ204,3)&amp;" Kg",MAX(1,ROUND(BJ204*1000,0))&amp;" g"),"")))</f>
        <v/>
      </c>
      <c r="BM204" s="3">
        <v>1</v>
      </c>
    </row>
    <row r="205" spans="2:65" ht="21" customHeight="1">
      <c r="B205" s="103" t="str">
        <f t="shared" si="57"/>
        <v>►</v>
      </c>
      <c r="C205" s="31" t="str">
        <f>C190</f>
        <v>N NOM DE VOTRE RECETTE | collez la--FAMILLE| Auteur &gt; VOUS</v>
      </c>
      <c r="D205" s="32">
        <f>D190</f>
        <v>1</v>
      </c>
      <c r="E205" s="31" t="str">
        <f>E190</f>
        <v>coupe</v>
      </c>
      <c r="F205" s="33" t="str">
        <f>F190</f>
        <v>Recette mère ► MILLE-FEUILLE  aux fraises des bois</v>
      </c>
      <c r="G205" s="89"/>
      <c r="H205" s="108"/>
      <c r="I205" s="91" t="str">
        <f t="shared" si="49"/>
        <v/>
      </c>
      <c r="J205" s="92"/>
      <c r="K205" s="128"/>
      <c r="L205" s="130">
        <v>1</v>
      </c>
      <c r="M205" s="1813" t="str">
        <f>ROWS(M194:M205)&amp;" ►"</f>
        <v>12 ►</v>
      </c>
      <c r="N205" s="1580"/>
      <c r="O205" s="95">
        <f>IF(Q214=0,0,(Q205/Q214)*P193*1000)</f>
        <v>0</v>
      </c>
      <c r="P205" s="105">
        <f>IF(Q214=0, 0, (G205*L205)/(Q214*P193))</f>
        <v>0</v>
      </c>
      <c r="Q205" s="97" cm="1">
        <f t="array" ref="Q205">IFERROR(_xlfn.XLOOKUP(UPPER(TRIM(K205)),UPPER(TRIM(G215:U215)),G216:U216,_xlfn.XLOOKUP(UPPER(TRIM(K205)),UPPER(TRIM(G217:U217)),G218:U218,0))*J205*IF(G205&gt;0,G205,1),0)</f>
        <v>0</v>
      </c>
      <c r="R205" s="106">
        <f>IF(T189&lt;&gt;0,G205*L205*L189,0)</f>
        <v>0</v>
      </c>
      <c r="S205" s="1747">
        <f t="shared" si="52"/>
        <v>0</v>
      </c>
      <c r="T205" s="99">
        <f>IF(OR(ISBLANK(T189),T189=0),0,Q205*L205*L189)</f>
        <v>0</v>
      </c>
      <c r="U205" s="1367" t="str">
        <f>IF(K205="","",IF(COUNTIF(N215:U215,SUBSTITUTE(TRIM(K205)," (s)",""))+COUNTIF(N217:U217,SUBSTITUTE(TRIM(K205)," (s)",""))&gt;0,IF(ROUND(T205,3)&gt;=1,ROUND(T205,3)&amp;" L",MAX(1,ROUND(T205*100,0))&amp;" cl"),IF(COUNTIF(G215:L215,SUBSTITUTE(TRIM(K205)," (s)",""))+COUNTIF(G217:L217,SUBSTITUTE(TRIM(K205)," (s)",""))&gt;0,IF(ROUND(T205,3)&gt;=1,ROUND(T205,3)&amp;" Kg",MAX(1,ROUND(T205*1000,0))&amp;" g"),"")))</f>
        <v/>
      </c>
      <c r="W205" s="103" t="str">
        <f t="shared" si="53"/>
        <v>►</v>
      </c>
      <c r="X205" s="31" t="str">
        <f>X190</f>
        <v>N NAME OF YOUR RECIPE | paste it — FAMILY|  Author &gt; YOU</v>
      </c>
      <c r="Y205" s="32">
        <f>Y190</f>
        <v>1</v>
      </c>
      <c r="Z205" s="31" t="str">
        <f>Z190</f>
        <v>coupe</v>
      </c>
      <c r="AA205" s="33" t="str">
        <f>AA190</f>
        <v>Master recipe ► MILLE-FEUILLE  aux fraises des bois</v>
      </c>
      <c r="AB205" s="89"/>
      <c r="AC205" s="108"/>
      <c r="AD205" s="91" t="str">
        <f t="shared" si="50"/>
        <v/>
      </c>
      <c r="AE205" s="92"/>
      <c r="AF205" s="128"/>
      <c r="AG205" s="130">
        <v>1</v>
      </c>
      <c r="AH205" s="1813" t="str">
        <f>ROWS(AH194:AH205)&amp;" ►"</f>
        <v>12 ►</v>
      </c>
      <c r="AI205" s="1580"/>
      <c r="AJ205" s="95">
        <f>IF(AL214=0,0,(AL205/AL214)*AK193*1000)</f>
        <v>0</v>
      </c>
      <c r="AK205" s="105">
        <f>IF(AL214=0, 0, (AB205*AG205)/(AL214*AK193))</f>
        <v>0</v>
      </c>
      <c r="AL205" s="97" cm="1">
        <f t="array" ref="AL205">IFERROR(_xlfn.XLOOKUP(UPPER(TRIM(AF205)),UPPER(TRIM(AB215:AP215)),AB216:AP216,_xlfn.XLOOKUP(UPPER(TRIM(AF205)),UPPER(TRIM(AB217:AP217)),AB218:AP218,0))*AE205*IF(AB205&gt;0,AB205,1),0)</f>
        <v>0</v>
      </c>
      <c r="AM205" s="106">
        <f>IF(AO189&lt;&gt;0,AB205*AG205*AG189,0)</f>
        <v>0</v>
      </c>
      <c r="AN205" s="1747">
        <f t="shared" si="54"/>
        <v>0</v>
      </c>
      <c r="AO205" s="99">
        <f>IF(OR(ISBLANK(AO189),AO189=0),0,AL205*AG205*AG189)</f>
        <v>0</v>
      </c>
      <c r="AP205" s="1367" t="str">
        <f>IF(AF205="","",IF(COUNTIF(AI215:AP215,SUBSTITUTE(TRIM(AF205)," (s)",""))+COUNTIF(AI217:AP217,SUBSTITUTE(TRIM(AF205)," (s)",""))&gt;0,IF(ROUND(AO205,3)&gt;=1,ROUND(AO205,3)&amp;" L",MAX(1,ROUND(AO205*100,0))&amp;" cl"),IF(COUNTIF(AB215:AG215,SUBSTITUTE(TRIM(AF205)," (s)",""))+COUNTIF(AB217:AG217,SUBSTITUTE(TRIM(AF205)," (s)",""))&gt;0,IF(ROUND(AO205,3)&gt;=1,ROUND(AO205,3)&amp;" Kg",MAX(1,ROUND(AO205*1000,0))&amp;" g"),"")))</f>
        <v/>
      </c>
      <c r="AR205" s="103" t="str">
        <f t="shared" si="55"/>
        <v>►</v>
      </c>
      <c r="AS205" s="31" t="str">
        <f>AS190</f>
        <v>N NOMBRE DE SU RECETA | pegue esto — FAMILIA| Auteur &gt; VOUS</v>
      </c>
      <c r="AT205" s="32">
        <f>AT190</f>
        <v>1</v>
      </c>
      <c r="AU205" s="31" t="str">
        <f>AU190</f>
        <v>coupe</v>
      </c>
      <c r="AV205" s="33" t="str">
        <f>AV190</f>
        <v>Receta madre ► MILLE-FEUILLE  aux fraises des bois</v>
      </c>
      <c r="AW205" s="89"/>
      <c r="AX205" s="108"/>
      <c r="AY205" s="91" t="str">
        <f t="shared" si="51"/>
        <v/>
      </c>
      <c r="AZ205" s="92"/>
      <c r="BA205" s="128"/>
      <c r="BB205" s="130">
        <v>1</v>
      </c>
      <c r="BC205" s="1813" t="str">
        <f>ROWS(BC194:BC205)&amp;" ►"</f>
        <v>12 ►</v>
      </c>
      <c r="BD205" s="1580"/>
      <c r="BE205" s="95">
        <f>IF(BG214=0,0,(BG205/BG214)*BF193*1000)</f>
        <v>0</v>
      </c>
      <c r="BF205" s="105">
        <f>IF(BG214=0, 0, (AW205*BB205)/(BG214*BF193))</f>
        <v>0</v>
      </c>
      <c r="BG205" s="97" cm="1">
        <f t="array" ref="BG205">IFERROR(_xlfn.XLOOKUP(UPPER(TRIM(BA205)),UPPER(TRIM(AW215:BK215)),AW216:BK216,_xlfn.XLOOKUP(UPPER(TRIM(BA205)),UPPER(TRIM(AW217:BK217)),AW218:BK218,0))*AZ205*IF(AW205&gt;0,AW205,1),0)</f>
        <v>0</v>
      </c>
      <c r="BH205" s="106">
        <f>IF(BJ189&lt;&gt;0,AW205*BB205*BB189,0)</f>
        <v>0</v>
      </c>
      <c r="BI205" s="1747">
        <f t="shared" si="56"/>
        <v>0</v>
      </c>
      <c r="BJ205" s="99">
        <f>IF(OR(ISBLANK(BJ189),BJ189=0),0,BG205*BB205*BB189)</f>
        <v>0</v>
      </c>
      <c r="BK205" s="1367" t="str">
        <f>IF(BA205="","",IF(COUNTIF(BD215:BK215,SUBSTITUTE(TRIM(BA205)," (s)",""))+COUNTIF(BD217:BK217,SUBSTITUTE(TRIM(BA205)," (s)",""))&gt;0,IF(ROUND(BJ205,3)&gt;=1,ROUND(BJ205,3)&amp;" L",MAX(1,ROUND(BJ205*100,0))&amp;" cl"),IF(COUNTIF(AW215:BB215,SUBSTITUTE(TRIM(BA205)," (s)",""))+COUNTIF(AW217:BB217,SUBSTITUTE(TRIM(BA205)," (s)",""))&gt;0,IF(ROUND(BJ205,3)&gt;=1,ROUND(BJ205,3)&amp;" Kg",MAX(1,ROUND(BJ205*1000,0))&amp;" g"),"")))</f>
        <v/>
      </c>
      <c r="BM205" s="3">
        <v>1</v>
      </c>
    </row>
    <row r="206" spans="2:65" ht="21" customHeight="1">
      <c r="B206" s="103" t="str">
        <f t="shared" si="57"/>
        <v>►</v>
      </c>
      <c r="C206" s="31" t="str">
        <f>C190</f>
        <v>N NOM DE VOTRE RECETTE | collez la--FAMILLE| Auteur &gt; VOUS</v>
      </c>
      <c r="D206" s="32">
        <f>D190</f>
        <v>1</v>
      </c>
      <c r="E206" s="31" t="str">
        <f>E190</f>
        <v>coupe</v>
      </c>
      <c r="F206" s="33" t="str">
        <f>F190</f>
        <v>Recette mère ► MILLE-FEUILLE  aux fraises des bois</v>
      </c>
      <c r="G206" s="89"/>
      <c r="H206" s="108"/>
      <c r="I206" s="91" t="str">
        <f t="shared" si="49"/>
        <v/>
      </c>
      <c r="J206" s="92"/>
      <c r="K206" s="128"/>
      <c r="L206" s="130">
        <v>1</v>
      </c>
      <c r="M206" s="1813" t="str">
        <f>ROWS(M194:M206)&amp;" ►"</f>
        <v>13 ►</v>
      </c>
      <c r="N206" s="1580"/>
      <c r="O206" s="95">
        <f>IF(Q214=0,0,(Q206/Q214)*P193*1000)</f>
        <v>0</v>
      </c>
      <c r="P206" s="105">
        <f>IF(Q214=0, 0, (G206*L206)/(Q214*P193))</f>
        <v>0</v>
      </c>
      <c r="Q206" s="97" cm="1">
        <f t="array" ref="Q206">IFERROR(_xlfn.XLOOKUP(UPPER(TRIM(K206)),UPPER(TRIM(G215:U215)),G216:U216,_xlfn.XLOOKUP(UPPER(TRIM(K206)),UPPER(TRIM(G217:U217)),G218:U218,0))*J206*IF(G206&gt;0,G206,1),0)</f>
        <v>0</v>
      </c>
      <c r="R206" s="110">
        <f>IF(T189&lt;&gt;0,G206*L206*L189,0)</f>
        <v>0</v>
      </c>
      <c r="S206" s="1748">
        <f t="shared" si="52"/>
        <v>0</v>
      </c>
      <c r="T206" s="99">
        <f>IF(OR(ISBLANK(T189),T189=0),0,Q206*L206*L189)</f>
        <v>0</v>
      </c>
      <c r="U206" s="1617" t="str">
        <f>IF(K206="","",IF(COUNTIF(N215:U215,SUBSTITUTE(TRIM(K206)," (s)",""))+COUNTIF(N217:U217,SUBSTITUTE(TRIM(K206)," (s)",""))&gt;0,IF(ROUND(T206,3)&gt;=1,ROUND(T206,3)&amp;" L",MAX(1,ROUND(T206*100,0))&amp;" cl"),IF(COUNTIF(G215:L215,SUBSTITUTE(TRIM(K206)," (s)",""))+COUNTIF(G217:L217,SUBSTITUTE(TRIM(K206)," (s)",""))&gt;0,IF(ROUND(T206,3)&gt;=1,ROUND(T206,3)&amp;" Kg",MAX(1,ROUND(T206*1000,0))&amp;" g"),"")))</f>
        <v/>
      </c>
      <c r="W206" s="103" t="str">
        <f t="shared" si="53"/>
        <v>►</v>
      </c>
      <c r="X206" s="31" t="str">
        <f>X190</f>
        <v>N NAME OF YOUR RECIPE | paste it — FAMILY|  Author &gt; YOU</v>
      </c>
      <c r="Y206" s="32">
        <f>Y190</f>
        <v>1</v>
      </c>
      <c r="Z206" s="31" t="str">
        <f>Z190</f>
        <v>coupe</v>
      </c>
      <c r="AA206" s="33" t="str">
        <f>AA190</f>
        <v>Master recipe ► MILLE-FEUILLE  aux fraises des bois</v>
      </c>
      <c r="AB206" s="89"/>
      <c r="AC206" s="108"/>
      <c r="AD206" s="91" t="str">
        <f t="shared" si="50"/>
        <v/>
      </c>
      <c r="AE206" s="92"/>
      <c r="AF206" s="128"/>
      <c r="AG206" s="130">
        <v>1</v>
      </c>
      <c r="AH206" s="1813" t="str">
        <f>ROWS(AH194:AH206)&amp;" ►"</f>
        <v>13 ►</v>
      </c>
      <c r="AI206" s="1580"/>
      <c r="AJ206" s="95">
        <f>IF(AL214=0,0,(AL206/AL214)*AK193*1000)</f>
        <v>0</v>
      </c>
      <c r="AK206" s="105">
        <f>IF(AL214=0, 0, (AB206*AG206)/(AL214*AK193))</f>
        <v>0</v>
      </c>
      <c r="AL206" s="97" cm="1">
        <f t="array" ref="AL206">IFERROR(_xlfn.XLOOKUP(UPPER(TRIM(AF206)),UPPER(TRIM(AB215:AP215)),AB216:AP216,_xlfn.XLOOKUP(UPPER(TRIM(AF206)),UPPER(TRIM(AB217:AP217)),AB218:AP218,0))*AE206*IF(AB206&gt;0,AB206,1),0)</f>
        <v>0</v>
      </c>
      <c r="AM206" s="110">
        <f>IF(AO189&lt;&gt;0,AB206*AG206*AG189,0)</f>
        <v>0</v>
      </c>
      <c r="AN206" s="1748">
        <f t="shared" si="54"/>
        <v>0</v>
      </c>
      <c r="AO206" s="99">
        <f>IF(OR(ISBLANK(AO189),AO189=0),0,AL206*AG206*AG189)</f>
        <v>0</v>
      </c>
      <c r="AP206" s="1617" t="str">
        <f>IF(AF206="","",IF(COUNTIF(AI215:AP215,SUBSTITUTE(TRIM(AF206)," (s)",""))+COUNTIF(AI217:AP217,SUBSTITUTE(TRIM(AF206)," (s)",""))&gt;0,IF(ROUND(AO206,3)&gt;=1,ROUND(AO206,3)&amp;" L",MAX(1,ROUND(AO206*100,0))&amp;" cl"),IF(COUNTIF(AB215:AG215,SUBSTITUTE(TRIM(AF206)," (s)",""))+COUNTIF(AB217:AG217,SUBSTITUTE(TRIM(AF206)," (s)",""))&gt;0,IF(ROUND(AO206,3)&gt;=1,ROUND(AO206,3)&amp;" Kg",MAX(1,ROUND(AO206*1000,0))&amp;" g"),"")))</f>
        <v/>
      </c>
      <c r="AR206" s="103" t="str">
        <f t="shared" si="55"/>
        <v>►</v>
      </c>
      <c r="AS206" s="31" t="str">
        <f>AS190</f>
        <v>N NOMBRE DE SU RECETA | pegue esto — FAMILIA| Auteur &gt; VOUS</v>
      </c>
      <c r="AT206" s="32">
        <f>AT190</f>
        <v>1</v>
      </c>
      <c r="AU206" s="31" t="str">
        <f>AU190</f>
        <v>coupe</v>
      </c>
      <c r="AV206" s="33" t="str">
        <f>AV190</f>
        <v>Receta madre ► MILLE-FEUILLE  aux fraises des bois</v>
      </c>
      <c r="AW206" s="89"/>
      <c r="AX206" s="108"/>
      <c r="AY206" s="91" t="str">
        <f t="shared" si="51"/>
        <v/>
      </c>
      <c r="AZ206" s="92"/>
      <c r="BA206" s="128"/>
      <c r="BB206" s="130">
        <v>1</v>
      </c>
      <c r="BC206" s="1813" t="str">
        <f>ROWS(BC194:BC206)&amp;" ►"</f>
        <v>13 ►</v>
      </c>
      <c r="BD206" s="1580"/>
      <c r="BE206" s="95">
        <f>IF(BG214=0,0,(BG206/BG214)*BF193*1000)</f>
        <v>0</v>
      </c>
      <c r="BF206" s="105">
        <f>IF(BG214=0, 0, (AW206*BB206)/(BG214*BF193))</f>
        <v>0</v>
      </c>
      <c r="BG206" s="97" cm="1">
        <f t="array" ref="BG206">IFERROR(_xlfn.XLOOKUP(UPPER(TRIM(BA206)),UPPER(TRIM(AW215:BK215)),AW216:BK216,_xlfn.XLOOKUP(UPPER(TRIM(BA206)),UPPER(TRIM(AW217:BK217)),AW218:BK218,0))*AZ206*IF(AW206&gt;0,AW206,1),0)</f>
        <v>0</v>
      </c>
      <c r="BH206" s="110">
        <f>IF(BJ189&lt;&gt;0,AW206*BB206*BB189,0)</f>
        <v>0</v>
      </c>
      <c r="BI206" s="1748">
        <f t="shared" si="56"/>
        <v>0</v>
      </c>
      <c r="BJ206" s="99">
        <f>IF(OR(ISBLANK(BJ189),BJ189=0),0,BG206*BB206*BB189)</f>
        <v>0</v>
      </c>
      <c r="BK206" s="1617" t="str">
        <f>IF(BA206="","",IF(COUNTIF(BD215:BK215,SUBSTITUTE(TRIM(BA206)," (s)",""))+COUNTIF(BD217:BK217,SUBSTITUTE(TRIM(BA206)," (s)",""))&gt;0,IF(ROUND(BJ206,3)&gt;=1,ROUND(BJ206,3)&amp;" L",MAX(1,ROUND(BJ206*100,0))&amp;" cl"),IF(COUNTIF(AW215:BB215,SUBSTITUTE(TRIM(BA206)," (s)",""))+COUNTIF(AW217:BB217,SUBSTITUTE(TRIM(BA206)," (s)",""))&gt;0,IF(ROUND(BJ206,3)&gt;=1,ROUND(BJ206,3)&amp;" Kg",MAX(1,ROUND(BJ206*1000,0))&amp;" g"),"")))</f>
        <v/>
      </c>
      <c r="BM206" s="3">
        <v>1</v>
      </c>
    </row>
    <row r="207" spans="2:65" ht="21" customHeight="1">
      <c r="B207" s="103" t="str">
        <f t="shared" si="57"/>
        <v>►</v>
      </c>
      <c r="C207" s="31" t="str">
        <f>C190</f>
        <v>N NOM DE VOTRE RECETTE | collez la--FAMILLE| Auteur &gt; VOUS</v>
      </c>
      <c r="D207" s="32">
        <f>D190</f>
        <v>1</v>
      </c>
      <c r="E207" s="31" t="str">
        <f>E190</f>
        <v>coupe</v>
      </c>
      <c r="F207" s="33" t="str">
        <f>F190</f>
        <v>Recette mère ► MILLE-FEUILLE  aux fraises des bois</v>
      </c>
      <c r="G207" s="89"/>
      <c r="H207" s="108"/>
      <c r="I207" s="91" t="str">
        <f t="shared" si="49"/>
        <v/>
      </c>
      <c r="J207" s="92"/>
      <c r="K207" s="128"/>
      <c r="L207" s="130">
        <v>1</v>
      </c>
      <c r="M207" s="1813" t="str">
        <f>ROWS(M194:M207)&amp;" ►"</f>
        <v>14 ►</v>
      </c>
      <c r="N207" s="1580"/>
      <c r="O207" s="95">
        <f>IF(Q214=0,0,(Q207/Q214)*P193*1000)</f>
        <v>0</v>
      </c>
      <c r="P207" s="105">
        <f>IF(Q214=0, 0, (G207*L207)/(Q214*P193))</f>
        <v>0</v>
      </c>
      <c r="Q207" s="97" cm="1">
        <f t="array" ref="Q207">IFERROR(_xlfn.XLOOKUP(UPPER(TRIM(K207)),UPPER(TRIM(G215:U215)),G216:U216,_xlfn.XLOOKUP(UPPER(TRIM(K207)),UPPER(TRIM(G217:U217)),G218:U218,0))*J207*IF(G207&gt;0,G207,1),0)</f>
        <v>0</v>
      </c>
      <c r="R207" s="106">
        <f>IF(T189&lt;&gt;0,G207*L207*L189,0)</f>
        <v>0</v>
      </c>
      <c r="S207" s="1747">
        <f t="shared" si="52"/>
        <v>0</v>
      </c>
      <c r="T207" s="99">
        <f>IF(OR(ISBLANK(T189),T189=0),0,Q207*L207*L189)</f>
        <v>0</v>
      </c>
      <c r="U207" s="1367" t="str">
        <f>IF(K207="","",IF(COUNTIF(N215:U215,SUBSTITUTE(TRIM(K207)," (s)",""))+COUNTIF(N217:U217,SUBSTITUTE(TRIM(K207)," (s)",""))&gt;0,IF(ROUND(T207,3)&gt;=1,ROUND(T207,3)&amp;" L",MAX(1,ROUND(T207*100,0))&amp;" cl"),IF(COUNTIF(G215:L215,SUBSTITUTE(TRIM(K207)," (s)",""))+COUNTIF(G217:L217,SUBSTITUTE(TRIM(K207)," (s)",""))&gt;0,IF(ROUND(T207,3)&gt;=1,ROUND(T207,3)&amp;" Kg",MAX(1,ROUND(T207*1000,0))&amp;" g"),"")))</f>
        <v/>
      </c>
      <c r="W207" s="103" t="str">
        <f t="shared" si="53"/>
        <v>►</v>
      </c>
      <c r="X207" s="31" t="str">
        <f>X190</f>
        <v>N NAME OF YOUR RECIPE | paste it — FAMILY|  Author &gt; YOU</v>
      </c>
      <c r="Y207" s="32">
        <f>Y190</f>
        <v>1</v>
      </c>
      <c r="Z207" s="31" t="str">
        <f>Z190</f>
        <v>coupe</v>
      </c>
      <c r="AA207" s="33" t="str">
        <f>AA190</f>
        <v>Master recipe ► MILLE-FEUILLE  aux fraises des bois</v>
      </c>
      <c r="AB207" s="89"/>
      <c r="AC207" s="108"/>
      <c r="AD207" s="91" t="str">
        <f t="shared" si="50"/>
        <v/>
      </c>
      <c r="AE207" s="92"/>
      <c r="AF207" s="128"/>
      <c r="AG207" s="130">
        <v>1</v>
      </c>
      <c r="AH207" s="1813" t="str">
        <f>ROWS(AH194:AH207)&amp;" ►"</f>
        <v>14 ►</v>
      </c>
      <c r="AI207" s="1580"/>
      <c r="AJ207" s="95">
        <f>IF(AL214=0,0,(AL207/AL214)*AK193*1000)</f>
        <v>0</v>
      </c>
      <c r="AK207" s="105">
        <f>IF(AL214=0, 0, (AB207*AG207)/(AL214*AK193))</f>
        <v>0</v>
      </c>
      <c r="AL207" s="97" cm="1">
        <f t="array" ref="AL207">IFERROR(_xlfn.XLOOKUP(UPPER(TRIM(AF207)),UPPER(TRIM(AB215:AP215)),AB216:AP216,_xlfn.XLOOKUP(UPPER(TRIM(AF207)),UPPER(TRIM(AB217:AP217)),AB218:AP218,0))*AE207*IF(AB207&gt;0,AB207,1),0)</f>
        <v>0</v>
      </c>
      <c r="AM207" s="106">
        <f>IF(AO189&lt;&gt;0,AB207*AG207*AG189,0)</f>
        <v>0</v>
      </c>
      <c r="AN207" s="1747">
        <f t="shared" si="54"/>
        <v>0</v>
      </c>
      <c r="AO207" s="99">
        <f>IF(OR(ISBLANK(AO189),AO189=0),0,AL207*AG207*AG189)</f>
        <v>0</v>
      </c>
      <c r="AP207" s="1367" t="str">
        <f>IF(AF207="","",IF(COUNTIF(AI215:AP215,SUBSTITUTE(TRIM(AF207)," (s)",""))+COUNTIF(AI217:AP217,SUBSTITUTE(TRIM(AF207)," (s)",""))&gt;0,IF(ROUND(AO207,3)&gt;=1,ROUND(AO207,3)&amp;" L",MAX(1,ROUND(AO207*100,0))&amp;" cl"),IF(COUNTIF(AB215:AG215,SUBSTITUTE(TRIM(AF207)," (s)",""))+COUNTIF(AB217:AG217,SUBSTITUTE(TRIM(AF207)," (s)",""))&gt;0,IF(ROUND(AO207,3)&gt;=1,ROUND(AO207,3)&amp;" Kg",MAX(1,ROUND(AO207*1000,0))&amp;" g"),"")))</f>
        <v/>
      </c>
      <c r="AR207" s="103" t="str">
        <f t="shared" si="55"/>
        <v>►</v>
      </c>
      <c r="AS207" s="31" t="str">
        <f>AS190</f>
        <v>N NOMBRE DE SU RECETA | pegue esto — FAMILIA| Auteur &gt; VOUS</v>
      </c>
      <c r="AT207" s="32">
        <f>AT190</f>
        <v>1</v>
      </c>
      <c r="AU207" s="31" t="str">
        <f>AU190</f>
        <v>coupe</v>
      </c>
      <c r="AV207" s="33" t="str">
        <f>AV190</f>
        <v>Receta madre ► MILLE-FEUILLE  aux fraises des bois</v>
      </c>
      <c r="AW207" s="89"/>
      <c r="AX207" s="108"/>
      <c r="AY207" s="91" t="str">
        <f t="shared" si="51"/>
        <v/>
      </c>
      <c r="AZ207" s="92"/>
      <c r="BA207" s="128"/>
      <c r="BB207" s="130">
        <v>1</v>
      </c>
      <c r="BC207" s="1813" t="str">
        <f>ROWS(BC194:BC207)&amp;" ►"</f>
        <v>14 ►</v>
      </c>
      <c r="BD207" s="1580"/>
      <c r="BE207" s="95">
        <f>IF(BG214=0,0,(BG207/BG214)*BF193*1000)</f>
        <v>0</v>
      </c>
      <c r="BF207" s="105">
        <f>IF(BG214=0, 0, (AW207*BB207)/(BG214*BF193))</f>
        <v>0</v>
      </c>
      <c r="BG207" s="97" cm="1">
        <f t="array" ref="BG207">IFERROR(_xlfn.XLOOKUP(UPPER(TRIM(BA207)),UPPER(TRIM(AW215:BK215)),AW216:BK216,_xlfn.XLOOKUP(UPPER(TRIM(BA207)),UPPER(TRIM(AW217:BK217)),AW218:BK218,0))*AZ207*IF(AW207&gt;0,AW207,1),0)</f>
        <v>0</v>
      </c>
      <c r="BH207" s="106">
        <f>IF(BJ189&lt;&gt;0,AW207*BB207*BB189,0)</f>
        <v>0</v>
      </c>
      <c r="BI207" s="1747">
        <f t="shared" si="56"/>
        <v>0</v>
      </c>
      <c r="BJ207" s="99">
        <f>IF(OR(ISBLANK(BJ189),BJ189=0),0,BG207*BB207*BB189)</f>
        <v>0</v>
      </c>
      <c r="BK207" s="1367" t="str">
        <f>IF(BA207="","",IF(COUNTIF(BD215:BK215,SUBSTITUTE(TRIM(BA207)," (s)",""))+COUNTIF(BD217:BK217,SUBSTITUTE(TRIM(BA207)," (s)",""))&gt;0,IF(ROUND(BJ207,3)&gt;=1,ROUND(BJ207,3)&amp;" L",MAX(1,ROUND(BJ207*100,0))&amp;" cl"),IF(COUNTIF(AW215:BB215,SUBSTITUTE(TRIM(BA207)," (s)",""))+COUNTIF(AW217:BB217,SUBSTITUTE(TRIM(BA207)," (s)",""))&gt;0,IF(ROUND(BJ207,3)&gt;=1,ROUND(BJ207,3)&amp;" Kg",MAX(1,ROUND(BJ207*1000,0))&amp;" g"),"")))</f>
        <v/>
      </c>
      <c r="BM207" s="3">
        <v>1</v>
      </c>
    </row>
    <row r="208" spans="2:65" ht="21" customHeight="1">
      <c r="B208" s="103" t="str">
        <f t="shared" si="57"/>
        <v>►</v>
      </c>
      <c r="C208" s="31" t="str">
        <f>C190</f>
        <v>N NOM DE VOTRE RECETTE | collez la--FAMILLE| Auteur &gt; VOUS</v>
      </c>
      <c r="D208" s="32">
        <f>D190</f>
        <v>1</v>
      </c>
      <c r="E208" s="31" t="str">
        <f>E190</f>
        <v>coupe</v>
      </c>
      <c r="F208" s="33" t="str">
        <f>F190</f>
        <v>Recette mère ► MILLE-FEUILLE  aux fraises des bois</v>
      </c>
      <c r="G208" s="89"/>
      <c r="H208" s="108"/>
      <c r="I208" s="91" t="str">
        <f t="shared" si="49"/>
        <v/>
      </c>
      <c r="J208" s="92"/>
      <c r="K208" s="128"/>
      <c r="L208" s="130">
        <v>1</v>
      </c>
      <c r="M208" s="1813" t="str">
        <f>ROWS(M194:M208)&amp;" ►"</f>
        <v>15 ►</v>
      </c>
      <c r="N208" s="1580"/>
      <c r="O208" s="95">
        <f>IF(Q214=0,0,(Q208/Q214)*P193*1000)</f>
        <v>0</v>
      </c>
      <c r="P208" s="105">
        <f>IF(Q214=0, 0, (G208*L208)/(Q214*P193))</f>
        <v>0</v>
      </c>
      <c r="Q208" s="97" cm="1">
        <f t="array" ref="Q208">IFERROR(_xlfn.XLOOKUP(UPPER(TRIM(K208)),UPPER(TRIM(G215:U215)),G216:U216,_xlfn.XLOOKUP(UPPER(TRIM(K208)),UPPER(TRIM(G217:U217)),G218:U218,0))*J208*IF(G208&gt;0,G208,1),0)</f>
        <v>0</v>
      </c>
      <c r="R208" s="110">
        <f>IF(T189&lt;&gt;0,G208*L208*L189,0)</f>
        <v>0</v>
      </c>
      <c r="S208" s="1748">
        <f t="shared" si="52"/>
        <v>0</v>
      </c>
      <c r="T208" s="99">
        <f>IF(OR(ISBLANK(T189),T189=0),0,Q208*L208*L189)</f>
        <v>0</v>
      </c>
      <c r="U208" s="1617" t="str">
        <f>IF(K208="","",IF(COUNTIF(N215:U215,SUBSTITUTE(TRIM(K208)," (s)",""))+COUNTIF(N217:U217,SUBSTITUTE(TRIM(K208)," (s)",""))&gt;0,IF(ROUND(T208,3)&gt;=1,ROUND(T208,3)&amp;" L",MAX(1,ROUND(T208*100,0))&amp;" cl"),IF(COUNTIF(G215:L215,SUBSTITUTE(TRIM(K208)," (s)",""))+COUNTIF(G217:L217,SUBSTITUTE(TRIM(K208)," (s)",""))&gt;0,IF(ROUND(T208,3)&gt;=1,ROUND(T208,3)&amp;" Kg",MAX(1,ROUND(T208*1000,0))&amp;" g"),"")))</f>
        <v/>
      </c>
      <c r="W208" s="103" t="str">
        <f t="shared" si="53"/>
        <v>►</v>
      </c>
      <c r="X208" s="31" t="str">
        <f>X190</f>
        <v>N NAME OF YOUR RECIPE | paste it — FAMILY|  Author &gt; YOU</v>
      </c>
      <c r="Y208" s="32">
        <f>Y190</f>
        <v>1</v>
      </c>
      <c r="Z208" s="31" t="str">
        <f>Z190</f>
        <v>coupe</v>
      </c>
      <c r="AA208" s="33" t="str">
        <f>AA190</f>
        <v>Master recipe ► MILLE-FEUILLE  aux fraises des bois</v>
      </c>
      <c r="AB208" s="89"/>
      <c r="AC208" s="108"/>
      <c r="AD208" s="91" t="str">
        <f t="shared" si="50"/>
        <v/>
      </c>
      <c r="AE208" s="92"/>
      <c r="AF208" s="128"/>
      <c r="AG208" s="130">
        <v>1</v>
      </c>
      <c r="AH208" s="1813" t="str">
        <f>ROWS(AH194:AH208)&amp;" ►"</f>
        <v>15 ►</v>
      </c>
      <c r="AI208" s="1580"/>
      <c r="AJ208" s="95">
        <f>IF(AL214=0,0,(AL208/AL214)*AK193*1000)</f>
        <v>0</v>
      </c>
      <c r="AK208" s="105">
        <f>IF(AL214=0, 0, (AB208*AG208)/(AL214*AK193))</f>
        <v>0</v>
      </c>
      <c r="AL208" s="97" cm="1">
        <f t="array" ref="AL208">IFERROR(_xlfn.XLOOKUP(UPPER(TRIM(AF208)),UPPER(TRIM(AB215:AP215)),AB216:AP216,_xlfn.XLOOKUP(UPPER(TRIM(AF208)),UPPER(TRIM(AB217:AP217)),AB218:AP218,0))*AE208*IF(AB208&gt;0,AB208,1),0)</f>
        <v>0</v>
      </c>
      <c r="AM208" s="110">
        <f>IF(AO189&lt;&gt;0,AB208*AG208*AG189,0)</f>
        <v>0</v>
      </c>
      <c r="AN208" s="1748">
        <f t="shared" si="54"/>
        <v>0</v>
      </c>
      <c r="AO208" s="99">
        <f>IF(OR(ISBLANK(AO189),AO189=0),0,AL208*AG208*AG189)</f>
        <v>0</v>
      </c>
      <c r="AP208" s="1617" t="str">
        <f>IF(AF208="","",IF(COUNTIF(AI215:AP215,SUBSTITUTE(TRIM(AF208)," (s)",""))+COUNTIF(AI217:AP217,SUBSTITUTE(TRIM(AF208)," (s)",""))&gt;0,IF(ROUND(AO208,3)&gt;=1,ROUND(AO208,3)&amp;" L",MAX(1,ROUND(AO208*100,0))&amp;" cl"),IF(COUNTIF(AB215:AG215,SUBSTITUTE(TRIM(AF208)," (s)",""))+COUNTIF(AB217:AG217,SUBSTITUTE(TRIM(AF208)," (s)",""))&gt;0,IF(ROUND(AO208,3)&gt;=1,ROUND(AO208,3)&amp;" Kg",MAX(1,ROUND(AO208*1000,0))&amp;" g"),"")))</f>
        <v/>
      </c>
      <c r="AR208" s="103" t="str">
        <f t="shared" si="55"/>
        <v>►</v>
      </c>
      <c r="AS208" s="31" t="str">
        <f>AS190</f>
        <v>N NOMBRE DE SU RECETA | pegue esto — FAMILIA| Auteur &gt; VOUS</v>
      </c>
      <c r="AT208" s="32">
        <f>AT190</f>
        <v>1</v>
      </c>
      <c r="AU208" s="31" t="str">
        <f>AU190</f>
        <v>coupe</v>
      </c>
      <c r="AV208" s="33" t="str">
        <f>AV190</f>
        <v>Receta madre ► MILLE-FEUILLE  aux fraises des bois</v>
      </c>
      <c r="AW208" s="89"/>
      <c r="AX208" s="108"/>
      <c r="AY208" s="91" t="str">
        <f t="shared" si="51"/>
        <v/>
      </c>
      <c r="AZ208" s="92"/>
      <c r="BA208" s="128"/>
      <c r="BB208" s="130">
        <v>1</v>
      </c>
      <c r="BC208" s="1813" t="str">
        <f>ROWS(BC194:BC208)&amp;" ►"</f>
        <v>15 ►</v>
      </c>
      <c r="BD208" s="1580"/>
      <c r="BE208" s="95">
        <f>IF(BG214=0,0,(BG208/BG214)*BF193*1000)</f>
        <v>0</v>
      </c>
      <c r="BF208" s="105">
        <f>IF(BG214=0, 0, (AW208*BB208)/(BG214*BF193))</f>
        <v>0</v>
      </c>
      <c r="BG208" s="97" cm="1">
        <f t="array" ref="BG208">IFERROR(_xlfn.XLOOKUP(UPPER(TRIM(BA208)),UPPER(TRIM(AW215:BK215)),AW216:BK216,_xlfn.XLOOKUP(UPPER(TRIM(BA208)),UPPER(TRIM(AW217:BK217)),AW218:BK218,0))*AZ208*IF(AW208&gt;0,AW208,1),0)</f>
        <v>0</v>
      </c>
      <c r="BH208" s="110">
        <f>IF(BJ189&lt;&gt;0,AW208*BB208*BB189,0)</f>
        <v>0</v>
      </c>
      <c r="BI208" s="1748">
        <f t="shared" si="56"/>
        <v>0</v>
      </c>
      <c r="BJ208" s="99">
        <f>IF(OR(ISBLANK(BJ189),BJ189=0),0,BG208*BB208*BB189)</f>
        <v>0</v>
      </c>
      <c r="BK208" s="1617" t="str">
        <f>IF(BA208="","",IF(COUNTIF(BD215:BK215,SUBSTITUTE(TRIM(BA208)," (s)",""))+COUNTIF(BD217:BK217,SUBSTITUTE(TRIM(BA208)," (s)",""))&gt;0,IF(ROUND(BJ208,3)&gt;=1,ROUND(BJ208,3)&amp;" L",MAX(1,ROUND(BJ208*100,0))&amp;" cl"),IF(COUNTIF(AW215:BB215,SUBSTITUTE(TRIM(BA208)," (s)",""))+COUNTIF(AW217:BB217,SUBSTITUTE(TRIM(BA208)," (s)",""))&gt;0,IF(ROUND(BJ208,3)&gt;=1,ROUND(BJ208,3)&amp;" Kg",MAX(1,ROUND(BJ208*1000,0))&amp;" g"),"")))</f>
        <v/>
      </c>
      <c r="BM208" s="3">
        <v>1</v>
      </c>
    </row>
    <row r="209" spans="2:65" ht="21" customHeight="1">
      <c r="B209" s="103" t="str">
        <f t="shared" si="57"/>
        <v>►</v>
      </c>
      <c r="C209" s="31" t="str">
        <f>C190</f>
        <v>N NOM DE VOTRE RECETTE | collez la--FAMILLE| Auteur &gt; VOUS</v>
      </c>
      <c r="D209" s="32">
        <f>D190</f>
        <v>1</v>
      </c>
      <c r="E209" s="31" t="str">
        <f>E190</f>
        <v>coupe</v>
      </c>
      <c r="F209" s="33" t="str">
        <f>F190</f>
        <v>Recette mère ► MILLE-FEUILLE  aux fraises des bois</v>
      </c>
      <c r="G209" s="89"/>
      <c r="H209" s="108"/>
      <c r="I209" s="91" t="str">
        <f t="shared" si="49"/>
        <v/>
      </c>
      <c r="J209" s="92"/>
      <c r="K209" s="128"/>
      <c r="L209" s="130">
        <v>1</v>
      </c>
      <c r="M209" s="1813" t="str">
        <f>ROWS(M194:M209)&amp;" ►"</f>
        <v>16 ►</v>
      </c>
      <c r="N209" s="1580"/>
      <c r="O209" s="95">
        <f>IF(Q214=0,0,(Q209/Q214)*P193*1000)</f>
        <v>0</v>
      </c>
      <c r="P209" s="105">
        <f>IF(Q214=0, 0, (G209*L209)/(Q214*P193))</f>
        <v>0</v>
      </c>
      <c r="Q209" s="97" cm="1">
        <f t="array" ref="Q209">IFERROR(_xlfn.XLOOKUP(UPPER(TRIM(K209)),UPPER(TRIM(G215:U215)),G216:U216,_xlfn.XLOOKUP(UPPER(TRIM(K209)),UPPER(TRIM(G217:U217)),G218:U218,0))*J209*IF(G209&gt;0,G209,1),0)</f>
        <v>0</v>
      </c>
      <c r="R209" s="106">
        <f>IF(T189&lt;&gt;0,G209*L209*L189,0)</f>
        <v>0</v>
      </c>
      <c r="S209" s="1747">
        <f t="shared" si="52"/>
        <v>0</v>
      </c>
      <c r="T209" s="99">
        <f>IF(OR(ISBLANK(T189),T189=0),0,Q209*L209*L189)</f>
        <v>0</v>
      </c>
      <c r="U209" s="1367" t="str">
        <f>IF(K209="","",IF(COUNTIF(N215:U215,SUBSTITUTE(TRIM(K209)," (s)",""))+COUNTIF(N217:U217,SUBSTITUTE(TRIM(K209)," (s)",""))&gt;0,IF(ROUND(T209,3)&gt;=1,ROUND(T209,3)&amp;" L",MAX(1,ROUND(T209*100,0))&amp;" cl"),IF(COUNTIF(G215:L215,SUBSTITUTE(TRIM(K209)," (s)",""))+COUNTIF(G217:L217,SUBSTITUTE(TRIM(K209)," (s)",""))&gt;0,IF(ROUND(T209,3)&gt;=1,ROUND(T209,3)&amp;" Kg",MAX(1,ROUND(T209*1000,0))&amp;" g"),"")))</f>
        <v/>
      </c>
      <c r="W209" s="103" t="str">
        <f t="shared" si="53"/>
        <v>►</v>
      </c>
      <c r="X209" s="31" t="str">
        <f>X190</f>
        <v>N NAME OF YOUR RECIPE | paste it — FAMILY|  Author &gt; YOU</v>
      </c>
      <c r="Y209" s="32">
        <f>Y190</f>
        <v>1</v>
      </c>
      <c r="Z209" s="31" t="str">
        <f>Z190</f>
        <v>coupe</v>
      </c>
      <c r="AA209" s="33" t="str">
        <f>AA190</f>
        <v>Master recipe ► MILLE-FEUILLE  aux fraises des bois</v>
      </c>
      <c r="AB209" s="89"/>
      <c r="AC209" s="108"/>
      <c r="AD209" s="91" t="str">
        <f t="shared" si="50"/>
        <v/>
      </c>
      <c r="AE209" s="92"/>
      <c r="AF209" s="128"/>
      <c r="AG209" s="130">
        <v>1</v>
      </c>
      <c r="AH209" s="1813" t="str">
        <f>ROWS(AH194:AH209)&amp;" ►"</f>
        <v>16 ►</v>
      </c>
      <c r="AI209" s="1580"/>
      <c r="AJ209" s="95">
        <f>IF(AL214=0,0,(AL209/AL214)*AK193*1000)</f>
        <v>0</v>
      </c>
      <c r="AK209" s="105">
        <f>IF(AL214=0, 0, (AB209*AG209)/(AL214*AK193))</f>
        <v>0</v>
      </c>
      <c r="AL209" s="97" cm="1">
        <f t="array" ref="AL209">IFERROR(_xlfn.XLOOKUP(UPPER(TRIM(AF209)),UPPER(TRIM(AB215:AP215)),AB216:AP216,_xlfn.XLOOKUP(UPPER(TRIM(AF209)),UPPER(TRIM(AB217:AP217)),AB218:AP218,0))*AE209*IF(AB209&gt;0,AB209,1),0)</f>
        <v>0</v>
      </c>
      <c r="AM209" s="106">
        <f>IF(AO189&lt;&gt;0,AB209*AG209*AG189,0)</f>
        <v>0</v>
      </c>
      <c r="AN209" s="1747">
        <f t="shared" si="54"/>
        <v>0</v>
      </c>
      <c r="AO209" s="99">
        <f>IF(OR(ISBLANK(AO189),AO189=0),0,AL209*AG209*AG189)</f>
        <v>0</v>
      </c>
      <c r="AP209" s="1367" t="str">
        <f>IF(AF209="","",IF(COUNTIF(AI215:AP215,SUBSTITUTE(TRIM(AF209)," (s)",""))+COUNTIF(AI217:AP217,SUBSTITUTE(TRIM(AF209)," (s)",""))&gt;0,IF(ROUND(AO209,3)&gt;=1,ROUND(AO209,3)&amp;" L",MAX(1,ROUND(AO209*100,0))&amp;" cl"),IF(COUNTIF(AB215:AG215,SUBSTITUTE(TRIM(AF209)," (s)",""))+COUNTIF(AB217:AG217,SUBSTITUTE(TRIM(AF209)," (s)",""))&gt;0,IF(ROUND(AO209,3)&gt;=1,ROUND(AO209,3)&amp;" Kg",MAX(1,ROUND(AO209*1000,0))&amp;" g"),"")))</f>
        <v/>
      </c>
      <c r="AR209" s="103" t="str">
        <f t="shared" si="55"/>
        <v>►</v>
      </c>
      <c r="AS209" s="31" t="str">
        <f>AS190</f>
        <v>N NOMBRE DE SU RECETA | pegue esto — FAMILIA| Auteur &gt; VOUS</v>
      </c>
      <c r="AT209" s="32">
        <f>AT190</f>
        <v>1</v>
      </c>
      <c r="AU209" s="31" t="str">
        <f>AU190</f>
        <v>coupe</v>
      </c>
      <c r="AV209" s="33" t="str">
        <f>AV190</f>
        <v>Receta madre ► MILLE-FEUILLE  aux fraises des bois</v>
      </c>
      <c r="AW209" s="89"/>
      <c r="AX209" s="108"/>
      <c r="AY209" s="91" t="str">
        <f t="shared" si="51"/>
        <v/>
      </c>
      <c r="AZ209" s="92"/>
      <c r="BA209" s="128"/>
      <c r="BB209" s="130">
        <v>1</v>
      </c>
      <c r="BC209" s="1813" t="str">
        <f>ROWS(BC194:BC209)&amp;" ►"</f>
        <v>16 ►</v>
      </c>
      <c r="BD209" s="1580"/>
      <c r="BE209" s="95">
        <f>IF(BG214=0,0,(BG209/BG214)*BF193*1000)</f>
        <v>0</v>
      </c>
      <c r="BF209" s="105">
        <f>IF(BG214=0, 0, (AW209*BB209)/(BG214*BF193))</f>
        <v>0</v>
      </c>
      <c r="BG209" s="97" cm="1">
        <f t="array" ref="BG209">IFERROR(_xlfn.XLOOKUP(UPPER(TRIM(BA209)),UPPER(TRIM(AW215:BK215)),AW216:BK216,_xlfn.XLOOKUP(UPPER(TRIM(BA209)),UPPER(TRIM(AW217:BK217)),AW218:BK218,0))*AZ209*IF(AW209&gt;0,AW209,1),0)</f>
        <v>0</v>
      </c>
      <c r="BH209" s="106">
        <f>IF(BJ189&lt;&gt;0,AW209*BB209*BB189,0)</f>
        <v>0</v>
      </c>
      <c r="BI209" s="1747">
        <f t="shared" si="56"/>
        <v>0</v>
      </c>
      <c r="BJ209" s="99">
        <f>IF(OR(ISBLANK(BJ189),BJ189=0),0,BG209*BB209*BB189)</f>
        <v>0</v>
      </c>
      <c r="BK209" s="1367" t="str">
        <f>IF(BA209="","",IF(COUNTIF(BD215:BK215,SUBSTITUTE(TRIM(BA209)," (s)",""))+COUNTIF(BD217:BK217,SUBSTITUTE(TRIM(BA209)," (s)",""))&gt;0,IF(ROUND(BJ209,3)&gt;=1,ROUND(BJ209,3)&amp;" L",MAX(1,ROUND(BJ209*100,0))&amp;" cl"),IF(COUNTIF(AW215:BB215,SUBSTITUTE(TRIM(BA209)," (s)",""))+COUNTIF(AW217:BB217,SUBSTITUTE(TRIM(BA209)," (s)",""))&gt;0,IF(ROUND(BJ209,3)&gt;=1,ROUND(BJ209,3)&amp;" Kg",MAX(1,ROUND(BJ209*1000,0))&amp;" g"),"")))</f>
        <v/>
      </c>
      <c r="BM209" s="3">
        <v>1</v>
      </c>
    </row>
    <row r="210" spans="2:65" ht="21" customHeight="1">
      <c r="B210" s="103" t="str">
        <f t="shared" si="57"/>
        <v>►</v>
      </c>
      <c r="C210" s="31" t="str">
        <f>C190</f>
        <v>N NOM DE VOTRE RECETTE | collez la--FAMILLE| Auteur &gt; VOUS</v>
      </c>
      <c r="D210" s="32">
        <f>D190</f>
        <v>1</v>
      </c>
      <c r="E210" s="31" t="str">
        <f>E190</f>
        <v>coupe</v>
      </c>
      <c r="F210" s="33" t="str">
        <f>F190</f>
        <v>Recette mère ► MILLE-FEUILLE  aux fraises des bois</v>
      </c>
      <c r="G210" s="89"/>
      <c r="H210" s="108"/>
      <c r="I210" s="91" t="str">
        <f t="shared" si="49"/>
        <v/>
      </c>
      <c r="J210" s="92"/>
      <c r="K210" s="128"/>
      <c r="L210" s="130">
        <v>1</v>
      </c>
      <c r="M210" s="1813" t="str">
        <f>ROWS(M194:M210)&amp;" ►"</f>
        <v>17 ►</v>
      </c>
      <c r="N210" s="1580"/>
      <c r="O210" s="95">
        <f>IF(Q214=0,0,(Q210/Q214)*P193*1000)</f>
        <v>0</v>
      </c>
      <c r="P210" s="105">
        <f>IF(Q214=0, 0, (G210*L210)/(Q214*P193))</f>
        <v>0</v>
      </c>
      <c r="Q210" s="97" cm="1">
        <f t="array" ref="Q210">IFERROR(_xlfn.XLOOKUP(UPPER(TRIM(K210)),UPPER(TRIM(G215:U215)),G216:U216,_xlfn.XLOOKUP(UPPER(TRIM(K210)),UPPER(TRIM(G217:U217)),G218:U218,0))*J210*IF(G210&gt;0,G210,1),0)</f>
        <v>0</v>
      </c>
      <c r="R210" s="110">
        <f>IF(T189&lt;&gt;0,G210*L210*L189,0)</f>
        <v>0</v>
      </c>
      <c r="S210" s="1748">
        <f t="shared" si="52"/>
        <v>0</v>
      </c>
      <c r="T210" s="99">
        <f>IF(OR(ISBLANK(T189),T189=0),0,Q210*L210*L189)</f>
        <v>0</v>
      </c>
      <c r="U210" s="1617" t="str">
        <f>IF(K210="","",IF(COUNTIF(N215:U215,SUBSTITUTE(TRIM(K210)," (s)",""))+COUNTIF(N217:U217,SUBSTITUTE(TRIM(K210)," (s)",""))&gt;0,IF(ROUND(T210,3)&gt;=1,ROUND(T210,3)&amp;" L",MAX(1,ROUND(T210*100,0))&amp;" cl"),IF(COUNTIF(G215:L215,SUBSTITUTE(TRIM(K210)," (s)",""))+COUNTIF(G217:L217,SUBSTITUTE(TRIM(K210)," (s)",""))&gt;0,IF(ROUND(T210,3)&gt;=1,ROUND(T210,3)&amp;" Kg",MAX(1,ROUND(T210*1000,0))&amp;" g"),"")))</f>
        <v/>
      </c>
      <c r="W210" s="103" t="str">
        <f t="shared" si="53"/>
        <v>►</v>
      </c>
      <c r="X210" s="31" t="str">
        <f>X190</f>
        <v>N NAME OF YOUR RECIPE | paste it — FAMILY|  Author &gt; YOU</v>
      </c>
      <c r="Y210" s="32">
        <f>Y190</f>
        <v>1</v>
      </c>
      <c r="Z210" s="31" t="str">
        <f>Z190</f>
        <v>coupe</v>
      </c>
      <c r="AA210" s="33" t="str">
        <f>AA190</f>
        <v>Master recipe ► MILLE-FEUILLE  aux fraises des bois</v>
      </c>
      <c r="AB210" s="89"/>
      <c r="AC210" s="108"/>
      <c r="AD210" s="91" t="str">
        <f t="shared" si="50"/>
        <v/>
      </c>
      <c r="AE210" s="92"/>
      <c r="AF210" s="128"/>
      <c r="AG210" s="130">
        <v>1</v>
      </c>
      <c r="AH210" s="1813" t="str">
        <f>ROWS(AH194:AH210)&amp;" ►"</f>
        <v>17 ►</v>
      </c>
      <c r="AI210" s="1580"/>
      <c r="AJ210" s="95">
        <f>IF(AL214=0,0,(AL210/AL214)*AK193*1000)</f>
        <v>0</v>
      </c>
      <c r="AK210" s="105">
        <f>IF(AL214=0, 0, (AB210*AG210)/(AL214*AK193))</f>
        <v>0</v>
      </c>
      <c r="AL210" s="97" cm="1">
        <f t="array" ref="AL210">IFERROR(_xlfn.XLOOKUP(UPPER(TRIM(AF210)),UPPER(TRIM(AB215:AP215)),AB216:AP216,_xlfn.XLOOKUP(UPPER(TRIM(AF210)),UPPER(TRIM(AB217:AP217)),AB218:AP218,0))*AE210*IF(AB210&gt;0,AB210,1),0)</f>
        <v>0</v>
      </c>
      <c r="AM210" s="110">
        <f>IF(AO189&lt;&gt;0,AB210*AG210*AG189,0)</f>
        <v>0</v>
      </c>
      <c r="AN210" s="1748">
        <f t="shared" si="54"/>
        <v>0</v>
      </c>
      <c r="AO210" s="99">
        <f>IF(OR(ISBLANK(AO189),AO189=0),0,AL210*AG210*AG189)</f>
        <v>0</v>
      </c>
      <c r="AP210" s="1617" t="str">
        <f>IF(AF210="","",IF(COUNTIF(AI215:AP215,SUBSTITUTE(TRIM(AF210)," (s)",""))+COUNTIF(AI217:AP217,SUBSTITUTE(TRIM(AF210)," (s)",""))&gt;0,IF(ROUND(AO210,3)&gt;=1,ROUND(AO210,3)&amp;" L",MAX(1,ROUND(AO210*100,0))&amp;" cl"),IF(COUNTIF(AB215:AG215,SUBSTITUTE(TRIM(AF210)," (s)",""))+COUNTIF(AB217:AG217,SUBSTITUTE(TRIM(AF210)," (s)",""))&gt;0,IF(ROUND(AO210,3)&gt;=1,ROUND(AO210,3)&amp;" Kg",MAX(1,ROUND(AO210*1000,0))&amp;" g"),"")))</f>
        <v/>
      </c>
      <c r="AR210" s="103" t="str">
        <f t="shared" si="55"/>
        <v>►</v>
      </c>
      <c r="AS210" s="31" t="str">
        <f>AS190</f>
        <v>N NOMBRE DE SU RECETA | pegue esto — FAMILIA| Auteur &gt; VOUS</v>
      </c>
      <c r="AT210" s="32">
        <f>AT190</f>
        <v>1</v>
      </c>
      <c r="AU210" s="31" t="str">
        <f>AU190</f>
        <v>coupe</v>
      </c>
      <c r="AV210" s="33" t="str">
        <f>AV190</f>
        <v>Receta madre ► MILLE-FEUILLE  aux fraises des bois</v>
      </c>
      <c r="AW210" s="89"/>
      <c r="AX210" s="108"/>
      <c r="AY210" s="91" t="str">
        <f t="shared" si="51"/>
        <v/>
      </c>
      <c r="AZ210" s="92"/>
      <c r="BA210" s="128"/>
      <c r="BB210" s="130">
        <v>1</v>
      </c>
      <c r="BC210" s="1813" t="str">
        <f>ROWS(BC194:BC210)&amp;" ►"</f>
        <v>17 ►</v>
      </c>
      <c r="BD210" s="1580"/>
      <c r="BE210" s="95">
        <f>IF(BG214=0,0,(BG210/BG214)*BF193*1000)</f>
        <v>0</v>
      </c>
      <c r="BF210" s="105">
        <f>IF(BG214=0, 0, (AW210*BB210)/(BG214*BF193))</f>
        <v>0</v>
      </c>
      <c r="BG210" s="97" cm="1">
        <f t="array" ref="BG210">IFERROR(_xlfn.XLOOKUP(UPPER(TRIM(BA210)),UPPER(TRIM(AW215:BK215)),AW216:BK216,_xlfn.XLOOKUP(UPPER(TRIM(BA210)),UPPER(TRIM(AW217:BK217)),AW218:BK218,0))*AZ210*IF(AW210&gt;0,AW210,1),0)</f>
        <v>0</v>
      </c>
      <c r="BH210" s="110">
        <f>IF(BJ189&lt;&gt;0,AW210*BB210*BB189,0)</f>
        <v>0</v>
      </c>
      <c r="BI210" s="1748">
        <f t="shared" si="56"/>
        <v>0</v>
      </c>
      <c r="BJ210" s="99">
        <f>IF(OR(ISBLANK(BJ189),BJ189=0),0,BG210*BB210*BB189)</f>
        <v>0</v>
      </c>
      <c r="BK210" s="1617" t="str">
        <f>IF(BA210="","",IF(COUNTIF(BD215:BK215,SUBSTITUTE(TRIM(BA210)," (s)",""))+COUNTIF(BD217:BK217,SUBSTITUTE(TRIM(BA210)," (s)",""))&gt;0,IF(ROUND(BJ210,3)&gt;=1,ROUND(BJ210,3)&amp;" L",MAX(1,ROUND(BJ210*100,0))&amp;" cl"),IF(COUNTIF(AW215:BB215,SUBSTITUTE(TRIM(BA210)," (s)",""))+COUNTIF(AW217:BB217,SUBSTITUTE(TRIM(BA210)," (s)",""))&gt;0,IF(ROUND(BJ210,3)&gt;=1,ROUND(BJ210,3)&amp;" Kg",MAX(1,ROUND(BJ210*1000,0))&amp;" g"),"")))</f>
        <v/>
      </c>
      <c r="BM210" s="3">
        <v>1</v>
      </c>
    </row>
    <row r="211" spans="2:65" ht="21" customHeight="1">
      <c r="B211" s="103" t="str">
        <f t="shared" si="57"/>
        <v>►</v>
      </c>
      <c r="C211" s="31" t="str">
        <f>C190</f>
        <v>N NOM DE VOTRE RECETTE | collez la--FAMILLE| Auteur &gt; VOUS</v>
      </c>
      <c r="D211" s="32">
        <f>D190</f>
        <v>1</v>
      </c>
      <c r="E211" s="31" t="str">
        <f>E190</f>
        <v>coupe</v>
      </c>
      <c r="F211" s="33" t="str">
        <f>F190</f>
        <v>Recette mère ► MILLE-FEUILLE  aux fraises des bois</v>
      </c>
      <c r="G211" s="89"/>
      <c r="H211" s="108"/>
      <c r="I211" s="91" t="str">
        <f t="shared" si="49"/>
        <v/>
      </c>
      <c r="J211" s="92"/>
      <c r="K211" s="128"/>
      <c r="L211" s="130">
        <v>1</v>
      </c>
      <c r="M211" s="1813" t="str">
        <f>ROWS(M194:M211)&amp;" ►"</f>
        <v>18 ►</v>
      </c>
      <c r="N211" s="1580"/>
      <c r="O211" s="95">
        <f>IF(Q214=0,0,(Q211/Q214)*P193*1000)</f>
        <v>0</v>
      </c>
      <c r="P211" s="105">
        <f>IF(Q214=0, 0, (G211*L211)/(Q214*P193))</f>
        <v>0</v>
      </c>
      <c r="Q211" s="97" cm="1">
        <f t="array" ref="Q211">IFERROR(_xlfn.XLOOKUP(UPPER(TRIM(K211)),UPPER(TRIM(G215:U215)),G216:U216,_xlfn.XLOOKUP(UPPER(TRIM(K211)),UPPER(TRIM(G217:U217)),G218:U218,0))*J211*IF(G211&gt;0,G211,1),0)</f>
        <v>0</v>
      </c>
      <c r="R211" s="106">
        <f>IF(T189&lt;&gt;0,G211*L211*L189,0)</f>
        <v>0</v>
      </c>
      <c r="S211" s="1747">
        <f t="shared" si="52"/>
        <v>0</v>
      </c>
      <c r="T211" s="99">
        <f>IF(OR(ISBLANK(T189),T189=0),0,Q211*L211*L189)</f>
        <v>0</v>
      </c>
      <c r="U211" s="1367" t="str">
        <f>IF(K211="","",IF(COUNTIF(N215:U215,SUBSTITUTE(TRIM(K211)," (s)",""))+COUNTIF(N217:U217,SUBSTITUTE(TRIM(K211)," (s)",""))&gt;0,IF(ROUND(T211,3)&gt;=1,ROUND(T211,3)&amp;" L",MAX(1,ROUND(T211*100,0))&amp;" cl"),IF(COUNTIF(G215:L215,SUBSTITUTE(TRIM(K211)," (s)",""))+COUNTIF(G217:L217,SUBSTITUTE(TRIM(K211)," (s)",""))&gt;0,IF(ROUND(T211,3)&gt;=1,ROUND(T211,3)&amp;" Kg",MAX(1,ROUND(T211*1000,0))&amp;" g"),"")))</f>
        <v/>
      </c>
      <c r="W211" s="103" t="str">
        <f t="shared" si="53"/>
        <v>►</v>
      </c>
      <c r="X211" s="31" t="str">
        <f>X190</f>
        <v>N NAME OF YOUR RECIPE | paste it — FAMILY|  Author &gt; YOU</v>
      </c>
      <c r="Y211" s="32">
        <f>Y190</f>
        <v>1</v>
      </c>
      <c r="Z211" s="31" t="str">
        <f>Z190</f>
        <v>coupe</v>
      </c>
      <c r="AA211" s="33" t="str">
        <f>AA190</f>
        <v>Master recipe ► MILLE-FEUILLE  aux fraises des bois</v>
      </c>
      <c r="AB211" s="89"/>
      <c r="AC211" s="108"/>
      <c r="AD211" s="91" t="str">
        <f t="shared" si="50"/>
        <v/>
      </c>
      <c r="AE211" s="92"/>
      <c r="AF211" s="128"/>
      <c r="AG211" s="130">
        <v>1</v>
      </c>
      <c r="AH211" s="1813" t="str">
        <f>ROWS(AH194:AH211)&amp;" ►"</f>
        <v>18 ►</v>
      </c>
      <c r="AI211" s="1580"/>
      <c r="AJ211" s="95">
        <f>IF(AL214=0,0,(AL211/AL214)*AK193*1000)</f>
        <v>0</v>
      </c>
      <c r="AK211" s="105">
        <f>IF(AL214=0, 0, (AB211*AG211)/(AL214*AK193))</f>
        <v>0</v>
      </c>
      <c r="AL211" s="97" cm="1">
        <f t="array" ref="AL211">IFERROR(_xlfn.XLOOKUP(UPPER(TRIM(AF211)),UPPER(TRIM(AB215:AP215)),AB216:AP216,_xlfn.XLOOKUP(UPPER(TRIM(AF211)),UPPER(TRIM(AB217:AP217)),AB218:AP218,0))*AE211*IF(AB211&gt;0,AB211,1),0)</f>
        <v>0</v>
      </c>
      <c r="AM211" s="106">
        <f>IF(AO189&lt;&gt;0,AB211*AG211*AG189,0)</f>
        <v>0</v>
      </c>
      <c r="AN211" s="1747">
        <f t="shared" si="54"/>
        <v>0</v>
      </c>
      <c r="AO211" s="99">
        <f>IF(OR(ISBLANK(AO189),AO189=0),0,AL211*AG211*AG189)</f>
        <v>0</v>
      </c>
      <c r="AP211" s="1367" t="str">
        <f>IF(AF211="","",IF(COUNTIF(AI215:AP215,SUBSTITUTE(TRIM(AF211)," (s)",""))+COUNTIF(AI217:AP217,SUBSTITUTE(TRIM(AF211)," (s)",""))&gt;0,IF(ROUND(AO211,3)&gt;=1,ROUND(AO211,3)&amp;" L",MAX(1,ROUND(AO211*100,0))&amp;" cl"),IF(COUNTIF(AB215:AG215,SUBSTITUTE(TRIM(AF211)," (s)",""))+COUNTIF(AB217:AG217,SUBSTITUTE(TRIM(AF211)," (s)",""))&gt;0,IF(ROUND(AO211,3)&gt;=1,ROUND(AO211,3)&amp;" Kg",MAX(1,ROUND(AO211*1000,0))&amp;" g"),"")))</f>
        <v/>
      </c>
      <c r="AR211" s="103" t="str">
        <f t="shared" si="55"/>
        <v>►</v>
      </c>
      <c r="AS211" s="31" t="str">
        <f>AS190</f>
        <v>N NOMBRE DE SU RECETA | pegue esto — FAMILIA| Auteur &gt; VOUS</v>
      </c>
      <c r="AT211" s="32">
        <f>AT190</f>
        <v>1</v>
      </c>
      <c r="AU211" s="31" t="str">
        <f>AU190</f>
        <v>coupe</v>
      </c>
      <c r="AV211" s="33" t="str">
        <f>AV190</f>
        <v>Receta madre ► MILLE-FEUILLE  aux fraises des bois</v>
      </c>
      <c r="AW211" s="89"/>
      <c r="AX211" s="108"/>
      <c r="AY211" s="91" t="str">
        <f t="shared" si="51"/>
        <v/>
      </c>
      <c r="AZ211" s="92"/>
      <c r="BA211" s="128"/>
      <c r="BB211" s="130">
        <v>1</v>
      </c>
      <c r="BC211" s="1813" t="str">
        <f>ROWS(BC194:BC211)&amp;" ►"</f>
        <v>18 ►</v>
      </c>
      <c r="BD211" s="1580"/>
      <c r="BE211" s="95">
        <f>IF(BG214=0,0,(BG211/BG214)*BF193*1000)</f>
        <v>0</v>
      </c>
      <c r="BF211" s="105">
        <f>IF(BG214=0, 0, (AW211*BB211)/(BG214*BF193))</f>
        <v>0</v>
      </c>
      <c r="BG211" s="97" cm="1">
        <f t="array" ref="BG211">IFERROR(_xlfn.XLOOKUP(UPPER(TRIM(BA211)),UPPER(TRIM(AW215:BK215)),AW216:BK216,_xlfn.XLOOKUP(UPPER(TRIM(BA211)),UPPER(TRIM(AW217:BK217)),AW218:BK218,0))*AZ211*IF(AW211&gt;0,AW211,1),0)</f>
        <v>0</v>
      </c>
      <c r="BH211" s="106">
        <f>IF(BJ189&lt;&gt;0,AW211*BB211*BB189,0)</f>
        <v>0</v>
      </c>
      <c r="BI211" s="1747">
        <f t="shared" si="56"/>
        <v>0</v>
      </c>
      <c r="BJ211" s="99">
        <f>IF(OR(ISBLANK(BJ189),BJ189=0),0,BG211*BB211*BB189)</f>
        <v>0</v>
      </c>
      <c r="BK211" s="1367" t="str">
        <f>IF(BA211="","",IF(COUNTIF(BD215:BK215,SUBSTITUTE(TRIM(BA211)," (s)",""))+COUNTIF(BD217:BK217,SUBSTITUTE(TRIM(BA211)," (s)",""))&gt;0,IF(ROUND(BJ211,3)&gt;=1,ROUND(BJ211,3)&amp;" L",MAX(1,ROUND(BJ211*100,0))&amp;" cl"),IF(COUNTIF(AW215:BB215,SUBSTITUTE(TRIM(BA211)," (s)",""))+COUNTIF(AW217:BB217,SUBSTITUTE(TRIM(BA211)," (s)",""))&gt;0,IF(ROUND(BJ211,3)&gt;=1,ROUND(BJ211,3)&amp;" Kg",MAX(1,ROUND(BJ211*1000,0))&amp;" g"),"")))</f>
        <v/>
      </c>
      <c r="BM211" s="3">
        <v>1</v>
      </c>
    </row>
    <row r="212" spans="2:65" ht="21" customHeight="1">
      <c r="B212" s="103" t="str">
        <f t="shared" si="57"/>
        <v>►</v>
      </c>
      <c r="C212" s="31" t="str">
        <f>C190</f>
        <v>N NOM DE VOTRE RECETTE | collez la--FAMILLE| Auteur &gt; VOUS</v>
      </c>
      <c r="D212" s="32">
        <f>D190</f>
        <v>1</v>
      </c>
      <c r="E212" s="31" t="str">
        <f>E190</f>
        <v>coupe</v>
      </c>
      <c r="F212" s="33" t="str">
        <f>F190</f>
        <v>Recette mère ► MILLE-FEUILLE  aux fraises des bois</v>
      </c>
      <c r="G212" s="89"/>
      <c r="H212" s="108"/>
      <c r="I212" s="91" t="str">
        <f t="shared" si="49"/>
        <v/>
      </c>
      <c r="J212" s="92"/>
      <c r="K212" s="128"/>
      <c r="L212" s="130">
        <v>1</v>
      </c>
      <c r="M212" s="1813" t="str">
        <f>ROWS(M194:M212)&amp;" ►"</f>
        <v>19 ►</v>
      </c>
      <c r="N212" s="1580"/>
      <c r="O212" s="95">
        <f>IF(Q214=0,0,(Q212/Q214)*P193*1000)</f>
        <v>0</v>
      </c>
      <c r="P212" s="105">
        <f>IF(Q214=0, 0, (G212*L212)/(Q214*P193))</f>
        <v>0</v>
      </c>
      <c r="Q212" s="97" cm="1">
        <f t="array" ref="Q212">IFERROR(_xlfn.XLOOKUP(UPPER(TRIM(K212)),UPPER(TRIM(G215:U215)),G216:U216,_xlfn.XLOOKUP(UPPER(TRIM(K212)),UPPER(TRIM(G217:U217)),G218:U218,0))*J212*IF(G212&gt;0,G212,1),0)</f>
        <v>0</v>
      </c>
      <c r="R212" s="110">
        <f>IF(T189&lt;&gt;0,G212*L212*L189,0)</f>
        <v>0</v>
      </c>
      <c r="S212" s="1748">
        <f t="shared" si="52"/>
        <v>0</v>
      </c>
      <c r="T212" s="99">
        <f>IF(OR(ISBLANK(T189),T189=0),0,Q212*L212*L189)</f>
        <v>0</v>
      </c>
      <c r="U212" s="1617" t="str">
        <f>IF(K212="","",IF(COUNTIF(N215:U215,SUBSTITUTE(TRIM(K212)," (s)",""))+COUNTIF(N217:U217,SUBSTITUTE(TRIM(K212)," (s)",""))&gt;0,IF(ROUND(T212,3)&gt;=1,ROUND(T212,3)&amp;" L",MAX(1,ROUND(T212*100,0))&amp;" cl"),IF(COUNTIF(G215:L215,SUBSTITUTE(TRIM(K212)," (s)",""))+COUNTIF(G217:L217,SUBSTITUTE(TRIM(K212)," (s)",""))&gt;0,IF(ROUND(T212,3)&gt;=1,ROUND(T212,3)&amp;" Kg",MAX(1,ROUND(T212*1000,0))&amp;" g"),"")))</f>
        <v/>
      </c>
      <c r="W212" s="103" t="str">
        <f t="shared" si="53"/>
        <v>►</v>
      </c>
      <c r="X212" s="31" t="str">
        <f>X190</f>
        <v>N NAME OF YOUR RECIPE | paste it — FAMILY|  Author &gt; YOU</v>
      </c>
      <c r="Y212" s="32">
        <f>Y190</f>
        <v>1</v>
      </c>
      <c r="Z212" s="31" t="str">
        <f>Z190</f>
        <v>coupe</v>
      </c>
      <c r="AA212" s="33" t="str">
        <f>AA190</f>
        <v>Master recipe ► MILLE-FEUILLE  aux fraises des bois</v>
      </c>
      <c r="AB212" s="89"/>
      <c r="AC212" s="108"/>
      <c r="AD212" s="91" t="str">
        <f t="shared" si="50"/>
        <v/>
      </c>
      <c r="AE212" s="92"/>
      <c r="AF212" s="128"/>
      <c r="AG212" s="130">
        <v>1</v>
      </c>
      <c r="AH212" s="1813" t="str">
        <f>ROWS(AH194:AH212)&amp;" ►"</f>
        <v>19 ►</v>
      </c>
      <c r="AI212" s="1580"/>
      <c r="AJ212" s="95">
        <f>IF(AL214=0,0,(AL212/AL214)*AK193*1000)</f>
        <v>0</v>
      </c>
      <c r="AK212" s="105">
        <f>IF(AL214=0, 0, (AB212*AG212)/(AL214*AK193))</f>
        <v>0</v>
      </c>
      <c r="AL212" s="97" cm="1">
        <f t="array" ref="AL212">IFERROR(_xlfn.XLOOKUP(UPPER(TRIM(AF212)),UPPER(TRIM(AB215:AP215)),AB216:AP216,_xlfn.XLOOKUP(UPPER(TRIM(AF212)),UPPER(TRIM(AB217:AP217)),AB218:AP218,0))*AE212*IF(AB212&gt;0,AB212,1),0)</f>
        <v>0</v>
      </c>
      <c r="AM212" s="110">
        <f>IF(AO189&lt;&gt;0,AB212*AG212*AG189,0)</f>
        <v>0</v>
      </c>
      <c r="AN212" s="1748">
        <f t="shared" si="54"/>
        <v>0</v>
      </c>
      <c r="AO212" s="99">
        <f>IF(OR(ISBLANK(AO189),AO189=0),0,AL212*AG212*AG189)</f>
        <v>0</v>
      </c>
      <c r="AP212" s="1617" t="str">
        <f>IF(AF212="","",IF(COUNTIF(AI215:AP215,SUBSTITUTE(TRIM(AF212)," (s)",""))+COUNTIF(AI217:AP217,SUBSTITUTE(TRIM(AF212)," (s)",""))&gt;0,IF(ROUND(AO212,3)&gt;=1,ROUND(AO212,3)&amp;" L",MAX(1,ROUND(AO212*100,0))&amp;" cl"),IF(COUNTIF(AB215:AG215,SUBSTITUTE(TRIM(AF212)," (s)",""))+COUNTIF(AB217:AG217,SUBSTITUTE(TRIM(AF212)," (s)",""))&gt;0,IF(ROUND(AO212,3)&gt;=1,ROUND(AO212,3)&amp;" Kg",MAX(1,ROUND(AO212*1000,0))&amp;" g"),"")))</f>
        <v/>
      </c>
      <c r="AR212" s="103" t="str">
        <f t="shared" si="55"/>
        <v>►</v>
      </c>
      <c r="AS212" s="31" t="str">
        <f>AS190</f>
        <v>N NOMBRE DE SU RECETA | pegue esto — FAMILIA| Auteur &gt; VOUS</v>
      </c>
      <c r="AT212" s="32">
        <f>AT190</f>
        <v>1</v>
      </c>
      <c r="AU212" s="31" t="str">
        <f>AU190</f>
        <v>coupe</v>
      </c>
      <c r="AV212" s="33" t="str">
        <f>AV190</f>
        <v>Receta madre ► MILLE-FEUILLE  aux fraises des bois</v>
      </c>
      <c r="AW212" s="89"/>
      <c r="AX212" s="108"/>
      <c r="AY212" s="91" t="str">
        <f t="shared" si="51"/>
        <v/>
      </c>
      <c r="AZ212" s="92"/>
      <c r="BA212" s="128"/>
      <c r="BB212" s="130">
        <v>1</v>
      </c>
      <c r="BC212" s="1813" t="str">
        <f>ROWS(BC194:BC212)&amp;" ►"</f>
        <v>19 ►</v>
      </c>
      <c r="BD212" s="1580"/>
      <c r="BE212" s="95">
        <f>IF(BG214=0,0,(BG212/BG214)*BF193*1000)</f>
        <v>0</v>
      </c>
      <c r="BF212" s="105">
        <f>IF(BG214=0, 0, (AW212*BB212)/(BG214*BF193))</f>
        <v>0</v>
      </c>
      <c r="BG212" s="97" cm="1">
        <f t="array" ref="BG212">IFERROR(_xlfn.XLOOKUP(UPPER(TRIM(BA212)),UPPER(TRIM(AW215:BK215)),AW216:BK216,_xlfn.XLOOKUP(UPPER(TRIM(BA212)),UPPER(TRIM(AW217:BK217)),AW218:BK218,0))*AZ212*IF(AW212&gt;0,AW212,1),0)</f>
        <v>0</v>
      </c>
      <c r="BH212" s="110">
        <f>IF(BJ189&lt;&gt;0,AW212*BB212*BB189,0)</f>
        <v>0</v>
      </c>
      <c r="BI212" s="1748">
        <f t="shared" si="56"/>
        <v>0</v>
      </c>
      <c r="BJ212" s="99">
        <f>IF(OR(ISBLANK(BJ189),BJ189=0),0,BG212*BB212*BB189)</f>
        <v>0</v>
      </c>
      <c r="BK212" s="1617" t="str">
        <f>IF(BA212="","",IF(COUNTIF(BD215:BK215,SUBSTITUTE(TRIM(BA212)," (s)",""))+COUNTIF(BD217:BK217,SUBSTITUTE(TRIM(BA212)," (s)",""))&gt;0,IF(ROUND(BJ212,3)&gt;=1,ROUND(BJ212,3)&amp;" L",MAX(1,ROUND(BJ212*100,0))&amp;" cl"),IF(COUNTIF(AW215:BB215,SUBSTITUTE(TRIM(BA212)," (s)",""))+COUNTIF(AW217:BB217,SUBSTITUTE(TRIM(BA212)," (s)",""))&gt;0,IF(ROUND(BJ212,3)&gt;=1,ROUND(BJ212,3)&amp;" Kg",MAX(1,ROUND(BJ212*1000,0))&amp;" g"),"")))</f>
        <v/>
      </c>
      <c r="BM212" s="3">
        <v>1</v>
      </c>
    </row>
    <row r="213" spans="2:65" ht="21" customHeight="1">
      <c r="B213" s="25" t="s">
        <v>10</v>
      </c>
      <c r="C213" s="31" t="str">
        <f>C190</f>
        <v>N NOM DE VOTRE RECETTE | collez la--FAMILLE| Auteur &gt; VOUS</v>
      </c>
      <c r="D213" s="32">
        <f>D190</f>
        <v>1</v>
      </c>
      <c r="E213" s="31" t="str">
        <f>E190</f>
        <v>coupe</v>
      </c>
      <c r="F213" s="33" t="str">
        <f>F190</f>
        <v>Recette mère ► MILLE-FEUILLE  aux fraises des bois</v>
      </c>
      <c r="G213" s="1198"/>
      <c r="H213" s="1199"/>
      <c r="I213" s="91" t="str">
        <f t="shared" si="49"/>
        <v/>
      </c>
      <c r="J213" s="1200"/>
      <c r="K213" s="128"/>
      <c r="L213" s="1201">
        <v>1</v>
      </c>
      <c r="M213" s="1813" t="str">
        <f>ROWS(M194:M213)&amp;" ►"</f>
        <v>20 ►</v>
      </c>
      <c r="N213" s="1580"/>
      <c r="O213" s="95">
        <f>IF(Q214=0,0,(Q213/Q214)*P193*1000)</f>
        <v>0</v>
      </c>
      <c r="P213" s="105">
        <f>IF(Q214=0, 0, (G213*L213)/(Q214*P193))</f>
        <v>0</v>
      </c>
      <c r="Q213" s="97" cm="1">
        <f t="array" ref="Q213">IFERROR(_xlfn.XLOOKUP(UPPER(TRIM(K213)),UPPER(TRIM(G215:U215)),G216:U216,_xlfn.XLOOKUP(UPPER(TRIM(K213)),UPPER(TRIM(G217:U217)),G218:U218,0))*J213*IF(G213&gt;0,G213,1),0)</f>
        <v>0</v>
      </c>
      <c r="R213" s="110">
        <f>IF(T189&lt;&gt;0,G213*L213*L189,0)</f>
        <v>0</v>
      </c>
      <c r="S213" s="1748">
        <f t="shared" si="52"/>
        <v>0</v>
      </c>
      <c r="T213" s="99">
        <f>IF(OR(ISBLANK(T189),T189=0),0,Q213*L213*L189)</f>
        <v>0</v>
      </c>
      <c r="U213" s="1617" t="str">
        <f>IF(K213="","",IF(COUNTIF(N215:U215,SUBSTITUTE(TRIM(K213)," (s)",""))+COUNTIF(N217:U217,SUBSTITUTE(TRIM(K213)," (s)",""))&gt;0,IF(ROUND(T213,3)&gt;=1,ROUND(T213,3)&amp;" L",MAX(1,ROUND(T213*100,0))&amp;" cl"),IF(COUNTIF(G215:L215,SUBSTITUTE(TRIM(K213)," (s)",""))+COUNTIF(G217:L217,SUBSTITUTE(TRIM(K213)," (s)",""))&gt;0,IF(ROUND(T213,3)&gt;=1,ROUND(T213,3)&amp;" Kg",MAX(1,ROUND(T213*1000,0))&amp;" g"),"")))</f>
        <v/>
      </c>
      <c r="W213" s="25" t="s">
        <v>10</v>
      </c>
      <c r="X213" s="31" t="str">
        <f>X190</f>
        <v>N NAME OF YOUR RECIPE | paste it — FAMILY|  Author &gt; YOU</v>
      </c>
      <c r="Y213" s="32">
        <f>Y190</f>
        <v>1</v>
      </c>
      <c r="Z213" s="31" t="str">
        <f>Z190</f>
        <v>coupe</v>
      </c>
      <c r="AA213" s="33" t="str">
        <f>AA190</f>
        <v>Master recipe ► MILLE-FEUILLE  aux fraises des bois</v>
      </c>
      <c r="AB213" s="1198"/>
      <c r="AC213" s="1199"/>
      <c r="AD213" s="91" t="str">
        <f t="shared" si="50"/>
        <v/>
      </c>
      <c r="AE213" s="1200"/>
      <c r="AF213" s="128"/>
      <c r="AG213" s="1201">
        <v>1</v>
      </c>
      <c r="AH213" s="1813" t="str">
        <f>ROWS(AH194:AH213)&amp;" ►"</f>
        <v>20 ►</v>
      </c>
      <c r="AI213" s="1580"/>
      <c r="AJ213" s="95">
        <f>IF(AL214=0,0,(AL213/AL214)*AK193*1000)</f>
        <v>0</v>
      </c>
      <c r="AK213" s="105">
        <f>IF(AL214=0, 0, (AB213*AG213)/(AL214*AK193))</f>
        <v>0</v>
      </c>
      <c r="AL213" s="97" cm="1">
        <f t="array" ref="AL213">IFERROR(_xlfn.XLOOKUP(UPPER(TRIM(AF213)),UPPER(TRIM(AB215:AP215)),AB216:AP216,_xlfn.XLOOKUP(UPPER(TRIM(AF213)),UPPER(TRIM(AB217:AP217)),AB218:AP218,0))*AE213*IF(AB213&gt;0,AB213,1),0)</f>
        <v>0</v>
      </c>
      <c r="AM213" s="110">
        <f>IF(AO189&lt;&gt;0,AB213*AG213*AG189,0)</f>
        <v>0</v>
      </c>
      <c r="AN213" s="1748">
        <f t="shared" si="54"/>
        <v>0</v>
      </c>
      <c r="AO213" s="99">
        <f>IF(OR(ISBLANK(AO189),AO189=0),0,AL213*AG213*AG189)</f>
        <v>0</v>
      </c>
      <c r="AP213" s="1617" t="str">
        <f>IF(AF213="","",IF(COUNTIF(AI215:AP215,SUBSTITUTE(TRIM(AF213)," (s)",""))+COUNTIF(AI217:AP217,SUBSTITUTE(TRIM(AF213)," (s)",""))&gt;0,IF(ROUND(AO213,3)&gt;=1,ROUND(AO213,3)&amp;" L",MAX(1,ROUND(AO213*100,0))&amp;" cl"),IF(COUNTIF(AB215:AG215,SUBSTITUTE(TRIM(AF213)," (s)",""))+COUNTIF(AB217:AG217,SUBSTITUTE(TRIM(AF213)," (s)",""))&gt;0,IF(ROUND(AO213,3)&gt;=1,ROUND(AO213,3)&amp;" Kg",MAX(1,ROUND(AO213*1000,0))&amp;" g"),"")))</f>
        <v/>
      </c>
      <c r="AR213" s="25" t="s">
        <v>10</v>
      </c>
      <c r="AS213" s="31" t="str">
        <f>AS190</f>
        <v>N NOMBRE DE SU RECETA | pegue esto — FAMILIA| Auteur &gt; VOUS</v>
      </c>
      <c r="AT213" s="32">
        <f>AT190</f>
        <v>1</v>
      </c>
      <c r="AU213" s="31" t="str">
        <f>AU190</f>
        <v>coupe</v>
      </c>
      <c r="AV213" s="33" t="str">
        <f>AV190</f>
        <v>Receta madre ► MILLE-FEUILLE  aux fraises des bois</v>
      </c>
      <c r="AW213" s="1198"/>
      <c r="AX213" s="1199"/>
      <c r="AY213" s="91" t="str">
        <f t="shared" si="51"/>
        <v/>
      </c>
      <c r="AZ213" s="1200"/>
      <c r="BA213" s="128"/>
      <c r="BB213" s="1201">
        <v>1</v>
      </c>
      <c r="BC213" s="1813" t="str">
        <f>ROWS(BC194:BC213)&amp;" ►"</f>
        <v>20 ►</v>
      </c>
      <c r="BD213" s="1580"/>
      <c r="BE213" s="95">
        <f>IF(BG214=0,0,(BG213/BG214)*BF193*1000)</f>
        <v>0</v>
      </c>
      <c r="BF213" s="105">
        <f>IF(BG214=0, 0, (AW213*BB213)/(BG214*BF193))</f>
        <v>0</v>
      </c>
      <c r="BG213" s="97" cm="1">
        <f t="array" ref="BG213">IFERROR(_xlfn.XLOOKUP(UPPER(TRIM(BA213)),UPPER(TRIM(AW215:BK215)),AW216:BK216,_xlfn.XLOOKUP(UPPER(TRIM(BA213)),UPPER(TRIM(AW217:BK217)),AW218:BK218,0))*AZ213*IF(AW213&gt;0,AW213,1),0)</f>
        <v>0</v>
      </c>
      <c r="BH213" s="110">
        <f>IF(BJ189&lt;&gt;0,AW213*BB213*BB189,0)</f>
        <v>0</v>
      </c>
      <c r="BI213" s="1748">
        <f t="shared" si="56"/>
        <v>0</v>
      </c>
      <c r="BJ213" s="99">
        <f>IF(OR(ISBLANK(BJ189),BJ189=0),0,BG213*BB213*BB189)</f>
        <v>0</v>
      </c>
      <c r="BK213" s="1617" t="str">
        <f>IF(BA213="","",IF(COUNTIF(BD215:BK215,SUBSTITUTE(TRIM(BA213)," (s)",""))+COUNTIF(BD217:BK217,SUBSTITUTE(TRIM(BA213)," (s)",""))&gt;0,IF(ROUND(BJ213,3)&gt;=1,ROUND(BJ213,3)&amp;" L",MAX(1,ROUND(BJ213*100,0))&amp;" cl"),IF(COUNTIF(AW215:BB215,SUBSTITUTE(TRIM(BA213)," (s)",""))+COUNTIF(AW217:BB217,SUBSTITUTE(TRIM(BA213)," (s)",""))&gt;0,IF(ROUND(BJ213,3)&gt;=1,ROUND(BJ213,3)&amp;" Kg",MAX(1,ROUND(BJ213*1000,0))&amp;" g"),"")))</f>
        <v/>
      </c>
      <c r="BM213" s="3">
        <v>1</v>
      </c>
    </row>
    <row r="214" spans="2:65" ht="21" customHeight="1">
      <c r="B214" s="25" t="s">
        <v>10</v>
      </c>
      <c r="C214" s="31" t="str">
        <f>C190</f>
        <v>N NOM DE VOTRE RECETTE | collez la--FAMILLE| Auteur &gt; VOUS</v>
      </c>
      <c r="D214" s="32">
        <f>D190</f>
        <v>1</v>
      </c>
      <c r="E214" s="31" t="str">
        <f>E190</f>
        <v>coupe</v>
      </c>
      <c r="F214" s="33" t="str">
        <f>F190</f>
        <v>Recette mère ► MILLE-FEUILLE  aux fraises des bois</v>
      </c>
      <c r="G214" s="680" t="s">
        <v>8411</v>
      </c>
      <c r="H214" s="474"/>
      <c r="I214" s="474"/>
      <c r="J214" s="474"/>
      <c r="K214" s="474"/>
      <c r="L214" s="681"/>
      <c r="M214" s="681"/>
      <c r="N214" s="1984" t="s">
        <v>8652</v>
      </c>
      <c r="O214" s="682"/>
      <c r="P214" s="682"/>
      <c r="Q214" s="1197">
        <f>SUM(Q194:Q213)</f>
        <v>0</v>
      </c>
      <c r="R214" s="683"/>
      <c r="S214" s="683" t="str">
        <f>"Total " &amp; T191&amp;" &gt;"</f>
        <v>Total Col.19 &gt;</v>
      </c>
      <c r="T214" s="1835">
        <f>SUM(T194:T213)</f>
        <v>0</v>
      </c>
      <c r="U214" s="684"/>
      <c r="W214" s="25" t="s">
        <v>10</v>
      </c>
      <c r="X214" s="31" t="str">
        <f>X190</f>
        <v>N NAME OF YOUR RECIPE | paste it — FAMILY|  Author &gt; YOU</v>
      </c>
      <c r="Y214" s="32">
        <f>Y190</f>
        <v>1</v>
      </c>
      <c r="Z214" s="31" t="str">
        <f>Z190</f>
        <v>coupe</v>
      </c>
      <c r="AA214" s="33" t="str">
        <f>AA190</f>
        <v>Master recipe ► MILLE-FEUILLE  aux fraises des bois</v>
      </c>
      <c r="AB214" s="680" t="s">
        <v>8573</v>
      </c>
      <c r="AC214" s="474"/>
      <c r="AD214" s="474"/>
      <c r="AE214" s="474"/>
      <c r="AF214" s="474"/>
      <c r="AG214" s="681"/>
      <c r="AH214" s="681"/>
      <c r="AI214" s="1984" t="s">
        <v>8653</v>
      </c>
      <c r="AJ214" s="682"/>
      <c r="AK214" s="682"/>
      <c r="AL214" s="1197">
        <f>SUM(AL194:AL213)</f>
        <v>0</v>
      </c>
      <c r="AM214" s="683"/>
      <c r="AN214" s="683" t="str">
        <f>"Total " &amp; AO191&amp;" &gt;"</f>
        <v>Total Col.19 &gt;</v>
      </c>
      <c r="AO214" s="1835">
        <f>SUM(AO194:AO213)</f>
        <v>0</v>
      </c>
      <c r="AP214" s="684"/>
      <c r="AR214" s="25" t="s">
        <v>10</v>
      </c>
      <c r="AS214" s="31" t="str">
        <f>AS190</f>
        <v>N NOMBRE DE SU RECETA | pegue esto — FAMILIA| Auteur &gt; VOUS</v>
      </c>
      <c r="AT214" s="32">
        <f>AT190</f>
        <v>1</v>
      </c>
      <c r="AU214" s="31" t="str">
        <f>AU190</f>
        <v>coupe</v>
      </c>
      <c r="AV214" s="33" t="str">
        <f>AV190</f>
        <v>Receta madre ► MILLE-FEUILLE  aux fraises des bois</v>
      </c>
      <c r="AW214" s="680" t="s">
        <v>8574</v>
      </c>
      <c r="AX214" s="474"/>
      <c r="AY214" s="474"/>
      <c r="AZ214" s="474"/>
      <c r="BA214" s="474"/>
      <c r="BB214" s="681"/>
      <c r="BC214" s="681"/>
      <c r="BD214" s="1984" t="s">
        <v>8654</v>
      </c>
      <c r="BE214" s="682"/>
      <c r="BF214" s="682"/>
      <c r="BG214" s="1197">
        <f>SUM(BG194:BG213)</f>
        <v>0</v>
      </c>
      <c r="BH214" s="683"/>
      <c r="BI214" s="683" t="str">
        <f>"Total " &amp; BJ191&amp;" &gt;"</f>
        <v>Total Col.19 &gt;</v>
      </c>
      <c r="BJ214" s="1835">
        <f>SUM(BJ194:BJ213)</f>
        <v>0</v>
      </c>
      <c r="BK214" s="684"/>
      <c r="BM214" s="3">
        <v>1</v>
      </c>
    </row>
    <row r="215" spans="2:65" ht="21" customHeight="1">
      <c r="B215" s="25" t="s">
        <v>10</v>
      </c>
      <c r="C215" s="31" t="str">
        <f>C190</f>
        <v>N NOM DE VOTRE RECETTE | collez la--FAMILLE| Auteur &gt; VOUS</v>
      </c>
      <c r="D215" s="32">
        <f>D190</f>
        <v>1</v>
      </c>
      <c r="E215" s="31" t="str">
        <f>E190</f>
        <v>coupe</v>
      </c>
      <c r="F215" s="33" t="str">
        <f>F190</f>
        <v>Recette mère ► MILLE-FEUILLE  aux fraises des bois</v>
      </c>
      <c r="G215" s="142" t="s">
        <v>140</v>
      </c>
      <c r="H215" s="104" t="s">
        <v>100</v>
      </c>
      <c r="I215" s="143" t="s">
        <v>141</v>
      </c>
      <c r="J215" s="144" t="s">
        <v>142</v>
      </c>
      <c r="K215" s="118" t="s">
        <v>143</v>
      </c>
      <c r="L215" s="118" t="s">
        <v>109</v>
      </c>
      <c r="M215" s="143" t="s">
        <v>141</v>
      </c>
      <c r="N215" s="93" t="s">
        <v>0</v>
      </c>
      <c r="O215" s="93" t="s">
        <v>97</v>
      </c>
      <c r="P215" s="93" t="s">
        <v>144</v>
      </c>
      <c r="Q215" s="93" t="s">
        <v>145</v>
      </c>
      <c r="R215" s="109" t="s">
        <v>104</v>
      </c>
      <c r="S215" s="109" t="s">
        <v>359</v>
      </c>
      <c r="T215" s="335" t="s">
        <v>146</v>
      </c>
      <c r="U215" s="109" t="s">
        <v>147</v>
      </c>
      <c r="W215" s="25" t="s">
        <v>10</v>
      </c>
      <c r="X215" s="31" t="str">
        <f>X190</f>
        <v>N NAME OF YOUR RECIPE | paste it — FAMILY|  Author &gt; YOU</v>
      </c>
      <c r="Y215" s="32">
        <f>Y190</f>
        <v>1</v>
      </c>
      <c r="Z215" s="31" t="str">
        <f>Z190</f>
        <v>coupe</v>
      </c>
      <c r="AA215" s="33" t="str">
        <f>AA190</f>
        <v>Master recipe ► MILLE-FEUILLE  aux fraises des bois</v>
      </c>
      <c r="AB215" s="422" t="s">
        <v>140</v>
      </c>
      <c r="AC215" s="104" t="s">
        <v>100</v>
      </c>
      <c r="AD215" s="143" t="s">
        <v>1327</v>
      </c>
      <c r="AE215" s="118" t="s">
        <v>1320</v>
      </c>
      <c r="AF215" s="118" t="s">
        <v>1321</v>
      </c>
      <c r="AG215" s="118" t="s">
        <v>1322</v>
      </c>
      <c r="AH215" s="143" t="s">
        <v>141</v>
      </c>
      <c r="AI215" s="93" t="s">
        <v>0</v>
      </c>
      <c r="AJ215" s="93" t="s">
        <v>97</v>
      </c>
      <c r="AK215" s="93" t="s">
        <v>144</v>
      </c>
      <c r="AL215" s="93" t="s">
        <v>145</v>
      </c>
      <c r="AM215" s="109" t="s">
        <v>1341</v>
      </c>
      <c r="AN215" s="109" t="s">
        <v>1323</v>
      </c>
      <c r="AO215" s="109" t="s">
        <v>1324</v>
      </c>
      <c r="AP215" s="335" t="s">
        <v>1325</v>
      </c>
      <c r="AR215" s="25" t="s">
        <v>10</v>
      </c>
      <c r="AS215" s="31" t="str">
        <f>AS190</f>
        <v>N NOMBRE DE SU RECETA | pegue esto — FAMILIA| Auteur &gt; VOUS</v>
      </c>
      <c r="AT215" s="32">
        <f>AT190</f>
        <v>1</v>
      </c>
      <c r="AU215" s="31" t="str">
        <f>AU190</f>
        <v>coupe</v>
      </c>
      <c r="AV215" s="33" t="str">
        <f>AV190</f>
        <v>Receta madre ► MILLE-FEUILLE  aux fraises des bois</v>
      </c>
      <c r="AW215" s="422" t="s">
        <v>140</v>
      </c>
      <c r="AX215" s="104" t="s">
        <v>100</v>
      </c>
      <c r="AY215" s="143" t="s">
        <v>1309</v>
      </c>
      <c r="AZ215" s="118" t="s">
        <v>1301</v>
      </c>
      <c r="BA215" s="118" t="s">
        <v>1302</v>
      </c>
      <c r="BB215" s="118" t="s">
        <v>1303</v>
      </c>
      <c r="BC215" s="143" t="s">
        <v>141</v>
      </c>
      <c r="BD215" s="93" t="s">
        <v>0</v>
      </c>
      <c r="BE215" s="93" t="s">
        <v>97</v>
      </c>
      <c r="BF215" s="93" t="s">
        <v>144</v>
      </c>
      <c r="BG215" s="93" t="s">
        <v>145</v>
      </c>
      <c r="BH215" s="335" t="s">
        <v>1306</v>
      </c>
      <c r="BI215" s="2104" t="s">
        <v>1342</v>
      </c>
      <c r="BJ215" s="2104" t="s">
        <v>1305</v>
      </c>
      <c r="BK215" s="2104" t="s">
        <v>1306</v>
      </c>
      <c r="BM215" s="3">
        <v>1</v>
      </c>
    </row>
    <row r="216" spans="2:65" ht="21" customHeight="1">
      <c r="B216" s="25" t="s">
        <v>10</v>
      </c>
      <c r="C216" s="31" t="str">
        <f>C190</f>
        <v>N NOM DE VOTRE RECETTE | collez la--FAMILLE| Auteur &gt; VOUS</v>
      </c>
      <c r="D216" s="32">
        <f>D190</f>
        <v>1</v>
      </c>
      <c r="E216" s="31" t="str">
        <f>E190</f>
        <v>coupe</v>
      </c>
      <c r="F216" s="33" t="str">
        <f>F190</f>
        <v>Recette mère ► MILLE-FEUILLE  aux fraises des bois</v>
      </c>
      <c r="G216" s="685">
        <v>1</v>
      </c>
      <c r="H216" s="686">
        <v>1E-3</v>
      </c>
      <c r="I216" s="687">
        <v>0</v>
      </c>
      <c r="J216" s="686">
        <v>0.25</v>
      </c>
      <c r="K216" s="686">
        <v>0.33332999999999996</v>
      </c>
      <c r="L216" s="686">
        <v>0.5</v>
      </c>
      <c r="M216" s="687">
        <v>0</v>
      </c>
      <c r="N216" s="688">
        <v>1</v>
      </c>
      <c r="O216" s="688">
        <v>0.1</v>
      </c>
      <c r="P216" s="688">
        <v>0.01</v>
      </c>
      <c r="Q216" s="688">
        <v>1E-3</v>
      </c>
      <c r="R216" s="688">
        <v>0.5</v>
      </c>
      <c r="S216" s="688">
        <v>0.25</v>
      </c>
      <c r="T216" s="688">
        <v>0.33300000000000002</v>
      </c>
      <c r="U216" s="1756">
        <v>0.2</v>
      </c>
      <c r="W216" s="25" t="s">
        <v>10</v>
      </c>
      <c r="X216" s="31" t="str">
        <f>X190</f>
        <v>N NAME OF YOUR RECIPE | paste it — FAMILY|  Author &gt; YOU</v>
      </c>
      <c r="Y216" s="32">
        <f>Y190</f>
        <v>1</v>
      </c>
      <c r="Z216" s="31" t="str">
        <f>Z190</f>
        <v>coupe</v>
      </c>
      <c r="AA216" s="33" t="str">
        <f>AA190</f>
        <v>Master recipe ► MILLE-FEUILLE  aux fraises des bois</v>
      </c>
      <c r="AB216" s="685">
        <v>1</v>
      </c>
      <c r="AC216" s="686">
        <v>1E-3</v>
      </c>
      <c r="AD216" s="687">
        <v>0</v>
      </c>
      <c r="AE216" s="686">
        <v>0.25</v>
      </c>
      <c r="AF216" s="686">
        <v>0.33332999999999996</v>
      </c>
      <c r="AG216" s="686">
        <v>0.5</v>
      </c>
      <c r="AH216" s="687">
        <v>0</v>
      </c>
      <c r="AI216" s="688">
        <v>1</v>
      </c>
      <c r="AJ216" s="688">
        <v>0.1</v>
      </c>
      <c r="AK216" s="688">
        <v>0.01</v>
      </c>
      <c r="AL216" s="688">
        <v>1E-3</v>
      </c>
      <c r="AM216" s="688">
        <v>0.25</v>
      </c>
      <c r="AN216" s="688">
        <v>0.5</v>
      </c>
      <c r="AO216" s="688">
        <v>0.33300000000000002</v>
      </c>
      <c r="AP216" s="688">
        <v>0.2</v>
      </c>
      <c r="AR216" s="25" t="s">
        <v>10</v>
      </c>
      <c r="AS216" s="31" t="str">
        <f>AS190</f>
        <v>N NOMBRE DE SU RECETA | pegue esto — FAMILIA| Auteur &gt; VOUS</v>
      </c>
      <c r="AT216" s="32">
        <f>AT190</f>
        <v>1</v>
      </c>
      <c r="AU216" s="31" t="str">
        <f>AU190</f>
        <v>coupe</v>
      </c>
      <c r="AV216" s="33" t="str">
        <f>AV190</f>
        <v>Receta madre ► MILLE-FEUILLE  aux fraises des bois</v>
      </c>
      <c r="AW216" s="685">
        <v>1</v>
      </c>
      <c r="AX216" s="686">
        <v>1E-3</v>
      </c>
      <c r="AY216" s="687">
        <v>0</v>
      </c>
      <c r="AZ216" s="686">
        <v>0.25</v>
      </c>
      <c r="BA216" s="686">
        <v>0.33332999999999996</v>
      </c>
      <c r="BB216" s="686">
        <v>0.5</v>
      </c>
      <c r="BC216" s="687">
        <v>0</v>
      </c>
      <c r="BD216" s="688">
        <v>1</v>
      </c>
      <c r="BE216" s="688">
        <v>0.1</v>
      </c>
      <c r="BF216" s="688">
        <v>0.01</v>
      </c>
      <c r="BG216" s="688">
        <v>1E-3</v>
      </c>
      <c r="BH216" s="688">
        <v>0.2</v>
      </c>
      <c r="BI216" s="1882">
        <v>0.25</v>
      </c>
      <c r="BJ216" s="1882">
        <v>0.33300000000000002</v>
      </c>
      <c r="BK216" s="1882">
        <v>0.2</v>
      </c>
      <c r="BM216" s="3">
        <v>1</v>
      </c>
    </row>
    <row r="217" spans="2:65" ht="21" customHeight="1">
      <c r="B217" s="25" t="s">
        <v>10</v>
      </c>
      <c r="C217" s="31" t="str">
        <f>C190</f>
        <v>N NOM DE VOTRE RECETTE | collez la--FAMILLE| Auteur &gt; VOUS</v>
      </c>
      <c r="D217" s="32">
        <f>D190</f>
        <v>1</v>
      </c>
      <c r="E217" s="31" t="str">
        <f>E190</f>
        <v>coupe</v>
      </c>
      <c r="F217" s="33" t="str">
        <f>F190</f>
        <v>Recette mère ► MILLE-FEUILLE  aux fraises des bois</v>
      </c>
      <c r="G217" s="121" t="s">
        <v>155</v>
      </c>
      <c r="H217" s="121" t="s">
        <v>156</v>
      </c>
      <c r="I217" s="143" t="s">
        <v>141</v>
      </c>
      <c r="J217" s="121" t="s">
        <v>110</v>
      </c>
      <c r="K217" s="121" t="s">
        <v>157</v>
      </c>
      <c r="L217" s="121" t="s">
        <v>158</v>
      </c>
      <c r="M217" s="143" t="s">
        <v>141</v>
      </c>
      <c r="N217" s="125" t="s">
        <v>115</v>
      </c>
      <c r="O217" s="155" t="s">
        <v>159</v>
      </c>
      <c r="P217" s="155" t="s">
        <v>160</v>
      </c>
      <c r="Q217" s="109" t="s">
        <v>161</v>
      </c>
      <c r="R217" s="109" t="s">
        <v>162</v>
      </c>
      <c r="S217" s="109" t="s">
        <v>105</v>
      </c>
      <c r="T217" s="1758" t="s">
        <v>1689</v>
      </c>
      <c r="U217" s="697" t="s">
        <v>163</v>
      </c>
      <c r="W217" s="25" t="s">
        <v>10</v>
      </c>
      <c r="X217" s="31" t="str">
        <f>X190</f>
        <v>N NAME OF YOUR RECIPE | paste it — FAMILY|  Author &gt; YOU</v>
      </c>
      <c r="Y217" s="32">
        <f>Y190</f>
        <v>1</v>
      </c>
      <c r="Z217" s="31" t="str">
        <f>Z190</f>
        <v>coupe</v>
      </c>
      <c r="AA217" s="33" t="str">
        <f>AA190</f>
        <v>Master recipe ► MILLE-FEUILLE  aux fraises des bois</v>
      </c>
      <c r="AB217" s="121" t="s">
        <v>155</v>
      </c>
      <c r="AC217" s="121" t="s">
        <v>1326</v>
      </c>
      <c r="AD217" s="143" t="s">
        <v>1327</v>
      </c>
      <c r="AE217" s="121" t="s">
        <v>1328</v>
      </c>
      <c r="AF217" s="121" t="s">
        <v>1329</v>
      </c>
      <c r="AG217" s="121" t="s">
        <v>1343</v>
      </c>
      <c r="AH217" s="143" t="s">
        <v>141</v>
      </c>
      <c r="AI217" s="155" t="s">
        <v>1330</v>
      </c>
      <c r="AJ217" s="155" t="s">
        <v>1331</v>
      </c>
      <c r="AK217" s="155"/>
      <c r="AL217" s="155" t="s">
        <v>1332</v>
      </c>
      <c r="AM217" s="109" t="s">
        <v>1333</v>
      </c>
      <c r="AN217" s="109" t="s">
        <v>1334</v>
      </c>
      <c r="AO217" s="109" t="s">
        <v>1335</v>
      </c>
      <c r="AP217" s="697" t="s">
        <v>1689</v>
      </c>
      <c r="AR217" s="25" t="s">
        <v>10</v>
      </c>
      <c r="AS217" s="31" t="str">
        <f>AS190</f>
        <v>N NOMBRE DE SU RECETA | pegue esto — FAMILIA| Auteur &gt; VOUS</v>
      </c>
      <c r="AT217" s="32">
        <f>AT190</f>
        <v>1</v>
      </c>
      <c r="AU217" s="31" t="str">
        <f>AU190</f>
        <v>coupe</v>
      </c>
      <c r="AV217" s="33" t="str">
        <f>AV190</f>
        <v>Receta madre ► MILLE-FEUILLE  aux fraises des bois</v>
      </c>
      <c r="AW217" s="121" t="s">
        <v>1307</v>
      </c>
      <c r="AX217" s="121" t="s">
        <v>1308</v>
      </c>
      <c r="AY217" s="143" t="s">
        <v>1309</v>
      </c>
      <c r="AZ217" s="121" t="s">
        <v>1310</v>
      </c>
      <c r="BA217" s="121" t="s">
        <v>1311</v>
      </c>
      <c r="BB217" s="121" t="s">
        <v>1312</v>
      </c>
      <c r="BC217" s="143" t="s">
        <v>141</v>
      </c>
      <c r="BD217" s="125" t="s">
        <v>1313</v>
      </c>
      <c r="BE217" s="155" t="s">
        <v>1314</v>
      </c>
      <c r="BF217" s="155" t="s">
        <v>1315</v>
      </c>
      <c r="BG217" s="109" t="s">
        <v>1316</v>
      </c>
      <c r="BH217" s="109" t="s">
        <v>1317</v>
      </c>
      <c r="BI217" s="109" t="s">
        <v>1318</v>
      </c>
      <c r="BJ217" s="697" t="s">
        <v>1689</v>
      </c>
      <c r="BK217" s="697" t="s">
        <v>1319</v>
      </c>
      <c r="BM217" s="3">
        <v>1</v>
      </c>
    </row>
    <row r="218" spans="2:65" ht="21" customHeight="1">
      <c r="B218" s="25" t="s">
        <v>10</v>
      </c>
      <c r="C218" s="31" t="str">
        <f>C190</f>
        <v>N NOM DE VOTRE RECETTE | collez la--FAMILLE| Auteur &gt; VOUS</v>
      </c>
      <c r="D218" s="32">
        <f>D190</f>
        <v>1</v>
      </c>
      <c r="E218" s="31" t="str">
        <f>E190</f>
        <v>coupe</v>
      </c>
      <c r="F218" s="33" t="str">
        <f>F190</f>
        <v>Recette mère ► MILLE-FEUILLE  aux fraises des bois</v>
      </c>
      <c r="G218" s="685">
        <v>2.835E-2</v>
      </c>
      <c r="H218" s="686">
        <v>0.13</v>
      </c>
      <c r="I218" s="687">
        <v>0</v>
      </c>
      <c r="J218" s="686">
        <v>0.2</v>
      </c>
      <c r="K218" s="686">
        <v>0.23</v>
      </c>
      <c r="L218" s="686">
        <v>0.22500000000000001</v>
      </c>
      <c r="M218" s="687">
        <v>0</v>
      </c>
      <c r="N218" s="688">
        <v>0.35</v>
      </c>
      <c r="O218" s="688">
        <v>5.0000000000000001E-3</v>
      </c>
      <c r="P218" s="688">
        <v>5.0000000000000001E-3</v>
      </c>
      <c r="Q218" s="688">
        <v>1.4999999999999999E-2</v>
      </c>
      <c r="R218" s="688">
        <v>0.1</v>
      </c>
      <c r="S218" s="688">
        <v>0.22500000000000001</v>
      </c>
      <c r="T218" s="688">
        <v>4.0000000000000001E-3</v>
      </c>
      <c r="U218" s="1757">
        <v>1E-3</v>
      </c>
      <c r="W218" s="25" t="s">
        <v>10</v>
      </c>
      <c r="X218" s="31" t="str">
        <f>X190</f>
        <v>N NAME OF YOUR RECIPE | paste it — FAMILY|  Author &gt; YOU</v>
      </c>
      <c r="Y218" s="32">
        <f>Y190</f>
        <v>1</v>
      </c>
      <c r="Z218" s="31" t="str">
        <f>Z190</f>
        <v>coupe</v>
      </c>
      <c r="AA218" s="33" t="str">
        <f>AA190</f>
        <v>Master recipe ► MILLE-FEUILLE  aux fraises des bois</v>
      </c>
      <c r="AB218" s="690">
        <v>2.835E-2</v>
      </c>
      <c r="AC218" s="691">
        <v>0.13</v>
      </c>
      <c r="AD218" s="692">
        <v>0</v>
      </c>
      <c r="AE218" s="691">
        <v>0.2</v>
      </c>
      <c r="AF218" s="691">
        <v>0.23</v>
      </c>
      <c r="AG218" s="691">
        <v>0.22500000000000001</v>
      </c>
      <c r="AH218" s="687">
        <v>0</v>
      </c>
      <c r="AI218" s="688">
        <v>0.35</v>
      </c>
      <c r="AJ218" s="688">
        <v>5.0000000000000001E-3</v>
      </c>
      <c r="AK218" s="688"/>
      <c r="AL218" s="688">
        <v>5.0000000000000001E-3</v>
      </c>
      <c r="AM218" s="688">
        <v>1.4999999999999999E-2</v>
      </c>
      <c r="AN218" s="688">
        <v>0.1</v>
      </c>
      <c r="AO218" s="688">
        <v>0.22500000000000001</v>
      </c>
      <c r="AP218" s="688">
        <v>4.0000000000000001E-3</v>
      </c>
      <c r="AR218" s="25" t="s">
        <v>10</v>
      </c>
      <c r="AS218" s="31" t="str">
        <f>AS190</f>
        <v>N NOMBRE DE SU RECETA | pegue esto — FAMILIA| Auteur &gt; VOUS</v>
      </c>
      <c r="AT218" s="32">
        <f>AT190</f>
        <v>1</v>
      </c>
      <c r="AU218" s="31" t="str">
        <f>AU190</f>
        <v>coupe</v>
      </c>
      <c r="AV218" s="33" t="str">
        <f>AV190</f>
        <v>Receta madre ► MILLE-FEUILLE  aux fraises des bois</v>
      </c>
      <c r="AW218" s="690">
        <v>2.835E-2</v>
      </c>
      <c r="AX218" s="691">
        <v>0.13</v>
      </c>
      <c r="AY218" s="692">
        <v>0</v>
      </c>
      <c r="AZ218" s="691">
        <v>0.2</v>
      </c>
      <c r="BA218" s="691">
        <v>0.23</v>
      </c>
      <c r="BB218" s="691">
        <v>0.22500000000000001</v>
      </c>
      <c r="BC218" s="687">
        <v>0</v>
      </c>
      <c r="BD218" s="688">
        <v>0.35</v>
      </c>
      <c r="BE218" s="688">
        <v>5.0000000000000001E-3</v>
      </c>
      <c r="BF218" s="688">
        <v>5.0000000000000001E-3</v>
      </c>
      <c r="BG218" s="688">
        <v>1.4999999999999999E-2</v>
      </c>
      <c r="BH218" s="688">
        <v>0.1</v>
      </c>
      <c r="BI218" s="688">
        <v>0.22500000000000001</v>
      </c>
      <c r="BJ218" s="688">
        <v>4.0000000000000001E-3</v>
      </c>
      <c r="BK218" s="1757">
        <v>1E-3</v>
      </c>
      <c r="BM218" s="3">
        <v>1</v>
      </c>
    </row>
    <row r="219" spans="2:65" ht="21" customHeight="1">
      <c r="B219" s="25" t="s">
        <v>15</v>
      </c>
      <c r="C219" s="5563" t="str">
        <f t="shared" ref="C219:U219" si="58">SUBSTITUTE(ADDRESS(1,COLUMN(),4),"1","")</f>
        <v>C</v>
      </c>
      <c r="D219" s="5563" t="str">
        <f t="shared" si="58"/>
        <v>D</v>
      </c>
      <c r="E219" s="5563" t="str">
        <f t="shared" si="58"/>
        <v>E</v>
      </c>
      <c r="F219" s="5563" t="str">
        <f t="shared" si="58"/>
        <v>F</v>
      </c>
      <c r="G219" s="5563" t="str">
        <f t="shared" si="58"/>
        <v>G</v>
      </c>
      <c r="H219" s="5563" t="str">
        <f t="shared" si="58"/>
        <v>H</v>
      </c>
      <c r="I219" s="5563" t="str">
        <f t="shared" si="58"/>
        <v>I</v>
      </c>
      <c r="J219" s="5563" t="str">
        <f t="shared" si="58"/>
        <v>J</v>
      </c>
      <c r="K219" s="5563" t="str">
        <f t="shared" si="58"/>
        <v>K</v>
      </c>
      <c r="L219" s="5563" t="str">
        <f t="shared" si="58"/>
        <v>L</v>
      </c>
      <c r="M219" s="5603" t="str">
        <f t="shared" si="58"/>
        <v>M</v>
      </c>
      <c r="N219" s="5563" t="str">
        <f t="shared" si="58"/>
        <v>N</v>
      </c>
      <c r="O219" s="5563" t="str">
        <f t="shared" si="58"/>
        <v>O</v>
      </c>
      <c r="P219" s="5563" t="str">
        <f t="shared" si="58"/>
        <v>P</v>
      </c>
      <c r="Q219" s="5563" t="str">
        <f t="shared" si="58"/>
        <v>Q</v>
      </c>
      <c r="R219" s="6003" t="str">
        <f t="shared" si="58"/>
        <v>R</v>
      </c>
      <c r="S219" s="5563" t="str">
        <f t="shared" si="58"/>
        <v>S</v>
      </c>
      <c r="T219" s="5563" t="str">
        <f t="shared" si="58"/>
        <v>T</v>
      </c>
      <c r="U219" s="6002" t="str">
        <f t="shared" si="58"/>
        <v>U</v>
      </c>
      <c r="V219" s="6628" t="s">
        <v>8774</v>
      </c>
      <c r="W219" s="25" t="s">
        <v>15</v>
      </c>
      <c r="X219" s="5563" t="str">
        <f t="shared" ref="X219:AP219" si="59">SUBSTITUTE(ADDRESS(1,COLUMN(),4),"1","")</f>
        <v>X</v>
      </c>
      <c r="Y219" s="5563" t="str">
        <f t="shared" si="59"/>
        <v>Y</v>
      </c>
      <c r="Z219" s="5563" t="str">
        <f t="shared" si="59"/>
        <v>Z</v>
      </c>
      <c r="AA219" s="5563" t="str">
        <f t="shared" si="59"/>
        <v>AA</v>
      </c>
      <c r="AB219" s="5563" t="str">
        <f t="shared" si="59"/>
        <v>AB</v>
      </c>
      <c r="AC219" s="5563" t="str">
        <f t="shared" si="59"/>
        <v>AC</v>
      </c>
      <c r="AD219" s="5563" t="str">
        <f t="shared" si="59"/>
        <v>AD</v>
      </c>
      <c r="AE219" s="5563" t="str">
        <f t="shared" si="59"/>
        <v>AE</v>
      </c>
      <c r="AF219" s="5563" t="str">
        <f t="shared" si="59"/>
        <v>AF</v>
      </c>
      <c r="AG219" s="5563" t="str">
        <f t="shared" si="59"/>
        <v>AG</v>
      </c>
      <c r="AH219" s="5603" t="str">
        <f t="shared" si="59"/>
        <v>AH</v>
      </c>
      <c r="AI219" s="5563" t="str">
        <f t="shared" si="59"/>
        <v>AI</v>
      </c>
      <c r="AJ219" s="5563" t="str">
        <f t="shared" si="59"/>
        <v>AJ</v>
      </c>
      <c r="AK219" s="5563" t="str">
        <f t="shared" si="59"/>
        <v>AK</v>
      </c>
      <c r="AL219" s="5563" t="str">
        <f t="shared" si="59"/>
        <v>AL</v>
      </c>
      <c r="AM219" s="6003" t="str">
        <f t="shared" si="59"/>
        <v>AM</v>
      </c>
      <c r="AN219" s="5563" t="str">
        <f t="shared" si="59"/>
        <v>AN</v>
      </c>
      <c r="AO219" s="5563" t="str">
        <f t="shared" si="59"/>
        <v>AO</v>
      </c>
      <c r="AP219" s="6002" t="str">
        <f t="shared" si="59"/>
        <v>AP</v>
      </c>
      <c r="AQ219" s="6628" t="s">
        <v>8775</v>
      </c>
      <c r="AR219" s="25" t="s">
        <v>15</v>
      </c>
      <c r="AS219" s="5563" t="str">
        <f t="shared" ref="AS219:BK219" si="60">SUBSTITUTE(ADDRESS(1,COLUMN(),4),"1","")</f>
        <v>AS</v>
      </c>
      <c r="AT219" s="5563" t="str">
        <f t="shared" si="60"/>
        <v>AT</v>
      </c>
      <c r="AU219" s="5563" t="str">
        <f t="shared" si="60"/>
        <v>AU</v>
      </c>
      <c r="AV219" s="5563" t="str">
        <f t="shared" si="60"/>
        <v>AV</v>
      </c>
      <c r="AW219" s="5563" t="str">
        <f t="shared" si="60"/>
        <v>AW</v>
      </c>
      <c r="AX219" s="5563" t="str">
        <f t="shared" si="60"/>
        <v>AX</v>
      </c>
      <c r="AY219" s="5563" t="str">
        <f t="shared" si="60"/>
        <v>AY</v>
      </c>
      <c r="AZ219" s="5563" t="str">
        <f t="shared" si="60"/>
        <v>AZ</v>
      </c>
      <c r="BA219" s="5563" t="str">
        <f t="shared" si="60"/>
        <v>BA</v>
      </c>
      <c r="BB219" s="5563" t="str">
        <f t="shared" si="60"/>
        <v>BB</v>
      </c>
      <c r="BC219" s="5603" t="str">
        <f t="shared" si="60"/>
        <v>BC</v>
      </c>
      <c r="BD219" s="5563" t="str">
        <f t="shared" si="60"/>
        <v>BD</v>
      </c>
      <c r="BE219" s="5563" t="str">
        <f t="shared" si="60"/>
        <v>BE</v>
      </c>
      <c r="BF219" s="5563" t="str">
        <f t="shared" si="60"/>
        <v>BF</v>
      </c>
      <c r="BG219" s="5563" t="str">
        <f t="shared" si="60"/>
        <v>BG</v>
      </c>
      <c r="BH219" s="6003" t="str">
        <f t="shared" si="60"/>
        <v>BH</v>
      </c>
      <c r="BI219" s="5563" t="str">
        <f t="shared" si="60"/>
        <v>BI</v>
      </c>
      <c r="BJ219" s="5563" t="str">
        <f t="shared" si="60"/>
        <v>BJ</v>
      </c>
      <c r="BK219" s="6002" t="str">
        <f t="shared" si="60"/>
        <v>BK</v>
      </c>
      <c r="BL219" s="6628" t="s">
        <v>8776</v>
      </c>
      <c r="BM219" s="3">
        <v>1</v>
      </c>
    </row>
    <row r="220" spans="2:65" ht="21" customHeight="1">
      <c r="B220" s="25" t="s">
        <v>10</v>
      </c>
      <c r="C220" s="5601">
        <f t="shared" ref="C220:U220" ca="1" si="61">CELL("largeur",C220)</f>
        <v>3</v>
      </c>
      <c r="D220" s="5601">
        <f t="shared" ca="1" si="61"/>
        <v>3</v>
      </c>
      <c r="E220" s="5601">
        <f t="shared" ca="1" si="61"/>
        <v>3</v>
      </c>
      <c r="F220" s="5601">
        <f t="shared" ca="1" si="61"/>
        <v>5</v>
      </c>
      <c r="G220" s="5601">
        <f t="shared" ca="1" si="61"/>
        <v>12</v>
      </c>
      <c r="H220" s="5601">
        <f t="shared" ca="1" si="61"/>
        <v>12</v>
      </c>
      <c r="I220" s="5601">
        <f t="shared" ca="1" si="61"/>
        <v>3</v>
      </c>
      <c r="J220" s="5601">
        <f t="shared" ca="1" si="61"/>
        <v>9</v>
      </c>
      <c r="K220" s="5601">
        <f t="shared" ca="1" si="61"/>
        <v>12</v>
      </c>
      <c r="L220" s="5601">
        <f t="shared" ca="1" si="61"/>
        <v>13</v>
      </c>
      <c r="M220" s="5604">
        <f t="shared" ca="1" si="61"/>
        <v>6</v>
      </c>
      <c r="N220" s="5602">
        <f t="shared" ca="1" si="61"/>
        <v>40</v>
      </c>
      <c r="O220" s="5602">
        <f t="shared" ca="1" si="61"/>
        <v>10</v>
      </c>
      <c r="P220" s="5602">
        <f t="shared" ca="1" si="61"/>
        <v>9</v>
      </c>
      <c r="Q220" s="5602">
        <f t="shared" ca="1" si="61"/>
        <v>18</v>
      </c>
      <c r="R220" s="5604">
        <f t="shared" ca="1" si="61"/>
        <v>13</v>
      </c>
      <c r="S220" s="5602">
        <f t="shared" ca="1" si="61"/>
        <v>13</v>
      </c>
      <c r="T220" s="5602">
        <f t="shared" ca="1" si="61"/>
        <v>13</v>
      </c>
      <c r="U220" s="6001">
        <f t="shared" ca="1" si="61"/>
        <v>17</v>
      </c>
      <c r="V220" s="6628"/>
      <c r="W220" s="25" t="s">
        <v>10</v>
      </c>
      <c r="X220" s="5601">
        <f t="shared" ref="X220:AP220" ca="1" si="62">CELL("largeur",X220)</f>
        <v>3</v>
      </c>
      <c r="Y220" s="5601">
        <f t="shared" ca="1" si="62"/>
        <v>3</v>
      </c>
      <c r="Z220" s="5601">
        <f t="shared" ca="1" si="62"/>
        <v>3</v>
      </c>
      <c r="AA220" s="5601">
        <f t="shared" ca="1" si="62"/>
        <v>5</v>
      </c>
      <c r="AB220" s="5601">
        <f t="shared" ca="1" si="62"/>
        <v>12</v>
      </c>
      <c r="AC220" s="5601">
        <f t="shared" ca="1" si="62"/>
        <v>12</v>
      </c>
      <c r="AD220" s="5601">
        <f t="shared" ca="1" si="62"/>
        <v>3</v>
      </c>
      <c r="AE220" s="5601">
        <f t="shared" ca="1" si="62"/>
        <v>9</v>
      </c>
      <c r="AF220" s="5601">
        <f t="shared" ca="1" si="62"/>
        <v>12</v>
      </c>
      <c r="AG220" s="5601">
        <f t="shared" ca="1" si="62"/>
        <v>13</v>
      </c>
      <c r="AH220" s="5604">
        <f t="shared" ca="1" si="62"/>
        <v>6</v>
      </c>
      <c r="AI220" s="5602">
        <f t="shared" ca="1" si="62"/>
        <v>40</v>
      </c>
      <c r="AJ220" s="5602">
        <f t="shared" ca="1" si="62"/>
        <v>10</v>
      </c>
      <c r="AK220" s="5602">
        <f t="shared" ca="1" si="62"/>
        <v>9</v>
      </c>
      <c r="AL220" s="5602">
        <f t="shared" ca="1" si="62"/>
        <v>18</v>
      </c>
      <c r="AM220" s="5604">
        <f t="shared" ca="1" si="62"/>
        <v>13</v>
      </c>
      <c r="AN220" s="5602">
        <f t="shared" ca="1" si="62"/>
        <v>13</v>
      </c>
      <c r="AO220" s="5602">
        <f t="shared" ca="1" si="62"/>
        <v>13</v>
      </c>
      <c r="AP220" s="6001">
        <f t="shared" ca="1" si="62"/>
        <v>17</v>
      </c>
      <c r="AQ220" s="6628"/>
      <c r="AR220" s="25" t="s">
        <v>10</v>
      </c>
      <c r="AS220" s="5601">
        <f t="shared" ref="AS220:BK220" ca="1" si="63">CELL("largeur",AS220)</f>
        <v>3</v>
      </c>
      <c r="AT220" s="5601">
        <f t="shared" ca="1" si="63"/>
        <v>3</v>
      </c>
      <c r="AU220" s="5601">
        <f t="shared" ca="1" si="63"/>
        <v>3</v>
      </c>
      <c r="AV220" s="5601">
        <f t="shared" ca="1" si="63"/>
        <v>5</v>
      </c>
      <c r="AW220" s="5601">
        <f t="shared" ca="1" si="63"/>
        <v>12</v>
      </c>
      <c r="AX220" s="5601">
        <f t="shared" ca="1" si="63"/>
        <v>12</v>
      </c>
      <c r="AY220" s="5601">
        <f t="shared" ca="1" si="63"/>
        <v>3</v>
      </c>
      <c r="AZ220" s="5601">
        <f t="shared" ca="1" si="63"/>
        <v>9</v>
      </c>
      <c r="BA220" s="5601">
        <f t="shared" ca="1" si="63"/>
        <v>12</v>
      </c>
      <c r="BB220" s="5601">
        <f t="shared" ca="1" si="63"/>
        <v>13</v>
      </c>
      <c r="BC220" s="5604">
        <f t="shared" ca="1" si="63"/>
        <v>6</v>
      </c>
      <c r="BD220" s="5602">
        <f t="shared" ca="1" si="63"/>
        <v>40</v>
      </c>
      <c r="BE220" s="5602">
        <f t="shared" ca="1" si="63"/>
        <v>10</v>
      </c>
      <c r="BF220" s="5602">
        <f t="shared" ca="1" si="63"/>
        <v>9</v>
      </c>
      <c r="BG220" s="5602">
        <f t="shared" ca="1" si="63"/>
        <v>18</v>
      </c>
      <c r="BH220" s="5604">
        <f t="shared" ca="1" si="63"/>
        <v>13</v>
      </c>
      <c r="BI220" s="5602">
        <f t="shared" ca="1" si="63"/>
        <v>13</v>
      </c>
      <c r="BJ220" s="5602">
        <f t="shared" ca="1" si="63"/>
        <v>13</v>
      </c>
      <c r="BK220" s="6001">
        <f t="shared" ca="1" si="63"/>
        <v>17</v>
      </c>
      <c r="BL220" s="6628"/>
      <c r="BM220" s="3">
        <v>1</v>
      </c>
    </row>
    <row r="221" spans="2:65" ht="21" customHeight="1">
      <c r="B221" s="162" t="s">
        <v>10</v>
      </c>
      <c r="C221" s="1370" t="str">
        <f>C190</f>
        <v>N NOM DE VOTRE RECETTE | collez la--FAMILLE| Auteur &gt; VOUS</v>
      </c>
      <c r="D221" s="1348">
        <f>D190</f>
        <v>1</v>
      </c>
      <c r="E221" s="1349" t="str">
        <f>E190</f>
        <v>coupe</v>
      </c>
      <c r="F221" s="1350" t="str">
        <f>F190</f>
        <v>Recette mère ► MILLE-FEUILLE  aux fraises des bois</v>
      </c>
      <c r="G221" s="6039" t="str">
        <f ca="1">"Phases de progression largeur &gt; "&amp;SUM(M220:U220)</f>
        <v>Phases de progression largeur &gt; 139</v>
      </c>
      <c r="H221" s="6038"/>
      <c r="I221" s="1986"/>
      <c r="J221" s="1986"/>
      <c r="K221" s="1986"/>
      <c r="L221" s="1987" t="s">
        <v>8145</v>
      </c>
      <c r="M221" s="1988" t="s">
        <v>821</v>
      </c>
      <c r="N221" s="1941"/>
      <c r="O221" s="5999" t="str">
        <f ca="1">"largeur mini  = "&amp;SUM(M220:R220)</f>
        <v>largeur mini  = 96</v>
      </c>
      <c r="P221" s="6000" t="str">
        <f ca="1">"largeur maxi  = "&amp;SUM(M220:U220)</f>
        <v>largeur maxi  = 139</v>
      </c>
      <c r="Q221" s="1942"/>
      <c r="R221" s="1942"/>
      <c r="S221" s="1989"/>
      <c r="T221" s="1989"/>
      <c r="U221" s="1990" t="s">
        <v>218</v>
      </c>
      <c r="W221" s="162" t="s">
        <v>10</v>
      </c>
      <c r="X221" s="1370" t="str">
        <f>X190</f>
        <v>N NAME OF YOUR RECIPE | paste it — FAMILY|  Author &gt; YOU</v>
      </c>
      <c r="Y221" s="1348">
        <f>Y190</f>
        <v>1</v>
      </c>
      <c r="Z221" s="1349" t="str">
        <f>Z190</f>
        <v>coupe</v>
      </c>
      <c r="AA221" s="1350" t="str">
        <f>AA190</f>
        <v>Master recipe ► MILLE-FEUILLE  aux fraises des bois</v>
      </c>
      <c r="AB221" s="6039" t="str">
        <f ca="1">"Phases of progression Width &gt; "&amp;SUM(AH220:AP220)</f>
        <v>Phases of progression Width &gt; 139</v>
      </c>
      <c r="AC221" s="6038"/>
      <c r="AD221" s="1986"/>
      <c r="AE221" s="1986"/>
      <c r="AF221" s="1986"/>
      <c r="AG221" s="1987" t="s">
        <v>8216</v>
      </c>
      <c r="AH221" s="1988" t="s">
        <v>860</v>
      </c>
      <c r="AI221" s="1941"/>
      <c r="AJ221" s="5999" t="str">
        <f ca="1">"minimum width  = "&amp;SUM(AH220:AM220)</f>
        <v>minimum width  = 96</v>
      </c>
      <c r="AK221" s="6000" t="str">
        <f ca="1">"maximum width  = "&amp;SUM(AH220:AP220)</f>
        <v>maximum width  = 139</v>
      </c>
      <c r="AL221" s="1942"/>
      <c r="AM221" s="1942"/>
      <c r="AN221" s="1989"/>
      <c r="AO221" s="1989"/>
      <c r="AP221" s="1990" t="s">
        <v>1399</v>
      </c>
      <c r="AR221" s="162" t="s">
        <v>10</v>
      </c>
      <c r="AS221" s="1370" t="str">
        <f>AS190</f>
        <v>N NOMBRE DE SU RECETA | pegue esto — FAMILIA| Auteur &gt; VOUS</v>
      </c>
      <c r="AT221" s="1348">
        <f>AT190</f>
        <v>1</v>
      </c>
      <c r="AU221" s="1349" t="str">
        <f>AU190</f>
        <v>coupe</v>
      </c>
      <c r="AV221" s="1350" t="str">
        <f>AV190</f>
        <v>Receta madre ► MILLE-FEUILLE  aux fraises des bois</v>
      </c>
      <c r="AW221" s="6039" t="str">
        <f ca="1">"Fases de progresion Ancho &gt; "&amp;SUM(BC220:BK220)</f>
        <v>Fases de progresion Ancho &gt; 139</v>
      </c>
      <c r="AX221" s="6038"/>
      <c r="AY221" s="1986"/>
      <c r="AZ221" s="1986"/>
      <c r="BA221" s="1986"/>
      <c r="BB221" s="1987" t="s">
        <v>8217</v>
      </c>
      <c r="BC221" s="5605" t="s">
        <v>874</v>
      </c>
      <c r="BD221" s="1941"/>
      <c r="BE221" s="5999" t="str">
        <f ca="1">"anchura mínima  = "&amp;SUM(BC220:BH220)</f>
        <v>anchura mínima  = 96</v>
      </c>
      <c r="BF221" s="6000" t="str">
        <f ca="1">"anchura máxima  = "&amp;SUM(BC220:BK220)</f>
        <v>anchura máxima  = 139</v>
      </c>
      <c r="BG221" s="1942"/>
      <c r="BH221" s="1942"/>
      <c r="BI221" s="1989"/>
      <c r="BJ221" s="1989"/>
      <c r="BK221" s="1990" t="s">
        <v>726</v>
      </c>
      <c r="BM221" s="3">
        <v>1</v>
      </c>
    </row>
    <row r="222" spans="2:65" ht="21" customHeight="1">
      <c r="B222" s="162" t="s">
        <v>10</v>
      </c>
      <c r="C222" s="163" t="str">
        <f>C190</f>
        <v>N NOM DE VOTRE RECETTE | collez la--FAMILLE| Auteur &gt; VOUS</v>
      </c>
      <c r="D222" s="163">
        <f>D190</f>
        <v>1</v>
      </c>
      <c r="E222" s="164" t="str">
        <f>E190</f>
        <v>coupe</v>
      </c>
      <c r="F222" s="165" t="str">
        <f>F190</f>
        <v>Recette mère ► MILLE-FEUILLE  aux fraises des bois</v>
      </c>
      <c r="G222" s="508"/>
      <c r="H222" s="508"/>
      <c r="I222" s="2063"/>
      <c r="J222" s="2064" t="s">
        <v>8860</v>
      </c>
      <c r="K222" s="2065">
        <f ca="1">SUM(M220:U220)</f>
        <v>139</v>
      </c>
      <c r="L222" s="1374">
        <v>0</v>
      </c>
      <c r="M222" s="1375" t="s">
        <v>8146</v>
      </c>
      <c r="N222" s="1810"/>
      <c r="O222" s="1810"/>
      <c r="P222" s="1810"/>
      <c r="Q222" s="1810"/>
      <c r="R222" s="1810"/>
      <c r="S222" s="9"/>
      <c r="T222" s="5993" t="s">
        <v>164</v>
      </c>
      <c r="U222" s="1330" t="s">
        <v>165</v>
      </c>
      <c r="W222" s="162" t="s">
        <v>10</v>
      </c>
      <c r="X222" s="163" t="str">
        <f>X190</f>
        <v>N NAME OF YOUR RECIPE | paste it — FAMILY|  Author &gt; YOU</v>
      </c>
      <c r="Y222" s="163">
        <f>Y190</f>
        <v>1</v>
      </c>
      <c r="Z222" s="164" t="str">
        <f>Z190</f>
        <v>coupe</v>
      </c>
      <c r="AA222" s="165" t="str">
        <f>AA190</f>
        <v>Master recipe ► MILLE-FEUILLE  aux fraises des bois</v>
      </c>
      <c r="AB222" s="508"/>
      <c r="AC222" s="508"/>
      <c r="AD222" s="2063"/>
      <c r="AE222" s="2064" t="s">
        <v>8862</v>
      </c>
      <c r="AF222" s="2065">
        <f ca="1">SUM(AH220:AP220)</f>
        <v>139</v>
      </c>
      <c r="AG222" s="1374">
        <v>0</v>
      </c>
      <c r="AH222" s="1375" t="s">
        <v>8194</v>
      </c>
      <c r="AI222" s="1810"/>
      <c r="AJ222" s="1810"/>
      <c r="AK222" s="1810"/>
      <c r="AL222" s="1810"/>
      <c r="AM222" s="1810"/>
      <c r="AN222" s="9"/>
      <c r="AO222" s="5993" t="s">
        <v>859</v>
      </c>
      <c r="AP222" s="1330" t="s">
        <v>165</v>
      </c>
      <c r="AR222" s="162" t="s">
        <v>10</v>
      </c>
      <c r="AS222" s="163" t="str">
        <f>AS190</f>
        <v>N NOMBRE DE SU RECETA | pegue esto — FAMILIA| Auteur &gt; VOUS</v>
      </c>
      <c r="AT222" s="163">
        <f>AT190</f>
        <v>1</v>
      </c>
      <c r="AU222" s="164" t="str">
        <f>AU190</f>
        <v>coupe</v>
      </c>
      <c r="AV222" s="165" t="str">
        <f>AV190</f>
        <v>Receta madre ► MILLE-FEUILLE  aux fraises des bois</v>
      </c>
      <c r="AW222" s="508"/>
      <c r="AX222" s="508"/>
      <c r="AY222" s="2063"/>
      <c r="AZ222" s="2127" t="s">
        <v>8861</v>
      </c>
      <c r="BA222" s="2065">
        <f ca="1">SUM(BC220:BK220)</f>
        <v>139</v>
      </c>
      <c r="BB222" s="1374">
        <v>0</v>
      </c>
      <c r="BC222" s="1375" t="s">
        <v>8193</v>
      </c>
      <c r="BD222" s="1810"/>
      <c r="BE222" s="1329"/>
      <c r="BF222" s="1810"/>
      <c r="BG222" s="9"/>
      <c r="BH222" s="9"/>
      <c r="BI222" s="9"/>
      <c r="BJ222" s="5993" t="s">
        <v>873</v>
      </c>
      <c r="BK222" s="1330" t="s">
        <v>165</v>
      </c>
      <c r="BM222" s="3">
        <v>1</v>
      </c>
    </row>
    <row r="223" spans="2:65" ht="21" customHeight="1">
      <c r="B223" s="162" t="s">
        <v>10</v>
      </c>
      <c r="C223" s="163" t="str">
        <f>C190</f>
        <v>N NOM DE VOTRE RECETTE | collez la--FAMILLE| Auteur &gt; VOUS</v>
      </c>
      <c r="D223" s="163">
        <f>D190</f>
        <v>1</v>
      </c>
      <c r="E223" s="164" t="str">
        <f>E190</f>
        <v>coupe</v>
      </c>
      <c r="F223" s="165" t="str">
        <f>F190</f>
        <v>Recette mère ► MILLE-FEUILLE  aux fraises des bois</v>
      </c>
      <c r="G223" s="1548"/>
      <c r="H223" s="2189" t="s">
        <v>8771</v>
      </c>
      <c r="I223" s="2190">
        <f>ROWS(M223:M223)</f>
        <v>1</v>
      </c>
      <c r="J223" s="5549" t="str" cm="1">
        <f t="array" ref="J223">IF(SUMPRODUCT((M223:R223&lt;&gt;"")*1)=0,"",SUMPRODUCT((M223:R223&lt;&gt;"")*(LEN(TRIM(SUBSTITUTE(M223:R223,CHAR(160)," "))) - LEN(SUBSTITUTE(TRIM(SUBSTITUTE(M223:R223,CHAR(160)," "))," ","")) + 1)) &amp; " mot" &amp; IF(SUMPRODUCT((M223:R223&lt;&gt;"")*(LEN(TRIM(SUBSTITUTE(M223:R223,CHAR(160)," "))) - LEN(SUBSTITUTE(TRIM(SUBSTITUTE(M223:R223,CHAR(160)," "))," ","")) + 1))&gt;1,"s",""))</f>
        <v>7 mots</v>
      </c>
      <c r="K223" s="5550" t="str" cm="1">
        <f t="array" ref="K223">SUMPRODUCT(--(M223:R223&lt;&gt;""), LEN(TRIM(SUBSTITUTE(M223:R223, CHAR(160), "")))) &amp; " Car."</f>
        <v>30 Car.</v>
      </c>
      <c r="L223" s="1376" t="str">
        <f>IF(ISBLANK(M223),"",LARGE(L222:L222,1)+1)</f>
        <v/>
      </c>
      <c r="M223" s="1810"/>
      <c r="N223" s="1810" t="s">
        <v>8410</v>
      </c>
      <c r="O223" s="1810"/>
      <c r="P223" s="1810"/>
      <c r="Q223" s="1810"/>
      <c r="R223" s="1810"/>
      <c r="S223" s="9"/>
      <c r="T223" s="5993" t="s">
        <v>167</v>
      </c>
      <c r="U223" s="1330" t="s">
        <v>165</v>
      </c>
      <c r="W223" s="162" t="s">
        <v>10</v>
      </c>
      <c r="X223" s="163" t="str">
        <f>X190</f>
        <v>N NAME OF YOUR RECIPE | paste it — FAMILY|  Author &gt; YOU</v>
      </c>
      <c r="Y223" s="163">
        <f>Y190</f>
        <v>1</v>
      </c>
      <c r="Z223" s="164" t="str">
        <f>Z190</f>
        <v>coupe</v>
      </c>
      <c r="AA223" s="165" t="str">
        <f>AA190</f>
        <v>Master recipe ► MILLE-FEUILLE  aux fraises des bois</v>
      </c>
      <c r="AB223" s="1548"/>
      <c r="AC223" s="2189" t="s">
        <v>8772</v>
      </c>
      <c r="AD223" s="2190">
        <f>ROWS(AH223:AH223)</f>
        <v>1</v>
      </c>
      <c r="AE223" s="5549" t="str" cm="1">
        <f t="array" ref="AE223">IF(SUMPRODUCT((AH223:AM223&lt;&gt;"")*1)=0,"",SUMPRODUCT((AH223:AM223&lt;&gt;"")*(LEN(TRIM(SUBSTITUTE(AH223:AM223,CHAR(160)," "))) - LEN(SUBSTITUTE(TRIM(SUBSTITUTE(AH223:AM223,CHAR(160)," "))," ","")) + 1)) &amp; " word" &amp; IF(SUMPRODUCT((AH223:AM223&lt;&gt;"")*(LEN(TRIM(SUBSTITUTE(AH223:AM223,CHAR(160)," "))) - LEN(SUBSTITUTE(TRIM(SUBSTITUTE(AH223:AM223,CHAR(160)," "))," ","")) + 1))&gt;1,"s",""))</f>
        <v>8 words</v>
      </c>
      <c r="AF223" s="5550" t="str" cm="1">
        <f t="array" ref="AF223">SUMPRODUCT(--(AH223:AM223&lt;&gt;""), LEN(TRIM(SUBSTITUTE(AH223:AM223, CHAR(160), "")))) &amp; " Car."</f>
        <v>38 Car.</v>
      </c>
      <c r="AG223" s="1376" t="str">
        <f>IF(ISBLANK(AH223),"",LARGE(AG222:AG222,1)+1)</f>
        <v/>
      </c>
      <c r="AH223" s="1810"/>
      <c r="AI223" s="1810" t="s">
        <v>8580</v>
      </c>
      <c r="AJ223" s="1810"/>
      <c r="AK223" s="1810"/>
      <c r="AL223" s="1810"/>
      <c r="AM223" s="1810"/>
      <c r="AN223" s="9"/>
      <c r="AO223" s="5993" t="s">
        <v>861</v>
      </c>
      <c r="AP223" s="1330" t="s">
        <v>165</v>
      </c>
      <c r="AR223" s="162" t="s">
        <v>10</v>
      </c>
      <c r="AS223" s="163" t="str">
        <f>AS190</f>
        <v>N NOMBRE DE SU RECETA | pegue esto — FAMILIA| Auteur &gt; VOUS</v>
      </c>
      <c r="AT223" s="163">
        <f>AT190</f>
        <v>1</v>
      </c>
      <c r="AU223" s="164" t="str">
        <f>AU190</f>
        <v>coupe</v>
      </c>
      <c r="AV223" s="165" t="str">
        <f>AV190</f>
        <v>Receta madre ► MILLE-FEUILLE  aux fraises des bois</v>
      </c>
      <c r="AW223" s="1548"/>
      <c r="AX223" s="2189" t="s">
        <v>8773</v>
      </c>
      <c r="AY223" s="2190">
        <f>ROWS(BC223:BC223)</f>
        <v>1</v>
      </c>
      <c r="AZ223" s="5549" t="str" cm="1">
        <f t="array" ref="AZ223">IF(SUMPRODUCT((BC223:BH223&lt;&gt;"")*1)=0,"",SUMPRODUCT((BC223:BH223&lt;&gt;"")*(LEN(TRIM(SUBSTITUTE(BC223:BH223,CHAR(160)," "))) - LEN(SUBSTITUTE(TRIM(SUBSTITUTE(BC223:BH223,CHAR(160)," "))," ","")) + 1)) &amp; " palabra" &amp; IF(SUMPRODUCT((BC223:BH223&lt;&gt;"")*(LEN(TRIM(SUBSTITUTE(BC223:BH223,CHAR(160)," "))) - LEN(SUBSTITUTE(TRIM(SUBSTITUTE(BC223:BH223,CHAR(160)," "))," ","")) + 1))&gt;1,"s",""))</f>
        <v>7 palabras</v>
      </c>
      <c r="BA223" s="5550" t="str" cm="1">
        <f t="array" ref="BA223">SUMPRODUCT(--(BC223:BH223&lt;&gt;""), LEN(TRIM(SUBSTITUTE(BC223:BH223, CHAR(160), "")))) &amp; " Car."</f>
        <v>33 Car.</v>
      </c>
      <c r="BB223" s="1376" t="str">
        <f>IF(ISBLANK(BC223),"",LARGE(BB222:BB222,1)+1)</f>
        <v/>
      </c>
      <c r="BC223" s="1810"/>
      <c r="BD223" s="1810" t="s">
        <v>8585</v>
      </c>
      <c r="BE223" s="1810"/>
      <c r="BF223" s="1810"/>
      <c r="BG223" s="1810"/>
      <c r="BH223" s="1810"/>
      <c r="BI223" s="9"/>
      <c r="BJ223" s="5993" t="s">
        <v>875</v>
      </c>
      <c r="BK223" s="1330" t="s">
        <v>165</v>
      </c>
      <c r="BM223" s="3">
        <v>1</v>
      </c>
    </row>
    <row r="224" spans="2:65" ht="21" customHeight="1">
      <c r="B224" s="162" t="s">
        <v>10</v>
      </c>
      <c r="C224" s="163" t="str">
        <f>C190</f>
        <v>N NOM DE VOTRE RECETTE | collez la--FAMILLE| Auteur &gt; VOUS</v>
      </c>
      <c r="D224" s="163">
        <f>D190</f>
        <v>1</v>
      </c>
      <c r="E224" s="164" t="str">
        <f>E190</f>
        <v>coupe</v>
      </c>
      <c r="F224" s="165" t="str">
        <f>F190</f>
        <v>Recette mère ► MILLE-FEUILLE  aux fraises des bois</v>
      </c>
      <c r="G224" s="1548"/>
      <c r="H224" s="1548"/>
      <c r="I224" s="2190">
        <f>ROWS(M223:M224)</f>
        <v>2</v>
      </c>
      <c r="J224" s="5549" t="str" cm="1">
        <f t="array" ref="J224">IF(SUMPRODUCT((M224:R224&lt;&gt;"")*1)=0,"",SUMPRODUCT((M224:R224&lt;&gt;"")*(LEN(TRIM(SUBSTITUTE(M224:R224,CHAR(160)," "))) - LEN(SUBSTITUTE(TRIM(SUBSTITUTE(M224:R224,CHAR(160)," "))," ","")) + 1)) &amp; " mot" &amp; IF(SUMPRODUCT((M224:R224&lt;&gt;"")*(LEN(TRIM(SUBSTITUTE(M224:R224,CHAR(160)," "))) - LEN(SUBSTITUTE(TRIM(SUBSTITUTE(M224:R224,CHAR(160)," "))," ","")) + 1))&gt;1,"s",""))</f>
        <v>6 mots</v>
      </c>
      <c r="K224" s="5550" t="str" cm="1">
        <f t="array" ref="K224">SUMPRODUCT(--(M224:R224&lt;&gt;""), LEN(TRIM(SUBSTITUTE(M224:R224, CHAR(160), "")))) &amp; " Car."</f>
        <v>33 Car.</v>
      </c>
      <c r="L224" s="1376" t="str">
        <f>IF(ISBLANK(M224),"",LARGE(L222:L223,1)+1)</f>
        <v/>
      </c>
      <c r="M224" s="1810"/>
      <c r="N224" s="1810" t="s">
        <v>8408</v>
      </c>
      <c r="O224" s="1810"/>
      <c r="P224" s="1810"/>
      <c r="Q224" s="1810"/>
      <c r="R224" s="1810"/>
      <c r="S224" s="1810"/>
      <c r="T224" s="5994" t="s">
        <v>171</v>
      </c>
      <c r="U224" s="5564">
        <v>3.472222222222222E-3</v>
      </c>
      <c r="W224" s="162" t="s">
        <v>10</v>
      </c>
      <c r="X224" s="163" t="str">
        <f>X190</f>
        <v>N NAME OF YOUR RECIPE | paste it — FAMILY|  Author &gt; YOU</v>
      </c>
      <c r="Y224" s="163">
        <f>Y190</f>
        <v>1</v>
      </c>
      <c r="Z224" s="164" t="str">
        <f>Z190</f>
        <v>coupe</v>
      </c>
      <c r="AA224" s="165" t="str">
        <f>AA190</f>
        <v>Master recipe ► MILLE-FEUILLE  aux fraises des bois</v>
      </c>
      <c r="AB224" s="1548"/>
      <c r="AC224" s="1548"/>
      <c r="AD224" s="2190">
        <f>ROWS(AH223:AH224)</f>
        <v>2</v>
      </c>
      <c r="AE224" s="5549" t="str" cm="1">
        <f t="array" ref="AE224">IF(SUMPRODUCT((AH224:AM224&lt;&gt;"")*1)=0,"",SUMPRODUCT((AH224:AM224&lt;&gt;"")*(LEN(TRIM(SUBSTITUTE(AH224:AM224,CHAR(160)," "))) - LEN(SUBSTITUTE(TRIM(SUBSTITUTE(AH224:AM224,CHAR(160)," "))," ","")) + 1)) &amp; " word" &amp; IF(SUMPRODUCT((AH224:AM224&lt;&gt;"")*(LEN(TRIM(SUBSTITUTE(AH224:AM224,CHAR(160)," "))) - LEN(SUBSTITUTE(TRIM(SUBSTITUTE(AH224:AM224,CHAR(160)," "))," ","")) + 1))&gt;1,"s",""))</f>
        <v>6 words</v>
      </c>
      <c r="AF224" s="5550" t="str" cm="1">
        <f t="array" ref="AF224">SUMPRODUCT(--(AH224:AM224&lt;&gt;""), LEN(TRIM(SUBSTITUTE(AH224:AM224, CHAR(160), "")))) &amp; " Car."</f>
        <v>28 Car.</v>
      </c>
      <c r="AG224" s="1376" t="str">
        <f>IF(ISBLANK(AH224),"",LARGE(AG222:AG223,1)+1)</f>
        <v/>
      </c>
      <c r="AH224" s="1810"/>
      <c r="AI224" s="1810" t="s">
        <v>8581</v>
      </c>
      <c r="AJ224" s="1810"/>
      <c r="AK224" s="1810"/>
      <c r="AL224" s="1810"/>
      <c r="AM224" s="1810"/>
      <c r="AN224" s="1810"/>
      <c r="AO224" s="5994" t="s">
        <v>14172</v>
      </c>
      <c r="AP224" s="5564">
        <v>3.472222222222222E-3</v>
      </c>
      <c r="AR224" s="162" t="s">
        <v>10</v>
      </c>
      <c r="AS224" s="163" t="str">
        <f>AS190</f>
        <v>N NOMBRE DE SU RECETA | pegue esto — FAMILIA| Auteur &gt; VOUS</v>
      </c>
      <c r="AT224" s="163">
        <f>AT190</f>
        <v>1</v>
      </c>
      <c r="AU224" s="164" t="str">
        <f>AU190</f>
        <v>coupe</v>
      </c>
      <c r="AV224" s="165" t="str">
        <f>AV190</f>
        <v>Receta madre ► MILLE-FEUILLE  aux fraises des bois</v>
      </c>
      <c r="AW224" s="1548"/>
      <c r="AX224" s="1548"/>
      <c r="AY224" s="2190">
        <f>ROWS(BC223:BC224)</f>
        <v>2</v>
      </c>
      <c r="AZ224" s="5549" t="str" cm="1">
        <f t="array" ref="AZ224">IF(SUMPRODUCT((BC224:BH224&lt;&gt;"")*1)=0,"",SUMPRODUCT((BC224:BH224&lt;&gt;"")*(LEN(TRIM(SUBSTITUTE(BC224:BH224,CHAR(160)," "))) - LEN(SUBSTITUTE(TRIM(SUBSTITUTE(BC224:BH224,CHAR(160)," "))," ","")) + 1)) &amp; " palabra" &amp; IF(SUMPRODUCT((BC224:BH224&lt;&gt;"")*(LEN(TRIM(SUBSTITUTE(BC224:BH224,CHAR(160)," "))) - LEN(SUBSTITUTE(TRIM(SUBSTITUTE(BC224:BH224,CHAR(160)," "))," ","")) + 1))&gt;1,"s",""))</f>
        <v>6 palabras</v>
      </c>
      <c r="BA224" s="5550" t="str" cm="1">
        <f t="array" ref="BA224">SUMPRODUCT(--(BC224:BH224&lt;&gt;""), LEN(TRIM(SUBSTITUTE(BC224:BH224, CHAR(160), "")))) &amp; " Car."</f>
        <v>32 Car.</v>
      </c>
      <c r="BB224" s="1376" t="str">
        <f>IF(ISBLANK(BC224),"",LARGE(BB222:BB223,1)+1)</f>
        <v/>
      </c>
      <c r="BC224" s="1810"/>
      <c r="BD224" s="1810" t="s">
        <v>8586</v>
      </c>
      <c r="BE224" s="1810"/>
      <c r="BF224" s="1810"/>
      <c r="BG224" s="1810"/>
      <c r="BH224" s="1810"/>
      <c r="BI224" s="1810"/>
      <c r="BJ224" s="5994" t="s">
        <v>651</v>
      </c>
      <c r="BK224" s="5564">
        <v>3.472222222222222E-3</v>
      </c>
      <c r="BM224" s="3">
        <v>1</v>
      </c>
    </row>
    <row r="225" spans="2:65" ht="21" customHeight="1">
      <c r="B225" s="162" t="s">
        <v>10</v>
      </c>
      <c r="C225" s="163" t="str">
        <f>C190</f>
        <v>N NOM DE VOTRE RECETTE | collez la--FAMILLE| Auteur &gt; VOUS</v>
      </c>
      <c r="D225" s="163">
        <f>D190</f>
        <v>1</v>
      </c>
      <c r="E225" s="164" t="str">
        <f>E190</f>
        <v>coupe</v>
      </c>
      <c r="F225" s="165" t="str">
        <f>F190</f>
        <v>Recette mère ► MILLE-FEUILLE  aux fraises des bois</v>
      </c>
      <c r="G225" s="1548"/>
      <c r="H225" s="1548"/>
      <c r="I225" s="2190">
        <f>ROWS(M223:M225)</f>
        <v>3</v>
      </c>
      <c r="J225" s="5549" t="str" cm="1">
        <f t="array" ref="J225">IF(SUMPRODUCT((M225:R225&lt;&gt;"")*1)=0,"",SUMPRODUCT((M225:R225&lt;&gt;"")*(LEN(TRIM(SUBSTITUTE(M225:R225,CHAR(160)," "))) - LEN(SUBSTITUTE(TRIM(SUBSTITUTE(M225:R225,CHAR(160)," "))," ","")) + 1)) &amp; " mot" &amp; IF(SUMPRODUCT((M225:R225&lt;&gt;"")*(LEN(TRIM(SUBSTITUTE(M225:R225,CHAR(160)," "))) - LEN(SUBSTITUTE(TRIM(SUBSTITUTE(M225:R225,CHAR(160)," "))," ","")) + 1))&gt;1,"s",""))</f>
        <v>3 mots</v>
      </c>
      <c r="K225" s="5550" t="str" cm="1">
        <f t="array" ref="K225">SUMPRODUCT(--(M225:R225&lt;&gt;""), LEN(TRIM(SUBSTITUTE(M225:R225, CHAR(160), "")))) &amp; " Car."</f>
        <v>23 Car.</v>
      </c>
      <c r="L225" s="1376" t="str">
        <f>IF(ISBLANK(M225),"",LARGE(L222:L224,1)+1)</f>
        <v/>
      </c>
      <c r="M225" s="1810"/>
      <c r="N225" s="1810" t="s">
        <v>8409</v>
      </c>
      <c r="O225" s="1810"/>
      <c r="P225" s="1810"/>
      <c r="Q225" s="1810"/>
      <c r="R225" s="1810"/>
      <c r="S225" s="1810"/>
      <c r="T225" s="5994" t="s">
        <v>173</v>
      </c>
      <c r="U225" s="5565">
        <v>1.0416666666666666E-2</v>
      </c>
      <c r="W225" s="162" t="s">
        <v>10</v>
      </c>
      <c r="X225" s="163" t="str">
        <f>X190</f>
        <v>N NAME OF YOUR RECIPE | paste it — FAMILY|  Author &gt; YOU</v>
      </c>
      <c r="Y225" s="163">
        <f>Y190</f>
        <v>1</v>
      </c>
      <c r="Z225" s="164" t="str">
        <f>Z190</f>
        <v>coupe</v>
      </c>
      <c r="AA225" s="165" t="str">
        <f>AA190</f>
        <v>Master recipe ► MILLE-FEUILLE  aux fraises des bois</v>
      </c>
      <c r="AB225" s="1548"/>
      <c r="AC225" s="1548"/>
      <c r="AD225" s="2190">
        <f>ROWS(AH223:AH225)</f>
        <v>3</v>
      </c>
      <c r="AE225" s="5549" t="str" cm="1">
        <f t="array" ref="AE225">IF(SUMPRODUCT((AH225:AM225&lt;&gt;"")*1)=0,"",SUMPRODUCT((AH225:AM225&lt;&gt;"")*(LEN(TRIM(SUBSTITUTE(AH225:AM225,CHAR(160)," "))) - LEN(SUBSTITUTE(TRIM(SUBSTITUTE(AH225:AM225,CHAR(160)," "))," ","")) + 1)) &amp; " word" &amp; IF(SUMPRODUCT((AH225:AM225&lt;&gt;"")*(LEN(TRIM(SUBSTITUTE(AH225:AM225,CHAR(160)," "))) - LEN(SUBSTITUTE(TRIM(SUBSTITUTE(AH225:AM225,CHAR(160)," "))," ","")) + 1))&gt;1,"s",""))</f>
        <v>7 words</v>
      </c>
      <c r="AF225" s="5550" t="str" cm="1">
        <f t="array" ref="AF225">SUMPRODUCT(--(AH225:AM225&lt;&gt;""), LEN(TRIM(SUBSTITUTE(AH225:AM225, CHAR(160), "")))) &amp; " Car."</f>
        <v>22 Car.</v>
      </c>
      <c r="AG225" s="1376" t="str">
        <f>IF(ISBLANK(AH225),"",LARGE(AG222:AG224,1)+1)</f>
        <v/>
      </c>
      <c r="AH225" s="1810"/>
      <c r="AI225" s="1810" t="s">
        <v>8582</v>
      </c>
      <c r="AJ225" s="1810"/>
      <c r="AK225" s="1810"/>
      <c r="AL225" s="1810"/>
      <c r="AM225" s="1810"/>
      <c r="AN225" s="1810"/>
      <c r="AO225" s="5994" t="s">
        <v>655</v>
      </c>
      <c r="AP225" s="5565">
        <v>1.0416666666666666E-2</v>
      </c>
      <c r="AR225" s="162" t="s">
        <v>10</v>
      </c>
      <c r="AS225" s="163" t="str">
        <f>AS190</f>
        <v>N NOMBRE DE SU RECETA | pegue esto — FAMILIA| Auteur &gt; VOUS</v>
      </c>
      <c r="AT225" s="163">
        <f>AT190</f>
        <v>1</v>
      </c>
      <c r="AU225" s="164" t="str">
        <f>AU190</f>
        <v>coupe</v>
      </c>
      <c r="AV225" s="165" t="str">
        <f>AV190</f>
        <v>Receta madre ► MILLE-FEUILLE  aux fraises des bois</v>
      </c>
      <c r="AW225" s="1548"/>
      <c r="AX225" s="1548"/>
      <c r="AY225" s="2190">
        <f>ROWS(BC223:BC225)</f>
        <v>3</v>
      </c>
      <c r="AZ225" s="5549" t="str" cm="1">
        <f t="array" ref="AZ225">IF(SUMPRODUCT((BC225:BH225&lt;&gt;"")*1)=0,"",SUMPRODUCT((BC225:BH225&lt;&gt;"")*(LEN(TRIM(SUBSTITUTE(BC225:BH225,CHAR(160)," "))) - LEN(SUBSTITUTE(TRIM(SUBSTITUTE(BC225:BH225,CHAR(160)," "))," ","")) + 1)) &amp; " palabra" &amp; IF(SUMPRODUCT((BC225:BH225&lt;&gt;"")*(LEN(TRIM(SUBSTITUTE(BC225:BH225,CHAR(160)," "))) - LEN(SUBSTITUTE(TRIM(SUBSTITUTE(BC225:BH225,CHAR(160)," "))," ","")) + 1))&gt;1,"s",""))</f>
        <v>7 palabras</v>
      </c>
      <c r="BA225" s="5550" t="str" cm="1">
        <f t="array" ref="BA225">SUMPRODUCT(--(BC225:BH225&lt;&gt;""), LEN(TRIM(SUBSTITUTE(BC225:BH225, CHAR(160), "")))) &amp; " Car."</f>
        <v>25 Car.</v>
      </c>
      <c r="BB225" s="1376" t="str">
        <f>IF(ISBLANK(BC225),"",LARGE(BB222:BB224,1)+1)</f>
        <v/>
      </c>
      <c r="BC225" s="1810"/>
      <c r="BD225" s="1810" t="s">
        <v>8587</v>
      </c>
      <c r="BE225" s="1810"/>
      <c r="BF225" s="1810"/>
      <c r="BG225" s="1810"/>
      <c r="BH225" s="1810"/>
      <c r="BI225" s="1810"/>
      <c r="BJ225" s="5994" t="s">
        <v>656</v>
      </c>
      <c r="BK225" s="5565">
        <v>1.0416666666666666E-2</v>
      </c>
      <c r="BM225" s="3">
        <v>1</v>
      </c>
    </row>
    <row r="226" spans="2:65" ht="21" customHeight="1">
      <c r="B226" s="162" t="s">
        <v>10</v>
      </c>
      <c r="C226" s="163" t="str">
        <f>C190</f>
        <v>N NOM DE VOTRE RECETTE | collez la--FAMILLE| Auteur &gt; VOUS</v>
      </c>
      <c r="D226" s="163">
        <f>D190</f>
        <v>1</v>
      </c>
      <c r="E226" s="164" t="str">
        <f>E190</f>
        <v>coupe</v>
      </c>
      <c r="F226" s="165" t="str">
        <f>F190</f>
        <v>Recette mère ► MILLE-FEUILLE  aux fraises des bois</v>
      </c>
      <c r="G226" s="1548"/>
      <c r="H226" s="1548"/>
      <c r="I226" s="2190">
        <f>ROWS(M223:M226)</f>
        <v>4</v>
      </c>
      <c r="J226" s="5549" t="str" cm="1">
        <f t="array" ref="J226">IF(SUMPRODUCT((M226:R226&lt;&gt;"")*1)=0,"",SUMPRODUCT((M226:R226&lt;&gt;"")*(LEN(TRIM(SUBSTITUTE(M226:R226,CHAR(160)," "))) - LEN(SUBSTITUTE(TRIM(SUBSTITUTE(M226:R226,CHAR(160)," "))," ","")) + 1)) &amp; " mot" &amp; IF(SUMPRODUCT((M226:R226&lt;&gt;"")*(LEN(TRIM(SUBSTITUTE(M226:R226,CHAR(160)," "))) - LEN(SUBSTITUTE(TRIM(SUBSTITUTE(M226:R226,CHAR(160)," "))," ","")) + 1))&gt;1,"s",""))</f>
        <v/>
      </c>
      <c r="K226" s="5550" t="str" cm="1">
        <f t="array" ref="K226">SUMPRODUCT(--(M226:R226&lt;&gt;""), LEN(TRIM(SUBSTITUTE(M226:R226, CHAR(160), "")))) &amp; " Car."</f>
        <v>0 Car.</v>
      </c>
      <c r="L226" s="1376" t="str">
        <f>IF(ISBLANK(M226),"",LARGE(L222:L225,1)+1)</f>
        <v/>
      </c>
      <c r="M226" s="1810"/>
      <c r="N226" s="1833"/>
      <c r="O226" s="1810"/>
      <c r="P226" s="1810"/>
      <c r="Q226" s="1810"/>
      <c r="R226" s="1810"/>
      <c r="S226" s="1810"/>
      <c r="T226" s="5994" t="s">
        <v>181</v>
      </c>
      <c r="U226" s="178">
        <v>2.0833333333333332E-2</v>
      </c>
      <c r="W226" s="162" t="s">
        <v>10</v>
      </c>
      <c r="X226" s="163" t="str">
        <f>X190</f>
        <v>N NAME OF YOUR RECIPE | paste it — FAMILY|  Author &gt; YOU</v>
      </c>
      <c r="Y226" s="163">
        <f>Y190</f>
        <v>1</v>
      </c>
      <c r="Z226" s="164" t="str">
        <f>Z190</f>
        <v>coupe</v>
      </c>
      <c r="AA226" s="165" t="str">
        <f>AA190</f>
        <v>Master recipe ► MILLE-FEUILLE  aux fraises des bois</v>
      </c>
      <c r="AB226" s="1548"/>
      <c r="AC226" s="1548"/>
      <c r="AD226" s="2190">
        <f>ROWS(AH223:AH226)</f>
        <v>4</v>
      </c>
      <c r="AE226" s="5549" t="str" cm="1">
        <f t="array" ref="AE226">IF(SUMPRODUCT((AH226:AM226&lt;&gt;"")*1)=0,"",SUMPRODUCT((AH226:AM226&lt;&gt;"")*(LEN(TRIM(SUBSTITUTE(AH226:AM226,CHAR(160)," "))) - LEN(SUBSTITUTE(TRIM(SUBSTITUTE(AH226:AM226,CHAR(160)," "))," ","")) + 1)) &amp; " word" &amp; IF(SUMPRODUCT((AH226:AM226&lt;&gt;"")*(LEN(TRIM(SUBSTITUTE(AH226:AM226,CHAR(160)," "))) - LEN(SUBSTITUTE(TRIM(SUBSTITUTE(AH226:AM226,CHAR(160)," "))," ","")) + 1))&gt;1,"s",""))</f>
        <v/>
      </c>
      <c r="AF226" s="5550" t="str" cm="1">
        <f t="array" ref="AF226">SUMPRODUCT(--(AH226:AM226&lt;&gt;""), LEN(TRIM(SUBSTITUTE(AH226:AM226, CHAR(160), "")))) &amp; " Car."</f>
        <v>0 Car.</v>
      </c>
      <c r="AG226" s="1376" t="str">
        <f>IF(ISBLANK(AH226),"",LARGE(AG222:AG225,1)+1)</f>
        <v/>
      </c>
      <c r="AH226" s="1810"/>
      <c r="AI226" s="1833"/>
      <c r="AJ226" s="1810"/>
      <c r="AK226" s="1810"/>
      <c r="AL226" s="1810"/>
      <c r="AM226" s="1810"/>
      <c r="AN226" s="1810"/>
      <c r="AO226" s="5994" t="s">
        <v>657</v>
      </c>
      <c r="AP226" s="178">
        <v>2.0833333333333332E-2</v>
      </c>
      <c r="AR226" s="162" t="s">
        <v>10</v>
      </c>
      <c r="AS226" s="163" t="str">
        <f>AS190</f>
        <v>N NOMBRE DE SU RECETA | pegue esto — FAMILIA| Auteur &gt; VOUS</v>
      </c>
      <c r="AT226" s="163">
        <f>AT190</f>
        <v>1</v>
      </c>
      <c r="AU226" s="164" t="str">
        <f>AU190</f>
        <v>coupe</v>
      </c>
      <c r="AV226" s="165" t="str">
        <f>AV190</f>
        <v>Receta madre ► MILLE-FEUILLE  aux fraises des bois</v>
      </c>
      <c r="AW226" s="1548"/>
      <c r="AX226" s="1548"/>
      <c r="AY226" s="2190">
        <f>ROWS(BC223:BC226)</f>
        <v>4</v>
      </c>
      <c r="AZ226" s="5549" t="str" cm="1">
        <f t="array" ref="AZ226">IF(SUMPRODUCT((BC226:BH226&lt;&gt;"")*1)=0,"",SUMPRODUCT((BC226:BH226&lt;&gt;"")*(LEN(TRIM(SUBSTITUTE(BC226:BH226,CHAR(160)," "))) - LEN(SUBSTITUTE(TRIM(SUBSTITUTE(BC226:BH226,CHAR(160)," "))," ","")) + 1)) &amp; " palabra" &amp; IF(SUMPRODUCT((BC226:BH226&lt;&gt;"")*(LEN(TRIM(SUBSTITUTE(BC226:BH226,CHAR(160)," "))) - LEN(SUBSTITUTE(TRIM(SUBSTITUTE(BC226:BH226,CHAR(160)," "))," ","")) + 1))&gt;1,"s",""))</f>
        <v/>
      </c>
      <c r="BA226" s="5550" t="str" cm="1">
        <f t="array" ref="BA226">SUMPRODUCT(--(BC226:BH226&lt;&gt;""), LEN(TRIM(SUBSTITUTE(BC226:BH226, CHAR(160), "")))) &amp; " Car."</f>
        <v>0 Car.</v>
      </c>
      <c r="BB226" s="1376" t="str">
        <f>IF(ISBLANK(BC226),"",LARGE(BB222:BB225,1)+1)</f>
        <v/>
      </c>
      <c r="BC226" s="1810"/>
      <c r="BD226" s="1833"/>
      <c r="BE226" s="1810"/>
      <c r="BF226" s="1810"/>
      <c r="BG226" s="1810"/>
      <c r="BH226" s="1810"/>
      <c r="BI226" s="1810"/>
      <c r="BJ226" s="5994" t="s">
        <v>877</v>
      </c>
      <c r="BK226" s="178">
        <v>2.0833333333333332E-2</v>
      </c>
      <c r="BM226" s="3">
        <v>1</v>
      </c>
    </row>
    <row r="227" spans="2:65" ht="21" customHeight="1">
      <c r="B227" s="162" t="s">
        <v>10</v>
      </c>
      <c r="C227" s="163" t="str">
        <f>C190</f>
        <v>N NOM DE VOTRE RECETTE | collez la--FAMILLE| Auteur &gt; VOUS</v>
      </c>
      <c r="D227" s="163">
        <f>D190</f>
        <v>1</v>
      </c>
      <c r="E227" s="164" t="str">
        <f>E190</f>
        <v>coupe</v>
      </c>
      <c r="F227" s="165" t="str">
        <f>F190</f>
        <v>Recette mère ► MILLE-FEUILLE  aux fraises des bois</v>
      </c>
      <c r="G227" s="1548"/>
      <c r="H227" s="1548"/>
      <c r="I227" s="2190">
        <f>ROWS(M223:M227)</f>
        <v>5</v>
      </c>
      <c r="J227" s="5549" t="str" cm="1">
        <f t="array" ref="J227">IF(SUMPRODUCT((M227:R227&lt;&gt;"")*1)=0,"",SUMPRODUCT((M227:R227&lt;&gt;"")*(LEN(TRIM(SUBSTITUTE(M227:R227,CHAR(160)," "))) - LEN(SUBSTITUTE(TRIM(SUBSTITUTE(M227:R227,CHAR(160)," "))," ","")) + 1)) &amp; " mot" &amp; IF(SUMPRODUCT((M227:R227&lt;&gt;"")*(LEN(TRIM(SUBSTITUTE(M227:R227,CHAR(160)," "))) - LEN(SUBSTITUTE(TRIM(SUBSTITUTE(M227:R227,CHAR(160)," "))," ","")) + 1))&gt;1,"s",""))</f>
        <v/>
      </c>
      <c r="K227" s="5550" t="str" cm="1">
        <f t="array" ref="K227">SUMPRODUCT(--(M227:R227&lt;&gt;""), LEN(TRIM(SUBSTITUTE(M227:R227, CHAR(160), "")))) &amp; " Car."</f>
        <v>0 Car.</v>
      </c>
      <c r="L227" s="1376" t="str">
        <f>IF(ISBLANK(M227),"",LARGE(L222:L226,1)+1)</f>
        <v/>
      </c>
      <c r="M227" s="1810"/>
      <c r="N227" s="1810"/>
      <c r="O227" s="1810"/>
      <c r="P227" s="1810"/>
      <c r="Q227" s="1810"/>
      <c r="R227" s="1810"/>
      <c r="S227" s="1810"/>
      <c r="T227" s="179" t="s">
        <v>182</v>
      </c>
      <c r="U227" s="180">
        <f>U224+U225+U226</f>
        <v>3.4722222222222224E-2</v>
      </c>
      <c r="W227" s="162" t="s">
        <v>10</v>
      </c>
      <c r="X227" s="163" t="str">
        <f>X190</f>
        <v>N NAME OF YOUR RECIPE | paste it — FAMILY|  Author &gt; YOU</v>
      </c>
      <c r="Y227" s="163">
        <f>Y190</f>
        <v>1</v>
      </c>
      <c r="Z227" s="164" t="str">
        <f>Z190</f>
        <v>coupe</v>
      </c>
      <c r="AA227" s="165" t="str">
        <f>AA190</f>
        <v>Master recipe ► MILLE-FEUILLE  aux fraises des bois</v>
      </c>
      <c r="AB227" s="1548"/>
      <c r="AC227" s="1548"/>
      <c r="AD227" s="2190">
        <f>ROWS(AH223:AH227)</f>
        <v>5</v>
      </c>
      <c r="AE227" s="5549" t="str" cm="1">
        <f t="array" ref="AE227">IF(SUMPRODUCT((AH227:AM227&lt;&gt;"")*1)=0,"",SUMPRODUCT((AH227:AM227&lt;&gt;"")*(LEN(TRIM(SUBSTITUTE(AH227:AM227,CHAR(160)," "))) - LEN(SUBSTITUTE(TRIM(SUBSTITUTE(AH227:AM227,CHAR(160)," "))," ","")) + 1)) &amp; " word" &amp; IF(SUMPRODUCT((AH227:AM227&lt;&gt;"")*(LEN(TRIM(SUBSTITUTE(AH227:AM227,CHAR(160)," "))) - LEN(SUBSTITUTE(TRIM(SUBSTITUTE(AH227:AM227,CHAR(160)," "))," ","")) + 1))&gt;1,"s",""))</f>
        <v/>
      </c>
      <c r="AF227" s="5550" t="str" cm="1">
        <f t="array" ref="AF227">SUMPRODUCT(--(AH227:AM227&lt;&gt;""), LEN(TRIM(SUBSTITUTE(AH227:AM227, CHAR(160), "")))) &amp; " Car."</f>
        <v>0 Car.</v>
      </c>
      <c r="AG227" s="1376" t="str">
        <f>IF(ISBLANK(AH227),"",LARGE(AG222:AG226,1)+1)</f>
        <v/>
      </c>
      <c r="AH227" s="1810"/>
      <c r="AI227" s="1810"/>
      <c r="AJ227" s="1810"/>
      <c r="AK227" s="1810"/>
      <c r="AL227" s="1810"/>
      <c r="AM227" s="1810"/>
      <c r="AN227" s="1810"/>
      <c r="AO227" s="179" t="s">
        <v>182</v>
      </c>
      <c r="AP227" s="180">
        <f>AP224+AP225+AP226</f>
        <v>3.4722222222222224E-2</v>
      </c>
      <c r="AR227" s="162" t="s">
        <v>10</v>
      </c>
      <c r="AS227" s="163" t="str">
        <f>AS190</f>
        <v>N NOMBRE DE SU RECETA | pegue esto — FAMILIA| Auteur &gt; VOUS</v>
      </c>
      <c r="AT227" s="163">
        <f>AT190</f>
        <v>1</v>
      </c>
      <c r="AU227" s="164" t="str">
        <f>AU190</f>
        <v>coupe</v>
      </c>
      <c r="AV227" s="165" t="str">
        <f>AV190</f>
        <v>Receta madre ► MILLE-FEUILLE  aux fraises des bois</v>
      </c>
      <c r="AW227" s="1548"/>
      <c r="AX227" s="1548"/>
      <c r="AY227" s="2190">
        <f>ROWS(BC223:BC227)</f>
        <v>5</v>
      </c>
      <c r="AZ227" s="5549" t="str" cm="1">
        <f t="array" ref="AZ227">IF(SUMPRODUCT((BC227:BH227&lt;&gt;"")*1)=0,"",SUMPRODUCT((BC227:BH227&lt;&gt;"")*(LEN(TRIM(SUBSTITUTE(BC227:BH227,CHAR(160)," "))) - LEN(SUBSTITUTE(TRIM(SUBSTITUTE(BC227:BH227,CHAR(160)," "))," ","")) + 1)) &amp; " palabra" &amp; IF(SUMPRODUCT((BC227:BH227&lt;&gt;"")*(LEN(TRIM(SUBSTITUTE(BC227:BH227,CHAR(160)," "))) - LEN(SUBSTITUTE(TRIM(SUBSTITUTE(BC227:BH227,CHAR(160)," "))," ","")) + 1))&gt;1,"s",""))</f>
        <v/>
      </c>
      <c r="BA227" s="5550" t="str" cm="1">
        <f t="array" ref="BA227">SUMPRODUCT(--(BC227:BH227&lt;&gt;""), LEN(TRIM(SUBSTITUTE(BC227:BH227, CHAR(160), "")))) &amp; " Car."</f>
        <v>0 Car.</v>
      </c>
      <c r="BB227" s="1376" t="str">
        <f>IF(ISBLANK(BC227),"",LARGE(BB222:BB226,1)+1)</f>
        <v/>
      </c>
      <c r="BC227" s="1810"/>
      <c r="BD227" s="1810"/>
      <c r="BE227" s="1810"/>
      <c r="BF227" s="1810"/>
      <c r="BG227" s="1810"/>
      <c r="BH227" s="1810"/>
      <c r="BI227" s="1810"/>
      <c r="BJ227" s="179" t="s">
        <v>182</v>
      </c>
      <c r="BK227" s="180">
        <f>BK224+BK225+BK226</f>
        <v>3.4722222222222224E-2</v>
      </c>
      <c r="BM227" s="3">
        <v>1</v>
      </c>
    </row>
    <row r="228" spans="2:65" ht="21" customHeight="1">
      <c r="B228" s="162" t="s">
        <v>10</v>
      </c>
      <c r="C228" s="163" t="str">
        <f>C190</f>
        <v>N NOM DE VOTRE RECETTE | collez la--FAMILLE| Auteur &gt; VOUS</v>
      </c>
      <c r="D228" s="163">
        <f>D190</f>
        <v>1</v>
      </c>
      <c r="E228" s="164" t="str">
        <f>E190</f>
        <v>coupe</v>
      </c>
      <c r="F228" s="165" t="str">
        <f>F190</f>
        <v>Recette mère ► MILLE-FEUILLE  aux fraises des bois</v>
      </c>
      <c r="G228" s="1548"/>
      <c r="H228" s="1548"/>
      <c r="I228" s="2190">
        <f>ROWS(M223:M228)</f>
        <v>6</v>
      </c>
      <c r="J228" s="5549" t="str" cm="1">
        <f t="array" ref="J228">IF(SUMPRODUCT((M228:R228&lt;&gt;"")*1)=0,"",SUMPRODUCT((M228:R228&lt;&gt;"")*(LEN(TRIM(SUBSTITUTE(M228:R228,CHAR(160)," "))) - LEN(SUBSTITUTE(TRIM(SUBSTITUTE(M228:R228,CHAR(160)," "))," ","")) + 1)) &amp; " mot" &amp; IF(SUMPRODUCT((M228:R228&lt;&gt;"")*(LEN(TRIM(SUBSTITUTE(M228:R228,CHAR(160)," "))) - LEN(SUBSTITUTE(TRIM(SUBSTITUTE(M228:R228,CHAR(160)," "))," ","")) + 1))&gt;1,"s",""))</f>
        <v>5 mots</v>
      </c>
      <c r="K228" s="5550" t="str" cm="1">
        <f t="array" ref="K228">SUMPRODUCT(--(M228:R228&lt;&gt;""), LEN(TRIM(SUBSTITUTE(M228:R228, CHAR(160), "")))) &amp; " Car."</f>
        <v>43 Car.</v>
      </c>
      <c r="L228" s="1376">
        <f>IF(ISBLANK(M228),"",LARGE(L222:L227,1)+1)</f>
        <v>1</v>
      </c>
      <c r="M228" s="1810" t="s">
        <v>8578</v>
      </c>
      <c r="N228" s="1833"/>
      <c r="O228" s="1810"/>
      <c r="P228" s="1810"/>
      <c r="Q228" s="1810"/>
      <c r="R228" s="1810"/>
      <c r="S228" s="1810"/>
      <c r="T228" s="1810"/>
      <c r="U228" s="1811"/>
      <c r="W228" s="162" t="s">
        <v>10</v>
      </c>
      <c r="X228" s="163" t="str">
        <f>X190</f>
        <v>N NAME OF YOUR RECIPE | paste it — FAMILY|  Author &gt; YOU</v>
      </c>
      <c r="Y228" s="163">
        <f>Y190</f>
        <v>1</v>
      </c>
      <c r="Z228" s="164" t="str">
        <f>Z190</f>
        <v>coupe</v>
      </c>
      <c r="AA228" s="165" t="str">
        <f>AA190</f>
        <v>Master recipe ► MILLE-FEUILLE  aux fraises des bois</v>
      </c>
      <c r="AB228" s="1548"/>
      <c r="AC228" s="1548"/>
      <c r="AD228" s="2190">
        <f>ROWS(AH223:AH228)</f>
        <v>6</v>
      </c>
      <c r="AE228" s="5549" t="str" cm="1">
        <f t="array" ref="AE228">IF(SUMPRODUCT((AH228:AM228&lt;&gt;"")*1)=0,"",SUMPRODUCT((AH228:AM228&lt;&gt;"")*(LEN(TRIM(SUBSTITUTE(AH228:AM228,CHAR(160)," "))) - LEN(SUBSTITUTE(TRIM(SUBSTITUTE(AH228:AM228,CHAR(160)," "))," ","")) + 1)) &amp; " word" &amp; IF(SUMPRODUCT((AH228:AM228&lt;&gt;"")*(LEN(TRIM(SUBSTITUTE(AH228:AM228,CHAR(160)," "))) - LEN(SUBSTITUTE(TRIM(SUBSTITUTE(AH228:AM228,CHAR(160)," "))," ","")) + 1))&gt;1,"s",""))</f>
        <v>4 words</v>
      </c>
      <c r="AF228" s="5550" t="str" cm="1">
        <f t="array" ref="AF228">SUMPRODUCT(--(AH228:AM228&lt;&gt;""), LEN(TRIM(SUBSTITUTE(AH228:AM228, CHAR(160), "")))) &amp; " Car."</f>
        <v>29 Car.</v>
      </c>
      <c r="AG228" s="1376">
        <f>IF(ISBLANK(AH228),"",LARGE(AG222:AG227,1)+1)</f>
        <v>1</v>
      </c>
      <c r="AH228" s="1810" t="s">
        <v>8583</v>
      </c>
      <c r="AI228" s="1833"/>
      <c r="AJ228" s="1810"/>
      <c r="AK228" s="1810"/>
      <c r="AL228" s="1810"/>
      <c r="AM228" s="1810"/>
      <c r="AN228" s="1810"/>
      <c r="AO228" s="1810"/>
      <c r="AP228" s="1811"/>
      <c r="AR228" s="162" t="s">
        <v>10</v>
      </c>
      <c r="AS228" s="163" t="str">
        <f>AS190</f>
        <v>N NOMBRE DE SU RECETA | pegue esto — FAMILIA| Auteur &gt; VOUS</v>
      </c>
      <c r="AT228" s="163">
        <f>AT190</f>
        <v>1</v>
      </c>
      <c r="AU228" s="164" t="str">
        <f>AU190</f>
        <v>coupe</v>
      </c>
      <c r="AV228" s="165" t="str">
        <f>AV190</f>
        <v>Receta madre ► MILLE-FEUILLE  aux fraises des bois</v>
      </c>
      <c r="AW228" s="1548"/>
      <c r="AX228" s="1548"/>
      <c r="AY228" s="2190">
        <f>ROWS(BC223:BC228)</f>
        <v>6</v>
      </c>
      <c r="AZ228" s="5549" t="str" cm="1">
        <f t="array" ref="AZ228">IF(SUMPRODUCT((BC228:BH228&lt;&gt;"")*1)=0,"",SUMPRODUCT((BC228:BH228&lt;&gt;"")*(LEN(TRIM(SUBSTITUTE(BC228:BH228,CHAR(160)," "))) - LEN(SUBSTITUTE(TRIM(SUBSTITUTE(BC228:BH228,CHAR(160)," "))," ","")) + 1)) &amp; " palabra" &amp; IF(SUMPRODUCT((BC228:BH228&lt;&gt;"")*(LEN(TRIM(SUBSTITUTE(BC228:BH228,CHAR(160)," "))) - LEN(SUBSTITUTE(TRIM(SUBSTITUTE(BC228:BH228,CHAR(160)," "))," ","")) + 1))&gt;1,"s",""))</f>
        <v>5 palabras</v>
      </c>
      <c r="BA228" s="5550" t="str" cm="1">
        <f t="array" ref="BA228">SUMPRODUCT(--(BC228:BH228&lt;&gt;""), LEN(TRIM(SUBSTITUTE(BC228:BH228, CHAR(160), "")))) &amp; " Car."</f>
        <v>37 Car.</v>
      </c>
      <c r="BB228" s="1376">
        <f>IF(ISBLANK(BC228),"",LARGE(BB222:BB227,1)+1)</f>
        <v>1</v>
      </c>
      <c r="BC228" s="1810" t="s">
        <v>8588</v>
      </c>
      <c r="BD228" s="1833"/>
      <c r="BE228" s="1810"/>
      <c r="BF228" s="1810"/>
      <c r="BG228" s="1810"/>
      <c r="BH228" s="1810"/>
      <c r="BI228" s="1810"/>
      <c r="BJ228" s="1810"/>
      <c r="BK228" s="1811"/>
      <c r="BM228" s="3">
        <v>1</v>
      </c>
    </row>
    <row r="229" spans="2:65" ht="21" customHeight="1">
      <c r="B229" s="162" t="s">
        <v>10</v>
      </c>
      <c r="C229" s="163" t="str">
        <f>C190</f>
        <v>N NOM DE VOTRE RECETTE | collez la--FAMILLE| Auteur &gt; VOUS</v>
      </c>
      <c r="D229" s="163">
        <f>D190</f>
        <v>1</v>
      </c>
      <c r="E229" s="164" t="str">
        <f>E190</f>
        <v>coupe</v>
      </c>
      <c r="F229" s="165" t="str">
        <f>F190</f>
        <v>Recette mère ► MILLE-FEUILLE  aux fraises des bois</v>
      </c>
      <c r="G229" s="1548"/>
      <c r="H229" s="1548"/>
      <c r="I229" s="2190">
        <f>ROWS(M223:M229)</f>
        <v>7</v>
      </c>
      <c r="J229" s="5549" t="str" cm="1">
        <f t="array" ref="J229">IF(SUMPRODUCT((M229:R229&lt;&gt;"")*1)=0,"",SUMPRODUCT((M229:R229&lt;&gt;"")*(LEN(TRIM(SUBSTITUTE(M229:R229,CHAR(160)," "))) - LEN(SUBSTITUTE(TRIM(SUBSTITUTE(M229:R229,CHAR(160)," "))," ","")) + 1)) &amp; " mot" &amp; IF(SUMPRODUCT((M229:R229&lt;&gt;"")*(LEN(TRIM(SUBSTITUTE(M229:R229,CHAR(160)," "))) - LEN(SUBSTITUTE(TRIM(SUBSTITUTE(M229:R229,CHAR(160)," "))," ","")) + 1))&gt;1,"s",""))</f>
        <v>8 mots</v>
      </c>
      <c r="K229" s="5550" t="str" cm="1">
        <f t="array" ref="K229">SUMPRODUCT(--(M229:R229&lt;&gt;""), LEN(TRIM(SUBSTITUTE(M229:R229, CHAR(160), "")))) &amp; " Car."</f>
        <v>50 Car.</v>
      </c>
      <c r="L229" s="1376" t="str">
        <f>IF(ISBLANK(M229),"",LARGE(L222:L228,1)+1)</f>
        <v/>
      </c>
      <c r="M229" s="1810"/>
      <c r="N229" s="1810" t="s">
        <v>8579</v>
      </c>
      <c r="O229" s="1810"/>
      <c r="P229" s="1810"/>
      <c r="Q229" s="1810"/>
      <c r="R229" s="1810"/>
      <c r="S229" s="1810"/>
      <c r="T229" s="1810"/>
      <c r="U229" s="1811"/>
      <c r="W229" s="162" t="s">
        <v>10</v>
      </c>
      <c r="X229" s="163" t="str">
        <f>X190</f>
        <v>N NAME OF YOUR RECIPE | paste it — FAMILY|  Author &gt; YOU</v>
      </c>
      <c r="Y229" s="163">
        <f>Y190</f>
        <v>1</v>
      </c>
      <c r="Z229" s="164" t="str">
        <f>Z190</f>
        <v>coupe</v>
      </c>
      <c r="AA229" s="165" t="str">
        <f>AA190</f>
        <v>Master recipe ► MILLE-FEUILLE  aux fraises des bois</v>
      </c>
      <c r="AB229" s="1548"/>
      <c r="AC229" s="1548"/>
      <c r="AD229" s="2190">
        <f>ROWS(AH223:AH229)</f>
        <v>7</v>
      </c>
      <c r="AE229" s="5549" t="str" cm="1">
        <f t="array" ref="AE229">IF(SUMPRODUCT((AH229:AM229&lt;&gt;"")*1)=0,"",SUMPRODUCT((AH229:AM229&lt;&gt;"")*(LEN(TRIM(SUBSTITUTE(AH229:AM229,CHAR(160)," "))) - LEN(SUBSTITUTE(TRIM(SUBSTITUTE(AH229:AM229,CHAR(160)," "))," ","")) + 1)) &amp; " word" &amp; IF(SUMPRODUCT((AH229:AM229&lt;&gt;"")*(LEN(TRIM(SUBSTITUTE(AH229:AM229,CHAR(160)," "))) - LEN(SUBSTITUTE(TRIM(SUBSTITUTE(AH229:AM229,CHAR(160)," "))," ","")) + 1))&gt;1,"s",""))</f>
        <v>9 words</v>
      </c>
      <c r="AF229" s="5550" t="str" cm="1">
        <f t="array" ref="AF229">SUMPRODUCT(--(AH229:AM229&lt;&gt;""), LEN(TRIM(SUBSTITUTE(AH229:AM229, CHAR(160), "")))) &amp; " Car."</f>
        <v>47 Car.</v>
      </c>
      <c r="AG229" s="1376" t="str">
        <f>IF(ISBLANK(AH229),"",LARGE(AG222:AG228,1)+1)</f>
        <v/>
      </c>
      <c r="AH229" s="1810"/>
      <c r="AI229" s="1810" t="s">
        <v>8584</v>
      </c>
      <c r="AJ229" s="1810"/>
      <c r="AK229" s="1810"/>
      <c r="AL229" s="1810"/>
      <c r="AM229" s="1810"/>
      <c r="AN229" s="1810"/>
      <c r="AO229" s="1810"/>
      <c r="AP229" s="1811"/>
      <c r="AR229" s="162" t="s">
        <v>10</v>
      </c>
      <c r="AS229" s="163" t="str">
        <f>AS190</f>
        <v>N NOMBRE DE SU RECETA | pegue esto — FAMILIA| Auteur &gt; VOUS</v>
      </c>
      <c r="AT229" s="163">
        <f>AT190</f>
        <v>1</v>
      </c>
      <c r="AU229" s="164" t="str">
        <f>AU190</f>
        <v>coupe</v>
      </c>
      <c r="AV229" s="165" t="str">
        <f>AV190</f>
        <v>Receta madre ► MILLE-FEUILLE  aux fraises des bois</v>
      </c>
      <c r="AW229" s="1548"/>
      <c r="AX229" s="1548"/>
      <c r="AY229" s="2190">
        <f>ROWS(BC223:BC229)</f>
        <v>7</v>
      </c>
      <c r="AZ229" s="5549" t="str" cm="1">
        <f t="array" ref="AZ229">IF(SUMPRODUCT((BC229:BH229&lt;&gt;"")*1)=0,"",SUMPRODUCT((BC229:BH229&lt;&gt;"")*(LEN(TRIM(SUBSTITUTE(BC229:BH229,CHAR(160)," "))) - LEN(SUBSTITUTE(TRIM(SUBSTITUTE(BC229:BH229,CHAR(160)," "))," ","")) + 1)) &amp; " palabra" &amp; IF(SUMPRODUCT((BC229:BH229&lt;&gt;"")*(LEN(TRIM(SUBSTITUTE(BC229:BH229,CHAR(160)," "))) - LEN(SUBSTITUTE(TRIM(SUBSTITUTE(BC229:BH229,CHAR(160)," "))," ","")) + 1))&gt;1,"s",""))</f>
        <v>7 palabras</v>
      </c>
      <c r="BA229" s="5550" t="str" cm="1">
        <f t="array" ref="BA229">SUMPRODUCT(--(BC229:BH229&lt;&gt;""), LEN(TRIM(SUBSTITUTE(BC229:BH229, CHAR(160), "")))) &amp; " Car."</f>
        <v>39 Car.</v>
      </c>
      <c r="BB229" s="1376" t="str">
        <f>IF(ISBLANK(BC229),"",LARGE(BB222:BB228,1)+1)</f>
        <v/>
      </c>
      <c r="BC229" s="1810"/>
      <c r="BD229" s="1810" t="s">
        <v>8589</v>
      </c>
      <c r="BE229" s="1810"/>
      <c r="BF229" s="1810"/>
      <c r="BG229" s="1810"/>
      <c r="BH229" s="1810"/>
      <c r="BI229" s="1810"/>
      <c r="BJ229" s="1810"/>
      <c r="BK229" s="1811"/>
      <c r="BM229" s="3">
        <v>1</v>
      </c>
    </row>
    <row r="230" spans="2:65" ht="21" customHeight="1">
      <c r="B230" s="162" t="s">
        <v>10</v>
      </c>
      <c r="C230" s="163" t="str">
        <f>C190</f>
        <v>N NOM DE VOTRE RECETTE | collez la--FAMILLE| Auteur &gt; VOUS</v>
      </c>
      <c r="D230" s="163">
        <f>D190</f>
        <v>1</v>
      </c>
      <c r="E230" s="164" t="str">
        <f>E190</f>
        <v>coupe</v>
      </c>
      <c r="F230" s="165" t="str">
        <f>F190</f>
        <v>Recette mère ► MILLE-FEUILLE  aux fraises des bois</v>
      </c>
      <c r="G230" s="1548"/>
      <c r="H230" s="1548"/>
      <c r="I230" s="2190">
        <f>ROWS(M223:M230)</f>
        <v>8</v>
      </c>
      <c r="J230" s="5549" t="str" cm="1">
        <f t="array" ref="J230">IF(SUMPRODUCT((M230:R230&lt;&gt;"")*1)=0,"",SUMPRODUCT((M230:R230&lt;&gt;"")*(LEN(TRIM(SUBSTITUTE(M230:R230,CHAR(160)," "))) - LEN(SUBSTITUTE(TRIM(SUBSTITUTE(M230:R230,CHAR(160)," "))," ","")) + 1)) &amp; " mot" &amp; IF(SUMPRODUCT((M230:R230&lt;&gt;"")*(LEN(TRIM(SUBSTITUTE(M230:R230,CHAR(160)," "))) - LEN(SUBSTITUTE(TRIM(SUBSTITUTE(M230:R230,CHAR(160)," "))," ","")) + 1))&gt;1,"s",""))</f>
        <v/>
      </c>
      <c r="K230" s="5550" t="str" cm="1">
        <f t="array" ref="K230">SUMPRODUCT(--(M230:R230&lt;&gt;""), LEN(TRIM(SUBSTITUTE(M230:R230, CHAR(160), "")))) &amp; " Car."</f>
        <v>0 Car.</v>
      </c>
      <c r="L230" s="1376" t="str">
        <f>IF(ISBLANK(M230),"",LARGE(L222:L229,1)+1)</f>
        <v/>
      </c>
      <c r="M230" s="1810"/>
      <c r="N230" s="1810"/>
      <c r="O230" s="1810"/>
      <c r="P230" s="1810"/>
      <c r="Q230" s="1810"/>
      <c r="R230" s="1810"/>
      <c r="S230" s="1810"/>
      <c r="T230" s="1810"/>
      <c r="U230" s="1811"/>
      <c r="W230" s="162" t="s">
        <v>10</v>
      </c>
      <c r="X230" s="163" t="str">
        <f>X190</f>
        <v>N NAME OF YOUR RECIPE | paste it — FAMILY|  Author &gt; YOU</v>
      </c>
      <c r="Y230" s="163">
        <f>Y190</f>
        <v>1</v>
      </c>
      <c r="Z230" s="164" t="str">
        <f>Z190</f>
        <v>coupe</v>
      </c>
      <c r="AA230" s="165" t="str">
        <f>AA190</f>
        <v>Master recipe ► MILLE-FEUILLE  aux fraises des bois</v>
      </c>
      <c r="AB230" s="1548"/>
      <c r="AC230" s="1548"/>
      <c r="AD230" s="2190">
        <f>ROWS(AH223:AH230)</f>
        <v>8</v>
      </c>
      <c r="AE230" s="5549" t="str" cm="1">
        <f t="array" ref="AE230">IF(SUMPRODUCT((AH230:AM230&lt;&gt;"")*1)=0,"",SUMPRODUCT((AH230:AM230&lt;&gt;"")*(LEN(TRIM(SUBSTITUTE(AH230:AM230,CHAR(160)," "))) - LEN(SUBSTITUTE(TRIM(SUBSTITUTE(AH230:AM230,CHAR(160)," "))," ","")) + 1)) &amp; " word" &amp; IF(SUMPRODUCT((AH230:AM230&lt;&gt;"")*(LEN(TRIM(SUBSTITUTE(AH230:AM230,CHAR(160)," "))) - LEN(SUBSTITUTE(TRIM(SUBSTITUTE(AH230:AM230,CHAR(160)," "))," ","")) + 1))&gt;1,"s",""))</f>
        <v/>
      </c>
      <c r="AF230" s="5550" t="str" cm="1">
        <f t="array" ref="AF230">SUMPRODUCT(--(AH230:AM230&lt;&gt;""), LEN(TRIM(SUBSTITUTE(AH230:AM230, CHAR(160), "")))) &amp; " Car."</f>
        <v>0 Car.</v>
      </c>
      <c r="AG230" s="1376" t="str">
        <f>IF(ISBLANK(AH230),"",LARGE(AG222:AG229,1)+1)</f>
        <v/>
      </c>
      <c r="AH230" s="1833"/>
      <c r="AI230" s="1810"/>
      <c r="AJ230" s="1810"/>
      <c r="AK230" s="1810"/>
      <c r="AL230" s="1810"/>
      <c r="AM230" s="1810"/>
      <c r="AN230" s="1810"/>
      <c r="AO230" s="1810"/>
      <c r="AP230" s="1811"/>
      <c r="AR230" s="162" t="s">
        <v>10</v>
      </c>
      <c r="AS230" s="163" t="str">
        <f>AS190</f>
        <v>N NOMBRE DE SU RECETA | pegue esto — FAMILIA| Auteur &gt; VOUS</v>
      </c>
      <c r="AT230" s="163">
        <f>AT190</f>
        <v>1</v>
      </c>
      <c r="AU230" s="164" t="str">
        <f>AU190</f>
        <v>coupe</v>
      </c>
      <c r="AV230" s="165" t="str">
        <f>AV190</f>
        <v>Receta madre ► MILLE-FEUILLE  aux fraises des bois</v>
      </c>
      <c r="AW230" s="1548"/>
      <c r="AX230" s="1548"/>
      <c r="AY230" s="2190">
        <f>ROWS(BC223:BC230)</f>
        <v>8</v>
      </c>
      <c r="AZ230" s="5549" t="str" cm="1">
        <f t="array" ref="AZ230">IF(SUMPRODUCT((BC230:BH230&lt;&gt;"")*1)=0,"",SUMPRODUCT((BC230:BH230&lt;&gt;"")*(LEN(TRIM(SUBSTITUTE(BC230:BH230,CHAR(160)," "))) - LEN(SUBSTITUTE(TRIM(SUBSTITUTE(BC230:BH230,CHAR(160)," "))," ","")) + 1)) &amp; " palabra" &amp; IF(SUMPRODUCT((BC230:BH230&lt;&gt;"")*(LEN(TRIM(SUBSTITUTE(BC230:BH230,CHAR(160)," "))) - LEN(SUBSTITUTE(TRIM(SUBSTITUTE(BC230:BH230,CHAR(160)," "))," ","")) + 1))&gt;1,"s",""))</f>
        <v/>
      </c>
      <c r="BA230" s="5550" t="str" cm="1">
        <f t="array" ref="BA230">SUMPRODUCT(--(BC230:BH230&lt;&gt;""), LEN(TRIM(SUBSTITUTE(BC230:BH230, CHAR(160), "")))) &amp; " Car."</f>
        <v>0 Car.</v>
      </c>
      <c r="BB230" s="1376" t="str">
        <f>IF(ISBLANK(BC230),"",LARGE(BB222:BB229,1)+1)</f>
        <v/>
      </c>
      <c r="BC230" s="1833"/>
      <c r="BD230" s="1810"/>
      <c r="BE230" s="1810"/>
      <c r="BF230" s="1810"/>
      <c r="BG230" s="1810"/>
      <c r="BH230" s="1810"/>
      <c r="BI230" s="1810"/>
      <c r="BJ230" s="1810"/>
      <c r="BK230" s="1811"/>
      <c r="BM230" s="3">
        <v>1</v>
      </c>
    </row>
    <row r="231" spans="2:65" ht="21" customHeight="1">
      <c r="B231" s="162" t="s">
        <v>10</v>
      </c>
      <c r="C231" s="163" t="str">
        <f>C190</f>
        <v>N NOM DE VOTRE RECETTE | collez la--FAMILLE| Auteur &gt; VOUS</v>
      </c>
      <c r="D231" s="163">
        <f>D190</f>
        <v>1</v>
      </c>
      <c r="E231" s="164" t="str">
        <f>E190</f>
        <v>coupe</v>
      </c>
      <c r="F231" s="165" t="str">
        <f>F190</f>
        <v>Recette mère ► MILLE-FEUILLE  aux fraises des bois</v>
      </c>
      <c r="G231" s="1548"/>
      <c r="H231" s="1548"/>
      <c r="I231" s="2190">
        <f>ROWS(M223:M231)</f>
        <v>9</v>
      </c>
      <c r="J231" s="5549" t="str" cm="1">
        <f t="array" ref="J231">IF(SUMPRODUCT((M231:R231&lt;&gt;"")*1)=0,"",SUMPRODUCT((M231:R231&lt;&gt;"")*(LEN(TRIM(SUBSTITUTE(M231:R231,CHAR(160)," "))) - LEN(SUBSTITUTE(TRIM(SUBSTITUTE(M231:R231,CHAR(160)," "))," ","")) + 1)) &amp; " mot" &amp; IF(SUMPRODUCT((M231:R231&lt;&gt;"")*(LEN(TRIM(SUBSTITUTE(M231:R231,CHAR(160)," "))) - LEN(SUBSTITUTE(TRIM(SUBSTITUTE(M231:R231,CHAR(160)," "))," ","")) + 1))&gt;1,"s",""))</f>
        <v/>
      </c>
      <c r="K231" s="5550" t="str" cm="1">
        <f t="array" ref="K231">SUMPRODUCT(--(M231:R231&lt;&gt;""), LEN(TRIM(SUBSTITUTE(M231:R231, CHAR(160), "")))) &amp; " Car."</f>
        <v>0 Car.</v>
      </c>
      <c r="L231" s="1376" t="str">
        <f>IF(ISBLANK(M231),"",LARGE(L222:L230,1)+1)</f>
        <v/>
      </c>
      <c r="M231" s="1810"/>
      <c r="N231" s="1810"/>
      <c r="O231" s="1810"/>
      <c r="P231" s="1810"/>
      <c r="Q231" s="1810"/>
      <c r="R231" s="1810"/>
      <c r="S231" s="1810"/>
      <c r="T231" s="1810"/>
      <c r="U231" s="1811"/>
      <c r="W231" s="162" t="s">
        <v>10</v>
      </c>
      <c r="X231" s="163" t="str">
        <f>X190</f>
        <v>N NAME OF YOUR RECIPE | paste it — FAMILY|  Author &gt; YOU</v>
      </c>
      <c r="Y231" s="163">
        <f>Y190</f>
        <v>1</v>
      </c>
      <c r="Z231" s="164" t="str">
        <f>Z190</f>
        <v>coupe</v>
      </c>
      <c r="AA231" s="165" t="str">
        <f>AA190</f>
        <v>Master recipe ► MILLE-FEUILLE  aux fraises des bois</v>
      </c>
      <c r="AB231" s="1548"/>
      <c r="AC231" s="1548"/>
      <c r="AD231" s="2190">
        <f>ROWS(AH223:AH231)</f>
        <v>9</v>
      </c>
      <c r="AE231" s="5549" t="str" cm="1">
        <f t="array" ref="AE231">IF(SUMPRODUCT((AH231:AM231&lt;&gt;"")*1)=0,"",SUMPRODUCT((AH231:AM231&lt;&gt;"")*(LEN(TRIM(SUBSTITUTE(AH231:AM231,CHAR(160)," "))) - LEN(SUBSTITUTE(TRIM(SUBSTITUTE(AH231:AM231,CHAR(160)," "))," ","")) + 1)) &amp; " word" &amp; IF(SUMPRODUCT((AH231:AM231&lt;&gt;"")*(LEN(TRIM(SUBSTITUTE(AH231:AM231,CHAR(160)," "))) - LEN(SUBSTITUTE(TRIM(SUBSTITUTE(AH231:AM231,CHAR(160)," "))," ","")) + 1))&gt;1,"s",""))</f>
        <v/>
      </c>
      <c r="AF231" s="5550" t="str" cm="1">
        <f t="array" ref="AF231">SUMPRODUCT(--(AH231:AM231&lt;&gt;""), LEN(TRIM(SUBSTITUTE(AH231:AM231, CHAR(160), "")))) &amp; " Car."</f>
        <v>0 Car.</v>
      </c>
      <c r="AG231" s="1376" t="str">
        <f>IF(ISBLANK(AH231),"",LARGE(AG222:AG230,1)+1)</f>
        <v/>
      </c>
      <c r="AH231" s="1810"/>
      <c r="AI231" s="1810"/>
      <c r="AJ231" s="1810"/>
      <c r="AK231" s="1810"/>
      <c r="AL231" s="1810"/>
      <c r="AM231" s="1810"/>
      <c r="AN231" s="1810"/>
      <c r="AO231" s="1810"/>
      <c r="AP231" s="1811"/>
      <c r="AR231" s="162" t="s">
        <v>10</v>
      </c>
      <c r="AS231" s="163" t="str">
        <f>AS190</f>
        <v>N NOMBRE DE SU RECETA | pegue esto — FAMILIA| Auteur &gt; VOUS</v>
      </c>
      <c r="AT231" s="163">
        <f>AT190</f>
        <v>1</v>
      </c>
      <c r="AU231" s="164" t="str">
        <f>AU190</f>
        <v>coupe</v>
      </c>
      <c r="AV231" s="165" t="str">
        <f>AV190</f>
        <v>Receta madre ► MILLE-FEUILLE  aux fraises des bois</v>
      </c>
      <c r="AW231" s="1548"/>
      <c r="AX231" s="1548"/>
      <c r="AY231" s="2190">
        <f>ROWS(BC223:BC231)</f>
        <v>9</v>
      </c>
      <c r="AZ231" s="5549" t="str" cm="1">
        <f t="array" ref="AZ231">IF(SUMPRODUCT((BC231:BH231&lt;&gt;"")*1)=0,"",SUMPRODUCT((BC231:BH231&lt;&gt;"")*(LEN(TRIM(SUBSTITUTE(BC231:BH231,CHAR(160)," "))) - LEN(SUBSTITUTE(TRIM(SUBSTITUTE(BC231:BH231,CHAR(160)," "))," ","")) + 1)) &amp; " palabra" &amp; IF(SUMPRODUCT((BC231:BH231&lt;&gt;"")*(LEN(TRIM(SUBSTITUTE(BC231:BH231,CHAR(160)," "))) - LEN(SUBSTITUTE(TRIM(SUBSTITUTE(BC231:BH231,CHAR(160)," "))," ","")) + 1))&gt;1,"s",""))</f>
        <v/>
      </c>
      <c r="BA231" s="5550" t="str" cm="1">
        <f t="array" ref="BA231">SUMPRODUCT(--(BC231:BH231&lt;&gt;""), LEN(TRIM(SUBSTITUTE(BC231:BH231, CHAR(160), "")))) &amp; " Car."</f>
        <v>0 Car.</v>
      </c>
      <c r="BB231" s="1376" t="str">
        <f>IF(ISBLANK(BC231),"",LARGE(BB222:BB230,1)+1)</f>
        <v/>
      </c>
      <c r="BC231" s="1833"/>
      <c r="BD231" s="1810"/>
      <c r="BE231" s="1810"/>
      <c r="BF231" s="1810"/>
      <c r="BG231" s="1810"/>
      <c r="BH231" s="1810"/>
      <c r="BI231" s="1810"/>
      <c r="BJ231" s="1810"/>
      <c r="BK231" s="1811"/>
      <c r="BM231" s="3">
        <v>1</v>
      </c>
    </row>
    <row r="232" spans="2:65" ht="21" customHeight="1">
      <c r="B232" s="162" t="s">
        <v>10</v>
      </c>
      <c r="C232" s="163" t="str">
        <f>C190</f>
        <v>N NOM DE VOTRE RECETTE | collez la--FAMILLE| Auteur &gt; VOUS</v>
      </c>
      <c r="D232" s="163">
        <f>D190</f>
        <v>1</v>
      </c>
      <c r="E232" s="164" t="str">
        <f>E190</f>
        <v>coupe</v>
      </c>
      <c r="F232" s="165" t="str">
        <f>F190</f>
        <v>Recette mère ► MILLE-FEUILLE  aux fraises des bois</v>
      </c>
      <c r="G232" s="1548"/>
      <c r="H232" s="1548"/>
      <c r="I232" s="2190">
        <f>ROWS(M223:M232)</f>
        <v>10</v>
      </c>
      <c r="J232" s="5549" t="str" cm="1">
        <f t="array" ref="J232">IF(SUMPRODUCT((M232:R232&lt;&gt;"")*1)=0,"",SUMPRODUCT((M232:R232&lt;&gt;"")*(LEN(TRIM(SUBSTITUTE(M232:R232,CHAR(160)," "))) - LEN(SUBSTITUTE(TRIM(SUBSTITUTE(M232:R232,CHAR(160)," "))," ","")) + 1)) &amp; " mot" &amp; IF(SUMPRODUCT((M232:R232&lt;&gt;"")*(LEN(TRIM(SUBSTITUTE(M232:R232,CHAR(160)," "))) - LEN(SUBSTITUTE(TRIM(SUBSTITUTE(M232:R232,CHAR(160)," "))," ","")) + 1))&gt;1,"s",""))</f>
        <v/>
      </c>
      <c r="K232" s="5550" t="str" cm="1">
        <f t="array" ref="K232">SUMPRODUCT(--(M232:R232&lt;&gt;""), LEN(TRIM(SUBSTITUTE(M232:R232, CHAR(160), "")))) &amp; " Car."</f>
        <v>0 Car.</v>
      </c>
      <c r="L232" s="1376" t="str">
        <f>IF(ISBLANK(M232),"",LARGE(L222:L231,1)+1)</f>
        <v/>
      </c>
      <c r="M232" s="1810"/>
      <c r="N232" s="1810"/>
      <c r="O232" s="1810"/>
      <c r="P232" s="1810"/>
      <c r="Q232" s="1810"/>
      <c r="R232" s="1810"/>
      <c r="S232" s="1810"/>
      <c r="T232" s="1810"/>
      <c r="U232" s="1811"/>
      <c r="W232" s="162" t="s">
        <v>10</v>
      </c>
      <c r="X232" s="163" t="str">
        <f>X190</f>
        <v>N NAME OF YOUR RECIPE | paste it — FAMILY|  Author &gt; YOU</v>
      </c>
      <c r="Y232" s="163">
        <f>Y190</f>
        <v>1</v>
      </c>
      <c r="Z232" s="164" t="str">
        <f>Z190</f>
        <v>coupe</v>
      </c>
      <c r="AA232" s="165" t="str">
        <f>AA190</f>
        <v>Master recipe ► MILLE-FEUILLE  aux fraises des bois</v>
      </c>
      <c r="AB232" s="1548"/>
      <c r="AC232" s="1548"/>
      <c r="AD232" s="2190">
        <f>ROWS(AH223:AH232)</f>
        <v>10</v>
      </c>
      <c r="AE232" s="5549" t="str" cm="1">
        <f t="array" ref="AE232">IF(SUMPRODUCT((AH232:AM232&lt;&gt;"")*1)=0,"",SUMPRODUCT((AH232:AM232&lt;&gt;"")*(LEN(TRIM(SUBSTITUTE(AH232:AM232,CHAR(160)," "))) - LEN(SUBSTITUTE(TRIM(SUBSTITUTE(AH232:AM232,CHAR(160)," "))," ","")) + 1)) &amp; " word" &amp; IF(SUMPRODUCT((AH232:AM232&lt;&gt;"")*(LEN(TRIM(SUBSTITUTE(AH232:AM232,CHAR(160)," "))) - LEN(SUBSTITUTE(TRIM(SUBSTITUTE(AH232:AM232,CHAR(160)," "))," ","")) + 1))&gt;1,"s",""))</f>
        <v/>
      </c>
      <c r="AF232" s="5550" t="str" cm="1">
        <f t="array" ref="AF232">SUMPRODUCT(--(AH232:AM232&lt;&gt;""), LEN(TRIM(SUBSTITUTE(AH232:AM232, CHAR(160), "")))) &amp; " Car."</f>
        <v>0 Car.</v>
      </c>
      <c r="AG232" s="1376" t="str">
        <f>IF(ISBLANK(AH232),"",LARGE(AG222:AG231,1)+1)</f>
        <v/>
      </c>
      <c r="AH232" s="1810"/>
      <c r="AI232" s="1810"/>
      <c r="AJ232" s="1810"/>
      <c r="AK232" s="1810"/>
      <c r="AL232" s="1810"/>
      <c r="AM232" s="1810"/>
      <c r="AN232" s="1810"/>
      <c r="AO232" s="1810"/>
      <c r="AP232" s="1811"/>
      <c r="AR232" s="162" t="s">
        <v>10</v>
      </c>
      <c r="AS232" s="163" t="str">
        <f>AS190</f>
        <v>N NOMBRE DE SU RECETA | pegue esto — FAMILIA| Auteur &gt; VOUS</v>
      </c>
      <c r="AT232" s="163">
        <f>AT190</f>
        <v>1</v>
      </c>
      <c r="AU232" s="164" t="str">
        <f>AU190</f>
        <v>coupe</v>
      </c>
      <c r="AV232" s="165" t="str">
        <f>AV190</f>
        <v>Receta madre ► MILLE-FEUILLE  aux fraises des bois</v>
      </c>
      <c r="AW232" s="1548"/>
      <c r="AX232" s="1548"/>
      <c r="AY232" s="2190">
        <f>ROWS(BC223:BC232)</f>
        <v>10</v>
      </c>
      <c r="AZ232" s="5549" t="str" cm="1">
        <f t="array" ref="AZ232">IF(SUMPRODUCT((BC232:BH232&lt;&gt;"")*1)=0,"",SUMPRODUCT((BC232:BH232&lt;&gt;"")*(LEN(TRIM(SUBSTITUTE(BC232:BH232,CHAR(160)," "))) - LEN(SUBSTITUTE(TRIM(SUBSTITUTE(BC232:BH232,CHAR(160)," "))," ","")) + 1)) &amp; " palabra" &amp; IF(SUMPRODUCT((BC232:BH232&lt;&gt;"")*(LEN(TRIM(SUBSTITUTE(BC232:BH232,CHAR(160)," "))) - LEN(SUBSTITUTE(TRIM(SUBSTITUTE(BC232:BH232,CHAR(160)," "))," ","")) + 1))&gt;1,"s",""))</f>
        <v/>
      </c>
      <c r="BA232" s="5550" t="str" cm="1">
        <f t="array" ref="BA232">SUMPRODUCT(--(BC232:BH232&lt;&gt;""), LEN(TRIM(SUBSTITUTE(BC232:BH232, CHAR(160), "")))) &amp; " Car."</f>
        <v>0 Car.</v>
      </c>
      <c r="BB232" s="1376" t="str">
        <f>IF(ISBLANK(BC232),"",LARGE(BB222:BB231,1)+1)</f>
        <v/>
      </c>
      <c r="BC232" s="1833"/>
      <c r="BD232" s="1810"/>
      <c r="BE232" s="1810"/>
      <c r="BF232" s="1810"/>
      <c r="BG232" s="1810"/>
      <c r="BH232" s="1810"/>
      <c r="BI232" s="1810"/>
      <c r="BJ232" s="1810"/>
      <c r="BK232" s="1811"/>
      <c r="BM232" s="3">
        <v>1</v>
      </c>
    </row>
    <row r="233" spans="2:65" ht="21" customHeight="1">
      <c r="B233" s="162" t="s">
        <v>10</v>
      </c>
      <c r="C233" s="163" t="str">
        <f>C190</f>
        <v>N NOM DE VOTRE RECETTE | collez la--FAMILLE| Auteur &gt; VOUS</v>
      </c>
      <c r="D233" s="1943">
        <f>D190</f>
        <v>1</v>
      </c>
      <c r="E233" s="164" t="str">
        <f>E190</f>
        <v>coupe</v>
      </c>
      <c r="F233" s="165" t="str">
        <f>F190</f>
        <v>Recette mère ► MILLE-FEUILLE  aux fraises des bois</v>
      </c>
      <c r="G233" s="1548"/>
      <c r="H233" s="1548"/>
      <c r="I233" s="2190">
        <f>ROWS(M223:M233)</f>
        <v>11</v>
      </c>
      <c r="J233" s="5549" t="str" cm="1">
        <f t="array" ref="J233">IF(SUMPRODUCT((M233:R233&lt;&gt;"")*1)=0,"",SUMPRODUCT((M233:R233&lt;&gt;"")*(LEN(TRIM(SUBSTITUTE(M233:R233,CHAR(160)," "))) - LEN(SUBSTITUTE(TRIM(SUBSTITUTE(M233:R233,CHAR(160)," "))," ","")) + 1)) &amp; " mot" &amp; IF(SUMPRODUCT((M233:R233&lt;&gt;"")*(LEN(TRIM(SUBSTITUTE(M233:R233,CHAR(160)," "))) - LEN(SUBSTITUTE(TRIM(SUBSTITUTE(M233:R233,CHAR(160)," "))," ","")) + 1))&gt;1,"s",""))</f>
        <v/>
      </c>
      <c r="K233" s="5550" t="str" cm="1">
        <f t="array" ref="K233">SUMPRODUCT(--(M233:R233&lt;&gt;""), LEN(TRIM(SUBSTITUTE(M233:R233, CHAR(160), "")))) &amp; " Car."</f>
        <v>0 Car.</v>
      </c>
      <c r="L233" s="1376" t="str">
        <f>IF(ISBLANK(M233),"",LARGE(L222:L232,1)+1)</f>
        <v/>
      </c>
      <c r="M233" s="1810"/>
      <c r="N233" s="1810"/>
      <c r="O233" s="1810"/>
      <c r="P233" s="1810"/>
      <c r="Q233" s="1810"/>
      <c r="R233" s="1810"/>
      <c r="S233" s="1810"/>
      <c r="T233" s="1810"/>
      <c r="U233" s="1811"/>
      <c r="W233" s="162" t="s">
        <v>10</v>
      </c>
      <c r="X233" s="163" t="str">
        <f>X190</f>
        <v>N NAME OF YOUR RECIPE | paste it — FAMILY|  Author &gt; YOU</v>
      </c>
      <c r="Y233" s="163">
        <f>Y190</f>
        <v>1</v>
      </c>
      <c r="Z233" s="164" t="str">
        <f>Z190</f>
        <v>coupe</v>
      </c>
      <c r="AA233" s="165" t="str">
        <f>AA190</f>
        <v>Master recipe ► MILLE-FEUILLE  aux fraises des bois</v>
      </c>
      <c r="AB233" s="1548"/>
      <c r="AC233" s="1548"/>
      <c r="AD233" s="2190">
        <f>ROWS(AH223:AH233)</f>
        <v>11</v>
      </c>
      <c r="AE233" s="5549" t="str" cm="1">
        <f t="array" ref="AE233">IF(SUMPRODUCT((AH233:AM233&lt;&gt;"")*1)=0,"",SUMPRODUCT((AH233:AM233&lt;&gt;"")*(LEN(TRIM(SUBSTITUTE(AH233:AM233,CHAR(160)," "))) - LEN(SUBSTITUTE(TRIM(SUBSTITUTE(AH233:AM233,CHAR(160)," "))," ","")) + 1)) &amp; " word" &amp; IF(SUMPRODUCT((AH233:AM233&lt;&gt;"")*(LEN(TRIM(SUBSTITUTE(AH233:AM233,CHAR(160)," "))) - LEN(SUBSTITUTE(TRIM(SUBSTITUTE(AH233:AM233,CHAR(160)," "))," ","")) + 1))&gt;1,"s",""))</f>
        <v/>
      </c>
      <c r="AF233" s="5550" t="str" cm="1">
        <f t="array" ref="AF233">SUMPRODUCT(--(AH233:AM233&lt;&gt;""), LEN(TRIM(SUBSTITUTE(AH233:AM233, CHAR(160), "")))) &amp; " Car."</f>
        <v>0 Car.</v>
      </c>
      <c r="AG233" s="1376" t="str">
        <f>IF(ISBLANK(AH233),"",LARGE(AG222:AG232,1)+1)</f>
        <v/>
      </c>
      <c r="AH233" s="1810"/>
      <c r="AI233" s="1810"/>
      <c r="AJ233" s="1810"/>
      <c r="AK233" s="1810"/>
      <c r="AL233" s="1810"/>
      <c r="AM233" s="1810"/>
      <c r="AN233" s="1810"/>
      <c r="AO233" s="1810"/>
      <c r="AP233" s="1811"/>
      <c r="AR233" s="162" t="s">
        <v>10</v>
      </c>
      <c r="AS233" s="163" t="str">
        <f>AS190</f>
        <v>N NOMBRE DE SU RECETA | pegue esto — FAMILIA| Auteur &gt; VOUS</v>
      </c>
      <c r="AT233" s="163">
        <f>AT190</f>
        <v>1</v>
      </c>
      <c r="AU233" s="164" t="str">
        <f>AU190</f>
        <v>coupe</v>
      </c>
      <c r="AV233" s="165" t="str">
        <f>AV190</f>
        <v>Receta madre ► MILLE-FEUILLE  aux fraises des bois</v>
      </c>
      <c r="AW233" s="1548"/>
      <c r="AX233" s="1548"/>
      <c r="AY233" s="2190">
        <f>ROWS(BC223:BC233)</f>
        <v>11</v>
      </c>
      <c r="AZ233" s="5549" t="str" cm="1">
        <f t="array" ref="AZ233">IF(SUMPRODUCT((BC233:BH233&lt;&gt;"")*1)=0,"",SUMPRODUCT((BC233:BH233&lt;&gt;"")*(LEN(TRIM(SUBSTITUTE(BC233:BH233,CHAR(160)," "))) - LEN(SUBSTITUTE(TRIM(SUBSTITUTE(BC233:BH233,CHAR(160)," "))," ","")) + 1)) &amp; " palabra" &amp; IF(SUMPRODUCT((BC233:BH233&lt;&gt;"")*(LEN(TRIM(SUBSTITUTE(BC233:BH233,CHAR(160)," "))) - LEN(SUBSTITUTE(TRIM(SUBSTITUTE(BC233:BH233,CHAR(160)," "))," ","")) + 1))&gt;1,"s",""))</f>
        <v/>
      </c>
      <c r="BA233" s="5550" t="str" cm="1">
        <f t="array" ref="BA233">SUMPRODUCT(--(BC233:BH233&lt;&gt;""), LEN(TRIM(SUBSTITUTE(BC233:BH233, CHAR(160), "")))) &amp; " Car."</f>
        <v>0 Car.</v>
      </c>
      <c r="BB233" s="1376" t="str">
        <f>IF(ISBLANK(BC233),"",LARGE(BB222:BB232,1)+1)</f>
        <v/>
      </c>
      <c r="BC233" s="1833"/>
      <c r="BD233" s="1810"/>
      <c r="BE233" s="1810"/>
      <c r="BF233" s="1810"/>
      <c r="BG233" s="1810"/>
      <c r="BH233" s="1810"/>
      <c r="BI233" s="1810"/>
      <c r="BJ233" s="1810"/>
      <c r="BK233" s="1811"/>
      <c r="BM233" s="3">
        <v>1</v>
      </c>
    </row>
    <row r="234" spans="2:65" ht="21" customHeight="1">
      <c r="B234" s="162" t="s">
        <v>10</v>
      </c>
      <c r="C234" s="163" t="str">
        <f>C190</f>
        <v>N NOM DE VOTRE RECETTE | collez la--FAMILLE| Auteur &gt; VOUS</v>
      </c>
      <c r="D234" s="163">
        <f>D190</f>
        <v>1</v>
      </c>
      <c r="E234" s="164" t="str">
        <f>E190</f>
        <v>coupe</v>
      </c>
      <c r="F234" s="165" t="str">
        <f>F190</f>
        <v>Recette mère ► MILLE-FEUILLE  aux fraises des bois</v>
      </c>
      <c r="G234" s="1548"/>
      <c r="H234" s="1548"/>
      <c r="I234" s="2190">
        <f>ROWS(M223:M234)</f>
        <v>12</v>
      </c>
      <c r="J234" s="5549" t="str" cm="1">
        <f t="array" ref="J234">IF(SUMPRODUCT((M234:R234&lt;&gt;"")*1)=0,"",SUMPRODUCT((M234:R234&lt;&gt;"")*(LEN(TRIM(SUBSTITUTE(M234:R234,CHAR(160)," "))) - LEN(SUBSTITUTE(TRIM(SUBSTITUTE(M234:R234,CHAR(160)," "))," ","")) + 1)) &amp; " mot" &amp; IF(SUMPRODUCT((M234:R234&lt;&gt;"")*(LEN(TRIM(SUBSTITUTE(M234:R234,CHAR(160)," "))) - LEN(SUBSTITUTE(TRIM(SUBSTITUTE(M234:R234,CHAR(160)," "))," ","")) + 1))&gt;1,"s",""))</f>
        <v/>
      </c>
      <c r="K234" s="5550" t="str" cm="1">
        <f t="array" ref="K234">SUMPRODUCT(--(M234:R234&lt;&gt;""), LEN(TRIM(SUBSTITUTE(M234:R234, CHAR(160), "")))) &amp; " Car."</f>
        <v>0 Car.</v>
      </c>
      <c r="L234" s="1376" t="str">
        <f>IF(ISBLANK(M234),"",LARGE(L222:L233,1)+1)</f>
        <v/>
      </c>
      <c r="M234" s="1810"/>
      <c r="N234" s="1810"/>
      <c r="O234" s="1810"/>
      <c r="P234" s="1810"/>
      <c r="Q234" s="1810"/>
      <c r="R234" s="1810"/>
      <c r="S234" s="1810"/>
      <c r="T234" s="1810"/>
      <c r="U234" s="1811"/>
      <c r="W234" s="162" t="s">
        <v>10</v>
      </c>
      <c r="X234" s="163" t="str">
        <f>X190</f>
        <v>N NAME OF YOUR RECIPE | paste it — FAMILY|  Author &gt; YOU</v>
      </c>
      <c r="Y234" s="163">
        <f>Y190</f>
        <v>1</v>
      </c>
      <c r="Z234" s="164" t="str">
        <f>Z190</f>
        <v>coupe</v>
      </c>
      <c r="AA234" s="165" t="str">
        <f>AA190</f>
        <v>Master recipe ► MILLE-FEUILLE  aux fraises des bois</v>
      </c>
      <c r="AB234" s="1548"/>
      <c r="AC234" s="1548"/>
      <c r="AD234" s="2190">
        <f>ROWS(AH223:AH234)</f>
        <v>12</v>
      </c>
      <c r="AE234" s="5549" t="str" cm="1">
        <f t="array" ref="AE234">IF(SUMPRODUCT((AH234:AM234&lt;&gt;"")*1)=0,"",SUMPRODUCT((AH234:AM234&lt;&gt;"")*(LEN(TRIM(SUBSTITUTE(AH234:AM234,CHAR(160)," "))) - LEN(SUBSTITUTE(TRIM(SUBSTITUTE(AH234:AM234,CHAR(160)," "))," ","")) + 1)) &amp; " word" &amp; IF(SUMPRODUCT((AH234:AM234&lt;&gt;"")*(LEN(TRIM(SUBSTITUTE(AH234:AM234,CHAR(160)," "))) - LEN(SUBSTITUTE(TRIM(SUBSTITUTE(AH234:AM234,CHAR(160)," "))," ","")) + 1))&gt;1,"s",""))</f>
        <v/>
      </c>
      <c r="AF234" s="5550" t="str" cm="1">
        <f t="array" ref="AF234">SUMPRODUCT(--(AH234:AM234&lt;&gt;""), LEN(TRIM(SUBSTITUTE(AH234:AM234, CHAR(160), "")))) &amp; " Car."</f>
        <v>0 Car.</v>
      </c>
      <c r="AG234" s="1376" t="str">
        <f>IF(ISBLANK(AH234),"",LARGE(AG222:AG233,1)+1)</f>
        <v/>
      </c>
      <c r="AH234" s="1810"/>
      <c r="AI234" s="1833"/>
      <c r="AJ234" s="1810"/>
      <c r="AK234" s="1810"/>
      <c r="AL234" s="1810"/>
      <c r="AM234" s="1810"/>
      <c r="AN234" s="1810"/>
      <c r="AO234" s="1810"/>
      <c r="AP234" s="1811"/>
      <c r="AR234" s="162" t="s">
        <v>10</v>
      </c>
      <c r="AS234" s="163" t="str">
        <f>AS190</f>
        <v>N NOMBRE DE SU RECETA | pegue esto — FAMILIA| Auteur &gt; VOUS</v>
      </c>
      <c r="AT234" s="163">
        <f>AT190</f>
        <v>1</v>
      </c>
      <c r="AU234" s="164" t="str">
        <f>AU190</f>
        <v>coupe</v>
      </c>
      <c r="AV234" s="165" t="str">
        <f>AV190</f>
        <v>Receta madre ► MILLE-FEUILLE  aux fraises des bois</v>
      </c>
      <c r="AW234" s="1548"/>
      <c r="AX234" s="1548"/>
      <c r="AY234" s="2190">
        <f>ROWS(BC223:BC234)</f>
        <v>12</v>
      </c>
      <c r="AZ234" s="5549" t="str" cm="1">
        <f t="array" ref="AZ234">IF(SUMPRODUCT((BC234:BH234&lt;&gt;"")*1)=0,"",SUMPRODUCT((BC234:BH234&lt;&gt;"")*(LEN(TRIM(SUBSTITUTE(BC234:BH234,CHAR(160)," "))) - LEN(SUBSTITUTE(TRIM(SUBSTITUTE(BC234:BH234,CHAR(160)," "))," ","")) + 1)) &amp; " palabra" &amp; IF(SUMPRODUCT((BC234:BH234&lt;&gt;"")*(LEN(TRIM(SUBSTITUTE(BC234:BH234,CHAR(160)," "))) - LEN(SUBSTITUTE(TRIM(SUBSTITUTE(BC234:BH234,CHAR(160)," "))," ","")) + 1))&gt;1,"s",""))</f>
        <v/>
      </c>
      <c r="BA234" s="5550" t="str" cm="1">
        <f t="array" ref="BA234">SUMPRODUCT(--(BC234:BH234&lt;&gt;""), LEN(TRIM(SUBSTITUTE(BC234:BH234, CHAR(160), "")))) &amp; " Car."</f>
        <v>0 Car.</v>
      </c>
      <c r="BB234" s="1376" t="str">
        <f>IF(ISBLANK(BC234),"",LARGE(BB222:BB233,1)+1)</f>
        <v/>
      </c>
      <c r="BC234" s="1833"/>
      <c r="BD234" s="1810"/>
      <c r="BE234" s="1810"/>
      <c r="BF234" s="1810"/>
      <c r="BG234" s="1810"/>
      <c r="BH234" s="1810"/>
      <c r="BI234" s="1810"/>
      <c r="BJ234" s="1810"/>
      <c r="BK234" s="1811"/>
      <c r="BM234" s="3">
        <v>1</v>
      </c>
    </row>
    <row r="235" spans="2:65" ht="21" customHeight="1">
      <c r="B235" s="162" t="s">
        <v>10</v>
      </c>
      <c r="C235" s="163" t="str">
        <f>C190</f>
        <v>N NOM DE VOTRE RECETTE | collez la--FAMILLE| Auteur &gt; VOUS</v>
      </c>
      <c r="D235" s="163">
        <f>D190</f>
        <v>1</v>
      </c>
      <c r="E235" s="164" t="str">
        <f>E190</f>
        <v>coupe</v>
      </c>
      <c r="F235" s="165" t="str">
        <f>F190</f>
        <v>Recette mère ► MILLE-FEUILLE  aux fraises des bois</v>
      </c>
      <c r="G235" s="1548"/>
      <c r="H235" s="1548"/>
      <c r="I235" s="2190">
        <f>ROWS(M223:M235)</f>
        <v>13</v>
      </c>
      <c r="J235" s="5549" t="str" cm="1">
        <f t="array" ref="J235">IF(SUMPRODUCT((M235:R235&lt;&gt;"")*1)=0,"",SUMPRODUCT((M235:R235&lt;&gt;"")*(LEN(TRIM(SUBSTITUTE(M235:R235,CHAR(160)," "))) - LEN(SUBSTITUTE(TRIM(SUBSTITUTE(M235:R235,CHAR(160)," "))," ","")) + 1)) &amp; " mot" &amp; IF(SUMPRODUCT((M235:R235&lt;&gt;"")*(LEN(TRIM(SUBSTITUTE(M235:R235,CHAR(160)," "))) - LEN(SUBSTITUTE(TRIM(SUBSTITUTE(M235:R235,CHAR(160)," "))," ","")) + 1))&gt;1,"s",""))</f>
        <v/>
      </c>
      <c r="K235" s="5550" t="str" cm="1">
        <f t="array" ref="K235">SUMPRODUCT(--(M235:R235&lt;&gt;""), LEN(TRIM(SUBSTITUTE(M235:R235, CHAR(160), "")))) &amp; " Car."</f>
        <v>0 Car.</v>
      </c>
      <c r="L235" s="1376" t="str">
        <f>IF(ISBLANK(M235),"",LARGE(L222:L234,1)+1)</f>
        <v/>
      </c>
      <c r="M235" s="1810"/>
      <c r="N235" s="1810"/>
      <c r="O235" s="1810"/>
      <c r="P235" s="1810"/>
      <c r="Q235" s="1810"/>
      <c r="R235" s="1810"/>
      <c r="S235" s="1810"/>
      <c r="T235" s="1810"/>
      <c r="U235" s="1811"/>
      <c r="W235" s="162" t="s">
        <v>10</v>
      </c>
      <c r="X235" s="163" t="str">
        <f>X190</f>
        <v>N NAME OF YOUR RECIPE | paste it — FAMILY|  Author &gt; YOU</v>
      </c>
      <c r="Y235" s="163">
        <f>Y190</f>
        <v>1</v>
      </c>
      <c r="Z235" s="164" t="str">
        <f>Z190</f>
        <v>coupe</v>
      </c>
      <c r="AA235" s="165" t="str">
        <f>AA190</f>
        <v>Master recipe ► MILLE-FEUILLE  aux fraises des bois</v>
      </c>
      <c r="AB235" s="1548"/>
      <c r="AC235" s="1548"/>
      <c r="AD235" s="2190">
        <f>ROWS(AH223:AH235)</f>
        <v>13</v>
      </c>
      <c r="AE235" s="5549" t="str" cm="1">
        <f t="array" ref="AE235">IF(SUMPRODUCT((AH235:AM235&lt;&gt;"")*1)=0,"",SUMPRODUCT((AH235:AM235&lt;&gt;"")*(LEN(TRIM(SUBSTITUTE(AH235:AM235,CHAR(160)," "))) - LEN(SUBSTITUTE(TRIM(SUBSTITUTE(AH235:AM235,CHAR(160)," "))," ","")) + 1)) &amp; " word" &amp; IF(SUMPRODUCT((AH235:AM235&lt;&gt;"")*(LEN(TRIM(SUBSTITUTE(AH235:AM235,CHAR(160)," "))) - LEN(SUBSTITUTE(TRIM(SUBSTITUTE(AH235:AM235,CHAR(160)," "))," ","")) + 1))&gt;1,"s",""))</f>
        <v/>
      </c>
      <c r="AF235" s="5550" t="str" cm="1">
        <f t="array" ref="AF235">SUMPRODUCT(--(AH235:AM235&lt;&gt;""), LEN(TRIM(SUBSTITUTE(AH235:AM235, CHAR(160), "")))) &amp; " Car."</f>
        <v>0 Car.</v>
      </c>
      <c r="AG235" s="1376" t="str">
        <f>IF(ISBLANK(AH235),"",LARGE(AG222:AG234,1)+1)</f>
        <v/>
      </c>
      <c r="AH235" s="1810"/>
      <c r="AI235" s="1810"/>
      <c r="AJ235" s="1810"/>
      <c r="AK235" s="1810"/>
      <c r="AL235" s="1810"/>
      <c r="AM235" s="1810"/>
      <c r="AN235" s="1810"/>
      <c r="AO235" s="1810"/>
      <c r="AP235" s="1811"/>
      <c r="AR235" s="162" t="s">
        <v>10</v>
      </c>
      <c r="AS235" s="163" t="str">
        <f>AS190</f>
        <v>N NOMBRE DE SU RECETA | pegue esto — FAMILIA| Auteur &gt; VOUS</v>
      </c>
      <c r="AT235" s="163">
        <f>AT190</f>
        <v>1</v>
      </c>
      <c r="AU235" s="164" t="str">
        <f>AU190</f>
        <v>coupe</v>
      </c>
      <c r="AV235" s="165" t="str">
        <f>AV190</f>
        <v>Receta madre ► MILLE-FEUILLE  aux fraises des bois</v>
      </c>
      <c r="AW235" s="1548"/>
      <c r="AX235" s="1548"/>
      <c r="AY235" s="2190">
        <f>ROWS(BC223:BC235)</f>
        <v>13</v>
      </c>
      <c r="AZ235" s="5549" t="str" cm="1">
        <f t="array" ref="AZ235">IF(SUMPRODUCT((BC235:BH235&lt;&gt;"")*1)=0,"",SUMPRODUCT((BC235:BH235&lt;&gt;"")*(LEN(TRIM(SUBSTITUTE(BC235:BH235,CHAR(160)," "))) - LEN(SUBSTITUTE(TRIM(SUBSTITUTE(BC235:BH235,CHAR(160)," "))," ","")) + 1)) &amp; " palabra" &amp; IF(SUMPRODUCT((BC235:BH235&lt;&gt;"")*(LEN(TRIM(SUBSTITUTE(BC235:BH235,CHAR(160)," "))) - LEN(SUBSTITUTE(TRIM(SUBSTITUTE(BC235:BH235,CHAR(160)," "))," ","")) + 1))&gt;1,"s",""))</f>
        <v/>
      </c>
      <c r="BA235" s="5550" t="str" cm="1">
        <f t="array" ref="BA235">SUMPRODUCT(--(BC235:BH235&lt;&gt;""), LEN(TRIM(SUBSTITUTE(BC235:BH235, CHAR(160), "")))) &amp; " Car."</f>
        <v>0 Car.</v>
      </c>
      <c r="BB235" s="1376" t="str">
        <f>IF(ISBLANK(BC235),"",LARGE(BB222:BB234,1)+1)</f>
        <v/>
      </c>
      <c r="BC235" s="1833"/>
      <c r="BD235" s="1810"/>
      <c r="BE235" s="1810"/>
      <c r="BF235" s="1810"/>
      <c r="BG235" s="1810"/>
      <c r="BH235" s="1810"/>
      <c r="BI235" s="1810"/>
      <c r="BJ235" s="1810"/>
      <c r="BK235" s="1811"/>
      <c r="BM235" s="3">
        <v>1</v>
      </c>
    </row>
    <row r="236" spans="2:65" ht="21" customHeight="1">
      <c r="B236" s="162" t="s">
        <v>10</v>
      </c>
      <c r="C236" s="163" t="str">
        <f>C190</f>
        <v>N NOM DE VOTRE RECETTE | collez la--FAMILLE| Auteur &gt; VOUS</v>
      </c>
      <c r="D236" s="163">
        <f>D190</f>
        <v>1</v>
      </c>
      <c r="E236" s="164" t="str">
        <f>E190</f>
        <v>coupe</v>
      </c>
      <c r="F236" s="165" t="str">
        <f>F190</f>
        <v>Recette mère ► MILLE-FEUILLE  aux fraises des bois</v>
      </c>
      <c r="G236" s="1548"/>
      <c r="H236" s="1548"/>
      <c r="I236" s="2190">
        <f>ROWS(M223:M236)</f>
        <v>14</v>
      </c>
      <c r="J236" s="5549" t="str" cm="1">
        <f t="array" ref="J236">IF(SUMPRODUCT((M236:R236&lt;&gt;"")*1)=0,"",SUMPRODUCT((M236:R236&lt;&gt;"")*(LEN(TRIM(SUBSTITUTE(M236:R236,CHAR(160)," "))) - LEN(SUBSTITUTE(TRIM(SUBSTITUTE(M236:R236,CHAR(160)," "))," ","")) + 1)) &amp; " mot" &amp; IF(SUMPRODUCT((M236:R236&lt;&gt;"")*(LEN(TRIM(SUBSTITUTE(M236:R236,CHAR(160)," "))) - LEN(SUBSTITUTE(TRIM(SUBSTITUTE(M236:R236,CHAR(160)," "))," ","")) + 1))&gt;1,"s",""))</f>
        <v/>
      </c>
      <c r="K236" s="5550" t="str" cm="1">
        <f t="array" ref="K236">SUMPRODUCT(--(M236:R236&lt;&gt;""), LEN(TRIM(SUBSTITUTE(M236:R236, CHAR(160), "")))) &amp; " Car."</f>
        <v>0 Car.</v>
      </c>
      <c r="L236" s="1376" t="str">
        <f>IF(ISBLANK(M236),"",LARGE(L222:L235,1)+1)</f>
        <v/>
      </c>
      <c r="M236" s="1810"/>
      <c r="N236" s="1810"/>
      <c r="O236" s="1810"/>
      <c r="P236" s="1810"/>
      <c r="Q236" s="1810"/>
      <c r="R236" s="1810"/>
      <c r="S236" s="1810"/>
      <c r="T236" s="1810"/>
      <c r="U236" s="1811"/>
      <c r="W236" s="162" t="s">
        <v>10</v>
      </c>
      <c r="X236" s="163" t="str">
        <f>X190</f>
        <v>N NAME OF YOUR RECIPE | paste it — FAMILY|  Author &gt; YOU</v>
      </c>
      <c r="Y236" s="163">
        <f>Y190</f>
        <v>1</v>
      </c>
      <c r="Z236" s="164" t="str">
        <f>Z190</f>
        <v>coupe</v>
      </c>
      <c r="AA236" s="165" t="str">
        <f>AA190</f>
        <v>Master recipe ► MILLE-FEUILLE  aux fraises des bois</v>
      </c>
      <c r="AB236" s="1548"/>
      <c r="AC236" s="1548"/>
      <c r="AD236" s="2190">
        <f>ROWS(AH223:AH236)</f>
        <v>14</v>
      </c>
      <c r="AE236" s="5549" t="str" cm="1">
        <f t="array" ref="AE236">IF(SUMPRODUCT((AH236:AM236&lt;&gt;"")*1)=0,"",SUMPRODUCT((AH236:AM236&lt;&gt;"")*(LEN(TRIM(SUBSTITUTE(AH236:AM236,CHAR(160)," "))) - LEN(SUBSTITUTE(TRIM(SUBSTITUTE(AH236:AM236,CHAR(160)," "))," ","")) + 1)) &amp; " word" &amp; IF(SUMPRODUCT((AH236:AM236&lt;&gt;"")*(LEN(TRIM(SUBSTITUTE(AH236:AM236,CHAR(160)," "))) - LEN(SUBSTITUTE(TRIM(SUBSTITUTE(AH236:AM236,CHAR(160)," "))," ","")) + 1))&gt;1,"s",""))</f>
        <v/>
      </c>
      <c r="AF236" s="5550" t="str" cm="1">
        <f t="array" ref="AF236">SUMPRODUCT(--(AH236:AM236&lt;&gt;""), LEN(TRIM(SUBSTITUTE(AH236:AM236, CHAR(160), "")))) &amp; " Car."</f>
        <v>0 Car.</v>
      </c>
      <c r="AG236" s="1376" t="str">
        <f>IF(ISBLANK(AH236),"",LARGE(AG222:AG235,1)+1)</f>
        <v/>
      </c>
      <c r="AH236" s="1810"/>
      <c r="AI236" s="1833"/>
      <c r="AJ236" s="1810"/>
      <c r="AK236" s="1810"/>
      <c r="AL236" s="1810"/>
      <c r="AM236" s="1810"/>
      <c r="AN236" s="1810"/>
      <c r="AO236" s="1810"/>
      <c r="AP236" s="1811"/>
      <c r="AR236" s="162" t="s">
        <v>10</v>
      </c>
      <c r="AS236" s="163" t="str">
        <f>AS190</f>
        <v>N NOMBRE DE SU RECETA | pegue esto — FAMILIA| Auteur &gt; VOUS</v>
      </c>
      <c r="AT236" s="163">
        <f>AT190</f>
        <v>1</v>
      </c>
      <c r="AU236" s="164" t="str">
        <f>AU190</f>
        <v>coupe</v>
      </c>
      <c r="AV236" s="165" t="str">
        <f>AV190</f>
        <v>Receta madre ► MILLE-FEUILLE  aux fraises des bois</v>
      </c>
      <c r="AW236" s="1548"/>
      <c r="AX236" s="1548"/>
      <c r="AY236" s="2190">
        <f>ROWS(BC223:BC236)</f>
        <v>14</v>
      </c>
      <c r="AZ236" s="5549" t="str" cm="1">
        <f t="array" ref="AZ236">IF(SUMPRODUCT((BC236:BH236&lt;&gt;"")*1)=0,"",SUMPRODUCT((BC236:BH236&lt;&gt;"")*(LEN(TRIM(SUBSTITUTE(BC236:BH236,CHAR(160)," "))) - LEN(SUBSTITUTE(TRIM(SUBSTITUTE(BC236:BH236,CHAR(160)," "))," ","")) + 1)) &amp; " palabra" &amp; IF(SUMPRODUCT((BC236:BH236&lt;&gt;"")*(LEN(TRIM(SUBSTITUTE(BC236:BH236,CHAR(160)," "))) - LEN(SUBSTITUTE(TRIM(SUBSTITUTE(BC236:BH236,CHAR(160)," "))," ","")) + 1))&gt;1,"s",""))</f>
        <v/>
      </c>
      <c r="BA236" s="5550" t="str" cm="1">
        <f t="array" ref="BA236">SUMPRODUCT(--(BC236:BH236&lt;&gt;""), LEN(TRIM(SUBSTITUTE(BC236:BH236, CHAR(160), "")))) &amp; " Car."</f>
        <v>0 Car.</v>
      </c>
      <c r="BB236" s="1376" t="str">
        <f>IF(ISBLANK(BC236),"",LARGE(BB222:BB235,1)+1)</f>
        <v/>
      </c>
      <c r="BC236" s="1833"/>
      <c r="BD236" s="1810"/>
      <c r="BE236" s="1810"/>
      <c r="BF236" s="1810"/>
      <c r="BG236" s="1810"/>
      <c r="BH236" s="1810"/>
      <c r="BI236" s="1810"/>
      <c r="BJ236" s="1810"/>
      <c r="BK236" s="1811"/>
      <c r="BM236" s="3">
        <v>1</v>
      </c>
    </row>
    <row r="237" spans="2:65" ht="21" customHeight="1">
      <c r="B237" s="162" t="s">
        <v>10</v>
      </c>
      <c r="C237" s="163" t="str">
        <f>C190</f>
        <v>N NOM DE VOTRE RECETTE | collez la--FAMILLE| Auteur &gt; VOUS</v>
      </c>
      <c r="D237" s="163">
        <f>D190</f>
        <v>1</v>
      </c>
      <c r="E237" s="164" t="str">
        <f>E190</f>
        <v>coupe</v>
      </c>
      <c r="F237" s="165" t="str">
        <f>F190</f>
        <v>Recette mère ► MILLE-FEUILLE  aux fraises des bois</v>
      </c>
      <c r="G237" s="1548"/>
      <c r="H237" s="1548"/>
      <c r="I237" s="2190">
        <f>ROWS(M223:M237)</f>
        <v>15</v>
      </c>
      <c r="J237" s="5549" t="str" cm="1">
        <f t="array" ref="J237">IF(SUMPRODUCT((M237:R237&lt;&gt;"")*1)=0,"",SUMPRODUCT((M237:R237&lt;&gt;"")*(LEN(TRIM(SUBSTITUTE(M237:R237,CHAR(160)," "))) - LEN(SUBSTITUTE(TRIM(SUBSTITUTE(M237:R237,CHAR(160)," "))," ","")) + 1)) &amp; " mot" &amp; IF(SUMPRODUCT((M237:R237&lt;&gt;"")*(LEN(TRIM(SUBSTITUTE(M237:R237,CHAR(160)," "))) - LEN(SUBSTITUTE(TRIM(SUBSTITUTE(M237:R237,CHAR(160)," "))," ","")) + 1))&gt;1,"s",""))</f>
        <v/>
      </c>
      <c r="K237" s="5550" t="str" cm="1">
        <f t="array" ref="K237">SUMPRODUCT(--(M237:R237&lt;&gt;""), LEN(TRIM(SUBSTITUTE(M237:R237, CHAR(160), "")))) &amp; " Car."</f>
        <v>0 Car.</v>
      </c>
      <c r="L237" s="1376" t="str">
        <f>IF(ISBLANK(M237),"",LARGE(L222:L236,1)+1)</f>
        <v/>
      </c>
      <c r="M237" s="1810"/>
      <c r="N237" s="1810"/>
      <c r="O237" s="1810"/>
      <c r="P237" s="1810"/>
      <c r="Q237" s="1810"/>
      <c r="R237" s="1810"/>
      <c r="S237" s="1810"/>
      <c r="T237" s="1810"/>
      <c r="U237" s="1811"/>
      <c r="W237" s="162" t="s">
        <v>10</v>
      </c>
      <c r="X237" s="163" t="str">
        <f>X190</f>
        <v>N NAME OF YOUR RECIPE | paste it — FAMILY|  Author &gt; YOU</v>
      </c>
      <c r="Y237" s="163">
        <f>Y190</f>
        <v>1</v>
      </c>
      <c r="Z237" s="164" t="str">
        <f>Z190</f>
        <v>coupe</v>
      </c>
      <c r="AA237" s="165" t="str">
        <f>AA190</f>
        <v>Master recipe ► MILLE-FEUILLE  aux fraises des bois</v>
      </c>
      <c r="AB237" s="1548"/>
      <c r="AC237" s="1548"/>
      <c r="AD237" s="2190">
        <f>ROWS(AH223:AH237)</f>
        <v>15</v>
      </c>
      <c r="AE237" s="5549" t="str" cm="1">
        <f t="array" ref="AE237">IF(SUMPRODUCT((AH237:AM237&lt;&gt;"")*1)=0,"",SUMPRODUCT((AH237:AM237&lt;&gt;"")*(LEN(TRIM(SUBSTITUTE(AH237:AM237,CHAR(160)," "))) - LEN(SUBSTITUTE(TRIM(SUBSTITUTE(AH237:AM237,CHAR(160)," "))," ","")) + 1)) &amp; " word" &amp; IF(SUMPRODUCT((AH237:AM237&lt;&gt;"")*(LEN(TRIM(SUBSTITUTE(AH237:AM237,CHAR(160)," "))) - LEN(SUBSTITUTE(TRIM(SUBSTITUTE(AH237:AM237,CHAR(160)," "))," ","")) + 1))&gt;1,"s",""))</f>
        <v/>
      </c>
      <c r="AF237" s="5550" t="str" cm="1">
        <f t="array" ref="AF237">SUMPRODUCT(--(AH237:AM237&lt;&gt;""), LEN(TRIM(SUBSTITUTE(AH237:AM237, CHAR(160), "")))) &amp; " Car."</f>
        <v>0 Car.</v>
      </c>
      <c r="AG237" s="1376" t="str">
        <f>IF(ISBLANK(AH237),"",LARGE(AG222:AG236,1)+1)</f>
        <v/>
      </c>
      <c r="AH237" s="1810"/>
      <c r="AI237" s="1810"/>
      <c r="AJ237" s="1810"/>
      <c r="AK237" s="1810"/>
      <c r="AL237" s="1810"/>
      <c r="AM237" s="1810"/>
      <c r="AN237" s="1810"/>
      <c r="AO237" s="1810"/>
      <c r="AP237" s="1811"/>
      <c r="AR237" s="162" t="s">
        <v>10</v>
      </c>
      <c r="AS237" s="163" t="str">
        <f>AS190</f>
        <v>N NOMBRE DE SU RECETA | pegue esto — FAMILIA| Auteur &gt; VOUS</v>
      </c>
      <c r="AT237" s="163">
        <f>AT190</f>
        <v>1</v>
      </c>
      <c r="AU237" s="164" t="str">
        <f>AU190</f>
        <v>coupe</v>
      </c>
      <c r="AV237" s="165" t="str">
        <f>AV190</f>
        <v>Receta madre ► MILLE-FEUILLE  aux fraises des bois</v>
      </c>
      <c r="AW237" s="1548"/>
      <c r="AX237" s="1548"/>
      <c r="AY237" s="2190">
        <f>ROWS(BC223:BC237)</f>
        <v>15</v>
      </c>
      <c r="AZ237" s="5549" t="str" cm="1">
        <f t="array" ref="AZ237">IF(SUMPRODUCT((BC237:BH237&lt;&gt;"")*1)=0,"",SUMPRODUCT((BC237:BH237&lt;&gt;"")*(LEN(TRIM(SUBSTITUTE(BC237:BH237,CHAR(160)," "))) - LEN(SUBSTITUTE(TRIM(SUBSTITUTE(BC237:BH237,CHAR(160)," "))," ","")) + 1)) &amp; " palabra" &amp; IF(SUMPRODUCT((BC237:BH237&lt;&gt;"")*(LEN(TRIM(SUBSTITUTE(BC237:BH237,CHAR(160)," "))) - LEN(SUBSTITUTE(TRIM(SUBSTITUTE(BC237:BH237,CHAR(160)," "))," ","")) + 1))&gt;1,"s",""))</f>
        <v/>
      </c>
      <c r="BA237" s="5550" t="str" cm="1">
        <f t="array" ref="BA237">SUMPRODUCT(--(BC237:BH237&lt;&gt;""), LEN(TRIM(SUBSTITUTE(BC237:BH237, CHAR(160), "")))) &amp; " Car."</f>
        <v>0 Car.</v>
      </c>
      <c r="BB237" s="1376" t="str">
        <f>IF(ISBLANK(BC237),"",LARGE(BB222:BB236,1)+1)</f>
        <v/>
      </c>
      <c r="BC237" s="1833"/>
      <c r="BD237" s="1810"/>
      <c r="BE237" s="1810"/>
      <c r="BF237" s="1810"/>
      <c r="BG237" s="1810"/>
      <c r="BH237" s="1810"/>
      <c r="BI237" s="1810"/>
      <c r="BJ237" s="1810"/>
      <c r="BK237" s="1811"/>
      <c r="BM237" s="3">
        <v>1</v>
      </c>
    </row>
    <row r="238" spans="2:65" ht="21" customHeight="1">
      <c r="B238" s="162" t="s">
        <v>10</v>
      </c>
      <c r="C238" s="163" t="str">
        <f>C190</f>
        <v>N NOM DE VOTRE RECETTE | collez la--FAMILLE| Auteur &gt; VOUS</v>
      </c>
      <c r="D238" s="163">
        <f>D190</f>
        <v>1</v>
      </c>
      <c r="E238" s="164" t="str">
        <f>E190</f>
        <v>coupe</v>
      </c>
      <c r="F238" s="165" t="str">
        <f>F190</f>
        <v>Recette mère ► MILLE-FEUILLE  aux fraises des bois</v>
      </c>
      <c r="G238" s="1548"/>
      <c r="H238" s="1548"/>
      <c r="I238" s="2190">
        <f>ROWS(M223:M238)</f>
        <v>16</v>
      </c>
      <c r="J238" s="5549" t="str" cm="1">
        <f t="array" ref="J238">IF(SUMPRODUCT((M238:R238&lt;&gt;"")*1)=0,"",SUMPRODUCT((M238:R238&lt;&gt;"")*(LEN(TRIM(SUBSTITUTE(M238:R238,CHAR(160)," "))) - LEN(SUBSTITUTE(TRIM(SUBSTITUTE(M238:R238,CHAR(160)," "))," ","")) + 1)) &amp; " mot" &amp; IF(SUMPRODUCT((M238:R238&lt;&gt;"")*(LEN(TRIM(SUBSTITUTE(M238:R238,CHAR(160)," "))) - LEN(SUBSTITUTE(TRIM(SUBSTITUTE(M238:R238,CHAR(160)," "))," ","")) + 1))&gt;1,"s",""))</f>
        <v/>
      </c>
      <c r="K238" s="5550" t="str" cm="1">
        <f t="array" ref="K238">SUMPRODUCT(--(M238:R238&lt;&gt;""), LEN(TRIM(SUBSTITUTE(M238:R238, CHAR(160), "")))) &amp; " Car."</f>
        <v>0 Car.</v>
      </c>
      <c r="L238" s="1376" t="str">
        <f>IF(ISBLANK(M238),"",LARGE(L222:L237,1)+1)</f>
        <v/>
      </c>
      <c r="M238" s="1810"/>
      <c r="N238" s="1810"/>
      <c r="O238" s="1810"/>
      <c r="P238" s="1810"/>
      <c r="Q238" s="1810"/>
      <c r="R238" s="1810"/>
      <c r="S238" s="1810"/>
      <c r="T238" s="1810"/>
      <c r="U238" s="1811"/>
      <c r="W238" s="162" t="s">
        <v>10</v>
      </c>
      <c r="X238" s="163" t="str">
        <f>X190</f>
        <v>N NAME OF YOUR RECIPE | paste it — FAMILY|  Author &gt; YOU</v>
      </c>
      <c r="Y238" s="163">
        <f>Y190</f>
        <v>1</v>
      </c>
      <c r="Z238" s="164" t="str">
        <f>Z190</f>
        <v>coupe</v>
      </c>
      <c r="AA238" s="165" t="str">
        <f>AA190</f>
        <v>Master recipe ► MILLE-FEUILLE  aux fraises des bois</v>
      </c>
      <c r="AB238" s="1548"/>
      <c r="AC238" s="1548"/>
      <c r="AD238" s="2190">
        <f>ROWS(AH223:AH238)</f>
        <v>16</v>
      </c>
      <c r="AE238" s="5549" t="str" cm="1">
        <f t="array" ref="AE238">IF(SUMPRODUCT((AH238:AM238&lt;&gt;"")*1)=0,"",SUMPRODUCT((AH238:AM238&lt;&gt;"")*(LEN(TRIM(SUBSTITUTE(AH238:AM238,CHAR(160)," "))) - LEN(SUBSTITUTE(TRIM(SUBSTITUTE(AH238:AM238,CHAR(160)," "))," ","")) + 1)) &amp; " word" &amp; IF(SUMPRODUCT((AH238:AM238&lt;&gt;"")*(LEN(TRIM(SUBSTITUTE(AH238:AM238,CHAR(160)," "))) - LEN(SUBSTITUTE(TRIM(SUBSTITUTE(AH238:AM238,CHAR(160)," "))," ","")) + 1))&gt;1,"s",""))</f>
        <v/>
      </c>
      <c r="AF238" s="5550" t="str" cm="1">
        <f t="array" ref="AF238">SUMPRODUCT(--(AH238:AM238&lt;&gt;""), LEN(TRIM(SUBSTITUTE(AH238:AM238, CHAR(160), "")))) &amp; " Car."</f>
        <v>0 Car.</v>
      </c>
      <c r="AG238" s="1376" t="str">
        <f>IF(ISBLANK(AH238),"",LARGE(AG222:AG237,1)+1)</f>
        <v/>
      </c>
      <c r="AH238" s="1833"/>
      <c r="AI238" s="1810"/>
      <c r="AJ238" s="1810"/>
      <c r="AK238" s="1810"/>
      <c r="AL238" s="1810"/>
      <c r="AM238" s="1810"/>
      <c r="AN238" s="1810"/>
      <c r="AO238" s="1810"/>
      <c r="AP238" s="1811"/>
      <c r="AR238" s="162" t="s">
        <v>10</v>
      </c>
      <c r="AS238" s="163" t="str">
        <f>AS190</f>
        <v>N NOMBRE DE SU RECETA | pegue esto — FAMILIA| Auteur &gt; VOUS</v>
      </c>
      <c r="AT238" s="163">
        <f>AT190</f>
        <v>1</v>
      </c>
      <c r="AU238" s="164" t="str">
        <f>AU190</f>
        <v>coupe</v>
      </c>
      <c r="AV238" s="165" t="str">
        <f>AV190</f>
        <v>Receta madre ► MILLE-FEUILLE  aux fraises des bois</v>
      </c>
      <c r="AW238" s="1548"/>
      <c r="AX238" s="1548"/>
      <c r="AY238" s="2190">
        <f>ROWS(BC223:BC238)</f>
        <v>16</v>
      </c>
      <c r="AZ238" s="5549" t="str" cm="1">
        <f t="array" ref="AZ238">IF(SUMPRODUCT((BC238:BH238&lt;&gt;"")*1)=0,"",SUMPRODUCT((BC238:BH238&lt;&gt;"")*(LEN(TRIM(SUBSTITUTE(BC238:BH238,CHAR(160)," "))) - LEN(SUBSTITUTE(TRIM(SUBSTITUTE(BC238:BH238,CHAR(160)," "))," ","")) + 1)) &amp; " palabra" &amp; IF(SUMPRODUCT((BC238:BH238&lt;&gt;"")*(LEN(TRIM(SUBSTITUTE(BC238:BH238,CHAR(160)," "))) - LEN(SUBSTITUTE(TRIM(SUBSTITUTE(BC238:BH238,CHAR(160)," "))," ","")) + 1))&gt;1,"s",""))</f>
        <v/>
      </c>
      <c r="BA238" s="5550" t="str" cm="1">
        <f t="array" ref="BA238">SUMPRODUCT(--(BC238:BH238&lt;&gt;""), LEN(TRIM(SUBSTITUTE(BC238:BH238, CHAR(160), "")))) &amp; " Car."</f>
        <v>0 Car.</v>
      </c>
      <c r="BB238" s="1376" t="str">
        <f>IF(ISBLANK(BC238),"",LARGE(BB222:BB237,1)+1)</f>
        <v/>
      </c>
      <c r="BC238" s="1833"/>
      <c r="BD238" s="1810"/>
      <c r="BE238" s="1810"/>
      <c r="BF238" s="1810"/>
      <c r="BG238" s="1810"/>
      <c r="BH238" s="1810"/>
      <c r="BI238" s="1810"/>
      <c r="BJ238" s="1810"/>
      <c r="BK238" s="1811"/>
      <c r="BM238" s="3">
        <v>1</v>
      </c>
    </row>
    <row r="239" spans="2:65" ht="21" customHeight="1">
      <c r="B239" s="162" t="s">
        <v>10</v>
      </c>
      <c r="C239" s="163" t="str">
        <f>C190</f>
        <v>N NOM DE VOTRE RECETTE | collez la--FAMILLE| Auteur &gt; VOUS</v>
      </c>
      <c r="D239" s="163">
        <f>D190</f>
        <v>1</v>
      </c>
      <c r="E239" s="164" t="str">
        <f>E190</f>
        <v>coupe</v>
      </c>
      <c r="F239" s="165" t="str">
        <f>F190</f>
        <v>Recette mère ► MILLE-FEUILLE  aux fraises des bois</v>
      </c>
      <c r="G239" s="1548"/>
      <c r="H239" s="1548"/>
      <c r="I239" s="2190">
        <f>ROWS(M223:M239)</f>
        <v>17</v>
      </c>
      <c r="J239" s="5549" t="str" cm="1">
        <f t="array" ref="J239">IF(SUMPRODUCT((M239:R239&lt;&gt;"")*1)=0,"",SUMPRODUCT((M239:R239&lt;&gt;"")*(LEN(TRIM(SUBSTITUTE(M239:R239,CHAR(160)," "))) - LEN(SUBSTITUTE(TRIM(SUBSTITUTE(M239:R239,CHAR(160)," "))," ","")) + 1)) &amp; " mot" &amp; IF(SUMPRODUCT((M239:R239&lt;&gt;"")*(LEN(TRIM(SUBSTITUTE(M239:R239,CHAR(160)," "))) - LEN(SUBSTITUTE(TRIM(SUBSTITUTE(M239:R239,CHAR(160)," "))," ","")) + 1))&gt;1,"s",""))</f>
        <v/>
      </c>
      <c r="K239" s="5550" t="str" cm="1">
        <f t="array" ref="K239">SUMPRODUCT(--(M239:R239&lt;&gt;""), LEN(TRIM(SUBSTITUTE(M239:R239, CHAR(160), "")))) &amp; " Car."</f>
        <v>0 Car.</v>
      </c>
      <c r="L239" s="1376"/>
      <c r="M239" s="1810"/>
      <c r="N239" s="1810"/>
      <c r="O239" s="1810"/>
      <c r="P239" s="1810"/>
      <c r="Q239" s="1810"/>
      <c r="R239" s="1810"/>
      <c r="S239" s="1810"/>
      <c r="T239" s="1810"/>
      <c r="U239" s="1811"/>
      <c r="W239" s="162" t="s">
        <v>10</v>
      </c>
      <c r="X239" s="163" t="str">
        <f>X190</f>
        <v>N NAME OF YOUR RECIPE | paste it — FAMILY|  Author &gt; YOU</v>
      </c>
      <c r="Y239" s="163">
        <f>Y190</f>
        <v>1</v>
      </c>
      <c r="Z239" s="164" t="str">
        <f>Z190</f>
        <v>coupe</v>
      </c>
      <c r="AA239" s="165" t="str">
        <f>AA190</f>
        <v>Master recipe ► MILLE-FEUILLE  aux fraises des bois</v>
      </c>
      <c r="AB239" s="1548"/>
      <c r="AC239" s="1548"/>
      <c r="AD239" s="2190">
        <f>ROWS(AH223:AH239)</f>
        <v>17</v>
      </c>
      <c r="AE239" s="5549" t="str" cm="1">
        <f t="array" ref="AE239">IF(SUMPRODUCT((AH239:AM239&lt;&gt;"")*1)=0,"",SUMPRODUCT((AH239:AM239&lt;&gt;"")*(LEN(TRIM(SUBSTITUTE(AH239:AM239,CHAR(160)," "))) - LEN(SUBSTITUTE(TRIM(SUBSTITUTE(AH239:AM239,CHAR(160)," "))," ","")) + 1)) &amp; " word" &amp; IF(SUMPRODUCT((AH239:AM239&lt;&gt;"")*(LEN(TRIM(SUBSTITUTE(AH239:AM239,CHAR(160)," "))) - LEN(SUBSTITUTE(TRIM(SUBSTITUTE(AH239:AM239,CHAR(160)," "))," ","")) + 1))&gt;1,"s",""))</f>
        <v/>
      </c>
      <c r="AF239" s="5550" t="str" cm="1">
        <f t="array" ref="AF239">SUMPRODUCT(--(AH239:AM239&lt;&gt;""), LEN(TRIM(SUBSTITUTE(AH239:AM239, CHAR(160), "")))) &amp; " Car."</f>
        <v>0 Car.</v>
      </c>
      <c r="AG239" s="1376" t="str">
        <f>IF(ISBLANK(AH239),"",LARGE(AG222:AG238,1)+1)</f>
        <v/>
      </c>
      <c r="AH239" s="1833"/>
      <c r="AI239" s="1810"/>
      <c r="AJ239" s="1810"/>
      <c r="AK239" s="1810"/>
      <c r="AL239" s="1810"/>
      <c r="AM239" s="1810"/>
      <c r="AN239" s="1810"/>
      <c r="AO239" s="1810"/>
      <c r="AP239" s="1811"/>
      <c r="AR239" s="162" t="s">
        <v>10</v>
      </c>
      <c r="AS239" s="163" t="str">
        <f>AS190</f>
        <v>N NOMBRE DE SU RECETA | pegue esto — FAMILIA| Auteur &gt; VOUS</v>
      </c>
      <c r="AT239" s="163">
        <f>AT190</f>
        <v>1</v>
      </c>
      <c r="AU239" s="164" t="str">
        <f>AU190</f>
        <v>coupe</v>
      </c>
      <c r="AV239" s="165" t="str">
        <f>AV190</f>
        <v>Receta madre ► MILLE-FEUILLE  aux fraises des bois</v>
      </c>
      <c r="AW239" s="1548"/>
      <c r="AX239" s="1548"/>
      <c r="AY239" s="2190">
        <f>ROWS(BC223:BC239)</f>
        <v>17</v>
      </c>
      <c r="AZ239" s="5549" t="str" cm="1">
        <f t="array" ref="AZ239">IF(SUMPRODUCT((BC239:BH239&lt;&gt;"")*1)=0,"",SUMPRODUCT((BC239:BH239&lt;&gt;"")*(LEN(TRIM(SUBSTITUTE(BC239:BH239,CHAR(160)," "))) - LEN(SUBSTITUTE(TRIM(SUBSTITUTE(BC239:BH239,CHAR(160)," "))," ","")) + 1)) &amp; " palabra" &amp; IF(SUMPRODUCT((BC239:BH239&lt;&gt;"")*(LEN(TRIM(SUBSTITUTE(BC239:BH239,CHAR(160)," "))) - LEN(SUBSTITUTE(TRIM(SUBSTITUTE(BC239:BH239,CHAR(160)," "))," ","")) + 1))&gt;1,"s",""))</f>
        <v/>
      </c>
      <c r="BA239" s="5550" t="str" cm="1">
        <f t="array" ref="BA239">SUMPRODUCT(--(BC239:BH239&lt;&gt;""), LEN(TRIM(SUBSTITUTE(BC239:BH239, CHAR(160), "")))) &amp; " Car."</f>
        <v>0 Car.</v>
      </c>
      <c r="BB239" s="1376" t="str">
        <f>IF(ISBLANK(BC239),"",LARGE(BB222:BB238,1)+1)</f>
        <v/>
      </c>
      <c r="BC239" s="1833"/>
      <c r="BD239" s="1810"/>
      <c r="BE239" s="1810"/>
      <c r="BF239" s="1810"/>
      <c r="BG239" s="1810"/>
      <c r="BH239" s="1810"/>
      <c r="BI239" s="1810"/>
      <c r="BJ239" s="1810"/>
      <c r="BK239" s="1811"/>
      <c r="BM239" s="3">
        <v>1</v>
      </c>
    </row>
    <row r="240" spans="2:65" ht="21" customHeight="1">
      <c r="B240" s="162" t="s">
        <v>10</v>
      </c>
      <c r="C240" s="163" t="str">
        <f>C190</f>
        <v>N NOM DE VOTRE RECETTE | collez la--FAMILLE| Auteur &gt; VOUS</v>
      </c>
      <c r="D240" s="163">
        <f>D190</f>
        <v>1</v>
      </c>
      <c r="E240" s="164" t="str">
        <f>E190</f>
        <v>coupe</v>
      </c>
      <c r="F240" s="165" t="str">
        <f>F190</f>
        <v>Recette mère ► MILLE-FEUILLE  aux fraises des bois</v>
      </c>
      <c r="G240" s="1548"/>
      <c r="H240" s="1548"/>
      <c r="I240" s="2190">
        <f>ROWS(M223:M240)</f>
        <v>18</v>
      </c>
      <c r="J240" s="5549" t="str" cm="1">
        <f t="array" ref="J240">IF(SUMPRODUCT((M240:R240&lt;&gt;"")*1)=0,"",SUMPRODUCT((M240:R240&lt;&gt;"")*(LEN(TRIM(SUBSTITUTE(M240:R240,CHAR(160)," "))) - LEN(SUBSTITUTE(TRIM(SUBSTITUTE(M240:R240,CHAR(160)," "))," ","")) + 1)) &amp; " mot" &amp; IF(SUMPRODUCT((M240:R240&lt;&gt;"")*(LEN(TRIM(SUBSTITUTE(M240:R240,CHAR(160)," "))) - LEN(SUBSTITUTE(TRIM(SUBSTITUTE(M240:R240,CHAR(160)," "))," ","")) + 1))&gt;1,"s",""))</f>
        <v/>
      </c>
      <c r="K240" s="5550" t="str" cm="1">
        <f t="array" ref="K240">SUMPRODUCT(--(M240:R240&lt;&gt;""), LEN(TRIM(SUBSTITUTE(M240:R240, CHAR(160), "")))) &amp; " Car."</f>
        <v>0 Car.</v>
      </c>
      <c r="L240" s="1376"/>
      <c r="M240" s="1810"/>
      <c r="N240" s="1810"/>
      <c r="O240" s="1810"/>
      <c r="P240" s="1810"/>
      <c r="Q240" s="1810"/>
      <c r="R240" s="1810"/>
      <c r="S240" s="1810"/>
      <c r="T240" s="1810"/>
      <c r="U240" s="1811"/>
      <c r="W240" s="162" t="s">
        <v>10</v>
      </c>
      <c r="X240" s="163" t="str">
        <f>X190</f>
        <v>N NAME OF YOUR RECIPE | paste it — FAMILY|  Author &gt; YOU</v>
      </c>
      <c r="Y240" s="163">
        <f>Y190</f>
        <v>1</v>
      </c>
      <c r="Z240" s="164" t="str">
        <f>Z190</f>
        <v>coupe</v>
      </c>
      <c r="AA240" s="165" t="str">
        <f>AA190</f>
        <v>Master recipe ► MILLE-FEUILLE  aux fraises des bois</v>
      </c>
      <c r="AB240" s="1548"/>
      <c r="AC240" s="1548"/>
      <c r="AD240" s="2190">
        <f>ROWS(AH223:AH240)</f>
        <v>18</v>
      </c>
      <c r="AE240" s="5549" t="str" cm="1">
        <f t="array" ref="AE240">IF(SUMPRODUCT((AH240:AM240&lt;&gt;"")*1)=0,"",SUMPRODUCT((AH240:AM240&lt;&gt;"")*(LEN(TRIM(SUBSTITUTE(AH240:AM240,CHAR(160)," "))) - LEN(SUBSTITUTE(TRIM(SUBSTITUTE(AH240:AM240,CHAR(160)," "))," ","")) + 1)) &amp; " word" &amp; IF(SUMPRODUCT((AH240:AM240&lt;&gt;"")*(LEN(TRIM(SUBSTITUTE(AH240:AM240,CHAR(160)," "))) - LEN(SUBSTITUTE(TRIM(SUBSTITUTE(AH240:AM240,CHAR(160)," "))," ","")) + 1))&gt;1,"s",""))</f>
        <v/>
      </c>
      <c r="AF240" s="5550" t="str" cm="1">
        <f t="array" ref="AF240">SUMPRODUCT(--(AH240:AM240&lt;&gt;""), LEN(TRIM(SUBSTITUTE(AH240:AM240, CHAR(160), "")))) &amp; " Car."</f>
        <v>0 Car.</v>
      </c>
      <c r="AG240" s="1376" t="str">
        <f>IF(ISBLANK(AH240),"",LARGE(AG222:AG239,1)+1)</f>
        <v/>
      </c>
      <c r="AH240" s="1833"/>
      <c r="AI240" s="1810"/>
      <c r="AJ240" s="1810"/>
      <c r="AK240" s="1810"/>
      <c r="AL240" s="1810"/>
      <c r="AM240" s="1810"/>
      <c r="AN240" s="1810"/>
      <c r="AO240" s="1810"/>
      <c r="AP240" s="1811"/>
      <c r="AR240" s="162" t="s">
        <v>10</v>
      </c>
      <c r="AS240" s="163" t="str">
        <f>AS190</f>
        <v>N NOMBRE DE SU RECETA | pegue esto — FAMILIA| Auteur &gt; VOUS</v>
      </c>
      <c r="AT240" s="163">
        <f>AT190</f>
        <v>1</v>
      </c>
      <c r="AU240" s="164" t="str">
        <f>AU190</f>
        <v>coupe</v>
      </c>
      <c r="AV240" s="165" t="str">
        <f>AV190</f>
        <v>Receta madre ► MILLE-FEUILLE  aux fraises des bois</v>
      </c>
      <c r="AW240" s="1548"/>
      <c r="AX240" s="1548"/>
      <c r="AY240" s="2190">
        <f>ROWS(BC223:BC240)</f>
        <v>18</v>
      </c>
      <c r="AZ240" s="5549" t="str" cm="1">
        <f t="array" ref="AZ240">IF(SUMPRODUCT((BC240:BH240&lt;&gt;"")*1)=0,"",SUMPRODUCT((BC240:BH240&lt;&gt;"")*(LEN(TRIM(SUBSTITUTE(BC240:BH240,CHAR(160)," "))) - LEN(SUBSTITUTE(TRIM(SUBSTITUTE(BC240:BH240,CHAR(160)," "))," ","")) + 1)) &amp; " palabra" &amp; IF(SUMPRODUCT((BC240:BH240&lt;&gt;"")*(LEN(TRIM(SUBSTITUTE(BC240:BH240,CHAR(160)," "))) - LEN(SUBSTITUTE(TRIM(SUBSTITUTE(BC240:BH240,CHAR(160)," "))," ","")) + 1))&gt;1,"s",""))</f>
        <v/>
      </c>
      <c r="BA240" s="5550" t="str" cm="1">
        <f t="array" ref="BA240">SUMPRODUCT(--(BC240:BH240&lt;&gt;""), LEN(TRIM(SUBSTITUTE(BC240:BH240, CHAR(160), "")))) &amp; " Car."</f>
        <v>0 Car.</v>
      </c>
      <c r="BB240" s="1376" t="str">
        <f>IF(ISBLANK(BC240),"",LARGE(BB222:BB239,1)+1)</f>
        <v/>
      </c>
      <c r="BC240" s="1833"/>
      <c r="BD240" s="1810"/>
      <c r="BE240" s="1810"/>
      <c r="BF240" s="1810"/>
      <c r="BG240" s="1810"/>
      <c r="BH240" s="1810"/>
      <c r="BI240" s="1810"/>
      <c r="BJ240" s="1810"/>
      <c r="BK240" s="1811"/>
      <c r="BM240" s="3">
        <v>1</v>
      </c>
    </row>
    <row r="241" spans="2:65" ht="21" customHeight="1">
      <c r="B241" s="103" t="str">
        <f t="shared" ref="B241:B260" si="64">IF(M241&lt;&gt;"","A","►")</f>
        <v>►</v>
      </c>
      <c r="C241" s="163" t="str">
        <f>C190</f>
        <v>N NOM DE VOTRE RECETTE | collez la--FAMILLE| Auteur &gt; VOUS</v>
      </c>
      <c r="D241" s="163">
        <f>D190</f>
        <v>1</v>
      </c>
      <c r="E241" s="164" t="str">
        <f>E190</f>
        <v>coupe</v>
      </c>
      <c r="F241" s="165" t="str">
        <f>F190</f>
        <v>Recette mère ► MILLE-FEUILLE  aux fraises des bois</v>
      </c>
      <c r="G241" s="1548"/>
      <c r="H241" s="1548"/>
      <c r="I241" s="2190">
        <f>ROWS(M223:M241)</f>
        <v>19</v>
      </c>
      <c r="J241" s="5549" t="str" cm="1">
        <f t="array" ref="J241">IF(SUMPRODUCT((M241:R241&lt;&gt;"")*1)=0,"",SUMPRODUCT((M241:R241&lt;&gt;"")*(LEN(TRIM(SUBSTITUTE(M241:R241,CHAR(160)," "))) - LEN(SUBSTITUTE(TRIM(SUBSTITUTE(M241:R241,CHAR(160)," "))," ","")) + 1)) &amp; " mot" &amp; IF(SUMPRODUCT((M241:R241&lt;&gt;"")*(LEN(TRIM(SUBSTITUTE(M241:R241,CHAR(160)," "))) - LEN(SUBSTITUTE(TRIM(SUBSTITUTE(M241:R241,CHAR(160)," "))," ","")) + 1))&gt;1,"s",""))</f>
        <v/>
      </c>
      <c r="K241" s="5550" t="str" cm="1">
        <f t="array" ref="K241">SUMPRODUCT(--(M241:R241&lt;&gt;""), LEN(TRIM(SUBSTITUTE(M241:R241, CHAR(160), "")))) &amp; " Car."</f>
        <v>0 Car.</v>
      </c>
      <c r="L241" s="1376" t="str">
        <f>IF(ISBLANK(M241),"",LARGE(L222:L240,1)+1)</f>
        <v/>
      </c>
      <c r="M241" s="1810"/>
      <c r="N241" s="1810"/>
      <c r="O241" s="1810"/>
      <c r="P241" s="1810"/>
      <c r="Q241" s="1810"/>
      <c r="R241" s="1810"/>
      <c r="S241" s="1810"/>
      <c r="T241" s="1810"/>
      <c r="U241" s="1811"/>
      <c r="W241" s="103" t="str">
        <f t="shared" ref="W241:W260" si="65">IF(AH241&lt;&gt;"","A","►")</f>
        <v>►</v>
      </c>
      <c r="X241" s="163" t="str">
        <f>X190</f>
        <v>N NAME OF YOUR RECIPE | paste it — FAMILY|  Author &gt; YOU</v>
      </c>
      <c r="Y241" s="163">
        <f>Y190</f>
        <v>1</v>
      </c>
      <c r="Z241" s="164" t="str">
        <f>Z190</f>
        <v>coupe</v>
      </c>
      <c r="AA241" s="165" t="str">
        <f>AA190</f>
        <v>Master recipe ► MILLE-FEUILLE  aux fraises des bois</v>
      </c>
      <c r="AB241" s="1548"/>
      <c r="AC241" s="1548"/>
      <c r="AD241" s="2190">
        <f>ROWS(AH223:AH241)</f>
        <v>19</v>
      </c>
      <c r="AE241" s="5549" t="str" cm="1">
        <f t="array" ref="AE241">IF(SUMPRODUCT((AH241:AM241&lt;&gt;"")*1)=0,"",SUMPRODUCT((AH241:AM241&lt;&gt;"")*(LEN(TRIM(SUBSTITUTE(AH241:AM241,CHAR(160)," "))) - LEN(SUBSTITUTE(TRIM(SUBSTITUTE(AH241:AM241,CHAR(160)," "))," ","")) + 1)) &amp; " word" &amp; IF(SUMPRODUCT((AH241:AM241&lt;&gt;"")*(LEN(TRIM(SUBSTITUTE(AH241:AM241,CHAR(160)," "))) - LEN(SUBSTITUTE(TRIM(SUBSTITUTE(AH241:AM241,CHAR(160)," "))," ","")) + 1))&gt;1,"s",""))</f>
        <v/>
      </c>
      <c r="AF241" s="5550" t="str" cm="1">
        <f t="array" ref="AF241">SUMPRODUCT(--(AH241:AM241&lt;&gt;""), LEN(TRIM(SUBSTITUTE(AH241:AM241, CHAR(160), "")))) &amp; " Car."</f>
        <v>0 Car.</v>
      </c>
      <c r="AG241" s="1376" t="str">
        <f>IF(ISBLANK(AH241),"",LARGE(AG222:AG240,1)+1)</f>
        <v/>
      </c>
      <c r="AH241" s="1833"/>
      <c r="AI241" s="1810"/>
      <c r="AJ241" s="1810"/>
      <c r="AK241" s="1810"/>
      <c r="AL241" s="1810"/>
      <c r="AM241" s="1810"/>
      <c r="AN241" s="1810"/>
      <c r="AO241" s="1810"/>
      <c r="AP241" s="1811"/>
      <c r="AR241" s="103" t="str">
        <f t="shared" ref="AR241:AR260" si="66">IF(BC241&lt;&gt;"","A","►")</f>
        <v>►</v>
      </c>
      <c r="AS241" s="163" t="str">
        <f>AS190</f>
        <v>N NOMBRE DE SU RECETA | pegue esto — FAMILIA| Auteur &gt; VOUS</v>
      </c>
      <c r="AT241" s="163">
        <f>AT190</f>
        <v>1</v>
      </c>
      <c r="AU241" s="164" t="str">
        <f>AU190</f>
        <v>coupe</v>
      </c>
      <c r="AV241" s="165" t="str">
        <f>AV190</f>
        <v>Receta madre ► MILLE-FEUILLE  aux fraises des bois</v>
      </c>
      <c r="AW241" s="1548"/>
      <c r="AX241" s="1548"/>
      <c r="AY241" s="2190">
        <f>ROWS(BC223:BC241)</f>
        <v>19</v>
      </c>
      <c r="AZ241" s="5549" t="str" cm="1">
        <f t="array" ref="AZ241">IF(SUMPRODUCT((BC241:BH241&lt;&gt;"")*1)=0,"",SUMPRODUCT((BC241:BH241&lt;&gt;"")*(LEN(TRIM(SUBSTITUTE(BC241:BH241,CHAR(160)," "))) - LEN(SUBSTITUTE(TRIM(SUBSTITUTE(BC241:BH241,CHAR(160)," "))," ","")) + 1)) &amp; " palabra" &amp; IF(SUMPRODUCT((BC241:BH241&lt;&gt;"")*(LEN(TRIM(SUBSTITUTE(BC241:BH241,CHAR(160)," "))) - LEN(SUBSTITUTE(TRIM(SUBSTITUTE(BC241:BH241,CHAR(160)," "))," ","")) + 1))&gt;1,"s",""))</f>
        <v/>
      </c>
      <c r="BA241" s="5550" t="str" cm="1">
        <f t="array" ref="BA241">SUMPRODUCT(--(BC241:BH241&lt;&gt;""), LEN(TRIM(SUBSTITUTE(BC241:BH241, CHAR(160), "")))) &amp; " Car."</f>
        <v>0 Car.</v>
      </c>
      <c r="BB241" s="1376" t="str">
        <f>IF(ISBLANK(BC241),"",LARGE(BB222:BB240,1)+1)</f>
        <v/>
      </c>
      <c r="BC241" s="1833"/>
      <c r="BD241" s="1810"/>
      <c r="BE241" s="1810"/>
      <c r="BF241" s="1810"/>
      <c r="BG241" s="1810"/>
      <c r="BH241" s="1810"/>
      <c r="BI241" s="1810"/>
      <c r="BJ241" s="1810"/>
      <c r="BK241" s="1811"/>
      <c r="BM241" s="3">
        <v>1</v>
      </c>
    </row>
    <row r="242" spans="2:65" ht="21" customHeight="1">
      <c r="B242" s="103" t="str">
        <f t="shared" si="64"/>
        <v>►</v>
      </c>
      <c r="C242" s="163" t="str">
        <f>C190</f>
        <v>N NOM DE VOTRE RECETTE | collez la--FAMILLE| Auteur &gt; VOUS</v>
      </c>
      <c r="D242" s="163">
        <f>D190</f>
        <v>1</v>
      </c>
      <c r="E242" s="164" t="str">
        <f>E190</f>
        <v>coupe</v>
      </c>
      <c r="F242" s="165" t="str">
        <f>F190</f>
        <v>Recette mère ► MILLE-FEUILLE  aux fraises des bois</v>
      </c>
      <c r="G242" s="1548"/>
      <c r="H242" s="1548"/>
      <c r="I242" s="2190">
        <f>ROWS(M223:M242)</f>
        <v>20</v>
      </c>
      <c r="J242" s="5549" t="str" cm="1">
        <f t="array" ref="J242">IF(SUMPRODUCT((M242:R242&lt;&gt;"")*1)=0,"",SUMPRODUCT((M242:R242&lt;&gt;"")*(LEN(TRIM(SUBSTITUTE(M242:R242,CHAR(160)," "))) - LEN(SUBSTITUTE(TRIM(SUBSTITUTE(M242:R242,CHAR(160)," "))," ","")) + 1)) &amp; " mot" &amp; IF(SUMPRODUCT((M242:R242&lt;&gt;"")*(LEN(TRIM(SUBSTITUTE(M242:R242,CHAR(160)," "))) - LEN(SUBSTITUTE(TRIM(SUBSTITUTE(M242:R242,CHAR(160)," "))," ","")) + 1))&gt;1,"s",""))</f>
        <v/>
      </c>
      <c r="K242" s="5550" t="str" cm="1">
        <f t="array" ref="K242">SUMPRODUCT(--(M242:R242&lt;&gt;""), LEN(TRIM(SUBSTITUTE(M242:R242, CHAR(160), "")))) &amp; " Car."</f>
        <v>0 Car.</v>
      </c>
      <c r="L242" s="1376" t="str">
        <f>IF(ISBLANK(M242),"",LARGE(L222:L241,1)+1)</f>
        <v/>
      </c>
      <c r="M242" s="1810"/>
      <c r="N242" s="1810"/>
      <c r="O242" s="1810"/>
      <c r="P242" s="1810"/>
      <c r="Q242" s="1810"/>
      <c r="R242" s="1810"/>
      <c r="S242" s="1810"/>
      <c r="T242" s="1810"/>
      <c r="U242" s="1811"/>
      <c r="W242" s="103" t="str">
        <f t="shared" si="65"/>
        <v>►</v>
      </c>
      <c r="X242" s="163" t="str">
        <f>X190</f>
        <v>N NAME OF YOUR RECIPE | paste it — FAMILY|  Author &gt; YOU</v>
      </c>
      <c r="Y242" s="163">
        <f>Y190</f>
        <v>1</v>
      </c>
      <c r="Z242" s="164" t="str">
        <f>Z190</f>
        <v>coupe</v>
      </c>
      <c r="AA242" s="165" t="str">
        <f>AA190</f>
        <v>Master recipe ► MILLE-FEUILLE  aux fraises des bois</v>
      </c>
      <c r="AB242" s="1548"/>
      <c r="AC242" s="1548"/>
      <c r="AD242" s="2190">
        <f>ROWS(AH223:AH242)</f>
        <v>20</v>
      </c>
      <c r="AE242" s="5549" t="str" cm="1">
        <f t="array" ref="AE242">IF(SUMPRODUCT((AH242:AM242&lt;&gt;"")*1)=0,"",SUMPRODUCT((AH242:AM242&lt;&gt;"")*(LEN(TRIM(SUBSTITUTE(AH242:AM242,CHAR(160)," "))) - LEN(SUBSTITUTE(TRIM(SUBSTITUTE(AH242:AM242,CHAR(160)," "))," ","")) + 1)) &amp; " word" &amp; IF(SUMPRODUCT((AH242:AM242&lt;&gt;"")*(LEN(TRIM(SUBSTITUTE(AH242:AM242,CHAR(160)," "))) - LEN(SUBSTITUTE(TRIM(SUBSTITUTE(AH242:AM242,CHAR(160)," "))," ","")) + 1))&gt;1,"s",""))</f>
        <v/>
      </c>
      <c r="AF242" s="5550" t="str" cm="1">
        <f t="array" ref="AF242">SUMPRODUCT(--(AH242:AM242&lt;&gt;""), LEN(TRIM(SUBSTITUTE(AH242:AM242, CHAR(160), "")))) &amp; " Car."</f>
        <v>0 Car.</v>
      </c>
      <c r="AG242" s="1376" t="str">
        <f>IF(ISBLANK(AH242),"",LARGE(AG222:AG241,1)+1)</f>
        <v/>
      </c>
      <c r="AH242" s="1833"/>
      <c r="AI242" s="1810"/>
      <c r="AJ242" s="1810"/>
      <c r="AK242" s="1810"/>
      <c r="AL242" s="1810"/>
      <c r="AM242" s="1810"/>
      <c r="AN242" s="1810"/>
      <c r="AO242" s="1810"/>
      <c r="AP242" s="1811"/>
      <c r="AR242" s="103" t="str">
        <f t="shared" si="66"/>
        <v>►</v>
      </c>
      <c r="AS242" s="163" t="str">
        <f>AS190</f>
        <v>N NOMBRE DE SU RECETA | pegue esto — FAMILIA| Auteur &gt; VOUS</v>
      </c>
      <c r="AT242" s="163">
        <f>AT190</f>
        <v>1</v>
      </c>
      <c r="AU242" s="164" t="str">
        <f>AU190</f>
        <v>coupe</v>
      </c>
      <c r="AV242" s="165" t="str">
        <f>AV190</f>
        <v>Receta madre ► MILLE-FEUILLE  aux fraises des bois</v>
      </c>
      <c r="AW242" s="1548"/>
      <c r="AX242" s="1548"/>
      <c r="AY242" s="2190">
        <f>ROWS(BC223:BC242)</f>
        <v>20</v>
      </c>
      <c r="AZ242" s="5549" t="str" cm="1">
        <f t="array" ref="AZ242">IF(SUMPRODUCT((BC242:BH242&lt;&gt;"")*1)=0,"",SUMPRODUCT((BC242:BH242&lt;&gt;"")*(LEN(TRIM(SUBSTITUTE(BC242:BH242,CHAR(160)," "))) - LEN(SUBSTITUTE(TRIM(SUBSTITUTE(BC242:BH242,CHAR(160)," "))," ","")) + 1)) &amp; " palabra" &amp; IF(SUMPRODUCT((BC242:BH242&lt;&gt;"")*(LEN(TRIM(SUBSTITUTE(BC242:BH242,CHAR(160)," "))) - LEN(SUBSTITUTE(TRIM(SUBSTITUTE(BC242:BH242,CHAR(160)," "))," ","")) + 1))&gt;1,"s",""))</f>
        <v/>
      </c>
      <c r="BA242" s="5550" t="str" cm="1">
        <f t="array" ref="BA242">SUMPRODUCT(--(BC242:BH242&lt;&gt;""), LEN(TRIM(SUBSTITUTE(BC242:BH242, CHAR(160), "")))) &amp; " Car."</f>
        <v>0 Car.</v>
      </c>
      <c r="BB242" s="1376" t="str">
        <f>IF(ISBLANK(BC242),"",LARGE(BB222:BB241,1)+1)</f>
        <v/>
      </c>
      <c r="BC242" s="1833"/>
      <c r="BD242" s="1810"/>
      <c r="BE242" s="1810"/>
      <c r="BF242" s="1810"/>
      <c r="BG242" s="1810"/>
      <c r="BH242" s="1810"/>
      <c r="BI242" s="1810"/>
      <c r="BJ242" s="1810"/>
      <c r="BK242" s="1811"/>
      <c r="BM242" s="3">
        <v>1</v>
      </c>
    </row>
    <row r="243" spans="2:65" ht="21" customHeight="1">
      <c r="B243" s="103" t="str">
        <f t="shared" si="64"/>
        <v>►</v>
      </c>
      <c r="C243" s="163" t="str">
        <f>C190</f>
        <v>N NOM DE VOTRE RECETTE | collez la--FAMILLE| Auteur &gt; VOUS</v>
      </c>
      <c r="D243" s="163">
        <f>D190</f>
        <v>1</v>
      </c>
      <c r="E243" s="164" t="str">
        <f>E190</f>
        <v>coupe</v>
      </c>
      <c r="F243" s="165" t="str">
        <f>F190</f>
        <v>Recette mère ► MILLE-FEUILLE  aux fraises des bois</v>
      </c>
      <c r="G243" s="1548"/>
      <c r="H243" s="1548"/>
      <c r="I243" s="2190">
        <f>ROWS(M223:M243)</f>
        <v>21</v>
      </c>
      <c r="J243" s="5549" t="str" cm="1">
        <f t="array" ref="J243">IF(SUMPRODUCT((M243:R243&lt;&gt;"")*1)=0,"",SUMPRODUCT((M243:R243&lt;&gt;"")*(LEN(TRIM(SUBSTITUTE(M243:R243,CHAR(160)," "))) - LEN(SUBSTITUTE(TRIM(SUBSTITUTE(M243:R243,CHAR(160)," "))," ","")) + 1)) &amp; " mot" &amp; IF(SUMPRODUCT((M243:R243&lt;&gt;"")*(LEN(TRIM(SUBSTITUTE(M243:R243,CHAR(160)," "))) - LEN(SUBSTITUTE(TRIM(SUBSTITUTE(M243:R243,CHAR(160)," "))," ","")) + 1))&gt;1,"s",""))</f>
        <v/>
      </c>
      <c r="K243" s="5550" t="str" cm="1">
        <f t="array" ref="K243">SUMPRODUCT(--(M243:R243&lt;&gt;""), LEN(TRIM(SUBSTITUTE(M243:R243, CHAR(160), "")))) &amp; " Car."</f>
        <v>0 Car.</v>
      </c>
      <c r="L243" s="1376" t="str">
        <f>IF(ISBLANK(M243),"",LARGE(L222:L242,1)+1)</f>
        <v/>
      </c>
      <c r="M243" s="1810"/>
      <c r="N243" s="1810"/>
      <c r="O243" s="1810"/>
      <c r="P243" s="1810"/>
      <c r="Q243" s="1810"/>
      <c r="R243" s="1810"/>
      <c r="S243" s="1810"/>
      <c r="T243" s="1810"/>
      <c r="U243" s="1811"/>
      <c r="W243" s="103" t="str">
        <f t="shared" si="65"/>
        <v>►</v>
      </c>
      <c r="X243" s="163" t="str">
        <f>X190</f>
        <v>N NAME OF YOUR RECIPE | paste it — FAMILY|  Author &gt; YOU</v>
      </c>
      <c r="Y243" s="163">
        <f>Y190</f>
        <v>1</v>
      </c>
      <c r="Z243" s="164" t="str">
        <f>Z190</f>
        <v>coupe</v>
      </c>
      <c r="AA243" s="165" t="str">
        <f>AA190</f>
        <v>Master recipe ► MILLE-FEUILLE  aux fraises des bois</v>
      </c>
      <c r="AB243" s="1548"/>
      <c r="AC243" s="1548"/>
      <c r="AD243" s="2190">
        <f>ROWS(AH223:AH243)</f>
        <v>21</v>
      </c>
      <c r="AE243" s="5549" t="str" cm="1">
        <f t="array" ref="AE243">IF(SUMPRODUCT((AH243:AM243&lt;&gt;"")*1)=0,"",SUMPRODUCT((AH243:AM243&lt;&gt;"")*(LEN(TRIM(SUBSTITUTE(AH243:AM243,CHAR(160)," "))) - LEN(SUBSTITUTE(TRIM(SUBSTITUTE(AH243:AM243,CHAR(160)," "))," ","")) + 1)) &amp; " word" &amp; IF(SUMPRODUCT((AH243:AM243&lt;&gt;"")*(LEN(TRIM(SUBSTITUTE(AH243:AM243,CHAR(160)," "))) - LEN(SUBSTITUTE(TRIM(SUBSTITUTE(AH243:AM243,CHAR(160)," "))," ","")) + 1))&gt;1,"s",""))</f>
        <v/>
      </c>
      <c r="AF243" s="5550" t="str" cm="1">
        <f t="array" ref="AF243">SUMPRODUCT(--(AH243:AM243&lt;&gt;""), LEN(TRIM(SUBSTITUTE(AH243:AM243, CHAR(160), "")))) &amp; " Car."</f>
        <v>0 Car.</v>
      </c>
      <c r="AG243" s="1376" t="str">
        <f>IF(ISBLANK(AH243),"",LARGE(AG222:AG242,1)+1)</f>
        <v/>
      </c>
      <c r="AH243" s="1833"/>
      <c r="AI243" s="1810"/>
      <c r="AJ243" s="1810"/>
      <c r="AK243" s="1810"/>
      <c r="AL243" s="1810"/>
      <c r="AM243" s="1810"/>
      <c r="AN243" s="1810"/>
      <c r="AO243" s="1810"/>
      <c r="AP243" s="1811"/>
      <c r="AR243" s="103" t="str">
        <f t="shared" si="66"/>
        <v>►</v>
      </c>
      <c r="AS243" s="163" t="str">
        <f>AS190</f>
        <v>N NOMBRE DE SU RECETA | pegue esto — FAMILIA| Auteur &gt; VOUS</v>
      </c>
      <c r="AT243" s="163">
        <f>AT190</f>
        <v>1</v>
      </c>
      <c r="AU243" s="164" t="str">
        <f>AU190</f>
        <v>coupe</v>
      </c>
      <c r="AV243" s="165" t="str">
        <f>AV190</f>
        <v>Receta madre ► MILLE-FEUILLE  aux fraises des bois</v>
      </c>
      <c r="AW243" s="1548"/>
      <c r="AX243" s="1548"/>
      <c r="AY243" s="2190">
        <f>ROWS(BC223:BC243)</f>
        <v>21</v>
      </c>
      <c r="AZ243" s="5549" t="str" cm="1">
        <f t="array" ref="AZ243">IF(SUMPRODUCT((BC243:BH243&lt;&gt;"")*1)=0,"",SUMPRODUCT((BC243:BH243&lt;&gt;"")*(LEN(TRIM(SUBSTITUTE(BC243:BH243,CHAR(160)," "))) - LEN(SUBSTITUTE(TRIM(SUBSTITUTE(BC243:BH243,CHAR(160)," "))," ","")) + 1)) &amp; " palabra" &amp; IF(SUMPRODUCT((BC243:BH243&lt;&gt;"")*(LEN(TRIM(SUBSTITUTE(BC243:BH243,CHAR(160)," "))) - LEN(SUBSTITUTE(TRIM(SUBSTITUTE(BC243:BH243,CHAR(160)," "))," ","")) + 1))&gt;1,"s",""))</f>
        <v/>
      </c>
      <c r="BA243" s="5550" t="str" cm="1">
        <f t="array" ref="BA243">SUMPRODUCT(--(BC243:BH243&lt;&gt;""), LEN(TRIM(SUBSTITUTE(BC243:BH243, CHAR(160), "")))) &amp; " Car."</f>
        <v>0 Car.</v>
      </c>
      <c r="BB243" s="1376" t="str">
        <f>IF(ISBLANK(BC243),"",LARGE(BB222:BB242,1)+1)</f>
        <v/>
      </c>
      <c r="BC243" s="1833"/>
      <c r="BD243" s="1810"/>
      <c r="BE243" s="1810"/>
      <c r="BF243" s="1810"/>
      <c r="BG243" s="1810"/>
      <c r="BH243" s="1810"/>
      <c r="BI243" s="1810"/>
      <c r="BJ243" s="1810"/>
      <c r="BK243" s="1811"/>
      <c r="BM243" s="3">
        <v>1</v>
      </c>
    </row>
    <row r="244" spans="2:65" ht="21" customHeight="1">
      <c r="B244" s="103" t="str">
        <f t="shared" si="64"/>
        <v>►</v>
      </c>
      <c r="C244" s="163" t="str">
        <f>C190</f>
        <v>N NOM DE VOTRE RECETTE | collez la--FAMILLE| Auteur &gt; VOUS</v>
      </c>
      <c r="D244" s="163">
        <f>D190</f>
        <v>1</v>
      </c>
      <c r="E244" s="164" t="str">
        <f>E190</f>
        <v>coupe</v>
      </c>
      <c r="F244" s="165" t="str">
        <f>F190</f>
        <v>Recette mère ► MILLE-FEUILLE  aux fraises des bois</v>
      </c>
      <c r="G244" s="1548"/>
      <c r="H244" s="1548"/>
      <c r="I244" s="2190">
        <f>ROWS(M223:M244)</f>
        <v>22</v>
      </c>
      <c r="J244" s="5549" t="str" cm="1">
        <f t="array" ref="J244">IF(SUMPRODUCT((M244:R244&lt;&gt;"")*1)=0,"",SUMPRODUCT((M244:R244&lt;&gt;"")*(LEN(TRIM(SUBSTITUTE(M244:R244,CHAR(160)," "))) - LEN(SUBSTITUTE(TRIM(SUBSTITUTE(M244:R244,CHAR(160)," "))," ","")) + 1)) &amp; " mot" &amp; IF(SUMPRODUCT((M244:R244&lt;&gt;"")*(LEN(TRIM(SUBSTITUTE(M244:R244,CHAR(160)," "))) - LEN(SUBSTITUTE(TRIM(SUBSTITUTE(M244:R244,CHAR(160)," "))," ","")) + 1))&gt;1,"s",""))</f>
        <v/>
      </c>
      <c r="K244" s="5550" t="str" cm="1">
        <f t="array" ref="K244">SUMPRODUCT(--(M244:R244&lt;&gt;""), LEN(TRIM(SUBSTITUTE(M244:R244, CHAR(160), "")))) &amp; " Car."</f>
        <v>0 Car.</v>
      </c>
      <c r="L244" s="1376" t="str">
        <f>IF(ISBLANK(M244),"",LARGE(L222:L243,1)+1)</f>
        <v/>
      </c>
      <c r="M244" s="1810"/>
      <c r="N244" s="1810"/>
      <c r="O244" s="1810"/>
      <c r="P244" s="1810"/>
      <c r="Q244" s="1810"/>
      <c r="R244" s="1810"/>
      <c r="S244" s="1810"/>
      <c r="T244" s="1810"/>
      <c r="U244" s="1811"/>
      <c r="W244" s="103" t="str">
        <f t="shared" si="65"/>
        <v>►</v>
      </c>
      <c r="X244" s="163" t="str">
        <f>X190</f>
        <v>N NAME OF YOUR RECIPE | paste it — FAMILY|  Author &gt; YOU</v>
      </c>
      <c r="Y244" s="163">
        <f>Y190</f>
        <v>1</v>
      </c>
      <c r="Z244" s="164" t="str">
        <f>Z190</f>
        <v>coupe</v>
      </c>
      <c r="AA244" s="165" t="str">
        <f>AA190</f>
        <v>Master recipe ► MILLE-FEUILLE  aux fraises des bois</v>
      </c>
      <c r="AB244" s="1548"/>
      <c r="AC244" s="1548"/>
      <c r="AD244" s="2190">
        <f>ROWS(AH223:AH244)</f>
        <v>22</v>
      </c>
      <c r="AE244" s="5549" t="str" cm="1">
        <f t="array" ref="AE244">IF(SUMPRODUCT((AH244:AM244&lt;&gt;"")*1)=0,"",SUMPRODUCT((AH244:AM244&lt;&gt;"")*(LEN(TRIM(SUBSTITUTE(AH244:AM244,CHAR(160)," "))) - LEN(SUBSTITUTE(TRIM(SUBSTITUTE(AH244:AM244,CHAR(160)," "))," ","")) + 1)) &amp; " word" &amp; IF(SUMPRODUCT((AH244:AM244&lt;&gt;"")*(LEN(TRIM(SUBSTITUTE(AH244:AM244,CHAR(160)," "))) - LEN(SUBSTITUTE(TRIM(SUBSTITUTE(AH244:AM244,CHAR(160)," "))," ","")) + 1))&gt;1,"s",""))</f>
        <v/>
      </c>
      <c r="AF244" s="5550" t="str" cm="1">
        <f t="array" ref="AF244">SUMPRODUCT(--(AH244:AM244&lt;&gt;""), LEN(TRIM(SUBSTITUTE(AH244:AM244, CHAR(160), "")))) &amp; " Car."</f>
        <v>0 Car.</v>
      </c>
      <c r="AG244" s="1376" t="str">
        <f>IF(ISBLANK(AH244),"",LARGE(AG222:AG243,1)+1)</f>
        <v/>
      </c>
      <c r="AH244" s="1833"/>
      <c r="AI244" s="1810"/>
      <c r="AJ244" s="1810"/>
      <c r="AK244" s="1810"/>
      <c r="AL244" s="1810"/>
      <c r="AM244" s="1810"/>
      <c r="AN244" s="1810"/>
      <c r="AO244" s="1810"/>
      <c r="AP244" s="1811"/>
      <c r="AR244" s="103" t="str">
        <f t="shared" si="66"/>
        <v>►</v>
      </c>
      <c r="AS244" s="163" t="str">
        <f>AS190</f>
        <v>N NOMBRE DE SU RECETA | pegue esto — FAMILIA| Auteur &gt; VOUS</v>
      </c>
      <c r="AT244" s="163">
        <f>AT190</f>
        <v>1</v>
      </c>
      <c r="AU244" s="164" t="str">
        <f>AU190</f>
        <v>coupe</v>
      </c>
      <c r="AV244" s="165" t="str">
        <f>AV190</f>
        <v>Receta madre ► MILLE-FEUILLE  aux fraises des bois</v>
      </c>
      <c r="AW244" s="1548"/>
      <c r="AX244" s="1548"/>
      <c r="AY244" s="2190">
        <f>ROWS(BC223:BC244)</f>
        <v>22</v>
      </c>
      <c r="AZ244" s="5549" t="str" cm="1">
        <f t="array" ref="AZ244">IF(SUMPRODUCT((BC244:BH244&lt;&gt;"")*1)=0,"",SUMPRODUCT((BC244:BH244&lt;&gt;"")*(LEN(TRIM(SUBSTITUTE(BC244:BH244,CHAR(160)," "))) - LEN(SUBSTITUTE(TRIM(SUBSTITUTE(BC244:BH244,CHAR(160)," "))," ","")) + 1)) &amp; " palabra" &amp; IF(SUMPRODUCT((BC244:BH244&lt;&gt;"")*(LEN(TRIM(SUBSTITUTE(BC244:BH244,CHAR(160)," "))) - LEN(SUBSTITUTE(TRIM(SUBSTITUTE(BC244:BH244,CHAR(160)," "))," ","")) + 1))&gt;1,"s",""))</f>
        <v/>
      </c>
      <c r="BA244" s="5550" t="str" cm="1">
        <f t="array" ref="BA244">SUMPRODUCT(--(BC244:BH244&lt;&gt;""), LEN(TRIM(SUBSTITUTE(BC244:BH244, CHAR(160), "")))) &amp; " Car."</f>
        <v>0 Car.</v>
      </c>
      <c r="BB244" s="1376" t="str">
        <f>IF(ISBLANK(BC244),"",LARGE(BB222:BB243,1)+1)</f>
        <v/>
      </c>
      <c r="BC244" s="1833"/>
      <c r="BD244" s="1810"/>
      <c r="BE244" s="1810"/>
      <c r="BF244" s="1810"/>
      <c r="BG244" s="1810"/>
      <c r="BH244" s="1810"/>
      <c r="BI244" s="1810"/>
      <c r="BJ244" s="1810"/>
      <c r="BK244" s="1811"/>
      <c r="BM244" s="3">
        <v>1</v>
      </c>
    </row>
    <row r="245" spans="2:65" ht="21" customHeight="1">
      <c r="B245" s="103" t="str">
        <f t="shared" si="64"/>
        <v>►</v>
      </c>
      <c r="C245" s="163" t="str">
        <f>C190</f>
        <v>N NOM DE VOTRE RECETTE | collez la--FAMILLE| Auteur &gt; VOUS</v>
      </c>
      <c r="D245" s="163">
        <f>D190</f>
        <v>1</v>
      </c>
      <c r="E245" s="164" t="str">
        <f>E190</f>
        <v>coupe</v>
      </c>
      <c r="F245" s="165" t="str">
        <f>F190</f>
        <v>Recette mère ► MILLE-FEUILLE  aux fraises des bois</v>
      </c>
      <c r="G245" s="1548"/>
      <c r="H245" s="1548"/>
      <c r="I245" s="2190">
        <f>ROWS(M223:M245)</f>
        <v>23</v>
      </c>
      <c r="J245" s="5549" t="str" cm="1">
        <f t="array" ref="J245">IF(SUMPRODUCT((M245:R245&lt;&gt;"")*1)=0,"",SUMPRODUCT((M245:R245&lt;&gt;"")*(LEN(TRIM(SUBSTITUTE(M245:R245,CHAR(160)," "))) - LEN(SUBSTITUTE(TRIM(SUBSTITUTE(M245:R245,CHAR(160)," "))," ","")) + 1)) &amp; " mot" &amp; IF(SUMPRODUCT((M245:R245&lt;&gt;"")*(LEN(TRIM(SUBSTITUTE(M245:R245,CHAR(160)," "))) - LEN(SUBSTITUTE(TRIM(SUBSTITUTE(M245:R245,CHAR(160)," "))," ","")) + 1))&gt;1,"s",""))</f>
        <v/>
      </c>
      <c r="K245" s="5550" t="str" cm="1">
        <f t="array" ref="K245">SUMPRODUCT(--(M245:R245&lt;&gt;""), LEN(TRIM(SUBSTITUTE(M245:R245, CHAR(160), "")))) &amp; " Car."</f>
        <v>0 Car.</v>
      </c>
      <c r="L245" s="1376" t="str">
        <f>IF(ISBLANK(M245),"",LARGE(L222:L244,1)+1)</f>
        <v/>
      </c>
      <c r="M245" s="1810"/>
      <c r="N245" s="1810"/>
      <c r="O245" s="1810"/>
      <c r="P245" s="1810"/>
      <c r="Q245" s="1810"/>
      <c r="R245" s="1810"/>
      <c r="S245" s="1810"/>
      <c r="T245" s="1810"/>
      <c r="U245" s="1811"/>
      <c r="W245" s="103" t="str">
        <f t="shared" si="65"/>
        <v>►</v>
      </c>
      <c r="X245" s="163" t="str">
        <f>X190</f>
        <v>N NAME OF YOUR RECIPE | paste it — FAMILY|  Author &gt; YOU</v>
      </c>
      <c r="Y245" s="163">
        <f>Y190</f>
        <v>1</v>
      </c>
      <c r="Z245" s="164" t="str">
        <f>Z190</f>
        <v>coupe</v>
      </c>
      <c r="AA245" s="165" t="str">
        <f>AA190</f>
        <v>Master recipe ► MILLE-FEUILLE  aux fraises des bois</v>
      </c>
      <c r="AB245" s="1548"/>
      <c r="AC245" s="1548"/>
      <c r="AD245" s="2190">
        <f>ROWS(AH223:AH245)</f>
        <v>23</v>
      </c>
      <c r="AE245" s="5549" t="str" cm="1">
        <f t="array" ref="AE245">IF(SUMPRODUCT((AH245:AM245&lt;&gt;"")*1)=0,"",SUMPRODUCT((AH245:AM245&lt;&gt;"")*(LEN(TRIM(SUBSTITUTE(AH245:AM245,CHAR(160)," "))) - LEN(SUBSTITUTE(TRIM(SUBSTITUTE(AH245:AM245,CHAR(160)," "))," ","")) + 1)) &amp; " word" &amp; IF(SUMPRODUCT((AH245:AM245&lt;&gt;"")*(LEN(TRIM(SUBSTITUTE(AH245:AM245,CHAR(160)," "))) - LEN(SUBSTITUTE(TRIM(SUBSTITUTE(AH245:AM245,CHAR(160)," "))," ","")) + 1))&gt;1,"s",""))</f>
        <v/>
      </c>
      <c r="AF245" s="5550" t="str" cm="1">
        <f t="array" ref="AF245">SUMPRODUCT(--(AH245:AM245&lt;&gt;""), LEN(TRIM(SUBSTITUTE(AH245:AM245, CHAR(160), "")))) &amp; " Car."</f>
        <v>0 Car.</v>
      </c>
      <c r="AG245" s="1376" t="str">
        <f>IF(ISBLANK(AH245),"",LARGE(AG222:AG244,1)+1)</f>
        <v/>
      </c>
      <c r="AH245" s="1833"/>
      <c r="AI245" s="1810"/>
      <c r="AJ245" s="1810"/>
      <c r="AK245" s="1810"/>
      <c r="AL245" s="1810"/>
      <c r="AM245" s="1810"/>
      <c r="AN245" s="1810"/>
      <c r="AO245" s="1810"/>
      <c r="AP245" s="1811"/>
      <c r="AR245" s="103" t="str">
        <f t="shared" si="66"/>
        <v>►</v>
      </c>
      <c r="AS245" s="163" t="str">
        <f>AS190</f>
        <v>N NOMBRE DE SU RECETA | pegue esto — FAMILIA| Auteur &gt; VOUS</v>
      </c>
      <c r="AT245" s="163">
        <f>AT190</f>
        <v>1</v>
      </c>
      <c r="AU245" s="164" t="str">
        <f>AU190</f>
        <v>coupe</v>
      </c>
      <c r="AV245" s="165" t="str">
        <f>AV190</f>
        <v>Receta madre ► MILLE-FEUILLE  aux fraises des bois</v>
      </c>
      <c r="AW245" s="1548"/>
      <c r="AX245" s="1548"/>
      <c r="AY245" s="2190">
        <f>ROWS(BC223:BC245)</f>
        <v>23</v>
      </c>
      <c r="AZ245" s="5549" t="str" cm="1">
        <f t="array" ref="AZ245">IF(SUMPRODUCT((BC245:BH245&lt;&gt;"")*1)=0,"",SUMPRODUCT((BC245:BH245&lt;&gt;"")*(LEN(TRIM(SUBSTITUTE(BC245:BH245,CHAR(160)," "))) - LEN(SUBSTITUTE(TRIM(SUBSTITUTE(BC245:BH245,CHAR(160)," "))," ","")) + 1)) &amp; " palabra" &amp; IF(SUMPRODUCT((BC245:BH245&lt;&gt;"")*(LEN(TRIM(SUBSTITUTE(BC245:BH245,CHAR(160)," "))) - LEN(SUBSTITUTE(TRIM(SUBSTITUTE(BC245:BH245,CHAR(160)," "))," ","")) + 1))&gt;1,"s",""))</f>
        <v/>
      </c>
      <c r="BA245" s="5550" t="str" cm="1">
        <f t="array" ref="BA245">SUMPRODUCT(--(BC245:BH245&lt;&gt;""), LEN(TRIM(SUBSTITUTE(BC245:BH245, CHAR(160), "")))) &amp; " Car."</f>
        <v>0 Car.</v>
      </c>
      <c r="BB245" s="1376" t="str">
        <f>IF(ISBLANK(BC245),"",LARGE(BB222:BB244,1)+1)</f>
        <v/>
      </c>
      <c r="BC245" s="1833"/>
      <c r="BD245" s="1810"/>
      <c r="BE245" s="1810"/>
      <c r="BF245" s="1810"/>
      <c r="BG245" s="1810"/>
      <c r="BH245" s="1810"/>
      <c r="BI245" s="1810"/>
      <c r="BJ245" s="1810"/>
      <c r="BK245" s="1811"/>
      <c r="BM245" s="3">
        <v>1</v>
      </c>
    </row>
    <row r="246" spans="2:65" ht="21" customHeight="1">
      <c r="B246" s="103" t="str">
        <f t="shared" si="64"/>
        <v>►</v>
      </c>
      <c r="C246" s="163" t="str">
        <f>C190</f>
        <v>N NOM DE VOTRE RECETTE | collez la--FAMILLE| Auteur &gt; VOUS</v>
      </c>
      <c r="D246" s="163">
        <f>D190</f>
        <v>1</v>
      </c>
      <c r="E246" s="164" t="str">
        <f>E190</f>
        <v>coupe</v>
      </c>
      <c r="F246" s="165" t="str">
        <f>F190</f>
        <v>Recette mère ► MILLE-FEUILLE  aux fraises des bois</v>
      </c>
      <c r="G246" s="1548"/>
      <c r="H246" s="1548"/>
      <c r="I246" s="2190">
        <f>ROWS(M223:M246)</f>
        <v>24</v>
      </c>
      <c r="J246" s="5549" t="str" cm="1">
        <f t="array" ref="J246">IF(SUMPRODUCT((M246:R246&lt;&gt;"")*1)=0,"",SUMPRODUCT((M246:R246&lt;&gt;"")*(LEN(TRIM(SUBSTITUTE(M246:R246,CHAR(160)," "))) - LEN(SUBSTITUTE(TRIM(SUBSTITUTE(M246:R246,CHAR(160)," "))," ","")) + 1)) &amp; " mot" &amp; IF(SUMPRODUCT((M246:R246&lt;&gt;"")*(LEN(TRIM(SUBSTITUTE(M246:R246,CHAR(160)," "))) - LEN(SUBSTITUTE(TRIM(SUBSTITUTE(M246:R246,CHAR(160)," "))," ","")) + 1))&gt;1,"s",""))</f>
        <v/>
      </c>
      <c r="K246" s="5550" t="str" cm="1">
        <f t="array" ref="K246">SUMPRODUCT(--(M246:R246&lt;&gt;""), LEN(TRIM(SUBSTITUTE(M246:R246, CHAR(160), "")))) &amp; " Car."</f>
        <v>0 Car.</v>
      </c>
      <c r="L246" s="1394"/>
      <c r="M246" s="1810"/>
      <c r="N246" s="1810"/>
      <c r="O246" s="1810"/>
      <c r="P246" s="1810"/>
      <c r="Q246" s="1810"/>
      <c r="R246" s="1810"/>
      <c r="S246" s="1810"/>
      <c r="T246" s="1810"/>
      <c r="U246" s="1811"/>
      <c r="W246" s="103" t="str">
        <f t="shared" si="65"/>
        <v>►</v>
      </c>
      <c r="X246" s="163" t="str">
        <f>X190</f>
        <v>N NAME OF YOUR RECIPE | paste it — FAMILY|  Author &gt; YOU</v>
      </c>
      <c r="Y246" s="163">
        <f>Y190</f>
        <v>1</v>
      </c>
      <c r="Z246" s="164" t="str">
        <f>Z190</f>
        <v>coupe</v>
      </c>
      <c r="AA246" s="165" t="str">
        <f>AA190</f>
        <v>Master recipe ► MILLE-FEUILLE  aux fraises des bois</v>
      </c>
      <c r="AB246" s="1548"/>
      <c r="AC246" s="1548"/>
      <c r="AD246" s="2190">
        <f>ROWS(AH223:AH246)</f>
        <v>24</v>
      </c>
      <c r="AE246" s="5549" t="str" cm="1">
        <f t="array" ref="AE246">IF(SUMPRODUCT((AH246:AM246&lt;&gt;"")*1)=0,"",SUMPRODUCT((AH246:AM246&lt;&gt;"")*(LEN(TRIM(SUBSTITUTE(AH246:AM246,CHAR(160)," "))) - LEN(SUBSTITUTE(TRIM(SUBSTITUTE(AH246:AM246,CHAR(160)," "))," ","")) + 1)) &amp; " word" &amp; IF(SUMPRODUCT((AH246:AM246&lt;&gt;"")*(LEN(TRIM(SUBSTITUTE(AH246:AM246,CHAR(160)," "))) - LEN(SUBSTITUTE(TRIM(SUBSTITUTE(AH246:AM246,CHAR(160)," "))," ","")) + 1))&gt;1,"s",""))</f>
        <v/>
      </c>
      <c r="AF246" s="5550" t="str" cm="1">
        <f t="array" ref="AF246">SUMPRODUCT(--(AH246:AM246&lt;&gt;""), LEN(TRIM(SUBSTITUTE(AH246:AM246, CHAR(160), "")))) &amp; " Car."</f>
        <v>0 Car.</v>
      </c>
      <c r="AG246" s="1394"/>
      <c r="AH246" s="1833"/>
      <c r="AI246" s="1810"/>
      <c r="AJ246" s="1810"/>
      <c r="AK246" s="1810"/>
      <c r="AL246" s="1810"/>
      <c r="AM246" s="1810"/>
      <c r="AN246" s="1810"/>
      <c r="AO246" s="1810"/>
      <c r="AP246" s="1811"/>
      <c r="AR246" s="103" t="str">
        <f t="shared" si="66"/>
        <v>►</v>
      </c>
      <c r="AS246" s="163" t="str">
        <f>AS190</f>
        <v>N NOMBRE DE SU RECETA | pegue esto — FAMILIA| Auteur &gt; VOUS</v>
      </c>
      <c r="AT246" s="163">
        <f>AT190</f>
        <v>1</v>
      </c>
      <c r="AU246" s="164" t="str">
        <f>AU190</f>
        <v>coupe</v>
      </c>
      <c r="AV246" s="165" t="str">
        <f>AV190</f>
        <v>Receta madre ► MILLE-FEUILLE  aux fraises des bois</v>
      </c>
      <c r="AW246" s="1548"/>
      <c r="AX246" s="1548"/>
      <c r="AY246" s="2190">
        <f>ROWS(BC223:BC246)</f>
        <v>24</v>
      </c>
      <c r="AZ246" s="5549" t="str" cm="1">
        <f t="array" ref="AZ246">IF(SUMPRODUCT((BC246:BH246&lt;&gt;"")*1)=0,"",SUMPRODUCT((BC246:BH246&lt;&gt;"")*(LEN(TRIM(SUBSTITUTE(BC246:BH246,CHAR(160)," "))) - LEN(SUBSTITUTE(TRIM(SUBSTITUTE(BC246:BH246,CHAR(160)," "))," ","")) + 1)) &amp; " palabra" &amp; IF(SUMPRODUCT((BC246:BH246&lt;&gt;"")*(LEN(TRIM(SUBSTITUTE(BC246:BH246,CHAR(160)," "))) - LEN(SUBSTITUTE(TRIM(SUBSTITUTE(BC246:BH246,CHAR(160)," "))," ","")) + 1))&gt;1,"s",""))</f>
        <v/>
      </c>
      <c r="BA246" s="5550" t="str" cm="1">
        <f t="array" ref="BA246">SUMPRODUCT(--(BC246:BH246&lt;&gt;""), LEN(TRIM(SUBSTITUTE(BC246:BH246, CHAR(160), "")))) &amp; " Car."</f>
        <v>0 Car.</v>
      </c>
      <c r="BB246" s="1394"/>
      <c r="BC246" s="1833"/>
      <c r="BD246" s="1810"/>
      <c r="BE246" s="1810"/>
      <c r="BF246" s="1810"/>
      <c r="BG246" s="1810"/>
      <c r="BH246" s="1810"/>
      <c r="BI246" s="1810"/>
      <c r="BJ246" s="1810"/>
      <c r="BK246" s="1811"/>
      <c r="BM246" s="3">
        <v>1</v>
      </c>
    </row>
    <row r="247" spans="2:65" ht="21" customHeight="1">
      <c r="B247" s="103" t="str">
        <f t="shared" si="64"/>
        <v>►</v>
      </c>
      <c r="C247" s="163" t="str">
        <f>C190</f>
        <v>N NOM DE VOTRE RECETTE | collez la--FAMILLE| Auteur &gt; VOUS</v>
      </c>
      <c r="D247" s="163">
        <f>D190</f>
        <v>1</v>
      </c>
      <c r="E247" s="164" t="str">
        <f>E190</f>
        <v>coupe</v>
      </c>
      <c r="F247" s="165" t="str">
        <f>F190</f>
        <v>Recette mère ► MILLE-FEUILLE  aux fraises des bois</v>
      </c>
      <c r="G247" s="1548"/>
      <c r="H247" s="1548"/>
      <c r="I247" s="2190">
        <f>ROWS(M223:M247)</f>
        <v>25</v>
      </c>
      <c r="J247" s="5549" t="str" cm="1">
        <f t="array" ref="J247">IF(SUMPRODUCT((M247:R247&lt;&gt;"")*1)=0,"",SUMPRODUCT((M247:R247&lt;&gt;"")*(LEN(TRIM(SUBSTITUTE(M247:R247,CHAR(160)," "))) - LEN(SUBSTITUTE(TRIM(SUBSTITUTE(M247:R247,CHAR(160)," "))," ","")) + 1)) &amp; " mot" &amp; IF(SUMPRODUCT((M247:R247&lt;&gt;"")*(LEN(TRIM(SUBSTITUTE(M247:R247,CHAR(160)," "))) - LEN(SUBSTITUTE(TRIM(SUBSTITUTE(M247:R247,CHAR(160)," "))," ","")) + 1))&gt;1,"s",""))</f>
        <v/>
      </c>
      <c r="K247" s="5550" t="str" cm="1">
        <f t="array" ref="K247">SUMPRODUCT(--(M247:R247&lt;&gt;""), LEN(TRIM(SUBSTITUTE(M247:R247, CHAR(160), "")))) &amp; " Car."</f>
        <v>0 Car.</v>
      </c>
      <c r="L247" s="1619"/>
      <c r="M247" s="1810"/>
      <c r="N247" s="1810"/>
      <c r="O247" s="1810"/>
      <c r="P247" s="1810"/>
      <c r="Q247" s="1810"/>
      <c r="R247" s="1810"/>
      <c r="S247" s="1810"/>
      <c r="T247" s="1810"/>
      <c r="U247" s="1811"/>
      <c r="W247" s="103" t="str">
        <f t="shared" si="65"/>
        <v>►</v>
      </c>
      <c r="X247" s="163" t="str">
        <f>X190</f>
        <v>N NAME OF YOUR RECIPE | paste it — FAMILY|  Author &gt; YOU</v>
      </c>
      <c r="Y247" s="163">
        <f>Y190</f>
        <v>1</v>
      </c>
      <c r="Z247" s="164" t="str">
        <f>Z190</f>
        <v>coupe</v>
      </c>
      <c r="AA247" s="165" t="str">
        <f>AA190</f>
        <v>Master recipe ► MILLE-FEUILLE  aux fraises des bois</v>
      </c>
      <c r="AB247" s="1548"/>
      <c r="AC247" s="1548"/>
      <c r="AD247" s="2190">
        <f>ROWS(AH223:AH247)</f>
        <v>25</v>
      </c>
      <c r="AE247" s="5549" t="str" cm="1">
        <f t="array" ref="AE247">IF(SUMPRODUCT((AH247:AM247&lt;&gt;"")*1)=0,"",SUMPRODUCT((AH247:AM247&lt;&gt;"")*(LEN(TRIM(SUBSTITUTE(AH247:AM247,CHAR(160)," "))) - LEN(SUBSTITUTE(TRIM(SUBSTITUTE(AH247:AM247,CHAR(160)," "))," ","")) + 1)) &amp; " word" &amp; IF(SUMPRODUCT((AH247:AM247&lt;&gt;"")*(LEN(TRIM(SUBSTITUTE(AH247:AM247,CHAR(160)," "))) - LEN(SUBSTITUTE(TRIM(SUBSTITUTE(AH247:AM247,CHAR(160)," "))," ","")) + 1))&gt;1,"s",""))</f>
        <v/>
      </c>
      <c r="AF247" s="5550" t="str" cm="1">
        <f t="array" ref="AF247">SUMPRODUCT(--(AH247:AM247&lt;&gt;""), LEN(TRIM(SUBSTITUTE(AH247:AM247, CHAR(160), "")))) &amp; " Car."</f>
        <v>0 Car.</v>
      </c>
      <c r="AG247" s="1619"/>
      <c r="AH247" s="1833"/>
      <c r="AI247" s="1810"/>
      <c r="AJ247" s="1810"/>
      <c r="AK247" s="1810"/>
      <c r="AL247" s="1810"/>
      <c r="AM247" s="1810"/>
      <c r="AN247" s="1810"/>
      <c r="AO247" s="1810"/>
      <c r="AP247" s="1811"/>
      <c r="AR247" s="103" t="str">
        <f t="shared" si="66"/>
        <v>►</v>
      </c>
      <c r="AS247" s="163" t="str">
        <f>AS190</f>
        <v>N NOMBRE DE SU RECETA | pegue esto — FAMILIA| Auteur &gt; VOUS</v>
      </c>
      <c r="AT247" s="163">
        <f>AT190</f>
        <v>1</v>
      </c>
      <c r="AU247" s="164" t="str">
        <f>AU190</f>
        <v>coupe</v>
      </c>
      <c r="AV247" s="165" t="str">
        <f>AV190</f>
        <v>Receta madre ► MILLE-FEUILLE  aux fraises des bois</v>
      </c>
      <c r="AW247" s="1548"/>
      <c r="AX247" s="1548"/>
      <c r="AY247" s="2190">
        <f>ROWS(BC223:BC247)</f>
        <v>25</v>
      </c>
      <c r="AZ247" s="5549" t="str" cm="1">
        <f t="array" ref="AZ247">IF(SUMPRODUCT((BC247:BH247&lt;&gt;"")*1)=0,"",SUMPRODUCT((BC247:BH247&lt;&gt;"")*(LEN(TRIM(SUBSTITUTE(BC247:BH247,CHAR(160)," "))) - LEN(SUBSTITUTE(TRIM(SUBSTITUTE(BC247:BH247,CHAR(160)," "))," ","")) + 1)) &amp; " palabra" &amp; IF(SUMPRODUCT((BC247:BH247&lt;&gt;"")*(LEN(TRIM(SUBSTITUTE(BC247:BH247,CHAR(160)," "))) - LEN(SUBSTITUTE(TRIM(SUBSTITUTE(BC247:BH247,CHAR(160)," "))," ","")) + 1))&gt;1,"s",""))</f>
        <v/>
      </c>
      <c r="BA247" s="5550" t="str" cm="1">
        <f t="array" ref="BA247">SUMPRODUCT(--(BC247:BH247&lt;&gt;""), LEN(TRIM(SUBSTITUTE(BC247:BH247, CHAR(160), "")))) &amp; " Car."</f>
        <v>0 Car.</v>
      </c>
      <c r="BB247" s="1619"/>
      <c r="BC247" s="1833"/>
      <c r="BD247" s="1810"/>
      <c r="BE247" s="1810"/>
      <c r="BF247" s="1810"/>
      <c r="BG247" s="1810"/>
      <c r="BH247" s="1810"/>
      <c r="BI247" s="1810"/>
      <c r="BJ247" s="1810"/>
      <c r="BK247" s="1811"/>
      <c r="BM247" s="3">
        <v>1</v>
      </c>
    </row>
    <row r="248" spans="2:65" ht="21" customHeight="1">
      <c r="B248" s="103" t="str">
        <f t="shared" si="64"/>
        <v>►</v>
      </c>
      <c r="C248" s="163" t="str">
        <f>C190</f>
        <v>N NOM DE VOTRE RECETTE | collez la--FAMILLE| Auteur &gt; VOUS</v>
      </c>
      <c r="D248" s="163">
        <f>D190</f>
        <v>1</v>
      </c>
      <c r="E248" s="164" t="str">
        <f>E190</f>
        <v>coupe</v>
      </c>
      <c r="F248" s="165" t="str">
        <f>F190</f>
        <v>Recette mère ► MILLE-FEUILLE  aux fraises des bois</v>
      </c>
      <c r="G248" s="1548"/>
      <c r="H248" s="1548"/>
      <c r="I248" s="2190">
        <f>ROWS(M223:M248)</f>
        <v>26</v>
      </c>
      <c r="J248" s="5549" t="str" cm="1">
        <f t="array" ref="J248">IF(SUMPRODUCT((M248:R248&lt;&gt;"")*1)=0,"",SUMPRODUCT((M248:R248&lt;&gt;"")*(LEN(TRIM(SUBSTITUTE(M248:R248,CHAR(160)," "))) - LEN(SUBSTITUTE(TRIM(SUBSTITUTE(M248:R248,CHAR(160)," "))," ","")) + 1)) &amp; " mot" &amp; IF(SUMPRODUCT((M248:R248&lt;&gt;"")*(LEN(TRIM(SUBSTITUTE(M248:R248,CHAR(160)," "))) - LEN(SUBSTITUTE(TRIM(SUBSTITUTE(M248:R248,CHAR(160)," "))," ","")) + 1))&gt;1,"s",""))</f>
        <v/>
      </c>
      <c r="K248" s="5550" t="str" cm="1">
        <f t="array" ref="K248">SUMPRODUCT(--(M248:R248&lt;&gt;""), LEN(TRIM(SUBSTITUTE(M248:R248, CHAR(160), "")))) &amp; " Car."</f>
        <v>0 Car.</v>
      </c>
      <c r="L248" s="1376" t="str">
        <f>IF(ISBLANK(M248),"",LARGE(L222:L247,1)+1)</f>
        <v/>
      </c>
      <c r="M248" s="1810"/>
      <c r="N248" s="1810"/>
      <c r="O248" s="1810"/>
      <c r="P248" s="1810"/>
      <c r="Q248" s="1810"/>
      <c r="R248" s="1810"/>
      <c r="S248" s="1810"/>
      <c r="T248" s="1810"/>
      <c r="U248" s="1811"/>
      <c r="W248" s="103" t="str">
        <f t="shared" si="65"/>
        <v>►</v>
      </c>
      <c r="X248" s="163" t="str">
        <f>X190</f>
        <v>N NAME OF YOUR RECIPE | paste it — FAMILY|  Author &gt; YOU</v>
      </c>
      <c r="Y248" s="163">
        <f>Y190</f>
        <v>1</v>
      </c>
      <c r="Z248" s="164" t="str">
        <f>Z190</f>
        <v>coupe</v>
      </c>
      <c r="AA248" s="165" t="str">
        <f>AA190</f>
        <v>Master recipe ► MILLE-FEUILLE  aux fraises des bois</v>
      </c>
      <c r="AB248" s="1548"/>
      <c r="AC248" s="1548"/>
      <c r="AD248" s="2190">
        <f>ROWS(AH223:AH248)</f>
        <v>26</v>
      </c>
      <c r="AE248" s="5549" t="str" cm="1">
        <f t="array" ref="AE248">IF(SUMPRODUCT((AH248:AM248&lt;&gt;"")*1)=0,"",SUMPRODUCT((AH248:AM248&lt;&gt;"")*(LEN(TRIM(SUBSTITUTE(AH248:AM248,CHAR(160)," "))) - LEN(SUBSTITUTE(TRIM(SUBSTITUTE(AH248:AM248,CHAR(160)," "))," ","")) + 1)) &amp; " word" &amp; IF(SUMPRODUCT((AH248:AM248&lt;&gt;"")*(LEN(TRIM(SUBSTITUTE(AH248:AM248,CHAR(160)," "))) - LEN(SUBSTITUTE(TRIM(SUBSTITUTE(AH248:AM248,CHAR(160)," "))," ","")) + 1))&gt;1,"s",""))</f>
        <v/>
      </c>
      <c r="AF248" s="5550" t="str" cm="1">
        <f t="array" ref="AF248">SUMPRODUCT(--(AH248:AM248&lt;&gt;""), LEN(TRIM(SUBSTITUTE(AH248:AM248, CHAR(160), "")))) &amp; " Car."</f>
        <v>0 Car.</v>
      </c>
      <c r="AG248" s="1376" t="str">
        <f>IF(ISBLANK(AH248),"",LARGE(AG222:AG247,1)+1)</f>
        <v/>
      </c>
      <c r="AH248" s="1833"/>
      <c r="AI248" s="1810"/>
      <c r="AJ248" s="1810"/>
      <c r="AK248" s="1810"/>
      <c r="AL248" s="1810"/>
      <c r="AM248" s="1810"/>
      <c r="AN248" s="1810"/>
      <c r="AO248" s="1810"/>
      <c r="AP248" s="1811"/>
      <c r="AR248" s="103" t="str">
        <f t="shared" si="66"/>
        <v>►</v>
      </c>
      <c r="AS248" s="163" t="str">
        <f>AS190</f>
        <v>N NOMBRE DE SU RECETA | pegue esto — FAMILIA| Auteur &gt; VOUS</v>
      </c>
      <c r="AT248" s="163">
        <f>AT190</f>
        <v>1</v>
      </c>
      <c r="AU248" s="164" t="str">
        <f>AU190</f>
        <v>coupe</v>
      </c>
      <c r="AV248" s="165" t="str">
        <f>AV190</f>
        <v>Receta madre ► MILLE-FEUILLE  aux fraises des bois</v>
      </c>
      <c r="AW248" s="1548"/>
      <c r="AX248" s="1548"/>
      <c r="AY248" s="2190">
        <f>ROWS(BC223:BC248)</f>
        <v>26</v>
      </c>
      <c r="AZ248" s="5549" t="str" cm="1">
        <f t="array" ref="AZ248">IF(SUMPRODUCT((BC248:BH248&lt;&gt;"")*1)=0,"",SUMPRODUCT((BC248:BH248&lt;&gt;"")*(LEN(TRIM(SUBSTITUTE(BC248:BH248,CHAR(160)," "))) - LEN(SUBSTITUTE(TRIM(SUBSTITUTE(BC248:BH248,CHAR(160)," "))," ","")) + 1)) &amp; " palabra" &amp; IF(SUMPRODUCT((BC248:BH248&lt;&gt;"")*(LEN(TRIM(SUBSTITUTE(BC248:BH248,CHAR(160)," "))) - LEN(SUBSTITUTE(TRIM(SUBSTITUTE(BC248:BH248,CHAR(160)," "))," ","")) + 1))&gt;1,"s",""))</f>
        <v/>
      </c>
      <c r="BA248" s="5550" t="str" cm="1">
        <f t="array" ref="BA248">SUMPRODUCT(--(BC248:BH248&lt;&gt;""), LEN(TRIM(SUBSTITUTE(BC248:BH248, CHAR(160), "")))) &amp; " Car."</f>
        <v>0 Car.</v>
      </c>
      <c r="BB248" s="1376" t="str">
        <f>IF(ISBLANK(BC248),"",LARGE(BB222:BB247,1)+1)</f>
        <v/>
      </c>
      <c r="BC248" s="1833"/>
      <c r="BD248" s="1810"/>
      <c r="BE248" s="1810"/>
      <c r="BF248" s="1810"/>
      <c r="BG248" s="1810"/>
      <c r="BH248" s="1810"/>
      <c r="BI248" s="1810"/>
      <c r="BJ248" s="1810"/>
      <c r="BK248" s="1811"/>
      <c r="BM248" s="3">
        <v>1</v>
      </c>
    </row>
    <row r="249" spans="2:65" ht="21" customHeight="1">
      <c r="B249" s="103" t="str">
        <f t="shared" si="64"/>
        <v>►</v>
      </c>
      <c r="C249" s="163" t="str">
        <f>C190</f>
        <v>N NOM DE VOTRE RECETTE | collez la--FAMILLE| Auteur &gt; VOUS</v>
      </c>
      <c r="D249" s="163">
        <f>D190</f>
        <v>1</v>
      </c>
      <c r="E249" s="164" t="str">
        <f>E190</f>
        <v>coupe</v>
      </c>
      <c r="F249" s="165" t="str">
        <f>F190</f>
        <v>Recette mère ► MILLE-FEUILLE  aux fraises des bois</v>
      </c>
      <c r="G249" s="1548"/>
      <c r="H249" s="1548"/>
      <c r="I249" s="2190">
        <f>ROWS(M223:M249)</f>
        <v>27</v>
      </c>
      <c r="J249" s="5549" t="str" cm="1">
        <f t="array" ref="J249">IF(SUMPRODUCT((M249:R249&lt;&gt;"")*1)=0,"",SUMPRODUCT((M249:R249&lt;&gt;"")*(LEN(TRIM(SUBSTITUTE(M249:R249,CHAR(160)," "))) - LEN(SUBSTITUTE(TRIM(SUBSTITUTE(M249:R249,CHAR(160)," "))," ","")) + 1)) &amp; " mot" &amp; IF(SUMPRODUCT((M249:R249&lt;&gt;"")*(LEN(TRIM(SUBSTITUTE(M249:R249,CHAR(160)," "))) - LEN(SUBSTITUTE(TRIM(SUBSTITUTE(M249:R249,CHAR(160)," "))," ","")) + 1))&gt;1,"s",""))</f>
        <v/>
      </c>
      <c r="K249" s="5550" t="str" cm="1">
        <f t="array" ref="K249">SUMPRODUCT(--(M249:R249&lt;&gt;""), LEN(TRIM(SUBSTITUTE(M249:R249, CHAR(160), "")))) &amp; " Car."</f>
        <v>0 Car.</v>
      </c>
      <c r="L249" s="1376" t="str">
        <f>IF(ISBLANK(M249),"",LARGE(L222:L248,1)+1)</f>
        <v/>
      </c>
      <c r="M249" s="1810"/>
      <c r="N249" s="1810"/>
      <c r="O249" s="1810"/>
      <c r="P249" s="1810"/>
      <c r="Q249" s="1810"/>
      <c r="R249" s="1810"/>
      <c r="S249" s="1810"/>
      <c r="T249" s="1810"/>
      <c r="U249" s="1811"/>
      <c r="W249" s="103" t="str">
        <f t="shared" si="65"/>
        <v>►</v>
      </c>
      <c r="X249" s="163" t="str">
        <f>X190</f>
        <v>N NAME OF YOUR RECIPE | paste it — FAMILY|  Author &gt; YOU</v>
      </c>
      <c r="Y249" s="163">
        <f>Y190</f>
        <v>1</v>
      </c>
      <c r="Z249" s="164" t="str">
        <f>Z190</f>
        <v>coupe</v>
      </c>
      <c r="AA249" s="165" t="str">
        <f>AA190</f>
        <v>Master recipe ► MILLE-FEUILLE  aux fraises des bois</v>
      </c>
      <c r="AB249" s="1548"/>
      <c r="AC249" s="1548"/>
      <c r="AD249" s="2190">
        <f>ROWS(AH223:AH249)</f>
        <v>27</v>
      </c>
      <c r="AE249" s="5549" t="str" cm="1">
        <f t="array" ref="AE249">IF(SUMPRODUCT((AH249:AM249&lt;&gt;"")*1)=0,"",SUMPRODUCT((AH249:AM249&lt;&gt;"")*(LEN(TRIM(SUBSTITUTE(AH249:AM249,CHAR(160)," "))) - LEN(SUBSTITUTE(TRIM(SUBSTITUTE(AH249:AM249,CHAR(160)," "))," ","")) + 1)) &amp; " word" &amp; IF(SUMPRODUCT((AH249:AM249&lt;&gt;"")*(LEN(TRIM(SUBSTITUTE(AH249:AM249,CHAR(160)," "))) - LEN(SUBSTITUTE(TRIM(SUBSTITUTE(AH249:AM249,CHAR(160)," "))," ","")) + 1))&gt;1,"s",""))</f>
        <v/>
      </c>
      <c r="AF249" s="5550" t="str" cm="1">
        <f t="array" ref="AF249">SUMPRODUCT(--(AH249:AM249&lt;&gt;""), LEN(TRIM(SUBSTITUTE(AH249:AM249, CHAR(160), "")))) &amp; " Car."</f>
        <v>0 Car.</v>
      </c>
      <c r="AG249" s="1376" t="str">
        <f>IF(ISBLANK(AH249),"",LARGE(AG222:AG248,1)+1)</f>
        <v/>
      </c>
      <c r="AH249" s="1833"/>
      <c r="AI249" s="1810"/>
      <c r="AJ249" s="1810"/>
      <c r="AK249" s="1810"/>
      <c r="AL249" s="1810"/>
      <c r="AM249" s="1810"/>
      <c r="AN249" s="1810"/>
      <c r="AO249" s="1810"/>
      <c r="AP249" s="1811"/>
      <c r="AR249" s="103" t="str">
        <f t="shared" si="66"/>
        <v>►</v>
      </c>
      <c r="AS249" s="163" t="str">
        <f>AS190</f>
        <v>N NOMBRE DE SU RECETA | pegue esto — FAMILIA| Auteur &gt; VOUS</v>
      </c>
      <c r="AT249" s="163">
        <f>AT190</f>
        <v>1</v>
      </c>
      <c r="AU249" s="164" t="str">
        <f>AU190</f>
        <v>coupe</v>
      </c>
      <c r="AV249" s="165" t="str">
        <f>AV190</f>
        <v>Receta madre ► MILLE-FEUILLE  aux fraises des bois</v>
      </c>
      <c r="AW249" s="1548"/>
      <c r="AX249" s="1548"/>
      <c r="AY249" s="2190">
        <f>ROWS(BC223:BC249)</f>
        <v>27</v>
      </c>
      <c r="AZ249" s="5549" t="str" cm="1">
        <f t="array" ref="AZ249">IF(SUMPRODUCT((BC249:BH249&lt;&gt;"")*1)=0,"",SUMPRODUCT((BC249:BH249&lt;&gt;"")*(LEN(TRIM(SUBSTITUTE(BC249:BH249,CHAR(160)," "))) - LEN(SUBSTITUTE(TRIM(SUBSTITUTE(BC249:BH249,CHAR(160)," "))," ","")) + 1)) &amp; " palabra" &amp; IF(SUMPRODUCT((BC249:BH249&lt;&gt;"")*(LEN(TRIM(SUBSTITUTE(BC249:BH249,CHAR(160)," "))) - LEN(SUBSTITUTE(TRIM(SUBSTITUTE(BC249:BH249,CHAR(160)," "))," ","")) + 1))&gt;1,"s",""))</f>
        <v/>
      </c>
      <c r="BA249" s="5550" t="str" cm="1">
        <f t="array" ref="BA249">SUMPRODUCT(--(BC249:BH249&lt;&gt;""), LEN(TRIM(SUBSTITUTE(BC249:BH249, CHAR(160), "")))) &amp; " Car."</f>
        <v>0 Car.</v>
      </c>
      <c r="BB249" s="1376" t="str">
        <f>IF(ISBLANK(BC249),"",LARGE(BB222:BB248,1)+1)</f>
        <v/>
      </c>
      <c r="BC249" s="1833"/>
      <c r="BD249" s="1810"/>
      <c r="BE249" s="1810"/>
      <c r="BF249" s="1810"/>
      <c r="BG249" s="1810"/>
      <c r="BH249" s="1810"/>
      <c r="BI249" s="1810"/>
      <c r="BJ249" s="1810"/>
      <c r="BK249" s="1811"/>
      <c r="BM249" s="3">
        <v>1</v>
      </c>
    </row>
    <row r="250" spans="2:65" ht="21" customHeight="1">
      <c r="B250" s="103" t="str">
        <f t="shared" si="64"/>
        <v>►</v>
      </c>
      <c r="C250" s="163" t="str">
        <f>C190</f>
        <v>N NOM DE VOTRE RECETTE | collez la--FAMILLE| Auteur &gt; VOUS</v>
      </c>
      <c r="D250" s="163">
        <f>D190</f>
        <v>1</v>
      </c>
      <c r="E250" s="164" t="str">
        <f>E190</f>
        <v>coupe</v>
      </c>
      <c r="F250" s="165" t="str">
        <f>F190</f>
        <v>Recette mère ► MILLE-FEUILLE  aux fraises des bois</v>
      </c>
      <c r="G250" s="1548"/>
      <c r="H250" s="1548"/>
      <c r="I250" s="2190">
        <f>ROWS(M223:M250)</f>
        <v>28</v>
      </c>
      <c r="J250" s="5549" t="str" cm="1">
        <f t="array" ref="J250">IF(SUMPRODUCT((M250:R250&lt;&gt;"")*1)=0,"",SUMPRODUCT((M250:R250&lt;&gt;"")*(LEN(TRIM(SUBSTITUTE(M250:R250,CHAR(160)," "))) - LEN(SUBSTITUTE(TRIM(SUBSTITUTE(M250:R250,CHAR(160)," "))," ","")) + 1)) &amp; " mot" &amp; IF(SUMPRODUCT((M250:R250&lt;&gt;"")*(LEN(TRIM(SUBSTITUTE(M250:R250,CHAR(160)," "))) - LEN(SUBSTITUTE(TRIM(SUBSTITUTE(M250:R250,CHAR(160)," "))," ","")) + 1))&gt;1,"s",""))</f>
        <v/>
      </c>
      <c r="K250" s="5550" t="str" cm="1">
        <f t="array" ref="K250">SUMPRODUCT(--(M250:R250&lt;&gt;""), LEN(TRIM(SUBSTITUTE(M250:R250, CHAR(160), "")))) &amp; " Car."</f>
        <v>0 Car.</v>
      </c>
      <c r="L250" s="1376" t="str">
        <f>IF(ISBLANK(M250),"",LARGE(L222:L249,1)+1)</f>
        <v/>
      </c>
      <c r="M250" s="1810"/>
      <c r="N250" s="1810"/>
      <c r="O250" s="1810"/>
      <c r="P250" s="1810"/>
      <c r="Q250" s="1810"/>
      <c r="R250" s="1810"/>
      <c r="S250" s="1810"/>
      <c r="T250" s="1810"/>
      <c r="U250" s="1811"/>
      <c r="W250" s="103" t="str">
        <f t="shared" si="65"/>
        <v>►</v>
      </c>
      <c r="X250" s="163" t="str">
        <f>X190</f>
        <v>N NAME OF YOUR RECIPE | paste it — FAMILY|  Author &gt; YOU</v>
      </c>
      <c r="Y250" s="163">
        <f>Y190</f>
        <v>1</v>
      </c>
      <c r="Z250" s="164" t="str">
        <f>Z190</f>
        <v>coupe</v>
      </c>
      <c r="AA250" s="165" t="str">
        <f>AA190</f>
        <v>Master recipe ► MILLE-FEUILLE  aux fraises des bois</v>
      </c>
      <c r="AB250" s="1548"/>
      <c r="AC250" s="1548"/>
      <c r="AD250" s="2190">
        <f>ROWS(AH223:AH250)</f>
        <v>28</v>
      </c>
      <c r="AE250" s="5549" t="str" cm="1">
        <f t="array" ref="AE250">IF(SUMPRODUCT((AH250:AM250&lt;&gt;"")*1)=0,"",SUMPRODUCT((AH250:AM250&lt;&gt;"")*(LEN(TRIM(SUBSTITUTE(AH250:AM250,CHAR(160)," "))) - LEN(SUBSTITUTE(TRIM(SUBSTITUTE(AH250:AM250,CHAR(160)," "))," ","")) + 1)) &amp; " word" &amp; IF(SUMPRODUCT((AH250:AM250&lt;&gt;"")*(LEN(TRIM(SUBSTITUTE(AH250:AM250,CHAR(160)," "))) - LEN(SUBSTITUTE(TRIM(SUBSTITUTE(AH250:AM250,CHAR(160)," "))," ","")) + 1))&gt;1,"s",""))</f>
        <v/>
      </c>
      <c r="AF250" s="5550" t="str" cm="1">
        <f t="array" ref="AF250">SUMPRODUCT(--(AH250:AM250&lt;&gt;""), LEN(TRIM(SUBSTITUTE(AH250:AM250, CHAR(160), "")))) &amp; " Car."</f>
        <v>0 Car.</v>
      </c>
      <c r="AG250" s="1376" t="str">
        <f>IF(ISBLANK(AH250),"",LARGE(AG222:AG249,1)+1)</f>
        <v/>
      </c>
      <c r="AH250" s="1833"/>
      <c r="AI250" s="1810"/>
      <c r="AJ250" s="1810"/>
      <c r="AK250" s="1810"/>
      <c r="AL250" s="1810"/>
      <c r="AM250" s="1810"/>
      <c r="AN250" s="1810"/>
      <c r="AO250" s="1810"/>
      <c r="AP250" s="1811"/>
      <c r="AR250" s="103" t="str">
        <f t="shared" si="66"/>
        <v>►</v>
      </c>
      <c r="AS250" s="163" t="str">
        <f>AS190</f>
        <v>N NOMBRE DE SU RECETA | pegue esto — FAMILIA| Auteur &gt; VOUS</v>
      </c>
      <c r="AT250" s="163">
        <f>AT190</f>
        <v>1</v>
      </c>
      <c r="AU250" s="164" t="str">
        <f>AU190</f>
        <v>coupe</v>
      </c>
      <c r="AV250" s="165" t="str">
        <f>AV190</f>
        <v>Receta madre ► MILLE-FEUILLE  aux fraises des bois</v>
      </c>
      <c r="AW250" s="1548"/>
      <c r="AX250" s="1548"/>
      <c r="AY250" s="2190">
        <f>ROWS(BC223:BC250)</f>
        <v>28</v>
      </c>
      <c r="AZ250" s="5549" t="str" cm="1">
        <f t="array" ref="AZ250">IF(SUMPRODUCT((BC250:BH250&lt;&gt;"")*1)=0,"",SUMPRODUCT((BC250:BH250&lt;&gt;"")*(LEN(TRIM(SUBSTITUTE(BC250:BH250,CHAR(160)," "))) - LEN(SUBSTITUTE(TRIM(SUBSTITUTE(BC250:BH250,CHAR(160)," "))," ","")) + 1)) &amp; " palabra" &amp; IF(SUMPRODUCT((BC250:BH250&lt;&gt;"")*(LEN(TRIM(SUBSTITUTE(BC250:BH250,CHAR(160)," "))) - LEN(SUBSTITUTE(TRIM(SUBSTITUTE(BC250:BH250,CHAR(160)," "))," ","")) + 1))&gt;1,"s",""))</f>
        <v/>
      </c>
      <c r="BA250" s="5550" t="str" cm="1">
        <f t="array" ref="BA250">SUMPRODUCT(--(BC250:BH250&lt;&gt;""), LEN(TRIM(SUBSTITUTE(BC250:BH250, CHAR(160), "")))) &amp; " Car."</f>
        <v>0 Car.</v>
      </c>
      <c r="BB250" s="1376" t="str">
        <f>IF(ISBLANK(BC250),"",LARGE(BB222:BB249,1)+1)</f>
        <v/>
      </c>
      <c r="BC250" s="1833"/>
      <c r="BD250" s="1810"/>
      <c r="BE250" s="1810"/>
      <c r="BF250" s="1810"/>
      <c r="BG250" s="1810"/>
      <c r="BH250" s="1810"/>
      <c r="BI250" s="1810"/>
      <c r="BJ250" s="1810"/>
      <c r="BK250" s="1811"/>
      <c r="BM250" s="3">
        <v>1</v>
      </c>
    </row>
    <row r="251" spans="2:65" ht="21" customHeight="1">
      <c r="B251" s="103" t="str">
        <f t="shared" si="64"/>
        <v>►</v>
      </c>
      <c r="C251" s="163" t="str">
        <f>C190</f>
        <v>N NOM DE VOTRE RECETTE | collez la--FAMILLE| Auteur &gt; VOUS</v>
      </c>
      <c r="D251" s="163">
        <f>D190</f>
        <v>1</v>
      </c>
      <c r="E251" s="164" t="str">
        <f>E190</f>
        <v>coupe</v>
      </c>
      <c r="F251" s="165" t="str">
        <f>F190</f>
        <v>Recette mère ► MILLE-FEUILLE  aux fraises des bois</v>
      </c>
      <c r="G251" s="1548"/>
      <c r="H251" s="1548"/>
      <c r="I251" s="2190">
        <f>ROWS(M223:M251)</f>
        <v>29</v>
      </c>
      <c r="J251" s="5549" t="str" cm="1">
        <f t="array" ref="J251">IF(SUMPRODUCT((M251:R251&lt;&gt;"")*1)=0,"",SUMPRODUCT((M251:R251&lt;&gt;"")*(LEN(TRIM(SUBSTITUTE(M251:R251,CHAR(160)," "))) - LEN(SUBSTITUTE(TRIM(SUBSTITUTE(M251:R251,CHAR(160)," "))," ","")) + 1)) &amp; " mot" &amp; IF(SUMPRODUCT((M251:R251&lt;&gt;"")*(LEN(TRIM(SUBSTITUTE(M251:R251,CHAR(160)," "))) - LEN(SUBSTITUTE(TRIM(SUBSTITUTE(M251:R251,CHAR(160)," "))," ","")) + 1))&gt;1,"s",""))</f>
        <v/>
      </c>
      <c r="K251" s="5550" t="str" cm="1">
        <f t="array" ref="K251">SUMPRODUCT(--(M251:R251&lt;&gt;""), LEN(TRIM(SUBSTITUTE(M251:R251, CHAR(160), "")))) &amp; " Car."</f>
        <v>0 Car.</v>
      </c>
      <c r="L251" s="1376" t="str">
        <f>IF(ISBLANK(M251),"",LARGE(L222:L250,1)+1)</f>
        <v/>
      </c>
      <c r="M251" s="1810"/>
      <c r="N251" s="1810"/>
      <c r="O251" s="1810"/>
      <c r="P251" s="1810"/>
      <c r="Q251" s="1810"/>
      <c r="R251" s="1810"/>
      <c r="S251" s="1810"/>
      <c r="T251" s="1810"/>
      <c r="U251" s="1811"/>
      <c r="W251" s="103" t="str">
        <f t="shared" si="65"/>
        <v>►</v>
      </c>
      <c r="X251" s="163" t="str">
        <f>X190</f>
        <v>N NAME OF YOUR RECIPE | paste it — FAMILY|  Author &gt; YOU</v>
      </c>
      <c r="Y251" s="163">
        <f>Y190</f>
        <v>1</v>
      </c>
      <c r="Z251" s="164" t="str">
        <f>Z190</f>
        <v>coupe</v>
      </c>
      <c r="AA251" s="165" t="str">
        <f>AA190</f>
        <v>Master recipe ► MILLE-FEUILLE  aux fraises des bois</v>
      </c>
      <c r="AB251" s="1548"/>
      <c r="AC251" s="1548"/>
      <c r="AD251" s="2190">
        <f>ROWS(AH223:AH251)</f>
        <v>29</v>
      </c>
      <c r="AE251" s="5549" t="str" cm="1">
        <f t="array" ref="AE251">IF(SUMPRODUCT((AH251:AM251&lt;&gt;"")*1)=0,"",SUMPRODUCT((AH251:AM251&lt;&gt;"")*(LEN(TRIM(SUBSTITUTE(AH251:AM251,CHAR(160)," "))) - LEN(SUBSTITUTE(TRIM(SUBSTITUTE(AH251:AM251,CHAR(160)," "))," ","")) + 1)) &amp; " word" &amp; IF(SUMPRODUCT((AH251:AM251&lt;&gt;"")*(LEN(TRIM(SUBSTITUTE(AH251:AM251,CHAR(160)," "))) - LEN(SUBSTITUTE(TRIM(SUBSTITUTE(AH251:AM251,CHAR(160)," "))," ","")) + 1))&gt;1,"s",""))</f>
        <v/>
      </c>
      <c r="AF251" s="5550" t="str" cm="1">
        <f t="array" ref="AF251">SUMPRODUCT(--(AH251:AM251&lt;&gt;""), LEN(TRIM(SUBSTITUTE(AH251:AM251, CHAR(160), "")))) &amp; " Car."</f>
        <v>0 Car.</v>
      </c>
      <c r="AG251" s="1376" t="str">
        <f>IF(ISBLANK(AH251),"",LARGE(AG222:AG250,1)+1)</f>
        <v/>
      </c>
      <c r="AH251" s="1833"/>
      <c r="AI251" s="1810"/>
      <c r="AJ251" s="1810"/>
      <c r="AK251" s="1810"/>
      <c r="AL251" s="1810"/>
      <c r="AM251" s="1810"/>
      <c r="AN251" s="1810"/>
      <c r="AO251" s="1810"/>
      <c r="AP251" s="1811"/>
      <c r="AR251" s="103" t="str">
        <f t="shared" si="66"/>
        <v>►</v>
      </c>
      <c r="AS251" s="163" t="str">
        <f>AS190</f>
        <v>N NOMBRE DE SU RECETA | pegue esto — FAMILIA| Auteur &gt; VOUS</v>
      </c>
      <c r="AT251" s="163">
        <f>AT190</f>
        <v>1</v>
      </c>
      <c r="AU251" s="164" t="str">
        <f>AU190</f>
        <v>coupe</v>
      </c>
      <c r="AV251" s="165" t="str">
        <f>AV190</f>
        <v>Receta madre ► MILLE-FEUILLE  aux fraises des bois</v>
      </c>
      <c r="AW251" s="1548"/>
      <c r="AX251" s="1548"/>
      <c r="AY251" s="2190">
        <f>ROWS(BC223:BC251)</f>
        <v>29</v>
      </c>
      <c r="AZ251" s="5549" t="str" cm="1">
        <f t="array" ref="AZ251">IF(SUMPRODUCT((BC251:BH251&lt;&gt;"")*1)=0,"",SUMPRODUCT((BC251:BH251&lt;&gt;"")*(LEN(TRIM(SUBSTITUTE(BC251:BH251,CHAR(160)," "))) - LEN(SUBSTITUTE(TRIM(SUBSTITUTE(BC251:BH251,CHAR(160)," "))," ","")) + 1)) &amp; " palabra" &amp; IF(SUMPRODUCT((BC251:BH251&lt;&gt;"")*(LEN(TRIM(SUBSTITUTE(BC251:BH251,CHAR(160)," "))) - LEN(SUBSTITUTE(TRIM(SUBSTITUTE(BC251:BH251,CHAR(160)," "))," ","")) + 1))&gt;1,"s",""))</f>
        <v/>
      </c>
      <c r="BA251" s="5550" t="str" cm="1">
        <f t="array" ref="BA251">SUMPRODUCT(--(BC251:BH251&lt;&gt;""), LEN(TRIM(SUBSTITUTE(BC251:BH251, CHAR(160), "")))) &amp; " Car."</f>
        <v>0 Car.</v>
      </c>
      <c r="BB251" s="1376" t="str">
        <f>IF(ISBLANK(BC251),"",LARGE(BB222:BB250,1)+1)</f>
        <v/>
      </c>
      <c r="BC251" s="1833"/>
      <c r="BD251" s="1810"/>
      <c r="BE251" s="1810"/>
      <c r="BF251" s="1810"/>
      <c r="BG251" s="1810"/>
      <c r="BH251" s="1810"/>
      <c r="BI251" s="1810"/>
      <c r="BJ251" s="1810"/>
      <c r="BK251" s="1811"/>
      <c r="BM251" s="3">
        <v>1</v>
      </c>
    </row>
    <row r="252" spans="2:65" ht="21" customHeight="1">
      <c r="B252" s="103" t="str">
        <f t="shared" si="64"/>
        <v>►</v>
      </c>
      <c r="C252" s="163" t="str">
        <f>C190</f>
        <v>N NOM DE VOTRE RECETTE | collez la--FAMILLE| Auteur &gt; VOUS</v>
      </c>
      <c r="D252" s="163">
        <f>D190</f>
        <v>1</v>
      </c>
      <c r="E252" s="164" t="str">
        <f>E190</f>
        <v>coupe</v>
      </c>
      <c r="F252" s="165" t="str">
        <f>F190</f>
        <v>Recette mère ► MILLE-FEUILLE  aux fraises des bois</v>
      </c>
      <c r="G252" s="1548"/>
      <c r="H252" s="1548"/>
      <c r="I252" s="2190">
        <f>ROWS(M223:M252)</f>
        <v>30</v>
      </c>
      <c r="J252" s="5549" t="str" cm="1">
        <f t="array" ref="J252">IF(SUMPRODUCT((M252:R252&lt;&gt;"")*1)=0,"",SUMPRODUCT((M252:R252&lt;&gt;"")*(LEN(TRIM(SUBSTITUTE(M252:R252,CHAR(160)," "))) - LEN(SUBSTITUTE(TRIM(SUBSTITUTE(M252:R252,CHAR(160)," "))," ","")) + 1)) &amp; " mot" &amp; IF(SUMPRODUCT((M252:R252&lt;&gt;"")*(LEN(TRIM(SUBSTITUTE(M252:R252,CHAR(160)," "))) - LEN(SUBSTITUTE(TRIM(SUBSTITUTE(M252:R252,CHAR(160)," "))," ","")) + 1))&gt;1,"s",""))</f>
        <v/>
      </c>
      <c r="K252" s="5550" t="str" cm="1">
        <f t="array" ref="K252">SUMPRODUCT(--(M252:R252&lt;&gt;""), LEN(TRIM(SUBSTITUTE(M252:R252, CHAR(160), "")))) &amp; " Car."</f>
        <v>0 Car.</v>
      </c>
      <c r="L252" s="1376" t="str">
        <f>IF(ISBLANK(M252),"",LARGE(L222:L251,1)+1)</f>
        <v/>
      </c>
      <c r="M252" s="1810"/>
      <c r="N252" s="1810"/>
      <c r="O252" s="1810"/>
      <c r="P252" s="1810"/>
      <c r="Q252" s="1810"/>
      <c r="R252" s="1810"/>
      <c r="S252" s="1810"/>
      <c r="T252" s="1810"/>
      <c r="U252" s="1811"/>
      <c r="W252" s="103" t="str">
        <f t="shared" si="65"/>
        <v>►</v>
      </c>
      <c r="X252" s="163" t="str">
        <f>X190</f>
        <v>N NAME OF YOUR RECIPE | paste it — FAMILY|  Author &gt; YOU</v>
      </c>
      <c r="Y252" s="163">
        <f>Y190</f>
        <v>1</v>
      </c>
      <c r="Z252" s="164" t="str">
        <f>Z190</f>
        <v>coupe</v>
      </c>
      <c r="AA252" s="165" t="str">
        <f>AA190</f>
        <v>Master recipe ► MILLE-FEUILLE  aux fraises des bois</v>
      </c>
      <c r="AB252" s="1548"/>
      <c r="AC252" s="1548"/>
      <c r="AD252" s="2190">
        <f>ROWS(AH223:AH252)</f>
        <v>30</v>
      </c>
      <c r="AE252" s="5549" t="str" cm="1">
        <f t="array" ref="AE252">IF(SUMPRODUCT((AH252:AM252&lt;&gt;"")*1)=0,"",SUMPRODUCT((AH252:AM252&lt;&gt;"")*(LEN(TRIM(SUBSTITUTE(AH252:AM252,CHAR(160)," "))) - LEN(SUBSTITUTE(TRIM(SUBSTITUTE(AH252:AM252,CHAR(160)," "))," ","")) + 1)) &amp; " word" &amp; IF(SUMPRODUCT((AH252:AM252&lt;&gt;"")*(LEN(TRIM(SUBSTITUTE(AH252:AM252,CHAR(160)," "))) - LEN(SUBSTITUTE(TRIM(SUBSTITUTE(AH252:AM252,CHAR(160)," "))," ","")) + 1))&gt;1,"s",""))</f>
        <v/>
      </c>
      <c r="AF252" s="5550" t="str" cm="1">
        <f t="array" ref="AF252">SUMPRODUCT(--(AH252:AM252&lt;&gt;""), LEN(TRIM(SUBSTITUTE(AH252:AM252, CHAR(160), "")))) &amp; " Car."</f>
        <v>0 Car.</v>
      </c>
      <c r="AG252" s="1376" t="str">
        <f>IF(ISBLANK(AH252),"",LARGE(AG222:AG251,1)+1)</f>
        <v/>
      </c>
      <c r="AH252" s="1833"/>
      <c r="AI252" s="1810"/>
      <c r="AJ252" s="1810"/>
      <c r="AK252" s="1810"/>
      <c r="AL252" s="1810"/>
      <c r="AM252" s="1810"/>
      <c r="AN252" s="1810"/>
      <c r="AO252" s="1810"/>
      <c r="AP252" s="1811"/>
      <c r="AR252" s="103" t="str">
        <f t="shared" si="66"/>
        <v>►</v>
      </c>
      <c r="AS252" s="163" t="str">
        <f>AS190</f>
        <v>N NOMBRE DE SU RECETA | pegue esto — FAMILIA| Auteur &gt; VOUS</v>
      </c>
      <c r="AT252" s="163">
        <f>AT190</f>
        <v>1</v>
      </c>
      <c r="AU252" s="164" t="str">
        <f>AU190</f>
        <v>coupe</v>
      </c>
      <c r="AV252" s="165" t="str">
        <f>AV190</f>
        <v>Receta madre ► MILLE-FEUILLE  aux fraises des bois</v>
      </c>
      <c r="AW252" s="1548"/>
      <c r="AX252" s="1548"/>
      <c r="AY252" s="2190">
        <f>ROWS(BC223:BC252)</f>
        <v>30</v>
      </c>
      <c r="AZ252" s="5549" t="str" cm="1">
        <f t="array" ref="AZ252">IF(SUMPRODUCT((BC252:BH252&lt;&gt;"")*1)=0,"",SUMPRODUCT((BC252:BH252&lt;&gt;"")*(LEN(TRIM(SUBSTITUTE(BC252:BH252,CHAR(160)," "))) - LEN(SUBSTITUTE(TRIM(SUBSTITUTE(BC252:BH252,CHAR(160)," "))," ","")) + 1)) &amp; " palabra" &amp; IF(SUMPRODUCT((BC252:BH252&lt;&gt;"")*(LEN(TRIM(SUBSTITUTE(BC252:BH252,CHAR(160)," "))) - LEN(SUBSTITUTE(TRIM(SUBSTITUTE(BC252:BH252,CHAR(160)," "))," ","")) + 1))&gt;1,"s",""))</f>
        <v/>
      </c>
      <c r="BA252" s="5550" t="str" cm="1">
        <f t="array" ref="BA252">SUMPRODUCT(--(BC252:BH252&lt;&gt;""), LEN(TRIM(SUBSTITUTE(BC252:BH252, CHAR(160), "")))) &amp; " Car."</f>
        <v>0 Car.</v>
      </c>
      <c r="BB252" s="1376" t="str">
        <f>IF(ISBLANK(BC252),"",LARGE(BB222:BB251,1)+1)</f>
        <v/>
      </c>
      <c r="BC252" s="1833"/>
      <c r="BD252" s="1810"/>
      <c r="BE252" s="1810"/>
      <c r="BF252" s="1810"/>
      <c r="BG252" s="1810"/>
      <c r="BH252" s="1810"/>
      <c r="BI252" s="1810"/>
      <c r="BJ252" s="1810"/>
      <c r="BK252" s="1811"/>
      <c r="BM252" s="3">
        <v>1</v>
      </c>
    </row>
    <row r="253" spans="2:65" ht="21" customHeight="1">
      <c r="B253" s="103" t="str">
        <f t="shared" si="64"/>
        <v>►</v>
      </c>
      <c r="C253" s="163" t="str">
        <f>C190</f>
        <v>N NOM DE VOTRE RECETTE | collez la--FAMILLE| Auteur &gt; VOUS</v>
      </c>
      <c r="D253" s="163">
        <f>D190</f>
        <v>1</v>
      </c>
      <c r="E253" s="164" t="str">
        <f>E190</f>
        <v>coupe</v>
      </c>
      <c r="F253" s="165" t="str">
        <f>F190</f>
        <v>Recette mère ► MILLE-FEUILLE  aux fraises des bois</v>
      </c>
      <c r="G253" s="1548"/>
      <c r="H253" s="1548"/>
      <c r="I253" s="2190">
        <f>ROWS(M223:M253)</f>
        <v>31</v>
      </c>
      <c r="J253" s="5549" t="str" cm="1">
        <f t="array" ref="J253">IF(SUMPRODUCT((M253:R253&lt;&gt;"")*1)=0,"",SUMPRODUCT((M253:R253&lt;&gt;"")*(LEN(TRIM(SUBSTITUTE(M253:R253,CHAR(160)," "))) - LEN(SUBSTITUTE(TRIM(SUBSTITUTE(M253:R253,CHAR(160)," "))," ","")) + 1)) &amp; " mot" &amp; IF(SUMPRODUCT((M253:R253&lt;&gt;"")*(LEN(TRIM(SUBSTITUTE(M253:R253,CHAR(160)," "))) - LEN(SUBSTITUTE(TRIM(SUBSTITUTE(M253:R253,CHAR(160)," "))," ","")) + 1))&gt;1,"s",""))</f>
        <v/>
      </c>
      <c r="K253" s="5550" t="str" cm="1">
        <f t="array" ref="K253">SUMPRODUCT(--(M253:R253&lt;&gt;""), LEN(TRIM(SUBSTITUTE(M253:R253, CHAR(160), "")))) &amp; " Car."</f>
        <v>0 Car.</v>
      </c>
      <c r="L253" s="1376" t="str">
        <f>IF(ISBLANK(M253),"",LARGE(L222:L252,1)+1)</f>
        <v/>
      </c>
      <c r="M253" s="1810"/>
      <c r="N253" s="1810"/>
      <c r="O253" s="1810"/>
      <c r="P253" s="1810"/>
      <c r="Q253" s="1810"/>
      <c r="R253" s="1810"/>
      <c r="S253" s="1810"/>
      <c r="T253" s="1810"/>
      <c r="U253" s="1811"/>
      <c r="W253" s="103" t="str">
        <f t="shared" si="65"/>
        <v>►</v>
      </c>
      <c r="X253" s="163" t="str">
        <f>X190</f>
        <v>N NAME OF YOUR RECIPE | paste it — FAMILY|  Author &gt; YOU</v>
      </c>
      <c r="Y253" s="163">
        <f>Y190</f>
        <v>1</v>
      </c>
      <c r="Z253" s="164" t="str">
        <f>Z190</f>
        <v>coupe</v>
      </c>
      <c r="AA253" s="165" t="str">
        <f>AA190</f>
        <v>Master recipe ► MILLE-FEUILLE  aux fraises des bois</v>
      </c>
      <c r="AB253" s="1548"/>
      <c r="AC253" s="1548"/>
      <c r="AD253" s="2190">
        <f>ROWS(AH223:AH253)</f>
        <v>31</v>
      </c>
      <c r="AE253" s="5549" t="str" cm="1">
        <f t="array" ref="AE253">IF(SUMPRODUCT((AH253:AM253&lt;&gt;"")*1)=0,"",SUMPRODUCT((AH253:AM253&lt;&gt;"")*(LEN(TRIM(SUBSTITUTE(AH253:AM253,CHAR(160)," "))) - LEN(SUBSTITUTE(TRIM(SUBSTITUTE(AH253:AM253,CHAR(160)," "))," ","")) + 1)) &amp; " word" &amp; IF(SUMPRODUCT((AH253:AM253&lt;&gt;"")*(LEN(TRIM(SUBSTITUTE(AH253:AM253,CHAR(160)," "))) - LEN(SUBSTITUTE(TRIM(SUBSTITUTE(AH253:AM253,CHAR(160)," "))," ","")) + 1))&gt;1,"s",""))</f>
        <v/>
      </c>
      <c r="AF253" s="5550" t="str" cm="1">
        <f t="array" ref="AF253">SUMPRODUCT(--(AH253:AM253&lt;&gt;""), LEN(TRIM(SUBSTITUTE(AH253:AM253, CHAR(160), "")))) &amp; " Car."</f>
        <v>0 Car.</v>
      </c>
      <c r="AG253" s="1376" t="str">
        <f>IF(ISBLANK(AH253),"",LARGE(AG222:AG252,1)+1)</f>
        <v/>
      </c>
      <c r="AH253" s="1833"/>
      <c r="AI253" s="1810"/>
      <c r="AJ253" s="1810"/>
      <c r="AK253" s="1810"/>
      <c r="AL253" s="1810"/>
      <c r="AM253" s="1810"/>
      <c r="AN253" s="1810"/>
      <c r="AO253" s="1810"/>
      <c r="AP253" s="1811"/>
      <c r="AR253" s="103" t="str">
        <f t="shared" si="66"/>
        <v>►</v>
      </c>
      <c r="AS253" s="163" t="str">
        <f>AS190</f>
        <v>N NOMBRE DE SU RECETA | pegue esto — FAMILIA| Auteur &gt; VOUS</v>
      </c>
      <c r="AT253" s="163">
        <f>AT190</f>
        <v>1</v>
      </c>
      <c r="AU253" s="164" t="str">
        <f>AU190</f>
        <v>coupe</v>
      </c>
      <c r="AV253" s="165" t="str">
        <f>AV190</f>
        <v>Receta madre ► MILLE-FEUILLE  aux fraises des bois</v>
      </c>
      <c r="AW253" s="1548"/>
      <c r="AX253" s="1548"/>
      <c r="AY253" s="2190">
        <f>ROWS(BC223:BC253)</f>
        <v>31</v>
      </c>
      <c r="AZ253" s="5549" t="str" cm="1">
        <f t="array" ref="AZ253">IF(SUMPRODUCT((BC253:BH253&lt;&gt;"")*1)=0,"",SUMPRODUCT((BC253:BH253&lt;&gt;"")*(LEN(TRIM(SUBSTITUTE(BC253:BH253,CHAR(160)," "))) - LEN(SUBSTITUTE(TRIM(SUBSTITUTE(BC253:BH253,CHAR(160)," "))," ","")) + 1)) &amp; " palabra" &amp; IF(SUMPRODUCT((BC253:BH253&lt;&gt;"")*(LEN(TRIM(SUBSTITUTE(BC253:BH253,CHAR(160)," "))) - LEN(SUBSTITUTE(TRIM(SUBSTITUTE(BC253:BH253,CHAR(160)," "))," ","")) + 1))&gt;1,"s",""))</f>
        <v/>
      </c>
      <c r="BA253" s="5550" t="str" cm="1">
        <f t="array" ref="BA253">SUMPRODUCT(--(BC253:BH253&lt;&gt;""), LEN(TRIM(SUBSTITUTE(BC253:BH253, CHAR(160), "")))) &amp; " Car."</f>
        <v>0 Car.</v>
      </c>
      <c r="BB253" s="1376" t="str">
        <f>IF(ISBLANK(BC253),"",LARGE(BB222:BB252,1)+1)</f>
        <v/>
      </c>
      <c r="BC253" s="1833"/>
      <c r="BD253" s="1810"/>
      <c r="BE253" s="1810"/>
      <c r="BF253" s="1810"/>
      <c r="BG253" s="1810"/>
      <c r="BH253" s="1810"/>
      <c r="BI253" s="1810"/>
      <c r="BJ253" s="1810"/>
      <c r="BK253" s="1811"/>
      <c r="BM253" s="3">
        <v>1</v>
      </c>
    </row>
    <row r="254" spans="2:65" ht="21" customHeight="1">
      <c r="B254" s="103" t="str">
        <f t="shared" si="64"/>
        <v>►</v>
      </c>
      <c r="C254" s="163" t="str">
        <f>C190</f>
        <v>N NOM DE VOTRE RECETTE | collez la--FAMILLE| Auteur &gt; VOUS</v>
      </c>
      <c r="D254" s="163">
        <f>D190</f>
        <v>1</v>
      </c>
      <c r="E254" s="164" t="str">
        <f>E190</f>
        <v>coupe</v>
      </c>
      <c r="F254" s="165" t="str">
        <f>F190</f>
        <v>Recette mère ► MILLE-FEUILLE  aux fraises des bois</v>
      </c>
      <c r="G254" s="1548"/>
      <c r="H254" s="1548"/>
      <c r="I254" s="2190">
        <f>ROWS(M223:M254)</f>
        <v>32</v>
      </c>
      <c r="J254" s="5549" t="str" cm="1">
        <f t="array" ref="J254">IF(SUMPRODUCT((M254:R254&lt;&gt;"")*1)=0,"",SUMPRODUCT((M254:R254&lt;&gt;"")*(LEN(TRIM(SUBSTITUTE(M254:R254,CHAR(160)," "))) - LEN(SUBSTITUTE(TRIM(SUBSTITUTE(M254:R254,CHAR(160)," "))," ","")) + 1)) &amp; " mot" &amp; IF(SUMPRODUCT((M254:R254&lt;&gt;"")*(LEN(TRIM(SUBSTITUTE(M254:R254,CHAR(160)," "))) - LEN(SUBSTITUTE(TRIM(SUBSTITUTE(M254:R254,CHAR(160)," "))," ","")) + 1))&gt;1,"s",""))</f>
        <v/>
      </c>
      <c r="K254" s="5550" t="str" cm="1">
        <f t="array" ref="K254">SUMPRODUCT(--(M254:R254&lt;&gt;""), LEN(TRIM(SUBSTITUTE(M254:R254, CHAR(160), "")))) &amp; " Car."</f>
        <v>0 Car.</v>
      </c>
      <c r="L254" s="1376" t="str">
        <f>IF(ISBLANK(M254),"",LARGE(L222:L253,1)+1)</f>
        <v/>
      </c>
      <c r="M254" s="1810"/>
      <c r="N254" s="1810"/>
      <c r="O254" s="1810"/>
      <c r="P254" s="1810"/>
      <c r="Q254" s="1810"/>
      <c r="R254" s="1810"/>
      <c r="S254" s="1810"/>
      <c r="T254" s="1810"/>
      <c r="U254" s="1811"/>
      <c r="W254" s="103" t="str">
        <f t="shared" si="65"/>
        <v>►</v>
      </c>
      <c r="X254" s="163" t="str">
        <f>X190</f>
        <v>N NAME OF YOUR RECIPE | paste it — FAMILY|  Author &gt; YOU</v>
      </c>
      <c r="Y254" s="163">
        <f>Y190</f>
        <v>1</v>
      </c>
      <c r="Z254" s="164" t="str">
        <f>Z190</f>
        <v>coupe</v>
      </c>
      <c r="AA254" s="165" t="str">
        <f>AA190</f>
        <v>Master recipe ► MILLE-FEUILLE  aux fraises des bois</v>
      </c>
      <c r="AB254" s="1548"/>
      <c r="AC254" s="1548"/>
      <c r="AD254" s="2190">
        <f>ROWS(AH223:AH254)</f>
        <v>32</v>
      </c>
      <c r="AE254" s="5549" t="str" cm="1">
        <f t="array" ref="AE254">IF(SUMPRODUCT((AH254:AM254&lt;&gt;"")*1)=0,"",SUMPRODUCT((AH254:AM254&lt;&gt;"")*(LEN(TRIM(SUBSTITUTE(AH254:AM254,CHAR(160)," "))) - LEN(SUBSTITUTE(TRIM(SUBSTITUTE(AH254:AM254,CHAR(160)," "))," ","")) + 1)) &amp; " word" &amp; IF(SUMPRODUCT((AH254:AM254&lt;&gt;"")*(LEN(TRIM(SUBSTITUTE(AH254:AM254,CHAR(160)," "))) - LEN(SUBSTITUTE(TRIM(SUBSTITUTE(AH254:AM254,CHAR(160)," "))," ","")) + 1))&gt;1,"s",""))</f>
        <v/>
      </c>
      <c r="AF254" s="5550" t="str" cm="1">
        <f t="array" ref="AF254">SUMPRODUCT(--(AH254:AM254&lt;&gt;""), LEN(TRIM(SUBSTITUTE(AH254:AM254, CHAR(160), "")))) &amp; " Car."</f>
        <v>0 Car.</v>
      </c>
      <c r="AG254" s="1376" t="str">
        <f>IF(ISBLANK(AH254),"",LARGE(AG222:AG253,1)+1)</f>
        <v/>
      </c>
      <c r="AH254" s="1833"/>
      <c r="AI254" s="1810"/>
      <c r="AJ254" s="1810"/>
      <c r="AK254" s="1810"/>
      <c r="AL254" s="1810"/>
      <c r="AM254" s="1810"/>
      <c r="AN254" s="1810"/>
      <c r="AO254" s="1810"/>
      <c r="AP254" s="1811"/>
      <c r="AR254" s="103" t="str">
        <f t="shared" si="66"/>
        <v>►</v>
      </c>
      <c r="AS254" s="163" t="str">
        <f>AS190</f>
        <v>N NOMBRE DE SU RECETA | pegue esto — FAMILIA| Auteur &gt; VOUS</v>
      </c>
      <c r="AT254" s="163">
        <f>AT190</f>
        <v>1</v>
      </c>
      <c r="AU254" s="164" t="str">
        <f>AU190</f>
        <v>coupe</v>
      </c>
      <c r="AV254" s="165" t="str">
        <f>AV190</f>
        <v>Receta madre ► MILLE-FEUILLE  aux fraises des bois</v>
      </c>
      <c r="AW254" s="1548"/>
      <c r="AX254" s="1548"/>
      <c r="AY254" s="2190">
        <f>ROWS(BC223:BC254)</f>
        <v>32</v>
      </c>
      <c r="AZ254" s="5549" t="str" cm="1">
        <f t="array" ref="AZ254">IF(SUMPRODUCT((BC254:BH254&lt;&gt;"")*1)=0,"",SUMPRODUCT((BC254:BH254&lt;&gt;"")*(LEN(TRIM(SUBSTITUTE(BC254:BH254,CHAR(160)," "))) - LEN(SUBSTITUTE(TRIM(SUBSTITUTE(BC254:BH254,CHAR(160)," "))," ","")) + 1)) &amp; " palabra" &amp; IF(SUMPRODUCT((BC254:BH254&lt;&gt;"")*(LEN(TRIM(SUBSTITUTE(BC254:BH254,CHAR(160)," "))) - LEN(SUBSTITUTE(TRIM(SUBSTITUTE(BC254:BH254,CHAR(160)," "))," ","")) + 1))&gt;1,"s",""))</f>
        <v/>
      </c>
      <c r="BA254" s="5550" t="str" cm="1">
        <f t="array" ref="BA254">SUMPRODUCT(--(BC254:BH254&lt;&gt;""), LEN(TRIM(SUBSTITUTE(BC254:BH254, CHAR(160), "")))) &amp; " Car."</f>
        <v>0 Car.</v>
      </c>
      <c r="BB254" s="1376" t="str">
        <f>IF(ISBLANK(BC254),"",LARGE(BB222:BB253,1)+1)</f>
        <v/>
      </c>
      <c r="BC254" s="1833"/>
      <c r="BD254" s="1810"/>
      <c r="BE254" s="1810"/>
      <c r="BF254" s="1810"/>
      <c r="BG254" s="1810"/>
      <c r="BH254" s="1810"/>
      <c r="BI254" s="1810"/>
      <c r="BJ254" s="1810"/>
      <c r="BK254" s="1811"/>
      <c r="BM254" s="3">
        <v>1</v>
      </c>
    </row>
    <row r="255" spans="2:65" ht="21" customHeight="1">
      <c r="B255" s="103" t="str">
        <f t="shared" si="64"/>
        <v>►</v>
      </c>
      <c r="C255" s="163" t="str">
        <f>C190</f>
        <v>N NOM DE VOTRE RECETTE | collez la--FAMILLE| Auteur &gt; VOUS</v>
      </c>
      <c r="D255" s="163">
        <f>D190</f>
        <v>1</v>
      </c>
      <c r="E255" s="164" t="str">
        <f>E190</f>
        <v>coupe</v>
      </c>
      <c r="F255" s="165" t="str">
        <f>F190</f>
        <v>Recette mère ► MILLE-FEUILLE  aux fraises des bois</v>
      </c>
      <c r="G255" s="1548"/>
      <c r="H255" s="1548"/>
      <c r="I255" s="2190">
        <f>ROWS(M223:M255)</f>
        <v>33</v>
      </c>
      <c r="J255" s="5549" t="str" cm="1">
        <f t="array" ref="J255">IF(SUMPRODUCT((M255:R255&lt;&gt;"")*1)=0,"",SUMPRODUCT((M255:R255&lt;&gt;"")*(LEN(TRIM(SUBSTITUTE(M255:R255,CHAR(160)," "))) - LEN(SUBSTITUTE(TRIM(SUBSTITUTE(M255:R255,CHAR(160)," "))," ","")) + 1)) &amp; " mot" &amp; IF(SUMPRODUCT((M255:R255&lt;&gt;"")*(LEN(TRIM(SUBSTITUTE(M255:R255,CHAR(160)," "))) - LEN(SUBSTITUTE(TRIM(SUBSTITUTE(M255:R255,CHAR(160)," "))," ","")) + 1))&gt;1,"s",""))</f>
        <v/>
      </c>
      <c r="K255" s="5550" t="str" cm="1">
        <f t="array" ref="K255">SUMPRODUCT(--(M255:R255&lt;&gt;""), LEN(TRIM(SUBSTITUTE(M255:R255, CHAR(160), "")))) &amp; " Car."</f>
        <v>0 Car.</v>
      </c>
      <c r="L255" s="1376" t="str">
        <f>IF(ISBLANK(M255),"",LARGE(L222:L254,1)+1)</f>
        <v/>
      </c>
      <c r="M255" s="1810"/>
      <c r="N255" s="1810"/>
      <c r="O255" s="1810"/>
      <c r="P255" s="1810"/>
      <c r="Q255" s="1810"/>
      <c r="R255" s="1810"/>
      <c r="S255" s="1810"/>
      <c r="T255" s="1810"/>
      <c r="U255" s="1811"/>
      <c r="W255" s="103" t="str">
        <f t="shared" si="65"/>
        <v>►</v>
      </c>
      <c r="X255" s="163" t="str">
        <f>X190</f>
        <v>N NAME OF YOUR RECIPE | paste it — FAMILY|  Author &gt; YOU</v>
      </c>
      <c r="Y255" s="163">
        <f>Y190</f>
        <v>1</v>
      </c>
      <c r="Z255" s="164" t="str">
        <f>Z190</f>
        <v>coupe</v>
      </c>
      <c r="AA255" s="165" t="str">
        <f>AA190</f>
        <v>Master recipe ► MILLE-FEUILLE  aux fraises des bois</v>
      </c>
      <c r="AB255" s="1548"/>
      <c r="AC255" s="1548"/>
      <c r="AD255" s="2190">
        <f>ROWS(AH223:AH255)</f>
        <v>33</v>
      </c>
      <c r="AE255" s="5549" t="str" cm="1">
        <f t="array" ref="AE255">IF(SUMPRODUCT((AH255:AM255&lt;&gt;"")*1)=0,"",SUMPRODUCT((AH255:AM255&lt;&gt;"")*(LEN(TRIM(SUBSTITUTE(AH255:AM255,CHAR(160)," "))) - LEN(SUBSTITUTE(TRIM(SUBSTITUTE(AH255:AM255,CHAR(160)," "))," ","")) + 1)) &amp; " word" &amp; IF(SUMPRODUCT((AH255:AM255&lt;&gt;"")*(LEN(TRIM(SUBSTITUTE(AH255:AM255,CHAR(160)," "))) - LEN(SUBSTITUTE(TRIM(SUBSTITUTE(AH255:AM255,CHAR(160)," "))," ","")) + 1))&gt;1,"s",""))</f>
        <v/>
      </c>
      <c r="AF255" s="5550" t="str" cm="1">
        <f t="array" ref="AF255">SUMPRODUCT(--(AH255:AM255&lt;&gt;""), LEN(TRIM(SUBSTITUTE(AH255:AM255, CHAR(160), "")))) &amp; " Car."</f>
        <v>0 Car.</v>
      </c>
      <c r="AG255" s="1376" t="str">
        <f>IF(ISBLANK(AH255),"",LARGE(AG222:AG254,1)+1)</f>
        <v/>
      </c>
      <c r="AH255" s="1833"/>
      <c r="AI255" s="1810"/>
      <c r="AJ255" s="1810"/>
      <c r="AK255" s="1810"/>
      <c r="AL255" s="1810"/>
      <c r="AM255" s="1810"/>
      <c r="AN255" s="1810"/>
      <c r="AO255" s="1810"/>
      <c r="AP255" s="1811"/>
      <c r="AR255" s="103" t="str">
        <f t="shared" si="66"/>
        <v>►</v>
      </c>
      <c r="AS255" s="163" t="str">
        <f>AS190</f>
        <v>N NOMBRE DE SU RECETA | pegue esto — FAMILIA| Auteur &gt; VOUS</v>
      </c>
      <c r="AT255" s="163">
        <f>AT190</f>
        <v>1</v>
      </c>
      <c r="AU255" s="164" t="str">
        <f>AU190</f>
        <v>coupe</v>
      </c>
      <c r="AV255" s="165" t="str">
        <f>AV190</f>
        <v>Receta madre ► MILLE-FEUILLE  aux fraises des bois</v>
      </c>
      <c r="AW255" s="1548"/>
      <c r="AX255" s="1548"/>
      <c r="AY255" s="2190">
        <f>ROWS(BC223:BC255)</f>
        <v>33</v>
      </c>
      <c r="AZ255" s="5549" t="str" cm="1">
        <f t="array" ref="AZ255">IF(SUMPRODUCT((BC255:BH255&lt;&gt;"")*1)=0,"",SUMPRODUCT((BC255:BH255&lt;&gt;"")*(LEN(TRIM(SUBSTITUTE(BC255:BH255,CHAR(160)," "))) - LEN(SUBSTITUTE(TRIM(SUBSTITUTE(BC255:BH255,CHAR(160)," "))," ","")) + 1)) &amp; " palabra" &amp; IF(SUMPRODUCT((BC255:BH255&lt;&gt;"")*(LEN(TRIM(SUBSTITUTE(BC255:BH255,CHAR(160)," "))) - LEN(SUBSTITUTE(TRIM(SUBSTITUTE(BC255:BH255,CHAR(160)," "))," ","")) + 1))&gt;1,"s",""))</f>
        <v/>
      </c>
      <c r="BA255" s="5550" t="str" cm="1">
        <f t="array" ref="BA255">SUMPRODUCT(--(BC255:BH255&lt;&gt;""), LEN(TRIM(SUBSTITUTE(BC255:BH255, CHAR(160), "")))) &amp; " Car."</f>
        <v>0 Car.</v>
      </c>
      <c r="BB255" s="1376" t="str">
        <f>IF(ISBLANK(BC255),"",LARGE(BB222:BB254,1)+1)</f>
        <v/>
      </c>
      <c r="BC255" s="1833"/>
      <c r="BD255" s="1810"/>
      <c r="BE255" s="1810"/>
      <c r="BF255" s="1810"/>
      <c r="BG255" s="1810"/>
      <c r="BH255" s="1810"/>
      <c r="BI255" s="1810"/>
      <c r="BJ255" s="1810"/>
      <c r="BK255" s="1811"/>
      <c r="BM255" s="3">
        <v>1</v>
      </c>
    </row>
    <row r="256" spans="2:65" ht="21" customHeight="1">
      <c r="B256" s="103" t="str">
        <f t="shared" si="64"/>
        <v>►</v>
      </c>
      <c r="C256" s="163" t="str">
        <f>C190</f>
        <v>N NOM DE VOTRE RECETTE | collez la--FAMILLE| Auteur &gt; VOUS</v>
      </c>
      <c r="D256" s="163">
        <f>D190</f>
        <v>1</v>
      </c>
      <c r="E256" s="164" t="str">
        <f>E190</f>
        <v>coupe</v>
      </c>
      <c r="F256" s="165" t="str">
        <f>F190</f>
        <v>Recette mère ► MILLE-FEUILLE  aux fraises des bois</v>
      </c>
      <c r="G256" s="1548"/>
      <c r="H256" s="1548"/>
      <c r="I256" s="2190">
        <f>ROWS(M223:M256)</f>
        <v>34</v>
      </c>
      <c r="J256" s="5549" t="str" cm="1">
        <f t="array" ref="J256">IF(SUMPRODUCT((M256:R256&lt;&gt;"")*1)=0,"",SUMPRODUCT((M256:R256&lt;&gt;"")*(LEN(TRIM(SUBSTITUTE(M256:R256,CHAR(160)," "))) - LEN(SUBSTITUTE(TRIM(SUBSTITUTE(M256:R256,CHAR(160)," "))," ","")) + 1)) &amp; " mot" &amp; IF(SUMPRODUCT((M256:R256&lt;&gt;"")*(LEN(TRIM(SUBSTITUTE(M256:R256,CHAR(160)," "))) - LEN(SUBSTITUTE(TRIM(SUBSTITUTE(M256:R256,CHAR(160)," "))," ","")) + 1))&gt;1,"s",""))</f>
        <v/>
      </c>
      <c r="K256" s="5550" t="str" cm="1">
        <f t="array" ref="K256">SUMPRODUCT(--(M256:R256&lt;&gt;""), LEN(TRIM(SUBSTITUTE(M256:R256, CHAR(160), "")))) &amp; " Car."</f>
        <v>0 Car.</v>
      </c>
      <c r="L256" s="1376" t="str">
        <f>IF(ISBLANK(M256),"",LARGE(L222:L255,1)+1)</f>
        <v/>
      </c>
      <c r="M256" s="1810"/>
      <c r="N256" s="1810"/>
      <c r="O256" s="1810"/>
      <c r="P256" s="1810"/>
      <c r="Q256" s="1810"/>
      <c r="R256" s="1810"/>
      <c r="S256" s="1810"/>
      <c r="T256" s="1810"/>
      <c r="U256" s="1811"/>
      <c r="W256" s="103" t="str">
        <f t="shared" si="65"/>
        <v>►</v>
      </c>
      <c r="X256" s="163" t="str">
        <f>X190</f>
        <v>N NAME OF YOUR RECIPE | paste it — FAMILY|  Author &gt; YOU</v>
      </c>
      <c r="Y256" s="163">
        <f>Y190</f>
        <v>1</v>
      </c>
      <c r="Z256" s="164" t="str">
        <f>Z190</f>
        <v>coupe</v>
      </c>
      <c r="AA256" s="165" t="str">
        <f>AA190</f>
        <v>Master recipe ► MILLE-FEUILLE  aux fraises des bois</v>
      </c>
      <c r="AB256" s="1548"/>
      <c r="AC256" s="1548"/>
      <c r="AD256" s="2190">
        <f>ROWS(AH223:AH256)</f>
        <v>34</v>
      </c>
      <c r="AE256" s="5549" t="str" cm="1">
        <f t="array" ref="AE256">IF(SUMPRODUCT((AH256:AM256&lt;&gt;"")*1)=0,"",SUMPRODUCT((AH256:AM256&lt;&gt;"")*(LEN(TRIM(SUBSTITUTE(AH256:AM256,CHAR(160)," "))) - LEN(SUBSTITUTE(TRIM(SUBSTITUTE(AH256:AM256,CHAR(160)," "))," ","")) + 1)) &amp; " word" &amp; IF(SUMPRODUCT((AH256:AM256&lt;&gt;"")*(LEN(TRIM(SUBSTITUTE(AH256:AM256,CHAR(160)," "))) - LEN(SUBSTITUTE(TRIM(SUBSTITUTE(AH256:AM256,CHAR(160)," "))," ","")) + 1))&gt;1,"s",""))</f>
        <v/>
      </c>
      <c r="AF256" s="5550" t="str" cm="1">
        <f t="array" ref="AF256">SUMPRODUCT(--(AH256:AM256&lt;&gt;""), LEN(TRIM(SUBSTITUTE(AH256:AM256, CHAR(160), "")))) &amp; " Car."</f>
        <v>0 Car.</v>
      </c>
      <c r="AG256" s="1376" t="str">
        <f>IF(ISBLANK(AH256),"",LARGE(AG222:AG255,1)+1)</f>
        <v/>
      </c>
      <c r="AH256" s="1833"/>
      <c r="AI256" s="1810"/>
      <c r="AJ256" s="1810"/>
      <c r="AK256" s="1810"/>
      <c r="AL256" s="1810"/>
      <c r="AM256" s="1810"/>
      <c r="AN256" s="1810"/>
      <c r="AO256" s="1810"/>
      <c r="AP256" s="1811"/>
      <c r="AR256" s="103" t="str">
        <f t="shared" si="66"/>
        <v>►</v>
      </c>
      <c r="AS256" s="163" t="str">
        <f>AS190</f>
        <v>N NOMBRE DE SU RECETA | pegue esto — FAMILIA| Auteur &gt; VOUS</v>
      </c>
      <c r="AT256" s="163">
        <f>AT190</f>
        <v>1</v>
      </c>
      <c r="AU256" s="164" t="str">
        <f>AU190</f>
        <v>coupe</v>
      </c>
      <c r="AV256" s="165" t="str">
        <f>AV190</f>
        <v>Receta madre ► MILLE-FEUILLE  aux fraises des bois</v>
      </c>
      <c r="AW256" s="1548"/>
      <c r="AX256" s="1548"/>
      <c r="AY256" s="2190">
        <f>ROWS(BC223:BC256)</f>
        <v>34</v>
      </c>
      <c r="AZ256" s="5549" t="str" cm="1">
        <f t="array" ref="AZ256">IF(SUMPRODUCT((BC256:BH256&lt;&gt;"")*1)=0,"",SUMPRODUCT((BC256:BH256&lt;&gt;"")*(LEN(TRIM(SUBSTITUTE(BC256:BH256,CHAR(160)," "))) - LEN(SUBSTITUTE(TRIM(SUBSTITUTE(BC256:BH256,CHAR(160)," "))," ","")) + 1)) &amp; " palabra" &amp; IF(SUMPRODUCT((BC256:BH256&lt;&gt;"")*(LEN(TRIM(SUBSTITUTE(BC256:BH256,CHAR(160)," "))) - LEN(SUBSTITUTE(TRIM(SUBSTITUTE(BC256:BH256,CHAR(160)," "))," ","")) + 1))&gt;1,"s",""))</f>
        <v/>
      </c>
      <c r="BA256" s="5550" t="str" cm="1">
        <f t="array" ref="BA256">SUMPRODUCT(--(BC256:BH256&lt;&gt;""), LEN(TRIM(SUBSTITUTE(BC256:BH256, CHAR(160), "")))) &amp; " Car."</f>
        <v>0 Car.</v>
      </c>
      <c r="BB256" s="1376" t="str">
        <f>IF(ISBLANK(BC256),"",LARGE(BB222:BB255,1)+1)</f>
        <v/>
      </c>
      <c r="BC256" s="1833"/>
      <c r="BD256" s="1810"/>
      <c r="BE256" s="1810"/>
      <c r="BF256" s="1810"/>
      <c r="BG256" s="1810"/>
      <c r="BH256" s="1810"/>
      <c r="BI256" s="1810"/>
      <c r="BJ256" s="1810"/>
      <c r="BK256" s="1811"/>
      <c r="BM256" s="3">
        <v>1</v>
      </c>
    </row>
    <row r="257" spans="2:65" ht="21" customHeight="1">
      <c r="B257" s="103" t="str">
        <f t="shared" si="64"/>
        <v>►</v>
      </c>
      <c r="C257" s="163" t="str">
        <f>C190</f>
        <v>N NOM DE VOTRE RECETTE | collez la--FAMILLE| Auteur &gt; VOUS</v>
      </c>
      <c r="D257" s="163">
        <f>D190</f>
        <v>1</v>
      </c>
      <c r="E257" s="164" t="str">
        <f>E190</f>
        <v>coupe</v>
      </c>
      <c r="F257" s="165" t="str">
        <f>F190</f>
        <v>Recette mère ► MILLE-FEUILLE  aux fraises des bois</v>
      </c>
      <c r="G257" s="1548"/>
      <c r="H257" s="1548"/>
      <c r="I257" s="2190">
        <f>ROWS(M223:M257)</f>
        <v>35</v>
      </c>
      <c r="J257" s="5549" t="str" cm="1">
        <f t="array" ref="J257">IF(SUMPRODUCT((M257:R257&lt;&gt;"")*1)=0,"",SUMPRODUCT((M257:R257&lt;&gt;"")*(LEN(TRIM(SUBSTITUTE(M257:R257,CHAR(160)," "))) - LEN(SUBSTITUTE(TRIM(SUBSTITUTE(M257:R257,CHAR(160)," "))," ","")) + 1)) &amp; " mot" &amp; IF(SUMPRODUCT((M257:R257&lt;&gt;"")*(LEN(TRIM(SUBSTITUTE(M257:R257,CHAR(160)," "))) - LEN(SUBSTITUTE(TRIM(SUBSTITUTE(M257:R257,CHAR(160)," "))," ","")) + 1))&gt;1,"s",""))</f>
        <v/>
      </c>
      <c r="K257" s="5550" t="str" cm="1">
        <f t="array" ref="K257">SUMPRODUCT(--(M257:R257&lt;&gt;""), LEN(TRIM(SUBSTITUTE(M257:R257, CHAR(160), "")))) &amp; " Car."</f>
        <v>0 Car.</v>
      </c>
      <c r="L257" s="1376" t="str">
        <f>IF(ISBLANK(M257),"",LARGE(L222:L256,1)+1)</f>
        <v/>
      </c>
      <c r="M257" s="1810"/>
      <c r="N257" s="1810"/>
      <c r="O257" s="1810"/>
      <c r="P257" s="1810"/>
      <c r="Q257" s="1810"/>
      <c r="R257" s="1810"/>
      <c r="S257" s="1810"/>
      <c r="T257" s="1810"/>
      <c r="U257" s="1811"/>
      <c r="W257" s="103" t="str">
        <f t="shared" si="65"/>
        <v>►</v>
      </c>
      <c r="X257" s="163" t="str">
        <f>X190</f>
        <v>N NAME OF YOUR RECIPE | paste it — FAMILY|  Author &gt; YOU</v>
      </c>
      <c r="Y257" s="163">
        <f>Y190</f>
        <v>1</v>
      </c>
      <c r="Z257" s="164" t="str">
        <f>Z190</f>
        <v>coupe</v>
      </c>
      <c r="AA257" s="165" t="str">
        <f>AA190</f>
        <v>Master recipe ► MILLE-FEUILLE  aux fraises des bois</v>
      </c>
      <c r="AB257" s="1548"/>
      <c r="AC257" s="1548"/>
      <c r="AD257" s="2190">
        <f>ROWS(AH223:AH257)</f>
        <v>35</v>
      </c>
      <c r="AE257" s="5549" t="str" cm="1">
        <f t="array" ref="AE257">IF(SUMPRODUCT((AH257:AM257&lt;&gt;"")*1)=0,"",SUMPRODUCT((AH257:AM257&lt;&gt;"")*(LEN(TRIM(SUBSTITUTE(AH257:AM257,CHAR(160)," "))) - LEN(SUBSTITUTE(TRIM(SUBSTITUTE(AH257:AM257,CHAR(160)," "))," ","")) + 1)) &amp; " word" &amp; IF(SUMPRODUCT((AH257:AM257&lt;&gt;"")*(LEN(TRIM(SUBSTITUTE(AH257:AM257,CHAR(160)," "))) - LEN(SUBSTITUTE(TRIM(SUBSTITUTE(AH257:AM257,CHAR(160)," "))," ","")) + 1))&gt;1,"s",""))</f>
        <v/>
      </c>
      <c r="AF257" s="5550" t="str" cm="1">
        <f t="array" ref="AF257">SUMPRODUCT(--(AH257:AM257&lt;&gt;""), LEN(TRIM(SUBSTITUTE(AH257:AM257, CHAR(160), "")))) &amp; " Car."</f>
        <v>0 Car.</v>
      </c>
      <c r="AG257" s="1376" t="str">
        <f>IF(ISBLANK(AH257),"",LARGE(AG222:AG256,1)+1)</f>
        <v/>
      </c>
      <c r="AH257" s="1833"/>
      <c r="AI257" s="1810"/>
      <c r="AJ257" s="1810"/>
      <c r="AK257" s="1810"/>
      <c r="AL257" s="1810"/>
      <c r="AM257" s="1810"/>
      <c r="AN257" s="1810"/>
      <c r="AO257" s="1810"/>
      <c r="AP257" s="1811"/>
      <c r="AR257" s="103" t="str">
        <f t="shared" si="66"/>
        <v>►</v>
      </c>
      <c r="AS257" s="163" t="str">
        <f>AS190</f>
        <v>N NOMBRE DE SU RECETA | pegue esto — FAMILIA| Auteur &gt; VOUS</v>
      </c>
      <c r="AT257" s="163">
        <f>AT190</f>
        <v>1</v>
      </c>
      <c r="AU257" s="164" t="str">
        <f>AU190</f>
        <v>coupe</v>
      </c>
      <c r="AV257" s="165" t="str">
        <f>AV190</f>
        <v>Receta madre ► MILLE-FEUILLE  aux fraises des bois</v>
      </c>
      <c r="AW257" s="1548"/>
      <c r="AX257" s="1548"/>
      <c r="AY257" s="2190">
        <f>ROWS(BC223:BC257)</f>
        <v>35</v>
      </c>
      <c r="AZ257" s="5549" t="str" cm="1">
        <f t="array" ref="AZ257">IF(SUMPRODUCT((BC257:BH257&lt;&gt;"")*1)=0,"",SUMPRODUCT((BC257:BH257&lt;&gt;"")*(LEN(TRIM(SUBSTITUTE(BC257:BH257,CHAR(160)," "))) - LEN(SUBSTITUTE(TRIM(SUBSTITUTE(BC257:BH257,CHAR(160)," "))," ","")) + 1)) &amp; " palabra" &amp; IF(SUMPRODUCT((BC257:BH257&lt;&gt;"")*(LEN(TRIM(SUBSTITUTE(BC257:BH257,CHAR(160)," "))) - LEN(SUBSTITUTE(TRIM(SUBSTITUTE(BC257:BH257,CHAR(160)," "))," ","")) + 1))&gt;1,"s",""))</f>
        <v/>
      </c>
      <c r="BA257" s="5550" t="str" cm="1">
        <f t="array" ref="BA257">SUMPRODUCT(--(BC257:BH257&lt;&gt;""), LEN(TRIM(SUBSTITUTE(BC257:BH257, CHAR(160), "")))) &amp; " Car."</f>
        <v>0 Car.</v>
      </c>
      <c r="BB257" s="1376" t="str">
        <f>IF(ISBLANK(BC257),"",LARGE(BB222:BB256,1)+1)</f>
        <v/>
      </c>
      <c r="BC257" s="1833"/>
      <c r="BD257" s="1810"/>
      <c r="BE257" s="1810"/>
      <c r="BF257" s="1810"/>
      <c r="BG257" s="1810"/>
      <c r="BH257" s="1810"/>
      <c r="BI257" s="1810"/>
      <c r="BJ257" s="1810"/>
      <c r="BK257" s="1811"/>
      <c r="BM257" s="3">
        <v>1</v>
      </c>
    </row>
    <row r="258" spans="2:65" ht="21" customHeight="1">
      <c r="B258" s="103" t="str">
        <f t="shared" si="64"/>
        <v>►</v>
      </c>
      <c r="C258" s="163" t="str">
        <f>C190</f>
        <v>N NOM DE VOTRE RECETTE | collez la--FAMILLE| Auteur &gt; VOUS</v>
      </c>
      <c r="D258" s="163">
        <f>D190</f>
        <v>1</v>
      </c>
      <c r="E258" s="164" t="str">
        <f>E190</f>
        <v>coupe</v>
      </c>
      <c r="F258" s="165" t="str">
        <f>F190</f>
        <v>Recette mère ► MILLE-FEUILLE  aux fraises des bois</v>
      </c>
      <c r="G258" s="1548"/>
      <c r="H258" s="1548"/>
      <c r="I258" s="2190">
        <f>ROWS(M223:M258)</f>
        <v>36</v>
      </c>
      <c r="J258" s="5549" t="str" cm="1">
        <f t="array" ref="J258">IF(SUMPRODUCT((M258:R258&lt;&gt;"")*1)=0,"",SUMPRODUCT((M258:R258&lt;&gt;"")*(LEN(TRIM(SUBSTITUTE(M258:R258,CHAR(160)," "))) - LEN(SUBSTITUTE(TRIM(SUBSTITUTE(M258:R258,CHAR(160)," "))," ","")) + 1)) &amp; " mot" &amp; IF(SUMPRODUCT((M258:R258&lt;&gt;"")*(LEN(TRIM(SUBSTITUTE(M258:R258,CHAR(160)," "))) - LEN(SUBSTITUTE(TRIM(SUBSTITUTE(M258:R258,CHAR(160)," "))," ","")) + 1))&gt;1,"s",""))</f>
        <v/>
      </c>
      <c r="K258" s="5550" t="str" cm="1">
        <f t="array" ref="K258">SUMPRODUCT(--(M258:R258&lt;&gt;""), LEN(TRIM(SUBSTITUTE(M258:R258, CHAR(160), "")))) &amp; " Car."</f>
        <v>0 Car.</v>
      </c>
      <c r="L258" s="1376" t="str">
        <f>IF(ISBLANK(M258),"",LARGE(L222:L257,1)+1)</f>
        <v/>
      </c>
      <c r="M258" s="1810"/>
      <c r="N258" s="1810"/>
      <c r="O258" s="1810"/>
      <c r="P258" s="1810"/>
      <c r="Q258" s="1810"/>
      <c r="R258" s="1810"/>
      <c r="S258" s="1810"/>
      <c r="T258" s="1810"/>
      <c r="U258" s="1811"/>
      <c r="W258" s="103" t="str">
        <f t="shared" si="65"/>
        <v>►</v>
      </c>
      <c r="X258" s="163" t="str">
        <f>X190</f>
        <v>N NAME OF YOUR RECIPE | paste it — FAMILY|  Author &gt; YOU</v>
      </c>
      <c r="Y258" s="163">
        <f>Y190</f>
        <v>1</v>
      </c>
      <c r="Z258" s="164" t="str">
        <f>Z190</f>
        <v>coupe</v>
      </c>
      <c r="AA258" s="165" t="str">
        <f>AA190</f>
        <v>Master recipe ► MILLE-FEUILLE  aux fraises des bois</v>
      </c>
      <c r="AB258" s="1548"/>
      <c r="AC258" s="1548"/>
      <c r="AD258" s="2190">
        <f>ROWS(AH223:AH258)</f>
        <v>36</v>
      </c>
      <c r="AE258" s="5549" t="str" cm="1">
        <f t="array" ref="AE258">IF(SUMPRODUCT((AH258:AM258&lt;&gt;"")*1)=0,"",SUMPRODUCT((AH258:AM258&lt;&gt;"")*(LEN(TRIM(SUBSTITUTE(AH258:AM258,CHAR(160)," "))) - LEN(SUBSTITUTE(TRIM(SUBSTITUTE(AH258:AM258,CHAR(160)," "))," ","")) + 1)) &amp; " word" &amp; IF(SUMPRODUCT((AH258:AM258&lt;&gt;"")*(LEN(TRIM(SUBSTITUTE(AH258:AM258,CHAR(160)," "))) - LEN(SUBSTITUTE(TRIM(SUBSTITUTE(AH258:AM258,CHAR(160)," "))," ","")) + 1))&gt;1,"s",""))</f>
        <v/>
      </c>
      <c r="AF258" s="5550" t="str" cm="1">
        <f t="array" ref="AF258">SUMPRODUCT(--(AH258:AM258&lt;&gt;""), LEN(TRIM(SUBSTITUTE(AH258:AM258, CHAR(160), "")))) &amp; " Car."</f>
        <v>0 Car.</v>
      </c>
      <c r="AG258" s="1376" t="str">
        <f>IF(ISBLANK(AH258),"",LARGE(AG222:AG257,1)+1)</f>
        <v/>
      </c>
      <c r="AH258" s="1833"/>
      <c r="AI258" s="1810"/>
      <c r="AJ258" s="1810"/>
      <c r="AK258" s="1810"/>
      <c r="AL258" s="1810"/>
      <c r="AM258" s="1810"/>
      <c r="AN258" s="1810"/>
      <c r="AO258" s="1810"/>
      <c r="AP258" s="1811"/>
      <c r="AR258" s="103" t="str">
        <f t="shared" si="66"/>
        <v>►</v>
      </c>
      <c r="AS258" s="163" t="str">
        <f>AS190</f>
        <v>N NOMBRE DE SU RECETA | pegue esto — FAMILIA| Auteur &gt; VOUS</v>
      </c>
      <c r="AT258" s="163">
        <f>AT190</f>
        <v>1</v>
      </c>
      <c r="AU258" s="164" t="str">
        <f>AU190</f>
        <v>coupe</v>
      </c>
      <c r="AV258" s="165" t="str">
        <f>AV190</f>
        <v>Receta madre ► MILLE-FEUILLE  aux fraises des bois</v>
      </c>
      <c r="AW258" s="1548"/>
      <c r="AX258" s="1548"/>
      <c r="AY258" s="2190">
        <f>ROWS(BC223:BC258)</f>
        <v>36</v>
      </c>
      <c r="AZ258" s="5549" t="str" cm="1">
        <f t="array" ref="AZ258">IF(SUMPRODUCT((BC258:BH258&lt;&gt;"")*1)=0,"",SUMPRODUCT((BC258:BH258&lt;&gt;"")*(LEN(TRIM(SUBSTITUTE(BC258:BH258,CHAR(160)," "))) - LEN(SUBSTITUTE(TRIM(SUBSTITUTE(BC258:BH258,CHAR(160)," "))," ","")) + 1)) &amp; " palabra" &amp; IF(SUMPRODUCT((BC258:BH258&lt;&gt;"")*(LEN(TRIM(SUBSTITUTE(BC258:BH258,CHAR(160)," "))) - LEN(SUBSTITUTE(TRIM(SUBSTITUTE(BC258:BH258,CHAR(160)," "))," ","")) + 1))&gt;1,"s",""))</f>
        <v/>
      </c>
      <c r="BA258" s="5550" t="str" cm="1">
        <f t="array" ref="BA258">SUMPRODUCT(--(BC258:BH258&lt;&gt;""), LEN(TRIM(SUBSTITUTE(BC258:BH258, CHAR(160), "")))) &amp; " Car."</f>
        <v>0 Car.</v>
      </c>
      <c r="BB258" s="1376" t="str">
        <f>IF(ISBLANK(BC258),"",LARGE(BB222:BB257,1)+1)</f>
        <v/>
      </c>
      <c r="BC258" s="1833"/>
      <c r="BD258" s="1810"/>
      <c r="BE258" s="1810"/>
      <c r="BF258" s="1810"/>
      <c r="BG258" s="1810"/>
      <c r="BH258" s="1810"/>
      <c r="BI258" s="1810"/>
      <c r="BJ258" s="1810"/>
      <c r="BK258" s="1811"/>
      <c r="BM258" s="3">
        <v>1</v>
      </c>
    </row>
    <row r="259" spans="2:65" ht="21" customHeight="1">
      <c r="B259" s="103" t="str">
        <f t="shared" si="64"/>
        <v>►</v>
      </c>
      <c r="C259" s="163" t="str">
        <f>C190</f>
        <v>N NOM DE VOTRE RECETTE | collez la--FAMILLE| Auteur &gt; VOUS</v>
      </c>
      <c r="D259" s="163">
        <f>D190</f>
        <v>1</v>
      </c>
      <c r="E259" s="164" t="str">
        <f>E190</f>
        <v>coupe</v>
      </c>
      <c r="F259" s="165" t="str">
        <f>F190</f>
        <v>Recette mère ► MILLE-FEUILLE  aux fraises des bois</v>
      </c>
      <c r="G259" s="1548"/>
      <c r="H259" s="1548"/>
      <c r="I259" s="2190">
        <f>ROWS(M223:M259)</f>
        <v>37</v>
      </c>
      <c r="J259" s="5549" t="str" cm="1">
        <f t="array" ref="J259">IF(SUMPRODUCT((M259:R259&lt;&gt;"")*1)=0,"",SUMPRODUCT((M259:R259&lt;&gt;"")*(LEN(TRIM(SUBSTITUTE(M259:R259,CHAR(160)," "))) - LEN(SUBSTITUTE(TRIM(SUBSTITUTE(M259:R259,CHAR(160)," "))," ","")) + 1)) &amp; " mot" &amp; IF(SUMPRODUCT((M259:R259&lt;&gt;"")*(LEN(TRIM(SUBSTITUTE(M259:R259,CHAR(160)," "))) - LEN(SUBSTITUTE(TRIM(SUBSTITUTE(M259:R259,CHAR(160)," "))," ","")) + 1))&gt;1,"s",""))</f>
        <v/>
      </c>
      <c r="K259" s="5550" t="str" cm="1">
        <f t="array" ref="K259">SUMPRODUCT(--(M259:R259&lt;&gt;""), LEN(TRIM(SUBSTITUTE(M259:R259, CHAR(160), "")))) &amp; " Car."</f>
        <v>0 Car.</v>
      </c>
      <c r="L259" s="1376" t="str">
        <f>IF(ISBLANK(M259),"",LARGE(L222:L258,1)+1)</f>
        <v/>
      </c>
      <c r="M259" s="1810"/>
      <c r="N259" s="1810"/>
      <c r="O259" s="1810"/>
      <c r="P259" s="1810"/>
      <c r="Q259" s="1810"/>
      <c r="R259" s="1810"/>
      <c r="S259" s="1810"/>
      <c r="T259" s="1810"/>
      <c r="U259" s="1811"/>
      <c r="W259" s="103" t="str">
        <f t="shared" si="65"/>
        <v>►</v>
      </c>
      <c r="X259" s="163" t="str">
        <f>X190</f>
        <v>N NAME OF YOUR RECIPE | paste it — FAMILY|  Author &gt; YOU</v>
      </c>
      <c r="Y259" s="163">
        <f>Y190</f>
        <v>1</v>
      </c>
      <c r="Z259" s="164" t="str">
        <f>Z190</f>
        <v>coupe</v>
      </c>
      <c r="AA259" s="165" t="str">
        <f>AA190</f>
        <v>Master recipe ► MILLE-FEUILLE  aux fraises des bois</v>
      </c>
      <c r="AB259" s="1548"/>
      <c r="AC259" s="1548"/>
      <c r="AD259" s="2190">
        <f>ROWS(AH223:AH259)</f>
        <v>37</v>
      </c>
      <c r="AE259" s="5549" t="str" cm="1">
        <f t="array" ref="AE259">IF(SUMPRODUCT((AH259:AM259&lt;&gt;"")*1)=0,"",SUMPRODUCT((AH259:AM259&lt;&gt;"")*(LEN(TRIM(SUBSTITUTE(AH259:AM259,CHAR(160)," "))) - LEN(SUBSTITUTE(TRIM(SUBSTITUTE(AH259:AM259,CHAR(160)," "))," ","")) + 1)) &amp; " word" &amp; IF(SUMPRODUCT((AH259:AM259&lt;&gt;"")*(LEN(TRIM(SUBSTITUTE(AH259:AM259,CHAR(160)," "))) - LEN(SUBSTITUTE(TRIM(SUBSTITUTE(AH259:AM259,CHAR(160)," "))," ","")) + 1))&gt;1,"s",""))</f>
        <v/>
      </c>
      <c r="AF259" s="5550" t="str" cm="1">
        <f t="array" ref="AF259">SUMPRODUCT(--(AH259:AM259&lt;&gt;""), LEN(TRIM(SUBSTITUTE(AH259:AM259, CHAR(160), "")))) &amp; " Car."</f>
        <v>0 Car.</v>
      </c>
      <c r="AG259" s="1376" t="str">
        <f>IF(ISBLANK(AH259),"",LARGE(AG222:AG258,1)+1)</f>
        <v/>
      </c>
      <c r="AH259" s="1833"/>
      <c r="AI259" s="1810"/>
      <c r="AJ259" s="1810"/>
      <c r="AK259" s="1810"/>
      <c r="AL259" s="1810"/>
      <c r="AM259" s="1810"/>
      <c r="AN259" s="1810"/>
      <c r="AO259" s="1810"/>
      <c r="AP259" s="1811"/>
      <c r="AR259" s="103" t="str">
        <f t="shared" si="66"/>
        <v>►</v>
      </c>
      <c r="AS259" s="163" t="str">
        <f>AS190</f>
        <v>N NOMBRE DE SU RECETA | pegue esto — FAMILIA| Auteur &gt; VOUS</v>
      </c>
      <c r="AT259" s="163">
        <f>AT190</f>
        <v>1</v>
      </c>
      <c r="AU259" s="164" t="str">
        <f>AU190</f>
        <v>coupe</v>
      </c>
      <c r="AV259" s="165" t="str">
        <f>AV190</f>
        <v>Receta madre ► MILLE-FEUILLE  aux fraises des bois</v>
      </c>
      <c r="AW259" s="1548"/>
      <c r="AX259" s="1548"/>
      <c r="AY259" s="2190">
        <f>ROWS(BC223:BC259)</f>
        <v>37</v>
      </c>
      <c r="AZ259" s="5549" t="str" cm="1">
        <f t="array" ref="AZ259">IF(SUMPRODUCT((BC259:BH259&lt;&gt;"")*1)=0,"",SUMPRODUCT((BC259:BH259&lt;&gt;"")*(LEN(TRIM(SUBSTITUTE(BC259:BH259,CHAR(160)," "))) - LEN(SUBSTITUTE(TRIM(SUBSTITUTE(BC259:BH259,CHAR(160)," "))," ","")) + 1)) &amp; " palabra" &amp; IF(SUMPRODUCT((BC259:BH259&lt;&gt;"")*(LEN(TRIM(SUBSTITUTE(BC259:BH259,CHAR(160)," "))) - LEN(SUBSTITUTE(TRIM(SUBSTITUTE(BC259:BH259,CHAR(160)," "))," ","")) + 1))&gt;1,"s",""))</f>
        <v/>
      </c>
      <c r="BA259" s="5550" t="str" cm="1">
        <f t="array" ref="BA259">SUMPRODUCT(--(BC259:BH259&lt;&gt;""), LEN(TRIM(SUBSTITUTE(BC259:BH259, CHAR(160), "")))) &amp; " Car."</f>
        <v>0 Car.</v>
      </c>
      <c r="BB259" s="1376" t="str">
        <f>IF(ISBLANK(BC259),"",LARGE(BB222:BB258,1)+1)</f>
        <v/>
      </c>
      <c r="BC259" s="1833"/>
      <c r="BD259" s="1810"/>
      <c r="BE259" s="1810"/>
      <c r="BF259" s="1810"/>
      <c r="BG259" s="1810"/>
      <c r="BH259" s="1810"/>
      <c r="BI259" s="1810"/>
      <c r="BJ259" s="1810"/>
      <c r="BK259" s="1811"/>
      <c r="BM259" s="3">
        <v>1</v>
      </c>
    </row>
    <row r="260" spans="2:65" ht="21" customHeight="1">
      <c r="B260" s="103" t="str">
        <f t="shared" si="64"/>
        <v>►</v>
      </c>
      <c r="C260" s="163" t="str">
        <f>C190</f>
        <v>N NOM DE VOTRE RECETTE | collez la--FAMILLE| Auteur &gt; VOUS</v>
      </c>
      <c r="D260" s="163">
        <f>D190</f>
        <v>1</v>
      </c>
      <c r="E260" s="164" t="str">
        <f>E190</f>
        <v>coupe</v>
      </c>
      <c r="F260" s="165" t="str">
        <f>F190</f>
        <v>Recette mère ► MILLE-FEUILLE  aux fraises des bois</v>
      </c>
      <c r="G260" s="1548"/>
      <c r="H260" s="1548"/>
      <c r="I260" s="2190">
        <f>ROWS(M223:M260)</f>
        <v>38</v>
      </c>
      <c r="J260" s="5549" t="str" cm="1">
        <f t="array" ref="J260">IF(SUMPRODUCT((M260:R260&lt;&gt;"")*1)=0,"",SUMPRODUCT((M260:R260&lt;&gt;"")*(LEN(TRIM(SUBSTITUTE(M260:R260,CHAR(160)," "))) - LEN(SUBSTITUTE(TRIM(SUBSTITUTE(M260:R260,CHAR(160)," "))," ","")) + 1)) &amp; " mot" &amp; IF(SUMPRODUCT((M260:R260&lt;&gt;"")*(LEN(TRIM(SUBSTITUTE(M260:R260,CHAR(160)," "))) - LEN(SUBSTITUTE(TRIM(SUBSTITUTE(M260:R260,CHAR(160)," "))," ","")) + 1))&gt;1,"s",""))</f>
        <v/>
      </c>
      <c r="K260" s="5550" t="str" cm="1">
        <f t="array" ref="K260">SUMPRODUCT(--(M260:R260&lt;&gt;""), LEN(TRIM(SUBSTITUTE(M260:R260, CHAR(160), "")))) &amp; " Car."</f>
        <v>0 Car.</v>
      </c>
      <c r="L260" s="1376" t="str">
        <f>IF(ISBLANK(M260),"",LARGE(L222:L259,1)+1)</f>
        <v/>
      </c>
      <c r="M260" s="1810"/>
      <c r="N260" s="1810"/>
      <c r="O260" s="1810"/>
      <c r="P260" s="1810"/>
      <c r="Q260" s="1810"/>
      <c r="R260" s="1810"/>
      <c r="S260" s="1810"/>
      <c r="T260" s="1810"/>
      <c r="U260" s="1811"/>
      <c r="W260" s="103" t="str">
        <f t="shared" si="65"/>
        <v>►</v>
      </c>
      <c r="X260" s="163" t="str">
        <f>X190</f>
        <v>N NAME OF YOUR RECIPE | paste it — FAMILY|  Author &gt; YOU</v>
      </c>
      <c r="Y260" s="163">
        <f>Y190</f>
        <v>1</v>
      </c>
      <c r="Z260" s="164" t="str">
        <f>Z190</f>
        <v>coupe</v>
      </c>
      <c r="AA260" s="165" t="str">
        <f>AA190</f>
        <v>Master recipe ► MILLE-FEUILLE  aux fraises des bois</v>
      </c>
      <c r="AB260" s="1548"/>
      <c r="AC260" s="1548"/>
      <c r="AD260" s="2190">
        <f>ROWS(AH223:AH260)</f>
        <v>38</v>
      </c>
      <c r="AE260" s="5549" t="str" cm="1">
        <f t="array" ref="AE260">IF(SUMPRODUCT((AH260:AM260&lt;&gt;"")*1)=0,"",SUMPRODUCT((AH260:AM260&lt;&gt;"")*(LEN(TRIM(SUBSTITUTE(AH260:AM260,CHAR(160)," "))) - LEN(SUBSTITUTE(TRIM(SUBSTITUTE(AH260:AM260,CHAR(160)," "))," ","")) + 1)) &amp; " word" &amp; IF(SUMPRODUCT((AH260:AM260&lt;&gt;"")*(LEN(TRIM(SUBSTITUTE(AH260:AM260,CHAR(160)," "))) - LEN(SUBSTITUTE(TRIM(SUBSTITUTE(AH260:AM260,CHAR(160)," "))," ","")) + 1))&gt;1,"s",""))</f>
        <v/>
      </c>
      <c r="AF260" s="5550" t="str" cm="1">
        <f t="array" ref="AF260">SUMPRODUCT(--(AH260:AM260&lt;&gt;""), LEN(TRIM(SUBSTITUTE(AH260:AM260, CHAR(160), "")))) &amp; " Car."</f>
        <v>0 Car.</v>
      </c>
      <c r="AG260" s="1376" t="str">
        <f>IF(ISBLANK(AH260),"",LARGE(AG222:AG259,1)+1)</f>
        <v/>
      </c>
      <c r="AH260" s="1833"/>
      <c r="AI260" s="1810"/>
      <c r="AJ260" s="1810"/>
      <c r="AK260" s="1810"/>
      <c r="AL260" s="1810"/>
      <c r="AM260" s="1810"/>
      <c r="AN260" s="1810"/>
      <c r="AO260" s="1810"/>
      <c r="AP260" s="1811"/>
      <c r="AR260" s="103" t="str">
        <f t="shared" si="66"/>
        <v>►</v>
      </c>
      <c r="AS260" s="163" t="str">
        <f>AS190</f>
        <v>N NOMBRE DE SU RECETA | pegue esto — FAMILIA| Auteur &gt; VOUS</v>
      </c>
      <c r="AT260" s="163">
        <f>AT190</f>
        <v>1</v>
      </c>
      <c r="AU260" s="164" t="str">
        <f>AU190</f>
        <v>coupe</v>
      </c>
      <c r="AV260" s="165" t="str">
        <f>AV190</f>
        <v>Receta madre ► MILLE-FEUILLE  aux fraises des bois</v>
      </c>
      <c r="AW260" s="1548"/>
      <c r="AX260" s="1548"/>
      <c r="AY260" s="2190">
        <f>ROWS(BC223:BC260)</f>
        <v>38</v>
      </c>
      <c r="AZ260" s="5549" t="str" cm="1">
        <f t="array" ref="AZ260">IF(SUMPRODUCT((BC260:BH260&lt;&gt;"")*1)=0,"",SUMPRODUCT((BC260:BH260&lt;&gt;"")*(LEN(TRIM(SUBSTITUTE(BC260:BH260,CHAR(160)," "))) - LEN(SUBSTITUTE(TRIM(SUBSTITUTE(BC260:BH260,CHAR(160)," "))," ","")) + 1)) &amp; " palabra" &amp; IF(SUMPRODUCT((BC260:BH260&lt;&gt;"")*(LEN(TRIM(SUBSTITUTE(BC260:BH260,CHAR(160)," "))) - LEN(SUBSTITUTE(TRIM(SUBSTITUTE(BC260:BH260,CHAR(160)," "))," ","")) + 1))&gt;1,"s",""))</f>
        <v/>
      </c>
      <c r="BA260" s="5550" t="str" cm="1">
        <f t="array" ref="BA260">SUMPRODUCT(--(BC260:BH260&lt;&gt;""), LEN(TRIM(SUBSTITUTE(BC260:BH260, CHAR(160), "")))) &amp; " Car."</f>
        <v>0 Car.</v>
      </c>
      <c r="BB260" s="1376" t="str">
        <f>IF(ISBLANK(BC260),"",LARGE(BB222:BB259,1)+1)</f>
        <v/>
      </c>
      <c r="BC260" s="1833"/>
      <c r="BD260" s="1810"/>
      <c r="BE260" s="1810"/>
      <c r="BF260" s="1810"/>
      <c r="BG260" s="1810"/>
      <c r="BH260" s="1810"/>
      <c r="BI260" s="1810"/>
      <c r="BJ260" s="1810"/>
      <c r="BK260" s="1811"/>
      <c r="BM260" s="3">
        <v>1</v>
      </c>
    </row>
    <row r="261" spans="2:65" ht="21" customHeight="1">
      <c r="B261" s="162" t="s">
        <v>10</v>
      </c>
      <c r="C261" s="163" t="str">
        <f>C190</f>
        <v>N NOM DE VOTRE RECETTE | collez la--FAMILLE| Auteur &gt; VOUS</v>
      </c>
      <c r="D261" s="163">
        <f>D190</f>
        <v>1</v>
      </c>
      <c r="E261" s="164" t="str">
        <f>E190</f>
        <v>coupe</v>
      </c>
      <c r="F261" s="165" t="str">
        <f>F190</f>
        <v>Recette mère ► MILLE-FEUILLE  aux fraises des bois</v>
      </c>
      <c r="G261" s="1548"/>
      <c r="H261" s="1548"/>
      <c r="I261" s="2190">
        <f>ROWS(M223:M261)</f>
        <v>39</v>
      </c>
      <c r="J261" s="5549" t="str" cm="1">
        <f t="array" ref="J261">IF(SUMPRODUCT((M261:R261&lt;&gt;"")*1)=0,"",SUMPRODUCT((M261:R261&lt;&gt;"")*(LEN(TRIM(SUBSTITUTE(M261:R261,CHAR(160)," "))) - LEN(SUBSTITUTE(TRIM(SUBSTITUTE(M261:R261,CHAR(160)," "))," ","")) + 1)) &amp; " mot" &amp; IF(SUMPRODUCT((M261:R261&lt;&gt;"")*(LEN(TRIM(SUBSTITUTE(M261:R261,CHAR(160)," "))) - LEN(SUBSTITUTE(TRIM(SUBSTITUTE(M261:R261,CHAR(160)," "))," ","")) + 1))&gt;1,"s",""))</f>
        <v/>
      </c>
      <c r="K261" s="5550" t="str" cm="1">
        <f t="array" ref="K261">SUMPRODUCT(--(M261:R261&lt;&gt;""), LEN(TRIM(SUBSTITUTE(M261:R261, CHAR(160), "")))) &amp; " Car."</f>
        <v>0 Car.</v>
      </c>
      <c r="L261" s="1376" t="str">
        <f>IF(ISBLANK(M261),"",LARGE(L222:L260,1)+1)</f>
        <v/>
      </c>
      <c r="M261" s="1810"/>
      <c r="N261" s="1810"/>
      <c r="O261" s="1810"/>
      <c r="P261" s="1810"/>
      <c r="Q261" s="1810"/>
      <c r="R261" s="1810"/>
      <c r="S261" s="1810"/>
      <c r="T261" s="1810"/>
      <c r="U261" s="1811"/>
      <c r="W261" s="162" t="s">
        <v>10</v>
      </c>
      <c r="X261" s="163" t="str">
        <f>X190</f>
        <v>N NAME OF YOUR RECIPE | paste it — FAMILY|  Author &gt; YOU</v>
      </c>
      <c r="Y261" s="163">
        <f>Y190</f>
        <v>1</v>
      </c>
      <c r="Z261" s="164" t="str">
        <f>Z190</f>
        <v>coupe</v>
      </c>
      <c r="AA261" s="165" t="str">
        <f>AA190</f>
        <v>Master recipe ► MILLE-FEUILLE  aux fraises des bois</v>
      </c>
      <c r="AB261" s="1548"/>
      <c r="AC261" s="1548"/>
      <c r="AD261" s="2190">
        <f>ROWS(AH223:AH261)</f>
        <v>39</v>
      </c>
      <c r="AE261" s="5549" t="str" cm="1">
        <f t="array" ref="AE261">IF(SUMPRODUCT((AH261:AM261&lt;&gt;"")*1)=0,"",SUMPRODUCT((AH261:AM261&lt;&gt;"")*(LEN(TRIM(SUBSTITUTE(AH261:AM261,CHAR(160)," "))) - LEN(SUBSTITUTE(TRIM(SUBSTITUTE(AH261:AM261,CHAR(160)," "))," ","")) + 1)) &amp; " word" &amp; IF(SUMPRODUCT((AH261:AM261&lt;&gt;"")*(LEN(TRIM(SUBSTITUTE(AH261:AM261,CHAR(160)," "))) - LEN(SUBSTITUTE(TRIM(SUBSTITUTE(AH261:AM261,CHAR(160)," "))," ","")) + 1))&gt;1,"s",""))</f>
        <v/>
      </c>
      <c r="AF261" s="5550" t="str" cm="1">
        <f t="array" ref="AF261">SUMPRODUCT(--(AH261:AM261&lt;&gt;""), LEN(TRIM(SUBSTITUTE(AH261:AM261, CHAR(160), "")))) &amp; " Car."</f>
        <v>0 Car.</v>
      </c>
      <c r="AG261" s="1376" t="str">
        <f>IF(ISBLANK(AH261),"",LARGE(AG222:AG260,1)+1)</f>
        <v/>
      </c>
      <c r="AH261" s="1833"/>
      <c r="AI261" s="1810"/>
      <c r="AJ261" s="1810"/>
      <c r="AK261" s="1810"/>
      <c r="AL261" s="1810"/>
      <c r="AM261" s="1810"/>
      <c r="AN261" s="1810"/>
      <c r="AO261" s="1810"/>
      <c r="AP261" s="1811"/>
      <c r="AR261" s="162" t="s">
        <v>10</v>
      </c>
      <c r="AS261" s="163" t="str">
        <f>AS190</f>
        <v>N NOMBRE DE SU RECETA | pegue esto — FAMILIA| Auteur &gt; VOUS</v>
      </c>
      <c r="AT261" s="163">
        <f>AT190</f>
        <v>1</v>
      </c>
      <c r="AU261" s="164" t="str">
        <f>AU190</f>
        <v>coupe</v>
      </c>
      <c r="AV261" s="165" t="str">
        <f>AV190</f>
        <v>Receta madre ► MILLE-FEUILLE  aux fraises des bois</v>
      </c>
      <c r="AW261" s="1548"/>
      <c r="AX261" s="1548"/>
      <c r="AY261" s="2190">
        <f>ROWS(BC223:BC261)</f>
        <v>39</v>
      </c>
      <c r="AZ261" s="5549" t="str" cm="1">
        <f t="array" ref="AZ261">IF(SUMPRODUCT((BC261:BH261&lt;&gt;"")*1)=0,"",SUMPRODUCT((BC261:BH261&lt;&gt;"")*(LEN(TRIM(SUBSTITUTE(BC261:BH261,CHAR(160)," "))) - LEN(SUBSTITUTE(TRIM(SUBSTITUTE(BC261:BH261,CHAR(160)," "))," ","")) + 1)) &amp; " palabra" &amp; IF(SUMPRODUCT((BC261:BH261&lt;&gt;"")*(LEN(TRIM(SUBSTITUTE(BC261:BH261,CHAR(160)," "))) - LEN(SUBSTITUTE(TRIM(SUBSTITUTE(BC261:BH261,CHAR(160)," "))," ","")) + 1))&gt;1,"s",""))</f>
        <v/>
      </c>
      <c r="BA261" s="5550" t="str" cm="1">
        <f t="array" ref="BA261">SUMPRODUCT(--(BC261:BH261&lt;&gt;""), LEN(TRIM(SUBSTITUTE(BC261:BH261, CHAR(160), "")))) &amp; " Car."</f>
        <v>0 Car.</v>
      </c>
      <c r="BB261" s="1376" t="str">
        <f>IF(ISBLANK(BC261),"",LARGE(BB222:BB260,1)+1)</f>
        <v/>
      </c>
      <c r="BC261" s="1833"/>
      <c r="BD261" s="1810"/>
      <c r="BE261" s="1810"/>
      <c r="BF261" s="1810"/>
      <c r="BG261" s="1810"/>
      <c r="BH261" s="1810"/>
      <c r="BI261" s="1810"/>
      <c r="BJ261" s="1810"/>
      <c r="BK261" s="1811"/>
      <c r="BM261" s="3">
        <v>1</v>
      </c>
    </row>
    <row r="262" spans="2:65" ht="21" customHeight="1">
      <c r="B262" s="162" t="s">
        <v>10</v>
      </c>
      <c r="C262" s="163" t="str">
        <f>C190</f>
        <v>N NOM DE VOTRE RECETTE | collez la--FAMILLE| Auteur &gt; VOUS</v>
      </c>
      <c r="D262" s="163">
        <f>D190</f>
        <v>1</v>
      </c>
      <c r="E262" s="164" t="str">
        <f>E190</f>
        <v>coupe</v>
      </c>
      <c r="F262" s="165" t="str">
        <f>F190</f>
        <v>Recette mère ► MILLE-FEUILLE  aux fraises des bois</v>
      </c>
      <c r="G262" s="1548"/>
      <c r="H262" s="1548"/>
      <c r="I262" s="2190">
        <f>ROWS(M223:M262)</f>
        <v>40</v>
      </c>
      <c r="J262" s="5549" t="str" cm="1">
        <f t="array" ref="J262">IF(SUMPRODUCT((M262:R262&lt;&gt;"")*1)=0,"",SUMPRODUCT((M262:R262&lt;&gt;"")*(LEN(TRIM(SUBSTITUTE(M262:R262,CHAR(160)," "))) - LEN(SUBSTITUTE(TRIM(SUBSTITUTE(M262:R262,CHAR(160)," "))," ","")) + 1)) &amp; " mot" &amp; IF(SUMPRODUCT((M262:R262&lt;&gt;"")*(LEN(TRIM(SUBSTITUTE(M262:R262,CHAR(160)," "))) - LEN(SUBSTITUTE(TRIM(SUBSTITUTE(M262:R262,CHAR(160)," "))," ","")) + 1))&gt;1,"s",""))</f>
        <v>13 mots</v>
      </c>
      <c r="K262" s="5550" t="str" cm="1">
        <f t="array" ref="K262">SUMPRODUCT(--(M262:R262&lt;&gt;""), LEN(TRIM(SUBSTITUTE(M262:R262, CHAR(160), "")))) &amp; " Car."</f>
        <v>80 Car.</v>
      </c>
      <c r="L262" s="1376" t="str">
        <f>IF(ISBLANK(M262),"",LARGE(L222:L261,1)+1)</f>
        <v/>
      </c>
      <c r="M262" s="1810"/>
      <c r="N262" s="1810" t="s">
        <v>14252</v>
      </c>
      <c r="O262" s="1810"/>
      <c r="P262" s="1810"/>
      <c r="Q262" s="1810"/>
      <c r="R262" s="1810"/>
      <c r="S262" s="1810"/>
      <c r="T262" s="1810"/>
      <c r="U262" s="1811"/>
      <c r="W262" s="162" t="s">
        <v>10</v>
      </c>
      <c r="X262" s="163" t="str">
        <f>X190</f>
        <v>N NAME OF YOUR RECIPE | paste it — FAMILY|  Author &gt; YOU</v>
      </c>
      <c r="Y262" s="163">
        <f>Y190</f>
        <v>1</v>
      </c>
      <c r="Z262" s="164" t="str">
        <f>Z190</f>
        <v>coupe</v>
      </c>
      <c r="AA262" s="165" t="str">
        <f>AA190</f>
        <v>Master recipe ► MILLE-FEUILLE  aux fraises des bois</v>
      </c>
      <c r="AB262" s="1548"/>
      <c r="AC262" s="1548"/>
      <c r="AD262" s="2190">
        <f>ROWS(AH223:AH262)</f>
        <v>40</v>
      </c>
      <c r="AE262" s="5549" t="str" cm="1">
        <f t="array" ref="AE262">IF(SUMPRODUCT((AH262:AM262&lt;&gt;"")*1)=0,"",SUMPRODUCT((AH262:AM262&lt;&gt;"")*(LEN(TRIM(SUBSTITUTE(AH262:AM262,CHAR(160)," "))) - LEN(SUBSTITUTE(TRIM(SUBSTITUTE(AH262:AM262,CHAR(160)," "))," ","")) + 1)) &amp; " word" &amp; IF(SUMPRODUCT((AH262:AM262&lt;&gt;"")*(LEN(TRIM(SUBSTITUTE(AH262:AM262,CHAR(160)," "))) - LEN(SUBSTITUTE(TRIM(SUBSTITUTE(AH262:AM262,CHAR(160)," "))," ","")) + 1))&gt;1,"s",""))</f>
        <v>14 words</v>
      </c>
      <c r="AF262" s="5550" t="str" cm="1">
        <f t="array" ref="AF262">SUMPRODUCT(--(AH262:AM262&lt;&gt;""), LEN(TRIM(SUBSTITUTE(AH262:AM262, CHAR(160), "")))) &amp; " Car."</f>
        <v>80 Car.</v>
      </c>
      <c r="AG262" s="1376" t="str">
        <f>IF(ISBLANK(AH262),"",LARGE(AG222:AG261,1)+1)</f>
        <v/>
      </c>
      <c r="AH262" s="1833"/>
      <c r="AI262" s="1810" t="s">
        <v>14253</v>
      </c>
      <c r="AJ262" s="1810"/>
      <c r="AK262" s="1810"/>
      <c r="AL262" s="1810"/>
      <c r="AM262" s="1810"/>
      <c r="AN262" s="1810"/>
      <c r="AO262" s="1810"/>
      <c r="AP262" s="1811"/>
      <c r="AR262" s="162" t="s">
        <v>10</v>
      </c>
      <c r="AS262" s="163" t="str">
        <f>AS190</f>
        <v>N NOMBRE DE SU RECETA | pegue esto — FAMILIA| Auteur &gt; VOUS</v>
      </c>
      <c r="AT262" s="163">
        <f>AT190</f>
        <v>1</v>
      </c>
      <c r="AU262" s="164" t="str">
        <f>AU190</f>
        <v>coupe</v>
      </c>
      <c r="AV262" s="165" t="str">
        <f>AV190</f>
        <v>Receta madre ► MILLE-FEUILLE  aux fraises des bois</v>
      </c>
      <c r="AW262" s="1548"/>
      <c r="AX262" s="1548"/>
      <c r="AY262" s="2190">
        <f>ROWS(BC223:BC262)</f>
        <v>40</v>
      </c>
      <c r="AZ262" s="5549" t="str" cm="1">
        <f t="array" ref="AZ262">IF(SUMPRODUCT((BC262:BH262&lt;&gt;"")*1)=0,"",SUMPRODUCT((BC262:BH262&lt;&gt;"")*(LEN(TRIM(SUBSTITUTE(BC262:BH262,CHAR(160)," "))) - LEN(SUBSTITUTE(TRIM(SUBSTITUTE(BC262:BH262,CHAR(160)," "))," ","")) + 1)) &amp; " palabra" &amp; IF(SUMPRODUCT((BC262:BH262&lt;&gt;"")*(LEN(TRIM(SUBSTITUTE(BC262:BH262,CHAR(160)," "))) - LEN(SUBSTITUTE(TRIM(SUBSTITUTE(BC262:BH262,CHAR(160)," "))," ","")) + 1))&gt;1,"s",""))</f>
        <v>14 palabras</v>
      </c>
      <c r="BA262" s="5550" t="str" cm="1">
        <f t="array" ref="BA262">SUMPRODUCT(--(BC262:BH262&lt;&gt;""), LEN(TRIM(SUBSTITUTE(BC262:BH262, CHAR(160), "")))) &amp; " Car."</f>
        <v>88 Car.</v>
      </c>
      <c r="BB262" s="1376" t="str">
        <f>IF(ISBLANK(BC262),"",LARGE(BB222:BB261,1)+1)</f>
        <v/>
      </c>
      <c r="BC262" s="1833"/>
      <c r="BD262" s="1810" t="s">
        <v>14254</v>
      </c>
      <c r="BE262" s="1810"/>
      <c r="BF262" s="1810"/>
      <c r="BG262" s="1810"/>
      <c r="BH262" s="1810"/>
      <c r="BI262" s="1810"/>
      <c r="BJ262" s="1810"/>
      <c r="BK262" s="1811"/>
      <c r="BM262" s="3">
        <v>1</v>
      </c>
    </row>
    <row r="263" spans="2:65" ht="21" customHeight="1" thickBot="1">
      <c r="B263" s="162" t="s">
        <v>10</v>
      </c>
      <c r="C263" s="163" t="str">
        <f>C190</f>
        <v>N NOM DE VOTRE RECETTE | collez la--FAMILLE| Auteur &gt; VOUS</v>
      </c>
      <c r="D263" s="163">
        <f>D190</f>
        <v>1</v>
      </c>
      <c r="E263" s="164" t="str">
        <f>E190</f>
        <v>coupe</v>
      </c>
      <c r="F263" s="165" t="str">
        <f>F190</f>
        <v>Recette mère ► MILLE-FEUILLE  aux fraises des bois</v>
      </c>
      <c r="G263" s="172"/>
      <c r="H263" s="1378" t="s">
        <v>207</v>
      </c>
      <c r="I263" s="1712" t="s">
        <v>8475</v>
      </c>
      <c r="J263" s="176"/>
      <c r="K263" s="176"/>
      <c r="L263" s="176"/>
      <c r="M263" s="176"/>
      <c r="N263" s="176"/>
      <c r="O263" s="176"/>
      <c r="P263" s="176"/>
      <c r="Q263" s="176"/>
      <c r="R263" s="176"/>
      <c r="S263" s="176"/>
      <c r="T263" s="176"/>
      <c r="U263" s="884"/>
      <c r="W263" s="162" t="s">
        <v>10</v>
      </c>
      <c r="X263" s="163" t="str">
        <f>X190</f>
        <v>N NAME OF YOUR RECIPE | paste it — FAMILY|  Author &gt; YOU</v>
      </c>
      <c r="Y263" s="163">
        <f>Y190</f>
        <v>1</v>
      </c>
      <c r="Z263" s="164" t="str">
        <f>Z190</f>
        <v>coupe</v>
      </c>
      <c r="AA263" s="165" t="str">
        <f>AA190</f>
        <v>Master recipe ► MILLE-FEUILLE  aux fraises des bois</v>
      </c>
      <c r="AB263" s="172"/>
      <c r="AC263" s="1378" t="s">
        <v>1300</v>
      </c>
      <c r="AD263" s="1712" t="s">
        <v>8475</v>
      </c>
      <c r="AE263" s="176" t="s">
        <v>8473</v>
      </c>
      <c r="AF263" s="176"/>
      <c r="AG263" s="176"/>
      <c r="AH263" s="176"/>
      <c r="AI263" s="176"/>
      <c r="AJ263" s="176"/>
      <c r="AK263" s="176"/>
      <c r="AL263" s="176"/>
      <c r="AM263" s="176"/>
      <c r="AN263" s="176"/>
      <c r="AO263" s="176"/>
      <c r="AP263" s="884"/>
      <c r="AR263" s="162" t="s">
        <v>10</v>
      </c>
      <c r="AS263" s="163" t="str">
        <f>AS190</f>
        <v>N NOMBRE DE SU RECETA | pegue esto — FAMILIA| Auteur &gt; VOUS</v>
      </c>
      <c r="AT263" s="163">
        <f>AT190</f>
        <v>1</v>
      </c>
      <c r="AU263" s="164" t="str">
        <f>AU190</f>
        <v>coupe</v>
      </c>
      <c r="AV263" s="165" t="str">
        <f>AV190</f>
        <v>Receta madre ► MILLE-FEUILLE  aux fraises des bois</v>
      </c>
      <c r="AW263" s="172"/>
      <c r="AX263" s="176"/>
      <c r="AY263" s="1712" t="s">
        <v>8475</v>
      </c>
      <c r="AZ263" s="679" t="s">
        <v>1351</v>
      </c>
      <c r="BA263" s="1378" t="s">
        <v>207</v>
      </c>
      <c r="BB263" s="176" t="s">
        <v>8474</v>
      </c>
      <c r="BC263" s="176"/>
      <c r="BD263" s="176"/>
      <c r="BE263" s="176"/>
      <c r="BF263" s="176"/>
      <c r="BG263" s="176"/>
      <c r="BH263" s="176"/>
      <c r="BI263" s="176"/>
      <c r="BJ263" s="176"/>
      <c r="BK263" s="884"/>
      <c r="BM263" s="3">
        <v>1</v>
      </c>
    </row>
    <row r="264" spans="2:65" ht="21" customHeight="1">
      <c r="B264" s="162" t="s">
        <v>10</v>
      </c>
      <c r="C264" s="163" t="str">
        <f>C190</f>
        <v>N NOM DE VOTRE RECETTE | collez la--FAMILLE| Auteur &gt; VOUS</v>
      </c>
      <c r="D264" s="163">
        <f>D190</f>
        <v>1</v>
      </c>
      <c r="E264" s="164" t="str">
        <f>E190</f>
        <v>coupe</v>
      </c>
      <c r="F264" s="165" t="str">
        <f>F190</f>
        <v>Recette mère ► MILLE-FEUILLE  aux fraises des bois</v>
      </c>
      <c r="G264" s="6423" t="s">
        <v>14431</v>
      </c>
      <c r="H264" s="1380"/>
      <c r="I264" s="1380"/>
      <c r="J264" s="1380"/>
      <c r="K264" s="1380"/>
      <c r="L264" s="1380"/>
      <c r="M264" s="1380"/>
      <c r="N264" s="1381" t="s">
        <v>196</v>
      </c>
      <c r="O264" s="202"/>
      <c r="P264" s="202"/>
      <c r="Q264" s="202"/>
      <c r="R264" s="202"/>
      <c r="S264" s="202"/>
      <c r="T264" s="202"/>
      <c r="U264" s="885"/>
      <c r="W264" s="162" t="s">
        <v>10</v>
      </c>
      <c r="X264" s="163" t="str">
        <f>X190</f>
        <v>N NAME OF YOUR RECIPE | paste it — FAMILY|  Author &gt; YOU</v>
      </c>
      <c r="Y264" s="163">
        <f>Y190</f>
        <v>1</v>
      </c>
      <c r="Z264" s="164" t="str">
        <f>Z190</f>
        <v>coupe</v>
      </c>
      <c r="AA264" s="165" t="str">
        <f>AA190</f>
        <v>Master recipe ► MILLE-FEUILLE  aux fraises des bois</v>
      </c>
      <c r="AB264" s="6423" t="s">
        <v>14432</v>
      </c>
      <c r="AC264" s="1380"/>
      <c r="AD264" s="1380"/>
      <c r="AE264" s="1380"/>
      <c r="AF264" s="1380"/>
      <c r="AG264" s="1380"/>
      <c r="AH264" s="1380"/>
      <c r="AI264" s="1381" t="s">
        <v>864</v>
      </c>
      <c r="AJ264" s="202"/>
      <c r="AK264" s="202"/>
      <c r="AL264" s="202"/>
      <c r="AM264" s="202"/>
      <c r="AN264" s="202"/>
      <c r="AO264" s="202"/>
      <c r="AP264" s="885"/>
      <c r="AR264" s="162" t="s">
        <v>10</v>
      </c>
      <c r="AS264" s="163" t="str">
        <f>AS190</f>
        <v>N NOMBRE DE SU RECETA | pegue esto — FAMILIA| Auteur &gt; VOUS</v>
      </c>
      <c r="AT264" s="163">
        <f>AT190</f>
        <v>1</v>
      </c>
      <c r="AU264" s="164" t="str">
        <f>AU190</f>
        <v>coupe</v>
      </c>
      <c r="AV264" s="165" t="str">
        <f>AV190</f>
        <v>Receta madre ► MILLE-FEUILLE  aux fraises des bois</v>
      </c>
      <c r="AW264" s="6423" t="s">
        <v>14433</v>
      </c>
      <c r="AX264" s="1380"/>
      <c r="AY264" s="1380"/>
      <c r="AZ264" s="1380"/>
      <c r="BA264" s="1380"/>
      <c r="BB264" s="1380"/>
      <c r="BC264" s="1380"/>
      <c r="BD264" s="1381" t="s">
        <v>879</v>
      </c>
      <c r="BE264" s="202"/>
      <c r="BF264" s="202"/>
      <c r="BG264" s="202"/>
      <c r="BH264" s="202"/>
      <c r="BI264" s="202"/>
      <c r="BJ264" s="202"/>
      <c r="BK264" s="885"/>
      <c r="BM264" s="3">
        <v>1</v>
      </c>
    </row>
    <row r="265" spans="2:65" ht="21" customHeight="1" thickBot="1">
      <c r="B265" s="162" t="s">
        <v>10</v>
      </c>
      <c r="C265" s="163" t="str">
        <f>C190</f>
        <v>N NOM DE VOTRE RECETTE | collez la--FAMILLE| Auteur &gt; VOUS</v>
      </c>
      <c r="D265" s="163">
        <f>D190</f>
        <v>1</v>
      </c>
      <c r="E265" s="164" t="str">
        <f>E190</f>
        <v>coupe</v>
      </c>
      <c r="F265" s="165" t="str">
        <f>F190</f>
        <v>Recette mère ► MILLE-FEUILLE  aux fraises des bois</v>
      </c>
      <c r="G265" s="2139"/>
      <c r="H265" s="2124"/>
      <c r="I265" s="2138"/>
      <c r="J265" s="2140" t="s">
        <v>8860</v>
      </c>
      <c r="K265" s="2065">
        <f ca="1">K222</f>
        <v>139</v>
      </c>
      <c r="L265" s="886" t="s">
        <v>200</v>
      </c>
      <c r="M265" s="2137"/>
      <c r="N265" s="2137"/>
      <c r="O265" s="2137"/>
      <c r="P265" s="472"/>
      <c r="Q265" s="472"/>
      <c r="R265" s="472"/>
      <c r="S265" s="2260" t="str">
        <f>IF(M266="","",(LEN(TRIM(SUBSTITUTE(M266,CHAR(160)," ")))-LEN(SUBSTITUTE(TRIM(SUBSTITUTE(M266,CHAR(160)," "))," ",""))+1)&amp;" mot"&amp;IF((LEN(TRIM(SUBSTITUTE(M266,CHAR(160)," ")))-LEN(SUBSTITUTE(TRIM(SUBSTITUTE(M266,CHAR(160)," "))," ",""))+1)&gt;1,"s",""))</f>
        <v>17 mots</v>
      </c>
      <c r="T265" s="2259" t="str">
        <f>IF(M266="","",LEN(TRIM(SUBSTITUTE(M266,CHAR(160),""))))&amp;" Car."</f>
        <v>123 Car.</v>
      </c>
      <c r="U265" s="2261" t="s">
        <v>8863</v>
      </c>
      <c r="W265" s="162" t="s">
        <v>10</v>
      </c>
      <c r="X265" s="163" t="str">
        <f>X190</f>
        <v>N NAME OF YOUR RECIPE | paste it — FAMILY|  Author &gt; YOU</v>
      </c>
      <c r="Y265" s="163">
        <f>Y190</f>
        <v>1</v>
      </c>
      <c r="Z265" s="164" t="str">
        <f>Z190</f>
        <v>coupe</v>
      </c>
      <c r="AA265" s="165" t="str">
        <f>AA190</f>
        <v>Master recipe ► MILLE-FEUILLE  aux fraises des bois</v>
      </c>
      <c r="AB265" s="2139"/>
      <c r="AC265" s="2124"/>
      <c r="AD265" s="2138"/>
      <c r="AE265" s="2064" t="s">
        <v>8862</v>
      </c>
      <c r="AF265" s="2065">
        <f ca="1">AF222</f>
        <v>139</v>
      </c>
      <c r="AG265" s="886" t="s">
        <v>200</v>
      </c>
      <c r="AH265" s="2137"/>
      <c r="AI265" s="2137"/>
      <c r="AJ265" s="2137"/>
      <c r="AK265" s="472"/>
      <c r="AL265" s="472"/>
      <c r="AM265" s="472"/>
      <c r="AN265" s="2260" t="str">
        <f>IF(AH266="","",(LEN(TRIM(SUBSTITUTE(AH266,CHAR(160)," ")))-LEN(SUBSTITUTE(TRIM(SUBSTITUTE(AH266,CHAR(160)," "))," ",""))+1)&amp;" mot"&amp;IF((LEN(TRIM(SUBSTITUTE(AH266,CHAR(160)," ")))-LEN(SUBSTITUTE(TRIM(SUBSTITUTE(AH266,CHAR(160)," "))," ",""))+1)&gt;1,"s",""))</f>
        <v>17 mots</v>
      </c>
      <c r="AO265" s="2259" t="str">
        <f>IF(AH266="","",LEN(TRIM(SUBSTITUTE(AH266,CHAR(160),""))))&amp;" Car."</f>
        <v>123 Car.</v>
      </c>
      <c r="AP265" s="2261" t="s">
        <v>8869</v>
      </c>
      <c r="AR265" s="162" t="s">
        <v>10</v>
      </c>
      <c r="AS265" s="163" t="str">
        <f>AS190</f>
        <v>N NOMBRE DE SU RECETA | pegue esto — FAMILIA| Auteur &gt; VOUS</v>
      </c>
      <c r="AT265" s="163">
        <f>AT190</f>
        <v>1</v>
      </c>
      <c r="AU265" s="164" t="str">
        <f>AU190</f>
        <v>coupe</v>
      </c>
      <c r="AV265" s="165" t="str">
        <f>AV190</f>
        <v>Receta madre ► MILLE-FEUILLE  aux fraises des bois</v>
      </c>
      <c r="AW265" s="2139"/>
      <c r="AX265" s="2124"/>
      <c r="AY265" s="2138"/>
      <c r="AZ265" s="2064" t="s">
        <v>8861</v>
      </c>
      <c r="BA265" s="2065">
        <f ca="1">BA222</f>
        <v>139</v>
      </c>
      <c r="BB265" s="886" t="s">
        <v>640</v>
      </c>
      <c r="BC265" s="2137"/>
      <c r="BD265" s="2137"/>
      <c r="BE265" s="2137"/>
      <c r="BF265" s="472"/>
      <c r="BG265" s="472"/>
      <c r="BH265" s="472"/>
      <c r="BI265" s="2260" t="str">
        <f>IF(BC266="","",(LEN(TRIM(SUBSTITUTE(BC266,CHAR(160)," ")))-LEN(SUBSTITUTE(TRIM(SUBSTITUTE(BC266,CHAR(160)," "))," ",""))+1)&amp;" mot"&amp;IF((LEN(TRIM(SUBSTITUTE(BC266,CHAR(160)," ")))-LEN(SUBSTITUTE(TRIM(SUBSTITUTE(BC266,CHAR(160)," "))," ",""))+1)&gt;1,"s",""))</f>
        <v>18 mots</v>
      </c>
      <c r="BJ265" s="2259" t="str">
        <f>IF(BC266="","",LEN(TRIM(SUBSTITUTE(BC266,CHAR(160),""))))&amp;" Car."</f>
        <v>123 Car.</v>
      </c>
      <c r="BK265" s="2261" t="s">
        <v>8871</v>
      </c>
      <c r="BM265" s="3">
        <v>1</v>
      </c>
    </row>
    <row r="266" spans="2:65" ht="21" customHeight="1" thickBot="1">
      <c r="B266" s="1814" t="s">
        <v>10</v>
      </c>
      <c r="C266" s="209" t="str">
        <f>C190</f>
        <v>N NOM DE VOTRE RECETTE | collez la--FAMILLE| Auteur &gt; VOUS</v>
      </c>
      <c r="D266" s="209">
        <f>D190</f>
        <v>1</v>
      </c>
      <c r="E266" s="210" t="str">
        <f>E190</f>
        <v>coupe</v>
      </c>
      <c r="F266" s="211" t="str">
        <f>F190</f>
        <v>Recette mère ► MILLE-FEUILLE  aux fraises des bois</v>
      </c>
      <c r="G266" s="2129"/>
      <c r="H266" s="2130"/>
      <c r="I266" s="2131"/>
      <c r="J266" s="2132"/>
      <c r="K266" s="2133"/>
      <c r="L266" s="2133" t="s">
        <v>8864</v>
      </c>
      <c r="M266" s="5545" t="s">
        <v>8866</v>
      </c>
      <c r="N266" s="2136"/>
      <c r="O266" s="2134"/>
      <c r="P266" s="2134"/>
      <c r="Q266" s="2134"/>
      <c r="R266" s="2134"/>
      <c r="S266" s="2134"/>
      <c r="T266" s="2134"/>
      <c r="U266" s="2135"/>
      <c r="W266" s="1814" t="s">
        <v>10</v>
      </c>
      <c r="X266" s="209" t="str">
        <f>X190</f>
        <v>N NAME OF YOUR RECIPE | paste it — FAMILY|  Author &gt; YOU</v>
      </c>
      <c r="Y266" s="209">
        <f>Y190</f>
        <v>1</v>
      </c>
      <c r="Z266" s="210" t="str">
        <f>Z190</f>
        <v>coupe</v>
      </c>
      <c r="AA266" s="211" t="str">
        <f>AA190</f>
        <v>Master recipe ► MILLE-FEUILLE  aux fraises des bois</v>
      </c>
      <c r="AB266" s="2129"/>
      <c r="AC266" s="2130"/>
      <c r="AD266" s="2131"/>
      <c r="AE266" s="2132"/>
      <c r="AF266" s="2133"/>
      <c r="AG266" s="2133" t="s">
        <v>8864</v>
      </c>
      <c r="AH266" s="5545" t="s">
        <v>8873</v>
      </c>
      <c r="AI266" s="2136"/>
      <c r="AJ266" s="2134"/>
      <c r="AK266" s="2134"/>
      <c r="AL266" s="2134"/>
      <c r="AM266" s="2134"/>
      <c r="AN266" s="2134"/>
      <c r="AO266" s="2134"/>
      <c r="AP266" s="2135"/>
      <c r="AR266" s="1814" t="s">
        <v>10</v>
      </c>
      <c r="AS266" s="209" t="str">
        <f>AS190</f>
        <v>N NOMBRE DE SU RECETA | pegue esto — FAMILIA| Auteur &gt; VOUS</v>
      </c>
      <c r="AT266" s="209">
        <f>AT190</f>
        <v>1</v>
      </c>
      <c r="AU266" s="210" t="str">
        <f>AU190</f>
        <v>coupe</v>
      </c>
      <c r="AV266" s="211" t="str">
        <f>AV190</f>
        <v>Receta madre ► MILLE-FEUILLE  aux fraises des bois</v>
      </c>
      <c r="AW266" s="2129"/>
      <c r="AX266" s="2130"/>
      <c r="AY266" s="2131"/>
      <c r="AZ266" s="2132"/>
      <c r="BA266" s="2133"/>
      <c r="BB266" s="2133" t="s">
        <v>8870</v>
      </c>
      <c r="BC266" s="5545" t="s">
        <v>8872</v>
      </c>
      <c r="BD266" s="2136"/>
      <c r="BE266" s="2134"/>
      <c r="BF266" s="2134"/>
      <c r="BG266" s="2134"/>
      <c r="BH266" s="2134"/>
      <c r="BI266" s="2134"/>
      <c r="BJ266" s="2134"/>
      <c r="BK266" s="2135"/>
      <c r="BM266" s="3">
        <v>1</v>
      </c>
    </row>
    <row r="267" spans="2:65" ht="21" customHeight="1" thickBot="1">
      <c r="B267" s="215" t="s">
        <v>10</v>
      </c>
      <c r="C267" s="216"/>
      <c r="D267" s="216"/>
      <c r="E267" s="216"/>
      <c r="F267" s="217"/>
      <c r="G267" s="218" t="s">
        <v>207</v>
      </c>
      <c r="H267" s="219" t="str">
        <f ca="1">CELL("nomfichier")</f>
        <v>D:\Données\1.UPRT\0-UPRT.fait\1-UPRT.FR-SITE-WEB\ff-fiches-fabrications\ff.fiches.fabrication.2023\ffr.restaurant.2023\[ff.FICHE.TRILINGUE.20.COLONNES.05.01.2026.xlsx]Couleurs.pour.vos.documents</v>
      </c>
      <c r="I267" s="220"/>
      <c r="J267" s="220"/>
      <c r="K267" s="220"/>
      <c r="L267" s="220"/>
      <c r="M267" s="220"/>
      <c r="N267" s="220"/>
      <c r="O267" s="220"/>
      <c r="P267" s="220"/>
      <c r="Q267" s="220"/>
      <c r="R267" s="220"/>
      <c r="S267" s="220"/>
      <c r="T267" s="220"/>
      <c r="U267" s="221"/>
      <c r="W267" s="215" t="s">
        <v>10</v>
      </c>
      <c r="X267" s="216"/>
      <c r="Y267" s="216"/>
      <c r="Z267" s="216"/>
      <c r="AA267" s="217"/>
      <c r="AB267" s="218" t="s">
        <v>207</v>
      </c>
      <c r="AC267" s="219" t="str">
        <f ca="1">CELL("nomfichier")</f>
        <v>D:\Données\1.UPRT\0-UPRT.fait\1-UPRT.FR-SITE-WEB\ff-fiches-fabrications\ff.fiches.fabrication.2023\ffr.restaurant.2023\[ff.FICHE.TRILINGUE.20.COLONNES.05.01.2026.xlsx]Couleurs.pour.vos.documents</v>
      </c>
      <c r="AD267" s="220"/>
      <c r="AE267" s="220"/>
      <c r="AF267" s="220"/>
      <c r="AG267" s="220"/>
      <c r="AH267" s="220"/>
      <c r="AI267" s="220"/>
      <c r="AJ267" s="220"/>
      <c r="AK267" s="220"/>
      <c r="AL267" s="220"/>
      <c r="AM267" s="220"/>
      <c r="AN267" s="220"/>
      <c r="AO267" s="220"/>
      <c r="AP267" s="221"/>
      <c r="AR267" s="215" t="s">
        <v>10</v>
      </c>
      <c r="AS267" s="216"/>
      <c r="AT267" s="216"/>
      <c r="AU267" s="216"/>
      <c r="AV267" s="217"/>
      <c r="AW267" s="218" t="s">
        <v>207</v>
      </c>
      <c r="AX267" s="219" t="str">
        <f ca="1">CELL("nomfichier")</f>
        <v>D:\Données\1.UPRT\0-UPRT.fait\1-UPRT.FR-SITE-WEB\ff-fiches-fabrications\ff.fiches.fabrication.2023\ffr.restaurant.2023\[ff.FICHE.TRILINGUE.20.COLONNES.05.01.2026.xlsx]Couleurs.pour.vos.documents</v>
      </c>
      <c r="AY267" s="220"/>
      <c r="AZ267" s="220"/>
      <c r="BA267" s="220"/>
      <c r="BB267" s="220"/>
      <c r="BC267" s="220"/>
      <c r="BD267" s="220"/>
      <c r="BE267" s="220"/>
      <c r="BF267" s="220"/>
      <c r="BG267" s="220"/>
      <c r="BH267" s="220"/>
      <c r="BI267" s="220"/>
      <c r="BJ267" s="220"/>
      <c r="BK267" s="221"/>
      <c r="BM267" s="3">
        <v>1</v>
      </c>
    </row>
    <row r="268" spans="2:65" ht="21" customHeight="1" thickBot="1">
      <c r="B268" s="1216" t="s">
        <v>10</v>
      </c>
      <c r="C268" s="1217" t="s">
        <v>10</v>
      </c>
      <c r="D268" s="1217" t="s">
        <v>10</v>
      </c>
      <c r="E268" s="1217" t="s">
        <v>10</v>
      </c>
      <c r="F268" s="1217" t="s">
        <v>10</v>
      </c>
      <c r="G268" s="1218" t="s">
        <v>2394</v>
      </c>
      <c r="H268" s="1219"/>
      <c r="I268" s="1220"/>
      <c r="J268" s="1221"/>
      <c r="K268" s="1222"/>
      <c r="L268" s="1223"/>
      <c r="M268" s="1223"/>
      <c r="N268" s="1221"/>
      <c r="O268" s="1221"/>
      <c r="P268" s="1219"/>
      <c r="Q268" s="1219"/>
      <c r="R268" s="1219"/>
      <c r="S268" s="1219"/>
      <c r="T268" s="1219"/>
      <c r="U268" s="1224" t="s">
        <v>1755</v>
      </c>
      <c r="W268" s="1216" t="s">
        <v>10</v>
      </c>
      <c r="X268" s="1217" t="s">
        <v>10</v>
      </c>
      <c r="Y268" s="1217" t="s">
        <v>10</v>
      </c>
      <c r="Z268" s="1217" t="s">
        <v>10</v>
      </c>
      <c r="AA268" s="1217" t="s">
        <v>10</v>
      </c>
      <c r="AB268" s="1218" t="s">
        <v>2394</v>
      </c>
      <c r="AC268" s="1219"/>
      <c r="AD268" s="1220"/>
      <c r="AE268" s="1221"/>
      <c r="AF268" s="1222"/>
      <c r="AG268" s="1223"/>
      <c r="AH268" s="1223"/>
      <c r="AI268" s="1221"/>
      <c r="AJ268" s="1221"/>
      <c r="AK268" s="1219"/>
      <c r="AL268" s="1219"/>
      <c r="AM268" s="1219"/>
      <c r="AN268" s="1219"/>
      <c r="AO268" s="1219"/>
      <c r="AP268" s="1224" t="s">
        <v>1755</v>
      </c>
      <c r="AR268" s="1216" t="s">
        <v>10</v>
      </c>
      <c r="AS268" s="1217" t="s">
        <v>10</v>
      </c>
      <c r="AT268" s="1217" t="s">
        <v>10</v>
      </c>
      <c r="AU268" s="1217" t="s">
        <v>10</v>
      </c>
      <c r="AV268" s="1217" t="s">
        <v>10</v>
      </c>
      <c r="AW268" s="1218" t="s">
        <v>2394</v>
      </c>
      <c r="AX268" s="1219"/>
      <c r="AY268" s="1220"/>
      <c r="AZ268" s="1221"/>
      <c r="BA268" s="1222"/>
      <c r="BB268" s="1223"/>
      <c r="BC268" s="1223"/>
      <c r="BD268" s="1221"/>
      <c r="BE268" s="1221"/>
      <c r="BF268" s="1219"/>
      <c r="BG268" s="1219"/>
      <c r="BH268" s="1219"/>
      <c r="BI268" s="1219"/>
      <c r="BJ268" s="1219"/>
      <c r="BK268" s="1224" t="s">
        <v>1755</v>
      </c>
      <c r="BM268" s="3">
        <v>1</v>
      </c>
    </row>
    <row r="269" spans="2:65" ht="21" customHeight="1">
      <c r="B269" s="19" t="s">
        <v>10</v>
      </c>
      <c r="C269" s="20" t="str">
        <f>C275</f>
        <v>N NOM DE VOTRE RECETTE | collez la--FAMILLE| Auteur &gt; VOUS</v>
      </c>
      <c r="D269" s="21">
        <f>D275</f>
        <v>1</v>
      </c>
      <c r="E269" s="21" t="str">
        <f>E275</f>
        <v>coupe</v>
      </c>
      <c r="F269" s="22" t="str">
        <f>F275</f>
        <v>Recette mère ► MILLE-FEUILLE  aux fraises des bois</v>
      </c>
      <c r="G269" s="23" t="s">
        <v>21</v>
      </c>
      <c r="H269" s="24" t="s">
        <v>22</v>
      </c>
      <c r="I269" s="24"/>
      <c r="J269" s="6634" t="s">
        <v>1339</v>
      </c>
      <c r="K269" s="6634"/>
      <c r="L269" s="6634"/>
      <c r="M269" s="6634"/>
      <c r="N269" s="6634"/>
      <c r="O269" s="6634"/>
      <c r="P269" s="6634"/>
      <c r="Q269" s="6634"/>
      <c r="R269" s="6634"/>
      <c r="S269" s="6636" t="s">
        <v>1348</v>
      </c>
      <c r="T269" s="6636"/>
      <c r="U269" s="6638" t="str">
        <f>UPPER(LEFT(J269,1))</f>
        <v>N</v>
      </c>
      <c r="W269" s="19" t="s">
        <v>10</v>
      </c>
      <c r="X269" s="20" t="str">
        <f>X275</f>
        <v>N NAME OF YOUR RECIPE | paste it — FAMILY|  Author &gt; YOU</v>
      </c>
      <c r="Y269" s="21">
        <f>Y275</f>
        <v>1</v>
      </c>
      <c r="Z269" s="21" t="str">
        <f>Z275</f>
        <v>coupe</v>
      </c>
      <c r="AA269" s="22" t="str">
        <f>AA275</f>
        <v>Master recipe ► MILLE-FEUILLE  aux fraises des bois</v>
      </c>
      <c r="AB269" s="23" t="s">
        <v>21</v>
      </c>
      <c r="AC269" s="24" t="s">
        <v>22</v>
      </c>
      <c r="AD269" s="24"/>
      <c r="AE269" s="6634" t="s">
        <v>851</v>
      </c>
      <c r="AF269" s="6634"/>
      <c r="AG269" s="6634"/>
      <c r="AH269" s="6634"/>
      <c r="AI269" s="6634"/>
      <c r="AJ269" s="6634"/>
      <c r="AK269" s="6634"/>
      <c r="AL269" s="6634"/>
      <c r="AM269" s="6634"/>
      <c r="AN269" s="6636" t="s">
        <v>1349</v>
      </c>
      <c r="AO269" s="6636"/>
      <c r="AP269" s="6638" t="str">
        <f>UPPER(LEFT(AE269,1))</f>
        <v>N</v>
      </c>
      <c r="AR269" s="19" t="s">
        <v>10</v>
      </c>
      <c r="AS269" s="20" t="str">
        <f>AS275</f>
        <v>N NOMBRE DE SU RECETA | pegue esto — FAMILIA| Auteur &gt; VOUS</v>
      </c>
      <c r="AT269" s="21">
        <f>AT275</f>
        <v>1</v>
      </c>
      <c r="AU269" s="21" t="str">
        <f>AU275</f>
        <v>coupe</v>
      </c>
      <c r="AV269" s="22" t="str">
        <f>AV275</f>
        <v>Receta madre ► MILLE-FEUILLE  aux fraises des bois</v>
      </c>
      <c r="AW269" s="23" t="s">
        <v>21</v>
      </c>
      <c r="AX269" s="24" t="s">
        <v>866</v>
      </c>
      <c r="AY269" s="24"/>
      <c r="AZ269" s="6634" t="s">
        <v>867</v>
      </c>
      <c r="BA269" s="6634"/>
      <c r="BB269" s="6634"/>
      <c r="BC269" s="6634"/>
      <c r="BD269" s="6634"/>
      <c r="BE269" s="6634"/>
      <c r="BF269" s="6634"/>
      <c r="BG269" s="6634"/>
      <c r="BH269" s="6634"/>
      <c r="BI269" s="6636" t="s">
        <v>1350</v>
      </c>
      <c r="BJ269" s="6636"/>
      <c r="BK269" s="6638" t="str">
        <f>UPPER(LEFT(AZ269,1))</f>
        <v>N</v>
      </c>
      <c r="BM269" s="3">
        <v>1</v>
      </c>
    </row>
    <row r="270" spans="2:65" ht="21" customHeight="1">
      <c r="B270" s="25" t="s">
        <v>10</v>
      </c>
      <c r="C270" s="26" t="str">
        <f>C275</f>
        <v>N NOM DE VOTRE RECETTE | collez la--FAMILLE| Auteur &gt; VOUS</v>
      </c>
      <c r="D270" s="27">
        <f>D275</f>
        <v>1</v>
      </c>
      <c r="E270" s="27" t="str">
        <f>E275</f>
        <v>coupe</v>
      </c>
      <c r="F270" s="28" t="str">
        <f>F275</f>
        <v>Recette mère ► MILLE-FEUILLE  aux fraises des bois</v>
      </c>
      <c r="G270" s="29" t="s">
        <v>28</v>
      </c>
      <c r="H270" s="30" t="s">
        <v>831</v>
      </c>
      <c r="I270" s="30"/>
      <c r="J270" s="6635"/>
      <c r="K270" s="6635"/>
      <c r="L270" s="6635"/>
      <c r="M270" s="6635"/>
      <c r="N270" s="6635"/>
      <c r="O270" s="6635"/>
      <c r="P270" s="6635"/>
      <c r="Q270" s="6635"/>
      <c r="R270" s="6635"/>
      <c r="S270" s="6637"/>
      <c r="T270" s="6637"/>
      <c r="U270" s="6639"/>
      <c r="W270" s="25" t="s">
        <v>10</v>
      </c>
      <c r="X270" s="26" t="str">
        <f>X275</f>
        <v>N NAME OF YOUR RECIPE | paste it — FAMILY|  Author &gt; YOU</v>
      </c>
      <c r="Y270" s="27">
        <f>Y275</f>
        <v>1</v>
      </c>
      <c r="Z270" s="27" t="str">
        <f>Z275</f>
        <v>coupe</v>
      </c>
      <c r="AA270" s="28" t="str">
        <f>AA275</f>
        <v>Master recipe ► MILLE-FEUILLE  aux fraises des bois</v>
      </c>
      <c r="AB270" s="29" t="s">
        <v>1299</v>
      </c>
      <c r="AC270" s="30" t="s">
        <v>831</v>
      </c>
      <c r="AD270" s="30"/>
      <c r="AE270" s="6635"/>
      <c r="AF270" s="6635"/>
      <c r="AG270" s="6635"/>
      <c r="AH270" s="6635"/>
      <c r="AI270" s="6635"/>
      <c r="AJ270" s="6635"/>
      <c r="AK270" s="6635"/>
      <c r="AL270" s="6635"/>
      <c r="AM270" s="6635"/>
      <c r="AN270" s="6637"/>
      <c r="AO270" s="6637"/>
      <c r="AP270" s="6639"/>
      <c r="AR270" s="25" t="s">
        <v>10</v>
      </c>
      <c r="AS270" s="26" t="str">
        <f>AS275</f>
        <v>N NOMBRE DE SU RECETA | pegue esto — FAMILIA| Auteur &gt; VOUS</v>
      </c>
      <c r="AT270" s="27">
        <f>AT275</f>
        <v>1</v>
      </c>
      <c r="AU270" s="27" t="str">
        <f>AU275</f>
        <v>coupe</v>
      </c>
      <c r="AV270" s="28" t="str">
        <f>AV275</f>
        <v>Receta madre ► MILLE-FEUILLE  aux fraises des bois</v>
      </c>
      <c r="AW270" s="29" t="s">
        <v>868</v>
      </c>
      <c r="AX270" s="30" t="s">
        <v>29</v>
      </c>
      <c r="AY270" s="30"/>
      <c r="AZ270" s="6635"/>
      <c r="BA270" s="6635"/>
      <c r="BB270" s="6635"/>
      <c r="BC270" s="6635"/>
      <c r="BD270" s="6635"/>
      <c r="BE270" s="6635"/>
      <c r="BF270" s="6635"/>
      <c r="BG270" s="6635"/>
      <c r="BH270" s="6635"/>
      <c r="BI270" s="6637"/>
      <c r="BJ270" s="6637"/>
      <c r="BK270" s="6639"/>
      <c r="BM270" s="3">
        <v>1</v>
      </c>
    </row>
    <row r="271" spans="2:65" ht="21" customHeight="1">
      <c r="B271" s="25" t="s">
        <v>10</v>
      </c>
      <c r="C271" s="31" t="str">
        <f>C275</f>
        <v>N NOM DE VOTRE RECETTE | collez la--FAMILLE| Auteur &gt; VOUS</v>
      </c>
      <c r="D271" s="32">
        <f>D275</f>
        <v>1</v>
      </c>
      <c r="E271" s="32" t="str">
        <f>E275</f>
        <v>coupe</v>
      </c>
      <c r="F271" s="33" t="str">
        <f>F275</f>
        <v>Recette mère ► MILLE-FEUILLE  aux fraises des bois</v>
      </c>
      <c r="G271" s="1357"/>
      <c r="H271" s="1358" t="s">
        <v>30</v>
      </c>
      <c r="I271" s="34"/>
      <c r="J271" s="35" t="s">
        <v>31</v>
      </c>
      <c r="K271" s="36" t="s">
        <v>57</v>
      </c>
      <c r="L271" s="9"/>
      <c r="M271" s="9"/>
      <c r="N271" s="36"/>
      <c r="O271" s="36"/>
      <c r="P271" s="36"/>
      <c r="Q271" s="37"/>
      <c r="R271" s="9"/>
      <c r="S271" s="9"/>
      <c r="T271" s="9"/>
      <c r="U271" s="2062" t="str" cm="1">
        <f t="array" aca="1" ref="U271" ca="1">IF(COUNTIF(C315:U315,"&lt;0.5")=0,"Aucune colonne masquée ",COUNTIF(C315:U315,"&lt;0.5") &amp; " " &amp; IF(COUNTIF(C315:U315,"&lt;0.5")&gt;1,"colonnes masquées","colonne masquée") &amp; " " &amp; _xlfn.TEXTJOIN(" ", TRUE, IF(C315:U315&lt;0.5,C314:U314,"")))&amp;" "</f>
        <v xml:space="preserve">Aucune colonne masquée  </v>
      </c>
      <c r="W271" s="25" t="s">
        <v>10</v>
      </c>
      <c r="X271" s="31" t="str">
        <f>X275</f>
        <v>N NAME OF YOUR RECIPE | paste it — FAMILY|  Author &gt; YOU</v>
      </c>
      <c r="Y271" s="32">
        <f>Y275</f>
        <v>1</v>
      </c>
      <c r="Z271" s="32" t="str">
        <f>Z275</f>
        <v>coupe</v>
      </c>
      <c r="AA271" s="33" t="str">
        <f>AA275</f>
        <v>Master recipe ► MILLE-FEUILLE  aux fraises des bois</v>
      </c>
      <c r="AB271" s="1357"/>
      <c r="AC271" s="1358" t="s">
        <v>30</v>
      </c>
      <c r="AD271" s="34"/>
      <c r="AE271" s="35" t="s">
        <v>853</v>
      </c>
      <c r="AF271" s="36" t="s">
        <v>60</v>
      </c>
      <c r="AG271" s="9"/>
      <c r="AH271" s="9"/>
      <c r="AI271" s="36"/>
      <c r="AJ271" s="36"/>
      <c r="AK271" s="36"/>
      <c r="AL271" s="37"/>
      <c r="AM271" s="9"/>
      <c r="AN271" s="9"/>
      <c r="AO271" s="9"/>
      <c r="AP271" s="38"/>
      <c r="AR271" s="25" t="s">
        <v>10</v>
      </c>
      <c r="AS271" s="31" t="str">
        <f>AS275</f>
        <v>N NOMBRE DE SU RECETA | pegue esto — FAMILIA| Auteur &gt; VOUS</v>
      </c>
      <c r="AT271" s="32">
        <f>AT275</f>
        <v>1</v>
      </c>
      <c r="AU271" s="32" t="str">
        <f>AU275</f>
        <v>coupe</v>
      </c>
      <c r="AV271" s="33" t="str">
        <f>AV275</f>
        <v>Receta madre ► MILLE-FEUILLE  aux fraises des bois</v>
      </c>
      <c r="AW271" s="1357"/>
      <c r="AX271" s="1358" t="s">
        <v>30</v>
      </c>
      <c r="AY271" s="34"/>
      <c r="AZ271" s="35" t="s">
        <v>31</v>
      </c>
      <c r="BA271" s="36" t="s">
        <v>57</v>
      </c>
      <c r="BB271" s="9"/>
      <c r="BC271" s="9"/>
      <c r="BD271" s="36"/>
      <c r="BE271" s="36"/>
      <c r="BF271" s="36"/>
      <c r="BG271" s="37"/>
      <c r="BH271" s="9"/>
      <c r="BI271" s="9"/>
      <c r="BJ271" s="9"/>
      <c r="BK271" s="38"/>
      <c r="BM271" s="3">
        <v>1</v>
      </c>
    </row>
    <row r="272" spans="2:65" ht="21" customHeight="1">
      <c r="B272" s="25" t="s">
        <v>10</v>
      </c>
      <c r="C272" s="31" t="str">
        <f>C275</f>
        <v>N NOM DE VOTRE RECETTE | collez la--FAMILLE| Auteur &gt; VOUS</v>
      </c>
      <c r="D272" s="32">
        <f>D275</f>
        <v>1</v>
      </c>
      <c r="E272" s="32" t="str">
        <f>E275</f>
        <v>coupe</v>
      </c>
      <c r="F272" s="33" t="str">
        <f>F275</f>
        <v>Recette mère ► MILLE-FEUILLE  aux fraises des bois</v>
      </c>
      <c r="G272" s="39" t="s">
        <v>32</v>
      </c>
      <c r="H272" s="40"/>
      <c r="I272" s="40"/>
      <c r="J272" s="41" t="s">
        <v>33</v>
      </c>
      <c r="K272" s="6736" t="str">
        <f>M275&amp;" "&amp;N275&amp;" ► Famille = "&amp;S269&amp;" ► "&amp;J269&amp;" "&amp;Q272&amp;" "&amp;S272&amp;" "&amp;T272&amp;" "&amp;U272</f>
        <v>Recette mère ► MILLE-FEUILLE  aux fraises des bois ► Famille = collez la--FAMILLE ► NOM DE VOTRE RECETTE  ⓫  Dupliquée pour 5 coupes</v>
      </c>
      <c r="L272" s="6736"/>
      <c r="M272" s="6736"/>
      <c r="N272" s="6736"/>
      <c r="O272" s="6736"/>
      <c r="P272" s="6736"/>
      <c r="Q272" s="6736"/>
      <c r="R272" s="1359"/>
      <c r="S272" s="1359" t="s">
        <v>35</v>
      </c>
      <c r="T272" s="140">
        <v>5</v>
      </c>
      <c r="U272" s="43" t="str">
        <f>U274</f>
        <v>coupes</v>
      </c>
      <c r="W272" s="25" t="s">
        <v>10</v>
      </c>
      <c r="X272" s="31" t="str">
        <f>X275</f>
        <v>N NAME OF YOUR RECIPE | paste it — FAMILY|  Author &gt; YOU</v>
      </c>
      <c r="Y272" s="32">
        <f>Y275</f>
        <v>1</v>
      </c>
      <c r="Z272" s="32" t="str">
        <f>Z275</f>
        <v>coupe</v>
      </c>
      <c r="AA272" s="33" t="str">
        <f>AA275</f>
        <v>Master recipe ► MILLE-FEUILLE  aux fraises des bois</v>
      </c>
      <c r="AB272" s="39" t="s">
        <v>134</v>
      </c>
      <c r="AC272" s="40"/>
      <c r="AD272" s="40"/>
      <c r="AE272" s="41" t="s">
        <v>33</v>
      </c>
      <c r="AF272" s="6736" t="str">
        <f>AH275&amp;" "&amp;AI275&amp;" ► Famille = "&amp;AN269&amp;" ► "&amp;AE269&amp;" "&amp;AL272&amp;" "&amp;AN272&amp;" "&amp;AO272&amp;" "&amp;AP272</f>
        <v>Master recipe ► MILLE-FEUILLE  aux fraises des bois ► Famille = paste it — FAMILY ► NAME OF YOUR RECIPE  ⓫ Duplicated for 5 coupes</v>
      </c>
      <c r="AG272" s="6736"/>
      <c r="AH272" s="6736"/>
      <c r="AI272" s="6736"/>
      <c r="AJ272" s="6736"/>
      <c r="AK272" s="6736"/>
      <c r="AL272" s="6736"/>
      <c r="AM272" s="1359"/>
      <c r="AN272" s="1359" t="s">
        <v>135</v>
      </c>
      <c r="AO272" s="140">
        <v>5</v>
      </c>
      <c r="AP272" s="43" t="str">
        <f>AP274</f>
        <v>coupes</v>
      </c>
      <c r="AR272" s="25" t="s">
        <v>10</v>
      </c>
      <c r="AS272" s="31" t="str">
        <f>AS275</f>
        <v>N NOMBRE DE SU RECETA | pegue esto — FAMILIA| Auteur &gt; VOUS</v>
      </c>
      <c r="AT272" s="32">
        <f>AT275</f>
        <v>1</v>
      </c>
      <c r="AU272" s="32" t="str">
        <f>AU275</f>
        <v>coupe</v>
      </c>
      <c r="AV272" s="33" t="str">
        <f>AV275</f>
        <v>Receta madre ► MILLE-FEUILLE  aux fraises des bois</v>
      </c>
      <c r="AW272" s="39" t="s">
        <v>869</v>
      </c>
      <c r="AX272" s="40"/>
      <c r="AY272" s="40"/>
      <c r="AZ272" s="41" t="s">
        <v>33</v>
      </c>
      <c r="BA272" s="6736" t="str">
        <f>BC275&amp;" "&amp;BD275&amp;" ► Famille = "&amp;BI269&amp;" ► "&amp;AZ269&amp;" "&amp;BG272&amp;" "&amp;BI272&amp;" "&amp;BJ272&amp;" "&amp;BK272</f>
        <v>Receta madre ► MILLE-FEUILLE  aux fraises des bois ► Famille = pegue esto — FAMILIA ► NOMBRE DE SU RECETA  ⓫ Duplicada para 5 coupes</v>
      </c>
      <c r="BB272" s="6736"/>
      <c r="BC272" s="6736"/>
      <c r="BD272" s="6736"/>
      <c r="BE272" s="6736"/>
      <c r="BF272" s="6736"/>
      <c r="BG272" s="6736"/>
      <c r="BH272" s="1359"/>
      <c r="BI272" s="1359" t="s">
        <v>138</v>
      </c>
      <c r="BJ272" s="140">
        <v>5</v>
      </c>
      <c r="BK272" s="43" t="str">
        <f>BK274</f>
        <v>coupes</v>
      </c>
      <c r="BM272" s="3">
        <v>1</v>
      </c>
    </row>
    <row r="273" spans="2:65" ht="21" customHeight="1">
      <c r="B273" s="25" t="s">
        <v>10</v>
      </c>
      <c r="C273" s="31" t="str">
        <f>C275</f>
        <v>N NOM DE VOTRE RECETTE | collez la--FAMILLE| Auteur &gt; VOUS</v>
      </c>
      <c r="D273" s="32">
        <f>D275</f>
        <v>1</v>
      </c>
      <c r="E273" s="32" t="str">
        <f>E275</f>
        <v>coupe</v>
      </c>
      <c r="F273" s="33" t="str">
        <f>F275</f>
        <v>Recette mère ► MILLE-FEUILLE  aux fraises des bois</v>
      </c>
      <c r="G273" s="1360">
        <v>1</v>
      </c>
      <c r="H273" s="1361" t="s">
        <v>1783</v>
      </c>
      <c r="I273" s="39"/>
      <c r="J273" s="39"/>
      <c r="K273" s="6736"/>
      <c r="L273" s="6736"/>
      <c r="M273" s="6736"/>
      <c r="N273" s="6736"/>
      <c r="O273" s="6736"/>
      <c r="P273" s="6736"/>
      <c r="Q273" s="6736"/>
      <c r="R273" s="696"/>
      <c r="S273" s="696"/>
      <c r="T273" s="47" t="s">
        <v>40</v>
      </c>
      <c r="U273" s="48" t="s">
        <v>41</v>
      </c>
      <c r="W273" s="25" t="s">
        <v>10</v>
      </c>
      <c r="X273" s="31" t="str">
        <f>X275</f>
        <v>N NAME OF YOUR RECIPE | paste it — FAMILY|  Author &gt; YOU</v>
      </c>
      <c r="Y273" s="32">
        <f>Y275</f>
        <v>1</v>
      </c>
      <c r="Z273" s="32" t="str">
        <f>Z275</f>
        <v>coupe</v>
      </c>
      <c r="AA273" s="33" t="str">
        <f>AA275</f>
        <v>Master recipe ► MILLE-FEUILLE  aux fraises des bois</v>
      </c>
      <c r="AB273" s="1360">
        <v>1</v>
      </c>
      <c r="AC273" s="1361" t="s">
        <v>1783</v>
      </c>
      <c r="AD273" s="39"/>
      <c r="AE273" s="39"/>
      <c r="AF273" s="6736"/>
      <c r="AG273" s="6736"/>
      <c r="AH273" s="6736"/>
      <c r="AI273" s="6736"/>
      <c r="AJ273" s="6736"/>
      <c r="AK273" s="6736"/>
      <c r="AL273" s="6736"/>
      <c r="AM273" s="696"/>
      <c r="AN273" s="696"/>
      <c r="AO273" s="47" t="s">
        <v>148</v>
      </c>
      <c r="AP273" s="48" t="s">
        <v>854</v>
      </c>
      <c r="AR273" s="25" t="s">
        <v>10</v>
      </c>
      <c r="AS273" s="31" t="str">
        <f>AS275</f>
        <v>N NOMBRE DE SU RECETA | pegue esto — FAMILIA| Auteur &gt; VOUS</v>
      </c>
      <c r="AT273" s="32">
        <f>AT275</f>
        <v>1</v>
      </c>
      <c r="AU273" s="32" t="str">
        <f>AU275</f>
        <v>coupe</v>
      </c>
      <c r="AV273" s="33" t="str">
        <f>AV275</f>
        <v>Receta madre ► MILLE-FEUILLE  aux fraises des bois</v>
      </c>
      <c r="AW273" s="1360">
        <v>1</v>
      </c>
      <c r="AX273" s="1361" t="s">
        <v>1783</v>
      </c>
      <c r="AY273" s="39"/>
      <c r="AZ273" s="39"/>
      <c r="BA273" s="6736"/>
      <c r="BB273" s="6736"/>
      <c r="BC273" s="6736"/>
      <c r="BD273" s="6736"/>
      <c r="BE273" s="6736"/>
      <c r="BF273" s="6736"/>
      <c r="BG273" s="6736"/>
      <c r="BH273" s="696"/>
      <c r="BI273" s="696"/>
      <c r="BJ273" s="47" t="s">
        <v>150</v>
      </c>
      <c r="BK273" s="48" t="s">
        <v>151</v>
      </c>
      <c r="BM273" s="3">
        <v>1</v>
      </c>
    </row>
    <row r="274" spans="2:65" ht="21" customHeight="1">
      <c r="B274" s="25" t="s">
        <v>10</v>
      </c>
      <c r="C274" s="31" t="str">
        <f>C275</f>
        <v>N NOM DE VOTRE RECETTE | collez la--FAMILLE| Auteur &gt; VOUS</v>
      </c>
      <c r="D274" s="32">
        <f>D275</f>
        <v>1</v>
      </c>
      <c r="E274" s="32" t="str">
        <f>E275</f>
        <v>coupe</v>
      </c>
      <c r="F274" s="33" t="str">
        <f>F275</f>
        <v>Recette mère ► MILLE-FEUILLE  aux fraises des bois</v>
      </c>
      <c r="G274" s="53"/>
      <c r="H274" s="1323" t="s">
        <v>8094</v>
      </c>
      <c r="I274" s="6737">
        <f>Q309</f>
        <v>0</v>
      </c>
      <c r="J274" s="6737"/>
      <c r="K274" s="1324" t="str" cm="1">
        <f t="array" ref="K274">"1= "&amp;IF(OR(G273&lt;=0,I274=""),"",_xlfn.LET(_xlpm.kg,IF(ISNUMBER(I274),I274,VALEUR(SUBSTITUTE(SUBSTITUTE(SUBSTITUTE(LOWER(I274),"kg",""),",",".")," ",""))),TEXT(ROUND(_xlpm.kg*1000/G273,2),"0.##")&amp;" g"))</f>
        <v>1= 0. g</v>
      </c>
      <c r="L274" s="1325">
        <f>IFERROR(T272/T274,0)</f>
        <v>1</v>
      </c>
      <c r="M274" s="1817" t="s">
        <v>8411</v>
      </c>
      <c r="N274" s="579"/>
      <c r="O274" s="55"/>
      <c r="P274" s="55"/>
      <c r="Q274"/>
      <c r="R274" s="1362"/>
      <c r="S274" s="1362" t="s">
        <v>50</v>
      </c>
      <c r="T274" s="2102">
        <v>5</v>
      </c>
      <c r="U274" s="56" t="s">
        <v>1784</v>
      </c>
      <c r="W274" s="25" t="s">
        <v>10</v>
      </c>
      <c r="X274" s="31" t="str">
        <f>X275</f>
        <v>N NAME OF YOUR RECIPE | paste it — FAMILY|  Author &gt; YOU</v>
      </c>
      <c r="Y274" s="32">
        <f>Y275</f>
        <v>1</v>
      </c>
      <c r="Z274" s="32" t="str">
        <f>Z275</f>
        <v>coupe</v>
      </c>
      <c r="AA274" s="33" t="str">
        <f>AA275</f>
        <v>Master recipe ► MILLE-FEUILLE  aux fraises des bois</v>
      </c>
      <c r="AB274" s="53"/>
      <c r="AC274" s="1323" t="s">
        <v>8095</v>
      </c>
      <c r="AD274" s="6737">
        <f>AL309</f>
        <v>0</v>
      </c>
      <c r="AE274" s="6737"/>
      <c r="AF274" s="1324" t="str" cm="1">
        <f t="array" ref="AF274">"1= "&amp;IF(OR(AB273&lt;=0,AD274=""),"",_xlfn.LET(_xlpm.kg,IF(ISNUMBER(AD274),AD274,VALEUR(SUBSTITUTE(SUBSTITUTE(SUBSTITUTE(LOWER(AD274),"kg",""),",",".")," ",""))),TEXT(ROUND(_xlpm.kg*1000/AB273,2),"0.##")&amp;" g"))</f>
        <v>1= 0. g</v>
      </c>
      <c r="AG274" s="1325">
        <f>IFERROR(AO272/AO274,0)</f>
        <v>3.3333333333333335</v>
      </c>
      <c r="AH274" s="1817" t="s">
        <v>8412</v>
      </c>
      <c r="AI274" s="55"/>
      <c r="AJ274" s="55"/>
      <c r="AK274" s="55"/>
      <c r="AM274" s="1362"/>
      <c r="AN274" s="1362" t="s">
        <v>153</v>
      </c>
      <c r="AO274" s="2102">
        <v>1.5</v>
      </c>
      <c r="AP274" s="56" t="s">
        <v>1784</v>
      </c>
      <c r="AR274" s="25" t="s">
        <v>10</v>
      </c>
      <c r="AS274" s="31" t="str">
        <f>AS275</f>
        <v>N NOMBRE DE SU RECETA | pegue esto — FAMILIA| Auteur &gt; VOUS</v>
      </c>
      <c r="AT274" s="32">
        <f>AT275</f>
        <v>1</v>
      </c>
      <c r="AU274" s="32" t="str">
        <f>AU275</f>
        <v>coupe</v>
      </c>
      <c r="AV274" s="33" t="str">
        <f>AV275</f>
        <v>Receta madre ► MILLE-FEUILLE  aux fraises des bois</v>
      </c>
      <c r="AW274" s="53"/>
      <c r="AX274" s="1323" t="s">
        <v>8096</v>
      </c>
      <c r="AY274" s="6737">
        <f>BG309</f>
        <v>0</v>
      </c>
      <c r="AZ274" s="6737"/>
      <c r="BA274" s="1324" t="str" cm="1">
        <f t="array" ref="BA274">"1= "&amp;IF(OR(AW273&lt;=0,AY274=""),"",_xlfn.LET(_xlpm.kg,IF(ISNUMBER(AY274),AY274,VALEUR(SUBSTITUTE(SUBSTITUTE(SUBSTITUTE(LOWER(AY274),"kg",""),",",".")," ",""))),TEXT(ROUND(_xlpm.kg*1000/AW273,2),"0.##")&amp;" g"))</f>
        <v>1= 0. g</v>
      </c>
      <c r="BB274" s="1325">
        <f>IFERROR(BJ272/BJ274,0)</f>
        <v>3.3333333333333335</v>
      </c>
      <c r="BC274" s="1817" t="s">
        <v>8413</v>
      </c>
      <c r="BD274" s="55"/>
      <c r="BE274" s="55"/>
      <c r="BF274" s="55"/>
      <c r="BH274" s="1362"/>
      <c r="BI274" s="1362" t="s">
        <v>154</v>
      </c>
      <c r="BJ274" s="2102">
        <v>1.5</v>
      </c>
      <c r="BK274" s="56" t="s">
        <v>1784</v>
      </c>
      <c r="BM274" s="3">
        <v>1</v>
      </c>
    </row>
    <row r="275" spans="2:65" ht="21" customHeight="1">
      <c r="B275" s="25" t="s">
        <v>10</v>
      </c>
      <c r="C275" s="61" t="str">
        <f>G275</f>
        <v>N NOM DE VOTRE RECETTE | collez la--FAMILLE| Auteur &gt; VOUS</v>
      </c>
      <c r="D275" s="62">
        <f>G273</f>
        <v>1</v>
      </c>
      <c r="E275" s="61" t="str">
        <f>H273</f>
        <v>coupe</v>
      </c>
      <c r="F275" s="63" t="str">
        <f>M275&amp;" "&amp;N275</f>
        <v>Recette mère ► MILLE-FEUILLE  aux fraises des bois</v>
      </c>
      <c r="G275" s="64" t="str">
        <f>UPPER(LEFT(J269,1))&amp;" "&amp;J269&amp;" | "&amp;S269&amp;"| "&amp;J271&amp;" "&amp;K271</f>
        <v>N NOM DE VOTRE RECETTE | collez la--FAMILLE| Auteur &gt; VOUS</v>
      </c>
      <c r="H275" s="65" t="s">
        <v>53</v>
      </c>
      <c r="I275" s="6735" t="s">
        <v>54</v>
      </c>
      <c r="J275" s="6735"/>
      <c r="K275" s="6735"/>
      <c r="L275" s="66"/>
      <c r="M275" s="66" t="str">
        <f>IF(ISTEXT(N275),"Recette mère ►",H275)</f>
        <v>Recette mère ►</v>
      </c>
      <c r="N275" s="67" t="s">
        <v>3081</v>
      </c>
      <c r="O275" s="67"/>
      <c r="P275" s="67"/>
      <c r="Q275" s="883"/>
      <c r="R275" s="68"/>
      <c r="S275" s="68"/>
      <c r="T275" s="68"/>
      <c r="U275"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W275" s="25" t="s">
        <v>10</v>
      </c>
      <c r="X275" s="61" t="str">
        <f>AB275</f>
        <v>N NAME OF YOUR RECIPE | paste it — FAMILY|  Author &gt; YOU</v>
      </c>
      <c r="Y275" s="62">
        <f>AB273</f>
        <v>1</v>
      </c>
      <c r="Z275" s="61" t="str">
        <f>AC273</f>
        <v>coupe</v>
      </c>
      <c r="AA275" s="63" t="str">
        <f>AH275&amp;" "&amp;AI275</f>
        <v>Master recipe ► MILLE-FEUILLE  aux fraises des bois</v>
      </c>
      <c r="AB275" s="64" t="str">
        <f>UPPER(LEFT(AE269,1))&amp;" "&amp;AE269&amp;" | "&amp;AN269&amp;"| "&amp;AE271&amp;" "&amp;AF271</f>
        <v>N NAME OF YOUR RECIPE | paste it — FAMILY|  Author &gt; YOU</v>
      </c>
      <c r="AC275" s="65" t="s">
        <v>855</v>
      </c>
      <c r="AD275" s="6735" t="s">
        <v>852</v>
      </c>
      <c r="AE275" s="6735"/>
      <c r="AF275" s="6735"/>
      <c r="AG275" s="66"/>
      <c r="AH275" s="66" t="str">
        <f>IF(ISTEXT(AI275),"Master recipe ►",AC275)</f>
        <v>Master recipe ►</v>
      </c>
      <c r="AI275" s="67" t="s">
        <v>3081</v>
      </c>
      <c r="AJ275" s="67"/>
      <c r="AK275" s="67"/>
      <c r="AL275" s="883"/>
      <c r="AM275" s="68"/>
      <c r="AN275" s="68"/>
      <c r="AO275" s="68"/>
      <c r="AP275" s="1818" t="str">
        <f>IF(ISNUMBER(IFERROR(VALUE("0,5"),"")),"WARNING: on this computer, the decimal separator is the COMMA,",IF(ISNUMBER(IFERROR(VALUE("0.5"),"")),"  OK. ALL GOOD: on this computer. the decimal separator is the PERIOD (DOT).","Unable to determine the decimal separator"))</f>
        <v xml:space="preserve">  OK. ALL GOOD: on this computer. the decimal separator is the PERIOD (DOT).</v>
      </c>
      <c r="AR275" s="25" t="s">
        <v>10</v>
      </c>
      <c r="AS275" s="61" t="str">
        <f>AW275</f>
        <v>N NOMBRE DE SU RECETA | pegue esto — FAMILIA| Auteur &gt; VOUS</v>
      </c>
      <c r="AT275" s="62">
        <f>AW273</f>
        <v>1</v>
      </c>
      <c r="AU275" s="61" t="str">
        <f>AX273</f>
        <v>coupe</v>
      </c>
      <c r="AV275" s="63" t="str">
        <f>BC275&amp;" "&amp;BD275</f>
        <v>Receta madre ► MILLE-FEUILLE  aux fraises des bois</v>
      </c>
      <c r="AW275" s="64" t="str">
        <f>UPPER(LEFT(AZ269,1))&amp;" "&amp;AZ269&amp;" | "&amp;BI269&amp;"| "&amp;AZ271&amp;" "&amp;BA271</f>
        <v>N NOMBRE DE SU RECETA | pegue esto — FAMILIA| Auteur &gt; VOUS</v>
      </c>
      <c r="AX275" s="65" t="s">
        <v>53</v>
      </c>
      <c r="AY275" s="6735" t="s">
        <v>870</v>
      </c>
      <c r="AZ275" s="6735"/>
      <c r="BA275" s="6735"/>
      <c r="BB275" s="66"/>
      <c r="BC275" s="66" t="str">
        <f>IF(ISTEXT(BD275),"Receta madre ►",AX275)</f>
        <v>Receta madre ►</v>
      </c>
      <c r="BD275" s="67" t="s">
        <v>3081</v>
      </c>
      <c r="BE275" s="67"/>
      <c r="BF275" s="67"/>
      <c r="BG275" s="883"/>
      <c r="BH275" s="68"/>
      <c r="BI275" s="68"/>
      <c r="BJ275" s="68"/>
      <c r="BK275" s="1818" t="str">
        <f>IF(ISNUMBER(IFERROR(VALUE("0,5"),"")),"ATENCIÓN: en este ordenador, el separador decimal es la COMA",IF(ISNUMBER(IFERROR(VALUE("0.5"),"")),"  OK. TODO BIEN: en este ordenador. el separador decimal es el PUNTO","Imposible determinar el separador decimal"))</f>
        <v xml:space="preserve">  OK. TODO BIEN: en este ordenador. el separador decimal es el PUNTO</v>
      </c>
      <c r="BM275" s="3">
        <v>1</v>
      </c>
    </row>
    <row r="276" spans="2:65" ht="21" customHeight="1">
      <c r="B276" s="25" t="s">
        <v>10</v>
      </c>
      <c r="C276" s="70" t="str">
        <f>C275</f>
        <v>N NOM DE VOTRE RECETTE | collez la--FAMILLE| Auteur &gt; VOUS</v>
      </c>
      <c r="D276" s="70">
        <f>D275</f>
        <v>1</v>
      </c>
      <c r="E276" s="70" t="str">
        <f>E275</f>
        <v>coupe</v>
      </c>
      <c r="F276" s="71" t="str">
        <f>F275</f>
        <v>Recette mère ► MILLE-FEUILLE  aux fraises des bois</v>
      </c>
      <c r="G276" s="12" t="s">
        <v>65</v>
      </c>
      <c r="H276" s="12" t="s">
        <v>66</v>
      </c>
      <c r="I276" s="12" t="s">
        <v>67</v>
      </c>
      <c r="J276" s="12" t="s">
        <v>68</v>
      </c>
      <c r="K276" s="72" t="s">
        <v>69</v>
      </c>
      <c r="L276" s="73" t="s">
        <v>70</v>
      </c>
      <c r="M276" s="12" t="s">
        <v>71</v>
      </c>
      <c r="N276" s="12" t="s">
        <v>72</v>
      </c>
      <c r="O276" s="12" t="s">
        <v>73</v>
      </c>
      <c r="P276" s="12" t="s">
        <v>74</v>
      </c>
      <c r="Q276" s="12" t="s">
        <v>75</v>
      </c>
      <c r="R276" s="12" t="s">
        <v>76</v>
      </c>
      <c r="S276" s="12" t="s">
        <v>77</v>
      </c>
      <c r="T276" s="12" t="s">
        <v>8143</v>
      </c>
      <c r="U276" s="74" t="s">
        <v>8407</v>
      </c>
      <c r="W276" s="25" t="s">
        <v>10</v>
      </c>
      <c r="X276" s="70" t="str">
        <f>X275</f>
        <v>N NAME OF YOUR RECIPE | paste it — FAMILY|  Author &gt; YOU</v>
      </c>
      <c r="Y276" s="70">
        <f>Y275</f>
        <v>1</v>
      </c>
      <c r="Z276" s="70" t="str">
        <f>Z275</f>
        <v>coupe</v>
      </c>
      <c r="AA276" s="71" t="str">
        <f>AA275</f>
        <v>Master recipe ► MILLE-FEUILLE  aux fraises des bois</v>
      </c>
      <c r="AB276" s="12" t="s">
        <v>65</v>
      </c>
      <c r="AC276" s="12" t="s">
        <v>66</v>
      </c>
      <c r="AD276" s="12" t="s">
        <v>67</v>
      </c>
      <c r="AE276" s="12" t="s">
        <v>68</v>
      </c>
      <c r="AF276" s="72" t="s">
        <v>69</v>
      </c>
      <c r="AG276" s="73" t="s">
        <v>70</v>
      </c>
      <c r="AH276" s="12" t="s">
        <v>71</v>
      </c>
      <c r="AI276" s="12" t="s">
        <v>72</v>
      </c>
      <c r="AJ276" s="12" t="s">
        <v>73</v>
      </c>
      <c r="AK276" s="12" t="s">
        <v>74</v>
      </c>
      <c r="AL276" s="12" t="s">
        <v>75</v>
      </c>
      <c r="AM276" s="12" t="s">
        <v>76</v>
      </c>
      <c r="AN276" s="12" t="s">
        <v>77</v>
      </c>
      <c r="AO276" s="12" t="s">
        <v>8143</v>
      </c>
      <c r="AP276" s="74" t="s">
        <v>8407</v>
      </c>
      <c r="AR276" s="25" t="s">
        <v>10</v>
      </c>
      <c r="AS276" s="70" t="str">
        <f>AS275</f>
        <v>N NOMBRE DE SU RECETA | pegue esto — FAMILIA| Auteur &gt; VOUS</v>
      </c>
      <c r="AT276" s="70">
        <f>AT275</f>
        <v>1</v>
      </c>
      <c r="AU276" s="70" t="str">
        <f>AU275</f>
        <v>coupe</v>
      </c>
      <c r="AV276" s="71" t="str">
        <f>AV275</f>
        <v>Receta madre ► MILLE-FEUILLE  aux fraises des bois</v>
      </c>
      <c r="AW276" s="12" t="s">
        <v>65</v>
      </c>
      <c r="AX276" s="12" t="s">
        <v>66</v>
      </c>
      <c r="AY276" s="12" t="s">
        <v>67</v>
      </c>
      <c r="AZ276" s="12" t="s">
        <v>68</v>
      </c>
      <c r="BA276" s="72" t="s">
        <v>69</v>
      </c>
      <c r="BB276" s="73" t="s">
        <v>70</v>
      </c>
      <c r="BC276" s="12" t="s">
        <v>71</v>
      </c>
      <c r="BD276" s="12" t="s">
        <v>72</v>
      </c>
      <c r="BE276" s="12" t="s">
        <v>73</v>
      </c>
      <c r="BF276" s="12" t="s">
        <v>74</v>
      </c>
      <c r="BG276" s="12" t="s">
        <v>75</v>
      </c>
      <c r="BH276" s="12" t="s">
        <v>76</v>
      </c>
      <c r="BI276" s="12" t="s">
        <v>77</v>
      </c>
      <c r="BJ276" s="12" t="s">
        <v>8143</v>
      </c>
      <c r="BK276" s="74" t="s">
        <v>8407</v>
      </c>
      <c r="BM276" s="3">
        <v>1</v>
      </c>
    </row>
    <row r="277" spans="2:65" ht="21" customHeight="1">
      <c r="B277" s="25" t="s">
        <v>10</v>
      </c>
      <c r="C277" s="31" t="str">
        <f>C275</f>
        <v>N NOM DE VOTRE RECETTE | collez la--FAMILLE| Auteur &gt; VOUS</v>
      </c>
      <c r="D277" s="32">
        <f>D275</f>
        <v>1</v>
      </c>
      <c r="E277" s="31" t="str">
        <f>E275</f>
        <v>coupe</v>
      </c>
      <c r="F277" s="33" t="str">
        <f>F275</f>
        <v>Recette mère ► MILLE-FEUILLE  aux fraises des bois</v>
      </c>
      <c r="G277" s="76" t="s">
        <v>78</v>
      </c>
      <c r="H277" s="77" t="s">
        <v>79</v>
      </c>
      <c r="I277" s="78"/>
      <c r="J277" s="6612" t="s">
        <v>80</v>
      </c>
      <c r="K277" s="6730" t="s">
        <v>81</v>
      </c>
      <c r="L277" s="6732" t="s">
        <v>82</v>
      </c>
      <c r="M277" s="6738" t="s">
        <v>8575</v>
      </c>
      <c r="N277" s="79" t="s">
        <v>83</v>
      </c>
      <c r="O277" s="80" t="s">
        <v>49</v>
      </c>
      <c r="P277" s="81" t="s">
        <v>84</v>
      </c>
      <c r="Q277" s="6607" t="s">
        <v>85</v>
      </c>
      <c r="R277" s="6582" t="s">
        <v>84</v>
      </c>
      <c r="S277" s="6727" t="s">
        <v>8405</v>
      </c>
      <c r="T277" s="6584" t="s">
        <v>86</v>
      </c>
      <c r="U277" s="6728" t="s">
        <v>87</v>
      </c>
      <c r="W277" s="25" t="s">
        <v>10</v>
      </c>
      <c r="X277" s="31" t="str">
        <f>X275</f>
        <v>N NAME OF YOUR RECIPE | paste it — FAMILY|  Author &gt; YOU</v>
      </c>
      <c r="Y277" s="32">
        <f>Y275</f>
        <v>1</v>
      </c>
      <c r="Z277" s="31" t="str">
        <f>Z275</f>
        <v>coupe</v>
      </c>
      <c r="AA277" s="33" t="str">
        <f>AA275</f>
        <v>Master recipe ► MILLE-FEUILLE  aux fraises des bois</v>
      </c>
      <c r="AB277" s="76" t="s">
        <v>78</v>
      </c>
      <c r="AC277" s="77" t="s">
        <v>79</v>
      </c>
      <c r="AD277" s="78"/>
      <c r="AE277" s="6612" t="s">
        <v>226</v>
      </c>
      <c r="AF277" s="6730" t="s">
        <v>81</v>
      </c>
      <c r="AG277" s="6732" t="s">
        <v>82</v>
      </c>
      <c r="AH277" s="6738" t="s">
        <v>8575</v>
      </c>
      <c r="AI277" s="79" t="s">
        <v>83</v>
      </c>
      <c r="AJ277" s="80" t="s">
        <v>152</v>
      </c>
      <c r="AK277" s="81" t="s">
        <v>242</v>
      </c>
      <c r="AL277" s="6607" t="s">
        <v>856</v>
      </c>
      <c r="AM277" s="6582" t="s">
        <v>242</v>
      </c>
      <c r="AN277" s="6582" t="s">
        <v>230</v>
      </c>
      <c r="AO277" s="6584" t="s">
        <v>857</v>
      </c>
      <c r="AP277" s="6728" t="s">
        <v>245</v>
      </c>
      <c r="AR277" s="25" t="s">
        <v>10</v>
      </c>
      <c r="AS277" s="31" t="str">
        <f>AS275</f>
        <v>N NOMBRE DE SU RECETA | pegue esto — FAMILIA| Auteur &gt; VOUS</v>
      </c>
      <c r="AT277" s="32">
        <f>AT275</f>
        <v>1</v>
      </c>
      <c r="AU277" s="31" t="str">
        <f>AU275</f>
        <v>coupe</v>
      </c>
      <c r="AV277" s="33" t="str">
        <f>AV275</f>
        <v>Receta madre ► MILLE-FEUILLE  aux fraises des bois</v>
      </c>
      <c r="AW277" s="76" t="s">
        <v>78</v>
      </c>
      <c r="AX277" s="77" t="s">
        <v>79</v>
      </c>
      <c r="AY277" s="78"/>
      <c r="AZ277" s="6787" t="s">
        <v>227</v>
      </c>
      <c r="BA277" s="6788" t="s">
        <v>81</v>
      </c>
      <c r="BB277" s="6732" t="s">
        <v>82</v>
      </c>
      <c r="BC277" s="6738" t="s">
        <v>8575</v>
      </c>
      <c r="BD277" s="79" t="s">
        <v>83</v>
      </c>
      <c r="BE277" s="80" t="s">
        <v>246</v>
      </c>
      <c r="BF277" s="81" t="s">
        <v>247</v>
      </c>
      <c r="BG277" s="6789" t="s">
        <v>871</v>
      </c>
      <c r="BH277" s="6727" t="s">
        <v>247</v>
      </c>
      <c r="BI277" s="6582" t="s">
        <v>8405</v>
      </c>
      <c r="BJ277" s="6791" t="s">
        <v>872</v>
      </c>
      <c r="BK277" s="6792" t="s">
        <v>250</v>
      </c>
      <c r="BM277" s="3">
        <v>1</v>
      </c>
    </row>
    <row r="278" spans="2:65" ht="21" customHeight="1">
      <c r="B278" s="25" t="s">
        <v>10</v>
      </c>
      <c r="C278" s="31" t="str">
        <f>C275</f>
        <v>N NOM DE VOTRE RECETTE | collez la--FAMILLE| Auteur &gt; VOUS</v>
      </c>
      <c r="D278" s="32">
        <f>D275</f>
        <v>1</v>
      </c>
      <c r="E278" s="31" t="str">
        <f>E275</f>
        <v>coupe</v>
      </c>
      <c r="F278" s="33" t="str">
        <f>F275</f>
        <v>Recette mère ► MILLE-FEUILLE  aux fraises des bois</v>
      </c>
      <c r="G278" s="83" t="s">
        <v>92</v>
      </c>
      <c r="H278" s="84" t="s">
        <v>93</v>
      </c>
      <c r="I278" s="85" t="s">
        <v>94</v>
      </c>
      <c r="J278" s="6577"/>
      <c r="K278" s="6471"/>
      <c r="L278" s="6606"/>
      <c r="M278" s="6739"/>
      <c r="N278" s="86" t="s">
        <v>95</v>
      </c>
      <c r="O278" s="87" t="s">
        <v>96</v>
      </c>
      <c r="P278" s="88">
        <v>1</v>
      </c>
      <c r="Q278" s="6608"/>
      <c r="R278" s="6583"/>
      <c r="S278" s="6583"/>
      <c r="T278" s="6585"/>
      <c r="U278" s="6786"/>
      <c r="W278" s="25" t="s">
        <v>10</v>
      </c>
      <c r="X278" s="31" t="str">
        <f>X275</f>
        <v>N NAME OF YOUR RECIPE | paste it — FAMILY|  Author &gt; YOU</v>
      </c>
      <c r="Y278" s="32">
        <f>Y275</f>
        <v>1</v>
      </c>
      <c r="Z278" s="31" t="str">
        <f>Z275</f>
        <v>coupe</v>
      </c>
      <c r="AA278" s="33" t="str">
        <f>AA275</f>
        <v>Master recipe ► MILLE-FEUILLE  aux fraises des bois</v>
      </c>
      <c r="AB278" s="83" t="s">
        <v>229</v>
      </c>
      <c r="AC278" s="84" t="s">
        <v>230</v>
      </c>
      <c r="AD278" s="85" t="s">
        <v>858</v>
      </c>
      <c r="AE278" s="6577"/>
      <c r="AF278" s="6471"/>
      <c r="AG278" s="6606"/>
      <c r="AH278" s="6739"/>
      <c r="AI278" s="86" t="s">
        <v>832</v>
      </c>
      <c r="AJ278" s="87" t="s">
        <v>436</v>
      </c>
      <c r="AK278" s="88">
        <v>1</v>
      </c>
      <c r="AL278" s="6608"/>
      <c r="AM278" s="6583"/>
      <c r="AN278" s="6583"/>
      <c r="AO278" s="6585"/>
      <c r="AP278" s="6786"/>
      <c r="AR278" s="25" t="s">
        <v>10</v>
      </c>
      <c r="AS278" s="31" t="str">
        <f>AS275</f>
        <v>N NOMBRE DE SU RECETA | pegue esto — FAMILIA| Auteur &gt; VOUS</v>
      </c>
      <c r="AT278" s="32">
        <f>AT275</f>
        <v>1</v>
      </c>
      <c r="AU278" s="31" t="str">
        <f>AU275</f>
        <v>coupe</v>
      </c>
      <c r="AV278" s="33" t="str">
        <f>AV275</f>
        <v>Receta madre ► MILLE-FEUILLE  aux fraises des bois</v>
      </c>
      <c r="AW278" s="83" t="s">
        <v>232</v>
      </c>
      <c r="AX278" s="84" t="s">
        <v>233</v>
      </c>
      <c r="AY278" s="85" t="s">
        <v>94</v>
      </c>
      <c r="AZ278" s="6577"/>
      <c r="BA278" s="6471"/>
      <c r="BB278" s="6606"/>
      <c r="BC278" s="6739"/>
      <c r="BD278" s="86" t="s">
        <v>834</v>
      </c>
      <c r="BE278" s="87" t="s">
        <v>437</v>
      </c>
      <c r="BF278" s="88">
        <v>1</v>
      </c>
      <c r="BG278" s="6790"/>
      <c r="BH278" s="6583"/>
      <c r="BI278" s="6583"/>
      <c r="BJ278" s="6585"/>
      <c r="BK278" s="6786"/>
      <c r="BM278" s="3">
        <v>1</v>
      </c>
    </row>
    <row r="279" spans="2:65" ht="21" customHeight="1">
      <c r="B279" s="25" t="s">
        <v>10</v>
      </c>
      <c r="C279" s="31" t="str">
        <f>C275</f>
        <v>N NOM DE VOTRE RECETTE | collez la--FAMILLE| Auteur &gt; VOUS</v>
      </c>
      <c r="D279" s="32">
        <f>D275</f>
        <v>1</v>
      </c>
      <c r="E279" s="31" t="str">
        <f>E275</f>
        <v>coupe</v>
      </c>
      <c r="F279" s="33" t="str">
        <f>F275</f>
        <v>Recette mère ► MILLE-FEUILLE  aux fraises des bois</v>
      </c>
      <c r="G279" s="89"/>
      <c r="H279" s="90"/>
      <c r="I279" s="91" t="str">
        <f t="shared" ref="I279:I308" si="67">IF(OR(ISTEXT(G279), G279&lt;=0, J279&lt;=0), "", "de")</f>
        <v/>
      </c>
      <c r="J279" s="92"/>
      <c r="K279" s="128"/>
      <c r="L279" s="130">
        <v>1</v>
      </c>
      <c r="M279" s="1812" t="str">
        <f>ROWS(M279:M279)&amp;" ►"</f>
        <v>1 ►</v>
      </c>
      <c r="N279" s="1580"/>
      <c r="O279" s="95">
        <f>IF(Q309=0,0,(Q279/Q309)*P278*1000)</f>
        <v>0</v>
      </c>
      <c r="P279" s="96">
        <f>IF(Q309=0, 0, (G279*L279)/(Q309*P278))</f>
        <v>0</v>
      </c>
      <c r="Q279" s="97" cm="1">
        <f t="array" ref="Q279">IFERROR(_xlfn.XLOOKUP(UPPER(TRIM(K279)),UPPER(TRIM(G310:U310)),G311:U311,_xlfn.XLOOKUP(UPPER(TRIM(K279)),UPPER(TRIM(G312:U312)),G313:U313,0))*J279*IF(G279&gt;0,G279,1),0)</f>
        <v>0</v>
      </c>
      <c r="R279" s="98">
        <f>IF(T274&lt;&gt;0,G279*L279*L274,0)</f>
        <v>0</v>
      </c>
      <c r="S279" s="1834">
        <f>H279</f>
        <v>0</v>
      </c>
      <c r="T279" s="99">
        <f>IF(OR(ISBLANK(T274),T274=0),0,Q279*L279*L274)</f>
        <v>0</v>
      </c>
      <c r="U279" s="1366" t="str">
        <f>IF(K279="","",IF(COUNTIF(N310:U310,SUBSTITUTE(TRIM(K279)," (s)",""))+COUNTIF(N312:U312,SUBSTITUTE(TRIM(K279)," (s)",""))&gt;0,IF(ROUND(T279,3)&gt;=1,ROUND(T279,3)&amp;" L",MAX(1,ROUND(T279*100,0))&amp;" cl"),IF(COUNTIF(G310:L310,SUBSTITUTE(TRIM(K279)," (s)",""))+COUNTIF(G312:L312,SUBSTITUTE(TRIM(K279)," (s)",""))&gt;0,IF(ROUND(T279,3)&gt;=1,ROUND(T279,3)&amp;" Kg",MAX(1,ROUND(T279*1000,0))&amp;" g"),"")))</f>
        <v/>
      </c>
      <c r="W279" s="25" t="s">
        <v>10</v>
      </c>
      <c r="X279" s="31" t="str">
        <f>X275</f>
        <v>N NAME OF YOUR RECIPE | paste it — FAMILY|  Author &gt; YOU</v>
      </c>
      <c r="Y279" s="32">
        <f>Y275</f>
        <v>1</v>
      </c>
      <c r="Z279" s="31" t="str">
        <f>Z275</f>
        <v>coupe</v>
      </c>
      <c r="AA279" s="33" t="str">
        <f>AA275</f>
        <v>Master recipe ► MILLE-FEUILLE  aux fraises des bois</v>
      </c>
      <c r="AB279" s="89"/>
      <c r="AC279" s="90"/>
      <c r="AD279" s="91" t="str">
        <f t="shared" ref="AD279:AD308" si="68">IF(OR(ISTEXT(AB279), AB279&lt;=0, AE279&lt;=0), "", "de")</f>
        <v/>
      </c>
      <c r="AE279" s="92"/>
      <c r="AF279" s="128"/>
      <c r="AG279" s="130">
        <v>1</v>
      </c>
      <c r="AH279" s="1812" t="str">
        <f>ROWS(AH279:AH279)&amp;" ►"</f>
        <v>1 ►</v>
      </c>
      <c r="AI279" s="1580"/>
      <c r="AJ279" s="95">
        <f>IF(AL309=0,0,(AL279/AL309)*AK278*1000)</f>
        <v>0</v>
      </c>
      <c r="AK279" s="96">
        <f>IF(AL309=0, 0, (AB279*AG279)/(AL309*AK278))</f>
        <v>0</v>
      </c>
      <c r="AL279" s="97" cm="1">
        <f t="array" ref="AL279">IFERROR(_xlfn.XLOOKUP(UPPER(TRIM(AF279)),UPPER(TRIM(AB310:AP310)),AB311:AP311,_xlfn.XLOOKUP(UPPER(TRIM(AF279)),UPPER(TRIM(AB312:AP312)),AB313:AP313,0))*AE279*IF(AB279&gt;0,AB279,1),0)</f>
        <v>0</v>
      </c>
      <c r="AM279" s="98">
        <f>IF(AO274&lt;&gt;0,AB279*AG279*AG274,0)</f>
        <v>0</v>
      </c>
      <c r="AN279" s="1834">
        <f>AC279</f>
        <v>0</v>
      </c>
      <c r="AO279" s="99">
        <f>IF(OR(ISBLANK(AO274),AO274=0),0,AL279*AG279*AG274)</f>
        <v>0</v>
      </c>
      <c r="AP279" s="1366" t="str">
        <f>IF(AF279="","",IF(COUNTIF(AI310:AP310,SUBSTITUTE(TRIM(AF279)," (s)",""))+COUNTIF(AI312:AP312,SUBSTITUTE(TRIM(AF279)," (s)",""))&gt;0,IF(ROUND(AO279,3)&gt;=1,ROUND(AO279,3)&amp;" L",MAX(1,ROUND(AO279*100,0))&amp;" cl"),IF(COUNTIF(AB310:AG310,SUBSTITUTE(TRIM(AF279)," (s)",""))+COUNTIF(AB312:AG312,SUBSTITUTE(TRIM(AF279)," (s)",""))&gt;0,IF(ROUND(AO279,3)&gt;=1,ROUND(AO279,3)&amp;" Kg",MAX(1,ROUND(AO279*1000,0))&amp;" g"),"")))</f>
        <v/>
      </c>
      <c r="AR279" s="25" t="s">
        <v>10</v>
      </c>
      <c r="AS279" s="31" t="str">
        <f>AS275</f>
        <v>N NOMBRE DE SU RECETA | pegue esto — FAMILIA| Auteur &gt; VOUS</v>
      </c>
      <c r="AT279" s="32">
        <f>AT275</f>
        <v>1</v>
      </c>
      <c r="AU279" s="31" t="str">
        <f>AU275</f>
        <v>coupe</v>
      </c>
      <c r="AV279" s="33" t="str">
        <f>AV275</f>
        <v>Receta madre ► MILLE-FEUILLE  aux fraises des bois</v>
      </c>
      <c r="AW279" s="89"/>
      <c r="AX279" s="90"/>
      <c r="AY279" s="91" t="str">
        <f t="shared" ref="AY279:AY308" si="69">IF(OR(ISTEXT(AW279), AW279&lt;=0, AZ279&lt;=0), "", "de")</f>
        <v/>
      </c>
      <c r="AZ279" s="92"/>
      <c r="BA279" s="128"/>
      <c r="BB279" s="130">
        <v>1</v>
      </c>
      <c r="BC279" s="1812" t="str">
        <f>ROWS(BC279:BC279)&amp;" ►"</f>
        <v>1 ►</v>
      </c>
      <c r="BD279" s="1580"/>
      <c r="BE279" s="95">
        <f>IF(BG309=0,0,(BG279/BG309)*BF278*1000)</f>
        <v>0</v>
      </c>
      <c r="BF279" s="96">
        <f>IF(BG309=0, 0, (AW279*BB279)/(BG309*BF278))</f>
        <v>0</v>
      </c>
      <c r="BG279" s="97" cm="1">
        <f t="array" ref="BG279">IFERROR(_xlfn.XLOOKUP(UPPER(TRIM(BA279)),UPPER(TRIM(AW310:BK310)),AW311:BK311,_xlfn.XLOOKUP(UPPER(TRIM(BA279)),UPPER(TRIM(AW312:BK312)),AW313:BK313,0))*AZ279*IF(AW279&gt;0,AW279,1),0)</f>
        <v>0</v>
      </c>
      <c r="BH279" s="98">
        <f>IF(BJ274&lt;&gt;0,AW279*BB279*BB274,0)</f>
        <v>0</v>
      </c>
      <c r="BI279" s="1834">
        <f>AX279</f>
        <v>0</v>
      </c>
      <c r="BJ279" s="99">
        <f>IF(OR(ISBLANK(BJ274),BJ274=0),0,BG279*BB279*BB274)</f>
        <v>0</v>
      </c>
      <c r="BK279" s="1366" t="str">
        <f>IF(BA279="","",IF(COUNTIF(BD310:BK310,SUBSTITUTE(TRIM(BA279)," (s)",""))+COUNTIF(BD312:BK312,SUBSTITUTE(TRIM(BA279)," (s)",""))&gt;0,IF(ROUND(BJ279,3)&gt;=1,ROUND(BJ279,3)&amp;" L",MAX(1,ROUND(BJ279*100,0))&amp;" cl"),IF(COUNTIF(AW310:BB310,SUBSTITUTE(TRIM(BA279)," (s)",""))+COUNTIF(AW312:BB312,SUBSTITUTE(TRIM(BA279)," (s)",""))&gt;0,IF(ROUND(BJ279,3)&gt;=1,ROUND(BJ279,3)&amp;" Kg",MAX(1,ROUND(BJ279*1000,0))&amp;" g"),"")))</f>
        <v/>
      </c>
      <c r="BM279" s="3">
        <v>1</v>
      </c>
    </row>
    <row r="280" spans="2:65" ht="21" customHeight="1">
      <c r="B280" s="103" t="str">
        <f t="shared" ref="B280:B307" si="70">IF(N280&lt;&gt;"","A","►")</f>
        <v>►</v>
      </c>
      <c r="C280" s="31" t="str">
        <f>C275</f>
        <v>N NOM DE VOTRE RECETTE | collez la--FAMILLE| Auteur &gt; VOUS</v>
      </c>
      <c r="D280" s="32">
        <f>D275</f>
        <v>1</v>
      </c>
      <c r="E280" s="31" t="str">
        <f>E275</f>
        <v>coupe</v>
      </c>
      <c r="F280" s="33" t="str">
        <f>F275</f>
        <v>Recette mère ► MILLE-FEUILLE  aux fraises des bois</v>
      </c>
      <c r="G280" s="89"/>
      <c r="H280" s="108"/>
      <c r="I280" s="91" t="str">
        <f t="shared" si="67"/>
        <v/>
      </c>
      <c r="J280" s="92"/>
      <c r="K280" s="128"/>
      <c r="L280" s="130">
        <v>1</v>
      </c>
      <c r="M280" s="1813" t="str">
        <f>ROWS(M279:M280)&amp;" ►"</f>
        <v>2 ►</v>
      </c>
      <c r="N280" s="1580"/>
      <c r="O280" s="95">
        <f>IF(Q309=0,0,(Q280/Q309)*P278*1000)</f>
        <v>0</v>
      </c>
      <c r="P280" s="105">
        <f>IF(Q309=0, 0, (G280*L280)/(Q309*P278))</f>
        <v>0</v>
      </c>
      <c r="Q280" s="97" cm="1">
        <f t="array" ref="Q280">IFERROR(_xlfn.XLOOKUP(UPPER(TRIM(K280)),UPPER(TRIM(G310:U310)),G311:U311,_xlfn.XLOOKUP(UPPER(TRIM(K280)),UPPER(TRIM(G312:U312)),G313:U313,0))*J280*IF(G280&gt;0,G280,1),0)</f>
        <v>0</v>
      </c>
      <c r="R280" s="110">
        <f>IF(T274&lt;&gt;0,G280*L280*L274,0)</f>
        <v>0</v>
      </c>
      <c r="S280" s="1748">
        <f t="shared" ref="S280:S308" si="71">H280</f>
        <v>0</v>
      </c>
      <c r="T280" s="99">
        <f>IF(OR(ISBLANK(T274),T274=0),0,Q280*L280*L274)</f>
        <v>0</v>
      </c>
      <c r="U280" s="1617" t="str">
        <f>IF(K280="","",IF(COUNTIF(N310:U310,SUBSTITUTE(TRIM(K280)," (s)",""))+COUNTIF(N312:U312,SUBSTITUTE(TRIM(K280)," (s)",""))&gt;0,IF(ROUND(T280,3)&gt;=1,ROUND(T280,3)&amp;" L",MAX(1,ROUND(T280*100,0))&amp;" cl"),IF(COUNTIF(G310:L310,SUBSTITUTE(TRIM(K280)," (s)",""))+COUNTIF(G312:L312,SUBSTITUTE(TRIM(K280)," (s)",""))&gt;0,IF(ROUND(T280,3)&gt;=1,ROUND(T280,3)&amp;" Kg",MAX(1,ROUND(T280*1000,0))&amp;" g"),"")))</f>
        <v/>
      </c>
      <c r="W280" s="103" t="str">
        <f t="shared" ref="W280:W307" si="72">IF(AI280&lt;&gt;"","A","►")</f>
        <v>►</v>
      </c>
      <c r="X280" s="31" t="str">
        <f>X275</f>
        <v>N NAME OF YOUR RECIPE | paste it — FAMILY|  Author &gt; YOU</v>
      </c>
      <c r="Y280" s="32">
        <f>Y275</f>
        <v>1</v>
      </c>
      <c r="Z280" s="31" t="str">
        <f>Z275</f>
        <v>coupe</v>
      </c>
      <c r="AA280" s="33" t="str">
        <f>AA275</f>
        <v>Master recipe ► MILLE-FEUILLE  aux fraises des bois</v>
      </c>
      <c r="AB280" s="89"/>
      <c r="AC280" s="108"/>
      <c r="AD280" s="91" t="str">
        <f t="shared" si="68"/>
        <v/>
      </c>
      <c r="AE280" s="92"/>
      <c r="AF280" s="128"/>
      <c r="AG280" s="130">
        <v>1</v>
      </c>
      <c r="AH280" s="1813" t="str">
        <f>ROWS(AH279:AH280)&amp;" ►"</f>
        <v>2 ►</v>
      </c>
      <c r="AI280" s="1580"/>
      <c r="AJ280" s="95">
        <f>IF(AL309=0,0,(AL280/AL309)*AK278*1000)</f>
        <v>0</v>
      </c>
      <c r="AK280" s="105">
        <f>IF(AL309=0, 0, (AB280*AG280)/(AL309*AK278))</f>
        <v>0</v>
      </c>
      <c r="AL280" s="97" cm="1">
        <f t="array" ref="AL280">IFERROR(_xlfn.XLOOKUP(UPPER(TRIM(AF280)),UPPER(TRIM(AB310:AP310)),AB311:AP311,_xlfn.XLOOKUP(UPPER(TRIM(AF280)),UPPER(TRIM(AB312:AP312)),AB313:AP313,0))*AE280*IF(AB280&gt;0,AB280,1),0)</f>
        <v>0</v>
      </c>
      <c r="AM280" s="110">
        <f>IF(AO274&lt;&gt;0,AB280*AG280*AG274,0)</f>
        <v>0</v>
      </c>
      <c r="AN280" s="1748">
        <f t="shared" ref="AN280:AN308" si="73">AC280</f>
        <v>0</v>
      </c>
      <c r="AO280" s="99">
        <f>IF(OR(ISBLANK(AO274),AO274=0),0,AL280*AG280*AG274)</f>
        <v>0</v>
      </c>
      <c r="AP280" s="1617" t="str">
        <f>IF(AF280="","",IF(COUNTIF(AI310:AP310,SUBSTITUTE(TRIM(AF280)," (s)",""))+COUNTIF(AI312:AP312,SUBSTITUTE(TRIM(AF280)," (s)",""))&gt;0,IF(ROUND(AO280,3)&gt;=1,ROUND(AO280,3)&amp;" L",MAX(1,ROUND(AO280*100,0))&amp;" cl"),IF(COUNTIF(AB310:AG310,SUBSTITUTE(TRIM(AF280)," (s)",""))+COUNTIF(AB312:AG312,SUBSTITUTE(TRIM(AF280)," (s)",""))&gt;0,IF(ROUND(AO280,3)&gt;=1,ROUND(AO280,3)&amp;" Kg",MAX(1,ROUND(AO280*1000,0))&amp;" g"),"")))</f>
        <v/>
      </c>
      <c r="AR280" s="103" t="str">
        <f t="shared" ref="AR280:AR307" si="74">IF(BD280&lt;&gt;"","A","►")</f>
        <v>►</v>
      </c>
      <c r="AS280" s="31" t="str">
        <f>AS275</f>
        <v>N NOMBRE DE SU RECETA | pegue esto — FAMILIA| Auteur &gt; VOUS</v>
      </c>
      <c r="AT280" s="32">
        <f>AT275</f>
        <v>1</v>
      </c>
      <c r="AU280" s="31" t="str">
        <f>AU275</f>
        <v>coupe</v>
      </c>
      <c r="AV280" s="33" t="str">
        <f>AV275</f>
        <v>Receta madre ► MILLE-FEUILLE  aux fraises des bois</v>
      </c>
      <c r="AW280" s="89"/>
      <c r="AX280" s="108"/>
      <c r="AY280" s="91" t="str">
        <f t="shared" si="69"/>
        <v/>
      </c>
      <c r="AZ280" s="92"/>
      <c r="BA280" s="128"/>
      <c r="BB280" s="130">
        <v>1</v>
      </c>
      <c r="BC280" s="1813" t="str">
        <f>ROWS(BC279:BC280)&amp;" ►"</f>
        <v>2 ►</v>
      </c>
      <c r="BD280" s="1580"/>
      <c r="BE280" s="95">
        <f>IF(BG309=0,0,(BG280/BG309)*BF278*1000)</f>
        <v>0</v>
      </c>
      <c r="BF280" s="105">
        <f>IF(BG309=0, 0, (AW280*BB280)/(BG309*BF278))</f>
        <v>0</v>
      </c>
      <c r="BG280" s="97" cm="1">
        <f t="array" ref="BG280">IFERROR(_xlfn.XLOOKUP(UPPER(TRIM(BA280)),UPPER(TRIM(AW310:BK310)),AW311:BK311,_xlfn.XLOOKUP(UPPER(TRIM(BA280)),UPPER(TRIM(AW312:BK312)),AW313:BK313,0))*AZ280*IF(AW280&gt;0,AW280,1),0)</f>
        <v>0</v>
      </c>
      <c r="BH280" s="110">
        <f>IF(BJ274&lt;&gt;0,AW280*BB280*BB274,0)</f>
        <v>0</v>
      </c>
      <c r="BI280" s="1748">
        <f t="shared" ref="BI280:BI308" si="75">AX280</f>
        <v>0</v>
      </c>
      <c r="BJ280" s="99">
        <f>IF(OR(ISBLANK(BJ274),BJ274=0),0,BG280*BB280*BB274)</f>
        <v>0</v>
      </c>
      <c r="BK280" s="1617" t="str">
        <f>IF(BA280="","",IF(COUNTIF(BD310:BK310,SUBSTITUTE(TRIM(BA280)," (s)",""))+COUNTIF(BD312:BK312,SUBSTITUTE(TRIM(BA280)," (s)",""))&gt;0,IF(ROUND(BJ280,3)&gt;=1,ROUND(BJ280,3)&amp;" L",MAX(1,ROUND(BJ280*100,0))&amp;" cl"),IF(COUNTIF(AW310:BB310,SUBSTITUTE(TRIM(BA280)," (s)",""))+COUNTIF(AW312:BB312,SUBSTITUTE(TRIM(BA280)," (s)",""))&gt;0,IF(ROUND(BJ280,3)&gt;=1,ROUND(BJ280,3)&amp;" Kg",MAX(1,ROUND(BJ280*1000,0))&amp;" g"),"")))</f>
        <v/>
      </c>
      <c r="BM280" s="3">
        <v>1</v>
      </c>
    </row>
    <row r="281" spans="2:65" ht="21" customHeight="1">
      <c r="B281" s="103" t="str">
        <f t="shared" si="70"/>
        <v>►</v>
      </c>
      <c r="C281" s="31" t="str">
        <f>C275</f>
        <v>N NOM DE VOTRE RECETTE | collez la--FAMILLE| Auteur &gt; VOUS</v>
      </c>
      <c r="D281" s="32">
        <f>D275</f>
        <v>1</v>
      </c>
      <c r="E281" s="31" t="str">
        <f>E275</f>
        <v>coupe</v>
      </c>
      <c r="F281" s="33" t="str">
        <f>F275</f>
        <v>Recette mère ► MILLE-FEUILLE  aux fraises des bois</v>
      </c>
      <c r="G281" s="89"/>
      <c r="H281" s="108"/>
      <c r="I281" s="91" t="str">
        <f t="shared" si="67"/>
        <v/>
      </c>
      <c r="J281" s="92"/>
      <c r="K281" s="128"/>
      <c r="L281" s="130">
        <v>1</v>
      </c>
      <c r="M281" s="1813" t="str">
        <f>ROWS(M279:M281)&amp;" ►"</f>
        <v>3 ►</v>
      </c>
      <c r="N281" s="1580"/>
      <c r="O281" s="95">
        <f>IF(Q309=0,0,(Q281/Q309)*P278*1000)</f>
        <v>0</v>
      </c>
      <c r="P281" s="105">
        <f>IF(Q309=0, 0, (G281*L281)/(Q309*P278))</f>
        <v>0</v>
      </c>
      <c r="Q281" s="97" cm="1">
        <f t="array" ref="Q281">IFERROR(_xlfn.XLOOKUP(UPPER(TRIM(K281)),UPPER(TRIM(G310:U310)),G311:U311,_xlfn.XLOOKUP(UPPER(TRIM(K281)),UPPER(TRIM(G312:U312)),G313:U313,0))*J281*IF(G281&gt;0,G281,1),0)</f>
        <v>0</v>
      </c>
      <c r="R281" s="106">
        <f>IF(T274&lt;&gt;0,G281*L281*L274,0)</f>
        <v>0</v>
      </c>
      <c r="S281" s="1747">
        <f t="shared" si="71"/>
        <v>0</v>
      </c>
      <c r="T281" s="99">
        <f>IF(OR(ISBLANK(T274),T274=0),0,Q281*L281*L274)</f>
        <v>0</v>
      </c>
      <c r="U281" s="1367" t="str">
        <f>IF(K281="","",IF(COUNTIF(N310:U310,SUBSTITUTE(TRIM(K281)," (s)",""))+COUNTIF(N312:U312,SUBSTITUTE(TRIM(K281)," (s)",""))&gt;0,IF(ROUND(T281,3)&gt;=1,ROUND(T281,3)&amp;" L",MAX(1,ROUND(T281*100,0))&amp;" cl"),IF(COUNTIF(G310:L310,SUBSTITUTE(TRIM(K281)," (s)",""))+COUNTIF(G312:L312,SUBSTITUTE(TRIM(K281)," (s)",""))&gt;0,IF(ROUND(T281,3)&gt;=1,ROUND(T281,3)&amp;" Kg",MAX(1,ROUND(T281*1000,0))&amp;" g"),"")))</f>
        <v/>
      </c>
      <c r="W281" s="103" t="str">
        <f t="shared" si="72"/>
        <v>►</v>
      </c>
      <c r="X281" s="31" t="str">
        <f>X275</f>
        <v>N NAME OF YOUR RECIPE | paste it — FAMILY|  Author &gt; YOU</v>
      </c>
      <c r="Y281" s="32">
        <f>Y275</f>
        <v>1</v>
      </c>
      <c r="Z281" s="31" t="str">
        <f>Z275</f>
        <v>coupe</v>
      </c>
      <c r="AA281" s="33" t="str">
        <f>AA275</f>
        <v>Master recipe ► MILLE-FEUILLE  aux fraises des bois</v>
      </c>
      <c r="AB281" s="89"/>
      <c r="AC281" s="108"/>
      <c r="AD281" s="91" t="str">
        <f t="shared" si="68"/>
        <v/>
      </c>
      <c r="AE281" s="92"/>
      <c r="AF281" s="128"/>
      <c r="AG281" s="130">
        <v>1</v>
      </c>
      <c r="AH281" s="1813" t="str">
        <f>ROWS(AH279:AH281)&amp;" ►"</f>
        <v>3 ►</v>
      </c>
      <c r="AI281" s="1580"/>
      <c r="AJ281" s="95">
        <f>IF(AL309=0,0,(AL281/AL309)*AK278*1000)</f>
        <v>0</v>
      </c>
      <c r="AK281" s="105">
        <f>IF(AL309=0, 0, (AB281*AG281)/(AL309*AK278))</f>
        <v>0</v>
      </c>
      <c r="AL281" s="97" cm="1">
        <f t="array" ref="AL281">IFERROR(_xlfn.XLOOKUP(UPPER(TRIM(AF281)),UPPER(TRIM(AB310:AP310)),AB311:AP311,_xlfn.XLOOKUP(UPPER(TRIM(AF281)),UPPER(TRIM(AB312:AP312)),AB313:AP313,0))*AE281*IF(AB281&gt;0,AB281,1),0)</f>
        <v>0</v>
      </c>
      <c r="AM281" s="106">
        <f>IF(AO274&lt;&gt;0,AB281*AG281*AG274,0)</f>
        <v>0</v>
      </c>
      <c r="AN281" s="1747">
        <f t="shared" si="73"/>
        <v>0</v>
      </c>
      <c r="AO281" s="99">
        <f>IF(OR(ISBLANK(AO274),AO274=0),0,AL281*AG281*AG274)</f>
        <v>0</v>
      </c>
      <c r="AP281" s="1367" t="str">
        <f>IF(AF281="","",IF(COUNTIF(AI310:AP310,SUBSTITUTE(TRIM(AF281)," (s)",""))+COUNTIF(AI312:AP312,SUBSTITUTE(TRIM(AF281)," (s)",""))&gt;0,IF(ROUND(AO281,3)&gt;=1,ROUND(AO281,3)&amp;" L",MAX(1,ROUND(AO281*100,0))&amp;" cl"),IF(COUNTIF(AB310:AG310,SUBSTITUTE(TRIM(AF281)," (s)",""))+COUNTIF(AB312:AG312,SUBSTITUTE(TRIM(AF281)," (s)",""))&gt;0,IF(ROUND(AO281,3)&gt;=1,ROUND(AO281,3)&amp;" Kg",MAX(1,ROUND(AO281*1000,0))&amp;" g"),"")))</f>
        <v/>
      </c>
      <c r="AR281" s="103" t="str">
        <f t="shared" si="74"/>
        <v>►</v>
      </c>
      <c r="AS281" s="31" t="str">
        <f>AS275</f>
        <v>N NOMBRE DE SU RECETA | pegue esto — FAMILIA| Auteur &gt; VOUS</v>
      </c>
      <c r="AT281" s="32">
        <f>AT275</f>
        <v>1</v>
      </c>
      <c r="AU281" s="31" t="str">
        <f>AU275</f>
        <v>coupe</v>
      </c>
      <c r="AV281" s="33" t="str">
        <f>AV275</f>
        <v>Receta madre ► MILLE-FEUILLE  aux fraises des bois</v>
      </c>
      <c r="AW281" s="89"/>
      <c r="AX281" s="108"/>
      <c r="AY281" s="91" t="str">
        <f t="shared" si="69"/>
        <v/>
      </c>
      <c r="AZ281" s="92"/>
      <c r="BA281" s="128"/>
      <c r="BB281" s="130">
        <v>1</v>
      </c>
      <c r="BC281" s="1813" t="str">
        <f>ROWS(BC279:BC281)&amp;" ►"</f>
        <v>3 ►</v>
      </c>
      <c r="BD281" s="1580"/>
      <c r="BE281" s="95">
        <f>IF(BG309=0,0,(BG281/BG309)*BF278*1000)</f>
        <v>0</v>
      </c>
      <c r="BF281" s="105">
        <f>IF(BG309=0, 0, (AW281*BB281)/(BG309*BF278))</f>
        <v>0</v>
      </c>
      <c r="BG281" s="97" cm="1">
        <f t="array" ref="BG281">IFERROR(_xlfn.XLOOKUP(UPPER(TRIM(BA281)),UPPER(TRIM(AW310:BK310)),AW311:BK311,_xlfn.XLOOKUP(UPPER(TRIM(BA281)),UPPER(TRIM(AW312:BK312)),AW313:BK313,0))*AZ281*IF(AW281&gt;0,AW281,1),0)</f>
        <v>0</v>
      </c>
      <c r="BH281" s="106">
        <f>IF(BJ274&lt;&gt;0,AW281*BB281*BB274,0)</f>
        <v>0</v>
      </c>
      <c r="BI281" s="1747">
        <f t="shared" si="75"/>
        <v>0</v>
      </c>
      <c r="BJ281" s="99">
        <f>IF(OR(ISBLANK(BJ274),BJ274=0),0,BG281*BB281*BB274)</f>
        <v>0</v>
      </c>
      <c r="BK281" s="1367" t="str">
        <f>IF(BA281="","",IF(COUNTIF(BD310:BK310,SUBSTITUTE(TRIM(BA281)," (s)",""))+COUNTIF(BD312:BK312,SUBSTITUTE(TRIM(BA281)," (s)",""))&gt;0,IF(ROUND(BJ281,3)&gt;=1,ROUND(BJ281,3)&amp;" L",MAX(1,ROUND(BJ281*100,0))&amp;" cl"),IF(COUNTIF(AW310:BB310,SUBSTITUTE(TRIM(BA281)," (s)",""))+COUNTIF(AW312:BB312,SUBSTITUTE(TRIM(BA281)," (s)",""))&gt;0,IF(ROUND(BJ281,3)&gt;=1,ROUND(BJ281,3)&amp;" Kg",MAX(1,ROUND(BJ281*1000,0))&amp;" g"),"")))</f>
        <v/>
      </c>
      <c r="BM281" s="3">
        <v>1</v>
      </c>
    </row>
    <row r="282" spans="2:65" ht="21" customHeight="1">
      <c r="B282" s="103" t="str">
        <f t="shared" si="70"/>
        <v>►</v>
      </c>
      <c r="C282" s="31" t="str">
        <f>C275</f>
        <v>N NOM DE VOTRE RECETTE | collez la--FAMILLE| Auteur &gt; VOUS</v>
      </c>
      <c r="D282" s="32">
        <f>D275</f>
        <v>1</v>
      </c>
      <c r="E282" s="31" t="str">
        <f>E275</f>
        <v>coupe</v>
      </c>
      <c r="F282" s="33" t="str">
        <f>F275</f>
        <v>Recette mère ► MILLE-FEUILLE  aux fraises des bois</v>
      </c>
      <c r="G282" s="89"/>
      <c r="H282" s="108"/>
      <c r="I282" s="91" t="str">
        <f t="shared" si="67"/>
        <v/>
      </c>
      <c r="J282" s="92"/>
      <c r="K282" s="128"/>
      <c r="L282" s="130">
        <v>1</v>
      </c>
      <c r="M282" s="1813" t="str">
        <f>ROWS(M279:M282)&amp;" ►"</f>
        <v>4 ►</v>
      </c>
      <c r="N282" s="1580"/>
      <c r="O282" s="95">
        <f>IF(Q309=0,0,(Q282/Q309)*P278*1000)</f>
        <v>0</v>
      </c>
      <c r="P282" s="105">
        <f>IF(Q309=0, 0, (G282*L282)/(Q309*P278))</f>
        <v>0</v>
      </c>
      <c r="Q282" s="97" cm="1">
        <f t="array" ref="Q282">IFERROR(_xlfn.XLOOKUP(UPPER(TRIM(K282)),UPPER(TRIM(G310:U310)),G311:U311,_xlfn.XLOOKUP(UPPER(TRIM(K282)),UPPER(TRIM(G312:U312)),G313:U313,0))*J282*IF(G282&gt;0,G282,1),0)</f>
        <v>0</v>
      </c>
      <c r="R282" s="110">
        <f>IF(T274&lt;&gt;0,G282*L282*L274,0)</f>
        <v>0</v>
      </c>
      <c r="S282" s="1748">
        <f t="shared" si="71"/>
        <v>0</v>
      </c>
      <c r="T282" s="99">
        <f>IF(OR(ISBLANK(T274),T274=0),0,Q282*L282*L274)</f>
        <v>0</v>
      </c>
      <c r="U282" s="1617" t="str">
        <f>IF(K282="","",IF(COUNTIF(N310:U310,SUBSTITUTE(TRIM(K282)," (s)",""))+COUNTIF(N312:U312,SUBSTITUTE(TRIM(K282)," (s)",""))&gt;0,IF(ROUND(T282,3)&gt;=1,ROUND(T282,3)&amp;" L",MAX(1,ROUND(T282*100,0))&amp;" cl"),IF(COUNTIF(G310:L310,SUBSTITUTE(TRIM(K282)," (s)",""))+COUNTIF(G312:L312,SUBSTITUTE(TRIM(K282)," (s)",""))&gt;0,IF(ROUND(T282,3)&gt;=1,ROUND(T282,3)&amp;" Kg",MAX(1,ROUND(T282*1000,0))&amp;" g"),"")))</f>
        <v/>
      </c>
      <c r="W282" s="103" t="str">
        <f t="shared" si="72"/>
        <v>►</v>
      </c>
      <c r="X282" s="31" t="str">
        <f>X275</f>
        <v>N NAME OF YOUR RECIPE | paste it — FAMILY|  Author &gt; YOU</v>
      </c>
      <c r="Y282" s="32">
        <f>Y275</f>
        <v>1</v>
      </c>
      <c r="Z282" s="31" t="str">
        <f>Z275</f>
        <v>coupe</v>
      </c>
      <c r="AA282" s="33" t="str">
        <f>AA275</f>
        <v>Master recipe ► MILLE-FEUILLE  aux fraises des bois</v>
      </c>
      <c r="AB282" s="89"/>
      <c r="AC282" s="108"/>
      <c r="AD282" s="91" t="str">
        <f t="shared" si="68"/>
        <v/>
      </c>
      <c r="AE282" s="92"/>
      <c r="AF282" s="128"/>
      <c r="AG282" s="130">
        <v>1</v>
      </c>
      <c r="AH282" s="1813" t="str">
        <f>ROWS(AH279:AH282)&amp;" ►"</f>
        <v>4 ►</v>
      </c>
      <c r="AI282" s="1580"/>
      <c r="AJ282" s="95">
        <f>IF(AL309=0,0,(AL282/AL309)*AK278*1000)</f>
        <v>0</v>
      </c>
      <c r="AK282" s="105">
        <f>IF(AL309=0, 0, (AB282*AG282)/(AL309*AK278))</f>
        <v>0</v>
      </c>
      <c r="AL282" s="97" cm="1">
        <f t="array" ref="AL282">IFERROR(_xlfn.XLOOKUP(UPPER(TRIM(AF282)),UPPER(TRIM(AB310:AP310)),AB311:AP311,_xlfn.XLOOKUP(UPPER(TRIM(AF282)),UPPER(TRIM(AB312:AP312)),AB313:AP313,0))*AE282*IF(AB282&gt;0,AB282,1),0)</f>
        <v>0</v>
      </c>
      <c r="AM282" s="110">
        <f>IF(AO274&lt;&gt;0,AB282*AG282*AG274,0)</f>
        <v>0</v>
      </c>
      <c r="AN282" s="1748">
        <f t="shared" si="73"/>
        <v>0</v>
      </c>
      <c r="AO282" s="99">
        <f>IF(OR(ISBLANK(AO274),AO274=0),0,AL282*AG282*AG274)</f>
        <v>0</v>
      </c>
      <c r="AP282" s="1617" t="str">
        <f>IF(AF282="","",IF(COUNTIF(AI310:AP310,SUBSTITUTE(TRIM(AF282)," (s)",""))+COUNTIF(AI312:AP312,SUBSTITUTE(TRIM(AF282)," (s)",""))&gt;0,IF(ROUND(AO282,3)&gt;=1,ROUND(AO282,3)&amp;" L",MAX(1,ROUND(AO282*100,0))&amp;" cl"),IF(COUNTIF(AB310:AG310,SUBSTITUTE(TRIM(AF282)," (s)",""))+COUNTIF(AB312:AG312,SUBSTITUTE(TRIM(AF282)," (s)",""))&gt;0,IF(ROUND(AO282,3)&gt;=1,ROUND(AO282,3)&amp;" Kg",MAX(1,ROUND(AO282*1000,0))&amp;" g"),"")))</f>
        <v/>
      </c>
      <c r="AR282" s="103" t="str">
        <f t="shared" si="74"/>
        <v>►</v>
      </c>
      <c r="AS282" s="31" t="str">
        <f>AS275</f>
        <v>N NOMBRE DE SU RECETA | pegue esto — FAMILIA| Auteur &gt; VOUS</v>
      </c>
      <c r="AT282" s="32">
        <f>AT275</f>
        <v>1</v>
      </c>
      <c r="AU282" s="31" t="str">
        <f>AU275</f>
        <v>coupe</v>
      </c>
      <c r="AV282" s="33" t="str">
        <f>AV275</f>
        <v>Receta madre ► MILLE-FEUILLE  aux fraises des bois</v>
      </c>
      <c r="AW282" s="89"/>
      <c r="AX282" s="108"/>
      <c r="AY282" s="91" t="str">
        <f t="shared" si="69"/>
        <v/>
      </c>
      <c r="AZ282" s="92"/>
      <c r="BA282" s="128"/>
      <c r="BB282" s="130">
        <v>1</v>
      </c>
      <c r="BC282" s="1813" t="str">
        <f>ROWS(BC279:BC282)&amp;" ►"</f>
        <v>4 ►</v>
      </c>
      <c r="BD282" s="1580"/>
      <c r="BE282" s="95">
        <f>IF(BG309=0,0,(BG282/BG309)*BF278*1000)</f>
        <v>0</v>
      </c>
      <c r="BF282" s="105">
        <f>IF(BG309=0, 0, (AW282*BB282)/(BG309*BF278))</f>
        <v>0</v>
      </c>
      <c r="BG282" s="97" cm="1">
        <f t="array" ref="BG282">IFERROR(_xlfn.XLOOKUP(UPPER(TRIM(BA282)),UPPER(TRIM(AW310:BK310)),AW311:BK311,_xlfn.XLOOKUP(UPPER(TRIM(BA282)),UPPER(TRIM(AW312:BK312)),AW313:BK313,0))*AZ282*IF(AW282&gt;0,AW282,1),0)</f>
        <v>0</v>
      </c>
      <c r="BH282" s="110">
        <f>IF(BJ274&lt;&gt;0,AW282*BB282*BB274,0)</f>
        <v>0</v>
      </c>
      <c r="BI282" s="1748">
        <f t="shared" si="75"/>
        <v>0</v>
      </c>
      <c r="BJ282" s="99">
        <f>IF(OR(ISBLANK(BJ274),BJ274=0),0,BG282*BB282*BB274)</f>
        <v>0</v>
      </c>
      <c r="BK282" s="1617" t="str">
        <f>IF(BA282="","",IF(COUNTIF(BD310:BK310,SUBSTITUTE(TRIM(BA282)," (s)",""))+COUNTIF(BD312:BK312,SUBSTITUTE(TRIM(BA282)," (s)",""))&gt;0,IF(ROUND(BJ282,3)&gt;=1,ROUND(BJ282,3)&amp;" L",MAX(1,ROUND(BJ282*100,0))&amp;" cl"),IF(COUNTIF(AW310:BB310,SUBSTITUTE(TRIM(BA282)," (s)",""))+COUNTIF(AW312:BB312,SUBSTITUTE(TRIM(BA282)," (s)",""))&gt;0,IF(ROUND(BJ282,3)&gt;=1,ROUND(BJ282,3)&amp;" Kg",MAX(1,ROUND(BJ282*1000,0))&amp;" g"),"")))</f>
        <v/>
      </c>
      <c r="BM282" s="3">
        <v>1</v>
      </c>
    </row>
    <row r="283" spans="2:65" ht="21" customHeight="1">
      <c r="B283" s="103" t="str">
        <f t="shared" si="70"/>
        <v>►</v>
      </c>
      <c r="C283" s="31" t="str">
        <f>C275</f>
        <v>N NOM DE VOTRE RECETTE | collez la--FAMILLE| Auteur &gt; VOUS</v>
      </c>
      <c r="D283" s="32">
        <f>D275</f>
        <v>1</v>
      </c>
      <c r="E283" s="31" t="str">
        <f>E275</f>
        <v>coupe</v>
      </c>
      <c r="F283" s="33" t="str">
        <f>F275</f>
        <v>Recette mère ► MILLE-FEUILLE  aux fraises des bois</v>
      </c>
      <c r="G283" s="89"/>
      <c r="H283" s="108"/>
      <c r="I283" s="91" t="str">
        <f t="shared" si="67"/>
        <v/>
      </c>
      <c r="J283" s="92"/>
      <c r="K283" s="128"/>
      <c r="L283" s="130">
        <v>1</v>
      </c>
      <c r="M283" s="1813" t="str">
        <f>ROWS(M279:M283)&amp;" ►"</f>
        <v>5 ►</v>
      </c>
      <c r="N283" s="1580"/>
      <c r="O283" s="95">
        <f>IF(Q309=0,0,(Q283/Q309)*P278*1000)</f>
        <v>0</v>
      </c>
      <c r="P283" s="105">
        <f>IF(Q309=0, 0, (G283*L283)/(Q309*P278))</f>
        <v>0</v>
      </c>
      <c r="Q283" s="97" cm="1">
        <f t="array" ref="Q283">IFERROR(_xlfn.XLOOKUP(UPPER(TRIM(K283)),UPPER(TRIM(G310:U310)),G311:U311,_xlfn.XLOOKUP(UPPER(TRIM(K283)),UPPER(TRIM(G312:U312)),G313:U313,0))*J283*IF(G283&gt;0,G283,1),0)</f>
        <v>0</v>
      </c>
      <c r="R283" s="106">
        <f>IF(T274&lt;&gt;0,G283*L283*L274,0)</f>
        <v>0</v>
      </c>
      <c r="S283" s="1747">
        <f t="shared" si="71"/>
        <v>0</v>
      </c>
      <c r="T283" s="99">
        <f>IF(OR(ISBLANK(T274),T274=0),0,Q283*L283*L274)</f>
        <v>0</v>
      </c>
      <c r="U283" s="1367" t="str">
        <f>IF(K283="","",IF(COUNTIF(N310:U310,SUBSTITUTE(TRIM(K283)," (s)",""))+COUNTIF(N312:U312,SUBSTITUTE(TRIM(K283)," (s)",""))&gt;0,IF(ROUND(T283,3)&gt;=1,ROUND(T283,3)&amp;" L",MAX(1,ROUND(T283*100,0))&amp;" cl"),IF(COUNTIF(G310:L310,SUBSTITUTE(TRIM(K283)," (s)",""))+COUNTIF(G312:L312,SUBSTITUTE(TRIM(K283)," (s)",""))&gt;0,IF(ROUND(T283,3)&gt;=1,ROUND(T283,3)&amp;" Kg",MAX(1,ROUND(T283*1000,0))&amp;" g"),"")))</f>
        <v/>
      </c>
      <c r="W283" s="103" t="str">
        <f t="shared" si="72"/>
        <v>►</v>
      </c>
      <c r="X283" s="31" t="str">
        <f>X275</f>
        <v>N NAME OF YOUR RECIPE | paste it — FAMILY|  Author &gt; YOU</v>
      </c>
      <c r="Y283" s="32">
        <f>Y275</f>
        <v>1</v>
      </c>
      <c r="Z283" s="31" t="str">
        <f>Z275</f>
        <v>coupe</v>
      </c>
      <c r="AA283" s="33" t="str">
        <f>AA275</f>
        <v>Master recipe ► MILLE-FEUILLE  aux fraises des bois</v>
      </c>
      <c r="AB283" s="89"/>
      <c r="AC283" s="108"/>
      <c r="AD283" s="91" t="str">
        <f t="shared" si="68"/>
        <v/>
      </c>
      <c r="AE283" s="92"/>
      <c r="AF283" s="128"/>
      <c r="AG283" s="130">
        <v>1</v>
      </c>
      <c r="AH283" s="1813" t="str">
        <f>ROWS(AH279:AH283)&amp;" ►"</f>
        <v>5 ►</v>
      </c>
      <c r="AI283" s="1580"/>
      <c r="AJ283" s="95">
        <f>IF(AL309=0,0,(AL283/AL309)*AK278*1000)</f>
        <v>0</v>
      </c>
      <c r="AK283" s="105">
        <f>IF(AL309=0, 0, (AB283*AG283)/(AL309*AK278))</f>
        <v>0</v>
      </c>
      <c r="AL283" s="97" cm="1">
        <f t="array" ref="AL283">IFERROR(_xlfn.XLOOKUP(UPPER(TRIM(AF283)),UPPER(TRIM(AB310:AP310)),AB311:AP311,_xlfn.XLOOKUP(UPPER(TRIM(AF283)),UPPER(TRIM(AB312:AP312)),AB313:AP313,0))*AE283*IF(AB283&gt;0,AB283,1),0)</f>
        <v>0</v>
      </c>
      <c r="AM283" s="106">
        <f>IF(AO274&lt;&gt;0,AB283*AG283*AG274,0)</f>
        <v>0</v>
      </c>
      <c r="AN283" s="1747">
        <f t="shared" si="73"/>
        <v>0</v>
      </c>
      <c r="AO283" s="99">
        <f>IF(OR(ISBLANK(AO274),AO274=0),0,AL283*AG283*AG274)</f>
        <v>0</v>
      </c>
      <c r="AP283" s="1367" t="str">
        <f>IF(AF283="","",IF(COUNTIF(AI310:AP310,SUBSTITUTE(TRIM(AF283)," (s)",""))+COUNTIF(AI312:AP312,SUBSTITUTE(TRIM(AF283)," (s)",""))&gt;0,IF(ROUND(AO283,3)&gt;=1,ROUND(AO283,3)&amp;" L",MAX(1,ROUND(AO283*100,0))&amp;" cl"),IF(COUNTIF(AB310:AG310,SUBSTITUTE(TRIM(AF283)," (s)",""))+COUNTIF(AB312:AG312,SUBSTITUTE(TRIM(AF283)," (s)",""))&gt;0,IF(ROUND(AO283,3)&gt;=1,ROUND(AO283,3)&amp;" Kg",MAX(1,ROUND(AO283*1000,0))&amp;" g"),"")))</f>
        <v/>
      </c>
      <c r="AR283" s="103" t="str">
        <f t="shared" si="74"/>
        <v>►</v>
      </c>
      <c r="AS283" s="31" t="str">
        <f>AS275</f>
        <v>N NOMBRE DE SU RECETA | pegue esto — FAMILIA| Auteur &gt; VOUS</v>
      </c>
      <c r="AT283" s="32">
        <f>AT275</f>
        <v>1</v>
      </c>
      <c r="AU283" s="31" t="str">
        <f>AU275</f>
        <v>coupe</v>
      </c>
      <c r="AV283" s="33" t="str">
        <f>AV275</f>
        <v>Receta madre ► MILLE-FEUILLE  aux fraises des bois</v>
      </c>
      <c r="AW283" s="89"/>
      <c r="AX283" s="108"/>
      <c r="AY283" s="91" t="str">
        <f t="shared" si="69"/>
        <v/>
      </c>
      <c r="AZ283" s="92"/>
      <c r="BA283" s="128"/>
      <c r="BB283" s="130">
        <v>1</v>
      </c>
      <c r="BC283" s="1813" t="str">
        <f>ROWS(BC279:BC283)&amp;" ►"</f>
        <v>5 ►</v>
      </c>
      <c r="BD283" s="1580"/>
      <c r="BE283" s="95">
        <f>IF(BG309=0,0,(BG283/BG309)*BF278*1000)</f>
        <v>0</v>
      </c>
      <c r="BF283" s="105">
        <f>IF(BG309=0, 0, (AW283*BB283)/(BG309*BF278))</f>
        <v>0</v>
      </c>
      <c r="BG283" s="97" cm="1">
        <f t="array" ref="BG283">IFERROR(_xlfn.XLOOKUP(UPPER(TRIM(BA283)),UPPER(TRIM(AW310:BK310)),AW311:BK311,_xlfn.XLOOKUP(UPPER(TRIM(BA283)),UPPER(TRIM(AW312:BK312)),AW313:BK313,0))*AZ283*IF(AW283&gt;0,AW283,1),0)</f>
        <v>0</v>
      </c>
      <c r="BH283" s="106">
        <f>IF(BJ274&lt;&gt;0,AW283*BB283*BB274,0)</f>
        <v>0</v>
      </c>
      <c r="BI283" s="1747">
        <f t="shared" si="75"/>
        <v>0</v>
      </c>
      <c r="BJ283" s="99">
        <f>IF(OR(ISBLANK(BJ274),BJ274=0),0,BG283*BB283*BB274)</f>
        <v>0</v>
      </c>
      <c r="BK283" s="1367" t="str">
        <f>IF(BA283="","",IF(COUNTIF(BD310:BK310,SUBSTITUTE(TRIM(BA283)," (s)",""))+COUNTIF(BD312:BK312,SUBSTITUTE(TRIM(BA283)," (s)",""))&gt;0,IF(ROUND(BJ283,3)&gt;=1,ROUND(BJ283,3)&amp;" L",MAX(1,ROUND(BJ283*100,0))&amp;" cl"),IF(COUNTIF(AW310:BB310,SUBSTITUTE(TRIM(BA283)," (s)",""))+COUNTIF(AW312:BB312,SUBSTITUTE(TRIM(BA283)," (s)",""))&gt;0,IF(ROUND(BJ283,3)&gt;=1,ROUND(BJ283,3)&amp;" Kg",MAX(1,ROUND(BJ283*1000,0))&amp;" g"),"")))</f>
        <v/>
      </c>
      <c r="BM283" s="3">
        <v>1</v>
      </c>
    </row>
    <row r="284" spans="2:65" ht="21" customHeight="1">
      <c r="B284" s="103" t="str">
        <f t="shared" si="70"/>
        <v>►</v>
      </c>
      <c r="C284" s="31" t="str">
        <f>C275</f>
        <v>N NOM DE VOTRE RECETTE | collez la--FAMILLE| Auteur &gt; VOUS</v>
      </c>
      <c r="D284" s="32">
        <f>D275</f>
        <v>1</v>
      </c>
      <c r="E284" s="31" t="str">
        <f>E275</f>
        <v>coupe</v>
      </c>
      <c r="F284" s="33" t="str">
        <f>F275</f>
        <v>Recette mère ► MILLE-FEUILLE  aux fraises des bois</v>
      </c>
      <c r="G284" s="89"/>
      <c r="H284" s="108"/>
      <c r="I284" s="91" t="str">
        <f t="shared" si="67"/>
        <v/>
      </c>
      <c r="J284" s="92"/>
      <c r="K284" s="128"/>
      <c r="L284" s="130">
        <v>1</v>
      </c>
      <c r="M284" s="1813" t="str">
        <f>ROWS(M279:M284)&amp;" ►"</f>
        <v>6 ►</v>
      </c>
      <c r="N284" s="1580"/>
      <c r="O284" s="95">
        <f>IF(Q309=0,0,(Q284/Q309)*P278*1000)</f>
        <v>0</v>
      </c>
      <c r="P284" s="105">
        <f>IF(Q309=0, 0, (G284*L284)/(Q309*P278))</f>
        <v>0</v>
      </c>
      <c r="Q284" s="97" cm="1">
        <f t="array" ref="Q284">IFERROR(_xlfn.XLOOKUP(UPPER(TRIM(K284)),UPPER(TRIM(G310:U310)),G311:U311,_xlfn.XLOOKUP(UPPER(TRIM(K284)),UPPER(TRIM(G312:U312)),G313:U313,0))*J284*IF(G284&gt;0,G284,1),0)</f>
        <v>0</v>
      </c>
      <c r="R284" s="110">
        <f>IF(T274&lt;&gt;0,G284*L284*L274,0)</f>
        <v>0</v>
      </c>
      <c r="S284" s="1748">
        <f t="shared" si="71"/>
        <v>0</v>
      </c>
      <c r="T284" s="99">
        <f>IF(OR(ISBLANK(T274),T274=0),0,Q284*L284*L274)</f>
        <v>0</v>
      </c>
      <c r="U284" s="1617" t="str">
        <f>IF(K284="","",IF(COUNTIF(N310:U310,SUBSTITUTE(TRIM(K284)," (s)",""))+COUNTIF(N312:U312,SUBSTITUTE(TRIM(K284)," (s)",""))&gt;0,IF(ROUND(T284,3)&gt;=1,ROUND(T284,3)&amp;" L",MAX(1,ROUND(T284*100,0))&amp;" cl"),IF(COUNTIF(G310:L310,SUBSTITUTE(TRIM(K284)," (s)",""))+COUNTIF(G312:L312,SUBSTITUTE(TRIM(K284)," (s)",""))&gt;0,IF(ROUND(T284,3)&gt;=1,ROUND(T284,3)&amp;" Kg",MAX(1,ROUND(T284*1000,0))&amp;" g"),"")))</f>
        <v/>
      </c>
      <c r="W284" s="103" t="str">
        <f t="shared" si="72"/>
        <v>►</v>
      </c>
      <c r="X284" s="31" t="str">
        <f>X275</f>
        <v>N NAME OF YOUR RECIPE | paste it — FAMILY|  Author &gt; YOU</v>
      </c>
      <c r="Y284" s="32">
        <f>Y275</f>
        <v>1</v>
      </c>
      <c r="Z284" s="31" t="str">
        <f>Z275</f>
        <v>coupe</v>
      </c>
      <c r="AA284" s="33" t="str">
        <f>AA275</f>
        <v>Master recipe ► MILLE-FEUILLE  aux fraises des bois</v>
      </c>
      <c r="AB284" s="89"/>
      <c r="AC284" s="108"/>
      <c r="AD284" s="91" t="str">
        <f t="shared" si="68"/>
        <v/>
      </c>
      <c r="AE284" s="92"/>
      <c r="AF284" s="128"/>
      <c r="AG284" s="130">
        <v>1</v>
      </c>
      <c r="AH284" s="1813" t="str">
        <f>ROWS(AH279:AH284)&amp;" ►"</f>
        <v>6 ►</v>
      </c>
      <c r="AI284" s="1580"/>
      <c r="AJ284" s="95">
        <f>IF(AL309=0,0,(AL284/AL309)*AK278*1000)</f>
        <v>0</v>
      </c>
      <c r="AK284" s="105">
        <f>IF(AL309=0, 0, (AB284*AG284)/(AL309*AK278))</f>
        <v>0</v>
      </c>
      <c r="AL284" s="97" cm="1">
        <f t="array" ref="AL284">IFERROR(_xlfn.XLOOKUP(UPPER(TRIM(AF284)),UPPER(TRIM(AB310:AP310)),AB311:AP311,_xlfn.XLOOKUP(UPPER(TRIM(AF284)),UPPER(TRIM(AB312:AP312)),AB313:AP313,0))*AE284*IF(AB284&gt;0,AB284,1),0)</f>
        <v>0</v>
      </c>
      <c r="AM284" s="110">
        <f>IF(AO274&lt;&gt;0,AB284*AG284*AG274,0)</f>
        <v>0</v>
      </c>
      <c r="AN284" s="1748">
        <f t="shared" si="73"/>
        <v>0</v>
      </c>
      <c r="AO284" s="99">
        <f>IF(OR(ISBLANK(AO274),AO274=0),0,AL284*AG284*AG274)</f>
        <v>0</v>
      </c>
      <c r="AP284" s="1617" t="str">
        <f>IF(AF284="","",IF(COUNTIF(AI310:AP310,SUBSTITUTE(TRIM(AF284)," (s)",""))+COUNTIF(AI312:AP312,SUBSTITUTE(TRIM(AF284)," (s)",""))&gt;0,IF(ROUND(AO284,3)&gt;=1,ROUND(AO284,3)&amp;" L",MAX(1,ROUND(AO284*100,0))&amp;" cl"),IF(COUNTIF(AB310:AG310,SUBSTITUTE(TRIM(AF284)," (s)",""))+COUNTIF(AB312:AG312,SUBSTITUTE(TRIM(AF284)," (s)",""))&gt;0,IF(ROUND(AO284,3)&gt;=1,ROUND(AO284,3)&amp;" Kg",MAX(1,ROUND(AO284*1000,0))&amp;" g"),"")))</f>
        <v/>
      </c>
      <c r="AR284" s="103" t="str">
        <f t="shared" si="74"/>
        <v>►</v>
      </c>
      <c r="AS284" s="31" t="str">
        <f>AS275</f>
        <v>N NOMBRE DE SU RECETA | pegue esto — FAMILIA| Auteur &gt; VOUS</v>
      </c>
      <c r="AT284" s="32">
        <f>AT275</f>
        <v>1</v>
      </c>
      <c r="AU284" s="31" t="str">
        <f>AU275</f>
        <v>coupe</v>
      </c>
      <c r="AV284" s="33" t="str">
        <f>AV275</f>
        <v>Receta madre ► MILLE-FEUILLE  aux fraises des bois</v>
      </c>
      <c r="AW284" s="89"/>
      <c r="AX284" s="108"/>
      <c r="AY284" s="91" t="str">
        <f t="shared" si="69"/>
        <v/>
      </c>
      <c r="AZ284" s="92"/>
      <c r="BA284" s="128"/>
      <c r="BB284" s="130">
        <v>1</v>
      </c>
      <c r="BC284" s="1813" t="str">
        <f>ROWS(BC279:BC284)&amp;" ►"</f>
        <v>6 ►</v>
      </c>
      <c r="BD284" s="1580"/>
      <c r="BE284" s="95">
        <f>IF(BG309=0,0,(BG284/BG309)*BF278*1000)</f>
        <v>0</v>
      </c>
      <c r="BF284" s="105">
        <f>IF(BG309=0, 0, (AW284*BB284)/(BG309*BF278))</f>
        <v>0</v>
      </c>
      <c r="BG284" s="97" cm="1">
        <f t="array" ref="BG284">IFERROR(_xlfn.XLOOKUP(UPPER(TRIM(BA284)),UPPER(TRIM(AW310:BK310)),AW311:BK311,_xlfn.XLOOKUP(UPPER(TRIM(BA284)),UPPER(TRIM(AW312:BK312)),AW313:BK313,0))*AZ284*IF(AW284&gt;0,AW284,1),0)</f>
        <v>0</v>
      </c>
      <c r="BH284" s="110">
        <f>IF(BJ274&lt;&gt;0,AW284*BB284*BB274,0)</f>
        <v>0</v>
      </c>
      <c r="BI284" s="1748">
        <f t="shared" si="75"/>
        <v>0</v>
      </c>
      <c r="BJ284" s="99">
        <f>IF(OR(ISBLANK(BJ274),BJ274=0),0,BG284*BB284*BB274)</f>
        <v>0</v>
      </c>
      <c r="BK284" s="1617" t="str">
        <f>IF(BA284="","",IF(COUNTIF(BD310:BK310,SUBSTITUTE(TRIM(BA284)," (s)",""))+COUNTIF(BD312:BK312,SUBSTITUTE(TRIM(BA284)," (s)",""))&gt;0,IF(ROUND(BJ284,3)&gt;=1,ROUND(BJ284,3)&amp;" L",MAX(1,ROUND(BJ284*100,0))&amp;" cl"),IF(COUNTIF(AW310:BB310,SUBSTITUTE(TRIM(BA284)," (s)",""))+COUNTIF(AW312:BB312,SUBSTITUTE(TRIM(BA284)," (s)",""))&gt;0,IF(ROUND(BJ284,3)&gt;=1,ROUND(BJ284,3)&amp;" Kg",MAX(1,ROUND(BJ284*1000,0))&amp;" g"),"")))</f>
        <v/>
      </c>
      <c r="BM284" s="3">
        <v>1</v>
      </c>
    </row>
    <row r="285" spans="2:65" ht="21" customHeight="1">
      <c r="B285" s="103" t="str">
        <f t="shared" si="70"/>
        <v>►</v>
      </c>
      <c r="C285" s="31" t="str">
        <f>C275</f>
        <v>N NOM DE VOTRE RECETTE | collez la--FAMILLE| Auteur &gt; VOUS</v>
      </c>
      <c r="D285" s="32">
        <f>D275</f>
        <v>1</v>
      </c>
      <c r="E285" s="31" t="str">
        <f>E275</f>
        <v>coupe</v>
      </c>
      <c r="F285" s="33" t="str">
        <f>F275</f>
        <v>Recette mère ► MILLE-FEUILLE  aux fraises des bois</v>
      </c>
      <c r="G285" s="89"/>
      <c r="H285" s="108"/>
      <c r="I285" s="91" t="str">
        <f t="shared" si="67"/>
        <v/>
      </c>
      <c r="J285" s="92"/>
      <c r="K285" s="128"/>
      <c r="L285" s="130">
        <v>1</v>
      </c>
      <c r="M285" s="1813" t="str">
        <f>ROWS(M279:M285)&amp;" ►"</f>
        <v>7 ►</v>
      </c>
      <c r="N285" s="1580"/>
      <c r="O285" s="95">
        <f>IF(Q309=0,0,(Q285/Q309)*P278*1000)</f>
        <v>0</v>
      </c>
      <c r="P285" s="105">
        <f>IF(Q309=0, 0, (G285*L285)/(Q309*P278))</f>
        <v>0</v>
      </c>
      <c r="Q285" s="97" cm="1">
        <f t="array" ref="Q285">IFERROR(_xlfn.XLOOKUP(UPPER(TRIM(K285)),UPPER(TRIM(G310:U310)),G311:U311,_xlfn.XLOOKUP(UPPER(TRIM(K285)),UPPER(TRIM(G312:U312)),G313:U313,0))*J285*IF(G285&gt;0,G285,1),0)</f>
        <v>0</v>
      </c>
      <c r="R285" s="106">
        <f>IF(T274&lt;&gt;0,G285*L285*L274,0)</f>
        <v>0</v>
      </c>
      <c r="S285" s="1747">
        <f t="shared" si="71"/>
        <v>0</v>
      </c>
      <c r="T285" s="99">
        <f>IF(OR(ISBLANK(T274),T274=0),0,Q285*L285*L274)</f>
        <v>0</v>
      </c>
      <c r="U285" s="1367" t="str">
        <f>IF(K285="","",IF(COUNTIF(N310:U310,SUBSTITUTE(TRIM(K285)," (s)",""))+COUNTIF(N312:U312,SUBSTITUTE(TRIM(K285)," (s)",""))&gt;0,IF(ROUND(T285,3)&gt;=1,ROUND(T285,3)&amp;" L",MAX(1,ROUND(T285*100,0))&amp;" cl"),IF(COUNTIF(G310:L310,SUBSTITUTE(TRIM(K285)," (s)",""))+COUNTIF(G312:L312,SUBSTITUTE(TRIM(K285)," (s)",""))&gt;0,IF(ROUND(T285,3)&gt;=1,ROUND(T285,3)&amp;" Kg",MAX(1,ROUND(T285*1000,0))&amp;" g"),"")))</f>
        <v/>
      </c>
      <c r="W285" s="103" t="str">
        <f t="shared" si="72"/>
        <v>►</v>
      </c>
      <c r="X285" s="31" t="str">
        <f>X275</f>
        <v>N NAME OF YOUR RECIPE | paste it — FAMILY|  Author &gt; YOU</v>
      </c>
      <c r="Y285" s="32">
        <f>Y275</f>
        <v>1</v>
      </c>
      <c r="Z285" s="31" t="str">
        <f>Z275</f>
        <v>coupe</v>
      </c>
      <c r="AA285" s="33" t="str">
        <f>AA275</f>
        <v>Master recipe ► MILLE-FEUILLE  aux fraises des bois</v>
      </c>
      <c r="AB285" s="89"/>
      <c r="AC285" s="108"/>
      <c r="AD285" s="91" t="str">
        <f t="shared" si="68"/>
        <v/>
      </c>
      <c r="AE285" s="92"/>
      <c r="AF285" s="128"/>
      <c r="AG285" s="130">
        <v>1</v>
      </c>
      <c r="AH285" s="1813" t="str">
        <f>ROWS(AH279:AH285)&amp;" ►"</f>
        <v>7 ►</v>
      </c>
      <c r="AI285" s="1580"/>
      <c r="AJ285" s="95">
        <f>IF(AL309=0,0,(AL285/AL309)*AK278*1000)</f>
        <v>0</v>
      </c>
      <c r="AK285" s="105">
        <f>IF(AL309=0, 0, (AB285*AG285)/(AL309*AK278))</f>
        <v>0</v>
      </c>
      <c r="AL285" s="97" cm="1">
        <f t="array" ref="AL285">IFERROR(_xlfn.XLOOKUP(UPPER(TRIM(AF285)),UPPER(TRIM(AB310:AP310)),AB311:AP311,_xlfn.XLOOKUP(UPPER(TRIM(AF285)),UPPER(TRIM(AB312:AP312)),AB313:AP313,0))*AE285*IF(AB285&gt;0,AB285,1),0)</f>
        <v>0</v>
      </c>
      <c r="AM285" s="106">
        <f>IF(AO274&lt;&gt;0,AB285*AG285*AG274,0)</f>
        <v>0</v>
      </c>
      <c r="AN285" s="1747">
        <f t="shared" si="73"/>
        <v>0</v>
      </c>
      <c r="AO285" s="99">
        <f>IF(OR(ISBLANK(AO274),AO274=0),0,AL285*AG285*AG274)</f>
        <v>0</v>
      </c>
      <c r="AP285" s="1367" t="str">
        <f>IF(AF285="","",IF(COUNTIF(AI310:AP310,SUBSTITUTE(TRIM(AF285)," (s)",""))+COUNTIF(AI312:AP312,SUBSTITUTE(TRIM(AF285)," (s)",""))&gt;0,IF(ROUND(AO285,3)&gt;=1,ROUND(AO285,3)&amp;" L",MAX(1,ROUND(AO285*100,0))&amp;" cl"),IF(COUNTIF(AB310:AG310,SUBSTITUTE(TRIM(AF285)," (s)",""))+COUNTIF(AB312:AG312,SUBSTITUTE(TRIM(AF285)," (s)",""))&gt;0,IF(ROUND(AO285,3)&gt;=1,ROUND(AO285,3)&amp;" Kg",MAX(1,ROUND(AO285*1000,0))&amp;" g"),"")))</f>
        <v/>
      </c>
      <c r="AR285" s="103" t="str">
        <f t="shared" si="74"/>
        <v>►</v>
      </c>
      <c r="AS285" s="31" t="str">
        <f>AS275</f>
        <v>N NOMBRE DE SU RECETA | pegue esto — FAMILIA| Auteur &gt; VOUS</v>
      </c>
      <c r="AT285" s="32">
        <f>AT275</f>
        <v>1</v>
      </c>
      <c r="AU285" s="31" t="str">
        <f>AU275</f>
        <v>coupe</v>
      </c>
      <c r="AV285" s="33" t="str">
        <f>AV275</f>
        <v>Receta madre ► MILLE-FEUILLE  aux fraises des bois</v>
      </c>
      <c r="AW285" s="89"/>
      <c r="AX285" s="108"/>
      <c r="AY285" s="91" t="str">
        <f t="shared" si="69"/>
        <v/>
      </c>
      <c r="AZ285" s="92"/>
      <c r="BA285" s="128"/>
      <c r="BB285" s="130">
        <v>1</v>
      </c>
      <c r="BC285" s="1813" t="str">
        <f>ROWS(BC279:BC285)&amp;" ►"</f>
        <v>7 ►</v>
      </c>
      <c r="BD285" s="1580"/>
      <c r="BE285" s="95">
        <f>IF(BG309=0,0,(BG285/BG309)*BF278*1000)</f>
        <v>0</v>
      </c>
      <c r="BF285" s="105">
        <f>IF(BG309=0, 0, (AW285*BB285)/(BG309*BF278))</f>
        <v>0</v>
      </c>
      <c r="BG285" s="97" cm="1">
        <f t="array" ref="BG285">IFERROR(_xlfn.XLOOKUP(UPPER(TRIM(BA285)),UPPER(TRIM(AW310:BK310)),AW311:BK311,_xlfn.XLOOKUP(UPPER(TRIM(BA285)),UPPER(TRIM(AW312:BK312)),AW313:BK313,0))*AZ285*IF(AW285&gt;0,AW285,1),0)</f>
        <v>0</v>
      </c>
      <c r="BH285" s="106">
        <f>IF(BJ274&lt;&gt;0,AW285*BB285*BB274,0)</f>
        <v>0</v>
      </c>
      <c r="BI285" s="1747">
        <f t="shared" si="75"/>
        <v>0</v>
      </c>
      <c r="BJ285" s="99">
        <f>IF(OR(ISBLANK(BJ274),BJ274=0),0,BG285*BB285*BB274)</f>
        <v>0</v>
      </c>
      <c r="BK285" s="1367" t="str">
        <f>IF(BA285="","",IF(COUNTIF(BD310:BK310,SUBSTITUTE(TRIM(BA285)," (s)",""))+COUNTIF(BD312:BK312,SUBSTITUTE(TRIM(BA285)," (s)",""))&gt;0,IF(ROUND(BJ285,3)&gt;=1,ROUND(BJ285,3)&amp;" L",MAX(1,ROUND(BJ285*100,0))&amp;" cl"),IF(COUNTIF(AW310:BB310,SUBSTITUTE(TRIM(BA285)," (s)",""))+COUNTIF(AW312:BB312,SUBSTITUTE(TRIM(BA285)," (s)",""))&gt;0,IF(ROUND(BJ285,3)&gt;=1,ROUND(BJ285,3)&amp;" Kg",MAX(1,ROUND(BJ285*1000,0))&amp;" g"),"")))</f>
        <v/>
      </c>
      <c r="BM285" s="3">
        <v>1</v>
      </c>
    </row>
    <row r="286" spans="2:65" ht="21" customHeight="1">
      <c r="B286" s="103" t="str">
        <f t="shared" si="70"/>
        <v>►</v>
      </c>
      <c r="C286" s="31" t="str">
        <f>C275</f>
        <v>N NOM DE VOTRE RECETTE | collez la--FAMILLE| Auteur &gt; VOUS</v>
      </c>
      <c r="D286" s="32">
        <f>D275</f>
        <v>1</v>
      </c>
      <c r="E286" s="31" t="str">
        <f>E275</f>
        <v>coupe</v>
      </c>
      <c r="F286" s="33" t="str">
        <f>F275</f>
        <v>Recette mère ► MILLE-FEUILLE  aux fraises des bois</v>
      </c>
      <c r="G286" s="89"/>
      <c r="H286" s="108"/>
      <c r="I286" s="91" t="str">
        <f t="shared" si="67"/>
        <v/>
      </c>
      <c r="J286" s="92"/>
      <c r="K286" s="128"/>
      <c r="L286" s="130">
        <v>1</v>
      </c>
      <c r="M286" s="1813" t="str">
        <f>ROWS(M279:M286)&amp;" ►"</f>
        <v>8 ►</v>
      </c>
      <c r="N286" s="1580"/>
      <c r="O286" s="95">
        <f>IF(Q309=0,0,(Q286/Q309)*P278*1000)</f>
        <v>0</v>
      </c>
      <c r="P286" s="105">
        <f>IF(Q309=0, 0, (G286*L286)/(Q309*P278))</f>
        <v>0</v>
      </c>
      <c r="Q286" s="97" cm="1">
        <f t="array" ref="Q286">IFERROR(_xlfn.XLOOKUP(UPPER(TRIM(K286)),UPPER(TRIM(G310:U310)),G311:U311,_xlfn.XLOOKUP(UPPER(TRIM(K286)),UPPER(TRIM(G312:U312)),G313:U313,0))*J286*IF(G286&gt;0,G286,1),0)</f>
        <v>0</v>
      </c>
      <c r="R286" s="110">
        <f>IF(T274&lt;&gt;0,G286*L286*L274,0)</f>
        <v>0</v>
      </c>
      <c r="S286" s="1748">
        <f t="shared" si="71"/>
        <v>0</v>
      </c>
      <c r="T286" s="99">
        <f>IF(OR(ISBLANK(T274),T274=0),0,Q286*L286*L274)</f>
        <v>0</v>
      </c>
      <c r="U286" s="1617" t="str">
        <f>IF(K286="","",IF(COUNTIF(N310:U310,SUBSTITUTE(TRIM(K286)," (s)",""))+COUNTIF(N312:U312,SUBSTITUTE(TRIM(K286)," (s)",""))&gt;0,IF(ROUND(T286,3)&gt;=1,ROUND(T286,3)&amp;" L",MAX(1,ROUND(T286*100,0))&amp;" cl"),IF(COUNTIF(G310:L310,SUBSTITUTE(TRIM(K286)," (s)",""))+COUNTIF(G312:L312,SUBSTITUTE(TRIM(K286)," (s)",""))&gt;0,IF(ROUND(T286,3)&gt;=1,ROUND(T286,3)&amp;" Kg",MAX(1,ROUND(T286*1000,0))&amp;" g"),"")))</f>
        <v/>
      </c>
      <c r="W286" s="103" t="str">
        <f t="shared" si="72"/>
        <v>►</v>
      </c>
      <c r="X286" s="31" t="str">
        <f>X275</f>
        <v>N NAME OF YOUR RECIPE | paste it — FAMILY|  Author &gt; YOU</v>
      </c>
      <c r="Y286" s="32">
        <f>Y275</f>
        <v>1</v>
      </c>
      <c r="Z286" s="31" t="str">
        <f>Z275</f>
        <v>coupe</v>
      </c>
      <c r="AA286" s="33" t="str">
        <f>AA275</f>
        <v>Master recipe ► MILLE-FEUILLE  aux fraises des bois</v>
      </c>
      <c r="AB286" s="89"/>
      <c r="AC286" s="108"/>
      <c r="AD286" s="91" t="str">
        <f t="shared" si="68"/>
        <v/>
      </c>
      <c r="AE286" s="92"/>
      <c r="AF286" s="128"/>
      <c r="AG286" s="130">
        <v>1</v>
      </c>
      <c r="AH286" s="1813" t="str">
        <f>ROWS(AH279:AH286)&amp;" ►"</f>
        <v>8 ►</v>
      </c>
      <c r="AI286" s="1580"/>
      <c r="AJ286" s="95">
        <f>IF(AL309=0,0,(AL286/AL309)*AK278*1000)</f>
        <v>0</v>
      </c>
      <c r="AK286" s="105">
        <f>IF(AL309=0, 0, (AB286*AG286)/(AL309*AK278))</f>
        <v>0</v>
      </c>
      <c r="AL286" s="97" cm="1">
        <f t="array" ref="AL286">IFERROR(_xlfn.XLOOKUP(UPPER(TRIM(AF286)),UPPER(TRIM(AB310:AP310)),AB311:AP311,_xlfn.XLOOKUP(UPPER(TRIM(AF286)),UPPER(TRIM(AB312:AP312)),AB313:AP313,0))*AE286*IF(AB286&gt;0,AB286,1),0)</f>
        <v>0</v>
      </c>
      <c r="AM286" s="110">
        <f>IF(AO274&lt;&gt;0,AB286*AG286*AG274,0)</f>
        <v>0</v>
      </c>
      <c r="AN286" s="1748">
        <f t="shared" si="73"/>
        <v>0</v>
      </c>
      <c r="AO286" s="99">
        <f>IF(OR(ISBLANK(AO274),AO274=0),0,AL286*AG286*AG274)</f>
        <v>0</v>
      </c>
      <c r="AP286" s="1617" t="str">
        <f>IF(AF286="","",IF(COUNTIF(AI310:AP310,SUBSTITUTE(TRIM(AF286)," (s)",""))+COUNTIF(AI312:AP312,SUBSTITUTE(TRIM(AF286)," (s)",""))&gt;0,IF(ROUND(AO286,3)&gt;=1,ROUND(AO286,3)&amp;" L",MAX(1,ROUND(AO286*100,0))&amp;" cl"),IF(COUNTIF(AB310:AG310,SUBSTITUTE(TRIM(AF286)," (s)",""))+COUNTIF(AB312:AG312,SUBSTITUTE(TRIM(AF286)," (s)",""))&gt;0,IF(ROUND(AO286,3)&gt;=1,ROUND(AO286,3)&amp;" Kg",MAX(1,ROUND(AO286*1000,0))&amp;" g"),"")))</f>
        <v/>
      </c>
      <c r="AR286" s="103" t="str">
        <f t="shared" si="74"/>
        <v>►</v>
      </c>
      <c r="AS286" s="31" t="str">
        <f>AS275</f>
        <v>N NOMBRE DE SU RECETA | pegue esto — FAMILIA| Auteur &gt; VOUS</v>
      </c>
      <c r="AT286" s="32">
        <f>AT275</f>
        <v>1</v>
      </c>
      <c r="AU286" s="31" t="str">
        <f>AU275</f>
        <v>coupe</v>
      </c>
      <c r="AV286" s="33" t="str">
        <f>AV275</f>
        <v>Receta madre ► MILLE-FEUILLE  aux fraises des bois</v>
      </c>
      <c r="AW286" s="89"/>
      <c r="AX286" s="108"/>
      <c r="AY286" s="91" t="str">
        <f t="shared" si="69"/>
        <v/>
      </c>
      <c r="AZ286" s="92"/>
      <c r="BA286" s="128"/>
      <c r="BB286" s="130">
        <v>1</v>
      </c>
      <c r="BC286" s="1813" t="str">
        <f>ROWS(BC279:BC286)&amp;" ►"</f>
        <v>8 ►</v>
      </c>
      <c r="BD286" s="1580"/>
      <c r="BE286" s="95">
        <f>IF(BG309=0,0,(BG286/BG309)*BF278*1000)</f>
        <v>0</v>
      </c>
      <c r="BF286" s="105">
        <f>IF(BG309=0, 0, (AW286*BB286)/(BG309*BF278))</f>
        <v>0</v>
      </c>
      <c r="BG286" s="97" cm="1">
        <f t="array" ref="BG286">IFERROR(_xlfn.XLOOKUP(UPPER(TRIM(BA286)),UPPER(TRIM(AW310:BK310)),AW311:BK311,_xlfn.XLOOKUP(UPPER(TRIM(BA286)),UPPER(TRIM(AW312:BK312)),AW313:BK313,0))*AZ286*IF(AW286&gt;0,AW286,1),0)</f>
        <v>0</v>
      </c>
      <c r="BH286" s="110">
        <f>IF(BJ274&lt;&gt;0,AW286*BB286*BB274,0)</f>
        <v>0</v>
      </c>
      <c r="BI286" s="1748">
        <f t="shared" si="75"/>
        <v>0</v>
      </c>
      <c r="BJ286" s="99">
        <f>IF(OR(ISBLANK(BJ274),BJ274=0),0,BG286*BB286*BB274)</f>
        <v>0</v>
      </c>
      <c r="BK286" s="1617" t="str">
        <f>IF(BA286="","",IF(COUNTIF(BD310:BK310,SUBSTITUTE(TRIM(BA286)," (s)",""))+COUNTIF(BD312:BK312,SUBSTITUTE(TRIM(BA286)," (s)",""))&gt;0,IF(ROUND(BJ286,3)&gt;=1,ROUND(BJ286,3)&amp;" L",MAX(1,ROUND(BJ286*100,0))&amp;" cl"),IF(COUNTIF(AW310:BB310,SUBSTITUTE(TRIM(BA286)," (s)",""))+COUNTIF(AW312:BB312,SUBSTITUTE(TRIM(BA286)," (s)",""))&gt;0,IF(ROUND(BJ286,3)&gt;=1,ROUND(BJ286,3)&amp;" Kg",MAX(1,ROUND(BJ286*1000,0))&amp;" g"),"")))</f>
        <v/>
      </c>
      <c r="BM286" s="3">
        <v>1</v>
      </c>
    </row>
    <row r="287" spans="2:65" ht="21" customHeight="1">
      <c r="B287" s="103" t="str">
        <f t="shared" si="70"/>
        <v>►</v>
      </c>
      <c r="C287" s="31" t="str">
        <f>C275</f>
        <v>N NOM DE VOTRE RECETTE | collez la--FAMILLE| Auteur &gt; VOUS</v>
      </c>
      <c r="D287" s="32">
        <f>D275</f>
        <v>1</v>
      </c>
      <c r="E287" s="31" t="str">
        <f>E275</f>
        <v>coupe</v>
      </c>
      <c r="F287" s="33" t="str">
        <f>F275</f>
        <v>Recette mère ► MILLE-FEUILLE  aux fraises des bois</v>
      </c>
      <c r="G287" s="89"/>
      <c r="H287" s="108"/>
      <c r="I287" s="91" t="str">
        <f t="shared" si="67"/>
        <v/>
      </c>
      <c r="J287" s="92"/>
      <c r="K287" s="128"/>
      <c r="L287" s="130">
        <v>1</v>
      </c>
      <c r="M287" s="1813" t="str">
        <f>ROWS(M279:M287)&amp;" ►"</f>
        <v>9 ►</v>
      </c>
      <c r="N287" s="1580"/>
      <c r="O287" s="95">
        <f>IF(Q309=0,0,(Q287/Q309)*P278*1000)</f>
        <v>0</v>
      </c>
      <c r="P287" s="105">
        <f>IF(Q309=0, 0, (G287*L287)/(Q309*P278))</f>
        <v>0</v>
      </c>
      <c r="Q287" s="97" cm="1">
        <f t="array" ref="Q287">IFERROR(_xlfn.XLOOKUP(UPPER(TRIM(K287)),UPPER(TRIM(G310:U310)),G311:U311,_xlfn.XLOOKUP(UPPER(TRIM(K287)),UPPER(TRIM(G312:U312)),G313:U313,0))*J287*IF(G287&gt;0,G287,1),0)</f>
        <v>0</v>
      </c>
      <c r="R287" s="106">
        <f>IF(T274&lt;&gt;0,G287*L287*L274,0)</f>
        <v>0</v>
      </c>
      <c r="S287" s="1747">
        <f t="shared" si="71"/>
        <v>0</v>
      </c>
      <c r="T287" s="99">
        <f>IF(OR(ISBLANK(T274),T274=0),0,Q287*L287*L274)</f>
        <v>0</v>
      </c>
      <c r="U287" s="1367" t="str">
        <f>IF(K287="","",IF(COUNTIF(N310:U310,SUBSTITUTE(TRIM(K287)," (s)",""))+COUNTIF(N312:U312,SUBSTITUTE(TRIM(K287)," (s)",""))&gt;0,IF(ROUND(T287,3)&gt;=1,ROUND(T287,3)&amp;" L",MAX(1,ROUND(T287*100,0))&amp;" cl"),IF(COUNTIF(G310:L310,SUBSTITUTE(TRIM(K287)," (s)",""))+COUNTIF(G312:L312,SUBSTITUTE(TRIM(K287)," (s)",""))&gt;0,IF(ROUND(T287,3)&gt;=1,ROUND(T287,3)&amp;" Kg",MAX(1,ROUND(T287*1000,0))&amp;" g"),"")))</f>
        <v/>
      </c>
      <c r="W287" s="103" t="str">
        <f t="shared" si="72"/>
        <v>►</v>
      </c>
      <c r="X287" s="31" t="str">
        <f>X275</f>
        <v>N NAME OF YOUR RECIPE | paste it — FAMILY|  Author &gt; YOU</v>
      </c>
      <c r="Y287" s="32">
        <f>Y275</f>
        <v>1</v>
      </c>
      <c r="Z287" s="31" t="str">
        <f>Z275</f>
        <v>coupe</v>
      </c>
      <c r="AA287" s="33" t="str">
        <f>AA275</f>
        <v>Master recipe ► MILLE-FEUILLE  aux fraises des bois</v>
      </c>
      <c r="AB287" s="89"/>
      <c r="AC287" s="108"/>
      <c r="AD287" s="91" t="str">
        <f t="shared" si="68"/>
        <v/>
      </c>
      <c r="AE287" s="92"/>
      <c r="AF287" s="128"/>
      <c r="AG287" s="130">
        <v>1</v>
      </c>
      <c r="AH287" s="1813" t="str">
        <f>ROWS(AH279:AH287)&amp;" ►"</f>
        <v>9 ►</v>
      </c>
      <c r="AI287" s="1580"/>
      <c r="AJ287" s="95">
        <f>IF(AL309=0,0,(AL287/AL309)*AK278*1000)</f>
        <v>0</v>
      </c>
      <c r="AK287" s="105">
        <f>IF(AL309=0, 0, (AB287*AG287)/(AL309*AK278))</f>
        <v>0</v>
      </c>
      <c r="AL287" s="97" cm="1">
        <f t="array" ref="AL287">IFERROR(_xlfn.XLOOKUP(UPPER(TRIM(AF287)),UPPER(TRIM(AB310:AP310)),AB311:AP311,_xlfn.XLOOKUP(UPPER(TRIM(AF287)),UPPER(TRIM(AB312:AP312)),AB313:AP313,0))*AE287*IF(AB287&gt;0,AB287,1),0)</f>
        <v>0</v>
      </c>
      <c r="AM287" s="106">
        <f>IF(AO274&lt;&gt;0,AB287*AG287*AG274,0)</f>
        <v>0</v>
      </c>
      <c r="AN287" s="1747">
        <f t="shared" si="73"/>
        <v>0</v>
      </c>
      <c r="AO287" s="99">
        <f>IF(OR(ISBLANK(AO274),AO274=0),0,AL287*AG287*AG274)</f>
        <v>0</v>
      </c>
      <c r="AP287" s="1367" t="str">
        <f>IF(AF287="","",IF(COUNTIF(AI310:AP310,SUBSTITUTE(TRIM(AF287)," (s)",""))+COUNTIF(AI312:AP312,SUBSTITUTE(TRIM(AF287)," (s)",""))&gt;0,IF(ROUND(AO287,3)&gt;=1,ROUND(AO287,3)&amp;" L",MAX(1,ROUND(AO287*100,0))&amp;" cl"),IF(COUNTIF(AB310:AG310,SUBSTITUTE(TRIM(AF287)," (s)",""))+COUNTIF(AB312:AG312,SUBSTITUTE(TRIM(AF287)," (s)",""))&gt;0,IF(ROUND(AO287,3)&gt;=1,ROUND(AO287,3)&amp;" Kg",MAX(1,ROUND(AO287*1000,0))&amp;" g"),"")))</f>
        <v/>
      </c>
      <c r="AR287" s="103" t="str">
        <f t="shared" si="74"/>
        <v>►</v>
      </c>
      <c r="AS287" s="31" t="str">
        <f>AS275</f>
        <v>N NOMBRE DE SU RECETA | pegue esto — FAMILIA| Auteur &gt; VOUS</v>
      </c>
      <c r="AT287" s="32">
        <f>AT275</f>
        <v>1</v>
      </c>
      <c r="AU287" s="31" t="str">
        <f>AU275</f>
        <v>coupe</v>
      </c>
      <c r="AV287" s="33" t="str">
        <f>AV275</f>
        <v>Receta madre ► MILLE-FEUILLE  aux fraises des bois</v>
      </c>
      <c r="AW287" s="89"/>
      <c r="AX287" s="108"/>
      <c r="AY287" s="91" t="str">
        <f t="shared" si="69"/>
        <v/>
      </c>
      <c r="AZ287" s="92"/>
      <c r="BA287" s="128"/>
      <c r="BB287" s="130">
        <v>1</v>
      </c>
      <c r="BC287" s="1813" t="str">
        <f>ROWS(BC279:BC287)&amp;" ►"</f>
        <v>9 ►</v>
      </c>
      <c r="BD287" s="1580"/>
      <c r="BE287" s="95">
        <f>IF(BG309=0,0,(BG287/BG309)*BF278*1000)</f>
        <v>0</v>
      </c>
      <c r="BF287" s="105">
        <f>IF(BG309=0, 0, (AW287*BB287)/(BG309*BF278))</f>
        <v>0</v>
      </c>
      <c r="BG287" s="97" cm="1">
        <f t="array" ref="BG287">IFERROR(_xlfn.XLOOKUP(UPPER(TRIM(BA287)),UPPER(TRIM(AW310:BK310)),AW311:BK311,_xlfn.XLOOKUP(UPPER(TRIM(BA287)),UPPER(TRIM(AW312:BK312)),AW313:BK313,0))*AZ287*IF(AW287&gt;0,AW287,1),0)</f>
        <v>0</v>
      </c>
      <c r="BH287" s="106">
        <f>IF(BJ274&lt;&gt;0,AW287*BB287*BB274,0)</f>
        <v>0</v>
      </c>
      <c r="BI287" s="1747">
        <f t="shared" si="75"/>
        <v>0</v>
      </c>
      <c r="BJ287" s="99">
        <f>IF(OR(ISBLANK(BJ274),BJ274=0),0,BG287*BB287*BB274)</f>
        <v>0</v>
      </c>
      <c r="BK287" s="1367" t="str">
        <f>IF(BA287="","",IF(COUNTIF(BD310:BK310,SUBSTITUTE(TRIM(BA287)," (s)",""))+COUNTIF(BD312:BK312,SUBSTITUTE(TRIM(BA287)," (s)",""))&gt;0,IF(ROUND(BJ287,3)&gt;=1,ROUND(BJ287,3)&amp;" L",MAX(1,ROUND(BJ287*100,0))&amp;" cl"),IF(COUNTIF(AW310:BB310,SUBSTITUTE(TRIM(BA287)," (s)",""))+COUNTIF(AW312:BB312,SUBSTITUTE(TRIM(BA287)," (s)",""))&gt;0,IF(ROUND(BJ287,3)&gt;=1,ROUND(BJ287,3)&amp;" Kg",MAX(1,ROUND(BJ287*1000,0))&amp;" g"),"")))</f>
        <v/>
      </c>
      <c r="BM287" s="3">
        <v>1</v>
      </c>
    </row>
    <row r="288" spans="2:65" ht="21" customHeight="1">
      <c r="B288" s="103" t="str">
        <f t="shared" si="70"/>
        <v>►</v>
      </c>
      <c r="C288" s="31" t="str">
        <f>C275</f>
        <v>N NOM DE VOTRE RECETTE | collez la--FAMILLE| Auteur &gt; VOUS</v>
      </c>
      <c r="D288" s="32">
        <f>D275</f>
        <v>1</v>
      </c>
      <c r="E288" s="31" t="str">
        <f>E275</f>
        <v>coupe</v>
      </c>
      <c r="F288" s="33" t="str">
        <f>F275</f>
        <v>Recette mère ► MILLE-FEUILLE  aux fraises des bois</v>
      </c>
      <c r="G288" s="89"/>
      <c r="H288" s="108"/>
      <c r="I288" s="91" t="str">
        <f t="shared" si="67"/>
        <v/>
      </c>
      <c r="J288" s="92"/>
      <c r="K288" s="128"/>
      <c r="L288" s="130">
        <v>1</v>
      </c>
      <c r="M288" s="1813" t="str">
        <f>ROWS(M279:M288)&amp;" ►"</f>
        <v>10 ►</v>
      </c>
      <c r="N288" s="1580"/>
      <c r="O288" s="95">
        <f>IF(Q309=0,0,(Q288/Q309)*P278*1000)</f>
        <v>0</v>
      </c>
      <c r="P288" s="105">
        <f>IF(Q309=0, 0, (G288*L288)/(Q309*P278))</f>
        <v>0</v>
      </c>
      <c r="Q288" s="97" cm="1">
        <f t="array" ref="Q288">IFERROR(_xlfn.XLOOKUP(UPPER(TRIM(K288)),UPPER(TRIM(G310:U310)),G311:U311,_xlfn.XLOOKUP(UPPER(TRIM(K288)),UPPER(TRIM(G312:U312)),G313:U313,0))*J288*IF(G288&gt;0,G288,1),0)</f>
        <v>0</v>
      </c>
      <c r="R288" s="110">
        <f>IF(T274&lt;&gt;0,G288*L288*L274,0)</f>
        <v>0</v>
      </c>
      <c r="S288" s="1748">
        <f t="shared" si="71"/>
        <v>0</v>
      </c>
      <c r="T288" s="99">
        <f>IF(OR(ISBLANK(T274),T274=0),0,Q288*L288*L274)</f>
        <v>0</v>
      </c>
      <c r="U288" s="1617" t="str">
        <f>IF(K288="","",IF(COUNTIF(N310:U310,SUBSTITUTE(TRIM(K288)," (s)",""))+COUNTIF(N312:U312,SUBSTITUTE(TRIM(K288)," (s)",""))&gt;0,IF(ROUND(T288,3)&gt;=1,ROUND(T288,3)&amp;" L",MAX(1,ROUND(T288*100,0))&amp;" cl"),IF(COUNTIF(G310:L310,SUBSTITUTE(TRIM(K288)," (s)",""))+COUNTIF(G312:L312,SUBSTITUTE(TRIM(K288)," (s)",""))&gt;0,IF(ROUND(T288,3)&gt;=1,ROUND(T288,3)&amp;" Kg",MAX(1,ROUND(T288*1000,0))&amp;" g"),"")))</f>
        <v/>
      </c>
      <c r="W288" s="103" t="str">
        <f t="shared" si="72"/>
        <v>►</v>
      </c>
      <c r="X288" s="31" t="str">
        <f>X275</f>
        <v>N NAME OF YOUR RECIPE | paste it — FAMILY|  Author &gt; YOU</v>
      </c>
      <c r="Y288" s="32">
        <f>Y275</f>
        <v>1</v>
      </c>
      <c r="Z288" s="31" t="str">
        <f>Z275</f>
        <v>coupe</v>
      </c>
      <c r="AA288" s="33" t="str">
        <f>AA275</f>
        <v>Master recipe ► MILLE-FEUILLE  aux fraises des bois</v>
      </c>
      <c r="AB288" s="89"/>
      <c r="AC288" s="108"/>
      <c r="AD288" s="91" t="str">
        <f t="shared" si="68"/>
        <v/>
      </c>
      <c r="AE288" s="92"/>
      <c r="AF288" s="128"/>
      <c r="AG288" s="130">
        <v>1</v>
      </c>
      <c r="AH288" s="1813" t="str">
        <f>ROWS(AH279:AH288)&amp;" ►"</f>
        <v>10 ►</v>
      </c>
      <c r="AI288" s="1580"/>
      <c r="AJ288" s="95">
        <f>IF(AL309=0,0,(AL288/AL309)*AK278*1000)</f>
        <v>0</v>
      </c>
      <c r="AK288" s="105">
        <f>IF(AL309=0, 0, (AB288*AG288)/(AL309*AK278))</f>
        <v>0</v>
      </c>
      <c r="AL288" s="97" cm="1">
        <f t="array" ref="AL288">IFERROR(_xlfn.XLOOKUP(UPPER(TRIM(AF288)),UPPER(TRIM(AB310:AP310)),AB311:AP311,_xlfn.XLOOKUP(UPPER(TRIM(AF288)),UPPER(TRIM(AB312:AP312)),AB313:AP313,0))*AE288*IF(AB288&gt;0,AB288,1),0)</f>
        <v>0</v>
      </c>
      <c r="AM288" s="110">
        <f>IF(AO274&lt;&gt;0,AB288*AG288*AG274,0)</f>
        <v>0</v>
      </c>
      <c r="AN288" s="1748">
        <f t="shared" si="73"/>
        <v>0</v>
      </c>
      <c r="AO288" s="99">
        <f>IF(OR(ISBLANK(AO274),AO274=0),0,AL288*AG288*AG274)</f>
        <v>0</v>
      </c>
      <c r="AP288" s="1617" t="str">
        <f>IF(AF288="","",IF(COUNTIF(AI310:AP310,SUBSTITUTE(TRIM(AF288)," (s)",""))+COUNTIF(AI312:AP312,SUBSTITUTE(TRIM(AF288)," (s)",""))&gt;0,IF(ROUND(AO288,3)&gt;=1,ROUND(AO288,3)&amp;" L",MAX(1,ROUND(AO288*100,0))&amp;" cl"),IF(COUNTIF(AB310:AG310,SUBSTITUTE(TRIM(AF288)," (s)",""))+COUNTIF(AB312:AG312,SUBSTITUTE(TRIM(AF288)," (s)",""))&gt;0,IF(ROUND(AO288,3)&gt;=1,ROUND(AO288,3)&amp;" Kg",MAX(1,ROUND(AO288*1000,0))&amp;" g"),"")))</f>
        <v/>
      </c>
      <c r="AR288" s="103" t="str">
        <f t="shared" si="74"/>
        <v>►</v>
      </c>
      <c r="AS288" s="31" t="str">
        <f>AS275</f>
        <v>N NOMBRE DE SU RECETA | pegue esto — FAMILIA| Auteur &gt; VOUS</v>
      </c>
      <c r="AT288" s="32">
        <f>AT275</f>
        <v>1</v>
      </c>
      <c r="AU288" s="31" t="str">
        <f>AU275</f>
        <v>coupe</v>
      </c>
      <c r="AV288" s="33" t="str">
        <f>AV275</f>
        <v>Receta madre ► MILLE-FEUILLE  aux fraises des bois</v>
      </c>
      <c r="AW288" s="89"/>
      <c r="AX288" s="108"/>
      <c r="AY288" s="91" t="str">
        <f t="shared" si="69"/>
        <v/>
      </c>
      <c r="AZ288" s="92"/>
      <c r="BA288" s="128"/>
      <c r="BB288" s="130">
        <v>1</v>
      </c>
      <c r="BC288" s="1813" t="str">
        <f>ROWS(BC279:BC288)&amp;" ►"</f>
        <v>10 ►</v>
      </c>
      <c r="BD288" s="1580"/>
      <c r="BE288" s="95">
        <f>IF(BG309=0,0,(BG288/BG309)*BF278*1000)</f>
        <v>0</v>
      </c>
      <c r="BF288" s="105">
        <f>IF(BG309=0, 0, (AW288*BB288)/(BG309*BF278))</f>
        <v>0</v>
      </c>
      <c r="BG288" s="97" cm="1">
        <f t="array" ref="BG288">IFERROR(_xlfn.XLOOKUP(UPPER(TRIM(BA288)),UPPER(TRIM(AW310:BK310)),AW311:BK311,_xlfn.XLOOKUP(UPPER(TRIM(BA288)),UPPER(TRIM(AW312:BK312)),AW313:BK313,0))*AZ288*IF(AW288&gt;0,AW288,1),0)</f>
        <v>0</v>
      </c>
      <c r="BH288" s="110">
        <f>IF(BJ274&lt;&gt;0,AW288*BB288*BB274,0)</f>
        <v>0</v>
      </c>
      <c r="BI288" s="1748">
        <f t="shared" si="75"/>
        <v>0</v>
      </c>
      <c r="BJ288" s="99">
        <f>IF(OR(ISBLANK(BJ274),BJ274=0),0,BG288*BB288*BB274)</f>
        <v>0</v>
      </c>
      <c r="BK288" s="1617" t="str">
        <f>IF(BA288="","",IF(COUNTIF(BD310:BK310,SUBSTITUTE(TRIM(BA288)," (s)",""))+COUNTIF(BD312:BK312,SUBSTITUTE(TRIM(BA288)," (s)",""))&gt;0,IF(ROUND(BJ288,3)&gt;=1,ROUND(BJ288,3)&amp;" L",MAX(1,ROUND(BJ288*100,0))&amp;" cl"),IF(COUNTIF(AW310:BB310,SUBSTITUTE(TRIM(BA288)," (s)",""))+COUNTIF(AW312:BB312,SUBSTITUTE(TRIM(BA288)," (s)",""))&gt;0,IF(ROUND(BJ288,3)&gt;=1,ROUND(BJ288,3)&amp;" Kg",MAX(1,ROUND(BJ288*1000,0))&amp;" g"),"")))</f>
        <v/>
      </c>
      <c r="BM288" s="3">
        <v>1</v>
      </c>
    </row>
    <row r="289" spans="2:65" ht="21" customHeight="1">
      <c r="B289" s="103" t="str">
        <f t="shared" si="70"/>
        <v>►</v>
      </c>
      <c r="C289" s="31" t="str">
        <f>C275</f>
        <v>N NOM DE VOTRE RECETTE | collez la--FAMILLE| Auteur &gt; VOUS</v>
      </c>
      <c r="D289" s="32">
        <f>D275</f>
        <v>1</v>
      </c>
      <c r="E289" s="31" t="str">
        <f>E275</f>
        <v>coupe</v>
      </c>
      <c r="F289" s="33" t="str">
        <f>F275</f>
        <v>Recette mère ► MILLE-FEUILLE  aux fraises des bois</v>
      </c>
      <c r="G289" s="89"/>
      <c r="H289" s="108"/>
      <c r="I289" s="91" t="str">
        <f t="shared" si="67"/>
        <v/>
      </c>
      <c r="J289" s="92"/>
      <c r="K289" s="128"/>
      <c r="L289" s="130">
        <v>1</v>
      </c>
      <c r="M289" s="1813" t="str">
        <f>ROWS(M279:M289)&amp;" ►"</f>
        <v>11 ►</v>
      </c>
      <c r="N289" s="1580"/>
      <c r="O289" s="95">
        <f>IF(Q309=0,0,(Q289/Q309)*P278*1000)</f>
        <v>0</v>
      </c>
      <c r="P289" s="105">
        <f>IF(Q309=0, 0, (G289*L289)/(Q309*P278))</f>
        <v>0</v>
      </c>
      <c r="Q289" s="97" cm="1">
        <f t="array" ref="Q289">IFERROR(_xlfn.XLOOKUP(UPPER(TRIM(K289)),UPPER(TRIM(G310:U310)),G311:U311,_xlfn.XLOOKUP(UPPER(TRIM(K289)),UPPER(TRIM(G312:U312)),G313:U313,0))*J289*IF(G289&gt;0,G289,1),0)</f>
        <v>0</v>
      </c>
      <c r="R289" s="106">
        <f>IF(T274&lt;&gt;0,G289*L289*L274,0)</f>
        <v>0</v>
      </c>
      <c r="S289" s="1747">
        <f t="shared" si="71"/>
        <v>0</v>
      </c>
      <c r="T289" s="99">
        <f>IF(OR(ISBLANK(T274),T274=0),0,Q289*L289*L274)</f>
        <v>0</v>
      </c>
      <c r="U289" s="1367" t="str">
        <f>IF(K289="","",IF(COUNTIF(N310:U310,SUBSTITUTE(TRIM(K289)," (s)",""))+COUNTIF(N312:U312,SUBSTITUTE(TRIM(K289)," (s)",""))&gt;0,IF(ROUND(T289,3)&gt;=1,ROUND(T289,3)&amp;" L",MAX(1,ROUND(T289*100,0))&amp;" cl"),IF(COUNTIF(G310:L310,SUBSTITUTE(TRIM(K289)," (s)",""))+COUNTIF(G312:L312,SUBSTITUTE(TRIM(K289)," (s)",""))&gt;0,IF(ROUND(T289,3)&gt;=1,ROUND(T289,3)&amp;" Kg",MAX(1,ROUND(T289*1000,0))&amp;" g"),"")))</f>
        <v/>
      </c>
      <c r="W289" s="103" t="str">
        <f t="shared" si="72"/>
        <v>►</v>
      </c>
      <c r="X289" s="31" t="str">
        <f>X275</f>
        <v>N NAME OF YOUR RECIPE | paste it — FAMILY|  Author &gt; YOU</v>
      </c>
      <c r="Y289" s="32">
        <f>Y275</f>
        <v>1</v>
      </c>
      <c r="Z289" s="31" t="str">
        <f>Z275</f>
        <v>coupe</v>
      </c>
      <c r="AA289" s="33" t="str">
        <f>AA275</f>
        <v>Master recipe ► MILLE-FEUILLE  aux fraises des bois</v>
      </c>
      <c r="AB289" s="89"/>
      <c r="AC289" s="108"/>
      <c r="AD289" s="91" t="str">
        <f t="shared" si="68"/>
        <v/>
      </c>
      <c r="AE289" s="92"/>
      <c r="AF289" s="128"/>
      <c r="AG289" s="130">
        <v>1</v>
      </c>
      <c r="AH289" s="1813" t="str">
        <f>ROWS(AH279:AH289)&amp;" ►"</f>
        <v>11 ►</v>
      </c>
      <c r="AI289" s="1580"/>
      <c r="AJ289" s="95">
        <f>IF(AL309=0,0,(AL289/AL309)*AK278*1000)</f>
        <v>0</v>
      </c>
      <c r="AK289" s="105">
        <f>IF(AL309=0, 0, (AB289*AG289)/(AL309*AK278))</f>
        <v>0</v>
      </c>
      <c r="AL289" s="97" cm="1">
        <f t="array" ref="AL289">IFERROR(_xlfn.XLOOKUP(UPPER(TRIM(AF289)),UPPER(TRIM(AB310:AP310)),AB311:AP311,_xlfn.XLOOKUP(UPPER(TRIM(AF289)),UPPER(TRIM(AB312:AP312)),AB313:AP313,0))*AE289*IF(AB289&gt;0,AB289,1),0)</f>
        <v>0</v>
      </c>
      <c r="AM289" s="106">
        <f>IF(AO274&lt;&gt;0,AB289*AG289*AG274,0)</f>
        <v>0</v>
      </c>
      <c r="AN289" s="1747">
        <f t="shared" si="73"/>
        <v>0</v>
      </c>
      <c r="AO289" s="99">
        <f>IF(OR(ISBLANK(AO274),AO274=0),0,AL289*AG289*AG274)</f>
        <v>0</v>
      </c>
      <c r="AP289" s="1367" t="str">
        <f>IF(AF289="","",IF(COUNTIF(AI310:AP310,SUBSTITUTE(TRIM(AF289)," (s)",""))+COUNTIF(AI312:AP312,SUBSTITUTE(TRIM(AF289)," (s)",""))&gt;0,IF(ROUND(AO289,3)&gt;=1,ROUND(AO289,3)&amp;" L",MAX(1,ROUND(AO289*100,0))&amp;" cl"),IF(COUNTIF(AB310:AG310,SUBSTITUTE(TRIM(AF289)," (s)",""))+COUNTIF(AB312:AG312,SUBSTITUTE(TRIM(AF289)," (s)",""))&gt;0,IF(ROUND(AO289,3)&gt;=1,ROUND(AO289,3)&amp;" Kg",MAX(1,ROUND(AO289*1000,0))&amp;" g"),"")))</f>
        <v/>
      </c>
      <c r="AR289" s="103" t="str">
        <f t="shared" si="74"/>
        <v>►</v>
      </c>
      <c r="AS289" s="31" t="str">
        <f>AS275</f>
        <v>N NOMBRE DE SU RECETA | pegue esto — FAMILIA| Auteur &gt; VOUS</v>
      </c>
      <c r="AT289" s="32">
        <f>AT275</f>
        <v>1</v>
      </c>
      <c r="AU289" s="31" t="str">
        <f>AU275</f>
        <v>coupe</v>
      </c>
      <c r="AV289" s="33" t="str">
        <f>AV275</f>
        <v>Receta madre ► MILLE-FEUILLE  aux fraises des bois</v>
      </c>
      <c r="AW289" s="89"/>
      <c r="AX289" s="108"/>
      <c r="AY289" s="91" t="str">
        <f t="shared" si="69"/>
        <v/>
      </c>
      <c r="AZ289" s="92"/>
      <c r="BA289" s="128"/>
      <c r="BB289" s="130">
        <v>1</v>
      </c>
      <c r="BC289" s="1813" t="str">
        <f>ROWS(BC279:BC289)&amp;" ►"</f>
        <v>11 ►</v>
      </c>
      <c r="BD289" s="1580"/>
      <c r="BE289" s="95">
        <f>IF(BG309=0,0,(BG289/BG309)*BF278*1000)</f>
        <v>0</v>
      </c>
      <c r="BF289" s="105">
        <f>IF(BG309=0, 0, (AW289*BB289)/(BG309*BF278))</f>
        <v>0</v>
      </c>
      <c r="BG289" s="97" cm="1">
        <f t="array" ref="BG289">IFERROR(_xlfn.XLOOKUP(UPPER(TRIM(BA289)),UPPER(TRIM(AW310:BK310)),AW311:BK311,_xlfn.XLOOKUP(UPPER(TRIM(BA289)),UPPER(TRIM(AW312:BK312)),AW313:BK313,0))*AZ289*IF(AW289&gt;0,AW289,1),0)</f>
        <v>0</v>
      </c>
      <c r="BH289" s="106">
        <f>IF(BJ274&lt;&gt;0,AW289*BB289*BB274,0)</f>
        <v>0</v>
      </c>
      <c r="BI289" s="1747">
        <f t="shared" si="75"/>
        <v>0</v>
      </c>
      <c r="BJ289" s="99">
        <f>IF(OR(ISBLANK(BJ274),BJ274=0),0,BG289*BB289*BB274)</f>
        <v>0</v>
      </c>
      <c r="BK289" s="1367" t="str">
        <f>IF(BA289="","",IF(COUNTIF(BD310:BK310,SUBSTITUTE(TRIM(BA289)," (s)",""))+COUNTIF(BD312:BK312,SUBSTITUTE(TRIM(BA289)," (s)",""))&gt;0,IF(ROUND(BJ289,3)&gt;=1,ROUND(BJ289,3)&amp;" L",MAX(1,ROUND(BJ289*100,0))&amp;" cl"),IF(COUNTIF(AW310:BB310,SUBSTITUTE(TRIM(BA289)," (s)",""))+COUNTIF(AW312:BB312,SUBSTITUTE(TRIM(BA289)," (s)",""))&gt;0,IF(ROUND(BJ289,3)&gt;=1,ROUND(BJ289,3)&amp;" Kg",MAX(1,ROUND(BJ289*1000,0))&amp;" g"),"")))</f>
        <v/>
      </c>
      <c r="BM289" s="3">
        <v>1</v>
      </c>
    </row>
    <row r="290" spans="2:65" ht="21" customHeight="1">
      <c r="B290" s="103" t="str">
        <f t="shared" si="70"/>
        <v>►</v>
      </c>
      <c r="C290" s="31" t="str">
        <f>C275</f>
        <v>N NOM DE VOTRE RECETTE | collez la--FAMILLE| Auteur &gt; VOUS</v>
      </c>
      <c r="D290" s="32">
        <f>D275</f>
        <v>1</v>
      </c>
      <c r="E290" s="31" t="str">
        <f>E275</f>
        <v>coupe</v>
      </c>
      <c r="F290" s="33" t="str">
        <f>F275</f>
        <v>Recette mère ► MILLE-FEUILLE  aux fraises des bois</v>
      </c>
      <c r="G290" s="89"/>
      <c r="H290" s="108"/>
      <c r="I290" s="91" t="str">
        <f t="shared" si="67"/>
        <v/>
      </c>
      <c r="J290" s="92"/>
      <c r="K290" s="128"/>
      <c r="L290" s="130">
        <v>1</v>
      </c>
      <c r="M290" s="1813" t="str">
        <f>ROWS(M279:M290)&amp;" ►"</f>
        <v>12 ►</v>
      </c>
      <c r="N290" s="1580"/>
      <c r="O290" s="95">
        <f>IF(Q309=0,0,(Q290/Q309)*P278*1000)</f>
        <v>0</v>
      </c>
      <c r="P290" s="105">
        <f>IF(Q309=0, 0, (G290*L290)/(Q309*P278))</f>
        <v>0</v>
      </c>
      <c r="Q290" s="97" cm="1">
        <f t="array" ref="Q290">IFERROR(_xlfn.XLOOKUP(UPPER(TRIM(K290)),UPPER(TRIM(G310:U310)),G311:U311,_xlfn.XLOOKUP(UPPER(TRIM(K290)),UPPER(TRIM(G312:U312)),G313:U313,0))*J290*IF(G290&gt;0,G290,1),0)</f>
        <v>0</v>
      </c>
      <c r="R290" s="110">
        <f>IF(T274&lt;&gt;0,G290*L290*L274,0)</f>
        <v>0</v>
      </c>
      <c r="S290" s="1748">
        <f t="shared" si="71"/>
        <v>0</v>
      </c>
      <c r="T290" s="99">
        <f>IF(OR(ISBLANK(T274),T274=0),0,Q290*L290*L274)</f>
        <v>0</v>
      </c>
      <c r="U290" s="1617" t="str">
        <f>IF(K290="","",IF(COUNTIF(N310:U310,SUBSTITUTE(TRIM(K290)," (s)",""))+COUNTIF(N312:U312,SUBSTITUTE(TRIM(K290)," (s)",""))&gt;0,IF(ROUND(T290,3)&gt;=1,ROUND(T290,3)&amp;" L",MAX(1,ROUND(T290*100,0))&amp;" cl"),IF(COUNTIF(G310:L310,SUBSTITUTE(TRIM(K290)," (s)",""))+COUNTIF(G312:L312,SUBSTITUTE(TRIM(K290)," (s)",""))&gt;0,IF(ROUND(T290,3)&gt;=1,ROUND(T290,3)&amp;" Kg",MAX(1,ROUND(T290*1000,0))&amp;" g"),"")))</f>
        <v/>
      </c>
      <c r="W290" s="103" t="str">
        <f t="shared" si="72"/>
        <v>►</v>
      </c>
      <c r="X290" s="31" t="str">
        <f>X275</f>
        <v>N NAME OF YOUR RECIPE | paste it — FAMILY|  Author &gt; YOU</v>
      </c>
      <c r="Y290" s="32">
        <f>Y275</f>
        <v>1</v>
      </c>
      <c r="Z290" s="31" t="str">
        <f>Z275</f>
        <v>coupe</v>
      </c>
      <c r="AA290" s="33" t="str">
        <f>AA275</f>
        <v>Master recipe ► MILLE-FEUILLE  aux fraises des bois</v>
      </c>
      <c r="AB290" s="89"/>
      <c r="AC290" s="108"/>
      <c r="AD290" s="91" t="str">
        <f t="shared" si="68"/>
        <v/>
      </c>
      <c r="AE290" s="92"/>
      <c r="AF290" s="128"/>
      <c r="AG290" s="130">
        <v>1</v>
      </c>
      <c r="AH290" s="1813" t="str">
        <f>ROWS(AH279:AH290)&amp;" ►"</f>
        <v>12 ►</v>
      </c>
      <c r="AI290" s="1580"/>
      <c r="AJ290" s="95">
        <f>IF(AL309=0,0,(AL290/AL309)*AK278*1000)</f>
        <v>0</v>
      </c>
      <c r="AK290" s="105">
        <f>IF(AL309=0, 0, (AB290*AG290)/(AL309*AK278))</f>
        <v>0</v>
      </c>
      <c r="AL290" s="97" cm="1">
        <f t="array" ref="AL290">IFERROR(_xlfn.XLOOKUP(UPPER(TRIM(AF290)),UPPER(TRIM(AB310:AP310)),AB311:AP311,_xlfn.XLOOKUP(UPPER(TRIM(AF290)),UPPER(TRIM(AB312:AP312)),AB313:AP313,0))*AE290*IF(AB290&gt;0,AB290,1),0)</f>
        <v>0</v>
      </c>
      <c r="AM290" s="110">
        <f>IF(AO274&lt;&gt;0,AB290*AG290*AG274,0)</f>
        <v>0</v>
      </c>
      <c r="AN290" s="1748">
        <f t="shared" si="73"/>
        <v>0</v>
      </c>
      <c r="AO290" s="99">
        <f>IF(OR(ISBLANK(AO274),AO274=0),0,AL290*AG290*AG274)</f>
        <v>0</v>
      </c>
      <c r="AP290" s="1617" t="str">
        <f>IF(AF290="","",IF(COUNTIF(AI310:AP310,SUBSTITUTE(TRIM(AF290)," (s)",""))+COUNTIF(AI312:AP312,SUBSTITUTE(TRIM(AF290)," (s)",""))&gt;0,IF(ROUND(AO290,3)&gt;=1,ROUND(AO290,3)&amp;" L",MAX(1,ROUND(AO290*100,0))&amp;" cl"),IF(COUNTIF(AB310:AG310,SUBSTITUTE(TRIM(AF290)," (s)",""))+COUNTIF(AB312:AG312,SUBSTITUTE(TRIM(AF290)," (s)",""))&gt;0,IF(ROUND(AO290,3)&gt;=1,ROUND(AO290,3)&amp;" Kg",MAX(1,ROUND(AO290*1000,0))&amp;" g"),"")))</f>
        <v/>
      </c>
      <c r="AR290" s="103" t="str">
        <f t="shared" si="74"/>
        <v>►</v>
      </c>
      <c r="AS290" s="31" t="str">
        <f>AS275</f>
        <v>N NOMBRE DE SU RECETA | pegue esto — FAMILIA| Auteur &gt; VOUS</v>
      </c>
      <c r="AT290" s="32">
        <f>AT275</f>
        <v>1</v>
      </c>
      <c r="AU290" s="31" t="str">
        <f>AU275</f>
        <v>coupe</v>
      </c>
      <c r="AV290" s="33" t="str">
        <f>AV275</f>
        <v>Receta madre ► MILLE-FEUILLE  aux fraises des bois</v>
      </c>
      <c r="AW290" s="89"/>
      <c r="AX290" s="108"/>
      <c r="AY290" s="91" t="str">
        <f t="shared" si="69"/>
        <v/>
      </c>
      <c r="AZ290" s="92"/>
      <c r="BA290" s="128"/>
      <c r="BB290" s="130">
        <v>1</v>
      </c>
      <c r="BC290" s="1813" t="str">
        <f>ROWS(BC279:BC290)&amp;" ►"</f>
        <v>12 ►</v>
      </c>
      <c r="BD290" s="1580"/>
      <c r="BE290" s="95">
        <f>IF(BG309=0,0,(BG290/BG309)*BF278*1000)</f>
        <v>0</v>
      </c>
      <c r="BF290" s="105">
        <f>IF(BG309=0, 0, (AW290*BB290)/(BG309*BF278))</f>
        <v>0</v>
      </c>
      <c r="BG290" s="97" cm="1">
        <f t="array" ref="BG290">IFERROR(_xlfn.XLOOKUP(UPPER(TRIM(BA290)),UPPER(TRIM(AW310:BK310)),AW311:BK311,_xlfn.XLOOKUP(UPPER(TRIM(BA290)),UPPER(TRIM(AW312:BK312)),AW313:BK313,0))*AZ290*IF(AW290&gt;0,AW290,1),0)</f>
        <v>0</v>
      </c>
      <c r="BH290" s="110">
        <f>IF(BJ274&lt;&gt;0,AW290*BB290*BB274,0)</f>
        <v>0</v>
      </c>
      <c r="BI290" s="1748">
        <f t="shared" si="75"/>
        <v>0</v>
      </c>
      <c r="BJ290" s="99">
        <f>IF(OR(ISBLANK(BJ274),BJ274=0),0,BG290*BB290*BB274)</f>
        <v>0</v>
      </c>
      <c r="BK290" s="1617" t="str">
        <f>IF(BA290="","",IF(COUNTIF(BD310:BK310,SUBSTITUTE(TRIM(BA290)," (s)",""))+COUNTIF(BD312:BK312,SUBSTITUTE(TRIM(BA290)," (s)",""))&gt;0,IF(ROUND(BJ290,3)&gt;=1,ROUND(BJ290,3)&amp;" L",MAX(1,ROUND(BJ290*100,0))&amp;" cl"),IF(COUNTIF(AW310:BB310,SUBSTITUTE(TRIM(BA290)," (s)",""))+COUNTIF(AW312:BB312,SUBSTITUTE(TRIM(BA290)," (s)",""))&gt;0,IF(ROUND(BJ290,3)&gt;=1,ROUND(BJ290,3)&amp;" Kg",MAX(1,ROUND(BJ290*1000,0))&amp;" g"),"")))</f>
        <v/>
      </c>
      <c r="BM290" s="3">
        <v>1</v>
      </c>
    </row>
    <row r="291" spans="2:65" ht="21" customHeight="1">
      <c r="B291" s="103" t="str">
        <f t="shared" si="70"/>
        <v>►</v>
      </c>
      <c r="C291" s="31" t="str">
        <f>C275</f>
        <v>N NOM DE VOTRE RECETTE | collez la--FAMILLE| Auteur &gt; VOUS</v>
      </c>
      <c r="D291" s="32">
        <f>D275</f>
        <v>1</v>
      </c>
      <c r="E291" s="31" t="str">
        <f>E275</f>
        <v>coupe</v>
      </c>
      <c r="F291" s="33" t="str">
        <f>F275</f>
        <v>Recette mère ► MILLE-FEUILLE  aux fraises des bois</v>
      </c>
      <c r="G291" s="89"/>
      <c r="H291" s="108"/>
      <c r="I291" s="91" t="str">
        <f t="shared" si="67"/>
        <v/>
      </c>
      <c r="J291" s="92"/>
      <c r="K291" s="128"/>
      <c r="L291" s="130">
        <v>1</v>
      </c>
      <c r="M291" s="1813" t="str">
        <f>ROWS(M279:M291)&amp;" ►"</f>
        <v>13 ►</v>
      </c>
      <c r="N291" s="1580"/>
      <c r="O291" s="95">
        <f>IF(Q309=0,0,(Q291/Q309)*P278*1000)</f>
        <v>0</v>
      </c>
      <c r="P291" s="105">
        <f>IF(Q309=0, 0, (G291*L291)/(Q309*P278))</f>
        <v>0</v>
      </c>
      <c r="Q291" s="97" cm="1">
        <f t="array" ref="Q291">IFERROR(_xlfn.XLOOKUP(UPPER(TRIM(K291)),UPPER(TRIM(G310:U310)),G311:U311,_xlfn.XLOOKUP(UPPER(TRIM(K291)),UPPER(TRIM(G312:U312)),G313:U313,0))*J291*IF(G291&gt;0,G291,1),0)</f>
        <v>0</v>
      </c>
      <c r="R291" s="106">
        <f>IF(T274&lt;&gt;0,G291*L291*L274,0)</f>
        <v>0</v>
      </c>
      <c r="S291" s="1747">
        <f t="shared" si="71"/>
        <v>0</v>
      </c>
      <c r="T291" s="99">
        <f>IF(OR(ISBLANK(T274),T274=0),0,Q291*L291*L274)</f>
        <v>0</v>
      </c>
      <c r="U291" s="1367" t="str">
        <f>IF(K291="","",IF(COUNTIF(N310:U310,SUBSTITUTE(TRIM(K291)," (s)",""))+COUNTIF(N312:U312,SUBSTITUTE(TRIM(K291)," (s)",""))&gt;0,IF(ROUND(T291,3)&gt;=1,ROUND(T291,3)&amp;" L",MAX(1,ROUND(T291*100,0))&amp;" cl"),IF(COUNTIF(G310:L310,SUBSTITUTE(TRIM(K291)," (s)",""))+COUNTIF(G312:L312,SUBSTITUTE(TRIM(K291)," (s)",""))&gt;0,IF(ROUND(T291,3)&gt;=1,ROUND(T291,3)&amp;" Kg",MAX(1,ROUND(T291*1000,0))&amp;" g"),"")))</f>
        <v/>
      </c>
      <c r="W291" s="103" t="str">
        <f t="shared" si="72"/>
        <v>►</v>
      </c>
      <c r="X291" s="31" t="str">
        <f>X275</f>
        <v>N NAME OF YOUR RECIPE | paste it — FAMILY|  Author &gt; YOU</v>
      </c>
      <c r="Y291" s="32">
        <f>Y275</f>
        <v>1</v>
      </c>
      <c r="Z291" s="31" t="str">
        <f>Z275</f>
        <v>coupe</v>
      </c>
      <c r="AA291" s="33" t="str">
        <f>AA275</f>
        <v>Master recipe ► MILLE-FEUILLE  aux fraises des bois</v>
      </c>
      <c r="AB291" s="89"/>
      <c r="AC291" s="108"/>
      <c r="AD291" s="91" t="str">
        <f t="shared" si="68"/>
        <v/>
      </c>
      <c r="AE291" s="92"/>
      <c r="AF291" s="128"/>
      <c r="AG291" s="130">
        <v>1</v>
      </c>
      <c r="AH291" s="1813" t="str">
        <f>ROWS(AH279:AH291)&amp;" ►"</f>
        <v>13 ►</v>
      </c>
      <c r="AI291" s="1580"/>
      <c r="AJ291" s="95">
        <f>IF(AL309=0,0,(AL291/AL309)*AK278*1000)</f>
        <v>0</v>
      </c>
      <c r="AK291" s="105">
        <f>IF(AL309=0, 0, (AB291*AG291)/(AL309*AK278))</f>
        <v>0</v>
      </c>
      <c r="AL291" s="97" cm="1">
        <f t="array" ref="AL291">IFERROR(_xlfn.XLOOKUP(UPPER(TRIM(AF291)),UPPER(TRIM(AB310:AP310)),AB311:AP311,_xlfn.XLOOKUP(UPPER(TRIM(AF291)),UPPER(TRIM(AB312:AP312)),AB313:AP313,0))*AE291*IF(AB291&gt;0,AB291,1),0)</f>
        <v>0</v>
      </c>
      <c r="AM291" s="106">
        <f>IF(AO274&lt;&gt;0,AB291*AG291*AG274,0)</f>
        <v>0</v>
      </c>
      <c r="AN291" s="1747">
        <f t="shared" si="73"/>
        <v>0</v>
      </c>
      <c r="AO291" s="99">
        <f>IF(OR(ISBLANK(AO274),AO274=0),0,AL291*AG291*AG274)</f>
        <v>0</v>
      </c>
      <c r="AP291" s="1367" t="str">
        <f>IF(AF291="","",IF(COUNTIF(AI310:AP310,SUBSTITUTE(TRIM(AF291)," (s)",""))+COUNTIF(AI312:AP312,SUBSTITUTE(TRIM(AF291)," (s)",""))&gt;0,IF(ROUND(AO291,3)&gt;=1,ROUND(AO291,3)&amp;" L",MAX(1,ROUND(AO291*100,0))&amp;" cl"),IF(COUNTIF(AB310:AG310,SUBSTITUTE(TRIM(AF291)," (s)",""))+COUNTIF(AB312:AG312,SUBSTITUTE(TRIM(AF291)," (s)",""))&gt;0,IF(ROUND(AO291,3)&gt;=1,ROUND(AO291,3)&amp;" Kg",MAX(1,ROUND(AO291*1000,0))&amp;" g"),"")))</f>
        <v/>
      </c>
      <c r="AR291" s="103" t="str">
        <f t="shared" si="74"/>
        <v>►</v>
      </c>
      <c r="AS291" s="31" t="str">
        <f>AS275</f>
        <v>N NOMBRE DE SU RECETA | pegue esto — FAMILIA| Auteur &gt; VOUS</v>
      </c>
      <c r="AT291" s="32">
        <f>AT275</f>
        <v>1</v>
      </c>
      <c r="AU291" s="31" t="str">
        <f>AU275</f>
        <v>coupe</v>
      </c>
      <c r="AV291" s="33" t="str">
        <f>AV275</f>
        <v>Receta madre ► MILLE-FEUILLE  aux fraises des bois</v>
      </c>
      <c r="AW291" s="89"/>
      <c r="AX291" s="108"/>
      <c r="AY291" s="91" t="str">
        <f t="shared" si="69"/>
        <v/>
      </c>
      <c r="AZ291" s="92"/>
      <c r="BA291" s="128"/>
      <c r="BB291" s="130">
        <v>1</v>
      </c>
      <c r="BC291" s="1813" t="str">
        <f>ROWS(BC279:BC291)&amp;" ►"</f>
        <v>13 ►</v>
      </c>
      <c r="BD291" s="1580"/>
      <c r="BE291" s="95">
        <f>IF(BG309=0,0,(BG291/BG309)*BF278*1000)</f>
        <v>0</v>
      </c>
      <c r="BF291" s="105">
        <f>IF(BG309=0, 0, (AW291*BB291)/(BG309*BF278))</f>
        <v>0</v>
      </c>
      <c r="BG291" s="97" cm="1">
        <f t="array" ref="BG291">IFERROR(_xlfn.XLOOKUP(UPPER(TRIM(BA291)),UPPER(TRIM(AW310:BK310)),AW311:BK311,_xlfn.XLOOKUP(UPPER(TRIM(BA291)),UPPER(TRIM(AW312:BK312)),AW313:BK313,0))*AZ291*IF(AW291&gt;0,AW291,1),0)</f>
        <v>0</v>
      </c>
      <c r="BH291" s="106">
        <f>IF(BJ274&lt;&gt;0,AW291*BB291*BB274,0)</f>
        <v>0</v>
      </c>
      <c r="BI291" s="1747">
        <f t="shared" si="75"/>
        <v>0</v>
      </c>
      <c r="BJ291" s="99">
        <f>IF(OR(ISBLANK(BJ274),BJ274=0),0,BG291*BB291*BB274)</f>
        <v>0</v>
      </c>
      <c r="BK291" s="1367" t="str">
        <f>IF(BA291="","",IF(COUNTIF(BD310:BK310,SUBSTITUTE(TRIM(BA291)," (s)",""))+COUNTIF(BD312:BK312,SUBSTITUTE(TRIM(BA291)," (s)",""))&gt;0,IF(ROUND(BJ291,3)&gt;=1,ROUND(BJ291,3)&amp;" L",MAX(1,ROUND(BJ291*100,0))&amp;" cl"),IF(COUNTIF(AW310:BB310,SUBSTITUTE(TRIM(BA291)," (s)",""))+COUNTIF(AW312:BB312,SUBSTITUTE(TRIM(BA291)," (s)",""))&gt;0,IF(ROUND(BJ291,3)&gt;=1,ROUND(BJ291,3)&amp;" Kg",MAX(1,ROUND(BJ291*1000,0))&amp;" g"),"")))</f>
        <v/>
      </c>
      <c r="BM291" s="3">
        <v>1</v>
      </c>
    </row>
    <row r="292" spans="2:65" ht="21" customHeight="1">
      <c r="B292" s="103" t="str">
        <f t="shared" si="70"/>
        <v>►</v>
      </c>
      <c r="C292" s="31" t="str">
        <f>C275</f>
        <v>N NOM DE VOTRE RECETTE | collez la--FAMILLE| Auteur &gt; VOUS</v>
      </c>
      <c r="D292" s="32">
        <f>D275</f>
        <v>1</v>
      </c>
      <c r="E292" s="31" t="str">
        <f>E275</f>
        <v>coupe</v>
      </c>
      <c r="F292" s="33" t="str">
        <f>F275</f>
        <v>Recette mère ► MILLE-FEUILLE  aux fraises des bois</v>
      </c>
      <c r="G292" s="89"/>
      <c r="H292" s="108"/>
      <c r="I292" s="91" t="str">
        <f t="shared" si="67"/>
        <v/>
      </c>
      <c r="J292" s="92"/>
      <c r="K292" s="128"/>
      <c r="L292" s="130">
        <v>1</v>
      </c>
      <c r="M292" s="1813" t="str">
        <f>ROWS(M279:M292)&amp;" ►"</f>
        <v>14 ►</v>
      </c>
      <c r="N292" s="1580"/>
      <c r="O292" s="95">
        <f>IF(Q309=0,0,(Q292/Q309)*P278*1000)</f>
        <v>0</v>
      </c>
      <c r="P292" s="105">
        <f>IF(Q309=0, 0, (G292*L292)/(Q309*P278))</f>
        <v>0</v>
      </c>
      <c r="Q292" s="97" cm="1">
        <f t="array" ref="Q292">IFERROR(_xlfn.XLOOKUP(UPPER(TRIM(K292)),UPPER(TRIM(G310:U310)),G311:U311,_xlfn.XLOOKUP(UPPER(TRIM(K292)),UPPER(TRIM(G312:U312)),G313:U313,0))*J292*IF(G292&gt;0,G292,1),0)</f>
        <v>0</v>
      </c>
      <c r="R292" s="110">
        <f>IF(T274&lt;&gt;0,G292*L292*L274,0)</f>
        <v>0</v>
      </c>
      <c r="S292" s="1748">
        <f t="shared" si="71"/>
        <v>0</v>
      </c>
      <c r="T292" s="99">
        <f>IF(OR(ISBLANK(T274),T274=0),0,Q292*L292*L274)</f>
        <v>0</v>
      </c>
      <c r="U292" s="1617" t="str">
        <f>IF(K292="","",IF(COUNTIF(N310:U310,SUBSTITUTE(TRIM(K292)," (s)",""))+COUNTIF(N312:U312,SUBSTITUTE(TRIM(K292)," (s)",""))&gt;0,IF(ROUND(T292,3)&gt;=1,ROUND(T292,3)&amp;" L",MAX(1,ROUND(T292*100,0))&amp;" cl"),IF(COUNTIF(G310:L310,SUBSTITUTE(TRIM(K292)," (s)",""))+COUNTIF(G312:L312,SUBSTITUTE(TRIM(K292)," (s)",""))&gt;0,IF(ROUND(T292,3)&gt;=1,ROUND(T292,3)&amp;" Kg",MAX(1,ROUND(T292*1000,0))&amp;" g"),"")))</f>
        <v/>
      </c>
      <c r="W292" s="103" t="str">
        <f t="shared" si="72"/>
        <v>►</v>
      </c>
      <c r="X292" s="31" t="str">
        <f>X275</f>
        <v>N NAME OF YOUR RECIPE | paste it — FAMILY|  Author &gt; YOU</v>
      </c>
      <c r="Y292" s="32">
        <f>Y275</f>
        <v>1</v>
      </c>
      <c r="Z292" s="31" t="str">
        <f>Z275</f>
        <v>coupe</v>
      </c>
      <c r="AA292" s="33" t="str">
        <f>AA275</f>
        <v>Master recipe ► MILLE-FEUILLE  aux fraises des bois</v>
      </c>
      <c r="AB292" s="89"/>
      <c r="AC292" s="108"/>
      <c r="AD292" s="91" t="str">
        <f t="shared" si="68"/>
        <v/>
      </c>
      <c r="AE292" s="92"/>
      <c r="AF292" s="128"/>
      <c r="AG292" s="130">
        <v>1</v>
      </c>
      <c r="AH292" s="1813" t="str">
        <f>ROWS(AH279:AH292)&amp;" ►"</f>
        <v>14 ►</v>
      </c>
      <c r="AI292" s="1580"/>
      <c r="AJ292" s="95">
        <f>IF(AL309=0,0,(AL292/AL309)*AK278*1000)</f>
        <v>0</v>
      </c>
      <c r="AK292" s="105">
        <f>IF(AL309=0, 0, (AB292*AG292)/(AL309*AK278))</f>
        <v>0</v>
      </c>
      <c r="AL292" s="97" cm="1">
        <f t="array" ref="AL292">IFERROR(_xlfn.XLOOKUP(UPPER(TRIM(AF292)),UPPER(TRIM(AB310:AP310)),AB311:AP311,_xlfn.XLOOKUP(UPPER(TRIM(AF292)),UPPER(TRIM(AB312:AP312)),AB313:AP313,0))*AE292*IF(AB292&gt;0,AB292,1),0)</f>
        <v>0</v>
      </c>
      <c r="AM292" s="110">
        <f>IF(AO274&lt;&gt;0,AB292*AG292*AG274,0)</f>
        <v>0</v>
      </c>
      <c r="AN292" s="1748">
        <f t="shared" si="73"/>
        <v>0</v>
      </c>
      <c r="AO292" s="99">
        <f>IF(OR(ISBLANK(AO274),AO274=0),0,AL292*AG292*AG274)</f>
        <v>0</v>
      </c>
      <c r="AP292" s="1617" t="str">
        <f>IF(AF292="","",IF(COUNTIF(AI310:AP310,SUBSTITUTE(TRIM(AF292)," (s)",""))+COUNTIF(AI312:AP312,SUBSTITUTE(TRIM(AF292)," (s)",""))&gt;0,IF(ROUND(AO292,3)&gt;=1,ROUND(AO292,3)&amp;" L",MAX(1,ROUND(AO292*100,0))&amp;" cl"),IF(COUNTIF(AB310:AG310,SUBSTITUTE(TRIM(AF292)," (s)",""))+COUNTIF(AB312:AG312,SUBSTITUTE(TRIM(AF292)," (s)",""))&gt;0,IF(ROUND(AO292,3)&gt;=1,ROUND(AO292,3)&amp;" Kg",MAX(1,ROUND(AO292*1000,0))&amp;" g"),"")))</f>
        <v/>
      </c>
      <c r="AR292" s="103" t="str">
        <f t="shared" si="74"/>
        <v>►</v>
      </c>
      <c r="AS292" s="31" t="str">
        <f>AS275</f>
        <v>N NOMBRE DE SU RECETA | pegue esto — FAMILIA| Auteur &gt; VOUS</v>
      </c>
      <c r="AT292" s="32">
        <f>AT275</f>
        <v>1</v>
      </c>
      <c r="AU292" s="31" t="str">
        <f>AU275</f>
        <v>coupe</v>
      </c>
      <c r="AV292" s="33" t="str">
        <f>AV275</f>
        <v>Receta madre ► MILLE-FEUILLE  aux fraises des bois</v>
      </c>
      <c r="AW292" s="89"/>
      <c r="AX292" s="108"/>
      <c r="AY292" s="91" t="str">
        <f t="shared" si="69"/>
        <v/>
      </c>
      <c r="AZ292" s="92"/>
      <c r="BA292" s="128"/>
      <c r="BB292" s="130">
        <v>1</v>
      </c>
      <c r="BC292" s="1813" t="str">
        <f>ROWS(BC279:BC292)&amp;" ►"</f>
        <v>14 ►</v>
      </c>
      <c r="BD292" s="1580"/>
      <c r="BE292" s="95">
        <f>IF(BG309=0,0,(BG292/BG309)*BF278*1000)</f>
        <v>0</v>
      </c>
      <c r="BF292" s="105">
        <f>IF(BG309=0, 0, (AW292*BB292)/(BG309*BF278))</f>
        <v>0</v>
      </c>
      <c r="BG292" s="97" cm="1">
        <f t="array" ref="BG292">IFERROR(_xlfn.XLOOKUP(UPPER(TRIM(BA292)),UPPER(TRIM(AW310:BK310)),AW311:BK311,_xlfn.XLOOKUP(UPPER(TRIM(BA292)),UPPER(TRIM(AW312:BK312)),AW313:BK313,0))*AZ292*IF(AW292&gt;0,AW292,1),0)</f>
        <v>0</v>
      </c>
      <c r="BH292" s="110">
        <f>IF(BJ274&lt;&gt;0,AW292*BB292*BB274,0)</f>
        <v>0</v>
      </c>
      <c r="BI292" s="1748">
        <f t="shared" si="75"/>
        <v>0</v>
      </c>
      <c r="BJ292" s="99">
        <f>IF(OR(ISBLANK(BJ274),BJ274=0),0,BG292*BB292*BB274)</f>
        <v>0</v>
      </c>
      <c r="BK292" s="1617" t="str">
        <f>IF(BA292="","",IF(COUNTIF(BD310:BK310,SUBSTITUTE(TRIM(BA292)," (s)",""))+COUNTIF(BD312:BK312,SUBSTITUTE(TRIM(BA292)," (s)",""))&gt;0,IF(ROUND(BJ292,3)&gt;=1,ROUND(BJ292,3)&amp;" L",MAX(1,ROUND(BJ292*100,0))&amp;" cl"),IF(COUNTIF(AW310:BB310,SUBSTITUTE(TRIM(BA292)," (s)",""))+COUNTIF(AW312:BB312,SUBSTITUTE(TRIM(BA292)," (s)",""))&gt;0,IF(ROUND(BJ292,3)&gt;=1,ROUND(BJ292,3)&amp;" Kg",MAX(1,ROUND(BJ292*1000,0))&amp;" g"),"")))</f>
        <v/>
      </c>
      <c r="BM292" s="3">
        <v>1</v>
      </c>
    </row>
    <row r="293" spans="2:65" ht="21" customHeight="1">
      <c r="B293" s="103" t="str">
        <f t="shared" si="70"/>
        <v>►</v>
      </c>
      <c r="C293" s="31" t="str">
        <f>C275</f>
        <v>N NOM DE VOTRE RECETTE | collez la--FAMILLE| Auteur &gt; VOUS</v>
      </c>
      <c r="D293" s="32">
        <f>D275</f>
        <v>1</v>
      </c>
      <c r="E293" s="31" t="str">
        <f>E275</f>
        <v>coupe</v>
      </c>
      <c r="F293" s="33" t="str">
        <f>F275</f>
        <v>Recette mère ► MILLE-FEUILLE  aux fraises des bois</v>
      </c>
      <c r="G293" s="89"/>
      <c r="H293" s="108"/>
      <c r="I293" s="91" t="str">
        <f t="shared" si="67"/>
        <v/>
      </c>
      <c r="J293" s="92"/>
      <c r="K293" s="128"/>
      <c r="L293" s="130">
        <v>1</v>
      </c>
      <c r="M293" s="1813" t="str">
        <f>ROWS(M279:M293)&amp;" ►"</f>
        <v>15 ►</v>
      </c>
      <c r="N293" s="1580"/>
      <c r="O293" s="95">
        <f>IF(Q309=0,0,(Q293/Q309)*P278*1000)</f>
        <v>0</v>
      </c>
      <c r="P293" s="105">
        <f>IF(Q309=0, 0, (G293*L293)/(Q309*P278))</f>
        <v>0</v>
      </c>
      <c r="Q293" s="97" cm="1">
        <f t="array" ref="Q293">IFERROR(_xlfn.XLOOKUP(UPPER(TRIM(K293)),UPPER(TRIM(G310:U310)),G311:U311,_xlfn.XLOOKUP(UPPER(TRIM(K293)),UPPER(TRIM(G312:U312)),G313:U313,0))*J293*IF(G293&gt;0,G293,1),0)</f>
        <v>0</v>
      </c>
      <c r="R293" s="106">
        <f>IF(T274&lt;&gt;0,G293*L293*L274,0)</f>
        <v>0</v>
      </c>
      <c r="S293" s="1747">
        <f t="shared" si="71"/>
        <v>0</v>
      </c>
      <c r="T293" s="99">
        <f>IF(OR(ISBLANK(T274),T274=0),0,Q293*L293*L274)</f>
        <v>0</v>
      </c>
      <c r="U293" s="1367" t="str">
        <f>IF(K293="","",IF(COUNTIF(N310:U310,SUBSTITUTE(TRIM(K293)," (s)",""))+COUNTIF(N312:U312,SUBSTITUTE(TRIM(K293)," (s)",""))&gt;0,IF(ROUND(T293,3)&gt;=1,ROUND(T293,3)&amp;" L",MAX(1,ROUND(T293*100,0))&amp;" cl"),IF(COUNTIF(G310:L310,SUBSTITUTE(TRIM(K293)," (s)",""))+COUNTIF(G312:L312,SUBSTITUTE(TRIM(K293)," (s)",""))&gt;0,IF(ROUND(T293,3)&gt;=1,ROUND(T293,3)&amp;" Kg",MAX(1,ROUND(T293*1000,0))&amp;" g"),"")))</f>
        <v/>
      </c>
      <c r="W293" s="103" t="str">
        <f t="shared" si="72"/>
        <v>►</v>
      </c>
      <c r="X293" s="31" t="str">
        <f>X275</f>
        <v>N NAME OF YOUR RECIPE | paste it — FAMILY|  Author &gt; YOU</v>
      </c>
      <c r="Y293" s="32">
        <f>Y275</f>
        <v>1</v>
      </c>
      <c r="Z293" s="31" t="str">
        <f>Z275</f>
        <v>coupe</v>
      </c>
      <c r="AA293" s="33" t="str">
        <f>AA275</f>
        <v>Master recipe ► MILLE-FEUILLE  aux fraises des bois</v>
      </c>
      <c r="AB293" s="89"/>
      <c r="AC293" s="108"/>
      <c r="AD293" s="91" t="str">
        <f t="shared" si="68"/>
        <v/>
      </c>
      <c r="AE293" s="92"/>
      <c r="AF293" s="128"/>
      <c r="AG293" s="130">
        <v>1</v>
      </c>
      <c r="AH293" s="1813" t="str">
        <f>ROWS(AH279:AH293)&amp;" ►"</f>
        <v>15 ►</v>
      </c>
      <c r="AI293" s="1580"/>
      <c r="AJ293" s="95">
        <f>IF(AL309=0,0,(AL293/AL309)*AK278*1000)</f>
        <v>0</v>
      </c>
      <c r="AK293" s="105">
        <f>IF(AL309=0, 0, (AB293*AG293)/(AL309*AK278))</f>
        <v>0</v>
      </c>
      <c r="AL293" s="97" cm="1">
        <f t="array" ref="AL293">IFERROR(_xlfn.XLOOKUP(UPPER(TRIM(AF293)),UPPER(TRIM(AB310:AP310)),AB311:AP311,_xlfn.XLOOKUP(UPPER(TRIM(AF293)),UPPER(TRIM(AB312:AP312)),AB313:AP313,0))*AE293*IF(AB293&gt;0,AB293,1),0)</f>
        <v>0</v>
      </c>
      <c r="AM293" s="106">
        <f>IF(AO274&lt;&gt;0,AB293*AG293*AG274,0)</f>
        <v>0</v>
      </c>
      <c r="AN293" s="1747">
        <f t="shared" si="73"/>
        <v>0</v>
      </c>
      <c r="AO293" s="99">
        <f>IF(OR(ISBLANK(AO274),AO274=0),0,AL293*AG293*AG274)</f>
        <v>0</v>
      </c>
      <c r="AP293" s="1367" t="str">
        <f>IF(AF293="","",IF(COUNTIF(AI310:AP310,SUBSTITUTE(TRIM(AF293)," (s)",""))+COUNTIF(AI312:AP312,SUBSTITUTE(TRIM(AF293)," (s)",""))&gt;0,IF(ROUND(AO293,3)&gt;=1,ROUND(AO293,3)&amp;" L",MAX(1,ROUND(AO293*100,0))&amp;" cl"),IF(COUNTIF(AB310:AG310,SUBSTITUTE(TRIM(AF293)," (s)",""))+COUNTIF(AB312:AG312,SUBSTITUTE(TRIM(AF293)," (s)",""))&gt;0,IF(ROUND(AO293,3)&gt;=1,ROUND(AO293,3)&amp;" Kg",MAX(1,ROUND(AO293*1000,0))&amp;" g"),"")))</f>
        <v/>
      </c>
      <c r="AR293" s="103" t="str">
        <f t="shared" si="74"/>
        <v>►</v>
      </c>
      <c r="AS293" s="31" t="str">
        <f>AS275</f>
        <v>N NOMBRE DE SU RECETA | pegue esto — FAMILIA| Auteur &gt; VOUS</v>
      </c>
      <c r="AT293" s="32">
        <f>AT275</f>
        <v>1</v>
      </c>
      <c r="AU293" s="31" t="str">
        <f>AU275</f>
        <v>coupe</v>
      </c>
      <c r="AV293" s="33" t="str">
        <f>AV275</f>
        <v>Receta madre ► MILLE-FEUILLE  aux fraises des bois</v>
      </c>
      <c r="AW293" s="89"/>
      <c r="AX293" s="108"/>
      <c r="AY293" s="91" t="str">
        <f t="shared" si="69"/>
        <v/>
      </c>
      <c r="AZ293" s="92"/>
      <c r="BA293" s="128"/>
      <c r="BB293" s="130">
        <v>1</v>
      </c>
      <c r="BC293" s="1813" t="str">
        <f>ROWS(BC279:BC293)&amp;" ►"</f>
        <v>15 ►</v>
      </c>
      <c r="BD293" s="1580"/>
      <c r="BE293" s="95">
        <f>IF(BG309=0,0,(BG293/BG309)*BF278*1000)</f>
        <v>0</v>
      </c>
      <c r="BF293" s="105">
        <f>IF(BG309=0, 0, (AW293*BB293)/(BG309*BF278))</f>
        <v>0</v>
      </c>
      <c r="BG293" s="97" cm="1">
        <f t="array" ref="BG293">IFERROR(_xlfn.XLOOKUP(UPPER(TRIM(BA293)),UPPER(TRIM(AW310:BK310)),AW311:BK311,_xlfn.XLOOKUP(UPPER(TRIM(BA293)),UPPER(TRIM(AW312:BK312)),AW313:BK313,0))*AZ293*IF(AW293&gt;0,AW293,1),0)</f>
        <v>0</v>
      </c>
      <c r="BH293" s="106">
        <f>IF(BJ274&lt;&gt;0,AW293*BB293*BB274,0)</f>
        <v>0</v>
      </c>
      <c r="BI293" s="1747">
        <f t="shared" si="75"/>
        <v>0</v>
      </c>
      <c r="BJ293" s="99">
        <f>IF(OR(ISBLANK(BJ274),BJ274=0),0,BG293*BB293*BB274)</f>
        <v>0</v>
      </c>
      <c r="BK293" s="1367" t="str">
        <f>IF(BA293="","",IF(COUNTIF(BD310:BK310,SUBSTITUTE(TRIM(BA293)," (s)",""))+COUNTIF(BD312:BK312,SUBSTITUTE(TRIM(BA293)," (s)",""))&gt;0,IF(ROUND(BJ293,3)&gt;=1,ROUND(BJ293,3)&amp;" L",MAX(1,ROUND(BJ293*100,0))&amp;" cl"),IF(COUNTIF(AW310:BB310,SUBSTITUTE(TRIM(BA293)," (s)",""))+COUNTIF(AW312:BB312,SUBSTITUTE(TRIM(BA293)," (s)",""))&gt;0,IF(ROUND(BJ293,3)&gt;=1,ROUND(BJ293,3)&amp;" Kg",MAX(1,ROUND(BJ293*1000,0))&amp;" g"),"")))</f>
        <v/>
      </c>
      <c r="BM293" s="3">
        <v>1</v>
      </c>
    </row>
    <row r="294" spans="2:65" ht="21" customHeight="1">
      <c r="B294" s="103" t="str">
        <f t="shared" si="70"/>
        <v>►</v>
      </c>
      <c r="C294" s="31" t="str">
        <f>C275</f>
        <v>N NOM DE VOTRE RECETTE | collez la--FAMILLE| Auteur &gt; VOUS</v>
      </c>
      <c r="D294" s="32">
        <f>D275</f>
        <v>1</v>
      </c>
      <c r="E294" s="31" t="str">
        <f>E275</f>
        <v>coupe</v>
      </c>
      <c r="F294" s="33" t="str">
        <f>F275</f>
        <v>Recette mère ► MILLE-FEUILLE  aux fraises des bois</v>
      </c>
      <c r="G294" s="89"/>
      <c r="H294" s="108"/>
      <c r="I294" s="91" t="str">
        <f t="shared" si="67"/>
        <v/>
      </c>
      <c r="J294" s="92"/>
      <c r="K294" s="128"/>
      <c r="L294" s="130">
        <v>1</v>
      </c>
      <c r="M294" s="1813" t="str">
        <f>ROWS(M279:M294)&amp;" ►"</f>
        <v>16 ►</v>
      </c>
      <c r="N294" s="1580"/>
      <c r="O294" s="95">
        <f>IF(Q309=0,0,(Q294/Q309)*P278*1000)</f>
        <v>0</v>
      </c>
      <c r="P294" s="105">
        <f>IF(Q309=0, 0, (G294*L294)/(Q309*P278))</f>
        <v>0</v>
      </c>
      <c r="Q294" s="97" cm="1">
        <f t="array" ref="Q294">IFERROR(_xlfn.XLOOKUP(UPPER(TRIM(K294)),UPPER(TRIM(G310:U310)),G311:U311,_xlfn.XLOOKUP(UPPER(TRIM(K294)),UPPER(TRIM(G312:U312)),G313:U313,0))*J294*IF(G294&gt;0,G294,1),0)</f>
        <v>0</v>
      </c>
      <c r="R294" s="110">
        <f>IF(T274&lt;&gt;0,G294*L294*L274,0)</f>
        <v>0</v>
      </c>
      <c r="S294" s="1748">
        <f t="shared" si="71"/>
        <v>0</v>
      </c>
      <c r="T294" s="99">
        <f>IF(OR(ISBLANK(T274),T274=0),0,Q294*L294*L274)</f>
        <v>0</v>
      </c>
      <c r="U294" s="1617" t="str">
        <f>IF(K294="","",IF(COUNTIF(N310:U310,SUBSTITUTE(TRIM(K294)," (s)",""))+COUNTIF(N312:U312,SUBSTITUTE(TRIM(K294)," (s)",""))&gt;0,IF(ROUND(T294,3)&gt;=1,ROUND(T294,3)&amp;" L",MAX(1,ROUND(T294*100,0))&amp;" cl"),IF(COUNTIF(G310:L310,SUBSTITUTE(TRIM(K294)," (s)",""))+COUNTIF(G312:L312,SUBSTITUTE(TRIM(K294)," (s)",""))&gt;0,IF(ROUND(T294,3)&gt;=1,ROUND(T294,3)&amp;" Kg",MAX(1,ROUND(T294*1000,0))&amp;" g"),"")))</f>
        <v/>
      </c>
      <c r="W294" s="103" t="str">
        <f t="shared" si="72"/>
        <v>►</v>
      </c>
      <c r="X294" s="31" t="str">
        <f>X275</f>
        <v>N NAME OF YOUR RECIPE | paste it — FAMILY|  Author &gt; YOU</v>
      </c>
      <c r="Y294" s="32">
        <f>Y275</f>
        <v>1</v>
      </c>
      <c r="Z294" s="31" t="str">
        <f>Z275</f>
        <v>coupe</v>
      </c>
      <c r="AA294" s="33" t="str">
        <f>AA275</f>
        <v>Master recipe ► MILLE-FEUILLE  aux fraises des bois</v>
      </c>
      <c r="AB294" s="89"/>
      <c r="AC294" s="108"/>
      <c r="AD294" s="91" t="str">
        <f t="shared" si="68"/>
        <v/>
      </c>
      <c r="AE294" s="92"/>
      <c r="AF294" s="128"/>
      <c r="AG294" s="130">
        <v>1</v>
      </c>
      <c r="AH294" s="1813" t="str">
        <f>ROWS(AH279:AH294)&amp;" ►"</f>
        <v>16 ►</v>
      </c>
      <c r="AI294" s="1580"/>
      <c r="AJ294" s="95">
        <f>IF(AL309=0,0,(AL294/AL309)*AK278*1000)</f>
        <v>0</v>
      </c>
      <c r="AK294" s="105">
        <f>IF(AL309=0, 0, (AB294*AG294)/(AL309*AK278))</f>
        <v>0</v>
      </c>
      <c r="AL294" s="97" cm="1">
        <f t="array" ref="AL294">IFERROR(_xlfn.XLOOKUP(UPPER(TRIM(AF294)),UPPER(TRIM(AB310:AP310)),AB311:AP311,_xlfn.XLOOKUP(UPPER(TRIM(AF294)),UPPER(TRIM(AB312:AP312)),AB313:AP313,0))*AE294*IF(AB294&gt;0,AB294,1),0)</f>
        <v>0</v>
      </c>
      <c r="AM294" s="110">
        <f>IF(AO274&lt;&gt;0,AB294*AG294*AG274,0)</f>
        <v>0</v>
      </c>
      <c r="AN294" s="1748">
        <f t="shared" si="73"/>
        <v>0</v>
      </c>
      <c r="AO294" s="99">
        <f>IF(OR(ISBLANK(AO274),AO274=0),0,AL294*AG294*AG274)</f>
        <v>0</v>
      </c>
      <c r="AP294" s="1617" t="str">
        <f>IF(AF294="","",IF(COUNTIF(AI310:AP310,SUBSTITUTE(TRIM(AF294)," (s)",""))+COUNTIF(AI312:AP312,SUBSTITUTE(TRIM(AF294)," (s)",""))&gt;0,IF(ROUND(AO294,3)&gt;=1,ROUND(AO294,3)&amp;" L",MAX(1,ROUND(AO294*100,0))&amp;" cl"),IF(COUNTIF(AB310:AG310,SUBSTITUTE(TRIM(AF294)," (s)",""))+COUNTIF(AB312:AG312,SUBSTITUTE(TRIM(AF294)," (s)",""))&gt;0,IF(ROUND(AO294,3)&gt;=1,ROUND(AO294,3)&amp;" Kg",MAX(1,ROUND(AO294*1000,0))&amp;" g"),"")))</f>
        <v/>
      </c>
      <c r="AR294" s="103" t="str">
        <f t="shared" si="74"/>
        <v>►</v>
      </c>
      <c r="AS294" s="31" t="str">
        <f>AS275</f>
        <v>N NOMBRE DE SU RECETA | pegue esto — FAMILIA| Auteur &gt; VOUS</v>
      </c>
      <c r="AT294" s="32">
        <f>AT275</f>
        <v>1</v>
      </c>
      <c r="AU294" s="31" t="str">
        <f>AU275</f>
        <v>coupe</v>
      </c>
      <c r="AV294" s="33" t="str">
        <f>AV275</f>
        <v>Receta madre ► MILLE-FEUILLE  aux fraises des bois</v>
      </c>
      <c r="AW294" s="89"/>
      <c r="AX294" s="108"/>
      <c r="AY294" s="91" t="str">
        <f t="shared" si="69"/>
        <v/>
      </c>
      <c r="AZ294" s="92"/>
      <c r="BA294" s="128"/>
      <c r="BB294" s="130">
        <v>1</v>
      </c>
      <c r="BC294" s="1813" t="str">
        <f>ROWS(BC279:BC294)&amp;" ►"</f>
        <v>16 ►</v>
      </c>
      <c r="BD294" s="1580"/>
      <c r="BE294" s="95">
        <f>IF(BG309=0,0,(BG294/BG309)*BF278*1000)</f>
        <v>0</v>
      </c>
      <c r="BF294" s="105">
        <f>IF(BG309=0, 0, (AW294*BB294)/(BG309*BF278))</f>
        <v>0</v>
      </c>
      <c r="BG294" s="97" cm="1">
        <f t="array" ref="BG294">IFERROR(_xlfn.XLOOKUP(UPPER(TRIM(BA294)),UPPER(TRIM(AW310:BK310)),AW311:BK311,_xlfn.XLOOKUP(UPPER(TRIM(BA294)),UPPER(TRIM(AW312:BK312)),AW313:BK313,0))*AZ294*IF(AW294&gt;0,AW294,1),0)</f>
        <v>0</v>
      </c>
      <c r="BH294" s="110">
        <f>IF(BJ274&lt;&gt;0,AW294*BB294*BB274,0)</f>
        <v>0</v>
      </c>
      <c r="BI294" s="1748">
        <f t="shared" si="75"/>
        <v>0</v>
      </c>
      <c r="BJ294" s="99">
        <f>IF(OR(ISBLANK(BJ274),BJ274=0),0,BG294*BB294*BB274)</f>
        <v>0</v>
      </c>
      <c r="BK294" s="1617" t="str">
        <f>IF(BA294="","",IF(COUNTIF(BD310:BK310,SUBSTITUTE(TRIM(BA294)," (s)",""))+COUNTIF(BD312:BK312,SUBSTITUTE(TRIM(BA294)," (s)",""))&gt;0,IF(ROUND(BJ294,3)&gt;=1,ROUND(BJ294,3)&amp;" L",MAX(1,ROUND(BJ294*100,0))&amp;" cl"),IF(COUNTIF(AW310:BB310,SUBSTITUTE(TRIM(BA294)," (s)",""))+COUNTIF(AW312:BB312,SUBSTITUTE(TRIM(BA294)," (s)",""))&gt;0,IF(ROUND(BJ294,3)&gt;=1,ROUND(BJ294,3)&amp;" Kg",MAX(1,ROUND(BJ294*1000,0))&amp;" g"),"")))</f>
        <v/>
      </c>
      <c r="BM294" s="3">
        <v>1</v>
      </c>
    </row>
    <row r="295" spans="2:65" ht="21" customHeight="1">
      <c r="B295" s="103" t="str">
        <f t="shared" si="70"/>
        <v>►</v>
      </c>
      <c r="C295" s="31" t="str">
        <f>C275</f>
        <v>N NOM DE VOTRE RECETTE | collez la--FAMILLE| Auteur &gt; VOUS</v>
      </c>
      <c r="D295" s="32">
        <f>D275</f>
        <v>1</v>
      </c>
      <c r="E295" s="31" t="str">
        <f>E275</f>
        <v>coupe</v>
      </c>
      <c r="F295" s="33" t="str">
        <f>F275</f>
        <v>Recette mère ► MILLE-FEUILLE  aux fraises des bois</v>
      </c>
      <c r="G295" s="89"/>
      <c r="H295" s="108"/>
      <c r="I295" s="91" t="str">
        <f t="shared" si="67"/>
        <v/>
      </c>
      <c r="J295" s="92"/>
      <c r="K295" s="128"/>
      <c r="L295" s="130">
        <v>1</v>
      </c>
      <c r="M295" s="1813" t="str">
        <f>ROWS(M279:M295)&amp;" ►"</f>
        <v>17 ►</v>
      </c>
      <c r="N295" s="1580"/>
      <c r="O295" s="95">
        <f>IF(Q309=0,0,(Q295/Q309)*P278*1000)</f>
        <v>0</v>
      </c>
      <c r="P295" s="105">
        <f>IF(Q309=0, 0, (G295*L295)/(Q309*P278))</f>
        <v>0</v>
      </c>
      <c r="Q295" s="97" cm="1">
        <f t="array" ref="Q295">IFERROR(_xlfn.XLOOKUP(UPPER(TRIM(K295)),UPPER(TRIM(G310:U310)),G311:U311,_xlfn.XLOOKUP(UPPER(TRIM(K295)),UPPER(TRIM(G312:U312)),G313:U313,0))*J295*IF(G295&gt;0,G295,1),0)</f>
        <v>0</v>
      </c>
      <c r="R295" s="106">
        <f>IF(T274&lt;&gt;0,G295*L295*L274,0)</f>
        <v>0</v>
      </c>
      <c r="S295" s="1747">
        <f t="shared" si="71"/>
        <v>0</v>
      </c>
      <c r="T295" s="99">
        <f>IF(OR(ISBLANK(T274),T274=0),0,Q295*L295*L274)</f>
        <v>0</v>
      </c>
      <c r="U295" s="1367" t="str">
        <f>IF(K295="","",IF(COUNTIF(N310:U310,SUBSTITUTE(TRIM(K295)," (s)",""))+COUNTIF(N312:U312,SUBSTITUTE(TRIM(K295)," (s)",""))&gt;0,IF(ROUND(T295,3)&gt;=1,ROUND(T295,3)&amp;" L",MAX(1,ROUND(T295*100,0))&amp;" cl"),IF(COUNTIF(G310:L310,SUBSTITUTE(TRIM(K295)," (s)",""))+COUNTIF(G312:L312,SUBSTITUTE(TRIM(K295)," (s)",""))&gt;0,IF(ROUND(T295,3)&gt;=1,ROUND(T295,3)&amp;" Kg",MAX(1,ROUND(T295*1000,0))&amp;" g"),"")))</f>
        <v/>
      </c>
      <c r="W295" s="103" t="str">
        <f t="shared" si="72"/>
        <v>►</v>
      </c>
      <c r="X295" s="31" t="str">
        <f>X275</f>
        <v>N NAME OF YOUR RECIPE | paste it — FAMILY|  Author &gt; YOU</v>
      </c>
      <c r="Y295" s="32">
        <f>Y275</f>
        <v>1</v>
      </c>
      <c r="Z295" s="31" t="str">
        <f>Z275</f>
        <v>coupe</v>
      </c>
      <c r="AA295" s="33" t="str">
        <f>AA275</f>
        <v>Master recipe ► MILLE-FEUILLE  aux fraises des bois</v>
      </c>
      <c r="AB295" s="89"/>
      <c r="AC295" s="108"/>
      <c r="AD295" s="91" t="str">
        <f t="shared" si="68"/>
        <v/>
      </c>
      <c r="AE295" s="92"/>
      <c r="AF295" s="128"/>
      <c r="AG295" s="130">
        <v>1</v>
      </c>
      <c r="AH295" s="1813" t="str">
        <f>ROWS(AH279:AH295)&amp;" ►"</f>
        <v>17 ►</v>
      </c>
      <c r="AI295" s="1580"/>
      <c r="AJ295" s="95">
        <f>IF(AL309=0,0,(AL295/AL309)*AK278*1000)</f>
        <v>0</v>
      </c>
      <c r="AK295" s="105">
        <f>IF(AL309=0, 0, (AB295*AG295)/(AL309*AK278))</f>
        <v>0</v>
      </c>
      <c r="AL295" s="97" cm="1">
        <f t="array" ref="AL295">IFERROR(_xlfn.XLOOKUP(UPPER(TRIM(AF295)),UPPER(TRIM(AB310:AP310)),AB311:AP311,_xlfn.XLOOKUP(UPPER(TRIM(AF295)),UPPER(TRIM(AB312:AP312)),AB313:AP313,0))*AE295*IF(AB295&gt;0,AB295,1),0)</f>
        <v>0</v>
      </c>
      <c r="AM295" s="106">
        <f>IF(AO274&lt;&gt;0,AB295*AG295*AG274,0)</f>
        <v>0</v>
      </c>
      <c r="AN295" s="1747">
        <f t="shared" si="73"/>
        <v>0</v>
      </c>
      <c r="AO295" s="99">
        <f>IF(OR(ISBLANK(AO274),AO274=0),0,AL295*AG295*AG274)</f>
        <v>0</v>
      </c>
      <c r="AP295" s="1367" t="str">
        <f>IF(AF295="","",IF(COUNTIF(AI310:AP310,SUBSTITUTE(TRIM(AF295)," (s)",""))+COUNTIF(AI312:AP312,SUBSTITUTE(TRIM(AF295)," (s)",""))&gt;0,IF(ROUND(AO295,3)&gt;=1,ROUND(AO295,3)&amp;" L",MAX(1,ROUND(AO295*100,0))&amp;" cl"),IF(COUNTIF(AB310:AG310,SUBSTITUTE(TRIM(AF295)," (s)",""))+COUNTIF(AB312:AG312,SUBSTITUTE(TRIM(AF295)," (s)",""))&gt;0,IF(ROUND(AO295,3)&gt;=1,ROUND(AO295,3)&amp;" Kg",MAX(1,ROUND(AO295*1000,0))&amp;" g"),"")))</f>
        <v/>
      </c>
      <c r="AR295" s="103" t="str">
        <f t="shared" si="74"/>
        <v>►</v>
      </c>
      <c r="AS295" s="31" t="str">
        <f>AS275</f>
        <v>N NOMBRE DE SU RECETA | pegue esto — FAMILIA| Auteur &gt; VOUS</v>
      </c>
      <c r="AT295" s="32">
        <f>AT275</f>
        <v>1</v>
      </c>
      <c r="AU295" s="31" t="str">
        <f>AU275</f>
        <v>coupe</v>
      </c>
      <c r="AV295" s="33" t="str">
        <f>AV275</f>
        <v>Receta madre ► MILLE-FEUILLE  aux fraises des bois</v>
      </c>
      <c r="AW295" s="89"/>
      <c r="AX295" s="108"/>
      <c r="AY295" s="91" t="str">
        <f t="shared" si="69"/>
        <v/>
      </c>
      <c r="AZ295" s="92"/>
      <c r="BA295" s="128"/>
      <c r="BB295" s="130">
        <v>1</v>
      </c>
      <c r="BC295" s="1813" t="str">
        <f>ROWS(BC279:BC295)&amp;" ►"</f>
        <v>17 ►</v>
      </c>
      <c r="BD295" s="1580"/>
      <c r="BE295" s="95">
        <f>IF(BG309=0,0,(BG295/BG309)*BF278*1000)</f>
        <v>0</v>
      </c>
      <c r="BF295" s="105">
        <f>IF(BG309=0, 0, (AW295*BB295)/(BG309*BF278))</f>
        <v>0</v>
      </c>
      <c r="BG295" s="97" cm="1">
        <f t="array" ref="BG295">IFERROR(_xlfn.XLOOKUP(UPPER(TRIM(BA295)),UPPER(TRIM(AW310:BK310)),AW311:BK311,_xlfn.XLOOKUP(UPPER(TRIM(BA295)),UPPER(TRIM(AW312:BK312)),AW313:BK313,0))*AZ295*IF(AW295&gt;0,AW295,1),0)</f>
        <v>0</v>
      </c>
      <c r="BH295" s="106">
        <f>IF(BJ274&lt;&gt;0,AW295*BB295*BB274,0)</f>
        <v>0</v>
      </c>
      <c r="BI295" s="1747">
        <f t="shared" si="75"/>
        <v>0</v>
      </c>
      <c r="BJ295" s="99">
        <f>IF(OR(ISBLANK(BJ274),BJ274=0),0,BG295*BB295*BB274)</f>
        <v>0</v>
      </c>
      <c r="BK295" s="1367" t="str">
        <f>IF(BA295="","",IF(COUNTIF(BD310:BK310,SUBSTITUTE(TRIM(BA295)," (s)",""))+COUNTIF(BD312:BK312,SUBSTITUTE(TRIM(BA295)," (s)",""))&gt;0,IF(ROUND(BJ295,3)&gt;=1,ROUND(BJ295,3)&amp;" L",MAX(1,ROUND(BJ295*100,0))&amp;" cl"),IF(COUNTIF(AW310:BB310,SUBSTITUTE(TRIM(BA295)," (s)",""))+COUNTIF(AW312:BB312,SUBSTITUTE(TRIM(BA295)," (s)",""))&gt;0,IF(ROUND(BJ295,3)&gt;=1,ROUND(BJ295,3)&amp;" Kg",MAX(1,ROUND(BJ295*1000,0))&amp;" g"),"")))</f>
        <v/>
      </c>
      <c r="BM295" s="3">
        <v>1</v>
      </c>
    </row>
    <row r="296" spans="2:65" ht="21" customHeight="1">
      <c r="B296" s="103" t="str">
        <f t="shared" si="70"/>
        <v>►</v>
      </c>
      <c r="C296" s="31" t="str">
        <f>C275</f>
        <v>N NOM DE VOTRE RECETTE | collez la--FAMILLE| Auteur &gt; VOUS</v>
      </c>
      <c r="D296" s="32">
        <f>D275</f>
        <v>1</v>
      </c>
      <c r="E296" s="31" t="str">
        <f>E275</f>
        <v>coupe</v>
      </c>
      <c r="F296" s="33" t="str">
        <f>F275</f>
        <v>Recette mère ► MILLE-FEUILLE  aux fraises des bois</v>
      </c>
      <c r="G296" s="89"/>
      <c r="H296" s="108"/>
      <c r="I296" s="91" t="str">
        <f t="shared" si="67"/>
        <v/>
      </c>
      <c r="J296" s="92"/>
      <c r="K296" s="128"/>
      <c r="L296" s="130">
        <v>1</v>
      </c>
      <c r="M296" s="1813" t="str">
        <f>ROWS(M279:M296)&amp;" ►"</f>
        <v>18 ►</v>
      </c>
      <c r="N296" s="1580"/>
      <c r="O296" s="95">
        <f>IF(Q309=0,0,(Q296/Q309)*P278*1000)</f>
        <v>0</v>
      </c>
      <c r="P296" s="105">
        <f>IF(Q309=0, 0, (G296*L296)/(Q309*P278))</f>
        <v>0</v>
      </c>
      <c r="Q296" s="97" cm="1">
        <f t="array" ref="Q296">IFERROR(_xlfn.XLOOKUP(UPPER(TRIM(K296)),UPPER(TRIM(G310:U310)),G311:U311,_xlfn.XLOOKUP(UPPER(TRIM(K296)),UPPER(TRIM(G312:U312)),G313:U313,0))*J296*IF(G296&gt;0,G296,1),0)</f>
        <v>0</v>
      </c>
      <c r="R296" s="110">
        <f>IF(T274&lt;&gt;0,G296*L296*L274,0)</f>
        <v>0</v>
      </c>
      <c r="S296" s="1748">
        <f t="shared" si="71"/>
        <v>0</v>
      </c>
      <c r="T296" s="99">
        <f>IF(OR(ISBLANK(T274),T274=0),0,Q296*L296*L274)</f>
        <v>0</v>
      </c>
      <c r="U296" s="1617" t="str">
        <f>IF(K296="","",IF(COUNTIF(N310:U310,SUBSTITUTE(TRIM(K296)," (s)",""))+COUNTIF(N312:U312,SUBSTITUTE(TRIM(K296)," (s)",""))&gt;0,IF(ROUND(T296,3)&gt;=1,ROUND(T296,3)&amp;" L",MAX(1,ROUND(T296*100,0))&amp;" cl"),IF(COUNTIF(G310:L310,SUBSTITUTE(TRIM(K296)," (s)",""))+COUNTIF(G312:L312,SUBSTITUTE(TRIM(K296)," (s)",""))&gt;0,IF(ROUND(T296,3)&gt;=1,ROUND(T296,3)&amp;" Kg",MAX(1,ROUND(T296*1000,0))&amp;" g"),"")))</f>
        <v/>
      </c>
      <c r="W296" s="103" t="str">
        <f t="shared" si="72"/>
        <v>►</v>
      </c>
      <c r="X296" s="31" t="str">
        <f>X275</f>
        <v>N NAME OF YOUR RECIPE | paste it — FAMILY|  Author &gt; YOU</v>
      </c>
      <c r="Y296" s="32">
        <f>Y275</f>
        <v>1</v>
      </c>
      <c r="Z296" s="31" t="str">
        <f>Z275</f>
        <v>coupe</v>
      </c>
      <c r="AA296" s="33" t="str">
        <f>AA275</f>
        <v>Master recipe ► MILLE-FEUILLE  aux fraises des bois</v>
      </c>
      <c r="AB296" s="89"/>
      <c r="AC296" s="108"/>
      <c r="AD296" s="91" t="str">
        <f t="shared" si="68"/>
        <v/>
      </c>
      <c r="AE296" s="92"/>
      <c r="AF296" s="128"/>
      <c r="AG296" s="130">
        <v>1</v>
      </c>
      <c r="AH296" s="1813" t="str">
        <f>ROWS(AH279:AH296)&amp;" ►"</f>
        <v>18 ►</v>
      </c>
      <c r="AI296" s="1580"/>
      <c r="AJ296" s="95">
        <f>IF(AL309=0,0,(AL296/AL309)*AK278*1000)</f>
        <v>0</v>
      </c>
      <c r="AK296" s="105">
        <f>IF(AL309=0, 0, (AB296*AG296)/(AL309*AK278))</f>
        <v>0</v>
      </c>
      <c r="AL296" s="97" cm="1">
        <f t="array" ref="AL296">IFERROR(_xlfn.XLOOKUP(UPPER(TRIM(AF296)),UPPER(TRIM(AB310:AP310)),AB311:AP311,_xlfn.XLOOKUP(UPPER(TRIM(AF296)),UPPER(TRIM(AB312:AP312)),AB313:AP313,0))*AE296*IF(AB296&gt;0,AB296,1),0)</f>
        <v>0</v>
      </c>
      <c r="AM296" s="110">
        <f>IF(AO274&lt;&gt;0,AB296*AG296*AG274,0)</f>
        <v>0</v>
      </c>
      <c r="AN296" s="1748">
        <f t="shared" si="73"/>
        <v>0</v>
      </c>
      <c r="AO296" s="99">
        <f>IF(OR(ISBLANK(AO274),AO274=0),0,AL296*AG296*AG274)</f>
        <v>0</v>
      </c>
      <c r="AP296" s="1617" t="str">
        <f>IF(AF296="","",IF(COUNTIF(AI310:AP310,SUBSTITUTE(TRIM(AF296)," (s)",""))+COUNTIF(AI312:AP312,SUBSTITUTE(TRIM(AF296)," (s)",""))&gt;0,IF(ROUND(AO296,3)&gt;=1,ROUND(AO296,3)&amp;" L",MAX(1,ROUND(AO296*100,0))&amp;" cl"),IF(COUNTIF(AB310:AG310,SUBSTITUTE(TRIM(AF296)," (s)",""))+COUNTIF(AB312:AG312,SUBSTITUTE(TRIM(AF296)," (s)",""))&gt;0,IF(ROUND(AO296,3)&gt;=1,ROUND(AO296,3)&amp;" Kg",MAX(1,ROUND(AO296*1000,0))&amp;" g"),"")))</f>
        <v/>
      </c>
      <c r="AR296" s="103" t="str">
        <f t="shared" si="74"/>
        <v>►</v>
      </c>
      <c r="AS296" s="31" t="str">
        <f>AS275</f>
        <v>N NOMBRE DE SU RECETA | pegue esto — FAMILIA| Auteur &gt; VOUS</v>
      </c>
      <c r="AT296" s="32">
        <f>AT275</f>
        <v>1</v>
      </c>
      <c r="AU296" s="31" t="str">
        <f>AU275</f>
        <v>coupe</v>
      </c>
      <c r="AV296" s="33" t="str">
        <f>AV275</f>
        <v>Receta madre ► MILLE-FEUILLE  aux fraises des bois</v>
      </c>
      <c r="AW296" s="89"/>
      <c r="AX296" s="108"/>
      <c r="AY296" s="91" t="str">
        <f t="shared" si="69"/>
        <v/>
      </c>
      <c r="AZ296" s="92"/>
      <c r="BA296" s="128"/>
      <c r="BB296" s="130">
        <v>1</v>
      </c>
      <c r="BC296" s="1813" t="str">
        <f>ROWS(BC279:BC296)&amp;" ►"</f>
        <v>18 ►</v>
      </c>
      <c r="BD296" s="1580"/>
      <c r="BE296" s="95">
        <f>IF(BG309=0,0,(BG296/BG309)*BF278*1000)</f>
        <v>0</v>
      </c>
      <c r="BF296" s="105">
        <f>IF(BG309=0, 0, (AW296*BB296)/(BG309*BF278))</f>
        <v>0</v>
      </c>
      <c r="BG296" s="97" cm="1">
        <f t="array" ref="BG296">IFERROR(_xlfn.XLOOKUP(UPPER(TRIM(BA296)),UPPER(TRIM(AW310:BK310)),AW311:BK311,_xlfn.XLOOKUP(UPPER(TRIM(BA296)),UPPER(TRIM(AW312:BK312)),AW313:BK313,0))*AZ296*IF(AW296&gt;0,AW296,1),0)</f>
        <v>0</v>
      </c>
      <c r="BH296" s="110">
        <f>IF(BJ274&lt;&gt;0,AW296*BB296*BB274,0)</f>
        <v>0</v>
      </c>
      <c r="BI296" s="1748">
        <f t="shared" si="75"/>
        <v>0</v>
      </c>
      <c r="BJ296" s="99">
        <f>IF(OR(ISBLANK(BJ274),BJ274=0),0,BG296*BB296*BB274)</f>
        <v>0</v>
      </c>
      <c r="BK296" s="1617" t="str">
        <f>IF(BA296="","",IF(COUNTIF(BD310:BK310,SUBSTITUTE(TRIM(BA296)," (s)",""))+COUNTIF(BD312:BK312,SUBSTITUTE(TRIM(BA296)," (s)",""))&gt;0,IF(ROUND(BJ296,3)&gt;=1,ROUND(BJ296,3)&amp;" L",MAX(1,ROUND(BJ296*100,0))&amp;" cl"),IF(COUNTIF(AW310:BB310,SUBSTITUTE(TRIM(BA296)," (s)",""))+COUNTIF(AW312:BB312,SUBSTITUTE(TRIM(BA296)," (s)",""))&gt;0,IF(ROUND(BJ296,3)&gt;=1,ROUND(BJ296,3)&amp;" Kg",MAX(1,ROUND(BJ296*1000,0))&amp;" g"),"")))</f>
        <v/>
      </c>
      <c r="BM296" s="3">
        <v>1</v>
      </c>
    </row>
    <row r="297" spans="2:65" ht="21" customHeight="1">
      <c r="B297" s="103" t="str">
        <f t="shared" si="70"/>
        <v>►</v>
      </c>
      <c r="C297" s="31" t="str">
        <f>C275</f>
        <v>N NOM DE VOTRE RECETTE | collez la--FAMILLE| Auteur &gt; VOUS</v>
      </c>
      <c r="D297" s="32">
        <f>D275</f>
        <v>1</v>
      </c>
      <c r="E297" s="31" t="str">
        <f>E275</f>
        <v>coupe</v>
      </c>
      <c r="F297" s="33" t="str">
        <f>F275</f>
        <v>Recette mère ► MILLE-FEUILLE  aux fraises des bois</v>
      </c>
      <c r="G297" s="89"/>
      <c r="H297" s="108"/>
      <c r="I297" s="91" t="str">
        <f t="shared" si="67"/>
        <v/>
      </c>
      <c r="J297" s="92"/>
      <c r="K297" s="128"/>
      <c r="L297" s="130">
        <v>1</v>
      </c>
      <c r="M297" s="1813" t="str">
        <f>ROWS(M279:M297)&amp;" ►"</f>
        <v>19 ►</v>
      </c>
      <c r="N297" s="1580"/>
      <c r="O297" s="95">
        <f>IF(Q309=0,0,(Q297/Q309)*P278*1000)</f>
        <v>0</v>
      </c>
      <c r="P297" s="105">
        <f>IF(Q309=0, 0, (G297*L297)/(Q309*P278))</f>
        <v>0</v>
      </c>
      <c r="Q297" s="97" cm="1">
        <f t="array" ref="Q297">IFERROR(_xlfn.XLOOKUP(UPPER(TRIM(K297)),UPPER(TRIM(G310:U310)),G311:U311,_xlfn.XLOOKUP(UPPER(TRIM(K297)),UPPER(TRIM(G312:U312)),G313:U313,0))*J297*IF(G297&gt;0,G297,1),0)</f>
        <v>0</v>
      </c>
      <c r="R297" s="106">
        <f>IF(T274&lt;&gt;0,G297*L297*L274,0)</f>
        <v>0</v>
      </c>
      <c r="S297" s="1747">
        <f t="shared" si="71"/>
        <v>0</v>
      </c>
      <c r="T297" s="99">
        <f>IF(OR(ISBLANK(T274),T274=0),0,Q297*L297*L274)</f>
        <v>0</v>
      </c>
      <c r="U297" s="1367" t="str">
        <f>IF(K297="","",IF(COUNTIF(N310:U310,SUBSTITUTE(TRIM(K297)," (s)",""))+COUNTIF(N312:U312,SUBSTITUTE(TRIM(K297)," (s)",""))&gt;0,IF(ROUND(T297,3)&gt;=1,ROUND(T297,3)&amp;" L",MAX(1,ROUND(T297*100,0))&amp;" cl"),IF(COUNTIF(G310:L310,SUBSTITUTE(TRIM(K297)," (s)",""))+COUNTIF(G312:L312,SUBSTITUTE(TRIM(K297)," (s)",""))&gt;0,IF(ROUND(T297,3)&gt;=1,ROUND(T297,3)&amp;" Kg",MAX(1,ROUND(T297*1000,0))&amp;" g"),"")))</f>
        <v/>
      </c>
      <c r="W297" s="103" t="str">
        <f t="shared" si="72"/>
        <v>►</v>
      </c>
      <c r="X297" s="31" t="str">
        <f>X275</f>
        <v>N NAME OF YOUR RECIPE | paste it — FAMILY|  Author &gt; YOU</v>
      </c>
      <c r="Y297" s="32">
        <f>Y275</f>
        <v>1</v>
      </c>
      <c r="Z297" s="31" t="str">
        <f>Z275</f>
        <v>coupe</v>
      </c>
      <c r="AA297" s="33" t="str">
        <f>AA275</f>
        <v>Master recipe ► MILLE-FEUILLE  aux fraises des bois</v>
      </c>
      <c r="AB297" s="89"/>
      <c r="AC297" s="108"/>
      <c r="AD297" s="91" t="str">
        <f t="shared" si="68"/>
        <v/>
      </c>
      <c r="AE297" s="92"/>
      <c r="AF297" s="128"/>
      <c r="AG297" s="130">
        <v>1</v>
      </c>
      <c r="AH297" s="1813" t="str">
        <f>ROWS(AH279:AH297)&amp;" ►"</f>
        <v>19 ►</v>
      </c>
      <c r="AI297" s="1580"/>
      <c r="AJ297" s="95">
        <f>IF(AL309=0,0,(AL297/AL309)*AK278*1000)</f>
        <v>0</v>
      </c>
      <c r="AK297" s="105">
        <f>IF(AL309=0, 0, (AB297*AG297)/(AL309*AK278))</f>
        <v>0</v>
      </c>
      <c r="AL297" s="97" cm="1">
        <f t="array" ref="AL297">IFERROR(_xlfn.XLOOKUP(UPPER(TRIM(AF297)),UPPER(TRIM(AB310:AP310)),AB311:AP311,_xlfn.XLOOKUP(UPPER(TRIM(AF297)),UPPER(TRIM(AB312:AP312)),AB313:AP313,0))*AE297*IF(AB297&gt;0,AB297,1),0)</f>
        <v>0</v>
      </c>
      <c r="AM297" s="106">
        <f>IF(AO274&lt;&gt;0,AB297*AG297*AG274,0)</f>
        <v>0</v>
      </c>
      <c r="AN297" s="1747">
        <f t="shared" si="73"/>
        <v>0</v>
      </c>
      <c r="AO297" s="99">
        <f>IF(OR(ISBLANK(AO274),AO274=0),0,AL297*AG297*AG274)</f>
        <v>0</v>
      </c>
      <c r="AP297" s="1367" t="str">
        <f>IF(AF297="","",IF(COUNTIF(AI310:AP310,SUBSTITUTE(TRIM(AF297)," (s)",""))+COUNTIF(AI312:AP312,SUBSTITUTE(TRIM(AF297)," (s)",""))&gt;0,IF(ROUND(AO297,3)&gt;=1,ROUND(AO297,3)&amp;" L",MAX(1,ROUND(AO297*100,0))&amp;" cl"),IF(COUNTIF(AB310:AG310,SUBSTITUTE(TRIM(AF297)," (s)",""))+COUNTIF(AB312:AG312,SUBSTITUTE(TRIM(AF297)," (s)",""))&gt;0,IF(ROUND(AO297,3)&gt;=1,ROUND(AO297,3)&amp;" Kg",MAX(1,ROUND(AO297*1000,0))&amp;" g"),"")))</f>
        <v/>
      </c>
      <c r="AR297" s="103" t="str">
        <f t="shared" si="74"/>
        <v>►</v>
      </c>
      <c r="AS297" s="31" t="str">
        <f>AS275</f>
        <v>N NOMBRE DE SU RECETA | pegue esto — FAMILIA| Auteur &gt; VOUS</v>
      </c>
      <c r="AT297" s="32">
        <f>AT275</f>
        <v>1</v>
      </c>
      <c r="AU297" s="31" t="str">
        <f>AU275</f>
        <v>coupe</v>
      </c>
      <c r="AV297" s="33" t="str">
        <f>AV275</f>
        <v>Receta madre ► MILLE-FEUILLE  aux fraises des bois</v>
      </c>
      <c r="AW297" s="89"/>
      <c r="AX297" s="108"/>
      <c r="AY297" s="91" t="str">
        <f t="shared" si="69"/>
        <v/>
      </c>
      <c r="AZ297" s="92"/>
      <c r="BA297" s="128"/>
      <c r="BB297" s="130">
        <v>1</v>
      </c>
      <c r="BC297" s="1813" t="str">
        <f>ROWS(BC279:BC297)&amp;" ►"</f>
        <v>19 ►</v>
      </c>
      <c r="BD297" s="1580"/>
      <c r="BE297" s="95">
        <f>IF(BG309=0,0,(BG297/BG309)*BF278*1000)</f>
        <v>0</v>
      </c>
      <c r="BF297" s="105">
        <f>IF(BG309=0, 0, (AW297*BB297)/(BG309*BF278))</f>
        <v>0</v>
      </c>
      <c r="BG297" s="97" cm="1">
        <f t="array" ref="BG297">IFERROR(_xlfn.XLOOKUP(UPPER(TRIM(BA297)),UPPER(TRIM(AW310:BK310)),AW311:BK311,_xlfn.XLOOKUP(UPPER(TRIM(BA297)),UPPER(TRIM(AW312:BK312)),AW313:BK313,0))*AZ297*IF(AW297&gt;0,AW297,1),0)</f>
        <v>0</v>
      </c>
      <c r="BH297" s="106">
        <f>IF(BJ274&lt;&gt;0,AW297*BB297*BB274,0)</f>
        <v>0</v>
      </c>
      <c r="BI297" s="1747">
        <f t="shared" si="75"/>
        <v>0</v>
      </c>
      <c r="BJ297" s="99">
        <f>IF(OR(ISBLANK(BJ274),BJ274=0),0,BG297*BB297*BB274)</f>
        <v>0</v>
      </c>
      <c r="BK297" s="1367" t="str">
        <f>IF(BA297="","",IF(COUNTIF(BD310:BK310,SUBSTITUTE(TRIM(BA297)," (s)",""))+COUNTIF(BD312:BK312,SUBSTITUTE(TRIM(BA297)," (s)",""))&gt;0,IF(ROUND(BJ297,3)&gt;=1,ROUND(BJ297,3)&amp;" L",MAX(1,ROUND(BJ297*100,0))&amp;" cl"),IF(COUNTIF(AW310:BB310,SUBSTITUTE(TRIM(BA297)," (s)",""))+COUNTIF(AW312:BB312,SUBSTITUTE(TRIM(BA297)," (s)",""))&gt;0,IF(ROUND(BJ297,3)&gt;=1,ROUND(BJ297,3)&amp;" Kg",MAX(1,ROUND(BJ297*1000,0))&amp;" g"),"")))</f>
        <v/>
      </c>
      <c r="BM297" s="3">
        <v>1</v>
      </c>
    </row>
    <row r="298" spans="2:65" ht="21" customHeight="1">
      <c r="B298" s="103" t="str">
        <f t="shared" si="70"/>
        <v>►</v>
      </c>
      <c r="C298" s="31" t="str">
        <f>C275</f>
        <v>N NOM DE VOTRE RECETTE | collez la--FAMILLE| Auteur &gt; VOUS</v>
      </c>
      <c r="D298" s="32">
        <f>D275</f>
        <v>1</v>
      </c>
      <c r="E298" s="31" t="str">
        <f>E275</f>
        <v>coupe</v>
      </c>
      <c r="F298" s="33" t="str">
        <f>F275</f>
        <v>Recette mère ► MILLE-FEUILLE  aux fraises des bois</v>
      </c>
      <c r="G298" s="89"/>
      <c r="H298" s="108"/>
      <c r="I298" s="91" t="str">
        <f t="shared" si="67"/>
        <v/>
      </c>
      <c r="J298" s="92"/>
      <c r="K298" s="128"/>
      <c r="L298" s="130">
        <v>1</v>
      </c>
      <c r="M298" s="1813" t="str">
        <f>ROWS(M279:M298)&amp;" ►"</f>
        <v>20 ►</v>
      </c>
      <c r="N298" s="1580"/>
      <c r="O298" s="95">
        <f>IF(Q309=0,0,(Q298/Q309)*P278*1000)</f>
        <v>0</v>
      </c>
      <c r="P298" s="105">
        <f>IF(Q309=0, 0, (G298*L298)/(Q309*P278))</f>
        <v>0</v>
      </c>
      <c r="Q298" s="97" cm="1">
        <f t="array" ref="Q298">IFERROR(_xlfn.XLOOKUP(UPPER(TRIM(K298)),UPPER(TRIM(G310:U310)),G311:U311,_xlfn.XLOOKUP(UPPER(TRIM(K298)),UPPER(TRIM(G312:U312)),G313:U313,0))*J298*IF(G298&gt;0,G298,1),0)</f>
        <v>0</v>
      </c>
      <c r="R298" s="110">
        <f>IF(T274&lt;&gt;0,G298*L298*L274,0)</f>
        <v>0</v>
      </c>
      <c r="S298" s="1748">
        <f t="shared" si="71"/>
        <v>0</v>
      </c>
      <c r="T298" s="99">
        <f>IF(OR(ISBLANK(T274),T274=0),0,Q298*L298*L274)</f>
        <v>0</v>
      </c>
      <c r="U298" s="1617" t="str">
        <f>IF(K298="","",IF(COUNTIF(N310:U310,SUBSTITUTE(TRIM(K298)," (s)",""))+COUNTIF(N312:U312,SUBSTITUTE(TRIM(K298)," (s)",""))&gt;0,IF(ROUND(T298,3)&gt;=1,ROUND(T298,3)&amp;" L",MAX(1,ROUND(T298*100,0))&amp;" cl"),IF(COUNTIF(G310:L310,SUBSTITUTE(TRIM(K298)," (s)",""))+COUNTIF(G312:L312,SUBSTITUTE(TRIM(K298)," (s)",""))&gt;0,IF(ROUND(T298,3)&gt;=1,ROUND(T298,3)&amp;" Kg",MAX(1,ROUND(T298*1000,0))&amp;" g"),"")))</f>
        <v/>
      </c>
      <c r="W298" s="103" t="str">
        <f t="shared" si="72"/>
        <v>►</v>
      </c>
      <c r="X298" s="31" t="str">
        <f>X275</f>
        <v>N NAME OF YOUR RECIPE | paste it — FAMILY|  Author &gt; YOU</v>
      </c>
      <c r="Y298" s="32">
        <f>Y275</f>
        <v>1</v>
      </c>
      <c r="Z298" s="31" t="str">
        <f>Z275</f>
        <v>coupe</v>
      </c>
      <c r="AA298" s="33" t="str">
        <f>AA275</f>
        <v>Master recipe ► MILLE-FEUILLE  aux fraises des bois</v>
      </c>
      <c r="AB298" s="89"/>
      <c r="AC298" s="108"/>
      <c r="AD298" s="91" t="str">
        <f t="shared" si="68"/>
        <v/>
      </c>
      <c r="AE298" s="92"/>
      <c r="AF298" s="128"/>
      <c r="AG298" s="130">
        <v>1</v>
      </c>
      <c r="AH298" s="1813" t="str">
        <f>ROWS(AH279:AH298)&amp;" ►"</f>
        <v>20 ►</v>
      </c>
      <c r="AI298" s="1580"/>
      <c r="AJ298" s="95">
        <f>IF(AL309=0,0,(AL298/AL309)*AK278*1000)</f>
        <v>0</v>
      </c>
      <c r="AK298" s="105">
        <f>IF(AL309=0, 0, (AB298*AG298)/(AL309*AK278))</f>
        <v>0</v>
      </c>
      <c r="AL298" s="97" cm="1">
        <f t="array" ref="AL298">IFERROR(_xlfn.XLOOKUP(UPPER(TRIM(AF298)),UPPER(TRIM(AB310:AP310)),AB311:AP311,_xlfn.XLOOKUP(UPPER(TRIM(AF298)),UPPER(TRIM(AB312:AP312)),AB313:AP313,0))*AE298*IF(AB298&gt;0,AB298,1),0)</f>
        <v>0</v>
      </c>
      <c r="AM298" s="110">
        <f>IF(AO274&lt;&gt;0,AB298*AG298*AG274,0)</f>
        <v>0</v>
      </c>
      <c r="AN298" s="1748">
        <f t="shared" si="73"/>
        <v>0</v>
      </c>
      <c r="AO298" s="99">
        <f>IF(OR(ISBLANK(AO274),AO274=0),0,AL298*AG298*AG274)</f>
        <v>0</v>
      </c>
      <c r="AP298" s="1617" t="str">
        <f>IF(AF298="","",IF(COUNTIF(AI310:AP310,SUBSTITUTE(TRIM(AF298)," (s)",""))+COUNTIF(AI312:AP312,SUBSTITUTE(TRIM(AF298)," (s)",""))&gt;0,IF(ROUND(AO298,3)&gt;=1,ROUND(AO298,3)&amp;" L",MAX(1,ROUND(AO298*100,0))&amp;" cl"),IF(COUNTIF(AB310:AG310,SUBSTITUTE(TRIM(AF298)," (s)",""))+COUNTIF(AB312:AG312,SUBSTITUTE(TRIM(AF298)," (s)",""))&gt;0,IF(ROUND(AO298,3)&gt;=1,ROUND(AO298,3)&amp;" Kg",MAX(1,ROUND(AO298*1000,0))&amp;" g"),"")))</f>
        <v/>
      </c>
      <c r="AR298" s="103" t="str">
        <f t="shared" si="74"/>
        <v>►</v>
      </c>
      <c r="AS298" s="31" t="str">
        <f>AS275</f>
        <v>N NOMBRE DE SU RECETA | pegue esto — FAMILIA| Auteur &gt; VOUS</v>
      </c>
      <c r="AT298" s="32">
        <f>AT275</f>
        <v>1</v>
      </c>
      <c r="AU298" s="31" t="str">
        <f>AU275</f>
        <v>coupe</v>
      </c>
      <c r="AV298" s="33" t="str">
        <f>AV275</f>
        <v>Receta madre ► MILLE-FEUILLE  aux fraises des bois</v>
      </c>
      <c r="AW298" s="89"/>
      <c r="AX298" s="108"/>
      <c r="AY298" s="91" t="str">
        <f t="shared" si="69"/>
        <v/>
      </c>
      <c r="AZ298" s="92"/>
      <c r="BA298" s="128"/>
      <c r="BB298" s="130">
        <v>1</v>
      </c>
      <c r="BC298" s="1813" t="str">
        <f>ROWS(BC279:BC298)&amp;" ►"</f>
        <v>20 ►</v>
      </c>
      <c r="BD298" s="1580"/>
      <c r="BE298" s="95">
        <f>IF(BG309=0,0,(BG298/BG309)*BF278*1000)</f>
        <v>0</v>
      </c>
      <c r="BF298" s="105">
        <f>IF(BG309=0, 0, (AW298*BB298)/(BG309*BF278))</f>
        <v>0</v>
      </c>
      <c r="BG298" s="97" cm="1">
        <f t="array" ref="BG298">IFERROR(_xlfn.XLOOKUP(UPPER(TRIM(BA298)),UPPER(TRIM(AW310:BK310)),AW311:BK311,_xlfn.XLOOKUP(UPPER(TRIM(BA298)),UPPER(TRIM(AW312:BK312)),AW313:BK313,0))*AZ298*IF(AW298&gt;0,AW298,1),0)</f>
        <v>0</v>
      </c>
      <c r="BH298" s="110">
        <f>IF(BJ274&lt;&gt;0,AW298*BB298*BB274,0)</f>
        <v>0</v>
      </c>
      <c r="BI298" s="1748">
        <f t="shared" si="75"/>
        <v>0</v>
      </c>
      <c r="BJ298" s="99">
        <f>IF(OR(ISBLANK(BJ274),BJ274=0),0,BG298*BB298*BB274)</f>
        <v>0</v>
      </c>
      <c r="BK298" s="1617" t="str">
        <f>IF(BA298="","",IF(COUNTIF(BD310:BK310,SUBSTITUTE(TRIM(BA298)," (s)",""))+COUNTIF(BD312:BK312,SUBSTITUTE(TRIM(BA298)," (s)",""))&gt;0,IF(ROUND(BJ298,3)&gt;=1,ROUND(BJ298,3)&amp;" L",MAX(1,ROUND(BJ298*100,0))&amp;" cl"),IF(COUNTIF(AW310:BB310,SUBSTITUTE(TRIM(BA298)," (s)",""))+COUNTIF(AW312:BB312,SUBSTITUTE(TRIM(BA298)," (s)",""))&gt;0,IF(ROUND(BJ298,3)&gt;=1,ROUND(BJ298,3)&amp;" Kg",MAX(1,ROUND(BJ298*1000,0))&amp;" g"),"")))</f>
        <v/>
      </c>
      <c r="BM298" s="3">
        <v>1</v>
      </c>
    </row>
    <row r="299" spans="2:65" ht="21" customHeight="1">
      <c r="B299" s="103" t="str">
        <f t="shared" si="70"/>
        <v>►</v>
      </c>
      <c r="C299" s="31" t="str">
        <f>C275</f>
        <v>N NOM DE VOTRE RECETTE | collez la--FAMILLE| Auteur &gt; VOUS</v>
      </c>
      <c r="D299" s="32">
        <f>D275</f>
        <v>1</v>
      </c>
      <c r="E299" s="31" t="str">
        <f>E275</f>
        <v>coupe</v>
      </c>
      <c r="F299" s="33" t="str">
        <f>F275</f>
        <v>Recette mère ► MILLE-FEUILLE  aux fraises des bois</v>
      </c>
      <c r="G299" s="89"/>
      <c r="H299" s="108"/>
      <c r="I299" s="91" t="str">
        <f t="shared" si="67"/>
        <v/>
      </c>
      <c r="J299" s="92"/>
      <c r="K299" s="128"/>
      <c r="L299" s="130">
        <v>1</v>
      </c>
      <c r="M299" s="1813" t="str">
        <f>ROWS(M279:M299)&amp;" ►"</f>
        <v>21 ►</v>
      </c>
      <c r="N299" s="1580"/>
      <c r="O299" s="95">
        <f>IF(Q309=0,0,(Q299/Q309)*P278*1000)</f>
        <v>0</v>
      </c>
      <c r="P299" s="105">
        <f>IF(Q309=0, 0, (G299*L299)/(Q309*P278))</f>
        <v>0</v>
      </c>
      <c r="Q299" s="97" cm="1">
        <f t="array" ref="Q299">IFERROR(_xlfn.XLOOKUP(UPPER(TRIM(K299)),UPPER(TRIM(G310:U310)),G311:U311,_xlfn.XLOOKUP(UPPER(TRIM(K299)),UPPER(TRIM(G312:U312)),G313:U313,0))*J299*IF(G299&gt;0,G299,1),0)</f>
        <v>0</v>
      </c>
      <c r="R299" s="106">
        <f>IF(T274&lt;&gt;0,G299*L299*L274,0)</f>
        <v>0</v>
      </c>
      <c r="S299" s="1747">
        <f t="shared" si="71"/>
        <v>0</v>
      </c>
      <c r="T299" s="99">
        <f>IF(OR(ISBLANK(T274),T274=0),0,Q299*L299*L274)</f>
        <v>0</v>
      </c>
      <c r="U299" s="1367" t="str">
        <f>IF(K299="","",IF(COUNTIF(N310:U310,SUBSTITUTE(TRIM(K299)," (s)",""))+COUNTIF(N312:U312,SUBSTITUTE(TRIM(K299)," (s)",""))&gt;0,IF(ROUND(T299,3)&gt;=1,ROUND(T299,3)&amp;" L",MAX(1,ROUND(T299*100,0))&amp;" cl"),IF(COUNTIF(G310:L310,SUBSTITUTE(TRIM(K299)," (s)",""))+COUNTIF(G312:L312,SUBSTITUTE(TRIM(K299)," (s)",""))&gt;0,IF(ROUND(T299,3)&gt;=1,ROUND(T299,3)&amp;" Kg",MAX(1,ROUND(T299*1000,0))&amp;" g"),"")))</f>
        <v/>
      </c>
      <c r="W299" s="103" t="str">
        <f t="shared" si="72"/>
        <v>►</v>
      </c>
      <c r="X299" s="31" t="str">
        <f>X275</f>
        <v>N NAME OF YOUR RECIPE | paste it — FAMILY|  Author &gt; YOU</v>
      </c>
      <c r="Y299" s="32">
        <f>Y275</f>
        <v>1</v>
      </c>
      <c r="Z299" s="31" t="str">
        <f>Z275</f>
        <v>coupe</v>
      </c>
      <c r="AA299" s="33" t="str">
        <f>AA275</f>
        <v>Master recipe ► MILLE-FEUILLE  aux fraises des bois</v>
      </c>
      <c r="AB299" s="89"/>
      <c r="AC299" s="108"/>
      <c r="AD299" s="91" t="str">
        <f t="shared" si="68"/>
        <v/>
      </c>
      <c r="AE299" s="92"/>
      <c r="AF299" s="128"/>
      <c r="AG299" s="130">
        <v>1</v>
      </c>
      <c r="AH299" s="1813" t="str">
        <f>ROWS(AH279:AH299)&amp;" ►"</f>
        <v>21 ►</v>
      </c>
      <c r="AI299" s="1580"/>
      <c r="AJ299" s="95">
        <f>IF(AL309=0,0,(AL299/AL309)*AK278*1000)</f>
        <v>0</v>
      </c>
      <c r="AK299" s="105">
        <f>IF(AL309=0, 0, (AB299*AG299)/(AL309*AK278))</f>
        <v>0</v>
      </c>
      <c r="AL299" s="97" cm="1">
        <f t="array" ref="AL299">IFERROR(_xlfn.XLOOKUP(UPPER(TRIM(AF299)),UPPER(TRIM(AB310:AP310)),AB311:AP311,_xlfn.XLOOKUP(UPPER(TRIM(AF299)),UPPER(TRIM(AB312:AP312)),AB313:AP313,0))*AE299*IF(AB299&gt;0,AB299,1),0)</f>
        <v>0</v>
      </c>
      <c r="AM299" s="106">
        <f>IF(AO274&lt;&gt;0,AB299*AG299*AG274,0)</f>
        <v>0</v>
      </c>
      <c r="AN299" s="1747">
        <f t="shared" si="73"/>
        <v>0</v>
      </c>
      <c r="AO299" s="99">
        <f>IF(OR(ISBLANK(AO274),AO274=0),0,AL299*AG299*AG274)</f>
        <v>0</v>
      </c>
      <c r="AP299" s="1367" t="str">
        <f>IF(AF299="","",IF(COUNTIF(AI310:AP310,SUBSTITUTE(TRIM(AF299)," (s)",""))+COUNTIF(AI312:AP312,SUBSTITUTE(TRIM(AF299)," (s)",""))&gt;0,IF(ROUND(AO299,3)&gt;=1,ROUND(AO299,3)&amp;" L",MAX(1,ROUND(AO299*100,0))&amp;" cl"),IF(COUNTIF(AB310:AG310,SUBSTITUTE(TRIM(AF299)," (s)",""))+COUNTIF(AB312:AG312,SUBSTITUTE(TRIM(AF299)," (s)",""))&gt;0,IF(ROUND(AO299,3)&gt;=1,ROUND(AO299,3)&amp;" Kg",MAX(1,ROUND(AO299*1000,0))&amp;" g"),"")))</f>
        <v/>
      </c>
      <c r="AR299" s="103" t="str">
        <f t="shared" si="74"/>
        <v>►</v>
      </c>
      <c r="AS299" s="31" t="str">
        <f>AS275</f>
        <v>N NOMBRE DE SU RECETA | pegue esto — FAMILIA| Auteur &gt; VOUS</v>
      </c>
      <c r="AT299" s="32">
        <f>AT275</f>
        <v>1</v>
      </c>
      <c r="AU299" s="31" t="str">
        <f>AU275</f>
        <v>coupe</v>
      </c>
      <c r="AV299" s="33" t="str">
        <f>AV275</f>
        <v>Receta madre ► MILLE-FEUILLE  aux fraises des bois</v>
      </c>
      <c r="AW299" s="89"/>
      <c r="AX299" s="108"/>
      <c r="AY299" s="91" t="str">
        <f t="shared" si="69"/>
        <v/>
      </c>
      <c r="AZ299" s="92"/>
      <c r="BA299" s="128"/>
      <c r="BB299" s="130">
        <v>1</v>
      </c>
      <c r="BC299" s="1813" t="str">
        <f>ROWS(BC279:BC299)&amp;" ►"</f>
        <v>21 ►</v>
      </c>
      <c r="BD299" s="1580"/>
      <c r="BE299" s="95">
        <f>IF(BG309=0,0,(BG299/BG309)*BF278*1000)</f>
        <v>0</v>
      </c>
      <c r="BF299" s="105">
        <f>IF(BG309=0, 0, (AW299*BB299)/(BG309*BF278))</f>
        <v>0</v>
      </c>
      <c r="BG299" s="97" cm="1">
        <f t="array" ref="BG299">IFERROR(_xlfn.XLOOKUP(UPPER(TRIM(BA299)),UPPER(TRIM(AW310:BK310)),AW311:BK311,_xlfn.XLOOKUP(UPPER(TRIM(BA299)),UPPER(TRIM(AW312:BK312)),AW313:BK313,0))*AZ299*IF(AW299&gt;0,AW299,1),0)</f>
        <v>0</v>
      </c>
      <c r="BH299" s="106">
        <f>IF(BJ274&lt;&gt;0,AW299*BB299*BB274,0)</f>
        <v>0</v>
      </c>
      <c r="BI299" s="1747">
        <f t="shared" si="75"/>
        <v>0</v>
      </c>
      <c r="BJ299" s="99">
        <f>IF(OR(ISBLANK(BJ274),BJ274=0),0,BG299*BB299*BB274)</f>
        <v>0</v>
      </c>
      <c r="BK299" s="1367" t="str">
        <f>IF(BA299="","",IF(COUNTIF(BD310:BK310,SUBSTITUTE(TRIM(BA299)," (s)",""))+COUNTIF(BD312:BK312,SUBSTITUTE(TRIM(BA299)," (s)",""))&gt;0,IF(ROUND(BJ299,3)&gt;=1,ROUND(BJ299,3)&amp;" L",MAX(1,ROUND(BJ299*100,0))&amp;" cl"),IF(COUNTIF(AW310:BB310,SUBSTITUTE(TRIM(BA299)," (s)",""))+COUNTIF(AW312:BB312,SUBSTITUTE(TRIM(BA299)," (s)",""))&gt;0,IF(ROUND(BJ299,3)&gt;=1,ROUND(BJ299,3)&amp;" Kg",MAX(1,ROUND(BJ299*1000,0))&amp;" g"),"")))</f>
        <v/>
      </c>
      <c r="BM299" s="3">
        <v>1</v>
      </c>
    </row>
    <row r="300" spans="2:65" ht="21" customHeight="1">
      <c r="B300" s="103" t="str">
        <f t="shared" si="70"/>
        <v>►</v>
      </c>
      <c r="C300" s="31" t="str">
        <f>C275</f>
        <v>N NOM DE VOTRE RECETTE | collez la--FAMILLE| Auteur &gt; VOUS</v>
      </c>
      <c r="D300" s="32">
        <f>D275</f>
        <v>1</v>
      </c>
      <c r="E300" s="31" t="str">
        <f>E275</f>
        <v>coupe</v>
      </c>
      <c r="F300" s="33" t="str">
        <f>F275</f>
        <v>Recette mère ► MILLE-FEUILLE  aux fraises des bois</v>
      </c>
      <c r="G300" s="89"/>
      <c r="H300" s="108"/>
      <c r="I300" s="91" t="str">
        <f t="shared" si="67"/>
        <v/>
      </c>
      <c r="J300" s="92"/>
      <c r="K300" s="128"/>
      <c r="L300" s="130">
        <v>1</v>
      </c>
      <c r="M300" s="1813" t="str">
        <f>ROWS(M279:M300)&amp;" ►"</f>
        <v>22 ►</v>
      </c>
      <c r="N300" s="1580"/>
      <c r="O300" s="95">
        <f>IF(Q309=0,0,(Q300/Q309)*P278*1000)</f>
        <v>0</v>
      </c>
      <c r="P300" s="105">
        <f>IF(Q309=0, 0, (G300*L300)/(Q309*P278))</f>
        <v>0</v>
      </c>
      <c r="Q300" s="97" cm="1">
        <f t="array" ref="Q300">IFERROR(_xlfn.XLOOKUP(UPPER(TRIM(K300)),UPPER(TRIM(G310:U310)),G311:U311,_xlfn.XLOOKUP(UPPER(TRIM(K300)),UPPER(TRIM(G312:U312)),G313:U313,0))*J300*IF(G300&gt;0,G300,1),0)</f>
        <v>0</v>
      </c>
      <c r="R300" s="110">
        <f>IF(T274&lt;&gt;0,G300*L300*L274,0)</f>
        <v>0</v>
      </c>
      <c r="S300" s="1748">
        <f t="shared" si="71"/>
        <v>0</v>
      </c>
      <c r="T300" s="99">
        <f>IF(OR(ISBLANK(T274),T274=0),0,Q300*L300*L274)</f>
        <v>0</v>
      </c>
      <c r="U300" s="1617" t="str">
        <f>IF(K300="","",IF(COUNTIF(N310:U310,SUBSTITUTE(TRIM(K300)," (s)",""))+COUNTIF(N312:U312,SUBSTITUTE(TRIM(K300)," (s)",""))&gt;0,IF(ROUND(T300,3)&gt;=1,ROUND(T300,3)&amp;" L",MAX(1,ROUND(T300*100,0))&amp;" cl"),IF(COUNTIF(G310:L310,SUBSTITUTE(TRIM(K300)," (s)",""))+COUNTIF(G312:L312,SUBSTITUTE(TRIM(K300)," (s)",""))&gt;0,IF(ROUND(T300,3)&gt;=1,ROUND(T300,3)&amp;" Kg",MAX(1,ROUND(T300*1000,0))&amp;" g"),"")))</f>
        <v/>
      </c>
      <c r="W300" s="103" t="str">
        <f t="shared" si="72"/>
        <v>►</v>
      </c>
      <c r="X300" s="31" t="str">
        <f>X275</f>
        <v>N NAME OF YOUR RECIPE | paste it — FAMILY|  Author &gt; YOU</v>
      </c>
      <c r="Y300" s="32">
        <f>Y275</f>
        <v>1</v>
      </c>
      <c r="Z300" s="31" t="str">
        <f>Z275</f>
        <v>coupe</v>
      </c>
      <c r="AA300" s="33" t="str">
        <f>AA275</f>
        <v>Master recipe ► MILLE-FEUILLE  aux fraises des bois</v>
      </c>
      <c r="AB300" s="89"/>
      <c r="AC300" s="108"/>
      <c r="AD300" s="91" t="str">
        <f t="shared" si="68"/>
        <v/>
      </c>
      <c r="AE300" s="92"/>
      <c r="AF300" s="128"/>
      <c r="AG300" s="130">
        <v>1</v>
      </c>
      <c r="AH300" s="1813" t="str">
        <f>ROWS(AH279:AH300)&amp;" ►"</f>
        <v>22 ►</v>
      </c>
      <c r="AI300" s="1580"/>
      <c r="AJ300" s="95">
        <f>IF(AL309=0,0,(AL300/AL309)*AK278*1000)</f>
        <v>0</v>
      </c>
      <c r="AK300" s="105">
        <f>IF(AL309=0, 0, (AB300*AG300)/(AL309*AK278))</f>
        <v>0</v>
      </c>
      <c r="AL300" s="97" cm="1">
        <f t="array" ref="AL300">IFERROR(_xlfn.XLOOKUP(UPPER(TRIM(AF300)),UPPER(TRIM(AB310:AP310)),AB311:AP311,_xlfn.XLOOKUP(UPPER(TRIM(AF300)),UPPER(TRIM(AB312:AP312)),AB313:AP313,0))*AE300*IF(AB300&gt;0,AB300,1),0)</f>
        <v>0</v>
      </c>
      <c r="AM300" s="110">
        <f>IF(AO274&lt;&gt;0,AB300*AG300*AG274,0)</f>
        <v>0</v>
      </c>
      <c r="AN300" s="1748">
        <f t="shared" si="73"/>
        <v>0</v>
      </c>
      <c r="AO300" s="99">
        <f>IF(OR(ISBLANK(AO274),AO274=0),0,AL300*AG300*AG274)</f>
        <v>0</v>
      </c>
      <c r="AP300" s="1617" t="str">
        <f>IF(AF300="","",IF(COUNTIF(AI310:AP310,SUBSTITUTE(TRIM(AF300)," (s)",""))+COUNTIF(AI312:AP312,SUBSTITUTE(TRIM(AF300)," (s)",""))&gt;0,IF(ROUND(AO300,3)&gt;=1,ROUND(AO300,3)&amp;" L",MAX(1,ROUND(AO300*100,0))&amp;" cl"),IF(COUNTIF(AB310:AG310,SUBSTITUTE(TRIM(AF300)," (s)",""))+COUNTIF(AB312:AG312,SUBSTITUTE(TRIM(AF300)," (s)",""))&gt;0,IF(ROUND(AO300,3)&gt;=1,ROUND(AO300,3)&amp;" Kg",MAX(1,ROUND(AO300*1000,0))&amp;" g"),"")))</f>
        <v/>
      </c>
      <c r="AR300" s="103" t="str">
        <f t="shared" si="74"/>
        <v>►</v>
      </c>
      <c r="AS300" s="31" t="str">
        <f>AS275</f>
        <v>N NOMBRE DE SU RECETA | pegue esto — FAMILIA| Auteur &gt; VOUS</v>
      </c>
      <c r="AT300" s="32">
        <f>AT275</f>
        <v>1</v>
      </c>
      <c r="AU300" s="31" t="str">
        <f>AU275</f>
        <v>coupe</v>
      </c>
      <c r="AV300" s="33" t="str">
        <f>AV275</f>
        <v>Receta madre ► MILLE-FEUILLE  aux fraises des bois</v>
      </c>
      <c r="AW300" s="89"/>
      <c r="AX300" s="108"/>
      <c r="AY300" s="91" t="str">
        <f t="shared" si="69"/>
        <v/>
      </c>
      <c r="AZ300" s="92"/>
      <c r="BA300" s="128"/>
      <c r="BB300" s="130">
        <v>1</v>
      </c>
      <c r="BC300" s="1813" t="str">
        <f>ROWS(BC279:BC300)&amp;" ►"</f>
        <v>22 ►</v>
      </c>
      <c r="BD300" s="1580"/>
      <c r="BE300" s="95">
        <f>IF(BG309=0,0,(BG300/BG309)*BF278*1000)</f>
        <v>0</v>
      </c>
      <c r="BF300" s="105">
        <f>IF(BG309=0, 0, (AW300*BB300)/(BG309*BF278))</f>
        <v>0</v>
      </c>
      <c r="BG300" s="97" cm="1">
        <f t="array" ref="BG300">IFERROR(_xlfn.XLOOKUP(UPPER(TRIM(BA300)),UPPER(TRIM(AW310:BK310)),AW311:BK311,_xlfn.XLOOKUP(UPPER(TRIM(BA300)),UPPER(TRIM(AW312:BK312)),AW313:BK313,0))*AZ300*IF(AW300&gt;0,AW300,1),0)</f>
        <v>0</v>
      </c>
      <c r="BH300" s="110">
        <f>IF(BJ274&lt;&gt;0,AW300*BB300*BB274,0)</f>
        <v>0</v>
      </c>
      <c r="BI300" s="1748">
        <f t="shared" si="75"/>
        <v>0</v>
      </c>
      <c r="BJ300" s="99">
        <f>IF(OR(ISBLANK(BJ274),BJ274=0),0,BG300*BB300*BB274)</f>
        <v>0</v>
      </c>
      <c r="BK300" s="1617" t="str">
        <f>IF(BA300="","",IF(COUNTIF(BD310:BK310,SUBSTITUTE(TRIM(BA300)," (s)",""))+COUNTIF(BD312:BK312,SUBSTITUTE(TRIM(BA300)," (s)",""))&gt;0,IF(ROUND(BJ300,3)&gt;=1,ROUND(BJ300,3)&amp;" L",MAX(1,ROUND(BJ300*100,0))&amp;" cl"),IF(COUNTIF(AW310:BB310,SUBSTITUTE(TRIM(BA300)," (s)",""))+COUNTIF(AW312:BB312,SUBSTITUTE(TRIM(BA300)," (s)",""))&gt;0,IF(ROUND(BJ300,3)&gt;=1,ROUND(BJ300,3)&amp;" Kg",MAX(1,ROUND(BJ300*1000,0))&amp;" g"),"")))</f>
        <v/>
      </c>
      <c r="BM300" s="3">
        <v>1</v>
      </c>
    </row>
    <row r="301" spans="2:65" ht="21" customHeight="1">
      <c r="B301" s="103" t="str">
        <f t="shared" si="70"/>
        <v>►</v>
      </c>
      <c r="C301" s="31" t="str">
        <f>C275</f>
        <v>N NOM DE VOTRE RECETTE | collez la--FAMILLE| Auteur &gt; VOUS</v>
      </c>
      <c r="D301" s="32">
        <f>D275</f>
        <v>1</v>
      </c>
      <c r="E301" s="31" t="str">
        <f>E275</f>
        <v>coupe</v>
      </c>
      <c r="F301" s="33" t="str">
        <f>F275</f>
        <v>Recette mère ► MILLE-FEUILLE  aux fraises des bois</v>
      </c>
      <c r="G301" s="89"/>
      <c r="H301" s="108"/>
      <c r="I301" s="91" t="str">
        <f t="shared" si="67"/>
        <v/>
      </c>
      <c r="J301" s="92"/>
      <c r="K301" s="128"/>
      <c r="L301" s="130">
        <v>1</v>
      </c>
      <c r="M301" s="1813" t="str">
        <f>ROWS(M279:M301)&amp;" ►"</f>
        <v>23 ►</v>
      </c>
      <c r="N301" s="1580"/>
      <c r="O301" s="95">
        <f>IF(Q309=0,0,(Q301/Q309)*P278*1000)</f>
        <v>0</v>
      </c>
      <c r="P301" s="105">
        <f>IF(Q309=0, 0, (G301*L301)/(Q309*P278))</f>
        <v>0</v>
      </c>
      <c r="Q301" s="97" cm="1">
        <f t="array" ref="Q301">IFERROR(_xlfn.XLOOKUP(UPPER(TRIM(K301)),UPPER(TRIM(G310:U310)),G311:U311,_xlfn.XLOOKUP(UPPER(TRIM(K301)),UPPER(TRIM(G312:U312)),G313:U313,0))*J301*IF(G301&gt;0,G301,1),0)</f>
        <v>0</v>
      </c>
      <c r="R301" s="106">
        <f>IF(T274&lt;&gt;0,G301*L301*L274,0)</f>
        <v>0</v>
      </c>
      <c r="S301" s="1747">
        <f t="shared" si="71"/>
        <v>0</v>
      </c>
      <c r="T301" s="99">
        <f>IF(OR(ISBLANK(T274),T274=0),0,Q301*L301*L274)</f>
        <v>0</v>
      </c>
      <c r="U301" s="1367" t="str">
        <f>IF(K301="","",IF(COUNTIF(N310:U310,SUBSTITUTE(TRIM(K301)," (s)",""))+COUNTIF(N312:U312,SUBSTITUTE(TRIM(K301)," (s)",""))&gt;0,IF(ROUND(T301,3)&gt;=1,ROUND(T301,3)&amp;" L",MAX(1,ROUND(T301*100,0))&amp;" cl"),IF(COUNTIF(G310:L310,SUBSTITUTE(TRIM(K301)," (s)",""))+COUNTIF(G312:L312,SUBSTITUTE(TRIM(K301)," (s)",""))&gt;0,IF(ROUND(T301,3)&gt;=1,ROUND(T301,3)&amp;" Kg",MAX(1,ROUND(T301*1000,0))&amp;" g"),"")))</f>
        <v/>
      </c>
      <c r="W301" s="103" t="str">
        <f t="shared" si="72"/>
        <v>►</v>
      </c>
      <c r="X301" s="31" t="str">
        <f>X275</f>
        <v>N NAME OF YOUR RECIPE | paste it — FAMILY|  Author &gt; YOU</v>
      </c>
      <c r="Y301" s="32">
        <f>Y275</f>
        <v>1</v>
      </c>
      <c r="Z301" s="31" t="str">
        <f>Z275</f>
        <v>coupe</v>
      </c>
      <c r="AA301" s="33" t="str">
        <f>AA275</f>
        <v>Master recipe ► MILLE-FEUILLE  aux fraises des bois</v>
      </c>
      <c r="AB301" s="89"/>
      <c r="AC301" s="108"/>
      <c r="AD301" s="91" t="str">
        <f t="shared" si="68"/>
        <v/>
      </c>
      <c r="AE301" s="92"/>
      <c r="AF301" s="128"/>
      <c r="AG301" s="130">
        <v>1</v>
      </c>
      <c r="AH301" s="1813" t="str">
        <f>ROWS(AH279:AH301)&amp;" ►"</f>
        <v>23 ►</v>
      </c>
      <c r="AI301" s="1580"/>
      <c r="AJ301" s="95">
        <f>IF(AL309=0,0,(AL301/AL309)*AK278*1000)</f>
        <v>0</v>
      </c>
      <c r="AK301" s="105">
        <f>IF(AL309=0, 0, (AB301*AG301)/(AL309*AK278))</f>
        <v>0</v>
      </c>
      <c r="AL301" s="97" cm="1">
        <f t="array" ref="AL301">IFERROR(_xlfn.XLOOKUP(UPPER(TRIM(AF301)),UPPER(TRIM(AB310:AP310)),AB311:AP311,_xlfn.XLOOKUP(UPPER(TRIM(AF301)),UPPER(TRIM(AB312:AP312)),AB313:AP313,0))*AE301*IF(AB301&gt;0,AB301,1),0)</f>
        <v>0</v>
      </c>
      <c r="AM301" s="106">
        <f>IF(AO274&lt;&gt;0,AB301*AG301*AG274,0)</f>
        <v>0</v>
      </c>
      <c r="AN301" s="1747">
        <f t="shared" si="73"/>
        <v>0</v>
      </c>
      <c r="AO301" s="99">
        <f>IF(OR(ISBLANK(AO274),AO274=0),0,AL301*AG301*AG274)</f>
        <v>0</v>
      </c>
      <c r="AP301" s="1367" t="str">
        <f>IF(AF301="","",IF(COUNTIF(AI310:AP310,SUBSTITUTE(TRIM(AF301)," (s)",""))+COUNTIF(AI312:AP312,SUBSTITUTE(TRIM(AF301)," (s)",""))&gt;0,IF(ROUND(AO301,3)&gt;=1,ROUND(AO301,3)&amp;" L",MAX(1,ROUND(AO301*100,0))&amp;" cl"),IF(COUNTIF(AB310:AG310,SUBSTITUTE(TRIM(AF301)," (s)",""))+COUNTIF(AB312:AG312,SUBSTITUTE(TRIM(AF301)," (s)",""))&gt;0,IF(ROUND(AO301,3)&gt;=1,ROUND(AO301,3)&amp;" Kg",MAX(1,ROUND(AO301*1000,0))&amp;" g"),"")))</f>
        <v/>
      </c>
      <c r="AR301" s="103" t="str">
        <f t="shared" si="74"/>
        <v>►</v>
      </c>
      <c r="AS301" s="31" t="str">
        <f>AS275</f>
        <v>N NOMBRE DE SU RECETA | pegue esto — FAMILIA| Auteur &gt; VOUS</v>
      </c>
      <c r="AT301" s="32">
        <f>AT275</f>
        <v>1</v>
      </c>
      <c r="AU301" s="31" t="str">
        <f>AU275</f>
        <v>coupe</v>
      </c>
      <c r="AV301" s="33" t="str">
        <f>AV275</f>
        <v>Receta madre ► MILLE-FEUILLE  aux fraises des bois</v>
      </c>
      <c r="AW301" s="89"/>
      <c r="AX301" s="108"/>
      <c r="AY301" s="91" t="str">
        <f t="shared" si="69"/>
        <v/>
      </c>
      <c r="AZ301" s="92"/>
      <c r="BA301" s="128"/>
      <c r="BB301" s="130">
        <v>1</v>
      </c>
      <c r="BC301" s="1813" t="str">
        <f>ROWS(BC279:BC301)&amp;" ►"</f>
        <v>23 ►</v>
      </c>
      <c r="BD301" s="1580"/>
      <c r="BE301" s="95">
        <f>IF(BG309=0,0,(BG301/BG309)*BF278*1000)</f>
        <v>0</v>
      </c>
      <c r="BF301" s="105">
        <f>IF(BG309=0, 0, (AW301*BB301)/(BG309*BF278))</f>
        <v>0</v>
      </c>
      <c r="BG301" s="97" cm="1">
        <f t="array" ref="BG301">IFERROR(_xlfn.XLOOKUP(UPPER(TRIM(BA301)),UPPER(TRIM(AW310:BK310)),AW311:BK311,_xlfn.XLOOKUP(UPPER(TRIM(BA301)),UPPER(TRIM(AW312:BK312)),AW313:BK313,0))*AZ301*IF(AW301&gt;0,AW301,1),0)</f>
        <v>0</v>
      </c>
      <c r="BH301" s="106">
        <f>IF(BJ274&lt;&gt;0,AW301*BB301*BB274,0)</f>
        <v>0</v>
      </c>
      <c r="BI301" s="1747">
        <f t="shared" si="75"/>
        <v>0</v>
      </c>
      <c r="BJ301" s="99">
        <f>IF(OR(ISBLANK(BJ274),BJ274=0),0,BG301*BB301*BB274)</f>
        <v>0</v>
      </c>
      <c r="BK301" s="1367" t="str">
        <f>IF(BA301="","",IF(COUNTIF(BD310:BK310,SUBSTITUTE(TRIM(BA301)," (s)",""))+COUNTIF(BD312:BK312,SUBSTITUTE(TRIM(BA301)," (s)",""))&gt;0,IF(ROUND(BJ301,3)&gt;=1,ROUND(BJ301,3)&amp;" L",MAX(1,ROUND(BJ301*100,0))&amp;" cl"),IF(COUNTIF(AW310:BB310,SUBSTITUTE(TRIM(BA301)," (s)",""))+COUNTIF(AW312:BB312,SUBSTITUTE(TRIM(BA301)," (s)",""))&gt;0,IF(ROUND(BJ301,3)&gt;=1,ROUND(BJ301,3)&amp;" Kg",MAX(1,ROUND(BJ301*1000,0))&amp;" g"),"")))</f>
        <v/>
      </c>
      <c r="BM301" s="3">
        <v>1</v>
      </c>
    </row>
    <row r="302" spans="2:65" ht="21" customHeight="1">
      <c r="B302" s="103" t="str">
        <f t="shared" si="70"/>
        <v>►</v>
      </c>
      <c r="C302" s="31" t="str">
        <f>C275</f>
        <v>N NOM DE VOTRE RECETTE | collez la--FAMILLE| Auteur &gt; VOUS</v>
      </c>
      <c r="D302" s="32">
        <f>D275</f>
        <v>1</v>
      </c>
      <c r="E302" s="31" t="str">
        <f>E275</f>
        <v>coupe</v>
      </c>
      <c r="F302" s="33" t="str">
        <f>F275</f>
        <v>Recette mère ► MILLE-FEUILLE  aux fraises des bois</v>
      </c>
      <c r="G302" s="89"/>
      <c r="H302" s="108"/>
      <c r="I302" s="91" t="str">
        <f t="shared" si="67"/>
        <v/>
      </c>
      <c r="J302" s="92"/>
      <c r="K302" s="128"/>
      <c r="L302" s="130">
        <v>1</v>
      </c>
      <c r="M302" s="1813" t="str">
        <f>ROWS(M279:M302)&amp;" ►"</f>
        <v>24 ►</v>
      </c>
      <c r="N302" s="1580"/>
      <c r="O302" s="95">
        <f>IF(Q309=0,0,(Q302/Q309)*P278*1000)</f>
        <v>0</v>
      </c>
      <c r="P302" s="105">
        <f>IF(Q309=0, 0, (G302*L302)/(Q309*P278))</f>
        <v>0</v>
      </c>
      <c r="Q302" s="97" cm="1">
        <f t="array" ref="Q302">IFERROR(_xlfn.XLOOKUP(UPPER(TRIM(K302)),UPPER(TRIM(G310:U310)),G311:U311,_xlfn.XLOOKUP(UPPER(TRIM(K302)),UPPER(TRIM(G312:U312)),G313:U313,0))*J302*IF(G302&gt;0,G302,1),0)</f>
        <v>0</v>
      </c>
      <c r="R302" s="106">
        <f>IF(T274&lt;&gt;0,G302*L302*L274,0)</f>
        <v>0</v>
      </c>
      <c r="S302" s="1747">
        <f t="shared" si="71"/>
        <v>0</v>
      </c>
      <c r="T302" s="99">
        <f>IF(OR(ISBLANK(T274),T274=0),0,Q302*L302*L274)</f>
        <v>0</v>
      </c>
      <c r="U302" s="1367" t="str">
        <f>IF(K302="","",IF(COUNTIF(N310:U310,SUBSTITUTE(TRIM(K302)," (s)",""))+COUNTIF(N312:U312,SUBSTITUTE(TRIM(K302)," (s)",""))&gt;0,IF(ROUND(T302,3)&gt;=1,ROUND(T302,3)&amp;" L",MAX(1,ROUND(T302*100,0))&amp;" cl"),IF(COUNTIF(G310:L310,SUBSTITUTE(TRIM(K302)," (s)",""))+COUNTIF(G312:L312,SUBSTITUTE(TRIM(K302)," (s)",""))&gt;0,IF(ROUND(T302,3)&gt;=1,ROUND(T302,3)&amp;" Kg",MAX(1,ROUND(T302*1000,0))&amp;" g"),"")))</f>
        <v/>
      </c>
      <c r="W302" s="103" t="str">
        <f t="shared" si="72"/>
        <v>►</v>
      </c>
      <c r="X302" s="31" t="str">
        <f>X275</f>
        <v>N NAME OF YOUR RECIPE | paste it — FAMILY|  Author &gt; YOU</v>
      </c>
      <c r="Y302" s="32">
        <f>Y275</f>
        <v>1</v>
      </c>
      <c r="Z302" s="31" t="str">
        <f>Z275</f>
        <v>coupe</v>
      </c>
      <c r="AA302" s="33" t="str">
        <f>AA275</f>
        <v>Master recipe ► MILLE-FEUILLE  aux fraises des bois</v>
      </c>
      <c r="AB302" s="89"/>
      <c r="AC302" s="108"/>
      <c r="AD302" s="91" t="str">
        <f t="shared" si="68"/>
        <v/>
      </c>
      <c r="AE302" s="92"/>
      <c r="AF302" s="128"/>
      <c r="AG302" s="130">
        <v>1</v>
      </c>
      <c r="AH302" s="1813" t="str">
        <f>ROWS(AH279:AH302)&amp;" ►"</f>
        <v>24 ►</v>
      </c>
      <c r="AI302" s="1580"/>
      <c r="AJ302" s="95">
        <f>IF(AL309=0,0,(AL302/AL309)*AK278*1000)</f>
        <v>0</v>
      </c>
      <c r="AK302" s="105">
        <f>IF(AL309=0, 0, (AB302*AG302)/(AL309*AK278))</f>
        <v>0</v>
      </c>
      <c r="AL302" s="97" cm="1">
        <f t="array" ref="AL302">IFERROR(_xlfn.XLOOKUP(UPPER(TRIM(AF302)),UPPER(TRIM(AB310:AP310)),AB311:AP311,_xlfn.XLOOKUP(UPPER(TRIM(AF302)),UPPER(TRIM(AB312:AP312)),AB313:AP313,0))*AE302*IF(AB302&gt;0,AB302,1),0)</f>
        <v>0</v>
      </c>
      <c r="AM302" s="106">
        <f>IF(AO274&lt;&gt;0,AB302*AG302*AG274,0)</f>
        <v>0</v>
      </c>
      <c r="AN302" s="1747">
        <f t="shared" si="73"/>
        <v>0</v>
      </c>
      <c r="AO302" s="99">
        <f>IF(OR(ISBLANK(AO274),AO274=0),0,AL302*AG302*AG274)</f>
        <v>0</v>
      </c>
      <c r="AP302" s="1367" t="str">
        <f>IF(AF302="","",IF(COUNTIF(AI310:AP310,SUBSTITUTE(TRIM(AF302)," (s)",""))+COUNTIF(AI312:AP312,SUBSTITUTE(TRIM(AF302)," (s)",""))&gt;0,IF(ROUND(AO302,3)&gt;=1,ROUND(AO302,3)&amp;" L",MAX(1,ROUND(AO302*100,0))&amp;" cl"),IF(COUNTIF(AB310:AG310,SUBSTITUTE(TRIM(AF302)," (s)",""))+COUNTIF(AB312:AG312,SUBSTITUTE(TRIM(AF302)," (s)",""))&gt;0,IF(ROUND(AO302,3)&gt;=1,ROUND(AO302,3)&amp;" Kg",MAX(1,ROUND(AO302*1000,0))&amp;" g"),"")))</f>
        <v/>
      </c>
      <c r="AR302" s="103" t="str">
        <f t="shared" si="74"/>
        <v>►</v>
      </c>
      <c r="AS302" s="31" t="str">
        <f>AS275</f>
        <v>N NOMBRE DE SU RECETA | pegue esto — FAMILIA| Auteur &gt; VOUS</v>
      </c>
      <c r="AT302" s="32">
        <f>AT275</f>
        <v>1</v>
      </c>
      <c r="AU302" s="31" t="str">
        <f>AU275</f>
        <v>coupe</v>
      </c>
      <c r="AV302" s="33" t="str">
        <f>AV275</f>
        <v>Receta madre ► MILLE-FEUILLE  aux fraises des bois</v>
      </c>
      <c r="AW302" s="89"/>
      <c r="AX302" s="108"/>
      <c r="AY302" s="91" t="str">
        <f t="shared" si="69"/>
        <v/>
      </c>
      <c r="AZ302" s="92"/>
      <c r="BA302" s="128"/>
      <c r="BB302" s="130">
        <v>1</v>
      </c>
      <c r="BC302" s="1813" t="str">
        <f>ROWS(BC279:BC302)&amp;" ►"</f>
        <v>24 ►</v>
      </c>
      <c r="BD302" s="1580"/>
      <c r="BE302" s="95">
        <f>IF(BG309=0,0,(BG302/BG309)*BF278*1000)</f>
        <v>0</v>
      </c>
      <c r="BF302" s="105">
        <f>IF(BG309=0, 0, (AW302*BB302)/(BG309*BF278))</f>
        <v>0</v>
      </c>
      <c r="BG302" s="97" cm="1">
        <f t="array" ref="BG302">IFERROR(_xlfn.XLOOKUP(UPPER(TRIM(BA302)),UPPER(TRIM(AW310:BK310)),AW311:BK311,_xlfn.XLOOKUP(UPPER(TRIM(BA302)),UPPER(TRIM(AW312:BK312)),AW313:BK313,0))*AZ302*IF(AW302&gt;0,AW302,1),0)</f>
        <v>0</v>
      </c>
      <c r="BH302" s="106">
        <f>IF(BJ274&lt;&gt;0,AW302*BB302*BB274,0)</f>
        <v>0</v>
      </c>
      <c r="BI302" s="1747">
        <f t="shared" si="75"/>
        <v>0</v>
      </c>
      <c r="BJ302" s="99">
        <f>IF(OR(ISBLANK(BJ274),BJ274=0),0,BG302*BB302*BB274)</f>
        <v>0</v>
      </c>
      <c r="BK302" s="1367" t="str">
        <f>IF(BA302="","",IF(COUNTIF(BD310:BK310,SUBSTITUTE(TRIM(BA302)," (s)",""))+COUNTIF(BD312:BK312,SUBSTITUTE(TRIM(BA302)," (s)",""))&gt;0,IF(ROUND(BJ302,3)&gt;=1,ROUND(BJ302,3)&amp;" L",MAX(1,ROUND(BJ302*100,0))&amp;" cl"),IF(COUNTIF(AW310:BB310,SUBSTITUTE(TRIM(BA302)," (s)",""))+COUNTIF(AW312:BB312,SUBSTITUTE(TRIM(BA302)," (s)",""))&gt;0,IF(ROUND(BJ302,3)&gt;=1,ROUND(BJ302,3)&amp;" Kg",MAX(1,ROUND(BJ302*1000,0))&amp;" g"),"")))</f>
        <v/>
      </c>
      <c r="BM302" s="3">
        <v>1</v>
      </c>
    </row>
    <row r="303" spans="2:65" ht="21" customHeight="1">
      <c r="B303" s="103" t="str">
        <f t="shared" si="70"/>
        <v>►</v>
      </c>
      <c r="C303" s="31" t="str">
        <f>C275</f>
        <v>N NOM DE VOTRE RECETTE | collez la--FAMILLE| Auteur &gt; VOUS</v>
      </c>
      <c r="D303" s="32">
        <f>D275</f>
        <v>1</v>
      </c>
      <c r="E303" s="31" t="str">
        <f>E275</f>
        <v>coupe</v>
      </c>
      <c r="F303" s="33" t="str">
        <f>F275</f>
        <v>Recette mère ► MILLE-FEUILLE  aux fraises des bois</v>
      </c>
      <c r="G303" s="89"/>
      <c r="H303" s="108"/>
      <c r="I303" s="91" t="str">
        <f t="shared" si="67"/>
        <v/>
      </c>
      <c r="J303" s="92"/>
      <c r="K303" s="128"/>
      <c r="L303" s="130">
        <v>1</v>
      </c>
      <c r="M303" s="1813" t="str">
        <f>ROWS(M279:M303)&amp;" ►"</f>
        <v>25 ►</v>
      </c>
      <c r="N303" s="1580"/>
      <c r="O303" s="95">
        <f>IF(Q309=0,0,(Q303/Q309)*P278*1000)</f>
        <v>0</v>
      </c>
      <c r="P303" s="105">
        <f>IF(Q309=0, 0, (G303*L303)/(Q309*P278))</f>
        <v>0</v>
      </c>
      <c r="Q303" s="97" cm="1">
        <f t="array" ref="Q303">IFERROR(_xlfn.XLOOKUP(UPPER(TRIM(K303)),UPPER(TRIM(G310:U310)),G311:U311,_xlfn.XLOOKUP(UPPER(TRIM(K303)),UPPER(TRIM(G312:U312)),G313:U313,0))*J303*IF(G303&gt;0,G303,1),0)</f>
        <v>0</v>
      </c>
      <c r="R303" s="110">
        <f>IF(T274&lt;&gt;0,G303*L303*L274,0)</f>
        <v>0</v>
      </c>
      <c r="S303" s="1748">
        <f t="shared" si="71"/>
        <v>0</v>
      </c>
      <c r="T303" s="99">
        <f>IF(OR(ISBLANK(T274),T274=0),0,Q303*L303*L274)</f>
        <v>0</v>
      </c>
      <c r="U303" s="1617" t="str">
        <f>IF(K303="","",IF(COUNTIF(N310:U310,SUBSTITUTE(TRIM(K303)," (s)",""))+COUNTIF(N312:U312,SUBSTITUTE(TRIM(K303)," (s)",""))&gt;0,IF(ROUND(T303,3)&gt;=1,ROUND(T303,3)&amp;" L",MAX(1,ROUND(T303*100,0))&amp;" cl"),IF(COUNTIF(G310:L310,SUBSTITUTE(TRIM(K303)," (s)",""))+COUNTIF(G312:L312,SUBSTITUTE(TRIM(K303)," (s)",""))&gt;0,IF(ROUND(T303,3)&gt;=1,ROUND(T303,3)&amp;" Kg",MAX(1,ROUND(T303*1000,0))&amp;" g"),"")))</f>
        <v/>
      </c>
      <c r="W303" s="103" t="str">
        <f t="shared" si="72"/>
        <v>►</v>
      </c>
      <c r="X303" s="31" t="str">
        <f>X275</f>
        <v>N NAME OF YOUR RECIPE | paste it — FAMILY|  Author &gt; YOU</v>
      </c>
      <c r="Y303" s="32">
        <f>Y275</f>
        <v>1</v>
      </c>
      <c r="Z303" s="31" t="str">
        <f>Z275</f>
        <v>coupe</v>
      </c>
      <c r="AA303" s="33" t="str">
        <f>AA275</f>
        <v>Master recipe ► MILLE-FEUILLE  aux fraises des bois</v>
      </c>
      <c r="AB303" s="89"/>
      <c r="AC303" s="108"/>
      <c r="AD303" s="91" t="str">
        <f t="shared" si="68"/>
        <v/>
      </c>
      <c r="AE303" s="92"/>
      <c r="AF303" s="128"/>
      <c r="AG303" s="130">
        <v>1</v>
      </c>
      <c r="AH303" s="1813" t="str">
        <f>ROWS(AH279:AH303)&amp;" ►"</f>
        <v>25 ►</v>
      </c>
      <c r="AI303" s="1580"/>
      <c r="AJ303" s="95">
        <f>IF(AL309=0,0,(AL303/AL309)*AK278*1000)</f>
        <v>0</v>
      </c>
      <c r="AK303" s="105">
        <f>IF(AL309=0, 0, (AB303*AG303)/(AL309*AK278))</f>
        <v>0</v>
      </c>
      <c r="AL303" s="97" cm="1">
        <f t="array" ref="AL303">IFERROR(_xlfn.XLOOKUP(UPPER(TRIM(AF303)),UPPER(TRIM(AB310:AP310)),AB311:AP311,_xlfn.XLOOKUP(UPPER(TRIM(AF303)),UPPER(TRIM(AB312:AP312)),AB313:AP313,0))*AE303*IF(AB303&gt;0,AB303,1),0)</f>
        <v>0</v>
      </c>
      <c r="AM303" s="110">
        <f>IF(AO274&lt;&gt;0,AB303*AG303*AG274,0)</f>
        <v>0</v>
      </c>
      <c r="AN303" s="1748">
        <f t="shared" si="73"/>
        <v>0</v>
      </c>
      <c r="AO303" s="99">
        <f>IF(OR(ISBLANK(AO274),AO274=0),0,AL303*AG303*AG274)</f>
        <v>0</v>
      </c>
      <c r="AP303" s="1617" t="str">
        <f>IF(AF303="","",IF(COUNTIF(AI310:AP310,SUBSTITUTE(TRIM(AF303)," (s)",""))+COUNTIF(AI312:AP312,SUBSTITUTE(TRIM(AF303)," (s)",""))&gt;0,IF(ROUND(AO303,3)&gt;=1,ROUND(AO303,3)&amp;" L",MAX(1,ROUND(AO303*100,0))&amp;" cl"),IF(COUNTIF(AB310:AG310,SUBSTITUTE(TRIM(AF303)," (s)",""))+COUNTIF(AB312:AG312,SUBSTITUTE(TRIM(AF303)," (s)",""))&gt;0,IF(ROUND(AO303,3)&gt;=1,ROUND(AO303,3)&amp;" Kg",MAX(1,ROUND(AO303*1000,0))&amp;" g"),"")))</f>
        <v/>
      </c>
      <c r="AR303" s="103" t="str">
        <f t="shared" si="74"/>
        <v>►</v>
      </c>
      <c r="AS303" s="31" t="str">
        <f>AS275</f>
        <v>N NOMBRE DE SU RECETA | pegue esto — FAMILIA| Auteur &gt; VOUS</v>
      </c>
      <c r="AT303" s="32">
        <f>AT275</f>
        <v>1</v>
      </c>
      <c r="AU303" s="31" t="str">
        <f>AU275</f>
        <v>coupe</v>
      </c>
      <c r="AV303" s="33" t="str">
        <f>AV275</f>
        <v>Receta madre ► MILLE-FEUILLE  aux fraises des bois</v>
      </c>
      <c r="AW303" s="89"/>
      <c r="AX303" s="108"/>
      <c r="AY303" s="91" t="str">
        <f t="shared" si="69"/>
        <v/>
      </c>
      <c r="AZ303" s="92"/>
      <c r="BA303" s="128"/>
      <c r="BB303" s="130">
        <v>1</v>
      </c>
      <c r="BC303" s="1813" t="str">
        <f>ROWS(BC279:BC303)&amp;" ►"</f>
        <v>25 ►</v>
      </c>
      <c r="BD303" s="1580"/>
      <c r="BE303" s="95">
        <f>IF(BG309=0,0,(BG303/BG309)*BF278*1000)</f>
        <v>0</v>
      </c>
      <c r="BF303" s="105">
        <f>IF(BG309=0, 0, (AW303*BB303)/(BG309*BF278))</f>
        <v>0</v>
      </c>
      <c r="BG303" s="97" cm="1">
        <f t="array" ref="BG303">IFERROR(_xlfn.XLOOKUP(UPPER(TRIM(BA303)),UPPER(TRIM(AW310:BK310)),AW311:BK311,_xlfn.XLOOKUP(UPPER(TRIM(BA303)),UPPER(TRIM(AW312:BK312)),AW313:BK313,0))*AZ303*IF(AW303&gt;0,AW303,1),0)</f>
        <v>0</v>
      </c>
      <c r="BH303" s="110">
        <f>IF(BJ274&lt;&gt;0,AW303*BB303*BB274,0)</f>
        <v>0</v>
      </c>
      <c r="BI303" s="1748">
        <f t="shared" si="75"/>
        <v>0</v>
      </c>
      <c r="BJ303" s="99">
        <f>IF(OR(ISBLANK(BJ274),BJ274=0),0,BG303*BB303*BB274)</f>
        <v>0</v>
      </c>
      <c r="BK303" s="1617" t="str">
        <f>IF(BA303="","",IF(COUNTIF(BD310:BK310,SUBSTITUTE(TRIM(BA303)," (s)",""))+COUNTIF(BD312:BK312,SUBSTITUTE(TRIM(BA303)," (s)",""))&gt;0,IF(ROUND(BJ303,3)&gt;=1,ROUND(BJ303,3)&amp;" L",MAX(1,ROUND(BJ303*100,0))&amp;" cl"),IF(COUNTIF(AW310:BB310,SUBSTITUTE(TRIM(BA303)," (s)",""))+COUNTIF(AW312:BB312,SUBSTITUTE(TRIM(BA303)," (s)",""))&gt;0,IF(ROUND(BJ303,3)&gt;=1,ROUND(BJ303,3)&amp;" Kg",MAX(1,ROUND(BJ303*1000,0))&amp;" g"),"")))</f>
        <v/>
      </c>
      <c r="BM303" s="3">
        <v>1</v>
      </c>
    </row>
    <row r="304" spans="2:65" ht="21" customHeight="1">
      <c r="B304" s="103" t="str">
        <f t="shared" si="70"/>
        <v>►</v>
      </c>
      <c r="C304" s="31" t="str">
        <f>C275</f>
        <v>N NOM DE VOTRE RECETTE | collez la--FAMILLE| Auteur &gt; VOUS</v>
      </c>
      <c r="D304" s="32">
        <f>D275</f>
        <v>1</v>
      </c>
      <c r="E304" s="31" t="str">
        <f>E275</f>
        <v>coupe</v>
      </c>
      <c r="F304" s="33" t="str">
        <f>F275</f>
        <v>Recette mère ► MILLE-FEUILLE  aux fraises des bois</v>
      </c>
      <c r="G304" s="89"/>
      <c r="H304" s="108"/>
      <c r="I304" s="91" t="str">
        <f t="shared" si="67"/>
        <v/>
      </c>
      <c r="J304" s="92"/>
      <c r="K304" s="128"/>
      <c r="L304" s="130">
        <v>1</v>
      </c>
      <c r="M304" s="1813" t="str">
        <f>ROWS(M279:M304)&amp;" ►"</f>
        <v>26 ►</v>
      </c>
      <c r="N304" s="1580"/>
      <c r="O304" s="95">
        <f>IF(Q309=0,0,(Q304/Q309)*P278*1000)</f>
        <v>0</v>
      </c>
      <c r="P304" s="105">
        <f>IF(Q309=0, 0, (G304*L304)/(Q309*P278))</f>
        <v>0</v>
      </c>
      <c r="Q304" s="97" cm="1">
        <f t="array" ref="Q304">IFERROR(_xlfn.XLOOKUP(UPPER(TRIM(K304)),UPPER(TRIM(G310:U310)),G311:U311,_xlfn.XLOOKUP(UPPER(TRIM(K304)),UPPER(TRIM(G312:U312)),G313:U313,0))*J304*IF(G304&gt;0,G304,1),0)</f>
        <v>0</v>
      </c>
      <c r="R304" s="106">
        <f>IF(T274&lt;&gt;0,G304*L304*L274,0)</f>
        <v>0</v>
      </c>
      <c r="S304" s="1747">
        <f t="shared" si="71"/>
        <v>0</v>
      </c>
      <c r="T304" s="99">
        <f>IF(OR(ISBLANK(T274),T274=0),0,Q304*L304*L274)</f>
        <v>0</v>
      </c>
      <c r="U304" s="1367" t="str">
        <f>IF(K304="","",IF(COUNTIF(N310:U310,SUBSTITUTE(TRIM(K304)," (s)",""))+COUNTIF(N312:U312,SUBSTITUTE(TRIM(K304)," (s)",""))&gt;0,IF(ROUND(T304,3)&gt;=1,ROUND(T304,3)&amp;" L",MAX(1,ROUND(T304*100,0))&amp;" cl"),IF(COUNTIF(G310:L310,SUBSTITUTE(TRIM(K304)," (s)",""))+COUNTIF(G312:L312,SUBSTITUTE(TRIM(K304)," (s)",""))&gt;0,IF(ROUND(T304,3)&gt;=1,ROUND(T304,3)&amp;" Kg",MAX(1,ROUND(T304*1000,0))&amp;" g"),"")))</f>
        <v/>
      </c>
      <c r="W304" s="103" t="str">
        <f t="shared" si="72"/>
        <v>►</v>
      </c>
      <c r="X304" s="31" t="str">
        <f>X275</f>
        <v>N NAME OF YOUR RECIPE | paste it — FAMILY|  Author &gt; YOU</v>
      </c>
      <c r="Y304" s="32">
        <f>Y275</f>
        <v>1</v>
      </c>
      <c r="Z304" s="31" t="str">
        <f>Z275</f>
        <v>coupe</v>
      </c>
      <c r="AA304" s="33" t="str">
        <f>AA275</f>
        <v>Master recipe ► MILLE-FEUILLE  aux fraises des bois</v>
      </c>
      <c r="AB304" s="89"/>
      <c r="AC304" s="108"/>
      <c r="AD304" s="91" t="str">
        <f t="shared" si="68"/>
        <v/>
      </c>
      <c r="AE304" s="92"/>
      <c r="AF304" s="128"/>
      <c r="AG304" s="130">
        <v>1</v>
      </c>
      <c r="AH304" s="1813" t="str">
        <f>ROWS(AH279:AH304)&amp;" ►"</f>
        <v>26 ►</v>
      </c>
      <c r="AI304" s="1580"/>
      <c r="AJ304" s="95">
        <f>IF(AL309=0,0,(AL304/AL309)*AK278*1000)</f>
        <v>0</v>
      </c>
      <c r="AK304" s="105">
        <f>IF(AL309=0, 0, (AB304*AG304)/(AL309*AK278))</f>
        <v>0</v>
      </c>
      <c r="AL304" s="97" cm="1">
        <f t="array" ref="AL304">IFERROR(_xlfn.XLOOKUP(UPPER(TRIM(AF304)),UPPER(TRIM(AB310:AP310)),AB311:AP311,_xlfn.XLOOKUP(UPPER(TRIM(AF304)),UPPER(TRIM(AB312:AP312)),AB313:AP313,0))*AE304*IF(AB304&gt;0,AB304,1),0)</f>
        <v>0</v>
      </c>
      <c r="AM304" s="106">
        <f>IF(AO274&lt;&gt;0,AB304*AG304*AG274,0)</f>
        <v>0</v>
      </c>
      <c r="AN304" s="1747">
        <f t="shared" si="73"/>
        <v>0</v>
      </c>
      <c r="AO304" s="99">
        <f>IF(OR(ISBLANK(AO274),AO274=0),0,AL304*AG304*AG274)</f>
        <v>0</v>
      </c>
      <c r="AP304" s="1367" t="str">
        <f>IF(AF304="","",IF(COUNTIF(AI310:AP310,SUBSTITUTE(TRIM(AF304)," (s)",""))+COUNTIF(AI312:AP312,SUBSTITUTE(TRIM(AF304)," (s)",""))&gt;0,IF(ROUND(AO304,3)&gt;=1,ROUND(AO304,3)&amp;" L",MAX(1,ROUND(AO304*100,0))&amp;" cl"),IF(COUNTIF(AB310:AG310,SUBSTITUTE(TRIM(AF304)," (s)",""))+COUNTIF(AB312:AG312,SUBSTITUTE(TRIM(AF304)," (s)",""))&gt;0,IF(ROUND(AO304,3)&gt;=1,ROUND(AO304,3)&amp;" Kg",MAX(1,ROUND(AO304*1000,0))&amp;" g"),"")))</f>
        <v/>
      </c>
      <c r="AR304" s="103" t="str">
        <f t="shared" si="74"/>
        <v>►</v>
      </c>
      <c r="AS304" s="31" t="str">
        <f>AS275</f>
        <v>N NOMBRE DE SU RECETA | pegue esto — FAMILIA| Auteur &gt; VOUS</v>
      </c>
      <c r="AT304" s="32">
        <f>AT275</f>
        <v>1</v>
      </c>
      <c r="AU304" s="31" t="str">
        <f>AU275</f>
        <v>coupe</v>
      </c>
      <c r="AV304" s="33" t="str">
        <f>AV275</f>
        <v>Receta madre ► MILLE-FEUILLE  aux fraises des bois</v>
      </c>
      <c r="AW304" s="89"/>
      <c r="AX304" s="108"/>
      <c r="AY304" s="91" t="str">
        <f t="shared" si="69"/>
        <v/>
      </c>
      <c r="AZ304" s="92"/>
      <c r="BA304" s="128"/>
      <c r="BB304" s="130">
        <v>1</v>
      </c>
      <c r="BC304" s="1813" t="str">
        <f>ROWS(BC279:BC304)&amp;" ►"</f>
        <v>26 ►</v>
      </c>
      <c r="BD304" s="1580"/>
      <c r="BE304" s="95">
        <f>IF(BG309=0,0,(BG304/BG309)*BF278*1000)</f>
        <v>0</v>
      </c>
      <c r="BF304" s="105">
        <f>IF(BG309=0, 0, (AW304*BB304)/(BG309*BF278))</f>
        <v>0</v>
      </c>
      <c r="BG304" s="97" cm="1">
        <f t="array" ref="BG304">IFERROR(_xlfn.XLOOKUP(UPPER(TRIM(BA304)),UPPER(TRIM(AW310:BK310)),AW311:BK311,_xlfn.XLOOKUP(UPPER(TRIM(BA304)),UPPER(TRIM(AW312:BK312)),AW313:BK313,0))*AZ304*IF(AW304&gt;0,AW304,1),0)</f>
        <v>0</v>
      </c>
      <c r="BH304" s="106">
        <f>IF(BJ274&lt;&gt;0,AW304*BB304*BB274,0)</f>
        <v>0</v>
      </c>
      <c r="BI304" s="1747">
        <f t="shared" si="75"/>
        <v>0</v>
      </c>
      <c r="BJ304" s="99">
        <f>IF(OR(ISBLANK(BJ274),BJ274=0),0,BG304*BB304*BB274)</f>
        <v>0</v>
      </c>
      <c r="BK304" s="1367" t="str">
        <f>IF(BA304="","",IF(COUNTIF(BD310:BK310,SUBSTITUTE(TRIM(BA304)," (s)",""))+COUNTIF(BD312:BK312,SUBSTITUTE(TRIM(BA304)," (s)",""))&gt;0,IF(ROUND(BJ304,3)&gt;=1,ROUND(BJ304,3)&amp;" L",MAX(1,ROUND(BJ304*100,0))&amp;" cl"),IF(COUNTIF(AW310:BB310,SUBSTITUTE(TRIM(BA304)," (s)",""))+COUNTIF(AW312:BB312,SUBSTITUTE(TRIM(BA304)," (s)",""))&gt;0,IF(ROUND(BJ304,3)&gt;=1,ROUND(BJ304,3)&amp;" Kg",MAX(1,ROUND(BJ304*1000,0))&amp;" g"),"")))</f>
        <v/>
      </c>
      <c r="BM304" s="3">
        <v>1</v>
      </c>
    </row>
    <row r="305" spans="2:65" ht="21" customHeight="1">
      <c r="B305" s="103" t="str">
        <f t="shared" si="70"/>
        <v>►</v>
      </c>
      <c r="C305" s="31" t="str">
        <f>C275</f>
        <v>N NOM DE VOTRE RECETTE | collez la--FAMILLE| Auteur &gt; VOUS</v>
      </c>
      <c r="D305" s="32">
        <f>D275</f>
        <v>1</v>
      </c>
      <c r="E305" s="31" t="str">
        <f>E275</f>
        <v>coupe</v>
      </c>
      <c r="F305" s="33" t="str">
        <f>F275</f>
        <v>Recette mère ► MILLE-FEUILLE  aux fraises des bois</v>
      </c>
      <c r="G305" s="89"/>
      <c r="H305" s="108"/>
      <c r="I305" s="91" t="str">
        <f t="shared" si="67"/>
        <v/>
      </c>
      <c r="J305" s="92"/>
      <c r="K305" s="128"/>
      <c r="L305" s="130">
        <v>1</v>
      </c>
      <c r="M305" s="1813" t="str">
        <f>ROWS(M279:M305)&amp;" ►"</f>
        <v>27 ►</v>
      </c>
      <c r="N305" s="1580"/>
      <c r="O305" s="95">
        <f>IF(Q309=0,0,(Q305/Q309)*P278*1000)</f>
        <v>0</v>
      </c>
      <c r="P305" s="105">
        <f>IF(Q309=0, 0, (G305*L305)/(Q309*P278))</f>
        <v>0</v>
      </c>
      <c r="Q305" s="97" cm="1">
        <f t="array" ref="Q305">IFERROR(_xlfn.XLOOKUP(UPPER(TRIM(K305)),UPPER(TRIM(G310:U310)),G311:U311,_xlfn.XLOOKUP(UPPER(TRIM(K305)),UPPER(TRIM(G312:U312)),G313:U313,0))*J305*IF(G305&gt;0,G305,1),0)</f>
        <v>0</v>
      </c>
      <c r="R305" s="110">
        <f>IF(T274&lt;&gt;0,G305*L305*L274,0)</f>
        <v>0</v>
      </c>
      <c r="S305" s="1748">
        <f t="shared" si="71"/>
        <v>0</v>
      </c>
      <c r="T305" s="99">
        <f>IF(OR(ISBLANK(T274),T274=0),0,Q305*L305*L274)</f>
        <v>0</v>
      </c>
      <c r="U305" s="1617" t="str">
        <f>IF(K305="","",IF(COUNTIF(N310:U310,SUBSTITUTE(TRIM(K305)," (s)",""))+COUNTIF(N312:U312,SUBSTITUTE(TRIM(K305)," (s)",""))&gt;0,IF(ROUND(T305,3)&gt;=1,ROUND(T305,3)&amp;" L",MAX(1,ROUND(T305*100,0))&amp;" cl"),IF(COUNTIF(G310:L310,SUBSTITUTE(TRIM(K305)," (s)",""))+COUNTIF(G312:L312,SUBSTITUTE(TRIM(K305)," (s)",""))&gt;0,IF(ROUND(T305,3)&gt;=1,ROUND(T305,3)&amp;" Kg",MAX(1,ROUND(T305*1000,0))&amp;" g"),"")))</f>
        <v/>
      </c>
      <c r="W305" s="103" t="str">
        <f t="shared" si="72"/>
        <v>►</v>
      </c>
      <c r="X305" s="31" t="str">
        <f>X275</f>
        <v>N NAME OF YOUR RECIPE | paste it — FAMILY|  Author &gt; YOU</v>
      </c>
      <c r="Y305" s="32">
        <f>Y275</f>
        <v>1</v>
      </c>
      <c r="Z305" s="31" t="str">
        <f>Z275</f>
        <v>coupe</v>
      </c>
      <c r="AA305" s="33" t="str">
        <f>AA275</f>
        <v>Master recipe ► MILLE-FEUILLE  aux fraises des bois</v>
      </c>
      <c r="AB305" s="89"/>
      <c r="AC305" s="108"/>
      <c r="AD305" s="91" t="str">
        <f t="shared" si="68"/>
        <v/>
      </c>
      <c r="AE305" s="92"/>
      <c r="AF305" s="128"/>
      <c r="AG305" s="130">
        <v>1</v>
      </c>
      <c r="AH305" s="1813" t="str">
        <f>ROWS(AH279:AH305)&amp;" ►"</f>
        <v>27 ►</v>
      </c>
      <c r="AI305" s="1580"/>
      <c r="AJ305" s="95">
        <f>IF(AL309=0,0,(AL305/AL309)*AK278*1000)</f>
        <v>0</v>
      </c>
      <c r="AK305" s="105">
        <f>IF(AL309=0, 0, (AB305*AG305)/(AL309*AK278))</f>
        <v>0</v>
      </c>
      <c r="AL305" s="97" cm="1">
        <f t="array" ref="AL305">IFERROR(_xlfn.XLOOKUP(UPPER(TRIM(AF305)),UPPER(TRIM(AB310:AP310)),AB311:AP311,_xlfn.XLOOKUP(UPPER(TRIM(AF305)),UPPER(TRIM(AB312:AP312)),AB313:AP313,0))*AE305*IF(AB305&gt;0,AB305,1),0)</f>
        <v>0</v>
      </c>
      <c r="AM305" s="110">
        <f>IF(AO274&lt;&gt;0,AB305*AG305*AG274,0)</f>
        <v>0</v>
      </c>
      <c r="AN305" s="1748">
        <f t="shared" si="73"/>
        <v>0</v>
      </c>
      <c r="AO305" s="99">
        <f>IF(OR(ISBLANK(AO274),AO274=0),0,AL305*AG305*AG274)</f>
        <v>0</v>
      </c>
      <c r="AP305" s="1617" t="str">
        <f>IF(AF305="","",IF(COUNTIF(AI310:AP310,SUBSTITUTE(TRIM(AF305)," (s)",""))+COUNTIF(AI312:AP312,SUBSTITUTE(TRIM(AF305)," (s)",""))&gt;0,IF(ROUND(AO305,3)&gt;=1,ROUND(AO305,3)&amp;" L",MAX(1,ROUND(AO305*100,0))&amp;" cl"),IF(COUNTIF(AB310:AG310,SUBSTITUTE(TRIM(AF305)," (s)",""))+COUNTIF(AB312:AG312,SUBSTITUTE(TRIM(AF305)," (s)",""))&gt;0,IF(ROUND(AO305,3)&gt;=1,ROUND(AO305,3)&amp;" Kg",MAX(1,ROUND(AO305*1000,0))&amp;" g"),"")))</f>
        <v/>
      </c>
      <c r="AR305" s="103" t="str">
        <f t="shared" si="74"/>
        <v>►</v>
      </c>
      <c r="AS305" s="31" t="str">
        <f>AS275</f>
        <v>N NOMBRE DE SU RECETA | pegue esto — FAMILIA| Auteur &gt; VOUS</v>
      </c>
      <c r="AT305" s="32">
        <f>AT275</f>
        <v>1</v>
      </c>
      <c r="AU305" s="31" t="str">
        <f>AU275</f>
        <v>coupe</v>
      </c>
      <c r="AV305" s="33" t="str">
        <f>AV275</f>
        <v>Receta madre ► MILLE-FEUILLE  aux fraises des bois</v>
      </c>
      <c r="AW305" s="89"/>
      <c r="AX305" s="108"/>
      <c r="AY305" s="91" t="str">
        <f t="shared" si="69"/>
        <v/>
      </c>
      <c r="AZ305" s="92"/>
      <c r="BA305" s="128"/>
      <c r="BB305" s="130">
        <v>1</v>
      </c>
      <c r="BC305" s="1813" t="str">
        <f>ROWS(BC279:BC305)&amp;" ►"</f>
        <v>27 ►</v>
      </c>
      <c r="BD305" s="1580"/>
      <c r="BE305" s="95">
        <f>IF(BG309=0,0,(BG305/BG309)*BF278*1000)</f>
        <v>0</v>
      </c>
      <c r="BF305" s="105">
        <f>IF(BG309=0, 0, (AW305*BB305)/(BG309*BF278))</f>
        <v>0</v>
      </c>
      <c r="BG305" s="97" cm="1">
        <f t="array" ref="BG305">IFERROR(_xlfn.XLOOKUP(UPPER(TRIM(BA305)),UPPER(TRIM(AW310:BK310)),AW311:BK311,_xlfn.XLOOKUP(UPPER(TRIM(BA305)),UPPER(TRIM(AW312:BK312)),AW313:BK313,0))*AZ305*IF(AW305&gt;0,AW305,1),0)</f>
        <v>0</v>
      </c>
      <c r="BH305" s="110">
        <f>IF(BJ274&lt;&gt;0,AW305*BB305*BB274,0)</f>
        <v>0</v>
      </c>
      <c r="BI305" s="1748">
        <f t="shared" si="75"/>
        <v>0</v>
      </c>
      <c r="BJ305" s="99">
        <f>IF(OR(ISBLANK(BJ274),BJ274=0),0,BG305*BB305*BB274)</f>
        <v>0</v>
      </c>
      <c r="BK305" s="1617" t="str">
        <f>IF(BA305="","",IF(COUNTIF(BD310:BK310,SUBSTITUTE(TRIM(BA305)," (s)",""))+COUNTIF(BD312:BK312,SUBSTITUTE(TRIM(BA305)," (s)",""))&gt;0,IF(ROUND(BJ305,3)&gt;=1,ROUND(BJ305,3)&amp;" L",MAX(1,ROUND(BJ305*100,0))&amp;" cl"),IF(COUNTIF(AW310:BB310,SUBSTITUTE(TRIM(BA305)," (s)",""))+COUNTIF(AW312:BB312,SUBSTITUTE(TRIM(BA305)," (s)",""))&gt;0,IF(ROUND(BJ305,3)&gt;=1,ROUND(BJ305,3)&amp;" Kg",MAX(1,ROUND(BJ305*1000,0))&amp;" g"),"")))</f>
        <v/>
      </c>
      <c r="BM305" s="3">
        <v>1</v>
      </c>
    </row>
    <row r="306" spans="2:65" ht="21" customHeight="1">
      <c r="B306" s="103" t="str">
        <f t="shared" si="70"/>
        <v>►</v>
      </c>
      <c r="C306" s="31" t="str">
        <f>C275</f>
        <v>N NOM DE VOTRE RECETTE | collez la--FAMILLE| Auteur &gt; VOUS</v>
      </c>
      <c r="D306" s="32">
        <f>D275</f>
        <v>1</v>
      </c>
      <c r="E306" s="31" t="str">
        <f>E275</f>
        <v>coupe</v>
      </c>
      <c r="F306" s="33" t="str">
        <f>F275</f>
        <v>Recette mère ► MILLE-FEUILLE  aux fraises des bois</v>
      </c>
      <c r="G306" s="89"/>
      <c r="H306" s="108"/>
      <c r="I306" s="91" t="str">
        <f t="shared" si="67"/>
        <v/>
      </c>
      <c r="J306" s="92"/>
      <c r="K306" s="128"/>
      <c r="L306" s="130">
        <v>1</v>
      </c>
      <c r="M306" s="1813" t="str">
        <f>ROWS(M279:M306)&amp;" ►"</f>
        <v>28 ►</v>
      </c>
      <c r="N306" s="1580"/>
      <c r="O306" s="95">
        <f>IF(Q309=0,0,(Q306/Q309)*P278*1000)</f>
        <v>0</v>
      </c>
      <c r="P306" s="105">
        <f>IF(Q309=0, 0, (G306*L306)/(Q309*P278))</f>
        <v>0</v>
      </c>
      <c r="Q306" s="97" cm="1">
        <f t="array" ref="Q306">IFERROR(_xlfn.XLOOKUP(UPPER(TRIM(K306)),UPPER(TRIM(G310:U310)),G311:U311,_xlfn.XLOOKUP(UPPER(TRIM(K306)),UPPER(TRIM(G312:U312)),G313:U313,0))*J306*IF(G306&gt;0,G306,1),0)</f>
        <v>0</v>
      </c>
      <c r="R306" s="106">
        <f>IF(T274&lt;&gt;0,G306*L306*L274,0)</f>
        <v>0</v>
      </c>
      <c r="S306" s="1747">
        <f t="shared" si="71"/>
        <v>0</v>
      </c>
      <c r="T306" s="99">
        <f>IF(OR(ISBLANK(T274),T274=0),0,Q306*L306*L274)</f>
        <v>0</v>
      </c>
      <c r="U306" s="1367" t="str">
        <f>IF(K306="","",IF(COUNTIF(N310:U310,SUBSTITUTE(TRIM(K306)," (s)",""))+COUNTIF(N312:U312,SUBSTITUTE(TRIM(K306)," (s)",""))&gt;0,IF(ROUND(T306,3)&gt;=1,ROUND(T306,3)&amp;" L",MAX(1,ROUND(T306*100,0))&amp;" cl"),IF(COUNTIF(G310:L310,SUBSTITUTE(TRIM(K306)," (s)",""))+COUNTIF(G312:L312,SUBSTITUTE(TRIM(K306)," (s)",""))&gt;0,IF(ROUND(T306,3)&gt;=1,ROUND(T306,3)&amp;" Kg",MAX(1,ROUND(T306*1000,0))&amp;" g"),"")))</f>
        <v/>
      </c>
      <c r="W306" s="103" t="str">
        <f t="shared" si="72"/>
        <v>►</v>
      </c>
      <c r="X306" s="31" t="str">
        <f>X275</f>
        <v>N NAME OF YOUR RECIPE | paste it — FAMILY|  Author &gt; YOU</v>
      </c>
      <c r="Y306" s="32">
        <f>Y275</f>
        <v>1</v>
      </c>
      <c r="Z306" s="31" t="str">
        <f>Z275</f>
        <v>coupe</v>
      </c>
      <c r="AA306" s="33" t="str">
        <f>AA275</f>
        <v>Master recipe ► MILLE-FEUILLE  aux fraises des bois</v>
      </c>
      <c r="AB306" s="89"/>
      <c r="AC306" s="108"/>
      <c r="AD306" s="91" t="str">
        <f t="shared" si="68"/>
        <v/>
      </c>
      <c r="AE306" s="92"/>
      <c r="AF306" s="128"/>
      <c r="AG306" s="130">
        <v>1</v>
      </c>
      <c r="AH306" s="1813" t="str">
        <f>ROWS(AH279:AH306)&amp;" ►"</f>
        <v>28 ►</v>
      </c>
      <c r="AI306" s="1580"/>
      <c r="AJ306" s="95">
        <f>IF(AL309=0,0,(AL306/AL309)*AK278*1000)</f>
        <v>0</v>
      </c>
      <c r="AK306" s="105">
        <f>IF(AL309=0, 0, (AB306*AG306)/(AL309*AK278))</f>
        <v>0</v>
      </c>
      <c r="AL306" s="97" cm="1">
        <f t="array" ref="AL306">IFERROR(_xlfn.XLOOKUP(UPPER(TRIM(AF306)),UPPER(TRIM(AB310:AP310)),AB311:AP311,_xlfn.XLOOKUP(UPPER(TRIM(AF306)),UPPER(TRIM(AB312:AP312)),AB313:AP313,0))*AE306*IF(AB306&gt;0,AB306,1),0)</f>
        <v>0</v>
      </c>
      <c r="AM306" s="106">
        <f>IF(AO274&lt;&gt;0,AB306*AG306*AG274,0)</f>
        <v>0</v>
      </c>
      <c r="AN306" s="1747">
        <f t="shared" si="73"/>
        <v>0</v>
      </c>
      <c r="AO306" s="99">
        <f>IF(OR(ISBLANK(AO274),AO274=0),0,AL306*AG306*AG274)</f>
        <v>0</v>
      </c>
      <c r="AP306" s="1367" t="str">
        <f>IF(AF306="","",IF(COUNTIF(AI310:AP310,SUBSTITUTE(TRIM(AF306)," (s)",""))+COUNTIF(AI312:AP312,SUBSTITUTE(TRIM(AF306)," (s)",""))&gt;0,IF(ROUND(AO306,3)&gt;=1,ROUND(AO306,3)&amp;" L",MAX(1,ROUND(AO306*100,0))&amp;" cl"),IF(COUNTIF(AB310:AG310,SUBSTITUTE(TRIM(AF306)," (s)",""))+COUNTIF(AB312:AG312,SUBSTITUTE(TRIM(AF306)," (s)",""))&gt;0,IF(ROUND(AO306,3)&gt;=1,ROUND(AO306,3)&amp;" Kg",MAX(1,ROUND(AO306*1000,0))&amp;" g"),"")))</f>
        <v/>
      </c>
      <c r="AR306" s="103" t="str">
        <f t="shared" si="74"/>
        <v>►</v>
      </c>
      <c r="AS306" s="31" t="str">
        <f>AS275</f>
        <v>N NOMBRE DE SU RECETA | pegue esto — FAMILIA| Auteur &gt; VOUS</v>
      </c>
      <c r="AT306" s="32">
        <f>AT275</f>
        <v>1</v>
      </c>
      <c r="AU306" s="31" t="str">
        <f>AU275</f>
        <v>coupe</v>
      </c>
      <c r="AV306" s="33" t="str">
        <f>AV275</f>
        <v>Receta madre ► MILLE-FEUILLE  aux fraises des bois</v>
      </c>
      <c r="AW306" s="89"/>
      <c r="AX306" s="108"/>
      <c r="AY306" s="91" t="str">
        <f t="shared" si="69"/>
        <v/>
      </c>
      <c r="AZ306" s="92"/>
      <c r="BA306" s="128"/>
      <c r="BB306" s="130">
        <v>1</v>
      </c>
      <c r="BC306" s="1813" t="str">
        <f>ROWS(BC279:BC306)&amp;" ►"</f>
        <v>28 ►</v>
      </c>
      <c r="BD306" s="1580"/>
      <c r="BE306" s="95">
        <f>IF(BG309=0,0,(BG306/BG309)*BF278*1000)</f>
        <v>0</v>
      </c>
      <c r="BF306" s="105">
        <f>IF(BG309=0, 0, (AW306*BB306)/(BG309*BF278))</f>
        <v>0</v>
      </c>
      <c r="BG306" s="97" cm="1">
        <f t="array" ref="BG306">IFERROR(_xlfn.XLOOKUP(UPPER(TRIM(BA306)),UPPER(TRIM(AW310:BK310)),AW311:BK311,_xlfn.XLOOKUP(UPPER(TRIM(BA306)),UPPER(TRIM(AW312:BK312)),AW313:BK313,0))*AZ306*IF(AW306&gt;0,AW306,1),0)</f>
        <v>0</v>
      </c>
      <c r="BH306" s="106">
        <f>IF(BJ274&lt;&gt;0,AW306*BB306*BB274,0)</f>
        <v>0</v>
      </c>
      <c r="BI306" s="1747">
        <f t="shared" si="75"/>
        <v>0</v>
      </c>
      <c r="BJ306" s="99">
        <f>IF(OR(ISBLANK(BJ274),BJ274=0),0,BG306*BB306*BB274)</f>
        <v>0</v>
      </c>
      <c r="BK306" s="1367" t="str">
        <f>IF(BA306="","",IF(COUNTIF(BD310:BK310,SUBSTITUTE(TRIM(BA306)," (s)",""))+COUNTIF(BD312:BK312,SUBSTITUTE(TRIM(BA306)," (s)",""))&gt;0,IF(ROUND(BJ306,3)&gt;=1,ROUND(BJ306,3)&amp;" L",MAX(1,ROUND(BJ306*100,0))&amp;" cl"),IF(COUNTIF(AW310:BB310,SUBSTITUTE(TRIM(BA306)," (s)",""))+COUNTIF(AW312:BB312,SUBSTITUTE(TRIM(BA306)," (s)",""))&gt;0,IF(ROUND(BJ306,3)&gt;=1,ROUND(BJ306,3)&amp;" Kg",MAX(1,ROUND(BJ306*1000,0))&amp;" g"),"")))</f>
        <v/>
      </c>
      <c r="BM306" s="3">
        <v>1</v>
      </c>
    </row>
    <row r="307" spans="2:65" ht="21" customHeight="1">
      <c r="B307" s="103" t="str">
        <f t="shared" si="70"/>
        <v>►</v>
      </c>
      <c r="C307" s="31" t="str">
        <f>C275</f>
        <v>N NOM DE VOTRE RECETTE | collez la--FAMILLE| Auteur &gt; VOUS</v>
      </c>
      <c r="D307" s="32">
        <f>D275</f>
        <v>1</v>
      </c>
      <c r="E307" s="31" t="str">
        <f>E275</f>
        <v>coupe</v>
      </c>
      <c r="F307" s="33" t="str">
        <f>F275</f>
        <v>Recette mère ► MILLE-FEUILLE  aux fraises des bois</v>
      </c>
      <c r="G307" s="89"/>
      <c r="H307" s="108"/>
      <c r="I307" s="91" t="str">
        <f t="shared" si="67"/>
        <v/>
      </c>
      <c r="J307" s="92"/>
      <c r="K307" s="128"/>
      <c r="L307" s="130">
        <v>1</v>
      </c>
      <c r="M307" s="1813" t="str">
        <f>ROWS(M279:M307)&amp;" ►"</f>
        <v>29 ►</v>
      </c>
      <c r="N307" s="1580"/>
      <c r="O307" s="95">
        <f>IF(Q309=0,0,(Q307/Q309)*P278*1000)</f>
        <v>0</v>
      </c>
      <c r="P307" s="105">
        <f>IF(Q309=0, 0, (G307*L307)/(Q309*P278))</f>
        <v>0</v>
      </c>
      <c r="Q307" s="97" cm="1">
        <f t="array" ref="Q307">IFERROR(_xlfn.XLOOKUP(UPPER(TRIM(K307)),UPPER(TRIM(G310:U310)),G311:U311,_xlfn.XLOOKUP(UPPER(TRIM(K307)),UPPER(TRIM(G312:U312)),G313:U313,0))*J307*IF(G307&gt;0,G307,1),0)</f>
        <v>0</v>
      </c>
      <c r="R307" s="110">
        <f>IF(T274&lt;&gt;0,G307*L307*L274,0)</f>
        <v>0</v>
      </c>
      <c r="S307" s="1748">
        <f t="shared" si="71"/>
        <v>0</v>
      </c>
      <c r="T307" s="99">
        <f>IF(OR(ISBLANK(T274),T274=0),0,Q307*L307*L274)</f>
        <v>0</v>
      </c>
      <c r="U307" s="1617" t="str">
        <f>IF(K307="","",IF(COUNTIF(N310:U310,SUBSTITUTE(TRIM(K307)," (s)",""))+COUNTIF(N312:U312,SUBSTITUTE(TRIM(K307)," (s)",""))&gt;0,IF(ROUND(T307,3)&gt;=1,ROUND(T307,3)&amp;" L",MAX(1,ROUND(T307*100,0))&amp;" cl"),IF(COUNTIF(G310:L310,SUBSTITUTE(TRIM(K307)," (s)",""))+COUNTIF(G312:L312,SUBSTITUTE(TRIM(K307)," (s)",""))&gt;0,IF(ROUND(T307,3)&gt;=1,ROUND(T307,3)&amp;" Kg",MAX(1,ROUND(T307*1000,0))&amp;" g"),"")))</f>
        <v/>
      </c>
      <c r="W307" s="103" t="str">
        <f t="shared" si="72"/>
        <v>►</v>
      </c>
      <c r="X307" s="31" t="str">
        <f>X275</f>
        <v>N NAME OF YOUR RECIPE | paste it — FAMILY|  Author &gt; YOU</v>
      </c>
      <c r="Y307" s="32">
        <f>Y275</f>
        <v>1</v>
      </c>
      <c r="Z307" s="31" t="str">
        <f>Z275</f>
        <v>coupe</v>
      </c>
      <c r="AA307" s="33" t="str">
        <f>AA275</f>
        <v>Master recipe ► MILLE-FEUILLE  aux fraises des bois</v>
      </c>
      <c r="AB307" s="89"/>
      <c r="AC307" s="108"/>
      <c r="AD307" s="91" t="str">
        <f t="shared" si="68"/>
        <v/>
      </c>
      <c r="AE307" s="92"/>
      <c r="AF307" s="128"/>
      <c r="AG307" s="130">
        <v>1</v>
      </c>
      <c r="AH307" s="1813" t="str">
        <f>ROWS(AH279:AH307)&amp;" ►"</f>
        <v>29 ►</v>
      </c>
      <c r="AI307" s="1580"/>
      <c r="AJ307" s="95">
        <f>IF(AL309=0,0,(AL307/AL309)*AK278*1000)</f>
        <v>0</v>
      </c>
      <c r="AK307" s="105">
        <f>IF(AL309=0, 0, (AB307*AG307)/(AL309*AK278))</f>
        <v>0</v>
      </c>
      <c r="AL307" s="97" cm="1">
        <f t="array" ref="AL307">IFERROR(_xlfn.XLOOKUP(UPPER(TRIM(AF307)),UPPER(TRIM(AB310:AP310)),AB311:AP311,_xlfn.XLOOKUP(UPPER(TRIM(AF307)),UPPER(TRIM(AB312:AP312)),AB313:AP313,0))*AE307*IF(AB307&gt;0,AB307,1),0)</f>
        <v>0</v>
      </c>
      <c r="AM307" s="110">
        <f>IF(AO274&lt;&gt;0,AB307*AG307*AG274,0)</f>
        <v>0</v>
      </c>
      <c r="AN307" s="1748">
        <f t="shared" si="73"/>
        <v>0</v>
      </c>
      <c r="AO307" s="99">
        <f>IF(OR(ISBLANK(AO274),AO274=0),0,AL307*AG307*AG274)</f>
        <v>0</v>
      </c>
      <c r="AP307" s="1617" t="str">
        <f>IF(AF307="","",IF(COUNTIF(AI310:AP310,SUBSTITUTE(TRIM(AF307)," (s)",""))+COUNTIF(AI312:AP312,SUBSTITUTE(TRIM(AF307)," (s)",""))&gt;0,IF(ROUND(AO307,3)&gt;=1,ROUND(AO307,3)&amp;" L",MAX(1,ROUND(AO307*100,0))&amp;" cl"),IF(COUNTIF(AB310:AG310,SUBSTITUTE(TRIM(AF307)," (s)",""))+COUNTIF(AB312:AG312,SUBSTITUTE(TRIM(AF307)," (s)",""))&gt;0,IF(ROUND(AO307,3)&gt;=1,ROUND(AO307,3)&amp;" Kg",MAX(1,ROUND(AO307*1000,0))&amp;" g"),"")))</f>
        <v/>
      </c>
      <c r="AR307" s="103" t="str">
        <f t="shared" si="74"/>
        <v>►</v>
      </c>
      <c r="AS307" s="31" t="str">
        <f>AS275</f>
        <v>N NOMBRE DE SU RECETA | pegue esto — FAMILIA| Auteur &gt; VOUS</v>
      </c>
      <c r="AT307" s="32">
        <f>AT275</f>
        <v>1</v>
      </c>
      <c r="AU307" s="31" t="str">
        <f>AU275</f>
        <v>coupe</v>
      </c>
      <c r="AV307" s="33" t="str">
        <f>AV275</f>
        <v>Receta madre ► MILLE-FEUILLE  aux fraises des bois</v>
      </c>
      <c r="AW307" s="89"/>
      <c r="AX307" s="108"/>
      <c r="AY307" s="91" t="str">
        <f t="shared" si="69"/>
        <v/>
      </c>
      <c r="AZ307" s="92"/>
      <c r="BA307" s="128"/>
      <c r="BB307" s="130">
        <v>1</v>
      </c>
      <c r="BC307" s="1813" t="str">
        <f>ROWS(BC279:BC307)&amp;" ►"</f>
        <v>29 ►</v>
      </c>
      <c r="BD307" s="1580"/>
      <c r="BE307" s="95">
        <f>IF(BG309=0,0,(BG307/BG309)*BF278*1000)</f>
        <v>0</v>
      </c>
      <c r="BF307" s="105">
        <f>IF(BG309=0, 0, (AW307*BB307)/(BG309*BF278))</f>
        <v>0</v>
      </c>
      <c r="BG307" s="97" cm="1">
        <f t="array" ref="BG307">IFERROR(_xlfn.XLOOKUP(UPPER(TRIM(BA307)),UPPER(TRIM(AW310:BK310)),AW311:BK311,_xlfn.XLOOKUP(UPPER(TRIM(BA307)),UPPER(TRIM(AW312:BK312)),AW313:BK313,0))*AZ307*IF(AW307&gt;0,AW307,1),0)</f>
        <v>0</v>
      </c>
      <c r="BH307" s="110">
        <f>IF(BJ274&lt;&gt;0,AW307*BB307*BB274,0)</f>
        <v>0</v>
      </c>
      <c r="BI307" s="1748">
        <f t="shared" si="75"/>
        <v>0</v>
      </c>
      <c r="BJ307" s="99">
        <f>IF(OR(ISBLANK(BJ274),BJ274=0),0,BG307*BB307*BB274)</f>
        <v>0</v>
      </c>
      <c r="BK307" s="1617" t="str">
        <f>IF(BA307="","",IF(COUNTIF(BD310:BK310,SUBSTITUTE(TRIM(BA307)," (s)",""))+COUNTIF(BD312:BK312,SUBSTITUTE(TRIM(BA307)," (s)",""))&gt;0,IF(ROUND(BJ307,3)&gt;=1,ROUND(BJ307,3)&amp;" L",MAX(1,ROUND(BJ307*100,0))&amp;" cl"),IF(COUNTIF(AW310:BB310,SUBSTITUTE(TRIM(BA307)," (s)",""))+COUNTIF(AW312:BB312,SUBSTITUTE(TRIM(BA307)," (s)",""))&gt;0,IF(ROUND(BJ307,3)&gt;=1,ROUND(BJ307,3)&amp;" Kg",MAX(1,ROUND(BJ307*1000,0))&amp;" g"),"")))</f>
        <v/>
      </c>
      <c r="BM307" s="3">
        <v>1</v>
      </c>
    </row>
    <row r="308" spans="2:65" ht="21" customHeight="1">
      <c r="B308" s="25" t="s">
        <v>10</v>
      </c>
      <c r="C308" s="31" t="str">
        <f>C275</f>
        <v>N NOM DE VOTRE RECETTE | collez la--FAMILLE| Auteur &gt; VOUS</v>
      </c>
      <c r="D308" s="32">
        <f>D275</f>
        <v>1</v>
      </c>
      <c r="E308" s="31" t="str">
        <f>E275</f>
        <v>coupe</v>
      </c>
      <c r="F308" s="33" t="str">
        <f>F275</f>
        <v>Recette mère ► MILLE-FEUILLE  aux fraises des bois</v>
      </c>
      <c r="G308" s="1198"/>
      <c r="H308" s="1199"/>
      <c r="I308" s="91" t="str">
        <f t="shared" si="67"/>
        <v/>
      </c>
      <c r="J308" s="1200"/>
      <c r="K308" s="128"/>
      <c r="L308" s="1201">
        <v>1</v>
      </c>
      <c r="M308" s="1813" t="str">
        <f>ROWS(M279:M308)&amp;" ►"</f>
        <v>30 ►</v>
      </c>
      <c r="N308" s="1580"/>
      <c r="O308" s="95">
        <f>IF(Q309=0,0,(Q308/Q309)*P278*1000)</f>
        <v>0</v>
      </c>
      <c r="P308" s="105">
        <f>IF(Q309=0, 0, (G308*L308)/(Q309*P278))</f>
        <v>0</v>
      </c>
      <c r="Q308" s="97" cm="1">
        <f t="array" ref="Q308">IFERROR(_xlfn.XLOOKUP(UPPER(TRIM(K308)),UPPER(TRIM(G310:U310)),G311:U311,_xlfn.XLOOKUP(UPPER(TRIM(K308)),UPPER(TRIM(G312:U312)),G313:U313,0))*J308*IF(G308&gt;0,G308,1),0)</f>
        <v>0</v>
      </c>
      <c r="R308" s="110">
        <f>IF(T274&lt;&gt;0,G308*L308*L274,0)</f>
        <v>0</v>
      </c>
      <c r="S308" s="1748">
        <f t="shared" si="71"/>
        <v>0</v>
      </c>
      <c r="T308" s="99">
        <f>IF(OR(ISBLANK(T274),T274=0),0,Q308*L308*L274)</f>
        <v>0</v>
      </c>
      <c r="U308" s="1617" t="str">
        <f>IF(K308="","",IF(COUNTIF(N310:U310,SUBSTITUTE(TRIM(K308)," (s)",""))+COUNTIF(N312:U312,SUBSTITUTE(TRIM(K308)," (s)",""))&gt;0,IF(ROUND(T308,3)&gt;=1,ROUND(T308,3)&amp;" L",MAX(1,ROUND(T308*100,0))&amp;" cl"),IF(COUNTIF(G310:L310,SUBSTITUTE(TRIM(K308)," (s)",""))+COUNTIF(G312:L312,SUBSTITUTE(TRIM(K308)," (s)",""))&gt;0,IF(ROUND(T308,3)&gt;=1,ROUND(T308,3)&amp;" Kg",MAX(1,ROUND(T308*1000,0))&amp;" g"),"")))</f>
        <v/>
      </c>
      <c r="W308" s="25" t="s">
        <v>10</v>
      </c>
      <c r="X308" s="31" t="str">
        <f>X275</f>
        <v>N NAME OF YOUR RECIPE | paste it — FAMILY|  Author &gt; YOU</v>
      </c>
      <c r="Y308" s="32">
        <f>Y275</f>
        <v>1</v>
      </c>
      <c r="Z308" s="31" t="str">
        <f>Z275</f>
        <v>coupe</v>
      </c>
      <c r="AA308" s="33" t="str">
        <f>AA275</f>
        <v>Master recipe ► MILLE-FEUILLE  aux fraises des bois</v>
      </c>
      <c r="AB308" s="1198"/>
      <c r="AC308" s="1199"/>
      <c r="AD308" s="91" t="str">
        <f t="shared" si="68"/>
        <v/>
      </c>
      <c r="AE308" s="1200"/>
      <c r="AF308" s="128"/>
      <c r="AG308" s="1201">
        <v>1</v>
      </c>
      <c r="AH308" s="1813" t="str">
        <f>ROWS(AH279:AH308)&amp;" ►"</f>
        <v>30 ►</v>
      </c>
      <c r="AI308" s="1580"/>
      <c r="AJ308" s="95">
        <f>IF(AL309=0,0,(AL308/AL309)*AK278*1000)</f>
        <v>0</v>
      </c>
      <c r="AK308" s="105">
        <f>IF(AL309=0, 0, (AB308*AG308)/(AL309*AK278))</f>
        <v>0</v>
      </c>
      <c r="AL308" s="97" cm="1">
        <f t="array" ref="AL308">IFERROR(_xlfn.XLOOKUP(UPPER(TRIM(AF308)),UPPER(TRIM(AB310:AP310)),AB311:AP311,_xlfn.XLOOKUP(UPPER(TRIM(AF308)),UPPER(TRIM(AB312:AP312)),AB313:AP313,0))*AE308*IF(AB308&gt;0,AB308,1),0)</f>
        <v>0</v>
      </c>
      <c r="AM308" s="110">
        <f>IF(AO274&lt;&gt;0,AB308*AG308*AG274,0)</f>
        <v>0</v>
      </c>
      <c r="AN308" s="1748">
        <f t="shared" si="73"/>
        <v>0</v>
      </c>
      <c r="AO308" s="99">
        <f>IF(OR(ISBLANK(AO274),AO274=0),0,AL308*AG308*AG274)</f>
        <v>0</v>
      </c>
      <c r="AP308" s="1617" t="str">
        <f>IF(AF308="","",IF(COUNTIF(AI310:AP310,SUBSTITUTE(TRIM(AF308)," (s)",""))+COUNTIF(AI312:AP312,SUBSTITUTE(TRIM(AF308)," (s)",""))&gt;0,IF(ROUND(AO308,3)&gt;=1,ROUND(AO308,3)&amp;" L",MAX(1,ROUND(AO308*100,0))&amp;" cl"),IF(COUNTIF(AB310:AG310,SUBSTITUTE(TRIM(AF308)," (s)",""))+COUNTIF(AB312:AG312,SUBSTITUTE(TRIM(AF308)," (s)",""))&gt;0,IF(ROUND(AO308,3)&gt;=1,ROUND(AO308,3)&amp;" Kg",MAX(1,ROUND(AO308*1000,0))&amp;" g"),"")))</f>
        <v/>
      </c>
      <c r="AR308" s="25" t="s">
        <v>10</v>
      </c>
      <c r="AS308" s="31" t="str">
        <f>AS275</f>
        <v>N NOMBRE DE SU RECETA | pegue esto — FAMILIA| Auteur &gt; VOUS</v>
      </c>
      <c r="AT308" s="32">
        <f>AT275</f>
        <v>1</v>
      </c>
      <c r="AU308" s="31" t="str">
        <f>AU275</f>
        <v>coupe</v>
      </c>
      <c r="AV308" s="33" t="str">
        <f>AV275</f>
        <v>Receta madre ► MILLE-FEUILLE  aux fraises des bois</v>
      </c>
      <c r="AW308" s="1198"/>
      <c r="AX308" s="1199"/>
      <c r="AY308" s="91" t="str">
        <f t="shared" si="69"/>
        <v/>
      </c>
      <c r="AZ308" s="1200"/>
      <c r="BA308" s="128"/>
      <c r="BB308" s="1201">
        <v>1</v>
      </c>
      <c r="BC308" s="1813" t="str">
        <f>ROWS(BC279:BC308)&amp;" ►"</f>
        <v>30 ►</v>
      </c>
      <c r="BD308" s="1580"/>
      <c r="BE308" s="95">
        <f>IF(BG309=0,0,(BG308/BG309)*BF278*1000)</f>
        <v>0</v>
      </c>
      <c r="BF308" s="105">
        <f>IF(BG309=0, 0, (AW308*BB308)/(BG309*BF278))</f>
        <v>0</v>
      </c>
      <c r="BG308" s="97" cm="1">
        <f t="array" ref="BG308">IFERROR(_xlfn.XLOOKUP(UPPER(TRIM(BA308)),UPPER(TRIM(AW310:BK310)),AW311:BK311,_xlfn.XLOOKUP(UPPER(TRIM(BA308)),UPPER(TRIM(AW312:BK312)),AW313:BK313,0))*AZ308*IF(AW308&gt;0,AW308,1),0)</f>
        <v>0</v>
      </c>
      <c r="BH308" s="110">
        <f>IF(BJ274&lt;&gt;0,AW308*BB308*BB274,0)</f>
        <v>0</v>
      </c>
      <c r="BI308" s="1748">
        <f t="shared" si="75"/>
        <v>0</v>
      </c>
      <c r="BJ308" s="99">
        <f>IF(OR(ISBLANK(BJ274),BJ274=0),0,BG308*BB308*BB274)</f>
        <v>0</v>
      </c>
      <c r="BK308" s="1617" t="str">
        <f>IF(BA308="","",IF(COUNTIF(BD310:BK310,SUBSTITUTE(TRIM(BA308)," (s)",""))+COUNTIF(BD312:BK312,SUBSTITUTE(TRIM(BA308)," (s)",""))&gt;0,IF(ROUND(BJ308,3)&gt;=1,ROUND(BJ308,3)&amp;" L",MAX(1,ROUND(BJ308*100,0))&amp;" cl"),IF(COUNTIF(AW310:BB310,SUBSTITUTE(TRIM(BA308)," (s)",""))+COUNTIF(AW312:BB312,SUBSTITUTE(TRIM(BA308)," (s)",""))&gt;0,IF(ROUND(BJ308,3)&gt;=1,ROUND(BJ308,3)&amp;" Kg",MAX(1,ROUND(BJ308*1000,0))&amp;" g"),"")))</f>
        <v/>
      </c>
      <c r="BM308" s="3">
        <v>1</v>
      </c>
    </row>
    <row r="309" spans="2:65" ht="21" customHeight="1">
      <c r="B309" s="25" t="s">
        <v>10</v>
      </c>
      <c r="C309" s="31" t="str">
        <f>C275</f>
        <v>N NOM DE VOTRE RECETTE | collez la--FAMILLE| Auteur &gt; VOUS</v>
      </c>
      <c r="D309" s="32">
        <f>D275</f>
        <v>1</v>
      </c>
      <c r="E309" s="31" t="str">
        <f>E275</f>
        <v>coupe</v>
      </c>
      <c r="F309" s="33" t="str">
        <f>F275</f>
        <v>Recette mère ► MILLE-FEUILLE  aux fraises des bois</v>
      </c>
      <c r="G309" s="680" t="s">
        <v>8411</v>
      </c>
      <c r="H309" s="474"/>
      <c r="I309" s="474"/>
      <c r="J309" s="474"/>
      <c r="K309" s="474"/>
      <c r="L309" s="681"/>
      <c r="M309" s="681"/>
      <c r="N309" s="1984" t="s">
        <v>8652</v>
      </c>
      <c r="O309" s="682"/>
      <c r="P309" s="682"/>
      <c r="Q309" s="1197">
        <f>SUM(Q279:Q308)</f>
        <v>0</v>
      </c>
      <c r="R309" s="683"/>
      <c r="S309" s="683" t="str">
        <f>"Total " &amp; T276&amp;" &gt;"</f>
        <v>Total Col.19 &gt;</v>
      </c>
      <c r="T309" s="1835">
        <f>SUM(T279:T308)</f>
        <v>0</v>
      </c>
      <c r="U309" s="684"/>
      <c r="W309" s="25" t="s">
        <v>10</v>
      </c>
      <c r="X309" s="31" t="str">
        <f>X275</f>
        <v>N NAME OF YOUR RECIPE | paste it — FAMILY|  Author &gt; YOU</v>
      </c>
      <c r="Y309" s="32">
        <f>Y275</f>
        <v>1</v>
      </c>
      <c r="Z309" s="31" t="str">
        <f>Z275</f>
        <v>coupe</v>
      </c>
      <c r="AA309" s="33" t="str">
        <f>AA275</f>
        <v>Master recipe ► MILLE-FEUILLE  aux fraises des bois</v>
      </c>
      <c r="AB309" s="680" t="s">
        <v>8573</v>
      </c>
      <c r="AC309" s="474"/>
      <c r="AD309" s="474"/>
      <c r="AE309" s="474"/>
      <c r="AF309" s="474"/>
      <c r="AG309" s="681"/>
      <c r="AH309" s="681"/>
      <c r="AI309" s="1984" t="s">
        <v>8653</v>
      </c>
      <c r="AJ309" s="682"/>
      <c r="AK309" s="682"/>
      <c r="AL309" s="1197">
        <f>SUM(AL279:AL308)</f>
        <v>0</v>
      </c>
      <c r="AM309" s="683"/>
      <c r="AN309" s="683" t="str">
        <f>"Total " &amp; AO276&amp;" &gt;"</f>
        <v>Total Col.19 &gt;</v>
      </c>
      <c r="AO309" s="1835">
        <f>SUM(AO279:AO308)</f>
        <v>0</v>
      </c>
      <c r="AP309" s="684"/>
      <c r="AR309" s="25" t="s">
        <v>10</v>
      </c>
      <c r="AS309" s="31" t="str">
        <f>AS275</f>
        <v>N NOMBRE DE SU RECETA | pegue esto — FAMILIA| Auteur &gt; VOUS</v>
      </c>
      <c r="AT309" s="32">
        <f>AT275</f>
        <v>1</v>
      </c>
      <c r="AU309" s="31" t="str">
        <f>AU275</f>
        <v>coupe</v>
      </c>
      <c r="AV309" s="33" t="str">
        <f>AV275</f>
        <v>Receta madre ► MILLE-FEUILLE  aux fraises des bois</v>
      </c>
      <c r="AW309" s="680" t="s">
        <v>8574</v>
      </c>
      <c r="AX309" s="474"/>
      <c r="AY309" s="474"/>
      <c r="AZ309" s="474"/>
      <c r="BA309" s="474"/>
      <c r="BB309" s="681"/>
      <c r="BC309" s="681"/>
      <c r="BD309" s="1984" t="s">
        <v>8654</v>
      </c>
      <c r="BE309" s="682"/>
      <c r="BF309" s="682"/>
      <c r="BG309" s="1197">
        <f>SUM(BG279:BG308)</f>
        <v>0</v>
      </c>
      <c r="BH309" s="683"/>
      <c r="BI309" s="683" t="str">
        <f>"Total " &amp; BJ276&amp;" &gt;"</f>
        <v>Total Col.19 &gt;</v>
      </c>
      <c r="BJ309" s="1835">
        <f>SUM(BJ279:BJ308)</f>
        <v>0</v>
      </c>
      <c r="BK309" s="684"/>
      <c r="BM309" s="3">
        <v>1</v>
      </c>
    </row>
    <row r="310" spans="2:65" ht="21" customHeight="1">
      <c r="B310" s="25" t="s">
        <v>10</v>
      </c>
      <c r="C310" s="31" t="str">
        <f>C275</f>
        <v>N NOM DE VOTRE RECETTE | collez la--FAMILLE| Auteur &gt; VOUS</v>
      </c>
      <c r="D310" s="32">
        <f>D275</f>
        <v>1</v>
      </c>
      <c r="E310" s="31" t="str">
        <f>E275</f>
        <v>coupe</v>
      </c>
      <c r="F310" s="33" t="str">
        <f>F275</f>
        <v>Recette mère ► MILLE-FEUILLE  aux fraises des bois</v>
      </c>
      <c r="G310" s="142" t="s">
        <v>140</v>
      </c>
      <c r="H310" s="104" t="s">
        <v>100</v>
      </c>
      <c r="I310" s="143" t="s">
        <v>141</v>
      </c>
      <c r="J310" s="144" t="s">
        <v>142</v>
      </c>
      <c r="K310" s="118" t="s">
        <v>143</v>
      </c>
      <c r="L310" s="118" t="s">
        <v>109</v>
      </c>
      <c r="M310" s="143" t="s">
        <v>141</v>
      </c>
      <c r="N310" s="93" t="s">
        <v>0</v>
      </c>
      <c r="O310" s="93" t="s">
        <v>97</v>
      </c>
      <c r="P310" s="93" t="s">
        <v>144</v>
      </c>
      <c r="Q310" s="93" t="s">
        <v>145</v>
      </c>
      <c r="R310" s="109" t="s">
        <v>104</v>
      </c>
      <c r="S310" s="109" t="s">
        <v>359</v>
      </c>
      <c r="T310" s="335" t="s">
        <v>146</v>
      </c>
      <c r="U310" s="109" t="s">
        <v>147</v>
      </c>
      <c r="W310" s="25" t="s">
        <v>10</v>
      </c>
      <c r="X310" s="31" t="str">
        <f>X275</f>
        <v>N NAME OF YOUR RECIPE | paste it — FAMILY|  Author &gt; YOU</v>
      </c>
      <c r="Y310" s="32">
        <f>Y275</f>
        <v>1</v>
      </c>
      <c r="Z310" s="31" t="str">
        <f>Z275</f>
        <v>coupe</v>
      </c>
      <c r="AA310" s="33" t="str">
        <f>AA275</f>
        <v>Master recipe ► MILLE-FEUILLE  aux fraises des bois</v>
      </c>
      <c r="AB310" s="422" t="s">
        <v>140</v>
      </c>
      <c r="AC310" s="104" t="s">
        <v>100</v>
      </c>
      <c r="AD310" s="143" t="s">
        <v>1327</v>
      </c>
      <c r="AE310" s="118" t="s">
        <v>1320</v>
      </c>
      <c r="AF310" s="118" t="s">
        <v>1321</v>
      </c>
      <c r="AG310" s="118" t="s">
        <v>1322</v>
      </c>
      <c r="AH310" s="143" t="s">
        <v>141</v>
      </c>
      <c r="AI310" s="93" t="s">
        <v>0</v>
      </c>
      <c r="AJ310" s="93" t="s">
        <v>97</v>
      </c>
      <c r="AK310" s="93" t="s">
        <v>144</v>
      </c>
      <c r="AL310" s="93" t="s">
        <v>145</v>
      </c>
      <c r="AM310" s="109" t="s">
        <v>1341</v>
      </c>
      <c r="AN310" s="109" t="s">
        <v>1323</v>
      </c>
      <c r="AO310" s="109" t="s">
        <v>1324</v>
      </c>
      <c r="AP310" s="335" t="s">
        <v>1325</v>
      </c>
      <c r="AR310" s="25" t="s">
        <v>10</v>
      </c>
      <c r="AS310" s="31" t="str">
        <f>AS275</f>
        <v>N NOMBRE DE SU RECETA | pegue esto — FAMILIA| Auteur &gt; VOUS</v>
      </c>
      <c r="AT310" s="32">
        <f>AT275</f>
        <v>1</v>
      </c>
      <c r="AU310" s="31" t="str">
        <f>AU275</f>
        <v>coupe</v>
      </c>
      <c r="AV310" s="33" t="str">
        <f>AV275</f>
        <v>Receta madre ► MILLE-FEUILLE  aux fraises des bois</v>
      </c>
      <c r="AW310" s="422" t="s">
        <v>140</v>
      </c>
      <c r="AX310" s="104" t="s">
        <v>100</v>
      </c>
      <c r="AY310" s="143" t="s">
        <v>1309</v>
      </c>
      <c r="AZ310" s="118" t="s">
        <v>1301</v>
      </c>
      <c r="BA310" s="118" t="s">
        <v>1302</v>
      </c>
      <c r="BB310" s="118" t="s">
        <v>1303</v>
      </c>
      <c r="BC310" s="143" t="s">
        <v>141</v>
      </c>
      <c r="BD310" s="93" t="s">
        <v>0</v>
      </c>
      <c r="BE310" s="93" t="s">
        <v>97</v>
      </c>
      <c r="BF310" s="93" t="s">
        <v>144</v>
      </c>
      <c r="BG310" s="93" t="s">
        <v>145</v>
      </c>
      <c r="BH310" s="335" t="s">
        <v>1306</v>
      </c>
      <c r="BI310" s="2104" t="s">
        <v>1342</v>
      </c>
      <c r="BJ310" s="2104" t="s">
        <v>1305</v>
      </c>
      <c r="BK310" s="2104" t="s">
        <v>1306</v>
      </c>
      <c r="BM310" s="3">
        <v>1</v>
      </c>
    </row>
    <row r="311" spans="2:65" ht="21" customHeight="1">
      <c r="B311" s="25" t="s">
        <v>10</v>
      </c>
      <c r="C311" s="31" t="str">
        <f>C275</f>
        <v>N NOM DE VOTRE RECETTE | collez la--FAMILLE| Auteur &gt; VOUS</v>
      </c>
      <c r="D311" s="32">
        <f>D275</f>
        <v>1</v>
      </c>
      <c r="E311" s="31" t="str">
        <f>E275</f>
        <v>coupe</v>
      </c>
      <c r="F311" s="33" t="str">
        <f>F275</f>
        <v>Recette mère ► MILLE-FEUILLE  aux fraises des bois</v>
      </c>
      <c r="G311" s="685">
        <v>1</v>
      </c>
      <c r="H311" s="686">
        <v>1E-3</v>
      </c>
      <c r="I311" s="687">
        <v>0</v>
      </c>
      <c r="J311" s="686">
        <v>0.25</v>
      </c>
      <c r="K311" s="686">
        <v>0.33332999999999996</v>
      </c>
      <c r="L311" s="686">
        <v>0.5</v>
      </c>
      <c r="M311" s="687">
        <v>0</v>
      </c>
      <c r="N311" s="688">
        <v>1</v>
      </c>
      <c r="O311" s="688">
        <v>0.1</v>
      </c>
      <c r="P311" s="688">
        <v>0.01</v>
      </c>
      <c r="Q311" s="688">
        <v>1E-3</v>
      </c>
      <c r="R311" s="688">
        <v>0.5</v>
      </c>
      <c r="S311" s="688">
        <v>0.25</v>
      </c>
      <c r="T311" s="688">
        <v>0.33300000000000002</v>
      </c>
      <c r="U311" s="1756">
        <v>0.2</v>
      </c>
      <c r="W311" s="25" t="s">
        <v>10</v>
      </c>
      <c r="X311" s="31" t="str">
        <f>X275</f>
        <v>N NAME OF YOUR RECIPE | paste it — FAMILY|  Author &gt; YOU</v>
      </c>
      <c r="Y311" s="32">
        <f>Y275</f>
        <v>1</v>
      </c>
      <c r="Z311" s="31" t="str">
        <f>Z275</f>
        <v>coupe</v>
      </c>
      <c r="AA311" s="33" t="str">
        <f>AA275</f>
        <v>Master recipe ► MILLE-FEUILLE  aux fraises des bois</v>
      </c>
      <c r="AB311" s="685">
        <v>1</v>
      </c>
      <c r="AC311" s="686">
        <v>1E-3</v>
      </c>
      <c r="AD311" s="687">
        <v>0</v>
      </c>
      <c r="AE311" s="686">
        <v>0.25</v>
      </c>
      <c r="AF311" s="686">
        <v>0.33332999999999996</v>
      </c>
      <c r="AG311" s="686">
        <v>0.5</v>
      </c>
      <c r="AH311" s="687">
        <v>0</v>
      </c>
      <c r="AI311" s="688">
        <v>1</v>
      </c>
      <c r="AJ311" s="688">
        <v>0.1</v>
      </c>
      <c r="AK311" s="688">
        <v>0.01</v>
      </c>
      <c r="AL311" s="688">
        <v>1E-3</v>
      </c>
      <c r="AM311" s="688">
        <v>0.25</v>
      </c>
      <c r="AN311" s="688">
        <v>0.5</v>
      </c>
      <c r="AO311" s="688">
        <v>0.33300000000000002</v>
      </c>
      <c r="AP311" s="688">
        <v>0.2</v>
      </c>
      <c r="AR311" s="25" t="s">
        <v>10</v>
      </c>
      <c r="AS311" s="31" t="str">
        <f>AS275</f>
        <v>N NOMBRE DE SU RECETA | pegue esto — FAMILIA| Auteur &gt; VOUS</v>
      </c>
      <c r="AT311" s="32">
        <f>AT275</f>
        <v>1</v>
      </c>
      <c r="AU311" s="31" t="str">
        <f>AU275</f>
        <v>coupe</v>
      </c>
      <c r="AV311" s="33" t="str">
        <f>AV275</f>
        <v>Receta madre ► MILLE-FEUILLE  aux fraises des bois</v>
      </c>
      <c r="AW311" s="685">
        <v>1</v>
      </c>
      <c r="AX311" s="686">
        <v>1E-3</v>
      </c>
      <c r="AY311" s="687">
        <v>0</v>
      </c>
      <c r="AZ311" s="686">
        <v>0.25</v>
      </c>
      <c r="BA311" s="686">
        <v>0.33332999999999996</v>
      </c>
      <c r="BB311" s="686">
        <v>0.5</v>
      </c>
      <c r="BC311" s="687">
        <v>0</v>
      </c>
      <c r="BD311" s="688">
        <v>1</v>
      </c>
      <c r="BE311" s="688">
        <v>0.1</v>
      </c>
      <c r="BF311" s="688">
        <v>0.01</v>
      </c>
      <c r="BG311" s="688">
        <v>1E-3</v>
      </c>
      <c r="BH311" s="688">
        <v>0.2</v>
      </c>
      <c r="BI311" s="1882">
        <v>0.25</v>
      </c>
      <c r="BJ311" s="1882">
        <v>0.33300000000000002</v>
      </c>
      <c r="BK311" s="1882">
        <v>0.2</v>
      </c>
      <c r="BM311" s="3">
        <v>1</v>
      </c>
    </row>
    <row r="312" spans="2:65" ht="21" customHeight="1">
      <c r="B312" s="25" t="s">
        <v>10</v>
      </c>
      <c r="C312" s="31" t="str">
        <f>C275</f>
        <v>N NOM DE VOTRE RECETTE | collez la--FAMILLE| Auteur &gt; VOUS</v>
      </c>
      <c r="D312" s="32">
        <f>D275</f>
        <v>1</v>
      </c>
      <c r="E312" s="31" t="str">
        <f>E275</f>
        <v>coupe</v>
      </c>
      <c r="F312" s="33" t="str">
        <f>F275</f>
        <v>Recette mère ► MILLE-FEUILLE  aux fraises des bois</v>
      </c>
      <c r="G312" s="121" t="s">
        <v>155</v>
      </c>
      <c r="H312" s="121" t="s">
        <v>156</v>
      </c>
      <c r="I312" s="143" t="s">
        <v>141</v>
      </c>
      <c r="J312" s="121" t="s">
        <v>110</v>
      </c>
      <c r="K312" s="121" t="s">
        <v>157</v>
      </c>
      <c r="L312" s="121" t="s">
        <v>158</v>
      </c>
      <c r="M312" s="143" t="s">
        <v>141</v>
      </c>
      <c r="N312" s="125" t="s">
        <v>115</v>
      </c>
      <c r="O312" s="155" t="s">
        <v>159</v>
      </c>
      <c r="P312" s="155" t="s">
        <v>160</v>
      </c>
      <c r="Q312" s="109" t="s">
        <v>161</v>
      </c>
      <c r="R312" s="109" t="s">
        <v>162</v>
      </c>
      <c r="S312" s="109" t="s">
        <v>105</v>
      </c>
      <c r="T312" s="1758" t="s">
        <v>1689</v>
      </c>
      <c r="U312" s="697" t="s">
        <v>163</v>
      </c>
      <c r="W312" s="25" t="s">
        <v>10</v>
      </c>
      <c r="X312" s="31" t="str">
        <f>X275</f>
        <v>N NAME OF YOUR RECIPE | paste it — FAMILY|  Author &gt; YOU</v>
      </c>
      <c r="Y312" s="32">
        <f>Y275</f>
        <v>1</v>
      </c>
      <c r="Z312" s="31" t="str">
        <f>Z275</f>
        <v>coupe</v>
      </c>
      <c r="AA312" s="33" t="str">
        <f>AA275</f>
        <v>Master recipe ► MILLE-FEUILLE  aux fraises des bois</v>
      </c>
      <c r="AB312" s="121" t="s">
        <v>155</v>
      </c>
      <c r="AC312" s="121" t="s">
        <v>1326</v>
      </c>
      <c r="AD312" s="143" t="s">
        <v>1327</v>
      </c>
      <c r="AE312" s="121" t="s">
        <v>1328</v>
      </c>
      <c r="AF312" s="121" t="s">
        <v>1329</v>
      </c>
      <c r="AG312" s="121" t="s">
        <v>1343</v>
      </c>
      <c r="AH312" s="143" t="s">
        <v>141</v>
      </c>
      <c r="AI312" s="155" t="s">
        <v>1330</v>
      </c>
      <c r="AJ312" s="155" t="s">
        <v>1331</v>
      </c>
      <c r="AK312" s="155"/>
      <c r="AL312" s="155" t="s">
        <v>1332</v>
      </c>
      <c r="AM312" s="109" t="s">
        <v>1333</v>
      </c>
      <c r="AN312" s="109" t="s">
        <v>1334</v>
      </c>
      <c r="AO312" s="109" t="s">
        <v>1335</v>
      </c>
      <c r="AP312" s="697" t="s">
        <v>1689</v>
      </c>
      <c r="AR312" s="25" t="s">
        <v>10</v>
      </c>
      <c r="AS312" s="31" t="str">
        <f>AS275</f>
        <v>N NOMBRE DE SU RECETA | pegue esto — FAMILIA| Auteur &gt; VOUS</v>
      </c>
      <c r="AT312" s="32">
        <f>AT275</f>
        <v>1</v>
      </c>
      <c r="AU312" s="31" t="str">
        <f>AU275</f>
        <v>coupe</v>
      </c>
      <c r="AV312" s="33" t="str">
        <f>AV275</f>
        <v>Receta madre ► MILLE-FEUILLE  aux fraises des bois</v>
      </c>
      <c r="AW312" s="121" t="s">
        <v>1307</v>
      </c>
      <c r="AX312" s="121" t="s">
        <v>1308</v>
      </c>
      <c r="AY312" s="143" t="s">
        <v>1309</v>
      </c>
      <c r="AZ312" s="121" t="s">
        <v>1310</v>
      </c>
      <c r="BA312" s="121" t="s">
        <v>1311</v>
      </c>
      <c r="BB312" s="121" t="s">
        <v>1312</v>
      </c>
      <c r="BC312" s="143" t="s">
        <v>141</v>
      </c>
      <c r="BD312" s="125" t="s">
        <v>1313</v>
      </c>
      <c r="BE312" s="155" t="s">
        <v>1314</v>
      </c>
      <c r="BF312" s="155" t="s">
        <v>1315</v>
      </c>
      <c r="BG312" s="109" t="s">
        <v>1316</v>
      </c>
      <c r="BH312" s="109" t="s">
        <v>1317</v>
      </c>
      <c r="BI312" s="109" t="s">
        <v>1318</v>
      </c>
      <c r="BJ312" s="697" t="s">
        <v>1689</v>
      </c>
      <c r="BK312" s="697" t="s">
        <v>1319</v>
      </c>
      <c r="BM312" s="3">
        <v>1</v>
      </c>
    </row>
    <row r="313" spans="2:65" ht="21" customHeight="1">
      <c r="B313" s="25" t="s">
        <v>10</v>
      </c>
      <c r="C313" s="31" t="str">
        <f>C275</f>
        <v>N NOM DE VOTRE RECETTE | collez la--FAMILLE| Auteur &gt; VOUS</v>
      </c>
      <c r="D313" s="32">
        <f>D275</f>
        <v>1</v>
      </c>
      <c r="E313" s="31" t="str">
        <f>E275</f>
        <v>coupe</v>
      </c>
      <c r="F313" s="33" t="str">
        <f>F275</f>
        <v>Recette mère ► MILLE-FEUILLE  aux fraises des bois</v>
      </c>
      <c r="G313" s="690">
        <v>2.835E-2</v>
      </c>
      <c r="H313" s="691">
        <v>0.13</v>
      </c>
      <c r="I313" s="692">
        <v>0</v>
      </c>
      <c r="J313" s="691">
        <v>0.2</v>
      </c>
      <c r="K313" s="691">
        <v>0.23</v>
      </c>
      <c r="L313" s="691">
        <v>0.22500000000000001</v>
      </c>
      <c r="M313" s="692">
        <v>0</v>
      </c>
      <c r="N313" s="1882">
        <v>0.35</v>
      </c>
      <c r="O313" s="1882">
        <v>5.0000000000000001E-3</v>
      </c>
      <c r="P313" s="1882">
        <v>5.0000000000000001E-3</v>
      </c>
      <c r="Q313" s="1882">
        <v>1.4999999999999999E-2</v>
      </c>
      <c r="R313" s="1882">
        <v>0.1</v>
      </c>
      <c r="S313" s="1882">
        <v>0.22500000000000001</v>
      </c>
      <c r="T313" s="1882">
        <v>4.0000000000000001E-3</v>
      </c>
      <c r="U313" s="1985">
        <v>1E-3</v>
      </c>
      <c r="W313" s="25" t="s">
        <v>10</v>
      </c>
      <c r="X313" s="31" t="str">
        <f>X275</f>
        <v>N NAME OF YOUR RECIPE | paste it — FAMILY|  Author &gt; YOU</v>
      </c>
      <c r="Y313" s="32">
        <f>Y275</f>
        <v>1</v>
      </c>
      <c r="Z313" s="31" t="str">
        <f>Z275</f>
        <v>coupe</v>
      </c>
      <c r="AA313" s="33" t="str">
        <f>AA275</f>
        <v>Master recipe ► MILLE-FEUILLE  aux fraises des bois</v>
      </c>
      <c r="AB313" s="690">
        <v>2.835E-2</v>
      </c>
      <c r="AC313" s="691">
        <v>0.13</v>
      </c>
      <c r="AD313" s="692">
        <v>0</v>
      </c>
      <c r="AE313" s="691">
        <v>0.2</v>
      </c>
      <c r="AF313" s="691">
        <v>0.23</v>
      </c>
      <c r="AG313" s="691">
        <v>0.22500000000000001</v>
      </c>
      <c r="AH313" s="692">
        <v>0</v>
      </c>
      <c r="AI313" s="688">
        <v>0.35</v>
      </c>
      <c r="AJ313" s="688">
        <v>5.0000000000000001E-3</v>
      </c>
      <c r="AK313" s="688"/>
      <c r="AL313" s="688">
        <v>5.0000000000000001E-3</v>
      </c>
      <c r="AM313" s="688">
        <v>1.4999999999999999E-2</v>
      </c>
      <c r="AN313" s="688">
        <v>0.1</v>
      </c>
      <c r="AO313" s="688">
        <v>0.22500000000000001</v>
      </c>
      <c r="AP313" s="688">
        <v>4.0000000000000001E-3</v>
      </c>
      <c r="AR313" s="25" t="s">
        <v>10</v>
      </c>
      <c r="AS313" s="31" t="str">
        <f>AS275</f>
        <v>N NOMBRE DE SU RECETA | pegue esto — FAMILIA| Auteur &gt; VOUS</v>
      </c>
      <c r="AT313" s="32">
        <f>AT275</f>
        <v>1</v>
      </c>
      <c r="AU313" s="31" t="str">
        <f>AU275</f>
        <v>coupe</v>
      </c>
      <c r="AV313" s="33" t="str">
        <f>AV275</f>
        <v>Receta madre ► MILLE-FEUILLE  aux fraises des bois</v>
      </c>
      <c r="AW313" s="690">
        <v>2.835E-2</v>
      </c>
      <c r="AX313" s="691">
        <v>0.13</v>
      </c>
      <c r="AY313" s="692">
        <v>0</v>
      </c>
      <c r="AZ313" s="691">
        <v>0.2</v>
      </c>
      <c r="BA313" s="691">
        <v>0.23</v>
      </c>
      <c r="BB313" s="691">
        <v>0.22500000000000001</v>
      </c>
      <c r="BC313" s="687">
        <v>0</v>
      </c>
      <c r="BD313" s="688">
        <v>0.35</v>
      </c>
      <c r="BE313" s="688">
        <v>5.0000000000000001E-3</v>
      </c>
      <c r="BF313" s="688">
        <v>5.0000000000000001E-3</v>
      </c>
      <c r="BG313" s="688">
        <v>1.4999999999999999E-2</v>
      </c>
      <c r="BH313" s="688">
        <v>0.1</v>
      </c>
      <c r="BI313" s="688">
        <v>0.22500000000000001</v>
      </c>
      <c r="BJ313" s="688">
        <v>4.0000000000000001E-3</v>
      </c>
      <c r="BK313" s="1757">
        <v>1E-3</v>
      </c>
      <c r="BM313" s="3">
        <v>1</v>
      </c>
    </row>
    <row r="314" spans="2:65" ht="21" customHeight="1">
      <c r="B314" s="25" t="s">
        <v>15</v>
      </c>
      <c r="C314" s="5563" t="str">
        <f t="shared" ref="C314:U314" si="76">SUBSTITUTE(ADDRESS(1,COLUMN(),4),"1","")</f>
        <v>C</v>
      </c>
      <c r="D314" s="5563" t="str">
        <f t="shared" si="76"/>
        <v>D</v>
      </c>
      <c r="E314" s="5563" t="str">
        <f t="shared" si="76"/>
        <v>E</v>
      </c>
      <c r="F314" s="5563" t="str">
        <f t="shared" si="76"/>
        <v>F</v>
      </c>
      <c r="G314" s="5563" t="str">
        <f t="shared" si="76"/>
        <v>G</v>
      </c>
      <c r="H314" s="5563" t="str">
        <f t="shared" si="76"/>
        <v>H</v>
      </c>
      <c r="I314" s="5563" t="str">
        <f t="shared" si="76"/>
        <v>I</v>
      </c>
      <c r="J314" s="5563" t="str">
        <f t="shared" si="76"/>
        <v>J</v>
      </c>
      <c r="K314" s="5563" t="str">
        <f t="shared" si="76"/>
        <v>K</v>
      </c>
      <c r="L314" s="5563" t="str">
        <f t="shared" si="76"/>
        <v>L</v>
      </c>
      <c r="M314" s="5603" t="str">
        <f t="shared" si="76"/>
        <v>M</v>
      </c>
      <c r="N314" s="5563" t="str">
        <f t="shared" si="76"/>
        <v>N</v>
      </c>
      <c r="O314" s="5563" t="str">
        <f t="shared" si="76"/>
        <v>O</v>
      </c>
      <c r="P314" s="5563" t="str">
        <f t="shared" si="76"/>
        <v>P</v>
      </c>
      <c r="Q314" s="5563" t="str">
        <f t="shared" si="76"/>
        <v>Q</v>
      </c>
      <c r="R314" s="6003" t="str">
        <f t="shared" si="76"/>
        <v>R</v>
      </c>
      <c r="S314" s="5563" t="str">
        <f t="shared" si="76"/>
        <v>S</v>
      </c>
      <c r="T314" s="5563" t="str">
        <f t="shared" si="76"/>
        <v>T</v>
      </c>
      <c r="U314" s="6002" t="str">
        <f t="shared" si="76"/>
        <v>U</v>
      </c>
      <c r="V314" s="6628" t="s">
        <v>8774</v>
      </c>
      <c r="W314" s="25" t="s">
        <v>15</v>
      </c>
      <c r="X314" s="5563" t="str">
        <f t="shared" ref="X314:AP314" si="77">SUBSTITUTE(ADDRESS(1,COLUMN(),4),"1","")</f>
        <v>X</v>
      </c>
      <c r="Y314" s="5563" t="str">
        <f t="shared" si="77"/>
        <v>Y</v>
      </c>
      <c r="Z314" s="5563" t="str">
        <f t="shared" si="77"/>
        <v>Z</v>
      </c>
      <c r="AA314" s="5563" t="str">
        <f t="shared" si="77"/>
        <v>AA</v>
      </c>
      <c r="AB314" s="5563" t="str">
        <f t="shared" si="77"/>
        <v>AB</v>
      </c>
      <c r="AC314" s="5563" t="str">
        <f t="shared" si="77"/>
        <v>AC</v>
      </c>
      <c r="AD314" s="5563" t="str">
        <f t="shared" si="77"/>
        <v>AD</v>
      </c>
      <c r="AE314" s="5563" t="str">
        <f t="shared" si="77"/>
        <v>AE</v>
      </c>
      <c r="AF314" s="5563" t="str">
        <f t="shared" si="77"/>
        <v>AF</v>
      </c>
      <c r="AG314" s="5563" t="str">
        <f t="shared" si="77"/>
        <v>AG</v>
      </c>
      <c r="AH314" s="5603" t="str">
        <f t="shared" si="77"/>
        <v>AH</v>
      </c>
      <c r="AI314" s="5563" t="str">
        <f t="shared" si="77"/>
        <v>AI</v>
      </c>
      <c r="AJ314" s="5563" t="str">
        <f t="shared" si="77"/>
        <v>AJ</v>
      </c>
      <c r="AK314" s="5563" t="str">
        <f t="shared" si="77"/>
        <v>AK</v>
      </c>
      <c r="AL314" s="5563" t="str">
        <f t="shared" si="77"/>
        <v>AL</v>
      </c>
      <c r="AM314" s="6003" t="str">
        <f t="shared" si="77"/>
        <v>AM</v>
      </c>
      <c r="AN314" s="5563" t="str">
        <f t="shared" si="77"/>
        <v>AN</v>
      </c>
      <c r="AO314" s="5563" t="str">
        <f t="shared" si="77"/>
        <v>AO</v>
      </c>
      <c r="AP314" s="6002" t="str">
        <f t="shared" si="77"/>
        <v>AP</v>
      </c>
      <c r="AQ314" s="6628" t="s">
        <v>8775</v>
      </c>
      <c r="AR314" s="25" t="s">
        <v>15</v>
      </c>
      <c r="AS314" s="5563" t="str">
        <f t="shared" ref="AS314:BK314" si="78">SUBSTITUTE(ADDRESS(1,COLUMN(),4),"1","")</f>
        <v>AS</v>
      </c>
      <c r="AT314" s="5563" t="str">
        <f t="shared" si="78"/>
        <v>AT</v>
      </c>
      <c r="AU314" s="5563" t="str">
        <f t="shared" si="78"/>
        <v>AU</v>
      </c>
      <c r="AV314" s="5563" t="str">
        <f t="shared" si="78"/>
        <v>AV</v>
      </c>
      <c r="AW314" s="5563" t="str">
        <f t="shared" si="78"/>
        <v>AW</v>
      </c>
      <c r="AX314" s="5563" t="str">
        <f t="shared" si="78"/>
        <v>AX</v>
      </c>
      <c r="AY314" s="5563" t="str">
        <f t="shared" si="78"/>
        <v>AY</v>
      </c>
      <c r="AZ314" s="5563" t="str">
        <f t="shared" si="78"/>
        <v>AZ</v>
      </c>
      <c r="BA314" s="5563" t="str">
        <f t="shared" si="78"/>
        <v>BA</v>
      </c>
      <c r="BB314" s="5563" t="str">
        <f t="shared" si="78"/>
        <v>BB</v>
      </c>
      <c r="BC314" s="5603" t="str">
        <f t="shared" si="78"/>
        <v>BC</v>
      </c>
      <c r="BD314" s="5563" t="str">
        <f t="shared" si="78"/>
        <v>BD</v>
      </c>
      <c r="BE314" s="5563" t="str">
        <f t="shared" si="78"/>
        <v>BE</v>
      </c>
      <c r="BF314" s="5563" t="str">
        <f t="shared" si="78"/>
        <v>BF</v>
      </c>
      <c r="BG314" s="5563" t="str">
        <f t="shared" si="78"/>
        <v>BG</v>
      </c>
      <c r="BH314" s="6003" t="str">
        <f t="shared" si="78"/>
        <v>BH</v>
      </c>
      <c r="BI314" s="5563" t="str">
        <f t="shared" si="78"/>
        <v>BI</v>
      </c>
      <c r="BJ314" s="5563" t="str">
        <f t="shared" si="78"/>
        <v>BJ</v>
      </c>
      <c r="BK314" s="6002" t="str">
        <f t="shared" si="78"/>
        <v>BK</v>
      </c>
      <c r="BL314" s="6628" t="s">
        <v>8776</v>
      </c>
      <c r="BM314" s="3">
        <v>1</v>
      </c>
    </row>
    <row r="315" spans="2:65" ht="21" customHeight="1">
      <c r="B315" s="25" t="s">
        <v>10</v>
      </c>
      <c r="C315" s="5601">
        <f t="shared" ref="C315:U315" ca="1" si="79">CELL("largeur",C315)</f>
        <v>3</v>
      </c>
      <c r="D315" s="5601">
        <f t="shared" ca="1" si="79"/>
        <v>3</v>
      </c>
      <c r="E315" s="5601">
        <f t="shared" ca="1" si="79"/>
        <v>3</v>
      </c>
      <c r="F315" s="5601">
        <f t="shared" ca="1" si="79"/>
        <v>5</v>
      </c>
      <c r="G315" s="5601">
        <f t="shared" ca="1" si="79"/>
        <v>12</v>
      </c>
      <c r="H315" s="5601">
        <f t="shared" ca="1" si="79"/>
        <v>12</v>
      </c>
      <c r="I315" s="5601">
        <f t="shared" ca="1" si="79"/>
        <v>3</v>
      </c>
      <c r="J315" s="5601">
        <f t="shared" ca="1" si="79"/>
        <v>9</v>
      </c>
      <c r="K315" s="5601">
        <f t="shared" ca="1" si="79"/>
        <v>12</v>
      </c>
      <c r="L315" s="5601">
        <f t="shared" ca="1" si="79"/>
        <v>13</v>
      </c>
      <c r="M315" s="5604">
        <f t="shared" ca="1" si="79"/>
        <v>6</v>
      </c>
      <c r="N315" s="5602">
        <f t="shared" ca="1" si="79"/>
        <v>40</v>
      </c>
      <c r="O315" s="5602">
        <f t="shared" ca="1" si="79"/>
        <v>10</v>
      </c>
      <c r="P315" s="5602">
        <f t="shared" ca="1" si="79"/>
        <v>9</v>
      </c>
      <c r="Q315" s="5602">
        <f t="shared" ca="1" si="79"/>
        <v>18</v>
      </c>
      <c r="R315" s="5604">
        <f t="shared" ca="1" si="79"/>
        <v>13</v>
      </c>
      <c r="S315" s="5602">
        <f t="shared" ca="1" si="79"/>
        <v>13</v>
      </c>
      <c r="T315" s="5602">
        <f t="shared" ca="1" si="79"/>
        <v>13</v>
      </c>
      <c r="U315" s="6001">
        <f t="shared" ca="1" si="79"/>
        <v>17</v>
      </c>
      <c r="V315" s="6628"/>
      <c r="W315" s="25" t="s">
        <v>10</v>
      </c>
      <c r="X315" s="5601">
        <f t="shared" ref="X315:AP315" ca="1" si="80">CELL("largeur",X315)</f>
        <v>3</v>
      </c>
      <c r="Y315" s="5601">
        <f t="shared" ca="1" si="80"/>
        <v>3</v>
      </c>
      <c r="Z315" s="5601">
        <f t="shared" ca="1" si="80"/>
        <v>3</v>
      </c>
      <c r="AA315" s="5601">
        <f t="shared" ca="1" si="80"/>
        <v>5</v>
      </c>
      <c r="AB315" s="5601">
        <f t="shared" ca="1" si="80"/>
        <v>12</v>
      </c>
      <c r="AC315" s="5601">
        <f t="shared" ca="1" si="80"/>
        <v>12</v>
      </c>
      <c r="AD315" s="5601">
        <f t="shared" ca="1" si="80"/>
        <v>3</v>
      </c>
      <c r="AE315" s="5601">
        <f t="shared" ca="1" si="80"/>
        <v>9</v>
      </c>
      <c r="AF315" s="5601">
        <f t="shared" ca="1" si="80"/>
        <v>12</v>
      </c>
      <c r="AG315" s="5601">
        <f t="shared" ca="1" si="80"/>
        <v>13</v>
      </c>
      <c r="AH315" s="5604">
        <f t="shared" ca="1" si="80"/>
        <v>6</v>
      </c>
      <c r="AI315" s="5602">
        <f t="shared" ca="1" si="80"/>
        <v>40</v>
      </c>
      <c r="AJ315" s="5602">
        <f t="shared" ca="1" si="80"/>
        <v>10</v>
      </c>
      <c r="AK315" s="5602">
        <f t="shared" ca="1" si="80"/>
        <v>9</v>
      </c>
      <c r="AL315" s="5602">
        <f t="shared" ca="1" si="80"/>
        <v>18</v>
      </c>
      <c r="AM315" s="5604">
        <f t="shared" ca="1" si="80"/>
        <v>13</v>
      </c>
      <c r="AN315" s="5602">
        <f t="shared" ca="1" si="80"/>
        <v>13</v>
      </c>
      <c r="AO315" s="5602">
        <f t="shared" ca="1" si="80"/>
        <v>13</v>
      </c>
      <c r="AP315" s="6001">
        <f t="shared" ca="1" si="80"/>
        <v>17</v>
      </c>
      <c r="AQ315" s="6628"/>
      <c r="AR315" s="25" t="s">
        <v>10</v>
      </c>
      <c r="AS315" s="5601">
        <f t="shared" ref="AS315:BK315" ca="1" si="81">CELL("largeur",AS315)</f>
        <v>3</v>
      </c>
      <c r="AT315" s="5601">
        <f t="shared" ca="1" si="81"/>
        <v>3</v>
      </c>
      <c r="AU315" s="5601">
        <f t="shared" ca="1" si="81"/>
        <v>3</v>
      </c>
      <c r="AV315" s="5601">
        <f t="shared" ca="1" si="81"/>
        <v>5</v>
      </c>
      <c r="AW315" s="5601">
        <f t="shared" ca="1" si="81"/>
        <v>12</v>
      </c>
      <c r="AX315" s="5601">
        <f t="shared" ca="1" si="81"/>
        <v>12</v>
      </c>
      <c r="AY315" s="5601">
        <f t="shared" ca="1" si="81"/>
        <v>3</v>
      </c>
      <c r="AZ315" s="5601">
        <f t="shared" ca="1" si="81"/>
        <v>9</v>
      </c>
      <c r="BA315" s="5601">
        <f t="shared" ca="1" si="81"/>
        <v>12</v>
      </c>
      <c r="BB315" s="5601">
        <f t="shared" ca="1" si="81"/>
        <v>13</v>
      </c>
      <c r="BC315" s="5604">
        <f t="shared" ca="1" si="81"/>
        <v>6</v>
      </c>
      <c r="BD315" s="5602">
        <f t="shared" ca="1" si="81"/>
        <v>40</v>
      </c>
      <c r="BE315" s="5602">
        <f t="shared" ca="1" si="81"/>
        <v>10</v>
      </c>
      <c r="BF315" s="5602">
        <f t="shared" ca="1" si="81"/>
        <v>9</v>
      </c>
      <c r="BG315" s="5602">
        <f t="shared" ca="1" si="81"/>
        <v>18</v>
      </c>
      <c r="BH315" s="5604">
        <f t="shared" ca="1" si="81"/>
        <v>13</v>
      </c>
      <c r="BI315" s="5602">
        <f t="shared" ca="1" si="81"/>
        <v>13</v>
      </c>
      <c r="BJ315" s="5602">
        <f t="shared" ca="1" si="81"/>
        <v>13</v>
      </c>
      <c r="BK315" s="6001">
        <f t="shared" ca="1" si="81"/>
        <v>17</v>
      </c>
      <c r="BL315" s="6628"/>
      <c r="BM315" s="3">
        <v>1</v>
      </c>
    </row>
    <row r="316" spans="2:65" ht="21" customHeight="1">
      <c r="B316" s="162" t="s">
        <v>10</v>
      </c>
      <c r="C316" s="1370" t="str">
        <f>C275</f>
        <v>N NOM DE VOTRE RECETTE | collez la--FAMILLE| Auteur &gt; VOUS</v>
      </c>
      <c r="D316" s="1348">
        <f>D275</f>
        <v>1</v>
      </c>
      <c r="E316" s="1349" t="str">
        <f>E275</f>
        <v>coupe</v>
      </c>
      <c r="F316" s="1350" t="str">
        <f>F275</f>
        <v>Recette mère ► MILLE-FEUILLE  aux fraises des bois</v>
      </c>
      <c r="G316" s="6039" t="str">
        <f ca="1">"Phases de progression largeur &gt; "&amp;SUM(M315:U315)</f>
        <v>Phases de progression largeur &gt; 139</v>
      </c>
      <c r="H316" s="6038"/>
      <c r="I316" s="1986"/>
      <c r="J316" s="1986"/>
      <c r="K316" s="1986"/>
      <c r="L316" s="1987" t="s">
        <v>8145</v>
      </c>
      <c r="M316" s="1988" t="s">
        <v>821</v>
      </c>
      <c r="N316" s="1941"/>
      <c r="O316" s="5999" t="str">
        <f ca="1">"largeur mini  = "&amp;SUM(M315:R315)</f>
        <v>largeur mini  = 96</v>
      </c>
      <c r="P316" s="6000" t="str">
        <f ca="1">"largeur maxi  = "&amp;SUM(M315:U315)</f>
        <v>largeur maxi  = 139</v>
      </c>
      <c r="Q316" s="1942"/>
      <c r="R316" s="1942"/>
      <c r="S316" s="1989"/>
      <c r="T316" s="1989"/>
      <c r="U316" s="1990" t="s">
        <v>218</v>
      </c>
      <c r="W316" s="162" t="s">
        <v>10</v>
      </c>
      <c r="X316" s="1370" t="str">
        <f>X275</f>
        <v>N NAME OF YOUR RECIPE | paste it — FAMILY|  Author &gt; YOU</v>
      </c>
      <c r="Y316" s="1348">
        <f>Y275</f>
        <v>1</v>
      </c>
      <c r="Z316" s="1349" t="str">
        <f>Z275</f>
        <v>coupe</v>
      </c>
      <c r="AA316" s="1350" t="str">
        <f>AA275</f>
        <v>Master recipe ► MILLE-FEUILLE  aux fraises des bois</v>
      </c>
      <c r="AB316" s="6039" t="str">
        <f ca="1">"Phases of progression Width &gt; "&amp;SUM(AH315:AP315)</f>
        <v>Phases of progression Width &gt; 139</v>
      </c>
      <c r="AC316" s="6038"/>
      <c r="AD316" s="1986"/>
      <c r="AE316" s="1986"/>
      <c r="AF316" s="1986"/>
      <c r="AG316" s="1987" t="s">
        <v>8216</v>
      </c>
      <c r="AH316" s="1988" t="s">
        <v>860</v>
      </c>
      <c r="AI316" s="1941"/>
      <c r="AJ316" s="5999" t="str">
        <f ca="1">"minimum width  = "&amp;SUM(AH315:AM315)</f>
        <v>minimum width  = 96</v>
      </c>
      <c r="AK316" s="6000" t="str">
        <f ca="1">"maximum width  = "&amp;SUM(AH315:AP315)</f>
        <v>maximum width  = 139</v>
      </c>
      <c r="AL316" s="1942"/>
      <c r="AM316" s="1942"/>
      <c r="AN316" s="1989"/>
      <c r="AO316" s="1989"/>
      <c r="AP316" s="1990" t="s">
        <v>1399</v>
      </c>
      <c r="AR316" s="162" t="s">
        <v>10</v>
      </c>
      <c r="AS316" s="1370" t="str">
        <f>AS275</f>
        <v>N NOMBRE DE SU RECETA | pegue esto — FAMILIA| Auteur &gt; VOUS</v>
      </c>
      <c r="AT316" s="1348">
        <f>AT275</f>
        <v>1</v>
      </c>
      <c r="AU316" s="1349" t="str">
        <f>AU275</f>
        <v>coupe</v>
      </c>
      <c r="AV316" s="1350" t="str">
        <f>AV275</f>
        <v>Receta madre ► MILLE-FEUILLE  aux fraises des bois</v>
      </c>
      <c r="AW316" s="6039" t="str">
        <f ca="1">"Fases de progresion Ancho &gt; "&amp;SUM(BC315:BK315)</f>
        <v>Fases de progresion Ancho &gt; 139</v>
      </c>
      <c r="AX316" s="6038"/>
      <c r="AY316" s="1371"/>
      <c r="AZ316" s="1371"/>
      <c r="BA316" s="1371"/>
      <c r="BB316" s="1372" t="s">
        <v>8217</v>
      </c>
      <c r="BC316" s="5605" t="s">
        <v>874</v>
      </c>
      <c r="BD316" s="1941"/>
      <c r="BE316" s="5999" t="str">
        <f ca="1">"anchura mínima  = "&amp;SUM(BC315:BH315)</f>
        <v>anchura mínima  = 96</v>
      </c>
      <c r="BF316" s="6000" t="str">
        <f ca="1">"anchura máxima  = "&amp;SUM(BC315:BK315)</f>
        <v>anchura máxima  = 139</v>
      </c>
      <c r="BG316" s="1942"/>
      <c r="BH316" s="1942"/>
      <c r="BI316" s="1989"/>
      <c r="BJ316" s="1989"/>
      <c r="BK316" s="2103" t="s">
        <v>726</v>
      </c>
      <c r="BM316" s="3">
        <v>1</v>
      </c>
    </row>
    <row r="317" spans="2:65" ht="21" customHeight="1">
      <c r="B317" s="162" t="s">
        <v>10</v>
      </c>
      <c r="C317" s="163" t="str">
        <f>C275</f>
        <v>N NOM DE VOTRE RECETTE | collez la--FAMILLE| Auteur &gt; VOUS</v>
      </c>
      <c r="D317" s="163">
        <f>D275</f>
        <v>1</v>
      </c>
      <c r="E317" s="164" t="str">
        <f>E275</f>
        <v>coupe</v>
      </c>
      <c r="F317" s="165" t="str">
        <f>F275</f>
        <v>Recette mère ► MILLE-FEUILLE  aux fraises des bois</v>
      </c>
      <c r="G317" s="508"/>
      <c r="H317" s="508"/>
      <c r="I317" s="2063"/>
      <c r="J317" s="2064" t="s">
        <v>8860</v>
      </c>
      <c r="K317" s="2065">
        <f ca="1">SUM(M315:U315)</f>
        <v>139</v>
      </c>
      <c r="L317" s="1374">
        <v>0</v>
      </c>
      <c r="M317" s="1375" t="s">
        <v>8146</v>
      </c>
      <c r="N317" s="1810"/>
      <c r="O317" s="1810"/>
      <c r="P317" s="1810"/>
      <c r="Q317" s="1810"/>
      <c r="R317" s="1810"/>
      <c r="S317" s="9"/>
      <c r="T317" s="5993" t="s">
        <v>164</v>
      </c>
      <c r="U317" s="1330" t="s">
        <v>165</v>
      </c>
      <c r="V317" s="2190">
        <v>1</v>
      </c>
      <c r="W317" s="162" t="s">
        <v>10</v>
      </c>
      <c r="X317" s="163" t="str">
        <f>X275</f>
        <v>N NAME OF YOUR RECIPE | paste it — FAMILY|  Author &gt; YOU</v>
      </c>
      <c r="Y317" s="163">
        <f>Y275</f>
        <v>1</v>
      </c>
      <c r="Z317" s="164" t="str">
        <f>Z275</f>
        <v>coupe</v>
      </c>
      <c r="AA317" s="165" t="str">
        <f>AA275</f>
        <v>Master recipe ► MILLE-FEUILLE  aux fraises des bois</v>
      </c>
      <c r="AB317" s="508"/>
      <c r="AC317" s="508"/>
      <c r="AD317" s="2063"/>
      <c r="AE317" s="2064" t="s">
        <v>8862</v>
      </c>
      <c r="AF317" s="2065">
        <f ca="1">SUM(AH315:AP315)</f>
        <v>139</v>
      </c>
      <c r="AG317" s="1374">
        <v>0</v>
      </c>
      <c r="AH317" s="1375" t="s">
        <v>8194</v>
      </c>
      <c r="AI317" s="1810"/>
      <c r="AJ317" s="1810"/>
      <c r="AK317" s="1810"/>
      <c r="AL317" s="1810"/>
      <c r="AM317" s="1810"/>
      <c r="AN317" s="9"/>
      <c r="AO317" s="5993" t="s">
        <v>859</v>
      </c>
      <c r="AP317" s="1330" t="s">
        <v>165</v>
      </c>
      <c r="AR317" s="162" t="s">
        <v>10</v>
      </c>
      <c r="AS317" s="163" t="str">
        <f>AS275</f>
        <v>N NOMBRE DE SU RECETA | pegue esto — FAMILIA| Auteur &gt; VOUS</v>
      </c>
      <c r="AT317" s="163">
        <f>AT275</f>
        <v>1</v>
      </c>
      <c r="AU317" s="164" t="str">
        <f>AU275</f>
        <v>coupe</v>
      </c>
      <c r="AV317" s="165" t="str">
        <f>AV275</f>
        <v>Receta madre ► MILLE-FEUILLE  aux fraises des bois</v>
      </c>
      <c r="AW317" s="508"/>
      <c r="AX317" s="508"/>
      <c r="AY317" s="2063"/>
      <c r="AZ317" s="2127" t="s">
        <v>8861</v>
      </c>
      <c r="BA317" s="2065">
        <f ca="1">SUM(BC315:BK315)</f>
        <v>139</v>
      </c>
      <c r="BB317" s="1374">
        <v>0</v>
      </c>
      <c r="BC317" s="1375" t="s">
        <v>8193</v>
      </c>
      <c r="BD317" s="1810"/>
      <c r="BE317" s="1329"/>
      <c r="BF317" s="1810"/>
      <c r="BG317" s="9"/>
      <c r="BH317" s="9"/>
      <c r="BI317" s="9"/>
      <c r="BJ317" s="5993" t="s">
        <v>873</v>
      </c>
      <c r="BK317" s="1330" t="s">
        <v>165</v>
      </c>
      <c r="BM317" s="3">
        <v>1</v>
      </c>
    </row>
    <row r="318" spans="2:65" ht="21" customHeight="1">
      <c r="B318" s="162" t="s">
        <v>10</v>
      </c>
      <c r="C318" s="163" t="str">
        <f>C275</f>
        <v>N NOM DE VOTRE RECETTE | collez la--FAMILLE| Auteur &gt; VOUS</v>
      </c>
      <c r="D318" s="163">
        <f>D275</f>
        <v>1</v>
      </c>
      <c r="E318" s="164" t="str">
        <f>E275</f>
        <v>coupe</v>
      </c>
      <c r="F318" s="165" t="str">
        <f>F275</f>
        <v>Recette mère ► MILLE-FEUILLE  aux fraises des bois</v>
      </c>
      <c r="G318" s="1548"/>
      <c r="H318" s="2189" t="s">
        <v>8771</v>
      </c>
      <c r="I318" s="2190">
        <f>ROWS(M318:M318)</f>
        <v>1</v>
      </c>
      <c r="J318" s="5549" t="str" cm="1">
        <f t="array" ref="J318">IF(SUMPRODUCT((M318:R318&lt;&gt;"")*1)=0,"",SUMPRODUCT((M318:R318&lt;&gt;"")*(LEN(TRIM(SUBSTITUTE(M318:R318,CHAR(160)," "))) - LEN(SUBSTITUTE(TRIM(SUBSTITUTE(M318:R318,CHAR(160)," "))," ","")) + 1)) &amp; " mot" &amp; IF(SUMPRODUCT((M318:R318&lt;&gt;"")*(LEN(TRIM(SUBSTITUTE(M318:R318,CHAR(160)," "))) - LEN(SUBSTITUTE(TRIM(SUBSTITUTE(M318:R318,CHAR(160)," "))," ","")) + 1))&gt;1,"s",""))</f>
        <v>7 mots</v>
      </c>
      <c r="K318" s="5550" t="str" cm="1">
        <f t="array" ref="K318">SUMPRODUCT(--(M318:R318&lt;&gt;""), LEN(TRIM(SUBSTITUTE(M318:R318, CHAR(160), "")))) &amp; " Car."</f>
        <v>30 Car.</v>
      </c>
      <c r="L318" s="1376" t="str">
        <f>IF(ISBLANK(M318),"",LARGE(L317:L317,1)+1)</f>
        <v/>
      </c>
      <c r="M318" s="1810"/>
      <c r="N318" s="1810" t="s">
        <v>8410</v>
      </c>
      <c r="O318" s="1810"/>
      <c r="P318" s="1810"/>
      <c r="Q318" s="1810"/>
      <c r="R318" s="1810"/>
      <c r="S318" s="9"/>
      <c r="T318" s="5993" t="s">
        <v>167</v>
      </c>
      <c r="U318" s="1330" t="s">
        <v>165</v>
      </c>
      <c r="V318" s="2190">
        <v>2</v>
      </c>
      <c r="W318" s="162" t="s">
        <v>10</v>
      </c>
      <c r="X318" s="163" t="str">
        <f>X275</f>
        <v>N NAME OF YOUR RECIPE | paste it — FAMILY|  Author &gt; YOU</v>
      </c>
      <c r="Y318" s="163">
        <f>Y275</f>
        <v>1</v>
      </c>
      <c r="Z318" s="164" t="str">
        <f>Z275</f>
        <v>coupe</v>
      </c>
      <c r="AA318" s="165" t="str">
        <f>AA275</f>
        <v>Master recipe ► MILLE-FEUILLE  aux fraises des bois</v>
      </c>
      <c r="AB318" s="1548"/>
      <c r="AC318" s="2189" t="s">
        <v>8772</v>
      </c>
      <c r="AD318" s="2190">
        <f>ROWS(AH318:AH318)</f>
        <v>1</v>
      </c>
      <c r="AE318" s="5549" t="str" cm="1">
        <f t="array" ref="AE318">IF(SUMPRODUCT((AH318:AM318&lt;&gt;"")*1)=0,"",SUMPRODUCT((AH318:AM318&lt;&gt;"")*(LEN(TRIM(SUBSTITUTE(AH318:AM318,CHAR(160)," "))) - LEN(SUBSTITUTE(TRIM(SUBSTITUTE(AH318:AM318,CHAR(160)," "))," ","")) + 1)) &amp; " word" &amp; IF(SUMPRODUCT((AH318:AM318&lt;&gt;"")*(LEN(TRIM(SUBSTITUTE(AH318:AM318,CHAR(160)," "))) - LEN(SUBSTITUTE(TRIM(SUBSTITUTE(AH318:AM318,CHAR(160)," "))," ","")) + 1))&gt;1,"s",""))</f>
        <v>8 words</v>
      </c>
      <c r="AF318" s="5550" t="str" cm="1">
        <f t="array" ref="AF318">SUMPRODUCT(--(AH318:AM318&lt;&gt;""), LEN(TRIM(SUBSTITUTE(AH318:AM318, CHAR(160), "")))) &amp; " Car."</f>
        <v>38 Car.</v>
      </c>
      <c r="AG318" s="1376" t="str">
        <f>IF(ISBLANK(AH318),"",LARGE(AG317:AG317,1)+1)</f>
        <v/>
      </c>
      <c r="AH318" s="1810"/>
      <c r="AI318" s="1810" t="s">
        <v>8580</v>
      </c>
      <c r="AJ318" s="1810"/>
      <c r="AK318" s="1810"/>
      <c r="AL318" s="1810"/>
      <c r="AM318" s="1810"/>
      <c r="AN318" s="9"/>
      <c r="AO318" s="5993" t="s">
        <v>861</v>
      </c>
      <c r="AP318" s="1330" t="s">
        <v>165</v>
      </c>
      <c r="AR318" s="162" t="s">
        <v>10</v>
      </c>
      <c r="AS318" s="163" t="str">
        <f>AS275</f>
        <v>N NOMBRE DE SU RECETA | pegue esto — FAMILIA| Auteur &gt; VOUS</v>
      </c>
      <c r="AT318" s="163">
        <f>AT275</f>
        <v>1</v>
      </c>
      <c r="AU318" s="164" t="str">
        <f>AU275</f>
        <v>coupe</v>
      </c>
      <c r="AV318" s="165" t="str">
        <f>AV275</f>
        <v>Receta madre ► MILLE-FEUILLE  aux fraises des bois</v>
      </c>
      <c r="AW318" s="1548"/>
      <c r="AX318" s="2189" t="s">
        <v>8773</v>
      </c>
      <c r="AY318" s="2190">
        <f>ROWS(BC318:BC318)</f>
        <v>1</v>
      </c>
      <c r="AZ318" s="5549" t="str" cm="1">
        <f t="array" ref="AZ318">IF(SUMPRODUCT((BC318:BH318&lt;&gt;"")*1)=0,"",SUMPRODUCT((BC318:BH318&lt;&gt;"")*(LEN(TRIM(SUBSTITUTE(BC318:BH318,CHAR(160)," "))) - LEN(SUBSTITUTE(TRIM(SUBSTITUTE(BC318:BH318,CHAR(160)," "))," ","")) + 1)) &amp; " palabra" &amp; IF(SUMPRODUCT((BC318:BH318&lt;&gt;"")*(LEN(TRIM(SUBSTITUTE(BC318:BH318,CHAR(160)," "))) - LEN(SUBSTITUTE(TRIM(SUBSTITUTE(BC318:BH318,CHAR(160)," "))," ","")) + 1))&gt;1,"s",""))</f>
        <v>7 palabras</v>
      </c>
      <c r="BA318" s="5550" t="str" cm="1">
        <f t="array" ref="BA318">SUMPRODUCT(--(BC318:BH318&lt;&gt;""), LEN(TRIM(SUBSTITUTE(BC318:BH318, CHAR(160), "")))) &amp; " Car."</f>
        <v>33 Car.</v>
      </c>
      <c r="BB318" s="1376" t="str">
        <f>IF(ISBLANK(BC318),"",LARGE(BB317:BB317,1)+1)</f>
        <v/>
      </c>
      <c r="BC318" s="1810"/>
      <c r="BD318" s="1810" t="s">
        <v>8585</v>
      </c>
      <c r="BE318" s="1810"/>
      <c r="BF318" s="1810"/>
      <c r="BG318" s="1810"/>
      <c r="BH318" s="1810"/>
      <c r="BI318" s="9"/>
      <c r="BJ318" s="5993" t="s">
        <v>875</v>
      </c>
      <c r="BK318" s="1330" t="s">
        <v>165</v>
      </c>
      <c r="BM318" s="3">
        <v>1</v>
      </c>
    </row>
    <row r="319" spans="2:65" ht="21" customHeight="1">
      <c r="B319" s="162" t="s">
        <v>10</v>
      </c>
      <c r="C319" s="163" t="str">
        <f>C275</f>
        <v>N NOM DE VOTRE RECETTE | collez la--FAMILLE| Auteur &gt; VOUS</v>
      </c>
      <c r="D319" s="163">
        <f>D275</f>
        <v>1</v>
      </c>
      <c r="E319" s="164" t="str">
        <f>E275</f>
        <v>coupe</v>
      </c>
      <c r="F319" s="165" t="str">
        <f>F275</f>
        <v>Recette mère ► MILLE-FEUILLE  aux fraises des bois</v>
      </c>
      <c r="G319" s="1548"/>
      <c r="H319" s="1548"/>
      <c r="I319" s="2190">
        <f>ROWS(M318:M319)</f>
        <v>2</v>
      </c>
      <c r="J319" s="5549" t="str" cm="1">
        <f t="array" ref="J319">IF(SUMPRODUCT((M319:R319&lt;&gt;"")*1)=0,"",SUMPRODUCT((M319:R319&lt;&gt;"")*(LEN(TRIM(SUBSTITUTE(M319:R319,CHAR(160)," "))) - LEN(SUBSTITUTE(TRIM(SUBSTITUTE(M319:R319,CHAR(160)," "))," ","")) + 1)) &amp; " mot" &amp; IF(SUMPRODUCT((M319:R319&lt;&gt;"")*(LEN(TRIM(SUBSTITUTE(M319:R319,CHAR(160)," "))) - LEN(SUBSTITUTE(TRIM(SUBSTITUTE(M319:R319,CHAR(160)," "))," ","")) + 1))&gt;1,"s",""))</f>
        <v>6 mots</v>
      </c>
      <c r="K319" s="5550" t="str" cm="1">
        <f t="array" ref="K319">SUMPRODUCT(--(M319:R319&lt;&gt;""), LEN(TRIM(SUBSTITUTE(M319:R319, CHAR(160), "")))) &amp; " Car."</f>
        <v>33 Car.</v>
      </c>
      <c r="L319" s="1376" t="str">
        <f>IF(ISBLANK(M319),"",LARGE(L317:L318,1)+1)</f>
        <v/>
      </c>
      <c r="M319" s="1810"/>
      <c r="N319" s="1810" t="s">
        <v>8408</v>
      </c>
      <c r="O319" s="1810"/>
      <c r="P319" s="1810"/>
      <c r="Q319" s="1810"/>
      <c r="R319" s="1810"/>
      <c r="S319" s="1810"/>
      <c r="T319" s="5994" t="s">
        <v>171</v>
      </c>
      <c r="U319" s="5564">
        <v>3.472222222222222E-3</v>
      </c>
      <c r="W319" s="162" t="s">
        <v>10</v>
      </c>
      <c r="X319" s="163" t="str">
        <f>X275</f>
        <v>N NAME OF YOUR RECIPE | paste it — FAMILY|  Author &gt; YOU</v>
      </c>
      <c r="Y319" s="163">
        <f>Y275</f>
        <v>1</v>
      </c>
      <c r="Z319" s="164" t="str">
        <f>Z275</f>
        <v>coupe</v>
      </c>
      <c r="AA319" s="165" t="str">
        <f>AA275</f>
        <v>Master recipe ► MILLE-FEUILLE  aux fraises des bois</v>
      </c>
      <c r="AB319" s="1548"/>
      <c r="AC319" s="1548"/>
      <c r="AD319" s="2190">
        <f>ROWS(AH318:AH319)</f>
        <v>2</v>
      </c>
      <c r="AE319" s="5549" t="str" cm="1">
        <f t="array" ref="AE319">IF(SUMPRODUCT((AH319:AM319&lt;&gt;"")*1)=0,"",SUMPRODUCT((AH319:AM319&lt;&gt;"")*(LEN(TRIM(SUBSTITUTE(AH319:AM319,CHAR(160)," "))) - LEN(SUBSTITUTE(TRIM(SUBSTITUTE(AH319:AM319,CHAR(160)," "))," ","")) + 1)) &amp; " word" &amp; IF(SUMPRODUCT((AH319:AM319&lt;&gt;"")*(LEN(TRIM(SUBSTITUTE(AH319:AM319,CHAR(160)," "))) - LEN(SUBSTITUTE(TRIM(SUBSTITUTE(AH319:AM319,CHAR(160)," "))," ","")) + 1))&gt;1,"s",""))</f>
        <v>6 words</v>
      </c>
      <c r="AF319" s="5550" t="str" cm="1">
        <f t="array" ref="AF319">SUMPRODUCT(--(AH319:AM319&lt;&gt;""), LEN(TRIM(SUBSTITUTE(AH319:AM319, CHAR(160), "")))) &amp; " Car."</f>
        <v>28 Car.</v>
      </c>
      <c r="AG319" s="1376" t="str">
        <f>IF(ISBLANK(AH319),"",LARGE(AG317:AG318,1)+1)</f>
        <v/>
      </c>
      <c r="AH319" s="1810"/>
      <c r="AI319" s="1810" t="s">
        <v>8581</v>
      </c>
      <c r="AJ319" s="1810"/>
      <c r="AK319" s="1810"/>
      <c r="AL319" s="1810"/>
      <c r="AM319" s="1810"/>
      <c r="AN319" s="1810"/>
      <c r="AO319" s="5994" t="s">
        <v>14172</v>
      </c>
      <c r="AP319" s="5564">
        <v>3.472222222222222E-3</v>
      </c>
      <c r="AR319" s="162" t="s">
        <v>10</v>
      </c>
      <c r="AS319" s="163" t="str">
        <f>AS275</f>
        <v>N NOMBRE DE SU RECETA | pegue esto — FAMILIA| Auteur &gt; VOUS</v>
      </c>
      <c r="AT319" s="163">
        <f>AT275</f>
        <v>1</v>
      </c>
      <c r="AU319" s="164" t="str">
        <f>AU275</f>
        <v>coupe</v>
      </c>
      <c r="AV319" s="165" t="str">
        <f>AV275</f>
        <v>Receta madre ► MILLE-FEUILLE  aux fraises des bois</v>
      </c>
      <c r="AW319" s="1548"/>
      <c r="AX319" s="1548"/>
      <c r="AY319" s="2190">
        <f>ROWS(BC318:BC319)</f>
        <v>2</v>
      </c>
      <c r="AZ319" s="5549" t="str" cm="1">
        <f t="array" ref="AZ319">IF(SUMPRODUCT((BC319:BH319&lt;&gt;"")*1)=0,"",SUMPRODUCT((BC319:BH319&lt;&gt;"")*(LEN(TRIM(SUBSTITUTE(BC319:BH319,CHAR(160)," "))) - LEN(SUBSTITUTE(TRIM(SUBSTITUTE(BC319:BH319,CHAR(160)," "))," ","")) + 1)) &amp; " palabra" &amp; IF(SUMPRODUCT((BC319:BH319&lt;&gt;"")*(LEN(TRIM(SUBSTITUTE(BC319:BH319,CHAR(160)," "))) - LEN(SUBSTITUTE(TRIM(SUBSTITUTE(BC319:BH319,CHAR(160)," "))," ","")) + 1))&gt;1,"s",""))</f>
        <v>6 palabras</v>
      </c>
      <c r="BA319" s="5550" t="str" cm="1">
        <f t="array" ref="BA319">SUMPRODUCT(--(BC319:BH319&lt;&gt;""), LEN(TRIM(SUBSTITUTE(BC319:BH319, CHAR(160), "")))) &amp; " Car."</f>
        <v>32 Car.</v>
      </c>
      <c r="BB319" s="1376" t="str">
        <f>IF(ISBLANK(BC319),"",LARGE(BB317:BB318,1)+1)</f>
        <v/>
      </c>
      <c r="BC319" s="1810"/>
      <c r="BD319" s="1810" t="s">
        <v>8586</v>
      </c>
      <c r="BE319" s="1810"/>
      <c r="BF319" s="1810"/>
      <c r="BG319" s="1810"/>
      <c r="BH319" s="1810"/>
      <c r="BI319" s="1810"/>
      <c r="BJ319" s="5994" t="s">
        <v>651</v>
      </c>
      <c r="BK319" s="5564">
        <v>3.472222222222222E-3</v>
      </c>
      <c r="BM319" s="3">
        <v>1</v>
      </c>
    </row>
    <row r="320" spans="2:65" ht="21" customHeight="1">
      <c r="B320" s="162" t="s">
        <v>10</v>
      </c>
      <c r="C320" s="163" t="str">
        <f>C275</f>
        <v>N NOM DE VOTRE RECETTE | collez la--FAMILLE| Auteur &gt; VOUS</v>
      </c>
      <c r="D320" s="163">
        <f>D275</f>
        <v>1</v>
      </c>
      <c r="E320" s="164" t="str">
        <f>E275</f>
        <v>coupe</v>
      </c>
      <c r="F320" s="165" t="str">
        <f>F275</f>
        <v>Recette mère ► MILLE-FEUILLE  aux fraises des bois</v>
      </c>
      <c r="G320" s="1548"/>
      <c r="H320" s="1548"/>
      <c r="I320" s="2190">
        <f>ROWS(M318:M320)</f>
        <v>3</v>
      </c>
      <c r="J320" s="5549" t="str" cm="1">
        <f t="array" ref="J320">IF(SUMPRODUCT((M320:R320&lt;&gt;"")*1)=0,"",SUMPRODUCT((M320:R320&lt;&gt;"")*(LEN(TRIM(SUBSTITUTE(M320:R320,CHAR(160)," "))) - LEN(SUBSTITUTE(TRIM(SUBSTITUTE(M320:R320,CHAR(160)," "))," ","")) + 1)) &amp; " mot" &amp; IF(SUMPRODUCT((M320:R320&lt;&gt;"")*(LEN(TRIM(SUBSTITUTE(M320:R320,CHAR(160)," "))) - LEN(SUBSTITUTE(TRIM(SUBSTITUTE(M320:R320,CHAR(160)," "))," ","")) + 1))&gt;1,"s",""))</f>
        <v>3 mots</v>
      </c>
      <c r="K320" s="5550" t="str" cm="1">
        <f t="array" ref="K320">SUMPRODUCT(--(M320:R320&lt;&gt;""), LEN(TRIM(SUBSTITUTE(M320:R320, CHAR(160), "")))) &amp; " Car."</f>
        <v>23 Car.</v>
      </c>
      <c r="L320" s="1376" t="str">
        <f>IF(ISBLANK(M320),"",LARGE(L317:L319,1)+1)</f>
        <v/>
      </c>
      <c r="M320" s="1810"/>
      <c r="N320" s="1810" t="s">
        <v>8409</v>
      </c>
      <c r="O320" s="1810"/>
      <c r="P320" s="1810"/>
      <c r="Q320" s="1810"/>
      <c r="R320" s="1810"/>
      <c r="S320" s="1810"/>
      <c r="T320" s="5994" t="s">
        <v>173</v>
      </c>
      <c r="U320" s="5565">
        <v>1.0416666666666666E-2</v>
      </c>
      <c r="W320" s="162" t="s">
        <v>10</v>
      </c>
      <c r="X320" s="163" t="str">
        <f>X275</f>
        <v>N NAME OF YOUR RECIPE | paste it — FAMILY|  Author &gt; YOU</v>
      </c>
      <c r="Y320" s="163">
        <f>Y275</f>
        <v>1</v>
      </c>
      <c r="Z320" s="164" t="str">
        <f>Z275</f>
        <v>coupe</v>
      </c>
      <c r="AA320" s="165" t="str">
        <f>AA275</f>
        <v>Master recipe ► MILLE-FEUILLE  aux fraises des bois</v>
      </c>
      <c r="AB320" s="1548"/>
      <c r="AC320" s="1548"/>
      <c r="AD320" s="2190">
        <f>ROWS(AH318:AH320)</f>
        <v>3</v>
      </c>
      <c r="AE320" s="5549" t="str" cm="1">
        <f t="array" ref="AE320">IF(SUMPRODUCT((AH320:AM320&lt;&gt;"")*1)=0,"",SUMPRODUCT((AH320:AM320&lt;&gt;"")*(LEN(TRIM(SUBSTITUTE(AH320:AM320,CHAR(160)," "))) - LEN(SUBSTITUTE(TRIM(SUBSTITUTE(AH320:AM320,CHAR(160)," "))," ","")) + 1)) &amp; " word" &amp; IF(SUMPRODUCT((AH320:AM320&lt;&gt;"")*(LEN(TRIM(SUBSTITUTE(AH320:AM320,CHAR(160)," "))) - LEN(SUBSTITUTE(TRIM(SUBSTITUTE(AH320:AM320,CHAR(160)," "))," ","")) + 1))&gt;1,"s",""))</f>
        <v>7 words</v>
      </c>
      <c r="AF320" s="5550" t="str" cm="1">
        <f t="array" ref="AF320">SUMPRODUCT(--(AH320:AM320&lt;&gt;""), LEN(TRIM(SUBSTITUTE(AH320:AM320, CHAR(160), "")))) &amp; " Car."</f>
        <v>22 Car.</v>
      </c>
      <c r="AG320" s="1376" t="str">
        <f>IF(ISBLANK(AH320),"",LARGE(AG317:AG319,1)+1)</f>
        <v/>
      </c>
      <c r="AH320" s="1810"/>
      <c r="AI320" s="1810" t="s">
        <v>8582</v>
      </c>
      <c r="AJ320" s="1810"/>
      <c r="AK320" s="1810"/>
      <c r="AL320" s="1810"/>
      <c r="AM320" s="1810"/>
      <c r="AN320" s="1810"/>
      <c r="AO320" s="5994" t="s">
        <v>655</v>
      </c>
      <c r="AP320" s="5565">
        <v>1.0416666666666666E-2</v>
      </c>
      <c r="AR320" s="162" t="s">
        <v>10</v>
      </c>
      <c r="AS320" s="163" t="str">
        <f>AS275</f>
        <v>N NOMBRE DE SU RECETA | pegue esto — FAMILIA| Auteur &gt; VOUS</v>
      </c>
      <c r="AT320" s="163">
        <f>AT275</f>
        <v>1</v>
      </c>
      <c r="AU320" s="164" t="str">
        <f>AU275</f>
        <v>coupe</v>
      </c>
      <c r="AV320" s="165" t="str">
        <f>AV275</f>
        <v>Receta madre ► MILLE-FEUILLE  aux fraises des bois</v>
      </c>
      <c r="AW320" s="1548"/>
      <c r="AX320" s="1548"/>
      <c r="AY320" s="2190">
        <f>ROWS(BC318:BC320)</f>
        <v>3</v>
      </c>
      <c r="AZ320" s="5549" t="str" cm="1">
        <f t="array" ref="AZ320">IF(SUMPRODUCT((BC320:BH320&lt;&gt;"")*1)=0,"",SUMPRODUCT((BC320:BH320&lt;&gt;"")*(LEN(TRIM(SUBSTITUTE(BC320:BH320,CHAR(160)," "))) - LEN(SUBSTITUTE(TRIM(SUBSTITUTE(BC320:BH320,CHAR(160)," "))," ","")) + 1)) &amp; " palabra" &amp; IF(SUMPRODUCT((BC320:BH320&lt;&gt;"")*(LEN(TRIM(SUBSTITUTE(BC320:BH320,CHAR(160)," "))) - LEN(SUBSTITUTE(TRIM(SUBSTITUTE(BC320:BH320,CHAR(160)," "))," ","")) + 1))&gt;1,"s",""))</f>
        <v>7 palabras</v>
      </c>
      <c r="BA320" s="5550" t="str" cm="1">
        <f t="array" ref="BA320">SUMPRODUCT(--(BC320:BH320&lt;&gt;""), LEN(TRIM(SUBSTITUTE(BC320:BH320, CHAR(160), "")))) &amp; " Car."</f>
        <v>25 Car.</v>
      </c>
      <c r="BB320" s="1376" t="str">
        <f>IF(ISBLANK(BC320),"",LARGE(BB317:BB319,1)+1)</f>
        <v/>
      </c>
      <c r="BC320" s="1810"/>
      <c r="BD320" s="1810" t="s">
        <v>8587</v>
      </c>
      <c r="BE320" s="1810"/>
      <c r="BF320" s="1810"/>
      <c r="BG320" s="1810"/>
      <c r="BH320" s="1810"/>
      <c r="BI320" s="1810"/>
      <c r="BJ320" s="5994" t="s">
        <v>656</v>
      </c>
      <c r="BK320" s="5565">
        <v>1.0416666666666666E-2</v>
      </c>
      <c r="BM320" s="3">
        <v>1</v>
      </c>
    </row>
    <row r="321" spans="2:65" ht="21" customHeight="1">
      <c r="B321" s="162" t="s">
        <v>10</v>
      </c>
      <c r="C321" s="163" t="str">
        <f>C275</f>
        <v>N NOM DE VOTRE RECETTE | collez la--FAMILLE| Auteur &gt; VOUS</v>
      </c>
      <c r="D321" s="163">
        <f>D275</f>
        <v>1</v>
      </c>
      <c r="E321" s="164" t="str">
        <f>E275</f>
        <v>coupe</v>
      </c>
      <c r="F321" s="165" t="str">
        <f>F275</f>
        <v>Recette mère ► MILLE-FEUILLE  aux fraises des bois</v>
      </c>
      <c r="G321" s="1548"/>
      <c r="H321" s="1548"/>
      <c r="I321" s="2190">
        <f>ROWS(M318:M321)</f>
        <v>4</v>
      </c>
      <c r="J321" s="5549" t="str" cm="1">
        <f t="array" ref="J321">IF(SUMPRODUCT((M321:R321&lt;&gt;"")*1)=0,"",SUMPRODUCT((M321:R321&lt;&gt;"")*(LEN(TRIM(SUBSTITUTE(M321:R321,CHAR(160)," "))) - LEN(SUBSTITUTE(TRIM(SUBSTITUTE(M321:R321,CHAR(160)," "))," ","")) + 1)) &amp; " mot" &amp; IF(SUMPRODUCT((M321:R321&lt;&gt;"")*(LEN(TRIM(SUBSTITUTE(M321:R321,CHAR(160)," "))) - LEN(SUBSTITUTE(TRIM(SUBSTITUTE(M321:R321,CHAR(160)," "))," ","")) + 1))&gt;1,"s",""))</f>
        <v/>
      </c>
      <c r="K321" s="5550" t="str" cm="1">
        <f t="array" ref="K321">SUMPRODUCT(--(M321:R321&lt;&gt;""), LEN(TRIM(SUBSTITUTE(M321:R321, CHAR(160), "")))) &amp; " Car."</f>
        <v>0 Car.</v>
      </c>
      <c r="L321" s="1376" t="str">
        <f>IF(ISBLANK(M321),"",LARGE(L317:L320,1)+1)</f>
        <v/>
      </c>
      <c r="M321" s="1810"/>
      <c r="N321" s="1833"/>
      <c r="O321" s="1810"/>
      <c r="P321" s="1810"/>
      <c r="Q321" s="1810"/>
      <c r="R321" s="1810"/>
      <c r="S321" s="1810"/>
      <c r="T321" s="5994" t="s">
        <v>181</v>
      </c>
      <c r="U321" s="178">
        <v>2.0833333333333332E-2</v>
      </c>
      <c r="W321" s="162" t="s">
        <v>10</v>
      </c>
      <c r="X321" s="163" t="str">
        <f>X275</f>
        <v>N NAME OF YOUR RECIPE | paste it — FAMILY|  Author &gt; YOU</v>
      </c>
      <c r="Y321" s="163">
        <f>Y275</f>
        <v>1</v>
      </c>
      <c r="Z321" s="164" t="str">
        <f>Z275</f>
        <v>coupe</v>
      </c>
      <c r="AA321" s="165" t="str">
        <f>AA275</f>
        <v>Master recipe ► MILLE-FEUILLE  aux fraises des bois</v>
      </c>
      <c r="AB321" s="1548"/>
      <c r="AC321" s="1548"/>
      <c r="AD321" s="2190">
        <f>ROWS(AH318:AH321)</f>
        <v>4</v>
      </c>
      <c r="AE321" s="5549" t="str" cm="1">
        <f t="array" ref="AE321">IF(SUMPRODUCT((AH321:AM321&lt;&gt;"")*1)=0,"",SUMPRODUCT((AH321:AM321&lt;&gt;"")*(LEN(TRIM(SUBSTITUTE(AH321:AM321,CHAR(160)," "))) - LEN(SUBSTITUTE(TRIM(SUBSTITUTE(AH321:AM321,CHAR(160)," "))," ","")) + 1)) &amp; " word" &amp; IF(SUMPRODUCT((AH321:AM321&lt;&gt;"")*(LEN(TRIM(SUBSTITUTE(AH321:AM321,CHAR(160)," "))) - LEN(SUBSTITUTE(TRIM(SUBSTITUTE(AH321:AM321,CHAR(160)," "))," ","")) + 1))&gt;1,"s",""))</f>
        <v/>
      </c>
      <c r="AF321" s="5550" t="str" cm="1">
        <f t="array" ref="AF321">SUMPRODUCT(--(AH321:AM321&lt;&gt;""), LEN(TRIM(SUBSTITUTE(AH321:AM321, CHAR(160), "")))) &amp; " Car."</f>
        <v>0 Car.</v>
      </c>
      <c r="AG321" s="1376" t="str">
        <f>IF(ISBLANK(AH321),"",LARGE(AG317:AG320,1)+1)</f>
        <v/>
      </c>
      <c r="AH321" s="1810"/>
      <c r="AI321" s="1833"/>
      <c r="AJ321" s="1810"/>
      <c r="AK321" s="1810"/>
      <c r="AL321" s="1810"/>
      <c r="AM321" s="1810"/>
      <c r="AN321" s="1810"/>
      <c r="AO321" s="5994" t="s">
        <v>657</v>
      </c>
      <c r="AP321" s="178">
        <v>2.0833333333333332E-2</v>
      </c>
      <c r="AR321" s="162" t="s">
        <v>10</v>
      </c>
      <c r="AS321" s="163" t="str">
        <f>AS275</f>
        <v>N NOMBRE DE SU RECETA | pegue esto — FAMILIA| Auteur &gt; VOUS</v>
      </c>
      <c r="AT321" s="163">
        <f>AT275</f>
        <v>1</v>
      </c>
      <c r="AU321" s="164" t="str">
        <f>AU275</f>
        <v>coupe</v>
      </c>
      <c r="AV321" s="165" t="str">
        <f>AV275</f>
        <v>Receta madre ► MILLE-FEUILLE  aux fraises des bois</v>
      </c>
      <c r="AW321" s="1548"/>
      <c r="AX321" s="1548"/>
      <c r="AY321" s="2190">
        <f>ROWS(BC318:BC321)</f>
        <v>4</v>
      </c>
      <c r="AZ321" s="5549" t="str" cm="1">
        <f t="array" ref="AZ321">IF(SUMPRODUCT((BC321:BH321&lt;&gt;"")*1)=0,"",SUMPRODUCT((BC321:BH321&lt;&gt;"")*(LEN(TRIM(SUBSTITUTE(BC321:BH321,CHAR(160)," "))) - LEN(SUBSTITUTE(TRIM(SUBSTITUTE(BC321:BH321,CHAR(160)," "))," ","")) + 1)) &amp; " palabra" &amp; IF(SUMPRODUCT((BC321:BH321&lt;&gt;"")*(LEN(TRIM(SUBSTITUTE(BC321:BH321,CHAR(160)," "))) - LEN(SUBSTITUTE(TRIM(SUBSTITUTE(BC321:BH321,CHAR(160)," "))," ","")) + 1))&gt;1,"s",""))</f>
        <v/>
      </c>
      <c r="BA321" s="5550" t="str" cm="1">
        <f t="array" ref="BA321">SUMPRODUCT(--(BC321:BH321&lt;&gt;""), LEN(TRIM(SUBSTITUTE(BC321:BH321, CHAR(160), "")))) &amp; " Car."</f>
        <v>0 Car.</v>
      </c>
      <c r="BB321" s="1376" t="str">
        <f>IF(ISBLANK(BC321),"",LARGE(BB317:BB320,1)+1)</f>
        <v/>
      </c>
      <c r="BC321" s="1810"/>
      <c r="BD321" s="1833"/>
      <c r="BE321" s="1810"/>
      <c r="BF321" s="1810"/>
      <c r="BG321" s="1810"/>
      <c r="BH321" s="1810"/>
      <c r="BI321" s="1810"/>
      <c r="BJ321" s="5994" t="s">
        <v>877</v>
      </c>
      <c r="BK321" s="178">
        <v>2.0833333333333332E-2</v>
      </c>
      <c r="BM321" s="3">
        <v>1</v>
      </c>
    </row>
    <row r="322" spans="2:65" ht="21" customHeight="1">
      <c r="B322" s="162" t="s">
        <v>10</v>
      </c>
      <c r="C322" s="163" t="str">
        <f>C275</f>
        <v>N NOM DE VOTRE RECETTE | collez la--FAMILLE| Auteur &gt; VOUS</v>
      </c>
      <c r="D322" s="163">
        <f>D275</f>
        <v>1</v>
      </c>
      <c r="E322" s="164" t="str">
        <f>E275</f>
        <v>coupe</v>
      </c>
      <c r="F322" s="165" t="str">
        <f>F275</f>
        <v>Recette mère ► MILLE-FEUILLE  aux fraises des bois</v>
      </c>
      <c r="G322" s="1548"/>
      <c r="H322" s="1548"/>
      <c r="I322" s="2190">
        <f>ROWS(M318:M322)</f>
        <v>5</v>
      </c>
      <c r="J322" s="5549" t="str" cm="1">
        <f t="array" ref="J322">IF(SUMPRODUCT((M322:R322&lt;&gt;"")*1)=0,"",SUMPRODUCT((M322:R322&lt;&gt;"")*(LEN(TRIM(SUBSTITUTE(M322:R322,CHAR(160)," "))) - LEN(SUBSTITUTE(TRIM(SUBSTITUTE(M322:R322,CHAR(160)," "))," ","")) + 1)) &amp; " mot" &amp; IF(SUMPRODUCT((M322:R322&lt;&gt;"")*(LEN(TRIM(SUBSTITUTE(M322:R322,CHAR(160)," "))) - LEN(SUBSTITUTE(TRIM(SUBSTITUTE(M322:R322,CHAR(160)," "))," ","")) + 1))&gt;1,"s",""))</f>
        <v/>
      </c>
      <c r="K322" s="5550" t="str" cm="1">
        <f t="array" ref="K322">SUMPRODUCT(--(M322:R322&lt;&gt;""), LEN(TRIM(SUBSTITUTE(M322:R322, CHAR(160), "")))) &amp; " Car."</f>
        <v>0 Car.</v>
      </c>
      <c r="L322" s="1376" t="str">
        <f>IF(ISBLANK(M322),"",LARGE(L317:L321,1)+1)</f>
        <v/>
      </c>
      <c r="M322" s="1810"/>
      <c r="N322" s="1810"/>
      <c r="O322" s="1810"/>
      <c r="P322" s="1810"/>
      <c r="Q322" s="1810"/>
      <c r="R322" s="1810"/>
      <c r="S322" s="1810"/>
      <c r="T322" s="179" t="s">
        <v>182</v>
      </c>
      <c r="U322" s="180">
        <f>U319+U320+U321</f>
        <v>3.4722222222222224E-2</v>
      </c>
      <c r="W322" s="162" t="s">
        <v>10</v>
      </c>
      <c r="X322" s="163" t="str">
        <f>X275</f>
        <v>N NAME OF YOUR RECIPE | paste it — FAMILY|  Author &gt; YOU</v>
      </c>
      <c r="Y322" s="163">
        <f>Y275</f>
        <v>1</v>
      </c>
      <c r="Z322" s="164" t="str">
        <f>Z275</f>
        <v>coupe</v>
      </c>
      <c r="AA322" s="165" t="str">
        <f>AA275</f>
        <v>Master recipe ► MILLE-FEUILLE  aux fraises des bois</v>
      </c>
      <c r="AB322" s="1548"/>
      <c r="AC322" s="1548"/>
      <c r="AD322" s="2190">
        <f>ROWS(AH318:AH322)</f>
        <v>5</v>
      </c>
      <c r="AE322" s="5549" t="str" cm="1">
        <f t="array" ref="AE322">IF(SUMPRODUCT((AH322:AM322&lt;&gt;"")*1)=0,"",SUMPRODUCT((AH322:AM322&lt;&gt;"")*(LEN(TRIM(SUBSTITUTE(AH322:AM322,CHAR(160)," "))) - LEN(SUBSTITUTE(TRIM(SUBSTITUTE(AH322:AM322,CHAR(160)," "))," ","")) + 1)) &amp; " word" &amp; IF(SUMPRODUCT((AH322:AM322&lt;&gt;"")*(LEN(TRIM(SUBSTITUTE(AH322:AM322,CHAR(160)," "))) - LEN(SUBSTITUTE(TRIM(SUBSTITUTE(AH322:AM322,CHAR(160)," "))," ","")) + 1))&gt;1,"s",""))</f>
        <v/>
      </c>
      <c r="AF322" s="5550" t="str" cm="1">
        <f t="array" ref="AF322">SUMPRODUCT(--(AH322:AM322&lt;&gt;""), LEN(TRIM(SUBSTITUTE(AH322:AM322, CHAR(160), "")))) &amp; " Car."</f>
        <v>0 Car.</v>
      </c>
      <c r="AG322" s="1376" t="str">
        <f>IF(ISBLANK(AH322),"",LARGE(AG317:AG321,1)+1)</f>
        <v/>
      </c>
      <c r="AH322" s="1810"/>
      <c r="AI322" s="1810"/>
      <c r="AJ322" s="1810"/>
      <c r="AK322" s="1810"/>
      <c r="AL322" s="1810"/>
      <c r="AM322" s="1810"/>
      <c r="AN322" s="1810"/>
      <c r="AO322" s="179" t="s">
        <v>182</v>
      </c>
      <c r="AP322" s="180">
        <f>AP319+AP320+AP321</f>
        <v>3.4722222222222224E-2</v>
      </c>
      <c r="AR322" s="162" t="s">
        <v>10</v>
      </c>
      <c r="AS322" s="163" t="str">
        <f>AS275</f>
        <v>N NOMBRE DE SU RECETA | pegue esto — FAMILIA| Auteur &gt; VOUS</v>
      </c>
      <c r="AT322" s="163">
        <f>AT275</f>
        <v>1</v>
      </c>
      <c r="AU322" s="164" t="str">
        <f>AU275</f>
        <v>coupe</v>
      </c>
      <c r="AV322" s="165" t="str">
        <f>AV275</f>
        <v>Receta madre ► MILLE-FEUILLE  aux fraises des bois</v>
      </c>
      <c r="AW322" s="1548"/>
      <c r="AX322" s="1548"/>
      <c r="AY322" s="2190">
        <f>ROWS(BC318:BC322)</f>
        <v>5</v>
      </c>
      <c r="AZ322" s="5549" t="str" cm="1">
        <f t="array" ref="AZ322">IF(SUMPRODUCT((BC322:BH322&lt;&gt;"")*1)=0,"",SUMPRODUCT((BC322:BH322&lt;&gt;"")*(LEN(TRIM(SUBSTITUTE(BC322:BH322,CHAR(160)," "))) - LEN(SUBSTITUTE(TRIM(SUBSTITUTE(BC322:BH322,CHAR(160)," "))," ","")) + 1)) &amp; " palabra" &amp; IF(SUMPRODUCT((BC322:BH322&lt;&gt;"")*(LEN(TRIM(SUBSTITUTE(BC322:BH322,CHAR(160)," "))) - LEN(SUBSTITUTE(TRIM(SUBSTITUTE(BC322:BH322,CHAR(160)," "))," ","")) + 1))&gt;1,"s",""))</f>
        <v/>
      </c>
      <c r="BA322" s="5550" t="str" cm="1">
        <f t="array" ref="BA322">SUMPRODUCT(--(BC322:BH322&lt;&gt;""), LEN(TRIM(SUBSTITUTE(BC322:BH322, CHAR(160), "")))) &amp; " Car."</f>
        <v>0 Car.</v>
      </c>
      <c r="BB322" s="1376" t="str">
        <f>IF(ISBLANK(BC322),"",LARGE(BB317:BB321,1)+1)</f>
        <v/>
      </c>
      <c r="BC322" s="1810"/>
      <c r="BD322" s="1810"/>
      <c r="BE322" s="1810"/>
      <c r="BF322" s="1810"/>
      <c r="BG322" s="1810"/>
      <c r="BH322" s="1810"/>
      <c r="BI322" s="1810"/>
      <c r="BJ322" s="179" t="s">
        <v>182</v>
      </c>
      <c r="BK322" s="180">
        <f>BK319+BK320+BK321</f>
        <v>3.4722222222222224E-2</v>
      </c>
      <c r="BM322" s="3">
        <v>1</v>
      </c>
    </row>
    <row r="323" spans="2:65" ht="21" customHeight="1">
      <c r="B323" s="162" t="s">
        <v>10</v>
      </c>
      <c r="C323" s="163" t="str">
        <f>C275</f>
        <v>N NOM DE VOTRE RECETTE | collez la--FAMILLE| Auteur &gt; VOUS</v>
      </c>
      <c r="D323" s="163">
        <f>D275</f>
        <v>1</v>
      </c>
      <c r="E323" s="164" t="str">
        <f>E275</f>
        <v>coupe</v>
      </c>
      <c r="F323" s="165" t="str">
        <f>F275</f>
        <v>Recette mère ► MILLE-FEUILLE  aux fraises des bois</v>
      </c>
      <c r="G323" s="1548"/>
      <c r="H323" s="1548"/>
      <c r="I323" s="2190">
        <f>ROWS(M318:M323)</f>
        <v>6</v>
      </c>
      <c r="J323" s="5549" t="str" cm="1">
        <f t="array" ref="J323">IF(SUMPRODUCT((M323:R323&lt;&gt;"")*1)=0,"",SUMPRODUCT((M323:R323&lt;&gt;"")*(LEN(TRIM(SUBSTITUTE(M323:R323,CHAR(160)," "))) - LEN(SUBSTITUTE(TRIM(SUBSTITUTE(M323:R323,CHAR(160)," "))," ","")) + 1)) &amp; " mot" &amp; IF(SUMPRODUCT((M323:R323&lt;&gt;"")*(LEN(TRIM(SUBSTITUTE(M323:R323,CHAR(160)," "))) - LEN(SUBSTITUTE(TRIM(SUBSTITUTE(M323:R323,CHAR(160)," "))," ","")) + 1))&gt;1,"s",""))</f>
        <v>5 mots</v>
      </c>
      <c r="K323" s="5550" t="str" cm="1">
        <f t="array" ref="K323">SUMPRODUCT(--(M323:R323&lt;&gt;""), LEN(TRIM(SUBSTITUTE(M323:R323, CHAR(160), "")))) &amp; " Car."</f>
        <v>43 Car.</v>
      </c>
      <c r="L323" s="1376">
        <f>IF(ISBLANK(M323),"",LARGE(L317:L322,1)+1)</f>
        <v>1</v>
      </c>
      <c r="M323" s="1810" t="s">
        <v>8578</v>
      </c>
      <c r="N323" s="1833"/>
      <c r="O323" s="1810"/>
      <c r="P323" s="1810"/>
      <c r="Q323" s="1810"/>
      <c r="R323" s="1810"/>
      <c r="S323" s="1810"/>
      <c r="T323" s="1810"/>
      <c r="U323" s="1811"/>
      <c r="W323" s="162" t="s">
        <v>10</v>
      </c>
      <c r="X323" s="163" t="str">
        <f>X275</f>
        <v>N NAME OF YOUR RECIPE | paste it — FAMILY|  Author &gt; YOU</v>
      </c>
      <c r="Y323" s="163">
        <f>Y275</f>
        <v>1</v>
      </c>
      <c r="Z323" s="164" t="str">
        <f>Z275</f>
        <v>coupe</v>
      </c>
      <c r="AA323" s="165" t="str">
        <f>AA275</f>
        <v>Master recipe ► MILLE-FEUILLE  aux fraises des bois</v>
      </c>
      <c r="AB323" s="1548"/>
      <c r="AC323" s="1548"/>
      <c r="AD323" s="2190">
        <f>ROWS(AH318:AH323)</f>
        <v>6</v>
      </c>
      <c r="AE323" s="5549" t="str" cm="1">
        <f t="array" ref="AE323">IF(SUMPRODUCT((AH323:AM323&lt;&gt;"")*1)=0,"",SUMPRODUCT((AH323:AM323&lt;&gt;"")*(LEN(TRIM(SUBSTITUTE(AH323:AM323,CHAR(160)," "))) - LEN(SUBSTITUTE(TRIM(SUBSTITUTE(AH323:AM323,CHAR(160)," "))," ","")) + 1)) &amp; " word" &amp; IF(SUMPRODUCT((AH323:AM323&lt;&gt;"")*(LEN(TRIM(SUBSTITUTE(AH323:AM323,CHAR(160)," "))) - LEN(SUBSTITUTE(TRIM(SUBSTITUTE(AH323:AM323,CHAR(160)," "))," ","")) + 1))&gt;1,"s",""))</f>
        <v>4 words</v>
      </c>
      <c r="AF323" s="5550" t="str" cm="1">
        <f t="array" ref="AF323">SUMPRODUCT(--(AH323:AM323&lt;&gt;""), LEN(TRIM(SUBSTITUTE(AH323:AM323, CHAR(160), "")))) &amp; " Car."</f>
        <v>29 Car.</v>
      </c>
      <c r="AG323" s="1376">
        <f>IF(ISBLANK(AH323),"",LARGE(AG317:AG322,1)+1)</f>
        <v>1</v>
      </c>
      <c r="AH323" s="1810" t="s">
        <v>8583</v>
      </c>
      <c r="AI323" s="1833"/>
      <c r="AJ323" s="1810"/>
      <c r="AK323" s="1810"/>
      <c r="AL323" s="1810"/>
      <c r="AM323" s="1810"/>
      <c r="AN323" s="1810"/>
      <c r="AO323" s="1810"/>
      <c r="AP323" s="1811"/>
      <c r="AR323" s="162" t="s">
        <v>10</v>
      </c>
      <c r="AS323" s="163" t="str">
        <f>AS275</f>
        <v>N NOMBRE DE SU RECETA | pegue esto — FAMILIA| Auteur &gt; VOUS</v>
      </c>
      <c r="AT323" s="163">
        <f>AT275</f>
        <v>1</v>
      </c>
      <c r="AU323" s="164" t="str">
        <f>AU275</f>
        <v>coupe</v>
      </c>
      <c r="AV323" s="165" t="str">
        <f>AV275</f>
        <v>Receta madre ► MILLE-FEUILLE  aux fraises des bois</v>
      </c>
      <c r="AW323" s="1548"/>
      <c r="AX323" s="1548"/>
      <c r="AY323" s="2190">
        <f>ROWS(BC318:BC323)</f>
        <v>6</v>
      </c>
      <c r="AZ323" s="5549" t="str" cm="1">
        <f t="array" ref="AZ323">IF(SUMPRODUCT((BC323:BH323&lt;&gt;"")*1)=0,"",SUMPRODUCT((BC323:BH323&lt;&gt;"")*(LEN(TRIM(SUBSTITUTE(BC323:BH323,CHAR(160)," "))) - LEN(SUBSTITUTE(TRIM(SUBSTITUTE(BC323:BH323,CHAR(160)," "))," ","")) + 1)) &amp; " palabra" &amp; IF(SUMPRODUCT((BC323:BH323&lt;&gt;"")*(LEN(TRIM(SUBSTITUTE(BC323:BH323,CHAR(160)," "))) - LEN(SUBSTITUTE(TRIM(SUBSTITUTE(BC323:BH323,CHAR(160)," "))," ","")) + 1))&gt;1,"s",""))</f>
        <v>5 palabras</v>
      </c>
      <c r="BA323" s="5550" t="str" cm="1">
        <f t="array" ref="BA323">SUMPRODUCT(--(BC323:BH323&lt;&gt;""), LEN(TRIM(SUBSTITUTE(BC323:BH323, CHAR(160), "")))) &amp; " Car."</f>
        <v>37 Car.</v>
      </c>
      <c r="BB323" s="1376">
        <f>IF(ISBLANK(BC323),"",LARGE(BB317:BB322,1)+1)</f>
        <v>1</v>
      </c>
      <c r="BC323" s="1810" t="s">
        <v>8588</v>
      </c>
      <c r="BD323" s="1833"/>
      <c r="BE323" s="1810"/>
      <c r="BF323" s="1810"/>
      <c r="BG323" s="1810"/>
      <c r="BH323" s="1810"/>
      <c r="BI323" s="1810"/>
      <c r="BJ323" s="1810"/>
      <c r="BK323" s="1811"/>
      <c r="BM323" s="3">
        <v>1</v>
      </c>
    </row>
    <row r="324" spans="2:65" ht="21" customHeight="1">
      <c r="B324" s="162" t="s">
        <v>10</v>
      </c>
      <c r="C324" s="163" t="str">
        <f>C275</f>
        <v>N NOM DE VOTRE RECETTE | collez la--FAMILLE| Auteur &gt; VOUS</v>
      </c>
      <c r="D324" s="163">
        <f>D275</f>
        <v>1</v>
      </c>
      <c r="E324" s="164" t="str">
        <f>E275</f>
        <v>coupe</v>
      </c>
      <c r="F324" s="165" t="str">
        <f>F275</f>
        <v>Recette mère ► MILLE-FEUILLE  aux fraises des bois</v>
      </c>
      <c r="G324" s="1548"/>
      <c r="H324" s="1548"/>
      <c r="I324" s="2190">
        <f>ROWS(M318:M324)</f>
        <v>7</v>
      </c>
      <c r="J324" s="5549" t="str" cm="1">
        <f t="array" ref="J324">IF(SUMPRODUCT((M324:R324&lt;&gt;"")*1)=0,"",SUMPRODUCT((M324:R324&lt;&gt;"")*(LEN(TRIM(SUBSTITUTE(M324:R324,CHAR(160)," "))) - LEN(SUBSTITUTE(TRIM(SUBSTITUTE(M324:R324,CHAR(160)," "))," ","")) + 1)) &amp; " mot" &amp; IF(SUMPRODUCT((M324:R324&lt;&gt;"")*(LEN(TRIM(SUBSTITUTE(M324:R324,CHAR(160)," "))) - LEN(SUBSTITUTE(TRIM(SUBSTITUTE(M324:R324,CHAR(160)," "))," ","")) + 1))&gt;1,"s",""))</f>
        <v>8 mots</v>
      </c>
      <c r="K324" s="5550" t="str" cm="1">
        <f t="array" ref="K324">SUMPRODUCT(--(M324:R324&lt;&gt;""), LEN(TRIM(SUBSTITUTE(M324:R324, CHAR(160), "")))) &amp; " Car."</f>
        <v>50 Car.</v>
      </c>
      <c r="L324" s="1376" t="str">
        <f>IF(ISBLANK(M324),"",LARGE(L317:L323,1)+1)</f>
        <v/>
      </c>
      <c r="M324" s="1810"/>
      <c r="N324" s="1810" t="s">
        <v>8579</v>
      </c>
      <c r="O324" s="1810"/>
      <c r="P324" s="1810"/>
      <c r="Q324" s="1810"/>
      <c r="R324" s="1810"/>
      <c r="S324" s="1810"/>
      <c r="T324" s="1810"/>
      <c r="U324" s="1811"/>
      <c r="W324" s="162" t="s">
        <v>10</v>
      </c>
      <c r="X324" s="163" t="str">
        <f>X275</f>
        <v>N NAME OF YOUR RECIPE | paste it — FAMILY|  Author &gt; YOU</v>
      </c>
      <c r="Y324" s="163">
        <f>Y275</f>
        <v>1</v>
      </c>
      <c r="Z324" s="164" t="str">
        <f>Z275</f>
        <v>coupe</v>
      </c>
      <c r="AA324" s="165" t="str">
        <f>AA275</f>
        <v>Master recipe ► MILLE-FEUILLE  aux fraises des bois</v>
      </c>
      <c r="AB324" s="1548"/>
      <c r="AC324" s="1548"/>
      <c r="AD324" s="2190">
        <f>ROWS(AH318:AH324)</f>
        <v>7</v>
      </c>
      <c r="AE324" s="5549" t="str" cm="1">
        <f t="array" ref="AE324">IF(SUMPRODUCT((AH324:AM324&lt;&gt;"")*1)=0,"",SUMPRODUCT((AH324:AM324&lt;&gt;"")*(LEN(TRIM(SUBSTITUTE(AH324:AM324,CHAR(160)," "))) - LEN(SUBSTITUTE(TRIM(SUBSTITUTE(AH324:AM324,CHAR(160)," "))," ","")) + 1)) &amp; " word" &amp; IF(SUMPRODUCT((AH324:AM324&lt;&gt;"")*(LEN(TRIM(SUBSTITUTE(AH324:AM324,CHAR(160)," "))) - LEN(SUBSTITUTE(TRIM(SUBSTITUTE(AH324:AM324,CHAR(160)," "))," ","")) + 1))&gt;1,"s",""))</f>
        <v>9 words</v>
      </c>
      <c r="AF324" s="5550" t="str" cm="1">
        <f t="array" ref="AF324">SUMPRODUCT(--(AH324:AM324&lt;&gt;""), LEN(TRIM(SUBSTITUTE(AH324:AM324, CHAR(160), "")))) &amp; " Car."</f>
        <v>47 Car.</v>
      </c>
      <c r="AG324" s="1376" t="str">
        <f>IF(ISBLANK(AH324),"",LARGE(AG317:AG323,1)+1)</f>
        <v/>
      </c>
      <c r="AH324" s="1810"/>
      <c r="AI324" s="1810" t="s">
        <v>8584</v>
      </c>
      <c r="AJ324" s="1810"/>
      <c r="AK324" s="1810"/>
      <c r="AL324" s="1810"/>
      <c r="AM324" s="1810"/>
      <c r="AN324" s="1810"/>
      <c r="AO324" s="1810"/>
      <c r="AP324" s="1811"/>
      <c r="AR324" s="162" t="s">
        <v>10</v>
      </c>
      <c r="AS324" s="163" t="str">
        <f>AS275</f>
        <v>N NOMBRE DE SU RECETA | pegue esto — FAMILIA| Auteur &gt; VOUS</v>
      </c>
      <c r="AT324" s="163">
        <f>AT275</f>
        <v>1</v>
      </c>
      <c r="AU324" s="164" t="str">
        <f>AU275</f>
        <v>coupe</v>
      </c>
      <c r="AV324" s="165" t="str">
        <f>AV275</f>
        <v>Receta madre ► MILLE-FEUILLE  aux fraises des bois</v>
      </c>
      <c r="AW324" s="1548"/>
      <c r="AX324" s="1548"/>
      <c r="AY324" s="2190">
        <f>ROWS(BC318:BC324)</f>
        <v>7</v>
      </c>
      <c r="AZ324" s="5549" t="str" cm="1">
        <f t="array" ref="AZ324">IF(SUMPRODUCT((BC324:BH324&lt;&gt;"")*1)=0,"",SUMPRODUCT((BC324:BH324&lt;&gt;"")*(LEN(TRIM(SUBSTITUTE(BC324:BH324,CHAR(160)," "))) - LEN(SUBSTITUTE(TRIM(SUBSTITUTE(BC324:BH324,CHAR(160)," "))," ","")) + 1)) &amp; " palabra" &amp; IF(SUMPRODUCT((BC324:BH324&lt;&gt;"")*(LEN(TRIM(SUBSTITUTE(BC324:BH324,CHAR(160)," "))) - LEN(SUBSTITUTE(TRIM(SUBSTITUTE(BC324:BH324,CHAR(160)," "))," ","")) + 1))&gt;1,"s",""))</f>
        <v>7 palabras</v>
      </c>
      <c r="BA324" s="5550" t="str" cm="1">
        <f t="array" ref="BA324">SUMPRODUCT(--(BC324:BH324&lt;&gt;""), LEN(TRIM(SUBSTITUTE(BC324:BH324, CHAR(160), "")))) &amp; " Car."</f>
        <v>39 Car.</v>
      </c>
      <c r="BB324" s="1376" t="str">
        <f>IF(ISBLANK(BC324),"",LARGE(BB317:BB323,1)+1)</f>
        <v/>
      </c>
      <c r="BC324" s="1810"/>
      <c r="BD324" s="1810" t="s">
        <v>8589</v>
      </c>
      <c r="BE324" s="1810"/>
      <c r="BF324" s="1810"/>
      <c r="BG324" s="1810"/>
      <c r="BH324" s="1810"/>
      <c r="BI324" s="1810"/>
      <c r="BJ324" s="1810"/>
      <c r="BK324" s="1811"/>
      <c r="BM324" s="3">
        <v>1</v>
      </c>
    </row>
    <row r="325" spans="2:65" ht="21" customHeight="1">
      <c r="B325" s="162" t="s">
        <v>10</v>
      </c>
      <c r="C325" s="163" t="str">
        <f>C275</f>
        <v>N NOM DE VOTRE RECETTE | collez la--FAMILLE| Auteur &gt; VOUS</v>
      </c>
      <c r="D325" s="163">
        <f>D275</f>
        <v>1</v>
      </c>
      <c r="E325" s="164" t="str">
        <f>E275</f>
        <v>coupe</v>
      </c>
      <c r="F325" s="165" t="str">
        <f>F275</f>
        <v>Recette mère ► MILLE-FEUILLE  aux fraises des bois</v>
      </c>
      <c r="G325" s="1548"/>
      <c r="H325" s="1548"/>
      <c r="I325" s="2190">
        <f>ROWS(M318:M325)</f>
        <v>8</v>
      </c>
      <c r="J325" s="5549" t="str" cm="1">
        <f t="array" ref="J325">IF(SUMPRODUCT((M325:R325&lt;&gt;"")*1)=0,"",SUMPRODUCT((M325:R325&lt;&gt;"")*(LEN(TRIM(SUBSTITUTE(M325:R325,CHAR(160)," "))) - LEN(SUBSTITUTE(TRIM(SUBSTITUTE(M325:R325,CHAR(160)," "))," ","")) + 1)) &amp; " mot" &amp; IF(SUMPRODUCT((M325:R325&lt;&gt;"")*(LEN(TRIM(SUBSTITUTE(M325:R325,CHAR(160)," "))) - LEN(SUBSTITUTE(TRIM(SUBSTITUTE(M325:R325,CHAR(160)," "))," ","")) + 1))&gt;1,"s",""))</f>
        <v/>
      </c>
      <c r="K325" s="5550" t="str" cm="1">
        <f t="array" ref="K325">SUMPRODUCT(--(M325:R325&lt;&gt;""), LEN(TRIM(SUBSTITUTE(M325:R325, CHAR(160), "")))) &amp; " Car."</f>
        <v>0 Car.</v>
      </c>
      <c r="L325" s="1376" t="str">
        <f>IF(ISBLANK(M325),"",LARGE(L317:L324,1)+1)</f>
        <v/>
      </c>
      <c r="M325" s="1810"/>
      <c r="N325" s="1810"/>
      <c r="O325" s="1810"/>
      <c r="P325" s="1810"/>
      <c r="Q325" s="1810"/>
      <c r="R325" s="1810"/>
      <c r="S325" s="1810"/>
      <c r="T325" s="1810"/>
      <c r="U325" s="1811"/>
      <c r="W325" s="162" t="s">
        <v>10</v>
      </c>
      <c r="X325" s="163" t="str">
        <f>X275</f>
        <v>N NAME OF YOUR RECIPE | paste it — FAMILY|  Author &gt; YOU</v>
      </c>
      <c r="Y325" s="163">
        <f>Y275</f>
        <v>1</v>
      </c>
      <c r="Z325" s="164" t="str">
        <f>Z275</f>
        <v>coupe</v>
      </c>
      <c r="AA325" s="165" t="str">
        <f>AA275</f>
        <v>Master recipe ► MILLE-FEUILLE  aux fraises des bois</v>
      </c>
      <c r="AB325" s="1548"/>
      <c r="AC325" s="1548"/>
      <c r="AD325" s="2190">
        <f>ROWS(AH318:AH325)</f>
        <v>8</v>
      </c>
      <c r="AE325" s="5549" t="str" cm="1">
        <f t="array" ref="AE325">IF(SUMPRODUCT((AH325:AM325&lt;&gt;"")*1)=0,"",SUMPRODUCT((AH325:AM325&lt;&gt;"")*(LEN(TRIM(SUBSTITUTE(AH325:AM325,CHAR(160)," "))) - LEN(SUBSTITUTE(TRIM(SUBSTITUTE(AH325:AM325,CHAR(160)," "))," ","")) + 1)) &amp; " word" &amp; IF(SUMPRODUCT((AH325:AM325&lt;&gt;"")*(LEN(TRIM(SUBSTITUTE(AH325:AM325,CHAR(160)," "))) - LEN(SUBSTITUTE(TRIM(SUBSTITUTE(AH325:AM325,CHAR(160)," "))," ","")) + 1))&gt;1,"s",""))</f>
        <v/>
      </c>
      <c r="AF325" s="5550" t="str" cm="1">
        <f t="array" ref="AF325">SUMPRODUCT(--(AH325:AM325&lt;&gt;""), LEN(TRIM(SUBSTITUTE(AH325:AM325, CHAR(160), "")))) &amp; " Car."</f>
        <v>0 Car.</v>
      </c>
      <c r="AG325" s="1376" t="str">
        <f>IF(ISBLANK(AH325),"",LARGE(AG317:AG324,1)+1)</f>
        <v/>
      </c>
      <c r="AH325" s="1833"/>
      <c r="AI325" s="1810"/>
      <c r="AJ325" s="1810"/>
      <c r="AK325" s="1810"/>
      <c r="AL325" s="1810"/>
      <c r="AM325" s="1810"/>
      <c r="AN325" s="1810"/>
      <c r="AO325" s="1810"/>
      <c r="AP325" s="1811"/>
      <c r="AR325" s="162" t="s">
        <v>10</v>
      </c>
      <c r="AS325" s="163" t="str">
        <f>AS275</f>
        <v>N NOMBRE DE SU RECETA | pegue esto — FAMILIA| Auteur &gt; VOUS</v>
      </c>
      <c r="AT325" s="163">
        <f>AT275</f>
        <v>1</v>
      </c>
      <c r="AU325" s="164" t="str">
        <f>AU275</f>
        <v>coupe</v>
      </c>
      <c r="AV325" s="165" t="str">
        <f>AV275</f>
        <v>Receta madre ► MILLE-FEUILLE  aux fraises des bois</v>
      </c>
      <c r="AW325" s="1548"/>
      <c r="AX325" s="1548"/>
      <c r="AY325" s="2190">
        <f>ROWS(BC318:BC325)</f>
        <v>8</v>
      </c>
      <c r="AZ325" s="5549" t="str" cm="1">
        <f t="array" ref="AZ325">IF(SUMPRODUCT((BC325:BH325&lt;&gt;"")*1)=0,"",SUMPRODUCT((BC325:BH325&lt;&gt;"")*(LEN(TRIM(SUBSTITUTE(BC325:BH325,CHAR(160)," "))) - LEN(SUBSTITUTE(TRIM(SUBSTITUTE(BC325:BH325,CHAR(160)," "))," ","")) + 1)) &amp; " palabra" &amp; IF(SUMPRODUCT((BC325:BH325&lt;&gt;"")*(LEN(TRIM(SUBSTITUTE(BC325:BH325,CHAR(160)," "))) - LEN(SUBSTITUTE(TRIM(SUBSTITUTE(BC325:BH325,CHAR(160)," "))," ","")) + 1))&gt;1,"s",""))</f>
        <v/>
      </c>
      <c r="BA325" s="5550" t="str" cm="1">
        <f t="array" ref="BA325">SUMPRODUCT(--(BC325:BH325&lt;&gt;""), LEN(TRIM(SUBSTITUTE(BC325:BH325, CHAR(160), "")))) &amp; " Car."</f>
        <v>0 Car.</v>
      </c>
      <c r="BB325" s="1376" t="str">
        <f>IF(ISBLANK(BC325),"",LARGE(BB317:BB324,1)+1)</f>
        <v/>
      </c>
      <c r="BC325" s="1833"/>
      <c r="BD325" s="1810"/>
      <c r="BE325" s="1810"/>
      <c r="BF325" s="1810"/>
      <c r="BG325" s="1810"/>
      <c r="BH325" s="1810"/>
      <c r="BI325" s="1810"/>
      <c r="BJ325" s="1810"/>
      <c r="BK325" s="1811"/>
      <c r="BM325" s="3">
        <v>1</v>
      </c>
    </row>
    <row r="326" spans="2:65" ht="21" customHeight="1">
      <c r="B326" s="162" t="s">
        <v>10</v>
      </c>
      <c r="C326" s="163" t="str">
        <f>C275</f>
        <v>N NOM DE VOTRE RECETTE | collez la--FAMILLE| Auteur &gt; VOUS</v>
      </c>
      <c r="D326" s="163">
        <f>D275</f>
        <v>1</v>
      </c>
      <c r="E326" s="164" t="str">
        <f>E275</f>
        <v>coupe</v>
      </c>
      <c r="F326" s="165" t="str">
        <f>F275</f>
        <v>Recette mère ► MILLE-FEUILLE  aux fraises des bois</v>
      </c>
      <c r="G326" s="1548"/>
      <c r="H326" s="1548"/>
      <c r="I326" s="2190">
        <f>ROWS(M318:M326)</f>
        <v>9</v>
      </c>
      <c r="J326" s="5549" t="str" cm="1">
        <f t="array" ref="J326">IF(SUMPRODUCT((M326:R326&lt;&gt;"")*1)=0,"",SUMPRODUCT((M326:R326&lt;&gt;"")*(LEN(TRIM(SUBSTITUTE(M326:R326,CHAR(160)," "))) - LEN(SUBSTITUTE(TRIM(SUBSTITUTE(M326:R326,CHAR(160)," "))," ","")) + 1)) &amp; " mot" &amp; IF(SUMPRODUCT((M326:R326&lt;&gt;"")*(LEN(TRIM(SUBSTITUTE(M326:R326,CHAR(160)," "))) - LEN(SUBSTITUTE(TRIM(SUBSTITUTE(M326:R326,CHAR(160)," "))," ","")) + 1))&gt;1,"s",""))</f>
        <v/>
      </c>
      <c r="K326" s="5550" t="str" cm="1">
        <f t="array" ref="K326">SUMPRODUCT(--(M326:R326&lt;&gt;""), LEN(TRIM(SUBSTITUTE(M326:R326, CHAR(160), "")))) &amp; " Car."</f>
        <v>0 Car.</v>
      </c>
      <c r="L326" s="1376" t="str">
        <f>IF(ISBLANK(M326),"",LARGE(L317:L325,1)+1)</f>
        <v/>
      </c>
      <c r="M326" s="1810"/>
      <c r="N326" s="1810"/>
      <c r="O326" s="1810"/>
      <c r="P326" s="1810"/>
      <c r="Q326" s="1810"/>
      <c r="R326" s="1810"/>
      <c r="S326" s="1810"/>
      <c r="T326" s="1810"/>
      <c r="U326" s="1811"/>
      <c r="W326" s="162" t="s">
        <v>10</v>
      </c>
      <c r="X326" s="163" t="str">
        <f>X275</f>
        <v>N NAME OF YOUR RECIPE | paste it — FAMILY|  Author &gt; YOU</v>
      </c>
      <c r="Y326" s="163">
        <f>Y275</f>
        <v>1</v>
      </c>
      <c r="Z326" s="164" t="str">
        <f>Z275</f>
        <v>coupe</v>
      </c>
      <c r="AA326" s="165" t="str">
        <f>AA275</f>
        <v>Master recipe ► MILLE-FEUILLE  aux fraises des bois</v>
      </c>
      <c r="AB326" s="1548"/>
      <c r="AC326" s="1548"/>
      <c r="AD326" s="2190">
        <f>ROWS(AH318:AH326)</f>
        <v>9</v>
      </c>
      <c r="AE326" s="5549" t="str" cm="1">
        <f t="array" ref="AE326">IF(SUMPRODUCT((AH326:AM326&lt;&gt;"")*1)=0,"",SUMPRODUCT((AH326:AM326&lt;&gt;"")*(LEN(TRIM(SUBSTITUTE(AH326:AM326,CHAR(160)," "))) - LEN(SUBSTITUTE(TRIM(SUBSTITUTE(AH326:AM326,CHAR(160)," "))," ","")) + 1)) &amp; " word" &amp; IF(SUMPRODUCT((AH326:AM326&lt;&gt;"")*(LEN(TRIM(SUBSTITUTE(AH326:AM326,CHAR(160)," "))) - LEN(SUBSTITUTE(TRIM(SUBSTITUTE(AH326:AM326,CHAR(160)," "))," ","")) + 1))&gt;1,"s",""))</f>
        <v/>
      </c>
      <c r="AF326" s="5550" t="str" cm="1">
        <f t="array" ref="AF326">SUMPRODUCT(--(AH326:AM326&lt;&gt;""), LEN(TRIM(SUBSTITUTE(AH326:AM326, CHAR(160), "")))) &amp; " Car."</f>
        <v>0 Car.</v>
      </c>
      <c r="AG326" s="1376" t="str">
        <f>IF(ISBLANK(AH326),"",LARGE(AG317:AG325,1)+1)</f>
        <v/>
      </c>
      <c r="AH326" s="1810"/>
      <c r="AI326" s="1810"/>
      <c r="AJ326" s="1810"/>
      <c r="AK326" s="1810"/>
      <c r="AL326" s="1810"/>
      <c r="AM326" s="1810"/>
      <c r="AN326" s="1810"/>
      <c r="AO326" s="1810"/>
      <c r="AP326" s="1811"/>
      <c r="AR326" s="162" t="s">
        <v>10</v>
      </c>
      <c r="AS326" s="163" t="str">
        <f>AS275</f>
        <v>N NOMBRE DE SU RECETA | pegue esto — FAMILIA| Auteur &gt; VOUS</v>
      </c>
      <c r="AT326" s="163">
        <f>AT275</f>
        <v>1</v>
      </c>
      <c r="AU326" s="164" t="str">
        <f>AU275</f>
        <v>coupe</v>
      </c>
      <c r="AV326" s="165" t="str">
        <f>AV275</f>
        <v>Receta madre ► MILLE-FEUILLE  aux fraises des bois</v>
      </c>
      <c r="AW326" s="1548"/>
      <c r="AX326" s="1548"/>
      <c r="AY326" s="2190">
        <f>ROWS(BC318:BC326)</f>
        <v>9</v>
      </c>
      <c r="AZ326" s="5549" t="str" cm="1">
        <f t="array" ref="AZ326">IF(SUMPRODUCT((BC326:BH326&lt;&gt;"")*1)=0,"",SUMPRODUCT((BC326:BH326&lt;&gt;"")*(LEN(TRIM(SUBSTITUTE(BC326:BH326,CHAR(160)," "))) - LEN(SUBSTITUTE(TRIM(SUBSTITUTE(BC326:BH326,CHAR(160)," "))," ","")) + 1)) &amp; " palabra" &amp; IF(SUMPRODUCT((BC326:BH326&lt;&gt;"")*(LEN(TRIM(SUBSTITUTE(BC326:BH326,CHAR(160)," "))) - LEN(SUBSTITUTE(TRIM(SUBSTITUTE(BC326:BH326,CHAR(160)," "))," ","")) + 1))&gt;1,"s",""))</f>
        <v/>
      </c>
      <c r="BA326" s="5550" t="str" cm="1">
        <f t="array" ref="BA326">SUMPRODUCT(--(BC326:BH326&lt;&gt;""), LEN(TRIM(SUBSTITUTE(BC326:BH326, CHAR(160), "")))) &amp; " Car."</f>
        <v>0 Car.</v>
      </c>
      <c r="BB326" s="1376" t="str">
        <f>IF(ISBLANK(BC326),"",LARGE(BB317:BB325,1)+1)</f>
        <v/>
      </c>
      <c r="BC326" s="1833"/>
      <c r="BD326" s="1810"/>
      <c r="BE326" s="1810"/>
      <c r="BF326" s="1810"/>
      <c r="BG326" s="1810"/>
      <c r="BH326" s="1810"/>
      <c r="BI326" s="1810"/>
      <c r="BJ326" s="1810"/>
      <c r="BK326" s="1811"/>
      <c r="BM326" s="3">
        <v>1</v>
      </c>
    </row>
    <row r="327" spans="2:65" ht="21" customHeight="1">
      <c r="B327" s="162" t="s">
        <v>10</v>
      </c>
      <c r="C327" s="163" t="str">
        <f>C275</f>
        <v>N NOM DE VOTRE RECETTE | collez la--FAMILLE| Auteur &gt; VOUS</v>
      </c>
      <c r="D327" s="163">
        <f>D275</f>
        <v>1</v>
      </c>
      <c r="E327" s="164" t="str">
        <f>E275</f>
        <v>coupe</v>
      </c>
      <c r="F327" s="165" t="str">
        <f>F275</f>
        <v>Recette mère ► MILLE-FEUILLE  aux fraises des bois</v>
      </c>
      <c r="G327" s="1548"/>
      <c r="H327" s="1548"/>
      <c r="I327" s="2190">
        <f>ROWS(M318:M327)</f>
        <v>10</v>
      </c>
      <c r="J327" s="5549" t="str" cm="1">
        <f t="array" ref="J327">IF(SUMPRODUCT((M327:R327&lt;&gt;"")*1)=0,"",SUMPRODUCT((M327:R327&lt;&gt;"")*(LEN(TRIM(SUBSTITUTE(M327:R327,CHAR(160)," "))) - LEN(SUBSTITUTE(TRIM(SUBSTITUTE(M327:R327,CHAR(160)," "))," ","")) + 1)) &amp; " mot" &amp; IF(SUMPRODUCT((M327:R327&lt;&gt;"")*(LEN(TRIM(SUBSTITUTE(M327:R327,CHAR(160)," "))) - LEN(SUBSTITUTE(TRIM(SUBSTITUTE(M327:R327,CHAR(160)," "))," ","")) + 1))&gt;1,"s",""))</f>
        <v/>
      </c>
      <c r="K327" s="5550" t="str" cm="1">
        <f t="array" ref="K327">SUMPRODUCT(--(M327:R327&lt;&gt;""), LEN(TRIM(SUBSTITUTE(M327:R327, CHAR(160), "")))) &amp; " Car."</f>
        <v>0 Car.</v>
      </c>
      <c r="L327" s="1376" t="str">
        <f>IF(ISBLANK(M327),"",LARGE(L317:L326,1)+1)</f>
        <v/>
      </c>
      <c r="M327" s="1810"/>
      <c r="N327" s="1810"/>
      <c r="O327" s="1810"/>
      <c r="P327" s="1810"/>
      <c r="Q327" s="1810"/>
      <c r="R327" s="1810"/>
      <c r="S327" s="1810"/>
      <c r="T327" s="1810"/>
      <c r="U327" s="1811"/>
      <c r="W327" s="162" t="s">
        <v>10</v>
      </c>
      <c r="X327" s="163" t="str">
        <f>X275</f>
        <v>N NAME OF YOUR RECIPE | paste it — FAMILY|  Author &gt; YOU</v>
      </c>
      <c r="Y327" s="163">
        <f>Y275</f>
        <v>1</v>
      </c>
      <c r="Z327" s="164" t="str">
        <f>Z275</f>
        <v>coupe</v>
      </c>
      <c r="AA327" s="165" t="str">
        <f>AA275</f>
        <v>Master recipe ► MILLE-FEUILLE  aux fraises des bois</v>
      </c>
      <c r="AB327" s="1548"/>
      <c r="AC327" s="1548"/>
      <c r="AD327" s="2190">
        <f>ROWS(AH318:AH327)</f>
        <v>10</v>
      </c>
      <c r="AE327" s="5549" t="str" cm="1">
        <f t="array" ref="AE327">IF(SUMPRODUCT((AH327:AM327&lt;&gt;"")*1)=0,"",SUMPRODUCT((AH327:AM327&lt;&gt;"")*(LEN(TRIM(SUBSTITUTE(AH327:AM327,CHAR(160)," "))) - LEN(SUBSTITUTE(TRIM(SUBSTITUTE(AH327:AM327,CHAR(160)," "))," ","")) + 1)) &amp; " word" &amp; IF(SUMPRODUCT((AH327:AM327&lt;&gt;"")*(LEN(TRIM(SUBSTITUTE(AH327:AM327,CHAR(160)," "))) - LEN(SUBSTITUTE(TRIM(SUBSTITUTE(AH327:AM327,CHAR(160)," "))," ","")) + 1))&gt;1,"s",""))</f>
        <v/>
      </c>
      <c r="AF327" s="5550" t="str" cm="1">
        <f t="array" ref="AF327">SUMPRODUCT(--(AH327:AM327&lt;&gt;""), LEN(TRIM(SUBSTITUTE(AH327:AM327, CHAR(160), "")))) &amp; " Car."</f>
        <v>0 Car.</v>
      </c>
      <c r="AG327" s="1376" t="str">
        <f>IF(ISBLANK(AH327),"",LARGE(AG317:AG326,1)+1)</f>
        <v/>
      </c>
      <c r="AH327" s="1810"/>
      <c r="AI327" s="1810"/>
      <c r="AJ327" s="1810"/>
      <c r="AK327" s="1810"/>
      <c r="AL327" s="1810"/>
      <c r="AM327" s="1810"/>
      <c r="AN327" s="1810"/>
      <c r="AO327" s="1810"/>
      <c r="AP327" s="1811"/>
      <c r="AR327" s="162" t="s">
        <v>10</v>
      </c>
      <c r="AS327" s="163" t="str">
        <f>AS275</f>
        <v>N NOMBRE DE SU RECETA | pegue esto — FAMILIA| Auteur &gt; VOUS</v>
      </c>
      <c r="AT327" s="163">
        <f>AT275</f>
        <v>1</v>
      </c>
      <c r="AU327" s="164" t="str">
        <f>AU275</f>
        <v>coupe</v>
      </c>
      <c r="AV327" s="165" t="str">
        <f>AV275</f>
        <v>Receta madre ► MILLE-FEUILLE  aux fraises des bois</v>
      </c>
      <c r="AW327" s="1548"/>
      <c r="AX327" s="1548"/>
      <c r="AY327" s="2190">
        <f>ROWS(BC318:BC327)</f>
        <v>10</v>
      </c>
      <c r="AZ327" s="5549" t="str" cm="1">
        <f t="array" ref="AZ327">IF(SUMPRODUCT((BC327:BH327&lt;&gt;"")*1)=0,"",SUMPRODUCT((BC327:BH327&lt;&gt;"")*(LEN(TRIM(SUBSTITUTE(BC327:BH327,CHAR(160)," "))) - LEN(SUBSTITUTE(TRIM(SUBSTITUTE(BC327:BH327,CHAR(160)," "))," ","")) + 1)) &amp; " palabra" &amp; IF(SUMPRODUCT((BC327:BH327&lt;&gt;"")*(LEN(TRIM(SUBSTITUTE(BC327:BH327,CHAR(160)," "))) - LEN(SUBSTITUTE(TRIM(SUBSTITUTE(BC327:BH327,CHAR(160)," "))," ","")) + 1))&gt;1,"s",""))</f>
        <v/>
      </c>
      <c r="BA327" s="5550" t="str" cm="1">
        <f t="array" ref="BA327">SUMPRODUCT(--(BC327:BH327&lt;&gt;""), LEN(TRIM(SUBSTITUTE(BC327:BH327, CHAR(160), "")))) &amp; " Car."</f>
        <v>0 Car.</v>
      </c>
      <c r="BB327" s="1376" t="str">
        <f>IF(ISBLANK(BC327),"",LARGE(BB317:BB326,1)+1)</f>
        <v/>
      </c>
      <c r="BC327" s="1833"/>
      <c r="BD327" s="1810"/>
      <c r="BE327" s="1810"/>
      <c r="BF327" s="1810"/>
      <c r="BG327" s="1810"/>
      <c r="BH327" s="1810"/>
      <c r="BI327" s="1810"/>
      <c r="BJ327" s="1810"/>
      <c r="BK327" s="1811"/>
      <c r="BM327" s="3">
        <v>1</v>
      </c>
    </row>
    <row r="328" spans="2:65" ht="21" customHeight="1">
      <c r="B328" s="162" t="s">
        <v>10</v>
      </c>
      <c r="C328" s="163" t="str">
        <f>C275</f>
        <v>N NOM DE VOTRE RECETTE | collez la--FAMILLE| Auteur &gt; VOUS</v>
      </c>
      <c r="D328" s="1943">
        <f>D275</f>
        <v>1</v>
      </c>
      <c r="E328" s="164" t="str">
        <f>E275</f>
        <v>coupe</v>
      </c>
      <c r="F328" s="165" t="str">
        <f>F275</f>
        <v>Recette mère ► MILLE-FEUILLE  aux fraises des bois</v>
      </c>
      <c r="G328" s="1548"/>
      <c r="H328" s="1548"/>
      <c r="I328" s="2190">
        <f>ROWS(M318:M328)</f>
        <v>11</v>
      </c>
      <c r="J328" s="5549" t="str" cm="1">
        <f t="array" ref="J328">IF(SUMPRODUCT((M328:R328&lt;&gt;"")*1)=0,"",SUMPRODUCT((M328:R328&lt;&gt;"")*(LEN(TRIM(SUBSTITUTE(M328:R328,CHAR(160)," "))) - LEN(SUBSTITUTE(TRIM(SUBSTITUTE(M328:R328,CHAR(160)," "))," ","")) + 1)) &amp; " mot" &amp; IF(SUMPRODUCT((M328:R328&lt;&gt;"")*(LEN(TRIM(SUBSTITUTE(M328:R328,CHAR(160)," "))) - LEN(SUBSTITUTE(TRIM(SUBSTITUTE(M328:R328,CHAR(160)," "))," ","")) + 1))&gt;1,"s",""))</f>
        <v/>
      </c>
      <c r="K328" s="5550" t="str" cm="1">
        <f t="array" ref="K328">SUMPRODUCT(--(M328:R328&lt;&gt;""), LEN(TRIM(SUBSTITUTE(M328:R328, CHAR(160), "")))) &amp; " Car."</f>
        <v>0 Car.</v>
      </c>
      <c r="L328" s="1376" t="str">
        <f>IF(ISBLANK(M328),"",LARGE(L317:L327,1)+1)</f>
        <v/>
      </c>
      <c r="M328" s="1810"/>
      <c r="N328" s="1810"/>
      <c r="O328" s="1810"/>
      <c r="P328" s="1810"/>
      <c r="Q328" s="1810"/>
      <c r="R328" s="1810"/>
      <c r="S328" s="1810"/>
      <c r="T328" s="1810"/>
      <c r="U328" s="1811"/>
      <c r="W328" s="162" t="s">
        <v>10</v>
      </c>
      <c r="X328" s="163" t="str">
        <f>X275</f>
        <v>N NAME OF YOUR RECIPE | paste it — FAMILY|  Author &gt; YOU</v>
      </c>
      <c r="Y328" s="163">
        <f>Y275</f>
        <v>1</v>
      </c>
      <c r="Z328" s="164" t="str">
        <f>Z275</f>
        <v>coupe</v>
      </c>
      <c r="AA328" s="165" t="str">
        <f>AA275</f>
        <v>Master recipe ► MILLE-FEUILLE  aux fraises des bois</v>
      </c>
      <c r="AB328" s="1548"/>
      <c r="AC328" s="1548"/>
      <c r="AD328" s="2190">
        <f>ROWS(AH318:AH328)</f>
        <v>11</v>
      </c>
      <c r="AE328" s="5549" t="str" cm="1">
        <f t="array" ref="AE328">IF(SUMPRODUCT((AH328:AM328&lt;&gt;"")*1)=0,"",SUMPRODUCT((AH328:AM328&lt;&gt;"")*(LEN(TRIM(SUBSTITUTE(AH328:AM328,CHAR(160)," "))) - LEN(SUBSTITUTE(TRIM(SUBSTITUTE(AH328:AM328,CHAR(160)," "))," ","")) + 1)) &amp; " word" &amp; IF(SUMPRODUCT((AH328:AM328&lt;&gt;"")*(LEN(TRIM(SUBSTITUTE(AH328:AM328,CHAR(160)," "))) - LEN(SUBSTITUTE(TRIM(SUBSTITUTE(AH328:AM328,CHAR(160)," "))," ","")) + 1))&gt;1,"s",""))</f>
        <v/>
      </c>
      <c r="AF328" s="5550" t="str" cm="1">
        <f t="array" ref="AF328">SUMPRODUCT(--(AH328:AM328&lt;&gt;""), LEN(TRIM(SUBSTITUTE(AH328:AM328, CHAR(160), "")))) &amp; " Car."</f>
        <v>0 Car.</v>
      </c>
      <c r="AG328" s="1376" t="str">
        <f>IF(ISBLANK(AH328),"",LARGE(AG317:AG327,1)+1)</f>
        <v/>
      </c>
      <c r="AH328" s="1810"/>
      <c r="AI328" s="1810"/>
      <c r="AJ328" s="1810"/>
      <c r="AK328" s="1810"/>
      <c r="AL328" s="1810"/>
      <c r="AM328" s="1810"/>
      <c r="AN328" s="1810"/>
      <c r="AO328" s="1810"/>
      <c r="AP328" s="1811"/>
      <c r="AR328" s="162" t="s">
        <v>10</v>
      </c>
      <c r="AS328" s="163" t="str">
        <f>AS275</f>
        <v>N NOMBRE DE SU RECETA | pegue esto — FAMILIA| Auteur &gt; VOUS</v>
      </c>
      <c r="AT328" s="163">
        <f>AT275</f>
        <v>1</v>
      </c>
      <c r="AU328" s="164" t="str">
        <f>AU275</f>
        <v>coupe</v>
      </c>
      <c r="AV328" s="165" t="str">
        <f>AV275</f>
        <v>Receta madre ► MILLE-FEUILLE  aux fraises des bois</v>
      </c>
      <c r="AW328" s="1548"/>
      <c r="AX328" s="1548"/>
      <c r="AY328" s="2190">
        <f>ROWS(BC318:BC328)</f>
        <v>11</v>
      </c>
      <c r="AZ328" s="5549" t="str" cm="1">
        <f t="array" ref="AZ328">IF(SUMPRODUCT((BC328:BH328&lt;&gt;"")*1)=0,"",SUMPRODUCT((BC328:BH328&lt;&gt;"")*(LEN(TRIM(SUBSTITUTE(BC328:BH328,CHAR(160)," "))) - LEN(SUBSTITUTE(TRIM(SUBSTITUTE(BC328:BH328,CHAR(160)," "))," ","")) + 1)) &amp; " palabra" &amp; IF(SUMPRODUCT((BC328:BH328&lt;&gt;"")*(LEN(TRIM(SUBSTITUTE(BC328:BH328,CHAR(160)," "))) - LEN(SUBSTITUTE(TRIM(SUBSTITUTE(BC328:BH328,CHAR(160)," "))," ","")) + 1))&gt;1,"s",""))</f>
        <v/>
      </c>
      <c r="BA328" s="5550" t="str" cm="1">
        <f t="array" ref="BA328">SUMPRODUCT(--(BC328:BH328&lt;&gt;""), LEN(TRIM(SUBSTITUTE(BC328:BH328, CHAR(160), "")))) &amp; " Car."</f>
        <v>0 Car.</v>
      </c>
      <c r="BB328" s="1376" t="str">
        <f>IF(ISBLANK(BC328),"",LARGE(BB317:BB327,1)+1)</f>
        <v/>
      </c>
      <c r="BC328" s="1833"/>
      <c r="BD328" s="1810"/>
      <c r="BE328" s="1810"/>
      <c r="BF328" s="1810"/>
      <c r="BG328" s="1810"/>
      <c r="BH328" s="1810"/>
      <c r="BI328" s="1810"/>
      <c r="BJ328" s="1810"/>
      <c r="BK328" s="1811"/>
      <c r="BM328" s="3">
        <v>1</v>
      </c>
    </row>
    <row r="329" spans="2:65" ht="21" customHeight="1">
      <c r="B329" s="162" t="s">
        <v>10</v>
      </c>
      <c r="C329" s="163" t="str">
        <f>C275</f>
        <v>N NOM DE VOTRE RECETTE | collez la--FAMILLE| Auteur &gt; VOUS</v>
      </c>
      <c r="D329" s="163">
        <f>D275</f>
        <v>1</v>
      </c>
      <c r="E329" s="164" t="str">
        <f>E275</f>
        <v>coupe</v>
      </c>
      <c r="F329" s="165" t="str">
        <f>F275</f>
        <v>Recette mère ► MILLE-FEUILLE  aux fraises des bois</v>
      </c>
      <c r="G329" s="1548"/>
      <c r="H329" s="1548"/>
      <c r="I329" s="2190">
        <f>ROWS(M318:M329)</f>
        <v>12</v>
      </c>
      <c r="J329" s="5549" t="str" cm="1">
        <f t="array" ref="J329">IF(SUMPRODUCT((M329:R329&lt;&gt;"")*1)=0,"",SUMPRODUCT((M329:R329&lt;&gt;"")*(LEN(TRIM(SUBSTITUTE(M329:R329,CHAR(160)," "))) - LEN(SUBSTITUTE(TRIM(SUBSTITUTE(M329:R329,CHAR(160)," "))," ","")) + 1)) &amp; " mot" &amp; IF(SUMPRODUCT((M329:R329&lt;&gt;"")*(LEN(TRIM(SUBSTITUTE(M329:R329,CHAR(160)," "))) - LEN(SUBSTITUTE(TRIM(SUBSTITUTE(M329:R329,CHAR(160)," "))," ","")) + 1))&gt;1,"s",""))</f>
        <v/>
      </c>
      <c r="K329" s="5550" t="str" cm="1">
        <f t="array" ref="K329">SUMPRODUCT(--(M329:R329&lt;&gt;""), LEN(TRIM(SUBSTITUTE(M329:R329, CHAR(160), "")))) &amp; " Car."</f>
        <v>0 Car.</v>
      </c>
      <c r="L329" s="1376" t="str">
        <f>IF(ISBLANK(M329),"",LARGE(L317:L328,1)+1)</f>
        <v/>
      </c>
      <c r="M329" s="1810"/>
      <c r="N329" s="1810"/>
      <c r="O329" s="1810"/>
      <c r="P329" s="1810"/>
      <c r="Q329" s="1810"/>
      <c r="R329" s="1810"/>
      <c r="S329" s="1810"/>
      <c r="T329" s="1810"/>
      <c r="U329" s="1811"/>
      <c r="W329" s="162" t="s">
        <v>10</v>
      </c>
      <c r="X329" s="163" t="str">
        <f>X275</f>
        <v>N NAME OF YOUR RECIPE | paste it — FAMILY|  Author &gt; YOU</v>
      </c>
      <c r="Y329" s="163">
        <f>Y275</f>
        <v>1</v>
      </c>
      <c r="Z329" s="164" t="str">
        <f>Z275</f>
        <v>coupe</v>
      </c>
      <c r="AA329" s="165" t="str">
        <f>AA275</f>
        <v>Master recipe ► MILLE-FEUILLE  aux fraises des bois</v>
      </c>
      <c r="AB329" s="1548"/>
      <c r="AC329" s="1548"/>
      <c r="AD329" s="2190">
        <f>ROWS(AH318:AH329)</f>
        <v>12</v>
      </c>
      <c r="AE329" s="5549" t="str" cm="1">
        <f t="array" ref="AE329">IF(SUMPRODUCT((AH329:AM329&lt;&gt;"")*1)=0,"",SUMPRODUCT((AH329:AM329&lt;&gt;"")*(LEN(TRIM(SUBSTITUTE(AH329:AM329,CHAR(160)," "))) - LEN(SUBSTITUTE(TRIM(SUBSTITUTE(AH329:AM329,CHAR(160)," "))," ","")) + 1)) &amp; " word" &amp; IF(SUMPRODUCT((AH329:AM329&lt;&gt;"")*(LEN(TRIM(SUBSTITUTE(AH329:AM329,CHAR(160)," "))) - LEN(SUBSTITUTE(TRIM(SUBSTITUTE(AH329:AM329,CHAR(160)," "))," ","")) + 1))&gt;1,"s",""))</f>
        <v/>
      </c>
      <c r="AF329" s="5550" t="str" cm="1">
        <f t="array" ref="AF329">SUMPRODUCT(--(AH329:AM329&lt;&gt;""), LEN(TRIM(SUBSTITUTE(AH329:AM329, CHAR(160), "")))) &amp; " Car."</f>
        <v>0 Car.</v>
      </c>
      <c r="AG329" s="1376" t="str">
        <f>IF(ISBLANK(AH329),"",LARGE(AG317:AG328,1)+1)</f>
        <v/>
      </c>
      <c r="AH329" s="1810"/>
      <c r="AI329" s="1833"/>
      <c r="AJ329" s="1810"/>
      <c r="AK329" s="1810"/>
      <c r="AL329" s="1810"/>
      <c r="AM329" s="1810"/>
      <c r="AN329" s="1810"/>
      <c r="AO329" s="1810"/>
      <c r="AP329" s="1811"/>
      <c r="AR329" s="162" t="s">
        <v>10</v>
      </c>
      <c r="AS329" s="163" t="str">
        <f>AS275</f>
        <v>N NOMBRE DE SU RECETA | pegue esto — FAMILIA| Auteur &gt; VOUS</v>
      </c>
      <c r="AT329" s="163">
        <f>AT275</f>
        <v>1</v>
      </c>
      <c r="AU329" s="164" t="str">
        <f>AU275</f>
        <v>coupe</v>
      </c>
      <c r="AV329" s="165" t="str">
        <f>AV275</f>
        <v>Receta madre ► MILLE-FEUILLE  aux fraises des bois</v>
      </c>
      <c r="AW329" s="1548"/>
      <c r="AX329" s="1548"/>
      <c r="AY329" s="2190">
        <f>ROWS(BC318:BC329)</f>
        <v>12</v>
      </c>
      <c r="AZ329" s="5549" t="str" cm="1">
        <f t="array" ref="AZ329">IF(SUMPRODUCT((BC329:BH329&lt;&gt;"")*1)=0,"",SUMPRODUCT((BC329:BH329&lt;&gt;"")*(LEN(TRIM(SUBSTITUTE(BC329:BH329,CHAR(160)," "))) - LEN(SUBSTITUTE(TRIM(SUBSTITUTE(BC329:BH329,CHAR(160)," "))," ","")) + 1)) &amp; " palabra" &amp; IF(SUMPRODUCT((BC329:BH329&lt;&gt;"")*(LEN(TRIM(SUBSTITUTE(BC329:BH329,CHAR(160)," "))) - LEN(SUBSTITUTE(TRIM(SUBSTITUTE(BC329:BH329,CHAR(160)," "))," ","")) + 1))&gt;1,"s",""))</f>
        <v/>
      </c>
      <c r="BA329" s="5550" t="str" cm="1">
        <f t="array" ref="BA329">SUMPRODUCT(--(BC329:BH329&lt;&gt;""), LEN(TRIM(SUBSTITUTE(BC329:BH329, CHAR(160), "")))) &amp; " Car."</f>
        <v>0 Car.</v>
      </c>
      <c r="BB329" s="1376" t="str">
        <f>IF(ISBLANK(BC329),"",LARGE(BB317:BB328,1)+1)</f>
        <v/>
      </c>
      <c r="BC329" s="1833"/>
      <c r="BD329" s="1810"/>
      <c r="BE329" s="1810"/>
      <c r="BF329" s="1810"/>
      <c r="BG329" s="1810"/>
      <c r="BH329" s="1810"/>
      <c r="BI329" s="1810"/>
      <c r="BJ329" s="1810"/>
      <c r="BK329" s="1811"/>
      <c r="BM329" s="3">
        <v>1</v>
      </c>
    </row>
    <row r="330" spans="2:65" ht="21" customHeight="1">
      <c r="B330" s="162" t="s">
        <v>10</v>
      </c>
      <c r="C330" s="163" t="str">
        <f>C275</f>
        <v>N NOM DE VOTRE RECETTE | collez la--FAMILLE| Auteur &gt; VOUS</v>
      </c>
      <c r="D330" s="163">
        <f>D275</f>
        <v>1</v>
      </c>
      <c r="E330" s="164" t="str">
        <f>E275</f>
        <v>coupe</v>
      </c>
      <c r="F330" s="165" t="str">
        <f>F275</f>
        <v>Recette mère ► MILLE-FEUILLE  aux fraises des bois</v>
      </c>
      <c r="G330" s="1548"/>
      <c r="H330" s="1548"/>
      <c r="I330" s="2190">
        <f>ROWS(M318:M330)</f>
        <v>13</v>
      </c>
      <c r="J330" s="5549" t="str" cm="1">
        <f t="array" ref="J330">IF(SUMPRODUCT((M330:R330&lt;&gt;"")*1)=0,"",SUMPRODUCT((M330:R330&lt;&gt;"")*(LEN(TRIM(SUBSTITUTE(M330:R330,CHAR(160)," "))) - LEN(SUBSTITUTE(TRIM(SUBSTITUTE(M330:R330,CHAR(160)," "))," ","")) + 1)) &amp; " mot" &amp; IF(SUMPRODUCT((M330:R330&lt;&gt;"")*(LEN(TRIM(SUBSTITUTE(M330:R330,CHAR(160)," "))) - LEN(SUBSTITUTE(TRIM(SUBSTITUTE(M330:R330,CHAR(160)," "))," ","")) + 1))&gt;1,"s",""))</f>
        <v/>
      </c>
      <c r="K330" s="5550" t="str" cm="1">
        <f t="array" ref="K330">SUMPRODUCT(--(M330:R330&lt;&gt;""), LEN(TRIM(SUBSTITUTE(M330:R330, CHAR(160), "")))) &amp; " Car."</f>
        <v>0 Car.</v>
      </c>
      <c r="L330" s="1376" t="str">
        <f>IF(ISBLANK(M330),"",LARGE(L317:L329,1)+1)</f>
        <v/>
      </c>
      <c r="M330" s="1810"/>
      <c r="N330" s="1810"/>
      <c r="O330" s="1810"/>
      <c r="P330" s="1810"/>
      <c r="Q330" s="1810"/>
      <c r="R330" s="1810"/>
      <c r="S330" s="1810"/>
      <c r="T330" s="1810"/>
      <c r="U330" s="1811"/>
      <c r="W330" s="162" t="s">
        <v>10</v>
      </c>
      <c r="X330" s="163" t="str">
        <f>X275</f>
        <v>N NAME OF YOUR RECIPE | paste it — FAMILY|  Author &gt; YOU</v>
      </c>
      <c r="Y330" s="163">
        <f>Y275</f>
        <v>1</v>
      </c>
      <c r="Z330" s="164" t="str">
        <f>Z275</f>
        <v>coupe</v>
      </c>
      <c r="AA330" s="165" t="str">
        <f>AA275</f>
        <v>Master recipe ► MILLE-FEUILLE  aux fraises des bois</v>
      </c>
      <c r="AB330" s="1548"/>
      <c r="AC330" s="1548"/>
      <c r="AD330" s="2190">
        <f>ROWS(AH318:AH330)</f>
        <v>13</v>
      </c>
      <c r="AE330" s="5549" t="str" cm="1">
        <f t="array" ref="AE330">IF(SUMPRODUCT((AH330:AM330&lt;&gt;"")*1)=0,"",SUMPRODUCT((AH330:AM330&lt;&gt;"")*(LEN(TRIM(SUBSTITUTE(AH330:AM330,CHAR(160)," "))) - LEN(SUBSTITUTE(TRIM(SUBSTITUTE(AH330:AM330,CHAR(160)," "))," ","")) + 1)) &amp; " word" &amp; IF(SUMPRODUCT((AH330:AM330&lt;&gt;"")*(LEN(TRIM(SUBSTITUTE(AH330:AM330,CHAR(160)," "))) - LEN(SUBSTITUTE(TRIM(SUBSTITUTE(AH330:AM330,CHAR(160)," "))," ","")) + 1))&gt;1,"s",""))</f>
        <v/>
      </c>
      <c r="AF330" s="5550" t="str" cm="1">
        <f t="array" ref="AF330">SUMPRODUCT(--(AH330:AM330&lt;&gt;""), LEN(TRIM(SUBSTITUTE(AH330:AM330, CHAR(160), "")))) &amp; " Car."</f>
        <v>0 Car.</v>
      </c>
      <c r="AG330" s="1376" t="str">
        <f>IF(ISBLANK(AH330),"",LARGE(AG317:AG329,1)+1)</f>
        <v/>
      </c>
      <c r="AH330" s="1810"/>
      <c r="AI330" s="1810"/>
      <c r="AJ330" s="1810"/>
      <c r="AK330" s="1810"/>
      <c r="AL330" s="1810"/>
      <c r="AM330" s="1810"/>
      <c r="AN330" s="1810"/>
      <c r="AO330" s="1810"/>
      <c r="AP330" s="1811"/>
      <c r="AR330" s="162" t="s">
        <v>10</v>
      </c>
      <c r="AS330" s="163" t="str">
        <f>AS275</f>
        <v>N NOMBRE DE SU RECETA | pegue esto — FAMILIA| Auteur &gt; VOUS</v>
      </c>
      <c r="AT330" s="163">
        <f>AT275</f>
        <v>1</v>
      </c>
      <c r="AU330" s="164" t="str">
        <f>AU275</f>
        <v>coupe</v>
      </c>
      <c r="AV330" s="165" t="str">
        <f>AV275</f>
        <v>Receta madre ► MILLE-FEUILLE  aux fraises des bois</v>
      </c>
      <c r="AW330" s="1548"/>
      <c r="AX330" s="1548"/>
      <c r="AY330" s="2190">
        <f>ROWS(BC318:BC330)</f>
        <v>13</v>
      </c>
      <c r="AZ330" s="5549" t="str" cm="1">
        <f t="array" ref="AZ330">IF(SUMPRODUCT((BC330:BH330&lt;&gt;"")*1)=0,"",SUMPRODUCT((BC330:BH330&lt;&gt;"")*(LEN(TRIM(SUBSTITUTE(BC330:BH330,CHAR(160)," "))) - LEN(SUBSTITUTE(TRIM(SUBSTITUTE(BC330:BH330,CHAR(160)," "))," ","")) + 1)) &amp; " palabra" &amp; IF(SUMPRODUCT((BC330:BH330&lt;&gt;"")*(LEN(TRIM(SUBSTITUTE(BC330:BH330,CHAR(160)," "))) - LEN(SUBSTITUTE(TRIM(SUBSTITUTE(BC330:BH330,CHAR(160)," "))," ","")) + 1))&gt;1,"s",""))</f>
        <v/>
      </c>
      <c r="BA330" s="5550" t="str" cm="1">
        <f t="array" ref="BA330">SUMPRODUCT(--(BC330:BH330&lt;&gt;""), LEN(TRIM(SUBSTITUTE(BC330:BH330, CHAR(160), "")))) &amp; " Car."</f>
        <v>0 Car.</v>
      </c>
      <c r="BB330" s="1376" t="str">
        <f>IF(ISBLANK(BC330),"",LARGE(BB317:BB329,1)+1)</f>
        <v/>
      </c>
      <c r="BC330" s="1833"/>
      <c r="BD330" s="1810"/>
      <c r="BE330" s="1810"/>
      <c r="BF330" s="1810"/>
      <c r="BG330" s="1810"/>
      <c r="BH330" s="1810"/>
      <c r="BI330" s="1810"/>
      <c r="BJ330" s="1810"/>
      <c r="BK330" s="1811"/>
      <c r="BM330" s="3">
        <v>1</v>
      </c>
    </row>
    <row r="331" spans="2:65" ht="21" customHeight="1">
      <c r="B331" s="162" t="s">
        <v>10</v>
      </c>
      <c r="C331" s="163" t="str">
        <f>C275</f>
        <v>N NOM DE VOTRE RECETTE | collez la--FAMILLE| Auteur &gt; VOUS</v>
      </c>
      <c r="D331" s="163">
        <f>D275</f>
        <v>1</v>
      </c>
      <c r="E331" s="164" t="str">
        <f>E275</f>
        <v>coupe</v>
      </c>
      <c r="F331" s="165" t="str">
        <f>F275</f>
        <v>Recette mère ► MILLE-FEUILLE  aux fraises des bois</v>
      </c>
      <c r="G331" s="1548"/>
      <c r="H331" s="1548"/>
      <c r="I331" s="2190">
        <f>ROWS(M318:M331)</f>
        <v>14</v>
      </c>
      <c r="J331" s="5549" t="str" cm="1">
        <f t="array" ref="J331">IF(SUMPRODUCT((M331:R331&lt;&gt;"")*1)=0,"",SUMPRODUCT((M331:R331&lt;&gt;"")*(LEN(TRIM(SUBSTITUTE(M331:R331,CHAR(160)," "))) - LEN(SUBSTITUTE(TRIM(SUBSTITUTE(M331:R331,CHAR(160)," "))," ","")) + 1)) &amp; " mot" &amp; IF(SUMPRODUCT((M331:R331&lt;&gt;"")*(LEN(TRIM(SUBSTITUTE(M331:R331,CHAR(160)," "))) - LEN(SUBSTITUTE(TRIM(SUBSTITUTE(M331:R331,CHAR(160)," "))," ","")) + 1))&gt;1,"s",""))</f>
        <v/>
      </c>
      <c r="K331" s="5550" t="str" cm="1">
        <f t="array" ref="K331">SUMPRODUCT(--(M331:R331&lt;&gt;""), LEN(TRIM(SUBSTITUTE(M331:R331, CHAR(160), "")))) &amp; " Car."</f>
        <v>0 Car.</v>
      </c>
      <c r="L331" s="1376" t="str">
        <f>IF(ISBLANK(M331),"",LARGE(L317:L330,1)+1)</f>
        <v/>
      </c>
      <c r="M331" s="1810"/>
      <c r="N331" s="1810"/>
      <c r="O331" s="1810"/>
      <c r="P331" s="1810"/>
      <c r="Q331" s="1810"/>
      <c r="R331" s="1810"/>
      <c r="S331" s="1810"/>
      <c r="T331" s="1810"/>
      <c r="U331" s="1811"/>
      <c r="W331" s="162" t="s">
        <v>10</v>
      </c>
      <c r="X331" s="163" t="str">
        <f>X275</f>
        <v>N NAME OF YOUR RECIPE | paste it — FAMILY|  Author &gt; YOU</v>
      </c>
      <c r="Y331" s="163">
        <f>Y275</f>
        <v>1</v>
      </c>
      <c r="Z331" s="164" t="str">
        <f>Z275</f>
        <v>coupe</v>
      </c>
      <c r="AA331" s="165" t="str">
        <f>AA275</f>
        <v>Master recipe ► MILLE-FEUILLE  aux fraises des bois</v>
      </c>
      <c r="AB331" s="1548"/>
      <c r="AC331" s="1548"/>
      <c r="AD331" s="2190">
        <f>ROWS(AH318:AH331)</f>
        <v>14</v>
      </c>
      <c r="AE331" s="5549" t="str" cm="1">
        <f t="array" ref="AE331">IF(SUMPRODUCT((AH331:AM331&lt;&gt;"")*1)=0,"",SUMPRODUCT((AH331:AM331&lt;&gt;"")*(LEN(TRIM(SUBSTITUTE(AH331:AM331,CHAR(160)," "))) - LEN(SUBSTITUTE(TRIM(SUBSTITUTE(AH331:AM331,CHAR(160)," "))," ","")) + 1)) &amp; " word" &amp; IF(SUMPRODUCT((AH331:AM331&lt;&gt;"")*(LEN(TRIM(SUBSTITUTE(AH331:AM331,CHAR(160)," "))) - LEN(SUBSTITUTE(TRIM(SUBSTITUTE(AH331:AM331,CHAR(160)," "))," ","")) + 1))&gt;1,"s",""))</f>
        <v/>
      </c>
      <c r="AF331" s="5550" t="str" cm="1">
        <f t="array" ref="AF331">SUMPRODUCT(--(AH331:AM331&lt;&gt;""), LEN(TRIM(SUBSTITUTE(AH331:AM331, CHAR(160), "")))) &amp; " Car."</f>
        <v>0 Car.</v>
      </c>
      <c r="AG331" s="1376" t="str">
        <f>IF(ISBLANK(AH331),"",LARGE(AG317:AG330,1)+1)</f>
        <v/>
      </c>
      <c r="AH331" s="1810"/>
      <c r="AI331" s="1833"/>
      <c r="AJ331" s="1810"/>
      <c r="AK331" s="1810"/>
      <c r="AL331" s="1810"/>
      <c r="AM331" s="1810"/>
      <c r="AN331" s="1810"/>
      <c r="AO331" s="1810"/>
      <c r="AP331" s="1811"/>
      <c r="AR331" s="162" t="s">
        <v>10</v>
      </c>
      <c r="AS331" s="163" t="str">
        <f>AS275</f>
        <v>N NOMBRE DE SU RECETA | pegue esto — FAMILIA| Auteur &gt; VOUS</v>
      </c>
      <c r="AT331" s="163">
        <f>AT275</f>
        <v>1</v>
      </c>
      <c r="AU331" s="164" t="str">
        <f>AU275</f>
        <v>coupe</v>
      </c>
      <c r="AV331" s="165" t="str">
        <f>AV275</f>
        <v>Receta madre ► MILLE-FEUILLE  aux fraises des bois</v>
      </c>
      <c r="AW331" s="1548"/>
      <c r="AX331" s="1548"/>
      <c r="AY331" s="2190">
        <f>ROWS(BC318:BC331)</f>
        <v>14</v>
      </c>
      <c r="AZ331" s="5549" t="str" cm="1">
        <f t="array" ref="AZ331">IF(SUMPRODUCT((BC331:BH331&lt;&gt;"")*1)=0,"",SUMPRODUCT((BC331:BH331&lt;&gt;"")*(LEN(TRIM(SUBSTITUTE(BC331:BH331,CHAR(160)," "))) - LEN(SUBSTITUTE(TRIM(SUBSTITUTE(BC331:BH331,CHAR(160)," "))," ","")) + 1)) &amp; " palabra" &amp; IF(SUMPRODUCT((BC331:BH331&lt;&gt;"")*(LEN(TRIM(SUBSTITUTE(BC331:BH331,CHAR(160)," "))) - LEN(SUBSTITUTE(TRIM(SUBSTITUTE(BC331:BH331,CHAR(160)," "))," ","")) + 1))&gt;1,"s",""))</f>
        <v/>
      </c>
      <c r="BA331" s="5550" t="str" cm="1">
        <f t="array" ref="BA331">SUMPRODUCT(--(BC331:BH331&lt;&gt;""), LEN(TRIM(SUBSTITUTE(BC331:BH331, CHAR(160), "")))) &amp; " Car."</f>
        <v>0 Car.</v>
      </c>
      <c r="BB331" s="1376" t="str">
        <f>IF(ISBLANK(BC331),"",LARGE(BB317:BB330,1)+1)</f>
        <v/>
      </c>
      <c r="BC331" s="1833"/>
      <c r="BD331" s="1810"/>
      <c r="BE331" s="1810"/>
      <c r="BF331" s="1810"/>
      <c r="BG331" s="1810"/>
      <c r="BH331" s="1810"/>
      <c r="BI331" s="1810"/>
      <c r="BJ331" s="1810"/>
      <c r="BK331" s="1811"/>
      <c r="BM331" s="3">
        <v>1</v>
      </c>
    </row>
    <row r="332" spans="2:65" ht="21" customHeight="1">
      <c r="B332" s="162" t="s">
        <v>10</v>
      </c>
      <c r="C332" s="163" t="str">
        <f>C275</f>
        <v>N NOM DE VOTRE RECETTE | collez la--FAMILLE| Auteur &gt; VOUS</v>
      </c>
      <c r="D332" s="163">
        <f>D275</f>
        <v>1</v>
      </c>
      <c r="E332" s="164" t="str">
        <f>E275</f>
        <v>coupe</v>
      </c>
      <c r="F332" s="165" t="str">
        <f>F275</f>
        <v>Recette mère ► MILLE-FEUILLE  aux fraises des bois</v>
      </c>
      <c r="G332" s="1548"/>
      <c r="H332" s="1548"/>
      <c r="I332" s="2190">
        <f>ROWS(M318:M332)</f>
        <v>15</v>
      </c>
      <c r="J332" s="5549" t="str" cm="1">
        <f t="array" ref="J332">IF(SUMPRODUCT((M332:R332&lt;&gt;"")*1)=0,"",SUMPRODUCT((M332:R332&lt;&gt;"")*(LEN(TRIM(SUBSTITUTE(M332:R332,CHAR(160)," "))) - LEN(SUBSTITUTE(TRIM(SUBSTITUTE(M332:R332,CHAR(160)," "))," ","")) + 1)) &amp; " mot" &amp; IF(SUMPRODUCT((M332:R332&lt;&gt;"")*(LEN(TRIM(SUBSTITUTE(M332:R332,CHAR(160)," "))) - LEN(SUBSTITUTE(TRIM(SUBSTITUTE(M332:R332,CHAR(160)," "))," ","")) + 1))&gt;1,"s",""))</f>
        <v/>
      </c>
      <c r="K332" s="5550" t="str" cm="1">
        <f t="array" ref="K332">SUMPRODUCT(--(M332:R332&lt;&gt;""), LEN(TRIM(SUBSTITUTE(M332:R332, CHAR(160), "")))) &amp; " Car."</f>
        <v>0 Car.</v>
      </c>
      <c r="L332" s="1376" t="str">
        <f>IF(ISBLANK(M332),"",LARGE(L317:L331,1)+1)</f>
        <v/>
      </c>
      <c r="M332" s="1810"/>
      <c r="N332" s="1810"/>
      <c r="O332" s="1810"/>
      <c r="P332" s="1810"/>
      <c r="Q332" s="1810"/>
      <c r="R332" s="1810"/>
      <c r="S332" s="1810"/>
      <c r="T332" s="1810"/>
      <c r="U332" s="1811"/>
      <c r="W332" s="162" t="s">
        <v>10</v>
      </c>
      <c r="X332" s="163" t="str">
        <f>X275</f>
        <v>N NAME OF YOUR RECIPE | paste it — FAMILY|  Author &gt; YOU</v>
      </c>
      <c r="Y332" s="163">
        <f>Y275</f>
        <v>1</v>
      </c>
      <c r="Z332" s="164" t="str">
        <f>Z275</f>
        <v>coupe</v>
      </c>
      <c r="AA332" s="165" t="str">
        <f>AA275</f>
        <v>Master recipe ► MILLE-FEUILLE  aux fraises des bois</v>
      </c>
      <c r="AB332" s="1548"/>
      <c r="AC332" s="1548"/>
      <c r="AD332" s="2190">
        <f>ROWS(AH318:AH332)</f>
        <v>15</v>
      </c>
      <c r="AE332" s="5549" t="str" cm="1">
        <f t="array" ref="AE332">IF(SUMPRODUCT((AH332:AM332&lt;&gt;"")*1)=0,"",SUMPRODUCT((AH332:AM332&lt;&gt;"")*(LEN(TRIM(SUBSTITUTE(AH332:AM332,CHAR(160)," "))) - LEN(SUBSTITUTE(TRIM(SUBSTITUTE(AH332:AM332,CHAR(160)," "))," ","")) + 1)) &amp; " word" &amp; IF(SUMPRODUCT((AH332:AM332&lt;&gt;"")*(LEN(TRIM(SUBSTITUTE(AH332:AM332,CHAR(160)," "))) - LEN(SUBSTITUTE(TRIM(SUBSTITUTE(AH332:AM332,CHAR(160)," "))," ","")) + 1))&gt;1,"s",""))</f>
        <v/>
      </c>
      <c r="AF332" s="5550" t="str" cm="1">
        <f t="array" ref="AF332">SUMPRODUCT(--(AH332:AM332&lt;&gt;""), LEN(TRIM(SUBSTITUTE(AH332:AM332, CHAR(160), "")))) &amp; " Car."</f>
        <v>0 Car.</v>
      </c>
      <c r="AG332" s="1376" t="str">
        <f>IF(ISBLANK(AH332),"",LARGE(AG317:AG331,1)+1)</f>
        <v/>
      </c>
      <c r="AH332" s="1810"/>
      <c r="AI332" s="1810"/>
      <c r="AJ332" s="1810"/>
      <c r="AK332" s="1810"/>
      <c r="AL332" s="1810"/>
      <c r="AM332" s="1810"/>
      <c r="AN332" s="1810"/>
      <c r="AO332" s="1810"/>
      <c r="AP332" s="1811"/>
      <c r="AR332" s="162" t="s">
        <v>10</v>
      </c>
      <c r="AS332" s="163" t="str">
        <f>AS275</f>
        <v>N NOMBRE DE SU RECETA | pegue esto — FAMILIA| Auteur &gt; VOUS</v>
      </c>
      <c r="AT332" s="163">
        <f>AT275</f>
        <v>1</v>
      </c>
      <c r="AU332" s="164" t="str">
        <f>AU275</f>
        <v>coupe</v>
      </c>
      <c r="AV332" s="165" t="str">
        <f>AV275</f>
        <v>Receta madre ► MILLE-FEUILLE  aux fraises des bois</v>
      </c>
      <c r="AW332" s="1548"/>
      <c r="AX332" s="1548"/>
      <c r="AY332" s="2190">
        <f>ROWS(BC318:BC332)</f>
        <v>15</v>
      </c>
      <c r="AZ332" s="5549" t="str" cm="1">
        <f t="array" ref="AZ332">IF(SUMPRODUCT((BC332:BH332&lt;&gt;"")*1)=0,"",SUMPRODUCT((BC332:BH332&lt;&gt;"")*(LEN(TRIM(SUBSTITUTE(BC332:BH332,CHAR(160)," "))) - LEN(SUBSTITUTE(TRIM(SUBSTITUTE(BC332:BH332,CHAR(160)," "))," ","")) + 1)) &amp; " palabra" &amp; IF(SUMPRODUCT((BC332:BH332&lt;&gt;"")*(LEN(TRIM(SUBSTITUTE(BC332:BH332,CHAR(160)," "))) - LEN(SUBSTITUTE(TRIM(SUBSTITUTE(BC332:BH332,CHAR(160)," "))," ","")) + 1))&gt;1,"s",""))</f>
        <v/>
      </c>
      <c r="BA332" s="5550" t="str" cm="1">
        <f t="array" ref="BA332">SUMPRODUCT(--(BC332:BH332&lt;&gt;""), LEN(TRIM(SUBSTITUTE(BC332:BH332, CHAR(160), "")))) &amp; " Car."</f>
        <v>0 Car.</v>
      </c>
      <c r="BB332" s="1376" t="str">
        <f>IF(ISBLANK(BC332),"",LARGE(BB317:BB331,1)+1)</f>
        <v/>
      </c>
      <c r="BC332" s="1833"/>
      <c r="BD332" s="1810"/>
      <c r="BE332" s="1810"/>
      <c r="BF332" s="1810"/>
      <c r="BG332" s="1810"/>
      <c r="BH332" s="1810"/>
      <c r="BI332" s="1810"/>
      <c r="BJ332" s="1810"/>
      <c r="BK332" s="1811"/>
      <c r="BM332" s="3">
        <v>1</v>
      </c>
    </row>
    <row r="333" spans="2:65" ht="21" customHeight="1">
      <c r="B333" s="162" t="s">
        <v>10</v>
      </c>
      <c r="C333" s="163" t="str">
        <f>C275</f>
        <v>N NOM DE VOTRE RECETTE | collez la--FAMILLE| Auteur &gt; VOUS</v>
      </c>
      <c r="D333" s="163">
        <f>D275</f>
        <v>1</v>
      </c>
      <c r="E333" s="164" t="str">
        <f>E275</f>
        <v>coupe</v>
      </c>
      <c r="F333" s="165" t="str">
        <f>F275</f>
        <v>Recette mère ► MILLE-FEUILLE  aux fraises des bois</v>
      </c>
      <c r="G333" s="1548"/>
      <c r="H333" s="1548"/>
      <c r="I333" s="2190">
        <f>ROWS(M318:M333)</f>
        <v>16</v>
      </c>
      <c r="J333" s="5549" t="str" cm="1">
        <f t="array" ref="J333">IF(SUMPRODUCT((M333:R333&lt;&gt;"")*1)=0,"",SUMPRODUCT((M333:R333&lt;&gt;"")*(LEN(TRIM(SUBSTITUTE(M333:R333,CHAR(160)," "))) - LEN(SUBSTITUTE(TRIM(SUBSTITUTE(M333:R333,CHAR(160)," "))," ","")) + 1)) &amp; " mot" &amp; IF(SUMPRODUCT((M333:R333&lt;&gt;"")*(LEN(TRIM(SUBSTITUTE(M333:R333,CHAR(160)," "))) - LEN(SUBSTITUTE(TRIM(SUBSTITUTE(M333:R333,CHAR(160)," "))," ","")) + 1))&gt;1,"s",""))</f>
        <v/>
      </c>
      <c r="K333" s="5550" t="str" cm="1">
        <f t="array" ref="K333">SUMPRODUCT(--(M333:R333&lt;&gt;""), LEN(TRIM(SUBSTITUTE(M333:R333, CHAR(160), "")))) &amp; " Car."</f>
        <v>0 Car.</v>
      </c>
      <c r="L333" s="1376" t="str">
        <f>IF(ISBLANK(M333),"",LARGE(L317:L332,1)+1)</f>
        <v/>
      </c>
      <c r="M333" s="1810"/>
      <c r="N333" s="1810"/>
      <c r="O333" s="1810"/>
      <c r="P333" s="1810"/>
      <c r="Q333" s="1810"/>
      <c r="R333" s="1810"/>
      <c r="S333" s="1810"/>
      <c r="T333" s="1810"/>
      <c r="U333" s="1811"/>
      <c r="W333" s="162" t="s">
        <v>10</v>
      </c>
      <c r="X333" s="163" t="str">
        <f>X275</f>
        <v>N NAME OF YOUR RECIPE | paste it — FAMILY|  Author &gt; YOU</v>
      </c>
      <c r="Y333" s="163">
        <f>Y275</f>
        <v>1</v>
      </c>
      <c r="Z333" s="164" t="str">
        <f>Z275</f>
        <v>coupe</v>
      </c>
      <c r="AA333" s="165" t="str">
        <f>AA275</f>
        <v>Master recipe ► MILLE-FEUILLE  aux fraises des bois</v>
      </c>
      <c r="AB333" s="1548"/>
      <c r="AC333" s="1548"/>
      <c r="AD333" s="2190">
        <f>ROWS(AH318:AH333)</f>
        <v>16</v>
      </c>
      <c r="AE333" s="5549" t="str" cm="1">
        <f t="array" ref="AE333">IF(SUMPRODUCT((AH333:AM333&lt;&gt;"")*1)=0,"",SUMPRODUCT((AH333:AM333&lt;&gt;"")*(LEN(TRIM(SUBSTITUTE(AH333:AM333,CHAR(160)," "))) - LEN(SUBSTITUTE(TRIM(SUBSTITUTE(AH333:AM333,CHAR(160)," "))," ","")) + 1)) &amp; " word" &amp; IF(SUMPRODUCT((AH333:AM333&lt;&gt;"")*(LEN(TRIM(SUBSTITUTE(AH333:AM333,CHAR(160)," "))) - LEN(SUBSTITUTE(TRIM(SUBSTITUTE(AH333:AM333,CHAR(160)," "))," ","")) + 1))&gt;1,"s",""))</f>
        <v/>
      </c>
      <c r="AF333" s="5550" t="str" cm="1">
        <f t="array" ref="AF333">SUMPRODUCT(--(AH333:AM333&lt;&gt;""), LEN(TRIM(SUBSTITUTE(AH333:AM333, CHAR(160), "")))) &amp; " Car."</f>
        <v>0 Car.</v>
      </c>
      <c r="AG333" s="1376" t="str">
        <f>IF(ISBLANK(AH333),"",LARGE(AG317:AG332,1)+1)</f>
        <v/>
      </c>
      <c r="AH333" s="1833"/>
      <c r="AI333" s="1810"/>
      <c r="AJ333" s="1810"/>
      <c r="AK333" s="1810"/>
      <c r="AL333" s="1810"/>
      <c r="AM333" s="1810"/>
      <c r="AN333" s="1810"/>
      <c r="AO333" s="1810"/>
      <c r="AP333" s="1811"/>
      <c r="AR333" s="162" t="s">
        <v>10</v>
      </c>
      <c r="AS333" s="163" t="str">
        <f>AS275</f>
        <v>N NOMBRE DE SU RECETA | pegue esto — FAMILIA| Auteur &gt; VOUS</v>
      </c>
      <c r="AT333" s="163">
        <f>AT275</f>
        <v>1</v>
      </c>
      <c r="AU333" s="164" t="str">
        <f>AU275</f>
        <v>coupe</v>
      </c>
      <c r="AV333" s="165" t="str">
        <f>AV275</f>
        <v>Receta madre ► MILLE-FEUILLE  aux fraises des bois</v>
      </c>
      <c r="AW333" s="1548"/>
      <c r="AX333" s="1548"/>
      <c r="AY333" s="2190">
        <f>ROWS(BC318:BC333)</f>
        <v>16</v>
      </c>
      <c r="AZ333" s="5549" t="str" cm="1">
        <f t="array" ref="AZ333">IF(SUMPRODUCT((BC333:BH333&lt;&gt;"")*1)=0,"",SUMPRODUCT((BC333:BH333&lt;&gt;"")*(LEN(TRIM(SUBSTITUTE(BC333:BH333,CHAR(160)," "))) - LEN(SUBSTITUTE(TRIM(SUBSTITUTE(BC333:BH333,CHAR(160)," "))," ","")) + 1)) &amp; " palabra" &amp; IF(SUMPRODUCT((BC333:BH333&lt;&gt;"")*(LEN(TRIM(SUBSTITUTE(BC333:BH333,CHAR(160)," "))) - LEN(SUBSTITUTE(TRIM(SUBSTITUTE(BC333:BH333,CHAR(160)," "))," ","")) + 1))&gt;1,"s",""))</f>
        <v/>
      </c>
      <c r="BA333" s="5550" t="str" cm="1">
        <f t="array" ref="BA333">SUMPRODUCT(--(BC333:BH333&lt;&gt;""), LEN(TRIM(SUBSTITUTE(BC333:BH333, CHAR(160), "")))) &amp; " Car."</f>
        <v>0 Car.</v>
      </c>
      <c r="BB333" s="1376" t="str">
        <f>IF(ISBLANK(BC333),"",LARGE(BB317:BB332,1)+1)</f>
        <v/>
      </c>
      <c r="BC333" s="1833"/>
      <c r="BD333" s="1810"/>
      <c r="BE333" s="1810"/>
      <c r="BF333" s="1810"/>
      <c r="BG333" s="1810"/>
      <c r="BH333" s="1810"/>
      <c r="BI333" s="1810"/>
      <c r="BJ333" s="1810"/>
      <c r="BK333" s="1811"/>
      <c r="BM333" s="3">
        <v>1</v>
      </c>
    </row>
    <row r="334" spans="2:65" ht="21" customHeight="1">
      <c r="B334" s="162" t="s">
        <v>10</v>
      </c>
      <c r="C334" s="163" t="str">
        <f>C275</f>
        <v>N NOM DE VOTRE RECETTE | collez la--FAMILLE| Auteur &gt; VOUS</v>
      </c>
      <c r="D334" s="163">
        <f>D275</f>
        <v>1</v>
      </c>
      <c r="E334" s="164" t="str">
        <f>E275</f>
        <v>coupe</v>
      </c>
      <c r="F334" s="165" t="str">
        <f>F275</f>
        <v>Recette mère ► MILLE-FEUILLE  aux fraises des bois</v>
      </c>
      <c r="G334" s="1548"/>
      <c r="H334" s="1548"/>
      <c r="I334" s="2190">
        <f>ROWS(M318:M334)</f>
        <v>17</v>
      </c>
      <c r="J334" s="5549" t="str" cm="1">
        <f t="array" ref="J334">IF(SUMPRODUCT((M334:R334&lt;&gt;"")*1)=0,"",SUMPRODUCT((M334:R334&lt;&gt;"")*(LEN(TRIM(SUBSTITUTE(M334:R334,CHAR(160)," "))) - LEN(SUBSTITUTE(TRIM(SUBSTITUTE(M334:R334,CHAR(160)," "))," ","")) + 1)) &amp; " mot" &amp; IF(SUMPRODUCT((M334:R334&lt;&gt;"")*(LEN(TRIM(SUBSTITUTE(M334:R334,CHAR(160)," "))) - LEN(SUBSTITUTE(TRIM(SUBSTITUTE(M334:R334,CHAR(160)," "))," ","")) + 1))&gt;1,"s",""))</f>
        <v/>
      </c>
      <c r="K334" s="5550" t="str" cm="1">
        <f t="array" ref="K334">SUMPRODUCT(--(M334:R334&lt;&gt;""), LEN(TRIM(SUBSTITUTE(M334:R334, CHAR(160), "")))) &amp; " Car."</f>
        <v>0 Car.</v>
      </c>
      <c r="L334" s="1376"/>
      <c r="M334" s="1810"/>
      <c r="N334" s="1810"/>
      <c r="O334" s="1810"/>
      <c r="P334" s="1810"/>
      <c r="Q334" s="1810"/>
      <c r="R334" s="1810"/>
      <c r="S334" s="1810"/>
      <c r="T334" s="1810"/>
      <c r="U334" s="1811"/>
      <c r="W334" s="162" t="s">
        <v>10</v>
      </c>
      <c r="X334" s="163" t="str">
        <f>X275</f>
        <v>N NAME OF YOUR RECIPE | paste it — FAMILY|  Author &gt; YOU</v>
      </c>
      <c r="Y334" s="163">
        <f>Y275</f>
        <v>1</v>
      </c>
      <c r="Z334" s="164" t="str">
        <f>Z275</f>
        <v>coupe</v>
      </c>
      <c r="AA334" s="165" t="str">
        <f>AA275</f>
        <v>Master recipe ► MILLE-FEUILLE  aux fraises des bois</v>
      </c>
      <c r="AB334" s="1548"/>
      <c r="AC334" s="1548"/>
      <c r="AD334" s="2190">
        <f>ROWS(AH318:AH334)</f>
        <v>17</v>
      </c>
      <c r="AE334" s="5549" t="str" cm="1">
        <f t="array" ref="AE334">IF(SUMPRODUCT((AH334:AM334&lt;&gt;"")*1)=0,"",SUMPRODUCT((AH334:AM334&lt;&gt;"")*(LEN(TRIM(SUBSTITUTE(AH334:AM334,CHAR(160)," "))) - LEN(SUBSTITUTE(TRIM(SUBSTITUTE(AH334:AM334,CHAR(160)," "))," ","")) + 1)) &amp; " word" &amp; IF(SUMPRODUCT((AH334:AM334&lt;&gt;"")*(LEN(TRIM(SUBSTITUTE(AH334:AM334,CHAR(160)," "))) - LEN(SUBSTITUTE(TRIM(SUBSTITUTE(AH334:AM334,CHAR(160)," "))," ","")) + 1))&gt;1,"s",""))</f>
        <v/>
      </c>
      <c r="AF334" s="5550" t="str" cm="1">
        <f t="array" ref="AF334">SUMPRODUCT(--(AH334:AM334&lt;&gt;""), LEN(TRIM(SUBSTITUTE(AH334:AM334, CHAR(160), "")))) &amp; " Car."</f>
        <v>0 Car.</v>
      </c>
      <c r="AG334" s="1376" t="str">
        <f>IF(ISBLANK(AH334),"",LARGE(AG317:AG333,1)+1)</f>
        <v/>
      </c>
      <c r="AH334" s="1833"/>
      <c r="AI334" s="1810"/>
      <c r="AJ334" s="1810"/>
      <c r="AK334" s="1810"/>
      <c r="AL334" s="1810"/>
      <c r="AM334" s="1810"/>
      <c r="AN334" s="1810"/>
      <c r="AO334" s="1810"/>
      <c r="AP334" s="1811"/>
      <c r="AR334" s="162" t="s">
        <v>10</v>
      </c>
      <c r="AS334" s="163" t="str">
        <f>AS275</f>
        <v>N NOMBRE DE SU RECETA | pegue esto — FAMILIA| Auteur &gt; VOUS</v>
      </c>
      <c r="AT334" s="163">
        <f>AT275</f>
        <v>1</v>
      </c>
      <c r="AU334" s="164" t="str">
        <f>AU275</f>
        <v>coupe</v>
      </c>
      <c r="AV334" s="165" t="str">
        <f>AV275</f>
        <v>Receta madre ► MILLE-FEUILLE  aux fraises des bois</v>
      </c>
      <c r="AW334" s="1548"/>
      <c r="AX334" s="1548"/>
      <c r="AY334" s="2190">
        <f>ROWS(BC318:BC334)</f>
        <v>17</v>
      </c>
      <c r="AZ334" s="5549" t="str" cm="1">
        <f t="array" ref="AZ334">IF(SUMPRODUCT((BC334:BH334&lt;&gt;"")*1)=0,"",SUMPRODUCT((BC334:BH334&lt;&gt;"")*(LEN(TRIM(SUBSTITUTE(BC334:BH334,CHAR(160)," "))) - LEN(SUBSTITUTE(TRIM(SUBSTITUTE(BC334:BH334,CHAR(160)," "))," ","")) + 1)) &amp; " palabra" &amp; IF(SUMPRODUCT((BC334:BH334&lt;&gt;"")*(LEN(TRIM(SUBSTITUTE(BC334:BH334,CHAR(160)," "))) - LEN(SUBSTITUTE(TRIM(SUBSTITUTE(BC334:BH334,CHAR(160)," "))," ","")) + 1))&gt;1,"s",""))</f>
        <v/>
      </c>
      <c r="BA334" s="5550" t="str" cm="1">
        <f t="array" ref="BA334">SUMPRODUCT(--(BC334:BH334&lt;&gt;""), LEN(TRIM(SUBSTITUTE(BC334:BH334, CHAR(160), "")))) &amp; " Car."</f>
        <v>0 Car.</v>
      </c>
      <c r="BB334" s="1376" t="str">
        <f>IF(ISBLANK(BC334),"",LARGE(BB317:BB333,1)+1)</f>
        <v/>
      </c>
      <c r="BC334" s="1833"/>
      <c r="BD334" s="1810"/>
      <c r="BE334" s="1810"/>
      <c r="BF334" s="1810"/>
      <c r="BG334" s="1810"/>
      <c r="BH334" s="1810"/>
      <c r="BI334" s="1810"/>
      <c r="BJ334" s="1810"/>
      <c r="BK334" s="1811"/>
      <c r="BM334" s="3">
        <v>1</v>
      </c>
    </row>
    <row r="335" spans="2:65" ht="21" customHeight="1">
      <c r="B335" s="162" t="s">
        <v>10</v>
      </c>
      <c r="C335" s="163" t="str">
        <f>C275</f>
        <v>N NOM DE VOTRE RECETTE | collez la--FAMILLE| Auteur &gt; VOUS</v>
      </c>
      <c r="D335" s="163">
        <f>D275</f>
        <v>1</v>
      </c>
      <c r="E335" s="164" t="str">
        <f>E275</f>
        <v>coupe</v>
      </c>
      <c r="F335" s="165" t="str">
        <f>F275</f>
        <v>Recette mère ► MILLE-FEUILLE  aux fraises des bois</v>
      </c>
      <c r="G335" s="1548"/>
      <c r="H335" s="1548"/>
      <c r="I335" s="2190">
        <f>ROWS(M318:M335)</f>
        <v>18</v>
      </c>
      <c r="J335" s="5549" t="str" cm="1">
        <f t="array" ref="J335">IF(SUMPRODUCT((M335:R335&lt;&gt;"")*1)=0,"",SUMPRODUCT((M335:R335&lt;&gt;"")*(LEN(TRIM(SUBSTITUTE(M335:R335,CHAR(160)," "))) - LEN(SUBSTITUTE(TRIM(SUBSTITUTE(M335:R335,CHAR(160)," "))," ","")) + 1)) &amp; " mot" &amp; IF(SUMPRODUCT((M335:R335&lt;&gt;"")*(LEN(TRIM(SUBSTITUTE(M335:R335,CHAR(160)," "))) - LEN(SUBSTITUTE(TRIM(SUBSTITUTE(M335:R335,CHAR(160)," "))," ","")) + 1))&gt;1,"s",""))</f>
        <v/>
      </c>
      <c r="K335" s="5550" t="str" cm="1">
        <f t="array" ref="K335">SUMPRODUCT(--(M335:R335&lt;&gt;""), LEN(TRIM(SUBSTITUTE(M335:R335, CHAR(160), "")))) &amp; " Car."</f>
        <v>0 Car.</v>
      </c>
      <c r="L335" s="1376"/>
      <c r="M335" s="1810"/>
      <c r="N335" s="1810"/>
      <c r="O335" s="1810"/>
      <c r="P335" s="1810"/>
      <c r="Q335" s="1810"/>
      <c r="R335" s="1810"/>
      <c r="S335" s="1810"/>
      <c r="T335" s="1810"/>
      <c r="U335" s="1811"/>
      <c r="W335" s="162" t="s">
        <v>10</v>
      </c>
      <c r="X335" s="163" t="str">
        <f>X275</f>
        <v>N NAME OF YOUR RECIPE | paste it — FAMILY|  Author &gt; YOU</v>
      </c>
      <c r="Y335" s="163">
        <f>Y275</f>
        <v>1</v>
      </c>
      <c r="Z335" s="164" t="str">
        <f>Z275</f>
        <v>coupe</v>
      </c>
      <c r="AA335" s="165" t="str">
        <f>AA275</f>
        <v>Master recipe ► MILLE-FEUILLE  aux fraises des bois</v>
      </c>
      <c r="AB335" s="1548"/>
      <c r="AC335" s="1548"/>
      <c r="AD335" s="2190">
        <f>ROWS(AH318:AH335)</f>
        <v>18</v>
      </c>
      <c r="AE335" s="5549" t="str" cm="1">
        <f t="array" ref="AE335">IF(SUMPRODUCT((AH335:AM335&lt;&gt;"")*1)=0,"",SUMPRODUCT((AH335:AM335&lt;&gt;"")*(LEN(TRIM(SUBSTITUTE(AH335:AM335,CHAR(160)," "))) - LEN(SUBSTITUTE(TRIM(SUBSTITUTE(AH335:AM335,CHAR(160)," "))," ","")) + 1)) &amp; " word" &amp; IF(SUMPRODUCT((AH335:AM335&lt;&gt;"")*(LEN(TRIM(SUBSTITUTE(AH335:AM335,CHAR(160)," "))) - LEN(SUBSTITUTE(TRIM(SUBSTITUTE(AH335:AM335,CHAR(160)," "))," ","")) + 1))&gt;1,"s",""))</f>
        <v/>
      </c>
      <c r="AF335" s="5550" t="str" cm="1">
        <f t="array" ref="AF335">SUMPRODUCT(--(AH335:AM335&lt;&gt;""), LEN(TRIM(SUBSTITUTE(AH335:AM335, CHAR(160), "")))) &amp; " Car."</f>
        <v>0 Car.</v>
      </c>
      <c r="AG335" s="1376" t="str">
        <f>IF(ISBLANK(AH335),"",LARGE(AG317:AG334,1)+1)</f>
        <v/>
      </c>
      <c r="AH335" s="1833"/>
      <c r="AI335" s="1810"/>
      <c r="AJ335" s="1810"/>
      <c r="AK335" s="1810"/>
      <c r="AL335" s="1810"/>
      <c r="AM335" s="1810"/>
      <c r="AN335" s="1810"/>
      <c r="AO335" s="1810"/>
      <c r="AP335" s="1811"/>
      <c r="AR335" s="162" t="s">
        <v>10</v>
      </c>
      <c r="AS335" s="163" t="str">
        <f>AS275</f>
        <v>N NOMBRE DE SU RECETA | pegue esto — FAMILIA| Auteur &gt; VOUS</v>
      </c>
      <c r="AT335" s="163">
        <f>AT275</f>
        <v>1</v>
      </c>
      <c r="AU335" s="164" t="str">
        <f>AU275</f>
        <v>coupe</v>
      </c>
      <c r="AV335" s="165" t="str">
        <f>AV275</f>
        <v>Receta madre ► MILLE-FEUILLE  aux fraises des bois</v>
      </c>
      <c r="AW335" s="1548"/>
      <c r="AX335" s="1548"/>
      <c r="AY335" s="2190">
        <f>ROWS(BC318:BC335)</f>
        <v>18</v>
      </c>
      <c r="AZ335" s="5549" t="str" cm="1">
        <f t="array" ref="AZ335">IF(SUMPRODUCT((BC335:BH335&lt;&gt;"")*1)=0,"",SUMPRODUCT((BC335:BH335&lt;&gt;"")*(LEN(TRIM(SUBSTITUTE(BC335:BH335,CHAR(160)," "))) - LEN(SUBSTITUTE(TRIM(SUBSTITUTE(BC335:BH335,CHAR(160)," "))," ","")) + 1)) &amp; " palabra" &amp; IF(SUMPRODUCT((BC335:BH335&lt;&gt;"")*(LEN(TRIM(SUBSTITUTE(BC335:BH335,CHAR(160)," "))) - LEN(SUBSTITUTE(TRIM(SUBSTITUTE(BC335:BH335,CHAR(160)," "))," ","")) + 1))&gt;1,"s",""))</f>
        <v/>
      </c>
      <c r="BA335" s="5550" t="str" cm="1">
        <f t="array" ref="BA335">SUMPRODUCT(--(BC335:BH335&lt;&gt;""), LEN(TRIM(SUBSTITUTE(BC335:BH335, CHAR(160), "")))) &amp; " Car."</f>
        <v>0 Car.</v>
      </c>
      <c r="BB335" s="1376" t="str">
        <f>IF(ISBLANK(BC335),"",LARGE(BB317:BB334,1)+1)</f>
        <v/>
      </c>
      <c r="BC335" s="1833"/>
      <c r="BD335" s="1810"/>
      <c r="BE335" s="1810"/>
      <c r="BF335" s="1810"/>
      <c r="BG335" s="1810"/>
      <c r="BH335" s="1810"/>
      <c r="BI335" s="1810"/>
      <c r="BJ335" s="1810"/>
      <c r="BK335" s="1811"/>
      <c r="BM335" s="3">
        <v>1</v>
      </c>
    </row>
    <row r="336" spans="2:65" ht="21" customHeight="1">
      <c r="B336" s="103" t="str">
        <f t="shared" ref="B336:B356" si="82">IF(M336&lt;&gt;"","A","►")</f>
        <v>►</v>
      </c>
      <c r="C336" s="163" t="str">
        <f>C275</f>
        <v>N NOM DE VOTRE RECETTE | collez la--FAMILLE| Auteur &gt; VOUS</v>
      </c>
      <c r="D336" s="163">
        <f>D275</f>
        <v>1</v>
      </c>
      <c r="E336" s="164" t="str">
        <f>E275</f>
        <v>coupe</v>
      </c>
      <c r="F336" s="165" t="str">
        <f>F275</f>
        <v>Recette mère ► MILLE-FEUILLE  aux fraises des bois</v>
      </c>
      <c r="G336" s="1548"/>
      <c r="H336" s="1548"/>
      <c r="I336" s="2190">
        <f>ROWS(M318:M336)</f>
        <v>19</v>
      </c>
      <c r="J336" s="5549" t="str" cm="1">
        <f t="array" ref="J336">IF(SUMPRODUCT((M336:R336&lt;&gt;"")*1)=0,"",SUMPRODUCT((M336:R336&lt;&gt;"")*(LEN(TRIM(SUBSTITUTE(M336:R336,CHAR(160)," "))) - LEN(SUBSTITUTE(TRIM(SUBSTITUTE(M336:R336,CHAR(160)," "))," ","")) + 1)) &amp; " mot" &amp; IF(SUMPRODUCT((M336:R336&lt;&gt;"")*(LEN(TRIM(SUBSTITUTE(M336:R336,CHAR(160)," "))) - LEN(SUBSTITUTE(TRIM(SUBSTITUTE(M336:R336,CHAR(160)," "))," ","")) + 1))&gt;1,"s",""))</f>
        <v/>
      </c>
      <c r="K336" s="5550" t="str" cm="1">
        <f t="array" ref="K336">SUMPRODUCT(--(M336:R336&lt;&gt;""), LEN(TRIM(SUBSTITUTE(M336:R336, CHAR(160), "")))) &amp; " Car."</f>
        <v>0 Car.</v>
      </c>
      <c r="L336" s="1376" t="str">
        <f>IF(ISBLANK(M336),"",LARGE(L317:L335,1)+1)</f>
        <v/>
      </c>
      <c r="M336" s="1810"/>
      <c r="N336" s="1810"/>
      <c r="O336" s="1810"/>
      <c r="P336" s="1810"/>
      <c r="Q336" s="1810"/>
      <c r="R336" s="1810"/>
      <c r="S336" s="1810"/>
      <c r="T336" s="1810"/>
      <c r="U336" s="1811"/>
      <c r="W336" s="103" t="str">
        <f t="shared" ref="W336:W356" si="83">IF(AH336&lt;&gt;"","A","►")</f>
        <v>►</v>
      </c>
      <c r="X336" s="163" t="str">
        <f>X275</f>
        <v>N NAME OF YOUR RECIPE | paste it — FAMILY|  Author &gt; YOU</v>
      </c>
      <c r="Y336" s="163">
        <f>Y275</f>
        <v>1</v>
      </c>
      <c r="Z336" s="164" t="str">
        <f>Z275</f>
        <v>coupe</v>
      </c>
      <c r="AA336" s="165" t="str">
        <f>AA275</f>
        <v>Master recipe ► MILLE-FEUILLE  aux fraises des bois</v>
      </c>
      <c r="AB336" s="1548"/>
      <c r="AC336" s="1548"/>
      <c r="AD336" s="2190">
        <f>ROWS(AH318:AH336)</f>
        <v>19</v>
      </c>
      <c r="AE336" s="5549" t="str" cm="1">
        <f t="array" ref="AE336">IF(SUMPRODUCT((AH336:AM336&lt;&gt;"")*1)=0,"",SUMPRODUCT((AH336:AM336&lt;&gt;"")*(LEN(TRIM(SUBSTITUTE(AH336:AM336,CHAR(160)," "))) - LEN(SUBSTITUTE(TRIM(SUBSTITUTE(AH336:AM336,CHAR(160)," "))," ","")) + 1)) &amp; " word" &amp; IF(SUMPRODUCT((AH336:AM336&lt;&gt;"")*(LEN(TRIM(SUBSTITUTE(AH336:AM336,CHAR(160)," "))) - LEN(SUBSTITUTE(TRIM(SUBSTITUTE(AH336:AM336,CHAR(160)," "))," ","")) + 1))&gt;1,"s",""))</f>
        <v/>
      </c>
      <c r="AF336" s="5550" t="str" cm="1">
        <f t="array" ref="AF336">SUMPRODUCT(--(AH336:AM336&lt;&gt;""), LEN(TRIM(SUBSTITUTE(AH336:AM336, CHAR(160), "")))) &amp; " Car."</f>
        <v>0 Car.</v>
      </c>
      <c r="AG336" s="1376" t="str">
        <f>IF(ISBLANK(AH336),"",LARGE(AG317:AG335,1)+1)</f>
        <v/>
      </c>
      <c r="AH336" s="1833"/>
      <c r="AI336" s="1810"/>
      <c r="AJ336" s="1810"/>
      <c r="AK336" s="1810"/>
      <c r="AL336" s="1810"/>
      <c r="AM336" s="1810"/>
      <c r="AN336" s="1810"/>
      <c r="AO336" s="1810"/>
      <c r="AP336" s="1811"/>
      <c r="AR336" s="103" t="str">
        <f t="shared" ref="AR336:AR356" si="84">IF(BC336&lt;&gt;"","A","►")</f>
        <v>►</v>
      </c>
      <c r="AS336" s="163" t="str">
        <f>AS275</f>
        <v>N NOMBRE DE SU RECETA | pegue esto — FAMILIA| Auteur &gt; VOUS</v>
      </c>
      <c r="AT336" s="163">
        <f>AT275</f>
        <v>1</v>
      </c>
      <c r="AU336" s="164" t="str">
        <f>AU275</f>
        <v>coupe</v>
      </c>
      <c r="AV336" s="165" t="str">
        <f>AV275</f>
        <v>Receta madre ► MILLE-FEUILLE  aux fraises des bois</v>
      </c>
      <c r="AW336" s="1548"/>
      <c r="AX336" s="1548"/>
      <c r="AY336" s="2190">
        <f>ROWS(BC318:BC336)</f>
        <v>19</v>
      </c>
      <c r="AZ336" s="5549" t="str" cm="1">
        <f t="array" ref="AZ336">IF(SUMPRODUCT((BC336:BH336&lt;&gt;"")*1)=0,"",SUMPRODUCT((BC336:BH336&lt;&gt;"")*(LEN(TRIM(SUBSTITUTE(BC336:BH336,CHAR(160)," "))) - LEN(SUBSTITUTE(TRIM(SUBSTITUTE(BC336:BH336,CHAR(160)," "))," ","")) + 1)) &amp; " palabra" &amp; IF(SUMPRODUCT((BC336:BH336&lt;&gt;"")*(LEN(TRIM(SUBSTITUTE(BC336:BH336,CHAR(160)," "))) - LEN(SUBSTITUTE(TRIM(SUBSTITUTE(BC336:BH336,CHAR(160)," "))," ","")) + 1))&gt;1,"s",""))</f>
        <v/>
      </c>
      <c r="BA336" s="5550" t="str" cm="1">
        <f t="array" ref="BA336">SUMPRODUCT(--(BC336:BH336&lt;&gt;""), LEN(TRIM(SUBSTITUTE(BC336:BH336, CHAR(160), "")))) &amp; " Car."</f>
        <v>0 Car.</v>
      </c>
      <c r="BB336" s="1376" t="str">
        <f>IF(ISBLANK(BC336),"",LARGE(BB317:BB335,1)+1)</f>
        <v/>
      </c>
      <c r="BC336" s="1833"/>
      <c r="BD336" s="1810"/>
      <c r="BE336" s="1810"/>
      <c r="BF336" s="1810"/>
      <c r="BG336" s="1810"/>
      <c r="BH336" s="1810"/>
      <c r="BI336" s="1810"/>
      <c r="BJ336" s="1810"/>
      <c r="BK336" s="1811"/>
      <c r="BM336" s="3">
        <v>1</v>
      </c>
    </row>
    <row r="337" spans="2:65" ht="21" customHeight="1">
      <c r="B337" s="103" t="str">
        <f t="shared" si="82"/>
        <v>►</v>
      </c>
      <c r="C337" s="163" t="str">
        <f>C275</f>
        <v>N NOM DE VOTRE RECETTE | collez la--FAMILLE| Auteur &gt; VOUS</v>
      </c>
      <c r="D337" s="163">
        <f>D275</f>
        <v>1</v>
      </c>
      <c r="E337" s="164" t="str">
        <f>E275</f>
        <v>coupe</v>
      </c>
      <c r="F337" s="165" t="str">
        <f>F275</f>
        <v>Recette mère ► MILLE-FEUILLE  aux fraises des bois</v>
      </c>
      <c r="G337" s="1548"/>
      <c r="H337" s="1548"/>
      <c r="I337" s="2190">
        <f>ROWS(M318:M337)</f>
        <v>20</v>
      </c>
      <c r="J337" s="5549" t="str" cm="1">
        <f t="array" ref="J337">IF(SUMPRODUCT((M337:R337&lt;&gt;"")*1)=0,"",SUMPRODUCT((M337:R337&lt;&gt;"")*(LEN(TRIM(SUBSTITUTE(M337:R337,CHAR(160)," "))) - LEN(SUBSTITUTE(TRIM(SUBSTITUTE(M337:R337,CHAR(160)," "))," ","")) + 1)) &amp; " mot" &amp; IF(SUMPRODUCT((M337:R337&lt;&gt;"")*(LEN(TRIM(SUBSTITUTE(M337:R337,CHAR(160)," "))) - LEN(SUBSTITUTE(TRIM(SUBSTITUTE(M337:R337,CHAR(160)," "))," ","")) + 1))&gt;1,"s",""))</f>
        <v/>
      </c>
      <c r="K337" s="5550" t="str" cm="1">
        <f t="array" ref="K337">SUMPRODUCT(--(M337:R337&lt;&gt;""), LEN(TRIM(SUBSTITUTE(M337:R337, CHAR(160), "")))) &amp; " Car."</f>
        <v>0 Car.</v>
      </c>
      <c r="L337" s="1376" t="str">
        <f>IF(ISBLANK(M337),"",LARGE(L317:L336,1)+1)</f>
        <v/>
      </c>
      <c r="M337" s="1810"/>
      <c r="N337" s="1810"/>
      <c r="O337" s="1810"/>
      <c r="P337" s="1810"/>
      <c r="Q337" s="1810"/>
      <c r="R337" s="1810"/>
      <c r="S337" s="1810"/>
      <c r="T337" s="1810"/>
      <c r="U337" s="1811"/>
      <c r="W337" s="103" t="str">
        <f t="shared" si="83"/>
        <v>►</v>
      </c>
      <c r="X337" s="163" t="str">
        <f>X275</f>
        <v>N NAME OF YOUR RECIPE | paste it — FAMILY|  Author &gt; YOU</v>
      </c>
      <c r="Y337" s="163">
        <f>Y275</f>
        <v>1</v>
      </c>
      <c r="Z337" s="164" t="str">
        <f>Z275</f>
        <v>coupe</v>
      </c>
      <c r="AA337" s="165" t="str">
        <f>AA275</f>
        <v>Master recipe ► MILLE-FEUILLE  aux fraises des bois</v>
      </c>
      <c r="AB337" s="1548"/>
      <c r="AC337" s="1548"/>
      <c r="AD337" s="2190">
        <f>ROWS(AH318:AH337)</f>
        <v>20</v>
      </c>
      <c r="AE337" s="5549" t="str" cm="1">
        <f t="array" ref="AE337">IF(SUMPRODUCT((AH337:AM337&lt;&gt;"")*1)=0,"",SUMPRODUCT((AH337:AM337&lt;&gt;"")*(LEN(TRIM(SUBSTITUTE(AH337:AM337,CHAR(160)," "))) - LEN(SUBSTITUTE(TRIM(SUBSTITUTE(AH337:AM337,CHAR(160)," "))," ","")) + 1)) &amp; " word" &amp; IF(SUMPRODUCT((AH337:AM337&lt;&gt;"")*(LEN(TRIM(SUBSTITUTE(AH337:AM337,CHAR(160)," "))) - LEN(SUBSTITUTE(TRIM(SUBSTITUTE(AH337:AM337,CHAR(160)," "))," ","")) + 1))&gt;1,"s",""))</f>
        <v/>
      </c>
      <c r="AF337" s="5550" t="str" cm="1">
        <f t="array" ref="AF337">SUMPRODUCT(--(AH337:AM337&lt;&gt;""), LEN(TRIM(SUBSTITUTE(AH337:AM337, CHAR(160), "")))) &amp; " Car."</f>
        <v>0 Car.</v>
      </c>
      <c r="AG337" s="1376" t="str">
        <f>IF(ISBLANK(AH337),"",LARGE(AG317:AG336,1)+1)</f>
        <v/>
      </c>
      <c r="AH337" s="1833"/>
      <c r="AI337" s="1810"/>
      <c r="AJ337" s="1810"/>
      <c r="AK337" s="1810"/>
      <c r="AL337" s="1810"/>
      <c r="AM337" s="1810"/>
      <c r="AN337" s="1810"/>
      <c r="AO337" s="1810"/>
      <c r="AP337" s="1811"/>
      <c r="AR337" s="103" t="str">
        <f t="shared" si="84"/>
        <v>►</v>
      </c>
      <c r="AS337" s="163" t="str">
        <f>AS275</f>
        <v>N NOMBRE DE SU RECETA | pegue esto — FAMILIA| Auteur &gt; VOUS</v>
      </c>
      <c r="AT337" s="163">
        <f>AT275</f>
        <v>1</v>
      </c>
      <c r="AU337" s="164" t="str">
        <f>AU275</f>
        <v>coupe</v>
      </c>
      <c r="AV337" s="165" t="str">
        <f>AV275</f>
        <v>Receta madre ► MILLE-FEUILLE  aux fraises des bois</v>
      </c>
      <c r="AW337" s="1548"/>
      <c r="AX337" s="1548"/>
      <c r="AY337" s="2190">
        <f>ROWS(BC318:BC337)</f>
        <v>20</v>
      </c>
      <c r="AZ337" s="5549" t="str" cm="1">
        <f t="array" ref="AZ337">IF(SUMPRODUCT((BC337:BH337&lt;&gt;"")*1)=0,"",SUMPRODUCT((BC337:BH337&lt;&gt;"")*(LEN(TRIM(SUBSTITUTE(BC337:BH337,CHAR(160)," "))) - LEN(SUBSTITUTE(TRIM(SUBSTITUTE(BC337:BH337,CHAR(160)," "))," ","")) + 1)) &amp; " palabra" &amp; IF(SUMPRODUCT((BC337:BH337&lt;&gt;"")*(LEN(TRIM(SUBSTITUTE(BC337:BH337,CHAR(160)," "))) - LEN(SUBSTITUTE(TRIM(SUBSTITUTE(BC337:BH337,CHAR(160)," "))," ","")) + 1))&gt;1,"s",""))</f>
        <v/>
      </c>
      <c r="BA337" s="5550" t="str" cm="1">
        <f t="array" ref="BA337">SUMPRODUCT(--(BC337:BH337&lt;&gt;""), LEN(TRIM(SUBSTITUTE(BC337:BH337, CHAR(160), "")))) &amp; " Car."</f>
        <v>0 Car.</v>
      </c>
      <c r="BB337" s="1376" t="str">
        <f>IF(ISBLANK(BC337),"",LARGE(BB317:BB336,1)+1)</f>
        <v/>
      </c>
      <c r="BC337" s="1833"/>
      <c r="BD337" s="1810"/>
      <c r="BE337" s="1810"/>
      <c r="BF337" s="1810"/>
      <c r="BG337" s="1810"/>
      <c r="BH337" s="1810"/>
      <c r="BI337" s="1810"/>
      <c r="BJ337" s="1810"/>
      <c r="BK337" s="1811"/>
      <c r="BM337" s="3">
        <v>1</v>
      </c>
    </row>
    <row r="338" spans="2:65" ht="21" customHeight="1">
      <c r="B338" s="103" t="str">
        <f t="shared" si="82"/>
        <v>►</v>
      </c>
      <c r="C338" s="163" t="str">
        <f>C275</f>
        <v>N NOM DE VOTRE RECETTE | collez la--FAMILLE| Auteur &gt; VOUS</v>
      </c>
      <c r="D338" s="163">
        <f>D275</f>
        <v>1</v>
      </c>
      <c r="E338" s="164" t="str">
        <f>E275</f>
        <v>coupe</v>
      </c>
      <c r="F338" s="165" t="str">
        <f>F275</f>
        <v>Recette mère ► MILLE-FEUILLE  aux fraises des bois</v>
      </c>
      <c r="G338" s="1548"/>
      <c r="H338" s="1548"/>
      <c r="I338" s="2190">
        <f>ROWS(M318:M338)</f>
        <v>21</v>
      </c>
      <c r="J338" s="5549" t="str" cm="1">
        <f t="array" ref="J338">IF(SUMPRODUCT((M338:R338&lt;&gt;"")*1)=0,"",SUMPRODUCT((M338:R338&lt;&gt;"")*(LEN(TRIM(SUBSTITUTE(M338:R338,CHAR(160)," "))) - LEN(SUBSTITUTE(TRIM(SUBSTITUTE(M338:R338,CHAR(160)," "))," ","")) + 1)) &amp; " mot" &amp; IF(SUMPRODUCT((M338:R338&lt;&gt;"")*(LEN(TRIM(SUBSTITUTE(M338:R338,CHAR(160)," "))) - LEN(SUBSTITUTE(TRIM(SUBSTITUTE(M338:R338,CHAR(160)," "))," ","")) + 1))&gt;1,"s",""))</f>
        <v/>
      </c>
      <c r="K338" s="5550" t="str" cm="1">
        <f t="array" ref="K338">SUMPRODUCT(--(M338:R338&lt;&gt;""), LEN(TRIM(SUBSTITUTE(M338:R338, CHAR(160), "")))) &amp; " Car."</f>
        <v>0 Car.</v>
      </c>
      <c r="L338" s="1376" t="str">
        <f>IF(ISBLANK(M338),"",LARGE(L317:L337,1)+1)</f>
        <v/>
      </c>
      <c r="M338" s="1810"/>
      <c r="N338" s="1810"/>
      <c r="O338" s="1810"/>
      <c r="P338" s="1810"/>
      <c r="Q338" s="1810"/>
      <c r="R338" s="1810"/>
      <c r="S338" s="1810"/>
      <c r="T338" s="1810"/>
      <c r="U338" s="1811"/>
      <c r="W338" s="103" t="str">
        <f t="shared" si="83"/>
        <v>►</v>
      </c>
      <c r="X338" s="163" t="str">
        <f>X275</f>
        <v>N NAME OF YOUR RECIPE | paste it — FAMILY|  Author &gt; YOU</v>
      </c>
      <c r="Y338" s="163">
        <f>Y275</f>
        <v>1</v>
      </c>
      <c r="Z338" s="164" t="str">
        <f>Z275</f>
        <v>coupe</v>
      </c>
      <c r="AA338" s="165" t="str">
        <f>AA275</f>
        <v>Master recipe ► MILLE-FEUILLE  aux fraises des bois</v>
      </c>
      <c r="AB338" s="1548"/>
      <c r="AC338" s="1548"/>
      <c r="AD338" s="2190">
        <f>ROWS(AH318:AH338)</f>
        <v>21</v>
      </c>
      <c r="AE338" s="5549" t="str" cm="1">
        <f t="array" ref="AE338">IF(SUMPRODUCT((AH338:AM338&lt;&gt;"")*1)=0,"",SUMPRODUCT((AH338:AM338&lt;&gt;"")*(LEN(TRIM(SUBSTITUTE(AH338:AM338,CHAR(160)," "))) - LEN(SUBSTITUTE(TRIM(SUBSTITUTE(AH338:AM338,CHAR(160)," "))," ","")) + 1)) &amp; " word" &amp; IF(SUMPRODUCT((AH338:AM338&lt;&gt;"")*(LEN(TRIM(SUBSTITUTE(AH338:AM338,CHAR(160)," "))) - LEN(SUBSTITUTE(TRIM(SUBSTITUTE(AH338:AM338,CHAR(160)," "))," ","")) + 1))&gt;1,"s",""))</f>
        <v/>
      </c>
      <c r="AF338" s="5550" t="str" cm="1">
        <f t="array" ref="AF338">SUMPRODUCT(--(AH338:AM338&lt;&gt;""), LEN(TRIM(SUBSTITUTE(AH338:AM338, CHAR(160), "")))) &amp; " Car."</f>
        <v>0 Car.</v>
      </c>
      <c r="AG338" s="1376" t="str">
        <f>IF(ISBLANK(AH338),"",LARGE(AG317:AG337,1)+1)</f>
        <v/>
      </c>
      <c r="AH338" s="1833"/>
      <c r="AI338" s="1810"/>
      <c r="AJ338" s="1810"/>
      <c r="AK338" s="1810"/>
      <c r="AL338" s="1810"/>
      <c r="AM338" s="1810"/>
      <c r="AN338" s="1810"/>
      <c r="AO338" s="1810"/>
      <c r="AP338" s="1811"/>
      <c r="AR338" s="103" t="str">
        <f t="shared" si="84"/>
        <v>►</v>
      </c>
      <c r="AS338" s="163" t="str">
        <f>AS275</f>
        <v>N NOMBRE DE SU RECETA | pegue esto — FAMILIA| Auteur &gt; VOUS</v>
      </c>
      <c r="AT338" s="163">
        <f>AT275</f>
        <v>1</v>
      </c>
      <c r="AU338" s="164" t="str">
        <f>AU275</f>
        <v>coupe</v>
      </c>
      <c r="AV338" s="165" t="str">
        <f>AV275</f>
        <v>Receta madre ► MILLE-FEUILLE  aux fraises des bois</v>
      </c>
      <c r="AW338" s="1548"/>
      <c r="AX338" s="1548"/>
      <c r="AY338" s="2190">
        <f>ROWS(BC318:BC338)</f>
        <v>21</v>
      </c>
      <c r="AZ338" s="5549" t="str" cm="1">
        <f t="array" ref="AZ338">IF(SUMPRODUCT((BC338:BH338&lt;&gt;"")*1)=0,"",SUMPRODUCT((BC338:BH338&lt;&gt;"")*(LEN(TRIM(SUBSTITUTE(BC338:BH338,CHAR(160)," "))) - LEN(SUBSTITUTE(TRIM(SUBSTITUTE(BC338:BH338,CHAR(160)," "))," ","")) + 1)) &amp; " palabra" &amp; IF(SUMPRODUCT((BC338:BH338&lt;&gt;"")*(LEN(TRIM(SUBSTITUTE(BC338:BH338,CHAR(160)," "))) - LEN(SUBSTITUTE(TRIM(SUBSTITUTE(BC338:BH338,CHAR(160)," "))," ","")) + 1))&gt;1,"s",""))</f>
        <v/>
      </c>
      <c r="BA338" s="5550" t="str" cm="1">
        <f t="array" ref="BA338">SUMPRODUCT(--(BC338:BH338&lt;&gt;""), LEN(TRIM(SUBSTITUTE(BC338:BH338, CHAR(160), "")))) &amp; " Car."</f>
        <v>0 Car.</v>
      </c>
      <c r="BB338" s="1376" t="str">
        <f>IF(ISBLANK(BC338),"",LARGE(BB317:BB337,1)+1)</f>
        <v/>
      </c>
      <c r="BC338" s="1833"/>
      <c r="BD338" s="1810"/>
      <c r="BE338" s="1810"/>
      <c r="BF338" s="1810"/>
      <c r="BG338" s="1810"/>
      <c r="BH338" s="1810"/>
      <c r="BI338" s="1810"/>
      <c r="BJ338" s="1810"/>
      <c r="BK338" s="1811"/>
      <c r="BM338" s="3">
        <v>1</v>
      </c>
    </row>
    <row r="339" spans="2:65" ht="21" customHeight="1">
      <c r="B339" s="103" t="str">
        <f t="shared" si="82"/>
        <v>►</v>
      </c>
      <c r="C339" s="163" t="str">
        <f>C275</f>
        <v>N NOM DE VOTRE RECETTE | collez la--FAMILLE| Auteur &gt; VOUS</v>
      </c>
      <c r="D339" s="163">
        <f>D275</f>
        <v>1</v>
      </c>
      <c r="E339" s="164" t="str">
        <f>E275</f>
        <v>coupe</v>
      </c>
      <c r="F339" s="165" t="str">
        <f>F275</f>
        <v>Recette mère ► MILLE-FEUILLE  aux fraises des bois</v>
      </c>
      <c r="G339" s="1548"/>
      <c r="H339" s="1548"/>
      <c r="I339" s="2190">
        <f>ROWS(M318:M339)</f>
        <v>22</v>
      </c>
      <c r="J339" s="5549" t="str" cm="1">
        <f t="array" ref="J339">IF(SUMPRODUCT((M339:R339&lt;&gt;"")*1)=0,"",SUMPRODUCT((M339:R339&lt;&gt;"")*(LEN(TRIM(SUBSTITUTE(M339:R339,CHAR(160)," "))) - LEN(SUBSTITUTE(TRIM(SUBSTITUTE(M339:R339,CHAR(160)," "))," ","")) + 1)) &amp; " mot" &amp; IF(SUMPRODUCT((M339:R339&lt;&gt;"")*(LEN(TRIM(SUBSTITUTE(M339:R339,CHAR(160)," "))) - LEN(SUBSTITUTE(TRIM(SUBSTITUTE(M339:R339,CHAR(160)," "))," ","")) + 1))&gt;1,"s",""))</f>
        <v/>
      </c>
      <c r="K339" s="5550" t="str" cm="1">
        <f t="array" ref="K339">SUMPRODUCT(--(M339:R339&lt;&gt;""), LEN(TRIM(SUBSTITUTE(M339:R339, CHAR(160), "")))) &amp; " Car."</f>
        <v>0 Car.</v>
      </c>
      <c r="L339" s="1376" t="str">
        <f>IF(ISBLANK(M339),"",LARGE(L317:L338,1)+1)</f>
        <v/>
      </c>
      <c r="M339" s="1810"/>
      <c r="N339" s="1810"/>
      <c r="O339" s="1810"/>
      <c r="P339" s="1810"/>
      <c r="Q339" s="1810"/>
      <c r="R339" s="1810"/>
      <c r="S339" s="1810"/>
      <c r="T339" s="1810"/>
      <c r="U339" s="1811"/>
      <c r="W339" s="103" t="str">
        <f t="shared" si="83"/>
        <v>►</v>
      </c>
      <c r="X339" s="163" t="str">
        <f>X275</f>
        <v>N NAME OF YOUR RECIPE | paste it — FAMILY|  Author &gt; YOU</v>
      </c>
      <c r="Y339" s="163">
        <f>Y275</f>
        <v>1</v>
      </c>
      <c r="Z339" s="164" t="str">
        <f>Z275</f>
        <v>coupe</v>
      </c>
      <c r="AA339" s="165" t="str">
        <f>AA275</f>
        <v>Master recipe ► MILLE-FEUILLE  aux fraises des bois</v>
      </c>
      <c r="AB339" s="1548"/>
      <c r="AC339" s="1548"/>
      <c r="AD339" s="2190">
        <f>ROWS(AH318:AH339)</f>
        <v>22</v>
      </c>
      <c r="AE339" s="5549" t="str" cm="1">
        <f t="array" ref="AE339">IF(SUMPRODUCT((AH339:AM339&lt;&gt;"")*1)=0,"",SUMPRODUCT((AH339:AM339&lt;&gt;"")*(LEN(TRIM(SUBSTITUTE(AH339:AM339,CHAR(160)," "))) - LEN(SUBSTITUTE(TRIM(SUBSTITUTE(AH339:AM339,CHAR(160)," "))," ","")) + 1)) &amp; " word" &amp; IF(SUMPRODUCT((AH339:AM339&lt;&gt;"")*(LEN(TRIM(SUBSTITUTE(AH339:AM339,CHAR(160)," "))) - LEN(SUBSTITUTE(TRIM(SUBSTITUTE(AH339:AM339,CHAR(160)," "))," ","")) + 1))&gt;1,"s",""))</f>
        <v/>
      </c>
      <c r="AF339" s="5550" t="str" cm="1">
        <f t="array" ref="AF339">SUMPRODUCT(--(AH339:AM339&lt;&gt;""), LEN(TRIM(SUBSTITUTE(AH339:AM339, CHAR(160), "")))) &amp; " Car."</f>
        <v>0 Car.</v>
      </c>
      <c r="AG339" s="1376" t="str">
        <f>IF(ISBLANK(AH339),"",LARGE(AG317:AG338,1)+1)</f>
        <v/>
      </c>
      <c r="AH339" s="1833"/>
      <c r="AI339" s="1810"/>
      <c r="AJ339" s="1810"/>
      <c r="AK339" s="1810"/>
      <c r="AL339" s="1810"/>
      <c r="AM339" s="1810"/>
      <c r="AN339" s="1810"/>
      <c r="AO339" s="1810"/>
      <c r="AP339" s="1811"/>
      <c r="AR339" s="103" t="str">
        <f t="shared" si="84"/>
        <v>►</v>
      </c>
      <c r="AS339" s="163" t="str">
        <f>AS275</f>
        <v>N NOMBRE DE SU RECETA | pegue esto — FAMILIA| Auteur &gt; VOUS</v>
      </c>
      <c r="AT339" s="163">
        <f>AT275</f>
        <v>1</v>
      </c>
      <c r="AU339" s="164" t="str">
        <f>AU275</f>
        <v>coupe</v>
      </c>
      <c r="AV339" s="165" t="str">
        <f>AV275</f>
        <v>Receta madre ► MILLE-FEUILLE  aux fraises des bois</v>
      </c>
      <c r="AW339" s="1548"/>
      <c r="AX339" s="1548"/>
      <c r="AY339" s="2190">
        <f>ROWS(BC318:BC339)</f>
        <v>22</v>
      </c>
      <c r="AZ339" s="5549" t="str" cm="1">
        <f t="array" ref="AZ339">IF(SUMPRODUCT((BC339:BH339&lt;&gt;"")*1)=0,"",SUMPRODUCT((BC339:BH339&lt;&gt;"")*(LEN(TRIM(SUBSTITUTE(BC339:BH339,CHAR(160)," "))) - LEN(SUBSTITUTE(TRIM(SUBSTITUTE(BC339:BH339,CHAR(160)," "))," ","")) + 1)) &amp; " palabra" &amp; IF(SUMPRODUCT((BC339:BH339&lt;&gt;"")*(LEN(TRIM(SUBSTITUTE(BC339:BH339,CHAR(160)," "))) - LEN(SUBSTITUTE(TRIM(SUBSTITUTE(BC339:BH339,CHAR(160)," "))," ","")) + 1))&gt;1,"s",""))</f>
        <v/>
      </c>
      <c r="BA339" s="5550" t="str" cm="1">
        <f t="array" ref="BA339">SUMPRODUCT(--(BC339:BH339&lt;&gt;""), LEN(TRIM(SUBSTITUTE(BC339:BH339, CHAR(160), "")))) &amp; " Car."</f>
        <v>0 Car.</v>
      </c>
      <c r="BB339" s="1376" t="str">
        <f>IF(ISBLANK(BC339),"",LARGE(BB317:BB338,1)+1)</f>
        <v/>
      </c>
      <c r="BC339" s="1833"/>
      <c r="BD339" s="1810"/>
      <c r="BE339" s="1810"/>
      <c r="BF339" s="1810"/>
      <c r="BG339" s="1810"/>
      <c r="BH339" s="1810"/>
      <c r="BI339" s="1810"/>
      <c r="BJ339" s="1810"/>
      <c r="BK339" s="1811"/>
      <c r="BM339" s="3">
        <v>1</v>
      </c>
    </row>
    <row r="340" spans="2:65" ht="21" customHeight="1">
      <c r="B340" s="103" t="str">
        <f t="shared" si="82"/>
        <v>►</v>
      </c>
      <c r="C340" s="163" t="str">
        <f>C275</f>
        <v>N NOM DE VOTRE RECETTE | collez la--FAMILLE| Auteur &gt; VOUS</v>
      </c>
      <c r="D340" s="163">
        <f>D275</f>
        <v>1</v>
      </c>
      <c r="E340" s="164" t="str">
        <f>E275</f>
        <v>coupe</v>
      </c>
      <c r="F340" s="165" t="str">
        <f>F275</f>
        <v>Recette mère ► MILLE-FEUILLE  aux fraises des bois</v>
      </c>
      <c r="G340" s="1548"/>
      <c r="H340" s="1548"/>
      <c r="I340" s="2190">
        <f>ROWS(M318:M340)</f>
        <v>23</v>
      </c>
      <c r="J340" s="5549" t="str" cm="1">
        <f t="array" ref="J340">IF(SUMPRODUCT((M340:R340&lt;&gt;"")*1)=0,"",SUMPRODUCT((M340:R340&lt;&gt;"")*(LEN(TRIM(SUBSTITUTE(M340:R340,CHAR(160)," "))) - LEN(SUBSTITUTE(TRIM(SUBSTITUTE(M340:R340,CHAR(160)," "))," ","")) + 1)) &amp; " mot" &amp; IF(SUMPRODUCT((M340:R340&lt;&gt;"")*(LEN(TRIM(SUBSTITUTE(M340:R340,CHAR(160)," "))) - LEN(SUBSTITUTE(TRIM(SUBSTITUTE(M340:R340,CHAR(160)," "))," ","")) + 1))&gt;1,"s",""))</f>
        <v/>
      </c>
      <c r="K340" s="5550" t="str" cm="1">
        <f t="array" ref="K340">SUMPRODUCT(--(M340:R340&lt;&gt;""), LEN(TRIM(SUBSTITUTE(M340:R340, CHAR(160), "")))) &amp; " Car."</f>
        <v>0 Car.</v>
      </c>
      <c r="L340" s="1376" t="str">
        <f>IF(ISBLANK(M340),"",LARGE(L317:L339,1)+1)</f>
        <v/>
      </c>
      <c r="M340" s="1810"/>
      <c r="N340" s="1810"/>
      <c r="O340" s="1810"/>
      <c r="P340" s="1810"/>
      <c r="Q340" s="1810"/>
      <c r="R340" s="1810"/>
      <c r="S340" s="1810"/>
      <c r="T340" s="1810"/>
      <c r="U340" s="1811"/>
      <c r="W340" s="103" t="str">
        <f t="shared" si="83"/>
        <v>►</v>
      </c>
      <c r="X340" s="163" t="str">
        <f>X275</f>
        <v>N NAME OF YOUR RECIPE | paste it — FAMILY|  Author &gt; YOU</v>
      </c>
      <c r="Y340" s="163">
        <f>Y275</f>
        <v>1</v>
      </c>
      <c r="Z340" s="164" t="str">
        <f>Z275</f>
        <v>coupe</v>
      </c>
      <c r="AA340" s="165" t="str">
        <f>AA275</f>
        <v>Master recipe ► MILLE-FEUILLE  aux fraises des bois</v>
      </c>
      <c r="AB340" s="1548"/>
      <c r="AC340" s="1548"/>
      <c r="AD340" s="2190">
        <f>ROWS(AH318:AH340)</f>
        <v>23</v>
      </c>
      <c r="AE340" s="5549" t="str" cm="1">
        <f t="array" ref="AE340">IF(SUMPRODUCT((AH340:AM340&lt;&gt;"")*1)=0,"",SUMPRODUCT((AH340:AM340&lt;&gt;"")*(LEN(TRIM(SUBSTITUTE(AH340:AM340,CHAR(160)," "))) - LEN(SUBSTITUTE(TRIM(SUBSTITUTE(AH340:AM340,CHAR(160)," "))," ","")) + 1)) &amp; " word" &amp; IF(SUMPRODUCT((AH340:AM340&lt;&gt;"")*(LEN(TRIM(SUBSTITUTE(AH340:AM340,CHAR(160)," "))) - LEN(SUBSTITUTE(TRIM(SUBSTITUTE(AH340:AM340,CHAR(160)," "))," ","")) + 1))&gt;1,"s",""))</f>
        <v/>
      </c>
      <c r="AF340" s="5550" t="str" cm="1">
        <f t="array" ref="AF340">SUMPRODUCT(--(AH340:AM340&lt;&gt;""), LEN(TRIM(SUBSTITUTE(AH340:AM340, CHAR(160), "")))) &amp; " Car."</f>
        <v>0 Car.</v>
      </c>
      <c r="AG340" s="1376" t="str">
        <f>IF(ISBLANK(AH340),"",LARGE(AG317:AG339,1)+1)</f>
        <v/>
      </c>
      <c r="AH340" s="1833"/>
      <c r="AI340" s="1810"/>
      <c r="AJ340" s="1810"/>
      <c r="AK340" s="1810"/>
      <c r="AL340" s="1810"/>
      <c r="AM340" s="1810"/>
      <c r="AN340" s="1810"/>
      <c r="AO340" s="1810"/>
      <c r="AP340" s="1811"/>
      <c r="AR340" s="103" t="str">
        <f t="shared" si="84"/>
        <v>►</v>
      </c>
      <c r="AS340" s="163" t="str">
        <f>AS275</f>
        <v>N NOMBRE DE SU RECETA | pegue esto — FAMILIA| Auteur &gt; VOUS</v>
      </c>
      <c r="AT340" s="163">
        <f>AT275</f>
        <v>1</v>
      </c>
      <c r="AU340" s="164" t="str">
        <f>AU275</f>
        <v>coupe</v>
      </c>
      <c r="AV340" s="165" t="str">
        <f>AV275</f>
        <v>Receta madre ► MILLE-FEUILLE  aux fraises des bois</v>
      </c>
      <c r="AW340" s="1548"/>
      <c r="AX340" s="1548"/>
      <c r="AY340" s="2190">
        <f>ROWS(BC318:BC340)</f>
        <v>23</v>
      </c>
      <c r="AZ340" s="5549" t="str" cm="1">
        <f t="array" ref="AZ340">IF(SUMPRODUCT((BC340:BH340&lt;&gt;"")*1)=0,"",SUMPRODUCT((BC340:BH340&lt;&gt;"")*(LEN(TRIM(SUBSTITUTE(BC340:BH340,CHAR(160)," "))) - LEN(SUBSTITUTE(TRIM(SUBSTITUTE(BC340:BH340,CHAR(160)," "))," ","")) + 1)) &amp; " palabra" &amp; IF(SUMPRODUCT((BC340:BH340&lt;&gt;"")*(LEN(TRIM(SUBSTITUTE(BC340:BH340,CHAR(160)," "))) - LEN(SUBSTITUTE(TRIM(SUBSTITUTE(BC340:BH340,CHAR(160)," "))," ","")) + 1))&gt;1,"s",""))</f>
        <v/>
      </c>
      <c r="BA340" s="5550" t="str" cm="1">
        <f t="array" ref="BA340">SUMPRODUCT(--(BC340:BH340&lt;&gt;""), LEN(TRIM(SUBSTITUTE(BC340:BH340, CHAR(160), "")))) &amp; " Car."</f>
        <v>0 Car.</v>
      </c>
      <c r="BB340" s="1376" t="str">
        <f>IF(ISBLANK(BC340),"",LARGE(BB317:BB339,1)+1)</f>
        <v/>
      </c>
      <c r="BC340" s="1833"/>
      <c r="BD340" s="1810"/>
      <c r="BE340" s="1810"/>
      <c r="BF340" s="1810"/>
      <c r="BG340" s="1810"/>
      <c r="BH340" s="1810"/>
      <c r="BI340" s="1810"/>
      <c r="BJ340" s="1810"/>
      <c r="BK340" s="1811"/>
      <c r="BM340" s="3">
        <v>1</v>
      </c>
    </row>
    <row r="341" spans="2:65" ht="21" customHeight="1">
      <c r="B341" s="103" t="str">
        <f t="shared" si="82"/>
        <v>►</v>
      </c>
      <c r="C341" s="163" t="str">
        <f>C275</f>
        <v>N NOM DE VOTRE RECETTE | collez la--FAMILLE| Auteur &gt; VOUS</v>
      </c>
      <c r="D341" s="163">
        <f>D275</f>
        <v>1</v>
      </c>
      <c r="E341" s="164" t="str">
        <f>E275</f>
        <v>coupe</v>
      </c>
      <c r="F341" s="165" t="str">
        <f>F275</f>
        <v>Recette mère ► MILLE-FEUILLE  aux fraises des bois</v>
      </c>
      <c r="G341" s="1548"/>
      <c r="H341" s="1548"/>
      <c r="I341" s="2190">
        <f>ROWS(M318:M341)</f>
        <v>24</v>
      </c>
      <c r="J341" s="5549" t="str" cm="1">
        <f t="array" ref="J341">IF(SUMPRODUCT((M341:R341&lt;&gt;"")*1)=0,"",SUMPRODUCT((M341:R341&lt;&gt;"")*(LEN(TRIM(SUBSTITUTE(M341:R341,CHAR(160)," "))) - LEN(SUBSTITUTE(TRIM(SUBSTITUTE(M341:R341,CHAR(160)," "))," ","")) + 1)) &amp; " mot" &amp; IF(SUMPRODUCT((M341:R341&lt;&gt;"")*(LEN(TRIM(SUBSTITUTE(M341:R341,CHAR(160)," "))) - LEN(SUBSTITUTE(TRIM(SUBSTITUTE(M341:R341,CHAR(160)," "))," ","")) + 1))&gt;1,"s",""))</f>
        <v/>
      </c>
      <c r="K341" s="5550" t="str" cm="1">
        <f t="array" ref="K341">SUMPRODUCT(--(M341:R341&lt;&gt;""), LEN(TRIM(SUBSTITUTE(M341:R341, CHAR(160), "")))) &amp; " Car."</f>
        <v>0 Car.</v>
      </c>
      <c r="L341" s="1394"/>
      <c r="M341" s="1810"/>
      <c r="N341" s="1810"/>
      <c r="O341" s="1810"/>
      <c r="P341" s="1810"/>
      <c r="Q341" s="1810"/>
      <c r="R341" s="1810"/>
      <c r="S341" s="1810"/>
      <c r="T341" s="1810"/>
      <c r="U341" s="1811"/>
      <c r="W341" s="103" t="str">
        <f t="shared" si="83"/>
        <v>►</v>
      </c>
      <c r="X341" s="163" t="str">
        <f>X275</f>
        <v>N NAME OF YOUR RECIPE | paste it — FAMILY|  Author &gt; YOU</v>
      </c>
      <c r="Y341" s="163">
        <f>Y275</f>
        <v>1</v>
      </c>
      <c r="Z341" s="164" t="str">
        <f>Z275</f>
        <v>coupe</v>
      </c>
      <c r="AA341" s="165" t="str">
        <f>AA275</f>
        <v>Master recipe ► MILLE-FEUILLE  aux fraises des bois</v>
      </c>
      <c r="AB341" s="1548"/>
      <c r="AC341" s="1548"/>
      <c r="AD341" s="2190">
        <f>ROWS(AH318:AH341)</f>
        <v>24</v>
      </c>
      <c r="AE341" s="5549" t="str" cm="1">
        <f t="array" ref="AE341">IF(SUMPRODUCT((AH341:AM341&lt;&gt;"")*1)=0,"",SUMPRODUCT((AH341:AM341&lt;&gt;"")*(LEN(TRIM(SUBSTITUTE(AH341:AM341,CHAR(160)," "))) - LEN(SUBSTITUTE(TRIM(SUBSTITUTE(AH341:AM341,CHAR(160)," "))," ","")) + 1)) &amp; " word" &amp; IF(SUMPRODUCT((AH341:AM341&lt;&gt;"")*(LEN(TRIM(SUBSTITUTE(AH341:AM341,CHAR(160)," "))) - LEN(SUBSTITUTE(TRIM(SUBSTITUTE(AH341:AM341,CHAR(160)," "))," ","")) + 1))&gt;1,"s",""))</f>
        <v/>
      </c>
      <c r="AF341" s="5550" t="str" cm="1">
        <f t="array" ref="AF341">SUMPRODUCT(--(AH341:AM341&lt;&gt;""), LEN(TRIM(SUBSTITUTE(AH341:AM341, CHAR(160), "")))) &amp; " Car."</f>
        <v>0 Car.</v>
      </c>
      <c r="AG341" s="1394"/>
      <c r="AH341" s="1833"/>
      <c r="AI341" s="1810"/>
      <c r="AJ341" s="1810"/>
      <c r="AK341" s="1810"/>
      <c r="AL341" s="1810"/>
      <c r="AM341" s="1810"/>
      <c r="AN341" s="1810"/>
      <c r="AO341" s="1810"/>
      <c r="AP341" s="1811"/>
      <c r="AR341" s="103" t="str">
        <f t="shared" si="84"/>
        <v>►</v>
      </c>
      <c r="AS341" s="163" t="str">
        <f>AS275</f>
        <v>N NOMBRE DE SU RECETA | pegue esto — FAMILIA| Auteur &gt; VOUS</v>
      </c>
      <c r="AT341" s="163">
        <f>AT275</f>
        <v>1</v>
      </c>
      <c r="AU341" s="164" t="str">
        <f>AU275</f>
        <v>coupe</v>
      </c>
      <c r="AV341" s="165" t="str">
        <f>AV275</f>
        <v>Receta madre ► MILLE-FEUILLE  aux fraises des bois</v>
      </c>
      <c r="AW341" s="1548"/>
      <c r="AX341" s="1548"/>
      <c r="AY341" s="2190">
        <f>ROWS(BC318:BC341)</f>
        <v>24</v>
      </c>
      <c r="AZ341" s="5549" t="str" cm="1">
        <f t="array" ref="AZ341">IF(SUMPRODUCT((BC341:BH341&lt;&gt;"")*1)=0,"",SUMPRODUCT((BC341:BH341&lt;&gt;"")*(LEN(TRIM(SUBSTITUTE(BC341:BH341,CHAR(160)," "))) - LEN(SUBSTITUTE(TRIM(SUBSTITUTE(BC341:BH341,CHAR(160)," "))," ","")) + 1)) &amp; " palabra" &amp; IF(SUMPRODUCT((BC341:BH341&lt;&gt;"")*(LEN(TRIM(SUBSTITUTE(BC341:BH341,CHAR(160)," "))) - LEN(SUBSTITUTE(TRIM(SUBSTITUTE(BC341:BH341,CHAR(160)," "))," ","")) + 1))&gt;1,"s",""))</f>
        <v/>
      </c>
      <c r="BA341" s="5550" t="str" cm="1">
        <f t="array" ref="BA341">SUMPRODUCT(--(BC341:BH341&lt;&gt;""), LEN(TRIM(SUBSTITUTE(BC341:BH341, CHAR(160), "")))) &amp; " Car."</f>
        <v>0 Car.</v>
      </c>
      <c r="BB341" s="1394"/>
      <c r="BC341" s="1833"/>
      <c r="BD341" s="1810"/>
      <c r="BE341" s="1810"/>
      <c r="BF341" s="1810"/>
      <c r="BG341" s="1810"/>
      <c r="BH341" s="1810"/>
      <c r="BI341" s="1810"/>
      <c r="BJ341" s="1810"/>
      <c r="BK341" s="1811"/>
      <c r="BM341" s="3">
        <v>1</v>
      </c>
    </row>
    <row r="342" spans="2:65" ht="21" customHeight="1">
      <c r="B342" s="103" t="str">
        <f t="shared" si="82"/>
        <v>►</v>
      </c>
      <c r="C342" s="163" t="str">
        <f>C275</f>
        <v>N NOM DE VOTRE RECETTE | collez la--FAMILLE| Auteur &gt; VOUS</v>
      </c>
      <c r="D342" s="163">
        <f>D275</f>
        <v>1</v>
      </c>
      <c r="E342" s="164" t="str">
        <f>E275</f>
        <v>coupe</v>
      </c>
      <c r="F342" s="165" t="str">
        <f>F275</f>
        <v>Recette mère ► MILLE-FEUILLE  aux fraises des bois</v>
      </c>
      <c r="G342" s="1548"/>
      <c r="H342" s="1548"/>
      <c r="I342" s="2190">
        <f>ROWS(M318:M342)</f>
        <v>25</v>
      </c>
      <c r="J342" s="5549" t="str" cm="1">
        <f t="array" ref="J342">IF(SUMPRODUCT((M342:R342&lt;&gt;"")*1)=0,"",SUMPRODUCT((M342:R342&lt;&gt;"")*(LEN(TRIM(SUBSTITUTE(M342:R342,CHAR(160)," "))) - LEN(SUBSTITUTE(TRIM(SUBSTITUTE(M342:R342,CHAR(160)," "))," ","")) + 1)) &amp; " mot" &amp; IF(SUMPRODUCT((M342:R342&lt;&gt;"")*(LEN(TRIM(SUBSTITUTE(M342:R342,CHAR(160)," "))) - LEN(SUBSTITUTE(TRIM(SUBSTITUTE(M342:R342,CHAR(160)," "))," ","")) + 1))&gt;1,"s",""))</f>
        <v/>
      </c>
      <c r="K342" s="5550" t="str" cm="1">
        <f t="array" ref="K342">SUMPRODUCT(--(M342:R342&lt;&gt;""), LEN(TRIM(SUBSTITUTE(M342:R342, CHAR(160), "")))) &amp; " Car."</f>
        <v>0 Car.</v>
      </c>
      <c r="L342" s="1619"/>
      <c r="M342" s="1810"/>
      <c r="N342" s="1810"/>
      <c r="O342" s="1810"/>
      <c r="P342" s="1810"/>
      <c r="Q342" s="1810"/>
      <c r="R342" s="1810"/>
      <c r="S342" s="1810"/>
      <c r="T342" s="1810"/>
      <c r="U342" s="1811"/>
      <c r="W342" s="103" t="str">
        <f t="shared" si="83"/>
        <v>►</v>
      </c>
      <c r="X342" s="163" t="str">
        <f>X275</f>
        <v>N NAME OF YOUR RECIPE | paste it — FAMILY|  Author &gt; YOU</v>
      </c>
      <c r="Y342" s="163">
        <f>Y275</f>
        <v>1</v>
      </c>
      <c r="Z342" s="164" t="str">
        <f>Z275</f>
        <v>coupe</v>
      </c>
      <c r="AA342" s="165" t="str">
        <f>AA275</f>
        <v>Master recipe ► MILLE-FEUILLE  aux fraises des bois</v>
      </c>
      <c r="AB342" s="1548"/>
      <c r="AC342" s="1548"/>
      <c r="AD342" s="2190">
        <f>ROWS(AH318:AH342)</f>
        <v>25</v>
      </c>
      <c r="AE342" s="5549" t="str" cm="1">
        <f t="array" ref="AE342">IF(SUMPRODUCT((AH342:AM342&lt;&gt;"")*1)=0,"",SUMPRODUCT((AH342:AM342&lt;&gt;"")*(LEN(TRIM(SUBSTITUTE(AH342:AM342,CHAR(160)," "))) - LEN(SUBSTITUTE(TRIM(SUBSTITUTE(AH342:AM342,CHAR(160)," "))," ","")) + 1)) &amp; " word" &amp; IF(SUMPRODUCT((AH342:AM342&lt;&gt;"")*(LEN(TRIM(SUBSTITUTE(AH342:AM342,CHAR(160)," "))) - LEN(SUBSTITUTE(TRIM(SUBSTITUTE(AH342:AM342,CHAR(160)," "))," ","")) + 1))&gt;1,"s",""))</f>
        <v/>
      </c>
      <c r="AF342" s="5550" t="str" cm="1">
        <f t="array" ref="AF342">SUMPRODUCT(--(AH342:AM342&lt;&gt;""), LEN(TRIM(SUBSTITUTE(AH342:AM342, CHAR(160), "")))) &amp; " Car."</f>
        <v>0 Car.</v>
      </c>
      <c r="AG342" s="1619"/>
      <c r="AH342" s="1833"/>
      <c r="AI342" s="1810"/>
      <c r="AJ342" s="1810"/>
      <c r="AK342" s="1810"/>
      <c r="AL342" s="1810"/>
      <c r="AM342" s="1810"/>
      <c r="AN342" s="1810"/>
      <c r="AO342" s="1810"/>
      <c r="AP342" s="1811"/>
      <c r="AR342" s="103" t="str">
        <f t="shared" si="84"/>
        <v>►</v>
      </c>
      <c r="AS342" s="163" t="str">
        <f>AS275</f>
        <v>N NOMBRE DE SU RECETA | pegue esto — FAMILIA| Auteur &gt; VOUS</v>
      </c>
      <c r="AT342" s="163">
        <f>AT275</f>
        <v>1</v>
      </c>
      <c r="AU342" s="164" t="str">
        <f>AU275</f>
        <v>coupe</v>
      </c>
      <c r="AV342" s="165" t="str">
        <f>AV275</f>
        <v>Receta madre ► MILLE-FEUILLE  aux fraises des bois</v>
      </c>
      <c r="AW342" s="1548"/>
      <c r="AX342" s="1548"/>
      <c r="AY342" s="2190">
        <f>ROWS(BC318:BC342)</f>
        <v>25</v>
      </c>
      <c r="AZ342" s="5549" t="str" cm="1">
        <f t="array" ref="AZ342">IF(SUMPRODUCT((BC342:BH342&lt;&gt;"")*1)=0,"",SUMPRODUCT((BC342:BH342&lt;&gt;"")*(LEN(TRIM(SUBSTITUTE(BC342:BH342,CHAR(160)," "))) - LEN(SUBSTITUTE(TRIM(SUBSTITUTE(BC342:BH342,CHAR(160)," "))," ","")) + 1)) &amp; " palabra" &amp; IF(SUMPRODUCT((BC342:BH342&lt;&gt;"")*(LEN(TRIM(SUBSTITUTE(BC342:BH342,CHAR(160)," "))) - LEN(SUBSTITUTE(TRIM(SUBSTITUTE(BC342:BH342,CHAR(160)," "))," ","")) + 1))&gt;1,"s",""))</f>
        <v/>
      </c>
      <c r="BA342" s="5550" t="str" cm="1">
        <f t="array" ref="BA342">SUMPRODUCT(--(BC342:BH342&lt;&gt;""), LEN(TRIM(SUBSTITUTE(BC342:BH342, CHAR(160), "")))) &amp; " Car."</f>
        <v>0 Car.</v>
      </c>
      <c r="BB342" s="1619"/>
      <c r="BC342" s="1833"/>
      <c r="BD342" s="1810"/>
      <c r="BE342" s="1810"/>
      <c r="BF342" s="1810"/>
      <c r="BG342" s="1810"/>
      <c r="BH342" s="1810"/>
      <c r="BI342" s="1810"/>
      <c r="BJ342" s="1810"/>
      <c r="BK342" s="1811"/>
      <c r="BM342" s="3">
        <v>1</v>
      </c>
    </row>
    <row r="343" spans="2:65" ht="21" customHeight="1">
      <c r="B343" s="103" t="str">
        <f t="shared" si="82"/>
        <v>►</v>
      </c>
      <c r="C343" s="163" t="str">
        <f>C275</f>
        <v>N NOM DE VOTRE RECETTE | collez la--FAMILLE| Auteur &gt; VOUS</v>
      </c>
      <c r="D343" s="163">
        <f>D275</f>
        <v>1</v>
      </c>
      <c r="E343" s="164" t="str">
        <f>E275</f>
        <v>coupe</v>
      </c>
      <c r="F343" s="165" t="str">
        <f>F275</f>
        <v>Recette mère ► MILLE-FEUILLE  aux fraises des bois</v>
      </c>
      <c r="G343" s="1548"/>
      <c r="H343" s="1548"/>
      <c r="I343" s="2190">
        <f>ROWS(M318:M343)</f>
        <v>26</v>
      </c>
      <c r="J343" s="5549" t="str" cm="1">
        <f t="array" ref="J343">IF(SUMPRODUCT((M343:R343&lt;&gt;"")*1)=0,"",SUMPRODUCT((M343:R343&lt;&gt;"")*(LEN(TRIM(SUBSTITUTE(M343:R343,CHAR(160)," "))) - LEN(SUBSTITUTE(TRIM(SUBSTITUTE(M343:R343,CHAR(160)," "))," ","")) + 1)) &amp; " mot" &amp; IF(SUMPRODUCT((M343:R343&lt;&gt;"")*(LEN(TRIM(SUBSTITUTE(M343:R343,CHAR(160)," "))) - LEN(SUBSTITUTE(TRIM(SUBSTITUTE(M343:R343,CHAR(160)," "))," ","")) + 1))&gt;1,"s",""))</f>
        <v/>
      </c>
      <c r="K343" s="5550" t="str" cm="1">
        <f t="array" ref="K343">SUMPRODUCT(--(M343:R343&lt;&gt;""), LEN(TRIM(SUBSTITUTE(M343:R343, CHAR(160), "")))) &amp; " Car."</f>
        <v>0 Car.</v>
      </c>
      <c r="L343" s="1376" t="str">
        <f>IF(ISBLANK(M343),"",LARGE(L317:L342,1)+1)</f>
        <v/>
      </c>
      <c r="M343" s="1810"/>
      <c r="N343" s="1810"/>
      <c r="O343" s="1810"/>
      <c r="P343" s="1810"/>
      <c r="Q343" s="1810"/>
      <c r="R343" s="1810"/>
      <c r="S343" s="1810"/>
      <c r="T343" s="1810"/>
      <c r="U343" s="1811"/>
      <c r="W343" s="103" t="str">
        <f t="shared" si="83"/>
        <v>►</v>
      </c>
      <c r="X343" s="163" t="str">
        <f>X275</f>
        <v>N NAME OF YOUR RECIPE | paste it — FAMILY|  Author &gt; YOU</v>
      </c>
      <c r="Y343" s="163">
        <f>Y275</f>
        <v>1</v>
      </c>
      <c r="Z343" s="164" t="str">
        <f>Z275</f>
        <v>coupe</v>
      </c>
      <c r="AA343" s="165" t="str">
        <f>AA275</f>
        <v>Master recipe ► MILLE-FEUILLE  aux fraises des bois</v>
      </c>
      <c r="AB343" s="1548"/>
      <c r="AC343" s="1548"/>
      <c r="AD343" s="2190">
        <f>ROWS(AH318:AH343)</f>
        <v>26</v>
      </c>
      <c r="AE343" s="5549" t="str" cm="1">
        <f t="array" ref="AE343">IF(SUMPRODUCT((AH343:AM343&lt;&gt;"")*1)=0,"",SUMPRODUCT((AH343:AM343&lt;&gt;"")*(LEN(TRIM(SUBSTITUTE(AH343:AM343,CHAR(160)," "))) - LEN(SUBSTITUTE(TRIM(SUBSTITUTE(AH343:AM343,CHAR(160)," "))," ","")) + 1)) &amp; " word" &amp; IF(SUMPRODUCT((AH343:AM343&lt;&gt;"")*(LEN(TRIM(SUBSTITUTE(AH343:AM343,CHAR(160)," "))) - LEN(SUBSTITUTE(TRIM(SUBSTITUTE(AH343:AM343,CHAR(160)," "))," ","")) + 1))&gt;1,"s",""))</f>
        <v/>
      </c>
      <c r="AF343" s="5550" t="str" cm="1">
        <f t="array" ref="AF343">SUMPRODUCT(--(AH343:AM343&lt;&gt;""), LEN(TRIM(SUBSTITUTE(AH343:AM343, CHAR(160), "")))) &amp; " Car."</f>
        <v>0 Car.</v>
      </c>
      <c r="AG343" s="1376" t="str">
        <f>IF(ISBLANK(AH343),"",LARGE(AG317:AG342,1)+1)</f>
        <v/>
      </c>
      <c r="AH343" s="1833"/>
      <c r="AI343" s="1810"/>
      <c r="AJ343" s="1810"/>
      <c r="AK343" s="1810"/>
      <c r="AL343" s="1810"/>
      <c r="AM343" s="1810"/>
      <c r="AN343" s="1810"/>
      <c r="AO343" s="1810"/>
      <c r="AP343" s="1811"/>
      <c r="AR343" s="103" t="str">
        <f t="shared" si="84"/>
        <v>►</v>
      </c>
      <c r="AS343" s="163" t="str">
        <f>AS275</f>
        <v>N NOMBRE DE SU RECETA | pegue esto — FAMILIA| Auteur &gt; VOUS</v>
      </c>
      <c r="AT343" s="163">
        <f>AT275</f>
        <v>1</v>
      </c>
      <c r="AU343" s="164" t="str">
        <f>AU275</f>
        <v>coupe</v>
      </c>
      <c r="AV343" s="165" t="str">
        <f>AV275</f>
        <v>Receta madre ► MILLE-FEUILLE  aux fraises des bois</v>
      </c>
      <c r="AW343" s="1548"/>
      <c r="AX343" s="1548"/>
      <c r="AY343" s="2190">
        <f>ROWS(BC318:BC343)</f>
        <v>26</v>
      </c>
      <c r="AZ343" s="5549" t="str" cm="1">
        <f t="array" ref="AZ343">IF(SUMPRODUCT((BC343:BH343&lt;&gt;"")*1)=0,"",SUMPRODUCT((BC343:BH343&lt;&gt;"")*(LEN(TRIM(SUBSTITUTE(BC343:BH343,CHAR(160)," "))) - LEN(SUBSTITUTE(TRIM(SUBSTITUTE(BC343:BH343,CHAR(160)," "))," ","")) + 1)) &amp; " palabra" &amp; IF(SUMPRODUCT((BC343:BH343&lt;&gt;"")*(LEN(TRIM(SUBSTITUTE(BC343:BH343,CHAR(160)," "))) - LEN(SUBSTITUTE(TRIM(SUBSTITUTE(BC343:BH343,CHAR(160)," "))," ","")) + 1))&gt;1,"s",""))</f>
        <v/>
      </c>
      <c r="BA343" s="5550" t="str" cm="1">
        <f t="array" ref="BA343">SUMPRODUCT(--(BC343:BH343&lt;&gt;""), LEN(TRIM(SUBSTITUTE(BC343:BH343, CHAR(160), "")))) &amp; " Car."</f>
        <v>0 Car.</v>
      </c>
      <c r="BB343" s="1376" t="str">
        <f>IF(ISBLANK(BC343),"",LARGE(BB317:BB342,1)+1)</f>
        <v/>
      </c>
      <c r="BC343" s="1833"/>
      <c r="BD343" s="1810"/>
      <c r="BE343" s="1810"/>
      <c r="BF343" s="1810"/>
      <c r="BG343" s="1810"/>
      <c r="BH343" s="1810"/>
      <c r="BI343" s="1810"/>
      <c r="BJ343" s="1810"/>
      <c r="BK343" s="1811"/>
      <c r="BM343" s="3">
        <v>1</v>
      </c>
    </row>
    <row r="344" spans="2:65" ht="21" customHeight="1">
      <c r="B344" s="103" t="str">
        <f t="shared" si="82"/>
        <v>►</v>
      </c>
      <c r="C344" s="163" t="str">
        <f>C275</f>
        <v>N NOM DE VOTRE RECETTE | collez la--FAMILLE| Auteur &gt; VOUS</v>
      </c>
      <c r="D344" s="163">
        <f>D275</f>
        <v>1</v>
      </c>
      <c r="E344" s="164" t="str">
        <f>E275</f>
        <v>coupe</v>
      </c>
      <c r="F344" s="165" t="str">
        <f>F275</f>
        <v>Recette mère ► MILLE-FEUILLE  aux fraises des bois</v>
      </c>
      <c r="G344" s="1548"/>
      <c r="H344" s="1548"/>
      <c r="I344" s="2190">
        <f>ROWS(M318:M344)</f>
        <v>27</v>
      </c>
      <c r="J344" s="5549" t="str" cm="1">
        <f t="array" ref="J344">IF(SUMPRODUCT((M344:R344&lt;&gt;"")*1)=0,"",SUMPRODUCT((M344:R344&lt;&gt;"")*(LEN(TRIM(SUBSTITUTE(M344:R344,CHAR(160)," "))) - LEN(SUBSTITUTE(TRIM(SUBSTITUTE(M344:R344,CHAR(160)," "))," ","")) + 1)) &amp; " mot" &amp; IF(SUMPRODUCT((M344:R344&lt;&gt;"")*(LEN(TRIM(SUBSTITUTE(M344:R344,CHAR(160)," "))) - LEN(SUBSTITUTE(TRIM(SUBSTITUTE(M344:R344,CHAR(160)," "))," ","")) + 1))&gt;1,"s",""))</f>
        <v/>
      </c>
      <c r="K344" s="5550" t="str" cm="1">
        <f t="array" ref="K344">SUMPRODUCT(--(M344:R344&lt;&gt;""), LEN(TRIM(SUBSTITUTE(M344:R344, CHAR(160), "")))) &amp; " Car."</f>
        <v>0 Car.</v>
      </c>
      <c r="L344" s="1376" t="str">
        <f>IF(ISBLANK(M344),"",LARGE(L317:L343,1)+1)</f>
        <v/>
      </c>
      <c r="M344" s="1810"/>
      <c r="N344" s="1810"/>
      <c r="O344" s="1810"/>
      <c r="P344" s="1810"/>
      <c r="Q344" s="1810"/>
      <c r="R344" s="1810"/>
      <c r="S344" s="1810"/>
      <c r="T344" s="1810"/>
      <c r="U344" s="1811"/>
      <c r="W344" s="103" t="str">
        <f t="shared" si="83"/>
        <v>►</v>
      </c>
      <c r="X344" s="163" t="str">
        <f>X275</f>
        <v>N NAME OF YOUR RECIPE | paste it — FAMILY|  Author &gt; YOU</v>
      </c>
      <c r="Y344" s="163">
        <f>Y275</f>
        <v>1</v>
      </c>
      <c r="Z344" s="164" t="str">
        <f>Z275</f>
        <v>coupe</v>
      </c>
      <c r="AA344" s="165" t="str">
        <f>AA275</f>
        <v>Master recipe ► MILLE-FEUILLE  aux fraises des bois</v>
      </c>
      <c r="AB344" s="1548"/>
      <c r="AC344" s="1548"/>
      <c r="AD344" s="2190">
        <f>ROWS(AH318:AH344)</f>
        <v>27</v>
      </c>
      <c r="AE344" s="5549" t="str" cm="1">
        <f t="array" ref="AE344">IF(SUMPRODUCT((AH344:AM344&lt;&gt;"")*1)=0,"",SUMPRODUCT((AH344:AM344&lt;&gt;"")*(LEN(TRIM(SUBSTITUTE(AH344:AM344,CHAR(160)," "))) - LEN(SUBSTITUTE(TRIM(SUBSTITUTE(AH344:AM344,CHAR(160)," "))," ","")) + 1)) &amp; " word" &amp; IF(SUMPRODUCT((AH344:AM344&lt;&gt;"")*(LEN(TRIM(SUBSTITUTE(AH344:AM344,CHAR(160)," "))) - LEN(SUBSTITUTE(TRIM(SUBSTITUTE(AH344:AM344,CHAR(160)," "))," ","")) + 1))&gt;1,"s",""))</f>
        <v/>
      </c>
      <c r="AF344" s="5550" t="str" cm="1">
        <f t="array" ref="AF344">SUMPRODUCT(--(AH344:AM344&lt;&gt;""), LEN(TRIM(SUBSTITUTE(AH344:AM344, CHAR(160), "")))) &amp; " Car."</f>
        <v>0 Car.</v>
      </c>
      <c r="AG344" s="1376" t="str">
        <f>IF(ISBLANK(AH344),"",LARGE(AG317:AG343,1)+1)</f>
        <v/>
      </c>
      <c r="AH344" s="1833"/>
      <c r="AI344" s="1810"/>
      <c r="AJ344" s="1810"/>
      <c r="AK344" s="1810"/>
      <c r="AL344" s="1810"/>
      <c r="AM344" s="1810"/>
      <c r="AN344" s="1810"/>
      <c r="AO344" s="1810"/>
      <c r="AP344" s="1811"/>
      <c r="AR344" s="103" t="str">
        <f t="shared" si="84"/>
        <v>►</v>
      </c>
      <c r="AS344" s="163" t="str">
        <f>AS275</f>
        <v>N NOMBRE DE SU RECETA | pegue esto — FAMILIA| Auteur &gt; VOUS</v>
      </c>
      <c r="AT344" s="163">
        <f>AT275</f>
        <v>1</v>
      </c>
      <c r="AU344" s="164" t="str">
        <f>AU275</f>
        <v>coupe</v>
      </c>
      <c r="AV344" s="165" t="str">
        <f>AV275</f>
        <v>Receta madre ► MILLE-FEUILLE  aux fraises des bois</v>
      </c>
      <c r="AW344" s="1548"/>
      <c r="AX344" s="1548"/>
      <c r="AY344" s="2190">
        <f>ROWS(BC318:BC344)</f>
        <v>27</v>
      </c>
      <c r="AZ344" s="5549" t="str" cm="1">
        <f t="array" ref="AZ344">IF(SUMPRODUCT((BC344:BH344&lt;&gt;"")*1)=0,"",SUMPRODUCT((BC344:BH344&lt;&gt;"")*(LEN(TRIM(SUBSTITUTE(BC344:BH344,CHAR(160)," "))) - LEN(SUBSTITUTE(TRIM(SUBSTITUTE(BC344:BH344,CHAR(160)," "))," ","")) + 1)) &amp; " palabra" &amp; IF(SUMPRODUCT((BC344:BH344&lt;&gt;"")*(LEN(TRIM(SUBSTITUTE(BC344:BH344,CHAR(160)," "))) - LEN(SUBSTITUTE(TRIM(SUBSTITUTE(BC344:BH344,CHAR(160)," "))," ","")) + 1))&gt;1,"s",""))</f>
        <v/>
      </c>
      <c r="BA344" s="5550" t="str" cm="1">
        <f t="array" ref="BA344">SUMPRODUCT(--(BC344:BH344&lt;&gt;""), LEN(TRIM(SUBSTITUTE(BC344:BH344, CHAR(160), "")))) &amp; " Car."</f>
        <v>0 Car.</v>
      </c>
      <c r="BB344" s="1376" t="str">
        <f>IF(ISBLANK(BC344),"",LARGE(BB317:BB343,1)+1)</f>
        <v/>
      </c>
      <c r="BC344" s="1833"/>
      <c r="BD344" s="1810"/>
      <c r="BE344" s="1810"/>
      <c r="BF344" s="1810"/>
      <c r="BG344" s="1810"/>
      <c r="BH344" s="1810"/>
      <c r="BI344" s="1810"/>
      <c r="BJ344" s="1810"/>
      <c r="BK344" s="1811"/>
      <c r="BM344" s="3">
        <v>1</v>
      </c>
    </row>
    <row r="345" spans="2:65" ht="21" customHeight="1">
      <c r="B345" s="103" t="str">
        <f t="shared" si="82"/>
        <v>►</v>
      </c>
      <c r="C345" s="163" t="str">
        <f>C275</f>
        <v>N NOM DE VOTRE RECETTE | collez la--FAMILLE| Auteur &gt; VOUS</v>
      </c>
      <c r="D345" s="163">
        <f>D275</f>
        <v>1</v>
      </c>
      <c r="E345" s="164" t="str">
        <f>E275</f>
        <v>coupe</v>
      </c>
      <c r="F345" s="165" t="str">
        <f>F275</f>
        <v>Recette mère ► MILLE-FEUILLE  aux fraises des bois</v>
      </c>
      <c r="G345" s="1548"/>
      <c r="H345" s="1548"/>
      <c r="I345" s="2190">
        <f>ROWS(M318:M345)</f>
        <v>28</v>
      </c>
      <c r="J345" s="5549" t="str" cm="1">
        <f t="array" ref="J345">IF(SUMPRODUCT((M345:R345&lt;&gt;"")*1)=0,"",SUMPRODUCT((M345:R345&lt;&gt;"")*(LEN(TRIM(SUBSTITUTE(M345:R345,CHAR(160)," "))) - LEN(SUBSTITUTE(TRIM(SUBSTITUTE(M345:R345,CHAR(160)," "))," ","")) + 1)) &amp; " mot" &amp; IF(SUMPRODUCT((M345:R345&lt;&gt;"")*(LEN(TRIM(SUBSTITUTE(M345:R345,CHAR(160)," "))) - LEN(SUBSTITUTE(TRIM(SUBSTITUTE(M345:R345,CHAR(160)," "))," ","")) + 1))&gt;1,"s",""))</f>
        <v/>
      </c>
      <c r="K345" s="5550" t="str" cm="1">
        <f t="array" ref="K345">SUMPRODUCT(--(M345:R345&lt;&gt;""), LEN(TRIM(SUBSTITUTE(M345:R345, CHAR(160), "")))) &amp; " Car."</f>
        <v>0 Car.</v>
      </c>
      <c r="L345" s="1376" t="str">
        <f>IF(ISBLANK(M345),"",LARGE(L317:L344,1)+1)</f>
        <v/>
      </c>
      <c r="M345" s="1810"/>
      <c r="N345" s="1810"/>
      <c r="O345" s="1810"/>
      <c r="P345" s="1810"/>
      <c r="Q345" s="1810"/>
      <c r="R345" s="1810"/>
      <c r="S345" s="1810"/>
      <c r="T345" s="1810"/>
      <c r="U345" s="1811"/>
      <c r="W345" s="103" t="str">
        <f t="shared" si="83"/>
        <v>►</v>
      </c>
      <c r="X345" s="163" t="str">
        <f>X275</f>
        <v>N NAME OF YOUR RECIPE | paste it — FAMILY|  Author &gt; YOU</v>
      </c>
      <c r="Y345" s="163">
        <f>Y275</f>
        <v>1</v>
      </c>
      <c r="Z345" s="164" t="str">
        <f>Z275</f>
        <v>coupe</v>
      </c>
      <c r="AA345" s="165" t="str">
        <f>AA275</f>
        <v>Master recipe ► MILLE-FEUILLE  aux fraises des bois</v>
      </c>
      <c r="AB345" s="1548"/>
      <c r="AC345" s="1548"/>
      <c r="AD345" s="2190">
        <f>ROWS(AH318:AH345)</f>
        <v>28</v>
      </c>
      <c r="AE345" s="5549" t="str" cm="1">
        <f t="array" ref="AE345">IF(SUMPRODUCT((AH345:AM345&lt;&gt;"")*1)=0,"",SUMPRODUCT((AH345:AM345&lt;&gt;"")*(LEN(TRIM(SUBSTITUTE(AH345:AM345,CHAR(160)," "))) - LEN(SUBSTITUTE(TRIM(SUBSTITUTE(AH345:AM345,CHAR(160)," "))," ","")) + 1)) &amp; " word" &amp; IF(SUMPRODUCT((AH345:AM345&lt;&gt;"")*(LEN(TRIM(SUBSTITUTE(AH345:AM345,CHAR(160)," "))) - LEN(SUBSTITUTE(TRIM(SUBSTITUTE(AH345:AM345,CHAR(160)," "))," ","")) + 1))&gt;1,"s",""))</f>
        <v/>
      </c>
      <c r="AF345" s="5550" t="str" cm="1">
        <f t="array" ref="AF345">SUMPRODUCT(--(AH345:AM345&lt;&gt;""), LEN(TRIM(SUBSTITUTE(AH345:AM345, CHAR(160), "")))) &amp; " Car."</f>
        <v>0 Car.</v>
      </c>
      <c r="AG345" s="1376" t="str">
        <f>IF(ISBLANK(AH345),"",LARGE(AG317:AG344,1)+1)</f>
        <v/>
      </c>
      <c r="AH345" s="1833"/>
      <c r="AI345" s="1810"/>
      <c r="AJ345" s="1810"/>
      <c r="AK345" s="1810"/>
      <c r="AL345" s="1810"/>
      <c r="AM345" s="1810"/>
      <c r="AN345" s="1810"/>
      <c r="AO345" s="1810"/>
      <c r="AP345" s="1811"/>
      <c r="AR345" s="103" t="str">
        <f t="shared" si="84"/>
        <v>►</v>
      </c>
      <c r="AS345" s="163" t="str">
        <f>AS275</f>
        <v>N NOMBRE DE SU RECETA | pegue esto — FAMILIA| Auteur &gt; VOUS</v>
      </c>
      <c r="AT345" s="163">
        <f>AT275</f>
        <v>1</v>
      </c>
      <c r="AU345" s="164" t="str">
        <f>AU275</f>
        <v>coupe</v>
      </c>
      <c r="AV345" s="165" t="str">
        <f>AV275</f>
        <v>Receta madre ► MILLE-FEUILLE  aux fraises des bois</v>
      </c>
      <c r="AW345" s="1548"/>
      <c r="AX345" s="1548"/>
      <c r="AY345" s="2190">
        <f>ROWS(BC318:BC345)</f>
        <v>28</v>
      </c>
      <c r="AZ345" s="5549" t="str" cm="1">
        <f t="array" ref="AZ345">IF(SUMPRODUCT((BC345:BH345&lt;&gt;"")*1)=0,"",SUMPRODUCT((BC345:BH345&lt;&gt;"")*(LEN(TRIM(SUBSTITUTE(BC345:BH345,CHAR(160)," "))) - LEN(SUBSTITUTE(TRIM(SUBSTITUTE(BC345:BH345,CHAR(160)," "))," ","")) + 1)) &amp; " palabra" &amp; IF(SUMPRODUCT((BC345:BH345&lt;&gt;"")*(LEN(TRIM(SUBSTITUTE(BC345:BH345,CHAR(160)," "))) - LEN(SUBSTITUTE(TRIM(SUBSTITUTE(BC345:BH345,CHAR(160)," "))," ","")) + 1))&gt;1,"s",""))</f>
        <v/>
      </c>
      <c r="BA345" s="5550" t="str" cm="1">
        <f t="array" ref="BA345">SUMPRODUCT(--(BC345:BH345&lt;&gt;""), LEN(TRIM(SUBSTITUTE(BC345:BH345, CHAR(160), "")))) &amp; " Car."</f>
        <v>0 Car.</v>
      </c>
      <c r="BB345" s="1376" t="str">
        <f>IF(ISBLANK(BC345),"",LARGE(BB317:BB344,1)+1)</f>
        <v/>
      </c>
      <c r="BC345" s="1833"/>
      <c r="BD345" s="1810"/>
      <c r="BE345" s="1810"/>
      <c r="BF345" s="1810"/>
      <c r="BG345" s="1810"/>
      <c r="BH345" s="1810"/>
      <c r="BI345" s="1810"/>
      <c r="BJ345" s="1810"/>
      <c r="BK345" s="1811"/>
      <c r="BM345" s="3">
        <v>1</v>
      </c>
    </row>
    <row r="346" spans="2:65" ht="21" customHeight="1">
      <c r="B346" s="103" t="str">
        <f t="shared" si="82"/>
        <v>►</v>
      </c>
      <c r="C346" s="163" t="str">
        <f>C275</f>
        <v>N NOM DE VOTRE RECETTE | collez la--FAMILLE| Auteur &gt; VOUS</v>
      </c>
      <c r="D346" s="163">
        <f>D275</f>
        <v>1</v>
      </c>
      <c r="E346" s="164" t="str">
        <f>E275</f>
        <v>coupe</v>
      </c>
      <c r="F346" s="165" t="str">
        <f>F275</f>
        <v>Recette mère ► MILLE-FEUILLE  aux fraises des bois</v>
      </c>
      <c r="G346" s="1548"/>
      <c r="H346" s="1548"/>
      <c r="I346" s="2190">
        <f>ROWS(M318:M346)</f>
        <v>29</v>
      </c>
      <c r="J346" s="5549" t="str" cm="1">
        <f t="array" ref="J346">IF(SUMPRODUCT((M346:R346&lt;&gt;"")*1)=0,"",SUMPRODUCT((M346:R346&lt;&gt;"")*(LEN(TRIM(SUBSTITUTE(M346:R346,CHAR(160)," "))) - LEN(SUBSTITUTE(TRIM(SUBSTITUTE(M346:R346,CHAR(160)," "))," ","")) + 1)) &amp; " mot" &amp; IF(SUMPRODUCT((M346:R346&lt;&gt;"")*(LEN(TRIM(SUBSTITUTE(M346:R346,CHAR(160)," "))) - LEN(SUBSTITUTE(TRIM(SUBSTITUTE(M346:R346,CHAR(160)," "))," ","")) + 1))&gt;1,"s",""))</f>
        <v/>
      </c>
      <c r="K346" s="5550" t="str" cm="1">
        <f t="array" ref="K346">SUMPRODUCT(--(M346:R346&lt;&gt;""), LEN(TRIM(SUBSTITUTE(M346:R346, CHAR(160), "")))) &amp; " Car."</f>
        <v>0 Car.</v>
      </c>
      <c r="L346" s="1376" t="str">
        <f>IF(ISBLANK(M346),"",LARGE(L317:L345,1)+1)</f>
        <v/>
      </c>
      <c r="M346" s="1810"/>
      <c r="N346" s="1810"/>
      <c r="O346" s="1810"/>
      <c r="P346" s="1810"/>
      <c r="Q346" s="1810"/>
      <c r="R346" s="1810"/>
      <c r="S346" s="1810"/>
      <c r="T346" s="1810"/>
      <c r="U346" s="1811"/>
      <c r="W346" s="103" t="str">
        <f t="shared" si="83"/>
        <v>►</v>
      </c>
      <c r="X346" s="163" t="str">
        <f>X275</f>
        <v>N NAME OF YOUR RECIPE | paste it — FAMILY|  Author &gt; YOU</v>
      </c>
      <c r="Y346" s="163">
        <f>Y275</f>
        <v>1</v>
      </c>
      <c r="Z346" s="164" t="str">
        <f>Z275</f>
        <v>coupe</v>
      </c>
      <c r="AA346" s="165" t="str">
        <f>AA275</f>
        <v>Master recipe ► MILLE-FEUILLE  aux fraises des bois</v>
      </c>
      <c r="AB346" s="1548"/>
      <c r="AC346" s="1548"/>
      <c r="AD346" s="2190">
        <f>ROWS(AH318:AH346)</f>
        <v>29</v>
      </c>
      <c r="AE346" s="5549" t="str" cm="1">
        <f t="array" ref="AE346">IF(SUMPRODUCT((AH346:AM346&lt;&gt;"")*1)=0,"",SUMPRODUCT((AH346:AM346&lt;&gt;"")*(LEN(TRIM(SUBSTITUTE(AH346:AM346,CHAR(160)," "))) - LEN(SUBSTITUTE(TRIM(SUBSTITUTE(AH346:AM346,CHAR(160)," "))," ","")) + 1)) &amp; " word" &amp; IF(SUMPRODUCT((AH346:AM346&lt;&gt;"")*(LEN(TRIM(SUBSTITUTE(AH346:AM346,CHAR(160)," "))) - LEN(SUBSTITUTE(TRIM(SUBSTITUTE(AH346:AM346,CHAR(160)," "))," ","")) + 1))&gt;1,"s",""))</f>
        <v/>
      </c>
      <c r="AF346" s="5550" t="str" cm="1">
        <f t="array" ref="AF346">SUMPRODUCT(--(AH346:AM346&lt;&gt;""), LEN(TRIM(SUBSTITUTE(AH346:AM346, CHAR(160), "")))) &amp; " Car."</f>
        <v>0 Car.</v>
      </c>
      <c r="AG346" s="1376" t="str">
        <f>IF(ISBLANK(AH346),"",LARGE(AG317:AG345,1)+1)</f>
        <v/>
      </c>
      <c r="AH346" s="1833"/>
      <c r="AI346" s="1810"/>
      <c r="AJ346" s="1810"/>
      <c r="AK346" s="1810"/>
      <c r="AL346" s="1810"/>
      <c r="AM346" s="1810"/>
      <c r="AN346" s="1810"/>
      <c r="AO346" s="1810"/>
      <c r="AP346" s="1811"/>
      <c r="AR346" s="103" t="str">
        <f t="shared" si="84"/>
        <v>►</v>
      </c>
      <c r="AS346" s="163" t="str">
        <f>AS275</f>
        <v>N NOMBRE DE SU RECETA | pegue esto — FAMILIA| Auteur &gt; VOUS</v>
      </c>
      <c r="AT346" s="163">
        <f>AT275</f>
        <v>1</v>
      </c>
      <c r="AU346" s="164" t="str">
        <f>AU275</f>
        <v>coupe</v>
      </c>
      <c r="AV346" s="165" t="str">
        <f>AV275</f>
        <v>Receta madre ► MILLE-FEUILLE  aux fraises des bois</v>
      </c>
      <c r="AW346" s="1548"/>
      <c r="AX346" s="1548"/>
      <c r="AY346" s="2190">
        <f>ROWS(BC318:BC346)</f>
        <v>29</v>
      </c>
      <c r="AZ346" s="5549" t="str" cm="1">
        <f t="array" ref="AZ346">IF(SUMPRODUCT((BC346:BH346&lt;&gt;"")*1)=0,"",SUMPRODUCT((BC346:BH346&lt;&gt;"")*(LEN(TRIM(SUBSTITUTE(BC346:BH346,CHAR(160)," "))) - LEN(SUBSTITUTE(TRIM(SUBSTITUTE(BC346:BH346,CHAR(160)," "))," ","")) + 1)) &amp; " palabra" &amp; IF(SUMPRODUCT((BC346:BH346&lt;&gt;"")*(LEN(TRIM(SUBSTITUTE(BC346:BH346,CHAR(160)," "))) - LEN(SUBSTITUTE(TRIM(SUBSTITUTE(BC346:BH346,CHAR(160)," "))," ","")) + 1))&gt;1,"s",""))</f>
        <v/>
      </c>
      <c r="BA346" s="5550" t="str" cm="1">
        <f t="array" ref="BA346">SUMPRODUCT(--(BC346:BH346&lt;&gt;""), LEN(TRIM(SUBSTITUTE(BC346:BH346, CHAR(160), "")))) &amp; " Car."</f>
        <v>0 Car.</v>
      </c>
      <c r="BB346" s="1376" t="str">
        <f>IF(ISBLANK(BC346),"",LARGE(BB317:BB345,1)+1)</f>
        <v/>
      </c>
      <c r="BC346" s="1833"/>
      <c r="BD346" s="1810"/>
      <c r="BE346" s="1810"/>
      <c r="BF346" s="1810"/>
      <c r="BG346" s="1810"/>
      <c r="BH346" s="1810"/>
      <c r="BI346" s="1810"/>
      <c r="BJ346" s="1810"/>
      <c r="BK346" s="1811"/>
      <c r="BM346" s="3">
        <v>1</v>
      </c>
    </row>
    <row r="347" spans="2:65" ht="21" customHeight="1">
      <c r="B347" s="103" t="str">
        <f t="shared" si="82"/>
        <v>►</v>
      </c>
      <c r="C347" s="163" t="str">
        <f>C275</f>
        <v>N NOM DE VOTRE RECETTE | collez la--FAMILLE| Auteur &gt; VOUS</v>
      </c>
      <c r="D347" s="163">
        <f>D275</f>
        <v>1</v>
      </c>
      <c r="E347" s="164" t="str">
        <f>E275</f>
        <v>coupe</v>
      </c>
      <c r="F347" s="165" t="str">
        <f>F275</f>
        <v>Recette mère ► MILLE-FEUILLE  aux fraises des bois</v>
      </c>
      <c r="G347" s="1548"/>
      <c r="H347" s="1548"/>
      <c r="I347" s="2190">
        <f>ROWS(M318:M347)</f>
        <v>30</v>
      </c>
      <c r="J347" s="5549" t="str" cm="1">
        <f t="array" ref="J347">IF(SUMPRODUCT((M347:R347&lt;&gt;"")*1)=0,"",SUMPRODUCT((M347:R347&lt;&gt;"")*(LEN(TRIM(SUBSTITUTE(M347:R347,CHAR(160)," "))) - LEN(SUBSTITUTE(TRIM(SUBSTITUTE(M347:R347,CHAR(160)," "))," ","")) + 1)) &amp; " mot" &amp; IF(SUMPRODUCT((M347:R347&lt;&gt;"")*(LEN(TRIM(SUBSTITUTE(M347:R347,CHAR(160)," "))) - LEN(SUBSTITUTE(TRIM(SUBSTITUTE(M347:R347,CHAR(160)," "))," ","")) + 1))&gt;1,"s",""))</f>
        <v/>
      </c>
      <c r="K347" s="5550" t="str" cm="1">
        <f t="array" ref="K347">SUMPRODUCT(--(M347:R347&lt;&gt;""), LEN(TRIM(SUBSTITUTE(M347:R347, CHAR(160), "")))) &amp; " Car."</f>
        <v>0 Car.</v>
      </c>
      <c r="L347" s="1376" t="str">
        <f>IF(ISBLANK(M347),"",LARGE(L317:L346,1)+1)</f>
        <v/>
      </c>
      <c r="M347" s="1810"/>
      <c r="N347" s="1810"/>
      <c r="O347" s="1810"/>
      <c r="P347" s="1810"/>
      <c r="Q347" s="1810"/>
      <c r="R347" s="1810"/>
      <c r="S347" s="1810"/>
      <c r="T347" s="1810"/>
      <c r="U347" s="1811"/>
      <c r="W347" s="103" t="str">
        <f t="shared" si="83"/>
        <v>►</v>
      </c>
      <c r="X347" s="163" t="str">
        <f>X275</f>
        <v>N NAME OF YOUR RECIPE | paste it — FAMILY|  Author &gt; YOU</v>
      </c>
      <c r="Y347" s="163">
        <f>Y275</f>
        <v>1</v>
      </c>
      <c r="Z347" s="164" t="str">
        <f>Z275</f>
        <v>coupe</v>
      </c>
      <c r="AA347" s="165" t="str">
        <f>AA275</f>
        <v>Master recipe ► MILLE-FEUILLE  aux fraises des bois</v>
      </c>
      <c r="AB347" s="1548"/>
      <c r="AC347" s="1548"/>
      <c r="AD347" s="2190">
        <f>ROWS(AH318:AH347)</f>
        <v>30</v>
      </c>
      <c r="AE347" s="5549" t="str" cm="1">
        <f t="array" ref="AE347">IF(SUMPRODUCT((AH347:AM347&lt;&gt;"")*1)=0,"",SUMPRODUCT((AH347:AM347&lt;&gt;"")*(LEN(TRIM(SUBSTITUTE(AH347:AM347,CHAR(160)," "))) - LEN(SUBSTITUTE(TRIM(SUBSTITUTE(AH347:AM347,CHAR(160)," "))," ","")) + 1)) &amp; " word" &amp; IF(SUMPRODUCT((AH347:AM347&lt;&gt;"")*(LEN(TRIM(SUBSTITUTE(AH347:AM347,CHAR(160)," "))) - LEN(SUBSTITUTE(TRIM(SUBSTITUTE(AH347:AM347,CHAR(160)," "))," ","")) + 1))&gt;1,"s",""))</f>
        <v/>
      </c>
      <c r="AF347" s="5550" t="str" cm="1">
        <f t="array" ref="AF347">SUMPRODUCT(--(AH347:AM347&lt;&gt;""), LEN(TRIM(SUBSTITUTE(AH347:AM347, CHAR(160), "")))) &amp; " Car."</f>
        <v>0 Car.</v>
      </c>
      <c r="AG347" s="1376" t="str">
        <f>IF(ISBLANK(AH347),"",LARGE(AG317:AG346,1)+1)</f>
        <v/>
      </c>
      <c r="AH347" s="1833"/>
      <c r="AI347" s="1810"/>
      <c r="AJ347" s="1810"/>
      <c r="AK347" s="1810"/>
      <c r="AL347" s="1810"/>
      <c r="AM347" s="1810"/>
      <c r="AN347" s="1810"/>
      <c r="AO347" s="1810"/>
      <c r="AP347" s="1811"/>
      <c r="AR347" s="103" t="str">
        <f t="shared" si="84"/>
        <v>►</v>
      </c>
      <c r="AS347" s="163" t="str">
        <f>AS275</f>
        <v>N NOMBRE DE SU RECETA | pegue esto — FAMILIA| Auteur &gt; VOUS</v>
      </c>
      <c r="AT347" s="163">
        <f>AT275</f>
        <v>1</v>
      </c>
      <c r="AU347" s="164" t="str">
        <f>AU275</f>
        <v>coupe</v>
      </c>
      <c r="AV347" s="165" t="str">
        <f>AV275</f>
        <v>Receta madre ► MILLE-FEUILLE  aux fraises des bois</v>
      </c>
      <c r="AW347" s="1548"/>
      <c r="AX347" s="1548"/>
      <c r="AY347" s="2190">
        <f>ROWS(BC318:BC347)</f>
        <v>30</v>
      </c>
      <c r="AZ347" s="5549" t="str" cm="1">
        <f t="array" ref="AZ347">IF(SUMPRODUCT((BC347:BH347&lt;&gt;"")*1)=0,"",SUMPRODUCT((BC347:BH347&lt;&gt;"")*(LEN(TRIM(SUBSTITUTE(BC347:BH347,CHAR(160)," "))) - LEN(SUBSTITUTE(TRIM(SUBSTITUTE(BC347:BH347,CHAR(160)," "))," ","")) + 1)) &amp; " palabra" &amp; IF(SUMPRODUCT((BC347:BH347&lt;&gt;"")*(LEN(TRIM(SUBSTITUTE(BC347:BH347,CHAR(160)," "))) - LEN(SUBSTITUTE(TRIM(SUBSTITUTE(BC347:BH347,CHAR(160)," "))," ","")) + 1))&gt;1,"s",""))</f>
        <v/>
      </c>
      <c r="BA347" s="5550" t="str" cm="1">
        <f t="array" ref="BA347">SUMPRODUCT(--(BC347:BH347&lt;&gt;""), LEN(TRIM(SUBSTITUTE(BC347:BH347, CHAR(160), "")))) &amp; " Car."</f>
        <v>0 Car.</v>
      </c>
      <c r="BB347" s="1376" t="str">
        <f>IF(ISBLANK(BC347),"",LARGE(BB317:BB346,1)+1)</f>
        <v/>
      </c>
      <c r="BC347" s="1833"/>
      <c r="BD347" s="1810"/>
      <c r="BE347" s="1810"/>
      <c r="BF347" s="1810"/>
      <c r="BG347" s="1810"/>
      <c r="BH347" s="1810"/>
      <c r="BI347" s="1810"/>
      <c r="BJ347" s="1810"/>
      <c r="BK347" s="1811"/>
      <c r="BM347" s="3">
        <v>1</v>
      </c>
    </row>
    <row r="348" spans="2:65" ht="21" customHeight="1">
      <c r="B348" s="103" t="str">
        <f t="shared" si="82"/>
        <v>►</v>
      </c>
      <c r="C348" s="163" t="str">
        <f>C275</f>
        <v>N NOM DE VOTRE RECETTE | collez la--FAMILLE| Auteur &gt; VOUS</v>
      </c>
      <c r="D348" s="163">
        <f>D275</f>
        <v>1</v>
      </c>
      <c r="E348" s="164" t="str">
        <f>E275</f>
        <v>coupe</v>
      </c>
      <c r="F348" s="165" t="str">
        <f>F275</f>
        <v>Recette mère ► MILLE-FEUILLE  aux fraises des bois</v>
      </c>
      <c r="G348" s="1548"/>
      <c r="H348" s="1548"/>
      <c r="I348" s="2190">
        <f>ROWS(M318:M348)</f>
        <v>31</v>
      </c>
      <c r="J348" s="5549" t="str" cm="1">
        <f t="array" ref="J348">IF(SUMPRODUCT((M348:R348&lt;&gt;"")*1)=0,"",SUMPRODUCT((M348:R348&lt;&gt;"")*(LEN(TRIM(SUBSTITUTE(M348:R348,CHAR(160)," "))) - LEN(SUBSTITUTE(TRIM(SUBSTITUTE(M348:R348,CHAR(160)," "))," ","")) + 1)) &amp; " mot" &amp; IF(SUMPRODUCT((M348:R348&lt;&gt;"")*(LEN(TRIM(SUBSTITUTE(M348:R348,CHAR(160)," "))) - LEN(SUBSTITUTE(TRIM(SUBSTITUTE(M348:R348,CHAR(160)," "))," ","")) + 1))&gt;1,"s",""))</f>
        <v/>
      </c>
      <c r="K348" s="5550" t="str" cm="1">
        <f t="array" ref="K348">SUMPRODUCT(--(M348:R348&lt;&gt;""), LEN(TRIM(SUBSTITUTE(M348:R348, CHAR(160), "")))) &amp; " Car."</f>
        <v>0 Car.</v>
      </c>
      <c r="L348" s="1376" t="str">
        <f>IF(ISBLANK(M348),"",LARGE(L317:L347,1)+1)</f>
        <v/>
      </c>
      <c r="M348" s="1810"/>
      <c r="N348" s="1810"/>
      <c r="O348" s="1810"/>
      <c r="P348" s="1810"/>
      <c r="Q348" s="1810"/>
      <c r="R348" s="1810"/>
      <c r="S348" s="1810"/>
      <c r="T348" s="1810"/>
      <c r="U348" s="1811"/>
      <c r="W348" s="103" t="str">
        <f t="shared" si="83"/>
        <v>►</v>
      </c>
      <c r="X348" s="163" t="str">
        <f>X275</f>
        <v>N NAME OF YOUR RECIPE | paste it — FAMILY|  Author &gt; YOU</v>
      </c>
      <c r="Y348" s="163">
        <f>Y275</f>
        <v>1</v>
      </c>
      <c r="Z348" s="164" t="str">
        <f>Z275</f>
        <v>coupe</v>
      </c>
      <c r="AA348" s="165" t="str">
        <f>AA275</f>
        <v>Master recipe ► MILLE-FEUILLE  aux fraises des bois</v>
      </c>
      <c r="AB348" s="1548"/>
      <c r="AC348" s="1548"/>
      <c r="AD348" s="2190">
        <f>ROWS(AH318:AH348)</f>
        <v>31</v>
      </c>
      <c r="AE348" s="5549" t="str" cm="1">
        <f t="array" ref="AE348">IF(SUMPRODUCT((AH348:AM348&lt;&gt;"")*1)=0,"",SUMPRODUCT((AH348:AM348&lt;&gt;"")*(LEN(TRIM(SUBSTITUTE(AH348:AM348,CHAR(160)," "))) - LEN(SUBSTITUTE(TRIM(SUBSTITUTE(AH348:AM348,CHAR(160)," "))," ","")) + 1)) &amp; " word" &amp; IF(SUMPRODUCT((AH348:AM348&lt;&gt;"")*(LEN(TRIM(SUBSTITUTE(AH348:AM348,CHAR(160)," "))) - LEN(SUBSTITUTE(TRIM(SUBSTITUTE(AH348:AM348,CHAR(160)," "))," ","")) + 1))&gt;1,"s",""))</f>
        <v/>
      </c>
      <c r="AF348" s="5550" t="str" cm="1">
        <f t="array" ref="AF348">SUMPRODUCT(--(AH348:AM348&lt;&gt;""), LEN(TRIM(SUBSTITUTE(AH348:AM348, CHAR(160), "")))) &amp; " Car."</f>
        <v>0 Car.</v>
      </c>
      <c r="AG348" s="1376" t="str">
        <f>IF(ISBLANK(AH348),"",LARGE(AG317:AG347,1)+1)</f>
        <v/>
      </c>
      <c r="AH348" s="1833"/>
      <c r="AI348" s="1810"/>
      <c r="AJ348" s="1810"/>
      <c r="AK348" s="1810"/>
      <c r="AL348" s="1810"/>
      <c r="AM348" s="1810"/>
      <c r="AN348" s="1810"/>
      <c r="AO348" s="1810"/>
      <c r="AP348" s="1811"/>
      <c r="AR348" s="103" t="str">
        <f t="shared" si="84"/>
        <v>►</v>
      </c>
      <c r="AS348" s="163" t="str">
        <f>AS275</f>
        <v>N NOMBRE DE SU RECETA | pegue esto — FAMILIA| Auteur &gt; VOUS</v>
      </c>
      <c r="AT348" s="163">
        <f>AT275</f>
        <v>1</v>
      </c>
      <c r="AU348" s="164" t="str">
        <f>AU275</f>
        <v>coupe</v>
      </c>
      <c r="AV348" s="165" t="str">
        <f>AV275</f>
        <v>Receta madre ► MILLE-FEUILLE  aux fraises des bois</v>
      </c>
      <c r="AW348" s="1548"/>
      <c r="AX348" s="1548"/>
      <c r="AY348" s="2190">
        <f>ROWS(BC318:BC348)</f>
        <v>31</v>
      </c>
      <c r="AZ348" s="5549" t="str" cm="1">
        <f t="array" ref="AZ348">IF(SUMPRODUCT((BC348:BH348&lt;&gt;"")*1)=0,"",SUMPRODUCT((BC348:BH348&lt;&gt;"")*(LEN(TRIM(SUBSTITUTE(BC348:BH348,CHAR(160)," "))) - LEN(SUBSTITUTE(TRIM(SUBSTITUTE(BC348:BH348,CHAR(160)," "))," ","")) + 1)) &amp; " palabra" &amp; IF(SUMPRODUCT((BC348:BH348&lt;&gt;"")*(LEN(TRIM(SUBSTITUTE(BC348:BH348,CHAR(160)," "))) - LEN(SUBSTITUTE(TRIM(SUBSTITUTE(BC348:BH348,CHAR(160)," "))," ","")) + 1))&gt;1,"s",""))</f>
        <v/>
      </c>
      <c r="BA348" s="5550" t="str" cm="1">
        <f t="array" ref="BA348">SUMPRODUCT(--(BC348:BH348&lt;&gt;""), LEN(TRIM(SUBSTITUTE(BC348:BH348, CHAR(160), "")))) &amp; " Car."</f>
        <v>0 Car.</v>
      </c>
      <c r="BB348" s="1376" t="str">
        <f>IF(ISBLANK(BC348),"",LARGE(BB317:BB347,1)+1)</f>
        <v/>
      </c>
      <c r="BC348" s="1833"/>
      <c r="BD348" s="1810"/>
      <c r="BE348" s="1810"/>
      <c r="BF348" s="1810"/>
      <c r="BG348" s="1810"/>
      <c r="BH348" s="1810"/>
      <c r="BI348" s="1810"/>
      <c r="BJ348" s="1810"/>
      <c r="BK348" s="1811"/>
      <c r="BM348" s="3">
        <v>1</v>
      </c>
    </row>
    <row r="349" spans="2:65" ht="21" customHeight="1">
      <c r="B349" s="103" t="str">
        <f t="shared" si="82"/>
        <v>►</v>
      </c>
      <c r="C349" s="163" t="str">
        <f>C275</f>
        <v>N NOM DE VOTRE RECETTE | collez la--FAMILLE| Auteur &gt; VOUS</v>
      </c>
      <c r="D349" s="163">
        <f>D275</f>
        <v>1</v>
      </c>
      <c r="E349" s="164" t="str">
        <f>E275</f>
        <v>coupe</v>
      </c>
      <c r="F349" s="165" t="str">
        <f>F275</f>
        <v>Recette mère ► MILLE-FEUILLE  aux fraises des bois</v>
      </c>
      <c r="G349" s="1548"/>
      <c r="H349" s="1548"/>
      <c r="I349" s="2190">
        <f>ROWS(M318:M349)</f>
        <v>32</v>
      </c>
      <c r="J349" s="5549" t="str" cm="1">
        <f t="array" ref="J349">IF(SUMPRODUCT((M349:R349&lt;&gt;"")*1)=0,"",SUMPRODUCT((M349:R349&lt;&gt;"")*(LEN(TRIM(SUBSTITUTE(M349:R349,CHAR(160)," "))) - LEN(SUBSTITUTE(TRIM(SUBSTITUTE(M349:R349,CHAR(160)," "))," ","")) + 1)) &amp; " mot" &amp; IF(SUMPRODUCT((M349:R349&lt;&gt;"")*(LEN(TRIM(SUBSTITUTE(M349:R349,CHAR(160)," "))) - LEN(SUBSTITUTE(TRIM(SUBSTITUTE(M349:R349,CHAR(160)," "))," ","")) + 1))&gt;1,"s",""))</f>
        <v/>
      </c>
      <c r="K349" s="5550" t="str" cm="1">
        <f t="array" ref="K349">SUMPRODUCT(--(M349:R349&lt;&gt;""), LEN(TRIM(SUBSTITUTE(M349:R349, CHAR(160), "")))) &amp; " Car."</f>
        <v>0 Car.</v>
      </c>
      <c r="L349" s="1376" t="str">
        <f>IF(ISBLANK(M349),"",LARGE(L317:L348,1)+1)</f>
        <v/>
      </c>
      <c r="M349" s="1810"/>
      <c r="N349" s="1810"/>
      <c r="O349" s="1810"/>
      <c r="P349" s="1810"/>
      <c r="Q349" s="1810"/>
      <c r="R349" s="1810"/>
      <c r="S349" s="1810"/>
      <c r="T349" s="1810"/>
      <c r="U349" s="1811"/>
      <c r="W349" s="103" t="str">
        <f t="shared" si="83"/>
        <v>►</v>
      </c>
      <c r="X349" s="163" t="str">
        <f>X275</f>
        <v>N NAME OF YOUR RECIPE | paste it — FAMILY|  Author &gt; YOU</v>
      </c>
      <c r="Y349" s="163">
        <f>Y275</f>
        <v>1</v>
      </c>
      <c r="Z349" s="164" t="str">
        <f>Z275</f>
        <v>coupe</v>
      </c>
      <c r="AA349" s="165" t="str">
        <f>AA275</f>
        <v>Master recipe ► MILLE-FEUILLE  aux fraises des bois</v>
      </c>
      <c r="AB349" s="1548"/>
      <c r="AC349" s="1548"/>
      <c r="AD349" s="2190">
        <f>ROWS(AH318:AH349)</f>
        <v>32</v>
      </c>
      <c r="AE349" s="5549" t="str" cm="1">
        <f t="array" ref="AE349">IF(SUMPRODUCT((AH349:AM349&lt;&gt;"")*1)=0,"",SUMPRODUCT((AH349:AM349&lt;&gt;"")*(LEN(TRIM(SUBSTITUTE(AH349:AM349,CHAR(160)," "))) - LEN(SUBSTITUTE(TRIM(SUBSTITUTE(AH349:AM349,CHAR(160)," "))," ","")) + 1)) &amp; " word" &amp; IF(SUMPRODUCT((AH349:AM349&lt;&gt;"")*(LEN(TRIM(SUBSTITUTE(AH349:AM349,CHAR(160)," "))) - LEN(SUBSTITUTE(TRIM(SUBSTITUTE(AH349:AM349,CHAR(160)," "))," ","")) + 1))&gt;1,"s",""))</f>
        <v/>
      </c>
      <c r="AF349" s="5550" t="str" cm="1">
        <f t="array" ref="AF349">SUMPRODUCT(--(AH349:AM349&lt;&gt;""), LEN(TRIM(SUBSTITUTE(AH349:AM349, CHAR(160), "")))) &amp; " Car."</f>
        <v>0 Car.</v>
      </c>
      <c r="AG349" s="1376" t="str">
        <f>IF(ISBLANK(AH349),"",LARGE(AG317:AG348,1)+1)</f>
        <v/>
      </c>
      <c r="AH349" s="1833"/>
      <c r="AI349" s="1810"/>
      <c r="AJ349" s="1810"/>
      <c r="AK349" s="1810"/>
      <c r="AL349" s="1810"/>
      <c r="AM349" s="1810"/>
      <c r="AN349" s="1810"/>
      <c r="AO349" s="1810"/>
      <c r="AP349" s="1811"/>
      <c r="AR349" s="103" t="str">
        <f t="shared" si="84"/>
        <v>►</v>
      </c>
      <c r="AS349" s="163" t="str">
        <f>AS275</f>
        <v>N NOMBRE DE SU RECETA | pegue esto — FAMILIA| Auteur &gt; VOUS</v>
      </c>
      <c r="AT349" s="163">
        <f>AT275</f>
        <v>1</v>
      </c>
      <c r="AU349" s="164" t="str">
        <f>AU275</f>
        <v>coupe</v>
      </c>
      <c r="AV349" s="165" t="str">
        <f>AV275</f>
        <v>Receta madre ► MILLE-FEUILLE  aux fraises des bois</v>
      </c>
      <c r="AW349" s="1548"/>
      <c r="AX349" s="1548"/>
      <c r="AY349" s="2190">
        <f>ROWS(BC318:BC349)</f>
        <v>32</v>
      </c>
      <c r="AZ349" s="5549" t="str" cm="1">
        <f t="array" ref="AZ349">IF(SUMPRODUCT((BC349:BH349&lt;&gt;"")*1)=0,"",SUMPRODUCT((BC349:BH349&lt;&gt;"")*(LEN(TRIM(SUBSTITUTE(BC349:BH349,CHAR(160)," "))) - LEN(SUBSTITUTE(TRIM(SUBSTITUTE(BC349:BH349,CHAR(160)," "))," ","")) + 1)) &amp; " palabra" &amp; IF(SUMPRODUCT((BC349:BH349&lt;&gt;"")*(LEN(TRIM(SUBSTITUTE(BC349:BH349,CHAR(160)," "))) - LEN(SUBSTITUTE(TRIM(SUBSTITUTE(BC349:BH349,CHAR(160)," "))," ","")) + 1))&gt;1,"s",""))</f>
        <v/>
      </c>
      <c r="BA349" s="5550" t="str" cm="1">
        <f t="array" ref="BA349">SUMPRODUCT(--(BC349:BH349&lt;&gt;""), LEN(TRIM(SUBSTITUTE(BC349:BH349, CHAR(160), "")))) &amp; " Car."</f>
        <v>0 Car.</v>
      </c>
      <c r="BB349" s="1376" t="str">
        <f>IF(ISBLANK(BC349),"",LARGE(BB317:BB348,1)+1)</f>
        <v/>
      </c>
      <c r="BC349" s="1833"/>
      <c r="BD349" s="1810"/>
      <c r="BE349" s="1810"/>
      <c r="BF349" s="1810"/>
      <c r="BG349" s="1810"/>
      <c r="BH349" s="1810"/>
      <c r="BI349" s="1810"/>
      <c r="BJ349" s="1810"/>
      <c r="BK349" s="1811"/>
      <c r="BM349" s="3">
        <v>1</v>
      </c>
    </row>
    <row r="350" spans="2:65" ht="21" customHeight="1">
      <c r="B350" s="103" t="str">
        <f t="shared" si="82"/>
        <v>►</v>
      </c>
      <c r="C350" s="163" t="str">
        <f>C275</f>
        <v>N NOM DE VOTRE RECETTE | collez la--FAMILLE| Auteur &gt; VOUS</v>
      </c>
      <c r="D350" s="163">
        <f>D275</f>
        <v>1</v>
      </c>
      <c r="E350" s="164" t="str">
        <f>E275</f>
        <v>coupe</v>
      </c>
      <c r="F350" s="165" t="str">
        <f>F275</f>
        <v>Recette mère ► MILLE-FEUILLE  aux fraises des bois</v>
      </c>
      <c r="G350" s="1548"/>
      <c r="H350" s="1548"/>
      <c r="I350" s="2190">
        <f>ROWS(M318:M350)</f>
        <v>33</v>
      </c>
      <c r="J350" s="5549" t="str" cm="1">
        <f t="array" ref="J350">IF(SUMPRODUCT((M350:R350&lt;&gt;"")*1)=0,"",SUMPRODUCT((M350:R350&lt;&gt;"")*(LEN(TRIM(SUBSTITUTE(M350:R350,CHAR(160)," "))) - LEN(SUBSTITUTE(TRIM(SUBSTITUTE(M350:R350,CHAR(160)," "))," ","")) + 1)) &amp; " mot" &amp; IF(SUMPRODUCT((M350:R350&lt;&gt;"")*(LEN(TRIM(SUBSTITUTE(M350:R350,CHAR(160)," "))) - LEN(SUBSTITUTE(TRIM(SUBSTITUTE(M350:R350,CHAR(160)," "))," ","")) + 1))&gt;1,"s",""))</f>
        <v/>
      </c>
      <c r="K350" s="5550" t="str" cm="1">
        <f t="array" ref="K350">SUMPRODUCT(--(M350:R350&lt;&gt;""), LEN(TRIM(SUBSTITUTE(M350:R350, CHAR(160), "")))) &amp; " Car."</f>
        <v>0 Car.</v>
      </c>
      <c r="L350" s="1376" t="str">
        <f>IF(ISBLANK(M350),"",LARGE(L317:L349,1)+1)</f>
        <v/>
      </c>
      <c r="M350" s="1810"/>
      <c r="N350" s="1810"/>
      <c r="O350" s="1810"/>
      <c r="P350" s="1810"/>
      <c r="Q350" s="1810"/>
      <c r="R350" s="1810"/>
      <c r="S350" s="1810"/>
      <c r="T350" s="1810"/>
      <c r="U350" s="1811"/>
      <c r="W350" s="103" t="str">
        <f t="shared" si="83"/>
        <v>►</v>
      </c>
      <c r="X350" s="163" t="str">
        <f>X275</f>
        <v>N NAME OF YOUR RECIPE | paste it — FAMILY|  Author &gt; YOU</v>
      </c>
      <c r="Y350" s="163">
        <f>Y275</f>
        <v>1</v>
      </c>
      <c r="Z350" s="164" t="str">
        <f>Z275</f>
        <v>coupe</v>
      </c>
      <c r="AA350" s="165" t="str">
        <f>AA275</f>
        <v>Master recipe ► MILLE-FEUILLE  aux fraises des bois</v>
      </c>
      <c r="AB350" s="1548"/>
      <c r="AC350" s="1548"/>
      <c r="AD350" s="2190">
        <f>ROWS(AH318:AH350)</f>
        <v>33</v>
      </c>
      <c r="AE350" s="5549" t="str" cm="1">
        <f t="array" ref="AE350">IF(SUMPRODUCT((AH350:AM350&lt;&gt;"")*1)=0,"",SUMPRODUCT((AH350:AM350&lt;&gt;"")*(LEN(TRIM(SUBSTITUTE(AH350:AM350,CHAR(160)," "))) - LEN(SUBSTITUTE(TRIM(SUBSTITUTE(AH350:AM350,CHAR(160)," "))," ","")) + 1)) &amp; " word" &amp; IF(SUMPRODUCT((AH350:AM350&lt;&gt;"")*(LEN(TRIM(SUBSTITUTE(AH350:AM350,CHAR(160)," "))) - LEN(SUBSTITUTE(TRIM(SUBSTITUTE(AH350:AM350,CHAR(160)," "))," ","")) + 1))&gt;1,"s",""))</f>
        <v/>
      </c>
      <c r="AF350" s="5550" t="str" cm="1">
        <f t="array" ref="AF350">SUMPRODUCT(--(AH350:AM350&lt;&gt;""), LEN(TRIM(SUBSTITUTE(AH350:AM350, CHAR(160), "")))) &amp; " Car."</f>
        <v>0 Car.</v>
      </c>
      <c r="AG350" s="1376" t="str">
        <f>IF(ISBLANK(AH350),"",LARGE(AG317:AG349,1)+1)</f>
        <v/>
      </c>
      <c r="AH350" s="1833"/>
      <c r="AI350" s="1810"/>
      <c r="AJ350" s="1810"/>
      <c r="AK350" s="1810"/>
      <c r="AL350" s="1810"/>
      <c r="AM350" s="1810"/>
      <c r="AN350" s="1810"/>
      <c r="AO350" s="1810"/>
      <c r="AP350" s="1811"/>
      <c r="AR350" s="103" t="str">
        <f t="shared" si="84"/>
        <v>►</v>
      </c>
      <c r="AS350" s="163" t="str">
        <f>AS275</f>
        <v>N NOMBRE DE SU RECETA | pegue esto — FAMILIA| Auteur &gt; VOUS</v>
      </c>
      <c r="AT350" s="163">
        <f>AT275</f>
        <v>1</v>
      </c>
      <c r="AU350" s="164" t="str">
        <f>AU275</f>
        <v>coupe</v>
      </c>
      <c r="AV350" s="165" t="str">
        <f>AV275</f>
        <v>Receta madre ► MILLE-FEUILLE  aux fraises des bois</v>
      </c>
      <c r="AW350" s="1548"/>
      <c r="AX350" s="1548"/>
      <c r="AY350" s="2190">
        <f>ROWS(BC318:BC350)</f>
        <v>33</v>
      </c>
      <c r="AZ350" s="5549" t="str" cm="1">
        <f t="array" ref="AZ350">IF(SUMPRODUCT((BC350:BH350&lt;&gt;"")*1)=0,"",SUMPRODUCT((BC350:BH350&lt;&gt;"")*(LEN(TRIM(SUBSTITUTE(BC350:BH350,CHAR(160)," "))) - LEN(SUBSTITUTE(TRIM(SUBSTITUTE(BC350:BH350,CHAR(160)," "))," ","")) + 1)) &amp; " palabra" &amp; IF(SUMPRODUCT((BC350:BH350&lt;&gt;"")*(LEN(TRIM(SUBSTITUTE(BC350:BH350,CHAR(160)," "))) - LEN(SUBSTITUTE(TRIM(SUBSTITUTE(BC350:BH350,CHAR(160)," "))," ","")) + 1))&gt;1,"s",""))</f>
        <v/>
      </c>
      <c r="BA350" s="5550" t="str" cm="1">
        <f t="array" ref="BA350">SUMPRODUCT(--(BC350:BH350&lt;&gt;""), LEN(TRIM(SUBSTITUTE(BC350:BH350, CHAR(160), "")))) &amp; " Car."</f>
        <v>0 Car.</v>
      </c>
      <c r="BB350" s="1376" t="str">
        <f>IF(ISBLANK(BC350),"",LARGE(BB317:BB349,1)+1)</f>
        <v/>
      </c>
      <c r="BC350" s="1833"/>
      <c r="BD350" s="1810"/>
      <c r="BE350" s="1810"/>
      <c r="BF350" s="1810"/>
      <c r="BG350" s="1810"/>
      <c r="BH350" s="1810"/>
      <c r="BI350" s="1810"/>
      <c r="BJ350" s="1810"/>
      <c r="BK350" s="1811"/>
      <c r="BM350" s="3">
        <v>1</v>
      </c>
    </row>
    <row r="351" spans="2:65" ht="21" customHeight="1">
      <c r="B351" s="103" t="str">
        <f t="shared" si="82"/>
        <v>►</v>
      </c>
      <c r="C351" s="163" t="str">
        <f>C275</f>
        <v>N NOM DE VOTRE RECETTE | collez la--FAMILLE| Auteur &gt; VOUS</v>
      </c>
      <c r="D351" s="163">
        <f>D275</f>
        <v>1</v>
      </c>
      <c r="E351" s="164" t="str">
        <f>E275</f>
        <v>coupe</v>
      </c>
      <c r="F351" s="165" t="str">
        <f>F275</f>
        <v>Recette mère ► MILLE-FEUILLE  aux fraises des bois</v>
      </c>
      <c r="G351" s="1548"/>
      <c r="H351" s="1548"/>
      <c r="I351" s="2190">
        <f>ROWS(M318:M351)</f>
        <v>34</v>
      </c>
      <c r="J351" s="5549" t="str" cm="1">
        <f t="array" ref="J351">IF(SUMPRODUCT((M351:R351&lt;&gt;"")*1)=0,"",SUMPRODUCT((M351:R351&lt;&gt;"")*(LEN(TRIM(SUBSTITUTE(M351:R351,CHAR(160)," "))) - LEN(SUBSTITUTE(TRIM(SUBSTITUTE(M351:R351,CHAR(160)," "))," ","")) + 1)) &amp; " mot" &amp; IF(SUMPRODUCT((M351:R351&lt;&gt;"")*(LEN(TRIM(SUBSTITUTE(M351:R351,CHAR(160)," "))) - LEN(SUBSTITUTE(TRIM(SUBSTITUTE(M351:R351,CHAR(160)," "))," ","")) + 1))&gt;1,"s",""))</f>
        <v/>
      </c>
      <c r="K351" s="5550" t="str" cm="1">
        <f t="array" ref="K351">SUMPRODUCT(--(M351:R351&lt;&gt;""), LEN(TRIM(SUBSTITUTE(M351:R351, CHAR(160), "")))) &amp; " Car."</f>
        <v>0 Car.</v>
      </c>
      <c r="L351" s="1376" t="str">
        <f>IF(ISBLANK(M351),"",LARGE(L317:L350,1)+1)</f>
        <v/>
      </c>
      <c r="M351" s="1810"/>
      <c r="N351" s="1810"/>
      <c r="O351" s="1810"/>
      <c r="P351" s="1810"/>
      <c r="Q351" s="1810"/>
      <c r="R351" s="1810"/>
      <c r="S351" s="1810"/>
      <c r="T351" s="1810"/>
      <c r="U351" s="1811"/>
      <c r="W351" s="103" t="str">
        <f t="shared" si="83"/>
        <v>►</v>
      </c>
      <c r="X351" s="163" t="str">
        <f>X275</f>
        <v>N NAME OF YOUR RECIPE | paste it — FAMILY|  Author &gt; YOU</v>
      </c>
      <c r="Y351" s="163">
        <f>Y275</f>
        <v>1</v>
      </c>
      <c r="Z351" s="164" t="str">
        <f>Z275</f>
        <v>coupe</v>
      </c>
      <c r="AA351" s="165" t="str">
        <f>AA275</f>
        <v>Master recipe ► MILLE-FEUILLE  aux fraises des bois</v>
      </c>
      <c r="AB351" s="1548"/>
      <c r="AC351" s="1548"/>
      <c r="AD351" s="2190">
        <f>ROWS(AH318:AH351)</f>
        <v>34</v>
      </c>
      <c r="AE351" s="5549" t="str" cm="1">
        <f t="array" ref="AE351">IF(SUMPRODUCT((AH351:AM351&lt;&gt;"")*1)=0,"",SUMPRODUCT((AH351:AM351&lt;&gt;"")*(LEN(TRIM(SUBSTITUTE(AH351:AM351,CHAR(160)," "))) - LEN(SUBSTITUTE(TRIM(SUBSTITUTE(AH351:AM351,CHAR(160)," "))," ","")) + 1)) &amp; " word" &amp; IF(SUMPRODUCT((AH351:AM351&lt;&gt;"")*(LEN(TRIM(SUBSTITUTE(AH351:AM351,CHAR(160)," "))) - LEN(SUBSTITUTE(TRIM(SUBSTITUTE(AH351:AM351,CHAR(160)," "))," ","")) + 1))&gt;1,"s",""))</f>
        <v/>
      </c>
      <c r="AF351" s="5550" t="str" cm="1">
        <f t="array" ref="AF351">SUMPRODUCT(--(AH351:AM351&lt;&gt;""), LEN(TRIM(SUBSTITUTE(AH351:AM351, CHAR(160), "")))) &amp; " Car."</f>
        <v>0 Car.</v>
      </c>
      <c r="AG351" s="1376" t="str">
        <f>IF(ISBLANK(AH351),"",LARGE(AG317:AG350,1)+1)</f>
        <v/>
      </c>
      <c r="AH351" s="1833"/>
      <c r="AI351" s="1810"/>
      <c r="AJ351" s="1810"/>
      <c r="AK351" s="1810"/>
      <c r="AL351" s="1810"/>
      <c r="AM351" s="1810"/>
      <c r="AN351" s="1810"/>
      <c r="AO351" s="1810"/>
      <c r="AP351" s="1811"/>
      <c r="AR351" s="103" t="str">
        <f t="shared" si="84"/>
        <v>►</v>
      </c>
      <c r="AS351" s="163" t="str">
        <f>AS275</f>
        <v>N NOMBRE DE SU RECETA | pegue esto — FAMILIA| Auteur &gt; VOUS</v>
      </c>
      <c r="AT351" s="163">
        <f>AT275</f>
        <v>1</v>
      </c>
      <c r="AU351" s="164" t="str">
        <f>AU275</f>
        <v>coupe</v>
      </c>
      <c r="AV351" s="165" t="str">
        <f>AV275</f>
        <v>Receta madre ► MILLE-FEUILLE  aux fraises des bois</v>
      </c>
      <c r="AW351" s="1548"/>
      <c r="AX351" s="1548"/>
      <c r="AY351" s="2190">
        <f>ROWS(BC318:BC351)</f>
        <v>34</v>
      </c>
      <c r="AZ351" s="5549" t="str" cm="1">
        <f t="array" ref="AZ351">IF(SUMPRODUCT((BC351:BH351&lt;&gt;"")*1)=0,"",SUMPRODUCT((BC351:BH351&lt;&gt;"")*(LEN(TRIM(SUBSTITUTE(BC351:BH351,CHAR(160)," "))) - LEN(SUBSTITUTE(TRIM(SUBSTITUTE(BC351:BH351,CHAR(160)," "))," ","")) + 1)) &amp; " palabra" &amp; IF(SUMPRODUCT((BC351:BH351&lt;&gt;"")*(LEN(TRIM(SUBSTITUTE(BC351:BH351,CHAR(160)," "))) - LEN(SUBSTITUTE(TRIM(SUBSTITUTE(BC351:BH351,CHAR(160)," "))," ","")) + 1))&gt;1,"s",""))</f>
        <v/>
      </c>
      <c r="BA351" s="5550" t="str" cm="1">
        <f t="array" ref="BA351">SUMPRODUCT(--(BC351:BH351&lt;&gt;""), LEN(TRIM(SUBSTITUTE(BC351:BH351, CHAR(160), "")))) &amp; " Car."</f>
        <v>0 Car.</v>
      </c>
      <c r="BB351" s="1376" t="str">
        <f>IF(ISBLANK(BC351),"",LARGE(BB317:BB350,1)+1)</f>
        <v/>
      </c>
      <c r="BC351" s="1833"/>
      <c r="BD351" s="1810"/>
      <c r="BE351" s="1810"/>
      <c r="BF351" s="1810"/>
      <c r="BG351" s="1810"/>
      <c r="BH351" s="1810"/>
      <c r="BI351" s="1810"/>
      <c r="BJ351" s="1810"/>
      <c r="BK351" s="1811"/>
      <c r="BM351" s="3">
        <v>1</v>
      </c>
    </row>
    <row r="352" spans="2:65" ht="21" customHeight="1">
      <c r="B352" s="103" t="str">
        <f t="shared" si="82"/>
        <v>►</v>
      </c>
      <c r="C352" s="163" t="str">
        <f>C275</f>
        <v>N NOM DE VOTRE RECETTE | collez la--FAMILLE| Auteur &gt; VOUS</v>
      </c>
      <c r="D352" s="163">
        <f>D275</f>
        <v>1</v>
      </c>
      <c r="E352" s="164" t="str">
        <f>E275</f>
        <v>coupe</v>
      </c>
      <c r="F352" s="165" t="str">
        <f>F275</f>
        <v>Recette mère ► MILLE-FEUILLE  aux fraises des bois</v>
      </c>
      <c r="G352" s="1548"/>
      <c r="H352" s="1548"/>
      <c r="I352" s="2190">
        <f>ROWS(M318:M352)</f>
        <v>35</v>
      </c>
      <c r="J352" s="5549" t="str" cm="1">
        <f t="array" ref="J352">IF(SUMPRODUCT((M352:R352&lt;&gt;"")*1)=0,"",SUMPRODUCT((M352:R352&lt;&gt;"")*(LEN(TRIM(SUBSTITUTE(M352:R352,CHAR(160)," "))) - LEN(SUBSTITUTE(TRIM(SUBSTITUTE(M352:R352,CHAR(160)," "))," ","")) + 1)) &amp; " mot" &amp; IF(SUMPRODUCT((M352:R352&lt;&gt;"")*(LEN(TRIM(SUBSTITUTE(M352:R352,CHAR(160)," "))) - LEN(SUBSTITUTE(TRIM(SUBSTITUTE(M352:R352,CHAR(160)," "))," ","")) + 1))&gt;1,"s",""))</f>
        <v/>
      </c>
      <c r="K352" s="5550" t="str" cm="1">
        <f t="array" ref="K352">SUMPRODUCT(--(M352:R352&lt;&gt;""), LEN(TRIM(SUBSTITUTE(M352:R352, CHAR(160), "")))) &amp; " Car."</f>
        <v>0 Car.</v>
      </c>
      <c r="L352" s="1376" t="str">
        <f>IF(ISBLANK(M352),"",LARGE(L317:L351,1)+1)</f>
        <v/>
      </c>
      <c r="M352" s="1810"/>
      <c r="N352" s="1810"/>
      <c r="O352" s="1810"/>
      <c r="P352" s="1810"/>
      <c r="Q352" s="1810"/>
      <c r="R352" s="1810"/>
      <c r="S352" s="1810"/>
      <c r="T352" s="1810"/>
      <c r="U352" s="1811"/>
      <c r="W352" s="103" t="str">
        <f t="shared" si="83"/>
        <v>►</v>
      </c>
      <c r="X352" s="163" t="str">
        <f>X275</f>
        <v>N NAME OF YOUR RECIPE | paste it — FAMILY|  Author &gt; YOU</v>
      </c>
      <c r="Y352" s="163">
        <f>Y275</f>
        <v>1</v>
      </c>
      <c r="Z352" s="164" t="str">
        <f>Z275</f>
        <v>coupe</v>
      </c>
      <c r="AA352" s="165" t="str">
        <f>AA275</f>
        <v>Master recipe ► MILLE-FEUILLE  aux fraises des bois</v>
      </c>
      <c r="AB352" s="1548"/>
      <c r="AC352" s="1548"/>
      <c r="AD352" s="2190">
        <f>ROWS(AH318:AH352)</f>
        <v>35</v>
      </c>
      <c r="AE352" s="5549" t="str" cm="1">
        <f t="array" ref="AE352">IF(SUMPRODUCT((AH352:AM352&lt;&gt;"")*1)=0,"",SUMPRODUCT((AH352:AM352&lt;&gt;"")*(LEN(TRIM(SUBSTITUTE(AH352:AM352,CHAR(160)," "))) - LEN(SUBSTITUTE(TRIM(SUBSTITUTE(AH352:AM352,CHAR(160)," "))," ","")) + 1)) &amp; " word" &amp; IF(SUMPRODUCT((AH352:AM352&lt;&gt;"")*(LEN(TRIM(SUBSTITUTE(AH352:AM352,CHAR(160)," "))) - LEN(SUBSTITUTE(TRIM(SUBSTITUTE(AH352:AM352,CHAR(160)," "))," ","")) + 1))&gt;1,"s",""))</f>
        <v/>
      </c>
      <c r="AF352" s="5550" t="str" cm="1">
        <f t="array" ref="AF352">SUMPRODUCT(--(AH352:AM352&lt;&gt;""), LEN(TRIM(SUBSTITUTE(AH352:AM352, CHAR(160), "")))) &amp; " Car."</f>
        <v>0 Car.</v>
      </c>
      <c r="AG352" s="1376" t="str">
        <f>IF(ISBLANK(AH352),"",LARGE(AG317:AG351,1)+1)</f>
        <v/>
      </c>
      <c r="AH352" s="1833"/>
      <c r="AI352" s="1810"/>
      <c r="AJ352" s="1810"/>
      <c r="AK352" s="1810"/>
      <c r="AL352" s="1810"/>
      <c r="AM352" s="1810"/>
      <c r="AN352" s="1810"/>
      <c r="AO352" s="1810"/>
      <c r="AP352" s="1811"/>
      <c r="AR352" s="103" t="str">
        <f t="shared" si="84"/>
        <v>►</v>
      </c>
      <c r="AS352" s="163" t="str">
        <f>AS275</f>
        <v>N NOMBRE DE SU RECETA | pegue esto — FAMILIA| Auteur &gt; VOUS</v>
      </c>
      <c r="AT352" s="163">
        <f>AT275</f>
        <v>1</v>
      </c>
      <c r="AU352" s="164" t="str">
        <f>AU275</f>
        <v>coupe</v>
      </c>
      <c r="AV352" s="165" t="str">
        <f>AV275</f>
        <v>Receta madre ► MILLE-FEUILLE  aux fraises des bois</v>
      </c>
      <c r="AW352" s="1548"/>
      <c r="AX352" s="1548"/>
      <c r="AY352" s="2190">
        <f>ROWS(BC318:BC352)</f>
        <v>35</v>
      </c>
      <c r="AZ352" s="5549" t="str" cm="1">
        <f t="array" ref="AZ352">IF(SUMPRODUCT((BC352:BH352&lt;&gt;"")*1)=0,"",SUMPRODUCT((BC352:BH352&lt;&gt;"")*(LEN(TRIM(SUBSTITUTE(BC352:BH352,CHAR(160)," "))) - LEN(SUBSTITUTE(TRIM(SUBSTITUTE(BC352:BH352,CHAR(160)," "))," ","")) + 1)) &amp; " palabra" &amp; IF(SUMPRODUCT((BC352:BH352&lt;&gt;"")*(LEN(TRIM(SUBSTITUTE(BC352:BH352,CHAR(160)," "))) - LEN(SUBSTITUTE(TRIM(SUBSTITUTE(BC352:BH352,CHAR(160)," "))," ","")) + 1))&gt;1,"s",""))</f>
        <v/>
      </c>
      <c r="BA352" s="5550" t="str" cm="1">
        <f t="array" ref="BA352">SUMPRODUCT(--(BC352:BH352&lt;&gt;""), LEN(TRIM(SUBSTITUTE(BC352:BH352, CHAR(160), "")))) &amp; " Car."</f>
        <v>0 Car.</v>
      </c>
      <c r="BB352" s="1376" t="str">
        <f>IF(ISBLANK(BC352),"",LARGE(BB317:BB351,1)+1)</f>
        <v/>
      </c>
      <c r="BC352" s="1833"/>
      <c r="BD352" s="1810"/>
      <c r="BE352" s="1810"/>
      <c r="BF352" s="1810"/>
      <c r="BG352" s="1810"/>
      <c r="BH352" s="1810"/>
      <c r="BI352" s="1810"/>
      <c r="BJ352" s="1810"/>
      <c r="BK352" s="1811"/>
      <c r="BM352" s="3">
        <v>1</v>
      </c>
    </row>
    <row r="353" spans="2:65" ht="21" customHeight="1">
      <c r="B353" s="103" t="str">
        <f t="shared" si="82"/>
        <v>►</v>
      </c>
      <c r="C353" s="163" t="str">
        <f>C275</f>
        <v>N NOM DE VOTRE RECETTE | collez la--FAMILLE| Auteur &gt; VOUS</v>
      </c>
      <c r="D353" s="163">
        <f>D275</f>
        <v>1</v>
      </c>
      <c r="E353" s="164" t="str">
        <f>E275</f>
        <v>coupe</v>
      </c>
      <c r="F353" s="165" t="str">
        <f>F275</f>
        <v>Recette mère ► MILLE-FEUILLE  aux fraises des bois</v>
      </c>
      <c r="G353" s="1548"/>
      <c r="H353" s="1548"/>
      <c r="I353" s="2190">
        <f>ROWS(M318:M353)</f>
        <v>36</v>
      </c>
      <c r="J353" s="5549" t="str" cm="1">
        <f t="array" ref="J353">IF(SUMPRODUCT((M353:R353&lt;&gt;"")*1)=0,"",SUMPRODUCT((M353:R353&lt;&gt;"")*(LEN(TRIM(SUBSTITUTE(M353:R353,CHAR(160)," "))) - LEN(SUBSTITUTE(TRIM(SUBSTITUTE(M353:R353,CHAR(160)," "))," ","")) + 1)) &amp; " mot" &amp; IF(SUMPRODUCT((M353:R353&lt;&gt;"")*(LEN(TRIM(SUBSTITUTE(M353:R353,CHAR(160)," "))) - LEN(SUBSTITUTE(TRIM(SUBSTITUTE(M353:R353,CHAR(160)," "))," ","")) + 1))&gt;1,"s",""))</f>
        <v/>
      </c>
      <c r="K353" s="5550" t="str" cm="1">
        <f t="array" ref="K353">SUMPRODUCT(--(M353:R353&lt;&gt;""), LEN(TRIM(SUBSTITUTE(M353:R353, CHAR(160), "")))) &amp; " Car."</f>
        <v>0 Car.</v>
      </c>
      <c r="L353" s="1376" t="str">
        <f>IF(ISBLANK(M353),"",LARGE(L317:L352,1)+1)</f>
        <v/>
      </c>
      <c r="M353" s="1810"/>
      <c r="N353" s="1810"/>
      <c r="O353" s="1810"/>
      <c r="P353" s="1810"/>
      <c r="Q353" s="1810"/>
      <c r="R353" s="1810"/>
      <c r="S353" s="1810"/>
      <c r="T353" s="1810"/>
      <c r="U353" s="1811"/>
      <c r="W353" s="103" t="str">
        <f t="shared" si="83"/>
        <v>►</v>
      </c>
      <c r="X353" s="163" t="str">
        <f>X275</f>
        <v>N NAME OF YOUR RECIPE | paste it — FAMILY|  Author &gt; YOU</v>
      </c>
      <c r="Y353" s="163">
        <f>Y275</f>
        <v>1</v>
      </c>
      <c r="Z353" s="164" t="str">
        <f>Z275</f>
        <v>coupe</v>
      </c>
      <c r="AA353" s="165" t="str">
        <f>AA275</f>
        <v>Master recipe ► MILLE-FEUILLE  aux fraises des bois</v>
      </c>
      <c r="AB353" s="1548"/>
      <c r="AC353" s="1548"/>
      <c r="AD353" s="2190">
        <f>ROWS(AH318:AH353)</f>
        <v>36</v>
      </c>
      <c r="AE353" s="5549" t="str" cm="1">
        <f t="array" ref="AE353">IF(SUMPRODUCT((AH353:AM353&lt;&gt;"")*1)=0,"",SUMPRODUCT((AH353:AM353&lt;&gt;"")*(LEN(TRIM(SUBSTITUTE(AH353:AM353,CHAR(160)," "))) - LEN(SUBSTITUTE(TRIM(SUBSTITUTE(AH353:AM353,CHAR(160)," "))," ","")) + 1)) &amp; " word" &amp; IF(SUMPRODUCT((AH353:AM353&lt;&gt;"")*(LEN(TRIM(SUBSTITUTE(AH353:AM353,CHAR(160)," "))) - LEN(SUBSTITUTE(TRIM(SUBSTITUTE(AH353:AM353,CHAR(160)," "))," ","")) + 1))&gt;1,"s",""))</f>
        <v/>
      </c>
      <c r="AF353" s="5550" t="str" cm="1">
        <f t="array" ref="AF353">SUMPRODUCT(--(AH353:AM353&lt;&gt;""), LEN(TRIM(SUBSTITUTE(AH353:AM353, CHAR(160), "")))) &amp; " Car."</f>
        <v>0 Car.</v>
      </c>
      <c r="AG353" s="1376" t="str">
        <f>IF(ISBLANK(AH353),"",LARGE(AG317:AG352,1)+1)</f>
        <v/>
      </c>
      <c r="AH353" s="1833"/>
      <c r="AI353" s="1810"/>
      <c r="AJ353" s="1810"/>
      <c r="AK353" s="1810"/>
      <c r="AL353" s="1810"/>
      <c r="AM353" s="1810"/>
      <c r="AN353" s="1810"/>
      <c r="AO353" s="1810"/>
      <c r="AP353" s="1811"/>
      <c r="AR353" s="103" t="str">
        <f t="shared" si="84"/>
        <v>►</v>
      </c>
      <c r="AS353" s="163" t="str">
        <f>AS275</f>
        <v>N NOMBRE DE SU RECETA | pegue esto — FAMILIA| Auteur &gt; VOUS</v>
      </c>
      <c r="AT353" s="163">
        <f>AT275</f>
        <v>1</v>
      </c>
      <c r="AU353" s="164" t="str">
        <f>AU275</f>
        <v>coupe</v>
      </c>
      <c r="AV353" s="165" t="str">
        <f>AV275</f>
        <v>Receta madre ► MILLE-FEUILLE  aux fraises des bois</v>
      </c>
      <c r="AW353" s="1548"/>
      <c r="AX353" s="1548"/>
      <c r="AY353" s="2190">
        <f>ROWS(BC318:BC353)</f>
        <v>36</v>
      </c>
      <c r="AZ353" s="5549" t="str" cm="1">
        <f t="array" ref="AZ353">IF(SUMPRODUCT((BC353:BH353&lt;&gt;"")*1)=0,"",SUMPRODUCT((BC353:BH353&lt;&gt;"")*(LEN(TRIM(SUBSTITUTE(BC353:BH353,CHAR(160)," "))) - LEN(SUBSTITUTE(TRIM(SUBSTITUTE(BC353:BH353,CHAR(160)," "))," ","")) + 1)) &amp; " palabra" &amp; IF(SUMPRODUCT((BC353:BH353&lt;&gt;"")*(LEN(TRIM(SUBSTITUTE(BC353:BH353,CHAR(160)," "))) - LEN(SUBSTITUTE(TRIM(SUBSTITUTE(BC353:BH353,CHAR(160)," "))," ","")) + 1))&gt;1,"s",""))</f>
        <v/>
      </c>
      <c r="BA353" s="5550" t="str" cm="1">
        <f t="array" ref="BA353">SUMPRODUCT(--(BC353:BH353&lt;&gt;""), LEN(TRIM(SUBSTITUTE(BC353:BH353, CHAR(160), "")))) &amp; " Car."</f>
        <v>0 Car.</v>
      </c>
      <c r="BB353" s="1376" t="str">
        <f>IF(ISBLANK(BC353),"",LARGE(BB317:BB352,1)+1)</f>
        <v/>
      </c>
      <c r="BC353" s="1833"/>
      <c r="BD353" s="1810"/>
      <c r="BE353" s="1810"/>
      <c r="BF353" s="1810"/>
      <c r="BG353" s="1810"/>
      <c r="BH353" s="1810"/>
      <c r="BI353" s="1810"/>
      <c r="BJ353" s="1810"/>
      <c r="BK353" s="1811"/>
      <c r="BM353" s="3">
        <v>1</v>
      </c>
    </row>
    <row r="354" spans="2:65" ht="21" customHeight="1">
      <c r="B354" s="103" t="str">
        <f t="shared" si="82"/>
        <v>►</v>
      </c>
      <c r="C354" s="163" t="str">
        <f>C275</f>
        <v>N NOM DE VOTRE RECETTE | collez la--FAMILLE| Auteur &gt; VOUS</v>
      </c>
      <c r="D354" s="163">
        <f>D275</f>
        <v>1</v>
      </c>
      <c r="E354" s="164" t="str">
        <f>E275</f>
        <v>coupe</v>
      </c>
      <c r="F354" s="165" t="str">
        <f>F275</f>
        <v>Recette mère ► MILLE-FEUILLE  aux fraises des bois</v>
      </c>
      <c r="G354" s="1548"/>
      <c r="H354" s="1548"/>
      <c r="I354" s="2190">
        <f>ROWS(M318:M354)</f>
        <v>37</v>
      </c>
      <c r="J354" s="5549" t="str" cm="1">
        <f t="array" ref="J354">IF(SUMPRODUCT((M354:R354&lt;&gt;"")*1)=0,"",SUMPRODUCT((M354:R354&lt;&gt;"")*(LEN(TRIM(SUBSTITUTE(M354:R354,CHAR(160)," "))) - LEN(SUBSTITUTE(TRIM(SUBSTITUTE(M354:R354,CHAR(160)," "))," ","")) + 1)) &amp; " mot" &amp; IF(SUMPRODUCT((M354:R354&lt;&gt;"")*(LEN(TRIM(SUBSTITUTE(M354:R354,CHAR(160)," "))) - LEN(SUBSTITUTE(TRIM(SUBSTITUTE(M354:R354,CHAR(160)," "))," ","")) + 1))&gt;1,"s",""))</f>
        <v/>
      </c>
      <c r="K354" s="5550" t="str" cm="1">
        <f t="array" ref="K354">SUMPRODUCT(--(M354:R354&lt;&gt;""), LEN(TRIM(SUBSTITUTE(M354:R354, CHAR(160), "")))) &amp; " Car."</f>
        <v>0 Car.</v>
      </c>
      <c r="L354" s="1376" t="str">
        <f>IF(ISBLANK(M354),"",LARGE(L317:L353,1)+1)</f>
        <v/>
      </c>
      <c r="M354" s="1810"/>
      <c r="N354" s="1810"/>
      <c r="O354" s="1810"/>
      <c r="P354" s="1810"/>
      <c r="Q354" s="1810"/>
      <c r="R354" s="1810"/>
      <c r="S354" s="1810"/>
      <c r="T354" s="1810"/>
      <c r="U354" s="1811"/>
      <c r="W354" s="103" t="str">
        <f t="shared" si="83"/>
        <v>►</v>
      </c>
      <c r="X354" s="163" t="str">
        <f>X275</f>
        <v>N NAME OF YOUR RECIPE | paste it — FAMILY|  Author &gt; YOU</v>
      </c>
      <c r="Y354" s="163">
        <f>Y275</f>
        <v>1</v>
      </c>
      <c r="Z354" s="164" t="str">
        <f>Z275</f>
        <v>coupe</v>
      </c>
      <c r="AA354" s="165" t="str">
        <f>AA275</f>
        <v>Master recipe ► MILLE-FEUILLE  aux fraises des bois</v>
      </c>
      <c r="AB354" s="1548"/>
      <c r="AC354" s="1548"/>
      <c r="AD354" s="2190">
        <f>ROWS(AH318:AH354)</f>
        <v>37</v>
      </c>
      <c r="AE354" s="5549" t="str" cm="1">
        <f t="array" ref="AE354">IF(SUMPRODUCT((AH354:AM354&lt;&gt;"")*1)=0,"",SUMPRODUCT((AH354:AM354&lt;&gt;"")*(LEN(TRIM(SUBSTITUTE(AH354:AM354,CHAR(160)," "))) - LEN(SUBSTITUTE(TRIM(SUBSTITUTE(AH354:AM354,CHAR(160)," "))," ","")) + 1)) &amp; " word" &amp; IF(SUMPRODUCT((AH354:AM354&lt;&gt;"")*(LEN(TRIM(SUBSTITUTE(AH354:AM354,CHAR(160)," "))) - LEN(SUBSTITUTE(TRIM(SUBSTITUTE(AH354:AM354,CHAR(160)," "))," ","")) + 1))&gt;1,"s",""))</f>
        <v/>
      </c>
      <c r="AF354" s="5550" t="str" cm="1">
        <f t="array" ref="AF354">SUMPRODUCT(--(AH354:AM354&lt;&gt;""), LEN(TRIM(SUBSTITUTE(AH354:AM354, CHAR(160), "")))) &amp; " Car."</f>
        <v>0 Car.</v>
      </c>
      <c r="AG354" s="1376" t="str">
        <f>IF(ISBLANK(AH354),"",LARGE(AG317:AG353,1)+1)</f>
        <v/>
      </c>
      <c r="AH354" s="1833"/>
      <c r="AI354" s="1810"/>
      <c r="AJ354" s="1810"/>
      <c r="AK354" s="1810"/>
      <c r="AL354" s="1810"/>
      <c r="AM354" s="1810"/>
      <c r="AN354" s="1810"/>
      <c r="AO354" s="1810"/>
      <c r="AP354" s="1811"/>
      <c r="AR354" s="103" t="str">
        <f t="shared" si="84"/>
        <v>►</v>
      </c>
      <c r="AS354" s="163" t="str">
        <f>AS275</f>
        <v>N NOMBRE DE SU RECETA | pegue esto — FAMILIA| Auteur &gt; VOUS</v>
      </c>
      <c r="AT354" s="163">
        <f>AT275</f>
        <v>1</v>
      </c>
      <c r="AU354" s="164" t="str">
        <f>AU275</f>
        <v>coupe</v>
      </c>
      <c r="AV354" s="165" t="str">
        <f>AV275</f>
        <v>Receta madre ► MILLE-FEUILLE  aux fraises des bois</v>
      </c>
      <c r="AW354" s="1548"/>
      <c r="AX354" s="1548"/>
      <c r="AY354" s="2190">
        <f>ROWS(BC318:BC354)</f>
        <v>37</v>
      </c>
      <c r="AZ354" s="5549" t="str" cm="1">
        <f t="array" ref="AZ354">IF(SUMPRODUCT((BC354:BH354&lt;&gt;"")*1)=0,"",SUMPRODUCT((BC354:BH354&lt;&gt;"")*(LEN(TRIM(SUBSTITUTE(BC354:BH354,CHAR(160)," "))) - LEN(SUBSTITUTE(TRIM(SUBSTITUTE(BC354:BH354,CHAR(160)," "))," ","")) + 1)) &amp; " palabra" &amp; IF(SUMPRODUCT((BC354:BH354&lt;&gt;"")*(LEN(TRIM(SUBSTITUTE(BC354:BH354,CHAR(160)," "))) - LEN(SUBSTITUTE(TRIM(SUBSTITUTE(BC354:BH354,CHAR(160)," "))," ","")) + 1))&gt;1,"s",""))</f>
        <v/>
      </c>
      <c r="BA354" s="5550" t="str" cm="1">
        <f t="array" ref="BA354">SUMPRODUCT(--(BC354:BH354&lt;&gt;""), LEN(TRIM(SUBSTITUTE(BC354:BH354, CHAR(160), "")))) &amp; " Car."</f>
        <v>0 Car.</v>
      </c>
      <c r="BB354" s="1376" t="str">
        <f>IF(ISBLANK(BC354),"",LARGE(BB317:BB353,1)+1)</f>
        <v/>
      </c>
      <c r="BC354" s="1833"/>
      <c r="BD354" s="1810"/>
      <c r="BE354" s="1810"/>
      <c r="BF354" s="1810"/>
      <c r="BG354" s="1810"/>
      <c r="BH354" s="1810"/>
      <c r="BI354" s="1810"/>
      <c r="BJ354" s="1810"/>
      <c r="BK354" s="1811"/>
      <c r="BM354" s="3">
        <v>1</v>
      </c>
    </row>
    <row r="355" spans="2:65" ht="21" customHeight="1">
      <c r="B355" s="103" t="str">
        <f t="shared" si="82"/>
        <v>►</v>
      </c>
      <c r="C355" s="163" t="str">
        <f>C275</f>
        <v>N NOM DE VOTRE RECETTE | collez la--FAMILLE| Auteur &gt; VOUS</v>
      </c>
      <c r="D355" s="163">
        <f>D275</f>
        <v>1</v>
      </c>
      <c r="E355" s="164" t="str">
        <f>E275</f>
        <v>coupe</v>
      </c>
      <c r="F355" s="165" t="str">
        <f>F275</f>
        <v>Recette mère ► MILLE-FEUILLE  aux fraises des bois</v>
      </c>
      <c r="G355" s="1548"/>
      <c r="H355" s="1548"/>
      <c r="I355" s="2190">
        <f>ROWS(M318:M355)</f>
        <v>38</v>
      </c>
      <c r="J355" s="5549" t="str" cm="1">
        <f t="array" ref="J355">IF(SUMPRODUCT((M355:R355&lt;&gt;"")*1)=0,"",SUMPRODUCT((M355:R355&lt;&gt;"")*(LEN(TRIM(SUBSTITUTE(M355:R355,CHAR(160)," "))) - LEN(SUBSTITUTE(TRIM(SUBSTITUTE(M355:R355,CHAR(160)," "))," ","")) + 1)) &amp; " mot" &amp; IF(SUMPRODUCT((M355:R355&lt;&gt;"")*(LEN(TRIM(SUBSTITUTE(M355:R355,CHAR(160)," "))) - LEN(SUBSTITUTE(TRIM(SUBSTITUTE(M355:R355,CHAR(160)," "))," ","")) + 1))&gt;1,"s",""))</f>
        <v/>
      </c>
      <c r="K355" s="5550" t="str" cm="1">
        <f t="array" ref="K355">SUMPRODUCT(--(M355:R355&lt;&gt;""), LEN(TRIM(SUBSTITUTE(M355:R355, CHAR(160), "")))) &amp; " Car."</f>
        <v>0 Car.</v>
      </c>
      <c r="L355" s="1376" t="str">
        <f>IF(ISBLANK(M355),"",LARGE(L317:L354,1)+1)</f>
        <v/>
      </c>
      <c r="M355" s="1810"/>
      <c r="N355" s="1810"/>
      <c r="O355" s="1810"/>
      <c r="P355" s="1810"/>
      <c r="Q355" s="1810"/>
      <c r="R355" s="1810"/>
      <c r="S355" s="1810"/>
      <c r="T355" s="1810"/>
      <c r="U355" s="1811"/>
      <c r="W355" s="103" t="str">
        <f t="shared" si="83"/>
        <v>►</v>
      </c>
      <c r="X355" s="163" t="str">
        <f>X275</f>
        <v>N NAME OF YOUR RECIPE | paste it — FAMILY|  Author &gt; YOU</v>
      </c>
      <c r="Y355" s="163">
        <f>Y275</f>
        <v>1</v>
      </c>
      <c r="Z355" s="164" t="str">
        <f>Z275</f>
        <v>coupe</v>
      </c>
      <c r="AA355" s="165" t="str">
        <f>AA275</f>
        <v>Master recipe ► MILLE-FEUILLE  aux fraises des bois</v>
      </c>
      <c r="AB355" s="1548"/>
      <c r="AC355" s="1548"/>
      <c r="AD355" s="2190">
        <f>ROWS(AH318:AH355)</f>
        <v>38</v>
      </c>
      <c r="AE355" s="5549" t="str" cm="1">
        <f t="array" ref="AE355">IF(SUMPRODUCT((AH355:AM355&lt;&gt;"")*1)=0,"",SUMPRODUCT((AH355:AM355&lt;&gt;"")*(LEN(TRIM(SUBSTITUTE(AH355:AM355,CHAR(160)," "))) - LEN(SUBSTITUTE(TRIM(SUBSTITUTE(AH355:AM355,CHAR(160)," "))," ","")) + 1)) &amp; " word" &amp; IF(SUMPRODUCT((AH355:AM355&lt;&gt;"")*(LEN(TRIM(SUBSTITUTE(AH355:AM355,CHAR(160)," "))) - LEN(SUBSTITUTE(TRIM(SUBSTITUTE(AH355:AM355,CHAR(160)," "))," ","")) + 1))&gt;1,"s",""))</f>
        <v/>
      </c>
      <c r="AF355" s="5550" t="str" cm="1">
        <f t="array" ref="AF355">SUMPRODUCT(--(AH355:AM355&lt;&gt;""), LEN(TRIM(SUBSTITUTE(AH355:AM355, CHAR(160), "")))) &amp; " Car."</f>
        <v>0 Car.</v>
      </c>
      <c r="AG355" s="1376" t="str">
        <f>IF(ISBLANK(AH355),"",LARGE(AG317:AG354,1)+1)</f>
        <v/>
      </c>
      <c r="AH355" s="1833"/>
      <c r="AI355" s="1810"/>
      <c r="AJ355" s="1810"/>
      <c r="AK355" s="1810"/>
      <c r="AL355" s="1810"/>
      <c r="AM355" s="1810"/>
      <c r="AN355" s="1810"/>
      <c r="AO355" s="1810"/>
      <c r="AP355" s="1811"/>
      <c r="AR355" s="103" t="str">
        <f t="shared" si="84"/>
        <v>►</v>
      </c>
      <c r="AS355" s="163" t="str">
        <f>AS275</f>
        <v>N NOMBRE DE SU RECETA | pegue esto — FAMILIA| Auteur &gt; VOUS</v>
      </c>
      <c r="AT355" s="163">
        <f>AT275</f>
        <v>1</v>
      </c>
      <c r="AU355" s="164" t="str">
        <f>AU275</f>
        <v>coupe</v>
      </c>
      <c r="AV355" s="165" t="str">
        <f>AV275</f>
        <v>Receta madre ► MILLE-FEUILLE  aux fraises des bois</v>
      </c>
      <c r="AW355" s="1548"/>
      <c r="AX355" s="1548"/>
      <c r="AY355" s="2190">
        <f>ROWS(BC318:BC355)</f>
        <v>38</v>
      </c>
      <c r="AZ355" s="5549" t="str" cm="1">
        <f t="array" ref="AZ355">IF(SUMPRODUCT((BC355:BH355&lt;&gt;"")*1)=0,"",SUMPRODUCT((BC355:BH355&lt;&gt;"")*(LEN(TRIM(SUBSTITUTE(BC355:BH355,CHAR(160)," "))) - LEN(SUBSTITUTE(TRIM(SUBSTITUTE(BC355:BH355,CHAR(160)," "))," ","")) + 1)) &amp; " palabra" &amp; IF(SUMPRODUCT((BC355:BH355&lt;&gt;"")*(LEN(TRIM(SUBSTITUTE(BC355:BH355,CHAR(160)," "))) - LEN(SUBSTITUTE(TRIM(SUBSTITUTE(BC355:BH355,CHAR(160)," "))," ","")) + 1))&gt;1,"s",""))</f>
        <v/>
      </c>
      <c r="BA355" s="5550" t="str" cm="1">
        <f t="array" ref="BA355">SUMPRODUCT(--(BC355:BH355&lt;&gt;""), LEN(TRIM(SUBSTITUTE(BC355:BH355, CHAR(160), "")))) &amp; " Car."</f>
        <v>0 Car.</v>
      </c>
      <c r="BB355" s="1376" t="str">
        <f>IF(ISBLANK(BC355),"",LARGE(BB317:BB354,1)+1)</f>
        <v/>
      </c>
      <c r="BC355" s="1833"/>
      <c r="BD355" s="1810"/>
      <c r="BE355" s="1810"/>
      <c r="BF355" s="1810"/>
      <c r="BG355" s="1810"/>
      <c r="BH355" s="1810"/>
      <c r="BI355" s="1810"/>
      <c r="BJ355" s="1810"/>
      <c r="BK355" s="1811"/>
      <c r="BM355" s="3">
        <v>1</v>
      </c>
    </row>
    <row r="356" spans="2:65" ht="21" customHeight="1">
      <c r="B356" s="103" t="str">
        <f t="shared" si="82"/>
        <v>►</v>
      </c>
      <c r="C356" s="163" t="str">
        <f>C275</f>
        <v>N NOM DE VOTRE RECETTE | collez la--FAMILLE| Auteur &gt; VOUS</v>
      </c>
      <c r="D356" s="163">
        <f>D275</f>
        <v>1</v>
      </c>
      <c r="E356" s="164" t="str">
        <f>E275</f>
        <v>coupe</v>
      </c>
      <c r="F356" s="165" t="str">
        <f>F275</f>
        <v>Recette mère ► MILLE-FEUILLE  aux fraises des bois</v>
      </c>
      <c r="G356" s="1548"/>
      <c r="H356" s="1548"/>
      <c r="I356" s="2190">
        <f>ROWS(M318:M356)</f>
        <v>39</v>
      </c>
      <c r="J356" s="5549" t="str" cm="1">
        <f t="array" ref="J356">IF(SUMPRODUCT((M356:R356&lt;&gt;"")*1)=0,"",SUMPRODUCT((M356:R356&lt;&gt;"")*(LEN(TRIM(SUBSTITUTE(M356:R356,CHAR(160)," "))) - LEN(SUBSTITUTE(TRIM(SUBSTITUTE(M356:R356,CHAR(160)," "))," ","")) + 1)) &amp; " mot" &amp; IF(SUMPRODUCT((M356:R356&lt;&gt;"")*(LEN(TRIM(SUBSTITUTE(M356:R356,CHAR(160)," "))) - LEN(SUBSTITUTE(TRIM(SUBSTITUTE(M356:R356,CHAR(160)," "))," ","")) + 1))&gt;1,"s",""))</f>
        <v/>
      </c>
      <c r="K356" s="5550" t="str" cm="1">
        <f t="array" ref="K356">SUMPRODUCT(--(M356:R356&lt;&gt;""), LEN(TRIM(SUBSTITUTE(M356:R356, CHAR(160), "")))) &amp; " Car."</f>
        <v>0 Car.</v>
      </c>
      <c r="L356" s="1376" t="str">
        <f>IF(ISBLANK(M356),"",LARGE(L317:L355,1)+1)</f>
        <v/>
      </c>
      <c r="M356" s="1810"/>
      <c r="N356" s="1810"/>
      <c r="O356" s="1810"/>
      <c r="P356" s="1810"/>
      <c r="Q356" s="1810"/>
      <c r="R356" s="1810"/>
      <c r="S356" s="1810"/>
      <c r="T356" s="1810"/>
      <c r="U356" s="1811"/>
      <c r="W356" s="103" t="str">
        <f t="shared" si="83"/>
        <v>►</v>
      </c>
      <c r="X356" s="163" t="str">
        <f>X275</f>
        <v>N NAME OF YOUR RECIPE | paste it — FAMILY|  Author &gt; YOU</v>
      </c>
      <c r="Y356" s="163">
        <f>Y275</f>
        <v>1</v>
      </c>
      <c r="Z356" s="164" t="str">
        <f>Z275</f>
        <v>coupe</v>
      </c>
      <c r="AA356" s="165" t="str">
        <f>AA275</f>
        <v>Master recipe ► MILLE-FEUILLE  aux fraises des bois</v>
      </c>
      <c r="AB356" s="1548"/>
      <c r="AC356" s="1548"/>
      <c r="AD356" s="2190">
        <f>ROWS(AH318:AH356)</f>
        <v>39</v>
      </c>
      <c r="AE356" s="5549" t="str" cm="1">
        <f t="array" ref="AE356">IF(SUMPRODUCT((AH356:AM356&lt;&gt;"")*1)=0,"",SUMPRODUCT((AH356:AM356&lt;&gt;"")*(LEN(TRIM(SUBSTITUTE(AH356:AM356,CHAR(160)," "))) - LEN(SUBSTITUTE(TRIM(SUBSTITUTE(AH356:AM356,CHAR(160)," "))," ","")) + 1)) &amp; " word" &amp; IF(SUMPRODUCT((AH356:AM356&lt;&gt;"")*(LEN(TRIM(SUBSTITUTE(AH356:AM356,CHAR(160)," "))) - LEN(SUBSTITUTE(TRIM(SUBSTITUTE(AH356:AM356,CHAR(160)," "))," ","")) + 1))&gt;1,"s",""))</f>
        <v/>
      </c>
      <c r="AF356" s="5550" t="str" cm="1">
        <f t="array" ref="AF356">SUMPRODUCT(--(AH356:AM356&lt;&gt;""), LEN(TRIM(SUBSTITUTE(AH356:AM356, CHAR(160), "")))) &amp; " Car."</f>
        <v>0 Car.</v>
      </c>
      <c r="AG356" s="1376" t="str">
        <f>IF(ISBLANK(AH356),"",LARGE(AG317:AG355,1)+1)</f>
        <v/>
      </c>
      <c r="AH356" s="1833"/>
      <c r="AI356" s="1810"/>
      <c r="AJ356" s="1810"/>
      <c r="AK356" s="1810"/>
      <c r="AL356" s="1810"/>
      <c r="AM356" s="1810"/>
      <c r="AN356" s="1810"/>
      <c r="AO356" s="1810"/>
      <c r="AP356" s="1811"/>
      <c r="AR356" s="103" t="str">
        <f t="shared" si="84"/>
        <v>►</v>
      </c>
      <c r="AS356" s="163" t="str">
        <f>AS275</f>
        <v>N NOMBRE DE SU RECETA | pegue esto — FAMILIA| Auteur &gt; VOUS</v>
      </c>
      <c r="AT356" s="163">
        <f>AT275</f>
        <v>1</v>
      </c>
      <c r="AU356" s="164" t="str">
        <f>AU275</f>
        <v>coupe</v>
      </c>
      <c r="AV356" s="165" t="str">
        <f>AV275</f>
        <v>Receta madre ► MILLE-FEUILLE  aux fraises des bois</v>
      </c>
      <c r="AW356" s="1548"/>
      <c r="AX356" s="1548"/>
      <c r="AY356" s="2190">
        <f>ROWS(BC318:BC356)</f>
        <v>39</v>
      </c>
      <c r="AZ356" s="5549" t="str" cm="1">
        <f t="array" ref="AZ356">IF(SUMPRODUCT((BC356:BH356&lt;&gt;"")*1)=0,"",SUMPRODUCT((BC356:BH356&lt;&gt;"")*(LEN(TRIM(SUBSTITUTE(BC356:BH356,CHAR(160)," "))) - LEN(SUBSTITUTE(TRIM(SUBSTITUTE(BC356:BH356,CHAR(160)," "))," ","")) + 1)) &amp; " palabra" &amp; IF(SUMPRODUCT((BC356:BH356&lt;&gt;"")*(LEN(TRIM(SUBSTITUTE(BC356:BH356,CHAR(160)," "))) - LEN(SUBSTITUTE(TRIM(SUBSTITUTE(BC356:BH356,CHAR(160)," "))," ","")) + 1))&gt;1,"s",""))</f>
        <v/>
      </c>
      <c r="BA356" s="5550" t="str" cm="1">
        <f t="array" ref="BA356">SUMPRODUCT(--(BC356:BH356&lt;&gt;""), LEN(TRIM(SUBSTITUTE(BC356:BH356, CHAR(160), "")))) &amp; " Car."</f>
        <v>0 Car.</v>
      </c>
      <c r="BB356" s="1376" t="str">
        <f>IF(ISBLANK(BC356),"",LARGE(BB317:BB355,1)+1)</f>
        <v/>
      </c>
      <c r="BC356" s="1833"/>
      <c r="BD356" s="1810"/>
      <c r="BE356" s="1810"/>
      <c r="BF356" s="1810"/>
      <c r="BG356" s="1810"/>
      <c r="BH356" s="1810"/>
      <c r="BI356" s="1810"/>
      <c r="BJ356" s="1810"/>
      <c r="BK356" s="1811"/>
      <c r="BM356" s="3">
        <v>1</v>
      </c>
    </row>
    <row r="357" spans="2:65" ht="21" customHeight="1">
      <c r="B357" s="162" t="s">
        <v>10</v>
      </c>
      <c r="C357" s="163" t="str">
        <f>C275</f>
        <v>N NOM DE VOTRE RECETTE | collez la--FAMILLE| Auteur &gt; VOUS</v>
      </c>
      <c r="D357" s="163">
        <f>D275</f>
        <v>1</v>
      </c>
      <c r="E357" s="164" t="str">
        <f>E275</f>
        <v>coupe</v>
      </c>
      <c r="F357" s="165" t="str">
        <f>F275</f>
        <v>Recette mère ► MILLE-FEUILLE  aux fraises des bois</v>
      </c>
      <c r="G357" s="1548"/>
      <c r="H357" s="1548"/>
      <c r="I357" s="2190">
        <f>ROWS(M318:M357)</f>
        <v>40</v>
      </c>
      <c r="J357" s="5549" t="str" cm="1">
        <f t="array" ref="J357">IF(SUMPRODUCT((M357:R357&lt;&gt;"")*1)=0,"",SUMPRODUCT((M357:R357&lt;&gt;"")*(LEN(TRIM(SUBSTITUTE(M357:R357,CHAR(160)," "))) - LEN(SUBSTITUTE(TRIM(SUBSTITUTE(M357:R357,CHAR(160)," "))," ","")) + 1)) &amp; " mot" &amp; IF(SUMPRODUCT((M357:R357&lt;&gt;"")*(LEN(TRIM(SUBSTITUTE(M357:R357,CHAR(160)," "))) - LEN(SUBSTITUTE(TRIM(SUBSTITUTE(M357:R357,CHAR(160)," "))," ","")) + 1))&gt;1,"s",""))</f>
        <v>13 mots</v>
      </c>
      <c r="K357" s="5550" t="str" cm="1">
        <f t="array" ref="K357">SUMPRODUCT(--(M357:R357&lt;&gt;""), LEN(TRIM(SUBSTITUTE(M357:R357, CHAR(160), "")))) &amp; " Car."</f>
        <v>80 Car.</v>
      </c>
      <c r="L357" s="1376" t="str">
        <f>IF(ISBLANK(M357),"",LARGE(L317:L356,1)+1)</f>
        <v/>
      </c>
      <c r="M357" s="1810"/>
      <c r="N357" s="1810" t="s">
        <v>14252</v>
      </c>
      <c r="O357" s="1810"/>
      <c r="P357" s="1810"/>
      <c r="Q357" s="1810"/>
      <c r="R357" s="1810"/>
      <c r="S357" s="1810"/>
      <c r="T357" s="1810"/>
      <c r="U357" s="1811"/>
      <c r="W357" s="162" t="s">
        <v>10</v>
      </c>
      <c r="X357" s="163" t="str">
        <f>X275</f>
        <v>N NAME OF YOUR RECIPE | paste it — FAMILY|  Author &gt; YOU</v>
      </c>
      <c r="Y357" s="163">
        <f>Y275</f>
        <v>1</v>
      </c>
      <c r="Z357" s="164" t="str">
        <f>Z275</f>
        <v>coupe</v>
      </c>
      <c r="AA357" s="165" t="str">
        <f>AA275</f>
        <v>Master recipe ► MILLE-FEUILLE  aux fraises des bois</v>
      </c>
      <c r="AB357" s="1548"/>
      <c r="AC357" s="1548"/>
      <c r="AD357" s="2190">
        <f>ROWS(AH318:AH357)</f>
        <v>40</v>
      </c>
      <c r="AE357" s="5549" t="str" cm="1">
        <f t="array" ref="AE357">IF(SUMPRODUCT((AH357:AM357&lt;&gt;"")*1)=0,"",SUMPRODUCT((AH357:AM357&lt;&gt;"")*(LEN(TRIM(SUBSTITUTE(AH357:AM357,CHAR(160)," "))) - LEN(SUBSTITUTE(TRIM(SUBSTITUTE(AH357:AM357,CHAR(160)," "))," ","")) + 1)) &amp; " word" &amp; IF(SUMPRODUCT((AH357:AM357&lt;&gt;"")*(LEN(TRIM(SUBSTITUTE(AH357:AM357,CHAR(160)," "))) - LEN(SUBSTITUTE(TRIM(SUBSTITUTE(AH357:AM357,CHAR(160)," "))," ","")) + 1))&gt;1,"s",""))</f>
        <v>14 words</v>
      </c>
      <c r="AF357" s="5550" t="str" cm="1">
        <f t="array" ref="AF357">SUMPRODUCT(--(AH357:AM357&lt;&gt;""), LEN(TRIM(SUBSTITUTE(AH357:AM357, CHAR(160), "")))) &amp; " Car."</f>
        <v>80 Car.</v>
      </c>
      <c r="AG357" s="1376" t="str">
        <f>IF(ISBLANK(AH357),"",LARGE(AG317:AG356,1)+1)</f>
        <v/>
      </c>
      <c r="AH357" s="1833"/>
      <c r="AI357" s="1810" t="s">
        <v>14253</v>
      </c>
      <c r="AJ357" s="1810"/>
      <c r="AK357" s="1810"/>
      <c r="AL357" s="1810"/>
      <c r="AM357" s="1810"/>
      <c r="AN357" s="1810"/>
      <c r="AO357" s="1810"/>
      <c r="AP357" s="1811"/>
      <c r="AR357" s="162" t="s">
        <v>10</v>
      </c>
      <c r="AS357" s="163" t="str">
        <f>AS275</f>
        <v>N NOMBRE DE SU RECETA | pegue esto — FAMILIA| Auteur &gt; VOUS</v>
      </c>
      <c r="AT357" s="163">
        <f>AT275</f>
        <v>1</v>
      </c>
      <c r="AU357" s="164" t="str">
        <f>AU275</f>
        <v>coupe</v>
      </c>
      <c r="AV357" s="165" t="str">
        <f>AV275</f>
        <v>Receta madre ► MILLE-FEUILLE  aux fraises des bois</v>
      </c>
      <c r="AW357" s="1548"/>
      <c r="AX357" s="1548"/>
      <c r="AY357" s="2190">
        <f>ROWS(BC318:BC357)</f>
        <v>40</v>
      </c>
      <c r="AZ357" s="5549" t="str" cm="1">
        <f t="array" ref="AZ357">IF(SUMPRODUCT((BC357:BH357&lt;&gt;"")*1)=0,"",SUMPRODUCT((BC357:BH357&lt;&gt;"")*(LEN(TRIM(SUBSTITUTE(BC357:BH357,CHAR(160)," "))) - LEN(SUBSTITUTE(TRIM(SUBSTITUTE(BC357:BH357,CHAR(160)," "))," ","")) + 1)) &amp; " palabra" &amp; IF(SUMPRODUCT((BC357:BH357&lt;&gt;"")*(LEN(TRIM(SUBSTITUTE(BC357:BH357,CHAR(160)," "))) - LEN(SUBSTITUTE(TRIM(SUBSTITUTE(BC357:BH357,CHAR(160)," "))," ","")) + 1))&gt;1,"s",""))</f>
        <v>14 palabras</v>
      </c>
      <c r="BA357" s="5550" t="str" cm="1">
        <f t="array" ref="BA357">SUMPRODUCT(--(BC357:BH357&lt;&gt;""), LEN(TRIM(SUBSTITUTE(BC357:BH357, CHAR(160), "")))) &amp; " Car."</f>
        <v>88 Car.</v>
      </c>
      <c r="BB357" s="1376" t="str">
        <f>IF(ISBLANK(BC357),"",LARGE(BB317:BB356,1)+1)</f>
        <v/>
      </c>
      <c r="BC357" s="1833"/>
      <c r="BD357" s="1810" t="s">
        <v>14254</v>
      </c>
      <c r="BE357" s="1810"/>
      <c r="BF357" s="1810"/>
      <c r="BG357" s="1810"/>
      <c r="BH357" s="1810"/>
      <c r="BI357" s="1810"/>
      <c r="BJ357" s="1810"/>
      <c r="BK357" s="1811"/>
      <c r="BM357" s="3">
        <v>1</v>
      </c>
    </row>
    <row r="358" spans="2:65" ht="21" customHeight="1" thickBot="1">
      <c r="B358" s="162" t="s">
        <v>10</v>
      </c>
      <c r="C358" s="163" t="str">
        <f>C275</f>
        <v>N NOM DE VOTRE RECETTE | collez la--FAMILLE| Auteur &gt; VOUS</v>
      </c>
      <c r="D358" s="163">
        <f>D275</f>
        <v>1</v>
      </c>
      <c r="E358" s="164" t="str">
        <f>E275</f>
        <v>coupe</v>
      </c>
      <c r="F358" s="165" t="str">
        <f>F275</f>
        <v>Recette mère ► MILLE-FEUILLE  aux fraises des bois</v>
      </c>
      <c r="G358" s="172"/>
      <c r="H358" s="1378" t="s">
        <v>207</v>
      </c>
      <c r="I358" s="1712" t="s">
        <v>8475</v>
      </c>
      <c r="J358" s="176"/>
      <c r="K358" s="176"/>
      <c r="L358" s="176"/>
      <c r="M358" s="176"/>
      <c r="N358" s="176"/>
      <c r="O358" s="176"/>
      <c r="P358" s="176"/>
      <c r="Q358" s="176"/>
      <c r="R358" s="176"/>
      <c r="S358" s="176"/>
      <c r="T358" s="176"/>
      <c r="U358" s="884"/>
      <c r="W358" s="162" t="s">
        <v>10</v>
      </c>
      <c r="X358" s="163" t="str">
        <f>X275</f>
        <v>N NAME OF YOUR RECIPE | paste it — FAMILY|  Author &gt; YOU</v>
      </c>
      <c r="Y358" s="163">
        <f>Y275</f>
        <v>1</v>
      </c>
      <c r="Z358" s="164" t="str">
        <f>Z275</f>
        <v>coupe</v>
      </c>
      <c r="AA358" s="165" t="str">
        <f>AA275</f>
        <v>Master recipe ► MILLE-FEUILLE  aux fraises des bois</v>
      </c>
      <c r="AB358" s="172"/>
      <c r="AC358" s="1378" t="s">
        <v>1300</v>
      </c>
      <c r="AD358" s="1712" t="s">
        <v>8475</v>
      </c>
      <c r="AE358" s="176" t="s">
        <v>8473</v>
      </c>
      <c r="AF358" s="176"/>
      <c r="AG358" s="176"/>
      <c r="AH358" s="176"/>
      <c r="AI358" s="176"/>
      <c r="AJ358" s="176"/>
      <c r="AK358" s="176"/>
      <c r="AL358" s="176"/>
      <c r="AM358" s="176"/>
      <c r="AN358" s="176"/>
      <c r="AO358" s="176"/>
      <c r="AP358" s="884"/>
      <c r="AR358" s="162" t="s">
        <v>10</v>
      </c>
      <c r="AS358" s="163" t="str">
        <f>AS275</f>
        <v>N NOMBRE DE SU RECETA | pegue esto — FAMILIA| Auteur &gt; VOUS</v>
      </c>
      <c r="AT358" s="163">
        <f>AT275</f>
        <v>1</v>
      </c>
      <c r="AU358" s="164" t="str">
        <f>AU275</f>
        <v>coupe</v>
      </c>
      <c r="AV358" s="165" t="str">
        <f>AV275</f>
        <v>Receta madre ► MILLE-FEUILLE  aux fraises des bois</v>
      </c>
      <c r="AW358" s="172"/>
      <c r="AX358" s="176"/>
      <c r="AY358" s="1712" t="s">
        <v>8475</v>
      </c>
      <c r="AZ358" s="679" t="s">
        <v>1351</v>
      </c>
      <c r="BA358" s="1378" t="s">
        <v>207</v>
      </c>
      <c r="BB358" s="176" t="s">
        <v>8474</v>
      </c>
      <c r="BC358" s="176"/>
      <c r="BD358" s="176"/>
      <c r="BE358" s="176"/>
      <c r="BF358" s="176"/>
      <c r="BG358" s="176"/>
      <c r="BH358" s="176"/>
      <c r="BI358" s="176"/>
      <c r="BJ358" s="176"/>
      <c r="BK358" s="884"/>
      <c r="BM358" s="3">
        <v>1</v>
      </c>
    </row>
    <row r="359" spans="2:65" ht="21" customHeight="1">
      <c r="B359" s="162" t="s">
        <v>10</v>
      </c>
      <c r="C359" s="163" t="str">
        <f>C275</f>
        <v>N NOM DE VOTRE RECETTE | collez la--FAMILLE| Auteur &gt; VOUS</v>
      </c>
      <c r="D359" s="163">
        <f>D275</f>
        <v>1</v>
      </c>
      <c r="E359" s="164" t="str">
        <f>E275</f>
        <v>coupe</v>
      </c>
      <c r="F359" s="165" t="str">
        <f>F275</f>
        <v>Recette mère ► MILLE-FEUILLE  aux fraises des bois</v>
      </c>
      <c r="G359" s="6423" t="s">
        <v>14431</v>
      </c>
      <c r="H359" s="1380"/>
      <c r="I359" s="1380"/>
      <c r="J359" s="1380"/>
      <c r="K359" s="1380"/>
      <c r="L359" s="1380"/>
      <c r="M359" s="1380"/>
      <c r="N359" s="1381" t="s">
        <v>196</v>
      </c>
      <c r="O359" s="202"/>
      <c r="P359" s="202"/>
      <c r="Q359" s="202"/>
      <c r="R359" s="202"/>
      <c r="S359" s="202"/>
      <c r="T359" s="202"/>
      <c r="U359" s="885"/>
      <c r="W359" s="162" t="s">
        <v>10</v>
      </c>
      <c r="X359" s="163" t="str">
        <f>X275</f>
        <v>N NAME OF YOUR RECIPE | paste it — FAMILY|  Author &gt; YOU</v>
      </c>
      <c r="Y359" s="163">
        <f>Y275</f>
        <v>1</v>
      </c>
      <c r="Z359" s="164" t="str">
        <f>Z275</f>
        <v>coupe</v>
      </c>
      <c r="AA359" s="165" t="str">
        <f>AA275</f>
        <v>Master recipe ► MILLE-FEUILLE  aux fraises des bois</v>
      </c>
      <c r="AB359" s="6423" t="s">
        <v>14432</v>
      </c>
      <c r="AC359" s="1380"/>
      <c r="AD359" s="1380"/>
      <c r="AE359" s="1380"/>
      <c r="AF359" s="1380"/>
      <c r="AG359" s="1380"/>
      <c r="AH359" s="1380"/>
      <c r="AI359" s="1381" t="s">
        <v>864</v>
      </c>
      <c r="AJ359" s="202"/>
      <c r="AK359" s="202"/>
      <c r="AL359" s="202"/>
      <c r="AM359" s="202"/>
      <c r="AN359" s="202"/>
      <c r="AO359" s="202"/>
      <c r="AP359" s="885"/>
      <c r="AR359" s="162" t="s">
        <v>10</v>
      </c>
      <c r="AS359" s="163" t="str">
        <f>AS275</f>
        <v>N NOMBRE DE SU RECETA | pegue esto — FAMILIA| Auteur &gt; VOUS</v>
      </c>
      <c r="AT359" s="163">
        <f>AT275</f>
        <v>1</v>
      </c>
      <c r="AU359" s="164" t="str">
        <f>AU275</f>
        <v>coupe</v>
      </c>
      <c r="AV359" s="165" t="str">
        <f>AV275</f>
        <v>Receta madre ► MILLE-FEUILLE  aux fraises des bois</v>
      </c>
      <c r="AW359" s="6423" t="s">
        <v>14433</v>
      </c>
      <c r="AX359" s="1380"/>
      <c r="AY359" s="1380"/>
      <c r="AZ359" s="1380"/>
      <c r="BA359" s="1380"/>
      <c r="BB359" s="1380"/>
      <c r="BC359" s="1380"/>
      <c r="BD359" s="1381" t="s">
        <v>879</v>
      </c>
      <c r="BE359" s="202"/>
      <c r="BF359" s="202"/>
      <c r="BG359" s="202"/>
      <c r="BH359" s="202"/>
      <c r="BI359" s="202"/>
      <c r="BJ359" s="202"/>
      <c r="BK359" s="885"/>
      <c r="BM359" s="3">
        <v>1</v>
      </c>
    </row>
    <row r="360" spans="2:65" ht="21" customHeight="1" thickBot="1">
      <c r="B360" s="162" t="s">
        <v>10</v>
      </c>
      <c r="C360" s="163" t="str">
        <f>C275</f>
        <v>N NOM DE VOTRE RECETTE | collez la--FAMILLE| Auteur &gt; VOUS</v>
      </c>
      <c r="D360" s="163">
        <f>D275</f>
        <v>1</v>
      </c>
      <c r="E360" s="164" t="str">
        <f>E275</f>
        <v>coupe</v>
      </c>
      <c r="F360" s="165" t="str">
        <f>F275</f>
        <v>Recette mère ► MILLE-FEUILLE  aux fraises des bois</v>
      </c>
      <c r="G360" s="2139"/>
      <c r="H360" s="2124"/>
      <c r="I360" s="2138"/>
      <c r="J360" s="2140" t="s">
        <v>8860</v>
      </c>
      <c r="K360" s="2065">
        <f ca="1">K317</f>
        <v>139</v>
      </c>
      <c r="L360" s="886" t="s">
        <v>200</v>
      </c>
      <c r="M360" s="2137"/>
      <c r="N360" s="2137"/>
      <c r="O360" s="2137"/>
      <c r="P360" s="472"/>
      <c r="Q360" s="472"/>
      <c r="R360" s="472"/>
      <c r="S360" s="2260" t="str">
        <f>IF(M361="","",(LEN(TRIM(SUBSTITUTE(M361,CHAR(160)," ")))-LEN(SUBSTITUTE(TRIM(SUBSTITUTE(M361,CHAR(160)," "))," ",""))+1)&amp;" mot"&amp;IF((LEN(TRIM(SUBSTITUTE(M361,CHAR(160)," ")))-LEN(SUBSTITUTE(TRIM(SUBSTITUTE(M361,CHAR(160)," "))," ",""))+1)&gt;1,"s",""))</f>
        <v>17 mots</v>
      </c>
      <c r="T360" s="2259" t="str">
        <f>IF(M361="","",LEN(TRIM(SUBSTITUTE(M361,CHAR(160),""))))&amp;" Car."</f>
        <v>123 Car.</v>
      </c>
      <c r="U360" s="2261" t="s">
        <v>8863</v>
      </c>
      <c r="W360" s="162" t="s">
        <v>10</v>
      </c>
      <c r="X360" s="163" t="str">
        <f>X275</f>
        <v>N NAME OF YOUR RECIPE | paste it — FAMILY|  Author &gt; YOU</v>
      </c>
      <c r="Y360" s="163">
        <f>Y275</f>
        <v>1</v>
      </c>
      <c r="Z360" s="164" t="str">
        <f>Z275</f>
        <v>coupe</v>
      </c>
      <c r="AA360" s="165" t="str">
        <f>AA275</f>
        <v>Master recipe ► MILLE-FEUILLE  aux fraises des bois</v>
      </c>
      <c r="AB360" s="2139"/>
      <c r="AC360" s="2124"/>
      <c r="AD360" s="2138"/>
      <c r="AE360" s="2140" t="s">
        <v>8862</v>
      </c>
      <c r="AF360" s="2065">
        <f ca="1">AF317</f>
        <v>139</v>
      </c>
      <c r="AG360" s="886" t="s">
        <v>8867</v>
      </c>
      <c r="AH360" s="2137"/>
      <c r="AI360" s="2137"/>
      <c r="AJ360" s="2137"/>
      <c r="AK360" s="472"/>
      <c r="AL360" s="472"/>
      <c r="AM360" s="472"/>
      <c r="AN360" s="2260" t="str">
        <f>IF(AH361="","",(LEN(TRIM(SUBSTITUTE(AH361,CHAR(160)," ")))-LEN(SUBSTITUTE(TRIM(SUBSTITUTE(AH361,CHAR(160)," "))," ",""))+1)&amp;" mot"&amp;IF((LEN(TRIM(SUBSTITUTE(AH361,CHAR(160)," ")))-LEN(SUBSTITUTE(TRIM(SUBSTITUTE(AH361,CHAR(160)," "))," ",""))+1)&gt;1,"s",""))</f>
        <v>17 mots</v>
      </c>
      <c r="AO360" s="2259" t="str">
        <f>IF(AH361="","",LEN(TRIM(SUBSTITUTE(AH361,CHAR(160),""))))&amp;" Car."</f>
        <v>123 Car.</v>
      </c>
      <c r="AP360" s="2261" t="s">
        <v>8869</v>
      </c>
      <c r="AR360" s="162" t="s">
        <v>10</v>
      </c>
      <c r="AS360" s="163" t="str">
        <f>AS275</f>
        <v>N NOMBRE DE SU RECETA | pegue esto — FAMILIA| Auteur &gt; VOUS</v>
      </c>
      <c r="AT360" s="163">
        <f>AT275</f>
        <v>1</v>
      </c>
      <c r="AU360" s="164" t="str">
        <f>AU275</f>
        <v>coupe</v>
      </c>
      <c r="AV360" s="165" t="str">
        <f>AV275</f>
        <v>Receta madre ► MILLE-FEUILLE  aux fraises des bois</v>
      </c>
      <c r="AW360" s="2139"/>
      <c r="AX360" s="2124"/>
      <c r="AY360" s="2138"/>
      <c r="AZ360" s="2140" t="s">
        <v>8861</v>
      </c>
      <c r="BA360" s="2065">
        <f ca="1">BA317</f>
        <v>139</v>
      </c>
      <c r="BB360" s="886" t="s">
        <v>640</v>
      </c>
      <c r="BC360" s="2137"/>
      <c r="BD360" s="2137"/>
      <c r="BE360" s="2137"/>
      <c r="BF360" s="472"/>
      <c r="BG360" s="472"/>
      <c r="BH360" s="472"/>
      <c r="BI360" s="2260" t="str">
        <f>IF(BC361="","",(LEN(TRIM(SUBSTITUTE(BC361,CHAR(160)," ")))-LEN(SUBSTITUTE(TRIM(SUBSTITUTE(BC361,CHAR(160)," "))," ",""))+1)&amp;" mot"&amp;IF((LEN(TRIM(SUBSTITUTE(BC361,CHAR(160)," ")))-LEN(SUBSTITUTE(TRIM(SUBSTITUTE(BC361,CHAR(160)," "))," ",""))+1)&gt;1,"s",""))</f>
        <v>18 mots</v>
      </c>
      <c r="BJ360" s="2259" t="str">
        <f>IF(BC361="","",LEN(TRIM(SUBSTITUTE(BC361,CHAR(160),""))))&amp;" Car."</f>
        <v>123 Car.</v>
      </c>
      <c r="BK360" s="2261" t="s">
        <v>8871</v>
      </c>
      <c r="BM360" s="3">
        <v>1</v>
      </c>
    </row>
    <row r="361" spans="2:65" ht="21" customHeight="1" thickBot="1">
      <c r="B361" s="1814" t="s">
        <v>10</v>
      </c>
      <c r="C361" s="209" t="str">
        <f>C275</f>
        <v>N NOM DE VOTRE RECETTE | collez la--FAMILLE| Auteur &gt; VOUS</v>
      </c>
      <c r="D361" s="209">
        <f>D275</f>
        <v>1</v>
      </c>
      <c r="E361" s="210" t="str">
        <f>E275</f>
        <v>coupe</v>
      </c>
      <c r="F361" s="211" t="str">
        <f>F275</f>
        <v>Recette mère ► MILLE-FEUILLE  aux fraises des bois</v>
      </c>
      <c r="G361" s="2129"/>
      <c r="H361" s="2130"/>
      <c r="I361" s="2131"/>
      <c r="J361" s="2132"/>
      <c r="K361" s="2133"/>
      <c r="L361" s="2133" t="s">
        <v>8864</v>
      </c>
      <c r="M361" s="5545" t="s">
        <v>8866</v>
      </c>
      <c r="N361" s="2136"/>
      <c r="O361" s="2134"/>
      <c r="P361" s="2134"/>
      <c r="Q361" s="2134"/>
      <c r="R361" s="2134"/>
      <c r="S361" s="2134"/>
      <c r="T361" s="2134"/>
      <c r="U361" s="2135"/>
      <c r="W361" s="1814" t="s">
        <v>10</v>
      </c>
      <c r="X361" s="209" t="str">
        <f>X275</f>
        <v>N NAME OF YOUR RECIPE | paste it — FAMILY|  Author &gt; YOU</v>
      </c>
      <c r="Y361" s="209">
        <f>Y275</f>
        <v>1</v>
      </c>
      <c r="Z361" s="210" t="str">
        <f>Z275</f>
        <v>coupe</v>
      </c>
      <c r="AA361" s="211" t="str">
        <f>AA275</f>
        <v>Master recipe ► MILLE-FEUILLE  aux fraises des bois</v>
      </c>
      <c r="AB361" s="2129"/>
      <c r="AC361" s="2130"/>
      <c r="AD361" s="2131"/>
      <c r="AE361" s="2132"/>
      <c r="AF361" s="2133"/>
      <c r="AG361" s="2133" t="s">
        <v>8868</v>
      </c>
      <c r="AH361" s="5545" t="s">
        <v>8873</v>
      </c>
      <c r="AI361" s="2136"/>
      <c r="AJ361" s="2134"/>
      <c r="AK361" s="2134"/>
      <c r="AL361" s="2134"/>
      <c r="AM361" s="2134"/>
      <c r="AN361" s="2134"/>
      <c r="AO361" s="2134"/>
      <c r="AP361" s="2135"/>
      <c r="AR361" s="1814" t="s">
        <v>10</v>
      </c>
      <c r="AS361" s="209" t="str">
        <f>AS275</f>
        <v>N NOMBRE DE SU RECETA | pegue esto — FAMILIA| Auteur &gt; VOUS</v>
      </c>
      <c r="AT361" s="209">
        <f>AT275</f>
        <v>1</v>
      </c>
      <c r="AU361" s="210" t="str">
        <f>AU275</f>
        <v>coupe</v>
      </c>
      <c r="AV361" s="211" t="str">
        <f>AV275</f>
        <v>Receta madre ► MILLE-FEUILLE  aux fraises des bois</v>
      </c>
      <c r="AW361" s="2129"/>
      <c r="AX361" s="2130"/>
      <c r="AY361" s="2131"/>
      <c r="AZ361" s="2132"/>
      <c r="BA361" s="2133"/>
      <c r="BB361" s="2133" t="s">
        <v>8870</v>
      </c>
      <c r="BC361" s="5545" t="s">
        <v>8872</v>
      </c>
      <c r="BD361" s="2136"/>
      <c r="BE361" s="2134"/>
      <c r="BF361" s="2134"/>
      <c r="BG361" s="2134"/>
      <c r="BH361" s="2134"/>
      <c r="BI361" s="2134"/>
      <c r="BJ361" s="2134"/>
      <c r="BK361" s="2135"/>
      <c r="BM361" s="3">
        <v>1</v>
      </c>
    </row>
    <row r="362" spans="2:65" ht="21" customHeight="1" thickBot="1">
      <c r="B362" s="215" t="s">
        <v>10</v>
      </c>
      <c r="C362" s="216"/>
      <c r="D362" s="216"/>
      <c r="E362" s="216"/>
      <c r="F362" s="217"/>
      <c r="G362" s="218" t="s">
        <v>207</v>
      </c>
      <c r="H362" s="219" t="str">
        <f ca="1">CELL("nomfichier")</f>
        <v>D:\Données\1.UPRT\0-UPRT.fait\1-UPRT.FR-SITE-WEB\ff-fiches-fabrications\ff.fiches.fabrication.2023\ffr.restaurant.2023\[ff.FICHE.TRILINGUE.20.COLONNES.05.01.2026.xlsx]Couleurs.pour.vos.documents</v>
      </c>
      <c r="I362" s="220"/>
      <c r="J362" s="220"/>
      <c r="K362" s="220"/>
      <c r="L362" s="220"/>
      <c r="M362" s="220"/>
      <c r="N362" s="220"/>
      <c r="O362" s="220"/>
      <c r="P362" s="220"/>
      <c r="Q362" s="220"/>
      <c r="R362" s="220"/>
      <c r="S362" s="220"/>
      <c r="T362" s="220"/>
      <c r="U362" s="221"/>
      <c r="W362" s="215" t="s">
        <v>10</v>
      </c>
      <c r="X362" s="216"/>
      <c r="Y362" s="216"/>
      <c r="Z362" s="216"/>
      <c r="AA362" s="217"/>
      <c r="AB362" s="218" t="s">
        <v>207</v>
      </c>
      <c r="AC362" s="219" t="str">
        <f ca="1">CELL("nomfichier")</f>
        <v>D:\Données\1.UPRT\0-UPRT.fait\1-UPRT.FR-SITE-WEB\ff-fiches-fabrications\ff.fiches.fabrication.2023\ffr.restaurant.2023\[ff.FICHE.TRILINGUE.20.COLONNES.05.01.2026.xlsx]Couleurs.pour.vos.documents</v>
      </c>
      <c r="AD362" s="220"/>
      <c r="AE362" s="220"/>
      <c r="AF362" s="220"/>
      <c r="AG362" s="220"/>
      <c r="AH362" s="220"/>
      <c r="AI362" s="220"/>
      <c r="AJ362" s="220"/>
      <c r="AK362" s="220"/>
      <c r="AL362" s="220"/>
      <c r="AM362" s="220"/>
      <c r="AN362" s="220"/>
      <c r="AO362" s="220"/>
      <c r="AP362" s="221"/>
      <c r="AR362" s="215" t="s">
        <v>10</v>
      </c>
      <c r="AS362" s="216"/>
      <c r="AT362" s="216"/>
      <c r="AU362" s="216"/>
      <c r="AV362" s="217"/>
      <c r="AW362" s="218" t="s">
        <v>207</v>
      </c>
      <c r="AX362" s="219" t="str">
        <f ca="1">CELL("nomfichier")</f>
        <v>D:\Données\1.UPRT\0-UPRT.fait\1-UPRT.FR-SITE-WEB\ff-fiches-fabrications\ff.fiches.fabrication.2023\ffr.restaurant.2023\[ff.FICHE.TRILINGUE.20.COLONNES.05.01.2026.xlsx]Couleurs.pour.vos.documents</v>
      </c>
      <c r="AY362" s="220"/>
      <c r="AZ362" s="220"/>
      <c r="BA362" s="220"/>
      <c r="BB362" s="220"/>
      <c r="BC362" s="220"/>
      <c r="BD362" s="220"/>
      <c r="BE362" s="220"/>
      <c r="BF362" s="220"/>
      <c r="BG362" s="220"/>
      <c r="BH362" s="220"/>
      <c r="BI362" s="220"/>
      <c r="BJ362" s="220"/>
      <c r="BK362" s="221"/>
      <c r="BM362" s="3">
        <v>1</v>
      </c>
    </row>
    <row r="363" spans="2:65" ht="21" customHeight="1" thickBot="1">
      <c r="B363" s="1216" t="s">
        <v>10</v>
      </c>
      <c r="C363" s="1217" t="s">
        <v>10</v>
      </c>
      <c r="D363" s="1217" t="s">
        <v>10</v>
      </c>
      <c r="E363" s="1217" t="s">
        <v>10</v>
      </c>
      <c r="F363" s="1217" t="s">
        <v>10</v>
      </c>
      <c r="G363" s="1218" t="s">
        <v>2394</v>
      </c>
      <c r="H363" s="1219"/>
      <c r="I363" s="1220"/>
      <c r="J363" s="1221"/>
      <c r="K363" s="1222"/>
      <c r="L363" s="1223"/>
      <c r="M363" s="1223"/>
      <c r="N363" s="1221"/>
      <c r="O363" s="1221"/>
      <c r="P363" s="1219"/>
      <c r="Q363" s="1219"/>
      <c r="R363" s="1219"/>
      <c r="S363" s="1219"/>
      <c r="T363" s="1219"/>
      <c r="U363" s="1224" t="s">
        <v>1755</v>
      </c>
      <c r="W363" s="1216" t="s">
        <v>10</v>
      </c>
      <c r="X363" s="1217" t="s">
        <v>10</v>
      </c>
      <c r="Y363" s="1217" t="s">
        <v>10</v>
      </c>
      <c r="Z363" s="1217" t="s">
        <v>10</v>
      </c>
      <c r="AA363" s="1217" t="s">
        <v>10</v>
      </c>
      <c r="AB363" s="1218" t="s">
        <v>2394</v>
      </c>
      <c r="AC363" s="1219"/>
      <c r="AD363" s="1220"/>
      <c r="AE363" s="1221"/>
      <c r="AF363" s="1222"/>
      <c r="AG363" s="1223"/>
      <c r="AH363" s="1223"/>
      <c r="AI363" s="1221"/>
      <c r="AJ363" s="1221"/>
      <c r="AK363" s="1219"/>
      <c r="AL363" s="1219"/>
      <c r="AM363" s="1219"/>
      <c r="AN363" s="1219"/>
      <c r="AO363" s="1219"/>
      <c r="AP363" s="1224" t="s">
        <v>1755</v>
      </c>
      <c r="AR363" s="1216" t="s">
        <v>10</v>
      </c>
      <c r="AS363" s="1217" t="s">
        <v>10</v>
      </c>
      <c r="AT363" s="1217" t="s">
        <v>10</v>
      </c>
      <c r="AU363" s="1217" t="s">
        <v>10</v>
      </c>
      <c r="AV363" s="1217" t="s">
        <v>10</v>
      </c>
      <c r="AW363" s="1218" t="s">
        <v>2394</v>
      </c>
      <c r="AX363" s="1219"/>
      <c r="AY363" s="1220"/>
      <c r="AZ363" s="1221"/>
      <c r="BA363" s="1222"/>
      <c r="BB363" s="1223"/>
      <c r="BC363" s="1223"/>
      <c r="BD363" s="1221"/>
      <c r="BE363" s="1221"/>
      <c r="BF363" s="1219"/>
      <c r="BG363" s="1219"/>
      <c r="BH363" s="1219"/>
      <c r="BI363" s="1219"/>
      <c r="BJ363" s="1219"/>
      <c r="BK363" s="1224" t="s">
        <v>1755</v>
      </c>
      <c r="BM363" s="3">
        <v>1</v>
      </c>
    </row>
    <row r="364" spans="2:65" ht="21" customHeight="1">
      <c r="B364" s="19" t="s">
        <v>10</v>
      </c>
      <c r="C364" s="20" t="str">
        <f>C370</f>
        <v>MAJUSCULE(GAUCHE(J21;1))&amp;" "&amp;J21&amp;" | "&amp;S21&amp;"| "&amp;J23&amp;" "&amp;K23</v>
      </c>
      <c r="D364" s="21">
        <f>D370</f>
        <v>1</v>
      </c>
      <c r="E364" s="21" t="str">
        <f>E370</f>
        <v>coupe</v>
      </c>
      <c r="F364" s="22" t="str">
        <f>F370</f>
        <v>Recette mère ► MILLE-FEUILLE  aux fraises des bois</v>
      </c>
      <c r="G364" s="23" t="s">
        <v>21</v>
      </c>
      <c r="H364" s="24" t="s">
        <v>22</v>
      </c>
      <c r="I364" s="24"/>
      <c r="J364" s="6634" t="s">
        <v>1339</v>
      </c>
      <c r="K364" s="6634"/>
      <c r="L364" s="6634"/>
      <c r="M364" s="6634"/>
      <c r="N364" s="6634"/>
      <c r="O364" s="6634"/>
      <c r="P364" s="6634"/>
      <c r="Q364" s="6634"/>
      <c r="R364" s="6634"/>
      <c r="S364" s="6636" t="s">
        <v>1348</v>
      </c>
      <c r="T364" s="6636"/>
      <c r="U364" s="6638" t="str">
        <f>UPPER(LEFT(J364,1))</f>
        <v>N</v>
      </c>
      <c r="W364" s="19" t="s">
        <v>10</v>
      </c>
      <c r="X364" s="20" t="str">
        <f>X370</f>
        <v>N NAME OF YOUR RECIPE | paste it — FAMILY|  Author &gt; YOU</v>
      </c>
      <c r="Y364" s="21">
        <f>Y370</f>
        <v>1</v>
      </c>
      <c r="Z364" s="21" t="str">
        <f>Z370</f>
        <v>coupe</v>
      </c>
      <c r="AA364" s="22" t="str">
        <f>AA370</f>
        <v>Master recipe ► MILLE-FEUILLE  aux fraises des bois</v>
      </c>
      <c r="AB364" s="23" t="s">
        <v>21</v>
      </c>
      <c r="AC364" s="24" t="s">
        <v>22</v>
      </c>
      <c r="AD364" s="24"/>
      <c r="AE364" s="6634" t="s">
        <v>851</v>
      </c>
      <c r="AF364" s="6634"/>
      <c r="AG364" s="6634"/>
      <c r="AH364" s="6634"/>
      <c r="AI364" s="6634"/>
      <c r="AJ364" s="6634"/>
      <c r="AK364" s="6634"/>
      <c r="AL364" s="6634"/>
      <c r="AM364" s="6634"/>
      <c r="AN364" s="6636" t="s">
        <v>1349</v>
      </c>
      <c r="AO364" s="6636"/>
      <c r="AP364" s="6638" t="str">
        <f>UPPER(LEFT(AE364,1))</f>
        <v>N</v>
      </c>
      <c r="AR364" s="19" t="s">
        <v>10</v>
      </c>
      <c r="AS364" s="20" t="str">
        <f>AS370</f>
        <v>N NOMBRE DE SU RECETA | pegue esto — FAMILIA| Auteur &gt; VOUS</v>
      </c>
      <c r="AT364" s="21">
        <f>AT370</f>
        <v>1</v>
      </c>
      <c r="AU364" s="21" t="str">
        <f>AU370</f>
        <v>coupe</v>
      </c>
      <c r="AV364" s="22" t="str">
        <f>AV370</f>
        <v>Receta madre ► MILLE-FEUILLE  aux fraises des bois</v>
      </c>
      <c r="AW364" s="23" t="s">
        <v>21</v>
      </c>
      <c r="AX364" s="24" t="s">
        <v>866</v>
      </c>
      <c r="AY364" s="24"/>
      <c r="AZ364" s="6634" t="s">
        <v>867</v>
      </c>
      <c r="BA364" s="6634"/>
      <c r="BB364" s="6634"/>
      <c r="BC364" s="6634"/>
      <c r="BD364" s="6634"/>
      <c r="BE364" s="6634"/>
      <c r="BF364" s="6634"/>
      <c r="BG364" s="6634"/>
      <c r="BH364" s="6634"/>
      <c r="BI364" s="6636" t="s">
        <v>1350</v>
      </c>
      <c r="BJ364" s="6636"/>
      <c r="BK364" s="6638" t="str">
        <f>UPPER(LEFT(AZ364,1))</f>
        <v>N</v>
      </c>
      <c r="BM364" s="3">
        <v>1</v>
      </c>
    </row>
    <row r="365" spans="2:65" ht="21" customHeight="1">
      <c r="B365" s="25" t="s">
        <v>10</v>
      </c>
      <c r="C365" s="26" t="str">
        <f>C370</f>
        <v>MAJUSCULE(GAUCHE(J21;1))&amp;" "&amp;J21&amp;" | "&amp;S21&amp;"| "&amp;J23&amp;" "&amp;K23</v>
      </c>
      <c r="D365" s="27">
        <f>D370</f>
        <v>1</v>
      </c>
      <c r="E365" s="27" t="str">
        <f>E370</f>
        <v>coupe</v>
      </c>
      <c r="F365" s="28" t="str">
        <f>F370</f>
        <v>Recette mère ► MILLE-FEUILLE  aux fraises des bois</v>
      </c>
      <c r="G365" s="29" t="s">
        <v>28</v>
      </c>
      <c r="H365" s="30" t="s">
        <v>831</v>
      </c>
      <c r="I365" s="30"/>
      <c r="J365" s="6635"/>
      <c r="K365" s="6635"/>
      <c r="L365" s="6635"/>
      <c r="M365" s="6635"/>
      <c r="N365" s="6635"/>
      <c r="O365" s="6635"/>
      <c r="P365" s="6635"/>
      <c r="Q365" s="6635"/>
      <c r="R365" s="6635"/>
      <c r="S365" s="6637"/>
      <c r="T365" s="6637"/>
      <c r="U365" s="6639"/>
      <c r="W365" s="25" t="s">
        <v>10</v>
      </c>
      <c r="X365" s="26" t="str">
        <f>X370</f>
        <v>N NAME OF YOUR RECIPE | paste it — FAMILY|  Author &gt; YOU</v>
      </c>
      <c r="Y365" s="27">
        <f>Y370</f>
        <v>1</v>
      </c>
      <c r="Z365" s="27" t="str">
        <f>Z370</f>
        <v>coupe</v>
      </c>
      <c r="AA365" s="28" t="str">
        <f>AA370</f>
        <v>Master recipe ► MILLE-FEUILLE  aux fraises des bois</v>
      </c>
      <c r="AB365" s="29" t="s">
        <v>1299</v>
      </c>
      <c r="AC365" s="30" t="s">
        <v>831</v>
      </c>
      <c r="AD365" s="30"/>
      <c r="AE365" s="6635"/>
      <c r="AF365" s="6635"/>
      <c r="AG365" s="6635"/>
      <c r="AH365" s="6635"/>
      <c r="AI365" s="6635"/>
      <c r="AJ365" s="6635"/>
      <c r="AK365" s="6635"/>
      <c r="AL365" s="6635"/>
      <c r="AM365" s="6635"/>
      <c r="AN365" s="6637"/>
      <c r="AO365" s="6637"/>
      <c r="AP365" s="6639"/>
      <c r="AR365" s="25" t="s">
        <v>10</v>
      </c>
      <c r="AS365" s="26" t="str">
        <f>AS370</f>
        <v>N NOMBRE DE SU RECETA | pegue esto — FAMILIA| Auteur &gt; VOUS</v>
      </c>
      <c r="AT365" s="27">
        <f>AT370</f>
        <v>1</v>
      </c>
      <c r="AU365" s="27" t="str">
        <f>AU370</f>
        <v>coupe</v>
      </c>
      <c r="AV365" s="28" t="str">
        <f>AV370</f>
        <v>Receta madre ► MILLE-FEUILLE  aux fraises des bois</v>
      </c>
      <c r="AW365" s="29" t="s">
        <v>868</v>
      </c>
      <c r="AX365" s="30" t="s">
        <v>29</v>
      </c>
      <c r="AY365" s="30"/>
      <c r="AZ365" s="6635"/>
      <c r="BA365" s="6635"/>
      <c r="BB365" s="6635"/>
      <c r="BC365" s="6635"/>
      <c r="BD365" s="6635"/>
      <c r="BE365" s="6635"/>
      <c r="BF365" s="6635"/>
      <c r="BG365" s="6635"/>
      <c r="BH365" s="6635"/>
      <c r="BI365" s="6637"/>
      <c r="BJ365" s="6637"/>
      <c r="BK365" s="6639"/>
      <c r="BM365" s="3">
        <v>1</v>
      </c>
    </row>
    <row r="366" spans="2:65" ht="21" customHeight="1">
      <c r="B366" s="25" t="s">
        <v>10</v>
      </c>
      <c r="C366" s="31" t="str">
        <f>C370</f>
        <v>MAJUSCULE(GAUCHE(J21;1))&amp;" "&amp;J21&amp;" | "&amp;S21&amp;"| "&amp;J23&amp;" "&amp;K23</v>
      </c>
      <c r="D366" s="32">
        <f>D370</f>
        <v>1</v>
      </c>
      <c r="E366" s="32" t="str">
        <f>E370</f>
        <v>coupe</v>
      </c>
      <c r="F366" s="33" t="str">
        <f>F370</f>
        <v>Recette mère ► MILLE-FEUILLE  aux fraises des bois</v>
      </c>
      <c r="G366" s="1357"/>
      <c r="H366" s="1358" t="s">
        <v>30</v>
      </c>
      <c r="I366" s="34"/>
      <c r="J366" s="35" t="s">
        <v>31</v>
      </c>
      <c r="K366" s="36" t="s">
        <v>57</v>
      </c>
      <c r="L366" s="9"/>
      <c r="M366" s="9"/>
      <c r="N366" s="36"/>
      <c r="O366" s="36"/>
      <c r="P366" s="36"/>
      <c r="Q366" s="37"/>
      <c r="R366" s="9"/>
      <c r="S366" s="9"/>
      <c r="T366" s="9"/>
      <c r="U366" s="2062" t="str" cm="1">
        <f t="array" aca="1" ref="U366" ca="1">IF(COUNTIF(C435:U435,"&lt;0.5")=0,"Aucune colonne masquée ",COUNTIF(C435:U435,"&lt;0.5") &amp; " " &amp; IF(COUNTIF(C435:U435,"&lt;0.5")&gt;1,"colonnes masquées","colonne masquée") &amp; " " &amp; _xlfn.TEXTJOIN(" ", TRUE, IF(C435:U435&lt;0.5,C434:U434,"")))&amp;" "</f>
        <v xml:space="preserve">Aucune colonne masquée  </v>
      </c>
      <c r="W366" s="25" t="s">
        <v>10</v>
      </c>
      <c r="X366" s="31" t="str">
        <f>X370</f>
        <v>N NAME OF YOUR RECIPE | paste it — FAMILY|  Author &gt; YOU</v>
      </c>
      <c r="Y366" s="32">
        <f>Y370</f>
        <v>1</v>
      </c>
      <c r="Z366" s="32" t="str">
        <f>Z370</f>
        <v>coupe</v>
      </c>
      <c r="AA366" s="33" t="str">
        <f>AA370</f>
        <v>Master recipe ► MILLE-FEUILLE  aux fraises des bois</v>
      </c>
      <c r="AB366" s="1357"/>
      <c r="AC366" s="1358" t="s">
        <v>30</v>
      </c>
      <c r="AD366" s="34"/>
      <c r="AE366" s="35" t="s">
        <v>853</v>
      </c>
      <c r="AF366" s="36" t="s">
        <v>60</v>
      </c>
      <c r="AG366" s="9"/>
      <c r="AH366" s="9"/>
      <c r="AI366" s="36"/>
      <c r="AJ366" s="36"/>
      <c r="AK366" s="36"/>
      <c r="AL366" s="37"/>
      <c r="AM366" s="9"/>
      <c r="AN366" s="9"/>
      <c r="AO366" s="9"/>
      <c r="AP366" s="2062" t="str" cm="1">
        <f t="array" aca="1" ref="AP366" ca="1">IF(COUNTIF(X435:AP435,"&lt;0.5")=0,"No column hidden",COUNTIF(X435:AP435,"&lt;0.5") &amp; " " &amp; IF(COUNTIF(X435:AP435,"&lt;0.5")&gt;1,"columns hidden","column hidden") &amp; " " &amp; _xlfn.TEXTJOIN(" ",TRUE,IF(X435:AP435&lt;0.5,X434:AP434,""))) &amp; " "</f>
        <v xml:space="preserve">No column hidden </v>
      </c>
      <c r="AR366" s="25" t="s">
        <v>10</v>
      </c>
      <c r="AS366" s="31" t="str">
        <f>AS370</f>
        <v>N NOMBRE DE SU RECETA | pegue esto — FAMILIA| Auteur &gt; VOUS</v>
      </c>
      <c r="AT366" s="32">
        <f>AT370</f>
        <v>1</v>
      </c>
      <c r="AU366" s="32" t="str">
        <f>AU370</f>
        <v>coupe</v>
      </c>
      <c r="AV366" s="33" t="str">
        <f>AV370</f>
        <v>Receta madre ► MILLE-FEUILLE  aux fraises des bois</v>
      </c>
      <c r="AW366" s="1357"/>
      <c r="AX366" s="1358" t="s">
        <v>30</v>
      </c>
      <c r="AY366" s="34"/>
      <c r="AZ366" s="35" t="s">
        <v>31</v>
      </c>
      <c r="BA366" s="36" t="s">
        <v>57</v>
      </c>
      <c r="BB366" s="9"/>
      <c r="BC366" s="9"/>
      <c r="BD366" s="36"/>
      <c r="BE366" s="36"/>
      <c r="BF366" s="36"/>
      <c r="BG366" s="37"/>
      <c r="BH366" s="9"/>
      <c r="BI366" s="9"/>
      <c r="BJ366" s="9"/>
      <c r="BK366" s="2062" t="str" cm="1">
        <f t="array" aca="1" ref="BK366" ca="1">IF(COUNTIF(AS435:BK435,"&lt;0.5")=0,"Ninguna columna oculta",COUNTIF(AS435:BK435,"&lt;0.5") &amp; " " &amp; IF(COUNTIF(AS435:BK435,"&lt;0.5")&gt;1,"columnas ocultas","columna oculta") &amp; " " &amp; _xlfn.TEXTJOIN(" ",TRUE,IF(AS435:BK435&lt;0.5,AS434:BK434,""))) &amp; " "</f>
        <v xml:space="preserve">Ninguna columna oculta </v>
      </c>
      <c r="BM366" s="3">
        <v>1</v>
      </c>
    </row>
    <row r="367" spans="2:65" ht="21" customHeight="1">
      <c r="B367" s="25" t="s">
        <v>10</v>
      </c>
      <c r="C367" s="31" t="str">
        <f>C370</f>
        <v>MAJUSCULE(GAUCHE(J21;1))&amp;" "&amp;J21&amp;" | "&amp;S21&amp;"| "&amp;J23&amp;" "&amp;K23</v>
      </c>
      <c r="D367" s="32">
        <f>D370</f>
        <v>1</v>
      </c>
      <c r="E367" s="32" t="str">
        <f>E370</f>
        <v>coupe</v>
      </c>
      <c r="F367" s="33" t="str">
        <f>F370</f>
        <v>Recette mère ► MILLE-FEUILLE  aux fraises des bois</v>
      </c>
      <c r="G367" s="39" t="s">
        <v>32</v>
      </c>
      <c r="H367" s="40"/>
      <c r="I367" s="40"/>
      <c r="J367" s="41" t="s">
        <v>33</v>
      </c>
      <c r="K367" s="6736" t="str">
        <f>M370&amp;" "&amp;N370&amp;" ► Famille = "&amp;S364&amp;" ► "&amp;J364&amp;" "&amp;Q367&amp;" "&amp;S367&amp;" "&amp;T367&amp;" "&amp;U367</f>
        <v>Recette mère ► MILLE-FEUILLE  aux fraises des bois ► Famille = collez la--FAMILLE ► NOM DE VOTRE RECETTE  ⓫  Dupliquée pour 5 coupes</v>
      </c>
      <c r="L367" s="6736"/>
      <c r="M367" s="6736"/>
      <c r="N367" s="6736"/>
      <c r="O367" s="6736"/>
      <c r="P367" s="6736"/>
      <c r="Q367" s="6736"/>
      <c r="R367" s="1359"/>
      <c r="S367" s="1359" t="s">
        <v>35</v>
      </c>
      <c r="T367" s="140">
        <v>5</v>
      </c>
      <c r="U367" s="43" t="str">
        <f>U369</f>
        <v>coupes</v>
      </c>
      <c r="W367" s="25" t="s">
        <v>10</v>
      </c>
      <c r="X367" s="31" t="str">
        <f>X370</f>
        <v>N NAME OF YOUR RECIPE | paste it — FAMILY|  Author &gt; YOU</v>
      </c>
      <c r="Y367" s="32">
        <f>Y370</f>
        <v>1</v>
      </c>
      <c r="Z367" s="32" t="str">
        <f>Z370</f>
        <v>coupe</v>
      </c>
      <c r="AA367" s="33" t="str">
        <f>AA370</f>
        <v>Master recipe ► MILLE-FEUILLE  aux fraises des bois</v>
      </c>
      <c r="AB367" s="39" t="s">
        <v>134</v>
      </c>
      <c r="AC367" s="40"/>
      <c r="AD367" s="40"/>
      <c r="AE367" s="41" t="s">
        <v>33</v>
      </c>
      <c r="AF367" s="6736" t="str">
        <f>AH370&amp;" "&amp;AI370&amp;" ► Famille = "&amp;AN364&amp;" ► "&amp;AE364&amp;" "&amp;AL367&amp;" "&amp;AN367&amp;" "&amp;AO367&amp;" "&amp;AP367</f>
        <v>Master recipe ► MILLE-FEUILLE  aux fraises des bois ► Famille = paste it — FAMILY ► NAME OF YOUR RECIPE  ⓫ Duplicated for 5 coupes</v>
      </c>
      <c r="AG367" s="6736"/>
      <c r="AH367" s="6736"/>
      <c r="AI367" s="6736"/>
      <c r="AJ367" s="6736"/>
      <c r="AK367" s="6736"/>
      <c r="AL367" s="6736"/>
      <c r="AM367" s="1359"/>
      <c r="AN367" s="1359" t="s">
        <v>135</v>
      </c>
      <c r="AO367" s="140">
        <v>5</v>
      </c>
      <c r="AP367" s="43" t="str">
        <f>AP369</f>
        <v>coupes</v>
      </c>
      <c r="AR367" s="25" t="s">
        <v>10</v>
      </c>
      <c r="AS367" s="31" t="str">
        <f>AS370</f>
        <v>N NOMBRE DE SU RECETA | pegue esto — FAMILIA| Auteur &gt; VOUS</v>
      </c>
      <c r="AT367" s="32">
        <f>AT370</f>
        <v>1</v>
      </c>
      <c r="AU367" s="32" t="str">
        <f>AU370</f>
        <v>coupe</v>
      </c>
      <c r="AV367" s="33" t="str">
        <f>AV370</f>
        <v>Receta madre ► MILLE-FEUILLE  aux fraises des bois</v>
      </c>
      <c r="AW367" s="39" t="s">
        <v>869</v>
      </c>
      <c r="AX367" s="40"/>
      <c r="AY367" s="40"/>
      <c r="AZ367" s="41" t="s">
        <v>33</v>
      </c>
      <c r="BA367" s="6736" t="str">
        <f>BC370&amp;" "&amp;BD370&amp;" ► Famille = "&amp;BI364&amp;" ► "&amp;AZ364&amp;" "&amp;BG367&amp;" "&amp;BI367&amp;" "&amp;BJ367&amp;" "&amp;BK367</f>
        <v>Receta madre ► MILLE-FEUILLE  aux fraises des bois ► Famille = pegue esto — FAMILIA ► NOMBRE DE SU RECETA  ⓫ Duplicada para 5 coupes</v>
      </c>
      <c r="BB367" s="6736"/>
      <c r="BC367" s="6736"/>
      <c r="BD367" s="6736"/>
      <c r="BE367" s="6736"/>
      <c r="BF367" s="6736"/>
      <c r="BG367" s="6736"/>
      <c r="BH367" s="1359"/>
      <c r="BI367" s="1359" t="s">
        <v>138</v>
      </c>
      <c r="BJ367" s="140">
        <v>5</v>
      </c>
      <c r="BK367" s="43" t="str">
        <f>BK369</f>
        <v>coupes</v>
      </c>
      <c r="BM367" s="3">
        <v>1</v>
      </c>
    </row>
    <row r="368" spans="2:65" ht="21" customHeight="1">
      <c r="B368" s="25" t="s">
        <v>10</v>
      </c>
      <c r="C368" s="31" t="str">
        <f>C370</f>
        <v>MAJUSCULE(GAUCHE(J21;1))&amp;" "&amp;J21&amp;" | "&amp;S21&amp;"| "&amp;J23&amp;" "&amp;K23</v>
      </c>
      <c r="D368" s="32">
        <f>D370</f>
        <v>1</v>
      </c>
      <c r="E368" s="32" t="str">
        <f>E370</f>
        <v>coupe</v>
      </c>
      <c r="F368" s="33" t="str">
        <f>F370</f>
        <v>Recette mère ► MILLE-FEUILLE  aux fraises des bois</v>
      </c>
      <c r="G368" s="1360">
        <v>1</v>
      </c>
      <c r="H368" s="1361" t="s">
        <v>1783</v>
      </c>
      <c r="I368" s="39"/>
      <c r="J368" s="39"/>
      <c r="K368" s="6736"/>
      <c r="L368" s="6736"/>
      <c r="M368" s="6736"/>
      <c r="N368" s="6736"/>
      <c r="O368" s="6736"/>
      <c r="P368" s="6736"/>
      <c r="Q368" s="6736"/>
      <c r="R368" s="696"/>
      <c r="S368" s="696"/>
      <c r="T368" s="47" t="s">
        <v>40</v>
      </c>
      <c r="U368" s="48" t="s">
        <v>41</v>
      </c>
      <c r="W368" s="25" t="s">
        <v>10</v>
      </c>
      <c r="X368" s="31" t="str">
        <f>X370</f>
        <v>N NAME OF YOUR RECIPE | paste it — FAMILY|  Author &gt; YOU</v>
      </c>
      <c r="Y368" s="32">
        <f>Y370</f>
        <v>1</v>
      </c>
      <c r="Z368" s="32" t="str">
        <f>Z370</f>
        <v>coupe</v>
      </c>
      <c r="AA368" s="33" t="str">
        <f>AA370</f>
        <v>Master recipe ► MILLE-FEUILLE  aux fraises des bois</v>
      </c>
      <c r="AB368" s="1360">
        <v>1</v>
      </c>
      <c r="AC368" s="1361" t="s">
        <v>1783</v>
      </c>
      <c r="AD368" s="39"/>
      <c r="AE368" s="39"/>
      <c r="AF368" s="6736"/>
      <c r="AG368" s="6736"/>
      <c r="AH368" s="6736"/>
      <c r="AI368" s="6736"/>
      <c r="AJ368" s="6736"/>
      <c r="AK368" s="6736"/>
      <c r="AL368" s="6736"/>
      <c r="AM368" s="696"/>
      <c r="AN368" s="696"/>
      <c r="AO368" s="47" t="s">
        <v>148</v>
      </c>
      <c r="AP368" s="48" t="s">
        <v>854</v>
      </c>
      <c r="AR368" s="25" t="s">
        <v>10</v>
      </c>
      <c r="AS368" s="31" t="str">
        <f>AS370</f>
        <v>N NOMBRE DE SU RECETA | pegue esto — FAMILIA| Auteur &gt; VOUS</v>
      </c>
      <c r="AT368" s="32">
        <f>AT370</f>
        <v>1</v>
      </c>
      <c r="AU368" s="32" t="str">
        <f>AU370</f>
        <v>coupe</v>
      </c>
      <c r="AV368" s="33" t="str">
        <f>AV370</f>
        <v>Receta madre ► MILLE-FEUILLE  aux fraises des bois</v>
      </c>
      <c r="AW368" s="1360">
        <v>1</v>
      </c>
      <c r="AX368" s="1361" t="s">
        <v>1783</v>
      </c>
      <c r="AY368" s="39"/>
      <c r="AZ368" s="39"/>
      <c r="BA368" s="6736"/>
      <c r="BB368" s="6736"/>
      <c r="BC368" s="6736"/>
      <c r="BD368" s="6736"/>
      <c r="BE368" s="6736"/>
      <c r="BF368" s="6736"/>
      <c r="BG368" s="6736"/>
      <c r="BH368" s="696"/>
      <c r="BI368" s="696"/>
      <c r="BJ368" s="47" t="s">
        <v>150</v>
      </c>
      <c r="BK368" s="48" t="s">
        <v>151</v>
      </c>
      <c r="BM368" s="3">
        <v>1</v>
      </c>
    </row>
    <row r="369" spans="2:65" ht="21" customHeight="1">
      <c r="B369" s="25" t="s">
        <v>10</v>
      </c>
      <c r="C369" s="31" t="str">
        <f>C370</f>
        <v>MAJUSCULE(GAUCHE(J21;1))&amp;" "&amp;J21&amp;" | "&amp;S21&amp;"| "&amp;J23&amp;" "&amp;K23</v>
      </c>
      <c r="D369" s="32">
        <f>D370</f>
        <v>1</v>
      </c>
      <c r="E369" s="32" t="str">
        <f>E370</f>
        <v>coupe</v>
      </c>
      <c r="F369" s="33" t="str">
        <f>F370</f>
        <v>Recette mère ► MILLE-FEUILLE  aux fraises des bois</v>
      </c>
      <c r="G369" s="53"/>
      <c r="H369" s="1323" t="s">
        <v>8094</v>
      </c>
      <c r="I369" s="6737">
        <f>Q429</f>
        <v>0</v>
      </c>
      <c r="J369" s="6737"/>
      <c r="K369" s="1324" t="str" cm="1">
        <f t="array" ref="K369">"1= "&amp;IF(OR(G368&lt;=0,I369=""),"",_xlfn.LET(_xlpm.kg,IF(ISNUMBER(I369),I369,VALEUR(SUBSTITUTE(SUBSTITUTE(SUBSTITUTE(LOWER(I369),"kg",""),",",".")," ",""))),TEXT(ROUND(_xlpm.kg*1000/G368,2),"0.##")&amp;" g"))</f>
        <v>1= 0. g</v>
      </c>
      <c r="L369" s="1325">
        <f>IFERROR(T367/T369,0)</f>
        <v>1</v>
      </c>
      <c r="M369" s="1817" t="s">
        <v>8411</v>
      </c>
      <c r="N369" s="579"/>
      <c r="O369" s="55"/>
      <c r="P369" s="55"/>
      <c r="Q369"/>
      <c r="R369" s="1362"/>
      <c r="S369" s="1362" t="s">
        <v>50</v>
      </c>
      <c r="T369" s="2102">
        <v>5</v>
      </c>
      <c r="U369" s="56" t="s">
        <v>1784</v>
      </c>
      <c r="W369" s="25" t="s">
        <v>10</v>
      </c>
      <c r="X369" s="31" t="str">
        <f>X370</f>
        <v>N NAME OF YOUR RECIPE | paste it — FAMILY|  Author &gt; YOU</v>
      </c>
      <c r="Y369" s="32">
        <f>Y370</f>
        <v>1</v>
      </c>
      <c r="Z369" s="32" t="str">
        <f>Z370</f>
        <v>coupe</v>
      </c>
      <c r="AA369" s="33" t="str">
        <f>AA370</f>
        <v>Master recipe ► MILLE-FEUILLE  aux fraises des bois</v>
      </c>
      <c r="AB369" s="53"/>
      <c r="AC369" s="1323" t="s">
        <v>8095</v>
      </c>
      <c r="AD369" s="6737">
        <f>AL429</f>
        <v>0</v>
      </c>
      <c r="AE369" s="6737"/>
      <c r="AF369" s="1324" t="str" cm="1">
        <f t="array" ref="AF369">"1= "&amp;IF(OR(AB368&lt;=0,AD369=""),"",_xlfn.LET(_xlpm.kg,IF(ISNUMBER(AD369),AD369,VALEUR(SUBSTITUTE(SUBSTITUTE(SUBSTITUTE(LOWER(AD369),"kg",""),",",".")," ",""))),TEXT(ROUND(_xlpm.kg*1000/AB368,2),"0.##")&amp;" g"))</f>
        <v>1= 0. g</v>
      </c>
      <c r="AG369" s="1325">
        <f>IFERROR(AO367/AO369,0)</f>
        <v>3.3333333333333335</v>
      </c>
      <c r="AH369" s="1817" t="s">
        <v>8412</v>
      </c>
      <c r="AI369" s="55"/>
      <c r="AJ369" s="55"/>
      <c r="AK369" s="55"/>
      <c r="AM369" s="1362"/>
      <c r="AN369" s="1362" t="s">
        <v>153</v>
      </c>
      <c r="AO369" s="2102">
        <v>1.5</v>
      </c>
      <c r="AP369" s="56" t="s">
        <v>1784</v>
      </c>
      <c r="AR369" s="25" t="s">
        <v>10</v>
      </c>
      <c r="AS369" s="31" t="str">
        <f>AS370</f>
        <v>N NOMBRE DE SU RECETA | pegue esto — FAMILIA| Auteur &gt; VOUS</v>
      </c>
      <c r="AT369" s="32">
        <f>AT370</f>
        <v>1</v>
      </c>
      <c r="AU369" s="32" t="str">
        <f>AU370</f>
        <v>coupe</v>
      </c>
      <c r="AV369" s="33" t="str">
        <f>AV370</f>
        <v>Receta madre ► MILLE-FEUILLE  aux fraises des bois</v>
      </c>
      <c r="AW369" s="53"/>
      <c r="AX369" s="1323" t="s">
        <v>8096</v>
      </c>
      <c r="AY369" s="6737">
        <f>BG429</f>
        <v>0</v>
      </c>
      <c r="AZ369" s="6737"/>
      <c r="BA369" s="1324" t="str" cm="1">
        <f t="array" ref="BA369">"1= "&amp;IF(OR(AW368&lt;=0,AY369=""),"",_xlfn.LET(_xlpm.kg,IF(ISNUMBER(AY369),AY369,VALEUR(SUBSTITUTE(SUBSTITUTE(SUBSTITUTE(LOWER(AY369),"kg",""),",",".")," ",""))),TEXT(ROUND(_xlpm.kg*1000/AW368,2),"0.##")&amp;" g"))</f>
        <v>1= 0. g</v>
      </c>
      <c r="BB369" s="1325">
        <f>IFERROR(BJ367/BJ369,0)</f>
        <v>3.3333333333333335</v>
      </c>
      <c r="BC369" s="1817" t="s">
        <v>8413</v>
      </c>
      <c r="BD369" s="55"/>
      <c r="BE369" s="55"/>
      <c r="BF369" s="55"/>
      <c r="BH369" s="1362"/>
      <c r="BI369" s="1362" t="s">
        <v>154</v>
      </c>
      <c r="BJ369" s="2102">
        <v>1.5</v>
      </c>
      <c r="BK369" s="56" t="s">
        <v>1784</v>
      </c>
      <c r="BM369" s="3">
        <v>1</v>
      </c>
    </row>
    <row r="370" spans="2:65" ht="21" customHeight="1">
      <c r="B370" s="25" t="s">
        <v>10</v>
      </c>
      <c r="C370" s="61" t="str">
        <f>G370</f>
        <v>MAJUSCULE(GAUCHE(J21;1))&amp;" "&amp;J21&amp;" | "&amp;S21&amp;"| "&amp;J23&amp;" "&amp;K23</v>
      </c>
      <c r="D370" s="62">
        <f>G368</f>
        <v>1</v>
      </c>
      <c r="E370" s="61" t="str">
        <f>H368</f>
        <v>coupe</v>
      </c>
      <c r="F370" s="63" t="str">
        <f>M370&amp;" "&amp;N370</f>
        <v>Recette mère ► MILLE-FEUILLE  aux fraises des bois</v>
      </c>
      <c r="G370" s="64" t="s">
        <v>8786</v>
      </c>
      <c r="H370" s="65" t="s">
        <v>53</v>
      </c>
      <c r="I370" s="6735" t="s">
        <v>54</v>
      </c>
      <c r="J370" s="6735"/>
      <c r="K370" s="6735"/>
      <c r="L370" s="66"/>
      <c r="M370" s="66" t="str">
        <f>IF(ISTEXT(N370),"Recette mère ►",H370)</f>
        <v>Recette mère ►</v>
      </c>
      <c r="N370" s="67" t="s">
        <v>3081</v>
      </c>
      <c r="O370" s="67"/>
      <c r="P370" s="67"/>
      <c r="Q370" s="883"/>
      <c r="R370" s="68"/>
      <c r="S370" s="68"/>
      <c r="T370" s="68"/>
      <c r="U370"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W370" s="25" t="s">
        <v>10</v>
      </c>
      <c r="X370" s="61" t="str">
        <f>AB370</f>
        <v>N NAME OF YOUR RECIPE | paste it — FAMILY|  Author &gt; YOU</v>
      </c>
      <c r="Y370" s="62">
        <f>AB368</f>
        <v>1</v>
      </c>
      <c r="Z370" s="61" t="str">
        <f>AC368</f>
        <v>coupe</v>
      </c>
      <c r="AA370" s="63" t="str">
        <f>AH370&amp;" "&amp;AI370</f>
        <v>Master recipe ► MILLE-FEUILLE  aux fraises des bois</v>
      </c>
      <c r="AB370" s="64" t="str">
        <f>UPPER(LEFT(AE364,1))&amp;" "&amp;AE364&amp;" | "&amp;AN364&amp;"| "&amp;AE366&amp;" "&amp;AF366</f>
        <v>N NAME OF YOUR RECIPE | paste it — FAMILY|  Author &gt; YOU</v>
      </c>
      <c r="AC370" s="65" t="s">
        <v>855</v>
      </c>
      <c r="AD370" s="6735" t="s">
        <v>852</v>
      </c>
      <c r="AE370" s="6735"/>
      <c r="AF370" s="6735"/>
      <c r="AG370" s="66"/>
      <c r="AH370" s="66" t="str">
        <f>IF(ISTEXT(AI370),"Master recipe ►",AC370)</f>
        <v>Master recipe ►</v>
      </c>
      <c r="AI370" s="67" t="s">
        <v>3081</v>
      </c>
      <c r="AJ370" s="67"/>
      <c r="AK370" s="67"/>
      <c r="AL370" s="883"/>
      <c r="AM370" s="68"/>
      <c r="AN370" s="68"/>
      <c r="AO370" s="68"/>
      <c r="AP370" s="1818" t="str">
        <f>IF(ISNUMBER(IFERROR(VALUE("0,5"),"")),"WARNING: on this computer, the decimal separator is the COMMA,",IF(ISNUMBER(IFERROR(VALUE("0.5"),"")),"  OK. ALL GOOD: on this computer. the decimal separator is the PERIOD (DOT).","Unable to determine the decimal separator"))</f>
        <v xml:space="preserve">  OK. ALL GOOD: on this computer. the decimal separator is the PERIOD (DOT).</v>
      </c>
      <c r="AR370" s="25" t="s">
        <v>10</v>
      </c>
      <c r="AS370" s="61" t="str">
        <f>AW370</f>
        <v>N NOMBRE DE SU RECETA | pegue esto — FAMILIA| Auteur &gt; VOUS</v>
      </c>
      <c r="AT370" s="62">
        <f>AW368</f>
        <v>1</v>
      </c>
      <c r="AU370" s="61" t="str">
        <f>AX368</f>
        <v>coupe</v>
      </c>
      <c r="AV370" s="63" t="str">
        <f>BC370&amp;" "&amp;BD370</f>
        <v>Receta madre ► MILLE-FEUILLE  aux fraises des bois</v>
      </c>
      <c r="AW370" s="64" t="str">
        <f>UPPER(LEFT(AZ364,1))&amp;" "&amp;AZ364&amp;" | "&amp;BI364&amp;"| "&amp;AZ366&amp;" "&amp;BA366</f>
        <v>N NOMBRE DE SU RECETA | pegue esto — FAMILIA| Auteur &gt; VOUS</v>
      </c>
      <c r="AX370" s="65" t="s">
        <v>53</v>
      </c>
      <c r="AY370" s="6735" t="s">
        <v>870</v>
      </c>
      <c r="AZ370" s="6735"/>
      <c r="BA370" s="6735"/>
      <c r="BB370" s="66"/>
      <c r="BC370" s="66" t="str">
        <f>IF(ISTEXT(BD370),"Receta madre ►",AX370)</f>
        <v>Receta madre ►</v>
      </c>
      <c r="BD370" s="67" t="s">
        <v>3081</v>
      </c>
      <c r="BE370" s="67"/>
      <c r="BF370" s="67"/>
      <c r="BG370" s="883"/>
      <c r="BH370" s="68"/>
      <c r="BI370" s="68"/>
      <c r="BJ370" s="68"/>
      <c r="BK370" s="1818" t="str">
        <f>IF(ISNUMBER(IFERROR(VALUE("0,5"),"")),"ATENCIÓN: en este ordenador, el separador decimal es la COMA",IF(ISNUMBER(IFERROR(VALUE("0.5"),"")),"  OK. TODO BIEN: en este ordenador. el separador decimal es el PUNTO","Imposible determinar el separador decimal"))</f>
        <v xml:space="preserve">  OK. TODO BIEN: en este ordenador. el separador decimal es el PUNTO</v>
      </c>
      <c r="BM370" s="3">
        <v>1</v>
      </c>
    </row>
    <row r="371" spans="2:65" ht="21" customHeight="1">
      <c r="B371" s="25" t="s">
        <v>10</v>
      </c>
      <c r="C371" s="70" t="str">
        <f>C370</f>
        <v>MAJUSCULE(GAUCHE(J21;1))&amp;" "&amp;J21&amp;" | "&amp;S21&amp;"| "&amp;J23&amp;" "&amp;K23</v>
      </c>
      <c r="D371" s="70">
        <f>D370</f>
        <v>1</v>
      </c>
      <c r="E371" s="70" t="str">
        <f>E370</f>
        <v>coupe</v>
      </c>
      <c r="F371" s="71" t="str">
        <f>F370</f>
        <v>Recette mère ► MILLE-FEUILLE  aux fraises des bois</v>
      </c>
      <c r="G371" s="12" t="s">
        <v>65</v>
      </c>
      <c r="H371" s="12" t="s">
        <v>66</v>
      </c>
      <c r="I371" s="12" t="s">
        <v>67</v>
      </c>
      <c r="J371" s="12" t="s">
        <v>68</v>
      </c>
      <c r="K371" s="72" t="s">
        <v>69</v>
      </c>
      <c r="L371" s="73" t="s">
        <v>70</v>
      </c>
      <c r="M371" s="12" t="s">
        <v>71</v>
      </c>
      <c r="N371" s="12" t="s">
        <v>72</v>
      </c>
      <c r="O371" s="12" t="s">
        <v>73</v>
      </c>
      <c r="P371" s="12" t="s">
        <v>74</v>
      </c>
      <c r="Q371" s="12" t="s">
        <v>75</v>
      </c>
      <c r="R371" s="12" t="s">
        <v>76</v>
      </c>
      <c r="S371" s="12" t="s">
        <v>77</v>
      </c>
      <c r="T371" s="12" t="s">
        <v>8143</v>
      </c>
      <c r="U371" s="74" t="s">
        <v>8407</v>
      </c>
      <c r="W371" s="25" t="s">
        <v>10</v>
      </c>
      <c r="X371" s="70" t="str">
        <f>X370</f>
        <v>N NAME OF YOUR RECIPE | paste it — FAMILY|  Author &gt; YOU</v>
      </c>
      <c r="Y371" s="70">
        <f>Y370</f>
        <v>1</v>
      </c>
      <c r="Z371" s="70" t="str">
        <f>Z370</f>
        <v>coupe</v>
      </c>
      <c r="AA371" s="71" t="str">
        <f>AA370</f>
        <v>Master recipe ► MILLE-FEUILLE  aux fraises des bois</v>
      </c>
      <c r="AB371" s="12" t="s">
        <v>65</v>
      </c>
      <c r="AC371" s="12" t="s">
        <v>66</v>
      </c>
      <c r="AD371" s="12" t="s">
        <v>67</v>
      </c>
      <c r="AE371" s="12" t="s">
        <v>68</v>
      </c>
      <c r="AF371" s="72" t="s">
        <v>69</v>
      </c>
      <c r="AG371" s="73" t="s">
        <v>70</v>
      </c>
      <c r="AH371" s="12" t="s">
        <v>71</v>
      </c>
      <c r="AI371" s="12" t="s">
        <v>72</v>
      </c>
      <c r="AJ371" s="12" t="s">
        <v>73</v>
      </c>
      <c r="AK371" s="12" t="s">
        <v>74</v>
      </c>
      <c r="AL371" s="12" t="s">
        <v>75</v>
      </c>
      <c r="AM371" s="12" t="s">
        <v>76</v>
      </c>
      <c r="AN371" s="12" t="s">
        <v>77</v>
      </c>
      <c r="AO371" s="12" t="s">
        <v>8143</v>
      </c>
      <c r="AP371" s="74" t="s">
        <v>8407</v>
      </c>
      <c r="AR371" s="25" t="s">
        <v>10</v>
      </c>
      <c r="AS371" s="70" t="str">
        <f>AS370</f>
        <v>N NOMBRE DE SU RECETA | pegue esto — FAMILIA| Auteur &gt; VOUS</v>
      </c>
      <c r="AT371" s="70">
        <f>AT370</f>
        <v>1</v>
      </c>
      <c r="AU371" s="70" t="str">
        <f>AU370</f>
        <v>coupe</v>
      </c>
      <c r="AV371" s="71" t="str">
        <f>AV370</f>
        <v>Receta madre ► MILLE-FEUILLE  aux fraises des bois</v>
      </c>
      <c r="AW371" s="12" t="s">
        <v>65</v>
      </c>
      <c r="AX371" s="12" t="s">
        <v>66</v>
      </c>
      <c r="AY371" s="12" t="s">
        <v>67</v>
      </c>
      <c r="AZ371" s="12" t="s">
        <v>68</v>
      </c>
      <c r="BA371" s="72" t="s">
        <v>69</v>
      </c>
      <c r="BB371" s="73" t="s">
        <v>70</v>
      </c>
      <c r="BC371" s="12" t="s">
        <v>71</v>
      </c>
      <c r="BD371" s="12" t="s">
        <v>72</v>
      </c>
      <c r="BE371" s="12" t="s">
        <v>73</v>
      </c>
      <c r="BF371" s="12" t="s">
        <v>74</v>
      </c>
      <c r="BG371" s="12" t="s">
        <v>75</v>
      </c>
      <c r="BH371" s="12" t="s">
        <v>76</v>
      </c>
      <c r="BI371" s="12" t="s">
        <v>77</v>
      </c>
      <c r="BJ371" s="12" t="s">
        <v>8143</v>
      </c>
      <c r="BK371" s="74" t="s">
        <v>8407</v>
      </c>
      <c r="BM371" s="3">
        <v>1</v>
      </c>
    </row>
    <row r="372" spans="2:65" ht="21" customHeight="1">
      <c r="B372" s="25" t="s">
        <v>10</v>
      </c>
      <c r="C372" s="31" t="str">
        <f>C370</f>
        <v>MAJUSCULE(GAUCHE(J21;1))&amp;" "&amp;J21&amp;" | "&amp;S21&amp;"| "&amp;J23&amp;" "&amp;K23</v>
      </c>
      <c r="D372" s="32">
        <f>D370</f>
        <v>1</v>
      </c>
      <c r="E372" s="31" t="str">
        <f>E370</f>
        <v>coupe</v>
      </c>
      <c r="F372" s="33" t="str">
        <f>F370</f>
        <v>Recette mère ► MILLE-FEUILLE  aux fraises des bois</v>
      </c>
      <c r="G372" s="76" t="s">
        <v>78</v>
      </c>
      <c r="H372" s="77" t="s">
        <v>79</v>
      </c>
      <c r="I372" s="78"/>
      <c r="J372" s="6612" t="s">
        <v>80</v>
      </c>
      <c r="K372" s="6730" t="s">
        <v>81</v>
      </c>
      <c r="L372" s="6732" t="s">
        <v>82</v>
      </c>
      <c r="M372" s="6738" t="s">
        <v>8575</v>
      </c>
      <c r="N372" s="79" t="s">
        <v>83</v>
      </c>
      <c r="O372" s="80" t="s">
        <v>49</v>
      </c>
      <c r="P372" s="81" t="s">
        <v>84</v>
      </c>
      <c r="Q372" s="6607" t="s">
        <v>85</v>
      </c>
      <c r="R372" s="6582" t="s">
        <v>84</v>
      </c>
      <c r="S372" s="6727" t="s">
        <v>8405</v>
      </c>
      <c r="T372" s="6584" t="s">
        <v>86</v>
      </c>
      <c r="U372" s="6728" t="s">
        <v>87</v>
      </c>
      <c r="W372" s="25" t="s">
        <v>10</v>
      </c>
      <c r="X372" s="31" t="str">
        <f>X370</f>
        <v>N NAME OF YOUR RECIPE | paste it — FAMILY|  Author &gt; YOU</v>
      </c>
      <c r="Y372" s="32">
        <f>Y370</f>
        <v>1</v>
      </c>
      <c r="Z372" s="31" t="str">
        <f>Z370</f>
        <v>coupe</v>
      </c>
      <c r="AA372" s="33" t="str">
        <f>AA370</f>
        <v>Master recipe ► MILLE-FEUILLE  aux fraises des bois</v>
      </c>
      <c r="AB372" s="76" t="s">
        <v>78</v>
      </c>
      <c r="AC372" s="77" t="s">
        <v>79</v>
      </c>
      <c r="AD372" s="78"/>
      <c r="AE372" s="6612" t="s">
        <v>226</v>
      </c>
      <c r="AF372" s="6730" t="s">
        <v>81</v>
      </c>
      <c r="AG372" s="6732" t="s">
        <v>82</v>
      </c>
      <c r="AH372" s="6738" t="s">
        <v>8575</v>
      </c>
      <c r="AI372" s="79" t="s">
        <v>83</v>
      </c>
      <c r="AJ372" s="80" t="s">
        <v>152</v>
      </c>
      <c r="AK372" s="81" t="s">
        <v>242</v>
      </c>
      <c r="AL372" s="6607" t="s">
        <v>856</v>
      </c>
      <c r="AM372" s="6582" t="s">
        <v>242</v>
      </c>
      <c r="AN372" s="6582" t="s">
        <v>230</v>
      </c>
      <c r="AO372" s="6584" t="s">
        <v>857</v>
      </c>
      <c r="AP372" s="6728" t="s">
        <v>245</v>
      </c>
      <c r="AR372" s="25" t="s">
        <v>10</v>
      </c>
      <c r="AS372" s="31" t="str">
        <f>AS370</f>
        <v>N NOMBRE DE SU RECETA | pegue esto — FAMILIA| Auteur &gt; VOUS</v>
      </c>
      <c r="AT372" s="32">
        <f>AT370</f>
        <v>1</v>
      </c>
      <c r="AU372" s="31" t="str">
        <f>AU370</f>
        <v>coupe</v>
      </c>
      <c r="AV372" s="33" t="str">
        <f>AV370</f>
        <v>Receta madre ► MILLE-FEUILLE  aux fraises des bois</v>
      </c>
      <c r="AW372" s="76" t="s">
        <v>78</v>
      </c>
      <c r="AX372" s="77" t="s">
        <v>79</v>
      </c>
      <c r="AY372" s="78"/>
      <c r="AZ372" s="6787" t="s">
        <v>227</v>
      </c>
      <c r="BA372" s="6788" t="s">
        <v>81</v>
      </c>
      <c r="BB372" s="6732" t="s">
        <v>82</v>
      </c>
      <c r="BC372" s="6738" t="s">
        <v>8575</v>
      </c>
      <c r="BD372" s="79" t="s">
        <v>83</v>
      </c>
      <c r="BE372" s="80" t="s">
        <v>246</v>
      </c>
      <c r="BF372" s="81" t="s">
        <v>247</v>
      </c>
      <c r="BG372" s="6789" t="s">
        <v>871</v>
      </c>
      <c r="BH372" s="6727" t="s">
        <v>247</v>
      </c>
      <c r="BI372" s="6582" t="s">
        <v>8405</v>
      </c>
      <c r="BJ372" s="6791" t="s">
        <v>872</v>
      </c>
      <c r="BK372" s="6792" t="s">
        <v>250</v>
      </c>
      <c r="BM372" s="3">
        <v>1</v>
      </c>
    </row>
    <row r="373" spans="2:65" ht="21" customHeight="1">
      <c r="B373" s="25" t="s">
        <v>10</v>
      </c>
      <c r="C373" s="31" t="str">
        <f>C370</f>
        <v>MAJUSCULE(GAUCHE(J21;1))&amp;" "&amp;J21&amp;" | "&amp;S21&amp;"| "&amp;J23&amp;" "&amp;K23</v>
      </c>
      <c r="D373" s="32">
        <f>D370</f>
        <v>1</v>
      </c>
      <c r="E373" s="31" t="str">
        <f>E370</f>
        <v>coupe</v>
      </c>
      <c r="F373" s="33" t="str">
        <f>F370</f>
        <v>Recette mère ► MILLE-FEUILLE  aux fraises des bois</v>
      </c>
      <c r="G373" s="83" t="s">
        <v>92</v>
      </c>
      <c r="H373" s="84" t="s">
        <v>93</v>
      </c>
      <c r="I373" s="85" t="s">
        <v>94</v>
      </c>
      <c r="J373" s="6577"/>
      <c r="K373" s="6471"/>
      <c r="L373" s="6606"/>
      <c r="M373" s="6739"/>
      <c r="N373" s="86" t="s">
        <v>95</v>
      </c>
      <c r="O373" s="87" t="s">
        <v>96</v>
      </c>
      <c r="P373" s="88">
        <v>1</v>
      </c>
      <c r="Q373" s="6608"/>
      <c r="R373" s="6583"/>
      <c r="S373" s="6583"/>
      <c r="T373" s="6585"/>
      <c r="U373" s="6786"/>
      <c r="W373" s="25" t="s">
        <v>10</v>
      </c>
      <c r="X373" s="31" t="str">
        <f>X370</f>
        <v>N NAME OF YOUR RECIPE | paste it — FAMILY|  Author &gt; YOU</v>
      </c>
      <c r="Y373" s="32">
        <f>Y370</f>
        <v>1</v>
      </c>
      <c r="Z373" s="31" t="str">
        <f>Z370</f>
        <v>coupe</v>
      </c>
      <c r="AA373" s="33" t="str">
        <f>AA370</f>
        <v>Master recipe ► MILLE-FEUILLE  aux fraises des bois</v>
      </c>
      <c r="AB373" s="83" t="s">
        <v>229</v>
      </c>
      <c r="AC373" s="84" t="s">
        <v>230</v>
      </c>
      <c r="AD373" s="85" t="s">
        <v>858</v>
      </c>
      <c r="AE373" s="6577"/>
      <c r="AF373" s="6471"/>
      <c r="AG373" s="6606"/>
      <c r="AH373" s="6739"/>
      <c r="AI373" s="86" t="s">
        <v>832</v>
      </c>
      <c r="AJ373" s="87" t="s">
        <v>436</v>
      </c>
      <c r="AK373" s="88">
        <v>1</v>
      </c>
      <c r="AL373" s="6608"/>
      <c r="AM373" s="6583"/>
      <c r="AN373" s="6583"/>
      <c r="AO373" s="6585"/>
      <c r="AP373" s="6786"/>
      <c r="AR373" s="25" t="s">
        <v>10</v>
      </c>
      <c r="AS373" s="31" t="str">
        <f>AS370</f>
        <v>N NOMBRE DE SU RECETA | pegue esto — FAMILIA| Auteur &gt; VOUS</v>
      </c>
      <c r="AT373" s="32">
        <f>AT370</f>
        <v>1</v>
      </c>
      <c r="AU373" s="31" t="str">
        <f>AU370</f>
        <v>coupe</v>
      </c>
      <c r="AV373" s="33" t="str">
        <f>AV370</f>
        <v>Receta madre ► MILLE-FEUILLE  aux fraises des bois</v>
      </c>
      <c r="AW373" s="83" t="s">
        <v>232</v>
      </c>
      <c r="AX373" s="84" t="s">
        <v>233</v>
      </c>
      <c r="AY373" s="85" t="s">
        <v>94</v>
      </c>
      <c r="AZ373" s="6577"/>
      <c r="BA373" s="6471"/>
      <c r="BB373" s="6606"/>
      <c r="BC373" s="6739"/>
      <c r="BD373" s="86" t="s">
        <v>834</v>
      </c>
      <c r="BE373" s="87" t="s">
        <v>437</v>
      </c>
      <c r="BF373" s="88">
        <v>1</v>
      </c>
      <c r="BG373" s="6790"/>
      <c r="BH373" s="6583"/>
      <c r="BI373" s="6583"/>
      <c r="BJ373" s="6585"/>
      <c r="BK373" s="6786"/>
      <c r="BM373" s="3">
        <v>1</v>
      </c>
    </row>
    <row r="374" spans="2:65" ht="21" customHeight="1">
      <c r="B374" s="25" t="s">
        <v>10</v>
      </c>
      <c r="C374" s="31" t="str">
        <f>C370</f>
        <v>MAJUSCULE(GAUCHE(J21;1))&amp;" "&amp;J21&amp;" | "&amp;S21&amp;"| "&amp;J23&amp;" "&amp;K23</v>
      </c>
      <c r="D374" s="32">
        <f>D370</f>
        <v>1</v>
      </c>
      <c r="E374" s="31" t="str">
        <f>E370</f>
        <v>coupe</v>
      </c>
      <c r="F374" s="33" t="str">
        <f>F370</f>
        <v>Recette mère ► MILLE-FEUILLE  aux fraises des bois</v>
      </c>
      <c r="G374" s="89"/>
      <c r="H374" s="90"/>
      <c r="I374" s="91" t="str">
        <f t="shared" ref="I374:I428" si="85">IF(OR(ISTEXT(G374), G374&lt;=0, J374&lt;=0), "", "de")</f>
        <v/>
      </c>
      <c r="J374" s="92"/>
      <c r="K374" s="128"/>
      <c r="L374" s="130">
        <v>1</v>
      </c>
      <c r="M374" s="1812" t="str">
        <f>ROWS(M374:M374)&amp;" ►"</f>
        <v>1 ►</v>
      </c>
      <c r="N374" s="1580"/>
      <c r="O374" s="95">
        <f>IF(Q429=0,0,(Q374/Q429)*P373*1000)</f>
        <v>0</v>
      </c>
      <c r="P374" s="96">
        <f>IF(Q429=0, 0, (G374*L374)/(Q429*P373))</f>
        <v>0</v>
      </c>
      <c r="Q374" s="97" cm="1">
        <f t="array" ref="Q374">IFERROR(_xlfn.XLOOKUP(UPPER(TRIM(K374)),UPPER(TRIM(G430:U430)),G431:U431,_xlfn.XLOOKUP(UPPER(TRIM(K374)),UPPER(TRIM(G432:U432)),G433:U433,0))*J374*IF(G374&gt;0,G374,1),0)</f>
        <v>0</v>
      </c>
      <c r="R374" s="98">
        <f>IF(T369&lt;&gt;0,G374*L374*L369,0)</f>
        <v>0</v>
      </c>
      <c r="S374" s="1834">
        <f>H374</f>
        <v>0</v>
      </c>
      <c r="T374" s="99">
        <f>IF(OR(ISBLANK(T369),T369=0),0,Q374*L374*L369)</f>
        <v>0</v>
      </c>
      <c r="U374" s="1366" t="str">
        <f>IF(K374="","",IF(COUNTIF(N430:U430,SUBSTITUTE(TRIM(K374)," (s)",""))+COUNTIF(N432:U432,SUBSTITUTE(TRIM(K374)," (s)",""))&gt;0,IF(ROUND(T374,3)&gt;=1,ROUND(T374,3)&amp;" L",MAX(1,ROUND(T374*100,0))&amp;" cl"),IF(COUNTIF(G430:L430,SUBSTITUTE(TRIM(K374)," (s)",""))+COUNTIF(G432:L432,SUBSTITUTE(TRIM(K374)," (s)",""))&gt;0,IF(ROUND(T374,3)&gt;=1,ROUND(T374,3)&amp;" Kg",MAX(1,ROUND(T374*1000,0))&amp;" g"),"")))</f>
        <v/>
      </c>
      <c r="W374" s="25" t="s">
        <v>10</v>
      </c>
      <c r="X374" s="31" t="str">
        <f>X370</f>
        <v>N NAME OF YOUR RECIPE | paste it — FAMILY|  Author &gt; YOU</v>
      </c>
      <c r="Y374" s="32">
        <f>Y370</f>
        <v>1</v>
      </c>
      <c r="Z374" s="31" t="str">
        <f>Z370</f>
        <v>coupe</v>
      </c>
      <c r="AA374" s="33" t="str">
        <f>AA370</f>
        <v>Master recipe ► MILLE-FEUILLE  aux fraises des bois</v>
      </c>
      <c r="AB374" s="89"/>
      <c r="AC374" s="90"/>
      <c r="AD374" s="91" t="str">
        <f t="shared" ref="AD374:AD428" si="86">IF(OR(ISTEXT(AB374), AB374&lt;=0, AE374&lt;=0), "", "de")</f>
        <v/>
      </c>
      <c r="AE374" s="92"/>
      <c r="AF374" s="128"/>
      <c r="AG374" s="130">
        <v>1</v>
      </c>
      <c r="AH374" s="1812" t="str">
        <f>ROWS(AH374:AH374)&amp;" ►"</f>
        <v>1 ►</v>
      </c>
      <c r="AI374" s="1580"/>
      <c r="AJ374" s="95">
        <f>IF(AL429=0,0,(AL374/AL429)*AK373*1000)</f>
        <v>0</v>
      </c>
      <c r="AK374" s="96">
        <f>IF(AL429=0, 0, (AB374*AG374)/(AL429*AK373))</f>
        <v>0</v>
      </c>
      <c r="AL374" s="97" cm="1">
        <f t="array" ref="AL374">IFERROR(_xlfn.XLOOKUP(UPPER(TRIM(AF374)),UPPER(TRIM(AB430:AP430)),AB431:AP431,_xlfn.XLOOKUP(UPPER(TRIM(AF374)),UPPER(TRIM(AB432:AP432)),AB433:AP433,0))*AE374*IF(AB374&gt;0,AB374,1),0)</f>
        <v>0</v>
      </c>
      <c r="AM374" s="98">
        <f>IF(AO369&lt;&gt;0,AB374*AG374*AG369,0)</f>
        <v>0</v>
      </c>
      <c r="AN374" s="1834">
        <f>AC374</f>
        <v>0</v>
      </c>
      <c r="AO374" s="99">
        <f>IF(OR(ISBLANK(AO369),AO369=0),0,AL374*AG374*AG369)</f>
        <v>0</v>
      </c>
      <c r="AP374" s="1366" t="str">
        <f>IF(AF374="","",IF(COUNTIF(AI430:AP430,SUBSTITUTE(TRIM(AF374)," (s)",""))+COUNTIF(AI432:AP432,SUBSTITUTE(TRIM(AF374)," (s)",""))&gt;0,IF(ROUND(AO374,3)&gt;=1,ROUND(AO374,3)&amp;" L",MAX(1,ROUND(AO374*100,0))&amp;" cl"),IF(COUNTIF(AB430:AG430,SUBSTITUTE(TRIM(AF374)," (s)",""))+COUNTIF(AB432:AG432,SUBSTITUTE(TRIM(AF374)," (s)",""))&gt;0,IF(ROUND(AO374,3)&gt;=1,ROUND(AO374,3)&amp;" Kg",MAX(1,ROUND(AO374*1000,0))&amp;" g"),"")))</f>
        <v/>
      </c>
      <c r="AR374" s="25" t="s">
        <v>10</v>
      </c>
      <c r="AS374" s="31" t="str">
        <f>AS370</f>
        <v>N NOMBRE DE SU RECETA | pegue esto — FAMILIA| Auteur &gt; VOUS</v>
      </c>
      <c r="AT374" s="32">
        <f>AT370</f>
        <v>1</v>
      </c>
      <c r="AU374" s="31" t="str">
        <f>AU370</f>
        <v>coupe</v>
      </c>
      <c r="AV374" s="33" t="str">
        <f>AV370</f>
        <v>Receta madre ► MILLE-FEUILLE  aux fraises des bois</v>
      </c>
      <c r="AW374" s="89"/>
      <c r="AX374" s="90"/>
      <c r="AY374" s="91" t="str">
        <f t="shared" ref="AY374:AY428" si="87">IF(OR(ISTEXT(AW374), AW374&lt;=0, AZ374&lt;=0), "", "de")</f>
        <v/>
      </c>
      <c r="AZ374" s="92"/>
      <c r="BA374" s="128"/>
      <c r="BB374" s="130">
        <v>1</v>
      </c>
      <c r="BC374" s="1812" t="str">
        <f>ROWS(BC374:BC374)&amp;" ►"</f>
        <v>1 ►</v>
      </c>
      <c r="BD374" s="1580"/>
      <c r="BE374" s="95">
        <f>IF(BG429=0,0,(BG374/BG429)*BF373*1000)</f>
        <v>0</v>
      </c>
      <c r="BF374" s="96">
        <f>IF(BG429=0, 0, (AW374*BB374)/(BG429*BF373))</f>
        <v>0</v>
      </c>
      <c r="BG374" s="97" cm="1">
        <f t="array" ref="BG374">IFERROR(_xlfn.XLOOKUP(UPPER(TRIM(BA374)),UPPER(TRIM(AW430:BK430)),AW431:BK431,_xlfn.XLOOKUP(UPPER(TRIM(BA374)),UPPER(TRIM(AW432:BK432)),AW433:BK433,0))*AZ374*IF(AW374&gt;0,AW374,1),0)</f>
        <v>0</v>
      </c>
      <c r="BH374" s="98">
        <f>IF(BJ369&lt;&gt;0,AW374*BB374*BB369,0)</f>
        <v>0</v>
      </c>
      <c r="BI374" s="1834">
        <f>AX374</f>
        <v>0</v>
      </c>
      <c r="BJ374" s="99">
        <f>IF(OR(ISBLANK(BJ369),BJ369=0),0,BG374*BB374*BB369)</f>
        <v>0</v>
      </c>
      <c r="BK374" s="1366" t="str">
        <f>IF(BA374="","",IF(COUNTIF(BD430:BK430,SUBSTITUTE(TRIM(BA374)," (s)",""))+COUNTIF(BD432:BK432,SUBSTITUTE(TRIM(BA374)," (s)",""))&gt;0,IF(ROUND(BJ374,3)&gt;=1,ROUND(BJ374,3)&amp;" L",MAX(1,ROUND(BJ374*100,0))&amp;" cl"),IF(COUNTIF(AW430:BB430,SUBSTITUTE(TRIM(BA374)," (s)",""))+COUNTIF(AW432:BB432,SUBSTITUTE(TRIM(BA374)," (s)",""))&gt;0,IF(ROUND(BJ374,3)&gt;=1,ROUND(BJ374,3)&amp;" Kg",MAX(1,ROUND(BJ374*1000,0))&amp;" g"),"")))</f>
        <v/>
      </c>
      <c r="BM374" s="3">
        <v>1</v>
      </c>
    </row>
    <row r="375" spans="2:65" ht="21" customHeight="1">
      <c r="B375" s="25" t="s">
        <v>10</v>
      </c>
      <c r="C375" s="31" t="str">
        <f>C370</f>
        <v>MAJUSCULE(GAUCHE(J21;1))&amp;" "&amp;J21&amp;" | "&amp;S21&amp;"| "&amp;J23&amp;" "&amp;K23</v>
      </c>
      <c r="D375" s="32">
        <f>D370</f>
        <v>1</v>
      </c>
      <c r="E375" s="31" t="str">
        <f>E370</f>
        <v>coupe</v>
      </c>
      <c r="F375" s="33" t="str">
        <f>F370</f>
        <v>Recette mère ► MILLE-FEUILLE  aux fraises des bois</v>
      </c>
      <c r="G375" s="89"/>
      <c r="H375" s="108"/>
      <c r="I375" s="91" t="str">
        <f t="shared" si="85"/>
        <v/>
      </c>
      <c r="J375" s="92"/>
      <c r="K375" s="128"/>
      <c r="L375" s="130">
        <v>1</v>
      </c>
      <c r="M375" s="1813" t="str">
        <f>ROWS(M374:M375)&amp;" ►"</f>
        <v>2 ►</v>
      </c>
      <c r="N375" s="1580"/>
      <c r="O375" s="95">
        <f>IF(Q429=0,0,(Q375/Q429)*P373*1000)</f>
        <v>0</v>
      </c>
      <c r="P375" s="105">
        <f>IF(Q429=0, 0, (G375*L375)/(Q429*P373))</f>
        <v>0</v>
      </c>
      <c r="Q375" s="97" cm="1">
        <f t="array" ref="Q375">IFERROR(_xlfn.XLOOKUP(UPPER(TRIM(K375)),UPPER(TRIM(G430:U430)),G431:U431,_xlfn.XLOOKUP(UPPER(TRIM(K375)),UPPER(TRIM(G432:U432)),G433:U433,0))*J375*IF(G375&gt;0,G375,1),0)</f>
        <v>0</v>
      </c>
      <c r="R375" s="106">
        <f>IF(T369&lt;&gt;0,G375*L375*L369,0)</f>
        <v>0</v>
      </c>
      <c r="S375" s="1747">
        <f t="shared" ref="S375:S428" si="88">H375</f>
        <v>0</v>
      </c>
      <c r="T375" s="99">
        <f>IF(OR(ISBLANK(T369),T369=0),0,Q375*L375*L369)</f>
        <v>0</v>
      </c>
      <c r="U375" s="1367" t="str">
        <f>IF(K375="","",IF(COUNTIF(N430:U430,SUBSTITUTE(TRIM(K375)," (s)",""))+COUNTIF(N432:U432,SUBSTITUTE(TRIM(K375)," (s)",""))&gt;0,IF(ROUND(T375,3)&gt;=1,ROUND(T375,3)&amp;" L",MAX(1,ROUND(T375*100,0))&amp;" cl"),IF(COUNTIF(G430:L430,SUBSTITUTE(TRIM(K375)," (s)",""))+COUNTIF(G432:L432,SUBSTITUTE(TRIM(K375)," (s)",""))&gt;0,IF(ROUND(T375,3)&gt;=1,ROUND(T375,3)&amp;" Kg",MAX(1,ROUND(T375*1000,0))&amp;" g"),"")))</f>
        <v/>
      </c>
      <c r="W375" s="25" t="s">
        <v>10</v>
      </c>
      <c r="X375" s="31" t="str">
        <f>X370</f>
        <v>N NAME OF YOUR RECIPE | paste it — FAMILY|  Author &gt; YOU</v>
      </c>
      <c r="Y375" s="32">
        <f>Y370</f>
        <v>1</v>
      </c>
      <c r="Z375" s="31" t="str">
        <f>Z370</f>
        <v>coupe</v>
      </c>
      <c r="AA375" s="33" t="str">
        <f>AA370</f>
        <v>Master recipe ► MILLE-FEUILLE  aux fraises des bois</v>
      </c>
      <c r="AB375" s="89"/>
      <c r="AC375" s="108"/>
      <c r="AD375" s="91" t="str">
        <f t="shared" si="86"/>
        <v/>
      </c>
      <c r="AE375" s="92"/>
      <c r="AF375" s="128"/>
      <c r="AG375" s="130">
        <v>1</v>
      </c>
      <c r="AH375" s="1813" t="str">
        <f>ROWS(AH374:AH375)&amp;" ►"</f>
        <v>2 ►</v>
      </c>
      <c r="AI375" s="1580"/>
      <c r="AJ375" s="95">
        <f>IF(AL429=0,0,(AL375/AL429)*AK373*1000)</f>
        <v>0</v>
      </c>
      <c r="AK375" s="105">
        <f>IF(AL429=0, 0, (AB375*AG375)/(AL429*AK373))</f>
        <v>0</v>
      </c>
      <c r="AL375" s="97" cm="1">
        <f t="array" ref="AL375">IFERROR(_xlfn.XLOOKUP(UPPER(TRIM(AF375)),UPPER(TRIM(AB430:AP430)),AB431:AP431,_xlfn.XLOOKUP(UPPER(TRIM(AF375)),UPPER(TRIM(AB432:AP432)),AB433:AP433,0))*AE375*IF(AB375&gt;0,AB375,1),0)</f>
        <v>0</v>
      </c>
      <c r="AM375" s="106">
        <f>IF(AO369&lt;&gt;0,AB375*AG375*AG369,0)</f>
        <v>0</v>
      </c>
      <c r="AN375" s="1747">
        <f t="shared" ref="AN375:AN428" si="89">AC375</f>
        <v>0</v>
      </c>
      <c r="AO375" s="99">
        <f>IF(OR(ISBLANK(AO369),AO369=0),0,AL375*AG375*AG369)</f>
        <v>0</v>
      </c>
      <c r="AP375" s="1367" t="str">
        <f>IF(AF375="","",IF(COUNTIF(AI430:AP430,SUBSTITUTE(TRIM(AF375)," (s)",""))+COUNTIF(AI432:AP432,SUBSTITUTE(TRIM(AF375)," (s)",""))&gt;0,IF(ROUND(AO375,3)&gt;=1,ROUND(AO375,3)&amp;" L",MAX(1,ROUND(AO375*100,0))&amp;" cl"),IF(COUNTIF(AB430:AG430,SUBSTITUTE(TRIM(AF375)," (s)",""))+COUNTIF(AB432:AG432,SUBSTITUTE(TRIM(AF375)," (s)",""))&gt;0,IF(ROUND(AO375,3)&gt;=1,ROUND(AO375,3)&amp;" Kg",MAX(1,ROUND(AO375*1000,0))&amp;" g"),"")))</f>
        <v/>
      </c>
      <c r="AR375" s="25" t="s">
        <v>10</v>
      </c>
      <c r="AS375" s="31" t="str">
        <f>AS370</f>
        <v>N NOMBRE DE SU RECETA | pegue esto — FAMILIA| Auteur &gt; VOUS</v>
      </c>
      <c r="AT375" s="32">
        <f>AT370</f>
        <v>1</v>
      </c>
      <c r="AU375" s="31" t="str">
        <f>AU370</f>
        <v>coupe</v>
      </c>
      <c r="AV375" s="33" t="str">
        <f>AV370</f>
        <v>Receta madre ► MILLE-FEUILLE  aux fraises des bois</v>
      </c>
      <c r="AW375" s="89"/>
      <c r="AX375" s="108"/>
      <c r="AY375" s="91" t="str">
        <f t="shared" si="87"/>
        <v/>
      </c>
      <c r="AZ375" s="92"/>
      <c r="BA375" s="128"/>
      <c r="BB375" s="130">
        <v>1</v>
      </c>
      <c r="BC375" s="1813" t="str">
        <f>ROWS(BC374:BC375)&amp;" ►"</f>
        <v>2 ►</v>
      </c>
      <c r="BD375" s="1580"/>
      <c r="BE375" s="95">
        <f>IF(BG429=0,0,(BG375/BG429)*BF373*1000)</f>
        <v>0</v>
      </c>
      <c r="BF375" s="105">
        <f>IF(BG429=0, 0, (AW375*BB375)/(BG429*BF373))</f>
        <v>0</v>
      </c>
      <c r="BG375" s="97" cm="1">
        <f t="array" ref="BG375">IFERROR(_xlfn.XLOOKUP(UPPER(TRIM(BA375)),UPPER(TRIM(AW430:BK430)),AW431:BK431,_xlfn.XLOOKUP(UPPER(TRIM(BA375)),UPPER(TRIM(AW432:BK432)),AW433:BK433,0))*AZ375*IF(AW375&gt;0,AW375,1),0)</f>
        <v>0</v>
      </c>
      <c r="BH375" s="106">
        <f>IF(BJ369&lt;&gt;0,AW375*BB375*BB369,0)</f>
        <v>0</v>
      </c>
      <c r="BI375" s="1747">
        <f t="shared" ref="BI375:BI428" si="90">AX375</f>
        <v>0</v>
      </c>
      <c r="BJ375" s="99">
        <f>IF(OR(ISBLANK(BJ369),BJ369=0),0,BG375*BB375*BB369)</f>
        <v>0</v>
      </c>
      <c r="BK375" s="1367" t="str">
        <f>IF(BA375="","",IF(COUNTIF(BD430:BK430,SUBSTITUTE(TRIM(BA375)," (s)",""))+COUNTIF(BD432:BK432,SUBSTITUTE(TRIM(BA375)," (s)",""))&gt;0,IF(ROUND(BJ375,3)&gt;=1,ROUND(BJ375,3)&amp;" L",MAX(1,ROUND(BJ375*100,0))&amp;" cl"),IF(COUNTIF(AW430:BB430,SUBSTITUTE(TRIM(BA375)," (s)",""))+COUNTIF(AW432:BB432,SUBSTITUTE(TRIM(BA375)," (s)",""))&gt;0,IF(ROUND(BJ375,3)&gt;=1,ROUND(BJ375,3)&amp;" Kg",MAX(1,ROUND(BJ375*1000,0))&amp;" g"),"")))</f>
        <v/>
      </c>
      <c r="BM375" s="3">
        <v>1</v>
      </c>
    </row>
    <row r="376" spans="2:65" ht="21" customHeight="1">
      <c r="B376" s="103" t="str">
        <f>IF(N376&lt;&gt;"","A","►")</f>
        <v>►</v>
      </c>
      <c r="C376" s="31" t="str">
        <f>C370</f>
        <v>MAJUSCULE(GAUCHE(J21;1))&amp;" "&amp;J21&amp;" | "&amp;S21&amp;"| "&amp;J23&amp;" "&amp;K23</v>
      </c>
      <c r="D376" s="32">
        <f>D370</f>
        <v>1</v>
      </c>
      <c r="E376" s="31" t="str">
        <f>E370</f>
        <v>coupe</v>
      </c>
      <c r="F376" s="33" t="str">
        <f>F370</f>
        <v>Recette mère ► MILLE-FEUILLE  aux fraises des bois</v>
      </c>
      <c r="G376" s="89"/>
      <c r="H376" s="108"/>
      <c r="I376" s="91" t="str">
        <f t="shared" si="85"/>
        <v/>
      </c>
      <c r="J376" s="92"/>
      <c r="K376" s="128"/>
      <c r="L376" s="130">
        <v>1</v>
      </c>
      <c r="M376" s="1813" t="str">
        <f>ROWS(M374:M376)&amp;" ►"</f>
        <v>3 ►</v>
      </c>
      <c r="N376" s="1580"/>
      <c r="O376" s="95">
        <f>IF(Q429=0,0,(Q376/Q429)*P373*1000)</f>
        <v>0</v>
      </c>
      <c r="P376" s="105">
        <f>IF(Q429=0, 0, (G376*L376)/(Q429*P373))</f>
        <v>0</v>
      </c>
      <c r="Q376" s="97" cm="1">
        <f t="array" ref="Q376">IFERROR(_xlfn.XLOOKUP(UPPER(TRIM(K376)),UPPER(TRIM(G430:U430)),G431:U431,_xlfn.XLOOKUP(UPPER(TRIM(K376)),UPPER(TRIM(G432:U432)),G433:U433,0))*J376*IF(G376&gt;0,G376,1),0)</f>
        <v>0</v>
      </c>
      <c r="R376" s="110">
        <f>IF(T369&lt;&gt;0,G376*L376*L369,0)</f>
        <v>0</v>
      </c>
      <c r="S376" s="1748">
        <f t="shared" si="88"/>
        <v>0</v>
      </c>
      <c r="T376" s="99">
        <f>IF(OR(ISBLANK(T369),T369=0),0,Q376*L376*L369)</f>
        <v>0</v>
      </c>
      <c r="U376" s="1368" t="str">
        <f>IF(K376="","",IF(COUNTIF(N430:U430,SUBSTITUTE(TRIM(K376)," (s)",""))+COUNTIF(N432:U432,SUBSTITUTE(TRIM(K376)," (s)",""))&gt;0,IF(ROUND(T376,3)&gt;=1,ROUND(T376,3)&amp;" L",MAX(1,ROUND(T376*100,0))&amp;" cl"),IF(COUNTIF(G430:L430,SUBSTITUTE(TRIM(K376)," (s)",""))+COUNTIF(G432:L432,SUBSTITUTE(TRIM(K376)," (s)",""))&gt;0,IF(ROUND(T376,3)&gt;=1,ROUND(T376,3)&amp;" Kg",MAX(1,ROUND(T376*1000,0))&amp;" g"),"")))</f>
        <v/>
      </c>
      <c r="W376" s="103" t="str">
        <f t="shared" ref="W376:W426" si="91">IF(AI376&lt;&gt;"","A","►")</f>
        <v>►</v>
      </c>
      <c r="X376" s="31" t="str">
        <f>X370</f>
        <v>N NAME OF YOUR RECIPE | paste it — FAMILY|  Author &gt; YOU</v>
      </c>
      <c r="Y376" s="32">
        <f>Y370</f>
        <v>1</v>
      </c>
      <c r="Z376" s="31" t="str">
        <f>Z370</f>
        <v>coupe</v>
      </c>
      <c r="AA376" s="33" t="str">
        <f>AA370</f>
        <v>Master recipe ► MILLE-FEUILLE  aux fraises des bois</v>
      </c>
      <c r="AB376" s="89"/>
      <c r="AC376" s="108"/>
      <c r="AD376" s="91" t="str">
        <f t="shared" si="86"/>
        <v/>
      </c>
      <c r="AE376" s="92"/>
      <c r="AF376" s="128"/>
      <c r="AG376" s="130">
        <v>1</v>
      </c>
      <c r="AH376" s="1813" t="str">
        <f>ROWS(AH374:AH376)&amp;" ►"</f>
        <v>3 ►</v>
      </c>
      <c r="AI376" s="1580"/>
      <c r="AJ376" s="95">
        <f>IF(AL429=0,0,(AL376/AL429)*AK373*1000)</f>
        <v>0</v>
      </c>
      <c r="AK376" s="105">
        <f>IF(AL429=0, 0, (AB376*AG376)/(AL429*AK373))</f>
        <v>0</v>
      </c>
      <c r="AL376" s="97" cm="1">
        <f t="array" ref="AL376">IFERROR(_xlfn.XLOOKUP(UPPER(TRIM(AF376)),UPPER(TRIM(AB430:AP430)),AB431:AP431,_xlfn.XLOOKUP(UPPER(TRIM(AF376)),UPPER(TRIM(AB432:AP432)),AB433:AP433,0))*AE376*IF(AB376&gt;0,AB376,1),0)</f>
        <v>0</v>
      </c>
      <c r="AM376" s="110">
        <f>IF(AO369&lt;&gt;0,AB376*AG376*AG369,0)</f>
        <v>0</v>
      </c>
      <c r="AN376" s="1748">
        <f t="shared" si="89"/>
        <v>0</v>
      </c>
      <c r="AO376" s="99">
        <f>IF(OR(ISBLANK(AO369),AO369=0),0,AL376*AG376*AG369)</f>
        <v>0</v>
      </c>
      <c r="AP376" s="1368" t="str">
        <f>IF(AF376="","",IF(COUNTIF(AI430:AP430,SUBSTITUTE(TRIM(AF376)," (s)",""))+COUNTIF(AI432:AP432,SUBSTITUTE(TRIM(AF376)," (s)",""))&gt;0,IF(ROUND(AO376,3)&gt;=1,ROUND(AO376,3)&amp;" L",MAX(1,ROUND(AO376*100,0))&amp;" cl"),IF(COUNTIF(AB430:AG430,SUBSTITUTE(TRIM(AF376)," (s)",""))+COUNTIF(AB432:AG432,SUBSTITUTE(TRIM(AF376)," (s)",""))&gt;0,IF(ROUND(AO376,3)&gt;=1,ROUND(AO376,3)&amp;" Kg",MAX(1,ROUND(AO376*1000,0))&amp;" g"),"")))</f>
        <v/>
      </c>
      <c r="AR376" s="103" t="str">
        <f t="shared" ref="AR376:AR426" si="92">IF(BD376&lt;&gt;"","A","►")</f>
        <v>►</v>
      </c>
      <c r="AS376" s="31" t="str">
        <f>AS370</f>
        <v>N NOMBRE DE SU RECETA | pegue esto — FAMILIA| Auteur &gt; VOUS</v>
      </c>
      <c r="AT376" s="32">
        <f>AT370</f>
        <v>1</v>
      </c>
      <c r="AU376" s="31" t="str">
        <f>AU370</f>
        <v>coupe</v>
      </c>
      <c r="AV376" s="33" t="str">
        <f>AV370</f>
        <v>Receta madre ► MILLE-FEUILLE  aux fraises des bois</v>
      </c>
      <c r="AW376" s="89"/>
      <c r="AX376" s="108"/>
      <c r="AY376" s="91" t="str">
        <f t="shared" si="87"/>
        <v/>
      </c>
      <c r="AZ376" s="92"/>
      <c r="BA376" s="128"/>
      <c r="BB376" s="130">
        <v>1</v>
      </c>
      <c r="BC376" s="1813" t="str">
        <f>ROWS(BC374:BC376)&amp;" ►"</f>
        <v>3 ►</v>
      </c>
      <c r="BD376" s="1580"/>
      <c r="BE376" s="95">
        <f>IF(BG429=0,0,(BG376/BG429)*BF373*1000)</f>
        <v>0</v>
      </c>
      <c r="BF376" s="105">
        <f>IF(BG429=0, 0, (AW376*BB376)/(BG429*BF373))</f>
        <v>0</v>
      </c>
      <c r="BG376" s="97" cm="1">
        <f t="array" ref="BG376">IFERROR(_xlfn.XLOOKUP(UPPER(TRIM(BA376)),UPPER(TRIM(AW430:BK430)),AW431:BK431,_xlfn.XLOOKUP(UPPER(TRIM(BA376)),UPPER(TRIM(AW432:BK432)),AW433:BK433,0))*AZ376*IF(AW376&gt;0,AW376,1),0)</f>
        <v>0</v>
      </c>
      <c r="BH376" s="110">
        <f>IF(BJ369&lt;&gt;0,AW376*BB376*BB369,0)</f>
        <v>0</v>
      </c>
      <c r="BI376" s="1748">
        <f t="shared" si="90"/>
        <v>0</v>
      </c>
      <c r="BJ376" s="99">
        <f>IF(OR(ISBLANK(BJ369),BJ369=0),0,BG376*BB376*BB369)</f>
        <v>0</v>
      </c>
      <c r="BK376" s="1368" t="str">
        <f>IF(BA376="","",IF(COUNTIF(BD430:BK430,SUBSTITUTE(TRIM(BA376)," (s)",""))+COUNTIF(BD432:BK432,SUBSTITUTE(TRIM(BA376)," (s)",""))&gt;0,IF(ROUND(BJ376,3)&gt;=1,ROUND(BJ376,3)&amp;" L",MAX(1,ROUND(BJ376*100,0))&amp;" cl"),IF(COUNTIF(AW430:BB430,SUBSTITUTE(TRIM(BA376)," (s)",""))+COUNTIF(AW432:BB432,SUBSTITUTE(TRIM(BA376)," (s)",""))&gt;0,IF(ROUND(BJ376,3)&gt;=1,ROUND(BJ376,3)&amp;" Kg",MAX(1,ROUND(BJ376*1000,0))&amp;" g"),"")))</f>
        <v/>
      </c>
      <c r="BM376" s="3">
        <v>1</v>
      </c>
    </row>
    <row r="377" spans="2:65" ht="21" customHeight="1">
      <c r="B377" s="103" t="str">
        <f t="shared" ref="B377:B426" si="93">IF(N377&lt;&gt;"","A","►")</f>
        <v>►</v>
      </c>
      <c r="C377" s="31" t="str">
        <f>C370</f>
        <v>MAJUSCULE(GAUCHE(J21;1))&amp;" "&amp;J21&amp;" | "&amp;S21&amp;"| "&amp;J23&amp;" "&amp;K23</v>
      </c>
      <c r="D377" s="32">
        <f>D370</f>
        <v>1</v>
      </c>
      <c r="E377" s="31" t="str">
        <f>E370</f>
        <v>coupe</v>
      </c>
      <c r="F377" s="33" t="str">
        <f>F370</f>
        <v>Recette mère ► MILLE-FEUILLE  aux fraises des bois</v>
      </c>
      <c r="G377" s="89"/>
      <c r="H377" s="108"/>
      <c r="I377" s="91" t="str">
        <f t="shared" si="85"/>
        <v/>
      </c>
      <c r="J377" s="92"/>
      <c r="K377" s="128"/>
      <c r="L377" s="130">
        <v>1</v>
      </c>
      <c r="M377" s="1813" t="str">
        <f>ROWS(M374:M377)&amp;" ►"</f>
        <v>4 ►</v>
      </c>
      <c r="N377" s="1580"/>
      <c r="O377" s="95">
        <f>IF(Q429=0,0,(Q377/Q429)*P373*1000)</f>
        <v>0</v>
      </c>
      <c r="P377" s="105">
        <f>IF(Q429=0, 0, (G377*L377)/(Q429*P373))</f>
        <v>0</v>
      </c>
      <c r="Q377" s="97" cm="1">
        <f t="array" ref="Q377">IFERROR(_xlfn.XLOOKUP(UPPER(TRIM(K377)),UPPER(TRIM(G430:U430)),G431:U431,_xlfn.XLOOKUP(UPPER(TRIM(K377)),UPPER(TRIM(G432:U432)),G433:U433,0))*J377*IF(G377&gt;0,G377,1),0)</f>
        <v>0</v>
      </c>
      <c r="R377" s="106">
        <f>IF(T369&lt;&gt;0,G377*L377*L369,0)</f>
        <v>0</v>
      </c>
      <c r="S377" s="1747">
        <f t="shared" si="88"/>
        <v>0</v>
      </c>
      <c r="T377" s="99">
        <f>IF(OR(ISBLANK(T369),T369=0),0,Q377*L377*L369)</f>
        <v>0</v>
      </c>
      <c r="U377" s="1367" t="str">
        <f>IF(K377="","",IF(COUNTIF(N430:U430,SUBSTITUTE(TRIM(K377)," (s)",""))+COUNTIF(N432:U432,SUBSTITUTE(TRIM(K377)," (s)",""))&gt;0,IF(ROUND(T377,3)&gt;=1,ROUND(T377,3)&amp;" L",MAX(1,ROUND(T377*100,0))&amp;" cl"),IF(COUNTIF(G430:L430,SUBSTITUTE(TRIM(K377)," (s)",""))+COUNTIF(G432:L432,SUBSTITUTE(TRIM(K377)," (s)",""))&gt;0,IF(ROUND(T377,3)&gt;=1,ROUND(T377,3)&amp;" Kg",MAX(1,ROUND(T377*1000,0))&amp;" g"),"")))</f>
        <v/>
      </c>
      <c r="W377" s="103" t="str">
        <f t="shared" si="91"/>
        <v>►</v>
      </c>
      <c r="X377" s="31" t="str">
        <f>X370</f>
        <v>N NAME OF YOUR RECIPE | paste it — FAMILY|  Author &gt; YOU</v>
      </c>
      <c r="Y377" s="32">
        <f>Y370</f>
        <v>1</v>
      </c>
      <c r="Z377" s="31" t="str">
        <f>Z370</f>
        <v>coupe</v>
      </c>
      <c r="AA377" s="33" t="str">
        <f>AA370</f>
        <v>Master recipe ► MILLE-FEUILLE  aux fraises des bois</v>
      </c>
      <c r="AB377" s="89"/>
      <c r="AC377" s="108"/>
      <c r="AD377" s="91" t="str">
        <f t="shared" si="86"/>
        <v/>
      </c>
      <c r="AE377" s="92"/>
      <c r="AF377" s="128"/>
      <c r="AG377" s="130">
        <v>1</v>
      </c>
      <c r="AH377" s="1813" t="str">
        <f>ROWS(AH374:AH377)&amp;" ►"</f>
        <v>4 ►</v>
      </c>
      <c r="AI377" s="1580"/>
      <c r="AJ377" s="95">
        <f>IF(AL429=0,0,(AL377/AL429)*AK373*1000)</f>
        <v>0</v>
      </c>
      <c r="AK377" s="105">
        <f>IF(AL429=0, 0, (AB377*AG377)/(AL429*AK373))</f>
        <v>0</v>
      </c>
      <c r="AL377" s="97" cm="1">
        <f t="array" ref="AL377">IFERROR(_xlfn.XLOOKUP(UPPER(TRIM(AF377)),UPPER(TRIM(AB430:AP430)),AB431:AP431,_xlfn.XLOOKUP(UPPER(TRIM(AF377)),UPPER(TRIM(AB432:AP432)),AB433:AP433,0))*AE377*IF(AB377&gt;0,AB377,1),0)</f>
        <v>0</v>
      </c>
      <c r="AM377" s="106">
        <f>IF(AO369&lt;&gt;0,AB377*AG377*AG369,0)</f>
        <v>0</v>
      </c>
      <c r="AN377" s="1747">
        <f t="shared" si="89"/>
        <v>0</v>
      </c>
      <c r="AO377" s="99">
        <f>IF(OR(ISBLANK(AO369),AO369=0),0,AL377*AG377*AG369)</f>
        <v>0</v>
      </c>
      <c r="AP377" s="1367" t="str">
        <f>IF(AF377="","",IF(COUNTIF(AI430:AP430,SUBSTITUTE(TRIM(AF377)," (s)",""))+COUNTIF(AI432:AP432,SUBSTITUTE(TRIM(AF377)," (s)",""))&gt;0,IF(ROUND(AO377,3)&gt;=1,ROUND(AO377,3)&amp;" L",MAX(1,ROUND(AO377*100,0))&amp;" cl"),IF(COUNTIF(AB430:AG430,SUBSTITUTE(TRIM(AF377)," (s)",""))+COUNTIF(AB432:AG432,SUBSTITUTE(TRIM(AF377)," (s)",""))&gt;0,IF(ROUND(AO377,3)&gt;=1,ROUND(AO377,3)&amp;" Kg",MAX(1,ROUND(AO377*1000,0))&amp;" g"),"")))</f>
        <v/>
      </c>
      <c r="AR377" s="103" t="str">
        <f t="shared" si="92"/>
        <v>►</v>
      </c>
      <c r="AS377" s="31" t="str">
        <f>AS370</f>
        <v>N NOMBRE DE SU RECETA | pegue esto — FAMILIA| Auteur &gt; VOUS</v>
      </c>
      <c r="AT377" s="32">
        <f>AT370</f>
        <v>1</v>
      </c>
      <c r="AU377" s="31" t="str">
        <f>AU370</f>
        <v>coupe</v>
      </c>
      <c r="AV377" s="33" t="str">
        <f>AV370</f>
        <v>Receta madre ► MILLE-FEUILLE  aux fraises des bois</v>
      </c>
      <c r="AW377" s="89"/>
      <c r="AX377" s="108"/>
      <c r="AY377" s="91" t="str">
        <f t="shared" si="87"/>
        <v/>
      </c>
      <c r="AZ377" s="92"/>
      <c r="BA377" s="128"/>
      <c r="BB377" s="130">
        <v>1</v>
      </c>
      <c r="BC377" s="1813" t="str">
        <f>ROWS(BC374:BC377)&amp;" ►"</f>
        <v>4 ►</v>
      </c>
      <c r="BD377" s="1580"/>
      <c r="BE377" s="95">
        <f>IF(BG429=0,0,(BG377/BG429)*BF373*1000)</f>
        <v>0</v>
      </c>
      <c r="BF377" s="105">
        <f>IF(BG429=0, 0, (AW377*BB377)/(BG429*BF373))</f>
        <v>0</v>
      </c>
      <c r="BG377" s="97" cm="1">
        <f t="array" ref="BG377">IFERROR(_xlfn.XLOOKUP(UPPER(TRIM(BA377)),UPPER(TRIM(AW430:BK430)),AW431:BK431,_xlfn.XLOOKUP(UPPER(TRIM(BA377)),UPPER(TRIM(AW432:BK432)),AW433:BK433,0))*AZ377*IF(AW377&gt;0,AW377,1),0)</f>
        <v>0</v>
      </c>
      <c r="BH377" s="106">
        <f>IF(BJ369&lt;&gt;0,AW377*BB377*BB369,0)</f>
        <v>0</v>
      </c>
      <c r="BI377" s="1747">
        <f t="shared" si="90"/>
        <v>0</v>
      </c>
      <c r="BJ377" s="99">
        <f>IF(OR(ISBLANK(BJ369),BJ369=0),0,BG377*BB377*BB369)</f>
        <v>0</v>
      </c>
      <c r="BK377" s="1367" t="str">
        <f>IF(BA377="","",IF(COUNTIF(BD430:BK430,SUBSTITUTE(TRIM(BA377)," (s)",""))+COUNTIF(BD432:BK432,SUBSTITUTE(TRIM(BA377)," (s)",""))&gt;0,IF(ROUND(BJ377,3)&gt;=1,ROUND(BJ377,3)&amp;" L",MAX(1,ROUND(BJ377*100,0))&amp;" cl"),IF(COUNTIF(AW430:BB430,SUBSTITUTE(TRIM(BA377)," (s)",""))+COUNTIF(AW432:BB432,SUBSTITUTE(TRIM(BA377)," (s)",""))&gt;0,IF(ROUND(BJ377,3)&gt;=1,ROUND(BJ377,3)&amp;" Kg",MAX(1,ROUND(BJ377*1000,0))&amp;" g"),"")))</f>
        <v/>
      </c>
      <c r="BM377" s="3">
        <v>1</v>
      </c>
    </row>
    <row r="378" spans="2:65" ht="21" customHeight="1">
      <c r="B378" s="103" t="str">
        <f t="shared" si="93"/>
        <v>►</v>
      </c>
      <c r="C378" s="31" t="str">
        <f>C370</f>
        <v>MAJUSCULE(GAUCHE(J21;1))&amp;" "&amp;J21&amp;" | "&amp;S21&amp;"| "&amp;J23&amp;" "&amp;K23</v>
      </c>
      <c r="D378" s="32">
        <f>D370</f>
        <v>1</v>
      </c>
      <c r="E378" s="31" t="str">
        <f>E370</f>
        <v>coupe</v>
      </c>
      <c r="F378" s="33" t="str">
        <f>F370</f>
        <v>Recette mère ► MILLE-FEUILLE  aux fraises des bois</v>
      </c>
      <c r="G378" s="89"/>
      <c r="H378" s="108"/>
      <c r="I378" s="91" t="str">
        <f t="shared" si="85"/>
        <v/>
      </c>
      <c r="J378" s="92"/>
      <c r="K378" s="128"/>
      <c r="L378" s="130">
        <v>1</v>
      </c>
      <c r="M378" s="1813" t="str">
        <f>ROWS(M374:M378)&amp;" ►"</f>
        <v>5 ►</v>
      </c>
      <c r="N378" s="1580"/>
      <c r="O378" s="95">
        <f>IF(Q429=0,0,(Q378/Q429)*P373*1000)</f>
        <v>0</v>
      </c>
      <c r="P378" s="105">
        <f>IF(Q429=0, 0, (G378*L378)/(Q429*P373))</f>
        <v>0</v>
      </c>
      <c r="Q378" s="97" cm="1">
        <f t="array" ref="Q378">IFERROR(_xlfn.XLOOKUP(UPPER(TRIM(K378)),UPPER(TRIM(G430:U430)),G431:U431,_xlfn.XLOOKUP(UPPER(TRIM(K378)),UPPER(TRIM(G432:U432)),G433:U433,0))*J378*IF(G378&gt;0,G378,1),0)</f>
        <v>0</v>
      </c>
      <c r="R378" s="110">
        <f>IF(T369&lt;&gt;0,G378*L378*L369,0)</f>
        <v>0</v>
      </c>
      <c r="S378" s="1748">
        <f t="shared" si="88"/>
        <v>0</v>
      </c>
      <c r="T378" s="99">
        <f>IF(OR(ISBLANK(T369),T369=0),0,Q378*L378*L369)</f>
        <v>0</v>
      </c>
      <c r="U378" s="1368" t="str">
        <f>IF(K378="","",IF(COUNTIF(N430:U430,SUBSTITUTE(TRIM(K378)," (s)",""))+COUNTIF(N432:U432,SUBSTITUTE(TRIM(K378)," (s)",""))&gt;0,IF(ROUND(T378,3)&gt;=1,ROUND(T378,3)&amp;" L",MAX(1,ROUND(T378*100,0))&amp;" cl"),IF(COUNTIF(G430:L430,SUBSTITUTE(TRIM(K378)," (s)",""))+COUNTIF(G432:L432,SUBSTITUTE(TRIM(K378)," (s)",""))&gt;0,IF(ROUND(T378,3)&gt;=1,ROUND(T378,3)&amp;" Kg",MAX(1,ROUND(T378*1000,0))&amp;" g"),"")))</f>
        <v/>
      </c>
      <c r="W378" s="103" t="str">
        <f t="shared" si="91"/>
        <v>►</v>
      </c>
      <c r="X378" s="31" t="str">
        <f>X370</f>
        <v>N NAME OF YOUR RECIPE | paste it — FAMILY|  Author &gt; YOU</v>
      </c>
      <c r="Y378" s="32">
        <f>Y370</f>
        <v>1</v>
      </c>
      <c r="Z378" s="31" t="str">
        <f>Z370</f>
        <v>coupe</v>
      </c>
      <c r="AA378" s="33" t="str">
        <f>AA370</f>
        <v>Master recipe ► MILLE-FEUILLE  aux fraises des bois</v>
      </c>
      <c r="AB378" s="89"/>
      <c r="AC378" s="108"/>
      <c r="AD378" s="91" t="str">
        <f t="shared" si="86"/>
        <v/>
      </c>
      <c r="AE378" s="92"/>
      <c r="AF378" s="128"/>
      <c r="AG378" s="130">
        <v>1</v>
      </c>
      <c r="AH378" s="1813" t="str">
        <f>ROWS(AH374:AH378)&amp;" ►"</f>
        <v>5 ►</v>
      </c>
      <c r="AI378" s="1580"/>
      <c r="AJ378" s="95">
        <f>IF(AL429=0,0,(AL378/AL429)*AK373*1000)</f>
        <v>0</v>
      </c>
      <c r="AK378" s="105">
        <f>IF(AL429=0, 0, (AB378*AG378)/(AL429*AK373))</f>
        <v>0</v>
      </c>
      <c r="AL378" s="97" cm="1">
        <f t="array" ref="AL378">IFERROR(_xlfn.XLOOKUP(UPPER(TRIM(AF378)),UPPER(TRIM(AB430:AP430)),AB431:AP431,_xlfn.XLOOKUP(UPPER(TRIM(AF378)),UPPER(TRIM(AB432:AP432)),AB433:AP433,0))*AE378*IF(AB378&gt;0,AB378,1),0)</f>
        <v>0</v>
      </c>
      <c r="AM378" s="110">
        <f>IF(AO369&lt;&gt;0,AB378*AG378*AG369,0)</f>
        <v>0</v>
      </c>
      <c r="AN378" s="1748">
        <f t="shared" si="89"/>
        <v>0</v>
      </c>
      <c r="AO378" s="99">
        <f>IF(OR(ISBLANK(AO369),AO369=0),0,AL378*AG378*AG369)</f>
        <v>0</v>
      </c>
      <c r="AP378" s="1368" t="str">
        <f>IF(AF378="","",IF(COUNTIF(AI430:AP430,SUBSTITUTE(TRIM(AF378)," (s)",""))+COUNTIF(AI432:AP432,SUBSTITUTE(TRIM(AF378)," (s)",""))&gt;0,IF(ROUND(AO378,3)&gt;=1,ROUND(AO378,3)&amp;" L",MAX(1,ROUND(AO378*100,0))&amp;" cl"),IF(COUNTIF(AB430:AG430,SUBSTITUTE(TRIM(AF378)," (s)",""))+COUNTIF(AB432:AG432,SUBSTITUTE(TRIM(AF378)," (s)",""))&gt;0,IF(ROUND(AO378,3)&gt;=1,ROUND(AO378,3)&amp;" Kg",MAX(1,ROUND(AO378*1000,0))&amp;" g"),"")))</f>
        <v/>
      </c>
      <c r="AR378" s="103" t="str">
        <f t="shared" si="92"/>
        <v>►</v>
      </c>
      <c r="AS378" s="31" t="str">
        <f>AS370</f>
        <v>N NOMBRE DE SU RECETA | pegue esto — FAMILIA| Auteur &gt; VOUS</v>
      </c>
      <c r="AT378" s="32">
        <f>AT370</f>
        <v>1</v>
      </c>
      <c r="AU378" s="31" t="str">
        <f>AU370</f>
        <v>coupe</v>
      </c>
      <c r="AV378" s="33" t="str">
        <f>AV370</f>
        <v>Receta madre ► MILLE-FEUILLE  aux fraises des bois</v>
      </c>
      <c r="AW378" s="89"/>
      <c r="AX378" s="108"/>
      <c r="AY378" s="91" t="str">
        <f t="shared" si="87"/>
        <v/>
      </c>
      <c r="AZ378" s="92"/>
      <c r="BA378" s="128"/>
      <c r="BB378" s="130">
        <v>1</v>
      </c>
      <c r="BC378" s="1813" t="str">
        <f>ROWS(BC374:BC378)&amp;" ►"</f>
        <v>5 ►</v>
      </c>
      <c r="BD378" s="1580"/>
      <c r="BE378" s="95">
        <f>IF(BG429=0,0,(BG378/BG429)*BF373*1000)</f>
        <v>0</v>
      </c>
      <c r="BF378" s="105">
        <f>IF(BG429=0, 0, (AW378*BB378)/(BG429*BF373))</f>
        <v>0</v>
      </c>
      <c r="BG378" s="97" cm="1">
        <f t="array" ref="BG378">IFERROR(_xlfn.XLOOKUP(UPPER(TRIM(BA378)),UPPER(TRIM(AW430:BK430)),AW431:BK431,_xlfn.XLOOKUP(UPPER(TRIM(BA378)),UPPER(TRIM(AW432:BK432)),AW433:BK433,0))*AZ378*IF(AW378&gt;0,AW378,1),0)</f>
        <v>0</v>
      </c>
      <c r="BH378" s="110">
        <f>IF(BJ369&lt;&gt;0,AW378*BB378*BB369,0)</f>
        <v>0</v>
      </c>
      <c r="BI378" s="1748">
        <f t="shared" si="90"/>
        <v>0</v>
      </c>
      <c r="BJ378" s="99">
        <f>IF(OR(ISBLANK(BJ369),BJ369=0),0,BG378*BB378*BB369)</f>
        <v>0</v>
      </c>
      <c r="BK378" s="1368" t="str">
        <f>IF(BA378="","",IF(COUNTIF(BD430:BK430,SUBSTITUTE(TRIM(BA378)," (s)",""))+COUNTIF(BD432:BK432,SUBSTITUTE(TRIM(BA378)," (s)",""))&gt;0,IF(ROUND(BJ378,3)&gt;=1,ROUND(BJ378,3)&amp;" L",MAX(1,ROUND(BJ378*100,0))&amp;" cl"),IF(COUNTIF(AW430:BB430,SUBSTITUTE(TRIM(BA378)," (s)",""))+COUNTIF(AW432:BB432,SUBSTITUTE(TRIM(BA378)," (s)",""))&gt;0,IF(ROUND(BJ378,3)&gt;=1,ROUND(BJ378,3)&amp;" Kg",MAX(1,ROUND(BJ378*1000,0))&amp;" g"),"")))</f>
        <v/>
      </c>
      <c r="BM378" s="3">
        <v>1</v>
      </c>
    </row>
    <row r="379" spans="2:65" ht="21" customHeight="1">
      <c r="B379" s="103" t="str">
        <f t="shared" si="93"/>
        <v>►</v>
      </c>
      <c r="C379" s="31" t="str">
        <f>C370</f>
        <v>MAJUSCULE(GAUCHE(J21;1))&amp;" "&amp;J21&amp;" | "&amp;S21&amp;"| "&amp;J23&amp;" "&amp;K23</v>
      </c>
      <c r="D379" s="32">
        <f>D370</f>
        <v>1</v>
      </c>
      <c r="E379" s="31" t="str">
        <f>E370</f>
        <v>coupe</v>
      </c>
      <c r="F379" s="33" t="str">
        <f>F370</f>
        <v>Recette mère ► MILLE-FEUILLE  aux fraises des bois</v>
      </c>
      <c r="G379" s="89"/>
      <c r="H379" s="108"/>
      <c r="I379" s="91" t="str">
        <f t="shared" si="85"/>
        <v/>
      </c>
      <c r="J379" s="92"/>
      <c r="K379" s="128"/>
      <c r="L379" s="130">
        <v>1</v>
      </c>
      <c r="M379" s="1813" t="str">
        <f>ROWS(M374:M379)&amp;" ►"</f>
        <v>6 ►</v>
      </c>
      <c r="N379" s="1580"/>
      <c r="O379" s="95">
        <f>IF(Q429=0,0,(Q379/Q429)*P373*1000)</f>
        <v>0</v>
      </c>
      <c r="P379" s="105">
        <f>IF(Q429=0, 0, (G379*L379)/(Q429*P373))</f>
        <v>0</v>
      </c>
      <c r="Q379" s="97" cm="1">
        <f t="array" ref="Q379">IFERROR(_xlfn.XLOOKUP(UPPER(TRIM(K379)),UPPER(TRIM(G430:U430)),G431:U431,_xlfn.XLOOKUP(UPPER(TRIM(K379)),UPPER(TRIM(G432:U432)),G433:U433,0))*J379*IF(G379&gt;0,G379,1),0)</f>
        <v>0</v>
      </c>
      <c r="R379" s="106">
        <f>IF(T369&lt;&gt;0,G379*L379*L369,0)</f>
        <v>0</v>
      </c>
      <c r="S379" s="1747">
        <f t="shared" si="88"/>
        <v>0</v>
      </c>
      <c r="T379" s="99">
        <f>IF(OR(ISBLANK(T369),T369=0),0,Q379*L379*L369)</f>
        <v>0</v>
      </c>
      <c r="U379" s="1367" t="str">
        <f>IF(K379="","",IF(COUNTIF(N430:U430,SUBSTITUTE(TRIM(K379)," (s)",""))+COUNTIF(N432:U432,SUBSTITUTE(TRIM(K379)," (s)",""))&gt;0,IF(ROUND(T379,3)&gt;=1,ROUND(T379,3)&amp;" L",MAX(1,ROUND(T379*100,0))&amp;" cl"),IF(COUNTIF(G430:L430,SUBSTITUTE(TRIM(K379)," (s)",""))+COUNTIF(G432:L432,SUBSTITUTE(TRIM(K379)," (s)",""))&gt;0,IF(ROUND(T379,3)&gt;=1,ROUND(T379,3)&amp;" Kg",MAX(1,ROUND(T379*1000,0))&amp;" g"),"")))</f>
        <v/>
      </c>
      <c r="W379" s="103" t="str">
        <f t="shared" si="91"/>
        <v>►</v>
      </c>
      <c r="X379" s="31" t="str">
        <f>X370</f>
        <v>N NAME OF YOUR RECIPE | paste it — FAMILY|  Author &gt; YOU</v>
      </c>
      <c r="Y379" s="32">
        <f>Y370</f>
        <v>1</v>
      </c>
      <c r="Z379" s="31" t="str">
        <f>Z370</f>
        <v>coupe</v>
      </c>
      <c r="AA379" s="33" t="str">
        <f>AA370</f>
        <v>Master recipe ► MILLE-FEUILLE  aux fraises des bois</v>
      </c>
      <c r="AB379" s="89"/>
      <c r="AC379" s="108"/>
      <c r="AD379" s="91" t="str">
        <f t="shared" si="86"/>
        <v/>
      </c>
      <c r="AE379" s="92"/>
      <c r="AF379" s="128"/>
      <c r="AG379" s="130">
        <v>1</v>
      </c>
      <c r="AH379" s="1813" t="str">
        <f>ROWS(AH374:AH379)&amp;" ►"</f>
        <v>6 ►</v>
      </c>
      <c r="AI379" s="1580"/>
      <c r="AJ379" s="95">
        <f>IF(AL429=0,0,(AL379/AL429)*AK373*1000)</f>
        <v>0</v>
      </c>
      <c r="AK379" s="105">
        <f>IF(AL429=0, 0, (AB379*AG379)/(AL429*AK373))</f>
        <v>0</v>
      </c>
      <c r="AL379" s="97" cm="1">
        <f t="array" ref="AL379">IFERROR(_xlfn.XLOOKUP(UPPER(TRIM(AF379)),UPPER(TRIM(AB430:AP430)),AB431:AP431,_xlfn.XLOOKUP(UPPER(TRIM(AF379)),UPPER(TRIM(AB432:AP432)),AB433:AP433,0))*AE379*IF(AB379&gt;0,AB379,1),0)</f>
        <v>0</v>
      </c>
      <c r="AM379" s="106">
        <f>IF(AO369&lt;&gt;0,AB379*AG379*AG369,0)</f>
        <v>0</v>
      </c>
      <c r="AN379" s="1747">
        <f t="shared" si="89"/>
        <v>0</v>
      </c>
      <c r="AO379" s="99">
        <f>IF(OR(ISBLANK(AO369),AO369=0),0,AL379*AG379*AG369)</f>
        <v>0</v>
      </c>
      <c r="AP379" s="1367" t="str">
        <f>IF(AF379="","",IF(COUNTIF(AI430:AP430,SUBSTITUTE(TRIM(AF379)," (s)",""))+COUNTIF(AI432:AP432,SUBSTITUTE(TRIM(AF379)," (s)",""))&gt;0,IF(ROUND(AO379,3)&gt;=1,ROUND(AO379,3)&amp;" L",MAX(1,ROUND(AO379*100,0))&amp;" cl"),IF(COUNTIF(AB430:AG430,SUBSTITUTE(TRIM(AF379)," (s)",""))+COUNTIF(AB432:AG432,SUBSTITUTE(TRIM(AF379)," (s)",""))&gt;0,IF(ROUND(AO379,3)&gt;=1,ROUND(AO379,3)&amp;" Kg",MAX(1,ROUND(AO379*1000,0))&amp;" g"),"")))</f>
        <v/>
      </c>
      <c r="AR379" s="103" t="str">
        <f t="shared" si="92"/>
        <v>►</v>
      </c>
      <c r="AS379" s="31" t="str">
        <f>AS370</f>
        <v>N NOMBRE DE SU RECETA | pegue esto — FAMILIA| Auteur &gt; VOUS</v>
      </c>
      <c r="AT379" s="32">
        <f>AT370</f>
        <v>1</v>
      </c>
      <c r="AU379" s="31" t="str">
        <f>AU370</f>
        <v>coupe</v>
      </c>
      <c r="AV379" s="33" t="str">
        <f>AV370</f>
        <v>Receta madre ► MILLE-FEUILLE  aux fraises des bois</v>
      </c>
      <c r="AW379" s="89"/>
      <c r="AX379" s="108"/>
      <c r="AY379" s="91" t="str">
        <f t="shared" si="87"/>
        <v/>
      </c>
      <c r="AZ379" s="92"/>
      <c r="BA379" s="128"/>
      <c r="BB379" s="130">
        <v>1</v>
      </c>
      <c r="BC379" s="1813" t="str">
        <f>ROWS(BC374:BC379)&amp;" ►"</f>
        <v>6 ►</v>
      </c>
      <c r="BD379" s="1580"/>
      <c r="BE379" s="95">
        <f>IF(BG429=0,0,(BG379/BG429)*BF373*1000)</f>
        <v>0</v>
      </c>
      <c r="BF379" s="105">
        <f>IF(BG429=0, 0, (AW379*BB379)/(BG429*BF373))</f>
        <v>0</v>
      </c>
      <c r="BG379" s="97" cm="1">
        <f t="array" ref="BG379">IFERROR(_xlfn.XLOOKUP(UPPER(TRIM(BA379)),UPPER(TRIM(AW430:BK430)),AW431:BK431,_xlfn.XLOOKUP(UPPER(TRIM(BA379)),UPPER(TRIM(AW432:BK432)),AW433:BK433,0))*AZ379*IF(AW379&gt;0,AW379,1),0)</f>
        <v>0</v>
      </c>
      <c r="BH379" s="106">
        <f>IF(BJ369&lt;&gt;0,AW379*BB379*BB369,0)</f>
        <v>0</v>
      </c>
      <c r="BI379" s="1747">
        <f t="shared" si="90"/>
        <v>0</v>
      </c>
      <c r="BJ379" s="99">
        <f>IF(OR(ISBLANK(BJ369),BJ369=0),0,BG379*BB379*BB369)</f>
        <v>0</v>
      </c>
      <c r="BK379" s="1367" t="str">
        <f>IF(BA379="","",IF(COUNTIF(BD430:BK430,SUBSTITUTE(TRIM(BA379)," (s)",""))+COUNTIF(BD432:BK432,SUBSTITUTE(TRIM(BA379)," (s)",""))&gt;0,IF(ROUND(BJ379,3)&gt;=1,ROUND(BJ379,3)&amp;" L",MAX(1,ROUND(BJ379*100,0))&amp;" cl"),IF(COUNTIF(AW430:BB430,SUBSTITUTE(TRIM(BA379)," (s)",""))+COUNTIF(AW432:BB432,SUBSTITUTE(TRIM(BA379)," (s)",""))&gt;0,IF(ROUND(BJ379,3)&gt;=1,ROUND(BJ379,3)&amp;" Kg",MAX(1,ROUND(BJ379*1000,0))&amp;" g"),"")))</f>
        <v/>
      </c>
      <c r="BM379" s="3">
        <v>1</v>
      </c>
    </row>
    <row r="380" spans="2:65" ht="21" customHeight="1">
      <c r="B380" s="103" t="str">
        <f t="shared" si="93"/>
        <v>►</v>
      </c>
      <c r="C380" s="31" t="str">
        <f>C370</f>
        <v>MAJUSCULE(GAUCHE(J21;1))&amp;" "&amp;J21&amp;" | "&amp;S21&amp;"| "&amp;J23&amp;" "&amp;K23</v>
      </c>
      <c r="D380" s="32">
        <f>D370</f>
        <v>1</v>
      </c>
      <c r="E380" s="31" t="str">
        <f>E370</f>
        <v>coupe</v>
      </c>
      <c r="F380" s="33" t="str">
        <f>F370</f>
        <v>Recette mère ► MILLE-FEUILLE  aux fraises des bois</v>
      </c>
      <c r="G380" s="89"/>
      <c r="H380" s="108"/>
      <c r="I380" s="91" t="str">
        <f t="shared" si="85"/>
        <v/>
      </c>
      <c r="J380" s="92"/>
      <c r="K380" s="128"/>
      <c r="L380" s="130">
        <v>1</v>
      </c>
      <c r="M380" s="1813" t="str">
        <f>ROWS(M374:M380)&amp;" ►"</f>
        <v>7 ►</v>
      </c>
      <c r="N380" s="1580"/>
      <c r="O380" s="95">
        <f>IF(Q429=0,0,(Q380/Q429)*P373*1000)</f>
        <v>0</v>
      </c>
      <c r="P380" s="105">
        <f>IF(Q429=0, 0, (G380*L380)/(Q429*P373))</f>
        <v>0</v>
      </c>
      <c r="Q380" s="97" cm="1">
        <f t="array" ref="Q380">IFERROR(_xlfn.XLOOKUP(UPPER(TRIM(K380)),UPPER(TRIM(G430:U430)),G431:U431,_xlfn.XLOOKUP(UPPER(TRIM(K380)),UPPER(TRIM(G432:U432)),G433:U433,0))*J380*IF(G380&gt;0,G380,1),0)</f>
        <v>0</v>
      </c>
      <c r="R380" s="110">
        <f>IF(T369&lt;&gt;0,G380*L380*L369,0)</f>
        <v>0</v>
      </c>
      <c r="S380" s="1748">
        <f t="shared" si="88"/>
        <v>0</v>
      </c>
      <c r="T380" s="99">
        <f>IF(OR(ISBLANK(T369),T369=0),0,Q380*L380*L369)</f>
        <v>0</v>
      </c>
      <c r="U380" s="1369" t="str">
        <f>IF(K380="","",IF(COUNTIF(N430:U430,SUBSTITUTE(TRIM(K380)," (s)",""))+COUNTIF(N432:U432,SUBSTITUTE(TRIM(K380)," (s)",""))&gt;0,IF(ROUND(T380,3)&gt;=1,ROUND(T380,3)&amp;" L",MAX(1,ROUND(T380*100,0))&amp;" cl"),IF(COUNTIF(G430:L430,SUBSTITUTE(TRIM(K380)," (s)",""))+COUNTIF(G432:L432,SUBSTITUTE(TRIM(K380)," (s)",""))&gt;0,IF(ROUND(T380,3)&gt;=1,ROUND(T380,3)&amp;" Kg",MAX(1,ROUND(T380*1000,0))&amp;" g"),"")))</f>
        <v/>
      </c>
      <c r="W380" s="103" t="str">
        <f t="shared" si="91"/>
        <v>►</v>
      </c>
      <c r="X380" s="31" t="str">
        <f>X370</f>
        <v>N NAME OF YOUR RECIPE | paste it — FAMILY|  Author &gt; YOU</v>
      </c>
      <c r="Y380" s="32">
        <f>Y370</f>
        <v>1</v>
      </c>
      <c r="Z380" s="31" t="str">
        <f>Z370</f>
        <v>coupe</v>
      </c>
      <c r="AA380" s="33" t="str">
        <f>AA370</f>
        <v>Master recipe ► MILLE-FEUILLE  aux fraises des bois</v>
      </c>
      <c r="AB380" s="89"/>
      <c r="AC380" s="108"/>
      <c r="AD380" s="91" t="str">
        <f t="shared" si="86"/>
        <v/>
      </c>
      <c r="AE380" s="92"/>
      <c r="AF380" s="128"/>
      <c r="AG380" s="130">
        <v>1</v>
      </c>
      <c r="AH380" s="1813" t="str">
        <f>ROWS(AH374:AH380)&amp;" ►"</f>
        <v>7 ►</v>
      </c>
      <c r="AI380" s="1580"/>
      <c r="AJ380" s="95">
        <f>IF(AL429=0,0,(AL380/AL429)*AK373*1000)</f>
        <v>0</v>
      </c>
      <c r="AK380" s="105">
        <f>IF(AL429=0, 0, (AB380*AG380)/(AL429*AK373))</f>
        <v>0</v>
      </c>
      <c r="AL380" s="97" cm="1">
        <f t="array" ref="AL380">IFERROR(_xlfn.XLOOKUP(UPPER(TRIM(AF380)),UPPER(TRIM(AB430:AP430)),AB431:AP431,_xlfn.XLOOKUP(UPPER(TRIM(AF380)),UPPER(TRIM(AB432:AP432)),AB433:AP433,0))*AE380*IF(AB380&gt;0,AB380,1),0)</f>
        <v>0</v>
      </c>
      <c r="AM380" s="110">
        <f>IF(AO369&lt;&gt;0,AB380*AG380*AG369,0)</f>
        <v>0</v>
      </c>
      <c r="AN380" s="1748">
        <f t="shared" si="89"/>
        <v>0</v>
      </c>
      <c r="AO380" s="99">
        <f>IF(OR(ISBLANK(AO369),AO369=0),0,AL380*AG380*AG369)</f>
        <v>0</v>
      </c>
      <c r="AP380" s="1369" t="str">
        <f>IF(AF380="","",IF(COUNTIF(AI430:AP430,SUBSTITUTE(TRIM(AF380)," (s)",""))+COUNTIF(AI432:AP432,SUBSTITUTE(TRIM(AF380)," (s)",""))&gt;0,IF(ROUND(AO380,3)&gt;=1,ROUND(AO380,3)&amp;" L",MAX(1,ROUND(AO380*100,0))&amp;" cl"),IF(COUNTIF(AB430:AG430,SUBSTITUTE(TRIM(AF380)," (s)",""))+COUNTIF(AB432:AG432,SUBSTITUTE(TRIM(AF380)," (s)",""))&gt;0,IF(ROUND(AO380,3)&gt;=1,ROUND(AO380,3)&amp;" Kg",MAX(1,ROUND(AO380*1000,0))&amp;" g"),"")))</f>
        <v/>
      </c>
      <c r="AR380" s="103" t="str">
        <f t="shared" si="92"/>
        <v>►</v>
      </c>
      <c r="AS380" s="31" t="str">
        <f>AS370</f>
        <v>N NOMBRE DE SU RECETA | pegue esto — FAMILIA| Auteur &gt; VOUS</v>
      </c>
      <c r="AT380" s="32">
        <f>AT370</f>
        <v>1</v>
      </c>
      <c r="AU380" s="31" t="str">
        <f>AU370</f>
        <v>coupe</v>
      </c>
      <c r="AV380" s="33" t="str">
        <f>AV370</f>
        <v>Receta madre ► MILLE-FEUILLE  aux fraises des bois</v>
      </c>
      <c r="AW380" s="89"/>
      <c r="AX380" s="108"/>
      <c r="AY380" s="91" t="str">
        <f t="shared" si="87"/>
        <v/>
      </c>
      <c r="AZ380" s="92"/>
      <c r="BA380" s="128"/>
      <c r="BB380" s="130">
        <v>1</v>
      </c>
      <c r="BC380" s="1813" t="str">
        <f>ROWS(BC374:BC380)&amp;" ►"</f>
        <v>7 ►</v>
      </c>
      <c r="BD380" s="1580"/>
      <c r="BE380" s="95">
        <f>IF(BG429=0,0,(BG380/BG429)*BF373*1000)</f>
        <v>0</v>
      </c>
      <c r="BF380" s="105">
        <f>IF(BG429=0, 0, (AW380*BB380)/(BG429*BF373))</f>
        <v>0</v>
      </c>
      <c r="BG380" s="97" cm="1">
        <f t="array" ref="BG380">IFERROR(_xlfn.XLOOKUP(UPPER(TRIM(BA380)),UPPER(TRIM(AW430:BK430)),AW431:BK431,_xlfn.XLOOKUP(UPPER(TRIM(BA380)),UPPER(TRIM(AW432:BK432)),AW433:BK433,0))*AZ380*IF(AW380&gt;0,AW380,1),0)</f>
        <v>0</v>
      </c>
      <c r="BH380" s="110">
        <f>IF(BJ369&lt;&gt;0,AW380*BB380*BB369,0)</f>
        <v>0</v>
      </c>
      <c r="BI380" s="1748">
        <f t="shared" si="90"/>
        <v>0</v>
      </c>
      <c r="BJ380" s="99">
        <f>IF(OR(ISBLANK(BJ369),BJ369=0),0,BG380*BB380*BB369)</f>
        <v>0</v>
      </c>
      <c r="BK380" s="1369" t="str">
        <f>IF(BA380="","",IF(COUNTIF(BD430:BK430,SUBSTITUTE(TRIM(BA380)," (s)",""))+COUNTIF(BD432:BK432,SUBSTITUTE(TRIM(BA380)," (s)",""))&gt;0,IF(ROUND(BJ380,3)&gt;=1,ROUND(BJ380,3)&amp;" L",MAX(1,ROUND(BJ380*100,0))&amp;" cl"),IF(COUNTIF(AW430:BB430,SUBSTITUTE(TRIM(BA380)," (s)",""))+COUNTIF(AW432:BB432,SUBSTITUTE(TRIM(BA380)," (s)",""))&gt;0,IF(ROUND(BJ380,3)&gt;=1,ROUND(BJ380,3)&amp;" Kg",MAX(1,ROUND(BJ380*1000,0))&amp;" g"),"")))</f>
        <v/>
      </c>
      <c r="BM380" s="3">
        <v>1</v>
      </c>
    </row>
    <row r="381" spans="2:65" ht="21" customHeight="1">
      <c r="B381" s="103" t="str">
        <f t="shared" si="93"/>
        <v>►</v>
      </c>
      <c r="C381" s="31" t="str">
        <f>C370</f>
        <v>MAJUSCULE(GAUCHE(J21;1))&amp;" "&amp;J21&amp;" | "&amp;S21&amp;"| "&amp;J23&amp;" "&amp;K23</v>
      </c>
      <c r="D381" s="32">
        <f>D370</f>
        <v>1</v>
      </c>
      <c r="E381" s="31" t="str">
        <f>E370</f>
        <v>coupe</v>
      </c>
      <c r="F381" s="33" t="str">
        <f>F370</f>
        <v>Recette mère ► MILLE-FEUILLE  aux fraises des bois</v>
      </c>
      <c r="G381" s="89"/>
      <c r="H381" s="108"/>
      <c r="I381" s="91" t="str">
        <f t="shared" si="85"/>
        <v/>
      </c>
      <c r="J381" s="92"/>
      <c r="K381" s="128"/>
      <c r="L381" s="130">
        <v>1</v>
      </c>
      <c r="M381" s="1813" t="str">
        <f>ROWS(M374:M381)&amp;" ►"</f>
        <v>8 ►</v>
      </c>
      <c r="N381" s="1580"/>
      <c r="O381" s="95">
        <f>IF(Q429=0,0,(Q381/Q429)*P373*1000)</f>
        <v>0</v>
      </c>
      <c r="P381" s="105">
        <f>IF(Q429=0, 0, (G381*L381)/(Q429*P373))</f>
        <v>0</v>
      </c>
      <c r="Q381" s="97" cm="1">
        <f t="array" ref="Q381">IFERROR(_xlfn.XLOOKUP(UPPER(TRIM(K381)),UPPER(TRIM(G430:U430)),G431:U431,_xlfn.XLOOKUP(UPPER(TRIM(K381)),UPPER(TRIM(G432:U432)),G433:U433,0))*J381*IF(G381&gt;0,G381,1),0)</f>
        <v>0</v>
      </c>
      <c r="R381" s="106">
        <f>IF(T369&lt;&gt;0,G381*L381*L369,0)</f>
        <v>0</v>
      </c>
      <c r="S381" s="1747">
        <f t="shared" si="88"/>
        <v>0</v>
      </c>
      <c r="T381" s="99">
        <f>IF(OR(ISBLANK(T369),T369=0),0,Q381*L381*L369)</f>
        <v>0</v>
      </c>
      <c r="U381" s="1367" t="str">
        <f>IF(K381="","",IF(COUNTIF(N430:U430,SUBSTITUTE(TRIM(K381)," (s)",""))+COUNTIF(N432:U432,SUBSTITUTE(TRIM(K381)," (s)",""))&gt;0,IF(ROUND(T381,3)&gt;=1,ROUND(T381,3)&amp;" L",MAX(1,ROUND(T381*100,0))&amp;" cl"),IF(COUNTIF(G430:L430,SUBSTITUTE(TRIM(K381)," (s)",""))+COUNTIF(G432:L432,SUBSTITUTE(TRIM(K381)," (s)",""))&gt;0,IF(ROUND(T381,3)&gt;=1,ROUND(T381,3)&amp;" Kg",MAX(1,ROUND(T381*1000,0))&amp;" g"),"")))</f>
        <v/>
      </c>
      <c r="W381" s="103" t="str">
        <f t="shared" si="91"/>
        <v>►</v>
      </c>
      <c r="X381" s="31" t="str">
        <f>X370</f>
        <v>N NAME OF YOUR RECIPE | paste it — FAMILY|  Author &gt; YOU</v>
      </c>
      <c r="Y381" s="32">
        <f>Y370</f>
        <v>1</v>
      </c>
      <c r="Z381" s="31" t="str">
        <f>Z370</f>
        <v>coupe</v>
      </c>
      <c r="AA381" s="33" t="str">
        <f>AA370</f>
        <v>Master recipe ► MILLE-FEUILLE  aux fraises des bois</v>
      </c>
      <c r="AB381" s="89"/>
      <c r="AC381" s="108"/>
      <c r="AD381" s="91" t="str">
        <f t="shared" si="86"/>
        <v/>
      </c>
      <c r="AE381" s="92"/>
      <c r="AF381" s="128"/>
      <c r="AG381" s="130">
        <v>1</v>
      </c>
      <c r="AH381" s="1813" t="str">
        <f>ROWS(AH374:AH381)&amp;" ►"</f>
        <v>8 ►</v>
      </c>
      <c r="AI381" s="1580"/>
      <c r="AJ381" s="95">
        <f>IF(AL429=0,0,(AL381/AL429)*AK373*1000)</f>
        <v>0</v>
      </c>
      <c r="AK381" s="105">
        <f>IF(AL429=0, 0, (AB381*AG381)/(AL429*AK373))</f>
        <v>0</v>
      </c>
      <c r="AL381" s="97" cm="1">
        <f t="array" ref="AL381">IFERROR(_xlfn.XLOOKUP(UPPER(TRIM(AF381)),UPPER(TRIM(AB430:AP430)),AB431:AP431,_xlfn.XLOOKUP(UPPER(TRIM(AF381)),UPPER(TRIM(AB432:AP432)),AB433:AP433,0))*AE381*IF(AB381&gt;0,AB381,1),0)</f>
        <v>0</v>
      </c>
      <c r="AM381" s="106">
        <f>IF(AO369&lt;&gt;0,AB381*AG381*AG369,0)</f>
        <v>0</v>
      </c>
      <c r="AN381" s="1747">
        <f t="shared" si="89"/>
        <v>0</v>
      </c>
      <c r="AO381" s="99">
        <f>IF(OR(ISBLANK(AO369),AO369=0),0,AL381*AG381*AG369)</f>
        <v>0</v>
      </c>
      <c r="AP381" s="1367" t="str">
        <f>IF(AF381="","",IF(COUNTIF(AI430:AP430,SUBSTITUTE(TRIM(AF381)," (s)",""))+COUNTIF(AI432:AP432,SUBSTITUTE(TRIM(AF381)," (s)",""))&gt;0,IF(ROUND(AO381,3)&gt;=1,ROUND(AO381,3)&amp;" L",MAX(1,ROUND(AO381*100,0))&amp;" cl"),IF(COUNTIF(AB430:AG430,SUBSTITUTE(TRIM(AF381)," (s)",""))+COUNTIF(AB432:AG432,SUBSTITUTE(TRIM(AF381)," (s)",""))&gt;0,IF(ROUND(AO381,3)&gt;=1,ROUND(AO381,3)&amp;" Kg",MAX(1,ROUND(AO381*1000,0))&amp;" g"),"")))</f>
        <v/>
      </c>
      <c r="AR381" s="103" t="str">
        <f t="shared" si="92"/>
        <v>►</v>
      </c>
      <c r="AS381" s="31" t="str">
        <f>AS370</f>
        <v>N NOMBRE DE SU RECETA | pegue esto — FAMILIA| Auteur &gt; VOUS</v>
      </c>
      <c r="AT381" s="32">
        <f>AT370</f>
        <v>1</v>
      </c>
      <c r="AU381" s="31" t="str">
        <f>AU370</f>
        <v>coupe</v>
      </c>
      <c r="AV381" s="33" t="str">
        <f>AV370</f>
        <v>Receta madre ► MILLE-FEUILLE  aux fraises des bois</v>
      </c>
      <c r="AW381" s="89"/>
      <c r="AX381" s="108"/>
      <c r="AY381" s="91" t="str">
        <f t="shared" si="87"/>
        <v/>
      </c>
      <c r="AZ381" s="92"/>
      <c r="BA381" s="128"/>
      <c r="BB381" s="130">
        <v>1</v>
      </c>
      <c r="BC381" s="1813" t="str">
        <f>ROWS(BC374:BC381)&amp;" ►"</f>
        <v>8 ►</v>
      </c>
      <c r="BD381" s="1580"/>
      <c r="BE381" s="95">
        <f>IF(BG429=0,0,(BG381/BG429)*BF373*1000)</f>
        <v>0</v>
      </c>
      <c r="BF381" s="105">
        <f>IF(BG429=0, 0, (AW381*BB381)/(BG429*BF373))</f>
        <v>0</v>
      </c>
      <c r="BG381" s="97" cm="1">
        <f t="array" ref="BG381">IFERROR(_xlfn.XLOOKUP(UPPER(TRIM(BA381)),UPPER(TRIM(AW430:BK430)),AW431:BK431,_xlfn.XLOOKUP(UPPER(TRIM(BA381)),UPPER(TRIM(AW432:BK432)),AW433:BK433,0))*AZ381*IF(AW381&gt;0,AW381,1),0)</f>
        <v>0</v>
      </c>
      <c r="BH381" s="106">
        <f>IF(BJ369&lt;&gt;0,AW381*BB381*BB369,0)</f>
        <v>0</v>
      </c>
      <c r="BI381" s="1747">
        <f t="shared" si="90"/>
        <v>0</v>
      </c>
      <c r="BJ381" s="99">
        <f>IF(OR(ISBLANK(BJ369),BJ369=0),0,BG381*BB381*BB369)</f>
        <v>0</v>
      </c>
      <c r="BK381" s="1367" t="str">
        <f>IF(BA381="","",IF(COUNTIF(BD430:BK430,SUBSTITUTE(TRIM(BA381)," (s)",""))+COUNTIF(BD432:BK432,SUBSTITUTE(TRIM(BA381)," (s)",""))&gt;0,IF(ROUND(BJ381,3)&gt;=1,ROUND(BJ381,3)&amp;" L",MAX(1,ROUND(BJ381*100,0))&amp;" cl"),IF(COUNTIF(AW430:BB430,SUBSTITUTE(TRIM(BA381)," (s)",""))+COUNTIF(AW432:BB432,SUBSTITUTE(TRIM(BA381)," (s)",""))&gt;0,IF(ROUND(BJ381,3)&gt;=1,ROUND(BJ381,3)&amp;" Kg",MAX(1,ROUND(BJ381*1000,0))&amp;" g"),"")))</f>
        <v/>
      </c>
      <c r="BM381" s="3">
        <v>1</v>
      </c>
    </row>
    <row r="382" spans="2:65" ht="21" customHeight="1">
      <c r="B382" s="103" t="str">
        <f t="shared" si="93"/>
        <v>►</v>
      </c>
      <c r="C382" s="31" t="str">
        <f>C370</f>
        <v>MAJUSCULE(GAUCHE(J21;1))&amp;" "&amp;J21&amp;" | "&amp;S21&amp;"| "&amp;J23&amp;" "&amp;K23</v>
      </c>
      <c r="D382" s="32">
        <f>D370</f>
        <v>1</v>
      </c>
      <c r="E382" s="31" t="str">
        <f>E370</f>
        <v>coupe</v>
      </c>
      <c r="F382" s="33" t="str">
        <f>F370</f>
        <v>Recette mère ► MILLE-FEUILLE  aux fraises des bois</v>
      </c>
      <c r="G382" s="89"/>
      <c r="H382" s="108"/>
      <c r="I382" s="91" t="str">
        <f t="shared" si="85"/>
        <v/>
      </c>
      <c r="J382" s="92"/>
      <c r="K382" s="128"/>
      <c r="L382" s="130">
        <v>1</v>
      </c>
      <c r="M382" s="1813" t="str">
        <f>ROWS(M374:M382)&amp;" ►"</f>
        <v>9 ►</v>
      </c>
      <c r="N382" s="1580"/>
      <c r="O382" s="95">
        <f>IF(Q429=0,0,(Q382/Q429)*P373*1000)</f>
        <v>0</v>
      </c>
      <c r="P382" s="105">
        <f>IF(Q429=0, 0, (G382*L382)/(Q429*P373))</f>
        <v>0</v>
      </c>
      <c r="Q382" s="97" cm="1">
        <f t="array" ref="Q382">IFERROR(_xlfn.XLOOKUP(UPPER(TRIM(K382)),UPPER(TRIM(G430:U430)),G431:U431,_xlfn.XLOOKUP(UPPER(TRIM(K382)),UPPER(TRIM(G432:U432)),G433:U433,0))*J382*IF(G382&gt;0,G382,1),0)</f>
        <v>0</v>
      </c>
      <c r="R382" s="110">
        <f>IF(T369&lt;&gt;0,G382*L382*L369,0)</f>
        <v>0</v>
      </c>
      <c r="S382" s="1748">
        <f t="shared" si="88"/>
        <v>0</v>
      </c>
      <c r="T382" s="99">
        <f>IF(OR(ISBLANK(T369),T369=0),0,Q382*L382*L369)</f>
        <v>0</v>
      </c>
      <c r="U382" s="1369" t="str">
        <f>IF(K382="","",IF(COUNTIF(N430:U430,SUBSTITUTE(TRIM(K382)," (s)",""))+COUNTIF(N432:U432,SUBSTITUTE(TRIM(K382)," (s)",""))&gt;0,IF(ROUND(T382,3)&gt;=1,ROUND(T382,3)&amp;" L",MAX(1,ROUND(T382*100,0))&amp;" cl"),IF(COUNTIF(G430:L430,SUBSTITUTE(TRIM(K382)," (s)",""))+COUNTIF(G432:L432,SUBSTITUTE(TRIM(K382)," (s)",""))&gt;0,IF(ROUND(T382,3)&gt;=1,ROUND(T382,3)&amp;" Kg",MAX(1,ROUND(T382*1000,0))&amp;" g"),"")))</f>
        <v/>
      </c>
      <c r="W382" s="103" t="str">
        <f t="shared" si="91"/>
        <v>►</v>
      </c>
      <c r="X382" s="31" t="str">
        <f>X370</f>
        <v>N NAME OF YOUR RECIPE | paste it — FAMILY|  Author &gt; YOU</v>
      </c>
      <c r="Y382" s="32">
        <f>Y370</f>
        <v>1</v>
      </c>
      <c r="Z382" s="31" t="str">
        <f>Z370</f>
        <v>coupe</v>
      </c>
      <c r="AA382" s="33" t="str">
        <f>AA370</f>
        <v>Master recipe ► MILLE-FEUILLE  aux fraises des bois</v>
      </c>
      <c r="AB382" s="89"/>
      <c r="AC382" s="108"/>
      <c r="AD382" s="91" t="str">
        <f t="shared" si="86"/>
        <v/>
      </c>
      <c r="AE382" s="92"/>
      <c r="AF382" s="128"/>
      <c r="AG382" s="130">
        <v>1</v>
      </c>
      <c r="AH382" s="1813" t="str">
        <f>ROWS(AH374:AH382)&amp;" ►"</f>
        <v>9 ►</v>
      </c>
      <c r="AI382" s="1580"/>
      <c r="AJ382" s="95">
        <f>IF(AL429=0,0,(AL382/AL429)*AK373*1000)</f>
        <v>0</v>
      </c>
      <c r="AK382" s="105">
        <f>IF(AL429=0, 0, (AB382*AG382)/(AL429*AK373))</f>
        <v>0</v>
      </c>
      <c r="AL382" s="97" cm="1">
        <f t="array" ref="AL382">IFERROR(_xlfn.XLOOKUP(UPPER(TRIM(AF382)),UPPER(TRIM(AB430:AP430)),AB431:AP431,_xlfn.XLOOKUP(UPPER(TRIM(AF382)),UPPER(TRIM(AB432:AP432)),AB433:AP433,0))*AE382*IF(AB382&gt;0,AB382,1),0)</f>
        <v>0</v>
      </c>
      <c r="AM382" s="110">
        <f>IF(AO369&lt;&gt;0,AB382*AG382*AG369,0)</f>
        <v>0</v>
      </c>
      <c r="AN382" s="1748">
        <f t="shared" si="89"/>
        <v>0</v>
      </c>
      <c r="AO382" s="99">
        <f>IF(OR(ISBLANK(AO369),AO369=0),0,AL382*AG382*AG369)</f>
        <v>0</v>
      </c>
      <c r="AP382" s="1369" t="str">
        <f>IF(AF382="","",IF(COUNTIF(AI430:AP430,SUBSTITUTE(TRIM(AF382)," (s)",""))+COUNTIF(AI432:AP432,SUBSTITUTE(TRIM(AF382)," (s)",""))&gt;0,IF(ROUND(AO382,3)&gt;=1,ROUND(AO382,3)&amp;" L",MAX(1,ROUND(AO382*100,0))&amp;" cl"),IF(COUNTIF(AB430:AG430,SUBSTITUTE(TRIM(AF382)," (s)",""))+COUNTIF(AB432:AG432,SUBSTITUTE(TRIM(AF382)," (s)",""))&gt;0,IF(ROUND(AO382,3)&gt;=1,ROUND(AO382,3)&amp;" Kg",MAX(1,ROUND(AO382*1000,0))&amp;" g"),"")))</f>
        <v/>
      </c>
      <c r="AR382" s="103" t="str">
        <f t="shared" si="92"/>
        <v>►</v>
      </c>
      <c r="AS382" s="31" t="str">
        <f>AS370</f>
        <v>N NOMBRE DE SU RECETA | pegue esto — FAMILIA| Auteur &gt; VOUS</v>
      </c>
      <c r="AT382" s="32">
        <f>AT370</f>
        <v>1</v>
      </c>
      <c r="AU382" s="31" t="str">
        <f>AU370</f>
        <v>coupe</v>
      </c>
      <c r="AV382" s="33" t="str">
        <f>AV370</f>
        <v>Receta madre ► MILLE-FEUILLE  aux fraises des bois</v>
      </c>
      <c r="AW382" s="89"/>
      <c r="AX382" s="108"/>
      <c r="AY382" s="91" t="str">
        <f t="shared" si="87"/>
        <v/>
      </c>
      <c r="AZ382" s="92"/>
      <c r="BA382" s="128"/>
      <c r="BB382" s="130">
        <v>1</v>
      </c>
      <c r="BC382" s="1813" t="str">
        <f>ROWS(BC374:BC382)&amp;" ►"</f>
        <v>9 ►</v>
      </c>
      <c r="BD382" s="1580"/>
      <c r="BE382" s="95">
        <f>IF(BG429=0,0,(BG382/BG429)*BF373*1000)</f>
        <v>0</v>
      </c>
      <c r="BF382" s="105">
        <f>IF(BG429=0, 0, (AW382*BB382)/(BG429*BF373))</f>
        <v>0</v>
      </c>
      <c r="BG382" s="97" cm="1">
        <f t="array" ref="BG382">IFERROR(_xlfn.XLOOKUP(UPPER(TRIM(BA382)),UPPER(TRIM(AW430:BK430)),AW431:BK431,_xlfn.XLOOKUP(UPPER(TRIM(BA382)),UPPER(TRIM(AW432:BK432)),AW433:BK433,0))*AZ382*IF(AW382&gt;0,AW382,1),0)</f>
        <v>0</v>
      </c>
      <c r="BH382" s="110">
        <f>IF(BJ369&lt;&gt;0,AW382*BB382*BB369,0)</f>
        <v>0</v>
      </c>
      <c r="BI382" s="1748">
        <f t="shared" si="90"/>
        <v>0</v>
      </c>
      <c r="BJ382" s="99">
        <f>IF(OR(ISBLANK(BJ369),BJ369=0),0,BG382*BB382*BB369)</f>
        <v>0</v>
      </c>
      <c r="BK382" s="1369" t="str">
        <f>IF(BA382="","",IF(COUNTIF(BD430:BK430,SUBSTITUTE(TRIM(BA382)," (s)",""))+COUNTIF(BD432:BK432,SUBSTITUTE(TRIM(BA382)," (s)",""))&gt;0,IF(ROUND(BJ382,3)&gt;=1,ROUND(BJ382,3)&amp;" L",MAX(1,ROUND(BJ382*100,0))&amp;" cl"),IF(COUNTIF(AW430:BB430,SUBSTITUTE(TRIM(BA382)," (s)",""))+COUNTIF(AW432:BB432,SUBSTITUTE(TRIM(BA382)," (s)",""))&gt;0,IF(ROUND(BJ382,3)&gt;=1,ROUND(BJ382,3)&amp;" Kg",MAX(1,ROUND(BJ382*1000,0))&amp;" g"),"")))</f>
        <v/>
      </c>
      <c r="BM382" s="3">
        <v>1</v>
      </c>
    </row>
    <row r="383" spans="2:65" ht="21" customHeight="1">
      <c r="B383" s="103" t="str">
        <f t="shared" si="93"/>
        <v>►</v>
      </c>
      <c r="C383" s="31" t="str">
        <f>C370</f>
        <v>MAJUSCULE(GAUCHE(J21;1))&amp;" "&amp;J21&amp;" | "&amp;S21&amp;"| "&amp;J23&amp;" "&amp;K23</v>
      </c>
      <c r="D383" s="32">
        <f>D370</f>
        <v>1</v>
      </c>
      <c r="E383" s="31" t="str">
        <f>E370</f>
        <v>coupe</v>
      </c>
      <c r="F383" s="33" t="str">
        <f>F370</f>
        <v>Recette mère ► MILLE-FEUILLE  aux fraises des bois</v>
      </c>
      <c r="G383" s="89"/>
      <c r="H383" s="108"/>
      <c r="I383" s="91" t="str">
        <f t="shared" si="85"/>
        <v/>
      </c>
      <c r="J383" s="92"/>
      <c r="K383" s="128"/>
      <c r="L383" s="130">
        <v>1</v>
      </c>
      <c r="M383" s="1813" t="str">
        <f>ROWS(M374:M383)&amp;" ►"</f>
        <v>10 ►</v>
      </c>
      <c r="N383" s="1580"/>
      <c r="O383" s="95">
        <f>IF(Q429=0,0,(Q383/Q429)*P373*1000)</f>
        <v>0</v>
      </c>
      <c r="P383" s="105">
        <f>IF(Q429=0, 0, (G383*L383)/(Q429*P373))</f>
        <v>0</v>
      </c>
      <c r="Q383" s="97" cm="1">
        <f t="array" ref="Q383">IFERROR(_xlfn.XLOOKUP(UPPER(TRIM(K383)),UPPER(TRIM(G430:U430)),G431:U431,_xlfn.XLOOKUP(UPPER(TRIM(K383)),UPPER(TRIM(G432:U432)),G433:U433,0))*J383*IF(G383&gt;0,G383,1),0)</f>
        <v>0</v>
      </c>
      <c r="R383" s="106">
        <f>IF(T369&lt;&gt;0,G383*L383*L369,0)</f>
        <v>0</v>
      </c>
      <c r="S383" s="1747">
        <f t="shared" si="88"/>
        <v>0</v>
      </c>
      <c r="T383" s="99">
        <f>IF(OR(ISBLANK(T369),T369=0),0,Q383*L383*L369)</f>
        <v>0</v>
      </c>
      <c r="U383" s="1367" t="str">
        <f>IF(K383="","",IF(COUNTIF(N430:U430,SUBSTITUTE(TRIM(K383)," (s)",""))+COUNTIF(N432:U432,SUBSTITUTE(TRIM(K383)," (s)",""))&gt;0,IF(ROUND(T383,3)&gt;=1,ROUND(T383,3)&amp;" L",MAX(1,ROUND(T383*100,0))&amp;" cl"),IF(COUNTIF(G430:L430,SUBSTITUTE(TRIM(K383)," (s)",""))+COUNTIF(G432:L432,SUBSTITUTE(TRIM(K383)," (s)",""))&gt;0,IF(ROUND(T383,3)&gt;=1,ROUND(T383,3)&amp;" Kg",MAX(1,ROUND(T383*1000,0))&amp;" g"),"")))</f>
        <v/>
      </c>
      <c r="W383" s="103" t="str">
        <f t="shared" si="91"/>
        <v>►</v>
      </c>
      <c r="X383" s="31" t="str">
        <f>X370</f>
        <v>N NAME OF YOUR RECIPE | paste it — FAMILY|  Author &gt; YOU</v>
      </c>
      <c r="Y383" s="32">
        <f>Y370</f>
        <v>1</v>
      </c>
      <c r="Z383" s="31" t="str">
        <f>Z370</f>
        <v>coupe</v>
      </c>
      <c r="AA383" s="33" t="str">
        <f>AA370</f>
        <v>Master recipe ► MILLE-FEUILLE  aux fraises des bois</v>
      </c>
      <c r="AB383" s="89"/>
      <c r="AC383" s="108"/>
      <c r="AD383" s="91" t="str">
        <f t="shared" si="86"/>
        <v/>
      </c>
      <c r="AE383" s="92"/>
      <c r="AF383" s="128"/>
      <c r="AG383" s="130">
        <v>1</v>
      </c>
      <c r="AH383" s="1813" t="str">
        <f>ROWS(AH374:AH383)&amp;" ►"</f>
        <v>10 ►</v>
      </c>
      <c r="AI383" s="1580"/>
      <c r="AJ383" s="95">
        <f>IF(AL429=0,0,(AL383/AL429)*AK373*1000)</f>
        <v>0</v>
      </c>
      <c r="AK383" s="105">
        <f>IF(AL429=0, 0, (AB383*AG383)/(AL429*AK373))</f>
        <v>0</v>
      </c>
      <c r="AL383" s="97" cm="1">
        <f t="array" ref="AL383">IFERROR(_xlfn.XLOOKUP(UPPER(TRIM(AF383)),UPPER(TRIM(AB430:AP430)),AB431:AP431,_xlfn.XLOOKUP(UPPER(TRIM(AF383)),UPPER(TRIM(AB432:AP432)),AB433:AP433,0))*AE383*IF(AB383&gt;0,AB383,1),0)</f>
        <v>0</v>
      </c>
      <c r="AM383" s="106">
        <f>IF(AO369&lt;&gt;0,AB383*AG383*AG369,0)</f>
        <v>0</v>
      </c>
      <c r="AN383" s="1747">
        <f t="shared" si="89"/>
        <v>0</v>
      </c>
      <c r="AO383" s="99">
        <f>IF(OR(ISBLANK(AO369),AO369=0),0,AL383*AG383*AG369)</f>
        <v>0</v>
      </c>
      <c r="AP383" s="1367" t="str">
        <f>IF(AF383="","",IF(COUNTIF(AI430:AP430,SUBSTITUTE(TRIM(AF383)," (s)",""))+COUNTIF(AI432:AP432,SUBSTITUTE(TRIM(AF383)," (s)",""))&gt;0,IF(ROUND(AO383,3)&gt;=1,ROUND(AO383,3)&amp;" L",MAX(1,ROUND(AO383*100,0))&amp;" cl"),IF(COUNTIF(AB430:AG430,SUBSTITUTE(TRIM(AF383)," (s)",""))+COUNTIF(AB432:AG432,SUBSTITUTE(TRIM(AF383)," (s)",""))&gt;0,IF(ROUND(AO383,3)&gt;=1,ROUND(AO383,3)&amp;" Kg",MAX(1,ROUND(AO383*1000,0))&amp;" g"),"")))</f>
        <v/>
      </c>
      <c r="AR383" s="103" t="str">
        <f t="shared" si="92"/>
        <v>►</v>
      </c>
      <c r="AS383" s="31" t="str">
        <f>AS370</f>
        <v>N NOMBRE DE SU RECETA | pegue esto — FAMILIA| Auteur &gt; VOUS</v>
      </c>
      <c r="AT383" s="32">
        <f>AT370</f>
        <v>1</v>
      </c>
      <c r="AU383" s="31" t="str">
        <f>AU370</f>
        <v>coupe</v>
      </c>
      <c r="AV383" s="33" t="str">
        <f>AV370</f>
        <v>Receta madre ► MILLE-FEUILLE  aux fraises des bois</v>
      </c>
      <c r="AW383" s="89"/>
      <c r="AX383" s="108"/>
      <c r="AY383" s="91" t="str">
        <f t="shared" si="87"/>
        <v/>
      </c>
      <c r="AZ383" s="92"/>
      <c r="BA383" s="128"/>
      <c r="BB383" s="130">
        <v>1</v>
      </c>
      <c r="BC383" s="1813" t="str">
        <f>ROWS(BC374:BC383)&amp;" ►"</f>
        <v>10 ►</v>
      </c>
      <c r="BD383" s="1580"/>
      <c r="BE383" s="95">
        <f>IF(BG429=0,0,(BG383/BG429)*BF373*1000)</f>
        <v>0</v>
      </c>
      <c r="BF383" s="105">
        <f>IF(BG429=0, 0, (AW383*BB383)/(BG429*BF373))</f>
        <v>0</v>
      </c>
      <c r="BG383" s="97" cm="1">
        <f t="array" ref="BG383">IFERROR(_xlfn.XLOOKUP(UPPER(TRIM(BA383)),UPPER(TRIM(AW430:BK430)),AW431:BK431,_xlfn.XLOOKUP(UPPER(TRIM(BA383)),UPPER(TRIM(AW432:BK432)),AW433:BK433,0))*AZ383*IF(AW383&gt;0,AW383,1),0)</f>
        <v>0</v>
      </c>
      <c r="BH383" s="106">
        <f>IF(BJ369&lt;&gt;0,AW383*BB383*BB369,0)</f>
        <v>0</v>
      </c>
      <c r="BI383" s="1747">
        <f t="shared" si="90"/>
        <v>0</v>
      </c>
      <c r="BJ383" s="99">
        <f>IF(OR(ISBLANK(BJ369),BJ369=0),0,BG383*BB383*BB369)</f>
        <v>0</v>
      </c>
      <c r="BK383" s="1367" t="str">
        <f>IF(BA383="","",IF(COUNTIF(BD430:BK430,SUBSTITUTE(TRIM(BA383)," (s)",""))+COUNTIF(BD432:BK432,SUBSTITUTE(TRIM(BA383)," (s)",""))&gt;0,IF(ROUND(BJ383,3)&gt;=1,ROUND(BJ383,3)&amp;" L",MAX(1,ROUND(BJ383*100,0))&amp;" cl"),IF(COUNTIF(AW430:BB430,SUBSTITUTE(TRIM(BA383)," (s)",""))+COUNTIF(AW432:BB432,SUBSTITUTE(TRIM(BA383)," (s)",""))&gt;0,IF(ROUND(BJ383,3)&gt;=1,ROUND(BJ383,3)&amp;" Kg",MAX(1,ROUND(BJ383*1000,0))&amp;" g"),"")))</f>
        <v/>
      </c>
      <c r="BM383" s="3">
        <v>1</v>
      </c>
    </row>
    <row r="384" spans="2:65" ht="21" customHeight="1">
      <c r="B384" s="103" t="str">
        <f t="shared" si="93"/>
        <v>►</v>
      </c>
      <c r="C384" s="31" t="str">
        <f>C370</f>
        <v>MAJUSCULE(GAUCHE(J21;1))&amp;" "&amp;J21&amp;" | "&amp;S21&amp;"| "&amp;J23&amp;" "&amp;K23</v>
      </c>
      <c r="D384" s="32">
        <f>D370</f>
        <v>1</v>
      </c>
      <c r="E384" s="31" t="str">
        <f>E370</f>
        <v>coupe</v>
      </c>
      <c r="F384" s="33" t="str">
        <f>F370</f>
        <v>Recette mère ► MILLE-FEUILLE  aux fraises des bois</v>
      </c>
      <c r="G384" s="89"/>
      <c r="H384" s="108"/>
      <c r="I384" s="91" t="str">
        <f t="shared" si="85"/>
        <v/>
      </c>
      <c r="J384" s="92"/>
      <c r="K384" s="128"/>
      <c r="L384" s="130">
        <v>1</v>
      </c>
      <c r="M384" s="1813" t="str">
        <f>ROWS(M374:M384)&amp;" ►"</f>
        <v>11 ►</v>
      </c>
      <c r="N384" s="1580"/>
      <c r="O384" s="95">
        <f>IF(Q429=0,0,(Q384/Q429)*P373*1000)</f>
        <v>0</v>
      </c>
      <c r="P384" s="105">
        <f>IF(Q429=0, 0, (G384*L384)/(Q429*P373))</f>
        <v>0</v>
      </c>
      <c r="Q384" s="97" cm="1">
        <f t="array" ref="Q384">IFERROR(_xlfn.XLOOKUP(UPPER(TRIM(K384)),UPPER(TRIM(G430:U430)),G431:U431,_xlfn.XLOOKUP(UPPER(TRIM(K384)),UPPER(TRIM(G432:U432)),G433:U433,0))*J384*IF(G384&gt;0,G384,1),0)</f>
        <v>0</v>
      </c>
      <c r="R384" s="110">
        <f>IF(T369&lt;&gt;0,G384*L384*L369,0)</f>
        <v>0</v>
      </c>
      <c r="S384" s="1748">
        <f t="shared" si="88"/>
        <v>0</v>
      </c>
      <c r="T384" s="99">
        <f>IF(OR(ISBLANK(T369),T369=0),0,Q384*L384*L369)</f>
        <v>0</v>
      </c>
      <c r="U384" s="1617" t="str">
        <f>IF(K384="","",IF(COUNTIF(N430:U430,SUBSTITUTE(TRIM(K384)," (s)",""))+COUNTIF(N432:U432,SUBSTITUTE(TRIM(K384)," (s)",""))&gt;0,IF(ROUND(T384,3)&gt;=1,ROUND(T384,3)&amp;" L",MAX(1,ROUND(T384*100,0))&amp;" cl"),IF(COUNTIF(G430:L430,SUBSTITUTE(TRIM(K384)," (s)",""))+COUNTIF(G432:L432,SUBSTITUTE(TRIM(K384)," (s)",""))&gt;0,IF(ROUND(T384,3)&gt;=1,ROUND(T384,3)&amp;" Kg",MAX(1,ROUND(T384*1000,0))&amp;" g"),"")))</f>
        <v/>
      </c>
      <c r="W384" s="103" t="str">
        <f t="shared" si="91"/>
        <v>►</v>
      </c>
      <c r="X384" s="31" t="str">
        <f>X370</f>
        <v>N NAME OF YOUR RECIPE | paste it — FAMILY|  Author &gt; YOU</v>
      </c>
      <c r="Y384" s="32">
        <f>Y370</f>
        <v>1</v>
      </c>
      <c r="Z384" s="31" t="str">
        <f>Z370</f>
        <v>coupe</v>
      </c>
      <c r="AA384" s="33" t="str">
        <f>AA370</f>
        <v>Master recipe ► MILLE-FEUILLE  aux fraises des bois</v>
      </c>
      <c r="AB384" s="89"/>
      <c r="AC384" s="108"/>
      <c r="AD384" s="91" t="str">
        <f t="shared" si="86"/>
        <v/>
      </c>
      <c r="AE384" s="92"/>
      <c r="AF384" s="128"/>
      <c r="AG384" s="130">
        <v>1</v>
      </c>
      <c r="AH384" s="1813" t="str">
        <f>ROWS(AH374:AH384)&amp;" ►"</f>
        <v>11 ►</v>
      </c>
      <c r="AI384" s="1580"/>
      <c r="AJ384" s="95">
        <f>IF(AL429=0,0,(AL384/AL429)*AK373*1000)</f>
        <v>0</v>
      </c>
      <c r="AK384" s="105">
        <f>IF(AL429=0, 0, (AB384*AG384)/(AL429*AK373))</f>
        <v>0</v>
      </c>
      <c r="AL384" s="97" cm="1">
        <f t="array" ref="AL384">IFERROR(_xlfn.XLOOKUP(UPPER(TRIM(AF384)),UPPER(TRIM(AB430:AP430)),AB431:AP431,_xlfn.XLOOKUP(UPPER(TRIM(AF384)),UPPER(TRIM(AB432:AP432)),AB433:AP433,0))*AE384*IF(AB384&gt;0,AB384,1),0)</f>
        <v>0</v>
      </c>
      <c r="AM384" s="110">
        <f>IF(AO369&lt;&gt;0,AB384*AG384*AG369,0)</f>
        <v>0</v>
      </c>
      <c r="AN384" s="1748">
        <f t="shared" si="89"/>
        <v>0</v>
      </c>
      <c r="AO384" s="99">
        <f>IF(OR(ISBLANK(AO369),AO369=0),0,AL384*AG384*AG369)</f>
        <v>0</v>
      </c>
      <c r="AP384" s="1617" t="str">
        <f>IF(AF384="","",IF(COUNTIF(AI430:AP430,SUBSTITUTE(TRIM(AF384)," (s)",""))+COUNTIF(AI432:AP432,SUBSTITUTE(TRIM(AF384)," (s)",""))&gt;0,IF(ROUND(AO384,3)&gt;=1,ROUND(AO384,3)&amp;" L",MAX(1,ROUND(AO384*100,0))&amp;" cl"),IF(COUNTIF(AB430:AG430,SUBSTITUTE(TRIM(AF384)," (s)",""))+COUNTIF(AB432:AG432,SUBSTITUTE(TRIM(AF384)," (s)",""))&gt;0,IF(ROUND(AO384,3)&gt;=1,ROUND(AO384,3)&amp;" Kg",MAX(1,ROUND(AO384*1000,0))&amp;" g"),"")))</f>
        <v/>
      </c>
      <c r="AR384" s="103" t="str">
        <f t="shared" si="92"/>
        <v>►</v>
      </c>
      <c r="AS384" s="31" t="str">
        <f>AS370</f>
        <v>N NOMBRE DE SU RECETA | pegue esto — FAMILIA| Auteur &gt; VOUS</v>
      </c>
      <c r="AT384" s="32">
        <f>AT370</f>
        <v>1</v>
      </c>
      <c r="AU384" s="31" t="str">
        <f>AU370</f>
        <v>coupe</v>
      </c>
      <c r="AV384" s="33" t="str">
        <f>AV370</f>
        <v>Receta madre ► MILLE-FEUILLE  aux fraises des bois</v>
      </c>
      <c r="AW384" s="89"/>
      <c r="AX384" s="108"/>
      <c r="AY384" s="91" t="str">
        <f t="shared" si="87"/>
        <v/>
      </c>
      <c r="AZ384" s="92"/>
      <c r="BA384" s="128"/>
      <c r="BB384" s="130">
        <v>1</v>
      </c>
      <c r="BC384" s="1813" t="str">
        <f>ROWS(BC374:BC384)&amp;" ►"</f>
        <v>11 ►</v>
      </c>
      <c r="BD384" s="1580"/>
      <c r="BE384" s="95">
        <f>IF(BG429=0,0,(BG384/BG429)*BF373*1000)</f>
        <v>0</v>
      </c>
      <c r="BF384" s="105">
        <f>IF(BG429=0, 0, (AW384*BB384)/(BG429*BF373))</f>
        <v>0</v>
      </c>
      <c r="BG384" s="97" cm="1">
        <f t="array" ref="BG384">IFERROR(_xlfn.XLOOKUP(UPPER(TRIM(BA384)),UPPER(TRIM(AW430:BK430)),AW431:BK431,_xlfn.XLOOKUP(UPPER(TRIM(BA384)),UPPER(TRIM(AW432:BK432)),AW433:BK433,0))*AZ384*IF(AW384&gt;0,AW384,1),0)</f>
        <v>0</v>
      </c>
      <c r="BH384" s="110">
        <f>IF(BJ369&lt;&gt;0,AW384*BB384*BB369,0)</f>
        <v>0</v>
      </c>
      <c r="BI384" s="1748">
        <f t="shared" si="90"/>
        <v>0</v>
      </c>
      <c r="BJ384" s="99">
        <f>IF(OR(ISBLANK(BJ369),BJ369=0),0,BG384*BB384*BB369)</f>
        <v>0</v>
      </c>
      <c r="BK384" s="1617" t="str">
        <f>IF(BA384="","",IF(COUNTIF(BD430:BK430,SUBSTITUTE(TRIM(BA384)," (s)",""))+COUNTIF(BD432:BK432,SUBSTITUTE(TRIM(BA384)," (s)",""))&gt;0,IF(ROUND(BJ384,3)&gt;=1,ROUND(BJ384,3)&amp;" L",MAX(1,ROUND(BJ384*100,0))&amp;" cl"),IF(COUNTIF(AW430:BB430,SUBSTITUTE(TRIM(BA384)," (s)",""))+COUNTIF(AW432:BB432,SUBSTITUTE(TRIM(BA384)," (s)",""))&gt;0,IF(ROUND(BJ384,3)&gt;=1,ROUND(BJ384,3)&amp;" Kg",MAX(1,ROUND(BJ384*1000,0))&amp;" g"),"")))</f>
        <v/>
      </c>
      <c r="BM384" s="3">
        <v>1</v>
      </c>
    </row>
    <row r="385" spans="2:65" ht="21" customHeight="1">
      <c r="B385" s="103" t="str">
        <f t="shared" si="93"/>
        <v>►</v>
      </c>
      <c r="C385" s="31" t="str">
        <f>C370</f>
        <v>MAJUSCULE(GAUCHE(J21;1))&amp;" "&amp;J21&amp;" | "&amp;S21&amp;"| "&amp;J23&amp;" "&amp;K23</v>
      </c>
      <c r="D385" s="32">
        <f>D370</f>
        <v>1</v>
      </c>
      <c r="E385" s="31" t="str">
        <f>E370</f>
        <v>coupe</v>
      </c>
      <c r="F385" s="33" t="str">
        <f>F370</f>
        <v>Recette mère ► MILLE-FEUILLE  aux fraises des bois</v>
      </c>
      <c r="G385" s="89"/>
      <c r="H385" s="108"/>
      <c r="I385" s="91" t="str">
        <f t="shared" si="85"/>
        <v/>
      </c>
      <c r="J385" s="92"/>
      <c r="K385" s="128"/>
      <c r="L385" s="130">
        <v>1</v>
      </c>
      <c r="M385" s="1813" t="str">
        <f>ROWS(M374:M385)&amp;" ►"</f>
        <v>12 ►</v>
      </c>
      <c r="N385" s="1580"/>
      <c r="O385" s="95">
        <f>IF(Q429=0,0,(Q385/Q429)*P373*1000)</f>
        <v>0</v>
      </c>
      <c r="P385" s="105">
        <f>IF(Q429=0, 0, (G385*L385)/(Q429*P373))</f>
        <v>0</v>
      </c>
      <c r="Q385" s="97" cm="1">
        <f t="array" ref="Q385">IFERROR(_xlfn.XLOOKUP(UPPER(TRIM(K385)),UPPER(TRIM(G430:U430)),G431:U431,_xlfn.XLOOKUP(UPPER(TRIM(K385)),UPPER(TRIM(G432:U432)),G433:U433,0))*J385*IF(G385&gt;0,G385,1),0)</f>
        <v>0</v>
      </c>
      <c r="R385" s="106">
        <f>IF(T369&lt;&gt;0,G385*L385*L369,0)</f>
        <v>0</v>
      </c>
      <c r="S385" s="1747">
        <f t="shared" si="88"/>
        <v>0</v>
      </c>
      <c r="T385" s="99">
        <f>IF(OR(ISBLANK(T369),T369=0),0,Q385*L385*L369)</f>
        <v>0</v>
      </c>
      <c r="U385" s="1367" t="str">
        <f>IF(K385="","",IF(COUNTIF(N430:U430,SUBSTITUTE(TRIM(K385)," (s)",""))+COUNTIF(N432:U432,SUBSTITUTE(TRIM(K385)," (s)",""))&gt;0,IF(ROUND(T385,3)&gt;=1,ROUND(T385,3)&amp;" L",MAX(1,ROUND(T385*100,0))&amp;" cl"),IF(COUNTIF(G430:L430,SUBSTITUTE(TRIM(K385)," (s)",""))+COUNTIF(G432:L432,SUBSTITUTE(TRIM(K385)," (s)",""))&gt;0,IF(ROUND(T385,3)&gt;=1,ROUND(T385,3)&amp;" Kg",MAX(1,ROUND(T385*1000,0))&amp;" g"),"")))</f>
        <v/>
      </c>
      <c r="W385" s="103" t="str">
        <f t="shared" si="91"/>
        <v>►</v>
      </c>
      <c r="X385" s="31" t="str">
        <f>X370</f>
        <v>N NAME OF YOUR RECIPE | paste it — FAMILY|  Author &gt; YOU</v>
      </c>
      <c r="Y385" s="32">
        <f>Y370</f>
        <v>1</v>
      </c>
      <c r="Z385" s="31" t="str">
        <f>Z370</f>
        <v>coupe</v>
      </c>
      <c r="AA385" s="33" t="str">
        <f>AA370</f>
        <v>Master recipe ► MILLE-FEUILLE  aux fraises des bois</v>
      </c>
      <c r="AB385" s="89"/>
      <c r="AC385" s="108"/>
      <c r="AD385" s="91" t="str">
        <f t="shared" si="86"/>
        <v/>
      </c>
      <c r="AE385" s="92"/>
      <c r="AF385" s="128"/>
      <c r="AG385" s="130">
        <v>1</v>
      </c>
      <c r="AH385" s="1813" t="str">
        <f>ROWS(AH374:AH385)&amp;" ►"</f>
        <v>12 ►</v>
      </c>
      <c r="AI385" s="1580"/>
      <c r="AJ385" s="95">
        <f>IF(AL429=0,0,(AL385/AL429)*AK373*1000)</f>
        <v>0</v>
      </c>
      <c r="AK385" s="105">
        <f>IF(AL429=0, 0, (AB385*AG385)/(AL429*AK373))</f>
        <v>0</v>
      </c>
      <c r="AL385" s="97" cm="1">
        <f t="array" ref="AL385">IFERROR(_xlfn.XLOOKUP(UPPER(TRIM(AF385)),UPPER(TRIM(AB430:AP430)),AB431:AP431,_xlfn.XLOOKUP(UPPER(TRIM(AF385)),UPPER(TRIM(AB432:AP432)),AB433:AP433,0))*AE385*IF(AB385&gt;0,AB385,1),0)</f>
        <v>0</v>
      </c>
      <c r="AM385" s="106">
        <f>IF(AO369&lt;&gt;0,AB385*AG385*AG369,0)</f>
        <v>0</v>
      </c>
      <c r="AN385" s="1747">
        <f t="shared" si="89"/>
        <v>0</v>
      </c>
      <c r="AO385" s="99">
        <f>IF(OR(ISBLANK(AO369),AO369=0),0,AL385*AG385*AG369)</f>
        <v>0</v>
      </c>
      <c r="AP385" s="1367" t="str">
        <f>IF(AF385="","",IF(COUNTIF(AI430:AP430,SUBSTITUTE(TRIM(AF385)," (s)",""))+COUNTIF(AI432:AP432,SUBSTITUTE(TRIM(AF385)," (s)",""))&gt;0,IF(ROUND(AO385,3)&gt;=1,ROUND(AO385,3)&amp;" L",MAX(1,ROUND(AO385*100,0))&amp;" cl"),IF(COUNTIF(AB430:AG430,SUBSTITUTE(TRIM(AF385)," (s)",""))+COUNTIF(AB432:AG432,SUBSTITUTE(TRIM(AF385)," (s)",""))&gt;0,IF(ROUND(AO385,3)&gt;=1,ROUND(AO385,3)&amp;" Kg",MAX(1,ROUND(AO385*1000,0))&amp;" g"),"")))</f>
        <v/>
      </c>
      <c r="AR385" s="103" t="str">
        <f t="shared" si="92"/>
        <v>►</v>
      </c>
      <c r="AS385" s="31" t="str">
        <f>AS370</f>
        <v>N NOMBRE DE SU RECETA | pegue esto — FAMILIA| Auteur &gt; VOUS</v>
      </c>
      <c r="AT385" s="32">
        <f>AT370</f>
        <v>1</v>
      </c>
      <c r="AU385" s="31" t="str">
        <f>AU370</f>
        <v>coupe</v>
      </c>
      <c r="AV385" s="33" t="str">
        <f>AV370</f>
        <v>Receta madre ► MILLE-FEUILLE  aux fraises des bois</v>
      </c>
      <c r="AW385" s="89"/>
      <c r="AX385" s="108"/>
      <c r="AY385" s="91" t="str">
        <f t="shared" si="87"/>
        <v/>
      </c>
      <c r="AZ385" s="92"/>
      <c r="BA385" s="128"/>
      <c r="BB385" s="130">
        <v>1</v>
      </c>
      <c r="BC385" s="1813" t="str">
        <f>ROWS(BC374:BC385)&amp;" ►"</f>
        <v>12 ►</v>
      </c>
      <c r="BD385" s="1580"/>
      <c r="BE385" s="95">
        <f>IF(BG429=0,0,(BG385/BG429)*BF373*1000)</f>
        <v>0</v>
      </c>
      <c r="BF385" s="105">
        <f>IF(BG429=0, 0, (AW385*BB385)/(BG429*BF373))</f>
        <v>0</v>
      </c>
      <c r="BG385" s="97" cm="1">
        <f t="array" ref="BG385">IFERROR(_xlfn.XLOOKUP(UPPER(TRIM(BA385)),UPPER(TRIM(AW430:BK430)),AW431:BK431,_xlfn.XLOOKUP(UPPER(TRIM(BA385)),UPPER(TRIM(AW432:BK432)),AW433:BK433,0))*AZ385*IF(AW385&gt;0,AW385,1),0)</f>
        <v>0</v>
      </c>
      <c r="BH385" s="106">
        <f>IF(BJ369&lt;&gt;0,AW385*BB385*BB369,0)</f>
        <v>0</v>
      </c>
      <c r="BI385" s="1747">
        <f t="shared" si="90"/>
        <v>0</v>
      </c>
      <c r="BJ385" s="99">
        <f>IF(OR(ISBLANK(BJ369),BJ369=0),0,BG385*BB385*BB369)</f>
        <v>0</v>
      </c>
      <c r="BK385" s="1367" t="str">
        <f>IF(BA385="","",IF(COUNTIF(BD430:BK430,SUBSTITUTE(TRIM(BA385)," (s)",""))+COUNTIF(BD432:BK432,SUBSTITUTE(TRIM(BA385)," (s)",""))&gt;0,IF(ROUND(BJ385,3)&gt;=1,ROUND(BJ385,3)&amp;" L",MAX(1,ROUND(BJ385*100,0))&amp;" cl"),IF(COUNTIF(AW430:BB430,SUBSTITUTE(TRIM(BA385)," (s)",""))+COUNTIF(AW432:BB432,SUBSTITUTE(TRIM(BA385)," (s)",""))&gt;0,IF(ROUND(BJ385,3)&gt;=1,ROUND(BJ385,3)&amp;" Kg",MAX(1,ROUND(BJ385*1000,0))&amp;" g"),"")))</f>
        <v/>
      </c>
      <c r="BM385" s="3">
        <v>1</v>
      </c>
    </row>
    <row r="386" spans="2:65" ht="21" customHeight="1">
      <c r="B386" s="103" t="str">
        <f t="shared" si="93"/>
        <v>►</v>
      </c>
      <c r="C386" s="31" t="str">
        <f>C370</f>
        <v>MAJUSCULE(GAUCHE(J21;1))&amp;" "&amp;J21&amp;" | "&amp;S21&amp;"| "&amp;J23&amp;" "&amp;K23</v>
      </c>
      <c r="D386" s="32">
        <f>D370</f>
        <v>1</v>
      </c>
      <c r="E386" s="31" t="str">
        <f>E370</f>
        <v>coupe</v>
      </c>
      <c r="F386" s="33" t="str">
        <f>F370</f>
        <v>Recette mère ► MILLE-FEUILLE  aux fraises des bois</v>
      </c>
      <c r="G386" s="89"/>
      <c r="H386" s="108"/>
      <c r="I386" s="91" t="str">
        <f t="shared" si="85"/>
        <v/>
      </c>
      <c r="J386" s="92"/>
      <c r="K386" s="128"/>
      <c r="L386" s="130">
        <v>1</v>
      </c>
      <c r="M386" s="1813" t="str">
        <f>ROWS(M374:M386)&amp;" ►"</f>
        <v>13 ►</v>
      </c>
      <c r="N386" s="1580"/>
      <c r="O386" s="95">
        <f>IF(Q429=0,0,(Q386/Q429)*P373*1000)</f>
        <v>0</v>
      </c>
      <c r="P386" s="105">
        <f>IF(Q429=0, 0, (G386*L386)/(Q429*P373))</f>
        <v>0</v>
      </c>
      <c r="Q386" s="97" cm="1">
        <f t="array" ref="Q386">IFERROR(_xlfn.XLOOKUP(UPPER(TRIM(K386)),UPPER(TRIM(G430:U430)),G431:U431,_xlfn.XLOOKUP(UPPER(TRIM(K386)),UPPER(TRIM(G432:U432)),G433:U433,0))*J386*IF(G386&gt;0,G386,1),0)</f>
        <v>0</v>
      </c>
      <c r="R386" s="110">
        <f>IF(T369&lt;&gt;0,G386*L386*L369,0)</f>
        <v>0</v>
      </c>
      <c r="S386" s="1748">
        <f t="shared" si="88"/>
        <v>0</v>
      </c>
      <c r="T386" s="99">
        <f>IF(OR(ISBLANK(T369),T369=0),0,Q386*L386*L369)</f>
        <v>0</v>
      </c>
      <c r="U386" s="1617" t="str">
        <f>IF(K386="","",IF(COUNTIF(N430:U430,SUBSTITUTE(TRIM(K386)," (s)",""))+COUNTIF(N432:U432,SUBSTITUTE(TRIM(K386)," (s)",""))&gt;0,IF(ROUND(T386,3)&gt;=1,ROUND(T386,3)&amp;" L",MAX(1,ROUND(T386*100,0))&amp;" cl"),IF(COUNTIF(G430:L430,SUBSTITUTE(TRIM(K386)," (s)",""))+COUNTIF(G432:L432,SUBSTITUTE(TRIM(K386)," (s)",""))&gt;0,IF(ROUND(T386,3)&gt;=1,ROUND(T386,3)&amp;" Kg",MAX(1,ROUND(T386*1000,0))&amp;" g"),"")))</f>
        <v/>
      </c>
      <c r="W386" s="103" t="str">
        <f t="shared" si="91"/>
        <v>►</v>
      </c>
      <c r="X386" s="31" t="str">
        <f>X370</f>
        <v>N NAME OF YOUR RECIPE | paste it — FAMILY|  Author &gt; YOU</v>
      </c>
      <c r="Y386" s="32">
        <f>Y370</f>
        <v>1</v>
      </c>
      <c r="Z386" s="31" t="str">
        <f>Z370</f>
        <v>coupe</v>
      </c>
      <c r="AA386" s="33" t="str">
        <f>AA370</f>
        <v>Master recipe ► MILLE-FEUILLE  aux fraises des bois</v>
      </c>
      <c r="AB386" s="89"/>
      <c r="AC386" s="108"/>
      <c r="AD386" s="91" t="str">
        <f t="shared" si="86"/>
        <v/>
      </c>
      <c r="AE386" s="92"/>
      <c r="AF386" s="128"/>
      <c r="AG386" s="130">
        <v>1</v>
      </c>
      <c r="AH386" s="1813" t="str">
        <f>ROWS(AH374:AH386)&amp;" ►"</f>
        <v>13 ►</v>
      </c>
      <c r="AI386" s="1580"/>
      <c r="AJ386" s="95">
        <f>IF(AL429=0,0,(AL386/AL429)*AK373*1000)</f>
        <v>0</v>
      </c>
      <c r="AK386" s="105">
        <f>IF(AL429=0, 0, (AB386*AG386)/(AL429*AK373))</f>
        <v>0</v>
      </c>
      <c r="AL386" s="97" cm="1">
        <f t="array" ref="AL386">IFERROR(_xlfn.XLOOKUP(UPPER(TRIM(AF386)),UPPER(TRIM(AB430:AP430)),AB431:AP431,_xlfn.XLOOKUP(UPPER(TRIM(AF386)),UPPER(TRIM(AB432:AP432)),AB433:AP433,0))*AE386*IF(AB386&gt;0,AB386,1),0)</f>
        <v>0</v>
      </c>
      <c r="AM386" s="110">
        <f>IF(AO369&lt;&gt;0,AB386*AG386*AG369,0)</f>
        <v>0</v>
      </c>
      <c r="AN386" s="1748">
        <f t="shared" si="89"/>
        <v>0</v>
      </c>
      <c r="AO386" s="99">
        <f>IF(OR(ISBLANK(AO369),AO369=0),0,AL386*AG386*AG369)</f>
        <v>0</v>
      </c>
      <c r="AP386" s="1617" t="str">
        <f>IF(AF386="","",IF(COUNTIF(AI430:AP430,SUBSTITUTE(TRIM(AF386)," (s)",""))+COUNTIF(AI432:AP432,SUBSTITUTE(TRIM(AF386)," (s)",""))&gt;0,IF(ROUND(AO386,3)&gt;=1,ROUND(AO386,3)&amp;" L",MAX(1,ROUND(AO386*100,0))&amp;" cl"),IF(COUNTIF(AB430:AG430,SUBSTITUTE(TRIM(AF386)," (s)",""))+COUNTIF(AB432:AG432,SUBSTITUTE(TRIM(AF386)," (s)",""))&gt;0,IF(ROUND(AO386,3)&gt;=1,ROUND(AO386,3)&amp;" Kg",MAX(1,ROUND(AO386*1000,0))&amp;" g"),"")))</f>
        <v/>
      </c>
      <c r="AR386" s="103" t="str">
        <f t="shared" si="92"/>
        <v>►</v>
      </c>
      <c r="AS386" s="31" t="str">
        <f>AS370</f>
        <v>N NOMBRE DE SU RECETA | pegue esto — FAMILIA| Auteur &gt; VOUS</v>
      </c>
      <c r="AT386" s="32">
        <f>AT370</f>
        <v>1</v>
      </c>
      <c r="AU386" s="31" t="str">
        <f>AU370</f>
        <v>coupe</v>
      </c>
      <c r="AV386" s="33" t="str">
        <f>AV370</f>
        <v>Receta madre ► MILLE-FEUILLE  aux fraises des bois</v>
      </c>
      <c r="AW386" s="89"/>
      <c r="AX386" s="108"/>
      <c r="AY386" s="91" t="str">
        <f t="shared" si="87"/>
        <v/>
      </c>
      <c r="AZ386" s="92"/>
      <c r="BA386" s="128"/>
      <c r="BB386" s="130">
        <v>1</v>
      </c>
      <c r="BC386" s="1813" t="str">
        <f>ROWS(BC374:BC386)&amp;" ►"</f>
        <v>13 ►</v>
      </c>
      <c r="BD386" s="1580"/>
      <c r="BE386" s="95">
        <f>IF(BG429=0,0,(BG386/BG429)*BF373*1000)</f>
        <v>0</v>
      </c>
      <c r="BF386" s="105">
        <f>IF(BG429=0, 0, (AW386*BB386)/(BG429*BF373))</f>
        <v>0</v>
      </c>
      <c r="BG386" s="97" cm="1">
        <f t="array" ref="BG386">IFERROR(_xlfn.XLOOKUP(UPPER(TRIM(BA386)),UPPER(TRIM(AW430:BK430)),AW431:BK431,_xlfn.XLOOKUP(UPPER(TRIM(BA386)),UPPER(TRIM(AW432:BK432)),AW433:BK433,0))*AZ386*IF(AW386&gt;0,AW386,1),0)</f>
        <v>0</v>
      </c>
      <c r="BH386" s="110">
        <f>IF(BJ369&lt;&gt;0,AW386*BB386*BB369,0)</f>
        <v>0</v>
      </c>
      <c r="BI386" s="1748">
        <f t="shared" si="90"/>
        <v>0</v>
      </c>
      <c r="BJ386" s="99">
        <f>IF(OR(ISBLANK(BJ369),BJ369=0),0,BG386*BB386*BB369)</f>
        <v>0</v>
      </c>
      <c r="BK386" s="1617" t="str">
        <f>IF(BA386="","",IF(COUNTIF(BD430:BK430,SUBSTITUTE(TRIM(BA386)," (s)",""))+COUNTIF(BD432:BK432,SUBSTITUTE(TRIM(BA386)," (s)",""))&gt;0,IF(ROUND(BJ386,3)&gt;=1,ROUND(BJ386,3)&amp;" L",MAX(1,ROUND(BJ386*100,0))&amp;" cl"),IF(COUNTIF(AW430:BB430,SUBSTITUTE(TRIM(BA386)," (s)",""))+COUNTIF(AW432:BB432,SUBSTITUTE(TRIM(BA386)," (s)",""))&gt;0,IF(ROUND(BJ386,3)&gt;=1,ROUND(BJ386,3)&amp;" Kg",MAX(1,ROUND(BJ386*1000,0))&amp;" g"),"")))</f>
        <v/>
      </c>
      <c r="BM386" s="3">
        <v>1</v>
      </c>
    </row>
    <row r="387" spans="2:65" ht="21" customHeight="1">
      <c r="B387" s="103" t="str">
        <f t="shared" si="93"/>
        <v>►</v>
      </c>
      <c r="C387" s="31" t="str">
        <f>C370</f>
        <v>MAJUSCULE(GAUCHE(J21;1))&amp;" "&amp;J21&amp;" | "&amp;S21&amp;"| "&amp;J23&amp;" "&amp;K23</v>
      </c>
      <c r="D387" s="32">
        <f>D370</f>
        <v>1</v>
      </c>
      <c r="E387" s="31" t="str">
        <f>E370</f>
        <v>coupe</v>
      </c>
      <c r="F387" s="33" t="str">
        <f>F370</f>
        <v>Recette mère ► MILLE-FEUILLE  aux fraises des bois</v>
      </c>
      <c r="G387" s="89"/>
      <c r="H387" s="108"/>
      <c r="I387" s="91" t="str">
        <f t="shared" si="85"/>
        <v/>
      </c>
      <c r="J387" s="92"/>
      <c r="K387" s="128"/>
      <c r="L387" s="130">
        <v>1</v>
      </c>
      <c r="M387" s="1813" t="str">
        <f>ROWS(M374:M387)&amp;" ►"</f>
        <v>14 ►</v>
      </c>
      <c r="N387" s="1580"/>
      <c r="O387" s="95">
        <f>IF(Q429=0,0,(Q387/Q429)*P373*1000)</f>
        <v>0</v>
      </c>
      <c r="P387" s="105">
        <f>IF(Q429=0, 0, (G387*L387)/(Q429*P373))</f>
        <v>0</v>
      </c>
      <c r="Q387" s="97" cm="1">
        <f t="array" ref="Q387">IFERROR(_xlfn.XLOOKUP(UPPER(TRIM(K387)),UPPER(TRIM(G430:U430)),G431:U431,_xlfn.XLOOKUP(UPPER(TRIM(K387)),UPPER(TRIM(G432:U432)),G433:U433,0))*J387*IF(G387&gt;0,G387,1),0)</f>
        <v>0</v>
      </c>
      <c r="R387" s="106">
        <f>IF(T369&lt;&gt;0,G387*L387*L369,0)</f>
        <v>0</v>
      </c>
      <c r="S387" s="1747">
        <f t="shared" si="88"/>
        <v>0</v>
      </c>
      <c r="T387" s="99">
        <f>IF(OR(ISBLANK(T369),T369=0),0,Q387*L387*L369)</f>
        <v>0</v>
      </c>
      <c r="U387" s="1367" t="str">
        <f>IF(K387="","",IF(COUNTIF(N430:U430,SUBSTITUTE(TRIM(K387)," (s)",""))+COUNTIF(N432:U432,SUBSTITUTE(TRIM(K387)," (s)",""))&gt;0,IF(ROUND(T387,3)&gt;=1,ROUND(T387,3)&amp;" L",MAX(1,ROUND(T387*100,0))&amp;" cl"),IF(COUNTIF(G430:L430,SUBSTITUTE(TRIM(K387)," (s)",""))+COUNTIF(G432:L432,SUBSTITUTE(TRIM(K387)," (s)",""))&gt;0,IF(ROUND(T387,3)&gt;=1,ROUND(T387,3)&amp;" Kg",MAX(1,ROUND(T387*1000,0))&amp;" g"),"")))</f>
        <v/>
      </c>
      <c r="W387" s="103" t="str">
        <f t="shared" si="91"/>
        <v>►</v>
      </c>
      <c r="X387" s="31" t="str">
        <f>X370</f>
        <v>N NAME OF YOUR RECIPE | paste it — FAMILY|  Author &gt; YOU</v>
      </c>
      <c r="Y387" s="32">
        <f>Y370</f>
        <v>1</v>
      </c>
      <c r="Z387" s="31" t="str">
        <f>Z370</f>
        <v>coupe</v>
      </c>
      <c r="AA387" s="33" t="str">
        <f>AA370</f>
        <v>Master recipe ► MILLE-FEUILLE  aux fraises des bois</v>
      </c>
      <c r="AB387" s="89"/>
      <c r="AC387" s="108"/>
      <c r="AD387" s="91" t="str">
        <f t="shared" si="86"/>
        <v/>
      </c>
      <c r="AE387" s="92"/>
      <c r="AF387" s="128"/>
      <c r="AG387" s="130">
        <v>1</v>
      </c>
      <c r="AH387" s="1813" t="str">
        <f>ROWS(AH374:AH387)&amp;" ►"</f>
        <v>14 ►</v>
      </c>
      <c r="AI387" s="1580"/>
      <c r="AJ387" s="95">
        <f>IF(AL429=0,0,(AL387/AL429)*AK373*1000)</f>
        <v>0</v>
      </c>
      <c r="AK387" s="105">
        <f>IF(AL429=0, 0, (AB387*AG387)/(AL429*AK373))</f>
        <v>0</v>
      </c>
      <c r="AL387" s="97" cm="1">
        <f t="array" ref="AL387">IFERROR(_xlfn.XLOOKUP(UPPER(TRIM(AF387)),UPPER(TRIM(AB430:AP430)),AB431:AP431,_xlfn.XLOOKUP(UPPER(TRIM(AF387)),UPPER(TRIM(AB432:AP432)),AB433:AP433,0))*AE387*IF(AB387&gt;0,AB387,1),0)</f>
        <v>0</v>
      </c>
      <c r="AM387" s="106">
        <f>IF(AO369&lt;&gt;0,AB387*AG387*AG369,0)</f>
        <v>0</v>
      </c>
      <c r="AN387" s="1747">
        <f t="shared" si="89"/>
        <v>0</v>
      </c>
      <c r="AO387" s="99">
        <f>IF(OR(ISBLANK(AO369),AO369=0),0,AL387*AG387*AG369)</f>
        <v>0</v>
      </c>
      <c r="AP387" s="1367" t="str">
        <f>IF(AF387="","",IF(COUNTIF(AI430:AP430,SUBSTITUTE(TRIM(AF387)," (s)",""))+COUNTIF(AI432:AP432,SUBSTITUTE(TRIM(AF387)," (s)",""))&gt;0,IF(ROUND(AO387,3)&gt;=1,ROUND(AO387,3)&amp;" L",MAX(1,ROUND(AO387*100,0))&amp;" cl"),IF(COUNTIF(AB430:AG430,SUBSTITUTE(TRIM(AF387)," (s)",""))+COUNTIF(AB432:AG432,SUBSTITUTE(TRIM(AF387)," (s)",""))&gt;0,IF(ROUND(AO387,3)&gt;=1,ROUND(AO387,3)&amp;" Kg",MAX(1,ROUND(AO387*1000,0))&amp;" g"),"")))</f>
        <v/>
      </c>
      <c r="AR387" s="103" t="str">
        <f t="shared" si="92"/>
        <v>►</v>
      </c>
      <c r="AS387" s="31" t="str">
        <f>AS370</f>
        <v>N NOMBRE DE SU RECETA | pegue esto — FAMILIA| Auteur &gt; VOUS</v>
      </c>
      <c r="AT387" s="32">
        <f>AT370</f>
        <v>1</v>
      </c>
      <c r="AU387" s="31" t="str">
        <f>AU370</f>
        <v>coupe</v>
      </c>
      <c r="AV387" s="33" t="str">
        <f>AV370</f>
        <v>Receta madre ► MILLE-FEUILLE  aux fraises des bois</v>
      </c>
      <c r="AW387" s="89"/>
      <c r="AX387" s="108"/>
      <c r="AY387" s="91" t="str">
        <f t="shared" si="87"/>
        <v/>
      </c>
      <c r="AZ387" s="92"/>
      <c r="BA387" s="128"/>
      <c r="BB387" s="130">
        <v>1</v>
      </c>
      <c r="BC387" s="1813" t="str">
        <f>ROWS(BC374:BC387)&amp;" ►"</f>
        <v>14 ►</v>
      </c>
      <c r="BD387" s="1580"/>
      <c r="BE387" s="95">
        <f>IF(BG429=0,0,(BG387/BG429)*BF373*1000)</f>
        <v>0</v>
      </c>
      <c r="BF387" s="105">
        <f>IF(BG429=0, 0, (AW387*BB387)/(BG429*BF373))</f>
        <v>0</v>
      </c>
      <c r="BG387" s="97" cm="1">
        <f t="array" ref="BG387">IFERROR(_xlfn.XLOOKUP(UPPER(TRIM(BA387)),UPPER(TRIM(AW430:BK430)),AW431:BK431,_xlfn.XLOOKUP(UPPER(TRIM(BA387)),UPPER(TRIM(AW432:BK432)),AW433:BK433,0))*AZ387*IF(AW387&gt;0,AW387,1),0)</f>
        <v>0</v>
      </c>
      <c r="BH387" s="106">
        <f>IF(BJ369&lt;&gt;0,AW387*BB387*BB369,0)</f>
        <v>0</v>
      </c>
      <c r="BI387" s="1747">
        <f t="shared" si="90"/>
        <v>0</v>
      </c>
      <c r="BJ387" s="99">
        <f>IF(OR(ISBLANK(BJ369),BJ369=0),0,BG387*BB387*BB369)</f>
        <v>0</v>
      </c>
      <c r="BK387" s="1367" t="str">
        <f>IF(BA387="","",IF(COUNTIF(BD430:BK430,SUBSTITUTE(TRIM(BA387)," (s)",""))+COUNTIF(BD432:BK432,SUBSTITUTE(TRIM(BA387)," (s)",""))&gt;0,IF(ROUND(BJ387,3)&gt;=1,ROUND(BJ387,3)&amp;" L",MAX(1,ROUND(BJ387*100,0))&amp;" cl"),IF(COUNTIF(AW430:BB430,SUBSTITUTE(TRIM(BA387)," (s)",""))+COUNTIF(AW432:BB432,SUBSTITUTE(TRIM(BA387)," (s)",""))&gt;0,IF(ROUND(BJ387,3)&gt;=1,ROUND(BJ387,3)&amp;" Kg",MAX(1,ROUND(BJ387*1000,0))&amp;" g"),"")))</f>
        <v/>
      </c>
      <c r="BM387" s="3">
        <v>1</v>
      </c>
    </row>
    <row r="388" spans="2:65" ht="21" customHeight="1">
      <c r="B388" s="103" t="str">
        <f t="shared" si="93"/>
        <v>►</v>
      </c>
      <c r="C388" s="31" t="str">
        <f>C370</f>
        <v>MAJUSCULE(GAUCHE(J21;1))&amp;" "&amp;J21&amp;" | "&amp;S21&amp;"| "&amp;J23&amp;" "&amp;K23</v>
      </c>
      <c r="D388" s="32">
        <f>D370</f>
        <v>1</v>
      </c>
      <c r="E388" s="31" t="str">
        <f>E370</f>
        <v>coupe</v>
      </c>
      <c r="F388" s="33" t="str">
        <f>F370</f>
        <v>Recette mère ► MILLE-FEUILLE  aux fraises des bois</v>
      </c>
      <c r="G388" s="89"/>
      <c r="H388" s="108"/>
      <c r="I388" s="91" t="str">
        <f t="shared" si="85"/>
        <v/>
      </c>
      <c r="J388" s="92"/>
      <c r="K388" s="128"/>
      <c r="L388" s="130">
        <v>1</v>
      </c>
      <c r="M388" s="1813" t="str">
        <f>ROWS(M374:M388)&amp;" ►"</f>
        <v>15 ►</v>
      </c>
      <c r="N388" s="1580"/>
      <c r="O388" s="95">
        <f>IF(Q429=0,0,(Q388/Q429)*P373*1000)</f>
        <v>0</v>
      </c>
      <c r="P388" s="105">
        <f>IF(Q429=0, 0, (G388*L388)/(Q429*P373))</f>
        <v>0</v>
      </c>
      <c r="Q388" s="97" cm="1">
        <f t="array" ref="Q388">IFERROR(_xlfn.XLOOKUP(UPPER(TRIM(K388)),UPPER(TRIM(G430:U430)),G431:U431,_xlfn.XLOOKUP(UPPER(TRIM(K388)),UPPER(TRIM(G432:U432)),G433:U433,0))*J388*IF(G388&gt;0,G388,1),0)</f>
        <v>0</v>
      </c>
      <c r="R388" s="110">
        <f>IF(T369&lt;&gt;0,G388*L388*L369,0)</f>
        <v>0</v>
      </c>
      <c r="S388" s="1748">
        <f t="shared" si="88"/>
        <v>0</v>
      </c>
      <c r="T388" s="99">
        <f>IF(OR(ISBLANK(T369),T369=0),0,Q388*L388*L369)</f>
        <v>0</v>
      </c>
      <c r="U388" s="1617" t="str">
        <f>IF(K388="","",IF(COUNTIF(N430:U430,SUBSTITUTE(TRIM(K388)," (s)",""))+COUNTIF(N432:U432,SUBSTITUTE(TRIM(K388)," (s)",""))&gt;0,IF(ROUND(T388,3)&gt;=1,ROUND(T388,3)&amp;" L",MAX(1,ROUND(T388*100,0))&amp;" cl"),IF(COUNTIF(G430:L430,SUBSTITUTE(TRIM(K388)," (s)",""))+COUNTIF(G432:L432,SUBSTITUTE(TRIM(K388)," (s)",""))&gt;0,IF(ROUND(T388,3)&gt;=1,ROUND(T388,3)&amp;" Kg",MAX(1,ROUND(T388*1000,0))&amp;" g"),"")))</f>
        <v/>
      </c>
      <c r="W388" s="103" t="str">
        <f t="shared" si="91"/>
        <v>►</v>
      </c>
      <c r="X388" s="31" t="str">
        <f>X370</f>
        <v>N NAME OF YOUR RECIPE | paste it — FAMILY|  Author &gt; YOU</v>
      </c>
      <c r="Y388" s="32">
        <f>Y370</f>
        <v>1</v>
      </c>
      <c r="Z388" s="31" t="str">
        <f>Z370</f>
        <v>coupe</v>
      </c>
      <c r="AA388" s="33" t="str">
        <f>AA370</f>
        <v>Master recipe ► MILLE-FEUILLE  aux fraises des bois</v>
      </c>
      <c r="AB388" s="89"/>
      <c r="AC388" s="108"/>
      <c r="AD388" s="91" t="str">
        <f t="shared" si="86"/>
        <v/>
      </c>
      <c r="AE388" s="92"/>
      <c r="AF388" s="128"/>
      <c r="AG388" s="130">
        <v>1</v>
      </c>
      <c r="AH388" s="1813" t="str">
        <f>ROWS(AH374:AH388)&amp;" ►"</f>
        <v>15 ►</v>
      </c>
      <c r="AI388" s="1580"/>
      <c r="AJ388" s="95">
        <f>IF(AL429=0,0,(AL388/AL429)*AK373*1000)</f>
        <v>0</v>
      </c>
      <c r="AK388" s="105">
        <f>IF(AL429=0, 0, (AB388*AG388)/(AL429*AK373))</f>
        <v>0</v>
      </c>
      <c r="AL388" s="97" cm="1">
        <f t="array" ref="AL388">IFERROR(_xlfn.XLOOKUP(UPPER(TRIM(AF388)),UPPER(TRIM(AB430:AP430)),AB431:AP431,_xlfn.XLOOKUP(UPPER(TRIM(AF388)),UPPER(TRIM(AB432:AP432)),AB433:AP433,0))*AE388*IF(AB388&gt;0,AB388,1),0)</f>
        <v>0</v>
      </c>
      <c r="AM388" s="110">
        <f>IF(AO369&lt;&gt;0,AB388*AG388*AG369,0)</f>
        <v>0</v>
      </c>
      <c r="AN388" s="1748">
        <f t="shared" si="89"/>
        <v>0</v>
      </c>
      <c r="AO388" s="99">
        <f>IF(OR(ISBLANK(AO369),AO369=0),0,AL388*AG388*AG369)</f>
        <v>0</v>
      </c>
      <c r="AP388" s="1617" t="str">
        <f>IF(AF388="","",IF(COUNTIF(AI430:AP430,SUBSTITUTE(TRIM(AF388)," (s)",""))+COUNTIF(AI432:AP432,SUBSTITUTE(TRIM(AF388)," (s)",""))&gt;0,IF(ROUND(AO388,3)&gt;=1,ROUND(AO388,3)&amp;" L",MAX(1,ROUND(AO388*100,0))&amp;" cl"),IF(COUNTIF(AB430:AG430,SUBSTITUTE(TRIM(AF388)," (s)",""))+COUNTIF(AB432:AG432,SUBSTITUTE(TRIM(AF388)," (s)",""))&gt;0,IF(ROUND(AO388,3)&gt;=1,ROUND(AO388,3)&amp;" Kg",MAX(1,ROUND(AO388*1000,0))&amp;" g"),"")))</f>
        <v/>
      </c>
      <c r="AR388" s="103" t="str">
        <f t="shared" si="92"/>
        <v>►</v>
      </c>
      <c r="AS388" s="31" t="str">
        <f>AS370</f>
        <v>N NOMBRE DE SU RECETA | pegue esto — FAMILIA| Auteur &gt; VOUS</v>
      </c>
      <c r="AT388" s="32">
        <f>AT370</f>
        <v>1</v>
      </c>
      <c r="AU388" s="31" t="str">
        <f>AU370</f>
        <v>coupe</v>
      </c>
      <c r="AV388" s="33" t="str">
        <f>AV370</f>
        <v>Receta madre ► MILLE-FEUILLE  aux fraises des bois</v>
      </c>
      <c r="AW388" s="89"/>
      <c r="AX388" s="108"/>
      <c r="AY388" s="91" t="str">
        <f t="shared" si="87"/>
        <v/>
      </c>
      <c r="AZ388" s="92"/>
      <c r="BA388" s="128"/>
      <c r="BB388" s="130">
        <v>1</v>
      </c>
      <c r="BC388" s="1813" t="str">
        <f>ROWS(BC374:BC388)&amp;" ►"</f>
        <v>15 ►</v>
      </c>
      <c r="BD388" s="1580"/>
      <c r="BE388" s="95">
        <f>IF(BG429=0,0,(BG388/BG429)*BF373*1000)</f>
        <v>0</v>
      </c>
      <c r="BF388" s="105">
        <f>IF(BG429=0, 0, (AW388*BB388)/(BG429*BF373))</f>
        <v>0</v>
      </c>
      <c r="BG388" s="97" cm="1">
        <f t="array" ref="BG388">IFERROR(_xlfn.XLOOKUP(UPPER(TRIM(BA388)),UPPER(TRIM(AW430:BK430)),AW431:BK431,_xlfn.XLOOKUP(UPPER(TRIM(BA388)),UPPER(TRIM(AW432:BK432)),AW433:BK433,0))*AZ388*IF(AW388&gt;0,AW388,1),0)</f>
        <v>0</v>
      </c>
      <c r="BH388" s="110">
        <f>IF(BJ369&lt;&gt;0,AW388*BB388*BB369,0)</f>
        <v>0</v>
      </c>
      <c r="BI388" s="1748">
        <f t="shared" si="90"/>
        <v>0</v>
      </c>
      <c r="BJ388" s="99">
        <f>IF(OR(ISBLANK(BJ369),BJ369=0),0,BG388*BB388*BB369)</f>
        <v>0</v>
      </c>
      <c r="BK388" s="1617" t="str">
        <f>IF(BA388="","",IF(COUNTIF(BD430:BK430,SUBSTITUTE(TRIM(BA388)," (s)",""))+COUNTIF(BD432:BK432,SUBSTITUTE(TRIM(BA388)," (s)",""))&gt;0,IF(ROUND(BJ388,3)&gt;=1,ROUND(BJ388,3)&amp;" L",MAX(1,ROUND(BJ388*100,0))&amp;" cl"),IF(COUNTIF(AW430:BB430,SUBSTITUTE(TRIM(BA388)," (s)",""))+COUNTIF(AW432:BB432,SUBSTITUTE(TRIM(BA388)," (s)",""))&gt;0,IF(ROUND(BJ388,3)&gt;=1,ROUND(BJ388,3)&amp;" Kg",MAX(1,ROUND(BJ388*1000,0))&amp;" g"),"")))</f>
        <v/>
      </c>
      <c r="BM388" s="3">
        <v>1</v>
      </c>
    </row>
    <row r="389" spans="2:65" ht="21" customHeight="1">
      <c r="B389" s="103" t="str">
        <f t="shared" si="93"/>
        <v>►</v>
      </c>
      <c r="C389" s="31" t="str">
        <f>C370</f>
        <v>MAJUSCULE(GAUCHE(J21;1))&amp;" "&amp;J21&amp;" | "&amp;S21&amp;"| "&amp;J23&amp;" "&amp;K23</v>
      </c>
      <c r="D389" s="32">
        <f>D370</f>
        <v>1</v>
      </c>
      <c r="E389" s="31" t="str">
        <f>E370</f>
        <v>coupe</v>
      </c>
      <c r="F389" s="33" t="str">
        <f>F370</f>
        <v>Recette mère ► MILLE-FEUILLE  aux fraises des bois</v>
      </c>
      <c r="G389" s="89"/>
      <c r="H389" s="108"/>
      <c r="I389" s="91" t="str">
        <f t="shared" si="85"/>
        <v/>
      </c>
      <c r="J389" s="92"/>
      <c r="K389" s="128"/>
      <c r="L389" s="130">
        <v>1</v>
      </c>
      <c r="M389" s="1813" t="str">
        <f>ROWS(M374:M389)&amp;" ►"</f>
        <v>16 ►</v>
      </c>
      <c r="N389" s="1580"/>
      <c r="O389" s="95">
        <f>IF(Q429=0,0,(Q389/Q429)*P373*1000)</f>
        <v>0</v>
      </c>
      <c r="P389" s="105">
        <f>IF(Q429=0, 0, (G389*L389)/(Q429*P373))</f>
        <v>0</v>
      </c>
      <c r="Q389" s="97" cm="1">
        <f t="array" ref="Q389">IFERROR(_xlfn.XLOOKUP(UPPER(TRIM(K389)),UPPER(TRIM(G430:U430)),G431:U431,_xlfn.XLOOKUP(UPPER(TRIM(K389)),UPPER(TRIM(G432:U432)),G433:U433,0))*J389*IF(G389&gt;0,G389,1),0)</f>
        <v>0</v>
      </c>
      <c r="R389" s="106">
        <f>IF(T369&lt;&gt;0,G389*L389*L369,0)</f>
        <v>0</v>
      </c>
      <c r="S389" s="1747">
        <f t="shared" si="88"/>
        <v>0</v>
      </c>
      <c r="T389" s="99">
        <f>IF(OR(ISBLANK(T369),T369=0),0,Q389*L389*L369)</f>
        <v>0</v>
      </c>
      <c r="U389" s="1367" t="str">
        <f>IF(K389="","",IF(COUNTIF(N430:U430,SUBSTITUTE(TRIM(K389)," (s)",""))+COUNTIF(N432:U432,SUBSTITUTE(TRIM(K389)," (s)",""))&gt;0,IF(ROUND(T389,3)&gt;=1,ROUND(T389,3)&amp;" L",MAX(1,ROUND(T389*100,0))&amp;" cl"),IF(COUNTIF(G430:L430,SUBSTITUTE(TRIM(K389)," (s)",""))+COUNTIF(G432:L432,SUBSTITUTE(TRIM(K389)," (s)",""))&gt;0,IF(ROUND(T389,3)&gt;=1,ROUND(T389,3)&amp;" Kg",MAX(1,ROUND(T389*1000,0))&amp;" g"),"")))</f>
        <v/>
      </c>
      <c r="W389" s="103" t="str">
        <f t="shared" si="91"/>
        <v>►</v>
      </c>
      <c r="X389" s="31" t="str">
        <f>X370</f>
        <v>N NAME OF YOUR RECIPE | paste it — FAMILY|  Author &gt; YOU</v>
      </c>
      <c r="Y389" s="32">
        <f>Y370</f>
        <v>1</v>
      </c>
      <c r="Z389" s="31" t="str">
        <f>Z370</f>
        <v>coupe</v>
      </c>
      <c r="AA389" s="33" t="str">
        <f>AA370</f>
        <v>Master recipe ► MILLE-FEUILLE  aux fraises des bois</v>
      </c>
      <c r="AB389" s="89"/>
      <c r="AC389" s="108"/>
      <c r="AD389" s="91" t="str">
        <f t="shared" si="86"/>
        <v/>
      </c>
      <c r="AE389" s="92"/>
      <c r="AF389" s="128"/>
      <c r="AG389" s="130">
        <v>1</v>
      </c>
      <c r="AH389" s="1813" t="str">
        <f>ROWS(AH374:AH389)&amp;" ►"</f>
        <v>16 ►</v>
      </c>
      <c r="AI389" s="1580"/>
      <c r="AJ389" s="95">
        <f>IF(AL429=0,0,(AL389/AL429)*AK373*1000)</f>
        <v>0</v>
      </c>
      <c r="AK389" s="105">
        <f>IF(AL429=0, 0, (AB389*AG389)/(AL429*AK373))</f>
        <v>0</v>
      </c>
      <c r="AL389" s="97" cm="1">
        <f t="array" ref="AL389">IFERROR(_xlfn.XLOOKUP(UPPER(TRIM(AF389)),UPPER(TRIM(AB430:AP430)),AB431:AP431,_xlfn.XLOOKUP(UPPER(TRIM(AF389)),UPPER(TRIM(AB432:AP432)),AB433:AP433,0))*AE389*IF(AB389&gt;0,AB389,1),0)</f>
        <v>0</v>
      </c>
      <c r="AM389" s="106">
        <f>IF(AO369&lt;&gt;0,AB389*AG389*AG369,0)</f>
        <v>0</v>
      </c>
      <c r="AN389" s="1747">
        <f t="shared" si="89"/>
        <v>0</v>
      </c>
      <c r="AO389" s="99">
        <f>IF(OR(ISBLANK(AO369),AO369=0),0,AL389*AG389*AG369)</f>
        <v>0</v>
      </c>
      <c r="AP389" s="1367" t="str">
        <f>IF(AF389="","",IF(COUNTIF(AI430:AP430,SUBSTITUTE(TRIM(AF389)," (s)",""))+COUNTIF(AI432:AP432,SUBSTITUTE(TRIM(AF389)," (s)",""))&gt;0,IF(ROUND(AO389,3)&gt;=1,ROUND(AO389,3)&amp;" L",MAX(1,ROUND(AO389*100,0))&amp;" cl"),IF(COUNTIF(AB430:AG430,SUBSTITUTE(TRIM(AF389)," (s)",""))+COUNTIF(AB432:AG432,SUBSTITUTE(TRIM(AF389)," (s)",""))&gt;0,IF(ROUND(AO389,3)&gt;=1,ROUND(AO389,3)&amp;" Kg",MAX(1,ROUND(AO389*1000,0))&amp;" g"),"")))</f>
        <v/>
      </c>
      <c r="AR389" s="103" t="str">
        <f t="shared" si="92"/>
        <v>►</v>
      </c>
      <c r="AS389" s="31" t="str">
        <f>AS370</f>
        <v>N NOMBRE DE SU RECETA | pegue esto — FAMILIA| Auteur &gt; VOUS</v>
      </c>
      <c r="AT389" s="32">
        <f>AT370</f>
        <v>1</v>
      </c>
      <c r="AU389" s="31" t="str">
        <f>AU370</f>
        <v>coupe</v>
      </c>
      <c r="AV389" s="33" t="str">
        <f>AV370</f>
        <v>Receta madre ► MILLE-FEUILLE  aux fraises des bois</v>
      </c>
      <c r="AW389" s="89"/>
      <c r="AX389" s="108"/>
      <c r="AY389" s="91" t="str">
        <f t="shared" si="87"/>
        <v/>
      </c>
      <c r="AZ389" s="92"/>
      <c r="BA389" s="128"/>
      <c r="BB389" s="130">
        <v>1</v>
      </c>
      <c r="BC389" s="1813" t="str">
        <f>ROWS(BC374:BC389)&amp;" ►"</f>
        <v>16 ►</v>
      </c>
      <c r="BD389" s="1580"/>
      <c r="BE389" s="95">
        <f>IF(BG429=0,0,(BG389/BG429)*BF373*1000)</f>
        <v>0</v>
      </c>
      <c r="BF389" s="105">
        <f>IF(BG429=0, 0, (AW389*BB389)/(BG429*BF373))</f>
        <v>0</v>
      </c>
      <c r="BG389" s="97" cm="1">
        <f t="array" ref="BG389">IFERROR(_xlfn.XLOOKUP(UPPER(TRIM(BA389)),UPPER(TRIM(AW430:BK430)),AW431:BK431,_xlfn.XLOOKUP(UPPER(TRIM(BA389)),UPPER(TRIM(AW432:BK432)),AW433:BK433,0))*AZ389*IF(AW389&gt;0,AW389,1),0)</f>
        <v>0</v>
      </c>
      <c r="BH389" s="106">
        <f>IF(BJ369&lt;&gt;0,AW389*BB389*BB369,0)</f>
        <v>0</v>
      </c>
      <c r="BI389" s="1747">
        <f t="shared" si="90"/>
        <v>0</v>
      </c>
      <c r="BJ389" s="99">
        <f>IF(OR(ISBLANK(BJ369),BJ369=0),0,BG389*BB389*BB369)</f>
        <v>0</v>
      </c>
      <c r="BK389" s="1367" t="str">
        <f>IF(BA389="","",IF(COUNTIF(BD430:BK430,SUBSTITUTE(TRIM(BA389)," (s)",""))+COUNTIF(BD432:BK432,SUBSTITUTE(TRIM(BA389)," (s)",""))&gt;0,IF(ROUND(BJ389,3)&gt;=1,ROUND(BJ389,3)&amp;" L",MAX(1,ROUND(BJ389*100,0))&amp;" cl"),IF(COUNTIF(AW430:BB430,SUBSTITUTE(TRIM(BA389)," (s)",""))+COUNTIF(AW432:BB432,SUBSTITUTE(TRIM(BA389)," (s)",""))&gt;0,IF(ROUND(BJ389,3)&gt;=1,ROUND(BJ389,3)&amp;" Kg",MAX(1,ROUND(BJ389*1000,0))&amp;" g"),"")))</f>
        <v/>
      </c>
      <c r="BM389" s="3">
        <v>1</v>
      </c>
    </row>
    <row r="390" spans="2:65" ht="21" customHeight="1">
      <c r="B390" s="103" t="str">
        <f t="shared" si="93"/>
        <v>►</v>
      </c>
      <c r="C390" s="31" t="str">
        <f>C370</f>
        <v>MAJUSCULE(GAUCHE(J21;1))&amp;" "&amp;J21&amp;" | "&amp;S21&amp;"| "&amp;J23&amp;" "&amp;K23</v>
      </c>
      <c r="D390" s="32">
        <f>D370</f>
        <v>1</v>
      </c>
      <c r="E390" s="31" t="str">
        <f>E370</f>
        <v>coupe</v>
      </c>
      <c r="F390" s="33" t="str">
        <f>F370</f>
        <v>Recette mère ► MILLE-FEUILLE  aux fraises des bois</v>
      </c>
      <c r="G390" s="89"/>
      <c r="H390" s="108"/>
      <c r="I390" s="91" t="str">
        <f t="shared" si="85"/>
        <v/>
      </c>
      <c r="J390" s="92"/>
      <c r="K390" s="128"/>
      <c r="L390" s="130">
        <v>1</v>
      </c>
      <c r="M390" s="1813" t="str">
        <f>ROWS(M374:M390)&amp;" ►"</f>
        <v>17 ►</v>
      </c>
      <c r="N390" s="1580"/>
      <c r="O390" s="95">
        <f>IF(Q429=0,0,(Q390/Q429)*P373*1000)</f>
        <v>0</v>
      </c>
      <c r="P390" s="105">
        <f>IF(Q429=0, 0, (G390*L390)/(Q429*P373))</f>
        <v>0</v>
      </c>
      <c r="Q390" s="97" cm="1">
        <f t="array" ref="Q390">IFERROR(_xlfn.XLOOKUP(UPPER(TRIM(K390)),UPPER(TRIM(G430:U430)),G431:U431,_xlfn.XLOOKUP(UPPER(TRIM(K390)),UPPER(TRIM(G432:U432)),G433:U433,0))*J390*IF(G390&gt;0,G390,1),0)</f>
        <v>0</v>
      </c>
      <c r="R390" s="110">
        <f>IF(T369&lt;&gt;0,G390*L390*L369,0)</f>
        <v>0</v>
      </c>
      <c r="S390" s="1748">
        <f t="shared" si="88"/>
        <v>0</v>
      </c>
      <c r="T390" s="99">
        <f>IF(OR(ISBLANK(T369),T369=0),0,Q390*L390*L369)</f>
        <v>0</v>
      </c>
      <c r="U390" s="1617" t="str">
        <f>IF(K390="","",IF(COUNTIF(N430:U430,SUBSTITUTE(TRIM(K390)," (s)",""))+COUNTIF(N432:U432,SUBSTITUTE(TRIM(K390)," (s)",""))&gt;0,IF(ROUND(T390,3)&gt;=1,ROUND(T390,3)&amp;" L",MAX(1,ROUND(T390*100,0))&amp;" cl"),IF(COUNTIF(G430:L430,SUBSTITUTE(TRIM(K390)," (s)",""))+COUNTIF(G432:L432,SUBSTITUTE(TRIM(K390)," (s)",""))&gt;0,IF(ROUND(T390,3)&gt;=1,ROUND(T390,3)&amp;" Kg",MAX(1,ROUND(T390*1000,0))&amp;" g"),"")))</f>
        <v/>
      </c>
      <c r="W390" s="103" t="str">
        <f t="shared" si="91"/>
        <v>►</v>
      </c>
      <c r="X390" s="31" t="str">
        <f>X370</f>
        <v>N NAME OF YOUR RECIPE | paste it — FAMILY|  Author &gt; YOU</v>
      </c>
      <c r="Y390" s="32">
        <f>Y370</f>
        <v>1</v>
      </c>
      <c r="Z390" s="31" t="str">
        <f>Z370</f>
        <v>coupe</v>
      </c>
      <c r="AA390" s="33" t="str">
        <f>AA370</f>
        <v>Master recipe ► MILLE-FEUILLE  aux fraises des bois</v>
      </c>
      <c r="AB390" s="89"/>
      <c r="AC390" s="108"/>
      <c r="AD390" s="91" t="str">
        <f t="shared" si="86"/>
        <v/>
      </c>
      <c r="AE390" s="92"/>
      <c r="AF390" s="128"/>
      <c r="AG390" s="130">
        <v>1</v>
      </c>
      <c r="AH390" s="1813" t="str">
        <f>ROWS(AH374:AH390)&amp;" ►"</f>
        <v>17 ►</v>
      </c>
      <c r="AI390" s="1580"/>
      <c r="AJ390" s="95">
        <f>IF(AL429=0,0,(AL390/AL429)*AK373*1000)</f>
        <v>0</v>
      </c>
      <c r="AK390" s="105">
        <f>IF(AL429=0, 0, (AB390*AG390)/(AL429*AK373))</f>
        <v>0</v>
      </c>
      <c r="AL390" s="97" cm="1">
        <f t="array" ref="AL390">IFERROR(_xlfn.XLOOKUP(UPPER(TRIM(AF390)),UPPER(TRIM(AB430:AP430)),AB431:AP431,_xlfn.XLOOKUP(UPPER(TRIM(AF390)),UPPER(TRIM(AB432:AP432)),AB433:AP433,0))*AE390*IF(AB390&gt;0,AB390,1),0)</f>
        <v>0</v>
      </c>
      <c r="AM390" s="110">
        <f>IF(AO369&lt;&gt;0,AB390*AG390*AG369,0)</f>
        <v>0</v>
      </c>
      <c r="AN390" s="1748">
        <f t="shared" si="89"/>
        <v>0</v>
      </c>
      <c r="AO390" s="99">
        <f>IF(OR(ISBLANK(AO369),AO369=0),0,AL390*AG390*AG369)</f>
        <v>0</v>
      </c>
      <c r="AP390" s="1617" t="str">
        <f>IF(AF390="","",IF(COUNTIF(AI430:AP430,SUBSTITUTE(TRIM(AF390)," (s)",""))+COUNTIF(AI432:AP432,SUBSTITUTE(TRIM(AF390)," (s)",""))&gt;0,IF(ROUND(AO390,3)&gt;=1,ROUND(AO390,3)&amp;" L",MAX(1,ROUND(AO390*100,0))&amp;" cl"),IF(COUNTIF(AB430:AG430,SUBSTITUTE(TRIM(AF390)," (s)",""))+COUNTIF(AB432:AG432,SUBSTITUTE(TRIM(AF390)," (s)",""))&gt;0,IF(ROUND(AO390,3)&gt;=1,ROUND(AO390,3)&amp;" Kg",MAX(1,ROUND(AO390*1000,0))&amp;" g"),"")))</f>
        <v/>
      </c>
      <c r="AR390" s="103" t="str">
        <f t="shared" si="92"/>
        <v>►</v>
      </c>
      <c r="AS390" s="31" t="str">
        <f>AS370</f>
        <v>N NOMBRE DE SU RECETA | pegue esto — FAMILIA| Auteur &gt; VOUS</v>
      </c>
      <c r="AT390" s="32">
        <f>AT370</f>
        <v>1</v>
      </c>
      <c r="AU390" s="31" t="str">
        <f>AU370</f>
        <v>coupe</v>
      </c>
      <c r="AV390" s="33" t="str">
        <f>AV370</f>
        <v>Receta madre ► MILLE-FEUILLE  aux fraises des bois</v>
      </c>
      <c r="AW390" s="89"/>
      <c r="AX390" s="108"/>
      <c r="AY390" s="91" t="str">
        <f t="shared" si="87"/>
        <v/>
      </c>
      <c r="AZ390" s="92"/>
      <c r="BA390" s="128"/>
      <c r="BB390" s="130">
        <v>1</v>
      </c>
      <c r="BC390" s="1813" t="str">
        <f>ROWS(BC374:BC390)&amp;" ►"</f>
        <v>17 ►</v>
      </c>
      <c r="BD390" s="1580"/>
      <c r="BE390" s="95">
        <f>IF(BG429=0,0,(BG390/BG429)*BF373*1000)</f>
        <v>0</v>
      </c>
      <c r="BF390" s="105">
        <f>IF(BG429=0, 0, (AW390*BB390)/(BG429*BF373))</f>
        <v>0</v>
      </c>
      <c r="BG390" s="97" cm="1">
        <f t="array" ref="BG390">IFERROR(_xlfn.XLOOKUP(UPPER(TRIM(BA390)),UPPER(TRIM(AW430:BK430)),AW431:BK431,_xlfn.XLOOKUP(UPPER(TRIM(BA390)),UPPER(TRIM(AW432:BK432)),AW433:BK433,0))*AZ390*IF(AW390&gt;0,AW390,1),0)</f>
        <v>0</v>
      </c>
      <c r="BH390" s="110">
        <f>IF(BJ369&lt;&gt;0,AW390*BB390*BB369,0)</f>
        <v>0</v>
      </c>
      <c r="BI390" s="1748">
        <f t="shared" si="90"/>
        <v>0</v>
      </c>
      <c r="BJ390" s="99">
        <f>IF(OR(ISBLANK(BJ369),BJ369=0),0,BG390*BB390*BB369)</f>
        <v>0</v>
      </c>
      <c r="BK390" s="1617" t="str">
        <f>IF(BA390="","",IF(COUNTIF(BD430:BK430,SUBSTITUTE(TRIM(BA390)," (s)",""))+COUNTIF(BD432:BK432,SUBSTITUTE(TRIM(BA390)," (s)",""))&gt;0,IF(ROUND(BJ390,3)&gt;=1,ROUND(BJ390,3)&amp;" L",MAX(1,ROUND(BJ390*100,0))&amp;" cl"),IF(COUNTIF(AW430:BB430,SUBSTITUTE(TRIM(BA390)," (s)",""))+COUNTIF(AW432:BB432,SUBSTITUTE(TRIM(BA390)," (s)",""))&gt;0,IF(ROUND(BJ390,3)&gt;=1,ROUND(BJ390,3)&amp;" Kg",MAX(1,ROUND(BJ390*1000,0))&amp;" g"),"")))</f>
        <v/>
      </c>
      <c r="BM390" s="3">
        <v>1</v>
      </c>
    </row>
    <row r="391" spans="2:65" ht="21" customHeight="1">
      <c r="B391" s="103" t="str">
        <f t="shared" si="93"/>
        <v>►</v>
      </c>
      <c r="C391" s="31" t="str">
        <f>C370</f>
        <v>MAJUSCULE(GAUCHE(J21;1))&amp;" "&amp;J21&amp;" | "&amp;S21&amp;"| "&amp;J23&amp;" "&amp;K23</v>
      </c>
      <c r="D391" s="32">
        <f>D370</f>
        <v>1</v>
      </c>
      <c r="E391" s="31" t="str">
        <f>E370</f>
        <v>coupe</v>
      </c>
      <c r="F391" s="33" t="str">
        <f>F370</f>
        <v>Recette mère ► MILLE-FEUILLE  aux fraises des bois</v>
      </c>
      <c r="G391" s="89"/>
      <c r="H391" s="108"/>
      <c r="I391" s="91" t="str">
        <f t="shared" si="85"/>
        <v/>
      </c>
      <c r="J391" s="92"/>
      <c r="K391" s="128"/>
      <c r="L391" s="130">
        <v>1</v>
      </c>
      <c r="M391" s="1813" t="str">
        <f>ROWS(M374:M391)&amp;" ►"</f>
        <v>18 ►</v>
      </c>
      <c r="N391" s="1580"/>
      <c r="O391" s="95">
        <f>IF(Q429=0,0,(Q391/Q429)*P373*1000)</f>
        <v>0</v>
      </c>
      <c r="P391" s="105">
        <f>IF(Q429=0, 0, (G391*L391)/(Q429*P373))</f>
        <v>0</v>
      </c>
      <c r="Q391" s="97" cm="1">
        <f t="array" ref="Q391">IFERROR(_xlfn.XLOOKUP(UPPER(TRIM(K391)),UPPER(TRIM(G430:U430)),G431:U431,_xlfn.XLOOKUP(UPPER(TRIM(K391)),UPPER(TRIM(G432:U432)),G433:U433,0))*J391*IF(G391&gt;0,G391,1),0)</f>
        <v>0</v>
      </c>
      <c r="R391" s="106">
        <f>IF(T369&lt;&gt;0,G391*L391*L369,0)</f>
        <v>0</v>
      </c>
      <c r="S391" s="1747">
        <f t="shared" si="88"/>
        <v>0</v>
      </c>
      <c r="T391" s="99">
        <f>IF(OR(ISBLANK(T369),T369=0),0,Q391*L391*L369)</f>
        <v>0</v>
      </c>
      <c r="U391" s="1367" t="str">
        <f>IF(K391="","",IF(COUNTIF(N430:U430,SUBSTITUTE(TRIM(K391)," (s)",""))+COUNTIF(N432:U432,SUBSTITUTE(TRIM(K391)," (s)",""))&gt;0,IF(ROUND(T391,3)&gt;=1,ROUND(T391,3)&amp;" L",MAX(1,ROUND(T391*100,0))&amp;" cl"),IF(COUNTIF(G430:L430,SUBSTITUTE(TRIM(K391)," (s)",""))+COUNTIF(G432:L432,SUBSTITUTE(TRIM(K391)," (s)",""))&gt;0,IF(ROUND(T391,3)&gt;=1,ROUND(T391,3)&amp;" Kg",MAX(1,ROUND(T391*1000,0))&amp;" g"),"")))</f>
        <v/>
      </c>
      <c r="W391" s="103" t="str">
        <f t="shared" si="91"/>
        <v>►</v>
      </c>
      <c r="X391" s="31" t="str">
        <f>X370</f>
        <v>N NAME OF YOUR RECIPE | paste it — FAMILY|  Author &gt; YOU</v>
      </c>
      <c r="Y391" s="32">
        <f>Y370</f>
        <v>1</v>
      </c>
      <c r="Z391" s="31" t="str">
        <f>Z370</f>
        <v>coupe</v>
      </c>
      <c r="AA391" s="33" t="str">
        <f>AA370</f>
        <v>Master recipe ► MILLE-FEUILLE  aux fraises des bois</v>
      </c>
      <c r="AB391" s="89"/>
      <c r="AC391" s="108"/>
      <c r="AD391" s="91" t="str">
        <f t="shared" si="86"/>
        <v/>
      </c>
      <c r="AE391" s="92"/>
      <c r="AF391" s="128"/>
      <c r="AG391" s="130">
        <v>1</v>
      </c>
      <c r="AH391" s="1813" t="str">
        <f>ROWS(AH374:AH391)&amp;" ►"</f>
        <v>18 ►</v>
      </c>
      <c r="AI391" s="1580"/>
      <c r="AJ391" s="95">
        <f>IF(AL429=0,0,(AL391/AL429)*AK373*1000)</f>
        <v>0</v>
      </c>
      <c r="AK391" s="105">
        <f>IF(AL429=0, 0, (AB391*AG391)/(AL429*AK373))</f>
        <v>0</v>
      </c>
      <c r="AL391" s="97" cm="1">
        <f t="array" ref="AL391">IFERROR(_xlfn.XLOOKUP(UPPER(TRIM(AF391)),UPPER(TRIM(AB430:AP430)),AB431:AP431,_xlfn.XLOOKUP(UPPER(TRIM(AF391)),UPPER(TRIM(AB432:AP432)),AB433:AP433,0))*AE391*IF(AB391&gt;0,AB391,1),0)</f>
        <v>0</v>
      </c>
      <c r="AM391" s="106">
        <f>IF(AO369&lt;&gt;0,AB391*AG391*AG369,0)</f>
        <v>0</v>
      </c>
      <c r="AN391" s="1747">
        <f t="shared" si="89"/>
        <v>0</v>
      </c>
      <c r="AO391" s="99">
        <f>IF(OR(ISBLANK(AO369),AO369=0),0,AL391*AG391*AG369)</f>
        <v>0</v>
      </c>
      <c r="AP391" s="1367" t="str">
        <f>IF(AF391="","",IF(COUNTIF(AI430:AP430,SUBSTITUTE(TRIM(AF391)," (s)",""))+COUNTIF(AI432:AP432,SUBSTITUTE(TRIM(AF391)," (s)",""))&gt;0,IF(ROUND(AO391,3)&gt;=1,ROUND(AO391,3)&amp;" L",MAX(1,ROUND(AO391*100,0))&amp;" cl"),IF(COUNTIF(AB430:AG430,SUBSTITUTE(TRIM(AF391)," (s)",""))+COUNTIF(AB432:AG432,SUBSTITUTE(TRIM(AF391)," (s)",""))&gt;0,IF(ROUND(AO391,3)&gt;=1,ROUND(AO391,3)&amp;" Kg",MAX(1,ROUND(AO391*1000,0))&amp;" g"),"")))</f>
        <v/>
      </c>
      <c r="AR391" s="103" t="str">
        <f t="shared" si="92"/>
        <v>►</v>
      </c>
      <c r="AS391" s="31" t="str">
        <f>AS370</f>
        <v>N NOMBRE DE SU RECETA | pegue esto — FAMILIA| Auteur &gt; VOUS</v>
      </c>
      <c r="AT391" s="32">
        <f>AT370</f>
        <v>1</v>
      </c>
      <c r="AU391" s="31" t="str">
        <f>AU370</f>
        <v>coupe</v>
      </c>
      <c r="AV391" s="33" t="str">
        <f>AV370</f>
        <v>Receta madre ► MILLE-FEUILLE  aux fraises des bois</v>
      </c>
      <c r="AW391" s="89"/>
      <c r="AX391" s="108"/>
      <c r="AY391" s="91" t="str">
        <f t="shared" si="87"/>
        <v/>
      </c>
      <c r="AZ391" s="92"/>
      <c r="BA391" s="128"/>
      <c r="BB391" s="130">
        <v>1</v>
      </c>
      <c r="BC391" s="1813" t="str">
        <f>ROWS(BC374:BC391)&amp;" ►"</f>
        <v>18 ►</v>
      </c>
      <c r="BD391" s="1580"/>
      <c r="BE391" s="95">
        <f>IF(BG429=0,0,(BG391/BG429)*BF373*1000)</f>
        <v>0</v>
      </c>
      <c r="BF391" s="105">
        <f>IF(BG429=0, 0, (AW391*BB391)/(BG429*BF373))</f>
        <v>0</v>
      </c>
      <c r="BG391" s="97" cm="1">
        <f t="array" ref="BG391">IFERROR(_xlfn.XLOOKUP(UPPER(TRIM(BA391)),UPPER(TRIM(AW430:BK430)),AW431:BK431,_xlfn.XLOOKUP(UPPER(TRIM(BA391)),UPPER(TRIM(AW432:BK432)),AW433:BK433,0))*AZ391*IF(AW391&gt;0,AW391,1),0)</f>
        <v>0</v>
      </c>
      <c r="BH391" s="106">
        <f>IF(BJ369&lt;&gt;0,AW391*BB391*BB369,0)</f>
        <v>0</v>
      </c>
      <c r="BI391" s="1747">
        <f t="shared" si="90"/>
        <v>0</v>
      </c>
      <c r="BJ391" s="99">
        <f>IF(OR(ISBLANK(BJ369),BJ369=0),0,BG391*BB391*BB369)</f>
        <v>0</v>
      </c>
      <c r="BK391" s="1367" t="str">
        <f>IF(BA391="","",IF(COUNTIF(BD430:BK430,SUBSTITUTE(TRIM(BA391)," (s)",""))+COUNTIF(BD432:BK432,SUBSTITUTE(TRIM(BA391)," (s)",""))&gt;0,IF(ROUND(BJ391,3)&gt;=1,ROUND(BJ391,3)&amp;" L",MAX(1,ROUND(BJ391*100,0))&amp;" cl"),IF(COUNTIF(AW430:BB430,SUBSTITUTE(TRIM(BA391)," (s)",""))+COUNTIF(AW432:BB432,SUBSTITUTE(TRIM(BA391)," (s)",""))&gt;0,IF(ROUND(BJ391,3)&gt;=1,ROUND(BJ391,3)&amp;" Kg",MAX(1,ROUND(BJ391*1000,0))&amp;" g"),"")))</f>
        <v/>
      </c>
      <c r="BM391" s="3">
        <v>1</v>
      </c>
    </row>
    <row r="392" spans="2:65" ht="21" customHeight="1">
      <c r="B392" s="103" t="str">
        <f t="shared" si="93"/>
        <v>►</v>
      </c>
      <c r="C392" s="31" t="str">
        <f>C370</f>
        <v>MAJUSCULE(GAUCHE(J21;1))&amp;" "&amp;J21&amp;" | "&amp;S21&amp;"| "&amp;J23&amp;" "&amp;K23</v>
      </c>
      <c r="D392" s="32">
        <f>D370</f>
        <v>1</v>
      </c>
      <c r="E392" s="31" t="str">
        <f>E370</f>
        <v>coupe</v>
      </c>
      <c r="F392" s="33" t="str">
        <f>F370</f>
        <v>Recette mère ► MILLE-FEUILLE  aux fraises des bois</v>
      </c>
      <c r="G392" s="89"/>
      <c r="H392" s="108"/>
      <c r="I392" s="91" t="str">
        <f t="shared" si="85"/>
        <v/>
      </c>
      <c r="J392" s="92"/>
      <c r="K392" s="128"/>
      <c r="L392" s="130">
        <v>1</v>
      </c>
      <c r="M392" s="1813" t="str">
        <f>ROWS(M374:M392)&amp;" ►"</f>
        <v>19 ►</v>
      </c>
      <c r="N392" s="1580"/>
      <c r="O392" s="95">
        <f>IF(Q429=0,0,(Q392/Q429)*P373*1000)</f>
        <v>0</v>
      </c>
      <c r="P392" s="105">
        <f>IF(Q429=0, 0, (G392*L392)/(Q429*P373))</f>
        <v>0</v>
      </c>
      <c r="Q392" s="97" cm="1">
        <f t="array" ref="Q392">IFERROR(_xlfn.XLOOKUP(UPPER(TRIM(K392)),UPPER(TRIM(G430:U430)),G431:U431,_xlfn.XLOOKUP(UPPER(TRIM(K392)),UPPER(TRIM(G432:U432)),G433:U433,0))*J392*IF(G392&gt;0,G392,1),0)</f>
        <v>0</v>
      </c>
      <c r="R392" s="110">
        <f>IF(T369&lt;&gt;0,G392*L392*L369,0)</f>
        <v>0</v>
      </c>
      <c r="S392" s="1748">
        <f t="shared" si="88"/>
        <v>0</v>
      </c>
      <c r="T392" s="99">
        <f>IF(OR(ISBLANK(T369),T369=0),0,Q392*L392*L369)</f>
        <v>0</v>
      </c>
      <c r="U392" s="1617" t="str">
        <f>IF(K392="","",IF(COUNTIF(N430:U430,SUBSTITUTE(TRIM(K392)," (s)",""))+COUNTIF(N432:U432,SUBSTITUTE(TRIM(K392)," (s)",""))&gt;0,IF(ROUND(T392,3)&gt;=1,ROUND(T392,3)&amp;" L",MAX(1,ROUND(T392*100,0))&amp;" cl"),IF(COUNTIF(G430:L430,SUBSTITUTE(TRIM(K392)," (s)",""))+COUNTIF(G432:L432,SUBSTITUTE(TRIM(K392)," (s)",""))&gt;0,IF(ROUND(T392,3)&gt;=1,ROUND(T392,3)&amp;" Kg",MAX(1,ROUND(T392*1000,0))&amp;" g"),"")))</f>
        <v/>
      </c>
      <c r="W392" s="103" t="str">
        <f t="shared" si="91"/>
        <v>►</v>
      </c>
      <c r="X392" s="31" t="str">
        <f>X370</f>
        <v>N NAME OF YOUR RECIPE | paste it — FAMILY|  Author &gt; YOU</v>
      </c>
      <c r="Y392" s="32">
        <f>Y370</f>
        <v>1</v>
      </c>
      <c r="Z392" s="31" t="str">
        <f>Z370</f>
        <v>coupe</v>
      </c>
      <c r="AA392" s="33" t="str">
        <f>AA370</f>
        <v>Master recipe ► MILLE-FEUILLE  aux fraises des bois</v>
      </c>
      <c r="AB392" s="89"/>
      <c r="AC392" s="108"/>
      <c r="AD392" s="91" t="str">
        <f t="shared" si="86"/>
        <v/>
      </c>
      <c r="AE392" s="92"/>
      <c r="AF392" s="128"/>
      <c r="AG392" s="130">
        <v>1</v>
      </c>
      <c r="AH392" s="1813" t="str">
        <f>ROWS(AH374:AH392)&amp;" ►"</f>
        <v>19 ►</v>
      </c>
      <c r="AI392" s="1580"/>
      <c r="AJ392" s="95">
        <f>IF(AL429=0,0,(AL392/AL429)*AK373*1000)</f>
        <v>0</v>
      </c>
      <c r="AK392" s="105">
        <f>IF(AL429=0, 0, (AB392*AG392)/(AL429*AK373))</f>
        <v>0</v>
      </c>
      <c r="AL392" s="97" cm="1">
        <f t="array" ref="AL392">IFERROR(_xlfn.XLOOKUP(UPPER(TRIM(AF392)),UPPER(TRIM(AB430:AP430)),AB431:AP431,_xlfn.XLOOKUP(UPPER(TRIM(AF392)),UPPER(TRIM(AB432:AP432)),AB433:AP433,0))*AE392*IF(AB392&gt;0,AB392,1),0)</f>
        <v>0</v>
      </c>
      <c r="AM392" s="110">
        <f>IF(AO369&lt;&gt;0,AB392*AG392*AG369,0)</f>
        <v>0</v>
      </c>
      <c r="AN392" s="1748">
        <f t="shared" si="89"/>
        <v>0</v>
      </c>
      <c r="AO392" s="99">
        <f>IF(OR(ISBLANK(AO369),AO369=0),0,AL392*AG392*AG369)</f>
        <v>0</v>
      </c>
      <c r="AP392" s="1617" t="str">
        <f>IF(AF392="","",IF(COUNTIF(AI430:AP430,SUBSTITUTE(TRIM(AF392)," (s)",""))+COUNTIF(AI432:AP432,SUBSTITUTE(TRIM(AF392)," (s)",""))&gt;0,IF(ROUND(AO392,3)&gt;=1,ROUND(AO392,3)&amp;" L",MAX(1,ROUND(AO392*100,0))&amp;" cl"),IF(COUNTIF(AB430:AG430,SUBSTITUTE(TRIM(AF392)," (s)",""))+COUNTIF(AB432:AG432,SUBSTITUTE(TRIM(AF392)," (s)",""))&gt;0,IF(ROUND(AO392,3)&gt;=1,ROUND(AO392,3)&amp;" Kg",MAX(1,ROUND(AO392*1000,0))&amp;" g"),"")))</f>
        <v/>
      </c>
      <c r="AR392" s="103" t="str">
        <f t="shared" si="92"/>
        <v>►</v>
      </c>
      <c r="AS392" s="31" t="str">
        <f>AS370</f>
        <v>N NOMBRE DE SU RECETA | pegue esto — FAMILIA| Auteur &gt; VOUS</v>
      </c>
      <c r="AT392" s="32">
        <f>AT370</f>
        <v>1</v>
      </c>
      <c r="AU392" s="31" t="str">
        <f>AU370</f>
        <v>coupe</v>
      </c>
      <c r="AV392" s="33" t="str">
        <f>AV370</f>
        <v>Receta madre ► MILLE-FEUILLE  aux fraises des bois</v>
      </c>
      <c r="AW392" s="89"/>
      <c r="AX392" s="108"/>
      <c r="AY392" s="91" t="str">
        <f t="shared" si="87"/>
        <v/>
      </c>
      <c r="AZ392" s="92"/>
      <c r="BA392" s="128"/>
      <c r="BB392" s="130">
        <v>1</v>
      </c>
      <c r="BC392" s="1813" t="str">
        <f>ROWS(BC374:BC392)&amp;" ►"</f>
        <v>19 ►</v>
      </c>
      <c r="BD392" s="1580"/>
      <c r="BE392" s="95">
        <f>IF(BG429=0,0,(BG392/BG429)*BF373*1000)</f>
        <v>0</v>
      </c>
      <c r="BF392" s="105">
        <f>IF(BG429=0, 0, (AW392*BB392)/(BG429*BF373))</f>
        <v>0</v>
      </c>
      <c r="BG392" s="97" cm="1">
        <f t="array" ref="BG392">IFERROR(_xlfn.XLOOKUP(UPPER(TRIM(BA392)),UPPER(TRIM(AW430:BK430)),AW431:BK431,_xlfn.XLOOKUP(UPPER(TRIM(BA392)),UPPER(TRIM(AW432:BK432)),AW433:BK433,0))*AZ392*IF(AW392&gt;0,AW392,1),0)</f>
        <v>0</v>
      </c>
      <c r="BH392" s="110">
        <f>IF(BJ369&lt;&gt;0,AW392*BB392*BB369,0)</f>
        <v>0</v>
      </c>
      <c r="BI392" s="1748">
        <f t="shared" si="90"/>
        <v>0</v>
      </c>
      <c r="BJ392" s="99">
        <f>IF(OR(ISBLANK(BJ369),BJ369=0),0,BG392*BB392*BB369)</f>
        <v>0</v>
      </c>
      <c r="BK392" s="1617" t="str">
        <f>IF(BA392="","",IF(COUNTIF(BD430:BK430,SUBSTITUTE(TRIM(BA392)," (s)",""))+COUNTIF(BD432:BK432,SUBSTITUTE(TRIM(BA392)," (s)",""))&gt;0,IF(ROUND(BJ392,3)&gt;=1,ROUND(BJ392,3)&amp;" L",MAX(1,ROUND(BJ392*100,0))&amp;" cl"),IF(COUNTIF(AW430:BB430,SUBSTITUTE(TRIM(BA392)," (s)",""))+COUNTIF(AW432:BB432,SUBSTITUTE(TRIM(BA392)," (s)",""))&gt;0,IF(ROUND(BJ392,3)&gt;=1,ROUND(BJ392,3)&amp;" Kg",MAX(1,ROUND(BJ392*1000,0))&amp;" g"),"")))</f>
        <v/>
      </c>
      <c r="BM392" s="3">
        <v>1</v>
      </c>
    </row>
    <row r="393" spans="2:65" ht="21" customHeight="1">
      <c r="B393" s="103" t="str">
        <f t="shared" si="93"/>
        <v>►</v>
      </c>
      <c r="C393" s="31" t="str">
        <f>C370</f>
        <v>MAJUSCULE(GAUCHE(J21;1))&amp;" "&amp;J21&amp;" | "&amp;S21&amp;"| "&amp;J23&amp;" "&amp;K23</v>
      </c>
      <c r="D393" s="32">
        <f>D370</f>
        <v>1</v>
      </c>
      <c r="E393" s="31" t="str">
        <f>E370</f>
        <v>coupe</v>
      </c>
      <c r="F393" s="33" t="str">
        <f>F370</f>
        <v>Recette mère ► MILLE-FEUILLE  aux fraises des bois</v>
      </c>
      <c r="G393" s="89"/>
      <c r="H393" s="108"/>
      <c r="I393" s="91" t="str">
        <f t="shared" si="85"/>
        <v/>
      </c>
      <c r="J393" s="92"/>
      <c r="K393" s="128"/>
      <c r="L393" s="130">
        <v>1</v>
      </c>
      <c r="M393" s="1813" t="str">
        <f>ROWS(M374:M393)&amp;" ►"</f>
        <v>20 ►</v>
      </c>
      <c r="N393" s="1580"/>
      <c r="O393" s="95">
        <f>IF(Q429=0,0,(Q393/Q429)*P373*1000)</f>
        <v>0</v>
      </c>
      <c r="P393" s="105">
        <f>IF(Q429=0, 0, (G393*L393)/(Q429*P373))</f>
        <v>0</v>
      </c>
      <c r="Q393" s="97" cm="1">
        <f t="array" ref="Q393">IFERROR(_xlfn.XLOOKUP(UPPER(TRIM(K393)),UPPER(TRIM(G430:U430)),G431:U431,_xlfn.XLOOKUP(UPPER(TRIM(K393)),UPPER(TRIM(G432:U432)),G433:U433,0))*J393*IF(G393&gt;0,G393,1),0)</f>
        <v>0</v>
      </c>
      <c r="R393" s="106">
        <f>IF(T369&lt;&gt;0,G393*L393*L369,0)</f>
        <v>0</v>
      </c>
      <c r="S393" s="1747">
        <f t="shared" si="88"/>
        <v>0</v>
      </c>
      <c r="T393" s="99">
        <f>IF(OR(ISBLANK(T369),T369=0),0,Q393*L393*L369)</f>
        <v>0</v>
      </c>
      <c r="U393" s="1367" t="str">
        <f>IF(K393="","",IF(COUNTIF(N430:U430,SUBSTITUTE(TRIM(K393)," (s)",""))+COUNTIF(N432:U432,SUBSTITUTE(TRIM(K393)," (s)",""))&gt;0,IF(ROUND(T393,3)&gt;=1,ROUND(T393,3)&amp;" L",MAX(1,ROUND(T393*100,0))&amp;" cl"),IF(COUNTIF(G430:L430,SUBSTITUTE(TRIM(K393)," (s)",""))+COUNTIF(G432:L432,SUBSTITUTE(TRIM(K393)," (s)",""))&gt;0,IF(ROUND(T393,3)&gt;=1,ROUND(T393,3)&amp;" Kg",MAX(1,ROUND(T393*1000,0))&amp;" g"),"")))</f>
        <v/>
      </c>
      <c r="W393" s="103" t="str">
        <f t="shared" si="91"/>
        <v>►</v>
      </c>
      <c r="X393" s="31" t="str">
        <f>X370</f>
        <v>N NAME OF YOUR RECIPE | paste it — FAMILY|  Author &gt; YOU</v>
      </c>
      <c r="Y393" s="32">
        <f>Y370</f>
        <v>1</v>
      </c>
      <c r="Z393" s="31" t="str">
        <f>Z370</f>
        <v>coupe</v>
      </c>
      <c r="AA393" s="33" t="str">
        <f>AA370</f>
        <v>Master recipe ► MILLE-FEUILLE  aux fraises des bois</v>
      </c>
      <c r="AB393" s="89"/>
      <c r="AC393" s="108"/>
      <c r="AD393" s="91" t="str">
        <f t="shared" si="86"/>
        <v/>
      </c>
      <c r="AE393" s="92"/>
      <c r="AF393" s="128"/>
      <c r="AG393" s="130">
        <v>1</v>
      </c>
      <c r="AH393" s="1813" t="str">
        <f>ROWS(AH374:AH393)&amp;" ►"</f>
        <v>20 ►</v>
      </c>
      <c r="AI393" s="1580"/>
      <c r="AJ393" s="95">
        <f>IF(AL429=0,0,(AL393/AL429)*AK373*1000)</f>
        <v>0</v>
      </c>
      <c r="AK393" s="105">
        <f>IF(AL429=0, 0, (AB393*AG393)/(AL429*AK373))</f>
        <v>0</v>
      </c>
      <c r="AL393" s="97" cm="1">
        <f t="array" ref="AL393">IFERROR(_xlfn.XLOOKUP(UPPER(TRIM(AF393)),UPPER(TRIM(AB430:AP430)),AB431:AP431,_xlfn.XLOOKUP(UPPER(TRIM(AF393)),UPPER(TRIM(AB432:AP432)),AB433:AP433,0))*AE393*IF(AB393&gt;0,AB393,1),0)</f>
        <v>0</v>
      </c>
      <c r="AM393" s="106">
        <f>IF(AO369&lt;&gt;0,AB393*AG393*AG369,0)</f>
        <v>0</v>
      </c>
      <c r="AN393" s="1747">
        <f t="shared" si="89"/>
        <v>0</v>
      </c>
      <c r="AO393" s="99">
        <f>IF(OR(ISBLANK(AO369),AO369=0),0,AL393*AG393*AG369)</f>
        <v>0</v>
      </c>
      <c r="AP393" s="1367" t="str">
        <f>IF(AF393="","",IF(COUNTIF(AI430:AP430,SUBSTITUTE(TRIM(AF393)," (s)",""))+COUNTIF(AI432:AP432,SUBSTITUTE(TRIM(AF393)," (s)",""))&gt;0,IF(ROUND(AO393,3)&gt;=1,ROUND(AO393,3)&amp;" L",MAX(1,ROUND(AO393*100,0))&amp;" cl"),IF(COUNTIF(AB430:AG430,SUBSTITUTE(TRIM(AF393)," (s)",""))+COUNTIF(AB432:AG432,SUBSTITUTE(TRIM(AF393)," (s)",""))&gt;0,IF(ROUND(AO393,3)&gt;=1,ROUND(AO393,3)&amp;" Kg",MAX(1,ROUND(AO393*1000,0))&amp;" g"),"")))</f>
        <v/>
      </c>
      <c r="AR393" s="103" t="str">
        <f t="shared" si="92"/>
        <v>►</v>
      </c>
      <c r="AS393" s="31" t="str">
        <f>AS370</f>
        <v>N NOMBRE DE SU RECETA | pegue esto — FAMILIA| Auteur &gt; VOUS</v>
      </c>
      <c r="AT393" s="32">
        <f>AT370</f>
        <v>1</v>
      </c>
      <c r="AU393" s="31" t="str">
        <f>AU370</f>
        <v>coupe</v>
      </c>
      <c r="AV393" s="33" t="str">
        <f>AV370</f>
        <v>Receta madre ► MILLE-FEUILLE  aux fraises des bois</v>
      </c>
      <c r="AW393" s="89"/>
      <c r="AX393" s="108"/>
      <c r="AY393" s="91" t="str">
        <f t="shared" si="87"/>
        <v/>
      </c>
      <c r="AZ393" s="92"/>
      <c r="BA393" s="128"/>
      <c r="BB393" s="130">
        <v>1</v>
      </c>
      <c r="BC393" s="1813" t="str">
        <f>ROWS(BC374:BC393)&amp;" ►"</f>
        <v>20 ►</v>
      </c>
      <c r="BD393" s="1580"/>
      <c r="BE393" s="95">
        <f>IF(BG429=0,0,(BG393/BG429)*BF373*1000)</f>
        <v>0</v>
      </c>
      <c r="BF393" s="105">
        <f>IF(BG429=0, 0, (AW393*BB393)/(BG429*BF373))</f>
        <v>0</v>
      </c>
      <c r="BG393" s="97" cm="1">
        <f t="array" ref="BG393">IFERROR(_xlfn.XLOOKUP(UPPER(TRIM(BA393)),UPPER(TRIM(AW430:BK430)),AW431:BK431,_xlfn.XLOOKUP(UPPER(TRIM(BA393)),UPPER(TRIM(AW432:BK432)),AW433:BK433,0))*AZ393*IF(AW393&gt;0,AW393,1),0)</f>
        <v>0</v>
      </c>
      <c r="BH393" s="106">
        <f>IF(BJ369&lt;&gt;0,AW393*BB393*BB369,0)</f>
        <v>0</v>
      </c>
      <c r="BI393" s="1747">
        <f t="shared" si="90"/>
        <v>0</v>
      </c>
      <c r="BJ393" s="99">
        <f>IF(OR(ISBLANK(BJ369),BJ369=0),0,BG393*BB393*BB369)</f>
        <v>0</v>
      </c>
      <c r="BK393" s="1367" t="str">
        <f>IF(BA393="","",IF(COUNTIF(BD430:BK430,SUBSTITUTE(TRIM(BA393)," (s)",""))+COUNTIF(BD432:BK432,SUBSTITUTE(TRIM(BA393)," (s)",""))&gt;0,IF(ROUND(BJ393,3)&gt;=1,ROUND(BJ393,3)&amp;" L",MAX(1,ROUND(BJ393*100,0))&amp;" cl"),IF(COUNTIF(AW430:BB430,SUBSTITUTE(TRIM(BA393)," (s)",""))+COUNTIF(AW432:BB432,SUBSTITUTE(TRIM(BA393)," (s)",""))&gt;0,IF(ROUND(BJ393,3)&gt;=1,ROUND(BJ393,3)&amp;" Kg",MAX(1,ROUND(BJ393*1000,0))&amp;" g"),"")))</f>
        <v/>
      </c>
      <c r="BM393" s="3">
        <v>1</v>
      </c>
    </row>
    <row r="394" spans="2:65" ht="21" customHeight="1">
      <c r="B394" s="103" t="str">
        <f t="shared" si="93"/>
        <v>►</v>
      </c>
      <c r="C394" s="31" t="str">
        <f>C370</f>
        <v>MAJUSCULE(GAUCHE(J21;1))&amp;" "&amp;J21&amp;" | "&amp;S21&amp;"| "&amp;J23&amp;" "&amp;K23</v>
      </c>
      <c r="D394" s="32">
        <f>D370</f>
        <v>1</v>
      </c>
      <c r="E394" s="31" t="str">
        <f>E370</f>
        <v>coupe</v>
      </c>
      <c r="F394" s="33" t="str">
        <f>F370</f>
        <v>Recette mère ► MILLE-FEUILLE  aux fraises des bois</v>
      </c>
      <c r="G394" s="89"/>
      <c r="H394" s="108"/>
      <c r="I394" s="91" t="str">
        <f t="shared" si="85"/>
        <v/>
      </c>
      <c r="J394" s="92"/>
      <c r="K394" s="128"/>
      <c r="L394" s="130">
        <v>1</v>
      </c>
      <c r="M394" s="1813" t="str">
        <f>ROWS(M374:M394)&amp;" ►"</f>
        <v>21 ►</v>
      </c>
      <c r="N394" s="1580"/>
      <c r="O394" s="95">
        <f>IF(Q429=0,0,(Q394/Q429)*P373*1000)</f>
        <v>0</v>
      </c>
      <c r="P394" s="105">
        <f>IF(Q429=0, 0, (G394*L394)/(Q429*P373))</f>
        <v>0</v>
      </c>
      <c r="Q394" s="97" cm="1">
        <f t="array" ref="Q394">IFERROR(_xlfn.XLOOKUP(UPPER(TRIM(K394)),UPPER(TRIM(G430:U430)),G431:U431,_xlfn.XLOOKUP(UPPER(TRIM(K394)),UPPER(TRIM(G432:U432)),G433:U433,0))*J394*IF(G394&gt;0,G394,1),0)</f>
        <v>0</v>
      </c>
      <c r="R394" s="110">
        <f>IF(T369&lt;&gt;0,G394*L394*L369,0)</f>
        <v>0</v>
      </c>
      <c r="S394" s="1748">
        <f t="shared" si="88"/>
        <v>0</v>
      </c>
      <c r="T394" s="99">
        <f>IF(OR(ISBLANK(T369),T369=0),0,Q394*L394*L369)</f>
        <v>0</v>
      </c>
      <c r="U394" s="1617" t="str">
        <f>IF(K394="","",IF(COUNTIF(N430:U430,SUBSTITUTE(TRIM(K394)," (s)",""))+COUNTIF(N432:U432,SUBSTITUTE(TRIM(K394)," (s)",""))&gt;0,IF(ROUND(T394,3)&gt;=1,ROUND(T394,3)&amp;" L",MAX(1,ROUND(T394*100,0))&amp;" cl"),IF(COUNTIF(G430:L430,SUBSTITUTE(TRIM(K394)," (s)",""))+COUNTIF(G432:L432,SUBSTITUTE(TRIM(K394)," (s)",""))&gt;0,IF(ROUND(T394,3)&gt;=1,ROUND(T394,3)&amp;" Kg",MAX(1,ROUND(T394*1000,0))&amp;" g"),"")))</f>
        <v/>
      </c>
      <c r="W394" s="103" t="str">
        <f t="shared" si="91"/>
        <v>►</v>
      </c>
      <c r="X394" s="31" t="str">
        <f>X370</f>
        <v>N NAME OF YOUR RECIPE | paste it — FAMILY|  Author &gt; YOU</v>
      </c>
      <c r="Y394" s="32">
        <f>Y370</f>
        <v>1</v>
      </c>
      <c r="Z394" s="31" t="str">
        <f>Z370</f>
        <v>coupe</v>
      </c>
      <c r="AA394" s="33" t="str">
        <f>AA370</f>
        <v>Master recipe ► MILLE-FEUILLE  aux fraises des bois</v>
      </c>
      <c r="AB394" s="89"/>
      <c r="AC394" s="108"/>
      <c r="AD394" s="91" t="str">
        <f t="shared" si="86"/>
        <v/>
      </c>
      <c r="AE394" s="92"/>
      <c r="AF394" s="128"/>
      <c r="AG394" s="130">
        <v>1</v>
      </c>
      <c r="AH394" s="1813" t="str">
        <f>ROWS(AH374:AH394)&amp;" ►"</f>
        <v>21 ►</v>
      </c>
      <c r="AI394" s="1580"/>
      <c r="AJ394" s="95">
        <f>IF(AL429=0,0,(AL394/AL429)*AK373*1000)</f>
        <v>0</v>
      </c>
      <c r="AK394" s="105">
        <f>IF(AL429=0, 0, (AB394*AG394)/(AL429*AK373))</f>
        <v>0</v>
      </c>
      <c r="AL394" s="97" cm="1">
        <f t="array" ref="AL394">IFERROR(_xlfn.XLOOKUP(UPPER(TRIM(AF394)),UPPER(TRIM(AB430:AP430)),AB431:AP431,_xlfn.XLOOKUP(UPPER(TRIM(AF394)),UPPER(TRIM(AB432:AP432)),AB433:AP433,0))*AE394*IF(AB394&gt;0,AB394,1),0)</f>
        <v>0</v>
      </c>
      <c r="AM394" s="110">
        <f>IF(AO369&lt;&gt;0,AB394*AG394*AG369,0)</f>
        <v>0</v>
      </c>
      <c r="AN394" s="1748">
        <f t="shared" si="89"/>
        <v>0</v>
      </c>
      <c r="AO394" s="99">
        <f>IF(OR(ISBLANK(AO369),AO369=0),0,AL394*AG394*AG369)</f>
        <v>0</v>
      </c>
      <c r="AP394" s="1617" t="str">
        <f>IF(AF394="","",IF(COUNTIF(AI430:AP430,SUBSTITUTE(TRIM(AF394)," (s)",""))+COUNTIF(AI432:AP432,SUBSTITUTE(TRIM(AF394)," (s)",""))&gt;0,IF(ROUND(AO394,3)&gt;=1,ROUND(AO394,3)&amp;" L",MAX(1,ROUND(AO394*100,0))&amp;" cl"),IF(COUNTIF(AB430:AG430,SUBSTITUTE(TRIM(AF394)," (s)",""))+COUNTIF(AB432:AG432,SUBSTITUTE(TRIM(AF394)," (s)",""))&gt;0,IF(ROUND(AO394,3)&gt;=1,ROUND(AO394,3)&amp;" Kg",MAX(1,ROUND(AO394*1000,0))&amp;" g"),"")))</f>
        <v/>
      </c>
      <c r="AR394" s="103" t="str">
        <f t="shared" si="92"/>
        <v>►</v>
      </c>
      <c r="AS394" s="31" t="str">
        <f>AS370</f>
        <v>N NOMBRE DE SU RECETA | pegue esto — FAMILIA| Auteur &gt; VOUS</v>
      </c>
      <c r="AT394" s="32">
        <f>AT370</f>
        <v>1</v>
      </c>
      <c r="AU394" s="31" t="str">
        <f>AU370</f>
        <v>coupe</v>
      </c>
      <c r="AV394" s="33" t="str">
        <f>AV370</f>
        <v>Receta madre ► MILLE-FEUILLE  aux fraises des bois</v>
      </c>
      <c r="AW394" s="89"/>
      <c r="AX394" s="108"/>
      <c r="AY394" s="91" t="str">
        <f t="shared" si="87"/>
        <v/>
      </c>
      <c r="AZ394" s="92"/>
      <c r="BA394" s="128"/>
      <c r="BB394" s="130">
        <v>1</v>
      </c>
      <c r="BC394" s="1813" t="str">
        <f>ROWS(BC374:BC394)&amp;" ►"</f>
        <v>21 ►</v>
      </c>
      <c r="BD394" s="1580"/>
      <c r="BE394" s="95">
        <f>IF(BG429=0,0,(BG394/BG429)*BF373*1000)</f>
        <v>0</v>
      </c>
      <c r="BF394" s="105">
        <f>IF(BG429=0, 0, (AW394*BB394)/(BG429*BF373))</f>
        <v>0</v>
      </c>
      <c r="BG394" s="97" cm="1">
        <f t="array" ref="BG394">IFERROR(_xlfn.XLOOKUP(UPPER(TRIM(BA394)),UPPER(TRIM(AW430:BK430)),AW431:BK431,_xlfn.XLOOKUP(UPPER(TRIM(BA394)),UPPER(TRIM(AW432:BK432)),AW433:BK433,0))*AZ394*IF(AW394&gt;0,AW394,1),0)</f>
        <v>0</v>
      </c>
      <c r="BH394" s="110">
        <f>IF(BJ369&lt;&gt;0,AW394*BB394*BB369,0)</f>
        <v>0</v>
      </c>
      <c r="BI394" s="1748">
        <f t="shared" si="90"/>
        <v>0</v>
      </c>
      <c r="BJ394" s="99">
        <f>IF(OR(ISBLANK(BJ369),BJ369=0),0,BG394*BB394*BB369)</f>
        <v>0</v>
      </c>
      <c r="BK394" s="1617" t="str">
        <f>IF(BA394="","",IF(COUNTIF(BD430:BK430,SUBSTITUTE(TRIM(BA394)," (s)",""))+COUNTIF(BD432:BK432,SUBSTITUTE(TRIM(BA394)," (s)",""))&gt;0,IF(ROUND(BJ394,3)&gt;=1,ROUND(BJ394,3)&amp;" L",MAX(1,ROUND(BJ394*100,0))&amp;" cl"),IF(COUNTIF(AW430:BB430,SUBSTITUTE(TRIM(BA394)," (s)",""))+COUNTIF(AW432:BB432,SUBSTITUTE(TRIM(BA394)," (s)",""))&gt;0,IF(ROUND(BJ394,3)&gt;=1,ROUND(BJ394,3)&amp;" Kg",MAX(1,ROUND(BJ394*1000,0))&amp;" g"),"")))</f>
        <v/>
      </c>
      <c r="BM394" s="3">
        <v>1</v>
      </c>
    </row>
    <row r="395" spans="2:65" ht="21" customHeight="1">
      <c r="B395" s="103" t="str">
        <f t="shared" si="93"/>
        <v>►</v>
      </c>
      <c r="C395" s="31" t="str">
        <f>C370</f>
        <v>MAJUSCULE(GAUCHE(J21;1))&amp;" "&amp;J21&amp;" | "&amp;S21&amp;"| "&amp;J23&amp;" "&amp;K23</v>
      </c>
      <c r="D395" s="32">
        <f>D370</f>
        <v>1</v>
      </c>
      <c r="E395" s="31" t="str">
        <f>E370</f>
        <v>coupe</v>
      </c>
      <c r="F395" s="33" t="str">
        <f>F370</f>
        <v>Recette mère ► MILLE-FEUILLE  aux fraises des bois</v>
      </c>
      <c r="G395" s="89"/>
      <c r="H395" s="108"/>
      <c r="I395" s="91" t="str">
        <f t="shared" si="85"/>
        <v/>
      </c>
      <c r="J395" s="92"/>
      <c r="K395" s="128"/>
      <c r="L395" s="130">
        <v>1</v>
      </c>
      <c r="M395" s="1813" t="str">
        <f>ROWS(M374:M395)&amp;" ►"</f>
        <v>22 ►</v>
      </c>
      <c r="N395" s="1580"/>
      <c r="O395" s="95">
        <f>IF(Q429=0,0,(Q395/Q429)*P373*1000)</f>
        <v>0</v>
      </c>
      <c r="P395" s="105">
        <f>IF(Q429=0, 0, (G395*L395)/(Q429*P373))</f>
        <v>0</v>
      </c>
      <c r="Q395" s="97" cm="1">
        <f t="array" ref="Q395">IFERROR(_xlfn.XLOOKUP(UPPER(TRIM(K395)),UPPER(TRIM(G430:U430)),G431:U431,_xlfn.XLOOKUP(UPPER(TRIM(K395)),UPPER(TRIM(G432:U432)),G433:U433,0))*J395*IF(G395&gt;0,G395,1),0)</f>
        <v>0</v>
      </c>
      <c r="R395" s="106">
        <f>IF(T369&lt;&gt;0,G395*L395*L369,0)</f>
        <v>0</v>
      </c>
      <c r="S395" s="1747">
        <f t="shared" si="88"/>
        <v>0</v>
      </c>
      <c r="T395" s="99">
        <f>IF(OR(ISBLANK(T369),T369=0),0,Q395*L395*L369)</f>
        <v>0</v>
      </c>
      <c r="U395" s="1367" t="str">
        <f>IF(K395="","",IF(COUNTIF(N430:U430,SUBSTITUTE(TRIM(K395)," (s)",""))+COUNTIF(N432:U432,SUBSTITUTE(TRIM(K395)," (s)",""))&gt;0,IF(ROUND(T395,3)&gt;=1,ROUND(T395,3)&amp;" L",MAX(1,ROUND(T395*100,0))&amp;" cl"),IF(COUNTIF(G430:L430,SUBSTITUTE(TRIM(K395)," (s)",""))+COUNTIF(G432:L432,SUBSTITUTE(TRIM(K395)," (s)",""))&gt;0,IF(ROUND(T395,3)&gt;=1,ROUND(T395,3)&amp;" Kg",MAX(1,ROUND(T395*1000,0))&amp;" g"),"")))</f>
        <v/>
      </c>
      <c r="W395" s="103" t="str">
        <f t="shared" si="91"/>
        <v>►</v>
      </c>
      <c r="X395" s="31" t="str">
        <f>X370</f>
        <v>N NAME OF YOUR RECIPE | paste it — FAMILY|  Author &gt; YOU</v>
      </c>
      <c r="Y395" s="32">
        <f>Y370</f>
        <v>1</v>
      </c>
      <c r="Z395" s="31" t="str">
        <f>Z370</f>
        <v>coupe</v>
      </c>
      <c r="AA395" s="33" t="str">
        <f>AA370</f>
        <v>Master recipe ► MILLE-FEUILLE  aux fraises des bois</v>
      </c>
      <c r="AB395" s="89"/>
      <c r="AC395" s="108"/>
      <c r="AD395" s="91" t="str">
        <f t="shared" si="86"/>
        <v/>
      </c>
      <c r="AE395" s="92"/>
      <c r="AF395" s="128"/>
      <c r="AG395" s="130">
        <v>1</v>
      </c>
      <c r="AH395" s="1813" t="str">
        <f>ROWS(AH374:AH395)&amp;" ►"</f>
        <v>22 ►</v>
      </c>
      <c r="AI395" s="1580"/>
      <c r="AJ395" s="95">
        <f>IF(AL429=0,0,(AL395/AL429)*AK373*1000)</f>
        <v>0</v>
      </c>
      <c r="AK395" s="105">
        <f>IF(AL429=0, 0, (AB395*AG395)/(AL429*AK373))</f>
        <v>0</v>
      </c>
      <c r="AL395" s="97" cm="1">
        <f t="array" ref="AL395">IFERROR(_xlfn.XLOOKUP(UPPER(TRIM(AF395)),UPPER(TRIM(AB430:AP430)),AB431:AP431,_xlfn.XLOOKUP(UPPER(TRIM(AF395)),UPPER(TRIM(AB432:AP432)),AB433:AP433,0))*AE395*IF(AB395&gt;0,AB395,1),0)</f>
        <v>0</v>
      </c>
      <c r="AM395" s="106">
        <f>IF(AO369&lt;&gt;0,AB395*AG395*AG369,0)</f>
        <v>0</v>
      </c>
      <c r="AN395" s="1747">
        <f t="shared" si="89"/>
        <v>0</v>
      </c>
      <c r="AO395" s="99">
        <f>IF(OR(ISBLANK(AO369),AO369=0),0,AL395*AG395*AG369)</f>
        <v>0</v>
      </c>
      <c r="AP395" s="1367" t="str">
        <f>IF(AF395="","",IF(COUNTIF(AI430:AP430,SUBSTITUTE(TRIM(AF395)," (s)",""))+COUNTIF(AI432:AP432,SUBSTITUTE(TRIM(AF395)," (s)",""))&gt;0,IF(ROUND(AO395,3)&gt;=1,ROUND(AO395,3)&amp;" L",MAX(1,ROUND(AO395*100,0))&amp;" cl"),IF(COUNTIF(AB430:AG430,SUBSTITUTE(TRIM(AF395)," (s)",""))+COUNTIF(AB432:AG432,SUBSTITUTE(TRIM(AF395)," (s)",""))&gt;0,IF(ROUND(AO395,3)&gt;=1,ROUND(AO395,3)&amp;" Kg",MAX(1,ROUND(AO395*1000,0))&amp;" g"),"")))</f>
        <v/>
      </c>
      <c r="AR395" s="103" t="str">
        <f t="shared" si="92"/>
        <v>►</v>
      </c>
      <c r="AS395" s="31" t="str">
        <f>AS370</f>
        <v>N NOMBRE DE SU RECETA | pegue esto — FAMILIA| Auteur &gt; VOUS</v>
      </c>
      <c r="AT395" s="32">
        <f>AT370</f>
        <v>1</v>
      </c>
      <c r="AU395" s="31" t="str">
        <f>AU370</f>
        <v>coupe</v>
      </c>
      <c r="AV395" s="33" t="str">
        <f>AV370</f>
        <v>Receta madre ► MILLE-FEUILLE  aux fraises des bois</v>
      </c>
      <c r="AW395" s="89"/>
      <c r="AX395" s="108"/>
      <c r="AY395" s="91" t="str">
        <f t="shared" si="87"/>
        <v/>
      </c>
      <c r="AZ395" s="92"/>
      <c r="BA395" s="128"/>
      <c r="BB395" s="130">
        <v>1</v>
      </c>
      <c r="BC395" s="1813" t="str">
        <f>ROWS(BC374:BC395)&amp;" ►"</f>
        <v>22 ►</v>
      </c>
      <c r="BD395" s="1580"/>
      <c r="BE395" s="95">
        <f>IF(BG429=0,0,(BG395/BG429)*BF373*1000)</f>
        <v>0</v>
      </c>
      <c r="BF395" s="105">
        <f>IF(BG429=0, 0, (AW395*BB395)/(BG429*BF373))</f>
        <v>0</v>
      </c>
      <c r="BG395" s="97" cm="1">
        <f t="array" ref="BG395">IFERROR(_xlfn.XLOOKUP(UPPER(TRIM(BA395)),UPPER(TRIM(AW430:BK430)),AW431:BK431,_xlfn.XLOOKUP(UPPER(TRIM(BA395)),UPPER(TRIM(AW432:BK432)),AW433:BK433,0))*AZ395*IF(AW395&gt;0,AW395,1),0)</f>
        <v>0</v>
      </c>
      <c r="BH395" s="106">
        <f>IF(BJ369&lt;&gt;0,AW395*BB395*BB369,0)</f>
        <v>0</v>
      </c>
      <c r="BI395" s="1747">
        <f t="shared" si="90"/>
        <v>0</v>
      </c>
      <c r="BJ395" s="99">
        <f>IF(OR(ISBLANK(BJ369),BJ369=0),0,BG395*BB395*BB369)</f>
        <v>0</v>
      </c>
      <c r="BK395" s="1367" t="str">
        <f>IF(BA395="","",IF(COUNTIF(BD430:BK430,SUBSTITUTE(TRIM(BA395)," (s)",""))+COUNTIF(BD432:BK432,SUBSTITUTE(TRIM(BA395)," (s)",""))&gt;0,IF(ROUND(BJ395,3)&gt;=1,ROUND(BJ395,3)&amp;" L",MAX(1,ROUND(BJ395*100,0))&amp;" cl"),IF(COUNTIF(AW430:BB430,SUBSTITUTE(TRIM(BA395)," (s)",""))+COUNTIF(AW432:BB432,SUBSTITUTE(TRIM(BA395)," (s)",""))&gt;0,IF(ROUND(BJ395,3)&gt;=1,ROUND(BJ395,3)&amp;" Kg",MAX(1,ROUND(BJ395*1000,0))&amp;" g"),"")))</f>
        <v/>
      </c>
      <c r="BM395" s="3">
        <v>1</v>
      </c>
    </row>
    <row r="396" spans="2:65" ht="21" customHeight="1">
      <c r="B396" s="103" t="str">
        <f t="shared" si="93"/>
        <v>►</v>
      </c>
      <c r="C396" s="31" t="str">
        <f>C370</f>
        <v>MAJUSCULE(GAUCHE(J21;1))&amp;" "&amp;J21&amp;" | "&amp;S21&amp;"| "&amp;J23&amp;" "&amp;K23</v>
      </c>
      <c r="D396" s="32">
        <f>D370</f>
        <v>1</v>
      </c>
      <c r="E396" s="31" t="str">
        <f>E370</f>
        <v>coupe</v>
      </c>
      <c r="F396" s="33" t="str">
        <f>F370</f>
        <v>Recette mère ► MILLE-FEUILLE  aux fraises des bois</v>
      </c>
      <c r="G396" s="89"/>
      <c r="H396" s="108"/>
      <c r="I396" s="91" t="str">
        <f t="shared" si="85"/>
        <v/>
      </c>
      <c r="J396" s="92"/>
      <c r="K396" s="128"/>
      <c r="L396" s="130">
        <v>1</v>
      </c>
      <c r="M396" s="1813" t="str">
        <f>ROWS(M374:M396)&amp;" ►"</f>
        <v>23 ►</v>
      </c>
      <c r="N396" s="1580"/>
      <c r="O396" s="95">
        <f>IF(Q429=0,0,(Q396/Q429)*P373*1000)</f>
        <v>0</v>
      </c>
      <c r="P396" s="105">
        <f>IF(Q429=0, 0, (G396*L396)/(Q429*P373))</f>
        <v>0</v>
      </c>
      <c r="Q396" s="97" cm="1">
        <f t="array" ref="Q396">IFERROR(_xlfn.XLOOKUP(UPPER(TRIM(K396)),UPPER(TRIM(G430:U430)),G431:U431,_xlfn.XLOOKUP(UPPER(TRIM(K396)),UPPER(TRIM(G432:U432)),G433:U433,0))*J396*IF(G396&gt;0,G396,1),0)</f>
        <v>0</v>
      </c>
      <c r="R396" s="110">
        <f>IF(T369&lt;&gt;0,G396*L396*L369,0)</f>
        <v>0</v>
      </c>
      <c r="S396" s="1748">
        <f t="shared" si="88"/>
        <v>0</v>
      </c>
      <c r="T396" s="99">
        <f>IF(OR(ISBLANK(T369),T369=0),0,Q396*L396*L369)</f>
        <v>0</v>
      </c>
      <c r="U396" s="1617" t="str">
        <f>IF(K396="","",IF(COUNTIF(N430:U430,SUBSTITUTE(TRIM(K396)," (s)",""))+COUNTIF(N432:U432,SUBSTITUTE(TRIM(K396)," (s)",""))&gt;0,IF(ROUND(T396,3)&gt;=1,ROUND(T396,3)&amp;" L",MAX(1,ROUND(T396*100,0))&amp;" cl"),IF(COUNTIF(G430:L430,SUBSTITUTE(TRIM(K396)," (s)",""))+COUNTIF(G432:L432,SUBSTITUTE(TRIM(K396)," (s)",""))&gt;0,IF(ROUND(T396,3)&gt;=1,ROUND(T396,3)&amp;" Kg",MAX(1,ROUND(T396*1000,0))&amp;" g"),"")))</f>
        <v/>
      </c>
      <c r="W396" s="103" t="str">
        <f t="shared" si="91"/>
        <v>►</v>
      </c>
      <c r="X396" s="31" t="str">
        <f>X370</f>
        <v>N NAME OF YOUR RECIPE | paste it — FAMILY|  Author &gt; YOU</v>
      </c>
      <c r="Y396" s="32">
        <f>Y370</f>
        <v>1</v>
      </c>
      <c r="Z396" s="31" t="str">
        <f>Z370</f>
        <v>coupe</v>
      </c>
      <c r="AA396" s="33" t="str">
        <f>AA370</f>
        <v>Master recipe ► MILLE-FEUILLE  aux fraises des bois</v>
      </c>
      <c r="AB396" s="89"/>
      <c r="AC396" s="108"/>
      <c r="AD396" s="91" t="str">
        <f t="shared" si="86"/>
        <v/>
      </c>
      <c r="AE396" s="92"/>
      <c r="AF396" s="128"/>
      <c r="AG396" s="130">
        <v>1</v>
      </c>
      <c r="AH396" s="1813" t="str">
        <f>ROWS(AH374:AH396)&amp;" ►"</f>
        <v>23 ►</v>
      </c>
      <c r="AI396" s="1580"/>
      <c r="AJ396" s="95">
        <f>IF(AL429=0,0,(AL396/AL429)*AK373*1000)</f>
        <v>0</v>
      </c>
      <c r="AK396" s="105">
        <f>IF(AL429=0, 0, (AB396*AG396)/(AL429*AK373))</f>
        <v>0</v>
      </c>
      <c r="AL396" s="97" cm="1">
        <f t="array" ref="AL396">IFERROR(_xlfn.XLOOKUP(UPPER(TRIM(AF396)),UPPER(TRIM(AB430:AP430)),AB431:AP431,_xlfn.XLOOKUP(UPPER(TRIM(AF396)),UPPER(TRIM(AB432:AP432)),AB433:AP433,0))*AE396*IF(AB396&gt;0,AB396,1),0)</f>
        <v>0</v>
      </c>
      <c r="AM396" s="110">
        <f>IF(AO369&lt;&gt;0,AB396*AG396*AG369,0)</f>
        <v>0</v>
      </c>
      <c r="AN396" s="1748">
        <f t="shared" si="89"/>
        <v>0</v>
      </c>
      <c r="AO396" s="99">
        <f>IF(OR(ISBLANK(AO369),AO369=0),0,AL396*AG396*AG369)</f>
        <v>0</v>
      </c>
      <c r="AP396" s="1617" t="str">
        <f>IF(AF396="","",IF(COUNTIF(AI430:AP430,SUBSTITUTE(TRIM(AF396)," (s)",""))+COUNTIF(AI432:AP432,SUBSTITUTE(TRIM(AF396)," (s)",""))&gt;0,IF(ROUND(AO396,3)&gt;=1,ROUND(AO396,3)&amp;" L",MAX(1,ROUND(AO396*100,0))&amp;" cl"),IF(COUNTIF(AB430:AG430,SUBSTITUTE(TRIM(AF396)," (s)",""))+COUNTIF(AB432:AG432,SUBSTITUTE(TRIM(AF396)," (s)",""))&gt;0,IF(ROUND(AO396,3)&gt;=1,ROUND(AO396,3)&amp;" Kg",MAX(1,ROUND(AO396*1000,0))&amp;" g"),"")))</f>
        <v/>
      </c>
      <c r="AR396" s="103" t="str">
        <f t="shared" si="92"/>
        <v>►</v>
      </c>
      <c r="AS396" s="31" t="str">
        <f>AS370</f>
        <v>N NOMBRE DE SU RECETA | pegue esto — FAMILIA| Auteur &gt; VOUS</v>
      </c>
      <c r="AT396" s="32">
        <f>AT370</f>
        <v>1</v>
      </c>
      <c r="AU396" s="31" t="str">
        <f>AU370</f>
        <v>coupe</v>
      </c>
      <c r="AV396" s="33" t="str">
        <f>AV370</f>
        <v>Receta madre ► MILLE-FEUILLE  aux fraises des bois</v>
      </c>
      <c r="AW396" s="89"/>
      <c r="AX396" s="108"/>
      <c r="AY396" s="91" t="str">
        <f t="shared" si="87"/>
        <v/>
      </c>
      <c r="AZ396" s="92"/>
      <c r="BA396" s="128"/>
      <c r="BB396" s="130">
        <v>1</v>
      </c>
      <c r="BC396" s="1813" t="str">
        <f>ROWS(BC374:BC396)&amp;" ►"</f>
        <v>23 ►</v>
      </c>
      <c r="BD396" s="1580"/>
      <c r="BE396" s="95">
        <f>IF(BG429=0,0,(BG396/BG429)*BF373*1000)</f>
        <v>0</v>
      </c>
      <c r="BF396" s="105">
        <f>IF(BG429=0, 0, (AW396*BB396)/(BG429*BF373))</f>
        <v>0</v>
      </c>
      <c r="BG396" s="97" cm="1">
        <f t="array" ref="BG396">IFERROR(_xlfn.XLOOKUP(UPPER(TRIM(BA396)),UPPER(TRIM(AW430:BK430)),AW431:BK431,_xlfn.XLOOKUP(UPPER(TRIM(BA396)),UPPER(TRIM(AW432:BK432)),AW433:BK433,0))*AZ396*IF(AW396&gt;0,AW396,1),0)</f>
        <v>0</v>
      </c>
      <c r="BH396" s="110">
        <f>IF(BJ369&lt;&gt;0,AW396*BB396*BB369,0)</f>
        <v>0</v>
      </c>
      <c r="BI396" s="1748">
        <f t="shared" si="90"/>
        <v>0</v>
      </c>
      <c r="BJ396" s="99">
        <f>IF(OR(ISBLANK(BJ369),BJ369=0),0,BG396*BB396*BB369)</f>
        <v>0</v>
      </c>
      <c r="BK396" s="1617" t="str">
        <f>IF(BA396="","",IF(COUNTIF(BD430:BK430,SUBSTITUTE(TRIM(BA396)," (s)",""))+COUNTIF(BD432:BK432,SUBSTITUTE(TRIM(BA396)," (s)",""))&gt;0,IF(ROUND(BJ396,3)&gt;=1,ROUND(BJ396,3)&amp;" L",MAX(1,ROUND(BJ396*100,0))&amp;" cl"),IF(COUNTIF(AW430:BB430,SUBSTITUTE(TRIM(BA396)," (s)",""))+COUNTIF(AW432:BB432,SUBSTITUTE(TRIM(BA396)," (s)",""))&gt;0,IF(ROUND(BJ396,3)&gt;=1,ROUND(BJ396,3)&amp;" Kg",MAX(1,ROUND(BJ396*1000,0))&amp;" g"),"")))</f>
        <v/>
      </c>
      <c r="BM396" s="3">
        <v>1</v>
      </c>
    </row>
    <row r="397" spans="2:65" ht="21" customHeight="1">
      <c r="B397" s="103" t="str">
        <f t="shared" si="93"/>
        <v>►</v>
      </c>
      <c r="C397" s="31" t="str">
        <f>C370</f>
        <v>MAJUSCULE(GAUCHE(J21;1))&amp;" "&amp;J21&amp;" | "&amp;S21&amp;"| "&amp;J23&amp;" "&amp;K23</v>
      </c>
      <c r="D397" s="32">
        <f>D370</f>
        <v>1</v>
      </c>
      <c r="E397" s="31" t="str">
        <f>E370</f>
        <v>coupe</v>
      </c>
      <c r="F397" s="33" t="str">
        <f>F370</f>
        <v>Recette mère ► MILLE-FEUILLE  aux fraises des bois</v>
      </c>
      <c r="G397" s="89"/>
      <c r="H397" s="108"/>
      <c r="I397" s="91" t="str">
        <f t="shared" si="85"/>
        <v/>
      </c>
      <c r="J397" s="92"/>
      <c r="K397" s="128"/>
      <c r="L397" s="130">
        <v>1</v>
      </c>
      <c r="M397" s="1813" t="str">
        <f>ROWS(M374:M397)&amp;" ►"</f>
        <v>24 ►</v>
      </c>
      <c r="N397" s="1580"/>
      <c r="O397" s="95">
        <f>IF(Q429=0,0,(Q397/Q429)*P373*1000)</f>
        <v>0</v>
      </c>
      <c r="P397" s="105">
        <f>IF(Q429=0, 0, (G397*L397)/(Q429*P373))</f>
        <v>0</v>
      </c>
      <c r="Q397" s="97" cm="1">
        <f t="array" ref="Q397">IFERROR(_xlfn.XLOOKUP(UPPER(TRIM(K397)),UPPER(TRIM(G430:U430)),G431:U431,_xlfn.XLOOKUP(UPPER(TRIM(K397)),UPPER(TRIM(G432:U432)),G433:U433,0))*J397*IF(G397&gt;0,G397,1),0)</f>
        <v>0</v>
      </c>
      <c r="R397" s="106">
        <f>IF(T369&lt;&gt;0,G397*L397*L369,0)</f>
        <v>0</v>
      </c>
      <c r="S397" s="1747">
        <f t="shared" si="88"/>
        <v>0</v>
      </c>
      <c r="T397" s="99">
        <f>IF(OR(ISBLANK(T369),T369=0),0,Q397*L397*L369)</f>
        <v>0</v>
      </c>
      <c r="U397" s="1367" t="str">
        <f>IF(K397="","",IF(COUNTIF(N430:U430,SUBSTITUTE(TRIM(K397)," (s)",""))+COUNTIF(N432:U432,SUBSTITUTE(TRIM(K397)," (s)",""))&gt;0,IF(ROUND(T397,3)&gt;=1,ROUND(T397,3)&amp;" L",MAX(1,ROUND(T397*100,0))&amp;" cl"),IF(COUNTIF(G430:L430,SUBSTITUTE(TRIM(K397)," (s)",""))+COUNTIF(G432:L432,SUBSTITUTE(TRIM(K397)," (s)",""))&gt;0,IF(ROUND(T397,3)&gt;=1,ROUND(T397,3)&amp;" Kg",MAX(1,ROUND(T397*1000,0))&amp;" g"),"")))</f>
        <v/>
      </c>
      <c r="W397" s="103" t="str">
        <f t="shared" si="91"/>
        <v>►</v>
      </c>
      <c r="X397" s="31" t="str">
        <f>X370</f>
        <v>N NAME OF YOUR RECIPE | paste it — FAMILY|  Author &gt; YOU</v>
      </c>
      <c r="Y397" s="32">
        <f>Y370</f>
        <v>1</v>
      </c>
      <c r="Z397" s="31" t="str">
        <f>Z370</f>
        <v>coupe</v>
      </c>
      <c r="AA397" s="33" t="str">
        <f>AA370</f>
        <v>Master recipe ► MILLE-FEUILLE  aux fraises des bois</v>
      </c>
      <c r="AB397" s="89"/>
      <c r="AC397" s="108"/>
      <c r="AD397" s="91" t="str">
        <f t="shared" si="86"/>
        <v/>
      </c>
      <c r="AE397" s="92"/>
      <c r="AF397" s="128"/>
      <c r="AG397" s="130">
        <v>1</v>
      </c>
      <c r="AH397" s="1813" t="str">
        <f>ROWS(AH374:AH397)&amp;" ►"</f>
        <v>24 ►</v>
      </c>
      <c r="AI397" s="1580"/>
      <c r="AJ397" s="95">
        <f>IF(AL429=0,0,(AL397/AL429)*AK373*1000)</f>
        <v>0</v>
      </c>
      <c r="AK397" s="105">
        <f>IF(AL429=0, 0, (AB397*AG397)/(AL429*AK373))</f>
        <v>0</v>
      </c>
      <c r="AL397" s="97" cm="1">
        <f t="array" ref="AL397">IFERROR(_xlfn.XLOOKUP(UPPER(TRIM(AF397)),UPPER(TRIM(AB430:AP430)),AB431:AP431,_xlfn.XLOOKUP(UPPER(TRIM(AF397)),UPPER(TRIM(AB432:AP432)),AB433:AP433,0))*AE397*IF(AB397&gt;0,AB397,1),0)</f>
        <v>0</v>
      </c>
      <c r="AM397" s="106">
        <f>IF(AO369&lt;&gt;0,AB397*AG397*AG369,0)</f>
        <v>0</v>
      </c>
      <c r="AN397" s="1747">
        <f t="shared" si="89"/>
        <v>0</v>
      </c>
      <c r="AO397" s="99">
        <f>IF(OR(ISBLANK(AO369),AO369=0),0,AL397*AG397*AG369)</f>
        <v>0</v>
      </c>
      <c r="AP397" s="1367" t="str">
        <f>IF(AF397="","",IF(COUNTIF(AI430:AP430,SUBSTITUTE(TRIM(AF397)," (s)",""))+COUNTIF(AI432:AP432,SUBSTITUTE(TRIM(AF397)," (s)",""))&gt;0,IF(ROUND(AO397,3)&gt;=1,ROUND(AO397,3)&amp;" L",MAX(1,ROUND(AO397*100,0))&amp;" cl"),IF(COUNTIF(AB430:AG430,SUBSTITUTE(TRIM(AF397)," (s)",""))+COUNTIF(AB432:AG432,SUBSTITUTE(TRIM(AF397)," (s)",""))&gt;0,IF(ROUND(AO397,3)&gt;=1,ROUND(AO397,3)&amp;" Kg",MAX(1,ROUND(AO397*1000,0))&amp;" g"),"")))</f>
        <v/>
      </c>
      <c r="AR397" s="103" t="str">
        <f t="shared" si="92"/>
        <v>►</v>
      </c>
      <c r="AS397" s="31" t="str">
        <f>AS370</f>
        <v>N NOMBRE DE SU RECETA | pegue esto — FAMILIA| Auteur &gt; VOUS</v>
      </c>
      <c r="AT397" s="32">
        <f>AT370</f>
        <v>1</v>
      </c>
      <c r="AU397" s="31" t="str">
        <f>AU370</f>
        <v>coupe</v>
      </c>
      <c r="AV397" s="33" t="str">
        <f>AV370</f>
        <v>Receta madre ► MILLE-FEUILLE  aux fraises des bois</v>
      </c>
      <c r="AW397" s="89"/>
      <c r="AX397" s="108"/>
      <c r="AY397" s="91" t="str">
        <f t="shared" si="87"/>
        <v/>
      </c>
      <c r="AZ397" s="92"/>
      <c r="BA397" s="128"/>
      <c r="BB397" s="130">
        <v>1</v>
      </c>
      <c r="BC397" s="1813" t="str">
        <f>ROWS(BC374:BC397)&amp;" ►"</f>
        <v>24 ►</v>
      </c>
      <c r="BD397" s="1580"/>
      <c r="BE397" s="95">
        <f>IF(BG429=0,0,(BG397/BG429)*BF373*1000)</f>
        <v>0</v>
      </c>
      <c r="BF397" s="105">
        <f>IF(BG429=0, 0, (AW397*BB397)/(BG429*BF373))</f>
        <v>0</v>
      </c>
      <c r="BG397" s="97" cm="1">
        <f t="array" ref="BG397">IFERROR(_xlfn.XLOOKUP(UPPER(TRIM(BA397)),UPPER(TRIM(AW430:BK430)),AW431:BK431,_xlfn.XLOOKUP(UPPER(TRIM(BA397)),UPPER(TRIM(AW432:BK432)),AW433:BK433,0))*AZ397*IF(AW397&gt;0,AW397,1),0)</f>
        <v>0</v>
      </c>
      <c r="BH397" s="106">
        <f>IF(BJ369&lt;&gt;0,AW397*BB397*BB369,0)</f>
        <v>0</v>
      </c>
      <c r="BI397" s="1747">
        <f t="shared" si="90"/>
        <v>0</v>
      </c>
      <c r="BJ397" s="99">
        <f>IF(OR(ISBLANK(BJ369),BJ369=0),0,BG397*BB397*BB369)</f>
        <v>0</v>
      </c>
      <c r="BK397" s="1367" t="str">
        <f>IF(BA397="","",IF(COUNTIF(BD430:BK430,SUBSTITUTE(TRIM(BA397)," (s)",""))+COUNTIF(BD432:BK432,SUBSTITUTE(TRIM(BA397)," (s)",""))&gt;0,IF(ROUND(BJ397,3)&gt;=1,ROUND(BJ397,3)&amp;" L",MAX(1,ROUND(BJ397*100,0))&amp;" cl"),IF(COUNTIF(AW430:BB430,SUBSTITUTE(TRIM(BA397)," (s)",""))+COUNTIF(AW432:BB432,SUBSTITUTE(TRIM(BA397)," (s)",""))&gt;0,IF(ROUND(BJ397,3)&gt;=1,ROUND(BJ397,3)&amp;" Kg",MAX(1,ROUND(BJ397*1000,0))&amp;" g"),"")))</f>
        <v/>
      </c>
      <c r="BM397" s="3">
        <v>1</v>
      </c>
    </row>
    <row r="398" spans="2:65" ht="21" customHeight="1">
      <c r="B398" s="103" t="str">
        <f t="shared" si="93"/>
        <v>►</v>
      </c>
      <c r="C398" s="31" t="str">
        <f>C370</f>
        <v>MAJUSCULE(GAUCHE(J21;1))&amp;" "&amp;J21&amp;" | "&amp;S21&amp;"| "&amp;J23&amp;" "&amp;K23</v>
      </c>
      <c r="D398" s="32">
        <f>D370</f>
        <v>1</v>
      </c>
      <c r="E398" s="31" t="str">
        <f>E370</f>
        <v>coupe</v>
      </c>
      <c r="F398" s="33" t="str">
        <f>F370</f>
        <v>Recette mère ► MILLE-FEUILLE  aux fraises des bois</v>
      </c>
      <c r="G398" s="89"/>
      <c r="H398" s="108"/>
      <c r="I398" s="91" t="str">
        <f t="shared" si="85"/>
        <v/>
      </c>
      <c r="J398" s="92"/>
      <c r="K398" s="128"/>
      <c r="L398" s="130">
        <v>1</v>
      </c>
      <c r="M398" s="1813" t="str">
        <f>ROWS(M374:M398)&amp;" ►"</f>
        <v>25 ►</v>
      </c>
      <c r="N398" s="1580"/>
      <c r="O398" s="95">
        <f>IF(Q429=0,0,(Q398/Q429)*P373*1000)</f>
        <v>0</v>
      </c>
      <c r="P398" s="105">
        <f>IF(Q429=0, 0, (G398*L398)/(Q429*P373))</f>
        <v>0</v>
      </c>
      <c r="Q398" s="97" cm="1">
        <f t="array" ref="Q398">IFERROR(_xlfn.XLOOKUP(UPPER(TRIM(K398)),UPPER(TRIM(G430:U430)),G431:U431,_xlfn.XLOOKUP(UPPER(TRIM(K398)),UPPER(TRIM(G432:U432)),G433:U433,0))*J398*IF(G398&gt;0,G398,1),0)</f>
        <v>0</v>
      </c>
      <c r="R398" s="110">
        <f>IF(T369&lt;&gt;0,G398*L398*L369,0)</f>
        <v>0</v>
      </c>
      <c r="S398" s="1748">
        <f t="shared" si="88"/>
        <v>0</v>
      </c>
      <c r="T398" s="99">
        <f>IF(OR(ISBLANK(T369),T369=0),0,Q398*L398*L369)</f>
        <v>0</v>
      </c>
      <c r="U398" s="1617" t="str">
        <f>IF(K398="","",IF(COUNTIF(N430:U430,SUBSTITUTE(TRIM(K398)," (s)",""))+COUNTIF(N432:U432,SUBSTITUTE(TRIM(K398)," (s)",""))&gt;0,IF(ROUND(T398,3)&gt;=1,ROUND(T398,3)&amp;" L",MAX(1,ROUND(T398*100,0))&amp;" cl"),IF(COUNTIF(G430:L430,SUBSTITUTE(TRIM(K398)," (s)",""))+COUNTIF(G432:L432,SUBSTITUTE(TRIM(K398)," (s)",""))&gt;0,IF(ROUND(T398,3)&gt;=1,ROUND(T398,3)&amp;" Kg",MAX(1,ROUND(T398*1000,0))&amp;" g"),"")))</f>
        <v/>
      </c>
      <c r="W398" s="103" t="str">
        <f t="shared" si="91"/>
        <v>►</v>
      </c>
      <c r="X398" s="31" t="str">
        <f>X370</f>
        <v>N NAME OF YOUR RECIPE | paste it — FAMILY|  Author &gt; YOU</v>
      </c>
      <c r="Y398" s="32">
        <f>Y370</f>
        <v>1</v>
      </c>
      <c r="Z398" s="31" t="str">
        <f>Z370</f>
        <v>coupe</v>
      </c>
      <c r="AA398" s="33" t="str">
        <f>AA370</f>
        <v>Master recipe ► MILLE-FEUILLE  aux fraises des bois</v>
      </c>
      <c r="AB398" s="89"/>
      <c r="AC398" s="108"/>
      <c r="AD398" s="91" t="str">
        <f t="shared" si="86"/>
        <v/>
      </c>
      <c r="AE398" s="92"/>
      <c r="AF398" s="128"/>
      <c r="AG398" s="130">
        <v>1</v>
      </c>
      <c r="AH398" s="1813" t="str">
        <f>ROWS(AH374:AH398)&amp;" ►"</f>
        <v>25 ►</v>
      </c>
      <c r="AI398" s="1580"/>
      <c r="AJ398" s="95">
        <f>IF(AL429=0,0,(AL398/AL429)*AK373*1000)</f>
        <v>0</v>
      </c>
      <c r="AK398" s="105">
        <f>IF(AL429=0, 0, (AB398*AG398)/(AL429*AK373))</f>
        <v>0</v>
      </c>
      <c r="AL398" s="97" cm="1">
        <f t="array" ref="AL398">IFERROR(_xlfn.XLOOKUP(UPPER(TRIM(AF398)),UPPER(TRIM(AB430:AP430)),AB431:AP431,_xlfn.XLOOKUP(UPPER(TRIM(AF398)),UPPER(TRIM(AB432:AP432)),AB433:AP433,0))*AE398*IF(AB398&gt;0,AB398,1),0)</f>
        <v>0</v>
      </c>
      <c r="AM398" s="110">
        <f>IF(AO369&lt;&gt;0,AB398*AG398*AG369,0)</f>
        <v>0</v>
      </c>
      <c r="AN398" s="1748">
        <f t="shared" si="89"/>
        <v>0</v>
      </c>
      <c r="AO398" s="99">
        <f>IF(OR(ISBLANK(AO369),AO369=0),0,AL398*AG398*AG369)</f>
        <v>0</v>
      </c>
      <c r="AP398" s="1617" t="str">
        <f>IF(AF398="","",IF(COUNTIF(AI430:AP430,SUBSTITUTE(TRIM(AF398)," (s)",""))+COUNTIF(AI432:AP432,SUBSTITUTE(TRIM(AF398)," (s)",""))&gt;0,IF(ROUND(AO398,3)&gt;=1,ROUND(AO398,3)&amp;" L",MAX(1,ROUND(AO398*100,0))&amp;" cl"),IF(COUNTIF(AB430:AG430,SUBSTITUTE(TRIM(AF398)," (s)",""))+COUNTIF(AB432:AG432,SUBSTITUTE(TRIM(AF398)," (s)",""))&gt;0,IF(ROUND(AO398,3)&gt;=1,ROUND(AO398,3)&amp;" Kg",MAX(1,ROUND(AO398*1000,0))&amp;" g"),"")))</f>
        <v/>
      </c>
      <c r="AR398" s="103" t="str">
        <f t="shared" si="92"/>
        <v>►</v>
      </c>
      <c r="AS398" s="31" t="str">
        <f>AS370</f>
        <v>N NOMBRE DE SU RECETA | pegue esto — FAMILIA| Auteur &gt; VOUS</v>
      </c>
      <c r="AT398" s="32">
        <f>AT370</f>
        <v>1</v>
      </c>
      <c r="AU398" s="31" t="str">
        <f>AU370</f>
        <v>coupe</v>
      </c>
      <c r="AV398" s="33" t="str">
        <f>AV370</f>
        <v>Receta madre ► MILLE-FEUILLE  aux fraises des bois</v>
      </c>
      <c r="AW398" s="89"/>
      <c r="AX398" s="108"/>
      <c r="AY398" s="91" t="str">
        <f t="shared" si="87"/>
        <v/>
      </c>
      <c r="AZ398" s="92"/>
      <c r="BA398" s="128"/>
      <c r="BB398" s="130">
        <v>1</v>
      </c>
      <c r="BC398" s="1813" t="str">
        <f>ROWS(BC374:BC398)&amp;" ►"</f>
        <v>25 ►</v>
      </c>
      <c r="BD398" s="1580"/>
      <c r="BE398" s="95">
        <f>IF(BG429=0,0,(BG398/BG429)*BF373*1000)</f>
        <v>0</v>
      </c>
      <c r="BF398" s="105">
        <f>IF(BG429=0, 0, (AW398*BB398)/(BG429*BF373))</f>
        <v>0</v>
      </c>
      <c r="BG398" s="97" cm="1">
        <f t="array" ref="BG398">IFERROR(_xlfn.XLOOKUP(UPPER(TRIM(BA398)),UPPER(TRIM(AW430:BK430)),AW431:BK431,_xlfn.XLOOKUP(UPPER(TRIM(BA398)),UPPER(TRIM(AW432:BK432)),AW433:BK433,0))*AZ398*IF(AW398&gt;0,AW398,1),0)</f>
        <v>0</v>
      </c>
      <c r="BH398" s="110">
        <f>IF(BJ369&lt;&gt;0,AW398*BB398*BB369,0)</f>
        <v>0</v>
      </c>
      <c r="BI398" s="1748">
        <f t="shared" si="90"/>
        <v>0</v>
      </c>
      <c r="BJ398" s="99">
        <f>IF(OR(ISBLANK(BJ369),BJ369=0),0,BG398*BB398*BB369)</f>
        <v>0</v>
      </c>
      <c r="BK398" s="1617" t="str">
        <f>IF(BA398="","",IF(COUNTIF(BD430:BK430,SUBSTITUTE(TRIM(BA398)," (s)",""))+COUNTIF(BD432:BK432,SUBSTITUTE(TRIM(BA398)," (s)",""))&gt;0,IF(ROUND(BJ398,3)&gt;=1,ROUND(BJ398,3)&amp;" L",MAX(1,ROUND(BJ398*100,0))&amp;" cl"),IF(COUNTIF(AW430:BB430,SUBSTITUTE(TRIM(BA398)," (s)",""))+COUNTIF(AW432:BB432,SUBSTITUTE(TRIM(BA398)," (s)",""))&gt;0,IF(ROUND(BJ398,3)&gt;=1,ROUND(BJ398,3)&amp;" Kg",MAX(1,ROUND(BJ398*1000,0))&amp;" g"),"")))</f>
        <v/>
      </c>
      <c r="BM398" s="3">
        <v>1</v>
      </c>
    </row>
    <row r="399" spans="2:65" ht="21" customHeight="1">
      <c r="B399" s="103" t="str">
        <f t="shared" si="93"/>
        <v>►</v>
      </c>
      <c r="C399" s="31" t="str">
        <f>C370</f>
        <v>MAJUSCULE(GAUCHE(J21;1))&amp;" "&amp;J21&amp;" | "&amp;S21&amp;"| "&amp;J23&amp;" "&amp;K23</v>
      </c>
      <c r="D399" s="32">
        <f>D370</f>
        <v>1</v>
      </c>
      <c r="E399" s="31" t="str">
        <f>E370</f>
        <v>coupe</v>
      </c>
      <c r="F399" s="33" t="str">
        <f>F370</f>
        <v>Recette mère ► MILLE-FEUILLE  aux fraises des bois</v>
      </c>
      <c r="G399" s="89"/>
      <c r="H399" s="108"/>
      <c r="I399" s="91" t="str">
        <f t="shared" si="85"/>
        <v/>
      </c>
      <c r="J399" s="92"/>
      <c r="K399" s="128"/>
      <c r="L399" s="130">
        <v>1</v>
      </c>
      <c r="M399" s="1813" t="str">
        <f>ROWS(M374:M399)&amp;" ►"</f>
        <v>26 ►</v>
      </c>
      <c r="N399" s="1580"/>
      <c r="O399" s="95">
        <f>IF(Q429=0,0,(Q399/Q429)*P373*1000)</f>
        <v>0</v>
      </c>
      <c r="P399" s="105">
        <f>IF(Q429=0, 0, (G399*L399)/(Q429*P373))</f>
        <v>0</v>
      </c>
      <c r="Q399" s="97" cm="1">
        <f t="array" ref="Q399">IFERROR(_xlfn.XLOOKUP(UPPER(TRIM(K399)),UPPER(TRIM(G430:U430)),G431:U431,_xlfn.XLOOKUP(UPPER(TRIM(K399)),UPPER(TRIM(G432:U432)),G433:U433,0))*J399*IF(G399&gt;0,G399,1),0)</f>
        <v>0</v>
      </c>
      <c r="R399" s="106">
        <f>IF(T369&lt;&gt;0,G399*L399*L369,0)</f>
        <v>0</v>
      </c>
      <c r="S399" s="1747">
        <f t="shared" si="88"/>
        <v>0</v>
      </c>
      <c r="T399" s="99">
        <f>IF(OR(ISBLANK(T369),T369=0),0,Q399*L399*L369)</f>
        <v>0</v>
      </c>
      <c r="U399" s="1367" t="str">
        <f>IF(K399="","",IF(COUNTIF(N430:U430,SUBSTITUTE(TRIM(K399)," (s)",""))+COUNTIF(N432:U432,SUBSTITUTE(TRIM(K399)," (s)",""))&gt;0,IF(ROUND(T399,3)&gt;=1,ROUND(T399,3)&amp;" L",MAX(1,ROUND(T399*100,0))&amp;" cl"),IF(COUNTIF(G430:L430,SUBSTITUTE(TRIM(K399)," (s)",""))+COUNTIF(G432:L432,SUBSTITUTE(TRIM(K399)," (s)",""))&gt;0,IF(ROUND(T399,3)&gt;=1,ROUND(T399,3)&amp;" Kg",MAX(1,ROUND(T399*1000,0))&amp;" g"),"")))</f>
        <v/>
      </c>
      <c r="W399" s="103" t="str">
        <f t="shared" si="91"/>
        <v>►</v>
      </c>
      <c r="X399" s="31" t="str">
        <f>X370</f>
        <v>N NAME OF YOUR RECIPE | paste it — FAMILY|  Author &gt; YOU</v>
      </c>
      <c r="Y399" s="32">
        <f>Y370</f>
        <v>1</v>
      </c>
      <c r="Z399" s="31" t="str">
        <f>Z370</f>
        <v>coupe</v>
      </c>
      <c r="AA399" s="33" t="str">
        <f>AA370</f>
        <v>Master recipe ► MILLE-FEUILLE  aux fraises des bois</v>
      </c>
      <c r="AB399" s="89"/>
      <c r="AC399" s="108"/>
      <c r="AD399" s="91" t="str">
        <f t="shared" si="86"/>
        <v/>
      </c>
      <c r="AE399" s="92"/>
      <c r="AF399" s="128"/>
      <c r="AG399" s="130">
        <v>1</v>
      </c>
      <c r="AH399" s="1813" t="str">
        <f>ROWS(AH374:AH399)&amp;" ►"</f>
        <v>26 ►</v>
      </c>
      <c r="AI399" s="1580"/>
      <c r="AJ399" s="95">
        <f>IF(AL429=0,0,(AL399/AL429)*AK373*1000)</f>
        <v>0</v>
      </c>
      <c r="AK399" s="105">
        <f>IF(AL429=0, 0, (AB399*AG399)/(AL429*AK373))</f>
        <v>0</v>
      </c>
      <c r="AL399" s="97" cm="1">
        <f t="array" ref="AL399">IFERROR(_xlfn.XLOOKUP(UPPER(TRIM(AF399)),UPPER(TRIM(AB430:AP430)),AB431:AP431,_xlfn.XLOOKUP(UPPER(TRIM(AF399)),UPPER(TRIM(AB432:AP432)),AB433:AP433,0))*AE399*IF(AB399&gt;0,AB399,1),0)</f>
        <v>0</v>
      </c>
      <c r="AM399" s="106">
        <f>IF(AO369&lt;&gt;0,AB399*AG399*AG369,0)</f>
        <v>0</v>
      </c>
      <c r="AN399" s="1747">
        <f t="shared" si="89"/>
        <v>0</v>
      </c>
      <c r="AO399" s="99">
        <f>IF(OR(ISBLANK(AO369),AO369=0),0,AL399*AG399*AG369)</f>
        <v>0</v>
      </c>
      <c r="AP399" s="1367" t="str">
        <f>IF(AF399="","",IF(COUNTIF(AI430:AP430,SUBSTITUTE(TRIM(AF399)," (s)",""))+COUNTIF(AI432:AP432,SUBSTITUTE(TRIM(AF399)," (s)",""))&gt;0,IF(ROUND(AO399,3)&gt;=1,ROUND(AO399,3)&amp;" L",MAX(1,ROUND(AO399*100,0))&amp;" cl"),IF(COUNTIF(AB430:AG430,SUBSTITUTE(TRIM(AF399)," (s)",""))+COUNTIF(AB432:AG432,SUBSTITUTE(TRIM(AF399)," (s)",""))&gt;0,IF(ROUND(AO399,3)&gt;=1,ROUND(AO399,3)&amp;" Kg",MAX(1,ROUND(AO399*1000,0))&amp;" g"),"")))</f>
        <v/>
      </c>
      <c r="AR399" s="103" t="str">
        <f t="shared" si="92"/>
        <v>►</v>
      </c>
      <c r="AS399" s="31" t="str">
        <f>AS370</f>
        <v>N NOMBRE DE SU RECETA | pegue esto — FAMILIA| Auteur &gt; VOUS</v>
      </c>
      <c r="AT399" s="32">
        <f>AT370</f>
        <v>1</v>
      </c>
      <c r="AU399" s="31" t="str">
        <f>AU370</f>
        <v>coupe</v>
      </c>
      <c r="AV399" s="33" t="str">
        <f>AV370</f>
        <v>Receta madre ► MILLE-FEUILLE  aux fraises des bois</v>
      </c>
      <c r="AW399" s="89"/>
      <c r="AX399" s="108"/>
      <c r="AY399" s="91" t="str">
        <f t="shared" si="87"/>
        <v/>
      </c>
      <c r="AZ399" s="92"/>
      <c r="BA399" s="128"/>
      <c r="BB399" s="130">
        <v>1</v>
      </c>
      <c r="BC399" s="1813" t="str">
        <f>ROWS(BC374:BC399)&amp;" ►"</f>
        <v>26 ►</v>
      </c>
      <c r="BD399" s="1580"/>
      <c r="BE399" s="95">
        <f>IF(BG429=0,0,(BG399/BG429)*BF373*1000)</f>
        <v>0</v>
      </c>
      <c r="BF399" s="105">
        <f>IF(BG429=0, 0, (AW399*BB399)/(BG429*BF373))</f>
        <v>0</v>
      </c>
      <c r="BG399" s="97" cm="1">
        <f t="array" ref="BG399">IFERROR(_xlfn.XLOOKUP(UPPER(TRIM(BA399)),UPPER(TRIM(AW430:BK430)),AW431:BK431,_xlfn.XLOOKUP(UPPER(TRIM(BA399)),UPPER(TRIM(AW432:BK432)),AW433:BK433,0))*AZ399*IF(AW399&gt;0,AW399,1),0)</f>
        <v>0</v>
      </c>
      <c r="BH399" s="106">
        <f>IF(BJ369&lt;&gt;0,AW399*BB399*BB369,0)</f>
        <v>0</v>
      </c>
      <c r="BI399" s="1747">
        <f t="shared" si="90"/>
        <v>0</v>
      </c>
      <c r="BJ399" s="99">
        <f>IF(OR(ISBLANK(BJ369),BJ369=0),0,BG399*BB399*BB369)</f>
        <v>0</v>
      </c>
      <c r="BK399" s="1367" t="str">
        <f>IF(BA399="","",IF(COUNTIF(BD430:BK430,SUBSTITUTE(TRIM(BA399)," (s)",""))+COUNTIF(BD432:BK432,SUBSTITUTE(TRIM(BA399)," (s)",""))&gt;0,IF(ROUND(BJ399,3)&gt;=1,ROUND(BJ399,3)&amp;" L",MAX(1,ROUND(BJ399*100,0))&amp;" cl"),IF(COUNTIF(AW430:BB430,SUBSTITUTE(TRIM(BA399)," (s)",""))+COUNTIF(AW432:BB432,SUBSTITUTE(TRIM(BA399)," (s)",""))&gt;0,IF(ROUND(BJ399,3)&gt;=1,ROUND(BJ399,3)&amp;" Kg",MAX(1,ROUND(BJ399*1000,0))&amp;" g"),"")))</f>
        <v/>
      </c>
      <c r="BM399" s="3">
        <v>1</v>
      </c>
    </row>
    <row r="400" spans="2:65" ht="21" customHeight="1">
      <c r="B400" s="103" t="str">
        <f t="shared" si="93"/>
        <v>►</v>
      </c>
      <c r="C400" s="31" t="str">
        <f>C370</f>
        <v>MAJUSCULE(GAUCHE(J21;1))&amp;" "&amp;J21&amp;" | "&amp;S21&amp;"| "&amp;J23&amp;" "&amp;K23</v>
      </c>
      <c r="D400" s="32">
        <f>D370</f>
        <v>1</v>
      </c>
      <c r="E400" s="31" t="str">
        <f>E370</f>
        <v>coupe</v>
      </c>
      <c r="F400" s="33" t="str">
        <f>F370</f>
        <v>Recette mère ► MILLE-FEUILLE  aux fraises des bois</v>
      </c>
      <c r="G400" s="89"/>
      <c r="H400" s="108"/>
      <c r="I400" s="91" t="str">
        <f t="shared" si="85"/>
        <v/>
      </c>
      <c r="J400" s="92"/>
      <c r="K400" s="128"/>
      <c r="L400" s="130">
        <v>1</v>
      </c>
      <c r="M400" s="1813" t="str">
        <f>ROWS(M374:M400)&amp;" ►"</f>
        <v>27 ►</v>
      </c>
      <c r="N400" s="1580"/>
      <c r="O400" s="95">
        <f>IF(Q429=0,0,(Q400/Q429)*P373*1000)</f>
        <v>0</v>
      </c>
      <c r="P400" s="105">
        <f>IF(Q429=0, 0, (G400*L400)/(Q429*P373))</f>
        <v>0</v>
      </c>
      <c r="Q400" s="97" cm="1">
        <f t="array" ref="Q400">IFERROR(_xlfn.XLOOKUP(UPPER(TRIM(K400)),UPPER(TRIM(G430:U430)),G431:U431,_xlfn.XLOOKUP(UPPER(TRIM(K400)),UPPER(TRIM(G432:U432)),G433:U433,0))*J400*IF(G400&gt;0,G400,1),0)</f>
        <v>0</v>
      </c>
      <c r="R400" s="110">
        <f>IF(T369&lt;&gt;0,G400*L400*L369,0)</f>
        <v>0</v>
      </c>
      <c r="S400" s="1748">
        <f t="shared" si="88"/>
        <v>0</v>
      </c>
      <c r="T400" s="99">
        <f>IF(OR(ISBLANK(T369),T369=0),0,Q400*L400*L369)</f>
        <v>0</v>
      </c>
      <c r="U400" s="1617" t="str">
        <f>IF(K400="","",IF(COUNTIF(N430:U430,SUBSTITUTE(TRIM(K400)," (s)",""))+COUNTIF(N432:U432,SUBSTITUTE(TRIM(K400)," (s)",""))&gt;0,IF(ROUND(T400,3)&gt;=1,ROUND(T400,3)&amp;" L",MAX(1,ROUND(T400*100,0))&amp;" cl"),IF(COUNTIF(G430:L430,SUBSTITUTE(TRIM(K400)," (s)",""))+COUNTIF(G432:L432,SUBSTITUTE(TRIM(K400)," (s)",""))&gt;0,IF(ROUND(T400,3)&gt;=1,ROUND(T400,3)&amp;" Kg",MAX(1,ROUND(T400*1000,0))&amp;" g"),"")))</f>
        <v/>
      </c>
      <c r="W400" s="103" t="str">
        <f t="shared" si="91"/>
        <v>►</v>
      </c>
      <c r="X400" s="31" t="str">
        <f>X370</f>
        <v>N NAME OF YOUR RECIPE | paste it — FAMILY|  Author &gt; YOU</v>
      </c>
      <c r="Y400" s="32">
        <f>Y370</f>
        <v>1</v>
      </c>
      <c r="Z400" s="31" t="str">
        <f>Z370</f>
        <v>coupe</v>
      </c>
      <c r="AA400" s="33" t="str">
        <f>AA370</f>
        <v>Master recipe ► MILLE-FEUILLE  aux fraises des bois</v>
      </c>
      <c r="AB400" s="89"/>
      <c r="AC400" s="108"/>
      <c r="AD400" s="91" t="str">
        <f t="shared" si="86"/>
        <v/>
      </c>
      <c r="AE400" s="92"/>
      <c r="AF400" s="128"/>
      <c r="AG400" s="130">
        <v>1</v>
      </c>
      <c r="AH400" s="1813" t="str">
        <f>ROWS(AH374:AH400)&amp;" ►"</f>
        <v>27 ►</v>
      </c>
      <c r="AI400" s="1580"/>
      <c r="AJ400" s="95">
        <f>IF(AL429=0,0,(AL400/AL429)*AK373*1000)</f>
        <v>0</v>
      </c>
      <c r="AK400" s="105">
        <f>IF(AL429=0, 0, (AB400*AG400)/(AL429*AK373))</f>
        <v>0</v>
      </c>
      <c r="AL400" s="97" cm="1">
        <f t="array" ref="AL400">IFERROR(_xlfn.XLOOKUP(UPPER(TRIM(AF400)),UPPER(TRIM(AB430:AP430)),AB431:AP431,_xlfn.XLOOKUP(UPPER(TRIM(AF400)),UPPER(TRIM(AB432:AP432)),AB433:AP433,0))*AE400*IF(AB400&gt;0,AB400,1),0)</f>
        <v>0</v>
      </c>
      <c r="AM400" s="110">
        <f>IF(AO369&lt;&gt;0,AB400*AG400*AG369,0)</f>
        <v>0</v>
      </c>
      <c r="AN400" s="1748">
        <f t="shared" si="89"/>
        <v>0</v>
      </c>
      <c r="AO400" s="99">
        <f>IF(OR(ISBLANK(AO369),AO369=0),0,AL400*AG400*AG369)</f>
        <v>0</v>
      </c>
      <c r="AP400" s="1617" t="str">
        <f>IF(AF400="","",IF(COUNTIF(AI430:AP430,SUBSTITUTE(TRIM(AF400)," (s)",""))+COUNTIF(AI432:AP432,SUBSTITUTE(TRIM(AF400)," (s)",""))&gt;0,IF(ROUND(AO400,3)&gt;=1,ROUND(AO400,3)&amp;" L",MAX(1,ROUND(AO400*100,0))&amp;" cl"),IF(COUNTIF(AB430:AG430,SUBSTITUTE(TRIM(AF400)," (s)",""))+COUNTIF(AB432:AG432,SUBSTITUTE(TRIM(AF400)," (s)",""))&gt;0,IF(ROUND(AO400,3)&gt;=1,ROUND(AO400,3)&amp;" Kg",MAX(1,ROUND(AO400*1000,0))&amp;" g"),"")))</f>
        <v/>
      </c>
      <c r="AR400" s="103" t="str">
        <f t="shared" si="92"/>
        <v>►</v>
      </c>
      <c r="AS400" s="31" t="str">
        <f>AS370</f>
        <v>N NOMBRE DE SU RECETA | pegue esto — FAMILIA| Auteur &gt; VOUS</v>
      </c>
      <c r="AT400" s="32">
        <f>AT370</f>
        <v>1</v>
      </c>
      <c r="AU400" s="31" t="str">
        <f>AU370</f>
        <v>coupe</v>
      </c>
      <c r="AV400" s="33" t="str">
        <f>AV370</f>
        <v>Receta madre ► MILLE-FEUILLE  aux fraises des bois</v>
      </c>
      <c r="AW400" s="89"/>
      <c r="AX400" s="108"/>
      <c r="AY400" s="91" t="str">
        <f t="shared" si="87"/>
        <v/>
      </c>
      <c r="AZ400" s="92"/>
      <c r="BA400" s="128"/>
      <c r="BB400" s="130">
        <v>1</v>
      </c>
      <c r="BC400" s="1813" t="str">
        <f>ROWS(BC374:BC400)&amp;" ►"</f>
        <v>27 ►</v>
      </c>
      <c r="BD400" s="1580"/>
      <c r="BE400" s="95">
        <f>IF(BG429=0,0,(BG400/BG429)*BF373*1000)</f>
        <v>0</v>
      </c>
      <c r="BF400" s="105">
        <f>IF(BG429=0, 0, (AW400*BB400)/(BG429*BF373))</f>
        <v>0</v>
      </c>
      <c r="BG400" s="97" cm="1">
        <f t="array" ref="BG400">IFERROR(_xlfn.XLOOKUP(UPPER(TRIM(BA400)),UPPER(TRIM(AW430:BK430)),AW431:BK431,_xlfn.XLOOKUP(UPPER(TRIM(BA400)),UPPER(TRIM(AW432:BK432)),AW433:BK433,0))*AZ400*IF(AW400&gt;0,AW400,1),0)</f>
        <v>0</v>
      </c>
      <c r="BH400" s="110">
        <f>IF(BJ369&lt;&gt;0,AW400*BB400*BB369,0)</f>
        <v>0</v>
      </c>
      <c r="BI400" s="1748">
        <f t="shared" si="90"/>
        <v>0</v>
      </c>
      <c r="BJ400" s="99">
        <f>IF(OR(ISBLANK(BJ369),BJ369=0),0,BG400*BB400*BB369)</f>
        <v>0</v>
      </c>
      <c r="BK400" s="1617" t="str">
        <f>IF(BA400="","",IF(COUNTIF(BD430:BK430,SUBSTITUTE(TRIM(BA400)," (s)",""))+COUNTIF(BD432:BK432,SUBSTITUTE(TRIM(BA400)," (s)",""))&gt;0,IF(ROUND(BJ400,3)&gt;=1,ROUND(BJ400,3)&amp;" L",MAX(1,ROUND(BJ400*100,0))&amp;" cl"),IF(COUNTIF(AW430:BB430,SUBSTITUTE(TRIM(BA400)," (s)",""))+COUNTIF(AW432:BB432,SUBSTITUTE(TRIM(BA400)," (s)",""))&gt;0,IF(ROUND(BJ400,3)&gt;=1,ROUND(BJ400,3)&amp;" Kg",MAX(1,ROUND(BJ400*1000,0))&amp;" g"),"")))</f>
        <v/>
      </c>
      <c r="BM400" s="3">
        <v>1</v>
      </c>
    </row>
    <row r="401" spans="2:65" ht="21" customHeight="1">
      <c r="B401" s="103" t="str">
        <f t="shared" si="93"/>
        <v>►</v>
      </c>
      <c r="C401" s="31" t="str">
        <f>C370</f>
        <v>MAJUSCULE(GAUCHE(J21;1))&amp;" "&amp;J21&amp;" | "&amp;S21&amp;"| "&amp;J23&amp;" "&amp;K23</v>
      </c>
      <c r="D401" s="32">
        <f>D370</f>
        <v>1</v>
      </c>
      <c r="E401" s="31" t="str">
        <f>E370</f>
        <v>coupe</v>
      </c>
      <c r="F401" s="33" t="str">
        <f>F370</f>
        <v>Recette mère ► MILLE-FEUILLE  aux fraises des bois</v>
      </c>
      <c r="G401" s="89"/>
      <c r="H401" s="108"/>
      <c r="I401" s="91" t="str">
        <f t="shared" si="85"/>
        <v/>
      </c>
      <c r="J401" s="92"/>
      <c r="K401" s="128"/>
      <c r="L401" s="130">
        <v>1</v>
      </c>
      <c r="M401" s="1813" t="str">
        <f>ROWS(M374:M401)&amp;" ►"</f>
        <v>28 ►</v>
      </c>
      <c r="N401" s="1580"/>
      <c r="O401" s="95">
        <f>IF(Q429=0,0,(Q401/Q429)*P373*1000)</f>
        <v>0</v>
      </c>
      <c r="P401" s="105">
        <f>IF(Q429=0, 0, (G401*L401)/(Q429*P373))</f>
        <v>0</v>
      </c>
      <c r="Q401" s="97" cm="1">
        <f t="array" ref="Q401">IFERROR(_xlfn.XLOOKUP(UPPER(TRIM(K401)),UPPER(TRIM(G430:U430)),G431:U431,_xlfn.XLOOKUP(UPPER(TRIM(K401)),UPPER(TRIM(G432:U432)),G433:U433,0))*J401*IF(G401&gt;0,G401,1),0)</f>
        <v>0</v>
      </c>
      <c r="R401" s="106">
        <f>IF(T369&lt;&gt;0,G401*L401*L369,0)</f>
        <v>0</v>
      </c>
      <c r="S401" s="1747">
        <f t="shared" si="88"/>
        <v>0</v>
      </c>
      <c r="T401" s="99">
        <f>IF(OR(ISBLANK(T369),T369=0),0,Q401*L401*L369)</f>
        <v>0</v>
      </c>
      <c r="U401" s="1367" t="str">
        <f>IF(K401="","",IF(COUNTIF(N430:U430,SUBSTITUTE(TRIM(K401)," (s)",""))+COUNTIF(N432:U432,SUBSTITUTE(TRIM(K401)," (s)",""))&gt;0,IF(ROUND(T401,3)&gt;=1,ROUND(T401,3)&amp;" L",MAX(1,ROUND(T401*100,0))&amp;" cl"),IF(COUNTIF(G430:L430,SUBSTITUTE(TRIM(K401)," (s)",""))+COUNTIF(G432:L432,SUBSTITUTE(TRIM(K401)," (s)",""))&gt;0,IF(ROUND(T401,3)&gt;=1,ROUND(T401,3)&amp;" Kg",MAX(1,ROUND(T401*1000,0))&amp;" g"),"")))</f>
        <v/>
      </c>
      <c r="W401" s="103" t="str">
        <f t="shared" si="91"/>
        <v>►</v>
      </c>
      <c r="X401" s="31" t="str">
        <f>X370</f>
        <v>N NAME OF YOUR RECIPE | paste it — FAMILY|  Author &gt; YOU</v>
      </c>
      <c r="Y401" s="32">
        <f>Y370</f>
        <v>1</v>
      </c>
      <c r="Z401" s="31" t="str">
        <f>Z370</f>
        <v>coupe</v>
      </c>
      <c r="AA401" s="33" t="str">
        <f>AA370</f>
        <v>Master recipe ► MILLE-FEUILLE  aux fraises des bois</v>
      </c>
      <c r="AB401" s="89"/>
      <c r="AC401" s="108"/>
      <c r="AD401" s="91" t="str">
        <f t="shared" si="86"/>
        <v/>
      </c>
      <c r="AE401" s="92"/>
      <c r="AF401" s="128"/>
      <c r="AG401" s="130">
        <v>1</v>
      </c>
      <c r="AH401" s="1813" t="str">
        <f>ROWS(AH374:AH401)&amp;" ►"</f>
        <v>28 ►</v>
      </c>
      <c r="AI401" s="1580"/>
      <c r="AJ401" s="95">
        <f>IF(AL429=0,0,(AL401/AL429)*AK373*1000)</f>
        <v>0</v>
      </c>
      <c r="AK401" s="105">
        <f>IF(AL429=0, 0, (AB401*AG401)/(AL429*AK373))</f>
        <v>0</v>
      </c>
      <c r="AL401" s="97" cm="1">
        <f t="array" ref="AL401">IFERROR(_xlfn.XLOOKUP(UPPER(TRIM(AF401)),UPPER(TRIM(AB430:AP430)),AB431:AP431,_xlfn.XLOOKUP(UPPER(TRIM(AF401)),UPPER(TRIM(AB432:AP432)),AB433:AP433,0))*AE401*IF(AB401&gt;0,AB401,1),0)</f>
        <v>0</v>
      </c>
      <c r="AM401" s="106">
        <f>IF(AO369&lt;&gt;0,AB401*AG401*AG369,0)</f>
        <v>0</v>
      </c>
      <c r="AN401" s="1747">
        <f t="shared" si="89"/>
        <v>0</v>
      </c>
      <c r="AO401" s="99">
        <f>IF(OR(ISBLANK(AO369),AO369=0),0,AL401*AG401*AG369)</f>
        <v>0</v>
      </c>
      <c r="AP401" s="1367" t="str">
        <f>IF(AF401="","",IF(COUNTIF(AI430:AP430,SUBSTITUTE(TRIM(AF401)," (s)",""))+COUNTIF(AI432:AP432,SUBSTITUTE(TRIM(AF401)," (s)",""))&gt;0,IF(ROUND(AO401,3)&gt;=1,ROUND(AO401,3)&amp;" L",MAX(1,ROUND(AO401*100,0))&amp;" cl"),IF(COUNTIF(AB430:AG430,SUBSTITUTE(TRIM(AF401)," (s)",""))+COUNTIF(AB432:AG432,SUBSTITUTE(TRIM(AF401)," (s)",""))&gt;0,IF(ROUND(AO401,3)&gt;=1,ROUND(AO401,3)&amp;" Kg",MAX(1,ROUND(AO401*1000,0))&amp;" g"),"")))</f>
        <v/>
      </c>
      <c r="AR401" s="103" t="str">
        <f t="shared" si="92"/>
        <v>►</v>
      </c>
      <c r="AS401" s="31" t="str">
        <f>AS370</f>
        <v>N NOMBRE DE SU RECETA | pegue esto — FAMILIA| Auteur &gt; VOUS</v>
      </c>
      <c r="AT401" s="32">
        <f>AT370</f>
        <v>1</v>
      </c>
      <c r="AU401" s="31" t="str">
        <f>AU370</f>
        <v>coupe</v>
      </c>
      <c r="AV401" s="33" t="str">
        <f>AV370</f>
        <v>Receta madre ► MILLE-FEUILLE  aux fraises des bois</v>
      </c>
      <c r="AW401" s="89"/>
      <c r="AX401" s="108"/>
      <c r="AY401" s="91" t="str">
        <f t="shared" si="87"/>
        <v/>
      </c>
      <c r="AZ401" s="92"/>
      <c r="BA401" s="128"/>
      <c r="BB401" s="130">
        <v>1</v>
      </c>
      <c r="BC401" s="1813" t="str">
        <f>ROWS(BC374:BC401)&amp;" ►"</f>
        <v>28 ►</v>
      </c>
      <c r="BD401" s="1580"/>
      <c r="BE401" s="95">
        <f>IF(BG429=0,0,(BG401/BG429)*BF373*1000)</f>
        <v>0</v>
      </c>
      <c r="BF401" s="105">
        <f>IF(BG429=0, 0, (AW401*BB401)/(BG429*BF373))</f>
        <v>0</v>
      </c>
      <c r="BG401" s="97" cm="1">
        <f t="array" ref="BG401">IFERROR(_xlfn.XLOOKUP(UPPER(TRIM(BA401)),UPPER(TRIM(AW430:BK430)),AW431:BK431,_xlfn.XLOOKUP(UPPER(TRIM(BA401)),UPPER(TRIM(AW432:BK432)),AW433:BK433,0))*AZ401*IF(AW401&gt;0,AW401,1),0)</f>
        <v>0</v>
      </c>
      <c r="BH401" s="106">
        <f>IF(BJ369&lt;&gt;0,AW401*BB401*BB369,0)</f>
        <v>0</v>
      </c>
      <c r="BI401" s="1747">
        <f t="shared" si="90"/>
        <v>0</v>
      </c>
      <c r="BJ401" s="99">
        <f>IF(OR(ISBLANK(BJ369),BJ369=0),0,BG401*BB401*BB369)</f>
        <v>0</v>
      </c>
      <c r="BK401" s="1367" t="str">
        <f>IF(BA401="","",IF(COUNTIF(BD430:BK430,SUBSTITUTE(TRIM(BA401)," (s)",""))+COUNTIF(BD432:BK432,SUBSTITUTE(TRIM(BA401)," (s)",""))&gt;0,IF(ROUND(BJ401,3)&gt;=1,ROUND(BJ401,3)&amp;" L",MAX(1,ROUND(BJ401*100,0))&amp;" cl"),IF(COUNTIF(AW430:BB430,SUBSTITUTE(TRIM(BA401)," (s)",""))+COUNTIF(AW432:BB432,SUBSTITUTE(TRIM(BA401)," (s)",""))&gt;0,IF(ROUND(BJ401,3)&gt;=1,ROUND(BJ401,3)&amp;" Kg",MAX(1,ROUND(BJ401*1000,0))&amp;" g"),"")))</f>
        <v/>
      </c>
      <c r="BM401" s="3">
        <v>1</v>
      </c>
    </row>
    <row r="402" spans="2:65" ht="21" customHeight="1">
      <c r="B402" s="103" t="str">
        <f t="shared" si="93"/>
        <v>►</v>
      </c>
      <c r="C402" s="31" t="str">
        <f>C370</f>
        <v>MAJUSCULE(GAUCHE(J21;1))&amp;" "&amp;J21&amp;" | "&amp;S21&amp;"| "&amp;J23&amp;" "&amp;K23</v>
      </c>
      <c r="D402" s="32">
        <f>D370</f>
        <v>1</v>
      </c>
      <c r="E402" s="31" t="str">
        <f>E370</f>
        <v>coupe</v>
      </c>
      <c r="F402" s="33" t="str">
        <f>F370</f>
        <v>Recette mère ► MILLE-FEUILLE  aux fraises des bois</v>
      </c>
      <c r="G402" s="89"/>
      <c r="H402" s="108"/>
      <c r="I402" s="91" t="str">
        <f t="shared" si="85"/>
        <v/>
      </c>
      <c r="J402" s="92"/>
      <c r="K402" s="128"/>
      <c r="L402" s="130">
        <v>1</v>
      </c>
      <c r="M402" s="1813" t="str">
        <f>ROWS(M374:M402)&amp;" ►"</f>
        <v>29 ►</v>
      </c>
      <c r="N402" s="1580"/>
      <c r="O402" s="95">
        <f>IF(Q429=0,0,(Q402/Q429)*P373*1000)</f>
        <v>0</v>
      </c>
      <c r="P402" s="105">
        <f>IF(Q429=0, 0, (G402*L402)/(Q429*P373))</f>
        <v>0</v>
      </c>
      <c r="Q402" s="97" cm="1">
        <f t="array" ref="Q402">IFERROR(_xlfn.XLOOKUP(UPPER(TRIM(K402)),UPPER(TRIM(G430:U430)),G431:U431,_xlfn.XLOOKUP(UPPER(TRIM(K402)),UPPER(TRIM(G432:U432)),G433:U433,0))*J402*IF(G402&gt;0,G402,1),0)</f>
        <v>0</v>
      </c>
      <c r="R402" s="110">
        <f>IF(T369&lt;&gt;0,G402*L402*L369,0)</f>
        <v>0</v>
      </c>
      <c r="S402" s="1748">
        <f t="shared" si="88"/>
        <v>0</v>
      </c>
      <c r="T402" s="99">
        <f>IF(OR(ISBLANK(T369),T369=0),0,Q402*L402*L369)</f>
        <v>0</v>
      </c>
      <c r="U402" s="1617" t="str">
        <f>IF(K402="","",IF(COUNTIF(N430:U430,SUBSTITUTE(TRIM(K402)," (s)",""))+COUNTIF(N432:U432,SUBSTITUTE(TRIM(K402)," (s)",""))&gt;0,IF(ROUND(T402,3)&gt;=1,ROUND(T402,3)&amp;" L",MAX(1,ROUND(T402*100,0))&amp;" cl"),IF(COUNTIF(G430:L430,SUBSTITUTE(TRIM(K402)," (s)",""))+COUNTIF(G432:L432,SUBSTITUTE(TRIM(K402)," (s)",""))&gt;0,IF(ROUND(T402,3)&gt;=1,ROUND(T402,3)&amp;" Kg",MAX(1,ROUND(T402*1000,0))&amp;" g"),"")))</f>
        <v/>
      </c>
      <c r="W402" s="103" t="str">
        <f t="shared" si="91"/>
        <v>►</v>
      </c>
      <c r="X402" s="31" t="str">
        <f>X370</f>
        <v>N NAME OF YOUR RECIPE | paste it — FAMILY|  Author &gt; YOU</v>
      </c>
      <c r="Y402" s="32">
        <f>Y370</f>
        <v>1</v>
      </c>
      <c r="Z402" s="31" t="str">
        <f>Z370</f>
        <v>coupe</v>
      </c>
      <c r="AA402" s="33" t="str">
        <f>AA370</f>
        <v>Master recipe ► MILLE-FEUILLE  aux fraises des bois</v>
      </c>
      <c r="AB402" s="89"/>
      <c r="AC402" s="108"/>
      <c r="AD402" s="91" t="str">
        <f t="shared" si="86"/>
        <v/>
      </c>
      <c r="AE402" s="92"/>
      <c r="AF402" s="128"/>
      <c r="AG402" s="130">
        <v>1</v>
      </c>
      <c r="AH402" s="1813" t="str">
        <f>ROWS(AH374:AH402)&amp;" ►"</f>
        <v>29 ►</v>
      </c>
      <c r="AI402" s="1580"/>
      <c r="AJ402" s="95">
        <f>IF(AL429=0,0,(AL402/AL429)*AK373*1000)</f>
        <v>0</v>
      </c>
      <c r="AK402" s="105">
        <f>IF(AL429=0, 0, (AB402*AG402)/(AL429*AK373))</f>
        <v>0</v>
      </c>
      <c r="AL402" s="97" cm="1">
        <f t="array" ref="AL402">IFERROR(_xlfn.XLOOKUP(UPPER(TRIM(AF402)),UPPER(TRIM(AB430:AP430)),AB431:AP431,_xlfn.XLOOKUP(UPPER(TRIM(AF402)),UPPER(TRIM(AB432:AP432)),AB433:AP433,0))*AE402*IF(AB402&gt;0,AB402,1),0)</f>
        <v>0</v>
      </c>
      <c r="AM402" s="110">
        <f>IF(AO369&lt;&gt;0,AB402*AG402*AG369,0)</f>
        <v>0</v>
      </c>
      <c r="AN402" s="1748">
        <f t="shared" si="89"/>
        <v>0</v>
      </c>
      <c r="AO402" s="99">
        <f>IF(OR(ISBLANK(AO369),AO369=0),0,AL402*AG402*AG369)</f>
        <v>0</v>
      </c>
      <c r="AP402" s="1617" t="str">
        <f>IF(AF402="","",IF(COUNTIF(AI430:AP430,SUBSTITUTE(TRIM(AF402)," (s)",""))+COUNTIF(AI432:AP432,SUBSTITUTE(TRIM(AF402)," (s)",""))&gt;0,IF(ROUND(AO402,3)&gt;=1,ROUND(AO402,3)&amp;" L",MAX(1,ROUND(AO402*100,0))&amp;" cl"),IF(COUNTIF(AB430:AG430,SUBSTITUTE(TRIM(AF402)," (s)",""))+COUNTIF(AB432:AG432,SUBSTITUTE(TRIM(AF402)," (s)",""))&gt;0,IF(ROUND(AO402,3)&gt;=1,ROUND(AO402,3)&amp;" Kg",MAX(1,ROUND(AO402*1000,0))&amp;" g"),"")))</f>
        <v/>
      </c>
      <c r="AR402" s="103" t="str">
        <f t="shared" si="92"/>
        <v>►</v>
      </c>
      <c r="AS402" s="31" t="str">
        <f>AS370</f>
        <v>N NOMBRE DE SU RECETA | pegue esto — FAMILIA| Auteur &gt; VOUS</v>
      </c>
      <c r="AT402" s="32">
        <f>AT370</f>
        <v>1</v>
      </c>
      <c r="AU402" s="31" t="str">
        <f>AU370</f>
        <v>coupe</v>
      </c>
      <c r="AV402" s="33" t="str">
        <f>AV370</f>
        <v>Receta madre ► MILLE-FEUILLE  aux fraises des bois</v>
      </c>
      <c r="AW402" s="89"/>
      <c r="AX402" s="108"/>
      <c r="AY402" s="91" t="str">
        <f t="shared" si="87"/>
        <v/>
      </c>
      <c r="AZ402" s="92"/>
      <c r="BA402" s="128"/>
      <c r="BB402" s="130">
        <v>1</v>
      </c>
      <c r="BC402" s="1813" t="str">
        <f>ROWS(BC374:BC402)&amp;" ►"</f>
        <v>29 ►</v>
      </c>
      <c r="BD402" s="1580"/>
      <c r="BE402" s="95">
        <f>IF(BG429=0,0,(BG402/BG429)*BF373*1000)</f>
        <v>0</v>
      </c>
      <c r="BF402" s="105">
        <f>IF(BG429=0, 0, (AW402*BB402)/(BG429*BF373))</f>
        <v>0</v>
      </c>
      <c r="BG402" s="97" cm="1">
        <f t="array" ref="BG402">IFERROR(_xlfn.XLOOKUP(UPPER(TRIM(BA402)),UPPER(TRIM(AW430:BK430)),AW431:BK431,_xlfn.XLOOKUP(UPPER(TRIM(BA402)),UPPER(TRIM(AW432:BK432)),AW433:BK433,0))*AZ402*IF(AW402&gt;0,AW402,1),0)</f>
        <v>0</v>
      </c>
      <c r="BH402" s="110">
        <f>IF(BJ369&lt;&gt;0,AW402*BB402*BB369,0)</f>
        <v>0</v>
      </c>
      <c r="BI402" s="1748">
        <f t="shared" si="90"/>
        <v>0</v>
      </c>
      <c r="BJ402" s="99">
        <f>IF(OR(ISBLANK(BJ369),BJ369=0),0,BG402*BB402*BB369)</f>
        <v>0</v>
      </c>
      <c r="BK402" s="1617" t="str">
        <f>IF(BA402="","",IF(COUNTIF(BD430:BK430,SUBSTITUTE(TRIM(BA402)," (s)",""))+COUNTIF(BD432:BK432,SUBSTITUTE(TRIM(BA402)," (s)",""))&gt;0,IF(ROUND(BJ402,3)&gt;=1,ROUND(BJ402,3)&amp;" L",MAX(1,ROUND(BJ402*100,0))&amp;" cl"),IF(COUNTIF(AW430:BB430,SUBSTITUTE(TRIM(BA402)," (s)",""))+COUNTIF(AW432:BB432,SUBSTITUTE(TRIM(BA402)," (s)",""))&gt;0,IF(ROUND(BJ402,3)&gt;=1,ROUND(BJ402,3)&amp;" Kg",MAX(1,ROUND(BJ402*1000,0))&amp;" g"),"")))</f>
        <v/>
      </c>
      <c r="BM402" s="3">
        <v>1</v>
      </c>
    </row>
    <row r="403" spans="2:65" ht="21" customHeight="1">
      <c r="B403" s="103" t="str">
        <f t="shared" si="93"/>
        <v>►</v>
      </c>
      <c r="C403" s="31" t="str">
        <f>C370</f>
        <v>MAJUSCULE(GAUCHE(J21;1))&amp;" "&amp;J21&amp;" | "&amp;S21&amp;"| "&amp;J23&amp;" "&amp;K23</v>
      </c>
      <c r="D403" s="32">
        <f>D370</f>
        <v>1</v>
      </c>
      <c r="E403" s="31" t="str">
        <f>E370</f>
        <v>coupe</v>
      </c>
      <c r="F403" s="33" t="str">
        <f>F370</f>
        <v>Recette mère ► MILLE-FEUILLE  aux fraises des bois</v>
      </c>
      <c r="G403" s="89"/>
      <c r="H403" s="108"/>
      <c r="I403" s="91" t="str">
        <f t="shared" si="85"/>
        <v/>
      </c>
      <c r="J403" s="92"/>
      <c r="K403" s="128"/>
      <c r="L403" s="130">
        <v>1</v>
      </c>
      <c r="M403" s="1813" t="str">
        <f>ROWS(M374:M403)&amp;" ►"</f>
        <v>30 ►</v>
      </c>
      <c r="N403" s="1580"/>
      <c r="O403" s="95">
        <f>IF(Q429=0,0,(Q403/Q429)*P373*1000)</f>
        <v>0</v>
      </c>
      <c r="P403" s="105">
        <f>IF(Q429=0, 0, (G403*L403)/(Q429*P373))</f>
        <v>0</v>
      </c>
      <c r="Q403" s="97" cm="1">
        <f t="array" ref="Q403">IFERROR(_xlfn.XLOOKUP(UPPER(TRIM(K403)),UPPER(TRIM(G430:U430)),G431:U431,_xlfn.XLOOKUP(UPPER(TRIM(K403)),UPPER(TRIM(G432:U432)),G433:U433,0))*J403*IF(G403&gt;0,G403,1),0)</f>
        <v>0</v>
      </c>
      <c r="R403" s="106">
        <f>IF(T369&lt;&gt;0,G403*L403*L369,0)</f>
        <v>0</v>
      </c>
      <c r="S403" s="1747">
        <f t="shared" si="88"/>
        <v>0</v>
      </c>
      <c r="T403" s="99">
        <f>IF(OR(ISBLANK(T369),T369=0),0,Q403*L403*L369)</f>
        <v>0</v>
      </c>
      <c r="U403" s="1367" t="str">
        <f>IF(K403="","",IF(COUNTIF(N430:U430,SUBSTITUTE(TRIM(K403)," (s)",""))+COUNTIF(N432:U432,SUBSTITUTE(TRIM(K403)," (s)",""))&gt;0,IF(ROUND(T403,3)&gt;=1,ROUND(T403,3)&amp;" L",MAX(1,ROUND(T403*100,0))&amp;" cl"),IF(COUNTIF(G430:L430,SUBSTITUTE(TRIM(K403)," (s)",""))+COUNTIF(G432:L432,SUBSTITUTE(TRIM(K403)," (s)",""))&gt;0,IF(ROUND(T403,3)&gt;=1,ROUND(T403,3)&amp;" Kg",MAX(1,ROUND(T403*1000,0))&amp;" g"),"")))</f>
        <v/>
      </c>
      <c r="W403" s="103" t="str">
        <f t="shared" si="91"/>
        <v>►</v>
      </c>
      <c r="X403" s="31" t="str">
        <f>X370</f>
        <v>N NAME OF YOUR RECIPE | paste it — FAMILY|  Author &gt; YOU</v>
      </c>
      <c r="Y403" s="32">
        <f>Y370</f>
        <v>1</v>
      </c>
      <c r="Z403" s="31" t="str">
        <f>Z370</f>
        <v>coupe</v>
      </c>
      <c r="AA403" s="33" t="str">
        <f>AA370</f>
        <v>Master recipe ► MILLE-FEUILLE  aux fraises des bois</v>
      </c>
      <c r="AB403" s="89"/>
      <c r="AC403" s="108"/>
      <c r="AD403" s="91" t="str">
        <f t="shared" si="86"/>
        <v/>
      </c>
      <c r="AE403" s="92"/>
      <c r="AF403" s="128"/>
      <c r="AG403" s="130">
        <v>1</v>
      </c>
      <c r="AH403" s="1813" t="str">
        <f>ROWS(AH374:AH403)&amp;" ►"</f>
        <v>30 ►</v>
      </c>
      <c r="AI403" s="1580"/>
      <c r="AJ403" s="95">
        <f>IF(AL429=0,0,(AL403/AL429)*AK373*1000)</f>
        <v>0</v>
      </c>
      <c r="AK403" s="105">
        <f>IF(AL429=0, 0, (AB403*AG403)/(AL429*AK373))</f>
        <v>0</v>
      </c>
      <c r="AL403" s="97" cm="1">
        <f t="array" ref="AL403">IFERROR(_xlfn.XLOOKUP(UPPER(TRIM(AF403)),UPPER(TRIM(AB430:AP430)),AB431:AP431,_xlfn.XLOOKUP(UPPER(TRIM(AF403)),UPPER(TRIM(AB432:AP432)),AB433:AP433,0))*AE403*IF(AB403&gt;0,AB403,1),0)</f>
        <v>0</v>
      </c>
      <c r="AM403" s="106">
        <f>IF(AO369&lt;&gt;0,AB403*AG403*AG369,0)</f>
        <v>0</v>
      </c>
      <c r="AN403" s="1747">
        <f t="shared" si="89"/>
        <v>0</v>
      </c>
      <c r="AO403" s="99">
        <f>IF(OR(ISBLANK(AO369),AO369=0),0,AL403*AG403*AG369)</f>
        <v>0</v>
      </c>
      <c r="AP403" s="1367" t="str">
        <f>IF(AF403="","",IF(COUNTIF(AI430:AP430,SUBSTITUTE(TRIM(AF403)," (s)",""))+COUNTIF(AI432:AP432,SUBSTITUTE(TRIM(AF403)," (s)",""))&gt;0,IF(ROUND(AO403,3)&gt;=1,ROUND(AO403,3)&amp;" L",MAX(1,ROUND(AO403*100,0))&amp;" cl"),IF(COUNTIF(AB430:AG430,SUBSTITUTE(TRIM(AF403)," (s)",""))+COUNTIF(AB432:AG432,SUBSTITUTE(TRIM(AF403)," (s)",""))&gt;0,IF(ROUND(AO403,3)&gt;=1,ROUND(AO403,3)&amp;" Kg",MAX(1,ROUND(AO403*1000,0))&amp;" g"),"")))</f>
        <v/>
      </c>
      <c r="AR403" s="103" t="str">
        <f t="shared" si="92"/>
        <v>►</v>
      </c>
      <c r="AS403" s="31" t="str">
        <f>AS370</f>
        <v>N NOMBRE DE SU RECETA | pegue esto — FAMILIA| Auteur &gt; VOUS</v>
      </c>
      <c r="AT403" s="32">
        <f>AT370</f>
        <v>1</v>
      </c>
      <c r="AU403" s="31" t="str">
        <f>AU370</f>
        <v>coupe</v>
      </c>
      <c r="AV403" s="33" t="str">
        <f>AV370</f>
        <v>Receta madre ► MILLE-FEUILLE  aux fraises des bois</v>
      </c>
      <c r="AW403" s="89"/>
      <c r="AX403" s="108"/>
      <c r="AY403" s="91" t="str">
        <f t="shared" si="87"/>
        <v/>
      </c>
      <c r="AZ403" s="92"/>
      <c r="BA403" s="128"/>
      <c r="BB403" s="130">
        <v>1</v>
      </c>
      <c r="BC403" s="1813" t="str">
        <f>ROWS(BC374:BC403)&amp;" ►"</f>
        <v>30 ►</v>
      </c>
      <c r="BD403" s="1580"/>
      <c r="BE403" s="95">
        <f>IF(BG429=0,0,(BG403/BG429)*BF373*1000)</f>
        <v>0</v>
      </c>
      <c r="BF403" s="105">
        <f>IF(BG429=0, 0, (AW403*BB403)/(BG429*BF373))</f>
        <v>0</v>
      </c>
      <c r="BG403" s="97" cm="1">
        <f t="array" ref="BG403">IFERROR(_xlfn.XLOOKUP(UPPER(TRIM(BA403)),UPPER(TRIM(AW430:BK430)),AW431:BK431,_xlfn.XLOOKUP(UPPER(TRIM(BA403)),UPPER(TRIM(AW432:BK432)),AW433:BK433,0))*AZ403*IF(AW403&gt;0,AW403,1),0)</f>
        <v>0</v>
      </c>
      <c r="BH403" s="106">
        <f>IF(BJ369&lt;&gt;0,AW403*BB403*BB369,0)</f>
        <v>0</v>
      </c>
      <c r="BI403" s="1747">
        <f t="shared" si="90"/>
        <v>0</v>
      </c>
      <c r="BJ403" s="99">
        <f>IF(OR(ISBLANK(BJ369),BJ369=0),0,BG403*BB403*BB369)</f>
        <v>0</v>
      </c>
      <c r="BK403" s="1367" t="str">
        <f>IF(BA403="","",IF(COUNTIF(BD430:BK430,SUBSTITUTE(TRIM(BA403)," (s)",""))+COUNTIF(BD432:BK432,SUBSTITUTE(TRIM(BA403)," (s)",""))&gt;0,IF(ROUND(BJ403,3)&gt;=1,ROUND(BJ403,3)&amp;" L",MAX(1,ROUND(BJ403*100,0))&amp;" cl"),IF(COUNTIF(AW430:BB430,SUBSTITUTE(TRIM(BA403)," (s)",""))+COUNTIF(AW432:BB432,SUBSTITUTE(TRIM(BA403)," (s)",""))&gt;0,IF(ROUND(BJ403,3)&gt;=1,ROUND(BJ403,3)&amp;" Kg",MAX(1,ROUND(BJ403*1000,0))&amp;" g"),"")))</f>
        <v/>
      </c>
      <c r="BM403" s="3">
        <v>1</v>
      </c>
    </row>
    <row r="404" spans="2:65" ht="21" customHeight="1">
      <c r="B404" s="103" t="str">
        <f t="shared" si="93"/>
        <v>►</v>
      </c>
      <c r="C404" s="31" t="str">
        <f>C370</f>
        <v>MAJUSCULE(GAUCHE(J21;1))&amp;" "&amp;J21&amp;" | "&amp;S21&amp;"| "&amp;J23&amp;" "&amp;K23</v>
      </c>
      <c r="D404" s="32">
        <f>D370</f>
        <v>1</v>
      </c>
      <c r="E404" s="31" t="str">
        <f>E370</f>
        <v>coupe</v>
      </c>
      <c r="F404" s="33" t="str">
        <f>F370</f>
        <v>Recette mère ► MILLE-FEUILLE  aux fraises des bois</v>
      </c>
      <c r="G404" s="89"/>
      <c r="H404" s="108"/>
      <c r="I404" s="91" t="str">
        <f t="shared" si="85"/>
        <v/>
      </c>
      <c r="J404" s="92"/>
      <c r="K404" s="128"/>
      <c r="L404" s="130">
        <v>1</v>
      </c>
      <c r="M404" s="1813" t="str">
        <f>ROWS(M374:M404)&amp;" ►"</f>
        <v>31 ►</v>
      </c>
      <c r="N404" s="1580"/>
      <c r="O404" s="95">
        <f>IF(Q429=0,0,(Q404/Q429)*P373*1000)</f>
        <v>0</v>
      </c>
      <c r="P404" s="105">
        <f>IF(Q429=0, 0, (G404*L404)/(Q429*P373))</f>
        <v>0</v>
      </c>
      <c r="Q404" s="97" cm="1">
        <f t="array" ref="Q404">IFERROR(_xlfn.XLOOKUP(UPPER(TRIM(K404)),UPPER(TRIM(G430:U430)),G431:U431,_xlfn.XLOOKUP(UPPER(TRIM(K404)),UPPER(TRIM(G432:U432)),G433:U433,0))*J404*IF(G404&gt;0,G404,1),0)</f>
        <v>0</v>
      </c>
      <c r="R404" s="110">
        <f>IF(T369&lt;&gt;0,G404*L404*L369,0)</f>
        <v>0</v>
      </c>
      <c r="S404" s="1748">
        <f t="shared" si="88"/>
        <v>0</v>
      </c>
      <c r="T404" s="99">
        <f>IF(OR(ISBLANK(T369),T369=0),0,Q404*L404*L369)</f>
        <v>0</v>
      </c>
      <c r="U404" s="1617" t="str">
        <f>IF(K404="","",IF(COUNTIF(N430:U430,SUBSTITUTE(TRIM(K404)," (s)",""))+COUNTIF(N432:U432,SUBSTITUTE(TRIM(K404)," (s)",""))&gt;0,IF(ROUND(T404,3)&gt;=1,ROUND(T404,3)&amp;" L",MAX(1,ROUND(T404*100,0))&amp;" cl"),IF(COUNTIF(G430:L430,SUBSTITUTE(TRIM(K404)," (s)",""))+COUNTIF(G432:L432,SUBSTITUTE(TRIM(K404)," (s)",""))&gt;0,IF(ROUND(T404,3)&gt;=1,ROUND(T404,3)&amp;" Kg",MAX(1,ROUND(T404*1000,0))&amp;" g"),"")))</f>
        <v/>
      </c>
      <c r="W404" s="103" t="str">
        <f t="shared" si="91"/>
        <v>►</v>
      </c>
      <c r="X404" s="31" t="str">
        <f>X370</f>
        <v>N NAME OF YOUR RECIPE | paste it — FAMILY|  Author &gt; YOU</v>
      </c>
      <c r="Y404" s="32">
        <f>Y370</f>
        <v>1</v>
      </c>
      <c r="Z404" s="31" t="str">
        <f>Z370</f>
        <v>coupe</v>
      </c>
      <c r="AA404" s="33" t="str">
        <f>AA370</f>
        <v>Master recipe ► MILLE-FEUILLE  aux fraises des bois</v>
      </c>
      <c r="AB404" s="89"/>
      <c r="AC404" s="108"/>
      <c r="AD404" s="91" t="str">
        <f t="shared" si="86"/>
        <v/>
      </c>
      <c r="AE404" s="92"/>
      <c r="AF404" s="128"/>
      <c r="AG404" s="130">
        <v>1</v>
      </c>
      <c r="AH404" s="1813" t="str">
        <f>ROWS(AH374:AH404)&amp;" ►"</f>
        <v>31 ►</v>
      </c>
      <c r="AI404" s="1580"/>
      <c r="AJ404" s="95">
        <f>IF(AL429=0,0,(AL404/AL429)*AK373*1000)</f>
        <v>0</v>
      </c>
      <c r="AK404" s="105">
        <f>IF(AL429=0, 0, (AB404*AG404)/(AL429*AK373))</f>
        <v>0</v>
      </c>
      <c r="AL404" s="97" cm="1">
        <f t="array" ref="AL404">IFERROR(_xlfn.XLOOKUP(UPPER(TRIM(AF404)),UPPER(TRIM(AB430:AP430)),AB431:AP431,_xlfn.XLOOKUP(UPPER(TRIM(AF404)),UPPER(TRIM(AB432:AP432)),AB433:AP433,0))*AE404*IF(AB404&gt;0,AB404,1),0)</f>
        <v>0</v>
      </c>
      <c r="AM404" s="110">
        <f>IF(AO369&lt;&gt;0,AB404*AG404*AG369,0)</f>
        <v>0</v>
      </c>
      <c r="AN404" s="1748">
        <f t="shared" si="89"/>
        <v>0</v>
      </c>
      <c r="AO404" s="99">
        <f>IF(OR(ISBLANK(AO369),AO369=0),0,AL404*AG404*AG369)</f>
        <v>0</v>
      </c>
      <c r="AP404" s="1617" t="str">
        <f>IF(AF404="","",IF(COUNTIF(AI430:AP430,SUBSTITUTE(TRIM(AF404)," (s)",""))+COUNTIF(AI432:AP432,SUBSTITUTE(TRIM(AF404)," (s)",""))&gt;0,IF(ROUND(AO404,3)&gt;=1,ROUND(AO404,3)&amp;" L",MAX(1,ROUND(AO404*100,0))&amp;" cl"),IF(COUNTIF(AB430:AG430,SUBSTITUTE(TRIM(AF404)," (s)",""))+COUNTIF(AB432:AG432,SUBSTITUTE(TRIM(AF404)," (s)",""))&gt;0,IF(ROUND(AO404,3)&gt;=1,ROUND(AO404,3)&amp;" Kg",MAX(1,ROUND(AO404*1000,0))&amp;" g"),"")))</f>
        <v/>
      </c>
      <c r="AR404" s="103" t="str">
        <f t="shared" si="92"/>
        <v>►</v>
      </c>
      <c r="AS404" s="31" t="str">
        <f>AS370</f>
        <v>N NOMBRE DE SU RECETA | pegue esto — FAMILIA| Auteur &gt; VOUS</v>
      </c>
      <c r="AT404" s="32">
        <f>AT370</f>
        <v>1</v>
      </c>
      <c r="AU404" s="31" t="str">
        <f>AU370</f>
        <v>coupe</v>
      </c>
      <c r="AV404" s="33" t="str">
        <f>AV370</f>
        <v>Receta madre ► MILLE-FEUILLE  aux fraises des bois</v>
      </c>
      <c r="AW404" s="89"/>
      <c r="AX404" s="108"/>
      <c r="AY404" s="91" t="str">
        <f t="shared" si="87"/>
        <v/>
      </c>
      <c r="AZ404" s="92"/>
      <c r="BA404" s="128"/>
      <c r="BB404" s="130">
        <v>1</v>
      </c>
      <c r="BC404" s="1813" t="str">
        <f>ROWS(BC374:BC404)&amp;" ►"</f>
        <v>31 ►</v>
      </c>
      <c r="BD404" s="1580"/>
      <c r="BE404" s="95">
        <f>IF(BG429=0,0,(BG404/BG429)*BF373*1000)</f>
        <v>0</v>
      </c>
      <c r="BF404" s="105">
        <f>IF(BG429=0, 0, (AW404*BB404)/(BG429*BF373))</f>
        <v>0</v>
      </c>
      <c r="BG404" s="97" cm="1">
        <f t="array" ref="BG404">IFERROR(_xlfn.XLOOKUP(UPPER(TRIM(BA404)),UPPER(TRIM(AW430:BK430)),AW431:BK431,_xlfn.XLOOKUP(UPPER(TRIM(BA404)),UPPER(TRIM(AW432:BK432)),AW433:BK433,0))*AZ404*IF(AW404&gt;0,AW404,1),0)</f>
        <v>0</v>
      </c>
      <c r="BH404" s="110">
        <f>IF(BJ369&lt;&gt;0,AW404*BB404*BB369,0)</f>
        <v>0</v>
      </c>
      <c r="BI404" s="1748">
        <f t="shared" si="90"/>
        <v>0</v>
      </c>
      <c r="BJ404" s="99">
        <f>IF(OR(ISBLANK(BJ369),BJ369=0),0,BG404*BB404*BB369)</f>
        <v>0</v>
      </c>
      <c r="BK404" s="1617" t="str">
        <f>IF(BA404="","",IF(COUNTIF(BD430:BK430,SUBSTITUTE(TRIM(BA404)," (s)",""))+COUNTIF(BD432:BK432,SUBSTITUTE(TRIM(BA404)," (s)",""))&gt;0,IF(ROUND(BJ404,3)&gt;=1,ROUND(BJ404,3)&amp;" L",MAX(1,ROUND(BJ404*100,0))&amp;" cl"),IF(COUNTIF(AW430:BB430,SUBSTITUTE(TRIM(BA404)," (s)",""))+COUNTIF(AW432:BB432,SUBSTITUTE(TRIM(BA404)," (s)",""))&gt;0,IF(ROUND(BJ404,3)&gt;=1,ROUND(BJ404,3)&amp;" Kg",MAX(1,ROUND(BJ404*1000,0))&amp;" g"),"")))</f>
        <v/>
      </c>
      <c r="BM404" s="3">
        <v>1</v>
      </c>
    </row>
    <row r="405" spans="2:65" ht="21" customHeight="1">
      <c r="B405" s="103" t="str">
        <f t="shared" si="93"/>
        <v>►</v>
      </c>
      <c r="C405" s="31" t="str">
        <f>C370</f>
        <v>MAJUSCULE(GAUCHE(J21;1))&amp;" "&amp;J21&amp;" | "&amp;S21&amp;"| "&amp;J23&amp;" "&amp;K23</v>
      </c>
      <c r="D405" s="32">
        <f>D370</f>
        <v>1</v>
      </c>
      <c r="E405" s="31" t="str">
        <f>E370</f>
        <v>coupe</v>
      </c>
      <c r="F405" s="33" t="str">
        <f>F370</f>
        <v>Recette mère ► MILLE-FEUILLE  aux fraises des bois</v>
      </c>
      <c r="G405" s="89"/>
      <c r="H405" s="108"/>
      <c r="I405" s="91" t="str">
        <f t="shared" si="85"/>
        <v/>
      </c>
      <c r="J405" s="92"/>
      <c r="K405" s="128"/>
      <c r="L405" s="130">
        <v>1</v>
      </c>
      <c r="M405" s="1813" t="str">
        <f>ROWS(M374:M405)&amp;" ►"</f>
        <v>32 ►</v>
      </c>
      <c r="N405" s="1580"/>
      <c r="O405" s="95">
        <f>IF(Q429=0,0,(Q405/Q429)*P373*1000)</f>
        <v>0</v>
      </c>
      <c r="P405" s="105">
        <f>IF(Q429=0, 0, (G405*L405)/(Q429*P373))</f>
        <v>0</v>
      </c>
      <c r="Q405" s="97" cm="1">
        <f t="array" ref="Q405">IFERROR(_xlfn.XLOOKUP(UPPER(TRIM(K405)),UPPER(TRIM(G430:U430)),G431:U431,_xlfn.XLOOKUP(UPPER(TRIM(K405)),UPPER(TRIM(G432:U432)),G433:U433,0))*J405*IF(G405&gt;0,G405,1),0)</f>
        <v>0</v>
      </c>
      <c r="R405" s="106">
        <f>IF(T369&lt;&gt;0,G405*L405*L369,0)</f>
        <v>0</v>
      </c>
      <c r="S405" s="1747">
        <f t="shared" si="88"/>
        <v>0</v>
      </c>
      <c r="T405" s="99">
        <f>IF(OR(ISBLANK(T369),T369=0),0,Q405*L405*L369)</f>
        <v>0</v>
      </c>
      <c r="U405" s="1367" t="str">
        <f>IF(K405="","",IF(COUNTIF(N430:U430,SUBSTITUTE(TRIM(K405)," (s)",""))+COUNTIF(N432:U432,SUBSTITUTE(TRIM(K405)," (s)",""))&gt;0,IF(ROUND(T405,3)&gt;=1,ROUND(T405,3)&amp;" L",MAX(1,ROUND(T405*100,0))&amp;" cl"),IF(COUNTIF(G430:L430,SUBSTITUTE(TRIM(K405)," (s)",""))+COUNTIF(G432:L432,SUBSTITUTE(TRIM(K405)," (s)",""))&gt;0,IF(ROUND(T405,3)&gt;=1,ROUND(T405,3)&amp;" Kg",MAX(1,ROUND(T405*1000,0))&amp;" g"),"")))</f>
        <v/>
      </c>
      <c r="W405" s="103" t="str">
        <f t="shared" si="91"/>
        <v>►</v>
      </c>
      <c r="X405" s="31" t="str">
        <f>X370</f>
        <v>N NAME OF YOUR RECIPE | paste it — FAMILY|  Author &gt; YOU</v>
      </c>
      <c r="Y405" s="32">
        <f>Y370</f>
        <v>1</v>
      </c>
      <c r="Z405" s="31" t="str">
        <f>Z370</f>
        <v>coupe</v>
      </c>
      <c r="AA405" s="33" t="str">
        <f>AA370</f>
        <v>Master recipe ► MILLE-FEUILLE  aux fraises des bois</v>
      </c>
      <c r="AB405" s="89"/>
      <c r="AC405" s="108"/>
      <c r="AD405" s="91" t="str">
        <f t="shared" si="86"/>
        <v/>
      </c>
      <c r="AE405" s="92"/>
      <c r="AF405" s="128"/>
      <c r="AG405" s="130">
        <v>1</v>
      </c>
      <c r="AH405" s="1813" t="str">
        <f>ROWS(AH374:AH405)&amp;" ►"</f>
        <v>32 ►</v>
      </c>
      <c r="AI405" s="1580"/>
      <c r="AJ405" s="95">
        <f>IF(AL429=0,0,(AL405/AL429)*AK373*1000)</f>
        <v>0</v>
      </c>
      <c r="AK405" s="105">
        <f>IF(AL429=0, 0, (AB405*AG405)/(AL429*AK373))</f>
        <v>0</v>
      </c>
      <c r="AL405" s="97" cm="1">
        <f t="array" ref="AL405">IFERROR(_xlfn.XLOOKUP(UPPER(TRIM(AF405)),UPPER(TRIM(AB430:AP430)),AB431:AP431,_xlfn.XLOOKUP(UPPER(TRIM(AF405)),UPPER(TRIM(AB432:AP432)),AB433:AP433,0))*AE405*IF(AB405&gt;0,AB405,1),0)</f>
        <v>0</v>
      </c>
      <c r="AM405" s="106">
        <f>IF(AO369&lt;&gt;0,AB405*AG405*AG369,0)</f>
        <v>0</v>
      </c>
      <c r="AN405" s="1747">
        <f t="shared" si="89"/>
        <v>0</v>
      </c>
      <c r="AO405" s="99">
        <f>IF(OR(ISBLANK(AO369),AO369=0),0,AL405*AG405*AG369)</f>
        <v>0</v>
      </c>
      <c r="AP405" s="1367" t="str">
        <f>IF(AF405="","",IF(COUNTIF(AI430:AP430,SUBSTITUTE(TRIM(AF405)," (s)",""))+COUNTIF(AI432:AP432,SUBSTITUTE(TRIM(AF405)," (s)",""))&gt;0,IF(ROUND(AO405,3)&gt;=1,ROUND(AO405,3)&amp;" L",MAX(1,ROUND(AO405*100,0))&amp;" cl"),IF(COUNTIF(AB430:AG430,SUBSTITUTE(TRIM(AF405)," (s)",""))+COUNTIF(AB432:AG432,SUBSTITUTE(TRIM(AF405)," (s)",""))&gt;0,IF(ROUND(AO405,3)&gt;=1,ROUND(AO405,3)&amp;" Kg",MAX(1,ROUND(AO405*1000,0))&amp;" g"),"")))</f>
        <v/>
      </c>
      <c r="AR405" s="103" t="str">
        <f t="shared" si="92"/>
        <v>►</v>
      </c>
      <c r="AS405" s="31" t="str">
        <f>AS370</f>
        <v>N NOMBRE DE SU RECETA | pegue esto — FAMILIA| Auteur &gt; VOUS</v>
      </c>
      <c r="AT405" s="32">
        <f>AT370</f>
        <v>1</v>
      </c>
      <c r="AU405" s="31" t="str">
        <f>AU370</f>
        <v>coupe</v>
      </c>
      <c r="AV405" s="33" t="str">
        <f>AV370</f>
        <v>Receta madre ► MILLE-FEUILLE  aux fraises des bois</v>
      </c>
      <c r="AW405" s="89"/>
      <c r="AX405" s="108"/>
      <c r="AY405" s="91" t="str">
        <f t="shared" si="87"/>
        <v/>
      </c>
      <c r="AZ405" s="92"/>
      <c r="BA405" s="128"/>
      <c r="BB405" s="130">
        <v>1</v>
      </c>
      <c r="BC405" s="1813" t="str">
        <f>ROWS(BC374:BC405)&amp;" ►"</f>
        <v>32 ►</v>
      </c>
      <c r="BD405" s="1580"/>
      <c r="BE405" s="95">
        <f>IF(BG429=0,0,(BG405/BG429)*BF373*1000)</f>
        <v>0</v>
      </c>
      <c r="BF405" s="105">
        <f>IF(BG429=0, 0, (AW405*BB405)/(BG429*BF373))</f>
        <v>0</v>
      </c>
      <c r="BG405" s="97" cm="1">
        <f t="array" ref="BG405">IFERROR(_xlfn.XLOOKUP(UPPER(TRIM(BA405)),UPPER(TRIM(AW430:BK430)),AW431:BK431,_xlfn.XLOOKUP(UPPER(TRIM(BA405)),UPPER(TRIM(AW432:BK432)),AW433:BK433,0))*AZ405*IF(AW405&gt;0,AW405,1),0)</f>
        <v>0</v>
      </c>
      <c r="BH405" s="106">
        <f>IF(BJ369&lt;&gt;0,AW405*BB405*BB369,0)</f>
        <v>0</v>
      </c>
      <c r="BI405" s="1747">
        <f t="shared" si="90"/>
        <v>0</v>
      </c>
      <c r="BJ405" s="99">
        <f>IF(OR(ISBLANK(BJ369),BJ369=0),0,BG405*BB405*BB369)</f>
        <v>0</v>
      </c>
      <c r="BK405" s="1367" t="str">
        <f>IF(BA405="","",IF(COUNTIF(BD430:BK430,SUBSTITUTE(TRIM(BA405)," (s)",""))+COUNTIF(BD432:BK432,SUBSTITUTE(TRIM(BA405)," (s)",""))&gt;0,IF(ROUND(BJ405,3)&gt;=1,ROUND(BJ405,3)&amp;" L",MAX(1,ROUND(BJ405*100,0))&amp;" cl"),IF(COUNTIF(AW430:BB430,SUBSTITUTE(TRIM(BA405)," (s)",""))+COUNTIF(AW432:BB432,SUBSTITUTE(TRIM(BA405)," (s)",""))&gt;0,IF(ROUND(BJ405,3)&gt;=1,ROUND(BJ405,3)&amp;" Kg",MAX(1,ROUND(BJ405*1000,0))&amp;" g"),"")))</f>
        <v/>
      </c>
      <c r="BM405" s="3">
        <v>1</v>
      </c>
    </row>
    <row r="406" spans="2:65" ht="21" customHeight="1">
      <c r="B406" s="103" t="str">
        <f t="shared" si="93"/>
        <v>►</v>
      </c>
      <c r="C406" s="31" t="str">
        <f>C370</f>
        <v>MAJUSCULE(GAUCHE(J21;1))&amp;" "&amp;J21&amp;" | "&amp;S21&amp;"| "&amp;J23&amp;" "&amp;K23</v>
      </c>
      <c r="D406" s="32">
        <f>D370</f>
        <v>1</v>
      </c>
      <c r="E406" s="31" t="str">
        <f>E370</f>
        <v>coupe</v>
      </c>
      <c r="F406" s="33" t="str">
        <f>F370</f>
        <v>Recette mère ► MILLE-FEUILLE  aux fraises des bois</v>
      </c>
      <c r="G406" s="89"/>
      <c r="H406" s="108"/>
      <c r="I406" s="91" t="str">
        <f t="shared" si="85"/>
        <v/>
      </c>
      <c r="J406" s="92"/>
      <c r="K406" s="128"/>
      <c r="L406" s="130">
        <v>1</v>
      </c>
      <c r="M406" s="1813" t="str">
        <f>ROWS(M374:M406)&amp;" ►"</f>
        <v>33 ►</v>
      </c>
      <c r="N406" s="1580"/>
      <c r="O406" s="95">
        <f>IF(Q429=0,0,(Q406/Q429)*P373*1000)</f>
        <v>0</v>
      </c>
      <c r="P406" s="105">
        <f>IF(Q429=0, 0, (G406*L406)/(Q429*P373))</f>
        <v>0</v>
      </c>
      <c r="Q406" s="97" cm="1">
        <f t="array" ref="Q406">IFERROR(_xlfn.XLOOKUP(UPPER(TRIM(K406)),UPPER(TRIM(G430:U430)),G431:U431,_xlfn.XLOOKUP(UPPER(TRIM(K406)),UPPER(TRIM(G432:U432)),G433:U433,0))*J406*IF(G406&gt;0,G406,1),0)</f>
        <v>0</v>
      </c>
      <c r="R406" s="110">
        <f>IF(T369&lt;&gt;0,G406*L406*L369,0)</f>
        <v>0</v>
      </c>
      <c r="S406" s="1748">
        <f t="shared" si="88"/>
        <v>0</v>
      </c>
      <c r="T406" s="99">
        <f>IF(OR(ISBLANK(T369),T369=0),0,Q406*L406*L369)</f>
        <v>0</v>
      </c>
      <c r="U406" s="1617" t="str">
        <f>IF(K406="","",IF(COUNTIF(N430:U430,SUBSTITUTE(TRIM(K406)," (s)",""))+COUNTIF(N432:U432,SUBSTITUTE(TRIM(K406)," (s)",""))&gt;0,IF(ROUND(T406,3)&gt;=1,ROUND(T406,3)&amp;" L",MAX(1,ROUND(T406*100,0))&amp;" cl"),IF(COUNTIF(G430:L430,SUBSTITUTE(TRIM(K406)," (s)",""))+COUNTIF(G432:L432,SUBSTITUTE(TRIM(K406)," (s)",""))&gt;0,IF(ROUND(T406,3)&gt;=1,ROUND(T406,3)&amp;" Kg",MAX(1,ROUND(T406*1000,0))&amp;" g"),"")))</f>
        <v/>
      </c>
      <c r="W406" s="103" t="str">
        <f t="shared" si="91"/>
        <v>►</v>
      </c>
      <c r="X406" s="31" t="str">
        <f>X370</f>
        <v>N NAME OF YOUR RECIPE | paste it — FAMILY|  Author &gt; YOU</v>
      </c>
      <c r="Y406" s="32">
        <f>Y370</f>
        <v>1</v>
      </c>
      <c r="Z406" s="31" t="str">
        <f>Z370</f>
        <v>coupe</v>
      </c>
      <c r="AA406" s="33" t="str">
        <f>AA370</f>
        <v>Master recipe ► MILLE-FEUILLE  aux fraises des bois</v>
      </c>
      <c r="AB406" s="89"/>
      <c r="AC406" s="108"/>
      <c r="AD406" s="91" t="str">
        <f t="shared" si="86"/>
        <v/>
      </c>
      <c r="AE406" s="92"/>
      <c r="AF406" s="128"/>
      <c r="AG406" s="130">
        <v>1</v>
      </c>
      <c r="AH406" s="1813" t="str">
        <f>ROWS(AH374:AH406)&amp;" ►"</f>
        <v>33 ►</v>
      </c>
      <c r="AI406" s="1580"/>
      <c r="AJ406" s="95">
        <f>IF(AL429=0,0,(AL406/AL429)*AK373*1000)</f>
        <v>0</v>
      </c>
      <c r="AK406" s="105">
        <f>IF(AL429=0, 0, (AB406*AG406)/(AL429*AK373))</f>
        <v>0</v>
      </c>
      <c r="AL406" s="97" cm="1">
        <f t="array" ref="AL406">IFERROR(_xlfn.XLOOKUP(UPPER(TRIM(AF406)),UPPER(TRIM(AB430:AP430)),AB431:AP431,_xlfn.XLOOKUP(UPPER(TRIM(AF406)),UPPER(TRIM(AB432:AP432)),AB433:AP433,0))*AE406*IF(AB406&gt;0,AB406,1),0)</f>
        <v>0</v>
      </c>
      <c r="AM406" s="110">
        <f>IF(AO369&lt;&gt;0,AB406*AG406*AG369,0)</f>
        <v>0</v>
      </c>
      <c r="AN406" s="1748">
        <f t="shared" si="89"/>
        <v>0</v>
      </c>
      <c r="AO406" s="99">
        <f>IF(OR(ISBLANK(AO369),AO369=0),0,AL406*AG406*AG369)</f>
        <v>0</v>
      </c>
      <c r="AP406" s="1617" t="str">
        <f>IF(AF406="","",IF(COUNTIF(AI430:AP430,SUBSTITUTE(TRIM(AF406)," (s)",""))+COUNTIF(AI432:AP432,SUBSTITUTE(TRIM(AF406)," (s)",""))&gt;0,IF(ROUND(AO406,3)&gt;=1,ROUND(AO406,3)&amp;" L",MAX(1,ROUND(AO406*100,0))&amp;" cl"),IF(COUNTIF(AB430:AG430,SUBSTITUTE(TRIM(AF406)," (s)",""))+COUNTIF(AB432:AG432,SUBSTITUTE(TRIM(AF406)," (s)",""))&gt;0,IF(ROUND(AO406,3)&gt;=1,ROUND(AO406,3)&amp;" Kg",MAX(1,ROUND(AO406*1000,0))&amp;" g"),"")))</f>
        <v/>
      </c>
      <c r="AR406" s="103" t="str">
        <f t="shared" si="92"/>
        <v>►</v>
      </c>
      <c r="AS406" s="31" t="str">
        <f>AS370</f>
        <v>N NOMBRE DE SU RECETA | pegue esto — FAMILIA| Auteur &gt; VOUS</v>
      </c>
      <c r="AT406" s="32">
        <f>AT370</f>
        <v>1</v>
      </c>
      <c r="AU406" s="31" t="str">
        <f>AU370</f>
        <v>coupe</v>
      </c>
      <c r="AV406" s="33" t="str">
        <f>AV370</f>
        <v>Receta madre ► MILLE-FEUILLE  aux fraises des bois</v>
      </c>
      <c r="AW406" s="89"/>
      <c r="AX406" s="108"/>
      <c r="AY406" s="91" t="str">
        <f t="shared" si="87"/>
        <v/>
      </c>
      <c r="AZ406" s="92"/>
      <c r="BA406" s="128"/>
      <c r="BB406" s="130">
        <v>1</v>
      </c>
      <c r="BC406" s="1813" t="str">
        <f>ROWS(BC374:BC406)&amp;" ►"</f>
        <v>33 ►</v>
      </c>
      <c r="BD406" s="1580"/>
      <c r="BE406" s="95">
        <f>IF(BG429=0,0,(BG406/BG429)*BF373*1000)</f>
        <v>0</v>
      </c>
      <c r="BF406" s="105">
        <f>IF(BG429=0, 0, (AW406*BB406)/(BG429*BF373))</f>
        <v>0</v>
      </c>
      <c r="BG406" s="97" cm="1">
        <f t="array" ref="BG406">IFERROR(_xlfn.XLOOKUP(UPPER(TRIM(BA406)),UPPER(TRIM(AW430:BK430)),AW431:BK431,_xlfn.XLOOKUP(UPPER(TRIM(BA406)),UPPER(TRIM(AW432:BK432)),AW433:BK433,0))*AZ406*IF(AW406&gt;0,AW406,1),0)</f>
        <v>0</v>
      </c>
      <c r="BH406" s="110">
        <f>IF(BJ369&lt;&gt;0,AW406*BB406*BB369,0)</f>
        <v>0</v>
      </c>
      <c r="BI406" s="1748">
        <f t="shared" si="90"/>
        <v>0</v>
      </c>
      <c r="BJ406" s="99">
        <f>IF(OR(ISBLANK(BJ369),BJ369=0),0,BG406*BB406*BB369)</f>
        <v>0</v>
      </c>
      <c r="BK406" s="1617" t="str">
        <f>IF(BA406="","",IF(COUNTIF(BD430:BK430,SUBSTITUTE(TRIM(BA406)," (s)",""))+COUNTIF(BD432:BK432,SUBSTITUTE(TRIM(BA406)," (s)",""))&gt;0,IF(ROUND(BJ406,3)&gt;=1,ROUND(BJ406,3)&amp;" L",MAX(1,ROUND(BJ406*100,0))&amp;" cl"),IF(COUNTIF(AW430:BB430,SUBSTITUTE(TRIM(BA406)," (s)",""))+COUNTIF(AW432:BB432,SUBSTITUTE(TRIM(BA406)," (s)",""))&gt;0,IF(ROUND(BJ406,3)&gt;=1,ROUND(BJ406,3)&amp;" Kg",MAX(1,ROUND(BJ406*1000,0))&amp;" g"),"")))</f>
        <v/>
      </c>
      <c r="BM406" s="3">
        <v>1</v>
      </c>
    </row>
    <row r="407" spans="2:65" ht="21" customHeight="1">
      <c r="B407" s="103" t="str">
        <f t="shared" si="93"/>
        <v>►</v>
      </c>
      <c r="C407" s="31" t="str">
        <f>C370</f>
        <v>MAJUSCULE(GAUCHE(J21;1))&amp;" "&amp;J21&amp;" | "&amp;S21&amp;"| "&amp;J23&amp;" "&amp;K23</v>
      </c>
      <c r="D407" s="32">
        <f>D370</f>
        <v>1</v>
      </c>
      <c r="E407" s="31" t="str">
        <f>E370</f>
        <v>coupe</v>
      </c>
      <c r="F407" s="33" t="str">
        <f>F370</f>
        <v>Recette mère ► MILLE-FEUILLE  aux fraises des bois</v>
      </c>
      <c r="G407" s="89"/>
      <c r="H407" s="108"/>
      <c r="I407" s="91" t="str">
        <f t="shared" si="85"/>
        <v/>
      </c>
      <c r="J407" s="92"/>
      <c r="K407" s="128"/>
      <c r="L407" s="130">
        <v>1</v>
      </c>
      <c r="M407" s="1813" t="str">
        <f>ROWS(M374:M407)&amp;" ►"</f>
        <v>34 ►</v>
      </c>
      <c r="N407" s="1580"/>
      <c r="O407" s="95">
        <f>IF(Q429=0,0,(Q407/Q429)*P373*1000)</f>
        <v>0</v>
      </c>
      <c r="P407" s="105">
        <f>IF(Q429=0, 0, (G407*L407)/(Q429*P373))</f>
        <v>0</v>
      </c>
      <c r="Q407" s="97" cm="1">
        <f t="array" ref="Q407">IFERROR(_xlfn.XLOOKUP(UPPER(TRIM(K407)),UPPER(TRIM(G430:U430)),G431:U431,_xlfn.XLOOKUP(UPPER(TRIM(K407)),UPPER(TRIM(G432:U432)),G433:U433,0))*J407*IF(G407&gt;0,G407,1),0)</f>
        <v>0</v>
      </c>
      <c r="R407" s="106">
        <f>IF(T369&lt;&gt;0,G407*L407*L369,0)</f>
        <v>0</v>
      </c>
      <c r="S407" s="1747">
        <f t="shared" si="88"/>
        <v>0</v>
      </c>
      <c r="T407" s="99">
        <f>IF(OR(ISBLANK(T369),T369=0),0,Q407*L407*L369)</f>
        <v>0</v>
      </c>
      <c r="U407" s="1367" t="str">
        <f>IF(K407="","",IF(COUNTIF(N430:U430,SUBSTITUTE(TRIM(K407)," (s)",""))+COUNTIF(N432:U432,SUBSTITUTE(TRIM(K407)," (s)",""))&gt;0,IF(ROUND(T407,3)&gt;=1,ROUND(T407,3)&amp;" L",MAX(1,ROUND(T407*100,0))&amp;" cl"),IF(COUNTIF(G430:L430,SUBSTITUTE(TRIM(K407)," (s)",""))+COUNTIF(G432:L432,SUBSTITUTE(TRIM(K407)," (s)",""))&gt;0,IF(ROUND(T407,3)&gt;=1,ROUND(T407,3)&amp;" Kg",MAX(1,ROUND(T407*1000,0))&amp;" g"),"")))</f>
        <v/>
      </c>
      <c r="W407" s="103" t="str">
        <f t="shared" si="91"/>
        <v>►</v>
      </c>
      <c r="X407" s="31" t="str">
        <f>X370</f>
        <v>N NAME OF YOUR RECIPE | paste it — FAMILY|  Author &gt; YOU</v>
      </c>
      <c r="Y407" s="32">
        <f>Y370</f>
        <v>1</v>
      </c>
      <c r="Z407" s="31" t="str">
        <f>Z370</f>
        <v>coupe</v>
      </c>
      <c r="AA407" s="33" t="str">
        <f>AA370</f>
        <v>Master recipe ► MILLE-FEUILLE  aux fraises des bois</v>
      </c>
      <c r="AB407" s="89"/>
      <c r="AC407" s="108"/>
      <c r="AD407" s="91" t="str">
        <f t="shared" si="86"/>
        <v/>
      </c>
      <c r="AE407" s="92"/>
      <c r="AF407" s="128"/>
      <c r="AG407" s="130">
        <v>1</v>
      </c>
      <c r="AH407" s="1813" t="str">
        <f>ROWS(AH374:AH407)&amp;" ►"</f>
        <v>34 ►</v>
      </c>
      <c r="AI407" s="1580"/>
      <c r="AJ407" s="95">
        <f>IF(AL429=0,0,(AL407/AL429)*AK373*1000)</f>
        <v>0</v>
      </c>
      <c r="AK407" s="105">
        <f>IF(AL429=0, 0, (AB407*AG407)/(AL429*AK373))</f>
        <v>0</v>
      </c>
      <c r="AL407" s="97" cm="1">
        <f t="array" ref="AL407">IFERROR(_xlfn.XLOOKUP(UPPER(TRIM(AF407)),UPPER(TRIM(AB430:AP430)),AB431:AP431,_xlfn.XLOOKUP(UPPER(TRIM(AF407)),UPPER(TRIM(AB432:AP432)),AB433:AP433,0))*AE407*IF(AB407&gt;0,AB407,1),0)</f>
        <v>0</v>
      </c>
      <c r="AM407" s="106">
        <f>IF(AO369&lt;&gt;0,AB407*AG407*AG369,0)</f>
        <v>0</v>
      </c>
      <c r="AN407" s="1747">
        <f t="shared" si="89"/>
        <v>0</v>
      </c>
      <c r="AO407" s="99">
        <f>IF(OR(ISBLANK(AO369),AO369=0),0,AL407*AG407*AG369)</f>
        <v>0</v>
      </c>
      <c r="AP407" s="1367" t="str">
        <f>IF(AF407="","",IF(COUNTIF(AI430:AP430,SUBSTITUTE(TRIM(AF407)," (s)",""))+COUNTIF(AI432:AP432,SUBSTITUTE(TRIM(AF407)," (s)",""))&gt;0,IF(ROUND(AO407,3)&gt;=1,ROUND(AO407,3)&amp;" L",MAX(1,ROUND(AO407*100,0))&amp;" cl"),IF(COUNTIF(AB430:AG430,SUBSTITUTE(TRIM(AF407)," (s)",""))+COUNTIF(AB432:AG432,SUBSTITUTE(TRIM(AF407)," (s)",""))&gt;0,IF(ROUND(AO407,3)&gt;=1,ROUND(AO407,3)&amp;" Kg",MAX(1,ROUND(AO407*1000,0))&amp;" g"),"")))</f>
        <v/>
      </c>
      <c r="AR407" s="103" t="str">
        <f t="shared" si="92"/>
        <v>►</v>
      </c>
      <c r="AS407" s="31" t="str">
        <f>AS370</f>
        <v>N NOMBRE DE SU RECETA | pegue esto — FAMILIA| Auteur &gt; VOUS</v>
      </c>
      <c r="AT407" s="32">
        <f>AT370</f>
        <v>1</v>
      </c>
      <c r="AU407" s="31" t="str">
        <f>AU370</f>
        <v>coupe</v>
      </c>
      <c r="AV407" s="33" t="str">
        <f>AV370</f>
        <v>Receta madre ► MILLE-FEUILLE  aux fraises des bois</v>
      </c>
      <c r="AW407" s="89"/>
      <c r="AX407" s="108"/>
      <c r="AY407" s="91" t="str">
        <f t="shared" si="87"/>
        <v/>
      </c>
      <c r="AZ407" s="92"/>
      <c r="BA407" s="128"/>
      <c r="BB407" s="130">
        <v>1</v>
      </c>
      <c r="BC407" s="1813" t="str">
        <f>ROWS(BC374:BC407)&amp;" ►"</f>
        <v>34 ►</v>
      </c>
      <c r="BD407" s="1580"/>
      <c r="BE407" s="95">
        <f>IF(BG429=0,0,(BG407/BG429)*BF373*1000)</f>
        <v>0</v>
      </c>
      <c r="BF407" s="105">
        <f>IF(BG429=0, 0, (AW407*BB407)/(BG429*BF373))</f>
        <v>0</v>
      </c>
      <c r="BG407" s="97" cm="1">
        <f t="array" ref="BG407">IFERROR(_xlfn.XLOOKUP(UPPER(TRIM(BA407)),UPPER(TRIM(AW430:BK430)),AW431:BK431,_xlfn.XLOOKUP(UPPER(TRIM(BA407)),UPPER(TRIM(AW432:BK432)),AW433:BK433,0))*AZ407*IF(AW407&gt;0,AW407,1),0)</f>
        <v>0</v>
      </c>
      <c r="BH407" s="106">
        <f>IF(BJ369&lt;&gt;0,AW407*BB407*BB369,0)</f>
        <v>0</v>
      </c>
      <c r="BI407" s="1747">
        <f t="shared" si="90"/>
        <v>0</v>
      </c>
      <c r="BJ407" s="99">
        <f>IF(OR(ISBLANK(BJ369),BJ369=0),0,BG407*BB407*BB369)</f>
        <v>0</v>
      </c>
      <c r="BK407" s="1367" t="str">
        <f>IF(BA407="","",IF(COUNTIF(BD430:BK430,SUBSTITUTE(TRIM(BA407)," (s)",""))+COUNTIF(BD432:BK432,SUBSTITUTE(TRIM(BA407)," (s)",""))&gt;0,IF(ROUND(BJ407,3)&gt;=1,ROUND(BJ407,3)&amp;" L",MAX(1,ROUND(BJ407*100,0))&amp;" cl"),IF(COUNTIF(AW430:BB430,SUBSTITUTE(TRIM(BA407)," (s)",""))+COUNTIF(AW432:BB432,SUBSTITUTE(TRIM(BA407)," (s)",""))&gt;0,IF(ROUND(BJ407,3)&gt;=1,ROUND(BJ407,3)&amp;" Kg",MAX(1,ROUND(BJ407*1000,0))&amp;" g"),"")))</f>
        <v/>
      </c>
      <c r="BM407" s="3">
        <v>1</v>
      </c>
    </row>
    <row r="408" spans="2:65" ht="21" customHeight="1">
      <c r="B408" s="103" t="str">
        <f t="shared" si="93"/>
        <v>►</v>
      </c>
      <c r="C408" s="31" t="str">
        <f>C370</f>
        <v>MAJUSCULE(GAUCHE(J21;1))&amp;" "&amp;J21&amp;" | "&amp;S21&amp;"| "&amp;J23&amp;" "&amp;K23</v>
      </c>
      <c r="D408" s="32">
        <f>D370</f>
        <v>1</v>
      </c>
      <c r="E408" s="31" t="str">
        <f>E370</f>
        <v>coupe</v>
      </c>
      <c r="F408" s="33" t="str">
        <f>F370</f>
        <v>Recette mère ► MILLE-FEUILLE  aux fraises des bois</v>
      </c>
      <c r="G408" s="89"/>
      <c r="H408" s="108"/>
      <c r="I408" s="91" t="str">
        <f t="shared" si="85"/>
        <v/>
      </c>
      <c r="J408" s="92"/>
      <c r="K408" s="128"/>
      <c r="L408" s="130">
        <v>1</v>
      </c>
      <c r="M408" s="1813" t="str">
        <f>ROWS(M374:M408)&amp;" ►"</f>
        <v>35 ►</v>
      </c>
      <c r="N408" s="1580"/>
      <c r="O408" s="95">
        <f>IF(Q429=0,0,(Q408/Q429)*P373*1000)</f>
        <v>0</v>
      </c>
      <c r="P408" s="105">
        <f>IF(Q429=0, 0, (G408*L408)/(Q429*P373))</f>
        <v>0</v>
      </c>
      <c r="Q408" s="97" cm="1">
        <f t="array" ref="Q408">IFERROR(_xlfn.XLOOKUP(UPPER(TRIM(K408)),UPPER(TRIM(G430:U430)),G431:U431,_xlfn.XLOOKUP(UPPER(TRIM(K408)),UPPER(TRIM(G432:U432)),G433:U433,0))*J408*IF(G408&gt;0,G408,1),0)</f>
        <v>0</v>
      </c>
      <c r="R408" s="110">
        <f>IF(T369&lt;&gt;0,G408*L408*L369,0)</f>
        <v>0</v>
      </c>
      <c r="S408" s="1748">
        <f t="shared" si="88"/>
        <v>0</v>
      </c>
      <c r="T408" s="99">
        <f>IF(OR(ISBLANK(T369),T369=0),0,Q408*L408*L369)</f>
        <v>0</v>
      </c>
      <c r="U408" s="1617" t="str">
        <f>IF(K408="","",IF(COUNTIF(N430:U430,SUBSTITUTE(TRIM(K408)," (s)",""))+COUNTIF(N432:U432,SUBSTITUTE(TRIM(K408)," (s)",""))&gt;0,IF(ROUND(T408,3)&gt;=1,ROUND(T408,3)&amp;" L",MAX(1,ROUND(T408*100,0))&amp;" cl"),IF(COUNTIF(G430:L430,SUBSTITUTE(TRIM(K408)," (s)",""))+COUNTIF(G432:L432,SUBSTITUTE(TRIM(K408)," (s)",""))&gt;0,IF(ROUND(T408,3)&gt;=1,ROUND(T408,3)&amp;" Kg",MAX(1,ROUND(T408*1000,0))&amp;" g"),"")))</f>
        <v/>
      </c>
      <c r="W408" s="103" t="str">
        <f t="shared" si="91"/>
        <v>►</v>
      </c>
      <c r="X408" s="31" t="str">
        <f>X370</f>
        <v>N NAME OF YOUR RECIPE | paste it — FAMILY|  Author &gt; YOU</v>
      </c>
      <c r="Y408" s="32">
        <f>Y370</f>
        <v>1</v>
      </c>
      <c r="Z408" s="31" t="str">
        <f>Z370</f>
        <v>coupe</v>
      </c>
      <c r="AA408" s="33" t="str">
        <f>AA370</f>
        <v>Master recipe ► MILLE-FEUILLE  aux fraises des bois</v>
      </c>
      <c r="AB408" s="89"/>
      <c r="AC408" s="108"/>
      <c r="AD408" s="91" t="str">
        <f t="shared" si="86"/>
        <v/>
      </c>
      <c r="AE408" s="92"/>
      <c r="AF408" s="128"/>
      <c r="AG408" s="130">
        <v>1</v>
      </c>
      <c r="AH408" s="1813" t="str">
        <f>ROWS(AH374:AH408)&amp;" ►"</f>
        <v>35 ►</v>
      </c>
      <c r="AI408" s="1580"/>
      <c r="AJ408" s="95">
        <f>IF(AL429=0,0,(AL408/AL429)*AK373*1000)</f>
        <v>0</v>
      </c>
      <c r="AK408" s="105">
        <f>IF(AL429=0, 0, (AB408*AG408)/(AL429*AK373))</f>
        <v>0</v>
      </c>
      <c r="AL408" s="97" cm="1">
        <f t="array" ref="AL408">IFERROR(_xlfn.XLOOKUP(UPPER(TRIM(AF408)),UPPER(TRIM(AB430:AP430)),AB431:AP431,_xlfn.XLOOKUP(UPPER(TRIM(AF408)),UPPER(TRIM(AB432:AP432)),AB433:AP433,0))*AE408*IF(AB408&gt;0,AB408,1),0)</f>
        <v>0</v>
      </c>
      <c r="AM408" s="110">
        <f>IF(AO369&lt;&gt;0,AB408*AG408*AG369,0)</f>
        <v>0</v>
      </c>
      <c r="AN408" s="1748">
        <f t="shared" si="89"/>
        <v>0</v>
      </c>
      <c r="AO408" s="99">
        <f>IF(OR(ISBLANK(AO369),AO369=0),0,AL408*AG408*AG369)</f>
        <v>0</v>
      </c>
      <c r="AP408" s="1617" t="str">
        <f>IF(AF408="","",IF(COUNTIF(AI430:AP430,SUBSTITUTE(TRIM(AF408)," (s)",""))+COUNTIF(AI432:AP432,SUBSTITUTE(TRIM(AF408)," (s)",""))&gt;0,IF(ROUND(AO408,3)&gt;=1,ROUND(AO408,3)&amp;" L",MAX(1,ROUND(AO408*100,0))&amp;" cl"),IF(COUNTIF(AB430:AG430,SUBSTITUTE(TRIM(AF408)," (s)",""))+COUNTIF(AB432:AG432,SUBSTITUTE(TRIM(AF408)," (s)",""))&gt;0,IF(ROUND(AO408,3)&gt;=1,ROUND(AO408,3)&amp;" Kg",MAX(1,ROUND(AO408*1000,0))&amp;" g"),"")))</f>
        <v/>
      </c>
      <c r="AR408" s="103" t="str">
        <f t="shared" si="92"/>
        <v>►</v>
      </c>
      <c r="AS408" s="31" t="str">
        <f>AS370</f>
        <v>N NOMBRE DE SU RECETA | pegue esto — FAMILIA| Auteur &gt; VOUS</v>
      </c>
      <c r="AT408" s="32">
        <f>AT370</f>
        <v>1</v>
      </c>
      <c r="AU408" s="31" t="str">
        <f>AU370</f>
        <v>coupe</v>
      </c>
      <c r="AV408" s="33" t="str">
        <f>AV370</f>
        <v>Receta madre ► MILLE-FEUILLE  aux fraises des bois</v>
      </c>
      <c r="AW408" s="89"/>
      <c r="AX408" s="108"/>
      <c r="AY408" s="91" t="str">
        <f t="shared" si="87"/>
        <v/>
      </c>
      <c r="AZ408" s="92"/>
      <c r="BA408" s="128"/>
      <c r="BB408" s="130">
        <v>1</v>
      </c>
      <c r="BC408" s="1813" t="str">
        <f>ROWS(BC374:BC408)&amp;" ►"</f>
        <v>35 ►</v>
      </c>
      <c r="BD408" s="1580"/>
      <c r="BE408" s="95">
        <f>IF(BG429=0,0,(BG408/BG429)*BF373*1000)</f>
        <v>0</v>
      </c>
      <c r="BF408" s="105">
        <f>IF(BG429=0, 0, (AW408*BB408)/(BG429*BF373))</f>
        <v>0</v>
      </c>
      <c r="BG408" s="97" cm="1">
        <f t="array" ref="BG408">IFERROR(_xlfn.XLOOKUP(UPPER(TRIM(BA408)),UPPER(TRIM(AW430:BK430)),AW431:BK431,_xlfn.XLOOKUP(UPPER(TRIM(BA408)),UPPER(TRIM(AW432:BK432)),AW433:BK433,0))*AZ408*IF(AW408&gt;0,AW408,1),0)</f>
        <v>0</v>
      </c>
      <c r="BH408" s="110">
        <f>IF(BJ369&lt;&gt;0,AW408*BB408*BB369,0)</f>
        <v>0</v>
      </c>
      <c r="BI408" s="1748">
        <f t="shared" si="90"/>
        <v>0</v>
      </c>
      <c r="BJ408" s="99">
        <f>IF(OR(ISBLANK(BJ369),BJ369=0),0,BG408*BB408*BB369)</f>
        <v>0</v>
      </c>
      <c r="BK408" s="1617" t="str">
        <f>IF(BA408="","",IF(COUNTIF(BD430:BK430,SUBSTITUTE(TRIM(BA408)," (s)",""))+COUNTIF(BD432:BK432,SUBSTITUTE(TRIM(BA408)," (s)",""))&gt;0,IF(ROUND(BJ408,3)&gt;=1,ROUND(BJ408,3)&amp;" L",MAX(1,ROUND(BJ408*100,0))&amp;" cl"),IF(COUNTIF(AW430:BB430,SUBSTITUTE(TRIM(BA408)," (s)",""))+COUNTIF(AW432:BB432,SUBSTITUTE(TRIM(BA408)," (s)",""))&gt;0,IF(ROUND(BJ408,3)&gt;=1,ROUND(BJ408,3)&amp;" Kg",MAX(1,ROUND(BJ408*1000,0))&amp;" g"),"")))</f>
        <v/>
      </c>
      <c r="BM408" s="3">
        <v>1</v>
      </c>
    </row>
    <row r="409" spans="2:65" ht="21" customHeight="1">
      <c r="B409" s="103" t="str">
        <f t="shared" si="93"/>
        <v>►</v>
      </c>
      <c r="C409" s="31" t="str">
        <f>C370</f>
        <v>MAJUSCULE(GAUCHE(J21;1))&amp;" "&amp;J21&amp;" | "&amp;S21&amp;"| "&amp;J23&amp;" "&amp;K23</v>
      </c>
      <c r="D409" s="32">
        <f>D370</f>
        <v>1</v>
      </c>
      <c r="E409" s="31" t="str">
        <f>E370</f>
        <v>coupe</v>
      </c>
      <c r="F409" s="33" t="str">
        <f>F370</f>
        <v>Recette mère ► MILLE-FEUILLE  aux fraises des bois</v>
      </c>
      <c r="G409" s="89"/>
      <c r="H409" s="108"/>
      <c r="I409" s="91" t="str">
        <f t="shared" si="85"/>
        <v/>
      </c>
      <c r="J409" s="92"/>
      <c r="K409" s="128"/>
      <c r="L409" s="130">
        <v>1</v>
      </c>
      <c r="M409" s="1813" t="str">
        <f>ROWS(M374:M409)&amp;" ►"</f>
        <v>36 ►</v>
      </c>
      <c r="N409" s="1580"/>
      <c r="O409" s="95">
        <f>IF(Q429=0,0,(Q409/Q429)*P373*1000)</f>
        <v>0</v>
      </c>
      <c r="P409" s="105">
        <f>IF(Q429=0, 0, (G409*L409)/(Q429*P373))</f>
        <v>0</v>
      </c>
      <c r="Q409" s="97" cm="1">
        <f t="array" ref="Q409">IFERROR(_xlfn.XLOOKUP(UPPER(TRIM(K409)),UPPER(TRIM(G430:U430)),G431:U431,_xlfn.XLOOKUP(UPPER(TRIM(K409)),UPPER(TRIM(G432:U432)),G433:U433,0))*J409*IF(G409&gt;0,G409,1),0)</f>
        <v>0</v>
      </c>
      <c r="R409" s="106">
        <f>IF(T369&lt;&gt;0,G409*L409*L369,0)</f>
        <v>0</v>
      </c>
      <c r="S409" s="1747">
        <f t="shared" si="88"/>
        <v>0</v>
      </c>
      <c r="T409" s="99">
        <f>IF(OR(ISBLANK(T369),T369=0),0,Q409*L409*L369)</f>
        <v>0</v>
      </c>
      <c r="U409" s="1367" t="str">
        <f>IF(K409="","",IF(COUNTIF(N430:U430,SUBSTITUTE(TRIM(K409)," (s)",""))+COUNTIF(N432:U432,SUBSTITUTE(TRIM(K409)," (s)",""))&gt;0,IF(ROUND(T409,3)&gt;=1,ROUND(T409,3)&amp;" L",MAX(1,ROUND(T409*100,0))&amp;" cl"),IF(COUNTIF(G430:L430,SUBSTITUTE(TRIM(K409)," (s)",""))+COUNTIF(G432:L432,SUBSTITUTE(TRIM(K409)," (s)",""))&gt;0,IF(ROUND(T409,3)&gt;=1,ROUND(T409,3)&amp;" Kg",MAX(1,ROUND(T409*1000,0))&amp;" g"),"")))</f>
        <v/>
      </c>
      <c r="W409" s="103" t="str">
        <f t="shared" si="91"/>
        <v>►</v>
      </c>
      <c r="X409" s="31" t="str">
        <f>X370</f>
        <v>N NAME OF YOUR RECIPE | paste it — FAMILY|  Author &gt; YOU</v>
      </c>
      <c r="Y409" s="32">
        <f>Y370</f>
        <v>1</v>
      </c>
      <c r="Z409" s="31" t="str">
        <f>Z370</f>
        <v>coupe</v>
      </c>
      <c r="AA409" s="33" t="str">
        <f>AA370</f>
        <v>Master recipe ► MILLE-FEUILLE  aux fraises des bois</v>
      </c>
      <c r="AB409" s="89"/>
      <c r="AC409" s="108"/>
      <c r="AD409" s="91" t="str">
        <f t="shared" si="86"/>
        <v/>
      </c>
      <c r="AE409" s="92"/>
      <c r="AF409" s="128"/>
      <c r="AG409" s="130">
        <v>1</v>
      </c>
      <c r="AH409" s="1813" t="str">
        <f>ROWS(AH374:AH409)&amp;" ►"</f>
        <v>36 ►</v>
      </c>
      <c r="AI409" s="1580"/>
      <c r="AJ409" s="95">
        <f>IF(AL429=0,0,(AL409/AL429)*AK373*1000)</f>
        <v>0</v>
      </c>
      <c r="AK409" s="105">
        <f>IF(AL429=0, 0, (AB409*AG409)/(AL429*AK373))</f>
        <v>0</v>
      </c>
      <c r="AL409" s="97" cm="1">
        <f t="array" ref="AL409">IFERROR(_xlfn.XLOOKUP(UPPER(TRIM(AF409)),UPPER(TRIM(AB430:AP430)),AB431:AP431,_xlfn.XLOOKUP(UPPER(TRIM(AF409)),UPPER(TRIM(AB432:AP432)),AB433:AP433,0))*AE409*IF(AB409&gt;0,AB409,1),0)</f>
        <v>0</v>
      </c>
      <c r="AM409" s="106">
        <f>IF(AO369&lt;&gt;0,AB409*AG409*AG369,0)</f>
        <v>0</v>
      </c>
      <c r="AN409" s="1747">
        <f t="shared" si="89"/>
        <v>0</v>
      </c>
      <c r="AO409" s="99">
        <f>IF(OR(ISBLANK(AO369),AO369=0),0,AL409*AG409*AG369)</f>
        <v>0</v>
      </c>
      <c r="AP409" s="1367" t="str">
        <f>IF(AF409="","",IF(COUNTIF(AI430:AP430,SUBSTITUTE(TRIM(AF409)," (s)",""))+COUNTIF(AI432:AP432,SUBSTITUTE(TRIM(AF409)," (s)",""))&gt;0,IF(ROUND(AO409,3)&gt;=1,ROUND(AO409,3)&amp;" L",MAX(1,ROUND(AO409*100,0))&amp;" cl"),IF(COUNTIF(AB430:AG430,SUBSTITUTE(TRIM(AF409)," (s)",""))+COUNTIF(AB432:AG432,SUBSTITUTE(TRIM(AF409)," (s)",""))&gt;0,IF(ROUND(AO409,3)&gt;=1,ROUND(AO409,3)&amp;" Kg",MAX(1,ROUND(AO409*1000,0))&amp;" g"),"")))</f>
        <v/>
      </c>
      <c r="AR409" s="103" t="str">
        <f t="shared" si="92"/>
        <v>►</v>
      </c>
      <c r="AS409" s="31" t="str">
        <f>AS370</f>
        <v>N NOMBRE DE SU RECETA | pegue esto — FAMILIA| Auteur &gt; VOUS</v>
      </c>
      <c r="AT409" s="32">
        <f>AT370</f>
        <v>1</v>
      </c>
      <c r="AU409" s="31" t="str">
        <f>AU370</f>
        <v>coupe</v>
      </c>
      <c r="AV409" s="33" t="str">
        <f>AV370</f>
        <v>Receta madre ► MILLE-FEUILLE  aux fraises des bois</v>
      </c>
      <c r="AW409" s="89"/>
      <c r="AX409" s="108"/>
      <c r="AY409" s="91" t="str">
        <f t="shared" si="87"/>
        <v/>
      </c>
      <c r="AZ409" s="92"/>
      <c r="BA409" s="128"/>
      <c r="BB409" s="130">
        <v>1</v>
      </c>
      <c r="BC409" s="1813" t="str">
        <f>ROWS(BC374:BC409)&amp;" ►"</f>
        <v>36 ►</v>
      </c>
      <c r="BD409" s="1580"/>
      <c r="BE409" s="95">
        <f>IF(BG429=0,0,(BG409/BG429)*BF373*1000)</f>
        <v>0</v>
      </c>
      <c r="BF409" s="105">
        <f>IF(BG429=0, 0, (AW409*BB409)/(BG429*BF373))</f>
        <v>0</v>
      </c>
      <c r="BG409" s="97" cm="1">
        <f t="array" ref="BG409">IFERROR(_xlfn.XLOOKUP(UPPER(TRIM(BA409)),UPPER(TRIM(AW430:BK430)),AW431:BK431,_xlfn.XLOOKUP(UPPER(TRIM(BA409)),UPPER(TRIM(AW432:BK432)),AW433:BK433,0))*AZ409*IF(AW409&gt;0,AW409,1),0)</f>
        <v>0</v>
      </c>
      <c r="BH409" s="106">
        <f>IF(BJ369&lt;&gt;0,AW409*BB409*BB369,0)</f>
        <v>0</v>
      </c>
      <c r="BI409" s="1747">
        <f t="shared" si="90"/>
        <v>0</v>
      </c>
      <c r="BJ409" s="99">
        <f>IF(OR(ISBLANK(BJ369),BJ369=0),0,BG409*BB409*BB369)</f>
        <v>0</v>
      </c>
      <c r="BK409" s="1367" t="str">
        <f>IF(BA409="","",IF(COUNTIF(BD430:BK430,SUBSTITUTE(TRIM(BA409)," (s)",""))+COUNTIF(BD432:BK432,SUBSTITUTE(TRIM(BA409)," (s)",""))&gt;0,IF(ROUND(BJ409,3)&gt;=1,ROUND(BJ409,3)&amp;" L",MAX(1,ROUND(BJ409*100,0))&amp;" cl"),IF(COUNTIF(AW430:BB430,SUBSTITUTE(TRIM(BA409)," (s)",""))+COUNTIF(AW432:BB432,SUBSTITUTE(TRIM(BA409)," (s)",""))&gt;0,IF(ROUND(BJ409,3)&gt;=1,ROUND(BJ409,3)&amp;" Kg",MAX(1,ROUND(BJ409*1000,0))&amp;" g"),"")))</f>
        <v/>
      </c>
      <c r="BM409" s="3">
        <v>1</v>
      </c>
    </row>
    <row r="410" spans="2:65" ht="21" customHeight="1">
      <c r="B410" s="103" t="str">
        <f t="shared" si="93"/>
        <v>►</v>
      </c>
      <c r="C410" s="31" t="str">
        <f>C370</f>
        <v>MAJUSCULE(GAUCHE(J21;1))&amp;" "&amp;J21&amp;" | "&amp;S21&amp;"| "&amp;J23&amp;" "&amp;K23</v>
      </c>
      <c r="D410" s="32">
        <f>D370</f>
        <v>1</v>
      </c>
      <c r="E410" s="31" t="str">
        <f>E370</f>
        <v>coupe</v>
      </c>
      <c r="F410" s="33" t="str">
        <f>F370</f>
        <v>Recette mère ► MILLE-FEUILLE  aux fraises des bois</v>
      </c>
      <c r="G410" s="89"/>
      <c r="H410" s="108"/>
      <c r="I410" s="91" t="str">
        <f t="shared" si="85"/>
        <v/>
      </c>
      <c r="J410" s="92"/>
      <c r="K410" s="128"/>
      <c r="L410" s="130">
        <v>1</v>
      </c>
      <c r="M410" s="1813" t="str">
        <f>ROWS(M374:M410)&amp;" ►"</f>
        <v>37 ►</v>
      </c>
      <c r="N410" s="1580"/>
      <c r="O410" s="95">
        <f>IF(Q429=0,0,(Q410/Q429)*P373*1000)</f>
        <v>0</v>
      </c>
      <c r="P410" s="105">
        <f>IF(Q429=0, 0, (G410*L410)/(Q429*P373))</f>
        <v>0</v>
      </c>
      <c r="Q410" s="97" cm="1">
        <f t="array" ref="Q410">IFERROR(_xlfn.XLOOKUP(UPPER(TRIM(K410)),UPPER(TRIM(G430:U430)),G431:U431,_xlfn.XLOOKUP(UPPER(TRIM(K410)),UPPER(TRIM(G432:U432)),G433:U433,0))*J410*IF(G410&gt;0,G410,1),0)</f>
        <v>0</v>
      </c>
      <c r="R410" s="110">
        <f>IF(T369&lt;&gt;0,G410*L410*L369,0)</f>
        <v>0</v>
      </c>
      <c r="S410" s="1748">
        <f t="shared" si="88"/>
        <v>0</v>
      </c>
      <c r="T410" s="99">
        <f>IF(OR(ISBLANK(T369),T369=0),0,Q410*L410*L369)</f>
        <v>0</v>
      </c>
      <c r="U410" s="1617" t="str">
        <f>IF(K410="","",IF(COUNTIF(N430:U430,SUBSTITUTE(TRIM(K410)," (s)",""))+COUNTIF(N432:U432,SUBSTITUTE(TRIM(K410)," (s)",""))&gt;0,IF(ROUND(T410,3)&gt;=1,ROUND(T410,3)&amp;" L",MAX(1,ROUND(T410*100,0))&amp;" cl"),IF(COUNTIF(G430:L430,SUBSTITUTE(TRIM(K410)," (s)",""))+COUNTIF(G432:L432,SUBSTITUTE(TRIM(K410)," (s)",""))&gt;0,IF(ROUND(T410,3)&gt;=1,ROUND(T410,3)&amp;" Kg",MAX(1,ROUND(T410*1000,0))&amp;" g"),"")))</f>
        <v/>
      </c>
      <c r="W410" s="103" t="str">
        <f t="shared" si="91"/>
        <v>►</v>
      </c>
      <c r="X410" s="31" t="str">
        <f>X370</f>
        <v>N NAME OF YOUR RECIPE | paste it — FAMILY|  Author &gt; YOU</v>
      </c>
      <c r="Y410" s="32">
        <f>Y370</f>
        <v>1</v>
      </c>
      <c r="Z410" s="31" t="str">
        <f>Z370</f>
        <v>coupe</v>
      </c>
      <c r="AA410" s="33" t="str">
        <f>AA370</f>
        <v>Master recipe ► MILLE-FEUILLE  aux fraises des bois</v>
      </c>
      <c r="AB410" s="89"/>
      <c r="AC410" s="108"/>
      <c r="AD410" s="91" t="str">
        <f t="shared" si="86"/>
        <v/>
      </c>
      <c r="AE410" s="92"/>
      <c r="AF410" s="128"/>
      <c r="AG410" s="130">
        <v>1</v>
      </c>
      <c r="AH410" s="1813" t="str">
        <f>ROWS(AH374:AH410)&amp;" ►"</f>
        <v>37 ►</v>
      </c>
      <c r="AI410" s="1580"/>
      <c r="AJ410" s="95">
        <f>IF(AL429=0,0,(AL410/AL429)*AK373*1000)</f>
        <v>0</v>
      </c>
      <c r="AK410" s="105">
        <f>IF(AL429=0, 0, (AB410*AG410)/(AL429*AK373))</f>
        <v>0</v>
      </c>
      <c r="AL410" s="97" cm="1">
        <f t="array" ref="AL410">IFERROR(_xlfn.XLOOKUP(UPPER(TRIM(AF410)),UPPER(TRIM(AB430:AP430)),AB431:AP431,_xlfn.XLOOKUP(UPPER(TRIM(AF410)),UPPER(TRIM(AB432:AP432)),AB433:AP433,0))*AE410*IF(AB410&gt;0,AB410,1),0)</f>
        <v>0</v>
      </c>
      <c r="AM410" s="110">
        <f>IF(AO369&lt;&gt;0,AB410*AG410*AG369,0)</f>
        <v>0</v>
      </c>
      <c r="AN410" s="1748">
        <f t="shared" si="89"/>
        <v>0</v>
      </c>
      <c r="AO410" s="99">
        <f>IF(OR(ISBLANK(AO369),AO369=0),0,AL410*AG410*AG369)</f>
        <v>0</v>
      </c>
      <c r="AP410" s="1617" t="str">
        <f>IF(AF410="","",IF(COUNTIF(AI430:AP430,SUBSTITUTE(TRIM(AF410)," (s)",""))+COUNTIF(AI432:AP432,SUBSTITUTE(TRIM(AF410)," (s)",""))&gt;0,IF(ROUND(AO410,3)&gt;=1,ROUND(AO410,3)&amp;" L",MAX(1,ROUND(AO410*100,0))&amp;" cl"),IF(COUNTIF(AB430:AG430,SUBSTITUTE(TRIM(AF410)," (s)",""))+COUNTIF(AB432:AG432,SUBSTITUTE(TRIM(AF410)," (s)",""))&gt;0,IF(ROUND(AO410,3)&gt;=1,ROUND(AO410,3)&amp;" Kg",MAX(1,ROUND(AO410*1000,0))&amp;" g"),"")))</f>
        <v/>
      </c>
      <c r="AR410" s="103" t="str">
        <f t="shared" si="92"/>
        <v>►</v>
      </c>
      <c r="AS410" s="31" t="str">
        <f>AS370</f>
        <v>N NOMBRE DE SU RECETA | pegue esto — FAMILIA| Auteur &gt; VOUS</v>
      </c>
      <c r="AT410" s="32">
        <f>AT370</f>
        <v>1</v>
      </c>
      <c r="AU410" s="31" t="str">
        <f>AU370</f>
        <v>coupe</v>
      </c>
      <c r="AV410" s="33" t="str">
        <f>AV370</f>
        <v>Receta madre ► MILLE-FEUILLE  aux fraises des bois</v>
      </c>
      <c r="AW410" s="89"/>
      <c r="AX410" s="108"/>
      <c r="AY410" s="91" t="str">
        <f t="shared" si="87"/>
        <v/>
      </c>
      <c r="AZ410" s="92"/>
      <c r="BA410" s="128"/>
      <c r="BB410" s="130">
        <v>1</v>
      </c>
      <c r="BC410" s="1813" t="str">
        <f>ROWS(BC374:BC410)&amp;" ►"</f>
        <v>37 ►</v>
      </c>
      <c r="BD410" s="1580"/>
      <c r="BE410" s="95">
        <f>IF(BG429=0,0,(BG410/BG429)*BF373*1000)</f>
        <v>0</v>
      </c>
      <c r="BF410" s="105">
        <f>IF(BG429=0, 0, (AW410*BB410)/(BG429*BF373))</f>
        <v>0</v>
      </c>
      <c r="BG410" s="97" cm="1">
        <f t="array" ref="BG410">IFERROR(_xlfn.XLOOKUP(UPPER(TRIM(BA410)),UPPER(TRIM(AW430:BK430)),AW431:BK431,_xlfn.XLOOKUP(UPPER(TRIM(BA410)),UPPER(TRIM(AW432:BK432)),AW433:BK433,0))*AZ410*IF(AW410&gt;0,AW410,1),0)</f>
        <v>0</v>
      </c>
      <c r="BH410" s="110">
        <f>IF(BJ369&lt;&gt;0,AW410*BB410*BB369,0)</f>
        <v>0</v>
      </c>
      <c r="BI410" s="1748">
        <f t="shared" si="90"/>
        <v>0</v>
      </c>
      <c r="BJ410" s="99">
        <f>IF(OR(ISBLANK(BJ369),BJ369=0),0,BG410*BB410*BB369)</f>
        <v>0</v>
      </c>
      <c r="BK410" s="1617" t="str">
        <f>IF(BA410="","",IF(COUNTIF(BD430:BK430,SUBSTITUTE(TRIM(BA410)," (s)",""))+COUNTIF(BD432:BK432,SUBSTITUTE(TRIM(BA410)," (s)",""))&gt;0,IF(ROUND(BJ410,3)&gt;=1,ROUND(BJ410,3)&amp;" L",MAX(1,ROUND(BJ410*100,0))&amp;" cl"),IF(COUNTIF(AW430:BB430,SUBSTITUTE(TRIM(BA410)," (s)",""))+COUNTIF(AW432:BB432,SUBSTITUTE(TRIM(BA410)," (s)",""))&gt;0,IF(ROUND(BJ410,3)&gt;=1,ROUND(BJ410,3)&amp;" Kg",MAX(1,ROUND(BJ410*1000,0))&amp;" g"),"")))</f>
        <v/>
      </c>
      <c r="BM410" s="3">
        <v>1</v>
      </c>
    </row>
    <row r="411" spans="2:65" ht="21" customHeight="1">
      <c r="B411" s="103" t="str">
        <f t="shared" si="93"/>
        <v>►</v>
      </c>
      <c r="C411" s="31" t="str">
        <f>C370</f>
        <v>MAJUSCULE(GAUCHE(J21;1))&amp;" "&amp;J21&amp;" | "&amp;S21&amp;"| "&amp;J23&amp;" "&amp;K23</v>
      </c>
      <c r="D411" s="32">
        <f>D370</f>
        <v>1</v>
      </c>
      <c r="E411" s="31" t="str">
        <f>E370</f>
        <v>coupe</v>
      </c>
      <c r="F411" s="33" t="str">
        <f>F370</f>
        <v>Recette mère ► MILLE-FEUILLE  aux fraises des bois</v>
      </c>
      <c r="G411" s="89"/>
      <c r="H411" s="108"/>
      <c r="I411" s="91" t="str">
        <f t="shared" si="85"/>
        <v/>
      </c>
      <c r="J411" s="92"/>
      <c r="K411" s="128"/>
      <c r="L411" s="130">
        <v>1</v>
      </c>
      <c r="M411" s="1813" t="str">
        <f>ROWS(M374:M411)&amp;" ►"</f>
        <v>38 ►</v>
      </c>
      <c r="N411" s="1580"/>
      <c r="O411" s="95">
        <f>IF(Q429=0,0,(Q411/Q429)*P373*1000)</f>
        <v>0</v>
      </c>
      <c r="P411" s="105">
        <f>IF(Q429=0, 0, (G411*L411)/(Q429*P373))</f>
        <v>0</v>
      </c>
      <c r="Q411" s="97" cm="1">
        <f t="array" ref="Q411">IFERROR(_xlfn.XLOOKUP(UPPER(TRIM(K411)),UPPER(TRIM(G430:U430)),G431:U431,_xlfn.XLOOKUP(UPPER(TRIM(K411)),UPPER(TRIM(G432:U432)),G433:U433,0))*J411*IF(G411&gt;0,G411,1),0)</f>
        <v>0</v>
      </c>
      <c r="R411" s="106">
        <f>IF(T369&lt;&gt;0,G411*L411*L369,0)</f>
        <v>0</v>
      </c>
      <c r="S411" s="1747">
        <f t="shared" si="88"/>
        <v>0</v>
      </c>
      <c r="T411" s="99">
        <f>IF(OR(ISBLANK(T369),T369=0),0,Q411*L411*L369)</f>
        <v>0</v>
      </c>
      <c r="U411" s="1367" t="str">
        <f>IF(K411="","",IF(COUNTIF(N430:U430,SUBSTITUTE(TRIM(K411)," (s)",""))+COUNTIF(N432:U432,SUBSTITUTE(TRIM(K411)," (s)",""))&gt;0,IF(ROUND(T411,3)&gt;=1,ROUND(T411,3)&amp;" L",MAX(1,ROUND(T411*100,0))&amp;" cl"),IF(COUNTIF(G430:L430,SUBSTITUTE(TRIM(K411)," (s)",""))+COUNTIF(G432:L432,SUBSTITUTE(TRIM(K411)," (s)",""))&gt;0,IF(ROUND(T411,3)&gt;=1,ROUND(T411,3)&amp;" Kg",MAX(1,ROUND(T411*1000,0))&amp;" g"),"")))</f>
        <v/>
      </c>
      <c r="W411" s="103" t="str">
        <f t="shared" si="91"/>
        <v>►</v>
      </c>
      <c r="X411" s="31" t="str">
        <f>X370</f>
        <v>N NAME OF YOUR RECIPE | paste it — FAMILY|  Author &gt; YOU</v>
      </c>
      <c r="Y411" s="32">
        <f>Y370</f>
        <v>1</v>
      </c>
      <c r="Z411" s="31" t="str">
        <f>Z370</f>
        <v>coupe</v>
      </c>
      <c r="AA411" s="33" t="str">
        <f>AA370</f>
        <v>Master recipe ► MILLE-FEUILLE  aux fraises des bois</v>
      </c>
      <c r="AB411" s="89"/>
      <c r="AC411" s="108"/>
      <c r="AD411" s="91" t="str">
        <f t="shared" si="86"/>
        <v/>
      </c>
      <c r="AE411" s="92"/>
      <c r="AF411" s="128"/>
      <c r="AG411" s="130">
        <v>1</v>
      </c>
      <c r="AH411" s="1813" t="str">
        <f>ROWS(AH374:AH411)&amp;" ►"</f>
        <v>38 ►</v>
      </c>
      <c r="AI411" s="1580"/>
      <c r="AJ411" s="95">
        <f>IF(AL429=0,0,(AL411/AL429)*AK373*1000)</f>
        <v>0</v>
      </c>
      <c r="AK411" s="105">
        <f>IF(AL429=0, 0, (AB411*AG411)/(AL429*AK373))</f>
        <v>0</v>
      </c>
      <c r="AL411" s="97" cm="1">
        <f t="array" ref="AL411">IFERROR(_xlfn.XLOOKUP(UPPER(TRIM(AF411)),UPPER(TRIM(AB430:AP430)),AB431:AP431,_xlfn.XLOOKUP(UPPER(TRIM(AF411)),UPPER(TRIM(AB432:AP432)),AB433:AP433,0))*AE411*IF(AB411&gt;0,AB411,1),0)</f>
        <v>0</v>
      </c>
      <c r="AM411" s="106">
        <f>IF(AO369&lt;&gt;0,AB411*AG411*AG369,0)</f>
        <v>0</v>
      </c>
      <c r="AN411" s="1747">
        <f t="shared" si="89"/>
        <v>0</v>
      </c>
      <c r="AO411" s="99">
        <f>IF(OR(ISBLANK(AO369),AO369=0),0,AL411*AG411*AG369)</f>
        <v>0</v>
      </c>
      <c r="AP411" s="1367" t="str">
        <f>IF(AF411="","",IF(COUNTIF(AI430:AP430,SUBSTITUTE(TRIM(AF411)," (s)",""))+COUNTIF(AI432:AP432,SUBSTITUTE(TRIM(AF411)," (s)",""))&gt;0,IF(ROUND(AO411,3)&gt;=1,ROUND(AO411,3)&amp;" L",MAX(1,ROUND(AO411*100,0))&amp;" cl"),IF(COUNTIF(AB430:AG430,SUBSTITUTE(TRIM(AF411)," (s)",""))+COUNTIF(AB432:AG432,SUBSTITUTE(TRIM(AF411)," (s)",""))&gt;0,IF(ROUND(AO411,3)&gt;=1,ROUND(AO411,3)&amp;" Kg",MAX(1,ROUND(AO411*1000,0))&amp;" g"),"")))</f>
        <v/>
      </c>
      <c r="AR411" s="103" t="str">
        <f t="shared" si="92"/>
        <v>►</v>
      </c>
      <c r="AS411" s="31" t="str">
        <f>AS370</f>
        <v>N NOMBRE DE SU RECETA | pegue esto — FAMILIA| Auteur &gt; VOUS</v>
      </c>
      <c r="AT411" s="32">
        <f>AT370</f>
        <v>1</v>
      </c>
      <c r="AU411" s="31" t="str">
        <f>AU370</f>
        <v>coupe</v>
      </c>
      <c r="AV411" s="33" t="str">
        <f>AV370</f>
        <v>Receta madre ► MILLE-FEUILLE  aux fraises des bois</v>
      </c>
      <c r="AW411" s="89"/>
      <c r="AX411" s="108"/>
      <c r="AY411" s="91" t="str">
        <f t="shared" si="87"/>
        <v/>
      </c>
      <c r="AZ411" s="92"/>
      <c r="BA411" s="128"/>
      <c r="BB411" s="130">
        <v>1</v>
      </c>
      <c r="BC411" s="1813" t="str">
        <f>ROWS(BC374:BC411)&amp;" ►"</f>
        <v>38 ►</v>
      </c>
      <c r="BD411" s="1580"/>
      <c r="BE411" s="95">
        <f>IF(BG429=0,0,(BG411/BG429)*BF373*1000)</f>
        <v>0</v>
      </c>
      <c r="BF411" s="105">
        <f>IF(BG429=0, 0, (AW411*BB411)/(BG429*BF373))</f>
        <v>0</v>
      </c>
      <c r="BG411" s="97" cm="1">
        <f t="array" ref="BG411">IFERROR(_xlfn.XLOOKUP(UPPER(TRIM(BA411)),UPPER(TRIM(AW430:BK430)),AW431:BK431,_xlfn.XLOOKUP(UPPER(TRIM(BA411)),UPPER(TRIM(AW432:BK432)),AW433:BK433,0))*AZ411*IF(AW411&gt;0,AW411,1),0)</f>
        <v>0</v>
      </c>
      <c r="BH411" s="106">
        <f>IF(BJ369&lt;&gt;0,AW411*BB411*BB369,0)</f>
        <v>0</v>
      </c>
      <c r="BI411" s="1747">
        <f t="shared" si="90"/>
        <v>0</v>
      </c>
      <c r="BJ411" s="99">
        <f>IF(OR(ISBLANK(BJ369),BJ369=0),0,BG411*BB411*BB369)</f>
        <v>0</v>
      </c>
      <c r="BK411" s="1367" t="str">
        <f>IF(BA411="","",IF(COUNTIF(BD430:BK430,SUBSTITUTE(TRIM(BA411)," (s)",""))+COUNTIF(BD432:BK432,SUBSTITUTE(TRIM(BA411)," (s)",""))&gt;0,IF(ROUND(BJ411,3)&gt;=1,ROUND(BJ411,3)&amp;" L",MAX(1,ROUND(BJ411*100,0))&amp;" cl"),IF(COUNTIF(AW430:BB430,SUBSTITUTE(TRIM(BA411)," (s)",""))+COUNTIF(AW432:BB432,SUBSTITUTE(TRIM(BA411)," (s)",""))&gt;0,IF(ROUND(BJ411,3)&gt;=1,ROUND(BJ411,3)&amp;" Kg",MAX(1,ROUND(BJ411*1000,0))&amp;" g"),"")))</f>
        <v/>
      </c>
      <c r="BM411" s="3">
        <v>1</v>
      </c>
    </row>
    <row r="412" spans="2:65" ht="21" customHeight="1">
      <c r="B412" s="103" t="str">
        <f t="shared" si="93"/>
        <v>►</v>
      </c>
      <c r="C412" s="31" t="str">
        <f>C370</f>
        <v>MAJUSCULE(GAUCHE(J21;1))&amp;" "&amp;J21&amp;" | "&amp;S21&amp;"| "&amp;J23&amp;" "&amp;K23</v>
      </c>
      <c r="D412" s="32">
        <f>D370</f>
        <v>1</v>
      </c>
      <c r="E412" s="31" t="str">
        <f>E370</f>
        <v>coupe</v>
      </c>
      <c r="F412" s="33" t="str">
        <f>F370</f>
        <v>Recette mère ► MILLE-FEUILLE  aux fraises des bois</v>
      </c>
      <c r="G412" s="89"/>
      <c r="H412" s="108"/>
      <c r="I412" s="91" t="str">
        <f t="shared" si="85"/>
        <v/>
      </c>
      <c r="J412" s="92"/>
      <c r="K412" s="128"/>
      <c r="L412" s="130">
        <v>1</v>
      </c>
      <c r="M412" s="1813" t="str">
        <f>ROWS(M374:M412)&amp;" ►"</f>
        <v>39 ►</v>
      </c>
      <c r="N412" s="1580"/>
      <c r="O412" s="95">
        <f>IF(Q429=0,0,(Q412/Q429)*P373*1000)</f>
        <v>0</v>
      </c>
      <c r="P412" s="105">
        <f>IF(Q429=0, 0, (G412*L412)/(Q429*P373))</f>
        <v>0</v>
      </c>
      <c r="Q412" s="97" cm="1">
        <f t="array" ref="Q412">IFERROR(_xlfn.XLOOKUP(UPPER(TRIM(K412)),UPPER(TRIM(G430:U430)),G431:U431,_xlfn.XLOOKUP(UPPER(TRIM(K412)),UPPER(TRIM(G432:U432)),G433:U433,0))*J412*IF(G412&gt;0,G412,1),0)</f>
        <v>0</v>
      </c>
      <c r="R412" s="110">
        <f>IF(T369&lt;&gt;0,G412*L412*L369,0)</f>
        <v>0</v>
      </c>
      <c r="S412" s="1748">
        <f t="shared" si="88"/>
        <v>0</v>
      </c>
      <c r="T412" s="99">
        <f>IF(OR(ISBLANK(T369),T369=0),0,Q412*L412*L369)</f>
        <v>0</v>
      </c>
      <c r="U412" s="1617" t="str">
        <f>IF(K412="","",IF(COUNTIF(N430:U430,SUBSTITUTE(TRIM(K412)," (s)",""))+COUNTIF(N432:U432,SUBSTITUTE(TRIM(K412)," (s)",""))&gt;0,IF(ROUND(T412,3)&gt;=1,ROUND(T412,3)&amp;" L",MAX(1,ROUND(T412*100,0))&amp;" cl"),IF(COUNTIF(G430:L430,SUBSTITUTE(TRIM(K412)," (s)",""))+COUNTIF(G432:L432,SUBSTITUTE(TRIM(K412)," (s)",""))&gt;0,IF(ROUND(T412,3)&gt;=1,ROUND(T412,3)&amp;" Kg",MAX(1,ROUND(T412*1000,0))&amp;" g"),"")))</f>
        <v/>
      </c>
      <c r="W412" s="103" t="str">
        <f t="shared" si="91"/>
        <v>►</v>
      </c>
      <c r="X412" s="31" t="str">
        <f>X370</f>
        <v>N NAME OF YOUR RECIPE | paste it — FAMILY|  Author &gt; YOU</v>
      </c>
      <c r="Y412" s="32">
        <f>Y370</f>
        <v>1</v>
      </c>
      <c r="Z412" s="31" t="str">
        <f>Z370</f>
        <v>coupe</v>
      </c>
      <c r="AA412" s="33" t="str">
        <f>AA370</f>
        <v>Master recipe ► MILLE-FEUILLE  aux fraises des bois</v>
      </c>
      <c r="AB412" s="89"/>
      <c r="AC412" s="108"/>
      <c r="AD412" s="91" t="str">
        <f t="shared" si="86"/>
        <v/>
      </c>
      <c r="AE412" s="92"/>
      <c r="AF412" s="128"/>
      <c r="AG412" s="130">
        <v>1</v>
      </c>
      <c r="AH412" s="1813" t="str">
        <f>ROWS(AH374:AH412)&amp;" ►"</f>
        <v>39 ►</v>
      </c>
      <c r="AI412" s="1580"/>
      <c r="AJ412" s="95">
        <f>IF(AL429=0,0,(AL412/AL429)*AK373*1000)</f>
        <v>0</v>
      </c>
      <c r="AK412" s="105">
        <f>IF(AL429=0, 0, (AB412*AG412)/(AL429*AK373))</f>
        <v>0</v>
      </c>
      <c r="AL412" s="97" cm="1">
        <f t="array" ref="AL412">IFERROR(_xlfn.XLOOKUP(UPPER(TRIM(AF412)),UPPER(TRIM(AB430:AP430)),AB431:AP431,_xlfn.XLOOKUP(UPPER(TRIM(AF412)),UPPER(TRIM(AB432:AP432)),AB433:AP433,0))*AE412*IF(AB412&gt;0,AB412,1),0)</f>
        <v>0</v>
      </c>
      <c r="AM412" s="110">
        <f>IF(AO369&lt;&gt;0,AB412*AG412*AG369,0)</f>
        <v>0</v>
      </c>
      <c r="AN412" s="1748">
        <f t="shared" si="89"/>
        <v>0</v>
      </c>
      <c r="AO412" s="99">
        <f>IF(OR(ISBLANK(AO369),AO369=0),0,AL412*AG412*AG369)</f>
        <v>0</v>
      </c>
      <c r="AP412" s="1617" t="str">
        <f>IF(AF412="","",IF(COUNTIF(AI430:AP430,SUBSTITUTE(TRIM(AF412)," (s)",""))+COUNTIF(AI432:AP432,SUBSTITUTE(TRIM(AF412)," (s)",""))&gt;0,IF(ROUND(AO412,3)&gt;=1,ROUND(AO412,3)&amp;" L",MAX(1,ROUND(AO412*100,0))&amp;" cl"),IF(COUNTIF(AB430:AG430,SUBSTITUTE(TRIM(AF412)," (s)",""))+COUNTIF(AB432:AG432,SUBSTITUTE(TRIM(AF412)," (s)",""))&gt;0,IF(ROUND(AO412,3)&gt;=1,ROUND(AO412,3)&amp;" Kg",MAX(1,ROUND(AO412*1000,0))&amp;" g"),"")))</f>
        <v/>
      </c>
      <c r="AR412" s="103" t="str">
        <f t="shared" si="92"/>
        <v>►</v>
      </c>
      <c r="AS412" s="31" t="str">
        <f>AS370</f>
        <v>N NOMBRE DE SU RECETA | pegue esto — FAMILIA| Auteur &gt; VOUS</v>
      </c>
      <c r="AT412" s="32">
        <f>AT370</f>
        <v>1</v>
      </c>
      <c r="AU412" s="31" t="str">
        <f>AU370</f>
        <v>coupe</v>
      </c>
      <c r="AV412" s="33" t="str">
        <f>AV370</f>
        <v>Receta madre ► MILLE-FEUILLE  aux fraises des bois</v>
      </c>
      <c r="AW412" s="89"/>
      <c r="AX412" s="108"/>
      <c r="AY412" s="91" t="str">
        <f t="shared" si="87"/>
        <v/>
      </c>
      <c r="AZ412" s="92"/>
      <c r="BA412" s="128"/>
      <c r="BB412" s="130">
        <v>1</v>
      </c>
      <c r="BC412" s="1813" t="str">
        <f>ROWS(BC374:BC412)&amp;" ►"</f>
        <v>39 ►</v>
      </c>
      <c r="BD412" s="1580"/>
      <c r="BE412" s="95">
        <f>IF(BG429=0,0,(BG412/BG429)*BF373*1000)</f>
        <v>0</v>
      </c>
      <c r="BF412" s="105">
        <f>IF(BG429=0, 0, (AW412*BB412)/(BG429*BF373))</f>
        <v>0</v>
      </c>
      <c r="BG412" s="97" cm="1">
        <f t="array" ref="BG412">IFERROR(_xlfn.XLOOKUP(UPPER(TRIM(BA412)),UPPER(TRIM(AW430:BK430)),AW431:BK431,_xlfn.XLOOKUP(UPPER(TRIM(BA412)),UPPER(TRIM(AW432:BK432)),AW433:BK433,0))*AZ412*IF(AW412&gt;0,AW412,1),0)</f>
        <v>0</v>
      </c>
      <c r="BH412" s="110">
        <f>IF(BJ369&lt;&gt;0,AW412*BB412*BB369,0)</f>
        <v>0</v>
      </c>
      <c r="BI412" s="1748">
        <f t="shared" si="90"/>
        <v>0</v>
      </c>
      <c r="BJ412" s="99">
        <f>IF(OR(ISBLANK(BJ369),BJ369=0),0,BG412*BB412*BB369)</f>
        <v>0</v>
      </c>
      <c r="BK412" s="1617" t="str">
        <f>IF(BA412="","",IF(COUNTIF(BD430:BK430,SUBSTITUTE(TRIM(BA412)," (s)",""))+COUNTIF(BD432:BK432,SUBSTITUTE(TRIM(BA412)," (s)",""))&gt;0,IF(ROUND(BJ412,3)&gt;=1,ROUND(BJ412,3)&amp;" L",MAX(1,ROUND(BJ412*100,0))&amp;" cl"),IF(COUNTIF(AW430:BB430,SUBSTITUTE(TRIM(BA412)," (s)",""))+COUNTIF(AW432:BB432,SUBSTITUTE(TRIM(BA412)," (s)",""))&gt;0,IF(ROUND(BJ412,3)&gt;=1,ROUND(BJ412,3)&amp;" Kg",MAX(1,ROUND(BJ412*1000,0))&amp;" g"),"")))</f>
        <v/>
      </c>
      <c r="BM412" s="3">
        <v>1</v>
      </c>
    </row>
    <row r="413" spans="2:65" ht="21" customHeight="1">
      <c r="B413" s="103" t="str">
        <f t="shared" si="93"/>
        <v>►</v>
      </c>
      <c r="C413" s="31" t="str">
        <f>C370</f>
        <v>MAJUSCULE(GAUCHE(J21;1))&amp;" "&amp;J21&amp;" | "&amp;S21&amp;"| "&amp;J23&amp;" "&amp;K23</v>
      </c>
      <c r="D413" s="32">
        <f>D370</f>
        <v>1</v>
      </c>
      <c r="E413" s="31" t="str">
        <f>E370</f>
        <v>coupe</v>
      </c>
      <c r="F413" s="33" t="str">
        <f>F370</f>
        <v>Recette mère ► MILLE-FEUILLE  aux fraises des bois</v>
      </c>
      <c r="G413" s="89"/>
      <c r="H413" s="108"/>
      <c r="I413" s="91" t="str">
        <f t="shared" si="85"/>
        <v/>
      </c>
      <c r="J413" s="92"/>
      <c r="K413" s="128"/>
      <c r="L413" s="130">
        <v>1</v>
      </c>
      <c r="M413" s="1813" t="str">
        <f>ROWS(M374:M413)&amp;" ►"</f>
        <v>40 ►</v>
      </c>
      <c r="N413" s="1580"/>
      <c r="O413" s="95">
        <f>IF(Q429=0,0,(Q413/Q429)*P373*1000)</f>
        <v>0</v>
      </c>
      <c r="P413" s="105">
        <f>IF(Q429=0, 0, (G413*L413)/(Q429*P373))</f>
        <v>0</v>
      </c>
      <c r="Q413" s="97" cm="1">
        <f t="array" ref="Q413">IFERROR(_xlfn.XLOOKUP(UPPER(TRIM(K413)),UPPER(TRIM(G430:U430)),G431:U431,_xlfn.XLOOKUP(UPPER(TRIM(K413)),UPPER(TRIM(G432:U432)),G433:U433,0))*J413*IF(G413&gt;0,G413,1),0)</f>
        <v>0</v>
      </c>
      <c r="R413" s="106">
        <f>IF(T369&lt;&gt;0,G413*L413*L369,0)</f>
        <v>0</v>
      </c>
      <c r="S413" s="1747">
        <f t="shared" si="88"/>
        <v>0</v>
      </c>
      <c r="T413" s="99">
        <f>IF(OR(ISBLANK(T369),T369=0),0,Q413*L413*L369)</f>
        <v>0</v>
      </c>
      <c r="U413" s="1367" t="str">
        <f>IF(K413="","",IF(COUNTIF(N430:U430,SUBSTITUTE(TRIM(K413)," (s)",""))+COUNTIF(N432:U432,SUBSTITUTE(TRIM(K413)," (s)",""))&gt;0,IF(ROUND(T413,3)&gt;=1,ROUND(T413,3)&amp;" L",MAX(1,ROUND(T413*100,0))&amp;" cl"),IF(COUNTIF(G430:L430,SUBSTITUTE(TRIM(K413)," (s)",""))+COUNTIF(G432:L432,SUBSTITUTE(TRIM(K413)," (s)",""))&gt;0,IF(ROUND(T413,3)&gt;=1,ROUND(T413,3)&amp;" Kg",MAX(1,ROUND(T413*1000,0))&amp;" g"),"")))</f>
        <v/>
      </c>
      <c r="W413" s="103" t="str">
        <f t="shared" si="91"/>
        <v>►</v>
      </c>
      <c r="X413" s="31" t="str">
        <f>X370</f>
        <v>N NAME OF YOUR RECIPE | paste it — FAMILY|  Author &gt; YOU</v>
      </c>
      <c r="Y413" s="32">
        <f>Y370</f>
        <v>1</v>
      </c>
      <c r="Z413" s="31" t="str">
        <f>Z370</f>
        <v>coupe</v>
      </c>
      <c r="AA413" s="33" t="str">
        <f>AA370</f>
        <v>Master recipe ► MILLE-FEUILLE  aux fraises des bois</v>
      </c>
      <c r="AB413" s="89"/>
      <c r="AC413" s="108"/>
      <c r="AD413" s="91" t="str">
        <f t="shared" si="86"/>
        <v/>
      </c>
      <c r="AE413" s="92"/>
      <c r="AF413" s="128"/>
      <c r="AG413" s="130">
        <v>1</v>
      </c>
      <c r="AH413" s="1813" t="str">
        <f>ROWS(AH374:AH413)&amp;" ►"</f>
        <v>40 ►</v>
      </c>
      <c r="AI413" s="1580"/>
      <c r="AJ413" s="95">
        <f>IF(AL429=0,0,(AL413/AL429)*AK373*1000)</f>
        <v>0</v>
      </c>
      <c r="AK413" s="105">
        <f>IF(AL429=0, 0, (AB413*AG413)/(AL429*AK373))</f>
        <v>0</v>
      </c>
      <c r="AL413" s="97" cm="1">
        <f t="array" ref="AL413">IFERROR(_xlfn.XLOOKUP(UPPER(TRIM(AF413)),UPPER(TRIM(AB430:AP430)),AB431:AP431,_xlfn.XLOOKUP(UPPER(TRIM(AF413)),UPPER(TRIM(AB432:AP432)),AB433:AP433,0))*AE413*IF(AB413&gt;0,AB413,1),0)</f>
        <v>0</v>
      </c>
      <c r="AM413" s="106">
        <f>IF(AO369&lt;&gt;0,AB413*AG413*AG369,0)</f>
        <v>0</v>
      </c>
      <c r="AN413" s="1747">
        <f t="shared" si="89"/>
        <v>0</v>
      </c>
      <c r="AO413" s="99">
        <f>IF(OR(ISBLANK(AO369),AO369=0),0,AL413*AG413*AG369)</f>
        <v>0</v>
      </c>
      <c r="AP413" s="1367" t="str">
        <f>IF(AF413="","",IF(COUNTIF(AI430:AP430,SUBSTITUTE(TRIM(AF413)," (s)",""))+COUNTIF(AI432:AP432,SUBSTITUTE(TRIM(AF413)," (s)",""))&gt;0,IF(ROUND(AO413,3)&gt;=1,ROUND(AO413,3)&amp;" L",MAX(1,ROUND(AO413*100,0))&amp;" cl"),IF(COUNTIF(AB430:AG430,SUBSTITUTE(TRIM(AF413)," (s)",""))+COUNTIF(AB432:AG432,SUBSTITUTE(TRIM(AF413)," (s)",""))&gt;0,IF(ROUND(AO413,3)&gt;=1,ROUND(AO413,3)&amp;" Kg",MAX(1,ROUND(AO413*1000,0))&amp;" g"),"")))</f>
        <v/>
      </c>
      <c r="AR413" s="103" t="str">
        <f t="shared" si="92"/>
        <v>►</v>
      </c>
      <c r="AS413" s="31" t="str">
        <f>AS370</f>
        <v>N NOMBRE DE SU RECETA | pegue esto — FAMILIA| Auteur &gt; VOUS</v>
      </c>
      <c r="AT413" s="32">
        <f>AT370</f>
        <v>1</v>
      </c>
      <c r="AU413" s="31" t="str">
        <f>AU370</f>
        <v>coupe</v>
      </c>
      <c r="AV413" s="33" t="str">
        <f>AV370</f>
        <v>Receta madre ► MILLE-FEUILLE  aux fraises des bois</v>
      </c>
      <c r="AW413" s="89"/>
      <c r="AX413" s="108"/>
      <c r="AY413" s="91" t="str">
        <f t="shared" si="87"/>
        <v/>
      </c>
      <c r="AZ413" s="92"/>
      <c r="BA413" s="128"/>
      <c r="BB413" s="130">
        <v>1</v>
      </c>
      <c r="BC413" s="1813" t="str">
        <f>ROWS(BC374:BC413)&amp;" ►"</f>
        <v>40 ►</v>
      </c>
      <c r="BD413" s="1580"/>
      <c r="BE413" s="95">
        <f>IF(BG429=0,0,(BG413/BG429)*BF373*1000)</f>
        <v>0</v>
      </c>
      <c r="BF413" s="105">
        <f>IF(BG429=0, 0, (AW413*BB413)/(BG429*BF373))</f>
        <v>0</v>
      </c>
      <c r="BG413" s="97" cm="1">
        <f t="array" ref="BG413">IFERROR(_xlfn.XLOOKUP(UPPER(TRIM(BA413)),UPPER(TRIM(AW430:BK430)),AW431:BK431,_xlfn.XLOOKUP(UPPER(TRIM(BA413)),UPPER(TRIM(AW432:BK432)),AW433:BK433,0))*AZ413*IF(AW413&gt;0,AW413,1),0)</f>
        <v>0</v>
      </c>
      <c r="BH413" s="106">
        <f>IF(BJ369&lt;&gt;0,AW413*BB413*BB369,0)</f>
        <v>0</v>
      </c>
      <c r="BI413" s="1747">
        <f t="shared" si="90"/>
        <v>0</v>
      </c>
      <c r="BJ413" s="99">
        <f>IF(OR(ISBLANK(BJ369),BJ369=0),0,BG413*BB413*BB369)</f>
        <v>0</v>
      </c>
      <c r="BK413" s="1367" t="str">
        <f>IF(BA413="","",IF(COUNTIF(BD430:BK430,SUBSTITUTE(TRIM(BA413)," (s)",""))+COUNTIF(BD432:BK432,SUBSTITUTE(TRIM(BA413)," (s)",""))&gt;0,IF(ROUND(BJ413,3)&gt;=1,ROUND(BJ413,3)&amp;" L",MAX(1,ROUND(BJ413*100,0))&amp;" cl"),IF(COUNTIF(AW430:BB430,SUBSTITUTE(TRIM(BA413)," (s)",""))+COUNTIF(AW432:BB432,SUBSTITUTE(TRIM(BA413)," (s)",""))&gt;0,IF(ROUND(BJ413,3)&gt;=1,ROUND(BJ413,3)&amp;" Kg",MAX(1,ROUND(BJ413*1000,0))&amp;" g"),"")))</f>
        <v/>
      </c>
      <c r="BM413" s="3">
        <v>1</v>
      </c>
    </row>
    <row r="414" spans="2:65" ht="21" customHeight="1">
      <c r="B414" s="103" t="str">
        <f t="shared" si="93"/>
        <v>►</v>
      </c>
      <c r="C414" s="31" t="str">
        <f>C370</f>
        <v>MAJUSCULE(GAUCHE(J21;1))&amp;" "&amp;J21&amp;" | "&amp;S21&amp;"| "&amp;J23&amp;" "&amp;K23</v>
      </c>
      <c r="D414" s="32">
        <f>D370</f>
        <v>1</v>
      </c>
      <c r="E414" s="31" t="str">
        <f>E370</f>
        <v>coupe</v>
      </c>
      <c r="F414" s="33" t="str">
        <f>F370</f>
        <v>Recette mère ► MILLE-FEUILLE  aux fraises des bois</v>
      </c>
      <c r="G414" s="89"/>
      <c r="H414" s="108"/>
      <c r="I414" s="91" t="str">
        <f t="shared" si="85"/>
        <v/>
      </c>
      <c r="J414" s="92"/>
      <c r="K414" s="128"/>
      <c r="L414" s="130">
        <v>1</v>
      </c>
      <c r="M414" s="1813" t="str">
        <f>ROWS(M374:M414)&amp;" ►"</f>
        <v>41 ►</v>
      </c>
      <c r="N414" s="1580"/>
      <c r="O414" s="95">
        <f>IF(Q429=0,0,(Q414/Q429)*P373*1000)</f>
        <v>0</v>
      </c>
      <c r="P414" s="105">
        <f>IF(Q429=0, 0, (G414*L414)/(Q429*P373))</f>
        <v>0</v>
      </c>
      <c r="Q414" s="97" cm="1">
        <f t="array" ref="Q414">IFERROR(_xlfn.XLOOKUP(UPPER(TRIM(K414)),UPPER(TRIM(G430:U430)),G431:U431,_xlfn.XLOOKUP(UPPER(TRIM(K414)),UPPER(TRIM(G432:U432)),G433:U433,0))*J414*IF(G414&gt;0,G414,1),0)</f>
        <v>0</v>
      </c>
      <c r="R414" s="110">
        <f>IF(T369&lt;&gt;0,G414*L414*L369,0)</f>
        <v>0</v>
      </c>
      <c r="S414" s="1748">
        <f t="shared" si="88"/>
        <v>0</v>
      </c>
      <c r="T414" s="99">
        <f>IF(OR(ISBLANK(T369),T369=0),0,Q414*L414*L369)</f>
        <v>0</v>
      </c>
      <c r="U414" s="1617" t="str">
        <f>IF(K414="","",IF(COUNTIF(N430:U430,SUBSTITUTE(TRIM(K414)," (s)",""))+COUNTIF(N432:U432,SUBSTITUTE(TRIM(K414)," (s)",""))&gt;0,IF(ROUND(T414,3)&gt;=1,ROUND(T414,3)&amp;" L",MAX(1,ROUND(T414*100,0))&amp;" cl"),IF(COUNTIF(G430:L430,SUBSTITUTE(TRIM(K414)," (s)",""))+COUNTIF(G432:L432,SUBSTITUTE(TRIM(K414)," (s)",""))&gt;0,IF(ROUND(T414,3)&gt;=1,ROUND(T414,3)&amp;" Kg",MAX(1,ROUND(T414*1000,0))&amp;" g"),"")))</f>
        <v/>
      </c>
      <c r="W414" s="103" t="str">
        <f t="shared" si="91"/>
        <v>►</v>
      </c>
      <c r="X414" s="31" t="str">
        <f>X370</f>
        <v>N NAME OF YOUR RECIPE | paste it — FAMILY|  Author &gt; YOU</v>
      </c>
      <c r="Y414" s="32">
        <f>Y370</f>
        <v>1</v>
      </c>
      <c r="Z414" s="31" t="str">
        <f>Z370</f>
        <v>coupe</v>
      </c>
      <c r="AA414" s="33" t="str">
        <f>AA370</f>
        <v>Master recipe ► MILLE-FEUILLE  aux fraises des bois</v>
      </c>
      <c r="AB414" s="89"/>
      <c r="AC414" s="108"/>
      <c r="AD414" s="91" t="str">
        <f t="shared" si="86"/>
        <v/>
      </c>
      <c r="AE414" s="92"/>
      <c r="AF414" s="128"/>
      <c r="AG414" s="130">
        <v>1</v>
      </c>
      <c r="AH414" s="1813" t="str">
        <f>ROWS(AH374:AH414)&amp;" ►"</f>
        <v>41 ►</v>
      </c>
      <c r="AI414" s="1580"/>
      <c r="AJ414" s="95">
        <f>IF(AL429=0,0,(AL414/AL429)*AK373*1000)</f>
        <v>0</v>
      </c>
      <c r="AK414" s="105">
        <f>IF(AL429=0, 0, (AB414*AG414)/(AL429*AK373))</f>
        <v>0</v>
      </c>
      <c r="AL414" s="97" cm="1">
        <f t="array" ref="AL414">IFERROR(_xlfn.XLOOKUP(UPPER(TRIM(AF414)),UPPER(TRIM(AB430:AP430)),AB431:AP431,_xlfn.XLOOKUP(UPPER(TRIM(AF414)),UPPER(TRIM(AB432:AP432)),AB433:AP433,0))*AE414*IF(AB414&gt;0,AB414,1),0)</f>
        <v>0</v>
      </c>
      <c r="AM414" s="110">
        <f>IF(AO369&lt;&gt;0,AB414*AG414*AG369,0)</f>
        <v>0</v>
      </c>
      <c r="AN414" s="1748">
        <f t="shared" si="89"/>
        <v>0</v>
      </c>
      <c r="AO414" s="99">
        <f>IF(OR(ISBLANK(AO369),AO369=0),0,AL414*AG414*AG369)</f>
        <v>0</v>
      </c>
      <c r="AP414" s="1617" t="str">
        <f>IF(AF414="","",IF(COUNTIF(AI430:AP430,SUBSTITUTE(TRIM(AF414)," (s)",""))+COUNTIF(AI432:AP432,SUBSTITUTE(TRIM(AF414)," (s)",""))&gt;0,IF(ROUND(AO414,3)&gt;=1,ROUND(AO414,3)&amp;" L",MAX(1,ROUND(AO414*100,0))&amp;" cl"),IF(COUNTIF(AB430:AG430,SUBSTITUTE(TRIM(AF414)," (s)",""))+COUNTIF(AB432:AG432,SUBSTITUTE(TRIM(AF414)," (s)",""))&gt;0,IF(ROUND(AO414,3)&gt;=1,ROUND(AO414,3)&amp;" Kg",MAX(1,ROUND(AO414*1000,0))&amp;" g"),"")))</f>
        <v/>
      </c>
      <c r="AR414" s="103" t="str">
        <f t="shared" si="92"/>
        <v>►</v>
      </c>
      <c r="AS414" s="31" t="str">
        <f>AS370</f>
        <v>N NOMBRE DE SU RECETA | pegue esto — FAMILIA| Auteur &gt; VOUS</v>
      </c>
      <c r="AT414" s="32">
        <f>AT370</f>
        <v>1</v>
      </c>
      <c r="AU414" s="31" t="str">
        <f>AU370</f>
        <v>coupe</v>
      </c>
      <c r="AV414" s="33" t="str">
        <f>AV370</f>
        <v>Receta madre ► MILLE-FEUILLE  aux fraises des bois</v>
      </c>
      <c r="AW414" s="89"/>
      <c r="AX414" s="108"/>
      <c r="AY414" s="91" t="str">
        <f t="shared" si="87"/>
        <v/>
      </c>
      <c r="AZ414" s="92"/>
      <c r="BA414" s="128"/>
      <c r="BB414" s="130">
        <v>1</v>
      </c>
      <c r="BC414" s="1813" t="str">
        <f>ROWS(BC374:BC414)&amp;" ►"</f>
        <v>41 ►</v>
      </c>
      <c r="BD414" s="1580"/>
      <c r="BE414" s="95">
        <f>IF(BG429=0,0,(BG414/BG429)*BF373*1000)</f>
        <v>0</v>
      </c>
      <c r="BF414" s="105">
        <f>IF(BG429=0, 0, (AW414*BB414)/(BG429*BF373))</f>
        <v>0</v>
      </c>
      <c r="BG414" s="97" cm="1">
        <f t="array" ref="BG414">IFERROR(_xlfn.XLOOKUP(UPPER(TRIM(BA414)),UPPER(TRIM(AW430:BK430)),AW431:BK431,_xlfn.XLOOKUP(UPPER(TRIM(BA414)),UPPER(TRIM(AW432:BK432)),AW433:BK433,0))*AZ414*IF(AW414&gt;0,AW414,1),0)</f>
        <v>0</v>
      </c>
      <c r="BH414" s="110">
        <f>IF(BJ369&lt;&gt;0,AW414*BB414*BB369,0)</f>
        <v>0</v>
      </c>
      <c r="BI414" s="1748">
        <f t="shared" si="90"/>
        <v>0</v>
      </c>
      <c r="BJ414" s="99">
        <f>IF(OR(ISBLANK(BJ369),BJ369=0),0,BG414*BB414*BB369)</f>
        <v>0</v>
      </c>
      <c r="BK414" s="1617" t="str">
        <f>IF(BA414="","",IF(COUNTIF(BD430:BK430,SUBSTITUTE(TRIM(BA414)," (s)",""))+COUNTIF(BD432:BK432,SUBSTITUTE(TRIM(BA414)," (s)",""))&gt;0,IF(ROUND(BJ414,3)&gt;=1,ROUND(BJ414,3)&amp;" L",MAX(1,ROUND(BJ414*100,0))&amp;" cl"),IF(COUNTIF(AW430:BB430,SUBSTITUTE(TRIM(BA414)," (s)",""))+COUNTIF(AW432:BB432,SUBSTITUTE(TRIM(BA414)," (s)",""))&gt;0,IF(ROUND(BJ414,3)&gt;=1,ROUND(BJ414,3)&amp;" Kg",MAX(1,ROUND(BJ414*1000,0))&amp;" g"),"")))</f>
        <v/>
      </c>
      <c r="BM414" s="3">
        <v>1</v>
      </c>
    </row>
    <row r="415" spans="2:65" ht="21" customHeight="1">
      <c r="B415" s="103" t="str">
        <f t="shared" si="93"/>
        <v>►</v>
      </c>
      <c r="C415" s="31" t="str">
        <f>C370</f>
        <v>MAJUSCULE(GAUCHE(J21;1))&amp;" "&amp;J21&amp;" | "&amp;S21&amp;"| "&amp;J23&amp;" "&amp;K23</v>
      </c>
      <c r="D415" s="32">
        <f>D370</f>
        <v>1</v>
      </c>
      <c r="E415" s="31" t="str">
        <f>E370</f>
        <v>coupe</v>
      </c>
      <c r="F415" s="33" t="str">
        <f>F370</f>
        <v>Recette mère ► MILLE-FEUILLE  aux fraises des bois</v>
      </c>
      <c r="G415" s="89"/>
      <c r="H415" s="108"/>
      <c r="I415" s="91" t="str">
        <f t="shared" si="85"/>
        <v/>
      </c>
      <c r="J415" s="92"/>
      <c r="K415" s="128"/>
      <c r="L415" s="130">
        <v>1</v>
      </c>
      <c r="M415" s="1813" t="str">
        <f>ROWS(M374:M415)&amp;" ►"</f>
        <v>42 ►</v>
      </c>
      <c r="N415" s="1580"/>
      <c r="O415" s="95">
        <f>IF(Q429=0,0,(Q415/Q429)*P373*1000)</f>
        <v>0</v>
      </c>
      <c r="P415" s="105">
        <f>IF(Q429=0, 0, (G415*L415)/(Q429*P373))</f>
        <v>0</v>
      </c>
      <c r="Q415" s="97" cm="1">
        <f t="array" ref="Q415">IFERROR(_xlfn.XLOOKUP(UPPER(TRIM(K415)),UPPER(TRIM(G430:U430)),G431:U431,_xlfn.XLOOKUP(UPPER(TRIM(K415)),UPPER(TRIM(G432:U432)),G433:U433,0))*J415*IF(G415&gt;0,G415,1),0)</f>
        <v>0</v>
      </c>
      <c r="R415" s="106">
        <f>IF(T369&lt;&gt;0,G415*L415*L369,0)</f>
        <v>0</v>
      </c>
      <c r="S415" s="1747">
        <f t="shared" si="88"/>
        <v>0</v>
      </c>
      <c r="T415" s="99">
        <f>IF(OR(ISBLANK(T369),T369=0),0,Q415*L415*L369)</f>
        <v>0</v>
      </c>
      <c r="U415" s="1367" t="str">
        <f>IF(K415="","",IF(COUNTIF(N430:U430,SUBSTITUTE(TRIM(K415)," (s)",""))+COUNTIF(N432:U432,SUBSTITUTE(TRIM(K415)," (s)",""))&gt;0,IF(ROUND(T415,3)&gt;=1,ROUND(T415,3)&amp;" L",MAX(1,ROUND(T415*100,0))&amp;" cl"),IF(COUNTIF(G430:L430,SUBSTITUTE(TRIM(K415)," (s)",""))+COUNTIF(G432:L432,SUBSTITUTE(TRIM(K415)," (s)",""))&gt;0,IF(ROUND(T415,3)&gt;=1,ROUND(T415,3)&amp;" Kg",MAX(1,ROUND(T415*1000,0))&amp;" g"),"")))</f>
        <v/>
      </c>
      <c r="W415" s="103" t="str">
        <f t="shared" si="91"/>
        <v>►</v>
      </c>
      <c r="X415" s="31" t="str">
        <f>X370</f>
        <v>N NAME OF YOUR RECIPE | paste it — FAMILY|  Author &gt; YOU</v>
      </c>
      <c r="Y415" s="32">
        <f>Y370</f>
        <v>1</v>
      </c>
      <c r="Z415" s="31" t="str">
        <f>Z370</f>
        <v>coupe</v>
      </c>
      <c r="AA415" s="33" t="str">
        <f>AA370</f>
        <v>Master recipe ► MILLE-FEUILLE  aux fraises des bois</v>
      </c>
      <c r="AB415" s="89"/>
      <c r="AC415" s="108"/>
      <c r="AD415" s="91" t="str">
        <f t="shared" si="86"/>
        <v/>
      </c>
      <c r="AE415" s="92"/>
      <c r="AF415" s="128"/>
      <c r="AG415" s="130">
        <v>1</v>
      </c>
      <c r="AH415" s="1813" t="str">
        <f>ROWS(AH374:AH415)&amp;" ►"</f>
        <v>42 ►</v>
      </c>
      <c r="AI415" s="1580"/>
      <c r="AJ415" s="95">
        <f>IF(AL429=0,0,(AL415/AL429)*AK373*1000)</f>
        <v>0</v>
      </c>
      <c r="AK415" s="105">
        <f>IF(AL429=0, 0, (AB415*AG415)/(AL429*AK373))</f>
        <v>0</v>
      </c>
      <c r="AL415" s="97" cm="1">
        <f t="array" ref="AL415">IFERROR(_xlfn.XLOOKUP(UPPER(TRIM(AF415)),UPPER(TRIM(AB430:AP430)),AB431:AP431,_xlfn.XLOOKUP(UPPER(TRIM(AF415)),UPPER(TRIM(AB432:AP432)),AB433:AP433,0))*AE415*IF(AB415&gt;0,AB415,1),0)</f>
        <v>0</v>
      </c>
      <c r="AM415" s="106">
        <f>IF(AO369&lt;&gt;0,AB415*AG415*AG369,0)</f>
        <v>0</v>
      </c>
      <c r="AN415" s="1747">
        <f t="shared" si="89"/>
        <v>0</v>
      </c>
      <c r="AO415" s="99">
        <f>IF(OR(ISBLANK(AO369),AO369=0),0,AL415*AG415*AG369)</f>
        <v>0</v>
      </c>
      <c r="AP415" s="1367" t="str">
        <f>IF(AF415="","",IF(COUNTIF(AI430:AP430,SUBSTITUTE(TRIM(AF415)," (s)",""))+COUNTIF(AI432:AP432,SUBSTITUTE(TRIM(AF415)," (s)",""))&gt;0,IF(ROUND(AO415,3)&gt;=1,ROUND(AO415,3)&amp;" L",MAX(1,ROUND(AO415*100,0))&amp;" cl"),IF(COUNTIF(AB430:AG430,SUBSTITUTE(TRIM(AF415)," (s)",""))+COUNTIF(AB432:AG432,SUBSTITUTE(TRIM(AF415)," (s)",""))&gt;0,IF(ROUND(AO415,3)&gt;=1,ROUND(AO415,3)&amp;" Kg",MAX(1,ROUND(AO415*1000,0))&amp;" g"),"")))</f>
        <v/>
      </c>
      <c r="AR415" s="103" t="str">
        <f t="shared" si="92"/>
        <v>►</v>
      </c>
      <c r="AS415" s="31" t="str">
        <f>AS370</f>
        <v>N NOMBRE DE SU RECETA | pegue esto — FAMILIA| Auteur &gt; VOUS</v>
      </c>
      <c r="AT415" s="32">
        <f>AT370</f>
        <v>1</v>
      </c>
      <c r="AU415" s="31" t="str">
        <f>AU370</f>
        <v>coupe</v>
      </c>
      <c r="AV415" s="33" t="str">
        <f>AV370</f>
        <v>Receta madre ► MILLE-FEUILLE  aux fraises des bois</v>
      </c>
      <c r="AW415" s="89"/>
      <c r="AX415" s="108"/>
      <c r="AY415" s="91" t="str">
        <f t="shared" si="87"/>
        <v/>
      </c>
      <c r="AZ415" s="92"/>
      <c r="BA415" s="128"/>
      <c r="BB415" s="130">
        <v>1</v>
      </c>
      <c r="BC415" s="1813" t="str">
        <f>ROWS(BC374:BC415)&amp;" ►"</f>
        <v>42 ►</v>
      </c>
      <c r="BD415" s="1580"/>
      <c r="BE415" s="95">
        <f>IF(BG429=0,0,(BG415/BG429)*BF373*1000)</f>
        <v>0</v>
      </c>
      <c r="BF415" s="105">
        <f>IF(BG429=0, 0, (AW415*BB415)/(BG429*BF373))</f>
        <v>0</v>
      </c>
      <c r="BG415" s="97" cm="1">
        <f t="array" ref="BG415">IFERROR(_xlfn.XLOOKUP(UPPER(TRIM(BA415)),UPPER(TRIM(AW430:BK430)),AW431:BK431,_xlfn.XLOOKUP(UPPER(TRIM(BA415)),UPPER(TRIM(AW432:BK432)),AW433:BK433,0))*AZ415*IF(AW415&gt;0,AW415,1),0)</f>
        <v>0</v>
      </c>
      <c r="BH415" s="106">
        <f>IF(BJ369&lt;&gt;0,AW415*BB415*BB369,0)</f>
        <v>0</v>
      </c>
      <c r="BI415" s="1747">
        <f t="shared" si="90"/>
        <v>0</v>
      </c>
      <c r="BJ415" s="99">
        <f>IF(OR(ISBLANK(BJ369),BJ369=0),0,BG415*BB415*BB369)</f>
        <v>0</v>
      </c>
      <c r="BK415" s="1367" t="str">
        <f>IF(BA415="","",IF(COUNTIF(BD430:BK430,SUBSTITUTE(TRIM(BA415)," (s)",""))+COUNTIF(BD432:BK432,SUBSTITUTE(TRIM(BA415)," (s)",""))&gt;0,IF(ROUND(BJ415,3)&gt;=1,ROUND(BJ415,3)&amp;" L",MAX(1,ROUND(BJ415*100,0))&amp;" cl"),IF(COUNTIF(AW430:BB430,SUBSTITUTE(TRIM(BA415)," (s)",""))+COUNTIF(AW432:BB432,SUBSTITUTE(TRIM(BA415)," (s)",""))&gt;0,IF(ROUND(BJ415,3)&gt;=1,ROUND(BJ415,3)&amp;" Kg",MAX(1,ROUND(BJ415*1000,0))&amp;" g"),"")))</f>
        <v/>
      </c>
      <c r="BM415" s="3">
        <v>1</v>
      </c>
    </row>
    <row r="416" spans="2:65" ht="21" customHeight="1">
      <c r="B416" s="103" t="str">
        <f t="shared" si="93"/>
        <v>►</v>
      </c>
      <c r="C416" s="31" t="str">
        <f>C370</f>
        <v>MAJUSCULE(GAUCHE(J21;1))&amp;" "&amp;J21&amp;" | "&amp;S21&amp;"| "&amp;J23&amp;" "&amp;K23</v>
      </c>
      <c r="D416" s="32">
        <f>D370</f>
        <v>1</v>
      </c>
      <c r="E416" s="31" t="str">
        <f>E370</f>
        <v>coupe</v>
      </c>
      <c r="F416" s="33" t="str">
        <f>F370</f>
        <v>Recette mère ► MILLE-FEUILLE  aux fraises des bois</v>
      </c>
      <c r="G416" s="89"/>
      <c r="H416" s="108"/>
      <c r="I416" s="91" t="str">
        <f t="shared" si="85"/>
        <v/>
      </c>
      <c r="J416" s="92"/>
      <c r="K416" s="128"/>
      <c r="L416" s="130">
        <v>1</v>
      </c>
      <c r="M416" s="1813" t="str">
        <f>ROWS(M374:M416)&amp;" ►"</f>
        <v>43 ►</v>
      </c>
      <c r="N416" s="1580"/>
      <c r="O416" s="95">
        <f>IF(Q429=0,0,(Q416/Q429)*P373*1000)</f>
        <v>0</v>
      </c>
      <c r="P416" s="105">
        <f>IF(Q429=0, 0, (G416*L416)/(Q429*P373))</f>
        <v>0</v>
      </c>
      <c r="Q416" s="97" cm="1">
        <f t="array" ref="Q416">IFERROR(_xlfn.XLOOKUP(UPPER(TRIM(K416)),UPPER(TRIM(G430:U430)),G431:U431,_xlfn.XLOOKUP(UPPER(TRIM(K416)),UPPER(TRIM(G432:U432)),G433:U433,0))*J416*IF(G416&gt;0,G416,1),0)</f>
        <v>0</v>
      </c>
      <c r="R416" s="110">
        <f>IF(T369&lt;&gt;0,G416*L416*L369,0)</f>
        <v>0</v>
      </c>
      <c r="S416" s="1748">
        <f t="shared" si="88"/>
        <v>0</v>
      </c>
      <c r="T416" s="99">
        <f>IF(OR(ISBLANK(T369),T369=0),0,Q416*L416*L369)</f>
        <v>0</v>
      </c>
      <c r="U416" s="1617" t="str">
        <f>IF(K416="","",IF(COUNTIF(N430:U430,SUBSTITUTE(TRIM(K416)," (s)",""))+COUNTIF(N432:U432,SUBSTITUTE(TRIM(K416)," (s)",""))&gt;0,IF(ROUND(T416,3)&gt;=1,ROUND(T416,3)&amp;" L",MAX(1,ROUND(T416*100,0))&amp;" cl"),IF(COUNTIF(G430:L430,SUBSTITUTE(TRIM(K416)," (s)",""))+COUNTIF(G432:L432,SUBSTITUTE(TRIM(K416)," (s)",""))&gt;0,IF(ROUND(T416,3)&gt;=1,ROUND(T416,3)&amp;" Kg",MAX(1,ROUND(T416*1000,0))&amp;" g"),"")))</f>
        <v/>
      </c>
      <c r="W416" s="103" t="str">
        <f t="shared" si="91"/>
        <v>►</v>
      </c>
      <c r="X416" s="31" t="str">
        <f>X370</f>
        <v>N NAME OF YOUR RECIPE | paste it — FAMILY|  Author &gt; YOU</v>
      </c>
      <c r="Y416" s="32">
        <f>Y370</f>
        <v>1</v>
      </c>
      <c r="Z416" s="31" t="str">
        <f>Z370</f>
        <v>coupe</v>
      </c>
      <c r="AA416" s="33" t="str">
        <f>AA370</f>
        <v>Master recipe ► MILLE-FEUILLE  aux fraises des bois</v>
      </c>
      <c r="AB416" s="89"/>
      <c r="AC416" s="108"/>
      <c r="AD416" s="91" t="str">
        <f t="shared" si="86"/>
        <v/>
      </c>
      <c r="AE416" s="92"/>
      <c r="AF416" s="128"/>
      <c r="AG416" s="130">
        <v>1</v>
      </c>
      <c r="AH416" s="1813" t="str">
        <f>ROWS(AH374:AH416)&amp;" ►"</f>
        <v>43 ►</v>
      </c>
      <c r="AI416" s="1580"/>
      <c r="AJ416" s="95">
        <f>IF(AL429=0,0,(AL416/AL429)*AK373*1000)</f>
        <v>0</v>
      </c>
      <c r="AK416" s="105">
        <f>IF(AL429=0, 0, (AB416*AG416)/(AL429*AK373))</f>
        <v>0</v>
      </c>
      <c r="AL416" s="97" cm="1">
        <f t="array" ref="AL416">IFERROR(_xlfn.XLOOKUP(UPPER(TRIM(AF416)),UPPER(TRIM(AB430:AP430)),AB431:AP431,_xlfn.XLOOKUP(UPPER(TRIM(AF416)),UPPER(TRIM(AB432:AP432)),AB433:AP433,0))*AE416*IF(AB416&gt;0,AB416,1),0)</f>
        <v>0</v>
      </c>
      <c r="AM416" s="110">
        <f>IF(AO369&lt;&gt;0,AB416*AG416*AG369,0)</f>
        <v>0</v>
      </c>
      <c r="AN416" s="1748">
        <f t="shared" si="89"/>
        <v>0</v>
      </c>
      <c r="AO416" s="99">
        <f>IF(OR(ISBLANK(AO369),AO369=0),0,AL416*AG416*AG369)</f>
        <v>0</v>
      </c>
      <c r="AP416" s="1617" t="str">
        <f>IF(AF416="","",IF(COUNTIF(AI430:AP430,SUBSTITUTE(TRIM(AF416)," (s)",""))+COUNTIF(AI432:AP432,SUBSTITUTE(TRIM(AF416)," (s)",""))&gt;0,IF(ROUND(AO416,3)&gt;=1,ROUND(AO416,3)&amp;" L",MAX(1,ROUND(AO416*100,0))&amp;" cl"),IF(COUNTIF(AB430:AG430,SUBSTITUTE(TRIM(AF416)," (s)",""))+COUNTIF(AB432:AG432,SUBSTITUTE(TRIM(AF416)," (s)",""))&gt;0,IF(ROUND(AO416,3)&gt;=1,ROUND(AO416,3)&amp;" Kg",MAX(1,ROUND(AO416*1000,0))&amp;" g"),"")))</f>
        <v/>
      </c>
      <c r="AR416" s="103" t="str">
        <f t="shared" si="92"/>
        <v>►</v>
      </c>
      <c r="AS416" s="31" t="str">
        <f>AS370</f>
        <v>N NOMBRE DE SU RECETA | pegue esto — FAMILIA| Auteur &gt; VOUS</v>
      </c>
      <c r="AT416" s="32">
        <f>AT370</f>
        <v>1</v>
      </c>
      <c r="AU416" s="31" t="str">
        <f>AU370</f>
        <v>coupe</v>
      </c>
      <c r="AV416" s="33" t="str">
        <f>AV370</f>
        <v>Receta madre ► MILLE-FEUILLE  aux fraises des bois</v>
      </c>
      <c r="AW416" s="89"/>
      <c r="AX416" s="108"/>
      <c r="AY416" s="91" t="str">
        <f t="shared" si="87"/>
        <v/>
      </c>
      <c r="AZ416" s="92"/>
      <c r="BA416" s="128"/>
      <c r="BB416" s="130">
        <v>1</v>
      </c>
      <c r="BC416" s="1813" t="str">
        <f>ROWS(BC374:BC416)&amp;" ►"</f>
        <v>43 ►</v>
      </c>
      <c r="BD416" s="1580"/>
      <c r="BE416" s="95">
        <f>IF(BG429=0,0,(BG416/BG429)*BF373*1000)</f>
        <v>0</v>
      </c>
      <c r="BF416" s="105">
        <f>IF(BG429=0, 0, (AW416*BB416)/(BG429*BF373))</f>
        <v>0</v>
      </c>
      <c r="BG416" s="97" cm="1">
        <f t="array" ref="BG416">IFERROR(_xlfn.XLOOKUP(UPPER(TRIM(BA416)),UPPER(TRIM(AW430:BK430)),AW431:BK431,_xlfn.XLOOKUP(UPPER(TRIM(BA416)),UPPER(TRIM(AW432:BK432)),AW433:BK433,0))*AZ416*IF(AW416&gt;0,AW416,1),0)</f>
        <v>0</v>
      </c>
      <c r="BH416" s="110">
        <f>IF(BJ369&lt;&gt;0,AW416*BB416*BB369,0)</f>
        <v>0</v>
      </c>
      <c r="BI416" s="1748">
        <f t="shared" si="90"/>
        <v>0</v>
      </c>
      <c r="BJ416" s="99">
        <f>IF(OR(ISBLANK(BJ369),BJ369=0),0,BG416*BB416*BB369)</f>
        <v>0</v>
      </c>
      <c r="BK416" s="1617" t="str">
        <f>IF(BA416="","",IF(COUNTIF(BD430:BK430,SUBSTITUTE(TRIM(BA416)," (s)",""))+COUNTIF(BD432:BK432,SUBSTITUTE(TRIM(BA416)," (s)",""))&gt;0,IF(ROUND(BJ416,3)&gt;=1,ROUND(BJ416,3)&amp;" L",MAX(1,ROUND(BJ416*100,0))&amp;" cl"),IF(COUNTIF(AW430:BB430,SUBSTITUTE(TRIM(BA416)," (s)",""))+COUNTIF(AW432:BB432,SUBSTITUTE(TRIM(BA416)," (s)",""))&gt;0,IF(ROUND(BJ416,3)&gt;=1,ROUND(BJ416,3)&amp;" Kg",MAX(1,ROUND(BJ416*1000,0))&amp;" g"),"")))</f>
        <v/>
      </c>
      <c r="BM416" s="3">
        <v>1</v>
      </c>
    </row>
    <row r="417" spans="2:65" ht="21" customHeight="1">
      <c r="B417" s="103" t="str">
        <f t="shared" si="93"/>
        <v>►</v>
      </c>
      <c r="C417" s="31" t="str">
        <f>C370</f>
        <v>MAJUSCULE(GAUCHE(J21;1))&amp;" "&amp;J21&amp;" | "&amp;S21&amp;"| "&amp;J23&amp;" "&amp;K23</v>
      </c>
      <c r="D417" s="32">
        <f>D370</f>
        <v>1</v>
      </c>
      <c r="E417" s="31" t="str">
        <f>E370</f>
        <v>coupe</v>
      </c>
      <c r="F417" s="33" t="str">
        <f>F370</f>
        <v>Recette mère ► MILLE-FEUILLE  aux fraises des bois</v>
      </c>
      <c r="G417" s="89"/>
      <c r="H417" s="108"/>
      <c r="I417" s="91" t="str">
        <f t="shared" si="85"/>
        <v/>
      </c>
      <c r="J417" s="92"/>
      <c r="K417" s="128"/>
      <c r="L417" s="130">
        <v>1</v>
      </c>
      <c r="M417" s="1813" t="str">
        <f>ROWS(M374:M417)&amp;" ►"</f>
        <v>44 ►</v>
      </c>
      <c r="N417" s="1580"/>
      <c r="O417" s="95">
        <f>IF(Q429=0,0,(Q417/Q429)*P373*1000)</f>
        <v>0</v>
      </c>
      <c r="P417" s="105">
        <f>IF(Q429=0, 0, (G417*L417)/(Q429*P373))</f>
        <v>0</v>
      </c>
      <c r="Q417" s="97" cm="1">
        <f t="array" ref="Q417">IFERROR(_xlfn.XLOOKUP(UPPER(TRIM(K417)),UPPER(TRIM(G430:U430)),G431:U431,_xlfn.XLOOKUP(UPPER(TRIM(K417)),UPPER(TRIM(G432:U432)),G433:U433,0))*J417*IF(G417&gt;0,G417,1),0)</f>
        <v>0</v>
      </c>
      <c r="R417" s="106">
        <f>IF(T369&lt;&gt;0,G417*L417*L369,0)</f>
        <v>0</v>
      </c>
      <c r="S417" s="1747">
        <f t="shared" si="88"/>
        <v>0</v>
      </c>
      <c r="T417" s="99">
        <f>IF(OR(ISBLANK(T369),T369=0),0,Q417*L417*L369)</f>
        <v>0</v>
      </c>
      <c r="U417" s="1367" t="str">
        <f>IF(K417="","",IF(COUNTIF(N430:U430,SUBSTITUTE(TRIM(K417)," (s)",""))+COUNTIF(N432:U432,SUBSTITUTE(TRIM(K417)," (s)",""))&gt;0,IF(ROUND(T417,3)&gt;=1,ROUND(T417,3)&amp;" L",MAX(1,ROUND(T417*100,0))&amp;" cl"),IF(COUNTIF(G430:L430,SUBSTITUTE(TRIM(K417)," (s)",""))+COUNTIF(G432:L432,SUBSTITUTE(TRIM(K417)," (s)",""))&gt;0,IF(ROUND(T417,3)&gt;=1,ROUND(T417,3)&amp;" Kg",MAX(1,ROUND(T417*1000,0))&amp;" g"),"")))</f>
        <v/>
      </c>
      <c r="W417" s="103" t="str">
        <f t="shared" si="91"/>
        <v>►</v>
      </c>
      <c r="X417" s="31" t="str">
        <f>X370</f>
        <v>N NAME OF YOUR RECIPE | paste it — FAMILY|  Author &gt; YOU</v>
      </c>
      <c r="Y417" s="32">
        <f>Y370</f>
        <v>1</v>
      </c>
      <c r="Z417" s="31" t="str">
        <f>Z370</f>
        <v>coupe</v>
      </c>
      <c r="AA417" s="33" t="str">
        <f>AA370</f>
        <v>Master recipe ► MILLE-FEUILLE  aux fraises des bois</v>
      </c>
      <c r="AB417" s="89"/>
      <c r="AC417" s="108"/>
      <c r="AD417" s="91" t="str">
        <f t="shared" si="86"/>
        <v/>
      </c>
      <c r="AE417" s="92"/>
      <c r="AF417" s="128"/>
      <c r="AG417" s="130">
        <v>1</v>
      </c>
      <c r="AH417" s="1813" t="str">
        <f>ROWS(AH374:AH417)&amp;" ►"</f>
        <v>44 ►</v>
      </c>
      <c r="AI417" s="1580"/>
      <c r="AJ417" s="95">
        <f>IF(AL429=0,0,(AL417/AL429)*AK373*1000)</f>
        <v>0</v>
      </c>
      <c r="AK417" s="105">
        <f>IF(AL429=0, 0, (AB417*AG417)/(AL429*AK373))</f>
        <v>0</v>
      </c>
      <c r="AL417" s="97" cm="1">
        <f t="array" ref="AL417">IFERROR(_xlfn.XLOOKUP(UPPER(TRIM(AF417)),UPPER(TRIM(AB430:AP430)),AB431:AP431,_xlfn.XLOOKUP(UPPER(TRIM(AF417)),UPPER(TRIM(AB432:AP432)),AB433:AP433,0))*AE417*IF(AB417&gt;0,AB417,1),0)</f>
        <v>0</v>
      </c>
      <c r="AM417" s="106">
        <f>IF(AO369&lt;&gt;0,AB417*AG417*AG369,0)</f>
        <v>0</v>
      </c>
      <c r="AN417" s="1747">
        <f t="shared" si="89"/>
        <v>0</v>
      </c>
      <c r="AO417" s="99">
        <f>IF(OR(ISBLANK(AO369),AO369=0),0,AL417*AG417*AG369)</f>
        <v>0</v>
      </c>
      <c r="AP417" s="1367" t="str">
        <f>IF(AF417="","",IF(COUNTIF(AI430:AP430,SUBSTITUTE(TRIM(AF417)," (s)",""))+COUNTIF(AI432:AP432,SUBSTITUTE(TRIM(AF417)," (s)",""))&gt;0,IF(ROUND(AO417,3)&gt;=1,ROUND(AO417,3)&amp;" L",MAX(1,ROUND(AO417*100,0))&amp;" cl"),IF(COUNTIF(AB430:AG430,SUBSTITUTE(TRIM(AF417)," (s)",""))+COUNTIF(AB432:AG432,SUBSTITUTE(TRIM(AF417)," (s)",""))&gt;0,IF(ROUND(AO417,3)&gt;=1,ROUND(AO417,3)&amp;" Kg",MAX(1,ROUND(AO417*1000,0))&amp;" g"),"")))</f>
        <v/>
      </c>
      <c r="AR417" s="103" t="str">
        <f t="shared" si="92"/>
        <v>►</v>
      </c>
      <c r="AS417" s="31" t="str">
        <f>AS370</f>
        <v>N NOMBRE DE SU RECETA | pegue esto — FAMILIA| Auteur &gt; VOUS</v>
      </c>
      <c r="AT417" s="32">
        <f>AT370</f>
        <v>1</v>
      </c>
      <c r="AU417" s="31" t="str">
        <f>AU370</f>
        <v>coupe</v>
      </c>
      <c r="AV417" s="33" t="str">
        <f>AV370</f>
        <v>Receta madre ► MILLE-FEUILLE  aux fraises des bois</v>
      </c>
      <c r="AW417" s="89"/>
      <c r="AX417" s="108"/>
      <c r="AY417" s="91" t="str">
        <f t="shared" si="87"/>
        <v/>
      </c>
      <c r="AZ417" s="92"/>
      <c r="BA417" s="128"/>
      <c r="BB417" s="130">
        <v>1</v>
      </c>
      <c r="BC417" s="1813" t="str">
        <f>ROWS(BC374:BC417)&amp;" ►"</f>
        <v>44 ►</v>
      </c>
      <c r="BD417" s="1580"/>
      <c r="BE417" s="95">
        <f>IF(BG429=0,0,(BG417/BG429)*BF373*1000)</f>
        <v>0</v>
      </c>
      <c r="BF417" s="105">
        <f>IF(BG429=0, 0, (AW417*BB417)/(BG429*BF373))</f>
        <v>0</v>
      </c>
      <c r="BG417" s="97" cm="1">
        <f t="array" ref="BG417">IFERROR(_xlfn.XLOOKUP(UPPER(TRIM(BA417)),UPPER(TRIM(AW430:BK430)),AW431:BK431,_xlfn.XLOOKUP(UPPER(TRIM(BA417)),UPPER(TRIM(AW432:BK432)),AW433:BK433,0))*AZ417*IF(AW417&gt;0,AW417,1),0)</f>
        <v>0</v>
      </c>
      <c r="BH417" s="106">
        <f>IF(BJ369&lt;&gt;0,AW417*BB417*BB369,0)</f>
        <v>0</v>
      </c>
      <c r="BI417" s="1747">
        <f t="shared" si="90"/>
        <v>0</v>
      </c>
      <c r="BJ417" s="99">
        <f>IF(OR(ISBLANK(BJ369),BJ369=0),0,BG417*BB417*BB369)</f>
        <v>0</v>
      </c>
      <c r="BK417" s="1367" t="str">
        <f>IF(BA417="","",IF(COUNTIF(BD430:BK430,SUBSTITUTE(TRIM(BA417)," (s)",""))+COUNTIF(BD432:BK432,SUBSTITUTE(TRIM(BA417)," (s)",""))&gt;0,IF(ROUND(BJ417,3)&gt;=1,ROUND(BJ417,3)&amp;" L",MAX(1,ROUND(BJ417*100,0))&amp;" cl"),IF(COUNTIF(AW430:BB430,SUBSTITUTE(TRIM(BA417)," (s)",""))+COUNTIF(AW432:BB432,SUBSTITUTE(TRIM(BA417)," (s)",""))&gt;0,IF(ROUND(BJ417,3)&gt;=1,ROUND(BJ417,3)&amp;" Kg",MAX(1,ROUND(BJ417*1000,0))&amp;" g"),"")))</f>
        <v/>
      </c>
      <c r="BM417" s="3">
        <v>1</v>
      </c>
    </row>
    <row r="418" spans="2:65" ht="21" customHeight="1">
      <c r="B418" s="103" t="str">
        <f t="shared" si="93"/>
        <v>►</v>
      </c>
      <c r="C418" s="31" t="str">
        <f>C370</f>
        <v>MAJUSCULE(GAUCHE(J21;1))&amp;" "&amp;J21&amp;" | "&amp;S21&amp;"| "&amp;J23&amp;" "&amp;K23</v>
      </c>
      <c r="D418" s="32">
        <f>D370</f>
        <v>1</v>
      </c>
      <c r="E418" s="31" t="str">
        <f>E370</f>
        <v>coupe</v>
      </c>
      <c r="F418" s="33" t="str">
        <f>F370</f>
        <v>Recette mère ► MILLE-FEUILLE  aux fraises des bois</v>
      </c>
      <c r="G418" s="89"/>
      <c r="H418" s="108"/>
      <c r="I418" s="91" t="str">
        <f t="shared" si="85"/>
        <v/>
      </c>
      <c r="J418" s="92"/>
      <c r="K418" s="128"/>
      <c r="L418" s="130">
        <v>1</v>
      </c>
      <c r="M418" s="1813" t="str">
        <f>ROWS(M374:M418)&amp;" ►"</f>
        <v>45 ►</v>
      </c>
      <c r="N418" s="1580"/>
      <c r="O418" s="95">
        <f>IF(Q429=0,0,(Q418/Q429)*P373*1000)</f>
        <v>0</v>
      </c>
      <c r="P418" s="105">
        <f>IF(Q429=0, 0, (G418*L418)/(Q429*P373))</f>
        <v>0</v>
      </c>
      <c r="Q418" s="97" cm="1">
        <f t="array" ref="Q418">IFERROR(_xlfn.XLOOKUP(UPPER(TRIM(K418)),UPPER(TRIM(G430:U430)),G431:U431,_xlfn.XLOOKUP(UPPER(TRIM(K418)),UPPER(TRIM(G432:U432)),G433:U433,0))*J418*IF(G418&gt;0,G418,1),0)</f>
        <v>0</v>
      </c>
      <c r="R418" s="110">
        <f>IF(T369&lt;&gt;0,G418*L418*L369,0)</f>
        <v>0</v>
      </c>
      <c r="S418" s="1748">
        <f t="shared" si="88"/>
        <v>0</v>
      </c>
      <c r="T418" s="99">
        <f>IF(OR(ISBLANK(T369),T369=0),0,Q418*L418*L369)</f>
        <v>0</v>
      </c>
      <c r="U418" s="1617" t="str">
        <f>IF(K418="","",IF(COUNTIF(N430:U430,SUBSTITUTE(TRIM(K418)," (s)",""))+COUNTIF(N432:U432,SUBSTITUTE(TRIM(K418)," (s)",""))&gt;0,IF(ROUND(T418,3)&gt;=1,ROUND(T418,3)&amp;" L",MAX(1,ROUND(T418*100,0))&amp;" cl"),IF(COUNTIF(G430:L430,SUBSTITUTE(TRIM(K418)," (s)",""))+COUNTIF(G432:L432,SUBSTITUTE(TRIM(K418)," (s)",""))&gt;0,IF(ROUND(T418,3)&gt;=1,ROUND(T418,3)&amp;" Kg",MAX(1,ROUND(T418*1000,0))&amp;" g"),"")))</f>
        <v/>
      </c>
      <c r="W418" s="103" t="str">
        <f t="shared" si="91"/>
        <v>►</v>
      </c>
      <c r="X418" s="31" t="str">
        <f>X370</f>
        <v>N NAME OF YOUR RECIPE | paste it — FAMILY|  Author &gt; YOU</v>
      </c>
      <c r="Y418" s="32">
        <f>Y370</f>
        <v>1</v>
      </c>
      <c r="Z418" s="31" t="str">
        <f>Z370</f>
        <v>coupe</v>
      </c>
      <c r="AA418" s="33" t="str">
        <f>AA370</f>
        <v>Master recipe ► MILLE-FEUILLE  aux fraises des bois</v>
      </c>
      <c r="AB418" s="89"/>
      <c r="AC418" s="108"/>
      <c r="AD418" s="91" t="str">
        <f t="shared" si="86"/>
        <v/>
      </c>
      <c r="AE418" s="92"/>
      <c r="AF418" s="128"/>
      <c r="AG418" s="130">
        <v>1</v>
      </c>
      <c r="AH418" s="1813" t="str">
        <f>ROWS(AH374:AH418)&amp;" ►"</f>
        <v>45 ►</v>
      </c>
      <c r="AI418" s="1580"/>
      <c r="AJ418" s="95">
        <f>IF(AL429=0,0,(AL418/AL429)*AK373*1000)</f>
        <v>0</v>
      </c>
      <c r="AK418" s="105">
        <f>IF(AL429=0, 0, (AB418*AG418)/(AL429*AK373))</f>
        <v>0</v>
      </c>
      <c r="AL418" s="97" cm="1">
        <f t="array" ref="AL418">IFERROR(_xlfn.XLOOKUP(UPPER(TRIM(AF418)),UPPER(TRIM(AB430:AP430)),AB431:AP431,_xlfn.XLOOKUP(UPPER(TRIM(AF418)),UPPER(TRIM(AB432:AP432)),AB433:AP433,0))*AE418*IF(AB418&gt;0,AB418,1),0)</f>
        <v>0</v>
      </c>
      <c r="AM418" s="110">
        <f>IF(AO369&lt;&gt;0,AB418*AG418*AG369,0)</f>
        <v>0</v>
      </c>
      <c r="AN418" s="1748">
        <f t="shared" si="89"/>
        <v>0</v>
      </c>
      <c r="AO418" s="99">
        <f>IF(OR(ISBLANK(AO369),AO369=0),0,AL418*AG418*AG369)</f>
        <v>0</v>
      </c>
      <c r="AP418" s="1617" t="str">
        <f>IF(AF418="","",IF(COUNTIF(AI430:AP430,SUBSTITUTE(TRIM(AF418)," (s)",""))+COUNTIF(AI432:AP432,SUBSTITUTE(TRIM(AF418)," (s)",""))&gt;0,IF(ROUND(AO418,3)&gt;=1,ROUND(AO418,3)&amp;" L",MAX(1,ROUND(AO418*100,0))&amp;" cl"),IF(COUNTIF(AB430:AG430,SUBSTITUTE(TRIM(AF418)," (s)",""))+COUNTIF(AB432:AG432,SUBSTITUTE(TRIM(AF418)," (s)",""))&gt;0,IF(ROUND(AO418,3)&gt;=1,ROUND(AO418,3)&amp;" Kg",MAX(1,ROUND(AO418*1000,0))&amp;" g"),"")))</f>
        <v/>
      </c>
      <c r="AR418" s="103" t="str">
        <f t="shared" si="92"/>
        <v>►</v>
      </c>
      <c r="AS418" s="31" t="str">
        <f>AS370</f>
        <v>N NOMBRE DE SU RECETA | pegue esto — FAMILIA| Auteur &gt; VOUS</v>
      </c>
      <c r="AT418" s="32">
        <f>AT370</f>
        <v>1</v>
      </c>
      <c r="AU418" s="31" t="str">
        <f>AU370</f>
        <v>coupe</v>
      </c>
      <c r="AV418" s="33" t="str">
        <f>AV370</f>
        <v>Receta madre ► MILLE-FEUILLE  aux fraises des bois</v>
      </c>
      <c r="AW418" s="89"/>
      <c r="AX418" s="108"/>
      <c r="AY418" s="91" t="str">
        <f t="shared" si="87"/>
        <v/>
      </c>
      <c r="AZ418" s="92"/>
      <c r="BA418" s="128"/>
      <c r="BB418" s="130">
        <v>1</v>
      </c>
      <c r="BC418" s="1813" t="str">
        <f>ROWS(BC374:BC418)&amp;" ►"</f>
        <v>45 ►</v>
      </c>
      <c r="BD418" s="1580"/>
      <c r="BE418" s="95">
        <f>IF(BG429=0,0,(BG418/BG429)*BF373*1000)</f>
        <v>0</v>
      </c>
      <c r="BF418" s="105">
        <f>IF(BG429=0, 0, (AW418*BB418)/(BG429*BF373))</f>
        <v>0</v>
      </c>
      <c r="BG418" s="97" cm="1">
        <f t="array" ref="BG418">IFERROR(_xlfn.XLOOKUP(UPPER(TRIM(BA418)),UPPER(TRIM(AW430:BK430)),AW431:BK431,_xlfn.XLOOKUP(UPPER(TRIM(BA418)),UPPER(TRIM(AW432:BK432)),AW433:BK433,0))*AZ418*IF(AW418&gt;0,AW418,1),0)</f>
        <v>0</v>
      </c>
      <c r="BH418" s="110">
        <f>IF(BJ369&lt;&gt;0,AW418*BB418*BB369,0)</f>
        <v>0</v>
      </c>
      <c r="BI418" s="1748">
        <f t="shared" si="90"/>
        <v>0</v>
      </c>
      <c r="BJ418" s="99">
        <f>IF(OR(ISBLANK(BJ369),BJ369=0),0,BG418*BB418*BB369)</f>
        <v>0</v>
      </c>
      <c r="BK418" s="1617" t="str">
        <f>IF(BA418="","",IF(COUNTIF(BD430:BK430,SUBSTITUTE(TRIM(BA418)," (s)",""))+COUNTIF(BD432:BK432,SUBSTITUTE(TRIM(BA418)," (s)",""))&gt;0,IF(ROUND(BJ418,3)&gt;=1,ROUND(BJ418,3)&amp;" L",MAX(1,ROUND(BJ418*100,0))&amp;" cl"),IF(COUNTIF(AW430:BB430,SUBSTITUTE(TRIM(BA418)," (s)",""))+COUNTIF(AW432:BB432,SUBSTITUTE(TRIM(BA418)," (s)",""))&gt;0,IF(ROUND(BJ418,3)&gt;=1,ROUND(BJ418,3)&amp;" Kg",MAX(1,ROUND(BJ418*1000,0))&amp;" g"),"")))</f>
        <v/>
      </c>
      <c r="BM418" s="3">
        <v>1</v>
      </c>
    </row>
    <row r="419" spans="2:65" ht="21" customHeight="1">
      <c r="B419" s="103" t="str">
        <f t="shared" si="93"/>
        <v>►</v>
      </c>
      <c r="C419" s="31" t="str">
        <f>C370</f>
        <v>MAJUSCULE(GAUCHE(J21;1))&amp;" "&amp;J21&amp;" | "&amp;S21&amp;"| "&amp;J23&amp;" "&amp;K23</v>
      </c>
      <c r="D419" s="32">
        <f>D370</f>
        <v>1</v>
      </c>
      <c r="E419" s="31" t="str">
        <f>E370</f>
        <v>coupe</v>
      </c>
      <c r="F419" s="33" t="str">
        <f>F370</f>
        <v>Recette mère ► MILLE-FEUILLE  aux fraises des bois</v>
      </c>
      <c r="G419" s="89"/>
      <c r="H419" s="108"/>
      <c r="I419" s="91" t="str">
        <f t="shared" si="85"/>
        <v/>
      </c>
      <c r="J419" s="92"/>
      <c r="K419" s="128"/>
      <c r="L419" s="130">
        <v>1</v>
      </c>
      <c r="M419" s="1813" t="str">
        <f>ROWS(M374:M419)&amp;" ►"</f>
        <v>46 ►</v>
      </c>
      <c r="N419" s="1580"/>
      <c r="O419" s="95">
        <f>IF(Q429=0,0,(Q419/Q429)*P373*1000)</f>
        <v>0</v>
      </c>
      <c r="P419" s="105">
        <f>IF(Q429=0, 0, (G419*L419)/(Q429*P373))</f>
        <v>0</v>
      </c>
      <c r="Q419" s="97" cm="1">
        <f t="array" ref="Q419">IFERROR(_xlfn.XLOOKUP(UPPER(TRIM(K419)),UPPER(TRIM(G430:U430)),G431:U431,_xlfn.XLOOKUP(UPPER(TRIM(K419)),UPPER(TRIM(G432:U432)),G433:U433,0))*J419*IF(G419&gt;0,G419,1),0)</f>
        <v>0</v>
      </c>
      <c r="R419" s="106">
        <f>IF(T369&lt;&gt;0,G419*L419*L369,0)</f>
        <v>0</v>
      </c>
      <c r="S419" s="1747">
        <f t="shared" si="88"/>
        <v>0</v>
      </c>
      <c r="T419" s="99">
        <f>IF(OR(ISBLANK(T369),T369=0),0,Q419*L419*L369)</f>
        <v>0</v>
      </c>
      <c r="U419" s="1367" t="str">
        <f>IF(K419="","",IF(COUNTIF(N430:U430,SUBSTITUTE(TRIM(K419)," (s)",""))+COUNTIF(N432:U432,SUBSTITUTE(TRIM(K419)," (s)",""))&gt;0,IF(ROUND(T419,3)&gt;=1,ROUND(T419,3)&amp;" L",MAX(1,ROUND(T419*100,0))&amp;" cl"),IF(COUNTIF(G430:L430,SUBSTITUTE(TRIM(K419)," (s)",""))+COUNTIF(G432:L432,SUBSTITUTE(TRIM(K419)," (s)",""))&gt;0,IF(ROUND(T419,3)&gt;=1,ROUND(T419,3)&amp;" Kg",MAX(1,ROUND(T419*1000,0))&amp;" g"),"")))</f>
        <v/>
      </c>
      <c r="W419" s="103" t="str">
        <f t="shared" si="91"/>
        <v>►</v>
      </c>
      <c r="X419" s="31" t="str">
        <f>X370</f>
        <v>N NAME OF YOUR RECIPE | paste it — FAMILY|  Author &gt; YOU</v>
      </c>
      <c r="Y419" s="32">
        <f>Y370</f>
        <v>1</v>
      </c>
      <c r="Z419" s="31" t="str">
        <f>Z370</f>
        <v>coupe</v>
      </c>
      <c r="AA419" s="33" t="str">
        <f>AA370</f>
        <v>Master recipe ► MILLE-FEUILLE  aux fraises des bois</v>
      </c>
      <c r="AB419" s="89"/>
      <c r="AC419" s="108"/>
      <c r="AD419" s="91" t="str">
        <f t="shared" si="86"/>
        <v/>
      </c>
      <c r="AE419" s="92"/>
      <c r="AF419" s="128"/>
      <c r="AG419" s="130">
        <v>1</v>
      </c>
      <c r="AH419" s="1813" t="str">
        <f>ROWS(AH374:AH419)&amp;" ►"</f>
        <v>46 ►</v>
      </c>
      <c r="AI419" s="1580"/>
      <c r="AJ419" s="95">
        <f>IF(AL429=0,0,(AL419/AL429)*AK373*1000)</f>
        <v>0</v>
      </c>
      <c r="AK419" s="105">
        <f>IF(AL429=0, 0, (AB419*AG419)/(AL429*AK373))</f>
        <v>0</v>
      </c>
      <c r="AL419" s="97" cm="1">
        <f t="array" ref="AL419">IFERROR(_xlfn.XLOOKUP(UPPER(TRIM(AF419)),UPPER(TRIM(AB430:AP430)),AB431:AP431,_xlfn.XLOOKUP(UPPER(TRIM(AF419)),UPPER(TRIM(AB432:AP432)),AB433:AP433,0))*AE419*IF(AB419&gt;0,AB419,1),0)</f>
        <v>0</v>
      </c>
      <c r="AM419" s="106">
        <f>IF(AO369&lt;&gt;0,AB419*AG419*AG369,0)</f>
        <v>0</v>
      </c>
      <c r="AN419" s="1747">
        <f t="shared" si="89"/>
        <v>0</v>
      </c>
      <c r="AO419" s="99">
        <f>IF(OR(ISBLANK(AO369),AO369=0),0,AL419*AG419*AG369)</f>
        <v>0</v>
      </c>
      <c r="AP419" s="1367" t="str">
        <f>IF(AF419="","",IF(COUNTIF(AI430:AP430,SUBSTITUTE(TRIM(AF419)," (s)",""))+COUNTIF(AI432:AP432,SUBSTITUTE(TRIM(AF419)," (s)",""))&gt;0,IF(ROUND(AO419,3)&gt;=1,ROUND(AO419,3)&amp;" L",MAX(1,ROUND(AO419*100,0))&amp;" cl"),IF(COUNTIF(AB430:AG430,SUBSTITUTE(TRIM(AF419)," (s)",""))+COUNTIF(AB432:AG432,SUBSTITUTE(TRIM(AF419)," (s)",""))&gt;0,IF(ROUND(AO419,3)&gt;=1,ROUND(AO419,3)&amp;" Kg",MAX(1,ROUND(AO419*1000,0))&amp;" g"),"")))</f>
        <v/>
      </c>
      <c r="AR419" s="103" t="str">
        <f t="shared" si="92"/>
        <v>►</v>
      </c>
      <c r="AS419" s="31" t="str">
        <f>AS370</f>
        <v>N NOMBRE DE SU RECETA | pegue esto — FAMILIA| Auteur &gt; VOUS</v>
      </c>
      <c r="AT419" s="32">
        <f>AT370</f>
        <v>1</v>
      </c>
      <c r="AU419" s="31" t="str">
        <f>AU370</f>
        <v>coupe</v>
      </c>
      <c r="AV419" s="33" t="str">
        <f>AV370</f>
        <v>Receta madre ► MILLE-FEUILLE  aux fraises des bois</v>
      </c>
      <c r="AW419" s="89"/>
      <c r="AX419" s="108"/>
      <c r="AY419" s="91" t="str">
        <f t="shared" si="87"/>
        <v/>
      </c>
      <c r="AZ419" s="92"/>
      <c r="BA419" s="128"/>
      <c r="BB419" s="130">
        <v>1</v>
      </c>
      <c r="BC419" s="1813" t="str">
        <f>ROWS(BC374:BC419)&amp;" ►"</f>
        <v>46 ►</v>
      </c>
      <c r="BD419" s="1580"/>
      <c r="BE419" s="95">
        <f>IF(BG429=0,0,(BG419/BG429)*BF373*1000)</f>
        <v>0</v>
      </c>
      <c r="BF419" s="105">
        <f>IF(BG429=0, 0, (AW419*BB419)/(BG429*BF373))</f>
        <v>0</v>
      </c>
      <c r="BG419" s="97" cm="1">
        <f t="array" ref="BG419">IFERROR(_xlfn.XLOOKUP(UPPER(TRIM(BA419)),UPPER(TRIM(AW430:BK430)),AW431:BK431,_xlfn.XLOOKUP(UPPER(TRIM(BA419)),UPPER(TRIM(AW432:BK432)),AW433:BK433,0))*AZ419*IF(AW419&gt;0,AW419,1),0)</f>
        <v>0</v>
      </c>
      <c r="BH419" s="106">
        <f>IF(BJ369&lt;&gt;0,AW419*BB419*BB369,0)</f>
        <v>0</v>
      </c>
      <c r="BI419" s="1747">
        <f t="shared" si="90"/>
        <v>0</v>
      </c>
      <c r="BJ419" s="99">
        <f>IF(OR(ISBLANK(BJ369),BJ369=0),0,BG419*BB419*BB369)</f>
        <v>0</v>
      </c>
      <c r="BK419" s="1367" t="str">
        <f>IF(BA419="","",IF(COUNTIF(BD430:BK430,SUBSTITUTE(TRIM(BA419)," (s)",""))+COUNTIF(BD432:BK432,SUBSTITUTE(TRIM(BA419)," (s)",""))&gt;0,IF(ROUND(BJ419,3)&gt;=1,ROUND(BJ419,3)&amp;" L",MAX(1,ROUND(BJ419*100,0))&amp;" cl"),IF(COUNTIF(AW430:BB430,SUBSTITUTE(TRIM(BA419)," (s)",""))+COUNTIF(AW432:BB432,SUBSTITUTE(TRIM(BA419)," (s)",""))&gt;0,IF(ROUND(BJ419,3)&gt;=1,ROUND(BJ419,3)&amp;" Kg",MAX(1,ROUND(BJ419*1000,0))&amp;" g"),"")))</f>
        <v/>
      </c>
      <c r="BM419" s="3">
        <v>1</v>
      </c>
    </row>
    <row r="420" spans="2:65" ht="21" customHeight="1">
      <c r="B420" s="103" t="str">
        <f t="shared" si="93"/>
        <v>►</v>
      </c>
      <c r="C420" s="31" t="str">
        <f>C370</f>
        <v>MAJUSCULE(GAUCHE(J21;1))&amp;" "&amp;J21&amp;" | "&amp;S21&amp;"| "&amp;J23&amp;" "&amp;K23</v>
      </c>
      <c r="D420" s="32">
        <f>D370</f>
        <v>1</v>
      </c>
      <c r="E420" s="31" t="str">
        <f>E370</f>
        <v>coupe</v>
      </c>
      <c r="F420" s="33" t="str">
        <f>F370</f>
        <v>Recette mère ► MILLE-FEUILLE  aux fraises des bois</v>
      </c>
      <c r="G420" s="89"/>
      <c r="H420" s="108"/>
      <c r="I420" s="91" t="str">
        <f t="shared" si="85"/>
        <v/>
      </c>
      <c r="J420" s="92"/>
      <c r="K420" s="128"/>
      <c r="L420" s="130">
        <v>1</v>
      </c>
      <c r="M420" s="1813" t="str">
        <f>ROWS(M374:M420)&amp;" ►"</f>
        <v>47 ►</v>
      </c>
      <c r="N420" s="1580"/>
      <c r="O420" s="95">
        <f>IF(Q429=0,0,(Q420/Q429)*P373*1000)</f>
        <v>0</v>
      </c>
      <c r="P420" s="105">
        <f>IF(Q429=0, 0, (G420*L420)/(Q429*P373))</f>
        <v>0</v>
      </c>
      <c r="Q420" s="97" cm="1">
        <f t="array" ref="Q420">IFERROR(_xlfn.XLOOKUP(UPPER(TRIM(K420)),UPPER(TRIM(G430:U430)),G431:U431,_xlfn.XLOOKUP(UPPER(TRIM(K420)),UPPER(TRIM(G432:U432)),G433:U433,0))*J420*IF(G420&gt;0,G420,1),0)</f>
        <v>0</v>
      </c>
      <c r="R420" s="110">
        <f>IF(T369&lt;&gt;0,G420*L420*L369,0)</f>
        <v>0</v>
      </c>
      <c r="S420" s="1748">
        <f t="shared" si="88"/>
        <v>0</v>
      </c>
      <c r="T420" s="99">
        <f>IF(OR(ISBLANK(T369),T369=0),0,Q420*L420*L369)</f>
        <v>0</v>
      </c>
      <c r="U420" s="1617" t="str">
        <f>IF(K420="","",IF(COUNTIF(N430:U430,SUBSTITUTE(TRIM(K420)," (s)",""))+COUNTIF(N432:U432,SUBSTITUTE(TRIM(K420)," (s)",""))&gt;0,IF(ROUND(T420,3)&gt;=1,ROUND(T420,3)&amp;" L",MAX(1,ROUND(T420*100,0))&amp;" cl"),IF(COUNTIF(G430:L430,SUBSTITUTE(TRIM(K420)," (s)",""))+COUNTIF(G432:L432,SUBSTITUTE(TRIM(K420)," (s)",""))&gt;0,IF(ROUND(T420,3)&gt;=1,ROUND(T420,3)&amp;" Kg",MAX(1,ROUND(T420*1000,0))&amp;" g"),"")))</f>
        <v/>
      </c>
      <c r="W420" s="103" t="str">
        <f t="shared" si="91"/>
        <v>►</v>
      </c>
      <c r="X420" s="31" t="str">
        <f>X370</f>
        <v>N NAME OF YOUR RECIPE | paste it — FAMILY|  Author &gt; YOU</v>
      </c>
      <c r="Y420" s="32">
        <f>Y370</f>
        <v>1</v>
      </c>
      <c r="Z420" s="31" t="str">
        <f>Z370</f>
        <v>coupe</v>
      </c>
      <c r="AA420" s="33" t="str">
        <f>AA370</f>
        <v>Master recipe ► MILLE-FEUILLE  aux fraises des bois</v>
      </c>
      <c r="AB420" s="89"/>
      <c r="AC420" s="108"/>
      <c r="AD420" s="91" t="str">
        <f t="shared" si="86"/>
        <v/>
      </c>
      <c r="AE420" s="92"/>
      <c r="AF420" s="128"/>
      <c r="AG420" s="130">
        <v>1</v>
      </c>
      <c r="AH420" s="1813" t="str">
        <f>ROWS(AH374:AH420)&amp;" ►"</f>
        <v>47 ►</v>
      </c>
      <c r="AI420" s="1580"/>
      <c r="AJ420" s="95">
        <f>IF(AL429=0,0,(AL420/AL429)*AK373*1000)</f>
        <v>0</v>
      </c>
      <c r="AK420" s="105">
        <f>IF(AL429=0, 0, (AB420*AG420)/(AL429*AK373))</f>
        <v>0</v>
      </c>
      <c r="AL420" s="97" cm="1">
        <f t="array" ref="AL420">IFERROR(_xlfn.XLOOKUP(UPPER(TRIM(AF420)),UPPER(TRIM(AB430:AP430)),AB431:AP431,_xlfn.XLOOKUP(UPPER(TRIM(AF420)),UPPER(TRIM(AB432:AP432)),AB433:AP433,0))*AE420*IF(AB420&gt;0,AB420,1),0)</f>
        <v>0</v>
      </c>
      <c r="AM420" s="110">
        <f>IF(AO369&lt;&gt;0,AB420*AG420*AG369,0)</f>
        <v>0</v>
      </c>
      <c r="AN420" s="1748">
        <f t="shared" si="89"/>
        <v>0</v>
      </c>
      <c r="AO420" s="99">
        <f>IF(OR(ISBLANK(AO369),AO369=0),0,AL420*AG420*AG369)</f>
        <v>0</v>
      </c>
      <c r="AP420" s="1617" t="str">
        <f>IF(AF420="","",IF(COUNTIF(AI430:AP430,SUBSTITUTE(TRIM(AF420)," (s)",""))+COUNTIF(AI432:AP432,SUBSTITUTE(TRIM(AF420)," (s)",""))&gt;0,IF(ROUND(AO420,3)&gt;=1,ROUND(AO420,3)&amp;" L",MAX(1,ROUND(AO420*100,0))&amp;" cl"),IF(COUNTIF(AB430:AG430,SUBSTITUTE(TRIM(AF420)," (s)",""))+COUNTIF(AB432:AG432,SUBSTITUTE(TRIM(AF420)," (s)",""))&gt;0,IF(ROUND(AO420,3)&gt;=1,ROUND(AO420,3)&amp;" Kg",MAX(1,ROUND(AO420*1000,0))&amp;" g"),"")))</f>
        <v/>
      </c>
      <c r="AR420" s="103" t="str">
        <f t="shared" si="92"/>
        <v>►</v>
      </c>
      <c r="AS420" s="31" t="str">
        <f>AS370</f>
        <v>N NOMBRE DE SU RECETA | pegue esto — FAMILIA| Auteur &gt; VOUS</v>
      </c>
      <c r="AT420" s="32">
        <f>AT370</f>
        <v>1</v>
      </c>
      <c r="AU420" s="31" t="str">
        <f>AU370</f>
        <v>coupe</v>
      </c>
      <c r="AV420" s="33" t="str">
        <f>AV370</f>
        <v>Receta madre ► MILLE-FEUILLE  aux fraises des bois</v>
      </c>
      <c r="AW420" s="89"/>
      <c r="AX420" s="108"/>
      <c r="AY420" s="91" t="str">
        <f t="shared" si="87"/>
        <v/>
      </c>
      <c r="AZ420" s="92"/>
      <c r="BA420" s="128"/>
      <c r="BB420" s="130">
        <v>1</v>
      </c>
      <c r="BC420" s="1813" t="str">
        <f>ROWS(BC374:BC420)&amp;" ►"</f>
        <v>47 ►</v>
      </c>
      <c r="BD420" s="1580"/>
      <c r="BE420" s="95">
        <f>IF(BG429=0,0,(BG420/BG429)*BF373*1000)</f>
        <v>0</v>
      </c>
      <c r="BF420" s="105">
        <f>IF(BG429=0, 0, (AW420*BB420)/(BG429*BF373))</f>
        <v>0</v>
      </c>
      <c r="BG420" s="97" cm="1">
        <f t="array" ref="BG420">IFERROR(_xlfn.XLOOKUP(UPPER(TRIM(BA420)),UPPER(TRIM(AW430:BK430)),AW431:BK431,_xlfn.XLOOKUP(UPPER(TRIM(BA420)),UPPER(TRIM(AW432:BK432)),AW433:BK433,0))*AZ420*IF(AW420&gt;0,AW420,1),0)</f>
        <v>0</v>
      </c>
      <c r="BH420" s="110">
        <f>IF(BJ369&lt;&gt;0,AW420*BB420*BB369,0)</f>
        <v>0</v>
      </c>
      <c r="BI420" s="1748">
        <f t="shared" si="90"/>
        <v>0</v>
      </c>
      <c r="BJ420" s="99">
        <f>IF(OR(ISBLANK(BJ369),BJ369=0),0,BG420*BB420*BB369)</f>
        <v>0</v>
      </c>
      <c r="BK420" s="1617" t="str">
        <f>IF(BA420="","",IF(COUNTIF(BD430:BK430,SUBSTITUTE(TRIM(BA420)," (s)",""))+COUNTIF(BD432:BK432,SUBSTITUTE(TRIM(BA420)," (s)",""))&gt;0,IF(ROUND(BJ420,3)&gt;=1,ROUND(BJ420,3)&amp;" L",MAX(1,ROUND(BJ420*100,0))&amp;" cl"),IF(COUNTIF(AW430:BB430,SUBSTITUTE(TRIM(BA420)," (s)",""))+COUNTIF(AW432:BB432,SUBSTITUTE(TRIM(BA420)," (s)",""))&gt;0,IF(ROUND(BJ420,3)&gt;=1,ROUND(BJ420,3)&amp;" Kg",MAX(1,ROUND(BJ420*1000,0))&amp;" g"),"")))</f>
        <v/>
      </c>
      <c r="BM420" s="3">
        <v>1</v>
      </c>
    </row>
    <row r="421" spans="2:65" ht="21" customHeight="1">
      <c r="B421" s="103" t="str">
        <f t="shared" si="93"/>
        <v>►</v>
      </c>
      <c r="C421" s="31" t="str">
        <f>C370</f>
        <v>MAJUSCULE(GAUCHE(J21;1))&amp;" "&amp;J21&amp;" | "&amp;S21&amp;"| "&amp;J23&amp;" "&amp;K23</v>
      </c>
      <c r="D421" s="32">
        <f>D370</f>
        <v>1</v>
      </c>
      <c r="E421" s="31" t="str">
        <f>E370</f>
        <v>coupe</v>
      </c>
      <c r="F421" s="33" t="str">
        <f>F370</f>
        <v>Recette mère ► MILLE-FEUILLE  aux fraises des bois</v>
      </c>
      <c r="G421" s="89"/>
      <c r="H421" s="108"/>
      <c r="I421" s="91" t="str">
        <f t="shared" si="85"/>
        <v/>
      </c>
      <c r="J421" s="92"/>
      <c r="K421" s="128"/>
      <c r="L421" s="130">
        <v>1</v>
      </c>
      <c r="M421" s="1813" t="str">
        <f>ROWS(M374:M421)&amp;" ►"</f>
        <v>48 ►</v>
      </c>
      <c r="N421" s="1580"/>
      <c r="O421" s="95">
        <f>IF(Q429=0,0,(Q421/Q429)*P373*1000)</f>
        <v>0</v>
      </c>
      <c r="P421" s="105">
        <f>IF(Q429=0, 0, (G421*L421)/(Q429*P373))</f>
        <v>0</v>
      </c>
      <c r="Q421" s="97" cm="1">
        <f t="array" ref="Q421">IFERROR(_xlfn.XLOOKUP(UPPER(TRIM(K421)),UPPER(TRIM(G430:U430)),G431:U431,_xlfn.XLOOKUP(UPPER(TRIM(K421)),UPPER(TRIM(G432:U432)),G433:U433,0))*J421*IF(G421&gt;0,G421,1),0)</f>
        <v>0</v>
      </c>
      <c r="R421" s="106">
        <f>IF(T369&lt;&gt;0,G421*L421*L369,0)</f>
        <v>0</v>
      </c>
      <c r="S421" s="1747">
        <f t="shared" si="88"/>
        <v>0</v>
      </c>
      <c r="T421" s="99">
        <f>IF(OR(ISBLANK(T369),T369=0),0,Q421*L421*L369)</f>
        <v>0</v>
      </c>
      <c r="U421" s="1367" t="str">
        <f>IF(K421="","",IF(COUNTIF(N430:U430,SUBSTITUTE(TRIM(K421)," (s)",""))+COUNTIF(N432:U432,SUBSTITUTE(TRIM(K421)," (s)",""))&gt;0,IF(ROUND(T421,3)&gt;=1,ROUND(T421,3)&amp;" L",MAX(1,ROUND(T421*100,0))&amp;" cl"),IF(COUNTIF(G430:L430,SUBSTITUTE(TRIM(K421)," (s)",""))+COUNTIF(G432:L432,SUBSTITUTE(TRIM(K421)," (s)",""))&gt;0,IF(ROUND(T421,3)&gt;=1,ROUND(T421,3)&amp;" Kg",MAX(1,ROUND(T421*1000,0))&amp;" g"),"")))</f>
        <v/>
      </c>
      <c r="W421" s="103" t="str">
        <f t="shared" si="91"/>
        <v>►</v>
      </c>
      <c r="X421" s="31" t="str">
        <f>X370</f>
        <v>N NAME OF YOUR RECIPE | paste it — FAMILY|  Author &gt; YOU</v>
      </c>
      <c r="Y421" s="32">
        <f>Y370</f>
        <v>1</v>
      </c>
      <c r="Z421" s="31" t="str">
        <f>Z370</f>
        <v>coupe</v>
      </c>
      <c r="AA421" s="33" t="str">
        <f>AA370</f>
        <v>Master recipe ► MILLE-FEUILLE  aux fraises des bois</v>
      </c>
      <c r="AB421" s="89"/>
      <c r="AC421" s="108"/>
      <c r="AD421" s="91" t="str">
        <f t="shared" si="86"/>
        <v/>
      </c>
      <c r="AE421" s="92"/>
      <c r="AF421" s="128"/>
      <c r="AG421" s="130">
        <v>1</v>
      </c>
      <c r="AH421" s="1813" t="str">
        <f>ROWS(AH374:AH421)&amp;" ►"</f>
        <v>48 ►</v>
      </c>
      <c r="AI421" s="1580"/>
      <c r="AJ421" s="95">
        <f>IF(AL429=0,0,(AL421/AL429)*AK373*1000)</f>
        <v>0</v>
      </c>
      <c r="AK421" s="105">
        <f>IF(AL429=0, 0, (AB421*AG421)/(AL429*AK373))</f>
        <v>0</v>
      </c>
      <c r="AL421" s="97" cm="1">
        <f t="array" ref="AL421">IFERROR(_xlfn.XLOOKUP(UPPER(TRIM(AF421)),UPPER(TRIM(AB430:AP430)),AB431:AP431,_xlfn.XLOOKUP(UPPER(TRIM(AF421)),UPPER(TRIM(AB432:AP432)),AB433:AP433,0))*AE421*IF(AB421&gt;0,AB421,1),0)</f>
        <v>0</v>
      </c>
      <c r="AM421" s="106">
        <f>IF(AO369&lt;&gt;0,AB421*AG421*AG369,0)</f>
        <v>0</v>
      </c>
      <c r="AN421" s="1747">
        <f t="shared" si="89"/>
        <v>0</v>
      </c>
      <c r="AO421" s="99">
        <f>IF(OR(ISBLANK(AO369),AO369=0),0,AL421*AG421*AG369)</f>
        <v>0</v>
      </c>
      <c r="AP421" s="1367" t="str">
        <f>IF(AF421="","",IF(COUNTIF(AI430:AP430,SUBSTITUTE(TRIM(AF421)," (s)",""))+COUNTIF(AI432:AP432,SUBSTITUTE(TRIM(AF421)," (s)",""))&gt;0,IF(ROUND(AO421,3)&gt;=1,ROUND(AO421,3)&amp;" L",MAX(1,ROUND(AO421*100,0))&amp;" cl"),IF(COUNTIF(AB430:AG430,SUBSTITUTE(TRIM(AF421)," (s)",""))+COUNTIF(AB432:AG432,SUBSTITUTE(TRIM(AF421)," (s)",""))&gt;0,IF(ROUND(AO421,3)&gt;=1,ROUND(AO421,3)&amp;" Kg",MAX(1,ROUND(AO421*1000,0))&amp;" g"),"")))</f>
        <v/>
      </c>
      <c r="AR421" s="103" t="str">
        <f t="shared" si="92"/>
        <v>►</v>
      </c>
      <c r="AS421" s="31" t="str">
        <f>AS370</f>
        <v>N NOMBRE DE SU RECETA | pegue esto — FAMILIA| Auteur &gt; VOUS</v>
      </c>
      <c r="AT421" s="32">
        <f>AT370</f>
        <v>1</v>
      </c>
      <c r="AU421" s="31" t="str">
        <f>AU370</f>
        <v>coupe</v>
      </c>
      <c r="AV421" s="33" t="str">
        <f>AV370</f>
        <v>Receta madre ► MILLE-FEUILLE  aux fraises des bois</v>
      </c>
      <c r="AW421" s="89"/>
      <c r="AX421" s="108"/>
      <c r="AY421" s="91" t="str">
        <f t="shared" si="87"/>
        <v/>
      </c>
      <c r="AZ421" s="92"/>
      <c r="BA421" s="128"/>
      <c r="BB421" s="130">
        <v>1</v>
      </c>
      <c r="BC421" s="1813" t="str">
        <f>ROWS(BC374:BC421)&amp;" ►"</f>
        <v>48 ►</v>
      </c>
      <c r="BD421" s="1580"/>
      <c r="BE421" s="95">
        <f>IF(BG429=0,0,(BG421/BG429)*BF373*1000)</f>
        <v>0</v>
      </c>
      <c r="BF421" s="105">
        <f>IF(BG429=0, 0, (AW421*BB421)/(BG429*BF373))</f>
        <v>0</v>
      </c>
      <c r="BG421" s="97" cm="1">
        <f t="array" ref="BG421">IFERROR(_xlfn.XLOOKUP(UPPER(TRIM(BA421)),UPPER(TRIM(AW430:BK430)),AW431:BK431,_xlfn.XLOOKUP(UPPER(TRIM(BA421)),UPPER(TRIM(AW432:BK432)),AW433:BK433,0))*AZ421*IF(AW421&gt;0,AW421,1),0)</f>
        <v>0</v>
      </c>
      <c r="BH421" s="106">
        <f>IF(BJ369&lt;&gt;0,AW421*BB421*BB369,0)</f>
        <v>0</v>
      </c>
      <c r="BI421" s="1747">
        <f t="shared" si="90"/>
        <v>0</v>
      </c>
      <c r="BJ421" s="99">
        <f>IF(OR(ISBLANK(BJ369),BJ369=0),0,BG421*BB421*BB369)</f>
        <v>0</v>
      </c>
      <c r="BK421" s="1367" t="str">
        <f>IF(BA421="","",IF(COUNTIF(BD430:BK430,SUBSTITUTE(TRIM(BA421)," (s)",""))+COUNTIF(BD432:BK432,SUBSTITUTE(TRIM(BA421)," (s)",""))&gt;0,IF(ROUND(BJ421,3)&gt;=1,ROUND(BJ421,3)&amp;" L",MAX(1,ROUND(BJ421*100,0))&amp;" cl"),IF(COUNTIF(AW430:BB430,SUBSTITUTE(TRIM(BA421)," (s)",""))+COUNTIF(AW432:BB432,SUBSTITUTE(TRIM(BA421)," (s)",""))&gt;0,IF(ROUND(BJ421,3)&gt;=1,ROUND(BJ421,3)&amp;" Kg",MAX(1,ROUND(BJ421*1000,0))&amp;" g"),"")))</f>
        <v/>
      </c>
      <c r="BM421" s="3">
        <v>1</v>
      </c>
    </row>
    <row r="422" spans="2:65" ht="21" customHeight="1">
      <c r="B422" s="103" t="str">
        <f t="shared" si="93"/>
        <v>►</v>
      </c>
      <c r="C422" s="31" t="str">
        <f>C370</f>
        <v>MAJUSCULE(GAUCHE(J21;1))&amp;" "&amp;J21&amp;" | "&amp;S21&amp;"| "&amp;J23&amp;" "&amp;K23</v>
      </c>
      <c r="D422" s="32">
        <f>D370</f>
        <v>1</v>
      </c>
      <c r="E422" s="31" t="str">
        <f>E370</f>
        <v>coupe</v>
      </c>
      <c r="F422" s="33" t="str">
        <f>F370</f>
        <v>Recette mère ► MILLE-FEUILLE  aux fraises des bois</v>
      </c>
      <c r="G422" s="89"/>
      <c r="H422" s="108"/>
      <c r="I422" s="91" t="str">
        <f t="shared" si="85"/>
        <v/>
      </c>
      <c r="J422" s="92"/>
      <c r="K422" s="128"/>
      <c r="L422" s="130">
        <v>1</v>
      </c>
      <c r="M422" s="1813" t="str">
        <f>ROWS(M374:M422)&amp;" ►"</f>
        <v>49 ►</v>
      </c>
      <c r="N422" s="1580"/>
      <c r="O422" s="95">
        <f>IF(Q429=0,0,(Q422/Q429)*P373*1000)</f>
        <v>0</v>
      </c>
      <c r="P422" s="105">
        <f>IF(Q429=0, 0, (G422*L422)/(Q429*P373))</f>
        <v>0</v>
      </c>
      <c r="Q422" s="97" cm="1">
        <f t="array" ref="Q422">IFERROR(_xlfn.XLOOKUP(UPPER(TRIM(K422)),UPPER(TRIM(G430:U430)),G431:U431,_xlfn.XLOOKUP(UPPER(TRIM(K422)),UPPER(TRIM(G432:U432)),G433:U433,0))*J422*IF(G422&gt;0,G422,1),0)</f>
        <v>0</v>
      </c>
      <c r="R422" s="110">
        <f>IF(T369&lt;&gt;0,G422*L422*L369,0)</f>
        <v>0</v>
      </c>
      <c r="S422" s="1748">
        <f t="shared" si="88"/>
        <v>0</v>
      </c>
      <c r="T422" s="99">
        <f>IF(OR(ISBLANK(T369),T369=0),0,Q422*L422*L369)</f>
        <v>0</v>
      </c>
      <c r="U422" s="1617" t="str">
        <f>IF(K422="","",IF(COUNTIF(N430:U430,SUBSTITUTE(TRIM(K422)," (s)",""))+COUNTIF(N432:U432,SUBSTITUTE(TRIM(K422)," (s)",""))&gt;0,IF(ROUND(T422,3)&gt;=1,ROUND(T422,3)&amp;" L",MAX(1,ROUND(T422*100,0))&amp;" cl"),IF(COUNTIF(G430:L430,SUBSTITUTE(TRIM(K422)," (s)",""))+COUNTIF(G432:L432,SUBSTITUTE(TRIM(K422)," (s)",""))&gt;0,IF(ROUND(T422,3)&gt;=1,ROUND(T422,3)&amp;" Kg",MAX(1,ROUND(T422*1000,0))&amp;" g"),"")))</f>
        <v/>
      </c>
      <c r="W422" s="103" t="str">
        <f t="shared" si="91"/>
        <v>►</v>
      </c>
      <c r="X422" s="31" t="str">
        <f>X370</f>
        <v>N NAME OF YOUR RECIPE | paste it — FAMILY|  Author &gt; YOU</v>
      </c>
      <c r="Y422" s="32">
        <f>Y370</f>
        <v>1</v>
      </c>
      <c r="Z422" s="31" t="str">
        <f>Z370</f>
        <v>coupe</v>
      </c>
      <c r="AA422" s="33" t="str">
        <f>AA370</f>
        <v>Master recipe ► MILLE-FEUILLE  aux fraises des bois</v>
      </c>
      <c r="AB422" s="89"/>
      <c r="AC422" s="108"/>
      <c r="AD422" s="91" t="str">
        <f t="shared" si="86"/>
        <v/>
      </c>
      <c r="AE422" s="92"/>
      <c r="AF422" s="128"/>
      <c r="AG422" s="130">
        <v>1</v>
      </c>
      <c r="AH422" s="1813" t="str">
        <f>ROWS(AH374:AH422)&amp;" ►"</f>
        <v>49 ►</v>
      </c>
      <c r="AI422" s="1580"/>
      <c r="AJ422" s="95">
        <f>IF(AL429=0,0,(AL422/AL429)*AK373*1000)</f>
        <v>0</v>
      </c>
      <c r="AK422" s="105">
        <f>IF(AL429=0, 0, (AB422*AG422)/(AL429*AK373))</f>
        <v>0</v>
      </c>
      <c r="AL422" s="97" cm="1">
        <f t="array" ref="AL422">IFERROR(_xlfn.XLOOKUP(UPPER(TRIM(AF422)),UPPER(TRIM(AB430:AP430)),AB431:AP431,_xlfn.XLOOKUP(UPPER(TRIM(AF422)),UPPER(TRIM(AB432:AP432)),AB433:AP433,0))*AE422*IF(AB422&gt;0,AB422,1),0)</f>
        <v>0</v>
      </c>
      <c r="AM422" s="110">
        <f>IF(AO369&lt;&gt;0,AB422*AG422*AG369,0)</f>
        <v>0</v>
      </c>
      <c r="AN422" s="1748">
        <f t="shared" si="89"/>
        <v>0</v>
      </c>
      <c r="AO422" s="99">
        <f>IF(OR(ISBLANK(AO369),AO369=0),0,AL422*AG422*AG369)</f>
        <v>0</v>
      </c>
      <c r="AP422" s="1617" t="str">
        <f>IF(AF422="","",IF(COUNTIF(AI430:AP430,SUBSTITUTE(TRIM(AF422)," (s)",""))+COUNTIF(AI432:AP432,SUBSTITUTE(TRIM(AF422)," (s)",""))&gt;0,IF(ROUND(AO422,3)&gt;=1,ROUND(AO422,3)&amp;" L",MAX(1,ROUND(AO422*100,0))&amp;" cl"),IF(COUNTIF(AB430:AG430,SUBSTITUTE(TRIM(AF422)," (s)",""))+COUNTIF(AB432:AG432,SUBSTITUTE(TRIM(AF422)," (s)",""))&gt;0,IF(ROUND(AO422,3)&gt;=1,ROUND(AO422,3)&amp;" Kg",MAX(1,ROUND(AO422*1000,0))&amp;" g"),"")))</f>
        <v/>
      </c>
      <c r="AR422" s="103" t="str">
        <f t="shared" si="92"/>
        <v>►</v>
      </c>
      <c r="AS422" s="31" t="str">
        <f>AS370</f>
        <v>N NOMBRE DE SU RECETA | pegue esto — FAMILIA| Auteur &gt; VOUS</v>
      </c>
      <c r="AT422" s="32">
        <f>AT370</f>
        <v>1</v>
      </c>
      <c r="AU422" s="31" t="str">
        <f>AU370</f>
        <v>coupe</v>
      </c>
      <c r="AV422" s="33" t="str">
        <f>AV370</f>
        <v>Receta madre ► MILLE-FEUILLE  aux fraises des bois</v>
      </c>
      <c r="AW422" s="89"/>
      <c r="AX422" s="108"/>
      <c r="AY422" s="91" t="str">
        <f t="shared" si="87"/>
        <v/>
      </c>
      <c r="AZ422" s="92"/>
      <c r="BA422" s="128"/>
      <c r="BB422" s="130">
        <v>1</v>
      </c>
      <c r="BC422" s="1813" t="str">
        <f>ROWS(BC374:BC422)&amp;" ►"</f>
        <v>49 ►</v>
      </c>
      <c r="BD422" s="1580"/>
      <c r="BE422" s="95">
        <f>IF(BG429=0,0,(BG422/BG429)*BF373*1000)</f>
        <v>0</v>
      </c>
      <c r="BF422" s="105">
        <f>IF(BG429=0, 0, (AW422*BB422)/(BG429*BF373))</f>
        <v>0</v>
      </c>
      <c r="BG422" s="97" cm="1">
        <f t="array" ref="BG422">IFERROR(_xlfn.XLOOKUP(UPPER(TRIM(BA422)),UPPER(TRIM(AW430:BK430)),AW431:BK431,_xlfn.XLOOKUP(UPPER(TRIM(BA422)),UPPER(TRIM(AW432:BK432)),AW433:BK433,0))*AZ422*IF(AW422&gt;0,AW422,1),0)</f>
        <v>0</v>
      </c>
      <c r="BH422" s="110">
        <f>IF(BJ369&lt;&gt;0,AW422*BB422*BB369,0)</f>
        <v>0</v>
      </c>
      <c r="BI422" s="1748">
        <f t="shared" si="90"/>
        <v>0</v>
      </c>
      <c r="BJ422" s="99">
        <f>IF(OR(ISBLANK(BJ369),BJ369=0),0,BG422*BB422*BB369)</f>
        <v>0</v>
      </c>
      <c r="BK422" s="1617" t="str">
        <f>IF(BA422="","",IF(COUNTIF(BD430:BK430,SUBSTITUTE(TRIM(BA422)," (s)",""))+COUNTIF(BD432:BK432,SUBSTITUTE(TRIM(BA422)," (s)",""))&gt;0,IF(ROUND(BJ422,3)&gt;=1,ROUND(BJ422,3)&amp;" L",MAX(1,ROUND(BJ422*100,0))&amp;" cl"),IF(COUNTIF(AW430:BB430,SUBSTITUTE(TRIM(BA422)," (s)",""))+COUNTIF(AW432:BB432,SUBSTITUTE(TRIM(BA422)," (s)",""))&gt;0,IF(ROUND(BJ422,3)&gt;=1,ROUND(BJ422,3)&amp;" Kg",MAX(1,ROUND(BJ422*1000,0))&amp;" g"),"")))</f>
        <v/>
      </c>
      <c r="BM422" s="3">
        <v>1</v>
      </c>
    </row>
    <row r="423" spans="2:65" ht="21" customHeight="1">
      <c r="B423" s="103" t="str">
        <f t="shared" si="93"/>
        <v>►</v>
      </c>
      <c r="C423" s="31" t="str">
        <f>C370</f>
        <v>MAJUSCULE(GAUCHE(J21;1))&amp;" "&amp;J21&amp;" | "&amp;S21&amp;"| "&amp;J23&amp;" "&amp;K23</v>
      </c>
      <c r="D423" s="32">
        <f>D370</f>
        <v>1</v>
      </c>
      <c r="E423" s="31" t="str">
        <f>E370</f>
        <v>coupe</v>
      </c>
      <c r="F423" s="33" t="str">
        <f>F370</f>
        <v>Recette mère ► MILLE-FEUILLE  aux fraises des bois</v>
      </c>
      <c r="G423" s="89"/>
      <c r="H423" s="108"/>
      <c r="I423" s="91" t="str">
        <f t="shared" si="85"/>
        <v/>
      </c>
      <c r="J423" s="92"/>
      <c r="K423" s="128"/>
      <c r="L423" s="130">
        <v>1</v>
      </c>
      <c r="M423" s="1813" t="str">
        <f>ROWS(M374:M423)&amp;" ►"</f>
        <v>50 ►</v>
      </c>
      <c r="N423" s="1580"/>
      <c r="O423" s="95">
        <f>IF(Q429=0,0,(Q423/Q429)*P373*1000)</f>
        <v>0</v>
      </c>
      <c r="P423" s="105">
        <f>IF(Q429=0, 0, (G423*L423)/(Q429*P373))</f>
        <v>0</v>
      </c>
      <c r="Q423" s="97" cm="1">
        <f t="array" ref="Q423">IFERROR(_xlfn.XLOOKUP(UPPER(TRIM(K423)),UPPER(TRIM(G430:U430)),G431:U431,_xlfn.XLOOKUP(UPPER(TRIM(K423)),UPPER(TRIM(G432:U432)),G433:U433,0))*J423*IF(G423&gt;0,G423,1),0)</f>
        <v>0</v>
      </c>
      <c r="R423" s="106">
        <f>IF(T369&lt;&gt;0,G423*L423*L369,0)</f>
        <v>0</v>
      </c>
      <c r="S423" s="1747">
        <f t="shared" si="88"/>
        <v>0</v>
      </c>
      <c r="T423" s="99">
        <f>IF(OR(ISBLANK(T369),T369=0),0,Q423*L423*L369)</f>
        <v>0</v>
      </c>
      <c r="U423" s="1367" t="str">
        <f>IF(K423="","",IF(COUNTIF(N430:U430,SUBSTITUTE(TRIM(K423)," (s)",""))+COUNTIF(N432:U432,SUBSTITUTE(TRIM(K423)," (s)",""))&gt;0,IF(ROUND(T423,3)&gt;=1,ROUND(T423,3)&amp;" L",MAX(1,ROUND(T423*100,0))&amp;" cl"),IF(COUNTIF(G430:L430,SUBSTITUTE(TRIM(K423)," (s)",""))+COUNTIF(G432:L432,SUBSTITUTE(TRIM(K423)," (s)",""))&gt;0,IF(ROUND(T423,3)&gt;=1,ROUND(T423,3)&amp;" Kg",MAX(1,ROUND(T423*1000,0))&amp;" g"),"")))</f>
        <v/>
      </c>
      <c r="W423" s="103" t="str">
        <f t="shared" si="91"/>
        <v>►</v>
      </c>
      <c r="X423" s="31" t="str">
        <f>X370</f>
        <v>N NAME OF YOUR RECIPE | paste it — FAMILY|  Author &gt; YOU</v>
      </c>
      <c r="Y423" s="32">
        <f>Y370</f>
        <v>1</v>
      </c>
      <c r="Z423" s="31" t="str">
        <f>Z370</f>
        <v>coupe</v>
      </c>
      <c r="AA423" s="33" t="str">
        <f>AA370</f>
        <v>Master recipe ► MILLE-FEUILLE  aux fraises des bois</v>
      </c>
      <c r="AB423" s="89"/>
      <c r="AC423" s="108"/>
      <c r="AD423" s="91" t="str">
        <f t="shared" si="86"/>
        <v/>
      </c>
      <c r="AE423" s="92"/>
      <c r="AF423" s="128"/>
      <c r="AG423" s="130">
        <v>1</v>
      </c>
      <c r="AH423" s="1813" t="str">
        <f>ROWS(AH374:AH423)&amp;" ►"</f>
        <v>50 ►</v>
      </c>
      <c r="AI423" s="1580"/>
      <c r="AJ423" s="95">
        <f>IF(AL429=0,0,(AL423/AL429)*AK373*1000)</f>
        <v>0</v>
      </c>
      <c r="AK423" s="105">
        <f>IF(AL429=0, 0, (AB423*AG423)/(AL429*AK373))</f>
        <v>0</v>
      </c>
      <c r="AL423" s="97" cm="1">
        <f t="array" ref="AL423">IFERROR(_xlfn.XLOOKUP(UPPER(TRIM(AF423)),UPPER(TRIM(AB430:AP430)),AB431:AP431,_xlfn.XLOOKUP(UPPER(TRIM(AF423)),UPPER(TRIM(AB432:AP432)),AB433:AP433,0))*AE423*IF(AB423&gt;0,AB423,1),0)</f>
        <v>0</v>
      </c>
      <c r="AM423" s="106">
        <f>IF(AO369&lt;&gt;0,AB423*AG423*AG369,0)</f>
        <v>0</v>
      </c>
      <c r="AN423" s="1747">
        <f t="shared" si="89"/>
        <v>0</v>
      </c>
      <c r="AO423" s="99">
        <f>IF(OR(ISBLANK(AO369),AO369=0),0,AL423*AG423*AG369)</f>
        <v>0</v>
      </c>
      <c r="AP423" s="1367" t="str">
        <f>IF(AF423="","",IF(COUNTIF(AI430:AP430,SUBSTITUTE(TRIM(AF423)," (s)",""))+COUNTIF(AI432:AP432,SUBSTITUTE(TRIM(AF423)," (s)",""))&gt;0,IF(ROUND(AO423,3)&gt;=1,ROUND(AO423,3)&amp;" L",MAX(1,ROUND(AO423*100,0))&amp;" cl"),IF(COUNTIF(AB430:AG430,SUBSTITUTE(TRIM(AF423)," (s)",""))+COUNTIF(AB432:AG432,SUBSTITUTE(TRIM(AF423)," (s)",""))&gt;0,IF(ROUND(AO423,3)&gt;=1,ROUND(AO423,3)&amp;" Kg",MAX(1,ROUND(AO423*1000,0))&amp;" g"),"")))</f>
        <v/>
      </c>
      <c r="AR423" s="103" t="str">
        <f t="shared" si="92"/>
        <v>►</v>
      </c>
      <c r="AS423" s="31" t="str">
        <f>AS370</f>
        <v>N NOMBRE DE SU RECETA | pegue esto — FAMILIA| Auteur &gt; VOUS</v>
      </c>
      <c r="AT423" s="32">
        <f>AT370</f>
        <v>1</v>
      </c>
      <c r="AU423" s="31" t="str">
        <f>AU370</f>
        <v>coupe</v>
      </c>
      <c r="AV423" s="33" t="str">
        <f>AV370</f>
        <v>Receta madre ► MILLE-FEUILLE  aux fraises des bois</v>
      </c>
      <c r="AW423" s="89"/>
      <c r="AX423" s="108"/>
      <c r="AY423" s="91" t="str">
        <f t="shared" si="87"/>
        <v/>
      </c>
      <c r="AZ423" s="92"/>
      <c r="BA423" s="128"/>
      <c r="BB423" s="130">
        <v>1</v>
      </c>
      <c r="BC423" s="1813" t="str">
        <f>ROWS(BC374:BC423)&amp;" ►"</f>
        <v>50 ►</v>
      </c>
      <c r="BD423" s="1580"/>
      <c r="BE423" s="95">
        <f>IF(BG429=0,0,(BG423/BG429)*BF373*1000)</f>
        <v>0</v>
      </c>
      <c r="BF423" s="105">
        <f>IF(BG429=0, 0, (AW423*BB423)/(BG429*BF373))</f>
        <v>0</v>
      </c>
      <c r="BG423" s="97" cm="1">
        <f t="array" ref="BG423">IFERROR(_xlfn.XLOOKUP(UPPER(TRIM(BA423)),UPPER(TRIM(AW430:BK430)),AW431:BK431,_xlfn.XLOOKUP(UPPER(TRIM(BA423)),UPPER(TRIM(AW432:BK432)),AW433:BK433,0))*AZ423*IF(AW423&gt;0,AW423,1),0)</f>
        <v>0</v>
      </c>
      <c r="BH423" s="106">
        <f>IF(BJ369&lt;&gt;0,AW423*BB423*BB369,0)</f>
        <v>0</v>
      </c>
      <c r="BI423" s="1747">
        <f t="shared" si="90"/>
        <v>0</v>
      </c>
      <c r="BJ423" s="99">
        <f>IF(OR(ISBLANK(BJ369),BJ369=0),0,BG423*BB423*BB369)</f>
        <v>0</v>
      </c>
      <c r="BK423" s="1367" t="str">
        <f>IF(BA423="","",IF(COUNTIF(BD430:BK430,SUBSTITUTE(TRIM(BA423)," (s)",""))+COUNTIF(BD432:BK432,SUBSTITUTE(TRIM(BA423)," (s)",""))&gt;0,IF(ROUND(BJ423,3)&gt;=1,ROUND(BJ423,3)&amp;" L",MAX(1,ROUND(BJ423*100,0))&amp;" cl"),IF(COUNTIF(AW430:BB430,SUBSTITUTE(TRIM(BA423)," (s)",""))+COUNTIF(AW432:BB432,SUBSTITUTE(TRIM(BA423)," (s)",""))&gt;0,IF(ROUND(BJ423,3)&gt;=1,ROUND(BJ423,3)&amp;" Kg",MAX(1,ROUND(BJ423*1000,0))&amp;" g"),"")))</f>
        <v/>
      </c>
      <c r="BM423" s="3">
        <v>1</v>
      </c>
    </row>
    <row r="424" spans="2:65" ht="21" customHeight="1">
      <c r="B424" s="103" t="str">
        <f t="shared" si="93"/>
        <v>►</v>
      </c>
      <c r="C424" s="31" t="str">
        <f>C370</f>
        <v>MAJUSCULE(GAUCHE(J21;1))&amp;" "&amp;J21&amp;" | "&amp;S21&amp;"| "&amp;J23&amp;" "&amp;K23</v>
      </c>
      <c r="D424" s="32">
        <f>D370</f>
        <v>1</v>
      </c>
      <c r="E424" s="31" t="str">
        <f>E370</f>
        <v>coupe</v>
      </c>
      <c r="F424" s="33" t="str">
        <f>F370</f>
        <v>Recette mère ► MILLE-FEUILLE  aux fraises des bois</v>
      </c>
      <c r="G424" s="89"/>
      <c r="H424" s="108"/>
      <c r="I424" s="91" t="str">
        <f t="shared" si="85"/>
        <v/>
      </c>
      <c r="J424" s="92"/>
      <c r="K424" s="128"/>
      <c r="L424" s="130">
        <v>1</v>
      </c>
      <c r="M424" s="1813" t="str">
        <f>ROWS(M374:M424)&amp;" ►"</f>
        <v>51 ►</v>
      </c>
      <c r="N424" s="1580"/>
      <c r="O424" s="95">
        <f>IF(Q429=0,0,(Q424/Q429)*P373*1000)</f>
        <v>0</v>
      </c>
      <c r="P424" s="105">
        <f>IF(Q429=0, 0, (G424*L424)/(Q429*P373))</f>
        <v>0</v>
      </c>
      <c r="Q424" s="97" cm="1">
        <f t="array" ref="Q424">IFERROR(_xlfn.XLOOKUP(UPPER(TRIM(K424)),UPPER(TRIM(G430:U430)),G431:U431,_xlfn.XLOOKUP(UPPER(TRIM(K424)),UPPER(TRIM(G432:U432)),G433:U433,0))*J424*IF(G424&gt;0,G424,1),0)</f>
        <v>0</v>
      </c>
      <c r="R424" s="110">
        <f>IF(T369&lt;&gt;0,G424*L424*L369,0)</f>
        <v>0</v>
      </c>
      <c r="S424" s="1748">
        <f t="shared" si="88"/>
        <v>0</v>
      </c>
      <c r="T424" s="99">
        <f>IF(OR(ISBLANK(T369),T369=0),0,Q424*L424*L369)</f>
        <v>0</v>
      </c>
      <c r="U424" s="1617" t="str">
        <f>IF(K424="","",IF(COUNTIF(N430:U430,SUBSTITUTE(TRIM(K424)," (s)",""))+COUNTIF(N432:U432,SUBSTITUTE(TRIM(K424)," (s)",""))&gt;0,IF(ROUND(T424,3)&gt;=1,ROUND(T424,3)&amp;" L",MAX(1,ROUND(T424*100,0))&amp;" cl"),IF(COUNTIF(G430:L430,SUBSTITUTE(TRIM(K424)," (s)",""))+COUNTIF(G432:L432,SUBSTITUTE(TRIM(K424)," (s)",""))&gt;0,IF(ROUND(T424,3)&gt;=1,ROUND(T424,3)&amp;" Kg",MAX(1,ROUND(T424*1000,0))&amp;" g"),"")))</f>
        <v/>
      </c>
      <c r="W424" s="103" t="str">
        <f t="shared" si="91"/>
        <v>►</v>
      </c>
      <c r="X424" s="31" t="str">
        <f>X370</f>
        <v>N NAME OF YOUR RECIPE | paste it — FAMILY|  Author &gt; YOU</v>
      </c>
      <c r="Y424" s="32">
        <f>Y370</f>
        <v>1</v>
      </c>
      <c r="Z424" s="31" t="str">
        <f>Z370</f>
        <v>coupe</v>
      </c>
      <c r="AA424" s="33" t="str">
        <f>AA370</f>
        <v>Master recipe ► MILLE-FEUILLE  aux fraises des bois</v>
      </c>
      <c r="AB424" s="89"/>
      <c r="AC424" s="108"/>
      <c r="AD424" s="91" t="str">
        <f t="shared" si="86"/>
        <v/>
      </c>
      <c r="AE424" s="92"/>
      <c r="AF424" s="128"/>
      <c r="AG424" s="130">
        <v>1</v>
      </c>
      <c r="AH424" s="1813" t="str">
        <f>ROWS(AH374:AH424)&amp;" ►"</f>
        <v>51 ►</v>
      </c>
      <c r="AI424" s="1580"/>
      <c r="AJ424" s="95">
        <f>IF(AL429=0,0,(AL424/AL429)*AK373*1000)</f>
        <v>0</v>
      </c>
      <c r="AK424" s="105">
        <f>IF(AL429=0, 0, (AB424*AG424)/(AL429*AK373))</f>
        <v>0</v>
      </c>
      <c r="AL424" s="97" cm="1">
        <f t="array" ref="AL424">IFERROR(_xlfn.XLOOKUP(UPPER(TRIM(AF424)),UPPER(TRIM(AB430:AP430)),AB431:AP431,_xlfn.XLOOKUP(UPPER(TRIM(AF424)),UPPER(TRIM(AB432:AP432)),AB433:AP433,0))*AE424*IF(AB424&gt;0,AB424,1),0)</f>
        <v>0</v>
      </c>
      <c r="AM424" s="110">
        <f>IF(AO369&lt;&gt;0,AB424*AG424*AG369,0)</f>
        <v>0</v>
      </c>
      <c r="AN424" s="1748">
        <f t="shared" si="89"/>
        <v>0</v>
      </c>
      <c r="AO424" s="99">
        <f>IF(OR(ISBLANK(AO369),AO369=0),0,AL424*AG424*AG369)</f>
        <v>0</v>
      </c>
      <c r="AP424" s="1617" t="str">
        <f>IF(AF424="","",IF(COUNTIF(AI430:AP430,SUBSTITUTE(TRIM(AF424)," (s)",""))+COUNTIF(AI432:AP432,SUBSTITUTE(TRIM(AF424)," (s)",""))&gt;0,IF(ROUND(AO424,3)&gt;=1,ROUND(AO424,3)&amp;" L",MAX(1,ROUND(AO424*100,0))&amp;" cl"),IF(COUNTIF(AB430:AG430,SUBSTITUTE(TRIM(AF424)," (s)",""))+COUNTIF(AB432:AG432,SUBSTITUTE(TRIM(AF424)," (s)",""))&gt;0,IF(ROUND(AO424,3)&gt;=1,ROUND(AO424,3)&amp;" Kg",MAX(1,ROUND(AO424*1000,0))&amp;" g"),"")))</f>
        <v/>
      </c>
      <c r="AR424" s="103" t="str">
        <f t="shared" si="92"/>
        <v>►</v>
      </c>
      <c r="AS424" s="31" t="str">
        <f>AS370</f>
        <v>N NOMBRE DE SU RECETA | pegue esto — FAMILIA| Auteur &gt; VOUS</v>
      </c>
      <c r="AT424" s="32">
        <f>AT370</f>
        <v>1</v>
      </c>
      <c r="AU424" s="31" t="str">
        <f>AU370</f>
        <v>coupe</v>
      </c>
      <c r="AV424" s="33" t="str">
        <f>AV370</f>
        <v>Receta madre ► MILLE-FEUILLE  aux fraises des bois</v>
      </c>
      <c r="AW424" s="89"/>
      <c r="AX424" s="108"/>
      <c r="AY424" s="91" t="str">
        <f t="shared" si="87"/>
        <v/>
      </c>
      <c r="AZ424" s="92"/>
      <c r="BA424" s="128"/>
      <c r="BB424" s="130">
        <v>1</v>
      </c>
      <c r="BC424" s="1813" t="str">
        <f>ROWS(BC374:BC424)&amp;" ►"</f>
        <v>51 ►</v>
      </c>
      <c r="BD424" s="1580"/>
      <c r="BE424" s="95">
        <f>IF(BG429=0,0,(BG424/BG429)*BF373*1000)</f>
        <v>0</v>
      </c>
      <c r="BF424" s="105">
        <f>IF(BG429=0, 0, (AW424*BB424)/(BG429*BF373))</f>
        <v>0</v>
      </c>
      <c r="BG424" s="97" cm="1">
        <f t="array" ref="BG424">IFERROR(_xlfn.XLOOKUP(UPPER(TRIM(BA424)),UPPER(TRIM(AW430:BK430)),AW431:BK431,_xlfn.XLOOKUP(UPPER(TRIM(BA424)),UPPER(TRIM(AW432:BK432)),AW433:BK433,0))*AZ424*IF(AW424&gt;0,AW424,1),0)</f>
        <v>0</v>
      </c>
      <c r="BH424" s="110">
        <f>IF(BJ369&lt;&gt;0,AW424*BB424*BB369,0)</f>
        <v>0</v>
      </c>
      <c r="BI424" s="1748">
        <f t="shared" si="90"/>
        <v>0</v>
      </c>
      <c r="BJ424" s="99">
        <f>IF(OR(ISBLANK(BJ369),BJ369=0),0,BG424*BB424*BB369)</f>
        <v>0</v>
      </c>
      <c r="BK424" s="1617" t="str">
        <f>IF(BA424="","",IF(COUNTIF(BD430:BK430,SUBSTITUTE(TRIM(BA424)," (s)",""))+COUNTIF(BD432:BK432,SUBSTITUTE(TRIM(BA424)," (s)",""))&gt;0,IF(ROUND(BJ424,3)&gt;=1,ROUND(BJ424,3)&amp;" L",MAX(1,ROUND(BJ424*100,0))&amp;" cl"),IF(COUNTIF(AW430:BB430,SUBSTITUTE(TRIM(BA424)," (s)",""))+COUNTIF(AW432:BB432,SUBSTITUTE(TRIM(BA424)," (s)",""))&gt;0,IF(ROUND(BJ424,3)&gt;=1,ROUND(BJ424,3)&amp;" Kg",MAX(1,ROUND(BJ424*1000,0))&amp;" g"),"")))</f>
        <v/>
      </c>
      <c r="BM424" s="3">
        <v>1</v>
      </c>
    </row>
    <row r="425" spans="2:65" ht="21" customHeight="1">
      <c r="B425" s="103" t="str">
        <f t="shared" si="93"/>
        <v>►</v>
      </c>
      <c r="C425" s="31" t="str">
        <f>C370</f>
        <v>MAJUSCULE(GAUCHE(J21;1))&amp;" "&amp;J21&amp;" | "&amp;S21&amp;"| "&amp;J23&amp;" "&amp;K23</v>
      </c>
      <c r="D425" s="32">
        <f>D370</f>
        <v>1</v>
      </c>
      <c r="E425" s="31" t="str">
        <f>E370</f>
        <v>coupe</v>
      </c>
      <c r="F425" s="33" t="str">
        <f>F370</f>
        <v>Recette mère ► MILLE-FEUILLE  aux fraises des bois</v>
      </c>
      <c r="G425" s="89"/>
      <c r="H425" s="108"/>
      <c r="I425" s="91" t="str">
        <f t="shared" si="85"/>
        <v/>
      </c>
      <c r="J425" s="92"/>
      <c r="K425" s="128"/>
      <c r="L425" s="130">
        <v>1</v>
      </c>
      <c r="M425" s="1813" t="str">
        <f>ROWS(M374:M425)&amp;" ►"</f>
        <v>52 ►</v>
      </c>
      <c r="N425" s="1580"/>
      <c r="O425" s="95">
        <f>IF(Q429=0,0,(Q425/Q429)*P373*1000)</f>
        <v>0</v>
      </c>
      <c r="P425" s="105">
        <f>IF(Q429=0, 0, (G425*L425)/(Q429*P373))</f>
        <v>0</v>
      </c>
      <c r="Q425" s="97" cm="1">
        <f t="array" ref="Q425">IFERROR(_xlfn.XLOOKUP(UPPER(TRIM(K425)),UPPER(TRIM(G430:U430)),G431:U431,_xlfn.XLOOKUP(UPPER(TRIM(K425)),UPPER(TRIM(G432:U432)),G433:U433,0))*J425*IF(G425&gt;0,G425,1),0)</f>
        <v>0</v>
      </c>
      <c r="R425" s="106">
        <f>IF(T369&lt;&gt;0,G425*L425*L369,0)</f>
        <v>0</v>
      </c>
      <c r="S425" s="1747">
        <f t="shared" si="88"/>
        <v>0</v>
      </c>
      <c r="T425" s="99">
        <f>IF(OR(ISBLANK(T369),T369=0),0,Q425*L425*L369)</f>
        <v>0</v>
      </c>
      <c r="U425" s="1367" t="str">
        <f>IF(K425="","",IF(COUNTIF(N430:U430,SUBSTITUTE(TRIM(K425)," (s)",""))+COUNTIF(N432:U432,SUBSTITUTE(TRIM(K425)," (s)",""))&gt;0,IF(ROUND(T425,3)&gt;=1,ROUND(T425,3)&amp;" L",MAX(1,ROUND(T425*100,0))&amp;" cl"),IF(COUNTIF(G430:L430,SUBSTITUTE(TRIM(K425)," (s)",""))+COUNTIF(G432:L432,SUBSTITUTE(TRIM(K425)," (s)",""))&gt;0,IF(ROUND(T425,3)&gt;=1,ROUND(T425,3)&amp;" Kg",MAX(1,ROUND(T425*1000,0))&amp;" g"),"")))</f>
        <v/>
      </c>
      <c r="W425" s="103" t="str">
        <f t="shared" si="91"/>
        <v>►</v>
      </c>
      <c r="X425" s="31" t="str">
        <f>X370</f>
        <v>N NAME OF YOUR RECIPE | paste it — FAMILY|  Author &gt; YOU</v>
      </c>
      <c r="Y425" s="32">
        <f>Y370</f>
        <v>1</v>
      </c>
      <c r="Z425" s="31" t="str">
        <f>Z370</f>
        <v>coupe</v>
      </c>
      <c r="AA425" s="33" t="str">
        <f>AA370</f>
        <v>Master recipe ► MILLE-FEUILLE  aux fraises des bois</v>
      </c>
      <c r="AB425" s="89"/>
      <c r="AC425" s="108"/>
      <c r="AD425" s="91" t="str">
        <f t="shared" si="86"/>
        <v/>
      </c>
      <c r="AE425" s="92"/>
      <c r="AF425" s="128"/>
      <c r="AG425" s="130">
        <v>1</v>
      </c>
      <c r="AH425" s="1813" t="str">
        <f>ROWS(AH374:AH425)&amp;" ►"</f>
        <v>52 ►</v>
      </c>
      <c r="AI425" s="1580"/>
      <c r="AJ425" s="95">
        <f>IF(AL429=0,0,(AL425/AL429)*AK373*1000)</f>
        <v>0</v>
      </c>
      <c r="AK425" s="105">
        <f>IF(AL429=0, 0, (AB425*AG425)/(AL429*AK373))</f>
        <v>0</v>
      </c>
      <c r="AL425" s="97" cm="1">
        <f t="array" ref="AL425">IFERROR(_xlfn.XLOOKUP(UPPER(TRIM(AF425)),UPPER(TRIM(AB430:AP430)),AB431:AP431,_xlfn.XLOOKUP(UPPER(TRIM(AF425)),UPPER(TRIM(AB432:AP432)),AB433:AP433,0))*AE425*IF(AB425&gt;0,AB425,1),0)</f>
        <v>0</v>
      </c>
      <c r="AM425" s="106">
        <f>IF(AO369&lt;&gt;0,AB425*AG425*AG369,0)</f>
        <v>0</v>
      </c>
      <c r="AN425" s="1747">
        <f t="shared" si="89"/>
        <v>0</v>
      </c>
      <c r="AO425" s="99">
        <f>IF(OR(ISBLANK(AO369),AO369=0),0,AL425*AG425*AG369)</f>
        <v>0</v>
      </c>
      <c r="AP425" s="1367" t="str">
        <f>IF(AF425="","",IF(COUNTIF(AI430:AP430,SUBSTITUTE(TRIM(AF425)," (s)",""))+COUNTIF(AI432:AP432,SUBSTITUTE(TRIM(AF425)," (s)",""))&gt;0,IF(ROUND(AO425,3)&gt;=1,ROUND(AO425,3)&amp;" L",MAX(1,ROUND(AO425*100,0))&amp;" cl"),IF(COUNTIF(AB430:AG430,SUBSTITUTE(TRIM(AF425)," (s)",""))+COUNTIF(AB432:AG432,SUBSTITUTE(TRIM(AF425)," (s)",""))&gt;0,IF(ROUND(AO425,3)&gt;=1,ROUND(AO425,3)&amp;" Kg",MAX(1,ROUND(AO425*1000,0))&amp;" g"),"")))</f>
        <v/>
      </c>
      <c r="AR425" s="103" t="str">
        <f t="shared" si="92"/>
        <v>►</v>
      </c>
      <c r="AS425" s="31" t="str">
        <f>AS370</f>
        <v>N NOMBRE DE SU RECETA | pegue esto — FAMILIA| Auteur &gt; VOUS</v>
      </c>
      <c r="AT425" s="32">
        <f>AT370</f>
        <v>1</v>
      </c>
      <c r="AU425" s="31" t="str">
        <f>AU370</f>
        <v>coupe</v>
      </c>
      <c r="AV425" s="33" t="str">
        <f>AV370</f>
        <v>Receta madre ► MILLE-FEUILLE  aux fraises des bois</v>
      </c>
      <c r="AW425" s="89"/>
      <c r="AX425" s="108"/>
      <c r="AY425" s="91" t="str">
        <f t="shared" si="87"/>
        <v/>
      </c>
      <c r="AZ425" s="92"/>
      <c r="BA425" s="128"/>
      <c r="BB425" s="130">
        <v>1</v>
      </c>
      <c r="BC425" s="1813" t="str">
        <f>ROWS(BC374:BC425)&amp;" ►"</f>
        <v>52 ►</v>
      </c>
      <c r="BD425" s="1580"/>
      <c r="BE425" s="95">
        <f>IF(BG429=0,0,(BG425/BG429)*BF373*1000)</f>
        <v>0</v>
      </c>
      <c r="BF425" s="105">
        <f>IF(BG429=0, 0, (AW425*BB425)/(BG429*BF373))</f>
        <v>0</v>
      </c>
      <c r="BG425" s="97" cm="1">
        <f t="array" ref="BG425">IFERROR(_xlfn.XLOOKUP(UPPER(TRIM(BA425)),UPPER(TRIM(AW430:BK430)),AW431:BK431,_xlfn.XLOOKUP(UPPER(TRIM(BA425)),UPPER(TRIM(AW432:BK432)),AW433:BK433,0))*AZ425*IF(AW425&gt;0,AW425,1),0)</f>
        <v>0</v>
      </c>
      <c r="BH425" s="106">
        <f>IF(BJ369&lt;&gt;0,AW425*BB425*BB369,0)</f>
        <v>0</v>
      </c>
      <c r="BI425" s="1747">
        <f t="shared" si="90"/>
        <v>0</v>
      </c>
      <c r="BJ425" s="99">
        <f>IF(OR(ISBLANK(BJ369),BJ369=0),0,BG425*BB425*BB369)</f>
        <v>0</v>
      </c>
      <c r="BK425" s="1367" t="str">
        <f>IF(BA425="","",IF(COUNTIF(BD430:BK430,SUBSTITUTE(TRIM(BA425)," (s)",""))+COUNTIF(BD432:BK432,SUBSTITUTE(TRIM(BA425)," (s)",""))&gt;0,IF(ROUND(BJ425,3)&gt;=1,ROUND(BJ425,3)&amp;" L",MAX(1,ROUND(BJ425*100,0))&amp;" cl"),IF(COUNTIF(AW430:BB430,SUBSTITUTE(TRIM(BA425)," (s)",""))+COUNTIF(AW432:BB432,SUBSTITUTE(TRIM(BA425)," (s)",""))&gt;0,IF(ROUND(BJ425,3)&gt;=1,ROUND(BJ425,3)&amp;" Kg",MAX(1,ROUND(BJ425*1000,0))&amp;" g"),"")))</f>
        <v/>
      </c>
      <c r="BM425" s="3">
        <v>1</v>
      </c>
    </row>
    <row r="426" spans="2:65" ht="21" customHeight="1">
      <c r="B426" s="103" t="str">
        <f t="shared" si="93"/>
        <v>►</v>
      </c>
      <c r="C426" s="31" t="str">
        <f>C370</f>
        <v>MAJUSCULE(GAUCHE(J21;1))&amp;" "&amp;J21&amp;" | "&amp;S21&amp;"| "&amp;J23&amp;" "&amp;K23</v>
      </c>
      <c r="D426" s="32">
        <f>D370</f>
        <v>1</v>
      </c>
      <c r="E426" s="31" t="str">
        <f>E370</f>
        <v>coupe</v>
      </c>
      <c r="F426" s="33" t="str">
        <f>F370</f>
        <v>Recette mère ► MILLE-FEUILLE  aux fraises des bois</v>
      </c>
      <c r="G426" s="89"/>
      <c r="H426" s="108"/>
      <c r="I426" s="91" t="str">
        <f t="shared" si="85"/>
        <v/>
      </c>
      <c r="J426" s="92"/>
      <c r="K426" s="128"/>
      <c r="L426" s="130">
        <v>1</v>
      </c>
      <c r="M426" s="1813" t="str">
        <f>ROWS(M374:M426)&amp;" ►"</f>
        <v>53 ►</v>
      </c>
      <c r="N426" s="1580"/>
      <c r="O426" s="95">
        <f>IF(Q429=0,0,(Q426/Q429)*P373*1000)</f>
        <v>0</v>
      </c>
      <c r="P426" s="105">
        <f>IF(Q429=0, 0, (G426*L426)/(Q429*P373))</f>
        <v>0</v>
      </c>
      <c r="Q426" s="97" cm="1">
        <f t="array" ref="Q426">IFERROR(_xlfn.XLOOKUP(UPPER(TRIM(K426)),UPPER(TRIM(G430:U430)),G431:U431,_xlfn.XLOOKUP(UPPER(TRIM(K426)),UPPER(TRIM(G432:U432)),G433:U433,0))*J426*IF(G426&gt;0,G426,1),0)</f>
        <v>0</v>
      </c>
      <c r="R426" s="110">
        <f>IF(T369&lt;&gt;0,G426*L426*L369,0)</f>
        <v>0</v>
      </c>
      <c r="S426" s="1748">
        <f t="shared" si="88"/>
        <v>0</v>
      </c>
      <c r="T426" s="99">
        <f>IF(OR(ISBLANK(T369),T369=0),0,Q426*L426*L369)</f>
        <v>0</v>
      </c>
      <c r="U426" s="1617" t="str">
        <f>IF(K426="","",IF(COUNTIF(N430:U430,SUBSTITUTE(TRIM(K426)," (s)",""))+COUNTIF(N432:U432,SUBSTITUTE(TRIM(K426)," (s)",""))&gt;0,IF(ROUND(T426,3)&gt;=1,ROUND(T426,3)&amp;" L",MAX(1,ROUND(T426*100,0))&amp;" cl"),IF(COUNTIF(G430:L430,SUBSTITUTE(TRIM(K426)," (s)",""))+COUNTIF(G432:L432,SUBSTITUTE(TRIM(K426)," (s)",""))&gt;0,IF(ROUND(T426,3)&gt;=1,ROUND(T426,3)&amp;" Kg",MAX(1,ROUND(T426*1000,0))&amp;" g"),"")))</f>
        <v/>
      </c>
      <c r="W426" s="103" t="str">
        <f t="shared" si="91"/>
        <v>►</v>
      </c>
      <c r="X426" s="31" t="str">
        <f>X370</f>
        <v>N NAME OF YOUR RECIPE | paste it — FAMILY|  Author &gt; YOU</v>
      </c>
      <c r="Y426" s="32">
        <f>Y370</f>
        <v>1</v>
      </c>
      <c r="Z426" s="31" t="str">
        <f>Z370</f>
        <v>coupe</v>
      </c>
      <c r="AA426" s="33" t="str">
        <f>AA370</f>
        <v>Master recipe ► MILLE-FEUILLE  aux fraises des bois</v>
      </c>
      <c r="AB426" s="89"/>
      <c r="AC426" s="108"/>
      <c r="AD426" s="91" t="str">
        <f t="shared" si="86"/>
        <v/>
      </c>
      <c r="AE426" s="92"/>
      <c r="AF426" s="128"/>
      <c r="AG426" s="130">
        <v>1</v>
      </c>
      <c r="AH426" s="1813" t="str">
        <f>ROWS(AH374:AH426)&amp;" ►"</f>
        <v>53 ►</v>
      </c>
      <c r="AI426" s="1580"/>
      <c r="AJ426" s="95">
        <f>IF(AL429=0,0,(AL426/AL429)*AK373*1000)</f>
        <v>0</v>
      </c>
      <c r="AK426" s="105">
        <f>IF(AL429=0, 0, (AB426*AG426)/(AL429*AK373))</f>
        <v>0</v>
      </c>
      <c r="AL426" s="97" cm="1">
        <f t="array" ref="AL426">IFERROR(_xlfn.XLOOKUP(UPPER(TRIM(AF426)),UPPER(TRIM(AB430:AP430)),AB431:AP431,_xlfn.XLOOKUP(UPPER(TRIM(AF426)),UPPER(TRIM(AB432:AP432)),AB433:AP433,0))*AE426*IF(AB426&gt;0,AB426,1),0)</f>
        <v>0</v>
      </c>
      <c r="AM426" s="110">
        <f>IF(AO369&lt;&gt;0,AB426*AG426*AG369,0)</f>
        <v>0</v>
      </c>
      <c r="AN426" s="1748">
        <f t="shared" si="89"/>
        <v>0</v>
      </c>
      <c r="AO426" s="99">
        <f>IF(OR(ISBLANK(AO369),AO369=0),0,AL426*AG426*AG369)</f>
        <v>0</v>
      </c>
      <c r="AP426" s="1617" t="str">
        <f>IF(AF426="","",IF(COUNTIF(AI430:AP430,SUBSTITUTE(TRIM(AF426)," (s)",""))+COUNTIF(AI432:AP432,SUBSTITUTE(TRIM(AF426)," (s)",""))&gt;0,IF(ROUND(AO426,3)&gt;=1,ROUND(AO426,3)&amp;" L",MAX(1,ROUND(AO426*100,0))&amp;" cl"),IF(COUNTIF(AB430:AG430,SUBSTITUTE(TRIM(AF426)," (s)",""))+COUNTIF(AB432:AG432,SUBSTITUTE(TRIM(AF426)," (s)",""))&gt;0,IF(ROUND(AO426,3)&gt;=1,ROUND(AO426,3)&amp;" Kg",MAX(1,ROUND(AO426*1000,0))&amp;" g"),"")))</f>
        <v/>
      </c>
      <c r="AR426" s="103" t="str">
        <f t="shared" si="92"/>
        <v>►</v>
      </c>
      <c r="AS426" s="31" t="str">
        <f>AS370</f>
        <v>N NOMBRE DE SU RECETA | pegue esto — FAMILIA| Auteur &gt; VOUS</v>
      </c>
      <c r="AT426" s="32">
        <f>AT370</f>
        <v>1</v>
      </c>
      <c r="AU426" s="31" t="str">
        <f>AU370</f>
        <v>coupe</v>
      </c>
      <c r="AV426" s="33" t="str">
        <f>AV370</f>
        <v>Receta madre ► MILLE-FEUILLE  aux fraises des bois</v>
      </c>
      <c r="AW426" s="89"/>
      <c r="AX426" s="108"/>
      <c r="AY426" s="91" t="str">
        <f t="shared" si="87"/>
        <v/>
      </c>
      <c r="AZ426" s="92"/>
      <c r="BA426" s="128"/>
      <c r="BB426" s="130">
        <v>1</v>
      </c>
      <c r="BC426" s="1813" t="str">
        <f>ROWS(BC374:BC426)&amp;" ►"</f>
        <v>53 ►</v>
      </c>
      <c r="BD426" s="1580"/>
      <c r="BE426" s="95">
        <f>IF(BG429=0,0,(BG426/BG429)*BF373*1000)</f>
        <v>0</v>
      </c>
      <c r="BF426" s="105">
        <f>IF(BG429=0, 0, (AW426*BB426)/(BG429*BF373))</f>
        <v>0</v>
      </c>
      <c r="BG426" s="97" cm="1">
        <f t="array" ref="BG426">IFERROR(_xlfn.XLOOKUP(UPPER(TRIM(BA426)),UPPER(TRIM(AW430:BK430)),AW431:BK431,_xlfn.XLOOKUP(UPPER(TRIM(BA426)),UPPER(TRIM(AW432:BK432)),AW433:BK433,0))*AZ426*IF(AW426&gt;0,AW426,1),0)</f>
        <v>0</v>
      </c>
      <c r="BH426" s="110">
        <f>IF(BJ369&lt;&gt;0,AW426*BB426*BB369,0)</f>
        <v>0</v>
      </c>
      <c r="BI426" s="1748">
        <f t="shared" si="90"/>
        <v>0</v>
      </c>
      <c r="BJ426" s="99">
        <f>IF(OR(ISBLANK(BJ369),BJ369=0),0,BG426*BB426*BB369)</f>
        <v>0</v>
      </c>
      <c r="BK426" s="1617" t="str">
        <f>IF(BA426="","",IF(COUNTIF(BD430:BK430,SUBSTITUTE(TRIM(BA426)," (s)",""))+COUNTIF(BD432:BK432,SUBSTITUTE(TRIM(BA426)," (s)",""))&gt;0,IF(ROUND(BJ426,3)&gt;=1,ROUND(BJ426,3)&amp;" L",MAX(1,ROUND(BJ426*100,0))&amp;" cl"),IF(COUNTIF(AW430:BB430,SUBSTITUTE(TRIM(BA426)," (s)",""))+COUNTIF(AW432:BB432,SUBSTITUTE(TRIM(BA426)," (s)",""))&gt;0,IF(ROUND(BJ426,3)&gt;=1,ROUND(BJ426,3)&amp;" Kg",MAX(1,ROUND(BJ426*1000,0))&amp;" g"),"")))</f>
        <v/>
      </c>
      <c r="BM426" s="3">
        <v>1</v>
      </c>
    </row>
    <row r="427" spans="2:65" ht="21" customHeight="1">
      <c r="B427" s="25" t="s">
        <v>10</v>
      </c>
      <c r="C427" s="31" t="str">
        <f>C370</f>
        <v>MAJUSCULE(GAUCHE(J21;1))&amp;" "&amp;J21&amp;" | "&amp;S21&amp;"| "&amp;J23&amp;" "&amp;K23</v>
      </c>
      <c r="D427" s="32">
        <f>D370</f>
        <v>1</v>
      </c>
      <c r="E427" s="31" t="str">
        <f>E370</f>
        <v>coupe</v>
      </c>
      <c r="F427" s="33" t="str">
        <f>F370</f>
        <v>Recette mère ► MILLE-FEUILLE  aux fraises des bois</v>
      </c>
      <c r="G427" s="89"/>
      <c r="H427" s="108"/>
      <c r="I427" s="91" t="str">
        <f t="shared" si="85"/>
        <v/>
      </c>
      <c r="J427" s="92"/>
      <c r="K427" s="128"/>
      <c r="L427" s="130">
        <v>1</v>
      </c>
      <c r="M427" s="1813" t="str">
        <f>ROWS(M374:M427)&amp;" ►"</f>
        <v>54 ►</v>
      </c>
      <c r="N427" s="1580"/>
      <c r="O427" s="95">
        <f>IF(Q429=0,0,(Q427/Q429)*P373*1000)</f>
        <v>0</v>
      </c>
      <c r="P427" s="105">
        <f>IF(Q429=0, 0, (G427*L427)/(Q429*P373))</f>
        <v>0</v>
      </c>
      <c r="Q427" s="97" cm="1">
        <f t="array" ref="Q427">IFERROR(_xlfn.XLOOKUP(UPPER(TRIM(K427)),UPPER(TRIM(G430:U430)),G431:U431,_xlfn.XLOOKUP(UPPER(TRIM(K427)),UPPER(TRIM(G432:U432)),G433:U433,0))*J427*IF(G427&gt;0,G427,1),0)</f>
        <v>0</v>
      </c>
      <c r="R427" s="106">
        <f>IF(T369&lt;&gt;0,G427*L427*L369,0)</f>
        <v>0</v>
      </c>
      <c r="S427" s="1747">
        <f t="shared" si="88"/>
        <v>0</v>
      </c>
      <c r="T427" s="99">
        <f>IF(OR(ISBLANK(T369),T369=0),0,Q427*L427*L369)</f>
        <v>0</v>
      </c>
      <c r="U427" s="1367" t="str">
        <f>IF(K427="","",IF(COUNTIF(N430:U430,SUBSTITUTE(TRIM(K427)," (s)",""))+COUNTIF(N432:U432,SUBSTITUTE(TRIM(K427)," (s)",""))&gt;0,IF(ROUND(T427,3)&gt;=1,ROUND(T427,3)&amp;" L",MAX(1,ROUND(T427*100,0))&amp;" cl"),IF(COUNTIF(G430:L430,SUBSTITUTE(TRIM(K427)," (s)",""))+COUNTIF(G432:L432,SUBSTITUTE(TRIM(K427)," (s)",""))&gt;0,IF(ROUND(T427,3)&gt;=1,ROUND(T427,3)&amp;" Kg",MAX(1,ROUND(T427*1000,0))&amp;" g"),"")))</f>
        <v/>
      </c>
      <c r="W427" s="25" t="s">
        <v>10</v>
      </c>
      <c r="X427" s="31" t="str">
        <f>X370</f>
        <v>N NAME OF YOUR RECIPE | paste it — FAMILY|  Author &gt; YOU</v>
      </c>
      <c r="Y427" s="32">
        <f>Y370</f>
        <v>1</v>
      </c>
      <c r="Z427" s="31" t="str">
        <f>Z370</f>
        <v>coupe</v>
      </c>
      <c r="AA427" s="33" t="str">
        <f>AA370</f>
        <v>Master recipe ► MILLE-FEUILLE  aux fraises des bois</v>
      </c>
      <c r="AB427" s="89"/>
      <c r="AC427" s="108"/>
      <c r="AD427" s="91" t="str">
        <f t="shared" si="86"/>
        <v/>
      </c>
      <c r="AE427" s="92"/>
      <c r="AF427" s="128"/>
      <c r="AG427" s="130">
        <v>1</v>
      </c>
      <c r="AH427" s="1813" t="str">
        <f>ROWS(AH374:AH427)&amp;" ►"</f>
        <v>54 ►</v>
      </c>
      <c r="AI427" s="1580"/>
      <c r="AJ427" s="95">
        <f>IF(AL429=0,0,(AL427/AL429)*AK373*1000)</f>
        <v>0</v>
      </c>
      <c r="AK427" s="105">
        <f>IF(AL429=0, 0, (AB427*AG427)/(AL429*AK373))</f>
        <v>0</v>
      </c>
      <c r="AL427" s="97" cm="1">
        <f t="array" ref="AL427">IFERROR(_xlfn.XLOOKUP(UPPER(TRIM(AF427)),UPPER(TRIM(AB430:AP430)),AB431:AP431,_xlfn.XLOOKUP(UPPER(TRIM(AF427)),UPPER(TRIM(AB432:AP432)),AB433:AP433,0))*AE427*IF(AB427&gt;0,AB427,1),0)</f>
        <v>0</v>
      </c>
      <c r="AM427" s="106">
        <f>IF(AO369&lt;&gt;0,AB427*AG427*AG369,0)</f>
        <v>0</v>
      </c>
      <c r="AN427" s="1747">
        <f t="shared" si="89"/>
        <v>0</v>
      </c>
      <c r="AO427" s="99">
        <f>IF(OR(ISBLANK(AO369),AO369=0),0,AL427*AG427*AG369)</f>
        <v>0</v>
      </c>
      <c r="AP427" s="1367" t="str">
        <f>IF(AF427="","",IF(COUNTIF(AI430:AP430,SUBSTITUTE(TRIM(AF427)," (s)",""))+COUNTIF(AI432:AP432,SUBSTITUTE(TRIM(AF427)," (s)",""))&gt;0,IF(ROUND(AO427,3)&gt;=1,ROUND(AO427,3)&amp;" L",MAX(1,ROUND(AO427*100,0))&amp;" cl"),IF(COUNTIF(AB430:AG430,SUBSTITUTE(TRIM(AF427)," (s)",""))+COUNTIF(AB432:AG432,SUBSTITUTE(TRIM(AF427)," (s)",""))&gt;0,IF(ROUND(AO427,3)&gt;=1,ROUND(AO427,3)&amp;" Kg",MAX(1,ROUND(AO427*1000,0))&amp;" g"),"")))</f>
        <v/>
      </c>
      <c r="AR427" s="25" t="s">
        <v>10</v>
      </c>
      <c r="AS427" s="31" t="str">
        <f>AS370</f>
        <v>N NOMBRE DE SU RECETA | pegue esto — FAMILIA| Auteur &gt; VOUS</v>
      </c>
      <c r="AT427" s="32">
        <f>AT370</f>
        <v>1</v>
      </c>
      <c r="AU427" s="31" t="str">
        <f>AU370</f>
        <v>coupe</v>
      </c>
      <c r="AV427" s="33" t="str">
        <f>AV370</f>
        <v>Receta madre ► MILLE-FEUILLE  aux fraises des bois</v>
      </c>
      <c r="AW427" s="89"/>
      <c r="AX427" s="108"/>
      <c r="AY427" s="91" t="str">
        <f t="shared" si="87"/>
        <v/>
      </c>
      <c r="AZ427" s="92"/>
      <c r="BA427" s="128"/>
      <c r="BB427" s="130">
        <v>1</v>
      </c>
      <c r="BC427" s="1813" t="str">
        <f>ROWS(BC374:BC427)&amp;" ►"</f>
        <v>54 ►</v>
      </c>
      <c r="BD427" s="1580"/>
      <c r="BE427" s="95">
        <f>IF(BG429=0,0,(BG427/BG429)*BF373*1000)</f>
        <v>0</v>
      </c>
      <c r="BF427" s="105">
        <f>IF(BG429=0, 0, (AW427*BB427)/(BG429*BF373))</f>
        <v>0</v>
      </c>
      <c r="BG427" s="97" cm="1">
        <f t="array" ref="BG427">IFERROR(_xlfn.XLOOKUP(UPPER(TRIM(BA427)),UPPER(TRIM(AW430:BK430)),AW431:BK431,_xlfn.XLOOKUP(UPPER(TRIM(BA427)),UPPER(TRIM(AW432:BK432)),AW433:BK433,0))*AZ427*IF(AW427&gt;0,AW427,1),0)</f>
        <v>0</v>
      </c>
      <c r="BH427" s="106">
        <f>IF(BJ369&lt;&gt;0,AW427*BB427*BB369,0)</f>
        <v>0</v>
      </c>
      <c r="BI427" s="1747">
        <f t="shared" si="90"/>
        <v>0</v>
      </c>
      <c r="BJ427" s="99">
        <f>IF(OR(ISBLANK(BJ369),BJ369=0),0,BG427*BB427*BB369)</f>
        <v>0</v>
      </c>
      <c r="BK427" s="1367" t="str">
        <f>IF(BA427="","",IF(COUNTIF(BD430:BK430,SUBSTITUTE(TRIM(BA427)," (s)",""))+COUNTIF(BD432:BK432,SUBSTITUTE(TRIM(BA427)," (s)",""))&gt;0,IF(ROUND(BJ427,3)&gt;=1,ROUND(BJ427,3)&amp;" L",MAX(1,ROUND(BJ427*100,0))&amp;" cl"),IF(COUNTIF(AW430:BB430,SUBSTITUTE(TRIM(BA427)," (s)",""))+COUNTIF(AW432:BB432,SUBSTITUTE(TRIM(BA427)," (s)",""))&gt;0,IF(ROUND(BJ427,3)&gt;=1,ROUND(BJ427,3)&amp;" Kg",MAX(1,ROUND(BJ427*1000,0))&amp;" g"),"")))</f>
        <v/>
      </c>
      <c r="BM427" s="3">
        <v>1</v>
      </c>
    </row>
    <row r="428" spans="2:65" ht="21" customHeight="1">
      <c r="B428" s="25" t="s">
        <v>10</v>
      </c>
      <c r="C428" s="31" t="str">
        <f>C370</f>
        <v>MAJUSCULE(GAUCHE(J21;1))&amp;" "&amp;J21&amp;" | "&amp;S21&amp;"| "&amp;J23&amp;" "&amp;K23</v>
      </c>
      <c r="D428" s="32">
        <f>D370</f>
        <v>1</v>
      </c>
      <c r="E428" s="31" t="str">
        <f>E370</f>
        <v>coupe</v>
      </c>
      <c r="F428" s="33" t="str">
        <f>F370</f>
        <v>Recette mère ► MILLE-FEUILLE  aux fraises des bois</v>
      </c>
      <c r="G428" s="1198"/>
      <c r="H428" s="1199"/>
      <c r="I428" s="91" t="str">
        <f t="shared" si="85"/>
        <v/>
      </c>
      <c r="J428" s="1200"/>
      <c r="K428" s="128"/>
      <c r="L428" s="1201">
        <v>1</v>
      </c>
      <c r="M428" s="1813" t="str">
        <f>ROWS(M374:M428)&amp;" ►"</f>
        <v>55 ►</v>
      </c>
      <c r="N428" s="1580"/>
      <c r="O428" s="95">
        <f>IF(Q429=0,0,(Q428/Q429)*P373*1000)</f>
        <v>0</v>
      </c>
      <c r="P428" s="105">
        <f>IF(Q429=0, 0, (G428*L428)/(Q429*P373))</f>
        <v>0</v>
      </c>
      <c r="Q428" s="97" cm="1">
        <f t="array" ref="Q428">IFERROR(_xlfn.XLOOKUP(UPPER(TRIM(K428)),UPPER(TRIM(G430:U430)),G431:U431,_xlfn.XLOOKUP(UPPER(TRIM(K428)),UPPER(TRIM(G432:U432)),G433:U433,0))*J428*IF(G428&gt;0,G428,1),0)</f>
        <v>0</v>
      </c>
      <c r="R428" s="110">
        <f>IF(T369&lt;&gt;0,G428*L428*L369,0)</f>
        <v>0</v>
      </c>
      <c r="S428" s="1748">
        <f t="shared" si="88"/>
        <v>0</v>
      </c>
      <c r="T428" s="99">
        <f>IF(OR(ISBLANK(T369),T369=0),0,Q428*L428*L369)</f>
        <v>0</v>
      </c>
      <c r="U428" s="1617" t="str">
        <f>IF(K428="","",IF(COUNTIF(N430:U430,SUBSTITUTE(TRIM(K428)," (s)",""))+COUNTIF(N432:U432,SUBSTITUTE(TRIM(K428)," (s)",""))&gt;0,IF(ROUND(T428,3)&gt;=1,ROUND(T428,3)&amp;" L",MAX(1,ROUND(T428*100,0))&amp;" cl"),IF(COUNTIF(G430:L430,SUBSTITUTE(TRIM(K428)," (s)",""))+COUNTIF(G432:L432,SUBSTITUTE(TRIM(K428)," (s)",""))&gt;0,IF(ROUND(T428,3)&gt;=1,ROUND(T428,3)&amp;" Kg",MAX(1,ROUND(T428*1000,0))&amp;" g"),"")))</f>
        <v/>
      </c>
      <c r="W428" s="25" t="s">
        <v>10</v>
      </c>
      <c r="X428" s="31" t="str">
        <f>X370</f>
        <v>N NAME OF YOUR RECIPE | paste it — FAMILY|  Author &gt; YOU</v>
      </c>
      <c r="Y428" s="32">
        <f>Y370</f>
        <v>1</v>
      </c>
      <c r="Z428" s="31" t="str">
        <f>Z370</f>
        <v>coupe</v>
      </c>
      <c r="AA428" s="33" t="str">
        <f>AA370</f>
        <v>Master recipe ► MILLE-FEUILLE  aux fraises des bois</v>
      </c>
      <c r="AB428" s="1198"/>
      <c r="AC428" s="1199"/>
      <c r="AD428" s="91" t="str">
        <f t="shared" si="86"/>
        <v/>
      </c>
      <c r="AE428" s="1200"/>
      <c r="AF428" s="128"/>
      <c r="AG428" s="1201">
        <v>1</v>
      </c>
      <c r="AH428" s="1813" t="str">
        <f>ROWS(AH374:AH428)&amp;" ►"</f>
        <v>55 ►</v>
      </c>
      <c r="AI428" s="1580"/>
      <c r="AJ428" s="95">
        <f>IF(AL429=0,0,(AL428/AL429)*AK373*1000)</f>
        <v>0</v>
      </c>
      <c r="AK428" s="105">
        <f>IF(AL429=0, 0, (AB428*AG428)/(AL429*AK373))</f>
        <v>0</v>
      </c>
      <c r="AL428" s="97" cm="1">
        <f t="array" ref="AL428">IFERROR(_xlfn.XLOOKUP(UPPER(TRIM(AF428)),UPPER(TRIM(AB430:AP430)),AB431:AP431,_xlfn.XLOOKUP(UPPER(TRIM(AF428)),UPPER(TRIM(AB432:AP432)),AB433:AP433,0))*AE428*IF(AB428&gt;0,AB428,1),0)</f>
        <v>0</v>
      </c>
      <c r="AM428" s="110">
        <f>IF(AO369&lt;&gt;0,AB428*AG428*AG369,0)</f>
        <v>0</v>
      </c>
      <c r="AN428" s="1748">
        <f t="shared" si="89"/>
        <v>0</v>
      </c>
      <c r="AO428" s="99">
        <f>IF(OR(ISBLANK(AO369),AO369=0),0,AL428*AG428*AG369)</f>
        <v>0</v>
      </c>
      <c r="AP428" s="1617" t="str">
        <f>IF(AF428="","",IF(COUNTIF(AI430:AP430,SUBSTITUTE(TRIM(AF428)," (s)",""))+COUNTIF(AI432:AP432,SUBSTITUTE(TRIM(AF428)," (s)",""))&gt;0,IF(ROUND(AO428,3)&gt;=1,ROUND(AO428,3)&amp;" L",MAX(1,ROUND(AO428*100,0))&amp;" cl"),IF(COUNTIF(AB430:AG430,SUBSTITUTE(TRIM(AF428)," (s)",""))+COUNTIF(AB432:AG432,SUBSTITUTE(TRIM(AF428)," (s)",""))&gt;0,IF(ROUND(AO428,3)&gt;=1,ROUND(AO428,3)&amp;" Kg",MAX(1,ROUND(AO428*1000,0))&amp;" g"),"")))</f>
        <v/>
      </c>
      <c r="AR428" s="25" t="s">
        <v>10</v>
      </c>
      <c r="AS428" s="31" t="str">
        <f>AS370</f>
        <v>N NOMBRE DE SU RECETA | pegue esto — FAMILIA| Auteur &gt; VOUS</v>
      </c>
      <c r="AT428" s="32">
        <f>AT370</f>
        <v>1</v>
      </c>
      <c r="AU428" s="31" t="str">
        <f>AU370</f>
        <v>coupe</v>
      </c>
      <c r="AV428" s="33" t="str">
        <f>AV370</f>
        <v>Receta madre ► MILLE-FEUILLE  aux fraises des bois</v>
      </c>
      <c r="AW428" s="1198"/>
      <c r="AX428" s="1199"/>
      <c r="AY428" s="91" t="str">
        <f t="shared" si="87"/>
        <v/>
      </c>
      <c r="AZ428" s="1200"/>
      <c r="BA428" s="128"/>
      <c r="BB428" s="1201">
        <v>1</v>
      </c>
      <c r="BC428" s="1813" t="str">
        <f>ROWS(BC374:BC428)&amp;" ►"</f>
        <v>55 ►</v>
      </c>
      <c r="BD428" s="1580"/>
      <c r="BE428" s="95">
        <f>IF(BG429=0,0,(BG428/BG429)*BF373*1000)</f>
        <v>0</v>
      </c>
      <c r="BF428" s="105">
        <f>IF(BG429=0, 0, (AW428*BB428)/(BG429*BF373))</f>
        <v>0</v>
      </c>
      <c r="BG428" s="97" cm="1">
        <f t="array" ref="BG428">IFERROR(_xlfn.XLOOKUP(UPPER(TRIM(BA428)),UPPER(TRIM(AW430:BK430)),AW431:BK431,_xlfn.XLOOKUP(UPPER(TRIM(BA428)),UPPER(TRIM(AW432:BK432)),AW433:BK433,0))*AZ428*IF(AW428&gt;0,AW428,1),0)</f>
        <v>0</v>
      </c>
      <c r="BH428" s="110">
        <f>IF(BJ369&lt;&gt;0,AW428*BB428*BB369,0)</f>
        <v>0</v>
      </c>
      <c r="BI428" s="1748">
        <f t="shared" si="90"/>
        <v>0</v>
      </c>
      <c r="BJ428" s="99">
        <f>IF(OR(ISBLANK(BJ369),BJ369=0),0,BG428*BB428*BB369)</f>
        <v>0</v>
      </c>
      <c r="BK428" s="1617" t="str">
        <f>IF(BA428="","",IF(COUNTIF(BD430:BK430,SUBSTITUTE(TRIM(BA428)," (s)",""))+COUNTIF(BD432:BK432,SUBSTITUTE(TRIM(BA428)," (s)",""))&gt;0,IF(ROUND(BJ428,3)&gt;=1,ROUND(BJ428,3)&amp;" L",MAX(1,ROUND(BJ428*100,0))&amp;" cl"),IF(COUNTIF(AW430:BB430,SUBSTITUTE(TRIM(BA428)," (s)",""))+COUNTIF(AW432:BB432,SUBSTITUTE(TRIM(BA428)," (s)",""))&gt;0,IF(ROUND(BJ428,3)&gt;=1,ROUND(BJ428,3)&amp;" Kg",MAX(1,ROUND(BJ428*1000,0))&amp;" g"),"")))</f>
        <v/>
      </c>
      <c r="BM428" s="3">
        <v>1</v>
      </c>
    </row>
    <row r="429" spans="2:65" ht="21" customHeight="1">
      <c r="B429" s="25" t="s">
        <v>10</v>
      </c>
      <c r="C429" s="31" t="str">
        <f>C370</f>
        <v>MAJUSCULE(GAUCHE(J21;1))&amp;" "&amp;J21&amp;" | "&amp;S21&amp;"| "&amp;J23&amp;" "&amp;K23</v>
      </c>
      <c r="D429" s="32">
        <f>D370</f>
        <v>1</v>
      </c>
      <c r="E429" s="31" t="str">
        <f>E370</f>
        <v>coupe</v>
      </c>
      <c r="F429" s="33" t="str">
        <f>F370</f>
        <v>Recette mère ► MILLE-FEUILLE  aux fraises des bois</v>
      </c>
      <c r="G429" s="680" t="s">
        <v>8411</v>
      </c>
      <c r="H429" s="474"/>
      <c r="I429" s="474"/>
      <c r="J429" s="474"/>
      <c r="K429" s="474"/>
      <c r="L429" s="681"/>
      <c r="M429" s="681"/>
      <c r="N429" s="1984" t="s">
        <v>8652</v>
      </c>
      <c r="O429" s="682"/>
      <c r="P429" s="682"/>
      <c r="Q429" s="1197">
        <f>SUM(Q374:Q428)</f>
        <v>0</v>
      </c>
      <c r="R429" s="683"/>
      <c r="S429" s="683" t="str">
        <f>"Total " &amp; T371&amp;" &gt;"</f>
        <v>Total Col.19 &gt;</v>
      </c>
      <c r="T429" s="1835">
        <f>SUM(T374:T428)</f>
        <v>0</v>
      </c>
      <c r="U429" s="684"/>
      <c r="W429" s="25" t="s">
        <v>10</v>
      </c>
      <c r="X429" s="31" t="str">
        <f>X370</f>
        <v>N NAME OF YOUR RECIPE | paste it — FAMILY|  Author &gt; YOU</v>
      </c>
      <c r="Y429" s="32">
        <f>Y370</f>
        <v>1</v>
      </c>
      <c r="Z429" s="31" t="str">
        <f>Z370</f>
        <v>coupe</v>
      </c>
      <c r="AA429" s="33" t="str">
        <f>AA370</f>
        <v>Master recipe ► MILLE-FEUILLE  aux fraises des bois</v>
      </c>
      <c r="AB429" s="680" t="s">
        <v>8573</v>
      </c>
      <c r="AC429" s="474"/>
      <c r="AD429" s="474"/>
      <c r="AE429" s="474"/>
      <c r="AF429" s="474"/>
      <c r="AG429" s="681"/>
      <c r="AH429" s="681"/>
      <c r="AI429" s="1984" t="s">
        <v>8653</v>
      </c>
      <c r="AJ429" s="682"/>
      <c r="AK429" s="682"/>
      <c r="AL429" s="1197">
        <f>SUM(AL374:AL428)</f>
        <v>0</v>
      </c>
      <c r="AM429" s="683"/>
      <c r="AN429" s="683" t="str">
        <f>"Total " &amp; AO371&amp;" &gt;"</f>
        <v>Total Col.19 &gt;</v>
      </c>
      <c r="AO429" s="1835">
        <f>SUM(AO374:AO428)</f>
        <v>0</v>
      </c>
      <c r="AP429" s="684"/>
      <c r="AR429" s="25" t="s">
        <v>10</v>
      </c>
      <c r="AS429" s="31" t="str">
        <f>AS370</f>
        <v>N NOMBRE DE SU RECETA | pegue esto — FAMILIA| Auteur &gt; VOUS</v>
      </c>
      <c r="AT429" s="32">
        <f>AT370</f>
        <v>1</v>
      </c>
      <c r="AU429" s="31" t="str">
        <f>AU370</f>
        <v>coupe</v>
      </c>
      <c r="AV429" s="33" t="str">
        <f>AV370</f>
        <v>Receta madre ► MILLE-FEUILLE  aux fraises des bois</v>
      </c>
      <c r="AW429" s="680" t="s">
        <v>8574</v>
      </c>
      <c r="AX429" s="474"/>
      <c r="AY429" s="474"/>
      <c r="AZ429" s="474"/>
      <c r="BA429" s="474"/>
      <c r="BB429" s="681"/>
      <c r="BC429" s="681"/>
      <c r="BD429" s="1984" t="s">
        <v>8654</v>
      </c>
      <c r="BE429" s="682"/>
      <c r="BF429" s="682"/>
      <c r="BG429" s="1197">
        <f>SUM(BG374:BG428)</f>
        <v>0</v>
      </c>
      <c r="BH429" s="683"/>
      <c r="BI429" s="683" t="str">
        <f>"Total " &amp; BJ371&amp;" &gt;"</f>
        <v>Total Col.19 &gt;</v>
      </c>
      <c r="BJ429" s="1835">
        <f>SUM(BJ374:BJ428)</f>
        <v>0</v>
      </c>
      <c r="BK429" s="684"/>
      <c r="BM429" s="3">
        <v>1</v>
      </c>
    </row>
    <row r="430" spans="2:65" ht="21" customHeight="1">
      <c r="B430" s="25" t="s">
        <v>10</v>
      </c>
      <c r="C430" s="31" t="str">
        <f>C370</f>
        <v>MAJUSCULE(GAUCHE(J21;1))&amp;" "&amp;J21&amp;" | "&amp;S21&amp;"| "&amp;J23&amp;" "&amp;K23</v>
      </c>
      <c r="D430" s="32">
        <f>D370</f>
        <v>1</v>
      </c>
      <c r="E430" s="31" t="str">
        <f>E370</f>
        <v>coupe</v>
      </c>
      <c r="F430" s="33" t="str">
        <f>F370</f>
        <v>Recette mère ► MILLE-FEUILLE  aux fraises des bois</v>
      </c>
      <c r="G430" s="142" t="s">
        <v>140</v>
      </c>
      <c r="H430" s="104" t="s">
        <v>100</v>
      </c>
      <c r="I430" s="143" t="s">
        <v>141</v>
      </c>
      <c r="J430" s="144" t="s">
        <v>142</v>
      </c>
      <c r="K430" s="118" t="s">
        <v>143</v>
      </c>
      <c r="L430" s="118" t="s">
        <v>109</v>
      </c>
      <c r="M430" s="143" t="s">
        <v>141</v>
      </c>
      <c r="N430" s="93" t="s">
        <v>0</v>
      </c>
      <c r="O430" s="93" t="s">
        <v>97</v>
      </c>
      <c r="P430" s="93" t="s">
        <v>144</v>
      </c>
      <c r="Q430" s="93" t="s">
        <v>145</v>
      </c>
      <c r="R430" s="109" t="s">
        <v>104</v>
      </c>
      <c r="S430" s="109" t="s">
        <v>359</v>
      </c>
      <c r="T430" s="335" t="s">
        <v>146</v>
      </c>
      <c r="U430" s="109" t="s">
        <v>147</v>
      </c>
      <c r="W430" s="25" t="s">
        <v>10</v>
      </c>
      <c r="X430" s="31" t="str">
        <f>X370</f>
        <v>N NAME OF YOUR RECIPE | paste it — FAMILY|  Author &gt; YOU</v>
      </c>
      <c r="Y430" s="32">
        <f>Y370</f>
        <v>1</v>
      </c>
      <c r="Z430" s="31" t="str">
        <f>Z370</f>
        <v>coupe</v>
      </c>
      <c r="AA430" s="33" t="str">
        <f>AA370</f>
        <v>Master recipe ► MILLE-FEUILLE  aux fraises des bois</v>
      </c>
      <c r="AB430" s="422" t="s">
        <v>140</v>
      </c>
      <c r="AC430" s="104" t="s">
        <v>100</v>
      </c>
      <c r="AD430" s="143" t="s">
        <v>1327</v>
      </c>
      <c r="AE430" s="118" t="s">
        <v>1320</v>
      </c>
      <c r="AF430" s="118" t="s">
        <v>1321</v>
      </c>
      <c r="AG430" s="118" t="s">
        <v>1322</v>
      </c>
      <c r="AH430" s="143" t="s">
        <v>141</v>
      </c>
      <c r="AI430" s="93" t="s">
        <v>0</v>
      </c>
      <c r="AJ430" s="93" t="s">
        <v>97</v>
      </c>
      <c r="AK430" s="93" t="s">
        <v>144</v>
      </c>
      <c r="AL430" s="93" t="s">
        <v>145</v>
      </c>
      <c r="AM430" s="109" t="s">
        <v>1341</v>
      </c>
      <c r="AN430" s="109" t="s">
        <v>1323</v>
      </c>
      <c r="AO430" s="109" t="s">
        <v>1324</v>
      </c>
      <c r="AP430" s="335" t="s">
        <v>1325</v>
      </c>
      <c r="AR430" s="25" t="s">
        <v>10</v>
      </c>
      <c r="AS430" s="31" t="str">
        <f>AS370</f>
        <v>N NOMBRE DE SU RECETA | pegue esto — FAMILIA| Auteur &gt; VOUS</v>
      </c>
      <c r="AT430" s="32">
        <f>AT370</f>
        <v>1</v>
      </c>
      <c r="AU430" s="31" t="str">
        <f>AU370</f>
        <v>coupe</v>
      </c>
      <c r="AV430" s="33" t="str">
        <f>AV370</f>
        <v>Receta madre ► MILLE-FEUILLE  aux fraises des bois</v>
      </c>
      <c r="AW430" s="422" t="s">
        <v>140</v>
      </c>
      <c r="AX430" s="104" t="s">
        <v>100</v>
      </c>
      <c r="AY430" s="143" t="s">
        <v>1309</v>
      </c>
      <c r="AZ430" s="118" t="s">
        <v>1301</v>
      </c>
      <c r="BA430" s="118" t="s">
        <v>1302</v>
      </c>
      <c r="BB430" s="118" t="s">
        <v>1303</v>
      </c>
      <c r="BC430" s="143" t="s">
        <v>141</v>
      </c>
      <c r="BD430" s="93" t="s">
        <v>0</v>
      </c>
      <c r="BE430" s="93" t="s">
        <v>97</v>
      </c>
      <c r="BF430" s="93" t="s">
        <v>144</v>
      </c>
      <c r="BG430" s="93" t="s">
        <v>145</v>
      </c>
      <c r="BH430" s="335" t="s">
        <v>1306</v>
      </c>
      <c r="BI430" s="2104" t="s">
        <v>1342</v>
      </c>
      <c r="BJ430" s="2104" t="s">
        <v>1305</v>
      </c>
      <c r="BK430" s="2104" t="s">
        <v>1306</v>
      </c>
      <c r="BM430" s="3">
        <v>1</v>
      </c>
    </row>
    <row r="431" spans="2:65" ht="21" customHeight="1">
      <c r="B431" s="25" t="s">
        <v>10</v>
      </c>
      <c r="C431" s="31" t="str">
        <f>C370</f>
        <v>MAJUSCULE(GAUCHE(J21;1))&amp;" "&amp;J21&amp;" | "&amp;S21&amp;"| "&amp;J23&amp;" "&amp;K23</v>
      </c>
      <c r="D431" s="32">
        <f>D370</f>
        <v>1</v>
      </c>
      <c r="E431" s="31" t="str">
        <f>E370</f>
        <v>coupe</v>
      </c>
      <c r="F431" s="33" t="str">
        <f>F370</f>
        <v>Recette mère ► MILLE-FEUILLE  aux fraises des bois</v>
      </c>
      <c r="G431" s="685">
        <v>1</v>
      </c>
      <c r="H431" s="686">
        <v>1E-3</v>
      </c>
      <c r="I431" s="687">
        <v>0</v>
      </c>
      <c r="J431" s="686">
        <v>0.25</v>
      </c>
      <c r="K431" s="686">
        <v>0.33332999999999996</v>
      </c>
      <c r="L431" s="686">
        <v>0.5</v>
      </c>
      <c r="M431" s="687">
        <v>0</v>
      </c>
      <c r="N431" s="688">
        <v>1</v>
      </c>
      <c r="O431" s="688">
        <v>0.1</v>
      </c>
      <c r="P431" s="688">
        <v>0.01</v>
      </c>
      <c r="Q431" s="688">
        <v>1E-3</v>
      </c>
      <c r="R431" s="688">
        <v>0.5</v>
      </c>
      <c r="S431" s="688">
        <v>0.25</v>
      </c>
      <c r="T431" s="688">
        <v>0.33300000000000002</v>
      </c>
      <c r="U431" s="1756">
        <v>0.2</v>
      </c>
      <c r="W431" s="25" t="s">
        <v>10</v>
      </c>
      <c r="X431" s="31" t="str">
        <f>X370</f>
        <v>N NAME OF YOUR RECIPE | paste it — FAMILY|  Author &gt; YOU</v>
      </c>
      <c r="Y431" s="32">
        <f>Y370</f>
        <v>1</v>
      </c>
      <c r="Z431" s="31" t="str">
        <f>Z370</f>
        <v>coupe</v>
      </c>
      <c r="AA431" s="33" t="str">
        <f>AA370</f>
        <v>Master recipe ► MILLE-FEUILLE  aux fraises des bois</v>
      </c>
      <c r="AB431" s="685">
        <v>1</v>
      </c>
      <c r="AC431" s="686">
        <v>1E-3</v>
      </c>
      <c r="AD431" s="687">
        <v>0</v>
      </c>
      <c r="AE431" s="686">
        <v>0.25</v>
      </c>
      <c r="AF431" s="686">
        <v>0.33332999999999996</v>
      </c>
      <c r="AG431" s="686">
        <v>0.5</v>
      </c>
      <c r="AH431" s="687">
        <v>0</v>
      </c>
      <c r="AI431" s="688">
        <v>1</v>
      </c>
      <c r="AJ431" s="688">
        <v>0.1</v>
      </c>
      <c r="AK431" s="688">
        <v>0.01</v>
      </c>
      <c r="AL431" s="688">
        <v>1E-3</v>
      </c>
      <c r="AM431" s="688">
        <v>0.25</v>
      </c>
      <c r="AN431" s="688">
        <v>0.5</v>
      </c>
      <c r="AO431" s="688">
        <v>0.33300000000000002</v>
      </c>
      <c r="AP431" s="688">
        <v>0.2</v>
      </c>
      <c r="AR431" s="25" t="s">
        <v>10</v>
      </c>
      <c r="AS431" s="31" t="str">
        <f>AS370</f>
        <v>N NOMBRE DE SU RECETA | pegue esto — FAMILIA| Auteur &gt; VOUS</v>
      </c>
      <c r="AT431" s="32">
        <f>AT370</f>
        <v>1</v>
      </c>
      <c r="AU431" s="31" t="str">
        <f>AU370</f>
        <v>coupe</v>
      </c>
      <c r="AV431" s="33" t="str">
        <f>AV370</f>
        <v>Receta madre ► MILLE-FEUILLE  aux fraises des bois</v>
      </c>
      <c r="AW431" s="685">
        <v>1</v>
      </c>
      <c r="AX431" s="686">
        <v>1E-3</v>
      </c>
      <c r="AY431" s="687">
        <v>0</v>
      </c>
      <c r="AZ431" s="686">
        <v>0.25</v>
      </c>
      <c r="BA431" s="686">
        <v>0.33332999999999996</v>
      </c>
      <c r="BB431" s="686">
        <v>0.5</v>
      </c>
      <c r="BC431" s="687">
        <v>0</v>
      </c>
      <c r="BD431" s="688">
        <v>1</v>
      </c>
      <c r="BE431" s="688">
        <v>0.1</v>
      </c>
      <c r="BF431" s="688">
        <v>0.01</v>
      </c>
      <c r="BG431" s="688">
        <v>1E-3</v>
      </c>
      <c r="BH431" s="688">
        <v>0.2</v>
      </c>
      <c r="BI431" s="1882">
        <v>0.25</v>
      </c>
      <c r="BJ431" s="1882">
        <v>0.33300000000000002</v>
      </c>
      <c r="BK431" s="1882">
        <v>0.2</v>
      </c>
      <c r="BM431" s="3">
        <v>1</v>
      </c>
    </row>
    <row r="432" spans="2:65" ht="21" customHeight="1">
      <c r="B432" s="25" t="s">
        <v>10</v>
      </c>
      <c r="C432" s="31" t="str">
        <f>C370</f>
        <v>MAJUSCULE(GAUCHE(J21;1))&amp;" "&amp;J21&amp;" | "&amp;S21&amp;"| "&amp;J23&amp;" "&amp;K23</v>
      </c>
      <c r="D432" s="32">
        <f>D370</f>
        <v>1</v>
      </c>
      <c r="E432" s="31" t="str">
        <f>E370</f>
        <v>coupe</v>
      </c>
      <c r="F432" s="33" t="str">
        <f>F370</f>
        <v>Recette mère ► MILLE-FEUILLE  aux fraises des bois</v>
      </c>
      <c r="G432" s="121" t="s">
        <v>155</v>
      </c>
      <c r="H432" s="121" t="s">
        <v>156</v>
      </c>
      <c r="I432" s="143" t="s">
        <v>141</v>
      </c>
      <c r="J432" s="121" t="s">
        <v>110</v>
      </c>
      <c r="K432" s="121" t="s">
        <v>157</v>
      </c>
      <c r="L432" s="121" t="s">
        <v>158</v>
      </c>
      <c r="M432" s="143" t="s">
        <v>141</v>
      </c>
      <c r="N432" s="125" t="s">
        <v>115</v>
      </c>
      <c r="O432" s="155" t="s">
        <v>159</v>
      </c>
      <c r="P432" s="155" t="s">
        <v>160</v>
      </c>
      <c r="Q432" s="109" t="s">
        <v>161</v>
      </c>
      <c r="R432" s="109" t="s">
        <v>162</v>
      </c>
      <c r="S432" s="109" t="s">
        <v>105</v>
      </c>
      <c r="T432" s="1758" t="s">
        <v>1689</v>
      </c>
      <c r="U432" s="697" t="s">
        <v>163</v>
      </c>
      <c r="W432" s="25" t="s">
        <v>10</v>
      </c>
      <c r="X432" s="31" t="str">
        <f>X370</f>
        <v>N NAME OF YOUR RECIPE | paste it — FAMILY|  Author &gt; YOU</v>
      </c>
      <c r="Y432" s="32">
        <f>Y370</f>
        <v>1</v>
      </c>
      <c r="Z432" s="31" t="str">
        <f>Z370</f>
        <v>coupe</v>
      </c>
      <c r="AA432" s="33" t="str">
        <f>AA370</f>
        <v>Master recipe ► MILLE-FEUILLE  aux fraises des bois</v>
      </c>
      <c r="AB432" s="121" t="s">
        <v>155</v>
      </c>
      <c r="AC432" s="121" t="s">
        <v>1326</v>
      </c>
      <c r="AD432" s="143" t="s">
        <v>1327</v>
      </c>
      <c r="AE432" s="121" t="s">
        <v>1328</v>
      </c>
      <c r="AF432" s="121" t="s">
        <v>1329</v>
      </c>
      <c r="AG432" s="121" t="s">
        <v>1343</v>
      </c>
      <c r="AH432" s="143" t="s">
        <v>141</v>
      </c>
      <c r="AI432" s="155" t="s">
        <v>1330</v>
      </c>
      <c r="AJ432" s="155" t="s">
        <v>1331</v>
      </c>
      <c r="AK432" s="155"/>
      <c r="AL432" s="155" t="s">
        <v>1332</v>
      </c>
      <c r="AM432" s="109" t="s">
        <v>1333</v>
      </c>
      <c r="AN432" s="109" t="s">
        <v>1334</v>
      </c>
      <c r="AO432" s="109" t="s">
        <v>1335</v>
      </c>
      <c r="AP432" s="697" t="s">
        <v>1689</v>
      </c>
      <c r="AR432" s="25" t="s">
        <v>10</v>
      </c>
      <c r="AS432" s="31" t="str">
        <f>AS370</f>
        <v>N NOMBRE DE SU RECETA | pegue esto — FAMILIA| Auteur &gt; VOUS</v>
      </c>
      <c r="AT432" s="32">
        <f>AT370</f>
        <v>1</v>
      </c>
      <c r="AU432" s="31" t="str">
        <f>AU370</f>
        <v>coupe</v>
      </c>
      <c r="AV432" s="33" t="str">
        <f>AV370</f>
        <v>Receta madre ► MILLE-FEUILLE  aux fraises des bois</v>
      </c>
      <c r="AW432" s="121" t="s">
        <v>1307</v>
      </c>
      <c r="AX432" s="121" t="s">
        <v>1308</v>
      </c>
      <c r="AY432" s="143" t="s">
        <v>1309</v>
      </c>
      <c r="AZ432" s="121" t="s">
        <v>1310</v>
      </c>
      <c r="BA432" s="121" t="s">
        <v>1311</v>
      </c>
      <c r="BB432" s="121" t="s">
        <v>1312</v>
      </c>
      <c r="BC432" s="143" t="s">
        <v>141</v>
      </c>
      <c r="BD432" s="125" t="s">
        <v>1313</v>
      </c>
      <c r="BE432" s="155" t="s">
        <v>1314</v>
      </c>
      <c r="BF432" s="155" t="s">
        <v>1315</v>
      </c>
      <c r="BG432" s="109" t="s">
        <v>1316</v>
      </c>
      <c r="BH432" s="109" t="s">
        <v>1317</v>
      </c>
      <c r="BI432" s="109" t="s">
        <v>1318</v>
      </c>
      <c r="BJ432" s="697" t="s">
        <v>1689</v>
      </c>
      <c r="BK432" s="697" t="s">
        <v>1319</v>
      </c>
      <c r="BM432" s="3">
        <v>1</v>
      </c>
    </row>
    <row r="433" spans="2:65" ht="21" customHeight="1">
      <c r="B433" s="25" t="s">
        <v>10</v>
      </c>
      <c r="C433" s="31" t="str">
        <f>C370</f>
        <v>MAJUSCULE(GAUCHE(J21;1))&amp;" "&amp;J21&amp;" | "&amp;S21&amp;"| "&amp;J23&amp;" "&amp;K23</v>
      </c>
      <c r="D433" s="32">
        <f>D370</f>
        <v>1</v>
      </c>
      <c r="E433" s="31" t="str">
        <f>E370</f>
        <v>coupe</v>
      </c>
      <c r="F433" s="1991" t="str">
        <f>F370</f>
        <v>Recette mère ► MILLE-FEUILLE  aux fraises des bois</v>
      </c>
      <c r="G433" s="685">
        <v>2.835E-2</v>
      </c>
      <c r="H433" s="686">
        <v>0.13</v>
      </c>
      <c r="I433" s="687">
        <v>0</v>
      </c>
      <c r="J433" s="686">
        <v>0.2</v>
      </c>
      <c r="K433" s="686">
        <v>0.23</v>
      </c>
      <c r="L433" s="686">
        <v>0.22500000000000001</v>
      </c>
      <c r="M433" s="687">
        <v>0</v>
      </c>
      <c r="N433" s="688">
        <v>0.35</v>
      </c>
      <c r="O433" s="688">
        <v>5.0000000000000001E-3</v>
      </c>
      <c r="P433" s="688">
        <v>5.0000000000000001E-3</v>
      </c>
      <c r="Q433" s="688">
        <v>1.4999999999999999E-2</v>
      </c>
      <c r="R433" s="688">
        <v>0.1</v>
      </c>
      <c r="S433" s="688">
        <v>0.22500000000000001</v>
      </c>
      <c r="T433" s="688">
        <v>4.0000000000000001E-3</v>
      </c>
      <c r="U433" s="1757">
        <v>1E-3</v>
      </c>
      <c r="W433" s="25" t="s">
        <v>10</v>
      </c>
      <c r="X433" s="31" t="str">
        <f>X370</f>
        <v>N NAME OF YOUR RECIPE | paste it — FAMILY|  Author &gt; YOU</v>
      </c>
      <c r="Y433" s="32">
        <f>Y370</f>
        <v>1</v>
      </c>
      <c r="Z433" s="31" t="str">
        <f>Z370</f>
        <v>coupe</v>
      </c>
      <c r="AA433" s="33" t="str">
        <f>AA370</f>
        <v>Master recipe ► MILLE-FEUILLE  aux fraises des bois</v>
      </c>
      <c r="AB433" s="690">
        <v>2.835E-2</v>
      </c>
      <c r="AC433" s="691">
        <v>0.13</v>
      </c>
      <c r="AD433" s="692">
        <v>0</v>
      </c>
      <c r="AE433" s="691">
        <v>0.2</v>
      </c>
      <c r="AF433" s="691">
        <v>0.23</v>
      </c>
      <c r="AG433" s="691">
        <v>0.22500000000000001</v>
      </c>
      <c r="AH433" s="687">
        <v>0</v>
      </c>
      <c r="AI433" s="688">
        <v>0.35</v>
      </c>
      <c r="AJ433" s="688">
        <v>5.0000000000000001E-3</v>
      </c>
      <c r="AK433" s="688"/>
      <c r="AL433" s="688">
        <v>5.0000000000000001E-3</v>
      </c>
      <c r="AM433" s="688">
        <v>1.4999999999999999E-2</v>
      </c>
      <c r="AN433" s="688">
        <v>0.1</v>
      </c>
      <c r="AO433" s="688">
        <v>0.22500000000000001</v>
      </c>
      <c r="AP433" s="688">
        <v>4.0000000000000001E-3</v>
      </c>
      <c r="AR433" s="25" t="s">
        <v>10</v>
      </c>
      <c r="AS433" s="31" t="str">
        <f>AS370</f>
        <v>N NOMBRE DE SU RECETA | pegue esto — FAMILIA| Auteur &gt; VOUS</v>
      </c>
      <c r="AT433" s="32">
        <f>AT370</f>
        <v>1</v>
      </c>
      <c r="AU433" s="31" t="str">
        <f>AU370</f>
        <v>coupe</v>
      </c>
      <c r="AV433" s="33" t="str">
        <f>AV370</f>
        <v>Receta madre ► MILLE-FEUILLE  aux fraises des bois</v>
      </c>
      <c r="AW433" s="690">
        <v>2.835E-2</v>
      </c>
      <c r="AX433" s="691">
        <v>0.13</v>
      </c>
      <c r="AY433" s="692">
        <v>0</v>
      </c>
      <c r="AZ433" s="691">
        <v>0.2</v>
      </c>
      <c r="BA433" s="691">
        <v>0.23</v>
      </c>
      <c r="BB433" s="691">
        <v>0.22500000000000001</v>
      </c>
      <c r="BC433" s="687">
        <v>0</v>
      </c>
      <c r="BD433" s="688">
        <v>0.35</v>
      </c>
      <c r="BE433" s="688">
        <v>5.0000000000000001E-3</v>
      </c>
      <c r="BF433" s="688">
        <v>5.0000000000000001E-3</v>
      </c>
      <c r="BG433" s="688">
        <v>1.4999999999999999E-2</v>
      </c>
      <c r="BH433" s="688">
        <v>0.1</v>
      </c>
      <c r="BI433" s="688">
        <v>0.22500000000000001</v>
      </c>
      <c r="BJ433" s="688">
        <v>4.0000000000000001E-3</v>
      </c>
      <c r="BK433" s="1757">
        <v>1E-3</v>
      </c>
      <c r="BM433" s="3">
        <v>1</v>
      </c>
    </row>
    <row r="434" spans="2:65" ht="21" customHeight="1">
      <c r="B434" s="25" t="s">
        <v>15</v>
      </c>
      <c r="C434" s="5563" t="str">
        <f t="shared" ref="C434:U434" si="94">SUBSTITUTE(ADDRESS(1,COLUMN(),4),"1","")</f>
        <v>C</v>
      </c>
      <c r="D434" s="5563" t="str">
        <f t="shared" si="94"/>
        <v>D</v>
      </c>
      <c r="E434" s="5563" t="str">
        <f t="shared" si="94"/>
        <v>E</v>
      </c>
      <c r="F434" s="5563" t="str">
        <f t="shared" si="94"/>
        <v>F</v>
      </c>
      <c r="G434" s="5563" t="str">
        <f t="shared" si="94"/>
        <v>G</v>
      </c>
      <c r="H434" s="5563" t="str">
        <f t="shared" si="94"/>
        <v>H</v>
      </c>
      <c r="I434" s="5563" t="str">
        <f t="shared" si="94"/>
        <v>I</v>
      </c>
      <c r="J434" s="5563" t="str">
        <f t="shared" si="94"/>
        <v>J</v>
      </c>
      <c r="K434" s="5563" t="str">
        <f t="shared" si="94"/>
        <v>K</v>
      </c>
      <c r="L434" s="5563" t="str">
        <f t="shared" si="94"/>
        <v>L</v>
      </c>
      <c r="M434" s="5603" t="str">
        <f t="shared" si="94"/>
        <v>M</v>
      </c>
      <c r="N434" s="5563" t="str">
        <f t="shared" si="94"/>
        <v>N</v>
      </c>
      <c r="O434" s="5563" t="str">
        <f t="shared" si="94"/>
        <v>O</v>
      </c>
      <c r="P434" s="5563" t="str">
        <f t="shared" si="94"/>
        <v>P</v>
      </c>
      <c r="Q434" s="5563" t="str">
        <f t="shared" si="94"/>
        <v>Q</v>
      </c>
      <c r="R434" s="6003" t="str">
        <f t="shared" si="94"/>
        <v>R</v>
      </c>
      <c r="S434" s="5563" t="str">
        <f t="shared" si="94"/>
        <v>S</v>
      </c>
      <c r="T434" s="5563" t="str">
        <f t="shared" si="94"/>
        <v>T</v>
      </c>
      <c r="U434" s="6002" t="str">
        <f t="shared" si="94"/>
        <v>U</v>
      </c>
      <c r="V434" s="6628" t="s">
        <v>8774</v>
      </c>
      <c r="W434" s="25" t="s">
        <v>15</v>
      </c>
      <c r="X434" s="5563" t="str">
        <f t="shared" ref="X434:AP434" si="95">SUBSTITUTE(ADDRESS(1,COLUMN(),4),"1","")</f>
        <v>X</v>
      </c>
      <c r="Y434" s="5563" t="str">
        <f t="shared" si="95"/>
        <v>Y</v>
      </c>
      <c r="Z434" s="5563" t="str">
        <f t="shared" si="95"/>
        <v>Z</v>
      </c>
      <c r="AA434" s="5563" t="str">
        <f t="shared" si="95"/>
        <v>AA</v>
      </c>
      <c r="AB434" s="5563" t="str">
        <f t="shared" si="95"/>
        <v>AB</v>
      </c>
      <c r="AC434" s="5563" t="str">
        <f t="shared" si="95"/>
        <v>AC</v>
      </c>
      <c r="AD434" s="5563" t="str">
        <f t="shared" si="95"/>
        <v>AD</v>
      </c>
      <c r="AE434" s="5563" t="str">
        <f t="shared" si="95"/>
        <v>AE</v>
      </c>
      <c r="AF434" s="5563" t="str">
        <f t="shared" si="95"/>
        <v>AF</v>
      </c>
      <c r="AG434" s="5563" t="str">
        <f t="shared" si="95"/>
        <v>AG</v>
      </c>
      <c r="AH434" s="5603" t="str">
        <f t="shared" si="95"/>
        <v>AH</v>
      </c>
      <c r="AI434" s="5563" t="str">
        <f t="shared" si="95"/>
        <v>AI</v>
      </c>
      <c r="AJ434" s="5563" t="str">
        <f t="shared" si="95"/>
        <v>AJ</v>
      </c>
      <c r="AK434" s="5563" t="str">
        <f t="shared" si="95"/>
        <v>AK</v>
      </c>
      <c r="AL434" s="5563" t="str">
        <f t="shared" si="95"/>
        <v>AL</v>
      </c>
      <c r="AM434" s="6003" t="str">
        <f t="shared" si="95"/>
        <v>AM</v>
      </c>
      <c r="AN434" s="5563" t="str">
        <f t="shared" si="95"/>
        <v>AN</v>
      </c>
      <c r="AO434" s="5563" t="str">
        <f t="shared" si="95"/>
        <v>AO</v>
      </c>
      <c r="AP434" s="6002" t="str">
        <f t="shared" si="95"/>
        <v>AP</v>
      </c>
      <c r="AQ434" s="6628" t="s">
        <v>8775</v>
      </c>
      <c r="AR434" s="25" t="s">
        <v>15</v>
      </c>
      <c r="AS434" s="5563" t="str">
        <f t="shared" ref="AS434:BK434" si="96">SUBSTITUTE(ADDRESS(1,COLUMN(),4),"1","")</f>
        <v>AS</v>
      </c>
      <c r="AT434" s="5563" t="str">
        <f t="shared" si="96"/>
        <v>AT</v>
      </c>
      <c r="AU434" s="5563" t="str">
        <f t="shared" si="96"/>
        <v>AU</v>
      </c>
      <c r="AV434" s="5563" t="str">
        <f t="shared" si="96"/>
        <v>AV</v>
      </c>
      <c r="AW434" s="5563" t="str">
        <f t="shared" si="96"/>
        <v>AW</v>
      </c>
      <c r="AX434" s="5563" t="str">
        <f t="shared" si="96"/>
        <v>AX</v>
      </c>
      <c r="AY434" s="5563" t="str">
        <f t="shared" si="96"/>
        <v>AY</v>
      </c>
      <c r="AZ434" s="5563" t="str">
        <f t="shared" si="96"/>
        <v>AZ</v>
      </c>
      <c r="BA434" s="5563" t="str">
        <f t="shared" si="96"/>
        <v>BA</v>
      </c>
      <c r="BB434" s="5563" t="str">
        <f t="shared" si="96"/>
        <v>BB</v>
      </c>
      <c r="BC434" s="5603" t="str">
        <f t="shared" si="96"/>
        <v>BC</v>
      </c>
      <c r="BD434" s="5563" t="str">
        <f t="shared" si="96"/>
        <v>BD</v>
      </c>
      <c r="BE434" s="5563" t="str">
        <f t="shared" si="96"/>
        <v>BE</v>
      </c>
      <c r="BF434" s="5563" t="str">
        <f t="shared" si="96"/>
        <v>BF</v>
      </c>
      <c r="BG434" s="5563" t="str">
        <f t="shared" si="96"/>
        <v>BG</v>
      </c>
      <c r="BH434" s="6003" t="str">
        <f t="shared" si="96"/>
        <v>BH</v>
      </c>
      <c r="BI434" s="5563" t="str">
        <f t="shared" si="96"/>
        <v>BI</v>
      </c>
      <c r="BJ434" s="5563" t="str">
        <f t="shared" si="96"/>
        <v>BJ</v>
      </c>
      <c r="BK434" s="6002" t="str">
        <f t="shared" si="96"/>
        <v>BK</v>
      </c>
      <c r="BL434" s="6628" t="s">
        <v>8776</v>
      </c>
      <c r="BM434" s="3">
        <v>1</v>
      </c>
    </row>
    <row r="435" spans="2:65" ht="21" customHeight="1">
      <c r="B435" s="25" t="s">
        <v>10</v>
      </c>
      <c r="C435" s="5601">
        <f t="shared" ref="C435:U435" ca="1" si="97">CELL("largeur",C435)</f>
        <v>3</v>
      </c>
      <c r="D435" s="5601">
        <f t="shared" ca="1" si="97"/>
        <v>3</v>
      </c>
      <c r="E435" s="5601">
        <f t="shared" ca="1" si="97"/>
        <v>3</v>
      </c>
      <c r="F435" s="5601">
        <f t="shared" ca="1" si="97"/>
        <v>5</v>
      </c>
      <c r="G435" s="5601">
        <f t="shared" ca="1" si="97"/>
        <v>12</v>
      </c>
      <c r="H435" s="5601">
        <f t="shared" ca="1" si="97"/>
        <v>12</v>
      </c>
      <c r="I435" s="5601">
        <f t="shared" ca="1" si="97"/>
        <v>3</v>
      </c>
      <c r="J435" s="5601">
        <f t="shared" ca="1" si="97"/>
        <v>9</v>
      </c>
      <c r="K435" s="5601">
        <f t="shared" ca="1" si="97"/>
        <v>12</v>
      </c>
      <c r="L435" s="5601">
        <f t="shared" ca="1" si="97"/>
        <v>13</v>
      </c>
      <c r="M435" s="5604">
        <f t="shared" ca="1" si="97"/>
        <v>6</v>
      </c>
      <c r="N435" s="5602">
        <f t="shared" ca="1" si="97"/>
        <v>40</v>
      </c>
      <c r="O435" s="5602">
        <f t="shared" ca="1" si="97"/>
        <v>10</v>
      </c>
      <c r="P435" s="5602">
        <f t="shared" ca="1" si="97"/>
        <v>9</v>
      </c>
      <c r="Q435" s="5602">
        <f t="shared" ca="1" si="97"/>
        <v>18</v>
      </c>
      <c r="R435" s="5604">
        <f t="shared" ca="1" si="97"/>
        <v>13</v>
      </c>
      <c r="S435" s="5602">
        <f t="shared" ca="1" si="97"/>
        <v>13</v>
      </c>
      <c r="T435" s="5602">
        <f t="shared" ca="1" si="97"/>
        <v>13</v>
      </c>
      <c r="U435" s="6001">
        <f t="shared" ca="1" si="97"/>
        <v>17</v>
      </c>
      <c r="V435" s="6628"/>
      <c r="W435" s="25" t="s">
        <v>10</v>
      </c>
      <c r="X435" s="5601">
        <f t="shared" ref="X435:AP435" ca="1" si="98">CELL("largeur",X435)</f>
        <v>3</v>
      </c>
      <c r="Y435" s="5601">
        <f t="shared" ca="1" si="98"/>
        <v>3</v>
      </c>
      <c r="Z435" s="5601">
        <f t="shared" ca="1" si="98"/>
        <v>3</v>
      </c>
      <c r="AA435" s="5601">
        <f t="shared" ca="1" si="98"/>
        <v>5</v>
      </c>
      <c r="AB435" s="5601">
        <f t="shared" ca="1" si="98"/>
        <v>12</v>
      </c>
      <c r="AC435" s="5601">
        <f t="shared" ca="1" si="98"/>
        <v>12</v>
      </c>
      <c r="AD435" s="5601">
        <f t="shared" ca="1" si="98"/>
        <v>3</v>
      </c>
      <c r="AE435" s="5601">
        <f t="shared" ca="1" si="98"/>
        <v>9</v>
      </c>
      <c r="AF435" s="5601">
        <f t="shared" ca="1" si="98"/>
        <v>12</v>
      </c>
      <c r="AG435" s="5601">
        <f t="shared" ca="1" si="98"/>
        <v>13</v>
      </c>
      <c r="AH435" s="5604">
        <f t="shared" ca="1" si="98"/>
        <v>6</v>
      </c>
      <c r="AI435" s="5602">
        <f t="shared" ca="1" si="98"/>
        <v>40</v>
      </c>
      <c r="AJ435" s="5602">
        <f t="shared" ca="1" si="98"/>
        <v>10</v>
      </c>
      <c r="AK435" s="5602">
        <f t="shared" ca="1" si="98"/>
        <v>9</v>
      </c>
      <c r="AL435" s="5602">
        <f t="shared" ca="1" si="98"/>
        <v>18</v>
      </c>
      <c r="AM435" s="5604">
        <f t="shared" ca="1" si="98"/>
        <v>13</v>
      </c>
      <c r="AN435" s="5602">
        <f t="shared" ca="1" si="98"/>
        <v>13</v>
      </c>
      <c r="AO435" s="5602">
        <f t="shared" ca="1" si="98"/>
        <v>13</v>
      </c>
      <c r="AP435" s="6001">
        <f t="shared" ca="1" si="98"/>
        <v>17</v>
      </c>
      <c r="AQ435" s="6628"/>
      <c r="AR435" s="25" t="s">
        <v>10</v>
      </c>
      <c r="AS435" s="5601">
        <f t="shared" ref="AS435:BK435" ca="1" si="99">CELL("largeur",AS435)</f>
        <v>3</v>
      </c>
      <c r="AT435" s="5601">
        <f t="shared" ca="1" si="99"/>
        <v>3</v>
      </c>
      <c r="AU435" s="5601">
        <f t="shared" ca="1" si="99"/>
        <v>3</v>
      </c>
      <c r="AV435" s="5601">
        <f t="shared" ca="1" si="99"/>
        <v>5</v>
      </c>
      <c r="AW435" s="5601">
        <f t="shared" ca="1" si="99"/>
        <v>12</v>
      </c>
      <c r="AX435" s="5601">
        <f t="shared" ca="1" si="99"/>
        <v>12</v>
      </c>
      <c r="AY435" s="5601">
        <f t="shared" ca="1" si="99"/>
        <v>3</v>
      </c>
      <c r="AZ435" s="5601">
        <f t="shared" ca="1" si="99"/>
        <v>9</v>
      </c>
      <c r="BA435" s="5601">
        <f t="shared" ca="1" si="99"/>
        <v>12</v>
      </c>
      <c r="BB435" s="5601">
        <f t="shared" ca="1" si="99"/>
        <v>13</v>
      </c>
      <c r="BC435" s="5604">
        <f t="shared" ca="1" si="99"/>
        <v>6</v>
      </c>
      <c r="BD435" s="5602">
        <f t="shared" ca="1" si="99"/>
        <v>40</v>
      </c>
      <c r="BE435" s="5602">
        <f t="shared" ca="1" si="99"/>
        <v>10</v>
      </c>
      <c r="BF435" s="5602">
        <f t="shared" ca="1" si="99"/>
        <v>9</v>
      </c>
      <c r="BG435" s="5602">
        <f t="shared" ca="1" si="99"/>
        <v>18</v>
      </c>
      <c r="BH435" s="5604">
        <f t="shared" ca="1" si="99"/>
        <v>13</v>
      </c>
      <c r="BI435" s="5602">
        <f t="shared" ca="1" si="99"/>
        <v>13</v>
      </c>
      <c r="BJ435" s="5602">
        <f t="shared" ca="1" si="99"/>
        <v>13</v>
      </c>
      <c r="BK435" s="6001">
        <f t="shared" ca="1" si="99"/>
        <v>17</v>
      </c>
      <c r="BL435" s="6628"/>
      <c r="BM435" s="3">
        <v>1</v>
      </c>
    </row>
    <row r="436" spans="2:65" ht="21" customHeight="1">
      <c r="B436" s="162" t="s">
        <v>10</v>
      </c>
      <c r="C436" s="1370" t="str">
        <f>C370</f>
        <v>MAJUSCULE(GAUCHE(J21;1))&amp;" "&amp;J21&amp;" | "&amp;S21&amp;"| "&amp;J23&amp;" "&amp;K23</v>
      </c>
      <c r="D436" s="1348">
        <f>D370</f>
        <v>1</v>
      </c>
      <c r="E436" s="1349" t="str">
        <f>E370</f>
        <v>coupe</v>
      </c>
      <c r="F436" s="1350" t="str">
        <f>F370</f>
        <v>Recette mère ► MILLE-FEUILLE  aux fraises des bois</v>
      </c>
      <c r="G436" s="6039" t="str">
        <f ca="1">"Phases de progression largeur &gt; "&amp;SUM(M435:U435)</f>
        <v>Phases de progression largeur &gt; 139</v>
      </c>
      <c r="H436" s="6038"/>
      <c r="I436" s="1986"/>
      <c r="J436" s="1986"/>
      <c r="K436" s="1986"/>
      <c r="L436" s="1987" t="s">
        <v>8145</v>
      </c>
      <c r="M436" s="1988" t="s">
        <v>821</v>
      </c>
      <c r="N436" s="1941"/>
      <c r="O436" s="5999" t="str">
        <f ca="1">"largeur mini  = "&amp;SUM(M435:R435)</f>
        <v>largeur mini  = 96</v>
      </c>
      <c r="P436" s="6000" t="str">
        <f ca="1">"largeur maxi  = "&amp;SUM(M435:U435)</f>
        <v>largeur maxi  = 139</v>
      </c>
      <c r="Q436" s="1942"/>
      <c r="R436" s="1942"/>
      <c r="S436" s="1989"/>
      <c r="T436" s="1989"/>
      <c r="U436" s="1990" t="s">
        <v>218</v>
      </c>
      <c r="W436" s="162" t="s">
        <v>10</v>
      </c>
      <c r="X436" s="1370" t="str">
        <f>X370</f>
        <v>N NAME OF YOUR RECIPE | paste it — FAMILY|  Author &gt; YOU</v>
      </c>
      <c r="Y436" s="1348">
        <f>Y370</f>
        <v>1</v>
      </c>
      <c r="Z436" s="1349" t="str">
        <f>Z370</f>
        <v>coupe</v>
      </c>
      <c r="AA436" s="1350" t="str">
        <f>AA370</f>
        <v>Master recipe ► MILLE-FEUILLE  aux fraises des bois</v>
      </c>
      <c r="AB436" s="6039" t="str">
        <f ca="1">"Phases of progression Width &gt; "&amp;SUM(AH435:AP435)</f>
        <v>Phases of progression Width &gt; 139</v>
      </c>
      <c r="AC436" s="6038"/>
      <c r="AD436" s="1986"/>
      <c r="AE436" s="1986"/>
      <c r="AF436" s="1986"/>
      <c r="AG436" s="1987" t="s">
        <v>8216</v>
      </c>
      <c r="AH436" s="1988" t="s">
        <v>860</v>
      </c>
      <c r="AI436" s="1941"/>
      <c r="AJ436" s="5999" t="str">
        <f ca="1">"minimum width  = "&amp;SUM(AH435:AM435)</f>
        <v>minimum width  = 96</v>
      </c>
      <c r="AK436" s="6000" t="str">
        <f ca="1">"maximum width  = "&amp;SUM(AH435:AP435)</f>
        <v>maximum width  = 139</v>
      </c>
      <c r="AL436" s="1942"/>
      <c r="AM436" s="1942"/>
      <c r="AN436" s="1989"/>
      <c r="AO436" s="1989"/>
      <c r="AP436" s="1990" t="s">
        <v>1399</v>
      </c>
      <c r="AR436" s="162" t="s">
        <v>10</v>
      </c>
      <c r="AS436" s="1370" t="str">
        <f>AS370</f>
        <v>N NOMBRE DE SU RECETA | pegue esto — FAMILIA| Auteur &gt; VOUS</v>
      </c>
      <c r="AT436" s="1348">
        <f>AT370</f>
        <v>1</v>
      </c>
      <c r="AU436" s="1349" t="str">
        <f>AU370</f>
        <v>coupe</v>
      </c>
      <c r="AV436" s="1350" t="str">
        <f>AV370</f>
        <v>Receta madre ► MILLE-FEUILLE  aux fraises des bois</v>
      </c>
      <c r="AW436" s="6039" t="str">
        <f ca="1">"Fases de progresion Ancho &gt; "&amp;SUM(BC435:BK435)</f>
        <v>Fases de progresion Ancho &gt; 139</v>
      </c>
      <c r="AX436" s="6038"/>
      <c r="AY436" s="1986"/>
      <c r="AZ436" s="1986"/>
      <c r="BA436" s="1986"/>
      <c r="BB436" s="1987" t="s">
        <v>8217</v>
      </c>
      <c r="BC436" s="5605" t="s">
        <v>874</v>
      </c>
      <c r="BD436" s="1941"/>
      <c r="BE436" s="5999" t="str">
        <f ca="1">"anchura mínima  = "&amp;SUM(BC435:BH435)</f>
        <v>anchura mínima  = 96</v>
      </c>
      <c r="BF436" s="6000" t="str">
        <f ca="1">"anchura máxima  = "&amp;SUM(BC435:BK435)</f>
        <v>anchura máxima  = 139</v>
      </c>
      <c r="BG436" s="1942"/>
      <c r="BH436" s="1942"/>
      <c r="BI436" s="1989"/>
      <c r="BJ436" s="1989"/>
      <c r="BK436" s="1990" t="s">
        <v>726</v>
      </c>
      <c r="BM436" s="3">
        <v>1</v>
      </c>
    </row>
    <row r="437" spans="2:65" ht="21" customHeight="1">
      <c r="B437" s="162" t="s">
        <v>10</v>
      </c>
      <c r="C437" s="163" t="str">
        <f>C370</f>
        <v>MAJUSCULE(GAUCHE(J21;1))&amp;" "&amp;J21&amp;" | "&amp;S21&amp;"| "&amp;J23&amp;" "&amp;K23</v>
      </c>
      <c r="D437" s="163">
        <f>D370</f>
        <v>1</v>
      </c>
      <c r="E437" s="164" t="str">
        <f>E370</f>
        <v>coupe</v>
      </c>
      <c r="F437" s="165" t="str">
        <f>F370</f>
        <v>Recette mère ► MILLE-FEUILLE  aux fraises des bois</v>
      </c>
      <c r="G437" s="508"/>
      <c r="H437" s="508"/>
      <c r="I437" s="2063"/>
      <c r="J437" s="2064" t="s">
        <v>8860</v>
      </c>
      <c r="K437" s="2065">
        <f ca="1">SUM(M435:U435)</f>
        <v>139</v>
      </c>
      <c r="L437" s="1374">
        <v>0</v>
      </c>
      <c r="M437" s="1375" t="s">
        <v>8146</v>
      </c>
      <c r="N437" s="1810"/>
      <c r="O437" s="1810"/>
      <c r="P437" s="1810"/>
      <c r="Q437" s="1810"/>
      <c r="R437" s="1810"/>
      <c r="S437" s="9"/>
      <c r="T437" s="5993" t="s">
        <v>164</v>
      </c>
      <c r="U437" s="1330" t="s">
        <v>165</v>
      </c>
      <c r="W437" s="162" t="s">
        <v>10</v>
      </c>
      <c r="X437" s="163" t="str">
        <f>X370</f>
        <v>N NAME OF YOUR RECIPE | paste it — FAMILY|  Author &gt; YOU</v>
      </c>
      <c r="Y437" s="163">
        <f>Y370</f>
        <v>1</v>
      </c>
      <c r="Z437" s="164" t="str">
        <f>Z370</f>
        <v>coupe</v>
      </c>
      <c r="AA437" s="165" t="str">
        <f>AA370</f>
        <v>Master recipe ► MILLE-FEUILLE  aux fraises des bois</v>
      </c>
      <c r="AB437" s="508"/>
      <c r="AC437" s="508"/>
      <c r="AD437" s="2063"/>
      <c r="AE437" s="2064" t="s">
        <v>8862</v>
      </c>
      <c r="AF437" s="2065">
        <f ca="1">SUM(AH435:AP435)</f>
        <v>139</v>
      </c>
      <c r="AG437" s="1374">
        <v>0</v>
      </c>
      <c r="AH437" s="1375" t="s">
        <v>8194</v>
      </c>
      <c r="AI437" s="1810"/>
      <c r="AJ437" s="1810"/>
      <c r="AK437" s="1810"/>
      <c r="AL437" s="1810"/>
      <c r="AM437" s="1810"/>
      <c r="AN437" s="9"/>
      <c r="AO437" s="5993" t="s">
        <v>859</v>
      </c>
      <c r="AP437" s="1330" t="s">
        <v>165</v>
      </c>
      <c r="AR437" s="162" t="s">
        <v>10</v>
      </c>
      <c r="AS437" s="163" t="str">
        <f>AS370</f>
        <v>N NOMBRE DE SU RECETA | pegue esto — FAMILIA| Auteur &gt; VOUS</v>
      </c>
      <c r="AT437" s="163">
        <f>AT370</f>
        <v>1</v>
      </c>
      <c r="AU437" s="164" t="str">
        <f>AU370</f>
        <v>coupe</v>
      </c>
      <c r="AV437" s="165" t="str">
        <f>AV370</f>
        <v>Receta madre ► MILLE-FEUILLE  aux fraises des bois</v>
      </c>
      <c r="AW437" s="508"/>
      <c r="AX437" s="508"/>
      <c r="AY437" s="2063"/>
      <c r="AZ437" s="2127" t="s">
        <v>8861</v>
      </c>
      <c r="BA437" s="2065">
        <f ca="1">SUM(BC435:BK435)</f>
        <v>139</v>
      </c>
      <c r="BB437" s="1374">
        <v>0</v>
      </c>
      <c r="BC437" s="1375" t="s">
        <v>8193</v>
      </c>
      <c r="BD437" s="1810"/>
      <c r="BE437" s="1329"/>
      <c r="BF437" s="1810"/>
      <c r="BG437" s="9"/>
      <c r="BH437" s="9"/>
      <c r="BI437" s="9"/>
      <c r="BJ437" s="5993" t="s">
        <v>873</v>
      </c>
      <c r="BK437" s="1330" t="s">
        <v>165</v>
      </c>
      <c r="BM437" s="3">
        <v>1</v>
      </c>
    </row>
    <row r="438" spans="2:65" ht="21" customHeight="1">
      <c r="B438" s="162" t="s">
        <v>10</v>
      </c>
      <c r="C438" s="163" t="str">
        <f>C370</f>
        <v>MAJUSCULE(GAUCHE(J21;1))&amp;" "&amp;J21&amp;" | "&amp;S21&amp;"| "&amp;J23&amp;" "&amp;K23</v>
      </c>
      <c r="D438" s="163">
        <f>D370</f>
        <v>1</v>
      </c>
      <c r="E438" s="164" t="str">
        <f>E370</f>
        <v>coupe</v>
      </c>
      <c r="F438" s="165" t="str">
        <f>F370</f>
        <v>Recette mère ► MILLE-FEUILLE  aux fraises des bois</v>
      </c>
      <c r="G438" s="1548"/>
      <c r="H438" s="2189" t="s">
        <v>8771</v>
      </c>
      <c r="I438" s="2190">
        <f>ROWS(M438:M438)</f>
        <v>1</v>
      </c>
      <c r="J438" s="5549" t="str" cm="1">
        <f t="array" ref="J438">IF(SUMPRODUCT((M438:R438&lt;&gt;"")*1)=0,"",SUMPRODUCT((M438:R438&lt;&gt;"")*(LEN(TRIM(SUBSTITUTE(M438:R438,CHAR(160)," "))) - LEN(SUBSTITUTE(TRIM(SUBSTITUTE(M438:R438,CHAR(160)," "))," ","")) + 1)) &amp; " mot" &amp; IF(SUMPRODUCT((M438:R438&lt;&gt;"")*(LEN(TRIM(SUBSTITUTE(M438:R438,CHAR(160)," "))) - LEN(SUBSTITUTE(TRIM(SUBSTITUTE(M438:R438,CHAR(160)," "))," ","")) + 1))&gt;1,"s",""))</f>
        <v>7 mots</v>
      </c>
      <c r="K438" s="5550" t="str" cm="1">
        <f t="array" ref="K438">SUMPRODUCT(--(M438:R438&lt;&gt;""), LEN(TRIM(SUBSTITUTE(M438:R438, CHAR(160), "")))) &amp; " Car."</f>
        <v>30 Car.</v>
      </c>
      <c r="L438" s="1376" t="str">
        <f>IF(ISBLANK(M438),"",LARGE(L437:L437,1)+1)</f>
        <v/>
      </c>
      <c r="M438" s="1810"/>
      <c r="N438" s="1810" t="s">
        <v>8410</v>
      </c>
      <c r="O438" s="1810"/>
      <c r="P438" s="1810"/>
      <c r="Q438" s="1810"/>
      <c r="R438" s="1810"/>
      <c r="S438" s="9"/>
      <c r="T438" s="5993" t="s">
        <v>167</v>
      </c>
      <c r="U438" s="1330" t="s">
        <v>165</v>
      </c>
      <c r="W438" s="162" t="s">
        <v>10</v>
      </c>
      <c r="X438" s="163" t="str">
        <f>X370</f>
        <v>N NAME OF YOUR RECIPE | paste it — FAMILY|  Author &gt; YOU</v>
      </c>
      <c r="Y438" s="163">
        <f>Y370</f>
        <v>1</v>
      </c>
      <c r="Z438" s="164" t="str">
        <f>Z370</f>
        <v>coupe</v>
      </c>
      <c r="AA438" s="165" t="str">
        <f>AA370</f>
        <v>Master recipe ► MILLE-FEUILLE  aux fraises des bois</v>
      </c>
      <c r="AB438" s="1548"/>
      <c r="AC438" s="2189" t="s">
        <v>8772</v>
      </c>
      <c r="AD438" s="2190">
        <f>ROWS(AH438:AH438)</f>
        <v>1</v>
      </c>
      <c r="AE438" s="5549" t="str" cm="1">
        <f t="array" ref="AE438">IF(SUMPRODUCT((AH438:AM438&lt;&gt;"")*1)=0,"",SUMPRODUCT((AH438:AM438&lt;&gt;"")*(LEN(TRIM(SUBSTITUTE(AH438:AM438,CHAR(160)," "))) - LEN(SUBSTITUTE(TRIM(SUBSTITUTE(AH438:AM438,CHAR(160)," "))," ","")) + 1)) &amp; " word" &amp; IF(SUMPRODUCT((AH438:AM438&lt;&gt;"")*(LEN(TRIM(SUBSTITUTE(AH438:AM438,CHAR(160)," "))) - LEN(SUBSTITUTE(TRIM(SUBSTITUTE(AH438:AM438,CHAR(160)," "))," ","")) + 1))&gt;1,"s",""))</f>
        <v>8 words</v>
      </c>
      <c r="AF438" s="5550" t="str" cm="1">
        <f t="array" ref="AF438">SUMPRODUCT(--(AH438:AM438&lt;&gt;""), LEN(TRIM(SUBSTITUTE(AH438:AM438, CHAR(160), "")))) &amp; " Car."</f>
        <v>38 Car.</v>
      </c>
      <c r="AG438" s="1376" t="str">
        <f>IF(ISBLANK(AH438),"",LARGE(AG437:AG437,1)+1)</f>
        <v/>
      </c>
      <c r="AH438" s="1810"/>
      <c r="AI438" s="1810" t="s">
        <v>8580</v>
      </c>
      <c r="AJ438" s="1810"/>
      <c r="AK438" s="1810"/>
      <c r="AL438" s="1810"/>
      <c r="AM438" s="1810"/>
      <c r="AN438" s="9"/>
      <c r="AO438" s="5993" t="s">
        <v>861</v>
      </c>
      <c r="AP438" s="1330" t="s">
        <v>165</v>
      </c>
      <c r="AR438" s="162" t="s">
        <v>10</v>
      </c>
      <c r="AS438" s="163" t="str">
        <f>AS370</f>
        <v>N NOMBRE DE SU RECETA | pegue esto — FAMILIA| Auteur &gt; VOUS</v>
      </c>
      <c r="AT438" s="163">
        <f>AT370</f>
        <v>1</v>
      </c>
      <c r="AU438" s="164" t="str">
        <f>AU370</f>
        <v>coupe</v>
      </c>
      <c r="AV438" s="165" t="str">
        <f>AV370</f>
        <v>Receta madre ► MILLE-FEUILLE  aux fraises des bois</v>
      </c>
      <c r="AW438" s="1548"/>
      <c r="AX438" s="2189" t="s">
        <v>8773</v>
      </c>
      <c r="AY438" s="2190">
        <f>ROWS(BC438:BC438)</f>
        <v>1</v>
      </c>
      <c r="AZ438" s="5549" t="str" cm="1">
        <f t="array" ref="AZ438">IF(SUMPRODUCT((BC438:BH438&lt;&gt;"")*1)=0,"",SUMPRODUCT((BC438:BH438&lt;&gt;"")*(LEN(TRIM(SUBSTITUTE(BC438:BH438,CHAR(160)," "))) - LEN(SUBSTITUTE(TRIM(SUBSTITUTE(BC438:BH438,CHAR(160)," "))," ","")) + 1)) &amp; " palabra" &amp; IF(SUMPRODUCT((BC438:BH438&lt;&gt;"")*(LEN(TRIM(SUBSTITUTE(BC438:BH438,CHAR(160)," "))) - LEN(SUBSTITUTE(TRIM(SUBSTITUTE(BC438:BH438,CHAR(160)," "))," ","")) + 1))&gt;1,"s",""))</f>
        <v>7 palabras</v>
      </c>
      <c r="BA438" s="5550" t="str" cm="1">
        <f t="array" ref="BA438">SUMPRODUCT(--(BC438:BH438&lt;&gt;""), LEN(TRIM(SUBSTITUTE(BC438:BH438, CHAR(160), "")))) &amp; " Car."</f>
        <v>33 Car.</v>
      </c>
      <c r="BB438" s="1376" t="str">
        <f>IF(ISBLANK(BC438),"",LARGE(BB437:BB437,1)+1)</f>
        <v/>
      </c>
      <c r="BC438" s="1810"/>
      <c r="BD438" s="1810" t="s">
        <v>8585</v>
      </c>
      <c r="BE438" s="1810"/>
      <c r="BF438" s="1810"/>
      <c r="BG438" s="1810"/>
      <c r="BH438" s="1810"/>
      <c r="BI438" s="9"/>
      <c r="BJ438" s="5993" t="s">
        <v>875</v>
      </c>
      <c r="BK438" s="1330" t="s">
        <v>165</v>
      </c>
      <c r="BM438" s="3">
        <v>1</v>
      </c>
    </row>
    <row r="439" spans="2:65" ht="21" customHeight="1">
      <c r="B439" s="162" t="s">
        <v>10</v>
      </c>
      <c r="C439" s="163" t="str">
        <f>C370</f>
        <v>MAJUSCULE(GAUCHE(J21;1))&amp;" "&amp;J21&amp;" | "&amp;S21&amp;"| "&amp;J23&amp;" "&amp;K23</v>
      </c>
      <c r="D439" s="163">
        <f>D370</f>
        <v>1</v>
      </c>
      <c r="E439" s="164" t="str">
        <f>E370</f>
        <v>coupe</v>
      </c>
      <c r="F439" s="165" t="str">
        <f>F370</f>
        <v>Recette mère ► MILLE-FEUILLE  aux fraises des bois</v>
      </c>
      <c r="G439" s="1548"/>
      <c r="H439" s="1548"/>
      <c r="I439" s="2190">
        <f>ROWS(M438:M439)</f>
        <v>2</v>
      </c>
      <c r="J439" s="5549" t="str" cm="1">
        <f t="array" ref="J439">IF(SUMPRODUCT((M439:R439&lt;&gt;"")*1)=0,"",SUMPRODUCT((M439:R439&lt;&gt;"")*(LEN(TRIM(SUBSTITUTE(M439:R439,CHAR(160)," "))) - LEN(SUBSTITUTE(TRIM(SUBSTITUTE(M439:R439,CHAR(160)," "))," ","")) + 1)) &amp; " mot" &amp; IF(SUMPRODUCT((M439:R439&lt;&gt;"")*(LEN(TRIM(SUBSTITUTE(M439:R439,CHAR(160)," "))) - LEN(SUBSTITUTE(TRIM(SUBSTITUTE(M439:R439,CHAR(160)," "))," ","")) + 1))&gt;1,"s",""))</f>
        <v>6 mots</v>
      </c>
      <c r="K439" s="5550" t="str" cm="1">
        <f t="array" ref="K439">SUMPRODUCT(--(M439:R439&lt;&gt;""), LEN(TRIM(SUBSTITUTE(M439:R439, CHAR(160), "")))) &amp; " Car."</f>
        <v>33 Car.</v>
      </c>
      <c r="L439" s="1376" t="str">
        <f>IF(ISBLANK(M439),"",LARGE(L437:L438,1)+1)</f>
        <v/>
      </c>
      <c r="M439" s="1810"/>
      <c r="N439" s="1810" t="s">
        <v>8408</v>
      </c>
      <c r="O439" s="1810"/>
      <c r="P439" s="1810"/>
      <c r="Q439" s="1810"/>
      <c r="R439" s="1810"/>
      <c r="S439" s="1810"/>
      <c r="T439" s="5994" t="s">
        <v>171</v>
      </c>
      <c r="U439" s="5564">
        <v>3.472222222222222E-3</v>
      </c>
      <c r="W439" s="162" t="s">
        <v>10</v>
      </c>
      <c r="X439" s="163" t="str">
        <f>X370</f>
        <v>N NAME OF YOUR RECIPE | paste it — FAMILY|  Author &gt; YOU</v>
      </c>
      <c r="Y439" s="163">
        <f>Y370</f>
        <v>1</v>
      </c>
      <c r="Z439" s="164" t="str">
        <f>Z370</f>
        <v>coupe</v>
      </c>
      <c r="AA439" s="165" t="str">
        <f>AA370</f>
        <v>Master recipe ► MILLE-FEUILLE  aux fraises des bois</v>
      </c>
      <c r="AB439" s="1548"/>
      <c r="AC439" s="1548"/>
      <c r="AD439" s="2190">
        <f>ROWS(AH438:AH439)</f>
        <v>2</v>
      </c>
      <c r="AE439" s="5549" t="str" cm="1">
        <f t="array" ref="AE439">IF(SUMPRODUCT((AH439:AM439&lt;&gt;"")*1)=0,"",SUMPRODUCT((AH439:AM439&lt;&gt;"")*(LEN(TRIM(SUBSTITUTE(AH439:AM439,CHAR(160)," "))) - LEN(SUBSTITUTE(TRIM(SUBSTITUTE(AH439:AM439,CHAR(160)," "))," ","")) + 1)) &amp; " word" &amp; IF(SUMPRODUCT((AH439:AM439&lt;&gt;"")*(LEN(TRIM(SUBSTITUTE(AH439:AM439,CHAR(160)," "))) - LEN(SUBSTITUTE(TRIM(SUBSTITUTE(AH439:AM439,CHAR(160)," "))," ","")) + 1))&gt;1,"s",""))</f>
        <v>6 words</v>
      </c>
      <c r="AF439" s="5550" t="str" cm="1">
        <f t="array" ref="AF439">SUMPRODUCT(--(AH439:AM439&lt;&gt;""), LEN(TRIM(SUBSTITUTE(AH439:AM439, CHAR(160), "")))) &amp; " Car."</f>
        <v>28 Car.</v>
      </c>
      <c r="AG439" s="1376" t="str">
        <f>IF(ISBLANK(AH439),"",LARGE(AG437:AG438,1)+1)</f>
        <v/>
      </c>
      <c r="AH439" s="1810"/>
      <c r="AI439" s="1810" t="s">
        <v>8581</v>
      </c>
      <c r="AJ439" s="1810"/>
      <c r="AK439" s="1810"/>
      <c r="AL439" s="1810"/>
      <c r="AM439" s="1810"/>
      <c r="AN439" s="1810"/>
      <c r="AO439" s="5994" t="s">
        <v>14172</v>
      </c>
      <c r="AP439" s="5564">
        <v>3.472222222222222E-3</v>
      </c>
      <c r="AR439" s="162" t="s">
        <v>10</v>
      </c>
      <c r="AS439" s="163" t="str">
        <f>AS370</f>
        <v>N NOMBRE DE SU RECETA | pegue esto — FAMILIA| Auteur &gt; VOUS</v>
      </c>
      <c r="AT439" s="163">
        <f>AT370</f>
        <v>1</v>
      </c>
      <c r="AU439" s="164" t="str">
        <f>AU370</f>
        <v>coupe</v>
      </c>
      <c r="AV439" s="165" t="str">
        <f>AV370</f>
        <v>Receta madre ► MILLE-FEUILLE  aux fraises des bois</v>
      </c>
      <c r="AW439" s="1548"/>
      <c r="AX439" s="1548"/>
      <c r="AY439" s="2190">
        <f>ROWS(BC438:BC439)</f>
        <v>2</v>
      </c>
      <c r="AZ439" s="5549" t="str" cm="1">
        <f t="array" ref="AZ439">IF(SUMPRODUCT((BC439:BH439&lt;&gt;"")*1)=0,"",SUMPRODUCT((BC439:BH439&lt;&gt;"")*(LEN(TRIM(SUBSTITUTE(BC439:BH439,CHAR(160)," "))) - LEN(SUBSTITUTE(TRIM(SUBSTITUTE(BC439:BH439,CHAR(160)," "))," ","")) + 1)) &amp; " palabra" &amp; IF(SUMPRODUCT((BC439:BH439&lt;&gt;"")*(LEN(TRIM(SUBSTITUTE(BC439:BH439,CHAR(160)," "))) - LEN(SUBSTITUTE(TRIM(SUBSTITUTE(BC439:BH439,CHAR(160)," "))," ","")) + 1))&gt;1,"s",""))</f>
        <v>6 palabras</v>
      </c>
      <c r="BA439" s="5550" t="str" cm="1">
        <f t="array" ref="BA439">SUMPRODUCT(--(BC439:BH439&lt;&gt;""), LEN(TRIM(SUBSTITUTE(BC439:BH439, CHAR(160), "")))) &amp; " Car."</f>
        <v>32 Car.</v>
      </c>
      <c r="BB439" s="1376" t="str">
        <f>IF(ISBLANK(BC439),"",LARGE(BB437:BB438,1)+1)</f>
        <v/>
      </c>
      <c r="BC439" s="1810"/>
      <c r="BD439" s="1810" t="s">
        <v>8586</v>
      </c>
      <c r="BE439" s="1810"/>
      <c r="BF439" s="1810"/>
      <c r="BG439" s="1810"/>
      <c r="BH439" s="1810"/>
      <c r="BI439" s="1810"/>
      <c r="BJ439" s="5994" t="s">
        <v>651</v>
      </c>
      <c r="BK439" s="5564">
        <v>3.472222222222222E-3</v>
      </c>
      <c r="BM439" s="3">
        <v>1</v>
      </c>
    </row>
    <row r="440" spans="2:65" ht="21" customHeight="1">
      <c r="B440" s="162" t="s">
        <v>10</v>
      </c>
      <c r="C440" s="163" t="str">
        <f>C370</f>
        <v>MAJUSCULE(GAUCHE(J21;1))&amp;" "&amp;J21&amp;" | "&amp;S21&amp;"| "&amp;J23&amp;" "&amp;K23</v>
      </c>
      <c r="D440" s="163">
        <f>D370</f>
        <v>1</v>
      </c>
      <c r="E440" s="164" t="str">
        <f>E370</f>
        <v>coupe</v>
      </c>
      <c r="F440" s="165" t="str">
        <f>F370</f>
        <v>Recette mère ► MILLE-FEUILLE  aux fraises des bois</v>
      </c>
      <c r="G440" s="1548"/>
      <c r="H440" s="1548"/>
      <c r="I440" s="2190">
        <f>ROWS(M438:M440)</f>
        <v>3</v>
      </c>
      <c r="J440" s="5549" t="str" cm="1">
        <f t="array" ref="J440">IF(SUMPRODUCT((M440:R440&lt;&gt;"")*1)=0,"",SUMPRODUCT((M440:R440&lt;&gt;"")*(LEN(TRIM(SUBSTITUTE(M440:R440,CHAR(160)," "))) - LEN(SUBSTITUTE(TRIM(SUBSTITUTE(M440:R440,CHAR(160)," "))," ","")) + 1)) &amp; " mot" &amp; IF(SUMPRODUCT((M440:R440&lt;&gt;"")*(LEN(TRIM(SUBSTITUTE(M440:R440,CHAR(160)," "))) - LEN(SUBSTITUTE(TRIM(SUBSTITUTE(M440:R440,CHAR(160)," "))," ","")) + 1))&gt;1,"s",""))</f>
        <v>3 mots</v>
      </c>
      <c r="K440" s="5550" t="str" cm="1">
        <f t="array" ref="K440">SUMPRODUCT(--(M440:R440&lt;&gt;""), LEN(TRIM(SUBSTITUTE(M440:R440, CHAR(160), "")))) &amp; " Car."</f>
        <v>23 Car.</v>
      </c>
      <c r="L440" s="1376" t="str">
        <f>IF(ISBLANK(M440),"",LARGE(L437:L439,1)+1)</f>
        <v/>
      </c>
      <c r="M440" s="1810"/>
      <c r="N440" s="1810" t="s">
        <v>8409</v>
      </c>
      <c r="O440" s="1810"/>
      <c r="P440" s="1810"/>
      <c r="Q440" s="1810"/>
      <c r="R440" s="1810"/>
      <c r="S440" s="1810"/>
      <c r="T440" s="5994" t="s">
        <v>173</v>
      </c>
      <c r="U440" s="5565">
        <v>1.0416666666666666E-2</v>
      </c>
      <c r="W440" s="162" t="s">
        <v>10</v>
      </c>
      <c r="X440" s="163" t="str">
        <f>X370</f>
        <v>N NAME OF YOUR RECIPE | paste it — FAMILY|  Author &gt; YOU</v>
      </c>
      <c r="Y440" s="163">
        <f>Y370</f>
        <v>1</v>
      </c>
      <c r="Z440" s="164" t="str">
        <f>Z370</f>
        <v>coupe</v>
      </c>
      <c r="AA440" s="165" t="str">
        <f>AA370</f>
        <v>Master recipe ► MILLE-FEUILLE  aux fraises des bois</v>
      </c>
      <c r="AB440" s="1548"/>
      <c r="AC440" s="1548"/>
      <c r="AD440" s="2190">
        <f>ROWS(AH438:AH440)</f>
        <v>3</v>
      </c>
      <c r="AE440" s="5549" t="str" cm="1">
        <f t="array" ref="AE440">IF(SUMPRODUCT((AH440:AM440&lt;&gt;"")*1)=0,"",SUMPRODUCT((AH440:AM440&lt;&gt;"")*(LEN(TRIM(SUBSTITUTE(AH440:AM440,CHAR(160)," "))) - LEN(SUBSTITUTE(TRIM(SUBSTITUTE(AH440:AM440,CHAR(160)," "))," ","")) + 1)) &amp; " word" &amp; IF(SUMPRODUCT((AH440:AM440&lt;&gt;"")*(LEN(TRIM(SUBSTITUTE(AH440:AM440,CHAR(160)," "))) - LEN(SUBSTITUTE(TRIM(SUBSTITUTE(AH440:AM440,CHAR(160)," "))," ","")) + 1))&gt;1,"s",""))</f>
        <v>7 words</v>
      </c>
      <c r="AF440" s="5550" t="str" cm="1">
        <f t="array" ref="AF440">SUMPRODUCT(--(AH440:AM440&lt;&gt;""), LEN(TRIM(SUBSTITUTE(AH440:AM440, CHAR(160), "")))) &amp; " Car."</f>
        <v>22 Car.</v>
      </c>
      <c r="AG440" s="1376" t="str">
        <f>IF(ISBLANK(AH440),"",LARGE(AG437:AG439,1)+1)</f>
        <v/>
      </c>
      <c r="AH440" s="1810"/>
      <c r="AI440" s="1810" t="s">
        <v>8582</v>
      </c>
      <c r="AJ440" s="1810"/>
      <c r="AK440" s="1810"/>
      <c r="AL440" s="1810"/>
      <c r="AM440" s="1810"/>
      <c r="AN440" s="1810"/>
      <c r="AO440" s="5994" t="s">
        <v>655</v>
      </c>
      <c r="AP440" s="5565">
        <v>1.0416666666666666E-2</v>
      </c>
      <c r="AR440" s="162" t="s">
        <v>10</v>
      </c>
      <c r="AS440" s="163" t="str">
        <f>AS370</f>
        <v>N NOMBRE DE SU RECETA | pegue esto — FAMILIA| Auteur &gt; VOUS</v>
      </c>
      <c r="AT440" s="163">
        <f>AT370</f>
        <v>1</v>
      </c>
      <c r="AU440" s="164" t="str">
        <f>AU370</f>
        <v>coupe</v>
      </c>
      <c r="AV440" s="165" t="str">
        <f>AV370</f>
        <v>Receta madre ► MILLE-FEUILLE  aux fraises des bois</v>
      </c>
      <c r="AW440" s="1548"/>
      <c r="AX440" s="1548"/>
      <c r="AY440" s="2190">
        <f>ROWS(BC438:BC440)</f>
        <v>3</v>
      </c>
      <c r="AZ440" s="5549" t="str" cm="1">
        <f t="array" ref="AZ440">IF(SUMPRODUCT((BC440:BH440&lt;&gt;"")*1)=0,"",SUMPRODUCT((BC440:BH440&lt;&gt;"")*(LEN(TRIM(SUBSTITUTE(BC440:BH440,CHAR(160)," "))) - LEN(SUBSTITUTE(TRIM(SUBSTITUTE(BC440:BH440,CHAR(160)," "))," ","")) + 1)) &amp; " palabra" &amp; IF(SUMPRODUCT((BC440:BH440&lt;&gt;"")*(LEN(TRIM(SUBSTITUTE(BC440:BH440,CHAR(160)," "))) - LEN(SUBSTITUTE(TRIM(SUBSTITUTE(BC440:BH440,CHAR(160)," "))," ","")) + 1))&gt;1,"s",""))</f>
        <v>7 palabras</v>
      </c>
      <c r="BA440" s="5550" t="str" cm="1">
        <f t="array" ref="BA440">SUMPRODUCT(--(BC440:BH440&lt;&gt;""), LEN(TRIM(SUBSTITUTE(BC440:BH440, CHAR(160), "")))) &amp; " Car."</f>
        <v>25 Car.</v>
      </c>
      <c r="BB440" s="1376" t="str">
        <f>IF(ISBLANK(BC440),"",LARGE(BB437:BB439,1)+1)</f>
        <v/>
      </c>
      <c r="BC440" s="1810"/>
      <c r="BD440" s="1810" t="s">
        <v>8587</v>
      </c>
      <c r="BE440" s="1810"/>
      <c r="BF440" s="1810"/>
      <c r="BG440" s="1810"/>
      <c r="BH440" s="1810"/>
      <c r="BI440" s="1810"/>
      <c r="BJ440" s="5994" t="s">
        <v>656</v>
      </c>
      <c r="BK440" s="5565">
        <v>1.0416666666666666E-2</v>
      </c>
      <c r="BM440" s="3">
        <v>1</v>
      </c>
    </row>
    <row r="441" spans="2:65" ht="21" customHeight="1">
      <c r="B441" s="162" t="s">
        <v>10</v>
      </c>
      <c r="C441" s="163" t="str">
        <f>C370</f>
        <v>MAJUSCULE(GAUCHE(J21;1))&amp;" "&amp;J21&amp;" | "&amp;S21&amp;"| "&amp;J23&amp;" "&amp;K23</v>
      </c>
      <c r="D441" s="163">
        <f>D370</f>
        <v>1</v>
      </c>
      <c r="E441" s="164" t="str">
        <f>E370</f>
        <v>coupe</v>
      </c>
      <c r="F441" s="165" t="str">
        <f>F370</f>
        <v>Recette mère ► MILLE-FEUILLE  aux fraises des bois</v>
      </c>
      <c r="G441" s="1548"/>
      <c r="H441" s="1548"/>
      <c r="I441" s="2190">
        <f>ROWS(M438:M441)</f>
        <v>4</v>
      </c>
      <c r="J441" s="5549" t="str" cm="1">
        <f t="array" ref="J441">IF(SUMPRODUCT((M441:R441&lt;&gt;"")*1)=0,"",SUMPRODUCT((M441:R441&lt;&gt;"")*(LEN(TRIM(SUBSTITUTE(M441:R441,CHAR(160)," "))) - LEN(SUBSTITUTE(TRIM(SUBSTITUTE(M441:R441,CHAR(160)," "))," ","")) + 1)) &amp; " mot" &amp; IF(SUMPRODUCT((M441:R441&lt;&gt;"")*(LEN(TRIM(SUBSTITUTE(M441:R441,CHAR(160)," "))) - LEN(SUBSTITUTE(TRIM(SUBSTITUTE(M441:R441,CHAR(160)," "))," ","")) + 1))&gt;1,"s",""))</f>
        <v/>
      </c>
      <c r="K441" s="5550" t="str" cm="1">
        <f t="array" ref="K441">SUMPRODUCT(--(M441:R441&lt;&gt;""), LEN(TRIM(SUBSTITUTE(M441:R441, CHAR(160), "")))) &amp; " Car."</f>
        <v>0 Car.</v>
      </c>
      <c r="L441" s="1376" t="str">
        <f>IF(ISBLANK(M441),"",LARGE(L437:L440,1)+1)</f>
        <v/>
      </c>
      <c r="M441" s="1810"/>
      <c r="N441" s="1833"/>
      <c r="O441" s="1810"/>
      <c r="P441" s="1810"/>
      <c r="Q441" s="1810"/>
      <c r="R441" s="1810"/>
      <c r="S441" s="1810"/>
      <c r="T441" s="5994" t="s">
        <v>181</v>
      </c>
      <c r="U441" s="178">
        <v>2.0833333333333332E-2</v>
      </c>
      <c r="W441" s="162" t="s">
        <v>10</v>
      </c>
      <c r="X441" s="163" t="str">
        <f>X370</f>
        <v>N NAME OF YOUR RECIPE | paste it — FAMILY|  Author &gt; YOU</v>
      </c>
      <c r="Y441" s="163">
        <f>Y370</f>
        <v>1</v>
      </c>
      <c r="Z441" s="164" t="str">
        <f>Z370</f>
        <v>coupe</v>
      </c>
      <c r="AA441" s="165" t="str">
        <f>AA370</f>
        <v>Master recipe ► MILLE-FEUILLE  aux fraises des bois</v>
      </c>
      <c r="AB441" s="1548"/>
      <c r="AC441" s="1548"/>
      <c r="AD441" s="2190">
        <f>ROWS(AH438:AH441)</f>
        <v>4</v>
      </c>
      <c r="AE441" s="5549" t="str" cm="1">
        <f t="array" ref="AE441">IF(SUMPRODUCT((AH441:AM441&lt;&gt;"")*1)=0,"",SUMPRODUCT((AH441:AM441&lt;&gt;"")*(LEN(TRIM(SUBSTITUTE(AH441:AM441,CHAR(160)," "))) - LEN(SUBSTITUTE(TRIM(SUBSTITUTE(AH441:AM441,CHAR(160)," "))," ","")) + 1)) &amp; " word" &amp; IF(SUMPRODUCT((AH441:AM441&lt;&gt;"")*(LEN(TRIM(SUBSTITUTE(AH441:AM441,CHAR(160)," "))) - LEN(SUBSTITUTE(TRIM(SUBSTITUTE(AH441:AM441,CHAR(160)," "))," ","")) + 1))&gt;1,"s",""))</f>
        <v/>
      </c>
      <c r="AF441" s="5550" t="str" cm="1">
        <f t="array" ref="AF441">SUMPRODUCT(--(AH441:AM441&lt;&gt;""), LEN(TRIM(SUBSTITUTE(AH441:AM441, CHAR(160), "")))) &amp; " Car."</f>
        <v>0 Car.</v>
      </c>
      <c r="AG441" s="1376" t="str">
        <f>IF(ISBLANK(AH441),"",LARGE(AG437:AG440,1)+1)</f>
        <v/>
      </c>
      <c r="AH441" s="1810"/>
      <c r="AI441" s="1833"/>
      <c r="AJ441" s="1810"/>
      <c r="AK441" s="1810"/>
      <c r="AL441" s="1810"/>
      <c r="AM441" s="1810"/>
      <c r="AN441" s="1810"/>
      <c r="AO441" s="5994" t="s">
        <v>657</v>
      </c>
      <c r="AP441" s="178">
        <v>2.0833333333333332E-2</v>
      </c>
      <c r="AR441" s="162" t="s">
        <v>10</v>
      </c>
      <c r="AS441" s="163" t="str">
        <f>AS370</f>
        <v>N NOMBRE DE SU RECETA | pegue esto — FAMILIA| Auteur &gt; VOUS</v>
      </c>
      <c r="AT441" s="163">
        <f>AT370</f>
        <v>1</v>
      </c>
      <c r="AU441" s="164" t="str">
        <f>AU370</f>
        <v>coupe</v>
      </c>
      <c r="AV441" s="165" t="str">
        <f>AV370</f>
        <v>Receta madre ► MILLE-FEUILLE  aux fraises des bois</v>
      </c>
      <c r="AW441" s="1548"/>
      <c r="AX441" s="1548"/>
      <c r="AY441" s="2190">
        <f>ROWS(BC438:BC441)</f>
        <v>4</v>
      </c>
      <c r="AZ441" s="5549" t="str" cm="1">
        <f t="array" ref="AZ441">IF(SUMPRODUCT((BC441:BH441&lt;&gt;"")*1)=0,"",SUMPRODUCT((BC441:BH441&lt;&gt;"")*(LEN(TRIM(SUBSTITUTE(BC441:BH441,CHAR(160)," "))) - LEN(SUBSTITUTE(TRIM(SUBSTITUTE(BC441:BH441,CHAR(160)," "))," ","")) + 1)) &amp; " palabra" &amp; IF(SUMPRODUCT((BC441:BH441&lt;&gt;"")*(LEN(TRIM(SUBSTITUTE(BC441:BH441,CHAR(160)," "))) - LEN(SUBSTITUTE(TRIM(SUBSTITUTE(BC441:BH441,CHAR(160)," "))," ","")) + 1))&gt;1,"s",""))</f>
        <v/>
      </c>
      <c r="BA441" s="5550" t="str" cm="1">
        <f t="array" ref="BA441">SUMPRODUCT(--(BC441:BH441&lt;&gt;""), LEN(TRIM(SUBSTITUTE(BC441:BH441, CHAR(160), "")))) &amp; " Car."</f>
        <v>0 Car.</v>
      </c>
      <c r="BB441" s="1376" t="str">
        <f>IF(ISBLANK(BC441),"",LARGE(BB437:BB440,1)+1)</f>
        <v/>
      </c>
      <c r="BC441" s="1810"/>
      <c r="BD441" s="1833"/>
      <c r="BE441" s="1810"/>
      <c r="BF441" s="1810"/>
      <c r="BG441" s="1810"/>
      <c r="BH441" s="1810"/>
      <c r="BI441" s="1810"/>
      <c r="BJ441" s="5994" t="s">
        <v>877</v>
      </c>
      <c r="BK441" s="178">
        <v>2.0833333333333332E-2</v>
      </c>
      <c r="BM441" s="3">
        <v>1</v>
      </c>
    </row>
    <row r="442" spans="2:65" ht="21" customHeight="1">
      <c r="B442" s="162" t="s">
        <v>10</v>
      </c>
      <c r="C442" s="163" t="str">
        <f>C370</f>
        <v>MAJUSCULE(GAUCHE(J21;1))&amp;" "&amp;J21&amp;" | "&amp;S21&amp;"| "&amp;J23&amp;" "&amp;K23</v>
      </c>
      <c r="D442" s="163">
        <f>D370</f>
        <v>1</v>
      </c>
      <c r="E442" s="164" t="str">
        <f>E370</f>
        <v>coupe</v>
      </c>
      <c r="F442" s="165" t="str">
        <f>F370</f>
        <v>Recette mère ► MILLE-FEUILLE  aux fraises des bois</v>
      </c>
      <c r="G442" s="1548"/>
      <c r="H442" s="1548"/>
      <c r="I442" s="2190">
        <f>ROWS(M438:M442)</f>
        <v>5</v>
      </c>
      <c r="J442" s="5549" t="str" cm="1">
        <f t="array" ref="J442">IF(SUMPRODUCT((M442:R442&lt;&gt;"")*1)=0,"",SUMPRODUCT((M442:R442&lt;&gt;"")*(LEN(TRIM(SUBSTITUTE(M442:R442,CHAR(160)," "))) - LEN(SUBSTITUTE(TRIM(SUBSTITUTE(M442:R442,CHAR(160)," "))," ","")) + 1)) &amp; " mot" &amp; IF(SUMPRODUCT((M442:R442&lt;&gt;"")*(LEN(TRIM(SUBSTITUTE(M442:R442,CHAR(160)," "))) - LEN(SUBSTITUTE(TRIM(SUBSTITUTE(M442:R442,CHAR(160)," "))," ","")) + 1))&gt;1,"s",""))</f>
        <v/>
      </c>
      <c r="K442" s="5550" t="str" cm="1">
        <f t="array" ref="K442">SUMPRODUCT(--(M442:R442&lt;&gt;""), LEN(TRIM(SUBSTITUTE(M442:R442, CHAR(160), "")))) &amp; " Car."</f>
        <v>0 Car.</v>
      </c>
      <c r="L442" s="1376" t="str">
        <f>IF(ISBLANK(M442),"",LARGE(L437:L441,1)+1)</f>
        <v/>
      </c>
      <c r="M442" s="1810"/>
      <c r="N442" s="1810"/>
      <c r="O442" s="1810"/>
      <c r="P442" s="1810"/>
      <c r="Q442" s="1810"/>
      <c r="R442" s="1810"/>
      <c r="S442" s="1810"/>
      <c r="T442" s="179" t="s">
        <v>182</v>
      </c>
      <c r="U442" s="180">
        <f>U439+U440+U441</f>
        <v>3.4722222222222224E-2</v>
      </c>
      <c r="W442" s="162" t="s">
        <v>10</v>
      </c>
      <c r="X442" s="163" t="str">
        <f>X370</f>
        <v>N NAME OF YOUR RECIPE | paste it — FAMILY|  Author &gt; YOU</v>
      </c>
      <c r="Y442" s="163">
        <f>Y370</f>
        <v>1</v>
      </c>
      <c r="Z442" s="164" t="str">
        <f>Z370</f>
        <v>coupe</v>
      </c>
      <c r="AA442" s="165" t="str">
        <f>AA370</f>
        <v>Master recipe ► MILLE-FEUILLE  aux fraises des bois</v>
      </c>
      <c r="AB442" s="1548"/>
      <c r="AC442" s="1548"/>
      <c r="AD442" s="2190">
        <f>ROWS(AH438:AH442)</f>
        <v>5</v>
      </c>
      <c r="AE442" s="5549" t="str" cm="1">
        <f t="array" ref="AE442">IF(SUMPRODUCT((AH442:AM442&lt;&gt;"")*1)=0,"",SUMPRODUCT((AH442:AM442&lt;&gt;"")*(LEN(TRIM(SUBSTITUTE(AH442:AM442,CHAR(160)," "))) - LEN(SUBSTITUTE(TRIM(SUBSTITUTE(AH442:AM442,CHAR(160)," "))," ","")) + 1)) &amp; " word" &amp; IF(SUMPRODUCT((AH442:AM442&lt;&gt;"")*(LEN(TRIM(SUBSTITUTE(AH442:AM442,CHAR(160)," "))) - LEN(SUBSTITUTE(TRIM(SUBSTITUTE(AH442:AM442,CHAR(160)," "))," ","")) + 1))&gt;1,"s",""))</f>
        <v/>
      </c>
      <c r="AF442" s="5550" t="str" cm="1">
        <f t="array" ref="AF442">SUMPRODUCT(--(AH442:AM442&lt;&gt;""), LEN(TRIM(SUBSTITUTE(AH442:AM442, CHAR(160), "")))) &amp; " Car."</f>
        <v>0 Car.</v>
      </c>
      <c r="AG442" s="1376" t="str">
        <f>IF(ISBLANK(AH442),"",LARGE(AG437:AG441,1)+1)</f>
        <v/>
      </c>
      <c r="AH442" s="1810"/>
      <c r="AI442" s="1810"/>
      <c r="AJ442" s="1810"/>
      <c r="AK442" s="1810"/>
      <c r="AL442" s="1810"/>
      <c r="AM442" s="1810"/>
      <c r="AN442" s="1810"/>
      <c r="AO442" s="179" t="s">
        <v>182</v>
      </c>
      <c r="AP442" s="180">
        <f>AP439+AP440+AP441</f>
        <v>3.4722222222222224E-2</v>
      </c>
      <c r="AR442" s="162" t="s">
        <v>10</v>
      </c>
      <c r="AS442" s="163" t="str">
        <f>AS370</f>
        <v>N NOMBRE DE SU RECETA | pegue esto — FAMILIA| Auteur &gt; VOUS</v>
      </c>
      <c r="AT442" s="163">
        <f>AT370</f>
        <v>1</v>
      </c>
      <c r="AU442" s="164" t="str">
        <f>AU370</f>
        <v>coupe</v>
      </c>
      <c r="AV442" s="165" t="str">
        <f>AV370</f>
        <v>Receta madre ► MILLE-FEUILLE  aux fraises des bois</v>
      </c>
      <c r="AW442" s="1548"/>
      <c r="AX442" s="1548"/>
      <c r="AY442" s="2190">
        <f>ROWS(BC438:BC442)</f>
        <v>5</v>
      </c>
      <c r="AZ442" s="5549" t="str" cm="1">
        <f t="array" ref="AZ442">IF(SUMPRODUCT((BC442:BH442&lt;&gt;"")*1)=0,"",SUMPRODUCT((BC442:BH442&lt;&gt;"")*(LEN(TRIM(SUBSTITUTE(BC442:BH442,CHAR(160)," "))) - LEN(SUBSTITUTE(TRIM(SUBSTITUTE(BC442:BH442,CHAR(160)," "))," ","")) + 1)) &amp; " palabra" &amp; IF(SUMPRODUCT((BC442:BH442&lt;&gt;"")*(LEN(TRIM(SUBSTITUTE(BC442:BH442,CHAR(160)," "))) - LEN(SUBSTITUTE(TRIM(SUBSTITUTE(BC442:BH442,CHAR(160)," "))," ","")) + 1))&gt;1,"s",""))</f>
        <v/>
      </c>
      <c r="BA442" s="5550" t="str" cm="1">
        <f t="array" ref="BA442">SUMPRODUCT(--(BC442:BH442&lt;&gt;""), LEN(TRIM(SUBSTITUTE(BC442:BH442, CHAR(160), "")))) &amp; " Car."</f>
        <v>0 Car.</v>
      </c>
      <c r="BB442" s="1376" t="str">
        <f>IF(ISBLANK(BC442),"",LARGE(BB437:BB441,1)+1)</f>
        <v/>
      </c>
      <c r="BC442" s="1810"/>
      <c r="BD442" s="1810"/>
      <c r="BE442" s="1810"/>
      <c r="BF442" s="1810"/>
      <c r="BG442" s="1810"/>
      <c r="BH442" s="1810"/>
      <c r="BI442" s="1810"/>
      <c r="BJ442" s="179" t="s">
        <v>182</v>
      </c>
      <c r="BK442" s="180">
        <f>BK439+BK440+BK441</f>
        <v>3.4722222222222224E-2</v>
      </c>
      <c r="BM442" s="3">
        <v>1</v>
      </c>
    </row>
    <row r="443" spans="2:65" ht="21" customHeight="1">
      <c r="B443" s="162" t="s">
        <v>10</v>
      </c>
      <c r="C443" s="163" t="str">
        <f>C370</f>
        <v>MAJUSCULE(GAUCHE(J21;1))&amp;" "&amp;J21&amp;" | "&amp;S21&amp;"| "&amp;J23&amp;" "&amp;K23</v>
      </c>
      <c r="D443" s="163">
        <f>D370</f>
        <v>1</v>
      </c>
      <c r="E443" s="164" t="str">
        <f>E370</f>
        <v>coupe</v>
      </c>
      <c r="F443" s="165" t="str">
        <f>F370</f>
        <v>Recette mère ► MILLE-FEUILLE  aux fraises des bois</v>
      </c>
      <c r="G443" s="1548"/>
      <c r="H443" s="1548"/>
      <c r="I443" s="2190">
        <f>ROWS(M438:M443)</f>
        <v>6</v>
      </c>
      <c r="J443" s="5549" t="str" cm="1">
        <f t="array" ref="J443">IF(SUMPRODUCT((M443:R443&lt;&gt;"")*1)=0,"",SUMPRODUCT((M443:R443&lt;&gt;"")*(LEN(TRIM(SUBSTITUTE(M443:R443,CHAR(160)," "))) - LEN(SUBSTITUTE(TRIM(SUBSTITUTE(M443:R443,CHAR(160)," "))," ","")) + 1)) &amp; " mot" &amp; IF(SUMPRODUCT((M443:R443&lt;&gt;"")*(LEN(TRIM(SUBSTITUTE(M443:R443,CHAR(160)," "))) - LEN(SUBSTITUTE(TRIM(SUBSTITUTE(M443:R443,CHAR(160)," "))," ","")) + 1))&gt;1,"s",""))</f>
        <v>5 mots</v>
      </c>
      <c r="K443" s="5550" t="str" cm="1">
        <f t="array" ref="K443">SUMPRODUCT(--(M443:R443&lt;&gt;""), LEN(TRIM(SUBSTITUTE(M443:R443, CHAR(160), "")))) &amp; " Car."</f>
        <v>43 Car.</v>
      </c>
      <c r="L443" s="1376">
        <f>IF(ISBLANK(M443),"",LARGE(L437:L442,1)+1)</f>
        <v>1</v>
      </c>
      <c r="M443" s="1810" t="s">
        <v>8578</v>
      </c>
      <c r="N443" s="1833"/>
      <c r="O443" s="1810"/>
      <c r="P443" s="1810"/>
      <c r="Q443" s="1810"/>
      <c r="R443" s="1810"/>
      <c r="S443" s="1810"/>
      <c r="T443" s="1810"/>
      <c r="U443" s="1811"/>
      <c r="W443" s="162" t="s">
        <v>10</v>
      </c>
      <c r="X443" s="163" t="str">
        <f>X370</f>
        <v>N NAME OF YOUR RECIPE | paste it — FAMILY|  Author &gt; YOU</v>
      </c>
      <c r="Y443" s="163">
        <f>Y370</f>
        <v>1</v>
      </c>
      <c r="Z443" s="164" t="str">
        <f>Z370</f>
        <v>coupe</v>
      </c>
      <c r="AA443" s="165" t="str">
        <f>AA370</f>
        <v>Master recipe ► MILLE-FEUILLE  aux fraises des bois</v>
      </c>
      <c r="AB443" s="1548"/>
      <c r="AC443" s="1548"/>
      <c r="AD443" s="2190">
        <f>ROWS(AH438:AH443)</f>
        <v>6</v>
      </c>
      <c r="AE443" s="5549" t="str" cm="1">
        <f t="array" ref="AE443">IF(SUMPRODUCT((AH443:AM443&lt;&gt;"")*1)=0,"",SUMPRODUCT((AH443:AM443&lt;&gt;"")*(LEN(TRIM(SUBSTITUTE(AH443:AM443,CHAR(160)," "))) - LEN(SUBSTITUTE(TRIM(SUBSTITUTE(AH443:AM443,CHAR(160)," "))," ","")) + 1)) &amp; " word" &amp; IF(SUMPRODUCT((AH443:AM443&lt;&gt;"")*(LEN(TRIM(SUBSTITUTE(AH443:AM443,CHAR(160)," "))) - LEN(SUBSTITUTE(TRIM(SUBSTITUTE(AH443:AM443,CHAR(160)," "))," ","")) + 1))&gt;1,"s",""))</f>
        <v>4 words</v>
      </c>
      <c r="AF443" s="5550" t="str" cm="1">
        <f t="array" ref="AF443">SUMPRODUCT(--(AH443:AM443&lt;&gt;""), LEN(TRIM(SUBSTITUTE(AH443:AM443, CHAR(160), "")))) &amp; " Car."</f>
        <v>29 Car.</v>
      </c>
      <c r="AG443" s="1376">
        <f>IF(ISBLANK(AH443),"",LARGE(AG437:AG442,1)+1)</f>
        <v>1</v>
      </c>
      <c r="AH443" s="1810" t="s">
        <v>8583</v>
      </c>
      <c r="AI443" s="1833"/>
      <c r="AJ443" s="1810"/>
      <c r="AK443" s="1810"/>
      <c r="AL443" s="1810"/>
      <c r="AM443" s="1810"/>
      <c r="AN443" s="1810"/>
      <c r="AO443" s="1810"/>
      <c r="AP443" s="1811"/>
      <c r="AR443" s="162" t="s">
        <v>10</v>
      </c>
      <c r="AS443" s="163" t="str">
        <f>AS370</f>
        <v>N NOMBRE DE SU RECETA | pegue esto — FAMILIA| Auteur &gt; VOUS</v>
      </c>
      <c r="AT443" s="163">
        <f>AT370</f>
        <v>1</v>
      </c>
      <c r="AU443" s="164" t="str">
        <f>AU370</f>
        <v>coupe</v>
      </c>
      <c r="AV443" s="165" t="str">
        <f>AV370</f>
        <v>Receta madre ► MILLE-FEUILLE  aux fraises des bois</v>
      </c>
      <c r="AW443" s="1548"/>
      <c r="AX443" s="1548"/>
      <c r="AY443" s="2190">
        <f>ROWS(BC438:BC443)</f>
        <v>6</v>
      </c>
      <c r="AZ443" s="5549" t="str" cm="1">
        <f t="array" ref="AZ443">IF(SUMPRODUCT((BC443:BH443&lt;&gt;"")*1)=0,"",SUMPRODUCT((BC443:BH443&lt;&gt;"")*(LEN(TRIM(SUBSTITUTE(BC443:BH443,CHAR(160)," "))) - LEN(SUBSTITUTE(TRIM(SUBSTITUTE(BC443:BH443,CHAR(160)," "))," ","")) + 1)) &amp; " palabra" &amp; IF(SUMPRODUCT((BC443:BH443&lt;&gt;"")*(LEN(TRIM(SUBSTITUTE(BC443:BH443,CHAR(160)," "))) - LEN(SUBSTITUTE(TRIM(SUBSTITUTE(BC443:BH443,CHAR(160)," "))," ","")) + 1))&gt;1,"s",""))</f>
        <v>5 palabras</v>
      </c>
      <c r="BA443" s="5550" t="str" cm="1">
        <f t="array" ref="BA443">SUMPRODUCT(--(BC443:BH443&lt;&gt;""), LEN(TRIM(SUBSTITUTE(BC443:BH443, CHAR(160), "")))) &amp; " Car."</f>
        <v>37 Car.</v>
      </c>
      <c r="BB443" s="1376">
        <f>IF(ISBLANK(BC443),"",LARGE(BB437:BB442,1)+1)</f>
        <v>1</v>
      </c>
      <c r="BC443" s="1810" t="s">
        <v>8588</v>
      </c>
      <c r="BD443" s="1833"/>
      <c r="BE443" s="1810"/>
      <c r="BF443" s="1810"/>
      <c r="BG443" s="1810"/>
      <c r="BH443" s="1810"/>
      <c r="BI443" s="1810"/>
      <c r="BJ443" s="1810"/>
      <c r="BK443" s="1811"/>
      <c r="BM443" s="3">
        <v>1</v>
      </c>
    </row>
    <row r="444" spans="2:65" ht="21" customHeight="1">
      <c r="B444" s="162" t="s">
        <v>10</v>
      </c>
      <c r="C444" s="163" t="str">
        <f>C370</f>
        <v>MAJUSCULE(GAUCHE(J21;1))&amp;" "&amp;J21&amp;" | "&amp;S21&amp;"| "&amp;J23&amp;" "&amp;K23</v>
      </c>
      <c r="D444" s="163">
        <f>D370</f>
        <v>1</v>
      </c>
      <c r="E444" s="164" t="str">
        <f>E370</f>
        <v>coupe</v>
      </c>
      <c r="F444" s="165" t="str">
        <f>F370</f>
        <v>Recette mère ► MILLE-FEUILLE  aux fraises des bois</v>
      </c>
      <c r="G444" s="1548"/>
      <c r="H444" s="1548"/>
      <c r="I444" s="2190">
        <f>ROWS(M438:M444)</f>
        <v>7</v>
      </c>
      <c r="J444" s="5549" t="str" cm="1">
        <f t="array" ref="J444">IF(SUMPRODUCT((M444:R444&lt;&gt;"")*1)=0,"",SUMPRODUCT((M444:R444&lt;&gt;"")*(LEN(TRIM(SUBSTITUTE(M444:R444,CHAR(160)," "))) - LEN(SUBSTITUTE(TRIM(SUBSTITUTE(M444:R444,CHAR(160)," "))," ","")) + 1)) &amp; " mot" &amp; IF(SUMPRODUCT((M444:R444&lt;&gt;"")*(LEN(TRIM(SUBSTITUTE(M444:R444,CHAR(160)," "))) - LEN(SUBSTITUTE(TRIM(SUBSTITUTE(M444:R444,CHAR(160)," "))," ","")) + 1))&gt;1,"s",""))</f>
        <v>8 mots</v>
      </c>
      <c r="K444" s="5550" t="str" cm="1">
        <f t="array" ref="K444">SUMPRODUCT(--(M444:R444&lt;&gt;""), LEN(TRIM(SUBSTITUTE(M444:R444, CHAR(160), "")))) &amp; " Car."</f>
        <v>50 Car.</v>
      </c>
      <c r="L444" s="1376" t="str">
        <f>IF(ISBLANK(M444),"",LARGE(L437:L443,1)+1)</f>
        <v/>
      </c>
      <c r="M444" s="1810"/>
      <c r="N444" s="1810" t="s">
        <v>8579</v>
      </c>
      <c r="O444" s="1810"/>
      <c r="P444" s="1810"/>
      <c r="Q444" s="1810"/>
      <c r="R444" s="1810"/>
      <c r="S444" s="1810"/>
      <c r="T444" s="1810"/>
      <c r="U444" s="1811"/>
      <c r="W444" s="162" t="s">
        <v>10</v>
      </c>
      <c r="X444" s="163" t="str">
        <f>X370</f>
        <v>N NAME OF YOUR RECIPE | paste it — FAMILY|  Author &gt; YOU</v>
      </c>
      <c r="Y444" s="163">
        <f>Y370</f>
        <v>1</v>
      </c>
      <c r="Z444" s="164" t="str">
        <f>Z370</f>
        <v>coupe</v>
      </c>
      <c r="AA444" s="165" t="str">
        <f>AA370</f>
        <v>Master recipe ► MILLE-FEUILLE  aux fraises des bois</v>
      </c>
      <c r="AB444" s="1548"/>
      <c r="AC444" s="1548"/>
      <c r="AD444" s="2190">
        <f>ROWS(AH438:AH444)</f>
        <v>7</v>
      </c>
      <c r="AE444" s="5549" t="str" cm="1">
        <f t="array" ref="AE444">IF(SUMPRODUCT((AH444:AM444&lt;&gt;"")*1)=0,"",SUMPRODUCT((AH444:AM444&lt;&gt;"")*(LEN(TRIM(SUBSTITUTE(AH444:AM444,CHAR(160)," "))) - LEN(SUBSTITUTE(TRIM(SUBSTITUTE(AH444:AM444,CHAR(160)," "))," ","")) + 1)) &amp; " word" &amp; IF(SUMPRODUCT((AH444:AM444&lt;&gt;"")*(LEN(TRIM(SUBSTITUTE(AH444:AM444,CHAR(160)," "))) - LEN(SUBSTITUTE(TRIM(SUBSTITUTE(AH444:AM444,CHAR(160)," "))," ","")) + 1))&gt;1,"s",""))</f>
        <v>9 words</v>
      </c>
      <c r="AF444" s="5550" t="str" cm="1">
        <f t="array" ref="AF444">SUMPRODUCT(--(AH444:AM444&lt;&gt;""), LEN(TRIM(SUBSTITUTE(AH444:AM444, CHAR(160), "")))) &amp; " Car."</f>
        <v>47 Car.</v>
      </c>
      <c r="AG444" s="1376" t="str">
        <f>IF(ISBLANK(AH444),"",LARGE(AG437:AG443,1)+1)</f>
        <v/>
      </c>
      <c r="AH444" s="1810"/>
      <c r="AI444" s="1810" t="s">
        <v>8584</v>
      </c>
      <c r="AJ444" s="1810"/>
      <c r="AK444" s="1810"/>
      <c r="AL444" s="1810"/>
      <c r="AM444" s="1810"/>
      <c r="AN444" s="1810"/>
      <c r="AO444" s="1810"/>
      <c r="AP444" s="1811"/>
      <c r="AR444" s="162" t="s">
        <v>10</v>
      </c>
      <c r="AS444" s="163" t="str">
        <f>AS370</f>
        <v>N NOMBRE DE SU RECETA | pegue esto — FAMILIA| Auteur &gt; VOUS</v>
      </c>
      <c r="AT444" s="163">
        <f>AT370</f>
        <v>1</v>
      </c>
      <c r="AU444" s="164" t="str">
        <f>AU370</f>
        <v>coupe</v>
      </c>
      <c r="AV444" s="165" t="str">
        <f>AV370</f>
        <v>Receta madre ► MILLE-FEUILLE  aux fraises des bois</v>
      </c>
      <c r="AW444" s="1548"/>
      <c r="AX444" s="1548"/>
      <c r="AY444" s="2190">
        <f>ROWS(BC438:BC444)</f>
        <v>7</v>
      </c>
      <c r="AZ444" s="5549" t="str" cm="1">
        <f t="array" ref="AZ444">IF(SUMPRODUCT((BC444:BH444&lt;&gt;"")*1)=0,"",SUMPRODUCT((BC444:BH444&lt;&gt;"")*(LEN(TRIM(SUBSTITUTE(BC444:BH444,CHAR(160)," "))) - LEN(SUBSTITUTE(TRIM(SUBSTITUTE(BC444:BH444,CHAR(160)," "))," ","")) + 1)) &amp; " palabra" &amp; IF(SUMPRODUCT((BC444:BH444&lt;&gt;"")*(LEN(TRIM(SUBSTITUTE(BC444:BH444,CHAR(160)," "))) - LEN(SUBSTITUTE(TRIM(SUBSTITUTE(BC444:BH444,CHAR(160)," "))," ","")) + 1))&gt;1,"s",""))</f>
        <v>7 palabras</v>
      </c>
      <c r="BA444" s="5550" t="str" cm="1">
        <f t="array" ref="BA444">SUMPRODUCT(--(BC444:BH444&lt;&gt;""), LEN(TRIM(SUBSTITUTE(BC444:BH444, CHAR(160), "")))) &amp; " Car."</f>
        <v>39 Car.</v>
      </c>
      <c r="BB444" s="1376" t="str">
        <f>IF(ISBLANK(BC444),"",LARGE(BB437:BB443,1)+1)</f>
        <v/>
      </c>
      <c r="BC444" s="1810"/>
      <c r="BD444" s="1810" t="s">
        <v>8589</v>
      </c>
      <c r="BE444" s="1810"/>
      <c r="BF444" s="1810"/>
      <c r="BG444" s="1810"/>
      <c r="BH444" s="1810"/>
      <c r="BI444" s="1810"/>
      <c r="BJ444" s="1810"/>
      <c r="BK444" s="1811"/>
      <c r="BM444" s="3">
        <v>1</v>
      </c>
    </row>
    <row r="445" spans="2:65" ht="21" customHeight="1">
      <c r="B445" s="162" t="s">
        <v>10</v>
      </c>
      <c r="C445" s="163" t="str">
        <f>C370</f>
        <v>MAJUSCULE(GAUCHE(J21;1))&amp;" "&amp;J21&amp;" | "&amp;S21&amp;"| "&amp;J23&amp;" "&amp;K23</v>
      </c>
      <c r="D445" s="163">
        <f>D370</f>
        <v>1</v>
      </c>
      <c r="E445" s="164" t="str">
        <f>E370</f>
        <v>coupe</v>
      </c>
      <c r="F445" s="165" t="str">
        <f>F370</f>
        <v>Recette mère ► MILLE-FEUILLE  aux fraises des bois</v>
      </c>
      <c r="G445" s="1548"/>
      <c r="H445" s="1548"/>
      <c r="I445" s="2190">
        <f>ROWS(M438:M445)</f>
        <v>8</v>
      </c>
      <c r="J445" s="5549" t="str" cm="1">
        <f t="array" ref="J445">IF(SUMPRODUCT((M445:R445&lt;&gt;"")*1)=0,"",SUMPRODUCT((M445:R445&lt;&gt;"")*(LEN(TRIM(SUBSTITUTE(M445:R445,CHAR(160)," "))) - LEN(SUBSTITUTE(TRIM(SUBSTITUTE(M445:R445,CHAR(160)," "))," ","")) + 1)) &amp; " mot" &amp; IF(SUMPRODUCT((M445:R445&lt;&gt;"")*(LEN(TRIM(SUBSTITUTE(M445:R445,CHAR(160)," "))) - LEN(SUBSTITUTE(TRIM(SUBSTITUTE(M445:R445,CHAR(160)," "))," ","")) + 1))&gt;1,"s",""))</f>
        <v/>
      </c>
      <c r="K445" s="5550" t="str" cm="1">
        <f t="array" ref="K445">SUMPRODUCT(--(M445:R445&lt;&gt;""), LEN(TRIM(SUBSTITUTE(M445:R445, CHAR(160), "")))) &amp; " Car."</f>
        <v>0 Car.</v>
      </c>
      <c r="L445" s="1376" t="str">
        <f>IF(ISBLANK(M445),"",LARGE(L437:L444,1)+1)</f>
        <v/>
      </c>
      <c r="M445" s="1810"/>
      <c r="N445" s="1810"/>
      <c r="O445" s="1810"/>
      <c r="P445" s="1810"/>
      <c r="Q445" s="1810"/>
      <c r="R445" s="1810"/>
      <c r="S445" s="1810"/>
      <c r="T445" s="1810"/>
      <c r="U445" s="1811"/>
      <c r="W445" s="162" t="s">
        <v>10</v>
      </c>
      <c r="X445" s="163" t="str">
        <f>X370</f>
        <v>N NAME OF YOUR RECIPE | paste it — FAMILY|  Author &gt; YOU</v>
      </c>
      <c r="Y445" s="163">
        <f>Y370</f>
        <v>1</v>
      </c>
      <c r="Z445" s="164" t="str">
        <f>Z370</f>
        <v>coupe</v>
      </c>
      <c r="AA445" s="165" t="str">
        <f>AA370</f>
        <v>Master recipe ► MILLE-FEUILLE  aux fraises des bois</v>
      </c>
      <c r="AB445" s="1548"/>
      <c r="AC445" s="1548"/>
      <c r="AD445" s="2190">
        <f>ROWS(AH438:AH445)</f>
        <v>8</v>
      </c>
      <c r="AE445" s="5549" t="str" cm="1">
        <f t="array" ref="AE445">IF(SUMPRODUCT((AH445:AM445&lt;&gt;"")*1)=0,"",SUMPRODUCT((AH445:AM445&lt;&gt;"")*(LEN(TRIM(SUBSTITUTE(AH445:AM445,CHAR(160)," "))) - LEN(SUBSTITUTE(TRIM(SUBSTITUTE(AH445:AM445,CHAR(160)," "))," ","")) + 1)) &amp; " word" &amp; IF(SUMPRODUCT((AH445:AM445&lt;&gt;"")*(LEN(TRIM(SUBSTITUTE(AH445:AM445,CHAR(160)," "))) - LEN(SUBSTITUTE(TRIM(SUBSTITUTE(AH445:AM445,CHAR(160)," "))," ","")) + 1))&gt;1,"s",""))</f>
        <v/>
      </c>
      <c r="AF445" s="5550" t="str" cm="1">
        <f t="array" ref="AF445">SUMPRODUCT(--(AH445:AM445&lt;&gt;""), LEN(TRIM(SUBSTITUTE(AH445:AM445, CHAR(160), "")))) &amp; " Car."</f>
        <v>0 Car.</v>
      </c>
      <c r="AG445" s="1376" t="str">
        <f>IF(ISBLANK(AH445),"",LARGE(AG437:AG444,1)+1)</f>
        <v/>
      </c>
      <c r="AH445" s="1833"/>
      <c r="AI445" s="1810"/>
      <c r="AJ445" s="1810"/>
      <c r="AK445" s="1810"/>
      <c r="AL445" s="1810"/>
      <c r="AM445" s="1810"/>
      <c r="AN445" s="1810"/>
      <c r="AO445" s="1810"/>
      <c r="AP445" s="1811"/>
      <c r="AR445" s="162" t="s">
        <v>10</v>
      </c>
      <c r="AS445" s="163" t="str">
        <f>AS370</f>
        <v>N NOMBRE DE SU RECETA | pegue esto — FAMILIA| Auteur &gt; VOUS</v>
      </c>
      <c r="AT445" s="163">
        <f>AT370</f>
        <v>1</v>
      </c>
      <c r="AU445" s="164" t="str">
        <f>AU370</f>
        <v>coupe</v>
      </c>
      <c r="AV445" s="165" t="str">
        <f>AV370</f>
        <v>Receta madre ► MILLE-FEUILLE  aux fraises des bois</v>
      </c>
      <c r="AW445" s="1548"/>
      <c r="AX445" s="1548"/>
      <c r="AY445" s="2190">
        <f>ROWS(BC438:BC445)</f>
        <v>8</v>
      </c>
      <c r="AZ445" s="5549" t="str" cm="1">
        <f t="array" ref="AZ445">IF(SUMPRODUCT((BC445:BH445&lt;&gt;"")*1)=0,"",SUMPRODUCT((BC445:BH445&lt;&gt;"")*(LEN(TRIM(SUBSTITUTE(BC445:BH445,CHAR(160)," "))) - LEN(SUBSTITUTE(TRIM(SUBSTITUTE(BC445:BH445,CHAR(160)," "))," ","")) + 1)) &amp; " palabra" &amp; IF(SUMPRODUCT((BC445:BH445&lt;&gt;"")*(LEN(TRIM(SUBSTITUTE(BC445:BH445,CHAR(160)," "))) - LEN(SUBSTITUTE(TRIM(SUBSTITUTE(BC445:BH445,CHAR(160)," "))," ","")) + 1))&gt;1,"s",""))</f>
        <v/>
      </c>
      <c r="BA445" s="5550" t="str" cm="1">
        <f t="array" ref="BA445">SUMPRODUCT(--(BC445:BH445&lt;&gt;""), LEN(TRIM(SUBSTITUTE(BC445:BH445, CHAR(160), "")))) &amp; " Car."</f>
        <v>0 Car.</v>
      </c>
      <c r="BB445" s="1376" t="str">
        <f>IF(ISBLANK(BC445),"",LARGE(BB437:BB444,1)+1)</f>
        <v/>
      </c>
      <c r="BC445" s="1833"/>
      <c r="BD445" s="1810"/>
      <c r="BE445" s="1810"/>
      <c r="BF445" s="1810"/>
      <c r="BG445" s="1810"/>
      <c r="BH445" s="1810"/>
      <c r="BI445" s="1810"/>
      <c r="BJ445" s="1810"/>
      <c r="BK445" s="1811"/>
      <c r="BM445" s="3">
        <v>1</v>
      </c>
    </row>
    <row r="446" spans="2:65" ht="21" customHeight="1">
      <c r="B446" s="162" t="s">
        <v>10</v>
      </c>
      <c r="C446" s="163" t="str">
        <f>C370</f>
        <v>MAJUSCULE(GAUCHE(J21;1))&amp;" "&amp;J21&amp;" | "&amp;S21&amp;"| "&amp;J23&amp;" "&amp;K23</v>
      </c>
      <c r="D446" s="163">
        <f>D370</f>
        <v>1</v>
      </c>
      <c r="E446" s="164" t="str">
        <f>E370</f>
        <v>coupe</v>
      </c>
      <c r="F446" s="165" t="str">
        <f>F370</f>
        <v>Recette mère ► MILLE-FEUILLE  aux fraises des bois</v>
      </c>
      <c r="G446" s="1548"/>
      <c r="H446" s="1548"/>
      <c r="I446" s="2190">
        <f>ROWS(M438:M446)</f>
        <v>9</v>
      </c>
      <c r="J446" s="5549" t="str" cm="1">
        <f t="array" ref="J446">IF(SUMPRODUCT((M446:R446&lt;&gt;"")*1)=0,"",SUMPRODUCT((M446:R446&lt;&gt;"")*(LEN(TRIM(SUBSTITUTE(M446:R446,CHAR(160)," "))) - LEN(SUBSTITUTE(TRIM(SUBSTITUTE(M446:R446,CHAR(160)," "))," ","")) + 1)) &amp; " mot" &amp; IF(SUMPRODUCT((M446:R446&lt;&gt;"")*(LEN(TRIM(SUBSTITUTE(M446:R446,CHAR(160)," "))) - LEN(SUBSTITUTE(TRIM(SUBSTITUTE(M446:R446,CHAR(160)," "))," ","")) + 1))&gt;1,"s",""))</f>
        <v/>
      </c>
      <c r="K446" s="5550" t="str" cm="1">
        <f t="array" ref="K446">SUMPRODUCT(--(M446:R446&lt;&gt;""), LEN(TRIM(SUBSTITUTE(M446:R446, CHAR(160), "")))) &amp; " Car."</f>
        <v>0 Car.</v>
      </c>
      <c r="L446" s="1376" t="str">
        <f>IF(ISBLANK(M446),"",LARGE(L437:L445,1)+1)</f>
        <v/>
      </c>
      <c r="M446" s="1810"/>
      <c r="N446" s="1810"/>
      <c r="O446" s="1810"/>
      <c r="P446" s="1810"/>
      <c r="Q446" s="1810"/>
      <c r="R446" s="1810"/>
      <c r="S446" s="1810"/>
      <c r="T446" s="1810"/>
      <c r="U446" s="1811"/>
      <c r="W446" s="162" t="s">
        <v>10</v>
      </c>
      <c r="X446" s="163" t="str">
        <f>X370</f>
        <v>N NAME OF YOUR RECIPE | paste it — FAMILY|  Author &gt; YOU</v>
      </c>
      <c r="Y446" s="163">
        <f>Y370</f>
        <v>1</v>
      </c>
      <c r="Z446" s="164" t="str">
        <f>Z370</f>
        <v>coupe</v>
      </c>
      <c r="AA446" s="165" t="str">
        <f>AA370</f>
        <v>Master recipe ► MILLE-FEUILLE  aux fraises des bois</v>
      </c>
      <c r="AB446" s="1548"/>
      <c r="AC446" s="1548"/>
      <c r="AD446" s="2190">
        <f>ROWS(AH438:AH446)</f>
        <v>9</v>
      </c>
      <c r="AE446" s="5549" t="str" cm="1">
        <f t="array" ref="AE446">IF(SUMPRODUCT((AH446:AM446&lt;&gt;"")*1)=0,"",SUMPRODUCT((AH446:AM446&lt;&gt;"")*(LEN(TRIM(SUBSTITUTE(AH446:AM446,CHAR(160)," "))) - LEN(SUBSTITUTE(TRIM(SUBSTITUTE(AH446:AM446,CHAR(160)," "))," ","")) + 1)) &amp; " word" &amp; IF(SUMPRODUCT((AH446:AM446&lt;&gt;"")*(LEN(TRIM(SUBSTITUTE(AH446:AM446,CHAR(160)," "))) - LEN(SUBSTITUTE(TRIM(SUBSTITUTE(AH446:AM446,CHAR(160)," "))," ","")) + 1))&gt;1,"s",""))</f>
        <v/>
      </c>
      <c r="AF446" s="5550" t="str" cm="1">
        <f t="array" ref="AF446">SUMPRODUCT(--(AH446:AM446&lt;&gt;""), LEN(TRIM(SUBSTITUTE(AH446:AM446, CHAR(160), "")))) &amp; " Car."</f>
        <v>0 Car.</v>
      </c>
      <c r="AG446" s="1376" t="str">
        <f>IF(ISBLANK(AH446),"",LARGE(AG437:AG445,1)+1)</f>
        <v/>
      </c>
      <c r="AH446" s="1810"/>
      <c r="AI446" s="1810"/>
      <c r="AJ446" s="1810"/>
      <c r="AK446" s="1810"/>
      <c r="AL446" s="1810"/>
      <c r="AM446" s="1810"/>
      <c r="AN446" s="1810"/>
      <c r="AO446" s="1810"/>
      <c r="AP446" s="1811"/>
      <c r="AR446" s="162" t="s">
        <v>10</v>
      </c>
      <c r="AS446" s="163" t="str">
        <f>AS370</f>
        <v>N NOMBRE DE SU RECETA | pegue esto — FAMILIA| Auteur &gt; VOUS</v>
      </c>
      <c r="AT446" s="163">
        <f>AT370</f>
        <v>1</v>
      </c>
      <c r="AU446" s="164" t="str">
        <f>AU370</f>
        <v>coupe</v>
      </c>
      <c r="AV446" s="165" t="str">
        <f>AV370</f>
        <v>Receta madre ► MILLE-FEUILLE  aux fraises des bois</v>
      </c>
      <c r="AW446" s="1548"/>
      <c r="AX446" s="1548"/>
      <c r="AY446" s="2190">
        <f>ROWS(BC438:BC446)</f>
        <v>9</v>
      </c>
      <c r="AZ446" s="5549" t="str" cm="1">
        <f t="array" ref="AZ446">IF(SUMPRODUCT((BC446:BH446&lt;&gt;"")*1)=0,"",SUMPRODUCT((BC446:BH446&lt;&gt;"")*(LEN(TRIM(SUBSTITUTE(BC446:BH446,CHAR(160)," "))) - LEN(SUBSTITUTE(TRIM(SUBSTITUTE(BC446:BH446,CHAR(160)," "))," ","")) + 1)) &amp; " palabra" &amp; IF(SUMPRODUCT((BC446:BH446&lt;&gt;"")*(LEN(TRIM(SUBSTITUTE(BC446:BH446,CHAR(160)," "))) - LEN(SUBSTITUTE(TRIM(SUBSTITUTE(BC446:BH446,CHAR(160)," "))," ","")) + 1))&gt;1,"s",""))</f>
        <v/>
      </c>
      <c r="BA446" s="5550" t="str" cm="1">
        <f t="array" ref="BA446">SUMPRODUCT(--(BC446:BH446&lt;&gt;""), LEN(TRIM(SUBSTITUTE(BC446:BH446, CHAR(160), "")))) &amp; " Car."</f>
        <v>0 Car.</v>
      </c>
      <c r="BB446" s="1376" t="str">
        <f>IF(ISBLANK(BC446),"",LARGE(BB437:BB445,1)+1)</f>
        <v/>
      </c>
      <c r="BC446" s="1833"/>
      <c r="BD446" s="1810"/>
      <c r="BE446" s="1810"/>
      <c r="BF446" s="1810"/>
      <c r="BG446" s="1810"/>
      <c r="BH446" s="1810"/>
      <c r="BI446" s="1810"/>
      <c r="BJ446" s="1810"/>
      <c r="BK446" s="1811"/>
      <c r="BM446" s="3">
        <v>1</v>
      </c>
    </row>
    <row r="447" spans="2:65" ht="21" customHeight="1">
      <c r="B447" s="162" t="s">
        <v>10</v>
      </c>
      <c r="C447" s="163" t="str">
        <f>C370</f>
        <v>MAJUSCULE(GAUCHE(J21;1))&amp;" "&amp;J21&amp;" | "&amp;S21&amp;"| "&amp;J23&amp;" "&amp;K23</v>
      </c>
      <c r="D447" s="163">
        <f>D370</f>
        <v>1</v>
      </c>
      <c r="E447" s="164" t="str">
        <f>E370</f>
        <v>coupe</v>
      </c>
      <c r="F447" s="165" t="str">
        <f>F370</f>
        <v>Recette mère ► MILLE-FEUILLE  aux fraises des bois</v>
      </c>
      <c r="G447" s="1548"/>
      <c r="H447" s="1548"/>
      <c r="I447" s="2190">
        <f>ROWS(M438:M447)</f>
        <v>10</v>
      </c>
      <c r="J447" s="5549" t="str" cm="1">
        <f t="array" ref="J447">IF(SUMPRODUCT((M447:R447&lt;&gt;"")*1)=0,"",SUMPRODUCT((M447:R447&lt;&gt;"")*(LEN(TRIM(SUBSTITUTE(M447:R447,CHAR(160)," "))) - LEN(SUBSTITUTE(TRIM(SUBSTITUTE(M447:R447,CHAR(160)," "))," ","")) + 1)) &amp; " mot" &amp; IF(SUMPRODUCT((M447:R447&lt;&gt;"")*(LEN(TRIM(SUBSTITUTE(M447:R447,CHAR(160)," "))) - LEN(SUBSTITUTE(TRIM(SUBSTITUTE(M447:R447,CHAR(160)," "))," ","")) + 1))&gt;1,"s",""))</f>
        <v/>
      </c>
      <c r="K447" s="5550" t="str" cm="1">
        <f t="array" ref="K447">SUMPRODUCT(--(M447:R447&lt;&gt;""), LEN(TRIM(SUBSTITUTE(M447:R447, CHAR(160), "")))) &amp; " Car."</f>
        <v>0 Car.</v>
      </c>
      <c r="L447" s="1376" t="str">
        <f>IF(ISBLANK(M447),"",LARGE(L437:L446,1)+1)</f>
        <v/>
      </c>
      <c r="M447" s="1810"/>
      <c r="N447" s="1810"/>
      <c r="O447" s="1810"/>
      <c r="P447" s="1810"/>
      <c r="Q447" s="1810"/>
      <c r="R447" s="1810"/>
      <c r="S447" s="1810"/>
      <c r="T447" s="1810"/>
      <c r="U447" s="1811"/>
      <c r="W447" s="162" t="s">
        <v>10</v>
      </c>
      <c r="X447" s="163" t="str">
        <f>X370</f>
        <v>N NAME OF YOUR RECIPE | paste it — FAMILY|  Author &gt; YOU</v>
      </c>
      <c r="Y447" s="163">
        <f>Y370</f>
        <v>1</v>
      </c>
      <c r="Z447" s="164" t="str">
        <f>Z370</f>
        <v>coupe</v>
      </c>
      <c r="AA447" s="165" t="str">
        <f>AA370</f>
        <v>Master recipe ► MILLE-FEUILLE  aux fraises des bois</v>
      </c>
      <c r="AB447" s="1548"/>
      <c r="AC447" s="1548"/>
      <c r="AD447" s="2190">
        <f>ROWS(AH438:AH447)</f>
        <v>10</v>
      </c>
      <c r="AE447" s="5549" t="str" cm="1">
        <f t="array" ref="AE447">IF(SUMPRODUCT((AH447:AM447&lt;&gt;"")*1)=0,"",SUMPRODUCT((AH447:AM447&lt;&gt;"")*(LEN(TRIM(SUBSTITUTE(AH447:AM447,CHAR(160)," "))) - LEN(SUBSTITUTE(TRIM(SUBSTITUTE(AH447:AM447,CHAR(160)," "))," ","")) + 1)) &amp; " word" &amp; IF(SUMPRODUCT((AH447:AM447&lt;&gt;"")*(LEN(TRIM(SUBSTITUTE(AH447:AM447,CHAR(160)," "))) - LEN(SUBSTITUTE(TRIM(SUBSTITUTE(AH447:AM447,CHAR(160)," "))," ","")) + 1))&gt;1,"s",""))</f>
        <v/>
      </c>
      <c r="AF447" s="5550" t="str" cm="1">
        <f t="array" ref="AF447">SUMPRODUCT(--(AH447:AM447&lt;&gt;""), LEN(TRIM(SUBSTITUTE(AH447:AM447, CHAR(160), "")))) &amp; " Car."</f>
        <v>0 Car.</v>
      </c>
      <c r="AG447" s="1376" t="str">
        <f>IF(ISBLANK(AH447),"",LARGE(AG437:AG446,1)+1)</f>
        <v/>
      </c>
      <c r="AH447" s="1810"/>
      <c r="AI447" s="1810"/>
      <c r="AJ447" s="1810"/>
      <c r="AK447" s="1810"/>
      <c r="AL447" s="1810"/>
      <c r="AM447" s="1810"/>
      <c r="AN447" s="1810"/>
      <c r="AO447" s="1810"/>
      <c r="AP447" s="1811"/>
      <c r="AR447" s="162" t="s">
        <v>10</v>
      </c>
      <c r="AS447" s="163" t="str">
        <f>AS370</f>
        <v>N NOMBRE DE SU RECETA | pegue esto — FAMILIA| Auteur &gt; VOUS</v>
      </c>
      <c r="AT447" s="163">
        <f>AT370</f>
        <v>1</v>
      </c>
      <c r="AU447" s="164" t="str">
        <f>AU370</f>
        <v>coupe</v>
      </c>
      <c r="AV447" s="165" t="str">
        <f>AV370</f>
        <v>Receta madre ► MILLE-FEUILLE  aux fraises des bois</v>
      </c>
      <c r="AW447" s="1548"/>
      <c r="AX447" s="1548"/>
      <c r="AY447" s="2190">
        <f>ROWS(BC438:BC447)</f>
        <v>10</v>
      </c>
      <c r="AZ447" s="5549" t="str" cm="1">
        <f t="array" ref="AZ447">IF(SUMPRODUCT((BC447:BH447&lt;&gt;"")*1)=0,"",SUMPRODUCT((BC447:BH447&lt;&gt;"")*(LEN(TRIM(SUBSTITUTE(BC447:BH447,CHAR(160)," "))) - LEN(SUBSTITUTE(TRIM(SUBSTITUTE(BC447:BH447,CHAR(160)," "))," ","")) + 1)) &amp; " palabra" &amp; IF(SUMPRODUCT((BC447:BH447&lt;&gt;"")*(LEN(TRIM(SUBSTITUTE(BC447:BH447,CHAR(160)," "))) - LEN(SUBSTITUTE(TRIM(SUBSTITUTE(BC447:BH447,CHAR(160)," "))," ","")) + 1))&gt;1,"s",""))</f>
        <v/>
      </c>
      <c r="BA447" s="5550" t="str" cm="1">
        <f t="array" ref="BA447">SUMPRODUCT(--(BC447:BH447&lt;&gt;""), LEN(TRIM(SUBSTITUTE(BC447:BH447, CHAR(160), "")))) &amp; " Car."</f>
        <v>0 Car.</v>
      </c>
      <c r="BB447" s="1376" t="str">
        <f>IF(ISBLANK(BC447),"",LARGE(BB437:BB446,1)+1)</f>
        <v/>
      </c>
      <c r="BC447" s="1833"/>
      <c r="BD447" s="1810"/>
      <c r="BE447" s="1810"/>
      <c r="BF447" s="1810"/>
      <c r="BG447" s="1810"/>
      <c r="BH447" s="1810"/>
      <c r="BI447" s="1810"/>
      <c r="BJ447" s="1810"/>
      <c r="BK447" s="1811"/>
      <c r="BM447" s="3">
        <v>1</v>
      </c>
    </row>
    <row r="448" spans="2:65" ht="21" customHeight="1">
      <c r="B448" s="162" t="s">
        <v>10</v>
      </c>
      <c r="C448" s="163" t="str">
        <f>C370</f>
        <v>MAJUSCULE(GAUCHE(J21;1))&amp;" "&amp;J21&amp;" | "&amp;S21&amp;"| "&amp;J23&amp;" "&amp;K23</v>
      </c>
      <c r="D448" s="1943">
        <f>D370</f>
        <v>1</v>
      </c>
      <c r="E448" s="164" t="str">
        <f>E370</f>
        <v>coupe</v>
      </c>
      <c r="F448" s="165" t="str">
        <f>F370</f>
        <v>Recette mère ► MILLE-FEUILLE  aux fraises des bois</v>
      </c>
      <c r="G448" s="1548"/>
      <c r="H448" s="1548"/>
      <c r="I448" s="2190">
        <f>ROWS(M438:M448)</f>
        <v>11</v>
      </c>
      <c r="J448" s="5549" t="str" cm="1">
        <f t="array" ref="J448">IF(SUMPRODUCT((M448:R448&lt;&gt;"")*1)=0,"",SUMPRODUCT((M448:R448&lt;&gt;"")*(LEN(TRIM(SUBSTITUTE(M448:R448,CHAR(160)," "))) - LEN(SUBSTITUTE(TRIM(SUBSTITUTE(M448:R448,CHAR(160)," "))," ","")) + 1)) &amp; " mot" &amp; IF(SUMPRODUCT((M448:R448&lt;&gt;"")*(LEN(TRIM(SUBSTITUTE(M448:R448,CHAR(160)," "))) - LEN(SUBSTITUTE(TRIM(SUBSTITUTE(M448:R448,CHAR(160)," "))," ","")) + 1))&gt;1,"s",""))</f>
        <v/>
      </c>
      <c r="K448" s="5550" t="str" cm="1">
        <f t="array" ref="K448">SUMPRODUCT(--(M448:R448&lt;&gt;""), LEN(TRIM(SUBSTITUTE(M448:R448, CHAR(160), "")))) &amp; " Car."</f>
        <v>0 Car.</v>
      </c>
      <c r="L448" s="1376" t="str">
        <f>IF(ISBLANK(M448),"",LARGE(L437:L447,1)+1)</f>
        <v/>
      </c>
      <c r="M448" s="1810"/>
      <c r="N448" s="1810"/>
      <c r="O448" s="1810"/>
      <c r="P448" s="1810"/>
      <c r="Q448" s="1810"/>
      <c r="R448" s="1810"/>
      <c r="S448" s="1810"/>
      <c r="T448" s="1810"/>
      <c r="U448" s="1811"/>
      <c r="W448" s="162" t="s">
        <v>10</v>
      </c>
      <c r="X448" s="163" t="str">
        <f>X370</f>
        <v>N NAME OF YOUR RECIPE | paste it — FAMILY|  Author &gt; YOU</v>
      </c>
      <c r="Y448" s="163">
        <f>Y370</f>
        <v>1</v>
      </c>
      <c r="Z448" s="164" t="str">
        <f>Z370</f>
        <v>coupe</v>
      </c>
      <c r="AA448" s="165" t="str">
        <f>AA370</f>
        <v>Master recipe ► MILLE-FEUILLE  aux fraises des bois</v>
      </c>
      <c r="AB448" s="1548"/>
      <c r="AC448" s="1548"/>
      <c r="AD448" s="2190">
        <f>ROWS(AH438:AH448)</f>
        <v>11</v>
      </c>
      <c r="AE448" s="5549" t="str" cm="1">
        <f t="array" ref="AE448">IF(SUMPRODUCT((AH448:AM448&lt;&gt;"")*1)=0,"",SUMPRODUCT((AH448:AM448&lt;&gt;"")*(LEN(TRIM(SUBSTITUTE(AH448:AM448,CHAR(160)," "))) - LEN(SUBSTITUTE(TRIM(SUBSTITUTE(AH448:AM448,CHAR(160)," "))," ","")) + 1)) &amp; " word" &amp; IF(SUMPRODUCT((AH448:AM448&lt;&gt;"")*(LEN(TRIM(SUBSTITUTE(AH448:AM448,CHAR(160)," "))) - LEN(SUBSTITUTE(TRIM(SUBSTITUTE(AH448:AM448,CHAR(160)," "))," ","")) + 1))&gt;1,"s",""))</f>
        <v/>
      </c>
      <c r="AF448" s="5550" t="str" cm="1">
        <f t="array" ref="AF448">SUMPRODUCT(--(AH448:AM448&lt;&gt;""), LEN(TRIM(SUBSTITUTE(AH448:AM448, CHAR(160), "")))) &amp; " Car."</f>
        <v>0 Car.</v>
      </c>
      <c r="AG448" s="1376" t="str">
        <f>IF(ISBLANK(AH448),"",LARGE(AG437:AG447,1)+1)</f>
        <v/>
      </c>
      <c r="AH448" s="1810"/>
      <c r="AI448" s="1810"/>
      <c r="AJ448" s="1810"/>
      <c r="AK448" s="1810"/>
      <c r="AL448" s="1810"/>
      <c r="AM448" s="1810"/>
      <c r="AN448" s="1810"/>
      <c r="AO448" s="1810"/>
      <c r="AP448" s="1811"/>
      <c r="AR448" s="162" t="s">
        <v>10</v>
      </c>
      <c r="AS448" s="163" t="str">
        <f>AS370</f>
        <v>N NOMBRE DE SU RECETA | pegue esto — FAMILIA| Auteur &gt; VOUS</v>
      </c>
      <c r="AT448" s="163">
        <f>AT370</f>
        <v>1</v>
      </c>
      <c r="AU448" s="164" t="str">
        <f>AU370</f>
        <v>coupe</v>
      </c>
      <c r="AV448" s="165" t="str">
        <f>AV370</f>
        <v>Receta madre ► MILLE-FEUILLE  aux fraises des bois</v>
      </c>
      <c r="AW448" s="1548"/>
      <c r="AX448" s="1548"/>
      <c r="AY448" s="2190">
        <f>ROWS(BC438:BC448)</f>
        <v>11</v>
      </c>
      <c r="AZ448" s="5549" t="str" cm="1">
        <f t="array" ref="AZ448">IF(SUMPRODUCT((BC448:BH448&lt;&gt;"")*1)=0,"",SUMPRODUCT((BC448:BH448&lt;&gt;"")*(LEN(TRIM(SUBSTITUTE(BC448:BH448,CHAR(160)," "))) - LEN(SUBSTITUTE(TRIM(SUBSTITUTE(BC448:BH448,CHAR(160)," "))," ","")) + 1)) &amp; " palabra" &amp; IF(SUMPRODUCT((BC448:BH448&lt;&gt;"")*(LEN(TRIM(SUBSTITUTE(BC448:BH448,CHAR(160)," "))) - LEN(SUBSTITUTE(TRIM(SUBSTITUTE(BC448:BH448,CHAR(160)," "))," ","")) + 1))&gt;1,"s",""))</f>
        <v/>
      </c>
      <c r="BA448" s="5550" t="str" cm="1">
        <f t="array" ref="BA448">SUMPRODUCT(--(BC448:BH448&lt;&gt;""), LEN(TRIM(SUBSTITUTE(BC448:BH448, CHAR(160), "")))) &amp; " Car."</f>
        <v>0 Car.</v>
      </c>
      <c r="BB448" s="1376" t="str">
        <f>IF(ISBLANK(BC448),"",LARGE(BB437:BB447,1)+1)</f>
        <v/>
      </c>
      <c r="BC448" s="1833"/>
      <c r="BD448" s="1810"/>
      <c r="BE448" s="1810"/>
      <c r="BF448" s="1810"/>
      <c r="BG448" s="1810"/>
      <c r="BH448" s="1810"/>
      <c r="BI448" s="1810"/>
      <c r="BJ448" s="1810"/>
      <c r="BK448" s="1811"/>
      <c r="BM448" s="3">
        <v>1</v>
      </c>
    </row>
    <row r="449" spans="2:65" ht="21" customHeight="1">
      <c r="B449" s="162" t="s">
        <v>10</v>
      </c>
      <c r="C449" s="163" t="str">
        <f>C370</f>
        <v>MAJUSCULE(GAUCHE(J21;1))&amp;" "&amp;J21&amp;" | "&amp;S21&amp;"| "&amp;J23&amp;" "&amp;K23</v>
      </c>
      <c r="D449" s="163">
        <f>D370</f>
        <v>1</v>
      </c>
      <c r="E449" s="164" t="str">
        <f>E370</f>
        <v>coupe</v>
      </c>
      <c r="F449" s="165" t="str">
        <f>F370</f>
        <v>Recette mère ► MILLE-FEUILLE  aux fraises des bois</v>
      </c>
      <c r="G449" s="1548"/>
      <c r="H449" s="1548"/>
      <c r="I449" s="2190">
        <f>ROWS(M438:M449)</f>
        <v>12</v>
      </c>
      <c r="J449" s="5549" t="str" cm="1">
        <f t="array" ref="J449">IF(SUMPRODUCT((M449:R449&lt;&gt;"")*1)=0,"",SUMPRODUCT((M449:R449&lt;&gt;"")*(LEN(TRIM(SUBSTITUTE(M449:R449,CHAR(160)," "))) - LEN(SUBSTITUTE(TRIM(SUBSTITUTE(M449:R449,CHAR(160)," "))," ","")) + 1)) &amp; " mot" &amp; IF(SUMPRODUCT((M449:R449&lt;&gt;"")*(LEN(TRIM(SUBSTITUTE(M449:R449,CHAR(160)," "))) - LEN(SUBSTITUTE(TRIM(SUBSTITUTE(M449:R449,CHAR(160)," "))," ","")) + 1))&gt;1,"s",""))</f>
        <v/>
      </c>
      <c r="K449" s="5550" t="str" cm="1">
        <f t="array" ref="K449">SUMPRODUCT(--(M449:R449&lt;&gt;""), LEN(TRIM(SUBSTITUTE(M449:R449, CHAR(160), "")))) &amp; " Car."</f>
        <v>0 Car.</v>
      </c>
      <c r="L449" s="1376" t="str">
        <f>IF(ISBLANK(M449),"",LARGE(L437:L448,1)+1)</f>
        <v/>
      </c>
      <c r="M449" s="1810"/>
      <c r="N449" s="1810"/>
      <c r="O449" s="1810"/>
      <c r="P449" s="1810"/>
      <c r="Q449" s="1810"/>
      <c r="R449" s="1810"/>
      <c r="S449" s="1810"/>
      <c r="T449" s="1810"/>
      <c r="U449" s="1811"/>
      <c r="W449" s="162" t="s">
        <v>10</v>
      </c>
      <c r="X449" s="163" t="str">
        <f>X370</f>
        <v>N NAME OF YOUR RECIPE | paste it — FAMILY|  Author &gt; YOU</v>
      </c>
      <c r="Y449" s="163">
        <f>Y370</f>
        <v>1</v>
      </c>
      <c r="Z449" s="164" t="str">
        <f>Z370</f>
        <v>coupe</v>
      </c>
      <c r="AA449" s="165" t="str">
        <f>AA370</f>
        <v>Master recipe ► MILLE-FEUILLE  aux fraises des bois</v>
      </c>
      <c r="AB449" s="1548"/>
      <c r="AC449" s="1548"/>
      <c r="AD449" s="2190">
        <f>ROWS(AH438:AH449)</f>
        <v>12</v>
      </c>
      <c r="AE449" s="5549" t="str" cm="1">
        <f t="array" ref="AE449">IF(SUMPRODUCT((AH449:AM449&lt;&gt;"")*1)=0,"",SUMPRODUCT((AH449:AM449&lt;&gt;"")*(LEN(TRIM(SUBSTITUTE(AH449:AM449,CHAR(160)," "))) - LEN(SUBSTITUTE(TRIM(SUBSTITUTE(AH449:AM449,CHAR(160)," "))," ","")) + 1)) &amp; " word" &amp; IF(SUMPRODUCT((AH449:AM449&lt;&gt;"")*(LEN(TRIM(SUBSTITUTE(AH449:AM449,CHAR(160)," "))) - LEN(SUBSTITUTE(TRIM(SUBSTITUTE(AH449:AM449,CHAR(160)," "))," ","")) + 1))&gt;1,"s",""))</f>
        <v/>
      </c>
      <c r="AF449" s="5550" t="str" cm="1">
        <f t="array" ref="AF449">SUMPRODUCT(--(AH449:AM449&lt;&gt;""), LEN(TRIM(SUBSTITUTE(AH449:AM449, CHAR(160), "")))) &amp; " Car."</f>
        <v>0 Car.</v>
      </c>
      <c r="AG449" s="1376" t="str">
        <f>IF(ISBLANK(AH449),"",LARGE(AG437:AG448,1)+1)</f>
        <v/>
      </c>
      <c r="AH449" s="1810"/>
      <c r="AI449" s="1833"/>
      <c r="AJ449" s="1810"/>
      <c r="AK449" s="1810"/>
      <c r="AL449" s="1810"/>
      <c r="AM449" s="1810"/>
      <c r="AN449" s="1810"/>
      <c r="AO449" s="1810"/>
      <c r="AP449" s="1811"/>
      <c r="AR449" s="162" t="s">
        <v>10</v>
      </c>
      <c r="AS449" s="163" t="str">
        <f>AS370</f>
        <v>N NOMBRE DE SU RECETA | pegue esto — FAMILIA| Auteur &gt; VOUS</v>
      </c>
      <c r="AT449" s="163">
        <f>AT370</f>
        <v>1</v>
      </c>
      <c r="AU449" s="164" t="str">
        <f>AU370</f>
        <v>coupe</v>
      </c>
      <c r="AV449" s="165" t="str">
        <f>AV370</f>
        <v>Receta madre ► MILLE-FEUILLE  aux fraises des bois</v>
      </c>
      <c r="AW449" s="1548"/>
      <c r="AX449" s="1548"/>
      <c r="AY449" s="2190">
        <f>ROWS(BC438:BC449)</f>
        <v>12</v>
      </c>
      <c r="AZ449" s="5549" t="str" cm="1">
        <f t="array" ref="AZ449">IF(SUMPRODUCT((BC449:BH449&lt;&gt;"")*1)=0,"",SUMPRODUCT((BC449:BH449&lt;&gt;"")*(LEN(TRIM(SUBSTITUTE(BC449:BH449,CHAR(160)," "))) - LEN(SUBSTITUTE(TRIM(SUBSTITUTE(BC449:BH449,CHAR(160)," "))," ","")) + 1)) &amp; " palabra" &amp; IF(SUMPRODUCT((BC449:BH449&lt;&gt;"")*(LEN(TRIM(SUBSTITUTE(BC449:BH449,CHAR(160)," "))) - LEN(SUBSTITUTE(TRIM(SUBSTITUTE(BC449:BH449,CHAR(160)," "))," ","")) + 1))&gt;1,"s",""))</f>
        <v/>
      </c>
      <c r="BA449" s="5550" t="str" cm="1">
        <f t="array" ref="BA449">SUMPRODUCT(--(BC449:BH449&lt;&gt;""), LEN(TRIM(SUBSTITUTE(BC449:BH449, CHAR(160), "")))) &amp; " Car."</f>
        <v>0 Car.</v>
      </c>
      <c r="BB449" s="1376" t="str">
        <f>IF(ISBLANK(BC449),"",LARGE(BB437:BB448,1)+1)</f>
        <v/>
      </c>
      <c r="BC449" s="1833"/>
      <c r="BD449" s="1810"/>
      <c r="BE449" s="1810"/>
      <c r="BF449" s="1810"/>
      <c r="BG449" s="1810"/>
      <c r="BH449" s="1810"/>
      <c r="BI449" s="1810"/>
      <c r="BJ449" s="1810"/>
      <c r="BK449" s="1811"/>
      <c r="BM449" s="3">
        <v>1</v>
      </c>
    </row>
    <row r="450" spans="2:65" ht="21" customHeight="1">
      <c r="B450" s="162" t="s">
        <v>10</v>
      </c>
      <c r="C450" s="163" t="str">
        <f>C370</f>
        <v>MAJUSCULE(GAUCHE(J21;1))&amp;" "&amp;J21&amp;" | "&amp;S21&amp;"| "&amp;J23&amp;" "&amp;K23</v>
      </c>
      <c r="D450" s="163">
        <f>D370</f>
        <v>1</v>
      </c>
      <c r="E450" s="164" t="str">
        <f>E370</f>
        <v>coupe</v>
      </c>
      <c r="F450" s="165" t="str">
        <f>F370</f>
        <v>Recette mère ► MILLE-FEUILLE  aux fraises des bois</v>
      </c>
      <c r="G450" s="1548"/>
      <c r="H450" s="1548"/>
      <c r="I450" s="2190">
        <f>ROWS(M438:M450)</f>
        <v>13</v>
      </c>
      <c r="J450" s="5549" t="str" cm="1">
        <f t="array" ref="J450">IF(SUMPRODUCT((M450:R450&lt;&gt;"")*1)=0,"",SUMPRODUCT((M450:R450&lt;&gt;"")*(LEN(TRIM(SUBSTITUTE(M450:R450,CHAR(160)," "))) - LEN(SUBSTITUTE(TRIM(SUBSTITUTE(M450:R450,CHAR(160)," "))," ","")) + 1)) &amp; " mot" &amp; IF(SUMPRODUCT((M450:R450&lt;&gt;"")*(LEN(TRIM(SUBSTITUTE(M450:R450,CHAR(160)," "))) - LEN(SUBSTITUTE(TRIM(SUBSTITUTE(M450:R450,CHAR(160)," "))," ","")) + 1))&gt;1,"s",""))</f>
        <v/>
      </c>
      <c r="K450" s="5550" t="str" cm="1">
        <f t="array" ref="K450">SUMPRODUCT(--(M450:R450&lt;&gt;""), LEN(TRIM(SUBSTITUTE(M450:R450, CHAR(160), "")))) &amp; " Car."</f>
        <v>0 Car.</v>
      </c>
      <c r="L450" s="1376" t="str">
        <f>IF(ISBLANK(M450),"",LARGE(L437:L449,1)+1)</f>
        <v/>
      </c>
      <c r="M450" s="1810"/>
      <c r="N450" s="1810"/>
      <c r="O450" s="1810"/>
      <c r="P450" s="1810"/>
      <c r="Q450" s="1810"/>
      <c r="R450" s="1810"/>
      <c r="S450" s="1810"/>
      <c r="T450" s="1810"/>
      <c r="U450" s="1811"/>
      <c r="W450" s="162" t="s">
        <v>10</v>
      </c>
      <c r="X450" s="163" t="str">
        <f>X370</f>
        <v>N NAME OF YOUR RECIPE | paste it — FAMILY|  Author &gt; YOU</v>
      </c>
      <c r="Y450" s="163">
        <f>Y370</f>
        <v>1</v>
      </c>
      <c r="Z450" s="164" t="str">
        <f>Z370</f>
        <v>coupe</v>
      </c>
      <c r="AA450" s="165" t="str">
        <f>AA370</f>
        <v>Master recipe ► MILLE-FEUILLE  aux fraises des bois</v>
      </c>
      <c r="AB450" s="1548"/>
      <c r="AC450" s="1548"/>
      <c r="AD450" s="2190">
        <f>ROWS(AH438:AH450)</f>
        <v>13</v>
      </c>
      <c r="AE450" s="5549" t="str" cm="1">
        <f t="array" ref="AE450">IF(SUMPRODUCT((AH450:AM450&lt;&gt;"")*1)=0,"",SUMPRODUCT((AH450:AM450&lt;&gt;"")*(LEN(TRIM(SUBSTITUTE(AH450:AM450,CHAR(160)," "))) - LEN(SUBSTITUTE(TRIM(SUBSTITUTE(AH450:AM450,CHAR(160)," "))," ","")) + 1)) &amp; " word" &amp; IF(SUMPRODUCT((AH450:AM450&lt;&gt;"")*(LEN(TRIM(SUBSTITUTE(AH450:AM450,CHAR(160)," "))) - LEN(SUBSTITUTE(TRIM(SUBSTITUTE(AH450:AM450,CHAR(160)," "))," ","")) + 1))&gt;1,"s",""))</f>
        <v/>
      </c>
      <c r="AF450" s="5550" t="str" cm="1">
        <f t="array" ref="AF450">SUMPRODUCT(--(AH450:AM450&lt;&gt;""), LEN(TRIM(SUBSTITUTE(AH450:AM450, CHAR(160), "")))) &amp; " Car."</f>
        <v>0 Car.</v>
      </c>
      <c r="AG450" s="1376" t="str">
        <f>IF(ISBLANK(AH450),"",LARGE(AG437:AG449,1)+1)</f>
        <v/>
      </c>
      <c r="AH450" s="1810"/>
      <c r="AI450" s="1810"/>
      <c r="AJ450" s="1810"/>
      <c r="AK450" s="1810"/>
      <c r="AL450" s="1810"/>
      <c r="AM450" s="1810"/>
      <c r="AN450" s="1810"/>
      <c r="AO450" s="1810"/>
      <c r="AP450" s="1811"/>
      <c r="AR450" s="162" t="s">
        <v>10</v>
      </c>
      <c r="AS450" s="163" t="str">
        <f>AS370</f>
        <v>N NOMBRE DE SU RECETA | pegue esto — FAMILIA| Auteur &gt; VOUS</v>
      </c>
      <c r="AT450" s="163">
        <f>AT370</f>
        <v>1</v>
      </c>
      <c r="AU450" s="164" t="str">
        <f>AU370</f>
        <v>coupe</v>
      </c>
      <c r="AV450" s="165" t="str">
        <f>AV370</f>
        <v>Receta madre ► MILLE-FEUILLE  aux fraises des bois</v>
      </c>
      <c r="AW450" s="1548"/>
      <c r="AX450" s="1548"/>
      <c r="AY450" s="2190">
        <f>ROWS(BC438:BC450)</f>
        <v>13</v>
      </c>
      <c r="AZ450" s="5549" t="str" cm="1">
        <f t="array" ref="AZ450">IF(SUMPRODUCT((BC450:BH450&lt;&gt;"")*1)=0,"",SUMPRODUCT((BC450:BH450&lt;&gt;"")*(LEN(TRIM(SUBSTITUTE(BC450:BH450,CHAR(160)," "))) - LEN(SUBSTITUTE(TRIM(SUBSTITUTE(BC450:BH450,CHAR(160)," "))," ","")) + 1)) &amp; " palabra" &amp; IF(SUMPRODUCT((BC450:BH450&lt;&gt;"")*(LEN(TRIM(SUBSTITUTE(BC450:BH450,CHAR(160)," "))) - LEN(SUBSTITUTE(TRIM(SUBSTITUTE(BC450:BH450,CHAR(160)," "))," ","")) + 1))&gt;1,"s",""))</f>
        <v/>
      </c>
      <c r="BA450" s="5550" t="str" cm="1">
        <f t="array" ref="BA450">SUMPRODUCT(--(BC450:BH450&lt;&gt;""), LEN(TRIM(SUBSTITUTE(BC450:BH450, CHAR(160), "")))) &amp; " Car."</f>
        <v>0 Car.</v>
      </c>
      <c r="BB450" s="1376" t="str">
        <f>IF(ISBLANK(BC450),"",LARGE(BB437:BB449,1)+1)</f>
        <v/>
      </c>
      <c r="BC450" s="1833"/>
      <c r="BD450" s="1810"/>
      <c r="BE450" s="1810"/>
      <c r="BF450" s="1810"/>
      <c r="BG450" s="1810"/>
      <c r="BH450" s="1810"/>
      <c r="BI450" s="1810"/>
      <c r="BJ450" s="1810"/>
      <c r="BK450" s="1811"/>
      <c r="BM450" s="3">
        <v>1</v>
      </c>
    </row>
    <row r="451" spans="2:65" ht="21" customHeight="1">
      <c r="B451" s="162" t="s">
        <v>10</v>
      </c>
      <c r="C451" s="163" t="str">
        <f>C370</f>
        <v>MAJUSCULE(GAUCHE(J21;1))&amp;" "&amp;J21&amp;" | "&amp;S21&amp;"| "&amp;J23&amp;" "&amp;K23</v>
      </c>
      <c r="D451" s="163">
        <f>D370</f>
        <v>1</v>
      </c>
      <c r="E451" s="164" t="str">
        <f>E370</f>
        <v>coupe</v>
      </c>
      <c r="F451" s="165" t="str">
        <f>F370</f>
        <v>Recette mère ► MILLE-FEUILLE  aux fraises des bois</v>
      </c>
      <c r="G451" s="1548"/>
      <c r="H451" s="1548"/>
      <c r="I451" s="2190">
        <f>ROWS(M438:M451)</f>
        <v>14</v>
      </c>
      <c r="J451" s="5549" t="str" cm="1">
        <f t="array" ref="J451">IF(SUMPRODUCT((M451:R451&lt;&gt;"")*1)=0,"",SUMPRODUCT((M451:R451&lt;&gt;"")*(LEN(TRIM(SUBSTITUTE(M451:R451,CHAR(160)," "))) - LEN(SUBSTITUTE(TRIM(SUBSTITUTE(M451:R451,CHAR(160)," "))," ","")) + 1)) &amp; " mot" &amp; IF(SUMPRODUCT((M451:R451&lt;&gt;"")*(LEN(TRIM(SUBSTITUTE(M451:R451,CHAR(160)," "))) - LEN(SUBSTITUTE(TRIM(SUBSTITUTE(M451:R451,CHAR(160)," "))," ","")) + 1))&gt;1,"s",""))</f>
        <v/>
      </c>
      <c r="K451" s="5550" t="str" cm="1">
        <f t="array" ref="K451">SUMPRODUCT(--(M451:R451&lt;&gt;""), LEN(TRIM(SUBSTITUTE(M451:R451, CHAR(160), "")))) &amp; " Car."</f>
        <v>0 Car.</v>
      </c>
      <c r="L451" s="1376" t="str">
        <f>IF(ISBLANK(M451),"",LARGE(L437:L450,1)+1)</f>
        <v/>
      </c>
      <c r="M451" s="1810"/>
      <c r="N451" s="1810"/>
      <c r="O451" s="1810"/>
      <c r="P451" s="1810"/>
      <c r="Q451" s="1810"/>
      <c r="R451" s="1810"/>
      <c r="S451" s="1810"/>
      <c r="T451" s="1810"/>
      <c r="U451" s="1811"/>
      <c r="W451" s="162" t="s">
        <v>10</v>
      </c>
      <c r="X451" s="163" t="str">
        <f>X370</f>
        <v>N NAME OF YOUR RECIPE | paste it — FAMILY|  Author &gt; YOU</v>
      </c>
      <c r="Y451" s="163">
        <f>Y370</f>
        <v>1</v>
      </c>
      <c r="Z451" s="164" t="str">
        <f>Z370</f>
        <v>coupe</v>
      </c>
      <c r="AA451" s="165" t="str">
        <f>AA370</f>
        <v>Master recipe ► MILLE-FEUILLE  aux fraises des bois</v>
      </c>
      <c r="AB451" s="1548"/>
      <c r="AC451" s="1548"/>
      <c r="AD451" s="2190">
        <f>ROWS(AH438:AH451)</f>
        <v>14</v>
      </c>
      <c r="AE451" s="5549" t="str" cm="1">
        <f t="array" ref="AE451">IF(SUMPRODUCT((AH451:AM451&lt;&gt;"")*1)=0,"",SUMPRODUCT((AH451:AM451&lt;&gt;"")*(LEN(TRIM(SUBSTITUTE(AH451:AM451,CHAR(160)," "))) - LEN(SUBSTITUTE(TRIM(SUBSTITUTE(AH451:AM451,CHAR(160)," "))," ","")) + 1)) &amp; " word" &amp; IF(SUMPRODUCT((AH451:AM451&lt;&gt;"")*(LEN(TRIM(SUBSTITUTE(AH451:AM451,CHAR(160)," "))) - LEN(SUBSTITUTE(TRIM(SUBSTITUTE(AH451:AM451,CHAR(160)," "))," ","")) + 1))&gt;1,"s",""))</f>
        <v/>
      </c>
      <c r="AF451" s="5550" t="str" cm="1">
        <f t="array" ref="AF451">SUMPRODUCT(--(AH451:AM451&lt;&gt;""), LEN(TRIM(SUBSTITUTE(AH451:AM451, CHAR(160), "")))) &amp; " Car."</f>
        <v>0 Car.</v>
      </c>
      <c r="AG451" s="1376" t="str">
        <f>IF(ISBLANK(AH451),"",LARGE(AG437:AG450,1)+1)</f>
        <v/>
      </c>
      <c r="AH451" s="1810"/>
      <c r="AI451" s="1833"/>
      <c r="AJ451" s="1810"/>
      <c r="AK451" s="1810"/>
      <c r="AL451" s="1810"/>
      <c r="AM451" s="1810"/>
      <c r="AN451" s="1810"/>
      <c r="AO451" s="1810"/>
      <c r="AP451" s="1811"/>
      <c r="AR451" s="162" t="s">
        <v>10</v>
      </c>
      <c r="AS451" s="163" t="str">
        <f>AS370</f>
        <v>N NOMBRE DE SU RECETA | pegue esto — FAMILIA| Auteur &gt; VOUS</v>
      </c>
      <c r="AT451" s="163">
        <f>AT370</f>
        <v>1</v>
      </c>
      <c r="AU451" s="164" t="str">
        <f>AU370</f>
        <v>coupe</v>
      </c>
      <c r="AV451" s="165" t="str">
        <f>AV370</f>
        <v>Receta madre ► MILLE-FEUILLE  aux fraises des bois</v>
      </c>
      <c r="AW451" s="1548"/>
      <c r="AX451" s="1548"/>
      <c r="AY451" s="2190">
        <f>ROWS(BC438:BC451)</f>
        <v>14</v>
      </c>
      <c r="AZ451" s="5549" t="str" cm="1">
        <f t="array" ref="AZ451">IF(SUMPRODUCT((BC451:BH451&lt;&gt;"")*1)=0,"",SUMPRODUCT((BC451:BH451&lt;&gt;"")*(LEN(TRIM(SUBSTITUTE(BC451:BH451,CHAR(160)," "))) - LEN(SUBSTITUTE(TRIM(SUBSTITUTE(BC451:BH451,CHAR(160)," "))," ","")) + 1)) &amp; " palabra" &amp; IF(SUMPRODUCT((BC451:BH451&lt;&gt;"")*(LEN(TRIM(SUBSTITUTE(BC451:BH451,CHAR(160)," "))) - LEN(SUBSTITUTE(TRIM(SUBSTITUTE(BC451:BH451,CHAR(160)," "))," ","")) + 1))&gt;1,"s",""))</f>
        <v/>
      </c>
      <c r="BA451" s="5550" t="str" cm="1">
        <f t="array" ref="BA451">SUMPRODUCT(--(BC451:BH451&lt;&gt;""), LEN(TRIM(SUBSTITUTE(BC451:BH451, CHAR(160), "")))) &amp; " Car."</f>
        <v>0 Car.</v>
      </c>
      <c r="BB451" s="1376" t="str">
        <f>IF(ISBLANK(BC451),"",LARGE(BB437:BB450,1)+1)</f>
        <v/>
      </c>
      <c r="BC451" s="1833"/>
      <c r="BD451" s="1810"/>
      <c r="BE451" s="1810"/>
      <c r="BF451" s="1810"/>
      <c r="BG451" s="1810"/>
      <c r="BH451" s="1810"/>
      <c r="BI451" s="1810"/>
      <c r="BJ451" s="1810"/>
      <c r="BK451" s="1811"/>
      <c r="BM451" s="3">
        <v>1</v>
      </c>
    </row>
    <row r="452" spans="2:65" ht="21" customHeight="1">
      <c r="B452" s="162" t="s">
        <v>10</v>
      </c>
      <c r="C452" s="163" t="str">
        <f>C370</f>
        <v>MAJUSCULE(GAUCHE(J21;1))&amp;" "&amp;J21&amp;" | "&amp;S21&amp;"| "&amp;J23&amp;" "&amp;K23</v>
      </c>
      <c r="D452" s="163">
        <f>D370</f>
        <v>1</v>
      </c>
      <c r="E452" s="164" t="str">
        <f>E370</f>
        <v>coupe</v>
      </c>
      <c r="F452" s="165" t="str">
        <f>F370</f>
        <v>Recette mère ► MILLE-FEUILLE  aux fraises des bois</v>
      </c>
      <c r="G452" s="1548"/>
      <c r="H452" s="1548"/>
      <c r="I452" s="2190">
        <f>ROWS(M438:M452)</f>
        <v>15</v>
      </c>
      <c r="J452" s="5549" t="str" cm="1">
        <f t="array" ref="J452">IF(SUMPRODUCT((M452:R452&lt;&gt;"")*1)=0,"",SUMPRODUCT((M452:R452&lt;&gt;"")*(LEN(TRIM(SUBSTITUTE(M452:R452,CHAR(160)," "))) - LEN(SUBSTITUTE(TRIM(SUBSTITUTE(M452:R452,CHAR(160)," "))," ","")) + 1)) &amp; " mot" &amp; IF(SUMPRODUCT((M452:R452&lt;&gt;"")*(LEN(TRIM(SUBSTITUTE(M452:R452,CHAR(160)," "))) - LEN(SUBSTITUTE(TRIM(SUBSTITUTE(M452:R452,CHAR(160)," "))," ","")) + 1))&gt;1,"s",""))</f>
        <v/>
      </c>
      <c r="K452" s="5550" t="str" cm="1">
        <f t="array" ref="K452">SUMPRODUCT(--(M452:R452&lt;&gt;""), LEN(TRIM(SUBSTITUTE(M452:R452, CHAR(160), "")))) &amp; " Car."</f>
        <v>0 Car.</v>
      </c>
      <c r="L452" s="1376" t="str">
        <f>IF(ISBLANK(M452),"",LARGE(L437:L451,1)+1)</f>
        <v/>
      </c>
      <c r="M452" s="1810"/>
      <c r="N452" s="1810"/>
      <c r="O452" s="1810"/>
      <c r="P452" s="1810"/>
      <c r="Q452" s="1810"/>
      <c r="R452" s="1810"/>
      <c r="S452" s="1810"/>
      <c r="T452" s="1810"/>
      <c r="U452" s="1811"/>
      <c r="W452" s="162" t="s">
        <v>10</v>
      </c>
      <c r="X452" s="163" t="str">
        <f>X370</f>
        <v>N NAME OF YOUR RECIPE | paste it — FAMILY|  Author &gt; YOU</v>
      </c>
      <c r="Y452" s="163">
        <f>Y370</f>
        <v>1</v>
      </c>
      <c r="Z452" s="164" t="str">
        <f>Z370</f>
        <v>coupe</v>
      </c>
      <c r="AA452" s="165" t="str">
        <f>AA370</f>
        <v>Master recipe ► MILLE-FEUILLE  aux fraises des bois</v>
      </c>
      <c r="AB452" s="1548"/>
      <c r="AC452" s="1548"/>
      <c r="AD452" s="2190">
        <f>ROWS(AH438:AH452)</f>
        <v>15</v>
      </c>
      <c r="AE452" s="5549" t="str" cm="1">
        <f t="array" ref="AE452">IF(SUMPRODUCT((AH452:AM452&lt;&gt;"")*1)=0,"",SUMPRODUCT((AH452:AM452&lt;&gt;"")*(LEN(TRIM(SUBSTITUTE(AH452:AM452,CHAR(160)," "))) - LEN(SUBSTITUTE(TRIM(SUBSTITUTE(AH452:AM452,CHAR(160)," "))," ","")) + 1)) &amp; " word" &amp; IF(SUMPRODUCT((AH452:AM452&lt;&gt;"")*(LEN(TRIM(SUBSTITUTE(AH452:AM452,CHAR(160)," "))) - LEN(SUBSTITUTE(TRIM(SUBSTITUTE(AH452:AM452,CHAR(160)," "))," ","")) + 1))&gt;1,"s",""))</f>
        <v/>
      </c>
      <c r="AF452" s="5550" t="str" cm="1">
        <f t="array" ref="AF452">SUMPRODUCT(--(AH452:AM452&lt;&gt;""), LEN(TRIM(SUBSTITUTE(AH452:AM452, CHAR(160), "")))) &amp; " Car."</f>
        <v>0 Car.</v>
      </c>
      <c r="AG452" s="1376" t="str">
        <f>IF(ISBLANK(AH452),"",LARGE(AG437:AG451,1)+1)</f>
        <v/>
      </c>
      <c r="AH452" s="1810"/>
      <c r="AI452" s="1810"/>
      <c r="AJ452" s="1810"/>
      <c r="AK452" s="1810"/>
      <c r="AL452" s="1810"/>
      <c r="AM452" s="1810"/>
      <c r="AN452" s="1810"/>
      <c r="AO452" s="1810"/>
      <c r="AP452" s="1811"/>
      <c r="AR452" s="162" t="s">
        <v>10</v>
      </c>
      <c r="AS452" s="163" t="str">
        <f>AS370</f>
        <v>N NOMBRE DE SU RECETA | pegue esto — FAMILIA| Auteur &gt; VOUS</v>
      </c>
      <c r="AT452" s="163">
        <f>AT370</f>
        <v>1</v>
      </c>
      <c r="AU452" s="164" t="str">
        <f>AU370</f>
        <v>coupe</v>
      </c>
      <c r="AV452" s="165" t="str">
        <f>AV370</f>
        <v>Receta madre ► MILLE-FEUILLE  aux fraises des bois</v>
      </c>
      <c r="AW452" s="1548"/>
      <c r="AX452" s="1548"/>
      <c r="AY452" s="2190">
        <f>ROWS(BC438:BC452)</f>
        <v>15</v>
      </c>
      <c r="AZ452" s="5549" t="str" cm="1">
        <f t="array" ref="AZ452">IF(SUMPRODUCT((BC452:BH452&lt;&gt;"")*1)=0,"",SUMPRODUCT((BC452:BH452&lt;&gt;"")*(LEN(TRIM(SUBSTITUTE(BC452:BH452,CHAR(160)," "))) - LEN(SUBSTITUTE(TRIM(SUBSTITUTE(BC452:BH452,CHAR(160)," "))," ","")) + 1)) &amp; " palabra" &amp; IF(SUMPRODUCT((BC452:BH452&lt;&gt;"")*(LEN(TRIM(SUBSTITUTE(BC452:BH452,CHAR(160)," "))) - LEN(SUBSTITUTE(TRIM(SUBSTITUTE(BC452:BH452,CHAR(160)," "))," ","")) + 1))&gt;1,"s",""))</f>
        <v/>
      </c>
      <c r="BA452" s="5550" t="str" cm="1">
        <f t="array" ref="BA452">SUMPRODUCT(--(BC452:BH452&lt;&gt;""), LEN(TRIM(SUBSTITUTE(BC452:BH452, CHAR(160), "")))) &amp; " Car."</f>
        <v>0 Car.</v>
      </c>
      <c r="BB452" s="1376" t="str">
        <f>IF(ISBLANK(BC452),"",LARGE(BB437:BB451,1)+1)</f>
        <v/>
      </c>
      <c r="BC452" s="1833"/>
      <c r="BD452" s="1810"/>
      <c r="BE452" s="1810"/>
      <c r="BF452" s="1810"/>
      <c r="BG452" s="1810"/>
      <c r="BH452" s="1810"/>
      <c r="BI452" s="1810"/>
      <c r="BJ452" s="1810"/>
      <c r="BK452" s="1811"/>
      <c r="BM452" s="3">
        <v>1</v>
      </c>
    </row>
    <row r="453" spans="2:65" ht="21" customHeight="1">
      <c r="B453" s="162" t="s">
        <v>10</v>
      </c>
      <c r="C453" s="163" t="str">
        <f>C370</f>
        <v>MAJUSCULE(GAUCHE(J21;1))&amp;" "&amp;J21&amp;" | "&amp;S21&amp;"| "&amp;J23&amp;" "&amp;K23</v>
      </c>
      <c r="D453" s="163">
        <f>D370</f>
        <v>1</v>
      </c>
      <c r="E453" s="164" t="str">
        <f>E370</f>
        <v>coupe</v>
      </c>
      <c r="F453" s="165" t="str">
        <f>F370</f>
        <v>Recette mère ► MILLE-FEUILLE  aux fraises des bois</v>
      </c>
      <c r="G453" s="1548"/>
      <c r="H453" s="1548"/>
      <c r="I453" s="2190">
        <f>ROWS(M438:M453)</f>
        <v>16</v>
      </c>
      <c r="J453" s="5549" t="str" cm="1">
        <f t="array" ref="J453">IF(SUMPRODUCT((M453:R453&lt;&gt;"")*1)=0,"",SUMPRODUCT((M453:R453&lt;&gt;"")*(LEN(TRIM(SUBSTITUTE(M453:R453,CHAR(160)," "))) - LEN(SUBSTITUTE(TRIM(SUBSTITUTE(M453:R453,CHAR(160)," "))," ","")) + 1)) &amp; " mot" &amp; IF(SUMPRODUCT((M453:R453&lt;&gt;"")*(LEN(TRIM(SUBSTITUTE(M453:R453,CHAR(160)," "))) - LEN(SUBSTITUTE(TRIM(SUBSTITUTE(M453:R453,CHAR(160)," "))," ","")) + 1))&gt;1,"s",""))</f>
        <v/>
      </c>
      <c r="K453" s="5550" t="str" cm="1">
        <f t="array" ref="K453">SUMPRODUCT(--(M453:R453&lt;&gt;""), LEN(TRIM(SUBSTITUTE(M453:R453, CHAR(160), "")))) &amp; " Car."</f>
        <v>0 Car.</v>
      </c>
      <c r="L453" s="1376" t="str">
        <f>IF(ISBLANK(M453),"",LARGE(L437:L452,1)+1)</f>
        <v/>
      </c>
      <c r="M453" s="1810"/>
      <c r="N453" s="1810"/>
      <c r="O453" s="1810"/>
      <c r="P453" s="1810"/>
      <c r="Q453" s="1810"/>
      <c r="R453" s="1810"/>
      <c r="S453" s="1810"/>
      <c r="T453" s="1810"/>
      <c r="U453" s="1811"/>
      <c r="W453" s="162" t="s">
        <v>10</v>
      </c>
      <c r="X453" s="163" t="str">
        <f>X370</f>
        <v>N NAME OF YOUR RECIPE | paste it — FAMILY|  Author &gt; YOU</v>
      </c>
      <c r="Y453" s="163">
        <f>Y370</f>
        <v>1</v>
      </c>
      <c r="Z453" s="164" t="str">
        <f>Z370</f>
        <v>coupe</v>
      </c>
      <c r="AA453" s="165" t="str">
        <f>AA370</f>
        <v>Master recipe ► MILLE-FEUILLE  aux fraises des bois</v>
      </c>
      <c r="AB453" s="1548"/>
      <c r="AC453" s="1548"/>
      <c r="AD453" s="2190">
        <f>ROWS(AH438:AH453)</f>
        <v>16</v>
      </c>
      <c r="AE453" s="5549" t="str" cm="1">
        <f t="array" ref="AE453">IF(SUMPRODUCT((AH453:AM453&lt;&gt;"")*1)=0,"",SUMPRODUCT((AH453:AM453&lt;&gt;"")*(LEN(TRIM(SUBSTITUTE(AH453:AM453,CHAR(160)," "))) - LEN(SUBSTITUTE(TRIM(SUBSTITUTE(AH453:AM453,CHAR(160)," "))," ","")) + 1)) &amp; " word" &amp; IF(SUMPRODUCT((AH453:AM453&lt;&gt;"")*(LEN(TRIM(SUBSTITUTE(AH453:AM453,CHAR(160)," "))) - LEN(SUBSTITUTE(TRIM(SUBSTITUTE(AH453:AM453,CHAR(160)," "))," ","")) + 1))&gt;1,"s",""))</f>
        <v/>
      </c>
      <c r="AF453" s="5550" t="str" cm="1">
        <f t="array" ref="AF453">SUMPRODUCT(--(AH453:AM453&lt;&gt;""), LEN(TRIM(SUBSTITUTE(AH453:AM453, CHAR(160), "")))) &amp; " Car."</f>
        <v>0 Car.</v>
      </c>
      <c r="AG453" s="1376" t="str">
        <f>IF(ISBLANK(AH453),"",LARGE(AG437:AG452,1)+1)</f>
        <v/>
      </c>
      <c r="AH453" s="1833"/>
      <c r="AI453" s="1810"/>
      <c r="AJ453" s="1810"/>
      <c r="AK453" s="1810"/>
      <c r="AL453" s="1810"/>
      <c r="AM453" s="1810"/>
      <c r="AN453" s="1810"/>
      <c r="AO453" s="1810"/>
      <c r="AP453" s="1811"/>
      <c r="AR453" s="162" t="s">
        <v>10</v>
      </c>
      <c r="AS453" s="163" t="str">
        <f>AS370</f>
        <v>N NOMBRE DE SU RECETA | pegue esto — FAMILIA| Auteur &gt; VOUS</v>
      </c>
      <c r="AT453" s="163">
        <f>AT370</f>
        <v>1</v>
      </c>
      <c r="AU453" s="164" t="str">
        <f>AU370</f>
        <v>coupe</v>
      </c>
      <c r="AV453" s="165" t="str">
        <f>AV370</f>
        <v>Receta madre ► MILLE-FEUILLE  aux fraises des bois</v>
      </c>
      <c r="AW453" s="1548"/>
      <c r="AX453" s="1548"/>
      <c r="AY453" s="2190">
        <f>ROWS(BC438:BC453)</f>
        <v>16</v>
      </c>
      <c r="AZ453" s="5549" t="str" cm="1">
        <f t="array" ref="AZ453">IF(SUMPRODUCT((BC453:BH453&lt;&gt;"")*1)=0,"",SUMPRODUCT((BC453:BH453&lt;&gt;"")*(LEN(TRIM(SUBSTITUTE(BC453:BH453,CHAR(160)," "))) - LEN(SUBSTITUTE(TRIM(SUBSTITUTE(BC453:BH453,CHAR(160)," "))," ","")) + 1)) &amp; " palabra" &amp; IF(SUMPRODUCT((BC453:BH453&lt;&gt;"")*(LEN(TRIM(SUBSTITUTE(BC453:BH453,CHAR(160)," "))) - LEN(SUBSTITUTE(TRIM(SUBSTITUTE(BC453:BH453,CHAR(160)," "))," ","")) + 1))&gt;1,"s",""))</f>
        <v/>
      </c>
      <c r="BA453" s="5550" t="str" cm="1">
        <f t="array" ref="BA453">SUMPRODUCT(--(BC453:BH453&lt;&gt;""), LEN(TRIM(SUBSTITUTE(BC453:BH453, CHAR(160), "")))) &amp; " Car."</f>
        <v>0 Car.</v>
      </c>
      <c r="BB453" s="1376" t="str">
        <f>IF(ISBLANK(BC453),"",LARGE(BB437:BB452,1)+1)</f>
        <v/>
      </c>
      <c r="BC453" s="1833"/>
      <c r="BD453" s="1810"/>
      <c r="BE453" s="1810"/>
      <c r="BF453" s="1810"/>
      <c r="BG453" s="1810"/>
      <c r="BH453" s="1810"/>
      <c r="BI453" s="1810"/>
      <c r="BJ453" s="1810"/>
      <c r="BK453" s="1811"/>
      <c r="BM453" s="3">
        <v>1</v>
      </c>
    </row>
    <row r="454" spans="2:65" ht="21" customHeight="1">
      <c r="B454" s="162" t="s">
        <v>10</v>
      </c>
      <c r="C454" s="163" t="str">
        <f>C370</f>
        <v>MAJUSCULE(GAUCHE(J21;1))&amp;" "&amp;J21&amp;" | "&amp;S21&amp;"| "&amp;J23&amp;" "&amp;K23</v>
      </c>
      <c r="D454" s="163">
        <f>D370</f>
        <v>1</v>
      </c>
      <c r="E454" s="164" t="str">
        <f>E370</f>
        <v>coupe</v>
      </c>
      <c r="F454" s="165" t="str">
        <f>F370</f>
        <v>Recette mère ► MILLE-FEUILLE  aux fraises des bois</v>
      </c>
      <c r="G454" s="1548"/>
      <c r="H454" s="1548"/>
      <c r="I454" s="2190">
        <f>ROWS(M438:M454)</f>
        <v>17</v>
      </c>
      <c r="J454" s="5549" t="str" cm="1">
        <f t="array" ref="J454">IF(SUMPRODUCT((M454:R454&lt;&gt;"")*1)=0,"",SUMPRODUCT((M454:R454&lt;&gt;"")*(LEN(TRIM(SUBSTITUTE(M454:R454,CHAR(160)," "))) - LEN(SUBSTITUTE(TRIM(SUBSTITUTE(M454:R454,CHAR(160)," "))," ","")) + 1)) &amp; " mot" &amp; IF(SUMPRODUCT((M454:R454&lt;&gt;"")*(LEN(TRIM(SUBSTITUTE(M454:R454,CHAR(160)," "))) - LEN(SUBSTITUTE(TRIM(SUBSTITUTE(M454:R454,CHAR(160)," "))," ","")) + 1))&gt;1,"s",""))</f>
        <v/>
      </c>
      <c r="K454" s="5550" t="str" cm="1">
        <f t="array" ref="K454">SUMPRODUCT(--(M454:R454&lt;&gt;""), LEN(TRIM(SUBSTITUTE(M454:R454, CHAR(160), "")))) &amp; " Car."</f>
        <v>0 Car.</v>
      </c>
      <c r="L454" s="1376"/>
      <c r="M454" s="1810"/>
      <c r="N454" s="1810"/>
      <c r="O454" s="1810"/>
      <c r="P454" s="1810"/>
      <c r="Q454" s="1810"/>
      <c r="R454" s="1810"/>
      <c r="S454" s="1810"/>
      <c r="T454" s="1810"/>
      <c r="U454" s="1811"/>
      <c r="W454" s="162" t="s">
        <v>10</v>
      </c>
      <c r="X454" s="163" t="str">
        <f>X370</f>
        <v>N NAME OF YOUR RECIPE | paste it — FAMILY|  Author &gt; YOU</v>
      </c>
      <c r="Y454" s="163">
        <f>Y370</f>
        <v>1</v>
      </c>
      <c r="Z454" s="164" t="str">
        <f>Z370</f>
        <v>coupe</v>
      </c>
      <c r="AA454" s="165" t="str">
        <f>AA370</f>
        <v>Master recipe ► MILLE-FEUILLE  aux fraises des bois</v>
      </c>
      <c r="AB454" s="1548"/>
      <c r="AC454" s="1548"/>
      <c r="AD454" s="2190">
        <f>ROWS(AH438:AH454)</f>
        <v>17</v>
      </c>
      <c r="AE454" s="5549" t="str" cm="1">
        <f t="array" ref="AE454">IF(SUMPRODUCT((AH454:AM454&lt;&gt;"")*1)=0,"",SUMPRODUCT((AH454:AM454&lt;&gt;"")*(LEN(TRIM(SUBSTITUTE(AH454:AM454,CHAR(160)," "))) - LEN(SUBSTITUTE(TRIM(SUBSTITUTE(AH454:AM454,CHAR(160)," "))," ","")) + 1)) &amp; " word" &amp; IF(SUMPRODUCT((AH454:AM454&lt;&gt;"")*(LEN(TRIM(SUBSTITUTE(AH454:AM454,CHAR(160)," "))) - LEN(SUBSTITUTE(TRIM(SUBSTITUTE(AH454:AM454,CHAR(160)," "))," ","")) + 1))&gt;1,"s",""))</f>
        <v/>
      </c>
      <c r="AF454" s="5550" t="str" cm="1">
        <f t="array" ref="AF454">SUMPRODUCT(--(AH454:AM454&lt;&gt;""), LEN(TRIM(SUBSTITUTE(AH454:AM454, CHAR(160), "")))) &amp; " Car."</f>
        <v>0 Car.</v>
      </c>
      <c r="AG454" s="1376" t="str">
        <f>IF(ISBLANK(AH454),"",LARGE(AG437:AG453,1)+1)</f>
        <v/>
      </c>
      <c r="AH454" s="1833"/>
      <c r="AI454" s="1810"/>
      <c r="AJ454" s="1810"/>
      <c r="AK454" s="1810"/>
      <c r="AL454" s="1810"/>
      <c r="AM454" s="1810"/>
      <c r="AN454" s="1810"/>
      <c r="AO454" s="1810"/>
      <c r="AP454" s="1811"/>
      <c r="AR454" s="162" t="s">
        <v>10</v>
      </c>
      <c r="AS454" s="163" t="str">
        <f>AS370</f>
        <v>N NOMBRE DE SU RECETA | pegue esto — FAMILIA| Auteur &gt; VOUS</v>
      </c>
      <c r="AT454" s="163">
        <f>AT370</f>
        <v>1</v>
      </c>
      <c r="AU454" s="164" t="str">
        <f>AU370</f>
        <v>coupe</v>
      </c>
      <c r="AV454" s="165" t="str">
        <f>AV370</f>
        <v>Receta madre ► MILLE-FEUILLE  aux fraises des bois</v>
      </c>
      <c r="AW454" s="1548"/>
      <c r="AX454" s="1548"/>
      <c r="AY454" s="2190">
        <f>ROWS(BC438:BC454)</f>
        <v>17</v>
      </c>
      <c r="AZ454" s="5549" t="str" cm="1">
        <f t="array" ref="AZ454">IF(SUMPRODUCT((BC454:BH454&lt;&gt;"")*1)=0,"",SUMPRODUCT((BC454:BH454&lt;&gt;"")*(LEN(TRIM(SUBSTITUTE(BC454:BH454,CHAR(160)," "))) - LEN(SUBSTITUTE(TRIM(SUBSTITUTE(BC454:BH454,CHAR(160)," "))," ","")) + 1)) &amp; " palabra" &amp; IF(SUMPRODUCT((BC454:BH454&lt;&gt;"")*(LEN(TRIM(SUBSTITUTE(BC454:BH454,CHAR(160)," "))) - LEN(SUBSTITUTE(TRIM(SUBSTITUTE(BC454:BH454,CHAR(160)," "))," ","")) + 1))&gt;1,"s",""))</f>
        <v/>
      </c>
      <c r="BA454" s="5550" t="str" cm="1">
        <f t="array" ref="BA454">SUMPRODUCT(--(BC454:BH454&lt;&gt;""), LEN(TRIM(SUBSTITUTE(BC454:BH454, CHAR(160), "")))) &amp; " Car."</f>
        <v>0 Car.</v>
      </c>
      <c r="BB454" s="1376" t="str">
        <f>IF(ISBLANK(BC454),"",LARGE(BB437:BB453,1)+1)</f>
        <v/>
      </c>
      <c r="BC454" s="1833"/>
      <c r="BD454" s="1810"/>
      <c r="BE454" s="1810"/>
      <c r="BF454" s="1810"/>
      <c r="BG454" s="1810"/>
      <c r="BH454" s="1810"/>
      <c r="BI454" s="1810"/>
      <c r="BJ454" s="1810"/>
      <c r="BK454" s="1811"/>
      <c r="BM454" s="3">
        <v>1</v>
      </c>
    </row>
    <row r="455" spans="2:65" ht="21" customHeight="1">
      <c r="B455" s="162" t="s">
        <v>10</v>
      </c>
      <c r="C455" s="163" t="str">
        <f>C370</f>
        <v>MAJUSCULE(GAUCHE(J21;1))&amp;" "&amp;J21&amp;" | "&amp;S21&amp;"| "&amp;J23&amp;" "&amp;K23</v>
      </c>
      <c r="D455" s="163">
        <f>D370</f>
        <v>1</v>
      </c>
      <c r="E455" s="164" t="str">
        <f>E370</f>
        <v>coupe</v>
      </c>
      <c r="F455" s="165" t="str">
        <f>F370</f>
        <v>Recette mère ► MILLE-FEUILLE  aux fraises des bois</v>
      </c>
      <c r="G455" s="1548"/>
      <c r="H455" s="1548"/>
      <c r="I455" s="2190">
        <f>ROWS(M438:M455)</f>
        <v>18</v>
      </c>
      <c r="J455" s="5549" t="str" cm="1">
        <f t="array" ref="J455">IF(SUMPRODUCT((M455:R455&lt;&gt;"")*1)=0,"",SUMPRODUCT((M455:R455&lt;&gt;"")*(LEN(TRIM(SUBSTITUTE(M455:R455,CHAR(160)," "))) - LEN(SUBSTITUTE(TRIM(SUBSTITUTE(M455:R455,CHAR(160)," "))," ","")) + 1)) &amp; " mot" &amp; IF(SUMPRODUCT((M455:R455&lt;&gt;"")*(LEN(TRIM(SUBSTITUTE(M455:R455,CHAR(160)," "))) - LEN(SUBSTITUTE(TRIM(SUBSTITUTE(M455:R455,CHAR(160)," "))," ","")) + 1))&gt;1,"s",""))</f>
        <v/>
      </c>
      <c r="K455" s="5550" t="str" cm="1">
        <f t="array" ref="K455">SUMPRODUCT(--(M455:R455&lt;&gt;""), LEN(TRIM(SUBSTITUTE(M455:R455, CHAR(160), "")))) &amp; " Car."</f>
        <v>0 Car.</v>
      </c>
      <c r="L455" s="1376"/>
      <c r="M455" s="1810"/>
      <c r="N455" s="1810"/>
      <c r="O455" s="1810"/>
      <c r="P455" s="1810"/>
      <c r="Q455" s="1810"/>
      <c r="R455" s="1810"/>
      <c r="S455" s="1810"/>
      <c r="T455" s="1810"/>
      <c r="U455" s="1811"/>
      <c r="W455" s="162" t="s">
        <v>10</v>
      </c>
      <c r="X455" s="163" t="str">
        <f>X370</f>
        <v>N NAME OF YOUR RECIPE | paste it — FAMILY|  Author &gt; YOU</v>
      </c>
      <c r="Y455" s="163">
        <f>Y370</f>
        <v>1</v>
      </c>
      <c r="Z455" s="164" t="str">
        <f>Z370</f>
        <v>coupe</v>
      </c>
      <c r="AA455" s="165" t="str">
        <f>AA370</f>
        <v>Master recipe ► MILLE-FEUILLE  aux fraises des bois</v>
      </c>
      <c r="AB455" s="1548"/>
      <c r="AC455" s="1548"/>
      <c r="AD455" s="2190">
        <f>ROWS(AH438:AH455)</f>
        <v>18</v>
      </c>
      <c r="AE455" s="5549" t="str" cm="1">
        <f t="array" ref="AE455">IF(SUMPRODUCT((AH455:AM455&lt;&gt;"")*1)=0,"",SUMPRODUCT((AH455:AM455&lt;&gt;"")*(LEN(TRIM(SUBSTITUTE(AH455:AM455,CHAR(160)," "))) - LEN(SUBSTITUTE(TRIM(SUBSTITUTE(AH455:AM455,CHAR(160)," "))," ","")) + 1)) &amp; " word" &amp; IF(SUMPRODUCT((AH455:AM455&lt;&gt;"")*(LEN(TRIM(SUBSTITUTE(AH455:AM455,CHAR(160)," "))) - LEN(SUBSTITUTE(TRIM(SUBSTITUTE(AH455:AM455,CHAR(160)," "))," ","")) + 1))&gt;1,"s",""))</f>
        <v/>
      </c>
      <c r="AF455" s="5550" t="str" cm="1">
        <f t="array" ref="AF455">SUMPRODUCT(--(AH455:AM455&lt;&gt;""), LEN(TRIM(SUBSTITUTE(AH455:AM455, CHAR(160), "")))) &amp; " Car."</f>
        <v>0 Car.</v>
      </c>
      <c r="AG455" s="1376" t="str">
        <f>IF(ISBLANK(AH455),"",LARGE(AG437:AG454,1)+1)</f>
        <v/>
      </c>
      <c r="AH455" s="1833"/>
      <c r="AI455" s="1810"/>
      <c r="AJ455" s="1810"/>
      <c r="AK455" s="1810"/>
      <c r="AL455" s="1810"/>
      <c r="AM455" s="1810"/>
      <c r="AN455" s="1810"/>
      <c r="AO455" s="1810"/>
      <c r="AP455" s="1811"/>
      <c r="AR455" s="162" t="s">
        <v>10</v>
      </c>
      <c r="AS455" s="163" t="str">
        <f>AS370</f>
        <v>N NOMBRE DE SU RECETA | pegue esto — FAMILIA| Auteur &gt; VOUS</v>
      </c>
      <c r="AT455" s="163">
        <f>AT370</f>
        <v>1</v>
      </c>
      <c r="AU455" s="164" t="str">
        <f>AU370</f>
        <v>coupe</v>
      </c>
      <c r="AV455" s="165" t="str">
        <f>AV370</f>
        <v>Receta madre ► MILLE-FEUILLE  aux fraises des bois</v>
      </c>
      <c r="AW455" s="1548"/>
      <c r="AX455" s="1548"/>
      <c r="AY455" s="2190">
        <f>ROWS(BC438:BC455)</f>
        <v>18</v>
      </c>
      <c r="AZ455" s="5549" t="str" cm="1">
        <f t="array" ref="AZ455">IF(SUMPRODUCT((BC455:BH455&lt;&gt;"")*1)=0,"",SUMPRODUCT((BC455:BH455&lt;&gt;"")*(LEN(TRIM(SUBSTITUTE(BC455:BH455,CHAR(160)," "))) - LEN(SUBSTITUTE(TRIM(SUBSTITUTE(BC455:BH455,CHAR(160)," "))," ","")) + 1)) &amp; " palabra" &amp; IF(SUMPRODUCT((BC455:BH455&lt;&gt;"")*(LEN(TRIM(SUBSTITUTE(BC455:BH455,CHAR(160)," "))) - LEN(SUBSTITUTE(TRIM(SUBSTITUTE(BC455:BH455,CHAR(160)," "))," ","")) + 1))&gt;1,"s",""))</f>
        <v/>
      </c>
      <c r="BA455" s="5550" t="str" cm="1">
        <f t="array" ref="BA455">SUMPRODUCT(--(BC455:BH455&lt;&gt;""), LEN(TRIM(SUBSTITUTE(BC455:BH455, CHAR(160), "")))) &amp; " Car."</f>
        <v>0 Car.</v>
      </c>
      <c r="BB455" s="1376" t="str">
        <f>IF(ISBLANK(BC455),"",LARGE(BB437:BB454,1)+1)</f>
        <v/>
      </c>
      <c r="BC455" s="1833"/>
      <c r="BD455" s="1810"/>
      <c r="BE455" s="1810"/>
      <c r="BF455" s="1810"/>
      <c r="BG455" s="1810"/>
      <c r="BH455" s="1810"/>
      <c r="BI455" s="1810"/>
      <c r="BJ455" s="1810"/>
      <c r="BK455" s="1811"/>
      <c r="BM455" s="3">
        <v>1</v>
      </c>
    </row>
    <row r="456" spans="2:65" ht="21" customHeight="1">
      <c r="B456" s="103" t="str">
        <f t="shared" ref="B456:B490" si="100">IF(M456&lt;&gt;"","A","►")</f>
        <v>►</v>
      </c>
      <c r="C456" s="163" t="str">
        <f>C370</f>
        <v>MAJUSCULE(GAUCHE(J21;1))&amp;" "&amp;J21&amp;" | "&amp;S21&amp;"| "&amp;J23&amp;" "&amp;K23</v>
      </c>
      <c r="D456" s="163">
        <f>D370</f>
        <v>1</v>
      </c>
      <c r="E456" s="164" t="str">
        <f>E370</f>
        <v>coupe</v>
      </c>
      <c r="F456" s="165" t="str">
        <f>F370</f>
        <v>Recette mère ► MILLE-FEUILLE  aux fraises des bois</v>
      </c>
      <c r="G456" s="1548"/>
      <c r="H456" s="1548"/>
      <c r="I456" s="2190">
        <f>ROWS(M438:M456)</f>
        <v>19</v>
      </c>
      <c r="J456" s="5549" t="str" cm="1">
        <f t="array" ref="J456">IF(SUMPRODUCT((M456:R456&lt;&gt;"")*1)=0,"",SUMPRODUCT((M456:R456&lt;&gt;"")*(LEN(TRIM(SUBSTITUTE(M456:R456,CHAR(160)," "))) - LEN(SUBSTITUTE(TRIM(SUBSTITUTE(M456:R456,CHAR(160)," "))," ","")) + 1)) &amp; " mot" &amp; IF(SUMPRODUCT((M456:R456&lt;&gt;"")*(LEN(TRIM(SUBSTITUTE(M456:R456,CHAR(160)," "))) - LEN(SUBSTITUTE(TRIM(SUBSTITUTE(M456:R456,CHAR(160)," "))," ","")) + 1))&gt;1,"s",""))</f>
        <v/>
      </c>
      <c r="K456" s="5550" t="str" cm="1">
        <f t="array" ref="K456">SUMPRODUCT(--(M456:R456&lt;&gt;""), LEN(TRIM(SUBSTITUTE(M456:R456, CHAR(160), "")))) &amp; " Car."</f>
        <v>0 Car.</v>
      </c>
      <c r="L456" s="1376" t="str">
        <f>IF(ISBLANK(M456),"",LARGE(L437:L455,1)+1)</f>
        <v/>
      </c>
      <c r="M456" s="1810"/>
      <c r="N456" s="1810"/>
      <c r="O456" s="1810"/>
      <c r="P456" s="1810"/>
      <c r="Q456" s="1810"/>
      <c r="R456" s="1810"/>
      <c r="S456" s="1810"/>
      <c r="T456" s="1810"/>
      <c r="U456" s="1811"/>
      <c r="W456" s="103" t="str">
        <f t="shared" ref="W456:W490" si="101">IF(AH456&lt;&gt;"","A","►")</f>
        <v>►</v>
      </c>
      <c r="X456" s="163" t="str">
        <f>X370</f>
        <v>N NAME OF YOUR RECIPE | paste it — FAMILY|  Author &gt; YOU</v>
      </c>
      <c r="Y456" s="163">
        <f>Y370</f>
        <v>1</v>
      </c>
      <c r="Z456" s="164" t="str">
        <f>Z370</f>
        <v>coupe</v>
      </c>
      <c r="AA456" s="165" t="str">
        <f>AA370</f>
        <v>Master recipe ► MILLE-FEUILLE  aux fraises des bois</v>
      </c>
      <c r="AB456" s="1548"/>
      <c r="AC456" s="1548"/>
      <c r="AD456" s="2190">
        <f>ROWS(AH438:AH456)</f>
        <v>19</v>
      </c>
      <c r="AE456" s="5549" t="str" cm="1">
        <f t="array" ref="AE456">IF(SUMPRODUCT((AH456:AM456&lt;&gt;"")*1)=0,"",SUMPRODUCT((AH456:AM456&lt;&gt;"")*(LEN(TRIM(SUBSTITUTE(AH456:AM456,CHAR(160)," "))) - LEN(SUBSTITUTE(TRIM(SUBSTITUTE(AH456:AM456,CHAR(160)," "))," ","")) + 1)) &amp; " word" &amp; IF(SUMPRODUCT((AH456:AM456&lt;&gt;"")*(LEN(TRIM(SUBSTITUTE(AH456:AM456,CHAR(160)," "))) - LEN(SUBSTITUTE(TRIM(SUBSTITUTE(AH456:AM456,CHAR(160)," "))," ","")) + 1))&gt;1,"s",""))</f>
        <v/>
      </c>
      <c r="AF456" s="5550" t="str" cm="1">
        <f t="array" ref="AF456">SUMPRODUCT(--(AH456:AM456&lt;&gt;""), LEN(TRIM(SUBSTITUTE(AH456:AM456, CHAR(160), "")))) &amp; " Car."</f>
        <v>0 Car.</v>
      </c>
      <c r="AG456" s="1376" t="str">
        <f>IF(ISBLANK(AH456),"",LARGE(AG437:AG455,1)+1)</f>
        <v/>
      </c>
      <c r="AH456" s="1833"/>
      <c r="AI456" s="1810"/>
      <c r="AJ456" s="1810"/>
      <c r="AK456" s="1810"/>
      <c r="AL456" s="1810"/>
      <c r="AM456" s="1810"/>
      <c r="AN456" s="1810"/>
      <c r="AO456" s="1810"/>
      <c r="AP456" s="1811"/>
      <c r="AR456" s="103" t="str">
        <f t="shared" ref="AR456:AR490" si="102">IF(BC456&lt;&gt;"","A","►")</f>
        <v>►</v>
      </c>
      <c r="AS456" s="163" t="str">
        <f>AS370</f>
        <v>N NOMBRE DE SU RECETA | pegue esto — FAMILIA| Auteur &gt; VOUS</v>
      </c>
      <c r="AT456" s="163">
        <f>AT370</f>
        <v>1</v>
      </c>
      <c r="AU456" s="164" t="str">
        <f>AU370</f>
        <v>coupe</v>
      </c>
      <c r="AV456" s="165" t="str">
        <f>AV370</f>
        <v>Receta madre ► MILLE-FEUILLE  aux fraises des bois</v>
      </c>
      <c r="AW456" s="1548"/>
      <c r="AX456" s="1548"/>
      <c r="AY456" s="2190">
        <f>ROWS(BC438:BC456)</f>
        <v>19</v>
      </c>
      <c r="AZ456" s="5549" t="str" cm="1">
        <f t="array" ref="AZ456">IF(SUMPRODUCT((BC456:BH456&lt;&gt;"")*1)=0,"",SUMPRODUCT((BC456:BH456&lt;&gt;"")*(LEN(TRIM(SUBSTITUTE(BC456:BH456,CHAR(160)," "))) - LEN(SUBSTITUTE(TRIM(SUBSTITUTE(BC456:BH456,CHAR(160)," "))," ","")) + 1)) &amp; " palabra" &amp; IF(SUMPRODUCT((BC456:BH456&lt;&gt;"")*(LEN(TRIM(SUBSTITUTE(BC456:BH456,CHAR(160)," "))) - LEN(SUBSTITUTE(TRIM(SUBSTITUTE(BC456:BH456,CHAR(160)," "))," ","")) + 1))&gt;1,"s",""))</f>
        <v/>
      </c>
      <c r="BA456" s="5550" t="str" cm="1">
        <f t="array" ref="BA456">SUMPRODUCT(--(BC456:BH456&lt;&gt;""), LEN(TRIM(SUBSTITUTE(BC456:BH456, CHAR(160), "")))) &amp; " Car."</f>
        <v>0 Car.</v>
      </c>
      <c r="BB456" s="1376" t="str">
        <f>IF(ISBLANK(BC456),"",LARGE(BB437:BB455,1)+1)</f>
        <v/>
      </c>
      <c r="BC456" s="1833"/>
      <c r="BD456" s="1810"/>
      <c r="BE456" s="1810"/>
      <c r="BF456" s="1810"/>
      <c r="BG456" s="1810"/>
      <c r="BH456" s="1810"/>
      <c r="BI456" s="1810"/>
      <c r="BJ456" s="1810"/>
      <c r="BK456" s="1811"/>
      <c r="BM456" s="3">
        <v>1</v>
      </c>
    </row>
    <row r="457" spans="2:65" ht="21" customHeight="1">
      <c r="B457" s="103" t="str">
        <f t="shared" si="100"/>
        <v>►</v>
      </c>
      <c r="C457" s="163" t="str">
        <f>C370</f>
        <v>MAJUSCULE(GAUCHE(J21;1))&amp;" "&amp;J21&amp;" | "&amp;S21&amp;"| "&amp;J23&amp;" "&amp;K23</v>
      </c>
      <c r="D457" s="163">
        <f>D370</f>
        <v>1</v>
      </c>
      <c r="E457" s="164" t="str">
        <f>E370</f>
        <v>coupe</v>
      </c>
      <c r="F457" s="165" t="str">
        <f>F370</f>
        <v>Recette mère ► MILLE-FEUILLE  aux fraises des bois</v>
      </c>
      <c r="G457" s="1548"/>
      <c r="H457" s="1548"/>
      <c r="I457" s="2190">
        <f>ROWS(M438:M457)</f>
        <v>20</v>
      </c>
      <c r="J457" s="5549" t="str" cm="1">
        <f t="array" ref="J457">IF(SUMPRODUCT((M457:R457&lt;&gt;"")*1)=0,"",SUMPRODUCT((M457:R457&lt;&gt;"")*(LEN(TRIM(SUBSTITUTE(M457:R457,CHAR(160)," "))) - LEN(SUBSTITUTE(TRIM(SUBSTITUTE(M457:R457,CHAR(160)," "))," ","")) + 1)) &amp; " mot" &amp; IF(SUMPRODUCT((M457:R457&lt;&gt;"")*(LEN(TRIM(SUBSTITUTE(M457:R457,CHAR(160)," "))) - LEN(SUBSTITUTE(TRIM(SUBSTITUTE(M457:R457,CHAR(160)," "))," ","")) + 1))&gt;1,"s",""))</f>
        <v/>
      </c>
      <c r="K457" s="5550" t="str" cm="1">
        <f t="array" ref="K457">SUMPRODUCT(--(M457:R457&lt;&gt;""), LEN(TRIM(SUBSTITUTE(M457:R457, CHAR(160), "")))) &amp; " Car."</f>
        <v>0 Car.</v>
      </c>
      <c r="L457" s="1376" t="str">
        <f>IF(ISBLANK(M457),"",LARGE(L437:L456,1)+1)</f>
        <v/>
      </c>
      <c r="M457" s="1810"/>
      <c r="N457" s="1810"/>
      <c r="O457" s="1810"/>
      <c r="P457" s="1810"/>
      <c r="Q457" s="1810"/>
      <c r="R457" s="1810"/>
      <c r="S457" s="1810"/>
      <c r="T457" s="1810"/>
      <c r="U457" s="1811"/>
      <c r="W457" s="103" t="str">
        <f t="shared" si="101"/>
        <v>►</v>
      </c>
      <c r="X457" s="163" t="str">
        <f>X370</f>
        <v>N NAME OF YOUR RECIPE | paste it — FAMILY|  Author &gt; YOU</v>
      </c>
      <c r="Y457" s="163">
        <f>Y370</f>
        <v>1</v>
      </c>
      <c r="Z457" s="164" t="str">
        <f>Z370</f>
        <v>coupe</v>
      </c>
      <c r="AA457" s="165" t="str">
        <f>AA370</f>
        <v>Master recipe ► MILLE-FEUILLE  aux fraises des bois</v>
      </c>
      <c r="AB457" s="1548"/>
      <c r="AC457" s="1548"/>
      <c r="AD457" s="2190">
        <f>ROWS(AH438:AH457)</f>
        <v>20</v>
      </c>
      <c r="AE457" s="5549" t="str" cm="1">
        <f t="array" ref="AE457">IF(SUMPRODUCT((AH457:AM457&lt;&gt;"")*1)=0,"",SUMPRODUCT((AH457:AM457&lt;&gt;"")*(LEN(TRIM(SUBSTITUTE(AH457:AM457,CHAR(160)," "))) - LEN(SUBSTITUTE(TRIM(SUBSTITUTE(AH457:AM457,CHAR(160)," "))," ","")) + 1)) &amp; " word" &amp; IF(SUMPRODUCT((AH457:AM457&lt;&gt;"")*(LEN(TRIM(SUBSTITUTE(AH457:AM457,CHAR(160)," "))) - LEN(SUBSTITUTE(TRIM(SUBSTITUTE(AH457:AM457,CHAR(160)," "))," ","")) + 1))&gt;1,"s",""))</f>
        <v/>
      </c>
      <c r="AF457" s="5550" t="str" cm="1">
        <f t="array" ref="AF457">SUMPRODUCT(--(AH457:AM457&lt;&gt;""), LEN(TRIM(SUBSTITUTE(AH457:AM457, CHAR(160), "")))) &amp; " Car."</f>
        <v>0 Car.</v>
      </c>
      <c r="AG457" s="1376" t="str">
        <f>IF(ISBLANK(AH457),"",LARGE(AG437:AG456,1)+1)</f>
        <v/>
      </c>
      <c r="AH457" s="1833"/>
      <c r="AI457" s="1810"/>
      <c r="AJ457" s="1810"/>
      <c r="AK457" s="1810"/>
      <c r="AL457" s="1810"/>
      <c r="AM457" s="1810"/>
      <c r="AN457" s="1810"/>
      <c r="AO457" s="1810"/>
      <c r="AP457" s="1811"/>
      <c r="AR457" s="103" t="str">
        <f t="shared" si="102"/>
        <v>►</v>
      </c>
      <c r="AS457" s="163" t="str">
        <f>AS370</f>
        <v>N NOMBRE DE SU RECETA | pegue esto — FAMILIA| Auteur &gt; VOUS</v>
      </c>
      <c r="AT457" s="163">
        <f>AT370</f>
        <v>1</v>
      </c>
      <c r="AU457" s="164" t="str">
        <f>AU370</f>
        <v>coupe</v>
      </c>
      <c r="AV457" s="165" t="str">
        <f>AV370</f>
        <v>Receta madre ► MILLE-FEUILLE  aux fraises des bois</v>
      </c>
      <c r="AW457" s="1548"/>
      <c r="AX457" s="1548"/>
      <c r="AY457" s="2190">
        <f>ROWS(BC438:BC457)</f>
        <v>20</v>
      </c>
      <c r="AZ457" s="5549" t="str" cm="1">
        <f t="array" ref="AZ457">IF(SUMPRODUCT((BC457:BH457&lt;&gt;"")*1)=0,"",SUMPRODUCT((BC457:BH457&lt;&gt;"")*(LEN(TRIM(SUBSTITUTE(BC457:BH457,CHAR(160)," "))) - LEN(SUBSTITUTE(TRIM(SUBSTITUTE(BC457:BH457,CHAR(160)," "))," ","")) + 1)) &amp; " palabra" &amp; IF(SUMPRODUCT((BC457:BH457&lt;&gt;"")*(LEN(TRIM(SUBSTITUTE(BC457:BH457,CHAR(160)," "))) - LEN(SUBSTITUTE(TRIM(SUBSTITUTE(BC457:BH457,CHAR(160)," "))," ","")) + 1))&gt;1,"s",""))</f>
        <v/>
      </c>
      <c r="BA457" s="5550" t="str" cm="1">
        <f t="array" ref="BA457">SUMPRODUCT(--(BC457:BH457&lt;&gt;""), LEN(TRIM(SUBSTITUTE(BC457:BH457, CHAR(160), "")))) &amp; " Car."</f>
        <v>0 Car.</v>
      </c>
      <c r="BB457" s="1376" t="str">
        <f>IF(ISBLANK(BC457),"",LARGE(BB437:BB456,1)+1)</f>
        <v/>
      </c>
      <c r="BC457" s="1833"/>
      <c r="BD457" s="1810"/>
      <c r="BE457" s="1810"/>
      <c r="BF457" s="1810"/>
      <c r="BG457" s="1810"/>
      <c r="BH457" s="1810"/>
      <c r="BI457" s="1810"/>
      <c r="BJ457" s="1810"/>
      <c r="BK457" s="1811"/>
      <c r="BM457" s="3">
        <v>1</v>
      </c>
    </row>
    <row r="458" spans="2:65" ht="21" customHeight="1">
      <c r="B458" s="103" t="str">
        <f t="shared" si="100"/>
        <v>►</v>
      </c>
      <c r="C458" s="163" t="str">
        <f>C370</f>
        <v>MAJUSCULE(GAUCHE(J21;1))&amp;" "&amp;J21&amp;" | "&amp;S21&amp;"| "&amp;J23&amp;" "&amp;K23</v>
      </c>
      <c r="D458" s="163">
        <f>D370</f>
        <v>1</v>
      </c>
      <c r="E458" s="164" t="str">
        <f>E370</f>
        <v>coupe</v>
      </c>
      <c r="F458" s="165" t="str">
        <f>F370</f>
        <v>Recette mère ► MILLE-FEUILLE  aux fraises des bois</v>
      </c>
      <c r="G458" s="1548"/>
      <c r="H458" s="1548"/>
      <c r="I458" s="2190">
        <f>ROWS(M438:M458)</f>
        <v>21</v>
      </c>
      <c r="J458" s="5549" t="str" cm="1">
        <f t="array" ref="J458">IF(SUMPRODUCT((M458:R458&lt;&gt;"")*1)=0,"",SUMPRODUCT((M458:R458&lt;&gt;"")*(LEN(TRIM(SUBSTITUTE(M458:R458,CHAR(160)," "))) - LEN(SUBSTITUTE(TRIM(SUBSTITUTE(M458:R458,CHAR(160)," "))," ","")) + 1)) &amp; " mot" &amp; IF(SUMPRODUCT((M458:R458&lt;&gt;"")*(LEN(TRIM(SUBSTITUTE(M458:R458,CHAR(160)," "))) - LEN(SUBSTITUTE(TRIM(SUBSTITUTE(M458:R458,CHAR(160)," "))," ","")) + 1))&gt;1,"s",""))</f>
        <v/>
      </c>
      <c r="K458" s="5550" t="str" cm="1">
        <f t="array" ref="K458">SUMPRODUCT(--(M458:R458&lt;&gt;""), LEN(TRIM(SUBSTITUTE(M458:R458, CHAR(160), "")))) &amp; " Car."</f>
        <v>0 Car.</v>
      </c>
      <c r="L458" s="1376" t="str">
        <f>IF(ISBLANK(M458),"",LARGE(L437:L457,1)+1)</f>
        <v/>
      </c>
      <c r="M458" s="1810"/>
      <c r="N458" s="1810"/>
      <c r="O458" s="1810"/>
      <c r="P458" s="1810"/>
      <c r="Q458" s="1810"/>
      <c r="R458" s="1810"/>
      <c r="S458" s="1810"/>
      <c r="T458" s="1810"/>
      <c r="U458" s="1811"/>
      <c r="W458" s="103" t="str">
        <f t="shared" si="101"/>
        <v>►</v>
      </c>
      <c r="X458" s="163" t="str">
        <f>X370</f>
        <v>N NAME OF YOUR RECIPE | paste it — FAMILY|  Author &gt; YOU</v>
      </c>
      <c r="Y458" s="163">
        <f>Y370</f>
        <v>1</v>
      </c>
      <c r="Z458" s="164" t="str">
        <f>Z370</f>
        <v>coupe</v>
      </c>
      <c r="AA458" s="165" t="str">
        <f>AA370</f>
        <v>Master recipe ► MILLE-FEUILLE  aux fraises des bois</v>
      </c>
      <c r="AB458" s="1548"/>
      <c r="AC458" s="1548"/>
      <c r="AD458" s="2190">
        <f>ROWS(AH438:AH458)</f>
        <v>21</v>
      </c>
      <c r="AE458" s="5549" t="str" cm="1">
        <f t="array" ref="AE458">IF(SUMPRODUCT((AH458:AM458&lt;&gt;"")*1)=0,"",SUMPRODUCT((AH458:AM458&lt;&gt;"")*(LEN(TRIM(SUBSTITUTE(AH458:AM458,CHAR(160)," "))) - LEN(SUBSTITUTE(TRIM(SUBSTITUTE(AH458:AM458,CHAR(160)," "))," ","")) + 1)) &amp; " word" &amp; IF(SUMPRODUCT((AH458:AM458&lt;&gt;"")*(LEN(TRIM(SUBSTITUTE(AH458:AM458,CHAR(160)," "))) - LEN(SUBSTITUTE(TRIM(SUBSTITUTE(AH458:AM458,CHAR(160)," "))," ","")) + 1))&gt;1,"s",""))</f>
        <v/>
      </c>
      <c r="AF458" s="5550" t="str" cm="1">
        <f t="array" ref="AF458">SUMPRODUCT(--(AH458:AM458&lt;&gt;""), LEN(TRIM(SUBSTITUTE(AH458:AM458, CHAR(160), "")))) &amp; " Car."</f>
        <v>0 Car.</v>
      </c>
      <c r="AG458" s="1376" t="str">
        <f>IF(ISBLANK(AH458),"",LARGE(AG437:AG457,1)+1)</f>
        <v/>
      </c>
      <c r="AH458" s="1833"/>
      <c r="AI458" s="1810"/>
      <c r="AJ458" s="1810"/>
      <c r="AK458" s="1810"/>
      <c r="AL458" s="1810"/>
      <c r="AM458" s="1810"/>
      <c r="AN458" s="1810"/>
      <c r="AO458" s="1810"/>
      <c r="AP458" s="1811"/>
      <c r="AR458" s="103" t="str">
        <f t="shared" si="102"/>
        <v>►</v>
      </c>
      <c r="AS458" s="163" t="str">
        <f>AS370</f>
        <v>N NOMBRE DE SU RECETA | pegue esto — FAMILIA| Auteur &gt; VOUS</v>
      </c>
      <c r="AT458" s="163">
        <f>AT370</f>
        <v>1</v>
      </c>
      <c r="AU458" s="164" t="str">
        <f>AU370</f>
        <v>coupe</v>
      </c>
      <c r="AV458" s="165" t="str">
        <f>AV370</f>
        <v>Receta madre ► MILLE-FEUILLE  aux fraises des bois</v>
      </c>
      <c r="AW458" s="1548"/>
      <c r="AX458" s="1548"/>
      <c r="AY458" s="2190">
        <f>ROWS(BC438:BC458)</f>
        <v>21</v>
      </c>
      <c r="AZ458" s="5549" t="str" cm="1">
        <f t="array" ref="AZ458">IF(SUMPRODUCT((BC458:BH458&lt;&gt;"")*1)=0,"",SUMPRODUCT((BC458:BH458&lt;&gt;"")*(LEN(TRIM(SUBSTITUTE(BC458:BH458,CHAR(160)," "))) - LEN(SUBSTITUTE(TRIM(SUBSTITUTE(BC458:BH458,CHAR(160)," "))," ","")) + 1)) &amp; " palabra" &amp; IF(SUMPRODUCT((BC458:BH458&lt;&gt;"")*(LEN(TRIM(SUBSTITUTE(BC458:BH458,CHAR(160)," "))) - LEN(SUBSTITUTE(TRIM(SUBSTITUTE(BC458:BH458,CHAR(160)," "))," ","")) + 1))&gt;1,"s",""))</f>
        <v/>
      </c>
      <c r="BA458" s="5550" t="str" cm="1">
        <f t="array" ref="BA458">SUMPRODUCT(--(BC458:BH458&lt;&gt;""), LEN(TRIM(SUBSTITUTE(BC458:BH458, CHAR(160), "")))) &amp; " Car."</f>
        <v>0 Car.</v>
      </c>
      <c r="BB458" s="1376" t="str">
        <f>IF(ISBLANK(BC458),"",LARGE(BB437:BB457,1)+1)</f>
        <v/>
      </c>
      <c r="BC458" s="1833"/>
      <c r="BD458" s="1810"/>
      <c r="BE458" s="1810"/>
      <c r="BF458" s="1810"/>
      <c r="BG458" s="1810"/>
      <c r="BH458" s="1810"/>
      <c r="BI458" s="1810"/>
      <c r="BJ458" s="1810"/>
      <c r="BK458" s="1811"/>
      <c r="BM458" s="3">
        <v>1</v>
      </c>
    </row>
    <row r="459" spans="2:65" ht="21" customHeight="1">
      <c r="B459" s="103" t="str">
        <f t="shared" si="100"/>
        <v>►</v>
      </c>
      <c r="C459" s="163" t="str">
        <f>C370</f>
        <v>MAJUSCULE(GAUCHE(J21;1))&amp;" "&amp;J21&amp;" | "&amp;S21&amp;"| "&amp;J23&amp;" "&amp;K23</v>
      </c>
      <c r="D459" s="163">
        <f>D370</f>
        <v>1</v>
      </c>
      <c r="E459" s="164" t="str">
        <f>E370</f>
        <v>coupe</v>
      </c>
      <c r="F459" s="165" t="str">
        <f>F370</f>
        <v>Recette mère ► MILLE-FEUILLE  aux fraises des bois</v>
      </c>
      <c r="G459" s="1548"/>
      <c r="H459" s="1548"/>
      <c r="I459" s="2190">
        <f>ROWS(M438:M459)</f>
        <v>22</v>
      </c>
      <c r="J459" s="5549" t="str" cm="1">
        <f t="array" ref="J459">IF(SUMPRODUCT((M459:R459&lt;&gt;"")*1)=0,"",SUMPRODUCT((M459:R459&lt;&gt;"")*(LEN(TRIM(SUBSTITUTE(M459:R459,CHAR(160)," "))) - LEN(SUBSTITUTE(TRIM(SUBSTITUTE(M459:R459,CHAR(160)," "))," ","")) + 1)) &amp; " mot" &amp; IF(SUMPRODUCT((M459:R459&lt;&gt;"")*(LEN(TRIM(SUBSTITUTE(M459:R459,CHAR(160)," "))) - LEN(SUBSTITUTE(TRIM(SUBSTITUTE(M459:R459,CHAR(160)," "))," ","")) + 1))&gt;1,"s",""))</f>
        <v/>
      </c>
      <c r="K459" s="5550" t="str" cm="1">
        <f t="array" ref="K459">SUMPRODUCT(--(M459:R459&lt;&gt;""), LEN(TRIM(SUBSTITUTE(M459:R459, CHAR(160), "")))) &amp; " Car."</f>
        <v>0 Car.</v>
      </c>
      <c r="L459" s="1376" t="str">
        <f>IF(ISBLANK(M459),"",LARGE(L437:L458,1)+1)</f>
        <v/>
      </c>
      <c r="M459" s="1810"/>
      <c r="N459" s="1810"/>
      <c r="O459" s="1810"/>
      <c r="P459" s="1810"/>
      <c r="Q459" s="1810"/>
      <c r="R459" s="1810"/>
      <c r="S459" s="1810"/>
      <c r="T459" s="1810"/>
      <c r="U459" s="1811"/>
      <c r="W459" s="103" t="str">
        <f t="shared" si="101"/>
        <v>►</v>
      </c>
      <c r="X459" s="163" t="str">
        <f>X370</f>
        <v>N NAME OF YOUR RECIPE | paste it — FAMILY|  Author &gt; YOU</v>
      </c>
      <c r="Y459" s="163">
        <f>Y370</f>
        <v>1</v>
      </c>
      <c r="Z459" s="164" t="str">
        <f>Z370</f>
        <v>coupe</v>
      </c>
      <c r="AA459" s="165" t="str">
        <f>AA370</f>
        <v>Master recipe ► MILLE-FEUILLE  aux fraises des bois</v>
      </c>
      <c r="AB459" s="1548"/>
      <c r="AC459" s="1548"/>
      <c r="AD459" s="2190">
        <f>ROWS(AH438:AH459)</f>
        <v>22</v>
      </c>
      <c r="AE459" s="5549" t="str" cm="1">
        <f t="array" ref="AE459">IF(SUMPRODUCT((AH459:AM459&lt;&gt;"")*1)=0,"",SUMPRODUCT((AH459:AM459&lt;&gt;"")*(LEN(TRIM(SUBSTITUTE(AH459:AM459,CHAR(160)," "))) - LEN(SUBSTITUTE(TRIM(SUBSTITUTE(AH459:AM459,CHAR(160)," "))," ","")) + 1)) &amp; " word" &amp; IF(SUMPRODUCT((AH459:AM459&lt;&gt;"")*(LEN(TRIM(SUBSTITUTE(AH459:AM459,CHAR(160)," "))) - LEN(SUBSTITUTE(TRIM(SUBSTITUTE(AH459:AM459,CHAR(160)," "))," ","")) + 1))&gt;1,"s",""))</f>
        <v/>
      </c>
      <c r="AF459" s="5550" t="str" cm="1">
        <f t="array" ref="AF459">SUMPRODUCT(--(AH459:AM459&lt;&gt;""), LEN(TRIM(SUBSTITUTE(AH459:AM459, CHAR(160), "")))) &amp; " Car."</f>
        <v>0 Car.</v>
      </c>
      <c r="AG459" s="1376" t="str">
        <f>IF(ISBLANK(AH459),"",LARGE(AG437:AG458,1)+1)</f>
        <v/>
      </c>
      <c r="AH459" s="1833"/>
      <c r="AI459" s="1810"/>
      <c r="AJ459" s="1810"/>
      <c r="AK459" s="1810"/>
      <c r="AL459" s="1810"/>
      <c r="AM459" s="1810"/>
      <c r="AN459" s="1810"/>
      <c r="AO459" s="1810"/>
      <c r="AP459" s="1811"/>
      <c r="AR459" s="103" t="str">
        <f t="shared" si="102"/>
        <v>►</v>
      </c>
      <c r="AS459" s="163" t="str">
        <f>AS370</f>
        <v>N NOMBRE DE SU RECETA | pegue esto — FAMILIA| Auteur &gt; VOUS</v>
      </c>
      <c r="AT459" s="163">
        <f>AT370</f>
        <v>1</v>
      </c>
      <c r="AU459" s="164" t="str">
        <f>AU370</f>
        <v>coupe</v>
      </c>
      <c r="AV459" s="165" t="str">
        <f>AV370</f>
        <v>Receta madre ► MILLE-FEUILLE  aux fraises des bois</v>
      </c>
      <c r="AW459" s="1548"/>
      <c r="AX459" s="1548"/>
      <c r="AY459" s="2190">
        <f>ROWS(BC438:BC459)</f>
        <v>22</v>
      </c>
      <c r="AZ459" s="5549" t="str" cm="1">
        <f t="array" ref="AZ459">IF(SUMPRODUCT((BC459:BH459&lt;&gt;"")*1)=0,"",SUMPRODUCT((BC459:BH459&lt;&gt;"")*(LEN(TRIM(SUBSTITUTE(BC459:BH459,CHAR(160)," "))) - LEN(SUBSTITUTE(TRIM(SUBSTITUTE(BC459:BH459,CHAR(160)," "))," ","")) + 1)) &amp; " palabra" &amp; IF(SUMPRODUCT((BC459:BH459&lt;&gt;"")*(LEN(TRIM(SUBSTITUTE(BC459:BH459,CHAR(160)," "))) - LEN(SUBSTITUTE(TRIM(SUBSTITUTE(BC459:BH459,CHAR(160)," "))," ","")) + 1))&gt;1,"s",""))</f>
        <v/>
      </c>
      <c r="BA459" s="5550" t="str" cm="1">
        <f t="array" ref="BA459">SUMPRODUCT(--(BC459:BH459&lt;&gt;""), LEN(TRIM(SUBSTITUTE(BC459:BH459, CHAR(160), "")))) &amp; " Car."</f>
        <v>0 Car.</v>
      </c>
      <c r="BB459" s="1376" t="str">
        <f>IF(ISBLANK(BC459),"",LARGE(BB437:BB458,1)+1)</f>
        <v/>
      </c>
      <c r="BC459" s="1833"/>
      <c r="BD459" s="1810"/>
      <c r="BE459" s="1810"/>
      <c r="BF459" s="1810"/>
      <c r="BG459" s="1810"/>
      <c r="BH459" s="1810"/>
      <c r="BI459" s="1810"/>
      <c r="BJ459" s="1810"/>
      <c r="BK459" s="1811"/>
      <c r="BM459" s="3">
        <v>1</v>
      </c>
    </row>
    <row r="460" spans="2:65" ht="21" customHeight="1">
      <c r="B460" s="103" t="str">
        <f t="shared" si="100"/>
        <v>►</v>
      </c>
      <c r="C460" s="163" t="str">
        <f>C370</f>
        <v>MAJUSCULE(GAUCHE(J21;1))&amp;" "&amp;J21&amp;" | "&amp;S21&amp;"| "&amp;J23&amp;" "&amp;K23</v>
      </c>
      <c r="D460" s="163">
        <f>D370</f>
        <v>1</v>
      </c>
      <c r="E460" s="164" t="str">
        <f>E370</f>
        <v>coupe</v>
      </c>
      <c r="F460" s="165" t="str">
        <f>F370</f>
        <v>Recette mère ► MILLE-FEUILLE  aux fraises des bois</v>
      </c>
      <c r="G460" s="1548"/>
      <c r="H460" s="1548"/>
      <c r="I460" s="2190">
        <f>ROWS(M438:M460)</f>
        <v>23</v>
      </c>
      <c r="J460" s="5549" t="str" cm="1">
        <f t="array" ref="J460">IF(SUMPRODUCT((M460:R460&lt;&gt;"")*1)=0,"",SUMPRODUCT((M460:R460&lt;&gt;"")*(LEN(TRIM(SUBSTITUTE(M460:R460,CHAR(160)," "))) - LEN(SUBSTITUTE(TRIM(SUBSTITUTE(M460:R460,CHAR(160)," "))," ","")) + 1)) &amp; " mot" &amp; IF(SUMPRODUCT((M460:R460&lt;&gt;"")*(LEN(TRIM(SUBSTITUTE(M460:R460,CHAR(160)," "))) - LEN(SUBSTITUTE(TRIM(SUBSTITUTE(M460:R460,CHAR(160)," "))," ","")) + 1))&gt;1,"s",""))</f>
        <v/>
      </c>
      <c r="K460" s="5550" t="str" cm="1">
        <f t="array" ref="K460">SUMPRODUCT(--(M460:R460&lt;&gt;""), LEN(TRIM(SUBSTITUTE(M460:R460, CHAR(160), "")))) &amp; " Car."</f>
        <v>0 Car.</v>
      </c>
      <c r="L460" s="1376" t="str">
        <f>IF(ISBLANK(M460),"",LARGE(L437:L459,1)+1)</f>
        <v/>
      </c>
      <c r="M460" s="1810"/>
      <c r="N460" s="1810"/>
      <c r="O460" s="1810"/>
      <c r="P460" s="1810"/>
      <c r="Q460" s="1810"/>
      <c r="R460" s="1810"/>
      <c r="S460" s="1810"/>
      <c r="T460" s="1810"/>
      <c r="U460" s="1811"/>
      <c r="W460" s="103" t="str">
        <f t="shared" si="101"/>
        <v>►</v>
      </c>
      <c r="X460" s="163" t="str">
        <f>X370</f>
        <v>N NAME OF YOUR RECIPE | paste it — FAMILY|  Author &gt; YOU</v>
      </c>
      <c r="Y460" s="163">
        <f>Y370</f>
        <v>1</v>
      </c>
      <c r="Z460" s="164" t="str">
        <f>Z370</f>
        <v>coupe</v>
      </c>
      <c r="AA460" s="165" t="str">
        <f>AA370</f>
        <v>Master recipe ► MILLE-FEUILLE  aux fraises des bois</v>
      </c>
      <c r="AB460" s="1548"/>
      <c r="AC460" s="1548"/>
      <c r="AD460" s="2190">
        <f>ROWS(AH438:AH460)</f>
        <v>23</v>
      </c>
      <c r="AE460" s="5549" t="str" cm="1">
        <f t="array" ref="AE460">IF(SUMPRODUCT((AH460:AM460&lt;&gt;"")*1)=0,"",SUMPRODUCT((AH460:AM460&lt;&gt;"")*(LEN(TRIM(SUBSTITUTE(AH460:AM460,CHAR(160)," "))) - LEN(SUBSTITUTE(TRIM(SUBSTITUTE(AH460:AM460,CHAR(160)," "))," ","")) + 1)) &amp; " word" &amp; IF(SUMPRODUCT((AH460:AM460&lt;&gt;"")*(LEN(TRIM(SUBSTITUTE(AH460:AM460,CHAR(160)," "))) - LEN(SUBSTITUTE(TRIM(SUBSTITUTE(AH460:AM460,CHAR(160)," "))," ","")) + 1))&gt;1,"s",""))</f>
        <v/>
      </c>
      <c r="AF460" s="5550" t="str" cm="1">
        <f t="array" ref="AF460">SUMPRODUCT(--(AH460:AM460&lt;&gt;""), LEN(TRIM(SUBSTITUTE(AH460:AM460, CHAR(160), "")))) &amp; " Car."</f>
        <v>0 Car.</v>
      </c>
      <c r="AG460" s="1376" t="str">
        <f>IF(ISBLANK(AH460),"",LARGE(AG437:AG459,1)+1)</f>
        <v/>
      </c>
      <c r="AH460" s="1833"/>
      <c r="AI460" s="1810"/>
      <c r="AJ460" s="1810"/>
      <c r="AK460" s="1810"/>
      <c r="AL460" s="1810"/>
      <c r="AM460" s="1810"/>
      <c r="AN460" s="1810"/>
      <c r="AO460" s="1810"/>
      <c r="AP460" s="1811"/>
      <c r="AR460" s="103" t="str">
        <f t="shared" si="102"/>
        <v>►</v>
      </c>
      <c r="AS460" s="163" t="str">
        <f>AS370</f>
        <v>N NOMBRE DE SU RECETA | pegue esto — FAMILIA| Auteur &gt; VOUS</v>
      </c>
      <c r="AT460" s="163">
        <f>AT370</f>
        <v>1</v>
      </c>
      <c r="AU460" s="164" t="str">
        <f>AU370</f>
        <v>coupe</v>
      </c>
      <c r="AV460" s="165" t="str">
        <f>AV370</f>
        <v>Receta madre ► MILLE-FEUILLE  aux fraises des bois</v>
      </c>
      <c r="AW460" s="1548"/>
      <c r="AX460" s="1548"/>
      <c r="AY460" s="2190">
        <f>ROWS(BC438:BC460)</f>
        <v>23</v>
      </c>
      <c r="AZ460" s="5549" t="str" cm="1">
        <f t="array" ref="AZ460">IF(SUMPRODUCT((BC460:BH460&lt;&gt;"")*1)=0,"",SUMPRODUCT((BC460:BH460&lt;&gt;"")*(LEN(TRIM(SUBSTITUTE(BC460:BH460,CHAR(160)," "))) - LEN(SUBSTITUTE(TRIM(SUBSTITUTE(BC460:BH460,CHAR(160)," "))," ","")) + 1)) &amp; " palabra" &amp; IF(SUMPRODUCT((BC460:BH460&lt;&gt;"")*(LEN(TRIM(SUBSTITUTE(BC460:BH460,CHAR(160)," "))) - LEN(SUBSTITUTE(TRIM(SUBSTITUTE(BC460:BH460,CHAR(160)," "))," ","")) + 1))&gt;1,"s",""))</f>
        <v/>
      </c>
      <c r="BA460" s="5550" t="str" cm="1">
        <f t="array" ref="BA460">SUMPRODUCT(--(BC460:BH460&lt;&gt;""), LEN(TRIM(SUBSTITUTE(BC460:BH460, CHAR(160), "")))) &amp; " Car."</f>
        <v>0 Car.</v>
      </c>
      <c r="BB460" s="1376" t="str">
        <f>IF(ISBLANK(BC460),"",LARGE(BB437:BB459,1)+1)</f>
        <v/>
      </c>
      <c r="BC460" s="1833"/>
      <c r="BD460" s="1810"/>
      <c r="BE460" s="1810"/>
      <c r="BF460" s="1810"/>
      <c r="BG460" s="1810"/>
      <c r="BH460" s="1810"/>
      <c r="BI460" s="1810"/>
      <c r="BJ460" s="1810"/>
      <c r="BK460" s="1811"/>
      <c r="BM460" s="3">
        <v>1</v>
      </c>
    </row>
    <row r="461" spans="2:65" ht="21" customHeight="1">
      <c r="B461" s="103" t="str">
        <f t="shared" si="100"/>
        <v>►</v>
      </c>
      <c r="C461" s="163" t="str">
        <f>C370</f>
        <v>MAJUSCULE(GAUCHE(J21;1))&amp;" "&amp;J21&amp;" | "&amp;S21&amp;"| "&amp;J23&amp;" "&amp;K23</v>
      </c>
      <c r="D461" s="163">
        <f>D370</f>
        <v>1</v>
      </c>
      <c r="E461" s="164" t="str">
        <f>E370</f>
        <v>coupe</v>
      </c>
      <c r="F461" s="165" t="str">
        <f>F370</f>
        <v>Recette mère ► MILLE-FEUILLE  aux fraises des bois</v>
      </c>
      <c r="G461" s="1548"/>
      <c r="H461" s="1548"/>
      <c r="I461" s="2190">
        <f>ROWS(M438:M461)</f>
        <v>24</v>
      </c>
      <c r="J461" s="5549" t="str" cm="1">
        <f t="array" ref="J461">IF(SUMPRODUCT((M461:R461&lt;&gt;"")*1)=0,"",SUMPRODUCT((M461:R461&lt;&gt;"")*(LEN(TRIM(SUBSTITUTE(M461:R461,CHAR(160)," "))) - LEN(SUBSTITUTE(TRIM(SUBSTITUTE(M461:R461,CHAR(160)," "))," ","")) + 1)) &amp; " mot" &amp; IF(SUMPRODUCT((M461:R461&lt;&gt;"")*(LEN(TRIM(SUBSTITUTE(M461:R461,CHAR(160)," "))) - LEN(SUBSTITUTE(TRIM(SUBSTITUTE(M461:R461,CHAR(160)," "))," ","")) + 1))&gt;1,"s",""))</f>
        <v/>
      </c>
      <c r="K461" s="5550" t="str" cm="1">
        <f t="array" ref="K461">SUMPRODUCT(--(M461:R461&lt;&gt;""), LEN(TRIM(SUBSTITUTE(M461:R461, CHAR(160), "")))) &amp; " Car."</f>
        <v>0 Car.</v>
      </c>
      <c r="L461" s="1394"/>
      <c r="M461" s="1810"/>
      <c r="N461" s="1810"/>
      <c r="O461" s="1810"/>
      <c r="P461" s="1810"/>
      <c r="Q461" s="1810"/>
      <c r="R461" s="1810"/>
      <c r="S461" s="1810"/>
      <c r="T461" s="1810"/>
      <c r="U461" s="1811"/>
      <c r="W461" s="103" t="str">
        <f t="shared" si="101"/>
        <v>►</v>
      </c>
      <c r="X461" s="163" t="str">
        <f>X370</f>
        <v>N NAME OF YOUR RECIPE | paste it — FAMILY|  Author &gt; YOU</v>
      </c>
      <c r="Y461" s="163">
        <f>Y370</f>
        <v>1</v>
      </c>
      <c r="Z461" s="164" t="str">
        <f>Z370</f>
        <v>coupe</v>
      </c>
      <c r="AA461" s="165" t="str">
        <f>AA370</f>
        <v>Master recipe ► MILLE-FEUILLE  aux fraises des bois</v>
      </c>
      <c r="AB461" s="1548"/>
      <c r="AC461" s="1548"/>
      <c r="AD461" s="2190">
        <f>ROWS(AH438:AH461)</f>
        <v>24</v>
      </c>
      <c r="AE461" s="5549" t="str" cm="1">
        <f t="array" ref="AE461">IF(SUMPRODUCT((AH461:AM461&lt;&gt;"")*1)=0,"",SUMPRODUCT((AH461:AM461&lt;&gt;"")*(LEN(TRIM(SUBSTITUTE(AH461:AM461,CHAR(160)," "))) - LEN(SUBSTITUTE(TRIM(SUBSTITUTE(AH461:AM461,CHAR(160)," "))," ","")) + 1)) &amp; " word" &amp; IF(SUMPRODUCT((AH461:AM461&lt;&gt;"")*(LEN(TRIM(SUBSTITUTE(AH461:AM461,CHAR(160)," "))) - LEN(SUBSTITUTE(TRIM(SUBSTITUTE(AH461:AM461,CHAR(160)," "))," ","")) + 1))&gt;1,"s",""))</f>
        <v/>
      </c>
      <c r="AF461" s="5550" t="str" cm="1">
        <f t="array" ref="AF461">SUMPRODUCT(--(AH461:AM461&lt;&gt;""), LEN(TRIM(SUBSTITUTE(AH461:AM461, CHAR(160), "")))) &amp; " Car."</f>
        <v>0 Car.</v>
      </c>
      <c r="AG461" s="1394"/>
      <c r="AH461" s="1833"/>
      <c r="AI461" s="1810"/>
      <c r="AJ461" s="1810"/>
      <c r="AK461" s="1810"/>
      <c r="AL461" s="1810"/>
      <c r="AM461" s="1810"/>
      <c r="AN461" s="1810"/>
      <c r="AO461" s="1810"/>
      <c r="AP461" s="1811"/>
      <c r="AR461" s="103" t="str">
        <f t="shared" si="102"/>
        <v>►</v>
      </c>
      <c r="AS461" s="163" t="str">
        <f>AS370</f>
        <v>N NOMBRE DE SU RECETA | pegue esto — FAMILIA| Auteur &gt; VOUS</v>
      </c>
      <c r="AT461" s="163">
        <f>AT370</f>
        <v>1</v>
      </c>
      <c r="AU461" s="164" t="str">
        <f>AU370</f>
        <v>coupe</v>
      </c>
      <c r="AV461" s="165" t="str">
        <f>AV370</f>
        <v>Receta madre ► MILLE-FEUILLE  aux fraises des bois</v>
      </c>
      <c r="AW461" s="1548"/>
      <c r="AX461" s="1548"/>
      <c r="AY461" s="2190">
        <f>ROWS(BC438:BC461)</f>
        <v>24</v>
      </c>
      <c r="AZ461" s="5549" t="str" cm="1">
        <f t="array" ref="AZ461">IF(SUMPRODUCT((BC461:BH461&lt;&gt;"")*1)=0,"",SUMPRODUCT((BC461:BH461&lt;&gt;"")*(LEN(TRIM(SUBSTITUTE(BC461:BH461,CHAR(160)," "))) - LEN(SUBSTITUTE(TRIM(SUBSTITUTE(BC461:BH461,CHAR(160)," "))," ","")) + 1)) &amp; " palabra" &amp; IF(SUMPRODUCT((BC461:BH461&lt;&gt;"")*(LEN(TRIM(SUBSTITUTE(BC461:BH461,CHAR(160)," "))) - LEN(SUBSTITUTE(TRIM(SUBSTITUTE(BC461:BH461,CHAR(160)," "))," ","")) + 1))&gt;1,"s",""))</f>
        <v/>
      </c>
      <c r="BA461" s="5550" t="str" cm="1">
        <f t="array" ref="BA461">SUMPRODUCT(--(BC461:BH461&lt;&gt;""), LEN(TRIM(SUBSTITUTE(BC461:BH461, CHAR(160), "")))) &amp; " Car."</f>
        <v>0 Car.</v>
      </c>
      <c r="BB461" s="1394"/>
      <c r="BC461" s="1833"/>
      <c r="BD461" s="1810"/>
      <c r="BE461" s="1810"/>
      <c r="BF461" s="1810"/>
      <c r="BG461" s="1810"/>
      <c r="BH461" s="1810"/>
      <c r="BI461" s="1810"/>
      <c r="BJ461" s="1810"/>
      <c r="BK461" s="1811"/>
      <c r="BM461" s="3">
        <v>1</v>
      </c>
    </row>
    <row r="462" spans="2:65" ht="21" customHeight="1">
      <c r="B462" s="103" t="str">
        <f t="shared" si="100"/>
        <v>►</v>
      </c>
      <c r="C462" s="163" t="str">
        <f>C370</f>
        <v>MAJUSCULE(GAUCHE(J21;1))&amp;" "&amp;J21&amp;" | "&amp;S21&amp;"| "&amp;J23&amp;" "&amp;K23</v>
      </c>
      <c r="D462" s="163">
        <f>D370</f>
        <v>1</v>
      </c>
      <c r="E462" s="164" t="str">
        <f>E370</f>
        <v>coupe</v>
      </c>
      <c r="F462" s="165" t="str">
        <f>F370</f>
        <v>Recette mère ► MILLE-FEUILLE  aux fraises des bois</v>
      </c>
      <c r="G462" s="1548"/>
      <c r="H462" s="1548"/>
      <c r="I462" s="2190">
        <f>ROWS(M438:M462)</f>
        <v>25</v>
      </c>
      <c r="J462" s="5549" t="str" cm="1">
        <f t="array" ref="J462">IF(SUMPRODUCT((M462:R462&lt;&gt;"")*1)=0,"",SUMPRODUCT((M462:R462&lt;&gt;"")*(LEN(TRIM(SUBSTITUTE(M462:R462,CHAR(160)," "))) - LEN(SUBSTITUTE(TRIM(SUBSTITUTE(M462:R462,CHAR(160)," "))," ","")) + 1)) &amp; " mot" &amp; IF(SUMPRODUCT((M462:R462&lt;&gt;"")*(LEN(TRIM(SUBSTITUTE(M462:R462,CHAR(160)," "))) - LEN(SUBSTITUTE(TRIM(SUBSTITUTE(M462:R462,CHAR(160)," "))," ","")) + 1))&gt;1,"s",""))</f>
        <v/>
      </c>
      <c r="K462" s="5550" t="str" cm="1">
        <f t="array" ref="K462">SUMPRODUCT(--(M462:R462&lt;&gt;""), LEN(TRIM(SUBSTITUTE(M462:R462, CHAR(160), "")))) &amp; " Car."</f>
        <v>0 Car.</v>
      </c>
      <c r="L462" s="1619"/>
      <c r="M462" s="1810"/>
      <c r="N462" s="1810"/>
      <c r="O462" s="1810"/>
      <c r="P462" s="1810"/>
      <c r="Q462" s="1810"/>
      <c r="R462" s="1810"/>
      <c r="S462" s="1810"/>
      <c r="T462" s="1810"/>
      <c r="U462" s="1811"/>
      <c r="W462" s="103" t="str">
        <f t="shared" si="101"/>
        <v>►</v>
      </c>
      <c r="X462" s="163" t="str">
        <f>X370</f>
        <v>N NAME OF YOUR RECIPE | paste it — FAMILY|  Author &gt; YOU</v>
      </c>
      <c r="Y462" s="163">
        <f>Y370</f>
        <v>1</v>
      </c>
      <c r="Z462" s="164" t="str">
        <f>Z370</f>
        <v>coupe</v>
      </c>
      <c r="AA462" s="165" t="str">
        <f>AA370</f>
        <v>Master recipe ► MILLE-FEUILLE  aux fraises des bois</v>
      </c>
      <c r="AB462" s="1548"/>
      <c r="AC462" s="1548"/>
      <c r="AD462" s="2190">
        <f>ROWS(AH438:AH462)</f>
        <v>25</v>
      </c>
      <c r="AE462" s="5549" t="str" cm="1">
        <f t="array" ref="AE462">IF(SUMPRODUCT((AH462:AM462&lt;&gt;"")*1)=0,"",SUMPRODUCT((AH462:AM462&lt;&gt;"")*(LEN(TRIM(SUBSTITUTE(AH462:AM462,CHAR(160)," "))) - LEN(SUBSTITUTE(TRIM(SUBSTITUTE(AH462:AM462,CHAR(160)," "))," ","")) + 1)) &amp; " word" &amp; IF(SUMPRODUCT((AH462:AM462&lt;&gt;"")*(LEN(TRIM(SUBSTITUTE(AH462:AM462,CHAR(160)," "))) - LEN(SUBSTITUTE(TRIM(SUBSTITUTE(AH462:AM462,CHAR(160)," "))," ","")) + 1))&gt;1,"s",""))</f>
        <v/>
      </c>
      <c r="AF462" s="5550" t="str" cm="1">
        <f t="array" ref="AF462">SUMPRODUCT(--(AH462:AM462&lt;&gt;""), LEN(TRIM(SUBSTITUTE(AH462:AM462, CHAR(160), "")))) &amp; " Car."</f>
        <v>0 Car.</v>
      </c>
      <c r="AG462" s="1619"/>
      <c r="AH462" s="1833"/>
      <c r="AI462" s="1810"/>
      <c r="AJ462" s="1810"/>
      <c r="AK462" s="1810"/>
      <c r="AL462" s="1810"/>
      <c r="AM462" s="1810"/>
      <c r="AN462" s="1810"/>
      <c r="AO462" s="1810"/>
      <c r="AP462" s="1811"/>
      <c r="AR462" s="103" t="str">
        <f t="shared" si="102"/>
        <v>►</v>
      </c>
      <c r="AS462" s="163" t="str">
        <f>AS370</f>
        <v>N NOMBRE DE SU RECETA | pegue esto — FAMILIA| Auteur &gt; VOUS</v>
      </c>
      <c r="AT462" s="163">
        <f>AT370</f>
        <v>1</v>
      </c>
      <c r="AU462" s="164" t="str">
        <f>AU370</f>
        <v>coupe</v>
      </c>
      <c r="AV462" s="165" t="str">
        <f>AV370</f>
        <v>Receta madre ► MILLE-FEUILLE  aux fraises des bois</v>
      </c>
      <c r="AW462" s="1548"/>
      <c r="AX462" s="1548"/>
      <c r="AY462" s="2190">
        <f>ROWS(BC438:BC462)</f>
        <v>25</v>
      </c>
      <c r="AZ462" s="5549" t="str" cm="1">
        <f t="array" ref="AZ462">IF(SUMPRODUCT((BC462:BH462&lt;&gt;"")*1)=0,"",SUMPRODUCT((BC462:BH462&lt;&gt;"")*(LEN(TRIM(SUBSTITUTE(BC462:BH462,CHAR(160)," "))) - LEN(SUBSTITUTE(TRIM(SUBSTITUTE(BC462:BH462,CHAR(160)," "))," ","")) + 1)) &amp; " palabra" &amp; IF(SUMPRODUCT((BC462:BH462&lt;&gt;"")*(LEN(TRIM(SUBSTITUTE(BC462:BH462,CHAR(160)," "))) - LEN(SUBSTITUTE(TRIM(SUBSTITUTE(BC462:BH462,CHAR(160)," "))," ","")) + 1))&gt;1,"s",""))</f>
        <v/>
      </c>
      <c r="BA462" s="5550" t="str" cm="1">
        <f t="array" ref="BA462">SUMPRODUCT(--(BC462:BH462&lt;&gt;""), LEN(TRIM(SUBSTITUTE(BC462:BH462, CHAR(160), "")))) &amp; " Car."</f>
        <v>0 Car.</v>
      </c>
      <c r="BB462" s="1619"/>
      <c r="BC462" s="1833"/>
      <c r="BD462" s="1810"/>
      <c r="BE462" s="1810"/>
      <c r="BF462" s="1810"/>
      <c r="BG462" s="1810"/>
      <c r="BH462" s="1810"/>
      <c r="BI462" s="1810"/>
      <c r="BJ462" s="1810"/>
      <c r="BK462" s="1811"/>
      <c r="BM462" s="3">
        <v>1</v>
      </c>
    </row>
    <row r="463" spans="2:65" ht="21" customHeight="1">
      <c r="B463" s="103" t="str">
        <f t="shared" si="100"/>
        <v>►</v>
      </c>
      <c r="C463" s="163" t="str">
        <f>C370</f>
        <v>MAJUSCULE(GAUCHE(J21;1))&amp;" "&amp;J21&amp;" | "&amp;S21&amp;"| "&amp;J23&amp;" "&amp;K23</v>
      </c>
      <c r="D463" s="163">
        <f>D370</f>
        <v>1</v>
      </c>
      <c r="E463" s="164" t="str">
        <f>E370</f>
        <v>coupe</v>
      </c>
      <c r="F463" s="165" t="str">
        <f>F370</f>
        <v>Recette mère ► MILLE-FEUILLE  aux fraises des bois</v>
      </c>
      <c r="G463" s="1548"/>
      <c r="H463" s="1548"/>
      <c r="I463" s="2190">
        <f>ROWS(M438:M463)</f>
        <v>26</v>
      </c>
      <c r="J463" s="5549" t="str" cm="1">
        <f t="array" ref="J463">IF(SUMPRODUCT((M463:R463&lt;&gt;"")*1)=0,"",SUMPRODUCT((M463:R463&lt;&gt;"")*(LEN(TRIM(SUBSTITUTE(M463:R463,CHAR(160)," "))) - LEN(SUBSTITUTE(TRIM(SUBSTITUTE(M463:R463,CHAR(160)," "))," ","")) + 1)) &amp; " mot" &amp; IF(SUMPRODUCT((M463:R463&lt;&gt;"")*(LEN(TRIM(SUBSTITUTE(M463:R463,CHAR(160)," "))) - LEN(SUBSTITUTE(TRIM(SUBSTITUTE(M463:R463,CHAR(160)," "))," ","")) + 1))&gt;1,"s",""))</f>
        <v/>
      </c>
      <c r="K463" s="5550" t="str" cm="1">
        <f t="array" ref="K463">SUMPRODUCT(--(M463:R463&lt;&gt;""), LEN(TRIM(SUBSTITUTE(M463:R463, CHAR(160), "")))) &amp; " Car."</f>
        <v>0 Car.</v>
      </c>
      <c r="L463" s="1376" t="str">
        <f>IF(ISBLANK(M463),"",LARGE(L437:L462,1)+1)</f>
        <v/>
      </c>
      <c r="M463" s="1810"/>
      <c r="N463" s="1810"/>
      <c r="O463" s="1810"/>
      <c r="P463" s="1810"/>
      <c r="Q463" s="1810"/>
      <c r="R463" s="1810"/>
      <c r="S463" s="1810"/>
      <c r="T463" s="1810"/>
      <c r="U463" s="1811"/>
      <c r="W463" s="103" t="str">
        <f t="shared" si="101"/>
        <v>►</v>
      </c>
      <c r="X463" s="163" t="str">
        <f>X370</f>
        <v>N NAME OF YOUR RECIPE | paste it — FAMILY|  Author &gt; YOU</v>
      </c>
      <c r="Y463" s="163">
        <f>Y370</f>
        <v>1</v>
      </c>
      <c r="Z463" s="164" t="str">
        <f>Z370</f>
        <v>coupe</v>
      </c>
      <c r="AA463" s="165" t="str">
        <f>AA370</f>
        <v>Master recipe ► MILLE-FEUILLE  aux fraises des bois</v>
      </c>
      <c r="AB463" s="1548"/>
      <c r="AC463" s="1548"/>
      <c r="AD463" s="2190">
        <f>ROWS(AH438:AH463)</f>
        <v>26</v>
      </c>
      <c r="AE463" s="5549" t="str" cm="1">
        <f t="array" ref="AE463">IF(SUMPRODUCT((AH463:AM463&lt;&gt;"")*1)=0,"",SUMPRODUCT((AH463:AM463&lt;&gt;"")*(LEN(TRIM(SUBSTITUTE(AH463:AM463,CHAR(160)," "))) - LEN(SUBSTITUTE(TRIM(SUBSTITUTE(AH463:AM463,CHAR(160)," "))," ","")) + 1)) &amp; " word" &amp; IF(SUMPRODUCT((AH463:AM463&lt;&gt;"")*(LEN(TRIM(SUBSTITUTE(AH463:AM463,CHAR(160)," "))) - LEN(SUBSTITUTE(TRIM(SUBSTITUTE(AH463:AM463,CHAR(160)," "))," ","")) + 1))&gt;1,"s",""))</f>
        <v/>
      </c>
      <c r="AF463" s="5550" t="str" cm="1">
        <f t="array" ref="AF463">SUMPRODUCT(--(AH463:AM463&lt;&gt;""), LEN(TRIM(SUBSTITUTE(AH463:AM463, CHAR(160), "")))) &amp; " Car."</f>
        <v>0 Car.</v>
      </c>
      <c r="AG463" s="1376" t="str">
        <f>IF(ISBLANK(AH463),"",LARGE(AG437:AG462,1)+1)</f>
        <v/>
      </c>
      <c r="AH463" s="1833"/>
      <c r="AI463" s="1810"/>
      <c r="AJ463" s="1810"/>
      <c r="AK463" s="1810"/>
      <c r="AL463" s="1810"/>
      <c r="AM463" s="1810"/>
      <c r="AN463" s="1810"/>
      <c r="AO463" s="1810"/>
      <c r="AP463" s="1811"/>
      <c r="AR463" s="103" t="str">
        <f t="shared" si="102"/>
        <v>►</v>
      </c>
      <c r="AS463" s="163" t="str">
        <f>AS370</f>
        <v>N NOMBRE DE SU RECETA | pegue esto — FAMILIA| Auteur &gt; VOUS</v>
      </c>
      <c r="AT463" s="163">
        <f>AT370</f>
        <v>1</v>
      </c>
      <c r="AU463" s="164" t="str">
        <f>AU370</f>
        <v>coupe</v>
      </c>
      <c r="AV463" s="165" t="str">
        <f>AV370</f>
        <v>Receta madre ► MILLE-FEUILLE  aux fraises des bois</v>
      </c>
      <c r="AW463" s="1548"/>
      <c r="AX463" s="1548"/>
      <c r="AY463" s="2190">
        <f>ROWS(BC438:BC463)</f>
        <v>26</v>
      </c>
      <c r="AZ463" s="5549" t="str" cm="1">
        <f t="array" ref="AZ463">IF(SUMPRODUCT((BC463:BH463&lt;&gt;"")*1)=0,"",SUMPRODUCT((BC463:BH463&lt;&gt;"")*(LEN(TRIM(SUBSTITUTE(BC463:BH463,CHAR(160)," "))) - LEN(SUBSTITUTE(TRIM(SUBSTITUTE(BC463:BH463,CHAR(160)," "))," ","")) + 1)) &amp; " palabra" &amp; IF(SUMPRODUCT((BC463:BH463&lt;&gt;"")*(LEN(TRIM(SUBSTITUTE(BC463:BH463,CHAR(160)," "))) - LEN(SUBSTITUTE(TRIM(SUBSTITUTE(BC463:BH463,CHAR(160)," "))," ","")) + 1))&gt;1,"s",""))</f>
        <v/>
      </c>
      <c r="BA463" s="5550" t="str" cm="1">
        <f t="array" ref="BA463">SUMPRODUCT(--(BC463:BH463&lt;&gt;""), LEN(TRIM(SUBSTITUTE(BC463:BH463, CHAR(160), "")))) &amp; " Car."</f>
        <v>0 Car.</v>
      </c>
      <c r="BB463" s="1376" t="str">
        <f>IF(ISBLANK(BC463),"",LARGE(BB437:BB462,1)+1)</f>
        <v/>
      </c>
      <c r="BC463" s="1833"/>
      <c r="BD463" s="1810"/>
      <c r="BE463" s="1810"/>
      <c r="BF463" s="1810"/>
      <c r="BG463" s="1810"/>
      <c r="BH463" s="1810"/>
      <c r="BI463" s="1810"/>
      <c r="BJ463" s="1810"/>
      <c r="BK463" s="1811"/>
      <c r="BM463" s="3">
        <v>1</v>
      </c>
    </row>
    <row r="464" spans="2:65" ht="21" customHeight="1">
      <c r="B464" s="103" t="str">
        <f t="shared" si="100"/>
        <v>►</v>
      </c>
      <c r="C464" s="163" t="str">
        <f>C370</f>
        <v>MAJUSCULE(GAUCHE(J21;1))&amp;" "&amp;J21&amp;" | "&amp;S21&amp;"| "&amp;J23&amp;" "&amp;K23</v>
      </c>
      <c r="D464" s="163">
        <f>D370</f>
        <v>1</v>
      </c>
      <c r="E464" s="164" t="str">
        <f>E370</f>
        <v>coupe</v>
      </c>
      <c r="F464" s="165" t="str">
        <f>F370</f>
        <v>Recette mère ► MILLE-FEUILLE  aux fraises des bois</v>
      </c>
      <c r="G464" s="1548"/>
      <c r="H464" s="1548"/>
      <c r="I464" s="2190">
        <f>ROWS(M438:M464)</f>
        <v>27</v>
      </c>
      <c r="J464" s="5549" t="str" cm="1">
        <f t="array" ref="J464">IF(SUMPRODUCT((M464:R464&lt;&gt;"")*1)=0,"",SUMPRODUCT((M464:R464&lt;&gt;"")*(LEN(TRIM(SUBSTITUTE(M464:R464,CHAR(160)," "))) - LEN(SUBSTITUTE(TRIM(SUBSTITUTE(M464:R464,CHAR(160)," "))," ","")) + 1)) &amp; " mot" &amp; IF(SUMPRODUCT((M464:R464&lt;&gt;"")*(LEN(TRIM(SUBSTITUTE(M464:R464,CHAR(160)," "))) - LEN(SUBSTITUTE(TRIM(SUBSTITUTE(M464:R464,CHAR(160)," "))," ","")) + 1))&gt;1,"s",""))</f>
        <v/>
      </c>
      <c r="K464" s="5550" t="str" cm="1">
        <f t="array" ref="K464">SUMPRODUCT(--(M464:R464&lt;&gt;""), LEN(TRIM(SUBSTITUTE(M464:R464, CHAR(160), "")))) &amp; " Car."</f>
        <v>0 Car.</v>
      </c>
      <c r="L464" s="1376" t="str">
        <f>IF(ISBLANK(M464),"",LARGE(L437:L463,1)+1)</f>
        <v/>
      </c>
      <c r="M464" s="1810"/>
      <c r="N464" s="1810"/>
      <c r="O464" s="1810"/>
      <c r="P464" s="1810"/>
      <c r="Q464" s="1810"/>
      <c r="R464" s="1810"/>
      <c r="S464" s="1810"/>
      <c r="T464" s="1810"/>
      <c r="U464" s="1811"/>
      <c r="W464" s="103" t="str">
        <f t="shared" si="101"/>
        <v>►</v>
      </c>
      <c r="X464" s="163" t="str">
        <f>X370</f>
        <v>N NAME OF YOUR RECIPE | paste it — FAMILY|  Author &gt; YOU</v>
      </c>
      <c r="Y464" s="163">
        <f>Y370</f>
        <v>1</v>
      </c>
      <c r="Z464" s="164" t="str">
        <f>Z370</f>
        <v>coupe</v>
      </c>
      <c r="AA464" s="165" t="str">
        <f>AA370</f>
        <v>Master recipe ► MILLE-FEUILLE  aux fraises des bois</v>
      </c>
      <c r="AB464" s="1548"/>
      <c r="AC464" s="1548"/>
      <c r="AD464" s="2190">
        <f>ROWS(AH438:AH464)</f>
        <v>27</v>
      </c>
      <c r="AE464" s="5549" t="str" cm="1">
        <f t="array" ref="AE464">IF(SUMPRODUCT((AH464:AM464&lt;&gt;"")*1)=0,"",SUMPRODUCT((AH464:AM464&lt;&gt;"")*(LEN(TRIM(SUBSTITUTE(AH464:AM464,CHAR(160)," "))) - LEN(SUBSTITUTE(TRIM(SUBSTITUTE(AH464:AM464,CHAR(160)," "))," ","")) + 1)) &amp; " word" &amp; IF(SUMPRODUCT((AH464:AM464&lt;&gt;"")*(LEN(TRIM(SUBSTITUTE(AH464:AM464,CHAR(160)," "))) - LEN(SUBSTITUTE(TRIM(SUBSTITUTE(AH464:AM464,CHAR(160)," "))," ","")) + 1))&gt;1,"s",""))</f>
        <v/>
      </c>
      <c r="AF464" s="5550" t="str" cm="1">
        <f t="array" ref="AF464">SUMPRODUCT(--(AH464:AM464&lt;&gt;""), LEN(TRIM(SUBSTITUTE(AH464:AM464, CHAR(160), "")))) &amp; " Car."</f>
        <v>0 Car.</v>
      </c>
      <c r="AG464" s="1376" t="str">
        <f>IF(ISBLANK(AH464),"",LARGE(AG437:AG463,1)+1)</f>
        <v/>
      </c>
      <c r="AH464" s="1833"/>
      <c r="AI464" s="1810"/>
      <c r="AJ464" s="1810"/>
      <c r="AK464" s="1810"/>
      <c r="AL464" s="1810"/>
      <c r="AM464" s="1810"/>
      <c r="AN464" s="1810"/>
      <c r="AO464" s="1810"/>
      <c r="AP464" s="1811"/>
      <c r="AR464" s="103" t="str">
        <f t="shared" si="102"/>
        <v>►</v>
      </c>
      <c r="AS464" s="163" t="str">
        <f>AS370</f>
        <v>N NOMBRE DE SU RECETA | pegue esto — FAMILIA| Auteur &gt; VOUS</v>
      </c>
      <c r="AT464" s="163">
        <f>AT370</f>
        <v>1</v>
      </c>
      <c r="AU464" s="164" t="str">
        <f>AU370</f>
        <v>coupe</v>
      </c>
      <c r="AV464" s="165" t="str">
        <f>AV370</f>
        <v>Receta madre ► MILLE-FEUILLE  aux fraises des bois</v>
      </c>
      <c r="AW464" s="1548"/>
      <c r="AX464" s="1548"/>
      <c r="AY464" s="2190">
        <f>ROWS(BC438:BC464)</f>
        <v>27</v>
      </c>
      <c r="AZ464" s="5549" t="str" cm="1">
        <f t="array" ref="AZ464">IF(SUMPRODUCT((BC464:BH464&lt;&gt;"")*1)=0,"",SUMPRODUCT((BC464:BH464&lt;&gt;"")*(LEN(TRIM(SUBSTITUTE(BC464:BH464,CHAR(160)," "))) - LEN(SUBSTITUTE(TRIM(SUBSTITUTE(BC464:BH464,CHAR(160)," "))," ","")) + 1)) &amp; " palabra" &amp; IF(SUMPRODUCT((BC464:BH464&lt;&gt;"")*(LEN(TRIM(SUBSTITUTE(BC464:BH464,CHAR(160)," "))) - LEN(SUBSTITUTE(TRIM(SUBSTITUTE(BC464:BH464,CHAR(160)," "))," ","")) + 1))&gt;1,"s",""))</f>
        <v/>
      </c>
      <c r="BA464" s="5550" t="str" cm="1">
        <f t="array" ref="BA464">SUMPRODUCT(--(BC464:BH464&lt;&gt;""), LEN(TRIM(SUBSTITUTE(BC464:BH464, CHAR(160), "")))) &amp; " Car."</f>
        <v>0 Car.</v>
      </c>
      <c r="BB464" s="1376" t="str">
        <f>IF(ISBLANK(BC464),"",LARGE(BB437:BB463,1)+1)</f>
        <v/>
      </c>
      <c r="BC464" s="1833"/>
      <c r="BD464" s="1810"/>
      <c r="BE464" s="1810"/>
      <c r="BF464" s="1810"/>
      <c r="BG464" s="1810"/>
      <c r="BH464" s="1810"/>
      <c r="BI464" s="1810"/>
      <c r="BJ464" s="1810"/>
      <c r="BK464" s="1811"/>
      <c r="BM464" s="3">
        <v>1</v>
      </c>
    </row>
    <row r="465" spans="2:65" ht="21" customHeight="1">
      <c r="B465" s="103" t="str">
        <f t="shared" si="100"/>
        <v>►</v>
      </c>
      <c r="C465" s="163" t="str">
        <f>C370</f>
        <v>MAJUSCULE(GAUCHE(J21;1))&amp;" "&amp;J21&amp;" | "&amp;S21&amp;"| "&amp;J23&amp;" "&amp;K23</v>
      </c>
      <c r="D465" s="163">
        <f>D370</f>
        <v>1</v>
      </c>
      <c r="E465" s="164" t="str">
        <f>E370</f>
        <v>coupe</v>
      </c>
      <c r="F465" s="165" t="str">
        <f>F370</f>
        <v>Recette mère ► MILLE-FEUILLE  aux fraises des bois</v>
      </c>
      <c r="G465" s="1548"/>
      <c r="H465" s="1548"/>
      <c r="I465" s="2190">
        <f>ROWS(M438:M465)</f>
        <v>28</v>
      </c>
      <c r="J465" s="5549" t="str" cm="1">
        <f t="array" ref="J465">IF(SUMPRODUCT((M465:R465&lt;&gt;"")*1)=0,"",SUMPRODUCT((M465:R465&lt;&gt;"")*(LEN(TRIM(SUBSTITUTE(M465:R465,CHAR(160)," "))) - LEN(SUBSTITUTE(TRIM(SUBSTITUTE(M465:R465,CHAR(160)," "))," ","")) + 1)) &amp; " mot" &amp; IF(SUMPRODUCT((M465:R465&lt;&gt;"")*(LEN(TRIM(SUBSTITUTE(M465:R465,CHAR(160)," "))) - LEN(SUBSTITUTE(TRIM(SUBSTITUTE(M465:R465,CHAR(160)," "))," ","")) + 1))&gt;1,"s",""))</f>
        <v/>
      </c>
      <c r="K465" s="5550" t="str" cm="1">
        <f t="array" ref="K465">SUMPRODUCT(--(M465:R465&lt;&gt;""), LEN(TRIM(SUBSTITUTE(M465:R465, CHAR(160), "")))) &amp; " Car."</f>
        <v>0 Car.</v>
      </c>
      <c r="L465" s="1376" t="str">
        <f>IF(ISBLANK(M465),"",LARGE(L437:L464,1)+1)</f>
        <v/>
      </c>
      <c r="M465" s="1810"/>
      <c r="N465" s="1810"/>
      <c r="O465" s="1810"/>
      <c r="P465" s="1810"/>
      <c r="Q465" s="1810"/>
      <c r="R465" s="1810"/>
      <c r="S465" s="1810"/>
      <c r="T465" s="1810"/>
      <c r="U465" s="1811"/>
      <c r="W465" s="103" t="str">
        <f t="shared" si="101"/>
        <v>►</v>
      </c>
      <c r="X465" s="163" t="str">
        <f>X370</f>
        <v>N NAME OF YOUR RECIPE | paste it — FAMILY|  Author &gt; YOU</v>
      </c>
      <c r="Y465" s="163">
        <f>Y370</f>
        <v>1</v>
      </c>
      <c r="Z465" s="164" t="str">
        <f>Z370</f>
        <v>coupe</v>
      </c>
      <c r="AA465" s="165" t="str">
        <f>AA370</f>
        <v>Master recipe ► MILLE-FEUILLE  aux fraises des bois</v>
      </c>
      <c r="AB465" s="1548"/>
      <c r="AC465" s="1548"/>
      <c r="AD465" s="2190">
        <f>ROWS(AH438:AH465)</f>
        <v>28</v>
      </c>
      <c r="AE465" s="5549" t="str" cm="1">
        <f t="array" ref="AE465">IF(SUMPRODUCT((AH465:AM465&lt;&gt;"")*1)=0,"",SUMPRODUCT((AH465:AM465&lt;&gt;"")*(LEN(TRIM(SUBSTITUTE(AH465:AM465,CHAR(160)," "))) - LEN(SUBSTITUTE(TRIM(SUBSTITUTE(AH465:AM465,CHAR(160)," "))," ","")) + 1)) &amp; " word" &amp; IF(SUMPRODUCT((AH465:AM465&lt;&gt;"")*(LEN(TRIM(SUBSTITUTE(AH465:AM465,CHAR(160)," "))) - LEN(SUBSTITUTE(TRIM(SUBSTITUTE(AH465:AM465,CHAR(160)," "))," ","")) + 1))&gt;1,"s",""))</f>
        <v/>
      </c>
      <c r="AF465" s="5550" t="str" cm="1">
        <f t="array" ref="AF465">SUMPRODUCT(--(AH465:AM465&lt;&gt;""), LEN(TRIM(SUBSTITUTE(AH465:AM465, CHAR(160), "")))) &amp; " Car."</f>
        <v>0 Car.</v>
      </c>
      <c r="AG465" s="1376" t="str">
        <f>IF(ISBLANK(AH465),"",LARGE(AG437:AG464,1)+1)</f>
        <v/>
      </c>
      <c r="AH465" s="1833"/>
      <c r="AI465" s="1810"/>
      <c r="AJ465" s="1810"/>
      <c r="AK465" s="1810"/>
      <c r="AL465" s="1810"/>
      <c r="AM465" s="1810"/>
      <c r="AN465" s="1810"/>
      <c r="AO465" s="1810"/>
      <c r="AP465" s="1811"/>
      <c r="AR465" s="103" t="str">
        <f t="shared" si="102"/>
        <v>►</v>
      </c>
      <c r="AS465" s="163" t="str">
        <f>AS370</f>
        <v>N NOMBRE DE SU RECETA | pegue esto — FAMILIA| Auteur &gt; VOUS</v>
      </c>
      <c r="AT465" s="163">
        <f>AT370</f>
        <v>1</v>
      </c>
      <c r="AU465" s="164" t="str">
        <f>AU370</f>
        <v>coupe</v>
      </c>
      <c r="AV465" s="165" t="str">
        <f>AV370</f>
        <v>Receta madre ► MILLE-FEUILLE  aux fraises des bois</v>
      </c>
      <c r="AW465" s="1548"/>
      <c r="AX465" s="1548"/>
      <c r="AY465" s="2190">
        <f>ROWS(BC438:BC465)</f>
        <v>28</v>
      </c>
      <c r="AZ465" s="5549" t="str" cm="1">
        <f t="array" ref="AZ465">IF(SUMPRODUCT((BC465:BH465&lt;&gt;"")*1)=0,"",SUMPRODUCT((BC465:BH465&lt;&gt;"")*(LEN(TRIM(SUBSTITUTE(BC465:BH465,CHAR(160)," "))) - LEN(SUBSTITUTE(TRIM(SUBSTITUTE(BC465:BH465,CHAR(160)," "))," ","")) + 1)) &amp; " palabra" &amp; IF(SUMPRODUCT((BC465:BH465&lt;&gt;"")*(LEN(TRIM(SUBSTITUTE(BC465:BH465,CHAR(160)," "))) - LEN(SUBSTITUTE(TRIM(SUBSTITUTE(BC465:BH465,CHAR(160)," "))," ","")) + 1))&gt;1,"s",""))</f>
        <v/>
      </c>
      <c r="BA465" s="5550" t="str" cm="1">
        <f t="array" ref="BA465">SUMPRODUCT(--(BC465:BH465&lt;&gt;""), LEN(TRIM(SUBSTITUTE(BC465:BH465, CHAR(160), "")))) &amp; " Car."</f>
        <v>0 Car.</v>
      </c>
      <c r="BB465" s="1376" t="str">
        <f>IF(ISBLANK(BC465),"",LARGE(BB437:BB464,1)+1)</f>
        <v/>
      </c>
      <c r="BC465" s="1833"/>
      <c r="BD465" s="1810"/>
      <c r="BE465" s="1810"/>
      <c r="BF465" s="1810"/>
      <c r="BG465" s="1810"/>
      <c r="BH465" s="1810"/>
      <c r="BI465" s="1810"/>
      <c r="BJ465" s="1810"/>
      <c r="BK465" s="1811"/>
      <c r="BM465" s="3">
        <v>1</v>
      </c>
    </row>
    <row r="466" spans="2:65" ht="21" customHeight="1">
      <c r="B466" s="103" t="str">
        <f t="shared" si="100"/>
        <v>►</v>
      </c>
      <c r="C466" s="163" t="str">
        <f>C370</f>
        <v>MAJUSCULE(GAUCHE(J21;1))&amp;" "&amp;J21&amp;" | "&amp;S21&amp;"| "&amp;J23&amp;" "&amp;K23</v>
      </c>
      <c r="D466" s="163">
        <f>D370</f>
        <v>1</v>
      </c>
      <c r="E466" s="164" t="str">
        <f>E370</f>
        <v>coupe</v>
      </c>
      <c r="F466" s="165" t="str">
        <f>F370</f>
        <v>Recette mère ► MILLE-FEUILLE  aux fraises des bois</v>
      </c>
      <c r="G466" s="1548"/>
      <c r="H466" s="1548"/>
      <c r="I466" s="2190">
        <f>ROWS(M438:M466)</f>
        <v>29</v>
      </c>
      <c r="J466" s="5549" t="str" cm="1">
        <f t="array" ref="J466">IF(SUMPRODUCT((M466:R466&lt;&gt;"")*1)=0,"",SUMPRODUCT((M466:R466&lt;&gt;"")*(LEN(TRIM(SUBSTITUTE(M466:R466,CHAR(160)," "))) - LEN(SUBSTITUTE(TRIM(SUBSTITUTE(M466:R466,CHAR(160)," "))," ","")) + 1)) &amp; " mot" &amp; IF(SUMPRODUCT((M466:R466&lt;&gt;"")*(LEN(TRIM(SUBSTITUTE(M466:R466,CHAR(160)," "))) - LEN(SUBSTITUTE(TRIM(SUBSTITUTE(M466:R466,CHAR(160)," "))," ","")) + 1))&gt;1,"s",""))</f>
        <v/>
      </c>
      <c r="K466" s="5550" t="str" cm="1">
        <f t="array" ref="K466">SUMPRODUCT(--(M466:R466&lt;&gt;""), LEN(TRIM(SUBSTITUTE(M466:R466, CHAR(160), "")))) &amp; " Car."</f>
        <v>0 Car.</v>
      </c>
      <c r="L466" s="1376" t="str">
        <f>IF(ISBLANK(M466),"",LARGE(L437:L465,1)+1)</f>
        <v/>
      </c>
      <c r="M466" s="1810"/>
      <c r="N466" s="1810"/>
      <c r="O466" s="1810"/>
      <c r="P466" s="1810"/>
      <c r="Q466" s="1810"/>
      <c r="R466" s="1810"/>
      <c r="S466" s="1810"/>
      <c r="T466" s="1810"/>
      <c r="U466" s="1811"/>
      <c r="W466" s="103" t="str">
        <f t="shared" si="101"/>
        <v>►</v>
      </c>
      <c r="X466" s="163" t="str">
        <f>X370</f>
        <v>N NAME OF YOUR RECIPE | paste it — FAMILY|  Author &gt; YOU</v>
      </c>
      <c r="Y466" s="163">
        <f>Y370</f>
        <v>1</v>
      </c>
      <c r="Z466" s="164" t="str">
        <f>Z370</f>
        <v>coupe</v>
      </c>
      <c r="AA466" s="165" t="str">
        <f>AA370</f>
        <v>Master recipe ► MILLE-FEUILLE  aux fraises des bois</v>
      </c>
      <c r="AB466" s="1548"/>
      <c r="AC466" s="1548"/>
      <c r="AD466" s="2190">
        <f>ROWS(AH438:AH466)</f>
        <v>29</v>
      </c>
      <c r="AE466" s="5549" t="str" cm="1">
        <f t="array" ref="AE466">IF(SUMPRODUCT((AH466:AM466&lt;&gt;"")*1)=0,"",SUMPRODUCT((AH466:AM466&lt;&gt;"")*(LEN(TRIM(SUBSTITUTE(AH466:AM466,CHAR(160)," "))) - LEN(SUBSTITUTE(TRIM(SUBSTITUTE(AH466:AM466,CHAR(160)," "))," ","")) + 1)) &amp; " word" &amp; IF(SUMPRODUCT((AH466:AM466&lt;&gt;"")*(LEN(TRIM(SUBSTITUTE(AH466:AM466,CHAR(160)," "))) - LEN(SUBSTITUTE(TRIM(SUBSTITUTE(AH466:AM466,CHAR(160)," "))," ","")) + 1))&gt;1,"s",""))</f>
        <v/>
      </c>
      <c r="AF466" s="5550" t="str" cm="1">
        <f t="array" ref="AF466">SUMPRODUCT(--(AH466:AM466&lt;&gt;""), LEN(TRIM(SUBSTITUTE(AH466:AM466, CHAR(160), "")))) &amp; " Car."</f>
        <v>0 Car.</v>
      </c>
      <c r="AG466" s="1376" t="str">
        <f>IF(ISBLANK(AH466),"",LARGE(AG437:AG465,1)+1)</f>
        <v/>
      </c>
      <c r="AH466" s="1833"/>
      <c r="AI466" s="1810"/>
      <c r="AJ466" s="1810"/>
      <c r="AK466" s="1810"/>
      <c r="AL466" s="1810"/>
      <c r="AM466" s="1810"/>
      <c r="AN466" s="1810"/>
      <c r="AO466" s="1810"/>
      <c r="AP466" s="1811"/>
      <c r="AR466" s="103" t="str">
        <f t="shared" si="102"/>
        <v>►</v>
      </c>
      <c r="AS466" s="163" t="str">
        <f>AS370</f>
        <v>N NOMBRE DE SU RECETA | pegue esto — FAMILIA| Auteur &gt; VOUS</v>
      </c>
      <c r="AT466" s="163">
        <f>AT370</f>
        <v>1</v>
      </c>
      <c r="AU466" s="164" t="str">
        <f>AU370</f>
        <v>coupe</v>
      </c>
      <c r="AV466" s="165" t="str">
        <f>AV370</f>
        <v>Receta madre ► MILLE-FEUILLE  aux fraises des bois</v>
      </c>
      <c r="AW466" s="1548"/>
      <c r="AX466" s="1548"/>
      <c r="AY466" s="2190">
        <f>ROWS(BC438:BC466)</f>
        <v>29</v>
      </c>
      <c r="AZ466" s="5549" t="str" cm="1">
        <f t="array" ref="AZ466">IF(SUMPRODUCT((BC466:BH466&lt;&gt;"")*1)=0,"",SUMPRODUCT((BC466:BH466&lt;&gt;"")*(LEN(TRIM(SUBSTITUTE(BC466:BH466,CHAR(160)," "))) - LEN(SUBSTITUTE(TRIM(SUBSTITUTE(BC466:BH466,CHAR(160)," "))," ","")) + 1)) &amp; " palabra" &amp; IF(SUMPRODUCT((BC466:BH466&lt;&gt;"")*(LEN(TRIM(SUBSTITUTE(BC466:BH466,CHAR(160)," "))) - LEN(SUBSTITUTE(TRIM(SUBSTITUTE(BC466:BH466,CHAR(160)," "))," ","")) + 1))&gt;1,"s",""))</f>
        <v/>
      </c>
      <c r="BA466" s="5550" t="str" cm="1">
        <f t="array" ref="BA466">SUMPRODUCT(--(BC466:BH466&lt;&gt;""), LEN(TRIM(SUBSTITUTE(BC466:BH466, CHAR(160), "")))) &amp; " Car."</f>
        <v>0 Car.</v>
      </c>
      <c r="BB466" s="1376" t="str">
        <f>IF(ISBLANK(BC466),"",LARGE(BB437:BB465,1)+1)</f>
        <v/>
      </c>
      <c r="BC466" s="1833"/>
      <c r="BD466" s="1810"/>
      <c r="BE466" s="1810"/>
      <c r="BF466" s="1810"/>
      <c r="BG466" s="1810"/>
      <c r="BH466" s="1810"/>
      <c r="BI466" s="1810"/>
      <c r="BJ466" s="1810"/>
      <c r="BK466" s="1811"/>
      <c r="BM466" s="3">
        <v>1</v>
      </c>
    </row>
    <row r="467" spans="2:65" ht="21" customHeight="1">
      <c r="B467" s="103" t="str">
        <f t="shared" si="100"/>
        <v>►</v>
      </c>
      <c r="C467" s="163" t="str">
        <f>C370</f>
        <v>MAJUSCULE(GAUCHE(J21;1))&amp;" "&amp;J21&amp;" | "&amp;S21&amp;"| "&amp;J23&amp;" "&amp;K23</v>
      </c>
      <c r="D467" s="163">
        <f>D370</f>
        <v>1</v>
      </c>
      <c r="E467" s="164" t="str">
        <f>E370</f>
        <v>coupe</v>
      </c>
      <c r="F467" s="165" t="str">
        <f>F370</f>
        <v>Recette mère ► MILLE-FEUILLE  aux fraises des bois</v>
      </c>
      <c r="G467" s="1548"/>
      <c r="H467" s="1548"/>
      <c r="I467" s="2190">
        <f>ROWS(M438:M467)</f>
        <v>30</v>
      </c>
      <c r="J467" s="5549" t="str" cm="1">
        <f t="array" ref="J467">IF(SUMPRODUCT((M467:R467&lt;&gt;"")*1)=0,"",SUMPRODUCT((M467:R467&lt;&gt;"")*(LEN(TRIM(SUBSTITUTE(M467:R467,CHAR(160)," "))) - LEN(SUBSTITUTE(TRIM(SUBSTITUTE(M467:R467,CHAR(160)," "))," ","")) + 1)) &amp; " mot" &amp; IF(SUMPRODUCT((M467:R467&lt;&gt;"")*(LEN(TRIM(SUBSTITUTE(M467:R467,CHAR(160)," "))) - LEN(SUBSTITUTE(TRIM(SUBSTITUTE(M467:R467,CHAR(160)," "))," ","")) + 1))&gt;1,"s",""))</f>
        <v/>
      </c>
      <c r="K467" s="5550" t="str" cm="1">
        <f t="array" ref="K467">SUMPRODUCT(--(M467:R467&lt;&gt;""), LEN(TRIM(SUBSTITUTE(M467:R467, CHAR(160), "")))) &amp; " Car."</f>
        <v>0 Car.</v>
      </c>
      <c r="L467" s="1376" t="str">
        <f>IF(ISBLANK(M467),"",LARGE(L437:L466,1)+1)</f>
        <v/>
      </c>
      <c r="M467" s="1810"/>
      <c r="N467" s="1810"/>
      <c r="O467" s="1810"/>
      <c r="P467" s="1810"/>
      <c r="Q467" s="1810"/>
      <c r="R467" s="1810"/>
      <c r="S467" s="1810"/>
      <c r="T467" s="1810"/>
      <c r="U467" s="1811"/>
      <c r="W467" s="103" t="str">
        <f t="shared" si="101"/>
        <v>►</v>
      </c>
      <c r="X467" s="163" t="str">
        <f>X370</f>
        <v>N NAME OF YOUR RECIPE | paste it — FAMILY|  Author &gt; YOU</v>
      </c>
      <c r="Y467" s="163">
        <f>Y370</f>
        <v>1</v>
      </c>
      <c r="Z467" s="164" t="str">
        <f>Z370</f>
        <v>coupe</v>
      </c>
      <c r="AA467" s="165" t="str">
        <f>AA370</f>
        <v>Master recipe ► MILLE-FEUILLE  aux fraises des bois</v>
      </c>
      <c r="AB467" s="1548"/>
      <c r="AC467" s="1548"/>
      <c r="AD467" s="2190">
        <f>ROWS(AH438:AH467)</f>
        <v>30</v>
      </c>
      <c r="AE467" s="5549" t="str" cm="1">
        <f t="array" ref="AE467">IF(SUMPRODUCT((AH467:AM467&lt;&gt;"")*1)=0,"",SUMPRODUCT((AH467:AM467&lt;&gt;"")*(LEN(TRIM(SUBSTITUTE(AH467:AM467,CHAR(160)," "))) - LEN(SUBSTITUTE(TRIM(SUBSTITUTE(AH467:AM467,CHAR(160)," "))," ","")) + 1)) &amp; " word" &amp; IF(SUMPRODUCT((AH467:AM467&lt;&gt;"")*(LEN(TRIM(SUBSTITUTE(AH467:AM467,CHAR(160)," "))) - LEN(SUBSTITUTE(TRIM(SUBSTITUTE(AH467:AM467,CHAR(160)," "))," ","")) + 1))&gt;1,"s",""))</f>
        <v/>
      </c>
      <c r="AF467" s="5550" t="str" cm="1">
        <f t="array" ref="AF467">SUMPRODUCT(--(AH467:AM467&lt;&gt;""), LEN(TRIM(SUBSTITUTE(AH467:AM467, CHAR(160), "")))) &amp; " Car."</f>
        <v>0 Car.</v>
      </c>
      <c r="AG467" s="1376" t="str">
        <f>IF(ISBLANK(AH467),"",LARGE(AG437:AG466,1)+1)</f>
        <v/>
      </c>
      <c r="AH467" s="1833"/>
      <c r="AI467" s="1810"/>
      <c r="AJ467" s="1810"/>
      <c r="AK467" s="1810"/>
      <c r="AL467" s="1810"/>
      <c r="AM467" s="1810"/>
      <c r="AN467" s="1810"/>
      <c r="AO467" s="1810"/>
      <c r="AP467" s="1811"/>
      <c r="AR467" s="103" t="str">
        <f t="shared" si="102"/>
        <v>►</v>
      </c>
      <c r="AS467" s="163" t="str">
        <f>AS370</f>
        <v>N NOMBRE DE SU RECETA | pegue esto — FAMILIA| Auteur &gt; VOUS</v>
      </c>
      <c r="AT467" s="163">
        <f>AT370</f>
        <v>1</v>
      </c>
      <c r="AU467" s="164" t="str">
        <f>AU370</f>
        <v>coupe</v>
      </c>
      <c r="AV467" s="165" t="str">
        <f>AV370</f>
        <v>Receta madre ► MILLE-FEUILLE  aux fraises des bois</v>
      </c>
      <c r="AW467" s="1548"/>
      <c r="AX467" s="1548"/>
      <c r="AY467" s="2190">
        <f>ROWS(BC438:BC467)</f>
        <v>30</v>
      </c>
      <c r="AZ467" s="5549" t="str" cm="1">
        <f t="array" ref="AZ467">IF(SUMPRODUCT((BC467:BH467&lt;&gt;"")*1)=0,"",SUMPRODUCT((BC467:BH467&lt;&gt;"")*(LEN(TRIM(SUBSTITUTE(BC467:BH467,CHAR(160)," "))) - LEN(SUBSTITUTE(TRIM(SUBSTITUTE(BC467:BH467,CHAR(160)," "))," ","")) + 1)) &amp; " palabra" &amp; IF(SUMPRODUCT((BC467:BH467&lt;&gt;"")*(LEN(TRIM(SUBSTITUTE(BC467:BH467,CHAR(160)," "))) - LEN(SUBSTITUTE(TRIM(SUBSTITUTE(BC467:BH467,CHAR(160)," "))," ","")) + 1))&gt;1,"s",""))</f>
        <v/>
      </c>
      <c r="BA467" s="5550" t="str" cm="1">
        <f t="array" ref="BA467">SUMPRODUCT(--(BC467:BH467&lt;&gt;""), LEN(TRIM(SUBSTITUTE(BC467:BH467, CHAR(160), "")))) &amp; " Car."</f>
        <v>0 Car.</v>
      </c>
      <c r="BB467" s="1376" t="str">
        <f>IF(ISBLANK(BC467),"",LARGE(BB437:BB466,1)+1)</f>
        <v/>
      </c>
      <c r="BC467" s="1833"/>
      <c r="BD467" s="1810"/>
      <c r="BE467" s="1810"/>
      <c r="BF467" s="1810"/>
      <c r="BG467" s="1810"/>
      <c r="BH467" s="1810"/>
      <c r="BI467" s="1810"/>
      <c r="BJ467" s="1810"/>
      <c r="BK467" s="1811"/>
      <c r="BM467" s="3">
        <v>1</v>
      </c>
    </row>
    <row r="468" spans="2:65" ht="21" customHeight="1">
      <c r="B468" s="103" t="str">
        <f t="shared" si="100"/>
        <v>►</v>
      </c>
      <c r="C468" s="163" t="str">
        <f>C370</f>
        <v>MAJUSCULE(GAUCHE(J21;1))&amp;" "&amp;J21&amp;" | "&amp;S21&amp;"| "&amp;J23&amp;" "&amp;K23</v>
      </c>
      <c r="D468" s="163">
        <f>D370</f>
        <v>1</v>
      </c>
      <c r="E468" s="164" t="str">
        <f>E370</f>
        <v>coupe</v>
      </c>
      <c r="F468" s="165" t="str">
        <f>F370</f>
        <v>Recette mère ► MILLE-FEUILLE  aux fraises des bois</v>
      </c>
      <c r="G468" s="1548"/>
      <c r="H468" s="1548"/>
      <c r="I468" s="2190">
        <f>ROWS(M438:M468)</f>
        <v>31</v>
      </c>
      <c r="J468" s="5549" t="str" cm="1">
        <f t="array" ref="J468">IF(SUMPRODUCT((M468:R468&lt;&gt;"")*1)=0,"",SUMPRODUCT((M468:R468&lt;&gt;"")*(LEN(TRIM(SUBSTITUTE(M468:R468,CHAR(160)," "))) - LEN(SUBSTITUTE(TRIM(SUBSTITUTE(M468:R468,CHAR(160)," "))," ","")) + 1)) &amp; " mot" &amp; IF(SUMPRODUCT((M468:R468&lt;&gt;"")*(LEN(TRIM(SUBSTITUTE(M468:R468,CHAR(160)," "))) - LEN(SUBSTITUTE(TRIM(SUBSTITUTE(M468:R468,CHAR(160)," "))," ","")) + 1))&gt;1,"s",""))</f>
        <v/>
      </c>
      <c r="K468" s="5550" t="str" cm="1">
        <f t="array" ref="K468">SUMPRODUCT(--(M468:R468&lt;&gt;""), LEN(TRIM(SUBSTITUTE(M468:R468, CHAR(160), "")))) &amp; " Car."</f>
        <v>0 Car.</v>
      </c>
      <c r="L468" s="1376" t="str">
        <f>IF(ISBLANK(M468),"",LARGE(L437:L467,1)+1)</f>
        <v/>
      </c>
      <c r="M468" s="1810"/>
      <c r="N468" s="1810"/>
      <c r="O468" s="1810"/>
      <c r="P468" s="1810"/>
      <c r="Q468" s="1810"/>
      <c r="R468" s="1810"/>
      <c r="S468" s="1810"/>
      <c r="T468" s="1810"/>
      <c r="U468" s="1811"/>
      <c r="W468" s="103" t="str">
        <f t="shared" si="101"/>
        <v>►</v>
      </c>
      <c r="X468" s="163" t="str">
        <f>X370</f>
        <v>N NAME OF YOUR RECIPE | paste it — FAMILY|  Author &gt; YOU</v>
      </c>
      <c r="Y468" s="163">
        <f>Y370</f>
        <v>1</v>
      </c>
      <c r="Z468" s="164" t="str">
        <f>Z370</f>
        <v>coupe</v>
      </c>
      <c r="AA468" s="165" t="str">
        <f>AA370</f>
        <v>Master recipe ► MILLE-FEUILLE  aux fraises des bois</v>
      </c>
      <c r="AB468" s="1548"/>
      <c r="AC468" s="1548"/>
      <c r="AD468" s="2190">
        <f>ROWS(AH438:AH468)</f>
        <v>31</v>
      </c>
      <c r="AE468" s="5549" t="str" cm="1">
        <f t="array" ref="AE468">IF(SUMPRODUCT((AH468:AM468&lt;&gt;"")*1)=0,"",SUMPRODUCT((AH468:AM468&lt;&gt;"")*(LEN(TRIM(SUBSTITUTE(AH468:AM468,CHAR(160)," "))) - LEN(SUBSTITUTE(TRIM(SUBSTITUTE(AH468:AM468,CHAR(160)," "))," ","")) + 1)) &amp; " word" &amp; IF(SUMPRODUCT((AH468:AM468&lt;&gt;"")*(LEN(TRIM(SUBSTITUTE(AH468:AM468,CHAR(160)," "))) - LEN(SUBSTITUTE(TRIM(SUBSTITUTE(AH468:AM468,CHAR(160)," "))," ","")) + 1))&gt;1,"s",""))</f>
        <v/>
      </c>
      <c r="AF468" s="5550" t="str" cm="1">
        <f t="array" ref="AF468">SUMPRODUCT(--(AH468:AM468&lt;&gt;""), LEN(TRIM(SUBSTITUTE(AH468:AM468, CHAR(160), "")))) &amp; " Car."</f>
        <v>0 Car.</v>
      </c>
      <c r="AG468" s="1376" t="str">
        <f>IF(ISBLANK(AH468),"",LARGE(AG437:AG467,1)+1)</f>
        <v/>
      </c>
      <c r="AH468" s="1833"/>
      <c r="AI468" s="1810"/>
      <c r="AJ468" s="1810"/>
      <c r="AK468" s="1810"/>
      <c r="AL468" s="1810"/>
      <c r="AM468" s="1810"/>
      <c r="AN468" s="1810"/>
      <c r="AO468" s="1810"/>
      <c r="AP468" s="1811"/>
      <c r="AR468" s="103" t="str">
        <f t="shared" si="102"/>
        <v>►</v>
      </c>
      <c r="AS468" s="163" t="str">
        <f>AS370</f>
        <v>N NOMBRE DE SU RECETA | pegue esto — FAMILIA| Auteur &gt; VOUS</v>
      </c>
      <c r="AT468" s="163">
        <f>AT370</f>
        <v>1</v>
      </c>
      <c r="AU468" s="164" t="str">
        <f>AU370</f>
        <v>coupe</v>
      </c>
      <c r="AV468" s="165" t="str">
        <f>AV370</f>
        <v>Receta madre ► MILLE-FEUILLE  aux fraises des bois</v>
      </c>
      <c r="AW468" s="1548"/>
      <c r="AX468" s="1548"/>
      <c r="AY468" s="2190">
        <f>ROWS(BC438:BC468)</f>
        <v>31</v>
      </c>
      <c r="AZ468" s="5549" t="str" cm="1">
        <f t="array" ref="AZ468">IF(SUMPRODUCT((BC468:BH468&lt;&gt;"")*1)=0,"",SUMPRODUCT((BC468:BH468&lt;&gt;"")*(LEN(TRIM(SUBSTITUTE(BC468:BH468,CHAR(160)," "))) - LEN(SUBSTITUTE(TRIM(SUBSTITUTE(BC468:BH468,CHAR(160)," "))," ","")) + 1)) &amp; " palabra" &amp; IF(SUMPRODUCT((BC468:BH468&lt;&gt;"")*(LEN(TRIM(SUBSTITUTE(BC468:BH468,CHAR(160)," "))) - LEN(SUBSTITUTE(TRIM(SUBSTITUTE(BC468:BH468,CHAR(160)," "))," ","")) + 1))&gt;1,"s",""))</f>
        <v/>
      </c>
      <c r="BA468" s="5550" t="str" cm="1">
        <f t="array" ref="BA468">SUMPRODUCT(--(BC468:BH468&lt;&gt;""), LEN(TRIM(SUBSTITUTE(BC468:BH468, CHAR(160), "")))) &amp; " Car."</f>
        <v>0 Car.</v>
      </c>
      <c r="BB468" s="1376" t="str">
        <f>IF(ISBLANK(BC468),"",LARGE(BB437:BB467,1)+1)</f>
        <v/>
      </c>
      <c r="BC468" s="1833"/>
      <c r="BD468" s="1810"/>
      <c r="BE468" s="1810"/>
      <c r="BF468" s="1810"/>
      <c r="BG468" s="1810"/>
      <c r="BH468" s="1810"/>
      <c r="BI468" s="1810"/>
      <c r="BJ468" s="1810"/>
      <c r="BK468" s="1811"/>
      <c r="BM468" s="3">
        <v>1</v>
      </c>
    </row>
    <row r="469" spans="2:65" ht="21" customHeight="1">
      <c r="B469" s="103" t="str">
        <f t="shared" si="100"/>
        <v>►</v>
      </c>
      <c r="C469" s="163" t="str">
        <f>C370</f>
        <v>MAJUSCULE(GAUCHE(J21;1))&amp;" "&amp;J21&amp;" | "&amp;S21&amp;"| "&amp;J23&amp;" "&amp;K23</v>
      </c>
      <c r="D469" s="163">
        <f>D370</f>
        <v>1</v>
      </c>
      <c r="E469" s="164" t="str">
        <f>E370</f>
        <v>coupe</v>
      </c>
      <c r="F469" s="165" t="str">
        <f>F370</f>
        <v>Recette mère ► MILLE-FEUILLE  aux fraises des bois</v>
      </c>
      <c r="G469" s="1548"/>
      <c r="H469" s="1548"/>
      <c r="I469" s="2190">
        <f>ROWS(M438:M469)</f>
        <v>32</v>
      </c>
      <c r="J469" s="5549" t="str" cm="1">
        <f t="array" ref="J469">IF(SUMPRODUCT((M469:R469&lt;&gt;"")*1)=0,"",SUMPRODUCT((M469:R469&lt;&gt;"")*(LEN(TRIM(SUBSTITUTE(M469:R469,CHAR(160)," "))) - LEN(SUBSTITUTE(TRIM(SUBSTITUTE(M469:R469,CHAR(160)," "))," ","")) + 1)) &amp; " mot" &amp; IF(SUMPRODUCT((M469:R469&lt;&gt;"")*(LEN(TRIM(SUBSTITUTE(M469:R469,CHAR(160)," "))) - LEN(SUBSTITUTE(TRIM(SUBSTITUTE(M469:R469,CHAR(160)," "))," ","")) + 1))&gt;1,"s",""))</f>
        <v/>
      </c>
      <c r="K469" s="5550" t="str" cm="1">
        <f t="array" ref="K469">SUMPRODUCT(--(M469:R469&lt;&gt;""), LEN(TRIM(SUBSTITUTE(M469:R469, CHAR(160), "")))) &amp; " Car."</f>
        <v>0 Car.</v>
      </c>
      <c r="L469" s="1376" t="str">
        <f>IF(ISBLANK(M469),"",LARGE(L437:L468,1)+1)</f>
        <v/>
      </c>
      <c r="M469" s="1810"/>
      <c r="N469" s="1810"/>
      <c r="O469" s="1810"/>
      <c r="P469" s="1810"/>
      <c r="Q469" s="1810"/>
      <c r="R469" s="1810"/>
      <c r="S469" s="1810"/>
      <c r="T469" s="1810"/>
      <c r="U469" s="1811"/>
      <c r="W469" s="103" t="str">
        <f t="shared" si="101"/>
        <v>►</v>
      </c>
      <c r="X469" s="163" t="str">
        <f>X370</f>
        <v>N NAME OF YOUR RECIPE | paste it — FAMILY|  Author &gt; YOU</v>
      </c>
      <c r="Y469" s="163">
        <f>Y370</f>
        <v>1</v>
      </c>
      <c r="Z469" s="164" t="str">
        <f>Z370</f>
        <v>coupe</v>
      </c>
      <c r="AA469" s="165" t="str">
        <f>AA370</f>
        <v>Master recipe ► MILLE-FEUILLE  aux fraises des bois</v>
      </c>
      <c r="AB469" s="1548"/>
      <c r="AC469" s="1548"/>
      <c r="AD469" s="2190">
        <f>ROWS(AH438:AH469)</f>
        <v>32</v>
      </c>
      <c r="AE469" s="5549" t="str" cm="1">
        <f t="array" ref="AE469">IF(SUMPRODUCT((AH469:AM469&lt;&gt;"")*1)=0,"",SUMPRODUCT((AH469:AM469&lt;&gt;"")*(LEN(TRIM(SUBSTITUTE(AH469:AM469,CHAR(160)," "))) - LEN(SUBSTITUTE(TRIM(SUBSTITUTE(AH469:AM469,CHAR(160)," "))," ","")) + 1)) &amp; " word" &amp; IF(SUMPRODUCT((AH469:AM469&lt;&gt;"")*(LEN(TRIM(SUBSTITUTE(AH469:AM469,CHAR(160)," "))) - LEN(SUBSTITUTE(TRIM(SUBSTITUTE(AH469:AM469,CHAR(160)," "))," ","")) + 1))&gt;1,"s",""))</f>
        <v/>
      </c>
      <c r="AF469" s="5550" t="str" cm="1">
        <f t="array" ref="AF469">SUMPRODUCT(--(AH469:AM469&lt;&gt;""), LEN(TRIM(SUBSTITUTE(AH469:AM469, CHAR(160), "")))) &amp; " Car."</f>
        <v>0 Car.</v>
      </c>
      <c r="AG469" s="1376" t="str">
        <f>IF(ISBLANK(AH469),"",LARGE(AG437:AG468,1)+1)</f>
        <v/>
      </c>
      <c r="AH469" s="1833"/>
      <c r="AI469" s="1810"/>
      <c r="AJ469" s="1810"/>
      <c r="AK469" s="1810"/>
      <c r="AL469" s="1810"/>
      <c r="AM469" s="1810"/>
      <c r="AN469" s="1810"/>
      <c r="AO469" s="1810"/>
      <c r="AP469" s="1811"/>
      <c r="AR469" s="103" t="str">
        <f t="shared" si="102"/>
        <v>►</v>
      </c>
      <c r="AS469" s="163" t="str">
        <f>AS370</f>
        <v>N NOMBRE DE SU RECETA | pegue esto — FAMILIA| Auteur &gt; VOUS</v>
      </c>
      <c r="AT469" s="163">
        <f>AT370</f>
        <v>1</v>
      </c>
      <c r="AU469" s="164" t="str">
        <f>AU370</f>
        <v>coupe</v>
      </c>
      <c r="AV469" s="165" t="str">
        <f>AV370</f>
        <v>Receta madre ► MILLE-FEUILLE  aux fraises des bois</v>
      </c>
      <c r="AW469" s="1548"/>
      <c r="AX469" s="1548"/>
      <c r="AY469" s="2190">
        <f>ROWS(BC438:BC469)</f>
        <v>32</v>
      </c>
      <c r="AZ469" s="5549" t="str" cm="1">
        <f t="array" ref="AZ469">IF(SUMPRODUCT((BC469:BH469&lt;&gt;"")*1)=0,"",SUMPRODUCT((BC469:BH469&lt;&gt;"")*(LEN(TRIM(SUBSTITUTE(BC469:BH469,CHAR(160)," "))) - LEN(SUBSTITUTE(TRIM(SUBSTITUTE(BC469:BH469,CHAR(160)," "))," ","")) + 1)) &amp; " palabra" &amp; IF(SUMPRODUCT((BC469:BH469&lt;&gt;"")*(LEN(TRIM(SUBSTITUTE(BC469:BH469,CHAR(160)," "))) - LEN(SUBSTITUTE(TRIM(SUBSTITUTE(BC469:BH469,CHAR(160)," "))," ","")) + 1))&gt;1,"s",""))</f>
        <v/>
      </c>
      <c r="BA469" s="5550" t="str" cm="1">
        <f t="array" ref="BA469">SUMPRODUCT(--(BC469:BH469&lt;&gt;""), LEN(TRIM(SUBSTITUTE(BC469:BH469, CHAR(160), "")))) &amp; " Car."</f>
        <v>0 Car.</v>
      </c>
      <c r="BB469" s="1376" t="str">
        <f>IF(ISBLANK(BC469),"",LARGE(BB437:BB468,1)+1)</f>
        <v/>
      </c>
      <c r="BC469" s="1833"/>
      <c r="BD469" s="1810"/>
      <c r="BE469" s="1810"/>
      <c r="BF469" s="1810"/>
      <c r="BG469" s="1810"/>
      <c r="BH469" s="1810"/>
      <c r="BI469" s="1810"/>
      <c r="BJ469" s="1810"/>
      <c r="BK469" s="1811"/>
      <c r="BM469" s="3">
        <v>1</v>
      </c>
    </row>
    <row r="470" spans="2:65" ht="21" customHeight="1">
      <c r="B470" s="103" t="str">
        <f t="shared" si="100"/>
        <v>►</v>
      </c>
      <c r="C470" s="163" t="str">
        <f>C370</f>
        <v>MAJUSCULE(GAUCHE(J21;1))&amp;" "&amp;J21&amp;" | "&amp;S21&amp;"| "&amp;J23&amp;" "&amp;K23</v>
      </c>
      <c r="D470" s="163">
        <f>D370</f>
        <v>1</v>
      </c>
      <c r="E470" s="164" t="str">
        <f>E370</f>
        <v>coupe</v>
      </c>
      <c r="F470" s="165" t="str">
        <f>F370</f>
        <v>Recette mère ► MILLE-FEUILLE  aux fraises des bois</v>
      </c>
      <c r="G470" s="1548"/>
      <c r="H470" s="1548"/>
      <c r="I470" s="2190">
        <f>ROWS(M438:M470)</f>
        <v>33</v>
      </c>
      <c r="J470" s="5549" t="str" cm="1">
        <f t="array" ref="J470">IF(SUMPRODUCT((M470:R470&lt;&gt;"")*1)=0,"",SUMPRODUCT((M470:R470&lt;&gt;"")*(LEN(TRIM(SUBSTITUTE(M470:R470,CHAR(160)," "))) - LEN(SUBSTITUTE(TRIM(SUBSTITUTE(M470:R470,CHAR(160)," "))," ","")) + 1)) &amp; " mot" &amp; IF(SUMPRODUCT((M470:R470&lt;&gt;"")*(LEN(TRIM(SUBSTITUTE(M470:R470,CHAR(160)," "))) - LEN(SUBSTITUTE(TRIM(SUBSTITUTE(M470:R470,CHAR(160)," "))," ","")) + 1))&gt;1,"s",""))</f>
        <v/>
      </c>
      <c r="K470" s="5550" t="str" cm="1">
        <f t="array" ref="K470">SUMPRODUCT(--(M470:R470&lt;&gt;""), LEN(TRIM(SUBSTITUTE(M470:R470, CHAR(160), "")))) &amp; " Car."</f>
        <v>0 Car.</v>
      </c>
      <c r="L470" s="1376" t="str">
        <f>IF(ISBLANK(M470),"",LARGE(L437:L469,1)+1)</f>
        <v/>
      </c>
      <c r="M470" s="1810"/>
      <c r="N470" s="1810"/>
      <c r="O470" s="1810"/>
      <c r="P470" s="1810"/>
      <c r="Q470" s="1810"/>
      <c r="R470" s="1810"/>
      <c r="S470" s="1810"/>
      <c r="T470" s="1810"/>
      <c r="U470" s="1811"/>
      <c r="W470" s="103" t="str">
        <f t="shared" si="101"/>
        <v>►</v>
      </c>
      <c r="X470" s="163" t="str">
        <f>X370</f>
        <v>N NAME OF YOUR RECIPE | paste it — FAMILY|  Author &gt; YOU</v>
      </c>
      <c r="Y470" s="163">
        <f>Y370</f>
        <v>1</v>
      </c>
      <c r="Z470" s="164" t="str">
        <f>Z370</f>
        <v>coupe</v>
      </c>
      <c r="AA470" s="165" t="str">
        <f>AA370</f>
        <v>Master recipe ► MILLE-FEUILLE  aux fraises des bois</v>
      </c>
      <c r="AB470" s="1548"/>
      <c r="AC470" s="1548"/>
      <c r="AD470" s="2190">
        <f>ROWS(AH438:AH470)</f>
        <v>33</v>
      </c>
      <c r="AE470" s="5549" t="str" cm="1">
        <f t="array" ref="AE470">IF(SUMPRODUCT((AH470:AM470&lt;&gt;"")*1)=0,"",SUMPRODUCT((AH470:AM470&lt;&gt;"")*(LEN(TRIM(SUBSTITUTE(AH470:AM470,CHAR(160)," "))) - LEN(SUBSTITUTE(TRIM(SUBSTITUTE(AH470:AM470,CHAR(160)," "))," ","")) + 1)) &amp; " word" &amp; IF(SUMPRODUCT((AH470:AM470&lt;&gt;"")*(LEN(TRIM(SUBSTITUTE(AH470:AM470,CHAR(160)," "))) - LEN(SUBSTITUTE(TRIM(SUBSTITUTE(AH470:AM470,CHAR(160)," "))," ","")) + 1))&gt;1,"s",""))</f>
        <v/>
      </c>
      <c r="AF470" s="5550" t="str" cm="1">
        <f t="array" ref="AF470">SUMPRODUCT(--(AH470:AM470&lt;&gt;""), LEN(TRIM(SUBSTITUTE(AH470:AM470, CHAR(160), "")))) &amp; " Car."</f>
        <v>0 Car.</v>
      </c>
      <c r="AG470" s="1376" t="str">
        <f>IF(ISBLANK(AH470),"",LARGE(AG437:AG469,1)+1)</f>
        <v/>
      </c>
      <c r="AH470" s="1833"/>
      <c r="AI470" s="1810"/>
      <c r="AJ470" s="1810"/>
      <c r="AK470" s="1810"/>
      <c r="AL470" s="1810"/>
      <c r="AM470" s="1810"/>
      <c r="AN470" s="1810"/>
      <c r="AO470" s="1810"/>
      <c r="AP470" s="1811"/>
      <c r="AR470" s="103" t="str">
        <f t="shared" si="102"/>
        <v>►</v>
      </c>
      <c r="AS470" s="163" t="str">
        <f>AS370</f>
        <v>N NOMBRE DE SU RECETA | pegue esto — FAMILIA| Auteur &gt; VOUS</v>
      </c>
      <c r="AT470" s="163">
        <f>AT370</f>
        <v>1</v>
      </c>
      <c r="AU470" s="164" t="str">
        <f>AU370</f>
        <v>coupe</v>
      </c>
      <c r="AV470" s="165" t="str">
        <f>AV370</f>
        <v>Receta madre ► MILLE-FEUILLE  aux fraises des bois</v>
      </c>
      <c r="AW470" s="1548"/>
      <c r="AX470" s="1548"/>
      <c r="AY470" s="2190">
        <f>ROWS(BC438:BC470)</f>
        <v>33</v>
      </c>
      <c r="AZ470" s="5549" t="str" cm="1">
        <f t="array" ref="AZ470">IF(SUMPRODUCT((BC470:BH470&lt;&gt;"")*1)=0,"",SUMPRODUCT((BC470:BH470&lt;&gt;"")*(LEN(TRIM(SUBSTITUTE(BC470:BH470,CHAR(160)," "))) - LEN(SUBSTITUTE(TRIM(SUBSTITUTE(BC470:BH470,CHAR(160)," "))," ","")) + 1)) &amp; " palabra" &amp; IF(SUMPRODUCT((BC470:BH470&lt;&gt;"")*(LEN(TRIM(SUBSTITUTE(BC470:BH470,CHAR(160)," "))) - LEN(SUBSTITUTE(TRIM(SUBSTITUTE(BC470:BH470,CHAR(160)," "))," ","")) + 1))&gt;1,"s",""))</f>
        <v/>
      </c>
      <c r="BA470" s="5550" t="str" cm="1">
        <f t="array" ref="BA470">SUMPRODUCT(--(BC470:BH470&lt;&gt;""), LEN(TRIM(SUBSTITUTE(BC470:BH470, CHAR(160), "")))) &amp; " Car."</f>
        <v>0 Car.</v>
      </c>
      <c r="BB470" s="1376" t="str">
        <f>IF(ISBLANK(BC470),"",LARGE(BB437:BB469,1)+1)</f>
        <v/>
      </c>
      <c r="BC470" s="1833"/>
      <c r="BD470" s="1810"/>
      <c r="BE470" s="1810"/>
      <c r="BF470" s="1810"/>
      <c r="BG470" s="1810"/>
      <c r="BH470" s="1810"/>
      <c r="BI470" s="1810"/>
      <c r="BJ470" s="1810"/>
      <c r="BK470" s="1811"/>
      <c r="BM470" s="3">
        <v>1</v>
      </c>
    </row>
    <row r="471" spans="2:65" ht="21" customHeight="1">
      <c r="B471" s="103" t="str">
        <f t="shared" si="100"/>
        <v>►</v>
      </c>
      <c r="C471" s="163" t="str">
        <f>C370</f>
        <v>MAJUSCULE(GAUCHE(J21;1))&amp;" "&amp;J21&amp;" | "&amp;S21&amp;"| "&amp;J23&amp;" "&amp;K23</v>
      </c>
      <c r="D471" s="163">
        <f>D370</f>
        <v>1</v>
      </c>
      <c r="E471" s="164" t="str">
        <f>E370</f>
        <v>coupe</v>
      </c>
      <c r="F471" s="165" t="str">
        <f>F370</f>
        <v>Recette mère ► MILLE-FEUILLE  aux fraises des bois</v>
      </c>
      <c r="G471" s="1548"/>
      <c r="H471" s="1548"/>
      <c r="I471" s="2190">
        <f>ROWS(M438:M471)</f>
        <v>34</v>
      </c>
      <c r="J471" s="5549" t="str" cm="1">
        <f t="array" ref="J471">IF(SUMPRODUCT((M471:R471&lt;&gt;"")*1)=0,"",SUMPRODUCT((M471:R471&lt;&gt;"")*(LEN(TRIM(SUBSTITUTE(M471:R471,CHAR(160)," "))) - LEN(SUBSTITUTE(TRIM(SUBSTITUTE(M471:R471,CHAR(160)," "))," ","")) + 1)) &amp; " mot" &amp; IF(SUMPRODUCT((M471:R471&lt;&gt;"")*(LEN(TRIM(SUBSTITUTE(M471:R471,CHAR(160)," "))) - LEN(SUBSTITUTE(TRIM(SUBSTITUTE(M471:R471,CHAR(160)," "))," ","")) + 1))&gt;1,"s",""))</f>
        <v/>
      </c>
      <c r="K471" s="5550" t="str" cm="1">
        <f t="array" ref="K471">SUMPRODUCT(--(M471:R471&lt;&gt;""), LEN(TRIM(SUBSTITUTE(M471:R471, CHAR(160), "")))) &amp; " Car."</f>
        <v>0 Car.</v>
      </c>
      <c r="L471" s="1376" t="str">
        <f>IF(ISBLANK(M471),"",LARGE(L437:L470,1)+1)</f>
        <v/>
      </c>
      <c r="M471" s="1810"/>
      <c r="N471" s="1810"/>
      <c r="O471" s="1810"/>
      <c r="P471" s="1810"/>
      <c r="Q471" s="1810"/>
      <c r="R471" s="1810"/>
      <c r="S471" s="1810"/>
      <c r="T471" s="1810"/>
      <c r="U471" s="1811"/>
      <c r="W471" s="103" t="str">
        <f t="shared" si="101"/>
        <v>►</v>
      </c>
      <c r="X471" s="163" t="str">
        <f>X370</f>
        <v>N NAME OF YOUR RECIPE | paste it — FAMILY|  Author &gt; YOU</v>
      </c>
      <c r="Y471" s="163">
        <f>Y370</f>
        <v>1</v>
      </c>
      <c r="Z471" s="164" t="str">
        <f>Z370</f>
        <v>coupe</v>
      </c>
      <c r="AA471" s="165" t="str">
        <f>AA370</f>
        <v>Master recipe ► MILLE-FEUILLE  aux fraises des bois</v>
      </c>
      <c r="AB471" s="1548"/>
      <c r="AC471" s="1548"/>
      <c r="AD471" s="2190">
        <f>ROWS(AH438:AH471)</f>
        <v>34</v>
      </c>
      <c r="AE471" s="5549" t="str" cm="1">
        <f t="array" ref="AE471">IF(SUMPRODUCT((AH471:AM471&lt;&gt;"")*1)=0,"",SUMPRODUCT((AH471:AM471&lt;&gt;"")*(LEN(TRIM(SUBSTITUTE(AH471:AM471,CHAR(160)," "))) - LEN(SUBSTITUTE(TRIM(SUBSTITUTE(AH471:AM471,CHAR(160)," "))," ","")) + 1)) &amp; " word" &amp; IF(SUMPRODUCT((AH471:AM471&lt;&gt;"")*(LEN(TRIM(SUBSTITUTE(AH471:AM471,CHAR(160)," "))) - LEN(SUBSTITUTE(TRIM(SUBSTITUTE(AH471:AM471,CHAR(160)," "))," ","")) + 1))&gt;1,"s",""))</f>
        <v/>
      </c>
      <c r="AF471" s="5550" t="str" cm="1">
        <f t="array" ref="AF471">SUMPRODUCT(--(AH471:AM471&lt;&gt;""), LEN(TRIM(SUBSTITUTE(AH471:AM471, CHAR(160), "")))) &amp; " Car."</f>
        <v>0 Car.</v>
      </c>
      <c r="AG471" s="1376" t="str">
        <f>IF(ISBLANK(AH471),"",LARGE(AG437:AG470,1)+1)</f>
        <v/>
      </c>
      <c r="AH471" s="1833"/>
      <c r="AI471" s="1810"/>
      <c r="AJ471" s="1810"/>
      <c r="AK471" s="1810"/>
      <c r="AL471" s="1810"/>
      <c r="AM471" s="1810"/>
      <c r="AN471" s="1810"/>
      <c r="AO471" s="1810"/>
      <c r="AP471" s="1811"/>
      <c r="AR471" s="103" t="str">
        <f t="shared" si="102"/>
        <v>►</v>
      </c>
      <c r="AS471" s="163" t="str">
        <f>AS370</f>
        <v>N NOMBRE DE SU RECETA | pegue esto — FAMILIA| Auteur &gt; VOUS</v>
      </c>
      <c r="AT471" s="163">
        <f>AT370</f>
        <v>1</v>
      </c>
      <c r="AU471" s="164" t="str">
        <f>AU370</f>
        <v>coupe</v>
      </c>
      <c r="AV471" s="165" t="str">
        <f>AV370</f>
        <v>Receta madre ► MILLE-FEUILLE  aux fraises des bois</v>
      </c>
      <c r="AW471" s="1548"/>
      <c r="AX471" s="1548"/>
      <c r="AY471" s="2190">
        <f>ROWS(BC438:BC471)</f>
        <v>34</v>
      </c>
      <c r="AZ471" s="5549" t="str" cm="1">
        <f t="array" ref="AZ471">IF(SUMPRODUCT((BC471:BH471&lt;&gt;"")*1)=0,"",SUMPRODUCT((BC471:BH471&lt;&gt;"")*(LEN(TRIM(SUBSTITUTE(BC471:BH471,CHAR(160)," "))) - LEN(SUBSTITUTE(TRIM(SUBSTITUTE(BC471:BH471,CHAR(160)," "))," ","")) + 1)) &amp; " palabra" &amp; IF(SUMPRODUCT((BC471:BH471&lt;&gt;"")*(LEN(TRIM(SUBSTITUTE(BC471:BH471,CHAR(160)," "))) - LEN(SUBSTITUTE(TRIM(SUBSTITUTE(BC471:BH471,CHAR(160)," "))," ","")) + 1))&gt;1,"s",""))</f>
        <v/>
      </c>
      <c r="BA471" s="5550" t="str" cm="1">
        <f t="array" ref="BA471">SUMPRODUCT(--(BC471:BH471&lt;&gt;""), LEN(TRIM(SUBSTITUTE(BC471:BH471, CHAR(160), "")))) &amp; " Car."</f>
        <v>0 Car.</v>
      </c>
      <c r="BB471" s="1376" t="str">
        <f>IF(ISBLANK(BC471),"",LARGE(BB437:BB470,1)+1)</f>
        <v/>
      </c>
      <c r="BC471" s="1833"/>
      <c r="BD471" s="1810"/>
      <c r="BE471" s="1810"/>
      <c r="BF471" s="1810"/>
      <c r="BG471" s="1810"/>
      <c r="BH471" s="1810"/>
      <c r="BI471" s="1810"/>
      <c r="BJ471" s="1810"/>
      <c r="BK471" s="1811"/>
      <c r="BM471" s="3">
        <v>1</v>
      </c>
    </row>
    <row r="472" spans="2:65" ht="21" customHeight="1">
      <c r="B472" s="103" t="str">
        <f t="shared" si="100"/>
        <v>►</v>
      </c>
      <c r="C472" s="163" t="str">
        <f>C370</f>
        <v>MAJUSCULE(GAUCHE(J21;1))&amp;" "&amp;J21&amp;" | "&amp;S21&amp;"| "&amp;J23&amp;" "&amp;K23</v>
      </c>
      <c r="D472" s="163">
        <f>D370</f>
        <v>1</v>
      </c>
      <c r="E472" s="164" t="str">
        <f>E370</f>
        <v>coupe</v>
      </c>
      <c r="F472" s="165" t="str">
        <f>F370</f>
        <v>Recette mère ► MILLE-FEUILLE  aux fraises des bois</v>
      </c>
      <c r="G472" s="1548"/>
      <c r="H472" s="1548"/>
      <c r="I472" s="2190">
        <f>ROWS(M438:M472)</f>
        <v>35</v>
      </c>
      <c r="J472" s="5549" t="str" cm="1">
        <f t="array" ref="J472">IF(SUMPRODUCT((M472:R472&lt;&gt;"")*1)=0,"",SUMPRODUCT((M472:R472&lt;&gt;"")*(LEN(TRIM(SUBSTITUTE(M472:R472,CHAR(160)," "))) - LEN(SUBSTITUTE(TRIM(SUBSTITUTE(M472:R472,CHAR(160)," "))," ","")) + 1)) &amp; " mot" &amp; IF(SUMPRODUCT((M472:R472&lt;&gt;"")*(LEN(TRIM(SUBSTITUTE(M472:R472,CHAR(160)," "))) - LEN(SUBSTITUTE(TRIM(SUBSTITUTE(M472:R472,CHAR(160)," "))," ","")) + 1))&gt;1,"s",""))</f>
        <v/>
      </c>
      <c r="K472" s="5550" t="str" cm="1">
        <f t="array" ref="K472">SUMPRODUCT(--(M472:R472&lt;&gt;""), LEN(TRIM(SUBSTITUTE(M472:R472, CHAR(160), "")))) &amp; " Car."</f>
        <v>0 Car.</v>
      </c>
      <c r="L472" s="1376" t="str">
        <f>IF(ISBLANK(M472),"",LARGE(L437:L471,1)+1)</f>
        <v/>
      </c>
      <c r="M472" s="1810"/>
      <c r="N472" s="1810"/>
      <c r="O472" s="1810"/>
      <c r="P472" s="1810"/>
      <c r="Q472" s="1810"/>
      <c r="R472" s="1810"/>
      <c r="S472" s="1810"/>
      <c r="T472" s="1810"/>
      <c r="U472" s="1811"/>
      <c r="W472" s="103" t="str">
        <f t="shared" si="101"/>
        <v>►</v>
      </c>
      <c r="X472" s="163" t="str">
        <f>X370</f>
        <v>N NAME OF YOUR RECIPE | paste it — FAMILY|  Author &gt; YOU</v>
      </c>
      <c r="Y472" s="163">
        <f>Y370</f>
        <v>1</v>
      </c>
      <c r="Z472" s="164" t="str">
        <f>Z370</f>
        <v>coupe</v>
      </c>
      <c r="AA472" s="165" t="str">
        <f>AA370</f>
        <v>Master recipe ► MILLE-FEUILLE  aux fraises des bois</v>
      </c>
      <c r="AB472" s="1548"/>
      <c r="AC472" s="1548"/>
      <c r="AD472" s="2190">
        <f>ROWS(AH438:AH472)</f>
        <v>35</v>
      </c>
      <c r="AE472" s="5549" t="str" cm="1">
        <f t="array" ref="AE472">IF(SUMPRODUCT((AH472:AM472&lt;&gt;"")*1)=0,"",SUMPRODUCT((AH472:AM472&lt;&gt;"")*(LEN(TRIM(SUBSTITUTE(AH472:AM472,CHAR(160)," "))) - LEN(SUBSTITUTE(TRIM(SUBSTITUTE(AH472:AM472,CHAR(160)," "))," ","")) + 1)) &amp; " word" &amp; IF(SUMPRODUCT((AH472:AM472&lt;&gt;"")*(LEN(TRIM(SUBSTITUTE(AH472:AM472,CHAR(160)," "))) - LEN(SUBSTITUTE(TRIM(SUBSTITUTE(AH472:AM472,CHAR(160)," "))," ","")) + 1))&gt;1,"s",""))</f>
        <v/>
      </c>
      <c r="AF472" s="5550" t="str" cm="1">
        <f t="array" ref="AF472">SUMPRODUCT(--(AH472:AM472&lt;&gt;""), LEN(TRIM(SUBSTITUTE(AH472:AM472, CHAR(160), "")))) &amp; " Car."</f>
        <v>0 Car.</v>
      </c>
      <c r="AG472" s="1376" t="str">
        <f>IF(ISBLANK(AH472),"",LARGE(AG437:AG471,1)+1)</f>
        <v/>
      </c>
      <c r="AH472" s="1833"/>
      <c r="AI472" s="1810"/>
      <c r="AJ472" s="1810"/>
      <c r="AK472" s="1810"/>
      <c r="AL472" s="1810"/>
      <c r="AM472" s="1810"/>
      <c r="AN472" s="1810"/>
      <c r="AO472" s="1810"/>
      <c r="AP472" s="1811"/>
      <c r="AR472" s="103" t="str">
        <f t="shared" si="102"/>
        <v>►</v>
      </c>
      <c r="AS472" s="163" t="str">
        <f>AS370</f>
        <v>N NOMBRE DE SU RECETA | pegue esto — FAMILIA| Auteur &gt; VOUS</v>
      </c>
      <c r="AT472" s="163">
        <f>AT370</f>
        <v>1</v>
      </c>
      <c r="AU472" s="164" t="str">
        <f>AU370</f>
        <v>coupe</v>
      </c>
      <c r="AV472" s="165" t="str">
        <f>AV370</f>
        <v>Receta madre ► MILLE-FEUILLE  aux fraises des bois</v>
      </c>
      <c r="AW472" s="1548"/>
      <c r="AX472" s="1548"/>
      <c r="AY472" s="2190">
        <f>ROWS(BC438:BC472)</f>
        <v>35</v>
      </c>
      <c r="AZ472" s="5549" t="str" cm="1">
        <f t="array" ref="AZ472">IF(SUMPRODUCT((BC472:BH472&lt;&gt;"")*1)=0,"",SUMPRODUCT((BC472:BH472&lt;&gt;"")*(LEN(TRIM(SUBSTITUTE(BC472:BH472,CHAR(160)," "))) - LEN(SUBSTITUTE(TRIM(SUBSTITUTE(BC472:BH472,CHAR(160)," "))," ","")) + 1)) &amp; " palabra" &amp; IF(SUMPRODUCT((BC472:BH472&lt;&gt;"")*(LEN(TRIM(SUBSTITUTE(BC472:BH472,CHAR(160)," "))) - LEN(SUBSTITUTE(TRIM(SUBSTITUTE(BC472:BH472,CHAR(160)," "))," ","")) + 1))&gt;1,"s",""))</f>
        <v/>
      </c>
      <c r="BA472" s="5550" t="str" cm="1">
        <f t="array" ref="BA472">SUMPRODUCT(--(BC472:BH472&lt;&gt;""), LEN(TRIM(SUBSTITUTE(BC472:BH472, CHAR(160), "")))) &amp; " Car."</f>
        <v>0 Car.</v>
      </c>
      <c r="BB472" s="1376" t="str">
        <f>IF(ISBLANK(BC472),"",LARGE(BB437:BB471,1)+1)</f>
        <v/>
      </c>
      <c r="BC472" s="1833"/>
      <c r="BD472" s="1810"/>
      <c r="BE472" s="1810"/>
      <c r="BF472" s="1810"/>
      <c r="BG472" s="1810"/>
      <c r="BH472" s="1810"/>
      <c r="BI472" s="1810"/>
      <c r="BJ472" s="1810"/>
      <c r="BK472" s="1811"/>
      <c r="BM472" s="3">
        <v>1</v>
      </c>
    </row>
    <row r="473" spans="2:65" ht="21" customHeight="1">
      <c r="B473" s="103" t="str">
        <f t="shared" si="100"/>
        <v>►</v>
      </c>
      <c r="C473" s="163" t="str">
        <f>C370</f>
        <v>MAJUSCULE(GAUCHE(J21;1))&amp;" "&amp;J21&amp;" | "&amp;S21&amp;"| "&amp;J23&amp;" "&amp;K23</v>
      </c>
      <c r="D473" s="163">
        <f>D370</f>
        <v>1</v>
      </c>
      <c r="E473" s="164" t="str">
        <f>E370</f>
        <v>coupe</v>
      </c>
      <c r="F473" s="165" t="str">
        <f>F370</f>
        <v>Recette mère ► MILLE-FEUILLE  aux fraises des bois</v>
      </c>
      <c r="G473" s="1548"/>
      <c r="H473" s="1548"/>
      <c r="I473" s="2190">
        <f>ROWS(M438:M473)</f>
        <v>36</v>
      </c>
      <c r="J473" s="5549" t="str" cm="1">
        <f t="array" ref="J473">IF(SUMPRODUCT((M473:R473&lt;&gt;"")*1)=0,"",SUMPRODUCT((M473:R473&lt;&gt;"")*(LEN(TRIM(SUBSTITUTE(M473:R473,CHAR(160)," "))) - LEN(SUBSTITUTE(TRIM(SUBSTITUTE(M473:R473,CHAR(160)," "))," ","")) + 1)) &amp; " mot" &amp; IF(SUMPRODUCT((M473:R473&lt;&gt;"")*(LEN(TRIM(SUBSTITUTE(M473:R473,CHAR(160)," "))) - LEN(SUBSTITUTE(TRIM(SUBSTITUTE(M473:R473,CHAR(160)," "))," ","")) + 1))&gt;1,"s",""))</f>
        <v/>
      </c>
      <c r="K473" s="5550" t="str" cm="1">
        <f t="array" ref="K473">SUMPRODUCT(--(M473:R473&lt;&gt;""), LEN(TRIM(SUBSTITUTE(M473:R473, CHAR(160), "")))) &amp; " Car."</f>
        <v>0 Car.</v>
      </c>
      <c r="L473" s="1376" t="str">
        <f>IF(ISBLANK(M473),"",LARGE(L437:L472,1)+1)</f>
        <v/>
      </c>
      <c r="M473" s="1810"/>
      <c r="N473" s="1810"/>
      <c r="O473" s="1810"/>
      <c r="P473" s="1810"/>
      <c r="Q473" s="1810"/>
      <c r="R473" s="1810"/>
      <c r="S473" s="1810"/>
      <c r="T473" s="1810"/>
      <c r="U473" s="1811"/>
      <c r="W473" s="103" t="str">
        <f t="shared" si="101"/>
        <v>►</v>
      </c>
      <c r="X473" s="163" t="str">
        <f>X370</f>
        <v>N NAME OF YOUR RECIPE | paste it — FAMILY|  Author &gt; YOU</v>
      </c>
      <c r="Y473" s="163">
        <f>Y370</f>
        <v>1</v>
      </c>
      <c r="Z473" s="164" t="str">
        <f>Z370</f>
        <v>coupe</v>
      </c>
      <c r="AA473" s="165" t="str">
        <f>AA370</f>
        <v>Master recipe ► MILLE-FEUILLE  aux fraises des bois</v>
      </c>
      <c r="AB473" s="1548"/>
      <c r="AC473" s="1548"/>
      <c r="AD473" s="2190">
        <f>ROWS(AH438:AH473)</f>
        <v>36</v>
      </c>
      <c r="AE473" s="5549" t="str" cm="1">
        <f t="array" ref="AE473">IF(SUMPRODUCT((AH473:AM473&lt;&gt;"")*1)=0,"",SUMPRODUCT((AH473:AM473&lt;&gt;"")*(LEN(TRIM(SUBSTITUTE(AH473:AM473,CHAR(160)," "))) - LEN(SUBSTITUTE(TRIM(SUBSTITUTE(AH473:AM473,CHAR(160)," "))," ","")) + 1)) &amp; " word" &amp; IF(SUMPRODUCT((AH473:AM473&lt;&gt;"")*(LEN(TRIM(SUBSTITUTE(AH473:AM473,CHAR(160)," "))) - LEN(SUBSTITUTE(TRIM(SUBSTITUTE(AH473:AM473,CHAR(160)," "))," ","")) + 1))&gt;1,"s",""))</f>
        <v/>
      </c>
      <c r="AF473" s="5550" t="str" cm="1">
        <f t="array" ref="AF473">SUMPRODUCT(--(AH473:AM473&lt;&gt;""), LEN(TRIM(SUBSTITUTE(AH473:AM473, CHAR(160), "")))) &amp; " Car."</f>
        <v>0 Car.</v>
      </c>
      <c r="AG473" s="1376" t="str">
        <f>IF(ISBLANK(AH473),"",LARGE(AG437:AG472,1)+1)</f>
        <v/>
      </c>
      <c r="AH473" s="1833"/>
      <c r="AI473" s="1810"/>
      <c r="AJ473" s="1810"/>
      <c r="AK473" s="1810"/>
      <c r="AL473" s="1810"/>
      <c r="AM473" s="1810"/>
      <c r="AN473" s="1810"/>
      <c r="AO473" s="1810"/>
      <c r="AP473" s="1811"/>
      <c r="AR473" s="103" t="str">
        <f t="shared" si="102"/>
        <v>►</v>
      </c>
      <c r="AS473" s="163" t="str">
        <f>AS370</f>
        <v>N NOMBRE DE SU RECETA | pegue esto — FAMILIA| Auteur &gt; VOUS</v>
      </c>
      <c r="AT473" s="163">
        <f>AT370</f>
        <v>1</v>
      </c>
      <c r="AU473" s="164" t="str">
        <f>AU370</f>
        <v>coupe</v>
      </c>
      <c r="AV473" s="165" t="str">
        <f>AV370</f>
        <v>Receta madre ► MILLE-FEUILLE  aux fraises des bois</v>
      </c>
      <c r="AW473" s="1548"/>
      <c r="AX473" s="1548"/>
      <c r="AY473" s="2190">
        <f>ROWS(BC438:BC473)</f>
        <v>36</v>
      </c>
      <c r="AZ473" s="5549" t="str" cm="1">
        <f t="array" ref="AZ473">IF(SUMPRODUCT((BC473:BH473&lt;&gt;"")*1)=0,"",SUMPRODUCT((BC473:BH473&lt;&gt;"")*(LEN(TRIM(SUBSTITUTE(BC473:BH473,CHAR(160)," "))) - LEN(SUBSTITUTE(TRIM(SUBSTITUTE(BC473:BH473,CHAR(160)," "))," ","")) + 1)) &amp; " palabra" &amp; IF(SUMPRODUCT((BC473:BH473&lt;&gt;"")*(LEN(TRIM(SUBSTITUTE(BC473:BH473,CHAR(160)," "))) - LEN(SUBSTITUTE(TRIM(SUBSTITUTE(BC473:BH473,CHAR(160)," "))," ","")) + 1))&gt;1,"s",""))</f>
        <v/>
      </c>
      <c r="BA473" s="5550" t="str" cm="1">
        <f t="array" ref="BA473">SUMPRODUCT(--(BC473:BH473&lt;&gt;""), LEN(TRIM(SUBSTITUTE(BC473:BH473, CHAR(160), "")))) &amp; " Car."</f>
        <v>0 Car.</v>
      </c>
      <c r="BB473" s="1376" t="str">
        <f>IF(ISBLANK(BC473),"",LARGE(BB437:BB472,1)+1)</f>
        <v/>
      </c>
      <c r="BC473" s="1833"/>
      <c r="BD473" s="1810"/>
      <c r="BE473" s="1810"/>
      <c r="BF473" s="1810"/>
      <c r="BG473" s="1810"/>
      <c r="BH473" s="1810"/>
      <c r="BI473" s="1810"/>
      <c r="BJ473" s="1810"/>
      <c r="BK473" s="1811"/>
      <c r="BM473" s="3">
        <v>1</v>
      </c>
    </row>
    <row r="474" spans="2:65" ht="21" customHeight="1">
      <c r="B474" s="103" t="str">
        <f t="shared" si="100"/>
        <v>►</v>
      </c>
      <c r="C474" s="163" t="str">
        <f>C370</f>
        <v>MAJUSCULE(GAUCHE(J21;1))&amp;" "&amp;J21&amp;" | "&amp;S21&amp;"| "&amp;J23&amp;" "&amp;K23</v>
      </c>
      <c r="D474" s="163">
        <f>D370</f>
        <v>1</v>
      </c>
      <c r="E474" s="164" t="str">
        <f>E370</f>
        <v>coupe</v>
      </c>
      <c r="F474" s="165" t="str">
        <f>F370</f>
        <v>Recette mère ► MILLE-FEUILLE  aux fraises des bois</v>
      </c>
      <c r="G474" s="1548"/>
      <c r="H474" s="1548"/>
      <c r="I474" s="2190">
        <f>ROWS(M438:M474)</f>
        <v>37</v>
      </c>
      <c r="J474" s="5549" t="str" cm="1">
        <f t="array" ref="J474">IF(SUMPRODUCT((M474:R474&lt;&gt;"")*1)=0,"",SUMPRODUCT((M474:R474&lt;&gt;"")*(LEN(TRIM(SUBSTITUTE(M474:R474,CHAR(160)," "))) - LEN(SUBSTITUTE(TRIM(SUBSTITUTE(M474:R474,CHAR(160)," "))," ","")) + 1)) &amp; " mot" &amp; IF(SUMPRODUCT((M474:R474&lt;&gt;"")*(LEN(TRIM(SUBSTITUTE(M474:R474,CHAR(160)," "))) - LEN(SUBSTITUTE(TRIM(SUBSTITUTE(M474:R474,CHAR(160)," "))," ","")) + 1))&gt;1,"s",""))</f>
        <v/>
      </c>
      <c r="K474" s="5550" t="str" cm="1">
        <f t="array" ref="K474">SUMPRODUCT(--(M474:R474&lt;&gt;""), LEN(TRIM(SUBSTITUTE(M474:R474, CHAR(160), "")))) &amp; " Car."</f>
        <v>0 Car.</v>
      </c>
      <c r="L474" s="1376" t="str">
        <f>IF(ISBLANK(M474),"",LARGE(L437:L473,1)+1)</f>
        <v/>
      </c>
      <c r="M474" s="1810"/>
      <c r="N474" s="1810"/>
      <c r="O474" s="1810"/>
      <c r="P474" s="1810"/>
      <c r="Q474" s="1810"/>
      <c r="R474" s="1810"/>
      <c r="S474" s="1810"/>
      <c r="T474" s="1810"/>
      <c r="U474" s="1811"/>
      <c r="W474" s="103" t="str">
        <f t="shared" si="101"/>
        <v>►</v>
      </c>
      <c r="X474" s="163" t="str">
        <f>X370</f>
        <v>N NAME OF YOUR RECIPE | paste it — FAMILY|  Author &gt; YOU</v>
      </c>
      <c r="Y474" s="163">
        <f>Y370</f>
        <v>1</v>
      </c>
      <c r="Z474" s="164" t="str">
        <f>Z370</f>
        <v>coupe</v>
      </c>
      <c r="AA474" s="165" t="str">
        <f>AA370</f>
        <v>Master recipe ► MILLE-FEUILLE  aux fraises des bois</v>
      </c>
      <c r="AB474" s="1548"/>
      <c r="AC474" s="1548"/>
      <c r="AD474" s="2190">
        <f>ROWS(AH438:AH474)</f>
        <v>37</v>
      </c>
      <c r="AE474" s="5549" t="str" cm="1">
        <f t="array" ref="AE474">IF(SUMPRODUCT((AH474:AM474&lt;&gt;"")*1)=0,"",SUMPRODUCT((AH474:AM474&lt;&gt;"")*(LEN(TRIM(SUBSTITUTE(AH474:AM474,CHAR(160)," "))) - LEN(SUBSTITUTE(TRIM(SUBSTITUTE(AH474:AM474,CHAR(160)," "))," ","")) + 1)) &amp; " word" &amp; IF(SUMPRODUCT((AH474:AM474&lt;&gt;"")*(LEN(TRIM(SUBSTITUTE(AH474:AM474,CHAR(160)," "))) - LEN(SUBSTITUTE(TRIM(SUBSTITUTE(AH474:AM474,CHAR(160)," "))," ","")) + 1))&gt;1,"s",""))</f>
        <v/>
      </c>
      <c r="AF474" s="5550" t="str" cm="1">
        <f t="array" ref="AF474">SUMPRODUCT(--(AH474:AM474&lt;&gt;""), LEN(TRIM(SUBSTITUTE(AH474:AM474, CHAR(160), "")))) &amp; " Car."</f>
        <v>0 Car.</v>
      </c>
      <c r="AG474" s="1376" t="str">
        <f>IF(ISBLANK(AH474),"",LARGE(AG437:AG473,1)+1)</f>
        <v/>
      </c>
      <c r="AH474" s="1833"/>
      <c r="AI474" s="1810"/>
      <c r="AJ474" s="1810"/>
      <c r="AK474" s="1810"/>
      <c r="AL474" s="1810"/>
      <c r="AM474" s="1810"/>
      <c r="AN474" s="1810"/>
      <c r="AO474" s="1810"/>
      <c r="AP474" s="1811"/>
      <c r="AR474" s="103" t="str">
        <f t="shared" si="102"/>
        <v>►</v>
      </c>
      <c r="AS474" s="163" t="str">
        <f>AS370</f>
        <v>N NOMBRE DE SU RECETA | pegue esto — FAMILIA| Auteur &gt; VOUS</v>
      </c>
      <c r="AT474" s="163">
        <f>AT370</f>
        <v>1</v>
      </c>
      <c r="AU474" s="164" t="str">
        <f>AU370</f>
        <v>coupe</v>
      </c>
      <c r="AV474" s="165" t="str">
        <f>AV370</f>
        <v>Receta madre ► MILLE-FEUILLE  aux fraises des bois</v>
      </c>
      <c r="AW474" s="1548"/>
      <c r="AX474" s="1548"/>
      <c r="AY474" s="2190">
        <f>ROWS(BC438:BC474)</f>
        <v>37</v>
      </c>
      <c r="AZ474" s="5549" t="str" cm="1">
        <f t="array" ref="AZ474">IF(SUMPRODUCT((BC474:BH474&lt;&gt;"")*1)=0,"",SUMPRODUCT((BC474:BH474&lt;&gt;"")*(LEN(TRIM(SUBSTITUTE(BC474:BH474,CHAR(160)," "))) - LEN(SUBSTITUTE(TRIM(SUBSTITUTE(BC474:BH474,CHAR(160)," "))," ","")) + 1)) &amp; " palabra" &amp; IF(SUMPRODUCT((BC474:BH474&lt;&gt;"")*(LEN(TRIM(SUBSTITUTE(BC474:BH474,CHAR(160)," "))) - LEN(SUBSTITUTE(TRIM(SUBSTITUTE(BC474:BH474,CHAR(160)," "))," ","")) + 1))&gt;1,"s",""))</f>
        <v/>
      </c>
      <c r="BA474" s="5550" t="str" cm="1">
        <f t="array" ref="BA474">SUMPRODUCT(--(BC474:BH474&lt;&gt;""), LEN(TRIM(SUBSTITUTE(BC474:BH474, CHAR(160), "")))) &amp; " Car."</f>
        <v>0 Car.</v>
      </c>
      <c r="BB474" s="1376" t="str">
        <f>IF(ISBLANK(BC474),"",LARGE(BB437:BB473,1)+1)</f>
        <v/>
      </c>
      <c r="BC474" s="1833"/>
      <c r="BD474" s="1810"/>
      <c r="BE474" s="1810"/>
      <c r="BF474" s="1810"/>
      <c r="BG474" s="1810"/>
      <c r="BH474" s="1810"/>
      <c r="BI474" s="1810"/>
      <c r="BJ474" s="1810"/>
      <c r="BK474" s="1811"/>
      <c r="BM474" s="3">
        <v>1</v>
      </c>
    </row>
    <row r="475" spans="2:65" ht="21" customHeight="1">
      <c r="B475" s="103" t="str">
        <f t="shared" si="100"/>
        <v>►</v>
      </c>
      <c r="C475" s="163" t="str">
        <f>C370</f>
        <v>MAJUSCULE(GAUCHE(J21;1))&amp;" "&amp;J21&amp;" | "&amp;S21&amp;"| "&amp;J23&amp;" "&amp;K23</v>
      </c>
      <c r="D475" s="163">
        <f>D370</f>
        <v>1</v>
      </c>
      <c r="E475" s="164" t="str">
        <f>E370</f>
        <v>coupe</v>
      </c>
      <c r="F475" s="165" t="str">
        <f>F370</f>
        <v>Recette mère ► MILLE-FEUILLE  aux fraises des bois</v>
      </c>
      <c r="G475" s="1548"/>
      <c r="H475" s="1548"/>
      <c r="I475" s="2190">
        <f>ROWS(M438:M475)</f>
        <v>38</v>
      </c>
      <c r="J475" s="5549" t="str" cm="1">
        <f t="array" ref="J475">IF(SUMPRODUCT((M475:R475&lt;&gt;"")*1)=0,"",SUMPRODUCT((M475:R475&lt;&gt;"")*(LEN(TRIM(SUBSTITUTE(M475:R475,CHAR(160)," "))) - LEN(SUBSTITUTE(TRIM(SUBSTITUTE(M475:R475,CHAR(160)," "))," ","")) + 1)) &amp; " mot" &amp; IF(SUMPRODUCT((M475:R475&lt;&gt;"")*(LEN(TRIM(SUBSTITUTE(M475:R475,CHAR(160)," "))) - LEN(SUBSTITUTE(TRIM(SUBSTITUTE(M475:R475,CHAR(160)," "))," ","")) + 1))&gt;1,"s",""))</f>
        <v/>
      </c>
      <c r="K475" s="5550" t="str" cm="1">
        <f t="array" ref="K475">SUMPRODUCT(--(M475:R475&lt;&gt;""), LEN(TRIM(SUBSTITUTE(M475:R475, CHAR(160), "")))) &amp; " Car."</f>
        <v>0 Car.</v>
      </c>
      <c r="L475" s="1376" t="str">
        <f>IF(ISBLANK(M475),"",LARGE(L437:L474,1)+1)</f>
        <v/>
      </c>
      <c r="M475" s="1810"/>
      <c r="N475" s="1810"/>
      <c r="O475" s="1810"/>
      <c r="P475" s="1810"/>
      <c r="Q475" s="1810"/>
      <c r="R475" s="1810"/>
      <c r="S475" s="1810"/>
      <c r="T475" s="1810"/>
      <c r="U475" s="1811"/>
      <c r="W475" s="103" t="str">
        <f t="shared" si="101"/>
        <v>►</v>
      </c>
      <c r="X475" s="163" t="str">
        <f>X370</f>
        <v>N NAME OF YOUR RECIPE | paste it — FAMILY|  Author &gt; YOU</v>
      </c>
      <c r="Y475" s="163">
        <f>Y370</f>
        <v>1</v>
      </c>
      <c r="Z475" s="164" t="str">
        <f>Z370</f>
        <v>coupe</v>
      </c>
      <c r="AA475" s="165" t="str">
        <f>AA370</f>
        <v>Master recipe ► MILLE-FEUILLE  aux fraises des bois</v>
      </c>
      <c r="AB475" s="1548"/>
      <c r="AC475" s="1548"/>
      <c r="AD475" s="2190">
        <f>ROWS(AH438:AH475)</f>
        <v>38</v>
      </c>
      <c r="AE475" s="5549" t="str" cm="1">
        <f t="array" ref="AE475">IF(SUMPRODUCT((AH475:AM475&lt;&gt;"")*1)=0,"",SUMPRODUCT((AH475:AM475&lt;&gt;"")*(LEN(TRIM(SUBSTITUTE(AH475:AM475,CHAR(160)," "))) - LEN(SUBSTITUTE(TRIM(SUBSTITUTE(AH475:AM475,CHAR(160)," "))," ","")) + 1)) &amp; " word" &amp; IF(SUMPRODUCT((AH475:AM475&lt;&gt;"")*(LEN(TRIM(SUBSTITUTE(AH475:AM475,CHAR(160)," "))) - LEN(SUBSTITUTE(TRIM(SUBSTITUTE(AH475:AM475,CHAR(160)," "))," ","")) + 1))&gt;1,"s",""))</f>
        <v/>
      </c>
      <c r="AF475" s="5550" t="str" cm="1">
        <f t="array" ref="AF475">SUMPRODUCT(--(AH475:AM475&lt;&gt;""), LEN(TRIM(SUBSTITUTE(AH475:AM475, CHAR(160), "")))) &amp; " Car."</f>
        <v>0 Car.</v>
      </c>
      <c r="AG475" s="1376" t="str">
        <f>IF(ISBLANK(AH475),"",LARGE(AG437:AG474,1)+1)</f>
        <v/>
      </c>
      <c r="AH475" s="1833"/>
      <c r="AI475" s="1810"/>
      <c r="AJ475" s="1810"/>
      <c r="AK475" s="1810"/>
      <c r="AL475" s="1810"/>
      <c r="AM475" s="1810"/>
      <c r="AN475" s="1810"/>
      <c r="AO475" s="1810"/>
      <c r="AP475" s="1811"/>
      <c r="AR475" s="103" t="str">
        <f t="shared" si="102"/>
        <v>►</v>
      </c>
      <c r="AS475" s="163" t="str">
        <f>AS370</f>
        <v>N NOMBRE DE SU RECETA | pegue esto — FAMILIA| Auteur &gt; VOUS</v>
      </c>
      <c r="AT475" s="163">
        <f>AT370</f>
        <v>1</v>
      </c>
      <c r="AU475" s="164" t="str">
        <f>AU370</f>
        <v>coupe</v>
      </c>
      <c r="AV475" s="165" t="str">
        <f>AV370</f>
        <v>Receta madre ► MILLE-FEUILLE  aux fraises des bois</v>
      </c>
      <c r="AW475" s="1548"/>
      <c r="AX475" s="1548"/>
      <c r="AY475" s="2190">
        <f>ROWS(BC438:BC475)</f>
        <v>38</v>
      </c>
      <c r="AZ475" s="5549" t="str" cm="1">
        <f t="array" ref="AZ475">IF(SUMPRODUCT((BC475:BH475&lt;&gt;"")*1)=0,"",SUMPRODUCT((BC475:BH475&lt;&gt;"")*(LEN(TRIM(SUBSTITUTE(BC475:BH475,CHAR(160)," "))) - LEN(SUBSTITUTE(TRIM(SUBSTITUTE(BC475:BH475,CHAR(160)," "))," ","")) + 1)) &amp; " palabra" &amp; IF(SUMPRODUCT((BC475:BH475&lt;&gt;"")*(LEN(TRIM(SUBSTITUTE(BC475:BH475,CHAR(160)," "))) - LEN(SUBSTITUTE(TRIM(SUBSTITUTE(BC475:BH475,CHAR(160)," "))," ","")) + 1))&gt;1,"s",""))</f>
        <v/>
      </c>
      <c r="BA475" s="5550" t="str" cm="1">
        <f t="array" ref="BA475">SUMPRODUCT(--(BC475:BH475&lt;&gt;""), LEN(TRIM(SUBSTITUTE(BC475:BH475, CHAR(160), "")))) &amp; " Car."</f>
        <v>0 Car.</v>
      </c>
      <c r="BB475" s="1376" t="str">
        <f>IF(ISBLANK(BC475),"",LARGE(BB437:BB474,1)+1)</f>
        <v/>
      </c>
      <c r="BC475" s="1833"/>
      <c r="BD475" s="1810"/>
      <c r="BE475" s="1810"/>
      <c r="BF475" s="1810"/>
      <c r="BG475" s="1810"/>
      <c r="BH475" s="1810"/>
      <c r="BI475" s="1810"/>
      <c r="BJ475" s="1810"/>
      <c r="BK475" s="1811"/>
      <c r="BM475" s="3">
        <v>1</v>
      </c>
    </row>
    <row r="476" spans="2:65" ht="21" customHeight="1">
      <c r="B476" s="103" t="str">
        <f t="shared" si="100"/>
        <v>►</v>
      </c>
      <c r="C476" s="163" t="str">
        <f>C370</f>
        <v>MAJUSCULE(GAUCHE(J21;1))&amp;" "&amp;J21&amp;" | "&amp;S21&amp;"| "&amp;J23&amp;" "&amp;K23</v>
      </c>
      <c r="D476" s="163">
        <f>D370</f>
        <v>1</v>
      </c>
      <c r="E476" s="164" t="str">
        <f>E370</f>
        <v>coupe</v>
      </c>
      <c r="F476" s="165" t="str">
        <f>F370</f>
        <v>Recette mère ► MILLE-FEUILLE  aux fraises des bois</v>
      </c>
      <c r="G476" s="1548"/>
      <c r="H476" s="1548"/>
      <c r="I476" s="2190">
        <f>ROWS(M438:M476)</f>
        <v>39</v>
      </c>
      <c r="J476" s="5549" t="str" cm="1">
        <f t="array" ref="J476">IF(SUMPRODUCT((M476:R476&lt;&gt;"")*1)=0,"",SUMPRODUCT((M476:R476&lt;&gt;"")*(LEN(TRIM(SUBSTITUTE(M476:R476,CHAR(160)," "))) - LEN(SUBSTITUTE(TRIM(SUBSTITUTE(M476:R476,CHAR(160)," "))," ","")) + 1)) &amp; " mot" &amp; IF(SUMPRODUCT((M476:R476&lt;&gt;"")*(LEN(TRIM(SUBSTITUTE(M476:R476,CHAR(160)," "))) - LEN(SUBSTITUTE(TRIM(SUBSTITUTE(M476:R476,CHAR(160)," "))," ","")) + 1))&gt;1,"s",""))</f>
        <v/>
      </c>
      <c r="K476" s="5550" t="str" cm="1">
        <f t="array" ref="K476">SUMPRODUCT(--(M476:R476&lt;&gt;""), LEN(TRIM(SUBSTITUTE(M476:R476, CHAR(160), "")))) &amp; " Car."</f>
        <v>0 Car.</v>
      </c>
      <c r="L476" s="1376" t="str">
        <f>IF(ISBLANK(M476),"",LARGE(L437:L475,1)+1)</f>
        <v/>
      </c>
      <c r="M476" s="1810"/>
      <c r="N476" s="1810"/>
      <c r="O476" s="1810"/>
      <c r="P476" s="1810"/>
      <c r="Q476" s="1810"/>
      <c r="R476" s="1810"/>
      <c r="S476" s="1810"/>
      <c r="T476" s="1810"/>
      <c r="U476" s="1811"/>
      <c r="W476" s="103" t="str">
        <f t="shared" si="101"/>
        <v>►</v>
      </c>
      <c r="X476" s="163" t="str">
        <f>X370</f>
        <v>N NAME OF YOUR RECIPE | paste it — FAMILY|  Author &gt; YOU</v>
      </c>
      <c r="Y476" s="163">
        <f>Y370</f>
        <v>1</v>
      </c>
      <c r="Z476" s="164" t="str">
        <f>Z370</f>
        <v>coupe</v>
      </c>
      <c r="AA476" s="165" t="str">
        <f>AA370</f>
        <v>Master recipe ► MILLE-FEUILLE  aux fraises des bois</v>
      </c>
      <c r="AB476" s="1548"/>
      <c r="AC476" s="1548"/>
      <c r="AD476" s="2190">
        <f>ROWS(AH438:AH476)</f>
        <v>39</v>
      </c>
      <c r="AE476" s="5549" t="str" cm="1">
        <f t="array" ref="AE476">IF(SUMPRODUCT((AH476:AM476&lt;&gt;"")*1)=0,"",SUMPRODUCT((AH476:AM476&lt;&gt;"")*(LEN(TRIM(SUBSTITUTE(AH476:AM476,CHAR(160)," "))) - LEN(SUBSTITUTE(TRIM(SUBSTITUTE(AH476:AM476,CHAR(160)," "))," ","")) + 1)) &amp; " word" &amp; IF(SUMPRODUCT((AH476:AM476&lt;&gt;"")*(LEN(TRIM(SUBSTITUTE(AH476:AM476,CHAR(160)," "))) - LEN(SUBSTITUTE(TRIM(SUBSTITUTE(AH476:AM476,CHAR(160)," "))," ","")) + 1))&gt;1,"s",""))</f>
        <v/>
      </c>
      <c r="AF476" s="5550" t="str" cm="1">
        <f t="array" ref="AF476">SUMPRODUCT(--(AH476:AM476&lt;&gt;""), LEN(TRIM(SUBSTITUTE(AH476:AM476, CHAR(160), "")))) &amp; " Car."</f>
        <v>0 Car.</v>
      </c>
      <c r="AG476" s="1376" t="str">
        <f>IF(ISBLANK(AH476),"",LARGE(AG437:AG475,1)+1)</f>
        <v/>
      </c>
      <c r="AH476" s="1833"/>
      <c r="AI476" s="1810"/>
      <c r="AJ476" s="1810"/>
      <c r="AK476" s="1810"/>
      <c r="AL476" s="1810"/>
      <c r="AM476" s="1810"/>
      <c r="AN476" s="1810"/>
      <c r="AO476" s="1810"/>
      <c r="AP476" s="1811"/>
      <c r="AR476" s="103" t="str">
        <f t="shared" si="102"/>
        <v>►</v>
      </c>
      <c r="AS476" s="163" t="str">
        <f>AS370</f>
        <v>N NOMBRE DE SU RECETA | pegue esto — FAMILIA| Auteur &gt; VOUS</v>
      </c>
      <c r="AT476" s="163">
        <f>AT370</f>
        <v>1</v>
      </c>
      <c r="AU476" s="164" t="str">
        <f>AU370</f>
        <v>coupe</v>
      </c>
      <c r="AV476" s="165" t="str">
        <f>AV370</f>
        <v>Receta madre ► MILLE-FEUILLE  aux fraises des bois</v>
      </c>
      <c r="AW476" s="1548"/>
      <c r="AX476" s="1548"/>
      <c r="AY476" s="2190">
        <f>ROWS(BC438:BC476)</f>
        <v>39</v>
      </c>
      <c r="AZ476" s="5549" t="str" cm="1">
        <f t="array" ref="AZ476">IF(SUMPRODUCT((BC476:BH476&lt;&gt;"")*1)=0,"",SUMPRODUCT((BC476:BH476&lt;&gt;"")*(LEN(TRIM(SUBSTITUTE(BC476:BH476,CHAR(160)," "))) - LEN(SUBSTITUTE(TRIM(SUBSTITUTE(BC476:BH476,CHAR(160)," "))," ","")) + 1)) &amp; " palabra" &amp; IF(SUMPRODUCT((BC476:BH476&lt;&gt;"")*(LEN(TRIM(SUBSTITUTE(BC476:BH476,CHAR(160)," "))) - LEN(SUBSTITUTE(TRIM(SUBSTITUTE(BC476:BH476,CHAR(160)," "))," ","")) + 1))&gt;1,"s",""))</f>
        <v/>
      </c>
      <c r="BA476" s="5550" t="str" cm="1">
        <f t="array" ref="BA476">SUMPRODUCT(--(BC476:BH476&lt;&gt;""), LEN(TRIM(SUBSTITUTE(BC476:BH476, CHAR(160), "")))) &amp; " Car."</f>
        <v>0 Car.</v>
      </c>
      <c r="BB476" s="1376" t="str">
        <f>IF(ISBLANK(BC476),"",LARGE(BB437:BB475,1)+1)</f>
        <v/>
      </c>
      <c r="BC476" s="1833"/>
      <c r="BD476" s="1810"/>
      <c r="BE476" s="1810"/>
      <c r="BF476" s="1810"/>
      <c r="BG476" s="1810"/>
      <c r="BH476" s="1810"/>
      <c r="BI476" s="1810"/>
      <c r="BJ476" s="1810"/>
      <c r="BK476" s="1811"/>
      <c r="BM476" s="3">
        <v>1</v>
      </c>
    </row>
    <row r="477" spans="2:65" ht="21" customHeight="1">
      <c r="B477" s="103" t="str">
        <f t="shared" si="100"/>
        <v>►</v>
      </c>
      <c r="C477" s="163" t="str">
        <f>C370</f>
        <v>MAJUSCULE(GAUCHE(J21;1))&amp;" "&amp;J21&amp;" | "&amp;S21&amp;"| "&amp;J23&amp;" "&amp;K23</v>
      </c>
      <c r="D477" s="163">
        <f>D370</f>
        <v>1</v>
      </c>
      <c r="E477" s="164" t="str">
        <f>E370</f>
        <v>coupe</v>
      </c>
      <c r="F477" s="165" t="str">
        <f>F370</f>
        <v>Recette mère ► MILLE-FEUILLE  aux fraises des bois</v>
      </c>
      <c r="G477" s="1548"/>
      <c r="H477" s="1548"/>
      <c r="I477" s="2190">
        <f>ROWS(M438:M477)</f>
        <v>40</v>
      </c>
      <c r="J477" s="5549" t="str" cm="1">
        <f t="array" ref="J477">IF(SUMPRODUCT((M477:R477&lt;&gt;"")*1)=0,"",SUMPRODUCT((M477:R477&lt;&gt;"")*(LEN(TRIM(SUBSTITUTE(M477:R477,CHAR(160)," "))) - LEN(SUBSTITUTE(TRIM(SUBSTITUTE(M477:R477,CHAR(160)," "))," ","")) + 1)) &amp; " mot" &amp; IF(SUMPRODUCT((M477:R477&lt;&gt;"")*(LEN(TRIM(SUBSTITUTE(M477:R477,CHAR(160)," "))) - LEN(SUBSTITUTE(TRIM(SUBSTITUTE(M477:R477,CHAR(160)," "))," ","")) + 1))&gt;1,"s",""))</f>
        <v/>
      </c>
      <c r="K477" s="5550" t="str" cm="1">
        <f t="array" ref="K477">SUMPRODUCT(--(M477:R477&lt;&gt;""), LEN(TRIM(SUBSTITUTE(M477:R477, CHAR(160), "")))) &amp; " Car."</f>
        <v>0 Car.</v>
      </c>
      <c r="L477" s="1376" t="str">
        <f>IF(ISBLANK(M477),"",LARGE(L437:L476,1)+1)</f>
        <v/>
      </c>
      <c r="M477" s="1810"/>
      <c r="N477" s="1810"/>
      <c r="O477" s="1810"/>
      <c r="P477" s="1810"/>
      <c r="Q477" s="1810"/>
      <c r="R477" s="1810"/>
      <c r="S477" s="1810"/>
      <c r="T477" s="1810"/>
      <c r="U477" s="1811"/>
      <c r="W477" s="103" t="str">
        <f t="shared" si="101"/>
        <v>►</v>
      </c>
      <c r="X477" s="163" t="str">
        <f>X370</f>
        <v>N NAME OF YOUR RECIPE | paste it — FAMILY|  Author &gt; YOU</v>
      </c>
      <c r="Y477" s="163">
        <f>Y370</f>
        <v>1</v>
      </c>
      <c r="Z477" s="164" t="str">
        <f>Z370</f>
        <v>coupe</v>
      </c>
      <c r="AA477" s="165" t="str">
        <f>AA370</f>
        <v>Master recipe ► MILLE-FEUILLE  aux fraises des bois</v>
      </c>
      <c r="AB477" s="1548"/>
      <c r="AC477" s="1548"/>
      <c r="AD477" s="2190">
        <f>ROWS(AH438:AH477)</f>
        <v>40</v>
      </c>
      <c r="AE477" s="5549" t="str" cm="1">
        <f t="array" ref="AE477">IF(SUMPRODUCT((AH477:AM477&lt;&gt;"")*1)=0,"",SUMPRODUCT((AH477:AM477&lt;&gt;"")*(LEN(TRIM(SUBSTITUTE(AH477:AM477,CHAR(160)," "))) - LEN(SUBSTITUTE(TRIM(SUBSTITUTE(AH477:AM477,CHAR(160)," "))," ","")) + 1)) &amp; " word" &amp; IF(SUMPRODUCT((AH477:AM477&lt;&gt;"")*(LEN(TRIM(SUBSTITUTE(AH477:AM477,CHAR(160)," "))) - LEN(SUBSTITUTE(TRIM(SUBSTITUTE(AH477:AM477,CHAR(160)," "))," ","")) + 1))&gt;1,"s",""))</f>
        <v/>
      </c>
      <c r="AF477" s="5550" t="str" cm="1">
        <f t="array" ref="AF477">SUMPRODUCT(--(AH477:AM477&lt;&gt;""), LEN(TRIM(SUBSTITUTE(AH477:AM477, CHAR(160), "")))) &amp; " Car."</f>
        <v>0 Car.</v>
      </c>
      <c r="AG477" s="1376" t="str">
        <f>IF(ISBLANK(AH477),"",LARGE(AG437:AG476,1)+1)</f>
        <v/>
      </c>
      <c r="AH477" s="1833"/>
      <c r="AI477" s="1810"/>
      <c r="AJ477" s="1810"/>
      <c r="AK477" s="1810"/>
      <c r="AL477" s="1810"/>
      <c r="AM477" s="1810"/>
      <c r="AN477" s="1810"/>
      <c r="AO477" s="1810"/>
      <c r="AP477" s="1811"/>
      <c r="AR477" s="103" t="str">
        <f t="shared" si="102"/>
        <v>►</v>
      </c>
      <c r="AS477" s="163" t="str">
        <f>AS370</f>
        <v>N NOMBRE DE SU RECETA | pegue esto — FAMILIA| Auteur &gt; VOUS</v>
      </c>
      <c r="AT477" s="163">
        <f>AT370</f>
        <v>1</v>
      </c>
      <c r="AU477" s="164" t="str">
        <f>AU370</f>
        <v>coupe</v>
      </c>
      <c r="AV477" s="165" t="str">
        <f>AV370</f>
        <v>Receta madre ► MILLE-FEUILLE  aux fraises des bois</v>
      </c>
      <c r="AW477" s="1548"/>
      <c r="AX477" s="1548"/>
      <c r="AY477" s="2190">
        <f>ROWS(BC438:BC477)</f>
        <v>40</v>
      </c>
      <c r="AZ477" s="5549" t="str" cm="1">
        <f t="array" ref="AZ477">IF(SUMPRODUCT((BC477:BH477&lt;&gt;"")*1)=0,"",SUMPRODUCT((BC477:BH477&lt;&gt;"")*(LEN(TRIM(SUBSTITUTE(BC477:BH477,CHAR(160)," "))) - LEN(SUBSTITUTE(TRIM(SUBSTITUTE(BC477:BH477,CHAR(160)," "))," ","")) + 1)) &amp; " palabra" &amp; IF(SUMPRODUCT((BC477:BH477&lt;&gt;"")*(LEN(TRIM(SUBSTITUTE(BC477:BH477,CHAR(160)," "))) - LEN(SUBSTITUTE(TRIM(SUBSTITUTE(BC477:BH477,CHAR(160)," "))," ","")) + 1))&gt;1,"s",""))</f>
        <v/>
      </c>
      <c r="BA477" s="5550" t="str" cm="1">
        <f t="array" ref="BA477">SUMPRODUCT(--(BC477:BH477&lt;&gt;""), LEN(TRIM(SUBSTITUTE(BC477:BH477, CHAR(160), "")))) &amp; " Car."</f>
        <v>0 Car.</v>
      </c>
      <c r="BB477" s="1376" t="str">
        <f>IF(ISBLANK(BC477),"",LARGE(BB437:BB476,1)+1)</f>
        <v/>
      </c>
      <c r="BC477" s="1833"/>
      <c r="BD477" s="1810"/>
      <c r="BE477" s="1810"/>
      <c r="BF477" s="1810"/>
      <c r="BG477" s="1810"/>
      <c r="BH477" s="1810"/>
      <c r="BI477" s="1810"/>
      <c r="BJ477" s="1810"/>
      <c r="BK477" s="1811"/>
      <c r="BM477" s="3">
        <v>1</v>
      </c>
    </row>
    <row r="478" spans="2:65" ht="21" customHeight="1">
      <c r="B478" s="103" t="str">
        <f t="shared" si="100"/>
        <v>►</v>
      </c>
      <c r="C478" s="163" t="str">
        <f>C370</f>
        <v>MAJUSCULE(GAUCHE(J21;1))&amp;" "&amp;J21&amp;" | "&amp;S21&amp;"| "&amp;J23&amp;" "&amp;K23</v>
      </c>
      <c r="D478" s="163">
        <f>D370</f>
        <v>1</v>
      </c>
      <c r="E478" s="164" t="str">
        <f>E370</f>
        <v>coupe</v>
      </c>
      <c r="F478" s="165" t="str">
        <f>F370</f>
        <v>Recette mère ► MILLE-FEUILLE  aux fraises des bois</v>
      </c>
      <c r="G478" s="1548"/>
      <c r="H478" s="1548"/>
      <c r="I478" s="2190">
        <f>ROWS(M438:M478)</f>
        <v>41</v>
      </c>
      <c r="J478" s="5549" t="str" cm="1">
        <f t="array" ref="J478">IF(SUMPRODUCT((M478:R478&lt;&gt;"")*1)=0,"",SUMPRODUCT((M478:R478&lt;&gt;"")*(LEN(TRIM(SUBSTITUTE(M478:R478,CHAR(160)," "))) - LEN(SUBSTITUTE(TRIM(SUBSTITUTE(M478:R478,CHAR(160)," "))," ","")) + 1)) &amp; " mot" &amp; IF(SUMPRODUCT((M478:R478&lt;&gt;"")*(LEN(TRIM(SUBSTITUTE(M478:R478,CHAR(160)," "))) - LEN(SUBSTITUTE(TRIM(SUBSTITUTE(M478:R478,CHAR(160)," "))," ","")) + 1))&gt;1,"s",""))</f>
        <v/>
      </c>
      <c r="K478" s="5550" t="str" cm="1">
        <f t="array" ref="K478">SUMPRODUCT(--(M478:R478&lt;&gt;""), LEN(TRIM(SUBSTITUTE(M478:R478, CHAR(160), "")))) &amp; " Car."</f>
        <v>0 Car.</v>
      </c>
      <c r="L478" s="1376" t="str">
        <f>IF(ISBLANK(M478),"",LARGE(L437:L477,1)+1)</f>
        <v/>
      </c>
      <c r="M478" s="1810"/>
      <c r="N478" s="1810"/>
      <c r="O478" s="1810"/>
      <c r="P478" s="1810"/>
      <c r="Q478" s="1810"/>
      <c r="R478" s="1810"/>
      <c r="S478" s="1810"/>
      <c r="T478" s="1810"/>
      <c r="U478" s="1811"/>
      <c r="W478" s="103" t="str">
        <f t="shared" si="101"/>
        <v>►</v>
      </c>
      <c r="X478" s="163" t="str">
        <f>X370</f>
        <v>N NAME OF YOUR RECIPE | paste it — FAMILY|  Author &gt; YOU</v>
      </c>
      <c r="Y478" s="163">
        <f>Y370</f>
        <v>1</v>
      </c>
      <c r="Z478" s="164" t="str">
        <f>Z370</f>
        <v>coupe</v>
      </c>
      <c r="AA478" s="165" t="str">
        <f>AA370</f>
        <v>Master recipe ► MILLE-FEUILLE  aux fraises des bois</v>
      </c>
      <c r="AB478" s="1548"/>
      <c r="AC478" s="1548"/>
      <c r="AD478" s="2190">
        <f>ROWS(AH438:AH478)</f>
        <v>41</v>
      </c>
      <c r="AE478" s="5549" t="str" cm="1">
        <f t="array" ref="AE478">IF(SUMPRODUCT((AH478:AM478&lt;&gt;"")*1)=0,"",SUMPRODUCT((AH478:AM478&lt;&gt;"")*(LEN(TRIM(SUBSTITUTE(AH478:AM478,CHAR(160)," "))) - LEN(SUBSTITUTE(TRIM(SUBSTITUTE(AH478:AM478,CHAR(160)," "))," ","")) + 1)) &amp; " word" &amp; IF(SUMPRODUCT((AH478:AM478&lt;&gt;"")*(LEN(TRIM(SUBSTITUTE(AH478:AM478,CHAR(160)," "))) - LEN(SUBSTITUTE(TRIM(SUBSTITUTE(AH478:AM478,CHAR(160)," "))," ","")) + 1))&gt;1,"s",""))</f>
        <v/>
      </c>
      <c r="AF478" s="5550" t="str" cm="1">
        <f t="array" ref="AF478">SUMPRODUCT(--(AH478:AM478&lt;&gt;""), LEN(TRIM(SUBSTITUTE(AH478:AM478, CHAR(160), "")))) &amp; " Car."</f>
        <v>0 Car.</v>
      </c>
      <c r="AG478" s="1376" t="str">
        <f>IF(ISBLANK(AH478),"",LARGE(AG437:AG477,1)+1)</f>
        <v/>
      </c>
      <c r="AH478" s="1833"/>
      <c r="AI478" s="1810"/>
      <c r="AJ478" s="1810"/>
      <c r="AK478" s="1810"/>
      <c r="AL478" s="1810"/>
      <c r="AM478" s="1810"/>
      <c r="AN478" s="1810"/>
      <c r="AO478" s="1810"/>
      <c r="AP478" s="1811"/>
      <c r="AR478" s="103" t="str">
        <f t="shared" si="102"/>
        <v>►</v>
      </c>
      <c r="AS478" s="163" t="str">
        <f>AS370</f>
        <v>N NOMBRE DE SU RECETA | pegue esto — FAMILIA| Auteur &gt; VOUS</v>
      </c>
      <c r="AT478" s="163">
        <f>AT370</f>
        <v>1</v>
      </c>
      <c r="AU478" s="164" t="str">
        <f>AU370</f>
        <v>coupe</v>
      </c>
      <c r="AV478" s="165" t="str">
        <f>AV370</f>
        <v>Receta madre ► MILLE-FEUILLE  aux fraises des bois</v>
      </c>
      <c r="AW478" s="1548"/>
      <c r="AX478" s="1548"/>
      <c r="AY478" s="2190">
        <f>ROWS(BC438:BC478)</f>
        <v>41</v>
      </c>
      <c r="AZ478" s="5549" t="str" cm="1">
        <f t="array" ref="AZ478">IF(SUMPRODUCT((BC478:BH478&lt;&gt;"")*1)=0,"",SUMPRODUCT((BC478:BH478&lt;&gt;"")*(LEN(TRIM(SUBSTITUTE(BC478:BH478,CHAR(160)," "))) - LEN(SUBSTITUTE(TRIM(SUBSTITUTE(BC478:BH478,CHAR(160)," "))," ","")) + 1)) &amp; " palabra" &amp; IF(SUMPRODUCT((BC478:BH478&lt;&gt;"")*(LEN(TRIM(SUBSTITUTE(BC478:BH478,CHAR(160)," "))) - LEN(SUBSTITUTE(TRIM(SUBSTITUTE(BC478:BH478,CHAR(160)," "))," ","")) + 1))&gt;1,"s",""))</f>
        <v/>
      </c>
      <c r="BA478" s="5550" t="str" cm="1">
        <f t="array" ref="BA478">SUMPRODUCT(--(BC478:BH478&lt;&gt;""), LEN(TRIM(SUBSTITUTE(BC478:BH478, CHAR(160), "")))) &amp; " Car."</f>
        <v>0 Car.</v>
      </c>
      <c r="BB478" s="1376" t="str">
        <f>IF(ISBLANK(BC478),"",LARGE(BB437:BB477,1)+1)</f>
        <v/>
      </c>
      <c r="BC478" s="1833"/>
      <c r="BD478" s="1810"/>
      <c r="BE478" s="1810"/>
      <c r="BF478" s="1810"/>
      <c r="BG478" s="1810"/>
      <c r="BH478" s="1810"/>
      <c r="BI478" s="1810"/>
      <c r="BJ478" s="1810"/>
      <c r="BK478" s="1811"/>
      <c r="BM478" s="3">
        <v>1</v>
      </c>
    </row>
    <row r="479" spans="2:65" ht="21" customHeight="1">
      <c r="B479" s="103" t="str">
        <f t="shared" si="100"/>
        <v>►</v>
      </c>
      <c r="C479" s="163" t="str">
        <f>C370</f>
        <v>MAJUSCULE(GAUCHE(J21;1))&amp;" "&amp;J21&amp;" | "&amp;S21&amp;"| "&amp;J23&amp;" "&amp;K23</v>
      </c>
      <c r="D479" s="163">
        <f>D370</f>
        <v>1</v>
      </c>
      <c r="E479" s="164" t="str">
        <f>E370</f>
        <v>coupe</v>
      </c>
      <c r="F479" s="165" t="str">
        <f>F370</f>
        <v>Recette mère ► MILLE-FEUILLE  aux fraises des bois</v>
      </c>
      <c r="G479" s="1548"/>
      <c r="H479" s="1548"/>
      <c r="I479" s="2190">
        <f>ROWS(M438:M479)</f>
        <v>42</v>
      </c>
      <c r="J479" s="5549" t="str" cm="1">
        <f t="array" ref="J479">IF(SUMPRODUCT((M479:R479&lt;&gt;"")*1)=0,"",SUMPRODUCT((M479:R479&lt;&gt;"")*(LEN(TRIM(SUBSTITUTE(M479:R479,CHAR(160)," "))) - LEN(SUBSTITUTE(TRIM(SUBSTITUTE(M479:R479,CHAR(160)," "))," ","")) + 1)) &amp; " mot" &amp; IF(SUMPRODUCT((M479:R479&lt;&gt;"")*(LEN(TRIM(SUBSTITUTE(M479:R479,CHAR(160)," "))) - LEN(SUBSTITUTE(TRIM(SUBSTITUTE(M479:R479,CHAR(160)," "))," ","")) + 1))&gt;1,"s",""))</f>
        <v/>
      </c>
      <c r="K479" s="5550" t="str" cm="1">
        <f t="array" ref="K479">SUMPRODUCT(--(M479:R479&lt;&gt;""), LEN(TRIM(SUBSTITUTE(M479:R479, CHAR(160), "")))) &amp; " Car."</f>
        <v>0 Car.</v>
      </c>
      <c r="L479" s="1376" t="str">
        <f>IF(ISBLANK(M479),"",LARGE(L437:L478,1)+1)</f>
        <v/>
      </c>
      <c r="M479" s="1810"/>
      <c r="N479" s="1810"/>
      <c r="O479" s="1810"/>
      <c r="P479" s="1810"/>
      <c r="Q479" s="1810"/>
      <c r="R479" s="1810"/>
      <c r="S479" s="1810"/>
      <c r="T479" s="1810"/>
      <c r="U479" s="1811"/>
      <c r="W479" s="103" t="str">
        <f t="shared" si="101"/>
        <v>►</v>
      </c>
      <c r="X479" s="163" t="str">
        <f>X370</f>
        <v>N NAME OF YOUR RECIPE | paste it — FAMILY|  Author &gt; YOU</v>
      </c>
      <c r="Y479" s="163">
        <f>Y370</f>
        <v>1</v>
      </c>
      <c r="Z479" s="164" t="str">
        <f>Z370</f>
        <v>coupe</v>
      </c>
      <c r="AA479" s="165" t="str">
        <f>AA370</f>
        <v>Master recipe ► MILLE-FEUILLE  aux fraises des bois</v>
      </c>
      <c r="AB479" s="1548"/>
      <c r="AC479" s="1548"/>
      <c r="AD479" s="2190">
        <f>ROWS(AH438:AH479)</f>
        <v>42</v>
      </c>
      <c r="AE479" s="5549" t="str" cm="1">
        <f t="array" ref="AE479">IF(SUMPRODUCT((AH479:AM479&lt;&gt;"")*1)=0,"",SUMPRODUCT((AH479:AM479&lt;&gt;"")*(LEN(TRIM(SUBSTITUTE(AH479:AM479,CHAR(160)," "))) - LEN(SUBSTITUTE(TRIM(SUBSTITUTE(AH479:AM479,CHAR(160)," "))," ","")) + 1)) &amp; " word" &amp; IF(SUMPRODUCT((AH479:AM479&lt;&gt;"")*(LEN(TRIM(SUBSTITUTE(AH479:AM479,CHAR(160)," "))) - LEN(SUBSTITUTE(TRIM(SUBSTITUTE(AH479:AM479,CHAR(160)," "))," ","")) + 1))&gt;1,"s",""))</f>
        <v/>
      </c>
      <c r="AF479" s="5550" t="str" cm="1">
        <f t="array" ref="AF479">SUMPRODUCT(--(AH479:AM479&lt;&gt;""), LEN(TRIM(SUBSTITUTE(AH479:AM479, CHAR(160), "")))) &amp; " Car."</f>
        <v>0 Car.</v>
      </c>
      <c r="AG479" s="1376" t="str">
        <f>IF(ISBLANK(AH479),"",LARGE(AG437:AG478,1)+1)</f>
        <v/>
      </c>
      <c r="AH479" s="1833"/>
      <c r="AI479" s="1810"/>
      <c r="AJ479" s="1810"/>
      <c r="AK479" s="1810"/>
      <c r="AL479" s="1810"/>
      <c r="AM479" s="1810"/>
      <c r="AN479" s="1810"/>
      <c r="AO479" s="1810"/>
      <c r="AP479" s="1811"/>
      <c r="AR479" s="103" t="str">
        <f t="shared" si="102"/>
        <v>►</v>
      </c>
      <c r="AS479" s="163" t="str">
        <f>AS370</f>
        <v>N NOMBRE DE SU RECETA | pegue esto — FAMILIA| Auteur &gt; VOUS</v>
      </c>
      <c r="AT479" s="163">
        <f>AT370</f>
        <v>1</v>
      </c>
      <c r="AU479" s="164" t="str">
        <f>AU370</f>
        <v>coupe</v>
      </c>
      <c r="AV479" s="165" t="str">
        <f>AV370</f>
        <v>Receta madre ► MILLE-FEUILLE  aux fraises des bois</v>
      </c>
      <c r="AW479" s="1548"/>
      <c r="AX479" s="1548"/>
      <c r="AY479" s="2190">
        <f>ROWS(BC438:BC479)</f>
        <v>42</v>
      </c>
      <c r="AZ479" s="5549" t="str" cm="1">
        <f t="array" ref="AZ479">IF(SUMPRODUCT((BC479:BH479&lt;&gt;"")*1)=0,"",SUMPRODUCT((BC479:BH479&lt;&gt;"")*(LEN(TRIM(SUBSTITUTE(BC479:BH479,CHAR(160)," "))) - LEN(SUBSTITUTE(TRIM(SUBSTITUTE(BC479:BH479,CHAR(160)," "))," ","")) + 1)) &amp; " palabra" &amp; IF(SUMPRODUCT((BC479:BH479&lt;&gt;"")*(LEN(TRIM(SUBSTITUTE(BC479:BH479,CHAR(160)," "))) - LEN(SUBSTITUTE(TRIM(SUBSTITUTE(BC479:BH479,CHAR(160)," "))," ","")) + 1))&gt;1,"s",""))</f>
        <v/>
      </c>
      <c r="BA479" s="5550" t="str" cm="1">
        <f t="array" ref="BA479">SUMPRODUCT(--(BC479:BH479&lt;&gt;""), LEN(TRIM(SUBSTITUTE(BC479:BH479, CHAR(160), "")))) &amp; " Car."</f>
        <v>0 Car.</v>
      </c>
      <c r="BB479" s="1376" t="str">
        <f>IF(ISBLANK(BC479),"",LARGE(BB437:BB478,1)+1)</f>
        <v/>
      </c>
      <c r="BC479" s="1833"/>
      <c r="BD479" s="1810"/>
      <c r="BE479" s="1810"/>
      <c r="BF479" s="1810"/>
      <c r="BG479" s="1810"/>
      <c r="BH479" s="1810"/>
      <c r="BI479" s="1810"/>
      <c r="BJ479" s="1810"/>
      <c r="BK479" s="1811"/>
      <c r="BM479" s="3">
        <v>1</v>
      </c>
    </row>
    <row r="480" spans="2:65" ht="21" customHeight="1">
      <c r="B480" s="103" t="str">
        <f t="shared" si="100"/>
        <v>►</v>
      </c>
      <c r="C480" s="163" t="str">
        <f>C370</f>
        <v>MAJUSCULE(GAUCHE(J21;1))&amp;" "&amp;J21&amp;" | "&amp;S21&amp;"| "&amp;J23&amp;" "&amp;K23</v>
      </c>
      <c r="D480" s="163">
        <f>D370</f>
        <v>1</v>
      </c>
      <c r="E480" s="164" t="str">
        <f>E370</f>
        <v>coupe</v>
      </c>
      <c r="F480" s="165" t="str">
        <f>F370</f>
        <v>Recette mère ► MILLE-FEUILLE  aux fraises des bois</v>
      </c>
      <c r="G480" s="1548"/>
      <c r="H480" s="1548"/>
      <c r="I480" s="2190">
        <f>ROWS(M438:M480)</f>
        <v>43</v>
      </c>
      <c r="J480" s="5549" t="str" cm="1">
        <f t="array" ref="J480">IF(SUMPRODUCT((M480:R480&lt;&gt;"")*1)=0,"",SUMPRODUCT((M480:R480&lt;&gt;"")*(LEN(TRIM(SUBSTITUTE(M480:R480,CHAR(160)," "))) - LEN(SUBSTITUTE(TRIM(SUBSTITUTE(M480:R480,CHAR(160)," "))," ","")) + 1)) &amp; " mot" &amp; IF(SUMPRODUCT((M480:R480&lt;&gt;"")*(LEN(TRIM(SUBSTITUTE(M480:R480,CHAR(160)," "))) - LEN(SUBSTITUTE(TRIM(SUBSTITUTE(M480:R480,CHAR(160)," "))," ","")) + 1))&gt;1,"s",""))</f>
        <v/>
      </c>
      <c r="K480" s="5550" t="str" cm="1">
        <f t="array" ref="K480">SUMPRODUCT(--(M480:R480&lt;&gt;""), LEN(TRIM(SUBSTITUTE(M480:R480, CHAR(160), "")))) &amp; " Car."</f>
        <v>0 Car.</v>
      </c>
      <c r="L480" s="1376" t="str">
        <f>IF(ISBLANK(M480),"",LARGE(L437:L479,1)+1)</f>
        <v/>
      </c>
      <c r="M480" s="1810"/>
      <c r="N480" s="1810"/>
      <c r="O480" s="1810"/>
      <c r="P480" s="1810"/>
      <c r="Q480" s="1810"/>
      <c r="R480" s="1810"/>
      <c r="S480" s="1810"/>
      <c r="T480" s="1810"/>
      <c r="U480" s="1811"/>
      <c r="W480" s="103" t="str">
        <f t="shared" si="101"/>
        <v>►</v>
      </c>
      <c r="X480" s="163" t="str">
        <f>X370</f>
        <v>N NAME OF YOUR RECIPE | paste it — FAMILY|  Author &gt; YOU</v>
      </c>
      <c r="Y480" s="163">
        <f>Y370</f>
        <v>1</v>
      </c>
      <c r="Z480" s="164" t="str">
        <f>Z370</f>
        <v>coupe</v>
      </c>
      <c r="AA480" s="165" t="str">
        <f>AA370</f>
        <v>Master recipe ► MILLE-FEUILLE  aux fraises des bois</v>
      </c>
      <c r="AB480" s="1548"/>
      <c r="AC480" s="1548"/>
      <c r="AD480" s="2190">
        <f>ROWS(AH438:AH480)</f>
        <v>43</v>
      </c>
      <c r="AE480" s="5549" t="str" cm="1">
        <f t="array" ref="AE480">IF(SUMPRODUCT((AH480:AM480&lt;&gt;"")*1)=0,"",SUMPRODUCT((AH480:AM480&lt;&gt;"")*(LEN(TRIM(SUBSTITUTE(AH480:AM480,CHAR(160)," "))) - LEN(SUBSTITUTE(TRIM(SUBSTITUTE(AH480:AM480,CHAR(160)," "))," ","")) + 1)) &amp; " word" &amp; IF(SUMPRODUCT((AH480:AM480&lt;&gt;"")*(LEN(TRIM(SUBSTITUTE(AH480:AM480,CHAR(160)," "))) - LEN(SUBSTITUTE(TRIM(SUBSTITUTE(AH480:AM480,CHAR(160)," "))," ","")) + 1))&gt;1,"s",""))</f>
        <v/>
      </c>
      <c r="AF480" s="5550" t="str" cm="1">
        <f t="array" ref="AF480">SUMPRODUCT(--(AH480:AM480&lt;&gt;""), LEN(TRIM(SUBSTITUTE(AH480:AM480, CHAR(160), "")))) &amp; " Car."</f>
        <v>0 Car.</v>
      </c>
      <c r="AG480" s="1376" t="str">
        <f>IF(ISBLANK(AH480),"",LARGE(AG437:AG479,1)+1)</f>
        <v/>
      </c>
      <c r="AH480" s="1833"/>
      <c r="AI480" s="1810"/>
      <c r="AJ480" s="1810"/>
      <c r="AK480" s="1810"/>
      <c r="AL480" s="1810"/>
      <c r="AM480" s="1810"/>
      <c r="AN480" s="1810"/>
      <c r="AO480" s="1810"/>
      <c r="AP480" s="1811"/>
      <c r="AR480" s="103" t="str">
        <f t="shared" si="102"/>
        <v>►</v>
      </c>
      <c r="AS480" s="163" t="str">
        <f>AS370</f>
        <v>N NOMBRE DE SU RECETA | pegue esto — FAMILIA| Auteur &gt; VOUS</v>
      </c>
      <c r="AT480" s="163">
        <f>AT370</f>
        <v>1</v>
      </c>
      <c r="AU480" s="164" t="str">
        <f>AU370</f>
        <v>coupe</v>
      </c>
      <c r="AV480" s="165" t="str">
        <f>AV370</f>
        <v>Receta madre ► MILLE-FEUILLE  aux fraises des bois</v>
      </c>
      <c r="AW480" s="1548"/>
      <c r="AX480" s="1548"/>
      <c r="AY480" s="2190">
        <f>ROWS(BC438:BC480)</f>
        <v>43</v>
      </c>
      <c r="AZ480" s="5549" t="str" cm="1">
        <f t="array" ref="AZ480">IF(SUMPRODUCT((BC480:BH480&lt;&gt;"")*1)=0,"",SUMPRODUCT((BC480:BH480&lt;&gt;"")*(LEN(TRIM(SUBSTITUTE(BC480:BH480,CHAR(160)," "))) - LEN(SUBSTITUTE(TRIM(SUBSTITUTE(BC480:BH480,CHAR(160)," "))," ","")) + 1)) &amp; " palabra" &amp; IF(SUMPRODUCT((BC480:BH480&lt;&gt;"")*(LEN(TRIM(SUBSTITUTE(BC480:BH480,CHAR(160)," "))) - LEN(SUBSTITUTE(TRIM(SUBSTITUTE(BC480:BH480,CHAR(160)," "))," ","")) + 1))&gt;1,"s",""))</f>
        <v/>
      </c>
      <c r="BA480" s="5550" t="str" cm="1">
        <f t="array" ref="BA480">SUMPRODUCT(--(BC480:BH480&lt;&gt;""), LEN(TRIM(SUBSTITUTE(BC480:BH480, CHAR(160), "")))) &amp; " Car."</f>
        <v>0 Car.</v>
      </c>
      <c r="BB480" s="1376" t="str">
        <f>IF(ISBLANK(BC480),"",LARGE(BB437:BB479,1)+1)</f>
        <v/>
      </c>
      <c r="BC480" s="1833"/>
      <c r="BD480" s="1810"/>
      <c r="BE480" s="1810"/>
      <c r="BF480" s="1810"/>
      <c r="BG480" s="1810"/>
      <c r="BH480" s="1810"/>
      <c r="BI480" s="1810"/>
      <c r="BJ480" s="1810"/>
      <c r="BK480" s="1811"/>
      <c r="BM480" s="3">
        <v>1</v>
      </c>
    </row>
    <row r="481" spans="2:65" ht="21" customHeight="1">
      <c r="B481" s="103" t="str">
        <f t="shared" si="100"/>
        <v>►</v>
      </c>
      <c r="C481" s="163" t="str">
        <f>C370</f>
        <v>MAJUSCULE(GAUCHE(J21;1))&amp;" "&amp;J21&amp;" | "&amp;S21&amp;"| "&amp;J23&amp;" "&amp;K23</v>
      </c>
      <c r="D481" s="163">
        <f>D370</f>
        <v>1</v>
      </c>
      <c r="E481" s="164" t="str">
        <f>E370</f>
        <v>coupe</v>
      </c>
      <c r="F481" s="165" t="str">
        <f>F370</f>
        <v>Recette mère ► MILLE-FEUILLE  aux fraises des bois</v>
      </c>
      <c r="G481" s="1548"/>
      <c r="H481" s="1548"/>
      <c r="I481" s="2190">
        <f>ROWS(M438:M481)</f>
        <v>44</v>
      </c>
      <c r="J481" s="5549" t="str" cm="1">
        <f t="array" ref="J481">IF(SUMPRODUCT((M481:R481&lt;&gt;"")*1)=0,"",SUMPRODUCT((M481:R481&lt;&gt;"")*(LEN(TRIM(SUBSTITUTE(M481:R481,CHAR(160)," "))) - LEN(SUBSTITUTE(TRIM(SUBSTITUTE(M481:R481,CHAR(160)," "))," ","")) + 1)) &amp; " mot" &amp; IF(SUMPRODUCT((M481:R481&lt;&gt;"")*(LEN(TRIM(SUBSTITUTE(M481:R481,CHAR(160)," "))) - LEN(SUBSTITUTE(TRIM(SUBSTITUTE(M481:R481,CHAR(160)," "))," ","")) + 1))&gt;1,"s",""))</f>
        <v/>
      </c>
      <c r="K481" s="5550" t="str" cm="1">
        <f t="array" ref="K481">SUMPRODUCT(--(M481:R481&lt;&gt;""), LEN(TRIM(SUBSTITUTE(M481:R481, CHAR(160), "")))) &amp; " Car."</f>
        <v>0 Car.</v>
      </c>
      <c r="L481" s="1376" t="str">
        <f>IF(ISBLANK(M481),"",LARGE(L437:L480,1)+1)</f>
        <v/>
      </c>
      <c r="M481" s="1810"/>
      <c r="N481" s="1810"/>
      <c r="O481" s="1810"/>
      <c r="P481" s="1810"/>
      <c r="Q481" s="1810"/>
      <c r="R481" s="1810"/>
      <c r="S481" s="1810"/>
      <c r="T481" s="1810"/>
      <c r="U481" s="1811"/>
      <c r="W481" s="103" t="str">
        <f t="shared" si="101"/>
        <v>►</v>
      </c>
      <c r="X481" s="163" t="str">
        <f>X370</f>
        <v>N NAME OF YOUR RECIPE | paste it — FAMILY|  Author &gt; YOU</v>
      </c>
      <c r="Y481" s="163">
        <f>Y370</f>
        <v>1</v>
      </c>
      <c r="Z481" s="164" t="str">
        <f>Z370</f>
        <v>coupe</v>
      </c>
      <c r="AA481" s="165" t="str">
        <f>AA370</f>
        <v>Master recipe ► MILLE-FEUILLE  aux fraises des bois</v>
      </c>
      <c r="AB481" s="1548"/>
      <c r="AC481" s="1548"/>
      <c r="AD481" s="2190">
        <f>ROWS(AH438:AH481)</f>
        <v>44</v>
      </c>
      <c r="AE481" s="5549" t="str" cm="1">
        <f t="array" ref="AE481">IF(SUMPRODUCT((AH481:AM481&lt;&gt;"")*1)=0,"",SUMPRODUCT((AH481:AM481&lt;&gt;"")*(LEN(TRIM(SUBSTITUTE(AH481:AM481,CHAR(160)," "))) - LEN(SUBSTITUTE(TRIM(SUBSTITUTE(AH481:AM481,CHAR(160)," "))," ","")) + 1)) &amp; " word" &amp; IF(SUMPRODUCT((AH481:AM481&lt;&gt;"")*(LEN(TRIM(SUBSTITUTE(AH481:AM481,CHAR(160)," "))) - LEN(SUBSTITUTE(TRIM(SUBSTITUTE(AH481:AM481,CHAR(160)," "))," ","")) + 1))&gt;1,"s",""))</f>
        <v/>
      </c>
      <c r="AF481" s="5550" t="str" cm="1">
        <f t="array" ref="AF481">SUMPRODUCT(--(AH481:AM481&lt;&gt;""), LEN(TRIM(SUBSTITUTE(AH481:AM481, CHAR(160), "")))) &amp; " Car."</f>
        <v>0 Car.</v>
      </c>
      <c r="AG481" s="1376" t="str">
        <f>IF(ISBLANK(AH481),"",LARGE(AG437:AG480,1)+1)</f>
        <v/>
      </c>
      <c r="AH481" s="1833"/>
      <c r="AI481" s="1810"/>
      <c r="AJ481" s="1810"/>
      <c r="AK481" s="1810"/>
      <c r="AL481" s="1810"/>
      <c r="AM481" s="1810"/>
      <c r="AN481" s="1810"/>
      <c r="AO481" s="1810"/>
      <c r="AP481" s="1811"/>
      <c r="AR481" s="103" t="str">
        <f t="shared" si="102"/>
        <v>►</v>
      </c>
      <c r="AS481" s="163" t="str">
        <f>AS370</f>
        <v>N NOMBRE DE SU RECETA | pegue esto — FAMILIA| Auteur &gt; VOUS</v>
      </c>
      <c r="AT481" s="163">
        <f>AT370</f>
        <v>1</v>
      </c>
      <c r="AU481" s="164" t="str">
        <f>AU370</f>
        <v>coupe</v>
      </c>
      <c r="AV481" s="165" t="str">
        <f>AV370</f>
        <v>Receta madre ► MILLE-FEUILLE  aux fraises des bois</v>
      </c>
      <c r="AW481" s="1548"/>
      <c r="AX481" s="1548"/>
      <c r="AY481" s="2190">
        <f>ROWS(BC438:BC481)</f>
        <v>44</v>
      </c>
      <c r="AZ481" s="5549" t="str" cm="1">
        <f t="array" ref="AZ481">IF(SUMPRODUCT((BC481:BH481&lt;&gt;"")*1)=0,"",SUMPRODUCT((BC481:BH481&lt;&gt;"")*(LEN(TRIM(SUBSTITUTE(BC481:BH481,CHAR(160)," "))) - LEN(SUBSTITUTE(TRIM(SUBSTITUTE(BC481:BH481,CHAR(160)," "))," ","")) + 1)) &amp; " palabra" &amp; IF(SUMPRODUCT((BC481:BH481&lt;&gt;"")*(LEN(TRIM(SUBSTITUTE(BC481:BH481,CHAR(160)," "))) - LEN(SUBSTITUTE(TRIM(SUBSTITUTE(BC481:BH481,CHAR(160)," "))," ","")) + 1))&gt;1,"s",""))</f>
        <v/>
      </c>
      <c r="BA481" s="5550" t="str" cm="1">
        <f t="array" ref="BA481">SUMPRODUCT(--(BC481:BH481&lt;&gt;""), LEN(TRIM(SUBSTITUTE(BC481:BH481, CHAR(160), "")))) &amp; " Car."</f>
        <v>0 Car.</v>
      </c>
      <c r="BB481" s="1376" t="str">
        <f>IF(ISBLANK(BC481),"",LARGE(BB437:BB480,1)+1)</f>
        <v/>
      </c>
      <c r="BC481" s="1833"/>
      <c r="BD481" s="1810"/>
      <c r="BE481" s="1810"/>
      <c r="BF481" s="1810"/>
      <c r="BG481" s="1810"/>
      <c r="BH481" s="1810"/>
      <c r="BI481" s="1810"/>
      <c r="BJ481" s="1810"/>
      <c r="BK481" s="1811"/>
      <c r="BM481" s="3">
        <v>1</v>
      </c>
    </row>
    <row r="482" spans="2:65" ht="21" customHeight="1">
      <c r="B482" s="103" t="str">
        <f t="shared" si="100"/>
        <v>►</v>
      </c>
      <c r="C482" s="163" t="str">
        <f>C370</f>
        <v>MAJUSCULE(GAUCHE(J21;1))&amp;" "&amp;J21&amp;" | "&amp;S21&amp;"| "&amp;J23&amp;" "&amp;K23</v>
      </c>
      <c r="D482" s="163">
        <f>D370</f>
        <v>1</v>
      </c>
      <c r="E482" s="164" t="str">
        <f>E370</f>
        <v>coupe</v>
      </c>
      <c r="F482" s="165" t="str">
        <f>F370</f>
        <v>Recette mère ► MILLE-FEUILLE  aux fraises des bois</v>
      </c>
      <c r="G482" s="1548"/>
      <c r="H482" s="1548"/>
      <c r="I482" s="2190">
        <f>ROWS(M438:M482)</f>
        <v>45</v>
      </c>
      <c r="J482" s="5549" t="str" cm="1">
        <f t="array" ref="J482">IF(SUMPRODUCT((M482:R482&lt;&gt;"")*1)=0,"",SUMPRODUCT((M482:R482&lt;&gt;"")*(LEN(TRIM(SUBSTITUTE(M482:R482,CHAR(160)," "))) - LEN(SUBSTITUTE(TRIM(SUBSTITUTE(M482:R482,CHAR(160)," "))," ","")) + 1)) &amp; " mot" &amp; IF(SUMPRODUCT((M482:R482&lt;&gt;"")*(LEN(TRIM(SUBSTITUTE(M482:R482,CHAR(160)," "))) - LEN(SUBSTITUTE(TRIM(SUBSTITUTE(M482:R482,CHAR(160)," "))," ","")) + 1))&gt;1,"s",""))</f>
        <v/>
      </c>
      <c r="K482" s="5550" t="str" cm="1">
        <f t="array" ref="K482">SUMPRODUCT(--(M482:R482&lt;&gt;""), LEN(TRIM(SUBSTITUTE(M482:R482, CHAR(160), "")))) &amp; " Car."</f>
        <v>0 Car.</v>
      </c>
      <c r="L482" s="1376" t="str">
        <f>IF(ISBLANK(M482),"",LARGE(L437:L481,1)+1)</f>
        <v/>
      </c>
      <c r="M482" s="1810"/>
      <c r="N482" s="1810"/>
      <c r="O482" s="1810"/>
      <c r="P482" s="1810"/>
      <c r="Q482" s="1810"/>
      <c r="R482" s="1810"/>
      <c r="S482" s="1810"/>
      <c r="T482" s="1810"/>
      <c r="U482" s="1811"/>
      <c r="W482" s="103" t="str">
        <f t="shared" si="101"/>
        <v>►</v>
      </c>
      <c r="X482" s="163" t="str">
        <f>X370</f>
        <v>N NAME OF YOUR RECIPE | paste it — FAMILY|  Author &gt; YOU</v>
      </c>
      <c r="Y482" s="163">
        <f>Y370</f>
        <v>1</v>
      </c>
      <c r="Z482" s="164" t="str">
        <f>Z370</f>
        <v>coupe</v>
      </c>
      <c r="AA482" s="165" t="str">
        <f>AA370</f>
        <v>Master recipe ► MILLE-FEUILLE  aux fraises des bois</v>
      </c>
      <c r="AB482" s="1548"/>
      <c r="AC482" s="1548"/>
      <c r="AD482" s="2190">
        <f>ROWS(AH438:AH482)</f>
        <v>45</v>
      </c>
      <c r="AE482" s="5549" t="str" cm="1">
        <f t="array" ref="AE482">IF(SUMPRODUCT((AH482:AM482&lt;&gt;"")*1)=0,"",SUMPRODUCT((AH482:AM482&lt;&gt;"")*(LEN(TRIM(SUBSTITUTE(AH482:AM482,CHAR(160)," "))) - LEN(SUBSTITUTE(TRIM(SUBSTITUTE(AH482:AM482,CHAR(160)," "))," ","")) + 1)) &amp; " word" &amp; IF(SUMPRODUCT((AH482:AM482&lt;&gt;"")*(LEN(TRIM(SUBSTITUTE(AH482:AM482,CHAR(160)," "))) - LEN(SUBSTITUTE(TRIM(SUBSTITUTE(AH482:AM482,CHAR(160)," "))," ","")) + 1))&gt;1,"s",""))</f>
        <v/>
      </c>
      <c r="AF482" s="5550" t="str" cm="1">
        <f t="array" ref="AF482">SUMPRODUCT(--(AH482:AM482&lt;&gt;""), LEN(TRIM(SUBSTITUTE(AH482:AM482, CHAR(160), "")))) &amp; " Car."</f>
        <v>0 Car.</v>
      </c>
      <c r="AG482" s="1376" t="str">
        <f>IF(ISBLANK(AH482),"",LARGE(AG437:AG481,1)+1)</f>
        <v/>
      </c>
      <c r="AH482" s="1833"/>
      <c r="AI482" s="1810"/>
      <c r="AJ482" s="1810"/>
      <c r="AK482" s="1810"/>
      <c r="AL482" s="1810"/>
      <c r="AM482" s="1810"/>
      <c r="AN482" s="1810"/>
      <c r="AO482" s="1810"/>
      <c r="AP482" s="1811"/>
      <c r="AR482" s="103" t="str">
        <f t="shared" si="102"/>
        <v>►</v>
      </c>
      <c r="AS482" s="163" t="str">
        <f>AS370</f>
        <v>N NOMBRE DE SU RECETA | pegue esto — FAMILIA| Auteur &gt; VOUS</v>
      </c>
      <c r="AT482" s="163">
        <f>AT370</f>
        <v>1</v>
      </c>
      <c r="AU482" s="164" t="str">
        <f>AU370</f>
        <v>coupe</v>
      </c>
      <c r="AV482" s="165" t="str">
        <f>AV370</f>
        <v>Receta madre ► MILLE-FEUILLE  aux fraises des bois</v>
      </c>
      <c r="AW482" s="1548"/>
      <c r="AX482" s="1548"/>
      <c r="AY482" s="2190">
        <f>ROWS(BC438:BC482)</f>
        <v>45</v>
      </c>
      <c r="AZ482" s="5549" t="str" cm="1">
        <f t="array" ref="AZ482">IF(SUMPRODUCT((BC482:BH482&lt;&gt;"")*1)=0,"",SUMPRODUCT((BC482:BH482&lt;&gt;"")*(LEN(TRIM(SUBSTITUTE(BC482:BH482,CHAR(160)," "))) - LEN(SUBSTITUTE(TRIM(SUBSTITUTE(BC482:BH482,CHAR(160)," "))," ","")) + 1)) &amp; " palabra" &amp; IF(SUMPRODUCT((BC482:BH482&lt;&gt;"")*(LEN(TRIM(SUBSTITUTE(BC482:BH482,CHAR(160)," "))) - LEN(SUBSTITUTE(TRIM(SUBSTITUTE(BC482:BH482,CHAR(160)," "))," ","")) + 1))&gt;1,"s",""))</f>
        <v/>
      </c>
      <c r="BA482" s="5550" t="str" cm="1">
        <f t="array" ref="BA482">SUMPRODUCT(--(BC482:BH482&lt;&gt;""), LEN(TRIM(SUBSTITUTE(BC482:BH482, CHAR(160), "")))) &amp; " Car."</f>
        <v>0 Car.</v>
      </c>
      <c r="BB482" s="1376" t="str">
        <f>IF(ISBLANK(BC482),"",LARGE(BB437:BB481,1)+1)</f>
        <v/>
      </c>
      <c r="BC482" s="1833"/>
      <c r="BD482" s="1810"/>
      <c r="BE482" s="1810"/>
      <c r="BF482" s="1810"/>
      <c r="BG482" s="1810"/>
      <c r="BH482" s="1810"/>
      <c r="BI482" s="1810"/>
      <c r="BJ482" s="1810"/>
      <c r="BK482" s="1811"/>
      <c r="BM482" s="3">
        <v>1</v>
      </c>
    </row>
    <row r="483" spans="2:65" ht="21" customHeight="1">
      <c r="B483" s="103" t="str">
        <f t="shared" si="100"/>
        <v>►</v>
      </c>
      <c r="C483" s="163" t="str">
        <f>C370</f>
        <v>MAJUSCULE(GAUCHE(J21;1))&amp;" "&amp;J21&amp;" | "&amp;S21&amp;"| "&amp;J23&amp;" "&amp;K23</v>
      </c>
      <c r="D483" s="163">
        <f>D370</f>
        <v>1</v>
      </c>
      <c r="E483" s="164" t="str">
        <f>E370</f>
        <v>coupe</v>
      </c>
      <c r="F483" s="165" t="str">
        <f>F370</f>
        <v>Recette mère ► MILLE-FEUILLE  aux fraises des bois</v>
      </c>
      <c r="G483" s="1548"/>
      <c r="H483" s="1548"/>
      <c r="I483" s="2190">
        <f>ROWS(M438:M483)</f>
        <v>46</v>
      </c>
      <c r="J483" s="5549" t="str" cm="1">
        <f t="array" ref="J483">IF(SUMPRODUCT((M483:R483&lt;&gt;"")*1)=0,"",SUMPRODUCT((M483:R483&lt;&gt;"")*(LEN(TRIM(SUBSTITUTE(M483:R483,CHAR(160)," "))) - LEN(SUBSTITUTE(TRIM(SUBSTITUTE(M483:R483,CHAR(160)," "))," ","")) + 1)) &amp; " mot" &amp; IF(SUMPRODUCT((M483:R483&lt;&gt;"")*(LEN(TRIM(SUBSTITUTE(M483:R483,CHAR(160)," "))) - LEN(SUBSTITUTE(TRIM(SUBSTITUTE(M483:R483,CHAR(160)," "))," ","")) + 1))&gt;1,"s",""))</f>
        <v/>
      </c>
      <c r="K483" s="5550" t="str" cm="1">
        <f t="array" ref="K483">SUMPRODUCT(--(M483:R483&lt;&gt;""), LEN(TRIM(SUBSTITUTE(M483:R483, CHAR(160), "")))) &amp; " Car."</f>
        <v>0 Car.</v>
      </c>
      <c r="L483" s="1376" t="str">
        <f>IF(ISBLANK(M483),"",LARGE(L437:L482,1)+1)</f>
        <v/>
      </c>
      <c r="M483" s="1810"/>
      <c r="N483" s="1810"/>
      <c r="O483" s="1810"/>
      <c r="P483" s="1810"/>
      <c r="Q483" s="1810"/>
      <c r="R483" s="1810"/>
      <c r="S483" s="1810"/>
      <c r="T483" s="1810"/>
      <c r="U483" s="1811"/>
      <c r="W483" s="103" t="str">
        <f t="shared" si="101"/>
        <v>►</v>
      </c>
      <c r="X483" s="163" t="str">
        <f>X370</f>
        <v>N NAME OF YOUR RECIPE | paste it — FAMILY|  Author &gt; YOU</v>
      </c>
      <c r="Y483" s="163">
        <f>Y370</f>
        <v>1</v>
      </c>
      <c r="Z483" s="164" t="str">
        <f>Z370</f>
        <v>coupe</v>
      </c>
      <c r="AA483" s="165" t="str">
        <f>AA370</f>
        <v>Master recipe ► MILLE-FEUILLE  aux fraises des bois</v>
      </c>
      <c r="AB483" s="1548"/>
      <c r="AC483" s="1548"/>
      <c r="AD483" s="2190">
        <f>ROWS(AH438:AH483)</f>
        <v>46</v>
      </c>
      <c r="AE483" s="5549" t="str" cm="1">
        <f t="array" ref="AE483">IF(SUMPRODUCT((AH483:AM483&lt;&gt;"")*1)=0,"",SUMPRODUCT((AH483:AM483&lt;&gt;"")*(LEN(TRIM(SUBSTITUTE(AH483:AM483,CHAR(160)," "))) - LEN(SUBSTITUTE(TRIM(SUBSTITUTE(AH483:AM483,CHAR(160)," "))," ","")) + 1)) &amp; " word" &amp; IF(SUMPRODUCT((AH483:AM483&lt;&gt;"")*(LEN(TRIM(SUBSTITUTE(AH483:AM483,CHAR(160)," "))) - LEN(SUBSTITUTE(TRIM(SUBSTITUTE(AH483:AM483,CHAR(160)," "))," ","")) + 1))&gt;1,"s",""))</f>
        <v/>
      </c>
      <c r="AF483" s="5550" t="str" cm="1">
        <f t="array" ref="AF483">SUMPRODUCT(--(AH483:AM483&lt;&gt;""), LEN(TRIM(SUBSTITUTE(AH483:AM483, CHAR(160), "")))) &amp; " Car."</f>
        <v>0 Car.</v>
      </c>
      <c r="AG483" s="1376" t="str">
        <f>IF(ISBLANK(AH483),"",LARGE(AG437:AG482,1)+1)</f>
        <v/>
      </c>
      <c r="AH483" s="1833"/>
      <c r="AI483" s="1810"/>
      <c r="AJ483" s="1810"/>
      <c r="AK483" s="1810"/>
      <c r="AL483" s="1810"/>
      <c r="AM483" s="1810"/>
      <c r="AN483" s="1810"/>
      <c r="AO483" s="1810"/>
      <c r="AP483" s="1811"/>
      <c r="AR483" s="103" t="str">
        <f t="shared" si="102"/>
        <v>►</v>
      </c>
      <c r="AS483" s="163" t="str">
        <f>AS370</f>
        <v>N NOMBRE DE SU RECETA | pegue esto — FAMILIA| Auteur &gt; VOUS</v>
      </c>
      <c r="AT483" s="163">
        <f>AT370</f>
        <v>1</v>
      </c>
      <c r="AU483" s="164" t="str">
        <f>AU370</f>
        <v>coupe</v>
      </c>
      <c r="AV483" s="165" t="str">
        <f>AV370</f>
        <v>Receta madre ► MILLE-FEUILLE  aux fraises des bois</v>
      </c>
      <c r="AW483" s="1548"/>
      <c r="AX483" s="1548"/>
      <c r="AY483" s="2190">
        <f>ROWS(BC438:BC483)</f>
        <v>46</v>
      </c>
      <c r="AZ483" s="5549" t="str" cm="1">
        <f t="array" ref="AZ483">IF(SUMPRODUCT((BC483:BH483&lt;&gt;"")*1)=0,"",SUMPRODUCT((BC483:BH483&lt;&gt;"")*(LEN(TRIM(SUBSTITUTE(BC483:BH483,CHAR(160)," "))) - LEN(SUBSTITUTE(TRIM(SUBSTITUTE(BC483:BH483,CHAR(160)," "))," ","")) + 1)) &amp; " palabra" &amp; IF(SUMPRODUCT((BC483:BH483&lt;&gt;"")*(LEN(TRIM(SUBSTITUTE(BC483:BH483,CHAR(160)," "))) - LEN(SUBSTITUTE(TRIM(SUBSTITUTE(BC483:BH483,CHAR(160)," "))," ","")) + 1))&gt;1,"s",""))</f>
        <v/>
      </c>
      <c r="BA483" s="5550" t="str" cm="1">
        <f t="array" ref="BA483">SUMPRODUCT(--(BC483:BH483&lt;&gt;""), LEN(TRIM(SUBSTITUTE(BC483:BH483, CHAR(160), "")))) &amp; " Car."</f>
        <v>0 Car.</v>
      </c>
      <c r="BB483" s="1376" t="str">
        <f>IF(ISBLANK(BC483),"",LARGE(BB437:BB482,1)+1)</f>
        <v/>
      </c>
      <c r="BC483" s="1833"/>
      <c r="BD483" s="1810"/>
      <c r="BE483" s="1810"/>
      <c r="BF483" s="1810"/>
      <c r="BG483" s="1810"/>
      <c r="BH483" s="1810"/>
      <c r="BI483" s="1810"/>
      <c r="BJ483" s="1810"/>
      <c r="BK483" s="1811"/>
      <c r="BM483" s="3">
        <v>1</v>
      </c>
    </row>
    <row r="484" spans="2:65" ht="21" customHeight="1">
      <c r="B484" s="103" t="str">
        <f t="shared" si="100"/>
        <v>►</v>
      </c>
      <c r="C484" s="163" t="str">
        <f>C370</f>
        <v>MAJUSCULE(GAUCHE(J21;1))&amp;" "&amp;J21&amp;" | "&amp;S21&amp;"| "&amp;J23&amp;" "&amp;K23</v>
      </c>
      <c r="D484" s="163">
        <f>D370</f>
        <v>1</v>
      </c>
      <c r="E484" s="164" t="str">
        <f>E370</f>
        <v>coupe</v>
      </c>
      <c r="F484" s="165" t="str">
        <f>F370</f>
        <v>Recette mère ► MILLE-FEUILLE  aux fraises des bois</v>
      </c>
      <c r="G484" s="1548"/>
      <c r="H484" s="1548"/>
      <c r="I484" s="2190">
        <f>ROWS(M438:M484)</f>
        <v>47</v>
      </c>
      <c r="J484" s="5549" t="str" cm="1">
        <f t="array" ref="J484">IF(SUMPRODUCT((M484:R484&lt;&gt;"")*1)=0,"",SUMPRODUCT((M484:R484&lt;&gt;"")*(LEN(TRIM(SUBSTITUTE(M484:R484,CHAR(160)," "))) - LEN(SUBSTITUTE(TRIM(SUBSTITUTE(M484:R484,CHAR(160)," "))," ","")) + 1)) &amp; " mot" &amp; IF(SUMPRODUCT((M484:R484&lt;&gt;"")*(LEN(TRIM(SUBSTITUTE(M484:R484,CHAR(160)," "))) - LEN(SUBSTITUTE(TRIM(SUBSTITUTE(M484:R484,CHAR(160)," "))," ","")) + 1))&gt;1,"s",""))</f>
        <v/>
      </c>
      <c r="K484" s="5550" t="str" cm="1">
        <f t="array" ref="K484">SUMPRODUCT(--(M484:R484&lt;&gt;""), LEN(TRIM(SUBSTITUTE(M484:R484, CHAR(160), "")))) &amp; " Car."</f>
        <v>0 Car.</v>
      </c>
      <c r="L484" s="1376" t="str">
        <f>IF(ISBLANK(M484),"",LARGE(L437:L483,1)+1)</f>
        <v/>
      </c>
      <c r="M484" s="1810"/>
      <c r="N484" s="1810"/>
      <c r="O484" s="1810"/>
      <c r="P484" s="1810"/>
      <c r="Q484" s="1810"/>
      <c r="R484" s="1810"/>
      <c r="S484" s="1810"/>
      <c r="T484" s="1810"/>
      <c r="U484" s="1811"/>
      <c r="W484" s="103" t="str">
        <f t="shared" si="101"/>
        <v>►</v>
      </c>
      <c r="X484" s="163" t="str">
        <f>X370</f>
        <v>N NAME OF YOUR RECIPE | paste it — FAMILY|  Author &gt; YOU</v>
      </c>
      <c r="Y484" s="163">
        <f>Y370</f>
        <v>1</v>
      </c>
      <c r="Z484" s="164" t="str">
        <f>Z370</f>
        <v>coupe</v>
      </c>
      <c r="AA484" s="165" t="str">
        <f>AA370</f>
        <v>Master recipe ► MILLE-FEUILLE  aux fraises des bois</v>
      </c>
      <c r="AB484" s="1548"/>
      <c r="AC484" s="1548"/>
      <c r="AD484" s="2190">
        <f>ROWS(AH438:AH484)</f>
        <v>47</v>
      </c>
      <c r="AE484" s="5549" t="str" cm="1">
        <f t="array" ref="AE484">IF(SUMPRODUCT((AH484:AM484&lt;&gt;"")*1)=0,"",SUMPRODUCT((AH484:AM484&lt;&gt;"")*(LEN(TRIM(SUBSTITUTE(AH484:AM484,CHAR(160)," "))) - LEN(SUBSTITUTE(TRIM(SUBSTITUTE(AH484:AM484,CHAR(160)," "))," ","")) + 1)) &amp; " word" &amp; IF(SUMPRODUCT((AH484:AM484&lt;&gt;"")*(LEN(TRIM(SUBSTITUTE(AH484:AM484,CHAR(160)," "))) - LEN(SUBSTITUTE(TRIM(SUBSTITUTE(AH484:AM484,CHAR(160)," "))," ","")) + 1))&gt;1,"s",""))</f>
        <v/>
      </c>
      <c r="AF484" s="5550" t="str" cm="1">
        <f t="array" ref="AF484">SUMPRODUCT(--(AH484:AM484&lt;&gt;""), LEN(TRIM(SUBSTITUTE(AH484:AM484, CHAR(160), "")))) &amp; " Car."</f>
        <v>0 Car.</v>
      </c>
      <c r="AG484" s="1376" t="str">
        <f>IF(ISBLANK(AH484),"",LARGE(AG437:AG483,1)+1)</f>
        <v/>
      </c>
      <c r="AH484" s="1833"/>
      <c r="AI484" s="1810"/>
      <c r="AJ484" s="1810"/>
      <c r="AK484" s="1810"/>
      <c r="AL484" s="1810"/>
      <c r="AM484" s="1810"/>
      <c r="AN484" s="1810"/>
      <c r="AO484" s="1810"/>
      <c r="AP484" s="1811"/>
      <c r="AR484" s="103" t="str">
        <f t="shared" si="102"/>
        <v>►</v>
      </c>
      <c r="AS484" s="163" t="str">
        <f>AS370</f>
        <v>N NOMBRE DE SU RECETA | pegue esto — FAMILIA| Auteur &gt; VOUS</v>
      </c>
      <c r="AT484" s="163">
        <f>AT370</f>
        <v>1</v>
      </c>
      <c r="AU484" s="164" t="str">
        <f>AU370</f>
        <v>coupe</v>
      </c>
      <c r="AV484" s="165" t="str">
        <f>AV370</f>
        <v>Receta madre ► MILLE-FEUILLE  aux fraises des bois</v>
      </c>
      <c r="AW484" s="1548"/>
      <c r="AX484" s="1548"/>
      <c r="AY484" s="2190">
        <f>ROWS(BC438:BC484)</f>
        <v>47</v>
      </c>
      <c r="AZ484" s="5549" t="str" cm="1">
        <f t="array" ref="AZ484">IF(SUMPRODUCT((BC484:BH484&lt;&gt;"")*1)=0,"",SUMPRODUCT((BC484:BH484&lt;&gt;"")*(LEN(TRIM(SUBSTITUTE(BC484:BH484,CHAR(160)," "))) - LEN(SUBSTITUTE(TRIM(SUBSTITUTE(BC484:BH484,CHAR(160)," "))," ","")) + 1)) &amp; " palabra" &amp; IF(SUMPRODUCT((BC484:BH484&lt;&gt;"")*(LEN(TRIM(SUBSTITUTE(BC484:BH484,CHAR(160)," "))) - LEN(SUBSTITUTE(TRIM(SUBSTITUTE(BC484:BH484,CHAR(160)," "))," ","")) + 1))&gt;1,"s",""))</f>
        <v/>
      </c>
      <c r="BA484" s="5550" t="str" cm="1">
        <f t="array" ref="BA484">SUMPRODUCT(--(BC484:BH484&lt;&gt;""), LEN(TRIM(SUBSTITUTE(BC484:BH484, CHAR(160), "")))) &amp; " Car."</f>
        <v>0 Car.</v>
      </c>
      <c r="BB484" s="1376" t="str">
        <f>IF(ISBLANK(BC484),"",LARGE(BB437:BB483,1)+1)</f>
        <v/>
      </c>
      <c r="BC484" s="1833"/>
      <c r="BD484" s="1810"/>
      <c r="BE484" s="1810"/>
      <c r="BF484" s="1810"/>
      <c r="BG484" s="1810"/>
      <c r="BH484" s="1810"/>
      <c r="BI484" s="1810"/>
      <c r="BJ484" s="1810"/>
      <c r="BK484" s="1811"/>
      <c r="BM484" s="3">
        <v>1</v>
      </c>
    </row>
    <row r="485" spans="2:65" ht="21" customHeight="1">
      <c r="B485" s="103" t="str">
        <f t="shared" si="100"/>
        <v>►</v>
      </c>
      <c r="C485" s="163" t="str">
        <f>C370</f>
        <v>MAJUSCULE(GAUCHE(J21;1))&amp;" "&amp;J21&amp;" | "&amp;S21&amp;"| "&amp;J23&amp;" "&amp;K23</v>
      </c>
      <c r="D485" s="163">
        <f>D370</f>
        <v>1</v>
      </c>
      <c r="E485" s="164" t="str">
        <f>E370</f>
        <v>coupe</v>
      </c>
      <c r="F485" s="165" t="str">
        <f>F370</f>
        <v>Recette mère ► MILLE-FEUILLE  aux fraises des bois</v>
      </c>
      <c r="G485" s="1548"/>
      <c r="H485" s="1548"/>
      <c r="I485" s="2190">
        <f>ROWS(M438:M485)</f>
        <v>48</v>
      </c>
      <c r="J485" s="5549" t="str" cm="1">
        <f t="array" ref="J485">IF(SUMPRODUCT((M485:R485&lt;&gt;"")*1)=0,"",SUMPRODUCT((M485:R485&lt;&gt;"")*(LEN(TRIM(SUBSTITUTE(M485:R485,CHAR(160)," "))) - LEN(SUBSTITUTE(TRIM(SUBSTITUTE(M485:R485,CHAR(160)," "))," ","")) + 1)) &amp; " mot" &amp; IF(SUMPRODUCT((M485:R485&lt;&gt;"")*(LEN(TRIM(SUBSTITUTE(M485:R485,CHAR(160)," "))) - LEN(SUBSTITUTE(TRIM(SUBSTITUTE(M485:R485,CHAR(160)," "))," ","")) + 1))&gt;1,"s",""))</f>
        <v/>
      </c>
      <c r="K485" s="5550" t="str" cm="1">
        <f t="array" ref="K485">SUMPRODUCT(--(M485:R485&lt;&gt;""), LEN(TRIM(SUBSTITUTE(M485:R485, CHAR(160), "")))) &amp; " Car."</f>
        <v>0 Car.</v>
      </c>
      <c r="L485" s="1376" t="str">
        <f>IF(ISBLANK(M485),"",LARGE(L437:L484,1)+1)</f>
        <v/>
      </c>
      <c r="M485" s="1810"/>
      <c r="N485" s="1810"/>
      <c r="O485" s="1810"/>
      <c r="P485" s="1810"/>
      <c r="Q485" s="1810"/>
      <c r="R485" s="1810"/>
      <c r="S485" s="1810"/>
      <c r="T485" s="1810"/>
      <c r="U485" s="1811"/>
      <c r="W485" s="103" t="str">
        <f t="shared" si="101"/>
        <v>►</v>
      </c>
      <c r="X485" s="163" t="str">
        <f>X370</f>
        <v>N NAME OF YOUR RECIPE | paste it — FAMILY|  Author &gt; YOU</v>
      </c>
      <c r="Y485" s="163">
        <f>Y370</f>
        <v>1</v>
      </c>
      <c r="Z485" s="164" t="str">
        <f>Z370</f>
        <v>coupe</v>
      </c>
      <c r="AA485" s="165" t="str">
        <f>AA370</f>
        <v>Master recipe ► MILLE-FEUILLE  aux fraises des bois</v>
      </c>
      <c r="AB485" s="1548"/>
      <c r="AC485" s="1548"/>
      <c r="AD485" s="2190">
        <f>ROWS(AH438:AH485)</f>
        <v>48</v>
      </c>
      <c r="AE485" s="5549" t="str" cm="1">
        <f t="array" ref="AE485">IF(SUMPRODUCT((AH485:AM485&lt;&gt;"")*1)=0,"",SUMPRODUCT((AH485:AM485&lt;&gt;"")*(LEN(TRIM(SUBSTITUTE(AH485:AM485,CHAR(160)," "))) - LEN(SUBSTITUTE(TRIM(SUBSTITUTE(AH485:AM485,CHAR(160)," "))," ","")) + 1)) &amp; " word" &amp; IF(SUMPRODUCT((AH485:AM485&lt;&gt;"")*(LEN(TRIM(SUBSTITUTE(AH485:AM485,CHAR(160)," "))) - LEN(SUBSTITUTE(TRIM(SUBSTITUTE(AH485:AM485,CHAR(160)," "))," ","")) + 1))&gt;1,"s",""))</f>
        <v/>
      </c>
      <c r="AF485" s="5550" t="str" cm="1">
        <f t="array" ref="AF485">SUMPRODUCT(--(AH485:AM485&lt;&gt;""), LEN(TRIM(SUBSTITUTE(AH485:AM485, CHAR(160), "")))) &amp; " Car."</f>
        <v>0 Car.</v>
      </c>
      <c r="AG485" s="1376" t="str">
        <f>IF(ISBLANK(AH485),"",LARGE(AG437:AG484,1)+1)</f>
        <v/>
      </c>
      <c r="AH485" s="1833"/>
      <c r="AI485" s="1810"/>
      <c r="AJ485" s="1810"/>
      <c r="AK485" s="1810"/>
      <c r="AL485" s="1810"/>
      <c r="AM485" s="1810"/>
      <c r="AN485" s="1810"/>
      <c r="AO485" s="1810"/>
      <c r="AP485" s="1811"/>
      <c r="AR485" s="103" t="str">
        <f t="shared" si="102"/>
        <v>►</v>
      </c>
      <c r="AS485" s="163" t="str">
        <f>AS370</f>
        <v>N NOMBRE DE SU RECETA | pegue esto — FAMILIA| Auteur &gt; VOUS</v>
      </c>
      <c r="AT485" s="163">
        <f>AT370</f>
        <v>1</v>
      </c>
      <c r="AU485" s="164" t="str">
        <f>AU370</f>
        <v>coupe</v>
      </c>
      <c r="AV485" s="165" t="str">
        <f>AV370</f>
        <v>Receta madre ► MILLE-FEUILLE  aux fraises des bois</v>
      </c>
      <c r="AW485" s="1548"/>
      <c r="AX485" s="1548"/>
      <c r="AY485" s="2190">
        <f>ROWS(BC438:BC485)</f>
        <v>48</v>
      </c>
      <c r="AZ485" s="5549" t="str" cm="1">
        <f t="array" ref="AZ485">IF(SUMPRODUCT((BC485:BH485&lt;&gt;"")*1)=0,"",SUMPRODUCT((BC485:BH485&lt;&gt;"")*(LEN(TRIM(SUBSTITUTE(BC485:BH485,CHAR(160)," "))) - LEN(SUBSTITUTE(TRIM(SUBSTITUTE(BC485:BH485,CHAR(160)," "))," ","")) + 1)) &amp; " palabra" &amp; IF(SUMPRODUCT((BC485:BH485&lt;&gt;"")*(LEN(TRIM(SUBSTITUTE(BC485:BH485,CHAR(160)," "))) - LEN(SUBSTITUTE(TRIM(SUBSTITUTE(BC485:BH485,CHAR(160)," "))," ","")) + 1))&gt;1,"s",""))</f>
        <v/>
      </c>
      <c r="BA485" s="5550" t="str" cm="1">
        <f t="array" ref="BA485">SUMPRODUCT(--(BC485:BH485&lt;&gt;""), LEN(TRIM(SUBSTITUTE(BC485:BH485, CHAR(160), "")))) &amp; " Car."</f>
        <v>0 Car.</v>
      </c>
      <c r="BB485" s="1376" t="str">
        <f>IF(ISBLANK(BC485),"",LARGE(BB437:BB484,1)+1)</f>
        <v/>
      </c>
      <c r="BC485" s="1833"/>
      <c r="BD485" s="1810"/>
      <c r="BE485" s="1810"/>
      <c r="BF485" s="1810"/>
      <c r="BG485" s="1810"/>
      <c r="BH485" s="1810"/>
      <c r="BI485" s="1810"/>
      <c r="BJ485" s="1810"/>
      <c r="BK485" s="1811"/>
      <c r="BM485" s="3">
        <v>1</v>
      </c>
    </row>
    <row r="486" spans="2:65" ht="21" customHeight="1">
      <c r="B486" s="103" t="str">
        <f t="shared" si="100"/>
        <v>►</v>
      </c>
      <c r="C486" s="163" t="str">
        <f>C370</f>
        <v>MAJUSCULE(GAUCHE(J21;1))&amp;" "&amp;J21&amp;" | "&amp;S21&amp;"| "&amp;J23&amp;" "&amp;K23</v>
      </c>
      <c r="D486" s="163">
        <f>D370</f>
        <v>1</v>
      </c>
      <c r="E486" s="164" t="str">
        <f>E370</f>
        <v>coupe</v>
      </c>
      <c r="F486" s="165" t="str">
        <f>F370</f>
        <v>Recette mère ► MILLE-FEUILLE  aux fraises des bois</v>
      </c>
      <c r="G486" s="1548"/>
      <c r="H486" s="1548"/>
      <c r="I486" s="2190">
        <f>ROWS(M438:M486)</f>
        <v>49</v>
      </c>
      <c r="J486" s="5549" t="str" cm="1">
        <f t="array" ref="J486">IF(SUMPRODUCT((M486:R486&lt;&gt;"")*1)=0,"",SUMPRODUCT((M486:R486&lt;&gt;"")*(LEN(TRIM(SUBSTITUTE(M486:R486,CHAR(160)," "))) - LEN(SUBSTITUTE(TRIM(SUBSTITUTE(M486:R486,CHAR(160)," "))," ","")) + 1)) &amp; " mot" &amp; IF(SUMPRODUCT((M486:R486&lt;&gt;"")*(LEN(TRIM(SUBSTITUTE(M486:R486,CHAR(160)," "))) - LEN(SUBSTITUTE(TRIM(SUBSTITUTE(M486:R486,CHAR(160)," "))," ","")) + 1))&gt;1,"s",""))</f>
        <v/>
      </c>
      <c r="K486" s="5550" t="str" cm="1">
        <f t="array" ref="K486">SUMPRODUCT(--(M486:R486&lt;&gt;""), LEN(TRIM(SUBSTITUTE(M486:R486, CHAR(160), "")))) &amp; " Car."</f>
        <v>0 Car.</v>
      </c>
      <c r="L486" s="1376" t="str">
        <f>IF(ISBLANK(M486),"",LARGE(L437:L485,1)+1)</f>
        <v/>
      </c>
      <c r="M486" s="1810"/>
      <c r="N486" s="1810"/>
      <c r="O486" s="1810"/>
      <c r="P486" s="1810"/>
      <c r="Q486" s="1810"/>
      <c r="R486" s="1810"/>
      <c r="S486" s="1810"/>
      <c r="T486" s="1810"/>
      <c r="U486" s="1811"/>
      <c r="W486" s="103" t="str">
        <f t="shared" si="101"/>
        <v>►</v>
      </c>
      <c r="X486" s="163" t="str">
        <f>X370</f>
        <v>N NAME OF YOUR RECIPE | paste it — FAMILY|  Author &gt; YOU</v>
      </c>
      <c r="Y486" s="163">
        <f>Y370</f>
        <v>1</v>
      </c>
      <c r="Z486" s="164" t="str">
        <f>Z370</f>
        <v>coupe</v>
      </c>
      <c r="AA486" s="165" t="str">
        <f>AA370</f>
        <v>Master recipe ► MILLE-FEUILLE  aux fraises des bois</v>
      </c>
      <c r="AB486" s="1548"/>
      <c r="AC486" s="1548"/>
      <c r="AD486" s="2190">
        <f>ROWS(AH438:AH486)</f>
        <v>49</v>
      </c>
      <c r="AE486" s="5549" t="str" cm="1">
        <f t="array" ref="AE486">IF(SUMPRODUCT((AH486:AM486&lt;&gt;"")*1)=0,"",SUMPRODUCT((AH486:AM486&lt;&gt;"")*(LEN(TRIM(SUBSTITUTE(AH486:AM486,CHAR(160)," "))) - LEN(SUBSTITUTE(TRIM(SUBSTITUTE(AH486:AM486,CHAR(160)," "))," ","")) + 1)) &amp; " word" &amp; IF(SUMPRODUCT((AH486:AM486&lt;&gt;"")*(LEN(TRIM(SUBSTITUTE(AH486:AM486,CHAR(160)," "))) - LEN(SUBSTITUTE(TRIM(SUBSTITUTE(AH486:AM486,CHAR(160)," "))," ","")) + 1))&gt;1,"s",""))</f>
        <v/>
      </c>
      <c r="AF486" s="5550" t="str" cm="1">
        <f t="array" ref="AF486">SUMPRODUCT(--(AH486:AM486&lt;&gt;""), LEN(TRIM(SUBSTITUTE(AH486:AM486, CHAR(160), "")))) &amp; " Car."</f>
        <v>0 Car.</v>
      </c>
      <c r="AG486" s="1376" t="str">
        <f>IF(ISBLANK(AH486),"",LARGE(AG437:AG485,1)+1)</f>
        <v/>
      </c>
      <c r="AH486" s="1833"/>
      <c r="AI486" s="1810"/>
      <c r="AJ486" s="1810"/>
      <c r="AK486" s="1810"/>
      <c r="AL486" s="1810"/>
      <c r="AM486" s="1810"/>
      <c r="AN486" s="1810"/>
      <c r="AO486" s="1810"/>
      <c r="AP486" s="1811"/>
      <c r="AR486" s="103" t="str">
        <f t="shared" si="102"/>
        <v>►</v>
      </c>
      <c r="AS486" s="163" t="str">
        <f>AS370</f>
        <v>N NOMBRE DE SU RECETA | pegue esto — FAMILIA| Auteur &gt; VOUS</v>
      </c>
      <c r="AT486" s="163">
        <f>AT370</f>
        <v>1</v>
      </c>
      <c r="AU486" s="164" t="str">
        <f>AU370</f>
        <v>coupe</v>
      </c>
      <c r="AV486" s="165" t="str">
        <f>AV370</f>
        <v>Receta madre ► MILLE-FEUILLE  aux fraises des bois</v>
      </c>
      <c r="AW486" s="1548"/>
      <c r="AX486" s="1548"/>
      <c r="AY486" s="2190">
        <f>ROWS(BC438:BC486)</f>
        <v>49</v>
      </c>
      <c r="AZ486" s="5549" t="str" cm="1">
        <f t="array" ref="AZ486">IF(SUMPRODUCT((BC486:BH486&lt;&gt;"")*1)=0,"",SUMPRODUCT((BC486:BH486&lt;&gt;"")*(LEN(TRIM(SUBSTITUTE(BC486:BH486,CHAR(160)," "))) - LEN(SUBSTITUTE(TRIM(SUBSTITUTE(BC486:BH486,CHAR(160)," "))," ","")) + 1)) &amp; " palabra" &amp; IF(SUMPRODUCT((BC486:BH486&lt;&gt;"")*(LEN(TRIM(SUBSTITUTE(BC486:BH486,CHAR(160)," "))) - LEN(SUBSTITUTE(TRIM(SUBSTITUTE(BC486:BH486,CHAR(160)," "))," ","")) + 1))&gt;1,"s",""))</f>
        <v/>
      </c>
      <c r="BA486" s="5550" t="str" cm="1">
        <f t="array" ref="BA486">SUMPRODUCT(--(BC486:BH486&lt;&gt;""), LEN(TRIM(SUBSTITUTE(BC486:BH486, CHAR(160), "")))) &amp; " Car."</f>
        <v>0 Car.</v>
      </c>
      <c r="BB486" s="1376" t="str">
        <f>IF(ISBLANK(BC486),"",LARGE(BB437:BB485,1)+1)</f>
        <v/>
      </c>
      <c r="BC486" s="1833"/>
      <c r="BD486" s="1810"/>
      <c r="BE486" s="1810"/>
      <c r="BF486" s="1810"/>
      <c r="BG486" s="1810"/>
      <c r="BH486" s="1810"/>
      <c r="BI486" s="1810"/>
      <c r="BJ486" s="1810"/>
      <c r="BK486" s="1811"/>
      <c r="BM486" s="3">
        <v>1</v>
      </c>
    </row>
    <row r="487" spans="2:65" ht="21" customHeight="1">
      <c r="B487" s="103" t="str">
        <f t="shared" si="100"/>
        <v>►</v>
      </c>
      <c r="C487" s="163" t="str">
        <f>C370</f>
        <v>MAJUSCULE(GAUCHE(J21;1))&amp;" "&amp;J21&amp;" | "&amp;S21&amp;"| "&amp;J23&amp;" "&amp;K23</v>
      </c>
      <c r="D487" s="163">
        <f>D370</f>
        <v>1</v>
      </c>
      <c r="E487" s="164" t="str">
        <f>E370</f>
        <v>coupe</v>
      </c>
      <c r="F487" s="165" t="str">
        <f>F370</f>
        <v>Recette mère ► MILLE-FEUILLE  aux fraises des bois</v>
      </c>
      <c r="G487" s="1548"/>
      <c r="H487" s="1548"/>
      <c r="I487" s="2190">
        <f>ROWS(M438:M487)</f>
        <v>50</v>
      </c>
      <c r="J487" s="5549" t="str" cm="1">
        <f t="array" ref="J487">IF(SUMPRODUCT((M487:R487&lt;&gt;"")*1)=0,"",SUMPRODUCT((M487:R487&lt;&gt;"")*(LEN(TRIM(SUBSTITUTE(M487:R487,CHAR(160)," "))) - LEN(SUBSTITUTE(TRIM(SUBSTITUTE(M487:R487,CHAR(160)," "))," ","")) + 1)) &amp; " mot" &amp; IF(SUMPRODUCT((M487:R487&lt;&gt;"")*(LEN(TRIM(SUBSTITUTE(M487:R487,CHAR(160)," "))) - LEN(SUBSTITUTE(TRIM(SUBSTITUTE(M487:R487,CHAR(160)," "))," ","")) + 1))&gt;1,"s",""))</f>
        <v/>
      </c>
      <c r="K487" s="5550" t="str" cm="1">
        <f t="array" ref="K487">SUMPRODUCT(--(M487:R487&lt;&gt;""), LEN(TRIM(SUBSTITUTE(M487:R487, CHAR(160), "")))) &amp; " Car."</f>
        <v>0 Car.</v>
      </c>
      <c r="L487" s="1376" t="str">
        <f>IF(ISBLANK(M487),"",LARGE(L437:L486,1)+1)</f>
        <v/>
      </c>
      <c r="M487" s="1810"/>
      <c r="N487" s="1810"/>
      <c r="O487" s="1810"/>
      <c r="P487" s="1810"/>
      <c r="Q487" s="1810"/>
      <c r="R487" s="1810"/>
      <c r="S487" s="1810"/>
      <c r="T487" s="1810"/>
      <c r="U487" s="1811"/>
      <c r="W487" s="103" t="str">
        <f t="shared" si="101"/>
        <v>►</v>
      </c>
      <c r="X487" s="163" t="str">
        <f>X370</f>
        <v>N NAME OF YOUR RECIPE | paste it — FAMILY|  Author &gt; YOU</v>
      </c>
      <c r="Y487" s="163">
        <f>Y370</f>
        <v>1</v>
      </c>
      <c r="Z487" s="164" t="str">
        <f>Z370</f>
        <v>coupe</v>
      </c>
      <c r="AA487" s="165" t="str">
        <f>AA370</f>
        <v>Master recipe ► MILLE-FEUILLE  aux fraises des bois</v>
      </c>
      <c r="AB487" s="1548"/>
      <c r="AC487" s="1548"/>
      <c r="AD487" s="2190">
        <f>ROWS(AH438:AH487)</f>
        <v>50</v>
      </c>
      <c r="AE487" s="5549" t="str" cm="1">
        <f t="array" ref="AE487">IF(SUMPRODUCT((AH487:AM487&lt;&gt;"")*1)=0,"",SUMPRODUCT((AH487:AM487&lt;&gt;"")*(LEN(TRIM(SUBSTITUTE(AH487:AM487,CHAR(160)," "))) - LEN(SUBSTITUTE(TRIM(SUBSTITUTE(AH487:AM487,CHAR(160)," "))," ","")) + 1)) &amp; " word" &amp; IF(SUMPRODUCT((AH487:AM487&lt;&gt;"")*(LEN(TRIM(SUBSTITUTE(AH487:AM487,CHAR(160)," "))) - LEN(SUBSTITUTE(TRIM(SUBSTITUTE(AH487:AM487,CHAR(160)," "))," ","")) + 1))&gt;1,"s",""))</f>
        <v/>
      </c>
      <c r="AF487" s="5550" t="str" cm="1">
        <f t="array" ref="AF487">SUMPRODUCT(--(AH487:AM487&lt;&gt;""), LEN(TRIM(SUBSTITUTE(AH487:AM487, CHAR(160), "")))) &amp; " Car."</f>
        <v>0 Car.</v>
      </c>
      <c r="AG487" s="1376" t="str">
        <f>IF(ISBLANK(AH487),"",LARGE(AG437:AG486,1)+1)</f>
        <v/>
      </c>
      <c r="AH487" s="1833"/>
      <c r="AI487" s="1810"/>
      <c r="AJ487" s="1810"/>
      <c r="AK487" s="1810"/>
      <c r="AL487" s="1810"/>
      <c r="AM487" s="1810"/>
      <c r="AN487" s="1810"/>
      <c r="AO487" s="1810"/>
      <c r="AP487" s="1811"/>
      <c r="AR487" s="103" t="str">
        <f t="shared" si="102"/>
        <v>►</v>
      </c>
      <c r="AS487" s="163" t="str">
        <f>AS370</f>
        <v>N NOMBRE DE SU RECETA | pegue esto — FAMILIA| Auteur &gt; VOUS</v>
      </c>
      <c r="AT487" s="163">
        <f>AT370</f>
        <v>1</v>
      </c>
      <c r="AU487" s="164" t="str">
        <f>AU370</f>
        <v>coupe</v>
      </c>
      <c r="AV487" s="165" t="str">
        <f>AV370</f>
        <v>Receta madre ► MILLE-FEUILLE  aux fraises des bois</v>
      </c>
      <c r="AW487" s="1548"/>
      <c r="AX487" s="1548"/>
      <c r="AY487" s="2190">
        <f>ROWS(BC438:BC487)</f>
        <v>50</v>
      </c>
      <c r="AZ487" s="5549" t="str" cm="1">
        <f t="array" ref="AZ487">IF(SUMPRODUCT((BC487:BH487&lt;&gt;"")*1)=0,"",SUMPRODUCT((BC487:BH487&lt;&gt;"")*(LEN(TRIM(SUBSTITUTE(BC487:BH487,CHAR(160)," "))) - LEN(SUBSTITUTE(TRIM(SUBSTITUTE(BC487:BH487,CHAR(160)," "))," ","")) + 1)) &amp; " palabra" &amp; IF(SUMPRODUCT((BC487:BH487&lt;&gt;"")*(LEN(TRIM(SUBSTITUTE(BC487:BH487,CHAR(160)," "))) - LEN(SUBSTITUTE(TRIM(SUBSTITUTE(BC487:BH487,CHAR(160)," "))," ","")) + 1))&gt;1,"s",""))</f>
        <v/>
      </c>
      <c r="BA487" s="5550" t="str" cm="1">
        <f t="array" ref="BA487">SUMPRODUCT(--(BC487:BH487&lt;&gt;""), LEN(TRIM(SUBSTITUTE(BC487:BH487, CHAR(160), "")))) &amp; " Car."</f>
        <v>0 Car.</v>
      </c>
      <c r="BB487" s="1376" t="str">
        <f>IF(ISBLANK(BC487),"",LARGE(BB437:BB486,1)+1)</f>
        <v/>
      </c>
      <c r="BC487" s="1833"/>
      <c r="BD487" s="1810"/>
      <c r="BE487" s="1810"/>
      <c r="BF487" s="1810"/>
      <c r="BG487" s="1810"/>
      <c r="BH487" s="1810"/>
      <c r="BI487" s="1810"/>
      <c r="BJ487" s="1810"/>
      <c r="BK487" s="1811"/>
      <c r="BM487" s="3">
        <v>1</v>
      </c>
    </row>
    <row r="488" spans="2:65" ht="21" customHeight="1">
      <c r="B488" s="103" t="str">
        <f t="shared" si="100"/>
        <v>►</v>
      </c>
      <c r="C488" s="163" t="str">
        <f>C370</f>
        <v>MAJUSCULE(GAUCHE(J21;1))&amp;" "&amp;J21&amp;" | "&amp;S21&amp;"| "&amp;J23&amp;" "&amp;K23</v>
      </c>
      <c r="D488" s="163">
        <f>D370</f>
        <v>1</v>
      </c>
      <c r="E488" s="164" t="str">
        <f>E370</f>
        <v>coupe</v>
      </c>
      <c r="F488" s="165" t="str">
        <f>F370</f>
        <v>Recette mère ► MILLE-FEUILLE  aux fraises des bois</v>
      </c>
      <c r="G488" s="1548"/>
      <c r="H488" s="1548"/>
      <c r="I488" s="2190">
        <f>ROWS(M438:M488)</f>
        <v>51</v>
      </c>
      <c r="J488" s="5549" t="str" cm="1">
        <f t="array" ref="J488">IF(SUMPRODUCT((M488:R488&lt;&gt;"")*1)=0,"",SUMPRODUCT((M488:R488&lt;&gt;"")*(LEN(TRIM(SUBSTITUTE(M488:R488,CHAR(160)," "))) - LEN(SUBSTITUTE(TRIM(SUBSTITUTE(M488:R488,CHAR(160)," "))," ","")) + 1)) &amp; " mot" &amp; IF(SUMPRODUCT((M488:R488&lt;&gt;"")*(LEN(TRIM(SUBSTITUTE(M488:R488,CHAR(160)," "))) - LEN(SUBSTITUTE(TRIM(SUBSTITUTE(M488:R488,CHAR(160)," "))," ","")) + 1))&gt;1,"s",""))</f>
        <v/>
      </c>
      <c r="K488" s="5550" t="str" cm="1">
        <f t="array" ref="K488">SUMPRODUCT(--(M488:R488&lt;&gt;""), LEN(TRIM(SUBSTITUTE(M488:R488, CHAR(160), "")))) &amp; " Car."</f>
        <v>0 Car.</v>
      </c>
      <c r="L488" s="1376" t="str">
        <f>IF(ISBLANK(M488),"",LARGE(L437:L487,1)+1)</f>
        <v/>
      </c>
      <c r="M488" s="1810"/>
      <c r="N488" s="1810"/>
      <c r="O488" s="1810"/>
      <c r="P488" s="1810"/>
      <c r="Q488" s="1810"/>
      <c r="R488" s="1810"/>
      <c r="S488" s="1810"/>
      <c r="T488" s="1810"/>
      <c r="U488" s="1811"/>
      <c r="W488" s="103" t="str">
        <f t="shared" si="101"/>
        <v>►</v>
      </c>
      <c r="X488" s="163" t="str">
        <f>X370</f>
        <v>N NAME OF YOUR RECIPE | paste it — FAMILY|  Author &gt; YOU</v>
      </c>
      <c r="Y488" s="163">
        <f>Y370</f>
        <v>1</v>
      </c>
      <c r="Z488" s="164" t="str">
        <f>Z370</f>
        <v>coupe</v>
      </c>
      <c r="AA488" s="165" t="str">
        <f>AA370</f>
        <v>Master recipe ► MILLE-FEUILLE  aux fraises des bois</v>
      </c>
      <c r="AB488" s="1548"/>
      <c r="AC488" s="1548"/>
      <c r="AD488" s="2190">
        <f>ROWS(AH438:AH488)</f>
        <v>51</v>
      </c>
      <c r="AE488" s="5549" t="str" cm="1">
        <f t="array" ref="AE488">IF(SUMPRODUCT((AH488:AM488&lt;&gt;"")*1)=0,"",SUMPRODUCT((AH488:AM488&lt;&gt;"")*(LEN(TRIM(SUBSTITUTE(AH488:AM488,CHAR(160)," "))) - LEN(SUBSTITUTE(TRIM(SUBSTITUTE(AH488:AM488,CHAR(160)," "))," ","")) + 1)) &amp; " word" &amp; IF(SUMPRODUCT((AH488:AM488&lt;&gt;"")*(LEN(TRIM(SUBSTITUTE(AH488:AM488,CHAR(160)," "))) - LEN(SUBSTITUTE(TRIM(SUBSTITUTE(AH488:AM488,CHAR(160)," "))," ","")) + 1))&gt;1,"s",""))</f>
        <v/>
      </c>
      <c r="AF488" s="5550" t="str" cm="1">
        <f t="array" ref="AF488">SUMPRODUCT(--(AH488:AM488&lt;&gt;""), LEN(TRIM(SUBSTITUTE(AH488:AM488, CHAR(160), "")))) &amp; " Car."</f>
        <v>0 Car.</v>
      </c>
      <c r="AG488" s="1376" t="str">
        <f>IF(ISBLANK(AH488),"",LARGE(AG437:AG487,1)+1)</f>
        <v/>
      </c>
      <c r="AH488" s="1833"/>
      <c r="AI488" s="1810"/>
      <c r="AJ488" s="1810"/>
      <c r="AK488" s="1810"/>
      <c r="AL488" s="1810"/>
      <c r="AM488" s="1810"/>
      <c r="AN488" s="1810"/>
      <c r="AO488" s="1810"/>
      <c r="AP488" s="1811"/>
      <c r="AR488" s="103" t="str">
        <f t="shared" si="102"/>
        <v>►</v>
      </c>
      <c r="AS488" s="163" t="str">
        <f>AS370</f>
        <v>N NOMBRE DE SU RECETA | pegue esto — FAMILIA| Auteur &gt; VOUS</v>
      </c>
      <c r="AT488" s="163">
        <f>AT370</f>
        <v>1</v>
      </c>
      <c r="AU488" s="164" t="str">
        <f>AU370</f>
        <v>coupe</v>
      </c>
      <c r="AV488" s="165" t="str">
        <f>AV370</f>
        <v>Receta madre ► MILLE-FEUILLE  aux fraises des bois</v>
      </c>
      <c r="AW488" s="1548"/>
      <c r="AX488" s="1548"/>
      <c r="AY488" s="2190">
        <f>ROWS(BC438:BC488)</f>
        <v>51</v>
      </c>
      <c r="AZ488" s="5549" t="str" cm="1">
        <f t="array" ref="AZ488">IF(SUMPRODUCT((BC488:BH488&lt;&gt;"")*1)=0,"",SUMPRODUCT((BC488:BH488&lt;&gt;"")*(LEN(TRIM(SUBSTITUTE(BC488:BH488,CHAR(160)," "))) - LEN(SUBSTITUTE(TRIM(SUBSTITUTE(BC488:BH488,CHAR(160)," "))," ","")) + 1)) &amp; " palabra" &amp; IF(SUMPRODUCT((BC488:BH488&lt;&gt;"")*(LEN(TRIM(SUBSTITUTE(BC488:BH488,CHAR(160)," "))) - LEN(SUBSTITUTE(TRIM(SUBSTITUTE(BC488:BH488,CHAR(160)," "))," ","")) + 1))&gt;1,"s",""))</f>
        <v/>
      </c>
      <c r="BA488" s="5550" t="str" cm="1">
        <f t="array" ref="BA488">SUMPRODUCT(--(BC488:BH488&lt;&gt;""), LEN(TRIM(SUBSTITUTE(BC488:BH488, CHAR(160), "")))) &amp; " Car."</f>
        <v>0 Car.</v>
      </c>
      <c r="BB488" s="1376" t="str">
        <f>IF(ISBLANK(BC488),"",LARGE(BB437:BB487,1)+1)</f>
        <v/>
      </c>
      <c r="BC488" s="1833"/>
      <c r="BD488" s="1810"/>
      <c r="BE488" s="1810"/>
      <c r="BF488" s="1810"/>
      <c r="BG488" s="1810"/>
      <c r="BH488" s="1810"/>
      <c r="BI488" s="1810"/>
      <c r="BJ488" s="1810"/>
      <c r="BK488" s="1811"/>
      <c r="BM488" s="3">
        <v>1</v>
      </c>
    </row>
    <row r="489" spans="2:65" ht="21" customHeight="1">
      <c r="B489" s="103" t="str">
        <f t="shared" si="100"/>
        <v>►</v>
      </c>
      <c r="C489" s="163" t="str">
        <f>C370</f>
        <v>MAJUSCULE(GAUCHE(J21;1))&amp;" "&amp;J21&amp;" | "&amp;S21&amp;"| "&amp;J23&amp;" "&amp;K23</v>
      </c>
      <c r="D489" s="163">
        <f>D370</f>
        <v>1</v>
      </c>
      <c r="E489" s="164" t="str">
        <f>E370</f>
        <v>coupe</v>
      </c>
      <c r="F489" s="165" t="str">
        <f>F370</f>
        <v>Recette mère ► MILLE-FEUILLE  aux fraises des bois</v>
      </c>
      <c r="G489" s="1548"/>
      <c r="H489" s="1548"/>
      <c r="I489" s="2190">
        <f>ROWS(M438:M489)</f>
        <v>52</v>
      </c>
      <c r="J489" s="5549" t="str" cm="1">
        <f t="array" ref="J489">IF(SUMPRODUCT((M489:R489&lt;&gt;"")*1)=0,"",SUMPRODUCT((M489:R489&lt;&gt;"")*(LEN(TRIM(SUBSTITUTE(M489:R489,CHAR(160)," "))) - LEN(SUBSTITUTE(TRIM(SUBSTITUTE(M489:R489,CHAR(160)," "))," ","")) + 1)) &amp; " mot" &amp; IF(SUMPRODUCT((M489:R489&lt;&gt;"")*(LEN(TRIM(SUBSTITUTE(M489:R489,CHAR(160)," "))) - LEN(SUBSTITUTE(TRIM(SUBSTITUTE(M489:R489,CHAR(160)," "))," ","")) + 1))&gt;1,"s",""))</f>
        <v/>
      </c>
      <c r="K489" s="5550" t="str" cm="1">
        <f t="array" ref="K489">SUMPRODUCT(--(M489:R489&lt;&gt;""), LEN(TRIM(SUBSTITUTE(M489:R489, CHAR(160), "")))) &amp; " Car."</f>
        <v>0 Car.</v>
      </c>
      <c r="L489" s="1376" t="str">
        <f>IF(ISBLANK(M489),"",LARGE(L437:L488,1)+1)</f>
        <v/>
      </c>
      <c r="M489" s="1810"/>
      <c r="N489" s="1810"/>
      <c r="O489" s="1810"/>
      <c r="P489" s="1810"/>
      <c r="Q489" s="1810"/>
      <c r="R489" s="1810"/>
      <c r="S489" s="1810"/>
      <c r="T489" s="1810"/>
      <c r="U489" s="1811"/>
      <c r="W489" s="103" t="str">
        <f t="shared" si="101"/>
        <v>►</v>
      </c>
      <c r="X489" s="163" t="str">
        <f>X370</f>
        <v>N NAME OF YOUR RECIPE | paste it — FAMILY|  Author &gt; YOU</v>
      </c>
      <c r="Y489" s="163">
        <f>Y370</f>
        <v>1</v>
      </c>
      <c r="Z489" s="164" t="str">
        <f>Z370</f>
        <v>coupe</v>
      </c>
      <c r="AA489" s="165" t="str">
        <f>AA370</f>
        <v>Master recipe ► MILLE-FEUILLE  aux fraises des bois</v>
      </c>
      <c r="AB489" s="1548"/>
      <c r="AC489" s="1548"/>
      <c r="AD489" s="2190">
        <f>ROWS(AH438:AH489)</f>
        <v>52</v>
      </c>
      <c r="AE489" s="5549" t="str" cm="1">
        <f t="array" ref="AE489">IF(SUMPRODUCT((AH489:AM489&lt;&gt;"")*1)=0,"",SUMPRODUCT((AH489:AM489&lt;&gt;"")*(LEN(TRIM(SUBSTITUTE(AH489:AM489,CHAR(160)," "))) - LEN(SUBSTITUTE(TRIM(SUBSTITUTE(AH489:AM489,CHAR(160)," "))," ","")) + 1)) &amp; " word" &amp; IF(SUMPRODUCT((AH489:AM489&lt;&gt;"")*(LEN(TRIM(SUBSTITUTE(AH489:AM489,CHAR(160)," "))) - LEN(SUBSTITUTE(TRIM(SUBSTITUTE(AH489:AM489,CHAR(160)," "))," ","")) + 1))&gt;1,"s",""))</f>
        <v/>
      </c>
      <c r="AF489" s="5550" t="str" cm="1">
        <f t="array" ref="AF489">SUMPRODUCT(--(AH489:AM489&lt;&gt;""), LEN(TRIM(SUBSTITUTE(AH489:AM489, CHAR(160), "")))) &amp; " Car."</f>
        <v>0 Car.</v>
      </c>
      <c r="AG489" s="1376" t="str">
        <f>IF(ISBLANK(AH489),"",LARGE(AG437:AG488,1)+1)</f>
        <v/>
      </c>
      <c r="AH489" s="1833"/>
      <c r="AI489" s="1810"/>
      <c r="AJ489" s="1810"/>
      <c r="AK489" s="1810"/>
      <c r="AL489" s="1810"/>
      <c r="AM489" s="1810"/>
      <c r="AN489" s="1810"/>
      <c r="AO489" s="1810"/>
      <c r="AP489" s="1811"/>
      <c r="AR489" s="103" t="str">
        <f t="shared" si="102"/>
        <v>►</v>
      </c>
      <c r="AS489" s="163" t="str">
        <f>AS370</f>
        <v>N NOMBRE DE SU RECETA | pegue esto — FAMILIA| Auteur &gt; VOUS</v>
      </c>
      <c r="AT489" s="163">
        <f>AT370</f>
        <v>1</v>
      </c>
      <c r="AU489" s="164" t="str">
        <f>AU370</f>
        <v>coupe</v>
      </c>
      <c r="AV489" s="165" t="str">
        <f>AV370</f>
        <v>Receta madre ► MILLE-FEUILLE  aux fraises des bois</v>
      </c>
      <c r="AW489" s="1548"/>
      <c r="AX489" s="1548"/>
      <c r="AY489" s="2190">
        <f>ROWS(BC438:BC489)</f>
        <v>52</v>
      </c>
      <c r="AZ489" s="5549" t="str" cm="1">
        <f t="array" ref="AZ489">IF(SUMPRODUCT((BC489:BH489&lt;&gt;"")*1)=0,"",SUMPRODUCT((BC489:BH489&lt;&gt;"")*(LEN(TRIM(SUBSTITUTE(BC489:BH489,CHAR(160)," "))) - LEN(SUBSTITUTE(TRIM(SUBSTITUTE(BC489:BH489,CHAR(160)," "))," ","")) + 1)) &amp; " palabra" &amp; IF(SUMPRODUCT((BC489:BH489&lt;&gt;"")*(LEN(TRIM(SUBSTITUTE(BC489:BH489,CHAR(160)," "))) - LEN(SUBSTITUTE(TRIM(SUBSTITUTE(BC489:BH489,CHAR(160)," "))," ","")) + 1))&gt;1,"s",""))</f>
        <v/>
      </c>
      <c r="BA489" s="5550" t="str" cm="1">
        <f t="array" ref="BA489">SUMPRODUCT(--(BC489:BH489&lt;&gt;""), LEN(TRIM(SUBSTITUTE(BC489:BH489, CHAR(160), "")))) &amp; " Car."</f>
        <v>0 Car.</v>
      </c>
      <c r="BB489" s="1376" t="str">
        <f>IF(ISBLANK(BC489),"",LARGE(BB437:BB488,1)+1)</f>
        <v/>
      </c>
      <c r="BC489" s="1833"/>
      <c r="BD489" s="1810"/>
      <c r="BE489" s="1810"/>
      <c r="BF489" s="1810"/>
      <c r="BG489" s="1810"/>
      <c r="BH489" s="1810"/>
      <c r="BI489" s="1810"/>
      <c r="BJ489" s="1810"/>
      <c r="BK489" s="1811"/>
      <c r="BM489" s="3">
        <v>1</v>
      </c>
    </row>
    <row r="490" spans="2:65" ht="21" customHeight="1">
      <c r="B490" s="103" t="str">
        <f t="shared" si="100"/>
        <v>►</v>
      </c>
      <c r="C490" s="163" t="str">
        <f>C370</f>
        <v>MAJUSCULE(GAUCHE(J21;1))&amp;" "&amp;J21&amp;" | "&amp;S21&amp;"| "&amp;J23&amp;" "&amp;K23</v>
      </c>
      <c r="D490" s="163">
        <f>D370</f>
        <v>1</v>
      </c>
      <c r="E490" s="164" t="str">
        <f>E370</f>
        <v>coupe</v>
      </c>
      <c r="F490" s="165" t="str">
        <f>F370</f>
        <v>Recette mère ► MILLE-FEUILLE  aux fraises des bois</v>
      </c>
      <c r="G490" s="1548"/>
      <c r="H490" s="1548"/>
      <c r="I490" s="2190">
        <f>ROWS(M438:M490)</f>
        <v>53</v>
      </c>
      <c r="J490" s="5549" t="str" cm="1">
        <f t="array" ref="J490">IF(SUMPRODUCT((M490:R490&lt;&gt;"")*1)=0,"",SUMPRODUCT((M490:R490&lt;&gt;"")*(LEN(TRIM(SUBSTITUTE(M490:R490,CHAR(160)," "))) - LEN(SUBSTITUTE(TRIM(SUBSTITUTE(M490:R490,CHAR(160)," "))," ","")) + 1)) &amp; " mot" &amp; IF(SUMPRODUCT((M490:R490&lt;&gt;"")*(LEN(TRIM(SUBSTITUTE(M490:R490,CHAR(160)," "))) - LEN(SUBSTITUTE(TRIM(SUBSTITUTE(M490:R490,CHAR(160)," "))," ","")) + 1))&gt;1,"s",""))</f>
        <v/>
      </c>
      <c r="K490" s="5550" t="str" cm="1">
        <f t="array" ref="K490">SUMPRODUCT(--(M490:R490&lt;&gt;""), LEN(TRIM(SUBSTITUTE(M490:R490, CHAR(160), "")))) &amp; " Car."</f>
        <v>0 Car.</v>
      </c>
      <c r="L490" s="1376" t="str">
        <f>IF(ISBLANK(M490),"",LARGE(L437:L489,1)+1)</f>
        <v/>
      </c>
      <c r="M490" s="1810"/>
      <c r="N490" s="1810"/>
      <c r="O490" s="1810"/>
      <c r="P490" s="1810"/>
      <c r="Q490" s="1810"/>
      <c r="R490" s="1810"/>
      <c r="S490" s="1810"/>
      <c r="T490" s="1810"/>
      <c r="U490" s="1811"/>
      <c r="W490" s="103" t="str">
        <f t="shared" si="101"/>
        <v>►</v>
      </c>
      <c r="X490" s="163" t="str">
        <f>X370</f>
        <v>N NAME OF YOUR RECIPE | paste it — FAMILY|  Author &gt; YOU</v>
      </c>
      <c r="Y490" s="163">
        <f>Y370</f>
        <v>1</v>
      </c>
      <c r="Z490" s="164" t="str">
        <f>Z370</f>
        <v>coupe</v>
      </c>
      <c r="AA490" s="165" t="str">
        <f>AA370</f>
        <v>Master recipe ► MILLE-FEUILLE  aux fraises des bois</v>
      </c>
      <c r="AB490" s="1548"/>
      <c r="AC490" s="1548"/>
      <c r="AD490" s="2190">
        <f>ROWS(AH438:AH490)</f>
        <v>53</v>
      </c>
      <c r="AE490" s="5549" t="str" cm="1">
        <f t="array" ref="AE490">IF(SUMPRODUCT((AH490:AM490&lt;&gt;"")*1)=0,"",SUMPRODUCT((AH490:AM490&lt;&gt;"")*(LEN(TRIM(SUBSTITUTE(AH490:AM490,CHAR(160)," "))) - LEN(SUBSTITUTE(TRIM(SUBSTITUTE(AH490:AM490,CHAR(160)," "))," ","")) + 1)) &amp; " word" &amp; IF(SUMPRODUCT((AH490:AM490&lt;&gt;"")*(LEN(TRIM(SUBSTITUTE(AH490:AM490,CHAR(160)," "))) - LEN(SUBSTITUTE(TRIM(SUBSTITUTE(AH490:AM490,CHAR(160)," "))," ","")) + 1))&gt;1,"s",""))</f>
        <v/>
      </c>
      <c r="AF490" s="5550" t="str" cm="1">
        <f t="array" ref="AF490">SUMPRODUCT(--(AH490:AM490&lt;&gt;""), LEN(TRIM(SUBSTITUTE(AH490:AM490, CHAR(160), "")))) &amp; " Car."</f>
        <v>0 Car.</v>
      </c>
      <c r="AG490" s="1376" t="str">
        <f>IF(ISBLANK(AH490),"",LARGE(AG437:AG489,1)+1)</f>
        <v/>
      </c>
      <c r="AH490" s="1833"/>
      <c r="AI490" s="1810"/>
      <c r="AJ490" s="1810"/>
      <c r="AK490" s="1810"/>
      <c r="AL490" s="1810"/>
      <c r="AM490" s="1810"/>
      <c r="AN490" s="1810"/>
      <c r="AO490" s="1810"/>
      <c r="AP490" s="1811"/>
      <c r="AR490" s="103" t="str">
        <f t="shared" si="102"/>
        <v>►</v>
      </c>
      <c r="AS490" s="163" t="str">
        <f>AS370</f>
        <v>N NOMBRE DE SU RECETA | pegue esto — FAMILIA| Auteur &gt; VOUS</v>
      </c>
      <c r="AT490" s="163">
        <f>AT370</f>
        <v>1</v>
      </c>
      <c r="AU490" s="164" t="str">
        <f>AU370</f>
        <v>coupe</v>
      </c>
      <c r="AV490" s="165" t="str">
        <f>AV370</f>
        <v>Receta madre ► MILLE-FEUILLE  aux fraises des bois</v>
      </c>
      <c r="AW490" s="1548"/>
      <c r="AX490" s="1548"/>
      <c r="AY490" s="2190">
        <f>ROWS(BC438:BC490)</f>
        <v>53</v>
      </c>
      <c r="AZ490" s="5549" t="str" cm="1">
        <f t="array" ref="AZ490">IF(SUMPRODUCT((BC490:BH490&lt;&gt;"")*1)=0,"",SUMPRODUCT((BC490:BH490&lt;&gt;"")*(LEN(TRIM(SUBSTITUTE(BC490:BH490,CHAR(160)," "))) - LEN(SUBSTITUTE(TRIM(SUBSTITUTE(BC490:BH490,CHAR(160)," "))," ","")) + 1)) &amp; " palabra" &amp; IF(SUMPRODUCT((BC490:BH490&lt;&gt;"")*(LEN(TRIM(SUBSTITUTE(BC490:BH490,CHAR(160)," "))) - LEN(SUBSTITUTE(TRIM(SUBSTITUTE(BC490:BH490,CHAR(160)," "))," ","")) + 1))&gt;1,"s",""))</f>
        <v/>
      </c>
      <c r="BA490" s="5550" t="str" cm="1">
        <f t="array" ref="BA490">SUMPRODUCT(--(BC490:BH490&lt;&gt;""), LEN(TRIM(SUBSTITUTE(BC490:BH490, CHAR(160), "")))) &amp; " Car."</f>
        <v>0 Car.</v>
      </c>
      <c r="BB490" s="1376" t="str">
        <f>IF(ISBLANK(BC490),"",LARGE(BB437:BB489,1)+1)</f>
        <v/>
      </c>
      <c r="BC490" s="1833"/>
      <c r="BD490" s="1810"/>
      <c r="BE490" s="1810"/>
      <c r="BF490" s="1810"/>
      <c r="BG490" s="1810"/>
      <c r="BH490" s="1810"/>
      <c r="BI490" s="1810"/>
      <c r="BJ490" s="1810"/>
      <c r="BK490" s="1811"/>
      <c r="BM490" s="3">
        <v>1</v>
      </c>
    </row>
    <row r="491" spans="2:65" ht="21" customHeight="1">
      <c r="B491" s="162" t="s">
        <v>10</v>
      </c>
      <c r="C491" s="163" t="str">
        <f>C370</f>
        <v>MAJUSCULE(GAUCHE(J21;1))&amp;" "&amp;J21&amp;" | "&amp;S21&amp;"| "&amp;J23&amp;" "&amp;K23</v>
      </c>
      <c r="D491" s="163">
        <f>D370</f>
        <v>1</v>
      </c>
      <c r="E491" s="164" t="str">
        <f>E370</f>
        <v>coupe</v>
      </c>
      <c r="F491" s="165" t="str">
        <f>F370</f>
        <v>Recette mère ► MILLE-FEUILLE  aux fraises des bois</v>
      </c>
      <c r="G491" s="1548"/>
      <c r="H491" s="1548"/>
      <c r="I491" s="2190">
        <f>ROWS(M438:M491)</f>
        <v>54</v>
      </c>
      <c r="J491" s="5549" t="str" cm="1">
        <f t="array" ref="J491">IF(SUMPRODUCT((M491:R491&lt;&gt;"")*1)=0,"",SUMPRODUCT((M491:R491&lt;&gt;"")*(LEN(TRIM(SUBSTITUTE(M491:R491,CHAR(160)," "))) - LEN(SUBSTITUTE(TRIM(SUBSTITUTE(M491:R491,CHAR(160)," "))," ","")) + 1)) &amp; " mot" &amp; IF(SUMPRODUCT((M491:R491&lt;&gt;"")*(LEN(TRIM(SUBSTITUTE(M491:R491,CHAR(160)," "))) - LEN(SUBSTITUTE(TRIM(SUBSTITUTE(M491:R491,CHAR(160)," "))," ","")) + 1))&gt;1,"s",""))</f>
        <v/>
      </c>
      <c r="K491" s="5550" t="str" cm="1">
        <f t="array" ref="K491">SUMPRODUCT(--(M491:R491&lt;&gt;""), LEN(TRIM(SUBSTITUTE(M491:R491, CHAR(160), "")))) &amp; " Car."</f>
        <v>0 Car.</v>
      </c>
      <c r="L491" s="1376" t="str">
        <f>IF(ISBLANK(M491),"",LARGE(L437:L490,1)+1)</f>
        <v/>
      </c>
      <c r="M491" s="1810"/>
      <c r="N491" s="1810"/>
      <c r="O491" s="1810"/>
      <c r="P491" s="1810"/>
      <c r="Q491" s="1810"/>
      <c r="R491" s="1810"/>
      <c r="S491" s="1810"/>
      <c r="T491" s="1810"/>
      <c r="U491" s="1811"/>
      <c r="W491" s="162" t="s">
        <v>10</v>
      </c>
      <c r="X491" s="163" t="str">
        <f>X370</f>
        <v>N NAME OF YOUR RECIPE | paste it — FAMILY|  Author &gt; YOU</v>
      </c>
      <c r="Y491" s="163">
        <f>Y370</f>
        <v>1</v>
      </c>
      <c r="Z491" s="164" t="str">
        <f>Z370</f>
        <v>coupe</v>
      </c>
      <c r="AA491" s="165" t="str">
        <f>AA370</f>
        <v>Master recipe ► MILLE-FEUILLE  aux fraises des bois</v>
      </c>
      <c r="AB491" s="1548"/>
      <c r="AC491" s="1548"/>
      <c r="AD491" s="2190">
        <f>ROWS(AH438:AH491)</f>
        <v>54</v>
      </c>
      <c r="AE491" s="5549" t="str" cm="1">
        <f t="array" ref="AE491">IF(SUMPRODUCT((AH491:AM491&lt;&gt;"")*1)=0,"",SUMPRODUCT((AH491:AM491&lt;&gt;"")*(LEN(TRIM(SUBSTITUTE(AH491:AM491,CHAR(160)," "))) - LEN(SUBSTITUTE(TRIM(SUBSTITUTE(AH491:AM491,CHAR(160)," "))," ","")) + 1)) &amp; " word" &amp; IF(SUMPRODUCT((AH491:AM491&lt;&gt;"")*(LEN(TRIM(SUBSTITUTE(AH491:AM491,CHAR(160)," "))) - LEN(SUBSTITUTE(TRIM(SUBSTITUTE(AH491:AM491,CHAR(160)," "))," ","")) + 1))&gt;1,"s",""))</f>
        <v/>
      </c>
      <c r="AF491" s="5550" t="str" cm="1">
        <f t="array" ref="AF491">SUMPRODUCT(--(AH491:AM491&lt;&gt;""), LEN(TRIM(SUBSTITUTE(AH491:AM491, CHAR(160), "")))) &amp; " Car."</f>
        <v>0 Car.</v>
      </c>
      <c r="AG491" s="1376" t="str">
        <f>IF(ISBLANK(AH491),"",LARGE(AG437:AG490,1)+1)</f>
        <v/>
      </c>
      <c r="AH491" s="1833"/>
      <c r="AI491" s="1810"/>
      <c r="AJ491" s="1810"/>
      <c r="AK491" s="1810"/>
      <c r="AL491" s="1810"/>
      <c r="AM491" s="1810"/>
      <c r="AN491" s="1810"/>
      <c r="AO491" s="1810"/>
      <c r="AP491" s="1811"/>
      <c r="AR491" s="162" t="s">
        <v>10</v>
      </c>
      <c r="AS491" s="163" t="str">
        <f>AS370</f>
        <v>N NOMBRE DE SU RECETA | pegue esto — FAMILIA| Auteur &gt; VOUS</v>
      </c>
      <c r="AT491" s="163">
        <f>AT370</f>
        <v>1</v>
      </c>
      <c r="AU491" s="164" t="str">
        <f>AU370</f>
        <v>coupe</v>
      </c>
      <c r="AV491" s="165" t="str">
        <f>AV370</f>
        <v>Receta madre ► MILLE-FEUILLE  aux fraises des bois</v>
      </c>
      <c r="AW491" s="1548"/>
      <c r="AX491" s="1548"/>
      <c r="AY491" s="2190">
        <f>ROWS(BC438:BC491)</f>
        <v>54</v>
      </c>
      <c r="AZ491" s="5549" t="str" cm="1">
        <f t="array" ref="AZ491">IF(SUMPRODUCT((BC491:BH491&lt;&gt;"")*1)=0,"",SUMPRODUCT((BC491:BH491&lt;&gt;"")*(LEN(TRIM(SUBSTITUTE(BC491:BH491,CHAR(160)," "))) - LEN(SUBSTITUTE(TRIM(SUBSTITUTE(BC491:BH491,CHAR(160)," "))," ","")) + 1)) &amp; " palabra" &amp; IF(SUMPRODUCT((BC491:BH491&lt;&gt;"")*(LEN(TRIM(SUBSTITUTE(BC491:BH491,CHAR(160)," "))) - LEN(SUBSTITUTE(TRIM(SUBSTITUTE(BC491:BH491,CHAR(160)," "))," ","")) + 1))&gt;1,"s",""))</f>
        <v/>
      </c>
      <c r="BA491" s="5550" t="str" cm="1">
        <f t="array" ref="BA491">SUMPRODUCT(--(BC491:BH491&lt;&gt;""), LEN(TRIM(SUBSTITUTE(BC491:BH491, CHAR(160), "")))) &amp; " Car."</f>
        <v>0 Car.</v>
      </c>
      <c r="BB491" s="1376" t="str">
        <f>IF(ISBLANK(BC491),"",LARGE(BB437:BB490,1)+1)</f>
        <v/>
      </c>
      <c r="BC491" s="1833"/>
      <c r="BD491" s="1810"/>
      <c r="BE491" s="1810"/>
      <c r="BF491" s="1810"/>
      <c r="BG491" s="1810"/>
      <c r="BH491" s="1810"/>
      <c r="BI491" s="1810"/>
      <c r="BJ491" s="1810"/>
      <c r="BK491" s="1811"/>
      <c r="BM491" s="3">
        <v>1</v>
      </c>
    </row>
    <row r="492" spans="2:65" ht="21" customHeight="1">
      <c r="B492" s="162" t="s">
        <v>10</v>
      </c>
      <c r="C492" s="163" t="str">
        <f>C370</f>
        <v>MAJUSCULE(GAUCHE(J21;1))&amp;" "&amp;J21&amp;" | "&amp;S21&amp;"| "&amp;J23&amp;" "&amp;K23</v>
      </c>
      <c r="D492" s="163">
        <f>D370</f>
        <v>1</v>
      </c>
      <c r="E492" s="164" t="str">
        <f>E370</f>
        <v>coupe</v>
      </c>
      <c r="F492" s="165" t="str">
        <f>F370</f>
        <v>Recette mère ► MILLE-FEUILLE  aux fraises des bois</v>
      </c>
      <c r="G492" s="1548"/>
      <c r="H492" s="1548"/>
      <c r="I492" s="2190">
        <f>ROWS(M438:M492)</f>
        <v>55</v>
      </c>
      <c r="J492" s="5549" t="str" cm="1">
        <f t="array" ref="J492">IF(SUMPRODUCT((M492:R492&lt;&gt;"")*1)=0,"",SUMPRODUCT((M492:R492&lt;&gt;"")*(LEN(TRIM(SUBSTITUTE(M492:R492,CHAR(160)," "))) - LEN(SUBSTITUTE(TRIM(SUBSTITUTE(M492:R492,CHAR(160)," "))," ","")) + 1)) &amp; " mot" &amp; IF(SUMPRODUCT((M492:R492&lt;&gt;"")*(LEN(TRIM(SUBSTITUTE(M492:R492,CHAR(160)," "))) - LEN(SUBSTITUTE(TRIM(SUBSTITUTE(M492:R492,CHAR(160)," "))," ","")) + 1))&gt;1,"s",""))</f>
        <v>13 mots</v>
      </c>
      <c r="K492" s="5550" t="str" cm="1">
        <f t="array" ref="K492">SUMPRODUCT(--(M492:R492&lt;&gt;""), LEN(TRIM(SUBSTITUTE(M492:R492, CHAR(160), "")))) &amp; " Car."</f>
        <v>80 Car.</v>
      </c>
      <c r="L492" s="1376" t="str">
        <f>IF(ISBLANK(M492),"",LARGE(L437:L491,1)+1)</f>
        <v/>
      </c>
      <c r="M492" s="1810"/>
      <c r="N492" s="1810" t="s">
        <v>14252</v>
      </c>
      <c r="O492" s="1810"/>
      <c r="P492" s="1810"/>
      <c r="Q492" s="1810"/>
      <c r="R492" s="1810"/>
      <c r="S492" s="1810"/>
      <c r="T492" s="1810"/>
      <c r="U492" s="1811"/>
      <c r="W492" s="162" t="s">
        <v>10</v>
      </c>
      <c r="X492" s="163" t="str">
        <f>X370</f>
        <v>N NAME OF YOUR RECIPE | paste it — FAMILY|  Author &gt; YOU</v>
      </c>
      <c r="Y492" s="163">
        <f>Y370</f>
        <v>1</v>
      </c>
      <c r="Z492" s="164" t="str">
        <f>Z370</f>
        <v>coupe</v>
      </c>
      <c r="AA492" s="165" t="str">
        <f>AA370</f>
        <v>Master recipe ► MILLE-FEUILLE  aux fraises des bois</v>
      </c>
      <c r="AB492" s="1548"/>
      <c r="AC492" s="1548"/>
      <c r="AD492" s="2190">
        <f>ROWS(AH438:AH492)</f>
        <v>55</v>
      </c>
      <c r="AE492" s="5549" t="str" cm="1">
        <f t="array" ref="AE492">IF(SUMPRODUCT((AH492:AM492&lt;&gt;"")*1)=0,"",SUMPRODUCT((AH492:AM492&lt;&gt;"")*(LEN(TRIM(SUBSTITUTE(AH492:AM492,CHAR(160)," "))) - LEN(SUBSTITUTE(TRIM(SUBSTITUTE(AH492:AM492,CHAR(160)," "))," ","")) + 1)) &amp; " word" &amp; IF(SUMPRODUCT((AH492:AM492&lt;&gt;"")*(LEN(TRIM(SUBSTITUTE(AH492:AM492,CHAR(160)," "))) - LEN(SUBSTITUTE(TRIM(SUBSTITUTE(AH492:AM492,CHAR(160)," "))," ","")) + 1))&gt;1,"s",""))</f>
        <v>14 words</v>
      </c>
      <c r="AF492" s="5550" t="str" cm="1">
        <f t="array" ref="AF492">SUMPRODUCT(--(AH492:AM492&lt;&gt;""), LEN(TRIM(SUBSTITUTE(AH492:AM492, CHAR(160), "")))) &amp; " Car."</f>
        <v>80 Car.</v>
      </c>
      <c r="AG492" s="1376" t="str">
        <f>IF(ISBLANK(AH492),"",LARGE(AG437:AG491,1)+1)</f>
        <v/>
      </c>
      <c r="AH492" s="1833"/>
      <c r="AI492" s="1810" t="s">
        <v>14253</v>
      </c>
      <c r="AJ492" s="1810"/>
      <c r="AK492" s="1810"/>
      <c r="AL492" s="1810"/>
      <c r="AM492" s="1810"/>
      <c r="AN492" s="1810"/>
      <c r="AO492" s="1810"/>
      <c r="AP492" s="1811"/>
      <c r="AR492" s="162" t="s">
        <v>10</v>
      </c>
      <c r="AS492" s="163" t="str">
        <f>AS370</f>
        <v>N NOMBRE DE SU RECETA | pegue esto — FAMILIA| Auteur &gt; VOUS</v>
      </c>
      <c r="AT492" s="163">
        <f>AT370</f>
        <v>1</v>
      </c>
      <c r="AU492" s="164" t="str">
        <f>AU370</f>
        <v>coupe</v>
      </c>
      <c r="AV492" s="165" t="str">
        <f>AV370</f>
        <v>Receta madre ► MILLE-FEUILLE  aux fraises des bois</v>
      </c>
      <c r="AW492" s="1548"/>
      <c r="AX492" s="1548"/>
      <c r="AY492" s="2190">
        <f>ROWS(BC438:BC492)</f>
        <v>55</v>
      </c>
      <c r="AZ492" s="5549" t="str" cm="1">
        <f t="array" ref="AZ492">IF(SUMPRODUCT((BC492:BH492&lt;&gt;"")*1)=0,"",SUMPRODUCT((BC492:BH492&lt;&gt;"")*(LEN(TRIM(SUBSTITUTE(BC492:BH492,CHAR(160)," "))) - LEN(SUBSTITUTE(TRIM(SUBSTITUTE(BC492:BH492,CHAR(160)," "))," ","")) + 1)) &amp; " palabra" &amp; IF(SUMPRODUCT((BC492:BH492&lt;&gt;"")*(LEN(TRIM(SUBSTITUTE(BC492:BH492,CHAR(160)," "))) - LEN(SUBSTITUTE(TRIM(SUBSTITUTE(BC492:BH492,CHAR(160)," "))," ","")) + 1))&gt;1,"s",""))</f>
        <v>14 palabras</v>
      </c>
      <c r="BA492" s="5550" t="str" cm="1">
        <f t="array" ref="BA492">SUMPRODUCT(--(BC492:BH492&lt;&gt;""), LEN(TRIM(SUBSTITUTE(BC492:BH492, CHAR(160), "")))) &amp; " Car."</f>
        <v>88 Car.</v>
      </c>
      <c r="BB492" s="1376" t="str">
        <f>IF(ISBLANK(BC492),"",LARGE(BB437:BB491,1)+1)</f>
        <v/>
      </c>
      <c r="BC492" s="1833"/>
      <c r="BD492" s="1810" t="s">
        <v>14254</v>
      </c>
      <c r="BE492" s="1810"/>
      <c r="BF492" s="1810"/>
      <c r="BG492" s="1810"/>
      <c r="BH492" s="1810"/>
      <c r="BI492" s="1810"/>
      <c r="BJ492" s="1810"/>
      <c r="BK492" s="1811"/>
      <c r="BM492" s="3">
        <v>1</v>
      </c>
    </row>
    <row r="493" spans="2:65" ht="21" customHeight="1" thickBot="1">
      <c r="B493" s="162" t="s">
        <v>10</v>
      </c>
      <c r="C493" s="163" t="str">
        <f>C370</f>
        <v>MAJUSCULE(GAUCHE(J21;1))&amp;" "&amp;J21&amp;" | "&amp;S21&amp;"| "&amp;J23&amp;" "&amp;K23</v>
      </c>
      <c r="D493" s="163">
        <f>D370</f>
        <v>1</v>
      </c>
      <c r="E493" s="164" t="str">
        <f>E370</f>
        <v>coupe</v>
      </c>
      <c r="F493" s="165" t="str">
        <f>F370</f>
        <v>Recette mère ► MILLE-FEUILLE  aux fraises des bois</v>
      </c>
      <c r="G493" s="172"/>
      <c r="H493" s="1378" t="s">
        <v>207</v>
      </c>
      <c r="I493" s="1712" t="s">
        <v>8475</v>
      </c>
      <c r="J493" s="176"/>
      <c r="K493" s="176"/>
      <c r="L493" s="176"/>
      <c r="M493" s="176"/>
      <c r="N493" s="176"/>
      <c r="O493" s="176"/>
      <c r="P493" s="176"/>
      <c r="Q493" s="176"/>
      <c r="R493" s="176"/>
      <c r="S493" s="176"/>
      <c r="T493" s="176"/>
      <c r="U493" s="884"/>
      <c r="W493" s="162" t="s">
        <v>10</v>
      </c>
      <c r="X493" s="163" t="str">
        <f>X370</f>
        <v>N NAME OF YOUR RECIPE | paste it — FAMILY|  Author &gt; YOU</v>
      </c>
      <c r="Y493" s="163">
        <f>Y370</f>
        <v>1</v>
      </c>
      <c r="Z493" s="164" t="str">
        <f>Z370</f>
        <v>coupe</v>
      </c>
      <c r="AA493" s="165" t="str">
        <f>AA370</f>
        <v>Master recipe ► MILLE-FEUILLE  aux fraises des bois</v>
      </c>
      <c r="AB493" s="172"/>
      <c r="AC493" s="1378" t="s">
        <v>1300</v>
      </c>
      <c r="AD493" s="1712" t="s">
        <v>8475</v>
      </c>
      <c r="AE493" s="176" t="s">
        <v>8473</v>
      </c>
      <c r="AF493" s="176"/>
      <c r="AG493" s="176"/>
      <c r="AH493" s="176"/>
      <c r="AI493" s="176"/>
      <c r="AJ493" s="176"/>
      <c r="AK493" s="176"/>
      <c r="AL493" s="176"/>
      <c r="AM493" s="176"/>
      <c r="AN493" s="176"/>
      <c r="AO493" s="176"/>
      <c r="AP493" s="884"/>
      <c r="AR493" s="162" t="s">
        <v>10</v>
      </c>
      <c r="AS493" s="163" t="str">
        <f>AS370</f>
        <v>N NOMBRE DE SU RECETA | pegue esto — FAMILIA| Auteur &gt; VOUS</v>
      </c>
      <c r="AT493" s="163">
        <f>AT370</f>
        <v>1</v>
      </c>
      <c r="AU493" s="164" t="str">
        <f>AU370</f>
        <v>coupe</v>
      </c>
      <c r="AV493" s="165" t="str">
        <f>AV370</f>
        <v>Receta madre ► MILLE-FEUILLE  aux fraises des bois</v>
      </c>
      <c r="AW493" s="172"/>
      <c r="AX493" s="176"/>
      <c r="AY493" s="1712" t="s">
        <v>8475</v>
      </c>
      <c r="AZ493" s="679" t="s">
        <v>1351</v>
      </c>
      <c r="BA493" s="1378" t="s">
        <v>207</v>
      </c>
      <c r="BB493" s="176" t="s">
        <v>8474</v>
      </c>
      <c r="BC493" s="176"/>
      <c r="BD493" s="176"/>
      <c r="BE493" s="176"/>
      <c r="BF493" s="176"/>
      <c r="BG493" s="176"/>
      <c r="BH493" s="176"/>
      <c r="BI493" s="176"/>
      <c r="BJ493" s="176"/>
      <c r="BK493" s="884"/>
      <c r="BM493" s="3">
        <v>1</v>
      </c>
    </row>
    <row r="494" spans="2:65" ht="21" customHeight="1">
      <c r="B494" s="162" t="s">
        <v>10</v>
      </c>
      <c r="C494" s="163" t="str">
        <f>C370</f>
        <v>MAJUSCULE(GAUCHE(J21;1))&amp;" "&amp;J21&amp;" | "&amp;S21&amp;"| "&amp;J23&amp;" "&amp;K23</v>
      </c>
      <c r="D494" s="163">
        <f>D370</f>
        <v>1</v>
      </c>
      <c r="E494" s="164" t="str">
        <f>E370</f>
        <v>coupe</v>
      </c>
      <c r="F494" s="165" t="str">
        <f>F370</f>
        <v>Recette mère ► MILLE-FEUILLE  aux fraises des bois</v>
      </c>
      <c r="G494" s="6423" t="s">
        <v>14431</v>
      </c>
      <c r="H494" s="1380"/>
      <c r="I494" s="1380"/>
      <c r="J494" s="1380"/>
      <c r="K494" s="1380"/>
      <c r="L494" s="1380"/>
      <c r="M494" s="1380"/>
      <c r="N494" s="1381" t="s">
        <v>196</v>
      </c>
      <c r="O494" s="202"/>
      <c r="P494" s="202"/>
      <c r="Q494" s="202"/>
      <c r="R494" s="202"/>
      <c r="S494" s="202"/>
      <c r="T494" s="202"/>
      <c r="U494" s="885"/>
      <c r="W494" s="162" t="s">
        <v>10</v>
      </c>
      <c r="X494" s="163" t="str">
        <f>X370</f>
        <v>N NAME OF YOUR RECIPE | paste it — FAMILY|  Author &gt; YOU</v>
      </c>
      <c r="Y494" s="163">
        <f>Y370</f>
        <v>1</v>
      </c>
      <c r="Z494" s="164" t="str">
        <f>Z370</f>
        <v>coupe</v>
      </c>
      <c r="AA494" s="165" t="str">
        <f>AA370</f>
        <v>Master recipe ► MILLE-FEUILLE  aux fraises des bois</v>
      </c>
      <c r="AB494" s="6423" t="s">
        <v>14432</v>
      </c>
      <c r="AC494" s="1380"/>
      <c r="AD494" s="1380"/>
      <c r="AE494" s="1380"/>
      <c r="AF494" s="1380"/>
      <c r="AG494" s="1380"/>
      <c r="AH494" s="1380"/>
      <c r="AI494" s="1381" t="s">
        <v>864</v>
      </c>
      <c r="AJ494" s="202"/>
      <c r="AK494" s="202"/>
      <c r="AL494" s="202"/>
      <c r="AM494" s="202"/>
      <c r="AN494" s="202"/>
      <c r="AO494" s="202"/>
      <c r="AP494" s="885"/>
      <c r="AR494" s="162" t="s">
        <v>10</v>
      </c>
      <c r="AS494" s="163" t="str">
        <f>AS370</f>
        <v>N NOMBRE DE SU RECETA | pegue esto — FAMILIA| Auteur &gt; VOUS</v>
      </c>
      <c r="AT494" s="163">
        <f>AT370</f>
        <v>1</v>
      </c>
      <c r="AU494" s="164" t="str">
        <f>AU370</f>
        <v>coupe</v>
      </c>
      <c r="AV494" s="165" t="str">
        <f>AV370</f>
        <v>Receta madre ► MILLE-FEUILLE  aux fraises des bois</v>
      </c>
      <c r="AW494" s="6423" t="s">
        <v>14433</v>
      </c>
      <c r="AX494" s="1380"/>
      <c r="AY494" s="1380"/>
      <c r="AZ494" s="1380"/>
      <c r="BA494" s="1380"/>
      <c r="BB494" s="1380"/>
      <c r="BC494" s="1380"/>
      <c r="BD494" s="1381" t="s">
        <v>879</v>
      </c>
      <c r="BE494" s="202"/>
      <c r="BF494" s="202"/>
      <c r="BG494" s="202"/>
      <c r="BH494" s="202"/>
      <c r="BI494" s="202"/>
      <c r="BJ494" s="202"/>
      <c r="BK494" s="885"/>
      <c r="BM494" s="3">
        <v>1</v>
      </c>
    </row>
    <row r="495" spans="2:65" ht="21" customHeight="1" thickBot="1">
      <c r="B495" s="162" t="s">
        <v>10</v>
      </c>
      <c r="C495" s="163" t="str">
        <f>C370</f>
        <v>MAJUSCULE(GAUCHE(J21;1))&amp;" "&amp;J21&amp;" | "&amp;S21&amp;"| "&amp;J23&amp;" "&amp;K23</v>
      </c>
      <c r="D495" s="163">
        <f>D370</f>
        <v>1</v>
      </c>
      <c r="E495" s="164" t="str">
        <f>E370</f>
        <v>coupe</v>
      </c>
      <c r="F495" s="165" t="str">
        <f>F370</f>
        <v>Recette mère ► MILLE-FEUILLE  aux fraises des bois</v>
      </c>
      <c r="G495" s="2139"/>
      <c r="H495" s="2124"/>
      <c r="I495" s="2138"/>
      <c r="J495" s="2064" t="s">
        <v>8860</v>
      </c>
      <c r="K495" s="2065">
        <f ca="1">K437</f>
        <v>139</v>
      </c>
      <c r="L495" s="886" t="s">
        <v>200</v>
      </c>
      <c r="M495" s="2137"/>
      <c r="N495" s="2137"/>
      <c r="O495" s="2137"/>
      <c r="P495" s="472"/>
      <c r="Q495" s="472"/>
      <c r="R495" s="472"/>
      <c r="S495" s="2260" t="str">
        <f>IF(M496="","",(LEN(TRIM(SUBSTITUTE(M496,CHAR(160)," ")))-LEN(SUBSTITUTE(TRIM(SUBSTITUTE(M496,CHAR(160)," "))," ",""))+1)&amp;" mot"&amp;IF((LEN(TRIM(SUBSTITUTE(M496,CHAR(160)," ")))-LEN(SUBSTITUTE(TRIM(SUBSTITUTE(M496,CHAR(160)," "))," ",""))+1)&gt;1,"s",""))</f>
        <v>17 mots</v>
      </c>
      <c r="T495" s="2259" t="str">
        <f>IF(M496="","",LEN(TRIM(SUBSTITUTE(M496,CHAR(160),""))))&amp;" Car."</f>
        <v>123 Car.</v>
      </c>
      <c r="U495" s="2261" t="s">
        <v>8863</v>
      </c>
      <c r="W495" s="162" t="s">
        <v>10</v>
      </c>
      <c r="X495" s="163" t="str">
        <f>X370</f>
        <v>N NAME OF YOUR RECIPE | paste it — FAMILY|  Author &gt; YOU</v>
      </c>
      <c r="Y495" s="163">
        <f>Y370</f>
        <v>1</v>
      </c>
      <c r="Z495" s="164" t="str">
        <f>Z370</f>
        <v>coupe</v>
      </c>
      <c r="AA495" s="165" t="str">
        <f>AA370</f>
        <v>Master recipe ► MILLE-FEUILLE  aux fraises des bois</v>
      </c>
      <c r="AB495" s="2139"/>
      <c r="AC495" s="2124"/>
      <c r="AD495" s="2138"/>
      <c r="AE495" s="2064" t="s">
        <v>8862</v>
      </c>
      <c r="AF495" s="2065">
        <f ca="1">AF437</f>
        <v>139</v>
      </c>
      <c r="AG495" s="886" t="s">
        <v>8867</v>
      </c>
      <c r="AH495" s="2137"/>
      <c r="AI495" s="2137"/>
      <c r="AJ495" s="2137"/>
      <c r="AK495" s="472"/>
      <c r="AL495" s="472"/>
      <c r="AM495" s="472"/>
      <c r="AN495" s="2260" t="str">
        <f>IF(AH496="","",(LEN(TRIM(SUBSTITUTE(AH496,CHAR(160)," ")))-LEN(SUBSTITUTE(TRIM(SUBSTITUTE(AH496,CHAR(160)," "))," ",""))+1)&amp;" mot"&amp;IF((LEN(TRIM(SUBSTITUTE(AH496,CHAR(160)," ")))-LEN(SUBSTITUTE(TRIM(SUBSTITUTE(AH496,CHAR(160)," "))," ",""))+1)&gt;1,"s",""))</f>
        <v>17 mots</v>
      </c>
      <c r="AO495" s="2259" t="str">
        <f>IF(AH496="","",LEN(TRIM(SUBSTITUTE(AH496,CHAR(160),""))))&amp;" Car."</f>
        <v>123 Car.</v>
      </c>
      <c r="AP495" s="2261" t="s">
        <v>8869</v>
      </c>
      <c r="AR495" s="162" t="s">
        <v>10</v>
      </c>
      <c r="AS495" s="163" t="str">
        <f>AS370</f>
        <v>N NOMBRE DE SU RECETA | pegue esto — FAMILIA| Auteur &gt; VOUS</v>
      </c>
      <c r="AT495" s="163">
        <f>AT370</f>
        <v>1</v>
      </c>
      <c r="AU495" s="164" t="str">
        <f>AU370</f>
        <v>coupe</v>
      </c>
      <c r="AV495" s="165" t="str">
        <f>AV370</f>
        <v>Receta madre ► MILLE-FEUILLE  aux fraises des bois</v>
      </c>
      <c r="AW495" s="2139"/>
      <c r="AX495" s="2124"/>
      <c r="AY495" s="2138"/>
      <c r="AZ495" s="2064" t="s">
        <v>8861</v>
      </c>
      <c r="BA495" s="2065">
        <f ca="1">BA437</f>
        <v>139</v>
      </c>
      <c r="BB495" s="886" t="s">
        <v>640</v>
      </c>
      <c r="BC495" s="2137"/>
      <c r="BD495" s="2137"/>
      <c r="BE495" s="2137"/>
      <c r="BF495" s="472"/>
      <c r="BG495" s="472"/>
      <c r="BH495" s="472"/>
      <c r="BI495" s="2260" t="str">
        <f>IF(BC496="","",(LEN(TRIM(SUBSTITUTE(BC496,CHAR(160)," ")))-LEN(SUBSTITUTE(TRIM(SUBSTITUTE(BC496,CHAR(160)," "))," ",""))+1)&amp;" mot"&amp;IF((LEN(TRIM(SUBSTITUTE(BC496,CHAR(160)," ")))-LEN(SUBSTITUTE(TRIM(SUBSTITUTE(BC496,CHAR(160)," "))," ",""))+1)&gt;1,"s",""))</f>
        <v>18 mots</v>
      </c>
      <c r="BJ495" s="2259" t="str">
        <f>IF(BC496="","",LEN(TRIM(SUBSTITUTE(BC496,CHAR(160),""))))&amp;" Car."</f>
        <v>123 Car.</v>
      </c>
      <c r="BK495" s="2261" t="s">
        <v>8871</v>
      </c>
      <c r="BM495" s="3">
        <v>1</v>
      </c>
    </row>
    <row r="496" spans="2:65" ht="21" customHeight="1" thickBot="1">
      <c r="B496" s="1814" t="s">
        <v>10</v>
      </c>
      <c r="C496" s="209" t="str">
        <f>C370</f>
        <v>MAJUSCULE(GAUCHE(J21;1))&amp;" "&amp;J21&amp;" | "&amp;S21&amp;"| "&amp;J23&amp;" "&amp;K23</v>
      </c>
      <c r="D496" s="209">
        <f>D370</f>
        <v>1</v>
      </c>
      <c r="E496" s="210" t="str">
        <f>E370</f>
        <v>coupe</v>
      </c>
      <c r="F496" s="211" t="str">
        <f>F370</f>
        <v>Recette mère ► MILLE-FEUILLE  aux fraises des bois</v>
      </c>
      <c r="G496" s="2129"/>
      <c r="H496" s="2130"/>
      <c r="I496" s="2131"/>
      <c r="J496" s="2132"/>
      <c r="K496" s="2133"/>
      <c r="L496" s="2133" t="s">
        <v>8864</v>
      </c>
      <c r="M496" s="5545" t="s">
        <v>8866</v>
      </c>
      <c r="N496" s="2136"/>
      <c r="O496" s="2134"/>
      <c r="P496" s="2134"/>
      <c r="Q496" s="2134"/>
      <c r="R496" s="2134"/>
      <c r="S496" s="2134"/>
      <c r="T496" s="2134"/>
      <c r="U496" s="2135"/>
      <c r="W496" s="1814" t="s">
        <v>10</v>
      </c>
      <c r="X496" s="209" t="str">
        <f>X370</f>
        <v>N NAME OF YOUR RECIPE | paste it — FAMILY|  Author &gt; YOU</v>
      </c>
      <c r="Y496" s="209">
        <f>Y370</f>
        <v>1</v>
      </c>
      <c r="Z496" s="210" t="str">
        <f>Z370</f>
        <v>coupe</v>
      </c>
      <c r="AA496" s="211" t="str">
        <f>AA370</f>
        <v>Master recipe ► MILLE-FEUILLE  aux fraises des bois</v>
      </c>
      <c r="AB496" s="2129"/>
      <c r="AC496" s="2130"/>
      <c r="AD496" s="2131"/>
      <c r="AE496" s="2132"/>
      <c r="AF496" s="2133"/>
      <c r="AG496" s="2133" t="s">
        <v>8868</v>
      </c>
      <c r="AH496" s="5545" t="s">
        <v>8873</v>
      </c>
      <c r="AI496" s="2136"/>
      <c r="AJ496" s="2134"/>
      <c r="AK496" s="2134"/>
      <c r="AL496" s="2134"/>
      <c r="AM496" s="2134"/>
      <c r="AN496" s="2134"/>
      <c r="AO496" s="2134"/>
      <c r="AP496" s="2135"/>
      <c r="AR496" s="1814" t="s">
        <v>10</v>
      </c>
      <c r="AS496" s="209" t="str">
        <f>AS370</f>
        <v>N NOMBRE DE SU RECETA | pegue esto — FAMILIA| Auteur &gt; VOUS</v>
      </c>
      <c r="AT496" s="209">
        <f>AT370</f>
        <v>1</v>
      </c>
      <c r="AU496" s="210" t="str">
        <f>AU370</f>
        <v>coupe</v>
      </c>
      <c r="AV496" s="211" t="str">
        <f>AV370</f>
        <v>Receta madre ► MILLE-FEUILLE  aux fraises des bois</v>
      </c>
      <c r="AW496" s="2129"/>
      <c r="AX496" s="2130"/>
      <c r="AY496" s="2131"/>
      <c r="AZ496" s="2132"/>
      <c r="BA496" s="2133"/>
      <c r="BB496" s="2133" t="s">
        <v>8870</v>
      </c>
      <c r="BC496" s="5545" t="s">
        <v>8872</v>
      </c>
      <c r="BD496" s="2136"/>
      <c r="BE496" s="2134"/>
      <c r="BF496" s="2134"/>
      <c r="BG496" s="2134"/>
      <c r="BH496" s="2134"/>
      <c r="BI496" s="2134"/>
      <c r="BJ496" s="2134"/>
      <c r="BK496" s="2135"/>
      <c r="BM496" s="3">
        <v>1</v>
      </c>
    </row>
    <row r="497" spans="2:65" ht="21" customHeight="1" thickBot="1">
      <c r="B497" s="215" t="s">
        <v>10</v>
      </c>
      <c r="C497" s="216"/>
      <c r="D497" s="216"/>
      <c r="E497" s="216"/>
      <c r="F497" s="217"/>
      <c r="G497" s="218" t="s">
        <v>207</v>
      </c>
      <c r="H497" s="219" t="str">
        <f ca="1">CELL("nomfichier")</f>
        <v>D:\Données\1.UPRT\0-UPRT.fait\1-UPRT.FR-SITE-WEB\ff-fiches-fabrications\ff.fiches.fabrication.2023\ffr.restaurant.2023\[ff.FICHE.TRILINGUE.20.COLONNES.05.01.2026.xlsx]Couleurs.pour.vos.documents</v>
      </c>
      <c r="I497" s="220"/>
      <c r="J497" s="220"/>
      <c r="K497" s="220"/>
      <c r="L497" s="220"/>
      <c r="M497" s="220"/>
      <c r="N497" s="220"/>
      <c r="O497" s="220"/>
      <c r="P497" s="220"/>
      <c r="Q497" s="220"/>
      <c r="R497" s="220"/>
      <c r="S497" s="220"/>
      <c r="T497" s="220"/>
      <c r="U497" s="221"/>
      <c r="W497" s="215" t="s">
        <v>10</v>
      </c>
      <c r="X497" s="216"/>
      <c r="Y497" s="216"/>
      <c r="Z497" s="216"/>
      <c r="AA497" s="217"/>
      <c r="AB497" s="218" t="s">
        <v>207</v>
      </c>
      <c r="AC497" s="219" t="str">
        <f ca="1">CELL("nomfichier")</f>
        <v>D:\Données\1.UPRT\0-UPRT.fait\1-UPRT.FR-SITE-WEB\ff-fiches-fabrications\ff.fiches.fabrication.2023\ffr.restaurant.2023\[ff.FICHE.TRILINGUE.20.COLONNES.05.01.2026.xlsx]Couleurs.pour.vos.documents</v>
      </c>
      <c r="AD497" s="220"/>
      <c r="AE497" s="220"/>
      <c r="AF497" s="220"/>
      <c r="AG497" s="220"/>
      <c r="AH497" s="220"/>
      <c r="AI497" s="220"/>
      <c r="AJ497" s="220"/>
      <c r="AK497" s="220"/>
      <c r="AL497" s="220"/>
      <c r="AM497" s="220"/>
      <c r="AN497" s="220"/>
      <c r="AO497" s="220"/>
      <c r="AP497" s="221"/>
      <c r="AR497" s="215" t="s">
        <v>10</v>
      </c>
      <c r="AS497" s="216"/>
      <c r="AT497" s="216"/>
      <c r="AU497" s="216"/>
      <c r="AV497" s="217"/>
      <c r="AW497" s="218" t="s">
        <v>207</v>
      </c>
      <c r="AX497" s="219" t="str">
        <f ca="1">CELL("nomfichier")</f>
        <v>D:\Données\1.UPRT\0-UPRT.fait\1-UPRT.FR-SITE-WEB\ff-fiches-fabrications\ff.fiches.fabrication.2023\ffr.restaurant.2023\[ff.FICHE.TRILINGUE.20.COLONNES.05.01.2026.xlsx]Couleurs.pour.vos.documents</v>
      </c>
      <c r="AY497" s="220"/>
      <c r="AZ497" s="220"/>
      <c r="BA497" s="220"/>
      <c r="BB497" s="220"/>
      <c r="BC497" s="220"/>
      <c r="BD497" s="220"/>
      <c r="BE497" s="220"/>
      <c r="BF497" s="220"/>
      <c r="BG497" s="220"/>
      <c r="BH497" s="220"/>
      <c r="BI497" s="220"/>
      <c r="BJ497" s="220"/>
      <c r="BK497" s="221"/>
      <c r="BM497" s="3">
        <v>1</v>
      </c>
    </row>
    <row r="498" spans="2:65" ht="21" customHeight="1" thickBot="1">
      <c r="B498" s="1216" t="s">
        <v>10</v>
      </c>
      <c r="C498" s="1217" t="s">
        <v>10</v>
      </c>
      <c r="D498" s="1217" t="s">
        <v>10</v>
      </c>
      <c r="E498" s="1217" t="s">
        <v>10</v>
      </c>
      <c r="F498" s="1217" t="s">
        <v>10</v>
      </c>
      <c r="G498" s="1218" t="s">
        <v>2394</v>
      </c>
      <c r="H498" s="1219"/>
      <c r="I498" s="1220"/>
      <c r="J498" s="1221"/>
      <c r="K498" s="1222"/>
      <c r="L498" s="1223"/>
      <c r="M498" s="1223"/>
      <c r="N498" s="1221"/>
      <c r="O498" s="1221"/>
      <c r="P498" s="1219"/>
      <c r="Q498" s="1219"/>
      <c r="R498" s="1219"/>
      <c r="S498" s="1219"/>
      <c r="T498" s="1219"/>
      <c r="U498" s="1224" t="s">
        <v>1755</v>
      </c>
      <c r="W498" s="1216" t="s">
        <v>10</v>
      </c>
      <c r="X498" s="1217" t="s">
        <v>10</v>
      </c>
      <c r="Y498" s="1217" t="s">
        <v>10</v>
      </c>
      <c r="Z498" s="1217" t="s">
        <v>10</v>
      </c>
      <c r="AA498" s="1217" t="s">
        <v>10</v>
      </c>
      <c r="AB498" s="1218" t="s">
        <v>2394</v>
      </c>
      <c r="AC498" s="1219"/>
      <c r="AD498" s="1220"/>
      <c r="AE498" s="1221"/>
      <c r="AF498" s="1222"/>
      <c r="AG498" s="1223"/>
      <c r="AH498" s="1223"/>
      <c r="AI498" s="1221"/>
      <c r="AJ498" s="1221"/>
      <c r="AK498" s="1219"/>
      <c r="AL498" s="1219"/>
      <c r="AM498" s="1219"/>
      <c r="AN498" s="1219"/>
      <c r="AO498" s="1219"/>
      <c r="AP498" s="1224" t="s">
        <v>1755</v>
      </c>
      <c r="AR498" s="1216" t="s">
        <v>10</v>
      </c>
      <c r="AS498" s="1217" t="s">
        <v>10</v>
      </c>
      <c r="AT498" s="1217" t="s">
        <v>10</v>
      </c>
      <c r="AU498" s="1217" t="s">
        <v>10</v>
      </c>
      <c r="AV498" s="1217" t="s">
        <v>10</v>
      </c>
      <c r="AW498" s="1218" t="s">
        <v>2394</v>
      </c>
      <c r="AX498" s="1219"/>
      <c r="AY498" s="1220"/>
      <c r="AZ498" s="1221"/>
      <c r="BA498" s="1222"/>
      <c r="BB498" s="1223"/>
      <c r="BC498" s="1223"/>
      <c r="BD498" s="1221"/>
      <c r="BE498" s="1221"/>
      <c r="BF498" s="1219"/>
      <c r="BG498" s="1219"/>
      <c r="BH498" s="1219"/>
      <c r="BI498" s="1219"/>
      <c r="BJ498" s="1219"/>
      <c r="BK498" s="1224" t="s">
        <v>1755</v>
      </c>
      <c r="BM498" s="3">
        <v>1</v>
      </c>
    </row>
    <row r="499" spans="2:65" ht="21" customHeight="1">
      <c r="B499" s="14"/>
      <c r="C499" s="14"/>
      <c r="D499" s="14"/>
      <c r="E499" s="14"/>
      <c r="F499" s="14"/>
      <c r="G499" s="14"/>
      <c r="H499" s="14"/>
      <c r="I499" s="14"/>
      <c r="J499" s="14"/>
      <c r="K499" s="228" t="s">
        <v>8147</v>
      </c>
      <c r="L499" s="1387" t="s">
        <v>214</v>
      </c>
      <c r="M499" s="1387"/>
      <c r="N499"/>
      <c r="O499"/>
      <c r="Q499" s="1387" t="s">
        <v>8800</v>
      </c>
      <c r="W499" s="14"/>
      <c r="X499" s="14"/>
      <c r="Y499" s="14"/>
      <c r="Z499" s="14"/>
      <c r="AA499" s="14"/>
      <c r="AB499" s="14"/>
      <c r="AC499" s="14"/>
      <c r="AD499" s="14"/>
      <c r="AE499" s="14"/>
      <c r="AF499" s="228" t="s">
        <v>8147</v>
      </c>
      <c r="AG499" s="1387" t="s">
        <v>8476</v>
      </c>
      <c r="AH499" s="1387"/>
      <c r="AK499" s="227"/>
      <c r="AL499" s="1387" t="s">
        <v>8801</v>
      </c>
      <c r="AM499" s="227"/>
      <c r="AN499" s="227"/>
      <c r="AO499" s="227"/>
      <c r="AP499" s="227"/>
      <c r="AR499" s="14"/>
      <c r="AS499" s="14"/>
      <c r="AT499" s="14"/>
      <c r="AU499" s="14"/>
      <c r="AV499" s="14"/>
      <c r="AW499" s="14"/>
      <c r="AX499" s="14"/>
      <c r="AY499" s="14"/>
      <c r="AZ499" s="14"/>
      <c r="BA499" s="228" t="s">
        <v>8147</v>
      </c>
      <c r="BB499" s="1387" t="s">
        <v>8477</v>
      </c>
      <c r="BC499" s="1387"/>
      <c r="BF499" s="227"/>
      <c r="BG499" s="1387" t="s">
        <v>8802</v>
      </c>
      <c r="BH499" s="227"/>
      <c r="BI499" s="227"/>
      <c r="BJ499" s="227"/>
      <c r="BK499" s="227"/>
      <c r="BM499" s="3">
        <v>1</v>
      </c>
    </row>
    <row r="500" spans="2:65" ht="21" customHeight="1">
      <c r="B500" s="14"/>
      <c r="C500" s="14"/>
      <c r="D500" s="14"/>
      <c r="E500" s="14"/>
      <c r="F500" s="14"/>
      <c r="G500" s="14"/>
      <c r="H500" s="14"/>
      <c r="I500" s="14"/>
      <c r="J500" s="14"/>
      <c r="K500" s="14"/>
      <c r="L500" s="1372" t="s">
        <v>8145</v>
      </c>
      <c r="M500" s="419" t="s">
        <v>821</v>
      </c>
      <c r="N500" s="1824"/>
      <c r="O500" s="1825"/>
      <c r="P500" s="1825"/>
      <c r="Q500" s="1826"/>
      <c r="R500" s="544"/>
      <c r="S500" s="544"/>
      <c r="T500" s="6004" t="s">
        <v>164</v>
      </c>
      <c r="U500" s="1373" t="s">
        <v>165</v>
      </c>
      <c r="W500" s="14"/>
      <c r="X500" s="14"/>
      <c r="Y500" s="14"/>
      <c r="Z500" s="14"/>
      <c r="AA500" s="14"/>
      <c r="AB500" s="14"/>
      <c r="AC500" s="14"/>
      <c r="AD500" s="14"/>
      <c r="AE500" s="14"/>
      <c r="AF500" s="14"/>
      <c r="AG500" s="1372" t="s">
        <v>8216</v>
      </c>
      <c r="AH500" s="419" t="s">
        <v>860</v>
      </c>
      <c r="AI500" s="1824"/>
      <c r="AJ500" s="1825"/>
      <c r="AK500" s="1825"/>
      <c r="AL500" s="1826"/>
      <c r="AM500" s="544"/>
      <c r="AN500" s="544"/>
      <c r="AO500" s="6004" t="s">
        <v>859</v>
      </c>
      <c r="AP500" s="1373" t="s">
        <v>165</v>
      </c>
      <c r="AR500" s="14"/>
      <c r="AS500" s="14"/>
      <c r="AT500" s="14"/>
      <c r="AU500" s="14"/>
      <c r="AV500" s="14"/>
      <c r="AW500" s="14"/>
      <c r="AX500" s="14"/>
      <c r="AY500" s="14"/>
      <c r="AZ500" s="14"/>
      <c r="BA500" s="14"/>
      <c r="BB500" s="1372" t="s">
        <v>8217</v>
      </c>
      <c r="BC500" s="419" t="s">
        <v>874</v>
      </c>
      <c r="BD500" s="1824"/>
      <c r="BE500" s="1825"/>
      <c r="BF500" s="1825"/>
      <c r="BG500" s="1826"/>
      <c r="BH500" s="544"/>
      <c r="BI500" s="544"/>
      <c r="BJ500" s="6004" t="s">
        <v>873</v>
      </c>
      <c r="BK500" s="1373" t="s">
        <v>165</v>
      </c>
      <c r="BM500" s="3">
        <v>1</v>
      </c>
    </row>
    <row r="501" spans="2:65" ht="21" customHeight="1">
      <c r="B501" s="14"/>
      <c r="C501" s="14"/>
      <c r="D501" s="14"/>
      <c r="E501" s="14"/>
      <c r="F501" s="14"/>
      <c r="G501" s="14"/>
      <c r="H501" s="14"/>
      <c r="I501" s="14"/>
      <c r="J501" s="14"/>
      <c r="K501" s="14"/>
      <c r="L501" s="1392">
        <v>0</v>
      </c>
      <c r="M501" s="1375" t="s">
        <v>8148</v>
      </c>
      <c r="N501" s="1329"/>
      <c r="O501" s="1329"/>
      <c r="P501" s="1329"/>
      <c r="Q501" s="9"/>
      <c r="R501" s="9"/>
      <c r="S501" s="9"/>
      <c r="T501" s="5993" t="s">
        <v>167</v>
      </c>
      <c r="U501" s="1330" t="s">
        <v>165</v>
      </c>
      <c r="W501" s="14"/>
      <c r="X501" s="14"/>
      <c r="Y501" s="14"/>
      <c r="Z501" s="14"/>
      <c r="AA501" s="14"/>
      <c r="AB501" s="14"/>
      <c r="AC501" s="14"/>
      <c r="AD501" s="14"/>
      <c r="AE501" s="14"/>
      <c r="AF501" s="14"/>
      <c r="AG501" s="1392">
        <v>0</v>
      </c>
      <c r="AH501" s="1375" t="s">
        <v>8198</v>
      </c>
      <c r="AI501" s="1329"/>
      <c r="AJ501" s="1329"/>
      <c r="AK501" s="1329"/>
      <c r="AL501" s="9"/>
      <c r="AM501" s="9"/>
      <c r="AN501" s="9"/>
      <c r="AO501" s="5993" t="s">
        <v>861</v>
      </c>
      <c r="AP501" s="1330" t="s">
        <v>165</v>
      </c>
      <c r="AR501" s="14"/>
      <c r="AS501" s="14"/>
      <c r="AT501" s="14"/>
      <c r="AU501" s="14"/>
      <c r="AV501" s="14"/>
      <c r="AW501" s="14"/>
      <c r="AX501" s="14"/>
      <c r="AY501" s="14"/>
      <c r="AZ501" s="14"/>
      <c r="BA501" s="14"/>
      <c r="BB501" s="1392">
        <v>0</v>
      </c>
      <c r="BC501" s="1375" t="s">
        <v>8193</v>
      </c>
      <c r="BD501" s="1329"/>
      <c r="BE501" s="1329"/>
      <c r="BF501" s="1329"/>
      <c r="BG501" s="9"/>
      <c r="BH501" s="9"/>
      <c r="BI501" s="9"/>
      <c r="BJ501" s="5993" t="s">
        <v>875</v>
      </c>
      <c r="BK501" s="1330" t="s">
        <v>165</v>
      </c>
      <c r="BM501" s="3">
        <v>1</v>
      </c>
    </row>
    <row r="502" spans="2:65" ht="21" customHeight="1">
      <c r="B502" s="14"/>
      <c r="C502" s="14"/>
      <c r="D502" s="14"/>
      <c r="E502" s="14"/>
      <c r="F502" s="14"/>
      <c r="G502" s="14"/>
      <c r="H502" s="14"/>
      <c r="I502" s="14"/>
      <c r="J502" s="14"/>
      <c r="K502" s="14"/>
      <c r="L502" s="1619">
        <f>IF(ISBLANK(M502),"",LARGE(L501:L501,1)+1)</f>
        <v>1</v>
      </c>
      <c r="M502" s="1886" t="s">
        <v>8149</v>
      </c>
      <c r="N502" s="1886"/>
      <c r="O502" s="1886"/>
      <c r="P502" s="1886"/>
      <c r="Q502" s="1886"/>
      <c r="R502" s="1886"/>
      <c r="S502" s="1886"/>
      <c r="T502" s="5994" t="s">
        <v>171</v>
      </c>
      <c r="U502" s="5564">
        <v>3.472222222222222E-3</v>
      </c>
      <c r="W502" s="14"/>
      <c r="X502" s="14"/>
      <c r="Y502" s="14"/>
      <c r="Z502" s="14"/>
      <c r="AA502" s="14"/>
      <c r="AB502" s="14"/>
      <c r="AC502" s="14"/>
      <c r="AD502" s="14"/>
      <c r="AE502" s="14"/>
      <c r="AF502" s="14"/>
      <c r="AG502" s="1619" t="str">
        <f>IF(ISBLANK(AH502),"",LARGE(AG501:AG501,1)+1)</f>
        <v/>
      </c>
      <c r="AH502" s="1886"/>
      <c r="AI502" s="1886"/>
      <c r="AJ502" s="1886"/>
      <c r="AK502" s="1886"/>
      <c r="AL502" s="1886"/>
      <c r="AM502" s="1886"/>
      <c r="AN502" s="1886"/>
      <c r="AO502" s="5994" t="s">
        <v>14172</v>
      </c>
      <c r="AP502" s="5564">
        <v>3.472222222222222E-3</v>
      </c>
      <c r="AR502" s="14"/>
      <c r="AS502" s="14"/>
      <c r="AT502" s="14"/>
      <c r="AU502" s="14"/>
      <c r="AV502" s="14"/>
      <c r="AW502" s="14"/>
      <c r="AX502" s="14"/>
      <c r="AY502" s="14"/>
      <c r="AZ502" s="14"/>
      <c r="BA502" s="14"/>
      <c r="BB502" s="1619" t="str">
        <f>IF(ISBLANK(BC502),"",LARGE(BB501:BB501,1)+1)</f>
        <v/>
      </c>
      <c r="BC502" s="1886"/>
      <c r="BD502" s="1886"/>
      <c r="BE502" s="1886"/>
      <c r="BF502" s="1886"/>
      <c r="BG502" s="1886"/>
      <c r="BH502" s="1886"/>
      <c r="BI502" s="1886"/>
      <c r="BJ502" s="5994" t="s">
        <v>651</v>
      </c>
      <c r="BK502" s="5564">
        <v>3.472222222222222E-3</v>
      </c>
      <c r="BM502" s="3">
        <v>1</v>
      </c>
    </row>
    <row r="503" spans="2:65" ht="21" customHeight="1">
      <c r="B503" s="14"/>
      <c r="C503" s="14"/>
      <c r="D503" s="14"/>
      <c r="E503" s="14"/>
      <c r="F503" s="14"/>
      <c r="G503" s="14"/>
      <c r="H503" s="14"/>
      <c r="I503" s="14"/>
      <c r="J503" s="14"/>
      <c r="K503" s="14"/>
      <c r="L503" s="1619">
        <f>IF(ISBLANK(M503),"",LARGE(L501:L502,1)+1)</f>
        <v>2</v>
      </c>
      <c r="M503" s="1886" t="s">
        <v>8150</v>
      </c>
      <c r="N503" s="1886"/>
      <c r="O503" s="1886"/>
      <c r="P503" s="1886"/>
      <c r="Q503" s="1886"/>
      <c r="R503" s="1886"/>
      <c r="S503" s="1886"/>
      <c r="T503" s="5994" t="s">
        <v>173</v>
      </c>
      <c r="U503" s="5565">
        <v>1.0416666666666666E-2</v>
      </c>
      <c r="W503" s="14"/>
      <c r="X503" s="14"/>
      <c r="Y503" s="14"/>
      <c r="Z503" s="14"/>
      <c r="AA503" s="14"/>
      <c r="AB503" s="14"/>
      <c r="AC503" s="14"/>
      <c r="AD503" s="14"/>
      <c r="AE503" s="14"/>
      <c r="AF503" s="14"/>
      <c r="AG503" s="1619" t="str">
        <f>IF(ISBLANK(AH503),"",LARGE(AG501:AG502,1)+1)</f>
        <v/>
      </c>
      <c r="AH503" s="1886"/>
      <c r="AI503" s="1886"/>
      <c r="AJ503" s="1886"/>
      <c r="AK503" s="1886"/>
      <c r="AL503" s="1886"/>
      <c r="AM503" s="1886"/>
      <c r="AN503" s="1886"/>
      <c r="AO503" s="5994" t="s">
        <v>655</v>
      </c>
      <c r="AP503" s="5565">
        <v>1.0416666666666666E-2</v>
      </c>
      <c r="AR503" s="14"/>
      <c r="AS503" s="14"/>
      <c r="AT503" s="14"/>
      <c r="AU503" s="14"/>
      <c r="AV503" s="14"/>
      <c r="AW503" s="14"/>
      <c r="AX503" s="14"/>
      <c r="AY503" s="14"/>
      <c r="AZ503" s="14"/>
      <c r="BA503" s="14"/>
      <c r="BB503" s="1619" t="str">
        <f>IF(ISBLANK(BC503),"",LARGE(BB501:BB502,1)+1)</f>
        <v/>
      </c>
      <c r="BC503" s="1886"/>
      <c r="BD503" s="1886"/>
      <c r="BE503" s="1886"/>
      <c r="BF503" s="1886"/>
      <c r="BG503" s="1886"/>
      <c r="BH503" s="1886"/>
      <c r="BI503" s="1886"/>
      <c r="BJ503" s="5994" t="s">
        <v>656</v>
      </c>
      <c r="BK503" s="5565">
        <v>1.0416666666666666E-2</v>
      </c>
      <c r="BM503" s="3">
        <v>1</v>
      </c>
    </row>
    <row r="504" spans="2:65" ht="21" customHeight="1">
      <c r="B504" s="14"/>
      <c r="C504" s="14"/>
      <c r="D504" s="14"/>
      <c r="E504" s="14"/>
      <c r="F504" s="14"/>
      <c r="G504" s="14"/>
      <c r="H504" s="14"/>
      <c r="I504" s="14"/>
      <c r="J504" s="14"/>
      <c r="K504" s="14"/>
      <c r="L504" s="1619">
        <f>IF(ISBLANK(M504),"",LARGE(L501:L503,1)+1)</f>
        <v>3</v>
      </c>
      <c r="M504" s="1886" t="s">
        <v>8151</v>
      </c>
      <c r="N504" s="1886"/>
      <c r="O504" s="1886"/>
      <c r="P504" s="1886"/>
      <c r="Q504" s="1886"/>
      <c r="R504" s="1886"/>
      <c r="S504" s="1886"/>
      <c r="T504" s="5994" t="s">
        <v>181</v>
      </c>
      <c r="U504" s="178">
        <v>2.0833333333333332E-2</v>
      </c>
      <c r="W504" s="14"/>
      <c r="X504" s="14"/>
      <c r="Y504" s="14"/>
      <c r="Z504" s="14"/>
      <c r="AA504" s="14"/>
      <c r="AB504" s="14"/>
      <c r="AC504" s="14"/>
      <c r="AD504" s="14"/>
      <c r="AE504" s="14"/>
      <c r="AF504" s="14"/>
      <c r="AG504" s="1619" t="str">
        <f>IF(ISBLANK(AH504),"",LARGE(AG501:AG503,1)+1)</f>
        <v/>
      </c>
      <c r="AH504" s="1886"/>
      <c r="AI504" s="1886"/>
      <c r="AJ504" s="1886"/>
      <c r="AK504" s="1886"/>
      <c r="AL504" s="1886"/>
      <c r="AM504" s="1886"/>
      <c r="AN504" s="1886"/>
      <c r="AO504" s="5994" t="s">
        <v>657</v>
      </c>
      <c r="AP504" s="178">
        <v>2.0833333333333332E-2</v>
      </c>
      <c r="AR504" s="14"/>
      <c r="AS504" s="14"/>
      <c r="AT504" s="14"/>
      <c r="AU504" s="14"/>
      <c r="AV504" s="14"/>
      <c r="AW504" s="14"/>
      <c r="AX504" s="14"/>
      <c r="AY504" s="14"/>
      <c r="AZ504" s="14"/>
      <c r="BA504" s="14"/>
      <c r="BB504" s="1619" t="str">
        <f>IF(ISBLANK(BC504),"",LARGE(BB501:BB503,1)+1)</f>
        <v/>
      </c>
      <c r="BC504" s="1886"/>
      <c r="BD504" s="1886"/>
      <c r="BE504" s="1886"/>
      <c r="BF504" s="1886"/>
      <c r="BG504" s="1886"/>
      <c r="BH504" s="1886"/>
      <c r="BI504" s="1886"/>
      <c r="BJ504" s="5994" t="s">
        <v>877</v>
      </c>
      <c r="BK504" s="178">
        <v>2.0833333333333332E-2</v>
      </c>
      <c r="BM504" s="3">
        <v>1</v>
      </c>
    </row>
    <row r="505" spans="2:65" ht="21" customHeight="1">
      <c r="B505" s="14"/>
      <c r="C505" s="14"/>
      <c r="D505" s="14"/>
      <c r="E505" s="14"/>
      <c r="F505" s="14"/>
      <c r="G505" s="14"/>
      <c r="H505" s="14"/>
      <c r="I505" s="14"/>
      <c r="J505" s="14"/>
      <c r="K505" s="14"/>
      <c r="L505" s="1619">
        <f>IF(ISBLANK(M505),"",LARGE(L501:L504,1)+1)</f>
        <v>4</v>
      </c>
      <c r="M505" s="1886" t="s">
        <v>8152</v>
      </c>
      <c r="N505" s="1886"/>
      <c r="O505" s="1886"/>
      <c r="P505" s="1886"/>
      <c r="Q505" s="1886"/>
      <c r="R505" s="1886"/>
      <c r="S505" s="1886"/>
      <c r="T505" s="179" t="s">
        <v>182</v>
      </c>
      <c r="U505" s="180">
        <f>U502+U503+U504</f>
        <v>3.4722222222222224E-2</v>
      </c>
      <c r="W505" s="14"/>
      <c r="X505" s="14"/>
      <c r="Y505" s="14"/>
      <c r="Z505" s="14"/>
      <c r="AA505" s="14"/>
      <c r="AB505" s="14"/>
      <c r="AC505" s="14"/>
      <c r="AD505" s="14"/>
      <c r="AE505" s="14"/>
      <c r="AF505" s="14"/>
      <c r="AG505" s="1619" t="str">
        <f>IF(ISBLANK(AH505),"",LARGE(AG501:AG504,1)+1)</f>
        <v/>
      </c>
      <c r="AH505" s="1886"/>
      <c r="AI505" s="1886"/>
      <c r="AJ505" s="1886"/>
      <c r="AK505" s="1886"/>
      <c r="AL505" s="1886"/>
      <c r="AM505" s="1886"/>
      <c r="AN505" s="1886"/>
      <c r="AO505" s="179" t="s">
        <v>182</v>
      </c>
      <c r="AP505" s="180">
        <f>AP502+AP503+AP504</f>
        <v>3.4722222222222224E-2</v>
      </c>
      <c r="AR505" s="14"/>
      <c r="AS505" s="14"/>
      <c r="AT505" s="14"/>
      <c r="AU505" s="14"/>
      <c r="AV505" s="14"/>
      <c r="AW505" s="14"/>
      <c r="AX505" s="14"/>
      <c r="AY505" s="14"/>
      <c r="AZ505" s="14"/>
      <c r="BA505" s="14"/>
      <c r="BB505" s="1619" t="str">
        <f>IF(ISBLANK(BC505),"",LARGE(BB501:BB504,1)+1)</f>
        <v/>
      </c>
      <c r="BC505" s="1886"/>
      <c r="BD505" s="1886"/>
      <c r="BE505" s="1886"/>
      <c r="BF505" s="1886"/>
      <c r="BG505" s="1886"/>
      <c r="BH505" s="1886"/>
      <c r="BI505" s="1886"/>
      <c r="BJ505" s="179" t="s">
        <v>182</v>
      </c>
      <c r="BK505" s="180">
        <f>BK502+BK503+BK504</f>
        <v>3.4722222222222224E-2</v>
      </c>
      <c r="BM505" s="3">
        <v>1</v>
      </c>
    </row>
    <row r="506" spans="2:65" ht="21" customHeight="1">
      <c r="B506" s="14"/>
      <c r="C506" s="14"/>
      <c r="D506" s="14"/>
      <c r="E506" s="14"/>
      <c r="F506" s="14"/>
      <c r="G506" s="14"/>
      <c r="H506" s="14"/>
      <c r="I506" s="14"/>
      <c r="J506" s="14"/>
      <c r="K506" s="14"/>
      <c r="L506" s="1619" t="str">
        <f>IF(ISBLANK(M506),"",LARGE(L501:L505,1)+1)</f>
        <v/>
      </c>
      <c r="M506" s="1886"/>
      <c r="N506" s="1886" t="s">
        <v>8153</v>
      </c>
      <c r="O506" s="1886"/>
      <c r="P506" s="1886"/>
      <c r="Q506" s="1886"/>
      <c r="R506" s="1886"/>
      <c r="S506" s="1886"/>
      <c r="T506" s="1886"/>
      <c r="U506" s="1887"/>
      <c r="W506" s="14"/>
      <c r="X506" s="14"/>
      <c r="Y506" s="14"/>
      <c r="Z506" s="14"/>
      <c r="AA506" s="14"/>
      <c r="AB506" s="14"/>
      <c r="AC506" s="14"/>
      <c r="AD506" s="14"/>
      <c r="AE506" s="14"/>
      <c r="AF506" s="14"/>
      <c r="AG506" s="1619" t="str">
        <f>IF(ISBLANK(AH506),"",LARGE(AG501:AG505,1)+1)</f>
        <v/>
      </c>
      <c r="AH506" s="1886"/>
      <c r="AI506" s="1886"/>
      <c r="AJ506" s="1886"/>
      <c r="AK506" s="1886"/>
      <c r="AL506" s="1886"/>
      <c r="AM506" s="1886"/>
      <c r="AN506" s="1886"/>
      <c r="AO506" s="1886"/>
      <c r="AP506" s="1887"/>
      <c r="AR506" s="14"/>
      <c r="AS506" s="14"/>
      <c r="AT506" s="14"/>
      <c r="AU506" s="14"/>
      <c r="AV506" s="14"/>
      <c r="AW506" s="14"/>
      <c r="AX506" s="14"/>
      <c r="AY506" s="14"/>
      <c r="AZ506" s="14"/>
      <c r="BA506" s="14"/>
      <c r="BB506" s="1619" t="str">
        <f>IF(ISBLANK(BC506),"",LARGE(BB501:BB505,1)+1)</f>
        <v/>
      </c>
      <c r="BC506" s="1886"/>
      <c r="BD506" s="1886"/>
      <c r="BE506" s="1886"/>
      <c r="BF506" s="1886"/>
      <c r="BG506" s="1886"/>
      <c r="BH506" s="1886"/>
      <c r="BI506" s="1886"/>
      <c r="BJ506" s="1886"/>
      <c r="BK506" s="1887"/>
      <c r="BM506" s="3">
        <v>1</v>
      </c>
    </row>
    <row r="507" spans="2:65" ht="21" customHeight="1">
      <c r="B507" s="14"/>
      <c r="C507" s="14"/>
      <c r="D507" s="14"/>
      <c r="E507" s="14"/>
      <c r="F507" s="14"/>
      <c r="G507" s="14"/>
      <c r="H507" s="14"/>
      <c r="I507" s="14"/>
      <c r="J507" s="14"/>
      <c r="K507" s="14"/>
      <c r="L507" s="1619">
        <f>IF(ISBLANK(M507),"",LARGE(L501:L506,1)+1)</f>
        <v>5</v>
      </c>
      <c r="M507" s="1886" t="s">
        <v>8154</v>
      </c>
      <c r="N507" s="1886"/>
      <c r="O507" s="1886"/>
      <c r="P507" s="1886"/>
      <c r="Q507" s="1886"/>
      <c r="R507" s="1886"/>
      <c r="S507" s="1886"/>
      <c r="T507" s="1886"/>
      <c r="U507" s="1887"/>
      <c r="W507" s="14"/>
      <c r="X507" s="14"/>
      <c r="Y507" s="14"/>
      <c r="Z507" s="14"/>
      <c r="AA507" s="14"/>
      <c r="AB507" s="14"/>
      <c r="AC507" s="14"/>
      <c r="AD507" s="14"/>
      <c r="AE507" s="14"/>
      <c r="AF507" s="14"/>
      <c r="AG507" s="1619" t="str">
        <f>IF(ISBLANK(AH507),"",LARGE(AG501:AG506,1)+1)</f>
        <v/>
      </c>
      <c r="AH507" s="1886"/>
      <c r="AI507" s="1886"/>
      <c r="AJ507" s="1886"/>
      <c r="AK507" s="1886"/>
      <c r="AL507" s="1886"/>
      <c r="AM507" s="1886"/>
      <c r="AN507" s="1886"/>
      <c r="AO507" s="1886"/>
      <c r="AP507" s="1887"/>
      <c r="AR507" s="14"/>
      <c r="AS507" s="14"/>
      <c r="AT507" s="14"/>
      <c r="AU507" s="14"/>
      <c r="AV507" s="14"/>
      <c r="AW507" s="14"/>
      <c r="AX507" s="14"/>
      <c r="AY507" s="14"/>
      <c r="AZ507" s="14"/>
      <c r="BA507" s="14"/>
      <c r="BB507" s="1619" t="str">
        <f>IF(ISBLANK(BC507),"",LARGE(BB501:BB506,1)+1)</f>
        <v/>
      </c>
      <c r="BC507" s="1886"/>
      <c r="BD507" s="1886"/>
      <c r="BE507" s="1886"/>
      <c r="BF507" s="1886"/>
      <c r="BG507" s="1886"/>
      <c r="BH507" s="1886"/>
      <c r="BI507" s="1886"/>
      <c r="BJ507" s="1886"/>
      <c r="BK507" s="1887"/>
      <c r="BM507" s="3">
        <v>1</v>
      </c>
    </row>
    <row r="508" spans="2:65" ht="21" customHeight="1">
      <c r="B508" s="14"/>
      <c r="C508" s="14"/>
      <c r="D508" s="14"/>
      <c r="E508" s="14"/>
      <c r="F508" s="14"/>
      <c r="G508" s="14"/>
      <c r="H508" s="14"/>
      <c r="I508" s="14"/>
      <c r="J508" s="14"/>
      <c r="K508" s="14"/>
      <c r="L508" s="1619">
        <f>IF(ISBLANK(M508),"",LARGE(L501:L507,1)+1)</f>
        <v>6</v>
      </c>
      <c r="M508" s="1886" t="s">
        <v>8155</v>
      </c>
      <c r="N508" s="1886"/>
      <c r="O508" s="1886"/>
      <c r="P508" s="1886"/>
      <c r="Q508" s="1886"/>
      <c r="R508" s="1886"/>
      <c r="S508" s="1886"/>
      <c r="T508" s="1886"/>
      <c r="U508" s="1887"/>
      <c r="W508" s="14"/>
      <c r="X508" s="14"/>
      <c r="Y508" s="14"/>
      <c r="Z508" s="14"/>
      <c r="AA508" s="14"/>
      <c r="AB508" s="14"/>
      <c r="AC508" s="14"/>
      <c r="AD508" s="14"/>
      <c r="AE508" s="14"/>
      <c r="AF508" s="14"/>
      <c r="AG508" s="1619" t="str">
        <f>IF(ISBLANK(AH508),"",LARGE(AG501:AG507,1)+1)</f>
        <v/>
      </c>
      <c r="AH508" s="1886"/>
      <c r="AI508" s="1886"/>
      <c r="AJ508" s="1886"/>
      <c r="AK508" s="1886"/>
      <c r="AL508" s="1886"/>
      <c r="AM508" s="1886"/>
      <c r="AN508" s="1886"/>
      <c r="AO508" s="1886"/>
      <c r="AP508" s="1887"/>
      <c r="AR508" s="14"/>
      <c r="AS508" s="14"/>
      <c r="AT508" s="14"/>
      <c r="AU508" s="14"/>
      <c r="AV508" s="14"/>
      <c r="AW508" s="14"/>
      <c r="AX508" s="14"/>
      <c r="AY508" s="14"/>
      <c r="AZ508" s="14"/>
      <c r="BA508" s="14"/>
      <c r="BB508" s="1619" t="str">
        <f>IF(ISBLANK(BC508),"",LARGE(BB501:BB507,1)+1)</f>
        <v/>
      </c>
      <c r="BC508" s="1886"/>
      <c r="BD508" s="1886"/>
      <c r="BE508" s="1886"/>
      <c r="BF508" s="1886"/>
      <c r="BG508" s="1886"/>
      <c r="BH508" s="1886"/>
      <c r="BI508" s="1886"/>
      <c r="BJ508" s="1886"/>
      <c r="BK508" s="1887"/>
      <c r="BM508" s="3">
        <v>1</v>
      </c>
    </row>
    <row r="509" spans="2:65" ht="21" customHeight="1">
      <c r="B509" s="14"/>
      <c r="C509" s="14"/>
      <c r="D509" s="14"/>
      <c r="E509" s="14"/>
      <c r="F509" s="14"/>
      <c r="G509" s="14"/>
      <c r="H509" s="14"/>
      <c r="I509" s="14"/>
      <c r="J509" s="14"/>
      <c r="K509" s="14"/>
      <c r="L509" s="1619" t="str">
        <f>IF(ISBLANK(M509),"",LARGE(L501:L508,1)+1)</f>
        <v/>
      </c>
      <c r="M509" s="1886"/>
      <c r="N509" s="1886" t="s">
        <v>8156</v>
      </c>
      <c r="O509" s="1886"/>
      <c r="P509" s="1886"/>
      <c r="Q509" s="1886"/>
      <c r="R509" s="1886"/>
      <c r="S509" s="1886"/>
      <c r="T509" s="1886"/>
      <c r="U509" s="1887"/>
      <c r="W509" s="14"/>
      <c r="X509" s="14"/>
      <c r="Y509" s="14"/>
      <c r="Z509" s="14"/>
      <c r="AA509" s="14"/>
      <c r="AB509" s="14"/>
      <c r="AC509" s="14"/>
      <c r="AD509" s="14"/>
      <c r="AE509" s="14"/>
      <c r="AF509" s="14"/>
      <c r="AG509" s="1619" t="str">
        <f>IF(ISBLANK(AH509),"",LARGE(AG501:AG508,1)+1)</f>
        <v/>
      </c>
      <c r="AH509" s="1886"/>
      <c r="AI509" s="1886"/>
      <c r="AJ509" s="1886"/>
      <c r="AK509" s="1886"/>
      <c r="AL509" s="1886"/>
      <c r="AM509" s="1886"/>
      <c r="AN509" s="1886"/>
      <c r="AO509" s="1886"/>
      <c r="AP509" s="1887"/>
      <c r="AR509" s="14"/>
      <c r="AS509" s="14"/>
      <c r="AT509" s="14"/>
      <c r="AU509" s="14"/>
      <c r="AV509" s="14"/>
      <c r="AW509" s="14"/>
      <c r="AX509" s="14"/>
      <c r="AY509" s="14"/>
      <c r="AZ509" s="14"/>
      <c r="BA509" s="14"/>
      <c r="BB509" s="1619" t="str">
        <f>IF(ISBLANK(BC509),"",LARGE(BB501:BB508,1)+1)</f>
        <v/>
      </c>
      <c r="BC509" s="1886"/>
      <c r="BD509" s="1886"/>
      <c r="BE509" s="1886"/>
      <c r="BF509" s="1886"/>
      <c r="BG509" s="1886"/>
      <c r="BH509" s="1886"/>
      <c r="BI509" s="1886"/>
      <c r="BJ509" s="1886"/>
      <c r="BK509" s="1887"/>
      <c r="BM509" s="3">
        <v>1</v>
      </c>
    </row>
    <row r="510" spans="2:65" ht="21" customHeight="1">
      <c r="B510" s="14"/>
      <c r="C510" s="14"/>
      <c r="D510" s="14"/>
      <c r="E510" s="14"/>
      <c r="F510" s="14"/>
      <c r="G510" s="14"/>
      <c r="H510" s="14"/>
      <c r="I510" s="14"/>
      <c r="J510" s="14"/>
      <c r="K510" s="14"/>
      <c r="L510" s="1619">
        <f>IF(ISBLANK(M510),"",LARGE(L501:L509,1)+1)</f>
        <v>7</v>
      </c>
      <c r="M510" s="1886" t="s">
        <v>8157</v>
      </c>
      <c r="N510" s="1886"/>
      <c r="O510" s="1886"/>
      <c r="P510" s="1886"/>
      <c r="Q510" s="1886"/>
      <c r="R510" s="1886"/>
      <c r="S510" s="1886"/>
      <c r="T510" s="1886"/>
      <c r="U510" s="1887"/>
      <c r="W510" s="14"/>
      <c r="X510" s="14"/>
      <c r="Y510" s="14"/>
      <c r="Z510" s="14"/>
      <c r="AA510" s="14"/>
      <c r="AB510" s="14"/>
      <c r="AC510" s="14"/>
      <c r="AD510" s="14"/>
      <c r="AE510" s="14"/>
      <c r="AF510" s="14"/>
      <c r="AG510" s="1619" t="str">
        <f>IF(ISBLANK(AH510),"",LARGE(AG501:AG509,1)+1)</f>
        <v/>
      </c>
      <c r="AH510" s="1886"/>
      <c r="AI510" s="1886"/>
      <c r="AJ510" s="1886"/>
      <c r="AK510" s="1886"/>
      <c r="AL510" s="1886"/>
      <c r="AM510" s="1886"/>
      <c r="AN510" s="1886"/>
      <c r="AO510" s="1886"/>
      <c r="AP510" s="1887"/>
      <c r="AR510" s="14"/>
      <c r="AS510" s="14"/>
      <c r="AT510" s="14"/>
      <c r="AU510" s="14"/>
      <c r="AV510" s="14"/>
      <c r="AW510" s="14"/>
      <c r="AX510" s="14"/>
      <c r="AY510" s="14"/>
      <c r="AZ510" s="14"/>
      <c r="BA510" s="14"/>
      <c r="BB510" s="1619" t="str">
        <f>IF(ISBLANK(BC510),"",LARGE(BB501:BB509,1)+1)</f>
        <v/>
      </c>
      <c r="BC510" s="1886"/>
      <c r="BD510" s="1886"/>
      <c r="BE510" s="1886"/>
      <c r="BF510" s="1886"/>
      <c r="BG510" s="1886"/>
      <c r="BH510" s="1886"/>
      <c r="BI510" s="1886"/>
      <c r="BJ510" s="1886"/>
      <c r="BK510" s="1887"/>
      <c r="BM510" s="3">
        <v>1</v>
      </c>
    </row>
    <row r="511" spans="2:65" ht="21" customHeight="1">
      <c r="B511" s="14"/>
      <c r="C511" s="14"/>
      <c r="D511" s="14"/>
      <c r="E511" s="14"/>
      <c r="F511" s="14"/>
      <c r="G511" s="14"/>
      <c r="H511" s="14"/>
      <c r="I511" s="14"/>
      <c r="J511" s="14"/>
      <c r="K511" s="14"/>
      <c r="L511" s="1619">
        <f>IF(ISBLANK(M511),"",LARGE(L501:L510,1)+1)</f>
        <v>8</v>
      </c>
      <c r="M511" s="1886" t="s">
        <v>8158</v>
      </c>
      <c r="N511" s="1886"/>
      <c r="O511" s="1886"/>
      <c r="P511" s="1886"/>
      <c r="Q511" s="1886"/>
      <c r="R511" s="1886"/>
      <c r="S511" s="1886"/>
      <c r="T511" s="1886"/>
      <c r="U511" s="1887"/>
      <c r="W511" s="14"/>
      <c r="X511" s="14"/>
      <c r="Y511" s="14"/>
      <c r="Z511" s="14"/>
      <c r="AA511" s="14"/>
      <c r="AB511" s="14"/>
      <c r="AC511" s="14"/>
      <c r="AD511" s="14"/>
      <c r="AE511" s="14"/>
      <c r="AF511" s="14"/>
      <c r="AG511" s="1619" t="str">
        <f>IF(ISBLANK(AH511),"",LARGE(AG501:AG510,1)+1)</f>
        <v/>
      </c>
      <c r="AH511" s="1886"/>
      <c r="AI511" s="1886"/>
      <c r="AJ511" s="1886"/>
      <c r="AK511" s="1886"/>
      <c r="AL511" s="1886"/>
      <c r="AM511" s="1886"/>
      <c r="AN511" s="1886"/>
      <c r="AO511" s="1886"/>
      <c r="AP511" s="1887"/>
      <c r="AR511" s="14"/>
      <c r="AS511" s="14"/>
      <c r="AT511" s="14"/>
      <c r="AU511" s="14"/>
      <c r="AV511" s="14"/>
      <c r="AW511" s="14"/>
      <c r="AX511" s="14"/>
      <c r="AY511" s="14"/>
      <c r="AZ511" s="14"/>
      <c r="BA511" s="14"/>
      <c r="BB511" s="1619" t="str">
        <f>IF(ISBLANK(BC511),"",LARGE(BB501:BB510,1)+1)</f>
        <v/>
      </c>
      <c r="BC511" s="1886"/>
      <c r="BD511" s="1886"/>
      <c r="BE511" s="1886"/>
      <c r="BF511" s="1886"/>
      <c r="BG511" s="1886"/>
      <c r="BH511" s="1886"/>
      <c r="BI511" s="1886"/>
      <c r="BJ511" s="1886"/>
      <c r="BK511" s="1887"/>
      <c r="BM511" s="3">
        <v>1</v>
      </c>
    </row>
    <row r="512" spans="2:65" ht="21" customHeight="1">
      <c r="B512" s="14"/>
      <c r="C512" s="14"/>
      <c r="D512" s="14"/>
      <c r="E512" s="14"/>
      <c r="F512" s="14"/>
      <c r="G512" s="14"/>
      <c r="H512" s="14"/>
      <c r="I512" s="14"/>
      <c r="J512" s="14"/>
      <c r="K512" s="14"/>
      <c r="L512" s="1619" t="str">
        <f>IF(ISBLANK(M512),"",LARGE(L501:L511,1)+1)</f>
        <v/>
      </c>
      <c r="M512" s="1886"/>
      <c r="N512" s="1886"/>
      <c r="O512" s="1886"/>
      <c r="P512" s="1886"/>
      <c r="Q512" s="1886"/>
      <c r="R512" s="1886"/>
      <c r="S512" s="1886"/>
      <c r="T512" s="1886"/>
      <c r="U512" s="1887"/>
      <c r="W512" s="14"/>
      <c r="X512" s="14"/>
      <c r="Y512" s="14"/>
      <c r="Z512" s="14"/>
      <c r="AA512" s="14"/>
      <c r="AB512" s="14"/>
      <c r="AC512" s="14"/>
      <c r="AD512" s="14"/>
      <c r="AE512" s="14"/>
      <c r="AF512" s="14"/>
      <c r="AG512" s="1619" t="str">
        <f>IF(ISBLANK(AH512),"",LARGE(AG501:AG511,1)+1)</f>
        <v/>
      </c>
      <c r="AH512" s="1886"/>
      <c r="AI512" s="1886"/>
      <c r="AJ512" s="1886"/>
      <c r="AK512" s="1886"/>
      <c r="AL512" s="1886"/>
      <c r="AM512" s="1886"/>
      <c r="AN512" s="1886"/>
      <c r="AO512" s="1886"/>
      <c r="AP512" s="1887"/>
      <c r="AR512" s="14"/>
      <c r="AS512" s="14"/>
      <c r="AT512" s="14"/>
      <c r="AU512" s="14"/>
      <c r="AV512" s="14"/>
      <c r="AW512" s="14"/>
      <c r="AX512" s="14"/>
      <c r="AY512" s="14"/>
      <c r="AZ512" s="14"/>
      <c r="BA512" s="14"/>
      <c r="BB512" s="1619" t="str">
        <f>IF(ISBLANK(BC512),"",LARGE(BB501:BB511,1)+1)</f>
        <v/>
      </c>
      <c r="BC512" s="1886"/>
      <c r="BD512" s="1886"/>
      <c r="BE512" s="1886"/>
      <c r="BF512" s="1886"/>
      <c r="BG512" s="1886"/>
      <c r="BH512" s="1886"/>
      <c r="BI512" s="1886"/>
      <c r="BJ512" s="1886"/>
      <c r="BK512" s="1887"/>
      <c r="BM512" s="3">
        <v>1</v>
      </c>
    </row>
    <row r="513" spans="2:65" ht="21" customHeight="1">
      <c r="B513" s="14"/>
      <c r="C513" s="14"/>
      <c r="D513" s="14"/>
      <c r="E513" s="14"/>
      <c r="F513" s="14"/>
      <c r="G513" s="14"/>
      <c r="H513" s="14"/>
      <c r="I513" s="14"/>
      <c r="J513" s="14"/>
      <c r="K513" s="14"/>
      <c r="L513" s="1619" t="str">
        <f>IF(ISBLANK(M513),"",LARGE(L501:L512,1)+1)</f>
        <v/>
      </c>
      <c r="M513" s="1886"/>
      <c r="N513" s="1886"/>
      <c r="O513" s="1886"/>
      <c r="P513" s="1886"/>
      <c r="Q513" s="1886"/>
      <c r="R513" s="1886"/>
      <c r="S513" s="1886"/>
      <c r="T513" s="1886"/>
      <c r="U513" s="1887"/>
      <c r="W513" s="14"/>
      <c r="X513" s="14"/>
      <c r="Y513" s="14"/>
      <c r="Z513" s="14"/>
      <c r="AA513" s="14"/>
      <c r="AB513" s="14"/>
      <c r="AC513" s="14"/>
      <c r="AD513" s="14"/>
      <c r="AE513" s="14"/>
      <c r="AF513" s="14"/>
      <c r="AG513" s="1619" t="str">
        <f>IF(ISBLANK(AH513),"",LARGE(AG501:AG512,1)+1)</f>
        <v/>
      </c>
      <c r="AH513" s="1886"/>
      <c r="AI513" s="1886"/>
      <c r="AJ513" s="1886"/>
      <c r="AK513" s="1886"/>
      <c r="AL513" s="1886"/>
      <c r="AM513" s="1886"/>
      <c r="AN513" s="1886"/>
      <c r="AO513" s="1886"/>
      <c r="AP513" s="1887"/>
      <c r="AR513" s="14"/>
      <c r="AS513" s="14"/>
      <c r="AT513" s="14"/>
      <c r="AU513" s="14"/>
      <c r="AV513" s="14"/>
      <c r="AW513" s="14"/>
      <c r="AX513" s="14"/>
      <c r="AY513" s="14"/>
      <c r="AZ513" s="14"/>
      <c r="BA513" s="14"/>
      <c r="BB513" s="1619" t="str">
        <f>IF(ISBLANK(BC513),"",LARGE(BB501:BB512,1)+1)</f>
        <v/>
      </c>
      <c r="BC513" s="1886"/>
      <c r="BD513" s="1886"/>
      <c r="BE513" s="1886"/>
      <c r="BF513" s="1886"/>
      <c r="BG513" s="1886"/>
      <c r="BH513" s="1886"/>
      <c r="BI513" s="1886"/>
      <c r="BJ513" s="1886"/>
      <c r="BK513" s="1887"/>
      <c r="BM513" s="3">
        <v>1</v>
      </c>
    </row>
    <row r="514" spans="2:65" ht="21" customHeight="1">
      <c r="B514" s="14"/>
      <c r="C514" s="14"/>
      <c r="D514" s="14"/>
      <c r="E514" s="14"/>
      <c r="F514" s="14"/>
      <c r="G514" s="14"/>
      <c r="H514" s="14"/>
      <c r="I514" s="14"/>
      <c r="J514" s="14"/>
      <c r="K514" s="14"/>
      <c r="L514" s="1619" t="str">
        <f>IF(ISBLANK(M514),"",LARGE(L501:L513,1)+1)</f>
        <v/>
      </c>
      <c r="M514" s="1886"/>
      <c r="N514" s="1886"/>
      <c r="O514" s="1886"/>
      <c r="P514" s="1886"/>
      <c r="Q514" s="1886"/>
      <c r="R514" s="1886"/>
      <c r="S514" s="1886"/>
      <c r="T514" s="1886"/>
      <c r="U514" s="1887"/>
      <c r="W514" s="14"/>
      <c r="X514" s="14"/>
      <c r="Y514" s="14"/>
      <c r="Z514" s="14"/>
      <c r="AA514" s="14"/>
      <c r="AB514" s="14"/>
      <c r="AC514" s="14"/>
      <c r="AD514" s="14"/>
      <c r="AE514" s="14"/>
      <c r="AF514" s="14"/>
      <c r="AG514" s="1619" t="str">
        <f>IF(ISBLANK(AH514),"",LARGE(AG501:AG513,1)+1)</f>
        <v/>
      </c>
      <c r="AH514" s="1886"/>
      <c r="AI514" s="1886"/>
      <c r="AJ514" s="1886"/>
      <c r="AK514" s="1886"/>
      <c r="AL514" s="1886"/>
      <c r="AM514" s="1886"/>
      <c r="AN514" s="1886"/>
      <c r="AO514" s="1886"/>
      <c r="AP514" s="1887"/>
      <c r="AR514" s="14"/>
      <c r="AS514" s="14"/>
      <c r="AT514" s="14"/>
      <c r="AU514" s="14"/>
      <c r="AV514" s="14"/>
      <c r="AW514" s="14"/>
      <c r="AX514" s="14"/>
      <c r="AY514" s="14"/>
      <c r="AZ514" s="14"/>
      <c r="BA514" s="14"/>
      <c r="BB514" s="1619" t="str">
        <f>IF(ISBLANK(BC514),"",LARGE(BB501:BB513,1)+1)</f>
        <v/>
      </c>
      <c r="BC514" s="1886"/>
      <c r="BD514" s="1886"/>
      <c r="BE514" s="1886"/>
      <c r="BF514" s="1886"/>
      <c r="BG514" s="1886"/>
      <c r="BH514" s="1886"/>
      <c r="BI514" s="1886"/>
      <c r="BJ514" s="1886"/>
      <c r="BK514" s="1887"/>
      <c r="BM514" s="3">
        <v>1</v>
      </c>
    </row>
    <row r="515" spans="2:65" ht="21" customHeight="1">
      <c r="B515" s="14"/>
      <c r="C515" s="14"/>
      <c r="D515" s="14"/>
      <c r="E515" s="14"/>
      <c r="F515" s="14"/>
      <c r="G515" s="14"/>
      <c r="H515" s="14"/>
      <c r="I515" s="14"/>
      <c r="J515" s="14"/>
      <c r="K515" s="14"/>
      <c r="L515" s="1619" t="str">
        <f>IF(ISBLANK(M515),"",LARGE(L501:L514,1)+1)</f>
        <v/>
      </c>
      <c r="M515" s="1886"/>
      <c r="N515" s="1886"/>
      <c r="O515" s="1886"/>
      <c r="P515" s="1886"/>
      <c r="Q515" s="1886"/>
      <c r="R515" s="1886"/>
      <c r="S515" s="1886"/>
      <c r="T515" s="1886"/>
      <c r="U515" s="1887"/>
      <c r="W515" s="14"/>
      <c r="X515" s="14"/>
      <c r="Y515" s="14"/>
      <c r="Z515" s="14"/>
      <c r="AA515" s="14"/>
      <c r="AB515" s="14"/>
      <c r="AC515" s="14"/>
      <c r="AD515" s="14"/>
      <c r="AE515" s="14"/>
      <c r="AF515" s="14"/>
      <c r="AG515" s="1619" t="str">
        <f>IF(ISBLANK(AH515),"",LARGE(AG501:AG514,1)+1)</f>
        <v/>
      </c>
      <c r="AH515" s="1886"/>
      <c r="AI515" s="1886"/>
      <c r="AJ515" s="1886"/>
      <c r="AK515" s="1886"/>
      <c r="AL515" s="1886"/>
      <c r="AM515" s="1886"/>
      <c r="AN515" s="1886"/>
      <c r="AO515" s="1886"/>
      <c r="AP515" s="1887"/>
      <c r="AR515" s="14"/>
      <c r="AS515" s="14"/>
      <c r="AT515" s="14"/>
      <c r="AU515" s="14"/>
      <c r="AV515" s="14"/>
      <c r="AW515" s="14"/>
      <c r="AX515" s="14"/>
      <c r="AY515" s="14"/>
      <c r="AZ515" s="14"/>
      <c r="BA515" s="14"/>
      <c r="BB515" s="1619" t="str">
        <f>IF(ISBLANK(BC515),"",LARGE(BB501:BB514,1)+1)</f>
        <v/>
      </c>
      <c r="BC515" s="1886"/>
      <c r="BD515" s="1886"/>
      <c r="BE515" s="1886"/>
      <c r="BF515" s="1886"/>
      <c r="BG515" s="1886"/>
      <c r="BH515" s="1886"/>
      <c r="BI515" s="1886"/>
      <c r="BJ515" s="1886"/>
      <c r="BK515" s="1887"/>
      <c r="BM515" s="3">
        <v>1</v>
      </c>
    </row>
    <row r="516" spans="2:65" ht="21" customHeight="1">
      <c r="B516" s="14"/>
      <c r="C516" s="14"/>
      <c r="D516" s="14"/>
      <c r="E516" s="14"/>
      <c r="F516" s="14"/>
      <c r="G516" s="14"/>
      <c r="H516" s="14"/>
      <c r="I516" s="14"/>
      <c r="J516" s="14"/>
      <c r="K516" s="14"/>
      <c r="L516" s="1619" t="str">
        <f>IF(ISBLANK(M516),"",LARGE(L501:L515,1)+1)</f>
        <v/>
      </c>
      <c r="M516" s="1886"/>
      <c r="N516" s="1886"/>
      <c r="O516" s="1886"/>
      <c r="P516" s="1886"/>
      <c r="Q516" s="1886"/>
      <c r="R516" s="1886"/>
      <c r="S516" s="1886"/>
      <c r="T516" s="1886"/>
      <c r="U516" s="1887"/>
      <c r="W516" s="14"/>
      <c r="X516" s="14"/>
      <c r="Y516" s="14"/>
      <c r="Z516" s="14"/>
      <c r="AA516" s="14"/>
      <c r="AB516" s="14"/>
      <c r="AC516" s="14"/>
      <c r="AD516" s="14"/>
      <c r="AE516" s="14"/>
      <c r="AF516" s="14"/>
      <c r="AG516" s="1619" t="str">
        <f>IF(ISBLANK(AH516),"",LARGE(AG501:AG515,1)+1)</f>
        <v/>
      </c>
      <c r="AH516" s="1886"/>
      <c r="AI516" s="1886"/>
      <c r="AJ516" s="1886"/>
      <c r="AK516" s="1886"/>
      <c r="AL516" s="1886"/>
      <c r="AM516" s="1886"/>
      <c r="AN516" s="1886"/>
      <c r="AO516" s="1886"/>
      <c r="AP516" s="1887"/>
      <c r="AR516" s="14"/>
      <c r="AS516" s="14"/>
      <c r="AT516" s="14"/>
      <c r="AU516" s="14"/>
      <c r="AV516" s="14"/>
      <c r="AW516" s="14"/>
      <c r="AX516" s="14"/>
      <c r="AY516" s="14"/>
      <c r="AZ516" s="14"/>
      <c r="BA516" s="14"/>
      <c r="BB516" s="1619" t="str">
        <f>IF(ISBLANK(BC516),"",LARGE(BB501:BB515,1)+1)</f>
        <v/>
      </c>
      <c r="BC516" s="1886"/>
      <c r="BD516" s="1886"/>
      <c r="BE516" s="1886"/>
      <c r="BF516" s="1886"/>
      <c r="BG516" s="1886"/>
      <c r="BH516" s="1886"/>
      <c r="BI516" s="1886"/>
      <c r="BJ516" s="1886"/>
      <c r="BK516" s="1887"/>
      <c r="BM516" s="3">
        <v>1</v>
      </c>
    </row>
    <row r="517" spans="2:65" ht="21" customHeight="1">
      <c r="B517" s="14"/>
      <c r="C517" s="14"/>
      <c r="D517" s="14"/>
      <c r="E517" s="14"/>
      <c r="F517" s="14"/>
      <c r="G517" s="14"/>
      <c r="H517" s="14"/>
      <c r="I517" s="14"/>
      <c r="J517" s="14"/>
      <c r="K517" s="14"/>
      <c r="L517" s="1619" t="str">
        <f>IF(ISBLANK(M517),"",LARGE(L501:L516,1)+1)</f>
        <v/>
      </c>
      <c r="M517" s="1886"/>
      <c r="N517" s="1886"/>
      <c r="O517" s="1886"/>
      <c r="P517" s="1886"/>
      <c r="Q517" s="1886"/>
      <c r="R517" s="1886"/>
      <c r="S517" s="1886"/>
      <c r="T517" s="1886"/>
      <c r="U517" s="1887"/>
      <c r="W517" s="14"/>
      <c r="X517" s="14"/>
      <c r="Y517" s="14"/>
      <c r="Z517" s="14"/>
      <c r="AA517" s="14"/>
      <c r="AB517" s="14"/>
      <c r="AC517" s="14"/>
      <c r="AD517" s="14"/>
      <c r="AE517" s="14"/>
      <c r="AF517" s="14"/>
      <c r="AG517" s="1619" t="str">
        <f>IF(ISBLANK(AH517),"",LARGE(AG501:AG516,1)+1)</f>
        <v/>
      </c>
      <c r="AH517" s="1886"/>
      <c r="AI517" s="1886"/>
      <c r="AJ517" s="1886"/>
      <c r="AK517" s="1886"/>
      <c r="AL517" s="1886"/>
      <c r="AM517" s="1886"/>
      <c r="AN517" s="1886"/>
      <c r="AO517" s="1886"/>
      <c r="AP517" s="1887"/>
      <c r="AR517" s="14"/>
      <c r="AS517" s="14"/>
      <c r="AT517" s="14"/>
      <c r="AU517" s="14"/>
      <c r="AV517" s="14"/>
      <c r="AW517" s="14"/>
      <c r="AX517" s="14"/>
      <c r="AY517" s="14"/>
      <c r="AZ517" s="14"/>
      <c r="BA517" s="14"/>
      <c r="BB517" s="1619" t="str">
        <f>IF(ISBLANK(BC517),"",LARGE(BB501:BB516,1)+1)</f>
        <v/>
      </c>
      <c r="BC517" s="1886"/>
      <c r="BD517" s="1886"/>
      <c r="BE517" s="1886"/>
      <c r="BF517" s="1886"/>
      <c r="BG517" s="1886"/>
      <c r="BH517" s="1886"/>
      <c r="BI517" s="1886"/>
      <c r="BJ517" s="1886"/>
      <c r="BK517" s="1887"/>
      <c r="BM517" s="3">
        <v>1</v>
      </c>
    </row>
    <row r="518" spans="2:65" ht="21" customHeight="1">
      <c r="B518" s="14"/>
      <c r="C518" s="14"/>
      <c r="D518" s="14"/>
      <c r="E518" s="14"/>
      <c r="F518" s="14"/>
      <c r="G518" s="14"/>
      <c r="H518" s="14"/>
      <c r="I518" s="14"/>
      <c r="J518" s="14"/>
      <c r="K518" s="14"/>
      <c r="L518" s="1619" t="str">
        <f>IF(ISBLANK(M518),"",LARGE(L501:L517,1)+1)</f>
        <v/>
      </c>
      <c r="M518" s="1886"/>
      <c r="N518" s="1886"/>
      <c r="O518" s="1886"/>
      <c r="P518" s="1886"/>
      <c r="Q518" s="1886"/>
      <c r="R518" s="1886"/>
      <c r="S518" s="1886"/>
      <c r="T518" s="1886"/>
      <c r="U518" s="1887"/>
      <c r="W518" s="14"/>
      <c r="X518" s="14"/>
      <c r="Y518" s="14"/>
      <c r="Z518" s="14"/>
      <c r="AA518" s="14"/>
      <c r="AB518" s="14"/>
      <c r="AC518" s="14"/>
      <c r="AD518" s="14"/>
      <c r="AE518" s="14"/>
      <c r="AF518" s="14"/>
      <c r="AG518" s="1619" t="str">
        <f>IF(ISBLANK(AH518),"",LARGE(AG501:AG517,1)+1)</f>
        <v/>
      </c>
      <c r="AH518" s="1886"/>
      <c r="AI518" s="1886"/>
      <c r="AJ518" s="1886"/>
      <c r="AK518" s="1886"/>
      <c r="AL518" s="1886"/>
      <c r="AM518" s="1886"/>
      <c r="AN518" s="1886"/>
      <c r="AO518" s="1886"/>
      <c r="AP518" s="1887"/>
      <c r="AR518" s="14"/>
      <c r="AS518" s="14"/>
      <c r="AT518" s="14"/>
      <c r="AU518" s="14"/>
      <c r="AV518" s="14"/>
      <c r="AW518" s="14"/>
      <c r="AX518" s="14"/>
      <c r="AY518" s="14"/>
      <c r="AZ518" s="14"/>
      <c r="BA518" s="14"/>
      <c r="BB518" s="1619" t="str">
        <f>IF(ISBLANK(BC518),"",LARGE(BB501:BB517,1)+1)</f>
        <v/>
      </c>
      <c r="BC518" s="1886"/>
      <c r="BD518" s="1886"/>
      <c r="BE518" s="1886"/>
      <c r="BF518" s="1886"/>
      <c r="BG518" s="1886"/>
      <c r="BH518" s="1886"/>
      <c r="BI518" s="1886"/>
      <c r="BJ518" s="1886"/>
      <c r="BK518" s="1887"/>
      <c r="BM518" s="3">
        <v>1</v>
      </c>
    </row>
    <row r="519" spans="2:65" ht="21" customHeight="1">
      <c r="B519" s="14"/>
      <c r="C519" s="14"/>
      <c r="D519" s="14"/>
      <c r="E519" s="14"/>
      <c r="F519" s="14"/>
      <c r="G519" s="14"/>
      <c r="H519" s="14"/>
      <c r="I519" s="14"/>
      <c r="J519" s="14"/>
      <c r="K519" s="14"/>
      <c r="L519" s="1619" t="str">
        <f>IF(ISBLANK(M519),"",LARGE(L501:L518,1)+1)</f>
        <v/>
      </c>
      <c r="M519" s="1886"/>
      <c r="N519" s="1886"/>
      <c r="O519" s="1886"/>
      <c r="P519" s="1886"/>
      <c r="Q519" s="1886"/>
      <c r="R519" s="1886"/>
      <c r="S519" s="1886"/>
      <c r="T519" s="1886"/>
      <c r="U519" s="1887"/>
      <c r="W519" s="14"/>
      <c r="X519" s="14"/>
      <c r="Y519" s="14"/>
      <c r="Z519" s="14"/>
      <c r="AA519" s="14"/>
      <c r="AB519" s="14"/>
      <c r="AC519" s="14"/>
      <c r="AD519" s="14"/>
      <c r="AE519" s="14"/>
      <c r="AF519" s="14"/>
      <c r="AG519" s="1619" t="str">
        <f>IF(ISBLANK(AH519),"",LARGE(AG501:AG518,1)+1)</f>
        <v/>
      </c>
      <c r="AH519" s="1886"/>
      <c r="AI519" s="1886"/>
      <c r="AJ519" s="1886"/>
      <c r="AK519" s="1886"/>
      <c r="AL519" s="1886"/>
      <c r="AM519" s="1886"/>
      <c r="AN519" s="1886"/>
      <c r="AO519" s="1886"/>
      <c r="AP519" s="1887"/>
      <c r="AR519" s="14"/>
      <c r="AS519" s="14"/>
      <c r="AT519" s="14"/>
      <c r="AU519" s="14"/>
      <c r="AV519" s="14"/>
      <c r="AW519" s="14"/>
      <c r="AX519" s="14"/>
      <c r="AY519" s="14"/>
      <c r="AZ519" s="14"/>
      <c r="BA519" s="14"/>
      <c r="BB519" s="1619" t="str">
        <f>IF(ISBLANK(BC519),"",LARGE(BB501:BB518,1)+1)</f>
        <v/>
      </c>
      <c r="BC519" s="1886"/>
      <c r="BD519" s="1886"/>
      <c r="BE519" s="1886"/>
      <c r="BF519" s="1886"/>
      <c r="BG519" s="1886"/>
      <c r="BH519" s="1886"/>
      <c r="BI519" s="1886"/>
      <c r="BJ519" s="1886"/>
      <c r="BK519" s="1887"/>
      <c r="BM519" s="3">
        <v>1</v>
      </c>
    </row>
    <row r="520" spans="2:65" ht="21" customHeight="1">
      <c r="B520" s="14"/>
      <c r="C520" s="14"/>
      <c r="D520" s="14"/>
      <c r="E520" s="14"/>
      <c r="F520" s="14"/>
      <c r="G520" s="14"/>
      <c r="H520" s="14"/>
      <c r="I520" s="14"/>
      <c r="J520" s="14"/>
      <c r="K520" s="14"/>
      <c r="L520" s="1963" t="s">
        <v>8629</v>
      </c>
      <c r="M520" s="1844"/>
      <c r="N520" s="1844"/>
      <c r="O520" s="1844"/>
      <c r="P520" s="1844"/>
      <c r="Q520" s="1844"/>
      <c r="R520" s="1844"/>
      <c r="S520" s="1844"/>
      <c r="T520" s="1844"/>
      <c r="U520" s="1964" t="s">
        <v>8629</v>
      </c>
      <c r="W520" s="14"/>
      <c r="X520" s="14"/>
      <c r="Y520" s="14"/>
      <c r="Z520" s="14"/>
      <c r="AA520" s="14"/>
      <c r="AB520" s="14"/>
      <c r="AC520" s="14"/>
      <c r="AD520" s="14"/>
      <c r="AE520" s="14"/>
      <c r="AF520" s="14"/>
      <c r="AG520" s="1963" t="s">
        <v>8630</v>
      </c>
      <c r="AH520" s="1844"/>
      <c r="AI520" s="1844"/>
      <c r="AJ520" s="1844"/>
      <c r="AK520" s="1844"/>
      <c r="AL520" s="1844"/>
      <c r="AM520" s="1844"/>
      <c r="AN520" s="1844"/>
      <c r="AO520" s="1844"/>
      <c r="AP520" s="1964" t="s">
        <v>8630</v>
      </c>
      <c r="BB520" s="1963" t="s">
        <v>8631</v>
      </c>
      <c r="BC520" s="1844"/>
      <c r="BD520" s="1844"/>
      <c r="BE520" s="1844"/>
      <c r="BF520" s="1844"/>
      <c r="BG520" s="1844"/>
      <c r="BH520" s="1844"/>
      <c r="BI520" s="1844"/>
      <c r="BJ520" s="1844"/>
      <c r="BK520" s="1964" t="s">
        <v>8631</v>
      </c>
      <c r="BM520" s="3">
        <v>1</v>
      </c>
    </row>
    <row r="521" spans="2:65" ht="21" customHeight="1">
      <c r="B521" s="14"/>
      <c r="C521" s="14"/>
      <c r="D521" s="14"/>
      <c r="E521" s="14"/>
      <c r="F521" s="14"/>
      <c r="G521" s="14"/>
      <c r="H521" s="14"/>
      <c r="I521" s="14"/>
      <c r="J521" s="14"/>
      <c r="K521" s="14"/>
      <c r="L521" s="1388" t="s">
        <v>8145</v>
      </c>
      <c r="M521" s="1428" t="s">
        <v>821</v>
      </c>
      <c r="N521" s="1824"/>
      <c r="O521" s="1825"/>
      <c r="P521" s="1825"/>
      <c r="Q521" s="1789"/>
      <c r="R521" s="1389"/>
      <c r="S521" s="1389"/>
      <c r="T521" s="1390" t="s">
        <v>164</v>
      </c>
      <c r="U521" s="1391" t="s">
        <v>165</v>
      </c>
      <c r="W521" s="14"/>
      <c r="X521" s="14"/>
      <c r="Y521" s="14"/>
      <c r="Z521" s="14"/>
      <c r="AA521" s="14"/>
      <c r="AB521" s="14"/>
      <c r="AC521" s="14"/>
      <c r="AD521" s="14"/>
      <c r="AE521" s="14"/>
      <c r="AF521" s="14"/>
      <c r="AG521" s="1388" t="s">
        <v>8216</v>
      </c>
      <c r="AH521" s="1428" t="s">
        <v>860</v>
      </c>
      <c r="AI521" s="1824"/>
      <c r="AJ521" s="1825"/>
      <c r="AK521" s="1825"/>
      <c r="AL521" s="1789"/>
      <c r="AM521" s="1389"/>
      <c r="AN521" s="1389"/>
      <c r="AO521" s="1390" t="s">
        <v>644</v>
      </c>
      <c r="AP521" s="1391" t="s">
        <v>165</v>
      </c>
      <c r="AR521" s="14"/>
      <c r="AS521" s="14"/>
      <c r="AT521" s="14"/>
      <c r="AU521" s="14"/>
      <c r="AV521" s="14"/>
      <c r="AW521" s="14"/>
      <c r="AX521" s="14"/>
      <c r="AY521" s="14"/>
      <c r="AZ521" s="14"/>
      <c r="BA521" s="14"/>
      <c r="BB521" s="1372" t="s">
        <v>8217</v>
      </c>
      <c r="BC521" s="1428" t="s">
        <v>874</v>
      </c>
      <c r="BD521" s="1824"/>
      <c r="BE521" s="1825"/>
      <c r="BF521" s="1825"/>
      <c r="BG521" s="1789"/>
      <c r="BH521" s="1389"/>
      <c r="BI521" s="1389"/>
      <c r="BJ521" s="1390" t="s">
        <v>873</v>
      </c>
      <c r="BK521" s="1391" t="s">
        <v>165</v>
      </c>
      <c r="BM521" s="3">
        <v>1</v>
      </c>
    </row>
    <row r="522" spans="2:65" ht="21" customHeight="1">
      <c r="B522" s="14"/>
      <c r="C522" s="14"/>
      <c r="D522" s="14"/>
      <c r="E522" s="14"/>
      <c r="F522" s="14"/>
      <c r="G522" s="14"/>
      <c r="H522" s="14"/>
      <c r="I522" s="14"/>
      <c r="J522" s="14"/>
      <c r="K522" s="14"/>
      <c r="L522" s="1392">
        <v>0</v>
      </c>
      <c r="M522" s="1393" t="s">
        <v>8148</v>
      </c>
      <c r="N522" s="1329"/>
      <c r="O522" s="1329"/>
      <c r="P522" s="1329"/>
      <c r="Q522" s="1790"/>
      <c r="R522" s="168"/>
      <c r="S522" s="168"/>
      <c r="T522" s="169" t="s">
        <v>167</v>
      </c>
      <c r="U522" s="170" t="s">
        <v>165</v>
      </c>
      <c r="W522" s="14"/>
      <c r="X522" s="14"/>
      <c r="Y522" s="14"/>
      <c r="Z522" s="14"/>
      <c r="AA522" s="14"/>
      <c r="AB522" s="14"/>
      <c r="AC522" s="14"/>
      <c r="AD522" s="14"/>
      <c r="AE522" s="14"/>
      <c r="AF522" s="14"/>
      <c r="AG522" s="1392">
        <v>0</v>
      </c>
      <c r="AH522" s="1393" t="s">
        <v>8198</v>
      </c>
      <c r="AI522" s="1329"/>
      <c r="AJ522" s="1329"/>
      <c r="AK522" s="1329"/>
      <c r="AL522" s="1790"/>
      <c r="AM522" s="168"/>
      <c r="AN522" s="168"/>
      <c r="AO522" s="169" t="s">
        <v>646</v>
      </c>
      <c r="AP522" s="170" t="s">
        <v>165</v>
      </c>
      <c r="AR522" s="14"/>
      <c r="AS522" s="14"/>
      <c r="AT522" s="14"/>
      <c r="AU522" s="14"/>
      <c r="AV522" s="14"/>
      <c r="AW522" s="14"/>
      <c r="AX522" s="14"/>
      <c r="AY522" s="14"/>
      <c r="AZ522" s="14"/>
      <c r="BA522" s="14"/>
      <c r="BB522" s="1392">
        <v>0</v>
      </c>
      <c r="BC522" s="1393" t="s">
        <v>8193</v>
      </c>
      <c r="BD522" s="1329"/>
      <c r="BE522" s="1329"/>
      <c r="BF522" s="1329"/>
      <c r="BG522" s="1790"/>
      <c r="BH522" s="168"/>
      <c r="BI522" s="168"/>
      <c r="BJ522" s="169" t="s">
        <v>875</v>
      </c>
      <c r="BK522" s="170" t="s">
        <v>165</v>
      </c>
      <c r="BM522" s="3">
        <v>1</v>
      </c>
    </row>
    <row r="523" spans="2:65" ht="21" customHeight="1">
      <c r="B523" s="14"/>
      <c r="C523" s="14"/>
      <c r="D523" s="14"/>
      <c r="E523" s="14"/>
      <c r="F523" s="14"/>
      <c r="G523" s="14"/>
      <c r="H523" s="14"/>
      <c r="I523" s="14"/>
      <c r="J523" s="14"/>
      <c r="K523" s="14"/>
      <c r="L523" s="1394">
        <f>IF(ISBLANK(M523),"",LARGE(L522:L522,1)+1)</f>
        <v>1</v>
      </c>
      <c r="M523" s="1869" t="s">
        <v>8149</v>
      </c>
      <c r="N523" s="1810"/>
      <c r="O523" s="1810"/>
      <c r="P523" s="1810"/>
      <c r="Q523" s="1791"/>
      <c r="R523" s="9"/>
      <c r="S523" s="9"/>
      <c r="T523" s="174" t="s">
        <v>171</v>
      </c>
      <c r="U523" s="175">
        <v>3.472222222222222E-3</v>
      </c>
      <c r="W523" s="14"/>
      <c r="X523" s="14"/>
      <c r="Y523" s="14"/>
      <c r="Z523" s="14"/>
      <c r="AA523" s="14"/>
      <c r="AB523" s="14"/>
      <c r="AC523" s="14"/>
      <c r="AD523" s="14"/>
      <c r="AE523" s="14"/>
      <c r="AF523" s="14"/>
      <c r="AG523" s="1394" t="str">
        <f>IF(ISBLANK(AH523),"",LARGE(AG522:AG522,1)+1)</f>
        <v/>
      </c>
      <c r="AH523" s="1869"/>
      <c r="AI523" s="1810"/>
      <c r="AJ523" s="1810"/>
      <c r="AK523" s="1810"/>
      <c r="AL523" s="1791"/>
      <c r="AM523" s="9"/>
      <c r="AN523" s="9"/>
      <c r="AO523" s="174" t="s">
        <v>650</v>
      </c>
      <c r="AP523" s="175">
        <v>3.472222222222222E-3</v>
      </c>
      <c r="AR523" s="14"/>
      <c r="AS523" s="14"/>
      <c r="AT523" s="14"/>
      <c r="AU523" s="14"/>
      <c r="AV523" s="14"/>
      <c r="AW523" s="14"/>
      <c r="AX523" s="14"/>
      <c r="AY523" s="14"/>
      <c r="AZ523" s="14"/>
      <c r="BA523" s="14"/>
      <c r="BB523" s="1394" t="str">
        <f>IF(ISBLANK(BC523),"",LARGE(BB522:BB522,1)+1)</f>
        <v/>
      </c>
      <c r="BC523" s="1869"/>
      <c r="BD523" s="1810"/>
      <c r="BE523" s="1810"/>
      <c r="BF523" s="1810"/>
      <c r="BG523" s="1791"/>
      <c r="BH523" s="9"/>
      <c r="BI523" s="9"/>
      <c r="BJ523" s="174" t="s">
        <v>651</v>
      </c>
      <c r="BK523" s="175">
        <v>3.472222222222222E-3</v>
      </c>
      <c r="BM523" s="3">
        <v>1</v>
      </c>
    </row>
    <row r="524" spans="2:65" ht="21" customHeight="1">
      <c r="B524" s="14"/>
      <c r="C524" s="14"/>
      <c r="D524" s="14"/>
      <c r="E524" s="14"/>
      <c r="F524" s="14"/>
      <c r="G524" s="14"/>
      <c r="H524" s="14"/>
      <c r="I524" s="14"/>
      <c r="J524" s="14"/>
      <c r="K524" s="14"/>
      <c r="L524" s="1394">
        <f>IF(ISBLANK(M524),"",LARGE(L522:L523,1)+1)</f>
        <v>2</v>
      </c>
      <c r="M524" s="1869" t="s">
        <v>8150</v>
      </c>
      <c r="N524" s="1810"/>
      <c r="O524" s="1810"/>
      <c r="P524" s="1810"/>
      <c r="Q524" s="1791"/>
      <c r="R524" s="9"/>
      <c r="S524" s="9"/>
      <c r="T524" s="174" t="s">
        <v>173</v>
      </c>
      <c r="U524" s="177">
        <v>1.0416666666666666E-2</v>
      </c>
      <c r="W524" s="14"/>
      <c r="X524" s="14"/>
      <c r="Y524" s="14"/>
      <c r="Z524" s="14"/>
      <c r="AA524" s="14"/>
      <c r="AB524" s="14"/>
      <c r="AC524" s="14"/>
      <c r="AD524" s="14"/>
      <c r="AE524" s="14"/>
      <c r="AF524" s="14"/>
      <c r="AG524" s="1394" t="str">
        <f>IF(ISBLANK(AH524),"",LARGE(AG522:AG523,1)+1)</f>
        <v/>
      </c>
      <c r="AH524" s="1869"/>
      <c r="AI524" s="1810"/>
      <c r="AJ524" s="1810"/>
      <c r="AK524" s="1810"/>
      <c r="AL524" s="1791"/>
      <c r="AM524" s="9"/>
      <c r="AN524" s="9"/>
      <c r="AO524" s="174" t="s">
        <v>655</v>
      </c>
      <c r="AP524" s="177">
        <v>1.0416666666666666E-2</v>
      </c>
      <c r="AR524" s="14"/>
      <c r="AS524" s="14"/>
      <c r="AT524" s="14"/>
      <c r="AU524" s="14"/>
      <c r="AV524" s="14"/>
      <c r="AW524" s="14"/>
      <c r="AX524" s="14"/>
      <c r="AY524" s="14"/>
      <c r="AZ524" s="14"/>
      <c r="BA524" s="14"/>
      <c r="BB524" s="1394" t="str">
        <f>IF(ISBLANK(BC524),"",LARGE(BB522:BB523,1)+1)</f>
        <v/>
      </c>
      <c r="BC524" s="1869"/>
      <c r="BD524" s="1810"/>
      <c r="BE524" s="1810"/>
      <c r="BF524" s="1810"/>
      <c r="BG524" s="1791"/>
      <c r="BH524" s="9"/>
      <c r="BI524" s="9"/>
      <c r="BJ524" s="174" t="s">
        <v>656</v>
      </c>
      <c r="BK524" s="177">
        <v>1.0416666666666666E-2</v>
      </c>
      <c r="BM524" s="3">
        <v>1</v>
      </c>
    </row>
    <row r="525" spans="2:65" ht="21" customHeight="1">
      <c r="B525" s="14"/>
      <c r="C525" s="14"/>
      <c r="D525" s="14"/>
      <c r="E525" s="14"/>
      <c r="F525" s="14"/>
      <c r="G525" s="14"/>
      <c r="H525" s="14"/>
      <c r="I525" s="14"/>
      <c r="J525" s="14"/>
      <c r="K525" s="14"/>
      <c r="L525" s="1394" t="str">
        <f>IF(ISBLANK(M525),"",LARGE(L522:L524,1)+1)</f>
        <v/>
      </c>
      <c r="M525" s="1869"/>
      <c r="N525" s="1810"/>
      <c r="O525" s="1810"/>
      <c r="P525" s="1810"/>
      <c r="Q525" s="1791"/>
      <c r="R525" s="9"/>
      <c r="S525" s="9"/>
      <c r="T525" s="174" t="s">
        <v>181</v>
      </c>
      <c r="U525" s="178">
        <v>2.0833333333333332E-2</v>
      </c>
      <c r="W525" s="14"/>
      <c r="X525" s="14"/>
      <c r="Y525" s="14"/>
      <c r="Z525" s="14"/>
      <c r="AA525" s="14"/>
      <c r="AB525" s="14"/>
      <c r="AC525" s="14"/>
      <c r="AD525" s="14"/>
      <c r="AE525" s="14"/>
      <c r="AF525" s="14"/>
      <c r="AG525" s="1394" t="str">
        <f>IF(ISBLANK(AH525),"",LARGE(AG522:AG524,1)+1)</f>
        <v/>
      </c>
      <c r="AH525" s="1869"/>
      <c r="AI525" s="1810"/>
      <c r="AJ525" s="1810"/>
      <c r="AK525" s="1810"/>
      <c r="AL525" s="1791"/>
      <c r="AM525" s="9"/>
      <c r="AN525" s="9"/>
      <c r="AO525" s="174" t="s">
        <v>657</v>
      </c>
      <c r="AP525" s="178">
        <v>2.0833333333333332E-2</v>
      </c>
      <c r="AR525" s="14"/>
      <c r="AS525" s="14"/>
      <c r="AT525" s="14"/>
      <c r="AU525" s="14"/>
      <c r="AV525" s="14"/>
      <c r="AW525" s="14"/>
      <c r="AX525" s="14"/>
      <c r="AY525" s="14"/>
      <c r="AZ525" s="14"/>
      <c r="BA525" s="14"/>
      <c r="BB525" s="1394" t="str">
        <f>IF(ISBLANK(BC525),"",LARGE(BB522:BB524,1)+1)</f>
        <v/>
      </c>
      <c r="BC525" s="1869"/>
      <c r="BD525" s="1810"/>
      <c r="BE525" s="1810"/>
      <c r="BF525" s="1810"/>
      <c r="BG525" s="1791"/>
      <c r="BH525" s="9"/>
      <c r="BI525" s="9"/>
      <c r="BJ525" s="174" t="s">
        <v>877</v>
      </c>
      <c r="BK525" s="178">
        <v>2.0833333333333332E-2</v>
      </c>
      <c r="BM525" s="3">
        <v>1</v>
      </c>
    </row>
    <row r="526" spans="2:65" ht="21" customHeight="1">
      <c r="B526" s="14"/>
      <c r="C526" s="14"/>
      <c r="D526" s="14"/>
      <c r="E526" s="14"/>
      <c r="F526" s="14"/>
      <c r="G526" s="14"/>
      <c r="H526" s="14"/>
      <c r="I526" s="14"/>
      <c r="J526" s="14"/>
      <c r="K526" s="14"/>
      <c r="L526" s="1394" t="str">
        <f>IF(ISBLANK(M526),"",LARGE(L522:L525,1)+1)</f>
        <v/>
      </c>
      <c r="M526" s="1869"/>
      <c r="N526" s="1810"/>
      <c r="O526" s="1810"/>
      <c r="P526" s="1810"/>
      <c r="Q526" s="1791"/>
      <c r="R526" s="9"/>
      <c r="S526" s="9"/>
      <c r="T526" s="179" t="s">
        <v>182</v>
      </c>
      <c r="U526" s="180">
        <f>U523+U524+U525</f>
        <v>3.4722222222222224E-2</v>
      </c>
      <c r="W526" s="14"/>
      <c r="X526" s="14"/>
      <c r="Y526" s="14"/>
      <c r="Z526" s="14"/>
      <c r="AA526" s="14"/>
      <c r="AB526" s="14"/>
      <c r="AC526" s="14"/>
      <c r="AD526" s="14"/>
      <c r="AE526" s="14"/>
      <c r="AF526" s="14"/>
      <c r="AG526" s="1394" t="str">
        <f>IF(ISBLANK(AH526),"",LARGE(AG522:AG525,1)+1)</f>
        <v/>
      </c>
      <c r="AH526" s="1869"/>
      <c r="AI526" s="1810"/>
      <c r="AJ526" s="1810"/>
      <c r="AK526" s="1810"/>
      <c r="AL526" s="1791"/>
      <c r="AM526" s="9"/>
      <c r="AN526" s="9"/>
      <c r="AO526" s="179" t="s">
        <v>182</v>
      </c>
      <c r="AP526" s="180">
        <f>AP523+AP524+AP525</f>
        <v>3.4722222222222224E-2</v>
      </c>
      <c r="AR526" s="14"/>
      <c r="AS526" s="14"/>
      <c r="AT526" s="14"/>
      <c r="AU526" s="14"/>
      <c r="AV526" s="14"/>
      <c r="AW526" s="14"/>
      <c r="AX526" s="14"/>
      <c r="AY526" s="14"/>
      <c r="AZ526" s="14"/>
      <c r="BA526" s="14"/>
      <c r="BB526" s="1394" t="str">
        <f>IF(ISBLANK(BC526),"",LARGE(BB522:BB525,1)+1)</f>
        <v/>
      </c>
      <c r="BC526" s="1869"/>
      <c r="BD526" s="1810"/>
      <c r="BE526" s="1810"/>
      <c r="BF526" s="1810"/>
      <c r="BG526" s="1791"/>
      <c r="BH526" s="9"/>
      <c r="BI526" s="9"/>
      <c r="BJ526" s="179" t="s">
        <v>182</v>
      </c>
      <c r="BK526" s="180">
        <f>BK523+BK524+BK525</f>
        <v>3.4722222222222224E-2</v>
      </c>
      <c r="BM526" s="3">
        <v>1</v>
      </c>
    </row>
    <row r="527" spans="2:65" ht="21" customHeight="1">
      <c r="B527" s="14"/>
      <c r="C527" s="14"/>
      <c r="D527" s="14"/>
      <c r="E527" s="14"/>
      <c r="F527" s="14"/>
      <c r="G527" s="14"/>
      <c r="H527" s="14"/>
      <c r="I527" s="14"/>
      <c r="J527" s="14"/>
      <c r="K527" s="14"/>
      <c r="L527" s="1394" t="str">
        <f>IF(ISBLANK(M527),"",LARGE(L522:L526,1)+1)</f>
        <v/>
      </c>
      <c r="M527" s="1869"/>
      <c r="N527" s="1810"/>
      <c r="O527" s="1810"/>
      <c r="P527" s="1810"/>
      <c r="Q527" s="1792" t="s">
        <v>1651</v>
      </c>
      <c r="R527" s="1395"/>
      <c r="S527" s="1395"/>
      <c r="T527" s="1395"/>
      <c r="U527" s="1396"/>
      <c r="W527" s="14"/>
      <c r="X527" s="14"/>
      <c r="Y527" s="14"/>
      <c r="Z527" s="14"/>
      <c r="AA527" s="14"/>
      <c r="AB527" s="14"/>
      <c r="AC527" s="14"/>
      <c r="AD527" s="14"/>
      <c r="AE527" s="14"/>
      <c r="AF527" s="14"/>
      <c r="AG527" s="1394" t="str">
        <f>IF(ISBLANK(AH527),"",LARGE(AG522:AG526,1)+1)</f>
        <v/>
      </c>
      <c r="AH527" s="1869"/>
      <c r="AI527" s="1810"/>
      <c r="AJ527" s="1810"/>
      <c r="AK527" s="1810"/>
      <c r="AL527" s="1792" t="s">
        <v>8195</v>
      </c>
      <c r="AM527" s="1395"/>
      <c r="AN527" s="1395"/>
      <c r="AO527" s="1395"/>
      <c r="AP527" s="1396"/>
      <c r="AR527" s="14"/>
      <c r="AS527" s="14"/>
      <c r="AT527" s="14"/>
      <c r="AU527" s="14"/>
      <c r="AV527" s="14"/>
      <c r="AW527" s="14"/>
      <c r="AX527" s="14"/>
      <c r="AY527" s="14"/>
      <c r="AZ527" s="14"/>
      <c r="BA527" s="14"/>
      <c r="BB527" s="1394" t="str">
        <f>IF(ISBLANK(BC527),"",LARGE(BB522:BB526,1)+1)</f>
        <v/>
      </c>
      <c r="BC527" s="1869"/>
      <c r="BD527" s="1810"/>
      <c r="BE527" s="1810"/>
      <c r="BF527" s="1810"/>
      <c r="BG527" s="1932" t="s">
        <v>1782</v>
      </c>
      <c r="BH527" s="1395"/>
      <c r="BI527" s="1395"/>
      <c r="BJ527" s="1395"/>
      <c r="BK527" s="1396"/>
      <c r="BM527" s="3">
        <v>1</v>
      </c>
    </row>
    <row r="528" spans="2:65" ht="21" customHeight="1">
      <c r="B528" s="14"/>
      <c r="C528" s="14"/>
      <c r="D528" s="14"/>
      <c r="E528" s="14"/>
      <c r="F528" s="14"/>
      <c r="G528" s="14"/>
      <c r="H528" s="14"/>
      <c r="I528" s="14"/>
      <c r="J528" s="14"/>
      <c r="K528" s="14"/>
      <c r="L528" s="1394" t="str">
        <f>IF(ISBLANK(M528),"",LARGE(L522:L527,1)+1)</f>
        <v/>
      </c>
      <c r="M528" s="1869"/>
      <c r="N528" s="1810"/>
      <c r="O528" s="1810"/>
      <c r="P528" s="1810"/>
      <c r="Q528" s="1793" t="s">
        <v>190</v>
      </c>
      <c r="R528" s="186"/>
      <c r="S528" s="186"/>
      <c r="T528" s="819" t="s">
        <v>191</v>
      </c>
      <c r="U528" s="195">
        <f>Q531*Q529</f>
        <v>225</v>
      </c>
      <c r="W528" s="14"/>
      <c r="X528" s="14"/>
      <c r="Y528" s="14"/>
      <c r="Z528" s="14"/>
      <c r="AA528" s="14"/>
      <c r="AB528" s="14"/>
      <c r="AC528" s="14"/>
      <c r="AD528" s="14"/>
      <c r="AE528" s="14"/>
      <c r="AF528" s="14"/>
      <c r="AG528" s="1394" t="str">
        <f>IF(ISBLANK(AH528),"",LARGE(AG522:AG527,1)+1)</f>
        <v/>
      </c>
      <c r="AH528" s="1869"/>
      <c r="AI528" s="1810"/>
      <c r="AJ528" s="1810"/>
      <c r="AK528" s="1810"/>
      <c r="AL528" s="1793" t="s">
        <v>661</v>
      </c>
      <c r="AM528" s="186"/>
      <c r="AN528" s="186"/>
      <c r="AO528" s="819" t="s">
        <v>662</v>
      </c>
      <c r="AP528" s="195">
        <f>AL531*AL529</f>
        <v>225</v>
      </c>
      <c r="AR528" s="14"/>
      <c r="AS528" s="14"/>
      <c r="AT528" s="14"/>
      <c r="AU528" s="14"/>
      <c r="AV528" s="14"/>
      <c r="AW528" s="14"/>
      <c r="AX528" s="14"/>
      <c r="AY528" s="14"/>
      <c r="AZ528" s="14"/>
      <c r="BA528" s="14"/>
      <c r="BB528" s="1394" t="str">
        <f>IF(ISBLANK(BC528),"",LARGE(BB522:BB527,1)+1)</f>
        <v/>
      </c>
      <c r="BC528" s="1869"/>
      <c r="BD528" s="1810"/>
      <c r="BE528" s="1810"/>
      <c r="BF528" s="1810"/>
      <c r="BG528" s="1933" t="s">
        <v>663</v>
      </c>
      <c r="BH528" s="186"/>
      <c r="BI528" s="186"/>
      <c r="BJ528" s="819" t="s">
        <v>878</v>
      </c>
      <c r="BK528" s="592"/>
      <c r="BM528" s="3">
        <v>1</v>
      </c>
    </row>
    <row r="529" spans="2:65" ht="21" customHeight="1">
      <c r="B529" s="14"/>
      <c r="C529" s="14"/>
      <c r="D529" s="14"/>
      <c r="E529" s="14"/>
      <c r="F529" s="14"/>
      <c r="G529" s="14"/>
      <c r="H529" s="14"/>
      <c r="I529" s="14"/>
      <c r="J529" s="14"/>
      <c r="K529" s="14"/>
      <c r="L529" s="1394" t="str">
        <f>IF(ISBLANK(M529),"",LARGE(L522:L528,1)+1)</f>
        <v/>
      </c>
      <c r="M529" s="1869"/>
      <c r="N529" s="1810"/>
      <c r="O529" s="1810"/>
      <c r="P529" s="1810"/>
      <c r="Q529" s="1794">
        <v>150</v>
      </c>
      <c r="R529" s="188" t="s">
        <v>192</v>
      </c>
      <c r="S529" s="188"/>
      <c r="T529" s="1385" t="s">
        <v>884</v>
      </c>
      <c r="U529" s="1386"/>
      <c r="W529" s="14"/>
      <c r="X529" s="14"/>
      <c r="Y529" s="14"/>
      <c r="Z529" s="14"/>
      <c r="AA529" s="14"/>
      <c r="AB529" s="14"/>
      <c r="AC529" s="14"/>
      <c r="AD529" s="14"/>
      <c r="AE529" s="14"/>
      <c r="AF529" s="14"/>
      <c r="AG529" s="1394" t="str">
        <f>IF(ISBLANK(AH529),"",LARGE(AG522:AG528,1)+1)</f>
        <v/>
      </c>
      <c r="AH529" s="1869"/>
      <c r="AI529" s="1810"/>
      <c r="AJ529" s="1810"/>
      <c r="AK529" s="1810"/>
      <c r="AL529" s="1794">
        <v>150</v>
      </c>
      <c r="AM529" s="188" t="s">
        <v>192</v>
      </c>
      <c r="AN529" s="188"/>
      <c r="AO529" s="1385" t="s">
        <v>136</v>
      </c>
      <c r="AP529" s="1386"/>
      <c r="AR529" s="14"/>
      <c r="AS529" s="14"/>
      <c r="AT529" s="14"/>
      <c r="AU529" s="14"/>
      <c r="AV529" s="14"/>
      <c r="AW529" s="14"/>
      <c r="AX529" s="14"/>
      <c r="AY529" s="14"/>
      <c r="AZ529" s="14"/>
      <c r="BA529" s="14"/>
      <c r="BB529" s="1394" t="str">
        <f>IF(ISBLANK(BC529),"",LARGE(BB522:BB528,1)+1)</f>
        <v/>
      </c>
      <c r="BC529" s="1869"/>
      <c r="BD529" s="1810"/>
      <c r="BE529" s="1810"/>
      <c r="BF529" s="1810"/>
      <c r="BG529" s="1836">
        <v>150</v>
      </c>
      <c r="BH529" s="188" t="s">
        <v>1337</v>
      </c>
      <c r="BI529" s="1164">
        <f>BG531*BG529</f>
        <v>225</v>
      </c>
      <c r="BJ529" s="1385" t="s">
        <v>1338</v>
      </c>
      <c r="BK529" s="1386"/>
      <c r="BM529" s="3">
        <v>1</v>
      </c>
    </row>
    <row r="530" spans="2:65" ht="21" customHeight="1">
      <c r="B530" s="14"/>
      <c r="C530" s="14"/>
      <c r="D530" s="14"/>
      <c r="E530" s="14"/>
      <c r="F530" s="14"/>
      <c r="G530" s="14"/>
      <c r="H530" s="14"/>
      <c r="I530" s="14"/>
      <c r="J530" s="14"/>
      <c r="K530" s="14"/>
      <c r="L530" s="1394" t="str">
        <f>IF(ISBLANK(M530),"",LARGE(L522:L529,1)+1)</f>
        <v/>
      </c>
      <c r="M530" s="1869"/>
      <c r="N530" s="1810"/>
      <c r="O530" s="1810"/>
      <c r="P530" s="1810"/>
      <c r="Q530" s="1795" t="s">
        <v>422</v>
      </c>
      <c r="R530" s="821" t="s">
        <v>1652</v>
      </c>
      <c r="S530" s="821"/>
      <c r="T530" s="821"/>
      <c r="U530" s="191"/>
      <c r="W530" s="14"/>
      <c r="X530" s="14"/>
      <c r="Y530" s="14"/>
      <c r="Z530" s="14"/>
      <c r="AA530" s="14"/>
      <c r="AB530" s="14"/>
      <c r="AC530" s="14"/>
      <c r="AD530" s="14"/>
      <c r="AE530" s="14"/>
      <c r="AF530" s="14"/>
      <c r="AG530" s="1394" t="str">
        <f>IF(ISBLANK(AH530),"",LARGE(AG522:AG529,1)+1)</f>
        <v/>
      </c>
      <c r="AH530" s="1869"/>
      <c r="AI530" s="1810"/>
      <c r="AJ530" s="1810"/>
      <c r="AK530" s="1810"/>
      <c r="AL530" s="1795" t="s">
        <v>422</v>
      </c>
      <c r="AM530" s="821" t="s">
        <v>8196</v>
      </c>
      <c r="AN530" s="821"/>
      <c r="AO530" s="821"/>
      <c r="AP530" s="191"/>
      <c r="AR530" s="14"/>
      <c r="AS530" s="14"/>
      <c r="AT530" s="14"/>
      <c r="AU530" s="14"/>
      <c r="AV530" s="14"/>
      <c r="AW530" s="14"/>
      <c r="AX530" s="14"/>
      <c r="AY530" s="14"/>
      <c r="AZ530" s="14"/>
      <c r="BA530" s="14"/>
      <c r="BB530" s="1394" t="str">
        <f>IF(ISBLANK(BC530),"",LARGE(BB522:BB529,1)+1)</f>
        <v/>
      </c>
      <c r="BC530" s="1869"/>
      <c r="BD530" s="1810"/>
      <c r="BE530" s="1810"/>
      <c r="BF530" s="1810"/>
      <c r="BG530" s="1934" t="s">
        <v>863</v>
      </c>
      <c r="BH530" s="821" t="s">
        <v>668</v>
      </c>
      <c r="BI530" s="821"/>
      <c r="BJ530" s="821"/>
      <c r="BK530" s="191"/>
      <c r="BM530" s="3">
        <v>1</v>
      </c>
    </row>
    <row r="531" spans="2:65" ht="21" customHeight="1">
      <c r="B531" s="14"/>
      <c r="C531" s="14"/>
      <c r="D531" s="14"/>
      <c r="E531" s="14"/>
      <c r="F531" s="14"/>
      <c r="G531" s="14"/>
      <c r="H531" s="14"/>
      <c r="I531" s="14"/>
      <c r="J531" s="14"/>
      <c r="K531" s="14"/>
      <c r="L531" s="1394" t="str">
        <f>IF(ISBLANK(M531),"",LARGE(L522:L530,1)+1)</f>
        <v/>
      </c>
      <c r="M531" s="1869"/>
      <c r="N531" s="1810"/>
      <c r="O531" s="1810"/>
      <c r="P531" s="1810"/>
      <c r="Q531" s="1796">
        <v>1.5</v>
      </c>
      <c r="R531" s="193" t="str">
        <f>"&lt; Nb de "&amp;T529&amp;" par personne "</f>
        <v xml:space="preserve">&lt; Nb de tranches par personne </v>
      </c>
      <c r="S531" s="193"/>
      <c r="T531" s="194"/>
      <c r="U531" s="592"/>
      <c r="W531" s="14"/>
      <c r="X531" s="14"/>
      <c r="Y531" s="14"/>
      <c r="Z531" s="14"/>
      <c r="AA531" s="14"/>
      <c r="AB531" s="14"/>
      <c r="AC531" s="14"/>
      <c r="AD531" s="14"/>
      <c r="AE531" s="14"/>
      <c r="AF531" s="14"/>
      <c r="AG531" s="1394" t="str">
        <f>IF(ISBLANK(AH531),"",LARGE(AG522:AG530,1)+1)</f>
        <v/>
      </c>
      <c r="AH531" s="1869"/>
      <c r="AI531" s="1810"/>
      <c r="AJ531" s="1810"/>
      <c r="AK531" s="1810"/>
      <c r="AL531" s="1796">
        <v>1.5</v>
      </c>
      <c r="AM531" s="193" t="str">
        <f>"&lt; Nb de "&amp;AO529&amp;" per person "</f>
        <v xml:space="preserve">&lt; Nb de plates per person </v>
      </c>
      <c r="AN531" s="193"/>
      <c r="AO531" s="194"/>
      <c r="AP531" s="592"/>
      <c r="AR531" s="14"/>
      <c r="AS531" s="14"/>
      <c r="AT531" s="14"/>
      <c r="AU531" s="14"/>
      <c r="AV531" s="14"/>
      <c r="AW531" s="14"/>
      <c r="AX531" s="14"/>
      <c r="AY531" s="14"/>
      <c r="AZ531" s="14"/>
      <c r="BA531" s="14"/>
      <c r="BB531" s="1394" t="str">
        <f>IF(ISBLANK(BC531),"",LARGE(BB522:BB530,1)+1)</f>
        <v/>
      </c>
      <c r="BC531" s="1869"/>
      <c r="BD531" s="1810"/>
      <c r="BE531" s="1810"/>
      <c r="BF531" s="1810"/>
      <c r="BG531" s="1935">
        <v>1.5</v>
      </c>
      <c r="BH531" s="193" t="str">
        <f>"&lt; Nb de "&amp;BJ529&amp;" por persona "</f>
        <v xml:space="preserve">&lt; Nb de tajadas por persona </v>
      </c>
      <c r="BI531" s="193"/>
      <c r="BJ531" s="194"/>
      <c r="BK531" s="592"/>
      <c r="BM531" s="3">
        <v>1</v>
      </c>
    </row>
    <row r="532" spans="2:65" ht="21" customHeight="1">
      <c r="B532" s="14"/>
      <c r="C532" s="14"/>
      <c r="D532" s="14"/>
      <c r="E532" s="14"/>
      <c r="F532" s="14"/>
      <c r="G532" s="14"/>
      <c r="H532" s="14"/>
      <c r="I532" s="14"/>
      <c r="J532" s="14"/>
      <c r="K532" s="14"/>
      <c r="L532" s="1394" t="str">
        <f>IF(ISBLANK(M532),"",LARGE(L522:L531,1)+1)</f>
        <v/>
      </c>
      <c r="M532" s="1869"/>
      <c r="N532" s="1810"/>
      <c r="O532" s="1810"/>
      <c r="P532" s="1810"/>
      <c r="Q532" s="1797">
        <v>27</v>
      </c>
      <c r="R532" s="193" t="str">
        <f>"&lt; Nb "&amp;T529&amp;" dans 1 " &amp;Q530</f>
        <v>&lt; Nb tranches dans 1 Gastro 1/1</v>
      </c>
      <c r="S532" s="193"/>
      <c r="T532" s="197"/>
      <c r="U532" s="195"/>
      <c r="W532" s="14"/>
      <c r="X532" s="14"/>
      <c r="Y532" s="14"/>
      <c r="Z532" s="14"/>
      <c r="AA532" s="14"/>
      <c r="AB532" s="14"/>
      <c r="AC532" s="14"/>
      <c r="AD532" s="14"/>
      <c r="AE532" s="14"/>
      <c r="AF532" s="14"/>
      <c r="AG532" s="1394" t="str">
        <f>IF(ISBLANK(AH532),"",LARGE(AG522:AG531,1)+1)</f>
        <v/>
      </c>
      <c r="AH532" s="1869"/>
      <c r="AI532" s="1810"/>
      <c r="AJ532" s="1810"/>
      <c r="AK532" s="1810"/>
      <c r="AL532" s="1797">
        <v>27</v>
      </c>
      <c r="AM532" s="193" t="str">
        <f>"&lt; Nb "&amp;AO529&amp;" in 1 " &amp;AL530</f>
        <v>&lt; Nb plates in 1 Gastro 1/1</v>
      </c>
      <c r="AN532" s="193"/>
      <c r="AO532" s="197"/>
      <c r="AP532" s="195"/>
      <c r="AR532" s="14"/>
      <c r="AS532" s="14"/>
      <c r="AT532" s="14"/>
      <c r="AU532" s="14"/>
      <c r="AV532" s="14"/>
      <c r="AW532" s="14"/>
      <c r="AX532" s="14"/>
      <c r="AY532" s="14"/>
      <c r="AZ532" s="14"/>
      <c r="BA532" s="14"/>
      <c r="BB532" s="1394" t="str">
        <f>IF(ISBLANK(BC532),"",LARGE(BB522:BB531,1)+1)</f>
        <v/>
      </c>
      <c r="BC532" s="1869"/>
      <c r="BD532" s="1810"/>
      <c r="BE532" s="1810"/>
      <c r="BF532" s="1810"/>
      <c r="BG532" s="1936">
        <v>27</v>
      </c>
      <c r="BH532" s="193" t="str">
        <f>"&lt; Nb "&amp;BJ529&amp;" dans 1 " &amp;BG530</f>
        <v>&lt; Nb tajadas dans 1 pack(s)</v>
      </c>
      <c r="BI532" s="193"/>
      <c r="BJ532" s="197"/>
      <c r="BK532" s="195"/>
      <c r="BM532" s="3">
        <v>1</v>
      </c>
    </row>
    <row r="533" spans="2:65" ht="21" customHeight="1">
      <c r="B533" s="14"/>
      <c r="C533" s="14"/>
      <c r="D533" s="14"/>
      <c r="E533" s="14"/>
      <c r="F533" s="14"/>
      <c r="G533" s="14"/>
      <c r="H533" s="14"/>
      <c r="I533" s="14"/>
      <c r="J533" s="14"/>
      <c r="K533" s="14"/>
      <c r="L533" s="1394" t="str">
        <f>IF(ISBLANK(M533),"",LARGE(L522:L532,1)+1)</f>
        <v/>
      </c>
      <c r="M533" s="1869"/>
      <c r="N533" s="1810"/>
      <c r="O533" s="1810"/>
      <c r="P533" s="1810"/>
      <c r="Q533" s="6776" t="str">
        <f>IF(OR(Q532="",U528=0),"",INT(U528/Q532) &amp; " " &amp; Q530 &amp; " de " &amp; Q532 &amp; " " &amp; T529 &amp; IF(MOD(U528,Q532)&gt;0," + 1 " &amp; Q530 &amp; " de " &amp; TEXT(MOD(U528,Q532),"0.00") &amp; " " &amp; T529,""))</f>
        <v>8 Gastro 1/1 de 27 tranches + 1 Gastro 1/1 de 9.00 tranches</v>
      </c>
      <c r="R533" s="6557"/>
      <c r="S533" s="6557"/>
      <c r="T533" s="6557"/>
      <c r="U533" s="6558"/>
      <c r="W533" s="14"/>
      <c r="X533" s="14"/>
      <c r="Y533" s="14"/>
      <c r="Z533" s="14"/>
      <c r="AA533" s="14"/>
      <c r="AB533" s="14"/>
      <c r="AC533" s="14"/>
      <c r="AD533" s="14"/>
      <c r="AE533" s="14"/>
      <c r="AF533" s="14"/>
      <c r="AG533" s="1394" t="str">
        <f>IF(ISBLANK(AH533),"",LARGE(AG522:AG532,1)+1)</f>
        <v/>
      </c>
      <c r="AH533" s="1869"/>
      <c r="AI533" s="1810"/>
      <c r="AJ533" s="1810"/>
      <c r="AK533" s="1810"/>
      <c r="AL533" s="6776" t="str">
        <f>IF(OR(AL532="",AP528=0),"",INT(AP528/AL532) &amp; " " &amp; AL530 &amp; " de " &amp; AL532 &amp; " " &amp; AO529 &amp; IF(MOD(AP528,AL532)&gt;0," + 1 " &amp; AL530 &amp; " de " &amp; TEXT(MOD(AP528,AL532),"0.00") &amp; " " &amp; AO529,""))</f>
        <v>8 Gastro 1/1 de 27 plates + 1 Gastro 1/1 de 9.00 plates</v>
      </c>
      <c r="AM533" s="6557"/>
      <c r="AN533" s="6557"/>
      <c r="AO533" s="6557"/>
      <c r="AP533" s="6558"/>
      <c r="AR533" s="14"/>
      <c r="AS533" s="14"/>
      <c r="AT533" s="14"/>
      <c r="AU533" s="14"/>
      <c r="AV533" s="14"/>
      <c r="AW533" s="14"/>
      <c r="AX533" s="14"/>
      <c r="AY533" s="14"/>
      <c r="AZ533" s="14"/>
      <c r="BA533" s="14"/>
      <c r="BB533" s="1394" t="str">
        <f>IF(ISBLANK(BC533),"",LARGE(BB522:BB532,1)+1)</f>
        <v/>
      </c>
      <c r="BC533" s="1869"/>
      <c r="BD533" s="1810"/>
      <c r="BE533" s="1810"/>
      <c r="BF533" s="1810"/>
      <c r="BG533" s="6778" t="str">
        <f>IF(OR(BG532="",BI529=0),"",INT(BI529/BG532) &amp; " " &amp; BG530 &amp; " de " &amp; BG532 &amp; " " &amp; BJ529 &amp; IF(MOD(BI529,BG532)&gt;0," + 1 " &amp; BG530 &amp; " de " &amp; TEXT(MOD(BI529,BG532),"0.00") &amp; " " &amp; BJ529,""))</f>
        <v>8 pack(s) de 27 tajadas + 1 pack(s) de 9.00 tajadas</v>
      </c>
      <c r="BH533" s="6557"/>
      <c r="BI533" s="6557"/>
      <c r="BJ533" s="6557"/>
      <c r="BK533" s="6558"/>
      <c r="BM533" s="3">
        <v>1</v>
      </c>
    </row>
    <row r="534" spans="2:65" ht="21" customHeight="1">
      <c r="B534" s="14"/>
      <c r="C534" s="14"/>
      <c r="D534" s="14"/>
      <c r="E534" s="14"/>
      <c r="F534" s="14"/>
      <c r="G534" s="14"/>
      <c r="H534" s="14"/>
      <c r="I534" s="14"/>
      <c r="J534" s="14"/>
      <c r="K534" s="14"/>
      <c r="L534" s="1394" t="str">
        <f>IF(ISBLANK(M534),"",LARGE(L522:L533,1)+1)</f>
        <v/>
      </c>
      <c r="M534" s="1869"/>
      <c r="N534" s="1810"/>
      <c r="O534" s="1810"/>
      <c r="P534" s="1810"/>
      <c r="Q534" s="6777"/>
      <c r="R534" s="6560"/>
      <c r="S534" s="6560"/>
      <c r="T534" s="6560"/>
      <c r="U534" s="6561"/>
      <c r="W534" s="14"/>
      <c r="X534" s="14"/>
      <c r="Y534" s="14"/>
      <c r="Z534" s="14"/>
      <c r="AA534" s="14"/>
      <c r="AB534" s="14"/>
      <c r="AC534" s="14"/>
      <c r="AD534" s="14"/>
      <c r="AE534" s="14"/>
      <c r="AF534" s="14"/>
      <c r="AG534" s="1394" t="str">
        <f>IF(ISBLANK(AH534),"",LARGE(AG522:AG533,1)+1)</f>
        <v/>
      </c>
      <c r="AH534" s="1869"/>
      <c r="AI534" s="1810"/>
      <c r="AJ534" s="1810"/>
      <c r="AK534" s="1810"/>
      <c r="AL534" s="6777"/>
      <c r="AM534" s="6560"/>
      <c r="AN534" s="6560"/>
      <c r="AO534" s="6560"/>
      <c r="AP534" s="6561"/>
      <c r="AR534" s="14"/>
      <c r="AS534" s="14"/>
      <c r="AT534" s="14"/>
      <c r="AU534" s="14"/>
      <c r="AV534" s="14"/>
      <c r="AW534" s="14"/>
      <c r="AX534" s="14"/>
      <c r="AY534" s="14"/>
      <c r="AZ534" s="14"/>
      <c r="BA534" s="14"/>
      <c r="BB534" s="1394" t="str">
        <f>IF(ISBLANK(BC534),"",LARGE(BB522:BB533,1)+1)</f>
        <v/>
      </c>
      <c r="BC534" s="1869"/>
      <c r="BD534" s="1810"/>
      <c r="BE534" s="1810"/>
      <c r="BF534" s="1810"/>
      <c r="BG534" s="6779"/>
      <c r="BH534" s="6560"/>
      <c r="BI534" s="6560"/>
      <c r="BJ534" s="6560"/>
      <c r="BK534" s="6561"/>
      <c r="BM534" s="3">
        <v>1</v>
      </c>
    </row>
    <row r="535" spans="2:65" ht="21" customHeight="1">
      <c r="B535" s="14"/>
      <c r="C535" s="14"/>
      <c r="D535" s="14"/>
      <c r="E535" s="14"/>
      <c r="F535" s="14"/>
      <c r="G535" s="14"/>
      <c r="H535" s="14"/>
      <c r="I535" s="14"/>
      <c r="J535" s="14"/>
      <c r="K535" s="14"/>
      <c r="L535" s="1394" t="str">
        <f>IF(ISBLANK(M535),"",LARGE(L522:L534,1)+1)</f>
        <v/>
      </c>
      <c r="M535" s="1869"/>
      <c r="N535" s="1810"/>
      <c r="O535" s="1810"/>
      <c r="P535" s="1810"/>
      <c r="Q535" s="1798">
        <v>120</v>
      </c>
      <c r="R535" s="200" t="s">
        <v>198</v>
      </c>
      <c r="S535" s="200"/>
      <c r="T535" s="186"/>
      <c r="U535" s="201">
        <f>(Q535*Q529)/1000</f>
        <v>18</v>
      </c>
      <c r="W535" s="14"/>
      <c r="X535" s="14"/>
      <c r="Y535" s="14"/>
      <c r="Z535" s="14"/>
      <c r="AA535" s="14"/>
      <c r="AB535" s="14"/>
      <c r="AC535" s="14"/>
      <c r="AD535" s="14"/>
      <c r="AE535" s="14"/>
      <c r="AF535" s="14"/>
      <c r="AG535" s="1394" t="str">
        <f>IF(ISBLANK(AH535),"",LARGE(AG522:AG534,1)+1)</f>
        <v/>
      </c>
      <c r="AH535" s="1869"/>
      <c r="AI535" s="1810"/>
      <c r="AJ535" s="1810"/>
      <c r="AK535" s="1810"/>
      <c r="AL535" s="1798">
        <v>120</v>
      </c>
      <c r="AM535" s="200" t="s">
        <v>8218</v>
      </c>
      <c r="AN535" s="200"/>
      <c r="AO535" s="186"/>
      <c r="AP535" s="201">
        <f>(AL535*AL529)/1000</f>
        <v>18</v>
      </c>
      <c r="AR535" s="14"/>
      <c r="AS535" s="14"/>
      <c r="AT535" s="14"/>
      <c r="AU535" s="14"/>
      <c r="AV535" s="14"/>
      <c r="AW535" s="14"/>
      <c r="AX535" s="14"/>
      <c r="AY535" s="14"/>
      <c r="AZ535" s="14"/>
      <c r="BA535" s="14"/>
      <c r="BB535" s="1394" t="str">
        <f>IF(ISBLANK(BC535),"",LARGE(BB522:BB534,1)+1)</f>
        <v/>
      </c>
      <c r="BC535" s="1869"/>
      <c r="BD535" s="1810"/>
      <c r="BE535" s="1810"/>
      <c r="BF535" s="1810"/>
      <c r="BG535" s="1937">
        <v>120</v>
      </c>
      <c r="BH535" s="200" t="s">
        <v>880</v>
      </c>
      <c r="BI535" s="200"/>
      <c r="BJ535" s="186"/>
      <c r="BK535" s="201">
        <f>(BG535*BG529)/1000</f>
        <v>18</v>
      </c>
      <c r="BM535" s="3">
        <v>1</v>
      </c>
    </row>
    <row r="536" spans="2:65" ht="21" customHeight="1">
      <c r="B536" s="14"/>
      <c r="C536" s="14"/>
      <c r="D536" s="14"/>
      <c r="E536" s="14"/>
      <c r="F536" s="14"/>
      <c r="G536" s="14"/>
      <c r="H536" s="14"/>
      <c r="I536" s="14"/>
      <c r="J536" s="14"/>
      <c r="K536" s="14"/>
      <c r="L536" s="1394" t="str">
        <f>IF(ISBLANK(M536),"",LARGE(L522:L535,1)+1)</f>
        <v/>
      </c>
      <c r="M536" s="1869"/>
      <c r="N536" s="1810"/>
      <c r="O536" s="1810"/>
      <c r="P536" s="1810"/>
      <c r="Q536" s="1799">
        <v>2.7</v>
      </c>
      <c r="R536" s="203" t="str">
        <f>"poids par "&amp; Q530</f>
        <v>poids par Gastro 1/1</v>
      </c>
      <c r="S536" s="203"/>
      <c r="T536" s="186"/>
      <c r="U536" s="191"/>
      <c r="W536" s="14"/>
      <c r="X536" s="14"/>
      <c r="Y536" s="14"/>
      <c r="Z536" s="14"/>
      <c r="AA536" s="14"/>
      <c r="AB536" s="14"/>
      <c r="AC536" s="14"/>
      <c r="AD536" s="14"/>
      <c r="AE536" s="14"/>
      <c r="AF536" s="14"/>
      <c r="AG536" s="1394" t="str">
        <f>IF(ISBLANK(AH536),"",LARGE(AG522:AG535,1)+1)</f>
        <v/>
      </c>
      <c r="AH536" s="1869"/>
      <c r="AI536" s="1810"/>
      <c r="AJ536" s="1810"/>
      <c r="AK536" s="1810"/>
      <c r="AL536" s="1799">
        <v>2.7</v>
      </c>
      <c r="AM536" s="203" t="str">
        <f>"Weight per  "&amp; AL530</f>
        <v>Weight per  Gastro 1/1</v>
      </c>
      <c r="AN536" s="203"/>
      <c r="AO536" s="186"/>
      <c r="AP536" s="191"/>
      <c r="AR536" s="14"/>
      <c r="AS536" s="14"/>
      <c r="AT536" s="14"/>
      <c r="AU536" s="14"/>
      <c r="AV536" s="14"/>
      <c r="AW536" s="14"/>
      <c r="AX536" s="14"/>
      <c r="AY536" s="14"/>
      <c r="AZ536" s="14"/>
      <c r="BA536" s="14"/>
      <c r="BB536" s="1394" t="str">
        <f>IF(ISBLANK(BC536),"",LARGE(BB522:BB535,1)+1)</f>
        <v/>
      </c>
      <c r="BC536" s="1869"/>
      <c r="BD536" s="1810"/>
      <c r="BE536" s="1810"/>
      <c r="BF536" s="1810"/>
      <c r="BG536" s="1938">
        <v>2.7</v>
      </c>
      <c r="BH536" s="203" t="str">
        <f>"peso por"&amp; BG530</f>
        <v>peso porpack(s)</v>
      </c>
      <c r="BI536" s="203"/>
      <c r="BJ536" s="186"/>
      <c r="BK536" s="191"/>
      <c r="BM536" s="3">
        <v>1</v>
      </c>
    </row>
    <row r="537" spans="2:65" ht="21" customHeight="1">
      <c r="B537" s="14"/>
      <c r="C537" s="14"/>
      <c r="D537" s="14"/>
      <c r="E537" s="14"/>
      <c r="F537" s="14"/>
      <c r="G537" s="14"/>
      <c r="H537" s="14"/>
      <c r="I537" s="14"/>
      <c r="J537" s="14"/>
      <c r="K537" s="14"/>
      <c r="L537" s="1394" t="str">
        <f>IF(ISBLANK(M537),"",LARGE(L522:L536,1)+1)</f>
        <v/>
      </c>
      <c r="M537" s="1869"/>
      <c r="N537" s="1810"/>
      <c r="O537" s="1810"/>
      <c r="P537" s="1810"/>
      <c r="Q537" s="6780" t="str">
        <f>IF(OR(U535&lt;=0,Q536&lt;=0),"",_xlfn.LET(_xlpm.n,ROUND(U535/Q536,9),_xlpm.q,INT(_xlpm.n),_xlpm.r,ROUND(U535-_xlpm.q*Q536,9),_xlpm.base,_xlpm.q&amp;" "&amp;Q530&amp;" de "&amp;TEXT(Q536,"0.000")&amp;" kg",IF(_xlpm.r&lt;=0.000000001,_xlpm.base,_xlpm.base&amp;" + 1 "&amp;Q530&amp;" de "&amp;TEXT(_xlpm.r,"0.000")&amp;" kg")))</f>
        <v>6 Gastro 1/1 de 2.700 kg + 1 Gastro 1/1 de 1.800 kg</v>
      </c>
      <c r="R537" s="6524"/>
      <c r="S537" s="6524"/>
      <c r="T537" s="6524"/>
      <c r="U537" s="6525"/>
      <c r="W537" s="14"/>
      <c r="X537" s="14"/>
      <c r="Y537" s="14"/>
      <c r="Z537" s="14"/>
      <c r="AA537" s="14"/>
      <c r="AB537" s="14"/>
      <c r="AC537" s="14"/>
      <c r="AD537" s="14"/>
      <c r="AE537" s="14"/>
      <c r="AF537" s="14"/>
      <c r="AG537" s="1394" t="str">
        <f>IF(ISBLANK(AH537),"",LARGE(AG522:AG536,1)+1)</f>
        <v/>
      </c>
      <c r="AH537" s="1869"/>
      <c r="AI537" s="1810"/>
      <c r="AJ537" s="1810"/>
      <c r="AK537" s="1810"/>
      <c r="AL537" s="6780" t="str">
        <f>IF(OR(AP535&lt;=0,AL536&lt;=0),"",_xlfn.LET(_xlpm.n,ROUND(AP535/AL536,9),_xlpm.q,INT(_xlpm.n),_xlpm.r,ROUND(AP535-_xlpm.q*AL536,9),_xlpm.base,_xlpm.q&amp;" "&amp;AL530&amp;" de "&amp;TEXT(AL536,"0.000")&amp;" kg",IF(_xlpm.r&lt;=0.000000001,_xlpm.base,_xlpm.base&amp;" + 1 "&amp;AL530&amp;" de "&amp;TEXT(_xlpm.r,"0.000")&amp;" kg")))</f>
        <v>6 Gastro 1/1 de 2.700 kg + 1 Gastro 1/1 de 1.800 kg</v>
      </c>
      <c r="AM537" s="6524"/>
      <c r="AN537" s="6524"/>
      <c r="AO537" s="6524"/>
      <c r="AP537" s="6525"/>
      <c r="AR537" s="14"/>
      <c r="AS537" s="14"/>
      <c r="AT537" s="14"/>
      <c r="AU537" s="14"/>
      <c r="AV537" s="14"/>
      <c r="AW537" s="14"/>
      <c r="AX537" s="14"/>
      <c r="AY537" s="14"/>
      <c r="AZ537" s="14"/>
      <c r="BA537" s="14"/>
      <c r="BB537" s="1394" t="str">
        <f>IF(ISBLANK(BC537),"",LARGE(BB522:BB536,1)+1)</f>
        <v/>
      </c>
      <c r="BC537" s="1869"/>
      <c r="BD537" s="1810"/>
      <c r="BE537" s="1810"/>
      <c r="BF537" s="1810"/>
      <c r="BG537" s="6784" t="str">
        <f>IF(OR(BK535&lt;=0,BG536&lt;=0),"",_xlfn.LET(_xlpm.n,ROUND(BK535/BG536,9),_xlpm.q,INT(_xlpm.n),_xlpm.r,ROUND(BK535-_xlpm.q*BG536,9),_xlpm.base,_xlpm.q&amp;" "&amp;BG530&amp;" de "&amp;TEXT(BG536,"0.000")&amp;" kg",IF(_xlpm.r&lt;=0.000000001,_xlpm.base,_xlpm.base&amp;" + 1 "&amp;BG530&amp;" de "&amp;TEXT(_xlpm.r,"0.000")&amp;" kg")))</f>
        <v>6 pack(s) de 2.700 kg + 1 pack(s) de 1.800 kg</v>
      </c>
      <c r="BH537" s="6524"/>
      <c r="BI537" s="6524"/>
      <c r="BJ537" s="6524"/>
      <c r="BK537" s="6525"/>
      <c r="BM537" s="3">
        <v>1</v>
      </c>
    </row>
    <row r="538" spans="2:65" ht="21" customHeight="1">
      <c r="B538" s="14"/>
      <c r="C538" s="14"/>
      <c r="D538" s="14"/>
      <c r="E538" s="14"/>
      <c r="F538" s="14"/>
      <c r="G538" s="14"/>
      <c r="H538" s="14"/>
      <c r="I538" s="14"/>
      <c r="J538" s="14"/>
      <c r="K538" s="14"/>
      <c r="L538" s="1394" t="str">
        <f>IF(ISBLANK(M538),"",LARGE(L522:L537,1)+1)</f>
        <v/>
      </c>
      <c r="M538" s="1869"/>
      <c r="N538" s="1810"/>
      <c r="O538" s="1810"/>
      <c r="P538" s="1810"/>
      <c r="Q538" s="6780"/>
      <c r="R538" s="6524"/>
      <c r="S538" s="6524"/>
      <c r="T538" s="6524"/>
      <c r="U538" s="6525"/>
      <c r="W538" s="14"/>
      <c r="X538" s="14"/>
      <c r="Y538" s="14"/>
      <c r="Z538" s="14"/>
      <c r="AA538" s="14"/>
      <c r="AB538" s="14"/>
      <c r="AC538" s="14"/>
      <c r="AD538" s="14"/>
      <c r="AE538" s="14"/>
      <c r="AF538" s="14"/>
      <c r="AG538" s="1394" t="str">
        <f>IF(ISBLANK(AH538),"",LARGE(AG522:AG537,1)+1)</f>
        <v/>
      </c>
      <c r="AH538" s="1869"/>
      <c r="AI538" s="1810"/>
      <c r="AJ538" s="1810"/>
      <c r="AK538" s="1810"/>
      <c r="AL538" s="6781"/>
      <c r="AM538" s="6782"/>
      <c r="AN538" s="6782"/>
      <c r="AO538" s="6782"/>
      <c r="AP538" s="6783"/>
      <c r="AR538" s="14"/>
      <c r="AS538" s="14"/>
      <c r="AT538" s="14"/>
      <c r="AU538" s="14"/>
      <c r="AV538" s="14"/>
      <c r="AW538" s="14"/>
      <c r="AX538" s="14"/>
      <c r="AY538" s="14"/>
      <c r="AZ538" s="14"/>
      <c r="BA538" s="14"/>
      <c r="BB538" s="1394" t="str">
        <f>IF(ISBLANK(BC538),"",LARGE(BB522:BB537,1)+1)</f>
        <v/>
      </c>
      <c r="BC538" s="1869"/>
      <c r="BD538" s="1810"/>
      <c r="BE538" s="1810"/>
      <c r="BF538" s="1810"/>
      <c r="BG538" s="6785"/>
      <c r="BH538" s="6782"/>
      <c r="BI538" s="6782"/>
      <c r="BJ538" s="6782"/>
      <c r="BK538" s="6783"/>
      <c r="BM538" s="3">
        <v>1</v>
      </c>
    </row>
    <row r="539" spans="2:65" ht="21" customHeight="1">
      <c r="B539" s="14"/>
      <c r="C539" s="14"/>
      <c r="D539" s="14"/>
      <c r="E539" s="14"/>
      <c r="F539" s="14"/>
      <c r="G539" s="14"/>
      <c r="H539" s="14"/>
      <c r="I539" s="14"/>
      <c r="J539" s="14"/>
      <c r="K539" s="14"/>
      <c r="L539" s="1394" t="str">
        <f>IF(ISBLANK(M539),"",LARGE(L522:L538,1)+1)</f>
        <v/>
      </c>
      <c r="M539" s="1869"/>
      <c r="N539" s="1810"/>
      <c r="O539" s="1810"/>
      <c r="P539" s="1810"/>
      <c r="Q539" s="1837"/>
      <c r="R539" s="1837"/>
      <c r="S539" s="1837"/>
      <c r="T539" s="1837"/>
      <c r="U539" s="1838"/>
      <c r="W539" s="14"/>
      <c r="X539" s="14"/>
      <c r="Y539" s="14"/>
      <c r="Z539" s="14"/>
      <c r="AA539" s="14"/>
      <c r="AB539" s="14"/>
      <c r="AC539" s="14"/>
      <c r="AD539" s="14"/>
      <c r="AE539" s="14"/>
      <c r="AF539" s="14"/>
      <c r="AG539" s="1394" t="str">
        <f>IF(ISBLANK(AH539),"",LARGE(AG522:AG538,1)+1)</f>
        <v/>
      </c>
      <c r="AH539" s="1869"/>
      <c r="AI539" s="1810"/>
      <c r="AJ539" s="1810"/>
      <c r="AK539" s="1810"/>
      <c r="AL539" s="1837"/>
      <c r="AM539" s="1837"/>
      <c r="AN539" s="1837"/>
      <c r="AO539" s="1837"/>
      <c r="AP539" s="1838"/>
      <c r="AR539" s="14"/>
      <c r="AS539" s="14"/>
      <c r="AT539" s="14"/>
      <c r="AU539" s="14"/>
      <c r="AV539" s="14"/>
      <c r="AW539" s="14"/>
      <c r="AX539" s="14"/>
      <c r="AY539" s="14"/>
      <c r="AZ539" s="14"/>
      <c r="BA539" s="14"/>
      <c r="BB539" s="1394" t="str">
        <f>IF(ISBLANK(BC539),"",LARGE(BB522:BB538,1)+1)</f>
        <v/>
      </c>
      <c r="BC539" s="1869"/>
      <c r="BD539" s="1810"/>
      <c r="BE539" s="1810"/>
      <c r="BF539" s="1810"/>
      <c r="BG539" s="1837"/>
      <c r="BH539" s="1837"/>
      <c r="BI539" s="1837"/>
      <c r="BJ539" s="1837"/>
      <c r="BK539" s="1838"/>
      <c r="BM539" s="3">
        <v>1</v>
      </c>
    </row>
    <row r="540" spans="2:65" ht="21" customHeight="1">
      <c r="B540" s="14"/>
      <c r="C540" s="14"/>
      <c r="D540" s="14"/>
      <c r="E540" s="14"/>
      <c r="F540" s="14"/>
      <c r="G540" s="14"/>
      <c r="H540" s="14"/>
      <c r="I540" s="14"/>
      <c r="J540" s="14"/>
      <c r="K540" s="14"/>
      <c r="L540" s="1394" t="str">
        <f>IF(ISBLANK(M540),"",LARGE(L522:L539,1)+1)</f>
        <v/>
      </c>
      <c r="M540" s="1869"/>
      <c r="N540" s="1810"/>
      <c r="O540" s="1810"/>
      <c r="P540" s="1810"/>
      <c r="Q540" s="1810"/>
      <c r="R540" s="1810"/>
      <c r="S540" s="1810"/>
      <c r="T540" s="1810"/>
      <c r="U540" s="1811"/>
      <c r="W540" s="14"/>
      <c r="X540" s="14"/>
      <c r="Y540" s="14"/>
      <c r="Z540" s="14"/>
      <c r="AA540" s="14"/>
      <c r="AB540" s="14"/>
      <c r="AC540" s="14"/>
      <c r="AD540" s="14"/>
      <c r="AE540" s="14"/>
      <c r="AF540" s="14"/>
      <c r="AG540" s="1394" t="str">
        <f>IF(ISBLANK(AH540),"",LARGE(AG522:AG539,1)+1)</f>
        <v/>
      </c>
      <c r="AH540" s="1869"/>
      <c r="AI540" s="1810"/>
      <c r="AJ540" s="1810"/>
      <c r="AK540" s="1810"/>
      <c r="AL540" s="1810"/>
      <c r="AM540" s="1810"/>
      <c r="AN540" s="1810"/>
      <c r="AO540" s="1810"/>
      <c r="AP540" s="1811"/>
      <c r="AR540" s="14"/>
      <c r="AS540" s="14"/>
      <c r="AT540" s="14"/>
      <c r="AU540" s="14"/>
      <c r="AV540" s="14"/>
      <c r="AW540" s="14"/>
      <c r="AX540" s="14"/>
      <c r="AY540" s="14"/>
      <c r="AZ540" s="14"/>
      <c r="BA540" s="14"/>
      <c r="BB540" s="1394" t="str">
        <f>IF(ISBLANK(BC540),"",LARGE(BB522:BB539,1)+1)</f>
        <v/>
      </c>
      <c r="BC540" s="1869"/>
      <c r="BD540" s="1810"/>
      <c r="BE540" s="1810"/>
      <c r="BF540" s="1810"/>
      <c r="BG540" s="1810"/>
      <c r="BH540" s="1810"/>
      <c r="BI540" s="1810"/>
      <c r="BJ540" s="1810"/>
      <c r="BK540" s="1811"/>
      <c r="BM540" s="3">
        <v>1</v>
      </c>
    </row>
    <row r="541" spans="2:65" ht="21" customHeight="1">
      <c r="B541" s="14"/>
      <c r="C541" s="14"/>
      <c r="D541" s="14"/>
      <c r="E541" s="14"/>
      <c r="F541" s="14"/>
      <c r="G541" s="14"/>
      <c r="H541" s="14"/>
      <c r="I541" s="14"/>
      <c r="J541" s="14"/>
      <c r="K541" s="14"/>
      <c r="L541" s="1963" t="s">
        <v>8629</v>
      </c>
      <c r="M541" s="1844"/>
      <c r="N541" s="1844"/>
      <c r="O541" s="1844"/>
      <c r="P541" s="1844"/>
      <c r="Q541" s="1844"/>
      <c r="R541" s="1844"/>
      <c r="S541" s="1844"/>
      <c r="T541" s="1844"/>
      <c r="U541" s="1964" t="s">
        <v>8629</v>
      </c>
      <c r="W541" s="14"/>
      <c r="X541" s="14"/>
      <c r="Y541" s="14"/>
      <c r="Z541" s="14"/>
      <c r="AA541" s="14"/>
      <c r="AB541" s="14"/>
      <c r="AC541" s="14"/>
      <c r="AD541" s="14"/>
      <c r="AE541" s="14"/>
      <c r="AF541" s="14"/>
      <c r="AG541" s="1963" t="s">
        <v>8630</v>
      </c>
      <c r="AH541" s="1844"/>
      <c r="AI541" s="1844"/>
      <c r="AJ541" s="1844"/>
      <c r="AK541" s="1844"/>
      <c r="AL541" s="1844"/>
      <c r="AM541" s="1844"/>
      <c r="AN541" s="1844"/>
      <c r="AO541" s="1844"/>
      <c r="AP541" s="1964" t="s">
        <v>8630</v>
      </c>
      <c r="BB541" s="1963" t="s">
        <v>8631</v>
      </c>
      <c r="BC541" s="1844"/>
      <c r="BD541" s="1844"/>
      <c r="BE541" s="1844"/>
      <c r="BF541" s="1844"/>
      <c r="BG541" s="1844"/>
      <c r="BH541" s="1844"/>
      <c r="BI541" s="1844"/>
      <c r="BJ541" s="1844"/>
      <c r="BK541" s="1964" t="s">
        <v>8631</v>
      </c>
      <c r="BM541" s="3">
        <v>1</v>
      </c>
    </row>
    <row r="542" spans="2:65" ht="21" customHeight="1">
      <c r="B542" s="14"/>
      <c r="C542" s="14"/>
      <c r="D542" s="14"/>
      <c r="E542" s="14"/>
      <c r="F542" s="14"/>
      <c r="G542" s="14"/>
      <c r="H542" s="14"/>
      <c r="I542" s="14"/>
      <c r="J542" s="14"/>
      <c r="K542" s="14"/>
      <c r="L542" s="1372" t="s">
        <v>8145</v>
      </c>
      <c r="M542" s="419" t="s">
        <v>821</v>
      </c>
      <c r="N542" s="230"/>
      <c r="O542" s="230"/>
      <c r="P542" s="230"/>
      <c r="Q542" s="230"/>
      <c r="R542" s="231"/>
      <c r="S542" s="231"/>
      <c r="T542" s="231"/>
      <c r="U542" s="585" t="s">
        <v>218</v>
      </c>
      <c r="W542" s="14"/>
      <c r="X542" s="14"/>
      <c r="Y542" s="14"/>
      <c r="Z542" s="14"/>
      <c r="AA542" s="14"/>
      <c r="AB542" s="14"/>
      <c r="AC542" s="14"/>
      <c r="AD542" s="14"/>
      <c r="AE542" s="14"/>
      <c r="AF542" s="14"/>
      <c r="AG542" s="1388" t="s">
        <v>8216</v>
      </c>
      <c r="AH542" s="230"/>
      <c r="AI542" s="230"/>
      <c r="AJ542" s="230"/>
      <c r="AK542" s="230"/>
      <c r="AL542" s="230"/>
      <c r="AM542" s="231"/>
      <c r="AN542" s="231"/>
      <c r="AO542" s="231"/>
      <c r="AP542" s="585" t="s">
        <v>1399</v>
      </c>
      <c r="AR542" s="14"/>
      <c r="AS542" s="14"/>
      <c r="AT542" s="14"/>
      <c r="AU542" s="14"/>
      <c r="AV542" s="14"/>
      <c r="AW542" s="14"/>
      <c r="AX542" s="14"/>
      <c r="AY542" s="14"/>
      <c r="AZ542" s="14"/>
      <c r="BA542" s="14"/>
      <c r="BB542" s="1372" t="s">
        <v>8217</v>
      </c>
      <c r="BC542" s="230"/>
      <c r="BD542" s="230"/>
      <c r="BE542" s="230"/>
      <c r="BF542" s="230"/>
      <c r="BG542" s="230"/>
      <c r="BH542" s="231"/>
      <c r="BI542" s="231"/>
      <c r="BJ542" s="231"/>
      <c r="BK542" s="585" t="s">
        <v>726</v>
      </c>
      <c r="BM542" s="3">
        <v>1</v>
      </c>
    </row>
    <row r="543" spans="2:65" ht="21" customHeight="1">
      <c r="B543" s="14"/>
      <c r="C543" s="14"/>
      <c r="D543" s="14"/>
      <c r="E543" s="14"/>
      <c r="F543" s="14"/>
      <c r="G543" s="14"/>
      <c r="H543" s="14"/>
      <c r="I543" s="14"/>
      <c r="J543" s="14"/>
      <c r="K543" s="14"/>
      <c r="L543" s="1392">
        <v>0</v>
      </c>
      <c r="M543" s="1375"/>
      <c r="N543" s="1329"/>
      <c r="O543" s="1329"/>
      <c r="P543" s="1398" t="s">
        <v>220</v>
      </c>
      <c r="Q543" s="232" t="s">
        <v>219</v>
      </c>
      <c r="R543" s="1397"/>
      <c r="S543" s="1397"/>
      <c r="T543" s="1399"/>
      <c r="U543" s="1400"/>
      <c r="W543" s="14"/>
      <c r="X543" s="14"/>
      <c r="Y543" s="14"/>
      <c r="Z543" s="14"/>
      <c r="AA543" s="14"/>
      <c r="AB543" s="14"/>
      <c r="AC543" s="14"/>
      <c r="AD543" s="14"/>
      <c r="AE543" s="14"/>
      <c r="AF543" s="14"/>
      <c r="AG543" s="1392">
        <v>0</v>
      </c>
      <c r="AH543" s="1810"/>
      <c r="AI543" s="1329"/>
      <c r="AJ543" s="1329"/>
      <c r="AK543" s="1398" t="s">
        <v>1352</v>
      </c>
      <c r="AL543" s="232" t="s">
        <v>219</v>
      </c>
      <c r="AM543" s="1397"/>
      <c r="AN543" s="1397"/>
      <c r="AO543" s="1399"/>
      <c r="AP543" s="1400"/>
      <c r="AR543" s="14"/>
      <c r="AS543" s="14"/>
      <c r="AT543" s="14"/>
      <c r="AU543" s="14"/>
      <c r="AV543" s="14"/>
      <c r="AW543" s="14"/>
      <c r="AX543" s="14"/>
      <c r="AY543" s="14"/>
      <c r="AZ543" s="14"/>
      <c r="BA543" s="14"/>
      <c r="BB543" s="1392">
        <v>0</v>
      </c>
      <c r="BC543" s="1375"/>
      <c r="BD543" s="1329"/>
      <c r="BE543" s="1329"/>
      <c r="BF543" s="1398" t="s">
        <v>1353</v>
      </c>
      <c r="BG543" s="232" t="s">
        <v>219</v>
      </c>
      <c r="BH543" s="1397"/>
      <c r="BI543" s="1397"/>
      <c r="BJ543" s="1399"/>
      <c r="BK543" s="1400"/>
      <c r="BM543" s="3">
        <v>1</v>
      </c>
    </row>
    <row r="544" spans="2:65" ht="21" customHeight="1">
      <c r="B544" s="14"/>
      <c r="C544" s="14"/>
      <c r="D544" s="14"/>
      <c r="E544" s="14"/>
      <c r="F544" s="14"/>
      <c r="G544" s="14"/>
      <c r="H544" s="14"/>
      <c r="I544" s="14"/>
      <c r="J544" s="14"/>
      <c r="K544" s="14"/>
      <c r="L544" s="1619" t="str">
        <f>IF(ISBLANK(M544),"",LARGE(L543:L543,1)+1)</f>
        <v/>
      </c>
      <c r="M544" s="1810"/>
      <c r="N544" s="1810"/>
      <c r="O544" s="1810"/>
      <c r="P544" s="1398" t="s">
        <v>224</v>
      </c>
      <c r="Q544" s="232" t="s">
        <v>219</v>
      </c>
      <c r="R544" s="1401"/>
      <c r="S544" s="1401"/>
      <c r="T544" s="1402"/>
      <c r="U544" s="1400"/>
      <c r="W544" s="14"/>
      <c r="X544" s="14"/>
      <c r="Y544" s="14"/>
      <c r="Z544" s="14"/>
      <c r="AA544" s="14"/>
      <c r="AB544" s="14"/>
      <c r="AC544" s="14"/>
      <c r="AD544" s="14"/>
      <c r="AE544" s="14"/>
      <c r="AF544" s="14"/>
      <c r="AG544" s="1619" t="str">
        <f>IF(ISBLANK(AH544),"",LARGE(AG543:AG543,1)+1)</f>
        <v/>
      </c>
      <c r="AH544" s="1810"/>
      <c r="AI544" s="1810"/>
      <c r="AJ544" s="1810"/>
      <c r="AK544" s="1398" t="s">
        <v>1354</v>
      </c>
      <c r="AL544" s="232" t="s">
        <v>219</v>
      </c>
      <c r="AM544" s="1401"/>
      <c r="AN544" s="1401"/>
      <c r="AO544" s="1402"/>
      <c r="AP544" s="1400"/>
      <c r="AR544" s="14"/>
      <c r="AS544" s="14"/>
      <c r="AT544" s="14"/>
      <c r="AU544" s="14"/>
      <c r="AV544" s="14"/>
      <c r="AW544" s="14"/>
      <c r="AX544" s="14"/>
      <c r="AY544" s="14"/>
      <c r="AZ544" s="14"/>
      <c r="BA544" s="14"/>
      <c r="BB544" s="1619" t="str">
        <f>IF(ISBLANK(BC544),"",LARGE(BB543:BB543,1)+1)</f>
        <v/>
      </c>
      <c r="BC544" s="1810"/>
      <c r="BD544" s="1810"/>
      <c r="BE544" s="1810"/>
      <c r="BF544" s="1398" t="s">
        <v>1355</v>
      </c>
      <c r="BG544" s="232" t="s">
        <v>219</v>
      </c>
      <c r="BH544" s="1401"/>
      <c r="BI544" s="1401"/>
      <c r="BJ544" s="1402"/>
      <c r="BK544" s="1400"/>
      <c r="BM544" s="3">
        <v>1</v>
      </c>
    </row>
    <row r="545" spans="2:65" ht="21" customHeight="1">
      <c r="B545" s="14"/>
      <c r="C545" s="14"/>
      <c r="D545" s="14"/>
      <c r="E545" s="14"/>
      <c r="F545" s="14"/>
      <c r="G545" s="14"/>
      <c r="H545" s="14"/>
      <c r="I545" s="14"/>
      <c r="J545" s="14"/>
      <c r="K545" s="14"/>
      <c r="L545" s="1619" t="str">
        <f>IF(ISBLANK(M545),"",LARGE(L543:L544,1)+1)</f>
        <v/>
      </c>
      <c r="M545" s="1810"/>
      <c r="N545" s="1810"/>
      <c r="O545" s="1810"/>
      <c r="P545" s="1398" t="s">
        <v>225</v>
      </c>
      <c r="Q545" s="232" t="s">
        <v>219</v>
      </c>
      <c r="R545" s="1401"/>
      <c r="S545" s="1401"/>
      <c r="T545" s="1402"/>
      <c r="U545" s="1400"/>
      <c r="W545" s="14"/>
      <c r="X545" s="14"/>
      <c r="Y545" s="14"/>
      <c r="Z545" s="14"/>
      <c r="AA545" s="14"/>
      <c r="AB545" s="14"/>
      <c r="AC545" s="14"/>
      <c r="AD545" s="14"/>
      <c r="AE545" s="14"/>
      <c r="AF545" s="14"/>
      <c r="AG545" s="1619" t="str">
        <f>IF(ISBLANK(AH545),"",LARGE(AG543:AG544,1)+1)</f>
        <v/>
      </c>
      <c r="AH545" s="1810"/>
      <c r="AI545" s="1810"/>
      <c r="AJ545" s="1810"/>
      <c r="AK545" s="1398" t="s">
        <v>1356</v>
      </c>
      <c r="AL545" s="232" t="s">
        <v>219</v>
      </c>
      <c r="AM545" s="1401"/>
      <c r="AN545" s="1401"/>
      <c r="AO545" s="1402"/>
      <c r="AP545" s="1400"/>
      <c r="AR545" s="14"/>
      <c r="AS545" s="14"/>
      <c r="AT545" s="14"/>
      <c r="AU545" s="14"/>
      <c r="AV545" s="14"/>
      <c r="AW545" s="14"/>
      <c r="AX545" s="14"/>
      <c r="AY545" s="14"/>
      <c r="AZ545" s="14"/>
      <c r="BA545" s="14"/>
      <c r="BB545" s="1619" t="str">
        <f>IF(ISBLANK(BC545),"",LARGE(BB543:BB544,1)+1)</f>
        <v/>
      </c>
      <c r="BC545" s="1810"/>
      <c r="BD545" s="1810"/>
      <c r="BE545" s="1810"/>
      <c r="BF545" s="1398" t="s">
        <v>1357</v>
      </c>
      <c r="BG545" s="232" t="s">
        <v>219</v>
      </c>
      <c r="BH545" s="1401"/>
      <c r="BI545" s="1401"/>
      <c r="BJ545" s="1402"/>
      <c r="BK545" s="1400"/>
      <c r="BM545" s="3">
        <v>1</v>
      </c>
    </row>
    <row r="546" spans="2:65" ht="21" customHeight="1">
      <c r="B546" s="14"/>
      <c r="C546" s="9"/>
      <c r="D546" s="9"/>
      <c r="E546" s="9"/>
      <c r="F546" s="14"/>
      <c r="G546" s="14"/>
      <c r="H546" s="14"/>
      <c r="I546" s="14"/>
      <c r="J546" s="14"/>
      <c r="K546" s="14"/>
      <c r="L546" s="1619" t="str">
        <f>IF(ISBLANK(M546),"",LARGE(L543:L545,1)+1)</f>
        <v/>
      </c>
      <c r="M546" s="1810"/>
      <c r="N546" s="1810"/>
      <c r="O546" s="1810"/>
      <c r="P546" s="1398" t="s">
        <v>228</v>
      </c>
      <c r="Q546" s="232" t="s">
        <v>219</v>
      </c>
      <c r="R546" s="1401"/>
      <c r="S546" s="1401"/>
      <c r="T546" s="1402"/>
      <c r="U546" s="1400"/>
      <c r="W546" s="14"/>
      <c r="X546" s="9"/>
      <c r="Y546" s="9"/>
      <c r="Z546" s="9"/>
      <c r="AA546" s="14"/>
      <c r="AB546" s="14"/>
      <c r="AC546" s="14"/>
      <c r="AD546" s="14"/>
      <c r="AE546" s="14"/>
      <c r="AF546" s="14"/>
      <c r="AG546" s="1619" t="str">
        <f>IF(ISBLANK(AH546),"",LARGE(AG543:AG545,1)+1)</f>
        <v/>
      </c>
      <c r="AH546" s="1810"/>
      <c r="AI546" s="1810"/>
      <c r="AJ546" s="1810"/>
      <c r="AK546" s="1398" t="s">
        <v>1358</v>
      </c>
      <c r="AL546" s="232" t="s">
        <v>219</v>
      </c>
      <c r="AM546" s="1401"/>
      <c r="AN546" s="1401"/>
      <c r="AO546" s="1402"/>
      <c r="AP546" s="1400"/>
      <c r="AR546" s="14"/>
      <c r="AS546" s="9"/>
      <c r="AT546" s="9"/>
      <c r="AU546" s="9"/>
      <c r="AV546" s="14"/>
      <c r="AW546" s="14"/>
      <c r="AX546" s="14"/>
      <c r="AY546" s="14"/>
      <c r="AZ546" s="14"/>
      <c r="BA546" s="14"/>
      <c r="BB546" s="1619" t="str">
        <f>IF(ISBLANK(BC546),"",LARGE(BB543:BB545,1)+1)</f>
        <v/>
      </c>
      <c r="BC546" s="1810"/>
      <c r="BD546" s="1810"/>
      <c r="BE546" s="1810"/>
      <c r="BF546" s="1398" t="s">
        <v>1359</v>
      </c>
      <c r="BG546" s="232" t="s">
        <v>219</v>
      </c>
      <c r="BH546" s="1401"/>
      <c r="BI546" s="1401"/>
      <c r="BJ546" s="1402"/>
      <c r="BK546" s="1400"/>
      <c r="BM546" s="3">
        <v>1</v>
      </c>
    </row>
    <row r="547" spans="2:65" ht="21" customHeight="1">
      <c r="B547" s="14"/>
      <c r="C547" s="9"/>
      <c r="D547" s="9"/>
      <c r="E547" s="9"/>
      <c r="F547" s="14"/>
      <c r="G547" s="14"/>
      <c r="H547" s="14"/>
      <c r="I547" s="14"/>
      <c r="J547" s="14"/>
      <c r="K547" s="14"/>
      <c r="L547" s="1619" t="str">
        <f>IF(ISBLANK(M547),"",LARGE(L543:L546,1)+1)</f>
        <v/>
      </c>
      <c r="M547" s="1810"/>
      <c r="N547" s="1810"/>
      <c r="O547" s="1810"/>
      <c r="P547" s="1398" t="s">
        <v>234</v>
      </c>
      <c r="Q547" s="232" t="s">
        <v>219</v>
      </c>
      <c r="R547" s="1401"/>
      <c r="S547" s="1401"/>
      <c r="T547" s="1402"/>
      <c r="U547" s="1400"/>
      <c r="W547" s="14"/>
      <c r="X547" s="9"/>
      <c r="Y547" s="9"/>
      <c r="Z547" s="9"/>
      <c r="AA547" s="14"/>
      <c r="AB547" s="14"/>
      <c r="AC547" s="14"/>
      <c r="AD547" s="14"/>
      <c r="AE547" s="14"/>
      <c r="AF547" s="14"/>
      <c r="AG547" s="1619" t="str">
        <f>IF(ISBLANK(AH547),"",LARGE(AG543:AG546,1)+1)</f>
        <v/>
      </c>
      <c r="AH547" s="1810"/>
      <c r="AI547" s="1810"/>
      <c r="AJ547" s="1810"/>
      <c r="AK547" s="1398" t="s">
        <v>1360</v>
      </c>
      <c r="AL547" s="232" t="s">
        <v>219</v>
      </c>
      <c r="AM547" s="1401"/>
      <c r="AN547" s="1401"/>
      <c r="AO547" s="1402"/>
      <c r="AP547" s="1400"/>
      <c r="AR547" s="14"/>
      <c r="AS547" s="9"/>
      <c r="AT547" s="9"/>
      <c r="AU547" s="9"/>
      <c r="AV547" s="14"/>
      <c r="AW547" s="14"/>
      <c r="AX547" s="14"/>
      <c r="AY547" s="14"/>
      <c r="AZ547" s="14"/>
      <c r="BA547" s="14"/>
      <c r="BB547" s="1619" t="str">
        <f>IF(ISBLANK(BC547),"",LARGE(BB543:BB546,1)+1)</f>
        <v/>
      </c>
      <c r="BC547" s="1810"/>
      <c r="BD547" s="1810"/>
      <c r="BE547" s="1810"/>
      <c r="BF547" s="1398" t="s">
        <v>1361</v>
      </c>
      <c r="BG547" s="232" t="s">
        <v>219</v>
      </c>
      <c r="BH547" s="1401"/>
      <c r="BI547" s="1401"/>
      <c r="BJ547" s="1402"/>
      <c r="BK547" s="1400"/>
      <c r="BM547" s="3">
        <v>1</v>
      </c>
    </row>
    <row r="548" spans="2:65" ht="21" customHeight="1">
      <c r="B548" s="14"/>
      <c r="C548" s="9"/>
      <c r="D548" s="9"/>
      <c r="E548" s="9"/>
      <c r="F548" s="14"/>
      <c r="G548" s="14"/>
      <c r="H548" s="14"/>
      <c r="I548" s="14"/>
      <c r="J548" s="14"/>
      <c r="K548" s="14"/>
      <c r="L548" s="1619" t="str">
        <f>IF(ISBLANK(M548),"",LARGE(L543:L547,1)+1)</f>
        <v/>
      </c>
      <c r="M548" s="1810"/>
      <c r="N548" s="1810"/>
      <c r="O548" s="1810"/>
      <c r="P548" s="1403" t="s">
        <v>237</v>
      </c>
      <c r="Q548" s="232" t="s">
        <v>219</v>
      </c>
      <c r="R548" s="1401"/>
      <c r="S548" s="1401"/>
      <c r="T548" s="1402"/>
      <c r="U548" s="1400"/>
      <c r="W548" s="14"/>
      <c r="X548" s="9"/>
      <c r="Y548" s="9"/>
      <c r="Z548" s="9"/>
      <c r="AA548" s="14"/>
      <c r="AB548" s="14"/>
      <c r="AC548" s="14"/>
      <c r="AD548" s="14"/>
      <c r="AE548" s="14"/>
      <c r="AF548" s="14"/>
      <c r="AG548" s="1619" t="str">
        <f>IF(ISBLANK(AH548),"",LARGE(AG543:AG547,1)+1)</f>
        <v/>
      </c>
      <c r="AH548" s="1810"/>
      <c r="AI548" s="1810"/>
      <c r="AJ548" s="1810"/>
      <c r="AK548" s="1403" t="s">
        <v>1362</v>
      </c>
      <c r="AL548" s="232" t="s">
        <v>219</v>
      </c>
      <c r="AM548" s="1401"/>
      <c r="AN548" s="1401"/>
      <c r="AO548" s="1402"/>
      <c r="AP548" s="1400"/>
      <c r="AR548" s="14"/>
      <c r="AS548" s="9"/>
      <c r="AT548" s="9"/>
      <c r="AU548" s="9"/>
      <c r="AV548" s="14"/>
      <c r="AW548" s="14"/>
      <c r="AX548" s="14"/>
      <c r="AY548" s="14"/>
      <c r="AZ548" s="14"/>
      <c r="BA548" s="14"/>
      <c r="BB548" s="1619" t="str">
        <f>IF(ISBLANK(BC548),"",LARGE(BB543:BB547,1)+1)</f>
        <v/>
      </c>
      <c r="BC548" s="1810"/>
      <c r="BD548" s="1810"/>
      <c r="BE548" s="1810"/>
      <c r="BF548" s="1403" t="s">
        <v>1363</v>
      </c>
      <c r="BG548" s="232" t="s">
        <v>219</v>
      </c>
      <c r="BH548" s="1401"/>
      <c r="BI548" s="1401"/>
      <c r="BJ548" s="1402"/>
      <c r="BK548" s="1400"/>
      <c r="BM548" s="3">
        <v>1</v>
      </c>
    </row>
    <row r="549" spans="2:65" ht="21" customHeight="1">
      <c r="B549" s="14"/>
      <c r="C549" s="9"/>
      <c r="D549" s="9"/>
      <c r="E549" s="9"/>
      <c r="F549" s="14"/>
      <c r="G549" s="14"/>
      <c r="H549" s="14"/>
      <c r="I549" s="14"/>
      <c r="J549" s="14"/>
      <c r="K549" s="14"/>
      <c r="L549" s="1619" t="str">
        <f>IF(ISBLANK(M549),"",LARGE(L543:L548,1)+1)</f>
        <v/>
      </c>
      <c r="M549" s="1810"/>
      <c r="N549" s="1810"/>
      <c r="O549" s="1810"/>
      <c r="P549" s="1398" t="s">
        <v>240</v>
      </c>
      <c r="Q549" s="232" t="s">
        <v>219</v>
      </c>
      <c r="R549" s="1401"/>
      <c r="S549" s="1401"/>
      <c r="T549" s="1402"/>
      <c r="U549" s="1400"/>
      <c r="W549" s="14"/>
      <c r="X549" s="9"/>
      <c r="Y549" s="9"/>
      <c r="Z549" s="9"/>
      <c r="AA549" s="14"/>
      <c r="AB549" s="14"/>
      <c r="AC549" s="14"/>
      <c r="AD549" s="14"/>
      <c r="AE549" s="14"/>
      <c r="AF549" s="14"/>
      <c r="AG549" s="1619" t="str">
        <f>IF(ISBLANK(AH549),"",LARGE(AG543:AG548,1)+1)</f>
        <v/>
      </c>
      <c r="AH549" s="1810"/>
      <c r="AI549" s="1810"/>
      <c r="AJ549" s="1810"/>
      <c r="AK549" s="1398" t="s">
        <v>1364</v>
      </c>
      <c r="AL549" s="232" t="s">
        <v>219</v>
      </c>
      <c r="AM549" s="1401"/>
      <c r="AN549" s="1401"/>
      <c r="AO549" s="1402"/>
      <c r="AP549" s="1400"/>
      <c r="AR549" s="14"/>
      <c r="AS549" s="9"/>
      <c r="AT549" s="9"/>
      <c r="AU549" s="9"/>
      <c r="AV549" s="14"/>
      <c r="AW549" s="14"/>
      <c r="AX549" s="14"/>
      <c r="AY549" s="14"/>
      <c r="AZ549" s="14"/>
      <c r="BA549" s="14"/>
      <c r="BB549" s="1619" t="str">
        <f>IF(ISBLANK(BC549),"",LARGE(BB543:BB548,1)+1)</f>
        <v/>
      </c>
      <c r="BC549" s="1810"/>
      <c r="BD549" s="1810"/>
      <c r="BE549" s="1810"/>
      <c r="BF549" s="1398" t="s">
        <v>1365</v>
      </c>
      <c r="BG549" s="232" t="s">
        <v>219</v>
      </c>
      <c r="BH549" s="1401"/>
      <c r="BI549" s="1401"/>
      <c r="BJ549" s="1402"/>
      <c r="BK549" s="1400"/>
      <c r="BM549" s="3">
        <v>1</v>
      </c>
    </row>
    <row r="550" spans="2:65" ht="21" customHeight="1">
      <c r="B550" s="14"/>
      <c r="C550" s="9"/>
      <c r="D550" s="9"/>
      <c r="E550" s="9"/>
      <c r="F550" s="14"/>
      <c r="G550" s="14"/>
      <c r="H550" s="14"/>
      <c r="I550" s="14"/>
      <c r="J550" s="14"/>
      <c r="K550" s="14"/>
      <c r="L550" s="1619" t="str">
        <f>IF(ISBLANK(M550),"",LARGE(L543:L549,1)+1)</f>
        <v/>
      </c>
      <c r="M550" s="1810"/>
      <c r="N550" s="1810"/>
      <c r="O550" s="1810"/>
      <c r="P550" s="1398" t="s">
        <v>241</v>
      </c>
      <c r="Q550" s="232" t="s">
        <v>219</v>
      </c>
      <c r="R550" s="1401"/>
      <c r="S550" s="1401"/>
      <c r="T550" s="1402"/>
      <c r="U550" s="1400"/>
      <c r="W550" s="14"/>
      <c r="X550" s="9"/>
      <c r="Y550" s="9"/>
      <c r="Z550" s="9"/>
      <c r="AA550" s="14"/>
      <c r="AB550" s="14"/>
      <c r="AC550" s="14"/>
      <c r="AD550" s="14"/>
      <c r="AE550" s="14"/>
      <c r="AF550" s="14"/>
      <c r="AG550" s="1619" t="str">
        <f>IF(ISBLANK(AH550),"",LARGE(AG543:AG549,1)+1)</f>
        <v/>
      </c>
      <c r="AH550" s="1810"/>
      <c r="AI550" s="1810"/>
      <c r="AJ550" s="1810"/>
      <c r="AK550" s="1398" t="s">
        <v>1366</v>
      </c>
      <c r="AL550" s="232" t="s">
        <v>219</v>
      </c>
      <c r="AM550" s="1401"/>
      <c r="AN550" s="1401"/>
      <c r="AO550" s="1402"/>
      <c r="AP550" s="1400"/>
      <c r="AR550" s="14"/>
      <c r="AS550" s="9"/>
      <c r="AT550" s="9"/>
      <c r="AU550" s="9"/>
      <c r="AV550" s="14"/>
      <c r="AW550" s="14"/>
      <c r="AX550" s="14"/>
      <c r="AY550" s="14"/>
      <c r="AZ550" s="14"/>
      <c r="BA550" s="14"/>
      <c r="BB550" s="1619" t="str">
        <f>IF(ISBLANK(BC550),"",LARGE(BB543:BB549,1)+1)</f>
        <v/>
      </c>
      <c r="BC550" s="1810"/>
      <c r="BD550" s="1810"/>
      <c r="BE550" s="1810"/>
      <c r="BF550" s="1398" t="s">
        <v>1367</v>
      </c>
      <c r="BG550" s="232" t="s">
        <v>219</v>
      </c>
      <c r="BH550" s="1401"/>
      <c r="BI550" s="1401"/>
      <c r="BJ550" s="1402"/>
      <c r="BK550" s="1400"/>
      <c r="BM550" s="3">
        <v>1</v>
      </c>
    </row>
    <row r="551" spans="2:65" ht="21" customHeight="1">
      <c r="B551" s="14"/>
      <c r="C551" s="9"/>
      <c r="D551" s="9"/>
      <c r="E551" s="9"/>
      <c r="F551" s="14"/>
      <c r="G551" s="14"/>
      <c r="H551" s="14"/>
      <c r="I551" s="14"/>
      <c r="J551" s="14"/>
      <c r="K551" s="14"/>
      <c r="L551" s="1619" t="str">
        <f>IF(ISBLANK(M551),"",LARGE(L543:L550,1)+1)</f>
        <v/>
      </c>
      <c r="M551" s="1810"/>
      <c r="N551" s="1810"/>
      <c r="O551" s="1810"/>
      <c r="P551" s="1398" t="s">
        <v>251</v>
      </c>
      <c r="Q551" s="232" t="s">
        <v>219</v>
      </c>
      <c r="R551" s="1401"/>
      <c r="S551" s="1401"/>
      <c r="T551" s="1402"/>
      <c r="U551" s="1400"/>
      <c r="W551" s="14"/>
      <c r="X551" s="9"/>
      <c r="Y551" s="9"/>
      <c r="Z551" s="9"/>
      <c r="AA551" s="14"/>
      <c r="AB551" s="14"/>
      <c r="AC551" s="14"/>
      <c r="AD551" s="14"/>
      <c r="AE551" s="14"/>
      <c r="AF551" s="14"/>
      <c r="AG551" s="1619" t="str">
        <f>IF(ISBLANK(AH551),"",LARGE(AG543:AG550,1)+1)</f>
        <v/>
      </c>
      <c r="AH551" s="1810"/>
      <c r="AI551" s="1810"/>
      <c r="AJ551" s="1810"/>
      <c r="AK551" s="1398" t="s">
        <v>1368</v>
      </c>
      <c r="AL551" s="232" t="s">
        <v>219</v>
      </c>
      <c r="AM551" s="1401"/>
      <c r="AN551" s="1401"/>
      <c r="AO551" s="1402"/>
      <c r="AP551" s="1400"/>
      <c r="AR551" s="14"/>
      <c r="AS551" s="9"/>
      <c r="AT551" s="9"/>
      <c r="AU551" s="9"/>
      <c r="AV551" s="14"/>
      <c r="AW551" s="14"/>
      <c r="AX551" s="14"/>
      <c r="AY551" s="14"/>
      <c r="AZ551" s="14"/>
      <c r="BA551" s="14"/>
      <c r="BB551" s="1619" t="str">
        <f>IF(ISBLANK(BC551),"",LARGE(BB543:BB550,1)+1)</f>
        <v/>
      </c>
      <c r="BC551" s="1810"/>
      <c r="BD551" s="1810"/>
      <c r="BE551" s="1810"/>
      <c r="BF551" s="1398" t="s">
        <v>1369</v>
      </c>
      <c r="BG551" s="232" t="s">
        <v>219</v>
      </c>
      <c r="BH551" s="1401"/>
      <c r="BI551" s="1401"/>
      <c r="BJ551" s="1402"/>
      <c r="BK551" s="1400"/>
      <c r="BM551" s="3">
        <v>1</v>
      </c>
    </row>
    <row r="552" spans="2:65" ht="21" customHeight="1">
      <c r="B552" s="14"/>
      <c r="C552" s="9"/>
      <c r="D552" s="9"/>
      <c r="E552" s="9"/>
      <c r="F552" s="14"/>
      <c r="G552" s="14"/>
      <c r="H552" s="14"/>
      <c r="I552" s="14"/>
      <c r="J552" s="14"/>
      <c r="K552" s="14"/>
      <c r="L552" s="1619" t="str">
        <f>IF(ISBLANK(M552),"",LARGE(L543:L551,1)+1)</f>
        <v/>
      </c>
      <c r="M552" s="1810"/>
      <c r="N552" s="1810"/>
      <c r="O552" s="1810"/>
      <c r="P552" s="1398" t="s">
        <v>252</v>
      </c>
      <c r="Q552" s="232" t="s">
        <v>219</v>
      </c>
      <c r="R552" s="1401"/>
      <c r="S552" s="1401"/>
      <c r="T552" s="1402"/>
      <c r="U552" s="1400"/>
      <c r="W552" s="14"/>
      <c r="X552" s="9"/>
      <c r="Y552" s="9"/>
      <c r="Z552" s="9"/>
      <c r="AA552" s="14"/>
      <c r="AB552" s="14"/>
      <c r="AC552" s="14"/>
      <c r="AD552" s="14"/>
      <c r="AE552" s="14"/>
      <c r="AF552" s="14"/>
      <c r="AG552" s="1619" t="str">
        <f>IF(ISBLANK(AH552),"",LARGE(AG543:AG551,1)+1)</f>
        <v/>
      </c>
      <c r="AH552" s="1810"/>
      <c r="AI552" s="1810"/>
      <c r="AJ552" s="1810"/>
      <c r="AK552" s="1398" t="s">
        <v>1370</v>
      </c>
      <c r="AL552" s="232" t="s">
        <v>219</v>
      </c>
      <c r="AM552" s="1401"/>
      <c r="AN552" s="1401"/>
      <c r="AO552" s="1402"/>
      <c r="AP552" s="1400"/>
      <c r="AR552" s="14"/>
      <c r="AS552" s="9"/>
      <c r="AT552" s="9"/>
      <c r="AU552" s="9"/>
      <c r="AV552" s="14"/>
      <c r="AW552" s="14"/>
      <c r="AX552" s="14"/>
      <c r="AY552" s="14"/>
      <c r="AZ552" s="14"/>
      <c r="BA552" s="14"/>
      <c r="BB552" s="1619" t="str">
        <f>IF(ISBLANK(BC552),"",LARGE(BB543:BB551,1)+1)</f>
        <v/>
      </c>
      <c r="BC552" s="1810"/>
      <c r="BD552" s="1810"/>
      <c r="BE552" s="1810"/>
      <c r="BF552" s="1398" t="s">
        <v>1371</v>
      </c>
      <c r="BG552" s="232" t="s">
        <v>219</v>
      </c>
      <c r="BH552" s="1401"/>
      <c r="BI552" s="1401"/>
      <c r="BJ552" s="1402"/>
      <c r="BK552" s="1400"/>
      <c r="BM552" s="3">
        <v>1</v>
      </c>
    </row>
    <row r="553" spans="2:65" ht="21" customHeight="1">
      <c r="B553" s="14"/>
      <c r="C553" s="9"/>
      <c r="D553" s="9"/>
      <c r="E553" s="9"/>
      <c r="F553" s="14"/>
      <c r="G553" s="14"/>
      <c r="H553" s="14"/>
      <c r="I553" s="14"/>
      <c r="J553" s="14"/>
      <c r="K553" s="14"/>
      <c r="L553" s="1619" t="str">
        <f>IF(ISBLANK(M553),"",LARGE(L543:L552,1)+1)</f>
        <v/>
      </c>
      <c r="M553" s="1810"/>
      <c r="N553" s="1810"/>
      <c r="O553" s="1810"/>
      <c r="P553" s="1398" t="s">
        <v>253</v>
      </c>
      <c r="Q553" s="232" t="s">
        <v>219</v>
      </c>
      <c r="R553" s="1401"/>
      <c r="S553" s="1401"/>
      <c r="T553" s="1402"/>
      <c r="U553" s="1400"/>
      <c r="W553" s="14"/>
      <c r="X553" s="9"/>
      <c r="Y553" s="9"/>
      <c r="Z553" s="9"/>
      <c r="AA553" s="14"/>
      <c r="AB553" s="14"/>
      <c r="AC553" s="14"/>
      <c r="AD553" s="14"/>
      <c r="AE553" s="14"/>
      <c r="AF553" s="14"/>
      <c r="AG553" s="1619" t="str">
        <f>IF(ISBLANK(AH553),"",LARGE(AG543:AG552,1)+1)</f>
        <v/>
      </c>
      <c r="AH553" s="1810"/>
      <c r="AI553" s="1810"/>
      <c r="AJ553" s="1810"/>
      <c r="AK553" s="1398" t="s">
        <v>1372</v>
      </c>
      <c r="AL553" s="232" t="s">
        <v>219</v>
      </c>
      <c r="AM553" s="1401"/>
      <c r="AN553" s="1401"/>
      <c r="AO553" s="1402"/>
      <c r="AP553" s="1400"/>
      <c r="AR553" s="14"/>
      <c r="AS553" s="9"/>
      <c r="AT553" s="9"/>
      <c r="AU553" s="9"/>
      <c r="AV553" s="14"/>
      <c r="AW553" s="14"/>
      <c r="AX553" s="14"/>
      <c r="AY553" s="14"/>
      <c r="AZ553" s="14"/>
      <c r="BA553" s="14"/>
      <c r="BB553" s="1619" t="str">
        <f>IF(ISBLANK(BC553),"",LARGE(BB543:BB552,1)+1)</f>
        <v/>
      </c>
      <c r="BC553" s="1810"/>
      <c r="BD553" s="1810"/>
      <c r="BE553" s="1810"/>
      <c r="BF553" s="1398" t="s">
        <v>1373</v>
      </c>
      <c r="BG553" s="232" t="s">
        <v>219</v>
      </c>
      <c r="BH553" s="1401"/>
      <c r="BI553" s="1401"/>
      <c r="BJ553" s="1402"/>
      <c r="BK553" s="1400"/>
      <c r="BM553" s="3">
        <v>1</v>
      </c>
    </row>
    <row r="554" spans="2:65" ht="21" customHeight="1">
      <c r="B554" s="14"/>
      <c r="C554" s="9"/>
      <c r="D554" s="9"/>
      <c r="E554" s="9"/>
      <c r="F554" s="14"/>
      <c r="G554" s="14"/>
      <c r="H554" s="14"/>
      <c r="I554" s="14"/>
      <c r="J554" s="14"/>
      <c r="K554" s="14"/>
      <c r="L554" s="1619" t="str">
        <f>IF(ISBLANK(M554),"",LARGE(L543:L553,1)+1)</f>
        <v/>
      </c>
      <c r="M554" s="1810"/>
      <c r="N554" s="1810"/>
      <c r="O554" s="1810"/>
      <c r="P554" s="1398" t="s">
        <v>254</v>
      </c>
      <c r="Q554" s="232" t="s">
        <v>219</v>
      </c>
      <c r="R554" s="1401"/>
      <c r="S554" s="1401"/>
      <c r="T554" s="1402"/>
      <c r="U554" s="1400"/>
      <c r="W554" s="14"/>
      <c r="X554" s="9"/>
      <c r="Y554" s="9"/>
      <c r="Z554" s="9"/>
      <c r="AA554" s="14"/>
      <c r="AB554" s="14"/>
      <c r="AC554" s="14"/>
      <c r="AD554" s="14"/>
      <c r="AE554" s="14"/>
      <c r="AF554" s="14"/>
      <c r="AG554" s="1619" t="str">
        <f>IF(ISBLANK(AH554),"",LARGE(AG543:AG553,1)+1)</f>
        <v/>
      </c>
      <c r="AH554" s="1810"/>
      <c r="AI554" s="1810"/>
      <c r="AJ554" s="1810"/>
      <c r="AK554" s="1398" t="s">
        <v>1374</v>
      </c>
      <c r="AL554" s="232" t="s">
        <v>219</v>
      </c>
      <c r="AM554" s="1401"/>
      <c r="AN554" s="1401"/>
      <c r="AO554" s="1402"/>
      <c r="AP554" s="1400"/>
      <c r="AR554" s="14"/>
      <c r="AS554" s="9"/>
      <c r="AT554" s="9"/>
      <c r="AU554" s="9"/>
      <c r="AV554" s="14"/>
      <c r="AW554" s="14"/>
      <c r="AX554" s="14"/>
      <c r="AY554" s="14"/>
      <c r="AZ554" s="14"/>
      <c r="BA554" s="14"/>
      <c r="BB554" s="1619" t="str">
        <f>IF(ISBLANK(BC554),"",LARGE(BB543:BB553,1)+1)</f>
        <v/>
      </c>
      <c r="BC554" s="1810"/>
      <c r="BD554" s="1810"/>
      <c r="BE554" s="1810"/>
      <c r="BF554" s="1398" t="s">
        <v>1375</v>
      </c>
      <c r="BG554" s="232" t="s">
        <v>219</v>
      </c>
      <c r="BH554" s="1401"/>
      <c r="BI554" s="1401"/>
      <c r="BJ554" s="1402"/>
      <c r="BK554" s="1400"/>
      <c r="BM554" s="3">
        <v>1</v>
      </c>
    </row>
    <row r="555" spans="2:65" ht="21" customHeight="1">
      <c r="B555" s="14"/>
      <c r="C555" s="9"/>
      <c r="D555" s="9"/>
      <c r="E555" s="9"/>
      <c r="F555" s="14"/>
      <c r="G555" s="14"/>
      <c r="H555" s="14"/>
      <c r="I555" s="14"/>
      <c r="J555" s="14"/>
      <c r="K555" s="14"/>
      <c r="L555" s="1619" t="str">
        <f>IF(ISBLANK(M555),"",LARGE(L543:L554,1)+1)</f>
        <v/>
      </c>
      <c r="M555" s="1810"/>
      <c r="N555" s="1810"/>
      <c r="O555" s="1810"/>
      <c r="P555" s="1398" t="s">
        <v>257</v>
      </c>
      <c r="Q555" s="232" t="s">
        <v>219</v>
      </c>
      <c r="R555" s="1401"/>
      <c r="S555" s="1401"/>
      <c r="T555" s="1402"/>
      <c r="U555" s="1400"/>
      <c r="W555" s="14"/>
      <c r="X555" s="9"/>
      <c r="Y555" s="9"/>
      <c r="Z555" s="9"/>
      <c r="AA555" s="14"/>
      <c r="AB555" s="14"/>
      <c r="AC555" s="14"/>
      <c r="AD555" s="14"/>
      <c r="AE555" s="14"/>
      <c r="AF555" s="14"/>
      <c r="AG555" s="1619" t="str">
        <f>IF(ISBLANK(AH555),"",LARGE(AG543:AG554,1)+1)</f>
        <v/>
      </c>
      <c r="AH555" s="1810"/>
      <c r="AI555" s="1810"/>
      <c r="AJ555" s="1810"/>
      <c r="AK555" s="1398" t="s">
        <v>1376</v>
      </c>
      <c r="AL555" s="232" t="s">
        <v>219</v>
      </c>
      <c r="AM555" s="1401"/>
      <c r="AN555" s="1401"/>
      <c r="AO555" s="1402"/>
      <c r="AP555" s="1400"/>
      <c r="AR555" s="14"/>
      <c r="AS555" s="9"/>
      <c r="AT555" s="9"/>
      <c r="AU555" s="9"/>
      <c r="AV555" s="14"/>
      <c r="AW555" s="14"/>
      <c r="AX555" s="14"/>
      <c r="AY555" s="14"/>
      <c r="AZ555" s="14"/>
      <c r="BA555" s="14"/>
      <c r="BB555" s="1619" t="str">
        <f>IF(ISBLANK(BC555),"",LARGE(BB543:BB554,1)+1)</f>
        <v/>
      </c>
      <c r="BC555" s="1810"/>
      <c r="BD555" s="1810"/>
      <c r="BE555" s="1810"/>
      <c r="BF555" s="1398" t="s">
        <v>1377</v>
      </c>
      <c r="BG555" s="232" t="s">
        <v>219</v>
      </c>
      <c r="BH555" s="1401"/>
      <c r="BI555" s="1401"/>
      <c r="BJ555" s="1402"/>
      <c r="BK555" s="1400"/>
      <c r="BM555" s="3">
        <v>1</v>
      </c>
    </row>
    <row r="556" spans="2:65" ht="21" customHeight="1">
      <c r="B556" s="14"/>
      <c r="C556" s="9"/>
      <c r="D556" s="9"/>
      <c r="E556" s="9"/>
      <c r="F556" s="14"/>
      <c r="G556" s="14"/>
      <c r="H556" s="14"/>
      <c r="I556" s="14"/>
      <c r="J556" s="14"/>
      <c r="K556" s="14"/>
      <c r="L556" s="1619" t="str">
        <f>IF(ISBLANK(M556),"",LARGE(L543:L555,1)+1)</f>
        <v/>
      </c>
      <c r="M556" s="1810"/>
      <c r="N556" s="1810"/>
      <c r="O556" s="1810"/>
      <c r="P556" s="1810"/>
      <c r="Q556" s="1404" t="s">
        <v>8159</v>
      </c>
      <c r="T556" s="1405"/>
      <c r="U556" s="1406" t="s">
        <v>8159</v>
      </c>
      <c r="W556" s="14"/>
      <c r="X556" s="9"/>
      <c r="Y556" s="9"/>
      <c r="Z556" s="9"/>
      <c r="AA556" s="14"/>
      <c r="AB556" s="14"/>
      <c r="AC556" s="14"/>
      <c r="AD556" s="14"/>
      <c r="AE556" s="14"/>
      <c r="AF556" s="14"/>
      <c r="AG556" s="1619" t="str">
        <f>IF(ISBLANK(AH556),"",LARGE(AG543:AG555,1)+1)</f>
        <v/>
      </c>
      <c r="AH556" s="1810"/>
      <c r="AI556" s="1810"/>
      <c r="AJ556" s="1810"/>
      <c r="AK556" s="1810"/>
      <c r="AL556" s="1404" t="s">
        <v>8159</v>
      </c>
      <c r="AM556" s="227"/>
      <c r="AN556" s="227"/>
      <c r="AO556" s="1405"/>
      <c r="AP556" s="1406" t="s">
        <v>8159</v>
      </c>
      <c r="AR556" s="14"/>
      <c r="AS556" s="9"/>
      <c r="AT556" s="9"/>
      <c r="AU556" s="9"/>
      <c r="AV556" s="14"/>
      <c r="AW556" s="14"/>
      <c r="AX556" s="14"/>
      <c r="AY556" s="14"/>
      <c r="AZ556" s="14"/>
      <c r="BA556" s="14"/>
      <c r="BB556" s="1619" t="str">
        <f>IF(ISBLANK(BC556),"",LARGE(BB543:BB555,1)+1)</f>
        <v/>
      </c>
      <c r="BC556" s="1810"/>
      <c r="BD556" s="1810"/>
      <c r="BE556" s="1810"/>
      <c r="BF556" s="1810"/>
      <c r="BG556" s="1404" t="s">
        <v>8159</v>
      </c>
      <c r="BH556" s="227"/>
      <c r="BI556" s="227"/>
      <c r="BJ556" s="1405"/>
      <c r="BK556" s="1406" t="s">
        <v>8159</v>
      </c>
      <c r="BM556" s="3">
        <v>1</v>
      </c>
    </row>
    <row r="557" spans="2:65" ht="21" customHeight="1">
      <c r="B557" s="14"/>
      <c r="C557" s="9"/>
      <c r="D557" s="9"/>
      <c r="E557" s="9"/>
      <c r="F557" s="14"/>
      <c r="G557" s="14"/>
      <c r="H557" s="14"/>
      <c r="I557" s="14"/>
      <c r="J557" s="14"/>
      <c r="K557" s="14"/>
      <c r="L557" s="1619" t="str">
        <f>IF(ISBLANK(M557),"",LARGE(L543:L556,1)+1)</f>
        <v/>
      </c>
      <c r="M557" s="1810"/>
      <c r="N557" s="1810"/>
      <c r="O557" s="1810"/>
      <c r="P557" s="1810"/>
      <c r="Q557" s="436"/>
      <c r="R557" s="436"/>
      <c r="S557" s="436"/>
      <c r="T557" s="348"/>
      <c r="U557" s="1407"/>
      <c r="W557" s="14"/>
      <c r="X557" s="9"/>
      <c r="Y557" s="9"/>
      <c r="Z557" s="9"/>
      <c r="AA557" s="14"/>
      <c r="AB557" s="14"/>
      <c r="AC557" s="14"/>
      <c r="AD557" s="14"/>
      <c r="AE557" s="14"/>
      <c r="AF557" s="14"/>
      <c r="AG557" s="1619" t="str">
        <f>IF(ISBLANK(AH557),"",LARGE(AG543:AG556,1)+1)</f>
        <v/>
      </c>
      <c r="AH557" s="1810"/>
      <c r="AI557" s="1810"/>
      <c r="AJ557" s="1810"/>
      <c r="AK557" s="1810"/>
      <c r="AL557" s="436"/>
      <c r="AM557" s="436"/>
      <c r="AN557" s="436"/>
      <c r="AO557" s="348"/>
      <c r="AP557" s="1407"/>
      <c r="AR557" s="14"/>
      <c r="AS557" s="9"/>
      <c r="AT557" s="9"/>
      <c r="AU557" s="9"/>
      <c r="AV557" s="14"/>
      <c r="AW557" s="14"/>
      <c r="AX557" s="14"/>
      <c r="AY557" s="14"/>
      <c r="AZ557" s="14"/>
      <c r="BA557" s="14"/>
      <c r="BB557" s="1619" t="str">
        <f>IF(ISBLANK(BC557),"",LARGE(BB543:BB556,1)+1)</f>
        <v/>
      </c>
      <c r="BC557" s="1810"/>
      <c r="BD557" s="1810"/>
      <c r="BE557" s="1810"/>
      <c r="BF557" s="1810"/>
      <c r="BG557" s="436"/>
      <c r="BH557" s="436"/>
      <c r="BI557" s="436"/>
      <c r="BJ557" s="348"/>
      <c r="BK557" s="1407"/>
      <c r="BM557" s="3">
        <v>1</v>
      </c>
    </row>
    <row r="558" spans="2:65" ht="21" customHeight="1">
      <c r="B558" s="14"/>
      <c r="C558" s="9"/>
      <c r="D558" s="9"/>
      <c r="E558" s="9"/>
      <c r="F558" s="14"/>
      <c r="G558" s="14"/>
      <c r="H558" s="14"/>
      <c r="I558" s="14"/>
      <c r="J558" s="14"/>
      <c r="K558" s="14"/>
      <c r="L558" s="1619" t="str">
        <f>IF(ISBLANK(M558),"",LARGE(L543:L557,1)+1)</f>
        <v/>
      </c>
      <c r="M558" s="1810"/>
      <c r="N558" s="1810"/>
      <c r="O558" s="1810"/>
      <c r="P558" s="1810"/>
      <c r="Q558" s="436"/>
      <c r="R558" s="436"/>
      <c r="S558" s="436"/>
      <c r="T558" s="348"/>
      <c r="U558" s="1407"/>
      <c r="W558" s="14"/>
      <c r="X558" s="9"/>
      <c r="Y558" s="9"/>
      <c r="Z558" s="9"/>
      <c r="AA558" s="14"/>
      <c r="AB558" s="14"/>
      <c r="AC558" s="14"/>
      <c r="AD558" s="14"/>
      <c r="AE558" s="14"/>
      <c r="AF558" s="14"/>
      <c r="AG558" s="1619" t="str">
        <f>IF(ISBLANK(AH558),"",LARGE(AG543:AG557,1)+1)</f>
        <v/>
      </c>
      <c r="AH558" s="1810"/>
      <c r="AI558" s="1810"/>
      <c r="AJ558" s="1810"/>
      <c r="AK558" s="1810"/>
      <c r="AL558" s="436"/>
      <c r="AM558" s="436"/>
      <c r="AN558" s="436"/>
      <c r="AO558" s="348"/>
      <c r="AP558" s="1407"/>
      <c r="AR558" s="14"/>
      <c r="AS558" s="9"/>
      <c r="AT558" s="9"/>
      <c r="AU558" s="9"/>
      <c r="AV558" s="14"/>
      <c r="AW558" s="14"/>
      <c r="AX558" s="14"/>
      <c r="AY558" s="14"/>
      <c r="AZ558" s="14"/>
      <c r="BA558" s="14"/>
      <c r="BB558" s="1619" t="str">
        <f>IF(ISBLANK(BC558),"",LARGE(BB543:BB557,1)+1)</f>
        <v/>
      </c>
      <c r="BC558" s="1810"/>
      <c r="BD558" s="1810"/>
      <c r="BE558" s="1810"/>
      <c r="BF558" s="1810"/>
      <c r="BG558" s="436"/>
      <c r="BH558" s="436"/>
      <c r="BI558" s="436"/>
      <c r="BJ558" s="348"/>
      <c r="BK558" s="1407"/>
      <c r="BM558" s="3">
        <v>1</v>
      </c>
    </row>
    <row r="559" spans="2:65" ht="21" customHeight="1">
      <c r="B559" s="14"/>
      <c r="C559" s="9"/>
      <c r="D559" s="9"/>
      <c r="E559" s="9"/>
      <c r="F559" s="14"/>
      <c r="G559" s="14"/>
      <c r="H559" s="14"/>
      <c r="I559" s="14"/>
      <c r="J559" s="14"/>
      <c r="K559" s="14"/>
      <c r="L559" s="1619" t="str">
        <f>IF(ISBLANK(M559),"",LARGE(L543:L558,1)+1)</f>
        <v/>
      </c>
      <c r="M559" s="1810"/>
      <c r="N559" s="1810"/>
      <c r="O559" s="1810"/>
      <c r="P559" s="1810"/>
      <c r="Q559" s="436"/>
      <c r="R559" s="436"/>
      <c r="S559" s="436"/>
      <c r="T559" s="348"/>
      <c r="U559" s="1407" t="s">
        <v>196</v>
      </c>
      <c r="W559" s="14"/>
      <c r="X559" s="9"/>
      <c r="Y559" s="9"/>
      <c r="Z559" s="9"/>
      <c r="AA559" s="14"/>
      <c r="AB559" s="14"/>
      <c r="AC559" s="14"/>
      <c r="AD559" s="14"/>
      <c r="AE559" s="14"/>
      <c r="AF559" s="14"/>
      <c r="AG559" s="1619" t="str">
        <f>IF(ISBLANK(AH559),"",LARGE(AG543:AG558,1)+1)</f>
        <v/>
      </c>
      <c r="AH559" s="1810"/>
      <c r="AI559" s="1810"/>
      <c r="AJ559" s="1810"/>
      <c r="AK559" s="1810"/>
      <c r="AL559" s="436"/>
      <c r="AM559" s="436"/>
      <c r="AN559" s="436"/>
      <c r="AO559" s="348"/>
      <c r="AP559" s="1407" t="s">
        <v>879</v>
      </c>
      <c r="AR559" s="14"/>
      <c r="AS559" s="9"/>
      <c r="AT559" s="9"/>
      <c r="AU559" s="9"/>
      <c r="AV559" s="14"/>
      <c r="AW559" s="14"/>
      <c r="AX559" s="14"/>
      <c r="AY559" s="14"/>
      <c r="AZ559" s="14"/>
      <c r="BA559" s="14"/>
      <c r="BB559" s="1619" t="str">
        <f>IF(ISBLANK(BC559),"",LARGE(BB543:BB558,1)+1)</f>
        <v/>
      </c>
      <c r="BC559" s="1810"/>
      <c r="BD559" s="1810"/>
      <c r="BE559" s="1810"/>
      <c r="BF559" s="1810"/>
      <c r="BG559" s="436"/>
      <c r="BH559" s="436"/>
      <c r="BI559" s="436"/>
      <c r="BJ559" s="348"/>
      <c r="BK559" s="1407" t="s">
        <v>879</v>
      </c>
      <c r="BM559" s="3">
        <v>1</v>
      </c>
    </row>
    <row r="560" spans="2:65" ht="21" customHeight="1">
      <c r="B560" s="14"/>
      <c r="C560" s="9"/>
      <c r="D560" s="9"/>
      <c r="E560" s="9"/>
      <c r="F560" s="14"/>
      <c r="G560" s="14"/>
      <c r="H560" s="14"/>
      <c r="I560" s="14"/>
      <c r="J560" s="14"/>
      <c r="K560" s="14"/>
      <c r="L560" s="1394"/>
      <c r="M560" s="1840" t="s">
        <v>821</v>
      </c>
      <c r="N560" s="1841"/>
      <c r="O560" s="1842"/>
      <c r="P560" s="1842"/>
      <c r="Q560" s="1842"/>
      <c r="R560" s="1842"/>
      <c r="S560" s="1842"/>
      <c r="T560" s="1842"/>
      <c r="U560" s="1843"/>
      <c r="W560" s="14"/>
      <c r="X560" s="9"/>
      <c r="Y560" s="9"/>
      <c r="Z560" s="9"/>
      <c r="AA560" s="14"/>
      <c r="AB560" s="14"/>
      <c r="AC560" s="14"/>
      <c r="AD560" s="14"/>
      <c r="AE560" s="14"/>
      <c r="AF560" s="14"/>
      <c r="AG560" s="1394"/>
      <c r="AH560" s="1840" t="s">
        <v>860</v>
      </c>
      <c r="AI560" s="1841"/>
      <c r="AJ560" s="1842"/>
      <c r="AK560" s="1842"/>
      <c r="AL560" s="1842"/>
      <c r="AM560" s="1842"/>
      <c r="AN560" s="1842"/>
      <c r="AO560" s="1842"/>
      <c r="AP560" s="1843"/>
      <c r="AR560" s="14"/>
      <c r="AS560" s="9"/>
      <c r="AT560" s="9"/>
      <c r="AU560" s="9"/>
      <c r="AV560" s="14"/>
      <c r="AW560" s="14"/>
      <c r="AX560" s="14"/>
      <c r="AY560" s="14"/>
      <c r="AZ560" s="14"/>
      <c r="BA560" s="14"/>
      <c r="BB560" s="1394"/>
      <c r="BC560" s="1840" t="s">
        <v>874</v>
      </c>
      <c r="BD560" s="1841"/>
      <c r="BE560" s="1842"/>
      <c r="BF560" s="1842"/>
      <c r="BG560" s="1842"/>
      <c r="BH560" s="1842"/>
      <c r="BI560" s="1842"/>
      <c r="BJ560" s="1842"/>
      <c r="BK560" s="1843"/>
      <c r="BM560" s="3">
        <v>1</v>
      </c>
    </row>
    <row r="561" spans="2:65" ht="21" customHeight="1">
      <c r="B561" s="14"/>
      <c r="C561" s="9"/>
      <c r="D561" s="9"/>
      <c r="E561" s="9"/>
      <c r="F561" s="14"/>
      <c r="G561" s="14"/>
      <c r="H561" s="14"/>
      <c r="I561" s="14"/>
      <c r="J561" s="14"/>
      <c r="K561" s="14"/>
      <c r="L561" s="1394"/>
      <c r="M561" s="1821" t="s">
        <v>8146</v>
      </c>
      <c r="N561" s="14"/>
      <c r="O561" s="1810"/>
      <c r="P561" s="1810"/>
      <c r="Q561" s="1810"/>
      <c r="R561" s="1810"/>
      <c r="S561" s="1810"/>
      <c r="T561" s="1810"/>
      <c r="U561" s="1811"/>
      <c r="W561" s="14"/>
      <c r="X561" s="9"/>
      <c r="Y561" s="9"/>
      <c r="Z561" s="9"/>
      <c r="AA561" s="14"/>
      <c r="AB561" s="14"/>
      <c r="AC561" s="14"/>
      <c r="AD561" s="14"/>
      <c r="AE561" s="14"/>
      <c r="AF561" s="14"/>
      <c r="AG561" s="1394"/>
      <c r="AH561" s="1821" t="s">
        <v>8198</v>
      </c>
      <c r="AI561" s="14"/>
      <c r="AJ561" s="1810"/>
      <c r="AK561" s="1810"/>
      <c r="AL561" s="1810"/>
      <c r="AM561" s="1810"/>
      <c r="AN561" s="1810"/>
      <c r="AO561" s="1810"/>
      <c r="AP561" s="1811"/>
      <c r="AR561" s="14"/>
      <c r="AS561" s="9"/>
      <c r="AT561" s="9"/>
      <c r="AU561" s="9"/>
      <c r="AV561" s="14"/>
      <c r="AW561" s="14"/>
      <c r="AX561" s="14"/>
      <c r="AY561" s="14"/>
      <c r="AZ561" s="14"/>
      <c r="BA561" s="14"/>
      <c r="BB561" s="1394"/>
      <c r="BC561" s="1821" t="s">
        <v>8193</v>
      </c>
      <c r="BD561" s="14"/>
      <c r="BE561" s="1810"/>
      <c r="BF561" s="1810"/>
      <c r="BG561" s="1810"/>
      <c r="BH561" s="1810"/>
      <c r="BI561" s="1810"/>
      <c r="BJ561" s="1810"/>
      <c r="BK561" s="1811"/>
      <c r="BM561" s="3">
        <v>1</v>
      </c>
    </row>
    <row r="562" spans="2:65" ht="21" customHeight="1">
      <c r="B562" s="14"/>
      <c r="C562" s="9"/>
      <c r="D562" s="9"/>
      <c r="E562" s="9"/>
      <c r="F562" s="14"/>
      <c r="G562" s="14"/>
      <c r="H562" s="14"/>
      <c r="I562" s="14"/>
      <c r="J562" s="14"/>
      <c r="K562" s="14"/>
      <c r="L562" s="1963" t="s">
        <v>8629</v>
      </c>
      <c r="M562" s="1844"/>
      <c r="N562" s="1844"/>
      <c r="O562" s="1844"/>
      <c r="P562" s="1844"/>
      <c r="Q562" s="1844"/>
      <c r="R562" s="1844"/>
      <c r="S562" s="1844"/>
      <c r="T562" s="1844"/>
      <c r="U562" s="1964" t="s">
        <v>8629</v>
      </c>
      <c r="W562" s="14"/>
      <c r="X562" s="9"/>
      <c r="Y562" s="9"/>
      <c r="Z562" s="9"/>
      <c r="AA562" s="14"/>
      <c r="AB562" s="14"/>
      <c r="AC562" s="14"/>
      <c r="AD562" s="14"/>
      <c r="AE562" s="14"/>
      <c r="AF562" s="14"/>
      <c r="AG562" s="1963" t="s">
        <v>8630</v>
      </c>
      <c r="AH562" s="1844"/>
      <c r="AI562" s="1844"/>
      <c r="AJ562" s="1844"/>
      <c r="AK562" s="1844"/>
      <c r="AL562" s="1844"/>
      <c r="AM562" s="1844"/>
      <c r="AN562" s="1844"/>
      <c r="AO562" s="1844"/>
      <c r="AP562" s="1964" t="s">
        <v>8630</v>
      </c>
      <c r="BB562" s="1963" t="s">
        <v>8631</v>
      </c>
      <c r="BC562" s="1844"/>
      <c r="BD562" s="1844"/>
      <c r="BE562" s="1844"/>
      <c r="BF562" s="1844"/>
      <c r="BG562" s="1844"/>
      <c r="BH562" s="1844"/>
      <c r="BI562" s="1844"/>
      <c r="BJ562" s="1844"/>
      <c r="BK562" s="1964" t="s">
        <v>8631</v>
      </c>
      <c r="BM562" s="3">
        <v>1</v>
      </c>
    </row>
    <row r="563" spans="2:65" ht="21" customHeight="1">
      <c r="B563" s="14"/>
      <c r="C563" s="9"/>
      <c r="D563" s="9"/>
      <c r="E563" s="9"/>
      <c r="F563" s="14"/>
      <c r="G563" s="14"/>
      <c r="H563" s="14"/>
      <c r="I563" s="14"/>
      <c r="J563" s="14"/>
      <c r="K563" s="14"/>
      <c r="L563" s="1372" t="s">
        <v>8145</v>
      </c>
      <c r="M563" s="1428"/>
      <c r="N563" s="419"/>
      <c r="O563" s="419"/>
      <c r="P563" s="419"/>
      <c r="Q563" s="419"/>
      <c r="R563" s="420"/>
      <c r="S563" s="420"/>
      <c r="T563" s="420"/>
      <c r="U563" s="608" t="s">
        <v>260</v>
      </c>
      <c r="W563" s="14"/>
      <c r="X563" s="9"/>
      <c r="Y563" s="9"/>
      <c r="Z563" s="9"/>
      <c r="AA563" s="14"/>
      <c r="AB563" s="14"/>
      <c r="AC563" s="14"/>
      <c r="AD563" s="14"/>
      <c r="AE563" s="14"/>
      <c r="AF563" s="14"/>
      <c r="AG563" s="1388" t="s">
        <v>8216</v>
      </c>
      <c r="AH563" s="1428"/>
      <c r="AI563" s="419"/>
      <c r="AJ563" s="419"/>
      <c r="AK563" s="419"/>
      <c r="AL563" s="419"/>
      <c r="AM563" s="420"/>
      <c r="AN563" s="420"/>
      <c r="AO563" s="420"/>
      <c r="AP563" s="608" t="s">
        <v>1379</v>
      </c>
      <c r="AR563" s="14"/>
      <c r="AS563" s="9"/>
      <c r="AT563" s="9"/>
      <c r="AU563" s="9"/>
      <c r="AV563" s="14"/>
      <c r="AW563" s="14"/>
      <c r="AX563" s="14"/>
      <c r="AY563" s="14"/>
      <c r="AZ563" s="14"/>
      <c r="BA563" s="14"/>
      <c r="BB563" s="1372" t="s">
        <v>8217</v>
      </c>
      <c r="BC563" s="1428"/>
      <c r="BD563" s="419"/>
      <c r="BE563" s="419"/>
      <c r="BF563" s="419"/>
      <c r="BG563" s="419"/>
      <c r="BH563" s="420"/>
      <c r="BI563" s="420"/>
      <c r="BJ563" s="420"/>
      <c r="BK563" s="608" t="s">
        <v>1380</v>
      </c>
      <c r="BM563" s="3">
        <v>1</v>
      </c>
    </row>
    <row r="564" spans="2:65" ht="21" customHeight="1">
      <c r="B564" s="14"/>
      <c r="C564" s="9"/>
      <c r="D564" s="9"/>
      <c r="E564" s="9"/>
      <c r="F564" s="14"/>
      <c r="G564" s="14"/>
      <c r="H564" s="14"/>
      <c r="I564" s="14"/>
      <c r="J564" s="14"/>
      <c r="K564" s="14"/>
      <c r="L564" s="1392">
        <v>0</v>
      </c>
      <c r="M564" s="1866"/>
      <c r="N564" s="1929" t="s">
        <v>264</v>
      </c>
      <c r="O564" s="229"/>
      <c r="P564" s="186"/>
      <c r="Q564" s="14"/>
      <c r="R564" s="14"/>
      <c r="S564" s="14"/>
      <c r="T564" s="14"/>
      <c r="U564" s="1409"/>
      <c r="W564" s="14"/>
      <c r="X564" s="9"/>
      <c r="Y564" s="9"/>
      <c r="Z564" s="9"/>
      <c r="AA564" s="14"/>
      <c r="AB564" s="14"/>
      <c r="AC564" s="14"/>
      <c r="AD564" s="14"/>
      <c r="AE564" s="14"/>
      <c r="AF564" s="14"/>
      <c r="AG564" s="1392">
        <v>0</v>
      </c>
      <c r="AH564" s="1866"/>
      <c r="AI564" s="1929" t="s">
        <v>1381</v>
      </c>
      <c r="AJ564" s="229"/>
      <c r="AK564" s="186"/>
      <c r="AL564" s="14"/>
      <c r="AM564" s="14"/>
      <c r="AN564" s="14"/>
      <c r="AO564" s="14"/>
      <c r="AP564" s="1409"/>
      <c r="AR564" s="14"/>
      <c r="AS564" s="9"/>
      <c r="AT564" s="9"/>
      <c r="AU564" s="9"/>
      <c r="AV564" s="14"/>
      <c r="AW564" s="14"/>
      <c r="AX564" s="14"/>
      <c r="AY564" s="14"/>
      <c r="AZ564" s="14"/>
      <c r="BA564" s="14"/>
      <c r="BB564" s="1392">
        <v>0</v>
      </c>
      <c r="BC564" s="1866"/>
      <c r="BD564" s="1929" t="s">
        <v>742</v>
      </c>
      <c r="BE564" s="229"/>
      <c r="BF564" s="186"/>
      <c r="BG564" s="14"/>
      <c r="BH564" s="14"/>
      <c r="BI564" s="14"/>
      <c r="BJ564" s="14"/>
      <c r="BK564" s="1409"/>
      <c r="BM564" s="3">
        <v>1</v>
      </c>
    </row>
    <row r="565" spans="2:65" ht="21" customHeight="1">
      <c r="B565" s="14"/>
      <c r="C565" s="9"/>
      <c r="D565" s="9"/>
      <c r="E565" s="9"/>
      <c r="F565" s="14"/>
      <c r="G565" s="14"/>
      <c r="H565" s="14"/>
      <c r="I565" s="14"/>
      <c r="J565" s="14"/>
      <c r="K565" s="14"/>
      <c r="L565" s="1394" t="str">
        <f>IF(ISBLANK(M565),"",LARGE(L564:L564,1)+1)</f>
        <v/>
      </c>
      <c r="M565" s="1869"/>
      <c r="N565" s="6773" t="s">
        <v>265</v>
      </c>
      <c r="O565" s="6773"/>
      <c r="P565" s="6773"/>
      <c r="Q565" s="6773"/>
      <c r="R565" s="6773"/>
      <c r="S565" s="6773"/>
      <c r="T565" s="6773"/>
      <c r="U565" s="6774"/>
      <c r="W565" s="14"/>
      <c r="X565" s="9"/>
      <c r="Y565" s="9"/>
      <c r="Z565" s="9"/>
      <c r="AA565" s="14"/>
      <c r="AB565" s="14"/>
      <c r="AC565" s="14"/>
      <c r="AD565" s="14"/>
      <c r="AE565" s="14"/>
      <c r="AF565" s="14"/>
      <c r="AG565" s="1394" t="str">
        <f>IF(ISBLANK(AH565),"",LARGE(AG564:AG564,1)+1)</f>
        <v/>
      </c>
      <c r="AH565" s="1869"/>
      <c r="AI565" s="6773" t="s">
        <v>1382</v>
      </c>
      <c r="AJ565" s="6773"/>
      <c r="AK565" s="6773"/>
      <c r="AL565" s="6773"/>
      <c r="AM565" s="6773"/>
      <c r="AN565" s="6773"/>
      <c r="AO565" s="6773"/>
      <c r="AP565" s="6774"/>
      <c r="AR565" s="14"/>
      <c r="AS565" s="9"/>
      <c r="AT565" s="9"/>
      <c r="AU565" s="9"/>
      <c r="AV565" s="14"/>
      <c r="AW565" s="14"/>
      <c r="AX565" s="14"/>
      <c r="AY565" s="14"/>
      <c r="AZ565" s="14"/>
      <c r="BA565" s="14"/>
      <c r="BB565" s="1394" t="str">
        <f>IF(ISBLANK(BC565),"",LARGE(BB564:BB564,1)+1)</f>
        <v/>
      </c>
      <c r="BC565" s="1869"/>
      <c r="BD565" s="6773" t="s">
        <v>8577</v>
      </c>
      <c r="BE565" s="6773"/>
      <c r="BF565" s="6773"/>
      <c r="BG565" s="6773"/>
      <c r="BH565" s="6773"/>
      <c r="BI565" s="6773"/>
      <c r="BJ565" s="6773"/>
      <c r="BK565" s="6774"/>
      <c r="BM565" s="3">
        <v>1</v>
      </c>
    </row>
    <row r="566" spans="2:65" ht="21" customHeight="1">
      <c r="B566" s="14"/>
      <c r="C566" s="9"/>
      <c r="D566" s="9"/>
      <c r="E566" s="9"/>
      <c r="F566" s="14"/>
      <c r="G566" s="14"/>
      <c r="H566" s="14"/>
      <c r="I566" s="14"/>
      <c r="J566" s="14"/>
      <c r="K566" s="14"/>
      <c r="L566" s="1394" t="str">
        <f>IF(ISBLANK(M566),"",LARGE(L564:L565,1)+1)</f>
        <v/>
      </c>
      <c r="M566" s="1869"/>
      <c r="N566" s="6773"/>
      <c r="O566" s="6773"/>
      <c r="P566" s="6773"/>
      <c r="Q566" s="6773"/>
      <c r="R566" s="6773"/>
      <c r="S566" s="6773"/>
      <c r="T566" s="6773"/>
      <c r="U566" s="6774"/>
      <c r="W566" s="14"/>
      <c r="X566" s="9"/>
      <c r="Y566" s="9"/>
      <c r="Z566" s="9"/>
      <c r="AA566" s="14"/>
      <c r="AB566" s="14"/>
      <c r="AC566" s="14"/>
      <c r="AD566" s="14"/>
      <c r="AE566" s="14"/>
      <c r="AF566" s="14"/>
      <c r="AG566" s="1394" t="str">
        <f>IF(ISBLANK(AH566),"",LARGE(AG564:AG565,1)+1)</f>
        <v/>
      </c>
      <c r="AH566" s="1869"/>
      <c r="AI566" s="6773"/>
      <c r="AJ566" s="6773"/>
      <c r="AK566" s="6773"/>
      <c r="AL566" s="6773"/>
      <c r="AM566" s="6773"/>
      <c r="AN566" s="6773"/>
      <c r="AO566" s="6773"/>
      <c r="AP566" s="6774"/>
      <c r="AR566" s="14"/>
      <c r="AS566" s="9"/>
      <c r="AT566" s="9"/>
      <c r="AU566" s="9"/>
      <c r="AV566" s="14"/>
      <c r="AW566" s="14"/>
      <c r="AX566" s="14"/>
      <c r="AY566" s="14"/>
      <c r="AZ566" s="14"/>
      <c r="BA566" s="14"/>
      <c r="BB566" s="1394" t="str">
        <f>IF(ISBLANK(BC566),"",LARGE(BB564:BB565,1)+1)</f>
        <v/>
      </c>
      <c r="BC566" s="1869"/>
      <c r="BD566" s="6773"/>
      <c r="BE566" s="6773"/>
      <c r="BF566" s="6773"/>
      <c r="BG566" s="6773"/>
      <c r="BH566" s="6773"/>
      <c r="BI566" s="6773"/>
      <c r="BJ566" s="6773"/>
      <c r="BK566" s="6774"/>
      <c r="BM566" s="3">
        <v>1</v>
      </c>
    </row>
    <row r="567" spans="2:65" ht="21" customHeight="1">
      <c r="B567" s="14"/>
      <c r="C567" s="9"/>
      <c r="D567" s="9"/>
      <c r="E567" s="9"/>
      <c r="F567" s="14"/>
      <c r="G567" s="14"/>
      <c r="H567" s="14"/>
      <c r="I567" s="14"/>
      <c r="J567" s="14"/>
      <c r="K567" s="14"/>
      <c r="L567" s="1394" t="str">
        <f>IF(ISBLANK(M567),"",LARGE(L564:L566,1)+1)</f>
        <v/>
      </c>
      <c r="M567" s="1869"/>
      <c r="N567" s="6773"/>
      <c r="O567" s="6773"/>
      <c r="P567" s="6773"/>
      <c r="Q567" s="6773"/>
      <c r="R567" s="6773"/>
      <c r="S567" s="6773"/>
      <c r="T567" s="6773"/>
      <c r="U567" s="6774"/>
      <c r="W567" s="14"/>
      <c r="X567" s="9"/>
      <c r="Y567" s="9"/>
      <c r="Z567" s="9"/>
      <c r="AA567" s="14"/>
      <c r="AB567" s="14"/>
      <c r="AC567" s="14"/>
      <c r="AD567" s="14"/>
      <c r="AE567" s="14"/>
      <c r="AF567" s="14"/>
      <c r="AG567" s="1394" t="str">
        <f>IF(ISBLANK(AH567),"",LARGE(AG564:AG566,1)+1)</f>
        <v/>
      </c>
      <c r="AH567" s="1869"/>
      <c r="AI567" s="6773"/>
      <c r="AJ567" s="6773"/>
      <c r="AK567" s="6773"/>
      <c r="AL567" s="6773"/>
      <c r="AM567" s="6773"/>
      <c r="AN567" s="6773"/>
      <c r="AO567" s="6773"/>
      <c r="AP567" s="6774"/>
      <c r="AR567" s="14"/>
      <c r="AS567" s="9"/>
      <c r="AT567" s="9"/>
      <c r="AU567" s="9"/>
      <c r="AV567" s="14"/>
      <c r="AW567" s="14"/>
      <c r="AX567" s="14"/>
      <c r="AY567" s="14"/>
      <c r="AZ567" s="14"/>
      <c r="BA567" s="14"/>
      <c r="BB567" s="1394" t="str">
        <f>IF(ISBLANK(BC567),"",LARGE(BB564:BB566,1)+1)</f>
        <v/>
      </c>
      <c r="BC567" s="1869"/>
      <c r="BD567" s="6773"/>
      <c r="BE567" s="6773"/>
      <c r="BF567" s="6773"/>
      <c r="BG567" s="6773"/>
      <c r="BH567" s="6773"/>
      <c r="BI567" s="6773"/>
      <c r="BJ567" s="6773"/>
      <c r="BK567" s="6774"/>
      <c r="BM567" s="3">
        <v>1</v>
      </c>
    </row>
    <row r="568" spans="2:65" ht="21" customHeight="1">
      <c r="B568" s="14"/>
      <c r="C568" s="9"/>
      <c r="D568" s="9"/>
      <c r="E568" s="9"/>
      <c r="F568" s="14"/>
      <c r="G568" s="14"/>
      <c r="H568" s="14"/>
      <c r="I568" s="14"/>
      <c r="J568" s="14"/>
      <c r="K568" s="14"/>
      <c r="L568" s="1394" t="str">
        <f>IF(ISBLANK(M568),"",LARGE(L564:L567,1)+1)</f>
        <v/>
      </c>
      <c r="M568" s="1869"/>
      <c r="N568" s="1927" t="s">
        <v>278</v>
      </c>
      <c r="O568" s="198"/>
      <c r="P568" s="198"/>
      <c r="Q568" s="14"/>
      <c r="R568" s="14"/>
      <c r="S568" s="14"/>
      <c r="T568" s="14"/>
      <c r="U568" s="1409"/>
      <c r="W568" s="14"/>
      <c r="X568" s="9"/>
      <c r="Y568" s="9"/>
      <c r="Z568" s="9"/>
      <c r="AA568" s="14"/>
      <c r="AB568" s="14"/>
      <c r="AC568" s="14"/>
      <c r="AD568" s="14"/>
      <c r="AE568" s="14"/>
      <c r="AF568" s="14"/>
      <c r="AG568" s="1394" t="str">
        <f>IF(ISBLANK(AH568),"",LARGE(AG564:AG567,1)+1)</f>
        <v/>
      </c>
      <c r="AH568" s="1869"/>
      <c r="AI568" s="1927" t="s">
        <v>745</v>
      </c>
      <c r="AJ568" s="198"/>
      <c r="AK568" s="198"/>
      <c r="AL568" s="14"/>
      <c r="AM568" s="14"/>
      <c r="AN568" s="14"/>
      <c r="AO568" s="14"/>
      <c r="AP568" s="1409"/>
      <c r="AR568" s="14"/>
      <c r="AS568" s="9"/>
      <c r="AT568" s="9"/>
      <c r="AU568" s="9"/>
      <c r="AV568" s="14"/>
      <c r="AW568" s="14"/>
      <c r="AX568" s="14"/>
      <c r="AY568" s="14"/>
      <c r="AZ568" s="14"/>
      <c r="BA568" s="14"/>
      <c r="BB568" s="1394" t="str">
        <f>IF(ISBLANK(BC568),"",LARGE(BB564:BB567,1)+1)</f>
        <v/>
      </c>
      <c r="BC568" s="1869"/>
      <c r="BD568" s="1927" t="s">
        <v>746</v>
      </c>
      <c r="BE568" s="198"/>
      <c r="BF568" s="198"/>
      <c r="BG568" s="14"/>
      <c r="BH568" s="14"/>
      <c r="BI568" s="14"/>
      <c r="BJ568" s="14"/>
      <c r="BK568" s="1409"/>
      <c r="BM568" s="3">
        <v>1</v>
      </c>
    </row>
    <row r="569" spans="2:65" ht="21" customHeight="1">
      <c r="B569" s="14"/>
      <c r="C569" s="9"/>
      <c r="D569" s="9"/>
      <c r="E569" s="9"/>
      <c r="F569" s="14"/>
      <c r="G569" s="14"/>
      <c r="H569" s="14"/>
      <c r="I569" s="14"/>
      <c r="J569" s="14"/>
      <c r="K569" s="14"/>
      <c r="L569" s="1394" t="str">
        <f>IF(ISBLANK(M569),"",LARGE(L564:L568,1)+1)</f>
        <v/>
      </c>
      <c r="M569" s="1869"/>
      <c r="N569" s="1416" t="s">
        <v>280</v>
      </c>
      <c r="O569" s="173"/>
      <c r="P569" s="173"/>
      <c r="Q569" s="14"/>
      <c r="R569" s="14"/>
      <c r="S569" s="14"/>
      <c r="T569" s="14"/>
      <c r="U569" s="1409"/>
      <c r="W569" s="14"/>
      <c r="X569" s="9"/>
      <c r="Y569" s="9"/>
      <c r="Z569" s="9"/>
      <c r="AA569" s="14"/>
      <c r="AB569" s="14"/>
      <c r="AC569" s="14"/>
      <c r="AD569" s="14"/>
      <c r="AE569" s="14"/>
      <c r="AF569" s="14"/>
      <c r="AG569" s="1394" t="str">
        <f>IF(ISBLANK(AH569),"",LARGE(AG564:AG568,1)+1)</f>
        <v/>
      </c>
      <c r="AH569" s="1869"/>
      <c r="AI569" s="1416" t="s">
        <v>1383</v>
      </c>
      <c r="AJ569" s="173"/>
      <c r="AK569" s="173"/>
      <c r="AL569" s="14"/>
      <c r="AM569" s="14"/>
      <c r="AN569" s="14"/>
      <c r="AO569" s="14"/>
      <c r="AP569" s="1409"/>
      <c r="AR569" s="14"/>
      <c r="AS569" s="9"/>
      <c r="AT569" s="9"/>
      <c r="AU569" s="9"/>
      <c r="AV569" s="14"/>
      <c r="AW569" s="14"/>
      <c r="AX569" s="14"/>
      <c r="AY569" s="14"/>
      <c r="AZ569" s="14"/>
      <c r="BA569" s="14"/>
      <c r="BB569" s="1394" t="str">
        <f>IF(ISBLANK(BC569),"",LARGE(BB564:BB568,1)+1)</f>
        <v/>
      </c>
      <c r="BC569" s="1869"/>
      <c r="BD569" s="1416" t="s">
        <v>1384</v>
      </c>
      <c r="BE569" s="173"/>
      <c r="BF569" s="173"/>
      <c r="BG569" s="14"/>
      <c r="BH569" s="14"/>
      <c r="BI569" s="14"/>
      <c r="BJ569" s="14"/>
      <c r="BK569" s="1409"/>
      <c r="BM569" s="3">
        <v>1</v>
      </c>
    </row>
    <row r="570" spans="2:65" ht="21" customHeight="1">
      <c r="B570" s="14"/>
      <c r="C570" s="9"/>
      <c r="D570" s="9"/>
      <c r="E570" s="9"/>
      <c r="F570" s="14"/>
      <c r="G570" s="14"/>
      <c r="H570" s="14"/>
      <c r="I570" s="14"/>
      <c r="J570" s="14"/>
      <c r="K570" s="14"/>
      <c r="L570" s="1394" t="str">
        <f>IF(ISBLANK(M570),"",LARGE(L564:L569,1)+1)</f>
        <v/>
      </c>
      <c r="M570" s="1869"/>
      <c r="N570" s="6762" t="s">
        <v>287</v>
      </c>
      <c r="O570" s="6762"/>
      <c r="P570" s="6762"/>
      <c r="Q570" s="6762"/>
      <c r="R570" s="6762"/>
      <c r="S570" s="6762"/>
      <c r="T570" s="6762"/>
      <c r="U570" s="6763"/>
      <c r="W570" s="14"/>
      <c r="X570" s="9"/>
      <c r="Y570" s="9"/>
      <c r="Z570" s="9"/>
      <c r="AA570" s="14"/>
      <c r="AB570" s="14"/>
      <c r="AC570" s="14"/>
      <c r="AD570" s="14"/>
      <c r="AE570" s="14"/>
      <c r="AF570" s="14"/>
      <c r="AG570" s="1394" t="str">
        <f>IF(ISBLANK(AH570),"",LARGE(AG564:AG569,1)+1)</f>
        <v/>
      </c>
      <c r="AH570" s="1869"/>
      <c r="AI570" s="6762" t="s">
        <v>1385</v>
      </c>
      <c r="AJ570" s="6762"/>
      <c r="AK570" s="6762"/>
      <c r="AL570" s="6762"/>
      <c r="AM570" s="6762"/>
      <c r="AN570" s="6762"/>
      <c r="AO570" s="6762"/>
      <c r="AP570" s="6763"/>
      <c r="AR570" s="14"/>
      <c r="AS570" s="9"/>
      <c r="AT570" s="9"/>
      <c r="AU570" s="9"/>
      <c r="AV570" s="14"/>
      <c r="AW570" s="14"/>
      <c r="AX570" s="14"/>
      <c r="AY570" s="14"/>
      <c r="AZ570" s="14"/>
      <c r="BA570" s="14"/>
      <c r="BB570" s="1394" t="str">
        <f>IF(ISBLANK(BC570),"",LARGE(BB564:BB569,1)+1)</f>
        <v/>
      </c>
      <c r="BC570" s="1869"/>
      <c r="BD570" s="6762" t="s">
        <v>1386</v>
      </c>
      <c r="BE570" s="6762"/>
      <c r="BF570" s="6762"/>
      <c r="BG570" s="6762"/>
      <c r="BH570" s="6762"/>
      <c r="BI570" s="6762"/>
      <c r="BJ570" s="6762"/>
      <c r="BK570" s="6763"/>
      <c r="BM570" s="3">
        <v>1</v>
      </c>
    </row>
    <row r="571" spans="2:65" ht="21" customHeight="1">
      <c r="B571" s="14"/>
      <c r="C571" s="9"/>
      <c r="D571" s="9"/>
      <c r="E571" s="9"/>
      <c r="F571" s="14"/>
      <c r="G571" s="14"/>
      <c r="H571" s="14"/>
      <c r="I571" s="14"/>
      <c r="J571" s="14"/>
      <c r="K571" s="14"/>
      <c r="L571" s="1394" t="str">
        <f>IF(ISBLANK(M571),"",LARGE(L564:L570,1)+1)</f>
        <v/>
      </c>
      <c r="M571" s="1869"/>
      <c r="N571" s="6762"/>
      <c r="O571" s="6762"/>
      <c r="P571" s="6762"/>
      <c r="Q571" s="6762"/>
      <c r="R571" s="6762"/>
      <c r="S571" s="6762"/>
      <c r="T571" s="6762"/>
      <c r="U571" s="6763"/>
      <c r="W571" s="14"/>
      <c r="X571" s="9"/>
      <c r="Y571" s="9"/>
      <c r="Z571" s="9"/>
      <c r="AA571" s="14"/>
      <c r="AB571" s="14"/>
      <c r="AC571" s="14"/>
      <c r="AD571" s="14"/>
      <c r="AE571" s="14"/>
      <c r="AF571" s="14"/>
      <c r="AG571" s="1394" t="str">
        <f>IF(ISBLANK(AH571),"",LARGE(AG564:AG570,1)+1)</f>
        <v/>
      </c>
      <c r="AH571" s="1869"/>
      <c r="AI571" s="6762"/>
      <c r="AJ571" s="6762"/>
      <c r="AK571" s="6762"/>
      <c r="AL571" s="6762"/>
      <c r="AM571" s="6762"/>
      <c r="AN571" s="6762"/>
      <c r="AO571" s="6762"/>
      <c r="AP571" s="6763"/>
      <c r="AR571" s="14"/>
      <c r="AS571" s="9"/>
      <c r="AT571" s="9"/>
      <c r="AU571" s="9"/>
      <c r="AV571" s="14"/>
      <c r="AW571" s="14"/>
      <c r="AX571" s="14"/>
      <c r="AY571" s="14"/>
      <c r="AZ571" s="14"/>
      <c r="BA571" s="14"/>
      <c r="BB571" s="1394" t="str">
        <f>IF(ISBLANK(BC571),"",LARGE(BB564:BB570,1)+1)</f>
        <v/>
      </c>
      <c r="BC571" s="1869"/>
      <c r="BD571" s="6762"/>
      <c r="BE571" s="6762"/>
      <c r="BF571" s="6762"/>
      <c r="BG571" s="6762"/>
      <c r="BH571" s="6762"/>
      <c r="BI571" s="6762"/>
      <c r="BJ571" s="6762"/>
      <c r="BK571" s="6763"/>
      <c r="BM571" s="3">
        <v>1</v>
      </c>
    </row>
    <row r="572" spans="2:65" ht="21" customHeight="1">
      <c r="B572" s="14"/>
      <c r="C572" s="9"/>
      <c r="D572" s="9"/>
      <c r="E572" s="9"/>
      <c r="F572" s="14"/>
      <c r="G572" s="14"/>
      <c r="H572" s="14"/>
      <c r="I572" s="14"/>
      <c r="J572" s="14"/>
      <c r="K572" s="14"/>
      <c r="L572" s="1394" t="str">
        <f>IF(ISBLANK(M572),"",LARGE(L564:L571,1)+1)</f>
        <v/>
      </c>
      <c r="M572" s="1869"/>
      <c r="N572" s="6762"/>
      <c r="O572" s="6762"/>
      <c r="P572" s="6762"/>
      <c r="Q572" s="6762"/>
      <c r="R572" s="6762"/>
      <c r="S572" s="6762"/>
      <c r="T572" s="6762"/>
      <c r="U572" s="6763"/>
      <c r="W572" s="14"/>
      <c r="X572" s="9"/>
      <c r="Y572" s="9"/>
      <c r="Z572" s="9"/>
      <c r="AA572" s="14"/>
      <c r="AB572" s="14"/>
      <c r="AC572" s="14"/>
      <c r="AD572" s="14"/>
      <c r="AE572" s="14"/>
      <c r="AF572" s="14"/>
      <c r="AG572" s="1394" t="str">
        <f>IF(ISBLANK(AH572),"",LARGE(AG564:AG571,1)+1)</f>
        <v/>
      </c>
      <c r="AH572" s="1869"/>
      <c r="AI572" s="6762"/>
      <c r="AJ572" s="6762"/>
      <c r="AK572" s="6762"/>
      <c r="AL572" s="6762"/>
      <c r="AM572" s="6762"/>
      <c r="AN572" s="6762"/>
      <c r="AO572" s="6762"/>
      <c r="AP572" s="6763"/>
      <c r="AR572" s="14"/>
      <c r="AS572" s="9"/>
      <c r="AT572" s="9"/>
      <c r="AU572" s="9"/>
      <c r="AV572" s="14"/>
      <c r="AW572" s="14"/>
      <c r="AX572" s="14"/>
      <c r="AY572" s="14"/>
      <c r="AZ572" s="14"/>
      <c r="BA572" s="14"/>
      <c r="BB572" s="1394" t="str">
        <f>IF(ISBLANK(BC572),"",LARGE(BB564:BB571,1)+1)</f>
        <v/>
      </c>
      <c r="BC572" s="1869"/>
      <c r="BD572" s="6762"/>
      <c r="BE572" s="6762"/>
      <c r="BF572" s="6762"/>
      <c r="BG572" s="6762"/>
      <c r="BH572" s="6762"/>
      <c r="BI572" s="6762"/>
      <c r="BJ572" s="6762"/>
      <c r="BK572" s="6763"/>
      <c r="BM572" s="3">
        <v>1</v>
      </c>
    </row>
    <row r="573" spans="2:65" ht="21" customHeight="1">
      <c r="B573" s="14"/>
      <c r="C573" s="9"/>
      <c r="D573" s="9"/>
      <c r="E573" s="9"/>
      <c r="F573" s="14"/>
      <c r="G573" s="14"/>
      <c r="H573" s="14"/>
      <c r="I573" s="14"/>
      <c r="J573" s="14"/>
      <c r="K573" s="14"/>
      <c r="L573" s="1394" t="str">
        <f>IF(ISBLANK(M573),"",LARGE(L564:L572,1)+1)</f>
        <v/>
      </c>
      <c r="M573" s="1869"/>
      <c r="N573" s="6764"/>
      <c r="O573" s="6764"/>
      <c r="P573" s="6764"/>
      <c r="Q573" s="6764"/>
      <c r="R573" s="6764"/>
      <c r="S573" s="6764"/>
      <c r="T573" s="6764"/>
      <c r="U573" s="6765"/>
      <c r="W573" s="14"/>
      <c r="X573" s="9"/>
      <c r="Y573" s="9"/>
      <c r="Z573" s="9"/>
      <c r="AA573" s="14"/>
      <c r="AB573" s="14"/>
      <c r="AC573" s="14"/>
      <c r="AD573" s="14"/>
      <c r="AE573" s="14"/>
      <c r="AF573" s="14"/>
      <c r="AG573" s="1394" t="str">
        <f>IF(ISBLANK(AH573),"",LARGE(AG564:AG572,1)+1)</f>
        <v/>
      </c>
      <c r="AH573" s="1869"/>
      <c r="AI573" s="6764"/>
      <c r="AJ573" s="6764"/>
      <c r="AK573" s="6764"/>
      <c r="AL573" s="6764"/>
      <c r="AM573" s="6764"/>
      <c r="AN573" s="6764"/>
      <c r="AO573" s="6764"/>
      <c r="AP573" s="6765"/>
      <c r="AR573" s="14"/>
      <c r="AS573" s="9"/>
      <c r="AT573" s="9"/>
      <c r="AU573" s="9"/>
      <c r="AV573" s="14"/>
      <c r="AW573" s="14"/>
      <c r="AX573" s="14"/>
      <c r="AY573" s="14"/>
      <c r="AZ573" s="14"/>
      <c r="BA573" s="14"/>
      <c r="BB573" s="1394" t="str">
        <f>IF(ISBLANK(BC573),"",LARGE(BB564:BB572,1)+1)</f>
        <v/>
      </c>
      <c r="BC573" s="1869"/>
      <c r="BD573" s="6764"/>
      <c r="BE573" s="6764"/>
      <c r="BF573" s="6764"/>
      <c r="BG573" s="6764"/>
      <c r="BH573" s="6764"/>
      <c r="BI573" s="6764"/>
      <c r="BJ573" s="6764"/>
      <c r="BK573" s="6765"/>
      <c r="BM573" s="3">
        <v>1</v>
      </c>
    </row>
    <row r="574" spans="2:65" ht="21" customHeight="1">
      <c r="B574" s="14"/>
      <c r="C574" s="9"/>
      <c r="D574" s="9"/>
      <c r="E574" s="9"/>
      <c r="F574" s="14"/>
      <c r="G574" s="14"/>
      <c r="H574" s="14"/>
      <c r="I574" s="14"/>
      <c r="J574" s="14"/>
      <c r="K574" s="14"/>
      <c r="L574" s="1394"/>
      <c r="M574" s="1865" t="s">
        <v>821</v>
      </c>
      <c r="N574" s="1841"/>
      <c r="O574" s="1924"/>
      <c r="P574" s="1924"/>
      <c r="Q574" s="1924"/>
      <c r="R574" s="1924"/>
      <c r="S574" s="1924"/>
      <c r="T574" s="1924"/>
      <c r="U574" s="1925" t="s">
        <v>1378</v>
      </c>
      <c r="W574" s="14"/>
      <c r="X574" s="9"/>
      <c r="Y574" s="9"/>
      <c r="Z574" s="9"/>
      <c r="AA574" s="14"/>
      <c r="AB574" s="14"/>
      <c r="AC574" s="14"/>
      <c r="AD574" s="14"/>
      <c r="AE574" s="14"/>
      <c r="AF574" s="14"/>
      <c r="AG574" s="1394"/>
      <c r="AH574" s="1865" t="s">
        <v>8197</v>
      </c>
      <c r="AI574" s="1841"/>
      <c r="AJ574" s="1924"/>
      <c r="AK574" s="1924"/>
      <c r="AL574" s="1924"/>
      <c r="AM574" s="1924"/>
      <c r="AN574" s="1924"/>
      <c r="AO574" s="1924"/>
      <c r="AP574" s="1925" t="s">
        <v>879</v>
      </c>
      <c r="AR574" s="14"/>
      <c r="AS574" s="9"/>
      <c r="AT574" s="9"/>
      <c r="AU574" s="9"/>
      <c r="AV574" s="14"/>
      <c r="AW574" s="14"/>
      <c r="AX574" s="14"/>
      <c r="AY574" s="14"/>
      <c r="AZ574" s="14"/>
      <c r="BA574" s="14"/>
      <c r="BB574" s="1394"/>
      <c r="BC574" s="1865" t="s">
        <v>874</v>
      </c>
      <c r="BD574" s="1841"/>
      <c r="BE574" s="1924"/>
      <c r="BF574" s="1924"/>
      <c r="BG574" s="1924"/>
      <c r="BH574" s="1924"/>
      <c r="BI574" s="1924"/>
      <c r="BJ574" s="1924"/>
      <c r="BK574" s="1925" t="s">
        <v>879</v>
      </c>
      <c r="BM574" s="3">
        <v>1</v>
      </c>
    </row>
    <row r="575" spans="2:65" ht="21" customHeight="1">
      <c r="B575" s="14"/>
      <c r="C575" s="9"/>
      <c r="D575" s="9"/>
      <c r="E575" s="9"/>
      <c r="F575" s="14"/>
      <c r="G575" s="14"/>
      <c r="H575" s="14"/>
      <c r="I575" s="14"/>
      <c r="J575" s="14"/>
      <c r="K575" s="14"/>
      <c r="L575" s="1394"/>
      <c r="M575" s="1866" t="s">
        <v>8146</v>
      </c>
      <c r="N575" s="1928"/>
      <c r="O575" s="1886"/>
      <c r="P575" s="1886"/>
      <c r="Q575" s="1886"/>
      <c r="R575" s="1886"/>
      <c r="S575" s="1886"/>
      <c r="T575" s="1886"/>
      <c r="U575" s="1887"/>
      <c r="W575" s="14"/>
      <c r="X575" s="9"/>
      <c r="Y575" s="9"/>
      <c r="Z575" s="9"/>
      <c r="AA575" s="14"/>
      <c r="AB575" s="14"/>
      <c r="AC575" s="14"/>
      <c r="AD575" s="14"/>
      <c r="AE575" s="14"/>
      <c r="AF575" s="14"/>
      <c r="AG575" s="1394"/>
      <c r="AH575" s="1866" t="s">
        <v>8198</v>
      </c>
      <c r="AI575" s="1928"/>
      <c r="AJ575" s="1886"/>
      <c r="AK575" s="1886"/>
      <c r="AL575" s="1886"/>
      <c r="AM575" s="1886"/>
      <c r="AN575" s="1886"/>
      <c r="AO575" s="1886"/>
      <c r="AP575" s="1887"/>
      <c r="AR575" s="14"/>
      <c r="AS575" s="9"/>
      <c r="AT575" s="9"/>
      <c r="AU575" s="9"/>
      <c r="AV575" s="14"/>
      <c r="AW575" s="14"/>
      <c r="AX575" s="14"/>
      <c r="AY575" s="14"/>
      <c r="AZ575" s="14"/>
      <c r="BA575" s="14"/>
      <c r="BB575" s="1394"/>
      <c r="BC575" s="1866" t="s">
        <v>8193</v>
      </c>
      <c r="BD575" s="1928"/>
      <c r="BE575" s="1886"/>
      <c r="BF575" s="1886"/>
      <c r="BG575" s="1886"/>
      <c r="BH575" s="1886"/>
      <c r="BI575" s="1886"/>
      <c r="BJ575" s="1886"/>
      <c r="BK575" s="1887"/>
      <c r="BM575" s="3">
        <v>1</v>
      </c>
    </row>
    <row r="576" spans="2:65" ht="21" customHeight="1">
      <c r="B576" s="14"/>
      <c r="C576" s="9"/>
      <c r="D576" s="9"/>
      <c r="E576" s="9"/>
      <c r="F576" s="14"/>
      <c r="G576" s="14"/>
      <c r="H576" s="14"/>
      <c r="I576" s="14"/>
      <c r="J576" s="14"/>
      <c r="K576" s="14"/>
      <c r="L576" s="1394" t="str">
        <f>IF(ISBLANK(M576),"",LARGE(L564:L575,1)+1)</f>
        <v/>
      </c>
      <c r="M576" s="1912"/>
      <c r="N576" s="1883"/>
      <c r="O576" s="1883"/>
      <c r="P576" s="1884"/>
      <c r="Q576" s="1884"/>
      <c r="R576" s="1884"/>
      <c r="S576" s="1884"/>
      <c r="T576" s="1884"/>
      <c r="U576" s="1885"/>
      <c r="W576" s="14"/>
      <c r="X576" s="9"/>
      <c r="Y576" s="9"/>
      <c r="Z576" s="9"/>
      <c r="AA576" s="14"/>
      <c r="AB576" s="14"/>
      <c r="AC576" s="14"/>
      <c r="AD576" s="14"/>
      <c r="AE576" s="14"/>
      <c r="AF576" s="14"/>
      <c r="AG576" s="1394" t="str">
        <f>IF(ISBLANK(AH576),"",LARGE(AG564:AG575,1)+1)</f>
        <v/>
      </c>
      <c r="AH576" s="1912"/>
      <c r="AI576" s="1883"/>
      <c r="AJ576" s="1883"/>
      <c r="AK576" s="1884"/>
      <c r="AL576" s="1884"/>
      <c r="AM576" s="1884"/>
      <c r="AN576" s="1884"/>
      <c r="AO576" s="1884"/>
      <c r="AP576" s="1885"/>
      <c r="AR576" s="14"/>
      <c r="AS576" s="9"/>
      <c r="AT576" s="9"/>
      <c r="AU576" s="9"/>
      <c r="AV576" s="14"/>
      <c r="AW576" s="14"/>
      <c r="AX576" s="14"/>
      <c r="AY576" s="14"/>
      <c r="AZ576" s="14"/>
      <c r="BA576" s="14"/>
      <c r="BB576" s="1394" t="str">
        <f>IF(ISBLANK(BC576),"",LARGE(BB564:BB575,1)+1)</f>
        <v/>
      </c>
      <c r="BC576" s="1912"/>
      <c r="BD576" s="1883"/>
      <c r="BE576" s="1883"/>
      <c r="BF576" s="1884"/>
      <c r="BG576" s="1884"/>
      <c r="BH576" s="1884"/>
      <c r="BI576" s="1884"/>
      <c r="BJ576" s="1884"/>
      <c r="BK576" s="1885"/>
      <c r="BM576" s="3">
        <v>1</v>
      </c>
    </row>
    <row r="577" spans="2:65" ht="21" customHeight="1">
      <c r="B577" s="14"/>
      <c r="C577" s="9"/>
      <c r="D577" s="9"/>
      <c r="E577" s="9"/>
      <c r="F577" s="14"/>
      <c r="G577" s="14"/>
      <c r="H577" s="14"/>
      <c r="I577" s="14"/>
      <c r="J577" s="14"/>
      <c r="K577" s="14"/>
      <c r="L577" s="1394" t="str">
        <f>IF(ISBLANK(M577),"",LARGE(L564:L576,1)+1)</f>
        <v/>
      </c>
      <c r="M577" s="1912"/>
      <c r="N577" s="1883"/>
      <c r="O577" s="1883"/>
      <c r="P577" s="1884"/>
      <c r="Q577" s="1884"/>
      <c r="R577" s="1884"/>
      <c r="S577" s="1884"/>
      <c r="T577" s="1884"/>
      <c r="U577" s="1885"/>
      <c r="W577" s="14"/>
      <c r="X577" s="9"/>
      <c r="Y577" s="9"/>
      <c r="Z577" s="9"/>
      <c r="AA577" s="14"/>
      <c r="AB577" s="14"/>
      <c r="AC577" s="14"/>
      <c r="AD577" s="14"/>
      <c r="AE577" s="14"/>
      <c r="AF577" s="14"/>
      <c r="AG577" s="1394" t="str">
        <f>IF(ISBLANK(AH577),"",LARGE(AG564:AG576,1)+1)</f>
        <v/>
      </c>
      <c r="AH577" s="1912"/>
      <c r="AI577" s="1883"/>
      <c r="AJ577" s="1883"/>
      <c r="AK577" s="1884"/>
      <c r="AL577" s="1884"/>
      <c r="AM577" s="1884"/>
      <c r="AN577" s="1884"/>
      <c r="AO577" s="1884"/>
      <c r="AP577" s="1885"/>
      <c r="AR577" s="14"/>
      <c r="AS577" s="9"/>
      <c r="AT577" s="9"/>
      <c r="AU577" s="9"/>
      <c r="AV577" s="14"/>
      <c r="AW577" s="14"/>
      <c r="AX577" s="14"/>
      <c r="AY577" s="14"/>
      <c r="AZ577" s="14"/>
      <c r="BA577" s="14"/>
      <c r="BB577" s="1394" t="str">
        <f>IF(ISBLANK(BC577),"",LARGE(BB564:BB576,1)+1)</f>
        <v/>
      </c>
      <c r="BC577" s="1912"/>
      <c r="BD577" s="1883"/>
      <c r="BE577" s="1883"/>
      <c r="BF577" s="1884"/>
      <c r="BG577" s="1884"/>
      <c r="BH577" s="1884"/>
      <c r="BI577" s="1884"/>
      <c r="BJ577" s="1884"/>
      <c r="BK577" s="1885"/>
      <c r="BM577" s="3">
        <v>1</v>
      </c>
    </row>
    <row r="578" spans="2:65" ht="21" customHeight="1">
      <c r="B578" s="14"/>
      <c r="C578" s="9"/>
      <c r="D578" s="9"/>
      <c r="E578" s="9"/>
      <c r="F578" s="14"/>
      <c r="G578" s="14"/>
      <c r="H578" s="14"/>
      <c r="I578" s="14"/>
      <c r="J578" s="14"/>
      <c r="K578" s="14"/>
      <c r="L578" s="1394" t="str">
        <f>IF(ISBLANK(M578),"",LARGE(L564:L577,1)+1)</f>
        <v/>
      </c>
      <c r="M578" s="1912"/>
      <c r="N578" s="1883"/>
      <c r="O578" s="1883"/>
      <c r="P578" s="1884"/>
      <c r="Q578" s="1884"/>
      <c r="R578" s="1884"/>
      <c r="S578" s="1884"/>
      <c r="T578" s="1884"/>
      <c r="U578" s="1885"/>
      <c r="W578" s="14"/>
      <c r="X578" s="9"/>
      <c r="Y578" s="9"/>
      <c r="Z578" s="9"/>
      <c r="AA578" s="14"/>
      <c r="AB578" s="14"/>
      <c r="AC578" s="14"/>
      <c r="AD578" s="14"/>
      <c r="AE578" s="14"/>
      <c r="AF578" s="14"/>
      <c r="AG578" s="1394" t="str">
        <f>IF(ISBLANK(AH578),"",LARGE(AG564:AG577,1)+1)</f>
        <v/>
      </c>
      <c r="AH578" s="1912"/>
      <c r="AI578" s="1883"/>
      <c r="AJ578" s="1883"/>
      <c r="AK578" s="1884"/>
      <c r="AL578" s="1884"/>
      <c r="AM578" s="1884"/>
      <c r="AN578" s="1884"/>
      <c r="AO578" s="1884"/>
      <c r="AP578" s="1885"/>
      <c r="AR578" s="14"/>
      <c r="AS578" s="9"/>
      <c r="AT578" s="9"/>
      <c r="AU578" s="9"/>
      <c r="AV578" s="14"/>
      <c r="AW578" s="14"/>
      <c r="AX578" s="14"/>
      <c r="AY578" s="14"/>
      <c r="AZ578" s="14"/>
      <c r="BA578" s="14"/>
      <c r="BB578" s="1394" t="str">
        <f>IF(ISBLANK(BC578),"",LARGE(BB564:BB577,1)+1)</f>
        <v/>
      </c>
      <c r="BC578" s="1912"/>
      <c r="BD578" s="1883"/>
      <c r="BE578" s="1883"/>
      <c r="BF578" s="1884"/>
      <c r="BG578" s="1884"/>
      <c r="BH578" s="1884"/>
      <c r="BI578" s="1884"/>
      <c r="BJ578" s="1884"/>
      <c r="BK578" s="1885"/>
      <c r="BM578" s="3">
        <v>1</v>
      </c>
    </row>
    <row r="579" spans="2:65" ht="21" customHeight="1">
      <c r="B579" s="14"/>
      <c r="C579" s="9"/>
      <c r="D579" s="9"/>
      <c r="E579" s="9"/>
      <c r="F579" s="14"/>
      <c r="G579" s="14"/>
      <c r="H579" s="14"/>
      <c r="I579" s="14"/>
      <c r="J579" s="14"/>
      <c r="K579" s="14"/>
      <c r="L579" s="1394" t="str">
        <f>IF(ISBLANK(M579),"",LARGE(L564:L578,1)+1)</f>
        <v/>
      </c>
      <c r="M579" s="1912"/>
      <c r="N579" s="1883"/>
      <c r="O579" s="1883"/>
      <c r="P579" s="1884"/>
      <c r="Q579" s="1884"/>
      <c r="R579" s="1884"/>
      <c r="S579" s="1884"/>
      <c r="T579" s="1884"/>
      <c r="U579" s="1885"/>
      <c r="W579" s="14"/>
      <c r="X579" s="9"/>
      <c r="Y579" s="9"/>
      <c r="Z579" s="9"/>
      <c r="AA579" s="14"/>
      <c r="AB579" s="14"/>
      <c r="AC579" s="14"/>
      <c r="AD579" s="14"/>
      <c r="AE579" s="14"/>
      <c r="AF579" s="14"/>
      <c r="AG579" s="1394" t="str">
        <f>IF(ISBLANK(AH579),"",LARGE(AG564:AG578,1)+1)</f>
        <v/>
      </c>
      <c r="AH579" s="1912"/>
      <c r="AI579" s="1883"/>
      <c r="AJ579" s="1883"/>
      <c r="AK579" s="1884"/>
      <c r="AL579" s="1884"/>
      <c r="AM579" s="1884"/>
      <c r="AN579" s="1884"/>
      <c r="AO579" s="1884"/>
      <c r="AP579" s="1885"/>
      <c r="AR579" s="14"/>
      <c r="AS579" s="9"/>
      <c r="AT579" s="9"/>
      <c r="AU579" s="9"/>
      <c r="AV579" s="14"/>
      <c r="AW579" s="14"/>
      <c r="AX579" s="14"/>
      <c r="AY579" s="14"/>
      <c r="AZ579" s="14"/>
      <c r="BA579" s="14"/>
      <c r="BB579" s="1394" t="str">
        <f>IF(ISBLANK(BC579),"",LARGE(BB564:BB578,1)+1)</f>
        <v/>
      </c>
      <c r="BC579" s="1912"/>
      <c r="BD579" s="1883"/>
      <c r="BE579" s="1883"/>
      <c r="BF579" s="1884"/>
      <c r="BG579" s="1884"/>
      <c r="BH579" s="1884"/>
      <c r="BI579" s="1884"/>
      <c r="BJ579" s="1884"/>
      <c r="BK579" s="1885"/>
      <c r="BM579" s="3">
        <v>1</v>
      </c>
    </row>
    <row r="580" spans="2:65" ht="21" customHeight="1">
      <c r="B580" s="14"/>
      <c r="C580" s="9"/>
      <c r="D580" s="9"/>
      <c r="E580" s="9"/>
      <c r="F580" s="14"/>
      <c r="G580" s="14"/>
      <c r="H580" s="14"/>
      <c r="I580" s="14"/>
      <c r="J580" s="14"/>
      <c r="K580" s="14"/>
      <c r="L580" s="1394" t="str">
        <f>IF(ISBLANK(M580),"",LARGE(L564:L579,1)+1)</f>
        <v/>
      </c>
      <c r="M580" s="1912"/>
      <c r="N580" s="1883"/>
      <c r="O580" s="1883"/>
      <c r="P580" s="1884"/>
      <c r="Q580" s="1884"/>
      <c r="R580" s="1884"/>
      <c r="S580" s="1884"/>
      <c r="T580" s="1884"/>
      <c r="U580" s="1885"/>
      <c r="W580" s="14"/>
      <c r="X580" s="9"/>
      <c r="Y580" s="9"/>
      <c r="Z580" s="9"/>
      <c r="AA580" s="14"/>
      <c r="AB580" s="14"/>
      <c r="AC580" s="14"/>
      <c r="AD580" s="14"/>
      <c r="AE580" s="14"/>
      <c r="AF580" s="14"/>
      <c r="AG580" s="1394" t="str">
        <f>IF(ISBLANK(AH580),"",LARGE(AG564:AG579,1)+1)</f>
        <v/>
      </c>
      <c r="AH580" s="1912"/>
      <c r="AI580" s="1883"/>
      <c r="AJ580" s="1883"/>
      <c r="AK580" s="1884"/>
      <c r="AL580" s="1884"/>
      <c r="AM580" s="1884"/>
      <c r="AN580" s="1884"/>
      <c r="AO580" s="1884"/>
      <c r="AP580" s="1885"/>
      <c r="AR580" s="14"/>
      <c r="AS580" s="9"/>
      <c r="AT580" s="9"/>
      <c r="AU580" s="9"/>
      <c r="AV580" s="14"/>
      <c r="AW580" s="14"/>
      <c r="AX580" s="14"/>
      <c r="AY580" s="14"/>
      <c r="AZ580" s="14"/>
      <c r="BA580" s="14"/>
      <c r="BB580" s="1394" t="str">
        <f>IF(ISBLANK(BC580),"",LARGE(BB564:BB579,1)+1)</f>
        <v/>
      </c>
      <c r="BC580" s="1912"/>
      <c r="BD580" s="1883"/>
      <c r="BE580" s="1883"/>
      <c r="BF580" s="1884"/>
      <c r="BG580" s="1884"/>
      <c r="BH580" s="1884"/>
      <c r="BI580" s="1884"/>
      <c r="BJ580" s="1884"/>
      <c r="BK580" s="1885"/>
      <c r="BM580" s="3">
        <v>1</v>
      </c>
    </row>
    <row r="581" spans="2:65" ht="21" customHeight="1">
      <c r="B581" s="14"/>
      <c r="C581" s="9"/>
      <c r="D581" s="9"/>
      <c r="E581" s="9"/>
      <c r="F581" s="14"/>
      <c r="G581" s="14"/>
      <c r="H581" s="14"/>
      <c r="I581" s="14"/>
      <c r="J581" s="14"/>
      <c r="K581" s="14"/>
      <c r="L581" s="1394" t="str">
        <f>IF(ISBLANK(M581),"",LARGE(L564:L580,1)+1)</f>
        <v/>
      </c>
      <c r="M581" s="1912"/>
      <c r="N581" s="1883"/>
      <c r="O581" s="1883"/>
      <c r="P581" s="1884"/>
      <c r="Q581" s="1884"/>
      <c r="R581" s="1884"/>
      <c r="S581" s="1884"/>
      <c r="T581" s="1884"/>
      <c r="U581" s="1885"/>
      <c r="W581" s="14"/>
      <c r="X581" s="9"/>
      <c r="Y581" s="9"/>
      <c r="Z581" s="9"/>
      <c r="AA581" s="14"/>
      <c r="AB581" s="14"/>
      <c r="AC581" s="14"/>
      <c r="AD581" s="14"/>
      <c r="AE581" s="14"/>
      <c r="AF581" s="14"/>
      <c r="AG581" s="1394" t="str">
        <f>IF(ISBLANK(AH581),"",LARGE(AG564:AG580,1)+1)</f>
        <v/>
      </c>
      <c r="AH581" s="1912"/>
      <c r="AI581" s="1883"/>
      <c r="AJ581" s="1883"/>
      <c r="AK581" s="1884"/>
      <c r="AL581" s="1884"/>
      <c r="AM581" s="1884"/>
      <c r="AN581" s="1884"/>
      <c r="AO581" s="1884"/>
      <c r="AP581" s="1885"/>
      <c r="AR581" s="14"/>
      <c r="AS581" s="9"/>
      <c r="AT581" s="9"/>
      <c r="AU581" s="9"/>
      <c r="AV581" s="14"/>
      <c r="AW581" s="14"/>
      <c r="AX581" s="14"/>
      <c r="AY581" s="14"/>
      <c r="AZ581" s="14"/>
      <c r="BA581" s="14"/>
      <c r="BB581" s="1394" t="str">
        <f>IF(ISBLANK(BC581),"",LARGE(BB564:BB580,1)+1)</f>
        <v/>
      </c>
      <c r="BC581" s="1912"/>
      <c r="BD581" s="1883"/>
      <c r="BE581" s="1883"/>
      <c r="BF581" s="1884"/>
      <c r="BG581" s="1884"/>
      <c r="BH581" s="1884"/>
      <c r="BI581" s="1884"/>
      <c r="BJ581" s="1884"/>
      <c r="BK581" s="1885"/>
      <c r="BM581" s="3">
        <v>1</v>
      </c>
    </row>
    <row r="582" spans="2:65" ht="21" customHeight="1">
      <c r="B582" s="14"/>
      <c r="C582" s="9"/>
      <c r="D582" s="9"/>
      <c r="E582" s="9"/>
      <c r="F582" s="14"/>
      <c r="G582" s="14"/>
      <c r="H582" s="14"/>
      <c r="I582" s="14"/>
      <c r="J582" s="14"/>
      <c r="K582" s="14"/>
      <c r="L582" s="1394" t="str">
        <f>IF(ISBLANK(M582),"",LARGE(L564:L581,1)+1)</f>
        <v/>
      </c>
      <c r="M582" s="1912"/>
      <c r="N582" s="1883"/>
      <c r="O582" s="1883"/>
      <c r="P582" s="1884"/>
      <c r="Q582" s="1884"/>
      <c r="R582" s="1884"/>
      <c r="S582" s="1884"/>
      <c r="T582" s="1884"/>
      <c r="U582" s="1885"/>
      <c r="W582" s="14"/>
      <c r="X582" s="9"/>
      <c r="Y582" s="9"/>
      <c r="Z582" s="9"/>
      <c r="AA582" s="14"/>
      <c r="AB582" s="14"/>
      <c r="AC582" s="14"/>
      <c r="AD582" s="14"/>
      <c r="AE582" s="14"/>
      <c r="AF582" s="14"/>
      <c r="AG582" s="1394" t="str">
        <f>IF(ISBLANK(AH582),"",LARGE(AG564:AG581,1)+1)</f>
        <v/>
      </c>
      <c r="AH582" s="1912"/>
      <c r="AI582" s="1883"/>
      <c r="AJ582" s="1883"/>
      <c r="AK582" s="1884"/>
      <c r="AL582" s="1884"/>
      <c r="AM582" s="1884"/>
      <c r="AN582" s="1884"/>
      <c r="AO582" s="1884"/>
      <c r="AP582" s="1885"/>
      <c r="AR582" s="14"/>
      <c r="AS582" s="9"/>
      <c r="AT582" s="9"/>
      <c r="AU582" s="9"/>
      <c r="AV582" s="14"/>
      <c r="AW582" s="14"/>
      <c r="AX582" s="14"/>
      <c r="AY582" s="14"/>
      <c r="AZ582" s="14"/>
      <c r="BA582" s="14"/>
      <c r="BB582" s="1394" t="str">
        <f>IF(ISBLANK(BC582),"",LARGE(BB564:BB581,1)+1)</f>
        <v/>
      </c>
      <c r="BC582" s="1912"/>
      <c r="BD582" s="1883"/>
      <c r="BE582" s="1883"/>
      <c r="BF582" s="1884"/>
      <c r="BG582" s="1884"/>
      <c r="BH582" s="1884"/>
      <c r="BI582" s="1884"/>
      <c r="BJ582" s="1884"/>
      <c r="BK582" s="1885"/>
      <c r="BM582" s="3">
        <v>1</v>
      </c>
    </row>
    <row r="583" spans="2:65" ht="21" customHeight="1">
      <c r="B583" s="14"/>
      <c r="C583" s="9"/>
      <c r="D583" s="9"/>
      <c r="E583" s="9"/>
      <c r="F583" s="14"/>
      <c r="G583" s="14"/>
      <c r="H583" s="14"/>
      <c r="I583" s="14"/>
      <c r="J583" s="14"/>
      <c r="K583" s="14"/>
      <c r="L583" s="1963" t="s">
        <v>8629</v>
      </c>
      <c r="M583" s="1844"/>
      <c r="N583" s="1844"/>
      <c r="O583" s="1844"/>
      <c r="P583" s="1844"/>
      <c r="Q583" s="1844"/>
      <c r="R583" s="1844"/>
      <c r="S583" s="1844"/>
      <c r="T583" s="1844"/>
      <c r="U583" s="1964" t="s">
        <v>8629</v>
      </c>
      <c r="W583" s="14"/>
      <c r="X583" s="9"/>
      <c r="Y583" s="9"/>
      <c r="Z583" s="9"/>
      <c r="AA583" s="14"/>
      <c r="AB583" s="14"/>
      <c r="AC583" s="14"/>
      <c r="AD583" s="14"/>
      <c r="AE583" s="14"/>
      <c r="AF583" s="14"/>
      <c r="AG583" s="1963" t="s">
        <v>8630</v>
      </c>
      <c r="AH583" s="1844"/>
      <c r="AI583" s="1844"/>
      <c r="AJ583" s="1844"/>
      <c r="AK583" s="1844"/>
      <c r="AL583" s="1844"/>
      <c r="AM583" s="1844"/>
      <c r="AN583" s="1844"/>
      <c r="AO583" s="1844"/>
      <c r="AP583" s="1964" t="s">
        <v>8630</v>
      </c>
      <c r="BB583" s="1963" t="s">
        <v>8631</v>
      </c>
      <c r="BC583" s="1844"/>
      <c r="BD583" s="1844"/>
      <c r="BE583" s="1844"/>
      <c r="BF583" s="1844"/>
      <c r="BG583" s="1844"/>
      <c r="BH583" s="1844"/>
      <c r="BI583" s="1844"/>
      <c r="BJ583" s="1844"/>
      <c r="BK583" s="1964" t="s">
        <v>8631</v>
      </c>
      <c r="BM583" s="3">
        <v>1</v>
      </c>
    </row>
    <row r="584" spans="2:65" ht="21" customHeight="1">
      <c r="B584" s="14"/>
      <c r="C584" s="9"/>
      <c r="D584" s="9"/>
      <c r="E584" s="9"/>
      <c r="F584" s="14"/>
      <c r="G584" s="14"/>
      <c r="H584" s="14"/>
      <c r="I584" s="14"/>
      <c r="J584" s="14"/>
      <c r="K584" s="14"/>
      <c r="L584" s="1372" t="s">
        <v>8145</v>
      </c>
      <c r="M584" s="1827"/>
      <c r="N584" s="230"/>
      <c r="O584" s="230"/>
      <c r="P584" s="230"/>
      <c r="Q584" s="230"/>
      <c r="R584" s="231"/>
      <c r="S584" s="231"/>
      <c r="T584" s="231"/>
      <c r="U584" s="585" t="s">
        <v>315</v>
      </c>
      <c r="W584" s="14"/>
      <c r="X584" s="9"/>
      <c r="Y584" s="9"/>
      <c r="Z584" s="9"/>
      <c r="AA584" s="14"/>
      <c r="AB584" s="14"/>
      <c r="AC584" s="14"/>
      <c r="AD584" s="14"/>
      <c r="AE584" s="14"/>
      <c r="AF584" s="14"/>
      <c r="AG584" s="1388" t="s">
        <v>8216</v>
      </c>
      <c r="AH584" s="1827"/>
      <c r="AI584" s="230"/>
      <c r="AJ584" s="230"/>
      <c r="AK584" s="230"/>
      <c r="AL584" s="230"/>
      <c r="AM584" s="231"/>
      <c r="AN584" s="231"/>
      <c r="AO584" s="231"/>
      <c r="AP584" s="585" t="s">
        <v>315</v>
      </c>
      <c r="AR584" s="14"/>
      <c r="AS584" s="9"/>
      <c r="AT584" s="9"/>
      <c r="AU584" s="9"/>
      <c r="AV584" s="14"/>
      <c r="AW584" s="14"/>
      <c r="AX584" s="14"/>
      <c r="AY584" s="14"/>
      <c r="AZ584" s="14"/>
      <c r="BA584" s="14"/>
      <c r="BB584" s="1372" t="s">
        <v>8217</v>
      </c>
      <c r="BC584" s="1827"/>
      <c r="BD584" s="230"/>
      <c r="BE584" s="230"/>
      <c r="BF584" s="230"/>
      <c r="BG584" s="230"/>
      <c r="BH584" s="231"/>
      <c r="BI584" s="231"/>
      <c r="BJ584" s="231"/>
      <c r="BK584" s="585" t="s">
        <v>1387</v>
      </c>
      <c r="BM584" s="3">
        <v>1</v>
      </c>
    </row>
    <row r="585" spans="2:65" ht="21" customHeight="1">
      <c r="B585" s="14"/>
      <c r="C585" s="9"/>
      <c r="D585" s="9"/>
      <c r="E585" s="9"/>
      <c r="F585" s="14"/>
      <c r="G585" s="14"/>
      <c r="H585" s="14"/>
      <c r="I585" s="14"/>
      <c r="J585" s="14"/>
      <c r="K585" s="14"/>
      <c r="L585" s="1392">
        <v>0</v>
      </c>
      <c r="M585" s="1912"/>
      <c r="N585" s="1919"/>
      <c r="O585" s="1920"/>
      <c r="P585" s="1917" t="s">
        <v>322</v>
      </c>
      <c r="Q585" s="308"/>
      <c r="R585" s="1412"/>
      <c r="S585" s="1738"/>
      <c r="T585" s="1412"/>
      <c r="U585" s="1926" t="s">
        <v>323</v>
      </c>
      <c r="W585" s="14"/>
      <c r="X585" s="9"/>
      <c r="Y585" s="9"/>
      <c r="Z585" s="9"/>
      <c r="AA585" s="14"/>
      <c r="AB585" s="14"/>
      <c r="AC585" s="14"/>
      <c r="AD585" s="14"/>
      <c r="AE585" s="14"/>
      <c r="AF585" s="14"/>
      <c r="AG585" s="1392">
        <v>0</v>
      </c>
      <c r="AH585" s="1912"/>
      <c r="AI585" s="1919"/>
      <c r="AJ585" s="1920"/>
      <c r="AK585" s="1765" t="s">
        <v>755</v>
      </c>
      <c r="AL585" s="308"/>
      <c r="AM585" s="1412"/>
      <c r="AN585" s="1738"/>
      <c r="AO585" s="1412"/>
      <c r="AP585" s="1926" t="s">
        <v>1388</v>
      </c>
      <c r="AR585" s="14"/>
      <c r="AS585" s="9"/>
      <c r="AT585" s="9"/>
      <c r="AU585" s="9"/>
      <c r="AV585" s="14"/>
      <c r="AW585" s="14"/>
      <c r="AX585" s="14"/>
      <c r="AY585" s="14"/>
      <c r="AZ585" s="14"/>
      <c r="BA585" s="14"/>
      <c r="BB585" s="1392">
        <v>0</v>
      </c>
      <c r="BC585" s="1912"/>
      <c r="BD585" s="1919"/>
      <c r="BE585" s="1920"/>
      <c r="BF585" s="1917" t="s">
        <v>322</v>
      </c>
      <c r="BG585" s="308"/>
      <c r="BH585" s="1412"/>
      <c r="BI585" s="1738"/>
      <c r="BJ585" s="1412"/>
      <c r="BK585" s="1926" t="s">
        <v>323</v>
      </c>
      <c r="BM585" s="3">
        <v>1</v>
      </c>
    </row>
    <row r="586" spans="2:65" ht="21" customHeight="1">
      <c r="B586" s="14"/>
      <c r="C586" s="9"/>
      <c r="D586" s="9"/>
      <c r="E586" s="9"/>
      <c r="F586" s="14"/>
      <c r="G586" s="14"/>
      <c r="H586" s="14"/>
      <c r="I586" s="14"/>
      <c r="J586" s="14"/>
      <c r="K586" s="14"/>
      <c r="L586" s="1394" t="str">
        <f>IF(ISBLANK(M586),"",LARGE(L585:L585,1)+1)</f>
        <v/>
      </c>
      <c r="M586" s="1912"/>
      <c r="N586" s="1886"/>
      <c r="O586" s="1920"/>
      <c r="P586" s="1766" t="s">
        <v>324</v>
      </c>
      <c r="Q586" s="308">
        <v>3</v>
      </c>
      <c r="R586" s="1413"/>
      <c r="S586" s="1413"/>
      <c r="T586" s="1413" t="s">
        <v>325</v>
      </c>
      <c r="U586" s="1400" t="s">
        <v>219</v>
      </c>
      <c r="W586" s="14"/>
      <c r="X586" s="9"/>
      <c r="Y586" s="9"/>
      <c r="Z586" s="9"/>
      <c r="AA586" s="14"/>
      <c r="AB586" s="14"/>
      <c r="AC586" s="14"/>
      <c r="AD586" s="14"/>
      <c r="AE586" s="14"/>
      <c r="AF586" s="14"/>
      <c r="AG586" s="1394" t="str">
        <f>IF(ISBLANK(AH586),"",LARGE(AG585:AG585,1)+1)</f>
        <v/>
      </c>
      <c r="AH586" s="1912"/>
      <c r="AI586" s="1886"/>
      <c r="AJ586" s="1920"/>
      <c r="AK586" s="1766" t="s">
        <v>758</v>
      </c>
      <c r="AL586" s="308">
        <v>3</v>
      </c>
      <c r="AM586" s="1413"/>
      <c r="AN586" s="1413"/>
      <c r="AO586" s="1413" t="s">
        <v>759</v>
      </c>
      <c r="AP586" s="1400" t="s">
        <v>219</v>
      </c>
      <c r="AR586" s="14"/>
      <c r="AS586" s="9"/>
      <c r="AT586" s="9"/>
      <c r="AU586" s="9"/>
      <c r="AV586" s="14"/>
      <c r="AW586" s="14"/>
      <c r="AX586" s="14"/>
      <c r="AY586" s="14"/>
      <c r="AZ586" s="14"/>
      <c r="BA586" s="14"/>
      <c r="BB586" s="1394" t="str">
        <f>IF(ISBLANK(BC586),"",LARGE(BB585:BB585,1)+1)</f>
        <v/>
      </c>
      <c r="BC586" s="1912"/>
      <c r="BD586" s="1886"/>
      <c r="BE586" s="1920"/>
      <c r="BF586" s="1766" t="s">
        <v>324</v>
      </c>
      <c r="BG586" s="308">
        <v>3</v>
      </c>
      <c r="BH586" s="1413"/>
      <c r="BI586" s="1413"/>
      <c r="BJ586" s="1413" t="s">
        <v>325</v>
      </c>
      <c r="BK586" s="1400" t="s">
        <v>219</v>
      </c>
      <c r="BM586" s="3">
        <v>1</v>
      </c>
    </row>
    <row r="587" spans="2:65" ht="21" customHeight="1">
      <c r="B587" s="14"/>
      <c r="C587" s="9"/>
      <c r="D587" s="9"/>
      <c r="E587" s="9"/>
      <c r="F587" s="14"/>
      <c r="G587" s="14"/>
      <c r="H587" s="14"/>
      <c r="I587" s="14"/>
      <c r="J587" s="14"/>
      <c r="K587" s="14"/>
      <c r="L587" s="1394" t="str">
        <f>IF(ISBLANK(M587),"",LARGE(L585:L586,1)+1)</f>
        <v/>
      </c>
      <c r="M587" s="1912"/>
      <c r="N587" s="1886"/>
      <c r="O587" s="1920"/>
      <c r="P587" s="1766" t="s">
        <v>326</v>
      </c>
      <c r="Q587" s="308"/>
      <c r="R587" s="1413"/>
      <c r="S587" s="1413"/>
      <c r="T587" s="1413" t="s">
        <v>327</v>
      </c>
      <c r="U587" s="1770"/>
      <c r="W587" s="14"/>
      <c r="X587" s="9"/>
      <c r="Y587" s="9"/>
      <c r="Z587" s="9"/>
      <c r="AA587" s="14"/>
      <c r="AB587" s="14"/>
      <c r="AC587" s="14"/>
      <c r="AD587" s="14"/>
      <c r="AE587" s="14"/>
      <c r="AF587" s="14"/>
      <c r="AG587" s="1394" t="str">
        <f>IF(ISBLANK(AH587),"",LARGE(AG585:AG586,1)+1)</f>
        <v/>
      </c>
      <c r="AH587" s="1912"/>
      <c r="AI587" s="1886"/>
      <c r="AJ587" s="1920"/>
      <c r="AK587" s="1766" t="s">
        <v>762</v>
      </c>
      <c r="AL587" s="308"/>
      <c r="AM587" s="1413"/>
      <c r="AN587" s="1413"/>
      <c r="AO587" s="1413" t="s">
        <v>763</v>
      </c>
      <c r="AP587" s="1770"/>
      <c r="AR587" s="14"/>
      <c r="AS587" s="9"/>
      <c r="AT587" s="9"/>
      <c r="AU587" s="9"/>
      <c r="AV587" s="14"/>
      <c r="AW587" s="14"/>
      <c r="AX587" s="14"/>
      <c r="AY587" s="14"/>
      <c r="AZ587" s="14"/>
      <c r="BA587" s="14"/>
      <c r="BB587" s="1394" t="str">
        <f>IF(ISBLANK(BC587),"",LARGE(BB585:BB586,1)+1)</f>
        <v/>
      </c>
      <c r="BC587" s="1912"/>
      <c r="BD587" s="1886"/>
      <c r="BE587" s="1920"/>
      <c r="BF587" s="1766" t="s">
        <v>326</v>
      </c>
      <c r="BG587" s="308"/>
      <c r="BH587" s="1413"/>
      <c r="BI587" s="1413"/>
      <c r="BJ587" s="1413" t="s">
        <v>327</v>
      </c>
      <c r="BK587" s="1770"/>
      <c r="BM587" s="3">
        <v>1</v>
      </c>
    </row>
    <row r="588" spans="2:65" ht="21" customHeight="1">
      <c r="B588" s="14"/>
      <c r="C588" s="9"/>
      <c r="D588" s="9"/>
      <c r="E588" s="9"/>
      <c r="F588" s="14"/>
      <c r="G588" s="14"/>
      <c r="H588" s="14"/>
      <c r="I588" s="14"/>
      <c r="J588" s="14"/>
      <c r="K588" s="14"/>
      <c r="L588" s="1394" t="str">
        <f>IF(ISBLANK(M588),"",LARGE(L585:L587,1)+1)</f>
        <v/>
      </c>
      <c r="M588" s="1912"/>
      <c r="N588" s="1886"/>
      <c r="O588" s="1920"/>
      <c r="P588" s="1766" t="s">
        <v>328</v>
      </c>
      <c r="Q588" s="308">
        <v>1</v>
      </c>
      <c r="R588" s="1414"/>
      <c r="S588" s="1414"/>
      <c r="T588" s="1414" t="s">
        <v>329</v>
      </c>
      <c r="U588" s="1771"/>
      <c r="W588" s="14"/>
      <c r="X588" s="9"/>
      <c r="Y588" s="9"/>
      <c r="Z588" s="9"/>
      <c r="AA588" s="14"/>
      <c r="AB588" s="14"/>
      <c r="AC588" s="14"/>
      <c r="AD588" s="14"/>
      <c r="AE588" s="14"/>
      <c r="AF588" s="14"/>
      <c r="AG588" s="1394" t="str">
        <f>IF(ISBLANK(AH588),"",LARGE(AG585:AG587,1)+1)</f>
        <v/>
      </c>
      <c r="AH588" s="1912"/>
      <c r="AI588" s="1886"/>
      <c r="AJ588" s="1920"/>
      <c r="AK588" s="1766" t="s">
        <v>1389</v>
      </c>
      <c r="AL588" s="308">
        <v>1</v>
      </c>
      <c r="AM588" s="1414"/>
      <c r="AN588" s="1414"/>
      <c r="AO588" s="1414" t="s">
        <v>1390</v>
      </c>
      <c r="AP588" s="1771"/>
      <c r="AR588" s="14"/>
      <c r="AS588" s="9"/>
      <c r="AT588" s="9"/>
      <c r="AU588" s="9"/>
      <c r="AV588" s="14"/>
      <c r="AW588" s="14"/>
      <c r="AX588" s="14"/>
      <c r="AY588" s="14"/>
      <c r="AZ588" s="14"/>
      <c r="BA588" s="14"/>
      <c r="BB588" s="1394" t="str">
        <f>IF(ISBLANK(BC588),"",LARGE(BB585:BB587,1)+1)</f>
        <v/>
      </c>
      <c r="BC588" s="1912"/>
      <c r="BD588" s="1886"/>
      <c r="BE588" s="1920"/>
      <c r="BF588" s="1766" t="s">
        <v>328</v>
      </c>
      <c r="BG588" s="308">
        <v>1</v>
      </c>
      <c r="BH588" s="1414"/>
      <c r="BI588" s="1414"/>
      <c r="BJ588" s="1414" t="s">
        <v>329</v>
      </c>
      <c r="BK588" s="1771"/>
      <c r="BM588" s="3">
        <v>1</v>
      </c>
    </row>
    <row r="589" spans="2:65" ht="21" customHeight="1">
      <c r="B589" s="14"/>
      <c r="C589" s="9"/>
      <c r="D589" s="9"/>
      <c r="E589" s="9"/>
      <c r="F589" s="14"/>
      <c r="G589" s="14"/>
      <c r="H589" s="14"/>
      <c r="I589" s="14"/>
      <c r="J589" s="14"/>
      <c r="K589" s="14"/>
      <c r="L589" s="1394" t="str">
        <f>IF(ISBLANK(M589),"",LARGE(L585:L588,1)+1)</f>
        <v/>
      </c>
      <c r="M589" s="1912"/>
      <c r="N589" s="1886"/>
      <c r="O589" s="1920"/>
      <c r="P589" s="1766" t="s">
        <v>330</v>
      </c>
      <c r="Q589" s="308"/>
      <c r="R589" s="1413"/>
      <c r="S589" s="1413"/>
      <c r="T589" s="1413" t="s">
        <v>325</v>
      </c>
      <c r="U589" s="1770"/>
      <c r="W589" s="14"/>
      <c r="X589" s="9"/>
      <c r="Y589" s="9"/>
      <c r="Z589" s="9"/>
      <c r="AA589" s="14"/>
      <c r="AB589" s="14"/>
      <c r="AC589" s="14"/>
      <c r="AD589" s="14"/>
      <c r="AE589" s="14"/>
      <c r="AF589" s="14"/>
      <c r="AG589" s="1394" t="str">
        <f>IF(ISBLANK(AH589),"",LARGE(AG585:AG588,1)+1)</f>
        <v/>
      </c>
      <c r="AH589" s="1912"/>
      <c r="AI589" s="1886"/>
      <c r="AJ589" s="1920"/>
      <c r="AK589" s="1766" t="s">
        <v>1391</v>
      </c>
      <c r="AL589" s="308"/>
      <c r="AM589" s="1413"/>
      <c r="AN589" s="1413"/>
      <c r="AO589" s="1413" t="s">
        <v>759</v>
      </c>
      <c r="AP589" s="1770"/>
      <c r="AR589" s="14"/>
      <c r="AS589" s="9"/>
      <c r="AT589" s="9"/>
      <c r="AU589" s="9"/>
      <c r="AV589" s="14"/>
      <c r="AW589" s="14"/>
      <c r="AX589" s="14"/>
      <c r="AY589" s="14"/>
      <c r="AZ589" s="14"/>
      <c r="BA589" s="14"/>
      <c r="BB589" s="1394" t="str">
        <f>IF(ISBLANK(BC589),"",LARGE(BB585:BB588,1)+1)</f>
        <v/>
      </c>
      <c r="BC589" s="1912"/>
      <c r="BD589" s="1886"/>
      <c r="BE589" s="1920"/>
      <c r="BF589" s="1766" t="s">
        <v>330</v>
      </c>
      <c r="BG589" s="308"/>
      <c r="BH589" s="1413"/>
      <c r="BI589" s="1413"/>
      <c r="BJ589" s="1413" t="s">
        <v>325</v>
      </c>
      <c r="BK589" s="1770"/>
      <c r="BM589" s="3">
        <v>1</v>
      </c>
    </row>
    <row r="590" spans="2:65" ht="21" customHeight="1">
      <c r="B590" s="14"/>
      <c r="C590" s="9"/>
      <c r="D590" s="9"/>
      <c r="E590" s="9"/>
      <c r="F590" s="14"/>
      <c r="G590" s="14"/>
      <c r="H590" s="14"/>
      <c r="I590" s="14"/>
      <c r="J590" s="14"/>
      <c r="K590" s="14"/>
      <c r="L590" s="1394" t="str">
        <f>IF(ISBLANK(M590),"",LARGE(L585:L589,1)+1)</f>
        <v/>
      </c>
      <c r="M590" s="1912"/>
      <c r="N590" s="1886"/>
      <c r="O590" s="1920"/>
      <c r="P590" s="1766" t="s">
        <v>334</v>
      </c>
      <c r="Q590" s="308"/>
      <c r="R590" s="1413"/>
      <c r="S590" s="1413"/>
      <c r="T590" s="1413" t="s">
        <v>335</v>
      </c>
      <c r="U590" s="1770"/>
      <c r="W590" s="14"/>
      <c r="X590" s="9"/>
      <c r="Y590" s="9"/>
      <c r="Z590" s="9"/>
      <c r="AA590" s="14"/>
      <c r="AB590" s="14"/>
      <c r="AC590" s="14"/>
      <c r="AD590" s="14"/>
      <c r="AE590" s="14"/>
      <c r="AF590" s="14"/>
      <c r="AG590" s="1394" t="str">
        <f>IF(ISBLANK(AH590),"",LARGE(AG585:AG589,1)+1)</f>
        <v/>
      </c>
      <c r="AH590" s="1912"/>
      <c r="AI590" s="1886"/>
      <c r="AJ590" s="1920"/>
      <c r="AK590" s="1766" t="s">
        <v>1392</v>
      </c>
      <c r="AL590" s="308"/>
      <c r="AM590" s="1413"/>
      <c r="AN590" s="1413"/>
      <c r="AO590" s="1413" t="s">
        <v>1393</v>
      </c>
      <c r="AP590" s="1770"/>
      <c r="AR590" s="14"/>
      <c r="AS590" s="9"/>
      <c r="AT590" s="9"/>
      <c r="AU590" s="9"/>
      <c r="AV590" s="14"/>
      <c r="AW590" s="14"/>
      <c r="AX590" s="14"/>
      <c r="AY590" s="14"/>
      <c r="AZ590" s="14"/>
      <c r="BA590" s="14"/>
      <c r="BB590" s="1394" t="str">
        <f>IF(ISBLANK(BC590),"",LARGE(BB585:BB589,1)+1)</f>
        <v/>
      </c>
      <c r="BC590" s="1912"/>
      <c r="BD590" s="1886"/>
      <c r="BE590" s="1920"/>
      <c r="BF590" s="1766" t="s">
        <v>334</v>
      </c>
      <c r="BG590" s="308"/>
      <c r="BH590" s="1413"/>
      <c r="BI590" s="1413"/>
      <c r="BJ590" s="1413" t="s">
        <v>335</v>
      </c>
      <c r="BK590" s="1770"/>
      <c r="BM590" s="3">
        <v>1</v>
      </c>
    </row>
    <row r="591" spans="2:65" ht="21" customHeight="1">
      <c r="B591" s="14"/>
      <c r="C591" s="9"/>
      <c r="D591" s="9"/>
      <c r="E591" s="9"/>
      <c r="F591" s="14"/>
      <c r="G591" s="14"/>
      <c r="H591" s="14"/>
      <c r="I591" s="14"/>
      <c r="J591" s="14"/>
      <c r="K591" s="14"/>
      <c r="L591" s="1394" t="str">
        <f>IF(ISBLANK(M591),"",LARGE(L585:L590,1)+1)</f>
        <v/>
      </c>
      <c r="M591" s="1912"/>
      <c r="N591" s="1886"/>
      <c r="O591" s="1920"/>
      <c r="P591" s="1766" t="s">
        <v>339</v>
      </c>
      <c r="Q591" s="308"/>
      <c r="R591" s="1413"/>
      <c r="S591" s="1413"/>
      <c r="T591" s="1413" t="s">
        <v>327</v>
      </c>
      <c r="U591" s="1772" t="s">
        <v>340</v>
      </c>
      <c r="W591" s="14"/>
      <c r="X591" s="9"/>
      <c r="Y591" s="9"/>
      <c r="Z591" s="9"/>
      <c r="AA591" s="14"/>
      <c r="AB591" s="14"/>
      <c r="AC591" s="14"/>
      <c r="AD591" s="14"/>
      <c r="AE591" s="14"/>
      <c r="AF591" s="14"/>
      <c r="AG591" s="1394" t="str">
        <f>IF(ISBLANK(AH591),"",LARGE(AG585:AG590,1)+1)</f>
        <v/>
      </c>
      <c r="AH591" s="1912"/>
      <c r="AI591" s="1886"/>
      <c r="AJ591" s="1920"/>
      <c r="AK591" s="1766" t="s">
        <v>1394</v>
      </c>
      <c r="AL591" s="308"/>
      <c r="AM591" s="1413"/>
      <c r="AN591" s="1413"/>
      <c r="AO591" s="1413" t="s">
        <v>763</v>
      </c>
      <c r="AP591" s="1772" t="s">
        <v>340</v>
      </c>
      <c r="AR591" s="14"/>
      <c r="AS591" s="9"/>
      <c r="AT591" s="9"/>
      <c r="AU591" s="9"/>
      <c r="AV591" s="14"/>
      <c r="AW591" s="14"/>
      <c r="AX591" s="14"/>
      <c r="AY591" s="14"/>
      <c r="AZ591" s="14"/>
      <c r="BA591" s="14"/>
      <c r="BB591" s="1394" t="str">
        <f>IF(ISBLANK(BC591),"",LARGE(BB585:BB590,1)+1)</f>
        <v/>
      </c>
      <c r="BC591" s="1912"/>
      <c r="BD591" s="1886"/>
      <c r="BE591" s="1920"/>
      <c r="BF591" s="1766" t="s">
        <v>339</v>
      </c>
      <c r="BG591" s="308"/>
      <c r="BH591" s="1413"/>
      <c r="BI591" s="1413"/>
      <c r="BJ591" s="1413" t="s">
        <v>327</v>
      </c>
      <c r="BK591" s="1772" t="s">
        <v>340</v>
      </c>
      <c r="BM591" s="3">
        <v>1</v>
      </c>
    </row>
    <row r="592" spans="2:65" ht="21" customHeight="1" thickBot="1">
      <c r="B592" s="14"/>
      <c r="C592" s="9"/>
      <c r="D592" s="9"/>
      <c r="E592" s="9"/>
      <c r="F592" s="14"/>
      <c r="G592" s="14"/>
      <c r="H592" s="14"/>
      <c r="I592" s="14"/>
      <c r="J592" s="14"/>
      <c r="K592" s="14"/>
      <c r="L592" s="1394" t="str">
        <f>IF(ISBLANK(M592),"",LARGE(L585:L591,1)+1)</f>
        <v/>
      </c>
      <c r="M592" s="1912"/>
      <c r="N592" s="1886"/>
      <c r="O592" s="1920"/>
      <c r="P592" s="1766" t="s">
        <v>342</v>
      </c>
      <c r="Q592" s="326"/>
      <c r="R592" s="1415"/>
      <c r="S592" s="1415"/>
      <c r="T592" s="1415" t="s">
        <v>343</v>
      </c>
      <c r="U592" s="1771"/>
      <c r="W592" s="14"/>
      <c r="X592" s="9"/>
      <c r="Y592" s="9"/>
      <c r="Z592" s="9"/>
      <c r="AA592" s="14"/>
      <c r="AB592" s="14"/>
      <c r="AC592" s="14"/>
      <c r="AD592" s="14"/>
      <c r="AE592" s="14"/>
      <c r="AF592" s="14"/>
      <c r="AG592" s="1394" t="str">
        <f>IF(ISBLANK(AH592),"",LARGE(AG585:AG591,1)+1)</f>
        <v/>
      </c>
      <c r="AH592" s="1912"/>
      <c r="AI592" s="1886"/>
      <c r="AJ592" s="1920"/>
      <c r="AK592" s="1766" t="s">
        <v>1396</v>
      </c>
      <c r="AL592" s="326"/>
      <c r="AM592" s="1415"/>
      <c r="AN592" s="1415"/>
      <c r="AO592" s="1415" t="s">
        <v>1395</v>
      </c>
      <c r="AP592" s="1771"/>
      <c r="AR592" s="14"/>
      <c r="AS592" s="9"/>
      <c r="AT592" s="9"/>
      <c r="AU592" s="9"/>
      <c r="AV592" s="14"/>
      <c r="AW592" s="14"/>
      <c r="AX592" s="14"/>
      <c r="AY592" s="14"/>
      <c r="AZ592" s="14"/>
      <c r="BA592" s="14"/>
      <c r="BB592" s="1394" t="str">
        <f>IF(ISBLANK(BC592),"",LARGE(BB585:BB591,1)+1)</f>
        <v/>
      </c>
      <c r="BC592" s="1912"/>
      <c r="BD592" s="1886"/>
      <c r="BE592" s="1920"/>
      <c r="BF592" s="1766" t="s">
        <v>342</v>
      </c>
      <c r="BG592" s="326"/>
      <c r="BH592" s="1415"/>
      <c r="BI592" s="1415"/>
      <c r="BJ592" s="1415" t="s">
        <v>343</v>
      </c>
      <c r="BK592" s="1771"/>
      <c r="BM592" s="3">
        <v>1</v>
      </c>
    </row>
    <row r="593" spans="2:65" ht="21" customHeight="1" thickTop="1">
      <c r="B593" s="14"/>
      <c r="C593" s="9"/>
      <c r="D593" s="9"/>
      <c r="E593" s="9"/>
      <c r="F593" s="14"/>
      <c r="G593" s="14"/>
      <c r="H593" s="14"/>
      <c r="I593" s="14"/>
      <c r="J593" s="14"/>
      <c r="K593" s="14"/>
      <c r="L593" s="1394" t="str">
        <f>IF(ISBLANK(M593),"",LARGE(L585:L592,1)+1)</f>
        <v/>
      </c>
      <c r="M593" s="1912"/>
      <c r="N593" s="1886"/>
      <c r="O593" s="1920"/>
      <c r="P593" s="1767" t="s">
        <v>347</v>
      </c>
      <c r="Q593" s="328" t="str">
        <f>SUM(Q585:Q592) &amp; " / " &amp; (COUNTA(Q585:Q592) * 3)</f>
        <v>4 / 6</v>
      </c>
      <c r="R593" s="1413"/>
      <c r="S593" s="1413"/>
      <c r="T593" s="1413" t="s">
        <v>349</v>
      </c>
      <c r="U593" s="1446" t="s">
        <v>348</v>
      </c>
      <c r="W593" s="14"/>
      <c r="X593" s="9"/>
      <c r="Y593" s="9"/>
      <c r="Z593" s="9"/>
      <c r="AA593" s="14"/>
      <c r="AB593" s="14"/>
      <c r="AC593" s="14"/>
      <c r="AD593" s="14"/>
      <c r="AE593" s="14"/>
      <c r="AF593" s="14"/>
      <c r="AG593" s="1394" t="str">
        <f>IF(ISBLANK(AH593),"",LARGE(AG585:AG592,1)+1)</f>
        <v/>
      </c>
      <c r="AH593" s="1912"/>
      <c r="AI593" s="1886"/>
      <c r="AJ593" s="1920"/>
      <c r="AK593" s="1767" t="s">
        <v>766</v>
      </c>
      <c r="AL593" s="328" t="str">
        <f>SUM(AL585:AL592) &amp; " / " &amp; (COUNTA(AL585:AL592) * 3)</f>
        <v>4 / 6</v>
      </c>
      <c r="AM593" s="1413"/>
      <c r="AN593" s="1413"/>
      <c r="AO593" s="1413" t="s">
        <v>349</v>
      </c>
      <c r="AP593" s="1446" t="s">
        <v>348</v>
      </c>
      <c r="AR593" s="14"/>
      <c r="AS593" s="9"/>
      <c r="AT593" s="9"/>
      <c r="AU593" s="9"/>
      <c r="AV593" s="14"/>
      <c r="AW593" s="14"/>
      <c r="AX593" s="14"/>
      <c r="AY593" s="14"/>
      <c r="AZ593" s="14"/>
      <c r="BA593" s="14"/>
      <c r="BB593" s="1394" t="str">
        <f>IF(ISBLANK(BC593),"",LARGE(BB585:BB592,1)+1)</f>
        <v/>
      </c>
      <c r="BC593" s="1912"/>
      <c r="BD593" s="1886"/>
      <c r="BE593" s="1920"/>
      <c r="BF593" s="1767" t="s">
        <v>347</v>
      </c>
      <c r="BG593" s="328" t="str">
        <f>SUM(BG585:BG592) &amp; " / " &amp; (COUNTA(BG585:BG592) * 3)</f>
        <v>4 / 6</v>
      </c>
      <c r="BH593" s="1413"/>
      <c r="BI593" s="1413"/>
      <c r="BJ593" s="1413" t="s">
        <v>349</v>
      </c>
      <c r="BK593" s="1446" t="s">
        <v>348</v>
      </c>
      <c r="BM593" s="3">
        <v>1</v>
      </c>
    </row>
    <row r="594" spans="2:65" ht="21" customHeight="1">
      <c r="B594" s="14"/>
      <c r="C594" s="9"/>
      <c r="D594" s="9"/>
      <c r="E594" s="9"/>
      <c r="F594" s="14"/>
      <c r="G594" s="14"/>
      <c r="H594" s="14"/>
      <c r="I594" s="14"/>
      <c r="J594" s="14"/>
      <c r="K594" s="14"/>
      <c r="L594" s="1394" t="str">
        <f>IF(ISBLANK(M594),"",LARGE(L585:L593,1)+1)</f>
        <v/>
      </c>
      <c r="M594" s="1912"/>
      <c r="N594" s="1886"/>
      <c r="O594" s="1920"/>
      <c r="P594" s="1768" t="s">
        <v>350</v>
      </c>
      <c r="Q594" s="330" t="str">
        <f>SUM(Q585:Q592) &amp;"/ "&amp;Q595</f>
        <v>4/ 24</v>
      </c>
      <c r="R594" s="1413"/>
      <c r="S594" s="1413"/>
      <c r="T594" s="1413" t="s">
        <v>327</v>
      </c>
      <c r="U594" s="1770"/>
      <c r="W594" s="14"/>
      <c r="X594" s="9"/>
      <c r="Y594" s="9"/>
      <c r="Z594" s="9"/>
      <c r="AA594" s="14"/>
      <c r="AB594" s="14"/>
      <c r="AC594" s="14"/>
      <c r="AD594" s="14"/>
      <c r="AE594" s="14"/>
      <c r="AF594" s="14"/>
      <c r="AG594" s="1394" t="str">
        <f>IF(ISBLANK(AH594),"",LARGE(AG585:AG593,1)+1)</f>
        <v/>
      </c>
      <c r="AH594" s="1912"/>
      <c r="AI594" s="1886"/>
      <c r="AJ594" s="1920"/>
      <c r="AK594" s="1768" t="s">
        <v>768</v>
      </c>
      <c r="AL594" s="330" t="str">
        <f>SUM(AL585:AL592) &amp;"/ "&amp;AL595</f>
        <v>4/ 24</v>
      </c>
      <c r="AM594" s="1413"/>
      <c r="AN594" s="1413"/>
      <c r="AO594" s="1413" t="s">
        <v>763</v>
      </c>
      <c r="AP594" s="1770"/>
      <c r="AR594" s="14"/>
      <c r="AS594" s="9"/>
      <c r="AT594" s="9"/>
      <c r="AU594" s="9"/>
      <c r="AV594" s="14"/>
      <c r="AW594" s="14"/>
      <c r="AX594" s="14"/>
      <c r="AY594" s="14"/>
      <c r="AZ594" s="14"/>
      <c r="BA594" s="14"/>
      <c r="BB594" s="1394" t="str">
        <f>IF(ISBLANK(BC594),"",LARGE(BB585:BB593,1)+1)</f>
        <v/>
      </c>
      <c r="BC594" s="1912"/>
      <c r="BD594" s="1886"/>
      <c r="BE594" s="1920"/>
      <c r="BF594" s="1768" t="s">
        <v>350</v>
      </c>
      <c r="BG594" s="330" t="str">
        <f>SUM(BG585:BG592) &amp;"/ "&amp;BG595</f>
        <v>4/ 24</v>
      </c>
      <c r="BH594" s="1413"/>
      <c r="BI594" s="1413"/>
      <c r="BJ594" s="1413" t="s">
        <v>327</v>
      </c>
      <c r="BK594" s="1770"/>
      <c r="BM594" s="3">
        <v>1</v>
      </c>
    </row>
    <row r="595" spans="2:65" ht="21" customHeight="1" thickBot="1">
      <c r="B595" s="14"/>
      <c r="C595" s="9"/>
      <c r="D595" s="9"/>
      <c r="E595" s="9"/>
      <c r="F595" s="14"/>
      <c r="G595" s="14"/>
      <c r="H595" s="14"/>
      <c r="I595" s="14"/>
      <c r="J595" s="14"/>
      <c r="K595" s="14"/>
      <c r="L595" s="1394" t="str">
        <f>IF(ISBLANK(M595),"",LARGE(L585:L594,1)+1)</f>
        <v/>
      </c>
      <c r="M595" s="1912"/>
      <c r="N595" s="1886"/>
      <c r="O595" s="1920"/>
      <c r="P595" s="1769" t="s">
        <v>357</v>
      </c>
      <c r="Q595" s="332">
        <v>24</v>
      </c>
      <c r="R595" s="1415"/>
      <c r="S595" s="1415"/>
      <c r="T595" s="1415" t="s">
        <v>358</v>
      </c>
      <c r="U595" s="1773"/>
      <c r="W595" s="14"/>
      <c r="X595" s="9"/>
      <c r="Y595" s="9"/>
      <c r="Z595" s="9"/>
      <c r="AA595" s="14"/>
      <c r="AB595" s="14"/>
      <c r="AC595" s="14"/>
      <c r="AD595" s="14"/>
      <c r="AE595" s="14"/>
      <c r="AF595" s="14"/>
      <c r="AG595" s="1394" t="str">
        <f>IF(ISBLANK(AH595),"",LARGE(AG585:AG594,1)+1)</f>
        <v/>
      </c>
      <c r="AH595" s="1912"/>
      <c r="AI595" s="1886"/>
      <c r="AJ595" s="1920"/>
      <c r="AK595" s="1769" t="s">
        <v>1397</v>
      </c>
      <c r="AL595" s="332">
        <v>24</v>
      </c>
      <c r="AM595" s="1415"/>
      <c r="AN595" s="1415"/>
      <c r="AO595" s="1415" t="s">
        <v>358</v>
      </c>
      <c r="AP595" s="1773"/>
      <c r="AR595" s="14"/>
      <c r="AS595" s="9"/>
      <c r="AT595" s="9"/>
      <c r="AU595" s="9"/>
      <c r="AV595" s="14"/>
      <c r="AW595" s="14"/>
      <c r="AX595" s="14"/>
      <c r="AY595" s="14"/>
      <c r="AZ595" s="14"/>
      <c r="BA595" s="14"/>
      <c r="BB595" s="1394" t="str">
        <f>IF(ISBLANK(BC595),"",LARGE(BB585:BB594,1)+1)</f>
        <v/>
      </c>
      <c r="BC595" s="1912"/>
      <c r="BD595" s="1886"/>
      <c r="BE595" s="1920"/>
      <c r="BF595" s="1769" t="s">
        <v>357</v>
      </c>
      <c r="BG595" s="332">
        <v>24</v>
      </c>
      <c r="BH595" s="1415"/>
      <c r="BI595" s="1415"/>
      <c r="BJ595" s="1415" t="s">
        <v>358</v>
      </c>
      <c r="BK595" s="1773"/>
      <c r="BM595" s="3">
        <v>1</v>
      </c>
    </row>
    <row r="596" spans="2:65" ht="21" customHeight="1" thickTop="1">
      <c r="B596" s="14"/>
      <c r="C596" s="9"/>
      <c r="D596" s="9"/>
      <c r="E596" s="9"/>
      <c r="F596" s="14"/>
      <c r="G596" s="14"/>
      <c r="H596" s="14"/>
      <c r="I596" s="14"/>
      <c r="J596" s="14"/>
      <c r="K596" s="14"/>
      <c r="L596" s="1394" t="str">
        <f>IF(ISBLANK(M596),"",LARGE(L585:L595,1)+1)</f>
        <v/>
      </c>
      <c r="M596" s="1912"/>
      <c r="N596" s="1886"/>
      <c r="O596" s="436"/>
      <c r="P596" s="1922"/>
      <c r="Q596" s="1922"/>
      <c r="R596" s="1922"/>
      <c r="S596" s="1920"/>
      <c r="T596" s="9"/>
      <c r="U596" s="1774" t="s">
        <v>772</v>
      </c>
      <c r="W596" s="14"/>
      <c r="X596" s="9"/>
      <c r="Y596" s="9"/>
      <c r="Z596" s="9"/>
      <c r="AA596" s="14"/>
      <c r="AB596" s="14"/>
      <c r="AC596" s="14"/>
      <c r="AD596" s="14"/>
      <c r="AE596" s="14"/>
      <c r="AF596" s="14"/>
      <c r="AG596" s="1394" t="str">
        <f>IF(ISBLANK(AH596),"",LARGE(AG585:AG595,1)+1)</f>
        <v/>
      </c>
      <c r="AH596" s="1912"/>
      <c r="AI596" s="1886"/>
      <c r="AJ596" s="436"/>
      <c r="AK596" s="1922"/>
      <c r="AL596" s="1922"/>
      <c r="AM596" s="1922"/>
      <c r="AN596" s="1920"/>
      <c r="AO596" s="9"/>
      <c r="AP596" s="1774" t="s">
        <v>772</v>
      </c>
      <c r="AR596" s="14"/>
      <c r="AS596" s="9"/>
      <c r="AT596" s="9"/>
      <c r="AU596" s="9"/>
      <c r="AV596" s="14"/>
      <c r="AW596" s="14"/>
      <c r="AX596" s="14"/>
      <c r="AY596" s="14"/>
      <c r="AZ596" s="14"/>
      <c r="BA596" s="14"/>
      <c r="BB596" s="1394" t="str">
        <f>IF(ISBLANK(BC596),"",LARGE(BB585:BB595,1)+1)</f>
        <v/>
      </c>
      <c r="BC596" s="1912"/>
      <c r="BD596" s="1886"/>
      <c r="BE596" s="436"/>
      <c r="BF596" s="1922"/>
      <c r="BG596" s="1922"/>
      <c r="BH596" s="1922"/>
      <c r="BI596" s="1920"/>
      <c r="BJ596" s="9"/>
      <c r="BK596" s="1774" t="s">
        <v>772</v>
      </c>
      <c r="BM596" s="3">
        <v>1</v>
      </c>
    </row>
    <row r="597" spans="2:65" ht="21" customHeight="1">
      <c r="B597" s="14"/>
      <c r="C597" s="9"/>
      <c r="D597" s="9"/>
      <c r="E597" s="9"/>
      <c r="F597" s="14"/>
      <c r="G597" s="14"/>
      <c r="H597" s="14"/>
      <c r="I597" s="14"/>
      <c r="J597" s="14"/>
      <c r="K597" s="14"/>
      <c r="L597" s="1394" t="str">
        <f>IF(ISBLANK(M597),"",LARGE(L585:L596,1)+1)</f>
        <v/>
      </c>
      <c r="M597" s="1912"/>
      <c r="N597" s="1886"/>
      <c r="O597" s="1919"/>
      <c r="P597" s="1922"/>
      <c r="Q597" s="1922"/>
      <c r="R597" s="1923"/>
      <c r="S597" s="1921"/>
      <c r="T597" s="1413" t="s">
        <v>363</v>
      </c>
      <c r="U597" s="1770"/>
      <c r="W597" s="14"/>
      <c r="X597" s="9"/>
      <c r="Y597" s="9"/>
      <c r="Z597" s="9"/>
      <c r="AA597" s="14"/>
      <c r="AB597" s="14"/>
      <c r="AC597" s="14"/>
      <c r="AD597" s="14"/>
      <c r="AE597" s="14"/>
      <c r="AF597" s="14"/>
      <c r="AG597" s="1394" t="str">
        <f>IF(ISBLANK(AH597),"",LARGE(AG585:AG596,1)+1)</f>
        <v/>
      </c>
      <c r="AH597" s="1912"/>
      <c r="AI597" s="1886"/>
      <c r="AJ597" s="1919"/>
      <c r="AK597" s="1922"/>
      <c r="AL597" s="1922"/>
      <c r="AM597" s="1923"/>
      <c r="AN597" s="1921"/>
      <c r="AO597" s="1413" t="s">
        <v>1398</v>
      </c>
      <c r="AP597" s="1770"/>
      <c r="AR597" s="14"/>
      <c r="AS597" s="9"/>
      <c r="AT597" s="9"/>
      <c r="AU597" s="9"/>
      <c r="AV597" s="14"/>
      <c r="AW597" s="14"/>
      <c r="AX597" s="14"/>
      <c r="AY597" s="14"/>
      <c r="AZ597" s="14"/>
      <c r="BA597" s="14"/>
      <c r="BB597" s="1394" t="str">
        <f>IF(ISBLANK(BC597),"",LARGE(BB585:BB596,1)+1)</f>
        <v/>
      </c>
      <c r="BC597" s="1912"/>
      <c r="BD597" s="1886"/>
      <c r="BE597" s="1919"/>
      <c r="BF597" s="1922"/>
      <c r="BG597" s="1922"/>
      <c r="BH597" s="1923"/>
      <c r="BI597" s="1921"/>
      <c r="BJ597" s="1413" t="s">
        <v>363</v>
      </c>
      <c r="BK597" s="1770"/>
      <c r="BM597" s="3">
        <v>1</v>
      </c>
    </row>
    <row r="598" spans="2:65" ht="21" customHeight="1">
      <c r="B598" s="14"/>
      <c r="C598" s="9"/>
      <c r="D598" s="9"/>
      <c r="E598" s="9"/>
      <c r="F598" s="14"/>
      <c r="G598" s="14"/>
      <c r="H598" s="14"/>
      <c r="I598" s="14"/>
      <c r="J598" s="14"/>
      <c r="K598" s="14"/>
      <c r="L598" s="1394" t="str">
        <f>IF(ISBLANK(M598),"",LARGE(L585:L597,1)+1)</f>
        <v/>
      </c>
      <c r="M598" s="1912"/>
      <c r="N598" s="1886"/>
      <c r="O598" s="1919"/>
      <c r="P598" s="436"/>
      <c r="Q598" s="436"/>
      <c r="R598" s="1923"/>
      <c r="S598" s="1921"/>
      <c r="T598" s="1417" t="s">
        <v>365</v>
      </c>
      <c r="U598" s="1770"/>
      <c r="W598" s="14"/>
      <c r="X598" s="9"/>
      <c r="Y598" s="9"/>
      <c r="Z598" s="9"/>
      <c r="AA598" s="14"/>
      <c r="AB598" s="14"/>
      <c r="AC598" s="14"/>
      <c r="AD598" s="14"/>
      <c r="AE598" s="14"/>
      <c r="AF598" s="14"/>
      <c r="AG598" s="1394" t="str">
        <f>IF(ISBLANK(AH598),"",LARGE(AG585:AG597,1)+1)</f>
        <v/>
      </c>
      <c r="AH598" s="1912"/>
      <c r="AI598" s="1886"/>
      <c r="AJ598" s="1919"/>
      <c r="AK598" s="436"/>
      <c r="AL598" s="436"/>
      <c r="AM598" s="1923"/>
      <c r="AN598" s="1921"/>
      <c r="AO598" s="1417" t="s">
        <v>776</v>
      </c>
      <c r="AP598" s="1770"/>
      <c r="AR598" s="14"/>
      <c r="AS598" s="9"/>
      <c r="AT598" s="9"/>
      <c r="AU598" s="9"/>
      <c r="AV598" s="14"/>
      <c r="AW598" s="14"/>
      <c r="AX598" s="14"/>
      <c r="AY598" s="14"/>
      <c r="AZ598" s="14"/>
      <c r="BA598" s="14"/>
      <c r="BB598" s="1394" t="str">
        <f>IF(ISBLANK(BC598),"",LARGE(BB585:BB597,1)+1)</f>
        <v/>
      </c>
      <c r="BC598" s="1912"/>
      <c r="BD598" s="1886"/>
      <c r="BE598" s="1919"/>
      <c r="BF598" s="436"/>
      <c r="BG598" s="436"/>
      <c r="BH598" s="1923"/>
      <c r="BI598" s="1921"/>
      <c r="BJ598" s="1417" t="s">
        <v>365</v>
      </c>
      <c r="BK598" s="1770"/>
      <c r="BM598" s="3">
        <v>1</v>
      </c>
    </row>
    <row r="599" spans="2:65" ht="21" customHeight="1">
      <c r="B599" s="14"/>
      <c r="C599" s="9"/>
      <c r="D599" s="9"/>
      <c r="E599" s="9"/>
      <c r="F599" s="14"/>
      <c r="G599" s="14"/>
      <c r="H599" s="14"/>
      <c r="I599" s="14"/>
      <c r="J599" s="14"/>
      <c r="K599" s="14"/>
      <c r="L599" s="1394" t="str">
        <f>IF(ISBLANK(M599),"",LARGE(L585:L598,1)+1)</f>
        <v/>
      </c>
      <c r="M599" s="1912"/>
      <c r="N599" s="1886"/>
      <c r="O599" s="1919"/>
      <c r="P599" s="436"/>
      <c r="Q599" s="436"/>
      <c r="R599" s="436"/>
      <c r="S599" s="1418"/>
      <c r="T599" s="1418"/>
      <c r="U599" s="1407"/>
      <c r="W599" s="14"/>
      <c r="X599" s="9"/>
      <c r="Y599" s="9"/>
      <c r="Z599" s="9"/>
      <c r="AA599" s="14"/>
      <c r="AB599" s="14"/>
      <c r="AC599" s="14"/>
      <c r="AD599" s="14"/>
      <c r="AE599" s="14"/>
      <c r="AF599" s="14"/>
      <c r="AG599" s="1394" t="str">
        <f>IF(ISBLANK(AH599),"",LARGE(AG585:AG598,1)+1)</f>
        <v/>
      </c>
      <c r="AH599" s="1912"/>
      <c r="AI599" s="1886"/>
      <c r="AJ599" s="1919"/>
      <c r="AK599" s="436"/>
      <c r="AL599" s="436"/>
      <c r="AM599" s="436"/>
      <c r="AN599" s="1418"/>
      <c r="AO599" s="1418"/>
      <c r="AP599" s="1407"/>
      <c r="AR599" s="14"/>
      <c r="AS599" s="9"/>
      <c r="AT599" s="9"/>
      <c r="AU599" s="9"/>
      <c r="AV599" s="14"/>
      <c r="AW599" s="14"/>
      <c r="AX599" s="14"/>
      <c r="AY599" s="14"/>
      <c r="AZ599" s="14"/>
      <c r="BA599" s="14"/>
      <c r="BB599" s="1394" t="str">
        <f>IF(ISBLANK(BC599),"",LARGE(BB585:BB598,1)+1)</f>
        <v/>
      </c>
      <c r="BC599" s="1912"/>
      <c r="BD599" s="1886"/>
      <c r="BE599" s="1919"/>
      <c r="BF599" s="436"/>
      <c r="BG599" s="436"/>
      <c r="BH599" s="436"/>
      <c r="BI599" s="1418"/>
      <c r="BJ599" s="1418"/>
      <c r="BK599" s="1407"/>
      <c r="BM599" s="3">
        <v>1</v>
      </c>
    </row>
    <row r="600" spans="2:65" ht="21" customHeight="1">
      <c r="B600" s="14"/>
      <c r="C600" s="9"/>
      <c r="D600" s="9"/>
      <c r="E600" s="9"/>
      <c r="F600" s="14"/>
      <c r="G600" s="14"/>
      <c r="H600" s="14"/>
      <c r="I600" s="14"/>
      <c r="J600" s="14"/>
      <c r="K600" s="14"/>
      <c r="L600" s="1394" t="str">
        <f>IF(ISBLANK(M600),"",LARGE(L585:L599,1)+1)</f>
        <v/>
      </c>
      <c r="M600" s="1912"/>
      <c r="N600" s="1886"/>
      <c r="O600" s="1919"/>
      <c r="P600" s="436"/>
      <c r="Q600" s="436"/>
      <c r="R600" s="436"/>
      <c r="S600" s="1418"/>
      <c r="T600" s="1404" t="s">
        <v>8159</v>
      </c>
      <c r="U600" s="1406" t="s">
        <v>8159</v>
      </c>
      <c r="W600" s="14"/>
      <c r="X600" s="9"/>
      <c r="Y600" s="9"/>
      <c r="Z600" s="9"/>
      <c r="AA600" s="14"/>
      <c r="AB600" s="14"/>
      <c r="AC600" s="14"/>
      <c r="AD600" s="14"/>
      <c r="AE600" s="14"/>
      <c r="AF600" s="14"/>
      <c r="AG600" s="1394" t="str">
        <f>IF(ISBLANK(AH600),"",LARGE(AG585:AG599,1)+1)</f>
        <v/>
      </c>
      <c r="AH600" s="1912"/>
      <c r="AI600" s="1886"/>
      <c r="AJ600" s="1919"/>
      <c r="AK600" s="436"/>
      <c r="AL600" s="436"/>
      <c r="AM600" s="436"/>
      <c r="AN600" s="1418"/>
      <c r="AO600" s="1418"/>
      <c r="AP600" s="1406" t="s">
        <v>8159</v>
      </c>
      <c r="AR600" s="14"/>
      <c r="AS600" s="9"/>
      <c r="AT600" s="9"/>
      <c r="AU600" s="9"/>
      <c r="AV600" s="14"/>
      <c r="AW600" s="14"/>
      <c r="AX600" s="14"/>
      <c r="AY600" s="14"/>
      <c r="AZ600" s="14"/>
      <c r="BA600" s="14"/>
      <c r="BB600" s="1394" t="str">
        <f>IF(ISBLANK(BC600),"",LARGE(BB585:BB599,1)+1)</f>
        <v/>
      </c>
      <c r="BC600" s="1912"/>
      <c r="BD600" s="1886"/>
      <c r="BE600" s="1919"/>
      <c r="BF600" s="436"/>
      <c r="BG600" s="436"/>
      <c r="BH600" s="436"/>
      <c r="BI600" s="1418"/>
      <c r="BJ600" s="1418"/>
      <c r="BK600" s="1406" t="s">
        <v>8159</v>
      </c>
      <c r="BM600" s="3">
        <v>1</v>
      </c>
    </row>
    <row r="601" spans="2:65" ht="21" customHeight="1">
      <c r="B601" s="14"/>
      <c r="C601" s="9"/>
      <c r="D601" s="9"/>
      <c r="E601" s="9"/>
      <c r="F601" s="14"/>
      <c r="G601" s="14"/>
      <c r="H601" s="14"/>
      <c r="I601" s="14"/>
      <c r="J601" s="14"/>
      <c r="K601" s="14"/>
      <c r="L601" s="1394" t="str">
        <f>IF(ISBLANK(M601),"",LARGE(L585:L600,1)+1)</f>
        <v/>
      </c>
      <c r="M601" s="1918"/>
      <c r="N601" s="1886"/>
      <c r="O601" s="346"/>
      <c r="P601" s="346"/>
      <c r="Q601" s="346"/>
      <c r="R601" s="346"/>
      <c r="S601" s="346"/>
      <c r="T601" s="347"/>
      <c r="U601" s="1408"/>
      <c r="W601" s="14"/>
      <c r="X601" s="9"/>
      <c r="Y601" s="9"/>
      <c r="Z601" s="9"/>
      <c r="AA601" s="14"/>
      <c r="AB601" s="14"/>
      <c r="AC601" s="14"/>
      <c r="AD601" s="14"/>
      <c r="AE601" s="14"/>
      <c r="AF601" s="14"/>
      <c r="AG601" s="1394" t="str">
        <f>IF(ISBLANK(AH601),"",LARGE(AG585:AG600,1)+1)</f>
        <v/>
      </c>
      <c r="AH601" s="1918"/>
      <c r="AI601" s="1886"/>
      <c r="AJ601" s="346"/>
      <c r="AK601" s="346"/>
      <c r="AL601" s="346"/>
      <c r="AM601" s="346"/>
      <c r="AN601" s="346"/>
      <c r="AO601" s="347"/>
      <c r="AP601" s="1408"/>
      <c r="AR601" s="14"/>
      <c r="AS601" s="9"/>
      <c r="AT601" s="9"/>
      <c r="AU601" s="9"/>
      <c r="AV601" s="14"/>
      <c r="AW601" s="14"/>
      <c r="AX601" s="14"/>
      <c r="AY601" s="14"/>
      <c r="AZ601" s="14"/>
      <c r="BA601" s="14"/>
      <c r="BB601" s="1394" t="str">
        <f>IF(ISBLANK(BC601),"",LARGE(BB585:BB600,1)+1)</f>
        <v/>
      </c>
      <c r="BC601" s="1918"/>
      <c r="BD601" s="1886"/>
      <c r="BE601" s="346"/>
      <c r="BF601" s="346"/>
      <c r="BG601" s="346"/>
      <c r="BH601" s="346"/>
      <c r="BI601" s="346"/>
      <c r="BJ601" s="347"/>
      <c r="BK601" s="1408"/>
      <c r="BM601" s="3">
        <v>1</v>
      </c>
    </row>
    <row r="602" spans="2:65" ht="21" customHeight="1">
      <c r="B602" s="14"/>
      <c r="C602" s="9"/>
      <c r="D602" s="9"/>
      <c r="E602" s="9"/>
      <c r="F602" s="14"/>
      <c r="G602" s="14"/>
      <c r="H602" s="14"/>
      <c r="I602" s="14"/>
      <c r="J602" s="14"/>
      <c r="K602" s="14"/>
      <c r="L602" s="1394"/>
      <c r="M602" s="1865" t="s">
        <v>821</v>
      </c>
      <c r="N602" s="1841"/>
      <c r="O602" s="1924"/>
      <c r="P602" s="1924"/>
      <c r="Q602" s="1924"/>
      <c r="R602" s="1924"/>
      <c r="S602" s="1924"/>
      <c r="T602" s="1924"/>
      <c r="U602" s="1925" t="s">
        <v>1378</v>
      </c>
      <c r="W602" s="14"/>
      <c r="X602" s="9"/>
      <c r="Y602" s="9"/>
      <c r="Z602" s="9"/>
      <c r="AA602" s="14"/>
      <c r="AB602" s="14"/>
      <c r="AC602" s="14"/>
      <c r="AD602" s="14"/>
      <c r="AE602" s="14"/>
      <c r="AF602" s="14"/>
      <c r="AG602" s="1394"/>
      <c r="AH602" s="1865" t="s">
        <v>8197</v>
      </c>
      <c r="AI602" s="1841"/>
      <c r="AJ602" s="1924"/>
      <c r="AK602" s="1924"/>
      <c r="AL602" s="1924"/>
      <c r="AM602" s="1924"/>
      <c r="AN602" s="1924"/>
      <c r="AO602" s="1924"/>
      <c r="AP602" s="1925" t="s">
        <v>879</v>
      </c>
      <c r="AR602" s="14"/>
      <c r="AS602" s="9"/>
      <c r="AT602" s="9"/>
      <c r="AU602" s="9"/>
      <c r="AV602" s="14"/>
      <c r="AW602" s="14"/>
      <c r="AX602" s="14"/>
      <c r="AY602" s="14"/>
      <c r="AZ602" s="14"/>
      <c r="BA602" s="14"/>
      <c r="BB602" s="1394"/>
      <c r="BC602" s="1865" t="s">
        <v>874</v>
      </c>
      <c r="BD602" s="1841"/>
      <c r="BE602" s="1924"/>
      <c r="BF602" s="1924"/>
      <c r="BG602" s="1924"/>
      <c r="BH602" s="1924"/>
      <c r="BI602" s="1924"/>
      <c r="BJ602" s="1924"/>
      <c r="BK602" s="1925" t="s">
        <v>879</v>
      </c>
      <c r="BM602" s="3">
        <v>1</v>
      </c>
    </row>
    <row r="603" spans="2:65" ht="21" customHeight="1">
      <c r="B603" s="14"/>
      <c r="C603" s="9"/>
      <c r="D603" s="9"/>
      <c r="E603" s="9"/>
      <c r="F603" s="14"/>
      <c r="G603" s="14"/>
      <c r="H603" s="14"/>
      <c r="I603" s="14"/>
      <c r="J603" s="14"/>
      <c r="K603" s="14"/>
      <c r="L603" s="1394"/>
      <c r="M603" s="1866" t="s">
        <v>8146</v>
      </c>
      <c r="N603" s="14"/>
      <c r="O603" s="1810"/>
      <c r="P603" s="1810"/>
      <c r="Q603" s="1810"/>
      <c r="R603" s="1810"/>
      <c r="S603" s="1810"/>
      <c r="T603" s="1810"/>
      <c r="U603" s="1811"/>
      <c r="W603" s="14"/>
      <c r="X603" s="9"/>
      <c r="Y603" s="9"/>
      <c r="Z603" s="9"/>
      <c r="AA603" s="14"/>
      <c r="AB603" s="14"/>
      <c r="AC603" s="14"/>
      <c r="AD603" s="14"/>
      <c r="AE603" s="14"/>
      <c r="AF603" s="14"/>
      <c r="AG603" s="1394"/>
      <c r="AH603" s="1866" t="s">
        <v>8198</v>
      </c>
      <c r="AI603" s="14"/>
      <c r="AJ603" s="1810"/>
      <c r="AK603" s="1810"/>
      <c r="AL603" s="1810"/>
      <c r="AM603" s="1810"/>
      <c r="AN603" s="1810"/>
      <c r="AO603" s="1810"/>
      <c r="AP603" s="1811"/>
      <c r="AR603" s="14"/>
      <c r="AS603" s="9"/>
      <c r="AT603" s="9"/>
      <c r="AU603" s="9"/>
      <c r="AV603" s="14"/>
      <c r="AW603" s="14"/>
      <c r="AX603" s="14"/>
      <c r="AY603" s="14"/>
      <c r="AZ603" s="14"/>
      <c r="BA603" s="14"/>
      <c r="BB603" s="1394"/>
      <c r="BC603" s="1866" t="s">
        <v>8193</v>
      </c>
      <c r="BD603" s="14"/>
      <c r="BE603" s="1810"/>
      <c r="BF603" s="1810"/>
      <c r="BG603" s="1810"/>
      <c r="BH603" s="1810"/>
      <c r="BI603" s="1810"/>
      <c r="BJ603" s="1810"/>
      <c r="BK603" s="1811"/>
      <c r="BM603" s="3">
        <v>1</v>
      </c>
    </row>
    <row r="604" spans="2:65" ht="21" customHeight="1">
      <c r="B604" s="14"/>
      <c r="C604" s="9"/>
      <c r="D604" s="9"/>
      <c r="E604" s="9"/>
      <c r="F604" s="14"/>
      <c r="G604" s="14"/>
      <c r="H604" s="14"/>
      <c r="I604" s="14"/>
      <c r="J604" s="14"/>
      <c r="K604" s="14"/>
      <c r="L604" s="1963" t="s">
        <v>8629</v>
      </c>
      <c r="M604" s="1844"/>
      <c r="N604" s="1844"/>
      <c r="O604" s="1844"/>
      <c r="P604" s="1844"/>
      <c r="Q604" s="1844"/>
      <c r="R604" s="1844"/>
      <c r="S604" s="1844"/>
      <c r="T604" s="1844"/>
      <c r="U604" s="1964" t="s">
        <v>8629</v>
      </c>
      <c r="W604" s="14"/>
      <c r="X604" s="9"/>
      <c r="Y604" s="9"/>
      <c r="Z604" s="9"/>
      <c r="AA604" s="14"/>
      <c r="AB604" s="14"/>
      <c r="AC604" s="14"/>
      <c r="AD604" s="14"/>
      <c r="AE604" s="14"/>
      <c r="AF604" s="14"/>
      <c r="AG604" s="1963" t="s">
        <v>8630</v>
      </c>
      <c r="AH604" s="1844"/>
      <c r="AI604" s="1844"/>
      <c r="AJ604" s="1844"/>
      <c r="AK604" s="1844"/>
      <c r="AL604" s="1844"/>
      <c r="AM604" s="1844"/>
      <c r="AN604" s="1844"/>
      <c r="AO604" s="1844"/>
      <c r="AP604" s="1964" t="s">
        <v>8630</v>
      </c>
      <c r="BB604" s="1963" t="s">
        <v>8631</v>
      </c>
      <c r="BC604" s="1844"/>
      <c r="BD604" s="1844"/>
      <c r="BE604" s="1844"/>
      <c r="BF604" s="1844"/>
      <c r="BG604" s="1844"/>
      <c r="BH604" s="1844"/>
      <c r="BI604" s="1844"/>
      <c r="BJ604" s="1844"/>
      <c r="BK604" s="1964" t="s">
        <v>8631</v>
      </c>
      <c r="BM604" s="3">
        <v>1</v>
      </c>
    </row>
    <row r="605" spans="2:65" ht="21" customHeight="1">
      <c r="B605" s="14"/>
      <c r="C605" s="9"/>
      <c r="D605" s="9"/>
      <c r="E605" s="9"/>
      <c r="F605" s="14"/>
      <c r="G605" s="14"/>
      <c r="H605" s="14"/>
      <c r="I605" s="14"/>
      <c r="J605" s="14"/>
      <c r="K605" s="14"/>
      <c r="L605" s="1372" t="s">
        <v>8145</v>
      </c>
      <c r="M605" s="1428"/>
      <c r="N605" s="419"/>
      <c r="O605" s="419"/>
      <c r="P605" s="419"/>
      <c r="Q605" s="419"/>
      <c r="R605" s="420"/>
      <c r="S605" s="420"/>
      <c r="T605" s="420"/>
      <c r="U605" s="608" t="s">
        <v>218</v>
      </c>
      <c r="W605" s="14"/>
      <c r="X605" s="9"/>
      <c r="Y605" s="9"/>
      <c r="Z605" s="9"/>
      <c r="AA605" s="14"/>
      <c r="AB605" s="14"/>
      <c r="AC605" s="14"/>
      <c r="AD605" s="14"/>
      <c r="AE605" s="14"/>
      <c r="AF605" s="14"/>
      <c r="AG605" s="1388" t="s">
        <v>8216</v>
      </c>
      <c r="AH605" s="1428"/>
      <c r="AI605" s="419"/>
      <c r="AJ605" s="419"/>
      <c r="AK605" s="419"/>
      <c r="AL605" s="419"/>
      <c r="AM605" s="420"/>
      <c r="AN605" s="420"/>
      <c r="AO605" s="420"/>
      <c r="AP605" s="608" t="s">
        <v>1399</v>
      </c>
      <c r="AR605" s="14"/>
      <c r="AS605" s="9"/>
      <c r="AT605" s="9"/>
      <c r="AU605" s="9"/>
      <c r="AV605" s="14"/>
      <c r="AW605" s="14"/>
      <c r="AX605" s="14"/>
      <c r="AY605" s="14"/>
      <c r="AZ605" s="14"/>
      <c r="BA605" s="14"/>
      <c r="BB605" s="1372" t="s">
        <v>8217</v>
      </c>
      <c r="BC605" s="1428"/>
      <c r="BD605" s="419"/>
      <c r="BE605" s="419"/>
      <c r="BF605" s="419"/>
      <c r="BG605" s="419"/>
      <c r="BH605" s="420"/>
      <c r="BI605" s="420"/>
      <c r="BJ605" s="420"/>
      <c r="BK605" s="608" t="s">
        <v>218</v>
      </c>
      <c r="BM605" s="3">
        <v>1</v>
      </c>
    </row>
    <row r="606" spans="2:65" ht="21" customHeight="1">
      <c r="B606" s="14"/>
      <c r="C606" s="9"/>
      <c r="D606" s="9"/>
      <c r="E606" s="9"/>
      <c r="F606" s="14"/>
      <c r="G606" s="14"/>
      <c r="H606" s="14"/>
      <c r="I606" s="14"/>
      <c r="J606"/>
      <c r="K606" s="14"/>
      <c r="L606" s="1392">
        <v>0</v>
      </c>
      <c r="M606" s="1820"/>
      <c r="N606" s="1819"/>
      <c r="O606" s="1819" t="s">
        <v>415</v>
      </c>
      <c r="P606" s="1419" t="s">
        <v>416</v>
      </c>
      <c r="Q606" s="698" t="s">
        <v>417</v>
      </c>
      <c r="R606" s="380" t="s">
        <v>418</v>
      </c>
      <c r="S606" s="380" t="s">
        <v>419</v>
      </c>
      <c r="T606" s="1911" t="s">
        <v>8160</v>
      </c>
      <c r="U606" s="1749"/>
      <c r="W606" s="14"/>
      <c r="X606" s="9"/>
      <c r="Y606" s="9"/>
      <c r="Z606" s="9"/>
      <c r="AA606" s="14"/>
      <c r="AB606" s="14"/>
      <c r="AC606" s="14"/>
      <c r="AD606" s="14"/>
      <c r="AF606" s="14"/>
      <c r="AG606" s="1392">
        <v>0</v>
      </c>
      <c r="AH606" s="1820"/>
      <c r="AI606" s="1819"/>
      <c r="AJ606" s="1819" t="s">
        <v>1400</v>
      </c>
      <c r="AK606" s="1419" t="s">
        <v>1401</v>
      </c>
      <c r="AL606" s="698" t="s">
        <v>1402</v>
      </c>
      <c r="AM606" s="380" t="s">
        <v>1403</v>
      </c>
      <c r="AN606" s="380" t="s">
        <v>419</v>
      </c>
      <c r="AO606" s="1911" t="s">
        <v>8160</v>
      </c>
      <c r="AP606" s="1749"/>
      <c r="AR606" s="14"/>
      <c r="AS606" s="9"/>
      <c r="AT606" s="9"/>
      <c r="AU606" s="9"/>
      <c r="AV606" s="14"/>
      <c r="AW606" s="14"/>
      <c r="AX606" s="14"/>
      <c r="AY606" s="14"/>
      <c r="BA606" s="14"/>
      <c r="BB606" s="1392">
        <v>0</v>
      </c>
      <c r="BC606" s="1820"/>
      <c r="BD606" s="1819"/>
      <c r="BE606" s="1819" t="s">
        <v>415</v>
      </c>
      <c r="BF606" s="1419" t="s">
        <v>416</v>
      </c>
      <c r="BG606" s="698" t="s">
        <v>417</v>
      </c>
      <c r="BH606" s="380" t="s">
        <v>418</v>
      </c>
      <c r="BI606" s="380" t="s">
        <v>419</v>
      </c>
      <c r="BJ606" s="1911" t="s">
        <v>8160</v>
      </c>
      <c r="BK606" s="1749"/>
      <c r="BM606" s="3">
        <v>1</v>
      </c>
    </row>
    <row r="607" spans="2:65" ht="21" customHeight="1">
      <c r="B607" s="14"/>
      <c r="C607" s="9"/>
      <c r="D607" s="9"/>
      <c r="E607" s="9"/>
      <c r="F607" s="14"/>
      <c r="G607" s="14"/>
      <c r="H607" s="14"/>
      <c r="I607" s="14"/>
      <c r="J607"/>
      <c r="K607" s="14"/>
      <c r="L607" s="1394" t="str">
        <f>IF(ISBLANK(M607),"",LARGE(L606:L606,1)+1)</f>
        <v/>
      </c>
      <c r="M607" s="1420"/>
      <c r="N607" s="1421"/>
      <c r="O607" s="1421" t="s">
        <v>8161</v>
      </c>
      <c r="P607" s="1422">
        <v>2.4305555555555556E-2</v>
      </c>
      <c r="Q607" s="381">
        <v>100</v>
      </c>
      <c r="R607" s="382">
        <v>0.6</v>
      </c>
      <c r="S607" s="383" t="s">
        <v>420</v>
      </c>
      <c r="T607" s="1750" t="s">
        <v>421</v>
      </c>
      <c r="U607" s="1751"/>
      <c r="W607" s="14"/>
      <c r="X607" s="9"/>
      <c r="Y607" s="9"/>
      <c r="Z607" s="9"/>
      <c r="AA607" s="14"/>
      <c r="AB607" s="14"/>
      <c r="AC607" s="14"/>
      <c r="AD607" s="14"/>
      <c r="AF607" s="14"/>
      <c r="AG607" s="1394" t="str">
        <f>IF(ISBLANK(AH607),"",LARGE(AG606:AG606,1)+1)</f>
        <v/>
      </c>
      <c r="AH607" s="1420"/>
      <c r="AI607" s="1421"/>
      <c r="AJ607" s="1421" t="s">
        <v>1408</v>
      </c>
      <c r="AK607" s="1422">
        <v>2.4305555555555556E-2</v>
      </c>
      <c r="AL607" s="381">
        <v>100</v>
      </c>
      <c r="AM607" s="382">
        <v>0.6</v>
      </c>
      <c r="AN607" s="383" t="s">
        <v>1406</v>
      </c>
      <c r="AO607" s="1750" t="s">
        <v>1407</v>
      </c>
      <c r="AP607" s="1751"/>
      <c r="AR607" s="14"/>
      <c r="AS607" s="9"/>
      <c r="AT607" s="9"/>
      <c r="AU607" s="9"/>
      <c r="AV607" s="14"/>
      <c r="AW607" s="14"/>
      <c r="AX607" s="14"/>
      <c r="AY607" s="14"/>
      <c r="BA607" s="14"/>
      <c r="BB607" s="1394" t="str">
        <f>IF(ISBLANK(BC607),"",LARGE(BB606:BB606,1)+1)</f>
        <v/>
      </c>
      <c r="BC607" s="1420"/>
      <c r="BD607" s="1421"/>
      <c r="BE607" s="1421" t="s">
        <v>8161</v>
      </c>
      <c r="BF607" s="1422">
        <v>2.4305555555555556E-2</v>
      </c>
      <c r="BG607" s="381">
        <v>100</v>
      </c>
      <c r="BH607" s="382">
        <v>0.6</v>
      </c>
      <c r="BI607" s="383" t="s">
        <v>420</v>
      </c>
      <c r="BJ607" s="1750" t="s">
        <v>421</v>
      </c>
      <c r="BK607" s="1751"/>
      <c r="BM607" s="3">
        <v>1</v>
      </c>
    </row>
    <row r="608" spans="2:65" ht="21" customHeight="1">
      <c r="B608" s="14"/>
      <c r="C608" s="9"/>
      <c r="D608" s="9"/>
      <c r="E608" s="9"/>
      <c r="F608" s="14"/>
      <c r="G608" s="14"/>
      <c r="H608" s="14"/>
      <c r="I608" s="14"/>
      <c r="J608"/>
      <c r="K608" s="14"/>
      <c r="L608" s="1394" t="str">
        <f>IF(ISBLANK(M608),"",LARGE(L606:L607,1)+1)</f>
        <v/>
      </c>
      <c r="M608" s="1420"/>
      <c r="N608" s="1421"/>
      <c r="O608" s="1421" t="s">
        <v>422</v>
      </c>
      <c r="P608" s="1422">
        <v>1.0416666666666666E-2</v>
      </c>
      <c r="Q608" s="381">
        <v>100</v>
      </c>
      <c r="R608" s="382">
        <v>0.6</v>
      </c>
      <c r="S608" s="383" t="s">
        <v>423</v>
      </c>
      <c r="T608" s="1750" t="s">
        <v>424</v>
      </c>
      <c r="U608" s="1751"/>
      <c r="W608" s="14"/>
      <c r="X608" s="9"/>
      <c r="Y608" s="9"/>
      <c r="Z608" s="9"/>
      <c r="AA608" s="14"/>
      <c r="AB608" s="14"/>
      <c r="AC608" s="14"/>
      <c r="AD608" s="14"/>
      <c r="AF608" s="14"/>
      <c r="AG608" s="1394" t="str">
        <f>IF(ISBLANK(AH608),"",LARGE(AG606:AG607,1)+1)</f>
        <v/>
      </c>
      <c r="AH608" s="1420"/>
      <c r="AI608" s="1421"/>
      <c r="AJ608" s="1421" t="s">
        <v>1408</v>
      </c>
      <c r="AK608" s="1422">
        <v>1.0416666666666666E-2</v>
      </c>
      <c r="AL608" s="381">
        <v>100</v>
      </c>
      <c r="AM608" s="382">
        <v>0.6</v>
      </c>
      <c r="AN608" s="383" t="s">
        <v>1409</v>
      </c>
      <c r="AO608" s="1750" t="s">
        <v>1410</v>
      </c>
      <c r="AP608" s="1751"/>
      <c r="AR608" s="14"/>
      <c r="AS608" s="9"/>
      <c r="AT608" s="9"/>
      <c r="AU608" s="9"/>
      <c r="AV608" s="14"/>
      <c r="AW608" s="14"/>
      <c r="AX608" s="14"/>
      <c r="AY608" s="14"/>
      <c r="BA608" s="14"/>
      <c r="BB608" s="1394" t="str">
        <f>IF(ISBLANK(BC608),"",LARGE(BB606:BB607,1)+1)</f>
        <v/>
      </c>
      <c r="BC608" s="1420"/>
      <c r="BD608" s="1421"/>
      <c r="BE608" s="1421" t="s">
        <v>422</v>
      </c>
      <c r="BF608" s="1422">
        <v>1.0416666666666666E-2</v>
      </c>
      <c r="BG608" s="381">
        <v>100</v>
      </c>
      <c r="BH608" s="382">
        <v>0.6</v>
      </c>
      <c r="BI608" s="383" t="s">
        <v>423</v>
      </c>
      <c r="BJ608" s="1750" t="s">
        <v>424</v>
      </c>
      <c r="BK608" s="1751"/>
      <c r="BM608" s="3">
        <v>1</v>
      </c>
    </row>
    <row r="609" spans="2:65" ht="21" customHeight="1">
      <c r="B609" s="14"/>
      <c r="C609" s="9"/>
      <c r="D609" s="9"/>
      <c r="E609" s="9"/>
      <c r="F609" s="14"/>
      <c r="G609" s="14"/>
      <c r="H609" s="14"/>
      <c r="I609" s="14"/>
      <c r="J609"/>
      <c r="K609" s="14"/>
      <c r="L609" s="1394" t="str">
        <f>IF(ISBLANK(M609),"",LARGE(L606:L608,1)+1)</f>
        <v/>
      </c>
      <c r="M609" s="1420"/>
      <c r="N609" s="1421"/>
      <c r="O609" s="1421" t="s">
        <v>425</v>
      </c>
      <c r="P609" s="1422">
        <v>5.2083333333333301E-2</v>
      </c>
      <c r="Q609" s="381">
        <v>100</v>
      </c>
      <c r="R609" s="382">
        <v>0.6</v>
      </c>
      <c r="S609" s="383" t="s">
        <v>420</v>
      </c>
      <c r="T609" s="1750" t="s">
        <v>426</v>
      </c>
      <c r="U609" s="1751"/>
      <c r="W609" s="14"/>
      <c r="X609" s="9"/>
      <c r="Y609" s="9"/>
      <c r="Z609" s="9"/>
      <c r="AA609" s="14"/>
      <c r="AB609" s="14"/>
      <c r="AC609" s="14"/>
      <c r="AD609" s="14"/>
      <c r="AF609" s="14"/>
      <c r="AG609" s="1394" t="str">
        <f>IF(ISBLANK(AH609),"",LARGE(AG606:AG608,1)+1)</f>
        <v/>
      </c>
      <c r="AH609" s="1420"/>
      <c r="AI609" s="1421"/>
      <c r="AJ609" s="1421" t="s">
        <v>1411</v>
      </c>
      <c r="AK609" s="1422">
        <v>5.2083333333333301E-2</v>
      </c>
      <c r="AL609" s="381">
        <v>100</v>
      </c>
      <c r="AM609" s="382">
        <v>0.6</v>
      </c>
      <c r="AN609" s="383" t="s">
        <v>1406</v>
      </c>
      <c r="AO609" s="1750" t="s">
        <v>1412</v>
      </c>
      <c r="AP609" s="1751"/>
      <c r="AR609" s="14"/>
      <c r="AS609" s="9"/>
      <c r="AT609" s="9"/>
      <c r="AU609" s="9"/>
      <c r="AV609" s="14"/>
      <c r="AW609" s="14"/>
      <c r="AX609" s="14"/>
      <c r="AY609" s="14"/>
      <c r="BA609" s="14"/>
      <c r="BB609" s="1394" t="str">
        <f>IF(ISBLANK(BC609),"",LARGE(BB606:BB608,1)+1)</f>
        <v/>
      </c>
      <c r="BC609" s="1420"/>
      <c r="BD609" s="1421"/>
      <c r="BE609" s="1421" t="s">
        <v>425</v>
      </c>
      <c r="BF609" s="1422">
        <v>5.2083333333333301E-2</v>
      </c>
      <c r="BG609" s="381">
        <v>100</v>
      </c>
      <c r="BH609" s="382">
        <v>0.6</v>
      </c>
      <c r="BI609" s="383" t="s">
        <v>420</v>
      </c>
      <c r="BJ609" s="1750" t="s">
        <v>426</v>
      </c>
      <c r="BK609" s="1751"/>
      <c r="BM609" s="3">
        <v>1</v>
      </c>
    </row>
    <row r="610" spans="2:65" ht="21" customHeight="1">
      <c r="B610" s="14"/>
      <c r="C610" s="9"/>
      <c r="D610" s="9"/>
      <c r="E610" s="9"/>
      <c r="F610" s="14"/>
      <c r="G610" s="14"/>
      <c r="H610" s="14"/>
      <c r="I610" s="14"/>
      <c r="J610"/>
      <c r="K610" s="14"/>
      <c r="L610" s="1394" t="str">
        <f>IF(ISBLANK(M610),"",LARGE(L606:L609,1)+1)</f>
        <v/>
      </c>
      <c r="M610" s="1420"/>
      <c r="N610" s="1421"/>
      <c r="O610" s="1421" t="s">
        <v>19</v>
      </c>
      <c r="P610" s="1422">
        <v>9.375E-2</v>
      </c>
      <c r="Q610" s="381">
        <v>100</v>
      </c>
      <c r="R610" s="382">
        <v>0.6</v>
      </c>
      <c r="S610" s="383" t="s">
        <v>423</v>
      </c>
      <c r="T610" s="1750" t="s">
        <v>427</v>
      </c>
      <c r="U610" s="1751"/>
      <c r="W610" s="14"/>
      <c r="X610" s="9"/>
      <c r="Y610" s="9"/>
      <c r="Z610" s="9"/>
      <c r="AA610" s="14"/>
      <c r="AB610" s="14"/>
      <c r="AC610" s="14"/>
      <c r="AD610" s="14"/>
      <c r="AF610" s="14"/>
      <c r="AG610" s="1394" t="str">
        <f>IF(ISBLANK(AH610),"",LARGE(AG606:AG609,1)+1)</f>
        <v/>
      </c>
      <c r="AH610" s="1420"/>
      <c r="AI610" s="1421"/>
      <c r="AJ610" s="1421" t="s">
        <v>136</v>
      </c>
      <c r="AK610" s="1422">
        <v>9.375E-2</v>
      </c>
      <c r="AL610" s="381">
        <v>100</v>
      </c>
      <c r="AM610" s="382">
        <v>0.6</v>
      </c>
      <c r="AN610" s="383" t="s">
        <v>1409</v>
      </c>
      <c r="AO610" s="1750" t="s">
        <v>1413</v>
      </c>
      <c r="AP610" s="1751"/>
      <c r="AR610" s="14"/>
      <c r="AS610" s="9"/>
      <c r="AT610" s="9"/>
      <c r="AU610" s="9"/>
      <c r="AV610" s="14"/>
      <c r="AW610" s="14"/>
      <c r="AX610" s="14"/>
      <c r="AY610" s="14"/>
      <c r="BA610" s="14"/>
      <c r="BB610" s="1394" t="str">
        <f>IF(ISBLANK(BC610),"",LARGE(BB606:BB609,1)+1)</f>
        <v/>
      </c>
      <c r="BC610" s="1420"/>
      <c r="BD610" s="1421"/>
      <c r="BE610" s="1421" t="s">
        <v>19</v>
      </c>
      <c r="BF610" s="1422">
        <v>9.375E-2</v>
      </c>
      <c r="BG610" s="381">
        <v>100</v>
      </c>
      <c r="BH610" s="382">
        <v>0.6</v>
      </c>
      <c r="BI610" s="383" t="s">
        <v>423</v>
      </c>
      <c r="BJ610" s="1750" t="s">
        <v>427</v>
      </c>
      <c r="BK610" s="1751"/>
      <c r="BM610" s="3">
        <v>1</v>
      </c>
    </row>
    <row r="611" spans="2:65" ht="21" customHeight="1">
      <c r="B611" s="14"/>
      <c r="C611" s="9"/>
      <c r="D611" s="9"/>
      <c r="E611" s="9"/>
      <c r="F611" s="14"/>
      <c r="G611" s="14"/>
      <c r="H611" s="14"/>
      <c r="I611" s="14"/>
      <c r="J611"/>
      <c r="K611" s="14"/>
      <c r="L611" s="1394" t="str">
        <f>IF(ISBLANK(M611),"",LARGE(L606:L610,1)+1)</f>
        <v/>
      </c>
      <c r="M611" s="384"/>
      <c r="N611" s="385"/>
      <c r="O611" s="385"/>
      <c r="P611" s="1913">
        <f>SUM(P607:P610)</f>
        <v>0.18055555555555552</v>
      </c>
      <c r="Q611" s="385"/>
      <c r="R611" s="385"/>
      <c r="S611" s="385"/>
      <c r="T611" s="385"/>
      <c r="U611" s="1454"/>
      <c r="W611" s="14"/>
      <c r="X611" s="9"/>
      <c r="Y611" s="9"/>
      <c r="Z611" s="9"/>
      <c r="AA611" s="14"/>
      <c r="AB611" s="14"/>
      <c r="AC611" s="14"/>
      <c r="AD611" s="14"/>
      <c r="AF611" s="14"/>
      <c r="AG611" s="1394" t="str">
        <f>IF(ISBLANK(AH611),"",LARGE(AG606:AG610,1)+1)</f>
        <v/>
      </c>
      <c r="AH611" s="384"/>
      <c r="AI611" s="385"/>
      <c r="AJ611" s="385"/>
      <c r="AK611" s="1913">
        <f>SUM(AK607:AK610)</f>
        <v>0.18055555555555552</v>
      </c>
      <c r="AL611" s="385"/>
      <c r="AM611" s="385"/>
      <c r="AN611" s="385"/>
      <c r="AO611" s="385"/>
      <c r="AP611" s="1454"/>
      <c r="AR611" s="14"/>
      <c r="AS611" s="9"/>
      <c r="AT611" s="9"/>
      <c r="AU611" s="9"/>
      <c r="AV611" s="14"/>
      <c r="AW611" s="14"/>
      <c r="AX611" s="14"/>
      <c r="AY611" s="14"/>
      <c r="BA611" s="14"/>
      <c r="BB611" s="1394" t="str">
        <f>IF(ISBLANK(BC611),"",LARGE(BB606:BB610,1)+1)</f>
        <v/>
      </c>
      <c r="BC611" s="384"/>
      <c r="BD611" s="385"/>
      <c r="BE611" s="385"/>
      <c r="BF611" s="1913">
        <f>SUM(BF607:BF610)</f>
        <v>0.18055555555555552</v>
      </c>
      <c r="BG611" s="385"/>
      <c r="BH611" s="385"/>
      <c r="BI611" s="385"/>
      <c r="BJ611" s="385"/>
      <c r="BK611" s="1454"/>
      <c r="BM611" s="3">
        <v>1</v>
      </c>
    </row>
    <row r="612" spans="2:65" ht="21" customHeight="1">
      <c r="B612" s="14"/>
      <c r="C612" s="9"/>
      <c r="D612" s="9"/>
      <c r="E612" s="9"/>
      <c r="F612" s="14"/>
      <c r="G612" s="14"/>
      <c r="H612" s="14"/>
      <c r="I612" s="14"/>
      <c r="J612" s="14"/>
      <c r="K612" s="14"/>
      <c r="L612" s="1394"/>
      <c r="M612" s="1914" t="s">
        <v>821</v>
      </c>
      <c r="N612" s="1845"/>
      <c r="O612" s="1891"/>
      <c r="P612" s="1891"/>
      <c r="Q612" s="1891"/>
      <c r="R612" s="1891"/>
      <c r="S612" s="1891"/>
      <c r="T612" s="1915"/>
      <c r="U612" s="1916" t="s">
        <v>196</v>
      </c>
      <c r="W612" s="14"/>
      <c r="X612" s="9"/>
      <c r="Y612" s="9"/>
      <c r="Z612" s="9"/>
      <c r="AA612" s="14"/>
      <c r="AB612" s="14"/>
      <c r="AC612" s="14"/>
      <c r="AD612" s="14"/>
      <c r="AE612" s="14"/>
      <c r="AF612" s="14"/>
      <c r="AG612" s="1394"/>
      <c r="AH612" s="1914" t="s">
        <v>8197</v>
      </c>
      <c r="AI612" s="1845"/>
      <c r="AJ612" s="1891"/>
      <c r="AK612" s="1891"/>
      <c r="AL612" s="1891"/>
      <c r="AM612" s="1891"/>
      <c r="AN612" s="1891"/>
      <c r="AO612" s="1915"/>
      <c r="AP612" s="1916" t="s">
        <v>879</v>
      </c>
      <c r="AR612" s="14"/>
      <c r="AS612" s="9"/>
      <c r="AT612" s="9"/>
      <c r="AU612" s="9"/>
      <c r="AV612" s="14"/>
      <c r="AW612" s="14"/>
      <c r="AX612" s="14"/>
      <c r="AY612" s="14"/>
      <c r="AZ612" s="14"/>
      <c r="BA612" s="14"/>
      <c r="BB612" s="1394"/>
      <c r="BC612" s="1914" t="s">
        <v>874</v>
      </c>
      <c r="BD612" s="1845"/>
      <c r="BE612" s="1891"/>
      <c r="BF612" s="1891"/>
      <c r="BG612" s="1891"/>
      <c r="BH612" s="1891"/>
      <c r="BI612" s="1891"/>
      <c r="BJ612" s="1915"/>
      <c r="BK612" s="1916" t="s">
        <v>879</v>
      </c>
      <c r="BM612" s="3">
        <v>1</v>
      </c>
    </row>
    <row r="613" spans="2:65" ht="21" customHeight="1">
      <c r="B613" s="14"/>
      <c r="C613" s="9"/>
      <c r="D613" s="9"/>
      <c r="E613" s="9"/>
      <c r="F613" s="14"/>
      <c r="G613" s="14"/>
      <c r="H613" s="14"/>
      <c r="I613" s="14"/>
      <c r="J613" s="14"/>
      <c r="K613" s="14"/>
      <c r="L613" s="1394"/>
      <c r="M613" s="1866" t="s">
        <v>8146</v>
      </c>
      <c r="N613" s="1377"/>
      <c r="O613" s="1377"/>
      <c r="P613" s="1377"/>
      <c r="Q613" s="1377"/>
      <c r="R613" s="1377"/>
      <c r="S613" s="1410"/>
      <c r="T613" s="1410"/>
      <c r="U613" s="1411"/>
      <c r="W613" s="14"/>
      <c r="X613" s="9"/>
      <c r="Y613" s="9"/>
      <c r="Z613" s="9"/>
      <c r="AA613" s="14"/>
      <c r="AB613" s="14"/>
      <c r="AC613" s="14"/>
      <c r="AD613" s="14"/>
      <c r="AE613" s="14"/>
      <c r="AF613" s="14"/>
      <c r="AG613" s="1394"/>
      <c r="AH613" s="1866" t="s">
        <v>8198</v>
      </c>
      <c r="AI613" s="1377"/>
      <c r="AJ613" s="1377"/>
      <c r="AK613" s="1377"/>
      <c r="AL613" s="1377"/>
      <c r="AM613" s="1377"/>
      <c r="AN613" s="1410"/>
      <c r="AO613" s="1410"/>
      <c r="AP613" s="1411"/>
      <c r="AR613" s="14"/>
      <c r="AS613" s="9"/>
      <c r="AT613" s="9"/>
      <c r="AU613" s="9"/>
      <c r="AV613" s="14"/>
      <c r="AW613" s="14"/>
      <c r="AX613" s="14"/>
      <c r="AY613" s="14"/>
      <c r="AZ613" s="14"/>
      <c r="BA613" s="14"/>
      <c r="BB613" s="1394"/>
      <c r="BC613" s="1866" t="s">
        <v>8193</v>
      </c>
      <c r="BD613" s="1377"/>
      <c r="BE613" s="1377"/>
      <c r="BF613" s="1377"/>
      <c r="BG613" s="1377"/>
      <c r="BH613" s="1377"/>
      <c r="BI613" s="1410"/>
      <c r="BJ613" s="1410"/>
      <c r="BK613" s="1411"/>
      <c r="BM613" s="3">
        <v>1</v>
      </c>
    </row>
    <row r="614" spans="2:65" ht="21" customHeight="1">
      <c r="B614" s="14"/>
      <c r="C614" s="9"/>
      <c r="D614" s="9"/>
      <c r="E614" s="9"/>
      <c r="F614" s="14"/>
      <c r="G614" s="14"/>
      <c r="H614" s="14"/>
      <c r="I614" s="14"/>
      <c r="J614" s="14"/>
      <c r="K614" s="14"/>
      <c r="L614" s="1394" t="str">
        <f>IF(ISBLANK(M614),"",LARGE(L606:L613,1)+1)</f>
        <v/>
      </c>
      <c r="M614" s="1912"/>
      <c r="N614" s="1883"/>
      <c r="O614" s="1883"/>
      <c r="P614" s="1883"/>
      <c r="Q614" s="1883"/>
      <c r="R614" s="1883"/>
      <c r="S614" s="1884"/>
      <c r="T614" s="1884"/>
      <c r="U614" s="1885"/>
      <c r="W614" s="14"/>
      <c r="X614" s="9"/>
      <c r="Y614" s="9"/>
      <c r="Z614" s="9"/>
      <c r="AA614" s="14"/>
      <c r="AB614" s="14"/>
      <c r="AC614" s="14"/>
      <c r="AD614" s="14"/>
      <c r="AE614" s="14"/>
      <c r="AF614" s="14"/>
      <c r="AG614" s="1394" t="str">
        <f>IF(ISBLANK(AH614),"",LARGE(AG606:AG613,1)+1)</f>
        <v/>
      </c>
      <c r="AH614" s="1912"/>
      <c r="AI614" s="1883"/>
      <c r="AJ614" s="1883"/>
      <c r="AK614" s="1883"/>
      <c r="AL614" s="1883"/>
      <c r="AM614" s="1883"/>
      <c r="AN614" s="1884"/>
      <c r="AO614" s="1884"/>
      <c r="AP614" s="1885"/>
      <c r="AR614" s="14"/>
      <c r="AS614" s="9"/>
      <c r="AT614" s="9"/>
      <c r="AU614" s="9"/>
      <c r="AV614" s="14"/>
      <c r="AW614" s="14"/>
      <c r="AX614" s="14"/>
      <c r="AY614" s="14"/>
      <c r="AZ614" s="14"/>
      <c r="BA614" s="14"/>
      <c r="BB614" s="1394" t="str">
        <f>IF(ISBLANK(BC614),"",LARGE(BB606:BB613,1)+1)</f>
        <v/>
      </c>
      <c r="BC614" s="1912"/>
      <c r="BD614" s="1883"/>
      <c r="BE614" s="1883"/>
      <c r="BF614" s="1883"/>
      <c r="BG614" s="1883"/>
      <c r="BH614" s="1883"/>
      <c r="BI614" s="1884"/>
      <c r="BJ614" s="1884"/>
      <c r="BK614" s="1885"/>
      <c r="BM614" s="3">
        <v>1</v>
      </c>
    </row>
    <row r="615" spans="2:65" ht="21" customHeight="1">
      <c r="B615" s="14"/>
      <c r="C615" s="9"/>
      <c r="D615" s="9"/>
      <c r="E615" s="9"/>
      <c r="F615" s="14"/>
      <c r="G615" s="14"/>
      <c r="H615" s="14"/>
      <c r="I615" s="14"/>
      <c r="J615" s="14"/>
      <c r="K615" s="14"/>
      <c r="L615" s="1394" t="str">
        <f>IF(ISBLANK(M615),"",LARGE(L606:L614,1)+1)</f>
        <v/>
      </c>
      <c r="M615" s="1912"/>
      <c r="N615" s="1883"/>
      <c r="O615" s="1883"/>
      <c r="P615" s="1883"/>
      <c r="Q615" s="1883"/>
      <c r="R615" s="1883"/>
      <c r="S615" s="1884"/>
      <c r="T615" s="1884"/>
      <c r="U615" s="1885"/>
      <c r="W615" s="14"/>
      <c r="X615" s="9"/>
      <c r="Y615" s="9"/>
      <c r="Z615" s="9"/>
      <c r="AA615" s="14"/>
      <c r="AB615" s="14"/>
      <c r="AC615" s="14"/>
      <c r="AD615" s="14"/>
      <c r="AE615" s="14"/>
      <c r="AF615" s="14"/>
      <c r="AG615" s="1394" t="str">
        <f>IF(ISBLANK(AH615),"",LARGE(AG606:AG614,1)+1)</f>
        <v/>
      </c>
      <c r="AH615" s="1912"/>
      <c r="AI615" s="1883"/>
      <c r="AJ615" s="1883"/>
      <c r="AK615" s="1883"/>
      <c r="AL615" s="1883"/>
      <c r="AM615" s="1883"/>
      <c r="AN615" s="1884"/>
      <c r="AO615" s="1884"/>
      <c r="AP615" s="1885"/>
      <c r="AR615" s="14"/>
      <c r="AS615" s="9"/>
      <c r="AT615" s="9"/>
      <c r="AU615" s="9"/>
      <c r="AV615" s="14"/>
      <c r="AW615" s="14"/>
      <c r="AX615" s="14"/>
      <c r="AY615" s="14"/>
      <c r="AZ615" s="14"/>
      <c r="BA615" s="14"/>
      <c r="BB615" s="1394" t="str">
        <f>IF(ISBLANK(BC615),"",LARGE(BB606:BB614,1)+1)</f>
        <v/>
      </c>
      <c r="BC615" s="1912"/>
      <c r="BD615" s="1883"/>
      <c r="BE615" s="1883"/>
      <c r="BF615" s="1883"/>
      <c r="BG615" s="1883"/>
      <c r="BH615" s="1883"/>
      <c r="BI615" s="1884"/>
      <c r="BJ615" s="1884"/>
      <c r="BK615" s="1885"/>
      <c r="BM615" s="3">
        <v>1</v>
      </c>
    </row>
    <row r="616" spans="2:65" ht="21" customHeight="1">
      <c r="B616" s="14"/>
      <c r="C616" s="9"/>
      <c r="D616" s="9"/>
      <c r="E616" s="9"/>
      <c r="F616" s="14"/>
      <c r="G616" s="14"/>
      <c r="H616" s="14"/>
      <c r="I616" s="14"/>
      <c r="J616" s="14"/>
      <c r="K616" s="14"/>
      <c r="L616" s="1394" t="str">
        <f>IF(ISBLANK(M616),"",LARGE(L606:L615,1)+1)</f>
        <v/>
      </c>
      <c r="M616" s="1912"/>
      <c r="N616" s="1883"/>
      <c r="O616" s="1883"/>
      <c r="P616" s="1883"/>
      <c r="Q616" s="1883"/>
      <c r="R616" s="1883"/>
      <c r="S616" s="1884"/>
      <c r="T616" s="1884"/>
      <c r="U616" s="1885"/>
      <c r="W616" s="14"/>
      <c r="X616" s="9"/>
      <c r="Y616" s="9"/>
      <c r="Z616" s="9"/>
      <c r="AA616" s="14"/>
      <c r="AB616" s="14"/>
      <c r="AC616" s="14"/>
      <c r="AD616" s="14"/>
      <c r="AE616" s="14"/>
      <c r="AF616" s="14"/>
      <c r="AG616" s="1394" t="str">
        <f>IF(ISBLANK(AH616),"",LARGE(AG606:AG615,1)+1)</f>
        <v/>
      </c>
      <c r="AH616" s="1912"/>
      <c r="AI616" s="1883"/>
      <c r="AJ616" s="1883"/>
      <c r="AK616" s="1883"/>
      <c r="AL616" s="1883"/>
      <c r="AM616" s="1883"/>
      <c r="AN616" s="1884"/>
      <c r="AO616" s="1884"/>
      <c r="AP616" s="1885"/>
      <c r="AR616" s="14"/>
      <c r="AS616" s="9"/>
      <c r="AT616" s="9"/>
      <c r="AU616" s="9"/>
      <c r="AV616" s="14"/>
      <c r="AW616" s="14"/>
      <c r="AX616" s="14"/>
      <c r="AY616" s="14"/>
      <c r="AZ616" s="14"/>
      <c r="BA616" s="14"/>
      <c r="BB616" s="1394" t="str">
        <f>IF(ISBLANK(BC616),"",LARGE(BB606:BB615,1)+1)</f>
        <v/>
      </c>
      <c r="BC616" s="1912"/>
      <c r="BD616" s="1883"/>
      <c r="BE616" s="1883"/>
      <c r="BF616" s="1883"/>
      <c r="BG616" s="1883"/>
      <c r="BH616" s="1883"/>
      <c r="BI616" s="1884"/>
      <c r="BJ616" s="1884"/>
      <c r="BK616" s="1885"/>
      <c r="BM616" s="3">
        <v>1</v>
      </c>
    </row>
    <row r="617" spans="2:65" ht="21" customHeight="1">
      <c r="B617" s="14"/>
      <c r="C617" s="9"/>
      <c r="D617" s="9"/>
      <c r="E617" s="9"/>
      <c r="F617" s="14"/>
      <c r="G617" s="14"/>
      <c r="H617" s="14"/>
      <c r="I617" s="14"/>
      <c r="J617" s="14"/>
      <c r="K617" s="14"/>
      <c r="L617" s="1394" t="str">
        <f>IF(ISBLANK(M617),"",LARGE(L606:L616,1)+1)</f>
        <v/>
      </c>
      <c r="M617" s="1912"/>
      <c r="N617" s="1883"/>
      <c r="O617" s="1883"/>
      <c r="P617" s="1883"/>
      <c r="Q617" s="1883"/>
      <c r="R617" s="1883"/>
      <c r="S617" s="1884"/>
      <c r="T617" s="1884"/>
      <c r="U617" s="1885"/>
      <c r="W617" s="14"/>
      <c r="X617" s="9"/>
      <c r="Y617" s="9"/>
      <c r="Z617" s="9"/>
      <c r="AA617" s="14"/>
      <c r="AB617" s="14"/>
      <c r="AC617" s="14"/>
      <c r="AD617" s="14"/>
      <c r="AE617" s="14"/>
      <c r="AF617" s="14"/>
      <c r="AG617" s="1394" t="str">
        <f>IF(ISBLANK(AH617),"",LARGE(AG606:AG616,1)+1)</f>
        <v/>
      </c>
      <c r="AH617" s="1912"/>
      <c r="AI617" s="1883"/>
      <c r="AJ617" s="1883"/>
      <c r="AK617" s="1883"/>
      <c r="AL617" s="1883"/>
      <c r="AM617" s="1883"/>
      <c r="AN617" s="1884"/>
      <c r="AO617" s="1884"/>
      <c r="AP617" s="1885"/>
      <c r="AR617" s="14"/>
      <c r="AS617" s="9"/>
      <c r="AT617" s="9"/>
      <c r="AU617" s="9"/>
      <c r="AV617" s="14"/>
      <c r="AW617" s="14"/>
      <c r="AX617" s="14"/>
      <c r="AY617" s="14"/>
      <c r="AZ617" s="14"/>
      <c r="BA617" s="14"/>
      <c r="BB617" s="1394" t="str">
        <f>IF(ISBLANK(BC617),"",LARGE(BB606:BB616,1)+1)</f>
        <v/>
      </c>
      <c r="BC617" s="1912"/>
      <c r="BD617" s="1883"/>
      <c r="BE617" s="1883"/>
      <c r="BF617" s="1883"/>
      <c r="BG617" s="1883"/>
      <c r="BH617" s="1883"/>
      <c r="BI617" s="1884"/>
      <c r="BJ617" s="1884"/>
      <c r="BK617" s="1885"/>
      <c r="BM617" s="3">
        <v>1</v>
      </c>
    </row>
    <row r="618" spans="2:65" ht="21" customHeight="1">
      <c r="B618" s="14"/>
      <c r="C618" s="9"/>
      <c r="D618" s="9"/>
      <c r="E618" s="9"/>
      <c r="F618" s="14"/>
      <c r="G618" s="14"/>
      <c r="H618" s="14"/>
      <c r="I618" s="14"/>
      <c r="J618" s="14"/>
      <c r="K618" s="14"/>
      <c r="L618" s="1394" t="str">
        <f>IF(ISBLANK(M618),"",LARGE(L606:L617,1)+1)</f>
        <v/>
      </c>
      <c r="M618" s="1912"/>
      <c r="N618" s="1883"/>
      <c r="O618" s="1883"/>
      <c r="P618" s="1883"/>
      <c r="Q618" s="1883"/>
      <c r="R618" s="1883"/>
      <c r="S618" s="1884"/>
      <c r="T618" s="1884"/>
      <c r="U618" s="1885"/>
      <c r="W618" s="14"/>
      <c r="X618" s="9"/>
      <c r="Y618" s="9"/>
      <c r="Z618" s="9"/>
      <c r="AA618" s="14"/>
      <c r="AB618" s="14"/>
      <c r="AC618" s="14"/>
      <c r="AD618" s="14"/>
      <c r="AE618" s="14"/>
      <c r="AF618" s="14"/>
      <c r="AG618" s="1394" t="str">
        <f>IF(ISBLANK(AH618),"",LARGE(AG606:AG617,1)+1)</f>
        <v/>
      </c>
      <c r="AH618" s="1912"/>
      <c r="AI618" s="1883"/>
      <c r="AJ618" s="1883"/>
      <c r="AK618" s="1883"/>
      <c r="AL618" s="1883"/>
      <c r="AM618" s="1883"/>
      <c r="AN618" s="1884"/>
      <c r="AO618" s="1884"/>
      <c r="AP618" s="1885"/>
      <c r="AR618" s="14"/>
      <c r="AS618" s="9"/>
      <c r="AT618" s="9"/>
      <c r="AU618" s="9"/>
      <c r="AV618" s="14"/>
      <c r="AW618" s="14"/>
      <c r="AX618" s="14"/>
      <c r="AY618" s="14"/>
      <c r="AZ618" s="14"/>
      <c r="BA618" s="14"/>
      <c r="BB618" s="1394" t="str">
        <f>IF(ISBLANK(BC618),"",LARGE(BB606:BB617,1)+1)</f>
        <v/>
      </c>
      <c r="BC618" s="1912"/>
      <c r="BD618" s="1883"/>
      <c r="BE618" s="1883"/>
      <c r="BF618" s="1883"/>
      <c r="BG618" s="1883"/>
      <c r="BH618" s="1883"/>
      <c r="BI618" s="1884"/>
      <c r="BJ618" s="1884"/>
      <c r="BK618" s="1885"/>
      <c r="BM618" s="3">
        <v>1</v>
      </c>
    </row>
    <row r="619" spans="2:65" ht="21" customHeight="1">
      <c r="B619" s="14"/>
      <c r="C619" s="9"/>
      <c r="D619" s="9"/>
      <c r="E619" s="9"/>
      <c r="F619" s="14"/>
      <c r="G619" s="14"/>
      <c r="H619" s="14"/>
      <c r="I619" s="14"/>
      <c r="J619" s="14"/>
      <c r="K619" s="14"/>
      <c r="L619" s="1394" t="str">
        <f>IF(ISBLANK(M619),"",LARGE(L606:L618,1)+1)</f>
        <v/>
      </c>
      <c r="M619" s="1912"/>
      <c r="N619" s="1883"/>
      <c r="O619" s="1883"/>
      <c r="P619" s="1883"/>
      <c r="Q619" s="1883"/>
      <c r="R619" s="1883"/>
      <c r="S619" s="1884"/>
      <c r="T619" s="1884"/>
      <c r="U619" s="1885"/>
      <c r="W619" s="14"/>
      <c r="X619" s="9"/>
      <c r="Y619" s="9"/>
      <c r="Z619" s="9"/>
      <c r="AA619" s="14"/>
      <c r="AB619" s="14"/>
      <c r="AC619" s="14"/>
      <c r="AD619" s="14"/>
      <c r="AE619" s="14"/>
      <c r="AF619" s="14"/>
      <c r="AG619" s="1394" t="str">
        <f>IF(ISBLANK(AH619),"",LARGE(AG606:AG618,1)+1)</f>
        <v/>
      </c>
      <c r="AH619" s="1912"/>
      <c r="AI619" s="1883"/>
      <c r="AJ619" s="1883"/>
      <c r="AK619" s="1883"/>
      <c r="AL619" s="1883"/>
      <c r="AM619" s="1883"/>
      <c r="AN619" s="1884"/>
      <c r="AO619" s="1884"/>
      <c r="AP619" s="1885"/>
      <c r="AR619" s="14"/>
      <c r="AS619" s="9"/>
      <c r="AT619" s="9"/>
      <c r="AU619" s="9"/>
      <c r="AV619" s="14"/>
      <c r="AW619" s="14"/>
      <c r="AX619" s="14"/>
      <c r="AY619" s="14"/>
      <c r="AZ619" s="14"/>
      <c r="BA619" s="14"/>
      <c r="BB619" s="1394" t="str">
        <f>IF(ISBLANK(BC619),"",LARGE(BB606:BB618,1)+1)</f>
        <v/>
      </c>
      <c r="BC619" s="1912"/>
      <c r="BD619" s="1883"/>
      <c r="BE619" s="1883"/>
      <c r="BF619" s="1883"/>
      <c r="BG619" s="1883"/>
      <c r="BH619" s="1883"/>
      <c r="BI619" s="1884"/>
      <c r="BJ619" s="1884"/>
      <c r="BK619" s="1885"/>
      <c r="BM619" s="3">
        <v>1</v>
      </c>
    </row>
    <row r="620" spans="2:65" ht="21" customHeight="1">
      <c r="B620" s="14"/>
      <c r="C620" s="9"/>
      <c r="D620" s="9"/>
      <c r="E620" s="9"/>
      <c r="F620" s="14"/>
      <c r="G620" s="14"/>
      <c r="H620" s="14"/>
      <c r="I620" s="14"/>
      <c r="J620" s="14"/>
      <c r="K620" s="14"/>
      <c r="L620" s="1394" t="str">
        <f>IF(ISBLANK(M620),"",LARGE(L606:L619,1)+1)</f>
        <v/>
      </c>
      <c r="M620" s="1912"/>
      <c r="N620" s="1883"/>
      <c r="O620" s="1883"/>
      <c r="P620" s="1883"/>
      <c r="Q620" s="1883"/>
      <c r="R620" s="1883"/>
      <c r="S620" s="1884"/>
      <c r="T620" s="1884"/>
      <c r="U620" s="1885"/>
      <c r="W620" s="14"/>
      <c r="X620" s="9"/>
      <c r="Y620" s="9"/>
      <c r="Z620" s="9"/>
      <c r="AA620" s="14"/>
      <c r="AB620" s="14"/>
      <c r="AC620" s="14"/>
      <c r="AD620" s="14"/>
      <c r="AE620" s="14"/>
      <c r="AF620" s="14"/>
      <c r="AG620" s="1394" t="str">
        <f>IF(ISBLANK(AH620),"",LARGE(AG606:AG619,1)+1)</f>
        <v/>
      </c>
      <c r="AH620" s="1912"/>
      <c r="AI620" s="1883"/>
      <c r="AJ620" s="1883"/>
      <c r="AK620" s="1883"/>
      <c r="AL620" s="1883"/>
      <c r="AM620" s="1883"/>
      <c r="AN620" s="1884"/>
      <c r="AO620" s="1884"/>
      <c r="AP620" s="1885"/>
      <c r="AR620" s="14"/>
      <c r="AS620" s="9"/>
      <c r="AT620" s="9"/>
      <c r="AU620" s="9"/>
      <c r="AV620" s="14"/>
      <c r="AW620" s="14"/>
      <c r="AX620" s="14"/>
      <c r="AY620" s="14"/>
      <c r="AZ620" s="14"/>
      <c r="BA620" s="14"/>
      <c r="BB620" s="1394" t="str">
        <f>IF(ISBLANK(BC620),"",LARGE(BB606:BB619,1)+1)</f>
        <v/>
      </c>
      <c r="BC620" s="1912"/>
      <c r="BD620" s="1883"/>
      <c r="BE620" s="1883"/>
      <c r="BF620" s="1883"/>
      <c r="BG620" s="1883"/>
      <c r="BH620" s="1883"/>
      <c r="BI620" s="1884"/>
      <c r="BJ620" s="1884"/>
      <c r="BK620" s="1885"/>
      <c r="BM620" s="3">
        <v>1</v>
      </c>
    </row>
    <row r="621" spans="2:65" ht="21" customHeight="1">
      <c r="B621" s="14"/>
      <c r="C621" s="9"/>
      <c r="D621" s="9"/>
      <c r="E621" s="9"/>
      <c r="F621" s="14"/>
      <c r="G621" s="14"/>
      <c r="H621" s="14"/>
      <c r="I621" s="14"/>
      <c r="J621" s="14"/>
      <c r="K621" s="14"/>
      <c r="L621" s="1394" t="str">
        <f>IF(ISBLANK(M621),"",LARGE(L606:L620,1)+1)</f>
        <v/>
      </c>
      <c r="M621" s="1912"/>
      <c r="N621" s="1883"/>
      <c r="O621" s="1883"/>
      <c r="P621" s="1883"/>
      <c r="Q621" s="1883"/>
      <c r="R621" s="1883"/>
      <c r="S621" s="1884"/>
      <c r="T621" s="1884"/>
      <c r="U621" s="1885"/>
      <c r="W621" s="14"/>
      <c r="X621" s="9"/>
      <c r="Y621" s="9"/>
      <c r="Z621" s="9"/>
      <c r="AA621" s="14"/>
      <c r="AB621" s="14"/>
      <c r="AC621" s="14"/>
      <c r="AD621" s="14"/>
      <c r="AE621" s="14"/>
      <c r="AF621" s="14"/>
      <c r="AG621" s="1394" t="str">
        <f>IF(ISBLANK(AH621),"",LARGE(AG606:AG620,1)+1)</f>
        <v/>
      </c>
      <c r="AH621" s="1912"/>
      <c r="AI621" s="1883"/>
      <c r="AJ621" s="1883"/>
      <c r="AK621" s="1883"/>
      <c r="AL621" s="1883"/>
      <c r="AM621" s="1883"/>
      <c r="AN621" s="1884"/>
      <c r="AO621" s="1884"/>
      <c r="AP621" s="1885"/>
      <c r="AR621" s="14"/>
      <c r="AS621" s="9"/>
      <c r="AT621" s="9"/>
      <c r="AU621" s="9"/>
      <c r="AV621" s="14"/>
      <c r="AW621" s="14"/>
      <c r="AX621" s="14"/>
      <c r="AY621" s="14"/>
      <c r="AZ621" s="14"/>
      <c r="BA621" s="14"/>
      <c r="BB621" s="1394" t="str">
        <f>IF(ISBLANK(BC621),"",LARGE(BB606:BB620,1)+1)</f>
        <v/>
      </c>
      <c r="BC621" s="1912"/>
      <c r="BD621" s="1883"/>
      <c r="BE621" s="1883"/>
      <c r="BF621" s="1883"/>
      <c r="BG621" s="1883"/>
      <c r="BH621" s="1883"/>
      <c r="BI621" s="1884"/>
      <c r="BJ621" s="1884"/>
      <c r="BK621" s="1885"/>
      <c r="BM621" s="3">
        <v>1</v>
      </c>
    </row>
    <row r="622" spans="2:65" ht="21" customHeight="1">
      <c r="B622" s="14"/>
      <c r="C622" s="9"/>
      <c r="D622" s="9"/>
      <c r="E622" s="9"/>
      <c r="F622" s="14"/>
      <c r="G622" s="14"/>
      <c r="H622" s="14"/>
      <c r="I622" s="14"/>
      <c r="J622" s="14"/>
      <c r="K622" s="14"/>
      <c r="L622" s="1394" t="str">
        <f>IF(ISBLANK(M622),"",LARGE(L606:L621,1)+1)</f>
        <v/>
      </c>
      <c r="M622" s="1912"/>
      <c r="N622" s="1883"/>
      <c r="O622" s="1883"/>
      <c r="P622" s="1883"/>
      <c r="Q622" s="1883"/>
      <c r="R622" s="1883"/>
      <c r="S622" s="1884"/>
      <c r="T622" s="1884"/>
      <c r="U622" s="1885"/>
      <c r="W622" s="14"/>
      <c r="X622" s="9"/>
      <c r="Y622" s="9"/>
      <c r="Z622" s="9"/>
      <c r="AA622" s="14"/>
      <c r="AB622" s="14"/>
      <c r="AC622" s="14"/>
      <c r="AD622" s="14"/>
      <c r="AE622" s="14"/>
      <c r="AF622" s="14"/>
      <c r="AG622" s="1394" t="str">
        <f>IF(ISBLANK(AH622),"",LARGE(AG606:AG621,1)+1)</f>
        <v/>
      </c>
      <c r="AH622" s="1912"/>
      <c r="AI622" s="1883"/>
      <c r="AJ622" s="1883"/>
      <c r="AK622" s="1883"/>
      <c r="AL622" s="1883"/>
      <c r="AM622" s="1883"/>
      <c r="AN622" s="1884"/>
      <c r="AO622" s="1884"/>
      <c r="AP622" s="1885"/>
      <c r="AR622" s="14"/>
      <c r="AS622" s="9"/>
      <c r="AT622" s="9"/>
      <c r="AU622" s="9"/>
      <c r="AV622" s="14"/>
      <c r="AW622" s="14"/>
      <c r="AX622" s="14"/>
      <c r="AY622" s="14"/>
      <c r="AZ622" s="14"/>
      <c r="BA622" s="14"/>
      <c r="BB622" s="1394" t="str">
        <f>IF(ISBLANK(BC622),"",LARGE(BB606:BB621,1)+1)</f>
        <v/>
      </c>
      <c r="BC622" s="1912"/>
      <c r="BD622" s="1883"/>
      <c r="BE622" s="1883"/>
      <c r="BF622" s="1883"/>
      <c r="BG622" s="1883"/>
      <c r="BH622" s="1883"/>
      <c r="BI622" s="1884"/>
      <c r="BJ622" s="1884"/>
      <c r="BK622" s="1885"/>
      <c r="BM622" s="3">
        <v>1</v>
      </c>
    </row>
    <row r="623" spans="2:65" ht="21" customHeight="1">
      <c r="B623" s="14"/>
      <c r="C623" s="9"/>
      <c r="D623" s="9"/>
      <c r="E623" s="9"/>
      <c r="F623" s="14"/>
      <c r="G623" s="14"/>
      <c r="H623" s="14"/>
      <c r="I623" s="14"/>
      <c r="J623" s="14"/>
      <c r="K623" s="14"/>
      <c r="L623" s="1394" t="str">
        <f>IF(ISBLANK(M623),"",LARGE(L606:L622,1)+1)</f>
        <v/>
      </c>
      <c r="M623" s="1912"/>
      <c r="N623" s="1883"/>
      <c r="O623" s="1883"/>
      <c r="P623" s="1883"/>
      <c r="Q623" s="1883"/>
      <c r="R623" s="1883"/>
      <c r="S623" s="1884"/>
      <c r="T623" s="1884"/>
      <c r="U623" s="1885"/>
      <c r="W623" s="14"/>
      <c r="X623" s="9"/>
      <c r="Y623" s="9"/>
      <c r="Z623" s="9"/>
      <c r="AA623" s="14"/>
      <c r="AB623" s="14"/>
      <c r="AC623" s="14"/>
      <c r="AD623" s="14"/>
      <c r="AE623" s="14"/>
      <c r="AF623" s="14"/>
      <c r="AG623" s="1394" t="str">
        <f>IF(ISBLANK(AH623),"",LARGE(AG606:AG622,1)+1)</f>
        <v/>
      </c>
      <c r="AH623" s="1912"/>
      <c r="AI623" s="1883"/>
      <c r="AJ623" s="1883"/>
      <c r="AK623" s="1883"/>
      <c r="AL623" s="1883"/>
      <c r="AM623" s="1883"/>
      <c r="AN623" s="1884"/>
      <c r="AO623" s="1884"/>
      <c r="AP623" s="1885"/>
      <c r="AR623" s="14"/>
      <c r="AS623" s="9"/>
      <c r="AT623" s="9"/>
      <c r="AU623" s="9"/>
      <c r="AV623" s="14"/>
      <c r="AW623" s="14"/>
      <c r="AX623" s="14"/>
      <c r="AY623" s="14"/>
      <c r="AZ623" s="14"/>
      <c r="BA623" s="14"/>
      <c r="BB623" s="1394" t="str">
        <f>IF(ISBLANK(BC623),"",LARGE(BB606:BB622,1)+1)</f>
        <v/>
      </c>
      <c r="BC623" s="1912"/>
      <c r="BD623" s="1883"/>
      <c r="BE623" s="1883"/>
      <c r="BF623" s="1883"/>
      <c r="BG623" s="1883"/>
      <c r="BH623" s="1883"/>
      <c r="BI623" s="1884"/>
      <c r="BJ623" s="1884"/>
      <c r="BK623" s="1885"/>
      <c r="BM623" s="3">
        <v>1</v>
      </c>
    </row>
    <row r="624" spans="2:65" ht="21" customHeight="1">
      <c r="B624" s="14"/>
      <c r="C624" s="9"/>
      <c r="D624" s="9"/>
      <c r="E624" s="9"/>
      <c r="F624" s="14"/>
      <c r="G624" s="14"/>
      <c r="H624" s="14"/>
      <c r="I624" s="14"/>
      <c r="J624" s="14"/>
      <c r="K624" s="14"/>
      <c r="L624" s="1394" t="str">
        <f>IF(ISBLANK(M624),"",LARGE(L606:L623,1)+1)</f>
        <v/>
      </c>
      <c r="M624" s="1912"/>
      <c r="N624" s="1883"/>
      <c r="O624" s="1883"/>
      <c r="P624" s="1883"/>
      <c r="Q624" s="1883"/>
      <c r="R624" s="1883"/>
      <c r="S624" s="1884"/>
      <c r="T624" s="1884"/>
      <c r="U624" s="1885"/>
      <c r="W624" s="14"/>
      <c r="X624" s="9"/>
      <c r="Y624" s="9"/>
      <c r="Z624" s="9"/>
      <c r="AA624" s="14"/>
      <c r="AB624" s="14"/>
      <c r="AC624" s="14"/>
      <c r="AD624" s="14"/>
      <c r="AE624" s="14"/>
      <c r="AF624" s="14"/>
      <c r="AG624" s="1394" t="str">
        <f>IF(ISBLANK(AH624),"",LARGE(AG606:AG623,1)+1)</f>
        <v/>
      </c>
      <c r="AH624" s="1912"/>
      <c r="AI624" s="1883"/>
      <c r="AJ624" s="1883"/>
      <c r="AK624" s="1883"/>
      <c r="AL624" s="1883"/>
      <c r="AM624" s="1883"/>
      <c r="AN624" s="1884"/>
      <c r="AO624" s="1884"/>
      <c r="AP624" s="1885"/>
      <c r="AR624" s="14"/>
      <c r="AS624" s="9"/>
      <c r="AT624" s="9"/>
      <c r="AU624" s="9"/>
      <c r="AV624" s="14"/>
      <c r="AW624" s="14"/>
      <c r="AX624" s="14"/>
      <c r="AY624" s="14"/>
      <c r="AZ624" s="14"/>
      <c r="BA624" s="14"/>
      <c r="BB624" s="1394" t="str">
        <f>IF(ISBLANK(BC624),"",LARGE(BB606:BB623,1)+1)</f>
        <v/>
      </c>
      <c r="BC624" s="1912"/>
      <c r="BD624" s="1883"/>
      <c r="BE624" s="1883"/>
      <c r="BF624" s="1883"/>
      <c r="BG624" s="1883"/>
      <c r="BH624" s="1883"/>
      <c r="BI624" s="1884"/>
      <c r="BJ624" s="1884"/>
      <c r="BK624" s="1885"/>
      <c r="BM624" s="3">
        <v>1</v>
      </c>
    </row>
    <row r="625" spans="2:65" ht="21" customHeight="1">
      <c r="B625" s="14"/>
      <c r="C625" s="9"/>
      <c r="D625" s="9"/>
      <c r="E625" s="9"/>
      <c r="F625" s="14"/>
      <c r="G625" s="14"/>
      <c r="H625" s="14"/>
      <c r="I625" s="14"/>
      <c r="J625" s="14"/>
      <c r="K625" s="14"/>
      <c r="L625" s="1963" t="s">
        <v>8629</v>
      </c>
      <c r="M625" s="1844"/>
      <c r="N625" s="1844"/>
      <c r="O625" s="1844"/>
      <c r="P625" s="1844"/>
      <c r="Q625" s="1844"/>
      <c r="R625" s="1844"/>
      <c r="S625" s="1844"/>
      <c r="T625" s="1844"/>
      <c r="U625" s="1964" t="s">
        <v>8629</v>
      </c>
      <c r="W625" s="14"/>
      <c r="X625" s="9"/>
      <c r="Y625" s="9"/>
      <c r="Z625" s="9"/>
      <c r="AA625" s="14"/>
      <c r="AB625" s="14"/>
      <c r="AC625" s="14"/>
      <c r="AD625" s="14"/>
      <c r="AE625" s="14"/>
      <c r="AF625" s="14"/>
      <c r="AG625" s="1963" t="s">
        <v>8630</v>
      </c>
      <c r="AH625" s="1844"/>
      <c r="AI625" s="1844"/>
      <c r="AJ625" s="1844"/>
      <c r="AK625" s="1844"/>
      <c r="AL625" s="1844"/>
      <c r="AM625" s="1844"/>
      <c r="AN625" s="1844"/>
      <c r="AO625" s="1844"/>
      <c r="AP625" s="1964" t="s">
        <v>8630</v>
      </c>
      <c r="BB625" s="1963" t="s">
        <v>8631</v>
      </c>
      <c r="BC625" s="1844"/>
      <c r="BD625" s="1844"/>
      <c r="BE625" s="1844"/>
      <c r="BF625" s="1844"/>
      <c r="BG625" s="1844"/>
      <c r="BH625" s="1844"/>
      <c r="BI625" s="1844"/>
      <c r="BJ625" s="1844"/>
      <c r="BK625" s="1964" t="s">
        <v>8631</v>
      </c>
      <c r="BM625" s="3">
        <v>1</v>
      </c>
    </row>
    <row r="626" spans="2:65" ht="21" customHeight="1">
      <c r="B626" s="14"/>
      <c r="C626" s="9"/>
      <c r="D626" s="9"/>
      <c r="E626" s="9"/>
      <c r="F626" s="14"/>
      <c r="G626" s="14"/>
      <c r="H626" s="14"/>
      <c r="I626" s="14"/>
      <c r="J626" s="14"/>
      <c r="K626" s="14"/>
      <c r="L626" s="1388" t="s">
        <v>8145</v>
      </c>
      <c r="M626" s="1428"/>
      <c r="N626" s="419"/>
      <c r="O626" s="419"/>
      <c r="P626" s="419"/>
      <c r="Q626" s="419"/>
      <c r="R626" s="420"/>
      <c r="S626" s="420"/>
      <c r="T626" s="420"/>
      <c r="U626" s="608" t="s">
        <v>218</v>
      </c>
      <c r="W626" s="14"/>
      <c r="X626" s="9"/>
      <c r="Y626" s="9"/>
      <c r="Z626" s="9"/>
      <c r="AA626" s="14"/>
      <c r="AB626" s="14"/>
      <c r="AC626" s="14"/>
      <c r="AD626" s="14"/>
      <c r="AE626" s="14"/>
      <c r="AF626" s="14"/>
      <c r="AG626" s="1388" t="s">
        <v>8216</v>
      </c>
      <c r="AH626" s="1428"/>
      <c r="AI626" s="419"/>
      <c r="AJ626" s="419"/>
      <c r="AK626" s="419"/>
      <c r="AL626" s="419"/>
      <c r="AM626" s="420"/>
      <c r="AN626" s="420"/>
      <c r="AO626" s="420"/>
      <c r="AP626" s="608" t="s">
        <v>1399</v>
      </c>
      <c r="AR626" s="14"/>
      <c r="AS626" s="9"/>
      <c r="AT626" s="9"/>
      <c r="AU626" s="9"/>
      <c r="AV626" s="14"/>
      <c r="AW626" s="14"/>
      <c r="AX626" s="14"/>
      <c r="AY626" s="14"/>
      <c r="AZ626" s="14"/>
      <c r="BA626" s="14"/>
      <c r="BB626" s="1372" t="s">
        <v>8217</v>
      </c>
      <c r="BC626" s="1428"/>
      <c r="BD626" s="419"/>
      <c r="BE626" s="419"/>
      <c r="BF626" s="419"/>
      <c r="BG626" s="419"/>
      <c r="BH626" s="420"/>
      <c r="BI626" s="420"/>
      <c r="BJ626" s="420"/>
      <c r="BK626" s="608" t="s">
        <v>218</v>
      </c>
      <c r="BM626" s="3">
        <v>1</v>
      </c>
    </row>
    <row r="627" spans="2:65" ht="21" customHeight="1">
      <c r="B627" s="14"/>
      <c r="C627" s="9"/>
      <c r="D627" s="9"/>
      <c r="E627" s="9"/>
      <c r="F627" s="14"/>
      <c r="G627" s="14"/>
      <c r="H627" s="14"/>
      <c r="I627" s="14"/>
      <c r="J627" s="14"/>
      <c r="K627" s="14"/>
      <c r="L627" s="1822">
        <v>0</v>
      </c>
      <c r="M627" s="1821"/>
      <c r="N627" s="174"/>
      <c r="O627" s="174"/>
      <c r="P627" s="174"/>
      <c r="Q627" s="174" t="s">
        <v>171</v>
      </c>
      <c r="R627" s="1888">
        <v>3.472222222222222E-3</v>
      </c>
      <c r="S627" s="399">
        <v>100</v>
      </c>
      <c r="T627" s="400" t="s">
        <v>450</v>
      </c>
      <c r="U627" s="1889"/>
      <c r="W627" s="14"/>
      <c r="X627" s="9"/>
      <c r="Y627" s="9"/>
      <c r="Z627" s="9"/>
      <c r="AA627" s="14"/>
      <c r="AB627" s="14"/>
      <c r="AC627" s="14"/>
      <c r="AD627" s="14"/>
      <c r="AE627" s="14"/>
      <c r="AF627" s="14"/>
      <c r="AG627" s="1822">
        <v>0</v>
      </c>
      <c r="AH627" s="1821"/>
      <c r="AI627" s="174"/>
      <c r="AJ627" s="174"/>
      <c r="AK627" s="174"/>
      <c r="AL627" s="174" t="s">
        <v>651</v>
      </c>
      <c r="AM627" s="1888">
        <v>3.472222222222222E-3</v>
      </c>
      <c r="AN627" s="399">
        <v>100</v>
      </c>
      <c r="AO627" s="400" t="s">
        <v>1414</v>
      </c>
      <c r="AP627" s="1889"/>
      <c r="AR627" s="14"/>
      <c r="AS627" s="9"/>
      <c r="AT627" s="9"/>
      <c r="AU627" s="9"/>
      <c r="AV627" s="14"/>
      <c r="AW627" s="14"/>
      <c r="AX627" s="14"/>
      <c r="AY627" s="14"/>
      <c r="AZ627" s="14"/>
      <c r="BA627" s="14"/>
      <c r="BB627" s="1822">
        <v>0</v>
      </c>
      <c r="BC627" s="1821"/>
      <c r="BD627" s="174"/>
      <c r="BE627" s="174"/>
      <c r="BF627" s="174"/>
      <c r="BG627" s="174" t="s">
        <v>171</v>
      </c>
      <c r="BH627" s="1888">
        <v>3.472222222222222E-3</v>
      </c>
      <c r="BI627" s="399">
        <v>100</v>
      </c>
      <c r="BJ627" s="400" t="s">
        <v>450</v>
      </c>
      <c r="BK627" s="1889"/>
      <c r="BM627" s="3">
        <v>1</v>
      </c>
    </row>
    <row r="628" spans="2:65" ht="21" customHeight="1">
      <c r="B628" s="14"/>
      <c r="C628" s="9"/>
      <c r="D628" s="9"/>
      <c r="E628" s="9"/>
      <c r="F628" s="14"/>
      <c r="G628" s="14"/>
      <c r="H628" s="14"/>
      <c r="I628" s="14"/>
      <c r="J628" s="14"/>
      <c r="K628" s="14"/>
      <c r="L628" s="1823" t="str">
        <f>IF(ISBLANK(M628),"",LARGE(L627:L627,1)+1)</f>
        <v/>
      </c>
      <c r="M628" s="1810"/>
      <c r="N628" s="174"/>
      <c r="O628" s="174"/>
      <c r="P628" s="174"/>
      <c r="Q628" s="174" t="s">
        <v>173</v>
      </c>
      <c r="R628" s="1423">
        <v>1.0416666666666666E-2</v>
      </c>
      <c r="S628" s="381">
        <v>90</v>
      </c>
      <c r="T628" s="401" t="s">
        <v>451</v>
      </c>
      <c r="U628" s="1424"/>
      <c r="W628" s="14"/>
      <c r="X628" s="9"/>
      <c r="Y628" s="9"/>
      <c r="Z628" s="9"/>
      <c r="AA628" s="14"/>
      <c r="AB628" s="14"/>
      <c r="AC628" s="14"/>
      <c r="AD628" s="14"/>
      <c r="AE628" s="14"/>
      <c r="AF628" s="14"/>
      <c r="AG628" s="1823" t="str">
        <f>IF(ISBLANK(AH628),"",LARGE(AG627:AG627,1)+1)</f>
        <v/>
      </c>
      <c r="AH628" s="1810"/>
      <c r="AI628" s="174"/>
      <c r="AJ628" s="174"/>
      <c r="AK628" s="174"/>
      <c r="AL628" s="174" t="s">
        <v>656</v>
      </c>
      <c r="AM628" s="1423">
        <v>1.0416666666666666E-2</v>
      </c>
      <c r="AN628" s="381">
        <v>90</v>
      </c>
      <c r="AO628" s="401" t="s">
        <v>1415</v>
      </c>
      <c r="AP628" s="1424"/>
      <c r="AR628" s="14"/>
      <c r="AS628" s="9"/>
      <c r="AT628" s="9"/>
      <c r="AU628" s="9"/>
      <c r="AV628" s="14"/>
      <c r="AW628" s="14"/>
      <c r="AX628" s="14"/>
      <c r="AY628" s="14"/>
      <c r="AZ628" s="14"/>
      <c r="BA628" s="14"/>
      <c r="BB628" s="1823" t="str">
        <f>IF(ISBLANK(BC628),"",LARGE(BB627:BB627,1)+1)</f>
        <v/>
      </c>
      <c r="BC628" s="1810"/>
      <c r="BD628" s="174"/>
      <c r="BE628" s="174"/>
      <c r="BF628" s="174"/>
      <c r="BG628" s="174" t="s">
        <v>173</v>
      </c>
      <c r="BH628" s="1423">
        <v>1.0416666666666666E-2</v>
      </c>
      <c r="BI628" s="381">
        <v>90</v>
      </c>
      <c r="BJ628" s="401" t="s">
        <v>451</v>
      </c>
      <c r="BK628" s="1424"/>
      <c r="BM628" s="3">
        <v>1</v>
      </c>
    </row>
    <row r="629" spans="2:65" ht="21" customHeight="1">
      <c r="B629" s="14"/>
      <c r="C629" s="9"/>
      <c r="D629" s="9"/>
      <c r="E629" s="9"/>
      <c r="F629" s="14"/>
      <c r="G629" s="14"/>
      <c r="H629" s="14"/>
      <c r="I629" s="14"/>
      <c r="J629" s="14"/>
      <c r="K629" s="14"/>
      <c r="L629" s="1823" t="str">
        <f>IF(ISBLANK(M629),"",LARGE(L627:L628,1)+1)</f>
        <v/>
      </c>
      <c r="M629" s="1810"/>
      <c r="N629" s="174"/>
      <c r="O629" s="174"/>
      <c r="P629" s="174"/>
      <c r="Q629" s="174" t="s">
        <v>452</v>
      </c>
      <c r="R629" s="1425">
        <v>2.0833333333333332E-2</v>
      </c>
      <c r="S629" s="402" t="s">
        <v>165</v>
      </c>
      <c r="T629" s="1426" t="s">
        <v>164</v>
      </c>
      <c r="U629" s="1427"/>
      <c r="W629" s="14"/>
      <c r="X629" s="9"/>
      <c r="Y629" s="9"/>
      <c r="Z629" s="9"/>
      <c r="AA629" s="14"/>
      <c r="AB629" s="14"/>
      <c r="AC629" s="14"/>
      <c r="AD629" s="14"/>
      <c r="AE629" s="14"/>
      <c r="AF629" s="14"/>
      <c r="AG629" s="1823" t="str">
        <f>IF(ISBLANK(AH629),"",LARGE(AG627:AG628,1)+1)</f>
        <v/>
      </c>
      <c r="AH629" s="1810"/>
      <c r="AI629" s="174"/>
      <c r="AJ629" s="174"/>
      <c r="AK629" s="174"/>
      <c r="AL629" s="174" t="s">
        <v>1416</v>
      </c>
      <c r="AM629" s="1425">
        <v>2.0833333333333332E-2</v>
      </c>
      <c r="AN629" s="402" t="s">
        <v>165</v>
      </c>
      <c r="AO629" s="1426" t="s">
        <v>1417</v>
      </c>
      <c r="AP629" s="1427"/>
      <c r="AR629" s="14"/>
      <c r="AS629" s="9"/>
      <c r="AT629" s="9"/>
      <c r="AU629" s="9"/>
      <c r="AV629" s="14"/>
      <c r="AW629" s="14"/>
      <c r="AX629" s="14"/>
      <c r="AY629" s="14"/>
      <c r="AZ629" s="14"/>
      <c r="BA629" s="14"/>
      <c r="BB629" s="1823" t="str">
        <f>IF(ISBLANK(BC629),"",LARGE(BB627:BB628,1)+1)</f>
        <v/>
      </c>
      <c r="BC629" s="1810"/>
      <c r="BD629" s="174"/>
      <c r="BE629" s="174"/>
      <c r="BF629" s="174"/>
      <c r="BG629" s="174" t="s">
        <v>452</v>
      </c>
      <c r="BH629" s="1425">
        <v>2.0833333333333332E-2</v>
      </c>
      <c r="BI629" s="402" t="s">
        <v>165</v>
      </c>
      <c r="BJ629" s="1426" t="s">
        <v>164</v>
      </c>
      <c r="BK629" s="1427"/>
      <c r="BM629" s="3">
        <v>1</v>
      </c>
    </row>
    <row r="630" spans="2:65" ht="21" customHeight="1">
      <c r="B630" s="14"/>
      <c r="C630" s="9"/>
      <c r="D630" s="9"/>
      <c r="E630" s="9"/>
      <c r="F630" s="14"/>
      <c r="G630" s="14"/>
      <c r="H630" s="14"/>
      <c r="I630" s="14"/>
      <c r="J630" s="14"/>
      <c r="K630" s="14"/>
      <c r="L630" s="1823" t="str">
        <f>IF(ISBLANK(M630),"",LARGE(L627:L629,1)+1)</f>
        <v/>
      </c>
      <c r="M630" s="1810"/>
      <c r="N630" s="179"/>
      <c r="O630" s="179"/>
      <c r="P630" s="179"/>
      <c r="Q630" s="179" t="s">
        <v>182</v>
      </c>
      <c r="R630" s="1893">
        <f>R627+R628+R629</f>
        <v>3.4722222222222224E-2</v>
      </c>
      <c r="S630" s="402" t="s">
        <v>165</v>
      </c>
      <c r="T630" s="1426" t="s">
        <v>167</v>
      </c>
      <c r="U630" s="1894"/>
      <c r="W630" s="14"/>
      <c r="X630" s="9"/>
      <c r="Y630" s="9"/>
      <c r="Z630" s="9"/>
      <c r="AA630" s="14"/>
      <c r="AB630" s="14"/>
      <c r="AC630" s="14"/>
      <c r="AD630" s="14"/>
      <c r="AE630" s="14"/>
      <c r="AF630" s="14"/>
      <c r="AG630" s="1823" t="str">
        <f>IF(ISBLANK(AH630),"",LARGE(AG627:AG629,1)+1)</f>
        <v/>
      </c>
      <c r="AH630" s="1810"/>
      <c r="AI630" s="179"/>
      <c r="AJ630" s="179"/>
      <c r="AK630" s="179"/>
      <c r="AL630" s="179" t="s">
        <v>182</v>
      </c>
      <c r="AM630" s="1893">
        <f>AM627+AM628+AM629</f>
        <v>3.4722222222222224E-2</v>
      </c>
      <c r="AN630" s="402" t="s">
        <v>165</v>
      </c>
      <c r="AO630" s="1426" t="s">
        <v>875</v>
      </c>
      <c r="AP630" s="1894"/>
      <c r="AR630" s="14"/>
      <c r="AS630" s="9"/>
      <c r="AT630" s="9"/>
      <c r="AU630" s="9"/>
      <c r="AV630" s="14"/>
      <c r="AW630" s="14"/>
      <c r="AX630" s="14"/>
      <c r="AY630" s="14"/>
      <c r="AZ630" s="14"/>
      <c r="BA630" s="14"/>
      <c r="BB630" s="1823" t="str">
        <f>IF(ISBLANK(BC630),"",LARGE(BB627:BB629,1)+1)</f>
        <v/>
      </c>
      <c r="BC630" s="1810"/>
      <c r="BD630" s="179"/>
      <c r="BE630" s="179"/>
      <c r="BF630" s="179"/>
      <c r="BG630" s="179" t="s">
        <v>182</v>
      </c>
      <c r="BH630" s="1893">
        <f>BH627+BH628+BH629</f>
        <v>3.4722222222222224E-2</v>
      </c>
      <c r="BI630" s="402" t="s">
        <v>165</v>
      </c>
      <c r="BJ630" s="1426" t="s">
        <v>167</v>
      </c>
      <c r="BK630" s="1894"/>
      <c r="BM630" s="3">
        <v>1</v>
      </c>
    </row>
    <row r="631" spans="2:65" ht="21" customHeight="1">
      <c r="B631" s="14"/>
      <c r="C631" s="9"/>
      <c r="D631" s="9"/>
      <c r="E631" s="9"/>
      <c r="F631" s="14"/>
      <c r="G631" s="14"/>
      <c r="H631" s="14"/>
      <c r="I631" s="14"/>
      <c r="J631" s="14"/>
      <c r="K631" s="14"/>
      <c r="L631" s="1823"/>
      <c r="M631" s="1839" t="s">
        <v>821</v>
      </c>
      <c r="N631" s="1839"/>
      <c r="O631" s="1890"/>
      <c r="P631" s="1890"/>
      <c r="Q631" s="1890"/>
      <c r="R631" s="1890"/>
      <c r="S631" s="1890"/>
      <c r="T631" s="1895"/>
      <c r="U631" s="1892" t="s">
        <v>196</v>
      </c>
      <c r="W631" s="14"/>
      <c r="X631" s="9"/>
      <c r="Y631" s="9"/>
      <c r="Z631" s="9"/>
      <c r="AA631" s="14"/>
      <c r="AB631" s="14"/>
      <c r="AC631" s="14"/>
      <c r="AD631" s="14"/>
      <c r="AE631" s="14"/>
      <c r="AF631" s="14"/>
      <c r="AG631" s="1823"/>
      <c r="AH631" s="1839" t="s">
        <v>8197</v>
      </c>
      <c r="AI631" s="1839"/>
      <c r="AJ631" s="1890"/>
      <c r="AK631" s="1890"/>
      <c r="AL631" s="1890"/>
      <c r="AM631" s="1890"/>
      <c r="AN631" s="1890"/>
      <c r="AO631" s="1895"/>
      <c r="AP631" s="1892" t="s">
        <v>879</v>
      </c>
      <c r="AR631" s="14"/>
      <c r="AS631" s="9"/>
      <c r="AT631" s="9"/>
      <c r="AU631" s="9"/>
      <c r="AV631" s="14"/>
      <c r="AW631" s="14"/>
      <c r="AX631" s="14"/>
      <c r="AY631" s="14"/>
      <c r="AZ631" s="14"/>
      <c r="BA631" s="14"/>
      <c r="BB631" s="1823"/>
      <c r="BC631" s="1839" t="s">
        <v>874</v>
      </c>
      <c r="BD631" s="1839"/>
      <c r="BE631" s="1890"/>
      <c r="BF631" s="1890"/>
      <c r="BG631" s="1890"/>
      <c r="BH631" s="1890"/>
      <c r="BI631" s="1890"/>
      <c r="BJ631" s="1895"/>
      <c r="BK631" s="1892" t="s">
        <v>879</v>
      </c>
      <c r="BM631" s="3">
        <v>1</v>
      </c>
    </row>
    <row r="632" spans="2:65" ht="21" customHeight="1">
      <c r="B632" s="14"/>
      <c r="C632" s="9"/>
      <c r="D632" s="9"/>
      <c r="E632" s="9"/>
      <c r="F632" s="14"/>
      <c r="G632" s="14"/>
      <c r="H632" s="14"/>
      <c r="I632" s="14"/>
      <c r="J632" s="14"/>
      <c r="K632" s="14"/>
      <c r="L632" s="1823"/>
      <c r="M632" s="1821" t="s">
        <v>8146</v>
      </c>
      <c r="N632" s="1377"/>
      <c r="O632" s="1377"/>
      <c r="P632" s="1377"/>
      <c r="Q632" s="1377"/>
      <c r="R632" s="1377"/>
      <c r="S632" s="1410"/>
      <c r="T632" s="1410"/>
      <c r="U632" s="1411"/>
      <c r="W632" s="14"/>
      <c r="X632" s="9"/>
      <c r="Y632" s="9"/>
      <c r="Z632" s="9"/>
      <c r="AA632" s="14"/>
      <c r="AB632" s="14"/>
      <c r="AC632" s="14"/>
      <c r="AD632" s="14"/>
      <c r="AE632" s="14"/>
      <c r="AF632" s="14"/>
      <c r="AG632" s="1823"/>
      <c r="AH632" s="1821" t="s">
        <v>8198</v>
      </c>
      <c r="AI632" s="1377"/>
      <c r="AJ632" s="1377"/>
      <c r="AK632" s="1377"/>
      <c r="AL632" s="1377"/>
      <c r="AM632" s="1377"/>
      <c r="AN632" s="1410"/>
      <c r="AO632" s="1410"/>
      <c r="AP632" s="1411"/>
      <c r="AR632" s="14"/>
      <c r="AS632" s="9"/>
      <c r="AT632" s="9"/>
      <c r="AU632" s="9"/>
      <c r="AV632" s="14"/>
      <c r="AW632" s="14"/>
      <c r="AX632" s="14"/>
      <c r="AY632" s="14"/>
      <c r="AZ632" s="14"/>
      <c r="BA632" s="14"/>
      <c r="BB632" s="1823"/>
      <c r="BC632" s="1821" t="s">
        <v>8193</v>
      </c>
      <c r="BD632" s="1377"/>
      <c r="BE632" s="1377"/>
      <c r="BF632" s="1377"/>
      <c r="BG632" s="1377"/>
      <c r="BH632" s="1377"/>
      <c r="BI632" s="1410"/>
      <c r="BJ632" s="1410"/>
      <c r="BK632" s="1411"/>
      <c r="BM632" s="3">
        <v>1</v>
      </c>
    </row>
    <row r="633" spans="2:65" ht="21" customHeight="1">
      <c r="B633" s="14"/>
      <c r="C633" s="9"/>
      <c r="D633" s="9"/>
      <c r="E633" s="9"/>
      <c r="F633" s="14"/>
      <c r="G633" s="14"/>
      <c r="H633" s="14"/>
      <c r="I633" s="14"/>
      <c r="J633" s="14"/>
      <c r="K633" s="14"/>
      <c r="L633" s="1823" t="str">
        <f>IF(ISBLANK(M633),"",LARGE(L627:L632,1)+1)</f>
        <v/>
      </c>
      <c r="M633" s="1886"/>
      <c r="N633" s="1883"/>
      <c r="O633" s="1883"/>
      <c r="P633" s="1883"/>
      <c r="Q633" s="1883"/>
      <c r="R633" s="1883"/>
      <c r="S633" s="1884"/>
      <c r="T633" s="1884"/>
      <c r="U633" s="1885"/>
      <c r="W633" s="14"/>
      <c r="X633" s="9"/>
      <c r="Y633" s="9"/>
      <c r="Z633" s="9"/>
      <c r="AA633" s="14"/>
      <c r="AB633" s="14"/>
      <c r="AC633" s="14"/>
      <c r="AD633" s="14"/>
      <c r="AE633" s="14"/>
      <c r="AF633" s="14"/>
      <c r="AG633" s="1823" t="str">
        <f>IF(ISBLANK(AH633),"",LARGE(AG627:AG632,1)+1)</f>
        <v/>
      </c>
      <c r="AH633" s="1886"/>
      <c r="AI633" s="1883"/>
      <c r="AJ633" s="1883"/>
      <c r="AK633" s="1883"/>
      <c r="AL633" s="1883"/>
      <c r="AM633" s="1883"/>
      <c r="AN633" s="1884"/>
      <c r="AO633" s="1884"/>
      <c r="AP633" s="1885"/>
      <c r="AR633" s="14"/>
      <c r="AS633" s="9"/>
      <c r="AT633" s="9"/>
      <c r="AU633" s="9"/>
      <c r="AV633" s="14"/>
      <c r="AW633" s="14"/>
      <c r="AX633" s="14"/>
      <c r="AY633" s="14"/>
      <c r="AZ633" s="14"/>
      <c r="BA633" s="14"/>
      <c r="BB633" s="1823" t="str">
        <f>IF(ISBLANK(BC633),"",LARGE(BB627:BB632,1)+1)</f>
        <v/>
      </c>
      <c r="BC633" s="1886"/>
      <c r="BD633" s="1883"/>
      <c r="BE633" s="1883"/>
      <c r="BF633" s="1883"/>
      <c r="BG633" s="1883"/>
      <c r="BH633" s="1883"/>
      <c r="BI633" s="1884"/>
      <c r="BJ633" s="1884"/>
      <c r="BK633" s="1885"/>
      <c r="BM633" s="3">
        <v>1</v>
      </c>
    </row>
    <row r="634" spans="2:65" ht="21" customHeight="1">
      <c r="B634" s="14"/>
      <c r="C634" s="9"/>
      <c r="D634" s="9"/>
      <c r="E634" s="9"/>
      <c r="F634" s="14"/>
      <c r="G634" s="14"/>
      <c r="H634" s="14"/>
      <c r="I634" s="14"/>
      <c r="J634" s="14"/>
      <c r="K634" s="14"/>
      <c r="L634" s="1823" t="str">
        <f>IF(ISBLANK(M634),"",LARGE(L627:L633,1)+1)</f>
        <v/>
      </c>
      <c r="M634" s="1886"/>
      <c r="N634" s="1883"/>
      <c r="O634" s="1883"/>
      <c r="P634" s="1883"/>
      <c r="Q634" s="1883"/>
      <c r="R634" s="1883"/>
      <c r="S634" s="1884"/>
      <c r="T634" s="1884"/>
      <c r="U634" s="1885"/>
      <c r="W634" s="14"/>
      <c r="X634" s="9"/>
      <c r="Y634" s="9"/>
      <c r="Z634" s="9"/>
      <c r="AA634" s="14"/>
      <c r="AB634" s="14"/>
      <c r="AC634" s="14"/>
      <c r="AD634" s="14"/>
      <c r="AE634" s="14"/>
      <c r="AF634" s="14"/>
      <c r="AG634" s="1823" t="str">
        <f>IF(ISBLANK(AH634),"",LARGE(AG627:AG633,1)+1)</f>
        <v/>
      </c>
      <c r="AH634" s="1886"/>
      <c r="AI634" s="1883"/>
      <c r="AJ634" s="1883"/>
      <c r="AK634" s="1883"/>
      <c r="AL634" s="1883"/>
      <c r="AM634" s="1883"/>
      <c r="AN634" s="1884"/>
      <c r="AO634" s="1884"/>
      <c r="AP634" s="1885"/>
      <c r="AR634" s="14"/>
      <c r="AS634" s="9"/>
      <c r="AT634" s="9"/>
      <c r="AU634" s="9"/>
      <c r="AV634" s="14"/>
      <c r="AW634" s="14"/>
      <c r="AX634" s="14"/>
      <c r="AY634" s="14"/>
      <c r="AZ634" s="14"/>
      <c r="BA634" s="14"/>
      <c r="BB634" s="1823" t="str">
        <f>IF(ISBLANK(BC634),"",LARGE(BB627:BB633,1)+1)</f>
        <v/>
      </c>
      <c r="BC634" s="1886"/>
      <c r="BD634" s="1883"/>
      <c r="BE634" s="1883"/>
      <c r="BF634" s="1883"/>
      <c r="BG634" s="1883"/>
      <c r="BH634" s="1883"/>
      <c r="BI634" s="1884"/>
      <c r="BJ634" s="1884"/>
      <c r="BK634" s="1885"/>
      <c r="BM634" s="3">
        <v>1</v>
      </c>
    </row>
    <row r="635" spans="2:65" ht="21" customHeight="1">
      <c r="B635" s="14"/>
      <c r="C635" s="9"/>
      <c r="D635" s="9"/>
      <c r="E635" s="9"/>
      <c r="F635" s="14"/>
      <c r="G635" s="14"/>
      <c r="H635" s="14"/>
      <c r="I635" s="14"/>
      <c r="J635" s="14"/>
      <c r="K635" s="14"/>
      <c r="L635" s="1823" t="str">
        <f>IF(ISBLANK(M635),"",LARGE(L627:L634,1)+1)</f>
        <v/>
      </c>
      <c r="M635" s="1886"/>
      <c r="N635" s="1883"/>
      <c r="O635" s="1883"/>
      <c r="P635" s="1883"/>
      <c r="Q635" s="1883"/>
      <c r="R635" s="1883"/>
      <c r="S635" s="1884"/>
      <c r="T635" s="1884"/>
      <c r="U635" s="1885"/>
      <c r="W635" s="14"/>
      <c r="X635" s="9"/>
      <c r="Y635" s="9"/>
      <c r="Z635" s="9"/>
      <c r="AA635" s="14"/>
      <c r="AB635" s="14"/>
      <c r="AC635" s="14"/>
      <c r="AD635" s="14"/>
      <c r="AE635" s="14"/>
      <c r="AF635" s="14"/>
      <c r="AG635" s="1823" t="str">
        <f>IF(ISBLANK(AH635),"",LARGE(AG627:AG634,1)+1)</f>
        <v/>
      </c>
      <c r="AH635" s="1886"/>
      <c r="AI635" s="1883"/>
      <c r="AJ635" s="1883"/>
      <c r="AK635" s="1883"/>
      <c r="AL635" s="1883"/>
      <c r="AM635" s="1883"/>
      <c r="AN635" s="1884"/>
      <c r="AO635" s="1884"/>
      <c r="AP635" s="1885"/>
      <c r="AR635" s="14"/>
      <c r="AS635" s="9"/>
      <c r="AT635" s="9"/>
      <c r="AU635" s="9"/>
      <c r="AV635" s="14"/>
      <c r="AW635" s="14"/>
      <c r="AX635" s="14"/>
      <c r="AY635" s="14"/>
      <c r="AZ635" s="14"/>
      <c r="BA635" s="14"/>
      <c r="BB635" s="1823" t="str">
        <f>IF(ISBLANK(BC635),"",LARGE(BB627:BB634,1)+1)</f>
        <v/>
      </c>
      <c r="BC635" s="1886"/>
      <c r="BD635" s="1883"/>
      <c r="BE635" s="1883"/>
      <c r="BF635" s="1883"/>
      <c r="BG635" s="1883"/>
      <c r="BH635" s="1883"/>
      <c r="BI635" s="1884"/>
      <c r="BJ635" s="1884"/>
      <c r="BK635" s="1885"/>
      <c r="BM635" s="3">
        <v>1</v>
      </c>
    </row>
    <row r="636" spans="2:65" ht="21" customHeight="1">
      <c r="B636" s="14"/>
      <c r="C636" s="9"/>
      <c r="D636" s="9"/>
      <c r="E636" s="9"/>
      <c r="F636" s="14"/>
      <c r="G636" s="14"/>
      <c r="H636" s="14"/>
      <c r="I636" s="14"/>
      <c r="J636" s="14"/>
      <c r="K636" s="14"/>
      <c r="L636" s="1823" t="str">
        <f>IF(ISBLANK(M636),"",LARGE(L627:L635,1)+1)</f>
        <v/>
      </c>
      <c r="M636" s="1886"/>
      <c r="N636" s="1883"/>
      <c r="O636" s="1883"/>
      <c r="P636" s="1883"/>
      <c r="Q636" s="1883"/>
      <c r="R636" s="1883"/>
      <c r="S636" s="1884"/>
      <c r="T636" s="1884"/>
      <c r="U636" s="1885"/>
      <c r="W636" s="14"/>
      <c r="X636" s="9"/>
      <c r="Y636" s="9"/>
      <c r="Z636" s="9"/>
      <c r="AA636" s="14"/>
      <c r="AB636" s="14"/>
      <c r="AC636" s="14"/>
      <c r="AD636" s="14"/>
      <c r="AE636" s="14"/>
      <c r="AF636" s="14"/>
      <c r="AG636" s="1823" t="str">
        <f>IF(ISBLANK(AH636),"",LARGE(AG627:AG635,1)+1)</f>
        <v/>
      </c>
      <c r="AH636" s="1886"/>
      <c r="AI636" s="1883"/>
      <c r="AJ636" s="1883"/>
      <c r="AK636" s="1883"/>
      <c r="AL636" s="1883"/>
      <c r="AM636" s="1883"/>
      <c r="AN636" s="1884"/>
      <c r="AO636" s="1884"/>
      <c r="AP636" s="1885"/>
      <c r="AR636" s="14"/>
      <c r="AS636" s="9"/>
      <c r="AT636" s="9"/>
      <c r="AU636" s="9"/>
      <c r="AV636" s="14"/>
      <c r="AW636" s="14"/>
      <c r="AX636" s="14"/>
      <c r="AY636" s="14"/>
      <c r="AZ636" s="14"/>
      <c r="BA636" s="14"/>
      <c r="BB636" s="1823" t="str">
        <f>IF(ISBLANK(BC636),"",LARGE(BB627:BB635,1)+1)</f>
        <v/>
      </c>
      <c r="BC636" s="1886"/>
      <c r="BD636" s="1883"/>
      <c r="BE636" s="1883"/>
      <c r="BF636" s="1883"/>
      <c r="BG636" s="1883"/>
      <c r="BH636" s="1883"/>
      <c r="BI636" s="1884"/>
      <c r="BJ636" s="1884"/>
      <c r="BK636" s="1885"/>
      <c r="BM636" s="3">
        <v>1</v>
      </c>
    </row>
    <row r="637" spans="2:65" ht="21" customHeight="1">
      <c r="B637" s="14"/>
      <c r="C637" s="9"/>
      <c r="D637" s="9"/>
      <c r="E637" s="9"/>
      <c r="F637" s="14"/>
      <c r="G637" s="14"/>
      <c r="H637" s="14"/>
      <c r="I637" s="14"/>
      <c r="J637" s="14"/>
      <c r="K637" s="14"/>
      <c r="L637" s="1823" t="str">
        <f>IF(ISBLANK(M637),"",LARGE(L627:L636,1)+1)</f>
        <v/>
      </c>
      <c r="M637" s="1886"/>
      <c r="N637" s="1883"/>
      <c r="O637" s="1883"/>
      <c r="P637" s="1883"/>
      <c r="Q637" s="1883"/>
      <c r="R637" s="1883"/>
      <c r="S637" s="1884"/>
      <c r="T637" s="1884"/>
      <c r="U637" s="1885"/>
      <c r="W637" s="14"/>
      <c r="X637" s="9"/>
      <c r="Y637" s="9"/>
      <c r="Z637" s="9"/>
      <c r="AA637" s="14"/>
      <c r="AB637" s="14"/>
      <c r="AC637" s="14"/>
      <c r="AD637" s="14"/>
      <c r="AE637" s="14"/>
      <c r="AF637" s="14"/>
      <c r="AG637" s="1823" t="str">
        <f>IF(ISBLANK(AH637),"",LARGE(AG627:AG636,1)+1)</f>
        <v/>
      </c>
      <c r="AH637" s="1886"/>
      <c r="AI637" s="1883"/>
      <c r="AJ637" s="1883"/>
      <c r="AK637" s="1883"/>
      <c r="AL637" s="1883"/>
      <c r="AM637" s="1883"/>
      <c r="AN637" s="1884"/>
      <c r="AO637" s="1884"/>
      <c r="AP637" s="1885"/>
      <c r="AR637" s="14"/>
      <c r="AS637" s="9"/>
      <c r="AT637" s="9"/>
      <c r="AU637" s="9"/>
      <c r="AV637" s="14"/>
      <c r="AW637" s="14"/>
      <c r="AX637" s="14"/>
      <c r="AY637" s="14"/>
      <c r="AZ637" s="14"/>
      <c r="BA637" s="14"/>
      <c r="BB637" s="1823" t="str">
        <f>IF(ISBLANK(BC637),"",LARGE(BB627:BB636,1)+1)</f>
        <v/>
      </c>
      <c r="BC637" s="1886"/>
      <c r="BD637" s="1883"/>
      <c r="BE637" s="1883"/>
      <c r="BF637" s="1883"/>
      <c r="BG637" s="1883"/>
      <c r="BH637" s="1883"/>
      <c r="BI637" s="1884"/>
      <c r="BJ637" s="1884"/>
      <c r="BK637" s="1885"/>
      <c r="BM637" s="3">
        <v>1</v>
      </c>
    </row>
    <row r="638" spans="2:65" ht="21" customHeight="1">
      <c r="B638" s="14"/>
      <c r="C638" s="9"/>
      <c r="D638" s="9"/>
      <c r="E638" s="9"/>
      <c r="F638" s="14"/>
      <c r="G638" s="14"/>
      <c r="H638" s="14"/>
      <c r="I638" s="14"/>
      <c r="J638" s="14"/>
      <c r="K638" s="14"/>
      <c r="L638" s="1823" t="str">
        <f>IF(ISBLANK(M638),"",LARGE(L627:L637,1)+1)</f>
        <v/>
      </c>
      <c r="M638" s="1886"/>
      <c r="N638" s="1883"/>
      <c r="O638" s="1883"/>
      <c r="P638" s="1883"/>
      <c r="Q638" s="1883"/>
      <c r="R638" s="1883"/>
      <c r="S638" s="1884"/>
      <c r="T638" s="1884"/>
      <c r="U638" s="1885"/>
      <c r="W638" s="14"/>
      <c r="X638" s="9"/>
      <c r="Y638" s="9"/>
      <c r="Z638" s="9"/>
      <c r="AA638" s="14"/>
      <c r="AB638" s="14"/>
      <c r="AC638" s="14"/>
      <c r="AD638" s="14"/>
      <c r="AE638" s="14"/>
      <c r="AF638" s="14"/>
      <c r="AG638" s="1823" t="str">
        <f>IF(ISBLANK(AH638),"",LARGE(AG627:AG637,1)+1)</f>
        <v/>
      </c>
      <c r="AH638" s="1886"/>
      <c r="AI638" s="1883"/>
      <c r="AJ638" s="1883"/>
      <c r="AK638" s="1883"/>
      <c r="AL638" s="1883"/>
      <c r="AM638" s="1883"/>
      <c r="AN638" s="1884"/>
      <c r="AO638" s="1884"/>
      <c r="AP638" s="1885"/>
      <c r="AR638" s="14"/>
      <c r="AS638" s="9"/>
      <c r="AT638" s="9"/>
      <c r="AU638" s="9"/>
      <c r="AV638" s="14"/>
      <c r="AW638" s="14"/>
      <c r="AX638" s="14"/>
      <c r="AY638" s="14"/>
      <c r="AZ638" s="14"/>
      <c r="BA638" s="14"/>
      <c r="BB638" s="1823" t="str">
        <f>IF(ISBLANK(BC638),"",LARGE(BB627:BB637,1)+1)</f>
        <v/>
      </c>
      <c r="BC638" s="1886"/>
      <c r="BD638" s="1883"/>
      <c r="BE638" s="1883"/>
      <c r="BF638" s="1883"/>
      <c r="BG638" s="1883"/>
      <c r="BH638" s="1883"/>
      <c r="BI638" s="1884"/>
      <c r="BJ638" s="1884"/>
      <c r="BK638" s="1885"/>
      <c r="BM638" s="3">
        <v>1</v>
      </c>
    </row>
    <row r="639" spans="2:65" ht="21" customHeight="1">
      <c r="B639" s="14"/>
      <c r="C639" s="9"/>
      <c r="D639" s="9"/>
      <c r="E639" s="9"/>
      <c r="F639" s="14"/>
      <c r="G639" s="14"/>
      <c r="H639" s="14"/>
      <c r="I639" s="14"/>
      <c r="J639" s="14"/>
      <c r="K639" s="14"/>
      <c r="L639" s="1823" t="str">
        <f>IF(ISBLANK(M639),"",LARGE(L627:L638,1)+1)</f>
        <v/>
      </c>
      <c r="M639" s="1886"/>
      <c r="N639" s="1883"/>
      <c r="O639" s="1883"/>
      <c r="P639" s="1883"/>
      <c r="Q639" s="1883"/>
      <c r="R639" s="1883"/>
      <c r="S639" s="1884"/>
      <c r="T639" s="1884"/>
      <c r="U639" s="1885"/>
      <c r="W639" s="14"/>
      <c r="X639" s="9"/>
      <c r="Y639" s="9"/>
      <c r="Z639" s="9"/>
      <c r="AA639" s="14"/>
      <c r="AB639" s="14"/>
      <c r="AC639" s="14"/>
      <c r="AD639" s="14"/>
      <c r="AE639" s="14"/>
      <c r="AF639" s="14"/>
      <c r="AG639" s="1823" t="str">
        <f>IF(ISBLANK(AH639),"",LARGE(AG627:AG638,1)+1)</f>
        <v/>
      </c>
      <c r="AH639" s="1886"/>
      <c r="AI639" s="1883"/>
      <c r="AJ639" s="1883"/>
      <c r="AK639" s="1883"/>
      <c r="AL639" s="1883"/>
      <c r="AM639" s="1883"/>
      <c r="AN639" s="1884"/>
      <c r="AO639" s="1884"/>
      <c r="AP639" s="1885"/>
      <c r="AR639" s="14"/>
      <c r="AS639" s="9"/>
      <c r="AT639" s="9"/>
      <c r="AU639" s="9"/>
      <c r="AV639" s="14"/>
      <c r="AW639" s="14"/>
      <c r="AX639" s="14"/>
      <c r="AY639" s="14"/>
      <c r="AZ639" s="14"/>
      <c r="BA639" s="14"/>
      <c r="BB639" s="1823" t="str">
        <f>IF(ISBLANK(BC639),"",LARGE(BB627:BB638,1)+1)</f>
        <v/>
      </c>
      <c r="BC639" s="1886"/>
      <c r="BD639" s="1883"/>
      <c r="BE639" s="1883"/>
      <c r="BF639" s="1883"/>
      <c r="BG639" s="1883"/>
      <c r="BH639" s="1883"/>
      <c r="BI639" s="1884"/>
      <c r="BJ639" s="1884"/>
      <c r="BK639" s="1885"/>
      <c r="BM639" s="3">
        <v>1</v>
      </c>
    </row>
    <row r="640" spans="2:65" ht="21" customHeight="1">
      <c r="B640" s="14"/>
      <c r="C640" s="9"/>
      <c r="D640" s="9"/>
      <c r="E640" s="9"/>
      <c r="F640" s="14"/>
      <c r="G640" s="14"/>
      <c r="H640" s="14"/>
      <c r="I640" s="14"/>
      <c r="J640" s="14"/>
      <c r="K640" s="14"/>
      <c r="L640" s="1823" t="str">
        <f>IF(ISBLANK(M640),"",LARGE(L627:L639,1)+1)</f>
        <v/>
      </c>
      <c r="M640" s="1886"/>
      <c r="N640" s="1883"/>
      <c r="O640" s="1883"/>
      <c r="P640" s="1883"/>
      <c r="Q640" s="1883"/>
      <c r="R640" s="1883"/>
      <c r="S640" s="1884"/>
      <c r="T640" s="1884"/>
      <c r="U640" s="1885"/>
      <c r="W640" s="14"/>
      <c r="X640" s="9"/>
      <c r="Y640" s="9"/>
      <c r="Z640" s="9"/>
      <c r="AA640" s="14"/>
      <c r="AB640" s="14"/>
      <c r="AC640" s="14"/>
      <c r="AD640" s="14"/>
      <c r="AE640" s="14"/>
      <c r="AF640" s="14"/>
      <c r="AG640" s="1823" t="str">
        <f>IF(ISBLANK(AH640),"",LARGE(AG627:AG639,1)+1)</f>
        <v/>
      </c>
      <c r="AH640" s="1886"/>
      <c r="AI640" s="1883"/>
      <c r="AJ640" s="1883"/>
      <c r="AK640" s="1883"/>
      <c r="AL640" s="1883"/>
      <c r="AM640" s="1883"/>
      <c r="AN640" s="1884"/>
      <c r="AO640" s="1884"/>
      <c r="AP640" s="1885"/>
      <c r="AR640" s="14"/>
      <c r="AS640" s="9"/>
      <c r="AT640" s="9"/>
      <c r="AU640" s="9"/>
      <c r="AV640" s="14"/>
      <c r="AW640" s="14"/>
      <c r="AX640" s="14"/>
      <c r="AY640" s="14"/>
      <c r="AZ640" s="14"/>
      <c r="BA640" s="14"/>
      <c r="BB640" s="1823" t="str">
        <f>IF(ISBLANK(BC640),"",LARGE(BB627:BB639,1)+1)</f>
        <v/>
      </c>
      <c r="BC640" s="1886"/>
      <c r="BD640" s="1883"/>
      <c r="BE640" s="1883"/>
      <c r="BF640" s="1883"/>
      <c r="BG640" s="1883"/>
      <c r="BH640" s="1883"/>
      <c r="BI640" s="1884"/>
      <c r="BJ640" s="1884"/>
      <c r="BK640" s="1885"/>
      <c r="BM640" s="3">
        <v>1</v>
      </c>
    </row>
    <row r="641" spans="2:65" ht="21" customHeight="1">
      <c r="B641" s="14"/>
      <c r="C641" s="9"/>
      <c r="D641" s="9"/>
      <c r="E641" s="9"/>
      <c r="F641" s="14"/>
      <c r="G641" s="14"/>
      <c r="H641" s="14"/>
      <c r="I641" s="14"/>
      <c r="J641" s="14"/>
      <c r="K641" s="14"/>
      <c r="L641" s="1823" t="str">
        <f>IF(ISBLANK(M641),"",LARGE(L627:L640,1)+1)</f>
        <v/>
      </c>
      <c r="M641" s="1886"/>
      <c r="N641" s="1883"/>
      <c r="O641" s="1883"/>
      <c r="P641" s="1883"/>
      <c r="Q641" s="1883"/>
      <c r="R641" s="1883"/>
      <c r="S641" s="1884"/>
      <c r="T641" s="1884"/>
      <c r="U641" s="1885"/>
      <c r="W641" s="14"/>
      <c r="X641" s="9"/>
      <c r="Y641" s="9"/>
      <c r="Z641" s="9"/>
      <c r="AA641" s="14"/>
      <c r="AB641" s="14"/>
      <c r="AC641" s="14"/>
      <c r="AD641" s="14"/>
      <c r="AE641" s="14"/>
      <c r="AF641" s="14"/>
      <c r="AG641" s="1823" t="str">
        <f>IF(ISBLANK(AH641),"",LARGE(AG627:AG640,1)+1)</f>
        <v/>
      </c>
      <c r="AH641" s="1886"/>
      <c r="AI641" s="1883"/>
      <c r="AJ641" s="1883"/>
      <c r="AK641" s="1883"/>
      <c r="AL641" s="1883"/>
      <c r="AM641" s="1883"/>
      <c r="AN641" s="1884"/>
      <c r="AO641" s="1884"/>
      <c r="AP641" s="1885"/>
      <c r="AR641" s="14"/>
      <c r="AS641" s="9"/>
      <c r="AT641" s="9"/>
      <c r="AU641" s="9"/>
      <c r="AV641" s="14"/>
      <c r="AW641" s="14"/>
      <c r="AX641" s="14"/>
      <c r="AY641" s="14"/>
      <c r="AZ641" s="14"/>
      <c r="BA641" s="14"/>
      <c r="BB641" s="1823" t="str">
        <f>IF(ISBLANK(BC641),"",LARGE(BB627:BB640,1)+1)</f>
        <v/>
      </c>
      <c r="BC641" s="1886"/>
      <c r="BD641" s="1883"/>
      <c r="BE641" s="1883"/>
      <c r="BF641" s="1883"/>
      <c r="BG641" s="1883"/>
      <c r="BH641" s="1883"/>
      <c r="BI641" s="1884"/>
      <c r="BJ641" s="1884"/>
      <c r="BK641" s="1885"/>
      <c r="BM641" s="3">
        <v>1</v>
      </c>
    </row>
    <row r="642" spans="2:65" ht="21" customHeight="1">
      <c r="B642" s="14"/>
      <c r="C642" s="9"/>
      <c r="D642" s="9"/>
      <c r="E642" s="9"/>
      <c r="F642" s="14"/>
      <c r="G642" s="14"/>
      <c r="H642" s="14"/>
      <c r="I642" s="14"/>
      <c r="J642" s="14"/>
      <c r="K642" s="14"/>
      <c r="L642" s="1823" t="str">
        <f>IF(ISBLANK(M642),"",LARGE(L627:L641,1)+1)</f>
        <v/>
      </c>
      <c r="M642" s="1886"/>
      <c r="N642" s="1883"/>
      <c r="O642" s="1883"/>
      <c r="P642" s="1883"/>
      <c r="Q642" s="1883"/>
      <c r="R642" s="1883"/>
      <c r="S642" s="1884"/>
      <c r="T642" s="1884"/>
      <c r="U642" s="1885"/>
      <c r="W642" s="14"/>
      <c r="X642" s="9"/>
      <c r="Y642" s="9"/>
      <c r="Z642" s="9"/>
      <c r="AA642" s="14"/>
      <c r="AB642" s="14"/>
      <c r="AC642" s="14"/>
      <c r="AD642" s="14"/>
      <c r="AE642" s="14"/>
      <c r="AF642" s="14"/>
      <c r="AG642" s="1823" t="str">
        <f>IF(ISBLANK(AH642),"",LARGE(AG627:AG641,1)+1)</f>
        <v/>
      </c>
      <c r="AH642" s="1886"/>
      <c r="AI642" s="1883"/>
      <c r="AJ642" s="1883"/>
      <c r="AK642" s="1883"/>
      <c r="AL642" s="1883"/>
      <c r="AM642" s="1883"/>
      <c r="AN642" s="1884"/>
      <c r="AO642" s="1884"/>
      <c r="AP642" s="1885"/>
      <c r="AR642" s="14"/>
      <c r="AS642" s="9"/>
      <c r="AT642" s="9"/>
      <c r="AU642" s="9"/>
      <c r="AV642" s="14"/>
      <c r="AW642" s="14"/>
      <c r="AX642" s="14"/>
      <c r="AY642" s="14"/>
      <c r="AZ642" s="14"/>
      <c r="BA642" s="14"/>
      <c r="BB642" s="1823" t="str">
        <f>IF(ISBLANK(BC642),"",LARGE(BB627:BB641,1)+1)</f>
        <v/>
      </c>
      <c r="BC642" s="1886"/>
      <c r="BD642" s="1883"/>
      <c r="BE642" s="1883"/>
      <c r="BF642" s="1883"/>
      <c r="BG642" s="1883"/>
      <c r="BH642" s="1883"/>
      <c r="BI642" s="1884"/>
      <c r="BJ642" s="1884"/>
      <c r="BK642" s="1885"/>
      <c r="BM642" s="3">
        <v>1</v>
      </c>
    </row>
    <row r="643" spans="2:65" ht="21" customHeight="1">
      <c r="B643" s="14"/>
      <c r="C643" s="9"/>
      <c r="D643" s="9"/>
      <c r="E643" s="9"/>
      <c r="F643" s="14"/>
      <c r="G643" s="14"/>
      <c r="H643" s="14"/>
      <c r="I643" s="14"/>
      <c r="J643" s="14"/>
      <c r="K643" s="14"/>
      <c r="L643" s="1823" t="str">
        <f>IF(ISBLANK(M643),"",LARGE(L627:L642,1)+1)</f>
        <v/>
      </c>
      <c r="M643" s="1886"/>
      <c r="N643" s="1883"/>
      <c r="O643" s="1883"/>
      <c r="P643" s="1883"/>
      <c r="Q643" s="1883"/>
      <c r="R643" s="1883"/>
      <c r="S643" s="1884"/>
      <c r="T643" s="1884"/>
      <c r="U643" s="1885"/>
      <c r="W643" s="14"/>
      <c r="X643" s="9"/>
      <c r="Y643" s="9"/>
      <c r="Z643" s="9"/>
      <c r="AA643" s="14"/>
      <c r="AB643" s="14"/>
      <c r="AC643" s="14"/>
      <c r="AD643" s="14"/>
      <c r="AE643" s="14"/>
      <c r="AF643" s="14"/>
      <c r="AG643" s="1823" t="str">
        <f>IF(ISBLANK(AH643),"",LARGE(AG627:AG642,1)+1)</f>
        <v/>
      </c>
      <c r="AH643" s="1886"/>
      <c r="AI643" s="1883"/>
      <c r="AJ643" s="1883"/>
      <c r="AK643" s="1883"/>
      <c r="AL643" s="1883"/>
      <c r="AM643" s="1883"/>
      <c r="AN643" s="1884"/>
      <c r="AO643" s="1884"/>
      <c r="AP643" s="1885"/>
      <c r="AR643" s="14"/>
      <c r="AS643" s="9"/>
      <c r="AT643" s="9"/>
      <c r="AU643" s="9"/>
      <c r="AV643" s="14"/>
      <c r="AW643" s="14"/>
      <c r="AX643" s="14"/>
      <c r="AY643" s="14"/>
      <c r="AZ643" s="14"/>
      <c r="BA643" s="14"/>
      <c r="BB643" s="1823" t="str">
        <f>IF(ISBLANK(BC643),"",LARGE(BB627:BB642,1)+1)</f>
        <v/>
      </c>
      <c r="BC643" s="1886"/>
      <c r="BD643" s="1883"/>
      <c r="BE643" s="1883"/>
      <c r="BF643" s="1883"/>
      <c r="BG643" s="1883"/>
      <c r="BH643" s="1883"/>
      <c r="BI643" s="1884"/>
      <c r="BJ643" s="1884"/>
      <c r="BK643" s="1885"/>
      <c r="BM643" s="3">
        <v>1</v>
      </c>
    </row>
    <row r="644" spans="2:65" ht="21" customHeight="1">
      <c r="B644" s="14"/>
      <c r="C644" s="9"/>
      <c r="D644" s="9"/>
      <c r="E644" s="9"/>
      <c r="F644" s="14"/>
      <c r="G644" s="14"/>
      <c r="H644" s="14"/>
      <c r="I644" s="14"/>
      <c r="J644" s="14"/>
      <c r="K644" s="14"/>
      <c r="L644" s="1823" t="str">
        <f>IF(ISBLANK(M644),"",LARGE(L627:L643,1)+1)</f>
        <v/>
      </c>
      <c r="M644" s="1886"/>
      <c r="N644" s="1883"/>
      <c r="O644" s="1883"/>
      <c r="P644" s="1883"/>
      <c r="Q644" s="1883"/>
      <c r="R644" s="1883"/>
      <c r="S644" s="1884"/>
      <c r="T644" s="1884"/>
      <c r="U644" s="1885"/>
      <c r="W644" s="14"/>
      <c r="X644" s="9"/>
      <c r="Y644" s="9"/>
      <c r="Z644" s="9"/>
      <c r="AA644" s="14"/>
      <c r="AB644" s="14"/>
      <c r="AC644" s="14"/>
      <c r="AD644" s="14"/>
      <c r="AE644" s="14"/>
      <c r="AF644" s="14"/>
      <c r="AG644" s="1823" t="str">
        <f>IF(ISBLANK(AH644),"",LARGE(AG627:AG643,1)+1)</f>
        <v/>
      </c>
      <c r="AH644" s="1886"/>
      <c r="AI644" s="1883"/>
      <c r="AJ644" s="1883"/>
      <c r="AK644" s="1883"/>
      <c r="AL644" s="1883"/>
      <c r="AM644" s="1883"/>
      <c r="AN644" s="1884"/>
      <c r="AO644" s="1884"/>
      <c r="AP644" s="1885"/>
      <c r="AR644" s="14"/>
      <c r="AS644" s="9"/>
      <c r="AT644" s="9"/>
      <c r="AU644" s="9"/>
      <c r="AV644" s="14"/>
      <c r="AW644" s="14"/>
      <c r="AX644" s="14"/>
      <c r="AY644" s="14"/>
      <c r="AZ644" s="14"/>
      <c r="BA644" s="14"/>
      <c r="BB644" s="1823" t="str">
        <f>IF(ISBLANK(BC644),"",LARGE(BB627:BB643,1)+1)</f>
        <v/>
      </c>
      <c r="BC644" s="1886"/>
      <c r="BD644" s="1883"/>
      <c r="BE644" s="1883"/>
      <c r="BF644" s="1883"/>
      <c r="BG644" s="1883"/>
      <c r="BH644" s="1883"/>
      <c r="BI644" s="1884"/>
      <c r="BJ644" s="1884"/>
      <c r="BK644" s="1885"/>
      <c r="BM644" s="3">
        <v>1</v>
      </c>
    </row>
    <row r="645" spans="2:65" ht="21" customHeight="1">
      <c r="B645" s="14"/>
      <c r="C645" s="9"/>
      <c r="D645" s="9"/>
      <c r="E645" s="9"/>
      <c r="F645" s="14"/>
      <c r="G645" s="14"/>
      <c r="H645" s="14"/>
      <c r="I645" s="14"/>
      <c r="J645" s="14"/>
      <c r="K645" s="14"/>
      <c r="L645" s="1823" t="str">
        <f>IF(ISBLANK(M645),"",LARGE(L627:L644,1)+1)</f>
        <v/>
      </c>
      <c r="M645" s="1886"/>
      <c r="N645" s="1883"/>
      <c r="O645" s="1883"/>
      <c r="P645" s="1883"/>
      <c r="Q645" s="1883"/>
      <c r="R645" s="1883"/>
      <c r="S645" s="1884"/>
      <c r="T645" s="1884"/>
      <c r="U645" s="1885"/>
      <c r="W645" s="14"/>
      <c r="X645" s="9"/>
      <c r="Y645" s="9"/>
      <c r="Z645" s="9"/>
      <c r="AA645" s="14"/>
      <c r="AB645" s="14"/>
      <c r="AC645" s="14"/>
      <c r="AD645" s="14"/>
      <c r="AE645" s="14"/>
      <c r="AF645" s="14"/>
      <c r="AG645" s="1823" t="str">
        <f>IF(ISBLANK(AH645),"",LARGE(AG627:AG644,1)+1)</f>
        <v/>
      </c>
      <c r="AH645" s="1886"/>
      <c r="AI645" s="1883"/>
      <c r="AJ645" s="1883"/>
      <c r="AK645" s="1883"/>
      <c r="AL645" s="1883"/>
      <c r="AM645" s="1883"/>
      <c r="AN645" s="1884"/>
      <c r="AO645" s="1884"/>
      <c r="AP645" s="1885"/>
      <c r="AR645" s="14"/>
      <c r="AS645" s="9"/>
      <c r="AT645" s="9"/>
      <c r="AU645" s="9"/>
      <c r="AV645" s="14"/>
      <c r="AW645" s="14"/>
      <c r="AX645" s="14"/>
      <c r="AY645" s="14"/>
      <c r="AZ645" s="14"/>
      <c r="BA645" s="14"/>
      <c r="BB645" s="1823" t="str">
        <f>IF(ISBLANK(BC645),"",LARGE(BB627:BB644,1)+1)</f>
        <v/>
      </c>
      <c r="BC645" s="1886"/>
      <c r="BD645" s="1883"/>
      <c r="BE645" s="1883"/>
      <c r="BF645" s="1883"/>
      <c r="BG645" s="1883"/>
      <c r="BH645" s="1883"/>
      <c r="BI645" s="1884"/>
      <c r="BJ645" s="1884"/>
      <c r="BK645" s="1885"/>
      <c r="BM645" s="3">
        <v>1</v>
      </c>
    </row>
    <row r="646" spans="2:65" ht="21" customHeight="1">
      <c r="B646" s="14"/>
      <c r="C646" s="9"/>
      <c r="D646" s="9"/>
      <c r="E646" s="9"/>
      <c r="F646" s="14"/>
      <c r="G646" s="14"/>
      <c r="H646" s="14"/>
      <c r="I646" s="14"/>
      <c r="J646" s="14"/>
      <c r="K646" s="14"/>
      <c r="L646" s="1963" t="s">
        <v>8629</v>
      </c>
      <c r="M646" s="1844"/>
      <c r="N646" s="1844"/>
      <c r="O646" s="1844"/>
      <c r="P646" s="1844"/>
      <c r="Q646" s="1844"/>
      <c r="R646" s="1844"/>
      <c r="S646" s="1844"/>
      <c r="T646" s="1844"/>
      <c r="U646" s="1964" t="s">
        <v>8629</v>
      </c>
      <c r="W646" s="14"/>
      <c r="X646" s="9"/>
      <c r="Y646" s="9"/>
      <c r="Z646" s="9"/>
      <c r="AA646" s="14"/>
      <c r="AB646" s="14"/>
      <c r="AC646" s="14"/>
      <c r="AD646" s="14"/>
      <c r="AE646" s="14"/>
      <c r="AF646" s="14"/>
      <c r="AG646" s="1963" t="s">
        <v>8630</v>
      </c>
      <c r="AH646" s="1844"/>
      <c r="AI646" s="1844"/>
      <c r="AJ646" s="1844"/>
      <c r="AK646" s="1844"/>
      <c r="AL646" s="1844"/>
      <c r="AM646" s="1844"/>
      <c r="AN646" s="1844"/>
      <c r="AO646" s="1844"/>
      <c r="AP646" s="1964" t="s">
        <v>8630</v>
      </c>
      <c r="BB646" s="1963" t="s">
        <v>8631</v>
      </c>
      <c r="BC646" s="1844"/>
      <c r="BD646" s="1844"/>
      <c r="BE646" s="1844"/>
      <c r="BF646" s="1844"/>
      <c r="BG646" s="1844"/>
      <c r="BH646" s="1844"/>
      <c r="BI646" s="1844"/>
      <c r="BJ646" s="1844"/>
      <c r="BK646" s="1964" t="s">
        <v>8631</v>
      </c>
      <c r="BM646" s="3">
        <v>1</v>
      </c>
    </row>
    <row r="647" spans="2:65" ht="21" customHeight="1">
      <c r="B647" s="14"/>
      <c r="C647" s="9"/>
      <c r="D647" s="9"/>
      <c r="E647" s="9"/>
      <c r="F647" s="14"/>
      <c r="G647" s="14"/>
      <c r="H647" s="14"/>
      <c r="I647" s="14"/>
      <c r="J647" s="14"/>
      <c r="K647" s="14"/>
      <c r="L647" s="1372" t="s">
        <v>8145</v>
      </c>
      <c r="M647" s="419"/>
      <c r="N647" s="230"/>
      <c r="O647" s="230"/>
      <c r="P647" s="230"/>
      <c r="Q647" s="230"/>
      <c r="R647" s="231"/>
      <c r="S647" s="231"/>
      <c r="T647" s="231"/>
      <c r="U647" s="585" t="s">
        <v>8576</v>
      </c>
      <c r="W647" s="14"/>
      <c r="X647" s="9"/>
      <c r="Y647" s="9"/>
      <c r="Z647" s="9"/>
      <c r="AA647" s="14"/>
      <c r="AB647" s="14"/>
      <c r="AC647" s="14"/>
      <c r="AD647" s="14"/>
      <c r="AE647" s="14"/>
      <c r="AF647" s="14"/>
      <c r="AG647" s="1388" t="s">
        <v>8216</v>
      </c>
      <c r="AH647" s="419"/>
      <c r="AI647" s="230"/>
      <c r="AJ647" s="230"/>
      <c r="AK647" s="230"/>
      <c r="AL647" s="230"/>
      <c r="AM647" s="231"/>
      <c r="AN647" s="231"/>
      <c r="AO647" s="231"/>
      <c r="AP647" s="585" t="s">
        <v>8497</v>
      </c>
      <c r="AR647" s="14"/>
      <c r="AS647" s="9"/>
      <c r="AT647" s="9"/>
      <c r="AU647" s="9"/>
      <c r="AV647" s="14"/>
      <c r="AW647" s="14"/>
      <c r="AX647" s="14"/>
      <c r="AY647" s="14"/>
      <c r="AZ647" s="14"/>
      <c r="BA647" s="14"/>
      <c r="BB647" s="1372" t="s">
        <v>8217</v>
      </c>
      <c r="BC647" s="419"/>
      <c r="BD647" s="230"/>
      <c r="BE647" s="230"/>
      <c r="BF647" s="230"/>
      <c r="BG647" s="230"/>
      <c r="BH647" s="231"/>
      <c r="BI647" s="231"/>
      <c r="BJ647" s="231"/>
      <c r="BK647" s="585" t="s">
        <v>8576</v>
      </c>
      <c r="BM647" s="3">
        <v>1</v>
      </c>
    </row>
    <row r="648" spans="2:65" ht="21" customHeight="1">
      <c r="B648" s="14"/>
      <c r="C648" s="9"/>
      <c r="D648" s="9"/>
      <c r="E648" s="9"/>
      <c r="F648" s="14"/>
      <c r="G648" s="14"/>
      <c r="H648" s="14"/>
      <c r="I648" s="14"/>
      <c r="J648" s="14"/>
      <c r="K648" s="14"/>
      <c r="L648" s="1392">
        <v>0</v>
      </c>
      <c r="M648" s="6769"/>
      <c r="N648" s="6771" t="s">
        <v>95</v>
      </c>
      <c r="O648" s="76" t="s">
        <v>78</v>
      </c>
      <c r="P648" s="6612" t="s">
        <v>80</v>
      </c>
      <c r="Q648" s="6614" t="s">
        <v>81</v>
      </c>
      <c r="R648" s="6767" t="s">
        <v>49</v>
      </c>
      <c r="S648" s="6609" t="s">
        <v>87</v>
      </c>
      <c r="T648" s="1787"/>
      <c r="U648" s="1760"/>
      <c r="W648" s="14"/>
      <c r="X648" s="9"/>
      <c r="Y648" s="9"/>
      <c r="Z648" s="9"/>
      <c r="AA648" s="14"/>
      <c r="AB648" s="14"/>
      <c r="AC648" s="14"/>
      <c r="AD648" s="14"/>
      <c r="AE648" s="14"/>
      <c r="AF648" s="14"/>
      <c r="AG648" s="1392">
        <v>0</v>
      </c>
      <c r="AH648" s="6769"/>
      <c r="AI648" s="6771" t="s">
        <v>832</v>
      </c>
      <c r="AJ648" s="76" t="s">
        <v>78</v>
      </c>
      <c r="AK648" s="6612" t="s">
        <v>227</v>
      </c>
      <c r="AL648" s="6614" t="s">
        <v>81</v>
      </c>
      <c r="AM648" s="6767" t="s">
        <v>246</v>
      </c>
      <c r="AN648" s="6609" t="s">
        <v>87</v>
      </c>
      <c r="AO648" s="1787"/>
      <c r="AP648" s="1760"/>
      <c r="AR648" s="14"/>
      <c r="AS648" s="9"/>
      <c r="AT648" s="9"/>
      <c r="AU648" s="9"/>
      <c r="AV648" s="14"/>
      <c r="AW648" s="14"/>
      <c r="AX648" s="14"/>
      <c r="AY648" s="14"/>
      <c r="AZ648" s="14"/>
      <c r="BA648" s="14"/>
      <c r="BB648" s="1392">
        <v>0</v>
      </c>
      <c r="BC648" s="6769"/>
      <c r="BD648" s="6771" t="s">
        <v>95</v>
      </c>
      <c r="BE648" s="76" t="s">
        <v>78</v>
      </c>
      <c r="BF648" s="6612" t="s">
        <v>80</v>
      </c>
      <c r="BG648" s="6614" t="s">
        <v>81</v>
      </c>
      <c r="BH648" s="6767" t="s">
        <v>49</v>
      </c>
      <c r="BI648" s="6609" t="s">
        <v>87</v>
      </c>
      <c r="BJ648" s="1787"/>
      <c r="BK648" s="1760"/>
      <c r="BM648" s="3">
        <v>1</v>
      </c>
    </row>
    <row r="649" spans="2:65" ht="21" customHeight="1">
      <c r="B649" s="14"/>
      <c r="C649" s="9"/>
      <c r="D649" s="9"/>
      <c r="E649" s="9"/>
      <c r="F649" s="14"/>
      <c r="G649" s="14"/>
      <c r="H649" s="14"/>
      <c r="I649" s="14"/>
      <c r="J649" s="14"/>
      <c r="K649" s="14"/>
      <c r="L649" s="1394" t="str">
        <f>IF(ISBLANK(M649),"",LARGE(L648:L648,1)+1)</f>
        <v/>
      </c>
      <c r="M649" s="6770"/>
      <c r="N649" s="6772"/>
      <c r="O649" s="83" t="s">
        <v>84</v>
      </c>
      <c r="P649" s="6577"/>
      <c r="Q649" s="6766"/>
      <c r="R649" s="6768"/>
      <c r="S649" s="6587"/>
      <c r="T649" s="1787"/>
      <c r="U649" s="1760"/>
      <c r="W649" s="14"/>
      <c r="X649" s="9"/>
      <c r="Y649" s="9"/>
      <c r="Z649" s="9"/>
      <c r="AA649" s="14"/>
      <c r="AB649" s="14"/>
      <c r="AC649" s="14"/>
      <c r="AD649" s="14"/>
      <c r="AE649" s="14"/>
      <c r="AF649" s="14"/>
      <c r="AG649" s="1394" t="str">
        <f>IF(ISBLANK(AH649),"",LARGE(AG648:AG648,1)+1)</f>
        <v/>
      </c>
      <c r="AH649" s="6770"/>
      <c r="AI649" s="6772"/>
      <c r="AJ649" s="83" t="s">
        <v>247</v>
      </c>
      <c r="AK649" s="6577"/>
      <c r="AL649" s="6766"/>
      <c r="AM649" s="6768"/>
      <c r="AN649" s="6587"/>
      <c r="AO649" s="1787"/>
      <c r="AP649" s="1760"/>
      <c r="AR649" s="14"/>
      <c r="AS649" s="9"/>
      <c r="AT649" s="9"/>
      <c r="AU649" s="9"/>
      <c r="AV649" s="14"/>
      <c r="AW649" s="14"/>
      <c r="AX649" s="14"/>
      <c r="AY649" s="14"/>
      <c r="AZ649" s="14"/>
      <c r="BA649" s="14"/>
      <c r="BB649" s="1394" t="str">
        <f>IF(ISBLANK(BC649),"",LARGE(BB648:BB648,1)+1)</f>
        <v/>
      </c>
      <c r="BC649" s="6770"/>
      <c r="BD649" s="6772"/>
      <c r="BE649" s="83" t="s">
        <v>84</v>
      </c>
      <c r="BF649" s="6577"/>
      <c r="BG649" s="6766"/>
      <c r="BH649" s="6768"/>
      <c r="BI649" s="6587"/>
      <c r="BJ649" s="1787"/>
      <c r="BK649" s="1760"/>
      <c r="BM649" s="3">
        <v>1</v>
      </c>
    </row>
    <row r="650" spans="2:65" ht="21" customHeight="1">
      <c r="B650" s="14"/>
      <c r="C650" s="9"/>
      <c r="D650" s="9"/>
      <c r="E650" s="9"/>
      <c r="F650" s="14"/>
      <c r="G650" s="14"/>
      <c r="H650" s="14"/>
      <c r="I650" s="14"/>
      <c r="J650" s="14"/>
      <c r="K650" s="14"/>
      <c r="L650" s="1394" t="str">
        <f>IF(ISBLANK(M650),"",LARGE(L648:L649,1)+1)</f>
        <v/>
      </c>
      <c r="M650" s="1429"/>
      <c r="N650" s="1875" t="s">
        <v>490</v>
      </c>
      <c r="O650" s="1800"/>
      <c r="P650" s="1430">
        <v>350</v>
      </c>
      <c r="Q650" s="1431" t="s">
        <v>100</v>
      </c>
      <c r="R650" s="421">
        <f>IFERROR(INDEX(O656:U656,MATCH(Q650,O655:U655,0)) * P650 * IF(ISBLANK(O650), 1, O650), 0)</f>
        <v>0.35000000000000003</v>
      </c>
      <c r="S650" s="1432" t="str">
        <f>IF(Q650="","",IF(COUNTIF(Q655:U655,SUBSTITUTE(TRIM(Q650)," (s)",""))&gt;0,IF(ROUND(R650,3)&gt;=1,ROUND(R650,3)&amp;" L",MAX(1,ROUND(R650*100,0))&amp;" cl"),IF(COUNTIF(O655:P655,SUBSTITUTE(TRIM(Q650)," (s)",""))&gt;0,IF(ROUND(R650,3)&gt;=1,ROUND(R650,3)&amp;" Kg",MAX(1,ROUND(R650*1000,0))&amp;" g"),"")))</f>
        <v>350 g</v>
      </c>
      <c r="T650" s="1787"/>
      <c r="U650" s="1760"/>
      <c r="W650" s="14"/>
      <c r="X650" s="9"/>
      <c r="Y650" s="9"/>
      <c r="Z650" s="9"/>
      <c r="AA650" s="14"/>
      <c r="AB650" s="14"/>
      <c r="AC650" s="14"/>
      <c r="AD650" s="14"/>
      <c r="AE650" s="14"/>
      <c r="AF650" s="14"/>
      <c r="AG650" s="1394" t="str">
        <f>IF(ISBLANK(AH650),"",LARGE(AG648:AG649,1)+1)</f>
        <v/>
      </c>
      <c r="AH650" s="1429"/>
      <c r="AI650" s="1875" t="s">
        <v>1419</v>
      </c>
      <c r="AJ650" s="1800"/>
      <c r="AK650" s="1430">
        <v>350</v>
      </c>
      <c r="AL650" s="1431" t="s">
        <v>100</v>
      </c>
      <c r="AM650" s="421">
        <f>IFERROR(INDEX(AJ656:AP656,MATCH(AL650,AJ655:AP655,0)) * AK650 * IF(ISBLANK(AJ650), 1, AJ650), 0)</f>
        <v>0.35000000000000003</v>
      </c>
      <c r="AN650" s="1432" t="str">
        <f>IF(AL650="","",IF(COUNTIF(AL655:AP655,SUBSTITUTE(TRIM(AL650)," (s)",""))&gt;0,IF(ROUND(AM650,3)&gt;=1,ROUND(AM650,3)&amp;" L",MAX(1,ROUND(AM650*100,0))&amp;" cl"),IF(COUNTIF(AJ655:AK655,SUBSTITUTE(TRIM(AL650)," (s)",""))&gt;0,IF(ROUND(AM650,3)&gt;=1,ROUND(AM650,3)&amp;" Kg",MAX(1,ROUND(AM650*1000,0))&amp;" g"),"")))</f>
        <v>350 g</v>
      </c>
      <c r="AO650" s="1787"/>
      <c r="AP650" s="1760"/>
      <c r="AR650" s="14"/>
      <c r="AS650" s="9"/>
      <c r="AT650" s="9"/>
      <c r="AU650" s="9"/>
      <c r="AV650" s="14"/>
      <c r="AW650" s="14"/>
      <c r="AX650" s="14"/>
      <c r="AY650" s="14"/>
      <c r="AZ650" s="14"/>
      <c r="BA650" s="14"/>
      <c r="BB650" s="1394" t="str">
        <f>IF(ISBLANK(BC650),"",LARGE(BB648:BB649,1)+1)</f>
        <v/>
      </c>
      <c r="BC650" s="1429"/>
      <c r="BD650" s="1875" t="s">
        <v>490</v>
      </c>
      <c r="BE650" s="1800"/>
      <c r="BF650" s="1430">
        <v>350</v>
      </c>
      <c r="BG650" s="1431" t="s">
        <v>100</v>
      </c>
      <c r="BH650" s="421">
        <f>IFERROR(INDEX(BE656:BK656,MATCH(BG650,BE655:BK655,0)) * BF650 * IF(ISBLANK(BE650), 1, BE650), 0)</f>
        <v>0.35000000000000003</v>
      </c>
      <c r="BI650" s="1432" t="str">
        <f>IF(BG650="","",IF(COUNTIF(BG655:BK655,SUBSTITUTE(TRIM(BG650)," (s)",""))&gt;0,IF(ROUND(BH650,3)&gt;=1,ROUND(BH650,3)&amp;" L",MAX(1,ROUND(BH650*100,0))&amp;" cl"),IF(COUNTIF(BE655:BF655,SUBSTITUTE(TRIM(BG650)," (s)",""))&gt;0,IF(ROUND(BH650,3)&gt;=1,ROUND(BH650,3)&amp;" Kg",MAX(1,ROUND(BH650*1000,0))&amp;" g"),"")))</f>
        <v>350 g</v>
      </c>
      <c r="BJ650" s="1787"/>
      <c r="BK650" s="1760"/>
      <c r="BM650" s="3">
        <v>1</v>
      </c>
    </row>
    <row r="651" spans="2:65" ht="21" customHeight="1">
      <c r="B651" s="14"/>
      <c r="C651" s="9"/>
      <c r="D651" s="9"/>
      <c r="E651" s="9"/>
      <c r="F651" s="14"/>
      <c r="G651" s="14"/>
      <c r="H651" s="14"/>
      <c r="I651" s="14"/>
      <c r="J651" s="14"/>
      <c r="K651" s="14"/>
      <c r="L651" s="1394" t="str">
        <f>IF(ISBLANK(M651),"",LARGE(L648:L650,1)+1)</f>
        <v/>
      </c>
      <c r="M651" s="1433"/>
      <c r="N651" s="1876" t="s">
        <v>494</v>
      </c>
      <c r="O651" s="1801"/>
      <c r="P651" s="1434">
        <v>1.2</v>
      </c>
      <c r="Q651" s="422" t="s">
        <v>140</v>
      </c>
      <c r="R651" s="421">
        <f>IFERROR(INDEX(O656:U656,MATCH(Q651,O655:U655,0)) * P651 * IF(ISBLANK(O651), 1, O651), 0)</f>
        <v>1.2</v>
      </c>
      <c r="S651" s="1432" t="str">
        <f>IF(Q651="","",IF(COUNTIF(Q655:U655,SUBSTITUTE(TRIM(Q651)," (s)",""))&gt;0,IF(ROUND(R651,3)&gt;=1,ROUND(R651,3)&amp;" L",MAX(1,ROUND(R651*100,0))&amp;" cl"),IF(COUNTIF(O655:P655,SUBSTITUTE(TRIM(Q651)," (s)",""))&gt;0,IF(ROUND(R651,3)&gt;=1,ROUND(R651,3)&amp;" Kg",MAX(1,ROUND(R651*1000,0))&amp;" g"),"")))</f>
        <v>1.2 Kg</v>
      </c>
      <c r="T651" s="1787"/>
      <c r="U651" s="1760"/>
      <c r="W651" s="14"/>
      <c r="X651" s="9"/>
      <c r="Y651" s="9"/>
      <c r="Z651" s="9"/>
      <c r="AA651" s="14"/>
      <c r="AB651" s="14"/>
      <c r="AC651" s="14"/>
      <c r="AD651" s="14"/>
      <c r="AE651" s="14"/>
      <c r="AF651" s="14"/>
      <c r="AG651" s="1394" t="str">
        <f>IF(ISBLANK(AH651),"",LARGE(AG648:AG650,1)+1)</f>
        <v/>
      </c>
      <c r="AH651" s="1433"/>
      <c r="AI651" s="1876" t="s">
        <v>1420</v>
      </c>
      <c r="AJ651" s="1801"/>
      <c r="AK651" s="1434">
        <v>1.2</v>
      </c>
      <c r="AL651" s="422" t="s">
        <v>140</v>
      </c>
      <c r="AM651" s="421">
        <f>IFERROR(INDEX(AJ656:AP656,MATCH(AL651,AJ655:AP655,0)) * AK651 * IF(ISBLANK(AJ651), 1, AJ651), 0)</f>
        <v>1.2</v>
      </c>
      <c r="AN651" s="1432" t="str">
        <f>IF(AL651="","",IF(COUNTIF(AL655:AP655,SUBSTITUTE(TRIM(AL651)," (s)",""))&gt;0,IF(ROUND(AM651,3)&gt;=1,ROUND(AM651,3)&amp;" L",MAX(1,ROUND(AM651*100,0))&amp;" cl"),IF(COUNTIF(AJ655:AK655,SUBSTITUTE(TRIM(AL651)," (s)",""))&gt;0,IF(ROUND(AM651,3)&gt;=1,ROUND(AM651,3)&amp;" Kg",MAX(1,ROUND(AM651*1000,0))&amp;" g"),"")))</f>
        <v>1.2 Kg</v>
      </c>
      <c r="AO651" s="1787"/>
      <c r="AP651" s="1760"/>
      <c r="AR651" s="14"/>
      <c r="AS651" s="9"/>
      <c r="AT651" s="9"/>
      <c r="AU651" s="9"/>
      <c r="AV651" s="14"/>
      <c r="AW651" s="14"/>
      <c r="AX651" s="14"/>
      <c r="AY651" s="14"/>
      <c r="AZ651" s="14"/>
      <c r="BA651" s="14"/>
      <c r="BB651" s="1394" t="str">
        <f>IF(ISBLANK(BC651),"",LARGE(BB648:BB650,1)+1)</f>
        <v/>
      </c>
      <c r="BC651" s="1433"/>
      <c r="BD651" s="1876" t="s">
        <v>494</v>
      </c>
      <c r="BE651" s="1801"/>
      <c r="BF651" s="1434">
        <v>1.2</v>
      </c>
      <c r="BG651" s="422" t="s">
        <v>140</v>
      </c>
      <c r="BH651" s="421">
        <f>IFERROR(INDEX(BE656:BK656,MATCH(BG651,BE655:BK655,0)) * BF651 * IF(ISBLANK(BE651), 1, BE651), 0)</f>
        <v>1.2</v>
      </c>
      <c r="BI651" s="1432" t="str">
        <f>IF(BG651="","",IF(COUNTIF(BG655:BK655,SUBSTITUTE(TRIM(BG651)," (s)",""))&gt;0,IF(ROUND(BH651,3)&gt;=1,ROUND(BH651,3)&amp;" L",MAX(1,ROUND(BH651*100,0))&amp;" cl"),IF(COUNTIF(BE655:BF655,SUBSTITUTE(TRIM(BG651)," (s)",""))&gt;0,IF(ROUND(BH651,3)&gt;=1,ROUND(BH651,3)&amp;" Kg",MAX(1,ROUND(BH651*1000,0))&amp;" g"),"")))</f>
        <v>1.2 Kg</v>
      </c>
      <c r="BJ651" s="1787"/>
      <c r="BK651" s="1760"/>
      <c r="BM651" s="3">
        <v>1</v>
      </c>
    </row>
    <row r="652" spans="2:65" ht="21" customHeight="1">
      <c r="B652" s="14"/>
      <c r="C652" s="9"/>
      <c r="D652" s="9"/>
      <c r="E652" s="9"/>
      <c r="F652" s="14"/>
      <c r="G652" s="14"/>
      <c r="H652" s="14"/>
      <c r="I652" s="14"/>
      <c r="J652" s="14"/>
      <c r="K652" s="14"/>
      <c r="L652" s="1394" t="str">
        <f>IF(ISBLANK(M652),"",LARGE(L648:L651,1)+1)</f>
        <v/>
      </c>
      <c r="M652" s="1435"/>
      <c r="N652" s="1877" t="s">
        <v>491</v>
      </c>
      <c r="O652" s="1801">
        <v>2</v>
      </c>
      <c r="P652" s="1436">
        <v>50</v>
      </c>
      <c r="Q652" s="104" t="s">
        <v>100</v>
      </c>
      <c r="R652" s="421">
        <f>IFERROR(INDEX(O656:U656,MATCH(Q652,O655:U655,0)) * P652 * IF(ISBLANK(O652), 1, O652), 0)</f>
        <v>0.1</v>
      </c>
      <c r="S652" s="1432" t="str">
        <f>IF(Q652="","",IF(COUNTIF(Q655:U655,SUBSTITUTE(TRIM(Q652)," (s)",""))&gt;0,IF(ROUND(R652,3)&gt;=1,ROUND(R652,3)&amp;" L",MAX(1,ROUND(R652*100,0))&amp;" cl"),IF(COUNTIF(O655:P655,SUBSTITUTE(TRIM(Q652)," (s)",""))&gt;0,IF(ROUND(R652,3)&gt;=1,ROUND(R652,3)&amp;" Kg",MAX(1,ROUND(R652*1000,0))&amp;" g"),"")))</f>
        <v>100 g</v>
      </c>
      <c r="T652" s="1787"/>
      <c r="U652" s="1760"/>
      <c r="W652" s="14"/>
      <c r="X652" s="9"/>
      <c r="Y652" s="9"/>
      <c r="Z652" s="9"/>
      <c r="AA652" s="14"/>
      <c r="AB652" s="14"/>
      <c r="AC652" s="14"/>
      <c r="AD652" s="14"/>
      <c r="AE652" s="14"/>
      <c r="AF652" s="14"/>
      <c r="AG652" s="1394" t="str">
        <f>IF(ISBLANK(AH652),"",LARGE(AG648:AG651,1)+1)</f>
        <v/>
      </c>
      <c r="AH652" s="1435"/>
      <c r="AI652" s="1877" t="s">
        <v>493</v>
      </c>
      <c r="AJ652" s="1801">
        <v>2</v>
      </c>
      <c r="AK652" s="1436">
        <v>50</v>
      </c>
      <c r="AL652" s="104" t="s">
        <v>100</v>
      </c>
      <c r="AM652" s="421">
        <f>IFERROR(INDEX(AJ656:AP656,MATCH(AL652,AJ655:AP655,0)) * AK652 * IF(ISBLANK(AJ652), 1, AJ652), 0)</f>
        <v>0.1</v>
      </c>
      <c r="AN652" s="1432" t="str">
        <f>IF(AL652="","",IF(COUNTIF(AL655:AP655,SUBSTITUTE(TRIM(AL652)," (s)",""))&gt;0,IF(ROUND(AM652,3)&gt;=1,ROUND(AM652,3)&amp;" L",MAX(1,ROUND(AM652*100,0))&amp;" cl"),IF(COUNTIF(AJ655:AK655,SUBSTITUTE(TRIM(AL652)," (s)",""))&gt;0,IF(ROUND(AM652,3)&gt;=1,ROUND(AM652,3)&amp;" Kg",MAX(1,ROUND(AM652*1000,0))&amp;" g"),"")))</f>
        <v>100 g</v>
      </c>
      <c r="AO652" s="1787"/>
      <c r="AP652" s="1760"/>
      <c r="AR652" s="14"/>
      <c r="AS652" s="9"/>
      <c r="AT652" s="9"/>
      <c r="AU652" s="9"/>
      <c r="AV652" s="14"/>
      <c r="AW652" s="14"/>
      <c r="AX652" s="14"/>
      <c r="AY652" s="14"/>
      <c r="AZ652" s="14"/>
      <c r="BA652" s="14"/>
      <c r="BB652" s="1394" t="str">
        <f>IF(ISBLANK(BC652),"",LARGE(BB648:BB651,1)+1)</f>
        <v/>
      </c>
      <c r="BC652" s="1435"/>
      <c r="BD652" s="1877" t="s">
        <v>491</v>
      </c>
      <c r="BE652" s="1801">
        <v>2</v>
      </c>
      <c r="BF652" s="1436">
        <v>50</v>
      </c>
      <c r="BG652" s="104" t="s">
        <v>100</v>
      </c>
      <c r="BH652" s="421">
        <f>IFERROR(INDEX(BE656:BK656,MATCH(BG652,BE655:BK655,0)) * BF652 * IF(ISBLANK(BE652), 1, BE652), 0)</f>
        <v>0.1</v>
      </c>
      <c r="BI652" s="1432" t="str">
        <f>IF(BG652="","",IF(COUNTIF(BG655:BK655,SUBSTITUTE(TRIM(BG652)," (s)",""))&gt;0,IF(ROUND(BH652,3)&gt;=1,ROUND(BH652,3)&amp;" L",MAX(1,ROUND(BH652*100,0))&amp;" cl"),IF(COUNTIF(BE655:BF655,SUBSTITUTE(TRIM(BG652)," (s)",""))&gt;0,IF(ROUND(BH652,3)&gt;=1,ROUND(BH652,3)&amp;" Kg",MAX(1,ROUND(BH652*1000,0))&amp;" g"),"")))</f>
        <v>100 g</v>
      </c>
      <c r="BJ652" s="1787"/>
      <c r="BK652" s="1760"/>
      <c r="BM652" s="3">
        <v>1</v>
      </c>
    </row>
    <row r="653" spans="2:65" ht="21" customHeight="1">
      <c r="B653" s="14"/>
      <c r="C653" s="9"/>
      <c r="D653" s="9"/>
      <c r="E653" s="9"/>
      <c r="F653" s="14"/>
      <c r="G653" s="14"/>
      <c r="H653" s="14"/>
      <c r="I653" s="14"/>
      <c r="J653" s="14"/>
      <c r="K653" s="14"/>
      <c r="L653" s="1394" t="str">
        <f>IF(ISBLANK(M653),"",LARGE(L648:L652,1)+1)</f>
        <v/>
      </c>
      <c r="M653" s="1433"/>
      <c r="N653" s="1876" t="s">
        <v>504</v>
      </c>
      <c r="O653" s="1801"/>
      <c r="P653" s="1436">
        <v>15</v>
      </c>
      <c r="Q653" s="109" t="s">
        <v>1323</v>
      </c>
      <c r="R653" s="421">
        <f>IFERROR(INDEX(O656:U656,MATCH(Q653,O655:U655,0)) * P653 * IF(ISBLANK(O653), 1, O653), 0)</f>
        <v>7.5</v>
      </c>
      <c r="S653" s="1432" t="str">
        <f>IF(Q653="","",IF(COUNTIF(Q655:U655,SUBSTITUTE(TRIM(Q653)," (s)",""))&gt;0,IF(ROUND(R653,3)&gt;=1,ROUND(R653,3)&amp;" L",MAX(1,ROUND(R653*100,0))&amp;" cl"),IF(COUNTIF(O655:P655,SUBSTITUTE(TRIM(Q653)," (s)",""))&gt;0,IF(ROUND(R653,3)&gt;=1,ROUND(R653,3)&amp;" Kg",MAX(1,ROUND(R653*1000,0))&amp;" g"),"")))</f>
        <v>7.5 L</v>
      </c>
      <c r="T653" s="1787"/>
      <c r="U653" s="1760"/>
      <c r="W653" s="14"/>
      <c r="X653" s="9"/>
      <c r="Y653" s="9"/>
      <c r="Z653" s="9"/>
      <c r="AA653" s="14"/>
      <c r="AB653" s="14"/>
      <c r="AC653" s="14"/>
      <c r="AD653" s="14"/>
      <c r="AE653" s="14"/>
      <c r="AF653" s="14"/>
      <c r="AG653" s="1394" t="str">
        <f>IF(ISBLANK(AH653),"",LARGE(AG648:AG652,1)+1)</f>
        <v/>
      </c>
      <c r="AH653" s="1433"/>
      <c r="AI653" s="1876" t="s">
        <v>1421</v>
      </c>
      <c r="AJ653" s="1801"/>
      <c r="AK653" s="1436">
        <v>15</v>
      </c>
      <c r="AL653" s="109" t="s">
        <v>1304</v>
      </c>
      <c r="AM653" s="421">
        <f>IFERROR(INDEX(AJ656:AP656,MATCH(AL653,AJ655:AP655,0)) * AK653 * IF(ISBLANK(AJ653), 1, AJ653), 0)</f>
        <v>7.5</v>
      </c>
      <c r="AN653" s="1432" t="str">
        <f>IF(AL653="","",IF(COUNTIF(AL655:AP655,SUBSTITUTE(TRIM(AL653)," (s)",""))&gt;0,IF(ROUND(AM653,3)&gt;=1,ROUND(AM653,3)&amp;" L",MAX(1,ROUND(AM653*100,0))&amp;" cl"),IF(COUNTIF(AJ655:AK655,SUBSTITUTE(TRIM(AL653)," (s)",""))&gt;0,IF(ROUND(AM653,3)&gt;=1,ROUND(AM653,3)&amp;" Kg",MAX(1,ROUND(AM653*1000,0))&amp;" g"),"")))</f>
        <v>7.5 L</v>
      </c>
      <c r="AO653" s="1787"/>
      <c r="AP653" s="1760"/>
      <c r="AR653" s="14"/>
      <c r="AS653" s="9"/>
      <c r="AT653" s="9"/>
      <c r="AU653" s="9"/>
      <c r="AV653" s="14"/>
      <c r="AW653" s="14"/>
      <c r="AX653" s="14"/>
      <c r="AY653" s="14"/>
      <c r="AZ653" s="14"/>
      <c r="BA653" s="14"/>
      <c r="BB653" s="1394" t="str">
        <f>IF(ISBLANK(BC653),"",LARGE(BB648:BB652,1)+1)</f>
        <v/>
      </c>
      <c r="BC653" s="1433"/>
      <c r="BD653" s="1876" t="s">
        <v>504</v>
      </c>
      <c r="BE653" s="1801"/>
      <c r="BF653" s="1436">
        <v>15</v>
      </c>
      <c r="BG653" s="109" t="s">
        <v>104</v>
      </c>
      <c r="BH653" s="421">
        <f>IFERROR(INDEX(BE656:BK656,MATCH(BG653,BE655:BK655,0)) * BF653 * IF(ISBLANK(BE653), 1, BE653), 0)</f>
        <v>7.5</v>
      </c>
      <c r="BI653" s="1432" t="str">
        <f>IF(BG653="","",IF(COUNTIF(BG655:BK655,SUBSTITUTE(TRIM(BG653)," (s)",""))&gt;0,IF(ROUND(BH653,3)&gt;=1,ROUND(BH653,3)&amp;" L",MAX(1,ROUND(BH653*100,0))&amp;" cl"),IF(COUNTIF(BE655:BF655,SUBSTITUTE(TRIM(BG653)," (s)",""))&gt;0,IF(ROUND(BH653,3)&gt;=1,ROUND(BH653,3)&amp;" Kg",MAX(1,ROUND(BH653*1000,0))&amp;" g"),"")))</f>
        <v>7.5 L</v>
      </c>
      <c r="BJ653" s="1787"/>
      <c r="BK653" s="1760"/>
      <c r="BM653" s="3">
        <v>1</v>
      </c>
    </row>
    <row r="654" spans="2:65" ht="21" customHeight="1">
      <c r="B654" s="14"/>
      <c r="C654" s="9"/>
      <c r="D654" s="9"/>
      <c r="E654" s="9"/>
      <c r="F654" s="14"/>
      <c r="G654" s="14"/>
      <c r="H654" s="14"/>
      <c r="I654" s="14"/>
      <c r="J654" s="14"/>
      <c r="K654" s="14"/>
      <c r="L654" s="1394" t="str">
        <f>IF(ISBLANK(M654),"",LARGE(L648:L653,1)+1)</f>
        <v/>
      </c>
      <c r="M654" s="1437"/>
      <c r="N654" s="1878" t="s">
        <v>508</v>
      </c>
      <c r="O654" s="1438"/>
      <c r="P654" s="1439"/>
      <c r="Q654" s="198"/>
      <c r="R654" s="198"/>
      <c r="S654" s="198"/>
      <c r="T654" s="1759"/>
      <c r="U654" s="1788"/>
      <c r="W654" s="14"/>
      <c r="X654" s="9"/>
      <c r="Y654" s="9"/>
      <c r="Z654" s="9"/>
      <c r="AA654" s="14"/>
      <c r="AB654" s="14"/>
      <c r="AC654" s="14"/>
      <c r="AD654" s="14"/>
      <c r="AE654" s="14"/>
      <c r="AF654" s="14"/>
      <c r="AG654" s="1394" t="str">
        <f>IF(ISBLANK(AH654),"",LARGE(AG648:AG653,1)+1)</f>
        <v/>
      </c>
      <c r="AH654" s="1437"/>
      <c r="AI654" s="1878" t="s">
        <v>1423</v>
      </c>
      <c r="AJ654" s="1438"/>
      <c r="AK654" s="1439"/>
      <c r="AL654" s="198"/>
      <c r="AM654" s="198"/>
      <c r="AN654" s="198"/>
      <c r="AO654" s="1759"/>
      <c r="AP654" s="1788"/>
      <c r="AR654" s="14"/>
      <c r="AS654" s="9"/>
      <c r="AT654" s="9"/>
      <c r="AU654" s="9"/>
      <c r="AV654" s="14"/>
      <c r="AW654" s="14"/>
      <c r="AX654" s="14"/>
      <c r="AY654" s="14"/>
      <c r="AZ654" s="14"/>
      <c r="BA654" s="14"/>
      <c r="BB654" s="1394" t="str">
        <f>IF(ISBLANK(BC654),"",LARGE(BB648:BB653,1)+1)</f>
        <v/>
      </c>
      <c r="BC654" s="1437"/>
      <c r="BD654" s="1878" t="s">
        <v>508</v>
      </c>
      <c r="BE654" s="1438"/>
      <c r="BF654" s="1439"/>
      <c r="BG654" s="198"/>
      <c r="BH654" s="198"/>
      <c r="BI654" s="198"/>
      <c r="BJ654" s="1759"/>
      <c r="BK654" s="1788"/>
      <c r="BM654" s="3">
        <v>1</v>
      </c>
    </row>
    <row r="655" spans="2:65" ht="21" customHeight="1">
      <c r="B655" s="14"/>
      <c r="C655" s="9"/>
      <c r="D655" s="9"/>
      <c r="E655" s="9"/>
      <c r="F655" s="14"/>
      <c r="G655" s="14"/>
      <c r="H655" s="14"/>
      <c r="I655" s="14"/>
      <c r="J655" s="14"/>
      <c r="K655" s="14"/>
      <c r="L655" s="1394" t="str">
        <f>IF(ISBLANK(M655),"",LARGE(L648:L654,1)+1)</f>
        <v/>
      </c>
      <c r="M655" s="1440"/>
      <c r="N655" s="1879" t="s">
        <v>8162</v>
      </c>
      <c r="O655" s="422" t="s">
        <v>140</v>
      </c>
      <c r="P655" s="104" t="s">
        <v>100</v>
      </c>
      <c r="Q655" s="643" t="s">
        <v>0</v>
      </c>
      <c r="R655" s="93" t="s">
        <v>97</v>
      </c>
      <c r="S655" s="93" t="s">
        <v>144</v>
      </c>
      <c r="T655" s="643" t="s">
        <v>145</v>
      </c>
      <c r="U655" s="109" t="s">
        <v>1323</v>
      </c>
      <c r="W655" s="14"/>
      <c r="X655" s="9"/>
      <c r="Y655" s="9"/>
      <c r="Z655" s="9"/>
      <c r="AA655" s="14"/>
      <c r="AB655" s="14"/>
      <c r="AC655" s="14"/>
      <c r="AD655" s="14"/>
      <c r="AE655" s="14"/>
      <c r="AF655" s="14"/>
      <c r="AG655" s="1394" t="str">
        <f>IF(ISBLANK(AH655),"",LARGE(AG648:AG654,1)+1)</f>
        <v/>
      </c>
      <c r="AH655" s="1440"/>
      <c r="AI655" s="1879" t="s">
        <v>1422</v>
      </c>
      <c r="AJ655" s="422" t="s">
        <v>140</v>
      </c>
      <c r="AK655" s="104" t="s">
        <v>100</v>
      </c>
      <c r="AL655" s="643" t="s">
        <v>0</v>
      </c>
      <c r="AM655" s="93" t="s">
        <v>97</v>
      </c>
      <c r="AN655" s="93" t="s">
        <v>144</v>
      </c>
      <c r="AO655" s="643" t="s">
        <v>145</v>
      </c>
      <c r="AP655" s="109" t="s">
        <v>1304</v>
      </c>
      <c r="AR655" s="14"/>
      <c r="AS655" s="9"/>
      <c r="AT655" s="9"/>
      <c r="AU655" s="9"/>
      <c r="AV655" s="14"/>
      <c r="AW655" s="14"/>
      <c r="AX655" s="14"/>
      <c r="AY655" s="14"/>
      <c r="AZ655" s="14"/>
      <c r="BA655" s="14"/>
      <c r="BB655" s="1394" t="str">
        <f>IF(ISBLANK(BC655),"",LARGE(BB648:BB654,1)+1)</f>
        <v/>
      </c>
      <c r="BC655" s="1440"/>
      <c r="BD655" s="1879" t="s">
        <v>8162</v>
      </c>
      <c r="BE655" s="422" t="s">
        <v>140</v>
      </c>
      <c r="BF655" s="104" t="s">
        <v>100</v>
      </c>
      <c r="BG655" s="643" t="s">
        <v>0</v>
      </c>
      <c r="BH655" s="93" t="s">
        <v>97</v>
      </c>
      <c r="BI655" s="93" t="s">
        <v>144</v>
      </c>
      <c r="BJ655" s="643" t="s">
        <v>145</v>
      </c>
      <c r="BK655" s="109" t="s">
        <v>104</v>
      </c>
      <c r="BM655" s="3">
        <v>1</v>
      </c>
    </row>
    <row r="656" spans="2:65" ht="21" customHeight="1">
      <c r="B656" s="14"/>
      <c r="C656" s="9"/>
      <c r="D656" s="9"/>
      <c r="E656" s="9"/>
      <c r="F656" s="14"/>
      <c r="G656" s="14"/>
      <c r="H656" s="14"/>
      <c r="I656" s="14"/>
      <c r="J656" s="14"/>
      <c r="K656" s="14"/>
      <c r="L656" s="1394" t="str">
        <f>IF(ISBLANK(M656),"",LARGE(L648:L655,1)+1)</f>
        <v/>
      </c>
      <c r="M656" s="1441"/>
      <c r="N656" s="9"/>
      <c r="O656" s="1880">
        <v>1</v>
      </c>
      <c r="P656" s="1881">
        <v>1E-3</v>
      </c>
      <c r="Q656" s="1882">
        <v>1</v>
      </c>
      <c r="R656" s="1882">
        <v>0.1</v>
      </c>
      <c r="S656" s="1882">
        <v>0.01</v>
      </c>
      <c r="T656" s="1882">
        <v>1E-3</v>
      </c>
      <c r="U656" s="1908">
        <v>0.5</v>
      </c>
      <c r="W656" s="14"/>
      <c r="X656" s="9"/>
      <c r="Y656" s="9"/>
      <c r="Z656" s="9"/>
      <c r="AA656" s="14"/>
      <c r="AB656" s="14"/>
      <c r="AC656" s="14"/>
      <c r="AD656" s="14"/>
      <c r="AE656" s="14"/>
      <c r="AF656" s="14"/>
      <c r="AG656" s="1394" t="str">
        <f>IF(ISBLANK(AH656),"",LARGE(AG648:AG655,1)+1)</f>
        <v/>
      </c>
      <c r="AH656" s="1441"/>
      <c r="AI656" s="9"/>
      <c r="AJ656" s="1880">
        <v>1</v>
      </c>
      <c r="AK656" s="1881">
        <v>1E-3</v>
      </c>
      <c r="AL656" s="1882">
        <v>1</v>
      </c>
      <c r="AM656" s="1882">
        <v>0.1</v>
      </c>
      <c r="AN656" s="1882">
        <v>0.01</v>
      </c>
      <c r="AO656" s="1882">
        <v>1E-3</v>
      </c>
      <c r="AP656" s="688">
        <v>0.5</v>
      </c>
      <c r="AR656" s="14"/>
      <c r="AS656" s="9"/>
      <c r="AT656" s="9"/>
      <c r="AU656" s="9"/>
      <c r="AV656" s="14"/>
      <c r="AW656" s="14"/>
      <c r="AX656" s="14"/>
      <c r="AY656" s="14"/>
      <c r="AZ656" s="14"/>
      <c r="BA656" s="14"/>
      <c r="BB656" s="1394" t="str">
        <f>IF(ISBLANK(BC656),"",LARGE(BB648:BB655,1)+1)</f>
        <v/>
      </c>
      <c r="BC656" s="1441"/>
      <c r="BD656" s="9"/>
      <c r="BE656" s="1880">
        <v>1</v>
      </c>
      <c r="BF656" s="1881">
        <v>1E-3</v>
      </c>
      <c r="BG656" s="1882">
        <v>1</v>
      </c>
      <c r="BH656" s="1882">
        <v>0.1</v>
      </c>
      <c r="BI656" s="1882">
        <v>0.01</v>
      </c>
      <c r="BJ656" s="1882">
        <v>1E-3</v>
      </c>
      <c r="BK656" s="1908">
        <v>0.5</v>
      </c>
      <c r="BM656" s="3">
        <v>1</v>
      </c>
    </row>
    <row r="657" spans="2:65" ht="21" customHeight="1">
      <c r="B657" s="14"/>
      <c r="C657" s="9"/>
      <c r="D657" s="9"/>
      <c r="E657" s="9"/>
      <c r="F657" s="14"/>
      <c r="G657" s="14"/>
      <c r="H657" s="14"/>
      <c r="I657" s="14"/>
      <c r="J657" s="14"/>
      <c r="K657" s="14"/>
      <c r="L657" s="1823"/>
      <c r="M657" s="1845" t="s">
        <v>821</v>
      </c>
      <c r="N657" s="1845"/>
      <c r="O657" s="1909"/>
      <c r="P657" s="1909"/>
      <c r="Q657" s="1909"/>
      <c r="R657" s="1909"/>
      <c r="S657" s="1909"/>
      <c r="T657" s="1909"/>
      <c r="U657" s="1907" t="s">
        <v>196</v>
      </c>
      <c r="W657" s="14"/>
      <c r="X657" s="9"/>
      <c r="Y657" s="9"/>
      <c r="Z657" s="9"/>
      <c r="AA657" s="14"/>
      <c r="AB657" s="14"/>
      <c r="AC657" s="14"/>
      <c r="AD657" s="14"/>
      <c r="AE657" s="14"/>
      <c r="AF657" s="14"/>
      <c r="AG657" s="1823"/>
      <c r="AH657" s="1845" t="s">
        <v>8197</v>
      </c>
      <c r="AI657" s="1845"/>
      <c r="AJ657" s="1909"/>
      <c r="AK657" s="1909"/>
      <c r="AL657" s="1909"/>
      <c r="AM657" s="1909"/>
      <c r="AN657" s="1909"/>
      <c r="AO657" s="1909"/>
      <c r="AP657" s="1907" t="s">
        <v>879</v>
      </c>
      <c r="AR657" s="14"/>
      <c r="AS657" s="9"/>
      <c r="AT657" s="9"/>
      <c r="AU657" s="9"/>
      <c r="AV657" s="14"/>
      <c r="AW657" s="14"/>
      <c r="AX657" s="14"/>
      <c r="AY657" s="14"/>
      <c r="AZ657" s="14"/>
      <c r="BA657" s="14"/>
      <c r="BB657" s="1823"/>
      <c r="BC657" s="1845" t="s">
        <v>874</v>
      </c>
      <c r="BD657" s="1845"/>
      <c r="BE657" s="1909"/>
      <c r="BF657" s="1909"/>
      <c r="BG657" s="1909"/>
      <c r="BH657" s="1909"/>
      <c r="BI657" s="1909"/>
      <c r="BJ657" s="1909"/>
      <c r="BK657" s="1907" t="s">
        <v>879</v>
      </c>
      <c r="BM657" s="3">
        <v>1</v>
      </c>
    </row>
    <row r="658" spans="2:65" ht="21" customHeight="1">
      <c r="B658" s="14"/>
      <c r="C658" s="9"/>
      <c r="D658" s="9"/>
      <c r="E658" s="9"/>
      <c r="F658" s="14"/>
      <c r="G658" s="14"/>
      <c r="H658" s="14"/>
      <c r="I658" s="14"/>
      <c r="J658" s="14"/>
      <c r="K658" s="14"/>
      <c r="L658" s="1823"/>
      <c r="M658" s="1910" t="s">
        <v>8146</v>
      </c>
      <c r="N658" s="1883"/>
      <c r="O658" s="1883"/>
      <c r="P658" s="1883"/>
      <c r="Q658" s="1883"/>
      <c r="R658" s="1883"/>
      <c r="S658" s="1883"/>
      <c r="T658" s="1883"/>
      <c r="U658" s="1885"/>
      <c r="W658" s="14"/>
      <c r="X658" s="9"/>
      <c r="Y658" s="9"/>
      <c r="Z658" s="9"/>
      <c r="AA658" s="14"/>
      <c r="AB658" s="14"/>
      <c r="AC658" s="14"/>
      <c r="AD658" s="14"/>
      <c r="AE658" s="14"/>
      <c r="AF658" s="14"/>
      <c r="AG658" s="1823"/>
      <c r="AH658" s="1910" t="s">
        <v>8198</v>
      </c>
      <c r="AI658" s="1883"/>
      <c r="AJ658" s="1883"/>
      <c r="AK658" s="1883"/>
      <c r="AL658" s="1883"/>
      <c r="AM658" s="1883"/>
      <c r="AN658" s="1883"/>
      <c r="AO658" s="1883"/>
      <c r="AP658" s="1885"/>
      <c r="AR658" s="14"/>
      <c r="AS658" s="9"/>
      <c r="AT658" s="9"/>
      <c r="AU658" s="9"/>
      <c r="AV658" s="14"/>
      <c r="AW658" s="14"/>
      <c r="AX658" s="14"/>
      <c r="AY658" s="14"/>
      <c r="AZ658" s="14"/>
      <c r="BA658" s="14"/>
      <c r="BB658" s="1823"/>
      <c r="BC658" s="1910" t="s">
        <v>8193</v>
      </c>
      <c r="BD658" s="1883"/>
      <c r="BE658" s="1883"/>
      <c r="BF658" s="1883"/>
      <c r="BG658" s="1883"/>
      <c r="BH658" s="1883"/>
      <c r="BI658" s="1883"/>
      <c r="BJ658" s="1883"/>
      <c r="BK658" s="1885"/>
      <c r="BM658" s="3">
        <v>1</v>
      </c>
    </row>
    <row r="659" spans="2:65" ht="21" customHeight="1">
      <c r="B659" s="14"/>
      <c r="C659" s="9"/>
      <c r="D659" s="9"/>
      <c r="E659" s="9"/>
      <c r="F659" s="14"/>
      <c r="G659" s="14"/>
      <c r="H659" s="14"/>
      <c r="I659" s="14"/>
      <c r="J659" s="14"/>
      <c r="K659" s="14"/>
      <c r="L659" s="1823" t="str">
        <f>IF(ISBLANK(M659),"",LARGE(L648:L658,1)+1)</f>
        <v/>
      </c>
      <c r="M659" s="1883"/>
      <c r="N659" s="1883"/>
      <c r="O659" s="1883"/>
      <c r="P659" s="1883"/>
      <c r="Q659" s="1883"/>
      <c r="R659" s="1883"/>
      <c r="S659" s="1884"/>
      <c r="T659" s="1884"/>
      <c r="U659" s="1885"/>
      <c r="W659" s="14"/>
      <c r="X659" s="9"/>
      <c r="Y659" s="9"/>
      <c r="Z659" s="9"/>
      <c r="AA659" s="14"/>
      <c r="AB659" s="14"/>
      <c r="AC659" s="14"/>
      <c r="AD659" s="14"/>
      <c r="AE659" s="14"/>
      <c r="AF659" s="14"/>
      <c r="AG659" s="1823" t="str">
        <f>IF(ISBLANK(AH659),"",LARGE(AG648:AG658,1)+1)</f>
        <v/>
      </c>
      <c r="AH659" s="1883"/>
      <c r="AI659" s="1883"/>
      <c r="AJ659" s="1883"/>
      <c r="AK659" s="1883"/>
      <c r="AL659" s="1883"/>
      <c r="AM659" s="1883"/>
      <c r="AN659" s="1884"/>
      <c r="AO659" s="1884"/>
      <c r="AP659" s="1885"/>
      <c r="AR659" s="14"/>
      <c r="AS659" s="9"/>
      <c r="AT659" s="9"/>
      <c r="AU659" s="9"/>
      <c r="AV659" s="14"/>
      <c r="AW659" s="14"/>
      <c r="AX659" s="14"/>
      <c r="AY659" s="14"/>
      <c r="AZ659" s="14"/>
      <c r="BA659" s="14"/>
      <c r="BB659" s="1823" t="str">
        <f>IF(ISBLANK(BC659),"",LARGE(BB648:BB658,1)+1)</f>
        <v/>
      </c>
      <c r="BC659" s="1883"/>
      <c r="BD659" s="1883"/>
      <c r="BE659" s="1883"/>
      <c r="BF659" s="1883"/>
      <c r="BG659" s="1883"/>
      <c r="BH659" s="1883"/>
      <c r="BI659" s="1884"/>
      <c r="BJ659" s="1884"/>
      <c r="BK659" s="1885"/>
      <c r="BM659" s="3">
        <v>1</v>
      </c>
    </row>
    <row r="660" spans="2:65" ht="21" customHeight="1">
      <c r="B660" s="14"/>
      <c r="C660" s="9"/>
      <c r="D660" s="9"/>
      <c r="E660" s="9"/>
      <c r="F660" s="14"/>
      <c r="G660" s="14"/>
      <c r="H660" s="14"/>
      <c r="I660" s="14"/>
      <c r="J660" s="14"/>
      <c r="K660" s="14"/>
      <c r="L660" s="1823" t="str">
        <f>IF(ISBLANK(M660),"",LARGE(L648:L659,1)+1)</f>
        <v/>
      </c>
      <c r="M660" s="1883"/>
      <c r="N660" s="1883"/>
      <c r="O660" s="1883"/>
      <c r="P660" s="1883"/>
      <c r="Q660" s="1883"/>
      <c r="R660" s="1883"/>
      <c r="S660" s="1884"/>
      <c r="T660" s="1884"/>
      <c r="U660" s="1885"/>
      <c r="W660" s="14"/>
      <c r="X660" s="9"/>
      <c r="Y660" s="9"/>
      <c r="Z660" s="9"/>
      <c r="AA660" s="14"/>
      <c r="AB660" s="14"/>
      <c r="AC660" s="14"/>
      <c r="AD660" s="14"/>
      <c r="AE660" s="14"/>
      <c r="AF660" s="14"/>
      <c r="AG660" s="1823" t="str">
        <f>IF(ISBLANK(AH660),"",LARGE(AG648:AG659,1)+1)</f>
        <v/>
      </c>
      <c r="AH660" s="1883"/>
      <c r="AI660" s="1883"/>
      <c r="AJ660" s="1883"/>
      <c r="AK660" s="1883"/>
      <c r="AL660" s="1883"/>
      <c r="AM660" s="1883"/>
      <c r="AN660" s="1884"/>
      <c r="AO660" s="1884"/>
      <c r="AP660" s="1885"/>
      <c r="AR660" s="14"/>
      <c r="AS660" s="9"/>
      <c r="AT660" s="9"/>
      <c r="AU660" s="9"/>
      <c r="AV660" s="14"/>
      <c r="AW660" s="14"/>
      <c r="AX660" s="14"/>
      <c r="AY660" s="14"/>
      <c r="AZ660" s="14"/>
      <c r="BA660" s="14"/>
      <c r="BB660" s="1823" t="str">
        <f>IF(ISBLANK(BC660),"",LARGE(BB648:BB659,1)+1)</f>
        <v/>
      </c>
      <c r="BC660" s="1883"/>
      <c r="BD660" s="1883"/>
      <c r="BE660" s="1883"/>
      <c r="BF660" s="1883"/>
      <c r="BG660" s="1883"/>
      <c r="BH660" s="1883"/>
      <c r="BI660" s="1884"/>
      <c r="BJ660" s="1884"/>
      <c r="BK660" s="1885"/>
      <c r="BM660" s="3">
        <v>1</v>
      </c>
    </row>
    <row r="661" spans="2:65" ht="21" customHeight="1">
      <c r="B661" s="14"/>
      <c r="C661" s="9"/>
      <c r="D661" s="9"/>
      <c r="E661" s="9"/>
      <c r="F661" s="14"/>
      <c r="G661" s="14"/>
      <c r="H661" s="14"/>
      <c r="I661" s="14"/>
      <c r="J661" s="14"/>
      <c r="K661" s="14"/>
      <c r="L661" s="1823" t="str">
        <f>IF(ISBLANK(M661),"",LARGE(L648:L660,1)+1)</f>
        <v/>
      </c>
      <c r="M661" s="1883"/>
      <c r="N661" s="1883"/>
      <c r="O661" s="1883"/>
      <c r="P661" s="1883"/>
      <c r="Q661" s="1883"/>
      <c r="R661" s="1883"/>
      <c r="S661" s="1884"/>
      <c r="T661" s="1884"/>
      <c r="U661" s="1885"/>
      <c r="W661" s="14"/>
      <c r="X661" s="9"/>
      <c r="Y661" s="9"/>
      <c r="Z661" s="9"/>
      <c r="AA661" s="14"/>
      <c r="AB661" s="14"/>
      <c r="AC661" s="14"/>
      <c r="AD661" s="14"/>
      <c r="AE661" s="14"/>
      <c r="AF661" s="14"/>
      <c r="AG661" s="1823" t="str">
        <f>IF(ISBLANK(AH661),"",LARGE(AG648:AG660,1)+1)</f>
        <v/>
      </c>
      <c r="AH661" s="1883"/>
      <c r="AI661" s="1883"/>
      <c r="AJ661" s="1883"/>
      <c r="AK661" s="1883"/>
      <c r="AL661" s="1883"/>
      <c r="AM661" s="1883"/>
      <c r="AN661" s="1884"/>
      <c r="AO661" s="1884"/>
      <c r="AP661" s="1885"/>
      <c r="AR661" s="14"/>
      <c r="AS661" s="9"/>
      <c r="AT661" s="9"/>
      <c r="AU661" s="9"/>
      <c r="AV661" s="14"/>
      <c r="AW661" s="14"/>
      <c r="AX661" s="14"/>
      <c r="AY661" s="14"/>
      <c r="AZ661" s="14"/>
      <c r="BA661" s="14"/>
      <c r="BB661" s="1823" t="str">
        <f>IF(ISBLANK(BC661),"",LARGE(BB648:BB660,1)+1)</f>
        <v/>
      </c>
      <c r="BC661" s="1883"/>
      <c r="BD661" s="1883"/>
      <c r="BE661" s="1883"/>
      <c r="BF661" s="1883"/>
      <c r="BG661" s="1883"/>
      <c r="BH661" s="1883"/>
      <c r="BI661" s="1884"/>
      <c r="BJ661" s="1884"/>
      <c r="BK661" s="1885"/>
      <c r="BM661" s="3">
        <v>1</v>
      </c>
    </row>
    <row r="662" spans="2:65" ht="21" customHeight="1">
      <c r="B662" s="14"/>
      <c r="C662" s="9"/>
      <c r="D662" s="9"/>
      <c r="E662" s="9"/>
      <c r="F662" s="14"/>
      <c r="G662" s="14"/>
      <c r="H662" s="14"/>
      <c r="I662" s="14"/>
      <c r="J662" s="14"/>
      <c r="K662" s="14"/>
      <c r="L662" s="1823" t="str">
        <f>IF(ISBLANK(M662),"",LARGE(L648:L661,1)+1)</f>
        <v/>
      </c>
      <c r="M662" s="1883"/>
      <c r="N662" s="1883"/>
      <c r="O662" s="1883"/>
      <c r="P662" s="1883"/>
      <c r="Q662" s="1883"/>
      <c r="R662" s="1883"/>
      <c r="S662" s="1884"/>
      <c r="T662" s="1884"/>
      <c r="U662" s="1885"/>
      <c r="W662" s="14"/>
      <c r="X662" s="9"/>
      <c r="Y662" s="9"/>
      <c r="Z662" s="9"/>
      <c r="AA662" s="14"/>
      <c r="AB662" s="14"/>
      <c r="AC662" s="14"/>
      <c r="AD662" s="14"/>
      <c r="AE662" s="14"/>
      <c r="AF662" s="14"/>
      <c r="AG662" s="1823" t="str">
        <f>IF(ISBLANK(AH662),"",LARGE(AG648:AG661,1)+1)</f>
        <v/>
      </c>
      <c r="AH662" s="1883"/>
      <c r="AI662" s="1883"/>
      <c r="AJ662" s="1883"/>
      <c r="AK662" s="1883"/>
      <c r="AL662" s="1883"/>
      <c r="AM662" s="1883"/>
      <c r="AN662" s="1884"/>
      <c r="AO662" s="1884"/>
      <c r="AP662" s="1885"/>
      <c r="AR662" s="14"/>
      <c r="AS662" s="9"/>
      <c r="AT662" s="9"/>
      <c r="AU662" s="9"/>
      <c r="AV662" s="14"/>
      <c r="AW662" s="14"/>
      <c r="AX662" s="14"/>
      <c r="AY662" s="14"/>
      <c r="AZ662" s="14"/>
      <c r="BA662" s="14"/>
      <c r="BB662" s="1823" t="str">
        <f>IF(ISBLANK(BC662),"",LARGE(BB648:BB661,1)+1)</f>
        <v/>
      </c>
      <c r="BC662" s="1883"/>
      <c r="BD662" s="1883"/>
      <c r="BE662" s="1883"/>
      <c r="BF662" s="1883"/>
      <c r="BG662" s="1883"/>
      <c r="BH662" s="1883"/>
      <c r="BI662" s="1884"/>
      <c r="BJ662" s="1884"/>
      <c r="BK662" s="1885"/>
      <c r="BM662" s="3">
        <v>1</v>
      </c>
    </row>
    <row r="663" spans="2:65" ht="21" customHeight="1">
      <c r="B663" s="14"/>
      <c r="C663" s="9"/>
      <c r="D663" s="9"/>
      <c r="E663" s="9"/>
      <c r="F663" s="14"/>
      <c r="G663" s="14"/>
      <c r="H663" s="14"/>
      <c r="I663" s="14"/>
      <c r="J663" s="14"/>
      <c r="K663" s="14"/>
      <c r="L663" s="1823" t="str">
        <f>IF(ISBLANK(M663),"",LARGE(L648:L662,1)+1)</f>
        <v/>
      </c>
      <c r="M663" s="1883"/>
      <c r="N663" s="1883"/>
      <c r="O663" s="1883"/>
      <c r="P663" s="1883"/>
      <c r="Q663" s="1883"/>
      <c r="R663" s="1883"/>
      <c r="S663" s="1884"/>
      <c r="T663" s="1884"/>
      <c r="U663" s="1885"/>
      <c r="W663" s="14"/>
      <c r="X663" s="9"/>
      <c r="Y663" s="9"/>
      <c r="Z663" s="9"/>
      <c r="AA663" s="14"/>
      <c r="AB663" s="14"/>
      <c r="AC663" s="14"/>
      <c r="AD663" s="14"/>
      <c r="AE663" s="14"/>
      <c r="AF663" s="14"/>
      <c r="AG663" s="1823" t="str">
        <f>IF(ISBLANK(AH663),"",LARGE(AG648:AG662,1)+1)</f>
        <v/>
      </c>
      <c r="AH663" s="1883"/>
      <c r="AI663" s="1883"/>
      <c r="AJ663" s="1883"/>
      <c r="AK663" s="1883"/>
      <c r="AL663" s="1883"/>
      <c r="AM663" s="1883"/>
      <c r="AN663" s="1884"/>
      <c r="AO663" s="1884"/>
      <c r="AP663" s="1885"/>
      <c r="AR663" s="14"/>
      <c r="AS663" s="9"/>
      <c r="AT663" s="9"/>
      <c r="AU663" s="9"/>
      <c r="AV663" s="14"/>
      <c r="AW663" s="14"/>
      <c r="AX663" s="14"/>
      <c r="AY663" s="14"/>
      <c r="AZ663" s="14"/>
      <c r="BA663" s="14"/>
      <c r="BB663" s="1823" t="str">
        <f>IF(ISBLANK(BC663),"",LARGE(BB648:BB662,1)+1)</f>
        <v/>
      </c>
      <c r="BC663" s="1883"/>
      <c r="BD663" s="1883"/>
      <c r="BE663" s="1883"/>
      <c r="BF663" s="1883"/>
      <c r="BG663" s="1883"/>
      <c r="BH663" s="1883"/>
      <c r="BI663" s="1884"/>
      <c r="BJ663" s="1884"/>
      <c r="BK663" s="1885"/>
      <c r="BM663" s="3">
        <v>1</v>
      </c>
    </row>
    <row r="664" spans="2:65" ht="21" customHeight="1">
      <c r="B664" s="14"/>
      <c r="C664" s="9"/>
      <c r="D664" s="9"/>
      <c r="E664" s="9"/>
      <c r="F664" s="14"/>
      <c r="G664" s="14"/>
      <c r="H664" s="14"/>
      <c r="I664" s="14"/>
      <c r="J664" s="14"/>
      <c r="K664" s="14"/>
      <c r="L664" s="1823" t="str">
        <f>IF(ISBLANK(M664),"",LARGE(L648:L663,1)+1)</f>
        <v/>
      </c>
      <c r="M664" s="1883"/>
      <c r="N664" s="1883"/>
      <c r="O664" s="1883"/>
      <c r="P664" s="1883"/>
      <c r="Q664" s="1883"/>
      <c r="R664" s="1883"/>
      <c r="S664" s="1884"/>
      <c r="T664" s="1884"/>
      <c r="U664" s="1885"/>
      <c r="W664" s="14"/>
      <c r="X664" s="9"/>
      <c r="Y664" s="9"/>
      <c r="Z664" s="9"/>
      <c r="AA664" s="14"/>
      <c r="AB664" s="14"/>
      <c r="AC664" s="14"/>
      <c r="AD664" s="14"/>
      <c r="AE664" s="14"/>
      <c r="AF664" s="14"/>
      <c r="AG664" s="1823" t="str">
        <f>IF(ISBLANK(AH664),"",LARGE(AG648:AG663,1)+1)</f>
        <v/>
      </c>
      <c r="AH664" s="1883"/>
      <c r="AI664" s="1883"/>
      <c r="AJ664" s="1883"/>
      <c r="AK664" s="1883"/>
      <c r="AL664" s="1883"/>
      <c r="AM664" s="1883"/>
      <c r="AN664" s="1884"/>
      <c r="AO664" s="1884"/>
      <c r="AP664" s="1885"/>
      <c r="AR664" s="14"/>
      <c r="AS664" s="9"/>
      <c r="AT664" s="9"/>
      <c r="AU664" s="9"/>
      <c r="AV664" s="14"/>
      <c r="AW664" s="14"/>
      <c r="AX664" s="14"/>
      <c r="AY664" s="14"/>
      <c r="AZ664" s="14"/>
      <c r="BA664" s="14"/>
      <c r="BB664" s="1823" t="str">
        <f>IF(ISBLANK(BC664),"",LARGE(BB648:BB663,1)+1)</f>
        <v/>
      </c>
      <c r="BC664" s="1883"/>
      <c r="BD664" s="1883"/>
      <c r="BE664" s="1883"/>
      <c r="BF664" s="1883"/>
      <c r="BG664" s="1883"/>
      <c r="BH664" s="1883"/>
      <c r="BI664" s="1884"/>
      <c r="BJ664" s="1884"/>
      <c r="BK664" s="1885"/>
      <c r="BM664" s="3">
        <v>1</v>
      </c>
    </row>
    <row r="665" spans="2:65" ht="21" customHeight="1">
      <c r="B665" s="14"/>
      <c r="C665" s="9"/>
      <c r="D665" s="9"/>
      <c r="E665" s="9"/>
      <c r="F665" s="14"/>
      <c r="G665" s="14"/>
      <c r="H665" s="14"/>
      <c r="I665" s="14"/>
      <c r="J665" s="14"/>
      <c r="K665" s="14"/>
      <c r="L665" s="1823" t="str">
        <f>IF(ISBLANK(M665),"",LARGE(L648:L664,1)+1)</f>
        <v/>
      </c>
      <c r="M665" s="1883"/>
      <c r="N665" s="1883"/>
      <c r="O665" s="1883"/>
      <c r="P665" s="1883"/>
      <c r="Q665" s="1883"/>
      <c r="R665" s="1883"/>
      <c r="S665" s="1884"/>
      <c r="T665" s="1884"/>
      <c r="U665" s="1885"/>
      <c r="W665" s="14"/>
      <c r="X665" s="9"/>
      <c r="Y665" s="9"/>
      <c r="Z665" s="9"/>
      <c r="AA665" s="14"/>
      <c r="AB665" s="14"/>
      <c r="AC665" s="14"/>
      <c r="AD665" s="14"/>
      <c r="AE665" s="14"/>
      <c r="AF665" s="14"/>
      <c r="AG665" s="1823" t="str">
        <f>IF(ISBLANK(AH665),"",LARGE(AG648:AG664,1)+1)</f>
        <v/>
      </c>
      <c r="AH665" s="1883"/>
      <c r="AI665" s="1883"/>
      <c r="AJ665" s="1883"/>
      <c r="AK665" s="1883"/>
      <c r="AL665" s="1883"/>
      <c r="AM665" s="1883"/>
      <c r="AN665" s="1884"/>
      <c r="AO665" s="1884"/>
      <c r="AP665" s="1885"/>
      <c r="AR665" s="14"/>
      <c r="AS665" s="9"/>
      <c r="AT665" s="9"/>
      <c r="AU665" s="9"/>
      <c r="AV665" s="14"/>
      <c r="AW665" s="14"/>
      <c r="AX665" s="14"/>
      <c r="AY665" s="14"/>
      <c r="AZ665" s="14"/>
      <c r="BA665" s="14"/>
      <c r="BB665" s="1823" t="str">
        <f>IF(ISBLANK(BC665),"",LARGE(BB648:BB664,1)+1)</f>
        <v/>
      </c>
      <c r="BC665" s="1883"/>
      <c r="BD665" s="1883"/>
      <c r="BE665" s="1883"/>
      <c r="BF665" s="1883"/>
      <c r="BG665" s="1883"/>
      <c r="BH665" s="1883"/>
      <c r="BI665" s="1884"/>
      <c r="BJ665" s="1884"/>
      <c r="BK665" s="1885"/>
      <c r="BM665" s="3">
        <v>1</v>
      </c>
    </row>
    <row r="666" spans="2:65" ht="21" customHeight="1">
      <c r="B666" s="14"/>
      <c r="C666" s="9"/>
      <c r="D666" s="9"/>
      <c r="E666" s="9"/>
      <c r="F666" s="14"/>
      <c r="G666" s="14"/>
      <c r="H666" s="14"/>
      <c r="I666" s="14"/>
      <c r="J666" s="14"/>
      <c r="K666" s="14"/>
      <c r="L666" s="1823" t="str">
        <f>IF(ISBLANK(M666),"",LARGE(L648:L665,1)+1)</f>
        <v/>
      </c>
      <c r="M666" s="1883"/>
      <c r="N666" s="1883"/>
      <c r="O666" s="1883"/>
      <c r="P666" s="1883"/>
      <c r="Q666" s="1883"/>
      <c r="R666" s="1883"/>
      <c r="S666" s="1884"/>
      <c r="T666" s="1884"/>
      <c r="U666" s="1885"/>
      <c r="W666" s="14"/>
      <c r="X666" s="9"/>
      <c r="Y666" s="9"/>
      <c r="Z666" s="9"/>
      <c r="AA666" s="14"/>
      <c r="AB666" s="14"/>
      <c r="AC666" s="14"/>
      <c r="AD666" s="14"/>
      <c r="AE666" s="14"/>
      <c r="AF666" s="14"/>
      <c r="AG666" s="1823" t="str">
        <f>IF(ISBLANK(AH666),"",LARGE(AG648:AG665,1)+1)</f>
        <v/>
      </c>
      <c r="AH666" s="1883"/>
      <c r="AI666" s="1883"/>
      <c r="AJ666" s="1883"/>
      <c r="AK666" s="1883"/>
      <c r="AL666" s="1883"/>
      <c r="AM666" s="1883"/>
      <c r="AN666" s="1884"/>
      <c r="AO666" s="1884"/>
      <c r="AP666" s="1885"/>
      <c r="AR666" s="14"/>
      <c r="AS666" s="9"/>
      <c r="AT666" s="9"/>
      <c r="AU666" s="9"/>
      <c r="AV666" s="14"/>
      <c r="AW666" s="14"/>
      <c r="AX666" s="14"/>
      <c r="AY666" s="14"/>
      <c r="AZ666" s="14"/>
      <c r="BA666" s="14"/>
      <c r="BB666" s="1823" t="str">
        <f>IF(ISBLANK(BC666),"",LARGE(BB648:BB665,1)+1)</f>
        <v/>
      </c>
      <c r="BC666" s="1883"/>
      <c r="BD666" s="1883"/>
      <c r="BE666" s="1883"/>
      <c r="BF666" s="1883"/>
      <c r="BG666" s="1883"/>
      <c r="BH666" s="1883"/>
      <c r="BI666" s="1884"/>
      <c r="BJ666" s="1884"/>
      <c r="BK666" s="1885"/>
      <c r="BM666" s="3">
        <v>1</v>
      </c>
    </row>
    <row r="667" spans="2:65" ht="21" customHeight="1">
      <c r="B667" s="14"/>
      <c r="C667" s="9"/>
      <c r="D667" s="9"/>
      <c r="E667" s="9"/>
      <c r="F667" s="14"/>
      <c r="G667" s="14"/>
      <c r="H667" s="14"/>
      <c r="I667" s="14"/>
      <c r="J667" s="14"/>
      <c r="K667" s="14"/>
      <c r="L667" s="1963" t="s">
        <v>8629</v>
      </c>
      <c r="M667" s="1844"/>
      <c r="N667" s="1844"/>
      <c r="O667" s="1844"/>
      <c r="P667" s="1844"/>
      <c r="Q667" s="1844"/>
      <c r="R667" s="1844"/>
      <c r="S667" s="1844"/>
      <c r="T667" s="1844"/>
      <c r="U667" s="1964" t="s">
        <v>8629</v>
      </c>
      <c r="W667" s="14"/>
      <c r="X667" s="9"/>
      <c r="Y667" s="9"/>
      <c r="Z667" s="9"/>
      <c r="AA667" s="14"/>
      <c r="AB667" s="14"/>
      <c r="AC667" s="14"/>
      <c r="AD667" s="14"/>
      <c r="AE667" s="14"/>
      <c r="AF667" s="14"/>
      <c r="AG667" s="1963" t="s">
        <v>8630</v>
      </c>
      <c r="AH667" s="1844"/>
      <c r="AI667" s="1844"/>
      <c r="AJ667" s="1844"/>
      <c r="AK667" s="1844"/>
      <c r="AL667" s="1844"/>
      <c r="AM667" s="1844"/>
      <c r="AN667" s="1844"/>
      <c r="AO667" s="1844"/>
      <c r="AP667" s="1964" t="s">
        <v>8630</v>
      </c>
      <c r="BB667" s="1963" t="s">
        <v>8631</v>
      </c>
      <c r="BC667" s="1844"/>
      <c r="BD667" s="1844"/>
      <c r="BE667" s="1844"/>
      <c r="BF667" s="1844"/>
      <c r="BG667" s="1844"/>
      <c r="BH667" s="1844"/>
      <c r="BI667" s="1844"/>
      <c r="BJ667" s="1844"/>
      <c r="BK667" s="1964" t="s">
        <v>8631</v>
      </c>
      <c r="BM667" s="3">
        <v>1</v>
      </c>
    </row>
    <row r="668" spans="2:65" ht="21" customHeight="1">
      <c r="B668" s="14"/>
      <c r="C668" s="9"/>
      <c r="D668" s="9"/>
      <c r="E668" s="9"/>
      <c r="F668" s="14"/>
      <c r="G668" s="14"/>
      <c r="H668" s="14"/>
      <c r="I668" s="14"/>
      <c r="J668" s="14"/>
      <c r="K668" s="14"/>
      <c r="L668" s="1388" t="s">
        <v>8145</v>
      </c>
      <c r="M668" s="1428" t="s">
        <v>821</v>
      </c>
      <c r="N668" s="419"/>
      <c r="O668" s="419"/>
      <c r="P668" s="419"/>
      <c r="Q668" s="230"/>
      <c r="R668" s="231"/>
      <c r="S668" s="231"/>
      <c r="T668" s="231"/>
      <c r="U668" s="585" t="s">
        <v>218</v>
      </c>
      <c r="W668" s="14"/>
      <c r="X668" s="9"/>
      <c r="Y668" s="9"/>
      <c r="Z668" s="9"/>
      <c r="AA668" s="14"/>
      <c r="AB668" s="14"/>
      <c r="AC668" s="14"/>
      <c r="AD668" s="14"/>
      <c r="AE668" s="14"/>
      <c r="AF668" s="14"/>
      <c r="AG668" s="1388" t="s">
        <v>8216</v>
      </c>
      <c r="AH668" s="1428" t="s">
        <v>8197</v>
      </c>
      <c r="AI668" s="419"/>
      <c r="AJ668" s="419"/>
      <c r="AK668" s="419"/>
      <c r="AL668" s="230"/>
      <c r="AM668" s="231"/>
      <c r="AN668" s="231"/>
      <c r="AO668" s="231"/>
      <c r="AP668" s="585" t="s">
        <v>726</v>
      </c>
      <c r="AR668" s="14"/>
      <c r="AS668" s="9"/>
      <c r="AT668" s="9"/>
      <c r="AU668" s="9"/>
      <c r="AV668" s="14"/>
      <c r="AW668" s="14"/>
      <c r="AX668" s="14"/>
      <c r="AY668" s="14"/>
      <c r="AZ668" s="14"/>
      <c r="BA668" s="14"/>
      <c r="BB668" s="1372" t="s">
        <v>8217</v>
      </c>
      <c r="BC668" s="1428" t="s">
        <v>874</v>
      </c>
      <c r="BD668" s="419"/>
      <c r="BE668" s="419"/>
      <c r="BF668" s="419"/>
      <c r="BG668" s="230"/>
      <c r="BH668" s="231"/>
      <c r="BI668" s="231"/>
      <c r="BJ668" s="231"/>
      <c r="BK668" s="585" t="s">
        <v>218</v>
      </c>
      <c r="BM668" s="3">
        <v>1</v>
      </c>
    </row>
    <row r="669" spans="2:65" ht="21" customHeight="1">
      <c r="B669" s="14"/>
      <c r="C669" s="9"/>
      <c r="D669" s="9"/>
      <c r="E669" s="9"/>
      <c r="F669" s="14"/>
      <c r="G669" s="14"/>
      <c r="H669" s="14"/>
      <c r="I669" s="14"/>
      <c r="J669" s="14"/>
      <c r="K669" s="14"/>
      <c r="L669" s="1392">
        <v>0</v>
      </c>
      <c r="M669" s="1866" t="s">
        <v>8146</v>
      </c>
      <c r="N669" s="1416"/>
      <c r="O669" s="1761"/>
      <c r="P669" s="1762"/>
      <c r="Q669" s="439" t="s">
        <v>519</v>
      </c>
      <c r="R669" s="441" t="s">
        <v>416</v>
      </c>
      <c r="S669" s="441" t="s">
        <v>520</v>
      </c>
      <c r="T669" s="441" t="s">
        <v>521</v>
      </c>
      <c r="U669" s="1782"/>
      <c r="W669" s="14"/>
      <c r="X669" s="9"/>
      <c r="Y669" s="9"/>
      <c r="Z669" s="9"/>
      <c r="AA669" s="14"/>
      <c r="AB669" s="14"/>
      <c r="AC669" s="14"/>
      <c r="AD669" s="14"/>
      <c r="AE669" s="14"/>
      <c r="AF669" s="14"/>
      <c r="AG669" s="1392">
        <v>0</v>
      </c>
      <c r="AH669" s="1866" t="s">
        <v>8198</v>
      </c>
      <c r="AI669" s="1416"/>
      <c r="AJ669" s="1761"/>
      <c r="AK669" s="1762"/>
      <c r="AL669" s="439" t="s">
        <v>1424</v>
      </c>
      <c r="AM669" s="441" t="s">
        <v>1405</v>
      </c>
      <c r="AN669" s="441" t="s">
        <v>520</v>
      </c>
      <c r="AO669" s="441" t="s">
        <v>1425</v>
      </c>
      <c r="AP669" s="1442"/>
      <c r="AR669" s="14"/>
      <c r="AS669" s="9"/>
      <c r="AT669" s="9"/>
      <c r="AU669" s="9"/>
      <c r="AV669" s="14"/>
      <c r="AW669" s="14"/>
      <c r="AX669" s="14"/>
      <c r="AY669" s="14"/>
      <c r="AZ669" s="14"/>
      <c r="BA669" s="14"/>
      <c r="BB669" s="1392">
        <v>0</v>
      </c>
      <c r="BC669" s="1866" t="s">
        <v>8193</v>
      </c>
      <c r="BD669" s="1416"/>
      <c r="BE669" s="1761"/>
      <c r="BF669" s="1762"/>
      <c r="BG669" s="439" t="s">
        <v>519</v>
      </c>
      <c r="BH669" s="441" t="s">
        <v>416</v>
      </c>
      <c r="BI669" s="441" t="s">
        <v>520</v>
      </c>
      <c r="BJ669" s="441" t="s">
        <v>521</v>
      </c>
      <c r="BK669" s="1782"/>
      <c r="BM669" s="3">
        <v>1</v>
      </c>
    </row>
    <row r="670" spans="2:65" ht="21" customHeight="1">
      <c r="B670" s="14"/>
      <c r="C670" s="9"/>
      <c r="D670" s="9"/>
      <c r="E670" s="9"/>
      <c r="F670" s="14"/>
      <c r="G670" s="14"/>
      <c r="H670" s="14"/>
      <c r="I670" s="14"/>
      <c r="J670" s="14"/>
      <c r="K670" s="14"/>
      <c r="L670" s="1394" t="str">
        <f>IF(ISBLANK(M670),"",LARGE(L669:L669,1)+1)</f>
        <v/>
      </c>
      <c r="M670" s="1896"/>
      <c r="N670" s="1883"/>
      <c r="O670" s="1883"/>
      <c r="P670" s="1883"/>
      <c r="Q670" s="442" t="s">
        <v>525</v>
      </c>
      <c r="R670" s="443">
        <v>4.1666666666666699E-2</v>
      </c>
      <c r="S670" s="444">
        <v>220</v>
      </c>
      <c r="T670" s="445" t="s">
        <v>526</v>
      </c>
      <c r="U670" s="1783"/>
      <c r="W670" s="14"/>
      <c r="X670" s="9"/>
      <c r="Y670" s="9"/>
      <c r="Z670" s="9"/>
      <c r="AA670" s="14"/>
      <c r="AB670" s="14"/>
      <c r="AC670" s="14"/>
      <c r="AD670" s="14"/>
      <c r="AE670" s="14"/>
      <c r="AF670" s="14"/>
      <c r="AG670" s="1394" t="str">
        <f>IF(ISBLANK(AH670),"",LARGE(AG669:AG669,1)+1)</f>
        <v/>
      </c>
      <c r="AH670" s="1896"/>
      <c r="AI670" s="1883"/>
      <c r="AJ670" s="1883"/>
      <c r="AK670" s="1883"/>
      <c r="AL670" s="442" t="s">
        <v>1426</v>
      </c>
      <c r="AM670" s="443">
        <v>4.1666666666666699E-2</v>
      </c>
      <c r="AN670" s="444">
        <v>220</v>
      </c>
      <c r="AO670" s="445" t="s">
        <v>1427</v>
      </c>
      <c r="AP670" s="1783"/>
      <c r="AR670" s="14"/>
      <c r="AS670" s="9"/>
      <c r="AT670" s="9"/>
      <c r="AU670" s="9"/>
      <c r="AV670" s="14"/>
      <c r="AW670" s="14"/>
      <c r="AX670" s="14"/>
      <c r="AY670" s="14"/>
      <c r="AZ670" s="14"/>
      <c r="BA670" s="14"/>
      <c r="BB670" s="1394" t="str">
        <f>IF(ISBLANK(BC670),"",LARGE(BB669:BB669,1)+1)</f>
        <v/>
      </c>
      <c r="BC670" s="1896"/>
      <c r="BD670" s="1883"/>
      <c r="BE670" s="1883"/>
      <c r="BF670" s="1883"/>
      <c r="BG670" s="442" t="s">
        <v>525</v>
      </c>
      <c r="BH670" s="443">
        <v>4.1666666666666699E-2</v>
      </c>
      <c r="BI670" s="444">
        <v>220</v>
      </c>
      <c r="BJ670" s="445" t="s">
        <v>526</v>
      </c>
      <c r="BK670" s="1783"/>
      <c r="BM670" s="3">
        <v>1</v>
      </c>
    </row>
    <row r="671" spans="2:65" ht="21" customHeight="1">
      <c r="B671" s="14"/>
      <c r="C671" s="9"/>
      <c r="D671" s="9"/>
      <c r="E671" s="9"/>
      <c r="F671" s="14"/>
      <c r="G671" s="14"/>
      <c r="H671" s="14"/>
      <c r="I671" s="14"/>
      <c r="J671" s="14"/>
      <c r="K671" s="14"/>
      <c r="L671" s="1394" t="str">
        <f>IF(ISBLANK(M671),"",LARGE(L669:L670,1)+1)</f>
        <v/>
      </c>
      <c r="M671" s="1896"/>
      <c r="N671" s="1883"/>
      <c r="O671" s="1883"/>
      <c r="P671" s="1883"/>
      <c r="Q671" s="446" t="s">
        <v>519</v>
      </c>
      <c r="R671" s="447"/>
      <c r="S671" s="447" t="s">
        <v>527</v>
      </c>
      <c r="T671" s="448" t="s">
        <v>528</v>
      </c>
      <c r="U671" s="1784"/>
      <c r="W671" s="14"/>
      <c r="X671" s="9"/>
      <c r="Y671" s="9"/>
      <c r="Z671" s="9"/>
      <c r="AA671" s="14"/>
      <c r="AB671" s="14"/>
      <c r="AC671" s="14"/>
      <c r="AD671" s="14"/>
      <c r="AE671" s="14"/>
      <c r="AF671" s="14"/>
      <c r="AG671" s="1394" t="str">
        <f>IF(ISBLANK(AH671),"",LARGE(AG669:AG670,1)+1)</f>
        <v/>
      </c>
      <c r="AH671" s="1896"/>
      <c r="AI671" s="1883"/>
      <c r="AJ671" s="1883"/>
      <c r="AK671" s="1883"/>
      <c r="AL671" s="446" t="s">
        <v>1424</v>
      </c>
      <c r="AM671" s="447"/>
      <c r="AN671" s="447" t="s">
        <v>1428</v>
      </c>
      <c r="AO671" s="448" t="s">
        <v>1429</v>
      </c>
      <c r="AP671" s="1784"/>
      <c r="AR671" s="14"/>
      <c r="AS671" s="9"/>
      <c r="AT671" s="9"/>
      <c r="AU671" s="9"/>
      <c r="AV671" s="14"/>
      <c r="AW671" s="14"/>
      <c r="AX671" s="14"/>
      <c r="AY671" s="14"/>
      <c r="AZ671" s="14"/>
      <c r="BA671" s="14"/>
      <c r="BB671" s="1394" t="str">
        <f>IF(ISBLANK(BC671),"",LARGE(BB669:BB670,1)+1)</f>
        <v/>
      </c>
      <c r="BC671" s="1896"/>
      <c r="BD671" s="1883"/>
      <c r="BE671" s="1883"/>
      <c r="BF671" s="1883"/>
      <c r="BG671" s="446" t="s">
        <v>519</v>
      </c>
      <c r="BH671" s="447"/>
      <c r="BI671" s="447" t="s">
        <v>527</v>
      </c>
      <c r="BJ671" s="448" t="s">
        <v>528</v>
      </c>
      <c r="BK671" s="1784"/>
      <c r="BM671" s="3">
        <v>1</v>
      </c>
    </row>
    <row r="672" spans="2:65" ht="21" customHeight="1">
      <c r="B672" s="14"/>
      <c r="C672" s="9"/>
      <c r="D672" s="9"/>
      <c r="E672" s="9"/>
      <c r="F672" s="14"/>
      <c r="G672" s="14"/>
      <c r="H672" s="14"/>
      <c r="I672" s="14"/>
      <c r="J672" s="14"/>
      <c r="K672" s="14"/>
      <c r="L672" s="1394" t="str">
        <f>IF(ISBLANK(M672),"",LARGE(L669:L671,1)+1)</f>
        <v/>
      </c>
      <c r="M672" s="1896"/>
      <c r="N672" s="1883"/>
      <c r="O672" s="1883"/>
      <c r="P672" s="1883"/>
      <c r="Q672" s="450" t="s">
        <v>535</v>
      </c>
      <c r="R672" s="451"/>
      <c r="S672" s="452">
        <v>250</v>
      </c>
      <c r="T672" s="453" t="s">
        <v>536</v>
      </c>
      <c r="U672" s="1785"/>
      <c r="W672" s="14"/>
      <c r="X672" s="9"/>
      <c r="Y672" s="9"/>
      <c r="Z672" s="9"/>
      <c r="AA672" s="14"/>
      <c r="AB672" s="14"/>
      <c r="AC672" s="14"/>
      <c r="AD672" s="14"/>
      <c r="AE672" s="14"/>
      <c r="AF672" s="14"/>
      <c r="AG672" s="1394" t="str">
        <f>IF(ISBLANK(AH672),"",LARGE(AG669:AG671,1)+1)</f>
        <v/>
      </c>
      <c r="AH672" s="1896"/>
      <c r="AI672" s="1883"/>
      <c r="AJ672" s="1883"/>
      <c r="AK672" s="1883"/>
      <c r="AL672" s="450" t="s">
        <v>1430</v>
      </c>
      <c r="AM672" s="451"/>
      <c r="AN672" s="452">
        <v>250</v>
      </c>
      <c r="AO672" s="453" t="s">
        <v>1431</v>
      </c>
      <c r="AP672" s="1785"/>
      <c r="AR672" s="14"/>
      <c r="AS672" s="9"/>
      <c r="AT672" s="9"/>
      <c r="AU672" s="9"/>
      <c r="AV672" s="14"/>
      <c r="AW672" s="14"/>
      <c r="AX672" s="14"/>
      <c r="AY672" s="14"/>
      <c r="AZ672" s="14"/>
      <c r="BA672" s="14"/>
      <c r="BB672" s="1394" t="str">
        <f>IF(ISBLANK(BC672),"",LARGE(BB669:BB671,1)+1)</f>
        <v/>
      </c>
      <c r="BC672" s="1896"/>
      <c r="BD672" s="1883"/>
      <c r="BE672" s="1883"/>
      <c r="BF672" s="1883"/>
      <c r="BG672" s="450" t="s">
        <v>535</v>
      </c>
      <c r="BH672" s="451"/>
      <c r="BI672" s="452">
        <v>250</v>
      </c>
      <c r="BJ672" s="453" t="s">
        <v>536</v>
      </c>
      <c r="BK672" s="1785"/>
      <c r="BM672" s="3">
        <v>1</v>
      </c>
    </row>
    <row r="673" spans="2:65" ht="21" customHeight="1">
      <c r="B673" s="14"/>
      <c r="C673" s="9"/>
      <c r="D673" s="9"/>
      <c r="E673" s="9"/>
      <c r="F673" s="14"/>
      <c r="G673" s="14"/>
      <c r="H673" s="14"/>
      <c r="I673" s="14"/>
      <c r="J673" s="14"/>
      <c r="K673" s="14"/>
      <c r="L673" s="1394" t="str">
        <f>IF(ISBLANK(M673),"",LARGE(L669:L672,1)+1)</f>
        <v/>
      </c>
      <c r="M673" s="1896"/>
      <c r="N673" s="1883"/>
      <c r="O673" s="1883"/>
      <c r="P673" s="1883"/>
      <c r="Q673" s="446" t="s">
        <v>519</v>
      </c>
      <c r="R673" s="447"/>
      <c r="S673" s="447" t="s">
        <v>527</v>
      </c>
      <c r="T673" s="448" t="s">
        <v>528</v>
      </c>
      <c r="U673" s="1784"/>
      <c r="W673" s="14"/>
      <c r="X673" s="9"/>
      <c r="Y673" s="9"/>
      <c r="Z673" s="9"/>
      <c r="AA673" s="14"/>
      <c r="AB673" s="14"/>
      <c r="AC673" s="14"/>
      <c r="AD673" s="14"/>
      <c r="AE673" s="14"/>
      <c r="AF673" s="14"/>
      <c r="AG673" s="1394" t="str">
        <f>IF(ISBLANK(AH673),"",LARGE(AG669:AG672,1)+1)</f>
        <v/>
      </c>
      <c r="AH673" s="1896"/>
      <c r="AI673" s="1883"/>
      <c r="AJ673" s="1883"/>
      <c r="AK673" s="1883"/>
      <c r="AL673" s="446" t="s">
        <v>1424</v>
      </c>
      <c r="AM673" s="447"/>
      <c r="AN673" s="447" t="s">
        <v>1428</v>
      </c>
      <c r="AO673" s="448" t="s">
        <v>1429</v>
      </c>
      <c r="AP673" s="1784"/>
      <c r="AR673" s="14"/>
      <c r="AS673" s="9"/>
      <c r="AT673" s="9"/>
      <c r="AU673" s="9"/>
      <c r="AV673" s="14"/>
      <c r="AW673" s="14"/>
      <c r="AX673" s="14"/>
      <c r="AY673" s="14"/>
      <c r="AZ673" s="14"/>
      <c r="BA673" s="14"/>
      <c r="BB673" s="1394" t="str">
        <f>IF(ISBLANK(BC673),"",LARGE(BB669:BB672,1)+1)</f>
        <v/>
      </c>
      <c r="BC673" s="1896"/>
      <c r="BD673" s="1883"/>
      <c r="BE673" s="1883"/>
      <c r="BF673" s="1883"/>
      <c r="BG673" s="446" t="s">
        <v>519</v>
      </c>
      <c r="BH673" s="447"/>
      <c r="BI673" s="447" t="s">
        <v>527</v>
      </c>
      <c r="BJ673" s="448" t="s">
        <v>528</v>
      </c>
      <c r="BK673" s="1784"/>
      <c r="BM673" s="3">
        <v>1</v>
      </c>
    </row>
    <row r="674" spans="2:65" ht="21" customHeight="1">
      <c r="B674" s="14"/>
      <c r="C674" s="9"/>
      <c r="D674" s="9"/>
      <c r="E674" s="9"/>
      <c r="F674" s="14"/>
      <c r="G674" s="14"/>
      <c r="H674" s="14"/>
      <c r="I674" s="14"/>
      <c r="J674" s="14"/>
      <c r="K674" s="14"/>
      <c r="L674" s="1394" t="str">
        <f>IF(ISBLANK(M674),"",LARGE(L669:L673,1)+1)</f>
        <v/>
      </c>
      <c r="M674" s="1896"/>
      <c r="N674" s="1883"/>
      <c r="O674" s="1883"/>
      <c r="P674" s="1883"/>
      <c r="Q674" s="450" t="s">
        <v>535</v>
      </c>
      <c r="R674" s="451">
        <v>4.8611111111111112E-3</v>
      </c>
      <c r="S674" s="452">
        <v>250</v>
      </c>
      <c r="T674" s="453" t="s">
        <v>542</v>
      </c>
      <c r="U674" s="1785"/>
      <c r="W674" s="14"/>
      <c r="X674" s="9"/>
      <c r="Y674" s="9"/>
      <c r="Z674" s="9"/>
      <c r="AA674" s="14"/>
      <c r="AB674" s="14"/>
      <c r="AC674" s="14"/>
      <c r="AD674" s="14"/>
      <c r="AE674" s="14"/>
      <c r="AF674" s="14"/>
      <c r="AG674" s="1394" t="str">
        <f>IF(ISBLANK(AH674),"",LARGE(AG669:AG673,1)+1)</f>
        <v/>
      </c>
      <c r="AH674" s="1896"/>
      <c r="AI674" s="1883"/>
      <c r="AJ674" s="1883"/>
      <c r="AK674" s="1883"/>
      <c r="AL674" s="450" t="s">
        <v>1430</v>
      </c>
      <c r="AM674" s="451">
        <v>4.8611111111111112E-3</v>
      </c>
      <c r="AN674" s="452">
        <v>250</v>
      </c>
      <c r="AO674" s="453" t="s">
        <v>1432</v>
      </c>
      <c r="AP674" s="1785"/>
      <c r="AR674" s="14"/>
      <c r="AS674" s="9"/>
      <c r="AT674" s="9"/>
      <c r="AU674" s="9"/>
      <c r="AV674" s="14"/>
      <c r="AW674" s="14"/>
      <c r="AX674" s="14"/>
      <c r="AY674" s="14"/>
      <c r="AZ674" s="14"/>
      <c r="BA674" s="14"/>
      <c r="BB674" s="1394" t="str">
        <f>IF(ISBLANK(BC674),"",LARGE(BB669:BB673,1)+1)</f>
        <v/>
      </c>
      <c r="BC674" s="1896"/>
      <c r="BD674" s="1883"/>
      <c r="BE674" s="1883"/>
      <c r="BF674" s="1883"/>
      <c r="BG674" s="450" t="s">
        <v>535</v>
      </c>
      <c r="BH674" s="451">
        <v>4.8611111111111112E-3</v>
      </c>
      <c r="BI674" s="452">
        <v>250</v>
      </c>
      <c r="BJ674" s="453" t="s">
        <v>542</v>
      </c>
      <c r="BK674" s="1785"/>
      <c r="BM674" s="3">
        <v>1</v>
      </c>
    </row>
    <row r="675" spans="2:65" ht="21" customHeight="1">
      <c r="B675" s="14"/>
      <c r="C675" s="9"/>
      <c r="D675" s="9"/>
      <c r="E675" s="9"/>
      <c r="F675" s="14"/>
      <c r="G675" s="14"/>
      <c r="H675" s="14"/>
      <c r="I675" s="14"/>
      <c r="J675" s="14"/>
      <c r="K675" s="14"/>
      <c r="L675" s="1394" t="str">
        <f>IF(ISBLANK(M675),"",LARGE(L669:L674,1)+1)</f>
        <v/>
      </c>
      <c r="M675" s="1896"/>
      <c r="N675" s="1883"/>
      <c r="O675" s="1883"/>
      <c r="P675" s="1883"/>
      <c r="Q675" s="446" t="s">
        <v>519</v>
      </c>
      <c r="R675" s="447"/>
      <c r="S675" s="447" t="s">
        <v>527</v>
      </c>
      <c r="T675" s="448" t="s">
        <v>528</v>
      </c>
      <c r="U675" s="1784"/>
      <c r="W675" s="14"/>
      <c r="X675" s="9"/>
      <c r="Y675" s="9"/>
      <c r="Z675" s="9"/>
      <c r="AA675" s="14"/>
      <c r="AB675" s="14"/>
      <c r="AC675" s="14"/>
      <c r="AD675" s="14"/>
      <c r="AE675" s="14"/>
      <c r="AF675" s="14"/>
      <c r="AG675" s="1394" t="str">
        <f>IF(ISBLANK(AH675),"",LARGE(AG669:AG674,1)+1)</f>
        <v/>
      </c>
      <c r="AH675" s="1896"/>
      <c r="AI675" s="1883"/>
      <c r="AJ675" s="1883"/>
      <c r="AK675" s="1883"/>
      <c r="AL675" s="446" t="s">
        <v>1424</v>
      </c>
      <c r="AM675" s="447"/>
      <c r="AN675" s="447" t="s">
        <v>1428</v>
      </c>
      <c r="AO675" s="448" t="s">
        <v>1429</v>
      </c>
      <c r="AP675" s="1784"/>
      <c r="AR675" s="14"/>
      <c r="AS675" s="9"/>
      <c r="AT675" s="9"/>
      <c r="AU675" s="9"/>
      <c r="AV675" s="14"/>
      <c r="AW675" s="14"/>
      <c r="AX675" s="14"/>
      <c r="AY675" s="14"/>
      <c r="AZ675" s="14"/>
      <c r="BA675" s="14"/>
      <c r="BB675" s="1394" t="str">
        <f>IF(ISBLANK(BC675),"",LARGE(BB669:BB674,1)+1)</f>
        <v/>
      </c>
      <c r="BC675" s="1896"/>
      <c r="BD675" s="1883"/>
      <c r="BE675" s="1883"/>
      <c r="BF675" s="1883"/>
      <c r="BG675" s="446" t="s">
        <v>519</v>
      </c>
      <c r="BH675" s="447"/>
      <c r="BI675" s="447" t="s">
        <v>527</v>
      </c>
      <c r="BJ675" s="448" t="s">
        <v>528</v>
      </c>
      <c r="BK675" s="1784"/>
      <c r="BM675" s="3">
        <v>1</v>
      </c>
    </row>
    <row r="676" spans="2:65" ht="21" customHeight="1">
      <c r="B676" s="14"/>
      <c r="C676" s="9"/>
      <c r="D676" s="9"/>
      <c r="E676" s="9"/>
      <c r="F676" s="14"/>
      <c r="G676" s="14"/>
      <c r="H676" s="14"/>
      <c r="I676" s="14"/>
      <c r="J676" s="14"/>
      <c r="K676" s="14"/>
      <c r="L676" s="1394" t="str">
        <f>IF(ISBLANK(M676),"",LARGE(L669:L675,1)+1)</f>
        <v/>
      </c>
      <c r="M676" s="1896"/>
      <c r="N676" s="1883"/>
      <c r="O676" s="1883"/>
      <c r="P676" s="1883"/>
      <c r="Q676" s="450" t="s">
        <v>535</v>
      </c>
      <c r="R676" s="451">
        <v>0.10416666666666667</v>
      </c>
      <c r="S676" s="452">
        <v>170</v>
      </c>
      <c r="T676" s="1443" t="s">
        <v>543</v>
      </c>
      <c r="U676" s="1786"/>
      <c r="W676" s="14"/>
      <c r="X676" s="9"/>
      <c r="Y676" s="9"/>
      <c r="Z676" s="9"/>
      <c r="AA676" s="14"/>
      <c r="AB676" s="14"/>
      <c r="AC676" s="14"/>
      <c r="AD676" s="14"/>
      <c r="AE676" s="14"/>
      <c r="AF676" s="14"/>
      <c r="AG676" s="1394" t="str">
        <f>IF(ISBLANK(AH676),"",LARGE(AG669:AG675,1)+1)</f>
        <v/>
      </c>
      <c r="AH676" s="1896"/>
      <c r="AI676" s="1883"/>
      <c r="AJ676" s="1883"/>
      <c r="AK676" s="1883"/>
      <c r="AL676" s="450" t="s">
        <v>1430</v>
      </c>
      <c r="AM676" s="451">
        <v>0.10416666666666667</v>
      </c>
      <c r="AN676" s="452">
        <v>170</v>
      </c>
      <c r="AO676" s="1443" t="s">
        <v>1433</v>
      </c>
      <c r="AP676" s="1786"/>
      <c r="AR676" s="14"/>
      <c r="AS676" s="9"/>
      <c r="AT676" s="9"/>
      <c r="AU676" s="9"/>
      <c r="AV676" s="14"/>
      <c r="AW676" s="14"/>
      <c r="AX676" s="14"/>
      <c r="AY676" s="14"/>
      <c r="AZ676" s="14"/>
      <c r="BA676" s="14"/>
      <c r="BB676" s="1394" t="str">
        <f>IF(ISBLANK(BC676),"",LARGE(BB669:BB675,1)+1)</f>
        <v/>
      </c>
      <c r="BC676" s="1896"/>
      <c r="BD676" s="1883"/>
      <c r="BE676" s="1883"/>
      <c r="BF676" s="1883"/>
      <c r="BG676" s="450" t="s">
        <v>535</v>
      </c>
      <c r="BH676" s="451">
        <v>0.10416666666666667</v>
      </c>
      <c r="BI676" s="452">
        <v>170</v>
      </c>
      <c r="BJ676" s="1443" t="s">
        <v>543</v>
      </c>
      <c r="BK676" s="1786"/>
      <c r="BM676" s="3">
        <v>1</v>
      </c>
    </row>
    <row r="677" spans="2:65" ht="21" customHeight="1">
      <c r="B677" s="14"/>
      <c r="C677" s="9"/>
      <c r="D677" s="9"/>
      <c r="E677" s="9"/>
      <c r="F677" s="14"/>
      <c r="G677" s="14"/>
      <c r="H677" s="14"/>
      <c r="I677" s="14"/>
      <c r="J677" s="14"/>
      <c r="K677" s="14"/>
      <c r="L677" s="1394" t="str">
        <f>IF(ISBLANK(M677),"",LARGE(L669:L676,1)+1)</f>
        <v/>
      </c>
      <c r="M677" s="1896"/>
      <c r="N677" s="1883"/>
      <c r="O677" s="1883"/>
      <c r="P677" s="1883"/>
      <c r="Q677" s="446" t="s">
        <v>519</v>
      </c>
      <c r="R677" s="447"/>
      <c r="S677" s="447" t="s">
        <v>527</v>
      </c>
      <c r="T677" s="448" t="s">
        <v>546</v>
      </c>
      <c r="U677" s="1784"/>
      <c r="W677" s="14"/>
      <c r="X677" s="9"/>
      <c r="Y677" s="9"/>
      <c r="Z677" s="9"/>
      <c r="AA677" s="14"/>
      <c r="AB677" s="14"/>
      <c r="AC677" s="14"/>
      <c r="AD677" s="14"/>
      <c r="AE677" s="14"/>
      <c r="AF677" s="14"/>
      <c r="AG677" s="1394" t="str">
        <f>IF(ISBLANK(AH677),"",LARGE(AG669:AG676,1)+1)</f>
        <v/>
      </c>
      <c r="AH677" s="1896"/>
      <c r="AI677" s="1883"/>
      <c r="AJ677" s="1883"/>
      <c r="AK677" s="1883"/>
      <c r="AL677" s="446" t="s">
        <v>1424</v>
      </c>
      <c r="AM677" s="447"/>
      <c r="AN677" s="447" t="s">
        <v>1428</v>
      </c>
      <c r="AO677" s="448" t="s">
        <v>1435</v>
      </c>
      <c r="AP677" s="1784"/>
      <c r="AR677" s="14"/>
      <c r="AS677" s="9"/>
      <c r="AT677" s="9"/>
      <c r="AU677" s="9"/>
      <c r="AV677" s="14"/>
      <c r="AW677" s="14"/>
      <c r="AX677" s="14"/>
      <c r="AY677" s="14"/>
      <c r="AZ677" s="14"/>
      <c r="BA677" s="14"/>
      <c r="BB677" s="1394" t="str">
        <f>IF(ISBLANK(BC677),"",LARGE(BB669:BB676,1)+1)</f>
        <v/>
      </c>
      <c r="BC677" s="1896"/>
      <c r="BD677" s="1883"/>
      <c r="BE677" s="1883"/>
      <c r="BF677" s="1883"/>
      <c r="BG677" s="446" t="s">
        <v>519</v>
      </c>
      <c r="BH677" s="447"/>
      <c r="BI677" s="447" t="s">
        <v>527</v>
      </c>
      <c r="BJ677" s="448" t="s">
        <v>546</v>
      </c>
      <c r="BK677" s="1784"/>
      <c r="BM677" s="3">
        <v>1</v>
      </c>
    </row>
    <row r="678" spans="2:65" ht="21" customHeight="1">
      <c r="B678" s="14"/>
      <c r="C678" s="9"/>
      <c r="D678" s="9"/>
      <c r="E678" s="9"/>
      <c r="F678" s="14"/>
      <c r="G678" s="14"/>
      <c r="H678" s="14"/>
      <c r="I678" s="14"/>
      <c r="J678" s="14"/>
      <c r="K678" s="14"/>
      <c r="L678" s="1394" t="str">
        <f>IF(ISBLANK(M678),"",LARGE(L669:L677,1)+1)</f>
        <v/>
      </c>
      <c r="M678" s="1896"/>
      <c r="N678" s="1883"/>
      <c r="O678" s="1883"/>
      <c r="P678" s="1883"/>
      <c r="Q678" s="450" t="s">
        <v>535</v>
      </c>
      <c r="R678" s="451">
        <v>4.8611111111111112E-3</v>
      </c>
      <c r="S678" s="452">
        <v>100</v>
      </c>
      <c r="T678" s="453"/>
      <c r="U678" s="1785"/>
      <c r="W678" s="14"/>
      <c r="X678" s="9"/>
      <c r="Y678" s="9"/>
      <c r="Z678" s="9"/>
      <c r="AA678" s="14"/>
      <c r="AB678" s="14"/>
      <c r="AC678" s="14"/>
      <c r="AD678" s="14"/>
      <c r="AE678" s="14"/>
      <c r="AF678" s="14"/>
      <c r="AG678" s="1394" t="str">
        <f>IF(ISBLANK(AH678),"",LARGE(AG669:AG677,1)+1)</f>
        <v/>
      </c>
      <c r="AH678" s="1896"/>
      <c r="AI678" s="1883"/>
      <c r="AJ678" s="1883"/>
      <c r="AK678" s="1883"/>
      <c r="AL678" s="450" t="s">
        <v>1430</v>
      </c>
      <c r="AM678" s="451">
        <v>4.8611111111111112E-3</v>
      </c>
      <c r="AN678" s="452">
        <v>100</v>
      </c>
      <c r="AO678" s="453"/>
      <c r="AP678" s="1785"/>
      <c r="AR678" s="14"/>
      <c r="AS678" s="9"/>
      <c r="AT678" s="9"/>
      <c r="AU678" s="9"/>
      <c r="AV678" s="14"/>
      <c r="AW678" s="14"/>
      <c r="AX678" s="14"/>
      <c r="AY678" s="14"/>
      <c r="AZ678" s="14"/>
      <c r="BA678" s="14"/>
      <c r="BB678" s="1394" t="str">
        <f>IF(ISBLANK(BC678),"",LARGE(BB669:BB677,1)+1)</f>
        <v/>
      </c>
      <c r="BC678" s="1896"/>
      <c r="BD678" s="1883"/>
      <c r="BE678" s="1883"/>
      <c r="BF678" s="1883"/>
      <c r="BG678" s="450" t="s">
        <v>535</v>
      </c>
      <c r="BH678" s="451">
        <v>4.8611111111111112E-3</v>
      </c>
      <c r="BI678" s="452">
        <v>100</v>
      </c>
      <c r="BJ678" s="453"/>
      <c r="BK678" s="1785"/>
      <c r="BM678" s="3">
        <v>1</v>
      </c>
    </row>
    <row r="679" spans="2:65" ht="21" customHeight="1">
      <c r="B679" s="14"/>
      <c r="C679" s="9"/>
      <c r="D679" s="9"/>
      <c r="E679" s="9"/>
      <c r="F679" s="14"/>
      <c r="G679" s="14"/>
      <c r="H679" s="14"/>
      <c r="I679" s="14"/>
      <c r="J679" s="14"/>
      <c r="K679" s="14"/>
      <c r="L679" s="1394" t="str">
        <f>IF(ISBLANK(M679),"",LARGE(L669:L678,1)+1)</f>
        <v/>
      </c>
      <c r="M679" s="1896"/>
      <c r="N679" s="1883"/>
      <c r="O679" s="1883"/>
      <c r="P679" s="1883"/>
      <c r="Q679" s="446" t="s">
        <v>519</v>
      </c>
      <c r="R679" s="447"/>
      <c r="S679" s="447" t="s">
        <v>527</v>
      </c>
      <c r="T679" s="448" t="s">
        <v>552</v>
      </c>
      <c r="U679" s="1784"/>
      <c r="W679" s="14"/>
      <c r="X679" s="9"/>
      <c r="Y679" s="9"/>
      <c r="Z679" s="9"/>
      <c r="AA679" s="14"/>
      <c r="AB679" s="14"/>
      <c r="AC679" s="14"/>
      <c r="AD679" s="14"/>
      <c r="AE679" s="14"/>
      <c r="AF679" s="14"/>
      <c r="AG679" s="1394" t="str">
        <f>IF(ISBLANK(AH679),"",LARGE(AG669:AG678,1)+1)</f>
        <v/>
      </c>
      <c r="AH679" s="1896"/>
      <c r="AI679" s="1883"/>
      <c r="AJ679" s="1883"/>
      <c r="AK679" s="1883"/>
      <c r="AL679" s="446" t="s">
        <v>1424</v>
      </c>
      <c r="AM679" s="447"/>
      <c r="AN679" s="447" t="s">
        <v>1428</v>
      </c>
      <c r="AO679" s="448" t="s">
        <v>1436</v>
      </c>
      <c r="AP679" s="1784"/>
      <c r="AR679" s="14"/>
      <c r="AS679" s="9"/>
      <c r="AT679" s="9"/>
      <c r="AU679" s="9"/>
      <c r="AV679" s="14"/>
      <c r="AW679" s="14"/>
      <c r="AX679" s="14"/>
      <c r="AY679" s="14"/>
      <c r="AZ679" s="14"/>
      <c r="BA679" s="14"/>
      <c r="BB679" s="1394" t="str">
        <f>IF(ISBLANK(BC679),"",LARGE(BB669:BB678,1)+1)</f>
        <v/>
      </c>
      <c r="BC679" s="1896"/>
      <c r="BD679" s="1883"/>
      <c r="BE679" s="1883"/>
      <c r="BF679" s="1883"/>
      <c r="BG679" s="446" t="s">
        <v>519</v>
      </c>
      <c r="BH679" s="447"/>
      <c r="BI679" s="447" t="s">
        <v>527</v>
      </c>
      <c r="BJ679" s="448" t="s">
        <v>552</v>
      </c>
      <c r="BK679" s="1784"/>
      <c r="BM679" s="3">
        <v>1</v>
      </c>
    </row>
    <row r="680" spans="2:65" ht="21" customHeight="1">
      <c r="B680" s="14"/>
      <c r="C680" s="9"/>
      <c r="D680" s="9"/>
      <c r="E680" s="9"/>
      <c r="F680" s="14"/>
      <c r="G680" s="14"/>
      <c r="H680" s="14"/>
      <c r="I680" s="14"/>
      <c r="J680" s="14"/>
      <c r="K680" s="14"/>
      <c r="L680" s="1394" t="str">
        <f>IF(ISBLANK(M680),"",LARGE(L669:L679,1)+1)</f>
        <v/>
      </c>
      <c r="M680" s="1896"/>
      <c r="N680" s="1883"/>
      <c r="O680" s="1883"/>
      <c r="P680" s="1883"/>
      <c r="Q680" s="442" t="s">
        <v>535</v>
      </c>
      <c r="R680" s="443">
        <v>4.8611111111111112E-3</v>
      </c>
      <c r="S680" s="444">
        <v>110</v>
      </c>
      <c r="T680" s="445"/>
      <c r="U680" s="1783"/>
      <c r="W680" s="14"/>
      <c r="X680" s="9"/>
      <c r="Y680" s="9"/>
      <c r="Z680" s="9"/>
      <c r="AA680" s="14"/>
      <c r="AB680" s="14"/>
      <c r="AC680" s="14"/>
      <c r="AD680" s="14"/>
      <c r="AE680" s="14"/>
      <c r="AF680" s="14"/>
      <c r="AG680" s="1394" t="str">
        <f>IF(ISBLANK(AH680),"",LARGE(AG669:AG679,1)+1)</f>
        <v/>
      </c>
      <c r="AH680" s="1896"/>
      <c r="AI680" s="1883"/>
      <c r="AJ680" s="1883"/>
      <c r="AK680" s="1883"/>
      <c r="AL680" s="442" t="s">
        <v>1430</v>
      </c>
      <c r="AM680" s="443">
        <v>4.8611111111111112E-3</v>
      </c>
      <c r="AN680" s="444">
        <v>110</v>
      </c>
      <c r="AO680" s="445"/>
      <c r="AP680" s="1783"/>
      <c r="AR680" s="14"/>
      <c r="AS680" s="9"/>
      <c r="AT680" s="9"/>
      <c r="AU680" s="9"/>
      <c r="AV680" s="14"/>
      <c r="AW680" s="14"/>
      <c r="AX680" s="14"/>
      <c r="AY680" s="14"/>
      <c r="AZ680" s="14"/>
      <c r="BA680" s="14"/>
      <c r="BB680" s="1394" t="str">
        <f>IF(ISBLANK(BC680),"",LARGE(BB669:BB679,1)+1)</f>
        <v/>
      </c>
      <c r="BC680" s="1896"/>
      <c r="BD680" s="1883"/>
      <c r="BE680" s="1883"/>
      <c r="BF680" s="1883"/>
      <c r="BG680" s="442" t="s">
        <v>535</v>
      </c>
      <c r="BH680" s="443">
        <v>4.8611111111111112E-3</v>
      </c>
      <c r="BI680" s="444">
        <v>110</v>
      </c>
      <c r="BJ680" s="445"/>
      <c r="BK680" s="1783"/>
      <c r="BM680" s="3">
        <v>1</v>
      </c>
    </row>
    <row r="681" spans="2:65" ht="21" customHeight="1">
      <c r="B681" s="14"/>
      <c r="C681" s="9"/>
      <c r="D681" s="9"/>
      <c r="E681" s="9"/>
      <c r="F681" s="14"/>
      <c r="G681" s="14"/>
      <c r="H681" s="14"/>
      <c r="I681" s="14"/>
      <c r="J681" s="14"/>
      <c r="K681" s="14"/>
      <c r="L681" s="1394" t="str">
        <f>IF(ISBLANK(M681),"",LARGE(L669:L680,1)+1)</f>
        <v/>
      </c>
      <c r="M681" s="1896"/>
      <c r="N681" s="1883"/>
      <c r="O681" s="1883"/>
      <c r="P681" s="1883"/>
      <c r="Q681" s="446" t="s">
        <v>519</v>
      </c>
      <c r="R681" s="447"/>
      <c r="S681" s="447" t="s">
        <v>527</v>
      </c>
      <c r="T681" s="448" t="s">
        <v>552</v>
      </c>
      <c r="U681" s="1784"/>
      <c r="W681" s="14"/>
      <c r="X681" s="9"/>
      <c r="Y681" s="9"/>
      <c r="Z681" s="9"/>
      <c r="AA681" s="14"/>
      <c r="AB681" s="14"/>
      <c r="AC681" s="14"/>
      <c r="AD681" s="14"/>
      <c r="AE681" s="14"/>
      <c r="AF681" s="14"/>
      <c r="AG681" s="1394" t="str">
        <f>IF(ISBLANK(AH681),"",LARGE(AG669:AG680,1)+1)</f>
        <v/>
      </c>
      <c r="AH681" s="1896"/>
      <c r="AI681" s="1883"/>
      <c r="AJ681" s="1883"/>
      <c r="AK681" s="1883"/>
      <c r="AL681" s="446" t="s">
        <v>1424</v>
      </c>
      <c r="AM681" s="447"/>
      <c r="AN681" s="447" t="s">
        <v>1428</v>
      </c>
      <c r="AO681" s="448" t="s">
        <v>1436</v>
      </c>
      <c r="AP681" s="1784"/>
      <c r="AR681" s="14"/>
      <c r="AS681" s="9"/>
      <c r="AT681" s="9"/>
      <c r="AU681" s="9"/>
      <c r="AV681" s="14"/>
      <c r="AW681" s="14"/>
      <c r="AX681" s="14"/>
      <c r="AY681" s="14"/>
      <c r="AZ681" s="14"/>
      <c r="BA681" s="14"/>
      <c r="BB681" s="1394" t="str">
        <f>IF(ISBLANK(BC681),"",LARGE(BB669:BB680,1)+1)</f>
        <v/>
      </c>
      <c r="BC681" s="1896"/>
      <c r="BD681" s="1883"/>
      <c r="BE681" s="1883"/>
      <c r="BF681" s="1883"/>
      <c r="BG681" s="446" t="s">
        <v>519</v>
      </c>
      <c r="BH681" s="447"/>
      <c r="BI681" s="447" t="s">
        <v>527</v>
      </c>
      <c r="BJ681" s="448" t="s">
        <v>552</v>
      </c>
      <c r="BK681" s="1784"/>
      <c r="BM681" s="3">
        <v>1</v>
      </c>
    </row>
    <row r="682" spans="2:65" ht="21" customHeight="1">
      <c r="B682" s="14"/>
      <c r="C682" s="9"/>
      <c r="D682" s="9"/>
      <c r="E682" s="9"/>
      <c r="F682" s="14"/>
      <c r="G682" s="14"/>
      <c r="H682" s="14"/>
      <c r="I682" s="14"/>
      <c r="J682" s="14"/>
      <c r="K682" s="14"/>
      <c r="L682" s="1394" t="str">
        <f>IF(ISBLANK(M682),"",LARGE(L669:L681,1)+1)</f>
        <v/>
      </c>
      <c r="M682" s="1896"/>
      <c r="N682" s="1883"/>
      <c r="O682" s="1883"/>
      <c r="P682" s="1883"/>
      <c r="Q682" s="442" t="s">
        <v>535</v>
      </c>
      <c r="R682" s="443">
        <v>4.8611111111111112E-3</v>
      </c>
      <c r="S682" s="444">
        <v>110</v>
      </c>
      <c r="T682" s="445"/>
      <c r="U682" s="1783"/>
      <c r="W682" s="14"/>
      <c r="X682" s="9"/>
      <c r="Y682" s="9"/>
      <c r="Z682" s="9"/>
      <c r="AA682" s="14"/>
      <c r="AB682" s="14"/>
      <c r="AC682" s="14"/>
      <c r="AD682" s="14"/>
      <c r="AE682" s="14"/>
      <c r="AF682" s="14"/>
      <c r="AG682" s="1394" t="str">
        <f>IF(ISBLANK(AH682),"",LARGE(AG669:AG681,1)+1)</f>
        <v/>
      </c>
      <c r="AH682" s="1896"/>
      <c r="AI682" s="1883"/>
      <c r="AJ682" s="1883"/>
      <c r="AK682" s="1883"/>
      <c r="AL682" s="442" t="s">
        <v>1430</v>
      </c>
      <c r="AM682" s="443">
        <v>4.8611111111111112E-3</v>
      </c>
      <c r="AN682" s="444">
        <v>110</v>
      </c>
      <c r="AO682" s="445"/>
      <c r="AP682" s="1783"/>
      <c r="AR682" s="14"/>
      <c r="AS682" s="9"/>
      <c r="AT682" s="9"/>
      <c r="AU682" s="9"/>
      <c r="AV682" s="14"/>
      <c r="AW682" s="14"/>
      <c r="AX682" s="14"/>
      <c r="AY682" s="14"/>
      <c r="AZ682" s="14"/>
      <c r="BA682" s="14"/>
      <c r="BB682" s="1394" t="str">
        <f>IF(ISBLANK(BC682),"",LARGE(BB669:BB681,1)+1)</f>
        <v/>
      </c>
      <c r="BC682" s="1896"/>
      <c r="BD682" s="1883"/>
      <c r="BE682" s="1883"/>
      <c r="BF682" s="1883"/>
      <c r="BG682" s="442" t="s">
        <v>535</v>
      </c>
      <c r="BH682" s="443">
        <v>4.8611111111111112E-3</v>
      </c>
      <c r="BI682" s="444">
        <v>110</v>
      </c>
      <c r="BJ682" s="445"/>
      <c r="BK682" s="1783"/>
      <c r="BM682" s="3">
        <v>1</v>
      </c>
    </row>
    <row r="683" spans="2:65" ht="21" customHeight="1">
      <c r="B683" s="14"/>
      <c r="C683" s="9"/>
      <c r="D683" s="9"/>
      <c r="E683" s="9"/>
      <c r="F683" s="14"/>
      <c r="G683" s="14"/>
      <c r="H683" s="14"/>
      <c r="I683" s="14"/>
      <c r="J683" s="14"/>
      <c r="K683" s="14"/>
      <c r="L683" s="1394" t="str">
        <f>IF(ISBLANK(M683),"",LARGE(L669:L682,1)+1)</f>
        <v/>
      </c>
      <c r="M683" s="1896"/>
      <c r="N683" s="1883"/>
      <c r="O683" s="1883"/>
      <c r="P683" s="1883"/>
      <c r="Q683" s="446" t="s">
        <v>519</v>
      </c>
      <c r="R683" s="447"/>
      <c r="S683" s="447" t="s">
        <v>527</v>
      </c>
      <c r="T683" s="448" t="s">
        <v>552</v>
      </c>
      <c r="U683" s="1784"/>
      <c r="W683" s="14"/>
      <c r="X683" s="9"/>
      <c r="Y683" s="9"/>
      <c r="Z683" s="9"/>
      <c r="AA683" s="14"/>
      <c r="AB683" s="14"/>
      <c r="AC683" s="14"/>
      <c r="AD683" s="14"/>
      <c r="AE683" s="14"/>
      <c r="AF683" s="14"/>
      <c r="AG683" s="1394" t="str">
        <f>IF(ISBLANK(AH683),"",LARGE(AG669:AG682,1)+1)</f>
        <v/>
      </c>
      <c r="AH683" s="1896"/>
      <c r="AI683" s="1883"/>
      <c r="AJ683" s="1883"/>
      <c r="AK683" s="1883"/>
      <c r="AL683" s="446" t="s">
        <v>1424</v>
      </c>
      <c r="AM683" s="447"/>
      <c r="AN683" s="447" t="s">
        <v>1428</v>
      </c>
      <c r="AO683" s="448" t="s">
        <v>1436</v>
      </c>
      <c r="AP683" s="1784"/>
      <c r="AR683" s="14"/>
      <c r="AS683" s="9"/>
      <c r="AT683" s="9"/>
      <c r="AU683" s="9"/>
      <c r="AV683" s="14"/>
      <c r="AW683" s="14"/>
      <c r="AX683" s="14"/>
      <c r="AY683" s="14"/>
      <c r="AZ683" s="14"/>
      <c r="BA683" s="14"/>
      <c r="BB683" s="1394" t="str">
        <f>IF(ISBLANK(BC683),"",LARGE(BB669:BB682,1)+1)</f>
        <v/>
      </c>
      <c r="BC683" s="1896"/>
      <c r="BD683" s="1883"/>
      <c r="BE683" s="1883"/>
      <c r="BF683" s="1883"/>
      <c r="BG683" s="446" t="s">
        <v>519</v>
      </c>
      <c r="BH683" s="447"/>
      <c r="BI683" s="447" t="s">
        <v>527</v>
      </c>
      <c r="BJ683" s="448" t="s">
        <v>552</v>
      </c>
      <c r="BK683" s="1784"/>
      <c r="BM683" s="3">
        <v>1</v>
      </c>
    </row>
    <row r="684" spans="2:65" ht="21" customHeight="1">
      <c r="B684" s="14"/>
      <c r="C684" s="9"/>
      <c r="D684" s="9"/>
      <c r="E684" s="9"/>
      <c r="F684" s="14"/>
      <c r="G684" s="14"/>
      <c r="H684" s="14"/>
      <c r="I684" s="14"/>
      <c r="J684" s="14"/>
      <c r="K684" s="14"/>
      <c r="L684" s="1394" t="str">
        <f>IF(ISBLANK(M684),"",LARGE(L669:L683,1)+1)</f>
        <v/>
      </c>
      <c r="M684" s="1896"/>
      <c r="N684" s="1883"/>
      <c r="O684" s="1883"/>
      <c r="P684" s="1883"/>
      <c r="Q684" s="450" t="s">
        <v>535</v>
      </c>
      <c r="R684" s="451">
        <v>4.8611111111111112E-3</v>
      </c>
      <c r="S684" s="452">
        <v>110</v>
      </c>
      <c r="T684" s="453"/>
      <c r="U684" s="1785"/>
      <c r="W684" s="14"/>
      <c r="X684" s="9"/>
      <c r="Y684" s="9"/>
      <c r="Z684" s="9"/>
      <c r="AA684" s="14"/>
      <c r="AB684" s="14"/>
      <c r="AC684" s="14"/>
      <c r="AD684" s="14"/>
      <c r="AE684" s="14"/>
      <c r="AF684" s="14"/>
      <c r="AG684" s="1394" t="str">
        <f>IF(ISBLANK(AH684),"",LARGE(AG669:AG683,1)+1)</f>
        <v/>
      </c>
      <c r="AH684" s="1896"/>
      <c r="AI684" s="1883"/>
      <c r="AJ684" s="1883"/>
      <c r="AK684" s="1883"/>
      <c r="AL684" s="450" t="s">
        <v>1430</v>
      </c>
      <c r="AM684" s="451">
        <v>4.8611111111111112E-3</v>
      </c>
      <c r="AN684" s="452">
        <v>110</v>
      </c>
      <c r="AO684" s="453"/>
      <c r="AP684" s="1785"/>
      <c r="AR684" s="14"/>
      <c r="AS684" s="9"/>
      <c r="AT684" s="9"/>
      <c r="AU684" s="9"/>
      <c r="AV684" s="14"/>
      <c r="AW684" s="14"/>
      <c r="AX684" s="14"/>
      <c r="AY684" s="14"/>
      <c r="AZ684" s="14"/>
      <c r="BA684" s="14"/>
      <c r="BB684" s="1394" t="str">
        <f>IF(ISBLANK(BC684),"",LARGE(BB669:BB683,1)+1)</f>
        <v/>
      </c>
      <c r="BC684" s="1896"/>
      <c r="BD684" s="1883"/>
      <c r="BE684" s="1883"/>
      <c r="BF684" s="1883"/>
      <c r="BG684" s="450" t="s">
        <v>535</v>
      </c>
      <c r="BH684" s="451">
        <v>4.8611111111111112E-3</v>
      </c>
      <c r="BI684" s="452">
        <v>110</v>
      </c>
      <c r="BJ684" s="453"/>
      <c r="BK684" s="1785"/>
      <c r="BM684" s="3">
        <v>1</v>
      </c>
    </row>
    <row r="685" spans="2:65" ht="21" customHeight="1">
      <c r="B685" s="14"/>
      <c r="C685" s="9"/>
      <c r="D685" s="9"/>
      <c r="E685" s="9"/>
      <c r="F685" s="14"/>
      <c r="G685" s="14"/>
      <c r="H685" s="14"/>
      <c r="I685" s="14"/>
      <c r="J685" s="14"/>
      <c r="K685" s="14"/>
      <c r="L685" s="1394" t="str">
        <f>IF(ISBLANK(M685),"",LARGE(L669:L684,1)+1)</f>
        <v/>
      </c>
      <c r="M685" s="1896"/>
      <c r="N685" s="1883"/>
      <c r="O685" s="1883"/>
      <c r="P685" s="1883"/>
      <c r="Q685" s="1389"/>
      <c r="R685" s="1389"/>
      <c r="S685" s="1389"/>
      <c r="T685" s="1389"/>
      <c r="U685" s="1874"/>
      <c r="W685" s="14"/>
      <c r="X685" s="9"/>
      <c r="Y685" s="9"/>
      <c r="Z685" s="9"/>
      <c r="AA685" s="14"/>
      <c r="AB685" s="14"/>
      <c r="AC685" s="14"/>
      <c r="AD685" s="14"/>
      <c r="AE685" s="14"/>
      <c r="AF685" s="14"/>
      <c r="AG685" s="1394" t="str">
        <f>IF(ISBLANK(AH685),"",LARGE(AG669:AG684,1)+1)</f>
        <v/>
      </c>
      <c r="AH685" s="1896"/>
      <c r="AI685" s="1883"/>
      <c r="AJ685" s="1883"/>
      <c r="AK685" s="1883"/>
      <c r="AL685" s="1389"/>
      <c r="AM685" s="1389"/>
      <c r="AN685" s="1389"/>
      <c r="AO685" s="1389"/>
      <c r="AP685" s="1874"/>
      <c r="AR685" s="14"/>
      <c r="AS685" s="9"/>
      <c r="AT685" s="9"/>
      <c r="AU685" s="9"/>
      <c r="AV685" s="14"/>
      <c r="AW685" s="14"/>
      <c r="AX685" s="14"/>
      <c r="AY685" s="14"/>
      <c r="AZ685" s="14"/>
      <c r="BA685" s="14"/>
      <c r="BB685" s="1394" t="str">
        <f>IF(ISBLANK(BC685),"",LARGE(BB669:BB684,1)+1)</f>
        <v/>
      </c>
      <c r="BC685" s="1896"/>
      <c r="BD685" s="1883"/>
      <c r="BE685" s="1883"/>
      <c r="BF685" s="1883"/>
      <c r="BG685" s="1389"/>
      <c r="BH685" s="1389"/>
      <c r="BI685" s="1389"/>
      <c r="BJ685" s="1389"/>
      <c r="BK685" s="1874"/>
      <c r="BM685" s="3">
        <v>1</v>
      </c>
    </row>
    <row r="686" spans="2:65" ht="21" customHeight="1">
      <c r="B686" s="14"/>
      <c r="C686" s="9"/>
      <c r="D686" s="9"/>
      <c r="E686" s="9"/>
      <c r="F686" s="14"/>
      <c r="G686" s="14"/>
      <c r="H686" s="14"/>
      <c r="I686" s="14"/>
      <c r="J686" s="14"/>
      <c r="K686" s="14"/>
      <c r="L686" s="1394" t="str">
        <f>IF(ISBLANK(M686),"",LARGE(L669:L685,1)+1)</f>
        <v/>
      </c>
      <c r="M686" s="1896"/>
      <c r="N686" s="1883"/>
      <c r="O686" s="1883"/>
      <c r="P686" s="1883"/>
      <c r="Q686" s="1810"/>
      <c r="R686" s="1810"/>
      <c r="S686" s="1810"/>
      <c r="T686" s="1810"/>
      <c r="U686" s="1811"/>
      <c r="W686" s="14"/>
      <c r="X686" s="9"/>
      <c r="Y686" s="9"/>
      <c r="Z686" s="9"/>
      <c r="AA686" s="14"/>
      <c r="AB686" s="14"/>
      <c r="AC686" s="14"/>
      <c r="AD686" s="14"/>
      <c r="AE686" s="14"/>
      <c r="AF686" s="14"/>
      <c r="AG686" s="1394" t="str">
        <f>IF(ISBLANK(AH686),"",LARGE(AG669:AG685,1)+1)</f>
        <v/>
      </c>
      <c r="AH686" s="1896"/>
      <c r="AI686" s="1883"/>
      <c r="AJ686" s="1883"/>
      <c r="AK686" s="1883"/>
      <c r="AL686" s="1810"/>
      <c r="AM686" s="1810"/>
      <c r="AN686" s="1810"/>
      <c r="AO686" s="1810"/>
      <c r="AP686" s="1811"/>
      <c r="AR686" s="14"/>
      <c r="AS686" s="9"/>
      <c r="AT686" s="9"/>
      <c r="AU686" s="9"/>
      <c r="AV686" s="14"/>
      <c r="AW686" s="14"/>
      <c r="AX686" s="14"/>
      <c r="AY686" s="14"/>
      <c r="AZ686" s="14"/>
      <c r="BA686" s="14"/>
      <c r="BB686" s="1394" t="str">
        <f>IF(ISBLANK(BC686),"",LARGE(BB669:BB685,1)+1)</f>
        <v/>
      </c>
      <c r="BC686" s="1896"/>
      <c r="BD686" s="1883"/>
      <c r="BE686" s="1883"/>
      <c r="BF686" s="1883"/>
      <c r="BG686" s="1810"/>
      <c r="BH686" s="1810"/>
      <c r="BI686" s="1810"/>
      <c r="BJ686" s="1810"/>
      <c r="BK686" s="1811"/>
      <c r="BM686" s="3">
        <v>1</v>
      </c>
    </row>
    <row r="687" spans="2:65" ht="21" customHeight="1">
      <c r="B687" s="14"/>
      <c r="C687" s="9"/>
      <c r="D687" s="9"/>
      <c r="E687" s="9"/>
      <c r="F687" s="14"/>
      <c r="G687" s="14"/>
      <c r="H687" s="14"/>
      <c r="I687" s="14"/>
      <c r="J687" s="14"/>
      <c r="K687" s="14"/>
      <c r="L687" s="1394" t="str">
        <f>IF(ISBLANK(M687),"",LARGE(L669:L686,1)+1)</f>
        <v/>
      </c>
      <c r="M687" s="1869"/>
      <c r="N687" s="1761"/>
      <c r="O687" s="1761"/>
      <c r="P687" s="1762"/>
      <c r="Q687" s="1810"/>
      <c r="R687" s="1810"/>
      <c r="S687" s="1810"/>
      <c r="T687" s="1810"/>
      <c r="U687" s="1408" t="s">
        <v>196</v>
      </c>
      <c r="W687" s="14"/>
      <c r="X687" s="9"/>
      <c r="Y687" s="9"/>
      <c r="Z687" s="9"/>
      <c r="AA687" s="14"/>
      <c r="AB687" s="14"/>
      <c r="AC687" s="14"/>
      <c r="AD687" s="14"/>
      <c r="AE687" s="14"/>
      <c r="AF687" s="14"/>
      <c r="AG687" s="1394" t="str">
        <f>IF(ISBLANK(AH687),"",LARGE(AG669:AG686,1)+1)</f>
        <v/>
      </c>
      <c r="AH687" s="1869"/>
      <c r="AI687" s="1761"/>
      <c r="AJ687" s="1761"/>
      <c r="AK687" s="1762"/>
      <c r="AL687" s="1810"/>
      <c r="AM687" s="1810"/>
      <c r="AN687" s="1810"/>
      <c r="AO687" s="1810"/>
      <c r="AP687" s="1408" t="s">
        <v>879</v>
      </c>
      <c r="AR687" s="14"/>
      <c r="AS687" s="9"/>
      <c r="AT687" s="9"/>
      <c r="AU687" s="9"/>
      <c r="AV687" s="14"/>
      <c r="AW687" s="14"/>
      <c r="AX687" s="14"/>
      <c r="AY687" s="14"/>
      <c r="AZ687" s="14"/>
      <c r="BA687" s="14"/>
      <c r="BB687" s="1394" t="str">
        <f>IF(ISBLANK(BC687),"",LARGE(BB669:BB686,1)+1)</f>
        <v/>
      </c>
      <c r="BC687" s="1869"/>
      <c r="BD687" s="1761"/>
      <c r="BE687" s="1761"/>
      <c r="BF687" s="1762"/>
      <c r="BG687" s="1810"/>
      <c r="BH687" s="1810"/>
      <c r="BI687" s="1810"/>
      <c r="BJ687" s="1810"/>
      <c r="BK687" s="1408" t="s">
        <v>879</v>
      </c>
      <c r="BM687" s="3">
        <v>1</v>
      </c>
    </row>
    <row r="688" spans="2:65" ht="21" customHeight="1">
      <c r="B688" s="14"/>
      <c r="C688" s="9"/>
      <c r="D688" s="9"/>
      <c r="E688" s="9"/>
      <c r="F688" s="14"/>
      <c r="G688" s="14"/>
      <c r="H688" s="14"/>
      <c r="I688" s="14"/>
      <c r="J688" s="14"/>
      <c r="K688" s="14"/>
      <c r="L688" s="1963" t="s">
        <v>8629</v>
      </c>
      <c r="M688" s="1844"/>
      <c r="N688" s="1844"/>
      <c r="O688" s="1844"/>
      <c r="P688" s="1844"/>
      <c r="Q688" s="1844"/>
      <c r="R688" s="1844"/>
      <c r="S688" s="1844"/>
      <c r="T688" s="1844"/>
      <c r="U688" s="1964" t="s">
        <v>8629</v>
      </c>
      <c r="W688" s="14"/>
      <c r="X688" s="9"/>
      <c r="Y688" s="9"/>
      <c r="Z688" s="9"/>
      <c r="AA688" s="14"/>
      <c r="AB688" s="14"/>
      <c r="AC688" s="14"/>
      <c r="AD688" s="14"/>
      <c r="AE688" s="14"/>
      <c r="AF688" s="14"/>
      <c r="AG688" s="1963" t="s">
        <v>8630</v>
      </c>
      <c r="AH688" s="1844"/>
      <c r="AI688" s="1844"/>
      <c r="AJ688" s="1844"/>
      <c r="AK688" s="1844"/>
      <c r="AL688" s="1844"/>
      <c r="AM688" s="1844"/>
      <c r="AN688" s="1844"/>
      <c r="AO688" s="1844"/>
      <c r="AP688" s="1964" t="s">
        <v>8630</v>
      </c>
      <c r="BB688" s="1963" t="s">
        <v>8631</v>
      </c>
      <c r="BC688" s="1844"/>
      <c r="BD688" s="1844"/>
      <c r="BE688" s="1844"/>
      <c r="BF688" s="1844"/>
      <c r="BG688" s="1844"/>
      <c r="BH688" s="1844"/>
      <c r="BI688" s="1844"/>
      <c r="BJ688" s="1844"/>
      <c r="BK688" s="1964" t="s">
        <v>8631</v>
      </c>
      <c r="BM688" s="3">
        <v>1</v>
      </c>
    </row>
    <row r="689" spans="2:65" ht="21" customHeight="1">
      <c r="B689" s="14"/>
      <c r="C689" s="9"/>
      <c r="D689" s="9"/>
      <c r="E689" s="9"/>
      <c r="F689" s="14"/>
      <c r="G689" s="14"/>
      <c r="H689" s="14"/>
      <c r="I689" s="14"/>
      <c r="J689" s="14"/>
      <c r="K689" s="14"/>
      <c r="L689" s="1372" t="s">
        <v>8145</v>
      </c>
      <c r="M689" s="1428" t="s">
        <v>821</v>
      </c>
      <c r="N689" s="419"/>
      <c r="O689" s="419"/>
      <c r="P689" s="419"/>
      <c r="Q689" s="419"/>
      <c r="R689" s="420"/>
      <c r="S689" s="420"/>
      <c r="T689" s="420"/>
      <c r="U689" s="585" t="s">
        <v>218</v>
      </c>
      <c r="W689" s="14"/>
      <c r="X689" s="9"/>
      <c r="Y689" s="9"/>
      <c r="Z689" s="9"/>
      <c r="AA689" s="14"/>
      <c r="AB689" s="14"/>
      <c r="AC689" s="14"/>
      <c r="AD689" s="14"/>
      <c r="AE689" s="14"/>
      <c r="AF689" s="14"/>
      <c r="AG689" s="1388" t="s">
        <v>8216</v>
      </c>
      <c r="AH689" s="1428" t="s">
        <v>8197</v>
      </c>
      <c r="AI689" s="419"/>
      <c r="AJ689" s="419"/>
      <c r="AK689" s="419"/>
      <c r="AL689" s="419"/>
      <c r="AM689" s="420"/>
      <c r="AN689" s="420"/>
      <c r="AO689" s="420"/>
      <c r="AP689" s="585" t="s">
        <v>726</v>
      </c>
      <c r="AR689" s="14"/>
      <c r="AS689" s="9"/>
      <c r="AT689" s="9"/>
      <c r="AU689" s="9"/>
      <c r="AV689" s="14"/>
      <c r="AW689" s="14"/>
      <c r="AX689" s="14"/>
      <c r="AY689" s="14"/>
      <c r="AZ689" s="14"/>
      <c r="BA689" s="14"/>
      <c r="BB689" s="1372" t="s">
        <v>8217</v>
      </c>
      <c r="BC689" s="1428" t="s">
        <v>874</v>
      </c>
      <c r="BD689" s="419"/>
      <c r="BE689" s="419"/>
      <c r="BF689" s="419"/>
      <c r="BG689" s="419"/>
      <c r="BH689" s="420"/>
      <c r="BI689" s="420"/>
      <c r="BJ689" s="420"/>
      <c r="BK689" s="585" t="s">
        <v>218</v>
      </c>
      <c r="BM689" s="3">
        <v>1</v>
      </c>
    </row>
    <row r="690" spans="2:65" ht="21" customHeight="1">
      <c r="B690" s="14"/>
      <c r="C690" s="9"/>
      <c r="D690" s="9"/>
      <c r="E690" s="9"/>
      <c r="F690" s="14"/>
      <c r="G690" s="14"/>
      <c r="H690" s="14"/>
      <c r="I690" s="14"/>
      <c r="J690" s="14"/>
      <c r="K690" s="14"/>
      <c r="L690" s="1392">
        <v>0</v>
      </c>
      <c r="M690" s="1866" t="s">
        <v>8146</v>
      </c>
      <c r="N690" s="1416"/>
      <c r="O690" s="1883"/>
      <c r="P690" s="1883"/>
      <c r="Q690" s="1883"/>
      <c r="R690" s="440" t="s">
        <v>567</v>
      </c>
      <c r="S690" s="477">
        <v>1.7361111111111112E-2</v>
      </c>
      <c r="T690" s="478">
        <v>3</v>
      </c>
      <c r="U690" s="1445" t="s">
        <v>348</v>
      </c>
      <c r="W690" s="14"/>
      <c r="X690" s="9"/>
      <c r="Y690" s="9"/>
      <c r="Z690" s="9"/>
      <c r="AA690" s="14"/>
      <c r="AB690" s="14"/>
      <c r="AC690" s="14"/>
      <c r="AD690" s="14"/>
      <c r="AE690" s="14"/>
      <c r="AF690" s="14"/>
      <c r="AG690" s="1392">
        <v>0</v>
      </c>
      <c r="AH690" s="1866" t="s">
        <v>8198</v>
      </c>
      <c r="AI690" s="1416"/>
      <c r="AJ690" s="1883"/>
      <c r="AK690" s="1883"/>
      <c r="AL690" s="1883"/>
      <c r="AM690" s="1444" t="s">
        <v>1437</v>
      </c>
      <c r="AN690" s="477">
        <v>1.7361111111111112E-2</v>
      </c>
      <c r="AO690" s="478">
        <v>3</v>
      </c>
      <c r="AP690" s="1445" t="s">
        <v>348</v>
      </c>
      <c r="AR690" s="14"/>
      <c r="AS690" s="9"/>
      <c r="AT690" s="9"/>
      <c r="AU690" s="9"/>
      <c r="AV690" s="14"/>
      <c r="AW690" s="14"/>
      <c r="AX690" s="14"/>
      <c r="AY690" s="14"/>
      <c r="AZ690" s="14"/>
      <c r="BA690" s="14"/>
      <c r="BB690" s="1392">
        <v>0</v>
      </c>
      <c r="BC690" s="1866" t="s">
        <v>8193</v>
      </c>
      <c r="BD690" s="1416"/>
      <c r="BE690" s="1883"/>
      <c r="BF690" s="1883"/>
      <c r="BG690" s="1883"/>
      <c r="BH690" s="1444" t="s">
        <v>567</v>
      </c>
      <c r="BI690" s="477">
        <v>1.7361111111111112E-2</v>
      </c>
      <c r="BJ690" s="478">
        <v>3</v>
      </c>
      <c r="BK690" s="1445" t="s">
        <v>348</v>
      </c>
      <c r="BM690" s="3">
        <v>1</v>
      </c>
    </row>
    <row r="691" spans="2:65" ht="21" customHeight="1">
      <c r="B691" s="14"/>
      <c r="C691" s="9"/>
      <c r="D691" s="9"/>
      <c r="E691" s="9"/>
      <c r="F691" s="14"/>
      <c r="G691" s="14"/>
      <c r="H691" s="14"/>
      <c r="I691" s="14"/>
      <c r="J691" s="14"/>
      <c r="K691" s="14"/>
      <c r="L691" s="1394" t="str">
        <f>IF(ISBLANK(M691),"",LARGE(L690:L690,1)+1)</f>
        <v/>
      </c>
      <c r="M691" s="1896"/>
      <c r="N691" s="1883"/>
      <c r="O691" s="1883"/>
      <c r="P691" s="1883"/>
      <c r="Q691" s="1883"/>
      <c r="R691" s="440" t="s">
        <v>568</v>
      </c>
      <c r="S691" s="477">
        <v>1.7361111111111112E-2</v>
      </c>
      <c r="T691" s="478">
        <v>3</v>
      </c>
      <c r="U691" s="1446" t="s">
        <v>348</v>
      </c>
      <c r="W691" s="14"/>
      <c r="X691" s="9"/>
      <c r="Y691" s="9"/>
      <c r="Z691" s="9"/>
      <c r="AA691" s="14"/>
      <c r="AB691" s="14"/>
      <c r="AC691" s="14"/>
      <c r="AD691" s="14"/>
      <c r="AE691" s="14"/>
      <c r="AF691" s="14"/>
      <c r="AG691" s="1394" t="str">
        <f>IF(ISBLANK(AH691),"",LARGE(AG690:AG690,1)+1)</f>
        <v/>
      </c>
      <c r="AH691" s="1896"/>
      <c r="AI691" s="1883"/>
      <c r="AJ691" s="1883"/>
      <c r="AK691" s="1883"/>
      <c r="AL691" s="1883"/>
      <c r="AM691" s="440" t="s">
        <v>1439</v>
      </c>
      <c r="AN691" s="477">
        <v>1.7361111111111112E-2</v>
      </c>
      <c r="AO691" s="478">
        <v>3</v>
      </c>
      <c r="AP691" s="1446" t="s">
        <v>348</v>
      </c>
      <c r="AR691" s="14"/>
      <c r="AS691" s="9"/>
      <c r="AT691" s="9"/>
      <c r="AU691" s="9"/>
      <c r="AV691" s="14"/>
      <c r="AW691" s="14"/>
      <c r="AX691" s="14"/>
      <c r="AY691" s="14"/>
      <c r="AZ691" s="14"/>
      <c r="BA691" s="14"/>
      <c r="BB691" s="1394" t="str">
        <f>IF(ISBLANK(BC691),"",LARGE(BB690:BB690,1)+1)</f>
        <v/>
      </c>
      <c r="BC691" s="1896"/>
      <c r="BD691" s="1883"/>
      <c r="BE691" s="1883"/>
      <c r="BF691" s="1883"/>
      <c r="BG691" s="1883"/>
      <c r="BH691" s="440" t="s">
        <v>568</v>
      </c>
      <c r="BI691" s="477">
        <v>1.7361111111111112E-2</v>
      </c>
      <c r="BJ691" s="478">
        <v>3</v>
      </c>
      <c r="BK691" s="1446" t="s">
        <v>348</v>
      </c>
      <c r="BM691" s="3">
        <v>1</v>
      </c>
    </row>
    <row r="692" spans="2:65" ht="21" customHeight="1">
      <c r="B692" s="14"/>
      <c r="C692" s="9"/>
      <c r="D692" s="9"/>
      <c r="E692" s="9"/>
      <c r="F692" s="14"/>
      <c r="G692" s="14"/>
      <c r="H692" s="14"/>
      <c r="I692" s="14"/>
      <c r="J692" s="14"/>
      <c r="K692" s="14"/>
      <c r="L692" s="1394" t="str">
        <f>IF(ISBLANK(M692),"",LARGE(L690:L691,1)+1)</f>
        <v/>
      </c>
      <c r="M692" s="1896"/>
      <c r="N692" s="1883"/>
      <c r="O692" s="1883"/>
      <c r="P692" s="1883"/>
      <c r="Q692" s="1883"/>
      <c r="R692" s="440" t="s">
        <v>569</v>
      </c>
      <c r="S692" s="477">
        <v>5.9027777777777797E-2</v>
      </c>
      <c r="T692" s="478">
        <v>3</v>
      </c>
      <c r="U692" s="1446" t="s">
        <v>348</v>
      </c>
      <c r="W692" s="14"/>
      <c r="X692" s="9"/>
      <c r="Y692" s="9"/>
      <c r="Z692" s="9"/>
      <c r="AA692" s="14"/>
      <c r="AB692" s="14"/>
      <c r="AC692" s="14"/>
      <c r="AD692" s="14"/>
      <c r="AE692" s="14"/>
      <c r="AF692" s="14"/>
      <c r="AG692" s="1394" t="str">
        <f>IF(ISBLANK(AH692),"",LARGE(AG690:AG691,1)+1)</f>
        <v/>
      </c>
      <c r="AH692" s="1896"/>
      <c r="AI692" s="1883"/>
      <c r="AJ692" s="1883"/>
      <c r="AK692" s="1883"/>
      <c r="AL692" s="1883"/>
      <c r="AM692" s="440" t="s">
        <v>1440</v>
      </c>
      <c r="AN692" s="477">
        <v>5.9027777777777797E-2</v>
      </c>
      <c r="AO692" s="478">
        <v>3</v>
      </c>
      <c r="AP692" s="1446" t="s">
        <v>348</v>
      </c>
      <c r="AR692" s="14"/>
      <c r="AS692" s="9"/>
      <c r="AT692" s="9"/>
      <c r="AU692" s="9"/>
      <c r="AV692" s="14"/>
      <c r="AW692" s="14"/>
      <c r="AX692" s="14"/>
      <c r="AY692" s="14"/>
      <c r="AZ692" s="14"/>
      <c r="BA692" s="14"/>
      <c r="BB692" s="1394" t="str">
        <f>IF(ISBLANK(BC692),"",LARGE(BB690:BB691,1)+1)</f>
        <v/>
      </c>
      <c r="BC692" s="1896"/>
      <c r="BD692" s="1883"/>
      <c r="BE692" s="1883"/>
      <c r="BF692" s="1883"/>
      <c r="BG692" s="1883"/>
      <c r="BH692" s="440" t="s">
        <v>569</v>
      </c>
      <c r="BI692" s="477">
        <v>5.9027777777777797E-2</v>
      </c>
      <c r="BJ692" s="478">
        <v>3</v>
      </c>
      <c r="BK692" s="1446" t="s">
        <v>348</v>
      </c>
      <c r="BM692" s="3">
        <v>1</v>
      </c>
    </row>
    <row r="693" spans="2:65" ht="21" customHeight="1">
      <c r="B693" s="14"/>
      <c r="C693" s="9"/>
      <c r="D693" s="9"/>
      <c r="E693" s="9"/>
      <c r="F693" s="14"/>
      <c r="G693" s="14"/>
      <c r="H693" s="14"/>
      <c r="I693" s="14"/>
      <c r="J693" s="14"/>
      <c r="K693" s="14"/>
      <c r="L693" s="1394" t="str">
        <f>IF(ISBLANK(M693),"",LARGE(L690:L692,1)+1)</f>
        <v/>
      </c>
      <c r="M693" s="1896"/>
      <c r="N693" s="1883"/>
      <c r="O693" s="1883"/>
      <c r="P693" s="1883"/>
      <c r="Q693" s="1883"/>
      <c r="R693" s="440" t="s">
        <v>570</v>
      </c>
      <c r="S693" s="477">
        <v>2.4305555555555556E-2</v>
      </c>
      <c r="T693" s="478">
        <v>3</v>
      </c>
      <c r="U693" s="1446" t="s">
        <v>348</v>
      </c>
      <c r="W693" s="14"/>
      <c r="X693" s="9"/>
      <c r="Y693" s="9"/>
      <c r="Z693" s="9"/>
      <c r="AA693" s="14"/>
      <c r="AB693" s="14"/>
      <c r="AC693" s="14"/>
      <c r="AD693" s="14"/>
      <c r="AE693" s="14"/>
      <c r="AF693" s="14"/>
      <c r="AG693" s="1394" t="str">
        <f>IF(ISBLANK(AH693),"",LARGE(AG690:AG692,1)+1)</f>
        <v/>
      </c>
      <c r="AH693" s="1896"/>
      <c r="AI693" s="1883"/>
      <c r="AJ693" s="1883"/>
      <c r="AK693" s="1883"/>
      <c r="AL693" s="1883"/>
      <c r="AM693" s="440" t="s">
        <v>1441</v>
      </c>
      <c r="AN693" s="477">
        <v>2.4305555555555556E-2</v>
      </c>
      <c r="AO693" s="478">
        <v>3</v>
      </c>
      <c r="AP693" s="1446" t="s">
        <v>348</v>
      </c>
      <c r="AR693" s="14"/>
      <c r="AS693" s="9"/>
      <c r="AT693" s="9"/>
      <c r="AU693" s="9"/>
      <c r="AV693" s="14"/>
      <c r="AW693" s="14"/>
      <c r="AX693" s="14"/>
      <c r="AY693" s="14"/>
      <c r="AZ693" s="14"/>
      <c r="BA693" s="14"/>
      <c r="BB693" s="1394" t="str">
        <f>IF(ISBLANK(BC693),"",LARGE(BB690:BB692,1)+1)</f>
        <v/>
      </c>
      <c r="BC693" s="1896"/>
      <c r="BD693" s="1883"/>
      <c r="BE693" s="1883"/>
      <c r="BF693" s="1883"/>
      <c r="BG693" s="1883"/>
      <c r="BH693" s="440" t="s">
        <v>570</v>
      </c>
      <c r="BI693" s="477">
        <v>2.4305555555555556E-2</v>
      </c>
      <c r="BJ693" s="478">
        <v>3</v>
      </c>
      <c r="BK693" s="1446" t="s">
        <v>348</v>
      </c>
      <c r="BM693" s="3">
        <v>1</v>
      </c>
    </row>
    <row r="694" spans="2:65" ht="21" customHeight="1">
      <c r="B694" s="14"/>
      <c r="C694" s="9"/>
      <c r="D694" s="9"/>
      <c r="E694" s="9"/>
      <c r="F694" s="14"/>
      <c r="G694" s="14"/>
      <c r="H694" s="14"/>
      <c r="I694" s="14"/>
      <c r="J694" s="14"/>
      <c r="K694" s="14"/>
      <c r="L694" s="1394" t="str">
        <f>IF(ISBLANK(M694),"",LARGE(L690:L693,1)+1)</f>
        <v/>
      </c>
      <c r="M694" s="1896"/>
      <c r="N694" s="1883"/>
      <c r="O694" s="1883"/>
      <c r="P694" s="1883"/>
      <c r="Q694" s="1883"/>
      <c r="R694" s="440" t="s">
        <v>572</v>
      </c>
      <c r="S694" s="477">
        <v>1.0416666666666666E-2</v>
      </c>
      <c r="T694" s="478">
        <v>170</v>
      </c>
      <c r="U694" s="1446" t="s">
        <v>348</v>
      </c>
      <c r="W694" s="14"/>
      <c r="X694" s="9"/>
      <c r="Y694" s="9"/>
      <c r="Z694" s="9"/>
      <c r="AA694" s="14"/>
      <c r="AB694" s="14"/>
      <c r="AC694" s="14"/>
      <c r="AD694" s="14"/>
      <c r="AE694" s="14"/>
      <c r="AF694" s="14"/>
      <c r="AG694" s="1394" t="str">
        <f>IF(ISBLANK(AH694),"",LARGE(AG690:AG693,1)+1)</f>
        <v/>
      </c>
      <c r="AH694" s="1896"/>
      <c r="AI694" s="1883"/>
      <c r="AJ694" s="1883"/>
      <c r="AK694" s="1883"/>
      <c r="AL694" s="1883"/>
      <c r="AM694" s="440" t="s">
        <v>1442</v>
      </c>
      <c r="AN694" s="477">
        <v>1.0416666666666666E-2</v>
      </c>
      <c r="AO694" s="478">
        <v>170</v>
      </c>
      <c r="AP694" s="1446" t="s">
        <v>348</v>
      </c>
      <c r="AR694" s="14"/>
      <c r="AS694" s="9"/>
      <c r="AT694" s="9"/>
      <c r="AU694" s="9"/>
      <c r="AV694" s="14"/>
      <c r="AW694" s="14"/>
      <c r="AX694" s="14"/>
      <c r="AY694" s="14"/>
      <c r="AZ694" s="14"/>
      <c r="BA694" s="14"/>
      <c r="BB694" s="1394" t="str">
        <f>IF(ISBLANK(BC694),"",LARGE(BB690:BB693,1)+1)</f>
        <v/>
      </c>
      <c r="BC694" s="1896"/>
      <c r="BD694" s="1883"/>
      <c r="BE694" s="1883"/>
      <c r="BF694" s="1883"/>
      <c r="BG694" s="1883"/>
      <c r="BH694" s="440" t="s">
        <v>572</v>
      </c>
      <c r="BI694" s="477">
        <v>1.0416666666666666E-2</v>
      </c>
      <c r="BJ694" s="478">
        <v>170</v>
      </c>
      <c r="BK694" s="1446" t="s">
        <v>348</v>
      </c>
      <c r="BM694" s="3">
        <v>1</v>
      </c>
    </row>
    <row r="695" spans="2:65" ht="21" customHeight="1">
      <c r="B695" s="14"/>
      <c r="C695" s="9"/>
      <c r="D695" s="9"/>
      <c r="E695" s="9"/>
      <c r="F695" s="14"/>
      <c r="G695" s="14"/>
      <c r="H695" s="14"/>
      <c r="I695" s="14"/>
      <c r="J695" s="14"/>
      <c r="K695" s="14"/>
      <c r="L695" s="1394" t="str">
        <f>IF(ISBLANK(M695),"",LARGE(L690:L694,1)+1)</f>
        <v/>
      </c>
      <c r="M695" s="1896"/>
      <c r="N695" s="1883"/>
      <c r="O695" s="1883"/>
      <c r="P695" s="1883"/>
      <c r="Q695" s="1883"/>
      <c r="R695" s="440" t="s">
        <v>536</v>
      </c>
      <c r="S695" s="477">
        <v>6.9444444444444441E-3</v>
      </c>
      <c r="T695" s="478">
        <v>150</v>
      </c>
      <c r="U695" s="1446" t="s">
        <v>348</v>
      </c>
      <c r="W695" s="14"/>
      <c r="X695" s="9"/>
      <c r="Y695" s="9"/>
      <c r="Z695" s="9"/>
      <c r="AA695" s="14"/>
      <c r="AB695" s="14"/>
      <c r="AC695" s="14"/>
      <c r="AD695" s="14"/>
      <c r="AE695" s="14"/>
      <c r="AF695" s="14"/>
      <c r="AG695" s="1394" t="str">
        <f>IF(ISBLANK(AH695),"",LARGE(AG690:AG694,1)+1)</f>
        <v/>
      </c>
      <c r="AH695" s="1896"/>
      <c r="AI695" s="1883"/>
      <c r="AJ695" s="1883"/>
      <c r="AK695" s="1883"/>
      <c r="AL695" s="1883"/>
      <c r="AM695" s="440" t="s">
        <v>1431</v>
      </c>
      <c r="AN695" s="477">
        <v>6.9444444444444441E-3</v>
      </c>
      <c r="AO695" s="478">
        <v>150</v>
      </c>
      <c r="AP695" s="1446" t="s">
        <v>348</v>
      </c>
      <c r="AR695" s="14"/>
      <c r="AS695" s="9"/>
      <c r="AT695" s="9"/>
      <c r="AU695" s="9"/>
      <c r="AV695" s="14"/>
      <c r="AW695" s="14"/>
      <c r="AX695" s="14"/>
      <c r="AY695" s="14"/>
      <c r="AZ695" s="14"/>
      <c r="BA695" s="14"/>
      <c r="BB695" s="1394" t="str">
        <f>IF(ISBLANK(BC695),"",LARGE(BB690:BB694,1)+1)</f>
        <v/>
      </c>
      <c r="BC695" s="1896"/>
      <c r="BD695" s="1883"/>
      <c r="BE695" s="1883"/>
      <c r="BF695" s="1883"/>
      <c r="BG695" s="1883"/>
      <c r="BH695" s="440" t="s">
        <v>536</v>
      </c>
      <c r="BI695" s="477">
        <v>6.9444444444444441E-3</v>
      </c>
      <c r="BJ695" s="478">
        <v>150</v>
      </c>
      <c r="BK695" s="1446" t="s">
        <v>348</v>
      </c>
      <c r="BM695" s="3">
        <v>1</v>
      </c>
    </row>
    <row r="696" spans="2:65" ht="21" customHeight="1">
      <c r="B696" s="14"/>
      <c r="C696" s="9"/>
      <c r="D696" s="9"/>
      <c r="E696" s="9"/>
      <c r="F696" s="14"/>
      <c r="G696" s="14"/>
      <c r="H696" s="14"/>
      <c r="I696" s="14"/>
      <c r="J696" s="14"/>
      <c r="K696" s="14"/>
      <c r="L696" s="1394" t="str">
        <f>IF(ISBLANK(M696),"",LARGE(L690:L695,1)+1)</f>
        <v/>
      </c>
      <c r="M696" s="1896"/>
      <c r="N696" s="1883"/>
      <c r="O696" s="1883"/>
      <c r="P696" s="1883"/>
      <c r="Q696" s="1883"/>
      <c r="R696" s="440" t="s">
        <v>579</v>
      </c>
      <c r="S696" s="477">
        <v>0.10069444444444445</v>
      </c>
      <c r="T696" s="478">
        <v>120</v>
      </c>
      <c r="U696" s="1446" t="s">
        <v>348</v>
      </c>
      <c r="W696" s="14"/>
      <c r="X696" s="9"/>
      <c r="Y696" s="9"/>
      <c r="Z696" s="9"/>
      <c r="AA696" s="14"/>
      <c r="AB696" s="14"/>
      <c r="AC696" s="14"/>
      <c r="AD696" s="14"/>
      <c r="AE696" s="14"/>
      <c r="AF696" s="14"/>
      <c r="AG696" s="1394" t="str">
        <f>IF(ISBLANK(AH696),"",LARGE(AG690:AG695,1)+1)</f>
        <v/>
      </c>
      <c r="AH696" s="1896"/>
      <c r="AI696" s="1883"/>
      <c r="AJ696" s="1883"/>
      <c r="AK696" s="1883"/>
      <c r="AL696" s="1883"/>
      <c r="AM696" s="440" t="s">
        <v>1443</v>
      </c>
      <c r="AN696" s="477">
        <v>0.10069444444444445</v>
      </c>
      <c r="AO696" s="478">
        <v>120</v>
      </c>
      <c r="AP696" s="1446" t="s">
        <v>348</v>
      </c>
      <c r="AR696" s="14"/>
      <c r="AS696" s="9"/>
      <c r="AT696" s="9"/>
      <c r="AU696" s="9"/>
      <c r="AV696" s="14"/>
      <c r="AW696" s="14"/>
      <c r="AX696" s="14"/>
      <c r="AY696" s="14"/>
      <c r="AZ696" s="14"/>
      <c r="BA696" s="14"/>
      <c r="BB696" s="1394" t="str">
        <f>IF(ISBLANK(BC696),"",LARGE(BB690:BB695,1)+1)</f>
        <v/>
      </c>
      <c r="BC696" s="1896"/>
      <c r="BD696" s="1883"/>
      <c r="BE696" s="1883"/>
      <c r="BF696" s="1883"/>
      <c r="BG696" s="1883"/>
      <c r="BH696" s="440" t="s">
        <v>579</v>
      </c>
      <c r="BI696" s="477">
        <v>0.10069444444444445</v>
      </c>
      <c r="BJ696" s="478">
        <v>120</v>
      </c>
      <c r="BK696" s="1446" t="s">
        <v>348</v>
      </c>
      <c r="BM696" s="3">
        <v>1</v>
      </c>
    </row>
    <row r="697" spans="2:65" ht="21" customHeight="1">
      <c r="B697" s="14"/>
      <c r="C697" s="9"/>
      <c r="D697" s="9"/>
      <c r="E697" s="9"/>
      <c r="F697" s="14"/>
      <c r="G697" s="14"/>
      <c r="H697" s="14"/>
      <c r="I697" s="14"/>
      <c r="J697" s="14"/>
      <c r="K697" s="14"/>
      <c r="L697" s="1394" t="str">
        <f>IF(ISBLANK(M697),"",LARGE(L690:L696,1)+1)</f>
        <v/>
      </c>
      <c r="M697" s="1896"/>
      <c r="N697" s="1883"/>
      <c r="O697" s="1883"/>
      <c r="P697" s="1883"/>
      <c r="Q697" s="1883"/>
      <c r="R697" s="440" t="s">
        <v>583</v>
      </c>
      <c r="S697" s="477">
        <v>1.3888888888888888E-2</v>
      </c>
      <c r="T697" s="478">
        <v>120</v>
      </c>
      <c r="U697" s="1446" t="s">
        <v>348</v>
      </c>
      <c r="W697" s="14"/>
      <c r="X697" s="9"/>
      <c r="Y697" s="9"/>
      <c r="Z697" s="9"/>
      <c r="AA697" s="14"/>
      <c r="AB697" s="14"/>
      <c r="AC697" s="14"/>
      <c r="AD697" s="14"/>
      <c r="AE697" s="14"/>
      <c r="AF697" s="14"/>
      <c r="AG697" s="1394" t="str">
        <f>IF(ISBLANK(AH697),"",LARGE(AG690:AG696,1)+1)</f>
        <v/>
      </c>
      <c r="AH697" s="1896"/>
      <c r="AI697" s="1883"/>
      <c r="AJ697" s="1883"/>
      <c r="AK697" s="1883"/>
      <c r="AL697" s="1883"/>
      <c r="AM697" s="440" t="s">
        <v>1444</v>
      </c>
      <c r="AN697" s="477">
        <v>1.3888888888888888E-2</v>
      </c>
      <c r="AO697" s="478">
        <v>120</v>
      </c>
      <c r="AP697" s="1446" t="s">
        <v>348</v>
      </c>
      <c r="AR697" s="14"/>
      <c r="AS697" s="9"/>
      <c r="AT697" s="9"/>
      <c r="AU697" s="9"/>
      <c r="AV697" s="14"/>
      <c r="AW697" s="14"/>
      <c r="AX697" s="14"/>
      <c r="AY697" s="14"/>
      <c r="AZ697" s="14"/>
      <c r="BA697" s="14"/>
      <c r="BB697" s="1394" t="str">
        <f>IF(ISBLANK(BC697),"",LARGE(BB690:BB696,1)+1)</f>
        <v/>
      </c>
      <c r="BC697" s="1896"/>
      <c r="BD697" s="1883"/>
      <c r="BE697" s="1883"/>
      <c r="BF697" s="1883"/>
      <c r="BG697" s="1883"/>
      <c r="BH697" s="440" t="s">
        <v>583</v>
      </c>
      <c r="BI697" s="477">
        <v>1.3888888888888888E-2</v>
      </c>
      <c r="BJ697" s="478">
        <v>120</v>
      </c>
      <c r="BK697" s="1446" t="s">
        <v>348</v>
      </c>
      <c r="BM697" s="3">
        <v>1</v>
      </c>
    </row>
    <row r="698" spans="2:65" ht="21" customHeight="1">
      <c r="B698" s="14"/>
      <c r="C698" s="9"/>
      <c r="D698" s="9"/>
      <c r="E698" s="9"/>
      <c r="F698" s="14"/>
      <c r="G698" s="14"/>
      <c r="H698" s="14"/>
      <c r="I698" s="14"/>
      <c r="J698" s="14"/>
      <c r="K698" s="14"/>
      <c r="L698" s="1394" t="str">
        <f>IF(ISBLANK(M698),"",LARGE(L690:L697,1)+1)</f>
        <v/>
      </c>
      <c r="M698" s="1896"/>
      <c r="N698" s="1883"/>
      <c r="O698" s="1883"/>
      <c r="P698" s="1883"/>
      <c r="Q698" s="1883"/>
      <c r="R698" s="440" t="s">
        <v>584</v>
      </c>
      <c r="S698" s="477">
        <v>2.4305555555555556E-2</v>
      </c>
      <c r="T698" s="478"/>
      <c r="U698" s="1446" t="s">
        <v>348</v>
      </c>
      <c r="W698" s="14"/>
      <c r="X698" s="9"/>
      <c r="Y698" s="9"/>
      <c r="Z698" s="9"/>
      <c r="AA698" s="14"/>
      <c r="AB698" s="14"/>
      <c r="AC698" s="14"/>
      <c r="AD698" s="14"/>
      <c r="AE698" s="14"/>
      <c r="AF698" s="14"/>
      <c r="AG698" s="1394" t="str">
        <f>IF(ISBLANK(AH698),"",LARGE(AG690:AG697,1)+1)</f>
        <v/>
      </c>
      <c r="AH698" s="1896"/>
      <c r="AI698" s="1883"/>
      <c r="AJ698" s="1883"/>
      <c r="AK698" s="1883"/>
      <c r="AL698" s="1883"/>
      <c r="AM698" s="440" t="s">
        <v>1445</v>
      </c>
      <c r="AN698" s="477">
        <v>2.4305555555555556E-2</v>
      </c>
      <c r="AO698" s="478"/>
      <c r="AP698" s="1446" t="s">
        <v>348</v>
      </c>
      <c r="AR698" s="14"/>
      <c r="AS698" s="9"/>
      <c r="AT698" s="9"/>
      <c r="AU698" s="9"/>
      <c r="AV698" s="14"/>
      <c r="AW698" s="14"/>
      <c r="AX698" s="14"/>
      <c r="AY698" s="14"/>
      <c r="AZ698" s="14"/>
      <c r="BA698" s="14"/>
      <c r="BB698" s="1394" t="str">
        <f>IF(ISBLANK(BC698),"",LARGE(BB690:BB697,1)+1)</f>
        <v/>
      </c>
      <c r="BC698" s="1896"/>
      <c r="BD698" s="1883"/>
      <c r="BE698" s="1883"/>
      <c r="BF698" s="1883"/>
      <c r="BG698" s="1883"/>
      <c r="BH698" s="440" t="s">
        <v>584</v>
      </c>
      <c r="BI698" s="477">
        <v>2.4305555555555556E-2</v>
      </c>
      <c r="BJ698" s="478"/>
      <c r="BK698" s="1446" t="s">
        <v>348</v>
      </c>
      <c r="BM698" s="3">
        <v>1</v>
      </c>
    </row>
    <row r="699" spans="2:65" ht="21" customHeight="1">
      <c r="B699" s="14"/>
      <c r="C699" s="9"/>
      <c r="D699" s="9"/>
      <c r="E699" s="9"/>
      <c r="F699" s="14"/>
      <c r="G699" s="14"/>
      <c r="H699" s="14"/>
      <c r="I699" s="14"/>
      <c r="J699" s="14"/>
      <c r="K699" s="14"/>
      <c r="L699" s="1394" t="str">
        <f>IF(ISBLANK(M699),"",LARGE(L690:L698,1)+1)</f>
        <v/>
      </c>
      <c r="M699" s="1896"/>
      <c r="N699" s="1883"/>
      <c r="O699" s="1883"/>
      <c r="P699" s="1883"/>
      <c r="Q699" s="1883"/>
      <c r="R699" s="440" t="s">
        <v>586</v>
      </c>
      <c r="S699" s="477">
        <v>7.2916666666666671E-2</v>
      </c>
      <c r="T699" s="489" t="s">
        <v>585</v>
      </c>
      <c r="U699" s="1446" t="s">
        <v>348</v>
      </c>
      <c r="W699" s="14"/>
      <c r="X699" s="9"/>
      <c r="Y699" s="9"/>
      <c r="Z699" s="9"/>
      <c r="AA699" s="14"/>
      <c r="AB699" s="14"/>
      <c r="AC699" s="14"/>
      <c r="AD699" s="14"/>
      <c r="AE699" s="14"/>
      <c r="AF699" s="14"/>
      <c r="AG699" s="1394" t="str">
        <f>IF(ISBLANK(AH699),"",LARGE(AG690:AG698,1)+1)</f>
        <v/>
      </c>
      <c r="AH699" s="1896"/>
      <c r="AI699" s="1883"/>
      <c r="AJ699" s="1883"/>
      <c r="AK699" s="1883"/>
      <c r="AL699" s="9"/>
      <c r="AM699" s="440" t="s">
        <v>1447</v>
      </c>
      <c r="AN699" s="1581" t="s">
        <v>1446</v>
      </c>
      <c r="AO699" s="489" t="s">
        <v>585</v>
      </c>
      <c r="AP699" s="1446" t="s">
        <v>348</v>
      </c>
      <c r="AR699" s="14"/>
      <c r="AS699" s="9"/>
      <c r="AT699" s="9"/>
      <c r="AU699" s="9"/>
      <c r="AV699" s="14"/>
      <c r="AW699" s="14"/>
      <c r="AX699" s="14"/>
      <c r="AY699" s="14"/>
      <c r="AZ699" s="14"/>
      <c r="BA699" s="14"/>
      <c r="BB699" s="1394" t="str">
        <f>IF(ISBLANK(BC699),"",LARGE(BB690:BB698,1)+1)</f>
        <v/>
      </c>
      <c r="BC699" s="1896"/>
      <c r="BD699" s="1883"/>
      <c r="BE699" s="1883"/>
      <c r="BF699" s="1883"/>
      <c r="BG699" s="1883"/>
      <c r="BH699" s="440" t="s">
        <v>586</v>
      </c>
      <c r="BI699" s="477">
        <v>7.2916666666666671E-2</v>
      </c>
      <c r="BJ699" s="489" t="s">
        <v>585</v>
      </c>
      <c r="BK699" s="1446" t="s">
        <v>348</v>
      </c>
      <c r="BM699" s="3">
        <v>1</v>
      </c>
    </row>
    <row r="700" spans="2:65" ht="21" customHeight="1">
      <c r="B700" s="14"/>
      <c r="C700" s="9"/>
      <c r="D700" s="9"/>
      <c r="E700" s="9"/>
      <c r="F700" s="14"/>
      <c r="G700" s="14"/>
      <c r="H700" s="14"/>
      <c r="I700" s="14"/>
      <c r="J700" s="14"/>
      <c r="K700" s="14"/>
      <c r="L700" s="1394" t="str">
        <f>IF(ISBLANK(M700),"",LARGE(L690:L699,1)+1)</f>
        <v/>
      </c>
      <c r="M700" s="1896"/>
      <c r="N700" s="1883"/>
      <c r="O700" s="1883"/>
      <c r="P700" s="1883"/>
      <c r="Q700" s="1883"/>
      <c r="R700" s="440"/>
      <c r="S700" s="1351" t="s">
        <v>587</v>
      </c>
      <c r="T700" s="381">
        <v>65</v>
      </c>
      <c r="U700" s="1446" t="s">
        <v>348</v>
      </c>
      <c r="W700" s="14"/>
      <c r="X700" s="9"/>
      <c r="Y700" s="9"/>
      <c r="Z700" s="9"/>
      <c r="AA700" s="14"/>
      <c r="AB700" s="14"/>
      <c r="AC700" s="14"/>
      <c r="AD700" s="14"/>
      <c r="AE700" s="14"/>
      <c r="AF700" s="14"/>
      <c r="AG700" s="1394" t="str">
        <f>IF(ISBLANK(AH700),"",LARGE(AG690:AG699,1)+1)</f>
        <v/>
      </c>
      <c r="AH700" s="1896"/>
      <c r="AI700" s="1883"/>
      <c r="AJ700" s="1883"/>
      <c r="AK700" s="1883"/>
      <c r="AL700" s="490"/>
      <c r="AM700" s="440"/>
      <c r="AN700" s="1351" t="s">
        <v>1448</v>
      </c>
      <c r="AO700" s="381">
        <v>65</v>
      </c>
      <c r="AP700" s="1446" t="s">
        <v>348</v>
      </c>
      <c r="AR700" s="14"/>
      <c r="AS700" s="9"/>
      <c r="AT700" s="9"/>
      <c r="AU700" s="9"/>
      <c r="AV700" s="14"/>
      <c r="AW700" s="14"/>
      <c r="AX700" s="14"/>
      <c r="AY700" s="14"/>
      <c r="AZ700" s="14"/>
      <c r="BA700" s="14"/>
      <c r="BB700" s="1394" t="str">
        <f>IF(ISBLANK(BC700),"",LARGE(BB690:BB699,1)+1)</f>
        <v/>
      </c>
      <c r="BC700" s="1896"/>
      <c r="BD700" s="1883"/>
      <c r="BE700" s="1883"/>
      <c r="BF700" s="1883"/>
      <c r="BG700" s="1883"/>
      <c r="BH700" s="440"/>
      <c r="BI700" s="1351" t="s">
        <v>587</v>
      </c>
      <c r="BJ700" s="381">
        <v>65</v>
      </c>
      <c r="BK700" s="1446" t="s">
        <v>348</v>
      </c>
      <c r="BM700" s="3">
        <v>1</v>
      </c>
    </row>
    <row r="701" spans="2:65" ht="21" customHeight="1">
      <c r="B701" s="14"/>
      <c r="C701" s="9"/>
      <c r="D701" s="9"/>
      <c r="E701" s="9"/>
      <c r="F701" s="14"/>
      <c r="G701" s="14"/>
      <c r="H701" s="14"/>
      <c r="I701" s="14"/>
      <c r="J701" s="14"/>
      <c r="K701" s="14"/>
      <c r="L701" s="1394" t="str">
        <f>IF(ISBLANK(M701),"",LARGE(L690:L700,1)+1)</f>
        <v/>
      </c>
      <c r="M701" s="1896"/>
      <c r="N701" s="1883"/>
      <c r="O701" s="1883"/>
      <c r="P701" s="1883"/>
      <c r="Q701" s="1883"/>
      <c r="R701" s="440"/>
      <c r="S701" s="1447" t="s">
        <v>591</v>
      </c>
      <c r="T701" s="399">
        <v>3</v>
      </c>
      <c r="U701" s="1446" t="s">
        <v>348</v>
      </c>
      <c r="W701" s="14"/>
      <c r="X701" s="9"/>
      <c r="Y701" s="9"/>
      <c r="Z701" s="9"/>
      <c r="AA701" s="14"/>
      <c r="AB701" s="14"/>
      <c r="AC701" s="14"/>
      <c r="AD701" s="14"/>
      <c r="AE701" s="14"/>
      <c r="AF701" s="14"/>
      <c r="AG701" s="1394" t="str">
        <f>IF(ISBLANK(AH701),"",LARGE(AG690:AG700,1)+1)</f>
        <v/>
      </c>
      <c r="AH701" s="1896"/>
      <c r="AI701" s="1883"/>
      <c r="AJ701" s="1883"/>
      <c r="AK701" s="1883"/>
      <c r="AL701" s="491"/>
      <c r="AM701" s="440"/>
      <c r="AN701" s="1447" t="s">
        <v>1449</v>
      </c>
      <c r="AO701" s="399">
        <v>3</v>
      </c>
      <c r="AP701" s="1446" t="s">
        <v>348</v>
      </c>
      <c r="AR701" s="14"/>
      <c r="AS701" s="9"/>
      <c r="AT701" s="9"/>
      <c r="AU701" s="9"/>
      <c r="AV701" s="14"/>
      <c r="AW701" s="14"/>
      <c r="AX701" s="14"/>
      <c r="AY701" s="14"/>
      <c r="AZ701" s="14"/>
      <c r="BA701" s="14"/>
      <c r="BB701" s="1394" t="str">
        <f>IF(ISBLANK(BC701),"",LARGE(BB690:BB700,1)+1)</f>
        <v/>
      </c>
      <c r="BC701" s="1896"/>
      <c r="BD701" s="1883"/>
      <c r="BE701" s="1883"/>
      <c r="BF701" s="1883"/>
      <c r="BG701" s="1883"/>
      <c r="BH701" s="440"/>
      <c r="BI701" s="1447" t="s">
        <v>591</v>
      </c>
      <c r="BJ701" s="399">
        <v>3</v>
      </c>
      <c r="BK701" s="1446" t="s">
        <v>348</v>
      </c>
      <c r="BM701" s="3">
        <v>1</v>
      </c>
    </row>
    <row r="702" spans="2:65" ht="21" customHeight="1">
      <c r="B702" s="14"/>
      <c r="C702" s="9"/>
      <c r="D702" s="9"/>
      <c r="E702" s="9"/>
      <c r="F702" s="14"/>
      <c r="G702" s="14"/>
      <c r="H702" s="14"/>
      <c r="I702" s="14"/>
      <c r="J702" s="14"/>
      <c r="K702" s="14"/>
      <c r="L702" s="1394" t="str">
        <f>IF(ISBLANK(M702),"",LARGE(L690:L701,1)+1)</f>
        <v/>
      </c>
      <c r="M702" s="1896"/>
      <c r="N702" s="1883"/>
      <c r="O702" s="1883"/>
      <c r="P702" s="1883"/>
      <c r="Q702" s="1883"/>
      <c r="R702" s="1448" t="s">
        <v>182</v>
      </c>
      <c r="S702" s="1449">
        <f>SUM(S690:S699)</f>
        <v>0.34722222222222227</v>
      </c>
      <c r="T702" s="417"/>
      <c r="U702" s="1406" t="s">
        <v>8159</v>
      </c>
      <c r="W702" s="14"/>
      <c r="X702" s="9"/>
      <c r="Y702" s="9"/>
      <c r="Z702" s="9"/>
      <c r="AA702" s="14"/>
      <c r="AB702" s="14"/>
      <c r="AC702" s="14"/>
      <c r="AD702" s="14"/>
      <c r="AE702" s="14"/>
      <c r="AF702" s="14"/>
      <c r="AG702" s="1394" t="str">
        <f>IF(ISBLANK(AH702),"",LARGE(AG690:AG701,1)+1)</f>
        <v/>
      </c>
      <c r="AH702" s="1896"/>
      <c r="AI702" s="1883"/>
      <c r="AJ702" s="1883"/>
      <c r="AK702" s="1883"/>
      <c r="AL702" s="1883"/>
      <c r="AM702" s="1448" t="s">
        <v>182</v>
      </c>
      <c r="AN702" s="1449">
        <f>SUM(AN690:AN698)</f>
        <v>0.27430555555555558</v>
      </c>
      <c r="AO702" s="417"/>
      <c r="AP702" s="1406" t="s">
        <v>8159</v>
      </c>
      <c r="AR702" s="14"/>
      <c r="AS702" s="9"/>
      <c r="AT702" s="9"/>
      <c r="AU702" s="9"/>
      <c r="AV702" s="14"/>
      <c r="AW702" s="14"/>
      <c r="AX702" s="14"/>
      <c r="AY702" s="14"/>
      <c r="AZ702" s="14"/>
      <c r="BA702" s="14"/>
      <c r="BB702" s="1394" t="str">
        <f>IF(ISBLANK(BC702),"",LARGE(BB690:BB701,1)+1)</f>
        <v/>
      </c>
      <c r="BC702" s="1896"/>
      <c r="BD702" s="1883"/>
      <c r="BE702" s="1883"/>
      <c r="BF702" s="1883"/>
      <c r="BG702" s="1883"/>
      <c r="BH702" s="1448" t="s">
        <v>182</v>
      </c>
      <c r="BI702" s="1449">
        <f>SUM(BI690:BI699)</f>
        <v>0.34722222222222227</v>
      </c>
      <c r="BJ702" s="417"/>
      <c r="BK702" s="1406" t="s">
        <v>8159</v>
      </c>
      <c r="BM702" s="3">
        <v>1</v>
      </c>
    </row>
    <row r="703" spans="2:65" ht="21" customHeight="1">
      <c r="B703" s="14"/>
      <c r="C703" s="9"/>
      <c r="D703" s="9"/>
      <c r="E703" s="9"/>
      <c r="F703" s="14"/>
      <c r="G703" s="14"/>
      <c r="H703" s="14"/>
      <c r="I703" s="14"/>
      <c r="J703" s="14"/>
      <c r="K703" s="14"/>
      <c r="L703" s="1394" t="str">
        <f>IF(ISBLANK(M703),"",LARGE(L690:L702,1)+1)</f>
        <v/>
      </c>
      <c r="M703" s="1896"/>
      <c r="N703" s="1883"/>
      <c r="O703" s="1883"/>
      <c r="P703" s="1883"/>
      <c r="Q703" s="1883"/>
      <c r="R703" s="1883"/>
      <c r="S703" s="1883"/>
      <c r="T703" s="1883"/>
      <c r="U703" s="1897"/>
      <c r="W703" s="14"/>
      <c r="X703" s="9"/>
      <c r="Y703" s="9"/>
      <c r="Z703" s="9"/>
      <c r="AA703" s="14"/>
      <c r="AB703" s="14"/>
      <c r="AC703" s="14"/>
      <c r="AD703" s="14"/>
      <c r="AE703" s="14"/>
      <c r="AF703" s="14"/>
      <c r="AG703" s="1394" t="str">
        <f>IF(ISBLANK(AH703),"",LARGE(AG690:AG702,1)+1)</f>
        <v/>
      </c>
      <c r="AH703" s="1896"/>
      <c r="AI703" s="1883"/>
      <c r="AJ703" s="1883"/>
      <c r="AK703" s="1883"/>
      <c r="AL703" s="1883"/>
      <c r="AM703" s="1883"/>
      <c r="AN703" s="1883"/>
      <c r="AO703" s="1883"/>
      <c r="AP703" s="1897"/>
      <c r="AR703" s="14"/>
      <c r="AS703" s="9"/>
      <c r="AT703" s="9"/>
      <c r="AU703" s="9"/>
      <c r="AV703" s="14"/>
      <c r="AW703" s="14"/>
      <c r="AX703" s="14"/>
      <c r="AY703" s="14"/>
      <c r="AZ703" s="14"/>
      <c r="BA703" s="14"/>
      <c r="BB703" s="1394" t="str">
        <f>IF(ISBLANK(BC703),"",LARGE(BB690:BB702,1)+1)</f>
        <v/>
      </c>
      <c r="BC703" s="1896"/>
      <c r="BD703" s="1883"/>
      <c r="BE703" s="1883"/>
      <c r="BF703" s="1883"/>
      <c r="BG703" s="1883"/>
      <c r="BH703" s="1883"/>
      <c r="BI703" s="1883"/>
      <c r="BJ703" s="1883"/>
      <c r="BK703" s="1897"/>
      <c r="BM703" s="3">
        <v>1</v>
      </c>
    </row>
    <row r="704" spans="2:65" ht="21" customHeight="1">
      <c r="B704" s="14"/>
      <c r="C704" s="9"/>
      <c r="D704" s="9"/>
      <c r="E704" s="9"/>
      <c r="F704" s="14"/>
      <c r="G704" s="14"/>
      <c r="H704" s="14"/>
      <c r="I704" s="14"/>
      <c r="J704" s="14"/>
      <c r="K704" s="14"/>
      <c r="L704" s="1394" t="str">
        <f>IF(ISBLANK(M704),"",LARGE(L690:L703,1)+1)</f>
        <v/>
      </c>
      <c r="M704" s="1896"/>
      <c r="N704" s="1883"/>
      <c r="O704" s="1883"/>
      <c r="P704" s="1883"/>
      <c r="Q704" s="1883"/>
      <c r="R704" s="1883"/>
      <c r="S704" s="1883"/>
      <c r="T704" s="1883"/>
      <c r="U704" s="1898"/>
      <c r="W704" s="14"/>
      <c r="X704" s="9"/>
      <c r="Y704" s="9"/>
      <c r="Z704" s="9"/>
      <c r="AA704" s="14"/>
      <c r="AB704" s="14"/>
      <c r="AC704" s="14"/>
      <c r="AD704" s="14"/>
      <c r="AE704" s="14"/>
      <c r="AF704" s="14"/>
      <c r="AG704" s="1394" t="str">
        <f>IF(ISBLANK(AH704),"",LARGE(AG690:AG703,1)+1)</f>
        <v/>
      </c>
      <c r="AH704" s="1896"/>
      <c r="AI704" s="1883"/>
      <c r="AJ704" s="1883"/>
      <c r="AK704" s="1883"/>
      <c r="AL704" s="1883"/>
      <c r="AM704" s="1883"/>
      <c r="AN704" s="1883"/>
      <c r="AO704" s="1883"/>
      <c r="AP704" s="1898"/>
      <c r="AR704" s="14"/>
      <c r="AS704" s="9"/>
      <c r="AT704" s="9"/>
      <c r="AU704" s="9"/>
      <c r="AV704" s="14"/>
      <c r="AW704" s="14"/>
      <c r="AX704" s="14"/>
      <c r="AY704" s="14"/>
      <c r="AZ704" s="14"/>
      <c r="BA704" s="14"/>
      <c r="BB704" s="1394" t="str">
        <f>IF(ISBLANK(BC704),"",LARGE(BB690:BB703,1)+1)</f>
        <v/>
      </c>
      <c r="BC704" s="1896"/>
      <c r="BD704" s="1883"/>
      <c r="BE704" s="1883"/>
      <c r="BF704" s="1883"/>
      <c r="BG704" s="1883"/>
      <c r="BH704" s="1883"/>
      <c r="BI704" s="1883"/>
      <c r="BJ704" s="1883"/>
      <c r="BK704" s="1898"/>
      <c r="BM704" s="3">
        <v>1</v>
      </c>
    </row>
    <row r="705" spans="2:65" ht="21" customHeight="1">
      <c r="B705" s="9"/>
      <c r="C705" s="9"/>
      <c r="D705" s="9"/>
      <c r="E705" s="9"/>
      <c r="F705" s="9"/>
      <c r="G705" s="9"/>
      <c r="H705" s="14"/>
      <c r="I705" s="14"/>
      <c r="J705" s="14"/>
      <c r="K705" s="14"/>
      <c r="L705" s="1394" t="str">
        <f>IF(ISBLANK(M705),"",LARGE(L690:L704,1)+1)</f>
        <v/>
      </c>
      <c r="M705" s="1896"/>
      <c r="N705" s="1883"/>
      <c r="O705" s="1883"/>
      <c r="P705" s="1883"/>
      <c r="Q705" s="1883"/>
      <c r="R705" s="1883"/>
      <c r="S705" s="1883"/>
      <c r="T705" s="1883"/>
      <c r="U705" s="1898"/>
      <c r="W705" s="9"/>
      <c r="X705" s="9"/>
      <c r="Y705" s="9"/>
      <c r="Z705" s="9"/>
      <c r="AA705" s="9"/>
      <c r="AB705" s="9"/>
      <c r="AC705" s="14"/>
      <c r="AD705" s="14"/>
      <c r="AE705" s="14"/>
      <c r="AF705" s="14"/>
      <c r="AG705" s="1394" t="str">
        <f>IF(ISBLANK(AH705),"",LARGE(AG690:AG704,1)+1)</f>
        <v/>
      </c>
      <c r="AH705" s="1896"/>
      <c r="AI705" s="1883"/>
      <c r="AJ705" s="1883"/>
      <c r="AK705" s="1883"/>
      <c r="AL705" s="1883"/>
      <c r="AM705" s="1883"/>
      <c r="AN705" s="1883"/>
      <c r="AO705" s="1883"/>
      <c r="AP705" s="1898"/>
      <c r="AR705" s="9"/>
      <c r="AS705" s="9"/>
      <c r="AT705" s="9"/>
      <c r="AU705" s="9"/>
      <c r="AV705" s="9"/>
      <c r="AW705" s="9"/>
      <c r="AX705" s="14"/>
      <c r="AY705" s="14"/>
      <c r="AZ705" s="14"/>
      <c r="BA705" s="14"/>
      <c r="BB705" s="1394" t="str">
        <f>IF(ISBLANK(BC705),"",LARGE(BB690:BB704,1)+1)</f>
        <v/>
      </c>
      <c r="BC705" s="1896"/>
      <c r="BD705" s="1883"/>
      <c r="BE705" s="1883"/>
      <c r="BF705" s="1883"/>
      <c r="BG705" s="1883"/>
      <c r="BH705" s="1883"/>
      <c r="BI705" s="1883"/>
      <c r="BJ705" s="1883"/>
      <c r="BK705" s="1898"/>
      <c r="BM705" s="3">
        <v>1</v>
      </c>
    </row>
    <row r="706" spans="2:65" ht="21" customHeight="1">
      <c r="B706" s="9"/>
      <c r="C706" s="9"/>
      <c r="D706" s="9"/>
      <c r="E706" s="9"/>
      <c r="F706" s="9"/>
      <c r="G706" s="9"/>
      <c r="H706" s="14"/>
      <c r="I706" s="14"/>
      <c r="J706" s="14"/>
      <c r="K706" s="14"/>
      <c r="L706" s="1394" t="str">
        <f>IF(ISBLANK(M706),"",LARGE(L690:L705,1)+1)</f>
        <v/>
      </c>
      <c r="M706" s="1896"/>
      <c r="N706" s="1883"/>
      <c r="O706" s="1883"/>
      <c r="P706" s="1883"/>
      <c r="Q706" s="1883"/>
      <c r="R706" s="1883"/>
      <c r="S706" s="1883"/>
      <c r="T706" s="1883"/>
      <c r="U706" s="1898"/>
      <c r="W706" s="9"/>
      <c r="X706" s="9"/>
      <c r="Y706" s="9"/>
      <c r="Z706" s="9"/>
      <c r="AA706" s="9"/>
      <c r="AB706" s="9"/>
      <c r="AC706" s="14"/>
      <c r="AD706" s="14"/>
      <c r="AE706" s="14"/>
      <c r="AF706" s="14"/>
      <c r="AG706" s="1394" t="str">
        <f>IF(ISBLANK(AH706),"",LARGE(AG690:AG705,1)+1)</f>
        <v/>
      </c>
      <c r="AH706" s="1896"/>
      <c r="AI706" s="1883"/>
      <c r="AJ706" s="1883"/>
      <c r="AK706" s="1883"/>
      <c r="AL706" s="1883"/>
      <c r="AM706" s="1883"/>
      <c r="AN706" s="1883"/>
      <c r="AO706" s="1883"/>
      <c r="AP706" s="1898"/>
      <c r="AR706" s="9"/>
      <c r="AS706" s="9"/>
      <c r="AT706" s="9"/>
      <c r="AU706" s="9"/>
      <c r="AV706" s="9"/>
      <c r="AW706" s="9"/>
      <c r="AX706" s="14"/>
      <c r="AY706" s="14"/>
      <c r="AZ706" s="14"/>
      <c r="BA706" s="14"/>
      <c r="BB706" s="1394" t="str">
        <f>IF(ISBLANK(BC706),"",LARGE(BB690:BB705,1)+1)</f>
        <v/>
      </c>
      <c r="BC706" s="1896"/>
      <c r="BD706" s="1883"/>
      <c r="BE706" s="1883"/>
      <c r="BF706" s="1883"/>
      <c r="BG706" s="1883"/>
      <c r="BH706" s="1883"/>
      <c r="BI706" s="1883"/>
      <c r="BJ706" s="1883"/>
      <c r="BK706" s="1898"/>
      <c r="BM706" s="3">
        <v>1</v>
      </c>
    </row>
    <row r="707" spans="2:65" ht="21" customHeight="1">
      <c r="B707" s="9"/>
      <c r="C707" s="9"/>
      <c r="D707" s="9"/>
      <c r="E707" s="9"/>
      <c r="F707" s="9"/>
      <c r="G707" s="9"/>
      <c r="H707" s="14"/>
      <c r="I707" s="14"/>
      <c r="J707" s="14"/>
      <c r="K707" s="14"/>
      <c r="L707" s="1394" t="str">
        <f>IF(ISBLANK(M707),"",LARGE(L690:L706,1)+1)</f>
        <v/>
      </c>
      <c r="M707" s="1896"/>
      <c r="N707" s="1883"/>
      <c r="O707" s="1883"/>
      <c r="P707" s="1883"/>
      <c r="Q707" s="1883"/>
      <c r="R707" s="1883"/>
      <c r="S707" s="1883"/>
      <c r="T707" s="1883"/>
      <c r="U707" s="1898"/>
      <c r="W707" s="9"/>
      <c r="X707" s="9"/>
      <c r="Y707" s="9"/>
      <c r="Z707" s="9"/>
      <c r="AA707" s="9"/>
      <c r="AB707" s="9"/>
      <c r="AC707" s="14"/>
      <c r="AD707" s="14"/>
      <c r="AE707" s="14"/>
      <c r="AF707" s="14"/>
      <c r="AG707" s="1394" t="str">
        <f>IF(ISBLANK(AH707),"",LARGE(AG690:AG706,1)+1)</f>
        <v/>
      </c>
      <c r="AH707" s="1896"/>
      <c r="AI707" s="1883"/>
      <c r="AJ707" s="1883"/>
      <c r="AK707" s="1883"/>
      <c r="AL707" s="1883"/>
      <c r="AM707" s="1883"/>
      <c r="AN707" s="1883"/>
      <c r="AO707" s="1883"/>
      <c r="AP707" s="1898"/>
      <c r="AR707" s="9"/>
      <c r="AS707" s="9"/>
      <c r="AT707" s="9"/>
      <c r="AU707" s="9"/>
      <c r="AV707" s="9"/>
      <c r="AW707" s="9"/>
      <c r="AX707" s="14"/>
      <c r="AY707" s="14"/>
      <c r="AZ707" s="14"/>
      <c r="BA707" s="14"/>
      <c r="BB707" s="1394" t="str">
        <f>IF(ISBLANK(BC707),"",LARGE(BB690:BB706,1)+1)</f>
        <v/>
      </c>
      <c r="BC707" s="1896"/>
      <c r="BD707" s="1883"/>
      <c r="BE707" s="1883"/>
      <c r="BF707" s="1883"/>
      <c r="BG707" s="1883"/>
      <c r="BH707" s="1883"/>
      <c r="BI707" s="1883"/>
      <c r="BJ707" s="1883"/>
      <c r="BK707" s="1898"/>
      <c r="BM707" s="3">
        <v>1</v>
      </c>
    </row>
    <row r="708" spans="2:65" ht="21" customHeight="1">
      <c r="B708" s="9"/>
      <c r="C708" s="9"/>
      <c r="D708" s="9"/>
      <c r="E708" s="9"/>
      <c r="F708" s="9"/>
      <c r="G708" s="9"/>
      <c r="H708" s="14"/>
      <c r="I708" s="14"/>
      <c r="J708" s="14"/>
      <c r="K708" s="14"/>
      <c r="L708" s="1394" t="str">
        <f>IF(ISBLANK(M708),"",LARGE(L690:L707,1)+1)</f>
        <v/>
      </c>
      <c r="M708" s="1896"/>
      <c r="N708" s="1883"/>
      <c r="O708" s="1883"/>
      <c r="P708" s="1883"/>
      <c r="Q708" s="1883"/>
      <c r="R708" s="1883"/>
      <c r="S708" s="1883"/>
      <c r="T708" s="1883"/>
      <c r="U708" s="1898"/>
      <c r="W708" s="9"/>
      <c r="X708" s="9"/>
      <c r="Y708" s="9"/>
      <c r="Z708" s="9"/>
      <c r="AA708" s="9"/>
      <c r="AB708" s="9"/>
      <c r="AC708" s="14"/>
      <c r="AD708" s="14"/>
      <c r="AE708" s="14"/>
      <c r="AF708" s="14"/>
      <c r="AG708" s="1394" t="str">
        <f>IF(ISBLANK(AH708),"",LARGE(AG690:AG707,1)+1)</f>
        <v/>
      </c>
      <c r="AH708" s="1896"/>
      <c r="AI708" s="1883"/>
      <c r="AJ708" s="1883"/>
      <c r="AK708" s="1883"/>
      <c r="AL708" s="1883"/>
      <c r="AM708" s="1883"/>
      <c r="AN708" s="1883"/>
      <c r="AO708" s="1883"/>
      <c r="AP708" s="1898"/>
      <c r="AR708" s="9"/>
      <c r="AS708" s="9"/>
      <c r="AT708" s="9"/>
      <c r="AU708" s="9"/>
      <c r="AV708" s="9"/>
      <c r="AW708" s="9"/>
      <c r="AX708" s="14"/>
      <c r="AY708" s="14"/>
      <c r="AZ708" s="14"/>
      <c r="BA708" s="14"/>
      <c r="BB708" s="1394" t="str">
        <f>IF(ISBLANK(BC708),"",LARGE(BB690:BB707,1)+1)</f>
        <v/>
      </c>
      <c r="BC708" s="1896"/>
      <c r="BD708" s="1883"/>
      <c r="BE708" s="1883"/>
      <c r="BF708" s="1883"/>
      <c r="BG708" s="1883"/>
      <c r="BH708" s="1883"/>
      <c r="BI708" s="1883"/>
      <c r="BJ708" s="1883"/>
      <c r="BK708" s="1898"/>
      <c r="BM708" s="3">
        <v>1</v>
      </c>
    </row>
    <row r="709" spans="2:65" ht="21" customHeight="1">
      <c r="B709" s="9"/>
      <c r="C709" s="9"/>
      <c r="D709" s="9"/>
      <c r="E709" s="9"/>
      <c r="F709" s="9"/>
      <c r="G709" s="9"/>
      <c r="H709" s="14"/>
      <c r="I709" s="14"/>
      <c r="J709" s="14"/>
      <c r="K709" s="14"/>
      <c r="L709" s="1963" t="s">
        <v>8629</v>
      </c>
      <c r="M709" s="1844"/>
      <c r="N709" s="1844"/>
      <c r="O709" s="1844"/>
      <c r="P709" s="1844"/>
      <c r="Q709" s="1844"/>
      <c r="R709" s="1844"/>
      <c r="S709" s="1844"/>
      <c r="T709" s="1844"/>
      <c r="U709" s="1964" t="s">
        <v>8629</v>
      </c>
      <c r="W709" s="9"/>
      <c r="X709" s="9"/>
      <c r="Y709" s="9"/>
      <c r="Z709" s="9"/>
      <c r="AA709" s="9"/>
      <c r="AB709" s="9"/>
      <c r="AC709" s="14"/>
      <c r="AD709" s="14"/>
      <c r="AE709" s="14"/>
      <c r="AF709" s="14"/>
      <c r="AG709" s="1963" t="s">
        <v>8630</v>
      </c>
      <c r="AH709" s="1844"/>
      <c r="AI709" s="1844"/>
      <c r="AJ709" s="1844"/>
      <c r="AK709" s="1844"/>
      <c r="AL709" s="1844"/>
      <c r="AM709" s="1844"/>
      <c r="AN709" s="1844"/>
      <c r="AO709" s="1844"/>
      <c r="AP709" s="1964" t="s">
        <v>8630</v>
      </c>
      <c r="BB709" s="1963" t="s">
        <v>8631</v>
      </c>
      <c r="BC709" s="1844"/>
      <c r="BD709" s="1844"/>
      <c r="BE709" s="1844"/>
      <c r="BF709" s="1844"/>
      <c r="BG709" s="1844"/>
      <c r="BH709" s="1844"/>
      <c r="BI709" s="1844"/>
      <c r="BJ709" s="1844"/>
      <c r="BK709" s="1964" t="s">
        <v>8631</v>
      </c>
      <c r="BM709" s="3">
        <v>1</v>
      </c>
    </row>
    <row r="710" spans="2:65" ht="21" customHeight="1">
      <c r="B710" s="9"/>
      <c r="C710" s="9"/>
      <c r="D710" s="9"/>
      <c r="E710" s="9"/>
      <c r="F710" s="9"/>
      <c r="G710" s="9"/>
      <c r="H710" s="14"/>
      <c r="I710" s="14"/>
      <c r="J710" s="14"/>
      <c r="K710" s="14"/>
      <c r="L710" s="1372" t="s">
        <v>8145</v>
      </c>
      <c r="M710" s="419"/>
      <c r="N710" s="419" t="s">
        <v>673</v>
      </c>
      <c r="O710" s="419"/>
      <c r="P710" s="419"/>
      <c r="Q710" s="419"/>
      <c r="R710" s="420"/>
      <c r="S710" s="420"/>
      <c r="T710" s="420"/>
      <c r="U710" s="608" t="s">
        <v>672</v>
      </c>
      <c r="W710" s="9"/>
      <c r="X710" s="9"/>
      <c r="Y710" s="9"/>
      <c r="Z710" s="9"/>
      <c r="AA710" s="9"/>
      <c r="AB710" s="9"/>
      <c r="AC710" s="14"/>
      <c r="AD710" s="14"/>
      <c r="AE710" s="14"/>
      <c r="AF710" s="14"/>
      <c r="AG710" s="1388" t="s">
        <v>8216</v>
      </c>
      <c r="AH710" s="419"/>
      <c r="AI710" s="419" t="s">
        <v>1466</v>
      </c>
      <c r="AJ710" s="419"/>
      <c r="AK710" s="419"/>
      <c r="AL710" s="419"/>
      <c r="AM710" s="420"/>
      <c r="AN710" s="420"/>
      <c r="AO710" s="420"/>
      <c r="AP710" s="608" t="s">
        <v>8498</v>
      </c>
      <c r="AR710" s="9"/>
      <c r="AS710" s="9"/>
      <c r="AT710" s="9"/>
      <c r="AU710" s="9"/>
      <c r="AV710" s="9"/>
      <c r="AW710" s="9"/>
      <c r="AX710" s="14"/>
      <c r="AY710" s="14"/>
      <c r="AZ710" s="14"/>
      <c r="BA710" s="14"/>
      <c r="BB710" s="1372" t="s">
        <v>8217</v>
      </c>
      <c r="BC710" s="419"/>
      <c r="BD710" s="419" t="s">
        <v>673</v>
      </c>
      <c r="BE710" s="419"/>
      <c r="BF710" s="419"/>
      <c r="BG710" s="419"/>
      <c r="BH710" s="420"/>
      <c r="BI710" s="420"/>
      <c r="BJ710" s="420"/>
      <c r="BK710" s="608" t="s">
        <v>672</v>
      </c>
      <c r="BM710" s="3">
        <v>1</v>
      </c>
    </row>
    <row r="711" spans="2:65" ht="21" customHeight="1">
      <c r="B711" s="9"/>
      <c r="C711" s="9"/>
      <c r="D711" s="9"/>
      <c r="E711" s="9"/>
      <c r="F711" s="9"/>
      <c r="G711" s="9"/>
      <c r="H711" s="14"/>
      <c r="I711" s="14"/>
      <c r="J711" s="14"/>
      <c r="K711" s="14"/>
      <c r="L711" s="1392">
        <v>0</v>
      </c>
      <c r="M711" s="1869"/>
      <c r="N711" s="1416"/>
      <c r="O711" s="229"/>
      <c r="P711" s="229"/>
      <c r="Q711" s="9"/>
      <c r="R711" s="560" t="s">
        <v>676</v>
      </c>
      <c r="S711" s="560"/>
      <c r="U711" s="1780"/>
      <c r="W711" s="9"/>
      <c r="X711" s="9"/>
      <c r="Y711" s="9"/>
      <c r="Z711" s="9"/>
      <c r="AA711" s="9"/>
      <c r="AB711" s="9"/>
      <c r="AC711" s="14"/>
      <c r="AD711" s="14"/>
      <c r="AE711" s="14"/>
      <c r="AF711" s="14"/>
      <c r="AG711" s="1392">
        <v>0</v>
      </c>
      <c r="AH711" s="166"/>
      <c r="AI711" s="229"/>
      <c r="AJ711" s="229"/>
      <c r="AK711" s="9"/>
      <c r="AL711" s="560" t="s">
        <v>232</v>
      </c>
      <c r="AM711" s="560"/>
      <c r="AP711" s="1780"/>
      <c r="AR711" s="9"/>
      <c r="AS711" s="9"/>
      <c r="AT711" s="9"/>
      <c r="AU711" s="9"/>
      <c r="AV711" s="9"/>
      <c r="AW711" s="9"/>
      <c r="AX711" s="14"/>
      <c r="AY711" s="14"/>
      <c r="AZ711" s="14"/>
      <c r="BA711" s="14"/>
      <c r="BB711" s="1392">
        <v>0</v>
      </c>
      <c r="BC711" s="1869"/>
      <c r="BD711" s="1416"/>
      <c r="BE711" s="229"/>
      <c r="BF711" s="229"/>
      <c r="BG711" s="9"/>
      <c r="BH711" s="560" t="s">
        <v>676</v>
      </c>
      <c r="BI711" s="560"/>
      <c r="BJ711" s="227"/>
      <c r="BK711" s="1780"/>
      <c r="BM711" s="3">
        <v>1</v>
      </c>
    </row>
    <row r="712" spans="2:65" ht="21" customHeight="1">
      <c r="B712" s="9"/>
      <c r="C712" s="9"/>
      <c r="D712" s="9"/>
      <c r="E712" s="9"/>
      <c r="F712" s="9"/>
      <c r="G712" s="9"/>
      <c r="H712" s="14"/>
      <c r="I712" s="14"/>
      <c r="J712" s="14"/>
      <c r="K712" s="14"/>
      <c r="L712" s="1394" t="str">
        <f>IF(ISBLANK(M712),"",LARGE(L711:L711,1)+1)</f>
        <v/>
      </c>
      <c r="M712" s="1869"/>
      <c r="N712" s="1872" t="s">
        <v>677</v>
      </c>
      <c r="O712" s="562" t="s">
        <v>678</v>
      </c>
      <c r="P712" s="1384" t="s">
        <v>93</v>
      </c>
      <c r="Q712" s="9"/>
      <c r="R712" s="563" t="s">
        <v>679</v>
      </c>
      <c r="S712" s="563"/>
      <c r="T712" s="560" t="s">
        <v>415</v>
      </c>
      <c r="U712" s="1451"/>
      <c r="W712" s="9"/>
      <c r="X712" s="9"/>
      <c r="Y712" s="9"/>
      <c r="Z712" s="9"/>
      <c r="AA712" s="9"/>
      <c r="AB712" s="9"/>
      <c r="AC712" s="14"/>
      <c r="AD712" s="14"/>
      <c r="AE712" s="14"/>
      <c r="AF712" s="14"/>
      <c r="AG712" s="1394"/>
      <c r="AH712" s="561" t="s">
        <v>1468</v>
      </c>
      <c r="AI712" s="562" t="s">
        <v>1469</v>
      </c>
      <c r="AJ712" s="1384" t="s">
        <v>1470</v>
      </c>
      <c r="AK712" s="9"/>
      <c r="AL712" s="563" t="s">
        <v>1471</v>
      </c>
      <c r="AM712" s="563"/>
      <c r="AN712" s="560" t="s">
        <v>1404</v>
      </c>
      <c r="AO712" s="560"/>
      <c r="AP712" s="1451"/>
      <c r="AR712" s="9"/>
      <c r="AS712" s="9"/>
      <c r="AT712" s="9"/>
      <c r="AU712" s="9"/>
      <c r="AV712" s="9"/>
      <c r="AW712" s="9"/>
      <c r="AX712" s="14"/>
      <c r="AY712" s="14"/>
      <c r="AZ712" s="14"/>
      <c r="BA712" s="14"/>
      <c r="BB712" s="1394" t="str">
        <f>IF(ISBLANK(BC712),"",LARGE(BB711:BB711,1)+1)</f>
        <v/>
      </c>
      <c r="BC712" s="1869"/>
      <c r="BD712" s="1872" t="s">
        <v>677</v>
      </c>
      <c r="BE712" s="562" t="s">
        <v>678</v>
      </c>
      <c r="BF712" s="1384" t="s">
        <v>93</v>
      </c>
      <c r="BG712" s="9"/>
      <c r="BH712" s="563" t="s">
        <v>679</v>
      </c>
      <c r="BI712" s="563"/>
      <c r="BJ712" s="560" t="s">
        <v>415</v>
      </c>
      <c r="BK712" s="1451"/>
      <c r="BM712" s="3">
        <v>1</v>
      </c>
    </row>
    <row r="713" spans="2:65" ht="21" customHeight="1">
      <c r="B713" s="9"/>
      <c r="C713" s="9"/>
      <c r="D713" s="9"/>
      <c r="E713" s="9"/>
      <c r="F713" s="9"/>
      <c r="G713" s="9"/>
      <c r="H713" s="14"/>
      <c r="I713" s="14"/>
      <c r="J713" s="14"/>
      <c r="K713" s="14"/>
      <c r="L713" s="1394" t="str">
        <f>IF(ISBLANK(M713),"",LARGE(L711:L712,1)+1)</f>
        <v/>
      </c>
      <c r="M713" s="1869"/>
      <c r="N713" s="6756">
        <v>750</v>
      </c>
      <c r="O713" s="564">
        <v>1</v>
      </c>
      <c r="P713" s="1385" t="s">
        <v>680</v>
      </c>
      <c r="Q713" s="1781"/>
      <c r="R713" s="565">
        <v>16</v>
      </c>
      <c r="S713" s="1450">
        <f>O713*N713</f>
        <v>750</v>
      </c>
      <c r="T713" s="189" t="s">
        <v>681</v>
      </c>
      <c r="U713" s="1452"/>
      <c r="W713" s="9"/>
      <c r="X713" s="9"/>
      <c r="Y713" s="9"/>
      <c r="Z713" s="9"/>
      <c r="AA713" s="9"/>
      <c r="AB713" s="9"/>
      <c r="AC713" s="14"/>
      <c r="AD713" s="14"/>
      <c r="AE713" s="14"/>
      <c r="AF713" s="14"/>
      <c r="AG713" s="1394"/>
      <c r="AH713" s="6757">
        <v>750</v>
      </c>
      <c r="AI713" s="564">
        <v>1</v>
      </c>
      <c r="AJ713" s="1385" t="s">
        <v>680</v>
      </c>
      <c r="AL713" s="565">
        <v>16</v>
      </c>
      <c r="AM713" s="1752">
        <f>AI713*AH713</f>
        <v>750</v>
      </c>
      <c r="AN713" s="189" t="s">
        <v>1472</v>
      </c>
      <c r="AO713" s="1939"/>
      <c r="AP713" s="1452"/>
      <c r="AR713" s="9"/>
      <c r="AS713" s="9"/>
      <c r="AT713" s="9"/>
      <c r="AU713" s="9"/>
      <c r="AV713" s="9"/>
      <c r="AW713" s="9"/>
      <c r="AX713" s="14"/>
      <c r="AY713" s="14"/>
      <c r="AZ713" s="14"/>
      <c r="BA713" s="14"/>
      <c r="BB713" s="1394" t="str">
        <f>IF(ISBLANK(BC713),"",LARGE(BB711:BB712,1)+1)</f>
        <v/>
      </c>
      <c r="BC713" s="1869"/>
      <c r="BD713" s="6756">
        <v>750</v>
      </c>
      <c r="BE713" s="564">
        <v>1</v>
      </c>
      <c r="BF713" s="1385" t="s">
        <v>680</v>
      </c>
      <c r="BG713" s="1781"/>
      <c r="BH713" s="565">
        <v>16</v>
      </c>
      <c r="BI713" s="1450">
        <f>BE713*BD713</f>
        <v>750</v>
      </c>
      <c r="BJ713" s="189" t="s">
        <v>681</v>
      </c>
      <c r="BK713" s="1452"/>
      <c r="BM713" s="3">
        <v>1</v>
      </c>
    </row>
    <row r="714" spans="2:65" ht="21" customHeight="1">
      <c r="B714" s="9"/>
      <c r="C714" s="9"/>
      <c r="D714" s="9"/>
      <c r="E714" s="9"/>
      <c r="F714" s="9"/>
      <c r="G714" s="9"/>
      <c r="H714" s="14"/>
      <c r="I714" s="14"/>
      <c r="J714" s="14"/>
      <c r="K714" s="14"/>
      <c r="L714" s="1394" t="str">
        <f>IF(ISBLANK(M714),"",LARGE(L711:L713,1)+1)</f>
        <v/>
      </c>
      <c r="M714" s="1869"/>
      <c r="N714" s="6756"/>
      <c r="O714" s="566">
        <v>120</v>
      </c>
      <c r="P714" s="567" t="s">
        <v>682</v>
      </c>
      <c r="Q714"/>
      <c r="R714" s="568">
        <v>1.2</v>
      </c>
      <c r="S714" s="1582">
        <f>(O714*N713)/1000</f>
        <v>90</v>
      </c>
      <c r="T714" s="6758" t="s">
        <v>683</v>
      </c>
      <c r="U714" s="6759"/>
      <c r="W714" s="9"/>
      <c r="X714" s="9"/>
      <c r="Y714" s="9"/>
      <c r="Z714" s="9"/>
      <c r="AA714" s="9"/>
      <c r="AB714" s="9"/>
      <c r="AC714" s="14"/>
      <c r="AD714" s="14"/>
      <c r="AE714" s="14"/>
      <c r="AF714" s="14"/>
      <c r="AG714" s="1394"/>
      <c r="AH714" s="6757"/>
      <c r="AI714" s="566">
        <v>120</v>
      </c>
      <c r="AJ714" s="567" t="s">
        <v>682</v>
      </c>
      <c r="AL714" s="568">
        <v>1.2</v>
      </c>
      <c r="AM714" s="1753">
        <f>(AI714*AH713)/1000</f>
        <v>90</v>
      </c>
      <c r="AN714" s="6758" t="s">
        <v>1473</v>
      </c>
      <c r="AO714" s="6758"/>
      <c r="AP714" s="1453"/>
      <c r="AR714" s="9"/>
      <c r="AS714" s="9"/>
      <c r="AT714" s="9"/>
      <c r="AU714" s="9"/>
      <c r="AV714" s="9"/>
      <c r="AW714" s="9"/>
      <c r="AX714" s="14"/>
      <c r="AY714" s="14"/>
      <c r="AZ714" s="14"/>
      <c r="BA714" s="14"/>
      <c r="BB714" s="1394" t="str">
        <f>IF(ISBLANK(BC714),"",LARGE(BB711:BB713,1)+1)</f>
        <v/>
      </c>
      <c r="BC714" s="1869"/>
      <c r="BD714" s="6756"/>
      <c r="BE714" s="566">
        <v>120</v>
      </c>
      <c r="BF714" s="567" t="s">
        <v>682</v>
      </c>
      <c r="BH714" s="568">
        <v>1.2</v>
      </c>
      <c r="BI714" s="1582">
        <f>(BE714*BD713)/1000</f>
        <v>90</v>
      </c>
      <c r="BJ714" s="6758" t="s">
        <v>683</v>
      </c>
      <c r="BK714" s="6759"/>
      <c r="BM714" s="3">
        <v>1</v>
      </c>
    </row>
    <row r="715" spans="2:65" ht="21" customHeight="1">
      <c r="B715" s="9"/>
      <c r="C715" s="9"/>
      <c r="D715" s="9"/>
      <c r="E715" s="9"/>
      <c r="F715" s="9"/>
      <c r="G715" s="9"/>
      <c r="H715" s="14"/>
      <c r="I715" s="14"/>
      <c r="J715" s="14"/>
      <c r="K715" s="14"/>
      <c r="L715" s="1394" t="str">
        <f>IF(ISBLANK(M715),"",LARGE(L711:L714,1)+1)</f>
        <v/>
      </c>
      <c r="M715" s="1869"/>
      <c r="N715" s="1873" t="str">
        <f>INT(S713/R713) &amp; " " &amp; T713 &amp; " de " &amp; R713 &amp; " " &amp; P713 &amp; IF(MOD(S713,R713)&gt;0, " + 1 "&amp;T713&amp;" de " &amp; TEXT(MOD(S713,R713), "0.00") &amp; " " &amp; P713, "")</f>
        <v>46 Assiette(s) de 16 madeleine(s) + 1 Assiette(s) de 14.00 madeleine(s)</v>
      </c>
      <c r="O715" s="9"/>
      <c r="P715" s="9"/>
      <c r="Q715" s="9"/>
      <c r="R715" s="198"/>
      <c r="S715" s="198"/>
      <c r="T715" s="6758"/>
      <c r="U715" s="6759"/>
      <c r="W715" s="9"/>
      <c r="X715" s="9"/>
      <c r="Y715" s="9"/>
      <c r="Z715" s="9"/>
      <c r="AA715" s="9"/>
      <c r="AB715" s="9"/>
      <c r="AC715" s="14"/>
      <c r="AD715" s="14"/>
      <c r="AE715" s="14"/>
      <c r="AF715" s="14"/>
      <c r="AG715" s="1394"/>
      <c r="AH715" s="569" t="str">
        <f>INT(AM713/AL713) &amp; " " &amp; AN713 &amp; " de " &amp; AL713 &amp; " " &amp; AJ713 &amp; IF(MOD(AM713,AL713)&gt;0, " + 1 "&amp;AN713&amp;" de " &amp; TEXT(MOD(AM713,AL713), "0.00") &amp; " " &amp; AJ713, "")</f>
        <v>46 Plato(s) de 16 madeleine(s) + 1 Plato(s) de 14.00 madeleine(s)</v>
      </c>
      <c r="AI715" s="9"/>
      <c r="AJ715" s="9"/>
      <c r="AK715" s="9"/>
      <c r="AL715" s="198"/>
      <c r="AM715" s="198"/>
      <c r="AN715" s="6758"/>
      <c r="AO715" s="6758"/>
      <c r="AP715" s="1453"/>
      <c r="AR715" s="9"/>
      <c r="AS715" s="9"/>
      <c r="AT715" s="9"/>
      <c r="AU715" s="9"/>
      <c r="AV715" s="9"/>
      <c r="AW715" s="9"/>
      <c r="AX715" s="14"/>
      <c r="AY715" s="14"/>
      <c r="AZ715" s="14"/>
      <c r="BA715" s="14"/>
      <c r="BB715" s="1394" t="str">
        <f>IF(ISBLANK(BC715),"",LARGE(BB711:BB714,1)+1)</f>
        <v/>
      </c>
      <c r="BC715" s="1869"/>
      <c r="BD715" s="1873" t="str">
        <f>INT(BI713/BH713) &amp; " " &amp; BJ713 &amp; " de " &amp; BH713 &amp; " " &amp; BF713 &amp; IF(MOD(BI713,BH713)&gt;0, " + 1 "&amp;BJ713&amp;" de " &amp; TEXT(MOD(BI713,BH713), "0.00") &amp; " " &amp; BF713, "")</f>
        <v>46 Assiette(s) de 16 madeleine(s) + 1 Assiette(s) de 14.00 madeleine(s)</v>
      </c>
      <c r="BE715" s="9"/>
      <c r="BF715" s="9"/>
      <c r="BG715" s="9"/>
      <c r="BH715" s="198"/>
      <c r="BI715" s="198"/>
      <c r="BJ715" s="6758"/>
      <c r="BK715" s="6759"/>
      <c r="BM715" s="3">
        <v>1</v>
      </c>
    </row>
    <row r="716" spans="2:65" ht="21" customHeight="1">
      <c r="B716" s="9"/>
      <c r="C716" s="9"/>
      <c r="D716" s="9"/>
      <c r="E716" s="9"/>
      <c r="F716" s="9"/>
      <c r="G716" s="9"/>
      <c r="H716" s="14"/>
      <c r="I716" s="14"/>
      <c r="J716" s="14"/>
      <c r="K716" s="14"/>
      <c r="L716" s="1394" t="str">
        <f>IF(ISBLANK(M716),"",LARGE(L711:L715,1)+1)</f>
        <v/>
      </c>
      <c r="M716" s="1869"/>
      <c r="N716" s="229" t="str">
        <f>IF(MOD(S714, R714) = 0, INT(S714/R714) &amp; " " &amp; T713 &amp; " de " &amp; R714 &amp; " kg", INT(S714/R714) &amp; " " &amp; T713 &amp; " de " &amp; R714 &amp; " kg" &amp; " + 1 "&amp;T713&amp;" de " &amp; TEXT(MOD(S714, R714), "0.00") &amp; " kg")</f>
        <v>75 Assiette(s) de 1.2 kg + 1 Assiette(s) de 0.00 kg</v>
      </c>
      <c r="O716" s="9"/>
      <c r="P716" s="9"/>
      <c r="Q716" s="9"/>
      <c r="R716" s="198"/>
      <c r="S716" s="198"/>
      <c r="T716" s="198"/>
      <c r="U716" s="1453"/>
      <c r="W716" s="9"/>
      <c r="X716" s="9"/>
      <c r="Y716" s="9"/>
      <c r="Z716" s="9"/>
      <c r="AA716" s="9"/>
      <c r="AB716" s="9"/>
      <c r="AC716" s="14"/>
      <c r="AD716" s="14"/>
      <c r="AE716" s="14"/>
      <c r="AF716" s="14"/>
      <c r="AG716" s="1394"/>
      <c r="AH716" s="571" t="str">
        <f>IF(MOD(AM714, AL714) = 0, INT(AM714/AL714) &amp; " " &amp; AN713 &amp; " de " &amp; AL714 &amp; " kg", INT(AM714/AL714) &amp; " " &amp; AN713 &amp; " de " &amp; AL714 &amp; " kg" &amp; " + 1 "&amp;AN713&amp;" de " &amp; TEXT(MOD(AM714, AL714), "0.00") &amp; " kg")</f>
        <v>75 Plato(s) de 1.2 kg + 1 Plato(s) de 0.00 kg</v>
      </c>
      <c r="AI716" s="9"/>
      <c r="AJ716" s="9"/>
      <c r="AK716" s="9"/>
      <c r="AL716" s="198"/>
      <c r="AM716" s="198"/>
      <c r="AN716" s="198"/>
      <c r="AO716" s="1940"/>
      <c r="AP716" s="1453"/>
      <c r="AR716" s="9"/>
      <c r="AS716" s="9"/>
      <c r="AT716" s="9"/>
      <c r="AU716" s="9"/>
      <c r="AV716" s="9"/>
      <c r="AW716" s="9"/>
      <c r="AX716" s="14"/>
      <c r="AY716" s="14"/>
      <c r="AZ716" s="14"/>
      <c r="BA716" s="14"/>
      <c r="BB716" s="1394" t="str">
        <f>IF(ISBLANK(BC716),"",LARGE(BB711:BB715,1)+1)</f>
        <v/>
      </c>
      <c r="BC716" s="1869"/>
      <c r="BD716" s="229" t="str">
        <f>IF(MOD(BI714, BH714) = 0, INT(BI714/BH714) &amp; " " &amp; BJ713 &amp; " de " &amp; BH714 &amp; " kg", INT(BI714/BH714) &amp; " " &amp; BJ713 &amp; " de " &amp; BH714 &amp; " kg" &amp; " + 1 "&amp;BJ713&amp;" de " &amp; TEXT(MOD(BI714, BH714), "0.00") &amp; " kg")</f>
        <v>75 Assiette(s) de 1.2 kg + 1 Assiette(s) de 0.00 kg</v>
      </c>
      <c r="BE716" s="9"/>
      <c r="BF716" s="9"/>
      <c r="BG716" s="9"/>
      <c r="BH716" s="198"/>
      <c r="BI716" s="198"/>
      <c r="BJ716" s="198"/>
      <c r="BK716" s="1453"/>
      <c r="BM716" s="3">
        <v>1</v>
      </c>
    </row>
    <row r="717" spans="2:65" ht="21" customHeight="1">
      <c r="B717" s="9"/>
      <c r="C717" s="9"/>
      <c r="D717" s="9"/>
      <c r="E717" s="9"/>
      <c r="F717" s="9"/>
      <c r="G717" s="9"/>
      <c r="H717" s="14"/>
      <c r="I717" s="14"/>
      <c r="J717" s="14"/>
      <c r="K717" s="14"/>
      <c r="L717" s="1394" t="str">
        <f>IF(ISBLANK(M717),"",LARGE(L711:L716,1)+1)</f>
        <v/>
      </c>
      <c r="M717" s="258"/>
      <c r="N717" s="198"/>
      <c r="O717" s="198"/>
      <c r="P717" s="198"/>
      <c r="Q717" s="198"/>
      <c r="R717" s="198"/>
      <c r="S717" s="198"/>
      <c r="T717" s="198"/>
      <c r="U717" s="588"/>
      <c r="W717" s="9"/>
      <c r="X717" s="9"/>
      <c r="Y717" s="9"/>
      <c r="Z717" s="9"/>
      <c r="AA717" s="9"/>
      <c r="AB717" s="9"/>
      <c r="AC717" s="14"/>
      <c r="AD717" s="14"/>
      <c r="AE717" s="14"/>
      <c r="AF717" s="14"/>
      <c r="AG717" s="1394" t="str">
        <f>IF(ISBLANK(AH717),"",LARGE(AG711:AG716,1)+1)</f>
        <v/>
      </c>
      <c r="AH717" s="258"/>
      <c r="AI717" s="198"/>
      <c r="AJ717" s="198"/>
      <c r="AK717" s="198"/>
      <c r="AL717" s="198"/>
      <c r="AM717" s="198"/>
      <c r="AN717" s="198"/>
      <c r="AO717" s="198"/>
      <c r="AP717" s="588"/>
      <c r="AR717" s="9"/>
      <c r="AS717" s="9"/>
      <c r="AT717" s="9"/>
      <c r="AU717" s="9"/>
      <c r="AV717" s="9"/>
      <c r="AW717" s="9"/>
      <c r="AX717" s="14"/>
      <c r="AY717" s="14"/>
      <c r="AZ717" s="14"/>
      <c r="BA717" s="14"/>
      <c r="BB717" s="1394" t="str">
        <f>IF(ISBLANK(BC717),"",LARGE(BB711:BB716,1)+1)</f>
        <v/>
      </c>
      <c r="BC717" s="258"/>
      <c r="BD717" s="198"/>
      <c r="BE717" s="198"/>
      <c r="BF717" s="198"/>
      <c r="BG717" s="198"/>
      <c r="BH717" s="198"/>
      <c r="BI717" s="198"/>
      <c r="BJ717" s="198"/>
      <c r="BK717" s="588"/>
      <c r="BM717" s="3">
        <v>1</v>
      </c>
    </row>
    <row r="718" spans="2:65" ht="21" customHeight="1">
      <c r="B718" s="9"/>
      <c r="C718" s="9"/>
      <c r="D718" s="9"/>
      <c r="E718" s="9"/>
      <c r="F718" s="9"/>
      <c r="G718" s="9"/>
      <c r="H718" s="14"/>
      <c r="I718" s="14"/>
      <c r="J718" s="14"/>
      <c r="K718" s="14"/>
      <c r="L718" s="1394"/>
      <c r="M718" s="1865" t="s">
        <v>821</v>
      </c>
      <c r="N718" s="1841"/>
      <c r="O718" s="1841"/>
      <c r="P718" s="1841"/>
      <c r="Q718" s="1841"/>
      <c r="R718" s="1841"/>
      <c r="S718" s="1841"/>
      <c r="T718" s="1841"/>
      <c r="U718" s="1906" t="s">
        <v>196</v>
      </c>
      <c r="W718" s="9"/>
      <c r="X718" s="9"/>
      <c r="Y718" s="9"/>
      <c r="Z718" s="9"/>
      <c r="AA718" s="9"/>
      <c r="AB718" s="9"/>
      <c r="AC718" s="14"/>
      <c r="AD718" s="14"/>
      <c r="AE718" s="14"/>
      <c r="AF718" s="14"/>
      <c r="AG718" s="1394"/>
      <c r="AH718" s="1865" t="s">
        <v>8197</v>
      </c>
      <c r="AI718" s="1841"/>
      <c r="AJ718" s="1841"/>
      <c r="AK718" s="1841"/>
      <c r="AL718" s="1841"/>
      <c r="AM718" s="1841"/>
      <c r="AN718" s="1841"/>
      <c r="AO718" s="1841"/>
      <c r="AP718" s="1906" t="s">
        <v>879</v>
      </c>
      <c r="AR718" s="9"/>
      <c r="AS718" s="9"/>
      <c r="AT718" s="9"/>
      <c r="AU718" s="9"/>
      <c r="AV718" s="9"/>
      <c r="AW718" s="9"/>
      <c r="AX718" s="14"/>
      <c r="AY718" s="14"/>
      <c r="AZ718" s="14"/>
      <c r="BA718" s="14"/>
      <c r="BB718" s="1394"/>
      <c r="BC718" s="1865" t="s">
        <v>874</v>
      </c>
      <c r="BD718" s="1841"/>
      <c r="BE718" s="1841"/>
      <c r="BF718" s="1841"/>
      <c r="BG718" s="1841"/>
      <c r="BH718" s="1841"/>
      <c r="BI718" s="1841"/>
      <c r="BJ718" s="1841"/>
      <c r="BK718" s="1906" t="s">
        <v>879</v>
      </c>
      <c r="BM718" s="3">
        <v>1</v>
      </c>
    </row>
    <row r="719" spans="2:65" ht="21" customHeight="1">
      <c r="B719" s="9"/>
      <c r="C719" s="9"/>
      <c r="D719" s="9"/>
      <c r="E719" s="9"/>
      <c r="F719" s="9"/>
      <c r="G719" s="9"/>
      <c r="H719" s="14"/>
      <c r="I719" s="14"/>
      <c r="J719" s="14"/>
      <c r="K719" s="14"/>
      <c r="L719" s="1394"/>
      <c r="M719" s="1866" t="s">
        <v>8146</v>
      </c>
      <c r="N719" s="1416"/>
      <c r="O719" s="1883"/>
      <c r="P719" s="1883"/>
      <c r="Q719" s="1883"/>
      <c r="R719" s="1883"/>
      <c r="S719" s="1883"/>
      <c r="T719" s="1883"/>
      <c r="U719" s="1898"/>
      <c r="W719" s="9"/>
      <c r="X719" s="9"/>
      <c r="Y719" s="9"/>
      <c r="Z719" s="9"/>
      <c r="AA719" s="9"/>
      <c r="AB719" s="9"/>
      <c r="AC719" s="14"/>
      <c r="AD719" s="14"/>
      <c r="AE719" s="14"/>
      <c r="AF719" s="14"/>
      <c r="AG719" s="1394"/>
      <c r="AH719" s="1866" t="s">
        <v>8198</v>
      </c>
      <c r="AI719" s="1416"/>
      <c r="AJ719" s="1883"/>
      <c r="AK719" s="1883"/>
      <c r="AL719" s="1883"/>
      <c r="AM719" s="1883"/>
      <c r="AN719" s="1883"/>
      <c r="AO719" s="1883"/>
      <c r="AP719" s="1898"/>
      <c r="AR719" s="9"/>
      <c r="AS719" s="9"/>
      <c r="AT719" s="9"/>
      <c r="AU719" s="9"/>
      <c r="AV719" s="9"/>
      <c r="AW719" s="9"/>
      <c r="AX719" s="14"/>
      <c r="AY719" s="14"/>
      <c r="AZ719" s="14"/>
      <c r="BA719" s="14"/>
      <c r="BB719" s="1394"/>
      <c r="BC719" s="1866" t="s">
        <v>8193</v>
      </c>
      <c r="BD719" s="1416"/>
      <c r="BE719" s="1883"/>
      <c r="BF719" s="1883"/>
      <c r="BG719" s="1883"/>
      <c r="BH719" s="1883"/>
      <c r="BI719" s="1883"/>
      <c r="BJ719" s="1883"/>
      <c r="BK719" s="1898"/>
      <c r="BM719" s="3">
        <v>1</v>
      </c>
    </row>
    <row r="720" spans="2:65" ht="21" customHeight="1">
      <c r="B720" s="9"/>
      <c r="C720" s="9"/>
      <c r="D720" s="9"/>
      <c r="E720" s="9"/>
      <c r="F720" s="9"/>
      <c r="G720" s="9"/>
      <c r="H720" s="14"/>
      <c r="I720" s="14"/>
      <c r="J720" s="14"/>
      <c r="K720" s="14"/>
      <c r="L720" s="1394" t="str">
        <f>IF(ISBLANK(M720),"",LARGE(L711:L719,1)+1)</f>
        <v/>
      </c>
      <c r="M720" s="1896"/>
      <c r="N720" s="1883"/>
      <c r="O720" s="1883"/>
      <c r="P720" s="1883"/>
      <c r="Q720" s="1883"/>
      <c r="R720" s="1883"/>
      <c r="S720" s="1883"/>
      <c r="T720" s="1883"/>
      <c r="U720" s="1898"/>
      <c r="W720" s="9"/>
      <c r="X720" s="9"/>
      <c r="Y720" s="9"/>
      <c r="Z720" s="9"/>
      <c r="AA720" s="9"/>
      <c r="AB720" s="9"/>
      <c r="AC720" s="14"/>
      <c r="AD720" s="14"/>
      <c r="AE720" s="14"/>
      <c r="AF720" s="14"/>
      <c r="AG720" s="1394" t="str">
        <f>IF(ISBLANK(AH720),"",LARGE(AG711:AG719,1)+1)</f>
        <v/>
      </c>
      <c r="AH720" s="1896"/>
      <c r="AI720" s="1883"/>
      <c r="AJ720" s="1883"/>
      <c r="AK720" s="1883"/>
      <c r="AL720" s="1883"/>
      <c r="AM720" s="1883"/>
      <c r="AN720" s="1883"/>
      <c r="AO720" s="1883"/>
      <c r="AP720" s="1898"/>
      <c r="AR720" s="9"/>
      <c r="AS720" s="9"/>
      <c r="AT720" s="9"/>
      <c r="AU720" s="9"/>
      <c r="AV720" s="9"/>
      <c r="AW720" s="9"/>
      <c r="AX720" s="14"/>
      <c r="AY720" s="14"/>
      <c r="AZ720" s="14"/>
      <c r="BA720" s="14"/>
      <c r="BB720" s="1394" t="str">
        <f>IF(ISBLANK(BC720),"",LARGE(BB711:BB719,1)+1)</f>
        <v/>
      </c>
      <c r="BC720" s="1896"/>
      <c r="BD720" s="1883"/>
      <c r="BE720" s="1883"/>
      <c r="BF720" s="1883"/>
      <c r="BG720" s="1883"/>
      <c r="BH720" s="1883"/>
      <c r="BI720" s="1883"/>
      <c r="BJ720" s="1883"/>
      <c r="BK720" s="1898"/>
      <c r="BM720" s="3">
        <v>1</v>
      </c>
    </row>
    <row r="721" spans="2:65" ht="21" customHeight="1">
      <c r="B721" s="9"/>
      <c r="C721" s="9"/>
      <c r="D721" s="9"/>
      <c r="E721" s="9"/>
      <c r="F721" s="9"/>
      <c r="G721" s="9"/>
      <c r="H721" s="14"/>
      <c r="I721" s="14"/>
      <c r="J721" s="14"/>
      <c r="K721" s="14"/>
      <c r="L721" s="1394" t="str">
        <f>IF(ISBLANK(M721),"",LARGE(L711:L720,1)+1)</f>
        <v/>
      </c>
      <c r="M721" s="1896"/>
      <c r="N721" s="1883"/>
      <c r="O721" s="1883"/>
      <c r="P721" s="1883"/>
      <c r="Q721" s="1883"/>
      <c r="R721" s="1883"/>
      <c r="S721" s="1883"/>
      <c r="T721" s="1883"/>
      <c r="U721" s="1898"/>
      <c r="W721" s="9"/>
      <c r="X721" s="9"/>
      <c r="Y721" s="9"/>
      <c r="Z721" s="9"/>
      <c r="AA721" s="9"/>
      <c r="AB721" s="9"/>
      <c r="AC721" s="14"/>
      <c r="AD721" s="14"/>
      <c r="AE721" s="14"/>
      <c r="AF721" s="14"/>
      <c r="AG721" s="1394" t="str">
        <f>IF(ISBLANK(AH721),"",LARGE(AG711:AG720,1)+1)</f>
        <v/>
      </c>
      <c r="AH721" s="1896"/>
      <c r="AI721" s="1883"/>
      <c r="AJ721" s="1883"/>
      <c r="AK721" s="1883"/>
      <c r="AL721" s="1883"/>
      <c r="AM721" s="1883"/>
      <c r="AN721" s="1883"/>
      <c r="AO721" s="1883"/>
      <c r="AP721" s="1898"/>
      <c r="AR721" s="9"/>
      <c r="AS721" s="9"/>
      <c r="AT721" s="9"/>
      <c r="AU721" s="9"/>
      <c r="AV721" s="9"/>
      <c r="AW721" s="9"/>
      <c r="AX721" s="14"/>
      <c r="AY721" s="14"/>
      <c r="AZ721" s="14"/>
      <c r="BA721" s="14"/>
      <c r="BB721" s="1394" t="str">
        <f>IF(ISBLANK(BC721),"",LARGE(BB711:BB720,1)+1)</f>
        <v/>
      </c>
      <c r="BC721" s="1896"/>
      <c r="BD721" s="1883"/>
      <c r="BE721" s="1883"/>
      <c r="BF721" s="1883"/>
      <c r="BG721" s="1883"/>
      <c r="BH721" s="1883"/>
      <c r="BI721" s="1883"/>
      <c r="BJ721" s="1883"/>
      <c r="BK721" s="1898"/>
      <c r="BM721" s="3">
        <v>1</v>
      </c>
    </row>
    <row r="722" spans="2:65" ht="21" customHeight="1">
      <c r="B722" s="9"/>
      <c r="C722" s="9"/>
      <c r="D722" s="9"/>
      <c r="E722" s="9"/>
      <c r="F722" s="9"/>
      <c r="G722" s="9"/>
      <c r="H722" s="14"/>
      <c r="I722" s="14"/>
      <c r="J722" s="14"/>
      <c r="K722" s="14"/>
      <c r="L722" s="1394" t="str">
        <f>IF(ISBLANK(M722),"",LARGE(L711:L721,1)+1)</f>
        <v/>
      </c>
      <c r="M722" s="1896"/>
      <c r="N722" s="1883"/>
      <c r="O722" s="1883"/>
      <c r="P722" s="1883"/>
      <c r="Q722" s="1883"/>
      <c r="R722" s="1883"/>
      <c r="S722" s="1883"/>
      <c r="T722" s="1883"/>
      <c r="U722" s="1898"/>
      <c r="W722" s="9"/>
      <c r="X722" s="9"/>
      <c r="Y722" s="9"/>
      <c r="Z722" s="9"/>
      <c r="AA722" s="9"/>
      <c r="AB722" s="9"/>
      <c r="AC722" s="14"/>
      <c r="AD722" s="14"/>
      <c r="AE722" s="14"/>
      <c r="AF722" s="14"/>
      <c r="AG722" s="1394" t="str">
        <f>IF(ISBLANK(AH722),"",LARGE(AG711:AG721,1)+1)</f>
        <v/>
      </c>
      <c r="AH722" s="1896"/>
      <c r="AI722" s="1883"/>
      <c r="AJ722" s="1883"/>
      <c r="AK722" s="1883"/>
      <c r="AL722" s="1883"/>
      <c r="AM722" s="1883"/>
      <c r="AN722" s="1883"/>
      <c r="AO722" s="1883"/>
      <c r="AP722" s="1898"/>
      <c r="AR722" s="9"/>
      <c r="AS722" s="9"/>
      <c r="AT722" s="9"/>
      <c r="AU722" s="9"/>
      <c r="AV722" s="9"/>
      <c r="AW722" s="9"/>
      <c r="AX722" s="14"/>
      <c r="AY722" s="14"/>
      <c r="AZ722" s="14"/>
      <c r="BA722" s="14"/>
      <c r="BB722" s="1394" t="str">
        <f>IF(ISBLANK(BC722),"",LARGE(BB711:BB721,1)+1)</f>
        <v/>
      </c>
      <c r="BC722" s="1896"/>
      <c r="BD722" s="1883"/>
      <c r="BE722" s="1883"/>
      <c r="BF722" s="1883"/>
      <c r="BG722" s="1883"/>
      <c r="BH722" s="1883"/>
      <c r="BI722" s="1883"/>
      <c r="BJ722" s="1883"/>
      <c r="BK722" s="1898"/>
      <c r="BM722" s="3">
        <v>1</v>
      </c>
    </row>
    <row r="723" spans="2:65" ht="21" customHeight="1">
      <c r="B723" s="14"/>
      <c r="C723" s="9"/>
      <c r="D723" s="9"/>
      <c r="E723" s="9"/>
      <c r="F723" s="14"/>
      <c r="G723" s="14"/>
      <c r="H723" s="14"/>
      <c r="I723" s="14"/>
      <c r="J723" s="14"/>
      <c r="K723" s="14"/>
      <c r="L723" s="1394" t="str">
        <f>IF(ISBLANK(M723),"",LARGE(L711:L722,1)+1)</f>
        <v/>
      </c>
      <c r="M723" s="1896"/>
      <c r="N723" s="1883"/>
      <c r="O723" s="1883"/>
      <c r="P723" s="1883"/>
      <c r="Q723" s="1883"/>
      <c r="R723" s="1883"/>
      <c r="S723" s="1883"/>
      <c r="T723" s="1883"/>
      <c r="U723" s="1898"/>
      <c r="W723" s="14"/>
      <c r="X723" s="9"/>
      <c r="Y723" s="9"/>
      <c r="Z723" s="9"/>
      <c r="AA723" s="14"/>
      <c r="AB723" s="14"/>
      <c r="AC723" s="14"/>
      <c r="AD723" s="14"/>
      <c r="AE723" s="14"/>
      <c r="AF723" s="14"/>
      <c r="AG723" s="1394" t="str">
        <f>IF(ISBLANK(AH723),"",LARGE(AG711:AG722,1)+1)</f>
        <v/>
      </c>
      <c r="AH723" s="1896"/>
      <c r="AI723" s="1883"/>
      <c r="AJ723" s="1883"/>
      <c r="AK723" s="1883"/>
      <c r="AL723" s="1883"/>
      <c r="AM723" s="1883"/>
      <c r="AN723" s="1883"/>
      <c r="AO723" s="1883"/>
      <c r="AP723" s="1898"/>
      <c r="AR723" s="14"/>
      <c r="AS723" s="9"/>
      <c r="AT723" s="9"/>
      <c r="AU723" s="9"/>
      <c r="AV723" s="14"/>
      <c r="AW723" s="14"/>
      <c r="AX723" s="14"/>
      <c r="AY723" s="14"/>
      <c r="AZ723" s="14"/>
      <c r="BA723" s="14"/>
      <c r="BB723" s="1394" t="str">
        <f>IF(ISBLANK(BC723),"",LARGE(BB711:BB722,1)+1)</f>
        <v/>
      </c>
      <c r="BC723" s="1896"/>
      <c r="BD723" s="1883"/>
      <c r="BE723" s="1883"/>
      <c r="BF723" s="1883"/>
      <c r="BG723" s="1883"/>
      <c r="BH723" s="1883"/>
      <c r="BI723" s="1883"/>
      <c r="BJ723" s="1883"/>
      <c r="BK723" s="1898"/>
      <c r="BM723" s="3">
        <v>1</v>
      </c>
    </row>
    <row r="724" spans="2:65" ht="21" customHeight="1">
      <c r="B724" s="14"/>
      <c r="C724" s="9"/>
      <c r="D724" s="9"/>
      <c r="E724" s="9"/>
      <c r="F724" s="14"/>
      <c r="G724" s="14"/>
      <c r="H724" s="14"/>
      <c r="I724" s="14"/>
      <c r="J724" s="14"/>
      <c r="K724" s="14"/>
      <c r="L724" s="1394" t="str">
        <f>IF(ISBLANK(M724),"",LARGE(L711:L723,1)+1)</f>
        <v/>
      </c>
      <c r="M724" s="1896"/>
      <c r="N724" s="1883"/>
      <c r="O724" s="1883"/>
      <c r="P724" s="1883"/>
      <c r="Q724" s="1883"/>
      <c r="R724" s="1883"/>
      <c r="S724" s="1883"/>
      <c r="T724" s="1883"/>
      <c r="U724" s="1898"/>
      <c r="W724" s="14"/>
      <c r="X724" s="9"/>
      <c r="Y724" s="9"/>
      <c r="Z724" s="9"/>
      <c r="AA724" s="14"/>
      <c r="AB724" s="14"/>
      <c r="AC724" s="14"/>
      <c r="AD724" s="14"/>
      <c r="AE724" s="14"/>
      <c r="AF724" s="14"/>
      <c r="AG724" s="1394" t="str">
        <f>IF(ISBLANK(AH724),"",LARGE(AG711:AG723,1)+1)</f>
        <v/>
      </c>
      <c r="AH724" s="1896"/>
      <c r="AI724" s="1883"/>
      <c r="AJ724" s="1883"/>
      <c r="AK724" s="1883"/>
      <c r="AL724" s="1883"/>
      <c r="AM724" s="1883"/>
      <c r="AN724" s="1883"/>
      <c r="AO724" s="1883"/>
      <c r="AP724" s="1898"/>
      <c r="AR724" s="14"/>
      <c r="AS724" s="9"/>
      <c r="AT724" s="9"/>
      <c r="AU724" s="9"/>
      <c r="AV724" s="14"/>
      <c r="AW724" s="14"/>
      <c r="AX724" s="14"/>
      <c r="AY724" s="14"/>
      <c r="AZ724" s="14"/>
      <c r="BA724" s="14"/>
      <c r="BB724" s="1394" t="str">
        <f>IF(ISBLANK(BC724),"",LARGE(BB711:BB723,1)+1)</f>
        <v/>
      </c>
      <c r="BC724" s="1896"/>
      <c r="BD724" s="1883"/>
      <c r="BE724" s="1883"/>
      <c r="BF724" s="1883"/>
      <c r="BG724" s="1883"/>
      <c r="BH724" s="1883"/>
      <c r="BI724" s="1883"/>
      <c r="BJ724" s="1883"/>
      <c r="BK724" s="1898"/>
      <c r="BM724" s="3">
        <v>1</v>
      </c>
    </row>
    <row r="725" spans="2:65" ht="21" customHeight="1">
      <c r="B725" s="14"/>
      <c r="C725" s="9"/>
      <c r="D725" s="9"/>
      <c r="E725" s="9"/>
      <c r="F725" s="14"/>
      <c r="G725" s="14"/>
      <c r="H725" s="14"/>
      <c r="I725" s="14"/>
      <c r="J725" s="14"/>
      <c r="K725" s="14"/>
      <c r="L725" s="1394" t="str">
        <f>IF(ISBLANK(M725),"",LARGE(L711:L724,1)+1)</f>
        <v/>
      </c>
      <c r="M725" s="1896"/>
      <c r="N725" s="1883"/>
      <c r="O725" s="1883"/>
      <c r="P725" s="1883"/>
      <c r="Q725" s="1883"/>
      <c r="R725" s="1883"/>
      <c r="S725" s="1883"/>
      <c r="T725" s="1883"/>
      <c r="U725" s="1898"/>
      <c r="W725" s="14"/>
      <c r="X725" s="9"/>
      <c r="Y725" s="9"/>
      <c r="Z725" s="9"/>
      <c r="AA725" s="14"/>
      <c r="AB725" s="14"/>
      <c r="AC725" s="14"/>
      <c r="AD725" s="14"/>
      <c r="AE725" s="14"/>
      <c r="AF725" s="14"/>
      <c r="AG725" s="1394" t="str">
        <f>IF(ISBLANK(AH725),"",LARGE(AG711:AG724,1)+1)</f>
        <v/>
      </c>
      <c r="AH725" s="1896"/>
      <c r="AI725" s="1883"/>
      <c r="AJ725" s="1883"/>
      <c r="AK725" s="1883"/>
      <c r="AL725" s="1883"/>
      <c r="AM725" s="1883"/>
      <c r="AN725" s="1883"/>
      <c r="AO725" s="1883"/>
      <c r="AP725" s="1898"/>
      <c r="AR725" s="14"/>
      <c r="AS725" s="9"/>
      <c r="AT725" s="9"/>
      <c r="AU725" s="9"/>
      <c r="AV725" s="14"/>
      <c r="AW725" s="14"/>
      <c r="AX725" s="14"/>
      <c r="AY725" s="14"/>
      <c r="AZ725" s="14"/>
      <c r="BA725" s="14"/>
      <c r="BB725" s="1394" t="str">
        <f>IF(ISBLANK(BC725),"",LARGE(BB711:BB724,1)+1)</f>
        <v/>
      </c>
      <c r="BC725" s="1896"/>
      <c r="BD725" s="1883"/>
      <c r="BE725" s="1883"/>
      <c r="BF725" s="1883"/>
      <c r="BG725" s="1883"/>
      <c r="BH725" s="1883"/>
      <c r="BI725" s="1883"/>
      <c r="BJ725" s="1883"/>
      <c r="BK725" s="1898"/>
      <c r="BM725" s="3">
        <v>1</v>
      </c>
    </row>
    <row r="726" spans="2:65" ht="21" customHeight="1">
      <c r="B726" s="14"/>
      <c r="C726" s="9"/>
      <c r="D726" s="9"/>
      <c r="E726" s="9"/>
      <c r="F726" s="14"/>
      <c r="G726" s="14"/>
      <c r="H726" s="14"/>
      <c r="I726" s="14"/>
      <c r="J726" s="14"/>
      <c r="K726" s="14"/>
      <c r="L726" s="1394" t="str">
        <f>IF(ISBLANK(M726),"",LARGE(L711:L725,1)+1)</f>
        <v/>
      </c>
      <c r="M726" s="1896"/>
      <c r="N726" s="1883"/>
      <c r="O726" s="1883"/>
      <c r="P726" s="1883"/>
      <c r="Q726" s="1883"/>
      <c r="R726" s="1883"/>
      <c r="S726" s="1883"/>
      <c r="T726" s="1883"/>
      <c r="U726" s="1898"/>
      <c r="W726" s="14"/>
      <c r="X726" s="9"/>
      <c r="Y726" s="9"/>
      <c r="Z726" s="9"/>
      <c r="AA726" s="14"/>
      <c r="AB726" s="14"/>
      <c r="AC726" s="14"/>
      <c r="AD726" s="14"/>
      <c r="AE726" s="14"/>
      <c r="AF726" s="14"/>
      <c r="AG726" s="1394" t="str">
        <f>IF(ISBLANK(AH726),"",LARGE(AG711:AG725,1)+1)</f>
        <v/>
      </c>
      <c r="AH726" s="1896"/>
      <c r="AI726" s="1883"/>
      <c r="AJ726" s="1883"/>
      <c r="AK726" s="1883"/>
      <c r="AL726" s="1883"/>
      <c r="AM726" s="1883"/>
      <c r="AN726" s="1883"/>
      <c r="AO726" s="1883"/>
      <c r="AP726" s="1898"/>
      <c r="AR726" s="14"/>
      <c r="AS726" s="9"/>
      <c r="AT726" s="9"/>
      <c r="AU726" s="9"/>
      <c r="AV726" s="14"/>
      <c r="AW726" s="14"/>
      <c r="AX726" s="14"/>
      <c r="AY726" s="14"/>
      <c r="AZ726" s="14"/>
      <c r="BA726" s="14"/>
      <c r="BB726" s="1394" t="str">
        <f>IF(ISBLANK(BC726),"",LARGE(BB711:BB725,1)+1)</f>
        <v/>
      </c>
      <c r="BC726" s="1896"/>
      <c r="BD726" s="1883"/>
      <c r="BE726" s="1883"/>
      <c r="BF726" s="1883"/>
      <c r="BG726" s="1883"/>
      <c r="BH726" s="1883"/>
      <c r="BI726" s="1883"/>
      <c r="BJ726" s="1883"/>
      <c r="BK726" s="1898"/>
      <c r="BM726" s="3">
        <v>1</v>
      </c>
    </row>
    <row r="727" spans="2:65" ht="21" customHeight="1">
      <c r="B727" s="14"/>
      <c r="C727" s="9"/>
      <c r="D727" s="9"/>
      <c r="E727" s="9"/>
      <c r="F727" s="14"/>
      <c r="G727" s="14"/>
      <c r="H727" s="14"/>
      <c r="I727" s="14"/>
      <c r="J727" s="14"/>
      <c r="K727" s="14"/>
      <c r="L727" s="1394" t="str">
        <f>IF(ISBLANK(M727),"",LARGE(L711:L726,1)+1)</f>
        <v/>
      </c>
      <c r="M727" s="1896"/>
      <c r="N727" s="1883"/>
      <c r="O727" s="1883"/>
      <c r="P727" s="1883"/>
      <c r="Q727" s="1883"/>
      <c r="R727" s="1883"/>
      <c r="S727" s="1883"/>
      <c r="T727" s="1883"/>
      <c r="U727" s="1898"/>
      <c r="W727" s="14"/>
      <c r="X727" s="9"/>
      <c r="Y727" s="9"/>
      <c r="Z727" s="9"/>
      <c r="AA727" s="14"/>
      <c r="AB727" s="14"/>
      <c r="AC727" s="14"/>
      <c r="AD727" s="14"/>
      <c r="AE727" s="14"/>
      <c r="AF727" s="14"/>
      <c r="AG727" s="1394" t="str">
        <f>IF(ISBLANK(AH727),"",LARGE(AG711:AG726,1)+1)</f>
        <v/>
      </c>
      <c r="AH727" s="1896"/>
      <c r="AI727" s="1883"/>
      <c r="AJ727" s="1883"/>
      <c r="AK727" s="1883"/>
      <c r="AL727" s="1883"/>
      <c r="AM727" s="1883"/>
      <c r="AN727" s="1883"/>
      <c r="AO727" s="1883"/>
      <c r="AP727" s="1898"/>
      <c r="AR727" s="14"/>
      <c r="AS727" s="9"/>
      <c r="AT727" s="9"/>
      <c r="AU727" s="9"/>
      <c r="AV727" s="14"/>
      <c r="AW727" s="14"/>
      <c r="AX727" s="14"/>
      <c r="AY727" s="14"/>
      <c r="AZ727" s="14"/>
      <c r="BA727" s="14"/>
      <c r="BB727" s="1394" t="str">
        <f>IF(ISBLANK(BC727),"",LARGE(BB711:BB726,1)+1)</f>
        <v/>
      </c>
      <c r="BC727" s="1896"/>
      <c r="BD727" s="1883"/>
      <c r="BE727" s="1883"/>
      <c r="BF727" s="1883"/>
      <c r="BG727" s="1883"/>
      <c r="BH727" s="1883"/>
      <c r="BI727" s="1883"/>
      <c r="BJ727" s="1883"/>
      <c r="BK727" s="1898"/>
      <c r="BM727" s="3">
        <v>1</v>
      </c>
    </row>
    <row r="728" spans="2:65" ht="21" customHeight="1">
      <c r="B728" s="14"/>
      <c r="C728" s="9"/>
      <c r="D728" s="9"/>
      <c r="E728" s="9"/>
      <c r="F728" s="14"/>
      <c r="G728" s="14"/>
      <c r="H728" s="14"/>
      <c r="I728" s="14"/>
      <c r="J728" s="14"/>
      <c r="K728" s="14"/>
      <c r="L728" s="1394" t="str">
        <f>IF(ISBLANK(M728),"",LARGE(L711:L727,1)+1)</f>
        <v/>
      </c>
      <c r="M728" s="1896"/>
      <c r="N728" s="1883"/>
      <c r="O728" s="1883"/>
      <c r="P728" s="1883"/>
      <c r="Q728" s="1883"/>
      <c r="R728" s="1883"/>
      <c r="S728" s="1883"/>
      <c r="T728" s="1883"/>
      <c r="U728" s="1898"/>
      <c r="W728" s="14"/>
      <c r="X728" s="9"/>
      <c r="Y728" s="9"/>
      <c r="Z728" s="9"/>
      <c r="AA728" s="14"/>
      <c r="AB728" s="14"/>
      <c r="AC728" s="14"/>
      <c r="AD728" s="14"/>
      <c r="AE728" s="14"/>
      <c r="AF728" s="14"/>
      <c r="AG728" s="1394" t="str">
        <f>IF(ISBLANK(AH728),"",LARGE(AG711:AG727,1)+1)</f>
        <v/>
      </c>
      <c r="AH728" s="1896"/>
      <c r="AI728" s="1883"/>
      <c r="AJ728" s="1883"/>
      <c r="AK728" s="1883"/>
      <c r="AL728" s="1883"/>
      <c r="AM728" s="1883"/>
      <c r="AN728" s="1883"/>
      <c r="AO728" s="1883"/>
      <c r="AP728" s="1898"/>
      <c r="AR728" s="14"/>
      <c r="AS728" s="9"/>
      <c r="AT728" s="9"/>
      <c r="AU728" s="9"/>
      <c r="AV728" s="14"/>
      <c r="AW728" s="14"/>
      <c r="AX728" s="14"/>
      <c r="AY728" s="14"/>
      <c r="AZ728" s="14"/>
      <c r="BA728" s="14"/>
      <c r="BB728" s="1394" t="str">
        <f>IF(ISBLANK(BC728),"",LARGE(BB711:BB727,1)+1)</f>
        <v/>
      </c>
      <c r="BC728" s="1896"/>
      <c r="BD728" s="1883"/>
      <c r="BE728" s="1883"/>
      <c r="BF728" s="1883"/>
      <c r="BG728" s="1883"/>
      <c r="BH728" s="1883"/>
      <c r="BI728" s="1883"/>
      <c r="BJ728" s="1883"/>
      <c r="BK728" s="1898"/>
      <c r="BM728" s="3">
        <v>1</v>
      </c>
    </row>
    <row r="729" spans="2:65" ht="21" customHeight="1">
      <c r="B729" s="14"/>
      <c r="C729" s="9"/>
      <c r="D729" s="9"/>
      <c r="E729" s="9"/>
      <c r="F729" s="14"/>
      <c r="G729" s="14"/>
      <c r="H729" s="14"/>
      <c r="I729" s="14"/>
      <c r="J729" s="14"/>
      <c r="K729" s="14"/>
      <c r="L729" s="1394" t="str">
        <f>IF(ISBLANK(M729),"",LARGE(L711:L728,1)+1)</f>
        <v/>
      </c>
      <c r="M729" s="1896"/>
      <c r="N729" s="1883"/>
      <c r="O729" s="347"/>
      <c r="P729" s="1883"/>
      <c r="Q729" s="1883"/>
      <c r="R729" s="1883"/>
      <c r="S729" s="1883"/>
      <c r="T729" s="1883"/>
      <c r="U729" s="1898"/>
      <c r="W729" s="14"/>
      <c r="X729" s="9"/>
      <c r="Y729" s="9"/>
      <c r="Z729" s="9"/>
      <c r="AA729" s="14"/>
      <c r="AB729" s="14"/>
      <c r="AC729" s="14"/>
      <c r="AD729" s="14"/>
      <c r="AE729" s="14"/>
      <c r="AF729" s="14"/>
      <c r="AG729" s="1394" t="str">
        <f>IF(ISBLANK(AH729),"",LARGE(AG711:AG728,1)+1)</f>
        <v/>
      </c>
      <c r="AH729" s="1896"/>
      <c r="AI729" s="1883"/>
      <c r="AJ729" s="347"/>
      <c r="AK729" s="1883"/>
      <c r="AL729" s="1883"/>
      <c r="AM729" s="1883"/>
      <c r="AN729" s="1883"/>
      <c r="AO729" s="1883"/>
      <c r="AP729" s="1898"/>
      <c r="AR729" s="14"/>
      <c r="AS729" s="9"/>
      <c r="AT729" s="9"/>
      <c r="AU729" s="9"/>
      <c r="AV729" s="14"/>
      <c r="AW729" s="14"/>
      <c r="AX729" s="14"/>
      <c r="AY729" s="14"/>
      <c r="AZ729" s="14"/>
      <c r="BA729" s="14"/>
      <c r="BB729" s="1394" t="str">
        <f>IF(ISBLANK(BC729),"",LARGE(BB711:BB728,1)+1)</f>
        <v/>
      </c>
      <c r="BC729" s="1896"/>
      <c r="BD729" s="1883"/>
      <c r="BE729" s="347"/>
      <c r="BF729" s="1883"/>
      <c r="BG729" s="1883"/>
      <c r="BH729" s="1883"/>
      <c r="BI729" s="1883"/>
      <c r="BJ729" s="1883"/>
      <c r="BK729" s="1898"/>
      <c r="BM729" s="3">
        <v>1</v>
      </c>
    </row>
    <row r="730" spans="2:65" ht="21" customHeight="1">
      <c r="B730" s="14"/>
      <c r="C730" s="9"/>
      <c r="D730" s="9"/>
      <c r="E730" s="9"/>
      <c r="F730" s="14"/>
      <c r="G730" s="14"/>
      <c r="H730" s="14"/>
      <c r="I730" s="14"/>
      <c r="J730" s="14"/>
      <c r="K730" s="14"/>
      <c r="L730" s="1963" t="s">
        <v>8629</v>
      </c>
      <c r="M730" s="1844"/>
      <c r="N730" s="1844"/>
      <c r="O730" s="1844"/>
      <c r="P730" s="1844"/>
      <c r="Q730" s="1844"/>
      <c r="R730" s="1844"/>
      <c r="S730" s="1844"/>
      <c r="T730" s="1844"/>
      <c r="U730" s="1964" t="s">
        <v>8629</v>
      </c>
      <c r="W730" s="14"/>
      <c r="X730" s="9"/>
      <c r="Y730" s="9"/>
      <c r="Z730" s="9"/>
      <c r="AA730" s="14"/>
      <c r="AB730" s="14"/>
      <c r="AC730" s="14"/>
      <c r="AD730" s="14"/>
      <c r="AE730" s="14"/>
      <c r="AF730" s="14"/>
      <c r="AG730" s="1963" t="s">
        <v>8630</v>
      </c>
      <c r="AH730" s="1844"/>
      <c r="AI730" s="1844"/>
      <c r="AJ730" s="1844"/>
      <c r="AK730" s="1844"/>
      <c r="AL730" s="1844"/>
      <c r="AM730" s="1844"/>
      <c r="AN730" s="1844"/>
      <c r="AO730" s="1844"/>
      <c r="AP730" s="1964" t="s">
        <v>8630</v>
      </c>
      <c r="BB730" s="1963" t="s">
        <v>8631</v>
      </c>
      <c r="BC730" s="1844"/>
      <c r="BD730" s="1844"/>
      <c r="BE730" s="1844"/>
      <c r="BF730" s="1844"/>
      <c r="BG730" s="1844"/>
      <c r="BH730" s="1844"/>
      <c r="BI730" s="1844"/>
      <c r="BJ730" s="1844"/>
      <c r="BK730" s="1964" t="s">
        <v>8631</v>
      </c>
      <c r="BM730" s="3">
        <v>1</v>
      </c>
    </row>
    <row r="731" spans="2:65" ht="21" customHeight="1">
      <c r="B731" s="14"/>
      <c r="C731" s="9"/>
      <c r="D731" s="9"/>
      <c r="E731" s="9"/>
      <c r="F731" s="14"/>
      <c r="G731" s="14"/>
      <c r="H731" s="14"/>
      <c r="I731" s="14"/>
      <c r="J731" s="14"/>
      <c r="K731" s="14"/>
      <c r="L731" s="1372" t="s">
        <v>8145</v>
      </c>
      <c r="M731" s="1428" t="s">
        <v>821</v>
      </c>
      <c r="N731" s="1824"/>
      <c r="O731" s="419"/>
      <c r="P731" s="419"/>
      <c r="Q731" s="419"/>
      <c r="R731" s="420"/>
      <c r="S731" s="420"/>
      <c r="T731" s="420" t="s">
        <v>654</v>
      </c>
      <c r="U731" s="608" t="s">
        <v>718</v>
      </c>
      <c r="W731" s="14"/>
      <c r="X731" s="9"/>
      <c r="Y731" s="9"/>
      <c r="Z731" s="9"/>
      <c r="AA731" s="14"/>
      <c r="AB731" s="14"/>
      <c r="AC731" s="14"/>
      <c r="AD731" s="14"/>
      <c r="AE731" s="14"/>
      <c r="AF731" s="14"/>
      <c r="AG731" s="1388" t="s">
        <v>8216</v>
      </c>
      <c r="AH731" s="1428" t="s">
        <v>8197</v>
      </c>
      <c r="AI731" s="1824"/>
      <c r="AJ731" s="419"/>
      <c r="AK731" s="419"/>
      <c r="AL731" s="419"/>
      <c r="AM731" s="420"/>
      <c r="AN731" s="420"/>
      <c r="AO731" s="420" t="s">
        <v>1465</v>
      </c>
      <c r="AP731" s="608" t="s">
        <v>1474</v>
      </c>
      <c r="AR731" s="14"/>
      <c r="AS731" s="9"/>
      <c r="AT731" s="9"/>
      <c r="AU731" s="9"/>
      <c r="AV731" s="14"/>
      <c r="AW731" s="14"/>
      <c r="AX731" s="14"/>
      <c r="AY731" s="14"/>
      <c r="AZ731" s="14"/>
      <c r="BA731" s="14"/>
      <c r="BB731" s="1372" t="s">
        <v>8217</v>
      </c>
      <c r="BC731" s="1428" t="s">
        <v>874</v>
      </c>
      <c r="BD731" s="1824"/>
      <c r="BE731" s="419"/>
      <c r="BF731" s="419"/>
      <c r="BG731" s="419"/>
      <c r="BH731" s="420"/>
      <c r="BI731" s="420"/>
      <c r="BJ731" s="420" t="s">
        <v>654</v>
      </c>
      <c r="BK731" s="608" t="s">
        <v>718</v>
      </c>
      <c r="BM731" s="3">
        <v>1</v>
      </c>
    </row>
    <row r="732" spans="2:65" ht="21" customHeight="1">
      <c r="B732" s="14"/>
      <c r="C732" s="9"/>
      <c r="D732" s="9"/>
      <c r="E732" s="9"/>
      <c r="F732" s="14"/>
      <c r="G732" s="14"/>
      <c r="H732" s="14"/>
      <c r="I732" s="14"/>
      <c r="J732" s="14"/>
      <c r="K732" s="14"/>
      <c r="L732" s="1392">
        <v>0</v>
      </c>
      <c r="M732" s="1866" t="s">
        <v>8146</v>
      </c>
      <c r="N732" s="1416"/>
      <c r="O732" s="14"/>
      <c r="P732" s="186"/>
      <c r="Q732" s="186"/>
      <c r="R732" s="186"/>
      <c r="S732" s="186"/>
      <c r="T732" s="555"/>
      <c r="U732" s="1407" t="s">
        <v>196</v>
      </c>
      <c r="W732" s="14"/>
      <c r="X732" s="9"/>
      <c r="Y732" s="9"/>
      <c r="Z732" s="9"/>
      <c r="AA732" s="14"/>
      <c r="AB732" s="14"/>
      <c r="AC732" s="14"/>
      <c r="AD732" s="14"/>
      <c r="AE732" s="14"/>
      <c r="AF732" s="14"/>
      <c r="AG732" s="1392">
        <v>0</v>
      </c>
      <c r="AH732" s="1866" t="s">
        <v>8198</v>
      </c>
      <c r="AI732" s="1416"/>
      <c r="AJ732" s="14"/>
      <c r="AK732" s="186"/>
      <c r="AL732" s="186"/>
      <c r="AM732" s="186"/>
      <c r="AN732" s="186"/>
      <c r="AO732" s="555"/>
      <c r="AP732" s="1407" t="s">
        <v>879</v>
      </c>
      <c r="AR732" s="14"/>
      <c r="AS732" s="9"/>
      <c r="AT732" s="9"/>
      <c r="AU732" s="9"/>
      <c r="AV732" s="14"/>
      <c r="AW732" s="14"/>
      <c r="AX732" s="14"/>
      <c r="AY732" s="14"/>
      <c r="AZ732" s="14"/>
      <c r="BA732" s="14"/>
      <c r="BB732" s="1392">
        <v>0</v>
      </c>
      <c r="BC732" s="1866" t="s">
        <v>8193</v>
      </c>
      <c r="BD732" s="1416"/>
      <c r="BE732" s="14"/>
      <c r="BF732" s="186"/>
      <c r="BG732" s="186"/>
      <c r="BH732" s="186"/>
      <c r="BI732" s="186"/>
      <c r="BJ732" s="555"/>
      <c r="BK732" s="1407" t="s">
        <v>879</v>
      </c>
      <c r="BM732" s="3">
        <v>1</v>
      </c>
    </row>
    <row r="733" spans="2:65" ht="21" customHeight="1">
      <c r="B733" s="14"/>
      <c r="C733" s="9"/>
      <c r="D733" s="9"/>
      <c r="E733" s="9"/>
      <c r="F733" s="14"/>
      <c r="G733" s="14"/>
      <c r="H733" s="14"/>
      <c r="I733" s="14"/>
      <c r="J733" s="14"/>
      <c r="K733" s="14"/>
      <c r="L733" s="1394" t="str">
        <f>IF(ISBLANK(M733),"",LARGE(L732:L732,1)+1)</f>
        <v/>
      </c>
      <c r="M733" s="1866"/>
      <c r="N733" s="1416"/>
      <c r="O733" s="1883"/>
      <c r="P733" s="1883"/>
      <c r="Q733" s="1883"/>
      <c r="R733" s="1883"/>
      <c r="S733" s="1883"/>
      <c r="T733" s="582">
        <v>10</v>
      </c>
      <c r="U733" s="1456" t="s">
        <v>722</v>
      </c>
      <c r="W733" s="14"/>
      <c r="X733" s="9"/>
      <c r="Y733" s="9"/>
      <c r="Z733" s="9"/>
      <c r="AA733" s="14"/>
      <c r="AB733" s="14"/>
      <c r="AC733" s="14"/>
      <c r="AD733" s="14"/>
      <c r="AE733" s="14"/>
      <c r="AF733" s="14"/>
      <c r="AG733" s="1394" t="str">
        <f>IF(ISBLANK(AH733),"",LARGE(AG732:AG732,1)+1)</f>
        <v/>
      </c>
      <c r="AH733" s="1866"/>
      <c r="AI733" s="1416"/>
      <c r="AJ733" s="1883"/>
      <c r="AK733" s="1883"/>
      <c r="AL733" s="1883"/>
      <c r="AM733" s="1883"/>
      <c r="AN733" s="1883"/>
      <c r="AO733" s="582">
        <v>10</v>
      </c>
      <c r="AP733" s="1456" t="s">
        <v>1476</v>
      </c>
      <c r="AR733" s="14"/>
      <c r="AS733" s="9"/>
      <c r="AT733" s="9"/>
      <c r="AU733" s="9"/>
      <c r="AV733" s="14"/>
      <c r="AW733" s="14"/>
      <c r="AX733" s="14"/>
      <c r="AY733" s="14"/>
      <c r="AZ733" s="14"/>
      <c r="BA733" s="14"/>
      <c r="BB733" s="1394" t="str">
        <f>IF(ISBLANK(BC733),"",LARGE(BB732:BB732,1)+1)</f>
        <v/>
      </c>
      <c r="BC733" s="1866"/>
      <c r="BD733" s="1416"/>
      <c r="BE733" s="1883"/>
      <c r="BF733" s="1883"/>
      <c r="BG733" s="1883"/>
      <c r="BH733" s="1883"/>
      <c r="BI733" s="1883"/>
      <c r="BJ733" s="582">
        <v>10</v>
      </c>
      <c r="BK733" s="1456" t="s">
        <v>722</v>
      </c>
      <c r="BM733" s="3">
        <v>1</v>
      </c>
    </row>
    <row r="734" spans="2:65" ht="21" customHeight="1">
      <c r="B734" s="14"/>
      <c r="C734" s="9"/>
      <c r="D734" s="9"/>
      <c r="E734" s="9"/>
      <c r="F734" s="14"/>
      <c r="G734" s="14"/>
      <c r="H734" s="14"/>
      <c r="I734" s="14"/>
      <c r="J734" s="14"/>
      <c r="K734" s="14"/>
      <c r="L734" s="1394" t="str">
        <f>IF(ISBLANK(M734),"",LARGE(L732:L733,1)+1)</f>
        <v/>
      </c>
      <c r="M734" s="1896"/>
      <c r="N734" s="1883"/>
      <c r="O734" s="1883"/>
      <c r="P734" s="1883"/>
      <c r="Q734" s="1883"/>
      <c r="R734" s="1883"/>
      <c r="S734" s="1883"/>
      <c r="T734" s="584">
        <v>15</v>
      </c>
      <c r="U734" s="1457" t="s">
        <v>724</v>
      </c>
      <c r="W734" s="14"/>
      <c r="X734" s="9"/>
      <c r="Y734" s="9"/>
      <c r="Z734" s="9"/>
      <c r="AA734" s="14"/>
      <c r="AB734" s="14"/>
      <c r="AC734" s="14"/>
      <c r="AD734" s="14"/>
      <c r="AE734" s="14"/>
      <c r="AF734" s="14"/>
      <c r="AG734" s="1394" t="str">
        <f>IF(ISBLANK(AH734),"",LARGE(AG732:AG733,1)+1)</f>
        <v/>
      </c>
      <c r="AH734" s="1896"/>
      <c r="AI734" s="1883"/>
      <c r="AJ734" s="1883"/>
      <c r="AK734" s="1883"/>
      <c r="AL734" s="1883"/>
      <c r="AM734" s="1883"/>
      <c r="AN734" s="1883"/>
      <c r="AO734" s="584">
        <v>15</v>
      </c>
      <c r="AP734" s="1457" t="s">
        <v>1478</v>
      </c>
      <c r="AR734" s="14"/>
      <c r="AS734" s="9"/>
      <c r="AT734" s="9"/>
      <c r="AU734" s="9"/>
      <c r="AV734" s="14"/>
      <c r="AW734" s="14"/>
      <c r="AX734" s="14"/>
      <c r="AY734" s="14"/>
      <c r="AZ734" s="14"/>
      <c r="BA734" s="14"/>
      <c r="BB734" s="1394" t="str">
        <f>IF(ISBLANK(BC734),"",LARGE(BB732:BB733,1)+1)</f>
        <v/>
      </c>
      <c r="BC734" s="1896"/>
      <c r="BD734" s="1883"/>
      <c r="BE734" s="1883"/>
      <c r="BF734" s="1883"/>
      <c r="BG734" s="1883"/>
      <c r="BH734" s="1883"/>
      <c r="BI734" s="1883"/>
      <c r="BJ734" s="584">
        <v>15</v>
      </c>
      <c r="BK734" s="1457" t="s">
        <v>724</v>
      </c>
      <c r="BM734" s="3">
        <v>1</v>
      </c>
    </row>
    <row r="735" spans="2:65" ht="21" customHeight="1">
      <c r="B735" s="14"/>
      <c r="C735" s="9"/>
      <c r="D735" s="9"/>
      <c r="E735" s="9"/>
      <c r="F735" s="14"/>
      <c r="G735" s="14"/>
      <c r="H735" s="14"/>
      <c r="I735" s="14"/>
      <c r="J735" s="14"/>
      <c r="K735" s="14"/>
      <c r="L735" s="1394" t="str">
        <f>IF(ISBLANK(M735),"",LARGE(L732:L734,1)+1)</f>
        <v/>
      </c>
      <c r="M735" s="1896"/>
      <c r="N735" s="1883"/>
      <c r="O735" s="1883"/>
      <c r="P735" s="1883"/>
      <c r="Q735" s="1883"/>
      <c r="R735" s="1883"/>
      <c r="S735" s="1883"/>
      <c r="T735" s="1458">
        <f>IF(T733=0,0,IF(T734=0,0,T734-T733))</f>
        <v>5</v>
      </c>
      <c r="U735" s="1459" t="s">
        <v>728</v>
      </c>
      <c r="W735" s="14"/>
      <c r="X735" s="9"/>
      <c r="Y735" s="9"/>
      <c r="Z735" s="9"/>
      <c r="AA735" s="14"/>
      <c r="AB735" s="14"/>
      <c r="AC735" s="14"/>
      <c r="AD735" s="14"/>
      <c r="AE735" s="14"/>
      <c r="AF735" s="14"/>
      <c r="AG735" s="1394" t="str">
        <f>IF(ISBLANK(AH735),"",LARGE(AG732:AG734,1)+1)</f>
        <v/>
      </c>
      <c r="AH735" s="1896"/>
      <c r="AI735" s="1883"/>
      <c r="AJ735" s="1883"/>
      <c r="AK735" s="1883"/>
      <c r="AL735" s="1883"/>
      <c r="AM735" s="1883"/>
      <c r="AN735" s="1883"/>
      <c r="AO735" s="1458">
        <f>IF(AO733=0,0,IF(AO734=0,0,AO734-AO733))</f>
        <v>5</v>
      </c>
      <c r="AP735" s="1459" t="s">
        <v>1480</v>
      </c>
      <c r="AR735" s="14"/>
      <c r="AS735" s="9"/>
      <c r="AT735" s="9"/>
      <c r="AU735" s="9"/>
      <c r="AV735" s="14"/>
      <c r="AW735" s="14"/>
      <c r="AX735" s="14"/>
      <c r="AY735" s="14"/>
      <c r="AZ735" s="14"/>
      <c r="BA735" s="14"/>
      <c r="BB735" s="1394" t="str">
        <f>IF(ISBLANK(BC735),"",LARGE(BB732:BB734,1)+1)</f>
        <v/>
      </c>
      <c r="BC735" s="1896"/>
      <c r="BD735" s="1883"/>
      <c r="BE735" s="1883"/>
      <c r="BF735" s="1883"/>
      <c r="BG735" s="1883"/>
      <c r="BH735" s="1883"/>
      <c r="BI735" s="1883"/>
      <c r="BJ735" s="1458">
        <f>IF(BJ733=0,0,IF(BJ734=0,0,BJ734-BJ733))</f>
        <v>5</v>
      </c>
      <c r="BK735" s="1459" t="s">
        <v>728</v>
      </c>
      <c r="BM735" s="3">
        <v>1</v>
      </c>
    </row>
    <row r="736" spans="2:65" ht="21" customHeight="1">
      <c r="B736" s="14"/>
      <c r="C736" s="9"/>
      <c r="D736" s="9"/>
      <c r="E736" s="9"/>
      <c r="F736" s="14"/>
      <c r="G736" s="14"/>
      <c r="H736" s="14"/>
      <c r="I736" s="14"/>
      <c r="J736" s="14"/>
      <c r="K736" s="14"/>
      <c r="L736" s="1394" t="str">
        <f>IF(ISBLANK(M736),"",LARGE(L732:L735,1)+1)</f>
        <v/>
      </c>
      <c r="M736" s="1896"/>
      <c r="N736" s="1883"/>
      <c r="O736" s="1883"/>
      <c r="P736" s="1883"/>
      <c r="Q736" s="1883"/>
      <c r="R736" s="1883"/>
      <c r="S736" s="1883"/>
      <c r="T736" s="1460">
        <f>IF(T733=0,0,IF(ISBLANK(T733),0,(T735/T733)*100))</f>
        <v>50</v>
      </c>
      <c r="U736" s="1459" t="s">
        <v>732</v>
      </c>
      <c r="W736" s="14"/>
      <c r="X736" s="9"/>
      <c r="Y736" s="9"/>
      <c r="Z736" s="9"/>
      <c r="AA736" s="14"/>
      <c r="AB736" s="14"/>
      <c r="AC736" s="14"/>
      <c r="AD736" s="14"/>
      <c r="AE736" s="14"/>
      <c r="AF736" s="14"/>
      <c r="AG736" s="1394" t="str">
        <f>IF(ISBLANK(AH736),"",LARGE(AG732:AG735,1)+1)</f>
        <v/>
      </c>
      <c r="AH736" s="1896"/>
      <c r="AI736" s="1883"/>
      <c r="AJ736" s="1883"/>
      <c r="AK736" s="1883"/>
      <c r="AL736" s="1883"/>
      <c r="AM736" s="1883"/>
      <c r="AN736" s="1883"/>
      <c r="AO736" s="1460">
        <f>IF(AO733=0,0,IF(ISBLANK(AO733),0,(AO735/AO733)*100))</f>
        <v>50</v>
      </c>
      <c r="AP736" s="1459" t="s">
        <v>1482</v>
      </c>
      <c r="AR736" s="14"/>
      <c r="AS736" s="9"/>
      <c r="AT736" s="9"/>
      <c r="AU736" s="9"/>
      <c r="AV736" s="14"/>
      <c r="AW736" s="14"/>
      <c r="AX736" s="14"/>
      <c r="AY736" s="14"/>
      <c r="AZ736" s="14"/>
      <c r="BA736" s="14"/>
      <c r="BB736" s="1394" t="str">
        <f>IF(ISBLANK(BC736),"",LARGE(BB732:BB735,1)+1)</f>
        <v/>
      </c>
      <c r="BC736" s="1896"/>
      <c r="BD736" s="1883"/>
      <c r="BE736" s="1883"/>
      <c r="BF736" s="1883"/>
      <c r="BG736" s="1883"/>
      <c r="BH736" s="1883"/>
      <c r="BI736" s="1883"/>
      <c r="BJ736" s="1460">
        <f>IF(BJ733=0,0,IF(ISBLANK(BJ733),0,(BJ735/BJ733)*100))</f>
        <v>50</v>
      </c>
      <c r="BK736" s="1459" t="s">
        <v>732</v>
      </c>
      <c r="BM736" s="3">
        <v>1</v>
      </c>
    </row>
    <row r="737" spans="2:65" ht="21" customHeight="1">
      <c r="B737" s="14"/>
      <c r="C737" s="9"/>
      <c r="D737" s="9"/>
      <c r="E737" s="9"/>
      <c r="F737" s="14"/>
      <c r="G737" s="14"/>
      <c r="H737" s="14"/>
      <c r="I737" s="14"/>
      <c r="J737" s="14"/>
      <c r="K737" s="14"/>
      <c r="L737" s="1394" t="str">
        <f>IF(ISBLANK(M737),"",LARGE(L732:L736,1)+1)</f>
        <v/>
      </c>
      <c r="M737" s="1896"/>
      <c r="N737" s="1883"/>
      <c r="O737" s="1883"/>
      <c r="P737" s="1883"/>
      <c r="Q737" s="1883"/>
      <c r="R737" s="1883"/>
      <c r="S737" s="1883"/>
      <c r="T737" s="582">
        <v>10</v>
      </c>
      <c r="U737" s="1456" t="s">
        <v>722</v>
      </c>
      <c r="W737" s="14"/>
      <c r="X737" s="9"/>
      <c r="Y737" s="9"/>
      <c r="Z737" s="9"/>
      <c r="AA737" s="14"/>
      <c r="AB737" s="14"/>
      <c r="AC737" s="14"/>
      <c r="AD737" s="14"/>
      <c r="AE737" s="14"/>
      <c r="AF737" s="14"/>
      <c r="AG737" s="1394" t="str">
        <f>IF(ISBLANK(AH737),"",LARGE(AG732:AG736,1)+1)</f>
        <v/>
      </c>
      <c r="AH737" s="1896"/>
      <c r="AI737" s="1883"/>
      <c r="AJ737" s="1883"/>
      <c r="AK737" s="1883"/>
      <c r="AL737" s="1883"/>
      <c r="AM737" s="1883"/>
      <c r="AN737" s="1883"/>
      <c r="AO737" s="582">
        <v>10</v>
      </c>
      <c r="AP737" s="1456" t="s">
        <v>1476</v>
      </c>
      <c r="AR737" s="14"/>
      <c r="AS737" s="9"/>
      <c r="AT737" s="9"/>
      <c r="AU737" s="9"/>
      <c r="AV737" s="14"/>
      <c r="AW737" s="14"/>
      <c r="AX737" s="14"/>
      <c r="AY737" s="14"/>
      <c r="AZ737" s="14"/>
      <c r="BA737" s="14"/>
      <c r="BB737" s="1394" t="str">
        <f>IF(ISBLANK(BC737),"",LARGE(BB732:BB736,1)+1)</f>
        <v/>
      </c>
      <c r="BC737" s="1896"/>
      <c r="BD737" s="1883"/>
      <c r="BE737" s="1883"/>
      <c r="BF737" s="1883"/>
      <c r="BG737" s="1883"/>
      <c r="BH737" s="1883"/>
      <c r="BI737" s="1883"/>
      <c r="BJ737" s="582">
        <v>10</v>
      </c>
      <c r="BK737" s="1456" t="s">
        <v>722</v>
      </c>
      <c r="BM737" s="3">
        <v>1</v>
      </c>
    </row>
    <row r="738" spans="2:65" ht="21" customHeight="1">
      <c r="B738" s="14"/>
      <c r="C738" s="9"/>
      <c r="D738" s="9"/>
      <c r="E738" s="9"/>
      <c r="F738" s="14"/>
      <c r="G738" s="14"/>
      <c r="H738" s="14"/>
      <c r="I738" s="14"/>
      <c r="J738" s="14"/>
      <c r="K738" s="14"/>
      <c r="L738" s="1394" t="str">
        <f>IF(ISBLANK(M738),"",LARGE(L732:L737,1)+1)</f>
        <v/>
      </c>
      <c r="M738" s="1896"/>
      <c r="N738" s="1883"/>
      <c r="O738" s="1883"/>
      <c r="P738" s="1883"/>
      <c r="Q738" s="1883"/>
      <c r="R738" s="1883"/>
      <c r="S738" s="1883"/>
      <c r="T738" s="1461">
        <v>50</v>
      </c>
      <c r="U738" s="1462" t="s">
        <v>732</v>
      </c>
      <c r="W738" s="14"/>
      <c r="X738" s="9"/>
      <c r="Y738" s="9"/>
      <c r="Z738" s="9"/>
      <c r="AA738" s="14"/>
      <c r="AB738" s="14"/>
      <c r="AC738" s="14"/>
      <c r="AD738" s="14"/>
      <c r="AE738" s="14"/>
      <c r="AF738" s="14"/>
      <c r="AG738" s="1394" t="str">
        <f>IF(ISBLANK(AH738),"",LARGE(AG732:AG737,1)+1)</f>
        <v/>
      </c>
      <c r="AH738" s="1896"/>
      <c r="AI738" s="1883"/>
      <c r="AJ738" s="1883"/>
      <c r="AK738" s="1883"/>
      <c r="AL738" s="1883"/>
      <c r="AM738" s="1883"/>
      <c r="AN738" s="1883"/>
      <c r="AO738" s="1461">
        <v>50</v>
      </c>
      <c r="AP738" s="1462" t="s">
        <v>1482</v>
      </c>
      <c r="AR738" s="14"/>
      <c r="AS738" s="9"/>
      <c r="AT738" s="9"/>
      <c r="AU738" s="9"/>
      <c r="AV738" s="14"/>
      <c r="AW738" s="14"/>
      <c r="AX738" s="14"/>
      <c r="AY738" s="14"/>
      <c r="AZ738" s="14"/>
      <c r="BA738" s="14"/>
      <c r="BB738" s="1394" t="str">
        <f>IF(ISBLANK(BC738),"",LARGE(BB732:BB737,1)+1)</f>
        <v/>
      </c>
      <c r="BC738" s="1896"/>
      <c r="BD738" s="1883"/>
      <c r="BE738" s="1883"/>
      <c r="BF738" s="1883"/>
      <c r="BG738" s="1883"/>
      <c r="BH738" s="1883"/>
      <c r="BI738" s="1883"/>
      <c r="BJ738" s="1461">
        <v>50</v>
      </c>
      <c r="BK738" s="1462" t="s">
        <v>732</v>
      </c>
      <c r="BM738" s="3">
        <v>1</v>
      </c>
    </row>
    <row r="739" spans="2:65" ht="21" customHeight="1">
      <c r="B739" s="14"/>
      <c r="C739" s="9"/>
      <c r="D739" s="9"/>
      <c r="E739" s="9"/>
      <c r="F739" s="14"/>
      <c r="G739" s="14"/>
      <c r="H739" s="14"/>
      <c r="I739" s="14"/>
      <c r="J739" s="14"/>
      <c r="K739" s="14"/>
      <c r="L739" s="1394" t="str">
        <f>IF(ISBLANK(M739),"",LARGE(L732:L738,1)+1)</f>
        <v/>
      </c>
      <c r="M739" s="1896"/>
      <c r="N739" s="1883"/>
      <c r="O739" s="1883"/>
      <c r="P739" s="1883"/>
      <c r="Q739" s="1883"/>
      <c r="R739" s="1883"/>
      <c r="S739" s="1883"/>
      <c r="T739" s="1458">
        <f>T737*T738%</f>
        <v>5</v>
      </c>
      <c r="U739" s="1459" t="s">
        <v>728</v>
      </c>
      <c r="W739" s="14"/>
      <c r="X739" s="9"/>
      <c r="Y739" s="9"/>
      <c r="Z739" s="9"/>
      <c r="AA739" s="14"/>
      <c r="AB739" s="14"/>
      <c r="AC739" s="14"/>
      <c r="AD739" s="14"/>
      <c r="AE739" s="14"/>
      <c r="AF739" s="14"/>
      <c r="AG739" s="1394" t="str">
        <f>IF(ISBLANK(AH739),"",LARGE(AG732:AG738,1)+1)</f>
        <v/>
      </c>
      <c r="AH739" s="1896"/>
      <c r="AI739" s="1883"/>
      <c r="AJ739" s="1883"/>
      <c r="AK739" s="1883"/>
      <c r="AL739" s="1883"/>
      <c r="AM739" s="1883"/>
      <c r="AN739" s="1883"/>
      <c r="AO739" s="1458">
        <f>AO737*AO738%</f>
        <v>5</v>
      </c>
      <c r="AP739" s="1459" t="s">
        <v>1480</v>
      </c>
      <c r="AR739" s="14"/>
      <c r="AS739" s="9"/>
      <c r="AT739" s="9"/>
      <c r="AU739" s="9"/>
      <c r="AV739" s="14"/>
      <c r="AW739" s="14"/>
      <c r="AX739" s="14"/>
      <c r="AY739" s="14"/>
      <c r="AZ739" s="14"/>
      <c r="BA739" s="14"/>
      <c r="BB739" s="1394" t="str">
        <f>IF(ISBLANK(BC739),"",LARGE(BB732:BB738,1)+1)</f>
        <v/>
      </c>
      <c r="BC739" s="1896"/>
      <c r="BD739" s="1883"/>
      <c r="BE739" s="1883"/>
      <c r="BF739" s="1883"/>
      <c r="BG739" s="1883"/>
      <c r="BH739" s="1883"/>
      <c r="BI739" s="1883"/>
      <c r="BJ739" s="1458">
        <f>BJ737*BJ738%</f>
        <v>5</v>
      </c>
      <c r="BK739" s="1459" t="s">
        <v>728</v>
      </c>
      <c r="BM739" s="3">
        <v>1</v>
      </c>
    </row>
    <row r="740" spans="2:65" ht="21" customHeight="1">
      <c r="B740" s="14"/>
      <c r="C740" s="9"/>
      <c r="D740" s="9"/>
      <c r="E740" s="9"/>
      <c r="F740" s="14"/>
      <c r="G740" s="14"/>
      <c r="H740" s="14"/>
      <c r="I740" s="14"/>
      <c r="J740" s="14"/>
      <c r="K740" s="14"/>
      <c r="L740" s="1394" t="str">
        <f>IF(ISBLANK(M740),"",LARGE(L732:L739,1)+1)</f>
        <v/>
      </c>
      <c r="M740" s="1896"/>
      <c r="N740" s="1883"/>
      <c r="O740" s="1883"/>
      <c r="P740" s="1883"/>
      <c r="Q740" s="1883"/>
      <c r="R740" s="1883"/>
      <c r="S740" s="1883"/>
      <c r="T740" s="586">
        <f>((T737*T738)/100)+T737</f>
        <v>15</v>
      </c>
      <c r="U740" s="1463" t="s">
        <v>724</v>
      </c>
      <c r="W740" s="14"/>
      <c r="X740" s="9"/>
      <c r="Y740" s="9"/>
      <c r="Z740" s="9"/>
      <c r="AA740" s="14"/>
      <c r="AB740" s="14"/>
      <c r="AC740" s="14"/>
      <c r="AD740" s="14"/>
      <c r="AE740" s="14"/>
      <c r="AF740" s="14"/>
      <c r="AG740" s="1394" t="str">
        <f>IF(ISBLANK(AH740),"",LARGE(AG732:AG739,1)+1)</f>
        <v/>
      </c>
      <c r="AH740" s="1896"/>
      <c r="AI740" s="1883"/>
      <c r="AJ740" s="1883"/>
      <c r="AK740" s="1883"/>
      <c r="AL740" s="1883"/>
      <c r="AM740" s="1883"/>
      <c r="AN740" s="1883"/>
      <c r="AO740" s="586">
        <f>((AO737*AO738)/100)+AO737</f>
        <v>15</v>
      </c>
      <c r="AP740" s="1463" t="s">
        <v>1478</v>
      </c>
      <c r="AR740" s="14"/>
      <c r="AS740" s="9"/>
      <c r="AT740" s="9"/>
      <c r="AU740" s="9"/>
      <c r="AV740" s="14"/>
      <c r="AW740" s="14"/>
      <c r="AX740" s="14"/>
      <c r="AY740" s="14"/>
      <c r="AZ740" s="14"/>
      <c r="BA740" s="14"/>
      <c r="BB740" s="1394" t="str">
        <f>IF(ISBLANK(BC740),"",LARGE(BB732:BB739,1)+1)</f>
        <v/>
      </c>
      <c r="BC740" s="1896"/>
      <c r="BD740" s="1883"/>
      <c r="BE740" s="1883"/>
      <c r="BF740" s="1883"/>
      <c r="BG740" s="1883"/>
      <c r="BH740" s="1883"/>
      <c r="BI740" s="1883"/>
      <c r="BJ740" s="586">
        <f>((BJ737*BJ738)/100)+BJ737</f>
        <v>15</v>
      </c>
      <c r="BK740" s="1463" t="s">
        <v>724</v>
      </c>
      <c r="BM740" s="3">
        <v>1</v>
      </c>
    </row>
    <row r="741" spans="2:65" ht="21" customHeight="1">
      <c r="B741" s="14"/>
      <c r="C741" s="9"/>
      <c r="D741" s="9"/>
      <c r="E741" s="9"/>
      <c r="F741" s="14"/>
      <c r="G741" s="14"/>
      <c r="H741" s="14"/>
      <c r="I741" s="14"/>
      <c r="J741" s="14"/>
      <c r="K741" s="14"/>
      <c r="L741" s="1394" t="str">
        <f>IF(ISBLANK(M741),"",LARGE(L732:L740,1)+1)</f>
        <v/>
      </c>
      <c r="M741" s="1896"/>
      <c r="N741" s="1883"/>
      <c r="O741" s="1883"/>
      <c r="P741" s="1883"/>
      <c r="Q741" s="1883"/>
      <c r="R741" s="1883"/>
      <c r="S741" s="1883"/>
      <c r="T741" s="1464"/>
      <c r="U741" s="1465"/>
      <c r="W741" s="14"/>
      <c r="X741" s="9"/>
      <c r="Y741" s="9"/>
      <c r="Z741" s="9"/>
      <c r="AA741" s="14"/>
      <c r="AB741" s="14"/>
      <c r="AC741" s="14"/>
      <c r="AD741" s="14"/>
      <c r="AE741" s="14"/>
      <c r="AF741" s="14"/>
      <c r="AG741" s="1394" t="str">
        <f>IF(ISBLANK(AH741),"",LARGE(AG732:AG740,1)+1)</f>
        <v/>
      </c>
      <c r="AH741" s="1896"/>
      <c r="AI741" s="1883"/>
      <c r="AJ741" s="1883"/>
      <c r="AK741" s="1883"/>
      <c r="AL741" s="1883"/>
      <c r="AM741" s="1883"/>
      <c r="AN741" s="1883"/>
      <c r="AO741" s="1464"/>
      <c r="AP741" s="1465"/>
      <c r="AR741" s="14"/>
      <c r="AS741" s="9"/>
      <c r="AT741" s="9"/>
      <c r="AU741" s="9"/>
      <c r="AV741" s="14"/>
      <c r="AW741" s="14"/>
      <c r="AX741" s="14"/>
      <c r="AY741" s="14"/>
      <c r="AZ741" s="14"/>
      <c r="BA741" s="14"/>
      <c r="BB741" s="1394" t="str">
        <f>IF(ISBLANK(BC741),"",LARGE(BB732:BB740,1)+1)</f>
        <v/>
      </c>
      <c r="BC741" s="1896"/>
      <c r="BD741" s="1883"/>
      <c r="BE741" s="1883"/>
      <c r="BF741" s="1883"/>
      <c r="BG741" s="1883"/>
      <c r="BH741" s="1883"/>
      <c r="BI741" s="1883"/>
      <c r="BJ741" s="1464"/>
      <c r="BK741" s="1465"/>
      <c r="BM741" s="3">
        <v>1</v>
      </c>
    </row>
    <row r="742" spans="2:65" ht="21" customHeight="1">
      <c r="B742" s="14"/>
      <c r="C742" s="9"/>
      <c r="D742" s="9"/>
      <c r="E742" s="9"/>
      <c r="F742" s="14"/>
      <c r="G742" s="14"/>
      <c r="H742" s="14"/>
      <c r="I742" s="14"/>
      <c r="J742" s="14"/>
      <c r="K742" s="14"/>
      <c r="L742" s="1394" t="str">
        <f>IF(ISBLANK(M742),"",LARGE(L732:L741,1)+1)</f>
        <v/>
      </c>
      <c r="M742" s="1896"/>
      <c r="N742" s="1883"/>
      <c r="O742" s="1883"/>
      <c r="P742" s="1883"/>
      <c r="Q742" s="1883"/>
      <c r="R742" s="1883"/>
      <c r="S742" s="1883"/>
      <c r="T742" s="581">
        <v>2</v>
      </c>
      <c r="U742" s="1466" t="s">
        <v>721</v>
      </c>
      <c r="W742" s="14"/>
      <c r="X742" s="9"/>
      <c r="Y742" s="9"/>
      <c r="Z742" s="9"/>
      <c r="AA742" s="14"/>
      <c r="AB742" s="14"/>
      <c r="AC742" s="14"/>
      <c r="AD742" s="14"/>
      <c r="AE742" s="14"/>
      <c r="AF742" s="14"/>
      <c r="AG742" s="1394" t="str">
        <f>IF(ISBLANK(AH742),"",LARGE(AG732:AG741,1)+1)</f>
        <v/>
      </c>
      <c r="AH742" s="1896"/>
      <c r="AI742" s="1883"/>
      <c r="AJ742" s="1883"/>
      <c r="AK742" s="1883"/>
      <c r="AL742" s="1883"/>
      <c r="AM742" s="1883"/>
      <c r="AN742" s="1883"/>
      <c r="AO742" s="581">
        <v>2</v>
      </c>
      <c r="AP742" s="1466" t="s">
        <v>1475</v>
      </c>
      <c r="AR742" s="14"/>
      <c r="AS742" s="9"/>
      <c r="AT742" s="9"/>
      <c r="AU742" s="9"/>
      <c r="AV742" s="14"/>
      <c r="AW742" s="14"/>
      <c r="AX742" s="14"/>
      <c r="AY742" s="14"/>
      <c r="AZ742" s="14"/>
      <c r="BA742" s="14"/>
      <c r="BB742" s="1394" t="str">
        <f>IF(ISBLANK(BC742),"",LARGE(BB732:BB741,1)+1)</f>
        <v/>
      </c>
      <c r="BC742" s="1896"/>
      <c r="BD742" s="1883"/>
      <c r="BE742" s="1883"/>
      <c r="BF742" s="1883"/>
      <c r="BG742" s="1883"/>
      <c r="BH742" s="1883"/>
      <c r="BI742" s="1883"/>
      <c r="BJ742" s="581">
        <v>2</v>
      </c>
      <c r="BK742" s="1466" t="s">
        <v>721</v>
      </c>
      <c r="BM742" s="3">
        <v>1</v>
      </c>
    </row>
    <row r="743" spans="2:65" ht="21" customHeight="1">
      <c r="B743" s="14"/>
      <c r="C743" s="9"/>
      <c r="D743" s="9"/>
      <c r="E743" s="9"/>
      <c r="F743" s="14"/>
      <c r="G743" s="14"/>
      <c r="H743" s="14"/>
      <c r="I743" s="14"/>
      <c r="J743" s="14"/>
      <c r="K743" s="14"/>
      <c r="L743" s="1394" t="str">
        <f>IF(ISBLANK(M743),"",LARGE(L732:L742,1)+1)</f>
        <v/>
      </c>
      <c r="M743" s="1896"/>
      <c r="N743" s="1883"/>
      <c r="O743" s="1883"/>
      <c r="P743" s="1883"/>
      <c r="Q743" s="1883"/>
      <c r="R743" s="1883"/>
      <c r="S743" s="1883"/>
      <c r="T743" s="583">
        <v>1</v>
      </c>
      <c r="U743" s="1467" t="s">
        <v>723</v>
      </c>
      <c r="W743" s="14"/>
      <c r="X743" s="9"/>
      <c r="Y743" s="9"/>
      <c r="Z743" s="9"/>
      <c r="AA743" s="14"/>
      <c r="AB743" s="14"/>
      <c r="AC743" s="14"/>
      <c r="AD743" s="14"/>
      <c r="AE743" s="14"/>
      <c r="AF743" s="14"/>
      <c r="AG743" s="1394" t="str">
        <f>IF(ISBLANK(AH743),"",LARGE(AG732:AG742,1)+1)</f>
        <v/>
      </c>
      <c r="AH743" s="1896"/>
      <c r="AI743" s="1883"/>
      <c r="AJ743" s="1883"/>
      <c r="AK743" s="1883"/>
      <c r="AL743" s="1883"/>
      <c r="AM743" s="1883"/>
      <c r="AN743" s="1883"/>
      <c r="AO743" s="583">
        <v>1</v>
      </c>
      <c r="AP743" s="1467" t="s">
        <v>1477</v>
      </c>
      <c r="AR743" s="14"/>
      <c r="AS743" s="9"/>
      <c r="AT743" s="9"/>
      <c r="AU743" s="9"/>
      <c r="AV743" s="14"/>
      <c r="AW743" s="14"/>
      <c r="AX743" s="14"/>
      <c r="AY743" s="14"/>
      <c r="AZ743" s="14"/>
      <c r="BA743" s="14"/>
      <c r="BB743" s="1394" t="str">
        <f>IF(ISBLANK(BC743),"",LARGE(BB732:BB742,1)+1)</f>
        <v/>
      </c>
      <c r="BC743" s="1896"/>
      <c r="BD743" s="1883"/>
      <c r="BE743" s="1883"/>
      <c r="BF743" s="1883"/>
      <c r="BG743" s="1883"/>
      <c r="BH743" s="1883"/>
      <c r="BI743" s="1883"/>
      <c r="BJ743" s="583">
        <v>1</v>
      </c>
      <c r="BK743" s="1467" t="s">
        <v>723</v>
      </c>
      <c r="BM743" s="3">
        <v>1</v>
      </c>
    </row>
    <row r="744" spans="2:65" ht="21" customHeight="1">
      <c r="B744" s="14"/>
      <c r="C744" s="9"/>
      <c r="D744" s="9"/>
      <c r="E744" s="9"/>
      <c r="F744" s="14"/>
      <c r="G744" s="14"/>
      <c r="H744" s="14"/>
      <c r="I744" s="14"/>
      <c r="J744" s="14"/>
      <c r="K744" s="14"/>
      <c r="L744" s="1394" t="str">
        <f>IF(ISBLANK(M744),"",LARGE(L732:L743,1)+1)</f>
        <v/>
      </c>
      <c r="M744" s="1896"/>
      <c r="N744" s="1883"/>
      <c r="O744" s="1883"/>
      <c r="P744" s="1883"/>
      <c r="Q744" s="1883"/>
      <c r="R744" s="1883"/>
      <c r="S744" s="1883"/>
      <c r="T744" s="1468">
        <f>IF(T742=0,0,IF(T743=0,0,T742-T743))</f>
        <v>1</v>
      </c>
      <c r="U744" s="1459" t="s">
        <v>727</v>
      </c>
      <c r="W744" s="14"/>
      <c r="X744" s="9"/>
      <c r="Y744" s="9"/>
      <c r="Z744" s="9"/>
      <c r="AA744" s="14"/>
      <c r="AB744" s="14"/>
      <c r="AC744" s="14"/>
      <c r="AD744" s="14"/>
      <c r="AE744" s="14"/>
      <c r="AF744" s="14"/>
      <c r="AG744" s="1394" t="str">
        <f>IF(ISBLANK(AH744),"",LARGE(AG732:AG743,1)+1)</f>
        <v/>
      </c>
      <c r="AH744" s="1896"/>
      <c r="AI744" s="1883"/>
      <c r="AJ744" s="1883"/>
      <c r="AK744" s="1883"/>
      <c r="AL744" s="1883"/>
      <c r="AM744" s="1883"/>
      <c r="AN744" s="1883"/>
      <c r="AO744" s="1468">
        <f>IF(AO742=0,0,IF(AO743=0,0,AO742-AO743))</f>
        <v>1</v>
      </c>
      <c r="AP744" s="1459" t="s">
        <v>1479</v>
      </c>
      <c r="AR744" s="14"/>
      <c r="AS744" s="9"/>
      <c r="AT744" s="9"/>
      <c r="AU744" s="9"/>
      <c r="AV744" s="14"/>
      <c r="AW744" s="14"/>
      <c r="AX744" s="14"/>
      <c r="AY744" s="14"/>
      <c r="AZ744" s="14"/>
      <c r="BA744" s="14"/>
      <c r="BB744" s="1394" t="str">
        <f>IF(ISBLANK(BC744),"",LARGE(BB732:BB743,1)+1)</f>
        <v/>
      </c>
      <c r="BC744" s="1896"/>
      <c r="BD744" s="1883"/>
      <c r="BE744" s="1883"/>
      <c r="BF744" s="1883"/>
      <c r="BG744" s="1883"/>
      <c r="BH744" s="1883"/>
      <c r="BI744" s="1883"/>
      <c r="BJ744" s="1468">
        <f>IF(BJ742=0,0,IF(BJ743=0,0,BJ742-BJ743))</f>
        <v>1</v>
      </c>
      <c r="BK744" s="1459" t="s">
        <v>727</v>
      </c>
      <c r="BM744" s="3">
        <v>1</v>
      </c>
    </row>
    <row r="745" spans="2:65" ht="21" customHeight="1">
      <c r="B745" s="14"/>
      <c r="C745" s="9"/>
      <c r="D745" s="9"/>
      <c r="E745" s="9"/>
      <c r="F745" s="14"/>
      <c r="G745" s="14"/>
      <c r="H745" s="14"/>
      <c r="I745" s="14"/>
      <c r="J745" s="14"/>
      <c r="K745" s="14"/>
      <c r="L745" s="1394" t="str">
        <f>IF(ISBLANK(M745),"",LARGE(L732:L744,1)+1)</f>
        <v/>
      </c>
      <c r="M745" s="1896"/>
      <c r="N745" s="1883"/>
      <c r="O745" s="1883"/>
      <c r="P745" s="1883"/>
      <c r="Q745" s="1883"/>
      <c r="R745" s="1883"/>
      <c r="S745" s="1883"/>
      <c r="T745" s="1469">
        <f>IF(T742=0,0,T744/T742)</f>
        <v>0.5</v>
      </c>
      <c r="U745" s="1459" t="s">
        <v>731</v>
      </c>
      <c r="W745" s="14"/>
      <c r="X745" s="9"/>
      <c r="Y745" s="9"/>
      <c r="Z745" s="9"/>
      <c r="AA745" s="14"/>
      <c r="AB745" s="14"/>
      <c r="AC745" s="14"/>
      <c r="AD745" s="14"/>
      <c r="AE745" s="14"/>
      <c r="AF745" s="14"/>
      <c r="AG745" s="1394" t="str">
        <f>IF(ISBLANK(AH745),"",LARGE(AG732:AG744,1)+1)</f>
        <v/>
      </c>
      <c r="AH745" s="1896"/>
      <c r="AI745" s="1883"/>
      <c r="AJ745" s="1883"/>
      <c r="AK745" s="1883"/>
      <c r="AL745" s="1883"/>
      <c r="AM745" s="1883"/>
      <c r="AN745" s="1883"/>
      <c r="AO745" s="1469">
        <f>IF(AO742=0,0,AO744/AO742)</f>
        <v>0.5</v>
      </c>
      <c r="AP745" s="1459" t="s">
        <v>1481</v>
      </c>
      <c r="AR745" s="14"/>
      <c r="AS745" s="9"/>
      <c r="AT745" s="9"/>
      <c r="AU745" s="9"/>
      <c r="AV745" s="14"/>
      <c r="AW745" s="14"/>
      <c r="AX745" s="14"/>
      <c r="AY745" s="14"/>
      <c r="AZ745" s="14"/>
      <c r="BA745" s="14"/>
      <c r="BB745" s="1394" t="str">
        <f>IF(ISBLANK(BC745),"",LARGE(BB732:BB744,1)+1)</f>
        <v/>
      </c>
      <c r="BC745" s="1896"/>
      <c r="BD745" s="1883"/>
      <c r="BE745" s="1883"/>
      <c r="BF745" s="1883"/>
      <c r="BG745" s="1883"/>
      <c r="BH745" s="1883"/>
      <c r="BI745" s="1883"/>
      <c r="BJ745" s="1469">
        <f>IF(BJ742=0,0,BJ744/BJ742)</f>
        <v>0.5</v>
      </c>
      <c r="BK745" s="1459" t="s">
        <v>731</v>
      </c>
      <c r="BM745" s="3">
        <v>1</v>
      </c>
    </row>
    <row r="746" spans="2:65" ht="21" customHeight="1">
      <c r="B746" s="14"/>
      <c r="C746" s="9"/>
      <c r="D746" s="9"/>
      <c r="E746" s="9"/>
      <c r="F746" s="14"/>
      <c r="G746" s="14"/>
      <c r="H746" s="14"/>
      <c r="I746" s="14"/>
      <c r="J746" s="14"/>
      <c r="K746" s="14"/>
      <c r="L746" s="1394" t="str">
        <f>IF(ISBLANK(M746),"",LARGE(L732:L745,1)+1)</f>
        <v/>
      </c>
      <c r="M746" s="1896"/>
      <c r="N746" s="1883"/>
      <c r="O746" s="1883"/>
      <c r="P746" s="1883"/>
      <c r="Q746" s="1883"/>
      <c r="R746" s="1883"/>
      <c r="S746" s="1883"/>
      <c r="T746" s="589">
        <v>50</v>
      </c>
      <c r="U746" s="1467" t="s">
        <v>735</v>
      </c>
      <c r="W746" s="14"/>
      <c r="X746" s="9"/>
      <c r="Y746" s="9"/>
      <c r="Z746" s="9"/>
      <c r="AA746" s="14"/>
      <c r="AB746" s="14"/>
      <c r="AC746" s="14"/>
      <c r="AD746" s="14"/>
      <c r="AE746" s="14"/>
      <c r="AF746" s="14"/>
      <c r="AG746" s="1394" t="str">
        <f>IF(ISBLANK(AH746),"",LARGE(AG732:AG745,1)+1)</f>
        <v/>
      </c>
      <c r="AH746" s="1896"/>
      <c r="AI746" s="1883"/>
      <c r="AJ746" s="1883"/>
      <c r="AK746" s="1883"/>
      <c r="AL746" s="1883"/>
      <c r="AM746" s="1883"/>
      <c r="AN746" s="1883"/>
      <c r="AO746" s="589">
        <v>50</v>
      </c>
      <c r="AP746" s="1467" t="s">
        <v>1483</v>
      </c>
      <c r="AR746" s="14"/>
      <c r="AS746" s="9"/>
      <c r="AT746" s="9"/>
      <c r="AU746" s="9"/>
      <c r="AV746" s="14"/>
      <c r="AW746" s="14"/>
      <c r="AX746" s="14"/>
      <c r="AY746" s="14"/>
      <c r="AZ746" s="14"/>
      <c r="BA746" s="14"/>
      <c r="BB746" s="1394" t="str">
        <f>IF(ISBLANK(BC746),"",LARGE(BB732:BB745,1)+1)</f>
        <v/>
      </c>
      <c r="BC746" s="1896"/>
      <c r="BD746" s="1883"/>
      <c r="BE746" s="1883"/>
      <c r="BF746" s="1883"/>
      <c r="BG746" s="1883"/>
      <c r="BH746" s="1883"/>
      <c r="BI746" s="1883"/>
      <c r="BJ746" s="589">
        <v>50</v>
      </c>
      <c r="BK746" s="1467" t="s">
        <v>735</v>
      </c>
      <c r="BM746" s="3">
        <v>1</v>
      </c>
    </row>
    <row r="747" spans="2:65" ht="21" customHeight="1">
      <c r="B747" s="14"/>
      <c r="C747" s="9"/>
      <c r="D747" s="9"/>
      <c r="E747" s="9"/>
      <c r="F747" s="14"/>
      <c r="G747" s="14"/>
      <c r="H747" s="14"/>
      <c r="I747" s="14"/>
      <c r="J747" s="14"/>
      <c r="K747" s="14"/>
      <c r="L747" s="1394" t="str">
        <f>IF(ISBLANK(M747),"",LARGE(L732:L746,1)+1)</f>
        <v/>
      </c>
      <c r="M747" s="1896"/>
      <c r="N747" s="1883"/>
      <c r="O747" s="1883"/>
      <c r="P747" s="1883"/>
      <c r="Q747" s="1883"/>
      <c r="R747" s="1883"/>
      <c r="S747" s="1883"/>
      <c r="T747" s="1468">
        <f>T742*T746%</f>
        <v>1</v>
      </c>
      <c r="U747" s="1459" t="s">
        <v>727</v>
      </c>
      <c r="W747" s="14"/>
      <c r="X747" s="9"/>
      <c r="Y747" s="9"/>
      <c r="Z747" s="9"/>
      <c r="AA747" s="14"/>
      <c r="AB747" s="14"/>
      <c r="AC747" s="14"/>
      <c r="AD747" s="14"/>
      <c r="AE747" s="14"/>
      <c r="AF747" s="14"/>
      <c r="AG747" s="1394" t="str">
        <f>IF(ISBLANK(AH747),"",LARGE(AG732:AG746,1)+1)</f>
        <v/>
      </c>
      <c r="AH747" s="1896"/>
      <c r="AI747" s="1883"/>
      <c r="AJ747" s="1883"/>
      <c r="AK747" s="1883"/>
      <c r="AL747" s="1883"/>
      <c r="AM747" s="1883"/>
      <c r="AN747" s="1883"/>
      <c r="AO747" s="1468">
        <f>AO742*AO746%</f>
        <v>1</v>
      </c>
      <c r="AP747" s="1459" t="s">
        <v>1479</v>
      </c>
      <c r="AR747" s="14"/>
      <c r="AS747" s="9"/>
      <c r="AT747" s="9"/>
      <c r="AU747" s="9"/>
      <c r="AV747" s="14"/>
      <c r="AW747" s="14"/>
      <c r="AX747" s="14"/>
      <c r="AY747" s="14"/>
      <c r="AZ747" s="14"/>
      <c r="BA747" s="14"/>
      <c r="BB747" s="1394" t="str">
        <f>IF(ISBLANK(BC747),"",LARGE(BB732:BB746,1)+1)</f>
        <v/>
      </c>
      <c r="BC747" s="1896"/>
      <c r="BD747" s="1883"/>
      <c r="BE747" s="1883"/>
      <c r="BF747" s="1883"/>
      <c r="BG747" s="1883"/>
      <c r="BH747" s="1883"/>
      <c r="BI747" s="1883"/>
      <c r="BJ747" s="1468">
        <f>BJ742*BJ746%</f>
        <v>1</v>
      </c>
      <c r="BK747" s="1459" t="s">
        <v>727</v>
      </c>
      <c r="BM747" s="3">
        <v>1</v>
      </c>
    </row>
    <row r="748" spans="2:65" ht="21" customHeight="1">
      <c r="B748" s="14"/>
      <c r="C748" s="9"/>
      <c r="D748" s="9"/>
      <c r="E748" s="9"/>
      <c r="F748" s="14"/>
      <c r="G748" s="14"/>
      <c r="H748" s="14"/>
      <c r="I748" s="14"/>
      <c r="J748" s="14"/>
      <c r="K748" s="14"/>
      <c r="L748" s="1394" t="str">
        <f>IF(ISBLANK(M748),"",LARGE(L732:L747,1)+1)</f>
        <v/>
      </c>
      <c r="M748" s="1896"/>
      <c r="N748" s="1883"/>
      <c r="O748" s="1883"/>
      <c r="P748" s="1883"/>
      <c r="Q748" s="1883"/>
      <c r="R748" s="1883"/>
      <c r="S748" s="1883"/>
      <c r="T748" s="1468">
        <f>T742-T747</f>
        <v>1</v>
      </c>
      <c r="U748" s="1459" t="s">
        <v>738</v>
      </c>
      <c r="W748" s="14"/>
      <c r="X748" s="9"/>
      <c r="Y748" s="9"/>
      <c r="Z748" s="9"/>
      <c r="AA748" s="14"/>
      <c r="AB748" s="14"/>
      <c r="AC748" s="14"/>
      <c r="AD748" s="14"/>
      <c r="AE748" s="14"/>
      <c r="AF748" s="14"/>
      <c r="AG748" s="1394" t="str">
        <f>IF(ISBLANK(AH748),"",LARGE(AG732:AG747,1)+1)</f>
        <v/>
      </c>
      <c r="AH748" s="1896"/>
      <c r="AI748" s="1883"/>
      <c r="AJ748" s="1883"/>
      <c r="AK748" s="1883"/>
      <c r="AL748" s="1883"/>
      <c r="AM748" s="1883"/>
      <c r="AN748" s="1883"/>
      <c r="AO748" s="1468">
        <f>AO742-AO747</f>
        <v>1</v>
      </c>
      <c r="AP748" s="1470" t="s">
        <v>1418</v>
      </c>
      <c r="AR748" s="14"/>
      <c r="AS748" s="9"/>
      <c r="AT748" s="9"/>
      <c r="AU748" s="9"/>
      <c r="AV748" s="14"/>
      <c r="AW748" s="14"/>
      <c r="AX748" s="14"/>
      <c r="AY748" s="14"/>
      <c r="AZ748" s="14"/>
      <c r="BA748" s="14"/>
      <c r="BB748" s="1394" t="str">
        <f>IF(ISBLANK(BC748),"",LARGE(BB732:BB747,1)+1)</f>
        <v/>
      </c>
      <c r="BC748" s="1896"/>
      <c r="BD748" s="1883"/>
      <c r="BE748" s="1883"/>
      <c r="BF748" s="1883"/>
      <c r="BG748" s="1883"/>
      <c r="BH748" s="1883"/>
      <c r="BI748" s="1883"/>
      <c r="BJ748" s="1468">
        <f>BJ742-BJ747</f>
        <v>1</v>
      </c>
      <c r="BK748" s="1459" t="s">
        <v>738</v>
      </c>
      <c r="BM748" s="3">
        <v>1</v>
      </c>
    </row>
    <row r="749" spans="2:65" ht="21" customHeight="1">
      <c r="B749" s="14"/>
      <c r="C749" s="9"/>
      <c r="D749" s="9"/>
      <c r="E749" s="9"/>
      <c r="F749" s="14"/>
      <c r="G749" s="14"/>
      <c r="H749" s="14"/>
      <c r="I749" s="14"/>
      <c r="J749" s="14"/>
      <c r="K749" s="14"/>
      <c r="L749" s="1394"/>
      <c r="M749" s="1896"/>
      <c r="N749" s="1883"/>
      <c r="O749" s="1883"/>
      <c r="P749" s="1883"/>
      <c r="Q749" s="1883"/>
      <c r="R749" s="1883"/>
      <c r="S749" s="1883"/>
      <c r="T749" s="1870"/>
      <c r="U749" s="1871"/>
      <c r="W749" s="14"/>
      <c r="X749" s="9"/>
      <c r="Y749" s="9"/>
      <c r="Z749" s="9"/>
      <c r="AA749" s="14"/>
      <c r="AB749" s="14"/>
      <c r="AC749" s="14"/>
      <c r="AD749" s="14"/>
      <c r="AE749" s="14"/>
      <c r="AF749" s="14"/>
      <c r="AG749" s="1394"/>
      <c r="AH749" s="1896"/>
      <c r="AI749" s="1883"/>
      <c r="AJ749" s="1883"/>
      <c r="AK749" s="1883"/>
      <c r="AL749" s="1883"/>
      <c r="AM749" s="1883"/>
      <c r="AN749" s="1883"/>
      <c r="AO749" s="1870"/>
      <c r="AP749" s="1871"/>
      <c r="AR749" s="14"/>
      <c r="AS749" s="9"/>
      <c r="AT749" s="9"/>
      <c r="AU749" s="9"/>
      <c r="AV749" s="14"/>
      <c r="AW749" s="14"/>
      <c r="AX749" s="14"/>
      <c r="AY749" s="14"/>
      <c r="AZ749" s="14"/>
      <c r="BA749" s="14"/>
      <c r="BB749" s="1394"/>
      <c r="BC749" s="1896"/>
      <c r="BD749" s="1883"/>
      <c r="BE749" s="1883"/>
      <c r="BF749" s="1883"/>
      <c r="BG749" s="1883"/>
      <c r="BH749" s="1883"/>
      <c r="BI749" s="1883"/>
      <c r="BJ749" s="1870"/>
      <c r="BK749" s="1871"/>
      <c r="BM749" s="3">
        <v>1</v>
      </c>
    </row>
    <row r="750" spans="2:65" ht="21" customHeight="1">
      <c r="B750" s="14"/>
      <c r="C750" s="9"/>
      <c r="D750" s="9"/>
      <c r="E750" s="9"/>
      <c r="F750" s="14"/>
      <c r="G750" s="14"/>
      <c r="H750" s="14"/>
      <c r="I750" s="14"/>
      <c r="J750" s="14"/>
      <c r="K750" s="14"/>
      <c r="L750" s="1394"/>
      <c r="M750" s="1896"/>
      <c r="N750" s="1883"/>
      <c r="O750" s="1883"/>
      <c r="P750" s="1883"/>
      <c r="Q750" s="1883"/>
      <c r="R750" s="1883"/>
      <c r="S750" s="1883"/>
      <c r="T750" s="1870"/>
      <c r="U750" s="1871"/>
      <c r="W750" s="14"/>
      <c r="X750" s="9"/>
      <c r="Y750" s="9"/>
      <c r="Z750" s="9"/>
      <c r="AA750" s="14"/>
      <c r="AB750" s="14"/>
      <c r="AC750" s="14"/>
      <c r="AD750" s="14"/>
      <c r="AE750" s="14"/>
      <c r="AF750" s="14"/>
      <c r="AG750" s="1394"/>
      <c r="AH750" s="1896"/>
      <c r="AI750" s="1883"/>
      <c r="AJ750" s="1883"/>
      <c r="AK750" s="1883"/>
      <c r="AL750" s="1883"/>
      <c r="AM750" s="1883"/>
      <c r="AN750" s="1883"/>
      <c r="AO750" s="1870"/>
      <c r="AP750" s="1871"/>
      <c r="AR750" s="14"/>
      <c r="AS750" s="9"/>
      <c r="AT750" s="9"/>
      <c r="AU750" s="9"/>
      <c r="AV750" s="14"/>
      <c r="AW750" s="14"/>
      <c r="AX750" s="14"/>
      <c r="AY750" s="14"/>
      <c r="AZ750" s="14"/>
      <c r="BA750" s="14"/>
      <c r="BB750" s="1394"/>
      <c r="BC750" s="1896"/>
      <c r="BD750" s="1883"/>
      <c r="BE750" s="1883"/>
      <c r="BF750" s="1883"/>
      <c r="BG750" s="1883"/>
      <c r="BH750" s="1883"/>
      <c r="BI750" s="1883"/>
      <c r="BJ750" s="1870"/>
      <c r="BK750" s="1871"/>
      <c r="BM750" s="3">
        <v>1</v>
      </c>
    </row>
    <row r="751" spans="2:65" ht="21" customHeight="1">
      <c r="B751" s="14"/>
      <c r="C751" s="9"/>
      <c r="D751" s="9"/>
      <c r="E751" s="9"/>
      <c r="F751" s="14"/>
      <c r="G751" s="14"/>
      <c r="H751" s="14"/>
      <c r="I751" s="14"/>
      <c r="J751" s="14"/>
      <c r="K751" s="14"/>
      <c r="L751" s="1963" t="s">
        <v>8629</v>
      </c>
      <c r="M751" s="1844"/>
      <c r="N751" s="1844"/>
      <c r="O751" s="1844"/>
      <c r="P751" s="1844"/>
      <c r="Q751" s="1844"/>
      <c r="R751" s="1844"/>
      <c r="S751" s="1844"/>
      <c r="T751" s="1844"/>
      <c r="U751" s="1964" t="s">
        <v>8629</v>
      </c>
      <c r="W751" s="14"/>
      <c r="X751" s="9"/>
      <c r="Y751" s="9"/>
      <c r="Z751" s="9"/>
      <c r="AA751" s="14"/>
      <c r="AB751" s="14"/>
      <c r="AC751" s="14"/>
      <c r="AD751" s="14"/>
      <c r="AE751" s="14"/>
      <c r="AF751" s="14"/>
      <c r="AG751" s="1963" t="s">
        <v>8630</v>
      </c>
      <c r="AH751" s="1844"/>
      <c r="AI751" s="1844"/>
      <c r="AJ751" s="1844"/>
      <c r="AK751" s="1844"/>
      <c r="AL751" s="1844"/>
      <c r="AM751" s="1844"/>
      <c r="AN751" s="1844"/>
      <c r="AO751" s="1844"/>
      <c r="AP751" s="1964" t="s">
        <v>8630</v>
      </c>
      <c r="BB751" s="1963" t="s">
        <v>8631</v>
      </c>
      <c r="BC751" s="1844"/>
      <c r="BD751" s="1844"/>
      <c r="BE751" s="1844"/>
      <c r="BF751" s="1844"/>
      <c r="BG751" s="1844"/>
      <c r="BH751" s="1844"/>
      <c r="BI751" s="1844"/>
      <c r="BJ751" s="1844"/>
      <c r="BK751" s="1964" t="s">
        <v>8631</v>
      </c>
      <c r="BM751" s="3">
        <v>1</v>
      </c>
    </row>
    <row r="752" spans="2:65" ht="21" customHeight="1">
      <c r="B752" s="14"/>
      <c r="C752" s="9"/>
      <c r="D752" s="9"/>
      <c r="E752" s="9"/>
      <c r="F752" s="14"/>
      <c r="G752" s="14"/>
      <c r="H752" s="14"/>
      <c r="I752" s="14"/>
      <c r="J752" s="14"/>
      <c r="K752" s="14"/>
      <c r="L752" s="1498" t="s">
        <v>8145</v>
      </c>
      <c r="M752" s="1428"/>
      <c r="N752" s="419"/>
      <c r="O752" s="419"/>
      <c r="P752" s="419"/>
      <c r="Q752" s="419"/>
      <c r="R752" s="420"/>
      <c r="S752" s="420"/>
      <c r="T752" s="420"/>
      <c r="U752" s="608" t="s">
        <v>8163</v>
      </c>
      <c r="W752" s="14"/>
      <c r="X752" s="9"/>
      <c r="Y752" s="9"/>
      <c r="Z752" s="9"/>
      <c r="AA752" s="14"/>
      <c r="AB752" s="14"/>
      <c r="AC752" s="14"/>
      <c r="AD752" s="14"/>
      <c r="AE752" s="14"/>
      <c r="AF752" s="14"/>
      <c r="AG752" s="1388" t="s">
        <v>8216</v>
      </c>
      <c r="AH752" s="1428"/>
      <c r="AI752" s="419"/>
      <c r="AJ752" s="419"/>
      <c r="AK752" s="419"/>
      <c r="AL752" s="419"/>
      <c r="AM752" s="420"/>
      <c r="AN752" s="420"/>
      <c r="AO752" s="420"/>
      <c r="AP752" s="608" t="s">
        <v>8201</v>
      </c>
      <c r="AR752" s="14"/>
      <c r="AS752" s="9"/>
      <c r="AT752" s="9"/>
      <c r="AU752" s="9"/>
      <c r="AV752" s="14"/>
      <c r="AW752" s="14"/>
      <c r="AX752" s="14"/>
      <c r="AY752" s="14"/>
      <c r="AZ752" s="14"/>
      <c r="BA752" s="14"/>
      <c r="BB752" s="1372" t="s">
        <v>8217</v>
      </c>
      <c r="BC752" s="1428"/>
      <c r="BD752" s="419"/>
      <c r="BE752" s="419"/>
      <c r="BF752" s="419"/>
      <c r="BG752" s="419"/>
      <c r="BH752" s="420"/>
      <c r="BI752" s="420"/>
      <c r="BJ752" s="420"/>
      <c r="BK752" s="608" t="s">
        <v>8163</v>
      </c>
      <c r="BM752" s="3">
        <v>1</v>
      </c>
    </row>
    <row r="753" spans="2:65" ht="21" customHeight="1">
      <c r="B753" s="14"/>
      <c r="C753" s="9"/>
      <c r="D753" s="9"/>
      <c r="E753" s="9"/>
      <c r="F753" s="14"/>
      <c r="G753" s="14"/>
      <c r="H753" s="14"/>
      <c r="I753" s="14"/>
      <c r="J753" s="14"/>
      <c r="K753" s="14"/>
      <c r="L753" s="1822">
        <v>0</v>
      </c>
      <c r="M753" s="1868"/>
      <c r="N753" s="1867"/>
      <c r="O753" s="497" t="s">
        <v>8164</v>
      </c>
      <c r="P753" s="498">
        <v>175</v>
      </c>
      <c r="Q753" s="499" t="s">
        <v>36</v>
      </c>
      <c r="R753" s="198"/>
      <c r="S753" s="198"/>
      <c r="T753" s="348"/>
      <c r="U753" s="1407"/>
      <c r="W753" s="14"/>
      <c r="X753" s="9"/>
      <c r="Y753" s="9"/>
      <c r="Z753" s="9"/>
      <c r="AA753" s="14"/>
      <c r="AB753" s="14"/>
      <c r="AC753" s="14"/>
      <c r="AD753" s="14"/>
      <c r="AE753" s="14"/>
      <c r="AF753" s="14"/>
      <c r="AG753" s="1822">
        <v>0</v>
      </c>
      <c r="AH753" s="1868"/>
      <c r="AI753" s="1867"/>
      <c r="AJ753" s="497" t="s">
        <v>8481</v>
      </c>
      <c r="AK753" s="498">
        <v>175</v>
      </c>
      <c r="AL753" s="499" t="s">
        <v>8211</v>
      </c>
      <c r="AM753" s="198"/>
      <c r="AN753" s="198"/>
      <c r="AO753" s="348"/>
      <c r="AP753" s="1407"/>
      <c r="AR753" s="14"/>
      <c r="AS753" s="9"/>
      <c r="AT753" s="9"/>
      <c r="AU753" s="9"/>
      <c r="AV753" s="14"/>
      <c r="AW753" s="14"/>
      <c r="AX753" s="14"/>
      <c r="AY753" s="14"/>
      <c r="AZ753" s="14"/>
      <c r="BA753" s="14"/>
      <c r="BB753" s="1822">
        <v>0</v>
      </c>
      <c r="BC753" s="1868"/>
      <c r="BD753" s="1867"/>
      <c r="BE753" s="497" t="s">
        <v>8164</v>
      </c>
      <c r="BF753" s="498">
        <v>175</v>
      </c>
      <c r="BG753" s="499" t="s">
        <v>36</v>
      </c>
      <c r="BH753" s="198"/>
      <c r="BI753" s="198"/>
      <c r="BJ753" s="348"/>
      <c r="BK753" s="1407"/>
      <c r="BM753" s="3">
        <v>1</v>
      </c>
    </row>
    <row r="754" spans="2:65" ht="21" customHeight="1">
      <c r="B754" s="14"/>
      <c r="C754" s="9"/>
      <c r="D754" s="9"/>
      <c r="E754" s="9"/>
      <c r="F754" s="14"/>
      <c r="G754" s="14"/>
      <c r="H754" s="14"/>
      <c r="I754" s="14"/>
      <c r="J754" s="14"/>
      <c r="K754" s="14"/>
      <c r="L754" s="1823"/>
      <c r="M754" s="1815"/>
      <c r="N754" s="1471"/>
      <c r="O754" s="1472" t="s">
        <v>602</v>
      </c>
      <c r="P754" s="1473" t="s">
        <v>8165</v>
      </c>
      <c r="Q754" s="1474" t="s">
        <v>8166</v>
      </c>
      <c r="R754" s="198"/>
      <c r="S754" s="198"/>
      <c r="T754" s="1475"/>
      <c r="U754" s="1476" t="s">
        <v>8167</v>
      </c>
      <c r="W754" s="14"/>
      <c r="X754" s="9"/>
      <c r="Y754" s="9"/>
      <c r="Z754" s="9"/>
      <c r="AA754" s="14"/>
      <c r="AB754" s="14"/>
      <c r="AC754" s="14"/>
      <c r="AD754" s="14"/>
      <c r="AE754" s="14"/>
      <c r="AF754" s="14"/>
      <c r="AG754" s="1823"/>
      <c r="AH754" s="1815"/>
      <c r="AI754" s="1471"/>
      <c r="AJ754" s="1472" t="s">
        <v>8482</v>
      </c>
      <c r="AK754" s="1473" t="s">
        <v>8483</v>
      </c>
      <c r="AL754" s="1474" t="s">
        <v>8219</v>
      </c>
      <c r="AM754" s="198"/>
      <c r="AN754" s="198"/>
      <c r="AO754" s="1475"/>
      <c r="AP754" s="1476" t="s">
        <v>8480</v>
      </c>
      <c r="AR754" s="14"/>
      <c r="AS754" s="9"/>
      <c r="AT754" s="9"/>
      <c r="AU754" s="9"/>
      <c r="AV754" s="14"/>
      <c r="AW754" s="14"/>
      <c r="AX754" s="14"/>
      <c r="AY754" s="14"/>
      <c r="AZ754" s="14"/>
      <c r="BA754" s="14"/>
      <c r="BB754" s="1823"/>
      <c r="BC754" s="1815"/>
      <c r="BD754" s="1471"/>
      <c r="BE754" s="1472" t="s">
        <v>602</v>
      </c>
      <c r="BF754" s="1473" t="s">
        <v>8165</v>
      </c>
      <c r="BG754" s="1474" t="s">
        <v>8166</v>
      </c>
      <c r="BH754" s="198"/>
      <c r="BI754" s="198"/>
      <c r="BJ754" s="1475"/>
      <c r="BK754" s="1476" t="s">
        <v>8167</v>
      </c>
      <c r="BM754" s="3">
        <v>1</v>
      </c>
    </row>
    <row r="755" spans="2:65" ht="21" customHeight="1">
      <c r="B755" s="14"/>
      <c r="C755" s="9"/>
      <c r="D755" s="9"/>
      <c r="E755" s="9"/>
      <c r="F755" s="14"/>
      <c r="G755" s="14"/>
      <c r="H755" s="14"/>
      <c r="I755" s="14"/>
      <c r="J755" s="14"/>
      <c r="K755" s="14"/>
      <c r="L755" s="1823"/>
      <c r="M755" s="1816">
        <f>P755*P753</f>
        <v>262.5</v>
      </c>
      <c r="N755" s="1477" t="s">
        <v>603</v>
      </c>
      <c r="O755" s="1478">
        <v>12</v>
      </c>
      <c r="P755" s="1479">
        <v>1.5</v>
      </c>
      <c r="Q755" s="1480" t="s">
        <v>8168</v>
      </c>
      <c r="R755" s="1481" t="str">
        <f t="shared" ref="R755:R763" si="103">IF(OR(O755="",M755=0),"",INT(M755/O755) &amp;""&amp; " de " &amp; O755 &amp;" "&amp;Q755&amp;  IF(MOD(M755,O755)&gt;0," + 1 " &amp; "de " &amp; TEXT(MOD(M755,O755)&amp;""&amp;Q755,"0.00"),""))</f>
        <v>21 de 12 cuisse + 1 de 10.5cuisse</v>
      </c>
      <c r="S755" s="1481"/>
      <c r="T755" s="1482"/>
      <c r="U755" s="1483" t="s">
        <v>615</v>
      </c>
      <c r="W755" s="14"/>
      <c r="X755" s="9"/>
      <c r="Y755" s="9"/>
      <c r="Z755" s="9"/>
      <c r="AA755" s="14"/>
      <c r="AB755" s="14"/>
      <c r="AC755" s="14"/>
      <c r="AD755" s="14"/>
      <c r="AE755" s="14"/>
      <c r="AF755" s="14"/>
      <c r="AG755" s="1823"/>
      <c r="AH755" s="1816">
        <f>AK755*AK753</f>
        <v>262.5</v>
      </c>
      <c r="AI755" s="1477" t="s">
        <v>8484</v>
      </c>
      <c r="AJ755" s="1478">
        <v>12</v>
      </c>
      <c r="AK755" s="1479">
        <v>1.5</v>
      </c>
      <c r="AL755" s="1480" t="s">
        <v>8493</v>
      </c>
      <c r="AM755" s="1481" t="str">
        <f t="shared" ref="AM755:AM763" si="104">IF(OR(AJ755="",AH755=0),"",INT(AH755/AJ755) &amp;""&amp; " de " &amp; AJ755 &amp;" "&amp;AL755&amp;  IF(MOD(AH755,AJ755)&gt;0," + 1 " &amp; "de " &amp; TEXT(MOD(AH755,AJ755)&amp;""&amp;AL755,"0.00"),""))</f>
        <v>21 de 12 muslo + 1 de 10.5muslo</v>
      </c>
      <c r="AN755" s="1481"/>
      <c r="AO755" s="1482"/>
      <c r="AP755" s="1483" t="s">
        <v>1454</v>
      </c>
      <c r="AR755" s="14"/>
      <c r="AS755" s="9"/>
      <c r="AT755" s="9"/>
      <c r="AU755" s="9"/>
      <c r="AV755" s="14"/>
      <c r="AW755" s="14"/>
      <c r="AX755" s="14"/>
      <c r="AY755" s="14"/>
      <c r="AZ755" s="14"/>
      <c r="BA755" s="14"/>
      <c r="BB755" s="1823"/>
      <c r="BC755" s="1816">
        <f>BF755*BF753</f>
        <v>262.5</v>
      </c>
      <c r="BD755" s="1477" t="s">
        <v>603</v>
      </c>
      <c r="BE755" s="1478">
        <v>12</v>
      </c>
      <c r="BF755" s="1479">
        <v>1.5</v>
      </c>
      <c r="BG755" s="1480" t="s">
        <v>8168</v>
      </c>
      <c r="BH755" s="1481" t="str">
        <f t="shared" ref="BH755:BH763" si="105">IF(OR(BE755="",BC755=0),"",INT(BC755/BE755) &amp;""&amp; " de " &amp; BE755 &amp;" "&amp;BG755&amp;  IF(MOD(BC755,BE755)&gt;0," + 1 " &amp; "de " &amp; TEXT(MOD(BC755,BE755)&amp;""&amp;BG755,"0.00"),""))</f>
        <v>21 de 12 cuisse + 1 de 10.5cuisse</v>
      </c>
      <c r="BI755" s="1481"/>
      <c r="BJ755" s="1482"/>
      <c r="BK755" s="1483" t="s">
        <v>615</v>
      </c>
      <c r="BM755" s="3">
        <v>1</v>
      </c>
    </row>
    <row r="756" spans="2:65" ht="21" customHeight="1">
      <c r="B756" s="14"/>
      <c r="C756" s="9"/>
      <c r="D756" s="9"/>
      <c r="E756" s="9"/>
      <c r="F756" s="14"/>
      <c r="G756" s="14"/>
      <c r="H756" s="14"/>
      <c r="I756" s="14"/>
      <c r="J756" s="14"/>
      <c r="K756" s="14"/>
      <c r="L756" s="1823"/>
      <c r="M756" s="1816">
        <f>P756*P753</f>
        <v>175</v>
      </c>
      <c r="N756" s="1477" t="s">
        <v>606</v>
      </c>
      <c r="O756" s="1478">
        <v>24</v>
      </c>
      <c r="P756" s="1479">
        <v>1</v>
      </c>
      <c r="Q756" s="1480" t="s">
        <v>8168</v>
      </c>
      <c r="R756" s="1481" t="str">
        <f t="shared" si="103"/>
        <v>7 de 24 cuisse + 1 de 7cuisse</v>
      </c>
      <c r="S756" s="1481"/>
      <c r="T756" s="1482"/>
      <c r="U756" s="1483" t="s">
        <v>616</v>
      </c>
      <c r="W756" s="14"/>
      <c r="X756" s="9"/>
      <c r="Y756" s="9"/>
      <c r="Z756" s="9"/>
      <c r="AA756" s="14"/>
      <c r="AB756" s="14"/>
      <c r="AC756" s="14"/>
      <c r="AD756" s="14"/>
      <c r="AE756" s="14"/>
      <c r="AF756" s="14"/>
      <c r="AG756" s="1823"/>
      <c r="AH756" s="1816">
        <f>AK756*AK753</f>
        <v>175</v>
      </c>
      <c r="AI756" s="1477" t="s">
        <v>8485</v>
      </c>
      <c r="AJ756" s="1478">
        <v>24</v>
      </c>
      <c r="AK756" s="1479">
        <v>1</v>
      </c>
      <c r="AL756" s="1480" t="s">
        <v>8493</v>
      </c>
      <c r="AM756" s="1481" t="str">
        <f t="shared" si="104"/>
        <v>7 de 24 muslo + 1 de 7muslo</v>
      </c>
      <c r="AN756" s="1481"/>
      <c r="AO756" s="1482"/>
      <c r="AP756" s="1483" t="s">
        <v>1454</v>
      </c>
      <c r="AR756" s="14"/>
      <c r="AS756" s="9"/>
      <c r="AT756" s="9"/>
      <c r="AU756" s="9"/>
      <c r="AV756" s="14"/>
      <c r="AW756" s="14"/>
      <c r="AX756" s="14"/>
      <c r="AY756" s="14"/>
      <c r="AZ756" s="14"/>
      <c r="BA756" s="14"/>
      <c r="BB756" s="1823"/>
      <c r="BC756" s="1816">
        <f>BF756*BF753</f>
        <v>175</v>
      </c>
      <c r="BD756" s="1477" t="s">
        <v>606</v>
      </c>
      <c r="BE756" s="1478">
        <v>24</v>
      </c>
      <c r="BF756" s="1479">
        <v>1</v>
      </c>
      <c r="BG756" s="1480" t="s">
        <v>8168</v>
      </c>
      <c r="BH756" s="1481" t="str">
        <f t="shared" si="105"/>
        <v>7 de 24 cuisse + 1 de 7cuisse</v>
      </c>
      <c r="BI756" s="1481"/>
      <c r="BJ756" s="1482"/>
      <c r="BK756" s="1483" t="s">
        <v>616</v>
      </c>
      <c r="BM756" s="3">
        <v>1</v>
      </c>
    </row>
    <row r="757" spans="2:65" ht="21" customHeight="1">
      <c r="B757" s="14"/>
      <c r="C757" s="9"/>
      <c r="D757" s="9"/>
      <c r="E757" s="9"/>
      <c r="F757" s="14"/>
      <c r="G757" s="14"/>
      <c r="H757" s="14"/>
      <c r="I757" s="14"/>
      <c r="J757" s="14"/>
      <c r="K757" s="14"/>
      <c r="L757" s="1823"/>
      <c r="M757" s="1816">
        <f>P757*P753</f>
        <v>175</v>
      </c>
      <c r="N757" s="1477" t="s">
        <v>611</v>
      </c>
      <c r="O757" s="1478">
        <v>25</v>
      </c>
      <c r="P757" s="1479">
        <v>1</v>
      </c>
      <c r="Q757" s="1480" t="s">
        <v>8169</v>
      </c>
      <c r="R757" s="1481" t="str">
        <f t="shared" si="103"/>
        <v>7 de 25 escalope</v>
      </c>
      <c r="S757" s="1481"/>
      <c r="T757" s="1482"/>
      <c r="U757" s="1483" t="s">
        <v>618</v>
      </c>
      <c r="W757" s="14"/>
      <c r="X757" s="9"/>
      <c r="Y757" s="9"/>
      <c r="Z757" s="9"/>
      <c r="AA757" s="14"/>
      <c r="AB757" s="14"/>
      <c r="AC757" s="14"/>
      <c r="AD757" s="14"/>
      <c r="AE757" s="14"/>
      <c r="AF757" s="14"/>
      <c r="AG757" s="1823"/>
      <c r="AH757" s="1816">
        <f>AK757*AK753</f>
        <v>175</v>
      </c>
      <c r="AI757" s="1477" t="s">
        <v>8486</v>
      </c>
      <c r="AJ757" s="1478">
        <v>25</v>
      </c>
      <c r="AK757" s="1479">
        <v>1</v>
      </c>
      <c r="AL757" s="1480" t="s">
        <v>8169</v>
      </c>
      <c r="AM757" s="1481" t="str">
        <f t="shared" si="104"/>
        <v>7 de 25 escalope</v>
      </c>
      <c r="AN757" s="1481"/>
      <c r="AO757" s="1482"/>
      <c r="AP757" s="1483" t="s">
        <v>1454</v>
      </c>
      <c r="AR757" s="14"/>
      <c r="AS757" s="9"/>
      <c r="AT757" s="9"/>
      <c r="AU757" s="9"/>
      <c r="AV757" s="14"/>
      <c r="AW757" s="14"/>
      <c r="AX757" s="14"/>
      <c r="AY757" s="14"/>
      <c r="AZ757" s="14"/>
      <c r="BA757" s="14"/>
      <c r="BB757" s="1823"/>
      <c r="BC757" s="1816">
        <f>BF757*BF753</f>
        <v>175</v>
      </c>
      <c r="BD757" s="1477" t="s">
        <v>611</v>
      </c>
      <c r="BE757" s="1478">
        <v>25</v>
      </c>
      <c r="BF757" s="1479">
        <v>1</v>
      </c>
      <c r="BG757" s="1480" t="s">
        <v>8169</v>
      </c>
      <c r="BH757" s="1481" t="str">
        <f t="shared" si="105"/>
        <v>7 de 25 escalope</v>
      </c>
      <c r="BI757" s="1481"/>
      <c r="BJ757" s="1482"/>
      <c r="BK757" s="1483" t="s">
        <v>618</v>
      </c>
      <c r="BM757" s="3">
        <v>1</v>
      </c>
    </row>
    <row r="758" spans="2:65" ht="21" customHeight="1">
      <c r="B758" s="14"/>
      <c r="C758" s="9"/>
      <c r="D758" s="9"/>
      <c r="E758" s="9"/>
      <c r="F758" s="14"/>
      <c r="G758" s="14"/>
      <c r="H758" s="14"/>
      <c r="I758" s="14"/>
      <c r="J758" s="14"/>
      <c r="K758" s="14"/>
      <c r="L758" s="1823"/>
      <c r="M758" s="1816">
        <f>P758*P753</f>
        <v>175</v>
      </c>
      <c r="N758" s="1477" t="s">
        <v>8170</v>
      </c>
      <c r="O758" s="1478">
        <v>60</v>
      </c>
      <c r="P758" s="1479">
        <v>1</v>
      </c>
      <c r="Q758" s="1480" t="s">
        <v>8171</v>
      </c>
      <c r="R758" s="1481" t="str">
        <f t="shared" si="103"/>
        <v>2 de 60 tranche + 1 de 55tranche</v>
      </c>
      <c r="S758" s="1481"/>
      <c r="T758" s="1482"/>
      <c r="U758" s="1483" t="s">
        <v>620</v>
      </c>
      <c r="W758" s="14"/>
      <c r="X758" s="9"/>
      <c r="Y758" s="9"/>
      <c r="Z758" s="9"/>
      <c r="AA758" s="14"/>
      <c r="AB758" s="14"/>
      <c r="AC758" s="14"/>
      <c r="AD758" s="14"/>
      <c r="AE758" s="14"/>
      <c r="AF758" s="14"/>
      <c r="AG758" s="1823"/>
      <c r="AH758" s="1816">
        <f>AK758*AK753</f>
        <v>175</v>
      </c>
      <c r="AI758" s="1477" t="s">
        <v>8487</v>
      </c>
      <c r="AJ758" s="1478">
        <v>60</v>
      </c>
      <c r="AK758" s="1479">
        <v>1</v>
      </c>
      <c r="AL758" s="1480" t="s">
        <v>8494</v>
      </c>
      <c r="AM758" s="1481" t="str">
        <f t="shared" si="104"/>
        <v>2 de 60 loncha + 1 de 55loncha</v>
      </c>
      <c r="AN758" s="1481"/>
      <c r="AO758" s="1482"/>
      <c r="AP758" s="1483" t="s">
        <v>1454</v>
      </c>
      <c r="AR758" s="14"/>
      <c r="AS758" s="9"/>
      <c r="AT758" s="9"/>
      <c r="AU758" s="9"/>
      <c r="AV758" s="14"/>
      <c r="AW758" s="14"/>
      <c r="AX758" s="14"/>
      <c r="AY758" s="14"/>
      <c r="AZ758" s="14"/>
      <c r="BA758" s="14"/>
      <c r="BB758" s="1823"/>
      <c r="BC758" s="1816">
        <f>BF758*BF753</f>
        <v>175</v>
      </c>
      <c r="BD758" s="1477" t="s">
        <v>8170</v>
      </c>
      <c r="BE758" s="1478">
        <v>60</v>
      </c>
      <c r="BF758" s="1479">
        <v>1</v>
      </c>
      <c r="BG758" s="1480" t="s">
        <v>8171</v>
      </c>
      <c r="BH758" s="1481" t="str">
        <f t="shared" si="105"/>
        <v>2 de 60 tranche + 1 de 55tranche</v>
      </c>
      <c r="BI758" s="1481"/>
      <c r="BJ758" s="1482"/>
      <c r="BK758" s="1483" t="s">
        <v>620</v>
      </c>
      <c r="BM758" s="3">
        <v>1</v>
      </c>
    </row>
    <row r="759" spans="2:65" ht="21" customHeight="1">
      <c r="B759" s="14"/>
      <c r="C759" s="9"/>
      <c r="D759" s="9"/>
      <c r="E759" s="9"/>
      <c r="F759" s="14"/>
      <c r="G759" s="14"/>
      <c r="H759" s="14"/>
      <c r="I759" s="14"/>
      <c r="J759" s="14"/>
      <c r="K759" s="14"/>
      <c r="L759" s="1823"/>
      <c r="M759" s="1816">
        <f>P759*P753</f>
        <v>175</v>
      </c>
      <c r="N759" s="1477" t="s">
        <v>617</v>
      </c>
      <c r="O759" s="1478">
        <v>25</v>
      </c>
      <c r="P759" s="1479">
        <v>1</v>
      </c>
      <c r="Q759" s="1480" t="s">
        <v>8172</v>
      </c>
      <c r="R759" s="1481" t="str">
        <f t="shared" si="103"/>
        <v>7 de 25 paupiettes</v>
      </c>
      <c r="S759" s="1481"/>
      <c r="T759" s="1482"/>
      <c r="U759" s="1483" t="s">
        <v>622</v>
      </c>
      <c r="W759" s="14"/>
      <c r="X759" s="9"/>
      <c r="Y759" s="9"/>
      <c r="Z759" s="9"/>
      <c r="AA759" s="14"/>
      <c r="AB759" s="14"/>
      <c r="AC759" s="14"/>
      <c r="AD759" s="14"/>
      <c r="AE759" s="14"/>
      <c r="AF759" s="14"/>
      <c r="AG759" s="1823"/>
      <c r="AH759" s="1816">
        <f>AK759*AK753</f>
        <v>175</v>
      </c>
      <c r="AI759" s="1477" t="s">
        <v>8488</v>
      </c>
      <c r="AJ759" s="1478">
        <v>25</v>
      </c>
      <c r="AK759" s="1479">
        <v>1</v>
      </c>
      <c r="AL759" s="1480" t="s">
        <v>8479</v>
      </c>
      <c r="AM759" s="1481" t="str">
        <f t="shared" si="104"/>
        <v>7 de 25 paupiette</v>
      </c>
      <c r="AN759" s="1481"/>
      <c r="AO759" s="1482"/>
      <c r="AP759" s="1483" t="s">
        <v>1454</v>
      </c>
      <c r="AR759" s="14"/>
      <c r="AS759" s="9"/>
      <c r="AT759" s="9"/>
      <c r="AU759" s="9"/>
      <c r="AV759" s="14"/>
      <c r="AW759" s="14"/>
      <c r="AX759" s="14"/>
      <c r="AY759" s="14"/>
      <c r="AZ759" s="14"/>
      <c r="BA759" s="14"/>
      <c r="BB759" s="1823"/>
      <c r="BC759" s="1816">
        <f>BF759*BF753</f>
        <v>175</v>
      </c>
      <c r="BD759" s="1477" t="s">
        <v>617</v>
      </c>
      <c r="BE759" s="1478">
        <v>25</v>
      </c>
      <c r="BF759" s="1479">
        <v>1</v>
      </c>
      <c r="BG759" s="1480" t="s">
        <v>8172</v>
      </c>
      <c r="BH759" s="1481" t="str">
        <f t="shared" si="105"/>
        <v>7 de 25 paupiettes</v>
      </c>
      <c r="BI759" s="1481"/>
      <c r="BJ759" s="1482"/>
      <c r="BK759" s="1483" t="s">
        <v>622</v>
      </c>
      <c r="BM759" s="3">
        <v>1</v>
      </c>
    </row>
    <row r="760" spans="2:65" ht="21" customHeight="1">
      <c r="B760" s="14"/>
      <c r="C760" s="9"/>
      <c r="D760" s="9"/>
      <c r="E760" s="9"/>
      <c r="F760" s="14"/>
      <c r="G760" s="14"/>
      <c r="H760" s="14"/>
      <c r="I760" s="14"/>
      <c r="J760" s="14"/>
      <c r="K760" s="14"/>
      <c r="L760" s="1823"/>
      <c r="M760" s="1816">
        <f>P760*P753</f>
        <v>175</v>
      </c>
      <c r="N760" s="1477" t="s">
        <v>619</v>
      </c>
      <c r="O760" s="1478">
        <v>20</v>
      </c>
      <c r="P760" s="1479">
        <v>1</v>
      </c>
      <c r="Q760" s="1480" t="s">
        <v>8173</v>
      </c>
      <c r="R760" s="1481" t="str">
        <f t="shared" si="103"/>
        <v>8 de 20 tomates + 1 de 15tomates</v>
      </c>
      <c r="S760" s="1481"/>
      <c r="T760" s="348"/>
      <c r="U760" s="1483" t="s">
        <v>615</v>
      </c>
      <c r="W760" s="14"/>
      <c r="X760" s="9"/>
      <c r="Y760" s="9"/>
      <c r="Z760" s="9"/>
      <c r="AA760" s="14"/>
      <c r="AB760" s="14"/>
      <c r="AC760" s="14"/>
      <c r="AD760" s="14"/>
      <c r="AE760" s="14"/>
      <c r="AF760" s="14"/>
      <c r="AG760" s="1823"/>
      <c r="AH760" s="1816">
        <f>AK760*AK753</f>
        <v>175</v>
      </c>
      <c r="AI760" s="1477" t="s">
        <v>8489</v>
      </c>
      <c r="AJ760" s="1478">
        <v>20</v>
      </c>
      <c r="AK760" s="1479">
        <v>1</v>
      </c>
      <c r="AL760" s="1480" t="s">
        <v>8495</v>
      </c>
      <c r="AM760" s="1481" t="str">
        <f t="shared" si="104"/>
        <v>8 de 20 tomate + 1 de 15tomate</v>
      </c>
      <c r="AN760" s="1481"/>
      <c r="AO760" s="348"/>
      <c r="AP760" s="1483" t="s">
        <v>1454</v>
      </c>
      <c r="AR760" s="14"/>
      <c r="AS760" s="9"/>
      <c r="AT760" s="9"/>
      <c r="AU760" s="9"/>
      <c r="AV760" s="14"/>
      <c r="AW760" s="14"/>
      <c r="AX760" s="14"/>
      <c r="AY760" s="14"/>
      <c r="AZ760" s="14"/>
      <c r="BA760" s="14"/>
      <c r="BB760" s="1823"/>
      <c r="BC760" s="1816">
        <f>BF760*BF753</f>
        <v>175</v>
      </c>
      <c r="BD760" s="1477" t="s">
        <v>619</v>
      </c>
      <c r="BE760" s="1478">
        <v>20</v>
      </c>
      <c r="BF760" s="1479">
        <v>1</v>
      </c>
      <c r="BG760" s="1480" t="s">
        <v>8173</v>
      </c>
      <c r="BH760" s="1481" t="str">
        <f t="shared" si="105"/>
        <v>8 de 20 tomates + 1 de 15tomates</v>
      </c>
      <c r="BI760" s="1481"/>
      <c r="BJ760" s="348"/>
      <c r="BK760" s="1483" t="s">
        <v>615</v>
      </c>
      <c r="BM760" s="3">
        <v>1</v>
      </c>
    </row>
    <row r="761" spans="2:65" ht="21" customHeight="1">
      <c r="B761" s="14"/>
      <c r="C761" s="9"/>
      <c r="D761" s="9"/>
      <c r="E761" s="9"/>
      <c r="F761" s="14"/>
      <c r="G761" s="14"/>
      <c r="H761" s="14"/>
      <c r="I761" s="14"/>
      <c r="J761" s="14"/>
      <c r="K761" s="14"/>
      <c r="L761" s="1823"/>
      <c r="M761" s="1816">
        <f>P761*P753</f>
        <v>31.5</v>
      </c>
      <c r="N761" s="1477" t="s">
        <v>621</v>
      </c>
      <c r="O761" s="1478">
        <v>7.2</v>
      </c>
      <c r="P761" s="1479">
        <v>0.18</v>
      </c>
      <c r="Q761" s="1480" t="s">
        <v>140</v>
      </c>
      <c r="R761" s="1481" t="str">
        <f t="shared" si="103"/>
        <v>4 de 7.2 kg + 1 de 2.7kg</v>
      </c>
      <c r="S761" s="1481"/>
      <c r="T761" s="348"/>
      <c r="U761" s="1483" t="s">
        <v>616</v>
      </c>
      <c r="W761" s="14"/>
      <c r="X761" s="9"/>
      <c r="Y761" s="9"/>
      <c r="Z761" s="9"/>
      <c r="AA761" s="14"/>
      <c r="AB761" s="14"/>
      <c r="AC761" s="14"/>
      <c r="AD761" s="14"/>
      <c r="AE761" s="14"/>
      <c r="AF761" s="14"/>
      <c r="AG761" s="1823"/>
      <c r="AH761" s="1816">
        <f>AK761*AK753</f>
        <v>31.5</v>
      </c>
      <c r="AI761" s="1477" t="s">
        <v>8490</v>
      </c>
      <c r="AJ761" s="1478">
        <v>7.2</v>
      </c>
      <c r="AK761" s="1479">
        <v>0.18</v>
      </c>
      <c r="AL761" s="1480" t="s">
        <v>140</v>
      </c>
      <c r="AM761" s="1481" t="str">
        <f t="shared" si="104"/>
        <v>4 de 7.2 kg + 1 de 2.7kg</v>
      </c>
      <c r="AN761" s="1481"/>
      <c r="AO761" s="348"/>
      <c r="AP761" s="1483" t="s">
        <v>1454</v>
      </c>
      <c r="AR761" s="14"/>
      <c r="AS761" s="9"/>
      <c r="AT761" s="9"/>
      <c r="AU761" s="9"/>
      <c r="AV761" s="14"/>
      <c r="AW761" s="14"/>
      <c r="AX761" s="14"/>
      <c r="AY761" s="14"/>
      <c r="AZ761" s="14"/>
      <c r="BA761" s="14"/>
      <c r="BB761" s="1823"/>
      <c r="BC761" s="1816">
        <f>BF761*BF753</f>
        <v>31.5</v>
      </c>
      <c r="BD761" s="1477" t="s">
        <v>621</v>
      </c>
      <c r="BE761" s="1478">
        <v>7.2</v>
      </c>
      <c r="BF761" s="1479">
        <v>0.18</v>
      </c>
      <c r="BG761" s="1480" t="s">
        <v>140</v>
      </c>
      <c r="BH761" s="1481" t="str">
        <f t="shared" si="105"/>
        <v>4 de 7.2 kg + 1 de 2.7kg</v>
      </c>
      <c r="BI761" s="1481"/>
      <c r="BJ761" s="348"/>
      <c r="BK761" s="1483" t="s">
        <v>616</v>
      </c>
      <c r="BM761" s="3">
        <v>1</v>
      </c>
    </row>
    <row r="762" spans="2:65" ht="21" customHeight="1">
      <c r="B762" s="14"/>
      <c r="C762" s="9"/>
      <c r="D762" s="9"/>
      <c r="E762" s="9"/>
      <c r="F762" s="14"/>
      <c r="G762" s="14"/>
      <c r="H762" s="14"/>
      <c r="I762" s="14"/>
      <c r="J762" s="14"/>
      <c r="K762" s="14"/>
      <c r="L762" s="1823"/>
      <c r="M762" s="1816">
        <f>P762*P753</f>
        <v>31.5</v>
      </c>
      <c r="N762" s="1477" t="s">
        <v>623</v>
      </c>
      <c r="O762" s="1478">
        <v>4</v>
      </c>
      <c r="P762" s="1479">
        <v>0.18</v>
      </c>
      <c r="Q762" s="1480" t="s">
        <v>140</v>
      </c>
      <c r="R762" s="1481" t="str">
        <f t="shared" si="103"/>
        <v>7 de 4 kg + 1 de 3.5kg</v>
      </c>
      <c r="S762" s="1481"/>
      <c r="T762" s="348"/>
      <c r="U762" s="1483" t="s">
        <v>618</v>
      </c>
      <c r="W762" s="14"/>
      <c r="X762" s="9"/>
      <c r="Y762" s="9"/>
      <c r="Z762" s="9"/>
      <c r="AA762" s="14"/>
      <c r="AB762" s="14"/>
      <c r="AC762" s="14"/>
      <c r="AD762" s="14"/>
      <c r="AE762" s="14"/>
      <c r="AF762" s="14"/>
      <c r="AG762" s="1823"/>
      <c r="AH762" s="1816">
        <f>AK762*AK753</f>
        <v>31.5</v>
      </c>
      <c r="AI762" s="1477" t="s">
        <v>8491</v>
      </c>
      <c r="AJ762" s="1478">
        <v>4</v>
      </c>
      <c r="AK762" s="1479">
        <v>0.18</v>
      </c>
      <c r="AL762" s="1480" t="s">
        <v>140</v>
      </c>
      <c r="AM762" s="1481" t="str">
        <f t="shared" si="104"/>
        <v>7 de 4 kg + 1 de 3.5kg</v>
      </c>
      <c r="AN762" s="1481"/>
      <c r="AO762" s="348"/>
      <c r="AP762" s="1483" t="s">
        <v>1454</v>
      </c>
      <c r="AR762" s="14"/>
      <c r="AS762" s="9"/>
      <c r="AT762" s="9"/>
      <c r="AU762" s="9"/>
      <c r="AV762" s="14"/>
      <c r="AW762" s="14"/>
      <c r="AX762" s="14"/>
      <c r="AY762" s="14"/>
      <c r="AZ762" s="14"/>
      <c r="BA762" s="14"/>
      <c r="BB762" s="1823"/>
      <c r="BC762" s="1816">
        <f>BF762*BF753</f>
        <v>31.5</v>
      </c>
      <c r="BD762" s="1477" t="s">
        <v>623</v>
      </c>
      <c r="BE762" s="1478">
        <v>4</v>
      </c>
      <c r="BF762" s="1479">
        <v>0.18</v>
      </c>
      <c r="BG762" s="1480" t="s">
        <v>140</v>
      </c>
      <c r="BH762" s="1481" t="str">
        <f t="shared" si="105"/>
        <v>7 de 4 kg + 1 de 3.5kg</v>
      </c>
      <c r="BI762" s="1481"/>
      <c r="BJ762" s="348"/>
      <c r="BK762" s="1483" t="s">
        <v>618</v>
      </c>
      <c r="BM762" s="3">
        <v>1</v>
      </c>
    </row>
    <row r="763" spans="2:65" ht="21" customHeight="1">
      <c r="B763" s="14"/>
      <c r="C763" s="9"/>
      <c r="D763" s="9"/>
      <c r="E763" s="9"/>
      <c r="F763" s="14"/>
      <c r="G763" s="14"/>
      <c r="H763" s="14"/>
      <c r="I763" s="14"/>
      <c r="J763" s="14"/>
      <c r="K763" s="14"/>
      <c r="L763" s="1823"/>
      <c r="M763" s="1816">
        <f>P763*P753</f>
        <v>31.5</v>
      </c>
      <c r="N763" s="1477" t="s">
        <v>624</v>
      </c>
      <c r="O763" s="1478">
        <v>3</v>
      </c>
      <c r="P763" s="1479">
        <v>0.18</v>
      </c>
      <c r="Q763" s="1480" t="s">
        <v>140</v>
      </c>
      <c r="R763" s="1481" t="str">
        <f t="shared" si="103"/>
        <v>10 de 3 kg + 1 de 1.5kg</v>
      </c>
      <c r="S763" s="1481"/>
      <c r="T763" s="348"/>
      <c r="U763" s="1483" t="s">
        <v>620</v>
      </c>
      <c r="W763" s="14"/>
      <c r="X763" s="9"/>
      <c r="Y763" s="9"/>
      <c r="Z763" s="9"/>
      <c r="AA763" s="14"/>
      <c r="AB763" s="14"/>
      <c r="AC763" s="14"/>
      <c r="AD763" s="14"/>
      <c r="AE763" s="14"/>
      <c r="AF763" s="14"/>
      <c r="AG763" s="1823"/>
      <c r="AH763" s="1816">
        <f>AK763*AK753</f>
        <v>31.5</v>
      </c>
      <c r="AI763" s="1477" t="s">
        <v>8492</v>
      </c>
      <c r="AJ763" s="1478">
        <v>3</v>
      </c>
      <c r="AK763" s="1479">
        <v>0.18</v>
      </c>
      <c r="AL763" s="1480" t="s">
        <v>140</v>
      </c>
      <c r="AM763" s="1481" t="str">
        <f t="shared" si="104"/>
        <v>10 de 3 kg + 1 de 1.5kg</v>
      </c>
      <c r="AN763" s="1481"/>
      <c r="AO763" s="348"/>
      <c r="AP763" s="1483" t="s">
        <v>1454</v>
      </c>
      <c r="AR763" s="14"/>
      <c r="AS763" s="9"/>
      <c r="AT763" s="9"/>
      <c r="AU763" s="9"/>
      <c r="AV763" s="14"/>
      <c r="AW763" s="14"/>
      <c r="AX763" s="14"/>
      <c r="AY763" s="14"/>
      <c r="AZ763" s="14"/>
      <c r="BA763" s="14"/>
      <c r="BB763" s="1823"/>
      <c r="BC763" s="1816">
        <f>BF763*BF753</f>
        <v>31.5</v>
      </c>
      <c r="BD763" s="1477" t="s">
        <v>624</v>
      </c>
      <c r="BE763" s="1478">
        <v>3</v>
      </c>
      <c r="BF763" s="1479">
        <v>0.18</v>
      </c>
      <c r="BG763" s="1480" t="s">
        <v>140</v>
      </c>
      <c r="BH763" s="1481" t="str">
        <f t="shared" si="105"/>
        <v>10 de 3 kg + 1 de 1.5kg</v>
      </c>
      <c r="BI763" s="1481"/>
      <c r="BJ763" s="348"/>
      <c r="BK763" s="1483" t="s">
        <v>620</v>
      </c>
      <c r="BM763" s="3">
        <v>1</v>
      </c>
    </row>
    <row r="764" spans="2:65" ht="21" customHeight="1">
      <c r="B764" s="14"/>
      <c r="C764" s="9"/>
      <c r="D764" s="9"/>
      <c r="E764" s="9"/>
      <c r="F764" s="14"/>
      <c r="G764" s="14"/>
      <c r="H764" s="14"/>
      <c r="I764" s="14"/>
      <c r="J764" s="14"/>
      <c r="K764" s="14"/>
      <c r="L764" s="1823"/>
      <c r="M764" s="1865" t="s">
        <v>821</v>
      </c>
      <c r="N764" s="1841"/>
      <c r="O764" s="1899"/>
      <c r="P764" s="1899"/>
      <c r="Q764" s="1899"/>
      <c r="R764" s="1899"/>
      <c r="S764" s="1900" t="s">
        <v>196</v>
      </c>
      <c r="T764" s="1902"/>
      <c r="U764" s="1901" t="s">
        <v>8174</v>
      </c>
      <c r="W764" s="14"/>
      <c r="X764" s="9"/>
      <c r="Y764" s="9"/>
      <c r="Z764" s="9"/>
      <c r="AA764" s="14"/>
      <c r="AB764" s="14"/>
      <c r="AC764" s="14"/>
      <c r="AD764" s="14"/>
      <c r="AE764" s="14"/>
      <c r="AF764" s="14"/>
      <c r="AG764" s="1823"/>
      <c r="AH764" s="1865" t="s">
        <v>8197</v>
      </c>
      <c r="AI764" s="1841"/>
      <c r="AJ764" s="1899"/>
      <c r="AK764" s="1899"/>
      <c r="AL764" s="1899"/>
      <c r="AM764" s="1899"/>
      <c r="AN764" s="1900" t="s">
        <v>879</v>
      </c>
      <c r="AO764" s="1902"/>
      <c r="AP764" s="1901" t="s">
        <v>8478</v>
      </c>
      <c r="AR764" s="14"/>
      <c r="AS764" s="9"/>
      <c r="AT764" s="9"/>
      <c r="AU764" s="9"/>
      <c r="AV764" s="14"/>
      <c r="AW764" s="14"/>
      <c r="AX764" s="14"/>
      <c r="AY764" s="14"/>
      <c r="AZ764" s="14"/>
      <c r="BA764" s="14"/>
      <c r="BB764" s="1823"/>
      <c r="BC764" s="1865" t="s">
        <v>874</v>
      </c>
      <c r="BD764" s="1841"/>
      <c r="BE764" s="1899"/>
      <c r="BF764" s="1899"/>
      <c r="BG764" s="1899"/>
      <c r="BH764" s="1899"/>
      <c r="BI764" s="1900" t="s">
        <v>879</v>
      </c>
      <c r="BJ764" s="1902"/>
      <c r="BK764" s="1901" t="s">
        <v>8174</v>
      </c>
      <c r="BM764" s="3">
        <v>1</v>
      </c>
    </row>
    <row r="765" spans="2:65" ht="21" customHeight="1">
      <c r="B765" s="14"/>
      <c r="C765" s="9"/>
      <c r="D765" s="9"/>
      <c r="E765" s="9"/>
      <c r="F765" s="14"/>
      <c r="G765" s="14"/>
      <c r="H765" s="14"/>
      <c r="I765" s="14"/>
      <c r="J765" s="14"/>
      <c r="K765" s="14"/>
      <c r="L765" s="1823"/>
      <c r="M765" s="1866" t="s">
        <v>8146</v>
      </c>
      <c r="N765" s="14"/>
      <c r="O765" s="198"/>
      <c r="P765" s="198"/>
      <c r="Q765" s="198"/>
      <c r="R765" s="198"/>
      <c r="S765" s="1883"/>
      <c r="T765" s="1883"/>
      <c r="U765" s="1483" t="s">
        <v>616</v>
      </c>
      <c r="W765" s="14"/>
      <c r="X765" s="9"/>
      <c r="Y765" s="9"/>
      <c r="Z765" s="9"/>
      <c r="AA765" s="14"/>
      <c r="AB765" s="14"/>
      <c r="AC765" s="14"/>
      <c r="AD765" s="14"/>
      <c r="AE765" s="14"/>
      <c r="AF765" s="14"/>
      <c r="AG765" s="1823"/>
      <c r="AH765" s="1866" t="s">
        <v>8198</v>
      </c>
      <c r="AI765" s="14"/>
      <c r="AJ765" s="198"/>
      <c r="AK765" s="198"/>
      <c r="AL765" s="198"/>
      <c r="AM765" s="198"/>
      <c r="AN765" s="1883"/>
      <c r="AO765" s="1883"/>
      <c r="AP765" s="1483" t="s">
        <v>1451</v>
      </c>
      <c r="AR765" s="14"/>
      <c r="AS765" s="9"/>
      <c r="AT765" s="9"/>
      <c r="AU765" s="9"/>
      <c r="AV765" s="14"/>
      <c r="AW765" s="14"/>
      <c r="AX765" s="14"/>
      <c r="AY765" s="14"/>
      <c r="AZ765" s="14"/>
      <c r="BA765" s="14"/>
      <c r="BB765" s="1823"/>
      <c r="BC765" s="1866" t="s">
        <v>8193</v>
      </c>
      <c r="BD765" s="14"/>
      <c r="BE765" s="198"/>
      <c r="BF765" s="198"/>
      <c r="BG765" s="198"/>
      <c r="BH765" s="198"/>
      <c r="BI765" s="1883"/>
      <c r="BJ765" s="1883"/>
      <c r="BK765" s="1483" t="s">
        <v>616</v>
      </c>
      <c r="BM765" s="3">
        <v>1</v>
      </c>
    </row>
    <row r="766" spans="2:65" ht="21" customHeight="1">
      <c r="B766" s="14"/>
      <c r="C766" s="9"/>
      <c r="D766" s="9"/>
      <c r="E766" s="9"/>
      <c r="F766" s="14"/>
      <c r="G766" s="14"/>
      <c r="H766" s="14"/>
      <c r="I766" s="14"/>
      <c r="J766" s="14"/>
      <c r="K766" s="14"/>
      <c r="L766" s="1823" t="str">
        <f>IF(ISBLANK(M766),"",LARGE(L753:L765,1)+1)</f>
        <v/>
      </c>
      <c r="M766" s="1896"/>
      <c r="N766" s="1883"/>
      <c r="O766" s="1883"/>
      <c r="P766" s="1883"/>
      <c r="Q766" s="1883"/>
      <c r="R766" s="1883"/>
      <c r="S766" s="1883"/>
      <c r="T766" s="1883"/>
      <c r="U766" s="1483" t="s">
        <v>618</v>
      </c>
      <c r="W766" s="14"/>
      <c r="X766" s="9"/>
      <c r="Y766" s="9"/>
      <c r="Z766" s="9"/>
      <c r="AA766" s="14"/>
      <c r="AB766" s="14"/>
      <c r="AC766" s="14"/>
      <c r="AD766" s="14"/>
      <c r="AE766" s="14"/>
      <c r="AF766" s="14"/>
      <c r="AG766" s="1823" t="str">
        <f>IF(ISBLANK(AH766),"",LARGE(AG753:AG765,1)+1)</f>
        <v/>
      </c>
      <c r="AH766" s="1896"/>
      <c r="AI766" s="1883"/>
      <c r="AJ766" s="1883"/>
      <c r="AK766" s="1883"/>
      <c r="AL766" s="1883"/>
      <c r="AM766" s="1883"/>
      <c r="AN766" s="1883"/>
      <c r="AO766" s="1883"/>
      <c r="AP766" s="1483" t="s">
        <v>1452</v>
      </c>
      <c r="AR766" s="14"/>
      <c r="AS766" s="9"/>
      <c r="AT766" s="9"/>
      <c r="AU766" s="9"/>
      <c r="AV766" s="14"/>
      <c r="AW766" s="14"/>
      <c r="AX766" s="14"/>
      <c r="AY766" s="14"/>
      <c r="AZ766" s="14"/>
      <c r="BA766" s="14"/>
      <c r="BB766" s="1823" t="str">
        <f>IF(ISBLANK(BC766),"",LARGE(BB753:BB765,1)+1)</f>
        <v/>
      </c>
      <c r="BC766" s="1896"/>
      <c r="BD766" s="1883"/>
      <c r="BE766" s="1883"/>
      <c r="BF766" s="1883"/>
      <c r="BG766" s="1883"/>
      <c r="BH766" s="1883"/>
      <c r="BI766" s="1883"/>
      <c r="BJ766" s="1883"/>
      <c r="BK766" s="1483" t="s">
        <v>618</v>
      </c>
      <c r="BM766" s="3">
        <v>1</v>
      </c>
    </row>
    <row r="767" spans="2:65" ht="21" customHeight="1">
      <c r="B767" s="14"/>
      <c r="C767" s="9"/>
      <c r="D767" s="9"/>
      <c r="E767" s="9"/>
      <c r="F767" s="14"/>
      <c r="G767" s="14"/>
      <c r="H767" s="14"/>
      <c r="I767" s="14"/>
      <c r="J767" s="14"/>
      <c r="K767" s="14"/>
      <c r="L767" s="1823" t="str">
        <f>IF(ISBLANK(M767),"",LARGE(L753:L766,1)+1)</f>
        <v/>
      </c>
      <c r="M767" s="1896"/>
      <c r="N767" s="1883"/>
      <c r="O767" s="1883"/>
      <c r="P767" s="1883"/>
      <c r="Q767" s="1883"/>
      <c r="R767" s="1883"/>
      <c r="S767" s="1883"/>
      <c r="T767" s="1883"/>
      <c r="U767" s="1483" t="s">
        <v>620</v>
      </c>
      <c r="W767" s="14"/>
      <c r="X767" s="9"/>
      <c r="Y767" s="9"/>
      <c r="Z767" s="9"/>
      <c r="AA767" s="14"/>
      <c r="AB767" s="14"/>
      <c r="AC767" s="14"/>
      <c r="AD767" s="14"/>
      <c r="AE767" s="14"/>
      <c r="AF767" s="14"/>
      <c r="AG767" s="1823" t="str">
        <f>IF(ISBLANK(AH767),"",LARGE(AG753:AG766,1)+1)</f>
        <v/>
      </c>
      <c r="AH767" s="1896"/>
      <c r="AI767" s="1883"/>
      <c r="AJ767" s="1883"/>
      <c r="AK767" s="1883"/>
      <c r="AL767" s="1883"/>
      <c r="AM767" s="1883"/>
      <c r="AN767" s="1883"/>
      <c r="AO767" s="1883"/>
      <c r="AP767" s="1483" t="s">
        <v>1453</v>
      </c>
      <c r="AR767" s="14"/>
      <c r="AS767" s="9"/>
      <c r="AT767" s="9"/>
      <c r="AU767" s="9"/>
      <c r="AV767" s="14"/>
      <c r="AW767" s="14"/>
      <c r="AX767" s="14"/>
      <c r="AY767" s="14"/>
      <c r="AZ767" s="14"/>
      <c r="BA767" s="14"/>
      <c r="BB767" s="1823" t="str">
        <f>IF(ISBLANK(BC767),"",LARGE(BB753:BB766,1)+1)</f>
        <v/>
      </c>
      <c r="BC767" s="1896"/>
      <c r="BD767" s="1883"/>
      <c r="BE767" s="1883"/>
      <c r="BF767" s="1883"/>
      <c r="BG767" s="1883"/>
      <c r="BH767" s="1883"/>
      <c r="BI767" s="1883"/>
      <c r="BJ767" s="1883"/>
      <c r="BK767" s="1483" t="s">
        <v>620</v>
      </c>
      <c r="BM767" s="3">
        <v>1</v>
      </c>
    </row>
    <row r="768" spans="2:65" ht="21" customHeight="1">
      <c r="B768" s="14"/>
      <c r="C768" s="9"/>
      <c r="D768" s="9"/>
      <c r="E768" s="9"/>
      <c r="F768" s="14"/>
      <c r="G768" s="14"/>
      <c r="H768" s="14"/>
      <c r="I768" s="14"/>
      <c r="J768" s="14"/>
      <c r="K768" s="14"/>
      <c r="L768" s="1823" t="str">
        <f>IF(ISBLANK(M768),"",LARGE(L753:L767,1)+1)</f>
        <v/>
      </c>
      <c r="M768" s="1896"/>
      <c r="N768" s="1883"/>
      <c r="O768" s="1883"/>
      <c r="P768" s="1883"/>
      <c r="Q768" s="1883"/>
      <c r="R768" s="1883"/>
      <c r="S768" s="1883"/>
      <c r="T768" s="1883"/>
      <c r="U768" s="1483" t="s">
        <v>622</v>
      </c>
      <c r="W768" s="14"/>
      <c r="X768" s="9"/>
      <c r="Y768" s="9"/>
      <c r="Z768" s="9"/>
      <c r="AA768" s="14"/>
      <c r="AB768" s="14"/>
      <c r="AC768" s="14"/>
      <c r="AD768" s="14"/>
      <c r="AE768" s="14"/>
      <c r="AF768" s="14"/>
      <c r="AG768" s="1823" t="str">
        <f>IF(ISBLANK(AH768),"",LARGE(AG753:AG767,1)+1)</f>
        <v/>
      </c>
      <c r="AH768" s="1896"/>
      <c r="AI768" s="1883"/>
      <c r="AJ768" s="1883"/>
      <c r="AK768" s="1883"/>
      <c r="AL768" s="1883"/>
      <c r="AM768" s="1883"/>
      <c r="AN768" s="1883"/>
      <c r="AO768" s="1883"/>
      <c r="AP768" s="1483" t="s">
        <v>1455</v>
      </c>
      <c r="AR768" s="14"/>
      <c r="AS768" s="9"/>
      <c r="AT768" s="9"/>
      <c r="AU768" s="9"/>
      <c r="AV768" s="14"/>
      <c r="AW768" s="14"/>
      <c r="AX768" s="14"/>
      <c r="AY768" s="14"/>
      <c r="AZ768" s="14"/>
      <c r="BA768" s="14"/>
      <c r="BB768" s="1823" t="str">
        <f>IF(ISBLANK(BC768),"",LARGE(BB753:BB767,1)+1)</f>
        <v/>
      </c>
      <c r="BC768" s="1896"/>
      <c r="BD768" s="1883"/>
      <c r="BE768" s="1883"/>
      <c r="BF768" s="1883"/>
      <c r="BG768" s="1883"/>
      <c r="BH768" s="1883"/>
      <c r="BI768" s="1883"/>
      <c r="BJ768" s="1883"/>
      <c r="BK768" s="1483" t="s">
        <v>622</v>
      </c>
      <c r="BM768" s="3">
        <v>1</v>
      </c>
    </row>
    <row r="769" spans="2:65" ht="21" customHeight="1">
      <c r="B769" s="14"/>
      <c r="C769" s="9"/>
      <c r="D769" s="9"/>
      <c r="E769" s="9"/>
      <c r="F769" s="14"/>
      <c r="G769" s="14"/>
      <c r="H769" s="14"/>
      <c r="I769" s="14"/>
      <c r="J769" s="14"/>
      <c r="K769" s="14"/>
      <c r="L769" s="1823" t="str">
        <f>IF(ISBLANK(M769),"",LARGE(L753:L768,1)+1)</f>
        <v/>
      </c>
      <c r="M769" s="1896"/>
      <c r="N769" s="1883"/>
      <c r="O769" s="1883"/>
      <c r="P769" s="1883"/>
      <c r="Q769" s="1883"/>
      <c r="R769" s="1883"/>
      <c r="S769" s="1883"/>
      <c r="T769" s="1883"/>
      <c r="U769" s="1483" t="s">
        <v>615</v>
      </c>
      <c r="W769" s="14"/>
      <c r="X769" s="9"/>
      <c r="Y769" s="9"/>
      <c r="Z769" s="9"/>
      <c r="AA769" s="14"/>
      <c r="AB769" s="14"/>
      <c r="AC769" s="14"/>
      <c r="AD769" s="14"/>
      <c r="AE769" s="14"/>
      <c r="AF769" s="14"/>
      <c r="AG769" s="1823" t="str">
        <f>IF(ISBLANK(AH769),"",LARGE(AG753:AG768,1)+1)</f>
        <v/>
      </c>
      <c r="AH769" s="1896"/>
      <c r="AI769" s="1883"/>
      <c r="AJ769" s="1883"/>
      <c r="AK769" s="1883"/>
      <c r="AL769" s="1883"/>
      <c r="AM769" s="1883"/>
      <c r="AN769" s="1883"/>
      <c r="AO769" s="1883"/>
      <c r="AP769" s="1483" t="s">
        <v>1450</v>
      </c>
      <c r="AR769" s="14"/>
      <c r="AS769" s="9"/>
      <c r="AT769" s="9"/>
      <c r="AU769" s="9"/>
      <c r="AV769" s="14"/>
      <c r="AW769" s="14"/>
      <c r="AX769" s="14"/>
      <c r="AY769" s="14"/>
      <c r="AZ769" s="14"/>
      <c r="BA769" s="14"/>
      <c r="BB769" s="1823" t="str">
        <f>IF(ISBLANK(BC769),"",LARGE(BB753:BB768,1)+1)</f>
        <v/>
      </c>
      <c r="BC769" s="1896"/>
      <c r="BD769" s="1883"/>
      <c r="BE769" s="1883"/>
      <c r="BF769" s="1883"/>
      <c r="BG769" s="1883"/>
      <c r="BH769" s="1883"/>
      <c r="BI769" s="1883"/>
      <c r="BJ769" s="1883"/>
      <c r="BK769" s="1483" t="s">
        <v>615</v>
      </c>
      <c r="BM769" s="3">
        <v>1</v>
      </c>
    </row>
    <row r="770" spans="2:65" ht="21" customHeight="1">
      <c r="B770" s="14"/>
      <c r="C770" s="9"/>
      <c r="D770" s="9"/>
      <c r="E770" s="9"/>
      <c r="F770" s="14"/>
      <c r="G770" s="14"/>
      <c r="H770" s="14"/>
      <c r="I770" s="14"/>
      <c r="J770" s="14"/>
      <c r="K770" s="14"/>
      <c r="L770" s="1823" t="str">
        <f>IF(ISBLANK(M770),"",LARGE(L753:L769,1)+1)</f>
        <v/>
      </c>
      <c r="M770" s="1896"/>
      <c r="N770" s="1883"/>
      <c r="O770" s="1883"/>
      <c r="P770" s="1883"/>
      <c r="Q770" s="1883"/>
      <c r="R770" s="1883"/>
      <c r="S770" s="1883"/>
      <c r="T770" s="1883"/>
      <c r="U770" s="1898"/>
      <c r="W770" s="14"/>
      <c r="X770" s="9"/>
      <c r="Y770" s="9"/>
      <c r="Z770" s="9"/>
      <c r="AA770" s="14"/>
      <c r="AB770" s="14"/>
      <c r="AC770" s="14"/>
      <c r="AD770" s="14"/>
      <c r="AE770" s="14"/>
      <c r="AF770" s="14"/>
      <c r="AG770" s="1823" t="str">
        <f>IF(ISBLANK(AH770),"",LARGE(AG753:AG769,1)+1)</f>
        <v/>
      </c>
      <c r="AH770" s="1896"/>
      <c r="AI770" s="1883"/>
      <c r="AJ770" s="1883"/>
      <c r="AK770" s="1883"/>
      <c r="AL770" s="1883"/>
      <c r="AM770" s="1883"/>
      <c r="AN770" s="1883"/>
      <c r="AO770" s="1883"/>
      <c r="AP770" s="1898"/>
      <c r="AR770" s="14"/>
      <c r="AS770" s="9"/>
      <c r="AT770" s="9"/>
      <c r="AU770" s="9"/>
      <c r="AV770" s="14"/>
      <c r="AW770" s="14"/>
      <c r="AX770" s="14"/>
      <c r="AY770" s="14"/>
      <c r="AZ770" s="14"/>
      <c r="BA770" s="14"/>
      <c r="BB770" s="1823" t="str">
        <f>IF(ISBLANK(BC770),"",LARGE(BB753:BB769,1)+1)</f>
        <v/>
      </c>
      <c r="BC770" s="1896"/>
      <c r="BD770" s="1883"/>
      <c r="BE770" s="1883"/>
      <c r="BF770" s="1883"/>
      <c r="BG770" s="1883"/>
      <c r="BH770" s="1883"/>
      <c r="BI770" s="1883"/>
      <c r="BJ770" s="1883"/>
      <c r="BK770" s="1898"/>
      <c r="BM770" s="3">
        <v>1</v>
      </c>
    </row>
    <row r="771" spans="2:65" ht="21" customHeight="1">
      <c r="B771" s="14"/>
      <c r="C771" s="9"/>
      <c r="D771" s="9"/>
      <c r="E771" s="9"/>
      <c r="F771" s="14"/>
      <c r="G771" s="14"/>
      <c r="H771" s="14"/>
      <c r="I771" s="14"/>
      <c r="J771" s="14"/>
      <c r="K771" s="14"/>
      <c r="L771" s="1823" t="str">
        <f>IF(ISBLANK(M771),"",LARGE(L753:L770,1)+1)</f>
        <v/>
      </c>
      <c r="M771" s="1896"/>
      <c r="N771" s="1883"/>
      <c r="O771" s="1883"/>
      <c r="P771" s="1883"/>
      <c r="Q771" s="1883"/>
      <c r="R771" s="1883"/>
      <c r="S771" s="1883"/>
      <c r="T771" s="1883"/>
      <c r="U771" s="1898"/>
      <c r="W771" s="14"/>
      <c r="X771" s="9"/>
      <c r="Y771" s="9"/>
      <c r="Z771" s="9"/>
      <c r="AA771" s="14"/>
      <c r="AB771" s="14"/>
      <c r="AC771" s="14"/>
      <c r="AD771" s="14"/>
      <c r="AE771" s="14"/>
      <c r="AF771" s="14"/>
      <c r="AG771" s="1823" t="str">
        <f>IF(ISBLANK(AH771),"",LARGE(AG753:AG770,1)+1)</f>
        <v/>
      </c>
      <c r="AH771" s="1896"/>
      <c r="AI771" s="1883"/>
      <c r="AJ771" s="1883"/>
      <c r="AK771" s="1883"/>
      <c r="AL771" s="1883"/>
      <c r="AM771" s="1883"/>
      <c r="AN771" s="1883"/>
      <c r="AO771" s="1883"/>
      <c r="AP771" s="1898"/>
      <c r="AR771" s="14"/>
      <c r="AS771" s="9"/>
      <c r="AT771" s="9"/>
      <c r="AU771" s="9"/>
      <c r="AV771" s="14"/>
      <c r="AW771" s="14"/>
      <c r="AX771" s="14"/>
      <c r="AY771" s="14"/>
      <c r="AZ771" s="14"/>
      <c r="BA771" s="14"/>
      <c r="BB771" s="1823" t="str">
        <f>IF(ISBLANK(BC771),"",LARGE(BB753:BB770,1)+1)</f>
        <v/>
      </c>
      <c r="BC771" s="1896"/>
      <c r="BD771" s="1883"/>
      <c r="BE771" s="1883"/>
      <c r="BF771" s="1883"/>
      <c r="BG771" s="1883"/>
      <c r="BH771" s="1883"/>
      <c r="BI771" s="1883"/>
      <c r="BJ771" s="1883"/>
      <c r="BK771" s="1898"/>
      <c r="BM771" s="3">
        <v>1</v>
      </c>
    </row>
    <row r="772" spans="2:65" ht="21" customHeight="1">
      <c r="B772" s="14"/>
      <c r="C772" s="9"/>
      <c r="D772" s="9"/>
      <c r="E772" s="9"/>
      <c r="F772" s="14"/>
      <c r="G772" s="14"/>
      <c r="H772" s="14"/>
      <c r="I772" s="14"/>
      <c r="J772" s="14"/>
      <c r="K772" s="14"/>
      <c r="L772" s="1963" t="s">
        <v>8629</v>
      </c>
      <c r="M772" s="1844"/>
      <c r="N772" s="1844"/>
      <c r="O772" s="1844"/>
      <c r="P772" s="1844"/>
      <c r="Q772" s="1844"/>
      <c r="R772" s="1844"/>
      <c r="S772" s="1844"/>
      <c r="T772" s="1844"/>
      <c r="U772" s="1964" t="s">
        <v>8629</v>
      </c>
      <c r="W772" s="14"/>
      <c r="X772" s="9"/>
      <c r="Y772" s="9"/>
      <c r="Z772" s="9"/>
      <c r="AA772" s="14"/>
      <c r="AB772" s="14"/>
      <c r="AC772" s="14"/>
      <c r="AD772" s="14"/>
      <c r="AE772" s="14"/>
      <c r="AF772" s="14"/>
      <c r="AG772" s="1963" t="s">
        <v>8630</v>
      </c>
      <c r="AH772" s="1844"/>
      <c r="AI772" s="1844"/>
      <c r="AJ772" s="1844"/>
      <c r="AK772" s="1844"/>
      <c r="AL772" s="1844"/>
      <c r="AM772" s="1844"/>
      <c r="AN772" s="1844"/>
      <c r="AO772" s="1844"/>
      <c r="AP772" s="1964" t="s">
        <v>8630</v>
      </c>
      <c r="BB772" s="1963" t="s">
        <v>8631</v>
      </c>
      <c r="BC772" s="1844"/>
      <c r="BD772" s="1844"/>
      <c r="BE772" s="1844"/>
      <c r="BF772" s="1844"/>
      <c r="BG772" s="1844"/>
      <c r="BH772" s="1844"/>
      <c r="BI772" s="1844"/>
      <c r="BJ772" s="1844"/>
      <c r="BK772" s="1964" t="s">
        <v>8631</v>
      </c>
      <c r="BM772" s="3">
        <v>1</v>
      </c>
    </row>
    <row r="773" spans="2:65" ht="21" customHeight="1">
      <c r="B773" s="14"/>
      <c r="C773" s="9"/>
      <c r="D773" s="9"/>
      <c r="E773" s="9"/>
      <c r="F773" s="14"/>
      <c r="G773" s="14"/>
      <c r="H773" s="14"/>
      <c r="I773" s="14"/>
      <c r="J773" s="14"/>
      <c r="K773" s="14"/>
      <c r="L773" s="1372" t="s">
        <v>8145</v>
      </c>
      <c r="M773" s="230"/>
      <c r="N773" s="230"/>
      <c r="O773" s="230"/>
      <c r="P773" s="1904" t="s">
        <v>654</v>
      </c>
      <c r="Q773" s="230"/>
      <c r="R773" s="231"/>
      <c r="S773" s="231"/>
      <c r="T773" s="231"/>
      <c r="U773" s="585" t="s">
        <v>631</v>
      </c>
      <c r="W773" s="14"/>
      <c r="X773" s="9"/>
      <c r="Y773" s="9"/>
      <c r="Z773" s="9"/>
      <c r="AA773" s="14"/>
      <c r="AB773" s="14"/>
      <c r="AC773" s="14"/>
      <c r="AD773" s="14"/>
      <c r="AE773" s="14"/>
      <c r="AF773" s="14"/>
      <c r="AG773" s="1388" t="s">
        <v>8216</v>
      </c>
      <c r="AH773" s="230"/>
      <c r="AI773" s="230"/>
      <c r="AJ773" s="230"/>
      <c r="AK773" s="1904" t="s">
        <v>1465</v>
      </c>
      <c r="AL773" s="230"/>
      <c r="AM773" s="231"/>
      <c r="AN773" s="231"/>
      <c r="AO773" s="231"/>
      <c r="AP773" s="585" t="s">
        <v>8496</v>
      </c>
      <c r="AR773" s="14"/>
      <c r="AS773" s="9"/>
      <c r="AT773" s="9"/>
      <c r="AU773" s="9"/>
      <c r="AV773" s="14"/>
      <c r="AW773" s="14"/>
      <c r="AX773" s="14"/>
      <c r="AY773" s="14"/>
      <c r="AZ773" s="14"/>
      <c r="BA773" s="14"/>
      <c r="BB773" s="1372" t="s">
        <v>8217</v>
      </c>
      <c r="BC773" s="230"/>
      <c r="BD773" s="230"/>
      <c r="BE773" s="230"/>
      <c r="BF773" s="1904" t="s">
        <v>654</v>
      </c>
      <c r="BG773" s="230"/>
      <c r="BH773" s="231"/>
      <c r="BI773" s="231"/>
      <c r="BJ773" s="231"/>
      <c r="BK773" s="585" t="s">
        <v>631</v>
      </c>
      <c r="BM773" s="3">
        <v>1</v>
      </c>
    </row>
    <row r="774" spans="2:65" ht="21" customHeight="1">
      <c r="B774" s="14"/>
      <c r="C774" s="9"/>
      <c r="D774" s="9"/>
      <c r="E774" s="9"/>
      <c r="F774" s="14"/>
      <c r="G774" s="14"/>
      <c r="H774" s="14"/>
      <c r="I774" s="14"/>
      <c r="J774" s="14"/>
      <c r="K774" s="14"/>
      <c r="L774" s="1392">
        <v>0</v>
      </c>
      <c r="M774" s="1484"/>
      <c r="N774" s="161"/>
      <c r="O774" s="161"/>
      <c r="P774" s="1485" t="s">
        <v>636</v>
      </c>
      <c r="Q774" s="523" t="s">
        <v>1</v>
      </c>
      <c r="R774" s="524" t="s">
        <v>2</v>
      </c>
      <c r="S774" s="525" t="s">
        <v>634</v>
      </c>
      <c r="T774" s="524" t="s">
        <v>10</v>
      </c>
      <c r="U774" s="1775" t="s">
        <v>635</v>
      </c>
      <c r="W774" s="14"/>
      <c r="X774" s="9"/>
      <c r="Y774" s="9"/>
      <c r="Z774" s="9"/>
      <c r="AA774" s="14"/>
      <c r="AB774" s="14"/>
      <c r="AC774" s="14"/>
      <c r="AD774" s="14"/>
      <c r="AE774" s="14"/>
      <c r="AF774" s="14"/>
      <c r="AG774" s="1392">
        <v>0</v>
      </c>
      <c r="AH774" s="1484"/>
      <c r="AI774" s="161"/>
      <c r="AJ774" s="161"/>
      <c r="AK774" s="1485" t="s">
        <v>1456</v>
      </c>
      <c r="AL774" s="523" t="s">
        <v>1</v>
      </c>
      <c r="AM774" s="524" t="s">
        <v>2</v>
      </c>
      <c r="AN774" s="525" t="s">
        <v>634</v>
      </c>
      <c r="AO774" s="524" t="s">
        <v>10</v>
      </c>
      <c r="AP774" s="1775" t="s">
        <v>635</v>
      </c>
      <c r="AR774" s="14"/>
      <c r="AS774" s="9"/>
      <c r="AT774" s="9"/>
      <c r="AU774" s="9"/>
      <c r="AV774" s="14"/>
      <c r="AW774" s="14"/>
      <c r="AX774" s="14"/>
      <c r="AY774" s="14"/>
      <c r="AZ774" s="14"/>
      <c r="BA774" s="14"/>
      <c r="BB774" s="1392">
        <v>0</v>
      </c>
      <c r="BC774" s="1484"/>
      <c r="BD774" s="161"/>
      <c r="BE774" s="161"/>
      <c r="BF774" s="1485" t="s">
        <v>636</v>
      </c>
      <c r="BG774" s="523" t="s">
        <v>1</v>
      </c>
      <c r="BH774" s="524" t="s">
        <v>2</v>
      </c>
      <c r="BI774" s="525" t="s">
        <v>634</v>
      </c>
      <c r="BJ774" s="524" t="s">
        <v>10</v>
      </c>
      <c r="BK774" s="1775" t="s">
        <v>635</v>
      </c>
      <c r="BM774" s="3">
        <v>1</v>
      </c>
    </row>
    <row r="775" spans="2:65" ht="21" customHeight="1">
      <c r="B775" s="14"/>
      <c r="C775" s="9"/>
      <c r="D775" s="9"/>
      <c r="E775" s="9"/>
      <c r="F775" s="14"/>
      <c r="G775" s="14"/>
      <c r="H775" s="14"/>
      <c r="I775" s="14"/>
      <c r="J775" s="14"/>
      <c r="K775" s="14"/>
      <c r="L775" s="1394" t="str">
        <f>IF(ISBLANK(M775),"",LARGE(L774:L774,1)+1)</f>
        <v/>
      </c>
      <c r="M775" s="1441"/>
      <c r="N775" s="9"/>
      <c r="O775" s="9"/>
      <c r="P775" s="1763">
        <v>1</v>
      </c>
      <c r="Q775" s="526" t="str">
        <f>"◄ cellule "&amp;ADDRESS(ROW(P775),COLUMN(P775),4)&amp;"  vous pouvez saisir un autre poids"</f>
        <v>◄ cellule P775  vous pouvez saisir un autre poids</v>
      </c>
      <c r="R775" s="527"/>
      <c r="S775" s="229"/>
      <c r="T775" s="527"/>
      <c r="U775" s="592"/>
      <c r="W775" s="14"/>
      <c r="X775" s="9"/>
      <c r="Y775" s="9"/>
      <c r="Z775" s="9"/>
      <c r="AA775" s="14"/>
      <c r="AB775" s="14"/>
      <c r="AC775" s="14"/>
      <c r="AD775" s="14"/>
      <c r="AE775" s="14"/>
      <c r="AF775" s="14"/>
      <c r="AG775" s="1394" t="str">
        <f>IF(ISBLANK(AH775),"",LARGE(AG774:AG774,1)+1)</f>
        <v/>
      </c>
      <c r="AH775" s="1441"/>
      <c r="AI775" s="9"/>
      <c r="AJ775" s="9"/>
      <c r="AK775" s="1764">
        <v>1</v>
      </c>
      <c r="AL775" s="526" t="str">
        <f>"◄ celda "&amp;ADDRESS(ROW(AK775),COLUMN(AK775),4)&amp;"  puede ingresar otro peso"</f>
        <v>◄ celda AK775  puede ingresar otro peso</v>
      </c>
      <c r="AM775" s="527"/>
      <c r="AN775" s="229"/>
      <c r="AO775" s="527"/>
      <c r="AP775" s="592"/>
      <c r="AR775" s="14"/>
      <c r="AS775" s="9"/>
      <c r="AT775" s="9"/>
      <c r="AU775" s="9"/>
      <c r="AV775" s="14"/>
      <c r="AW775" s="14"/>
      <c r="AX775" s="14"/>
      <c r="AY775" s="14"/>
      <c r="AZ775" s="14"/>
      <c r="BA775" s="14"/>
      <c r="BB775" s="1394" t="str">
        <f>IF(ISBLANK(BC775),"",LARGE(BB774:BB774,1)+1)</f>
        <v/>
      </c>
      <c r="BC775" s="1441"/>
      <c r="BD775" s="9"/>
      <c r="BE775" s="9"/>
      <c r="BF775" s="1763">
        <v>1</v>
      </c>
      <c r="BG775" s="526" t="str">
        <f>"◄ cellule "&amp;ADDRESS(ROW(BF775),COLUMN(BF775),4)&amp;"  vous pouvez saisir un autre poids"</f>
        <v>◄ cellule BF775  vous pouvez saisir un autre poids</v>
      </c>
      <c r="BH775" s="527"/>
      <c r="BI775" s="229"/>
      <c r="BJ775" s="527"/>
      <c r="BK775" s="592"/>
      <c r="BM775" s="3">
        <v>1</v>
      </c>
    </row>
    <row r="776" spans="2:65" ht="21" customHeight="1">
      <c r="B776" s="14"/>
      <c r="C776" s="9"/>
      <c r="D776" s="9"/>
      <c r="E776" s="9"/>
      <c r="F776" s="14"/>
      <c r="G776" s="14"/>
      <c r="H776" s="14"/>
      <c r="I776" s="14"/>
      <c r="J776" s="14"/>
      <c r="K776" s="14"/>
      <c r="L776" s="1394" t="str">
        <f>IF(ISBLANK(M776),"",LARGE(L774:L775,1)+1)</f>
        <v/>
      </c>
      <c r="M776" s="1441"/>
      <c r="N776" s="9"/>
      <c r="O776" s="9"/>
      <c r="P776" s="1486" t="s">
        <v>8199</v>
      </c>
      <c r="Q776" s="530">
        <v>100</v>
      </c>
      <c r="R776" s="531">
        <v>120</v>
      </c>
      <c r="S776" s="531">
        <v>180</v>
      </c>
      <c r="T776" s="531">
        <v>180</v>
      </c>
      <c r="U776" s="1487">
        <v>200</v>
      </c>
      <c r="W776" s="14"/>
      <c r="X776" s="9"/>
      <c r="Y776" s="9"/>
      <c r="Z776" s="9"/>
      <c r="AA776" s="14"/>
      <c r="AB776" s="14"/>
      <c r="AC776" s="14"/>
      <c r="AD776" s="14"/>
      <c r="AE776" s="14"/>
      <c r="AF776" s="14"/>
      <c r="AG776" s="1394" t="str">
        <f>IF(ISBLANK(AH776),"",LARGE(AG774:AG775,1)+1)</f>
        <v/>
      </c>
      <c r="AH776" s="1441"/>
      <c r="AI776" s="9"/>
      <c r="AJ776" s="9"/>
      <c r="AK776" s="1776" t="s">
        <v>8220</v>
      </c>
      <c r="AL776" s="530">
        <v>100</v>
      </c>
      <c r="AM776" s="531">
        <v>120</v>
      </c>
      <c r="AN776" s="531">
        <v>180</v>
      </c>
      <c r="AO776" s="531">
        <v>180</v>
      </c>
      <c r="AP776" s="1487">
        <v>200</v>
      </c>
      <c r="AR776" s="14"/>
      <c r="AS776" s="9"/>
      <c r="AT776" s="9"/>
      <c r="AU776" s="9"/>
      <c r="AV776" s="14"/>
      <c r="AW776" s="14"/>
      <c r="AX776" s="14"/>
      <c r="AY776" s="14"/>
      <c r="AZ776" s="14"/>
      <c r="BA776" s="14"/>
      <c r="BB776" s="1394" t="str">
        <f>IF(ISBLANK(BC776),"",LARGE(BB774:BB775,1)+1)</f>
        <v/>
      </c>
      <c r="BC776" s="1441"/>
      <c r="BD776" s="9"/>
      <c r="BE776" s="9"/>
      <c r="BF776" s="1486" t="s">
        <v>8199</v>
      </c>
      <c r="BG776" s="530">
        <v>100</v>
      </c>
      <c r="BH776" s="531">
        <v>120</v>
      </c>
      <c r="BI776" s="531">
        <v>180</v>
      </c>
      <c r="BJ776" s="531">
        <v>180</v>
      </c>
      <c r="BK776" s="1487">
        <v>200</v>
      </c>
      <c r="BM776" s="3">
        <v>1</v>
      </c>
    </row>
    <row r="777" spans="2:65" ht="21" customHeight="1">
      <c r="B777" s="14"/>
      <c r="C777" s="9"/>
      <c r="D777" s="9"/>
      <c r="E777" s="9"/>
      <c r="F777" s="14"/>
      <c r="G777" s="14"/>
      <c r="H777" s="14"/>
      <c r="I777" s="14"/>
      <c r="J777" s="14"/>
      <c r="K777" s="14"/>
      <c r="L777" s="1394" t="str">
        <f>IF(ISBLANK(M777),"",LARGE(L774:L776,1)+1)</f>
        <v/>
      </c>
      <c r="M777" s="1441"/>
      <c r="N777" s="9"/>
      <c r="O777" s="9"/>
      <c r="P777" s="1488" t="s">
        <v>642</v>
      </c>
      <c r="Q777" s="538">
        <f>IF(MOD(P775*1000/Q776,1)=0,P775*1000/Q776,IF(MOD(P775*1000/Q776,1)&lt;0.5,INT(P775*1000/Q776),INT(P775*1000/Q776)+1))</f>
        <v>10</v>
      </c>
      <c r="R777" s="539">
        <f>IF(MOD(P775*1000/R776,1)=0,P775*1000/R776,IF(MOD(P775*1000/R776,1)&lt;0.5,INT(P775*1000/R776),INT(P775*1000/R776)+1))</f>
        <v>8</v>
      </c>
      <c r="S777" s="539">
        <f>IF(MOD(P775*1000/S776,1)=0,P775*1000/S776,IF(MOD(P775*1000/S776,1)&lt;0.5,INT(P775*1000/S776),INT(P775*1000/S776)+1))</f>
        <v>6</v>
      </c>
      <c r="T777" s="539">
        <f>IF(MOD(P775*1000/T776,1)=0,P775*1000/T776,IF(MOD(P775*1000/T776,1)&lt;0.5,INT(P775*1000/T776),INT(P775*1000/T776)+1))</f>
        <v>6</v>
      </c>
      <c r="U777" s="1489">
        <f>IF(MOD(P775*1000/U776,1)=0,P775*1000/U776,IF(MOD(P775*1000/U776,1)&lt;0.5,INT(P775*1000/U776),INT(P775*1000/U776)+1))</f>
        <v>5</v>
      </c>
      <c r="W777" s="14"/>
      <c r="X777" s="9"/>
      <c r="Y777" s="9"/>
      <c r="Z777" s="9"/>
      <c r="AA777" s="14"/>
      <c r="AB777" s="14"/>
      <c r="AC777" s="14"/>
      <c r="AD777" s="14"/>
      <c r="AE777" s="14"/>
      <c r="AF777" s="14"/>
      <c r="AG777" s="1394" t="str">
        <f>IF(ISBLANK(AH777),"",LARGE(AG774:AG776,1)+1)</f>
        <v/>
      </c>
      <c r="AH777" s="1441"/>
      <c r="AI777" s="9"/>
      <c r="AJ777" s="9"/>
      <c r="AK777" s="1488" t="s">
        <v>1457</v>
      </c>
      <c r="AL777" s="538">
        <f>IF(MOD(AK775*1000/AL776,1)=0,AK775*1000/AL776,IF(MOD(AK775*1000/AL776,1)&lt;0.5,INT(AK775*1000/AL776),INT(AK775*1000/AL776)+1))</f>
        <v>10</v>
      </c>
      <c r="AM777" s="539">
        <f>IF(MOD(AK775*1000/AM776,1)=0,AK775*1000/AM776,IF(MOD(AK775*1000/AM776,1)&lt;0.5,INT(AK775*1000/AM776),INT(AK775*1000/AM776)+1))</f>
        <v>8</v>
      </c>
      <c r="AN777" s="539">
        <f>IF(MOD(AK775*1000/AN776,1)=0,AK775*1000/AN776,IF(MOD(AK775*1000/AN776,1)&lt;0.5,INT(AK775*1000/AN776),INT(AK775*1000/AN776)+1))</f>
        <v>6</v>
      </c>
      <c r="AO777" s="539">
        <f>IF(MOD(AK775*1000/AO776,1)=0,AK775*1000/AO776,IF(MOD(AK775*1000/AO776,1)&lt;0.5,INT(AK775*1000/AO776),INT(AK775*1000/AO776)+1))</f>
        <v>6</v>
      </c>
      <c r="AP777" s="1489">
        <f>IF(MOD(AK775*1000/AP776,1)=0,AK775*1000/AP776,IF(MOD(AK775*1000/AP776,1)&lt;0.5,INT(AK775*1000/AP776),INT(AK775*1000/AP776)+1))</f>
        <v>5</v>
      </c>
      <c r="AR777" s="14"/>
      <c r="AS777" s="9"/>
      <c r="AT777" s="9"/>
      <c r="AU777" s="9"/>
      <c r="AV777" s="14"/>
      <c r="AW777" s="14"/>
      <c r="AX777" s="14"/>
      <c r="AY777" s="14"/>
      <c r="AZ777" s="14"/>
      <c r="BA777" s="14"/>
      <c r="BB777" s="1394" t="str">
        <f>IF(ISBLANK(BC777),"",LARGE(BB774:BB776,1)+1)</f>
        <v/>
      </c>
      <c r="BC777" s="1441"/>
      <c r="BD777" s="9"/>
      <c r="BE777" s="9"/>
      <c r="BF777" s="1488" t="s">
        <v>642</v>
      </c>
      <c r="BG777" s="538">
        <f>IF(MOD(BF775*1000/BG776,1)=0,BF775*1000/BG776,IF(MOD(BF775*1000/BG776,1)&lt;0.5,INT(BF775*1000/BG776),INT(BF775*1000/BG776)+1))</f>
        <v>10</v>
      </c>
      <c r="BH777" s="539">
        <f>IF(MOD(BF775*1000/BH776,1)=0,BF775*1000/BH776,IF(MOD(BF775*1000/BH776,1)&lt;0.5,INT(BF775*1000/BH776),INT(BF775*1000/BH776)+1))</f>
        <v>8</v>
      </c>
      <c r="BI777" s="539">
        <f>IF(MOD(BF775*1000/BI776,1)=0,BF775*1000/BI776,IF(MOD(BF775*1000/BI776,1)&lt;0.5,INT(BF775*1000/BI776),INT(BF775*1000/BI776)+1))</f>
        <v>6</v>
      </c>
      <c r="BJ777" s="539">
        <f>IF(MOD(BF775*1000/BJ776,1)=0,BF775*1000/BJ776,IF(MOD(BF775*1000/BJ776,1)&lt;0.5,INT(BF775*1000/BJ776),INT(BF775*1000/BJ776)+1))</f>
        <v>6</v>
      </c>
      <c r="BK777" s="1489">
        <f>IF(MOD(BF775*1000/BK776,1)=0,BF775*1000/BK776,IF(MOD(BF775*1000/BK776,1)&lt;0.5,INT(BF775*1000/BK776),INT(BF775*1000/BK776)+1))</f>
        <v>5</v>
      </c>
      <c r="BM777" s="3">
        <v>1</v>
      </c>
    </row>
    <row r="778" spans="2:65" ht="21" customHeight="1">
      <c r="B778" s="14"/>
      <c r="C778" s="9"/>
      <c r="D778" s="9"/>
      <c r="E778" s="9"/>
      <c r="F778" s="14"/>
      <c r="G778" s="14"/>
      <c r="H778" s="14"/>
      <c r="I778" s="14"/>
      <c r="J778" s="14"/>
      <c r="K778" s="14"/>
      <c r="L778" s="1394" t="str">
        <f>IF(ISBLANK(M778),"",LARGE(L774:L777,1)+1)</f>
        <v/>
      </c>
      <c r="M778" s="1441"/>
      <c r="N778" s="9"/>
      <c r="O778" s="9"/>
      <c r="P778" s="1490">
        <v>1</v>
      </c>
      <c r="Q778" s="526" t="str">
        <f>"◄ cellule "&amp;ADDRESS(ROW(P778),COLUMN(P778),4)&amp;"  vous pouvez saisir un autre poids"</f>
        <v>◄ cellule P778  vous pouvez saisir un autre poids</v>
      </c>
      <c r="R778" s="532"/>
      <c r="S778" s="9"/>
      <c r="T778" s="532"/>
      <c r="U778" s="592"/>
      <c r="W778" s="14"/>
      <c r="X778" s="9"/>
      <c r="Y778" s="9"/>
      <c r="Z778" s="9"/>
      <c r="AA778" s="14"/>
      <c r="AB778" s="14"/>
      <c r="AC778" s="14"/>
      <c r="AD778" s="14"/>
      <c r="AE778" s="14"/>
      <c r="AF778" s="14"/>
      <c r="AG778" s="1394" t="str">
        <f>IF(ISBLANK(AH778),"",LARGE(AG774:AG777,1)+1)</f>
        <v/>
      </c>
      <c r="AH778" s="1441"/>
      <c r="AI778" s="9"/>
      <c r="AJ778" s="9"/>
      <c r="AK778" s="1490">
        <v>1</v>
      </c>
      <c r="AL778" s="526" t="str">
        <f>"◄ celda "&amp;ADDRESS(ROW(AK778),COLUMN(AK778),4)&amp;"  puede ingresar otro peso"</f>
        <v>◄ celda AK778  puede ingresar otro peso</v>
      </c>
      <c r="AM778" s="532"/>
      <c r="AN778" s="9"/>
      <c r="AO778" s="532"/>
      <c r="AP778" s="592"/>
      <c r="AR778" s="14"/>
      <c r="AS778" s="9"/>
      <c r="AT778" s="9"/>
      <c r="AU778" s="9"/>
      <c r="AV778" s="14"/>
      <c r="AW778" s="14"/>
      <c r="AX778" s="14"/>
      <c r="AY778" s="14"/>
      <c r="AZ778" s="14"/>
      <c r="BA778" s="14"/>
      <c r="BB778" s="1394" t="str">
        <f>IF(ISBLANK(BC778),"",LARGE(BB774:BB777,1)+1)</f>
        <v/>
      </c>
      <c r="BC778" s="1441"/>
      <c r="BD778" s="9"/>
      <c r="BE778" s="9"/>
      <c r="BF778" s="1490">
        <v>1</v>
      </c>
      <c r="BG778" s="526" t="str">
        <f>"◄ cellule "&amp;ADDRESS(ROW(BF778),COLUMN(BF778),4)&amp;"  vous pouvez saisir un autre poids"</f>
        <v>◄ cellule BF778  vous pouvez saisir un autre poids</v>
      </c>
      <c r="BH778" s="532"/>
      <c r="BI778" s="9"/>
      <c r="BJ778" s="532"/>
      <c r="BK778" s="592"/>
      <c r="BM778" s="3">
        <v>1</v>
      </c>
    </row>
    <row r="779" spans="2:65" ht="21" customHeight="1">
      <c r="B779" s="14"/>
      <c r="C779" s="9"/>
      <c r="D779" s="9"/>
      <c r="E779" s="9"/>
      <c r="F779" s="14"/>
      <c r="G779" s="14"/>
      <c r="H779" s="14"/>
      <c r="I779" s="14"/>
      <c r="J779" s="14"/>
      <c r="K779" s="14"/>
      <c r="L779" s="1394" t="str">
        <f>IF(ISBLANK(M779),"",LARGE(L774:L778,1)+1)</f>
        <v/>
      </c>
      <c r="M779" s="1441"/>
      <c r="N779" s="9"/>
      <c r="O779" s="9"/>
      <c r="P779" s="1491" t="s">
        <v>8200</v>
      </c>
      <c r="Q779" s="542">
        <v>10</v>
      </c>
      <c r="R779" s="502">
        <v>8</v>
      </c>
      <c r="S779" s="502">
        <v>5</v>
      </c>
      <c r="T779" s="502">
        <v>6</v>
      </c>
      <c r="U779" s="1492">
        <v>10</v>
      </c>
      <c r="W779" s="14"/>
      <c r="X779" s="9"/>
      <c r="Y779" s="9"/>
      <c r="Z779" s="9"/>
      <c r="AA779" s="14"/>
      <c r="AB779" s="14"/>
      <c r="AC779" s="14"/>
      <c r="AD779" s="14"/>
      <c r="AE779" s="14"/>
      <c r="AF779" s="14"/>
      <c r="AG779" s="1394" t="str">
        <f>IF(ISBLANK(AH779),"",LARGE(AG774:AG778,1)+1)</f>
        <v/>
      </c>
      <c r="AH779" s="1441"/>
      <c r="AI779" s="9"/>
      <c r="AJ779" s="9"/>
      <c r="AK779" s="1777" t="s">
        <v>8221</v>
      </c>
      <c r="AL779" s="542">
        <v>10</v>
      </c>
      <c r="AM779" s="502">
        <v>8</v>
      </c>
      <c r="AN779" s="502">
        <v>5</v>
      </c>
      <c r="AO779" s="502">
        <v>6</v>
      </c>
      <c r="AP779" s="1492">
        <v>10</v>
      </c>
      <c r="AR779" s="14"/>
      <c r="AS779" s="9"/>
      <c r="AT779" s="9"/>
      <c r="AU779" s="9"/>
      <c r="AV779" s="14"/>
      <c r="AW779" s="14"/>
      <c r="AX779" s="14"/>
      <c r="AY779" s="14"/>
      <c r="AZ779" s="14"/>
      <c r="BA779" s="14"/>
      <c r="BB779" s="1394" t="str">
        <f>IF(ISBLANK(BC779),"",LARGE(BB774:BB778,1)+1)</f>
        <v/>
      </c>
      <c r="BC779" s="1441"/>
      <c r="BD779" s="9"/>
      <c r="BE779" s="9"/>
      <c r="BF779" s="1491" t="s">
        <v>8200</v>
      </c>
      <c r="BG779" s="542">
        <v>10</v>
      </c>
      <c r="BH779" s="502">
        <v>8</v>
      </c>
      <c r="BI779" s="502">
        <v>5</v>
      </c>
      <c r="BJ779" s="502">
        <v>6</v>
      </c>
      <c r="BK779" s="1492">
        <v>10</v>
      </c>
      <c r="BM779" s="3">
        <v>1</v>
      </c>
    </row>
    <row r="780" spans="2:65" ht="21" customHeight="1">
      <c r="B780" s="14"/>
      <c r="C780" s="9"/>
      <c r="D780" s="9"/>
      <c r="E780" s="9"/>
      <c r="F780" s="14"/>
      <c r="G780" s="14"/>
      <c r="H780" s="14"/>
      <c r="I780" s="14"/>
      <c r="J780" s="14"/>
      <c r="K780" s="14"/>
      <c r="L780" s="1394" t="str">
        <f>IF(ISBLANK(M780),"",LARGE(L774:L779,1)+1)</f>
        <v/>
      </c>
      <c r="M780" s="1441"/>
      <c r="N780" s="9"/>
      <c r="O780" s="9"/>
      <c r="P780" s="1493" t="s">
        <v>1458</v>
      </c>
      <c r="Q780" s="547">
        <f>P778/Q779*1000</f>
        <v>100</v>
      </c>
      <c r="R780" s="548">
        <f>P778/R779*1000</f>
        <v>125</v>
      </c>
      <c r="S780" s="548">
        <f>P778/S779*1000</f>
        <v>200</v>
      </c>
      <c r="T780" s="548">
        <f>P778/T779*1000</f>
        <v>166.66666666666666</v>
      </c>
      <c r="U780" s="1494">
        <f>P778/U779*1000</f>
        <v>100</v>
      </c>
      <c r="W780" s="14"/>
      <c r="X780" s="9"/>
      <c r="Y780" s="9"/>
      <c r="Z780" s="9"/>
      <c r="AA780" s="14"/>
      <c r="AB780" s="14"/>
      <c r="AC780" s="14"/>
      <c r="AD780" s="14"/>
      <c r="AE780" s="14"/>
      <c r="AF780" s="14"/>
      <c r="AG780" s="1394" t="str">
        <f>IF(ISBLANK(AH780),"",LARGE(AG774:AG779,1)+1)</f>
        <v/>
      </c>
      <c r="AH780" s="1441"/>
      <c r="AI780" s="9"/>
      <c r="AJ780" s="9"/>
      <c r="AK780" s="1493" t="s">
        <v>1459</v>
      </c>
      <c r="AL780" s="547">
        <f>AK778/AL779*1000</f>
        <v>100</v>
      </c>
      <c r="AM780" s="548">
        <f>AK778/AM779*1000</f>
        <v>125</v>
      </c>
      <c r="AN780" s="548">
        <f>AK778/AN779*1000</f>
        <v>200</v>
      </c>
      <c r="AO780" s="548">
        <f>AK778/AO779*1000</f>
        <v>166.66666666666666</v>
      </c>
      <c r="AP780" s="1494">
        <f>AK778/AP779*1000</f>
        <v>100</v>
      </c>
      <c r="AR780" s="14"/>
      <c r="AS780" s="9"/>
      <c r="AT780" s="9"/>
      <c r="AU780" s="9"/>
      <c r="AV780" s="14"/>
      <c r="AW780" s="14"/>
      <c r="AX780" s="14"/>
      <c r="AY780" s="14"/>
      <c r="AZ780" s="14"/>
      <c r="BA780" s="14"/>
      <c r="BB780" s="1394" t="str">
        <f>IF(ISBLANK(BC780),"",LARGE(BB774:BB779,1)+1)</f>
        <v/>
      </c>
      <c r="BC780" s="1441"/>
      <c r="BD780" s="9"/>
      <c r="BE780" s="9"/>
      <c r="BF780" s="1493" t="s">
        <v>1458</v>
      </c>
      <c r="BG780" s="547">
        <f>BF778/BG779*1000</f>
        <v>100</v>
      </c>
      <c r="BH780" s="548">
        <f>BF778/BH779*1000</f>
        <v>125</v>
      </c>
      <c r="BI780" s="548">
        <f>BF778/BI779*1000</f>
        <v>200</v>
      </c>
      <c r="BJ780" s="548">
        <f>BF778/BJ779*1000</f>
        <v>166.66666666666666</v>
      </c>
      <c r="BK780" s="1494">
        <f>BF778/BK779*1000</f>
        <v>100</v>
      </c>
      <c r="BM780" s="3">
        <v>1</v>
      </c>
    </row>
    <row r="781" spans="2:65" ht="21" customHeight="1">
      <c r="B781" s="14"/>
      <c r="C781" s="9"/>
      <c r="D781" s="9"/>
      <c r="E781" s="9"/>
      <c r="F781" s="14"/>
      <c r="G781" s="14"/>
      <c r="H781" s="14"/>
      <c r="I781" s="14"/>
      <c r="J781" s="14"/>
      <c r="K781" s="14"/>
      <c r="L781" s="1394" t="str">
        <f>IF(ISBLANK(M781),"",LARGE(L774:L780,1)+1)</f>
        <v/>
      </c>
      <c r="M781" s="1441"/>
      <c r="N781" s="9"/>
      <c r="O781" s="1495" t="s">
        <v>8175</v>
      </c>
      <c r="P781" s="552" t="s">
        <v>652</v>
      </c>
      <c r="Q781" s="551"/>
      <c r="R781" s="552" t="s">
        <v>648</v>
      </c>
      <c r="S781" s="552"/>
      <c r="T781" s="699" t="s">
        <v>653</v>
      </c>
      <c r="U781" s="1496"/>
      <c r="W781" s="14"/>
      <c r="X781" s="9"/>
      <c r="Y781" s="9"/>
      <c r="Z781" s="9"/>
      <c r="AA781" s="14"/>
      <c r="AB781" s="14"/>
      <c r="AC781" s="14"/>
      <c r="AD781" s="14"/>
      <c r="AE781" s="14"/>
      <c r="AF781" s="14"/>
      <c r="AG781" s="1394" t="str">
        <f>IF(ISBLANK(AH781),"",LARGE(AG774:AG780,1)+1)</f>
        <v/>
      </c>
      <c r="AH781" s="1441"/>
      <c r="AI781" s="9"/>
      <c r="AJ781" s="1495" t="s">
        <v>8222</v>
      </c>
      <c r="AK781" s="552" t="s">
        <v>1462</v>
      </c>
      <c r="AL781" s="551"/>
      <c r="AM781" s="552" t="s">
        <v>1460</v>
      </c>
      <c r="AN781" s="552"/>
      <c r="AO781" s="699" t="s">
        <v>1463</v>
      </c>
      <c r="AP781" s="1496"/>
      <c r="AR781" s="14"/>
      <c r="AS781" s="9"/>
      <c r="AT781" s="9"/>
      <c r="AU781" s="9"/>
      <c r="AV781" s="14"/>
      <c r="AW781" s="14"/>
      <c r="AX781" s="14"/>
      <c r="AY781" s="14"/>
      <c r="AZ781" s="14"/>
      <c r="BA781" s="14"/>
      <c r="BB781" s="1394" t="str">
        <f>IF(ISBLANK(BC781),"",LARGE(BB774:BB780,1)+1)</f>
        <v/>
      </c>
      <c r="BC781" s="1441"/>
      <c r="BD781" s="9"/>
      <c r="BE781" s="1495" t="s">
        <v>8175</v>
      </c>
      <c r="BF781" s="552" t="s">
        <v>652</v>
      </c>
      <c r="BG781" s="551"/>
      <c r="BH781" s="552" t="s">
        <v>648</v>
      </c>
      <c r="BI781" s="552"/>
      <c r="BJ781" s="699" t="s">
        <v>653</v>
      </c>
      <c r="BK781" s="1496"/>
      <c r="BM781" s="3">
        <v>1</v>
      </c>
    </row>
    <row r="782" spans="2:65" ht="21" customHeight="1">
      <c r="B782" s="14"/>
      <c r="C782" s="9"/>
      <c r="D782" s="9"/>
      <c r="E782" s="9"/>
      <c r="F782" s="14"/>
      <c r="G782" s="14"/>
      <c r="H782" s="14"/>
      <c r="I782" s="14"/>
      <c r="J782" s="14"/>
      <c r="K782" s="14"/>
      <c r="L782" s="1394" t="str">
        <f>IF(ISBLANK(M782),"",LARGE(L774:L781,1)+1)</f>
        <v/>
      </c>
      <c r="M782" s="1905"/>
      <c r="N782" s="1495"/>
      <c r="O782" s="552"/>
      <c r="P782" s="555"/>
      <c r="Q782" s="551"/>
      <c r="R782" s="552" t="s">
        <v>649</v>
      </c>
      <c r="S782" s="552"/>
      <c r="T782" s="552" t="s">
        <v>8176</v>
      </c>
      <c r="U782" s="1455"/>
      <c r="W782" s="14"/>
      <c r="X782" s="9"/>
      <c r="Y782" s="9"/>
      <c r="Z782" s="9"/>
      <c r="AA782" s="14"/>
      <c r="AB782" s="14"/>
      <c r="AC782" s="14"/>
      <c r="AD782" s="14"/>
      <c r="AE782" s="14"/>
      <c r="AF782" s="14"/>
      <c r="AG782" s="1394" t="str">
        <f>IF(ISBLANK(AH782),"",LARGE(AG774:AG781,1)+1)</f>
        <v/>
      </c>
      <c r="AH782" s="1905"/>
      <c r="AI782" s="1495"/>
      <c r="AJ782" s="552"/>
      <c r="AK782" s="555"/>
      <c r="AL782" s="551"/>
      <c r="AM782" s="1497" t="s">
        <v>1461</v>
      </c>
      <c r="AN782" s="1497"/>
      <c r="AO782" s="1497" t="s">
        <v>1464</v>
      </c>
      <c r="AP782" s="1455"/>
      <c r="AR782" s="14"/>
      <c r="AS782" s="9"/>
      <c r="AT782" s="9"/>
      <c r="AU782" s="9"/>
      <c r="AV782" s="14"/>
      <c r="AW782" s="14"/>
      <c r="AX782" s="14"/>
      <c r="AY782" s="14"/>
      <c r="AZ782" s="14"/>
      <c r="BA782" s="14"/>
      <c r="BB782" s="1394" t="str">
        <f>IF(ISBLANK(BC782),"",LARGE(BB774:BB781,1)+1)</f>
        <v/>
      </c>
      <c r="BC782" s="1905"/>
      <c r="BD782" s="1495"/>
      <c r="BE782" s="552"/>
      <c r="BF782" s="555"/>
      <c r="BG782" s="551"/>
      <c r="BH782" s="552" t="s">
        <v>649</v>
      </c>
      <c r="BI782" s="552"/>
      <c r="BJ782" s="552" t="s">
        <v>8176</v>
      </c>
      <c r="BK782" s="1455"/>
      <c r="BM782" s="3">
        <v>1</v>
      </c>
    </row>
    <row r="783" spans="2:65" ht="21" customHeight="1">
      <c r="B783" s="14"/>
      <c r="C783" s="9"/>
      <c r="D783" s="9"/>
      <c r="E783" s="9"/>
      <c r="F783" s="14"/>
      <c r="G783" s="14"/>
      <c r="H783" s="14"/>
      <c r="I783" s="14"/>
      <c r="J783" s="14"/>
      <c r="K783" s="14"/>
      <c r="L783" s="1394"/>
      <c r="M783" s="1865" t="s">
        <v>821</v>
      </c>
      <c r="N783" s="1841"/>
      <c r="O783" s="1899"/>
      <c r="P783" s="1899"/>
      <c r="Q783" s="1899"/>
      <c r="R783" s="1899"/>
      <c r="S783" s="1899"/>
      <c r="T783" s="1899"/>
      <c r="U783" s="1903" t="s">
        <v>196</v>
      </c>
      <c r="W783" s="14"/>
      <c r="X783" s="9"/>
      <c r="Y783" s="9"/>
      <c r="Z783" s="9"/>
      <c r="AA783" s="14"/>
      <c r="AB783" s="14"/>
      <c r="AC783" s="14"/>
      <c r="AD783" s="14"/>
      <c r="AE783" s="14"/>
      <c r="AF783" s="14"/>
      <c r="AG783" s="1394"/>
      <c r="AH783" s="1865" t="s">
        <v>8197</v>
      </c>
      <c r="AI783" s="1841"/>
      <c r="AJ783" s="1899"/>
      <c r="AK783" s="1899"/>
      <c r="AL783" s="1899"/>
      <c r="AM783" s="1899"/>
      <c r="AN783" s="1899"/>
      <c r="AO783" s="1899"/>
      <c r="AP783" s="1903" t="s">
        <v>879</v>
      </c>
      <c r="AR783" s="14"/>
      <c r="AS783" s="9"/>
      <c r="AT783" s="9"/>
      <c r="AU783" s="9"/>
      <c r="AV783" s="14"/>
      <c r="AW783" s="14"/>
      <c r="AX783" s="14"/>
      <c r="AY783" s="14"/>
      <c r="AZ783" s="14"/>
      <c r="BA783" s="14"/>
      <c r="BB783" s="1394"/>
      <c r="BC783" s="1865" t="s">
        <v>874</v>
      </c>
      <c r="BD783" s="1841"/>
      <c r="BE783" s="1899"/>
      <c r="BF783" s="1899"/>
      <c r="BG783" s="1899"/>
      <c r="BH783" s="1899"/>
      <c r="BI783" s="1899"/>
      <c r="BJ783" s="1899"/>
      <c r="BK783" s="1903" t="s">
        <v>879</v>
      </c>
      <c r="BM783" s="3">
        <v>1</v>
      </c>
    </row>
    <row r="784" spans="2:65" ht="21" customHeight="1">
      <c r="B784" s="14"/>
      <c r="C784" s="9"/>
      <c r="D784" s="9"/>
      <c r="E784" s="9"/>
      <c r="F784" s="14"/>
      <c r="G784" s="14"/>
      <c r="H784" s="14"/>
      <c r="I784" s="14"/>
      <c r="J784" s="14"/>
      <c r="K784" s="14"/>
      <c r="L784" s="1394"/>
      <c r="M784" s="1866" t="s">
        <v>8146</v>
      </c>
      <c r="N784" s="14"/>
      <c r="O784" s="1883"/>
      <c r="P784" s="1883"/>
      <c r="Q784" s="1883"/>
      <c r="R784" s="1883"/>
      <c r="S784" s="1883"/>
      <c r="T784" s="1883"/>
      <c r="U784" s="1898"/>
      <c r="W784" s="14"/>
      <c r="X784" s="9"/>
      <c r="Y784" s="9"/>
      <c r="Z784" s="9"/>
      <c r="AA784" s="14"/>
      <c r="AB784" s="14"/>
      <c r="AC784" s="14"/>
      <c r="AD784" s="14"/>
      <c r="AE784" s="14"/>
      <c r="AF784" s="14"/>
      <c r="AG784" s="1394"/>
      <c r="AH784" s="1866" t="s">
        <v>8198</v>
      </c>
      <c r="AI784" s="14"/>
      <c r="AJ784" s="1883"/>
      <c r="AK784" s="1883"/>
      <c r="AL784" s="1883"/>
      <c r="AM784" s="1883"/>
      <c r="AN784" s="1883"/>
      <c r="AO784" s="1883"/>
      <c r="AP784" s="1898"/>
      <c r="AR784" s="14"/>
      <c r="AS784" s="9"/>
      <c r="AT784" s="9"/>
      <c r="AU784" s="9"/>
      <c r="AV784" s="14"/>
      <c r="AW784" s="14"/>
      <c r="AX784" s="14"/>
      <c r="AY784" s="14"/>
      <c r="AZ784" s="14"/>
      <c r="BA784" s="14"/>
      <c r="BB784" s="1394"/>
      <c r="BC784" s="1866" t="s">
        <v>8193</v>
      </c>
      <c r="BD784" s="14"/>
      <c r="BE784" s="1883"/>
      <c r="BF784" s="1883"/>
      <c r="BG784" s="1883"/>
      <c r="BH784" s="1883"/>
      <c r="BI784" s="1883"/>
      <c r="BJ784" s="1883"/>
      <c r="BK784" s="1898"/>
      <c r="BM784" s="3">
        <v>1</v>
      </c>
    </row>
    <row r="785" spans="2:65" ht="21" customHeight="1">
      <c r="B785" s="14"/>
      <c r="C785" s="9"/>
      <c r="D785" s="9"/>
      <c r="E785" s="9"/>
      <c r="F785" s="14"/>
      <c r="G785" s="14"/>
      <c r="H785" s="14"/>
      <c r="I785" s="14"/>
      <c r="J785" s="14"/>
      <c r="K785" s="14"/>
      <c r="L785" s="1394" t="str">
        <f>IF(ISBLANK(M785),"",LARGE(L774:L784,1)+1)</f>
        <v/>
      </c>
      <c r="M785" s="1896"/>
      <c r="N785" s="1883"/>
      <c r="O785" s="1883"/>
      <c r="P785" s="1883"/>
      <c r="Q785" s="1883"/>
      <c r="R785" s="1883"/>
      <c r="S785" s="1883"/>
      <c r="T785" s="1883"/>
      <c r="U785" s="1898"/>
      <c r="W785" s="14"/>
      <c r="X785" s="9"/>
      <c r="Y785" s="9"/>
      <c r="Z785" s="9"/>
      <c r="AA785" s="14"/>
      <c r="AB785" s="14"/>
      <c r="AC785" s="14"/>
      <c r="AD785" s="14"/>
      <c r="AE785" s="14"/>
      <c r="AF785" s="14"/>
      <c r="AG785" s="1394" t="str">
        <f>IF(ISBLANK(AH785),"",LARGE(AG774:AG784,1)+1)</f>
        <v/>
      </c>
      <c r="AH785" s="1896"/>
      <c r="AI785" s="1883"/>
      <c r="AJ785" s="1883"/>
      <c r="AK785" s="1883"/>
      <c r="AL785" s="1883"/>
      <c r="AM785" s="1883"/>
      <c r="AN785" s="1883"/>
      <c r="AO785" s="1883"/>
      <c r="AP785" s="1898"/>
      <c r="AR785" s="14"/>
      <c r="AS785" s="9"/>
      <c r="AT785" s="9"/>
      <c r="AU785" s="9"/>
      <c r="AV785" s="14"/>
      <c r="AW785" s="14"/>
      <c r="AX785" s="14"/>
      <c r="AY785" s="14"/>
      <c r="AZ785" s="14"/>
      <c r="BA785" s="14"/>
      <c r="BB785" s="1394" t="str">
        <f>IF(ISBLANK(BC785),"",LARGE(BB774:BB784,1)+1)</f>
        <v/>
      </c>
      <c r="BC785" s="1896"/>
      <c r="BD785" s="1883"/>
      <c r="BE785" s="1883"/>
      <c r="BF785" s="1883"/>
      <c r="BG785" s="1883"/>
      <c r="BH785" s="1883"/>
      <c r="BI785" s="1883"/>
      <c r="BJ785" s="1883"/>
      <c r="BK785" s="1898"/>
      <c r="BM785" s="3">
        <v>1</v>
      </c>
    </row>
    <row r="786" spans="2:65" ht="21" customHeight="1">
      <c r="B786" s="14"/>
      <c r="C786" s="9"/>
      <c r="D786" s="9"/>
      <c r="E786" s="9"/>
      <c r="F786" s="14"/>
      <c r="G786" s="14"/>
      <c r="H786" s="14"/>
      <c r="I786" s="14"/>
      <c r="J786" s="14"/>
      <c r="K786" s="14"/>
      <c r="L786" s="1394" t="str">
        <f>IF(ISBLANK(M786),"",LARGE(L774:L785,1)+1)</f>
        <v/>
      </c>
      <c r="M786" s="1896"/>
      <c r="N786" s="1883"/>
      <c r="O786" s="1883"/>
      <c r="P786" s="1883"/>
      <c r="Q786" s="1883"/>
      <c r="R786" s="1883"/>
      <c r="S786" s="1883"/>
      <c r="T786" s="1883"/>
      <c r="U786" s="1898"/>
      <c r="W786" s="14"/>
      <c r="X786" s="9"/>
      <c r="Y786" s="9"/>
      <c r="Z786" s="9"/>
      <c r="AA786" s="14"/>
      <c r="AB786" s="14"/>
      <c r="AC786" s="14"/>
      <c r="AD786" s="14"/>
      <c r="AE786" s="14"/>
      <c r="AF786" s="14"/>
      <c r="AG786" s="1394" t="str">
        <f>IF(ISBLANK(AH786),"",LARGE(AG774:AG785,1)+1)</f>
        <v/>
      </c>
      <c r="AH786" s="1896"/>
      <c r="AI786" s="1883"/>
      <c r="AJ786" s="1883"/>
      <c r="AK786" s="1883"/>
      <c r="AL786" s="1883"/>
      <c r="AM786" s="1883"/>
      <c r="AN786" s="1883"/>
      <c r="AO786" s="1883"/>
      <c r="AP786" s="1898"/>
      <c r="AR786" s="14"/>
      <c r="AS786" s="9"/>
      <c r="AT786" s="9"/>
      <c r="AU786" s="9"/>
      <c r="AV786" s="14"/>
      <c r="AW786" s="14"/>
      <c r="AX786" s="14"/>
      <c r="AY786" s="14"/>
      <c r="AZ786" s="14"/>
      <c r="BA786" s="14"/>
      <c r="BB786" s="1394" t="str">
        <f>IF(ISBLANK(BC786),"",LARGE(BB774:BB785,1)+1)</f>
        <v/>
      </c>
      <c r="BC786" s="1896"/>
      <c r="BD786" s="1883"/>
      <c r="BE786" s="1883"/>
      <c r="BF786" s="1883"/>
      <c r="BG786" s="1883"/>
      <c r="BH786" s="1883"/>
      <c r="BI786" s="1883"/>
      <c r="BJ786" s="1883"/>
      <c r="BK786" s="1898"/>
      <c r="BM786" s="3">
        <v>1</v>
      </c>
    </row>
    <row r="787" spans="2:65" ht="21" customHeight="1">
      <c r="B787" s="14"/>
      <c r="C787" s="9"/>
      <c r="D787" s="9"/>
      <c r="E787" s="9"/>
      <c r="F787" s="14"/>
      <c r="G787" s="14"/>
      <c r="H787" s="14"/>
      <c r="I787" s="14"/>
      <c r="J787" s="14"/>
      <c r="K787" s="14"/>
      <c r="L787" s="1394" t="str">
        <f>IF(ISBLANK(M787),"",LARGE(L774:L786,1)+1)</f>
        <v/>
      </c>
      <c r="M787" s="1896"/>
      <c r="N787" s="1883"/>
      <c r="O787" s="1883"/>
      <c r="P787" s="1883"/>
      <c r="Q787" s="1883"/>
      <c r="R787" s="1883"/>
      <c r="S787" s="1883"/>
      <c r="T787" s="1883"/>
      <c r="U787" s="1898"/>
      <c r="W787" s="14"/>
      <c r="X787" s="9"/>
      <c r="Y787" s="9"/>
      <c r="Z787" s="9"/>
      <c r="AA787" s="14"/>
      <c r="AB787" s="14"/>
      <c r="AC787" s="14"/>
      <c r="AD787" s="14"/>
      <c r="AE787" s="14"/>
      <c r="AF787" s="14"/>
      <c r="AG787" s="1394" t="str">
        <f>IF(ISBLANK(AH787),"",LARGE(AG774:AG786,1)+1)</f>
        <v/>
      </c>
      <c r="AH787" s="1896"/>
      <c r="AI787" s="1883"/>
      <c r="AJ787" s="1883"/>
      <c r="AK787" s="1883"/>
      <c r="AL787" s="1883"/>
      <c r="AM787" s="1883"/>
      <c r="AN787" s="1883"/>
      <c r="AO787" s="1883"/>
      <c r="AP787" s="1898"/>
      <c r="AR787" s="14"/>
      <c r="AS787" s="9"/>
      <c r="AT787" s="9"/>
      <c r="AU787" s="9"/>
      <c r="AV787" s="14"/>
      <c r="AW787" s="14"/>
      <c r="AX787" s="14"/>
      <c r="AY787" s="14"/>
      <c r="AZ787" s="14"/>
      <c r="BA787" s="14"/>
      <c r="BB787" s="1394" t="str">
        <f>IF(ISBLANK(BC787),"",LARGE(BB774:BB786,1)+1)</f>
        <v/>
      </c>
      <c r="BC787" s="1896"/>
      <c r="BD787" s="1883"/>
      <c r="BE787" s="1883"/>
      <c r="BF787" s="1883"/>
      <c r="BG787" s="1883"/>
      <c r="BH787" s="1883"/>
      <c r="BI787" s="1883"/>
      <c r="BJ787" s="1883"/>
      <c r="BK787" s="1898"/>
      <c r="BM787" s="3">
        <v>1</v>
      </c>
    </row>
    <row r="788" spans="2:65" ht="21" customHeight="1">
      <c r="B788" s="14"/>
      <c r="C788" s="9"/>
      <c r="D788" s="9"/>
      <c r="E788" s="9"/>
      <c r="F788" s="14"/>
      <c r="G788" s="14"/>
      <c r="H788" s="14"/>
      <c r="I788" s="14"/>
      <c r="J788" s="14"/>
      <c r="K788" s="14"/>
      <c r="L788" s="1394" t="str">
        <f>IF(ISBLANK(M788),"",LARGE(L774:L787,1)+1)</f>
        <v/>
      </c>
      <c r="M788" s="1896"/>
      <c r="N788" s="1883"/>
      <c r="O788" s="1883"/>
      <c r="P788" s="1883"/>
      <c r="Q788" s="1883"/>
      <c r="R788" s="1883"/>
      <c r="S788" s="1883"/>
      <c r="T788" s="1883"/>
      <c r="U788" s="1898"/>
      <c r="W788" s="14"/>
      <c r="X788" s="9"/>
      <c r="Y788" s="9"/>
      <c r="Z788" s="9"/>
      <c r="AA788" s="14"/>
      <c r="AB788" s="14"/>
      <c r="AC788" s="14"/>
      <c r="AD788" s="14"/>
      <c r="AE788" s="14"/>
      <c r="AF788" s="14"/>
      <c r="AG788" s="1394" t="str">
        <f>IF(ISBLANK(AH788),"",LARGE(AG774:AG787,1)+1)</f>
        <v/>
      </c>
      <c r="AH788" s="1896"/>
      <c r="AI788" s="1883"/>
      <c r="AJ788" s="1883"/>
      <c r="AK788" s="1883"/>
      <c r="AL788" s="1883"/>
      <c r="AM788" s="1883"/>
      <c r="AN788" s="1883"/>
      <c r="AO788" s="1883"/>
      <c r="AP788" s="1898"/>
      <c r="AR788" s="14"/>
      <c r="AS788" s="9"/>
      <c r="AT788" s="9"/>
      <c r="AU788" s="9"/>
      <c r="AV788" s="14"/>
      <c r="AW788" s="14"/>
      <c r="AX788" s="14"/>
      <c r="AY788" s="14"/>
      <c r="AZ788" s="14"/>
      <c r="BA788" s="14"/>
      <c r="BB788" s="1394" t="str">
        <f>IF(ISBLANK(BC788),"",LARGE(BB774:BB787,1)+1)</f>
        <v/>
      </c>
      <c r="BC788" s="1896"/>
      <c r="BD788" s="1883"/>
      <c r="BE788" s="1883"/>
      <c r="BF788" s="1883"/>
      <c r="BG788" s="1883"/>
      <c r="BH788" s="1883"/>
      <c r="BI788" s="1883"/>
      <c r="BJ788" s="1883"/>
      <c r="BK788" s="1898"/>
      <c r="BM788" s="3">
        <v>1</v>
      </c>
    </row>
    <row r="789" spans="2:65" ht="21" customHeight="1">
      <c r="B789" s="14"/>
      <c r="C789" s="9"/>
      <c r="D789" s="9"/>
      <c r="E789" s="9"/>
      <c r="F789" s="14"/>
      <c r="G789" s="14"/>
      <c r="H789" s="14"/>
      <c r="I789" s="14"/>
      <c r="J789" s="14"/>
      <c r="K789" s="14"/>
      <c r="L789" s="1394" t="str">
        <f>IF(ISBLANK(M789),"",LARGE(L774:L788,1)+1)</f>
        <v/>
      </c>
      <c r="M789" s="1896"/>
      <c r="N789" s="1883"/>
      <c r="O789" s="1883"/>
      <c r="P789" s="1883"/>
      <c r="Q789" s="1883"/>
      <c r="R789" s="1883"/>
      <c r="S789" s="1883"/>
      <c r="T789" s="1883"/>
      <c r="U789" s="1898"/>
      <c r="W789" s="14"/>
      <c r="X789" s="9"/>
      <c r="Y789" s="9"/>
      <c r="Z789" s="9"/>
      <c r="AA789" s="14"/>
      <c r="AB789" s="14"/>
      <c r="AC789" s="14"/>
      <c r="AD789" s="14"/>
      <c r="AE789" s="14"/>
      <c r="AF789" s="14"/>
      <c r="AG789" s="1394" t="str">
        <f>IF(ISBLANK(AH789),"",LARGE(AG774:AG788,1)+1)</f>
        <v/>
      </c>
      <c r="AH789" s="1896"/>
      <c r="AI789" s="1883"/>
      <c r="AJ789" s="1883"/>
      <c r="AK789" s="1883"/>
      <c r="AL789" s="1883"/>
      <c r="AM789" s="1883"/>
      <c r="AN789" s="1883"/>
      <c r="AO789" s="1883"/>
      <c r="AP789" s="1898"/>
      <c r="AR789" s="14"/>
      <c r="AS789" s="9"/>
      <c r="AT789" s="9"/>
      <c r="AU789" s="9"/>
      <c r="AV789" s="14"/>
      <c r="AW789" s="14"/>
      <c r="AX789" s="14"/>
      <c r="AY789" s="14"/>
      <c r="AZ789" s="14"/>
      <c r="BA789" s="14"/>
      <c r="BB789" s="1394" t="str">
        <f>IF(ISBLANK(BC789),"",LARGE(BB774:BB788,1)+1)</f>
        <v/>
      </c>
      <c r="BC789" s="1896"/>
      <c r="BD789" s="1883"/>
      <c r="BE789" s="1883"/>
      <c r="BF789" s="1883"/>
      <c r="BG789" s="1883"/>
      <c r="BH789" s="1883"/>
      <c r="BI789" s="1883"/>
      <c r="BJ789" s="1883"/>
      <c r="BK789" s="1898"/>
      <c r="BM789" s="3">
        <v>1</v>
      </c>
    </row>
    <row r="790" spans="2:65" ht="21" customHeight="1">
      <c r="B790" s="14"/>
      <c r="C790" s="9"/>
      <c r="D790" s="9"/>
      <c r="E790" s="9"/>
      <c r="F790" s="14"/>
      <c r="G790" s="14"/>
      <c r="H790" s="14"/>
      <c r="I790" s="14"/>
      <c r="J790" s="14"/>
      <c r="K790" s="14"/>
      <c r="L790" s="1394" t="str">
        <f>IF(ISBLANK(M790),"",LARGE(L774:L789,1)+1)</f>
        <v/>
      </c>
      <c r="M790" s="1896"/>
      <c r="N790" s="1883"/>
      <c r="O790" s="1883"/>
      <c r="P790" s="1883"/>
      <c r="Q790" s="1883"/>
      <c r="R790" s="1883"/>
      <c r="S790" s="1883"/>
      <c r="T790" s="1883"/>
      <c r="U790" s="1898"/>
      <c r="W790" s="14"/>
      <c r="X790" s="9"/>
      <c r="Y790" s="9"/>
      <c r="Z790" s="9"/>
      <c r="AA790" s="14"/>
      <c r="AB790" s="14"/>
      <c r="AC790" s="14"/>
      <c r="AD790" s="14"/>
      <c r="AE790" s="14"/>
      <c r="AF790" s="14"/>
      <c r="AG790" s="1394" t="str">
        <f>IF(ISBLANK(AH790),"",LARGE(AG774:AG789,1)+1)</f>
        <v/>
      </c>
      <c r="AH790" s="1896"/>
      <c r="AI790" s="1883"/>
      <c r="AJ790" s="1883"/>
      <c r="AK790" s="1883"/>
      <c r="AL790" s="1883"/>
      <c r="AM790" s="1883"/>
      <c r="AN790" s="1883"/>
      <c r="AO790" s="1883"/>
      <c r="AP790" s="1898"/>
      <c r="AR790" s="14"/>
      <c r="AS790" s="9"/>
      <c r="AT790" s="9"/>
      <c r="AU790" s="9"/>
      <c r="AV790" s="14"/>
      <c r="AW790" s="14"/>
      <c r="AX790" s="14"/>
      <c r="AY790" s="14"/>
      <c r="AZ790" s="14"/>
      <c r="BA790" s="14"/>
      <c r="BB790" s="1394" t="str">
        <f>IF(ISBLANK(BC790),"",LARGE(BB774:BB789,1)+1)</f>
        <v/>
      </c>
      <c r="BC790" s="1896"/>
      <c r="BD790" s="1883"/>
      <c r="BE790" s="1883"/>
      <c r="BF790" s="1883"/>
      <c r="BG790" s="1883"/>
      <c r="BH790" s="1883"/>
      <c r="BI790" s="1883"/>
      <c r="BJ790" s="1883"/>
      <c r="BK790" s="1898"/>
      <c r="BM790" s="3">
        <v>1</v>
      </c>
    </row>
    <row r="791" spans="2:65" ht="21" customHeight="1">
      <c r="B791" s="14"/>
      <c r="C791" s="9"/>
      <c r="D791" s="9"/>
      <c r="E791" s="9"/>
      <c r="F791" s="14"/>
      <c r="G791" s="14"/>
      <c r="H791" s="14"/>
      <c r="I791" s="14"/>
      <c r="J791" s="14"/>
      <c r="K791" s="14"/>
      <c r="L791" s="1394" t="str">
        <f>IF(ISBLANK(M791),"",LARGE(L774:L790,1)+1)</f>
        <v/>
      </c>
      <c r="M791" s="1896"/>
      <c r="N791" s="1883"/>
      <c r="O791" s="1883"/>
      <c r="P791" s="1883"/>
      <c r="Q791" s="1883"/>
      <c r="R791" s="1883"/>
      <c r="S791" s="1883"/>
      <c r="T791" s="1883"/>
      <c r="U791" s="1898"/>
      <c r="W791" s="14"/>
      <c r="X791" s="9"/>
      <c r="Y791" s="9"/>
      <c r="Z791" s="9"/>
      <c r="AA791" s="14"/>
      <c r="AB791" s="14"/>
      <c r="AC791" s="14"/>
      <c r="AD791" s="14"/>
      <c r="AE791" s="14"/>
      <c r="AF791" s="14"/>
      <c r="AG791" s="1394" t="str">
        <f>IF(ISBLANK(AH791),"",LARGE(AG774:AG790,1)+1)</f>
        <v/>
      </c>
      <c r="AH791" s="1896"/>
      <c r="AI791" s="1883"/>
      <c r="AJ791" s="1883"/>
      <c r="AK791" s="1883"/>
      <c r="AL791" s="1883"/>
      <c r="AM791" s="1883"/>
      <c r="AN791" s="1883"/>
      <c r="AO791" s="1883"/>
      <c r="AP791" s="1898"/>
      <c r="AR791" s="14"/>
      <c r="AS791" s="9"/>
      <c r="AT791" s="9"/>
      <c r="AU791" s="9"/>
      <c r="AV791" s="14"/>
      <c r="AW791" s="14"/>
      <c r="AX791" s="14"/>
      <c r="AY791" s="14"/>
      <c r="AZ791" s="14"/>
      <c r="BA791" s="14"/>
      <c r="BB791" s="1394" t="str">
        <f>IF(ISBLANK(BC791),"",LARGE(BB774:BB790,1)+1)</f>
        <v/>
      </c>
      <c r="BC791" s="1896"/>
      <c r="BD791" s="1883"/>
      <c r="BE791" s="1883"/>
      <c r="BF791" s="1883"/>
      <c r="BG791" s="1883"/>
      <c r="BH791" s="1883"/>
      <c r="BI791" s="1883"/>
      <c r="BJ791" s="1883"/>
      <c r="BK791" s="1898"/>
      <c r="BM791" s="3">
        <v>1</v>
      </c>
    </row>
    <row r="792" spans="2:65" ht="21" customHeight="1">
      <c r="B792" s="14"/>
      <c r="C792" s="9"/>
      <c r="D792" s="9"/>
      <c r="E792" s="9"/>
      <c r="F792" s="14"/>
      <c r="G792" s="14"/>
      <c r="H792" s="14"/>
      <c r="I792" s="14"/>
      <c r="J792" s="14"/>
      <c r="K792" s="14"/>
      <c r="L792" s="1394" t="str">
        <f>IF(ISBLANK(M792),"",LARGE(L774:L791,1)+1)</f>
        <v/>
      </c>
      <c r="M792" s="1896"/>
      <c r="N792" s="1883"/>
      <c r="O792" s="1883"/>
      <c r="P792" s="1883"/>
      <c r="Q792" s="1883"/>
      <c r="R792" s="1883"/>
      <c r="S792" s="1883"/>
      <c r="T792" s="1883"/>
      <c r="U792" s="1898"/>
      <c r="W792" s="14"/>
      <c r="X792" s="9"/>
      <c r="Y792" s="9"/>
      <c r="Z792" s="9"/>
      <c r="AA792" s="14"/>
      <c r="AB792" s="14"/>
      <c r="AC792" s="14"/>
      <c r="AD792" s="14"/>
      <c r="AE792" s="14"/>
      <c r="AF792" s="14"/>
      <c r="AG792" s="1394" t="str">
        <f>IF(ISBLANK(AH792),"",LARGE(AG774:AG791,1)+1)</f>
        <v/>
      </c>
      <c r="AH792" s="1896"/>
      <c r="AI792" s="1883"/>
      <c r="AJ792" s="1883"/>
      <c r="AK792" s="1883"/>
      <c r="AL792" s="1883"/>
      <c r="AM792" s="1883"/>
      <c r="AN792" s="1883"/>
      <c r="AO792" s="1883"/>
      <c r="AP792" s="1898"/>
      <c r="AR792" s="14"/>
      <c r="AS792" s="9"/>
      <c r="AT792" s="9"/>
      <c r="AU792" s="9"/>
      <c r="AV792" s="14"/>
      <c r="AW792" s="14"/>
      <c r="AX792" s="14"/>
      <c r="AY792" s="14"/>
      <c r="AZ792" s="14"/>
      <c r="BA792" s="14"/>
      <c r="BB792" s="1394" t="str">
        <f>IF(ISBLANK(BC792),"",LARGE(BB774:BB791,1)+1)</f>
        <v/>
      </c>
      <c r="BC792" s="1896"/>
      <c r="BD792" s="1883"/>
      <c r="BE792" s="1883"/>
      <c r="BF792" s="1883"/>
      <c r="BG792" s="1883"/>
      <c r="BH792" s="1883"/>
      <c r="BI792" s="1883"/>
      <c r="BJ792" s="1883"/>
      <c r="BK792" s="1898"/>
      <c r="BM792" s="3">
        <v>1</v>
      </c>
    </row>
    <row r="793" spans="2:65" ht="21" customHeight="1">
      <c r="B793" s="14"/>
      <c r="C793" s="9"/>
      <c r="D793" s="9"/>
      <c r="E793" s="9"/>
      <c r="F793" s="14"/>
      <c r="G793" s="14"/>
      <c r="H793" s="14"/>
      <c r="I793" s="14"/>
      <c r="J793" s="14"/>
      <c r="K793" s="14"/>
      <c r="L793" s="1963" t="s">
        <v>8629</v>
      </c>
      <c r="M793" s="1844"/>
      <c r="N793" s="1844"/>
      <c r="O793" s="1844"/>
      <c r="P793" s="1844"/>
      <c r="Q793" s="1844"/>
      <c r="R793" s="1844"/>
      <c r="S793" s="1844"/>
      <c r="T793" s="1844"/>
      <c r="U793" s="1964" t="s">
        <v>8629</v>
      </c>
      <c r="W793" s="14"/>
      <c r="X793" s="9"/>
      <c r="Y793" s="9"/>
      <c r="Z793" s="9"/>
      <c r="AA793" s="14"/>
      <c r="AB793" s="14"/>
      <c r="AC793" s="14"/>
      <c r="AD793" s="14"/>
      <c r="AE793" s="14"/>
      <c r="AF793" s="14"/>
      <c r="AG793" s="1963" t="s">
        <v>8630</v>
      </c>
      <c r="AH793" s="1844"/>
      <c r="AI793" s="1844"/>
      <c r="AJ793" s="1844"/>
      <c r="AK793" s="1844"/>
      <c r="AL793" s="1844"/>
      <c r="AM793" s="1844"/>
      <c r="AN793" s="1844"/>
      <c r="AO793" s="1844"/>
      <c r="AP793" s="1964" t="s">
        <v>8630</v>
      </c>
      <c r="BB793" s="1963" t="s">
        <v>8631</v>
      </c>
      <c r="BC793" s="1844"/>
      <c r="BD793" s="1844"/>
      <c r="BE793" s="1844"/>
      <c r="BF793" s="1844"/>
      <c r="BG793" s="1844"/>
      <c r="BH793" s="1844"/>
      <c r="BI793" s="1844"/>
      <c r="BJ793" s="1844"/>
      <c r="BK793" s="1964" t="s">
        <v>8631</v>
      </c>
      <c r="BM793" s="3">
        <v>1</v>
      </c>
    </row>
    <row r="794" spans="2:65" ht="21" customHeight="1">
      <c r="B794" s="14"/>
      <c r="C794" s="9"/>
      <c r="D794" s="9"/>
      <c r="E794" s="9"/>
      <c r="F794" s="14"/>
      <c r="G794" s="14"/>
      <c r="H794" s="14"/>
      <c r="I794" s="14"/>
      <c r="J794" s="14"/>
      <c r="K794" s="14"/>
      <c r="L794" s="1372" t="s">
        <v>8145</v>
      </c>
      <c r="M794" s="419"/>
      <c r="N794" s="419"/>
      <c r="O794" s="419"/>
      <c r="P794" s="419"/>
      <c r="Q794" s="419"/>
      <c r="R794" s="420"/>
      <c r="S794" s="420"/>
      <c r="T794" s="420"/>
      <c r="U794" s="608" t="s">
        <v>8163</v>
      </c>
      <c r="W794" s="14"/>
      <c r="X794" s="9"/>
      <c r="Y794" s="9"/>
      <c r="Z794" s="9"/>
      <c r="AA794" s="14"/>
      <c r="AB794" s="14"/>
      <c r="AC794" s="14"/>
      <c r="AD794" s="14"/>
      <c r="AE794" s="14"/>
      <c r="AF794" s="14"/>
      <c r="AG794" s="1388" t="s">
        <v>8216</v>
      </c>
      <c r="AH794" s="419"/>
      <c r="AI794" s="419"/>
      <c r="AJ794" s="419"/>
      <c r="AK794" s="419"/>
      <c r="AL794" s="419"/>
      <c r="AM794" s="420"/>
      <c r="AN794" s="420"/>
      <c r="AO794" s="420"/>
      <c r="AP794" s="608" t="s">
        <v>8201</v>
      </c>
      <c r="AR794" s="14"/>
      <c r="AS794" s="9"/>
      <c r="AT794" s="9"/>
      <c r="AU794" s="9"/>
      <c r="AV794" s="14"/>
      <c r="AW794" s="14"/>
      <c r="AX794" s="14"/>
      <c r="AY794" s="14"/>
      <c r="AZ794" s="14"/>
      <c r="BA794" s="14"/>
      <c r="BB794" s="1372" t="s">
        <v>8217</v>
      </c>
      <c r="BC794" s="419"/>
      <c r="BD794" s="419"/>
      <c r="BE794" s="419"/>
      <c r="BF794" s="419"/>
      <c r="BG794" s="419"/>
      <c r="BH794" s="420"/>
      <c r="BI794" s="420"/>
      <c r="BJ794" s="420"/>
      <c r="BK794" s="608" t="s">
        <v>8163</v>
      </c>
      <c r="BM794" s="3">
        <v>1</v>
      </c>
    </row>
    <row r="795" spans="2:65" ht="21" customHeight="1">
      <c r="B795" s="14"/>
      <c r="C795" s="9"/>
      <c r="D795" s="9"/>
      <c r="E795" s="9"/>
      <c r="F795" s="14"/>
      <c r="G795" s="14"/>
      <c r="H795" s="14"/>
      <c r="I795" s="14"/>
      <c r="J795" s="14"/>
      <c r="K795" s="14"/>
      <c r="L795" s="1392">
        <v>0</v>
      </c>
      <c r="M795" s="1499"/>
      <c r="N795" s="1850" t="s">
        <v>8177</v>
      </c>
      <c r="O795" s="1500" t="s">
        <v>8178</v>
      </c>
      <c r="P795" s="544"/>
      <c r="Q795" s="544"/>
      <c r="R795" s="1501">
        <v>25</v>
      </c>
      <c r="S795" s="1501"/>
      <c r="T795" s="1502" t="str">
        <f>"&lt; ③ quantité dans 1"&amp;" "&amp;O796</f>
        <v>&lt; ③ quantité dans 1 Gastro 1/1</v>
      </c>
      <c r="U795" s="1503"/>
      <c r="W795" s="14"/>
      <c r="X795" s="9"/>
      <c r="Y795" s="9"/>
      <c r="Z795" s="9"/>
      <c r="AA795" s="14"/>
      <c r="AB795" s="14"/>
      <c r="AC795" s="14"/>
      <c r="AD795" s="14"/>
      <c r="AE795" s="14"/>
      <c r="AF795" s="14"/>
      <c r="AG795" s="1392">
        <v>0</v>
      </c>
      <c r="AH795" s="1778"/>
      <c r="AI795" s="1504" t="s">
        <v>8202</v>
      </c>
      <c r="AJ795" s="1754" t="s">
        <v>8205</v>
      </c>
      <c r="AK795" s="9"/>
      <c r="AL795" s="9"/>
      <c r="AM795" s="1755">
        <v>25</v>
      </c>
      <c r="AN795" s="1507" t="str">
        <f>"&lt; ③ Cantidad en  1"&amp;" "&amp;AJ796</f>
        <v>&lt; ③ Cantidad en  1 Gastro 1/1</v>
      </c>
      <c r="AO795" s="9"/>
      <c r="AP795" s="38"/>
      <c r="AR795" s="14"/>
      <c r="AS795" s="9"/>
      <c r="AT795" s="9"/>
      <c r="AU795" s="9"/>
      <c r="AV795" s="14"/>
      <c r="AW795" s="14"/>
      <c r="AX795" s="14"/>
      <c r="AY795" s="14"/>
      <c r="AZ795" s="14"/>
      <c r="BA795" s="14"/>
      <c r="BB795" s="1392">
        <v>0</v>
      </c>
      <c r="BC795" s="1499"/>
      <c r="BD795" s="1850" t="s">
        <v>8177</v>
      </c>
      <c r="BE795" s="1500" t="s">
        <v>8178</v>
      </c>
      <c r="BF795" s="544"/>
      <c r="BG795" s="544"/>
      <c r="BH795" s="1501">
        <v>25</v>
      </c>
      <c r="BI795" s="1501"/>
      <c r="BJ795" s="1502" t="str">
        <f>"&lt; ③ quantité dans 1"&amp;" "&amp;BE796</f>
        <v>&lt; ③ quantité dans 1 Gastro 1/1</v>
      </c>
      <c r="BK795" s="1503"/>
      <c r="BM795" s="3">
        <v>1</v>
      </c>
    </row>
    <row r="796" spans="2:65" ht="21" customHeight="1">
      <c r="B796" s="14"/>
      <c r="C796" s="9"/>
      <c r="D796" s="9"/>
      <c r="E796" s="9"/>
      <c r="F796" s="14"/>
      <c r="G796" s="14"/>
      <c r="H796" s="14"/>
      <c r="I796" s="14"/>
      <c r="J796" s="14"/>
      <c r="K796" s="14"/>
      <c r="L796" s="1394" t="str">
        <f>IF(ISBLANK(M796),"",LARGE(L795:L795,1)+1)</f>
        <v/>
      </c>
      <c r="M796" s="1504"/>
      <c r="N796" s="1851" t="s">
        <v>8179</v>
      </c>
      <c r="O796" s="1505" t="s">
        <v>422</v>
      </c>
      <c r="P796" s="9"/>
      <c r="Q796" s="9"/>
      <c r="R796" s="1506" t="s">
        <v>8180</v>
      </c>
      <c r="S796" s="1506"/>
      <c r="T796" s="1507" t="s">
        <v>8181</v>
      </c>
      <c r="U796" s="38"/>
      <c r="W796" s="14"/>
      <c r="X796" s="9"/>
      <c r="Y796" s="9"/>
      <c r="Z796" s="9"/>
      <c r="AA796" s="14"/>
      <c r="AB796" s="14"/>
      <c r="AC796" s="14"/>
      <c r="AD796" s="14"/>
      <c r="AE796" s="14"/>
      <c r="AF796" s="14"/>
      <c r="AG796" s="1394"/>
      <c r="AH796" s="1504"/>
      <c r="AI796" s="1504" t="s">
        <v>8203</v>
      </c>
      <c r="AJ796" s="1505" t="s">
        <v>422</v>
      </c>
      <c r="AK796" s="9"/>
      <c r="AL796" s="9"/>
      <c r="AM796" s="1506" t="s">
        <v>8180</v>
      </c>
      <c r="AN796" s="1507" t="s">
        <v>8206</v>
      </c>
      <c r="AO796" s="9"/>
      <c r="AP796" s="38"/>
      <c r="AR796" s="14"/>
      <c r="AS796" s="9"/>
      <c r="AT796" s="9"/>
      <c r="AU796" s="9"/>
      <c r="AV796" s="14"/>
      <c r="AW796" s="14"/>
      <c r="AX796" s="14"/>
      <c r="AY796" s="14"/>
      <c r="AZ796" s="14"/>
      <c r="BA796" s="14"/>
      <c r="BB796" s="1394" t="str">
        <f>IF(ISBLANK(BC796),"",LARGE(BB795:BB795,1)+1)</f>
        <v/>
      </c>
      <c r="BC796" s="1504"/>
      <c r="BD796" s="1851" t="s">
        <v>8179</v>
      </c>
      <c r="BE796" s="1505" t="s">
        <v>422</v>
      </c>
      <c r="BF796" s="9"/>
      <c r="BG796" s="9"/>
      <c r="BH796" s="1506" t="s">
        <v>8180</v>
      </c>
      <c r="BI796" s="1506"/>
      <c r="BJ796" s="1507" t="s">
        <v>8181</v>
      </c>
      <c r="BK796" s="38"/>
      <c r="BM796" s="3">
        <v>1</v>
      </c>
    </row>
    <row r="797" spans="2:65" ht="21" customHeight="1">
      <c r="B797" s="14"/>
      <c r="C797" s="9"/>
      <c r="D797" s="9"/>
      <c r="E797" s="9"/>
      <c r="F797" s="14"/>
      <c r="G797" s="14"/>
      <c r="H797" s="14"/>
      <c r="I797" s="14"/>
      <c r="J797" s="14"/>
      <c r="K797" s="14"/>
      <c r="L797" s="1394" t="str">
        <f>IF(ISBLANK(M797),"",LARGE(L795:L796,1)+1)</f>
        <v/>
      </c>
      <c r="M797" s="1508"/>
      <c r="N797"/>
      <c r="O797" s="1509"/>
      <c r="P797" s="1510" t="s">
        <v>8182</v>
      </c>
      <c r="Q797" s="1511">
        <v>120</v>
      </c>
      <c r="R797" s="1512">
        <v>2.7</v>
      </c>
      <c r="S797" s="1512"/>
      <c r="T797" s="1513" t="str">
        <f>"&lt; ⑥ poids par "&amp; O796</f>
        <v>&lt; ⑥ poids par Gastro 1/1</v>
      </c>
      <c r="U797" s="38"/>
      <c r="W797" s="14"/>
      <c r="X797" s="9"/>
      <c r="Y797" s="9"/>
      <c r="Z797" s="9"/>
      <c r="AA797" s="14"/>
      <c r="AB797" s="14"/>
      <c r="AC797" s="14"/>
      <c r="AD797" s="14"/>
      <c r="AE797" s="14"/>
      <c r="AF797" s="14"/>
      <c r="AG797" s="1394"/>
      <c r="AH797" s="1779"/>
      <c r="AI797" s="1508"/>
      <c r="AJ797" s="1509"/>
      <c r="AK797" s="1510" t="s">
        <v>8204</v>
      </c>
      <c r="AL797" s="1511">
        <v>120</v>
      </c>
      <c r="AM797" s="1512">
        <v>2.7</v>
      </c>
      <c r="AN797" s="1513" t="str">
        <f>"&lt; ⑥ Peso por "&amp; AJ796</f>
        <v>&lt; ⑥ Peso por Gastro 1/1</v>
      </c>
      <c r="AO797" s="9"/>
      <c r="AP797" s="38"/>
      <c r="AR797" s="14"/>
      <c r="AS797" s="9"/>
      <c r="AT797" s="9"/>
      <c r="AU797" s="9"/>
      <c r="AV797" s="14"/>
      <c r="AW797" s="14"/>
      <c r="AX797" s="14"/>
      <c r="AY797" s="14"/>
      <c r="AZ797" s="14"/>
      <c r="BA797" s="14"/>
      <c r="BB797" s="1394" t="str">
        <f>IF(ISBLANK(BC797),"",LARGE(BB795:BB796,1)+1)</f>
        <v/>
      </c>
      <c r="BC797" s="1508"/>
      <c r="BE797" s="1509"/>
      <c r="BF797" s="1510" t="s">
        <v>8182</v>
      </c>
      <c r="BG797" s="1511">
        <v>120</v>
      </c>
      <c r="BH797" s="1512">
        <v>2.7</v>
      </c>
      <c r="BI797" s="1512"/>
      <c r="BJ797" s="1513" t="str">
        <f>"&lt; ⑥ poids par "&amp; BE796</f>
        <v>&lt; ⑥ poids par Gastro 1/1</v>
      </c>
      <c r="BK797" s="38"/>
      <c r="BM797" s="3">
        <v>1</v>
      </c>
    </row>
    <row r="798" spans="2:65" ht="21" customHeight="1">
      <c r="B798" s="14"/>
      <c r="C798" s="9"/>
      <c r="D798" s="9"/>
      <c r="E798" s="9"/>
      <c r="F798" s="14"/>
      <c r="G798" s="14"/>
      <c r="H798" s="14"/>
      <c r="I798" s="14"/>
      <c r="J798" s="14"/>
      <c r="K798" s="14"/>
      <c r="L798" s="1394" t="str">
        <f>IF(ISBLANK(M798),"",LARGE(L795:L797,1)+1)</f>
        <v/>
      </c>
      <c r="M798" s="1860"/>
      <c r="N798" s="1852" t="s">
        <v>8183</v>
      </c>
      <c r="O798" s="1515" t="s">
        <v>8184</v>
      </c>
      <c r="P798" s="1516" t="s">
        <v>8185</v>
      </c>
      <c r="Q798" s="1517" t="s">
        <v>8186</v>
      </c>
      <c r="R798" s="6760" t="s">
        <v>8187</v>
      </c>
      <c r="S798" s="1739"/>
      <c r="T798" s="1518">
        <f>N800*N799</f>
        <v>225</v>
      </c>
      <c r="U798" s="1519" t="str">
        <f>N801</f>
        <v>escalopes</v>
      </c>
      <c r="W798" s="14"/>
      <c r="X798" s="9"/>
      <c r="Y798" s="9"/>
      <c r="Z798" s="9"/>
      <c r="AA798" s="14"/>
      <c r="AB798" s="14"/>
      <c r="AC798" s="14"/>
      <c r="AD798" s="14"/>
      <c r="AE798" s="14"/>
      <c r="AF798" s="14"/>
      <c r="AG798" s="1394"/>
      <c r="AH798" s="1860"/>
      <c r="AI798" s="1514" t="s">
        <v>8207</v>
      </c>
      <c r="AJ798" s="1515" t="s">
        <v>8208</v>
      </c>
      <c r="AK798" s="1516" t="s">
        <v>8209</v>
      </c>
      <c r="AL798" s="1517" t="s">
        <v>8210</v>
      </c>
      <c r="AM798" s="6760" t="s">
        <v>8212</v>
      </c>
      <c r="AN798" s="1739"/>
      <c r="AO798" s="1518">
        <f>AI800*AI799</f>
        <v>225</v>
      </c>
      <c r="AP798" s="1519" t="str">
        <f>AI801</f>
        <v>escalopes</v>
      </c>
      <c r="AR798" s="14"/>
      <c r="AS798" s="9"/>
      <c r="AT798" s="9"/>
      <c r="AU798" s="9"/>
      <c r="AV798" s="14"/>
      <c r="AW798" s="14"/>
      <c r="AX798" s="14"/>
      <c r="AY798" s="14"/>
      <c r="AZ798" s="14"/>
      <c r="BA798" s="14"/>
      <c r="BB798" s="1394" t="str">
        <f>IF(ISBLANK(BC798),"",LARGE(BB795:BB797,1)+1)</f>
        <v/>
      </c>
      <c r="BC798" s="1860"/>
      <c r="BD798" s="1852" t="s">
        <v>8183</v>
      </c>
      <c r="BE798" s="1515" t="s">
        <v>8184</v>
      </c>
      <c r="BF798" s="1516" t="s">
        <v>8185</v>
      </c>
      <c r="BG798" s="1517" t="s">
        <v>8186</v>
      </c>
      <c r="BH798" s="6760" t="s">
        <v>8187</v>
      </c>
      <c r="BI798" s="1739"/>
      <c r="BJ798" s="1518">
        <f>BD800*BD799</f>
        <v>225</v>
      </c>
      <c r="BK798" s="1519" t="str">
        <f>BD801</f>
        <v>escalopes</v>
      </c>
      <c r="BM798" s="3">
        <v>1</v>
      </c>
    </row>
    <row r="799" spans="2:65" ht="21" customHeight="1">
      <c r="B799" s="14"/>
      <c r="C799" s="9"/>
      <c r="D799" s="9"/>
      <c r="E799" s="9"/>
      <c r="F799" s="14"/>
      <c r="G799" s="14"/>
      <c r="H799" s="14"/>
      <c r="I799" s="14"/>
      <c r="J799" s="14"/>
      <c r="K799" s="14"/>
      <c r="L799" s="1394" t="str">
        <f>IF(ISBLANK(M799),"",LARGE(L795:L798,1)+1)</f>
        <v/>
      </c>
      <c r="M799" s="1861"/>
      <c r="N799" s="1853">
        <v>450</v>
      </c>
      <c r="O799" s="1521">
        <v>1230</v>
      </c>
      <c r="P799" s="1521">
        <v>220</v>
      </c>
      <c r="Q799" s="1522">
        <v>95</v>
      </c>
      <c r="R799" s="6761"/>
      <c r="S799" s="1740"/>
      <c r="T799" s="1523"/>
      <c r="U799" s="1524">
        <f>Q806</f>
        <v>54</v>
      </c>
      <c r="W799" s="14"/>
      <c r="X799" s="9"/>
      <c r="Y799" s="9"/>
      <c r="Z799" s="9"/>
      <c r="AA799" s="14"/>
      <c r="AB799" s="14"/>
      <c r="AC799" s="14"/>
      <c r="AD799" s="14"/>
      <c r="AE799" s="14"/>
      <c r="AF799" s="14"/>
      <c r="AG799" s="1394"/>
      <c r="AH799" s="1861"/>
      <c r="AI799" s="1520">
        <v>450</v>
      </c>
      <c r="AJ799" s="1521">
        <v>1230</v>
      </c>
      <c r="AK799" s="1521">
        <v>220</v>
      </c>
      <c r="AL799" s="1522">
        <v>95</v>
      </c>
      <c r="AM799" s="6761"/>
      <c r="AN799" s="1740"/>
      <c r="AO799" s="1523"/>
      <c r="AP799" s="1524">
        <f>AL806</f>
        <v>54</v>
      </c>
      <c r="AR799" s="14"/>
      <c r="AS799" s="9"/>
      <c r="AT799" s="9"/>
      <c r="AU799" s="9"/>
      <c r="AV799" s="14"/>
      <c r="AW799" s="14"/>
      <c r="AX799" s="14"/>
      <c r="AY799" s="14"/>
      <c r="AZ799" s="14"/>
      <c r="BA799" s="14"/>
      <c r="BB799" s="1394" t="str">
        <f>IF(ISBLANK(BC799),"",LARGE(BB795:BB798,1)+1)</f>
        <v/>
      </c>
      <c r="BC799" s="1861"/>
      <c r="BD799" s="1853">
        <v>450</v>
      </c>
      <c r="BE799" s="1521">
        <v>1230</v>
      </c>
      <c r="BF799" s="1521">
        <v>220</v>
      </c>
      <c r="BG799" s="1522">
        <v>95</v>
      </c>
      <c r="BH799" s="6761"/>
      <c r="BI799" s="1740"/>
      <c r="BJ799" s="1523"/>
      <c r="BK799" s="1524">
        <f>BG806</f>
        <v>54</v>
      </c>
      <c r="BM799" s="3">
        <v>1</v>
      </c>
    </row>
    <row r="800" spans="2:65" ht="21" customHeight="1">
      <c r="B800" s="14"/>
      <c r="C800" s="9"/>
      <c r="D800" s="9"/>
      <c r="E800" s="9"/>
      <c r="F800" s="14"/>
      <c r="G800" s="14"/>
      <c r="H800" s="14"/>
      <c r="I800" s="14"/>
      <c r="J800" s="14"/>
      <c r="K800" s="14"/>
      <c r="L800" s="1394" t="str">
        <f>IF(ISBLANK(M800),"",LARGE(L795:L799,1)+1)</f>
        <v/>
      </c>
      <c r="M800" s="1862"/>
      <c r="N800" s="1854">
        <v>0.5</v>
      </c>
      <c r="O800" s="1526">
        <v>0.75</v>
      </c>
      <c r="P800" s="1526">
        <v>1</v>
      </c>
      <c r="Q800" s="1526">
        <v>1</v>
      </c>
      <c r="R800" s="6750" t="s">
        <v>8188</v>
      </c>
      <c r="S800" s="1741"/>
      <c r="T800" s="1527">
        <f>O800*O799</f>
        <v>922.5</v>
      </c>
      <c r="U800" s="1528" t="str">
        <f>O801</f>
        <v>escalopes</v>
      </c>
      <c r="W800" s="14"/>
      <c r="X800" s="9"/>
      <c r="Y800" s="9"/>
      <c r="Z800" s="9"/>
      <c r="AA800" s="14"/>
      <c r="AB800" s="14"/>
      <c r="AC800" s="14"/>
      <c r="AD800" s="14"/>
      <c r="AE800" s="14"/>
      <c r="AF800" s="14"/>
      <c r="AG800" s="1394"/>
      <c r="AH800" s="1862"/>
      <c r="AI800" s="1525">
        <v>0.5</v>
      </c>
      <c r="AJ800" s="1526">
        <v>0.75</v>
      </c>
      <c r="AK800" s="1526">
        <v>1</v>
      </c>
      <c r="AL800" s="1526">
        <v>1</v>
      </c>
      <c r="AM800" s="6750" t="s">
        <v>8213</v>
      </c>
      <c r="AN800" s="1741"/>
      <c r="AO800" s="1527">
        <f>AJ800*AJ799</f>
        <v>922.5</v>
      </c>
      <c r="AP800" s="1528" t="str">
        <f>AJ801</f>
        <v>escalopes</v>
      </c>
      <c r="AR800" s="14"/>
      <c r="AS800" s="9"/>
      <c r="AT800" s="9"/>
      <c r="AU800" s="9"/>
      <c r="AV800" s="14"/>
      <c r="AW800" s="14"/>
      <c r="AX800" s="14"/>
      <c r="AY800" s="14"/>
      <c r="AZ800" s="14"/>
      <c r="BA800" s="14"/>
      <c r="BB800" s="1394" t="str">
        <f>IF(ISBLANK(BC800),"",LARGE(BB795:BB799,1)+1)</f>
        <v/>
      </c>
      <c r="BC800" s="1862"/>
      <c r="BD800" s="1854">
        <v>0.5</v>
      </c>
      <c r="BE800" s="1526">
        <v>0.75</v>
      </c>
      <c r="BF800" s="1526">
        <v>1</v>
      </c>
      <c r="BG800" s="1526">
        <v>1</v>
      </c>
      <c r="BH800" s="6750" t="s">
        <v>8188</v>
      </c>
      <c r="BI800" s="1741"/>
      <c r="BJ800" s="1527">
        <f>BE800*BE799</f>
        <v>922.5</v>
      </c>
      <c r="BK800" s="1528" t="str">
        <f>BE801</f>
        <v>escalopes</v>
      </c>
      <c r="BM800" s="3">
        <v>1</v>
      </c>
    </row>
    <row r="801" spans="1:67" ht="21" customHeight="1">
      <c r="B801" s="14"/>
      <c r="C801" s="9"/>
      <c r="D801" s="9"/>
      <c r="E801" s="9"/>
      <c r="F801" s="14"/>
      <c r="G801" s="14"/>
      <c r="H801" s="14"/>
      <c r="I801" s="14"/>
      <c r="J801" s="14"/>
      <c r="K801" s="14"/>
      <c r="L801" s="1394" t="str">
        <f>IF(ISBLANK(M801),"",LARGE(L795:L800,1)+1)</f>
        <v/>
      </c>
      <c r="M801" s="1863"/>
      <c r="N801" s="1855" t="str">
        <f>R796</f>
        <v>escalopes</v>
      </c>
      <c r="O801" s="1530" t="str">
        <f>R796</f>
        <v>escalopes</v>
      </c>
      <c r="P801" s="1530" t="str">
        <f>R796</f>
        <v>escalopes</v>
      </c>
      <c r="Q801" s="1530" t="str">
        <f>R796</f>
        <v>escalopes</v>
      </c>
      <c r="R801" s="6751"/>
      <c r="S801" s="1742"/>
      <c r="T801" s="1531"/>
      <c r="U801" s="1532">
        <f>Q807</f>
        <v>147.6</v>
      </c>
      <c r="W801" s="14"/>
      <c r="X801" s="9"/>
      <c r="Y801" s="9"/>
      <c r="Z801" s="9"/>
      <c r="AA801" s="14"/>
      <c r="AB801" s="14"/>
      <c r="AC801" s="14"/>
      <c r="AD801" s="14"/>
      <c r="AE801" s="14"/>
      <c r="AF801" s="14"/>
      <c r="AG801" s="1394"/>
      <c r="AH801" s="1863"/>
      <c r="AI801" s="1529" t="str">
        <f>AM796</f>
        <v>escalopes</v>
      </c>
      <c r="AJ801" s="1530" t="str">
        <f>AM796</f>
        <v>escalopes</v>
      </c>
      <c r="AK801" s="1530" t="str">
        <f>AM796</f>
        <v>escalopes</v>
      </c>
      <c r="AL801" s="1530" t="str">
        <f>AM796</f>
        <v>escalopes</v>
      </c>
      <c r="AM801" s="6751"/>
      <c r="AN801" s="1742"/>
      <c r="AO801" s="1531"/>
      <c r="AP801" s="1532">
        <f>AL807</f>
        <v>147.6</v>
      </c>
      <c r="AR801" s="14"/>
      <c r="AS801" s="9"/>
      <c r="AT801" s="9"/>
      <c r="AU801" s="9"/>
      <c r="AV801" s="14"/>
      <c r="AW801" s="14"/>
      <c r="AX801" s="14"/>
      <c r="AY801" s="14"/>
      <c r="AZ801" s="14"/>
      <c r="BA801" s="14"/>
      <c r="BB801" s="1394" t="str">
        <f>IF(ISBLANK(BC801),"",LARGE(BB795:BB800,1)+1)</f>
        <v/>
      </c>
      <c r="BC801" s="1863"/>
      <c r="BD801" s="1855" t="str">
        <f>BH796</f>
        <v>escalopes</v>
      </c>
      <c r="BE801" s="1530" t="str">
        <f>BH796</f>
        <v>escalopes</v>
      </c>
      <c r="BF801" s="1530" t="str">
        <f>BH796</f>
        <v>escalopes</v>
      </c>
      <c r="BG801" s="1530" t="str">
        <f>BH796</f>
        <v>escalopes</v>
      </c>
      <c r="BH801" s="6751"/>
      <c r="BI801" s="1742"/>
      <c r="BJ801" s="1531"/>
      <c r="BK801" s="1532">
        <f>BG807</f>
        <v>147.6</v>
      </c>
      <c r="BM801" s="3">
        <v>1</v>
      </c>
    </row>
    <row r="802" spans="1:67" ht="21" customHeight="1">
      <c r="B802" s="14"/>
      <c r="C802" s="9"/>
      <c r="D802" s="9"/>
      <c r="E802" s="9"/>
      <c r="F802" s="14"/>
      <c r="G802" s="14"/>
      <c r="H802" s="14"/>
      <c r="I802" s="14"/>
      <c r="J802" s="14"/>
      <c r="K802" s="14"/>
      <c r="L802" s="1394" t="str">
        <f>IF(ISBLANK(M802),"",LARGE(L795:L801,1)+1)</f>
        <v/>
      </c>
      <c r="M802" s="1864"/>
      <c r="N802" s="1856">
        <f>N800*N799</f>
        <v>225</v>
      </c>
      <c r="O802" s="1534">
        <f>O800*O799</f>
        <v>922.5</v>
      </c>
      <c r="P802" s="1534">
        <f>P800*P799</f>
        <v>220</v>
      </c>
      <c r="Q802" s="1534">
        <f>Q800*Q799</f>
        <v>95</v>
      </c>
      <c r="R802" s="6752" t="s">
        <v>8189</v>
      </c>
      <c r="S802" s="1743"/>
      <c r="T802" s="1535">
        <f>P800*P799</f>
        <v>220</v>
      </c>
      <c r="U802" s="1536" t="str">
        <f>P801</f>
        <v>escalopes</v>
      </c>
      <c r="W802" s="14"/>
      <c r="X802" s="9"/>
      <c r="Y802" s="9"/>
      <c r="Z802" s="9"/>
      <c r="AA802" s="14"/>
      <c r="AB802" s="14"/>
      <c r="AC802" s="14"/>
      <c r="AD802" s="14"/>
      <c r="AE802" s="14"/>
      <c r="AF802" s="14"/>
      <c r="AG802" s="1394"/>
      <c r="AH802" s="1864"/>
      <c r="AI802" s="1533">
        <f>AI800*AI799</f>
        <v>225</v>
      </c>
      <c r="AJ802" s="1534">
        <f>AJ800*AJ799</f>
        <v>922.5</v>
      </c>
      <c r="AK802" s="1534">
        <f>AK800*AK799</f>
        <v>220</v>
      </c>
      <c r="AL802" s="1534">
        <f>AL800*AL799</f>
        <v>95</v>
      </c>
      <c r="AM802" s="6752" t="s">
        <v>8214</v>
      </c>
      <c r="AN802" s="1743"/>
      <c r="AO802" s="1535">
        <f>AK800*AK799</f>
        <v>220</v>
      </c>
      <c r="AP802" s="1536" t="str">
        <f>AK801</f>
        <v>escalopes</v>
      </c>
      <c r="AR802" s="14"/>
      <c r="AS802" s="9"/>
      <c r="AT802" s="9"/>
      <c r="AU802" s="9"/>
      <c r="AV802" s="14"/>
      <c r="AW802" s="14"/>
      <c r="AX802" s="14"/>
      <c r="AY802" s="14"/>
      <c r="AZ802" s="14"/>
      <c r="BA802" s="14"/>
      <c r="BB802" s="1394" t="str">
        <f>IF(ISBLANK(BC802),"",LARGE(BB795:BB801,1)+1)</f>
        <v/>
      </c>
      <c r="BC802" s="1864"/>
      <c r="BD802" s="1856">
        <f>BD800*BD799</f>
        <v>225</v>
      </c>
      <c r="BE802" s="1534">
        <f>BE800*BE799</f>
        <v>922.5</v>
      </c>
      <c r="BF802" s="1534">
        <f>BF800*BF799</f>
        <v>220</v>
      </c>
      <c r="BG802" s="1534">
        <f>BG800*BG799</f>
        <v>95</v>
      </c>
      <c r="BH802" s="6752" t="s">
        <v>8189</v>
      </c>
      <c r="BI802" s="1743"/>
      <c r="BJ802" s="1535">
        <f>BF800*BF799</f>
        <v>220</v>
      </c>
      <c r="BK802" s="1536" t="str">
        <f>BF801</f>
        <v>escalopes</v>
      </c>
      <c r="BM802" s="3">
        <v>1</v>
      </c>
    </row>
    <row r="803" spans="1:67" ht="21" customHeight="1">
      <c r="B803" s="14"/>
      <c r="C803" s="9"/>
      <c r="D803" s="9"/>
      <c r="E803" s="9"/>
      <c r="F803" s="14"/>
      <c r="G803" s="14"/>
      <c r="H803" s="14"/>
      <c r="I803" s="14"/>
      <c r="J803" s="14"/>
      <c r="K803" s="14"/>
      <c r="L803" s="1394" t="str">
        <f>IF(ISBLANK(M803),"",LARGE(L795:L802,1)+1)</f>
        <v/>
      </c>
      <c r="M803" s="1537"/>
      <c r="N803" s="1857"/>
      <c r="O803" s="1538">
        <f>IFERROR(SUM(N799:Q799),0)</f>
        <v>1995</v>
      </c>
      <c r="P803" s="479" t="s">
        <v>8190</v>
      </c>
      <c r="Q803" s="1539"/>
      <c r="R803" s="6753"/>
      <c r="S803" s="1744"/>
      <c r="T803" s="1540"/>
      <c r="U803" s="1541">
        <f>Q808</f>
        <v>26.4</v>
      </c>
      <c r="W803" s="14"/>
      <c r="X803" s="9"/>
      <c r="Y803" s="9"/>
      <c r="Z803" s="9"/>
      <c r="AA803" s="14"/>
      <c r="AB803" s="14"/>
      <c r="AC803" s="14"/>
      <c r="AD803" s="14"/>
      <c r="AE803" s="14"/>
      <c r="AF803" s="14"/>
      <c r="AG803" s="1394"/>
      <c r="AH803" s="1537"/>
      <c r="AI803" s="1537"/>
      <c r="AJ803" s="1538">
        <f>IFERROR(SUM(AI799:AL799),0)</f>
        <v>1995</v>
      </c>
      <c r="AK803" s="479" t="s">
        <v>8211</v>
      </c>
      <c r="AL803" s="1539"/>
      <c r="AM803" s="6753"/>
      <c r="AN803" s="1744"/>
      <c r="AO803" s="1540"/>
      <c r="AP803" s="1541">
        <f>AL808</f>
        <v>26.4</v>
      </c>
      <c r="AR803" s="14"/>
      <c r="AS803" s="9"/>
      <c r="AT803" s="9"/>
      <c r="AU803" s="9"/>
      <c r="AV803" s="14"/>
      <c r="AW803" s="14"/>
      <c r="AX803" s="14"/>
      <c r="AY803" s="14"/>
      <c r="AZ803" s="14"/>
      <c r="BA803" s="14"/>
      <c r="BB803" s="1394" t="str">
        <f>IF(ISBLANK(BC803),"",LARGE(BB795:BB802,1)+1)</f>
        <v/>
      </c>
      <c r="BC803" s="1537"/>
      <c r="BD803" s="1857"/>
      <c r="BE803" s="1538">
        <f>IFERROR(SUM(BD799:BG799),0)</f>
        <v>1995</v>
      </c>
      <c r="BF803" s="479" t="s">
        <v>8190</v>
      </c>
      <c r="BG803" s="1539"/>
      <c r="BH803" s="6753"/>
      <c r="BI803" s="1744"/>
      <c r="BJ803" s="1540"/>
      <c r="BK803" s="1541">
        <f>BG808</f>
        <v>26.4</v>
      </c>
      <c r="BM803" s="3">
        <v>1</v>
      </c>
    </row>
    <row r="804" spans="1:67" ht="21" customHeight="1">
      <c r="B804" s="14"/>
      <c r="C804" s="9"/>
      <c r="D804" s="9"/>
      <c r="E804" s="9"/>
      <c r="F804" s="14"/>
      <c r="G804" s="14"/>
      <c r="H804" s="14"/>
      <c r="I804" s="14"/>
      <c r="J804" s="14"/>
      <c r="K804" s="14"/>
      <c r="L804" s="1394" t="str">
        <f>IF(ISBLANK(M804),"",LARGE(L795:L803,1)+1)</f>
        <v/>
      </c>
      <c r="M804" s="1542"/>
      <c r="N804" s="1858">
        <f>Q810</f>
        <v>239.4</v>
      </c>
      <c r="O804" s="1543">
        <f>IFERROR(SUM(T798,T800,T802,T804),0)</f>
        <v>1462.5</v>
      </c>
      <c r="P804" s="479" t="str">
        <f>R796</f>
        <v>escalopes</v>
      </c>
      <c r="Q804" s="1544"/>
      <c r="R804" s="6754" t="s">
        <v>8191</v>
      </c>
      <c r="S804" s="1745"/>
      <c r="T804" s="1545">
        <f>Q800*Q799</f>
        <v>95</v>
      </c>
      <c r="U804" s="1546" t="str">
        <f>Q801</f>
        <v>escalopes</v>
      </c>
      <c r="W804" s="14"/>
      <c r="X804" s="9"/>
      <c r="Y804" s="9"/>
      <c r="Z804" s="9"/>
      <c r="AA804" s="14"/>
      <c r="AB804" s="14"/>
      <c r="AC804" s="14"/>
      <c r="AD804" s="14"/>
      <c r="AE804" s="14"/>
      <c r="AF804" s="14"/>
      <c r="AG804" s="1394"/>
      <c r="AH804" s="1542"/>
      <c r="AI804" s="1542">
        <f>AL810</f>
        <v>239.4</v>
      </c>
      <c r="AJ804" s="1543">
        <f>IFERROR(SUM(AO798,AO800,AO802,AO804),0)</f>
        <v>1462.5</v>
      </c>
      <c r="AK804" s="479" t="str">
        <f>AM796</f>
        <v>escalopes</v>
      </c>
      <c r="AL804" s="1544"/>
      <c r="AM804" s="6754" t="s">
        <v>8215</v>
      </c>
      <c r="AN804" s="1745"/>
      <c r="AO804" s="1545">
        <f>AL800*AL799</f>
        <v>95</v>
      </c>
      <c r="AP804" s="1546" t="str">
        <f>AL801</f>
        <v>escalopes</v>
      </c>
      <c r="AR804" s="14"/>
      <c r="AS804" s="9"/>
      <c r="AT804" s="9"/>
      <c r="AU804" s="9"/>
      <c r="AV804" s="14"/>
      <c r="AW804" s="14"/>
      <c r="AX804" s="14"/>
      <c r="AY804" s="14"/>
      <c r="AZ804" s="14"/>
      <c r="BA804" s="14"/>
      <c r="BB804" s="1394" t="str">
        <f>IF(ISBLANK(BC804),"",LARGE(BB795:BB803,1)+1)</f>
        <v/>
      </c>
      <c r="BC804" s="1542"/>
      <c r="BD804" s="1858">
        <f>BG810</f>
        <v>239.4</v>
      </c>
      <c r="BE804" s="1543">
        <f>IFERROR(SUM(BJ798,BJ800,BJ802,BJ804),0)</f>
        <v>1462.5</v>
      </c>
      <c r="BF804" s="479" t="str">
        <f>BH796</f>
        <v>escalopes</v>
      </c>
      <c r="BG804" s="1544"/>
      <c r="BH804" s="6754" t="s">
        <v>8191</v>
      </c>
      <c r="BI804" s="1745"/>
      <c r="BJ804" s="1545">
        <f>BG800*BG799</f>
        <v>95</v>
      </c>
      <c r="BK804" s="1546" t="str">
        <f>BG801</f>
        <v>escalopes</v>
      </c>
      <c r="BM804" s="3">
        <v>1</v>
      </c>
    </row>
    <row r="805" spans="1:67" ht="21" customHeight="1">
      <c r="B805" s="14"/>
      <c r="C805" s="9"/>
      <c r="D805" s="9"/>
      <c r="E805" s="9"/>
      <c r="F805" s="14"/>
      <c r="G805" s="14"/>
      <c r="H805" s="14"/>
      <c r="I805" s="14"/>
      <c r="J805" s="14"/>
      <c r="K805" s="14"/>
      <c r="L805" s="1394" t="str">
        <f>IF(ISBLANK(M805),"",LARGE(L795:L804,1)+1)</f>
        <v/>
      </c>
      <c r="M805" s="1547"/>
      <c r="N805" s="1859" t="str">
        <f>"Saisissez ①②③④⑤⑥⑦ plus effectifs ligne "&amp;ROW(N799)&amp;" et quantité ligne " &amp; ROW(N800)</f>
        <v>Saisissez ①②③④⑤⑥⑦ plus effectifs ligne 799 et quantité ligne 800</v>
      </c>
      <c r="O805" s="1548"/>
      <c r="P805" s="507"/>
      <c r="Q805" s="1549"/>
      <c r="R805" s="6755"/>
      <c r="S805" s="1746"/>
      <c r="T805" s="1550"/>
      <c r="U805" s="1551">
        <f>Q809</f>
        <v>11.4</v>
      </c>
      <c r="W805" s="14"/>
      <c r="X805" s="9"/>
      <c r="Y805" s="9"/>
      <c r="Z805" s="9"/>
      <c r="AA805" s="14"/>
      <c r="AB805" s="14"/>
      <c r="AC805" s="14"/>
      <c r="AD805" s="14"/>
      <c r="AE805" s="14"/>
      <c r="AF805" s="14"/>
      <c r="AG805" s="1394"/>
      <c r="AH805" s="1547"/>
      <c r="AI805" s="1547" t="str">
        <f>"Ingrese  ①②③④⑤⑥⑦ más los efectivos en la fila  "&amp;ROW(AI799)&amp;" y las cantidades en la fila " &amp; ROW(AI800)</f>
        <v>Ingrese  ①②③④⑤⑥⑦ más los efectivos en la fila  799 y las cantidades en la fila 800</v>
      </c>
      <c r="AJ805" s="1548"/>
      <c r="AK805" s="507"/>
      <c r="AL805" s="1549"/>
      <c r="AM805" s="6755"/>
      <c r="AN805" s="1746"/>
      <c r="AO805" s="1550"/>
      <c r="AP805" s="1551">
        <f>AL809</f>
        <v>11.4</v>
      </c>
      <c r="AR805" s="14"/>
      <c r="AS805" s="9"/>
      <c r="AT805" s="9"/>
      <c r="AU805" s="9"/>
      <c r="AV805" s="14"/>
      <c r="AW805" s="14"/>
      <c r="AX805" s="14"/>
      <c r="AY805" s="14"/>
      <c r="AZ805" s="14"/>
      <c r="BA805" s="14"/>
      <c r="BB805" s="1394" t="str">
        <f>IF(ISBLANK(BC805),"",LARGE(BB795:BB804,1)+1)</f>
        <v/>
      </c>
      <c r="BC805" s="1547"/>
      <c r="BD805" s="1859" t="str">
        <f>"Saisissez ①②③④⑤⑥⑦ plus effectifs ligne "&amp;ROW(BD799)&amp;" et quantité ligne " &amp; ROW(BD800)</f>
        <v>Saisissez ①②③④⑤⑥⑦ plus effectifs ligne 799 et quantité ligne 800</v>
      </c>
      <c r="BE805" s="1548"/>
      <c r="BF805" s="507"/>
      <c r="BG805" s="1549"/>
      <c r="BH805" s="6755"/>
      <c r="BI805" s="1746"/>
      <c r="BJ805" s="1550"/>
      <c r="BK805" s="1551">
        <f>BG809</f>
        <v>11.4</v>
      </c>
      <c r="BM805" s="3">
        <v>1</v>
      </c>
    </row>
    <row r="806" spans="1:67" ht="21" customHeight="1">
      <c r="B806" s="14"/>
      <c r="C806" s="9"/>
      <c r="D806" s="9"/>
      <c r="E806" s="9"/>
      <c r="F806" s="14"/>
      <c r="G806" s="14"/>
      <c r="H806" s="14"/>
      <c r="I806" s="14"/>
      <c r="J806" s="14"/>
      <c r="K806" s="14"/>
      <c r="L806" s="1394" t="str">
        <f>IF(ISBLANK(M806),"",LARGE(L795:L805,1)+1)</f>
        <v/>
      </c>
      <c r="M806" s="1846"/>
      <c r="N806" s="1553" t="str">
        <f>IF(OR(R795="",N802=0),"",INT(N802/R795) &amp; " " &amp; O796 &amp; " de " &amp; R795 &amp; " " &amp; R796 &amp; IF(MOD(N802,R795)&gt;0," + 1 " &amp; O796 &amp; " de " &amp; TEXT(MOD(N802,R795),"0.00") &amp; " " &amp; R796,""))</f>
        <v>9 Gastro 1/1 de 25 escalopes</v>
      </c>
      <c r="O806" s="1553"/>
      <c r="P806" s="1554"/>
      <c r="Q806" s="1555">
        <f>(Q797*N799)/1000</f>
        <v>54</v>
      </c>
      <c r="R806" s="1556" t="str">
        <f>IF(OR(Q806&lt;=0,R797&lt;=0),"",_xlfn.LET(_xlpm.n,ROUND(Q806/R797,9),_xlpm.q,INT(_xlpm.n),_xlpm.r,ROUND(Q806-_xlpm.q*R797,9),_xlpm.base,_xlpm.q&amp;" "&amp;O796&amp;" de "&amp;TEXT(R797,"0.000")&amp;" kg",IF(_xlpm.r&lt;=0.000000001,_xlpm.base,_xlpm.base&amp;" + 1 "&amp;O796&amp;" de "&amp;TEXT(_xlpm.r,"0.000")&amp;" kg")))</f>
        <v>20 Gastro 1/1 de 2.700 kg</v>
      </c>
      <c r="S806" s="1556"/>
      <c r="T806" s="1557"/>
      <c r="U806" s="1558"/>
      <c r="W806" s="14"/>
      <c r="X806" s="9"/>
      <c r="Y806" s="9"/>
      <c r="Z806" s="9"/>
      <c r="AA806" s="14"/>
      <c r="AB806" s="14"/>
      <c r="AC806" s="14"/>
      <c r="AD806" s="14"/>
      <c r="AE806" s="14"/>
      <c r="AF806" s="14"/>
      <c r="AG806" s="1394"/>
      <c r="AH806" s="1552"/>
      <c r="AI806" s="1552" t="str">
        <f>IF(OR(AM795="",AI802=0),"",INT(AI802/AM795) &amp; " " &amp; AJ796 &amp; " de " &amp; AM795 &amp; " " &amp; AM796 &amp; IF(MOD(AI802,AM795)&gt;0," + 1 " &amp; AJ796 &amp; " de " &amp; TEXT(MOD(AI802,AM795),"0.00") &amp; " " &amp; AM796,""))</f>
        <v>9 Gastro 1/1 de 25 escalopes</v>
      </c>
      <c r="AJ806" s="1553"/>
      <c r="AK806" s="1554"/>
      <c r="AL806" s="1555">
        <f>(AL797*AI799)/1000</f>
        <v>54</v>
      </c>
      <c r="AM806" s="1556" t="str">
        <f>IF(OR(AL806&lt;=0,AM797&lt;=0),"",_xlfn.LET(_xlpm.n,ROUND(AL806/AM797,9),_xlpm.q,INT(_xlpm.n),_xlpm.r,ROUND(AL806-_xlpm.q*AM797,9),_xlpm.base,_xlpm.q&amp;" "&amp;AJ796&amp;" de "&amp;TEXT(AM797,"0.000")&amp;" kg",IF(_xlpm.r&lt;=0.000000001,_xlpm.base,_xlpm.base&amp;" + 1 "&amp;AJ796&amp;" de "&amp;TEXT(_xlpm.r,"0.000")&amp;" kg")))</f>
        <v>20 Gastro 1/1 de 2.700 kg</v>
      </c>
      <c r="AN806" s="1556"/>
      <c r="AO806" s="1557"/>
      <c r="AP806" s="1558"/>
      <c r="AR806" s="14"/>
      <c r="AS806" s="9"/>
      <c r="AT806" s="9"/>
      <c r="AU806" s="9"/>
      <c r="AV806" s="14"/>
      <c r="AW806" s="14"/>
      <c r="AX806" s="14"/>
      <c r="AY806" s="14"/>
      <c r="AZ806" s="14"/>
      <c r="BA806" s="14"/>
      <c r="BB806" s="1394" t="str">
        <f>IF(ISBLANK(BC806),"",LARGE(BB795:BB805,1)+1)</f>
        <v/>
      </c>
      <c r="BC806" s="1846"/>
      <c r="BD806" s="1553" t="str">
        <f>IF(OR(BH795="",BD802=0),"",INT(BD802/BH795) &amp; " " &amp; BE796 &amp; " de " &amp; BH795 &amp; " " &amp; BH796 &amp; IF(MOD(BD802,BH795)&gt;0," + 1 " &amp; BE796 &amp; " de " &amp; TEXT(MOD(BD802,BH795),"0.00") &amp; " " &amp; BH796,""))</f>
        <v>9 Gastro 1/1 de 25 escalopes</v>
      </c>
      <c r="BE806" s="1553"/>
      <c r="BF806" s="1554"/>
      <c r="BG806" s="1555">
        <f>(BG797*BD799)/1000</f>
        <v>54</v>
      </c>
      <c r="BH806" s="1556" t="str">
        <f>IF(OR(BG806&lt;=0,BH797&lt;=0),"",_xlfn.LET(_xlpm.n,ROUND(BG806/BH797,9),_xlpm.q,INT(_xlpm.n),_xlpm.r,ROUND(BG806-_xlpm.q*BH797,9),_xlpm.base,_xlpm.q&amp;" "&amp;BE796&amp;" de "&amp;TEXT(BH797,"0.000")&amp;" kg",IF(_xlpm.r&lt;=0.000000001,_xlpm.base,_xlpm.base&amp;" + 1 "&amp;BE796&amp;" de "&amp;TEXT(_xlpm.r,"0.000")&amp;" kg")))</f>
        <v>20 Gastro 1/1 de 2.700 kg</v>
      </c>
      <c r="BI806" s="1556"/>
      <c r="BJ806" s="1557"/>
      <c r="BK806" s="1558"/>
      <c r="BM806" s="3">
        <v>1</v>
      </c>
    </row>
    <row r="807" spans="1:67" ht="21" customHeight="1">
      <c r="B807" s="14"/>
      <c r="C807" s="9"/>
      <c r="D807" s="9"/>
      <c r="E807" s="9"/>
      <c r="F807" s="14"/>
      <c r="G807" s="14"/>
      <c r="H807" s="14"/>
      <c r="I807" s="14"/>
      <c r="J807" s="14"/>
      <c r="K807" s="14"/>
      <c r="L807" s="1394" t="str">
        <f>IF(ISBLANK(M807),"",LARGE(L795:L806,1)+1)</f>
        <v/>
      </c>
      <c r="M807" s="1847"/>
      <c r="N807" s="1560" t="str">
        <f>IF(OR(R795="",O802=0),"",INT(O802/R795) &amp; " " &amp; O796 &amp; " de " &amp; R795 &amp; " " &amp; R796 &amp; IF(MOD(O802,R795)&gt;0," + 1 " &amp; O796 &amp; " de " &amp; TEXT(MOD(O802,R795),"0.00") &amp; " " &amp; R796,""))</f>
        <v>36 Gastro 1/1 de 25 escalopes + 1 Gastro 1/1 de 22.50 escalopes</v>
      </c>
      <c r="O807" s="1560"/>
      <c r="P807" s="1561"/>
      <c r="Q807" s="1562">
        <f>(Q797*O799)/1000</f>
        <v>147.6</v>
      </c>
      <c r="R807" s="1563" t="str">
        <f>IF(OR(Q807&lt;=0,R797&lt;=0),"",_xlfn.LET(_xlpm.n,ROUND(Q807/R797,9),_xlpm.q,INT(_xlpm.n),_xlpm.r,ROUND(Q807-_xlpm.q*R797,9),_xlpm.base,_xlpm.q&amp;" "&amp;O796&amp;" de "&amp;TEXT(R797,"0.000")&amp;" kg",IF(_xlpm.r&lt;=0.000000001,_xlpm.base,_xlpm.base&amp;" + 1 "&amp;O796&amp;" de "&amp;TEXT(_xlpm.r,"0.000")&amp;" kg")))</f>
        <v>54 Gastro 1/1 de 2.700 kg + 1 Gastro 1/1 de 1.800 kg</v>
      </c>
      <c r="S807" s="1563"/>
      <c r="T807" s="1564"/>
      <c r="U807" s="1565"/>
      <c r="W807" s="14"/>
      <c r="X807" s="9"/>
      <c r="Y807" s="9"/>
      <c r="Z807" s="9"/>
      <c r="AA807" s="14"/>
      <c r="AB807" s="14"/>
      <c r="AC807" s="14"/>
      <c r="AD807" s="14"/>
      <c r="AE807" s="14"/>
      <c r="AF807" s="14"/>
      <c r="AG807" s="1394"/>
      <c r="AH807" s="1559"/>
      <c r="AI807" s="1559" t="str">
        <f>IF(OR(AM795="",AJ802=0),"",INT(AJ802/AM795) &amp; " " &amp; AJ796 &amp; " de " &amp; AM795 &amp; " " &amp; AM796 &amp; IF(MOD(AJ802,AM795)&gt;0," + 1 " &amp; AJ796 &amp; " de " &amp; TEXT(MOD(AJ802,AM795),"0.00") &amp; " " &amp; AM796,""))</f>
        <v>36 Gastro 1/1 de 25 escalopes + 1 Gastro 1/1 de 22.50 escalopes</v>
      </c>
      <c r="AJ807" s="1560"/>
      <c r="AK807" s="1561"/>
      <c r="AL807" s="1562">
        <f>(AL797*AJ799)/1000</f>
        <v>147.6</v>
      </c>
      <c r="AM807" s="1563" t="str">
        <f>IF(OR(AL807&lt;=0,AM797&lt;=0),"",_xlfn.LET(_xlpm.n,ROUND(AL807/AM797,9),_xlpm.q,INT(_xlpm.n),_xlpm.r,ROUND(AL807-_xlpm.q*AM797,9),_xlpm.base,_xlpm.q&amp;" "&amp;AJ796&amp;" de "&amp;TEXT(AM797,"0.000")&amp;" kg",IF(_xlpm.r&lt;=0.000000001,_xlpm.base,_xlpm.base&amp;" + 1 "&amp;AJ796&amp;" de "&amp;TEXT(_xlpm.r,"0.000")&amp;" kg")))</f>
        <v>54 Gastro 1/1 de 2.700 kg + 1 Gastro 1/1 de 1.800 kg</v>
      </c>
      <c r="AN807" s="1563"/>
      <c r="AO807" s="1564"/>
      <c r="AP807" s="1565"/>
      <c r="AR807" s="14"/>
      <c r="AS807" s="9"/>
      <c r="AT807" s="9"/>
      <c r="AU807" s="9"/>
      <c r="AV807" s="14"/>
      <c r="AW807" s="14"/>
      <c r="AX807" s="14"/>
      <c r="AY807" s="14"/>
      <c r="AZ807" s="14"/>
      <c r="BA807" s="14"/>
      <c r="BB807" s="1394" t="str">
        <f>IF(ISBLANK(BC807),"",LARGE(BB795:BB806,1)+1)</f>
        <v/>
      </c>
      <c r="BC807" s="1847"/>
      <c r="BD807" s="1560" t="str">
        <f>IF(OR(BH795="",BE802=0),"",INT(BE802/BH795) &amp; " " &amp; BE796 &amp; " de " &amp; BH795 &amp; " " &amp; BH796 &amp; IF(MOD(BE802,BH795)&gt;0," + 1 " &amp; BE796 &amp; " de " &amp; TEXT(MOD(BE802,BH795),"0.00") &amp; " " &amp; BH796,""))</f>
        <v>36 Gastro 1/1 de 25 escalopes + 1 Gastro 1/1 de 22.50 escalopes</v>
      </c>
      <c r="BE807" s="1560"/>
      <c r="BF807" s="1561"/>
      <c r="BG807" s="1562">
        <f>(BG797*BE799)/1000</f>
        <v>147.6</v>
      </c>
      <c r="BH807" s="1563" t="str">
        <f>IF(OR(BG807&lt;=0,BH797&lt;=0),"",_xlfn.LET(_xlpm.n,ROUND(BG807/BH797,9),_xlpm.q,INT(_xlpm.n),_xlpm.r,ROUND(BG807-_xlpm.q*BH797,9),_xlpm.base,_xlpm.q&amp;" "&amp;BE796&amp;" de "&amp;TEXT(BH797,"0.000")&amp;" kg",IF(_xlpm.r&lt;=0.000000001,_xlpm.base,_xlpm.base&amp;" + 1 "&amp;BE796&amp;" de "&amp;TEXT(_xlpm.r,"0.000")&amp;" kg")))</f>
        <v>54 Gastro 1/1 de 2.700 kg + 1 Gastro 1/1 de 1.800 kg</v>
      </c>
      <c r="BI807" s="1563"/>
      <c r="BJ807" s="1564"/>
      <c r="BK807" s="1565"/>
      <c r="BM807" s="3">
        <v>1</v>
      </c>
    </row>
    <row r="808" spans="1:67" ht="21" customHeight="1">
      <c r="B808" s="14"/>
      <c r="C808" s="9"/>
      <c r="D808" s="9"/>
      <c r="E808" s="9"/>
      <c r="F808" s="14"/>
      <c r="G808" s="14"/>
      <c r="H808" s="14"/>
      <c r="I808" s="14"/>
      <c r="J808" s="14"/>
      <c r="K808" s="14"/>
      <c r="L808" s="1394" t="str">
        <f>IF(ISBLANK(M808),"",LARGE(L795:L807,1)+1)</f>
        <v/>
      </c>
      <c r="M808" s="1848"/>
      <c r="N808" s="1567" t="str">
        <f>IF(OR(R795="",P802=0),"",INT(P802/R795) &amp; " " &amp; O796 &amp; " de " &amp; R795 &amp; " " &amp; R796 &amp; IF(MOD(P802,R795)&gt;0," + 1 " &amp; O796 &amp; " de " &amp; TEXT(MOD(P802,R795),"0.00") &amp; " " &amp; R796,""))</f>
        <v>8 Gastro 1/1 de 25 escalopes + 1 Gastro 1/1 de 20.00 escalopes</v>
      </c>
      <c r="O808" s="1567"/>
      <c r="P808" s="1568"/>
      <c r="Q808" s="1569">
        <f>(Q797*P799)/1000</f>
        <v>26.4</v>
      </c>
      <c r="R808" s="1570" t="str">
        <f>IF(OR(Q808&lt;=0,R797&lt;=0),"",_xlfn.LET(_xlpm.n,ROUND(Q808/R797,9),_xlpm.q,INT(_xlpm.n),_xlpm.r,ROUND(Q808-_xlpm.q*R797,9),_xlpm.base,_xlpm.q&amp;" "&amp;O796&amp;" de "&amp;TEXT(R797,"0.000")&amp;" kg",IF(_xlpm.r&lt;=0.000000001,_xlpm.base,_xlpm.base&amp;" + 1 "&amp;O796&amp;" de "&amp;TEXT(_xlpm.r,"0.000")&amp;" kg")))</f>
        <v>9 Gastro 1/1 de 2.700 kg + 1 Gastro 1/1 de 2.100 kg</v>
      </c>
      <c r="S808" s="1570"/>
      <c r="T808" s="1571"/>
      <c r="U808" s="1572"/>
      <c r="W808" s="14"/>
      <c r="X808" s="9"/>
      <c r="Y808" s="9"/>
      <c r="Z808" s="9"/>
      <c r="AA808" s="14"/>
      <c r="AB808" s="14"/>
      <c r="AC808" s="14"/>
      <c r="AD808" s="14"/>
      <c r="AE808" s="14"/>
      <c r="AF808" s="14"/>
      <c r="AG808" s="1394"/>
      <c r="AH808" s="1566"/>
      <c r="AI808" s="1566" t="str">
        <f>IF(OR(AM795="",AK802=0),"",INT(AK802/AM795) &amp; " " &amp; AJ796 &amp; " de " &amp; AM795 &amp; " " &amp; AM796 &amp; IF(MOD(AK802,AM795)&gt;0," + 1 " &amp; AJ796 &amp; " de " &amp; TEXT(MOD(AK802,AM795),"0.00") &amp; " " &amp; AM796,""))</f>
        <v>8 Gastro 1/1 de 25 escalopes + 1 Gastro 1/1 de 20.00 escalopes</v>
      </c>
      <c r="AJ808" s="1567"/>
      <c r="AK808" s="1568"/>
      <c r="AL808" s="1569">
        <f>(AL797*AK799)/1000</f>
        <v>26.4</v>
      </c>
      <c r="AM808" s="1570" t="str">
        <f>IF(OR(AL808&lt;=0,AM797&lt;=0),"",_xlfn.LET(_xlpm.n,ROUND(AL808/AM797,9),_xlpm.q,INT(_xlpm.n),_xlpm.r,ROUND(AL808-_xlpm.q*AM797,9),_xlpm.base,_xlpm.q&amp;" "&amp;AJ796&amp;" de "&amp;TEXT(AM797,"0.000")&amp;" kg",IF(_xlpm.r&lt;=0.000000001,_xlpm.base,_xlpm.base&amp;" + 1 "&amp;AJ796&amp;" de "&amp;TEXT(_xlpm.r,"0.000")&amp;" kg")))</f>
        <v>9 Gastro 1/1 de 2.700 kg + 1 Gastro 1/1 de 2.100 kg</v>
      </c>
      <c r="AN808" s="1570"/>
      <c r="AO808" s="1571"/>
      <c r="AP808" s="1572"/>
      <c r="AR808" s="14"/>
      <c r="AS808" s="9"/>
      <c r="AT808" s="9"/>
      <c r="AU808" s="9"/>
      <c r="AV808" s="14"/>
      <c r="AW808" s="14"/>
      <c r="AX808" s="14"/>
      <c r="AY808" s="14"/>
      <c r="AZ808" s="14"/>
      <c r="BA808" s="14"/>
      <c r="BB808" s="1394" t="str">
        <f>IF(ISBLANK(BC808),"",LARGE(BB795:BB807,1)+1)</f>
        <v/>
      </c>
      <c r="BC808" s="1848"/>
      <c r="BD808" s="1567" t="str">
        <f>IF(OR(BH795="",BF802=0),"",INT(BF802/BH795) &amp; " " &amp; BE796 &amp; " de " &amp; BH795 &amp; " " &amp; BH796 &amp; IF(MOD(BF802,BH795)&gt;0," + 1 " &amp; BE796 &amp; " de " &amp; TEXT(MOD(BF802,BH795),"0.00") &amp; " " &amp; BH796,""))</f>
        <v>8 Gastro 1/1 de 25 escalopes + 1 Gastro 1/1 de 20.00 escalopes</v>
      </c>
      <c r="BE808" s="1567"/>
      <c r="BF808" s="1568"/>
      <c r="BG808" s="1569">
        <f>(BG797*BF799)/1000</f>
        <v>26.4</v>
      </c>
      <c r="BH808" s="1570" t="str">
        <f>IF(OR(BG808&lt;=0,BH797&lt;=0),"",_xlfn.LET(_xlpm.n,ROUND(BG808/BH797,9),_xlpm.q,INT(_xlpm.n),_xlpm.r,ROUND(BG808-_xlpm.q*BH797,9),_xlpm.base,_xlpm.q&amp;" "&amp;BE796&amp;" de "&amp;TEXT(BH797,"0.000")&amp;" kg",IF(_xlpm.r&lt;=0.000000001,_xlpm.base,_xlpm.base&amp;" + 1 "&amp;BE796&amp;" de "&amp;TEXT(_xlpm.r,"0.000")&amp;" kg")))</f>
        <v>9 Gastro 1/1 de 2.700 kg + 1 Gastro 1/1 de 2.100 kg</v>
      </c>
      <c r="BI808" s="1570"/>
      <c r="BJ808" s="1571"/>
      <c r="BK808" s="1572"/>
      <c r="BM808" s="3">
        <v>1</v>
      </c>
    </row>
    <row r="809" spans="1:67" ht="21" customHeight="1">
      <c r="B809" s="14"/>
      <c r="C809" s="9"/>
      <c r="D809" s="9"/>
      <c r="E809" s="9"/>
      <c r="F809" s="14"/>
      <c r="G809" s="14"/>
      <c r="H809" s="14"/>
      <c r="I809" s="14"/>
      <c r="J809" s="14"/>
      <c r="K809" s="14"/>
      <c r="L809" s="1394" t="str">
        <f>IF(ISBLANK(M809),"",LARGE(L795:L808,1)+1)</f>
        <v/>
      </c>
      <c r="M809" s="1849"/>
      <c r="N809" s="1574" t="str">
        <f>IF(OR(R795="",Q802=0),"",INT(Q802/R795) &amp; " " &amp; O796 &amp; " de " &amp; R795 &amp; " " &amp; R796 &amp; IF(MOD(Q802,R795)&gt;0," + 1 " &amp; O796 &amp; " de " &amp; TEXT(MOD(Q802,R795),"0.00") &amp; " " &amp; R796,""))</f>
        <v>3 Gastro 1/1 de 25 escalopes + 1 Gastro 1/1 de 20.00 escalopes</v>
      </c>
      <c r="O809" s="1574"/>
      <c r="P809" s="1575"/>
      <c r="Q809" s="1576">
        <f>(Q797*Q799)/1000</f>
        <v>11.4</v>
      </c>
      <c r="R809" s="1577" t="str">
        <f>IF(OR(Q809&lt;=0,R797&lt;=0),"",_xlfn.LET(_xlpm.n,ROUND(Q809/R797,9),_xlpm.q,INT(_xlpm.n),_xlpm.r,ROUND(Q809-_xlpm.q*R797,9),_xlpm.base,_xlpm.q&amp;" "&amp;O796&amp;" de "&amp;TEXT(R797,"0.000")&amp;" kg",IF(_xlpm.r&lt;=0.000000001,_xlpm.base,_xlpm.base&amp;" + 1 "&amp;O796&amp;" de "&amp;TEXT(_xlpm.r,"0.000")&amp;" kg")))</f>
        <v>4 Gastro 1/1 de 2.700 kg + 1 Gastro 1/1 de 0.600 kg</v>
      </c>
      <c r="S809" s="1577"/>
      <c r="T809" s="1578"/>
      <c r="U809" s="1579"/>
      <c r="W809" s="14"/>
      <c r="X809" s="9"/>
      <c r="Y809" s="9"/>
      <c r="Z809" s="9"/>
      <c r="AA809" s="14"/>
      <c r="AB809" s="14"/>
      <c r="AC809" s="14"/>
      <c r="AD809" s="14"/>
      <c r="AE809" s="14"/>
      <c r="AF809" s="14"/>
      <c r="AG809" s="1394"/>
      <c r="AH809" s="1573"/>
      <c r="AI809" s="1573" t="str">
        <f>IF(OR(AM795="",AL802=0),"",INT(AL802/AM795) &amp; " " &amp; AJ796 &amp; " de " &amp; AM795 &amp; " " &amp; AM796 &amp; IF(MOD(AL802,AM795)&gt;0," + 1 " &amp; AJ796 &amp; " de " &amp; TEXT(MOD(AL802,AM795),"0.00") &amp; " " &amp; AM796,""))</f>
        <v>3 Gastro 1/1 de 25 escalopes + 1 Gastro 1/1 de 20.00 escalopes</v>
      </c>
      <c r="AJ809" s="1574"/>
      <c r="AK809" s="1575"/>
      <c r="AL809" s="1576">
        <f>(AL797*AL799)/1000</f>
        <v>11.4</v>
      </c>
      <c r="AM809" s="1577" t="str">
        <f>IF(OR(AL809&lt;=0,AM797&lt;=0),"",_xlfn.LET(_xlpm.n,ROUND(AL809/AM797,9),_xlpm.q,INT(_xlpm.n),_xlpm.r,ROUND(AL809-_xlpm.q*AM797,9),_xlpm.base,_xlpm.q&amp;" "&amp;AJ796&amp;" de "&amp;TEXT(AM797,"0.000")&amp;" kg",IF(_xlpm.r&lt;=0.000000001,_xlpm.base,_xlpm.base&amp;" + 1 "&amp;AJ796&amp;" de "&amp;TEXT(_xlpm.r,"0.000")&amp;" kg")))</f>
        <v>4 Gastro 1/1 de 2.700 kg + 1 Gastro 1/1 de 0.600 kg</v>
      </c>
      <c r="AN809" s="1577"/>
      <c r="AO809" s="1578"/>
      <c r="AP809" s="1579"/>
      <c r="AR809" s="14"/>
      <c r="AS809" s="9"/>
      <c r="AT809" s="9"/>
      <c r="AU809" s="9"/>
      <c r="AV809" s="14"/>
      <c r="AW809" s="14"/>
      <c r="AX809" s="14"/>
      <c r="AY809" s="14"/>
      <c r="AZ809" s="14"/>
      <c r="BA809" s="14"/>
      <c r="BB809" s="1394" t="str">
        <f>IF(ISBLANK(BC809),"",LARGE(BB795:BB808,1)+1)</f>
        <v/>
      </c>
      <c r="BC809" s="1849"/>
      <c r="BD809" s="1574" t="str">
        <f>IF(OR(BH795="",BG802=0),"",INT(BG802/BH795) &amp; " " &amp; BE796 &amp; " de " &amp; BH795 &amp; " " &amp; BH796 &amp; IF(MOD(BG802,BH795)&gt;0," + 1 " &amp; BE796 &amp; " de " &amp; TEXT(MOD(BG802,BH795),"0.00") &amp; " " &amp; BH796,""))</f>
        <v>3 Gastro 1/1 de 25 escalopes + 1 Gastro 1/1 de 20.00 escalopes</v>
      </c>
      <c r="BE809" s="1574"/>
      <c r="BF809" s="1575"/>
      <c r="BG809" s="1576">
        <f>(BG797*BG799)/1000</f>
        <v>11.4</v>
      </c>
      <c r="BH809" s="1577" t="str">
        <f>IF(OR(BG809&lt;=0,BH797&lt;=0),"",_xlfn.LET(_xlpm.n,ROUND(BG809/BH797,9),_xlpm.q,INT(_xlpm.n),_xlpm.r,ROUND(BG809-_xlpm.q*BH797,9),_xlpm.base,_xlpm.q&amp;" "&amp;BE796&amp;" de "&amp;TEXT(BH797,"0.000")&amp;" kg",IF(_xlpm.r&lt;=0.000000001,_xlpm.base,_xlpm.base&amp;" + 1 "&amp;BE796&amp;" de "&amp;TEXT(_xlpm.r,"0.000")&amp;" kg")))</f>
        <v>4 Gastro 1/1 de 2.700 kg + 1 Gastro 1/1 de 0.600 kg</v>
      </c>
      <c r="BI809" s="1577"/>
      <c r="BJ809" s="1578"/>
      <c r="BK809" s="1579"/>
      <c r="BM809" s="3">
        <v>1</v>
      </c>
    </row>
    <row r="810" spans="1:67" ht="21" customHeight="1">
      <c r="B810" s="14"/>
      <c r="C810" s="9"/>
      <c r="D810" s="9"/>
      <c r="E810" s="9"/>
      <c r="F810" s="14"/>
      <c r="G810" s="14"/>
      <c r="H810" s="14"/>
      <c r="I810" s="14"/>
      <c r="J810" s="14"/>
      <c r="K810" s="14"/>
      <c r="L810" s="1394" t="str">
        <f>IF(ISBLANK(M810),"",LARGE(L795:L809,1)+1)</f>
        <v/>
      </c>
      <c r="M810" s="6746"/>
      <c r="N810" s="6742" t="str">
        <f>O804&amp;" "&amp;P804&amp;" "&amp;SUM(
   IFERROR(LEFT(N806, FIND(" ", N806) - 1), 0) + IFERROR(IF(FIND("+", N806), MID(N806, FIND("+", N806) + 2, FIND(" ", N806, FIND("+", N806) + 2) - FIND("+", N806) - 2), 0), 0),
   IFERROR(LEFT(N807, FIND(" ", N807) - 1), 0) + IFERROR(IF(FIND("+", N807), MID(N807, FIND("+", N807) + 2, FIND(" ", N807, FIND("+", N807) + 2) - FIND("+", N807) - 2), 0), 0),
   IFERROR(LEFT(N808, FIND(" ", N808) - 1), 0) + IFERROR(IF(FIND("+", N808), MID(N808, FIND("+", N808) + 2, FIND(" ", N808, FIND("+", N808) + 2) - FIND("+", N808) - 2), 0), 0),
   IFERROR(LEFT(N809, FIND(" ", N809) - 1), 0) + IFERROR(IF(FIND("+", N809), MID(N809, FIND("+", N809) + 2, FIND(" ", N809, FIND("+", N809) + 2) - FIND("+", N809) - 2), 0), 0))&amp;" "&amp;O796</f>
        <v>1462.5 escalopes 59 Gastro 1/1</v>
      </c>
      <c r="O810" s="6742"/>
      <c r="P810" s="6748"/>
      <c r="Q810" s="6740">
        <f>SUM(Q806:Q809)</f>
        <v>239.4</v>
      </c>
      <c r="R810" s="6742" t="str">
        <f>SUM(
   IFERROR(LEFT(R806, FIND(" ", R806) - 1), 0) + IFERROR(IF(FIND("+", R806), MID(R806, FIND("+", R806) + 2, FIND(" ", R806, FIND("+", R806) + 2) - FIND("+", R806) - 2), 0), 0),
   IFERROR(LEFT(R807, FIND(" ", R807) - 1), 0) + IFERROR(IF(FIND("+", R807), MID(R807, FIND("+", R807) + 2, FIND(" ", R807, FIND("+", R807) + 2) - FIND("+", R807) - 2), 0), 0),
   IFERROR(LEFT(R808, FIND(" ", R808) - 1), 0) + IFERROR(IF(FIND("+", R808), MID(R808, FIND("+", R808) + 2, FIND(" ", R808, FIND("+", R808) + 2) - FIND("+", R808) - 2), 0), 0),
   IFERROR(LEFT(R809, FIND(" ", R809) - 1), 0) + IFERROR(IF(FIND("+", R809), MID(R809, FIND("+", R809) + 2, FIND(" ", R809, FIND("+", R809) + 2) - FIND("+", R809) - 2), 0), 0))&amp;" "&amp;O796</f>
        <v>90 Gastro 1/1</v>
      </c>
      <c r="S810" s="6742"/>
      <c r="T810" s="6742"/>
      <c r="U810" s="6743"/>
      <c r="W810" s="14"/>
      <c r="X810" s="9"/>
      <c r="Y810" s="9"/>
      <c r="Z810" s="9"/>
      <c r="AA810" s="14"/>
      <c r="AB810" s="14"/>
      <c r="AC810" s="14"/>
      <c r="AD810" s="14"/>
      <c r="AE810" s="14"/>
      <c r="AF810" s="14"/>
      <c r="AG810" s="1394"/>
      <c r="AH810" s="1930"/>
      <c r="AI810" s="6749" t="str">
        <f>AJ804&amp;" "&amp;AK804&amp;" "&amp;SUM(
   IFERROR(LEFT(AI806, FIND(" ", AI806) - 1), 0) + IFERROR(IF(FIND("+", AI806), MID(AI806, FIND("+", AI806) + 2, FIND(" ", AI806, FIND("+", AI806) + 2) - FIND("+", AI806) - 2), 0), 0),
   IFERROR(LEFT(AI807, FIND(" ", AI807) - 1), 0) + IFERROR(IF(FIND("+", AI807), MID(AI807, FIND("+", AI807) + 2, FIND(" ", AI807, FIND("+", AI807) + 2) - FIND("+", AI807) - 2), 0), 0),
   IFERROR(LEFT(AI808, FIND(" ", AI808) - 1), 0) + IFERROR(IF(FIND("+", AI808), MID(AI808, FIND("+", AI808) + 2, FIND(" ", AI808, FIND("+", AI808) + 2) - FIND("+", AI808) - 2), 0), 0),
   IFERROR(LEFT(AI809, FIND(" ", AI809) - 1), 0) + IFERROR(IF(FIND("+", AI809), MID(AI809, FIND("+", AI809) + 2, FIND(" ", AI809, FIND("+", AI809) + 2) - FIND("+", AI809) - 2), 0), 0))&amp;" "&amp;AJ796</f>
        <v>1462.5 escalopes 59 Gastro 1/1</v>
      </c>
      <c r="AJ810" s="6742"/>
      <c r="AK810" s="6748"/>
      <c r="AL810" s="6740">
        <f>SUM(AL806:AL809)</f>
        <v>239.4</v>
      </c>
      <c r="AM810" s="6742" t="str">
        <f>SUM(
   IFERROR(LEFT(AM806, FIND(" ", AM806) - 1), 0) + IFERROR(IF(FIND("+", AM806), MID(AM806, FIND("+", AM806) + 2, FIND(" ", AM806, FIND("+", AM806) + 2) - FIND("+", AM806) - 2), 0), 0),
   IFERROR(LEFT(AM807, FIND(" ", AM807) - 1), 0) + IFERROR(IF(FIND("+", AM807), MID(AM807, FIND("+", AM807) + 2, FIND(" ", AM807, FIND("+", AM807) + 2) - FIND("+", AM807) - 2), 0), 0),
   IFERROR(LEFT(AM808, FIND(" ", AM808) - 1), 0) + IFERROR(IF(FIND("+", AM808), MID(AM808, FIND("+", AM808) + 2, FIND(" ", AM808, FIND("+", AM808) + 2) - FIND("+", AM808) - 2), 0), 0),
   IFERROR(LEFT(AM809, FIND(" ", AM809) - 1), 0) + IFERROR(IF(FIND("+", AM809), MID(AM809, FIND("+", AM809) + 2, FIND(" ", AM809, FIND("+", AM809) + 2) - FIND("+", AM809) - 2), 0), 0))&amp;" "&amp;AJ796</f>
        <v>90 Gastro 1/1</v>
      </c>
      <c r="AN810" s="6742"/>
      <c r="AO810" s="6742"/>
      <c r="AP810" s="6743"/>
      <c r="AR810" s="14"/>
      <c r="AS810" s="9"/>
      <c r="AT810" s="9"/>
      <c r="AU810" s="9"/>
      <c r="AV810" s="14"/>
      <c r="AW810" s="14"/>
      <c r="AX810" s="14"/>
      <c r="AY810" s="14"/>
      <c r="AZ810" s="14"/>
      <c r="BA810" s="14"/>
      <c r="BB810" s="1394" t="str">
        <f>IF(ISBLANK(BC810),"",LARGE(BB795:BB809,1)+1)</f>
        <v/>
      </c>
      <c r="BC810" s="6746"/>
      <c r="BD810" s="6742" t="str">
        <f>BE804&amp;" "&amp;BF804&amp;" "&amp;SUM(
   IFERROR(LEFT(BD806, FIND(" ", BD806) - 1), 0) + IFERROR(IF(FIND("+", BD806), MID(BD806, FIND("+", BD806) + 2, FIND(" ", BD806, FIND("+", BD806) + 2) - FIND("+", BD806) - 2), 0), 0),
   IFERROR(LEFT(BD807, FIND(" ", BD807) - 1), 0) + IFERROR(IF(FIND("+", BD807), MID(BD807, FIND("+", BD807) + 2, FIND(" ", BD807, FIND("+", BD807) + 2) - FIND("+", BD807) - 2), 0), 0),
   IFERROR(LEFT(BD808, FIND(" ", BD808) - 1), 0) + IFERROR(IF(FIND("+", BD808), MID(BD808, FIND("+", BD808) + 2, FIND(" ", BD808, FIND("+", BD808) + 2) - FIND("+", BD808) - 2), 0), 0),
   IFERROR(LEFT(BD809, FIND(" ", BD809) - 1), 0) + IFERROR(IF(FIND("+", BD809), MID(BD809, FIND("+", BD809) + 2, FIND(" ", BD809, FIND("+", BD809) + 2) - FIND("+", BD809) - 2), 0), 0))&amp;" "&amp;BE796</f>
        <v>1462.5 escalopes 59 Gastro 1/1</v>
      </c>
      <c r="BE810" s="6742"/>
      <c r="BF810" s="6748"/>
      <c r="BG810" s="6740">
        <f>SUM(BG806:BG809)</f>
        <v>239.4</v>
      </c>
      <c r="BH810" s="6742" t="str">
        <f>SUM(
   IFERROR(LEFT(BH806, FIND(" ", BH806) - 1), 0) + IFERROR(IF(FIND("+", BH806), MID(BH806, FIND("+", BH806) + 2, FIND(" ", BH806, FIND("+", BH806) + 2) - FIND("+", BH806) - 2), 0), 0),
   IFERROR(LEFT(BH807, FIND(" ", BH807) - 1), 0) + IFERROR(IF(FIND("+", BH807), MID(BH807, FIND("+", BH807) + 2, FIND(" ", BH807, FIND("+", BH807) + 2) - FIND("+", BH807) - 2), 0), 0),
   IFERROR(LEFT(BH808, FIND(" ", BH808) - 1), 0) + IFERROR(IF(FIND("+", BH808), MID(BH808, FIND("+", BH808) + 2, FIND(" ", BH808, FIND("+", BH808) + 2) - FIND("+", BH808) - 2), 0), 0),
   IFERROR(LEFT(BH809, FIND(" ", BH809) - 1), 0) + IFERROR(IF(FIND("+", BH809), MID(BH809, FIND("+", BH809) + 2, FIND(" ", BH809, FIND("+", BH809) + 2) - FIND("+", BH809) - 2), 0), 0))&amp;" "&amp;BE796</f>
        <v>90 Gastro 1/1</v>
      </c>
      <c r="BI810" s="6742"/>
      <c r="BJ810" s="6742"/>
      <c r="BK810" s="6743"/>
      <c r="BM810" s="3">
        <v>1</v>
      </c>
    </row>
    <row r="811" spans="1:67" ht="21" customHeight="1">
      <c r="B811" s="14"/>
      <c r="C811" s="9"/>
      <c r="D811" s="9"/>
      <c r="E811" s="9"/>
      <c r="F811" s="14"/>
      <c r="G811" s="14"/>
      <c r="H811" s="14"/>
      <c r="I811" s="14"/>
      <c r="J811" s="14"/>
      <c r="K811" s="14"/>
      <c r="L811" s="1394" t="str">
        <f>IF(ISBLANK(M811),"",LARGE(L795:L810,1)+1)</f>
        <v/>
      </c>
      <c r="M811" s="6747"/>
      <c r="N811" s="6742"/>
      <c r="O811" s="6742"/>
      <c r="P811" s="6748"/>
      <c r="Q811" s="6741"/>
      <c r="R811" s="6744"/>
      <c r="S811" s="6744"/>
      <c r="T811" s="6744"/>
      <c r="U811" s="6745"/>
      <c r="W811" s="14"/>
      <c r="X811" s="9"/>
      <c r="Y811" s="9"/>
      <c r="Z811" s="9"/>
      <c r="AA811" s="14"/>
      <c r="AB811" s="14"/>
      <c r="AC811" s="14"/>
      <c r="AD811" s="14"/>
      <c r="AE811" s="14"/>
      <c r="AF811" s="14"/>
      <c r="AG811" s="1394" t="str">
        <f>IF(ISBLANK(AH811),"",LARGE(AG795:AG810,1)+1)</f>
        <v/>
      </c>
      <c r="AH811" s="1930"/>
      <c r="AI811" s="6749"/>
      <c r="AJ811" s="6742"/>
      <c r="AK811" s="6748"/>
      <c r="AL811" s="6741"/>
      <c r="AM811" s="6744"/>
      <c r="AN811" s="6744"/>
      <c r="AO811" s="6744"/>
      <c r="AP811" s="6745"/>
      <c r="AR811" s="14"/>
      <c r="AS811" s="9"/>
      <c r="AT811" s="9"/>
      <c r="AU811" s="9"/>
      <c r="AV811" s="14"/>
      <c r="AW811" s="14"/>
      <c r="AX811" s="14"/>
      <c r="AY811" s="14"/>
      <c r="AZ811" s="14"/>
      <c r="BA811" s="14"/>
      <c r="BB811" s="1394" t="str">
        <f>IF(ISBLANK(BC811),"",LARGE(BB795:BB810,1)+1)</f>
        <v/>
      </c>
      <c r="BC811" s="6747"/>
      <c r="BD811" s="6742"/>
      <c r="BE811" s="6742"/>
      <c r="BF811" s="6748"/>
      <c r="BG811" s="6741"/>
      <c r="BH811" s="6744"/>
      <c r="BI811" s="6744"/>
      <c r="BJ811" s="6744"/>
      <c r="BK811" s="6745"/>
      <c r="BM811" s="3">
        <v>1</v>
      </c>
    </row>
    <row r="812" spans="1:67" ht="21" customHeight="1">
      <c r="B812"/>
      <c r="C812"/>
      <c r="D812"/>
      <c r="E812"/>
      <c r="F812"/>
      <c r="G812"/>
      <c r="H812"/>
      <c r="I812"/>
      <c r="J812"/>
      <c r="K812"/>
      <c r="L812" s="1394"/>
      <c r="M812" s="1865" t="s">
        <v>821</v>
      </c>
      <c r="N812" s="1841"/>
      <c r="O812" s="1899"/>
      <c r="P812" s="1899"/>
      <c r="Q812" s="1899"/>
      <c r="R812" s="1899"/>
      <c r="S812" s="1899"/>
      <c r="T812" s="1899"/>
      <c r="U812" s="1903" t="s">
        <v>196</v>
      </c>
      <c r="AG812" s="1394"/>
      <c r="AH812" s="1931" t="s">
        <v>8197</v>
      </c>
      <c r="AI812" s="1841"/>
      <c r="AJ812" s="1899"/>
      <c r="AK812" s="1899"/>
      <c r="AL812" s="1899"/>
      <c r="AM812" s="1899"/>
      <c r="AN812" s="1899"/>
      <c r="AO812" s="1899"/>
      <c r="AP812" s="1903" t="s">
        <v>879</v>
      </c>
      <c r="BB812" s="1394"/>
      <c r="BC812" s="1865" t="s">
        <v>874</v>
      </c>
      <c r="BD812" s="1841"/>
      <c r="BE812" s="1899"/>
      <c r="BF812" s="1899"/>
      <c r="BG812" s="1899"/>
      <c r="BH812" s="1899"/>
      <c r="BI812" s="1899"/>
      <c r="BJ812" s="1899"/>
      <c r="BK812" s="1903" t="s">
        <v>879</v>
      </c>
      <c r="BM812" s="3">
        <v>1</v>
      </c>
    </row>
    <row r="813" spans="1:67" ht="21" customHeight="1">
      <c r="B813"/>
      <c r="C813"/>
      <c r="D813"/>
      <c r="E813"/>
      <c r="F813"/>
      <c r="G813"/>
      <c r="H813"/>
      <c r="I813"/>
      <c r="J813"/>
      <c r="K813"/>
      <c r="L813" s="1394"/>
      <c r="M813" s="1866" t="s">
        <v>8146</v>
      </c>
      <c r="N813" s="14"/>
      <c r="O813" s="1883"/>
      <c r="P813" s="1883"/>
      <c r="Q813" s="1883"/>
      <c r="R813" s="1883"/>
      <c r="S813" s="1883"/>
      <c r="T813" s="1883"/>
      <c r="U813" s="1898"/>
      <c r="AG813" s="1394"/>
      <c r="AH813" s="1866" t="s">
        <v>8198</v>
      </c>
      <c r="AI813" s="14"/>
      <c r="AJ813" s="1883"/>
      <c r="AK813" s="1883"/>
      <c r="AL813" s="1883"/>
      <c r="AM813" s="1883"/>
      <c r="AN813" s="1883"/>
      <c r="AO813" s="1883"/>
      <c r="AP813" s="1898"/>
      <c r="BB813" s="1394"/>
      <c r="BC813" s="1866" t="s">
        <v>8193</v>
      </c>
      <c r="BD813" s="14"/>
      <c r="BE813" s="1883"/>
      <c r="BF813" s="1883"/>
      <c r="BG813" s="1883"/>
      <c r="BH813" s="1883"/>
      <c r="BI813" s="1883"/>
      <c r="BJ813" s="1883"/>
      <c r="BK813" s="1898"/>
      <c r="BM813" s="3">
        <v>1</v>
      </c>
    </row>
    <row r="814" spans="1:67" ht="21" customHeight="1">
      <c r="B814"/>
      <c r="C814"/>
      <c r="D814"/>
      <c r="E814"/>
      <c r="F814"/>
      <c r="G814"/>
      <c r="H814"/>
      <c r="I814"/>
      <c r="J814"/>
      <c r="K814"/>
      <c r="L814" s="1963" t="s">
        <v>8629</v>
      </c>
      <c r="M814" s="1844"/>
      <c r="N814" s="1844"/>
      <c r="O814" s="1844"/>
      <c r="P814" s="1844"/>
      <c r="Q814" s="1844"/>
      <c r="R814" s="1844"/>
      <c r="S814" s="1844"/>
      <c r="T814" s="1844"/>
      <c r="U814" s="1964" t="s">
        <v>8629</v>
      </c>
      <c r="AG814" s="1963" t="s">
        <v>8630</v>
      </c>
      <c r="AH814" s="1844"/>
      <c r="AI814" s="1844"/>
      <c r="AJ814" s="1844"/>
      <c r="AK814" s="1844"/>
      <c r="AL814" s="1844"/>
      <c r="AM814" s="1844"/>
      <c r="AN814" s="1844"/>
      <c r="AO814" s="1844"/>
      <c r="AP814" s="1964" t="s">
        <v>8630</v>
      </c>
      <c r="BB814" s="1963" t="s">
        <v>8631</v>
      </c>
      <c r="BC814" s="1844"/>
      <c r="BD814" s="1844"/>
      <c r="BE814" s="1844"/>
      <c r="BF814" s="1844"/>
      <c r="BG814" s="1844"/>
      <c r="BH814" s="1844"/>
      <c r="BI814" s="1844"/>
      <c r="BJ814" s="1844"/>
      <c r="BK814" s="1964" t="s">
        <v>8631</v>
      </c>
      <c r="BM814" s="626" t="s">
        <v>793</v>
      </c>
    </row>
    <row r="815" spans="1:67">
      <c r="A815" s="3">
        <v>1</v>
      </c>
      <c r="B815" s="3">
        <v>1</v>
      </c>
      <c r="C815" s="3">
        <v>1</v>
      </c>
      <c r="D815" s="3">
        <v>1</v>
      </c>
      <c r="E815" s="3">
        <v>1</v>
      </c>
      <c r="F815" s="3">
        <v>1</v>
      </c>
      <c r="G815" s="3">
        <v>1</v>
      </c>
      <c r="H815" s="3">
        <v>1</v>
      </c>
      <c r="I815" s="3">
        <v>1</v>
      </c>
      <c r="J815" s="3">
        <v>1</v>
      </c>
      <c r="K815" s="3">
        <v>1</v>
      </c>
      <c r="L815" s="3">
        <v>1</v>
      </c>
      <c r="M815" s="3">
        <v>1</v>
      </c>
      <c r="N815" s="3">
        <v>1</v>
      </c>
      <c r="O815" s="3">
        <v>1</v>
      </c>
      <c r="P815" s="3">
        <v>1</v>
      </c>
      <c r="Q815" s="3">
        <v>1</v>
      </c>
      <c r="R815" s="3">
        <v>1</v>
      </c>
      <c r="S815" s="3">
        <v>1</v>
      </c>
      <c r="T815" s="3">
        <v>1</v>
      </c>
      <c r="U815" s="3">
        <v>1</v>
      </c>
      <c r="V815" s="3">
        <v>1</v>
      </c>
      <c r="W815" s="3">
        <v>1</v>
      </c>
      <c r="X815" s="3">
        <v>1</v>
      </c>
      <c r="Y815" s="3">
        <v>1</v>
      </c>
      <c r="Z815" s="3">
        <v>1</v>
      </c>
      <c r="AA815" s="3">
        <v>1</v>
      </c>
      <c r="AB815" s="3">
        <v>1</v>
      </c>
      <c r="AC815" s="3">
        <v>1</v>
      </c>
      <c r="AD815" s="3">
        <v>1</v>
      </c>
      <c r="AE815" s="3">
        <v>1</v>
      </c>
      <c r="AF815" s="3">
        <v>1</v>
      </c>
      <c r="AG815" s="3">
        <v>1</v>
      </c>
      <c r="AH815" s="3">
        <v>1</v>
      </c>
      <c r="AI815" s="3">
        <v>1</v>
      </c>
      <c r="AJ815" s="3">
        <v>1</v>
      </c>
      <c r="AK815" s="3">
        <v>1</v>
      </c>
      <c r="AL815" s="3">
        <v>1</v>
      </c>
      <c r="AM815" s="3">
        <v>1</v>
      </c>
      <c r="AN815" s="3">
        <v>1</v>
      </c>
      <c r="AO815" s="3">
        <v>1</v>
      </c>
      <c r="AP815" s="3">
        <v>1</v>
      </c>
      <c r="AQ815" s="3">
        <v>1</v>
      </c>
      <c r="AR815" s="3">
        <v>1</v>
      </c>
      <c r="AS815" s="3">
        <v>1</v>
      </c>
      <c r="AT815" s="3">
        <v>1</v>
      </c>
      <c r="AU815" s="3">
        <v>1</v>
      </c>
      <c r="AV815" s="3">
        <v>1</v>
      </c>
      <c r="AW815" s="3">
        <v>1</v>
      </c>
      <c r="AX815" s="3">
        <v>1</v>
      </c>
      <c r="AY815" s="3">
        <v>1</v>
      </c>
      <c r="AZ815" s="3">
        <v>1</v>
      </c>
      <c r="BA815" s="3">
        <v>1</v>
      </c>
      <c r="BB815" s="3">
        <v>1</v>
      </c>
      <c r="BC815" s="3">
        <v>1</v>
      </c>
      <c r="BD815" s="3">
        <v>1</v>
      </c>
      <c r="BE815" s="3">
        <v>1</v>
      </c>
      <c r="BF815" s="3">
        <v>1</v>
      </c>
      <c r="BG815" s="3">
        <v>1</v>
      </c>
      <c r="BH815" s="3">
        <v>1</v>
      </c>
      <c r="BI815" s="3">
        <v>1</v>
      </c>
      <c r="BJ815" s="3">
        <v>1</v>
      </c>
      <c r="BK815" s="3">
        <v>1</v>
      </c>
      <c r="BL815" s="3">
        <v>1</v>
      </c>
      <c r="BM815" s="1" t="str">
        <f>ADDRESS(ROW(),COLUMN(),4)</f>
        <v>BM815</v>
      </c>
      <c r="BN815" s="628"/>
      <c r="BO815" s="629" t="str">
        <f>ADDRESS(ROW(),COLUMN(),4)</f>
        <v>BO815</v>
      </c>
    </row>
  </sheetData>
  <mergeCells count="353">
    <mergeCell ref="AZ372:AZ373"/>
    <mergeCell ref="BA372:BA373"/>
    <mergeCell ref="BB372:BB373"/>
    <mergeCell ref="BC372:BC373"/>
    <mergeCell ref="BG372:BG373"/>
    <mergeCell ref="BH372:BH373"/>
    <mergeCell ref="BI372:BI373"/>
    <mergeCell ref="BJ372:BJ373"/>
    <mergeCell ref="BK372:BK373"/>
    <mergeCell ref="AE372:AE373"/>
    <mergeCell ref="AF372:AF373"/>
    <mergeCell ref="AG372:AG373"/>
    <mergeCell ref="AH372:AH373"/>
    <mergeCell ref="AL372:AL373"/>
    <mergeCell ref="AM372:AM373"/>
    <mergeCell ref="AN372:AN373"/>
    <mergeCell ref="AO372:AO373"/>
    <mergeCell ref="AP372:AP373"/>
    <mergeCell ref="J372:J373"/>
    <mergeCell ref="K372:K373"/>
    <mergeCell ref="L372:L373"/>
    <mergeCell ref="M372:M373"/>
    <mergeCell ref="Q372:Q373"/>
    <mergeCell ref="R372:R373"/>
    <mergeCell ref="S372:S373"/>
    <mergeCell ref="T372:T373"/>
    <mergeCell ref="U372:U373"/>
    <mergeCell ref="K367:Q368"/>
    <mergeCell ref="AF367:AL368"/>
    <mergeCell ref="BA367:BG368"/>
    <mergeCell ref="I369:J369"/>
    <mergeCell ref="AD369:AE369"/>
    <mergeCell ref="AY369:AZ369"/>
    <mergeCell ref="I370:K370"/>
    <mergeCell ref="AD370:AF370"/>
    <mergeCell ref="AY370:BA370"/>
    <mergeCell ref="J364:R365"/>
    <mergeCell ref="S364:T365"/>
    <mergeCell ref="U364:U365"/>
    <mergeCell ref="AE364:AM365"/>
    <mergeCell ref="AN364:AO365"/>
    <mergeCell ref="AP364:AP365"/>
    <mergeCell ref="AZ364:BH365"/>
    <mergeCell ref="BI364:BJ365"/>
    <mergeCell ref="BK364:BK365"/>
    <mergeCell ref="AZ277:AZ278"/>
    <mergeCell ref="BA277:BA278"/>
    <mergeCell ref="BB277:BB278"/>
    <mergeCell ref="BC277:BC278"/>
    <mergeCell ref="BG277:BG278"/>
    <mergeCell ref="BH277:BH278"/>
    <mergeCell ref="BI277:BI278"/>
    <mergeCell ref="BJ277:BJ278"/>
    <mergeCell ref="BK277:BK278"/>
    <mergeCell ref="AE277:AE278"/>
    <mergeCell ref="AF277:AF278"/>
    <mergeCell ref="AG277:AG278"/>
    <mergeCell ref="AH277:AH278"/>
    <mergeCell ref="AL277:AL278"/>
    <mergeCell ref="AM277:AM278"/>
    <mergeCell ref="AN277:AN278"/>
    <mergeCell ref="AO277:AO278"/>
    <mergeCell ref="AP277:AP278"/>
    <mergeCell ref="J277:J278"/>
    <mergeCell ref="K277:K278"/>
    <mergeCell ref="L277:L278"/>
    <mergeCell ref="M277:M278"/>
    <mergeCell ref="Q277:Q278"/>
    <mergeCell ref="R277:R278"/>
    <mergeCell ref="S277:S278"/>
    <mergeCell ref="T277:T278"/>
    <mergeCell ref="U277:U278"/>
    <mergeCell ref="K272:Q273"/>
    <mergeCell ref="AF272:AL273"/>
    <mergeCell ref="BA272:BG273"/>
    <mergeCell ref="I274:J274"/>
    <mergeCell ref="AD274:AE274"/>
    <mergeCell ref="AY274:AZ274"/>
    <mergeCell ref="I275:K275"/>
    <mergeCell ref="AD275:AF275"/>
    <mergeCell ref="AY275:BA275"/>
    <mergeCell ref="J269:R270"/>
    <mergeCell ref="S269:T270"/>
    <mergeCell ref="U269:U270"/>
    <mergeCell ref="AE269:AM270"/>
    <mergeCell ref="AN269:AO270"/>
    <mergeCell ref="AP269:AP270"/>
    <mergeCell ref="AZ269:BH270"/>
    <mergeCell ref="BI269:BJ270"/>
    <mergeCell ref="BK269:BK270"/>
    <mergeCell ref="AZ192:AZ193"/>
    <mergeCell ref="BA192:BA193"/>
    <mergeCell ref="BB192:BB193"/>
    <mergeCell ref="BC192:BC193"/>
    <mergeCell ref="BG192:BG193"/>
    <mergeCell ref="BH192:BH193"/>
    <mergeCell ref="BI192:BI193"/>
    <mergeCell ref="BJ192:BJ193"/>
    <mergeCell ref="BK192:BK193"/>
    <mergeCell ref="AE192:AE193"/>
    <mergeCell ref="AF192:AF193"/>
    <mergeCell ref="AG192:AG193"/>
    <mergeCell ref="AH192:AH193"/>
    <mergeCell ref="AL192:AL193"/>
    <mergeCell ref="AM192:AM193"/>
    <mergeCell ref="AN192:AN193"/>
    <mergeCell ref="AO192:AO193"/>
    <mergeCell ref="AP192:AP193"/>
    <mergeCell ref="J192:J193"/>
    <mergeCell ref="K192:K193"/>
    <mergeCell ref="L192:L193"/>
    <mergeCell ref="M192:M193"/>
    <mergeCell ref="Q192:Q193"/>
    <mergeCell ref="R192:R193"/>
    <mergeCell ref="S192:S193"/>
    <mergeCell ref="T192:T193"/>
    <mergeCell ref="U192:U193"/>
    <mergeCell ref="K187:Q188"/>
    <mergeCell ref="AF187:AL188"/>
    <mergeCell ref="BA187:BG188"/>
    <mergeCell ref="I189:J189"/>
    <mergeCell ref="AD189:AE189"/>
    <mergeCell ref="AY189:AZ189"/>
    <mergeCell ref="I190:K190"/>
    <mergeCell ref="AD190:AF190"/>
    <mergeCell ref="AY190:BA190"/>
    <mergeCell ref="J184:R185"/>
    <mergeCell ref="S184:T185"/>
    <mergeCell ref="U184:U185"/>
    <mergeCell ref="AE184:AM185"/>
    <mergeCell ref="AN184:AO185"/>
    <mergeCell ref="AP184:AP185"/>
    <mergeCell ref="AZ184:BH185"/>
    <mergeCell ref="BI184:BJ185"/>
    <mergeCell ref="BK184:BK185"/>
    <mergeCell ref="AZ132:AZ133"/>
    <mergeCell ref="BA132:BA133"/>
    <mergeCell ref="BB132:BB133"/>
    <mergeCell ref="BC132:BC133"/>
    <mergeCell ref="BG132:BG133"/>
    <mergeCell ref="BH132:BH133"/>
    <mergeCell ref="BI132:BI133"/>
    <mergeCell ref="BJ132:BJ133"/>
    <mergeCell ref="BK132:BK133"/>
    <mergeCell ref="AE132:AE133"/>
    <mergeCell ref="AF132:AF133"/>
    <mergeCell ref="AG132:AG133"/>
    <mergeCell ref="AH132:AH133"/>
    <mergeCell ref="AL132:AL133"/>
    <mergeCell ref="AM132:AM133"/>
    <mergeCell ref="AN132:AN133"/>
    <mergeCell ref="AO132:AO133"/>
    <mergeCell ref="AP132:AP133"/>
    <mergeCell ref="J132:J133"/>
    <mergeCell ref="K132:K133"/>
    <mergeCell ref="L132:L133"/>
    <mergeCell ref="M132:M133"/>
    <mergeCell ref="Q132:Q133"/>
    <mergeCell ref="R132:R133"/>
    <mergeCell ref="S132:S133"/>
    <mergeCell ref="T132:T133"/>
    <mergeCell ref="U132:U133"/>
    <mergeCell ref="K127:Q128"/>
    <mergeCell ref="AF127:AL128"/>
    <mergeCell ref="BA127:BG128"/>
    <mergeCell ref="I129:J129"/>
    <mergeCell ref="AD129:AE129"/>
    <mergeCell ref="AY129:AZ129"/>
    <mergeCell ref="I130:K130"/>
    <mergeCell ref="AD130:AF130"/>
    <mergeCell ref="AY130:BA130"/>
    <mergeCell ref="BK77:BK78"/>
    <mergeCell ref="J124:R125"/>
    <mergeCell ref="S124:T125"/>
    <mergeCell ref="U124:U125"/>
    <mergeCell ref="AE124:AM125"/>
    <mergeCell ref="AN124:AO125"/>
    <mergeCell ref="AP124:AP125"/>
    <mergeCell ref="AZ124:BH125"/>
    <mergeCell ref="BI124:BJ125"/>
    <mergeCell ref="BK124:BK125"/>
    <mergeCell ref="AP77:AP78"/>
    <mergeCell ref="AZ77:AZ78"/>
    <mergeCell ref="BA77:BA78"/>
    <mergeCell ref="BB77:BB78"/>
    <mergeCell ref="BC77:BC78"/>
    <mergeCell ref="BG77:BG78"/>
    <mergeCell ref="BH77:BH78"/>
    <mergeCell ref="BI77:BI78"/>
    <mergeCell ref="BJ77:BJ78"/>
    <mergeCell ref="J77:J78"/>
    <mergeCell ref="K77:K78"/>
    <mergeCell ref="L77:L78"/>
    <mergeCell ref="M77:M78"/>
    <mergeCell ref="Q77:Q78"/>
    <mergeCell ref="R77:R78"/>
    <mergeCell ref="S77:S78"/>
    <mergeCell ref="T77:T78"/>
    <mergeCell ref="U77:U78"/>
    <mergeCell ref="K72:Q73"/>
    <mergeCell ref="AF72:AL73"/>
    <mergeCell ref="BA72:BG73"/>
    <mergeCell ref="I74:J74"/>
    <mergeCell ref="AD74:AE74"/>
    <mergeCell ref="AY74:AZ74"/>
    <mergeCell ref="I75:K75"/>
    <mergeCell ref="AD75:AF75"/>
    <mergeCell ref="AY75:BA75"/>
    <mergeCell ref="BB28:BB29"/>
    <mergeCell ref="BC28:BC29"/>
    <mergeCell ref="BG28:BG29"/>
    <mergeCell ref="BH28:BH29"/>
    <mergeCell ref="BI28:BI29"/>
    <mergeCell ref="BJ28:BJ29"/>
    <mergeCell ref="BK28:BK29"/>
    <mergeCell ref="J69:R70"/>
    <mergeCell ref="S69:T70"/>
    <mergeCell ref="U69:U70"/>
    <mergeCell ref="AE69:AM70"/>
    <mergeCell ref="AN69:AO70"/>
    <mergeCell ref="AP69:AP70"/>
    <mergeCell ref="AZ69:BH70"/>
    <mergeCell ref="BI69:BJ70"/>
    <mergeCell ref="BK69:BK70"/>
    <mergeCell ref="V41:V42"/>
    <mergeCell ref="AQ41:AQ42"/>
    <mergeCell ref="I26:K26"/>
    <mergeCell ref="AD26:AF26"/>
    <mergeCell ref="AY26:BA26"/>
    <mergeCell ref="J28:J29"/>
    <mergeCell ref="K28:K29"/>
    <mergeCell ref="L28:L29"/>
    <mergeCell ref="M28:M29"/>
    <mergeCell ref="Q28:Q29"/>
    <mergeCell ref="R28:R29"/>
    <mergeCell ref="S28:S29"/>
    <mergeCell ref="T28:T29"/>
    <mergeCell ref="U28:U29"/>
    <mergeCell ref="AE28:AE29"/>
    <mergeCell ref="AF28:AF29"/>
    <mergeCell ref="AG28:AG29"/>
    <mergeCell ref="AH28:AH29"/>
    <mergeCell ref="AL28:AL29"/>
    <mergeCell ref="AM28:AM29"/>
    <mergeCell ref="AN28:AN29"/>
    <mergeCell ref="AO28:AO29"/>
    <mergeCell ref="AP28:AP29"/>
    <mergeCell ref="AZ28:AZ29"/>
    <mergeCell ref="BA28:BA29"/>
    <mergeCell ref="O5:U6"/>
    <mergeCell ref="AJ5:AP6"/>
    <mergeCell ref="BE5:BK6"/>
    <mergeCell ref="Q533:U534"/>
    <mergeCell ref="AL533:AP534"/>
    <mergeCell ref="BG533:BK534"/>
    <mergeCell ref="Q537:U538"/>
    <mergeCell ref="AL537:AP538"/>
    <mergeCell ref="BG537:BK538"/>
    <mergeCell ref="J20:R21"/>
    <mergeCell ref="S20:T21"/>
    <mergeCell ref="U20:U21"/>
    <mergeCell ref="AE20:AM21"/>
    <mergeCell ref="AN20:AO21"/>
    <mergeCell ref="AP20:AP21"/>
    <mergeCell ref="AZ20:BH21"/>
    <mergeCell ref="BI20:BJ21"/>
    <mergeCell ref="BK20:BK21"/>
    <mergeCell ref="K23:Q24"/>
    <mergeCell ref="AF23:AL24"/>
    <mergeCell ref="BA23:BG24"/>
    <mergeCell ref="I25:J25"/>
    <mergeCell ref="AD25:AE25"/>
    <mergeCell ref="AY25:AZ25"/>
    <mergeCell ref="N565:U567"/>
    <mergeCell ref="AI565:AP567"/>
    <mergeCell ref="BD565:BK567"/>
    <mergeCell ref="M648:M649"/>
    <mergeCell ref="N648:N649"/>
    <mergeCell ref="P648:P649"/>
    <mergeCell ref="Q648:Q649"/>
    <mergeCell ref="R648:R649"/>
    <mergeCell ref="S648:S649"/>
    <mergeCell ref="AH648:AH649"/>
    <mergeCell ref="AI648:AI649"/>
    <mergeCell ref="AK648:AK649"/>
    <mergeCell ref="AH713:AH714"/>
    <mergeCell ref="BD713:BD714"/>
    <mergeCell ref="T714:U715"/>
    <mergeCell ref="AN714:AO715"/>
    <mergeCell ref="BJ714:BK715"/>
    <mergeCell ref="R798:R799"/>
    <mergeCell ref="AM798:AM799"/>
    <mergeCell ref="BH798:BH799"/>
    <mergeCell ref="N570:U573"/>
    <mergeCell ref="AI570:AP573"/>
    <mergeCell ref="BD570:BK573"/>
    <mergeCell ref="AL648:AL649"/>
    <mergeCell ref="AM648:AM649"/>
    <mergeCell ref="AN648:AN649"/>
    <mergeCell ref="BC648:BC649"/>
    <mergeCell ref="BD648:BD649"/>
    <mergeCell ref="BF648:BF649"/>
    <mergeCell ref="BG648:BG649"/>
    <mergeCell ref="BH648:BH649"/>
    <mergeCell ref="BI648:BI649"/>
    <mergeCell ref="BL1:BL2"/>
    <mergeCell ref="AQ1:AQ2"/>
    <mergeCell ref="V1:V2"/>
    <mergeCell ref="BG810:BG811"/>
    <mergeCell ref="BH810:BK811"/>
    <mergeCell ref="M810:M811"/>
    <mergeCell ref="N810:P811"/>
    <mergeCell ref="Q810:Q811"/>
    <mergeCell ref="R810:U811"/>
    <mergeCell ref="AI810:AK811"/>
    <mergeCell ref="AL810:AL811"/>
    <mergeCell ref="AM810:AP811"/>
    <mergeCell ref="BC810:BC811"/>
    <mergeCell ref="BD810:BF811"/>
    <mergeCell ref="R800:R801"/>
    <mergeCell ref="AM800:AM801"/>
    <mergeCell ref="BH800:BH801"/>
    <mergeCell ref="R802:R803"/>
    <mergeCell ref="AM802:AM803"/>
    <mergeCell ref="BH802:BH803"/>
    <mergeCell ref="R804:R805"/>
    <mergeCell ref="AM804:AM805"/>
    <mergeCell ref="BH804:BH805"/>
    <mergeCell ref="N713:N714"/>
    <mergeCell ref="V314:V315"/>
    <mergeCell ref="AQ314:AQ315"/>
    <mergeCell ref="BL314:BL315"/>
    <mergeCell ref="V434:V435"/>
    <mergeCell ref="AQ434:AQ435"/>
    <mergeCell ref="BL434:BL435"/>
    <mergeCell ref="BL41:BL42"/>
    <mergeCell ref="V94:V95"/>
    <mergeCell ref="AQ94:AQ95"/>
    <mergeCell ref="BL94:BL95"/>
    <mergeCell ref="V154:V155"/>
    <mergeCell ref="AQ154:AQ155"/>
    <mergeCell ref="BL154:BL155"/>
    <mergeCell ref="V219:V220"/>
    <mergeCell ref="AQ219:AQ220"/>
    <mergeCell ref="BL219:BL220"/>
    <mergeCell ref="AE77:AE78"/>
    <mergeCell ref="AF77:AF78"/>
    <mergeCell ref="AG77:AG78"/>
    <mergeCell ref="AH77:AH78"/>
    <mergeCell ref="AL77:AL78"/>
    <mergeCell ref="AM77:AM78"/>
    <mergeCell ref="AN77:AN78"/>
    <mergeCell ref="AO77:AO78"/>
  </mergeCells>
  <conditionalFormatting sqref="L30:L35 AG30:AG35 BB30:BB35 L79:L88 AG79:AG88 BB79:BB88 L134:L148 AG134:AG148 BB134:BB148 L194:L213 AG194:AG213 BB194:BB213 L279:L308 AG279:AG308 BB279:BB308">
    <cfRule type="cellIs" dxfId="62" priority="36" operator="notEqual">
      <formula>1</formula>
    </cfRule>
  </conditionalFormatting>
  <conditionalFormatting sqref="L374:L428">
    <cfRule type="cellIs" dxfId="61" priority="3" operator="notEqual">
      <formula>1</formula>
    </cfRule>
  </conditionalFormatting>
  <conditionalFormatting sqref="AG374:AG428">
    <cfRule type="cellIs" dxfId="60" priority="2" operator="notEqual">
      <formula>1</formula>
    </cfRule>
  </conditionalFormatting>
  <conditionalFormatting sqref="BB374:BB428">
    <cfRule type="cellIs" dxfId="59" priority="1" operator="notEqual">
      <formula>1</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66D9F-293E-47C3-B83E-5A6A2A49623F}">
  <dimension ref="A1:AN329"/>
  <sheetViews>
    <sheetView topLeftCell="P1" zoomScaleNormal="100" workbookViewId="0">
      <selection activeCell="AD67" sqref="AD67"/>
    </sheetView>
  </sheetViews>
  <sheetFormatPr baseColWidth="10" defaultRowHeight="15"/>
  <cols>
    <col min="1" max="1" width="6.140625" style="630" customWidth="1"/>
    <col min="2" max="2" width="5.7109375" style="630" customWidth="1"/>
    <col min="3" max="3" width="10.7109375" style="630" customWidth="1"/>
    <col min="4" max="8" width="5.7109375" style="630" customWidth="1"/>
    <col min="9" max="9" width="7.85546875" style="630" customWidth="1"/>
    <col min="10" max="11" width="7.7109375" style="630" customWidth="1"/>
    <col min="12" max="12" width="139.7109375" style="630" customWidth="1"/>
    <col min="13" max="14" width="10.7109375" style="630" customWidth="1"/>
    <col min="15" max="15" width="6.140625" style="630" customWidth="1"/>
    <col min="16" max="19" width="3.7109375" style="630" customWidth="1"/>
    <col min="20" max="20" width="5.7109375" style="630" customWidth="1"/>
    <col min="21" max="22" width="12.7109375" style="630" customWidth="1"/>
    <col min="23" max="23" width="3.7109375" style="630" customWidth="1"/>
    <col min="24" max="24" width="9.7109375" style="630" customWidth="1"/>
    <col min="25" max="25" width="12.7109375" style="630" customWidth="1"/>
    <col min="26" max="26" width="13.7109375" style="630" customWidth="1"/>
    <col min="27" max="27" width="6.7109375" style="630" customWidth="1"/>
    <col min="28" max="28" width="40.7109375" style="630" customWidth="1"/>
    <col min="29" max="29" width="10.7109375" style="630" customWidth="1"/>
    <col min="30" max="30" width="9.7109375" style="630" customWidth="1"/>
    <col min="31" max="31" width="18.7109375" style="630" customWidth="1"/>
    <col min="32" max="34" width="13.7109375" style="630" customWidth="1"/>
    <col min="35" max="35" width="17.7109375" style="630" customWidth="1"/>
    <col min="36" max="36" width="20.28515625" style="630" customWidth="1"/>
    <col min="37" max="37" width="6.28515625" style="630" customWidth="1"/>
    <col min="38" max="38" width="8.7109375" style="630" customWidth="1"/>
    <col min="39" max="39" width="11.42578125" style="630"/>
    <col min="40" max="40" width="86" style="630" customWidth="1"/>
    <col min="41" max="16384" width="11.42578125" style="630"/>
  </cols>
  <sheetData>
    <row r="1" spans="1:40" ht="21" customHeight="1" thickTop="1">
      <c r="A1" s="1" t="str">
        <f>ADDRESS(ROW(),COLUMN(),4)</f>
        <v>A1</v>
      </c>
      <c r="B1" s="186"/>
      <c r="C1" s="186"/>
      <c r="D1" s="186"/>
      <c r="E1" s="186"/>
      <c r="F1" s="186"/>
      <c r="G1" s="186"/>
      <c r="H1" s="186"/>
      <c r="I1" s="186"/>
      <c r="J1" s="186"/>
      <c r="K1" s="186"/>
      <c r="L1" s="186"/>
      <c r="M1" s="186"/>
      <c r="N1" s="186"/>
      <c r="O1" s="2230"/>
      <c r="P1" s="2" t="str">
        <f t="shared" ref="P1:AI1" si="0">SUBSTITUTE(ADDRESS(1,COLUMN(),4),"1","")</f>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6794" t="s">
        <v>8774</v>
      </c>
      <c r="AK1" s="2297"/>
      <c r="AL1" s="3">
        <v>1</v>
      </c>
      <c r="AM1" s="4" t="str">
        <f>SUBSTITUTE(ADDRESS(1,COLUMN(),4),"1","")</f>
        <v>AM</v>
      </c>
      <c r="AN1" s="5" t="str">
        <f>SUBSTITUTE(ADDRESS(1,COLUMN(),4),"1","")</f>
        <v>AN</v>
      </c>
    </row>
    <row r="2" spans="1:40" ht="21" customHeight="1">
      <c r="A2" s="2230"/>
      <c r="B2" s="186"/>
      <c r="C2" s="186"/>
      <c r="D2" s="186"/>
      <c r="E2" s="186"/>
      <c r="F2" s="186"/>
      <c r="G2" s="186"/>
      <c r="H2" s="186"/>
      <c r="I2" s="186"/>
      <c r="J2" s="186"/>
      <c r="K2" s="186"/>
      <c r="L2" s="186"/>
      <c r="M2" s="186"/>
      <c r="N2" s="186"/>
      <c r="O2" s="2230"/>
      <c r="P2" s="694">
        <f t="shared" ref="P2:AI2" ca="1" si="1">CELL("largeur",P2)</f>
        <v>3</v>
      </c>
      <c r="Q2" s="694">
        <f t="shared" ca="1" si="1"/>
        <v>3</v>
      </c>
      <c r="R2" s="694">
        <f t="shared" ca="1" si="1"/>
        <v>3</v>
      </c>
      <c r="S2" s="694">
        <f t="shared" ca="1" si="1"/>
        <v>3</v>
      </c>
      <c r="T2" s="694">
        <f t="shared" ca="1" si="1"/>
        <v>5</v>
      </c>
      <c r="U2" s="694">
        <f t="shared" ca="1" si="1"/>
        <v>12</v>
      </c>
      <c r="V2" s="694">
        <f t="shared" ca="1" si="1"/>
        <v>12</v>
      </c>
      <c r="W2" s="694">
        <f t="shared" ca="1" si="1"/>
        <v>3</v>
      </c>
      <c r="X2" s="694">
        <f t="shared" ca="1" si="1"/>
        <v>9</v>
      </c>
      <c r="Y2" s="694">
        <f t="shared" ca="1" si="1"/>
        <v>12</v>
      </c>
      <c r="Z2" s="694">
        <f t="shared" ca="1" si="1"/>
        <v>13</v>
      </c>
      <c r="AA2" s="694">
        <f t="shared" ca="1" si="1"/>
        <v>6</v>
      </c>
      <c r="AB2" s="694">
        <f t="shared" ca="1" si="1"/>
        <v>40</v>
      </c>
      <c r="AC2" s="694">
        <f t="shared" ca="1" si="1"/>
        <v>10</v>
      </c>
      <c r="AD2" s="694">
        <f t="shared" ca="1" si="1"/>
        <v>9</v>
      </c>
      <c r="AE2" s="694">
        <f t="shared" ca="1" si="1"/>
        <v>18</v>
      </c>
      <c r="AF2" s="694">
        <f t="shared" ca="1" si="1"/>
        <v>13</v>
      </c>
      <c r="AG2" s="694">
        <f t="shared" ca="1" si="1"/>
        <v>13</v>
      </c>
      <c r="AH2" s="694">
        <f t="shared" ca="1" si="1"/>
        <v>13</v>
      </c>
      <c r="AI2" s="694">
        <f t="shared" ca="1" si="1"/>
        <v>17</v>
      </c>
      <c r="AJ2" s="6794"/>
      <c r="AK2" s="2297"/>
      <c r="AL2" s="3">
        <v>1</v>
      </c>
      <c r="AM2" s="7" t="s">
        <v>3</v>
      </c>
      <c r="AN2" s="8"/>
    </row>
    <row r="3" spans="1:40" ht="21" customHeight="1" thickBot="1">
      <c r="A3" s="2070"/>
      <c r="B3" s="186"/>
      <c r="C3" s="186"/>
      <c r="D3" s="186"/>
      <c r="E3" s="186"/>
      <c r="F3" s="186"/>
      <c r="G3" s="186"/>
      <c r="H3" s="186"/>
      <c r="I3" s="186"/>
      <c r="J3" s="186"/>
      <c r="K3" s="186"/>
      <c r="L3" s="186"/>
      <c r="M3" s="186"/>
      <c r="N3" s="186"/>
      <c r="O3" s="2070"/>
      <c r="P3" s="695">
        <v>3</v>
      </c>
      <c r="Q3" s="695">
        <v>3</v>
      </c>
      <c r="R3" s="695">
        <v>3</v>
      </c>
      <c r="S3" s="695">
        <v>3</v>
      </c>
      <c r="T3" s="695">
        <v>5</v>
      </c>
      <c r="U3" s="695">
        <v>12</v>
      </c>
      <c r="V3" s="695">
        <v>12</v>
      </c>
      <c r="W3" s="695">
        <v>3</v>
      </c>
      <c r="X3" s="695">
        <v>9</v>
      </c>
      <c r="Y3" s="695">
        <v>12</v>
      </c>
      <c r="Z3" s="695">
        <v>13</v>
      </c>
      <c r="AA3" s="695">
        <v>6</v>
      </c>
      <c r="AB3" s="695">
        <v>40</v>
      </c>
      <c r="AC3" s="695">
        <v>10</v>
      </c>
      <c r="AD3" s="695">
        <v>9</v>
      </c>
      <c r="AE3" s="695">
        <v>18</v>
      </c>
      <c r="AF3" s="695">
        <v>13</v>
      </c>
      <c r="AG3" s="695">
        <v>13</v>
      </c>
      <c r="AH3" s="695">
        <v>13</v>
      </c>
      <c r="AI3" s="695">
        <v>17</v>
      </c>
      <c r="AJ3" s="2066" t="s">
        <v>8779</v>
      </c>
      <c r="AK3" s="2297"/>
      <c r="AL3" s="3">
        <v>1</v>
      </c>
      <c r="AM3" s="10">
        <f ca="1">COUNTA(A1:AL329) + COUNTBLANK(A1:AL329)</f>
        <v>14850</v>
      </c>
      <c r="AN3" s="11" t="str">
        <f>"cellules entre -cells -celdas  "&amp;" " &amp;A1&amp;" et  "&amp;AL329</f>
        <v>cellules entre -cells -celdas   A1 et  AL329</v>
      </c>
    </row>
    <row r="4" spans="1:40" ht="21" customHeight="1" thickBot="1">
      <c r="A4" s="2230"/>
      <c r="B4" s="186"/>
      <c r="C4" s="186"/>
      <c r="D4" s="186"/>
      <c r="E4" s="186"/>
      <c r="F4" s="186"/>
      <c r="G4" s="186"/>
      <c r="H4" s="186"/>
      <c r="I4" s="186"/>
      <c r="J4" s="186"/>
      <c r="K4" s="186"/>
      <c r="L4" s="186"/>
      <c r="M4" s="186"/>
      <c r="N4" s="186"/>
      <c r="O4" s="2230"/>
      <c r="P4" s="5562" t="s">
        <v>14164</v>
      </c>
      <c r="AG4" s="714" t="s">
        <v>1495</v>
      </c>
      <c r="AI4" s="705" t="s">
        <v>1491</v>
      </c>
      <c r="AJ4" s="706" t="str">
        <f>AL329</f>
        <v>AL329</v>
      </c>
      <c r="AK4" s="2297"/>
      <c r="AL4" s="3">
        <v>1</v>
      </c>
      <c r="AM4" s="10">
        <f ca="1">COUNTA(A1:AL329)</f>
        <v>3634</v>
      </c>
      <c r="AN4" s="11" t="s">
        <v>9</v>
      </c>
    </row>
    <row r="5" spans="1:40" ht="21" customHeight="1">
      <c r="A5" s="2230"/>
      <c r="B5" s="186"/>
      <c r="C5" s="186"/>
      <c r="D5" s="186"/>
      <c r="E5" s="186"/>
      <c r="F5" s="186"/>
      <c r="G5" s="186"/>
      <c r="H5" s="186"/>
      <c r="I5" s="186"/>
      <c r="J5" s="186"/>
      <c r="K5" s="186"/>
      <c r="L5" s="186"/>
      <c r="M5" s="186"/>
      <c r="N5" s="186"/>
      <c r="O5" s="2230"/>
      <c r="P5" s="1586"/>
      <c r="Q5" s="6802" t="s">
        <v>8944</v>
      </c>
      <c r="R5" s="6802"/>
      <c r="S5" s="6802"/>
      <c r="T5" s="6802"/>
      <c r="U5" s="6802"/>
      <c r="V5" s="6802"/>
      <c r="W5" s="6802"/>
      <c r="X5" s="6802"/>
      <c r="Y5" s="6802"/>
      <c r="Z5" s="6802"/>
      <c r="AA5" s="6802"/>
      <c r="AB5" s="6802"/>
      <c r="AC5" s="6802"/>
      <c r="AD5" s="6802"/>
      <c r="AE5" s="6802"/>
      <c r="AF5" s="6802"/>
      <c r="AG5" s="6802"/>
      <c r="AH5" s="6804" t="s">
        <v>8226</v>
      </c>
      <c r="AI5" s="6805"/>
      <c r="AJ5" s="2230"/>
      <c r="AK5" s="2297"/>
      <c r="AL5" s="3">
        <v>1</v>
      </c>
      <c r="AM5" s="10">
        <f ca="1">COUNTBLANK(A1:AL329)</f>
        <v>11216</v>
      </c>
      <c r="AN5" s="11" t="s">
        <v>12</v>
      </c>
    </row>
    <row r="6" spans="1:40" ht="21" customHeight="1">
      <c r="A6" s="2230"/>
      <c r="B6" s="186"/>
      <c r="C6" s="186"/>
      <c r="D6" s="186"/>
      <c r="E6" s="186"/>
      <c r="F6" s="186"/>
      <c r="G6" s="186"/>
      <c r="H6" s="186"/>
      <c r="I6" s="186"/>
      <c r="J6" s="186"/>
      <c r="K6" s="186"/>
      <c r="L6" s="186"/>
      <c r="M6" s="186"/>
      <c r="N6" s="186"/>
      <c r="O6" s="2230"/>
      <c r="P6" s="1587"/>
      <c r="Q6" s="6803"/>
      <c r="R6" s="6803"/>
      <c r="S6" s="6803"/>
      <c r="T6" s="6803"/>
      <c r="U6" s="6803"/>
      <c r="V6" s="6803"/>
      <c r="W6" s="6803"/>
      <c r="X6" s="6803"/>
      <c r="Y6" s="6803"/>
      <c r="Z6" s="6803"/>
      <c r="AA6" s="6803"/>
      <c r="AB6" s="6803"/>
      <c r="AC6" s="6803"/>
      <c r="AD6" s="6803"/>
      <c r="AE6" s="6803"/>
      <c r="AF6" s="6803"/>
      <c r="AG6" s="6803"/>
      <c r="AH6" s="6806">
        <v>20</v>
      </c>
      <c r="AI6" s="6807"/>
      <c r="AJ6" s="2230"/>
      <c r="AK6" s="2297"/>
      <c r="AL6" s="3">
        <v>1</v>
      </c>
      <c r="AM6" s="10">
        <f>SUM(AL1:AL327)+2</f>
        <v>329</v>
      </c>
      <c r="AN6" s="11" t="s">
        <v>14</v>
      </c>
    </row>
    <row r="7" spans="1:40" ht="21" customHeight="1">
      <c r="A7" s="2230"/>
      <c r="B7" s="186"/>
      <c r="C7" s="186"/>
      <c r="D7" s="186"/>
      <c r="E7" s="186"/>
      <c r="F7" s="186"/>
      <c r="G7" s="186"/>
      <c r="H7" s="186"/>
      <c r="I7" s="186"/>
      <c r="J7" s="186"/>
      <c r="K7" s="186"/>
      <c r="L7" s="186"/>
      <c r="M7" s="186"/>
      <c r="N7" s="186"/>
      <c r="O7" s="2230"/>
      <c r="P7" s="1587"/>
      <c r="Q7" s="2224"/>
      <c r="R7" s="2224"/>
      <c r="S7" s="2224"/>
      <c r="T7" s="2224"/>
      <c r="U7" s="2225" t="s">
        <v>8948</v>
      </c>
      <c r="V7" s="2224"/>
      <c r="W7" s="2224"/>
      <c r="X7" s="2224"/>
      <c r="Y7" s="2224"/>
      <c r="Z7" s="2224"/>
      <c r="AA7" s="2224"/>
      <c r="AB7" s="2224"/>
      <c r="AC7" s="2225" t="s">
        <v>14097</v>
      </c>
      <c r="AD7" s="186"/>
      <c r="AE7" s="2224"/>
      <c r="AF7" s="2224"/>
      <c r="AG7" s="2224"/>
      <c r="AH7" s="6806"/>
      <c r="AI7" s="6807"/>
      <c r="AJ7" s="2230"/>
      <c r="AK7" s="2297"/>
      <c r="AL7" s="3">
        <v>1</v>
      </c>
      <c r="AM7" s="10" cm="1">
        <f t="array" ref="AM7">SUM(A329:AK329+1)</f>
        <v>74</v>
      </c>
      <c r="AN7" s="11" t="s">
        <v>17</v>
      </c>
    </row>
    <row r="8" spans="1:40" ht="21" customHeight="1">
      <c r="A8" s="2230"/>
      <c r="B8" s="186"/>
      <c r="C8" s="186"/>
      <c r="D8" s="186"/>
      <c r="E8" s="186"/>
      <c r="F8" s="186"/>
      <c r="G8" s="186"/>
      <c r="H8" s="186"/>
      <c r="I8" s="186"/>
      <c r="J8" s="186"/>
      <c r="K8" s="186"/>
      <c r="L8" s="186"/>
      <c r="M8" s="186"/>
      <c r="N8" s="186"/>
      <c r="O8" s="2230"/>
      <c r="P8" s="1587"/>
      <c r="Q8" s="2224"/>
      <c r="R8" s="2224"/>
      <c r="S8" s="2224"/>
      <c r="T8" s="2224"/>
      <c r="U8" s="2226" t="s">
        <v>14098</v>
      </c>
      <c r="V8" s="2224"/>
      <c r="W8" s="2224"/>
      <c r="X8" s="2224"/>
      <c r="Y8" s="2224"/>
      <c r="Z8" s="2224"/>
      <c r="AA8" s="2224"/>
      <c r="AB8" s="2224"/>
      <c r="AC8" s="6461" t="s">
        <v>14099</v>
      </c>
      <c r="AD8" s="6461"/>
      <c r="AE8" s="6461"/>
      <c r="AF8" s="6461"/>
      <c r="AG8" s="6461"/>
      <c r="AH8" s="6806"/>
      <c r="AI8" s="6807"/>
      <c r="AJ8" s="2230"/>
      <c r="AK8" s="2297"/>
      <c r="AL8" s="3">
        <v>1</v>
      </c>
      <c r="AM8" s="10"/>
      <c r="AN8" s="11"/>
    </row>
    <row r="9" spans="1:40" ht="21" customHeight="1">
      <c r="A9" s="2230"/>
      <c r="B9" s="186"/>
      <c r="C9" s="186"/>
      <c r="D9" s="186"/>
      <c r="E9" s="186"/>
      <c r="F9" s="186"/>
      <c r="G9" s="186"/>
      <c r="H9" s="186"/>
      <c r="I9" s="186"/>
      <c r="J9" s="186"/>
      <c r="K9" s="186"/>
      <c r="L9" s="186"/>
      <c r="M9" s="186"/>
      <c r="N9" s="186"/>
      <c r="O9" s="2230"/>
      <c r="P9" s="1587"/>
      <c r="Q9" s="2224"/>
      <c r="R9" s="2224"/>
      <c r="S9" s="2224"/>
      <c r="T9" s="2224"/>
      <c r="U9" s="1994" t="s">
        <v>14100</v>
      </c>
      <c r="V9" s="2224"/>
      <c r="W9" s="2224"/>
      <c r="X9" s="2224"/>
      <c r="Y9" s="2224"/>
      <c r="Z9" s="2224"/>
      <c r="AA9" s="2224"/>
      <c r="AB9" s="2224"/>
      <c r="AC9" s="6461"/>
      <c r="AD9" s="6461"/>
      <c r="AE9" s="6461"/>
      <c r="AF9" s="6461"/>
      <c r="AG9" s="6461"/>
      <c r="AH9" s="6806"/>
      <c r="AI9" s="6807"/>
      <c r="AJ9" s="2230"/>
      <c r="AK9" s="2297"/>
      <c r="AL9" s="3">
        <v>1</v>
      </c>
    </row>
    <row r="10" spans="1:40" ht="21" customHeight="1">
      <c r="A10" s="2230"/>
      <c r="B10" s="186"/>
      <c r="C10" s="186"/>
      <c r="D10" s="186"/>
      <c r="E10" s="186"/>
      <c r="F10" s="186"/>
      <c r="G10" s="186"/>
      <c r="H10" s="186"/>
      <c r="I10" s="186"/>
      <c r="J10" s="186"/>
      <c r="K10" s="186"/>
      <c r="L10" s="186"/>
      <c r="M10" s="186"/>
      <c r="N10" s="186"/>
      <c r="O10" s="2230"/>
      <c r="P10" s="1587"/>
      <c r="Q10" s="2224"/>
      <c r="R10" s="2224"/>
      <c r="S10" s="2224"/>
      <c r="T10" s="2224"/>
      <c r="U10" s="1994" t="s">
        <v>14101</v>
      </c>
      <c r="V10" s="2224"/>
      <c r="W10" s="2224"/>
      <c r="X10" s="2224"/>
      <c r="Y10" s="2224"/>
      <c r="Z10" s="2224"/>
      <c r="AA10" s="2224"/>
      <c r="AB10" s="2224"/>
      <c r="AC10" s="6463" t="s">
        <v>14102</v>
      </c>
      <c r="AD10" s="6463"/>
      <c r="AE10" s="6463"/>
      <c r="AF10" s="6463"/>
      <c r="AG10" s="6463"/>
      <c r="AH10" s="6806"/>
      <c r="AI10" s="6807"/>
      <c r="AJ10" s="2230"/>
      <c r="AK10" s="2297"/>
      <c r="AL10" s="3">
        <v>1</v>
      </c>
    </row>
    <row r="11" spans="1:40" ht="21" customHeight="1">
      <c r="A11" s="2230"/>
      <c r="B11" s="186"/>
      <c r="C11" s="186"/>
      <c r="D11" s="186"/>
      <c r="E11" s="186"/>
      <c r="F11" s="186"/>
      <c r="G11" s="186"/>
      <c r="H11" s="186"/>
      <c r="I11" s="186"/>
      <c r="J11" s="186"/>
      <c r="K11" s="186"/>
      <c r="L11" s="186"/>
      <c r="M11" s="186"/>
      <c r="N11" s="186"/>
      <c r="O11" s="2230"/>
      <c r="P11" s="1587"/>
      <c r="Q11" s="2224"/>
      <c r="R11" s="2224"/>
      <c r="S11" s="2224"/>
      <c r="T11" s="2224"/>
      <c r="U11" s="1994" t="s">
        <v>14103</v>
      </c>
      <c r="V11" s="2224"/>
      <c r="W11" s="2224"/>
      <c r="X11" s="2224"/>
      <c r="Y11" s="2224"/>
      <c r="Z11" s="2224"/>
      <c r="AA11" s="2224"/>
      <c r="AB11" s="2224"/>
      <c r="AC11" s="6463"/>
      <c r="AD11" s="6463"/>
      <c r="AE11" s="6463"/>
      <c r="AF11" s="6463"/>
      <c r="AG11" s="6463"/>
      <c r="AH11" s="6806"/>
      <c r="AI11" s="6807"/>
      <c r="AJ11" s="2230"/>
      <c r="AK11" s="2297"/>
      <c r="AL11" s="3">
        <v>1</v>
      </c>
      <c r="AM11" s="198" t="s">
        <v>14241</v>
      </c>
      <c r="AN11" s="198"/>
    </row>
    <row r="12" spans="1:40" ht="21" customHeight="1">
      <c r="A12" s="2230"/>
      <c r="B12" s="186"/>
      <c r="C12" s="186"/>
      <c r="D12" s="186"/>
      <c r="E12" s="186"/>
      <c r="F12" s="186"/>
      <c r="G12" s="186"/>
      <c r="H12" s="186"/>
      <c r="I12" s="186"/>
      <c r="J12" s="186"/>
      <c r="K12" s="186"/>
      <c r="L12" s="186"/>
      <c r="M12" s="186"/>
      <c r="N12" s="186"/>
      <c r="O12" s="2230"/>
      <c r="P12" s="1587"/>
      <c r="Q12" s="2224"/>
      <c r="R12" s="2224"/>
      <c r="S12" s="2224"/>
      <c r="T12" s="2224"/>
      <c r="U12" s="1994" t="s">
        <v>14104</v>
      </c>
      <c r="V12" s="2224"/>
      <c r="W12" s="2224"/>
      <c r="X12" s="2224"/>
      <c r="Y12" s="2224"/>
      <c r="Z12" s="2224"/>
      <c r="AA12" s="2224"/>
      <c r="AB12" s="2224"/>
      <c r="AC12" s="1994" t="s">
        <v>14105</v>
      </c>
      <c r="AE12" s="2224"/>
      <c r="AF12" s="2224"/>
      <c r="AG12" s="2224"/>
      <c r="AH12" s="6806"/>
      <c r="AI12" s="6807"/>
      <c r="AJ12" s="2230"/>
      <c r="AK12" s="2297"/>
      <c r="AL12" s="3">
        <v>1</v>
      </c>
      <c r="AM12" s="198" t="s">
        <v>14229</v>
      </c>
      <c r="AN12" s="198"/>
    </row>
    <row r="13" spans="1:40" ht="21" customHeight="1">
      <c r="A13" s="2230"/>
      <c r="B13" s="186"/>
      <c r="C13" s="186"/>
      <c r="D13" s="186"/>
      <c r="E13" s="186"/>
      <c r="F13" s="186"/>
      <c r="G13" s="186"/>
      <c r="H13" s="186"/>
      <c r="I13" s="186"/>
      <c r="J13" s="186"/>
      <c r="K13" s="186"/>
      <c r="L13" s="186" t="s">
        <v>14280</v>
      </c>
      <c r="M13" s="186"/>
      <c r="N13" s="186"/>
      <c r="O13" s="2230"/>
      <c r="P13" s="1587"/>
      <c r="Q13" s="2224"/>
      <c r="R13" s="2224"/>
      <c r="S13" s="2224"/>
      <c r="T13" s="2224"/>
      <c r="U13" s="1994" t="s">
        <v>14106</v>
      </c>
      <c r="V13" s="2224"/>
      <c r="W13" s="2224"/>
      <c r="X13" s="2224"/>
      <c r="Y13" s="2224"/>
      <c r="Z13" s="2224"/>
      <c r="AA13" s="2224"/>
      <c r="AB13" s="2224"/>
      <c r="AC13" s="1994" t="s">
        <v>14107</v>
      </c>
      <c r="AD13" s="186"/>
      <c r="AE13" s="2224"/>
      <c r="AF13" s="2224"/>
      <c r="AG13" s="2224"/>
      <c r="AH13" s="6806"/>
      <c r="AI13" s="6807"/>
      <c r="AJ13" s="2230"/>
      <c r="AK13" s="2297"/>
      <c r="AL13" s="3">
        <v>1</v>
      </c>
      <c r="AM13" s="198"/>
      <c r="AN13" s="198"/>
    </row>
    <row r="14" spans="1:40" ht="21" customHeight="1">
      <c r="A14" s="2230"/>
      <c r="B14" s="186"/>
      <c r="C14" s="186"/>
      <c r="D14" s="186"/>
      <c r="E14" s="186"/>
      <c r="F14" s="186"/>
      <c r="G14" s="186"/>
      <c r="H14" s="186"/>
      <c r="I14" s="186"/>
      <c r="J14" s="186"/>
      <c r="K14" s="186"/>
      <c r="L14" s="186"/>
      <c r="M14" s="186"/>
      <c r="N14" s="186"/>
      <c r="O14" s="2230"/>
      <c r="P14" s="1587"/>
      <c r="Q14" s="2224"/>
      <c r="R14" s="2224"/>
      <c r="S14" s="2224"/>
      <c r="T14" s="2224"/>
      <c r="U14" s="904" t="s">
        <v>8951</v>
      </c>
      <c r="V14" s="2224"/>
      <c r="W14" s="2224"/>
      <c r="X14" s="2224"/>
      <c r="Y14" s="2224"/>
      <c r="Z14" s="2224"/>
      <c r="AA14" s="2224"/>
      <c r="AB14" s="1340"/>
      <c r="AC14" s="1340" t="s">
        <v>8230</v>
      </c>
      <c r="AD14" s="191"/>
      <c r="AE14" s="2224"/>
      <c r="AF14" s="2224"/>
      <c r="AG14" s="2224"/>
      <c r="AH14" s="6806"/>
      <c r="AI14" s="6807"/>
      <c r="AJ14" s="2230"/>
      <c r="AK14" s="2297"/>
      <c r="AL14" s="3">
        <v>1</v>
      </c>
      <c r="AM14" s="198" t="s">
        <v>14232</v>
      </c>
      <c r="AN14" s="198"/>
    </row>
    <row r="15" spans="1:40" ht="21" customHeight="1" thickBot="1">
      <c r="A15" s="2230"/>
      <c r="B15" s="186"/>
      <c r="C15" s="186"/>
      <c r="D15" s="186"/>
      <c r="E15" s="186"/>
      <c r="F15" s="186"/>
      <c r="G15" s="186"/>
      <c r="H15" s="186"/>
      <c r="I15" s="186"/>
      <c r="J15" s="186"/>
      <c r="K15" s="186"/>
      <c r="L15" s="186"/>
      <c r="M15" s="186"/>
      <c r="N15" s="186"/>
      <c r="O15" s="2230"/>
      <c r="P15" s="6096"/>
      <c r="Q15" s="1590"/>
      <c r="R15" s="906"/>
      <c r="S15" s="908"/>
      <c r="T15" s="908"/>
      <c r="U15" s="908"/>
      <c r="V15" s="908"/>
      <c r="W15" s="908"/>
      <c r="X15" s="908"/>
      <c r="Y15" s="908"/>
      <c r="Z15" s="908"/>
      <c r="AA15" s="1591"/>
      <c r="AB15" s="908"/>
      <c r="AC15" s="908"/>
      <c r="AD15" s="6097"/>
      <c r="AE15" s="908"/>
      <c r="AF15" s="908"/>
      <c r="AG15" s="908"/>
      <c r="AH15" s="6800" t="s">
        <v>8229</v>
      </c>
      <c r="AI15" s="6801"/>
      <c r="AJ15" s="2230"/>
      <c r="AK15" s="2297"/>
      <c r="AL15" s="3">
        <v>1</v>
      </c>
      <c r="AM15" s="198" t="s">
        <v>14235</v>
      </c>
      <c r="AN15" s="198"/>
    </row>
    <row r="16" spans="1:40" ht="21" customHeight="1" thickBot="1">
      <c r="A16" s="2230"/>
      <c r="B16" s="186"/>
      <c r="C16" s="186"/>
      <c r="D16" s="186"/>
      <c r="E16" s="186"/>
      <c r="F16" s="186"/>
      <c r="G16" s="186"/>
      <c r="H16" s="186"/>
      <c r="I16" s="186"/>
      <c r="J16" s="186"/>
      <c r="K16" s="186"/>
      <c r="L16" s="186"/>
      <c r="M16" s="186"/>
      <c r="N16" s="186"/>
      <c r="O16" s="2230"/>
      <c r="P16" s="1595"/>
      <c r="Q16" s="1348"/>
      <c r="R16" s="1348"/>
      <c r="S16" s="1349"/>
      <c r="T16" s="1350"/>
      <c r="U16" s="6098"/>
      <c r="V16" s="6098"/>
      <c r="W16" s="6098"/>
      <c r="X16" s="6098"/>
      <c r="Y16" s="6098"/>
      <c r="Z16" s="1372" t="s">
        <v>8145</v>
      </c>
      <c r="AA16" s="1340"/>
      <c r="AC16" s="1596"/>
      <c r="AI16" s="186"/>
      <c r="AJ16" s="2230"/>
      <c r="AK16" s="2230"/>
      <c r="AL16" s="3">
        <v>1</v>
      </c>
    </row>
    <row r="17" spans="1:40" ht="21" customHeight="1">
      <c r="A17" s="2230"/>
      <c r="B17" s="186"/>
      <c r="C17" s="186"/>
      <c r="D17" s="186"/>
      <c r="E17" s="6040"/>
      <c r="F17" s="1246"/>
      <c r="G17" s="1246"/>
      <c r="H17" s="186"/>
      <c r="I17" s="186"/>
      <c r="J17" s="186"/>
      <c r="K17" s="186"/>
      <c r="L17" s="5989" t="s">
        <v>14273</v>
      </c>
      <c r="M17" s="186"/>
      <c r="N17" s="186"/>
      <c r="O17" s="2230"/>
      <c r="P17" s="19" t="s">
        <v>10</v>
      </c>
      <c r="Q17" s="1599" t="str">
        <f>Q23</f>
        <v>B BEIGNETS D'ACACIA | pâtisserie--Beignets| Auteur &gt; Cuisine Actuelle</v>
      </c>
      <c r="R17" s="1600">
        <f>R23</f>
        <v>4</v>
      </c>
      <c r="S17" s="1600" t="str">
        <f>S23</f>
        <v>personnes</v>
      </c>
      <c r="T17" s="1601" t="str">
        <f>T23</f>
        <v>Recette mère ► Beignets d'acacia</v>
      </c>
      <c r="U17" s="2098" t="s">
        <v>21</v>
      </c>
      <c r="V17" s="1602" t="s">
        <v>22</v>
      </c>
      <c r="W17" s="1602"/>
      <c r="X17" s="6795" t="s">
        <v>8231</v>
      </c>
      <c r="Y17" s="6795"/>
      <c r="Z17" s="6795"/>
      <c r="AA17" s="6795"/>
      <c r="AB17" s="6795"/>
      <c r="AC17" s="6795"/>
      <c r="AD17" s="6795"/>
      <c r="AE17" s="6795"/>
      <c r="AF17" s="6795"/>
      <c r="AG17" s="6636" t="s">
        <v>8232</v>
      </c>
      <c r="AH17" s="6636"/>
      <c r="AI17" s="6797" t="str">
        <f>UPPER(LEFT(X17,1))</f>
        <v>B</v>
      </c>
      <c r="AJ17" s="2230"/>
      <c r="AK17" s="2230"/>
      <c r="AL17" s="3">
        <v>1</v>
      </c>
    </row>
    <row r="18" spans="1:40" ht="21" customHeight="1">
      <c r="A18" s="2230"/>
      <c r="B18" s="186"/>
      <c r="C18" s="186"/>
      <c r="D18" s="186"/>
      <c r="E18" s="5990" t="s">
        <v>14259</v>
      </c>
      <c r="F18" s="186"/>
      <c r="G18" s="186"/>
      <c r="H18" s="186"/>
      <c r="I18" s="186"/>
      <c r="J18" s="186"/>
      <c r="K18" s="186"/>
      <c r="L18" s="186"/>
      <c r="M18" s="186"/>
      <c r="N18" s="186"/>
      <c r="O18" s="2230"/>
      <c r="P18" s="1604" t="s">
        <v>10</v>
      </c>
      <c r="Q18" s="1605" t="str">
        <f>Q23</f>
        <v>B BEIGNETS D'ACACIA | pâtisserie--Beignets| Auteur &gt; Cuisine Actuelle</v>
      </c>
      <c r="R18" s="1606">
        <f>R23</f>
        <v>4</v>
      </c>
      <c r="S18" s="1606" t="str">
        <f>S23</f>
        <v>personnes</v>
      </c>
      <c r="T18" s="1607" t="str">
        <f>T23</f>
        <v>Recette mère ► Beignets d'acacia</v>
      </c>
      <c r="U18" s="2099" t="s">
        <v>28</v>
      </c>
      <c r="V18" s="1608" t="s">
        <v>831</v>
      </c>
      <c r="W18" s="1608"/>
      <c r="X18" s="6796"/>
      <c r="Y18" s="6796"/>
      <c r="Z18" s="6796"/>
      <c r="AA18" s="6796"/>
      <c r="AB18" s="6796"/>
      <c r="AC18" s="6796"/>
      <c r="AD18" s="6796"/>
      <c r="AE18" s="6796"/>
      <c r="AF18" s="6796"/>
      <c r="AG18" s="6637"/>
      <c r="AH18" s="6637"/>
      <c r="AI18" s="6798"/>
      <c r="AJ18" s="2230"/>
      <c r="AK18" s="2230"/>
      <c r="AL18" s="3">
        <v>1</v>
      </c>
      <c r="AM18" s="198" t="s">
        <v>14242</v>
      </c>
      <c r="AN18" s="198"/>
    </row>
    <row r="19" spans="1:40" ht="21" customHeight="1">
      <c r="A19" s="2230"/>
      <c r="B19" s="186"/>
      <c r="C19" s="186"/>
      <c r="D19" s="186"/>
      <c r="E19" s="186"/>
      <c r="F19" s="186"/>
      <c r="G19" s="186"/>
      <c r="H19" s="186"/>
      <c r="I19" s="186"/>
      <c r="J19" s="186"/>
      <c r="K19" s="186"/>
      <c r="L19" s="186"/>
      <c r="M19" s="186"/>
      <c r="N19" s="186"/>
      <c r="O19" s="2230"/>
      <c r="P19" s="1604" t="s">
        <v>10</v>
      </c>
      <c r="Q19" s="31" t="str">
        <f>Q23</f>
        <v>B BEIGNETS D'ACACIA | pâtisserie--Beignets| Auteur &gt; Cuisine Actuelle</v>
      </c>
      <c r="R19" s="32">
        <f>R23</f>
        <v>4</v>
      </c>
      <c r="S19" s="32" t="str">
        <f>S23</f>
        <v>personnes</v>
      </c>
      <c r="T19" s="33" t="str">
        <f>T23</f>
        <v>Recette mère ► Beignets d'acacia</v>
      </c>
      <c r="U19" s="1357"/>
      <c r="V19" s="1358" t="s">
        <v>30</v>
      </c>
      <c r="W19" s="34"/>
      <c r="X19" s="35" t="s">
        <v>31</v>
      </c>
      <c r="Y19" s="36" t="s">
        <v>8235</v>
      </c>
      <c r="Z19" s="186"/>
      <c r="AA19" s="186"/>
      <c r="AB19" s="36"/>
      <c r="AC19" s="36"/>
      <c r="AD19" s="36"/>
      <c r="AE19" s="37"/>
      <c r="AF19" s="186"/>
      <c r="AG19" s="186"/>
      <c r="AH19" s="186"/>
      <c r="AI19" s="2062" t="str" cm="1">
        <f t="array" aca="1" ref="AI19" ca="1">IF(COUNTIF(Q44:AI44,"&lt;0.5")=0,"Aucune colonne masquée ",COUNTIF(Q44:AI44,"&lt;0.5") &amp; " " &amp; IF(COUNTIF(Q44:AI44,"&lt;0.5")&gt;1,"colonnes masquées","colonne masquée") &amp; " " &amp; _xlfn.TEXTJOIN(" ", TRUE, IF(Q44:AI44&lt;0.5,Q43:AI43,"")))&amp;" "</f>
        <v xml:space="preserve">Aucune colonne masquée  </v>
      </c>
      <c r="AJ19" s="2230"/>
      <c r="AK19" s="2230"/>
      <c r="AL19" s="3">
        <v>1</v>
      </c>
      <c r="AM19" s="198" t="s">
        <v>14230</v>
      </c>
      <c r="AN19" s="198"/>
    </row>
    <row r="20" spans="1:40" ht="21" customHeight="1">
      <c r="A20" s="2230"/>
      <c r="B20" s="186"/>
      <c r="C20" s="186"/>
      <c r="D20" s="186"/>
      <c r="E20" s="186"/>
      <c r="F20" s="186"/>
      <c r="G20" s="186"/>
      <c r="H20" s="186"/>
      <c r="I20" s="186"/>
      <c r="J20" s="186"/>
      <c r="K20" s="186"/>
      <c r="L20" s="6085" t="s">
        <v>14274</v>
      </c>
      <c r="M20" s="186"/>
      <c r="N20" s="186"/>
      <c r="O20" s="2230"/>
      <c r="P20" s="1604" t="s">
        <v>10</v>
      </c>
      <c r="Q20" s="31" t="str">
        <f>Q23</f>
        <v>B BEIGNETS D'ACACIA | pâtisserie--Beignets| Auteur &gt; Cuisine Actuelle</v>
      </c>
      <c r="R20" s="32">
        <f>R23</f>
        <v>4</v>
      </c>
      <c r="S20" s="32" t="str">
        <f>S23</f>
        <v>personnes</v>
      </c>
      <c r="T20" s="33" t="str">
        <f>T23</f>
        <v>Recette mère ► Beignets d'acacia</v>
      </c>
      <c r="U20" s="39" t="s">
        <v>32</v>
      </c>
      <c r="V20" s="40"/>
      <c r="W20" s="40"/>
      <c r="X20" s="6099" t="s">
        <v>33</v>
      </c>
      <c r="Y20" s="6799" t="str">
        <f>AA23&amp;" "&amp;AB23&amp;" ► Famille = "&amp;AG17&amp;" ► "&amp;X17&amp;" "&amp;AE20&amp;" "&amp;AG20&amp;" "&amp;AH20&amp;" "&amp;AI20</f>
        <v>Recette mère ► Beignets d'acacia ► Famille = pâtisserie--Beignets ► BEIGNETS D'ACACIA  ⓫  Dupliquée pour 50 personnes</v>
      </c>
      <c r="Z20" s="6799"/>
      <c r="AA20" s="6799"/>
      <c r="AB20" s="6799"/>
      <c r="AC20" s="6799"/>
      <c r="AD20" s="6799"/>
      <c r="AE20" s="6799"/>
      <c r="AF20" s="1359"/>
      <c r="AG20" s="1359" t="s">
        <v>35</v>
      </c>
      <c r="AH20" s="140">
        <v>50</v>
      </c>
      <c r="AI20" s="43" t="str">
        <f>AI22</f>
        <v>personnes</v>
      </c>
      <c r="AJ20" s="2230"/>
      <c r="AK20" s="5559"/>
      <c r="AL20" s="3">
        <v>1</v>
      </c>
      <c r="AM20" s="198"/>
      <c r="AN20" s="198"/>
    </row>
    <row r="21" spans="1:40" ht="21" customHeight="1">
      <c r="A21" s="2230"/>
      <c r="B21" s="186"/>
      <c r="C21" s="186"/>
      <c r="D21" s="186"/>
      <c r="E21" s="186"/>
      <c r="F21" s="186"/>
      <c r="G21" s="186"/>
      <c r="H21" s="186"/>
      <c r="I21" s="186"/>
      <c r="J21" s="186"/>
      <c r="K21" s="186"/>
      <c r="L21" s="6083" t="str">
        <f>M46&amp;" ❶  Saisissez ou collez le texte à découper."</f>
        <v>Col.M ▼ ❶  Saisissez ou collez le texte à découper.</v>
      </c>
      <c r="M21" s="186"/>
      <c r="N21" s="186"/>
      <c r="O21" s="2230"/>
      <c r="P21" s="1604" t="s">
        <v>10</v>
      </c>
      <c r="Q21" s="31" t="str">
        <f>Q23</f>
        <v>B BEIGNETS D'ACACIA | pâtisserie--Beignets| Auteur &gt; Cuisine Actuelle</v>
      </c>
      <c r="R21" s="32">
        <f>R23</f>
        <v>4</v>
      </c>
      <c r="S21" s="32" t="str">
        <f>S23</f>
        <v>personnes</v>
      </c>
      <c r="T21" s="33" t="str">
        <f>T23</f>
        <v>Recette mère ► Beignets d'acacia</v>
      </c>
      <c r="U21" s="1360">
        <v>4</v>
      </c>
      <c r="V21" s="1361" t="s">
        <v>8237</v>
      </c>
      <c r="W21" s="39"/>
      <c r="X21" s="39"/>
      <c r="Y21" s="6799"/>
      <c r="Z21" s="6799"/>
      <c r="AA21" s="6799"/>
      <c r="AB21" s="6799"/>
      <c r="AC21" s="6799"/>
      <c r="AD21" s="6799"/>
      <c r="AE21" s="6799"/>
      <c r="AF21" s="1994"/>
      <c r="AG21" s="1994"/>
      <c r="AH21" s="1164" t="s">
        <v>40</v>
      </c>
      <c r="AI21" s="195" t="s">
        <v>41</v>
      </c>
      <c r="AJ21" s="2230"/>
      <c r="AK21" s="5559"/>
      <c r="AL21" s="3">
        <v>1</v>
      </c>
      <c r="AM21" s="198" t="s">
        <v>14233</v>
      </c>
      <c r="AN21" s="198"/>
    </row>
    <row r="22" spans="1:40" ht="21" customHeight="1">
      <c r="A22" s="2230"/>
      <c r="B22" s="186"/>
      <c r="C22" s="186"/>
      <c r="D22" s="186"/>
      <c r="E22" s="186"/>
      <c r="F22" s="186"/>
      <c r="G22" s="186"/>
      <c r="H22" s="186"/>
      <c r="I22" s="186"/>
      <c r="J22" s="186"/>
      <c r="K22" s="186"/>
      <c r="L22" s="2297" t="s">
        <v>14270</v>
      </c>
      <c r="M22" s="186"/>
      <c r="N22" s="186"/>
      <c r="O22" s="2230"/>
      <c r="P22" s="1604" t="s">
        <v>10</v>
      </c>
      <c r="Q22" s="31" t="str">
        <f>Q23</f>
        <v>B BEIGNETS D'ACACIA | pâtisserie--Beignets| Auteur &gt; Cuisine Actuelle</v>
      </c>
      <c r="R22" s="32">
        <f>R23</f>
        <v>4</v>
      </c>
      <c r="S22" s="32" t="str">
        <f>S23</f>
        <v>personnes</v>
      </c>
      <c r="T22" s="33" t="str">
        <f>T23</f>
        <v>Recette mère ► Beignets d'acacia</v>
      </c>
      <c r="U22" s="53"/>
      <c r="V22" s="1323" t="s">
        <v>8094</v>
      </c>
      <c r="W22" s="6737">
        <f>AE38</f>
        <v>0.51</v>
      </c>
      <c r="X22" s="6737"/>
      <c r="Y22" s="1324" t="str" cm="1">
        <f t="array" ref="Y22">"1= "&amp;IF(OR(U21&lt;=0,W22=""),"",_xlfn.LET(_xlpm.kg,IF(ISNUMBER(W22),W22,VALEUR(SUBSTITUTE(SUBSTITUTE(SUBSTITUTE(LOWER(W22),"kg",""),",",".")," ",""))),TEXT(ROUND(_xlpm.kg*1000/U21,2),"0.##")&amp;" g"))</f>
        <v>1= 127.5 g</v>
      </c>
      <c r="Z22" s="1325">
        <f>IFERROR(AH20/AH22,0)</f>
        <v>12.5</v>
      </c>
      <c r="AA22" s="1817" t="s">
        <v>8230</v>
      </c>
      <c r="AB22" s="579"/>
      <c r="AC22" s="6100"/>
      <c r="AD22" s="6100"/>
      <c r="AF22" s="1362"/>
      <c r="AG22" s="1362" t="s">
        <v>50</v>
      </c>
      <c r="AH22" s="2102">
        <v>4</v>
      </c>
      <c r="AI22" s="56" t="s">
        <v>8237</v>
      </c>
      <c r="AJ22" s="2230"/>
      <c r="AK22" s="5560"/>
      <c r="AL22" s="3">
        <v>1</v>
      </c>
      <c r="AM22" s="198" t="s">
        <v>14236</v>
      </c>
      <c r="AN22" s="198"/>
    </row>
    <row r="23" spans="1:40" ht="21" customHeight="1">
      <c r="A23" s="2230"/>
      <c r="B23" s="186"/>
      <c r="C23" s="186"/>
      <c r="D23" s="186"/>
      <c r="E23" s="186"/>
      <c r="F23" s="186"/>
      <c r="G23" s="186"/>
      <c r="H23" s="186"/>
      <c r="I23" s="186"/>
      <c r="J23" s="186"/>
      <c r="K23" s="186"/>
      <c r="L23" s="6083" t="str">
        <f>ADDRESS(ROW(C43),COLUMN(C43),4)&amp;"  ❷  saisissez la largeur du document"</f>
        <v>C43  ❷  saisissez la largeur du document</v>
      </c>
      <c r="M23" s="186"/>
      <c r="N23" s="186"/>
      <c r="O23" s="2230"/>
      <c r="P23" s="1604" t="s">
        <v>10</v>
      </c>
      <c r="Q23" s="61" t="str">
        <f>U23</f>
        <v>B BEIGNETS D'ACACIA | pâtisserie--Beignets| Auteur &gt; Cuisine Actuelle</v>
      </c>
      <c r="R23" s="62">
        <f>U21</f>
        <v>4</v>
      </c>
      <c r="S23" s="61" t="str">
        <f>V21</f>
        <v>personnes</v>
      </c>
      <c r="T23" s="63" t="str">
        <f>AA23&amp;" "&amp;AB23</f>
        <v>Recette mère ► Beignets d'acacia</v>
      </c>
      <c r="U23" s="64" t="str">
        <f>UPPER(LEFT(X17,1))&amp;" "&amp;X17&amp;" | "&amp;AG17&amp;"| "&amp;X19&amp;" "&amp;Y19</f>
        <v>B BEIGNETS D'ACACIA | pâtisserie--Beignets| Auteur &gt; Cuisine Actuelle</v>
      </c>
      <c r="V23" s="65" t="s">
        <v>53</v>
      </c>
      <c r="W23" s="6735" t="s">
        <v>54</v>
      </c>
      <c r="X23" s="6735"/>
      <c r="Y23" s="6735"/>
      <c r="Z23" s="66"/>
      <c r="AA23" s="66" t="str">
        <f>IF(ISTEXT(AB23),"Recette mère ►",V23)</f>
        <v>Recette mère ►</v>
      </c>
      <c r="AB23" s="67" t="s">
        <v>8142</v>
      </c>
      <c r="AC23" s="67"/>
      <c r="AD23" s="67"/>
      <c r="AE23" s="883"/>
      <c r="AF23" s="6101"/>
      <c r="AG23" s="6101"/>
      <c r="AH23" s="6101"/>
      <c r="AI23"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J23" s="2230"/>
      <c r="AK23" s="5560"/>
      <c r="AL23" s="3">
        <v>1</v>
      </c>
    </row>
    <row r="24" spans="1:40" ht="21" customHeight="1">
      <c r="A24" s="2230"/>
      <c r="B24" s="186"/>
      <c r="C24" s="186"/>
      <c r="D24" s="186"/>
      <c r="E24" s="186"/>
      <c r="F24" s="186"/>
      <c r="G24" s="186"/>
      <c r="H24" s="186"/>
      <c r="I24" s="186"/>
      <c r="J24" s="186"/>
      <c r="K24" s="186"/>
      <c r="L24" s="186" t="s">
        <v>14165</v>
      </c>
      <c r="M24" s="186"/>
      <c r="N24" s="186"/>
      <c r="O24" s="2230"/>
      <c r="P24" s="1604" t="s">
        <v>10</v>
      </c>
      <c r="Q24" s="70" t="str">
        <f>Q23</f>
        <v>B BEIGNETS D'ACACIA | pâtisserie--Beignets| Auteur &gt; Cuisine Actuelle</v>
      </c>
      <c r="R24" s="70">
        <f>R23</f>
        <v>4</v>
      </c>
      <c r="S24" s="70" t="str">
        <f>S23</f>
        <v>personnes</v>
      </c>
      <c r="T24" s="71" t="str">
        <f>T23</f>
        <v>Recette mère ► Beignets d'acacia</v>
      </c>
      <c r="U24" s="12" t="s">
        <v>65</v>
      </c>
      <c r="V24" s="12" t="s">
        <v>66</v>
      </c>
      <c r="W24" s="12" t="s">
        <v>67</v>
      </c>
      <c r="X24" s="12" t="s">
        <v>68</v>
      </c>
      <c r="Y24" s="72" t="s">
        <v>69</v>
      </c>
      <c r="Z24" s="73" t="s">
        <v>70</v>
      </c>
      <c r="AA24" s="12" t="s">
        <v>71</v>
      </c>
      <c r="AB24" s="12" t="s">
        <v>72</v>
      </c>
      <c r="AC24" s="12" t="s">
        <v>73</v>
      </c>
      <c r="AD24" s="12" t="s">
        <v>74</v>
      </c>
      <c r="AE24" s="12" t="s">
        <v>75</v>
      </c>
      <c r="AF24" s="12" t="s">
        <v>76</v>
      </c>
      <c r="AG24" s="12" t="s">
        <v>77</v>
      </c>
      <c r="AH24" s="12" t="s">
        <v>8143</v>
      </c>
      <c r="AI24" s="74" t="s">
        <v>8407</v>
      </c>
      <c r="AJ24" s="2230"/>
      <c r="AK24" s="2230"/>
      <c r="AL24" s="3">
        <v>1</v>
      </c>
    </row>
    <row r="25" spans="1:40" ht="21" customHeight="1">
      <c r="A25" s="2230"/>
      <c r="B25" s="186"/>
      <c r="C25" s="186"/>
      <c r="D25" s="186"/>
      <c r="E25" s="186"/>
      <c r="F25" s="186"/>
      <c r="G25" s="186"/>
      <c r="H25" s="186"/>
      <c r="I25" s="186"/>
      <c r="J25" s="186"/>
      <c r="K25" s="186"/>
      <c r="L25" s="6084" t="str">
        <f>"et ajustez la largeur de la colonne "&amp;L37&amp;"  à celle du document (postit, fiche…) où vous collerez le texte. "</f>
        <v xml:space="preserve">et ajustez la largeur de la colonne L  à celle du document (postit, fiche…) où vous collerez le texte. </v>
      </c>
      <c r="M25" s="186"/>
      <c r="N25" s="186"/>
      <c r="O25" s="2230"/>
      <c r="P25" s="1604" t="s">
        <v>10</v>
      </c>
      <c r="Q25" s="31" t="str">
        <f>Q23</f>
        <v>B BEIGNETS D'ACACIA | pâtisserie--Beignets| Auteur &gt; Cuisine Actuelle</v>
      </c>
      <c r="R25" s="32">
        <f>R23</f>
        <v>4</v>
      </c>
      <c r="S25" s="31" t="str">
        <f>S23</f>
        <v>personnes</v>
      </c>
      <c r="T25" s="33" t="str">
        <f>T23</f>
        <v>Recette mère ► Beignets d'acacia</v>
      </c>
      <c r="U25" s="6102" t="s">
        <v>78</v>
      </c>
      <c r="V25" s="6103" t="s">
        <v>79</v>
      </c>
      <c r="W25" s="78"/>
      <c r="X25" s="6612" t="s">
        <v>80</v>
      </c>
      <c r="Y25" s="6730" t="s">
        <v>81</v>
      </c>
      <c r="Z25" s="6732" t="s">
        <v>82</v>
      </c>
      <c r="AA25" s="6738" t="s">
        <v>8575</v>
      </c>
      <c r="AB25" s="6104" t="s">
        <v>83</v>
      </c>
      <c r="AC25" s="80" t="s">
        <v>49</v>
      </c>
      <c r="AD25" s="81" t="s">
        <v>84</v>
      </c>
      <c r="AE25" s="6607" t="s">
        <v>85</v>
      </c>
      <c r="AF25" s="6582" t="s">
        <v>84</v>
      </c>
      <c r="AG25" s="6727" t="s">
        <v>8405</v>
      </c>
      <c r="AH25" s="6584" t="s">
        <v>86</v>
      </c>
      <c r="AI25" s="6728" t="s">
        <v>87</v>
      </c>
      <c r="AJ25" s="2230"/>
      <c r="AK25" s="2230"/>
      <c r="AL25" s="3">
        <v>1</v>
      </c>
      <c r="AM25" s="198" t="s">
        <v>14243</v>
      </c>
      <c r="AN25" s="198"/>
    </row>
    <row r="26" spans="1:40" ht="21" customHeight="1">
      <c r="A26" s="2230"/>
      <c r="B26" s="186"/>
      <c r="C26" s="186"/>
      <c r="D26" s="186"/>
      <c r="E26" s="186"/>
      <c r="F26" s="186"/>
      <c r="G26" s="186"/>
      <c r="H26" s="186"/>
      <c r="I26" s="186"/>
      <c r="J26" s="186"/>
      <c r="K26" s="186"/>
      <c r="L26" s="5558" t="str">
        <f>ADDRESS(ROW(M44),COLUMN(M44),4)&amp;" ❸  saisissez un nombre de caractères par lignes"</f>
        <v>M44 ❸  saisissez un nombre de caractères par lignes</v>
      </c>
      <c r="M26" s="186"/>
      <c r="N26" s="186"/>
      <c r="O26" s="2230"/>
      <c r="P26" s="1604" t="s">
        <v>10</v>
      </c>
      <c r="Q26" s="31" t="str">
        <f>Q23</f>
        <v>B BEIGNETS D'ACACIA | pâtisserie--Beignets| Auteur &gt; Cuisine Actuelle</v>
      </c>
      <c r="R26" s="32">
        <f>R23</f>
        <v>4</v>
      </c>
      <c r="S26" s="31" t="str">
        <f>S23</f>
        <v>personnes</v>
      </c>
      <c r="T26" s="33" t="str">
        <f>T23</f>
        <v>Recette mère ► Beignets d'acacia</v>
      </c>
      <c r="U26" s="83" t="s">
        <v>92</v>
      </c>
      <c r="V26" s="84" t="s">
        <v>93</v>
      </c>
      <c r="W26" s="85" t="s">
        <v>94</v>
      </c>
      <c r="X26" s="6577"/>
      <c r="Y26" s="6471"/>
      <c r="Z26" s="6606"/>
      <c r="AA26" s="6739"/>
      <c r="AB26" s="86" t="s">
        <v>95</v>
      </c>
      <c r="AC26" s="87" t="s">
        <v>96</v>
      </c>
      <c r="AD26" s="88">
        <v>1</v>
      </c>
      <c r="AE26" s="6608"/>
      <c r="AF26" s="6583"/>
      <c r="AG26" s="6583"/>
      <c r="AH26" s="6585"/>
      <c r="AI26" s="6786"/>
      <c r="AJ26" s="2230"/>
      <c r="AK26" s="2230"/>
      <c r="AL26" s="3">
        <v>1</v>
      </c>
      <c r="AM26" s="198" t="s">
        <v>14231</v>
      </c>
      <c r="AN26" s="198"/>
    </row>
    <row r="27" spans="1:40" ht="21" customHeight="1">
      <c r="A27" s="2230"/>
      <c r="B27" s="186"/>
      <c r="C27" s="186"/>
      <c r="D27" s="186"/>
      <c r="E27" s="186"/>
      <c r="F27" s="186"/>
      <c r="G27" s="186"/>
      <c r="H27" s="186"/>
      <c r="I27" s="186"/>
      <c r="J27" s="186"/>
      <c r="K27" s="186"/>
      <c r="L27" s="2297" t="s">
        <v>14271</v>
      </c>
      <c r="M27" s="186"/>
      <c r="N27" s="186"/>
      <c r="O27" s="2230"/>
      <c r="P27" s="1604" t="s">
        <v>10</v>
      </c>
      <c r="Q27" s="5613" t="str">
        <f>Q23</f>
        <v>B BEIGNETS D'ACACIA | pâtisserie--Beignets| Auteur &gt; Cuisine Actuelle</v>
      </c>
      <c r="R27" s="32">
        <f>R23</f>
        <v>4</v>
      </c>
      <c r="S27" s="31" t="str">
        <f>S23</f>
        <v>personnes</v>
      </c>
      <c r="T27" s="33" t="str">
        <f>T23</f>
        <v>Recette mère ► Beignets d'acacia</v>
      </c>
      <c r="U27" s="89">
        <v>1</v>
      </c>
      <c r="V27" s="108" t="s">
        <v>8241</v>
      </c>
      <c r="W27" s="1363" t="str">
        <f t="shared" ref="W27:W35" si="2">IF(AND(U27&gt;0,X27&gt;0),"de","")</f>
        <v/>
      </c>
      <c r="X27" s="92"/>
      <c r="Y27" s="1364"/>
      <c r="Z27" s="130">
        <v>1</v>
      </c>
      <c r="AA27" s="1812" t="str">
        <f>ROWS(AA27:AA27)&amp;" ►"</f>
        <v>1 ►</v>
      </c>
      <c r="AB27" s="1580" t="s">
        <v>8242</v>
      </c>
      <c r="AC27" s="95">
        <f>IF(AE38=0,0,(AE27/AE38)*AD26*1000)</f>
        <v>0</v>
      </c>
      <c r="AD27" s="96">
        <f>IF(AE38=0, 0, (U27*Z27)/(AE38*AD26))</f>
        <v>1.9607843137254901</v>
      </c>
      <c r="AE27" s="97" cm="1">
        <f t="array" ref="AE27">IFERROR(_xlfn.XLOOKUP(UPPER(TRIM(Y27)),UPPER(TRIM(U39:AI39)),U40:AI40,_xlfn.XLOOKUP(UPPER(TRIM(Y27)),UPPER(TRIM(U41:AI41)),U42:AI42,0))*X27*IF(U27&gt;0,U27,1),0)</f>
        <v>0</v>
      </c>
      <c r="AF27" s="98">
        <f>IF(AH22&lt;&gt;0,U27*Z27*Z22,0)</f>
        <v>12.5</v>
      </c>
      <c r="AG27" s="1834" t="str">
        <f>V27</f>
        <v>poignée</v>
      </c>
      <c r="AH27" s="99">
        <f>IF(OR(ISBLANK(AH22),AH22=0),0,AE27*Z27*Z22)</f>
        <v>0</v>
      </c>
      <c r="AI27" s="100" t="str">
        <f>IF(Y27="","",IF(COUNTIF(AB39:AI39,SUBSTITUTE(TRIM(Y27)," (s)",""))+COUNTIF(AB41:AI41,SUBSTITUTE(TRIM(Y27)," (s)",""))&gt;0,IF(ROUND(AH27,3)&gt;=1,ROUND(AH27,3)&amp;" L",MAX(1,ROUND(AH27*100,0))&amp;" cl"),IF(COUNTIF(U39:Z39,SUBSTITUTE(TRIM(Y27)," (s)",""))+COUNTIF(U41:Z41,SUBSTITUTE(TRIM(Y27)," (s)",""))&gt;0,IF(ROUND(AH27,3)&gt;=1,ROUND(AH27,3)&amp;" Kg",MAX(1,ROUND(AH27*1000,0))&amp;" g"),"")))</f>
        <v/>
      </c>
      <c r="AJ27" s="2230"/>
      <c r="AK27" s="2230"/>
      <c r="AL27" s="3">
        <v>1</v>
      </c>
      <c r="AM27" s="198"/>
      <c r="AN27" s="198"/>
    </row>
    <row r="28" spans="1:40" ht="21" customHeight="1">
      <c r="A28" s="2230"/>
      <c r="B28" s="186"/>
      <c r="C28" s="186"/>
      <c r="D28" s="186"/>
      <c r="E28" s="186"/>
      <c r="F28" s="186"/>
      <c r="G28" s="186"/>
      <c r="H28" s="186"/>
      <c r="I28" s="186"/>
      <c r="J28" s="186"/>
      <c r="K28" s="186"/>
      <c r="L28" s="5558" t="str">
        <f>"❹ Si vous ne voulez pas de ponctuation saisissez un X dans la cellule "&amp;ADDRESS(ROW(C45),COLUMN(C45),4)</f>
        <v>❹ Si vous ne voulez pas de ponctuation saisissez un X dans la cellule C45</v>
      </c>
      <c r="M28" s="186"/>
      <c r="N28" s="186"/>
      <c r="O28" s="2230"/>
      <c r="P28" s="103" t="str">
        <f>IF(AB28&lt;&gt;"","A","►")</f>
        <v>A</v>
      </c>
      <c r="Q28" s="31" t="str">
        <f>Q23</f>
        <v>B BEIGNETS D'ACACIA | pâtisserie--Beignets| Auteur &gt; Cuisine Actuelle</v>
      </c>
      <c r="R28" s="32">
        <f>R23</f>
        <v>4</v>
      </c>
      <c r="S28" s="31" t="str">
        <f>S23</f>
        <v>personnes</v>
      </c>
      <c r="T28" s="33" t="str">
        <f>T23</f>
        <v>Recette mère ► Beignets d'acacia</v>
      </c>
      <c r="U28" s="89"/>
      <c r="V28" s="108"/>
      <c r="W28" s="91" t="str">
        <f t="shared" si="2"/>
        <v/>
      </c>
      <c r="X28" s="92">
        <v>180</v>
      </c>
      <c r="Y28" s="104" t="s">
        <v>100</v>
      </c>
      <c r="Z28" s="130">
        <v>1</v>
      </c>
      <c r="AA28" s="1813" t="str">
        <f>ROWS(AA27:AA28)&amp;" ►"</f>
        <v>2 ►</v>
      </c>
      <c r="AB28" s="1580" t="s">
        <v>8243</v>
      </c>
      <c r="AC28" s="95">
        <f>IF(AE38=0,0,(AE28/AE38)*AD26*1000)</f>
        <v>352.94117647058818</v>
      </c>
      <c r="AD28" s="105">
        <f>IF(AE38=0, 0, (U28*Z28)/(AE38*AD26))</f>
        <v>0</v>
      </c>
      <c r="AE28" s="97" cm="1">
        <f t="array" ref="AE28">IFERROR(_xlfn.XLOOKUP(UPPER(TRIM(Y28)),UPPER(TRIM(U39:AI39)),U40:AI40,_xlfn.XLOOKUP(UPPER(TRIM(Y28)),UPPER(TRIM(U41:AI41)),U42:AI42,0))*X28*IF(U28&gt;0,U28,1),0)</f>
        <v>0.18</v>
      </c>
      <c r="AF28" s="110">
        <f>IF(AH22&lt;&gt;0,U28*Z28*Z22,0)</f>
        <v>0</v>
      </c>
      <c r="AG28" s="1748">
        <f t="shared" ref="AG28:AG37" si="3">V28</f>
        <v>0</v>
      </c>
      <c r="AH28" s="99">
        <f>IF(OR(ISBLANK(AH22),AH22=0),0,AE28*Z28*Z22)</f>
        <v>2.25</v>
      </c>
      <c r="AI28" s="111" t="str">
        <f>IF(Y28="","",IF(COUNTIF(AB39:AI39,SUBSTITUTE(TRIM(Y28)," (s)",""))+COUNTIF(AB41:AI41,SUBSTITUTE(TRIM(Y28)," (s)",""))&gt;0,IF(ROUND(AH28,3)&gt;=1,ROUND(AH28,3)&amp;" L",MAX(1,ROUND(AH28*100,0))&amp;" cl"),IF(COUNTIF(U39:Z39,SUBSTITUTE(TRIM(Y28)," (s)",""))+COUNTIF(U41:Z41,SUBSTITUTE(TRIM(Y28)," (s)",""))&gt;0,IF(ROUND(AH28,3)&gt;=1,ROUND(AH28,3)&amp;" Kg",MAX(1,ROUND(AH28*1000,0))&amp;" g"),"")))</f>
        <v>2.25 Kg</v>
      </c>
      <c r="AJ28" s="2230"/>
      <c r="AK28" s="2230"/>
      <c r="AL28" s="3">
        <v>1</v>
      </c>
      <c r="AM28" s="198" t="s">
        <v>14234</v>
      </c>
      <c r="AN28" s="198"/>
    </row>
    <row r="29" spans="1:40" ht="21" customHeight="1">
      <c r="A29" s="2230"/>
      <c r="B29" s="186"/>
      <c r="C29" s="186"/>
      <c r="D29" s="186"/>
      <c r="E29" s="186"/>
      <c r="F29" s="186"/>
      <c r="G29" s="186"/>
      <c r="H29" s="186"/>
      <c r="I29" s="186"/>
      <c r="J29" s="186"/>
      <c r="K29" s="186"/>
      <c r="L29" s="5558" t="s">
        <v>14269</v>
      </c>
      <c r="M29" s="186"/>
      <c r="N29" s="186"/>
      <c r="O29" s="2230"/>
      <c r="P29" s="103" t="str">
        <f t="shared" ref="P29:P36" si="4">IF(AB29&lt;&gt;"","A","►")</f>
        <v>A</v>
      </c>
      <c r="Q29" s="31" t="str">
        <f>Q23</f>
        <v>B BEIGNETS D'ACACIA | pâtisserie--Beignets| Auteur &gt; Cuisine Actuelle</v>
      </c>
      <c r="R29" s="32">
        <f>R23</f>
        <v>4</v>
      </c>
      <c r="S29" s="31" t="str">
        <f>S23</f>
        <v>personnes</v>
      </c>
      <c r="T29" s="33" t="str">
        <f>T23</f>
        <v>Recette mère ► Beignets d'acacia</v>
      </c>
      <c r="U29" s="89">
        <v>1</v>
      </c>
      <c r="V29" s="108" t="s">
        <v>8245</v>
      </c>
      <c r="W29" s="1363" t="str">
        <f t="shared" si="2"/>
        <v>de</v>
      </c>
      <c r="X29" s="92">
        <v>60</v>
      </c>
      <c r="Y29" s="104" t="s">
        <v>100</v>
      </c>
      <c r="Z29" s="130">
        <v>1</v>
      </c>
      <c r="AA29" s="1813" t="str">
        <f>ROWS(AA27:AA29)&amp;" ►"</f>
        <v>3 ►</v>
      </c>
      <c r="AB29" s="1580" t="s">
        <v>8245</v>
      </c>
      <c r="AC29" s="95">
        <f>IF(AE38=0,0,(AE29/AE38)*AD26*1000)</f>
        <v>117.64705882352941</v>
      </c>
      <c r="AD29" s="105">
        <f>IF(AE38=0, 0, (U29*Z29)/(AE38*AD26))</f>
        <v>1.9607843137254901</v>
      </c>
      <c r="AE29" s="97" cm="1">
        <f t="array" ref="AE29">IFERROR(_xlfn.XLOOKUP(UPPER(TRIM(Y29)),UPPER(TRIM(U39:AI39)),U40:AI40,_xlfn.XLOOKUP(UPPER(TRIM(Y29)),UPPER(TRIM(U41:AI41)),U42:AI42,0))*X29*IF(U29&gt;0,U29,1),0)</f>
        <v>0.06</v>
      </c>
      <c r="AF29" s="106">
        <f>IF(AH22&lt;&gt;0,U29*Z29*Z22,0)</f>
        <v>12.5</v>
      </c>
      <c r="AG29" s="1747" t="str">
        <f t="shared" si="3"/>
        <v>œuf</v>
      </c>
      <c r="AH29" s="99">
        <f>IF(OR(ISBLANK(AH22),AH22=0),0,AE29*Z29*Z22)</f>
        <v>0.75</v>
      </c>
      <c r="AI29" s="107" t="str">
        <f>IF(Y29="","",IF(COUNTIF(AB39:AI39,SUBSTITUTE(TRIM(Y29)," (s)",""))+COUNTIF(AB41:AI41,SUBSTITUTE(TRIM(Y29)," (s)",""))&gt;0,IF(ROUND(AH29,3)&gt;=1,ROUND(AH29,3)&amp;" L",MAX(1,ROUND(AH29*100,0))&amp;" cl"),IF(COUNTIF(U39:Z39,SUBSTITUTE(TRIM(Y29)," (s)",""))+COUNTIF(U41:Z41,SUBSTITUTE(TRIM(Y29)," (s)",""))&gt;0,IF(ROUND(AH29,3)&gt;=1,ROUND(AH29,3)&amp;" Kg",MAX(1,ROUND(AH29*1000,0))&amp;" g"),"")))</f>
        <v>750 g</v>
      </c>
      <c r="AJ29" s="2230"/>
      <c r="AK29" s="2230"/>
      <c r="AL29" s="3">
        <v>1</v>
      </c>
      <c r="AM29" s="198" t="s">
        <v>14237</v>
      </c>
      <c r="AN29" s="198"/>
    </row>
    <row r="30" spans="1:40" ht="21" customHeight="1">
      <c r="A30" s="2230"/>
      <c r="B30" s="186"/>
      <c r="C30" s="186"/>
      <c r="D30" s="186"/>
      <c r="E30" s="186"/>
      <c r="F30" s="186"/>
      <c r="G30" s="186"/>
      <c r="H30" s="186"/>
      <c r="I30" s="186"/>
      <c r="J30" s="186"/>
      <c r="K30" s="186"/>
      <c r="L30" s="2297" t="str">
        <f>"Copiez le texte ajusté colonne "&amp;L37</f>
        <v>Copiez le texte ajusté colonne L</v>
      </c>
      <c r="M30" s="186"/>
      <c r="N30" s="186"/>
      <c r="O30" s="2230"/>
      <c r="P30" s="103" t="str">
        <f t="shared" si="4"/>
        <v>A</v>
      </c>
      <c r="Q30" s="31" t="str">
        <f>Q23</f>
        <v>B BEIGNETS D'ACACIA | pâtisserie--Beignets| Auteur &gt; Cuisine Actuelle</v>
      </c>
      <c r="R30" s="32">
        <f>R23</f>
        <v>4</v>
      </c>
      <c r="S30" s="31" t="str">
        <f>S23</f>
        <v>personnes</v>
      </c>
      <c r="T30" s="33" t="str">
        <f>T23</f>
        <v>Recette mère ► Beignets d'acacia</v>
      </c>
      <c r="U30" s="89"/>
      <c r="V30" s="108"/>
      <c r="W30" s="91" t="str">
        <f t="shared" si="2"/>
        <v/>
      </c>
      <c r="X30" s="92">
        <v>25</v>
      </c>
      <c r="Y30" s="93" t="s">
        <v>144</v>
      </c>
      <c r="Z30" s="130">
        <v>1</v>
      </c>
      <c r="AA30" s="1813" t="str">
        <f>ROWS(AA27:AA30)&amp;" ►"</f>
        <v>4 ►</v>
      </c>
      <c r="AB30" s="1580" t="s">
        <v>8246</v>
      </c>
      <c r="AC30" s="95">
        <f>IF(AE38=0,0,(AE30/AE38)*AD26*1000)</f>
        <v>490.19607843137254</v>
      </c>
      <c r="AD30" s="105">
        <f>IF(AE38=0, 0, (U30*Z30)/(AE38*AD26))</f>
        <v>0</v>
      </c>
      <c r="AE30" s="97" cm="1">
        <f t="array" ref="AE30">IFERROR(_xlfn.XLOOKUP(UPPER(TRIM(Y30)),UPPER(TRIM(U39:AI39)),U40:AI40,_xlfn.XLOOKUP(UPPER(TRIM(Y30)),UPPER(TRIM(U41:AI41)),U42:AI42,0))*X30*IF(U30&gt;0,U30,1),0)</f>
        <v>0.25</v>
      </c>
      <c r="AF30" s="110">
        <f>IF(AH22&lt;&gt;0,U30*Z30*Z22,0)</f>
        <v>0</v>
      </c>
      <c r="AG30" s="1748">
        <f t="shared" si="3"/>
        <v>0</v>
      </c>
      <c r="AH30" s="99">
        <f>IF(OR(ISBLANK(AH22),AH22=0),0,AE30*Z30*Z22)</f>
        <v>3.125</v>
      </c>
      <c r="AI30" s="129" t="str">
        <f>IF(Y30="","",IF(COUNTIF(AB39:AI39,SUBSTITUTE(TRIM(Y30)," (s)",""))+COUNTIF(AB41:AI41,SUBSTITUTE(TRIM(Y30)," (s)",""))&gt;0,IF(ROUND(AH30,3)&gt;=1,ROUND(AH30,3)&amp;" L",MAX(1,ROUND(AH30*100,0))&amp;" cl"),IF(COUNTIF(U39:Z39,SUBSTITUTE(TRIM(Y30)," (s)",""))+COUNTIF(U41:Z41,SUBSTITUTE(TRIM(Y30)," (s)",""))&gt;0,IF(ROUND(AH30,3)&gt;=1,ROUND(AH30,3)&amp;" Kg",MAX(1,ROUND(AH30*1000,0))&amp;" g"),"")))</f>
        <v>3.125 L</v>
      </c>
      <c r="AJ30" s="2230"/>
      <c r="AK30" s="2230"/>
      <c r="AL30" s="3">
        <v>1</v>
      </c>
    </row>
    <row r="31" spans="1:40" ht="21" customHeight="1">
      <c r="A31" s="2230"/>
      <c r="B31" s="186"/>
      <c r="C31" s="186"/>
      <c r="D31" s="186"/>
      <c r="E31" s="186"/>
      <c r="F31" s="186"/>
      <c r="G31" s="186"/>
      <c r="H31" s="186"/>
      <c r="I31" s="186"/>
      <c r="J31" s="186"/>
      <c r="K31" s="186"/>
      <c r="L31" s="677" t="s">
        <v>14276</v>
      </c>
      <c r="M31" s="6122" t="str">
        <f>"à coller "&amp;M46</f>
        <v>à coller Col.M ▼</v>
      </c>
      <c r="N31" s="186"/>
      <c r="O31" s="2230"/>
      <c r="P31" s="103" t="str">
        <f t="shared" si="4"/>
        <v>A</v>
      </c>
      <c r="Q31" s="31" t="str">
        <f>Q23</f>
        <v>B BEIGNETS D'ACACIA | pâtisserie--Beignets| Auteur &gt; Cuisine Actuelle</v>
      </c>
      <c r="R31" s="32">
        <f>R23</f>
        <v>4</v>
      </c>
      <c r="S31" s="31" t="str">
        <f>S23</f>
        <v>personnes</v>
      </c>
      <c r="T31" s="33" t="str">
        <f>T23</f>
        <v>Recette mère ► Beignets d'acacia</v>
      </c>
      <c r="U31" s="89">
        <v>1</v>
      </c>
      <c r="V31" s="108" t="s">
        <v>8247</v>
      </c>
      <c r="W31" s="1363" t="str">
        <f t="shared" si="2"/>
        <v/>
      </c>
      <c r="X31" s="92"/>
      <c r="Y31" s="1364"/>
      <c r="Z31" s="130">
        <v>1</v>
      </c>
      <c r="AA31" s="1813" t="str">
        <f>ROWS(AA27:AA31)&amp;" ►"</f>
        <v>5 ►</v>
      </c>
      <c r="AB31" s="1580" t="s">
        <v>8248</v>
      </c>
      <c r="AC31" s="95">
        <f>IF(AE38=0,0,(AE31/AE38)*AD26*1000)</f>
        <v>0</v>
      </c>
      <c r="AD31" s="105">
        <f>IF(AE38=0, 0, (U31*Z31)/(AE38*AD26))</f>
        <v>1.9607843137254901</v>
      </c>
      <c r="AE31" s="97" cm="1">
        <f t="array" ref="AE31">IFERROR(_xlfn.XLOOKUP(UPPER(TRIM(Y31)),UPPER(TRIM(U39:AI39)),U40:AI40,_xlfn.XLOOKUP(UPPER(TRIM(Y31)),UPPER(TRIM(U41:AI41)),U42:AI42,0))*X31*IF(U31&gt;0,U31,1),0)</f>
        <v>0</v>
      </c>
      <c r="AF31" s="106">
        <f>IF(AH22&lt;&gt;0,U31*Z31*Z22,0)</f>
        <v>12.5</v>
      </c>
      <c r="AG31" s="1747" t="str">
        <f t="shared" si="3"/>
        <v>C/café</v>
      </c>
      <c r="AH31" s="99">
        <f>IF(OR(ISBLANK(AH22),AH22=0),0,AE31*Z31*Z22)</f>
        <v>0</v>
      </c>
      <c r="AI31" s="107" t="str">
        <f>IF(Y31="","",IF(COUNTIF(AB39:AI39,SUBSTITUTE(TRIM(Y31)," (s)",""))+COUNTIF(AB41:AI41,SUBSTITUTE(TRIM(Y31)," (s)",""))&gt;0,IF(ROUND(AH31,3)&gt;=1,ROUND(AH31,3)&amp;" L",MAX(1,ROUND(AH31*100,0))&amp;" cl"),IF(COUNTIF(U39:Z39,SUBSTITUTE(TRIM(Y31)," (s)",""))+COUNTIF(U41:Z41,SUBSTITUTE(TRIM(Y31)," (s)",""))&gt;0,IF(ROUND(AH31,3)&gt;=1,ROUND(AH31,3)&amp;" Kg",MAX(1,ROUND(AH31*1000,0))&amp;" g"),"")))</f>
        <v/>
      </c>
      <c r="AJ31" s="2230"/>
      <c r="AK31" s="2230"/>
      <c r="AL31" s="3">
        <v>1</v>
      </c>
    </row>
    <row r="32" spans="1:40" ht="21" customHeight="1">
      <c r="A32" s="2230"/>
      <c r="B32" s="186"/>
      <c r="C32" s="186"/>
      <c r="D32" s="186"/>
      <c r="E32" s="186"/>
      <c r="F32" s="186"/>
      <c r="G32" s="186"/>
      <c r="H32" s="186"/>
      <c r="I32" s="186"/>
      <c r="J32" s="186"/>
      <c r="K32" s="186"/>
      <c r="L32" s="2297" t="s">
        <v>14272</v>
      </c>
      <c r="M32" s="6124" t="s">
        <v>14282</v>
      </c>
      <c r="N32" s="6123"/>
      <c r="O32" s="2230"/>
      <c r="P32" s="103" t="str">
        <f t="shared" si="4"/>
        <v>A</v>
      </c>
      <c r="Q32" s="31" t="str">
        <f>Q23</f>
        <v>B BEIGNETS D'ACACIA | pâtisserie--Beignets| Auteur &gt; Cuisine Actuelle</v>
      </c>
      <c r="R32" s="32">
        <f>R23</f>
        <v>4</v>
      </c>
      <c r="S32" s="31" t="str">
        <f>S23</f>
        <v>personnes</v>
      </c>
      <c r="T32" s="33" t="str">
        <f>T23</f>
        <v>Recette mère ► Beignets d'acacia</v>
      </c>
      <c r="U32" s="89"/>
      <c r="V32" s="108"/>
      <c r="W32" s="91" t="str">
        <f t="shared" si="2"/>
        <v/>
      </c>
      <c r="X32" s="92">
        <v>20</v>
      </c>
      <c r="Y32" s="104" t="s">
        <v>100</v>
      </c>
      <c r="Z32" s="130">
        <v>1</v>
      </c>
      <c r="AA32" s="1813" t="str">
        <f>ROWS(AA27:AA32)&amp;" ►"</f>
        <v>6 ►</v>
      </c>
      <c r="AB32" s="1580" t="s">
        <v>8249</v>
      </c>
      <c r="AC32" s="95">
        <f>IF(AE38=0,0,(AE32/AE38)*AD26*1000)</f>
        <v>39.215686274509807</v>
      </c>
      <c r="AD32" s="105">
        <f>IF(AE38=0, 0, (U32*Z32)/(AE38*AD26))</f>
        <v>0</v>
      </c>
      <c r="AE32" s="97" cm="1">
        <f t="array" ref="AE32">IFERROR(_xlfn.XLOOKUP(UPPER(TRIM(Y32)),UPPER(TRIM(U39:AI39)),U40:AI40,_xlfn.XLOOKUP(UPPER(TRIM(Y32)),UPPER(TRIM(U41:AI41)),U42:AI42,0))*X32*IF(U32&gt;0,U32,1),0)</f>
        <v>0.02</v>
      </c>
      <c r="AF32" s="110">
        <f>IF(AH22&lt;&gt;0,U32*Z32*Z22,0)</f>
        <v>0</v>
      </c>
      <c r="AG32" s="1748">
        <f t="shared" si="3"/>
        <v>0</v>
      </c>
      <c r="AH32" s="99">
        <f>IF(OR(ISBLANK(AH22),AH22=0),0,AE32*Z32*Z22)</f>
        <v>0.25</v>
      </c>
      <c r="AI32" s="129" t="str">
        <f>IF(Y32="","",IF(COUNTIF(AB39:AI39,SUBSTITUTE(TRIM(Y32)," (s)",""))+COUNTIF(AB41:AI41,SUBSTITUTE(TRIM(Y32)," (s)",""))&gt;0,IF(ROUND(AH32,3)&gt;=1,ROUND(AH32,3)&amp;" L",MAX(1,ROUND(AH32*100,0))&amp;" cl"),IF(COUNTIF(U39:Z39,SUBSTITUTE(TRIM(Y32)," (s)",""))+COUNTIF(U41:Z41,SUBSTITUTE(TRIM(Y32)," (s)",""))&gt;0,IF(ROUND(AH32,3)&gt;=1,ROUND(AH32,3)&amp;" Kg",MAX(1,ROUND(AH32*1000,0))&amp;" g"),"")))</f>
        <v>250 g</v>
      </c>
      <c r="AJ32" s="2230"/>
      <c r="AK32" s="2230"/>
      <c r="AL32" s="3">
        <v>1</v>
      </c>
    </row>
    <row r="33" spans="1:38" ht="21" customHeight="1">
      <c r="A33" s="2230"/>
      <c r="B33" s="186"/>
      <c r="C33" s="186"/>
      <c r="D33" s="186"/>
      <c r="E33" s="186"/>
      <c r="F33" s="186"/>
      <c r="G33" s="186"/>
      <c r="H33" s="186"/>
      <c r="I33" s="186"/>
      <c r="J33" s="186"/>
      <c r="K33" s="186"/>
      <c r="L33" s="186" t="str">
        <f ca="1">"PHASES DE PROGRESSION &gt; largeur mini de "&amp;AA1&amp;" à "&amp;AF1&amp;" total= "&amp;SUM(AA2:AF2)&amp;" ou largeur maxi de "&amp;AA1&amp;" à "&amp;AI1&amp;" total= "&amp;SUM(AA2:AI2)</f>
        <v>PHASES DE PROGRESSION &gt; largeur mini de AA à AF total= 96 ou largeur maxi de AA à AI total= 139</v>
      </c>
      <c r="M33" s="6121" t="s">
        <v>15</v>
      </c>
      <c r="N33" s="6121" t="s">
        <v>1755</v>
      </c>
      <c r="O33" s="2230"/>
      <c r="P33" s="103" t="str">
        <f t="shared" si="4"/>
        <v>►</v>
      </c>
      <c r="Q33" s="31" t="str">
        <f>Q23</f>
        <v>B BEIGNETS D'ACACIA | pâtisserie--Beignets| Auteur &gt; Cuisine Actuelle</v>
      </c>
      <c r="R33" s="32">
        <f>R23</f>
        <v>4</v>
      </c>
      <c r="S33" s="31" t="str">
        <f>S23</f>
        <v>personnes</v>
      </c>
      <c r="T33" s="33" t="str">
        <f>T23</f>
        <v>Recette mère ► Beignets d'acacia</v>
      </c>
      <c r="U33" s="89"/>
      <c r="V33" s="108"/>
      <c r="W33" s="1363" t="str">
        <f t="shared" si="2"/>
        <v/>
      </c>
      <c r="X33" s="92"/>
      <c r="Y33" s="1364"/>
      <c r="Z33" s="130">
        <v>1</v>
      </c>
      <c r="AA33" s="1813" t="str">
        <f>ROWS(AA27:AA33)&amp;" ►"</f>
        <v>7 ►</v>
      </c>
      <c r="AB33" s="1580"/>
      <c r="AC33" s="95">
        <f>IF(AE38=0,0,(AE33/AE38)*AD26*1000)</f>
        <v>0</v>
      </c>
      <c r="AD33" s="105">
        <f>IF(AE38=0, 0, (U33*Z33)/(AE38*AD26))</f>
        <v>0</v>
      </c>
      <c r="AE33" s="97" cm="1">
        <f t="array" ref="AE33">IFERROR(_xlfn.XLOOKUP(UPPER(TRIM(Y33)),UPPER(TRIM(U39:AI39)),U40:AI40,_xlfn.XLOOKUP(UPPER(TRIM(Y33)),UPPER(TRIM(U41:AI41)),U42:AI42,0))*X33*IF(U33&gt;0,U33,1),0)</f>
        <v>0</v>
      </c>
      <c r="AF33" s="106">
        <f>IF(AH22&lt;&gt;0,U33*Z33*Z22,0)</f>
        <v>0</v>
      </c>
      <c r="AG33" s="1747">
        <f t="shared" si="3"/>
        <v>0</v>
      </c>
      <c r="AH33" s="99">
        <f>IF(OR(ISBLANK(AH22),AH22=0),0,AE33*Z33*Z22)</f>
        <v>0</v>
      </c>
      <c r="AI33" s="107" t="str">
        <f>IF(Y33="","",IF(COUNTIF(AB39:AI39,SUBSTITUTE(TRIM(Y33)," (s)",""))+COUNTIF(AB41:AI41,SUBSTITUTE(TRIM(Y33)," (s)",""))&gt;0,IF(ROUND(AH33,3)&gt;=1,ROUND(AH33,3)&amp;" L",MAX(1,ROUND(AH33*100,0))&amp;" cl"),IF(COUNTIF(U39:Z39,SUBSTITUTE(TRIM(Y33)," (s)",""))+COUNTIF(U41:Z41,SUBSTITUTE(TRIM(Y33)," (s)",""))&gt;0,IF(ROUND(AH33,3)&gt;=1,ROUND(AH33,3)&amp;" Kg",MAX(1,ROUND(AH33*1000,0))&amp;" g"),"")))</f>
        <v/>
      </c>
      <c r="AJ33" s="2230"/>
      <c r="AK33" s="2230"/>
      <c r="AL33" s="3">
        <v>1</v>
      </c>
    </row>
    <row r="34" spans="1:38" ht="21" customHeight="1">
      <c r="A34" s="2230"/>
      <c r="B34" s="186"/>
      <c r="C34" s="186"/>
      <c r="D34" s="186"/>
      <c r="E34" s="186"/>
      <c r="F34" s="186"/>
      <c r="G34" s="186"/>
      <c r="H34" s="186"/>
      <c r="I34" s="186"/>
      <c r="J34" s="186"/>
      <c r="K34" s="186"/>
      <c r="L34" s="186"/>
      <c r="M34" s="6121" t="s">
        <v>1756</v>
      </c>
      <c r="N34" s="6121" t="s">
        <v>829</v>
      </c>
      <c r="O34" s="2230"/>
      <c r="P34" s="103" t="str">
        <f t="shared" si="4"/>
        <v>A</v>
      </c>
      <c r="Q34" s="31" t="str">
        <f>Q23</f>
        <v>B BEIGNETS D'ACACIA | pâtisserie--Beignets| Auteur &gt; Cuisine Actuelle</v>
      </c>
      <c r="R34" s="32">
        <f>R23</f>
        <v>4</v>
      </c>
      <c r="S34" s="31" t="str">
        <f>S23</f>
        <v>personnes</v>
      </c>
      <c r="T34" s="33" t="str">
        <f>T23</f>
        <v>Recette mère ► Beignets d'acacia</v>
      </c>
      <c r="U34" s="89"/>
      <c r="V34" s="108" t="s">
        <v>8252</v>
      </c>
      <c r="W34" s="91" t="str">
        <f t="shared" si="2"/>
        <v/>
      </c>
      <c r="X34" s="92"/>
      <c r="Y34" s="1364"/>
      <c r="Z34" s="130">
        <v>1</v>
      </c>
      <c r="AA34" s="1813" t="str">
        <f>ROWS(AA27:AA34)&amp;" ►"</f>
        <v>8 ►</v>
      </c>
      <c r="AB34" s="1580" t="s">
        <v>8253</v>
      </c>
      <c r="AC34" s="95">
        <f>IF(AE38=0,0,(AE34/AE38)*AD26*1000)</f>
        <v>0</v>
      </c>
      <c r="AD34" s="105">
        <f>IF(AE38=0, 0, (U34*Z34)/(AE38*AD26))</f>
        <v>0</v>
      </c>
      <c r="AE34" s="97" cm="1">
        <f t="array" ref="AE34">IFERROR(_xlfn.XLOOKUP(UPPER(TRIM(Y34)),UPPER(TRIM(U39:AI39)),U40:AI40,_xlfn.XLOOKUP(UPPER(TRIM(Y34)),UPPER(TRIM(U41:AI41)),U42:AI42,0))*X34*IF(U34&gt;0,U34,1),0)</f>
        <v>0</v>
      </c>
      <c r="AF34" s="110">
        <f>IF(AH22&lt;&gt;0,U34*Z34*Z22,0)</f>
        <v>0</v>
      </c>
      <c r="AG34" s="1748" t="str">
        <f t="shared" si="3"/>
        <v>PM</v>
      </c>
      <c r="AH34" s="99">
        <f>IF(OR(ISBLANK(AH22),AH22=0),0,AE34*Z34*Z22)</f>
        <v>0</v>
      </c>
      <c r="AI34" s="129" t="str">
        <f>IF(Y34="","",IF(COUNTIF(AB39:AI39,SUBSTITUTE(TRIM(Y34)," (s)",""))+COUNTIF(AB41:AI41,SUBSTITUTE(TRIM(Y34)," (s)",""))&gt;0,IF(ROUND(AH34,3)&gt;=1,ROUND(AH34,3)&amp;" L",MAX(1,ROUND(AH34*100,0))&amp;" cl"),IF(COUNTIF(U39:Z39,SUBSTITUTE(TRIM(Y34)," (s)",""))+COUNTIF(U41:Z41,SUBSTITUTE(TRIM(Y34)," (s)",""))&gt;0,IF(ROUND(AH34,3)&gt;=1,ROUND(AH34,3)&amp;" Kg",MAX(1,ROUND(AH34*1000,0))&amp;" g"),"")))</f>
        <v/>
      </c>
      <c r="AJ34" s="2230"/>
      <c r="AK34" s="2230"/>
      <c r="AL34" s="3">
        <v>1</v>
      </c>
    </row>
    <row r="35" spans="1:38" ht="21" customHeight="1">
      <c r="A35" s="2230"/>
      <c r="B35" s="2693"/>
      <c r="C35" s="2693" t="s">
        <v>14281</v>
      </c>
      <c r="D35" s="9"/>
      <c r="E35" s="9"/>
      <c r="F35" s="186"/>
      <c r="G35" s="186"/>
      <c r="H35" s="186"/>
      <c r="I35" s="186"/>
      <c r="J35" s="186"/>
      <c r="K35" s="186"/>
      <c r="L35" s="186"/>
      <c r="M35" s="186"/>
      <c r="N35" s="2701"/>
      <c r="O35" s="2230"/>
      <c r="P35" s="103" t="str">
        <f t="shared" si="4"/>
        <v>A</v>
      </c>
      <c r="Q35" s="31" t="str">
        <f>Q23</f>
        <v>B BEIGNETS D'ACACIA | pâtisserie--Beignets| Auteur &gt; Cuisine Actuelle</v>
      </c>
      <c r="R35" s="32">
        <f>R23</f>
        <v>4</v>
      </c>
      <c r="S35" s="31" t="str">
        <f>S23</f>
        <v>personnes</v>
      </c>
      <c r="T35" s="33" t="str">
        <f>T23</f>
        <v>Recette mère ► Beignets d'acacia</v>
      </c>
      <c r="U35" s="89"/>
      <c r="V35" s="108" t="s">
        <v>8252</v>
      </c>
      <c r="W35" s="1363" t="str">
        <f t="shared" si="2"/>
        <v/>
      </c>
      <c r="X35" s="92"/>
      <c r="Y35" s="1364"/>
      <c r="Z35" s="130">
        <v>1</v>
      </c>
      <c r="AA35" s="1813" t="str">
        <f>ROWS(AA27:AA35)&amp;" ►"</f>
        <v>9 ►</v>
      </c>
      <c r="AB35" s="1580" t="s">
        <v>8254</v>
      </c>
      <c r="AC35" s="95">
        <f>IF(AE38=0,0,(AE35/AE38)*AD26*1000)</f>
        <v>0</v>
      </c>
      <c r="AD35" s="105">
        <f>IF(AE38=0, 0, (U35*Z35)/(AE38*AD26))</f>
        <v>0</v>
      </c>
      <c r="AE35" s="97" cm="1">
        <f t="array" ref="AE35">IFERROR(_xlfn.XLOOKUP(UPPER(TRIM(Y35)),UPPER(TRIM(U39:AI39)),U40:AI40,_xlfn.XLOOKUP(UPPER(TRIM(Y35)),UPPER(TRIM(U41:AI41)),U42:AI42,0))*X35*IF(U35&gt;0,U35,1),0)</f>
        <v>0</v>
      </c>
      <c r="AF35" s="106">
        <f>IF(AH22&lt;&gt;0,U35*Z35*Z22,0)</f>
        <v>0</v>
      </c>
      <c r="AG35" s="1747" t="str">
        <f t="shared" si="3"/>
        <v>PM</v>
      </c>
      <c r="AH35" s="99">
        <f>IF(OR(ISBLANK(AH22),AH22=0),0,AE35*Z35*Z22)</f>
        <v>0</v>
      </c>
      <c r="AI35" s="107" t="str">
        <f>IF(Y35="","",IF(COUNTIF(AB39:AI39,SUBSTITUTE(TRIM(Y35)," (s)",""))+COUNTIF(AB41:AI41,SUBSTITUTE(TRIM(Y35)," (s)",""))&gt;0,IF(ROUND(AH35,3)&gt;=1,ROUND(AH35,3)&amp;" L",MAX(1,ROUND(AH35*100,0))&amp;" cl"),IF(COUNTIF(U39:Z39,SUBSTITUTE(TRIM(Y35)," (s)",""))+COUNTIF(U41:Z41,SUBSTITUTE(TRIM(Y35)," (s)",""))&gt;0,IF(ROUND(AH35,3)&gt;=1,ROUND(AH35,3)&amp;" Kg",MAX(1,ROUND(AH35*1000,0))&amp;" g"),"")))</f>
        <v/>
      </c>
      <c r="AJ35" s="2230"/>
      <c r="AK35" s="2230"/>
      <c r="AL35" s="3">
        <v>1</v>
      </c>
    </row>
    <row r="36" spans="1:38" ht="21" customHeight="1">
      <c r="A36" s="2230"/>
      <c r="B36" s="186"/>
      <c r="C36" s="186"/>
      <c r="D36" s="186"/>
      <c r="E36" s="186"/>
      <c r="F36" s="186"/>
      <c r="G36" s="186"/>
      <c r="H36" s="186"/>
      <c r="I36" s="186"/>
      <c r="J36" s="186"/>
      <c r="K36" s="186"/>
      <c r="L36" s="186"/>
      <c r="M36" s="186"/>
      <c r="N36" s="186"/>
      <c r="O36" s="2230"/>
      <c r="P36" s="103" t="str">
        <f t="shared" si="4"/>
        <v>►</v>
      </c>
      <c r="Q36" s="31" t="str">
        <f>Q23</f>
        <v>B BEIGNETS D'ACACIA | pâtisserie--Beignets| Auteur &gt; Cuisine Actuelle</v>
      </c>
      <c r="R36" s="32">
        <f>R23</f>
        <v>4</v>
      </c>
      <c r="S36" s="31" t="str">
        <f>S23</f>
        <v>personnes</v>
      </c>
      <c r="T36" s="33" t="str">
        <f>T23</f>
        <v>Recette mère ► Beignets d'acacia</v>
      </c>
      <c r="U36" s="89"/>
      <c r="V36" s="108"/>
      <c r="W36" s="91" t="str">
        <f t="shared" ref="W36:W37" si="5">IF(OR(ISTEXT(U36), U36&lt;=0, X36&lt;=0), "", "de")</f>
        <v/>
      </c>
      <c r="X36" s="92"/>
      <c r="Y36" s="128"/>
      <c r="Z36" s="130">
        <v>1</v>
      </c>
      <c r="AA36" s="1813" t="str">
        <f>ROWS(AA27:AA36)&amp;" ►"</f>
        <v>10 ►</v>
      </c>
      <c r="AB36" s="1580"/>
      <c r="AC36" s="95">
        <f>IF(AE38=0,0,(AE36/AE38)*AD26*1000)</f>
        <v>0</v>
      </c>
      <c r="AD36" s="105">
        <f>IF(AE38=0, 0, (U36*Z36)/(AE38*AD26))</f>
        <v>0</v>
      </c>
      <c r="AE36" s="97" cm="1">
        <f t="array" ref="AE36">IFERROR(_xlfn.XLOOKUP(UPPER(TRIM(Y36)),UPPER(TRIM(U39:AI39)),U40:AI40,_xlfn.XLOOKUP(UPPER(TRIM(Y36)),UPPER(TRIM(U41:AI41)),U42:AI42,0))*X36*IF(U36&gt;0,U36,1),0)</f>
        <v>0</v>
      </c>
      <c r="AF36" s="110">
        <f>IF(AH22&lt;&gt;0,U36*Z36*Z22,0)</f>
        <v>0</v>
      </c>
      <c r="AG36" s="1748">
        <f t="shared" si="3"/>
        <v>0</v>
      </c>
      <c r="AH36" s="99">
        <f>IF(OR(ISBLANK(AH22),AH22=0),0,AE36*Z36*Z22)</f>
        <v>0</v>
      </c>
      <c r="AI36" s="129" t="str">
        <f>IF(Y36="","",IF(COUNTIF(AB39:AI39,SUBSTITUTE(TRIM(Y36)," (s)",""))+COUNTIF(AB41:AI41,SUBSTITUTE(TRIM(Y36)," (s)",""))&gt;0,IF(ROUND(AH36,3)&gt;=1,ROUND(AH36,3)&amp;" L",MAX(1,ROUND(AH36*100,0))&amp;" cl"),IF(COUNTIF(U39:Z39,SUBSTITUTE(TRIM(Y36)," (s)",""))+COUNTIF(U41:Z41,SUBSTITUTE(TRIM(Y36)," (s)",""))&gt;0,IF(ROUND(AH36,3)&gt;=1,ROUND(AH36,3)&amp;" Kg",MAX(1,ROUND(AH36*1000,0))&amp;" g"),"")))</f>
        <v/>
      </c>
      <c r="AJ36" s="2230"/>
      <c r="AK36" s="2230"/>
      <c r="AL36" s="3">
        <v>1</v>
      </c>
    </row>
    <row r="37" spans="1:38" ht="21" customHeight="1">
      <c r="A37" s="2230"/>
      <c r="B37" s="6041" t="s">
        <v>166</v>
      </c>
      <c r="C37" s="6042" t="str">
        <f t="shared" ref="C37:L37" si="6">SUBSTITUTE(ADDRESS(1,COLUMN(),4),"1","")</f>
        <v>C</v>
      </c>
      <c r="D37" s="6042" t="str">
        <f t="shared" si="6"/>
        <v>D</v>
      </c>
      <c r="E37" s="6042" t="str">
        <f t="shared" si="6"/>
        <v>E</v>
      </c>
      <c r="F37" s="6042" t="str">
        <f t="shared" si="6"/>
        <v>F</v>
      </c>
      <c r="G37" s="6042" t="str">
        <f t="shared" si="6"/>
        <v>G</v>
      </c>
      <c r="H37" s="6042" t="str">
        <f t="shared" si="6"/>
        <v>H</v>
      </c>
      <c r="I37" s="6042" t="str">
        <f t="shared" si="6"/>
        <v>I</v>
      </c>
      <c r="J37" s="6042" t="str">
        <f t="shared" si="6"/>
        <v>J</v>
      </c>
      <c r="K37" s="6042" t="str">
        <f t="shared" si="6"/>
        <v>K</v>
      </c>
      <c r="L37" s="6042" t="str">
        <f t="shared" si="6"/>
        <v>L</v>
      </c>
      <c r="M37" s="6042" t="str">
        <f>SUBSTITUTE(ADDRESS(1,COLUMN(),4),"1","")</f>
        <v>M</v>
      </c>
      <c r="N37" s="6086" t="str">
        <f t="shared" ref="N37" si="7">SUBSTITUTE(ADDRESS(1,COLUMN(),4),"1","")</f>
        <v>N</v>
      </c>
      <c r="O37" s="2230"/>
      <c r="P37" s="1604" t="s">
        <v>10</v>
      </c>
      <c r="Q37" s="31" t="str">
        <f>Q23</f>
        <v>B BEIGNETS D'ACACIA | pâtisserie--Beignets| Auteur &gt; Cuisine Actuelle</v>
      </c>
      <c r="R37" s="32">
        <f>R23</f>
        <v>4</v>
      </c>
      <c r="S37" s="31" t="str">
        <f>S23</f>
        <v>personnes</v>
      </c>
      <c r="T37" s="33" t="str">
        <f>T23</f>
        <v>Recette mère ► Beignets d'acacia</v>
      </c>
      <c r="U37" s="1198"/>
      <c r="V37" s="1199"/>
      <c r="W37" s="91" t="str">
        <f t="shared" si="5"/>
        <v/>
      </c>
      <c r="X37" s="1200"/>
      <c r="Y37" s="128"/>
      <c r="Z37" s="1201">
        <v>1</v>
      </c>
      <c r="AA37" s="1813" t="str">
        <f>ROWS(AA27:AA37)&amp;" ►"</f>
        <v>11 ►</v>
      </c>
      <c r="AB37" s="1580"/>
      <c r="AC37" s="95">
        <f>IF(AE38=0,0,(AE37/AE38)*AD26*1000)</f>
        <v>0</v>
      </c>
      <c r="AD37" s="105">
        <f>IF(AE38=0, 0, (U37*Z37)/(AE38*AD26))</f>
        <v>0</v>
      </c>
      <c r="AE37" s="97" cm="1">
        <f t="array" ref="AE37">IFERROR(_xlfn.XLOOKUP(UPPER(TRIM(Y37)),UPPER(TRIM(U39:AI39)),U40:AI40,_xlfn.XLOOKUP(UPPER(TRIM(Y37)),UPPER(TRIM(U41:AI41)),U42:AI42,0))*X37*IF(U37&gt;0,U37,1),0)</f>
        <v>0</v>
      </c>
      <c r="AF37" s="110">
        <f>IF(AH22&lt;&gt;0,U37*Z37*Z22,0)</f>
        <v>0</v>
      </c>
      <c r="AG37" s="1748">
        <f t="shared" si="3"/>
        <v>0</v>
      </c>
      <c r="AH37" s="99">
        <f>IF(OR(ISBLANK(AH22),AH22=0),0,AE37*Z37*Z22)</f>
        <v>0</v>
      </c>
      <c r="AI37" s="129" t="str">
        <f>IF(Y37="","",IF(COUNTIF(AB39:AI39,SUBSTITUTE(TRIM(Y37)," (s)",""))+COUNTIF(AB41:AI41,SUBSTITUTE(TRIM(Y37)," (s)",""))&gt;0,IF(ROUND(AH37,3)&gt;=1,ROUND(AH37,3)&amp;" L",MAX(1,ROUND(AH37*100,0))&amp;" cl"),IF(COUNTIF(U39:Z39,SUBSTITUTE(TRIM(Y37)," (s)",""))+COUNTIF(U41:Z41,SUBSTITUTE(TRIM(Y37)," (s)",""))&gt;0,IF(ROUND(AH37,3)&gt;=1,ROUND(AH37,3)&amp;" Kg",MAX(1,ROUND(AH37*1000,0))&amp;" g"),"")))</f>
        <v/>
      </c>
      <c r="AJ37" s="2230"/>
      <c r="AK37" s="2230"/>
      <c r="AL37" s="3">
        <v>1</v>
      </c>
    </row>
    <row r="38" spans="1:38" ht="21" customHeight="1">
      <c r="A38" s="2230"/>
      <c r="B38" s="6793"/>
      <c r="C38" s="632">
        <f t="shared" ref="C38:N38" ca="1" si="8">CELL("largeur",C38)</f>
        <v>10</v>
      </c>
      <c r="D38" s="632">
        <f t="shared" ca="1" si="8"/>
        <v>5</v>
      </c>
      <c r="E38" s="632">
        <f t="shared" ca="1" si="8"/>
        <v>5</v>
      </c>
      <c r="F38" s="632">
        <f t="shared" ca="1" si="8"/>
        <v>5</v>
      </c>
      <c r="G38" s="632">
        <f t="shared" ca="1" si="8"/>
        <v>5</v>
      </c>
      <c r="H38" s="632">
        <f t="shared" ca="1" si="8"/>
        <v>5</v>
      </c>
      <c r="I38" s="632">
        <f t="shared" ca="1" si="8"/>
        <v>7</v>
      </c>
      <c r="J38" s="632">
        <f t="shared" ca="1" si="8"/>
        <v>7</v>
      </c>
      <c r="K38" s="632">
        <f t="shared" ca="1" si="8"/>
        <v>7</v>
      </c>
      <c r="L38" s="632">
        <f t="shared" ca="1" si="8"/>
        <v>139</v>
      </c>
      <c r="M38" s="632">
        <f t="shared" ca="1" si="8"/>
        <v>10</v>
      </c>
      <c r="N38" s="6087">
        <f t="shared" ca="1" si="8"/>
        <v>10</v>
      </c>
      <c r="O38" s="2230"/>
      <c r="P38" s="1604" t="s">
        <v>10</v>
      </c>
      <c r="Q38" s="31" t="str">
        <f>Q23</f>
        <v>B BEIGNETS D'ACACIA | pâtisserie--Beignets| Auteur &gt; Cuisine Actuelle</v>
      </c>
      <c r="R38" s="32">
        <f>R23</f>
        <v>4</v>
      </c>
      <c r="S38" s="31" t="str">
        <f>S23</f>
        <v>personnes</v>
      </c>
      <c r="T38" s="33" t="str">
        <f>T23</f>
        <v>Recette mère ► Beignets d'acacia</v>
      </c>
      <c r="U38" s="680" t="s">
        <v>8411</v>
      </c>
      <c r="V38" s="681"/>
      <c r="W38" s="681"/>
      <c r="X38" s="681"/>
      <c r="Y38" s="681"/>
      <c r="Z38" s="681"/>
      <c r="AA38" s="681"/>
      <c r="AB38" s="1984" t="s">
        <v>8652</v>
      </c>
      <c r="AC38" s="682"/>
      <c r="AD38" s="682"/>
      <c r="AE38" s="1197">
        <f>SUM(AE27:AE37)</f>
        <v>0.51</v>
      </c>
      <c r="AF38" s="683"/>
      <c r="AG38" s="683" t="str">
        <f>"Total " &amp; AH24&amp;" &gt;"</f>
        <v>Total Col.19 &gt;</v>
      </c>
      <c r="AH38" s="1835">
        <f>SUM(AH27:AH37)</f>
        <v>6.375</v>
      </c>
      <c r="AI38" s="684"/>
      <c r="AJ38" s="2230"/>
      <c r="AK38" s="2230"/>
      <c r="AL38" s="3">
        <v>1</v>
      </c>
    </row>
    <row r="39" spans="1:38" ht="21" customHeight="1">
      <c r="A39" s="2230"/>
      <c r="B39" s="6793"/>
      <c r="C39" s="6043">
        <v>10</v>
      </c>
      <c r="D39" s="6043">
        <v>5</v>
      </c>
      <c r="E39" s="6043">
        <v>5</v>
      </c>
      <c r="F39" s="6043">
        <v>5</v>
      </c>
      <c r="G39" s="6043">
        <v>5</v>
      </c>
      <c r="H39" s="6043">
        <v>5</v>
      </c>
      <c r="I39" s="6044">
        <v>7</v>
      </c>
      <c r="J39" s="6044">
        <v>7</v>
      </c>
      <c r="K39" s="6044">
        <v>7</v>
      </c>
      <c r="L39" s="6044">
        <f>C43</f>
        <v>139</v>
      </c>
      <c r="M39" s="6043">
        <v>10</v>
      </c>
      <c r="N39" s="6088">
        <v>10</v>
      </c>
      <c r="O39" s="2230"/>
      <c r="P39" s="1604" t="s">
        <v>10</v>
      </c>
      <c r="Q39" s="31" t="str">
        <f>Q23</f>
        <v>B BEIGNETS D'ACACIA | pâtisserie--Beignets| Auteur &gt; Cuisine Actuelle</v>
      </c>
      <c r="R39" s="32">
        <f>R23</f>
        <v>4</v>
      </c>
      <c r="S39" s="31" t="str">
        <f>S23</f>
        <v>personnes</v>
      </c>
      <c r="T39" s="33" t="str">
        <f>T23</f>
        <v>Recette mère ► Beignets d'acacia</v>
      </c>
      <c r="U39" s="142" t="s">
        <v>140</v>
      </c>
      <c r="V39" s="104" t="s">
        <v>100</v>
      </c>
      <c r="W39" s="143" t="s">
        <v>141</v>
      </c>
      <c r="X39" s="144" t="s">
        <v>142</v>
      </c>
      <c r="Y39" s="118" t="s">
        <v>143</v>
      </c>
      <c r="Z39" s="118" t="s">
        <v>109</v>
      </c>
      <c r="AA39" s="143" t="s">
        <v>141</v>
      </c>
      <c r="AB39" s="93" t="s">
        <v>0</v>
      </c>
      <c r="AC39" s="93" t="s">
        <v>97</v>
      </c>
      <c r="AD39" s="93" t="s">
        <v>144</v>
      </c>
      <c r="AE39" s="93" t="s">
        <v>145</v>
      </c>
      <c r="AF39" s="109" t="s">
        <v>104</v>
      </c>
      <c r="AG39" s="109" t="s">
        <v>359</v>
      </c>
      <c r="AH39" s="335" t="s">
        <v>146</v>
      </c>
      <c r="AI39" s="109" t="s">
        <v>147</v>
      </c>
      <c r="AJ39" s="2230"/>
      <c r="AK39" s="2230"/>
      <c r="AL39" s="3">
        <v>1</v>
      </c>
    </row>
    <row r="40" spans="1:38" ht="21" customHeight="1">
      <c r="A40" s="2230"/>
      <c r="B40" s="6793"/>
      <c r="C40" s="6045" t="s">
        <v>14260</v>
      </c>
      <c r="D40" s="6046"/>
      <c r="E40" s="6047"/>
      <c r="F40" s="6046"/>
      <c r="G40" s="6046"/>
      <c r="H40" s="6046"/>
      <c r="I40" s="6046"/>
      <c r="J40" s="6048" t="s">
        <v>14244</v>
      </c>
      <c r="K40" s="6048"/>
      <c r="L40" s="6048"/>
      <c r="M40" s="6048"/>
      <c r="N40" s="6089"/>
      <c r="O40" s="2230"/>
      <c r="P40" s="1604" t="s">
        <v>10</v>
      </c>
      <c r="Q40" s="31" t="str">
        <f>Q23</f>
        <v>B BEIGNETS D'ACACIA | pâtisserie--Beignets| Auteur &gt; Cuisine Actuelle</v>
      </c>
      <c r="R40" s="32">
        <f>R23</f>
        <v>4</v>
      </c>
      <c r="S40" s="31" t="str">
        <f>S23</f>
        <v>personnes</v>
      </c>
      <c r="T40" s="33" t="str">
        <f>T23</f>
        <v>Recette mère ► Beignets d'acacia</v>
      </c>
      <c r="U40" s="685">
        <v>1</v>
      </c>
      <c r="V40" s="686">
        <v>1E-3</v>
      </c>
      <c r="W40" s="687">
        <v>0</v>
      </c>
      <c r="X40" s="686">
        <v>0.25</v>
      </c>
      <c r="Y40" s="686">
        <v>0.33332999999999996</v>
      </c>
      <c r="Z40" s="686">
        <v>0.5</v>
      </c>
      <c r="AA40" s="687">
        <v>0</v>
      </c>
      <c r="AB40" s="688">
        <v>1</v>
      </c>
      <c r="AC40" s="688">
        <v>0.1</v>
      </c>
      <c r="AD40" s="688">
        <v>0.01</v>
      </c>
      <c r="AE40" s="688">
        <v>1E-3</v>
      </c>
      <c r="AF40" s="688">
        <v>0.5</v>
      </c>
      <c r="AG40" s="688">
        <v>0.25</v>
      </c>
      <c r="AH40" s="688">
        <v>0.33300000000000002</v>
      </c>
      <c r="AI40" s="1756">
        <v>0.2</v>
      </c>
      <c r="AJ40" s="2230"/>
      <c r="AK40" s="2230"/>
      <c r="AL40" s="3">
        <v>1</v>
      </c>
    </row>
    <row r="41" spans="1:38" ht="21" customHeight="1">
      <c r="A41" s="2230"/>
      <c r="B41" s="6793"/>
      <c r="C41" s="6049" t="s">
        <v>14261</v>
      </c>
      <c r="D41" s="186"/>
      <c r="E41" s="6050"/>
      <c r="F41" s="2230"/>
      <c r="G41" s="2230"/>
      <c r="H41" s="2230"/>
      <c r="I41" s="6050"/>
      <c r="J41" s="6050"/>
      <c r="K41" s="6050"/>
      <c r="L41" s="6051" t="str">
        <f ca="1">" Largeur de cette colonne : " &amp; L38 &amp; IF(L38 &gt; C43, " - Colonne trop large de " &amp; (L38 - C43), IF(L38 &lt; C43, " - Élargissez la colonne à " &amp; C43, " Largeur correcte"))</f>
        <v xml:space="preserve"> Largeur de cette colonne : 139 Largeur correcte</v>
      </c>
      <c r="M41" s="6052"/>
      <c r="N41" s="6090"/>
      <c r="O41" s="2230"/>
      <c r="P41" s="1604" t="s">
        <v>10</v>
      </c>
      <c r="Q41" s="31" t="str">
        <f>Q23</f>
        <v>B BEIGNETS D'ACACIA | pâtisserie--Beignets| Auteur &gt; Cuisine Actuelle</v>
      </c>
      <c r="R41" s="32">
        <f>R23</f>
        <v>4</v>
      </c>
      <c r="S41" s="31" t="str">
        <f>S23</f>
        <v>personnes</v>
      </c>
      <c r="T41" s="33" t="str">
        <f>T23</f>
        <v>Recette mère ► Beignets d'acacia</v>
      </c>
      <c r="U41" s="121" t="s">
        <v>155</v>
      </c>
      <c r="V41" s="121" t="s">
        <v>156</v>
      </c>
      <c r="W41" s="143" t="s">
        <v>141</v>
      </c>
      <c r="X41" s="121" t="s">
        <v>110</v>
      </c>
      <c r="Y41" s="121" t="s">
        <v>157</v>
      </c>
      <c r="Z41" s="121" t="s">
        <v>158</v>
      </c>
      <c r="AA41" s="143" t="s">
        <v>141</v>
      </c>
      <c r="AB41" s="125" t="s">
        <v>115</v>
      </c>
      <c r="AC41" s="155" t="s">
        <v>159</v>
      </c>
      <c r="AD41" s="155" t="s">
        <v>160</v>
      </c>
      <c r="AE41" s="109" t="s">
        <v>161</v>
      </c>
      <c r="AF41" s="109" t="s">
        <v>162</v>
      </c>
      <c r="AG41" s="109" t="s">
        <v>105</v>
      </c>
      <c r="AH41" s="1758" t="s">
        <v>1689</v>
      </c>
      <c r="AI41" s="697" t="s">
        <v>163</v>
      </c>
      <c r="AJ41" s="2230"/>
      <c r="AK41" s="2230"/>
      <c r="AL41" s="3">
        <v>1</v>
      </c>
    </row>
    <row r="42" spans="1:38" ht="21" customHeight="1">
      <c r="A42" s="2230"/>
      <c r="B42" s="6793"/>
      <c r="C42" s="6053" t="s">
        <v>14262</v>
      </c>
      <c r="D42" s="6053"/>
      <c r="E42" s="6053"/>
      <c r="F42" s="6053"/>
      <c r="G42" s="6053"/>
      <c r="H42" s="186"/>
      <c r="I42" s="6054"/>
      <c r="J42" s="6054"/>
      <c r="K42" s="6054"/>
      <c r="L42" s="6054" t="s">
        <v>14163</v>
      </c>
      <c r="M42" s="6052"/>
      <c r="N42" s="6090"/>
      <c r="O42" s="2230"/>
      <c r="P42" s="1604" t="s">
        <v>10</v>
      </c>
      <c r="Q42" s="31" t="str">
        <f>Q23</f>
        <v>B BEIGNETS D'ACACIA | pâtisserie--Beignets| Auteur &gt; Cuisine Actuelle</v>
      </c>
      <c r="R42" s="32">
        <f>R23</f>
        <v>4</v>
      </c>
      <c r="S42" s="31" t="str">
        <f>S23</f>
        <v>personnes</v>
      </c>
      <c r="T42" s="33" t="str">
        <f>T23</f>
        <v>Recette mère ► Beignets d'acacia</v>
      </c>
      <c r="U42" s="685">
        <v>2.835E-2</v>
      </c>
      <c r="V42" s="686">
        <v>0.13</v>
      </c>
      <c r="W42" s="687">
        <v>0</v>
      </c>
      <c r="X42" s="686">
        <v>0.2</v>
      </c>
      <c r="Y42" s="686">
        <v>0.23</v>
      </c>
      <c r="Z42" s="686">
        <v>0.22500000000000001</v>
      </c>
      <c r="AA42" s="687">
        <v>0</v>
      </c>
      <c r="AB42" s="688">
        <v>0.35</v>
      </c>
      <c r="AC42" s="688">
        <v>5.0000000000000001E-3</v>
      </c>
      <c r="AD42" s="688">
        <v>5.0000000000000001E-3</v>
      </c>
      <c r="AE42" s="688">
        <v>1.4999999999999999E-2</v>
      </c>
      <c r="AF42" s="688">
        <v>0.1</v>
      </c>
      <c r="AG42" s="688">
        <v>0.22500000000000001</v>
      </c>
      <c r="AH42" s="688">
        <v>4.0000000000000001E-3</v>
      </c>
      <c r="AI42" s="1757">
        <v>1E-3</v>
      </c>
      <c r="AJ42" s="2230"/>
      <c r="AK42" s="2230"/>
      <c r="AL42" s="3">
        <v>1</v>
      </c>
    </row>
    <row r="43" spans="1:38" ht="21" customHeight="1">
      <c r="A43" s="2230"/>
      <c r="B43" s="6793"/>
      <c r="C43" s="6055">
        <v>139</v>
      </c>
      <c r="D43" s="6056" t="s">
        <v>14263</v>
      </c>
      <c r="E43" s="236"/>
      <c r="F43" s="6057"/>
      <c r="G43" s="6057"/>
      <c r="H43" s="6057"/>
      <c r="I43" s="236"/>
      <c r="J43" s="236"/>
      <c r="K43" s="236"/>
      <c r="L43" s="236"/>
      <c r="M43" s="186"/>
      <c r="N43" s="6105"/>
      <c r="O43" s="2230"/>
      <c r="P43" s="1604" t="s">
        <v>15</v>
      </c>
      <c r="Q43" s="5607" t="str">
        <f t="shared" ref="Q43:AI43" si="9">SUBSTITUTE(ADDRESS(1,COLUMN(),4),"1","")</f>
        <v>Q</v>
      </c>
      <c r="R43" s="5607" t="str">
        <f t="shared" si="9"/>
        <v>R</v>
      </c>
      <c r="S43" s="5607" t="str">
        <f t="shared" si="9"/>
        <v>S</v>
      </c>
      <c r="T43" s="5607" t="str">
        <f t="shared" si="9"/>
        <v>T</v>
      </c>
      <c r="U43" s="5607" t="str">
        <f t="shared" si="9"/>
        <v>U</v>
      </c>
      <c r="V43" s="5607" t="str">
        <f t="shared" si="9"/>
        <v>V</v>
      </c>
      <c r="W43" s="5607" t="str">
        <f t="shared" si="9"/>
        <v>W</v>
      </c>
      <c r="X43" s="5607" t="str">
        <f t="shared" si="9"/>
        <v>X</v>
      </c>
      <c r="Y43" s="5607" t="str">
        <f t="shared" si="9"/>
        <v>Y</v>
      </c>
      <c r="Z43" s="5607" t="str">
        <f t="shared" si="9"/>
        <v>Z</v>
      </c>
      <c r="AA43" s="5609" t="str">
        <f t="shared" si="9"/>
        <v>AA</v>
      </c>
      <c r="AB43" s="5607" t="str">
        <f t="shared" si="9"/>
        <v>AB</v>
      </c>
      <c r="AC43" s="5607" t="str">
        <f t="shared" si="9"/>
        <v>AC</v>
      </c>
      <c r="AD43" s="5607" t="str">
        <f t="shared" si="9"/>
        <v>AD</v>
      </c>
      <c r="AE43" s="5607" t="str">
        <f t="shared" si="9"/>
        <v>AE</v>
      </c>
      <c r="AF43" s="5609" t="str">
        <f t="shared" si="9"/>
        <v>AF</v>
      </c>
      <c r="AG43" s="5607" t="str">
        <f t="shared" si="9"/>
        <v>AG</v>
      </c>
      <c r="AH43" s="5607" t="str">
        <f t="shared" si="9"/>
        <v>AH</v>
      </c>
      <c r="AI43" s="5995" t="str">
        <f t="shared" si="9"/>
        <v>AI</v>
      </c>
      <c r="AJ43" s="6794" t="s">
        <v>8774</v>
      </c>
      <c r="AK43" s="2230"/>
      <c r="AL43" s="3">
        <v>1</v>
      </c>
    </row>
    <row r="44" spans="1:38" ht="21" customHeight="1">
      <c r="A44" s="2230"/>
      <c r="B44" s="6793"/>
      <c r="C44" s="6056" t="s">
        <v>14268</v>
      </c>
      <c r="D44" s="2702"/>
      <c r="E44" s="186"/>
      <c r="F44" s="6058"/>
      <c r="G44" s="6058"/>
      <c r="H44" s="6058"/>
      <c r="I44" s="6059"/>
      <c r="J44" s="6059"/>
      <c r="K44" s="6059"/>
      <c r="L44" s="6059" t="s">
        <v>14264</v>
      </c>
      <c r="M44" s="6060">
        <v>120</v>
      </c>
      <c r="N44" s="6091"/>
      <c r="O44" s="2230"/>
      <c r="P44" s="1604" t="s">
        <v>10</v>
      </c>
      <c r="Q44" s="5608">
        <f t="shared" ref="Q44:AI44" ca="1" si="10">CELL("largeur",Q44)</f>
        <v>3</v>
      </c>
      <c r="R44" s="5608">
        <f t="shared" ca="1" si="10"/>
        <v>3</v>
      </c>
      <c r="S44" s="5608">
        <f t="shared" ca="1" si="10"/>
        <v>3</v>
      </c>
      <c r="T44" s="5608">
        <f t="shared" ca="1" si="10"/>
        <v>5</v>
      </c>
      <c r="U44" s="5608">
        <f t="shared" ca="1" si="10"/>
        <v>12</v>
      </c>
      <c r="V44" s="5608">
        <f t="shared" ca="1" si="10"/>
        <v>12</v>
      </c>
      <c r="W44" s="5608">
        <f t="shared" ca="1" si="10"/>
        <v>3</v>
      </c>
      <c r="X44" s="5608">
        <f t="shared" ca="1" si="10"/>
        <v>9</v>
      </c>
      <c r="Y44" s="5608">
        <f ca="1">CELL("largeur",Y44)</f>
        <v>12</v>
      </c>
      <c r="Z44" s="5608">
        <f t="shared" ca="1" si="10"/>
        <v>13</v>
      </c>
      <c r="AA44" s="5610">
        <f t="shared" ca="1" si="10"/>
        <v>6</v>
      </c>
      <c r="AB44" s="5606">
        <f t="shared" ca="1" si="10"/>
        <v>40</v>
      </c>
      <c r="AC44" s="5606">
        <f t="shared" ca="1" si="10"/>
        <v>10</v>
      </c>
      <c r="AD44" s="5606">
        <f t="shared" ca="1" si="10"/>
        <v>9</v>
      </c>
      <c r="AE44" s="5606">
        <f t="shared" ca="1" si="10"/>
        <v>18</v>
      </c>
      <c r="AF44" s="5610">
        <f t="shared" ca="1" si="10"/>
        <v>13</v>
      </c>
      <c r="AG44" s="5606">
        <f t="shared" ca="1" si="10"/>
        <v>13</v>
      </c>
      <c r="AH44" s="5606">
        <f t="shared" ca="1" si="10"/>
        <v>13</v>
      </c>
      <c r="AI44" s="5996">
        <f t="shared" ca="1" si="10"/>
        <v>17</v>
      </c>
      <c r="AJ44" s="6794"/>
      <c r="AK44" s="2230"/>
      <c r="AL44" s="3">
        <v>1</v>
      </c>
    </row>
    <row r="45" spans="1:38" ht="21" customHeight="1">
      <c r="A45" s="2230"/>
      <c r="B45" s="6793"/>
      <c r="C45" s="6106"/>
      <c r="D45" s="2702" t="s">
        <v>14265</v>
      </c>
      <c r="E45" s="6061"/>
      <c r="F45" s="2230"/>
      <c r="G45" s="2230"/>
      <c r="H45" s="2230"/>
      <c r="I45" s="6061"/>
      <c r="J45" s="6061"/>
      <c r="K45" s="6061"/>
      <c r="L45" s="6061"/>
      <c r="M45" s="6062" t="s">
        <v>14266</v>
      </c>
      <c r="N45" s="6092"/>
      <c r="O45" s="2230"/>
      <c r="P45" s="1618" t="s">
        <v>10</v>
      </c>
      <c r="Q45" s="5566" t="str">
        <f>Q23</f>
        <v>B BEIGNETS D'ACACIA | pâtisserie--Beignets| Auteur &gt; Cuisine Actuelle</v>
      </c>
      <c r="R45" s="5567">
        <f>R23</f>
        <v>4</v>
      </c>
      <c r="S45" s="5568" t="str">
        <f>S23</f>
        <v>personnes</v>
      </c>
      <c r="T45" s="5569" t="str">
        <f>T23</f>
        <v>Recette mère ► Beignets d'acacia</v>
      </c>
      <c r="U45" s="6036" t="str">
        <f ca="1">"largeur de "&amp;AA43&amp;" à "&amp;AI43&amp;" = "&amp;SUM(AA44:AI44)</f>
        <v>largeur de AA à AI = 139</v>
      </c>
      <c r="V45" s="6037"/>
      <c r="W45" s="6107"/>
      <c r="X45" s="6107"/>
      <c r="Y45" s="6107"/>
      <c r="Z45" s="1987" t="s">
        <v>8145</v>
      </c>
      <c r="AA45" s="1988" t="s">
        <v>821</v>
      </c>
      <c r="AB45" s="6108"/>
      <c r="AC45" s="5999" t="str">
        <f ca="1">"largeur mini  = "&amp;SUM(AA44:AF44)</f>
        <v>largeur mini  = 96</v>
      </c>
      <c r="AD45" s="6000" t="str">
        <f ca="1">"largeur maxi  = "&amp;SUM(AA44:AI44)</f>
        <v>largeur maxi  = 139</v>
      </c>
      <c r="AE45" s="6109"/>
      <c r="AF45" s="6109"/>
      <c r="AG45" s="1989"/>
      <c r="AH45" s="1989"/>
      <c r="AI45" s="1990" t="s">
        <v>218</v>
      </c>
      <c r="AJ45" s="2230"/>
      <c r="AK45" s="2230"/>
      <c r="AL45" s="3">
        <v>1</v>
      </c>
    </row>
    <row r="46" spans="1:38" ht="21" customHeight="1">
      <c r="A46" s="2230"/>
      <c r="B46" s="6793"/>
      <c r="C46" s="6063"/>
      <c r="D46" s="6064"/>
      <c r="E46" s="1354"/>
      <c r="F46" s="6064"/>
      <c r="G46" s="6064"/>
      <c r="H46" s="6064"/>
      <c r="I46" s="1354"/>
      <c r="J46" s="1354"/>
      <c r="K46" s="6065">
        <v>0</v>
      </c>
      <c r="L46" s="6066" t="s">
        <v>14267</v>
      </c>
      <c r="M46" s="6067" t="str">
        <f>"Col."&amp;SUBSTITUTE(ADDRESS(1,COLUMN(),4),"1","")&amp;" ▼"</f>
        <v>Col.M ▼</v>
      </c>
      <c r="N46" s="6093"/>
      <c r="O46" s="2230"/>
      <c r="P46" s="1618" t="s">
        <v>10</v>
      </c>
      <c r="Q46" s="163" t="str">
        <f>Q23</f>
        <v>B BEIGNETS D'ACACIA | pâtisserie--Beignets| Auteur &gt; Cuisine Actuelle</v>
      </c>
      <c r="R46" s="163">
        <f>R23</f>
        <v>4</v>
      </c>
      <c r="S46" s="164" t="str">
        <f>S23</f>
        <v>personnes</v>
      </c>
      <c r="T46" s="165" t="str">
        <f>T23</f>
        <v>Recette mère ► Beignets d'acacia</v>
      </c>
      <c r="U46" s="6110"/>
      <c r="V46" s="6110"/>
      <c r="W46" s="6111"/>
      <c r="X46" s="2064" t="s">
        <v>8865</v>
      </c>
      <c r="Y46" s="2065">
        <f ca="1">SUM(AA44:AI44)</f>
        <v>139</v>
      </c>
      <c r="Z46" s="1374">
        <v>0</v>
      </c>
      <c r="AA46" s="1375" t="s">
        <v>14246</v>
      </c>
      <c r="AB46" s="1810"/>
      <c r="AC46" s="1810"/>
      <c r="AD46" s="1810"/>
      <c r="AE46" s="1810"/>
      <c r="AF46" s="1810"/>
      <c r="AG46" s="186"/>
      <c r="AH46" s="5993" t="s">
        <v>164</v>
      </c>
      <c r="AI46" s="1330" t="s">
        <v>165</v>
      </c>
      <c r="AJ46" s="2230"/>
      <c r="AK46" s="2230"/>
      <c r="AL46" s="3">
        <v>1</v>
      </c>
    </row>
    <row r="47" spans="1:38" ht="21" customHeight="1">
      <c r="A47" s="2230"/>
      <c r="B47" s="6793"/>
      <c r="C47" s="6068" t="str">
        <f>IF(TRIM(SUBSTITUTE(M47,CHAR(160),""))="","",M47)</f>
        <v>1. je voudrais , que tu coupes; le texte en 50 caractères !,sans couper les mots,?et en respectant la ponctuation ou en 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D47" s="6069" t="str" cm="1">
        <f t="array" ref="D47">IF(ROW()=ROW(D47),C50,INDEX(E47:E60,ROW()-ROW(D47)))</f>
        <v>1. je voudrais , que tu coupes; le texte en 50 caractères !,sans couper les mots,?et en respectant la ponctuation ou en 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E47" s="6112" t="str">
        <f>IF(OR(D47="",C49="",C49&lt;=0,F47=""),"",TRIM(MID(D47,LEN(F47)+1+IF(MID(D47,LEN(F47)+1,1)=" ",1,0),99999)))</f>
        <v>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F47" s="6069" t="str">
        <f>IF(OR(G47="",G47=0,G47="0"),"",IF(LEN(G47)&lt;=C49,G47,IF(LEN(SUBSTITUTE(H47," ",""))=C49+1,LEFT(G47,C49),LEFT(G47,FIND("§",SUBSTITUTE(H47," ","§",LEN(H47)-LEN(SUBSTITUTE(H47," ",""))))-1))))</f>
        <v>1. je voudrais , que tu coupes; le texte en 50 caractères !,sans couper les mots,?et en respectant la ponctuation ou en</v>
      </c>
      <c r="G47" s="6069" t="str">
        <f t="shared" ref="G47:G110" si="11">IF(OR(D47="",D47=0),"",TRIM(SUBSTITUTE(SUBSTITUTE(D47,CHAR(160)," "),CHAR(10)," ")))</f>
        <v>1. je voudrais , que tu coupes; le texte en 50 caractères !,sans couper les mots,?et en respectant la ponctuation ou en 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H47" s="6069" t="str">
        <f>IF(OR(G47="",G47=0,G47="0"),"",LEFT(G47,C49+1))</f>
        <v>1. je voudrais , que tu coupes; le texte en 50 caractères !,sans couper les mots,?et en respectant la ponctuation ou en l</v>
      </c>
      <c r="I47" s="6070" t="str">
        <f t="shared" ref="I47:I110" si="12">IF(L47="","",(LEN(TRIM(SUBSTITUTE(L47,CHAR(160)," ")))-LEN(SUBSTITUTE(TRIM(SUBSTITUTE(L47,CHAR(160)," "))," ",""))+1)&amp;" mot"&amp;IF((LEN(TRIM(SUBSTITUTE(L47,CHAR(160)," ")))-LEN(SUBSTITUTE(TRIM(SUBSTITUTE(L47,CHAR(160)," "))," ",""))+1)&gt;1,"s",""))</f>
        <v>22 mots</v>
      </c>
      <c r="J47" s="6071" t="str">
        <f t="shared" ref="J47:J110" si="13">IF(L47="","",LEN(TRIM(SUBSTITUTE(L47,CHAR(160),"")))&amp;" car.")</f>
        <v>119 car.</v>
      </c>
      <c r="K47" s="6072">
        <f>IF(LEN(TRIM(L47))&gt;0,MAX(K46:K46)+1,"")</f>
        <v>1</v>
      </c>
      <c r="L47" s="6095" t="str" cm="1">
        <f t="array" ref="L47:L53">_xlfn._xlws.FILTER(F47:F326,TRIM(SUBSTITUTE(F47:F326,CHAR(160),""))&lt;&gt;"")</f>
        <v>1. je voudrais , que tu coupes; le texte en 50 caractères !,sans couper les mots,?et en respectant la ponctuation ou en</v>
      </c>
      <c r="M47" s="6073" t="s">
        <v>14275</v>
      </c>
      <c r="N47" s="6094" t="str">
        <f>"◄ "&amp;IF(M47="","",(LEN(TRIM(SUBSTITUTE(M47,CHAR(160)," ")))-LEN(SUBSTITUTE(TRIM(SUBSTITUTE(M47,CHAR(160)," "))," ",""))+1)&amp;" mot"&amp;IF((LEN(TRIM(SUBSTITUTE(M47,CHAR(160)," ")))-LEN(SUBSTITUTE(TRIM(SUBSTITUTE(M47,CHAR(160)," "))," ",""))+1)&gt;1,"s",""))</f>
        <v>◄ 124 mots</v>
      </c>
      <c r="O47" s="2230"/>
      <c r="P47" s="1618" t="s">
        <v>10</v>
      </c>
      <c r="Q47" s="163" t="str">
        <f>Q23</f>
        <v>B BEIGNETS D'ACACIA | pâtisserie--Beignets| Auteur &gt; Cuisine Actuelle</v>
      </c>
      <c r="R47" s="163">
        <f>R23</f>
        <v>4</v>
      </c>
      <c r="S47" s="164" t="str">
        <f>S23</f>
        <v>personnes</v>
      </c>
      <c r="T47" s="165" t="str">
        <f>T23</f>
        <v>Recette mère ► Beignets d'acacia</v>
      </c>
      <c r="U47" s="1353"/>
      <c r="V47" s="2189" t="s">
        <v>8771</v>
      </c>
      <c r="W47" s="2190">
        <f>ROWS(AA47:AA47)</f>
        <v>1</v>
      </c>
      <c r="X47" s="1353"/>
      <c r="Y47" s="2263" t="str" cm="1">
        <f t="array" ref="Y47">SUMPRODUCT(--(AA47:AG47&lt;&gt;""), LEN(TRIM(SUBSTITUTE(AA47:AG47, CHAR(160), "")))) &amp; " Car."</f>
        <v>106 Car.</v>
      </c>
      <c r="Z47" s="1376">
        <f>IF(ISBLANK(AA47),"",LARGE(Z46:Z46,1)+1)</f>
        <v>1</v>
      </c>
      <c r="AA47" s="1810" t="s">
        <v>14247</v>
      </c>
      <c r="AB47" s="1810"/>
      <c r="AC47" s="1810"/>
      <c r="AD47" s="1810"/>
      <c r="AE47" s="1810"/>
      <c r="AF47" s="1810"/>
      <c r="AG47" s="186"/>
      <c r="AH47" s="5993" t="s">
        <v>167</v>
      </c>
      <c r="AI47" s="1330" t="s">
        <v>165</v>
      </c>
      <c r="AJ47" s="2230"/>
      <c r="AK47" s="2230"/>
      <c r="AL47" s="3">
        <v>1</v>
      </c>
    </row>
    <row r="48" spans="1:38" ht="21" customHeight="1">
      <c r="A48" s="2230"/>
      <c r="B48" s="6793"/>
      <c r="C48" s="6074" t="str">
        <f>TRIM(SUBSTITUTE(SUBSTITUTE(SUBSTITUTE(SUBSTITUTE(IF(OR(LEFT(C47,1)="-",LEFT(C47,1)="="),MID(C47,2,99999),C47),CHAR(160)," "),CHAR(9)," "),CHAR(13)&amp;CHAR(10)," "),CHAR(10)," "))</f>
        <v>1. je voudrais , que tu coupes; le texte en 50 caractères !,sans couper les mots,?et en respectant la ponctuation ou en 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D48" s="6069" t="str" cm="1">
        <f t="array" ref="D48">IF(ROW()=ROW(D47),C50,INDEX(E47:E60,ROW()-ROW(D47)))</f>
        <v>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E48" s="6112" t="str">
        <f>IF(OR(D48="",C49="",C49&lt;=0,F48=""),"",TRIM(MID(D48,LEN(F48)+1+IF(MID(D48,LEN(F48)+1,1)=" ",1,0),99999)))</f>
        <v>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F48" s="6069" t="str">
        <f>IF(OR(G48="",G48=0,G48="0"),"",IF(LEN(G48)&lt;=C49,G48,IF(LEN(SUBSTITUTE(H48," ",""))=C49+1,LEFT(G48,C49),LEFT(G48,FIND("§",SUBSTITUTE(H48," ","§",LEN(H48)-LEN(SUBSTITUTE(H48," ",""))))-1))))</f>
        <v>la supprimant - Le texte collé dans la colonne jusqu'a la ligne 66 est découpé en plusieurs lignes; en fonction du</v>
      </c>
      <c r="G48" s="6069" t="str">
        <f t="shared" si="11"/>
        <v>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H48" s="6069" t="str">
        <f>IF(OR(G48="",G48=0,G48="0"),"",LEFT(G48,C49+1))</f>
        <v>la supprimant - Le texte collé dans la colonne jusqu'a la ligne 66 est découpé en plusieurs lignes; en fonction du nombre</v>
      </c>
      <c r="I48" s="6070" t="str">
        <f t="shared" si="12"/>
        <v>21 mots</v>
      </c>
      <c r="J48" s="6071" t="str">
        <f t="shared" si="13"/>
        <v>114 car.</v>
      </c>
      <c r="K48" s="6072">
        <f>IF(LEN(TRIM(L48))&gt;0,MAX(K46:K47)+1,"")</f>
        <v>2</v>
      </c>
      <c r="L48" s="6095" t="str">
        <v>la supprimant - Le texte collé dans la colonne jusqu'a la ligne 66 est découpé en plusieurs lignes; en fonction du</v>
      </c>
      <c r="M48" s="6073"/>
      <c r="N48" s="6094" t="str">
        <f t="shared" ref="N48:N66" si="14">"◄ "&amp;IF(M48="","",(LEN(TRIM(SUBSTITUTE(M48,CHAR(160)," ")))-LEN(SUBSTITUTE(TRIM(SUBSTITUTE(M48,CHAR(160)," "))," ",""))+1)&amp;" mot"&amp;IF((LEN(TRIM(SUBSTITUTE(M48,CHAR(160)," ")))-LEN(SUBSTITUTE(TRIM(SUBSTITUTE(M48,CHAR(160)," "))," ",""))+1)&gt;1,"s",""))</f>
        <v xml:space="preserve">◄ </v>
      </c>
      <c r="O48" s="2230"/>
      <c r="P48" s="1618" t="s">
        <v>10</v>
      </c>
      <c r="Q48" s="163" t="str">
        <f>Q23</f>
        <v>B BEIGNETS D'ACACIA | pâtisserie--Beignets| Auteur &gt; Cuisine Actuelle</v>
      </c>
      <c r="R48" s="163">
        <f>R23</f>
        <v>4</v>
      </c>
      <c r="S48" s="164" t="str">
        <f>S23</f>
        <v>personnes</v>
      </c>
      <c r="T48" s="165" t="str">
        <f>T23</f>
        <v>Recette mère ► Beignets d'acacia</v>
      </c>
      <c r="U48" s="1353"/>
      <c r="V48" s="1353"/>
      <c r="W48" s="2190">
        <f>ROWS(AA47:AA48)</f>
        <v>2</v>
      </c>
      <c r="X48" s="1353"/>
      <c r="Y48" s="2263" t="str" cm="1">
        <f t="array" ref="Y48">SUMPRODUCT(--(AA48:AG48&lt;&gt;""), LEN(TRIM(SUBSTITUTE(AA48:AG48, CHAR(160), "")))) &amp; " Car."</f>
        <v>109 Car.</v>
      </c>
      <c r="Z48" s="1376">
        <f>IF(ISBLANK(AA48),"",LARGE(Z46:Z47,1)+1)</f>
        <v>2</v>
      </c>
      <c r="AA48" s="1810" t="s">
        <v>14248</v>
      </c>
      <c r="AB48" s="1810"/>
      <c r="AC48" s="1810"/>
      <c r="AD48" s="1810"/>
      <c r="AE48" s="1810"/>
      <c r="AF48" s="1810"/>
      <c r="AG48" s="1810"/>
      <c r="AH48" s="5994" t="s">
        <v>171</v>
      </c>
      <c r="AI48" s="5564">
        <v>3.472222222222222E-3</v>
      </c>
      <c r="AJ48" s="2230"/>
      <c r="AK48" s="2230"/>
      <c r="AL48" s="3">
        <v>1</v>
      </c>
    </row>
    <row r="49" spans="1:38" ht="21" customHeight="1">
      <c r="A49" s="2230"/>
      <c r="B49" s="6793"/>
      <c r="C49" s="6075">
        <f>M44</f>
        <v>120</v>
      </c>
      <c r="D49" s="6069" t="str" cm="1">
        <f t="array" ref="D49">IF(ROW()=ROW(D47),C50,INDEX(E47:E60,ROW()-ROW(D47)))</f>
        <v>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E49" s="6112" t="str">
        <f>IF(OR(D49="",C49="",C49&lt;=0,F49=""),"",TRIM(MID(D49,LEN(F49)+1+IF(MID(D49,LEN(F49)+1,1)=" ",1,0),99999)))</f>
        <v>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F49" s="6069" t="str">
        <f>IF(OR(G49="",G49=0,G49="0"),"",IF(LEN(G49)&lt;=C49,G49,IF(LEN(SUBSTITUTE(H49," ",""))=C49+1,LEFT(G49,C49),LEFT(G49,FIND("§",SUBSTITUTE(H49," ","§",LEN(H49)-LEN(SUBSTITUTE(H49," ",""))))-1))))</f>
        <v>nombre de caractères saisis .Fractionnement sans couper les mots et ajusté à la largeur de votre document ,en supprimant</v>
      </c>
      <c r="G49" s="6069" t="str">
        <f t="shared" si="11"/>
        <v>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H49" s="6069" t="str">
        <f>IF(OR(G49="",G49=0,G49="0"),"",LEFT(G49,C49+1))</f>
        <v xml:space="preserve">nombre de caractères saisis .Fractionnement sans couper les mots et ajusté à la largeur de votre document ,en supprimant </v>
      </c>
      <c r="I49" s="6070" t="str">
        <f t="shared" si="12"/>
        <v>19 mots</v>
      </c>
      <c r="J49" s="6071" t="str">
        <f t="shared" si="13"/>
        <v>120 car.</v>
      </c>
      <c r="K49" s="6072">
        <f>IF(LEN(TRIM(L49))&gt;0,MAX(K46:K48)+1,"")</f>
        <v>3</v>
      </c>
      <c r="L49" s="6095" t="str">
        <v>nombre de caractères saisis .Fractionnement sans couper les mots et ajusté à la largeur de votre document ,en supprimant</v>
      </c>
      <c r="M49" s="6073"/>
      <c r="N49" s="6094" t="str">
        <f t="shared" si="14"/>
        <v xml:space="preserve">◄ </v>
      </c>
      <c r="O49" s="2230"/>
      <c r="P49" s="1618" t="s">
        <v>10</v>
      </c>
      <c r="Q49" s="163" t="str">
        <f>Q23</f>
        <v>B BEIGNETS D'ACACIA | pâtisserie--Beignets| Auteur &gt; Cuisine Actuelle</v>
      </c>
      <c r="R49" s="163">
        <f>R23</f>
        <v>4</v>
      </c>
      <c r="S49" s="164" t="str">
        <f>S23</f>
        <v>personnes</v>
      </c>
      <c r="T49" s="165" t="str">
        <f>T23</f>
        <v>Recette mère ► Beignets d'acacia</v>
      </c>
      <c r="U49" s="1353"/>
      <c r="V49" s="1353"/>
      <c r="W49" s="2190">
        <f>ROWS(AA47:AA49)</f>
        <v>3</v>
      </c>
      <c r="X49" s="1353"/>
      <c r="Y49" s="2263" t="str" cm="1">
        <f t="array" ref="Y49">SUMPRODUCT(--(AA49:AG49&lt;&gt;""), LEN(TRIM(SUBSTITUTE(AA49:AG49, CHAR(160), "")))) &amp; " Car."</f>
        <v>107 Car.</v>
      </c>
      <c r="Z49" s="1376">
        <f>IF(ISBLANK(AA49),"",LARGE(Z46:Z48,1)+1)</f>
        <v>3</v>
      </c>
      <c r="AA49" s="1810" t="s">
        <v>14249</v>
      </c>
      <c r="AB49" s="1810"/>
      <c r="AC49" s="1810"/>
      <c r="AD49" s="1810"/>
      <c r="AE49" s="1810"/>
      <c r="AF49" s="1810"/>
      <c r="AG49" s="1810"/>
      <c r="AH49" s="5994" t="s">
        <v>173</v>
      </c>
      <c r="AI49" s="5565">
        <v>1.0416666666666666E-2</v>
      </c>
      <c r="AJ49" s="2230"/>
      <c r="AK49" s="2230"/>
      <c r="AL49" s="3">
        <v>1</v>
      </c>
    </row>
    <row r="50" spans="1:38" ht="21" customHeight="1">
      <c r="A50" s="2230"/>
      <c r="B50" s="6793"/>
      <c r="C50" s="6074" t="str">
        <f>IF(UPPER(TRIM(C45))="X",C54,C48)</f>
        <v>1. je voudrais , que tu coupes; le texte en 50 caractères !,sans couper les mots,?et en respectant la ponctuation ou en 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D50" s="6069" t="str" cm="1">
        <f t="array" ref="D50">IF(ROW()=ROW(D47),C50,INDEX(E47:E60,ROW()-ROW(D47)))</f>
        <v>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E50" s="6112" t="str">
        <f>IF(OR(D50="",C49="",C49&lt;=0,F50=""),"",TRIM(MID(D50,LEN(F50)+1+IF(MID(D50,LEN(F50)+1,1)=" ",1,0),99999)))</f>
        <v>Calibri taille 11 vous aurez davantage de caractères par lignes. A vous de choisir votre police. Lorsque vous masquez des lignes ou colonnes ou que vous saisissez une nouvelle valeur appuyez sur la touche F9 pour forcer Excel à recalculer 🔃</v>
      </c>
      <c r="F50" s="6069" t="str">
        <f>IF(OR(G50="",G50=0,G50="0"),"",IF(LEN(G50)&lt;=C49,G50,IF(LEN(SUBSTITUTE(H50," ",""))=C49+1,LEFT(G50,C49),LEFT(G50,FIND("§",SUBSTITUTE(H50," ","§",LEN(H50)-LEN(SUBSTITUTE(H50," ",""))))-1))))</f>
        <v>les lignes vides. Saisissez un nombre de caractères pour que le texte ne déborde pas de la colonne. Avec une police</v>
      </c>
      <c r="G50" s="6069" t="str">
        <f t="shared" si="11"/>
        <v>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H50" s="6069" t="str">
        <f>IF(OR(G50="",G50=0,G50="0"),"",LEFT(G50,C49+1))</f>
        <v>les lignes vides. Saisissez un nombre de caractères pour que le texte ne déborde pas de la colonne. Avec une police Calib</v>
      </c>
      <c r="I50" s="6070" t="str">
        <f t="shared" si="12"/>
        <v>21 mots</v>
      </c>
      <c r="J50" s="6071" t="str">
        <f t="shared" si="13"/>
        <v>115 car.</v>
      </c>
      <c r="K50" s="6072">
        <f>IF(LEN(TRIM(L50))&gt;0,MAX(K46:K49)+1,"")</f>
        <v>4</v>
      </c>
      <c r="L50" s="6095" t="str">
        <v>les lignes vides. Saisissez un nombre de caractères pour que le texte ne déborde pas de la colonne. Avec une police</v>
      </c>
      <c r="M50" s="6073"/>
      <c r="N50" s="6094" t="str">
        <f t="shared" si="14"/>
        <v xml:space="preserve">◄ </v>
      </c>
      <c r="O50" s="2230"/>
      <c r="P50" s="1618" t="s">
        <v>10</v>
      </c>
      <c r="Q50" s="163" t="str">
        <f>Q23</f>
        <v>B BEIGNETS D'ACACIA | pâtisserie--Beignets| Auteur &gt; Cuisine Actuelle</v>
      </c>
      <c r="R50" s="163">
        <f>R23</f>
        <v>4</v>
      </c>
      <c r="S50" s="164" t="str">
        <f>S23</f>
        <v>personnes</v>
      </c>
      <c r="T50" s="165" t="str">
        <f>T23</f>
        <v>Recette mère ► Beignets d'acacia</v>
      </c>
      <c r="U50" s="1353"/>
      <c r="V50" s="1353"/>
      <c r="W50" s="2190">
        <f>ROWS(AA47:AA50)</f>
        <v>4</v>
      </c>
      <c r="X50" s="1353"/>
      <c r="Y50" s="2263" t="str" cm="1">
        <f t="array" ref="Y50">SUMPRODUCT(--(AA50:AG50&lt;&gt;""), LEN(TRIM(SUBSTITUTE(AA50:AG50, CHAR(160), "")))) &amp; " Car."</f>
        <v>110 Car.</v>
      </c>
      <c r="Z50" s="1376">
        <f>IF(ISBLANK(AA50),"",LARGE(Z46:Z49,1)+1)</f>
        <v>4</v>
      </c>
      <c r="AA50" s="1810" t="s">
        <v>14250</v>
      </c>
      <c r="AB50" s="1833"/>
      <c r="AC50" s="1810"/>
      <c r="AD50" s="1810"/>
      <c r="AE50" s="1810"/>
      <c r="AF50" s="1810"/>
      <c r="AG50" s="1810"/>
      <c r="AH50" s="5994" t="s">
        <v>181</v>
      </c>
      <c r="AI50" s="178">
        <v>2.0833333333333332E-2</v>
      </c>
      <c r="AJ50" s="2230"/>
      <c r="AK50" s="2230"/>
      <c r="AL50" s="3">
        <v>1</v>
      </c>
    </row>
    <row r="51" spans="1:38" ht="21" customHeight="1">
      <c r="A51" s="2230"/>
      <c r="B51" s="6793"/>
      <c r="C51" s="6074" t="str">
        <f>TRIM(SUBSTITUTE(SUBSTITUTE(SUBSTITUTE(SUBSTITUTE(SUBSTITUTE(SUBSTITUTE(SUBSTITUTE(SUBSTITUTE(SUBSTITUTE(SUBSTITUTE(C48,","," "),";"," "),":"," "),"!"," "),"?"," "),"…"," "),"»"," "),"«"," "),"/"," "),"."," "))</f>
        <v>1 je voudrais que tu coupes le texte en 50 caractères sans couper les mots et en respectant la ponctuation ou en la supprimant -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D51" s="6069" t="str" cm="1">
        <f t="array" ref="D51">IF(ROW()=ROW(D47),C50,INDEX(E47:E60,ROW()-ROW(D47)))</f>
        <v>Calibri taille 11 vous aurez davantage de caractères par lignes. A vous de choisir votre police. Lorsque vous masquez des lignes ou colonnes ou que vous saisissez une nouvelle valeur appuyez sur la touche F9 pour forcer Excel à recalculer 🔃</v>
      </c>
      <c r="E51" s="6112" t="str">
        <f>IF(OR(D51="",C49="",C49&lt;=0,F51=""),"",TRIM(MID(D51,LEN(F51)+1+IF(MID(D51,LEN(F51)+1,1)=" ",1,0),99999)))</f>
        <v>des lignes ou colonnes ou que vous saisissez une nouvelle valeur appuyez sur la touche F9 pour forcer Excel à recalculer 🔃</v>
      </c>
      <c r="F51" s="6069" t="str">
        <f>IF(OR(G51="",G51=0,G51="0"),"",IF(LEN(G51)&lt;=C49,G51,IF(LEN(SUBSTITUTE(H51," ",""))=C49+1,LEFT(G51,C49),LEFT(G51,FIND("§",SUBSTITUTE(H51," ","§",LEN(H51)-LEN(SUBSTITUTE(H51," ",""))))-1))))</f>
        <v>Calibri taille 11 vous aurez davantage de caractères par lignes. A vous de choisir votre police. Lorsque vous masquez</v>
      </c>
      <c r="G51" s="6069" t="str">
        <f t="shared" si="11"/>
        <v>Calibri taille 11 vous aurez davantage de caractères par lignes. A vous de choisir votre police. Lorsque vous masquez des lignes ou colonnes ou que vous saisissez une nouvelle valeur appuyez sur la touche F9 pour forcer Excel à recalculer 🔃</v>
      </c>
      <c r="H51" s="6069" t="str">
        <f>IF(OR(G51="",G51=0,G51="0"),"",LEFT(G51,C49+1))</f>
        <v>Calibri taille 11 vous aurez davantage de caractères par lignes. A vous de choisir votre police. Lorsque vous masquez des</v>
      </c>
      <c r="I51" s="6070" t="str">
        <f t="shared" si="12"/>
        <v>19 mots</v>
      </c>
      <c r="J51" s="6071" t="str">
        <f t="shared" si="13"/>
        <v>117 car.</v>
      </c>
      <c r="K51" s="6072">
        <f>IF(LEN(TRIM(L51))&gt;0,MAX(K46:K50)+1,"")</f>
        <v>5</v>
      </c>
      <c r="L51" s="6095" t="str">
        <v>Calibri taille 11 vous aurez davantage de caractères par lignes. A vous de choisir votre police. Lorsque vous masquez</v>
      </c>
      <c r="M51" s="6073"/>
      <c r="N51" s="6094" t="str">
        <f t="shared" si="14"/>
        <v xml:space="preserve">◄ </v>
      </c>
      <c r="O51" s="2230"/>
      <c r="P51" s="1618" t="s">
        <v>10</v>
      </c>
      <c r="Q51" s="163" t="str">
        <f>Q23</f>
        <v>B BEIGNETS D'ACACIA | pâtisserie--Beignets| Auteur &gt; Cuisine Actuelle</v>
      </c>
      <c r="R51" s="163">
        <f>R23</f>
        <v>4</v>
      </c>
      <c r="S51" s="164" t="str">
        <f>S23</f>
        <v>personnes</v>
      </c>
      <c r="T51" s="165" t="str">
        <f>T23</f>
        <v>Recette mère ► Beignets d'acacia</v>
      </c>
      <c r="U51" s="1353"/>
      <c r="V51" s="1353"/>
      <c r="W51" s="2190">
        <f>ROWS(AA47:AA51)</f>
        <v>5</v>
      </c>
      <c r="X51" s="1353"/>
      <c r="Y51" s="2263" t="str" cm="1">
        <f t="array" ref="Y51">SUMPRODUCT(--(AA51:AG51&lt;&gt;""), LEN(TRIM(SUBSTITUTE(AA51:AG51, CHAR(160), "")))) &amp; " Car."</f>
        <v>104 Car.</v>
      </c>
      <c r="Z51" s="1376">
        <f>IF(ISBLANK(AA51),"",LARGE(Z46:Z50,1)+1)</f>
        <v>5</v>
      </c>
      <c r="AA51" s="1810" t="s">
        <v>14251</v>
      </c>
      <c r="AB51" s="1810"/>
      <c r="AC51" s="1810"/>
      <c r="AD51" s="1810"/>
      <c r="AE51" s="1810"/>
      <c r="AF51" s="1810"/>
      <c r="AG51" s="1810"/>
      <c r="AH51" s="179" t="s">
        <v>182</v>
      </c>
      <c r="AI51" s="180">
        <f>AI48+AI49+AI50</f>
        <v>3.4722222222222224E-2</v>
      </c>
      <c r="AJ51" s="2230"/>
      <c r="AK51" s="2230"/>
      <c r="AL51" s="3">
        <v>1</v>
      </c>
    </row>
    <row r="52" spans="1:38" ht="21" customHeight="1">
      <c r="A52" s="2230"/>
      <c r="B52" s="6793"/>
      <c r="C52" s="6069" t="str">
        <f>TRIM(SUBSTITUTE(SUBSTITUTE(SUBSTITUTE(SUBSTITUTE(SUBSTITUTE(SUBSTITUTE(SUBSTITUTE(SUBSTITUTE(C51,"("," "),")"," "),CHAR(34)," "),"-"," "),"_"," "),"&lt;"," "),"&gt;"," "),"="," "))</f>
        <v>1 je voudrais que tu coupes le texte en 50 caractères sans couper les mots et en respectant la ponctuation ou en la supprimant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D52" s="6069" t="str" cm="1">
        <f t="array" ref="D52">IF(ROW()=ROW(D47),C50,INDEX(E47:E60,ROW()-ROW(D47)))</f>
        <v>des lignes ou colonnes ou que vous saisissez une nouvelle valeur appuyez sur la touche F9 pour forcer Excel à recalculer 🔃</v>
      </c>
      <c r="E52" s="6112" t="str">
        <f>IF(OR(D52="",C49="",C49&lt;=0,F52=""),"",TRIM(MID(D52,LEN(F52)+1+IF(MID(D52,LEN(F52)+1,1)=" ",1,0),99999)))</f>
        <v>🔃</v>
      </c>
      <c r="F52" s="6069" t="str">
        <f>IF(OR(G52="",G52=0,G52="0"),"",IF(LEN(G52)&lt;=C49,G52,IF(LEN(SUBSTITUTE(H52," ",""))=C49+1,LEFT(G52,C49),LEFT(G52,FIND("§",SUBSTITUTE(H52," ","§",LEN(H52)-LEN(SUBSTITUTE(H52," ",""))))-1))))</f>
        <v>des lignes ou colonnes ou que vous saisissez une nouvelle valeur appuyez sur la touche F9 pour forcer Excel à recalculer</v>
      </c>
      <c r="G52" s="6069" t="str">
        <f t="shared" si="11"/>
        <v>des lignes ou colonnes ou que vous saisissez une nouvelle valeur appuyez sur la touche F9 pour forcer Excel à recalculer 🔃</v>
      </c>
      <c r="H52" s="6069" t="str">
        <f>IF(OR(G52="",G52=0,G52="0"),"",LEFT(G52,C49+1))</f>
        <v xml:space="preserve">des lignes ou colonnes ou que vous saisissez une nouvelle valeur appuyez sur la touche F9 pour forcer Excel à recalculer </v>
      </c>
      <c r="I52" s="6070" t="str">
        <f t="shared" si="12"/>
        <v>21 mots</v>
      </c>
      <c r="J52" s="6071" t="str">
        <f t="shared" si="13"/>
        <v>120 car.</v>
      </c>
      <c r="K52" s="6072">
        <f>IF(LEN(TRIM(L52))&gt;0,MAX(K46:K51)+1,"")</f>
        <v>6</v>
      </c>
      <c r="L52" s="6095" t="str">
        <v>des lignes ou colonnes ou que vous saisissez une nouvelle valeur appuyez sur la touche F9 pour forcer Excel à recalculer</v>
      </c>
      <c r="M52" s="6073"/>
      <c r="N52" s="6094" t="str">
        <f t="shared" si="14"/>
        <v xml:space="preserve">◄ </v>
      </c>
      <c r="O52" s="2230"/>
      <c r="P52" s="1618" t="s">
        <v>10</v>
      </c>
      <c r="Q52" s="163" t="str">
        <f>Q23</f>
        <v>B BEIGNETS D'ACACIA | pâtisserie--Beignets| Auteur &gt; Cuisine Actuelle</v>
      </c>
      <c r="R52" s="163">
        <f>R23</f>
        <v>4</v>
      </c>
      <c r="S52" s="164" t="str">
        <f>S23</f>
        <v>personnes</v>
      </c>
      <c r="T52" s="165" t="str">
        <f>T23</f>
        <v>Recette mère ► Beignets d'acacia</v>
      </c>
      <c r="U52" s="1353"/>
      <c r="V52" s="1353"/>
      <c r="W52" s="2190">
        <f>ROWS(AA47:AA52)</f>
        <v>6</v>
      </c>
      <c r="X52" s="1353"/>
      <c r="Y52" s="2263" t="str" cm="1">
        <f t="array" ref="Y52">SUMPRODUCT(--(AA52:AG52&lt;&gt;""), LEN(TRIM(SUBSTITUTE(AA52:AG52, CHAR(160), "")))) &amp; " Car."</f>
        <v>30 Car.</v>
      </c>
      <c r="Z52" s="1376" t="str">
        <f>IF(ISBLANK(AA52),"",LARGE(Z46:Z51,1)+1)</f>
        <v/>
      </c>
      <c r="AA52" s="1810"/>
      <c r="AB52" s="1833" t="s">
        <v>8410</v>
      </c>
      <c r="AC52" s="1810"/>
      <c r="AD52" s="1810"/>
      <c r="AE52" s="1810"/>
      <c r="AF52" s="1810"/>
      <c r="AG52" s="1810"/>
      <c r="AH52" s="1810"/>
      <c r="AI52" s="1811"/>
      <c r="AJ52" s="2230"/>
      <c r="AK52" s="2230"/>
      <c r="AL52" s="3">
        <v>1</v>
      </c>
    </row>
    <row r="53" spans="1:38" ht="21" customHeight="1">
      <c r="A53" s="2230"/>
      <c r="B53" s="6793"/>
      <c r="C53" s="6074" t="str">
        <f>TRIM(SUBSTITUTE(SUBSTITUTE(SUBSTITUTE(SUBSTITUTE(C52,"►"," "),"▼"," "),"▲"," "),"◄"," "))</f>
        <v>1 je voudrais que tu coupes le texte en 50 caractères sans couper les mots et en respectant la ponctuation ou en la supprimant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D53" s="6069" t="str" cm="1">
        <f t="array" ref="D53">IF(ROW()=ROW(D47),C50,INDEX(E47:E60,ROW()-ROW(D47)))</f>
        <v>🔃</v>
      </c>
      <c r="E53" s="6112" t="str">
        <f>IF(OR(D53="",C49="",C49&lt;=0,F53=""),"",TRIM(MID(D53,LEN(F53)+1+IF(MID(D53,LEN(F53)+1,1)=" ",1,0),99999)))</f>
        <v/>
      </c>
      <c r="F53" s="6069" t="str">
        <f>IF(OR(G53="",G53=0,G53="0"),"",IF(LEN(G53)&lt;=C49,G53,IF(LEN(SUBSTITUTE(H53," ",""))=C49+1,LEFT(G53,C49),LEFT(G53,FIND("§",SUBSTITUTE(H53," ","§",LEN(H53)-LEN(SUBSTITUTE(H53," ",""))))-1))))</f>
        <v>🔃</v>
      </c>
      <c r="G53" s="6069" t="str">
        <f t="shared" si="11"/>
        <v>🔃</v>
      </c>
      <c r="H53" s="6069" t="str">
        <f>IF(OR(G53="",G53=0,G53="0"),"",LEFT(G53,C49+1))</f>
        <v>🔃</v>
      </c>
      <c r="I53" s="6070" t="str">
        <f t="shared" si="12"/>
        <v>1 mot</v>
      </c>
      <c r="J53" s="6071" t="str">
        <f t="shared" si="13"/>
        <v>2 car.</v>
      </c>
      <c r="K53" s="6072">
        <f>IF(LEN(TRIM(L53))&gt;0,MAX(K46:K52)+1,"")</f>
        <v>7</v>
      </c>
      <c r="L53" s="6095" t="str">
        <v>🔃</v>
      </c>
      <c r="M53" s="6073"/>
      <c r="N53" s="6094" t="str">
        <f t="shared" si="14"/>
        <v xml:space="preserve">◄ </v>
      </c>
      <c r="O53" s="2230"/>
      <c r="P53" s="1618" t="s">
        <v>10</v>
      </c>
      <c r="Q53" s="163" t="str">
        <f>Q23</f>
        <v>B BEIGNETS D'ACACIA | pâtisserie--Beignets| Auteur &gt; Cuisine Actuelle</v>
      </c>
      <c r="R53" s="163">
        <f>R23</f>
        <v>4</v>
      </c>
      <c r="S53" s="164" t="str">
        <f>S23</f>
        <v>personnes</v>
      </c>
      <c r="T53" s="165" t="str">
        <f>T23</f>
        <v>Recette mère ► Beignets d'acacia</v>
      </c>
      <c r="U53" s="1353"/>
      <c r="V53" s="1353"/>
      <c r="W53" s="2190">
        <f>ROWS(AA47:AA53)</f>
        <v>7</v>
      </c>
      <c r="X53" s="1353"/>
      <c r="Y53" s="2263" t="str" cm="1">
        <f t="array" ref="Y53">SUMPRODUCT(--(AA53:AG53&lt;&gt;""), LEN(TRIM(SUBSTITUTE(AA53:AG53, CHAR(160), "")))) &amp; " Car."</f>
        <v>0 Car.</v>
      </c>
      <c r="Z53" s="1376" t="str">
        <f>IF(ISBLANK(AA53),"",LARGE(Z46:Z52,1)+1)</f>
        <v/>
      </c>
      <c r="AA53" s="1810"/>
      <c r="AB53" s="1810"/>
      <c r="AC53" s="1810"/>
      <c r="AD53" s="1810"/>
      <c r="AE53" s="1810"/>
      <c r="AF53" s="1810"/>
      <c r="AG53" s="1810"/>
      <c r="AH53" s="1810"/>
      <c r="AI53" s="1811"/>
      <c r="AJ53" s="2230"/>
      <c r="AK53" s="2230"/>
      <c r="AL53" s="3">
        <v>1</v>
      </c>
    </row>
    <row r="54" spans="1:38" ht="21" customHeight="1">
      <c r="A54" s="2230"/>
      <c r="B54" s="6793"/>
      <c r="C54" s="6074" t="str">
        <f>TRIM(SUBSTITUTE(SUBSTITUTE(C53,"“"," "),"”"," "))</f>
        <v>1 je voudrais que tu coupes le texte en 50 caractères sans couper les mots et en respectant la ponctuation ou en la supprimant Le texte collé dans la colonne jusqu'a la ligne 66 est découpé en plusieurs lignes en fonction du nombre de caractères saisis Fractionnement sans couper les mots et ajusté à la largeur de votre document en supprimant les lignes vides Saisissez un nombre de caractères pour que le texte ne déborde pas de la colonne Avec une police Calibri taille 11 vous aurez davantage de caractères par lignes A vous de choisir votre police Lorsque vous masquez des lignes ou colonnes ou que vous saisissez une nouvelle valeur appuyez sur la touche F9 pour forcer Excel à recalculer 🔃</v>
      </c>
      <c r="D54" s="6069" t="str" cm="1">
        <f t="array" ref="D54">IF(ROW()=ROW(D47),C50,INDEX(E47:E60,ROW()-ROW(D47)))</f>
        <v/>
      </c>
      <c r="E54" s="6112" t="str">
        <f>IF(OR(D54="",C49="",C49&lt;=0,F54=""),"",TRIM(MID(D54,LEN(F54)+1+IF(MID(D54,LEN(F54)+1,1)=" ",1,0),99999)))</f>
        <v/>
      </c>
      <c r="F54" s="6069" t="str">
        <f>IF(OR(G54="",G54=0,G54="0"),"",IF(LEN(G54)&lt;=C49,G54,IF(LEN(SUBSTITUTE(H54," ",""))=C49+1,LEFT(G54,C49),LEFT(G54,FIND("§",SUBSTITUTE(H54," ","§",LEN(H54)-LEN(SUBSTITUTE(H54," ",""))))-1))))</f>
        <v/>
      </c>
      <c r="G54" s="6069" t="str">
        <f t="shared" si="11"/>
        <v/>
      </c>
      <c r="H54" s="6069" t="str">
        <f>IF(OR(G54="",G54=0,G54="0"),"",LEFT(G54,C49+1))</f>
        <v/>
      </c>
      <c r="I54" s="6070" t="str">
        <f t="shared" si="12"/>
        <v/>
      </c>
      <c r="J54" s="6071" t="str">
        <f t="shared" si="13"/>
        <v/>
      </c>
      <c r="K54" s="6072" t="str">
        <f>IF(LEN(TRIM(L54))&gt;0,MAX(K46:K53)+1,"")</f>
        <v/>
      </c>
      <c r="L54" s="6095"/>
      <c r="M54" s="6073"/>
      <c r="N54" s="6094" t="str">
        <f t="shared" si="14"/>
        <v xml:space="preserve">◄ </v>
      </c>
      <c r="O54" s="2230"/>
      <c r="P54" s="1618" t="s">
        <v>10</v>
      </c>
      <c r="Q54" s="163" t="str">
        <f>Q23</f>
        <v>B BEIGNETS D'ACACIA | pâtisserie--Beignets| Auteur &gt; Cuisine Actuelle</v>
      </c>
      <c r="R54" s="163">
        <f>R23</f>
        <v>4</v>
      </c>
      <c r="S54" s="164" t="str">
        <f>S23</f>
        <v>personnes</v>
      </c>
      <c r="T54" s="165" t="str">
        <f>T23</f>
        <v>Recette mère ► Beignets d'acacia</v>
      </c>
      <c r="U54" s="1353"/>
      <c r="V54" s="1353"/>
      <c r="W54" s="2190">
        <f>ROWS(AA47:AA54)</f>
        <v>8</v>
      </c>
      <c r="X54" s="1353"/>
      <c r="Y54" s="2263" t="str" cm="1">
        <f t="array" ref="Y54">SUMPRODUCT(--(AA54:AG54&lt;&gt;""), LEN(TRIM(SUBSTITUTE(AA54:AG54, CHAR(160), "")))) &amp; " Car."</f>
        <v>0 Car.</v>
      </c>
      <c r="Z54" s="1376" t="str">
        <f>IF(ISBLANK(AA54),"",LARGE(Z46:Z53,1)+1)</f>
        <v/>
      </c>
      <c r="AA54" s="1810"/>
      <c r="AB54" s="1810"/>
      <c r="AC54" s="1810"/>
      <c r="AD54" s="1810"/>
      <c r="AE54" s="1810"/>
      <c r="AF54" s="1810"/>
      <c r="AG54" s="1810"/>
      <c r="AH54" s="1810"/>
      <c r="AI54" s="1811"/>
      <c r="AJ54" s="2230"/>
      <c r="AK54" s="2230"/>
      <c r="AL54" s="3">
        <v>1</v>
      </c>
    </row>
    <row r="55" spans="1:38" ht="21" customHeight="1">
      <c r="A55" s="2230"/>
      <c r="B55" s="6793"/>
      <c r="C55" s="6074"/>
      <c r="D55" s="6069" t="str" cm="1">
        <f t="array" ref="D55">IF(ROW()=ROW(D47),C50,INDEX(E47:E60,ROW()-ROW(D47)))</f>
        <v/>
      </c>
      <c r="E55" s="6112" t="str">
        <f>IF(OR(D55="",C49="",C49&lt;=0,F55=""),"",TRIM(MID(D55,LEN(F55)+1+IF(MID(D55,LEN(F55)+1,1)=" ",1,0),99999)))</f>
        <v/>
      </c>
      <c r="F55" s="6069" t="str">
        <f>IF(OR(G55="",G55=0,G55="0"),"",IF(LEN(G55)&lt;=C49,G55,IF(LEN(SUBSTITUTE(H55," ",""))=C49+1,LEFT(G55,C49),LEFT(G55,FIND("§",SUBSTITUTE(H55," ","§",LEN(H55)-LEN(SUBSTITUTE(H55," ",""))))-1))))</f>
        <v/>
      </c>
      <c r="G55" s="6069" t="str">
        <f t="shared" si="11"/>
        <v/>
      </c>
      <c r="H55" s="6069" t="str">
        <f>IF(OR(G55="",G55=0,G55="0"),"",LEFT(G55,C49+1))</f>
        <v/>
      </c>
      <c r="I55" s="6070" t="str">
        <f t="shared" si="12"/>
        <v/>
      </c>
      <c r="J55" s="6071" t="str">
        <f t="shared" si="13"/>
        <v/>
      </c>
      <c r="K55" s="6072" t="str">
        <f>IF(LEN(TRIM(L55))&gt;0,MAX(K46:K54)+1,"")</f>
        <v/>
      </c>
      <c r="L55" s="6095"/>
      <c r="M55" s="6073"/>
      <c r="N55" s="6094" t="str">
        <f t="shared" si="14"/>
        <v xml:space="preserve">◄ </v>
      </c>
      <c r="O55" s="2230"/>
      <c r="P55" s="1618" t="s">
        <v>10</v>
      </c>
      <c r="Q55" s="163" t="str">
        <f>Q23</f>
        <v>B BEIGNETS D'ACACIA | pâtisserie--Beignets| Auteur &gt; Cuisine Actuelle</v>
      </c>
      <c r="R55" s="163">
        <f>R23</f>
        <v>4</v>
      </c>
      <c r="S55" s="164" t="str">
        <f>S23</f>
        <v>personnes</v>
      </c>
      <c r="T55" s="165" t="str">
        <f>T23</f>
        <v>Recette mère ► Beignets d'acacia</v>
      </c>
      <c r="U55" s="1353"/>
      <c r="V55" s="1353"/>
      <c r="W55" s="2190">
        <f>ROWS(AA47:AA55)</f>
        <v>9</v>
      </c>
      <c r="X55" s="1353"/>
      <c r="Y55" s="2263" t="str" cm="1">
        <f t="array" ref="Y55">SUMPRODUCT(--(AA55:AG55&lt;&gt;""), LEN(TRIM(SUBSTITUTE(AA55:AG55, CHAR(160), "")))) &amp; " Car."</f>
        <v>0 Car.</v>
      </c>
      <c r="Z55" s="1376" t="str">
        <f>IF(ISBLANK(AA55),"",LARGE(Z46:Z54,1)+1)</f>
        <v/>
      </c>
      <c r="AA55" s="1810"/>
      <c r="AB55" s="1810"/>
      <c r="AC55" s="1810"/>
      <c r="AD55" s="1810"/>
      <c r="AE55" s="1810"/>
      <c r="AF55" s="1810"/>
      <c r="AG55" s="1810"/>
      <c r="AH55" s="1810"/>
      <c r="AI55" s="1811"/>
      <c r="AJ55" s="2230"/>
      <c r="AK55" s="2230"/>
      <c r="AL55" s="3">
        <v>1</v>
      </c>
    </row>
    <row r="56" spans="1:38" ht="21" customHeight="1">
      <c r="A56" s="2230"/>
      <c r="B56" s="6793"/>
      <c r="C56" s="6074"/>
      <c r="D56" s="6069" t="str" cm="1">
        <f t="array" ref="D56">IF(ROW()=ROW(D47),C50,INDEX(E47:E60,ROW()-ROW(D47)))</f>
        <v/>
      </c>
      <c r="E56" s="6112" t="str">
        <f>IF(OR(D56="",C49="",C49&lt;=0,F56=""),"",TRIM(MID(D56,LEN(F56)+1+IF(MID(D56,LEN(F56)+1,1)=" ",1,0),99999)))</f>
        <v/>
      </c>
      <c r="F56" s="6069" t="str">
        <f>IF(OR(G56="",G56=0,G56="0"),"",IF(LEN(G56)&lt;=C49,G56,IF(LEN(SUBSTITUTE(H56," ",""))=C49+1,LEFT(G56,C49),LEFT(G56,FIND("§",SUBSTITUTE(H56," ","§",LEN(H56)-LEN(SUBSTITUTE(H56," ",""))))-1))))</f>
        <v/>
      </c>
      <c r="G56" s="6069" t="str">
        <f t="shared" si="11"/>
        <v/>
      </c>
      <c r="H56" s="6069" t="str">
        <f>IF(OR(G56="",G56=0,G56="0"),"",LEFT(G56,C49+1))</f>
        <v/>
      </c>
      <c r="I56" s="6070" t="str">
        <f t="shared" si="12"/>
        <v/>
      </c>
      <c r="J56" s="6071" t="str">
        <f t="shared" si="13"/>
        <v/>
      </c>
      <c r="K56" s="6072" t="str">
        <f>IF(LEN(TRIM(L56))&gt;0,MAX(K46:K55)+1,"")</f>
        <v/>
      </c>
      <c r="L56" s="6095"/>
      <c r="M56" s="6073"/>
      <c r="N56" s="6094" t="str">
        <f t="shared" si="14"/>
        <v xml:space="preserve">◄ </v>
      </c>
      <c r="O56" s="2230"/>
      <c r="P56" s="1618" t="s">
        <v>10</v>
      </c>
      <c r="Q56" s="163" t="str">
        <f>Q23</f>
        <v>B BEIGNETS D'ACACIA | pâtisserie--Beignets| Auteur &gt; Cuisine Actuelle</v>
      </c>
      <c r="R56" s="163">
        <f>R23</f>
        <v>4</v>
      </c>
      <c r="S56" s="164" t="str">
        <f>S23</f>
        <v>personnes</v>
      </c>
      <c r="T56" s="165" t="str">
        <f>T23</f>
        <v>Recette mère ► Beignets d'acacia</v>
      </c>
      <c r="U56" s="1353"/>
      <c r="V56" s="1353"/>
      <c r="W56" s="2190">
        <f>ROWS(AA47:AA56)</f>
        <v>10</v>
      </c>
      <c r="X56" s="1353"/>
      <c r="Y56" s="2263" t="str" cm="1">
        <f t="array" ref="Y56">SUMPRODUCT(--(AA56:AG56&lt;&gt;""), LEN(TRIM(SUBSTITUTE(AA56:AG56, CHAR(160), "")))) &amp; " Car."</f>
        <v>0 Car.</v>
      </c>
      <c r="Z56" s="1376" t="str">
        <f>IF(ISBLANK(AA56),"",LARGE(Z46:Z55,1)+1)</f>
        <v/>
      </c>
      <c r="AA56" s="1810"/>
      <c r="AB56" s="1810"/>
      <c r="AC56" s="1810"/>
      <c r="AD56" s="1810"/>
      <c r="AE56" s="1810"/>
      <c r="AF56" s="1810"/>
      <c r="AG56" s="1810"/>
      <c r="AH56" s="1810"/>
      <c r="AI56" s="1811"/>
      <c r="AJ56" s="2230"/>
      <c r="AK56" s="2230"/>
      <c r="AL56" s="3">
        <v>1</v>
      </c>
    </row>
    <row r="57" spans="1:38" ht="21" customHeight="1">
      <c r="A57" s="2230"/>
      <c r="B57" s="6793"/>
      <c r="C57" s="6074"/>
      <c r="D57" s="6069" t="str" cm="1">
        <f t="array" ref="D57">IF(ROW()=ROW(D47),C50,INDEX(E47:E60,ROW()-ROW(D47)))</f>
        <v/>
      </c>
      <c r="E57" s="6112" t="str">
        <f>IF(OR(D57="",C49="",C49&lt;=0,F57=""),"",TRIM(MID(D57,LEN(F57)+1+IF(MID(D57,LEN(F57)+1,1)=" ",1,0),99999)))</f>
        <v/>
      </c>
      <c r="F57" s="6069" t="str">
        <f>IF(OR(G57="",G57=0,G57="0"),"",IF(LEN(G57)&lt;=C49,G57,IF(LEN(SUBSTITUTE(H57," ",""))=C49+1,LEFT(G57,C49),LEFT(G57,FIND("§",SUBSTITUTE(H57," ","§",LEN(H57)-LEN(SUBSTITUTE(H57," ",""))))-1))))</f>
        <v/>
      </c>
      <c r="G57" s="6069" t="str">
        <f t="shared" si="11"/>
        <v/>
      </c>
      <c r="H57" s="6069" t="str">
        <f>IF(OR(G57="",G57=0,G57="0"),"",LEFT(G57,C49+1))</f>
        <v/>
      </c>
      <c r="I57" s="6070" t="str">
        <f t="shared" si="12"/>
        <v/>
      </c>
      <c r="J57" s="6071" t="str">
        <f t="shared" si="13"/>
        <v/>
      </c>
      <c r="K57" s="6072" t="str">
        <f>IF(LEN(TRIM(L57))&gt;0,MAX(K46:K56)+1,"")</f>
        <v/>
      </c>
      <c r="L57" s="6095"/>
      <c r="M57" s="6073"/>
      <c r="N57" s="6094" t="str">
        <f t="shared" si="14"/>
        <v xml:space="preserve">◄ </v>
      </c>
      <c r="O57" s="2230"/>
      <c r="P57" s="1618" t="s">
        <v>10</v>
      </c>
      <c r="Q57" s="163" t="str">
        <f>Q23</f>
        <v>B BEIGNETS D'ACACIA | pâtisserie--Beignets| Auteur &gt; Cuisine Actuelle</v>
      </c>
      <c r="R57" s="1943">
        <f>R23</f>
        <v>4</v>
      </c>
      <c r="S57" s="164" t="str">
        <f>S23</f>
        <v>personnes</v>
      </c>
      <c r="T57" s="165" t="str">
        <f>T23</f>
        <v>Recette mère ► Beignets d'acacia</v>
      </c>
      <c r="U57" s="1353"/>
      <c r="V57" s="1353"/>
      <c r="W57" s="2190">
        <f>ROWS(AA47:AA57)</f>
        <v>11</v>
      </c>
      <c r="X57" s="1353"/>
      <c r="Y57" s="2263" t="str" cm="1">
        <f t="array" ref="Y57">SUMPRODUCT(--(AA57:AG57&lt;&gt;""), LEN(TRIM(SUBSTITUTE(AA57:AG57, CHAR(160), "")))) &amp; " Car."</f>
        <v>0 Car.</v>
      </c>
      <c r="Z57" s="1376" t="str">
        <f>IF(ISBLANK(AA57),"",LARGE(Z46:Z56,1)+1)</f>
        <v/>
      </c>
      <c r="AA57" s="1810"/>
      <c r="AB57" s="1810"/>
      <c r="AC57" s="1810"/>
      <c r="AD57" s="1810"/>
      <c r="AE57" s="1810"/>
      <c r="AF57" s="1810"/>
      <c r="AG57" s="1810"/>
      <c r="AH57" s="1810"/>
      <c r="AI57" s="1811"/>
      <c r="AJ57" s="2230"/>
      <c r="AK57" s="2230"/>
      <c r="AL57" s="3">
        <v>1</v>
      </c>
    </row>
    <row r="58" spans="1:38" ht="21" customHeight="1">
      <c r="A58" s="2230"/>
      <c r="B58" s="6793"/>
      <c r="C58" s="6074"/>
      <c r="D58" s="6069" t="str" cm="1">
        <f t="array" ref="D58">IF(ROW()=ROW(D47),C50,INDEX(E47:E60,ROW()-ROW(D47)))</f>
        <v/>
      </c>
      <c r="E58" s="6112" t="str">
        <f>IF(OR(D58="",C49="",C49&lt;=0,F58=""),"",TRIM(MID(D58,LEN(F58)+1+IF(MID(D58,LEN(F58)+1,1)=" ",1,0),99999)))</f>
        <v/>
      </c>
      <c r="F58" s="6069" t="str">
        <f>IF(OR(G58="",G58=0,G58="0"),"",IF(LEN(G58)&lt;=C49,G58,IF(LEN(SUBSTITUTE(H58," ",""))=C49+1,LEFT(G58,C49),LEFT(G58,FIND("§",SUBSTITUTE(H58," ","§",LEN(H58)-LEN(SUBSTITUTE(H58," ",""))))-1))))</f>
        <v/>
      </c>
      <c r="G58" s="6069" t="str">
        <f t="shared" si="11"/>
        <v/>
      </c>
      <c r="H58" s="6069" t="str">
        <f>IF(OR(G58="",G58=0,G58="0"),"",LEFT(G58,C49+1))</f>
        <v/>
      </c>
      <c r="I58" s="6070" t="str">
        <f t="shared" si="12"/>
        <v/>
      </c>
      <c r="J58" s="6071" t="str">
        <f t="shared" si="13"/>
        <v/>
      </c>
      <c r="K58" s="6072" t="str">
        <f>IF(LEN(TRIM(L58))&gt;0,MAX(K46:K57)+1,"")</f>
        <v/>
      </c>
      <c r="L58" s="6095"/>
      <c r="M58" s="6073"/>
      <c r="N58" s="6094" t="str">
        <f t="shared" si="14"/>
        <v xml:space="preserve">◄ </v>
      </c>
      <c r="O58" s="2230"/>
      <c r="P58" s="1618" t="s">
        <v>10</v>
      </c>
      <c r="Q58" s="163" t="str">
        <f>Q23</f>
        <v>B BEIGNETS D'ACACIA | pâtisserie--Beignets| Auteur &gt; Cuisine Actuelle</v>
      </c>
      <c r="R58" s="163">
        <f>R23</f>
        <v>4</v>
      </c>
      <c r="S58" s="164" t="str">
        <f>S23</f>
        <v>personnes</v>
      </c>
      <c r="T58" s="165" t="str">
        <f>T23</f>
        <v>Recette mère ► Beignets d'acacia</v>
      </c>
      <c r="U58" s="1353"/>
      <c r="V58" s="1353"/>
      <c r="W58" s="2190">
        <f>ROWS(AA47:AA58)</f>
        <v>12</v>
      </c>
      <c r="X58" s="1353"/>
      <c r="Y58" s="2263" t="str" cm="1">
        <f t="array" ref="Y58">SUMPRODUCT(--(AA58:AG58&lt;&gt;""), LEN(TRIM(SUBSTITUTE(AA58:AG58, CHAR(160), "")))) &amp; " Car."</f>
        <v>0 Car.</v>
      </c>
      <c r="Z58" s="1376" t="str">
        <f>IF(ISBLANK(AA58),"",LARGE(Z46:Z57,1)+1)</f>
        <v/>
      </c>
      <c r="AA58" s="1810"/>
      <c r="AB58" s="1833"/>
      <c r="AC58" s="1810"/>
      <c r="AD58" s="1810"/>
      <c r="AE58" s="1810"/>
      <c r="AF58" s="1810"/>
      <c r="AG58" s="1810"/>
      <c r="AH58" s="1810"/>
      <c r="AI58" s="1811"/>
      <c r="AJ58" s="2230"/>
      <c r="AK58" s="2230"/>
      <c r="AL58" s="3">
        <v>1</v>
      </c>
    </row>
    <row r="59" spans="1:38" ht="21" customHeight="1">
      <c r="A59" s="2230"/>
      <c r="B59" s="6793"/>
      <c r="C59" s="6074"/>
      <c r="D59" s="6069" t="str" cm="1">
        <f t="array" ref="D59">IF(ROW()=ROW(D47),C50,INDEX(E47:E60,ROW()-ROW(D47)))</f>
        <v/>
      </c>
      <c r="E59" s="6112" t="str">
        <f>IF(OR(D59="",C49="",C49&lt;=0,F59=""),"",TRIM(MID(D59,LEN(F59)+1+IF(MID(D59,LEN(F59)+1,1)=" ",1,0),99999)))</f>
        <v/>
      </c>
      <c r="F59" s="6069" t="str">
        <f>IF(OR(G59="",G59=0,G59="0"),"",IF(LEN(G59)&lt;=C49,G59,IF(LEN(SUBSTITUTE(H59," ",""))=C49+1,LEFT(G59,C49),LEFT(G59,FIND("§",SUBSTITUTE(H59," ","§",LEN(H59)-LEN(SUBSTITUTE(H59," ",""))))-1))))</f>
        <v/>
      </c>
      <c r="G59" s="6069" t="str">
        <f t="shared" si="11"/>
        <v/>
      </c>
      <c r="H59" s="6069" t="str">
        <f>IF(OR(G59="",G59=0,G59="0"),"",LEFT(G59,C49+1))</f>
        <v/>
      </c>
      <c r="I59" s="6070" t="str">
        <f t="shared" si="12"/>
        <v/>
      </c>
      <c r="J59" s="6071" t="str">
        <f t="shared" si="13"/>
        <v/>
      </c>
      <c r="K59" s="6072" t="str">
        <f>IF(LEN(TRIM(L59))&gt;0,MAX(K46:K58)+1,"")</f>
        <v/>
      </c>
      <c r="L59" s="6095"/>
      <c r="M59" s="6073"/>
      <c r="N59" s="6094" t="str">
        <f t="shared" si="14"/>
        <v xml:space="preserve">◄ </v>
      </c>
      <c r="O59" s="2230"/>
      <c r="P59" s="1618" t="s">
        <v>10</v>
      </c>
      <c r="Q59" s="163" t="str">
        <f>Q23</f>
        <v>B BEIGNETS D'ACACIA | pâtisserie--Beignets| Auteur &gt; Cuisine Actuelle</v>
      </c>
      <c r="R59" s="163">
        <f>R23</f>
        <v>4</v>
      </c>
      <c r="S59" s="164" t="str">
        <f>S23</f>
        <v>personnes</v>
      </c>
      <c r="T59" s="165" t="str">
        <f>T23</f>
        <v>Recette mère ► Beignets d'acacia</v>
      </c>
      <c r="U59" s="1353"/>
      <c r="V59" s="1353"/>
      <c r="W59" s="2190">
        <f>ROWS(AA47:AA59)</f>
        <v>13</v>
      </c>
      <c r="X59" s="1353"/>
      <c r="Y59" s="2263" t="str" cm="1">
        <f t="array" ref="Y59">SUMPRODUCT(--(AA59:AG59&lt;&gt;""), LEN(TRIM(SUBSTITUTE(AA59:AG59, CHAR(160), "")))) &amp; " Car."</f>
        <v>0 Car.</v>
      </c>
      <c r="Z59" s="1376" t="str">
        <f>IF(ISBLANK(AA59),"",LARGE(Z46:Z58,1)+1)</f>
        <v/>
      </c>
      <c r="AA59" s="1810"/>
      <c r="AB59" s="1810"/>
      <c r="AC59" s="1810"/>
      <c r="AD59" s="1810"/>
      <c r="AE59" s="1810"/>
      <c r="AF59" s="1810"/>
      <c r="AG59" s="1810"/>
      <c r="AH59" s="1810"/>
      <c r="AI59" s="1811"/>
      <c r="AJ59" s="2230"/>
      <c r="AK59" s="2230"/>
      <c r="AL59" s="3">
        <v>1</v>
      </c>
    </row>
    <row r="60" spans="1:38" ht="21" customHeight="1">
      <c r="A60" s="2230"/>
      <c r="B60" s="6793"/>
      <c r="C60" s="6074"/>
      <c r="D60" s="6069" t="str" cm="1">
        <f t="array" ref="D60">IF(ROW()=ROW(D47),C50,INDEX(E47:E60,ROW()-ROW(D47)))</f>
        <v/>
      </c>
      <c r="E60" s="6112" t="str">
        <f>IF(OR(D60="",C49="",C49&lt;=0,F60=""),"",TRIM(MID(D60,LEN(F60)+1+IF(MID(D60,LEN(F60)+1,1)=" ",1,0),99999)))</f>
        <v/>
      </c>
      <c r="F60" s="6069" t="str">
        <f>IF(OR(G60="",G60=0,G60="0"),"",IF(LEN(G60)&lt;=C49,G60,IF(LEN(SUBSTITUTE(H60," ",""))=C49+1,LEFT(G60,C49),LEFT(G60,FIND("§",SUBSTITUTE(H60," ","§",LEN(H60)-LEN(SUBSTITUTE(H60," ",""))))-1))))</f>
        <v/>
      </c>
      <c r="G60" s="6069" t="str">
        <f t="shared" si="11"/>
        <v/>
      </c>
      <c r="H60" s="6069" t="str">
        <f>IF(OR(G60="",G60=0,G60="0"),"",LEFT(G60,C49+1))</f>
        <v/>
      </c>
      <c r="I60" s="6070" t="str">
        <f t="shared" si="12"/>
        <v/>
      </c>
      <c r="J60" s="6071" t="str">
        <f t="shared" si="13"/>
        <v/>
      </c>
      <c r="K60" s="6072" t="str">
        <f>IF(LEN(TRIM(L60))&gt;0,MAX(K46:K59)+1,"")</f>
        <v/>
      </c>
      <c r="L60" s="6095"/>
      <c r="M60" s="6073"/>
      <c r="N60" s="6094" t="str">
        <f t="shared" si="14"/>
        <v xml:space="preserve">◄ </v>
      </c>
      <c r="O60" s="2230"/>
      <c r="P60" s="1618" t="s">
        <v>10</v>
      </c>
      <c r="Q60" s="163" t="str">
        <f>Q23</f>
        <v>B BEIGNETS D'ACACIA | pâtisserie--Beignets| Auteur &gt; Cuisine Actuelle</v>
      </c>
      <c r="R60" s="163">
        <f>R23</f>
        <v>4</v>
      </c>
      <c r="S60" s="164" t="str">
        <f>S23</f>
        <v>personnes</v>
      </c>
      <c r="T60" s="165" t="str">
        <f>T23</f>
        <v>Recette mère ► Beignets d'acacia</v>
      </c>
      <c r="U60" s="1353"/>
      <c r="V60" s="1353"/>
      <c r="W60" s="2190">
        <f>ROWS(AA47:AA60)</f>
        <v>14</v>
      </c>
      <c r="X60" s="1353"/>
      <c r="Y60" s="2263" t="str" cm="1">
        <f t="array" ref="Y60">SUMPRODUCT(--(AA60:AG60&lt;&gt;""), LEN(TRIM(SUBSTITUTE(AA60:AG60, CHAR(160), "")))) &amp; " Car."</f>
        <v>0 Car.</v>
      </c>
      <c r="Z60" s="1376" t="str">
        <f>IF(ISBLANK(AA60),"",LARGE(Z46:Z59,1)+1)</f>
        <v/>
      </c>
      <c r="AA60" s="1810"/>
      <c r="AB60" s="1833"/>
      <c r="AC60" s="1810"/>
      <c r="AD60" s="1810"/>
      <c r="AE60" s="1810"/>
      <c r="AF60" s="1810"/>
      <c r="AG60" s="1810"/>
      <c r="AH60" s="1810"/>
      <c r="AI60" s="1811"/>
      <c r="AJ60" s="2230"/>
      <c r="AK60" s="2230"/>
      <c r="AL60" s="3">
        <v>1</v>
      </c>
    </row>
    <row r="61" spans="1:38" ht="21" customHeight="1">
      <c r="A61" s="2230"/>
      <c r="B61" s="6793"/>
      <c r="C61" s="6068" t="str">
        <f>IF(TRIM(SUBSTITUTE(M48,CHAR(160),""))="","",M48)</f>
        <v/>
      </c>
      <c r="D61" s="6069" t="str" cm="1">
        <f t="array" ref="D61">IF(ROW()=ROW(D61),C64,INDEX(E61:E74,ROW()-ROW(D61)))</f>
        <v/>
      </c>
      <c r="E61" s="6112" t="str">
        <f>IF(OR(D61="",C63="",C63&lt;=0,F61=""),"",TRIM(MID(D61,LEN(F61)+1+IF(MID(D61,LEN(F61)+1,1)=" ",1,0),99999)))</f>
        <v/>
      </c>
      <c r="F61" s="6069" t="str">
        <f>IF(OR(G61="",G61=0,G61="0"),"",IF(LEN(G61)&lt;=C63,G61,IF(LEN(SUBSTITUTE(H61," ",""))=C63+1,LEFT(G61,C63),LEFT(G61,FIND("§",SUBSTITUTE(H61," ","§",LEN(H61)-LEN(SUBSTITUTE(H61," ",""))))-1))))</f>
        <v/>
      </c>
      <c r="G61" s="6069" t="str">
        <f t="shared" si="11"/>
        <v/>
      </c>
      <c r="H61" s="6069" t="str">
        <f>IF(OR(G61="",G61=0,G61="0"),"",LEFT(G61,C63+1))</f>
        <v/>
      </c>
      <c r="I61" s="6070" t="str">
        <f t="shared" si="12"/>
        <v/>
      </c>
      <c r="J61" s="6071" t="str">
        <f t="shared" si="13"/>
        <v/>
      </c>
      <c r="K61" s="6072" t="str">
        <f>IF(LEN(TRIM(L61))&gt;0,MAX(K46:K60)+1,"")</f>
        <v/>
      </c>
      <c r="L61" s="6095"/>
      <c r="M61" s="6073"/>
      <c r="N61" s="6094" t="str">
        <f t="shared" si="14"/>
        <v xml:space="preserve">◄ </v>
      </c>
      <c r="O61" s="2230"/>
      <c r="P61" s="1618" t="s">
        <v>10</v>
      </c>
      <c r="Q61" s="163" t="str">
        <f>Q23</f>
        <v>B BEIGNETS D'ACACIA | pâtisserie--Beignets| Auteur &gt; Cuisine Actuelle</v>
      </c>
      <c r="R61" s="163">
        <f>R23</f>
        <v>4</v>
      </c>
      <c r="S61" s="164" t="str">
        <f>S23</f>
        <v>personnes</v>
      </c>
      <c r="T61" s="165" t="str">
        <f>T23</f>
        <v>Recette mère ► Beignets d'acacia</v>
      </c>
      <c r="U61" s="1353"/>
      <c r="V61" s="1353"/>
      <c r="W61" s="2190">
        <f>ROWS(AA47:AA61)</f>
        <v>15</v>
      </c>
      <c r="X61" s="1353"/>
      <c r="Y61" s="2263" t="str" cm="1">
        <f t="array" ref="Y61">SUMPRODUCT(--(AA61:AG61&lt;&gt;""), LEN(TRIM(SUBSTITUTE(AA61:AG61, CHAR(160), "")))) &amp; " Car."</f>
        <v>0 Car.</v>
      </c>
      <c r="Z61" s="1376" t="str">
        <f>IF(ISBLANK(AA61),"",LARGE(Z46:Z60,1)+1)</f>
        <v/>
      </c>
      <c r="AA61" s="1810"/>
      <c r="AB61" s="1810"/>
      <c r="AC61" s="1810"/>
      <c r="AD61" s="1810"/>
      <c r="AE61" s="1810"/>
      <c r="AF61" s="1810"/>
      <c r="AG61" s="1810"/>
      <c r="AH61" s="1810"/>
      <c r="AI61" s="1811"/>
      <c r="AJ61" s="2230"/>
      <c r="AK61" s="2230"/>
      <c r="AL61" s="3">
        <v>1</v>
      </c>
    </row>
    <row r="62" spans="1:38" ht="21" customHeight="1">
      <c r="A62" s="2230"/>
      <c r="B62" s="6793"/>
      <c r="C62" s="6074" t="str">
        <f>TRIM(SUBSTITUTE(SUBSTITUTE(SUBSTITUTE(SUBSTITUTE(IF(OR(LEFT(C61,1)="-",LEFT(C61,1)="="),MID(C61,2,99999),C61),CHAR(160)," "),CHAR(9)," "),CHAR(13)&amp;CHAR(10)," "),CHAR(10)," "))</f>
        <v/>
      </c>
      <c r="D62" s="6069" t="str" cm="1">
        <f t="array" ref="D62">IF(ROW()=ROW(D61),C64,INDEX(E61:E74,ROW()-ROW(D61)))</f>
        <v/>
      </c>
      <c r="E62" s="6112" t="str">
        <f>IF(OR(D62="",C63="",C63&lt;=0,F62=""),"",TRIM(MID(D62,LEN(F62)+1+IF(MID(D62,LEN(F62)+1,1)=" ",1,0),99999)))</f>
        <v/>
      </c>
      <c r="F62" s="6069" t="str">
        <f>IF(OR(G62="",G62=0,G62="0"),"",IF(LEN(G62)&lt;=C63,G62,IF(LEN(SUBSTITUTE(H62," ",""))=C63+1,LEFT(G62,C63),LEFT(G62,FIND("§",SUBSTITUTE(H62," ","§",LEN(H62)-LEN(SUBSTITUTE(H62," ",""))))-1))))</f>
        <v/>
      </c>
      <c r="G62" s="6069" t="str">
        <f t="shared" si="11"/>
        <v/>
      </c>
      <c r="H62" s="6069" t="str">
        <f>IF(OR(G62="",G62=0,G62="0"),"",LEFT(G62,C63+1))</f>
        <v/>
      </c>
      <c r="I62" s="6070" t="str">
        <f t="shared" si="12"/>
        <v/>
      </c>
      <c r="J62" s="6071" t="str">
        <f t="shared" si="13"/>
        <v/>
      </c>
      <c r="K62" s="6072" t="str">
        <f>IF(LEN(TRIM(L62))&gt;0,MAX(K46:K61)+1,"")</f>
        <v/>
      </c>
      <c r="L62" s="6095"/>
      <c r="M62" s="6073"/>
      <c r="N62" s="6094" t="str">
        <f t="shared" si="14"/>
        <v xml:space="preserve">◄ </v>
      </c>
      <c r="O62" s="2230"/>
      <c r="P62" s="1618" t="s">
        <v>10</v>
      </c>
      <c r="Q62" s="163" t="str">
        <f>Q23</f>
        <v>B BEIGNETS D'ACACIA | pâtisserie--Beignets| Auteur &gt; Cuisine Actuelle</v>
      </c>
      <c r="R62" s="163">
        <f>R23</f>
        <v>4</v>
      </c>
      <c r="S62" s="164" t="str">
        <f>S23</f>
        <v>personnes</v>
      </c>
      <c r="T62" s="165" t="str">
        <f>T23</f>
        <v>Recette mère ► Beignets d'acacia</v>
      </c>
      <c r="U62" s="1353"/>
      <c r="V62" s="1353"/>
      <c r="W62" s="2190">
        <f>ROWS(AA47:AA62)</f>
        <v>16</v>
      </c>
      <c r="X62" s="1353"/>
      <c r="Y62" s="2263" t="str" cm="1">
        <f t="array" ref="Y62">SUMPRODUCT(--(AA62:AG62&lt;&gt;""), LEN(TRIM(SUBSTITUTE(AA62:AG62, CHAR(160), "")))) &amp; " Car."</f>
        <v>91 Car.</v>
      </c>
      <c r="Z62" s="1376" t="str">
        <f>IF(ISBLANK(AA62),"",LARGE(Z46:Z61,1)+1)</f>
        <v/>
      </c>
      <c r="AA62" s="1810"/>
      <c r="AB62" s="1810" t="s">
        <v>14255</v>
      </c>
      <c r="AC62" s="1810"/>
      <c r="AD62" s="1810"/>
      <c r="AE62" s="1810"/>
      <c r="AF62" s="1810"/>
      <c r="AG62" s="1810"/>
      <c r="AH62" s="1810"/>
      <c r="AI62" s="1811"/>
      <c r="AJ62" s="2230"/>
      <c r="AK62" s="2230"/>
      <c r="AL62" s="3">
        <v>1</v>
      </c>
    </row>
    <row r="63" spans="1:38" ht="21" customHeight="1">
      <c r="A63" s="2230"/>
      <c r="B63" s="6793"/>
      <c r="C63" s="6075">
        <f>M44</f>
        <v>120</v>
      </c>
      <c r="D63" s="6069" t="str" cm="1">
        <f t="array" ref="D63">IF(ROW()=ROW(D61),C64,INDEX(E61:E74,ROW()-ROW(D61)))</f>
        <v/>
      </c>
      <c r="E63" s="6112" t="str">
        <f>IF(OR(D63="",C63="",C63&lt;=0,F63=""),"",TRIM(MID(D63,LEN(F63)+1+IF(MID(D63,LEN(F63)+1,1)=" ",1,0),99999)))</f>
        <v/>
      </c>
      <c r="F63" s="6069" t="str">
        <f>IF(OR(G63="",G63=0,G63="0"),"",IF(LEN(G63)&lt;=C63,G63,IF(LEN(SUBSTITUTE(H63," ",""))=C63+1,LEFT(G63,C63),LEFT(G63,FIND("§",SUBSTITUTE(H63," ","§",LEN(H63)-LEN(SUBSTITUTE(H63," ",""))))-1))))</f>
        <v/>
      </c>
      <c r="G63" s="6069" t="str">
        <f t="shared" si="11"/>
        <v/>
      </c>
      <c r="H63" s="6069" t="str">
        <f>IF(OR(G63="",G63=0,G63="0"),"",LEFT(G63,C63+1))</f>
        <v/>
      </c>
      <c r="I63" s="6070" t="str">
        <f t="shared" si="12"/>
        <v/>
      </c>
      <c r="J63" s="6071" t="str">
        <f t="shared" si="13"/>
        <v/>
      </c>
      <c r="K63" s="6072" t="str">
        <f>IF(LEN(TRIM(L63))&gt;0,MAX(K46:K62)+1,"")</f>
        <v/>
      </c>
      <c r="L63" s="6095"/>
      <c r="M63" s="6073"/>
      <c r="N63" s="6094" t="str">
        <f t="shared" si="14"/>
        <v xml:space="preserve">◄ </v>
      </c>
      <c r="O63" s="2230"/>
      <c r="P63" s="1618" t="s">
        <v>10</v>
      </c>
      <c r="Q63" s="163" t="str">
        <f>Q23</f>
        <v>B BEIGNETS D'ACACIA | pâtisserie--Beignets| Auteur &gt; Cuisine Actuelle</v>
      </c>
      <c r="R63" s="163">
        <f>R23</f>
        <v>4</v>
      </c>
      <c r="S63" s="164" t="str">
        <f>S23</f>
        <v>personnes</v>
      </c>
      <c r="T63" s="165" t="str">
        <f>T23</f>
        <v>Recette mère ► Beignets d'acacia</v>
      </c>
      <c r="U63" s="1353"/>
      <c r="V63" s="1353"/>
      <c r="W63" s="2190">
        <f>ROWS(AA47:AA63)</f>
        <v>17</v>
      </c>
      <c r="X63" s="1353"/>
      <c r="Y63" s="2263" t="str" cm="1">
        <f t="array" ref="Y63">SUMPRODUCT(--(AA63:AG63&lt;&gt;""), LEN(TRIM(SUBSTITUTE(AA63:AG63, CHAR(160), "")))) &amp; " Car."</f>
        <v>80 Car.</v>
      </c>
      <c r="Z63" s="1376"/>
      <c r="AA63" s="1810"/>
      <c r="AB63" s="1810" t="s">
        <v>14252</v>
      </c>
      <c r="AC63" s="1810"/>
      <c r="AD63" s="1810"/>
      <c r="AE63" s="1810"/>
      <c r="AF63" s="1810"/>
      <c r="AG63" s="1810"/>
      <c r="AH63" s="1810"/>
      <c r="AI63" s="1811"/>
      <c r="AJ63" s="2230"/>
      <c r="AK63" s="2230"/>
      <c r="AL63" s="3">
        <v>1</v>
      </c>
    </row>
    <row r="64" spans="1:38" ht="21" customHeight="1">
      <c r="A64" s="2230"/>
      <c r="B64" s="6793"/>
      <c r="C64" s="6074" t="str">
        <f>IF(UPPER(TRIM(C45))="X",C68,C62)</f>
        <v/>
      </c>
      <c r="D64" s="6069" t="str" cm="1">
        <f t="array" ref="D64">IF(ROW()=ROW(D61),C64,INDEX(E61:E74,ROW()-ROW(D61)))</f>
        <v/>
      </c>
      <c r="E64" s="6112" t="str">
        <f>IF(OR(D64="",C63="",C63&lt;=0,F64=""),"",TRIM(MID(D64,LEN(F64)+1+IF(MID(D64,LEN(F64)+1,1)=" ",1,0),99999)))</f>
        <v/>
      </c>
      <c r="F64" s="6069" t="str">
        <f>IF(OR(G64="",G64=0,G64="0"),"",IF(LEN(G64)&lt;=C63,G64,IF(LEN(SUBSTITUTE(H64," ",""))=C63+1,LEFT(G64,C63),LEFT(G64,FIND("§",SUBSTITUTE(H64," ","§",LEN(H64)-LEN(SUBSTITUTE(H64," ",""))))-1))))</f>
        <v/>
      </c>
      <c r="G64" s="6069" t="str">
        <f t="shared" si="11"/>
        <v/>
      </c>
      <c r="H64" s="6069" t="str">
        <f>IF(OR(G64="",G64=0,G64="0"),"",LEFT(G64,C63+1))</f>
        <v/>
      </c>
      <c r="I64" s="6070" t="str">
        <f t="shared" si="12"/>
        <v/>
      </c>
      <c r="J64" s="6071" t="str">
        <f t="shared" si="13"/>
        <v/>
      </c>
      <c r="K64" s="6072" t="str">
        <f>IF(LEN(TRIM(L64))&gt;0,MAX(K46:K63)+1,"")</f>
        <v/>
      </c>
      <c r="L64" s="6095"/>
      <c r="M64" s="6073"/>
      <c r="N64" s="6094" t="str">
        <f t="shared" si="14"/>
        <v xml:space="preserve">◄ </v>
      </c>
      <c r="O64" s="2230"/>
      <c r="P64" s="1618" t="s">
        <v>10</v>
      </c>
      <c r="Q64" s="163" t="str">
        <f>Q23</f>
        <v>B BEIGNETS D'ACACIA | pâtisserie--Beignets| Auteur &gt; Cuisine Actuelle</v>
      </c>
      <c r="R64" s="163">
        <f>R23</f>
        <v>4</v>
      </c>
      <c r="S64" s="164" t="str">
        <f>S23</f>
        <v>personnes</v>
      </c>
      <c r="T64" s="165" t="str">
        <f>T23</f>
        <v>Recette mère ► Beignets d'acacia</v>
      </c>
      <c r="U64" s="1353"/>
      <c r="V64" s="1353"/>
      <c r="W64" s="2190">
        <f>ROWS(AA47:AA64)</f>
        <v>18</v>
      </c>
      <c r="X64" s="1353"/>
      <c r="Y64" s="2263" t="str" cm="1">
        <f t="array" ref="Y64">SUMPRODUCT(--(AA64:AG64&lt;&gt;""), LEN(TRIM(SUBSTITUTE(AA64:AG64, CHAR(160), "")))) &amp; " Car."</f>
        <v>80 Car.</v>
      </c>
      <c r="Z64" s="1376"/>
      <c r="AA64" s="1810"/>
      <c r="AB64" s="1810" t="s">
        <v>14253</v>
      </c>
      <c r="AC64" s="1810"/>
      <c r="AD64" s="1810"/>
      <c r="AE64" s="1810"/>
      <c r="AF64" s="1810"/>
      <c r="AG64" s="1810"/>
      <c r="AH64" s="1810"/>
      <c r="AI64" s="1811"/>
      <c r="AJ64" s="2230"/>
      <c r="AK64" s="2230"/>
      <c r="AL64" s="3">
        <v>1</v>
      </c>
    </row>
    <row r="65" spans="1:38" ht="21" customHeight="1">
      <c r="A65" s="2230"/>
      <c r="B65" s="6793"/>
      <c r="C65" s="6074" t="str">
        <f>TRIM(SUBSTITUTE(SUBSTITUTE(SUBSTITUTE(SUBSTITUTE(SUBSTITUTE(SUBSTITUTE(SUBSTITUTE(SUBSTITUTE(SUBSTITUTE(SUBSTITUTE(C62,","," "),";"," "),":"," "),"!"," "),"?"," "),"…"," "),"»"," "),"«"," "),"/"," "),"."," "))</f>
        <v/>
      </c>
      <c r="D65" s="6069" t="str" cm="1">
        <f t="array" ref="D65">IF(ROW()=ROW(D61),C64,INDEX(E61:E74,ROW()-ROW(D61)))</f>
        <v/>
      </c>
      <c r="E65" s="6112" t="str">
        <f>IF(OR(D65="",C63="",C63&lt;=0,F65=""),"",TRIM(MID(D65,LEN(F65)+1+IF(MID(D65,LEN(F65)+1,1)=" ",1,0),99999)))</f>
        <v/>
      </c>
      <c r="F65" s="6069" t="str">
        <f>IF(OR(G65="",G65=0,G65="0"),"",IF(LEN(G65)&lt;=C63,G65,IF(LEN(SUBSTITUTE(H65," ",""))=C63+1,LEFT(G65,C63),LEFT(G65,FIND("§",SUBSTITUTE(H65," ","§",LEN(H65)-LEN(SUBSTITUTE(H65," ",""))))-1))))</f>
        <v/>
      </c>
      <c r="G65" s="6069" t="str">
        <f t="shared" si="11"/>
        <v/>
      </c>
      <c r="H65" s="6069" t="str">
        <f>IF(OR(G65="",G65=0,G65="0"),"",LEFT(G65,C63+1))</f>
        <v/>
      </c>
      <c r="I65" s="6070" t="str">
        <f t="shared" si="12"/>
        <v/>
      </c>
      <c r="J65" s="6071" t="str">
        <f t="shared" si="13"/>
        <v/>
      </c>
      <c r="K65" s="6072" t="str">
        <f>IF(LEN(TRIM(L65))&gt;0,MAX(K46:K64)+1,"")</f>
        <v/>
      </c>
      <c r="L65" s="6095"/>
      <c r="M65" s="6073"/>
      <c r="N65" s="6094" t="str">
        <f t="shared" si="14"/>
        <v xml:space="preserve">◄ </v>
      </c>
      <c r="O65" s="2230"/>
      <c r="P65" s="1618" t="s">
        <v>10</v>
      </c>
      <c r="Q65" s="163" t="str">
        <f>Q23</f>
        <v>B BEIGNETS D'ACACIA | pâtisserie--Beignets| Auteur &gt; Cuisine Actuelle</v>
      </c>
      <c r="R65" s="163">
        <f>R23</f>
        <v>4</v>
      </c>
      <c r="S65" s="164" t="str">
        <f>S23</f>
        <v>personnes</v>
      </c>
      <c r="T65" s="165" t="str">
        <f>T23</f>
        <v>Recette mère ► Beignets d'acacia</v>
      </c>
      <c r="U65" s="1353"/>
      <c r="V65" s="1353"/>
      <c r="W65" s="2190">
        <f>ROWS(AA47:AA65)</f>
        <v>19</v>
      </c>
      <c r="X65" s="1353"/>
      <c r="Y65" s="2263" t="str" cm="1">
        <f t="array" ref="Y65">SUMPRODUCT(--(AA65:AG65&lt;&gt;""), LEN(TRIM(SUBSTITUTE(AA65:AG65, CHAR(160), "")))) &amp; " Car."</f>
        <v>88 Car.</v>
      </c>
      <c r="Z65" s="1376" t="str">
        <f>IF(ISBLANK(AA65),"",LARGE(Z46:Z64,1)+1)</f>
        <v/>
      </c>
      <c r="AA65" s="1810"/>
      <c r="AB65" s="1810" t="s">
        <v>14254</v>
      </c>
      <c r="AC65" s="1810"/>
      <c r="AD65" s="1810"/>
      <c r="AE65" s="1810"/>
      <c r="AF65" s="1810"/>
      <c r="AG65" s="1810"/>
      <c r="AH65" s="1810"/>
      <c r="AI65" s="1811"/>
      <c r="AJ65" s="2230"/>
      <c r="AK65" s="2230"/>
      <c r="AL65" s="3">
        <v>1</v>
      </c>
    </row>
    <row r="66" spans="1:38" ht="21" customHeight="1" thickBot="1">
      <c r="A66" s="2230"/>
      <c r="B66" s="6793"/>
      <c r="C66" s="6069" t="str">
        <f>TRIM(SUBSTITUTE(SUBSTITUTE(SUBSTITUTE(SUBSTITUTE(SUBSTITUTE(SUBSTITUTE(SUBSTITUTE(SUBSTITUTE(C65,"("," "),")"," "),CHAR(34)," "),"-"," "),"_"," "),"&lt;"," "),"&gt;"," "),"="," "))</f>
        <v/>
      </c>
      <c r="D66" s="6069" t="str" cm="1">
        <f t="array" ref="D66">IF(ROW()=ROW(D61),C64,INDEX(E61:E74,ROW()-ROW(D61)))</f>
        <v/>
      </c>
      <c r="E66" s="6112" t="str">
        <f>IF(OR(D66="",C63="",C63&lt;=0,F66=""),"",TRIM(MID(D66,LEN(F66)+1+IF(MID(D66,LEN(F66)+1,1)=" ",1,0),99999)))</f>
        <v/>
      </c>
      <c r="F66" s="6069" t="str">
        <f>IF(OR(G66="",G66=0,G66="0"),"",IF(LEN(G66)&lt;=C63,G66,IF(LEN(SUBSTITUTE(H66," ",""))=C63+1,LEFT(G66,C63),LEFT(G66,FIND("§",SUBSTITUTE(H66," ","§",LEN(H66)-LEN(SUBSTITUTE(H66," ",""))))-1))))</f>
        <v/>
      </c>
      <c r="G66" s="6069" t="str">
        <f t="shared" si="11"/>
        <v/>
      </c>
      <c r="H66" s="6069" t="str">
        <f>IF(OR(G66="",G66=0,G66="0"),"",LEFT(G66,C63+1))</f>
        <v/>
      </c>
      <c r="I66" s="6070" t="str">
        <f t="shared" si="12"/>
        <v/>
      </c>
      <c r="J66" s="6071" t="str">
        <f t="shared" si="13"/>
        <v/>
      </c>
      <c r="K66" s="6072" t="str">
        <f>IF(LEN(TRIM(L66))&gt;0,MAX(K46:K65)+1,"")</f>
        <v/>
      </c>
      <c r="L66" s="6095"/>
      <c r="M66" s="6073"/>
      <c r="N66" s="6094" t="str">
        <f t="shared" si="14"/>
        <v xml:space="preserve">◄ </v>
      </c>
      <c r="O66" s="2230"/>
      <c r="P66" s="1618" t="s">
        <v>10</v>
      </c>
      <c r="Q66" s="163" t="str">
        <f>Q23</f>
        <v>B BEIGNETS D'ACACIA | pâtisserie--Beignets| Auteur &gt; Cuisine Actuelle</v>
      </c>
      <c r="R66" s="163">
        <f>R23</f>
        <v>4</v>
      </c>
      <c r="S66" s="164" t="str">
        <f>S23</f>
        <v>personnes</v>
      </c>
      <c r="T66" s="165" t="str">
        <f>T23</f>
        <v>Recette mère ► Beignets d'acacia</v>
      </c>
      <c r="U66" s="1353"/>
      <c r="V66" s="1353"/>
      <c r="W66" s="2190">
        <f>ROWS(AA47:AA66)</f>
        <v>20</v>
      </c>
      <c r="X66" s="1353"/>
      <c r="Y66" s="2263" t="str" cm="1">
        <f t="array" ref="Y66">SUMPRODUCT(--(AA66:AG66&lt;&gt;""), LEN(TRIM(SUBSTITUTE(AA66:AG66, CHAR(160), "")))) &amp; " Car."</f>
        <v>0 Car.</v>
      </c>
      <c r="Z66" s="1376" t="str">
        <f>IF(ISBLANK(AA66),"",LARGE(Z46:Z65,1)+1)</f>
        <v/>
      </c>
      <c r="AA66" s="1810"/>
      <c r="AB66" s="1810"/>
      <c r="AC66" s="1810"/>
      <c r="AD66" s="1810"/>
      <c r="AE66" s="1810"/>
      <c r="AF66" s="1810"/>
      <c r="AG66" s="1810"/>
      <c r="AH66" s="1810"/>
      <c r="AI66" s="1811"/>
      <c r="AJ66" s="2230"/>
      <c r="AK66" s="2230"/>
      <c r="AL66" s="3">
        <v>1</v>
      </c>
    </row>
    <row r="67" spans="1:38" ht="21" customHeight="1" thickBot="1">
      <c r="A67" s="2230"/>
      <c r="B67" s="6793"/>
      <c r="C67" s="6076" t="str">
        <f>TRIM(SUBSTITUTE(SUBSTITUTE(SUBSTITUTE(SUBSTITUTE(C66,"►"," "),"▼"," "),"▲"," "),"◄"," "))</f>
        <v/>
      </c>
      <c r="D67" s="6077" t="str" cm="1">
        <f t="array" ref="D67">IF(ROW()=ROW(D61),C64,INDEX(E61:E74,ROW()-ROW(D61)))</f>
        <v/>
      </c>
      <c r="E67" s="6113" t="str">
        <f>IF(OR(D67="",C63="",C63&lt;=0,F67=""),"",TRIM(MID(D67,LEN(F67)+1+IF(MID(D67,LEN(F67)+1,1)=" ",1,0),99999)))</f>
        <v/>
      </c>
      <c r="F67" s="6077" t="str">
        <f>IF(OR(G67="",G67=0,G67="0"),"",IF(LEN(G67)&lt;=C63,G67,IF(LEN(SUBSTITUTE(H67," ",""))=C63+1,LEFT(G67,C63),LEFT(G67,FIND("§",SUBSTITUTE(H67," ","§",LEN(H67)-LEN(SUBSTITUTE(H67," ",""))))-1))))</f>
        <v/>
      </c>
      <c r="G67" s="6077" t="str">
        <f t="shared" si="11"/>
        <v/>
      </c>
      <c r="H67" s="6077" t="str">
        <f>IF(OR(G67="",G67=0,G67="0"),"",LEFT(G67,C63+1))</f>
        <v/>
      </c>
      <c r="I67" s="6070" t="str">
        <f t="shared" si="12"/>
        <v/>
      </c>
      <c r="J67" s="6071" t="str">
        <f t="shared" si="13"/>
        <v/>
      </c>
      <c r="K67" s="6072" t="str">
        <f>IF(LEN(TRIM(L67))&gt;0,MAX(K46:K66)+1,"")</f>
        <v/>
      </c>
      <c r="L67" s="200"/>
      <c r="M67" s="6078">
        <f ca="1">CELL("largeur",M67)</f>
        <v>10</v>
      </c>
      <c r="N67" s="6087">
        <f t="shared" ref="N67" ca="1" si="15">CELL("largeur",N67)</f>
        <v>10</v>
      </c>
      <c r="O67" s="2230"/>
      <c r="P67" s="1618" t="s">
        <v>10</v>
      </c>
      <c r="Q67" s="163" t="str">
        <f>Q23</f>
        <v>B BEIGNETS D'ACACIA | pâtisserie--Beignets| Auteur &gt; Cuisine Actuelle</v>
      </c>
      <c r="R67" s="163">
        <f>R23</f>
        <v>4</v>
      </c>
      <c r="S67" s="164" t="str">
        <f>S23</f>
        <v>personnes</v>
      </c>
      <c r="T67" s="165" t="str">
        <f>T23</f>
        <v>Recette mère ► Beignets d'acacia</v>
      </c>
      <c r="U67" s="172"/>
      <c r="V67" s="1378" t="s">
        <v>207</v>
      </c>
      <c r="W67" s="1712" t="s">
        <v>8475</v>
      </c>
      <c r="X67" s="176"/>
      <c r="Y67" s="176"/>
      <c r="Z67" s="176"/>
      <c r="AA67" s="176"/>
      <c r="AB67" s="176"/>
      <c r="AC67" s="176"/>
      <c r="AD67" s="176"/>
      <c r="AE67" s="176"/>
      <c r="AF67" s="176"/>
      <c r="AG67" s="176"/>
      <c r="AH67" s="176"/>
      <c r="AI67" s="884"/>
      <c r="AJ67" s="2230"/>
      <c r="AK67" s="2230"/>
      <c r="AL67" s="3">
        <v>1</v>
      </c>
    </row>
    <row r="68" spans="1:38" ht="21" customHeight="1">
      <c r="A68" s="2230"/>
      <c r="B68" s="6793"/>
      <c r="C68" s="6114" t="str">
        <f>TRIM(SUBSTITUTE(SUBSTITUTE(C67,"“"," "),"”"," "))</f>
        <v/>
      </c>
      <c r="D68" s="6079" t="str" cm="1">
        <f t="array" ref="D68">IF(ROW()=ROW(D61),C64,INDEX(E61:E74,ROW()-ROW(D61)))</f>
        <v/>
      </c>
      <c r="E68" s="6115" t="str">
        <f>IF(OR(D68="",C63="",C63&lt;=0,F68=""),"",TRIM(MID(D68,LEN(F68)+1+IF(MID(D68,LEN(F68)+1,1)=" ",1,0),99999)))</f>
        <v/>
      </c>
      <c r="F68" s="6079" t="str">
        <f>IF(OR(G68="",G68=0,G68="0"),"",IF(LEN(G68)&lt;=C63,G68,IF(LEN(SUBSTITUTE(H68," ",""))=C63+1,LEFT(G68,C63),LEFT(G68,FIND("§",SUBSTITUTE(H68," ","§",LEN(H68)-LEN(SUBSTITUTE(H68," ",""))))-1))))</f>
        <v/>
      </c>
      <c r="G68" s="6079" t="str">
        <f t="shared" si="11"/>
        <v/>
      </c>
      <c r="H68" s="6079" t="str">
        <f>IF(OR(G68="",G68=0,G68="0"),"",LEFT(G68,C63+1))</f>
        <v/>
      </c>
      <c r="I68" s="6080" t="str">
        <f t="shared" si="12"/>
        <v/>
      </c>
      <c r="J68" s="6081" t="str">
        <f t="shared" si="13"/>
        <v/>
      </c>
      <c r="K68" s="6082" t="str">
        <f>IF(LEN(TRIM(L68))&gt;0,MAX(K46:K67)+1,"")</f>
        <v/>
      </c>
      <c r="L68" s="200"/>
      <c r="M68" s="6043">
        <v>10</v>
      </c>
      <c r="N68" s="6088">
        <v>10</v>
      </c>
      <c r="O68" s="2230"/>
      <c r="P68" s="1618" t="s">
        <v>10</v>
      </c>
      <c r="Q68" s="163" t="str">
        <f>Q23</f>
        <v>B BEIGNETS D'ACACIA | pâtisserie--Beignets| Auteur &gt; Cuisine Actuelle</v>
      </c>
      <c r="R68" s="163">
        <f>R23</f>
        <v>4</v>
      </c>
      <c r="S68" s="164" t="str">
        <f>S23</f>
        <v>personnes</v>
      </c>
      <c r="T68" s="165" t="str">
        <f>T23</f>
        <v>Recette mère ► Beignets d'acacia</v>
      </c>
      <c r="U68" s="1379"/>
      <c r="V68" s="1380"/>
      <c r="W68" s="1380"/>
      <c r="X68" s="1380"/>
      <c r="Y68" s="1380"/>
      <c r="Z68" s="1380"/>
      <c r="AA68" s="1380"/>
      <c r="AB68" s="1381" t="s">
        <v>196</v>
      </c>
      <c r="AC68" s="202"/>
      <c r="AD68" s="202"/>
      <c r="AE68" s="202"/>
      <c r="AF68" s="202"/>
      <c r="AG68" s="202"/>
      <c r="AH68" s="202"/>
      <c r="AI68" s="885"/>
      <c r="AJ68" s="2230"/>
      <c r="AK68" s="2230"/>
      <c r="AL68" s="3">
        <v>1</v>
      </c>
    </row>
    <row r="69" spans="1:38" ht="21" customHeight="1" thickBot="1">
      <c r="A69" s="2230"/>
      <c r="B69" s="6793"/>
      <c r="C69" s="6074"/>
      <c r="D69" s="6069" t="str" cm="1">
        <f t="array" ref="D69">IF(ROW()=ROW(D61),C64,INDEX(E61:E74,ROW()-ROW(D61)))</f>
        <v/>
      </c>
      <c r="E69" s="6112" t="str">
        <f>IF(OR(D69="",C63="",C63&lt;=0,F69=""),"",TRIM(MID(D69,LEN(F69)+1+IF(MID(D69,LEN(F69)+1,1)=" ",1,0),99999)))</f>
        <v/>
      </c>
      <c r="F69" s="6069" t="str">
        <f>IF(OR(G69="",G69=0,G69="0"),"",IF(LEN(G69)&lt;=C63,G69,IF(LEN(SUBSTITUTE(H69," ",""))=C63+1,LEFT(G69,C63),LEFT(G69,FIND("§",SUBSTITUTE(H69," ","§",LEN(H69)-LEN(SUBSTITUTE(H69," ",""))))-1))))</f>
        <v/>
      </c>
      <c r="G69" s="6069" t="str">
        <f t="shared" si="11"/>
        <v/>
      </c>
      <c r="H69" s="6069" t="str">
        <f>IF(OR(G69="",G69=0,G69="0"),"",LEFT(G69,C63+1))</f>
        <v/>
      </c>
      <c r="I69" s="6070" t="str">
        <f t="shared" si="12"/>
        <v/>
      </c>
      <c r="J69" s="6071" t="str">
        <f t="shared" si="13"/>
        <v/>
      </c>
      <c r="K69" s="6072" t="str">
        <f>IF(LEN(TRIM(L69))&gt;0,MAX(K46:K68)+1,"")</f>
        <v/>
      </c>
      <c r="L69" s="200"/>
      <c r="M69" s="6116"/>
      <c r="N69" s="6116"/>
      <c r="O69" s="2230"/>
      <c r="P69" s="1618" t="s">
        <v>10</v>
      </c>
      <c r="Q69" s="163" t="str">
        <f>Q23</f>
        <v>B BEIGNETS D'ACACIA | pâtisserie--Beignets| Auteur &gt; Cuisine Actuelle</v>
      </c>
      <c r="R69" s="163">
        <f>R23</f>
        <v>4</v>
      </c>
      <c r="S69" s="164" t="str">
        <f>S23</f>
        <v>personnes</v>
      </c>
      <c r="T69" s="165" t="str">
        <f>T23</f>
        <v>Recette mère ► Beignets d'acacia</v>
      </c>
      <c r="U69" s="886"/>
      <c r="V69" s="886"/>
      <c r="W69" s="886"/>
      <c r="X69" s="886"/>
      <c r="Y69" s="886"/>
      <c r="Z69" s="886" t="s">
        <v>200</v>
      </c>
      <c r="AA69" s="2137"/>
      <c r="AB69" s="2137"/>
      <c r="AC69" s="2137"/>
      <c r="AD69" s="229"/>
      <c r="AE69" s="229"/>
      <c r="AF69" s="229"/>
      <c r="AG69" s="2260" t="str">
        <f>IF(AA70="","",(LEN(TRIM(SUBSTITUTE(AA70,CHAR(160)," ")))-LEN(SUBSTITUTE(TRIM(SUBSTITUTE(AA70,CHAR(160)," "))," ",""))+1)&amp;" mot"&amp;IF((LEN(TRIM(SUBSTITUTE(AA70,CHAR(160)," ")))-LEN(SUBSTITUTE(TRIM(SUBSTITUTE(AA70,CHAR(160)," "))," ",""))+1)&gt;1,"s",""))</f>
        <v>17 mots</v>
      </c>
      <c r="AH69" s="2259" t="str">
        <f>IF(AA70="","",LEN(TRIM(SUBSTITUTE(AA70,CHAR(160),""))))&amp;" Car."</f>
        <v>123 Car.</v>
      </c>
      <c r="AI69" s="2261" t="s">
        <v>8863</v>
      </c>
      <c r="AJ69" s="2230"/>
      <c r="AK69" s="2230"/>
      <c r="AL69" s="3">
        <v>1</v>
      </c>
    </row>
    <row r="70" spans="1:38" ht="21" customHeight="1" thickBot="1">
      <c r="A70" s="2230"/>
      <c r="B70" s="6793"/>
      <c r="C70" s="6074"/>
      <c r="D70" s="6069" t="str" cm="1">
        <f t="array" ref="D70">IF(ROW()=ROW(D61),C64,INDEX(E61:E74,ROW()-ROW(D61)))</f>
        <v/>
      </c>
      <c r="E70" s="6112" t="str">
        <f>IF(OR(D70="",C63="",C63&lt;=0,F70=""),"",TRIM(MID(D70,LEN(F70)+1+IF(MID(D70,LEN(F70)+1,1)=" ",1,0),99999)))</f>
        <v/>
      </c>
      <c r="F70" s="6069" t="str">
        <f>IF(OR(G70="",G70=0,G70="0"),"",IF(LEN(G70)&lt;=C63,G70,IF(LEN(SUBSTITUTE(H70," ",""))=C63+1,LEFT(G70,C63),LEFT(G70,FIND("§",SUBSTITUTE(H70," ","§",LEN(H70)-LEN(SUBSTITUTE(H70," ",""))))-1))))</f>
        <v/>
      </c>
      <c r="G70" s="6069" t="str">
        <f t="shared" si="11"/>
        <v/>
      </c>
      <c r="H70" s="6069" t="str">
        <f>IF(OR(G70="",G70=0,G70="0"),"",LEFT(G70,C63+1))</f>
        <v/>
      </c>
      <c r="I70" s="6070" t="str">
        <f t="shared" si="12"/>
        <v/>
      </c>
      <c r="J70" s="6071" t="str">
        <f t="shared" si="13"/>
        <v/>
      </c>
      <c r="K70" s="6072" t="str">
        <f>IF(LEN(TRIM(L70))&gt;0,MAX(K46:K69)+1,"")</f>
        <v/>
      </c>
      <c r="L70" s="200"/>
      <c r="M70" s="6116"/>
      <c r="N70" s="6116"/>
      <c r="O70" s="2230"/>
      <c r="P70" s="2100" t="s">
        <v>10</v>
      </c>
      <c r="Q70" s="209" t="str">
        <f>Q23</f>
        <v>B BEIGNETS D'ACACIA | pâtisserie--Beignets| Auteur &gt; Cuisine Actuelle</v>
      </c>
      <c r="R70" s="209">
        <f>R23</f>
        <v>4</v>
      </c>
      <c r="S70" s="210" t="str">
        <f>S23</f>
        <v>personnes</v>
      </c>
      <c r="T70" s="211" t="str">
        <f>T23</f>
        <v>Recette mère ► Beignets d'acacia</v>
      </c>
      <c r="U70" s="2129"/>
      <c r="V70" s="2130"/>
      <c r="W70" s="2131"/>
      <c r="X70" s="2132"/>
      <c r="Y70" s="2133"/>
      <c r="Z70" s="2133" t="s">
        <v>8864</v>
      </c>
      <c r="AA70" s="2258" t="s">
        <v>8866</v>
      </c>
      <c r="AB70" s="2136"/>
      <c r="AC70" s="2136"/>
      <c r="AD70" s="2134"/>
      <c r="AE70" s="2134"/>
      <c r="AF70" s="2134"/>
      <c r="AG70" s="2134"/>
      <c r="AH70" s="2134"/>
      <c r="AI70" s="2135"/>
      <c r="AJ70" s="2230"/>
      <c r="AK70" s="2230"/>
      <c r="AL70" s="3">
        <v>1</v>
      </c>
    </row>
    <row r="71" spans="1:38" ht="21" customHeight="1">
      <c r="A71" s="2230"/>
      <c r="B71" s="6793"/>
      <c r="C71" s="6074"/>
      <c r="D71" s="6069" t="str" cm="1">
        <f t="array" ref="D71">IF(ROW()=ROW(D61),C64,INDEX(E61:E74,ROW()-ROW(D61)))</f>
        <v/>
      </c>
      <c r="E71" s="6112" t="str">
        <f>IF(OR(D71="",C63="",C63&lt;=0,F71=""),"",TRIM(MID(D71,LEN(F71)+1+IF(MID(D71,LEN(F71)+1,1)=" ",1,0),99999)))</f>
        <v/>
      </c>
      <c r="F71" s="6069" t="str">
        <f>IF(OR(G71="",G71=0,G71="0"),"",IF(LEN(G71)&lt;=C63,G71,IF(LEN(SUBSTITUTE(H71," ",""))=C63+1,LEFT(G71,C63),LEFT(G71,FIND("§",SUBSTITUTE(H71," ","§",LEN(H71)-LEN(SUBSTITUTE(H71," ",""))))-1))))</f>
        <v/>
      </c>
      <c r="G71" s="6069" t="str">
        <f t="shared" si="11"/>
        <v/>
      </c>
      <c r="H71" s="6069" t="str">
        <f>IF(OR(G71="",G71=0,G71="0"),"",LEFT(G71,C63+1))</f>
        <v/>
      </c>
      <c r="I71" s="6070" t="str">
        <f t="shared" si="12"/>
        <v/>
      </c>
      <c r="J71" s="6071" t="str">
        <f t="shared" si="13"/>
        <v/>
      </c>
      <c r="K71" s="6072" t="str">
        <f>IF(LEN(TRIM(L71))&gt;0,MAX(K46:K70)+1,"")</f>
        <v/>
      </c>
      <c r="L71" s="200"/>
      <c r="M71" s="6116"/>
      <c r="N71" s="6116"/>
      <c r="O71" s="2230"/>
      <c r="P71" s="1604" t="s">
        <v>10</v>
      </c>
      <c r="Q71" s="2231"/>
      <c r="R71" s="2231"/>
      <c r="S71" s="2231"/>
      <c r="T71" s="2232"/>
      <c r="U71" s="2233" t="s">
        <v>207</v>
      </c>
      <c r="V71" s="2234" t="str">
        <f ca="1">CELL("nomfichier")</f>
        <v>D:\Données\1.UPRT\0-UPRT.fait\1-UPRT.FR-SITE-WEB\ff-fiches-fabrications\ff.fiches.fabrication.2023\ffr.restaurant.2023\[ff.FICHE.TRILINGUE.20.COLONNES.05.01.2026.xlsx]Couleurs.pour.vos.documents</v>
      </c>
      <c r="W71" s="2235"/>
      <c r="X71" s="2235"/>
      <c r="Y71" s="2235"/>
      <c r="Z71" s="2235"/>
      <c r="AA71" s="2235"/>
      <c r="AB71" s="2235"/>
      <c r="AC71" s="2235"/>
      <c r="AD71" s="2235"/>
      <c r="AE71" s="2235"/>
      <c r="AF71" s="2235"/>
      <c r="AG71" s="2235"/>
      <c r="AH71" s="2235"/>
      <c r="AI71" s="2236"/>
      <c r="AJ71" s="2230"/>
      <c r="AK71" s="2230"/>
      <c r="AL71" s="3">
        <v>1</v>
      </c>
    </row>
    <row r="72" spans="1:38" ht="21" customHeight="1">
      <c r="A72" s="2230"/>
      <c r="B72" s="6793"/>
      <c r="C72" s="6074"/>
      <c r="D72" s="6069" t="str" cm="1">
        <f t="array" ref="D72">IF(ROW()=ROW(D61),C64,INDEX(E61:E74,ROW()-ROW(D61)))</f>
        <v/>
      </c>
      <c r="E72" s="6112" t="str">
        <f>IF(OR(D72="",C63="",C63&lt;=0,F72=""),"",TRIM(MID(D72,LEN(F72)+1+IF(MID(D72,LEN(F72)+1,1)=" ",1,0),99999)))</f>
        <v/>
      </c>
      <c r="F72" s="6069" t="str">
        <f>IF(OR(G72="",G72=0,G72="0"),"",IF(LEN(G72)&lt;=C63,G72,IF(LEN(SUBSTITUTE(H72," ",""))=C63+1,LEFT(G72,C63),LEFT(G72,FIND("§",SUBSTITUTE(H72," ","§",LEN(H72)-LEN(SUBSTITUTE(H72," ",""))))-1))))</f>
        <v/>
      </c>
      <c r="G72" s="6069" t="str">
        <f t="shared" si="11"/>
        <v/>
      </c>
      <c r="H72" s="6069" t="str">
        <f>IF(OR(G72="",G72=0,G72="0"),"",LEFT(G72,C63+1))</f>
        <v/>
      </c>
      <c r="I72" s="6070" t="str">
        <f t="shared" si="12"/>
        <v/>
      </c>
      <c r="J72" s="6071" t="str">
        <f t="shared" si="13"/>
        <v/>
      </c>
      <c r="K72" s="6072" t="str">
        <f>IF(LEN(TRIM(L72))&gt;0,MAX(K46:K71)+1,"")</f>
        <v/>
      </c>
      <c r="L72" s="200"/>
      <c r="M72" s="6116"/>
      <c r="N72" s="6116"/>
      <c r="O72" s="2230"/>
      <c r="P72" s="2252"/>
      <c r="Q72" s="2237"/>
      <c r="R72" s="2237"/>
      <c r="S72" s="2237"/>
      <c r="T72" s="2237"/>
      <c r="U72" s="2240"/>
      <c r="V72" s="2253"/>
      <c r="W72" s="2239"/>
      <c r="X72" s="2242"/>
      <c r="Y72" s="2254"/>
      <c r="Z72" s="2251"/>
      <c r="AA72" s="2244"/>
      <c r="AB72" s="2245"/>
      <c r="AC72" s="2246"/>
      <c r="AD72" s="2247"/>
      <c r="AE72" s="2248"/>
      <c r="AF72" s="2255"/>
      <c r="AG72" s="2255"/>
      <c r="AH72" s="2238"/>
      <c r="AI72" s="2256"/>
      <c r="AJ72" s="2230"/>
      <c r="AK72" s="2230"/>
      <c r="AL72" s="3">
        <v>1</v>
      </c>
    </row>
    <row r="73" spans="1:38" ht="21" customHeight="1">
      <c r="A73" s="2230"/>
      <c r="B73" s="6793"/>
      <c r="C73" s="6074"/>
      <c r="D73" s="6069" t="str" cm="1">
        <f t="array" ref="D73">IF(ROW()=ROW(D61),C64,INDEX(E61:E74,ROW()-ROW(D61)))</f>
        <v/>
      </c>
      <c r="E73" s="6112" t="str">
        <f>IF(OR(D73="",C63="",C63&lt;=0,F73=""),"",TRIM(MID(D73,LEN(F73)+1+IF(MID(D73,LEN(F73)+1,1)=" ",1,0),99999)))</f>
        <v/>
      </c>
      <c r="F73" s="6069" t="str">
        <f>IF(OR(G73="",G73=0,G73="0"),"",IF(LEN(G73)&lt;=C63,G73,IF(LEN(SUBSTITUTE(H73," ",""))=C63+1,LEFT(G73,C63),LEFT(G73,FIND("§",SUBSTITUTE(H73," ","§",LEN(H73)-LEN(SUBSTITUTE(H73," ",""))))-1))))</f>
        <v/>
      </c>
      <c r="G73" s="6069" t="str">
        <f t="shared" si="11"/>
        <v/>
      </c>
      <c r="H73" s="6069" t="str">
        <f>IF(OR(G73="",G73=0,G73="0"),"",LEFT(G73,C63+1))</f>
        <v/>
      </c>
      <c r="I73" s="6070" t="str">
        <f t="shared" si="12"/>
        <v/>
      </c>
      <c r="J73" s="6071" t="str">
        <f t="shared" si="13"/>
        <v/>
      </c>
      <c r="K73" s="6072" t="str">
        <f>IF(LEN(TRIM(L73))&gt;0,MAX(K46:K72)+1,"")</f>
        <v/>
      </c>
      <c r="L73" s="200"/>
      <c r="M73" s="6116"/>
      <c r="N73" s="6116"/>
      <c r="O73" s="2230"/>
      <c r="P73" s="2252"/>
      <c r="Q73" s="2237"/>
      <c r="R73" s="2237"/>
      <c r="S73" s="2237"/>
      <c r="T73" s="2237"/>
      <c r="U73" s="2240"/>
      <c r="V73" s="2241"/>
      <c r="W73" s="2239"/>
      <c r="X73" s="2242"/>
      <c r="Y73" s="2243"/>
      <c r="Z73" s="2251"/>
      <c r="AA73" s="2244"/>
      <c r="AB73" s="2245"/>
      <c r="AC73" s="2246"/>
      <c r="AD73" s="2247"/>
      <c r="AE73" s="2248"/>
      <c r="AF73" s="2249"/>
      <c r="AG73" s="2249"/>
      <c r="AH73" s="2238"/>
      <c r="AI73" s="2257"/>
      <c r="AJ73" s="2230"/>
      <c r="AK73" s="2230"/>
      <c r="AL73" s="3">
        <v>1</v>
      </c>
    </row>
    <row r="74" spans="1:38" ht="21" customHeight="1">
      <c r="A74" s="2230"/>
      <c r="B74" s="6793"/>
      <c r="C74" s="6074"/>
      <c r="D74" s="6069" t="str" cm="1">
        <f t="array" ref="D74">IF(ROW()=ROW(D61),C64,INDEX(E61:E74,ROW()-ROW(D61)))</f>
        <v/>
      </c>
      <c r="E74" s="6112" t="str">
        <f>IF(OR(D74="",C63="",C63&lt;=0,F74=""),"",TRIM(MID(D74,LEN(F74)+1+IF(MID(D74,LEN(F74)+1,1)=" ",1,0),99999)))</f>
        <v/>
      </c>
      <c r="F74" s="6069" t="str">
        <f>IF(OR(G74="",G74=0,G74="0"),"",IF(LEN(G74)&lt;=C63,G74,IF(LEN(SUBSTITUTE(H74," ",""))=C63+1,LEFT(G74,C63),LEFT(G74,FIND("§",SUBSTITUTE(H74," ","§",LEN(H74)-LEN(SUBSTITUTE(H74," ",""))))-1))))</f>
        <v/>
      </c>
      <c r="G74" s="6069" t="str">
        <f t="shared" si="11"/>
        <v/>
      </c>
      <c r="H74" s="6069" t="str">
        <f>IF(OR(G74="",G74=0,G74="0"),"",LEFT(G74,C63+1))</f>
        <v/>
      </c>
      <c r="I74" s="6070" t="str">
        <f t="shared" si="12"/>
        <v/>
      </c>
      <c r="J74" s="6071" t="str">
        <f t="shared" si="13"/>
        <v/>
      </c>
      <c r="K74" s="6072" t="str">
        <f>IF(LEN(TRIM(L74))&gt;0,MAX(K46:K73)+1,"")</f>
        <v/>
      </c>
      <c r="L74" s="200"/>
      <c r="M74" s="6116"/>
      <c r="N74" s="6116"/>
      <c r="O74" s="2230"/>
      <c r="P74" s="2252"/>
      <c r="Q74" s="2237"/>
      <c r="R74" s="2237"/>
      <c r="S74" s="2237"/>
      <c r="T74" s="2237"/>
      <c r="U74" s="2240"/>
      <c r="V74" s="2241"/>
      <c r="W74" s="2239"/>
      <c r="X74" s="2242"/>
      <c r="Y74" s="2243"/>
      <c r="Z74" s="2251"/>
      <c r="AA74" s="2244"/>
      <c r="AB74" s="2245"/>
      <c r="AC74" s="2246"/>
      <c r="AD74" s="2247"/>
      <c r="AE74" s="2248"/>
      <c r="AF74" s="2249"/>
      <c r="AG74" s="2249"/>
      <c r="AH74" s="2238"/>
      <c r="AI74" s="2257"/>
      <c r="AJ74" s="2230"/>
      <c r="AK74" s="2230"/>
      <c r="AL74" s="3">
        <v>1</v>
      </c>
    </row>
    <row r="75" spans="1:38" ht="21" customHeight="1">
      <c r="A75" s="2230"/>
      <c r="B75" s="6793"/>
      <c r="C75" s="6068" t="str">
        <f>IF(TRIM(SUBSTITUTE(M49,CHAR(160),""))="","",M49)</f>
        <v/>
      </c>
      <c r="D75" s="6069" t="str" cm="1">
        <f t="array" ref="D75">IF(ROW()=ROW(D75),C78,INDEX(E75:E88,ROW()-ROW(D75)))</f>
        <v/>
      </c>
      <c r="E75" s="6112" t="str">
        <f>IF(OR(D75="",C77="",C77&lt;=0,F75=""),"",TRIM(MID(D75,LEN(F75)+1+IF(MID(D75,LEN(F75)+1,1)=" ",1,0),99999)))</f>
        <v/>
      </c>
      <c r="F75" s="6069" t="str">
        <f>IF(OR(G75="",G75=0,G75="0"),"",IF(LEN(G75)&lt;=C77,G75,IF(LEN(SUBSTITUTE(H75," ",""))=C77+1,LEFT(G75,C77),LEFT(G75,FIND("§",SUBSTITUTE(H75," ","§",LEN(H75)-LEN(SUBSTITUTE(H75," ",""))))-1))))</f>
        <v/>
      </c>
      <c r="G75" s="6069" t="str">
        <f t="shared" si="11"/>
        <v/>
      </c>
      <c r="H75" s="6069" t="str">
        <f>IF(OR(G75="",G75=0,G75="0"),"",LEFT(G75,C77+1))</f>
        <v/>
      </c>
      <c r="I75" s="6070" t="str">
        <f t="shared" si="12"/>
        <v/>
      </c>
      <c r="J75" s="6071" t="str">
        <f t="shared" si="13"/>
        <v/>
      </c>
      <c r="K75" s="6072" t="str">
        <f>IF(LEN(TRIM(L75))&gt;0,MAX(K46:K74)+1,"")</f>
        <v/>
      </c>
      <c r="L75" s="200"/>
      <c r="M75" s="6116"/>
      <c r="N75" s="6116"/>
      <c r="O75" s="2230"/>
      <c r="P75" s="2252"/>
      <c r="Q75" s="2237"/>
      <c r="R75" s="2237"/>
      <c r="S75" s="2237"/>
      <c r="T75" s="2237"/>
      <c r="U75" s="2240"/>
      <c r="V75" s="2241"/>
      <c r="W75" s="2239"/>
      <c r="X75" s="2242"/>
      <c r="Y75" s="2243"/>
      <c r="Z75" s="2251"/>
      <c r="AA75" s="2244"/>
      <c r="AB75" s="2245"/>
      <c r="AC75" s="2246"/>
      <c r="AD75" s="2247"/>
      <c r="AE75" s="2248"/>
      <c r="AF75" s="2249"/>
      <c r="AG75" s="2249"/>
      <c r="AH75" s="2238"/>
      <c r="AI75" s="2257"/>
      <c r="AJ75" s="2230"/>
      <c r="AK75" s="2230"/>
      <c r="AL75" s="3">
        <v>1</v>
      </c>
    </row>
    <row r="76" spans="1:38" ht="21" customHeight="1">
      <c r="A76" s="2230"/>
      <c r="B76" s="6793"/>
      <c r="C76" s="6074" t="str">
        <f>TRIM(SUBSTITUTE(SUBSTITUTE(SUBSTITUTE(SUBSTITUTE(IF(OR(LEFT(C75,1)="-",LEFT(C75,1)="="),MID(C75,2,99999),C75),CHAR(160)," "),CHAR(9)," "),CHAR(13)&amp;CHAR(10)," "),CHAR(10)," "))</f>
        <v/>
      </c>
      <c r="D76" s="6069" t="str" cm="1">
        <f t="array" ref="D76">IF(ROW()=ROW(D75),C78,INDEX(E75:E88,ROW()-ROW(D75)))</f>
        <v/>
      </c>
      <c r="E76" s="6112" t="str">
        <f>IF(OR(D76="",C77="",C77&lt;=0,F76=""),"",TRIM(MID(D76,LEN(F76)+1+IF(MID(D76,LEN(F76)+1,1)=" ",1,0),99999)))</f>
        <v/>
      </c>
      <c r="F76" s="6069" t="str">
        <f>IF(OR(G76="",G76=0,G76="0"),"",IF(LEN(G76)&lt;=C77,G76,IF(LEN(SUBSTITUTE(H76," ",""))=C77+1,LEFT(G76,C77),LEFT(G76,FIND("§",SUBSTITUTE(H76," ","§",LEN(H76)-LEN(SUBSTITUTE(H76," ",""))))-1))))</f>
        <v/>
      </c>
      <c r="G76" s="6069" t="str">
        <f t="shared" si="11"/>
        <v/>
      </c>
      <c r="H76" s="6069" t="str">
        <f>IF(OR(G76="",G76=0,G76="0"),"",LEFT(G76,C77+1))</f>
        <v/>
      </c>
      <c r="I76" s="6070" t="str">
        <f t="shared" si="12"/>
        <v/>
      </c>
      <c r="J76" s="6071" t="str">
        <f t="shared" si="13"/>
        <v/>
      </c>
      <c r="K76" s="6072" t="str">
        <f>IF(LEN(TRIM(L76))&gt;0,MAX(K46:K75)+1,"")</f>
        <v/>
      </c>
      <c r="L76" s="200"/>
      <c r="M76" s="6116"/>
      <c r="N76" s="6116"/>
      <c r="O76" s="2230"/>
      <c r="P76" s="2252"/>
      <c r="Q76" s="2237"/>
      <c r="R76" s="2237"/>
      <c r="S76" s="2237"/>
      <c r="T76" s="2237"/>
      <c r="U76" s="2240"/>
      <c r="V76" s="2241"/>
      <c r="W76" s="2239"/>
      <c r="X76" s="2242"/>
      <c r="Y76" s="2243"/>
      <c r="Z76" s="2251"/>
      <c r="AA76" s="2244"/>
      <c r="AB76" s="2245"/>
      <c r="AC76" s="2246"/>
      <c r="AD76" s="2247"/>
      <c r="AE76" s="2248"/>
      <c r="AF76" s="2249"/>
      <c r="AG76" s="2249"/>
      <c r="AH76" s="2238"/>
      <c r="AI76" s="2257"/>
      <c r="AJ76" s="2230"/>
      <c r="AK76" s="2230"/>
      <c r="AL76" s="3">
        <v>1</v>
      </c>
    </row>
    <row r="77" spans="1:38" ht="21" customHeight="1">
      <c r="A77" s="2230"/>
      <c r="B77" s="6793"/>
      <c r="C77" s="6075">
        <f>M44</f>
        <v>120</v>
      </c>
      <c r="D77" s="6069" t="str" cm="1">
        <f t="array" ref="D77">IF(ROW()=ROW(D75),C78,INDEX(E75:E88,ROW()-ROW(D75)))</f>
        <v/>
      </c>
      <c r="E77" s="6112" t="str">
        <f>IF(OR(D77="",C77="",C77&lt;=0,F77=""),"",TRIM(MID(D77,LEN(F77)+1+IF(MID(D77,LEN(F77)+1,1)=" ",1,0),99999)))</f>
        <v/>
      </c>
      <c r="F77" s="6069" t="str">
        <f>IF(OR(G77="",G77=0,G77="0"),"",IF(LEN(G77)&lt;=C77,G77,IF(LEN(SUBSTITUTE(H77," ",""))=C77+1,LEFT(G77,C77),LEFT(G77,FIND("§",SUBSTITUTE(H77," ","§",LEN(H77)-LEN(SUBSTITUTE(H77," ",""))))-1))))</f>
        <v/>
      </c>
      <c r="G77" s="6069" t="str">
        <f t="shared" si="11"/>
        <v/>
      </c>
      <c r="H77" s="6069" t="str">
        <f>IF(OR(G77="",G77=0,G77="0"),"",LEFT(G77,C77+1))</f>
        <v/>
      </c>
      <c r="I77" s="6070" t="str">
        <f t="shared" si="12"/>
        <v/>
      </c>
      <c r="J77" s="6071" t="str">
        <f t="shared" si="13"/>
        <v/>
      </c>
      <c r="K77" s="6072" t="str">
        <f>IF(LEN(TRIM(L77))&gt;0,MAX(K46:K76)+1,"")</f>
        <v/>
      </c>
      <c r="L77" s="200"/>
      <c r="M77" s="6116"/>
      <c r="N77" s="6116"/>
      <c r="O77" s="2230"/>
      <c r="P77" s="2252"/>
      <c r="Q77" s="2237"/>
      <c r="R77" s="2237"/>
      <c r="S77" s="2237"/>
      <c r="T77" s="2237"/>
      <c r="U77" s="2240"/>
      <c r="V77" s="2241"/>
      <c r="W77" s="2239"/>
      <c r="X77" s="2242"/>
      <c r="Y77" s="2243"/>
      <c r="Z77" s="2251"/>
      <c r="AA77" s="2244"/>
      <c r="AB77" s="2245"/>
      <c r="AC77" s="2246"/>
      <c r="AD77" s="2247"/>
      <c r="AE77" s="2248"/>
      <c r="AF77" s="2249"/>
      <c r="AG77" s="2249"/>
      <c r="AH77" s="2238"/>
      <c r="AI77" s="2257"/>
      <c r="AJ77" s="2230"/>
      <c r="AK77" s="2230"/>
      <c r="AL77" s="3">
        <v>1</v>
      </c>
    </row>
    <row r="78" spans="1:38" ht="21" customHeight="1">
      <c r="A78" s="2230"/>
      <c r="B78" s="6793"/>
      <c r="C78" s="6074" t="str">
        <f>IF(UPPER(TRIM(C45))="X",C82,C76)</f>
        <v/>
      </c>
      <c r="D78" s="6069" t="str" cm="1">
        <f t="array" ref="D78">IF(ROW()=ROW(D75),C78,INDEX(E75:E88,ROW()-ROW(D75)))</f>
        <v/>
      </c>
      <c r="E78" s="6112" t="str">
        <f>IF(OR(D78="",C77="",C77&lt;=0,F78=""),"",TRIM(MID(D78,LEN(F78)+1+IF(MID(D78,LEN(F78)+1,1)=" ",1,0),99999)))</f>
        <v/>
      </c>
      <c r="F78" s="6069" t="str">
        <f>IF(OR(G78="",G78=0,G78="0"),"",IF(LEN(G78)&lt;=C77,G78,IF(LEN(SUBSTITUTE(H78," ",""))=C77+1,LEFT(G78,C77),LEFT(G78,FIND("§",SUBSTITUTE(H78," ","§",LEN(H78)-LEN(SUBSTITUTE(H78," ",""))))-1))))</f>
        <v/>
      </c>
      <c r="G78" s="6069" t="str">
        <f t="shared" si="11"/>
        <v/>
      </c>
      <c r="H78" s="6069" t="str">
        <f>IF(OR(G78="",G78=0,G78="0"),"",LEFT(G78,C77+1))</f>
        <v/>
      </c>
      <c r="I78" s="6070" t="str">
        <f t="shared" si="12"/>
        <v/>
      </c>
      <c r="J78" s="6071" t="str">
        <f t="shared" si="13"/>
        <v/>
      </c>
      <c r="K78" s="6072" t="str">
        <f>IF(LEN(TRIM(L78))&gt;0,MAX(K46:K77)+1,"")</f>
        <v/>
      </c>
      <c r="L78" s="200"/>
      <c r="M78" s="6116"/>
      <c r="N78" s="6116"/>
      <c r="O78" s="2230"/>
      <c r="P78" s="2252"/>
      <c r="Q78" s="2237"/>
      <c r="R78" s="2237"/>
      <c r="S78" s="2237"/>
      <c r="T78" s="2237"/>
      <c r="U78" s="2240"/>
      <c r="V78" s="2241"/>
      <c r="W78" s="2239"/>
      <c r="X78" s="2242"/>
      <c r="Y78" s="2243"/>
      <c r="Z78" s="2251"/>
      <c r="AA78" s="2244"/>
      <c r="AB78" s="2245"/>
      <c r="AC78" s="2246"/>
      <c r="AD78" s="2247"/>
      <c r="AE78" s="2248"/>
      <c r="AF78" s="2249"/>
      <c r="AG78" s="2249"/>
      <c r="AH78" s="2238"/>
      <c r="AI78" s="2257"/>
      <c r="AJ78" s="2230"/>
      <c r="AK78" s="2230"/>
      <c r="AL78" s="3">
        <v>1</v>
      </c>
    </row>
    <row r="79" spans="1:38" ht="21" customHeight="1">
      <c r="A79" s="2230"/>
      <c r="B79" s="6793"/>
      <c r="C79" s="6074" t="str">
        <f>TRIM(SUBSTITUTE(SUBSTITUTE(SUBSTITUTE(SUBSTITUTE(SUBSTITUTE(SUBSTITUTE(SUBSTITUTE(SUBSTITUTE(SUBSTITUTE(SUBSTITUTE(C76,","," "),";"," "),":"," "),"!"," "),"?"," "),"…"," "),"»"," "),"«"," "),"/"," "),"."," "))</f>
        <v/>
      </c>
      <c r="D79" s="6069" t="str" cm="1">
        <f t="array" ref="D79">IF(ROW()=ROW(D75),C78,INDEX(E75:E88,ROW()-ROW(D75)))</f>
        <v/>
      </c>
      <c r="E79" s="6112" t="str">
        <f>IF(OR(D79="",C77="",C77&lt;=0,F79=""),"",TRIM(MID(D79,LEN(F79)+1+IF(MID(D79,LEN(F79)+1,1)=" ",1,0),99999)))</f>
        <v/>
      </c>
      <c r="F79" s="6069" t="str">
        <f>IF(OR(G79="",G79=0,G79="0"),"",IF(LEN(G79)&lt;=C77,G79,IF(LEN(SUBSTITUTE(H79," ",""))=C77+1,LEFT(G79,C77),LEFT(G79,FIND("§",SUBSTITUTE(H79," ","§",LEN(H79)-LEN(SUBSTITUTE(H79," ",""))))-1))))</f>
        <v/>
      </c>
      <c r="G79" s="6069" t="str">
        <f t="shared" si="11"/>
        <v/>
      </c>
      <c r="H79" s="6069" t="str">
        <f>IF(OR(G79="",G79=0,G79="0"),"",LEFT(G79,C77+1))</f>
        <v/>
      </c>
      <c r="I79" s="6070" t="str">
        <f t="shared" si="12"/>
        <v/>
      </c>
      <c r="J79" s="6071" t="str">
        <f t="shared" si="13"/>
        <v/>
      </c>
      <c r="K79" s="6072" t="str">
        <f>IF(LEN(TRIM(L79))&gt;0,MAX(K46:K78)+1,"")</f>
        <v/>
      </c>
      <c r="L79" s="200"/>
      <c r="M79" s="6116"/>
      <c r="N79" s="6116"/>
      <c r="O79" s="2230"/>
      <c r="P79" s="2252"/>
      <c r="Q79" s="2237"/>
      <c r="R79" s="2237"/>
      <c r="S79" s="2237"/>
      <c r="T79" s="2237"/>
      <c r="U79" s="2240"/>
      <c r="V79" s="2241"/>
      <c r="W79" s="2239"/>
      <c r="X79" s="2242"/>
      <c r="Y79" s="2243"/>
      <c r="Z79" s="2251"/>
      <c r="AA79" s="2244"/>
      <c r="AB79" s="2245"/>
      <c r="AC79" s="2246"/>
      <c r="AD79" s="2247"/>
      <c r="AE79" s="2248"/>
      <c r="AF79" s="2249"/>
      <c r="AG79" s="2249"/>
      <c r="AH79" s="2238"/>
      <c r="AI79" s="2257"/>
      <c r="AJ79" s="2230"/>
      <c r="AK79" s="2230"/>
      <c r="AL79" s="3">
        <v>1</v>
      </c>
    </row>
    <row r="80" spans="1:38" ht="21" customHeight="1">
      <c r="A80" s="2230"/>
      <c r="B80" s="6793"/>
      <c r="C80" s="6069" t="str">
        <f>TRIM(SUBSTITUTE(SUBSTITUTE(SUBSTITUTE(SUBSTITUTE(SUBSTITUTE(SUBSTITUTE(SUBSTITUTE(SUBSTITUTE(C79,"("," "),")"," "),CHAR(34)," "),"-"," "),"_"," "),"&lt;"," "),"&gt;"," "),"="," "))</f>
        <v/>
      </c>
      <c r="D80" s="6069" t="str" cm="1">
        <f t="array" ref="D80">IF(ROW()=ROW(D75),C78,INDEX(E75:E88,ROW()-ROW(D75)))</f>
        <v/>
      </c>
      <c r="E80" s="6112" t="str">
        <f>IF(OR(D80="",C77="",C77&lt;=0,F80=""),"",TRIM(MID(D80,LEN(F80)+1+IF(MID(D80,LEN(F80)+1,1)=" ",1,0),99999)))</f>
        <v/>
      </c>
      <c r="F80" s="6069" t="str">
        <f>IF(OR(G80="",G80=0,G80="0"),"",IF(LEN(G80)&lt;=C77,G80,IF(LEN(SUBSTITUTE(H80," ",""))=C77+1,LEFT(G80,C77),LEFT(G80,FIND("§",SUBSTITUTE(H80," ","§",LEN(H80)-LEN(SUBSTITUTE(H80," ",""))))-1))))</f>
        <v/>
      </c>
      <c r="G80" s="6069" t="str">
        <f t="shared" si="11"/>
        <v/>
      </c>
      <c r="H80" s="6069" t="str">
        <f>IF(OR(G80="",G80=0,G80="0"),"",LEFT(G80,C77+1))</f>
        <v/>
      </c>
      <c r="I80" s="6070" t="str">
        <f t="shared" si="12"/>
        <v/>
      </c>
      <c r="J80" s="6071" t="str">
        <f t="shared" si="13"/>
        <v/>
      </c>
      <c r="K80" s="6072" t="str">
        <f>IF(LEN(TRIM(L80))&gt;0,MAX(K46:K79)+1,"")</f>
        <v/>
      </c>
      <c r="L80" s="200"/>
      <c r="M80" s="6116"/>
      <c r="N80" s="6116"/>
      <c r="O80" s="2230"/>
      <c r="P80" s="2252"/>
      <c r="Q80" s="2237"/>
      <c r="R80" s="2237"/>
      <c r="S80" s="2237"/>
      <c r="T80" s="2237"/>
      <c r="U80" s="2240"/>
      <c r="V80" s="2241"/>
      <c r="W80" s="2239"/>
      <c r="X80" s="2242"/>
      <c r="Y80" s="2243"/>
      <c r="Z80" s="2251"/>
      <c r="AA80" s="2244"/>
      <c r="AB80" s="2245"/>
      <c r="AC80" s="2246"/>
      <c r="AD80" s="2247"/>
      <c r="AE80" s="2248"/>
      <c r="AF80" s="2249"/>
      <c r="AG80" s="2249"/>
      <c r="AH80" s="2238"/>
      <c r="AI80" s="2257"/>
      <c r="AJ80" s="2230"/>
      <c r="AK80" s="2230"/>
      <c r="AL80" s="3">
        <v>1</v>
      </c>
    </row>
    <row r="81" spans="1:38" ht="21" customHeight="1">
      <c r="A81" s="2230"/>
      <c r="B81" s="6793"/>
      <c r="C81" s="6074" t="str">
        <f>TRIM(SUBSTITUTE(SUBSTITUTE(SUBSTITUTE(SUBSTITUTE(C80,"►"," "),"▼"," "),"▲"," "),"◄"," "))</f>
        <v/>
      </c>
      <c r="D81" s="6069" t="str" cm="1">
        <f t="array" ref="D81">IF(ROW()=ROW(D75),C78,INDEX(E75:E88,ROW()-ROW(D75)))</f>
        <v/>
      </c>
      <c r="E81" s="6112" t="str">
        <f>IF(OR(D81="",C77="",C77&lt;=0,F81=""),"",TRIM(MID(D81,LEN(F81)+1+IF(MID(D81,LEN(F81)+1,1)=" ",1,0),99999)))</f>
        <v/>
      </c>
      <c r="F81" s="6069" t="str">
        <f>IF(OR(G81="",G81=0,G81="0"),"",IF(LEN(G81)&lt;=C77,G81,IF(LEN(SUBSTITUTE(H81," ",""))=C77+1,LEFT(G81,C77),LEFT(G81,FIND("§",SUBSTITUTE(H81," ","§",LEN(H81)-LEN(SUBSTITUTE(H81," ",""))))-1))))</f>
        <v/>
      </c>
      <c r="G81" s="6069" t="str">
        <f t="shared" si="11"/>
        <v/>
      </c>
      <c r="H81" s="6069" t="str">
        <f>IF(OR(G81="",G81=0,G81="0"),"",LEFT(G81,C77+1))</f>
        <v/>
      </c>
      <c r="I81" s="6070" t="str">
        <f t="shared" si="12"/>
        <v/>
      </c>
      <c r="J81" s="6071" t="str">
        <f t="shared" si="13"/>
        <v/>
      </c>
      <c r="K81" s="6072" t="str">
        <f>IF(LEN(TRIM(L81))&gt;0,MAX(K46:K80)+1,"")</f>
        <v/>
      </c>
      <c r="L81" s="200"/>
      <c r="M81" s="6116"/>
      <c r="N81" s="6116"/>
      <c r="O81" s="2230"/>
      <c r="P81" s="2252"/>
      <c r="Q81" s="2237"/>
      <c r="R81" s="2237"/>
      <c r="S81" s="2237"/>
      <c r="T81" s="2237"/>
      <c r="U81" s="2240"/>
      <c r="V81" s="2241"/>
      <c r="W81" s="2239"/>
      <c r="X81" s="2242"/>
      <c r="Y81" s="2243"/>
      <c r="Z81" s="2251"/>
      <c r="AA81" s="2244"/>
      <c r="AB81" s="2245"/>
      <c r="AC81" s="2246"/>
      <c r="AD81" s="2247"/>
      <c r="AE81" s="2248"/>
      <c r="AF81" s="2249"/>
      <c r="AG81" s="2249"/>
      <c r="AH81" s="2238"/>
      <c r="AI81" s="2257"/>
      <c r="AJ81" s="2230"/>
      <c r="AK81" s="2230"/>
      <c r="AL81" s="3">
        <v>1</v>
      </c>
    </row>
    <row r="82" spans="1:38" ht="21" customHeight="1">
      <c r="A82" s="2230"/>
      <c r="B82" s="6793"/>
      <c r="C82" s="6074" t="str">
        <f>TRIM(SUBSTITUTE(SUBSTITUTE(C81,"“"," "),"”"," "))</f>
        <v/>
      </c>
      <c r="D82" s="6069" t="str" cm="1">
        <f t="array" ref="D82">IF(ROW()=ROW(D75),C78,INDEX(E75:E88,ROW()-ROW(D75)))</f>
        <v/>
      </c>
      <c r="E82" s="6112" t="str">
        <f>IF(OR(D82="",C77="",C77&lt;=0,F82=""),"",TRIM(MID(D82,LEN(F82)+1+IF(MID(D82,LEN(F82)+1,1)=" ",1,0),99999)))</f>
        <v/>
      </c>
      <c r="F82" s="6069" t="str">
        <f>IF(OR(G82="",G82=0,G82="0"),"",IF(LEN(G82)&lt;=C77,G82,IF(LEN(SUBSTITUTE(H82," ",""))=C77+1,LEFT(G82,C77),LEFT(G82,FIND("§",SUBSTITUTE(H82," ","§",LEN(H82)-LEN(SUBSTITUTE(H82," ",""))))-1))))</f>
        <v/>
      </c>
      <c r="G82" s="6069" t="str">
        <f t="shared" si="11"/>
        <v/>
      </c>
      <c r="H82" s="6069" t="str">
        <f>IF(OR(G82="",G82=0,G82="0"),"",LEFT(G82,C77+1))</f>
        <v/>
      </c>
      <c r="I82" s="6070" t="str">
        <f t="shared" si="12"/>
        <v/>
      </c>
      <c r="J82" s="6071" t="str">
        <f t="shared" si="13"/>
        <v/>
      </c>
      <c r="K82" s="6072" t="str">
        <f>IF(LEN(TRIM(L82))&gt;0,MAX(K46:K81)+1,"")</f>
        <v/>
      </c>
      <c r="L82" s="200"/>
      <c r="M82" s="6116"/>
      <c r="N82" s="6116"/>
      <c r="O82" s="2230"/>
      <c r="P82" s="2252"/>
      <c r="Q82" s="2237"/>
      <c r="R82" s="2237"/>
      <c r="S82" s="2237"/>
      <c r="T82" s="2237"/>
      <c r="U82" s="2240"/>
      <c r="V82" s="2241"/>
      <c r="W82" s="2239"/>
      <c r="X82" s="2242"/>
      <c r="Y82" s="2243"/>
      <c r="Z82" s="2251"/>
      <c r="AA82" s="2244"/>
      <c r="AB82" s="2245"/>
      <c r="AC82" s="2246"/>
      <c r="AD82" s="2247"/>
      <c r="AE82" s="2248"/>
      <c r="AF82" s="2249"/>
      <c r="AG82" s="2249"/>
      <c r="AH82" s="2238"/>
      <c r="AI82" s="2257"/>
      <c r="AJ82" s="2230"/>
      <c r="AK82" s="2230"/>
      <c r="AL82" s="3">
        <v>1</v>
      </c>
    </row>
    <row r="83" spans="1:38" ht="21" customHeight="1">
      <c r="A83" s="2230"/>
      <c r="B83" s="6793"/>
      <c r="C83" s="6074"/>
      <c r="D83" s="6069" t="str" cm="1">
        <f t="array" ref="D83">IF(ROW()=ROW(D75),C78,INDEX(E75:E88,ROW()-ROW(D75)))</f>
        <v/>
      </c>
      <c r="E83" s="6112" t="str">
        <f>IF(OR(D83="",C77="",C77&lt;=0,F83=""),"",TRIM(MID(D83,LEN(F83)+1+IF(MID(D83,LEN(F83)+1,1)=" ",1,0),99999)))</f>
        <v/>
      </c>
      <c r="F83" s="6069" t="str">
        <f>IF(OR(G83="",G83=0,G83="0"),"",IF(LEN(G83)&lt;=C77,G83,IF(LEN(SUBSTITUTE(H83," ",""))=C77+1,LEFT(G83,C77),LEFT(G83,FIND("§",SUBSTITUTE(H83," ","§",LEN(H83)-LEN(SUBSTITUTE(H83," ",""))))-1))))</f>
        <v/>
      </c>
      <c r="G83" s="6069" t="str">
        <f t="shared" si="11"/>
        <v/>
      </c>
      <c r="H83" s="6069" t="str">
        <f>IF(OR(G83="",G83=0,G83="0"),"",LEFT(G83,C77+1))</f>
        <v/>
      </c>
      <c r="I83" s="6070" t="str">
        <f t="shared" si="12"/>
        <v/>
      </c>
      <c r="J83" s="6071" t="str">
        <f t="shared" si="13"/>
        <v/>
      </c>
      <c r="K83" s="6072" t="str">
        <f>IF(LEN(TRIM(L83))&gt;0,MAX(K46:K82)+1,"")</f>
        <v/>
      </c>
      <c r="L83" s="200"/>
      <c r="M83" s="6116"/>
      <c r="N83" s="6116"/>
      <c r="O83" s="2230"/>
      <c r="P83" s="2252"/>
      <c r="Q83" s="2237"/>
      <c r="R83" s="2237"/>
      <c r="S83" s="2237"/>
      <c r="T83" s="2237"/>
      <c r="U83" s="2240"/>
      <c r="V83" s="2241"/>
      <c r="W83" s="2239"/>
      <c r="X83" s="2242"/>
      <c r="Y83" s="2243"/>
      <c r="Z83" s="2251"/>
      <c r="AA83" s="2244"/>
      <c r="AB83" s="2245"/>
      <c r="AC83" s="2246"/>
      <c r="AD83" s="2247"/>
      <c r="AE83" s="2248"/>
      <c r="AF83" s="2249"/>
      <c r="AG83" s="2249"/>
      <c r="AH83" s="2238"/>
      <c r="AI83" s="2257"/>
      <c r="AJ83" s="2230"/>
      <c r="AK83" s="2230"/>
      <c r="AL83" s="3">
        <v>1</v>
      </c>
    </row>
    <row r="84" spans="1:38" ht="21" customHeight="1">
      <c r="A84" s="2230"/>
      <c r="B84" s="6793"/>
      <c r="C84" s="6074"/>
      <c r="D84" s="6069" t="str" cm="1">
        <f t="array" ref="D84">IF(ROW()=ROW(D75),C78,INDEX(E75:E88,ROW()-ROW(D75)))</f>
        <v/>
      </c>
      <c r="E84" s="6112" t="str">
        <f>IF(OR(D84="",C77="",C77&lt;=0,F84=""),"",TRIM(MID(D84,LEN(F84)+1+IF(MID(D84,LEN(F84)+1,1)=" ",1,0),99999)))</f>
        <v/>
      </c>
      <c r="F84" s="6069" t="str">
        <f>IF(OR(G84="",G84=0,G84="0"),"",IF(LEN(G84)&lt;=C77,G84,IF(LEN(SUBSTITUTE(H84," ",""))=C77+1,LEFT(G84,C77),LEFT(G84,FIND("§",SUBSTITUTE(H84," ","§",LEN(H84)-LEN(SUBSTITUTE(H84," ",""))))-1))))</f>
        <v/>
      </c>
      <c r="G84" s="6069" t="str">
        <f t="shared" si="11"/>
        <v/>
      </c>
      <c r="H84" s="6069" t="str">
        <f>IF(OR(G84="",G84=0,G84="0"),"",LEFT(G84,C77+1))</f>
        <v/>
      </c>
      <c r="I84" s="6070" t="str">
        <f t="shared" si="12"/>
        <v/>
      </c>
      <c r="J84" s="6071" t="str">
        <f t="shared" si="13"/>
        <v/>
      </c>
      <c r="K84" s="6072" t="str">
        <f>IF(LEN(TRIM(L84))&gt;0,MAX(K46:K83)+1,"")</f>
        <v/>
      </c>
      <c r="L84" s="200"/>
      <c r="M84" s="6116"/>
      <c r="N84" s="6116"/>
      <c r="O84" s="2230"/>
      <c r="P84" s="2252"/>
      <c r="Q84" s="2237"/>
      <c r="R84" s="2237"/>
      <c r="S84" s="2237"/>
      <c r="T84" s="2237"/>
      <c r="U84" s="2240"/>
      <c r="V84" s="2241"/>
      <c r="W84" s="2239"/>
      <c r="X84" s="2242"/>
      <c r="Y84" s="2243"/>
      <c r="Z84" s="2251"/>
      <c r="AA84" s="2244"/>
      <c r="AB84" s="2245"/>
      <c r="AC84" s="2246"/>
      <c r="AD84" s="2247"/>
      <c r="AE84" s="2248"/>
      <c r="AF84" s="2249"/>
      <c r="AG84" s="2249"/>
      <c r="AH84" s="2238"/>
      <c r="AI84" s="2257"/>
      <c r="AJ84" s="2230"/>
      <c r="AK84" s="2230"/>
      <c r="AL84" s="3">
        <v>1</v>
      </c>
    </row>
    <row r="85" spans="1:38" ht="21" customHeight="1">
      <c r="A85" s="2230"/>
      <c r="B85" s="6793"/>
      <c r="C85" s="6074"/>
      <c r="D85" s="6069" t="str" cm="1">
        <f t="array" ref="D85">IF(ROW()=ROW(D75),C78,INDEX(E75:E88,ROW()-ROW(D75)))</f>
        <v/>
      </c>
      <c r="E85" s="6112" t="str">
        <f>IF(OR(D85="",C77="",C77&lt;=0,F85=""),"",TRIM(MID(D85,LEN(F85)+1+IF(MID(D85,LEN(F85)+1,1)=" ",1,0),99999)))</f>
        <v/>
      </c>
      <c r="F85" s="6069" t="str">
        <f>IF(OR(G85="",G85=0,G85="0"),"",IF(LEN(G85)&lt;=C77,G85,IF(LEN(SUBSTITUTE(H85," ",""))=C77+1,LEFT(G85,C77),LEFT(G85,FIND("§",SUBSTITUTE(H85," ","§",LEN(H85)-LEN(SUBSTITUTE(H85," ",""))))-1))))</f>
        <v/>
      </c>
      <c r="G85" s="6069" t="str">
        <f t="shared" si="11"/>
        <v/>
      </c>
      <c r="H85" s="6069" t="str">
        <f>IF(OR(G85="",G85=0,G85="0"),"",LEFT(G85,C77+1))</f>
        <v/>
      </c>
      <c r="I85" s="6070" t="str">
        <f t="shared" si="12"/>
        <v/>
      </c>
      <c r="J85" s="6071" t="str">
        <f t="shared" si="13"/>
        <v/>
      </c>
      <c r="K85" s="6072" t="str">
        <f>IF(LEN(TRIM(L85))&gt;0,MAX(K46:K84)+1,"")</f>
        <v/>
      </c>
      <c r="L85" s="200"/>
      <c r="M85" s="6116"/>
      <c r="N85" s="6116"/>
      <c r="O85" s="2230"/>
      <c r="P85" s="2252"/>
      <c r="Q85" s="2237"/>
      <c r="R85" s="2237"/>
      <c r="S85" s="2237"/>
      <c r="T85" s="2237"/>
      <c r="U85" s="2240"/>
      <c r="V85" s="2241"/>
      <c r="W85" s="2239"/>
      <c r="X85" s="2242"/>
      <c r="Y85" s="2243"/>
      <c r="Z85" s="2251"/>
      <c r="AA85" s="2244"/>
      <c r="AB85" s="2245"/>
      <c r="AC85" s="2246"/>
      <c r="AD85" s="2247"/>
      <c r="AE85" s="2248"/>
      <c r="AF85" s="2249"/>
      <c r="AG85" s="2249"/>
      <c r="AH85" s="2238"/>
      <c r="AI85" s="2257"/>
      <c r="AJ85" s="2230"/>
      <c r="AK85" s="2230"/>
      <c r="AL85" s="3">
        <v>1</v>
      </c>
    </row>
    <row r="86" spans="1:38" ht="21" customHeight="1">
      <c r="A86" s="2230"/>
      <c r="B86" s="6793"/>
      <c r="C86" s="6074"/>
      <c r="D86" s="6069" t="str" cm="1">
        <f t="array" ref="D86">IF(ROW()=ROW(D75),C78,INDEX(E75:E88,ROW()-ROW(D75)))</f>
        <v/>
      </c>
      <c r="E86" s="6112" t="str">
        <f>IF(OR(D86="",C77="",C77&lt;=0,F86=""),"",TRIM(MID(D86,LEN(F86)+1+IF(MID(D86,LEN(F86)+1,1)=" ",1,0),99999)))</f>
        <v/>
      </c>
      <c r="F86" s="6069" t="str">
        <f>IF(OR(G86="",G86=0,G86="0"),"",IF(LEN(G86)&lt;=C77,G86,IF(LEN(SUBSTITUTE(H86," ",""))=C77+1,LEFT(G86,C77),LEFT(G86,FIND("§",SUBSTITUTE(H86," ","§",LEN(H86)-LEN(SUBSTITUTE(H86," ",""))))-1))))</f>
        <v/>
      </c>
      <c r="G86" s="6069" t="str">
        <f t="shared" si="11"/>
        <v/>
      </c>
      <c r="H86" s="6069" t="str">
        <f>IF(OR(G86="",G86=0,G86="0"),"",LEFT(G86,C77+1))</f>
        <v/>
      </c>
      <c r="I86" s="6070" t="str">
        <f t="shared" si="12"/>
        <v/>
      </c>
      <c r="J86" s="6071" t="str">
        <f t="shared" si="13"/>
        <v/>
      </c>
      <c r="K86" s="6072" t="str">
        <f>IF(LEN(TRIM(L86))&gt;0,MAX(K46:K85)+1,"")</f>
        <v/>
      </c>
      <c r="L86" s="200"/>
      <c r="M86" s="6116"/>
      <c r="N86" s="6116"/>
      <c r="O86" s="2230"/>
      <c r="P86" s="2252"/>
      <c r="Q86" s="2237"/>
      <c r="R86" s="2237"/>
      <c r="S86" s="2237"/>
      <c r="T86" s="2237"/>
      <c r="U86" s="2240"/>
      <c r="V86" s="2241"/>
      <c r="W86" s="2239"/>
      <c r="X86" s="2242"/>
      <c r="Y86" s="2243"/>
      <c r="Z86" s="2251"/>
      <c r="AA86" s="2244"/>
      <c r="AB86" s="2245"/>
      <c r="AC86" s="2246"/>
      <c r="AD86" s="2247"/>
      <c r="AE86" s="2248"/>
      <c r="AF86" s="2249"/>
      <c r="AG86" s="2249"/>
      <c r="AH86" s="2238"/>
      <c r="AI86" s="2257"/>
      <c r="AJ86" s="2230"/>
      <c r="AK86" s="2230"/>
      <c r="AL86" s="3">
        <v>1</v>
      </c>
    </row>
    <row r="87" spans="1:38" ht="21" customHeight="1">
      <c r="A87" s="2230"/>
      <c r="B87" s="6793"/>
      <c r="C87" s="6074"/>
      <c r="D87" s="6069" t="str" cm="1">
        <f t="array" ref="D87">IF(ROW()=ROW(D75),C78,INDEX(E75:E88,ROW()-ROW(D75)))</f>
        <v/>
      </c>
      <c r="E87" s="6112" t="str">
        <f>IF(OR(D87="",C77="",C77&lt;=0,F87=""),"",TRIM(MID(D87,LEN(F87)+1+IF(MID(D87,LEN(F87)+1,1)=" ",1,0),99999)))</f>
        <v/>
      </c>
      <c r="F87" s="6069" t="str">
        <f>IF(OR(G87="",G87=0,G87="0"),"",IF(LEN(G87)&lt;=C77,G87,IF(LEN(SUBSTITUTE(H87," ",""))=C77+1,LEFT(G87,C77),LEFT(G87,FIND("§",SUBSTITUTE(H87," ","§",LEN(H87)-LEN(SUBSTITUTE(H87," ",""))))-1))))</f>
        <v/>
      </c>
      <c r="G87" s="6069" t="str">
        <f t="shared" si="11"/>
        <v/>
      </c>
      <c r="H87" s="6069" t="str">
        <f>IF(OR(G87="",G87=0,G87="0"),"",LEFT(G87,C77+1))</f>
        <v/>
      </c>
      <c r="I87" s="6070" t="str">
        <f t="shared" si="12"/>
        <v/>
      </c>
      <c r="J87" s="6071" t="str">
        <f t="shared" si="13"/>
        <v/>
      </c>
      <c r="K87" s="6072" t="str">
        <f>IF(LEN(TRIM(L87))&gt;0,MAX(K46:K86)+1,"")</f>
        <v/>
      </c>
      <c r="L87" s="200"/>
      <c r="M87" s="6116"/>
      <c r="N87" s="6116"/>
      <c r="O87" s="2230"/>
      <c r="P87" s="2252"/>
      <c r="Q87" s="2237"/>
      <c r="R87" s="2237"/>
      <c r="S87" s="2237"/>
      <c r="T87" s="2237"/>
      <c r="U87" s="2240"/>
      <c r="V87" s="2241"/>
      <c r="W87" s="2239"/>
      <c r="X87" s="2242"/>
      <c r="Y87" s="2243"/>
      <c r="Z87" s="2251"/>
      <c r="AA87" s="2244"/>
      <c r="AB87" s="2245"/>
      <c r="AC87" s="2246"/>
      <c r="AD87" s="2247"/>
      <c r="AE87" s="2248"/>
      <c r="AF87" s="2249"/>
      <c r="AG87" s="2249"/>
      <c r="AH87" s="2238"/>
      <c r="AI87" s="2257"/>
      <c r="AJ87" s="2230"/>
      <c r="AK87" s="2230"/>
      <c r="AL87" s="3">
        <v>1</v>
      </c>
    </row>
    <row r="88" spans="1:38" ht="21" customHeight="1">
      <c r="A88" s="2230"/>
      <c r="B88" s="6793"/>
      <c r="C88" s="6074"/>
      <c r="D88" s="6069" t="str" cm="1">
        <f t="array" ref="D88">IF(ROW()=ROW(D75),C78,INDEX(E75:E88,ROW()-ROW(D75)))</f>
        <v/>
      </c>
      <c r="E88" s="6112" t="str">
        <f>IF(OR(D88="",C77="",C77&lt;=0,F88=""),"",TRIM(MID(D88,LEN(F88)+1+IF(MID(D88,LEN(F88)+1,1)=" ",1,0),99999)))</f>
        <v/>
      </c>
      <c r="F88" s="6069" t="str">
        <f>IF(OR(G88="",G88=0,G88="0"),"",IF(LEN(G88)&lt;=C77,G88,IF(LEN(SUBSTITUTE(H88," ",""))=C77+1,LEFT(G88,C77),LEFT(G88,FIND("§",SUBSTITUTE(H88," ","§",LEN(H88)-LEN(SUBSTITUTE(H88," ",""))))-1))))</f>
        <v/>
      </c>
      <c r="G88" s="6069" t="str">
        <f t="shared" si="11"/>
        <v/>
      </c>
      <c r="H88" s="6069" t="str">
        <f>IF(OR(G88="",G88=0,G88="0"),"",LEFT(G88,C77+1))</f>
        <v/>
      </c>
      <c r="I88" s="6070" t="str">
        <f t="shared" si="12"/>
        <v/>
      </c>
      <c r="J88" s="6071" t="str">
        <f t="shared" si="13"/>
        <v/>
      </c>
      <c r="K88" s="6072" t="str">
        <f>IF(LEN(TRIM(L88))&gt;0,MAX(K46:K87)+1,"")</f>
        <v/>
      </c>
      <c r="L88" s="200"/>
      <c r="M88" s="6116"/>
      <c r="N88" s="6116"/>
      <c r="O88" s="2230"/>
      <c r="P88" s="2252"/>
      <c r="Q88" s="2237"/>
      <c r="R88" s="2237"/>
      <c r="S88" s="2237"/>
      <c r="T88" s="2237"/>
      <c r="U88" s="2240"/>
      <c r="V88" s="2241"/>
      <c r="W88" s="2239"/>
      <c r="X88" s="2242"/>
      <c r="Y88" s="2243"/>
      <c r="Z88" s="2251"/>
      <c r="AA88" s="2244"/>
      <c r="AB88" s="2245"/>
      <c r="AC88" s="2246"/>
      <c r="AD88" s="2247"/>
      <c r="AE88" s="2248"/>
      <c r="AF88" s="2249"/>
      <c r="AG88" s="2249"/>
      <c r="AH88" s="2238"/>
      <c r="AI88" s="2257"/>
      <c r="AJ88" s="2230"/>
      <c r="AK88" s="2230"/>
      <c r="AL88" s="3">
        <v>1</v>
      </c>
    </row>
    <row r="89" spans="1:38" ht="21" customHeight="1">
      <c r="A89" s="2230"/>
      <c r="B89" s="6793"/>
      <c r="C89" s="6068" t="str">
        <f>IF(TRIM(SUBSTITUTE(M50,CHAR(160),""))="","",M50)</f>
        <v/>
      </c>
      <c r="D89" s="6069" t="str" cm="1">
        <f t="array" ref="D89">IF(ROW()=ROW(D89),C92,INDEX(E89:E102,ROW()-ROW(D89)))</f>
        <v/>
      </c>
      <c r="E89" s="6112" t="str">
        <f>IF(OR(D89="",C91="",C91&lt;=0,F89=""),"",TRIM(MID(D89,LEN(F89)+1+IF(MID(D89,LEN(F89)+1,1)=" ",1,0),99999)))</f>
        <v/>
      </c>
      <c r="F89" s="6069" t="str">
        <f>IF(OR(G89="",G89=0,G89="0"),"",IF(LEN(G89)&lt;=C91,G89,IF(LEN(SUBSTITUTE(H89," ",""))=C91+1,LEFT(G89,C91),LEFT(G89,FIND("§",SUBSTITUTE(H89," ","§",LEN(H89)-LEN(SUBSTITUTE(H89," ",""))))-1))))</f>
        <v/>
      </c>
      <c r="G89" s="6069" t="str">
        <f t="shared" si="11"/>
        <v/>
      </c>
      <c r="H89" s="6069" t="str">
        <f>IF(OR(G89="",G89=0,G89="0"),"",LEFT(G89,C91+1))</f>
        <v/>
      </c>
      <c r="I89" s="6070" t="str">
        <f t="shared" si="12"/>
        <v/>
      </c>
      <c r="J89" s="6071" t="str">
        <f t="shared" si="13"/>
        <v/>
      </c>
      <c r="K89" s="6072" t="str">
        <f>IF(LEN(TRIM(L89))&gt;0,MAX(K46:K88)+1,"")</f>
        <v/>
      </c>
      <c r="L89" s="200"/>
      <c r="M89" s="6116"/>
      <c r="N89" s="6116"/>
      <c r="O89" s="2230"/>
      <c r="P89" s="2252"/>
      <c r="Q89" s="2237"/>
      <c r="R89" s="2237"/>
      <c r="S89" s="2237"/>
      <c r="T89" s="2237"/>
      <c r="U89" s="2240"/>
      <c r="V89" s="2241"/>
      <c r="W89" s="2239"/>
      <c r="X89" s="2242"/>
      <c r="Y89" s="2243"/>
      <c r="Z89" s="2251"/>
      <c r="AA89" s="2244"/>
      <c r="AB89" s="2245"/>
      <c r="AC89" s="2246"/>
      <c r="AD89" s="2247"/>
      <c r="AE89" s="2248"/>
      <c r="AF89" s="2249"/>
      <c r="AG89" s="2249"/>
      <c r="AH89" s="2238"/>
      <c r="AI89" s="2257"/>
      <c r="AJ89" s="2230"/>
      <c r="AK89" s="2230"/>
      <c r="AL89" s="3">
        <v>1</v>
      </c>
    </row>
    <row r="90" spans="1:38" ht="21" customHeight="1">
      <c r="A90" s="2230"/>
      <c r="B90" s="6793"/>
      <c r="C90" s="6074" t="str">
        <f>TRIM(SUBSTITUTE(SUBSTITUTE(SUBSTITUTE(SUBSTITUTE(IF(OR(LEFT(C89,1)="-",LEFT(C89,1)="="),MID(C89,2,99999),C89),CHAR(160)," "),CHAR(9)," "),CHAR(13)&amp;CHAR(10)," "),CHAR(10)," "))</f>
        <v/>
      </c>
      <c r="D90" s="6069" t="str" cm="1">
        <f t="array" ref="D90">IF(ROW()=ROW(D89),C92,INDEX(E89:E102,ROW()-ROW(D89)))</f>
        <v/>
      </c>
      <c r="E90" s="6112" t="str">
        <f>IF(OR(D90="",C91="",C91&lt;=0,F90=""),"",TRIM(MID(D90,LEN(F90)+1+IF(MID(D90,LEN(F90)+1,1)=" ",1,0),99999)))</f>
        <v/>
      </c>
      <c r="F90" s="6069" t="str">
        <f>IF(OR(G90="",G90=0,G90="0"),"",IF(LEN(G90)&lt;=C91,G90,IF(LEN(SUBSTITUTE(H90," ",""))=C91+1,LEFT(G90,C91),LEFT(G90,FIND("§",SUBSTITUTE(H90," ","§",LEN(H90)-LEN(SUBSTITUTE(H90," ",""))))-1))))</f>
        <v/>
      </c>
      <c r="G90" s="6069" t="str">
        <f t="shared" si="11"/>
        <v/>
      </c>
      <c r="H90" s="6069" t="str">
        <f>IF(OR(G90="",G90=0,G90="0"),"",LEFT(G90,C91+1))</f>
        <v/>
      </c>
      <c r="I90" s="6070" t="str">
        <f t="shared" si="12"/>
        <v/>
      </c>
      <c r="J90" s="6071" t="str">
        <f t="shared" si="13"/>
        <v/>
      </c>
      <c r="K90" s="6072" t="str">
        <f>IF(LEN(TRIM(L90))&gt;0,MAX(K46:K89)+1,"")</f>
        <v/>
      </c>
      <c r="L90" s="200"/>
      <c r="M90" s="6116"/>
      <c r="N90" s="6116"/>
      <c r="O90" s="2230"/>
      <c r="P90" s="2252"/>
      <c r="Q90" s="2237"/>
      <c r="R90" s="2237"/>
      <c r="S90" s="2237"/>
      <c r="T90" s="2237"/>
      <c r="U90" s="2240"/>
      <c r="V90" s="2241"/>
      <c r="W90" s="2239"/>
      <c r="X90" s="2242"/>
      <c r="Y90" s="2243"/>
      <c r="Z90" s="2251"/>
      <c r="AA90" s="2244"/>
      <c r="AB90" s="2245"/>
      <c r="AC90" s="2246"/>
      <c r="AD90" s="2247"/>
      <c r="AE90" s="2248"/>
      <c r="AF90" s="2249"/>
      <c r="AG90" s="2249"/>
      <c r="AH90" s="2238"/>
      <c r="AI90" s="2257"/>
      <c r="AJ90" s="2230"/>
      <c r="AK90" s="2230"/>
      <c r="AL90" s="3">
        <v>1</v>
      </c>
    </row>
    <row r="91" spans="1:38" ht="21" customHeight="1">
      <c r="A91" s="2230"/>
      <c r="B91" s="6793"/>
      <c r="C91" s="6075">
        <f>M44</f>
        <v>120</v>
      </c>
      <c r="D91" s="6069" t="str" cm="1">
        <f t="array" ref="D91">IF(ROW()=ROW(D89),C92,INDEX(E89:E102,ROW()-ROW(D89)))</f>
        <v/>
      </c>
      <c r="E91" s="6112" t="str">
        <f>IF(OR(D91="",C91="",C91&lt;=0,F91=""),"",TRIM(MID(D91,LEN(F91)+1+IF(MID(D91,LEN(F91)+1,1)=" ",1,0),99999)))</f>
        <v/>
      </c>
      <c r="F91" s="6069" t="str">
        <f>IF(OR(G91="",G91=0,G91="0"),"",IF(LEN(G91)&lt;=C91,G91,IF(LEN(SUBSTITUTE(H91," ",""))=C91+1,LEFT(G91,C91),LEFT(G91,FIND("§",SUBSTITUTE(H91," ","§",LEN(H91)-LEN(SUBSTITUTE(H91," ",""))))-1))))</f>
        <v/>
      </c>
      <c r="G91" s="6069" t="str">
        <f t="shared" si="11"/>
        <v/>
      </c>
      <c r="H91" s="6069" t="str">
        <f>IF(OR(G91="",G91=0,G91="0"),"",LEFT(G91,C91+1))</f>
        <v/>
      </c>
      <c r="I91" s="6070" t="str">
        <f t="shared" si="12"/>
        <v/>
      </c>
      <c r="J91" s="6071" t="str">
        <f t="shared" si="13"/>
        <v/>
      </c>
      <c r="K91" s="6072" t="str">
        <f>IF(LEN(TRIM(L91))&gt;0,MAX(K46:K90)+1,"")</f>
        <v/>
      </c>
      <c r="L91" s="200"/>
      <c r="M91" s="6116"/>
      <c r="N91" s="6116"/>
      <c r="O91" s="2230"/>
      <c r="P91" s="2252"/>
      <c r="Q91" s="2237"/>
      <c r="R91" s="2237"/>
      <c r="S91" s="2237"/>
      <c r="T91" s="2237"/>
      <c r="U91" s="2240"/>
      <c r="V91" s="2241"/>
      <c r="W91" s="2239"/>
      <c r="X91" s="2242"/>
      <c r="Y91" s="2243"/>
      <c r="Z91" s="2251"/>
      <c r="AA91" s="2244"/>
      <c r="AB91" s="2245"/>
      <c r="AC91" s="2246"/>
      <c r="AD91" s="2247"/>
      <c r="AE91" s="2248"/>
      <c r="AF91" s="2249"/>
      <c r="AG91" s="2249"/>
      <c r="AH91" s="2238"/>
      <c r="AI91" s="2257"/>
      <c r="AJ91" s="2230"/>
      <c r="AK91" s="2230"/>
      <c r="AL91" s="3">
        <v>1</v>
      </c>
    </row>
    <row r="92" spans="1:38" ht="21" customHeight="1">
      <c r="A92" s="2230"/>
      <c r="B92" s="6793"/>
      <c r="C92" s="6076" t="str">
        <f>IF(UPPER(TRIM(C45))="X",C96,C90)</f>
        <v/>
      </c>
      <c r="D92" s="6077" t="str" cm="1">
        <f t="array" ref="D92">IF(ROW()=ROW(D89),C92,INDEX(E89:E102,ROW()-ROW(D89)))</f>
        <v/>
      </c>
      <c r="E92" s="6113" t="str">
        <f>IF(OR(D92="",C91="",C91&lt;=0,F92=""),"",TRIM(MID(D92,LEN(F92)+1+IF(MID(D92,LEN(F92)+1,1)=" ",1,0),99999)))</f>
        <v/>
      </c>
      <c r="F92" s="6077" t="str">
        <f>IF(OR(G92="",G92=0,G92="0"),"",IF(LEN(G92)&lt;=C91,G92,IF(LEN(SUBSTITUTE(H92," ",""))=C91+1,LEFT(G92,C91),LEFT(G92,FIND("§",SUBSTITUTE(H92," ","§",LEN(H92)-LEN(SUBSTITUTE(H92," ",""))))-1))))</f>
        <v/>
      </c>
      <c r="G92" s="6077" t="str">
        <f t="shared" si="11"/>
        <v/>
      </c>
      <c r="H92" s="6077" t="str">
        <f>IF(OR(G92="",G92=0,G92="0"),"",LEFT(G92,C91+1))</f>
        <v/>
      </c>
      <c r="I92" s="6070" t="str">
        <f t="shared" si="12"/>
        <v/>
      </c>
      <c r="J92" s="6071" t="str">
        <f t="shared" si="13"/>
        <v/>
      </c>
      <c r="K92" s="6072" t="str">
        <f>IF(LEN(TRIM(L92))&gt;0,MAX(K46:K91)+1,"")</f>
        <v/>
      </c>
      <c r="L92" s="200"/>
      <c r="M92" s="6116"/>
      <c r="N92" s="6116"/>
      <c r="O92" s="2230"/>
      <c r="P92" s="2252"/>
      <c r="Q92" s="2237"/>
      <c r="R92" s="2237"/>
      <c r="S92" s="2237"/>
      <c r="T92" s="2237"/>
      <c r="U92" s="2240"/>
      <c r="V92" s="2241"/>
      <c r="W92" s="2239"/>
      <c r="X92" s="2242"/>
      <c r="Y92" s="2243"/>
      <c r="Z92" s="2251"/>
      <c r="AA92" s="2244"/>
      <c r="AB92" s="2245"/>
      <c r="AC92" s="2246"/>
      <c r="AD92" s="2247"/>
      <c r="AE92" s="2248"/>
      <c r="AF92" s="2249"/>
      <c r="AG92" s="2249"/>
      <c r="AH92" s="2238"/>
      <c r="AI92" s="2257"/>
      <c r="AJ92" s="2230"/>
      <c r="AK92" s="2230"/>
      <c r="AL92" s="3">
        <v>1</v>
      </c>
    </row>
    <row r="93" spans="1:38" ht="21" customHeight="1">
      <c r="A93" s="2230"/>
      <c r="B93" s="6793"/>
      <c r="C93" s="6114" t="str">
        <f>TRIM(SUBSTITUTE(SUBSTITUTE(SUBSTITUTE(SUBSTITUTE(SUBSTITUTE(SUBSTITUTE(SUBSTITUTE(SUBSTITUTE(SUBSTITUTE(SUBSTITUTE(C90,","," "),";"," "),":"," "),"!"," "),"?"," "),"…"," "),"»"," "),"«"," "),"/"," "),"."," "))</f>
        <v/>
      </c>
      <c r="D93" s="6079" t="str" cm="1">
        <f t="array" ref="D93">IF(ROW()=ROW(D89),C92,INDEX(E89:E102,ROW()-ROW(D89)))</f>
        <v/>
      </c>
      <c r="E93" s="6115" t="str">
        <f>IF(OR(D93="",C91="",C91&lt;=0,F93=""),"",TRIM(MID(D93,LEN(F93)+1+IF(MID(D93,LEN(F93)+1,1)=" ",1,0),99999)))</f>
        <v/>
      </c>
      <c r="F93" s="6079" t="str">
        <f>IF(OR(G93="",G93=0,G93="0"),"",IF(LEN(G93)&lt;=C91,G93,IF(LEN(SUBSTITUTE(H93," ",""))=C91+1,LEFT(G93,C91),LEFT(G93,FIND("§",SUBSTITUTE(H93," ","§",LEN(H93)-LEN(SUBSTITUTE(H93," ",""))))-1))))</f>
        <v/>
      </c>
      <c r="G93" s="6079" t="str">
        <f t="shared" si="11"/>
        <v/>
      </c>
      <c r="H93" s="6079" t="str">
        <f>IF(OR(G93="",G93=0,G93="0"),"",LEFT(G93,C91+1))</f>
        <v/>
      </c>
      <c r="I93" s="6080" t="str">
        <f t="shared" si="12"/>
        <v/>
      </c>
      <c r="J93" s="6081" t="str">
        <f t="shared" si="13"/>
        <v/>
      </c>
      <c r="K93" s="6082" t="str">
        <f>IF(LEN(TRIM(L93))&gt;0,MAX(K46:K92)+1,"")</f>
        <v/>
      </c>
      <c r="L93" s="200"/>
      <c r="M93" s="6116"/>
      <c r="N93" s="6116"/>
      <c r="O93" s="2230"/>
      <c r="P93" s="2252"/>
      <c r="Q93" s="2237"/>
      <c r="R93" s="2237"/>
      <c r="S93" s="2237"/>
      <c r="T93" s="2237"/>
      <c r="U93" s="2240"/>
      <c r="V93" s="2241"/>
      <c r="W93" s="2239"/>
      <c r="X93" s="2242"/>
      <c r="Y93" s="2243"/>
      <c r="Z93" s="2251"/>
      <c r="AA93" s="2244"/>
      <c r="AB93" s="2245"/>
      <c r="AC93" s="2246"/>
      <c r="AD93" s="2247"/>
      <c r="AE93" s="2248"/>
      <c r="AF93" s="2249"/>
      <c r="AG93" s="2249"/>
      <c r="AH93" s="2238"/>
      <c r="AI93" s="2257"/>
      <c r="AJ93" s="2230"/>
      <c r="AK93" s="2230"/>
      <c r="AL93" s="3">
        <v>1</v>
      </c>
    </row>
    <row r="94" spans="1:38" ht="21" customHeight="1">
      <c r="A94" s="2230"/>
      <c r="B94" s="6793"/>
      <c r="C94" s="6069" t="str">
        <f>TRIM(SUBSTITUTE(SUBSTITUTE(SUBSTITUTE(SUBSTITUTE(SUBSTITUTE(SUBSTITUTE(SUBSTITUTE(SUBSTITUTE(C93,"("," "),")"," "),CHAR(34)," "),"-"," "),"_"," "),"&lt;"," "),"&gt;"," "),"="," "))</f>
        <v/>
      </c>
      <c r="D94" s="6069" t="str" cm="1">
        <f t="array" ref="D94">IF(ROW()=ROW(D89),C92,INDEX(E89:E102,ROW()-ROW(D89)))</f>
        <v/>
      </c>
      <c r="E94" s="6112" t="str">
        <f>IF(OR(D94="",C91="",C91&lt;=0,F94=""),"",TRIM(MID(D94,LEN(F94)+1+IF(MID(D94,LEN(F94)+1,1)=" ",1,0),99999)))</f>
        <v/>
      </c>
      <c r="F94" s="6069" t="str">
        <f>IF(OR(G94="",G94=0,G94="0"),"",IF(LEN(G94)&lt;=C91,G94,IF(LEN(SUBSTITUTE(H94," ",""))=C91+1,LEFT(G94,C91),LEFT(G94,FIND("§",SUBSTITUTE(H94," ","§",LEN(H94)-LEN(SUBSTITUTE(H94," ",""))))-1))))</f>
        <v/>
      </c>
      <c r="G94" s="6069" t="str">
        <f t="shared" si="11"/>
        <v/>
      </c>
      <c r="H94" s="6069" t="str">
        <f>IF(OR(G94="",G94=0,G94="0"),"",LEFT(G94,C91+1))</f>
        <v/>
      </c>
      <c r="I94" s="6070" t="str">
        <f t="shared" si="12"/>
        <v/>
      </c>
      <c r="J94" s="6071" t="str">
        <f t="shared" si="13"/>
        <v/>
      </c>
      <c r="K94" s="6072" t="str">
        <f>IF(LEN(TRIM(L94))&gt;0,MAX(K46:K93)+1,"")</f>
        <v/>
      </c>
      <c r="L94" s="200"/>
      <c r="M94" s="6116"/>
      <c r="N94" s="6116"/>
      <c r="O94" s="2230"/>
      <c r="P94" s="2252"/>
      <c r="Q94" s="2237"/>
      <c r="R94" s="2237"/>
      <c r="S94" s="2237"/>
      <c r="T94" s="2237"/>
      <c r="U94" s="2240"/>
      <c r="V94" s="2241"/>
      <c r="W94" s="2239"/>
      <c r="X94" s="2242"/>
      <c r="Y94" s="2243"/>
      <c r="Z94" s="2251"/>
      <c r="AA94" s="2244"/>
      <c r="AB94" s="2245"/>
      <c r="AC94" s="2246"/>
      <c r="AD94" s="2247"/>
      <c r="AE94" s="2248"/>
      <c r="AF94" s="2249"/>
      <c r="AG94" s="2249"/>
      <c r="AH94" s="2238"/>
      <c r="AI94" s="2257"/>
      <c r="AJ94" s="2230"/>
      <c r="AK94" s="2230"/>
      <c r="AL94" s="3">
        <v>1</v>
      </c>
    </row>
    <row r="95" spans="1:38" ht="21" customHeight="1">
      <c r="A95" s="2230"/>
      <c r="B95" s="6793"/>
      <c r="C95" s="6074" t="str">
        <f>TRIM(SUBSTITUTE(SUBSTITUTE(SUBSTITUTE(SUBSTITUTE(C94,"►"," "),"▼"," "),"▲"," "),"◄"," "))</f>
        <v/>
      </c>
      <c r="D95" s="6069" t="str" cm="1">
        <f t="array" ref="D95">IF(ROW()=ROW(D89),C92,INDEX(E89:E102,ROW()-ROW(D89)))</f>
        <v/>
      </c>
      <c r="E95" s="6112" t="str">
        <f>IF(OR(D95="",C91="",C91&lt;=0,F95=""),"",TRIM(MID(D95,LEN(F95)+1+IF(MID(D95,LEN(F95)+1,1)=" ",1,0),99999)))</f>
        <v/>
      </c>
      <c r="F95" s="6069" t="str">
        <f>IF(OR(G95="",G95=0,G95="0"),"",IF(LEN(G95)&lt;=C91,G95,IF(LEN(SUBSTITUTE(H95," ",""))=C91+1,LEFT(G95,C91),LEFT(G95,FIND("§",SUBSTITUTE(H95," ","§",LEN(H95)-LEN(SUBSTITUTE(H95," ",""))))-1))))</f>
        <v/>
      </c>
      <c r="G95" s="6069" t="str">
        <f t="shared" si="11"/>
        <v/>
      </c>
      <c r="H95" s="6069" t="str">
        <f>IF(OR(G95="",G95=0,G95="0"),"",LEFT(G95,C91+1))</f>
        <v/>
      </c>
      <c r="I95" s="6070" t="str">
        <f t="shared" si="12"/>
        <v/>
      </c>
      <c r="J95" s="6071" t="str">
        <f t="shared" si="13"/>
        <v/>
      </c>
      <c r="K95" s="6072" t="str">
        <f>IF(LEN(TRIM(L95))&gt;0,MAX(K46:K94)+1,"")</f>
        <v/>
      </c>
      <c r="L95" s="200"/>
      <c r="M95" s="6116"/>
      <c r="N95" s="6116"/>
      <c r="O95" s="2230"/>
      <c r="P95" s="2252"/>
      <c r="Q95" s="2237"/>
      <c r="R95" s="2237"/>
      <c r="S95" s="2237"/>
      <c r="T95" s="2237"/>
      <c r="U95" s="2240"/>
      <c r="V95" s="2241"/>
      <c r="W95" s="2239"/>
      <c r="X95" s="2242"/>
      <c r="Y95" s="2243"/>
      <c r="Z95" s="2251"/>
      <c r="AA95" s="2244"/>
      <c r="AB95" s="2245"/>
      <c r="AC95" s="2246"/>
      <c r="AD95" s="2247"/>
      <c r="AE95" s="2248"/>
      <c r="AF95" s="2249"/>
      <c r="AG95" s="2249"/>
      <c r="AH95" s="2238"/>
      <c r="AI95" s="2257"/>
      <c r="AJ95" s="2230"/>
      <c r="AK95" s="2230"/>
      <c r="AL95" s="3">
        <v>1</v>
      </c>
    </row>
    <row r="96" spans="1:38" ht="21" customHeight="1">
      <c r="A96" s="2230"/>
      <c r="B96" s="6793"/>
      <c r="C96" s="6074" t="str">
        <f>TRIM(SUBSTITUTE(SUBSTITUTE(C95,"“"," "),"”"," "))</f>
        <v/>
      </c>
      <c r="D96" s="6069" t="str" cm="1">
        <f t="array" ref="D96">IF(ROW()=ROW(D89),C92,INDEX(E89:E102,ROW()-ROW(D89)))</f>
        <v/>
      </c>
      <c r="E96" s="6112" t="str">
        <f>IF(OR(D96="",C91="",C91&lt;=0,F96=""),"",TRIM(MID(D96,LEN(F96)+1+IF(MID(D96,LEN(F96)+1,1)=" ",1,0),99999)))</f>
        <v/>
      </c>
      <c r="F96" s="6069" t="str">
        <f>IF(OR(G96="",G96=0,G96="0"),"",IF(LEN(G96)&lt;=C91,G96,IF(LEN(SUBSTITUTE(H96," ",""))=C91+1,LEFT(G96,C91),LEFT(G96,FIND("§",SUBSTITUTE(H96," ","§",LEN(H96)-LEN(SUBSTITUTE(H96," ",""))))-1))))</f>
        <v/>
      </c>
      <c r="G96" s="6069" t="str">
        <f t="shared" si="11"/>
        <v/>
      </c>
      <c r="H96" s="6069" t="str">
        <f>IF(OR(G96="",G96=0,G96="0"),"",LEFT(G96,C91+1))</f>
        <v/>
      </c>
      <c r="I96" s="6070" t="str">
        <f t="shared" si="12"/>
        <v/>
      </c>
      <c r="J96" s="6071" t="str">
        <f t="shared" si="13"/>
        <v/>
      </c>
      <c r="K96" s="6072" t="str">
        <f>IF(LEN(TRIM(L96))&gt;0,MAX(K46:K95)+1,"")</f>
        <v/>
      </c>
      <c r="L96" s="200"/>
      <c r="M96" s="6116"/>
      <c r="N96" s="6116"/>
      <c r="O96" s="2230"/>
      <c r="P96" s="2252"/>
      <c r="Q96" s="2237"/>
      <c r="R96" s="2237"/>
      <c r="S96" s="2237"/>
      <c r="T96" s="2237"/>
      <c r="U96" s="2240"/>
      <c r="V96" s="2241"/>
      <c r="W96" s="2239"/>
      <c r="X96" s="2242"/>
      <c r="Y96" s="2243"/>
      <c r="Z96" s="2251"/>
      <c r="AA96" s="2244"/>
      <c r="AB96" s="2245"/>
      <c r="AC96" s="2246"/>
      <c r="AD96" s="2247"/>
      <c r="AE96" s="2248"/>
      <c r="AF96" s="2249"/>
      <c r="AG96" s="2249"/>
      <c r="AH96" s="2238"/>
      <c r="AI96" s="2257"/>
      <c r="AJ96" s="2230"/>
      <c r="AK96" s="2230"/>
      <c r="AL96" s="3">
        <v>1</v>
      </c>
    </row>
    <row r="97" spans="1:38" ht="21" customHeight="1">
      <c r="A97" s="2230"/>
      <c r="B97" s="6793"/>
      <c r="C97" s="6074"/>
      <c r="D97" s="6069" t="str" cm="1">
        <f t="array" ref="D97">IF(ROW()=ROW(D89),C92,INDEX(E89:E102,ROW()-ROW(D89)))</f>
        <v/>
      </c>
      <c r="E97" s="6112" t="str">
        <f>IF(OR(D97="",C91="",C91&lt;=0,F97=""),"",TRIM(MID(D97,LEN(F97)+1+IF(MID(D97,LEN(F97)+1,1)=" ",1,0),99999)))</f>
        <v/>
      </c>
      <c r="F97" s="6069" t="str">
        <f>IF(OR(G97="",G97=0,G97="0"),"",IF(LEN(G97)&lt;=C91,G97,IF(LEN(SUBSTITUTE(H97," ",""))=C91+1,LEFT(G97,C91),LEFT(G97,FIND("§",SUBSTITUTE(H97," ","§",LEN(H97)-LEN(SUBSTITUTE(H97," ",""))))-1))))</f>
        <v/>
      </c>
      <c r="G97" s="6069" t="str">
        <f t="shared" si="11"/>
        <v/>
      </c>
      <c r="H97" s="6069" t="str">
        <f>IF(OR(G97="",G97=0,G97="0"),"",LEFT(G97,C91+1))</f>
        <v/>
      </c>
      <c r="I97" s="6070" t="str">
        <f t="shared" si="12"/>
        <v/>
      </c>
      <c r="J97" s="6071" t="str">
        <f t="shared" si="13"/>
        <v/>
      </c>
      <c r="K97" s="6072" t="str">
        <f>IF(LEN(TRIM(L97))&gt;0,MAX(K46:K96)+1,"")</f>
        <v/>
      </c>
      <c r="L97" s="200"/>
      <c r="M97" s="6116"/>
      <c r="N97" s="6116"/>
      <c r="O97" s="2230"/>
      <c r="P97" s="2252"/>
      <c r="Q97" s="2237"/>
      <c r="R97" s="2237"/>
      <c r="S97" s="2237"/>
      <c r="T97" s="2237"/>
      <c r="U97" s="2240"/>
      <c r="V97" s="2241"/>
      <c r="W97" s="2239"/>
      <c r="X97" s="2242"/>
      <c r="Y97" s="2243"/>
      <c r="Z97" s="2251"/>
      <c r="AA97" s="2244"/>
      <c r="AB97" s="2245"/>
      <c r="AC97" s="2246"/>
      <c r="AD97" s="2247"/>
      <c r="AE97" s="2248"/>
      <c r="AF97" s="2249"/>
      <c r="AG97" s="2249"/>
      <c r="AH97" s="2238"/>
      <c r="AI97" s="2257"/>
      <c r="AJ97" s="2230"/>
      <c r="AK97" s="2230"/>
      <c r="AL97" s="3">
        <v>1</v>
      </c>
    </row>
    <row r="98" spans="1:38" ht="21" customHeight="1">
      <c r="A98" s="2230"/>
      <c r="B98" s="6793"/>
      <c r="C98" s="6074"/>
      <c r="D98" s="6069" t="str" cm="1">
        <f t="array" ref="D98">IF(ROW()=ROW(D89),C92,INDEX(E89:E102,ROW()-ROW(D89)))</f>
        <v/>
      </c>
      <c r="E98" s="6112" t="str">
        <f>IF(OR(D98="",C91="",C91&lt;=0,F98=""),"",TRIM(MID(D98,LEN(F98)+1+IF(MID(D98,LEN(F98)+1,1)=" ",1,0),99999)))</f>
        <v/>
      </c>
      <c r="F98" s="6069" t="str">
        <f>IF(OR(G98="",G98=0,G98="0"),"",IF(LEN(G98)&lt;=C91,G98,IF(LEN(SUBSTITUTE(H98," ",""))=C91+1,LEFT(G98,C91),LEFT(G98,FIND("§",SUBSTITUTE(H98," ","§",LEN(H98)-LEN(SUBSTITUTE(H98," ",""))))-1))))</f>
        <v/>
      </c>
      <c r="G98" s="6069" t="str">
        <f t="shared" si="11"/>
        <v/>
      </c>
      <c r="H98" s="6069" t="str">
        <f>IF(OR(G98="",G98=0,G98="0"),"",LEFT(G98,C91+1))</f>
        <v/>
      </c>
      <c r="I98" s="6070" t="str">
        <f t="shared" si="12"/>
        <v/>
      </c>
      <c r="J98" s="6071" t="str">
        <f t="shared" si="13"/>
        <v/>
      </c>
      <c r="K98" s="6072" t="str">
        <f>IF(LEN(TRIM(L98))&gt;0,MAX(K46:K97)+1,"")</f>
        <v/>
      </c>
      <c r="L98" s="200"/>
      <c r="M98" s="6116"/>
      <c r="N98" s="6116"/>
      <c r="O98" s="2230"/>
      <c r="P98" s="2252"/>
      <c r="Q98" s="2237"/>
      <c r="R98" s="2237"/>
      <c r="S98" s="2237"/>
      <c r="T98" s="2237"/>
      <c r="U98" s="2240"/>
      <c r="V98" s="2241"/>
      <c r="W98" s="2239"/>
      <c r="X98" s="2242"/>
      <c r="Y98" s="2243"/>
      <c r="Z98" s="2251"/>
      <c r="AA98" s="2244"/>
      <c r="AB98" s="2245"/>
      <c r="AC98" s="2246"/>
      <c r="AD98" s="2247"/>
      <c r="AE98" s="2248"/>
      <c r="AF98" s="2249"/>
      <c r="AG98" s="2249"/>
      <c r="AH98" s="2238"/>
      <c r="AI98" s="2257"/>
      <c r="AJ98" s="2230"/>
      <c r="AK98" s="2230"/>
      <c r="AL98" s="3">
        <v>1</v>
      </c>
    </row>
    <row r="99" spans="1:38" ht="21" customHeight="1">
      <c r="A99" s="2230"/>
      <c r="B99" s="6793"/>
      <c r="C99" s="6074"/>
      <c r="D99" s="6069" t="str" cm="1">
        <f t="array" ref="D99">IF(ROW()=ROW(D89),C92,INDEX(E89:E102,ROW()-ROW(D89)))</f>
        <v/>
      </c>
      <c r="E99" s="6112" t="str">
        <f>IF(OR(D99="",C91="",C91&lt;=0,F99=""),"",TRIM(MID(D99,LEN(F99)+1+IF(MID(D99,LEN(F99)+1,1)=" ",1,0),99999)))</f>
        <v/>
      </c>
      <c r="F99" s="6069" t="str">
        <f>IF(OR(G99="",G99=0,G99="0"),"",IF(LEN(G99)&lt;=C91,G99,IF(LEN(SUBSTITUTE(H99," ",""))=C91+1,LEFT(G99,C91),LEFT(G99,FIND("§",SUBSTITUTE(H99," ","§",LEN(H99)-LEN(SUBSTITUTE(H99," ",""))))-1))))</f>
        <v/>
      </c>
      <c r="G99" s="6069" t="str">
        <f t="shared" si="11"/>
        <v/>
      </c>
      <c r="H99" s="6069" t="str">
        <f>IF(OR(G99="",G99=0,G99="0"),"",LEFT(G99,C91+1))</f>
        <v/>
      </c>
      <c r="I99" s="6070" t="str">
        <f t="shared" si="12"/>
        <v/>
      </c>
      <c r="J99" s="6071" t="str">
        <f t="shared" si="13"/>
        <v/>
      </c>
      <c r="K99" s="6072" t="str">
        <f>IF(LEN(TRIM(L99))&gt;0,MAX(K46:K98)+1,"")</f>
        <v/>
      </c>
      <c r="L99" s="200"/>
      <c r="M99" s="6116"/>
      <c r="N99" s="6116"/>
      <c r="O99" s="2230"/>
      <c r="P99" s="2252"/>
      <c r="Q99" s="2237"/>
      <c r="R99" s="2237"/>
      <c r="S99" s="2237"/>
      <c r="T99" s="2237"/>
      <c r="U99" s="2240"/>
      <c r="V99" s="2241"/>
      <c r="W99" s="2239"/>
      <c r="X99" s="2242"/>
      <c r="Y99" s="2243"/>
      <c r="Z99" s="2251"/>
      <c r="AA99" s="2244"/>
      <c r="AB99" s="2245"/>
      <c r="AC99" s="2246"/>
      <c r="AD99" s="2247"/>
      <c r="AE99" s="2248"/>
      <c r="AF99" s="2249"/>
      <c r="AG99" s="2249"/>
      <c r="AH99" s="2238"/>
      <c r="AI99" s="2257"/>
      <c r="AJ99" s="2230"/>
      <c r="AK99" s="2230"/>
      <c r="AL99" s="3">
        <v>1</v>
      </c>
    </row>
    <row r="100" spans="1:38" ht="21" customHeight="1">
      <c r="A100" s="2230"/>
      <c r="B100" s="6793"/>
      <c r="C100" s="6074"/>
      <c r="D100" s="6069" t="str" cm="1">
        <f t="array" ref="D100">IF(ROW()=ROW(D89),C92,INDEX(E89:E102,ROW()-ROW(D89)))</f>
        <v/>
      </c>
      <c r="E100" s="6112" t="str">
        <f>IF(OR(D100="",C91="",C91&lt;=0,F100=""),"",TRIM(MID(D100,LEN(F100)+1+IF(MID(D100,LEN(F100)+1,1)=" ",1,0),99999)))</f>
        <v/>
      </c>
      <c r="F100" s="6069" t="str">
        <f>IF(OR(G100="",G100=0,G100="0"),"",IF(LEN(G100)&lt;=C91,G100,IF(LEN(SUBSTITUTE(H100," ",""))=C91+1,LEFT(G100,C91),LEFT(G100,FIND("§",SUBSTITUTE(H100," ","§",LEN(H100)-LEN(SUBSTITUTE(H100," ",""))))-1))))</f>
        <v/>
      </c>
      <c r="G100" s="6069" t="str">
        <f t="shared" si="11"/>
        <v/>
      </c>
      <c r="H100" s="6069" t="str">
        <f>IF(OR(G100="",G100=0,G100="0"),"",LEFT(G100,C91+1))</f>
        <v/>
      </c>
      <c r="I100" s="6070" t="str">
        <f t="shared" si="12"/>
        <v/>
      </c>
      <c r="J100" s="6071" t="str">
        <f t="shared" si="13"/>
        <v/>
      </c>
      <c r="K100" s="6072" t="str">
        <f>IF(LEN(TRIM(L100))&gt;0,MAX(K46:K99)+1,"")</f>
        <v/>
      </c>
      <c r="L100" s="200"/>
      <c r="M100" s="6116"/>
      <c r="N100" s="6116"/>
      <c r="O100" s="2230"/>
      <c r="P100" s="2252"/>
      <c r="Q100" s="2237"/>
      <c r="R100" s="2237"/>
      <c r="S100" s="2237"/>
      <c r="T100" s="2237"/>
      <c r="U100" s="2240"/>
      <c r="V100" s="2241"/>
      <c r="W100" s="2239"/>
      <c r="X100" s="2242"/>
      <c r="Y100" s="2243"/>
      <c r="Z100" s="2251"/>
      <c r="AA100" s="2244"/>
      <c r="AB100" s="2245"/>
      <c r="AC100" s="2246"/>
      <c r="AD100" s="2247"/>
      <c r="AE100" s="2248"/>
      <c r="AF100" s="2249"/>
      <c r="AG100" s="2249"/>
      <c r="AH100" s="2238"/>
      <c r="AI100" s="2257"/>
      <c r="AJ100" s="2230"/>
      <c r="AK100" s="2230"/>
      <c r="AL100" s="3">
        <v>1</v>
      </c>
    </row>
    <row r="101" spans="1:38" ht="21" customHeight="1">
      <c r="A101" s="2230"/>
      <c r="B101" s="6793"/>
      <c r="C101" s="6074"/>
      <c r="D101" s="6069" t="str" cm="1">
        <f t="array" ref="D101">IF(ROW()=ROW(D89),C92,INDEX(E89:E102,ROW()-ROW(D89)))</f>
        <v/>
      </c>
      <c r="E101" s="6112" t="str">
        <f>IF(OR(D101="",C91="",C91&lt;=0,F101=""),"",TRIM(MID(D101,LEN(F101)+1+IF(MID(D101,LEN(F101)+1,1)=" ",1,0),99999)))</f>
        <v/>
      </c>
      <c r="F101" s="6069" t="str">
        <f>IF(OR(G101="",G101=0,G101="0"),"",IF(LEN(G101)&lt;=C91,G101,IF(LEN(SUBSTITUTE(H101," ",""))=C91+1,LEFT(G101,C91),LEFT(G101,FIND("§",SUBSTITUTE(H101," ","§",LEN(H101)-LEN(SUBSTITUTE(H101," ",""))))-1))))</f>
        <v/>
      </c>
      <c r="G101" s="6069" t="str">
        <f t="shared" si="11"/>
        <v/>
      </c>
      <c r="H101" s="6069" t="str">
        <f>IF(OR(G101="",G101=0,G101="0"),"",LEFT(G101,C91+1))</f>
        <v/>
      </c>
      <c r="I101" s="6070" t="str">
        <f t="shared" si="12"/>
        <v/>
      </c>
      <c r="J101" s="6071" t="str">
        <f t="shared" si="13"/>
        <v/>
      </c>
      <c r="K101" s="6072" t="str">
        <f>IF(LEN(TRIM(L101))&gt;0,MAX(K46:K100)+1,"")</f>
        <v/>
      </c>
      <c r="L101" s="200"/>
      <c r="M101" s="6116"/>
      <c r="N101" s="6116"/>
      <c r="O101" s="2230"/>
      <c r="P101" s="2252"/>
      <c r="Q101" s="2237"/>
      <c r="R101" s="2237"/>
      <c r="S101" s="2237"/>
      <c r="T101" s="2237"/>
      <c r="U101" s="2240"/>
      <c r="V101" s="2241"/>
      <c r="W101" s="2239"/>
      <c r="X101" s="2242"/>
      <c r="Y101" s="2243"/>
      <c r="Z101" s="2251"/>
      <c r="AA101" s="2244"/>
      <c r="AB101" s="2245"/>
      <c r="AC101" s="2246"/>
      <c r="AD101" s="2247"/>
      <c r="AE101" s="2248"/>
      <c r="AF101" s="2249"/>
      <c r="AG101" s="2249"/>
      <c r="AH101" s="2238"/>
      <c r="AI101" s="2257"/>
      <c r="AJ101" s="2230"/>
      <c r="AK101" s="2230"/>
      <c r="AL101" s="3">
        <v>1</v>
      </c>
    </row>
    <row r="102" spans="1:38" ht="21" customHeight="1">
      <c r="A102" s="2230"/>
      <c r="B102" s="6793"/>
      <c r="C102" s="6074"/>
      <c r="D102" s="6069" t="str" cm="1">
        <f t="array" ref="D102">IF(ROW()=ROW(D89),C92,INDEX(E89:E102,ROW()-ROW(D89)))</f>
        <v/>
      </c>
      <c r="E102" s="6112" t="str">
        <f>IF(OR(D102="",C91="",C91&lt;=0,F102=""),"",TRIM(MID(D102,LEN(F102)+1+IF(MID(D102,LEN(F102)+1,1)=" ",1,0),99999)))</f>
        <v/>
      </c>
      <c r="F102" s="6069" t="str">
        <f>IF(OR(G102="",G102=0,G102="0"),"",IF(LEN(G102)&lt;=C91,G102,IF(LEN(SUBSTITUTE(H102," ",""))=C91+1,LEFT(G102,C91),LEFT(G102,FIND("§",SUBSTITUTE(H102," ","§",LEN(H102)-LEN(SUBSTITUTE(H102," ",""))))-1))))</f>
        <v/>
      </c>
      <c r="G102" s="6069" t="str">
        <f t="shared" si="11"/>
        <v/>
      </c>
      <c r="H102" s="6069" t="str">
        <f>IF(OR(G102="",G102=0,G102="0"),"",LEFT(G102,C91+1))</f>
        <v/>
      </c>
      <c r="I102" s="6070" t="str">
        <f t="shared" si="12"/>
        <v/>
      </c>
      <c r="J102" s="6071" t="str">
        <f t="shared" si="13"/>
        <v/>
      </c>
      <c r="K102" s="6072" t="str">
        <f>IF(LEN(TRIM(L102))&gt;0,MAX(K46:K101)+1,"")</f>
        <v/>
      </c>
      <c r="L102" s="200"/>
      <c r="M102" s="6116"/>
      <c r="N102" s="6116"/>
      <c r="O102" s="2230"/>
      <c r="P102" s="2252"/>
      <c r="Q102" s="2237"/>
      <c r="R102" s="2237"/>
      <c r="S102" s="2237"/>
      <c r="T102" s="2237"/>
      <c r="U102" s="2240"/>
      <c r="V102" s="2241"/>
      <c r="W102" s="2239"/>
      <c r="X102" s="2242"/>
      <c r="Y102" s="2243"/>
      <c r="Z102" s="2251"/>
      <c r="AA102" s="2244"/>
      <c r="AB102" s="2245"/>
      <c r="AC102" s="2246"/>
      <c r="AD102" s="2247"/>
      <c r="AE102" s="2248"/>
      <c r="AF102" s="2249"/>
      <c r="AG102" s="2249"/>
      <c r="AH102" s="2238"/>
      <c r="AI102" s="2257"/>
      <c r="AJ102" s="2230"/>
      <c r="AK102" s="2230"/>
      <c r="AL102" s="3">
        <v>1</v>
      </c>
    </row>
    <row r="103" spans="1:38" ht="21" customHeight="1">
      <c r="A103" s="2230"/>
      <c r="B103" s="6793"/>
      <c r="C103" s="6068" t="str">
        <f>IF(TRIM(SUBSTITUTE(M51,CHAR(160),""))="","",M51)</f>
        <v/>
      </c>
      <c r="D103" s="6069" t="str" cm="1">
        <f t="array" ref="D103">IF(ROW()=ROW(D103),C106,INDEX(E103:E116,ROW()-ROW(D103)))</f>
        <v/>
      </c>
      <c r="E103" s="6112" t="str">
        <f>IF(OR(D103="",C105="",C105&lt;=0,F103=""),"",TRIM(MID(D103,LEN(F103)+1+IF(MID(D103,LEN(F103)+1,1)=" ",1,0),99999)))</f>
        <v/>
      </c>
      <c r="F103" s="6069" t="str">
        <f>IF(OR(G103="",G103=0,G103="0"),"",IF(LEN(G103)&lt;=C105,G103,IF(LEN(SUBSTITUTE(H103," ",""))=C105+1,LEFT(G103,C105),LEFT(G103,FIND("§",SUBSTITUTE(H103," ","§",LEN(H103)-LEN(SUBSTITUTE(H103," ",""))))-1))))</f>
        <v/>
      </c>
      <c r="G103" s="6069" t="str">
        <f t="shared" si="11"/>
        <v/>
      </c>
      <c r="H103" s="6069" t="str">
        <f>IF(OR(G103="",G103=0,G103="0"),"",LEFT(G103,C105+1))</f>
        <v/>
      </c>
      <c r="I103" s="6070" t="str">
        <f t="shared" si="12"/>
        <v/>
      </c>
      <c r="J103" s="6071" t="str">
        <f t="shared" si="13"/>
        <v/>
      </c>
      <c r="K103" s="6072" t="str">
        <f>IF(LEN(TRIM(L103))&gt;0,MAX(K46:K102)+1,"")</f>
        <v/>
      </c>
      <c r="L103" s="200"/>
      <c r="M103" s="6116"/>
      <c r="N103" s="6116"/>
      <c r="O103" s="2230"/>
      <c r="P103" s="2252"/>
      <c r="Q103" s="2237"/>
      <c r="R103" s="2237"/>
      <c r="S103" s="2237"/>
      <c r="T103" s="2237"/>
      <c r="U103" s="2240"/>
      <c r="V103" s="2241"/>
      <c r="W103" s="2239"/>
      <c r="X103" s="2242"/>
      <c r="Y103" s="2243"/>
      <c r="Z103" s="2251"/>
      <c r="AA103" s="2244"/>
      <c r="AB103" s="2245"/>
      <c r="AC103" s="2246"/>
      <c r="AD103" s="2247"/>
      <c r="AE103" s="2248"/>
      <c r="AF103" s="2249"/>
      <c r="AG103" s="2249"/>
      <c r="AH103" s="2238"/>
      <c r="AI103" s="2257"/>
      <c r="AJ103" s="2230"/>
      <c r="AK103" s="2230"/>
      <c r="AL103" s="3">
        <v>1</v>
      </c>
    </row>
    <row r="104" spans="1:38" ht="21" customHeight="1">
      <c r="A104" s="2230"/>
      <c r="B104" s="6793"/>
      <c r="C104" s="6074" t="str">
        <f>TRIM(SUBSTITUTE(SUBSTITUTE(SUBSTITUTE(SUBSTITUTE(IF(OR(LEFT(C103,1)="-",LEFT(C103,1)="="),MID(C103,2,99999),C103),CHAR(160)," "),CHAR(9)," "),CHAR(13)&amp;CHAR(10)," "),CHAR(10)," "))</f>
        <v/>
      </c>
      <c r="D104" s="6069" t="str" cm="1">
        <f t="array" ref="D104">IF(ROW()=ROW(D103),C106,INDEX(E103:E116,ROW()-ROW(D103)))</f>
        <v/>
      </c>
      <c r="E104" s="6112" t="str">
        <f>IF(OR(D104="",C105="",C105&lt;=0,F104=""),"",TRIM(MID(D104,LEN(F104)+1+IF(MID(D104,LEN(F104)+1,1)=" ",1,0),99999)))</f>
        <v/>
      </c>
      <c r="F104" s="6069" t="str">
        <f>IF(OR(G104="",G104=0,G104="0"),"",IF(LEN(G104)&lt;=C105,G104,IF(LEN(SUBSTITUTE(H104," ",""))=C105+1,LEFT(G104,C105),LEFT(G104,FIND("§",SUBSTITUTE(H104," ","§",LEN(H104)-LEN(SUBSTITUTE(H104," ",""))))-1))))</f>
        <v/>
      </c>
      <c r="G104" s="6069" t="str">
        <f t="shared" si="11"/>
        <v/>
      </c>
      <c r="H104" s="6069" t="str">
        <f>IF(OR(G104="",G104=0,G104="0"),"",LEFT(G104,C105+1))</f>
        <v/>
      </c>
      <c r="I104" s="6070" t="str">
        <f t="shared" si="12"/>
        <v/>
      </c>
      <c r="J104" s="6071" t="str">
        <f t="shared" si="13"/>
        <v/>
      </c>
      <c r="K104" s="6072" t="str">
        <f>IF(LEN(TRIM(L104))&gt;0,MAX(K46:K103)+1,"")</f>
        <v/>
      </c>
      <c r="L104" s="200"/>
      <c r="M104" s="6116"/>
      <c r="N104" s="6116"/>
      <c r="O104" s="2230"/>
      <c r="P104" s="2252"/>
      <c r="Q104" s="2237"/>
      <c r="R104" s="2237"/>
      <c r="S104" s="2237"/>
      <c r="T104" s="2237"/>
      <c r="U104" s="2240"/>
      <c r="V104" s="2241"/>
      <c r="W104" s="2239"/>
      <c r="X104" s="2242"/>
      <c r="Y104" s="2243"/>
      <c r="Z104" s="2251"/>
      <c r="AA104" s="2244"/>
      <c r="AB104" s="2245"/>
      <c r="AC104" s="2246"/>
      <c r="AD104" s="2247"/>
      <c r="AE104" s="2248"/>
      <c r="AF104" s="2249"/>
      <c r="AG104" s="2249"/>
      <c r="AH104" s="2238"/>
      <c r="AI104" s="2257"/>
      <c r="AJ104" s="2230"/>
      <c r="AK104" s="2230"/>
      <c r="AL104" s="3">
        <v>1</v>
      </c>
    </row>
    <row r="105" spans="1:38" ht="21" customHeight="1">
      <c r="A105" s="2230"/>
      <c r="B105" s="6793"/>
      <c r="C105" s="6075">
        <f>M44</f>
        <v>120</v>
      </c>
      <c r="D105" s="6069" t="str" cm="1">
        <f t="array" ref="D105">IF(ROW()=ROW(D103),C106,INDEX(E103:E116,ROW()-ROW(D103)))</f>
        <v/>
      </c>
      <c r="E105" s="6112" t="str">
        <f>IF(OR(D105="",C105="",C105&lt;=0,F105=""),"",TRIM(MID(D105,LEN(F105)+1+IF(MID(D105,LEN(F105)+1,1)=" ",1,0),99999)))</f>
        <v/>
      </c>
      <c r="F105" s="6069" t="str">
        <f>IF(OR(G105="",G105=0,G105="0"),"",IF(LEN(G105)&lt;=C105,G105,IF(LEN(SUBSTITUTE(H105," ",""))=C105+1,LEFT(G105,C105),LEFT(G105,FIND("§",SUBSTITUTE(H105," ","§",LEN(H105)-LEN(SUBSTITUTE(H105," ",""))))-1))))</f>
        <v/>
      </c>
      <c r="G105" s="6069" t="str">
        <f t="shared" si="11"/>
        <v/>
      </c>
      <c r="H105" s="6069" t="str">
        <f>IF(OR(G105="",G105=0,G105="0"),"",LEFT(G105,C105+1))</f>
        <v/>
      </c>
      <c r="I105" s="6070" t="str">
        <f t="shared" si="12"/>
        <v/>
      </c>
      <c r="J105" s="6071" t="str">
        <f t="shared" si="13"/>
        <v/>
      </c>
      <c r="K105" s="6072" t="str">
        <f>IF(LEN(TRIM(L105))&gt;0,MAX(K46:K104)+1,"")</f>
        <v/>
      </c>
      <c r="L105" s="200"/>
      <c r="M105" s="6116"/>
      <c r="N105" s="6116"/>
      <c r="O105" s="2230"/>
      <c r="P105" s="2252"/>
      <c r="Q105" s="2237"/>
      <c r="R105" s="2237"/>
      <c r="S105" s="2237"/>
      <c r="T105" s="2237"/>
      <c r="U105" s="2240"/>
      <c r="V105" s="2241"/>
      <c r="W105" s="2239"/>
      <c r="X105" s="2242"/>
      <c r="Y105" s="2243"/>
      <c r="Z105" s="2251"/>
      <c r="AA105" s="2244"/>
      <c r="AB105" s="2245"/>
      <c r="AC105" s="2246"/>
      <c r="AD105" s="2247"/>
      <c r="AE105" s="2248"/>
      <c r="AF105" s="2249"/>
      <c r="AG105" s="2249"/>
      <c r="AH105" s="2238"/>
      <c r="AI105" s="2257"/>
      <c r="AJ105" s="2230"/>
      <c r="AK105" s="2230"/>
      <c r="AL105" s="3">
        <v>1</v>
      </c>
    </row>
    <row r="106" spans="1:38" ht="21" customHeight="1">
      <c r="A106" s="2230"/>
      <c r="B106" s="6793"/>
      <c r="C106" s="6074" t="str">
        <f>IF(UPPER(TRIM(C45))="X",C110,C104)</f>
        <v/>
      </c>
      <c r="D106" s="6069" t="str" cm="1">
        <f t="array" ref="D106">IF(ROW()=ROW(D103),C106,INDEX(E103:E116,ROW()-ROW(D103)))</f>
        <v/>
      </c>
      <c r="E106" s="6112" t="str">
        <f>IF(OR(D106="",C105="",C105&lt;=0,F106=""),"",TRIM(MID(D106,LEN(F106)+1+IF(MID(D106,LEN(F106)+1,1)=" ",1,0),99999)))</f>
        <v/>
      </c>
      <c r="F106" s="6069" t="str">
        <f>IF(OR(G106="",G106=0,G106="0"),"",IF(LEN(G106)&lt;=C105,G106,IF(LEN(SUBSTITUTE(H106," ",""))=C105+1,LEFT(G106,C105),LEFT(G106,FIND("§",SUBSTITUTE(H106," ","§",LEN(H106)-LEN(SUBSTITUTE(H106," ",""))))-1))))</f>
        <v/>
      </c>
      <c r="G106" s="6069" t="str">
        <f t="shared" si="11"/>
        <v/>
      </c>
      <c r="H106" s="6069" t="str">
        <f>IF(OR(G106="",G106=0,G106="0"),"",LEFT(G106,C105+1))</f>
        <v/>
      </c>
      <c r="I106" s="6070" t="str">
        <f t="shared" si="12"/>
        <v/>
      </c>
      <c r="J106" s="6071" t="str">
        <f t="shared" si="13"/>
        <v/>
      </c>
      <c r="K106" s="6072" t="str">
        <f>IF(LEN(TRIM(L106))&gt;0,MAX(K46:K105)+1,"")</f>
        <v/>
      </c>
      <c r="L106" s="200"/>
      <c r="M106" s="6116"/>
      <c r="N106" s="6116"/>
      <c r="O106" s="2230"/>
      <c r="P106" s="2252"/>
      <c r="Q106" s="2237"/>
      <c r="R106" s="2237"/>
      <c r="S106" s="2237"/>
      <c r="T106" s="2237"/>
      <c r="U106" s="2240"/>
      <c r="V106" s="2241"/>
      <c r="W106" s="2239"/>
      <c r="X106" s="2242"/>
      <c r="Y106" s="2243"/>
      <c r="Z106" s="2251"/>
      <c r="AA106" s="2244"/>
      <c r="AB106" s="2245"/>
      <c r="AC106" s="2246"/>
      <c r="AD106" s="2247"/>
      <c r="AE106" s="2248"/>
      <c r="AF106" s="2249"/>
      <c r="AG106" s="2249"/>
      <c r="AH106" s="2238"/>
      <c r="AI106" s="2257"/>
      <c r="AJ106" s="2230"/>
      <c r="AK106" s="2230"/>
      <c r="AL106" s="3">
        <v>1</v>
      </c>
    </row>
    <row r="107" spans="1:38" ht="21" customHeight="1">
      <c r="A107" s="2230"/>
      <c r="B107" s="6793"/>
      <c r="C107" s="6074" t="str">
        <f>TRIM(SUBSTITUTE(SUBSTITUTE(SUBSTITUTE(SUBSTITUTE(SUBSTITUTE(SUBSTITUTE(SUBSTITUTE(SUBSTITUTE(SUBSTITUTE(SUBSTITUTE(C104,","," "),";"," "),":"," "),"!"," "),"?"," "),"…"," "),"»"," "),"«"," "),"/"," "),"."," "))</f>
        <v/>
      </c>
      <c r="D107" s="6069" t="str" cm="1">
        <f t="array" ref="D107">IF(ROW()=ROW(D103),C106,INDEX(E103:E116,ROW()-ROW(D103)))</f>
        <v/>
      </c>
      <c r="E107" s="6112" t="str">
        <f>IF(OR(D107="",C105="",C105&lt;=0,F107=""),"",TRIM(MID(D107,LEN(F107)+1+IF(MID(D107,LEN(F107)+1,1)=" ",1,0),99999)))</f>
        <v/>
      </c>
      <c r="F107" s="6069" t="str">
        <f>IF(OR(G107="",G107=0,G107="0"),"",IF(LEN(G107)&lt;=C105,G107,IF(LEN(SUBSTITUTE(H107," ",""))=C105+1,LEFT(G107,C105),LEFT(G107,FIND("§",SUBSTITUTE(H107," ","§",LEN(H107)-LEN(SUBSTITUTE(H107," ",""))))-1))))</f>
        <v/>
      </c>
      <c r="G107" s="6069" t="str">
        <f t="shared" si="11"/>
        <v/>
      </c>
      <c r="H107" s="6069" t="str">
        <f>IF(OR(G107="",G107=0,G107="0"),"",LEFT(G107,C105+1))</f>
        <v/>
      </c>
      <c r="I107" s="6070" t="str">
        <f t="shared" si="12"/>
        <v/>
      </c>
      <c r="J107" s="6071" t="str">
        <f t="shared" si="13"/>
        <v/>
      </c>
      <c r="K107" s="6072" t="str">
        <f>IF(LEN(TRIM(L107))&gt;0,MAX(K46:K106)+1,"")</f>
        <v/>
      </c>
      <c r="L107" s="200"/>
      <c r="M107" s="6116"/>
      <c r="N107" s="6116"/>
      <c r="O107" s="2230"/>
      <c r="P107" s="2252"/>
      <c r="Q107" s="2237"/>
      <c r="R107" s="2237"/>
      <c r="S107" s="2237"/>
      <c r="T107" s="2237"/>
      <c r="U107" s="2240"/>
      <c r="V107" s="2241"/>
      <c r="W107" s="2239"/>
      <c r="X107" s="2242"/>
      <c r="Y107" s="2243"/>
      <c r="Z107" s="2251"/>
      <c r="AA107" s="2244"/>
      <c r="AB107" s="2245"/>
      <c r="AC107" s="2246"/>
      <c r="AD107" s="2247"/>
      <c r="AE107" s="2248"/>
      <c r="AF107" s="2249"/>
      <c r="AG107" s="2249"/>
      <c r="AH107" s="2238"/>
      <c r="AI107" s="2257"/>
      <c r="AJ107" s="2230"/>
      <c r="AK107" s="2230"/>
      <c r="AL107" s="3">
        <v>1</v>
      </c>
    </row>
    <row r="108" spans="1:38" ht="21" customHeight="1">
      <c r="A108" s="2230"/>
      <c r="B108" s="6793"/>
      <c r="C108" s="6069" t="str">
        <f>TRIM(SUBSTITUTE(SUBSTITUTE(SUBSTITUTE(SUBSTITUTE(SUBSTITUTE(SUBSTITUTE(SUBSTITUTE(SUBSTITUTE(C107,"("," "),")"," "),CHAR(34)," "),"-"," "),"_"," "),"&lt;"," "),"&gt;"," "),"="," "))</f>
        <v/>
      </c>
      <c r="D108" s="6069" t="str" cm="1">
        <f t="array" ref="D108">IF(ROW()=ROW(D103),C106,INDEX(E103:E116,ROW()-ROW(D103)))</f>
        <v/>
      </c>
      <c r="E108" s="6112" t="str">
        <f>IF(OR(D108="",C105="",C105&lt;=0,F108=""),"",TRIM(MID(D108,LEN(F108)+1+IF(MID(D108,LEN(F108)+1,1)=" ",1,0),99999)))</f>
        <v/>
      </c>
      <c r="F108" s="6069" t="str">
        <f>IF(OR(G108="",G108=0,G108="0"),"",IF(LEN(G108)&lt;=C105,G108,IF(LEN(SUBSTITUTE(H108," ",""))=C105+1,LEFT(G108,C105),LEFT(G108,FIND("§",SUBSTITUTE(H108," ","§",LEN(H108)-LEN(SUBSTITUTE(H108," ",""))))-1))))</f>
        <v/>
      </c>
      <c r="G108" s="6069" t="str">
        <f t="shared" si="11"/>
        <v/>
      </c>
      <c r="H108" s="6069" t="str">
        <f>IF(OR(G108="",G108=0,G108="0"),"",LEFT(G108,C105+1))</f>
        <v/>
      </c>
      <c r="I108" s="6070" t="str">
        <f t="shared" si="12"/>
        <v/>
      </c>
      <c r="J108" s="6071" t="str">
        <f t="shared" si="13"/>
        <v/>
      </c>
      <c r="K108" s="6072" t="str">
        <f>IF(LEN(TRIM(L108))&gt;0,MAX(K46:K107)+1,"")</f>
        <v/>
      </c>
      <c r="L108" s="200"/>
      <c r="M108" s="6116"/>
      <c r="N108" s="6116"/>
      <c r="O108" s="2230"/>
      <c r="P108" s="2252"/>
      <c r="Q108" s="2237"/>
      <c r="R108" s="2237"/>
      <c r="S108" s="2237"/>
      <c r="T108" s="2237"/>
      <c r="U108" s="2240"/>
      <c r="V108" s="2241"/>
      <c r="W108" s="2239"/>
      <c r="X108" s="2242"/>
      <c r="Y108" s="2243"/>
      <c r="Z108" s="2251"/>
      <c r="AA108" s="2244"/>
      <c r="AB108" s="2245"/>
      <c r="AC108" s="2246"/>
      <c r="AD108" s="2247"/>
      <c r="AE108" s="2248"/>
      <c r="AF108" s="2249"/>
      <c r="AG108" s="2249"/>
      <c r="AH108" s="2238"/>
      <c r="AI108" s="2257"/>
      <c r="AJ108" s="2230"/>
      <c r="AK108" s="2230"/>
      <c r="AL108" s="3">
        <v>1</v>
      </c>
    </row>
    <row r="109" spans="1:38" ht="21" customHeight="1">
      <c r="A109" s="2230"/>
      <c r="B109" s="6793"/>
      <c r="C109" s="6074" t="str">
        <f>TRIM(SUBSTITUTE(SUBSTITUTE(SUBSTITUTE(SUBSTITUTE(C108,"►"," "),"▼"," "),"▲"," "),"◄"," "))</f>
        <v/>
      </c>
      <c r="D109" s="6069" t="str" cm="1">
        <f t="array" ref="D109">IF(ROW()=ROW(D103),C106,INDEX(E103:E116,ROW()-ROW(D103)))</f>
        <v/>
      </c>
      <c r="E109" s="6112" t="str">
        <f>IF(OR(D109="",C105="",C105&lt;=0,F109=""),"",TRIM(MID(D109,LEN(F109)+1+IF(MID(D109,LEN(F109)+1,1)=" ",1,0),99999)))</f>
        <v/>
      </c>
      <c r="F109" s="6069" t="str">
        <f>IF(OR(G109="",G109=0,G109="0"),"",IF(LEN(G109)&lt;=C105,G109,IF(LEN(SUBSTITUTE(H109," ",""))=C105+1,LEFT(G109,C105),LEFT(G109,FIND("§",SUBSTITUTE(H109," ","§",LEN(H109)-LEN(SUBSTITUTE(H109," ",""))))-1))))</f>
        <v/>
      </c>
      <c r="G109" s="6069" t="str">
        <f t="shared" si="11"/>
        <v/>
      </c>
      <c r="H109" s="6069" t="str">
        <f>IF(OR(G109="",G109=0,G109="0"),"",LEFT(G109,C105+1))</f>
        <v/>
      </c>
      <c r="I109" s="6070" t="str">
        <f t="shared" si="12"/>
        <v/>
      </c>
      <c r="J109" s="6071" t="str">
        <f t="shared" si="13"/>
        <v/>
      </c>
      <c r="K109" s="6072" t="str">
        <f>IF(LEN(TRIM(L109))&gt;0,MAX(K46:K108)+1,"")</f>
        <v/>
      </c>
      <c r="L109" s="200"/>
      <c r="M109" s="6116"/>
      <c r="N109" s="6116"/>
      <c r="O109" s="2230"/>
      <c r="P109" s="2252"/>
      <c r="Q109" s="2237"/>
      <c r="R109" s="2237"/>
      <c r="S109" s="2237"/>
      <c r="T109" s="2237"/>
      <c r="U109" s="2240"/>
      <c r="V109" s="2241"/>
      <c r="W109" s="2239"/>
      <c r="X109" s="2242"/>
      <c r="Y109" s="2243"/>
      <c r="Z109" s="2251"/>
      <c r="AA109" s="2244"/>
      <c r="AB109" s="2245"/>
      <c r="AC109" s="2246"/>
      <c r="AD109" s="2247"/>
      <c r="AE109" s="2248"/>
      <c r="AF109" s="2249"/>
      <c r="AG109" s="2249"/>
      <c r="AH109" s="2238"/>
      <c r="AI109" s="2257"/>
      <c r="AJ109" s="2230"/>
      <c r="AK109" s="2230"/>
      <c r="AL109" s="3">
        <v>1</v>
      </c>
    </row>
    <row r="110" spans="1:38" ht="21" customHeight="1">
      <c r="A110" s="2230"/>
      <c r="B110" s="6793"/>
      <c r="C110" s="6074" t="str">
        <f>TRIM(SUBSTITUTE(SUBSTITUTE(C109,"“"," "),"”"," "))</f>
        <v/>
      </c>
      <c r="D110" s="6069" t="str" cm="1">
        <f t="array" ref="D110">IF(ROW()=ROW(D103),C106,INDEX(E103:E116,ROW()-ROW(D103)))</f>
        <v/>
      </c>
      <c r="E110" s="6112" t="str">
        <f>IF(OR(D110="",C105="",C105&lt;=0,F110=""),"",TRIM(MID(D110,LEN(F110)+1+IF(MID(D110,LEN(F110)+1,1)=" ",1,0),99999)))</f>
        <v/>
      </c>
      <c r="F110" s="6069" t="str">
        <f>IF(OR(G110="",G110=0,G110="0"),"",IF(LEN(G110)&lt;=C105,G110,IF(LEN(SUBSTITUTE(H110," ",""))=C105+1,LEFT(G110,C105),LEFT(G110,FIND("§",SUBSTITUTE(H110," ","§",LEN(H110)-LEN(SUBSTITUTE(H110," ",""))))-1))))</f>
        <v/>
      </c>
      <c r="G110" s="6069" t="str">
        <f t="shared" si="11"/>
        <v/>
      </c>
      <c r="H110" s="6069" t="str">
        <f>IF(OR(G110="",G110=0,G110="0"),"",LEFT(G110,C105+1))</f>
        <v/>
      </c>
      <c r="I110" s="6070" t="str">
        <f t="shared" si="12"/>
        <v/>
      </c>
      <c r="J110" s="6071" t="str">
        <f t="shared" si="13"/>
        <v/>
      </c>
      <c r="K110" s="6072" t="str">
        <f>IF(LEN(TRIM(L110))&gt;0,MAX(K46:K109)+1,"")</f>
        <v/>
      </c>
      <c r="L110" s="200"/>
      <c r="M110" s="6116"/>
      <c r="N110" s="6116"/>
      <c r="O110" s="2230"/>
      <c r="P110" s="2252"/>
      <c r="Q110" s="2237"/>
      <c r="R110" s="2237"/>
      <c r="S110" s="2237"/>
      <c r="T110" s="2237"/>
      <c r="U110" s="2240"/>
      <c r="V110" s="2241"/>
      <c r="W110" s="2239"/>
      <c r="X110" s="2242"/>
      <c r="Y110" s="2243"/>
      <c r="Z110" s="2251"/>
      <c r="AA110" s="2244"/>
      <c r="AB110" s="2245"/>
      <c r="AC110" s="2246"/>
      <c r="AD110" s="2247"/>
      <c r="AE110" s="2248"/>
      <c r="AF110" s="2249"/>
      <c r="AG110" s="2249"/>
      <c r="AH110" s="2238"/>
      <c r="AI110" s="2257"/>
      <c r="AJ110" s="2230"/>
      <c r="AK110" s="2230"/>
      <c r="AL110" s="3">
        <v>1</v>
      </c>
    </row>
    <row r="111" spans="1:38" ht="21" customHeight="1">
      <c r="A111" s="2230"/>
      <c r="B111" s="6793"/>
      <c r="C111" s="6074"/>
      <c r="D111" s="6069" t="str" cm="1">
        <f t="array" ref="D111">IF(ROW()=ROW(D103),C106,INDEX(E103:E116,ROW()-ROW(D103)))</f>
        <v/>
      </c>
      <c r="E111" s="6112" t="str">
        <f>IF(OR(D111="",C105="",C105&lt;=0,F111=""),"",TRIM(MID(D111,LEN(F111)+1+IF(MID(D111,LEN(F111)+1,1)=" ",1,0),99999)))</f>
        <v/>
      </c>
      <c r="F111" s="6069" t="str">
        <f>IF(OR(G111="",G111=0,G111="0"),"",IF(LEN(G111)&lt;=C105,G111,IF(LEN(SUBSTITUTE(H111," ",""))=C105+1,LEFT(G111,C105),LEFT(G111,FIND("§",SUBSTITUTE(H111," ","§",LEN(H111)-LEN(SUBSTITUTE(H111," ",""))))-1))))</f>
        <v/>
      </c>
      <c r="G111" s="6069" t="str">
        <f t="shared" ref="G111:G174" si="16">IF(OR(D111="",D111=0),"",TRIM(SUBSTITUTE(SUBSTITUTE(D111,CHAR(160)," "),CHAR(10)," ")))</f>
        <v/>
      </c>
      <c r="H111" s="6069" t="str">
        <f>IF(OR(G111="",G111=0,G111="0"),"",LEFT(G111,C105+1))</f>
        <v/>
      </c>
      <c r="I111" s="6070" t="str">
        <f t="shared" ref="I111:I174" si="17">IF(L111="","",(LEN(TRIM(SUBSTITUTE(L111,CHAR(160)," ")))-LEN(SUBSTITUTE(TRIM(SUBSTITUTE(L111,CHAR(160)," "))," ",""))+1)&amp;" mot"&amp;IF((LEN(TRIM(SUBSTITUTE(L111,CHAR(160)," ")))-LEN(SUBSTITUTE(TRIM(SUBSTITUTE(L111,CHAR(160)," "))," ",""))+1)&gt;1,"s",""))</f>
        <v/>
      </c>
      <c r="J111" s="6071" t="str">
        <f t="shared" ref="J111:J174" si="18">IF(L111="","",LEN(TRIM(SUBSTITUTE(L111,CHAR(160),"")))&amp;" car.")</f>
        <v/>
      </c>
      <c r="K111" s="6072" t="str">
        <f>IF(LEN(TRIM(L111))&gt;0,MAX(K46:K110)+1,"")</f>
        <v/>
      </c>
      <c r="L111" s="200"/>
      <c r="M111" s="6116"/>
      <c r="N111" s="6116"/>
      <c r="O111" s="2230"/>
      <c r="P111" s="2252"/>
      <c r="Q111" s="2237"/>
      <c r="R111" s="2237"/>
      <c r="S111" s="2237"/>
      <c r="T111" s="2237"/>
      <c r="U111" s="2240"/>
      <c r="V111" s="2241"/>
      <c r="W111" s="2239"/>
      <c r="X111" s="2242"/>
      <c r="Y111" s="2243"/>
      <c r="Z111" s="2251"/>
      <c r="AA111" s="2244"/>
      <c r="AB111" s="2245"/>
      <c r="AC111" s="2246"/>
      <c r="AD111" s="2247"/>
      <c r="AE111" s="2248"/>
      <c r="AF111" s="2249"/>
      <c r="AG111" s="2249"/>
      <c r="AH111" s="2238"/>
      <c r="AI111" s="2257"/>
      <c r="AJ111" s="2230"/>
      <c r="AK111" s="2230"/>
      <c r="AL111" s="3">
        <v>1</v>
      </c>
    </row>
    <row r="112" spans="1:38" ht="21" customHeight="1">
      <c r="A112" s="2230"/>
      <c r="B112" s="6793"/>
      <c r="C112" s="6074"/>
      <c r="D112" s="6069" t="str" cm="1">
        <f t="array" ref="D112">IF(ROW()=ROW(D103),C106,INDEX(E103:E116,ROW()-ROW(D103)))</f>
        <v/>
      </c>
      <c r="E112" s="6112" t="str">
        <f>IF(OR(D112="",C105="",C105&lt;=0,F112=""),"",TRIM(MID(D112,LEN(F112)+1+IF(MID(D112,LEN(F112)+1,1)=" ",1,0),99999)))</f>
        <v/>
      </c>
      <c r="F112" s="6069" t="str">
        <f>IF(OR(G112="",G112=0,G112="0"),"",IF(LEN(G112)&lt;=C105,G112,IF(LEN(SUBSTITUTE(H112," ",""))=C105+1,LEFT(G112,C105),LEFT(G112,FIND("§",SUBSTITUTE(H112," ","§",LEN(H112)-LEN(SUBSTITUTE(H112," ",""))))-1))))</f>
        <v/>
      </c>
      <c r="G112" s="6069" t="str">
        <f t="shared" si="16"/>
        <v/>
      </c>
      <c r="H112" s="6069" t="str">
        <f>IF(OR(G112="",G112=0,G112="0"),"",LEFT(G112,C105+1))</f>
        <v/>
      </c>
      <c r="I112" s="6070" t="str">
        <f t="shared" si="17"/>
        <v/>
      </c>
      <c r="J112" s="6071" t="str">
        <f t="shared" si="18"/>
        <v/>
      </c>
      <c r="K112" s="6072" t="str">
        <f>IF(LEN(TRIM(L112))&gt;0,MAX(K46:K111)+1,"")</f>
        <v/>
      </c>
      <c r="L112" s="200"/>
      <c r="M112" s="6116"/>
      <c r="N112" s="6116"/>
      <c r="O112" s="2230"/>
      <c r="P112" s="2252"/>
      <c r="Q112" s="2237"/>
      <c r="R112" s="2237"/>
      <c r="S112" s="2237"/>
      <c r="T112" s="2237"/>
      <c r="U112" s="2240"/>
      <c r="V112" s="2241"/>
      <c r="W112" s="2239"/>
      <c r="X112" s="2242"/>
      <c r="Y112" s="2243"/>
      <c r="Z112" s="2251"/>
      <c r="AA112" s="2244"/>
      <c r="AB112" s="2245"/>
      <c r="AC112" s="2246"/>
      <c r="AD112" s="2247"/>
      <c r="AE112" s="2248"/>
      <c r="AF112" s="2249"/>
      <c r="AG112" s="2249"/>
      <c r="AH112" s="2238"/>
      <c r="AI112" s="2257"/>
      <c r="AJ112" s="2230"/>
      <c r="AK112" s="2230"/>
      <c r="AL112" s="3">
        <v>1</v>
      </c>
    </row>
    <row r="113" spans="1:38" ht="21" customHeight="1">
      <c r="A113" s="2230"/>
      <c r="B113" s="6793"/>
      <c r="C113" s="6074"/>
      <c r="D113" s="6069" t="str" cm="1">
        <f t="array" ref="D113">IF(ROW()=ROW(D103),C106,INDEX(E103:E116,ROW()-ROW(D103)))</f>
        <v/>
      </c>
      <c r="E113" s="6112" t="str">
        <f>IF(OR(D113="",C105="",C105&lt;=0,F113=""),"",TRIM(MID(D113,LEN(F113)+1+IF(MID(D113,LEN(F113)+1,1)=" ",1,0),99999)))</f>
        <v/>
      </c>
      <c r="F113" s="6069" t="str">
        <f>IF(OR(G113="",G113=0,G113="0"),"",IF(LEN(G113)&lt;=C105,G113,IF(LEN(SUBSTITUTE(H113," ",""))=C105+1,LEFT(G113,C105),LEFT(G113,FIND("§",SUBSTITUTE(H113," ","§",LEN(H113)-LEN(SUBSTITUTE(H113," ",""))))-1))))</f>
        <v/>
      </c>
      <c r="G113" s="6069" t="str">
        <f t="shared" si="16"/>
        <v/>
      </c>
      <c r="H113" s="6069" t="str">
        <f>IF(OR(G113="",G113=0,G113="0"),"",LEFT(G113,C105+1))</f>
        <v/>
      </c>
      <c r="I113" s="6070" t="str">
        <f t="shared" si="17"/>
        <v/>
      </c>
      <c r="J113" s="6071" t="str">
        <f t="shared" si="18"/>
        <v/>
      </c>
      <c r="K113" s="6072" t="str">
        <f>IF(LEN(TRIM(L113))&gt;0,MAX(K46:K112)+1,"")</f>
        <v/>
      </c>
      <c r="L113" s="200"/>
      <c r="M113" s="6116"/>
      <c r="N113" s="6116"/>
      <c r="O113" s="2230"/>
      <c r="P113" s="2252"/>
      <c r="Q113" s="2237"/>
      <c r="R113" s="2237"/>
      <c r="S113" s="2237"/>
      <c r="T113" s="2237"/>
      <c r="U113" s="2240"/>
      <c r="V113" s="2241"/>
      <c r="W113" s="2239"/>
      <c r="X113" s="2242"/>
      <c r="Y113" s="2243"/>
      <c r="Z113" s="2251"/>
      <c r="AA113" s="2244"/>
      <c r="AB113" s="2245"/>
      <c r="AC113" s="2246"/>
      <c r="AD113" s="2247"/>
      <c r="AE113" s="2248"/>
      <c r="AF113" s="2249"/>
      <c r="AG113" s="2249"/>
      <c r="AH113" s="2238"/>
      <c r="AI113" s="2257"/>
      <c r="AJ113" s="2230"/>
      <c r="AK113" s="2230"/>
      <c r="AL113" s="3">
        <v>1</v>
      </c>
    </row>
    <row r="114" spans="1:38" ht="21" customHeight="1">
      <c r="A114" s="2230"/>
      <c r="B114" s="6793"/>
      <c r="C114" s="6074"/>
      <c r="D114" s="6069" t="str" cm="1">
        <f t="array" ref="D114">IF(ROW()=ROW(D103),C106,INDEX(E103:E116,ROW()-ROW(D103)))</f>
        <v/>
      </c>
      <c r="E114" s="6112" t="str">
        <f>IF(OR(D114="",C105="",C105&lt;=0,F114=""),"",TRIM(MID(D114,LEN(F114)+1+IF(MID(D114,LEN(F114)+1,1)=" ",1,0),99999)))</f>
        <v/>
      </c>
      <c r="F114" s="6069" t="str">
        <f>IF(OR(G114="",G114=0,G114="0"),"",IF(LEN(G114)&lt;=C105,G114,IF(LEN(SUBSTITUTE(H114," ",""))=C105+1,LEFT(G114,C105),LEFT(G114,FIND("§",SUBSTITUTE(H114," ","§",LEN(H114)-LEN(SUBSTITUTE(H114," ",""))))-1))))</f>
        <v/>
      </c>
      <c r="G114" s="6069" t="str">
        <f t="shared" si="16"/>
        <v/>
      </c>
      <c r="H114" s="6069" t="str">
        <f>IF(OR(G114="",G114=0,G114="0"),"",LEFT(G114,C105+1))</f>
        <v/>
      </c>
      <c r="I114" s="6070" t="str">
        <f t="shared" si="17"/>
        <v/>
      </c>
      <c r="J114" s="6071" t="str">
        <f t="shared" si="18"/>
        <v/>
      </c>
      <c r="K114" s="6072" t="str">
        <f>IF(LEN(TRIM(L114))&gt;0,MAX(K46:K113)+1,"")</f>
        <v/>
      </c>
      <c r="L114" s="200"/>
      <c r="M114" s="6116"/>
      <c r="N114" s="6116"/>
      <c r="O114" s="2230"/>
      <c r="P114" s="2252"/>
      <c r="Q114" s="2237"/>
      <c r="R114" s="2237"/>
      <c r="S114" s="2237"/>
      <c r="T114" s="2237"/>
      <c r="U114" s="2240"/>
      <c r="V114" s="2241"/>
      <c r="W114" s="2239"/>
      <c r="X114" s="2242"/>
      <c r="Y114" s="2243"/>
      <c r="Z114" s="2251"/>
      <c r="AA114" s="2244"/>
      <c r="AB114" s="2245"/>
      <c r="AC114" s="2246"/>
      <c r="AD114" s="2247"/>
      <c r="AE114" s="2248"/>
      <c r="AF114" s="2249"/>
      <c r="AG114" s="2249"/>
      <c r="AH114" s="2238"/>
      <c r="AI114" s="2257"/>
      <c r="AJ114" s="2230"/>
      <c r="AK114" s="2230"/>
      <c r="AL114" s="3">
        <v>1</v>
      </c>
    </row>
    <row r="115" spans="1:38" ht="21" customHeight="1">
      <c r="A115" s="2230"/>
      <c r="B115" s="6793"/>
      <c r="C115" s="6074"/>
      <c r="D115" s="6069" t="str" cm="1">
        <f t="array" ref="D115">IF(ROW()=ROW(D103),C106,INDEX(E103:E116,ROW()-ROW(D103)))</f>
        <v/>
      </c>
      <c r="E115" s="6112" t="str">
        <f>IF(OR(D115="",C105="",C105&lt;=0,F115=""),"",TRIM(MID(D115,LEN(F115)+1+IF(MID(D115,LEN(F115)+1,1)=" ",1,0),99999)))</f>
        <v/>
      </c>
      <c r="F115" s="6069" t="str">
        <f>IF(OR(G115="",G115=0,G115="0"),"",IF(LEN(G115)&lt;=C105,G115,IF(LEN(SUBSTITUTE(H115," ",""))=C105+1,LEFT(G115,C105),LEFT(G115,FIND("§",SUBSTITUTE(H115," ","§",LEN(H115)-LEN(SUBSTITUTE(H115," ",""))))-1))))</f>
        <v/>
      </c>
      <c r="G115" s="6069" t="str">
        <f t="shared" si="16"/>
        <v/>
      </c>
      <c r="H115" s="6069" t="str">
        <f>IF(OR(G115="",G115=0,G115="0"),"",LEFT(G115,C105+1))</f>
        <v/>
      </c>
      <c r="I115" s="6070" t="str">
        <f t="shared" si="17"/>
        <v/>
      </c>
      <c r="J115" s="6071" t="str">
        <f t="shared" si="18"/>
        <v/>
      </c>
      <c r="K115" s="6072" t="str">
        <f>IF(LEN(TRIM(L115))&gt;0,MAX(K46:K114)+1,"")</f>
        <v/>
      </c>
      <c r="L115" s="200"/>
      <c r="M115" s="6116"/>
      <c r="N115" s="6116"/>
      <c r="O115" s="2230"/>
      <c r="P115" s="2252"/>
      <c r="Q115" s="2237"/>
      <c r="R115" s="2237"/>
      <c r="S115" s="2237"/>
      <c r="T115" s="2237"/>
      <c r="U115" s="2240"/>
      <c r="V115" s="2241"/>
      <c r="W115" s="2239"/>
      <c r="X115" s="2242"/>
      <c r="Y115" s="2243"/>
      <c r="Z115" s="2251"/>
      <c r="AA115" s="2244"/>
      <c r="AB115" s="2245"/>
      <c r="AC115" s="2246"/>
      <c r="AD115" s="2247"/>
      <c r="AE115" s="2248"/>
      <c r="AF115" s="2249"/>
      <c r="AG115" s="2249"/>
      <c r="AH115" s="2238"/>
      <c r="AI115" s="2257"/>
      <c r="AJ115" s="2230"/>
      <c r="AK115" s="2230"/>
      <c r="AL115" s="3">
        <v>1</v>
      </c>
    </row>
    <row r="116" spans="1:38" ht="21" customHeight="1">
      <c r="A116" s="2230"/>
      <c r="B116" s="6793"/>
      <c r="C116" s="6074"/>
      <c r="D116" s="6069" t="str" cm="1">
        <f t="array" ref="D116">IF(ROW()=ROW(D103),C106,INDEX(E103:E116,ROW()-ROW(D103)))</f>
        <v/>
      </c>
      <c r="E116" s="6112" t="str">
        <f>IF(OR(D116="",C105="",C105&lt;=0,F116=""),"",TRIM(MID(D116,LEN(F116)+1+IF(MID(D116,LEN(F116)+1,1)=" ",1,0),99999)))</f>
        <v/>
      </c>
      <c r="F116" s="6069" t="str">
        <f>IF(OR(G116="",G116=0,G116="0"),"",IF(LEN(G116)&lt;=C105,G116,IF(LEN(SUBSTITUTE(H116," ",""))=C105+1,LEFT(G116,C105),LEFT(G116,FIND("§",SUBSTITUTE(H116," ","§",LEN(H116)-LEN(SUBSTITUTE(H116," ",""))))-1))))</f>
        <v/>
      </c>
      <c r="G116" s="6069" t="str">
        <f t="shared" si="16"/>
        <v/>
      </c>
      <c r="H116" s="6069" t="str">
        <f>IF(OR(G116="",G116=0,G116="0"),"",LEFT(G116,C105+1))</f>
        <v/>
      </c>
      <c r="I116" s="6070" t="str">
        <f t="shared" si="17"/>
        <v/>
      </c>
      <c r="J116" s="6071" t="str">
        <f t="shared" si="18"/>
        <v/>
      </c>
      <c r="K116" s="6072" t="str">
        <f>IF(LEN(TRIM(L116))&gt;0,MAX(K46:K115)+1,"")</f>
        <v/>
      </c>
      <c r="L116" s="200"/>
      <c r="M116" s="6116"/>
      <c r="N116" s="6116"/>
      <c r="O116" s="2230"/>
      <c r="P116" s="2252"/>
      <c r="Q116" s="2237"/>
      <c r="R116" s="2237"/>
      <c r="S116" s="2237"/>
      <c r="T116" s="2237"/>
      <c r="U116" s="2240"/>
      <c r="V116" s="2241"/>
      <c r="W116" s="2239"/>
      <c r="X116" s="2242"/>
      <c r="Y116" s="2243"/>
      <c r="Z116" s="2251"/>
      <c r="AA116" s="2244"/>
      <c r="AB116" s="2245"/>
      <c r="AC116" s="2246"/>
      <c r="AD116" s="2247"/>
      <c r="AE116" s="2248"/>
      <c r="AF116" s="2249"/>
      <c r="AG116" s="2249"/>
      <c r="AH116" s="2238"/>
      <c r="AI116" s="2257"/>
      <c r="AJ116" s="2230"/>
      <c r="AK116" s="2230"/>
      <c r="AL116" s="3">
        <v>1</v>
      </c>
    </row>
    <row r="117" spans="1:38" ht="21" customHeight="1">
      <c r="A117" s="2230"/>
      <c r="B117" s="6793"/>
      <c r="C117" s="6068" t="str">
        <f>IF(TRIM(SUBSTITUTE(M52,CHAR(160),""))="","",M52)</f>
        <v/>
      </c>
      <c r="D117" s="6069" t="str" cm="1">
        <f t="array" ref="D117">IF(ROW()=ROW(D117),C120,INDEX(E117:E130,ROW()-ROW(D117)))</f>
        <v/>
      </c>
      <c r="E117" s="6112" t="str">
        <f>IF(OR(D117="",C119="",C119&lt;=0,F117=""),"",TRIM(MID(D117,LEN(F117)+1+IF(MID(D117,LEN(F117)+1,1)=" ",1,0),99999)))</f>
        <v/>
      </c>
      <c r="F117" s="6069" t="str">
        <f>IF(OR(G117="",G117=0,G117="0"),"",IF(LEN(G117)&lt;=C119,G117,IF(LEN(SUBSTITUTE(H117," ",""))=C119+1,LEFT(G117,C119),LEFT(G117,FIND("§",SUBSTITUTE(H117," ","§",LEN(H117)-LEN(SUBSTITUTE(H117," ",""))))-1))))</f>
        <v/>
      </c>
      <c r="G117" s="6069" t="str">
        <f t="shared" si="16"/>
        <v/>
      </c>
      <c r="H117" s="6069" t="str">
        <f>IF(OR(G117="",G117=0,G117="0"),"",LEFT(G117,C119+1))</f>
        <v/>
      </c>
      <c r="I117" s="6070" t="str">
        <f t="shared" si="17"/>
        <v/>
      </c>
      <c r="J117" s="6071" t="str">
        <f t="shared" si="18"/>
        <v/>
      </c>
      <c r="K117" s="6072" t="str">
        <f>IF(LEN(TRIM(L117))&gt;0,MAX(K46:K116)+1,"")</f>
        <v/>
      </c>
      <c r="L117" s="200"/>
      <c r="M117" s="6116"/>
      <c r="N117" s="6116"/>
      <c r="O117" s="2230"/>
      <c r="P117" s="2252"/>
      <c r="Q117" s="2237"/>
      <c r="R117" s="2237"/>
      <c r="S117" s="2237"/>
      <c r="T117" s="2237"/>
      <c r="U117" s="2240"/>
      <c r="V117" s="2241"/>
      <c r="W117" s="2239"/>
      <c r="X117" s="2242"/>
      <c r="Y117" s="2243"/>
      <c r="Z117" s="2251"/>
      <c r="AA117" s="2244"/>
      <c r="AB117" s="2245"/>
      <c r="AC117" s="2246"/>
      <c r="AD117" s="2247"/>
      <c r="AE117" s="2248"/>
      <c r="AF117" s="2249"/>
      <c r="AG117" s="2249"/>
      <c r="AH117" s="2238"/>
      <c r="AI117" s="2257"/>
      <c r="AJ117" s="2230"/>
      <c r="AK117" s="2230"/>
      <c r="AL117" s="3">
        <v>1</v>
      </c>
    </row>
    <row r="118" spans="1:38" ht="21" customHeight="1">
      <c r="A118" s="2230"/>
      <c r="B118" s="6793"/>
      <c r="C118" s="6074" t="str">
        <f>TRIM(SUBSTITUTE(SUBSTITUTE(SUBSTITUTE(SUBSTITUTE(IF(OR(LEFT(C117,1)="-",LEFT(C117,1)="="),MID(C117,2,99999),C117),CHAR(160)," "),CHAR(9)," "),CHAR(13)&amp;CHAR(10)," "),CHAR(10)," "))</f>
        <v/>
      </c>
      <c r="D118" s="6069" t="str" cm="1">
        <f t="array" ref="D118">IF(ROW()=ROW(D117),C120,INDEX(E117:E130,ROW()-ROW(D117)))</f>
        <v/>
      </c>
      <c r="E118" s="6112" t="str">
        <f>IF(OR(D118="",C119="",C119&lt;=0,F118=""),"",TRIM(MID(D118,LEN(F118)+1+IF(MID(D118,LEN(F118)+1,1)=" ",1,0),99999)))</f>
        <v/>
      </c>
      <c r="F118" s="6069" t="str">
        <f>IF(OR(G118="",G118=0,G118="0"),"",IF(LEN(G118)&lt;=C119,G118,IF(LEN(SUBSTITUTE(H118," ",""))=C119+1,LEFT(G118,C119),LEFT(G118,FIND("§",SUBSTITUTE(H118," ","§",LEN(H118)-LEN(SUBSTITUTE(H118," ",""))))-1))))</f>
        <v/>
      </c>
      <c r="G118" s="6069" t="str">
        <f t="shared" si="16"/>
        <v/>
      </c>
      <c r="H118" s="6069" t="str">
        <f>IF(OR(G118="",G118=0,G118="0"),"",LEFT(G118,C119+1))</f>
        <v/>
      </c>
      <c r="I118" s="6070" t="str">
        <f t="shared" si="17"/>
        <v/>
      </c>
      <c r="J118" s="6071" t="str">
        <f t="shared" si="18"/>
        <v/>
      </c>
      <c r="K118" s="6072" t="str">
        <f>IF(LEN(TRIM(L118))&gt;0,MAX(K46:K117)+1,"")</f>
        <v/>
      </c>
      <c r="L118" s="200"/>
      <c r="M118" s="6116"/>
      <c r="N118" s="6116"/>
      <c r="O118" s="2230"/>
      <c r="P118" s="2252"/>
      <c r="Q118" s="2237"/>
      <c r="R118" s="2237"/>
      <c r="S118" s="2237"/>
      <c r="T118" s="2237"/>
      <c r="U118" s="2240"/>
      <c r="V118" s="2241"/>
      <c r="W118" s="2239"/>
      <c r="X118" s="2242"/>
      <c r="Y118" s="2243"/>
      <c r="Z118" s="2251"/>
      <c r="AA118" s="2244"/>
      <c r="AB118" s="2245"/>
      <c r="AC118" s="2246"/>
      <c r="AD118" s="2247"/>
      <c r="AE118" s="2248"/>
      <c r="AF118" s="2249"/>
      <c r="AG118" s="2249"/>
      <c r="AH118" s="2238"/>
      <c r="AI118" s="2257"/>
      <c r="AJ118" s="2230"/>
      <c r="AK118" s="2230"/>
      <c r="AL118" s="3">
        <v>1</v>
      </c>
    </row>
    <row r="119" spans="1:38" ht="21" customHeight="1">
      <c r="A119" s="2230"/>
      <c r="B119" s="6793"/>
      <c r="C119" s="6075">
        <f>M44</f>
        <v>120</v>
      </c>
      <c r="D119" s="6069" t="str" cm="1">
        <f t="array" ref="D119">IF(ROW()=ROW(D117),C120,INDEX(E117:E130,ROW()-ROW(D117)))</f>
        <v/>
      </c>
      <c r="E119" s="6112" t="str">
        <f>IF(OR(D119="",C119="",C119&lt;=0,F119=""),"",TRIM(MID(D119,LEN(F119)+1+IF(MID(D119,LEN(F119)+1,1)=" ",1,0),99999)))</f>
        <v/>
      </c>
      <c r="F119" s="6069" t="str">
        <f>IF(OR(G119="",G119=0,G119="0"),"",IF(LEN(G119)&lt;=C119,G119,IF(LEN(SUBSTITUTE(H119," ",""))=C119+1,LEFT(G119,C119),LEFT(G119,FIND("§",SUBSTITUTE(H119," ","§",LEN(H119)-LEN(SUBSTITUTE(H119," ",""))))-1))))</f>
        <v/>
      </c>
      <c r="G119" s="6069" t="str">
        <f t="shared" si="16"/>
        <v/>
      </c>
      <c r="H119" s="6069" t="str">
        <f>IF(OR(G119="",G119=0,G119="0"),"",LEFT(G119,C119+1))</f>
        <v/>
      </c>
      <c r="I119" s="6070" t="str">
        <f t="shared" si="17"/>
        <v/>
      </c>
      <c r="J119" s="6071" t="str">
        <f t="shared" si="18"/>
        <v/>
      </c>
      <c r="K119" s="6072" t="str">
        <f>IF(LEN(TRIM(L119))&gt;0,MAX(K46:K118)+1,"")</f>
        <v/>
      </c>
      <c r="L119" s="200"/>
      <c r="M119" s="6116"/>
      <c r="N119" s="6116"/>
      <c r="O119" s="2230"/>
      <c r="P119" s="2252"/>
      <c r="Q119" s="2237"/>
      <c r="R119" s="2237"/>
      <c r="S119" s="2237"/>
      <c r="T119" s="2237"/>
      <c r="U119" s="2240"/>
      <c r="V119" s="2241"/>
      <c r="W119" s="2239"/>
      <c r="X119" s="2242"/>
      <c r="Y119" s="2243"/>
      <c r="Z119" s="2251"/>
      <c r="AA119" s="2244"/>
      <c r="AB119" s="2245"/>
      <c r="AC119" s="2246"/>
      <c r="AD119" s="2247"/>
      <c r="AE119" s="2248"/>
      <c r="AF119" s="2249"/>
      <c r="AG119" s="2249"/>
      <c r="AH119" s="2238"/>
      <c r="AI119" s="2257"/>
      <c r="AJ119" s="2230"/>
      <c r="AK119" s="2230"/>
      <c r="AL119" s="3">
        <v>1</v>
      </c>
    </row>
    <row r="120" spans="1:38" ht="21" customHeight="1">
      <c r="A120" s="2230"/>
      <c r="B120" s="6793"/>
      <c r="C120" s="6074" t="str">
        <f>IF(UPPER(TRIM(C45))="X",C124,C118)</f>
        <v/>
      </c>
      <c r="D120" s="6069" t="str" cm="1">
        <f t="array" ref="D120">IF(ROW()=ROW(D117),C120,INDEX(E117:E130,ROW()-ROW(D117)))</f>
        <v/>
      </c>
      <c r="E120" s="6112" t="str">
        <f>IF(OR(D120="",C119="",C119&lt;=0,F120=""),"",TRIM(MID(D120,LEN(F120)+1+IF(MID(D120,LEN(F120)+1,1)=" ",1,0),99999)))</f>
        <v/>
      </c>
      <c r="F120" s="6069" t="str">
        <f>IF(OR(G120="",G120=0,G120="0"),"",IF(LEN(G120)&lt;=C119,G120,IF(LEN(SUBSTITUTE(H120," ",""))=C119+1,LEFT(G120,C119),LEFT(G120,FIND("§",SUBSTITUTE(H120," ","§",LEN(H120)-LEN(SUBSTITUTE(H120," ",""))))-1))))</f>
        <v/>
      </c>
      <c r="G120" s="6069" t="str">
        <f t="shared" si="16"/>
        <v/>
      </c>
      <c r="H120" s="6069" t="str">
        <f>IF(OR(G120="",G120=0,G120="0"),"",LEFT(G120,C119+1))</f>
        <v/>
      </c>
      <c r="I120" s="6070" t="str">
        <f t="shared" si="17"/>
        <v/>
      </c>
      <c r="J120" s="6071" t="str">
        <f t="shared" si="18"/>
        <v/>
      </c>
      <c r="K120" s="6072" t="str">
        <f>IF(LEN(TRIM(L120))&gt;0,MAX(K46:K119)+1,"")</f>
        <v/>
      </c>
      <c r="L120" s="200"/>
      <c r="M120" s="6116"/>
      <c r="N120" s="6116"/>
      <c r="O120" s="2230"/>
      <c r="P120" s="2252"/>
      <c r="Q120" s="2237"/>
      <c r="R120" s="2237"/>
      <c r="S120" s="2237"/>
      <c r="T120" s="2237"/>
      <c r="U120" s="2240"/>
      <c r="V120" s="2241"/>
      <c r="W120" s="2239"/>
      <c r="X120" s="2242"/>
      <c r="Y120" s="2243"/>
      <c r="Z120" s="2251"/>
      <c r="AA120" s="2244"/>
      <c r="AB120" s="2245"/>
      <c r="AC120" s="2246"/>
      <c r="AD120" s="2247"/>
      <c r="AE120" s="2248"/>
      <c r="AF120" s="2249"/>
      <c r="AG120" s="2249"/>
      <c r="AH120" s="2238"/>
      <c r="AI120" s="2257"/>
      <c r="AJ120" s="2230"/>
      <c r="AK120" s="2230"/>
      <c r="AL120" s="3">
        <v>1</v>
      </c>
    </row>
    <row r="121" spans="1:38" ht="21" customHeight="1">
      <c r="A121" s="2230"/>
      <c r="B121" s="6793"/>
      <c r="C121" s="6074" t="str">
        <f>TRIM(SUBSTITUTE(SUBSTITUTE(SUBSTITUTE(SUBSTITUTE(SUBSTITUTE(SUBSTITUTE(SUBSTITUTE(SUBSTITUTE(SUBSTITUTE(SUBSTITUTE(C118,","," "),";"," "),":"," "),"!"," "),"?"," "),"…"," "),"»"," "),"«"," "),"/"," "),"."," "))</f>
        <v/>
      </c>
      <c r="D121" s="6069" t="str" cm="1">
        <f t="array" ref="D121">IF(ROW()=ROW(D117),C120,INDEX(E117:E130,ROW()-ROW(D117)))</f>
        <v/>
      </c>
      <c r="E121" s="6112" t="str">
        <f>IF(OR(D121="",C119="",C119&lt;=0,F121=""),"",TRIM(MID(D121,LEN(F121)+1+IF(MID(D121,LEN(F121)+1,1)=" ",1,0),99999)))</f>
        <v/>
      </c>
      <c r="F121" s="6069" t="str">
        <f>IF(OR(G121="",G121=0,G121="0"),"",IF(LEN(G121)&lt;=C119,G121,IF(LEN(SUBSTITUTE(H121," ",""))=C119+1,LEFT(G121,C119),LEFT(G121,FIND("§",SUBSTITUTE(H121," ","§",LEN(H121)-LEN(SUBSTITUTE(H121," ",""))))-1))))</f>
        <v/>
      </c>
      <c r="G121" s="6069" t="str">
        <f t="shared" si="16"/>
        <v/>
      </c>
      <c r="H121" s="6069" t="str">
        <f>IF(OR(G121="",G121=0,G121="0"),"",LEFT(G121,C119+1))</f>
        <v/>
      </c>
      <c r="I121" s="6070" t="str">
        <f t="shared" si="17"/>
        <v/>
      </c>
      <c r="J121" s="6071" t="str">
        <f t="shared" si="18"/>
        <v/>
      </c>
      <c r="K121" s="6072" t="str">
        <f>IF(LEN(TRIM(L121))&gt;0,MAX(K46:K120)+1,"")</f>
        <v/>
      </c>
      <c r="L121" s="200"/>
      <c r="M121" s="6116"/>
      <c r="N121" s="6116"/>
      <c r="O121" s="2230"/>
      <c r="P121" s="2252"/>
      <c r="Q121" s="2237"/>
      <c r="R121" s="2237"/>
      <c r="S121" s="2237"/>
      <c r="T121" s="2237"/>
      <c r="U121" s="2240"/>
      <c r="V121" s="2241"/>
      <c r="W121" s="2239"/>
      <c r="X121" s="2242"/>
      <c r="Y121" s="2243"/>
      <c r="Z121" s="2251"/>
      <c r="AA121" s="2244"/>
      <c r="AB121" s="2245"/>
      <c r="AC121" s="2246"/>
      <c r="AD121" s="2247"/>
      <c r="AE121" s="2248"/>
      <c r="AF121" s="2249"/>
      <c r="AG121" s="2249"/>
      <c r="AH121" s="2238"/>
      <c r="AI121" s="2257"/>
      <c r="AJ121" s="2230"/>
      <c r="AK121" s="2230"/>
      <c r="AL121" s="3">
        <v>1</v>
      </c>
    </row>
    <row r="122" spans="1:38" ht="21" customHeight="1">
      <c r="A122" s="2230"/>
      <c r="B122" s="6793"/>
      <c r="C122" s="6069" t="str">
        <f>TRIM(SUBSTITUTE(SUBSTITUTE(SUBSTITUTE(SUBSTITUTE(SUBSTITUTE(SUBSTITUTE(SUBSTITUTE(SUBSTITUTE(C121,"("," "),")"," "),CHAR(34)," "),"-"," "),"_"," "),"&lt;"," "),"&gt;"," "),"="," "))</f>
        <v/>
      </c>
      <c r="D122" s="6069" t="str" cm="1">
        <f t="array" ref="D122">IF(ROW()=ROW(D117),C120,INDEX(E117:E130,ROW()-ROW(D117)))</f>
        <v/>
      </c>
      <c r="E122" s="6112" t="str">
        <f>IF(OR(D122="",C119="",C119&lt;=0,F122=""),"",TRIM(MID(D122,LEN(F122)+1+IF(MID(D122,LEN(F122)+1,1)=" ",1,0),99999)))</f>
        <v/>
      </c>
      <c r="F122" s="6069" t="str">
        <f>IF(OR(G122="",G122=0,G122="0"),"",IF(LEN(G122)&lt;=C119,G122,IF(LEN(SUBSTITUTE(H122," ",""))=C119+1,LEFT(G122,C119),LEFT(G122,FIND("§",SUBSTITUTE(H122," ","§",LEN(H122)-LEN(SUBSTITUTE(H122," ",""))))-1))))</f>
        <v/>
      </c>
      <c r="G122" s="6069" t="str">
        <f t="shared" si="16"/>
        <v/>
      </c>
      <c r="H122" s="6069" t="str">
        <f>IF(OR(G122="",G122=0,G122="0"),"",LEFT(G122,C119+1))</f>
        <v/>
      </c>
      <c r="I122" s="6070" t="str">
        <f t="shared" si="17"/>
        <v/>
      </c>
      <c r="J122" s="6071" t="str">
        <f t="shared" si="18"/>
        <v/>
      </c>
      <c r="K122" s="6072" t="str">
        <f>IF(LEN(TRIM(L122))&gt;0,MAX(K46:K121)+1,"")</f>
        <v/>
      </c>
      <c r="L122" s="200"/>
      <c r="M122" s="6116"/>
      <c r="N122" s="6116"/>
      <c r="O122" s="2230"/>
      <c r="P122" s="2252"/>
      <c r="Q122" s="2237"/>
      <c r="R122" s="2237"/>
      <c r="S122" s="2237"/>
      <c r="T122" s="2237"/>
      <c r="U122" s="2240"/>
      <c r="V122" s="2241"/>
      <c r="W122" s="2239"/>
      <c r="X122" s="2242"/>
      <c r="Y122" s="2243"/>
      <c r="Z122" s="2251"/>
      <c r="AA122" s="2244"/>
      <c r="AB122" s="2245"/>
      <c r="AC122" s="2246"/>
      <c r="AD122" s="2247"/>
      <c r="AE122" s="2248"/>
      <c r="AF122" s="2249"/>
      <c r="AG122" s="2249"/>
      <c r="AH122" s="2238"/>
      <c r="AI122" s="2257"/>
      <c r="AJ122" s="2230"/>
      <c r="AK122" s="2230"/>
      <c r="AL122" s="3">
        <v>1</v>
      </c>
    </row>
    <row r="123" spans="1:38" ht="21" customHeight="1">
      <c r="A123" s="2230"/>
      <c r="B123" s="6793"/>
      <c r="C123" s="6074" t="str">
        <f>TRIM(SUBSTITUTE(SUBSTITUTE(SUBSTITUTE(SUBSTITUTE(C122,"►"," "),"▼"," "),"▲"," "),"◄"," "))</f>
        <v/>
      </c>
      <c r="D123" s="6069" t="str" cm="1">
        <f t="array" ref="D123">IF(ROW()=ROW(D117),C120,INDEX(E117:E130,ROW()-ROW(D117)))</f>
        <v/>
      </c>
      <c r="E123" s="6112" t="str">
        <f>IF(OR(D123="",C119="",C119&lt;=0,F123=""),"",TRIM(MID(D123,LEN(F123)+1+IF(MID(D123,LEN(F123)+1,1)=" ",1,0),99999)))</f>
        <v/>
      </c>
      <c r="F123" s="6069" t="str">
        <f>IF(OR(G123="",G123=0,G123="0"),"",IF(LEN(G123)&lt;=C119,G123,IF(LEN(SUBSTITUTE(H123," ",""))=C119+1,LEFT(G123,C119),LEFT(G123,FIND("§",SUBSTITUTE(H123," ","§",LEN(H123)-LEN(SUBSTITUTE(H123," ",""))))-1))))</f>
        <v/>
      </c>
      <c r="G123" s="6069" t="str">
        <f t="shared" si="16"/>
        <v/>
      </c>
      <c r="H123" s="6069" t="str">
        <f>IF(OR(G123="",G123=0,G123="0"),"",LEFT(G123,C119+1))</f>
        <v/>
      </c>
      <c r="I123" s="6070" t="str">
        <f t="shared" si="17"/>
        <v/>
      </c>
      <c r="J123" s="6071" t="str">
        <f t="shared" si="18"/>
        <v/>
      </c>
      <c r="K123" s="6072" t="str">
        <f>IF(LEN(TRIM(L123))&gt;0,MAX(K46:K122)+1,"")</f>
        <v/>
      </c>
      <c r="L123" s="200"/>
      <c r="M123" s="6116"/>
      <c r="N123" s="6116"/>
      <c r="O123" s="2230"/>
      <c r="P123" s="2252"/>
      <c r="Q123" s="2237"/>
      <c r="R123" s="2237"/>
      <c r="S123" s="2237"/>
      <c r="T123" s="2237"/>
      <c r="U123" s="2240"/>
      <c r="V123" s="2241"/>
      <c r="W123" s="2239"/>
      <c r="X123" s="2242"/>
      <c r="Y123" s="2243"/>
      <c r="Z123" s="2251"/>
      <c r="AA123" s="2244"/>
      <c r="AB123" s="2245"/>
      <c r="AC123" s="2246"/>
      <c r="AD123" s="2247"/>
      <c r="AE123" s="2248"/>
      <c r="AF123" s="2249"/>
      <c r="AG123" s="2249"/>
      <c r="AH123" s="2238"/>
      <c r="AI123" s="2257"/>
      <c r="AJ123" s="2230"/>
      <c r="AK123" s="2230"/>
      <c r="AL123" s="3">
        <v>1</v>
      </c>
    </row>
    <row r="124" spans="1:38" ht="21" customHeight="1">
      <c r="A124" s="2230"/>
      <c r="B124" s="6793"/>
      <c r="C124" s="6074" t="str">
        <f>TRIM(SUBSTITUTE(SUBSTITUTE(C123,"“"," "),"”"," "))</f>
        <v/>
      </c>
      <c r="D124" s="6069" t="str" cm="1">
        <f t="array" ref="D124">IF(ROW()=ROW(D117),C120,INDEX(E117:E130,ROW()-ROW(D117)))</f>
        <v/>
      </c>
      <c r="E124" s="6112" t="str">
        <f>IF(OR(D124="",C119="",C119&lt;=0,F124=""),"",TRIM(MID(D124,LEN(F124)+1+IF(MID(D124,LEN(F124)+1,1)=" ",1,0),99999)))</f>
        <v/>
      </c>
      <c r="F124" s="6069" t="str">
        <f>IF(OR(G124="",G124=0,G124="0"),"",IF(LEN(G124)&lt;=C119,G124,IF(LEN(SUBSTITUTE(H124," ",""))=C119+1,LEFT(G124,C119),LEFT(G124,FIND("§",SUBSTITUTE(H124," ","§",LEN(H124)-LEN(SUBSTITUTE(H124," ",""))))-1))))</f>
        <v/>
      </c>
      <c r="G124" s="6069" t="str">
        <f t="shared" si="16"/>
        <v/>
      </c>
      <c r="H124" s="6069" t="str">
        <f>IF(OR(G124="",G124=0,G124="0"),"",LEFT(G124,C119+1))</f>
        <v/>
      </c>
      <c r="I124" s="6070" t="str">
        <f t="shared" si="17"/>
        <v/>
      </c>
      <c r="J124" s="6071" t="str">
        <f t="shared" si="18"/>
        <v/>
      </c>
      <c r="K124" s="6072" t="str">
        <f>IF(LEN(TRIM(L124))&gt;0,MAX(K46:K123)+1,"")</f>
        <v/>
      </c>
      <c r="L124" s="200"/>
      <c r="M124" s="6116"/>
      <c r="N124" s="6116"/>
      <c r="O124" s="2230"/>
      <c r="P124" s="2252"/>
      <c r="Q124" s="2237"/>
      <c r="R124" s="2237"/>
      <c r="S124" s="2237"/>
      <c r="T124" s="2237"/>
      <c r="U124" s="2240"/>
      <c r="V124" s="2241"/>
      <c r="W124" s="2239"/>
      <c r="X124" s="2242"/>
      <c r="Y124" s="2243"/>
      <c r="Z124" s="2251"/>
      <c r="AA124" s="2244"/>
      <c r="AB124" s="2245"/>
      <c r="AC124" s="2246"/>
      <c r="AD124" s="2247"/>
      <c r="AE124" s="2248"/>
      <c r="AF124" s="2249"/>
      <c r="AG124" s="2249"/>
      <c r="AH124" s="2238"/>
      <c r="AI124" s="2257"/>
      <c r="AJ124" s="2230"/>
      <c r="AK124" s="2230"/>
      <c r="AL124" s="3">
        <v>1</v>
      </c>
    </row>
    <row r="125" spans="1:38" ht="21" customHeight="1">
      <c r="A125" s="2230"/>
      <c r="B125" s="6793"/>
      <c r="C125" s="6074"/>
      <c r="D125" s="6069" t="str" cm="1">
        <f t="array" ref="D125">IF(ROW()=ROW(D117),C120,INDEX(E117:E130,ROW()-ROW(D117)))</f>
        <v/>
      </c>
      <c r="E125" s="6112" t="str">
        <f>IF(OR(D125="",C119="",C119&lt;=0,F125=""),"",TRIM(MID(D125,LEN(F125)+1+IF(MID(D125,LEN(F125)+1,1)=" ",1,0),99999)))</f>
        <v/>
      </c>
      <c r="F125" s="6069" t="str">
        <f>IF(OR(G125="",G125=0,G125="0"),"",IF(LEN(G125)&lt;=C119,G125,IF(LEN(SUBSTITUTE(H125," ",""))=C119+1,LEFT(G125,C119),LEFT(G125,FIND("§",SUBSTITUTE(H125," ","§",LEN(H125)-LEN(SUBSTITUTE(H125," ",""))))-1))))</f>
        <v/>
      </c>
      <c r="G125" s="6069" t="str">
        <f t="shared" si="16"/>
        <v/>
      </c>
      <c r="H125" s="6069" t="str">
        <f>IF(OR(G125="",G125=0,G125="0"),"",LEFT(G125,C119+1))</f>
        <v/>
      </c>
      <c r="I125" s="6070" t="str">
        <f t="shared" si="17"/>
        <v/>
      </c>
      <c r="J125" s="6071" t="str">
        <f t="shared" si="18"/>
        <v/>
      </c>
      <c r="K125" s="6072" t="str">
        <f>IF(LEN(TRIM(L125))&gt;0,MAX(K46:K124)+1,"")</f>
        <v/>
      </c>
      <c r="L125" s="200"/>
      <c r="M125" s="6116"/>
      <c r="N125" s="6116"/>
      <c r="O125" s="2230"/>
      <c r="P125" s="2252"/>
      <c r="Q125" s="2237"/>
      <c r="R125" s="2237"/>
      <c r="S125" s="2237"/>
      <c r="T125" s="2237"/>
      <c r="U125" s="2240"/>
      <c r="V125" s="2241"/>
      <c r="W125" s="2239"/>
      <c r="X125" s="2242"/>
      <c r="Y125" s="2243"/>
      <c r="Z125" s="2251"/>
      <c r="AA125" s="2244"/>
      <c r="AB125" s="2245"/>
      <c r="AC125" s="2246"/>
      <c r="AD125" s="2247"/>
      <c r="AE125" s="2248"/>
      <c r="AF125" s="2249"/>
      <c r="AG125" s="2249"/>
      <c r="AH125" s="2238"/>
      <c r="AI125" s="2257"/>
      <c r="AJ125" s="2230"/>
      <c r="AK125" s="2230"/>
      <c r="AL125" s="3">
        <v>1</v>
      </c>
    </row>
    <row r="126" spans="1:38" ht="21" customHeight="1">
      <c r="A126" s="2230"/>
      <c r="B126" s="6793"/>
      <c r="C126" s="6074"/>
      <c r="D126" s="6069" t="str" cm="1">
        <f t="array" ref="D126">IF(ROW()=ROW(D117),C120,INDEX(E117:E130,ROW()-ROW(D117)))</f>
        <v/>
      </c>
      <c r="E126" s="6112" t="str">
        <f>IF(OR(D126="",C119="",C119&lt;=0,F126=""),"",TRIM(MID(D126,LEN(F126)+1+IF(MID(D126,LEN(F126)+1,1)=" ",1,0),99999)))</f>
        <v/>
      </c>
      <c r="F126" s="6069" t="str">
        <f>IF(OR(G126="",G126=0,G126="0"),"",IF(LEN(G126)&lt;=C119,G126,IF(LEN(SUBSTITUTE(H126," ",""))=C119+1,LEFT(G126,C119),LEFT(G126,FIND("§",SUBSTITUTE(H126," ","§",LEN(H126)-LEN(SUBSTITUTE(H126," ",""))))-1))))</f>
        <v/>
      </c>
      <c r="G126" s="6069" t="str">
        <f t="shared" si="16"/>
        <v/>
      </c>
      <c r="H126" s="6069" t="str">
        <f>IF(OR(G126="",G126=0,G126="0"),"",LEFT(G126,C119+1))</f>
        <v/>
      </c>
      <c r="I126" s="6070" t="str">
        <f t="shared" si="17"/>
        <v/>
      </c>
      <c r="J126" s="6071" t="str">
        <f t="shared" si="18"/>
        <v/>
      </c>
      <c r="K126" s="6072" t="str">
        <f>IF(LEN(TRIM(L126))&gt;0,MAX(K46:K125)+1,"")</f>
        <v/>
      </c>
      <c r="L126" s="200"/>
      <c r="M126" s="6116"/>
      <c r="N126" s="6116"/>
      <c r="O126" s="2230"/>
      <c r="P126" s="2252"/>
      <c r="Q126" s="2237"/>
      <c r="R126" s="2237"/>
      <c r="S126" s="2237"/>
      <c r="T126" s="2237"/>
      <c r="U126" s="2240"/>
      <c r="V126" s="2241"/>
      <c r="W126" s="2239"/>
      <c r="X126" s="2242"/>
      <c r="Y126" s="2243"/>
      <c r="Z126" s="2251"/>
      <c r="AA126" s="2244"/>
      <c r="AB126" s="2245"/>
      <c r="AC126" s="2246"/>
      <c r="AD126" s="2247"/>
      <c r="AE126" s="2248"/>
      <c r="AF126" s="2249"/>
      <c r="AG126" s="2249"/>
      <c r="AH126" s="2238"/>
      <c r="AI126" s="2257"/>
      <c r="AJ126" s="2230"/>
      <c r="AK126" s="2230"/>
      <c r="AL126" s="3">
        <v>1</v>
      </c>
    </row>
    <row r="127" spans="1:38" ht="21" customHeight="1">
      <c r="A127" s="2230"/>
      <c r="B127" s="6793"/>
      <c r="C127" s="6074"/>
      <c r="D127" s="6069" t="str" cm="1">
        <f t="array" ref="D127">IF(ROW()=ROW(D117),C120,INDEX(E117:E130,ROW()-ROW(D117)))</f>
        <v/>
      </c>
      <c r="E127" s="6112" t="str">
        <f>IF(OR(D127="",C119="",C119&lt;=0,F127=""),"",TRIM(MID(D127,LEN(F127)+1+IF(MID(D127,LEN(F127)+1,1)=" ",1,0),99999)))</f>
        <v/>
      </c>
      <c r="F127" s="6069" t="str">
        <f>IF(OR(G127="",G127=0,G127="0"),"",IF(LEN(G127)&lt;=C119,G127,IF(LEN(SUBSTITUTE(H127," ",""))=C119+1,LEFT(G127,C119),LEFT(G127,FIND("§",SUBSTITUTE(H127," ","§",LEN(H127)-LEN(SUBSTITUTE(H127," ",""))))-1))))</f>
        <v/>
      </c>
      <c r="G127" s="6069" t="str">
        <f t="shared" si="16"/>
        <v/>
      </c>
      <c r="H127" s="6069" t="str">
        <f>IF(OR(G127="",G127=0,G127="0"),"",LEFT(G127,C119+1))</f>
        <v/>
      </c>
      <c r="I127" s="6070" t="str">
        <f t="shared" si="17"/>
        <v/>
      </c>
      <c r="J127" s="6071" t="str">
        <f t="shared" si="18"/>
        <v/>
      </c>
      <c r="K127" s="6072" t="str">
        <f>IF(LEN(TRIM(L127))&gt;0,MAX(K46:K126)+1,"")</f>
        <v/>
      </c>
      <c r="L127" s="200"/>
      <c r="M127" s="6116"/>
      <c r="N127" s="6116"/>
      <c r="O127" s="2230"/>
      <c r="P127" s="2252"/>
      <c r="Q127" s="2237"/>
      <c r="R127" s="2237"/>
      <c r="S127" s="2237"/>
      <c r="T127" s="2237"/>
      <c r="U127" s="2240"/>
      <c r="V127" s="2241"/>
      <c r="W127" s="2239"/>
      <c r="X127" s="2242"/>
      <c r="Y127" s="2243"/>
      <c r="Z127" s="2251"/>
      <c r="AA127" s="2244"/>
      <c r="AB127" s="2245"/>
      <c r="AC127" s="2246"/>
      <c r="AD127" s="2247"/>
      <c r="AE127" s="2248"/>
      <c r="AF127" s="2249"/>
      <c r="AG127" s="2249"/>
      <c r="AH127" s="2238"/>
      <c r="AI127" s="2257"/>
      <c r="AJ127" s="2230"/>
      <c r="AK127" s="2230"/>
      <c r="AL127" s="3">
        <v>1</v>
      </c>
    </row>
    <row r="128" spans="1:38" ht="21" customHeight="1">
      <c r="A128" s="2230"/>
      <c r="B128" s="6793"/>
      <c r="C128" s="6074"/>
      <c r="D128" s="6069" t="str" cm="1">
        <f t="array" ref="D128">IF(ROW()=ROW(D117),C120,INDEX(E117:E130,ROW()-ROW(D117)))</f>
        <v/>
      </c>
      <c r="E128" s="6112" t="str">
        <f>IF(OR(D128="",C119="",C119&lt;=0,F128=""),"",TRIM(MID(D128,LEN(F128)+1+IF(MID(D128,LEN(F128)+1,1)=" ",1,0),99999)))</f>
        <v/>
      </c>
      <c r="F128" s="6069" t="str">
        <f>IF(OR(G128="",G128=0,G128="0"),"",IF(LEN(G128)&lt;=C119,G128,IF(LEN(SUBSTITUTE(H128," ",""))=C119+1,LEFT(G128,C119),LEFT(G128,FIND("§",SUBSTITUTE(H128," ","§",LEN(H128)-LEN(SUBSTITUTE(H128," ",""))))-1))))</f>
        <v/>
      </c>
      <c r="G128" s="6069" t="str">
        <f t="shared" si="16"/>
        <v/>
      </c>
      <c r="H128" s="6069" t="str">
        <f>IF(OR(G128="",G128=0,G128="0"),"",LEFT(G128,C119+1))</f>
        <v/>
      </c>
      <c r="I128" s="6070" t="str">
        <f t="shared" si="17"/>
        <v/>
      </c>
      <c r="J128" s="6071" t="str">
        <f t="shared" si="18"/>
        <v/>
      </c>
      <c r="K128" s="6072" t="str">
        <f>IF(LEN(TRIM(L128))&gt;0,MAX(K46:K127)+1,"")</f>
        <v/>
      </c>
      <c r="L128" s="200"/>
      <c r="M128" s="6116"/>
      <c r="N128" s="6116"/>
      <c r="O128" s="2230"/>
      <c r="P128" s="2252"/>
      <c r="Q128" s="2237"/>
      <c r="R128" s="2237"/>
      <c r="S128" s="2237"/>
      <c r="T128" s="2237"/>
      <c r="U128" s="2240"/>
      <c r="V128" s="2241"/>
      <c r="W128" s="2239"/>
      <c r="X128" s="2242"/>
      <c r="Y128" s="2243"/>
      <c r="Z128" s="2251"/>
      <c r="AA128" s="2244"/>
      <c r="AB128" s="2245"/>
      <c r="AC128" s="2246"/>
      <c r="AD128" s="2247"/>
      <c r="AE128" s="2248"/>
      <c r="AF128" s="2249"/>
      <c r="AG128" s="2249"/>
      <c r="AH128" s="2238"/>
      <c r="AI128" s="2257"/>
      <c r="AJ128" s="2230"/>
      <c r="AK128" s="2230"/>
      <c r="AL128" s="3">
        <v>1</v>
      </c>
    </row>
    <row r="129" spans="1:38" ht="21" customHeight="1">
      <c r="A129" s="2230"/>
      <c r="B129" s="6793"/>
      <c r="C129" s="6074"/>
      <c r="D129" s="6069" t="str" cm="1">
        <f t="array" ref="D129">IF(ROW()=ROW(D117),C120,INDEX(E117:E130,ROW()-ROW(D117)))</f>
        <v/>
      </c>
      <c r="E129" s="6112" t="str">
        <f>IF(OR(D129="",C119="",C119&lt;=0,F129=""),"",TRIM(MID(D129,LEN(F129)+1+IF(MID(D129,LEN(F129)+1,1)=" ",1,0),99999)))</f>
        <v/>
      </c>
      <c r="F129" s="6069" t="str">
        <f>IF(OR(G129="",G129=0,G129="0"),"",IF(LEN(G129)&lt;=C119,G129,IF(LEN(SUBSTITUTE(H129," ",""))=C119+1,LEFT(G129,C119),LEFT(G129,FIND("§",SUBSTITUTE(H129," ","§",LEN(H129)-LEN(SUBSTITUTE(H129," ",""))))-1))))</f>
        <v/>
      </c>
      <c r="G129" s="6069" t="str">
        <f t="shared" si="16"/>
        <v/>
      </c>
      <c r="H129" s="6069" t="str">
        <f>IF(OR(G129="",G129=0,G129="0"),"",LEFT(G129,C119+1))</f>
        <v/>
      </c>
      <c r="I129" s="6070" t="str">
        <f t="shared" si="17"/>
        <v/>
      </c>
      <c r="J129" s="6071" t="str">
        <f t="shared" si="18"/>
        <v/>
      </c>
      <c r="K129" s="6072" t="str">
        <f>IF(LEN(TRIM(L129))&gt;0,MAX(K46:K128)+1,"")</f>
        <v/>
      </c>
      <c r="L129" s="200"/>
      <c r="M129" s="6116"/>
      <c r="N129" s="6116"/>
      <c r="O129" s="2230"/>
      <c r="P129" s="2252"/>
      <c r="Q129" s="2237"/>
      <c r="R129" s="2237"/>
      <c r="S129" s="2237"/>
      <c r="T129" s="2237"/>
      <c r="U129" s="2240"/>
      <c r="V129" s="2241"/>
      <c r="W129" s="2239"/>
      <c r="X129" s="2242"/>
      <c r="Y129" s="2243"/>
      <c r="Z129" s="2251"/>
      <c r="AA129" s="2244"/>
      <c r="AB129" s="2245"/>
      <c r="AC129" s="2246"/>
      <c r="AD129" s="2247"/>
      <c r="AE129" s="2248"/>
      <c r="AF129" s="2249"/>
      <c r="AG129" s="2249"/>
      <c r="AH129" s="2238"/>
      <c r="AI129" s="2257"/>
      <c r="AJ129" s="2230"/>
      <c r="AK129" s="2230"/>
      <c r="AL129" s="3">
        <v>1</v>
      </c>
    </row>
    <row r="130" spans="1:38" ht="21" customHeight="1">
      <c r="A130" s="2230"/>
      <c r="B130" s="6793"/>
      <c r="C130" s="6074"/>
      <c r="D130" s="6069" t="str" cm="1">
        <f t="array" ref="D130">IF(ROW()=ROW(D117),C120,INDEX(E117:E130,ROW()-ROW(D117)))</f>
        <v/>
      </c>
      <c r="E130" s="6112" t="str">
        <f>IF(OR(D130="",C119="",C119&lt;=0,F130=""),"",TRIM(MID(D130,LEN(F130)+1+IF(MID(D130,LEN(F130)+1,1)=" ",1,0),99999)))</f>
        <v/>
      </c>
      <c r="F130" s="6069" t="str">
        <f>IF(OR(G130="",G130=0,G130="0"),"",IF(LEN(G130)&lt;=C119,G130,IF(LEN(SUBSTITUTE(H130," ",""))=C119+1,LEFT(G130,C119),LEFT(G130,FIND("§",SUBSTITUTE(H130," ","§",LEN(H130)-LEN(SUBSTITUTE(H130," ",""))))-1))))</f>
        <v/>
      </c>
      <c r="G130" s="6069" t="str">
        <f t="shared" si="16"/>
        <v/>
      </c>
      <c r="H130" s="6069" t="str">
        <f>IF(OR(G130="",G130=0,G130="0"),"",LEFT(G130,C119+1))</f>
        <v/>
      </c>
      <c r="I130" s="6070" t="str">
        <f t="shared" si="17"/>
        <v/>
      </c>
      <c r="J130" s="6071" t="str">
        <f t="shared" si="18"/>
        <v/>
      </c>
      <c r="K130" s="6072" t="str">
        <f>IF(LEN(TRIM(L130))&gt;0,MAX(K46:K129)+1,"")</f>
        <v/>
      </c>
      <c r="L130" s="200"/>
      <c r="M130" s="6116"/>
      <c r="N130" s="6116"/>
      <c r="O130" s="2230"/>
      <c r="P130" s="2252"/>
      <c r="Q130" s="2237"/>
      <c r="R130" s="2237"/>
      <c r="S130" s="2237"/>
      <c r="T130" s="2237"/>
      <c r="U130" s="2240"/>
      <c r="V130" s="2241"/>
      <c r="W130" s="2239"/>
      <c r="X130" s="2242"/>
      <c r="Y130" s="2243"/>
      <c r="Z130" s="2251"/>
      <c r="AA130" s="2244"/>
      <c r="AB130" s="2245"/>
      <c r="AC130" s="2246"/>
      <c r="AD130" s="2247"/>
      <c r="AE130" s="2248"/>
      <c r="AF130" s="2249"/>
      <c r="AG130" s="2249"/>
      <c r="AH130" s="2238"/>
      <c r="AI130" s="2257"/>
      <c r="AJ130" s="2230"/>
      <c r="AK130" s="2230"/>
      <c r="AL130" s="3">
        <v>1</v>
      </c>
    </row>
    <row r="131" spans="1:38" ht="21" customHeight="1">
      <c r="A131" s="2230"/>
      <c r="B131" s="6793"/>
      <c r="C131" s="6068" t="str">
        <f>IF(TRIM(SUBSTITUTE(M53,CHAR(160),""))="","",M53)</f>
        <v/>
      </c>
      <c r="D131" s="6069" t="str" cm="1">
        <f t="array" ref="D131">IF(ROW()=ROW(D131),C134,INDEX(E131:E144,ROW()-ROW(D131)))</f>
        <v/>
      </c>
      <c r="E131" s="6112" t="str">
        <f>IF(OR(D131="",C133="",C133&lt;=0,F131=""),"",TRIM(MID(D131,LEN(F131)+1+IF(MID(D131,LEN(F131)+1,1)=" ",1,0),99999)))</f>
        <v/>
      </c>
      <c r="F131" s="6069" t="str">
        <f>IF(OR(G131="",G131=0,G131="0"),"",IF(LEN(G131)&lt;=C133,G131,IF(LEN(SUBSTITUTE(H131," ",""))=C133+1,LEFT(G131,C133),LEFT(G131,FIND("§",SUBSTITUTE(H131," ","§",LEN(H131)-LEN(SUBSTITUTE(H131," ",""))))-1))))</f>
        <v/>
      </c>
      <c r="G131" s="6069" t="str">
        <f t="shared" si="16"/>
        <v/>
      </c>
      <c r="H131" s="6069" t="str">
        <f>IF(OR(G131="",G131=0,G131="0"),"",LEFT(G131,C133+1))</f>
        <v/>
      </c>
      <c r="I131" s="6070" t="str">
        <f t="shared" si="17"/>
        <v/>
      </c>
      <c r="J131" s="6071" t="str">
        <f t="shared" si="18"/>
        <v/>
      </c>
      <c r="K131" s="6072" t="str">
        <f>IF(LEN(TRIM(L131))&gt;0,MAX(K46:K130)+1,"")</f>
        <v/>
      </c>
      <c r="L131" s="200"/>
      <c r="M131" s="6116"/>
      <c r="N131" s="6116"/>
      <c r="O131" s="2230"/>
      <c r="P131" s="2252"/>
      <c r="Q131" s="2237"/>
      <c r="R131" s="2237"/>
      <c r="S131" s="2237"/>
      <c r="T131" s="2237"/>
      <c r="U131" s="2240"/>
      <c r="V131" s="2241"/>
      <c r="W131" s="2239"/>
      <c r="X131" s="2242"/>
      <c r="Y131" s="2243"/>
      <c r="Z131" s="2251"/>
      <c r="AA131" s="2244"/>
      <c r="AB131" s="2245"/>
      <c r="AC131" s="2246"/>
      <c r="AD131" s="2247"/>
      <c r="AE131" s="2248"/>
      <c r="AF131" s="2249"/>
      <c r="AG131" s="2249"/>
      <c r="AH131" s="2238"/>
      <c r="AI131" s="2257"/>
      <c r="AJ131" s="2230"/>
      <c r="AK131" s="2230"/>
      <c r="AL131" s="3">
        <v>1</v>
      </c>
    </row>
    <row r="132" spans="1:38" ht="21" customHeight="1">
      <c r="A132" s="2230"/>
      <c r="B132" s="6793"/>
      <c r="C132" s="6074" t="str">
        <f>TRIM(SUBSTITUTE(SUBSTITUTE(SUBSTITUTE(SUBSTITUTE(IF(OR(LEFT(C131,1)="-",LEFT(C131,1)="="),MID(C131,2,99999),C131),CHAR(160)," "),CHAR(9)," "),CHAR(13)&amp;CHAR(10)," "),CHAR(10)," "))</f>
        <v/>
      </c>
      <c r="D132" s="6069" t="str" cm="1">
        <f t="array" ref="D132">IF(ROW()=ROW(D131),C134,INDEX(E131:E144,ROW()-ROW(D131)))</f>
        <v/>
      </c>
      <c r="E132" s="6112" t="str">
        <f>IF(OR(D132="",C133="",C133&lt;=0,F132=""),"",TRIM(MID(D132,LEN(F132)+1+IF(MID(D132,LEN(F132)+1,1)=" ",1,0),99999)))</f>
        <v/>
      </c>
      <c r="F132" s="6069" t="str">
        <f>IF(OR(G132="",G132=0,G132="0"),"",IF(LEN(G132)&lt;=C133,G132,IF(LEN(SUBSTITUTE(H132," ",""))=C133+1,LEFT(G132,C133),LEFT(G132,FIND("§",SUBSTITUTE(H132," ","§",LEN(H132)-LEN(SUBSTITUTE(H132," ",""))))-1))))</f>
        <v/>
      </c>
      <c r="G132" s="6069" t="str">
        <f t="shared" si="16"/>
        <v/>
      </c>
      <c r="H132" s="6069" t="str">
        <f>IF(OR(G132="",G132=0,G132="0"),"",LEFT(G132,C133+1))</f>
        <v/>
      </c>
      <c r="I132" s="6070" t="str">
        <f t="shared" si="17"/>
        <v/>
      </c>
      <c r="J132" s="6071" t="str">
        <f t="shared" si="18"/>
        <v/>
      </c>
      <c r="K132" s="6072" t="str">
        <f>IF(LEN(TRIM(L132))&gt;0,MAX(K46:K131)+1,"")</f>
        <v/>
      </c>
      <c r="L132" s="200"/>
      <c r="M132" s="6116"/>
      <c r="N132" s="6116"/>
      <c r="O132" s="2230"/>
      <c r="P132" s="2252"/>
      <c r="Q132" s="2237"/>
      <c r="R132" s="2237"/>
      <c r="S132" s="2237"/>
      <c r="T132" s="2237"/>
      <c r="U132" s="2240"/>
      <c r="V132" s="2241"/>
      <c r="W132" s="2239"/>
      <c r="X132" s="2242"/>
      <c r="Y132" s="2243"/>
      <c r="Z132" s="2251"/>
      <c r="AA132" s="2244"/>
      <c r="AB132" s="2245"/>
      <c r="AC132" s="2246"/>
      <c r="AD132" s="2247"/>
      <c r="AE132" s="2248"/>
      <c r="AF132" s="2249"/>
      <c r="AG132" s="2249"/>
      <c r="AH132" s="2238"/>
      <c r="AI132" s="2257"/>
      <c r="AJ132" s="2230"/>
      <c r="AK132" s="2230"/>
      <c r="AL132" s="3">
        <v>1</v>
      </c>
    </row>
    <row r="133" spans="1:38" ht="21" customHeight="1">
      <c r="A133" s="2230"/>
      <c r="B133" s="6793"/>
      <c r="C133" s="6075">
        <f>M44</f>
        <v>120</v>
      </c>
      <c r="D133" s="6069" t="str" cm="1">
        <f t="array" ref="D133">IF(ROW()=ROW(D131),C134,INDEX(E131:E144,ROW()-ROW(D131)))</f>
        <v/>
      </c>
      <c r="E133" s="6112" t="str">
        <f>IF(OR(D133="",C133="",C133&lt;=0,F133=""),"",TRIM(MID(D133,LEN(F133)+1+IF(MID(D133,LEN(F133)+1,1)=" ",1,0),99999)))</f>
        <v/>
      </c>
      <c r="F133" s="6069" t="str">
        <f>IF(OR(G133="",G133=0,G133="0"),"",IF(LEN(G133)&lt;=C133,G133,IF(LEN(SUBSTITUTE(H133," ",""))=C133+1,LEFT(G133,C133),LEFT(G133,FIND("§",SUBSTITUTE(H133," ","§",LEN(H133)-LEN(SUBSTITUTE(H133," ",""))))-1))))</f>
        <v/>
      </c>
      <c r="G133" s="6069" t="str">
        <f t="shared" si="16"/>
        <v/>
      </c>
      <c r="H133" s="6069" t="str">
        <f>IF(OR(G133="",G133=0,G133="0"),"",LEFT(G133,C133+1))</f>
        <v/>
      </c>
      <c r="I133" s="6070" t="str">
        <f t="shared" si="17"/>
        <v/>
      </c>
      <c r="J133" s="6071" t="str">
        <f t="shared" si="18"/>
        <v/>
      </c>
      <c r="K133" s="6072" t="str">
        <f>IF(LEN(TRIM(L133))&gt;0,MAX(K46:K132)+1,"")</f>
        <v/>
      </c>
      <c r="L133" s="200"/>
      <c r="M133" s="6116"/>
      <c r="N133" s="6116"/>
      <c r="O133" s="2230"/>
      <c r="P133" s="2252"/>
      <c r="Q133" s="2237"/>
      <c r="R133" s="2237"/>
      <c r="S133" s="2237"/>
      <c r="T133" s="2237"/>
      <c r="U133" s="2240"/>
      <c r="V133" s="2241"/>
      <c r="W133" s="2239"/>
      <c r="X133" s="2242"/>
      <c r="Y133" s="2243"/>
      <c r="Z133" s="2251"/>
      <c r="AA133" s="2244"/>
      <c r="AB133" s="2245"/>
      <c r="AC133" s="2246"/>
      <c r="AD133" s="2247"/>
      <c r="AE133" s="2248"/>
      <c r="AF133" s="2249"/>
      <c r="AG133" s="2249"/>
      <c r="AH133" s="2238"/>
      <c r="AI133" s="2257"/>
      <c r="AJ133" s="2230"/>
      <c r="AK133" s="2230"/>
      <c r="AL133" s="3">
        <v>1</v>
      </c>
    </row>
    <row r="134" spans="1:38" ht="21" customHeight="1">
      <c r="A134" s="2230"/>
      <c r="B134" s="6793"/>
      <c r="C134" s="6074" t="str">
        <f>IF(UPPER(TRIM(C45))="X",C138,C132)</f>
        <v/>
      </c>
      <c r="D134" s="6069" t="str" cm="1">
        <f t="array" ref="D134">IF(ROW()=ROW(D131),C134,INDEX(E131:E144,ROW()-ROW(D131)))</f>
        <v/>
      </c>
      <c r="E134" s="6112" t="str">
        <f>IF(OR(D134="",C133="",C133&lt;=0,F134=""),"",TRIM(MID(D134,LEN(F134)+1+IF(MID(D134,LEN(F134)+1,1)=" ",1,0),99999)))</f>
        <v/>
      </c>
      <c r="F134" s="6069" t="str">
        <f>IF(OR(G134="",G134=0,G134="0"),"",IF(LEN(G134)&lt;=C133,G134,IF(LEN(SUBSTITUTE(H134," ",""))=C133+1,LEFT(G134,C133),LEFT(G134,FIND("§",SUBSTITUTE(H134," ","§",LEN(H134)-LEN(SUBSTITUTE(H134," ",""))))-1))))</f>
        <v/>
      </c>
      <c r="G134" s="6069" t="str">
        <f t="shared" si="16"/>
        <v/>
      </c>
      <c r="H134" s="6069" t="str">
        <f>IF(OR(G134="",G134=0,G134="0"),"",LEFT(G134,C133+1))</f>
        <v/>
      </c>
      <c r="I134" s="6070" t="str">
        <f t="shared" si="17"/>
        <v/>
      </c>
      <c r="J134" s="6071" t="str">
        <f t="shared" si="18"/>
        <v/>
      </c>
      <c r="K134" s="6072" t="str">
        <f>IF(LEN(TRIM(L134))&gt;0,MAX(K46:K133)+1,"")</f>
        <v/>
      </c>
      <c r="L134" s="200"/>
      <c r="M134" s="6116"/>
      <c r="N134" s="6116"/>
      <c r="O134" s="2230"/>
      <c r="P134" s="2252"/>
      <c r="Q134" s="2237"/>
      <c r="R134" s="2237"/>
      <c r="S134" s="2237"/>
      <c r="T134" s="2237"/>
      <c r="U134" s="2240"/>
      <c r="V134" s="2241"/>
      <c r="W134" s="2239"/>
      <c r="X134" s="2242"/>
      <c r="Y134" s="2243"/>
      <c r="Z134" s="2251"/>
      <c r="AA134" s="2244"/>
      <c r="AB134" s="2245"/>
      <c r="AC134" s="2246"/>
      <c r="AD134" s="2247"/>
      <c r="AE134" s="2248"/>
      <c r="AF134" s="2249"/>
      <c r="AG134" s="2249"/>
      <c r="AH134" s="2238"/>
      <c r="AI134" s="2257"/>
      <c r="AJ134" s="2230"/>
      <c r="AK134" s="2230"/>
      <c r="AL134" s="3">
        <v>1</v>
      </c>
    </row>
    <row r="135" spans="1:38" ht="21" customHeight="1">
      <c r="A135" s="2230"/>
      <c r="B135" s="6793"/>
      <c r="C135" s="6074" t="str">
        <f>TRIM(SUBSTITUTE(SUBSTITUTE(SUBSTITUTE(SUBSTITUTE(SUBSTITUTE(SUBSTITUTE(SUBSTITUTE(SUBSTITUTE(SUBSTITUTE(SUBSTITUTE(C132,","," "),";"," "),":"," "),"!"," "),"?"," "),"…"," "),"»"," "),"«"," "),"/"," "),"."," "))</f>
        <v/>
      </c>
      <c r="D135" s="6069" t="str" cm="1">
        <f t="array" ref="D135">IF(ROW()=ROW(D131),C134,INDEX(E131:E144,ROW()-ROW(D131)))</f>
        <v/>
      </c>
      <c r="E135" s="6112" t="str">
        <f>IF(OR(D135="",C133="",C133&lt;=0,F135=""),"",TRIM(MID(D135,LEN(F135)+1+IF(MID(D135,LEN(F135)+1,1)=" ",1,0),99999)))</f>
        <v/>
      </c>
      <c r="F135" s="6069" t="str">
        <f>IF(OR(G135="",G135=0,G135="0"),"",IF(LEN(G135)&lt;=C133,G135,IF(LEN(SUBSTITUTE(H135," ",""))=C133+1,LEFT(G135,C133),LEFT(G135,FIND("§",SUBSTITUTE(H135," ","§",LEN(H135)-LEN(SUBSTITUTE(H135," ",""))))-1))))</f>
        <v/>
      </c>
      <c r="G135" s="6069" t="str">
        <f t="shared" si="16"/>
        <v/>
      </c>
      <c r="H135" s="6069" t="str">
        <f>IF(OR(G135="",G135=0,G135="0"),"",LEFT(G135,C133+1))</f>
        <v/>
      </c>
      <c r="I135" s="6070" t="str">
        <f t="shared" si="17"/>
        <v/>
      </c>
      <c r="J135" s="6071" t="str">
        <f t="shared" si="18"/>
        <v/>
      </c>
      <c r="K135" s="6072" t="str">
        <f>IF(LEN(TRIM(L135))&gt;0,MAX(K46:K134)+1,"")</f>
        <v/>
      </c>
      <c r="L135" s="200"/>
      <c r="M135" s="6116"/>
      <c r="N135" s="6116"/>
      <c r="O135" s="2230"/>
      <c r="P135" s="2252"/>
      <c r="Q135" s="2237"/>
      <c r="R135" s="2237"/>
      <c r="S135" s="2237"/>
      <c r="T135" s="2237"/>
      <c r="U135" s="2240"/>
      <c r="V135" s="2241"/>
      <c r="W135" s="2239"/>
      <c r="X135" s="2242"/>
      <c r="Y135" s="2243"/>
      <c r="Z135" s="2251"/>
      <c r="AA135" s="2244"/>
      <c r="AB135" s="2245"/>
      <c r="AC135" s="2246"/>
      <c r="AD135" s="2247"/>
      <c r="AE135" s="2248"/>
      <c r="AF135" s="2249"/>
      <c r="AG135" s="2249"/>
      <c r="AH135" s="2238"/>
      <c r="AI135" s="2257"/>
      <c r="AJ135" s="2230"/>
      <c r="AK135" s="2230"/>
      <c r="AL135" s="3">
        <v>1</v>
      </c>
    </row>
    <row r="136" spans="1:38" ht="21" customHeight="1">
      <c r="A136" s="2230"/>
      <c r="B136" s="6793"/>
      <c r="C136" s="6069" t="str">
        <f>TRIM(SUBSTITUTE(SUBSTITUTE(SUBSTITUTE(SUBSTITUTE(SUBSTITUTE(SUBSTITUTE(SUBSTITUTE(SUBSTITUTE(C135,"("," "),")"," "),CHAR(34)," "),"-"," "),"_"," "),"&lt;"," "),"&gt;"," "),"="," "))</f>
        <v/>
      </c>
      <c r="D136" s="6069" t="str" cm="1">
        <f t="array" ref="D136">IF(ROW()=ROW(D131),C134,INDEX(E131:E144,ROW()-ROW(D131)))</f>
        <v/>
      </c>
      <c r="E136" s="6112" t="str">
        <f>IF(OR(D136="",C133="",C133&lt;=0,F136=""),"",TRIM(MID(D136,LEN(F136)+1+IF(MID(D136,LEN(F136)+1,1)=" ",1,0),99999)))</f>
        <v/>
      </c>
      <c r="F136" s="6069" t="str">
        <f>IF(OR(G136="",G136=0,G136="0"),"",IF(LEN(G136)&lt;=C133,G136,IF(LEN(SUBSTITUTE(H136," ",""))=C133+1,LEFT(G136,C133),LEFT(G136,FIND("§",SUBSTITUTE(H136," ","§",LEN(H136)-LEN(SUBSTITUTE(H136," ",""))))-1))))</f>
        <v/>
      </c>
      <c r="G136" s="6069" t="str">
        <f t="shared" si="16"/>
        <v/>
      </c>
      <c r="H136" s="6069" t="str">
        <f>IF(OR(G136="",G136=0,G136="0"),"",LEFT(G136,C133+1))</f>
        <v/>
      </c>
      <c r="I136" s="6070" t="str">
        <f t="shared" si="17"/>
        <v/>
      </c>
      <c r="J136" s="6071" t="str">
        <f t="shared" si="18"/>
        <v/>
      </c>
      <c r="K136" s="6072" t="str">
        <f>IF(LEN(TRIM(L136))&gt;0,MAX(K46:K135)+1,"")</f>
        <v/>
      </c>
      <c r="L136" s="200"/>
      <c r="M136" s="6116"/>
      <c r="N136" s="6116"/>
      <c r="O136" s="2230"/>
      <c r="P136" s="2252"/>
      <c r="Q136" s="2237"/>
      <c r="R136" s="2237"/>
      <c r="S136" s="2237"/>
      <c r="T136" s="2237"/>
      <c r="U136" s="2240"/>
      <c r="V136" s="2241"/>
      <c r="W136" s="2239"/>
      <c r="X136" s="2242"/>
      <c r="Y136" s="2243"/>
      <c r="Z136" s="2251"/>
      <c r="AA136" s="2244"/>
      <c r="AB136" s="2245"/>
      <c r="AC136" s="2246"/>
      <c r="AD136" s="2247"/>
      <c r="AE136" s="2248"/>
      <c r="AF136" s="2249"/>
      <c r="AG136" s="2249"/>
      <c r="AH136" s="2238"/>
      <c r="AI136" s="2257"/>
      <c r="AJ136" s="2230"/>
      <c r="AK136" s="2230"/>
      <c r="AL136" s="3">
        <v>1</v>
      </c>
    </row>
    <row r="137" spans="1:38" ht="21" customHeight="1">
      <c r="A137" s="2230"/>
      <c r="B137" s="6793"/>
      <c r="C137" s="6074" t="str">
        <f>TRIM(SUBSTITUTE(SUBSTITUTE(SUBSTITUTE(SUBSTITUTE(C136,"►"," "),"▼"," "),"▲"," "),"◄"," "))</f>
        <v/>
      </c>
      <c r="D137" s="6069" t="str" cm="1">
        <f t="array" ref="D137">IF(ROW()=ROW(D131),C134,INDEX(E131:E144,ROW()-ROW(D131)))</f>
        <v/>
      </c>
      <c r="E137" s="6112" t="str">
        <f>IF(OR(D137="",C133="",C133&lt;=0,F137=""),"",TRIM(MID(D137,LEN(F137)+1+IF(MID(D137,LEN(F137)+1,1)=" ",1,0),99999)))</f>
        <v/>
      </c>
      <c r="F137" s="6069" t="str">
        <f>IF(OR(G137="",G137=0,G137="0"),"",IF(LEN(G137)&lt;=C133,G137,IF(LEN(SUBSTITUTE(H137," ",""))=C133+1,LEFT(G137,C133),LEFT(G137,FIND("§",SUBSTITUTE(H137," ","§",LEN(H137)-LEN(SUBSTITUTE(H137," ",""))))-1))))</f>
        <v/>
      </c>
      <c r="G137" s="6069" t="str">
        <f t="shared" si="16"/>
        <v/>
      </c>
      <c r="H137" s="6069" t="str">
        <f>IF(OR(G137="",G137=0,G137="0"),"",LEFT(G137,C133+1))</f>
        <v/>
      </c>
      <c r="I137" s="6070" t="str">
        <f t="shared" si="17"/>
        <v/>
      </c>
      <c r="J137" s="6071" t="str">
        <f t="shared" si="18"/>
        <v/>
      </c>
      <c r="K137" s="6072" t="str">
        <f>IF(LEN(TRIM(L137))&gt;0,MAX(K46:K136)+1,"")</f>
        <v/>
      </c>
      <c r="L137" s="200"/>
      <c r="M137" s="6116"/>
      <c r="N137" s="6116"/>
      <c r="O137" s="2230"/>
      <c r="P137" s="2252"/>
      <c r="Q137" s="2237"/>
      <c r="R137" s="2237"/>
      <c r="S137" s="2237"/>
      <c r="T137" s="2237"/>
      <c r="U137" s="2240"/>
      <c r="V137" s="2241"/>
      <c r="W137" s="2239"/>
      <c r="X137" s="2242"/>
      <c r="Y137" s="2243"/>
      <c r="Z137" s="2251"/>
      <c r="AA137" s="2244"/>
      <c r="AB137" s="2245"/>
      <c r="AC137" s="2246"/>
      <c r="AD137" s="2247"/>
      <c r="AE137" s="2248"/>
      <c r="AF137" s="2249"/>
      <c r="AG137" s="2249"/>
      <c r="AH137" s="2238"/>
      <c r="AI137" s="2257"/>
      <c r="AJ137" s="2230"/>
      <c r="AK137" s="2230"/>
      <c r="AL137" s="3">
        <v>1</v>
      </c>
    </row>
    <row r="138" spans="1:38" ht="21" customHeight="1">
      <c r="A138" s="2230"/>
      <c r="B138" s="6793"/>
      <c r="C138" s="6074" t="str">
        <f>TRIM(SUBSTITUTE(SUBSTITUTE(C137,"“"," "),"”"," "))</f>
        <v/>
      </c>
      <c r="D138" s="6069" t="str" cm="1">
        <f t="array" ref="D138">IF(ROW()=ROW(D131),C134,INDEX(E131:E144,ROW()-ROW(D131)))</f>
        <v/>
      </c>
      <c r="E138" s="6112" t="str">
        <f>IF(OR(D138="",C133="",C133&lt;=0,F138=""),"",TRIM(MID(D138,LEN(F138)+1+IF(MID(D138,LEN(F138)+1,1)=" ",1,0),99999)))</f>
        <v/>
      </c>
      <c r="F138" s="6069" t="str">
        <f>IF(OR(G138="",G138=0,G138="0"),"",IF(LEN(G138)&lt;=C133,G138,IF(LEN(SUBSTITUTE(H138," ",""))=C133+1,LEFT(G138,C133),LEFT(G138,FIND("§",SUBSTITUTE(H138," ","§",LEN(H138)-LEN(SUBSTITUTE(H138," ",""))))-1))))</f>
        <v/>
      </c>
      <c r="G138" s="6069" t="str">
        <f t="shared" si="16"/>
        <v/>
      </c>
      <c r="H138" s="6069" t="str">
        <f>IF(OR(G138="",G138=0,G138="0"),"",LEFT(G138,C133+1))</f>
        <v/>
      </c>
      <c r="I138" s="6070" t="str">
        <f t="shared" si="17"/>
        <v/>
      </c>
      <c r="J138" s="6071" t="str">
        <f t="shared" si="18"/>
        <v/>
      </c>
      <c r="K138" s="6072" t="str">
        <f>IF(LEN(TRIM(L138))&gt;0,MAX(K46:K137)+1,"")</f>
        <v/>
      </c>
      <c r="L138" s="200"/>
      <c r="M138" s="6116"/>
      <c r="N138" s="6116"/>
      <c r="O138" s="2230"/>
      <c r="P138" s="2252"/>
      <c r="Q138" s="2237"/>
      <c r="R138" s="2237"/>
      <c r="S138" s="2237"/>
      <c r="T138" s="2237"/>
      <c r="U138" s="2240"/>
      <c r="V138" s="2241"/>
      <c r="W138" s="2239"/>
      <c r="X138" s="2242"/>
      <c r="Y138" s="2243"/>
      <c r="Z138" s="2251"/>
      <c r="AA138" s="2244"/>
      <c r="AB138" s="2245"/>
      <c r="AC138" s="2246"/>
      <c r="AD138" s="2247"/>
      <c r="AE138" s="2248"/>
      <c r="AF138" s="2249"/>
      <c r="AG138" s="2249"/>
      <c r="AH138" s="2238"/>
      <c r="AI138" s="2257"/>
      <c r="AJ138" s="2230"/>
      <c r="AK138" s="2230"/>
      <c r="AL138" s="3">
        <v>1</v>
      </c>
    </row>
    <row r="139" spans="1:38" ht="21" customHeight="1">
      <c r="A139" s="2230"/>
      <c r="B139" s="6793"/>
      <c r="C139" s="6074"/>
      <c r="D139" s="6069" t="str" cm="1">
        <f t="array" ref="D139">IF(ROW()=ROW(D131),C134,INDEX(E131:E144,ROW()-ROW(D131)))</f>
        <v/>
      </c>
      <c r="E139" s="6112" t="str">
        <f>IF(OR(D139="",C133="",C133&lt;=0,F139=""),"",TRIM(MID(D139,LEN(F139)+1+IF(MID(D139,LEN(F139)+1,1)=" ",1,0),99999)))</f>
        <v/>
      </c>
      <c r="F139" s="6069" t="str">
        <f>IF(OR(G139="",G139=0,G139="0"),"",IF(LEN(G139)&lt;=C133,G139,IF(LEN(SUBSTITUTE(H139," ",""))=C133+1,LEFT(G139,C133),LEFT(G139,FIND("§",SUBSTITUTE(H139," ","§",LEN(H139)-LEN(SUBSTITUTE(H139," ",""))))-1))))</f>
        <v/>
      </c>
      <c r="G139" s="6069" t="str">
        <f t="shared" si="16"/>
        <v/>
      </c>
      <c r="H139" s="6069" t="str">
        <f>IF(OR(G139="",G139=0,G139="0"),"",LEFT(G139,C133+1))</f>
        <v/>
      </c>
      <c r="I139" s="6070" t="str">
        <f t="shared" si="17"/>
        <v/>
      </c>
      <c r="J139" s="6071" t="str">
        <f t="shared" si="18"/>
        <v/>
      </c>
      <c r="K139" s="6072" t="str">
        <f>IF(LEN(TRIM(L139))&gt;0,MAX(K46:K138)+1,"")</f>
        <v/>
      </c>
      <c r="L139" s="200"/>
      <c r="M139" s="6116"/>
      <c r="N139" s="6116"/>
      <c r="O139" s="2230"/>
      <c r="P139" s="2252"/>
      <c r="Q139" s="2237"/>
      <c r="R139" s="2237"/>
      <c r="S139" s="2237"/>
      <c r="T139" s="2237"/>
      <c r="U139" s="2240"/>
      <c r="V139" s="2241"/>
      <c r="W139" s="2239"/>
      <c r="X139" s="2242"/>
      <c r="Y139" s="2243"/>
      <c r="Z139" s="2251"/>
      <c r="AA139" s="2244"/>
      <c r="AB139" s="2245"/>
      <c r="AC139" s="2246"/>
      <c r="AD139" s="2247"/>
      <c r="AE139" s="2248"/>
      <c r="AF139" s="2249"/>
      <c r="AG139" s="2249"/>
      <c r="AH139" s="2238"/>
      <c r="AI139" s="2257"/>
      <c r="AJ139" s="2230"/>
      <c r="AK139" s="2230"/>
      <c r="AL139" s="3">
        <v>1</v>
      </c>
    </row>
    <row r="140" spans="1:38" ht="21" customHeight="1">
      <c r="A140" s="2230"/>
      <c r="B140" s="6793"/>
      <c r="C140" s="6074"/>
      <c r="D140" s="6069" t="str" cm="1">
        <f t="array" ref="D140">IF(ROW()=ROW(D131),C134,INDEX(E131:E144,ROW()-ROW(D131)))</f>
        <v/>
      </c>
      <c r="E140" s="6112" t="str">
        <f>IF(OR(D140="",C133="",C133&lt;=0,F140=""),"",TRIM(MID(D140,LEN(F140)+1+IF(MID(D140,LEN(F140)+1,1)=" ",1,0),99999)))</f>
        <v/>
      </c>
      <c r="F140" s="6069" t="str">
        <f>IF(OR(G140="",G140=0,G140="0"),"",IF(LEN(G140)&lt;=C133,G140,IF(LEN(SUBSTITUTE(H140," ",""))=C133+1,LEFT(G140,C133),LEFT(G140,FIND("§",SUBSTITUTE(H140," ","§",LEN(H140)-LEN(SUBSTITUTE(H140," ",""))))-1))))</f>
        <v/>
      </c>
      <c r="G140" s="6069" t="str">
        <f t="shared" si="16"/>
        <v/>
      </c>
      <c r="H140" s="6069" t="str">
        <f>IF(OR(G140="",G140=0,G140="0"),"",LEFT(G140,C133+1))</f>
        <v/>
      </c>
      <c r="I140" s="6070" t="str">
        <f t="shared" si="17"/>
        <v/>
      </c>
      <c r="J140" s="6071" t="str">
        <f t="shared" si="18"/>
        <v/>
      </c>
      <c r="K140" s="6072" t="str">
        <f>IF(LEN(TRIM(L140))&gt;0,MAX(K46:K139)+1,"")</f>
        <v/>
      </c>
      <c r="L140" s="200"/>
      <c r="M140" s="6116"/>
      <c r="N140" s="6116"/>
      <c r="O140" s="2230"/>
      <c r="P140" s="2252"/>
      <c r="Q140" s="2237"/>
      <c r="R140" s="2237"/>
      <c r="S140" s="2237"/>
      <c r="T140" s="2237"/>
      <c r="U140" s="2240"/>
      <c r="V140" s="2241"/>
      <c r="W140" s="2239"/>
      <c r="X140" s="2242"/>
      <c r="Y140" s="2243"/>
      <c r="Z140" s="2251"/>
      <c r="AA140" s="2244"/>
      <c r="AB140" s="2245"/>
      <c r="AC140" s="2246"/>
      <c r="AD140" s="2247"/>
      <c r="AE140" s="2248"/>
      <c r="AF140" s="2249"/>
      <c r="AG140" s="2249"/>
      <c r="AH140" s="2238"/>
      <c r="AI140" s="2257"/>
      <c r="AJ140" s="2230"/>
      <c r="AK140" s="2230"/>
      <c r="AL140" s="3">
        <v>1</v>
      </c>
    </row>
    <row r="141" spans="1:38" ht="21" customHeight="1">
      <c r="A141" s="2230"/>
      <c r="B141" s="6793"/>
      <c r="C141" s="6074"/>
      <c r="D141" s="6069" t="str" cm="1">
        <f t="array" ref="D141">IF(ROW()=ROW(D131),C134,INDEX(E131:E144,ROW()-ROW(D131)))</f>
        <v/>
      </c>
      <c r="E141" s="6112" t="str">
        <f>IF(OR(D141="",C133="",C133&lt;=0,F141=""),"",TRIM(MID(D141,LEN(F141)+1+IF(MID(D141,LEN(F141)+1,1)=" ",1,0),99999)))</f>
        <v/>
      </c>
      <c r="F141" s="6069" t="str">
        <f>IF(OR(G141="",G141=0,G141="0"),"",IF(LEN(G141)&lt;=C133,G141,IF(LEN(SUBSTITUTE(H141," ",""))=C133+1,LEFT(G141,C133),LEFT(G141,FIND("§",SUBSTITUTE(H141," ","§",LEN(H141)-LEN(SUBSTITUTE(H141," ",""))))-1))))</f>
        <v/>
      </c>
      <c r="G141" s="6069" t="str">
        <f t="shared" si="16"/>
        <v/>
      </c>
      <c r="H141" s="6069" t="str">
        <f>IF(OR(G141="",G141=0,G141="0"),"",LEFT(G141,C133+1))</f>
        <v/>
      </c>
      <c r="I141" s="6070" t="str">
        <f t="shared" si="17"/>
        <v/>
      </c>
      <c r="J141" s="6071" t="str">
        <f t="shared" si="18"/>
        <v/>
      </c>
      <c r="K141" s="6072" t="str">
        <f>IF(LEN(TRIM(L141))&gt;0,MAX(K46:K140)+1,"")</f>
        <v/>
      </c>
      <c r="L141" s="200"/>
      <c r="M141" s="6116"/>
      <c r="N141" s="6116"/>
      <c r="O141" s="2230"/>
      <c r="P141" s="2252"/>
      <c r="Q141" s="2237"/>
      <c r="R141" s="2237"/>
      <c r="S141" s="2237"/>
      <c r="T141" s="2237"/>
      <c r="U141" s="2240"/>
      <c r="V141" s="2241"/>
      <c r="W141" s="2239"/>
      <c r="X141" s="2242"/>
      <c r="Y141" s="2243"/>
      <c r="Z141" s="2251"/>
      <c r="AA141" s="2244"/>
      <c r="AB141" s="2245"/>
      <c r="AC141" s="2246"/>
      <c r="AD141" s="2247"/>
      <c r="AE141" s="2248"/>
      <c r="AF141" s="2249"/>
      <c r="AG141" s="2249"/>
      <c r="AH141" s="2238"/>
      <c r="AI141" s="2257"/>
      <c r="AJ141" s="2230"/>
      <c r="AK141" s="2230"/>
      <c r="AL141" s="3">
        <v>1</v>
      </c>
    </row>
    <row r="142" spans="1:38" ht="21" customHeight="1">
      <c r="A142" s="2230"/>
      <c r="B142" s="6793"/>
      <c r="C142" s="6074"/>
      <c r="D142" s="6069" t="str" cm="1">
        <f t="array" ref="D142">IF(ROW()=ROW(D131),C134,INDEX(E131:E144,ROW()-ROW(D131)))</f>
        <v/>
      </c>
      <c r="E142" s="6112" t="str">
        <f>IF(OR(D142="",C133="",C133&lt;=0,F142=""),"",TRIM(MID(D142,LEN(F142)+1+IF(MID(D142,LEN(F142)+1,1)=" ",1,0),99999)))</f>
        <v/>
      </c>
      <c r="F142" s="6069" t="str">
        <f>IF(OR(G142="",G142=0,G142="0"),"",IF(LEN(G142)&lt;=C133,G142,IF(LEN(SUBSTITUTE(H142," ",""))=C133+1,LEFT(G142,C133),LEFT(G142,FIND("§",SUBSTITUTE(H142," ","§",LEN(H142)-LEN(SUBSTITUTE(H142," ",""))))-1))))</f>
        <v/>
      </c>
      <c r="G142" s="6069" t="str">
        <f t="shared" si="16"/>
        <v/>
      </c>
      <c r="H142" s="6069" t="str">
        <f>IF(OR(G142="",G142=0,G142="0"),"",LEFT(G142,C133+1))</f>
        <v/>
      </c>
      <c r="I142" s="6070" t="str">
        <f t="shared" si="17"/>
        <v/>
      </c>
      <c r="J142" s="6071" t="str">
        <f t="shared" si="18"/>
        <v/>
      </c>
      <c r="K142" s="6072" t="str">
        <f>IF(LEN(TRIM(L142))&gt;0,MAX(K46:K141)+1,"")</f>
        <v/>
      </c>
      <c r="L142" s="200"/>
      <c r="M142" s="6116"/>
      <c r="N142" s="6116"/>
      <c r="O142" s="2230"/>
      <c r="P142" s="2252"/>
      <c r="Q142" s="2237"/>
      <c r="R142" s="2237"/>
      <c r="S142" s="2237"/>
      <c r="T142" s="2237"/>
      <c r="U142" s="2240"/>
      <c r="V142" s="2241"/>
      <c r="W142" s="2239"/>
      <c r="X142" s="2242"/>
      <c r="Y142" s="2243"/>
      <c r="Z142" s="2251"/>
      <c r="AA142" s="2244"/>
      <c r="AB142" s="2245"/>
      <c r="AC142" s="2246"/>
      <c r="AD142" s="2247"/>
      <c r="AE142" s="2248"/>
      <c r="AF142" s="2249"/>
      <c r="AG142" s="2249"/>
      <c r="AH142" s="2238"/>
      <c r="AI142" s="2257"/>
      <c r="AJ142" s="2230"/>
      <c r="AK142" s="2230"/>
      <c r="AL142" s="3">
        <v>1</v>
      </c>
    </row>
    <row r="143" spans="1:38" ht="21" customHeight="1">
      <c r="A143" s="2230"/>
      <c r="B143" s="6793"/>
      <c r="C143" s="6074"/>
      <c r="D143" s="6069" t="str" cm="1">
        <f t="array" ref="D143">IF(ROW()=ROW(D131),C134,INDEX(E131:E144,ROW()-ROW(D131)))</f>
        <v/>
      </c>
      <c r="E143" s="6112" t="str">
        <f>IF(OR(D143="",C133="",C133&lt;=0,F143=""),"",TRIM(MID(D143,LEN(F143)+1+IF(MID(D143,LEN(F143)+1,1)=" ",1,0),99999)))</f>
        <v/>
      </c>
      <c r="F143" s="6069" t="str">
        <f>IF(OR(G143="",G143=0,G143="0"),"",IF(LEN(G143)&lt;=C133,G143,IF(LEN(SUBSTITUTE(H143," ",""))=C133+1,LEFT(G143,C133),LEFT(G143,FIND("§",SUBSTITUTE(H143," ","§",LEN(H143)-LEN(SUBSTITUTE(H143," ",""))))-1))))</f>
        <v/>
      </c>
      <c r="G143" s="6069" t="str">
        <f t="shared" si="16"/>
        <v/>
      </c>
      <c r="H143" s="6069" t="str">
        <f>IF(OR(G143="",G143=0,G143="0"),"",LEFT(G143,C133+1))</f>
        <v/>
      </c>
      <c r="I143" s="6070" t="str">
        <f t="shared" si="17"/>
        <v/>
      </c>
      <c r="J143" s="6071" t="str">
        <f t="shared" si="18"/>
        <v/>
      </c>
      <c r="K143" s="6072" t="str">
        <f>IF(LEN(TRIM(L143))&gt;0,MAX(K46:K142)+1,"")</f>
        <v/>
      </c>
      <c r="L143" s="200"/>
      <c r="M143" s="6116"/>
      <c r="N143" s="6116"/>
      <c r="O143" s="2230"/>
      <c r="P143" s="2252"/>
      <c r="Q143" s="2237"/>
      <c r="R143" s="2237"/>
      <c r="S143" s="2237"/>
      <c r="T143" s="2237"/>
      <c r="U143" s="2240"/>
      <c r="V143" s="2241"/>
      <c r="W143" s="2239"/>
      <c r="X143" s="2242"/>
      <c r="Y143" s="2243"/>
      <c r="Z143" s="2251"/>
      <c r="AA143" s="2244"/>
      <c r="AB143" s="2245"/>
      <c r="AC143" s="2246"/>
      <c r="AD143" s="2247"/>
      <c r="AE143" s="2248"/>
      <c r="AF143" s="2249"/>
      <c r="AG143" s="2249"/>
      <c r="AH143" s="2238"/>
      <c r="AI143" s="2257"/>
      <c r="AJ143" s="2230"/>
      <c r="AK143" s="2230"/>
      <c r="AL143" s="3">
        <v>1</v>
      </c>
    </row>
    <row r="144" spans="1:38" ht="21" customHeight="1">
      <c r="A144" s="2230"/>
      <c r="B144" s="6793"/>
      <c r="C144" s="6074"/>
      <c r="D144" s="6069" t="str" cm="1">
        <f t="array" ref="D144">IF(ROW()=ROW(D131),C134,INDEX(E131:E144,ROW()-ROW(D131)))</f>
        <v/>
      </c>
      <c r="E144" s="6112" t="str">
        <f>IF(OR(D144="",C133="",C133&lt;=0,F144=""),"",TRIM(MID(D144,LEN(F144)+1+IF(MID(D144,LEN(F144)+1,1)=" ",1,0),99999)))</f>
        <v/>
      </c>
      <c r="F144" s="6069" t="str">
        <f>IF(OR(G144="",G144=0,G144="0"),"",IF(LEN(G144)&lt;=C133,G144,IF(LEN(SUBSTITUTE(H144," ",""))=C133+1,LEFT(G144,C133),LEFT(G144,FIND("§",SUBSTITUTE(H144," ","§",LEN(H144)-LEN(SUBSTITUTE(H144," ",""))))-1))))</f>
        <v/>
      </c>
      <c r="G144" s="6069" t="str">
        <f t="shared" si="16"/>
        <v/>
      </c>
      <c r="H144" s="6069" t="str">
        <f>IF(OR(G144="",G144=0,G144="0"),"",LEFT(G144,C133+1))</f>
        <v/>
      </c>
      <c r="I144" s="6070" t="str">
        <f t="shared" si="17"/>
        <v/>
      </c>
      <c r="J144" s="6071" t="str">
        <f t="shared" si="18"/>
        <v/>
      </c>
      <c r="K144" s="6072" t="str">
        <f>IF(LEN(TRIM(L144))&gt;0,MAX(K46:K143)+1,"")</f>
        <v/>
      </c>
      <c r="L144" s="200"/>
      <c r="M144" s="6116"/>
      <c r="N144" s="6116"/>
      <c r="O144" s="2230"/>
      <c r="P144" s="2252"/>
      <c r="Q144" s="2237"/>
      <c r="R144" s="2237"/>
      <c r="S144" s="2237"/>
      <c r="T144" s="2237"/>
      <c r="U144" s="2240"/>
      <c r="V144" s="2241"/>
      <c r="W144" s="2239"/>
      <c r="X144" s="2242"/>
      <c r="Y144" s="2243"/>
      <c r="Z144" s="2251"/>
      <c r="AA144" s="2244"/>
      <c r="AB144" s="2245"/>
      <c r="AC144" s="2246"/>
      <c r="AD144" s="2247"/>
      <c r="AE144" s="2248"/>
      <c r="AF144" s="2249"/>
      <c r="AG144" s="2249"/>
      <c r="AH144" s="2238"/>
      <c r="AI144" s="2257"/>
      <c r="AJ144" s="2230"/>
      <c r="AK144" s="2230"/>
      <c r="AL144" s="3">
        <v>1</v>
      </c>
    </row>
    <row r="145" spans="1:38" ht="21" customHeight="1">
      <c r="A145" s="2230"/>
      <c r="B145" s="6793"/>
      <c r="C145" s="6068" t="str">
        <f>IF(TRIM(SUBSTITUTE(M54,CHAR(160),""))="","",M54)</f>
        <v/>
      </c>
      <c r="D145" s="6069" t="str" cm="1">
        <f t="array" ref="D145">IF(ROW()=ROW(D145),C148,INDEX(E145:E158,ROW()-ROW(D145)))</f>
        <v/>
      </c>
      <c r="E145" s="6112" t="str">
        <f>IF(OR(D145="",C147="",C147&lt;=0,F145=""),"",TRIM(MID(D145,LEN(F145)+1+IF(MID(D145,LEN(F145)+1,1)=" ",1,0),99999)))</f>
        <v/>
      </c>
      <c r="F145" s="6069" t="str">
        <f>IF(OR(G145="",G145=0,G145="0"),"",IF(LEN(G145)&lt;=C147,G145,IF(LEN(SUBSTITUTE(H145," ",""))=C147+1,LEFT(G145,C147),LEFT(G145,FIND("§",SUBSTITUTE(H145," ","§",LEN(H145)-LEN(SUBSTITUTE(H145," ",""))))-1))))</f>
        <v/>
      </c>
      <c r="G145" s="6069" t="str">
        <f t="shared" si="16"/>
        <v/>
      </c>
      <c r="H145" s="6069" t="str">
        <f>IF(OR(G145="",G145=0,G145="0"),"",LEFT(G145,C147+1))</f>
        <v/>
      </c>
      <c r="I145" s="6070" t="str">
        <f t="shared" si="17"/>
        <v/>
      </c>
      <c r="J145" s="6071" t="str">
        <f t="shared" si="18"/>
        <v/>
      </c>
      <c r="K145" s="6072" t="str">
        <f>IF(LEN(TRIM(L145))&gt;0,MAX(K46:K144)+1,"")</f>
        <v/>
      </c>
      <c r="L145" s="200"/>
      <c r="M145" s="6116"/>
      <c r="N145" s="6116"/>
      <c r="O145" s="2230"/>
      <c r="P145" s="2252"/>
      <c r="Q145" s="2237"/>
      <c r="R145" s="2237"/>
      <c r="S145" s="2237"/>
      <c r="T145" s="2237"/>
      <c r="U145" s="2240"/>
      <c r="V145" s="2241"/>
      <c r="W145" s="2239"/>
      <c r="X145" s="2242"/>
      <c r="Y145" s="2243"/>
      <c r="Z145" s="2251"/>
      <c r="AA145" s="2244"/>
      <c r="AB145" s="2245"/>
      <c r="AC145" s="2246"/>
      <c r="AD145" s="2247"/>
      <c r="AE145" s="2248"/>
      <c r="AF145" s="2249"/>
      <c r="AG145" s="2249"/>
      <c r="AH145" s="2238"/>
      <c r="AI145" s="2257"/>
      <c r="AJ145" s="2230"/>
      <c r="AK145" s="2230"/>
      <c r="AL145" s="3">
        <v>1</v>
      </c>
    </row>
    <row r="146" spans="1:38" ht="21" customHeight="1">
      <c r="A146" s="2230"/>
      <c r="B146" s="6793"/>
      <c r="C146" s="6074" t="str">
        <f>TRIM(SUBSTITUTE(SUBSTITUTE(SUBSTITUTE(SUBSTITUTE(IF(OR(LEFT(C145,1)="-",LEFT(C145,1)="="),MID(C145,2,99999),C145),CHAR(160)," "),CHAR(9)," "),CHAR(13)&amp;CHAR(10)," "),CHAR(10)," "))</f>
        <v/>
      </c>
      <c r="D146" s="6069" t="str" cm="1">
        <f t="array" ref="D146">IF(ROW()=ROW(D145),C148,INDEX(E145:E158,ROW()-ROW(D145)))</f>
        <v/>
      </c>
      <c r="E146" s="6112" t="str">
        <f>IF(OR(D146="",C147="",C147&lt;=0,F146=""),"",TRIM(MID(D146,LEN(F146)+1+IF(MID(D146,LEN(F146)+1,1)=" ",1,0),99999)))</f>
        <v/>
      </c>
      <c r="F146" s="6069" t="str">
        <f>IF(OR(G146="",G146=0,G146="0"),"",IF(LEN(G146)&lt;=C147,G146,IF(LEN(SUBSTITUTE(H146," ",""))=C147+1,LEFT(G146,C147),LEFT(G146,FIND("§",SUBSTITUTE(H146," ","§",LEN(H146)-LEN(SUBSTITUTE(H146," ",""))))-1))))</f>
        <v/>
      </c>
      <c r="G146" s="6069" t="str">
        <f t="shared" si="16"/>
        <v/>
      </c>
      <c r="H146" s="6069" t="str">
        <f>IF(OR(G146="",G146=0,G146="0"),"",LEFT(G146,C147+1))</f>
        <v/>
      </c>
      <c r="I146" s="6070" t="str">
        <f t="shared" si="17"/>
        <v/>
      </c>
      <c r="J146" s="6071" t="str">
        <f t="shared" si="18"/>
        <v/>
      </c>
      <c r="K146" s="6072" t="str">
        <f>IF(LEN(TRIM(L146))&gt;0,MAX(K46:K145)+1,"")</f>
        <v/>
      </c>
      <c r="L146" s="200"/>
      <c r="M146" s="6116"/>
      <c r="N146" s="6116"/>
      <c r="O146" s="2230"/>
      <c r="P146" s="2252"/>
      <c r="Q146" s="2237"/>
      <c r="R146" s="2237"/>
      <c r="S146" s="2237"/>
      <c r="T146" s="2237"/>
      <c r="U146" s="2240"/>
      <c r="V146" s="2241"/>
      <c r="W146" s="2239"/>
      <c r="X146" s="2242"/>
      <c r="Y146" s="2243"/>
      <c r="Z146" s="2251"/>
      <c r="AA146" s="2244"/>
      <c r="AB146" s="2245"/>
      <c r="AC146" s="2246"/>
      <c r="AD146" s="2247"/>
      <c r="AE146" s="2248"/>
      <c r="AF146" s="2249"/>
      <c r="AG146" s="2249"/>
      <c r="AH146" s="2238"/>
      <c r="AI146" s="2257"/>
      <c r="AJ146" s="2230"/>
      <c r="AK146" s="2230"/>
      <c r="AL146" s="3">
        <v>1</v>
      </c>
    </row>
    <row r="147" spans="1:38" ht="21" customHeight="1">
      <c r="A147" s="2230"/>
      <c r="B147" s="6793"/>
      <c r="C147" s="6075">
        <f>M44</f>
        <v>120</v>
      </c>
      <c r="D147" s="6069" t="str" cm="1">
        <f t="array" ref="D147">IF(ROW()=ROW(D145),C148,INDEX(E145:E158,ROW()-ROW(D145)))</f>
        <v/>
      </c>
      <c r="E147" s="6112" t="str">
        <f>IF(OR(D147="",C147="",C147&lt;=0,F147=""),"",TRIM(MID(D147,LEN(F147)+1+IF(MID(D147,LEN(F147)+1,1)=" ",1,0),99999)))</f>
        <v/>
      </c>
      <c r="F147" s="6069" t="str">
        <f>IF(OR(G147="",G147=0,G147="0"),"",IF(LEN(G147)&lt;=C147,G147,IF(LEN(SUBSTITUTE(H147," ",""))=C147+1,LEFT(G147,C147),LEFT(G147,FIND("§",SUBSTITUTE(H147," ","§",LEN(H147)-LEN(SUBSTITUTE(H147," ",""))))-1))))</f>
        <v/>
      </c>
      <c r="G147" s="6069" t="str">
        <f t="shared" si="16"/>
        <v/>
      </c>
      <c r="H147" s="6069" t="str">
        <f>IF(OR(G147="",G147=0,G147="0"),"",LEFT(G147,C147+1))</f>
        <v/>
      </c>
      <c r="I147" s="6070" t="str">
        <f t="shared" si="17"/>
        <v/>
      </c>
      <c r="J147" s="6071" t="str">
        <f t="shared" si="18"/>
        <v/>
      </c>
      <c r="K147" s="6072" t="str">
        <f>IF(LEN(TRIM(L147))&gt;0,MAX(K46:K146)+1,"")</f>
        <v/>
      </c>
      <c r="L147" s="200"/>
      <c r="M147" s="6116"/>
      <c r="N147" s="6116"/>
      <c r="O147" s="2230"/>
      <c r="P147" s="2252"/>
      <c r="Q147" s="2237"/>
      <c r="R147" s="2237"/>
      <c r="S147" s="2237"/>
      <c r="T147" s="2237"/>
      <c r="U147" s="2240"/>
      <c r="V147" s="2241"/>
      <c r="W147" s="2239"/>
      <c r="X147" s="2242"/>
      <c r="Y147" s="2243"/>
      <c r="Z147" s="2251"/>
      <c r="AA147" s="2244"/>
      <c r="AB147" s="2245"/>
      <c r="AC147" s="2246"/>
      <c r="AD147" s="2247"/>
      <c r="AE147" s="2248"/>
      <c r="AF147" s="2249"/>
      <c r="AG147" s="2249"/>
      <c r="AH147" s="2238"/>
      <c r="AI147" s="2257"/>
      <c r="AJ147" s="2230"/>
      <c r="AK147" s="2230"/>
      <c r="AL147" s="3">
        <v>1</v>
      </c>
    </row>
    <row r="148" spans="1:38" ht="21" customHeight="1">
      <c r="A148" s="2230"/>
      <c r="B148" s="6793"/>
      <c r="C148" s="6074" t="str">
        <f>IF(UPPER(TRIM(C45))="X",C152,C146)</f>
        <v/>
      </c>
      <c r="D148" s="6069" t="str" cm="1">
        <f t="array" ref="D148">IF(ROW()=ROW(D145),C148,INDEX(E145:E158,ROW()-ROW(D145)))</f>
        <v/>
      </c>
      <c r="E148" s="6112" t="str">
        <f>IF(OR(D148="",C147="",C147&lt;=0,F148=""),"",TRIM(MID(D148,LEN(F148)+1+IF(MID(D148,LEN(F148)+1,1)=" ",1,0),99999)))</f>
        <v/>
      </c>
      <c r="F148" s="6069" t="str">
        <f>IF(OR(G148="",G148=0,G148="0"),"",IF(LEN(G148)&lt;=C147,G148,IF(LEN(SUBSTITUTE(H148," ",""))=C147+1,LEFT(G148,C147),LEFT(G148,FIND("§",SUBSTITUTE(H148," ","§",LEN(H148)-LEN(SUBSTITUTE(H148," ",""))))-1))))</f>
        <v/>
      </c>
      <c r="G148" s="6069" t="str">
        <f t="shared" si="16"/>
        <v/>
      </c>
      <c r="H148" s="6069" t="str">
        <f>IF(OR(G148="",G148=0,G148="0"),"",LEFT(G148,C147+1))</f>
        <v/>
      </c>
      <c r="I148" s="6070" t="str">
        <f t="shared" si="17"/>
        <v/>
      </c>
      <c r="J148" s="6071" t="str">
        <f t="shared" si="18"/>
        <v/>
      </c>
      <c r="K148" s="6072" t="str">
        <f>IF(LEN(TRIM(L148))&gt;0,MAX(K46:K147)+1,"")</f>
        <v/>
      </c>
      <c r="L148" s="200"/>
      <c r="M148" s="6116"/>
      <c r="N148" s="6116"/>
      <c r="O148" s="2230"/>
      <c r="P148" s="2252"/>
      <c r="Q148" s="2237"/>
      <c r="R148" s="2237"/>
      <c r="S148" s="2237"/>
      <c r="T148" s="2237"/>
      <c r="U148" s="2240"/>
      <c r="V148" s="2241"/>
      <c r="W148" s="2239"/>
      <c r="X148" s="2242"/>
      <c r="Y148" s="2243"/>
      <c r="Z148" s="2251"/>
      <c r="AA148" s="2244"/>
      <c r="AB148" s="2245"/>
      <c r="AC148" s="2246"/>
      <c r="AD148" s="2247"/>
      <c r="AE148" s="2248"/>
      <c r="AF148" s="2249"/>
      <c r="AG148" s="2249"/>
      <c r="AH148" s="2238"/>
      <c r="AI148" s="2257"/>
      <c r="AJ148" s="2230"/>
      <c r="AK148" s="2230"/>
      <c r="AL148" s="3">
        <v>1</v>
      </c>
    </row>
    <row r="149" spans="1:38" ht="21" customHeight="1">
      <c r="A149" s="2230"/>
      <c r="B149" s="6793"/>
      <c r="C149" s="6074" t="str">
        <f>TRIM(SUBSTITUTE(SUBSTITUTE(SUBSTITUTE(SUBSTITUTE(SUBSTITUTE(SUBSTITUTE(SUBSTITUTE(SUBSTITUTE(SUBSTITUTE(SUBSTITUTE(C146,","," "),";"," "),":"," "),"!"," "),"?"," "),"…"," "),"»"," "),"«"," "),"/"," "),"."," "))</f>
        <v/>
      </c>
      <c r="D149" s="6069" t="str" cm="1">
        <f t="array" ref="D149">IF(ROW()=ROW(D145),C148,INDEX(E145:E158,ROW()-ROW(D145)))</f>
        <v/>
      </c>
      <c r="E149" s="6112" t="str">
        <f>IF(OR(D149="",C147="",C147&lt;=0,F149=""),"",TRIM(MID(D149,LEN(F149)+1+IF(MID(D149,LEN(F149)+1,1)=" ",1,0),99999)))</f>
        <v/>
      </c>
      <c r="F149" s="6069" t="str">
        <f>IF(OR(G149="",G149=0,G149="0"),"",IF(LEN(G149)&lt;=C147,G149,IF(LEN(SUBSTITUTE(H149," ",""))=C147+1,LEFT(G149,C147),LEFT(G149,FIND("§",SUBSTITUTE(H149," ","§",LEN(H149)-LEN(SUBSTITUTE(H149," ",""))))-1))))</f>
        <v/>
      </c>
      <c r="G149" s="6069" t="str">
        <f t="shared" si="16"/>
        <v/>
      </c>
      <c r="H149" s="6069" t="str">
        <f>IF(OR(G149="",G149=0,G149="0"),"",LEFT(G149,C147+1))</f>
        <v/>
      </c>
      <c r="I149" s="6070" t="str">
        <f t="shared" si="17"/>
        <v/>
      </c>
      <c r="J149" s="6071" t="str">
        <f t="shared" si="18"/>
        <v/>
      </c>
      <c r="K149" s="6072" t="str">
        <f>IF(LEN(TRIM(L149))&gt;0,MAX(K46:K148)+1,"")</f>
        <v/>
      </c>
      <c r="L149" s="200"/>
      <c r="M149" s="6116"/>
      <c r="N149" s="6116"/>
      <c r="O149" s="2230"/>
      <c r="P149" s="2252"/>
      <c r="Q149" s="2237"/>
      <c r="R149" s="2237"/>
      <c r="S149" s="2237"/>
      <c r="T149" s="2237"/>
      <c r="U149" s="2240"/>
      <c r="V149" s="2241"/>
      <c r="W149" s="2239"/>
      <c r="X149" s="2242"/>
      <c r="Y149" s="2243"/>
      <c r="Z149" s="2251"/>
      <c r="AA149" s="2244"/>
      <c r="AB149" s="2245"/>
      <c r="AC149" s="2246"/>
      <c r="AD149" s="2247"/>
      <c r="AE149" s="2248"/>
      <c r="AF149" s="2249"/>
      <c r="AG149" s="2249"/>
      <c r="AH149" s="2238"/>
      <c r="AI149" s="2257"/>
      <c r="AJ149" s="2230"/>
      <c r="AK149" s="2230"/>
      <c r="AL149" s="3">
        <v>1</v>
      </c>
    </row>
    <row r="150" spans="1:38" ht="21" customHeight="1">
      <c r="A150" s="2230"/>
      <c r="B150" s="6793"/>
      <c r="C150" s="6069" t="str">
        <f>TRIM(SUBSTITUTE(SUBSTITUTE(SUBSTITUTE(SUBSTITUTE(SUBSTITUTE(SUBSTITUTE(SUBSTITUTE(SUBSTITUTE(C149,"("," "),")"," "),CHAR(34)," "),"-"," "),"_"," "),"&lt;"," "),"&gt;"," "),"="," "))</f>
        <v/>
      </c>
      <c r="D150" s="6069" t="str" cm="1">
        <f t="array" ref="D150">IF(ROW()=ROW(D145),C148,INDEX(E145:E158,ROW()-ROW(D145)))</f>
        <v/>
      </c>
      <c r="E150" s="6112" t="str">
        <f>IF(OR(D150="",C147="",C147&lt;=0,F150=""),"",TRIM(MID(D150,LEN(F150)+1+IF(MID(D150,LEN(F150)+1,1)=" ",1,0),99999)))</f>
        <v/>
      </c>
      <c r="F150" s="6069" t="str">
        <f>IF(OR(G150="",G150=0,G150="0"),"",IF(LEN(G150)&lt;=C147,G150,IF(LEN(SUBSTITUTE(H150," ",""))=C147+1,LEFT(G150,C147),LEFT(G150,FIND("§",SUBSTITUTE(H150," ","§",LEN(H150)-LEN(SUBSTITUTE(H150," ",""))))-1))))</f>
        <v/>
      </c>
      <c r="G150" s="6069" t="str">
        <f t="shared" si="16"/>
        <v/>
      </c>
      <c r="H150" s="6069" t="str">
        <f>IF(OR(G150="",G150=0,G150="0"),"",LEFT(G150,C147+1))</f>
        <v/>
      </c>
      <c r="I150" s="6070" t="str">
        <f t="shared" si="17"/>
        <v/>
      </c>
      <c r="J150" s="6071" t="str">
        <f t="shared" si="18"/>
        <v/>
      </c>
      <c r="K150" s="6072" t="str">
        <f>IF(LEN(TRIM(L150))&gt;0,MAX(K46:K149)+1,"")</f>
        <v/>
      </c>
      <c r="L150" s="200"/>
      <c r="M150" s="6116"/>
      <c r="N150" s="6116"/>
      <c r="O150" s="2230"/>
      <c r="P150" s="2252"/>
      <c r="Q150" s="2237"/>
      <c r="R150" s="2237"/>
      <c r="S150" s="2237"/>
      <c r="T150" s="2237"/>
      <c r="U150" s="2240"/>
      <c r="V150" s="2241"/>
      <c r="W150" s="2239"/>
      <c r="X150" s="2242"/>
      <c r="Y150" s="2243"/>
      <c r="Z150" s="2251"/>
      <c r="AA150" s="2244"/>
      <c r="AB150" s="2245"/>
      <c r="AC150" s="2246"/>
      <c r="AD150" s="2247"/>
      <c r="AE150" s="2248"/>
      <c r="AF150" s="2249"/>
      <c r="AG150" s="2249"/>
      <c r="AH150" s="2238"/>
      <c r="AI150" s="2257"/>
      <c r="AJ150" s="2230"/>
      <c r="AK150" s="2230"/>
      <c r="AL150" s="3">
        <v>1</v>
      </c>
    </row>
    <row r="151" spans="1:38" ht="21" customHeight="1">
      <c r="A151" s="2230"/>
      <c r="B151" s="6793"/>
      <c r="C151" s="6074" t="str">
        <f>TRIM(SUBSTITUTE(SUBSTITUTE(SUBSTITUTE(SUBSTITUTE(C150,"►"," "),"▼"," "),"▲"," "),"◄"," "))</f>
        <v/>
      </c>
      <c r="D151" s="6069" t="str" cm="1">
        <f t="array" ref="D151">IF(ROW()=ROW(D145),C148,INDEX(E145:E158,ROW()-ROW(D145)))</f>
        <v/>
      </c>
      <c r="E151" s="6112" t="str">
        <f>IF(OR(D151="",C147="",C147&lt;=0,F151=""),"",TRIM(MID(D151,LEN(F151)+1+IF(MID(D151,LEN(F151)+1,1)=" ",1,0),99999)))</f>
        <v/>
      </c>
      <c r="F151" s="6069" t="str">
        <f>IF(OR(G151="",G151=0,G151="0"),"",IF(LEN(G151)&lt;=C147,G151,IF(LEN(SUBSTITUTE(H151," ",""))=C147+1,LEFT(G151,C147),LEFT(G151,FIND("§",SUBSTITUTE(H151," ","§",LEN(H151)-LEN(SUBSTITUTE(H151," ",""))))-1))))</f>
        <v/>
      </c>
      <c r="G151" s="6069" t="str">
        <f t="shared" si="16"/>
        <v/>
      </c>
      <c r="H151" s="6069" t="str">
        <f>IF(OR(G151="",G151=0,G151="0"),"",LEFT(G151,C147+1))</f>
        <v/>
      </c>
      <c r="I151" s="6070" t="str">
        <f t="shared" si="17"/>
        <v/>
      </c>
      <c r="J151" s="6071" t="str">
        <f t="shared" si="18"/>
        <v/>
      </c>
      <c r="K151" s="6072" t="str">
        <f>IF(LEN(TRIM(L151))&gt;0,MAX(K46:K150)+1,"")</f>
        <v/>
      </c>
      <c r="L151" s="200"/>
      <c r="M151" s="6116"/>
      <c r="N151" s="6116"/>
      <c r="O151" s="2230"/>
      <c r="P151" s="2252"/>
      <c r="Q151" s="2237"/>
      <c r="R151" s="2237"/>
      <c r="S151" s="2237"/>
      <c r="T151" s="2237"/>
      <c r="U151" s="2240"/>
      <c r="V151" s="2241"/>
      <c r="W151" s="2239"/>
      <c r="X151" s="2242"/>
      <c r="Y151" s="2243"/>
      <c r="Z151" s="2251"/>
      <c r="AA151" s="2244"/>
      <c r="AB151" s="2245"/>
      <c r="AC151" s="2246"/>
      <c r="AD151" s="2247"/>
      <c r="AE151" s="2248"/>
      <c r="AF151" s="2249"/>
      <c r="AG151" s="2249"/>
      <c r="AH151" s="2238"/>
      <c r="AI151" s="2257"/>
      <c r="AJ151" s="2230"/>
      <c r="AK151" s="2230"/>
      <c r="AL151" s="3">
        <v>1</v>
      </c>
    </row>
    <row r="152" spans="1:38" ht="21" customHeight="1">
      <c r="A152" s="2230"/>
      <c r="B152" s="6793"/>
      <c r="C152" s="6074" t="str">
        <f>TRIM(SUBSTITUTE(SUBSTITUTE(C151,"“"," "),"”"," "))</f>
        <v/>
      </c>
      <c r="D152" s="6069" t="str" cm="1">
        <f t="array" ref="D152">IF(ROW()=ROW(D145),C148,INDEX(E145:E158,ROW()-ROW(D145)))</f>
        <v/>
      </c>
      <c r="E152" s="6112" t="str">
        <f>IF(OR(D152="",C147="",C147&lt;=0,F152=""),"",TRIM(MID(D152,LEN(F152)+1+IF(MID(D152,LEN(F152)+1,1)=" ",1,0),99999)))</f>
        <v/>
      </c>
      <c r="F152" s="6069" t="str">
        <f>IF(OR(G152="",G152=0,G152="0"),"",IF(LEN(G152)&lt;=C147,G152,IF(LEN(SUBSTITUTE(H152," ",""))=C147+1,LEFT(G152,C147),LEFT(G152,FIND("§",SUBSTITUTE(H152," ","§",LEN(H152)-LEN(SUBSTITUTE(H152," ",""))))-1))))</f>
        <v/>
      </c>
      <c r="G152" s="6069" t="str">
        <f t="shared" si="16"/>
        <v/>
      </c>
      <c r="H152" s="6069" t="str">
        <f>IF(OR(G152="",G152=0,G152="0"),"",LEFT(G152,C147+1))</f>
        <v/>
      </c>
      <c r="I152" s="6070" t="str">
        <f t="shared" si="17"/>
        <v/>
      </c>
      <c r="J152" s="6071" t="str">
        <f t="shared" si="18"/>
        <v/>
      </c>
      <c r="K152" s="6072" t="str">
        <f>IF(LEN(TRIM(L152))&gt;0,MAX(K46:K151)+1,"")</f>
        <v/>
      </c>
      <c r="L152" s="200"/>
      <c r="M152" s="6116"/>
      <c r="N152" s="6116"/>
      <c r="O152" s="2230"/>
      <c r="P152" s="2252"/>
      <c r="Q152" s="2237"/>
      <c r="R152" s="2237"/>
      <c r="S152" s="2237"/>
      <c r="T152" s="2237"/>
      <c r="U152" s="2240"/>
      <c r="V152" s="2241"/>
      <c r="W152" s="2239"/>
      <c r="X152" s="2242"/>
      <c r="Y152" s="2243"/>
      <c r="Z152" s="2251"/>
      <c r="AA152" s="2244"/>
      <c r="AB152" s="2245"/>
      <c r="AC152" s="2246"/>
      <c r="AD152" s="2247"/>
      <c r="AE152" s="2248"/>
      <c r="AF152" s="2249"/>
      <c r="AG152" s="2249"/>
      <c r="AH152" s="2238"/>
      <c r="AI152" s="2257"/>
      <c r="AJ152" s="2230"/>
      <c r="AK152" s="2230"/>
      <c r="AL152" s="3">
        <v>1</v>
      </c>
    </row>
    <row r="153" spans="1:38" ht="21" customHeight="1">
      <c r="A153" s="2230"/>
      <c r="B153" s="6793"/>
      <c r="C153" s="6074"/>
      <c r="D153" s="6069" t="str" cm="1">
        <f t="array" ref="D153">IF(ROW()=ROW(D145),C148,INDEX(E145:E158,ROW()-ROW(D145)))</f>
        <v/>
      </c>
      <c r="E153" s="6112" t="str">
        <f>IF(OR(D153="",C147="",C147&lt;=0,F153=""),"",TRIM(MID(D153,LEN(F153)+1+IF(MID(D153,LEN(F153)+1,1)=" ",1,0),99999)))</f>
        <v/>
      </c>
      <c r="F153" s="6069" t="str">
        <f>IF(OR(G153="",G153=0,G153="0"),"",IF(LEN(G153)&lt;=C147,G153,IF(LEN(SUBSTITUTE(H153," ",""))=C147+1,LEFT(G153,C147),LEFT(G153,FIND("§",SUBSTITUTE(H153," ","§",LEN(H153)-LEN(SUBSTITUTE(H153," ",""))))-1))))</f>
        <v/>
      </c>
      <c r="G153" s="6069" t="str">
        <f t="shared" si="16"/>
        <v/>
      </c>
      <c r="H153" s="6069" t="str">
        <f>IF(OR(G153="",G153=0,G153="0"),"",LEFT(G153,C147+1))</f>
        <v/>
      </c>
      <c r="I153" s="6070" t="str">
        <f t="shared" si="17"/>
        <v/>
      </c>
      <c r="J153" s="6071" t="str">
        <f t="shared" si="18"/>
        <v/>
      </c>
      <c r="K153" s="6072" t="str">
        <f>IF(LEN(TRIM(L153))&gt;0,MAX(K46:K152)+1,"")</f>
        <v/>
      </c>
      <c r="L153" s="200"/>
      <c r="M153" s="6116"/>
      <c r="N153" s="6116"/>
      <c r="O153" s="2230"/>
      <c r="P153" s="2252"/>
      <c r="Q153" s="2237"/>
      <c r="R153" s="2237"/>
      <c r="S153" s="2237"/>
      <c r="T153" s="2237"/>
      <c r="U153" s="2240"/>
      <c r="V153" s="2241"/>
      <c r="W153" s="2239"/>
      <c r="X153" s="2242"/>
      <c r="Y153" s="2243"/>
      <c r="Z153" s="2251"/>
      <c r="AA153" s="2244"/>
      <c r="AB153" s="2245"/>
      <c r="AC153" s="2246"/>
      <c r="AD153" s="2247"/>
      <c r="AE153" s="2248"/>
      <c r="AF153" s="2249"/>
      <c r="AG153" s="2249"/>
      <c r="AH153" s="2238"/>
      <c r="AI153" s="2257"/>
      <c r="AJ153" s="2230"/>
      <c r="AK153" s="2230"/>
      <c r="AL153" s="3">
        <v>1</v>
      </c>
    </row>
    <row r="154" spans="1:38" ht="21" customHeight="1">
      <c r="A154" s="2230"/>
      <c r="B154" s="6793"/>
      <c r="C154" s="6074"/>
      <c r="D154" s="6069" t="str" cm="1">
        <f t="array" ref="D154">IF(ROW()=ROW(D145),C148,INDEX(E145:E158,ROW()-ROW(D145)))</f>
        <v/>
      </c>
      <c r="E154" s="6112" t="str">
        <f>IF(OR(D154="",C147="",C147&lt;=0,F154=""),"",TRIM(MID(D154,LEN(F154)+1+IF(MID(D154,LEN(F154)+1,1)=" ",1,0),99999)))</f>
        <v/>
      </c>
      <c r="F154" s="6069" t="str">
        <f>IF(OR(G154="",G154=0,G154="0"),"",IF(LEN(G154)&lt;=C147,G154,IF(LEN(SUBSTITUTE(H154," ",""))=C147+1,LEFT(G154,C147),LEFT(G154,FIND("§",SUBSTITUTE(H154," ","§",LEN(H154)-LEN(SUBSTITUTE(H154," ",""))))-1))))</f>
        <v/>
      </c>
      <c r="G154" s="6069" t="str">
        <f t="shared" si="16"/>
        <v/>
      </c>
      <c r="H154" s="6069" t="str">
        <f>IF(OR(G154="",G154=0,G154="0"),"",LEFT(G154,C147+1))</f>
        <v/>
      </c>
      <c r="I154" s="6070" t="str">
        <f t="shared" si="17"/>
        <v/>
      </c>
      <c r="J154" s="6071" t="str">
        <f t="shared" si="18"/>
        <v/>
      </c>
      <c r="K154" s="6072" t="str">
        <f>IF(LEN(TRIM(L154))&gt;0,MAX(K46:K153)+1,"")</f>
        <v/>
      </c>
      <c r="L154" s="200"/>
      <c r="M154" s="6116"/>
      <c r="N154" s="6116"/>
      <c r="O154" s="2230"/>
      <c r="P154" s="2252"/>
      <c r="Q154" s="2237"/>
      <c r="R154" s="2237"/>
      <c r="S154" s="2237"/>
      <c r="T154" s="2237"/>
      <c r="U154" s="2240"/>
      <c r="V154" s="2241"/>
      <c r="W154" s="2239"/>
      <c r="X154" s="2242"/>
      <c r="Y154" s="2243"/>
      <c r="Z154" s="2251"/>
      <c r="AA154" s="2244"/>
      <c r="AB154" s="2245"/>
      <c r="AC154" s="2246"/>
      <c r="AD154" s="2247"/>
      <c r="AE154" s="2248"/>
      <c r="AF154" s="2249"/>
      <c r="AG154" s="2249"/>
      <c r="AH154" s="2238"/>
      <c r="AI154" s="2257"/>
      <c r="AJ154" s="2230"/>
      <c r="AK154" s="2230"/>
      <c r="AL154" s="3">
        <v>1</v>
      </c>
    </row>
    <row r="155" spans="1:38" ht="21" customHeight="1">
      <c r="A155" s="2230"/>
      <c r="B155" s="6793"/>
      <c r="C155" s="6074"/>
      <c r="D155" s="6069" t="str" cm="1">
        <f t="array" ref="D155">IF(ROW()=ROW(D145),C148,INDEX(E145:E158,ROW()-ROW(D145)))</f>
        <v/>
      </c>
      <c r="E155" s="6112" t="str">
        <f>IF(OR(D155="",C147="",C147&lt;=0,F155=""),"",TRIM(MID(D155,LEN(F155)+1+IF(MID(D155,LEN(F155)+1,1)=" ",1,0),99999)))</f>
        <v/>
      </c>
      <c r="F155" s="6069" t="str">
        <f>IF(OR(G155="",G155=0,G155="0"),"",IF(LEN(G155)&lt;=C147,G155,IF(LEN(SUBSTITUTE(H155," ",""))=C147+1,LEFT(G155,C147),LEFT(G155,FIND("§",SUBSTITUTE(H155," ","§",LEN(H155)-LEN(SUBSTITUTE(H155," ",""))))-1))))</f>
        <v/>
      </c>
      <c r="G155" s="6069" t="str">
        <f t="shared" si="16"/>
        <v/>
      </c>
      <c r="H155" s="6069" t="str">
        <f>IF(OR(G155="",G155=0,G155="0"),"",LEFT(G155,C147+1))</f>
        <v/>
      </c>
      <c r="I155" s="6070" t="str">
        <f t="shared" si="17"/>
        <v/>
      </c>
      <c r="J155" s="6071" t="str">
        <f t="shared" si="18"/>
        <v/>
      </c>
      <c r="K155" s="6072" t="str">
        <f>IF(LEN(TRIM(L155))&gt;0,MAX(K46:K154)+1,"")</f>
        <v/>
      </c>
      <c r="L155" s="200"/>
      <c r="M155" s="6116"/>
      <c r="N155" s="6116"/>
      <c r="O155" s="2230"/>
      <c r="P155" s="2252"/>
      <c r="Q155" s="2237"/>
      <c r="R155" s="2237"/>
      <c r="S155" s="2237"/>
      <c r="T155" s="2237"/>
      <c r="U155" s="2240"/>
      <c r="V155" s="2241"/>
      <c r="W155" s="2239"/>
      <c r="X155" s="2242"/>
      <c r="Y155" s="2243"/>
      <c r="Z155" s="2251"/>
      <c r="AA155" s="2244"/>
      <c r="AB155" s="2245"/>
      <c r="AC155" s="2246"/>
      <c r="AD155" s="2247"/>
      <c r="AE155" s="2248"/>
      <c r="AF155" s="2249"/>
      <c r="AG155" s="2249"/>
      <c r="AH155" s="2238"/>
      <c r="AI155" s="2257"/>
      <c r="AJ155" s="2230"/>
      <c r="AK155" s="2230"/>
      <c r="AL155" s="3">
        <v>1</v>
      </c>
    </row>
    <row r="156" spans="1:38" ht="21" customHeight="1">
      <c r="A156" s="2230"/>
      <c r="B156" s="6793"/>
      <c r="C156" s="6074"/>
      <c r="D156" s="6069" t="str" cm="1">
        <f t="array" ref="D156">IF(ROW()=ROW(D145),C148,INDEX(E145:E158,ROW()-ROW(D145)))</f>
        <v/>
      </c>
      <c r="E156" s="6112" t="str">
        <f>IF(OR(D156="",C147="",C147&lt;=0,F156=""),"",TRIM(MID(D156,LEN(F156)+1+IF(MID(D156,LEN(F156)+1,1)=" ",1,0),99999)))</f>
        <v/>
      </c>
      <c r="F156" s="6069" t="str">
        <f>IF(OR(G156="",G156=0,G156="0"),"",IF(LEN(G156)&lt;=C147,G156,IF(LEN(SUBSTITUTE(H156," ",""))=C147+1,LEFT(G156,C147),LEFT(G156,FIND("§",SUBSTITUTE(H156," ","§",LEN(H156)-LEN(SUBSTITUTE(H156," ",""))))-1))))</f>
        <v/>
      </c>
      <c r="G156" s="6069" t="str">
        <f t="shared" si="16"/>
        <v/>
      </c>
      <c r="H156" s="6069" t="str">
        <f>IF(OR(G156="",G156=0,G156="0"),"",LEFT(G156,C147+1))</f>
        <v/>
      </c>
      <c r="I156" s="6070" t="str">
        <f t="shared" si="17"/>
        <v/>
      </c>
      <c r="J156" s="6071" t="str">
        <f t="shared" si="18"/>
        <v/>
      </c>
      <c r="K156" s="6072" t="str">
        <f>IF(LEN(TRIM(L156))&gt;0,MAX(K46:K155)+1,"")</f>
        <v/>
      </c>
      <c r="L156" s="200"/>
      <c r="M156" s="6116"/>
      <c r="N156" s="6116"/>
      <c r="O156" s="2230"/>
      <c r="P156" s="2252"/>
      <c r="Q156" s="2237"/>
      <c r="R156" s="2237"/>
      <c r="S156" s="2237"/>
      <c r="T156" s="2237"/>
      <c r="U156" s="2240"/>
      <c r="V156" s="2241"/>
      <c r="W156" s="2239"/>
      <c r="X156" s="2242"/>
      <c r="Y156" s="2243"/>
      <c r="Z156" s="2251"/>
      <c r="AA156" s="2244"/>
      <c r="AB156" s="2245"/>
      <c r="AC156" s="2246"/>
      <c r="AD156" s="2247"/>
      <c r="AE156" s="2248"/>
      <c r="AF156" s="2249"/>
      <c r="AG156" s="2249"/>
      <c r="AH156" s="2238"/>
      <c r="AI156" s="2257"/>
      <c r="AJ156" s="2230"/>
      <c r="AK156" s="2230"/>
      <c r="AL156" s="3">
        <v>1</v>
      </c>
    </row>
    <row r="157" spans="1:38" ht="21" customHeight="1">
      <c r="A157" s="2230"/>
      <c r="B157" s="6793"/>
      <c r="C157" s="6074"/>
      <c r="D157" s="6069" t="str" cm="1">
        <f t="array" ref="D157">IF(ROW()=ROW(D145),C148,INDEX(E145:E158,ROW()-ROW(D145)))</f>
        <v/>
      </c>
      <c r="E157" s="6112" t="str">
        <f>IF(OR(D157="",C147="",C147&lt;=0,F157=""),"",TRIM(MID(D157,LEN(F157)+1+IF(MID(D157,LEN(F157)+1,1)=" ",1,0),99999)))</f>
        <v/>
      </c>
      <c r="F157" s="6069" t="str">
        <f>IF(OR(G157="",G157=0,G157="0"),"",IF(LEN(G157)&lt;=C147,G157,IF(LEN(SUBSTITUTE(H157," ",""))=C147+1,LEFT(G157,C147),LEFT(G157,FIND("§",SUBSTITUTE(H157," ","§",LEN(H157)-LEN(SUBSTITUTE(H157," ",""))))-1))))</f>
        <v/>
      </c>
      <c r="G157" s="6069" t="str">
        <f t="shared" si="16"/>
        <v/>
      </c>
      <c r="H157" s="6069" t="str">
        <f>IF(OR(G157="",G157=0,G157="0"),"",LEFT(G157,C147+1))</f>
        <v/>
      </c>
      <c r="I157" s="6070" t="str">
        <f t="shared" si="17"/>
        <v/>
      </c>
      <c r="J157" s="6071" t="str">
        <f t="shared" si="18"/>
        <v/>
      </c>
      <c r="K157" s="6072" t="str">
        <f>IF(LEN(TRIM(L157))&gt;0,MAX(K46:K156)+1,"")</f>
        <v/>
      </c>
      <c r="L157" s="200"/>
      <c r="M157" s="6116"/>
      <c r="N157" s="6116"/>
      <c r="O157" s="2230"/>
      <c r="P157" s="2252"/>
      <c r="Q157" s="2237"/>
      <c r="R157" s="2237"/>
      <c r="S157" s="2237"/>
      <c r="T157" s="2237"/>
      <c r="U157" s="2240"/>
      <c r="V157" s="2241"/>
      <c r="W157" s="2239"/>
      <c r="X157" s="2242"/>
      <c r="Y157" s="2243"/>
      <c r="Z157" s="2251"/>
      <c r="AA157" s="2244"/>
      <c r="AB157" s="2245"/>
      <c r="AC157" s="2246"/>
      <c r="AD157" s="2247"/>
      <c r="AE157" s="2248"/>
      <c r="AF157" s="2249"/>
      <c r="AG157" s="2249"/>
      <c r="AH157" s="2238"/>
      <c r="AI157" s="2257"/>
      <c r="AJ157" s="2230"/>
      <c r="AK157" s="2230"/>
      <c r="AL157" s="3">
        <v>1</v>
      </c>
    </row>
    <row r="158" spans="1:38" ht="21" customHeight="1">
      <c r="A158" s="2230"/>
      <c r="B158" s="6793"/>
      <c r="C158" s="6074"/>
      <c r="D158" s="6069" t="str" cm="1">
        <f t="array" ref="D158">IF(ROW()=ROW(D145),C148,INDEX(E145:E158,ROW()-ROW(D145)))</f>
        <v/>
      </c>
      <c r="E158" s="6112" t="str">
        <f>IF(OR(D158="",C147="",C147&lt;=0,F158=""),"",TRIM(MID(D158,LEN(F158)+1+IF(MID(D158,LEN(F158)+1,1)=" ",1,0),99999)))</f>
        <v/>
      </c>
      <c r="F158" s="6069" t="str">
        <f>IF(OR(G158="",G158=0,G158="0"),"",IF(LEN(G158)&lt;=C147,G158,IF(LEN(SUBSTITUTE(H158," ",""))=C147+1,LEFT(G158,C147),LEFT(G158,FIND("§",SUBSTITUTE(H158," ","§",LEN(H158)-LEN(SUBSTITUTE(H158," ",""))))-1))))</f>
        <v/>
      </c>
      <c r="G158" s="6069" t="str">
        <f t="shared" si="16"/>
        <v/>
      </c>
      <c r="H158" s="6069" t="str">
        <f>IF(OR(G158="",G158=0,G158="0"),"",LEFT(G158,C147+1))</f>
        <v/>
      </c>
      <c r="I158" s="6070" t="str">
        <f t="shared" si="17"/>
        <v/>
      </c>
      <c r="J158" s="6071" t="str">
        <f t="shared" si="18"/>
        <v/>
      </c>
      <c r="K158" s="6072" t="str">
        <f>IF(LEN(TRIM(L158))&gt;0,MAX(K46:K157)+1,"")</f>
        <v/>
      </c>
      <c r="L158" s="200"/>
      <c r="M158" s="6116"/>
      <c r="N158" s="6116"/>
      <c r="O158" s="2230"/>
      <c r="P158" s="2252"/>
      <c r="Q158" s="2237"/>
      <c r="R158" s="2237"/>
      <c r="S158" s="2237"/>
      <c r="T158" s="2237"/>
      <c r="U158" s="2240"/>
      <c r="V158" s="2241"/>
      <c r="W158" s="2239"/>
      <c r="X158" s="2242"/>
      <c r="Y158" s="2243"/>
      <c r="Z158" s="2251"/>
      <c r="AA158" s="2244"/>
      <c r="AB158" s="2245"/>
      <c r="AC158" s="2246"/>
      <c r="AD158" s="2247"/>
      <c r="AE158" s="2248"/>
      <c r="AF158" s="2249"/>
      <c r="AG158" s="2249"/>
      <c r="AH158" s="2238"/>
      <c r="AI158" s="2257"/>
      <c r="AJ158" s="2230"/>
      <c r="AK158" s="2230"/>
      <c r="AL158" s="3">
        <v>1</v>
      </c>
    </row>
    <row r="159" spans="1:38" ht="21" customHeight="1">
      <c r="A159" s="2230"/>
      <c r="B159" s="6793"/>
      <c r="C159" s="6068" t="str">
        <f>IF(TRIM(SUBSTITUTE(M55,CHAR(160),""))="","",M55)</f>
        <v/>
      </c>
      <c r="D159" s="6069" t="str" cm="1">
        <f t="array" ref="D159">IF(ROW()=ROW(D159),C162,INDEX(E159:E172,ROW()-ROW(D159)))</f>
        <v/>
      </c>
      <c r="E159" s="6112" t="str">
        <f>IF(OR(D159="",C161="",C161&lt;=0,F159=""),"",TRIM(MID(D159,LEN(F159)+1+IF(MID(D159,LEN(F159)+1,1)=" ",1,0),99999)))</f>
        <v/>
      </c>
      <c r="F159" s="6069" t="str">
        <f>IF(OR(G159="",G159=0,G159="0"),"",IF(LEN(G159)&lt;=C161,G159,IF(LEN(SUBSTITUTE(H159," ",""))=C161+1,LEFT(G159,C161),LEFT(G159,FIND("§",SUBSTITUTE(H159," ","§",LEN(H159)-LEN(SUBSTITUTE(H159," ",""))))-1))))</f>
        <v/>
      </c>
      <c r="G159" s="6069" t="str">
        <f t="shared" si="16"/>
        <v/>
      </c>
      <c r="H159" s="6069" t="str">
        <f>IF(OR(G159="",G159=0,G159="0"),"",LEFT(G159,C161+1))</f>
        <v/>
      </c>
      <c r="I159" s="6070" t="str">
        <f t="shared" si="17"/>
        <v/>
      </c>
      <c r="J159" s="6071" t="str">
        <f t="shared" si="18"/>
        <v/>
      </c>
      <c r="K159" s="6072" t="str">
        <f>IF(LEN(TRIM(L159))&gt;0,MAX(K46:K158)+1,"")</f>
        <v/>
      </c>
      <c r="L159" s="200"/>
      <c r="M159" s="6116"/>
      <c r="N159" s="6116"/>
      <c r="O159" s="2230"/>
      <c r="P159" s="2252"/>
      <c r="Q159" s="2237"/>
      <c r="R159" s="2237"/>
      <c r="S159" s="2237"/>
      <c r="T159" s="2237"/>
      <c r="U159" s="2240"/>
      <c r="V159" s="2241"/>
      <c r="W159" s="2239"/>
      <c r="X159" s="2242"/>
      <c r="Y159" s="2243"/>
      <c r="Z159" s="2251"/>
      <c r="AA159" s="2244"/>
      <c r="AB159" s="2245"/>
      <c r="AC159" s="2246"/>
      <c r="AD159" s="2247"/>
      <c r="AE159" s="2248"/>
      <c r="AF159" s="2249"/>
      <c r="AG159" s="2249"/>
      <c r="AH159" s="2238"/>
      <c r="AI159" s="2257"/>
      <c r="AJ159" s="2230"/>
      <c r="AK159" s="2230"/>
      <c r="AL159" s="3">
        <v>1</v>
      </c>
    </row>
    <row r="160" spans="1:38" ht="21" customHeight="1">
      <c r="A160" s="2230"/>
      <c r="B160" s="6793"/>
      <c r="C160" s="6074" t="str">
        <f>TRIM(SUBSTITUTE(SUBSTITUTE(SUBSTITUTE(SUBSTITUTE(IF(OR(LEFT(C159,1)="-",LEFT(C159,1)="="),MID(C159,2,99999),C159),CHAR(160)," "),CHAR(9)," "),CHAR(13)&amp;CHAR(10)," "),CHAR(10)," "))</f>
        <v/>
      </c>
      <c r="D160" s="6069" t="str" cm="1">
        <f t="array" ref="D160">IF(ROW()=ROW(D159),C162,INDEX(E159:E172,ROW()-ROW(D159)))</f>
        <v/>
      </c>
      <c r="E160" s="6112" t="str">
        <f>IF(OR(D160="",C161="",C161&lt;=0,F160=""),"",TRIM(MID(D160,LEN(F160)+1+IF(MID(D160,LEN(F160)+1,1)=" ",1,0),99999)))</f>
        <v/>
      </c>
      <c r="F160" s="6069" t="str">
        <f>IF(OR(G160="",G160=0,G160="0"),"",IF(LEN(G160)&lt;=C161,G160,IF(LEN(SUBSTITUTE(H160," ",""))=C161+1,LEFT(G160,C161),LEFT(G160,FIND("§",SUBSTITUTE(H160," ","§",LEN(H160)-LEN(SUBSTITUTE(H160," ",""))))-1))))</f>
        <v/>
      </c>
      <c r="G160" s="6069" t="str">
        <f t="shared" si="16"/>
        <v/>
      </c>
      <c r="H160" s="6069" t="str">
        <f>IF(OR(G160="",G160=0,G160="0"),"",LEFT(G160,C161+1))</f>
        <v/>
      </c>
      <c r="I160" s="6070" t="str">
        <f t="shared" si="17"/>
        <v/>
      </c>
      <c r="J160" s="6071" t="str">
        <f t="shared" si="18"/>
        <v/>
      </c>
      <c r="K160" s="6072" t="str">
        <f>IF(LEN(TRIM(L160))&gt;0,MAX(K46:K159)+1,"")</f>
        <v/>
      </c>
      <c r="L160" s="200"/>
      <c r="M160" s="6116"/>
      <c r="N160" s="6116"/>
      <c r="O160" s="2230"/>
      <c r="P160" s="2252"/>
      <c r="Q160" s="2237"/>
      <c r="R160" s="2237"/>
      <c r="S160" s="2237"/>
      <c r="T160" s="2237"/>
      <c r="U160" s="2240"/>
      <c r="V160" s="2241"/>
      <c r="W160" s="2239"/>
      <c r="X160" s="2242"/>
      <c r="Y160" s="2243"/>
      <c r="Z160" s="2251"/>
      <c r="AA160" s="2244"/>
      <c r="AB160" s="2245"/>
      <c r="AC160" s="2246"/>
      <c r="AD160" s="2247"/>
      <c r="AE160" s="2248"/>
      <c r="AF160" s="2249"/>
      <c r="AG160" s="2249"/>
      <c r="AH160" s="2238"/>
      <c r="AI160" s="2257"/>
      <c r="AJ160" s="2230"/>
      <c r="AK160" s="2230"/>
      <c r="AL160" s="3">
        <v>1</v>
      </c>
    </row>
    <row r="161" spans="1:38" ht="21" customHeight="1">
      <c r="A161" s="2230"/>
      <c r="B161" s="6793"/>
      <c r="C161" s="6075">
        <f>M44</f>
        <v>120</v>
      </c>
      <c r="D161" s="6069" t="str" cm="1">
        <f t="array" ref="D161">IF(ROW()=ROW(D159),C162,INDEX(E159:E172,ROW()-ROW(D159)))</f>
        <v/>
      </c>
      <c r="E161" s="6112" t="str">
        <f>IF(OR(D161="",C161="",C161&lt;=0,F161=""),"",TRIM(MID(D161,LEN(F161)+1+IF(MID(D161,LEN(F161)+1,1)=" ",1,0),99999)))</f>
        <v/>
      </c>
      <c r="F161" s="6069" t="str">
        <f>IF(OR(G161="",G161=0,G161="0"),"",IF(LEN(G161)&lt;=C161,G161,IF(LEN(SUBSTITUTE(H161," ",""))=C161+1,LEFT(G161,C161),LEFT(G161,FIND("§",SUBSTITUTE(H161," ","§",LEN(H161)-LEN(SUBSTITUTE(H161," ",""))))-1))))</f>
        <v/>
      </c>
      <c r="G161" s="6069" t="str">
        <f t="shared" si="16"/>
        <v/>
      </c>
      <c r="H161" s="6069" t="str">
        <f>IF(OR(G161="",G161=0,G161="0"),"",LEFT(G161,C161+1))</f>
        <v/>
      </c>
      <c r="I161" s="6070" t="str">
        <f t="shared" si="17"/>
        <v/>
      </c>
      <c r="J161" s="6071" t="str">
        <f t="shared" si="18"/>
        <v/>
      </c>
      <c r="K161" s="6072" t="str">
        <f>IF(LEN(TRIM(L161))&gt;0,MAX(K46:K160)+1,"")</f>
        <v/>
      </c>
      <c r="L161" s="200"/>
      <c r="M161" s="6116"/>
      <c r="N161" s="6116"/>
      <c r="O161" s="2230"/>
      <c r="P161" s="2252"/>
      <c r="Q161" s="2237"/>
      <c r="R161" s="2237"/>
      <c r="S161" s="2237"/>
      <c r="T161" s="2237"/>
      <c r="U161" s="2240"/>
      <c r="V161" s="2241"/>
      <c r="W161" s="2239"/>
      <c r="X161" s="2242"/>
      <c r="Y161" s="2243"/>
      <c r="Z161" s="2251"/>
      <c r="AA161" s="2244"/>
      <c r="AB161" s="2245"/>
      <c r="AC161" s="2246"/>
      <c r="AD161" s="2247"/>
      <c r="AE161" s="2248"/>
      <c r="AF161" s="2249"/>
      <c r="AG161" s="2249"/>
      <c r="AH161" s="2238"/>
      <c r="AI161" s="2257"/>
      <c r="AJ161" s="2230"/>
      <c r="AK161" s="2230"/>
      <c r="AL161" s="3">
        <v>1</v>
      </c>
    </row>
    <row r="162" spans="1:38" ht="21" customHeight="1">
      <c r="A162" s="2230"/>
      <c r="B162" s="6793"/>
      <c r="C162" s="6074" t="str">
        <f>IF(UPPER(TRIM(C45))="X",C166,C160)</f>
        <v/>
      </c>
      <c r="D162" s="6069" t="str" cm="1">
        <f t="array" ref="D162">IF(ROW()=ROW(D159),C162,INDEX(E159:E172,ROW()-ROW(D159)))</f>
        <v/>
      </c>
      <c r="E162" s="6112" t="str">
        <f>IF(OR(D162="",C161="",C161&lt;=0,F162=""),"",TRIM(MID(D162,LEN(F162)+1+IF(MID(D162,LEN(F162)+1,1)=" ",1,0),99999)))</f>
        <v/>
      </c>
      <c r="F162" s="6069" t="str">
        <f>IF(OR(G162="",G162=0,G162="0"),"",IF(LEN(G162)&lt;=C161,G162,IF(LEN(SUBSTITUTE(H162," ",""))=C161+1,LEFT(G162,C161),LEFT(G162,FIND("§",SUBSTITUTE(H162," ","§",LEN(H162)-LEN(SUBSTITUTE(H162," ",""))))-1))))</f>
        <v/>
      </c>
      <c r="G162" s="6069" t="str">
        <f t="shared" si="16"/>
        <v/>
      </c>
      <c r="H162" s="6069" t="str">
        <f>IF(OR(G162="",G162=0,G162="0"),"",LEFT(G162,C161+1))</f>
        <v/>
      </c>
      <c r="I162" s="6070" t="str">
        <f t="shared" si="17"/>
        <v/>
      </c>
      <c r="J162" s="6071" t="str">
        <f t="shared" si="18"/>
        <v/>
      </c>
      <c r="K162" s="6072" t="str">
        <f>IF(LEN(TRIM(L162))&gt;0,MAX(K46:K161)+1,"")</f>
        <v/>
      </c>
      <c r="L162" s="200"/>
      <c r="M162" s="6116"/>
      <c r="N162" s="6116"/>
      <c r="O162" s="2230"/>
      <c r="P162" s="2252"/>
      <c r="Q162" s="2237"/>
      <c r="R162" s="2237"/>
      <c r="S162" s="2237"/>
      <c r="T162" s="2237"/>
      <c r="U162" s="2240"/>
      <c r="V162" s="2241"/>
      <c r="W162" s="2239"/>
      <c r="X162" s="2242"/>
      <c r="Y162" s="2243"/>
      <c r="Z162" s="2251"/>
      <c r="AA162" s="2244"/>
      <c r="AB162" s="2245"/>
      <c r="AC162" s="2246"/>
      <c r="AD162" s="2247"/>
      <c r="AE162" s="2248"/>
      <c r="AF162" s="2249"/>
      <c r="AG162" s="2249"/>
      <c r="AH162" s="2238"/>
      <c r="AI162" s="2257"/>
      <c r="AJ162" s="2230"/>
      <c r="AK162" s="2230"/>
      <c r="AL162" s="3">
        <v>1</v>
      </c>
    </row>
    <row r="163" spans="1:38" ht="21" customHeight="1">
      <c r="A163" s="2230"/>
      <c r="B163" s="6793"/>
      <c r="C163" s="6074" t="str">
        <f>TRIM(SUBSTITUTE(SUBSTITUTE(SUBSTITUTE(SUBSTITUTE(SUBSTITUTE(SUBSTITUTE(SUBSTITUTE(SUBSTITUTE(SUBSTITUTE(SUBSTITUTE(C160,","," "),";"," "),":"," "),"!"," "),"?"," "),"…"," "),"»"," "),"«"," "),"/"," "),"."," "))</f>
        <v/>
      </c>
      <c r="D163" s="6069" t="str" cm="1">
        <f t="array" ref="D163">IF(ROW()=ROW(D159),C162,INDEX(E159:E172,ROW()-ROW(D159)))</f>
        <v/>
      </c>
      <c r="E163" s="6112" t="str">
        <f>IF(OR(D163="",C161="",C161&lt;=0,F163=""),"",TRIM(MID(D163,LEN(F163)+1+IF(MID(D163,LEN(F163)+1,1)=" ",1,0),99999)))</f>
        <v/>
      </c>
      <c r="F163" s="6069" t="str">
        <f>IF(OR(G163="",G163=0,G163="0"),"",IF(LEN(G163)&lt;=C161,G163,IF(LEN(SUBSTITUTE(H163," ",""))=C161+1,LEFT(G163,C161),LEFT(G163,FIND("§",SUBSTITUTE(H163," ","§",LEN(H163)-LEN(SUBSTITUTE(H163," ",""))))-1))))</f>
        <v/>
      </c>
      <c r="G163" s="6069" t="str">
        <f t="shared" si="16"/>
        <v/>
      </c>
      <c r="H163" s="6069" t="str">
        <f>IF(OR(G163="",G163=0,G163="0"),"",LEFT(G163,C161+1))</f>
        <v/>
      </c>
      <c r="I163" s="6070" t="str">
        <f t="shared" si="17"/>
        <v/>
      </c>
      <c r="J163" s="6071" t="str">
        <f t="shared" si="18"/>
        <v/>
      </c>
      <c r="K163" s="6072" t="str">
        <f>IF(LEN(TRIM(L163))&gt;0,MAX(K46:K162)+1,"")</f>
        <v/>
      </c>
      <c r="L163" s="200"/>
      <c r="M163" s="6116"/>
      <c r="N163" s="6116"/>
      <c r="O163" s="2230"/>
      <c r="P163" s="2252"/>
      <c r="Q163" s="2237"/>
      <c r="R163" s="2237"/>
      <c r="S163" s="2237"/>
      <c r="T163" s="2237"/>
      <c r="U163" s="2240"/>
      <c r="V163" s="2241"/>
      <c r="W163" s="2239"/>
      <c r="X163" s="2242"/>
      <c r="Y163" s="2243"/>
      <c r="Z163" s="2251"/>
      <c r="AA163" s="2244"/>
      <c r="AB163" s="2245"/>
      <c r="AC163" s="2246"/>
      <c r="AD163" s="2247"/>
      <c r="AE163" s="2248"/>
      <c r="AF163" s="2249"/>
      <c r="AG163" s="2249"/>
      <c r="AH163" s="2238"/>
      <c r="AI163" s="2257"/>
      <c r="AJ163" s="2230"/>
      <c r="AK163" s="2230"/>
      <c r="AL163" s="3">
        <v>1</v>
      </c>
    </row>
    <row r="164" spans="1:38" ht="21" customHeight="1">
      <c r="A164" s="2230"/>
      <c r="B164" s="6793"/>
      <c r="C164" s="6069" t="str">
        <f>TRIM(SUBSTITUTE(SUBSTITUTE(SUBSTITUTE(SUBSTITUTE(SUBSTITUTE(SUBSTITUTE(SUBSTITUTE(SUBSTITUTE(C163,"("," "),")"," "),CHAR(34)," "),"-"," "),"_"," "),"&lt;"," "),"&gt;"," "),"="," "))</f>
        <v/>
      </c>
      <c r="D164" s="6069" t="str" cm="1">
        <f t="array" ref="D164">IF(ROW()=ROW(D159),C162,INDEX(E159:E172,ROW()-ROW(D159)))</f>
        <v/>
      </c>
      <c r="E164" s="6112" t="str">
        <f>IF(OR(D164="",C161="",C161&lt;=0,F164=""),"",TRIM(MID(D164,LEN(F164)+1+IF(MID(D164,LEN(F164)+1,1)=" ",1,0),99999)))</f>
        <v/>
      </c>
      <c r="F164" s="6069" t="str">
        <f>IF(OR(G164="",G164=0,G164="0"),"",IF(LEN(G164)&lt;=C161,G164,IF(LEN(SUBSTITUTE(H164," ",""))=C161+1,LEFT(G164,C161),LEFT(G164,FIND("§",SUBSTITUTE(H164," ","§",LEN(H164)-LEN(SUBSTITUTE(H164," ",""))))-1))))</f>
        <v/>
      </c>
      <c r="G164" s="6069" t="str">
        <f t="shared" si="16"/>
        <v/>
      </c>
      <c r="H164" s="6069" t="str">
        <f>IF(OR(G164="",G164=0,G164="0"),"",LEFT(G164,C161+1))</f>
        <v/>
      </c>
      <c r="I164" s="6070" t="str">
        <f t="shared" si="17"/>
        <v/>
      </c>
      <c r="J164" s="6071" t="str">
        <f t="shared" si="18"/>
        <v/>
      </c>
      <c r="K164" s="6072" t="str">
        <f>IF(LEN(TRIM(L164))&gt;0,MAX(K46:K163)+1,"")</f>
        <v/>
      </c>
      <c r="L164" s="200"/>
      <c r="M164" s="6116"/>
      <c r="N164" s="6116"/>
      <c r="O164" s="2230"/>
      <c r="P164" s="2252"/>
      <c r="Q164" s="2237"/>
      <c r="R164" s="2237"/>
      <c r="S164" s="2237"/>
      <c r="T164" s="2237"/>
      <c r="U164" s="2240"/>
      <c r="V164" s="2241"/>
      <c r="W164" s="2239"/>
      <c r="X164" s="2242"/>
      <c r="Y164" s="2243"/>
      <c r="Z164" s="2251"/>
      <c r="AA164" s="2244"/>
      <c r="AB164" s="2245"/>
      <c r="AC164" s="2246"/>
      <c r="AD164" s="2247"/>
      <c r="AE164" s="2248"/>
      <c r="AF164" s="2249"/>
      <c r="AG164" s="2249"/>
      <c r="AH164" s="2238"/>
      <c r="AI164" s="2257"/>
      <c r="AJ164" s="2230"/>
      <c r="AK164" s="2230"/>
      <c r="AL164" s="3">
        <v>1</v>
      </c>
    </row>
    <row r="165" spans="1:38" ht="21" customHeight="1">
      <c r="A165" s="2230"/>
      <c r="B165" s="6793"/>
      <c r="C165" s="6074" t="str">
        <f>TRIM(SUBSTITUTE(SUBSTITUTE(SUBSTITUTE(SUBSTITUTE(C164,"►"," "),"▼"," "),"▲"," "),"◄"," "))</f>
        <v/>
      </c>
      <c r="D165" s="6069" t="str" cm="1">
        <f t="array" ref="D165">IF(ROW()=ROW(D159),C162,INDEX(E159:E172,ROW()-ROW(D159)))</f>
        <v/>
      </c>
      <c r="E165" s="6112" t="str">
        <f>IF(OR(D165="",C161="",C161&lt;=0,F165=""),"",TRIM(MID(D165,LEN(F165)+1+IF(MID(D165,LEN(F165)+1,1)=" ",1,0),99999)))</f>
        <v/>
      </c>
      <c r="F165" s="6069" t="str">
        <f>IF(OR(G165="",G165=0,G165="0"),"",IF(LEN(G165)&lt;=C161,G165,IF(LEN(SUBSTITUTE(H165," ",""))=C161+1,LEFT(G165,C161),LEFT(G165,FIND("§",SUBSTITUTE(H165," ","§",LEN(H165)-LEN(SUBSTITUTE(H165," ",""))))-1))))</f>
        <v/>
      </c>
      <c r="G165" s="6069" t="str">
        <f t="shared" si="16"/>
        <v/>
      </c>
      <c r="H165" s="6069" t="str">
        <f>IF(OR(G165="",G165=0,G165="0"),"",LEFT(G165,C161+1))</f>
        <v/>
      </c>
      <c r="I165" s="6070" t="str">
        <f t="shared" si="17"/>
        <v/>
      </c>
      <c r="J165" s="6071" t="str">
        <f t="shared" si="18"/>
        <v/>
      </c>
      <c r="K165" s="6072" t="str">
        <f>IF(LEN(TRIM(L165))&gt;0,MAX(K46:K164)+1,"")</f>
        <v/>
      </c>
      <c r="L165" s="200"/>
      <c r="M165" s="6116"/>
      <c r="N165" s="6116"/>
      <c r="O165" s="2230"/>
      <c r="P165" s="2252"/>
      <c r="Q165" s="2237"/>
      <c r="R165" s="2237"/>
      <c r="S165" s="2237"/>
      <c r="T165" s="2237"/>
      <c r="U165" s="2240"/>
      <c r="V165" s="2241"/>
      <c r="W165" s="2239"/>
      <c r="X165" s="2242"/>
      <c r="Y165" s="2243"/>
      <c r="Z165" s="2251"/>
      <c r="AA165" s="2244"/>
      <c r="AB165" s="2245"/>
      <c r="AC165" s="2246"/>
      <c r="AD165" s="2247"/>
      <c r="AE165" s="2248"/>
      <c r="AF165" s="2249"/>
      <c r="AG165" s="2249"/>
      <c r="AH165" s="2238"/>
      <c r="AI165" s="2257"/>
      <c r="AJ165" s="2230"/>
      <c r="AK165" s="2230"/>
      <c r="AL165" s="3">
        <v>1</v>
      </c>
    </row>
    <row r="166" spans="1:38" ht="21" customHeight="1">
      <c r="A166" s="2230"/>
      <c r="B166" s="6793"/>
      <c r="C166" s="6074" t="str">
        <f>TRIM(SUBSTITUTE(SUBSTITUTE(C165,"“"," "),"”"," "))</f>
        <v/>
      </c>
      <c r="D166" s="6069" t="str" cm="1">
        <f t="array" ref="D166">IF(ROW()=ROW(D159),C162,INDEX(E159:E172,ROW()-ROW(D159)))</f>
        <v/>
      </c>
      <c r="E166" s="6112" t="str">
        <f>IF(OR(D166="",C161="",C161&lt;=0,F166=""),"",TRIM(MID(D166,LEN(F166)+1+IF(MID(D166,LEN(F166)+1,1)=" ",1,0),99999)))</f>
        <v/>
      </c>
      <c r="F166" s="6069" t="str">
        <f>IF(OR(G166="",G166=0,G166="0"),"",IF(LEN(G166)&lt;=C161,G166,IF(LEN(SUBSTITUTE(H166," ",""))=C161+1,LEFT(G166,C161),LEFT(G166,FIND("§",SUBSTITUTE(H166," ","§",LEN(H166)-LEN(SUBSTITUTE(H166," ",""))))-1))))</f>
        <v/>
      </c>
      <c r="G166" s="6069" t="str">
        <f t="shared" si="16"/>
        <v/>
      </c>
      <c r="H166" s="6069" t="str">
        <f>IF(OR(G166="",G166=0,G166="0"),"",LEFT(G166,C161+1))</f>
        <v/>
      </c>
      <c r="I166" s="6070" t="str">
        <f t="shared" si="17"/>
        <v/>
      </c>
      <c r="J166" s="6071" t="str">
        <f t="shared" si="18"/>
        <v/>
      </c>
      <c r="K166" s="6072" t="str">
        <f>IF(LEN(TRIM(L166))&gt;0,MAX(K46:K165)+1,"")</f>
        <v/>
      </c>
      <c r="L166" s="200"/>
      <c r="M166" s="6116"/>
      <c r="N166" s="6116"/>
      <c r="O166" s="2230"/>
      <c r="P166" s="2252"/>
      <c r="Q166" s="2237"/>
      <c r="R166" s="2237"/>
      <c r="S166" s="2237"/>
      <c r="T166" s="2237"/>
      <c r="U166" s="2240"/>
      <c r="V166" s="2241"/>
      <c r="W166" s="2239"/>
      <c r="X166" s="2242"/>
      <c r="Y166" s="2243"/>
      <c r="Z166" s="2251"/>
      <c r="AA166" s="2244"/>
      <c r="AB166" s="2245"/>
      <c r="AC166" s="2246"/>
      <c r="AD166" s="2247"/>
      <c r="AE166" s="2248"/>
      <c r="AF166" s="2249"/>
      <c r="AG166" s="2249"/>
      <c r="AH166" s="2238"/>
      <c r="AI166" s="2257"/>
      <c r="AJ166" s="2230"/>
      <c r="AK166" s="2230"/>
      <c r="AL166" s="3">
        <v>1</v>
      </c>
    </row>
    <row r="167" spans="1:38" ht="21" customHeight="1">
      <c r="A167" s="2230"/>
      <c r="B167" s="6793"/>
      <c r="C167" s="6074"/>
      <c r="D167" s="6069" t="str" cm="1">
        <f t="array" ref="D167">IF(ROW()=ROW(D159),C162,INDEX(E159:E172,ROW()-ROW(D159)))</f>
        <v/>
      </c>
      <c r="E167" s="6112" t="str">
        <f>IF(OR(D167="",C161="",C161&lt;=0,F167=""),"",TRIM(MID(D167,LEN(F167)+1+IF(MID(D167,LEN(F167)+1,1)=" ",1,0),99999)))</f>
        <v/>
      </c>
      <c r="F167" s="6069" t="str">
        <f>IF(OR(G167="",G167=0,G167="0"),"",IF(LEN(G167)&lt;=C161,G167,IF(LEN(SUBSTITUTE(H167," ",""))=C161+1,LEFT(G167,C161),LEFT(G167,FIND("§",SUBSTITUTE(H167," ","§",LEN(H167)-LEN(SUBSTITUTE(H167," ",""))))-1))))</f>
        <v/>
      </c>
      <c r="G167" s="6069" t="str">
        <f t="shared" si="16"/>
        <v/>
      </c>
      <c r="H167" s="6069" t="str">
        <f>IF(OR(G167="",G167=0,G167="0"),"",LEFT(G167,C161+1))</f>
        <v/>
      </c>
      <c r="I167" s="6070" t="str">
        <f t="shared" si="17"/>
        <v/>
      </c>
      <c r="J167" s="6071" t="str">
        <f t="shared" si="18"/>
        <v/>
      </c>
      <c r="K167" s="6072" t="str">
        <f>IF(LEN(TRIM(L167))&gt;0,MAX(K46:K166)+1,"")</f>
        <v/>
      </c>
      <c r="L167" s="200"/>
      <c r="M167" s="6116"/>
      <c r="N167" s="6116"/>
      <c r="O167" s="2230"/>
      <c r="P167" s="2252"/>
      <c r="Q167" s="2237"/>
      <c r="R167" s="2237"/>
      <c r="S167" s="2237"/>
      <c r="T167" s="2237"/>
      <c r="U167" s="2240"/>
      <c r="V167" s="2241"/>
      <c r="W167" s="2239"/>
      <c r="X167" s="2242"/>
      <c r="Y167" s="2243"/>
      <c r="Z167" s="2251"/>
      <c r="AA167" s="2244"/>
      <c r="AB167" s="2245"/>
      <c r="AC167" s="2246"/>
      <c r="AD167" s="2247"/>
      <c r="AE167" s="2248"/>
      <c r="AF167" s="2249"/>
      <c r="AG167" s="2249"/>
      <c r="AH167" s="2238"/>
      <c r="AI167" s="2257"/>
      <c r="AJ167" s="2230"/>
      <c r="AK167" s="2230"/>
      <c r="AL167" s="3">
        <v>1</v>
      </c>
    </row>
    <row r="168" spans="1:38" ht="21" customHeight="1">
      <c r="A168" s="2230"/>
      <c r="B168" s="6793"/>
      <c r="C168" s="6074"/>
      <c r="D168" s="6069" t="str" cm="1">
        <f t="array" ref="D168">IF(ROW()=ROW(D159),C162,INDEX(E159:E172,ROW()-ROW(D159)))</f>
        <v/>
      </c>
      <c r="E168" s="6112" t="str">
        <f>IF(OR(D168="",C161="",C161&lt;=0,F168=""),"",TRIM(MID(D168,LEN(F168)+1+IF(MID(D168,LEN(F168)+1,1)=" ",1,0),99999)))</f>
        <v/>
      </c>
      <c r="F168" s="6069" t="str">
        <f>IF(OR(G168="",G168=0,G168="0"),"",IF(LEN(G168)&lt;=C161,G168,IF(LEN(SUBSTITUTE(H168," ",""))=C161+1,LEFT(G168,C161),LEFT(G168,FIND("§",SUBSTITUTE(H168," ","§",LEN(H168)-LEN(SUBSTITUTE(H168," ",""))))-1))))</f>
        <v/>
      </c>
      <c r="G168" s="6069" t="str">
        <f t="shared" si="16"/>
        <v/>
      </c>
      <c r="H168" s="6069" t="str">
        <f>IF(OR(G168="",G168=0,G168="0"),"",LEFT(G168,C161+1))</f>
        <v/>
      </c>
      <c r="I168" s="6070" t="str">
        <f t="shared" si="17"/>
        <v/>
      </c>
      <c r="J168" s="6071" t="str">
        <f t="shared" si="18"/>
        <v/>
      </c>
      <c r="K168" s="6072" t="str">
        <f>IF(LEN(TRIM(L168))&gt;0,MAX(K46:K167)+1,"")</f>
        <v/>
      </c>
      <c r="L168" s="200"/>
      <c r="M168" s="6116"/>
      <c r="N168" s="6116"/>
      <c r="O168" s="2230"/>
      <c r="P168" s="2252"/>
      <c r="Q168" s="2237"/>
      <c r="R168" s="2237"/>
      <c r="S168" s="2237"/>
      <c r="T168" s="2237"/>
      <c r="U168" s="2240"/>
      <c r="V168" s="2241"/>
      <c r="W168" s="2239"/>
      <c r="X168" s="2242"/>
      <c r="Y168" s="2243"/>
      <c r="Z168" s="2251"/>
      <c r="AA168" s="2244"/>
      <c r="AB168" s="2245"/>
      <c r="AC168" s="2246"/>
      <c r="AD168" s="2247"/>
      <c r="AE168" s="2248"/>
      <c r="AF168" s="2249"/>
      <c r="AG168" s="2249"/>
      <c r="AH168" s="2238"/>
      <c r="AI168" s="2257"/>
      <c r="AJ168" s="2230"/>
      <c r="AK168" s="2230"/>
      <c r="AL168" s="3">
        <v>1</v>
      </c>
    </row>
    <row r="169" spans="1:38" ht="21" customHeight="1">
      <c r="A169" s="2230"/>
      <c r="B169" s="6793"/>
      <c r="C169" s="6074"/>
      <c r="D169" s="6069" t="str" cm="1">
        <f t="array" ref="D169">IF(ROW()=ROW(D159),C162,INDEX(E159:E172,ROW()-ROW(D159)))</f>
        <v/>
      </c>
      <c r="E169" s="6112" t="str">
        <f>IF(OR(D169="",C161="",C161&lt;=0,F169=""),"",TRIM(MID(D169,LEN(F169)+1+IF(MID(D169,LEN(F169)+1,1)=" ",1,0),99999)))</f>
        <v/>
      </c>
      <c r="F169" s="6069" t="str">
        <f>IF(OR(G169="",G169=0,G169="0"),"",IF(LEN(G169)&lt;=C161,G169,IF(LEN(SUBSTITUTE(H169," ",""))=C161+1,LEFT(G169,C161),LEFT(G169,FIND("§",SUBSTITUTE(H169," ","§",LEN(H169)-LEN(SUBSTITUTE(H169," ",""))))-1))))</f>
        <v/>
      </c>
      <c r="G169" s="6069" t="str">
        <f t="shared" si="16"/>
        <v/>
      </c>
      <c r="H169" s="6069" t="str">
        <f>IF(OR(G169="",G169=0,G169="0"),"",LEFT(G169,C161+1))</f>
        <v/>
      </c>
      <c r="I169" s="6070" t="str">
        <f t="shared" si="17"/>
        <v/>
      </c>
      <c r="J169" s="6071" t="str">
        <f t="shared" si="18"/>
        <v/>
      </c>
      <c r="K169" s="6072" t="str">
        <f>IF(LEN(TRIM(L169))&gt;0,MAX(K46:K168)+1,"")</f>
        <v/>
      </c>
      <c r="L169" s="200"/>
      <c r="M169" s="6116"/>
      <c r="N169" s="6116"/>
      <c r="O169" s="2230"/>
      <c r="P169" s="2252"/>
      <c r="Q169" s="2237"/>
      <c r="R169" s="2237"/>
      <c r="S169" s="2237"/>
      <c r="T169" s="2237"/>
      <c r="U169" s="2240"/>
      <c r="V169" s="2241"/>
      <c r="W169" s="2239"/>
      <c r="X169" s="2242"/>
      <c r="Y169" s="2243"/>
      <c r="Z169" s="2251"/>
      <c r="AA169" s="2244"/>
      <c r="AB169" s="2245"/>
      <c r="AC169" s="2246"/>
      <c r="AD169" s="2247"/>
      <c r="AE169" s="2248"/>
      <c r="AF169" s="2249"/>
      <c r="AG169" s="2249"/>
      <c r="AH169" s="2238"/>
      <c r="AI169" s="2257"/>
      <c r="AJ169" s="2230"/>
      <c r="AK169" s="2230"/>
      <c r="AL169" s="3">
        <v>1</v>
      </c>
    </row>
    <row r="170" spans="1:38" ht="21" customHeight="1">
      <c r="A170" s="2230"/>
      <c r="B170" s="6793"/>
      <c r="C170" s="6074"/>
      <c r="D170" s="6069" t="str" cm="1">
        <f t="array" ref="D170">IF(ROW()=ROW(D159),C162,INDEX(E159:E172,ROW()-ROW(D159)))</f>
        <v/>
      </c>
      <c r="E170" s="6112" t="str">
        <f>IF(OR(D170="",C161="",C161&lt;=0,F170=""),"",TRIM(MID(D170,LEN(F170)+1+IF(MID(D170,LEN(F170)+1,1)=" ",1,0),99999)))</f>
        <v/>
      </c>
      <c r="F170" s="6069" t="str">
        <f>IF(OR(G170="",G170=0,G170="0"),"",IF(LEN(G170)&lt;=C161,G170,IF(LEN(SUBSTITUTE(H170," ",""))=C161+1,LEFT(G170,C161),LEFT(G170,FIND("§",SUBSTITUTE(H170," ","§",LEN(H170)-LEN(SUBSTITUTE(H170," ",""))))-1))))</f>
        <v/>
      </c>
      <c r="G170" s="6069" t="str">
        <f t="shared" si="16"/>
        <v/>
      </c>
      <c r="H170" s="6069" t="str">
        <f>IF(OR(G170="",G170=0,G170="0"),"",LEFT(G170,C161+1))</f>
        <v/>
      </c>
      <c r="I170" s="6070" t="str">
        <f t="shared" si="17"/>
        <v/>
      </c>
      <c r="J170" s="6071" t="str">
        <f t="shared" si="18"/>
        <v/>
      </c>
      <c r="K170" s="6072" t="str">
        <f>IF(LEN(TRIM(L170))&gt;0,MAX(K46:K169)+1,"")</f>
        <v/>
      </c>
      <c r="L170" s="200"/>
      <c r="M170" s="6116"/>
      <c r="N170" s="6116"/>
      <c r="O170" s="2230"/>
      <c r="P170" s="2252"/>
      <c r="Q170" s="2237"/>
      <c r="R170" s="2237"/>
      <c r="S170" s="2237"/>
      <c r="T170" s="2237"/>
      <c r="U170" s="2240"/>
      <c r="V170" s="2241"/>
      <c r="W170" s="2239"/>
      <c r="X170" s="2242"/>
      <c r="Y170" s="2243"/>
      <c r="Z170" s="2251"/>
      <c r="AA170" s="2244"/>
      <c r="AB170" s="2245"/>
      <c r="AC170" s="2246"/>
      <c r="AD170" s="2247"/>
      <c r="AE170" s="2248"/>
      <c r="AF170" s="2249"/>
      <c r="AG170" s="2249"/>
      <c r="AH170" s="2238"/>
      <c r="AI170" s="2257"/>
      <c r="AJ170" s="2230"/>
      <c r="AK170" s="2230"/>
      <c r="AL170" s="3">
        <v>1</v>
      </c>
    </row>
    <row r="171" spans="1:38" ht="21" customHeight="1">
      <c r="A171" s="2230"/>
      <c r="B171" s="6793"/>
      <c r="C171" s="6074"/>
      <c r="D171" s="6069" t="str" cm="1">
        <f t="array" ref="D171">IF(ROW()=ROW(D159),C162,INDEX(E159:E172,ROW()-ROW(D159)))</f>
        <v/>
      </c>
      <c r="E171" s="6112" t="str">
        <f>IF(OR(D171="",C161="",C161&lt;=0,F171=""),"",TRIM(MID(D171,LEN(F171)+1+IF(MID(D171,LEN(F171)+1,1)=" ",1,0),99999)))</f>
        <v/>
      </c>
      <c r="F171" s="6069" t="str">
        <f>IF(OR(G171="",G171=0,G171="0"),"",IF(LEN(G171)&lt;=C161,G171,IF(LEN(SUBSTITUTE(H171," ",""))=C161+1,LEFT(G171,C161),LEFT(G171,FIND("§",SUBSTITUTE(H171," ","§",LEN(H171)-LEN(SUBSTITUTE(H171," ",""))))-1))))</f>
        <v/>
      </c>
      <c r="G171" s="6069" t="str">
        <f t="shared" si="16"/>
        <v/>
      </c>
      <c r="H171" s="6069" t="str">
        <f>IF(OR(G171="",G171=0,G171="0"),"",LEFT(G171,C161+1))</f>
        <v/>
      </c>
      <c r="I171" s="6070" t="str">
        <f t="shared" si="17"/>
        <v/>
      </c>
      <c r="J171" s="6071" t="str">
        <f t="shared" si="18"/>
        <v/>
      </c>
      <c r="K171" s="6072" t="str">
        <f>IF(LEN(TRIM(L171))&gt;0,MAX(K46:K170)+1,"")</f>
        <v/>
      </c>
      <c r="L171" s="200"/>
      <c r="M171" s="6116"/>
      <c r="N171" s="6116"/>
      <c r="O171" s="2230"/>
      <c r="P171" s="2252"/>
      <c r="Q171" s="2237"/>
      <c r="R171" s="2237"/>
      <c r="S171" s="2237"/>
      <c r="T171" s="2237"/>
      <c r="U171" s="2240"/>
      <c r="V171" s="2241"/>
      <c r="W171" s="2239"/>
      <c r="X171" s="2242"/>
      <c r="Y171" s="2243"/>
      <c r="Z171" s="2251"/>
      <c r="AA171" s="2244"/>
      <c r="AB171" s="2245"/>
      <c r="AC171" s="2246"/>
      <c r="AD171" s="2247"/>
      <c r="AE171" s="2248"/>
      <c r="AF171" s="2249"/>
      <c r="AG171" s="2249"/>
      <c r="AH171" s="2238"/>
      <c r="AI171" s="2257"/>
      <c r="AJ171" s="2230"/>
      <c r="AK171" s="2230"/>
      <c r="AL171" s="3">
        <v>1</v>
      </c>
    </row>
    <row r="172" spans="1:38" ht="21" customHeight="1">
      <c r="A172" s="2230"/>
      <c r="B172" s="6793"/>
      <c r="C172" s="6074"/>
      <c r="D172" s="6069" t="str" cm="1">
        <f t="array" ref="D172">IF(ROW()=ROW(D159),C162,INDEX(E159:E172,ROW()-ROW(D159)))</f>
        <v/>
      </c>
      <c r="E172" s="6112" t="str">
        <f>IF(OR(D172="",C161="",C161&lt;=0,F172=""),"",TRIM(MID(D172,LEN(F172)+1+IF(MID(D172,LEN(F172)+1,1)=" ",1,0),99999)))</f>
        <v/>
      </c>
      <c r="F172" s="6069" t="str">
        <f>IF(OR(G172="",G172=0,G172="0"),"",IF(LEN(G172)&lt;=C161,G172,IF(LEN(SUBSTITUTE(H172," ",""))=C161+1,LEFT(G172,C161),LEFT(G172,FIND("§",SUBSTITUTE(H172," ","§",LEN(H172)-LEN(SUBSTITUTE(H172," ",""))))-1))))</f>
        <v/>
      </c>
      <c r="G172" s="6069" t="str">
        <f t="shared" si="16"/>
        <v/>
      </c>
      <c r="H172" s="6069" t="str">
        <f>IF(OR(G172="",G172=0,G172="0"),"",LEFT(G172,C161+1))</f>
        <v/>
      </c>
      <c r="I172" s="6070" t="str">
        <f t="shared" si="17"/>
        <v/>
      </c>
      <c r="J172" s="6071" t="str">
        <f t="shared" si="18"/>
        <v/>
      </c>
      <c r="K172" s="6072" t="str">
        <f>IF(LEN(TRIM(L172))&gt;0,MAX(K46:K171)+1,"")</f>
        <v/>
      </c>
      <c r="L172" s="200"/>
      <c r="M172" s="6116"/>
      <c r="N172" s="6116"/>
      <c r="O172" s="2230"/>
      <c r="P172" s="2252"/>
      <c r="Q172" s="2237"/>
      <c r="R172" s="2237"/>
      <c r="S172" s="2237"/>
      <c r="T172" s="2237"/>
      <c r="U172" s="2240"/>
      <c r="V172" s="2241"/>
      <c r="W172" s="2239"/>
      <c r="X172" s="2242"/>
      <c r="Y172" s="2243"/>
      <c r="Z172" s="2251"/>
      <c r="AA172" s="2244"/>
      <c r="AB172" s="2245"/>
      <c r="AC172" s="2246"/>
      <c r="AD172" s="2247"/>
      <c r="AE172" s="2248"/>
      <c r="AF172" s="2249"/>
      <c r="AG172" s="2249"/>
      <c r="AH172" s="2238"/>
      <c r="AI172" s="2257"/>
      <c r="AJ172" s="2230"/>
      <c r="AK172" s="2230"/>
      <c r="AL172" s="3">
        <v>1</v>
      </c>
    </row>
    <row r="173" spans="1:38" ht="21" customHeight="1">
      <c r="A173" s="2230"/>
      <c r="B173" s="6793"/>
      <c r="C173" s="6068" t="str">
        <f>IF(TRIM(SUBSTITUTE(M56,CHAR(160),""))="","",M56)</f>
        <v/>
      </c>
      <c r="D173" s="6069" t="str" cm="1">
        <f t="array" ref="D173">IF(ROW()=ROW(D173),C176,INDEX(E173:E186,ROW()-ROW(D173)))</f>
        <v/>
      </c>
      <c r="E173" s="6112" t="str">
        <f>IF(OR(D173="",C175="",C175&lt;=0,F173=""),"",TRIM(MID(D173,LEN(F173)+1+IF(MID(D173,LEN(F173)+1,1)=" ",1,0),99999)))</f>
        <v/>
      </c>
      <c r="F173" s="6069" t="str">
        <f>IF(OR(G173="",G173=0,G173="0"),"",IF(LEN(G173)&lt;=C175,G173,IF(LEN(SUBSTITUTE(H173," ",""))=C175+1,LEFT(G173,C175),LEFT(G173,FIND("§",SUBSTITUTE(H173," ","§",LEN(H173)-LEN(SUBSTITUTE(H173," ",""))))-1))))</f>
        <v/>
      </c>
      <c r="G173" s="6069" t="str">
        <f t="shared" si="16"/>
        <v/>
      </c>
      <c r="H173" s="6069" t="str">
        <f>IF(OR(G173="",G173=0,G173="0"),"",LEFT(G173,C175+1))</f>
        <v/>
      </c>
      <c r="I173" s="6070" t="str">
        <f t="shared" si="17"/>
        <v/>
      </c>
      <c r="J173" s="6071" t="str">
        <f t="shared" si="18"/>
        <v/>
      </c>
      <c r="K173" s="6072" t="str">
        <f>IF(LEN(TRIM(L173))&gt;0,MAX(K46:K172)+1,"")</f>
        <v/>
      </c>
      <c r="L173" s="200"/>
      <c r="M173" s="6116"/>
      <c r="N173" s="6116"/>
      <c r="O173" s="2230"/>
      <c r="P173" s="2252"/>
      <c r="Q173" s="2237"/>
      <c r="R173" s="2237"/>
      <c r="S173" s="2237"/>
      <c r="T173" s="2237"/>
      <c r="U173" s="2240"/>
      <c r="V173" s="2241"/>
      <c r="W173" s="2239"/>
      <c r="X173" s="2242"/>
      <c r="Y173" s="2243"/>
      <c r="Z173" s="2251"/>
      <c r="AA173" s="2244"/>
      <c r="AB173" s="2245"/>
      <c r="AC173" s="2246"/>
      <c r="AD173" s="2247"/>
      <c r="AE173" s="2248"/>
      <c r="AF173" s="2249"/>
      <c r="AG173" s="2249"/>
      <c r="AH173" s="2238"/>
      <c r="AI173" s="2257"/>
      <c r="AJ173" s="2230"/>
      <c r="AK173" s="2230"/>
      <c r="AL173" s="3">
        <v>1</v>
      </c>
    </row>
    <row r="174" spans="1:38" ht="21" customHeight="1">
      <c r="A174" s="2230"/>
      <c r="B174" s="6793"/>
      <c r="C174" s="6074" t="str">
        <f>TRIM(SUBSTITUTE(SUBSTITUTE(SUBSTITUTE(SUBSTITUTE(IF(OR(LEFT(C173,1)="-",LEFT(C173,1)="="),MID(C173,2,99999),C173),CHAR(160)," "),CHAR(9)," "),CHAR(13)&amp;CHAR(10)," "),CHAR(10)," "))</f>
        <v/>
      </c>
      <c r="D174" s="6069" t="str" cm="1">
        <f t="array" ref="D174">IF(ROW()=ROW(D173),C176,INDEX(E173:E186,ROW()-ROW(D173)))</f>
        <v/>
      </c>
      <c r="E174" s="6112" t="str">
        <f>IF(OR(D174="",C175="",C175&lt;=0,F174=""),"",TRIM(MID(D174,LEN(F174)+1+IF(MID(D174,LEN(F174)+1,1)=" ",1,0),99999)))</f>
        <v/>
      </c>
      <c r="F174" s="6069" t="str">
        <f>IF(OR(G174="",G174=0,G174="0"),"",IF(LEN(G174)&lt;=C175,G174,IF(LEN(SUBSTITUTE(H174," ",""))=C175+1,LEFT(G174,C175),LEFT(G174,FIND("§",SUBSTITUTE(H174," ","§",LEN(H174)-LEN(SUBSTITUTE(H174," ",""))))-1))))</f>
        <v/>
      </c>
      <c r="G174" s="6069" t="str">
        <f t="shared" si="16"/>
        <v/>
      </c>
      <c r="H174" s="6069" t="str">
        <f>IF(OR(G174="",G174=0,G174="0"),"",LEFT(G174,C175+1))</f>
        <v/>
      </c>
      <c r="I174" s="6070" t="str">
        <f t="shared" si="17"/>
        <v/>
      </c>
      <c r="J174" s="6071" t="str">
        <f t="shared" si="18"/>
        <v/>
      </c>
      <c r="K174" s="6072" t="str">
        <f>IF(LEN(TRIM(L174))&gt;0,MAX(K46:K173)+1,"")</f>
        <v/>
      </c>
      <c r="L174" s="200"/>
      <c r="M174" s="6116"/>
      <c r="N174" s="6116"/>
      <c r="O174" s="2230"/>
      <c r="P174" s="2252"/>
      <c r="Q174" s="2237"/>
      <c r="R174" s="2237"/>
      <c r="S174" s="2237"/>
      <c r="T174" s="2237"/>
      <c r="U174" s="2240"/>
      <c r="V174" s="2241"/>
      <c r="W174" s="2239"/>
      <c r="X174" s="2242"/>
      <c r="Y174" s="2243"/>
      <c r="Z174" s="2251"/>
      <c r="AA174" s="2244"/>
      <c r="AB174" s="2245"/>
      <c r="AC174" s="2246"/>
      <c r="AD174" s="2247"/>
      <c r="AE174" s="2248"/>
      <c r="AF174" s="2249"/>
      <c r="AG174" s="2249"/>
      <c r="AH174" s="2238"/>
      <c r="AI174" s="2257"/>
      <c r="AJ174" s="2230"/>
      <c r="AK174" s="2230"/>
      <c r="AL174" s="3">
        <v>1</v>
      </c>
    </row>
    <row r="175" spans="1:38" ht="21" customHeight="1">
      <c r="A175" s="2230"/>
      <c r="B175" s="6793"/>
      <c r="C175" s="6075">
        <f>M44</f>
        <v>120</v>
      </c>
      <c r="D175" s="6069" t="str" cm="1">
        <f t="array" ref="D175">IF(ROW()=ROW(D173),C176,INDEX(E173:E186,ROW()-ROW(D173)))</f>
        <v/>
      </c>
      <c r="E175" s="6112" t="str">
        <f>IF(OR(D175="",C175="",C175&lt;=0,F175=""),"",TRIM(MID(D175,LEN(F175)+1+IF(MID(D175,LEN(F175)+1,1)=" ",1,0),99999)))</f>
        <v/>
      </c>
      <c r="F175" s="6069" t="str">
        <f>IF(OR(G175="",G175=0,G175="0"),"",IF(LEN(G175)&lt;=C175,G175,IF(LEN(SUBSTITUTE(H175," ",""))=C175+1,LEFT(G175,C175),LEFT(G175,FIND("§",SUBSTITUTE(H175," ","§",LEN(H175)-LEN(SUBSTITUTE(H175," ",""))))-1))))</f>
        <v/>
      </c>
      <c r="G175" s="6069" t="str">
        <f t="shared" ref="G175:G238" si="19">IF(OR(D175="",D175=0),"",TRIM(SUBSTITUTE(SUBSTITUTE(D175,CHAR(160)," "),CHAR(10)," ")))</f>
        <v/>
      </c>
      <c r="H175" s="6069" t="str">
        <f>IF(OR(G175="",G175=0,G175="0"),"",LEFT(G175,C175+1))</f>
        <v/>
      </c>
      <c r="I175" s="6070" t="str">
        <f t="shared" ref="I175:I238" si="20">IF(L175="","",(LEN(TRIM(SUBSTITUTE(L175,CHAR(160)," ")))-LEN(SUBSTITUTE(TRIM(SUBSTITUTE(L175,CHAR(160)," "))," ",""))+1)&amp;" mot"&amp;IF((LEN(TRIM(SUBSTITUTE(L175,CHAR(160)," ")))-LEN(SUBSTITUTE(TRIM(SUBSTITUTE(L175,CHAR(160)," "))," ",""))+1)&gt;1,"s",""))</f>
        <v/>
      </c>
      <c r="J175" s="6071" t="str">
        <f t="shared" ref="J175:J238" si="21">IF(L175="","",LEN(TRIM(SUBSTITUTE(L175,CHAR(160),"")))&amp;" car.")</f>
        <v/>
      </c>
      <c r="K175" s="6072" t="str">
        <f>IF(LEN(TRIM(L175))&gt;0,MAX(K46:K174)+1,"")</f>
        <v/>
      </c>
      <c r="L175" s="200"/>
      <c r="M175" s="6116"/>
      <c r="N175" s="6116"/>
      <c r="O175" s="2230"/>
      <c r="P175" s="2252"/>
      <c r="Q175" s="2237"/>
      <c r="R175" s="2237"/>
      <c r="S175" s="2237"/>
      <c r="T175" s="2237"/>
      <c r="U175" s="2240"/>
      <c r="V175" s="2241"/>
      <c r="W175" s="2239"/>
      <c r="X175" s="2242"/>
      <c r="Y175" s="2243"/>
      <c r="Z175" s="2251"/>
      <c r="AA175" s="2244"/>
      <c r="AB175" s="2245"/>
      <c r="AC175" s="2246"/>
      <c r="AD175" s="2247"/>
      <c r="AE175" s="2248"/>
      <c r="AF175" s="2249"/>
      <c r="AG175" s="2249"/>
      <c r="AH175" s="2238"/>
      <c r="AI175" s="2257"/>
      <c r="AJ175" s="2230"/>
      <c r="AK175" s="2230"/>
      <c r="AL175" s="3">
        <v>1</v>
      </c>
    </row>
    <row r="176" spans="1:38" ht="21" customHeight="1">
      <c r="A176" s="2230"/>
      <c r="B176" s="6793"/>
      <c r="C176" s="6074" t="str">
        <f>IF(UPPER(TRIM(C45))="X",C180,C174)</f>
        <v/>
      </c>
      <c r="D176" s="6069" t="str" cm="1">
        <f t="array" ref="D176">IF(ROW()=ROW(D173),C176,INDEX(E173:E186,ROW()-ROW(D173)))</f>
        <v/>
      </c>
      <c r="E176" s="6112" t="str">
        <f>IF(OR(D176="",C175="",C175&lt;=0,F176=""),"",TRIM(MID(D176,LEN(F176)+1+IF(MID(D176,LEN(F176)+1,1)=" ",1,0),99999)))</f>
        <v/>
      </c>
      <c r="F176" s="6069" t="str">
        <f>IF(OR(G176="",G176=0,G176="0"),"",IF(LEN(G176)&lt;=C175,G176,IF(LEN(SUBSTITUTE(H176," ",""))=C175+1,LEFT(G176,C175),LEFT(G176,FIND("§",SUBSTITUTE(H176," ","§",LEN(H176)-LEN(SUBSTITUTE(H176," ",""))))-1))))</f>
        <v/>
      </c>
      <c r="G176" s="6069" t="str">
        <f t="shared" si="19"/>
        <v/>
      </c>
      <c r="H176" s="6069" t="str">
        <f>IF(OR(G176="",G176=0,G176="0"),"",LEFT(G176,C175+1))</f>
        <v/>
      </c>
      <c r="I176" s="6070" t="str">
        <f t="shared" si="20"/>
        <v/>
      </c>
      <c r="J176" s="6071" t="str">
        <f t="shared" si="21"/>
        <v/>
      </c>
      <c r="K176" s="6072" t="str">
        <f>IF(LEN(TRIM(L176))&gt;0,MAX(K46:K175)+1,"")</f>
        <v/>
      </c>
      <c r="L176" s="200"/>
      <c r="M176" s="6116"/>
      <c r="N176" s="6116"/>
      <c r="O176" s="2230"/>
      <c r="P176" s="2252"/>
      <c r="Q176" s="2237"/>
      <c r="R176" s="2237"/>
      <c r="S176" s="2237"/>
      <c r="T176" s="2237"/>
      <c r="U176" s="2240"/>
      <c r="V176" s="2241"/>
      <c r="W176" s="2239"/>
      <c r="X176" s="2242"/>
      <c r="Y176" s="2243"/>
      <c r="Z176" s="2251"/>
      <c r="AA176" s="2244"/>
      <c r="AB176" s="2245"/>
      <c r="AC176" s="2246"/>
      <c r="AD176" s="2247"/>
      <c r="AE176" s="2248"/>
      <c r="AF176" s="2249"/>
      <c r="AG176" s="2249"/>
      <c r="AH176" s="2238"/>
      <c r="AI176" s="2257"/>
      <c r="AJ176" s="2230"/>
      <c r="AK176" s="2230"/>
      <c r="AL176" s="3">
        <v>1</v>
      </c>
    </row>
    <row r="177" spans="1:38" ht="21" customHeight="1">
      <c r="A177" s="2230"/>
      <c r="B177" s="6793"/>
      <c r="C177" s="6074" t="str">
        <f>TRIM(SUBSTITUTE(SUBSTITUTE(SUBSTITUTE(SUBSTITUTE(SUBSTITUTE(SUBSTITUTE(SUBSTITUTE(SUBSTITUTE(SUBSTITUTE(SUBSTITUTE(C174,","," "),";"," "),":"," "),"!"," "),"?"," "),"…"," "),"»"," "),"«"," "),"/"," "),"."," "))</f>
        <v/>
      </c>
      <c r="D177" s="6069" t="str" cm="1">
        <f t="array" ref="D177">IF(ROW()=ROW(D173),C176,INDEX(E173:E186,ROW()-ROW(D173)))</f>
        <v/>
      </c>
      <c r="E177" s="6112" t="str">
        <f>IF(OR(D177="",C175="",C175&lt;=0,F177=""),"",TRIM(MID(D177,LEN(F177)+1+IF(MID(D177,LEN(F177)+1,1)=" ",1,0),99999)))</f>
        <v/>
      </c>
      <c r="F177" s="6069" t="str">
        <f>IF(OR(G177="",G177=0,G177="0"),"",IF(LEN(G177)&lt;=C175,G177,IF(LEN(SUBSTITUTE(H177," ",""))=C175+1,LEFT(G177,C175),LEFT(G177,FIND("§",SUBSTITUTE(H177," ","§",LEN(H177)-LEN(SUBSTITUTE(H177," ",""))))-1))))</f>
        <v/>
      </c>
      <c r="G177" s="6069" t="str">
        <f t="shared" si="19"/>
        <v/>
      </c>
      <c r="H177" s="6069" t="str">
        <f>IF(OR(G177="",G177=0,G177="0"),"",LEFT(G177,C175+1))</f>
        <v/>
      </c>
      <c r="I177" s="6070" t="str">
        <f t="shared" si="20"/>
        <v/>
      </c>
      <c r="J177" s="6071" t="str">
        <f t="shared" si="21"/>
        <v/>
      </c>
      <c r="K177" s="6072" t="str">
        <f>IF(LEN(TRIM(L177))&gt;0,MAX(K46:K176)+1,"")</f>
        <v/>
      </c>
      <c r="L177" s="200"/>
      <c r="M177" s="6116"/>
      <c r="N177" s="6116"/>
      <c r="O177" s="2230"/>
      <c r="P177" s="2252"/>
      <c r="Q177" s="2237"/>
      <c r="R177" s="2237"/>
      <c r="S177" s="2237"/>
      <c r="T177" s="2237"/>
      <c r="U177" s="2240"/>
      <c r="V177" s="2241"/>
      <c r="W177" s="2239"/>
      <c r="X177" s="2242"/>
      <c r="Y177" s="2243"/>
      <c r="Z177" s="2251"/>
      <c r="AA177" s="2244"/>
      <c r="AB177" s="2245"/>
      <c r="AC177" s="2246"/>
      <c r="AD177" s="2247"/>
      <c r="AE177" s="2248"/>
      <c r="AF177" s="2249"/>
      <c r="AG177" s="2249"/>
      <c r="AH177" s="2238"/>
      <c r="AI177" s="2257"/>
      <c r="AJ177" s="2230"/>
      <c r="AK177" s="2230"/>
      <c r="AL177" s="3">
        <v>1</v>
      </c>
    </row>
    <row r="178" spans="1:38" ht="21" customHeight="1">
      <c r="A178" s="2230"/>
      <c r="B178" s="6793"/>
      <c r="C178" s="6069" t="str">
        <f>TRIM(SUBSTITUTE(SUBSTITUTE(SUBSTITUTE(SUBSTITUTE(SUBSTITUTE(SUBSTITUTE(SUBSTITUTE(SUBSTITUTE(C177,"("," "),")"," "),CHAR(34)," "),"-"," "),"_"," "),"&lt;"," "),"&gt;"," "),"="," "))</f>
        <v/>
      </c>
      <c r="D178" s="6069" t="str" cm="1">
        <f t="array" ref="D178">IF(ROW()=ROW(D173),C176,INDEX(E173:E186,ROW()-ROW(D173)))</f>
        <v/>
      </c>
      <c r="E178" s="6112" t="str">
        <f>IF(OR(D178="",C175="",C175&lt;=0,F178=""),"",TRIM(MID(D178,LEN(F178)+1+IF(MID(D178,LEN(F178)+1,1)=" ",1,0),99999)))</f>
        <v/>
      </c>
      <c r="F178" s="6069" t="str">
        <f>IF(OR(G178="",G178=0,G178="0"),"",IF(LEN(G178)&lt;=C175,G178,IF(LEN(SUBSTITUTE(H178," ",""))=C175+1,LEFT(G178,C175),LEFT(G178,FIND("§",SUBSTITUTE(H178," ","§",LEN(H178)-LEN(SUBSTITUTE(H178," ",""))))-1))))</f>
        <v/>
      </c>
      <c r="G178" s="6069" t="str">
        <f t="shared" si="19"/>
        <v/>
      </c>
      <c r="H178" s="6069" t="str">
        <f>IF(OR(G178="",G178=0,G178="0"),"",LEFT(G178,C175+1))</f>
        <v/>
      </c>
      <c r="I178" s="6070" t="str">
        <f t="shared" si="20"/>
        <v/>
      </c>
      <c r="J178" s="6071" t="str">
        <f t="shared" si="21"/>
        <v/>
      </c>
      <c r="K178" s="6072" t="str">
        <f>IF(LEN(TRIM(L178))&gt;0,MAX(K46:K177)+1,"")</f>
        <v/>
      </c>
      <c r="L178" s="200"/>
      <c r="M178" s="6116"/>
      <c r="N178" s="6116"/>
      <c r="O178" s="2230"/>
      <c r="P178" s="2252"/>
      <c r="Q178" s="2237"/>
      <c r="R178" s="2237"/>
      <c r="S178" s="2237"/>
      <c r="T178" s="2237"/>
      <c r="U178" s="2240"/>
      <c r="V178" s="2241"/>
      <c r="W178" s="2239"/>
      <c r="X178" s="2242"/>
      <c r="Y178" s="2243"/>
      <c r="Z178" s="2251"/>
      <c r="AA178" s="2244"/>
      <c r="AB178" s="2245"/>
      <c r="AC178" s="2246"/>
      <c r="AD178" s="2247"/>
      <c r="AE178" s="2248"/>
      <c r="AF178" s="2249"/>
      <c r="AG178" s="2249"/>
      <c r="AH178" s="2238"/>
      <c r="AI178" s="2257"/>
      <c r="AJ178" s="2230"/>
      <c r="AK178" s="2230"/>
      <c r="AL178" s="3">
        <v>1</v>
      </c>
    </row>
    <row r="179" spans="1:38" ht="21" customHeight="1">
      <c r="A179" s="2230"/>
      <c r="B179" s="6793"/>
      <c r="C179" s="6074" t="str">
        <f>TRIM(SUBSTITUTE(SUBSTITUTE(SUBSTITUTE(SUBSTITUTE(C178,"►"," "),"▼"," "),"▲"," "),"◄"," "))</f>
        <v/>
      </c>
      <c r="D179" s="6069" t="str" cm="1">
        <f t="array" ref="D179">IF(ROW()=ROW(D173),C176,INDEX(E173:E186,ROW()-ROW(D173)))</f>
        <v/>
      </c>
      <c r="E179" s="6112" t="str">
        <f>IF(OR(D179="",C175="",C175&lt;=0,F179=""),"",TRIM(MID(D179,LEN(F179)+1+IF(MID(D179,LEN(F179)+1,1)=" ",1,0),99999)))</f>
        <v/>
      </c>
      <c r="F179" s="6069" t="str">
        <f>IF(OR(G179="",G179=0,G179="0"),"",IF(LEN(G179)&lt;=C175,G179,IF(LEN(SUBSTITUTE(H179," ",""))=C175+1,LEFT(G179,C175),LEFT(G179,FIND("§",SUBSTITUTE(H179," ","§",LEN(H179)-LEN(SUBSTITUTE(H179," ",""))))-1))))</f>
        <v/>
      </c>
      <c r="G179" s="6069" t="str">
        <f t="shared" si="19"/>
        <v/>
      </c>
      <c r="H179" s="6069" t="str">
        <f>IF(OR(G179="",G179=0,G179="0"),"",LEFT(G179,C175+1))</f>
        <v/>
      </c>
      <c r="I179" s="6070" t="str">
        <f t="shared" si="20"/>
        <v/>
      </c>
      <c r="J179" s="6071" t="str">
        <f t="shared" si="21"/>
        <v/>
      </c>
      <c r="K179" s="6072" t="str">
        <f>IF(LEN(TRIM(L179))&gt;0,MAX(K46:K178)+1,"")</f>
        <v/>
      </c>
      <c r="L179" s="200"/>
      <c r="M179" s="6116"/>
      <c r="N179" s="6116"/>
      <c r="O179" s="2230"/>
      <c r="P179" s="2252"/>
      <c r="Q179" s="2237"/>
      <c r="R179" s="2237"/>
      <c r="S179" s="2237"/>
      <c r="T179" s="2237"/>
      <c r="U179" s="2240"/>
      <c r="V179" s="2241"/>
      <c r="W179" s="2239"/>
      <c r="X179" s="2242"/>
      <c r="Y179" s="2243"/>
      <c r="Z179" s="2251"/>
      <c r="AA179" s="2244"/>
      <c r="AB179" s="2245"/>
      <c r="AC179" s="2246"/>
      <c r="AD179" s="2247"/>
      <c r="AE179" s="2248"/>
      <c r="AF179" s="2249"/>
      <c r="AG179" s="2249"/>
      <c r="AH179" s="2238"/>
      <c r="AI179" s="2257"/>
      <c r="AJ179" s="2230"/>
      <c r="AK179" s="2230"/>
      <c r="AL179" s="3">
        <v>1</v>
      </c>
    </row>
    <row r="180" spans="1:38" ht="21" customHeight="1">
      <c r="A180" s="2230"/>
      <c r="B180" s="6793"/>
      <c r="C180" s="6074" t="str">
        <f>TRIM(SUBSTITUTE(SUBSTITUTE(C179,"“"," "),"”"," "))</f>
        <v/>
      </c>
      <c r="D180" s="6069" t="str" cm="1">
        <f t="array" ref="D180">IF(ROW()=ROW(D173),C176,INDEX(E173:E186,ROW()-ROW(D173)))</f>
        <v/>
      </c>
      <c r="E180" s="6112" t="str">
        <f>IF(OR(D180="",C175="",C175&lt;=0,F180=""),"",TRIM(MID(D180,LEN(F180)+1+IF(MID(D180,LEN(F180)+1,1)=" ",1,0),99999)))</f>
        <v/>
      </c>
      <c r="F180" s="6069" t="str">
        <f>IF(OR(G180="",G180=0,G180="0"),"",IF(LEN(G180)&lt;=C175,G180,IF(LEN(SUBSTITUTE(H180," ",""))=C175+1,LEFT(G180,C175),LEFT(G180,FIND("§",SUBSTITUTE(H180," ","§",LEN(H180)-LEN(SUBSTITUTE(H180," ",""))))-1))))</f>
        <v/>
      </c>
      <c r="G180" s="6069" t="str">
        <f t="shared" si="19"/>
        <v/>
      </c>
      <c r="H180" s="6069" t="str">
        <f>IF(OR(G180="",G180=0,G180="0"),"",LEFT(G180,C175+1))</f>
        <v/>
      </c>
      <c r="I180" s="6070" t="str">
        <f t="shared" si="20"/>
        <v/>
      </c>
      <c r="J180" s="6071" t="str">
        <f t="shared" si="21"/>
        <v/>
      </c>
      <c r="K180" s="6072" t="str">
        <f>IF(LEN(TRIM(L180))&gt;0,MAX(K46:K179)+1,"")</f>
        <v/>
      </c>
      <c r="L180" s="200"/>
      <c r="M180" s="6116"/>
      <c r="N180" s="6116"/>
      <c r="O180" s="2230"/>
      <c r="P180" s="2252"/>
      <c r="Q180" s="2237"/>
      <c r="R180" s="2237"/>
      <c r="S180" s="2237"/>
      <c r="T180" s="2237"/>
      <c r="U180" s="2240"/>
      <c r="V180" s="2241"/>
      <c r="W180" s="2239"/>
      <c r="X180" s="2242"/>
      <c r="Y180" s="2243"/>
      <c r="Z180" s="2251"/>
      <c r="AA180" s="2244"/>
      <c r="AB180" s="2245"/>
      <c r="AC180" s="2246"/>
      <c r="AD180" s="2247"/>
      <c r="AE180" s="2248"/>
      <c r="AF180" s="2249"/>
      <c r="AG180" s="2249"/>
      <c r="AH180" s="2238"/>
      <c r="AI180" s="2257"/>
      <c r="AJ180" s="2230"/>
      <c r="AK180" s="2230"/>
      <c r="AL180" s="3">
        <v>1</v>
      </c>
    </row>
    <row r="181" spans="1:38" ht="21" customHeight="1">
      <c r="A181" s="2230"/>
      <c r="B181" s="6793"/>
      <c r="C181" s="6074"/>
      <c r="D181" s="6069" t="str" cm="1">
        <f t="array" ref="D181">IF(ROW()=ROW(D173),C176,INDEX(E173:E186,ROW()-ROW(D173)))</f>
        <v/>
      </c>
      <c r="E181" s="6112" t="str">
        <f>IF(OR(D181="",C175="",C175&lt;=0,F181=""),"",TRIM(MID(D181,LEN(F181)+1+IF(MID(D181,LEN(F181)+1,1)=" ",1,0),99999)))</f>
        <v/>
      </c>
      <c r="F181" s="6069" t="str">
        <f>IF(OR(G181="",G181=0,G181="0"),"",IF(LEN(G181)&lt;=C175,G181,IF(LEN(SUBSTITUTE(H181," ",""))=C175+1,LEFT(G181,C175),LEFT(G181,FIND("§",SUBSTITUTE(H181," ","§",LEN(H181)-LEN(SUBSTITUTE(H181," ",""))))-1))))</f>
        <v/>
      </c>
      <c r="G181" s="6069" t="str">
        <f t="shared" si="19"/>
        <v/>
      </c>
      <c r="H181" s="6069" t="str">
        <f>IF(OR(G181="",G181=0,G181="0"),"",LEFT(G181,C175+1))</f>
        <v/>
      </c>
      <c r="I181" s="6070" t="str">
        <f t="shared" si="20"/>
        <v/>
      </c>
      <c r="J181" s="6071" t="str">
        <f t="shared" si="21"/>
        <v/>
      </c>
      <c r="K181" s="6072" t="str">
        <f>IF(LEN(TRIM(L181))&gt;0,MAX(K46:K180)+1,"")</f>
        <v/>
      </c>
      <c r="L181" s="200"/>
      <c r="M181" s="6116"/>
      <c r="N181" s="6116"/>
      <c r="O181" s="2230"/>
      <c r="P181" s="2252"/>
      <c r="Q181" s="2237"/>
      <c r="R181" s="2237"/>
      <c r="S181" s="2237"/>
      <c r="T181" s="2237"/>
      <c r="U181" s="2240"/>
      <c r="V181" s="2241"/>
      <c r="W181" s="2239"/>
      <c r="X181" s="2242"/>
      <c r="Y181" s="2243"/>
      <c r="Z181" s="2251"/>
      <c r="AA181" s="2244"/>
      <c r="AB181" s="2245"/>
      <c r="AC181" s="2246"/>
      <c r="AD181" s="2247"/>
      <c r="AE181" s="2248"/>
      <c r="AF181" s="2249"/>
      <c r="AG181" s="2249"/>
      <c r="AH181" s="2238"/>
      <c r="AI181" s="2257"/>
      <c r="AJ181" s="2230"/>
      <c r="AK181" s="2230"/>
      <c r="AL181" s="3">
        <v>1</v>
      </c>
    </row>
    <row r="182" spans="1:38" ht="21" customHeight="1">
      <c r="A182" s="2230"/>
      <c r="B182" s="6793"/>
      <c r="C182" s="6074"/>
      <c r="D182" s="6069" t="str" cm="1">
        <f t="array" ref="D182">IF(ROW()=ROW(D173),C176,INDEX(E173:E186,ROW()-ROW(D173)))</f>
        <v/>
      </c>
      <c r="E182" s="6112" t="str">
        <f>IF(OR(D182="",C175="",C175&lt;=0,F182=""),"",TRIM(MID(D182,LEN(F182)+1+IF(MID(D182,LEN(F182)+1,1)=" ",1,0),99999)))</f>
        <v/>
      </c>
      <c r="F182" s="6069" t="str">
        <f>IF(OR(G182="",G182=0,G182="0"),"",IF(LEN(G182)&lt;=C175,G182,IF(LEN(SUBSTITUTE(H182," ",""))=C175+1,LEFT(G182,C175),LEFT(G182,FIND("§",SUBSTITUTE(H182," ","§",LEN(H182)-LEN(SUBSTITUTE(H182," ",""))))-1))))</f>
        <v/>
      </c>
      <c r="G182" s="6069" t="str">
        <f t="shared" si="19"/>
        <v/>
      </c>
      <c r="H182" s="6069" t="str">
        <f>IF(OR(G182="",G182=0,G182="0"),"",LEFT(G182,C175+1))</f>
        <v/>
      </c>
      <c r="I182" s="6070" t="str">
        <f t="shared" si="20"/>
        <v/>
      </c>
      <c r="J182" s="6071" t="str">
        <f t="shared" si="21"/>
        <v/>
      </c>
      <c r="K182" s="6072" t="str">
        <f>IF(LEN(TRIM(L182))&gt;0,MAX(K46:K181)+1,"")</f>
        <v/>
      </c>
      <c r="L182" s="200"/>
      <c r="M182" s="6116"/>
      <c r="N182" s="6116"/>
      <c r="O182" s="2230"/>
      <c r="P182" s="2252"/>
      <c r="Q182" s="2237"/>
      <c r="R182" s="2237"/>
      <c r="S182" s="2237"/>
      <c r="T182" s="2237"/>
      <c r="U182" s="2240"/>
      <c r="V182" s="2241"/>
      <c r="W182" s="2239"/>
      <c r="X182" s="2242"/>
      <c r="Y182" s="2243"/>
      <c r="Z182" s="2251"/>
      <c r="AA182" s="2244"/>
      <c r="AB182" s="2245"/>
      <c r="AC182" s="2246"/>
      <c r="AD182" s="2247"/>
      <c r="AE182" s="2248"/>
      <c r="AF182" s="2249"/>
      <c r="AG182" s="2249"/>
      <c r="AH182" s="2238"/>
      <c r="AI182" s="2257"/>
      <c r="AJ182" s="2230"/>
      <c r="AK182" s="2230"/>
      <c r="AL182" s="3">
        <v>1</v>
      </c>
    </row>
    <row r="183" spans="1:38" ht="21" customHeight="1">
      <c r="A183" s="2230"/>
      <c r="B183" s="6793"/>
      <c r="C183" s="6074"/>
      <c r="D183" s="6069" t="str" cm="1">
        <f t="array" ref="D183">IF(ROW()=ROW(D173),C176,INDEX(E173:E186,ROW()-ROW(D173)))</f>
        <v/>
      </c>
      <c r="E183" s="6112" t="str">
        <f>IF(OR(D183="",C175="",C175&lt;=0,F183=""),"",TRIM(MID(D183,LEN(F183)+1+IF(MID(D183,LEN(F183)+1,1)=" ",1,0),99999)))</f>
        <v/>
      </c>
      <c r="F183" s="6069" t="str">
        <f>IF(OR(G183="",G183=0,G183="0"),"",IF(LEN(G183)&lt;=C175,G183,IF(LEN(SUBSTITUTE(H183," ",""))=C175+1,LEFT(G183,C175),LEFT(G183,FIND("§",SUBSTITUTE(H183," ","§",LEN(H183)-LEN(SUBSTITUTE(H183," ",""))))-1))))</f>
        <v/>
      </c>
      <c r="G183" s="6069" t="str">
        <f t="shared" si="19"/>
        <v/>
      </c>
      <c r="H183" s="6069" t="str">
        <f>IF(OR(G183="",G183=0,G183="0"),"",LEFT(G183,C175+1))</f>
        <v/>
      </c>
      <c r="I183" s="6070" t="str">
        <f t="shared" si="20"/>
        <v/>
      </c>
      <c r="J183" s="6071" t="str">
        <f t="shared" si="21"/>
        <v/>
      </c>
      <c r="K183" s="6072" t="str">
        <f>IF(LEN(TRIM(L183))&gt;0,MAX(K46:K182)+1,"")</f>
        <v/>
      </c>
      <c r="L183" s="200"/>
      <c r="M183" s="6116"/>
      <c r="N183" s="6116"/>
      <c r="O183" s="2230"/>
      <c r="P183" s="2252"/>
      <c r="Q183" s="2237"/>
      <c r="R183" s="2237"/>
      <c r="S183" s="2237"/>
      <c r="T183" s="2237"/>
      <c r="U183" s="2240"/>
      <c r="V183" s="2241"/>
      <c r="W183" s="2239"/>
      <c r="X183" s="2242"/>
      <c r="Y183" s="2243"/>
      <c r="Z183" s="2251"/>
      <c r="AA183" s="2244"/>
      <c r="AB183" s="2245"/>
      <c r="AC183" s="2246"/>
      <c r="AD183" s="2247"/>
      <c r="AE183" s="2248"/>
      <c r="AF183" s="2249"/>
      <c r="AG183" s="2249"/>
      <c r="AH183" s="2238"/>
      <c r="AI183" s="2257"/>
      <c r="AJ183" s="2230"/>
      <c r="AK183" s="2230"/>
      <c r="AL183" s="3">
        <v>1</v>
      </c>
    </row>
    <row r="184" spans="1:38" ht="21" customHeight="1">
      <c r="A184" s="2230"/>
      <c r="B184" s="6793"/>
      <c r="C184" s="6074"/>
      <c r="D184" s="6069" t="str" cm="1">
        <f t="array" ref="D184">IF(ROW()=ROW(D173),C176,INDEX(E173:E186,ROW()-ROW(D173)))</f>
        <v/>
      </c>
      <c r="E184" s="6112" t="str">
        <f>IF(OR(D184="",C175="",C175&lt;=0,F184=""),"",TRIM(MID(D184,LEN(F184)+1+IF(MID(D184,LEN(F184)+1,1)=" ",1,0),99999)))</f>
        <v/>
      </c>
      <c r="F184" s="6069" t="str">
        <f>IF(OR(G184="",G184=0,G184="0"),"",IF(LEN(G184)&lt;=C175,G184,IF(LEN(SUBSTITUTE(H184," ",""))=C175+1,LEFT(G184,C175),LEFT(G184,FIND("§",SUBSTITUTE(H184," ","§",LEN(H184)-LEN(SUBSTITUTE(H184," ",""))))-1))))</f>
        <v/>
      </c>
      <c r="G184" s="6069" t="str">
        <f t="shared" si="19"/>
        <v/>
      </c>
      <c r="H184" s="6069" t="str">
        <f>IF(OR(G184="",G184=0,G184="0"),"",LEFT(G184,C175+1))</f>
        <v/>
      </c>
      <c r="I184" s="6070" t="str">
        <f t="shared" si="20"/>
        <v/>
      </c>
      <c r="J184" s="6071" t="str">
        <f t="shared" si="21"/>
        <v/>
      </c>
      <c r="K184" s="6072" t="str">
        <f>IF(LEN(TRIM(L184))&gt;0,MAX(K46:K183)+1,"")</f>
        <v/>
      </c>
      <c r="L184" s="200"/>
      <c r="M184" s="6116"/>
      <c r="N184" s="6116"/>
      <c r="O184" s="2230"/>
      <c r="P184" s="2252"/>
      <c r="Q184" s="2237"/>
      <c r="R184" s="2237"/>
      <c r="S184" s="2237"/>
      <c r="T184" s="2237"/>
      <c r="U184" s="2240"/>
      <c r="V184" s="2241"/>
      <c r="W184" s="2239"/>
      <c r="X184" s="2242"/>
      <c r="Y184" s="2243"/>
      <c r="Z184" s="2251"/>
      <c r="AA184" s="2244"/>
      <c r="AB184" s="2245"/>
      <c r="AC184" s="2246"/>
      <c r="AD184" s="2247"/>
      <c r="AE184" s="2248"/>
      <c r="AF184" s="2249"/>
      <c r="AG184" s="2249"/>
      <c r="AH184" s="2238"/>
      <c r="AI184" s="2257"/>
      <c r="AJ184" s="2230"/>
      <c r="AK184" s="2230"/>
      <c r="AL184" s="3">
        <v>1</v>
      </c>
    </row>
    <row r="185" spans="1:38" ht="21" customHeight="1">
      <c r="A185" s="2230"/>
      <c r="B185" s="6793"/>
      <c r="C185" s="6074"/>
      <c r="D185" s="6069" t="str" cm="1">
        <f t="array" ref="D185">IF(ROW()=ROW(D173),C176,INDEX(E173:E186,ROW()-ROW(D173)))</f>
        <v/>
      </c>
      <c r="E185" s="6112" t="str">
        <f>IF(OR(D185="",C175="",C175&lt;=0,F185=""),"",TRIM(MID(D185,LEN(F185)+1+IF(MID(D185,LEN(F185)+1,1)=" ",1,0),99999)))</f>
        <v/>
      </c>
      <c r="F185" s="6069" t="str">
        <f>IF(OR(G185="",G185=0,G185="0"),"",IF(LEN(G185)&lt;=C175,G185,IF(LEN(SUBSTITUTE(H185," ",""))=C175+1,LEFT(G185,C175),LEFT(G185,FIND("§",SUBSTITUTE(H185," ","§",LEN(H185)-LEN(SUBSTITUTE(H185," ",""))))-1))))</f>
        <v/>
      </c>
      <c r="G185" s="6069" t="str">
        <f t="shared" si="19"/>
        <v/>
      </c>
      <c r="H185" s="6069" t="str">
        <f>IF(OR(G185="",G185=0,G185="0"),"",LEFT(G185,C175+1))</f>
        <v/>
      </c>
      <c r="I185" s="6070" t="str">
        <f t="shared" si="20"/>
        <v/>
      </c>
      <c r="J185" s="6071" t="str">
        <f t="shared" si="21"/>
        <v/>
      </c>
      <c r="K185" s="6072" t="str">
        <f>IF(LEN(TRIM(L185))&gt;0,MAX(K46:K184)+1,"")</f>
        <v/>
      </c>
      <c r="L185" s="200"/>
      <c r="M185" s="6116"/>
      <c r="N185" s="6116"/>
      <c r="O185" s="2230"/>
      <c r="P185" s="2252"/>
      <c r="Q185" s="2237"/>
      <c r="R185" s="2237"/>
      <c r="S185" s="2237"/>
      <c r="T185" s="2237"/>
      <c r="U185" s="2240"/>
      <c r="V185" s="2241"/>
      <c r="W185" s="2239"/>
      <c r="X185" s="2242"/>
      <c r="Y185" s="2243"/>
      <c r="Z185" s="2251"/>
      <c r="AA185" s="2244"/>
      <c r="AB185" s="2245"/>
      <c r="AC185" s="2246"/>
      <c r="AD185" s="2247"/>
      <c r="AE185" s="2248"/>
      <c r="AF185" s="2249"/>
      <c r="AG185" s="2249"/>
      <c r="AH185" s="2238"/>
      <c r="AI185" s="2257"/>
      <c r="AJ185" s="2230"/>
      <c r="AK185" s="2230"/>
      <c r="AL185" s="3">
        <v>1</v>
      </c>
    </row>
    <row r="186" spans="1:38" ht="21" customHeight="1">
      <c r="A186" s="2230"/>
      <c r="B186" s="6793"/>
      <c r="C186" s="6074"/>
      <c r="D186" s="6069" t="str" cm="1">
        <f t="array" ref="D186">IF(ROW()=ROW(D173),C176,INDEX(E173:E186,ROW()-ROW(D173)))</f>
        <v/>
      </c>
      <c r="E186" s="6112" t="str">
        <f>IF(OR(D186="",C175="",C175&lt;=0,F186=""),"",TRIM(MID(D186,LEN(F186)+1+IF(MID(D186,LEN(F186)+1,1)=" ",1,0),99999)))</f>
        <v/>
      </c>
      <c r="F186" s="6069" t="str">
        <f>IF(OR(G186="",G186=0,G186="0"),"",IF(LEN(G186)&lt;=C175,G186,IF(LEN(SUBSTITUTE(H186," ",""))=C175+1,LEFT(G186,C175),LEFT(G186,FIND("§",SUBSTITUTE(H186," ","§",LEN(H186)-LEN(SUBSTITUTE(H186," ",""))))-1))))</f>
        <v/>
      </c>
      <c r="G186" s="6069" t="str">
        <f t="shared" si="19"/>
        <v/>
      </c>
      <c r="H186" s="6069" t="str">
        <f>IF(OR(G186="",G186=0,G186="0"),"",LEFT(G186,C175+1))</f>
        <v/>
      </c>
      <c r="I186" s="6070" t="str">
        <f t="shared" si="20"/>
        <v/>
      </c>
      <c r="J186" s="6071" t="str">
        <f t="shared" si="21"/>
        <v/>
      </c>
      <c r="K186" s="6072" t="str">
        <f>IF(LEN(TRIM(L186))&gt;0,MAX(K46:K185)+1,"")</f>
        <v/>
      </c>
      <c r="L186" s="200"/>
      <c r="M186" s="6116"/>
      <c r="N186" s="6116"/>
      <c r="O186" s="2230"/>
      <c r="P186" s="2252"/>
      <c r="Q186" s="2237"/>
      <c r="R186" s="2237"/>
      <c r="S186" s="2237"/>
      <c r="T186" s="2237"/>
      <c r="U186" s="2240"/>
      <c r="V186" s="2241"/>
      <c r="W186" s="2239"/>
      <c r="X186" s="2242"/>
      <c r="Y186" s="2243"/>
      <c r="Z186" s="2251"/>
      <c r="AA186" s="2244"/>
      <c r="AB186" s="2245"/>
      <c r="AC186" s="2246"/>
      <c r="AD186" s="2247"/>
      <c r="AE186" s="2248"/>
      <c r="AF186" s="2249"/>
      <c r="AG186" s="2249"/>
      <c r="AH186" s="2238"/>
      <c r="AI186" s="2257"/>
      <c r="AJ186" s="2230"/>
      <c r="AK186" s="2230"/>
      <c r="AL186" s="3">
        <v>1</v>
      </c>
    </row>
    <row r="187" spans="1:38" ht="21" customHeight="1">
      <c r="A187" s="2230"/>
      <c r="B187" s="6793"/>
      <c r="C187" s="6068" t="str">
        <f>IF(TRIM(SUBSTITUTE(M57,CHAR(160),""))="","",M57)</f>
        <v/>
      </c>
      <c r="D187" s="6069" t="str" cm="1">
        <f t="array" ref="D187">IF(ROW()=ROW(D187),C190,INDEX(E187:E200,ROW()-ROW(D187)))</f>
        <v/>
      </c>
      <c r="E187" s="6112" t="str">
        <f>IF(OR(D187="",C189="",C189&lt;=0,F187=""),"",TRIM(MID(D187,LEN(F187)+1+IF(MID(D187,LEN(F187)+1,1)=" ",1,0),99999)))</f>
        <v/>
      </c>
      <c r="F187" s="6069" t="str">
        <f>IF(OR(G187="",G187=0,G187="0"),"",IF(LEN(G187)&lt;=C189,G187,IF(LEN(SUBSTITUTE(H187," ",""))=C189+1,LEFT(G187,C189),LEFT(G187,FIND("§",SUBSTITUTE(H187," ","§",LEN(H187)-LEN(SUBSTITUTE(H187," ",""))))-1))))</f>
        <v/>
      </c>
      <c r="G187" s="6069" t="str">
        <f t="shared" si="19"/>
        <v/>
      </c>
      <c r="H187" s="6069" t="str">
        <f>IF(OR(G187="",G187=0,G187="0"),"",LEFT(G187,C189+1))</f>
        <v/>
      </c>
      <c r="I187" s="6070" t="str">
        <f t="shared" si="20"/>
        <v/>
      </c>
      <c r="J187" s="6071" t="str">
        <f t="shared" si="21"/>
        <v/>
      </c>
      <c r="K187" s="6072" t="str">
        <f>IF(LEN(TRIM(L187))&gt;0,MAX(K46:K186)+1,"")</f>
        <v/>
      </c>
      <c r="L187" s="200"/>
      <c r="M187" s="6116"/>
      <c r="N187" s="6116"/>
      <c r="O187" s="2230"/>
      <c r="P187" s="2252"/>
      <c r="Q187" s="2237"/>
      <c r="R187" s="2237"/>
      <c r="S187" s="2237"/>
      <c r="T187" s="2237"/>
      <c r="U187" s="2240"/>
      <c r="V187" s="2241"/>
      <c r="W187" s="2239"/>
      <c r="X187" s="2242"/>
      <c r="Y187" s="2243"/>
      <c r="Z187" s="2251"/>
      <c r="AA187" s="2244"/>
      <c r="AB187" s="2245"/>
      <c r="AC187" s="2246"/>
      <c r="AD187" s="2247"/>
      <c r="AE187" s="2248"/>
      <c r="AF187" s="2249"/>
      <c r="AG187" s="2249"/>
      <c r="AH187" s="2238"/>
      <c r="AI187" s="2257"/>
      <c r="AJ187" s="2230"/>
      <c r="AK187" s="2230"/>
      <c r="AL187" s="3">
        <v>1</v>
      </c>
    </row>
    <row r="188" spans="1:38" ht="21" customHeight="1">
      <c r="A188" s="2230"/>
      <c r="B188" s="6793"/>
      <c r="C188" s="6074" t="str">
        <f>TRIM(SUBSTITUTE(SUBSTITUTE(SUBSTITUTE(SUBSTITUTE(IF(OR(LEFT(C187,1)="-",LEFT(C187,1)="="),MID(C187,2,99999),C187),CHAR(160)," "),CHAR(9)," "),CHAR(13)&amp;CHAR(10)," "),CHAR(10)," "))</f>
        <v/>
      </c>
      <c r="D188" s="6069" t="str" cm="1">
        <f t="array" ref="D188">IF(ROW()=ROW(D187),C190,INDEX(E187:E200,ROW()-ROW(D187)))</f>
        <v/>
      </c>
      <c r="E188" s="6112" t="str">
        <f>IF(OR(D188="",C189="",C189&lt;=0,F188=""),"",TRIM(MID(D188,LEN(F188)+1+IF(MID(D188,LEN(F188)+1,1)=" ",1,0),99999)))</f>
        <v/>
      </c>
      <c r="F188" s="6069" t="str">
        <f>IF(OR(G188="",G188=0,G188="0"),"",IF(LEN(G188)&lt;=C189,G188,IF(LEN(SUBSTITUTE(H188," ",""))=C189+1,LEFT(G188,C189),LEFT(G188,FIND("§",SUBSTITUTE(H188," ","§",LEN(H188)-LEN(SUBSTITUTE(H188," ",""))))-1))))</f>
        <v/>
      </c>
      <c r="G188" s="6069" t="str">
        <f t="shared" si="19"/>
        <v/>
      </c>
      <c r="H188" s="6069" t="str">
        <f>IF(OR(G188="",G188=0,G188="0"),"",LEFT(G188,C189+1))</f>
        <v/>
      </c>
      <c r="I188" s="6070" t="str">
        <f t="shared" si="20"/>
        <v/>
      </c>
      <c r="J188" s="6071" t="str">
        <f t="shared" si="21"/>
        <v/>
      </c>
      <c r="K188" s="6072" t="str">
        <f>IF(LEN(TRIM(L188))&gt;0,MAX(K46:K187)+1,"")</f>
        <v/>
      </c>
      <c r="L188" s="200"/>
      <c r="M188" s="6116"/>
      <c r="N188" s="6116"/>
      <c r="O188" s="2230"/>
      <c r="P188" s="2252"/>
      <c r="Q188" s="2237"/>
      <c r="R188" s="2237"/>
      <c r="S188" s="2237"/>
      <c r="T188" s="2237"/>
      <c r="U188" s="2240"/>
      <c r="V188" s="2241"/>
      <c r="W188" s="2239"/>
      <c r="X188" s="2242"/>
      <c r="Y188" s="2243"/>
      <c r="Z188" s="2251"/>
      <c r="AA188" s="2244"/>
      <c r="AB188" s="2245"/>
      <c r="AC188" s="2246"/>
      <c r="AD188" s="2247"/>
      <c r="AE188" s="2248"/>
      <c r="AF188" s="2249"/>
      <c r="AG188" s="2249"/>
      <c r="AH188" s="2238"/>
      <c r="AI188" s="2257"/>
      <c r="AJ188" s="2230"/>
      <c r="AK188" s="2230"/>
      <c r="AL188" s="3">
        <v>1</v>
      </c>
    </row>
    <row r="189" spans="1:38" ht="21" customHeight="1">
      <c r="A189" s="2230"/>
      <c r="B189" s="6793"/>
      <c r="C189" s="6075">
        <f>M44</f>
        <v>120</v>
      </c>
      <c r="D189" s="6069" t="str" cm="1">
        <f t="array" ref="D189">IF(ROW()=ROW(D187),C190,INDEX(E187:E200,ROW()-ROW(D187)))</f>
        <v/>
      </c>
      <c r="E189" s="6112" t="str">
        <f>IF(OR(D189="",C189="",C189&lt;=0,F189=""),"",TRIM(MID(D189,LEN(F189)+1+IF(MID(D189,LEN(F189)+1,1)=" ",1,0),99999)))</f>
        <v/>
      </c>
      <c r="F189" s="6069" t="str">
        <f>IF(OR(G189="",G189=0,G189="0"),"",IF(LEN(G189)&lt;=C189,G189,IF(LEN(SUBSTITUTE(H189," ",""))=C189+1,LEFT(G189,C189),LEFT(G189,FIND("§",SUBSTITUTE(H189," ","§",LEN(H189)-LEN(SUBSTITUTE(H189," ",""))))-1))))</f>
        <v/>
      </c>
      <c r="G189" s="6069" t="str">
        <f t="shared" si="19"/>
        <v/>
      </c>
      <c r="H189" s="6069" t="str">
        <f>IF(OR(G189="",G189=0,G189="0"),"",LEFT(G189,C189+1))</f>
        <v/>
      </c>
      <c r="I189" s="6070" t="str">
        <f t="shared" si="20"/>
        <v/>
      </c>
      <c r="J189" s="6071" t="str">
        <f t="shared" si="21"/>
        <v/>
      </c>
      <c r="K189" s="6072" t="str">
        <f>IF(LEN(TRIM(L189))&gt;0,MAX(K46:K188)+1,"")</f>
        <v/>
      </c>
      <c r="L189" s="200"/>
      <c r="M189" s="6116"/>
      <c r="N189" s="6116"/>
      <c r="O189" s="2230"/>
      <c r="P189" s="2252"/>
      <c r="Q189" s="2237"/>
      <c r="R189" s="2237"/>
      <c r="S189" s="2237"/>
      <c r="T189" s="2237"/>
      <c r="U189" s="2240"/>
      <c r="V189" s="2241"/>
      <c r="W189" s="2239"/>
      <c r="X189" s="2242"/>
      <c r="Y189" s="2243"/>
      <c r="Z189" s="2251"/>
      <c r="AA189" s="2244"/>
      <c r="AB189" s="2245"/>
      <c r="AC189" s="2246"/>
      <c r="AD189" s="2247"/>
      <c r="AE189" s="2248"/>
      <c r="AF189" s="2249"/>
      <c r="AG189" s="2249"/>
      <c r="AH189" s="2238"/>
      <c r="AI189" s="2257"/>
      <c r="AJ189" s="2230"/>
      <c r="AK189" s="2230"/>
      <c r="AL189" s="3">
        <v>1</v>
      </c>
    </row>
    <row r="190" spans="1:38" ht="21" customHeight="1">
      <c r="A190" s="2230"/>
      <c r="B190" s="6793"/>
      <c r="C190" s="6074" t="str">
        <f>IF(UPPER(TRIM(C45))="X",C194,C188)</f>
        <v/>
      </c>
      <c r="D190" s="6069" t="str" cm="1">
        <f t="array" ref="D190">IF(ROW()=ROW(D187),C190,INDEX(E187:E200,ROW()-ROW(D187)))</f>
        <v/>
      </c>
      <c r="E190" s="6112" t="str">
        <f>IF(OR(D190="",C189="",C189&lt;=0,F190=""),"",TRIM(MID(D190,LEN(F190)+1+IF(MID(D190,LEN(F190)+1,1)=" ",1,0),99999)))</f>
        <v/>
      </c>
      <c r="F190" s="6069" t="str">
        <f>IF(OR(G190="",G190=0,G190="0"),"",IF(LEN(G190)&lt;=C189,G190,IF(LEN(SUBSTITUTE(H190," ",""))=C189+1,LEFT(G190,C189),LEFT(G190,FIND("§",SUBSTITUTE(H190," ","§",LEN(H190)-LEN(SUBSTITUTE(H190," ",""))))-1))))</f>
        <v/>
      </c>
      <c r="G190" s="6069" t="str">
        <f t="shared" si="19"/>
        <v/>
      </c>
      <c r="H190" s="6069" t="str">
        <f>IF(OR(G190="",G190=0,G190="0"),"",LEFT(G190,C189+1))</f>
        <v/>
      </c>
      <c r="I190" s="6070" t="str">
        <f t="shared" si="20"/>
        <v/>
      </c>
      <c r="J190" s="6071" t="str">
        <f t="shared" si="21"/>
        <v/>
      </c>
      <c r="K190" s="6072" t="str">
        <f>IF(LEN(TRIM(L190))&gt;0,MAX(K46:K189)+1,"")</f>
        <v/>
      </c>
      <c r="L190" s="200"/>
      <c r="M190" s="6116"/>
      <c r="N190" s="6116"/>
      <c r="O190" s="2230"/>
      <c r="P190" s="2252"/>
      <c r="Q190" s="2237"/>
      <c r="R190" s="2237"/>
      <c r="S190" s="2237"/>
      <c r="T190" s="2237"/>
      <c r="U190" s="2240"/>
      <c r="V190" s="2241"/>
      <c r="W190" s="2239"/>
      <c r="X190" s="2242"/>
      <c r="Y190" s="2243"/>
      <c r="Z190" s="2251"/>
      <c r="AA190" s="2244"/>
      <c r="AB190" s="2245"/>
      <c r="AC190" s="2246"/>
      <c r="AD190" s="2247"/>
      <c r="AE190" s="2248"/>
      <c r="AF190" s="2249"/>
      <c r="AG190" s="2249"/>
      <c r="AH190" s="2238"/>
      <c r="AI190" s="2257"/>
      <c r="AJ190" s="2230"/>
      <c r="AK190" s="2230"/>
      <c r="AL190" s="3">
        <v>1</v>
      </c>
    </row>
    <row r="191" spans="1:38" ht="21" customHeight="1">
      <c r="A191" s="2230"/>
      <c r="B191" s="6793"/>
      <c r="C191" s="6074" t="str">
        <f>TRIM(SUBSTITUTE(SUBSTITUTE(SUBSTITUTE(SUBSTITUTE(SUBSTITUTE(SUBSTITUTE(SUBSTITUTE(SUBSTITUTE(SUBSTITUTE(SUBSTITUTE(C188,","," "),";"," "),":"," "),"!"," "),"?"," "),"…"," "),"»"," "),"«"," "),"/"," "),"."," "))</f>
        <v/>
      </c>
      <c r="D191" s="6069" t="str" cm="1">
        <f t="array" ref="D191">IF(ROW()=ROW(D187),C190,INDEX(E187:E200,ROW()-ROW(D187)))</f>
        <v/>
      </c>
      <c r="E191" s="6112" t="str">
        <f>IF(OR(D191="",C189="",C189&lt;=0,F191=""),"",TRIM(MID(D191,LEN(F191)+1+IF(MID(D191,LEN(F191)+1,1)=" ",1,0),99999)))</f>
        <v/>
      </c>
      <c r="F191" s="6069" t="str">
        <f>IF(OR(G191="",G191=0,G191="0"),"",IF(LEN(G191)&lt;=C189,G191,IF(LEN(SUBSTITUTE(H191," ",""))=C189+1,LEFT(G191,C189),LEFT(G191,FIND("§",SUBSTITUTE(H191," ","§",LEN(H191)-LEN(SUBSTITUTE(H191," ",""))))-1))))</f>
        <v/>
      </c>
      <c r="G191" s="6069" t="str">
        <f t="shared" si="19"/>
        <v/>
      </c>
      <c r="H191" s="6069" t="str">
        <f>IF(OR(G191="",G191=0,G191="0"),"",LEFT(G191,C189+1))</f>
        <v/>
      </c>
      <c r="I191" s="6070" t="str">
        <f t="shared" si="20"/>
        <v/>
      </c>
      <c r="J191" s="6071" t="str">
        <f t="shared" si="21"/>
        <v/>
      </c>
      <c r="K191" s="6072" t="str">
        <f>IF(LEN(TRIM(L191))&gt;0,MAX(K46:K190)+1,"")</f>
        <v/>
      </c>
      <c r="L191" s="200"/>
      <c r="M191" s="6116"/>
      <c r="N191" s="6116"/>
      <c r="O191" s="2230"/>
      <c r="P191" s="2252"/>
      <c r="Q191" s="2237"/>
      <c r="R191" s="2237"/>
      <c r="S191" s="2237"/>
      <c r="T191" s="2237"/>
      <c r="U191" s="2240"/>
      <c r="V191" s="2241"/>
      <c r="W191" s="2239"/>
      <c r="X191" s="2242"/>
      <c r="Y191" s="2243"/>
      <c r="Z191" s="2251"/>
      <c r="AA191" s="2244"/>
      <c r="AB191" s="2245"/>
      <c r="AC191" s="2246"/>
      <c r="AD191" s="2247"/>
      <c r="AE191" s="2248"/>
      <c r="AF191" s="2249"/>
      <c r="AG191" s="2249"/>
      <c r="AH191" s="2238"/>
      <c r="AI191" s="2257"/>
      <c r="AJ191" s="2230"/>
      <c r="AK191" s="2230"/>
      <c r="AL191" s="3">
        <v>1</v>
      </c>
    </row>
    <row r="192" spans="1:38" ht="21" customHeight="1">
      <c r="A192" s="2230"/>
      <c r="B192" s="6793"/>
      <c r="C192" s="6069" t="str">
        <f>TRIM(SUBSTITUTE(SUBSTITUTE(SUBSTITUTE(SUBSTITUTE(SUBSTITUTE(SUBSTITUTE(SUBSTITUTE(SUBSTITUTE(C191,"("," "),")"," "),CHAR(34)," "),"-"," "),"_"," "),"&lt;"," "),"&gt;"," "),"="," "))</f>
        <v/>
      </c>
      <c r="D192" s="6069" t="str" cm="1">
        <f t="array" ref="D192">IF(ROW()=ROW(D187),C190,INDEX(E187:E200,ROW()-ROW(D187)))</f>
        <v/>
      </c>
      <c r="E192" s="6112" t="str">
        <f>IF(OR(D192="",C189="",C189&lt;=0,F192=""),"",TRIM(MID(D192,LEN(F192)+1+IF(MID(D192,LEN(F192)+1,1)=" ",1,0),99999)))</f>
        <v/>
      </c>
      <c r="F192" s="6069" t="str">
        <f>IF(OR(G192="",G192=0,G192="0"),"",IF(LEN(G192)&lt;=C189,G192,IF(LEN(SUBSTITUTE(H192," ",""))=C189+1,LEFT(G192,C189),LEFT(G192,FIND("§",SUBSTITUTE(H192," ","§",LEN(H192)-LEN(SUBSTITUTE(H192," ",""))))-1))))</f>
        <v/>
      </c>
      <c r="G192" s="6069" t="str">
        <f t="shared" si="19"/>
        <v/>
      </c>
      <c r="H192" s="6069" t="str">
        <f>IF(OR(G192="",G192=0,G192="0"),"",LEFT(G192,C189+1))</f>
        <v/>
      </c>
      <c r="I192" s="6070" t="str">
        <f t="shared" si="20"/>
        <v/>
      </c>
      <c r="J192" s="6071" t="str">
        <f t="shared" si="21"/>
        <v/>
      </c>
      <c r="K192" s="6072" t="str">
        <f>IF(LEN(TRIM(L192))&gt;0,MAX(K46:K191)+1,"")</f>
        <v/>
      </c>
      <c r="L192" s="200"/>
      <c r="M192" s="6116"/>
      <c r="N192" s="6116"/>
      <c r="O192" s="2230"/>
      <c r="P192" s="2252"/>
      <c r="Q192" s="2237"/>
      <c r="R192" s="2237"/>
      <c r="S192" s="2237"/>
      <c r="T192" s="2237"/>
      <c r="U192" s="2240"/>
      <c r="V192" s="2241"/>
      <c r="W192" s="2239"/>
      <c r="X192" s="2242"/>
      <c r="Y192" s="2243"/>
      <c r="Z192" s="2251"/>
      <c r="AA192" s="2244"/>
      <c r="AB192" s="2245"/>
      <c r="AC192" s="2246"/>
      <c r="AD192" s="2247"/>
      <c r="AE192" s="2248"/>
      <c r="AF192" s="2249"/>
      <c r="AG192" s="2249"/>
      <c r="AH192" s="2238"/>
      <c r="AI192" s="2257"/>
      <c r="AJ192" s="2230"/>
      <c r="AK192" s="2230"/>
      <c r="AL192" s="3">
        <v>1</v>
      </c>
    </row>
    <row r="193" spans="1:38" ht="21" customHeight="1">
      <c r="A193" s="2230"/>
      <c r="B193" s="6793"/>
      <c r="C193" s="6074" t="str">
        <f>TRIM(SUBSTITUTE(SUBSTITUTE(SUBSTITUTE(SUBSTITUTE(C192,"►"," "),"▼"," "),"▲"," "),"◄"," "))</f>
        <v/>
      </c>
      <c r="D193" s="6069" t="str" cm="1">
        <f t="array" ref="D193">IF(ROW()=ROW(D187),C190,INDEX(E187:E200,ROW()-ROW(D187)))</f>
        <v/>
      </c>
      <c r="E193" s="6112" t="str">
        <f>IF(OR(D193="",C189="",C189&lt;=0,F193=""),"",TRIM(MID(D193,LEN(F193)+1+IF(MID(D193,LEN(F193)+1,1)=" ",1,0),99999)))</f>
        <v/>
      </c>
      <c r="F193" s="6069" t="str">
        <f>IF(OR(G193="",G193=0,G193="0"),"",IF(LEN(G193)&lt;=C189,G193,IF(LEN(SUBSTITUTE(H193," ",""))=C189+1,LEFT(G193,C189),LEFT(G193,FIND("§",SUBSTITUTE(H193," ","§",LEN(H193)-LEN(SUBSTITUTE(H193," ",""))))-1))))</f>
        <v/>
      </c>
      <c r="G193" s="6069" t="str">
        <f t="shared" si="19"/>
        <v/>
      </c>
      <c r="H193" s="6069" t="str">
        <f>IF(OR(G193="",G193=0,G193="0"),"",LEFT(G193,C189+1))</f>
        <v/>
      </c>
      <c r="I193" s="6070" t="str">
        <f t="shared" si="20"/>
        <v/>
      </c>
      <c r="J193" s="6071" t="str">
        <f t="shared" si="21"/>
        <v/>
      </c>
      <c r="K193" s="6072" t="str">
        <f>IF(LEN(TRIM(L193))&gt;0,MAX(K46:K192)+1,"")</f>
        <v/>
      </c>
      <c r="L193" s="200"/>
      <c r="M193" s="6116"/>
      <c r="N193" s="6116"/>
      <c r="O193" s="2230"/>
      <c r="P193" s="2252"/>
      <c r="Q193" s="2237"/>
      <c r="R193" s="2237"/>
      <c r="S193" s="2237"/>
      <c r="T193" s="2237"/>
      <c r="U193" s="2240"/>
      <c r="V193" s="2241"/>
      <c r="W193" s="2239"/>
      <c r="X193" s="2242"/>
      <c r="Y193" s="2243"/>
      <c r="Z193" s="2251"/>
      <c r="AA193" s="2244"/>
      <c r="AB193" s="2245"/>
      <c r="AC193" s="2246"/>
      <c r="AD193" s="2247"/>
      <c r="AE193" s="2248"/>
      <c r="AF193" s="2249"/>
      <c r="AG193" s="2249"/>
      <c r="AH193" s="2238"/>
      <c r="AI193" s="2257"/>
      <c r="AJ193" s="2230"/>
      <c r="AK193" s="2230"/>
      <c r="AL193" s="3">
        <v>1</v>
      </c>
    </row>
    <row r="194" spans="1:38" ht="21" customHeight="1">
      <c r="A194" s="2230"/>
      <c r="B194" s="6793"/>
      <c r="C194" s="6074" t="str">
        <f>TRIM(SUBSTITUTE(SUBSTITUTE(C193,"“"," "),"”"," "))</f>
        <v/>
      </c>
      <c r="D194" s="6069" t="str" cm="1">
        <f t="array" ref="D194">IF(ROW()=ROW(D187),C190,INDEX(E187:E200,ROW()-ROW(D187)))</f>
        <v/>
      </c>
      <c r="E194" s="6112" t="str">
        <f>IF(OR(D194="",C189="",C189&lt;=0,F194=""),"",TRIM(MID(D194,LEN(F194)+1+IF(MID(D194,LEN(F194)+1,1)=" ",1,0),99999)))</f>
        <v/>
      </c>
      <c r="F194" s="6069" t="str">
        <f>IF(OR(G194="",G194=0,G194="0"),"",IF(LEN(G194)&lt;=C189,G194,IF(LEN(SUBSTITUTE(H194," ",""))=C189+1,LEFT(G194,C189),LEFT(G194,FIND("§",SUBSTITUTE(H194," ","§",LEN(H194)-LEN(SUBSTITUTE(H194," ",""))))-1))))</f>
        <v/>
      </c>
      <c r="G194" s="6069" t="str">
        <f t="shared" si="19"/>
        <v/>
      </c>
      <c r="H194" s="6069" t="str">
        <f>IF(OR(G194="",G194=0,G194="0"),"",LEFT(G194,C189+1))</f>
        <v/>
      </c>
      <c r="I194" s="6070" t="str">
        <f t="shared" si="20"/>
        <v/>
      </c>
      <c r="J194" s="6071" t="str">
        <f t="shared" si="21"/>
        <v/>
      </c>
      <c r="K194" s="6072" t="str">
        <f>IF(LEN(TRIM(L194))&gt;0,MAX(K46:K193)+1,"")</f>
        <v/>
      </c>
      <c r="L194" s="200"/>
      <c r="M194" s="6116"/>
      <c r="N194" s="6116"/>
      <c r="O194" s="2230"/>
      <c r="P194" s="2252"/>
      <c r="Q194" s="2237"/>
      <c r="R194" s="2237"/>
      <c r="S194" s="2237"/>
      <c r="T194" s="2237"/>
      <c r="U194" s="2240"/>
      <c r="V194" s="2241"/>
      <c r="W194" s="2239"/>
      <c r="X194" s="2242"/>
      <c r="Y194" s="2243"/>
      <c r="Z194" s="2251"/>
      <c r="AA194" s="2244"/>
      <c r="AB194" s="2245"/>
      <c r="AC194" s="2246"/>
      <c r="AD194" s="2247"/>
      <c r="AE194" s="2248"/>
      <c r="AF194" s="2249"/>
      <c r="AG194" s="2249"/>
      <c r="AH194" s="2238"/>
      <c r="AI194" s="2257"/>
      <c r="AJ194" s="2230"/>
      <c r="AK194" s="2230"/>
      <c r="AL194" s="3">
        <v>1</v>
      </c>
    </row>
    <row r="195" spans="1:38" ht="21" customHeight="1">
      <c r="A195" s="2230"/>
      <c r="B195" s="6793"/>
      <c r="C195" s="6074"/>
      <c r="D195" s="6069" t="str" cm="1">
        <f t="array" ref="D195">IF(ROW()=ROW(D187),C190,INDEX(E187:E200,ROW()-ROW(D187)))</f>
        <v/>
      </c>
      <c r="E195" s="6112" t="str">
        <f>IF(OR(D195="",C189="",C189&lt;=0,F195=""),"",TRIM(MID(D195,LEN(F195)+1+IF(MID(D195,LEN(F195)+1,1)=" ",1,0),99999)))</f>
        <v/>
      </c>
      <c r="F195" s="6069" t="str">
        <f>IF(OR(G195="",G195=0,G195="0"),"",IF(LEN(G195)&lt;=C189,G195,IF(LEN(SUBSTITUTE(H195," ",""))=C189+1,LEFT(G195,C189),LEFT(G195,FIND("§",SUBSTITUTE(H195," ","§",LEN(H195)-LEN(SUBSTITUTE(H195," ",""))))-1))))</f>
        <v/>
      </c>
      <c r="G195" s="6069" t="str">
        <f t="shared" si="19"/>
        <v/>
      </c>
      <c r="H195" s="6069" t="str">
        <f>IF(OR(G195="",G195=0,G195="0"),"",LEFT(G195,C189+1))</f>
        <v/>
      </c>
      <c r="I195" s="6070" t="str">
        <f t="shared" si="20"/>
        <v/>
      </c>
      <c r="J195" s="6071" t="str">
        <f t="shared" si="21"/>
        <v/>
      </c>
      <c r="K195" s="6072" t="str">
        <f>IF(LEN(TRIM(L195))&gt;0,MAX(K46:K194)+1,"")</f>
        <v/>
      </c>
      <c r="L195" s="200"/>
      <c r="M195" s="6116"/>
      <c r="N195" s="6116"/>
      <c r="O195" s="2230"/>
      <c r="P195" s="2252"/>
      <c r="Q195" s="2237"/>
      <c r="R195" s="2237"/>
      <c r="S195" s="2237"/>
      <c r="T195" s="2237"/>
      <c r="U195" s="2240"/>
      <c r="V195" s="2241"/>
      <c r="W195" s="2239"/>
      <c r="X195" s="2242"/>
      <c r="Y195" s="2243"/>
      <c r="Z195" s="2251"/>
      <c r="AA195" s="2244"/>
      <c r="AB195" s="2245"/>
      <c r="AC195" s="2246"/>
      <c r="AD195" s="2247"/>
      <c r="AE195" s="2248"/>
      <c r="AF195" s="2249"/>
      <c r="AG195" s="2249"/>
      <c r="AH195" s="2238"/>
      <c r="AI195" s="2257"/>
      <c r="AJ195" s="2230"/>
      <c r="AK195" s="2230"/>
      <c r="AL195" s="3">
        <v>1</v>
      </c>
    </row>
    <row r="196" spans="1:38" ht="21" customHeight="1">
      <c r="A196" s="2230"/>
      <c r="B196" s="6793"/>
      <c r="C196" s="6074"/>
      <c r="D196" s="6069" t="str" cm="1">
        <f t="array" ref="D196">IF(ROW()=ROW(D187),C190,INDEX(E187:E200,ROW()-ROW(D187)))</f>
        <v/>
      </c>
      <c r="E196" s="6112" t="str">
        <f>IF(OR(D196="",C189="",C189&lt;=0,F196=""),"",TRIM(MID(D196,LEN(F196)+1+IF(MID(D196,LEN(F196)+1,1)=" ",1,0),99999)))</f>
        <v/>
      </c>
      <c r="F196" s="6069" t="str">
        <f>IF(OR(G196="",G196=0,G196="0"),"",IF(LEN(G196)&lt;=C189,G196,IF(LEN(SUBSTITUTE(H196," ",""))=C189+1,LEFT(G196,C189),LEFT(G196,FIND("§",SUBSTITUTE(H196," ","§",LEN(H196)-LEN(SUBSTITUTE(H196," ",""))))-1))))</f>
        <v/>
      </c>
      <c r="G196" s="6069" t="str">
        <f t="shared" si="19"/>
        <v/>
      </c>
      <c r="H196" s="6069" t="str">
        <f>IF(OR(G196="",G196=0,G196="0"),"",LEFT(G196,C189+1))</f>
        <v/>
      </c>
      <c r="I196" s="6070" t="str">
        <f t="shared" si="20"/>
        <v/>
      </c>
      <c r="J196" s="6071" t="str">
        <f t="shared" si="21"/>
        <v/>
      </c>
      <c r="K196" s="6072" t="str">
        <f>IF(LEN(TRIM(L196))&gt;0,MAX(K46:K195)+1,"")</f>
        <v/>
      </c>
      <c r="L196" s="200"/>
      <c r="M196" s="6116"/>
      <c r="N196" s="6116"/>
      <c r="O196" s="2230"/>
      <c r="P196" s="2252"/>
      <c r="Q196" s="2237"/>
      <c r="R196" s="2237"/>
      <c r="S196" s="2237"/>
      <c r="T196" s="2237"/>
      <c r="U196" s="2240"/>
      <c r="V196" s="2241"/>
      <c r="W196" s="2239"/>
      <c r="X196" s="2242"/>
      <c r="Y196" s="2243"/>
      <c r="Z196" s="2251"/>
      <c r="AA196" s="2244"/>
      <c r="AB196" s="2245"/>
      <c r="AC196" s="2246"/>
      <c r="AD196" s="2247"/>
      <c r="AE196" s="2248"/>
      <c r="AF196" s="2249"/>
      <c r="AG196" s="2249"/>
      <c r="AH196" s="2238"/>
      <c r="AI196" s="2257"/>
      <c r="AJ196" s="2230"/>
      <c r="AK196" s="2230"/>
      <c r="AL196" s="3">
        <v>1</v>
      </c>
    </row>
    <row r="197" spans="1:38" ht="21" customHeight="1">
      <c r="A197" s="2230"/>
      <c r="B197" s="6793"/>
      <c r="C197" s="6074"/>
      <c r="D197" s="6069" t="str" cm="1">
        <f t="array" ref="D197">IF(ROW()=ROW(D187),C190,INDEX(E187:E200,ROW()-ROW(D187)))</f>
        <v/>
      </c>
      <c r="E197" s="6112" t="str">
        <f>IF(OR(D197="",C189="",C189&lt;=0,F197=""),"",TRIM(MID(D197,LEN(F197)+1+IF(MID(D197,LEN(F197)+1,1)=" ",1,0),99999)))</f>
        <v/>
      </c>
      <c r="F197" s="6069" t="str">
        <f>IF(OR(G197="",G197=0,G197="0"),"",IF(LEN(G197)&lt;=C189,G197,IF(LEN(SUBSTITUTE(H197," ",""))=C189+1,LEFT(G197,C189),LEFT(G197,FIND("§",SUBSTITUTE(H197," ","§",LEN(H197)-LEN(SUBSTITUTE(H197," ",""))))-1))))</f>
        <v/>
      </c>
      <c r="G197" s="6069" t="str">
        <f t="shared" si="19"/>
        <v/>
      </c>
      <c r="H197" s="6069" t="str">
        <f>IF(OR(G197="",G197=0,G197="0"),"",LEFT(G197,C189+1))</f>
        <v/>
      </c>
      <c r="I197" s="6070" t="str">
        <f t="shared" si="20"/>
        <v/>
      </c>
      <c r="J197" s="6071" t="str">
        <f t="shared" si="21"/>
        <v/>
      </c>
      <c r="K197" s="6072" t="str">
        <f>IF(LEN(TRIM(L197))&gt;0,MAX(K46:K196)+1,"")</f>
        <v/>
      </c>
      <c r="L197" s="200"/>
      <c r="M197" s="6116"/>
      <c r="N197" s="6116"/>
      <c r="O197" s="2230"/>
      <c r="P197" s="2252"/>
      <c r="Q197" s="2237"/>
      <c r="R197" s="2237"/>
      <c r="S197" s="2237"/>
      <c r="T197" s="2237"/>
      <c r="U197" s="2240"/>
      <c r="V197" s="2241"/>
      <c r="W197" s="2239"/>
      <c r="X197" s="2242"/>
      <c r="Y197" s="2243"/>
      <c r="Z197" s="2251"/>
      <c r="AA197" s="2244"/>
      <c r="AB197" s="2245"/>
      <c r="AC197" s="2246"/>
      <c r="AD197" s="2247"/>
      <c r="AE197" s="2248"/>
      <c r="AF197" s="2249"/>
      <c r="AG197" s="2249"/>
      <c r="AH197" s="2238"/>
      <c r="AI197" s="2257"/>
      <c r="AJ197" s="2230"/>
      <c r="AK197" s="2230"/>
      <c r="AL197" s="3">
        <v>1</v>
      </c>
    </row>
    <row r="198" spans="1:38" ht="21" customHeight="1">
      <c r="A198" s="2230"/>
      <c r="B198" s="6793"/>
      <c r="C198" s="6074"/>
      <c r="D198" s="6069" t="str" cm="1">
        <f t="array" ref="D198">IF(ROW()=ROW(D187),C190,INDEX(E187:E200,ROW()-ROW(D187)))</f>
        <v/>
      </c>
      <c r="E198" s="6112" t="str">
        <f>IF(OR(D198="",C189="",C189&lt;=0,F198=""),"",TRIM(MID(D198,LEN(F198)+1+IF(MID(D198,LEN(F198)+1,1)=" ",1,0),99999)))</f>
        <v/>
      </c>
      <c r="F198" s="6069" t="str">
        <f>IF(OR(G198="",G198=0,G198="0"),"",IF(LEN(G198)&lt;=C189,G198,IF(LEN(SUBSTITUTE(H198," ",""))=C189+1,LEFT(G198,C189),LEFT(G198,FIND("§",SUBSTITUTE(H198," ","§",LEN(H198)-LEN(SUBSTITUTE(H198," ",""))))-1))))</f>
        <v/>
      </c>
      <c r="G198" s="6069" t="str">
        <f t="shared" si="19"/>
        <v/>
      </c>
      <c r="H198" s="6069" t="str">
        <f>IF(OR(G198="",G198=0,G198="0"),"",LEFT(G198,C189+1))</f>
        <v/>
      </c>
      <c r="I198" s="6070" t="str">
        <f t="shared" si="20"/>
        <v/>
      </c>
      <c r="J198" s="6071" t="str">
        <f t="shared" si="21"/>
        <v/>
      </c>
      <c r="K198" s="6072" t="str">
        <f>IF(LEN(TRIM(L198))&gt;0,MAX(K46:K197)+1,"")</f>
        <v/>
      </c>
      <c r="L198" s="200"/>
      <c r="M198" s="6116"/>
      <c r="N198" s="6116"/>
      <c r="O198" s="2230"/>
      <c r="P198" s="2252"/>
      <c r="Q198" s="2237"/>
      <c r="R198" s="2237"/>
      <c r="S198" s="2237"/>
      <c r="T198" s="2237"/>
      <c r="U198" s="2240"/>
      <c r="V198" s="2241"/>
      <c r="W198" s="2239"/>
      <c r="X198" s="2242"/>
      <c r="Y198" s="2243"/>
      <c r="Z198" s="2251"/>
      <c r="AA198" s="2244"/>
      <c r="AB198" s="2245"/>
      <c r="AC198" s="2246"/>
      <c r="AD198" s="2247"/>
      <c r="AE198" s="2248"/>
      <c r="AF198" s="2249"/>
      <c r="AG198" s="2249"/>
      <c r="AH198" s="2238"/>
      <c r="AI198" s="2257"/>
      <c r="AJ198" s="2230"/>
      <c r="AK198" s="2230"/>
      <c r="AL198" s="3">
        <v>1</v>
      </c>
    </row>
    <row r="199" spans="1:38" ht="21" customHeight="1">
      <c r="A199" s="2230"/>
      <c r="B199" s="6793"/>
      <c r="C199" s="6074"/>
      <c r="D199" s="6069" t="str" cm="1">
        <f t="array" ref="D199">IF(ROW()=ROW(D187),C190,INDEX(E187:E200,ROW()-ROW(D187)))</f>
        <v/>
      </c>
      <c r="E199" s="6112" t="str">
        <f>IF(OR(D199="",C189="",C189&lt;=0,F199=""),"",TRIM(MID(D199,LEN(F199)+1+IF(MID(D199,LEN(F199)+1,1)=" ",1,0),99999)))</f>
        <v/>
      </c>
      <c r="F199" s="6069" t="str">
        <f>IF(OR(G199="",G199=0,G199="0"),"",IF(LEN(G199)&lt;=C189,G199,IF(LEN(SUBSTITUTE(H199," ",""))=C189+1,LEFT(G199,C189),LEFT(G199,FIND("§",SUBSTITUTE(H199," ","§",LEN(H199)-LEN(SUBSTITUTE(H199," ",""))))-1))))</f>
        <v/>
      </c>
      <c r="G199" s="6069" t="str">
        <f t="shared" si="19"/>
        <v/>
      </c>
      <c r="H199" s="6069" t="str">
        <f>IF(OR(G199="",G199=0,G199="0"),"",LEFT(G199,C189+1))</f>
        <v/>
      </c>
      <c r="I199" s="6070" t="str">
        <f t="shared" si="20"/>
        <v/>
      </c>
      <c r="J199" s="6071" t="str">
        <f t="shared" si="21"/>
        <v/>
      </c>
      <c r="K199" s="6072" t="str">
        <f>IF(LEN(TRIM(L199))&gt;0,MAX(K46:K198)+1,"")</f>
        <v/>
      </c>
      <c r="L199" s="200"/>
      <c r="M199" s="6116"/>
      <c r="N199" s="6116"/>
      <c r="O199" s="2230"/>
      <c r="P199" s="2252"/>
      <c r="Q199" s="2237"/>
      <c r="R199" s="2237"/>
      <c r="S199" s="2237"/>
      <c r="T199" s="2237"/>
      <c r="U199" s="2240"/>
      <c r="V199" s="2241"/>
      <c r="W199" s="2239"/>
      <c r="X199" s="2242"/>
      <c r="Y199" s="2243"/>
      <c r="Z199" s="2251"/>
      <c r="AA199" s="2244"/>
      <c r="AB199" s="2245"/>
      <c r="AC199" s="2246"/>
      <c r="AD199" s="2247"/>
      <c r="AE199" s="2248"/>
      <c r="AF199" s="2249"/>
      <c r="AG199" s="2249"/>
      <c r="AH199" s="2238"/>
      <c r="AI199" s="2257"/>
      <c r="AJ199" s="2230"/>
      <c r="AK199" s="2230"/>
      <c r="AL199" s="3">
        <v>1</v>
      </c>
    </row>
    <row r="200" spans="1:38" ht="21" customHeight="1">
      <c r="A200" s="2230"/>
      <c r="B200" s="6793"/>
      <c r="C200" s="6074"/>
      <c r="D200" s="6069" t="str" cm="1">
        <f t="array" ref="D200">IF(ROW()=ROW(D187),C190,INDEX(E187:E200,ROW()-ROW(D187)))</f>
        <v/>
      </c>
      <c r="E200" s="6112" t="str">
        <f>IF(OR(D200="",C189="",C189&lt;=0,F200=""),"",TRIM(MID(D200,LEN(F200)+1+IF(MID(D200,LEN(F200)+1,1)=" ",1,0),99999)))</f>
        <v/>
      </c>
      <c r="F200" s="6069" t="str">
        <f>IF(OR(G200="",G200=0,G200="0"),"",IF(LEN(G200)&lt;=C189,G200,IF(LEN(SUBSTITUTE(H200," ",""))=C189+1,LEFT(G200,C189),LEFT(G200,FIND("§",SUBSTITUTE(H200," ","§",LEN(H200)-LEN(SUBSTITUTE(H200," ",""))))-1))))</f>
        <v/>
      </c>
      <c r="G200" s="6069" t="str">
        <f t="shared" si="19"/>
        <v/>
      </c>
      <c r="H200" s="6069" t="str">
        <f>IF(OR(G200="",G200=0,G200="0"),"",LEFT(G200,C189+1))</f>
        <v/>
      </c>
      <c r="I200" s="6070" t="str">
        <f t="shared" si="20"/>
        <v/>
      </c>
      <c r="J200" s="6071" t="str">
        <f t="shared" si="21"/>
        <v/>
      </c>
      <c r="K200" s="6072" t="str">
        <f>IF(LEN(TRIM(L200))&gt;0,MAX(K46:K199)+1,"")</f>
        <v/>
      </c>
      <c r="L200" s="200"/>
      <c r="M200" s="6116"/>
      <c r="N200" s="6116"/>
      <c r="O200" s="2230"/>
      <c r="P200" s="2252"/>
      <c r="Q200" s="2237"/>
      <c r="R200" s="2237"/>
      <c r="S200" s="2237"/>
      <c r="T200" s="2237"/>
      <c r="U200" s="2240"/>
      <c r="V200" s="2241"/>
      <c r="W200" s="2239"/>
      <c r="X200" s="2242"/>
      <c r="Y200" s="2243"/>
      <c r="Z200" s="2251"/>
      <c r="AA200" s="2244"/>
      <c r="AB200" s="2245"/>
      <c r="AC200" s="2246"/>
      <c r="AD200" s="2247"/>
      <c r="AE200" s="2248"/>
      <c r="AF200" s="2249"/>
      <c r="AG200" s="2249"/>
      <c r="AH200" s="2238"/>
      <c r="AI200" s="2257"/>
      <c r="AJ200" s="2230"/>
      <c r="AK200" s="2230"/>
      <c r="AL200" s="3">
        <v>1</v>
      </c>
    </row>
    <row r="201" spans="1:38" ht="21" customHeight="1">
      <c r="A201" s="2230"/>
      <c r="B201" s="6793"/>
      <c r="C201" s="6068" t="str">
        <f>IF(TRIM(SUBSTITUTE(M58,CHAR(160),""))="","",M58)</f>
        <v/>
      </c>
      <c r="D201" s="6069" t="str" cm="1">
        <f t="array" ref="D201">IF(ROW()=ROW(D201),C204,INDEX(E201:E214,ROW()-ROW(D201)))</f>
        <v/>
      </c>
      <c r="E201" s="6112" t="str">
        <f>IF(OR(D201="",C203="",C203&lt;=0,F201=""),"",TRIM(MID(D201,LEN(F201)+1+IF(MID(D201,LEN(F201)+1,1)=" ",1,0),99999)))</f>
        <v/>
      </c>
      <c r="F201" s="6069" t="str">
        <f>IF(OR(G201="",G201=0,G201="0"),"",IF(LEN(G201)&lt;=C203,G201,IF(LEN(SUBSTITUTE(H201," ",""))=C203+1,LEFT(G201,C203),LEFT(G201,FIND("§",SUBSTITUTE(H201," ","§",LEN(H201)-LEN(SUBSTITUTE(H201," ",""))))-1))))</f>
        <v/>
      </c>
      <c r="G201" s="6069" t="str">
        <f t="shared" si="19"/>
        <v/>
      </c>
      <c r="H201" s="6069" t="str">
        <f>IF(OR(G201="",G201=0,G201="0"),"",LEFT(G201,C203+1))</f>
        <v/>
      </c>
      <c r="I201" s="6070" t="str">
        <f t="shared" si="20"/>
        <v/>
      </c>
      <c r="J201" s="6071" t="str">
        <f t="shared" si="21"/>
        <v/>
      </c>
      <c r="K201" s="6072" t="str">
        <f>IF(LEN(TRIM(L201))&gt;0,MAX(K46:K200)+1,"")</f>
        <v/>
      </c>
      <c r="L201" s="200"/>
      <c r="M201" s="6116"/>
      <c r="N201" s="6116"/>
      <c r="O201" s="2230"/>
      <c r="P201" s="2252"/>
      <c r="Q201" s="2237"/>
      <c r="R201" s="2237"/>
      <c r="S201" s="2237"/>
      <c r="T201" s="2237"/>
      <c r="U201" s="2240"/>
      <c r="V201" s="2241"/>
      <c r="W201" s="2239"/>
      <c r="X201" s="2242"/>
      <c r="Y201" s="2243"/>
      <c r="Z201" s="2251"/>
      <c r="AA201" s="2244"/>
      <c r="AB201" s="2245"/>
      <c r="AC201" s="2246"/>
      <c r="AD201" s="2247"/>
      <c r="AE201" s="2248"/>
      <c r="AF201" s="2249"/>
      <c r="AG201" s="2249"/>
      <c r="AH201" s="2238"/>
      <c r="AI201" s="2257"/>
      <c r="AJ201" s="2230"/>
      <c r="AK201" s="2230"/>
      <c r="AL201" s="3">
        <v>1</v>
      </c>
    </row>
    <row r="202" spans="1:38" ht="21" customHeight="1">
      <c r="A202" s="2230"/>
      <c r="B202" s="6793"/>
      <c r="C202" s="6074" t="str">
        <f>TRIM(SUBSTITUTE(SUBSTITUTE(SUBSTITUTE(SUBSTITUTE(IF(OR(LEFT(C201,1)="-",LEFT(C201,1)="="),MID(C201,2,99999),C201),CHAR(160)," "),CHAR(9)," "),CHAR(13)&amp;CHAR(10)," "),CHAR(10)," "))</f>
        <v/>
      </c>
      <c r="D202" s="6069" t="str" cm="1">
        <f t="array" ref="D202">IF(ROW()=ROW(D201),C204,INDEX(E201:E214,ROW()-ROW(D201)))</f>
        <v/>
      </c>
      <c r="E202" s="6112" t="str">
        <f>IF(OR(D202="",C203="",C203&lt;=0,F202=""),"",TRIM(MID(D202,LEN(F202)+1+IF(MID(D202,LEN(F202)+1,1)=" ",1,0),99999)))</f>
        <v/>
      </c>
      <c r="F202" s="6069" t="str">
        <f>IF(OR(G202="",G202=0,G202="0"),"",IF(LEN(G202)&lt;=C203,G202,IF(LEN(SUBSTITUTE(H202," ",""))=C203+1,LEFT(G202,C203),LEFT(G202,FIND("§",SUBSTITUTE(H202," ","§",LEN(H202)-LEN(SUBSTITUTE(H202," ",""))))-1))))</f>
        <v/>
      </c>
      <c r="G202" s="6069" t="str">
        <f t="shared" si="19"/>
        <v/>
      </c>
      <c r="H202" s="6069" t="str">
        <f>IF(OR(G202="",G202=0,G202="0"),"",LEFT(G202,C203+1))</f>
        <v/>
      </c>
      <c r="I202" s="6070" t="str">
        <f t="shared" si="20"/>
        <v/>
      </c>
      <c r="J202" s="6071" t="str">
        <f t="shared" si="21"/>
        <v/>
      </c>
      <c r="K202" s="6072" t="str">
        <f>IF(LEN(TRIM(L202))&gt;0,MAX(K46:K201)+1,"")</f>
        <v/>
      </c>
      <c r="L202" s="200"/>
      <c r="M202" s="6116"/>
      <c r="N202" s="6116"/>
      <c r="O202" s="2230"/>
      <c r="P202" s="2252"/>
      <c r="Q202" s="2237"/>
      <c r="R202" s="2237"/>
      <c r="S202" s="2237"/>
      <c r="T202" s="2237"/>
      <c r="U202" s="2240"/>
      <c r="V202" s="2241"/>
      <c r="W202" s="2239"/>
      <c r="X202" s="2242"/>
      <c r="Y202" s="2243"/>
      <c r="Z202" s="2251"/>
      <c r="AA202" s="2244"/>
      <c r="AB202" s="2245"/>
      <c r="AC202" s="2246"/>
      <c r="AD202" s="2247"/>
      <c r="AE202" s="2248"/>
      <c r="AF202" s="2249"/>
      <c r="AG202" s="2249"/>
      <c r="AH202" s="2238"/>
      <c r="AI202" s="2257"/>
      <c r="AJ202" s="2230"/>
      <c r="AK202" s="2230"/>
      <c r="AL202" s="3">
        <v>1</v>
      </c>
    </row>
    <row r="203" spans="1:38" ht="21" customHeight="1">
      <c r="A203" s="2230"/>
      <c r="B203" s="6793"/>
      <c r="C203" s="6075">
        <f>M44</f>
        <v>120</v>
      </c>
      <c r="D203" s="6069" t="str" cm="1">
        <f t="array" ref="D203">IF(ROW()=ROW(D201),C204,INDEX(E201:E214,ROW()-ROW(D201)))</f>
        <v/>
      </c>
      <c r="E203" s="6112" t="str">
        <f>IF(OR(D203="",C203="",C203&lt;=0,F203=""),"",TRIM(MID(D203,LEN(F203)+1+IF(MID(D203,LEN(F203)+1,1)=" ",1,0),99999)))</f>
        <v/>
      </c>
      <c r="F203" s="6069" t="str">
        <f>IF(OR(G203="",G203=0,G203="0"),"",IF(LEN(G203)&lt;=C203,G203,IF(LEN(SUBSTITUTE(H203," ",""))=C203+1,LEFT(G203,C203),LEFT(G203,FIND("§",SUBSTITUTE(H203," ","§",LEN(H203)-LEN(SUBSTITUTE(H203," ",""))))-1))))</f>
        <v/>
      </c>
      <c r="G203" s="6069" t="str">
        <f t="shared" si="19"/>
        <v/>
      </c>
      <c r="H203" s="6069" t="str">
        <f>IF(OR(G203="",G203=0,G203="0"),"",LEFT(G203,C203+1))</f>
        <v/>
      </c>
      <c r="I203" s="6070" t="str">
        <f t="shared" si="20"/>
        <v/>
      </c>
      <c r="J203" s="6071" t="str">
        <f t="shared" si="21"/>
        <v/>
      </c>
      <c r="K203" s="6072" t="str">
        <f>IF(LEN(TRIM(L203))&gt;0,MAX(K46:K202)+1,"")</f>
        <v/>
      </c>
      <c r="L203" s="200"/>
      <c r="M203" s="6116"/>
      <c r="N203" s="6116"/>
      <c r="O203" s="2230"/>
      <c r="P203" s="2252"/>
      <c r="Q203" s="2237"/>
      <c r="R203" s="2237"/>
      <c r="S203" s="2237"/>
      <c r="T203" s="2237"/>
      <c r="U203" s="2240"/>
      <c r="V203" s="2241"/>
      <c r="W203" s="2239"/>
      <c r="X203" s="2242"/>
      <c r="Y203" s="2243"/>
      <c r="Z203" s="2251"/>
      <c r="AA203" s="2244"/>
      <c r="AB203" s="2245"/>
      <c r="AC203" s="2246"/>
      <c r="AD203" s="2247"/>
      <c r="AE203" s="2248"/>
      <c r="AF203" s="2249"/>
      <c r="AG203" s="2249"/>
      <c r="AH203" s="2238"/>
      <c r="AI203" s="2257"/>
      <c r="AJ203" s="2230"/>
      <c r="AK203" s="2230"/>
      <c r="AL203" s="3">
        <v>1</v>
      </c>
    </row>
    <row r="204" spans="1:38" ht="21" customHeight="1">
      <c r="A204" s="2230"/>
      <c r="B204" s="6793"/>
      <c r="C204" s="6074" t="str">
        <f>IF(UPPER(TRIM(C45))="X",C208,C202)</f>
        <v/>
      </c>
      <c r="D204" s="6069" t="str" cm="1">
        <f t="array" ref="D204">IF(ROW()=ROW(D201),C204,INDEX(E201:E214,ROW()-ROW(D201)))</f>
        <v/>
      </c>
      <c r="E204" s="6112" t="str">
        <f>IF(OR(D204="",C203="",C203&lt;=0,F204=""),"",TRIM(MID(D204,LEN(F204)+1+IF(MID(D204,LEN(F204)+1,1)=" ",1,0),99999)))</f>
        <v/>
      </c>
      <c r="F204" s="6069" t="str">
        <f>IF(OR(G204="",G204=0,G204="0"),"",IF(LEN(G204)&lt;=C203,G204,IF(LEN(SUBSTITUTE(H204," ",""))=C203+1,LEFT(G204,C203),LEFT(G204,FIND("§",SUBSTITUTE(H204," ","§",LEN(H204)-LEN(SUBSTITUTE(H204," ",""))))-1))))</f>
        <v/>
      </c>
      <c r="G204" s="6069" t="str">
        <f t="shared" si="19"/>
        <v/>
      </c>
      <c r="H204" s="6069" t="str">
        <f>IF(OR(G204="",G204=0,G204="0"),"",LEFT(G204,C203+1))</f>
        <v/>
      </c>
      <c r="I204" s="6070" t="str">
        <f t="shared" si="20"/>
        <v/>
      </c>
      <c r="J204" s="6071" t="str">
        <f t="shared" si="21"/>
        <v/>
      </c>
      <c r="K204" s="6072" t="str">
        <f>IF(LEN(TRIM(L204))&gt;0,MAX(K46:K203)+1,"")</f>
        <v/>
      </c>
      <c r="L204" s="200"/>
      <c r="M204" s="6116"/>
      <c r="N204" s="6116"/>
      <c r="O204" s="2230"/>
      <c r="P204" s="2252"/>
      <c r="Q204" s="2237"/>
      <c r="R204" s="2237"/>
      <c r="S204" s="2237"/>
      <c r="T204" s="2237"/>
      <c r="U204" s="2240"/>
      <c r="V204" s="2241"/>
      <c r="W204" s="2239"/>
      <c r="X204" s="2242"/>
      <c r="Y204" s="2243"/>
      <c r="Z204" s="2251"/>
      <c r="AA204" s="2244"/>
      <c r="AB204" s="2245"/>
      <c r="AC204" s="2246"/>
      <c r="AD204" s="2247"/>
      <c r="AE204" s="2248"/>
      <c r="AF204" s="2249"/>
      <c r="AG204" s="2249"/>
      <c r="AH204" s="2238"/>
      <c r="AI204" s="2257"/>
      <c r="AJ204" s="2230"/>
      <c r="AK204" s="2230"/>
      <c r="AL204" s="3">
        <v>1</v>
      </c>
    </row>
    <row r="205" spans="1:38" ht="21" customHeight="1">
      <c r="A205" s="2230"/>
      <c r="B205" s="6793"/>
      <c r="C205" s="6074" t="str">
        <f>TRIM(SUBSTITUTE(SUBSTITUTE(SUBSTITUTE(SUBSTITUTE(SUBSTITUTE(SUBSTITUTE(SUBSTITUTE(SUBSTITUTE(SUBSTITUTE(SUBSTITUTE(C202,","," "),";"," "),":"," "),"!"," "),"?"," "),"…"," "),"»"," "),"«"," "),"/"," "),"."," "))</f>
        <v/>
      </c>
      <c r="D205" s="6069" t="str" cm="1">
        <f t="array" ref="D205">IF(ROW()=ROW(D201),C204,INDEX(E201:E214,ROW()-ROW(D201)))</f>
        <v/>
      </c>
      <c r="E205" s="6112" t="str">
        <f>IF(OR(D205="",C203="",C203&lt;=0,F205=""),"",TRIM(MID(D205,LEN(F205)+1+IF(MID(D205,LEN(F205)+1,1)=" ",1,0),99999)))</f>
        <v/>
      </c>
      <c r="F205" s="6069" t="str">
        <f>IF(OR(G205="",G205=0,G205="0"),"",IF(LEN(G205)&lt;=C203,G205,IF(LEN(SUBSTITUTE(H205," ",""))=C203+1,LEFT(G205,C203),LEFT(G205,FIND("§",SUBSTITUTE(H205," ","§",LEN(H205)-LEN(SUBSTITUTE(H205," ",""))))-1))))</f>
        <v/>
      </c>
      <c r="G205" s="6069" t="str">
        <f t="shared" si="19"/>
        <v/>
      </c>
      <c r="H205" s="6069" t="str">
        <f>IF(OR(G205="",G205=0,G205="0"),"",LEFT(G205,C203+1))</f>
        <v/>
      </c>
      <c r="I205" s="6070" t="str">
        <f t="shared" si="20"/>
        <v/>
      </c>
      <c r="J205" s="6071" t="str">
        <f t="shared" si="21"/>
        <v/>
      </c>
      <c r="K205" s="6072" t="str">
        <f>IF(LEN(TRIM(L205))&gt;0,MAX(K46:K204)+1,"")</f>
        <v/>
      </c>
      <c r="L205" s="200"/>
      <c r="M205" s="6116"/>
      <c r="N205" s="6116"/>
      <c r="O205" s="2230"/>
      <c r="P205" s="2252"/>
      <c r="Q205" s="2237"/>
      <c r="R205" s="2237"/>
      <c r="S205" s="2237"/>
      <c r="T205" s="2237"/>
      <c r="U205" s="2240"/>
      <c r="V205" s="2241"/>
      <c r="W205" s="2239"/>
      <c r="X205" s="2242"/>
      <c r="Y205" s="2243"/>
      <c r="Z205" s="2251"/>
      <c r="AA205" s="2244"/>
      <c r="AB205" s="2245"/>
      <c r="AC205" s="2246"/>
      <c r="AD205" s="2247"/>
      <c r="AE205" s="2248"/>
      <c r="AF205" s="2249"/>
      <c r="AG205" s="2249"/>
      <c r="AH205" s="2238"/>
      <c r="AI205" s="2257"/>
      <c r="AJ205" s="2230"/>
      <c r="AK205" s="2230"/>
      <c r="AL205" s="3">
        <v>1</v>
      </c>
    </row>
    <row r="206" spans="1:38" ht="21" customHeight="1">
      <c r="A206" s="2230"/>
      <c r="B206" s="6793"/>
      <c r="C206" s="6069" t="str">
        <f>TRIM(SUBSTITUTE(SUBSTITUTE(SUBSTITUTE(SUBSTITUTE(SUBSTITUTE(SUBSTITUTE(SUBSTITUTE(SUBSTITUTE(C205,"("," "),")"," "),CHAR(34)," "),"-"," "),"_"," "),"&lt;"," "),"&gt;"," "),"="," "))</f>
        <v/>
      </c>
      <c r="D206" s="6069" t="str" cm="1">
        <f t="array" ref="D206">IF(ROW()=ROW(D201),C204,INDEX(E201:E214,ROW()-ROW(D201)))</f>
        <v/>
      </c>
      <c r="E206" s="6112" t="str">
        <f>IF(OR(D206="",C203="",C203&lt;=0,F206=""),"",TRIM(MID(D206,LEN(F206)+1+IF(MID(D206,LEN(F206)+1,1)=" ",1,0),99999)))</f>
        <v/>
      </c>
      <c r="F206" s="6069" t="str">
        <f>IF(OR(G206="",G206=0,G206="0"),"",IF(LEN(G206)&lt;=C203,G206,IF(LEN(SUBSTITUTE(H206," ",""))=C203+1,LEFT(G206,C203),LEFT(G206,FIND("§",SUBSTITUTE(H206," ","§",LEN(H206)-LEN(SUBSTITUTE(H206," ",""))))-1))))</f>
        <v/>
      </c>
      <c r="G206" s="6069" t="str">
        <f t="shared" si="19"/>
        <v/>
      </c>
      <c r="H206" s="6069" t="str">
        <f>IF(OR(G206="",G206=0,G206="0"),"",LEFT(G206,C203+1))</f>
        <v/>
      </c>
      <c r="I206" s="6070" t="str">
        <f t="shared" si="20"/>
        <v/>
      </c>
      <c r="J206" s="6071" t="str">
        <f t="shared" si="21"/>
        <v/>
      </c>
      <c r="K206" s="6072" t="str">
        <f>IF(LEN(TRIM(L206))&gt;0,MAX(K46:K205)+1,"")</f>
        <v/>
      </c>
      <c r="L206" s="200"/>
      <c r="M206" s="6116"/>
      <c r="N206" s="6116"/>
      <c r="O206" s="2230"/>
      <c r="P206" s="2252"/>
      <c r="Q206" s="2237"/>
      <c r="R206" s="2237"/>
      <c r="S206" s="2237"/>
      <c r="T206" s="2237"/>
      <c r="U206" s="2240"/>
      <c r="V206" s="2241"/>
      <c r="W206" s="2239"/>
      <c r="X206" s="2242"/>
      <c r="Y206" s="2243"/>
      <c r="Z206" s="2251"/>
      <c r="AA206" s="2244"/>
      <c r="AB206" s="2245"/>
      <c r="AC206" s="2246"/>
      <c r="AD206" s="2247"/>
      <c r="AE206" s="2248"/>
      <c r="AF206" s="2249"/>
      <c r="AG206" s="2249"/>
      <c r="AH206" s="2238"/>
      <c r="AI206" s="2257"/>
      <c r="AJ206" s="2230"/>
      <c r="AK206" s="2230"/>
      <c r="AL206" s="3">
        <v>1</v>
      </c>
    </row>
    <row r="207" spans="1:38" ht="21" customHeight="1">
      <c r="A207" s="2230"/>
      <c r="B207" s="6793"/>
      <c r="C207" s="6074" t="str">
        <f>TRIM(SUBSTITUTE(SUBSTITUTE(SUBSTITUTE(SUBSTITUTE(C206,"►"," "),"▼"," "),"▲"," "),"◄"," "))</f>
        <v/>
      </c>
      <c r="D207" s="6069" t="str" cm="1">
        <f t="array" ref="D207">IF(ROW()=ROW(D201),C204,INDEX(E201:E214,ROW()-ROW(D201)))</f>
        <v/>
      </c>
      <c r="E207" s="6112" t="str">
        <f>IF(OR(D207="",C203="",C203&lt;=0,F207=""),"",TRIM(MID(D207,LEN(F207)+1+IF(MID(D207,LEN(F207)+1,1)=" ",1,0),99999)))</f>
        <v/>
      </c>
      <c r="F207" s="6069" t="str">
        <f>IF(OR(G207="",G207=0,G207="0"),"",IF(LEN(G207)&lt;=C203,G207,IF(LEN(SUBSTITUTE(H207," ",""))=C203+1,LEFT(G207,C203),LEFT(G207,FIND("§",SUBSTITUTE(H207," ","§",LEN(H207)-LEN(SUBSTITUTE(H207," ",""))))-1))))</f>
        <v/>
      </c>
      <c r="G207" s="6069" t="str">
        <f t="shared" si="19"/>
        <v/>
      </c>
      <c r="H207" s="6069" t="str">
        <f>IF(OR(G207="",G207=0,G207="0"),"",LEFT(G207,C203+1))</f>
        <v/>
      </c>
      <c r="I207" s="6070" t="str">
        <f t="shared" si="20"/>
        <v/>
      </c>
      <c r="J207" s="6071" t="str">
        <f t="shared" si="21"/>
        <v/>
      </c>
      <c r="K207" s="6072" t="str">
        <f>IF(LEN(TRIM(L207))&gt;0,MAX(K46:K206)+1,"")</f>
        <v/>
      </c>
      <c r="L207" s="200"/>
      <c r="M207" s="6116"/>
      <c r="N207" s="6116"/>
      <c r="O207" s="2230"/>
      <c r="P207" s="2252"/>
      <c r="Q207" s="2237"/>
      <c r="R207" s="2237"/>
      <c r="S207" s="2237"/>
      <c r="T207" s="2237"/>
      <c r="U207" s="2240"/>
      <c r="V207" s="2241"/>
      <c r="W207" s="2239"/>
      <c r="X207" s="2242"/>
      <c r="Y207" s="2243"/>
      <c r="Z207" s="2251"/>
      <c r="AA207" s="2244"/>
      <c r="AB207" s="2245"/>
      <c r="AC207" s="2246"/>
      <c r="AD207" s="2247"/>
      <c r="AE207" s="2248"/>
      <c r="AF207" s="2249"/>
      <c r="AG207" s="2249"/>
      <c r="AH207" s="2238"/>
      <c r="AI207" s="2257"/>
      <c r="AJ207" s="2230"/>
      <c r="AK207" s="2230"/>
      <c r="AL207" s="3">
        <v>1</v>
      </c>
    </row>
    <row r="208" spans="1:38" ht="21" customHeight="1">
      <c r="A208" s="2230"/>
      <c r="B208" s="6793"/>
      <c r="C208" s="6074" t="str">
        <f>TRIM(SUBSTITUTE(SUBSTITUTE(C207,"“"," "),"”"," "))</f>
        <v/>
      </c>
      <c r="D208" s="6069" t="str" cm="1">
        <f t="array" ref="D208">IF(ROW()=ROW(D201),C204,INDEX(E201:E214,ROW()-ROW(D201)))</f>
        <v/>
      </c>
      <c r="E208" s="6112" t="str">
        <f>IF(OR(D208="",C203="",C203&lt;=0,F208=""),"",TRIM(MID(D208,LEN(F208)+1+IF(MID(D208,LEN(F208)+1,1)=" ",1,0),99999)))</f>
        <v/>
      </c>
      <c r="F208" s="6069" t="str">
        <f>IF(OR(G208="",G208=0,G208="0"),"",IF(LEN(G208)&lt;=C203,G208,IF(LEN(SUBSTITUTE(H208," ",""))=C203+1,LEFT(G208,C203),LEFT(G208,FIND("§",SUBSTITUTE(H208," ","§",LEN(H208)-LEN(SUBSTITUTE(H208," ",""))))-1))))</f>
        <v/>
      </c>
      <c r="G208" s="6069" t="str">
        <f t="shared" si="19"/>
        <v/>
      </c>
      <c r="H208" s="6069" t="str">
        <f>IF(OR(G208="",G208=0,G208="0"),"",LEFT(G208,C203+1))</f>
        <v/>
      </c>
      <c r="I208" s="6070" t="str">
        <f t="shared" si="20"/>
        <v/>
      </c>
      <c r="J208" s="6071" t="str">
        <f t="shared" si="21"/>
        <v/>
      </c>
      <c r="K208" s="6072" t="str">
        <f>IF(LEN(TRIM(L208))&gt;0,MAX(K46:K207)+1,"")</f>
        <v/>
      </c>
      <c r="L208" s="200"/>
      <c r="M208" s="6116"/>
      <c r="N208" s="6116"/>
      <c r="O208" s="2230"/>
      <c r="P208" s="2252"/>
      <c r="Q208" s="2237"/>
      <c r="R208" s="2237"/>
      <c r="S208" s="2237"/>
      <c r="T208" s="2237"/>
      <c r="U208" s="2240"/>
      <c r="V208" s="2241"/>
      <c r="W208" s="2239"/>
      <c r="X208" s="2242"/>
      <c r="Y208" s="2243"/>
      <c r="Z208" s="2251"/>
      <c r="AA208" s="2244"/>
      <c r="AB208" s="2245"/>
      <c r="AC208" s="2246"/>
      <c r="AD208" s="2247"/>
      <c r="AE208" s="2248"/>
      <c r="AF208" s="2249"/>
      <c r="AG208" s="2249"/>
      <c r="AH208" s="2238"/>
      <c r="AI208" s="2257"/>
      <c r="AJ208" s="2230"/>
      <c r="AK208" s="2230"/>
      <c r="AL208" s="3">
        <v>1</v>
      </c>
    </row>
    <row r="209" spans="1:38" ht="21" customHeight="1">
      <c r="A209" s="2230"/>
      <c r="B209" s="6793"/>
      <c r="C209" s="6074"/>
      <c r="D209" s="6069" t="str" cm="1">
        <f t="array" ref="D209">IF(ROW()=ROW(D201),C204,INDEX(E201:E214,ROW()-ROW(D201)))</f>
        <v/>
      </c>
      <c r="E209" s="6112" t="str">
        <f>IF(OR(D209="",C203="",C203&lt;=0,F209=""),"",TRIM(MID(D209,LEN(F209)+1+IF(MID(D209,LEN(F209)+1,1)=" ",1,0),99999)))</f>
        <v/>
      </c>
      <c r="F209" s="6069" t="str">
        <f>IF(OR(G209="",G209=0,G209="0"),"",IF(LEN(G209)&lt;=C203,G209,IF(LEN(SUBSTITUTE(H209," ",""))=C203+1,LEFT(G209,C203),LEFT(G209,FIND("§",SUBSTITUTE(H209," ","§",LEN(H209)-LEN(SUBSTITUTE(H209," ",""))))-1))))</f>
        <v/>
      </c>
      <c r="G209" s="6069" t="str">
        <f t="shared" si="19"/>
        <v/>
      </c>
      <c r="H209" s="6069" t="str">
        <f>IF(OR(G209="",G209=0,G209="0"),"",LEFT(G209,C203+1))</f>
        <v/>
      </c>
      <c r="I209" s="6070" t="str">
        <f t="shared" si="20"/>
        <v/>
      </c>
      <c r="J209" s="6071" t="str">
        <f t="shared" si="21"/>
        <v/>
      </c>
      <c r="K209" s="6072" t="str">
        <f>IF(LEN(TRIM(L209))&gt;0,MAX(K46:K208)+1,"")</f>
        <v/>
      </c>
      <c r="L209" s="200"/>
      <c r="M209" s="6116"/>
      <c r="N209" s="6116"/>
      <c r="O209" s="2230"/>
      <c r="P209" s="2252"/>
      <c r="Q209" s="2237"/>
      <c r="R209" s="2237"/>
      <c r="S209" s="2237"/>
      <c r="T209" s="2237"/>
      <c r="U209" s="2240"/>
      <c r="V209" s="2241"/>
      <c r="W209" s="2239"/>
      <c r="X209" s="2242"/>
      <c r="Y209" s="2243"/>
      <c r="Z209" s="2251"/>
      <c r="AA209" s="2244"/>
      <c r="AB209" s="2245"/>
      <c r="AC209" s="2246"/>
      <c r="AD209" s="2247"/>
      <c r="AE209" s="2248"/>
      <c r="AF209" s="2249"/>
      <c r="AG209" s="2249"/>
      <c r="AH209" s="2238"/>
      <c r="AI209" s="2257"/>
      <c r="AJ209" s="2230"/>
      <c r="AK209" s="2230"/>
      <c r="AL209" s="3">
        <v>1</v>
      </c>
    </row>
    <row r="210" spans="1:38" ht="21" customHeight="1">
      <c r="A210" s="2230"/>
      <c r="B210" s="6793"/>
      <c r="C210" s="6074"/>
      <c r="D210" s="6069" t="str" cm="1">
        <f t="array" ref="D210">IF(ROW()=ROW(D201),C204,INDEX(E201:E214,ROW()-ROW(D201)))</f>
        <v/>
      </c>
      <c r="E210" s="6112" t="str">
        <f>IF(OR(D210="",C203="",C203&lt;=0,F210=""),"",TRIM(MID(D210,LEN(F210)+1+IF(MID(D210,LEN(F210)+1,1)=" ",1,0),99999)))</f>
        <v/>
      </c>
      <c r="F210" s="6069" t="str">
        <f>IF(OR(G210="",G210=0,G210="0"),"",IF(LEN(G210)&lt;=C203,G210,IF(LEN(SUBSTITUTE(H210," ",""))=C203+1,LEFT(G210,C203),LEFT(G210,FIND("§",SUBSTITUTE(H210," ","§",LEN(H210)-LEN(SUBSTITUTE(H210," ",""))))-1))))</f>
        <v/>
      </c>
      <c r="G210" s="6069" t="str">
        <f t="shared" si="19"/>
        <v/>
      </c>
      <c r="H210" s="6069" t="str">
        <f>IF(OR(G210="",G210=0,G210="0"),"",LEFT(G210,C203+1))</f>
        <v/>
      </c>
      <c r="I210" s="6070" t="str">
        <f t="shared" si="20"/>
        <v/>
      </c>
      <c r="J210" s="6071" t="str">
        <f t="shared" si="21"/>
        <v/>
      </c>
      <c r="K210" s="6072" t="str">
        <f>IF(LEN(TRIM(L210))&gt;0,MAX(K46:K209)+1,"")</f>
        <v/>
      </c>
      <c r="L210" s="200"/>
      <c r="M210" s="6116"/>
      <c r="N210" s="6116"/>
      <c r="O210" s="2230"/>
      <c r="P210" s="2252"/>
      <c r="Q210" s="2237"/>
      <c r="R210" s="2237"/>
      <c r="S210" s="2237"/>
      <c r="T210" s="2237"/>
      <c r="U210" s="2240"/>
      <c r="V210" s="2241"/>
      <c r="W210" s="2239"/>
      <c r="X210" s="2242"/>
      <c r="Y210" s="2243"/>
      <c r="Z210" s="2251"/>
      <c r="AA210" s="2244"/>
      <c r="AB210" s="2245"/>
      <c r="AC210" s="2246"/>
      <c r="AD210" s="2247"/>
      <c r="AE210" s="2248"/>
      <c r="AF210" s="2249"/>
      <c r="AG210" s="2249"/>
      <c r="AH210" s="2238"/>
      <c r="AI210" s="2257"/>
      <c r="AJ210" s="2230"/>
      <c r="AK210" s="2230"/>
      <c r="AL210" s="3">
        <v>1</v>
      </c>
    </row>
    <row r="211" spans="1:38" ht="21" customHeight="1">
      <c r="A211" s="2230"/>
      <c r="B211" s="6793"/>
      <c r="C211" s="6074"/>
      <c r="D211" s="6069" t="str" cm="1">
        <f t="array" ref="D211">IF(ROW()=ROW(D201),C204,INDEX(E201:E214,ROW()-ROW(D201)))</f>
        <v/>
      </c>
      <c r="E211" s="6112" t="str">
        <f>IF(OR(D211="",C203="",C203&lt;=0,F211=""),"",TRIM(MID(D211,LEN(F211)+1+IF(MID(D211,LEN(F211)+1,1)=" ",1,0),99999)))</f>
        <v/>
      </c>
      <c r="F211" s="6069" t="str">
        <f>IF(OR(G211="",G211=0,G211="0"),"",IF(LEN(G211)&lt;=C203,G211,IF(LEN(SUBSTITUTE(H211," ",""))=C203+1,LEFT(G211,C203),LEFT(G211,FIND("§",SUBSTITUTE(H211," ","§",LEN(H211)-LEN(SUBSTITUTE(H211," ",""))))-1))))</f>
        <v/>
      </c>
      <c r="G211" s="6069" t="str">
        <f t="shared" si="19"/>
        <v/>
      </c>
      <c r="H211" s="6069" t="str">
        <f>IF(OR(G211="",G211=0,G211="0"),"",LEFT(G211,C203+1))</f>
        <v/>
      </c>
      <c r="I211" s="6070" t="str">
        <f t="shared" si="20"/>
        <v/>
      </c>
      <c r="J211" s="6071" t="str">
        <f t="shared" si="21"/>
        <v/>
      </c>
      <c r="K211" s="6072" t="str">
        <f>IF(LEN(TRIM(L211))&gt;0,MAX(K46:K210)+1,"")</f>
        <v/>
      </c>
      <c r="L211" s="200"/>
      <c r="M211" s="6116"/>
      <c r="N211" s="6116"/>
      <c r="O211" s="2230"/>
      <c r="P211" s="2252"/>
      <c r="Q211" s="2237"/>
      <c r="R211" s="2237"/>
      <c r="S211" s="2237"/>
      <c r="T211" s="2237"/>
      <c r="U211" s="2240"/>
      <c r="V211" s="2241"/>
      <c r="W211" s="2239"/>
      <c r="X211" s="2242"/>
      <c r="Y211" s="2243"/>
      <c r="Z211" s="2251"/>
      <c r="AA211" s="2244"/>
      <c r="AB211" s="2245"/>
      <c r="AC211" s="2246"/>
      <c r="AD211" s="2247"/>
      <c r="AE211" s="2248"/>
      <c r="AF211" s="2249"/>
      <c r="AG211" s="2249"/>
      <c r="AH211" s="2238"/>
      <c r="AI211" s="2257"/>
      <c r="AJ211" s="2230"/>
      <c r="AK211" s="2230"/>
      <c r="AL211" s="3">
        <v>1</v>
      </c>
    </row>
    <row r="212" spans="1:38" ht="21" customHeight="1">
      <c r="A212" s="2230"/>
      <c r="B212" s="6793"/>
      <c r="C212" s="6074"/>
      <c r="D212" s="6069" t="str" cm="1">
        <f t="array" ref="D212">IF(ROW()=ROW(D201),C204,INDEX(E201:E214,ROW()-ROW(D201)))</f>
        <v/>
      </c>
      <c r="E212" s="6112" t="str">
        <f>IF(OR(D212="",C203="",C203&lt;=0,F212=""),"",TRIM(MID(D212,LEN(F212)+1+IF(MID(D212,LEN(F212)+1,1)=" ",1,0),99999)))</f>
        <v/>
      </c>
      <c r="F212" s="6069" t="str">
        <f>IF(OR(G212="",G212=0,G212="0"),"",IF(LEN(G212)&lt;=C203,G212,IF(LEN(SUBSTITUTE(H212," ",""))=C203+1,LEFT(G212,C203),LEFT(G212,FIND("§",SUBSTITUTE(H212," ","§",LEN(H212)-LEN(SUBSTITUTE(H212," ",""))))-1))))</f>
        <v/>
      </c>
      <c r="G212" s="6069" t="str">
        <f t="shared" si="19"/>
        <v/>
      </c>
      <c r="H212" s="6069" t="str">
        <f>IF(OR(G212="",G212=0,G212="0"),"",LEFT(G212,C203+1))</f>
        <v/>
      </c>
      <c r="I212" s="6070" t="str">
        <f t="shared" si="20"/>
        <v/>
      </c>
      <c r="J212" s="6071" t="str">
        <f t="shared" si="21"/>
        <v/>
      </c>
      <c r="K212" s="6072" t="str">
        <f>IF(LEN(TRIM(L212))&gt;0,MAX(K46:K211)+1,"")</f>
        <v/>
      </c>
      <c r="L212" s="200"/>
      <c r="M212" s="6116"/>
      <c r="N212" s="6116"/>
      <c r="O212" s="2230"/>
      <c r="P212" s="2252"/>
      <c r="Q212" s="2237"/>
      <c r="R212" s="2237"/>
      <c r="S212" s="2237"/>
      <c r="T212" s="2237"/>
      <c r="U212" s="2240"/>
      <c r="V212" s="2241"/>
      <c r="W212" s="2239"/>
      <c r="X212" s="2242"/>
      <c r="Y212" s="2243"/>
      <c r="Z212" s="2251"/>
      <c r="AA212" s="2244"/>
      <c r="AB212" s="2245"/>
      <c r="AC212" s="2246"/>
      <c r="AD212" s="2247"/>
      <c r="AE212" s="2248"/>
      <c r="AF212" s="2249"/>
      <c r="AG212" s="2249"/>
      <c r="AH212" s="2238"/>
      <c r="AI212" s="2257"/>
      <c r="AJ212" s="2230"/>
      <c r="AK212" s="2230"/>
      <c r="AL212" s="3">
        <v>1</v>
      </c>
    </row>
    <row r="213" spans="1:38" ht="21" customHeight="1">
      <c r="A213" s="2230"/>
      <c r="B213" s="6793"/>
      <c r="C213" s="6074"/>
      <c r="D213" s="6069" t="str" cm="1">
        <f t="array" ref="D213">IF(ROW()=ROW(D201),C204,INDEX(E201:E214,ROW()-ROW(D201)))</f>
        <v/>
      </c>
      <c r="E213" s="6112" t="str">
        <f>IF(OR(D213="",C203="",C203&lt;=0,F213=""),"",TRIM(MID(D213,LEN(F213)+1+IF(MID(D213,LEN(F213)+1,1)=" ",1,0),99999)))</f>
        <v/>
      </c>
      <c r="F213" s="6069" t="str">
        <f>IF(OR(G213="",G213=0,G213="0"),"",IF(LEN(G213)&lt;=C203,G213,IF(LEN(SUBSTITUTE(H213," ",""))=C203+1,LEFT(G213,C203),LEFT(G213,FIND("§",SUBSTITUTE(H213," ","§",LEN(H213)-LEN(SUBSTITUTE(H213," ",""))))-1))))</f>
        <v/>
      </c>
      <c r="G213" s="6069" t="str">
        <f t="shared" si="19"/>
        <v/>
      </c>
      <c r="H213" s="6069" t="str">
        <f>IF(OR(G213="",G213=0,G213="0"),"",LEFT(G213,C203+1))</f>
        <v/>
      </c>
      <c r="I213" s="6070" t="str">
        <f t="shared" si="20"/>
        <v/>
      </c>
      <c r="J213" s="6071" t="str">
        <f t="shared" si="21"/>
        <v/>
      </c>
      <c r="K213" s="6072" t="str">
        <f>IF(LEN(TRIM(L213))&gt;0,MAX(K46:K212)+1,"")</f>
        <v/>
      </c>
      <c r="L213" s="200"/>
      <c r="M213" s="6116"/>
      <c r="N213" s="6116"/>
      <c r="O213" s="2230"/>
      <c r="P213" s="2252"/>
      <c r="Q213" s="2237"/>
      <c r="R213" s="2237"/>
      <c r="S213" s="2237"/>
      <c r="T213" s="2237"/>
      <c r="U213" s="2240"/>
      <c r="V213" s="2241"/>
      <c r="W213" s="2239"/>
      <c r="X213" s="2242"/>
      <c r="Y213" s="2243"/>
      <c r="Z213" s="2251"/>
      <c r="AA213" s="2244"/>
      <c r="AB213" s="2245"/>
      <c r="AC213" s="2246"/>
      <c r="AD213" s="2247"/>
      <c r="AE213" s="2248"/>
      <c r="AF213" s="2249"/>
      <c r="AG213" s="2249"/>
      <c r="AH213" s="2238"/>
      <c r="AI213" s="2257"/>
      <c r="AJ213" s="2230"/>
      <c r="AK213" s="2230"/>
      <c r="AL213" s="3">
        <v>1</v>
      </c>
    </row>
    <row r="214" spans="1:38" ht="21" customHeight="1">
      <c r="A214" s="2230"/>
      <c r="B214" s="6793"/>
      <c r="C214" s="6074"/>
      <c r="D214" s="6069" t="str" cm="1">
        <f t="array" ref="D214">IF(ROW()=ROW(D201),C204,INDEX(E201:E214,ROW()-ROW(D201)))</f>
        <v/>
      </c>
      <c r="E214" s="6112" t="str">
        <f>IF(OR(D214="",C203="",C203&lt;=0,F214=""),"",TRIM(MID(D214,LEN(F214)+1+IF(MID(D214,LEN(F214)+1,1)=" ",1,0),99999)))</f>
        <v/>
      </c>
      <c r="F214" s="6069" t="str">
        <f>IF(OR(G214="",G214=0,G214="0"),"",IF(LEN(G214)&lt;=C203,G214,IF(LEN(SUBSTITUTE(H214," ",""))=C203+1,LEFT(G214,C203),LEFT(G214,FIND("§",SUBSTITUTE(H214," ","§",LEN(H214)-LEN(SUBSTITUTE(H214," ",""))))-1))))</f>
        <v/>
      </c>
      <c r="G214" s="6069" t="str">
        <f t="shared" si="19"/>
        <v/>
      </c>
      <c r="H214" s="6069" t="str">
        <f>IF(OR(G214="",G214=0,G214="0"),"",LEFT(G214,C203+1))</f>
        <v/>
      </c>
      <c r="I214" s="6070" t="str">
        <f t="shared" si="20"/>
        <v/>
      </c>
      <c r="J214" s="6071" t="str">
        <f t="shared" si="21"/>
        <v/>
      </c>
      <c r="K214" s="6072" t="str">
        <f>IF(LEN(TRIM(L214))&gt;0,MAX(K46:K213)+1,"")</f>
        <v/>
      </c>
      <c r="L214" s="200"/>
      <c r="M214" s="6116"/>
      <c r="N214" s="6116"/>
      <c r="O214" s="2230"/>
      <c r="P214" s="2252"/>
      <c r="Q214" s="2237"/>
      <c r="R214" s="2237"/>
      <c r="S214" s="2237"/>
      <c r="T214" s="2237"/>
      <c r="U214" s="2240"/>
      <c r="V214" s="2241"/>
      <c r="W214" s="2239"/>
      <c r="X214" s="2242"/>
      <c r="Y214" s="2243"/>
      <c r="Z214" s="2251"/>
      <c r="AA214" s="2244"/>
      <c r="AB214" s="2245"/>
      <c r="AC214" s="2246"/>
      <c r="AD214" s="2247"/>
      <c r="AE214" s="2248"/>
      <c r="AF214" s="2249"/>
      <c r="AG214" s="2249"/>
      <c r="AH214" s="2238"/>
      <c r="AI214" s="2257"/>
      <c r="AJ214" s="2230"/>
      <c r="AK214" s="2230"/>
      <c r="AL214" s="3">
        <v>1</v>
      </c>
    </row>
    <row r="215" spans="1:38" ht="21" customHeight="1">
      <c r="A215" s="2230"/>
      <c r="B215" s="6793"/>
      <c r="C215" s="6068" t="str">
        <f>IF(TRIM(SUBSTITUTE(M59,CHAR(160),""))="","",M59)</f>
        <v/>
      </c>
      <c r="D215" s="6069" t="str" cm="1">
        <f t="array" ref="D215">IF(ROW()=ROW(D215),C218,INDEX(E215:E228,ROW()-ROW(D215)))</f>
        <v/>
      </c>
      <c r="E215" s="6112" t="str">
        <f>IF(OR(D215="",C217="",C217&lt;=0,F215=""),"",TRIM(MID(D215,LEN(F215)+1+IF(MID(D215,LEN(F215)+1,1)=" ",1,0),99999)))</f>
        <v/>
      </c>
      <c r="F215" s="6069" t="str">
        <f>IF(OR(G215="",G215=0,G215="0"),"",IF(LEN(G215)&lt;=C217,G215,IF(LEN(SUBSTITUTE(H215," ",""))=C217+1,LEFT(G215,C217),LEFT(G215,FIND("§",SUBSTITUTE(H215," ","§",LEN(H215)-LEN(SUBSTITUTE(H215," ",""))))-1))))</f>
        <v/>
      </c>
      <c r="G215" s="6069" t="str">
        <f t="shared" si="19"/>
        <v/>
      </c>
      <c r="H215" s="6069" t="str">
        <f>IF(OR(G215="",G215=0,G215="0"),"",LEFT(G215,C217+1))</f>
        <v/>
      </c>
      <c r="I215" s="6070" t="str">
        <f t="shared" si="20"/>
        <v/>
      </c>
      <c r="J215" s="6071" t="str">
        <f t="shared" si="21"/>
        <v/>
      </c>
      <c r="K215" s="6072" t="str">
        <f>IF(LEN(TRIM(L215))&gt;0,MAX(K46:K214)+1,"")</f>
        <v/>
      </c>
      <c r="L215" s="200"/>
      <c r="M215" s="6116"/>
      <c r="N215" s="6116"/>
      <c r="O215" s="2230"/>
      <c r="P215" s="2252"/>
      <c r="Q215" s="2237"/>
      <c r="R215" s="2237"/>
      <c r="S215" s="2237"/>
      <c r="T215" s="2237"/>
      <c r="U215" s="2240"/>
      <c r="V215" s="2241"/>
      <c r="W215" s="2239"/>
      <c r="X215" s="2242"/>
      <c r="Y215" s="2243"/>
      <c r="Z215" s="2251"/>
      <c r="AA215" s="2244"/>
      <c r="AB215" s="2245"/>
      <c r="AC215" s="2246"/>
      <c r="AD215" s="2247"/>
      <c r="AE215" s="2248"/>
      <c r="AF215" s="2249"/>
      <c r="AG215" s="2249"/>
      <c r="AH215" s="2238"/>
      <c r="AI215" s="2257"/>
      <c r="AJ215" s="2230"/>
      <c r="AK215" s="2230"/>
      <c r="AL215" s="3">
        <v>1</v>
      </c>
    </row>
    <row r="216" spans="1:38" ht="21" customHeight="1">
      <c r="A216" s="2230"/>
      <c r="B216" s="6793"/>
      <c r="C216" s="6074" t="str">
        <f>TRIM(SUBSTITUTE(SUBSTITUTE(SUBSTITUTE(SUBSTITUTE(IF(OR(LEFT(C215,1)="-",LEFT(C215,1)="="),MID(C215,2,99999),C215),CHAR(160)," "),CHAR(9)," "),CHAR(13)&amp;CHAR(10)," "),CHAR(10)," "))</f>
        <v/>
      </c>
      <c r="D216" s="6069" t="str" cm="1">
        <f t="array" ref="D216">IF(ROW()=ROW(D215),C218,INDEX(E215:E228,ROW()-ROW(D215)))</f>
        <v/>
      </c>
      <c r="E216" s="6112" t="str">
        <f>IF(OR(D216="",C217="",C217&lt;=0,F216=""),"",TRIM(MID(D216,LEN(F216)+1+IF(MID(D216,LEN(F216)+1,1)=" ",1,0),99999)))</f>
        <v/>
      </c>
      <c r="F216" s="6069" t="str">
        <f>IF(OR(G216="",G216=0,G216="0"),"",IF(LEN(G216)&lt;=C217,G216,IF(LEN(SUBSTITUTE(H216," ",""))=C217+1,LEFT(G216,C217),LEFT(G216,FIND("§",SUBSTITUTE(H216," ","§",LEN(H216)-LEN(SUBSTITUTE(H216," ",""))))-1))))</f>
        <v/>
      </c>
      <c r="G216" s="6069" t="str">
        <f t="shared" si="19"/>
        <v/>
      </c>
      <c r="H216" s="6069" t="str">
        <f>IF(OR(G216="",G216=0,G216="0"),"",LEFT(G216,C217+1))</f>
        <v/>
      </c>
      <c r="I216" s="6070" t="str">
        <f t="shared" si="20"/>
        <v/>
      </c>
      <c r="J216" s="6071" t="str">
        <f t="shared" si="21"/>
        <v/>
      </c>
      <c r="K216" s="6072" t="str">
        <f>IF(LEN(TRIM(L216))&gt;0,MAX(K46:K215)+1,"")</f>
        <v/>
      </c>
      <c r="L216" s="200"/>
      <c r="M216" s="6116"/>
      <c r="N216" s="6116"/>
      <c r="O216" s="2230"/>
      <c r="P216" s="2252"/>
      <c r="Q216" s="2237"/>
      <c r="R216" s="2237"/>
      <c r="S216" s="2237"/>
      <c r="T216" s="2237"/>
      <c r="U216" s="2240"/>
      <c r="V216" s="2241"/>
      <c r="W216" s="2239"/>
      <c r="X216" s="2242"/>
      <c r="Y216" s="2243"/>
      <c r="Z216" s="2251"/>
      <c r="AA216" s="2244"/>
      <c r="AB216" s="2245"/>
      <c r="AC216" s="2246"/>
      <c r="AD216" s="2247"/>
      <c r="AE216" s="2248"/>
      <c r="AF216" s="2249"/>
      <c r="AG216" s="2249"/>
      <c r="AH216" s="2238"/>
      <c r="AI216" s="2257"/>
      <c r="AJ216" s="2230"/>
      <c r="AK216" s="2230"/>
      <c r="AL216" s="3">
        <v>1</v>
      </c>
    </row>
    <row r="217" spans="1:38" ht="21" customHeight="1">
      <c r="A217" s="2230"/>
      <c r="B217" s="6793"/>
      <c r="C217" s="6075">
        <f>M44</f>
        <v>120</v>
      </c>
      <c r="D217" s="6069" t="str" cm="1">
        <f t="array" ref="D217">IF(ROW()=ROW(D215),C218,INDEX(E215:E228,ROW()-ROW(D215)))</f>
        <v/>
      </c>
      <c r="E217" s="6112" t="str">
        <f>IF(OR(D217="",C217="",C217&lt;=0,F217=""),"",TRIM(MID(D217,LEN(F217)+1+IF(MID(D217,LEN(F217)+1,1)=" ",1,0),99999)))</f>
        <v/>
      </c>
      <c r="F217" s="6069" t="str">
        <f>IF(OR(G217="",G217=0,G217="0"),"",IF(LEN(G217)&lt;=C217,G217,IF(LEN(SUBSTITUTE(H217," ",""))=C217+1,LEFT(G217,C217),LEFT(G217,FIND("§",SUBSTITUTE(H217," ","§",LEN(H217)-LEN(SUBSTITUTE(H217," ",""))))-1))))</f>
        <v/>
      </c>
      <c r="G217" s="6069" t="str">
        <f t="shared" si="19"/>
        <v/>
      </c>
      <c r="H217" s="6069" t="str">
        <f>IF(OR(G217="",G217=0,G217="0"),"",LEFT(G217,C217+1))</f>
        <v/>
      </c>
      <c r="I217" s="6070" t="str">
        <f t="shared" si="20"/>
        <v/>
      </c>
      <c r="J217" s="6071" t="str">
        <f t="shared" si="21"/>
        <v/>
      </c>
      <c r="K217" s="6072" t="str">
        <f>IF(LEN(TRIM(L217))&gt;0,MAX(K46:K216)+1,"")</f>
        <v/>
      </c>
      <c r="L217" s="200"/>
      <c r="M217" s="6116"/>
      <c r="N217" s="6116"/>
      <c r="O217" s="2230"/>
      <c r="P217" s="2252"/>
      <c r="Q217" s="2237"/>
      <c r="R217" s="2237"/>
      <c r="S217" s="2237"/>
      <c r="T217" s="2237"/>
      <c r="U217" s="2240"/>
      <c r="V217" s="2241"/>
      <c r="W217" s="2239"/>
      <c r="X217" s="2242"/>
      <c r="Y217" s="2243"/>
      <c r="Z217" s="2251"/>
      <c r="AA217" s="2244"/>
      <c r="AB217" s="2245"/>
      <c r="AC217" s="2246"/>
      <c r="AD217" s="2247"/>
      <c r="AE217" s="2248"/>
      <c r="AF217" s="2249"/>
      <c r="AG217" s="2249"/>
      <c r="AH217" s="2238"/>
      <c r="AI217" s="2257"/>
      <c r="AJ217" s="2230"/>
      <c r="AK217" s="2230"/>
      <c r="AL217" s="3">
        <v>1</v>
      </c>
    </row>
    <row r="218" spans="1:38" ht="21" customHeight="1">
      <c r="A218" s="2230"/>
      <c r="B218" s="6793"/>
      <c r="C218" s="6074" t="str">
        <f>IF(UPPER(TRIM(C45))="X",C222,C216)</f>
        <v/>
      </c>
      <c r="D218" s="6069" t="str" cm="1">
        <f t="array" ref="D218">IF(ROW()=ROW(D215),C218,INDEX(E215:E228,ROW()-ROW(D215)))</f>
        <v/>
      </c>
      <c r="E218" s="6112" t="str">
        <f>IF(OR(D218="",C217="",C217&lt;=0,F218=""),"",TRIM(MID(D218,LEN(F218)+1+IF(MID(D218,LEN(F218)+1,1)=" ",1,0),99999)))</f>
        <v/>
      </c>
      <c r="F218" s="6069" t="str">
        <f>IF(OR(G218="",G218=0,G218="0"),"",IF(LEN(G218)&lt;=C217,G218,IF(LEN(SUBSTITUTE(H218," ",""))=C217+1,LEFT(G218,C217),LEFT(G218,FIND("§",SUBSTITUTE(H218," ","§",LEN(H218)-LEN(SUBSTITUTE(H218," ",""))))-1))))</f>
        <v/>
      </c>
      <c r="G218" s="6069" t="str">
        <f t="shared" si="19"/>
        <v/>
      </c>
      <c r="H218" s="6069" t="str">
        <f>IF(OR(G218="",G218=0,G218="0"),"",LEFT(G218,C217+1))</f>
        <v/>
      </c>
      <c r="I218" s="6070" t="str">
        <f t="shared" si="20"/>
        <v/>
      </c>
      <c r="J218" s="6071" t="str">
        <f t="shared" si="21"/>
        <v/>
      </c>
      <c r="K218" s="6072" t="str">
        <f>IF(LEN(TRIM(L218))&gt;0,MAX(K46:K217)+1,"")</f>
        <v/>
      </c>
      <c r="L218" s="200"/>
      <c r="M218" s="6116"/>
      <c r="N218" s="6116"/>
      <c r="O218" s="2230"/>
      <c r="P218" s="2252"/>
      <c r="Q218" s="2237"/>
      <c r="R218" s="2237"/>
      <c r="S218" s="2237"/>
      <c r="T218" s="2237"/>
      <c r="U218" s="2240"/>
      <c r="V218" s="2241"/>
      <c r="W218" s="2239"/>
      <c r="X218" s="2242"/>
      <c r="Y218" s="2243"/>
      <c r="Z218" s="2251"/>
      <c r="AA218" s="2244"/>
      <c r="AB218" s="2245"/>
      <c r="AC218" s="2246"/>
      <c r="AD218" s="2247"/>
      <c r="AE218" s="2248"/>
      <c r="AF218" s="2249"/>
      <c r="AG218" s="2249"/>
      <c r="AH218" s="2238"/>
      <c r="AI218" s="2257"/>
      <c r="AJ218" s="2230"/>
      <c r="AK218" s="2230"/>
      <c r="AL218" s="3">
        <v>1</v>
      </c>
    </row>
    <row r="219" spans="1:38" ht="21" customHeight="1">
      <c r="A219" s="2230"/>
      <c r="B219" s="6793"/>
      <c r="C219" s="6074" t="str">
        <f>TRIM(SUBSTITUTE(SUBSTITUTE(SUBSTITUTE(SUBSTITUTE(SUBSTITUTE(SUBSTITUTE(SUBSTITUTE(SUBSTITUTE(SUBSTITUTE(SUBSTITUTE(C216,","," "),";"," "),":"," "),"!"," "),"?"," "),"…"," "),"»"," "),"«"," "),"/"," "),"."," "))</f>
        <v/>
      </c>
      <c r="D219" s="6069" t="str" cm="1">
        <f t="array" ref="D219">IF(ROW()=ROW(D215),C218,INDEX(E215:E228,ROW()-ROW(D215)))</f>
        <v/>
      </c>
      <c r="E219" s="6112" t="str">
        <f>IF(OR(D219="",C217="",C217&lt;=0,F219=""),"",TRIM(MID(D219,LEN(F219)+1+IF(MID(D219,LEN(F219)+1,1)=" ",1,0),99999)))</f>
        <v/>
      </c>
      <c r="F219" s="6069" t="str">
        <f>IF(OR(G219="",G219=0,G219="0"),"",IF(LEN(G219)&lt;=C217,G219,IF(LEN(SUBSTITUTE(H219," ",""))=C217+1,LEFT(G219,C217),LEFT(G219,FIND("§",SUBSTITUTE(H219," ","§",LEN(H219)-LEN(SUBSTITUTE(H219," ",""))))-1))))</f>
        <v/>
      </c>
      <c r="G219" s="6069" t="str">
        <f t="shared" si="19"/>
        <v/>
      </c>
      <c r="H219" s="6069" t="str">
        <f>IF(OR(G219="",G219=0,G219="0"),"",LEFT(G219,C217+1))</f>
        <v/>
      </c>
      <c r="I219" s="6070" t="str">
        <f t="shared" si="20"/>
        <v/>
      </c>
      <c r="J219" s="6071" t="str">
        <f t="shared" si="21"/>
        <v/>
      </c>
      <c r="K219" s="6072" t="str">
        <f>IF(LEN(TRIM(L219))&gt;0,MAX(K46:K218)+1,"")</f>
        <v/>
      </c>
      <c r="L219" s="200"/>
      <c r="M219" s="6116"/>
      <c r="N219" s="6116"/>
      <c r="O219" s="2230"/>
      <c r="P219" s="2252"/>
      <c r="Q219" s="2237"/>
      <c r="R219" s="2237"/>
      <c r="S219" s="2237"/>
      <c r="T219" s="2237"/>
      <c r="U219" s="2240"/>
      <c r="V219" s="2241"/>
      <c r="W219" s="2239"/>
      <c r="X219" s="2242"/>
      <c r="Y219" s="2243"/>
      <c r="Z219" s="2251"/>
      <c r="AA219" s="2244"/>
      <c r="AB219" s="2245"/>
      <c r="AC219" s="2246"/>
      <c r="AD219" s="2247"/>
      <c r="AE219" s="2248"/>
      <c r="AF219" s="2249"/>
      <c r="AG219" s="2249"/>
      <c r="AH219" s="2238"/>
      <c r="AI219" s="2257"/>
      <c r="AJ219" s="2230"/>
      <c r="AK219" s="2230"/>
      <c r="AL219" s="3">
        <v>1</v>
      </c>
    </row>
    <row r="220" spans="1:38" ht="21" customHeight="1">
      <c r="A220" s="2230"/>
      <c r="B220" s="6793"/>
      <c r="C220" s="6069" t="str">
        <f>TRIM(SUBSTITUTE(SUBSTITUTE(SUBSTITUTE(SUBSTITUTE(SUBSTITUTE(SUBSTITUTE(SUBSTITUTE(SUBSTITUTE(C219,"("," "),")"," "),CHAR(34)," "),"-"," "),"_"," "),"&lt;"," "),"&gt;"," "),"="," "))</f>
        <v/>
      </c>
      <c r="D220" s="6069" t="str" cm="1">
        <f t="array" ref="D220">IF(ROW()=ROW(D215),C218,INDEX(E215:E228,ROW()-ROW(D215)))</f>
        <v/>
      </c>
      <c r="E220" s="6112" t="str">
        <f>IF(OR(D220="",C217="",C217&lt;=0,F220=""),"",TRIM(MID(D220,LEN(F220)+1+IF(MID(D220,LEN(F220)+1,1)=" ",1,0),99999)))</f>
        <v/>
      </c>
      <c r="F220" s="6069" t="str">
        <f>IF(OR(G220="",G220=0,G220="0"),"",IF(LEN(G220)&lt;=C217,G220,IF(LEN(SUBSTITUTE(H220," ",""))=C217+1,LEFT(G220,C217),LEFT(G220,FIND("§",SUBSTITUTE(H220," ","§",LEN(H220)-LEN(SUBSTITUTE(H220," ",""))))-1))))</f>
        <v/>
      </c>
      <c r="G220" s="6069" t="str">
        <f t="shared" si="19"/>
        <v/>
      </c>
      <c r="H220" s="6069" t="str">
        <f>IF(OR(G220="",G220=0,G220="0"),"",LEFT(G220,C217+1))</f>
        <v/>
      </c>
      <c r="I220" s="6070" t="str">
        <f t="shared" si="20"/>
        <v/>
      </c>
      <c r="J220" s="6071" t="str">
        <f t="shared" si="21"/>
        <v/>
      </c>
      <c r="K220" s="6072" t="str">
        <f>IF(LEN(TRIM(L220))&gt;0,MAX(K46:K219)+1,"")</f>
        <v/>
      </c>
      <c r="L220" s="200"/>
      <c r="M220" s="6116"/>
      <c r="N220" s="6116"/>
      <c r="O220" s="2230"/>
      <c r="P220" s="2252"/>
      <c r="Q220" s="2237"/>
      <c r="R220" s="2237"/>
      <c r="S220" s="2237"/>
      <c r="T220" s="2237"/>
      <c r="U220" s="2240"/>
      <c r="V220" s="2241"/>
      <c r="W220" s="2239"/>
      <c r="X220" s="2242"/>
      <c r="Y220" s="2243"/>
      <c r="Z220" s="2251"/>
      <c r="AA220" s="2244"/>
      <c r="AB220" s="2245"/>
      <c r="AC220" s="2246"/>
      <c r="AD220" s="2247"/>
      <c r="AE220" s="2248"/>
      <c r="AF220" s="2249"/>
      <c r="AG220" s="2249"/>
      <c r="AH220" s="2238"/>
      <c r="AI220" s="2257"/>
      <c r="AJ220" s="2230"/>
      <c r="AK220" s="2230"/>
      <c r="AL220" s="3">
        <v>1</v>
      </c>
    </row>
    <row r="221" spans="1:38" ht="21" customHeight="1">
      <c r="A221" s="2230"/>
      <c r="B221" s="6793"/>
      <c r="C221" s="6074" t="str">
        <f>TRIM(SUBSTITUTE(SUBSTITUTE(SUBSTITUTE(SUBSTITUTE(C220,"►"," "),"▼"," "),"▲"," "),"◄"," "))</f>
        <v/>
      </c>
      <c r="D221" s="6069" t="str" cm="1">
        <f t="array" ref="D221">IF(ROW()=ROW(D215),C218,INDEX(E215:E228,ROW()-ROW(D215)))</f>
        <v/>
      </c>
      <c r="E221" s="6112" t="str">
        <f>IF(OR(D221="",C217="",C217&lt;=0,F221=""),"",TRIM(MID(D221,LEN(F221)+1+IF(MID(D221,LEN(F221)+1,1)=" ",1,0),99999)))</f>
        <v/>
      </c>
      <c r="F221" s="6069" t="str">
        <f>IF(OR(G221="",G221=0,G221="0"),"",IF(LEN(G221)&lt;=C217,G221,IF(LEN(SUBSTITUTE(H221," ",""))=C217+1,LEFT(G221,C217),LEFT(G221,FIND("§",SUBSTITUTE(H221," ","§",LEN(H221)-LEN(SUBSTITUTE(H221," ",""))))-1))))</f>
        <v/>
      </c>
      <c r="G221" s="6069" t="str">
        <f t="shared" si="19"/>
        <v/>
      </c>
      <c r="H221" s="6069" t="str">
        <f>IF(OR(G221="",G221=0,G221="0"),"",LEFT(G221,C217+1))</f>
        <v/>
      </c>
      <c r="I221" s="6070" t="str">
        <f t="shared" si="20"/>
        <v/>
      </c>
      <c r="J221" s="6071" t="str">
        <f t="shared" si="21"/>
        <v/>
      </c>
      <c r="K221" s="6072" t="str">
        <f>IF(LEN(TRIM(L221))&gt;0,MAX(K46:K220)+1,"")</f>
        <v/>
      </c>
      <c r="L221" s="200"/>
      <c r="M221" s="6116"/>
      <c r="N221" s="6116"/>
      <c r="O221" s="2230"/>
      <c r="P221" s="2252"/>
      <c r="Q221" s="2237"/>
      <c r="R221" s="2237"/>
      <c r="S221" s="2237"/>
      <c r="T221" s="2237"/>
      <c r="U221" s="2240"/>
      <c r="V221" s="2241"/>
      <c r="W221" s="2239"/>
      <c r="X221" s="2242"/>
      <c r="Y221" s="2243"/>
      <c r="Z221" s="2251"/>
      <c r="AA221" s="2244"/>
      <c r="AB221" s="2245"/>
      <c r="AC221" s="2246"/>
      <c r="AD221" s="2247"/>
      <c r="AE221" s="2248"/>
      <c r="AF221" s="2249"/>
      <c r="AG221" s="2249"/>
      <c r="AH221" s="2238"/>
      <c r="AI221" s="2257"/>
      <c r="AJ221" s="2230"/>
      <c r="AK221" s="2230"/>
      <c r="AL221" s="3">
        <v>1</v>
      </c>
    </row>
    <row r="222" spans="1:38" ht="21" customHeight="1">
      <c r="A222" s="2230"/>
      <c r="B222" s="6793"/>
      <c r="C222" s="6074" t="str">
        <f>TRIM(SUBSTITUTE(SUBSTITUTE(C221,"“"," "),"”"," "))</f>
        <v/>
      </c>
      <c r="D222" s="6069" t="str" cm="1">
        <f t="array" ref="D222">IF(ROW()=ROW(D215),C218,INDEX(E215:E228,ROW()-ROW(D215)))</f>
        <v/>
      </c>
      <c r="E222" s="6112" t="str">
        <f>IF(OR(D222="",C217="",C217&lt;=0,F222=""),"",TRIM(MID(D222,LEN(F222)+1+IF(MID(D222,LEN(F222)+1,1)=" ",1,0),99999)))</f>
        <v/>
      </c>
      <c r="F222" s="6069" t="str">
        <f>IF(OR(G222="",G222=0,G222="0"),"",IF(LEN(G222)&lt;=C217,G222,IF(LEN(SUBSTITUTE(H222," ",""))=C217+1,LEFT(G222,C217),LEFT(G222,FIND("§",SUBSTITUTE(H222," ","§",LEN(H222)-LEN(SUBSTITUTE(H222," ",""))))-1))))</f>
        <v/>
      </c>
      <c r="G222" s="6069" t="str">
        <f t="shared" si="19"/>
        <v/>
      </c>
      <c r="H222" s="6069" t="str">
        <f>IF(OR(G222="",G222=0,G222="0"),"",LEFT(G222,C217+1))</f>
        <v/>
      </c>
      <c r="I222" s="6070" t="str">
        <f t="shared" si="20"/>
        <v/>
      </c>
      <c r="J222" s="6071" t="str">
        <f t="shared" si="21"/>
        <v/>
      </c>
      <c r="K222" s="6072" t="str">
        <f>IF(LEN(TRIM(L222))&gt;0,MAX(K46:K221)+1,"")</f>
        <v/>
      </c>
      <c r="L222" s="200"/>
      <c r="M222" s="6116"/>
      <c r="N222" s="6116"/>
      <c r="O222" s="2230"/>
      <c r="P222" s="2252"/>
      <c r="Q222" s="2237"/>
      <c r="R222" s="2237"/>
      <c r="S222" s="2237"/>
      <c r="T222" s="2237"/>
      <c r="U222" s="2240"/>
      <c r="V222" s="2241"/>
      <c r="W222" s="2239"/>
      <c r="X222" s="2242"/>
      <c r="Y222" s="2243"/>
      <c r="Z222" s="2251"/>
      <c r="AA222" s="2244"/>
      <c r="AB222" s="2245"/>
      <c r="AC222" s="2246"/>
      <c r="AD222" s="2247"/>
      <c r="AE222" s="2248"/>
      <c r="AF222" s="2249"/>
      <c r="AG222" s="2249"/>
      <c r="AH222" s="2238"/>
      <c r="AI222" s="2257"/>
      <c r="AJ222" s="2230"/>
      <c r="AK222" s="2230"/>
      <c r="AL222" s="3">
        <v>1</v>
      </c>
    </row>
    <row r="223" spans="1:38" ht="21" customHeight="1">
      <c r="A223" s="2230"/>
      <c r="B223" s="6793"/>
      <c r="C223" s="6074"/>
      <c r="D223" s="6069" t="str" cm="1">
        <f t="array" ref="D223">IF(ROW()=ROW(D215),C218,INDEX(E215:E228,ROW()-ROW(D215)))</f>
        <v/>
      </c>
      <c r="E223" s="6112" t="str">
        <f>IF(OR(D223="",C217="",C217&lt;=0,F223=""),"",TRIM(MID(D223,LEN(F223)+1+IF(MID(D223,LEN(F223)+1,1)=" ",1,0),99999)))</f>
        <v/>
      </c>
      <c r="F223" s="6069" t="str">
        <f>IF(OR(G223="",G223=0,G223="0"),"",IF(LEN(G223)&lt;=C217,G223,IF(LEN(SUBSTITUTE(H223," ",""))=C217+1,LEFT(G223,C217),LEFT(G223,FIND("§",SUBSTITUTE(H223," ","§",LEN(H223)-LEN(SUBSTITUTE(H223," ",""))))-1))))</f>
        <v/>
      </c>
      <c r="G223" s="6069" t="str">
        <f t="shared" si="19"/>
        <v/>
      </c>
      <c r="H223" s="6069" t="str">
        <f>IF(OR(G223="",G223=0,G223="0"),"",LEFT(G223,C217+1))</f>
        <v/>
      </c>
      <c r="I223" s="6070" t="str">
        <f t="shared" si="20"/>
        <v/>
      </c>
      <c r="J223" s="6071" t="str">
        <f t="shared" si="21"/>
        <v/>
      </c>
      <c r="K223" s="6072" t="str">
        <f>IF(LEN(TRIM(L223))&gt;0,MAX(K46:K222)+1,"")</f>
        <v/>
      </c>
      <c r="L223" s="200"/>
      <c r="M223" s="6116"/>
      <c r="N223" s="6116"/>
      <c r="O223" s="2230"/>
      <c r="P223" s="2252"/>
      <c r="Q223" s="2237"/>
      <c r="R223" s="2237"/>
      <c r="S223" s="2237"/>
      <c r="T223" s="2237"/>
      <c r="U223" s="2240"/>
      <c r="V223" s="2241"/>
      <c r="W223" s="2239"/>
      <c r="X223" s="2242"/>
      <c r="Y223" s="2243"/>
      <c r="Z223" s="2251"/>
      <c r="AA223" s="2244"/>
      <c r="AB223" s="2245"/>
      <c r="AC223" s="2246"/>
      <c r="AD223" s="2247"/>
      <c r="AE223" s="2248"/>
      <c r="AF223" s="2249"/>
      <c r="AG223" s="2249"/>
      <c r="AH223" s="2238"/>
      <c r="AI223" s="2257"/>
      <c r="AJ223" s="2230"/>
      <c r="AK223" s="2230"/>
      <c r="AL223" s="3">
        <v>1</v>
      </c>
    </row>
    <row r="224" spans="1:38" ht="21" customHeight="1">
      <c r="A224" s="2230"/>
      <c r="B224" s="6793"/>
      <c r="C224" s="6074"/>
      <c r="D224" s="6069" t="str" cm="1">
        <f t="array" ref="D224">IF(ROW()=ROW(D215),C218,INDEX(E215:E228,ROW()-ROW(D215)))</f>
        <v/>
      </c>
      <c r="E224" s="6112" t="str">
        <f>IF(OR(D224="",C217="",C217&lt;=0,F224=""),"",TRIM(MID(D224,LEN(F224)+1+IF(MID(D224,LEN(F224)+1,1)=" ",1,0),99999)))</f>
        <v/>
      </c>
      <c r="F224" s="6069" t="str">
        <f>IF(OR(G224="",G224=0,G224="0"),"",IF(LEN(G224)&lt;=C217,G224,IF(LEN(SUBSTITUTE(H224," ",""))=C217+1,LEFT(G224,C217),LEFT(G224,FIND("§",SUBSTITUTE(H224," ","§",LEN(H224)-LEN(SUBSTITUTE(H224," ",""))))-1))))</f>
        <v/>
      </c>
      <c r="G224" s="6069" t="str">
        <f t="shared" si="19"/>
        <v/>
      </c>
      <c r="H224" s="6069" t="str">
        <f>IF(OR(G224="",G224=0,G224="0"),"",LEFT(G224,C217+1))</f>
        <v/>
      </c>
      <c r="I224" s="6070" t="str">
        <f t="shared" si="20"/>
        <v/>
      </c>
      <c r="J224" s="6071" t="str">
        <f t="shared" si="21"/>
        <v/>
      </c>
      <c r="K224" s="6072" t="str">
        <f>IF(LEN(TRIM(L224))&gt;0,MAX(K46:K223)+1,"")</f>
        <v/>
      </c>
      <c r="L224" s="200"/>
      <c r="M224" s="6116"/>
      <c r="N224" s="6116"/>
      <c r="O224" s="2230"/>
      <c r="P224" s="2252"/>
      <c r="Q224" s="2237"/>
      <c r="R224" s="2237"/>
      <c r="S224" s="2237"/>
      <c r="T224" s="2237"/>
      <c r="U224" s="2240"/>
      <c r="V224" s="2241"/>
      <c r="W224" s="2239"/>
      <c r="X224" s="2242"/>
      <c r="Y224" s="2243"/>
      <c r="Z224" s="2251"/>
      <c r="AA224" s="2244"/>
      <c r="AB224" s="2245"/>
      <c r="AC224" s="2246"/>
      <c r="AD224" s="2247"/>
      <c r="AE224" s="2248"/>
      <c r="AF224" s="2249"/>
      <c r="AG224" s="2249"/>
      <c r="AH224" s="2238"/>
      <c r="AI224" s="2257"/>
      <c r="AJ224" s="2230"/>
      <c r="AK224" s="2230"/>
      <c r="AL224" s="3">
        <v>1</v>
      </c>
    </row>
    <row r="225" spans="1:38" ht="21" customHeight="1">
      <c r="A225" s="2230"/>
      <c r="B225" s="6793"/>
      <c r="C225" s="6074"/>
      <c r="D225" s="6069" t="str" cm="1">
        <f t="array" ref="D225">IF(ROW()=ROW(D215),C218,INDEX(E215:E228,ROW()-ROW(D215)))</f>
        <v/>
      </c>
      <c r="E225" s="6112" t="str">
        <f>IF(OR(D225="",C217="",C217&lt;=0,F225=""),"",TRIM(MID(D225,LEN(F225)+1+IF(MID(D225,LEN(F225)+1,1)=" ",1,0),99999)))</f>
        <v/>
      </c>
      <c r="F225" s="6069" t="str">
        <f>IF(OR(G225="",G225=0,G225="0"),"",IF(LEN(G225)&lt;=C217,G225,IF(LEN(SUBSTITUTE(H225," ",""))=C217+1,LEFT(G225,C217),LEFT(G225,FIND("§",SUBSTITUTE(H225," ","§",LEN(H225)-LEN(SUBSTITUTE(H225," ",""))))-1))))</f>
        <v/>
      </c>
      <c r="G225" s="6069" t="str">
        <f t="shared" si="19"/>
        <v/>
      </c>
      <c r="H225" s="6069" t="str">
        <f>IF(OR(G225="",G225=0,G225="0"),"",LEFT(G225,C217+1))</f>
        <v/>
      </c>
      <c r="I225" s="6070" t="str">
        <f t="shared" si="20"/>
        <v/>
      </c>
      <c r="J225" s="6071" t="str">
        <f t="shared" si="21"/>
        <v/>
      </c>
      <c r="K225" s="6072" t="str">
        <f>IF(LEN(TRIM(L225))&gt;0,MAX(K46:K224)+1,"")</f>
        <v/>
      </c>
      <c r="L225" s="200"/>
      <c r="M225" s="6116"/>
      <c r="N225" s="6116"/>
      <c r="O225" s="2230"/>
      <c r="P225" s="2252"/>
      <c r="Q225" s="2237"/>
      <c r="R225" s="2237"/>
      <c r="S225" s="2237"/>
      <c r="T225" s="2237"/>
      <c r="U225" s="2240"/>
      <c r="V225" s="2241"/>
      <c r="W225" s="2239"/>
      <c r="X225" s="2242"/>
      <c r="Y225" s="2243"/>
      <c r="Z225" s="2251"/>
      <c r="AA225" s="2244"/>
      <c r="AB225" s="2245"/>
      <c r="AC225" s="2246"/>
      <c r="AD225" s="2247"/>
      <c r="AE225" s="2248"/>
      <c r="AF225" s="2249"/>
      <c r="AG225" s="2249"/>
      <c r="AH225" s="2238"/>
      <c r="AI225" s="2257"/>
      <c r="AJ225" s="2230"/>
      <c r="AK225" s="2230"/>
      <c r="AL225" s="3">
        <v>1</v>
      </c>
    </row>
    <row r="226" spans="1:38" ht="21" customHeight="1">
      <c r="A226" s="2230"/>
      <c r="B226" s="6793"/>
      <c r="C226" s="6074"/>
      <c r="D226" s="6069" t="str" cm="1">
        <f t="array" ref="D226">IF(ROW()=ROW(D215),C218,INDEX(E215:E228,ROW()-ROW(D215)))</f>
        <v/>
      </c>
      <c r="E226" s="6112" t="str">
        <f>IF(OR(D226="",C217="",C217&lt;=0,F226=""),"",TRIM(MID(D226,LEN(F226)+1+IF(MID(D226,LEN(F226)+1,1)=" ",1,0),99999)))</f>
        <v/>
      </c>
      <c r="F226" s="6069" t="str">
        <f>IF(OR(G226="",G226=0,G226="0"),"",IF(LEN(G226)&lt;=C217,G226,IF(LEN(SUBSTITUTE(H226," ",""))=C217+1,LEFT(G226,C217),LEFT(G226,FIND("§",SUBSTITUTE(H226," ","§",LEN(H226)-LEN(SUBSTITUTE(H226," ",""))))-1))))</f>
        <v/>
      </c>
      <c r="G226" s="6069" t="str">
        <f t="shared" si="19"/>
        <v/>
      </c>
      <c r="H226" s="6069" t="str">
        <f>IF(OR(G226="",G226=0,G226="0"),"",LEFT(G226,C217+1))</f>
        <v/>
      </c>
      <c r="I226" s="6070" t="str">
        <f t="shared" si="20"/>
        <v/>
      </c>
      <c r="J226" s="6071" t="str">
        <f t="shared" si="21"/>
        <v/>
      </c>
      <c r="K226" s="6072" t="str">
        <f>IF(LEN(TRIM(L226))&gt;0,MAX(K46:K225)+1,"")</f>
        <v/>
      </c>
      <c r="L226" s="200"/>
      <c r="M226" s="6116"/>
      <c r="N226" s="6116"/>
      <c r="O226" s="2230"/>
      <c r="P226" s="2252"/>
      <c r="Q226" s="2237"/>
      <c r="R226" s="2237"/>
      <c r="S226" s="2237"/>
      <c r="T226" s="2237"/>
      <c r="U226" s="2240"/>
      <c r="V226" s="2241"/>
      <c r="W226" s="2239"/>
      <c r="X226" s="2242"/>
      <c r="Y226" s="2243"/>
      <c r="Z226" s="2251"/>
      <c r="AA226" s="2244"/>
      <c r="AB226" s="2245"/>
      <c r="AC226" s="2246"/>
      <c r="AD226" s="2247"/>
      <c r="AE226" s="2248"/>
      <c r="AF226" s="2249"/>
      <c r="AG226" s="2249"/>
      <c r="AH226" s="2238"/>
      <c r="AI226" s="2257"/>
      <c r="AJ226" s="2230"/>
      <c r="AK226" s="2230"/>
      <c r="AL226" s="3">
        <v>1</v>
      </c>
    </row>
    <row r="227" spans="1:38" ht="21" customHeight="1">
      <c r="A227" s="2230"/>
      <c r="B227" s="6793"/>
      <c r="C227" s="6074"/>
      <c r="D227" s="6069" t="str" cm="1">
        <f t="array" ref="D227">IF(ROW()=ROW(D215),C218,INDEX(E215:E228,ROW()-ROW(D215)))</f>
        <v/>
      </c>
      <c r="E227" s="6112" t="str">
        <f>IF(OR(D227="",C217="",C217&lt;=0,F227=""),"",TRIM(MID(D227,LEN(F227)+1+IF(MID(D227,LEN(F227)+1,1)=" ",1,0),99999)))</f>
        <v/>
      </c>
      <c r="F227" s="6069" t="str">
        <f>IF(OR(G227="",G227=0,G227="0"),"",IF(LEN(G227)&lt;=C217,G227,IF(LEN(SUBSTITUTE(H227," ",""))=C217+1,LEFT(G227,C217),LEFT(G227,FIND("§",SUBSTITUTE(H227," ","§",LEN(H227)-LEN(SUBSTITUTE(H227," ",""))))-1))))</f>
        <v/>
      </c>
      <c r="G227" s="6069" t="str">
        <f t="shared" si="19"/>
        <v/>
      </c>
      <c r="H227" s="6069" t="str">
        <f>IF(OR(G227="",G227=0,G227="0"),"",LEFT(G227,C217+1))</f>
        <v/>
      </c>
      <c r="I227" s="6070" t="str">
        <f t="shared" si="20"/>
        <v/>
      </c>
      <c r="J227" s="6071" t="str">
        <f t="shared" si="21"/>
        <v/>
      </c>
      <c r="K227" s="6072" t="str">
        <f>IF(LEN(TRIM(L227))&gt;0,MAX(K46:K226)+1,"")</f>
        <v/>
      </c>
      <c r="L227" s="200"/>
      <c r="M227" s="6116"/>
      <c r="N227" s="6116"/>
      <c r="O227" s="2230"/>
      <c r="P227" s="2252"/>
      <c r="Q227" s="2237"/>
      <c r="R227" s="2237"/>
      <c r="S227" s="2237"/>
      <c r="T227" s="2237"/>
      <c r="U227" s="2240"/>
      <c r="V227" s="2241"/>
      <c r="W227" s="2239"/>
      <c r="X227" s="2242"/>
      <c r="Y227" s="2243"/>
      <c r="Z227" s="2251"/>
      <c r="AA227" s="2244"/>
      <c r="AB227" s="2245"/>
      <c r="AC227" s="2246"/>
      <c r="AD227" s="2247"/>
      <c r="AE227" s="2248"/>
      <c r="AF227" s="2249"/>
      <c r="AG227" s="2249"/>
      <c r="AH227" s="2238"/>
      <c r="AI227" s="2257"/>
      <c r="AJ227" s="2230"/>
      <c r="AK227" s="2230"/>
      <c r="AL227" s="3">
        <v>1</v>
      </c>
    </row>
    <row r="228" spans="1:38" ht="21" customHeight="1">
      <c r="A228" s="2230"/>
      <c r="B228" s="6793"/>
      <c r="C228" s="6074"/>
      <c r="D228" s="6069" t="str" cm="1">
        <f t="array" ref="D228">IF(ROW()=ROW(D215),C218,INDEX(E215:E228,ROW()-ROW(D215)))</f>
        <v/>
      </c>
      <c r="E228" s="6112" t="str">
        <f>IF(OR(D228="",C217="",C217&lt;=0,F228=""),"",TRIM(MID(D228,LEN(F228)+1+IF(MID(D228,LEN(F228)+1,1)=" ",1,0),99999)))</f>
        <v/>
      </c>
      <c r="F228" s="6069" t="str">
        <f>IF(OR(G228="",G228=0,G228="0"),"",IF(LEN(G228)&lt;=C217,G228,IF(LEN(SUBSTITUTE(H228," ",""))=C217+1,LEFT(G228,C217),LEFT(G228,FIND("§",SUBSTITUTE(H228," ","§",LEN(H228)-LEN(SUBSTITUTE(H228," ",""))))-1))))</f>
        <v/>
      </c>
      <c r="G228" s="6069" t="str">
        <f t="shared" si="19"/>
        <v/>
      </c>
      <c r="H228" s="6069" t="str">
        <f>IF(OR(G228="",G228=0,G228="0"),"",LEFT(G228,C217+1))</f>
        <v/>
      </c>
      <c r="I228" s="6070" t="str">
        <f t="shared" si="20"/>
        <v/>
      </c>
      <c r="J228" s="6071" t="str">
        <f t="shared" si="21"/>
        <v/>
      </c>
      <c r="K228" s="6072" t="str">
        <f>IF(LEN(TRIM(L228))&gt;0,MAX(K46:K227)+1,"")</f>
        <v/>
      </c>
      <c r="L228" s="200"/>
      <c r="M228" s="6116"/>
      <c r="N228" s="6116"/>
      <c r="O228" s="2230"/>
      <c r="P228" s="2252"/>
      <c r="Q228" s="2237"/>
      <c r="R228" s="2237"/>
      <c r="S228" s="2237"/>
      <c r="T228" s="2237"/>
      <c r="U228" s="2240"/>
      <c r="V228" s="2241"/>
      <c r="W228" s="2239"/>
      <c r="X228" s="2242"/>
      <c r="Y228" s="2243"/>
      <c r="Z228" s="2251"/>
      <c r="AA228" s="2244"/>
      <c r="AB228" s="2245"/>
      <c r="AC228" s="2246"/>
      <c r="AD228" s="2247"/>
      <c r="AE228" s="2248"/>
      <c r="AF228" s="2249"/>
      <c r="AG228" s="2249"/>
      <c r="AH228" s="2238"/>
      <c r="AI228" s="2257"/>
      <c r="AJ228" s="2230"/>
      <c r="AK228" s="2230"/>
      <c r="AL228" s="3">
        <v>1</v>
      </c>
    </row>
    <row r="229" spans="1:38" ht="21" customHeight="1">
      <c r="A229" s="2230"/>
      <c r="B229" s="6793"/>
      <c r="C229" s="6068" t="str">
        <f>IF(TRIM(SUBSTITUTE(M60,CHAR(160),""))="","",M60)</f>
        <v/>
      </c>
      <c r="D229" s="6069" t="str" cm="1">
        <f t="array" ref="D229">IF(ROW()=ROW(D229),C232,INDEX(E229:E242,ROW()-ROW(D229)))</f>
        <v/>
      </c>
      <c r="E229" s="6112" t="str">
        <f>IF(OR(D229="",C231="",C231&lt;=0,F229=""),"",TRIM(MID(D229,LEN(F229)+1+IF(MID(D229,LEN(F229)+1,1)=" ",1,0),99999)))</f>
        <v/>
      </c>
      <c r="F229" s="6069" t="str">
        <f>IF(OR(G229="",G229=0,G229="0"),"",IF(LEN(G229)&lt;=C231,G229,IF(LEN(SUBSTITUTE(H229," ",""))=C231+1,LEFT(G229,C231),LEFT(G229,FIND("§",SUBSTITUTE(H229," ","§",LEN(H229)-LEN(SUBSTITUTE(H229," ",""))))-1))))</f>
        <v/>
      </c>
      <c r="G229" s="6069" t="str">
        <f t="shared" si="19"/>
        <v/>
      </c>
      <c r="H229" s="6069" t="str">
        <f>IF(OR(G229="",G229=0,G229="0"),"",LEFT(G229,C231+1))</f>
        <v/>
      </c>
      <c r="I229" s="6070" t="str">
        <f t="shared" si="20"/>
        <v/>
      </c>
      <c r="J229" s="6071" t="str">
        <f t="shared" si="21"/>
        <v/>
      </c>
      <c r="K229" s="6072" t="str">
        <f>IF(LEN(TRIM(L229))&gt;0,MAX(K46:K228)+1,"")</f>
        <v/>
      </c>
      <c r="L229" s="200"/>
      <c r="M229" s="6116"/>
      <c r="N229" s="6116"/>
      <c r="O229" s="2230"/>
      <c r="P229" s="2252"/>
      <c r="Q229" s="2237"/>
      <c r="R229" s="2237"/>
      <c r="S229" s="2237"/>
      <c r="T229" s="2237"/>
      <c r="U229" s="2240"/>
      <c r="V229" s="2241"/>
      <c r="W229" s="2239"/>
      <c r="X229" s="2242"/>
      <c r="Y229" s="2243"/>
      <c r="Z229" s="2251"/>
      <c r="AA229" s="2244"/>
      <c r="AB229" s="2245"/>
      <c r="AC229" s="2246"/>
      <c r="AD229" s="2247"/>
      <c r="AE229" s="2248"/>
      <c r="AF229" s="2249"/>
      <c r="AG229" s="2249"/>
      <c r="AH229" s="2238"/>
      <c r="AI229" s="2257"/>
      <c r="AJ229" s="2230"/>
      <c r="AK229" s="2230"/>
      <c r="AL229" s="3">
        <v>1</v>
      </c>
    </row>
    <row r="230" spans="1:38" ht="21" customHeight="1">
      <c r="A230" s="2230"/>
      <c r="B230" s="6793"/>
      <c r="C230" s="6074" t="str">
        <f>TRIM(SUBSTITUTE(SUBSTITUTE(SUBSTITUTE(SUBSTITUTE(IF(OR(LEFT(C229,1)="-",LEFT(C229,1)="="),MID(C229,2,99999),C229),CHAR(160)," "),CHAR(9)," "),CHAR(13)&amp;CHAR(10)," "),CHAR(10)," "))</f>
        <v/>
      </c>
      <c r="D230" s="6069" t="str" cm="1">
        <f t="array" ref="D230">IF(ROW()=ROW(D229),C232,INDEX(E229:E242,ROW()-ROW(D229)))</f>
        <v/>
      </c>
      <c r="E230" s="6112" t="str">
        <f>IF(OR(D230="",C231="",C231&lt;=0,F230=""),"",TRIM(MID(D230,LEN(F230)+1+IF(MID(D230,LEN(F230)+1,1)=" ",1,0),99999)))</f>
        <v/>
      </c>
      <c r="F230" s="6069" t="str">
        <f>IF(OR(G230="",G230=0,G230="0"),"",IF(LEN(G230)&lt;=C231,G230,IF(LEN(SUBSTITUTE(H230," ",""))=C231+1,LEFT(G230,C231),LEFT(G230,FIND("§",SUBSTITUTE(H230," ","§",LEN(H230)-LEN(SUBSTITUTE(H230," ",""))))-1))))</f>
        <v/>
      </c>
      <c r="G230" s="6069" t="str">
        <f t="shared" si="19"/>
        <v/>
      </c>
      <c r="H230" s="6069" t="str">
        <f>IF(OR(G230="",G230=0,G230="0"),"",LEFT(G230,C231+1))</f>
        <v/>
      </c>
      <c r="I230" s="6070" t="str">
        <f t="shared" si="20"/>
        <v/>
      </c>
      <c r="J230" s="6071" t="str">
        <f t="shared" si="21"/>
        <v/>
      </c>
      <c r="K230" s="6072" t="str">
        <f>IF(LEN(TRIM(L230))&gt;0,MAX(K46:K229)+1,"")</f>
        <v/>
      </c>
      <c r="L230" s="200"/>
      <c r="M230" s="6116"/>
      <c r="N230" s="6116"/>
      <c r="O230" s="2230"/>
      <c r="P230" s="2252"/>
      <c r="Q230" s="2237"/>
      <c r="R230" s="2237"/>
      <c r="S230" s="2237"/>
      <c r="T230" s="2237"/>
      <c r="U230" s="2240"/>
      <c r="V230" s="2241"/>
      <c r="W230" s="2239"/>
      <c r="X230" s="2242"/>
      <c r="Y230" s="2243"/>
      <c r="Z230" s="2251"/>
      <c r="AA230" s="2244"/>
      <c r="AB230" s="2245"/>
      <c r="AC230" s="2246"/>
      <c r="AD230" s="2247"/>
      <c r="AE230" s="2248"/>
      <c r="AF230" s="2249"/>
      <c r="AG230" s="2249"/>
      <c r="AH230" s="2238"/>
      <c r="AI230" s="2257"/>
      <c r="AJ230" s="2230"/>
      <c r="AK230" s="2230"/>
      <c r="AL230" s="3">
        <v>1</v>
      </c>
    </row>
    <row r="231" spans="1:38" ht="21" customHeight="1">
      <c r="A231" s="2230"/>
      <c r="B231" s="6793"/>
      <c r="C231" s="6075">
        <f>M44</f>
        <v>120</v>
      </c>
      <c r="D231" s="6069" t="str" cm="1">
        <f t="array" ref="D231">IF(ROW()=ROW(D229),C232,INDEX(E229:E242,ROW()-ROW(D229)))</f>
        <v/>
      </c>
      <c r="E231" s="6112" t="str">
        <f>IF(OR(D231="",C231="",C231&lt;=0,F231=""),"",TRIM(MID(D231,LEN(F231)+1+IF(MID(D231,LEN(F231)+1,1)=" ",1,0),99999)))</f>
        <v/>
      </c>
      <c r="F231" s="6069" t="str">
        <f>IF(OR(G231="",G231=0,G231="0"),"",IF(LEN(G231)&lt;=C231,G231,IF(LEN(SUBSTITUTE(H231," ",""))=C231+1,LEFT(G231,C231),LEFT(G231,FIND("§",SUBSTITUTE(H231," ","§",LEN(H231)-LEN(SUBSTITUTE(H231," ",""))))-1))))</f>
        <v/>
      </c>
      <c r="G231" s="6069" t="str">
        <f t="shared" si="19"/>
        <v/>
      </c>
      <c r="H231" s="6069" t="str">
        <f>IF(OR(G231="",G231=0,G231="0"),"",LEFT(G231,C231+1))</f>
        <v/>
      </c>
      <c r="I231" s="6070" t="str">
        <f t="shared" si="20"/>
        <v/>
      </c>
      <c r="J231" s="6071" t="str">
        <f t="shared" si="21"/>
        <v/>
      </c>
      <c r="K231" s="6072" t="str">
        <f>IF(LEN(TRIM(L231))&gt;0,MAX(K46:K230)+1,"")</f>
        <v/>
      </c>
      <c r="L231" s="200"/>
      <c r="M231" s="6116"/>
      <c r="N231" s="6116"/>
      <c r="O231" s="2230"/>
      <c r="P231" s="2252"/>
      <c r="Q231" s="2237"/>
      <c r="R231" s="2237"/>
      <c r="S231" s="2237"/>
      <c r="T231" s="2237"/>
      <c r="U231" s="2240"/>
      <c r="V231" s="2241"/>
      <c r="W231" s="2239"/>
      <c r="X231" s="2242"/>
      <c r="Y231" s="2243"/>
      <c r="Z231" s="2251"/>
      <c r="AA231" s="2244"/>
      <c r="AB231" s="2245"/>
      <c r="AC231" s="2246"/>
      <c r="AD231" s="2247"/>
      <c r="AE231" s="2248"/>
      <c r="AF231" s="2249"/>
      <c r="AG231" s="2249"/>
      <c r="AH231" s="2238"/>
      <c r="AI231" s="2257"/>
      <c r="AJ231" s="2230"/>
      <c r="AK231" s="2230"/>
      <c r="AL231" s="3">
        <v>1</v>
      </c>
    </row>
    <row r="232" spans="1:38" ht="21" customHeight="1">
      <c r="A232" s="2230"/>
      <c r="B232" s="6793"/>
      <c r="C232" s="6074" t="str">
        <f>IF(UPPER(TRIM(C45))="X",C236,C230)</f>
        <v/>
      </c>
      <c r="D232" s="6069" t="str" cm="1">
        <f t="array" ref="D232">IF(ROW()=ROW(D229),C232,INDEX(E229:E242,ROW()-ROW(D229)))</f>
        <v/>
      </c>
      <c r="E232" s="6112" t="str">
        <f>IF(OR(D232="",C231="",C231&lt;=0,F232=""),"",TRIM(MID(D232,LEN(F232)+1+IF(MID(D232,LEN(F232)+1,1)=" ",1,0),99999)))</f>
        <v/>
      </c>
      <c r="F232" s="6069" t="str">
        <f>IF(OR(G232="",G232=0,G232="0"),"",IF(LEN(G232)&lt;=C231,G232,IF(LEN(SUBSTITUTE(H232," ",""))=C231+1,LEFT(G232,C231),LEFT(G232,FIND("§",SUBSTITUTE(H232," ","§",LEN(H232)-LEN(SUBSTITUTE(H232," ",""))))-1))))</f>
        <v/>
      </c>
      <c r="G232" s="6069" t="str">
        <f t="shared" si="19"/>
        <v/>
      </c>
      <c r="H232" s="6069" t="str">
        <f>IF(OR(G232="",G232=0,G232="0"),"",LEFT(G232,C231+1))</f>
        <v/>
      </c>
      <c r="I232" s="6070" t="str">
        <f t="shared" si="20"/>
        <v/>
      </c>
      <c r="J232" s="6071" t="str">
        <f t="shared" si="21"/>
        <v/>
      </c>
      <c r="K232" s="6072" t="str">
        <f>IF(LEN(TRIM(L232))&gt;0,MAX(K46:K231)+1,"")</f>
        <v/>
      </c>
      <c r="L232" s="200"/>
      <c r="M232" s="6116"/>
      <c r="N232" s="6116"/>
      <c r="O232" s="2230"/>
      <c r="P232" s="2252"/>
      <c r="Q232" s="2237"/>
      <c r="R232" s="2237"/>
      <c r="S232" s="2237"/>
      <c r="T232" s="2237"/>
      <c r="U232" s="2240"/>
      <c r="V232" s="2241"/>
      <c r="W232" s="2239"/>
      <c r="X232" s="2242"/>
      <c r="Y232" s="2243"/>
      <c r="Z232" s="2251"/>
      <c r="AA232" s="2244"/>
      <c r="AB232" s="2245"/>
      <c r="AC232" s="2246"/>
      <c r="AD232" s="2247"/>
      <c r="AE232" s="2248"/>
      <c r="AF232" s="2249"/>
      <c r="AG232" s="2249"/>
      <c r="AH232" s="2238"/>
      <c r="AI232" s="2257"/>
      <c r="AJ232" s="2230"/>
      <c r="AK232" s="2230"/>
      <c r="AL232" s="3">
        <v>1</v>
      </c>
    </row>
    <row r="233" spans="1:38" ht="21" customHeight="1">
      <c r="A233" s="2230"/>
      <c r="B233" s="6793"/>
      <c r="C233" s="6074" t="str">
        <f>TRIM(SUBSTITUTE(SUBSTITUTE(SUBSTITUTE(SUBSTITUTE(SUBSTITUTE(SUBSTITUTE(SUBSTITUTE(SUBSTITUTE(SUBSTITUTE(SUBSTITUTE(C230,","," "),";"," "),":"," "),"!"," "),"?"," "),"…"," "),"»"," "),"«"," "),"/"," "),"."," "))</f>
        <v/>
      </c>
      <c r="D233" s="6069" t="str" cm="1">
        <f t="array" ref="D233">IF(ROW()=ROW(D229),C232,INDEX(E229:E242,ROW()-ROW(D229)))</f>
        <v/>
      </c>
      <c r="E233" s="6112" t="str">
        <f>IF(OR(D233="",C231="",C231&lt;=0,F233=""),"",TRIM(MID(D233,LEN(F233)+1+IF(MID(D233,LEN(F233)+1,1)=" ",1,0),99999)))</f>
        <v/>
      </c>
      <c r="F233" s="6069" t="str">
        <f>IF(OR(G233="",G233=0,G233="0"),"",IF(LEN(G233)&lt;=C231,G233,IF(LEN(SUBSTITUTE(H233," ",""))=C231+1,LEFT(G233,C231),LEFT(G233,FIND("§",SUBSTITUTE(H233," ","§",LEN(H233)-LEN(SUBSTITUTE(H233," ",""))))-1))))</f>
        <v/>
      </c>
      <c r="G233" s="6069" t="str">
        <f t="shared" si="19"/>
        <v/>
      </c>
      <c r="H233" s="6069" t="str">
        <f>IF(OR(G233="",G233=0,G233="0"),"",LEFT(G233,C231+1))</f>
        <v/>
      </c>
      <c r="I233" s="6070" t="str">
        <f t="shared" si="20"/>
        <v/>
      </c>
      <c r="J233" s="6071" t="str">
        <f t="shared" si="21"/>
        <v/>
      </c>
      <c r="K233" s="6072" t="str">
        <f>IF(LEN(TRIM(L233))&gt;0,MAX(K46:K232)+1,"")</f>
        <v/>
      </c>
      <c r="L233" s="200"/>
      <c r="M233" s="6116"/>
      <c r="N233" s="6116"/>
      <c r="O233" s="2230"/>
      <c r="P233" s="2252"/>
      <c r="Q233" s="2237"/>
      <c r="R233" s="2237"/>
      <c r="S233" s="2237"/>
      <c r="T233" s="2237"/>
      <c r="U233" s="2240"/>
      <c r="V233" s="2241"/>
      <c r="W233" s="2239"/>
      <c r="X233" s="2242"/>
      <c r="Y233" s="2243"/>
      <c r="Z233" s="2251"/>
      <c r="AA233" s="2244"/>
      <c r="AB233" s="2245"/>
      <c r="AC233" s="2246"/>
      <c r="AD233" s="2247"/>
      <c r="AE233" s="2248"/>
      <c r="AF233" s="2249"/>
      <c r="AG233" s="2249"/>
      <c r="AH233" s="2238"/>
      <c r="AI233" s="2257"/>
      <c r="AJ233" s="2230"/>
      <c r="AK233" s="2230"/>
      <c r="AL233" s="3">
        <v>1</v>
      </c>
    </row>
    <row r="234" spans="1:38" ht="21" customHeight="1">
      <c r="A234" s="2230"/>
      <c r="B234" s="6793"/>
      <c r="C234" s="6069" t="str">
        <f>TRIM(SUBSTITUTE(SUBSTITUTE(SUBSTITUTE(SUBSTITUTE(SUBSTITUTE(SUBSTITUTE(SUBSTITUTE(SUBSTITUTE(C233,"("," "),")"," "),CHAR(34)," "),"-"," "),"_"," "),"&lt;"," "),"&gt;"," "),"="," "))</f>
        <v/>
      </c>
      <c r="D234" s="6069" t="str" cm="1">
        <f t="array" ref="D234">IF(ROW()=ROW(D229),C232,INDEX(E229:E242,ROW()-ROW(D229)))</f>
        <v/>
      </c>
      <c r="E234" s="6112" t="str">
        <f>IF(OR(D234="",C231="",C231&lt;=0,F234=""),"",TRIM(MID(D234,LEN(F234)+1+IF(MID(D234,LEN(F234)+1,1)=" ",1,0),99999)))</f>
        <v/>
      </c>
      <c r="F234" s="6069" t="str">
        <f>IF(OR(G234="",G234=0,G234="0"),"",IF(LEN(G234)&lt;=C231,G234,IF(LEN(SUBSTITUTE(H234," ",""))=C231+1,LEFT(G234,C231),LEFT(G234,FIND("§",SUBSTITUTE(H234," ","§",LEN(H234)-LEN(SUBSTITUTE(H234," ",""))))-1))))</f>
        <v/>
      </c>
      <c r="G234" s="6069" t="str">
        <f t="shared" si="19"/>
        <v/>
      </c>
      <c r="H234" s="6069" t="str">
        <f>IF(OR(G234="",G234=0,G234="0"),"",LEFT(G234,C231+1))</f>
        <v/>
      </c>
      <c r="I234" s="6070" t="str">
        <f t="shared" si="20"/>
        <v/>
      </c>
      <c r="J234" s="6071" t="str">
        <f t="shared" si="21"/>
        <v/>
      </c>
      <c r="K234" s="6072" t="str">
        <f>IF(LEN(TRIM(L234))&gt;0,MAX(K46:K233)+1,"")</f>
        <v/>
      </c>
      <c r="L234" s="200"/>
      <c r="M234" s="6116"/>
      <c r="N234" s="6116"/>
      <c r="O234" s="2230"/>
      <c r="P234" s="2252"/>
      <c r="Q234" s="2237"/>
      <c r="R234" s="2237"/>
      <c r="S234" s="2237"/>
      <c r="T234" s="2237"/>
      <c r="U234" s="2240"/>
      <c r="V234" s="2241"/>
      <c r="W234" s="2239"/>
      <c r="X234" s="2242"/>
      <c r="Y234" s="2243"/>
      <c r="Z234" s="2251"/>
      <c r="AA234" s="2244"/>
      <c r="AB234" s="2245"/>
      <c r="AC234" s="2246"/>
      <c r="AD234" s="2247"/>
      <c r="AE234" s="2248"/>
      <c r="AF234" s="2249"/>
      <c r="AG234" s="2249"/>
      <c r="AH234" s="2238"/>
      <c r="AI234" s="2257"/>
      <c r="AJ234" s="2230"/>
      <c r="AK234" s="2230"/>
      <c r="AL234" s="3">
        <v>1</v>
      </c>
    </row>
    <row r="235" spans="1:38" ht="21" customHeight="1">
      <c r="A235" s="2230"/>
      <c r="B235" s="6793"/>
      <c r="C235" s="6074" t="str">
        <f>TRIM(SUBSTITUTE(SUBSTITUTE(SUBSTITUTE(SUBSTITUTE(C234,"►"," "),"▼"," "),"▲"," "),"◄"," "))</f>
        <v/>
      </c>
      <c r="D235" s="6069" t="str" cm="1">
        <f t="array" ref="D235">IF(ROW()=ROW(D229),C232,INDEX(E229:E242,ROW()-ROW(D229)))</f>
        <v/>
      </c>
      <c r="E235" s="6112" t="str">
        <f>IF(OR(D235="",C231="",C231&lt;=0,F235=""),"",TRIM(MID(D235,LEN(F235)+1+IF(MID(D235,LEN(F235)+1,1)=" ",1,0),99999)))</f>
        <v/>
      </c>
      <c r="F235" s="6069" t="str">
        <f>IF(OR(G235="",G235=0,G235="0"),"",IF(LEN(G235)&lt;=C231,G235,IF(LEN(SUBSTITUTE(H235," ",""))=C231+1,LEFT(G235,C231),LEFT(G235,FIND("§",SUBSTITUTE(H235," ","§",LEN(H235)-LEN(SUBSTITUTE(H235," ",""))))-1))))</f>
        <v/>
      </c>
      <c r="G235" s="6069" t="str">
        <f t="shared" si="19"/>
        <v/>
      </c>
      <c r="H235" s="6069" t="str">
        <f>IF(OR(G235="",G235=0,G235="0"),"",LEFT(G235,C231+1))</f>
        <v/>
      </c>
      <c r="I235" s="6070" t="str">
        <f t="shared" si="20"/>
        <v/>
      </c>
      <c r="J235" s="6071" t="str">
        <f t="shared" si="21"/>
        <v/>
      </c>
      <c r="K235" s="6072" t="str">
        <f>IF(LEN(TRIM(L235))&gt;0,MAX(K46:K234)+1,"")</f>
        <v/>
      </c>
      <c r="L235" s="200"/>
      <c r="M235" s="6116"/>
      <c r="N235" s="6116"/>
      <c r="O235" s="2230"/>
      <c r="P235" s="2252"/>
      <c r="Q235" s="2237"/>
      <c r="R235" s="2237"/>
      <c r="S235" s="2237"/>
      <c r="T235" s="2237"/>
      <c r="U235" s="2240"/>
      <c r="V235" s="2241"/>
      <c r="W235" s="2239"/>
      <c r="X235" s="2242"/>
      <c r="Y235" s="2243"/>
      <c r="Z235" s="2251"/>
      <c r="AA235" s="2244"/>
      <c r="AB235" s="2245"/>
      <c r="AC235" s="2246"/>
      <c r="AD235" s="2247"/>
      <c r="AE235" s="2248"/>
      <c r="AF235" s="2249"/>
      <c r="AG235" s="2249"/>
      <c r="AH235" s="2238"/>
      <c r="AI235" s="2257"/>
      <c r="AJ235" s="2230"/>
      <c r="AK235" s="2230"/>
      <c r="AL235" s="3">
        <v>1</v>
      </c>
    </row>
    <row r="236" spans="1:38" ht="21" customHeight="1">
      <c r="A236" s="2230"/>
      <c r="B236" s="6793"/>
      <c r="C236" s="6074" t="str">
        <f>TRIM(SUBSTITUTE(SUBSTITUTE(C235,"“"," "),"”"," "))</f>
        <v/>
      </c>
      <c r="D236" s="6069" t="str" cm="1">
        <f t="array" ref="D236">IF(ROW()=ROW(D229),C232,INDEX(E229:E242,ROW()-ROW(D229)))</f>
        <v/>
      </c>
      <c r="E236" s="6112" t="str">
        <f>IF(OR(D236="",C231="",C231&lt;=0,F236=""),"",TRIM(MID(D236,LEN(F236)+1+IF(MID(D236,LEN(F236)+1,1)=" ",1,0),99999)))</f>
        <v/>
      </c>
      <c r="F236" s="6069" t="str">
        <f>IF(OR(G236="",G236=0,G236="0"),"",IF(LEN(G236)&lt;=C231,G236,IF(LEN(SUBSTITUTE(H236," ",""))=C231+1,LEFT(G236,C231),LEFT(G236,FIND("§",SUBSTITUTE(H236," ","§",LEN(H236)-LEN(SUBSTITUTE(H236," ",""))))-1))))</f>
        <v/>
      </c>
      <c r="G236" s="6069" t="str">
        <f t="shared" si="19"/>
        <v/>
      </c>
      <c r="H236" s="6069" t="str">
        <f>IF(OR(G236="",G236=0,G236="0"),"",LEFT(G236,C231+1))</f>
        <v/>
      </c>
      <c r="I236" s="6070" t="str">
        <f t="shared" si="20"/>
        <v/>
      </c>
      <c r="J236" s="6071" t="str">
        <f t="shared" si="21"/>
        <v/>
      </c>
      <c r="K236" s="6072" t="str">
        <f>IF(LEN(TRIM(L236))&gt;0,MAX(K46:K235)+1,"")</f>
        <v/>
      </c>
      <c r="L236" s="200"/>
      <c r="M236" s="6116"/>
      <c r="N236" s="6116"/>
      <c r="O236" s="2230"/>
      <c r="P236" s="2252"/>
      <c r="Q236" s="2237"/>
      <c r="R236" s="2237"/>
      <c r="S236" s="2237"/>
      <c r="T236" s="2237"/>
      <c r="U236" s="2240"/>
      <c r="V236" s="2241"/>
      <c r="W236" s="2239"/>
      <c r="X236" s="2242"/>
      <c r="Y236" s="2243"/>
      <c r="Z236" s="2251"/>
      <c r="AA236" s="2244"/>
      <c r="AB236" s="2245"/>
      <c r="AC236" s="2246"/>
      <c r="AD236" s="2247"/>
      <c r="AE236" s="2248"/>
      <c r="AF236" s="2249"/>
      <c r="AG236" s="2249"/>
      <c r="AH236" s="2238"/>
      <c r="AI236" s="2257"/>
      <c r="AJ236" s="2230"/>
      <c r="AK236" s="2230"/>
      <c r="AL236" s="3">
        <v>1</v>
      </c>
    </row>
    <row r="237" spans="1:38" ht="21" customHeight="1">
      <c r="A237" s="2230"/>
      <c r="B237" s="6793"/>
      <c r="C237" s="6074"/>
      <c r="D237" s="6069" t="str" cm="1">
        <f t="array" ref="D237">IF(ROW()=ROW(D229),C232,INDEX(E229:E242,ROW()-ROW(D229)))</f>
        <v/>
      </c>
      <c r="E237" s="6112" t="str">
        <f>IF(OR(D237="",C231="",C231&lt;=0,F237=""),"",TRIM(MID(D237,LEN(F237)+1+IF(MID(D237,LEN(F237)+1,1)=" ",1,0),99999)))</f>
        <v/>
      </c>
      <c r="F237" s="6069" t="str">
        <f>IF(OR(G237="",G237=0,G237="0"),"",IF(LEN(G237)&lt;=C231,G237,IF(LEN(SUBSTITUTE(H237," ",""))=C231+1,LEFT(G237,C231),LEFT(G237,FIND("§",SUBSTITUTE(H237," ","§",LEN(H237)-LEN(SUBSTITUTE(H237," ",""))))-1))))</f>
        <v/>
      </c>
      <c r="G237" s="6069" t="str">
        <f t="shared" si="19"/>
        <v/>
      </c>
      <c r="H237" s="6069" t="str">
        <f>IF(OR(G237="",G237=0,G237="0"),"",LEFT(G237,C231+1))</f>
        <v/>
      </c>
      <c r="I237" s="6070" t="str">
        <f t="shared" si="20"/>
        <v/>
      </c>
      <c r="J237" s="6071" t="str">
        <f t="shared" si="21"/>
        <v/>
      </c>
      <c r="K237" s="6072" t="str">
        <f>IF(LEN(TRIM(L237))&gt;0,MAX(K46:K236)+1,"")</f>
        <v/>
      </c>
      <c r="L237" s="200"/>
      <c r="M237" s="6116"/>
      <c r="N237" s="6116"/>
      <c r="O237" s="2230"/>
      <c r="P237" s="2252"/>
      <c r="Q237" s="2237"/>
      <c r="R237" s="2237"/>
      <c r="S237" s="2237"/>
      <c r="T237" s="2237"/>
      <c r="U237" s="2240"/>
      <c r="V237" s="2241"/>
      <c r="W237" s="2239"/>
      <c r="X237" s="2242"/>
      <c r="Y237" s="2243"/>
      <c r="Z237" s="2251"/>
      <c r="AA237" s="2244"/>
      <c r="AB237" s="2245"/>
      <c r="AC237" s="2246"/>
      <c r="AD237" s="2247"/>
      <c r="AE237" s="2248"/>
      <c r="AF237" s="2249"/>
      <c r="AG237" s="2249"/>
      <c r="AH237" s="2238"/>
      <c r="AI237" s="2257"/>
      <c r="AJ237" s="2230"/>
      <c r="AK237" s="2230"/>
      <c r="AL237" s="3">
        <v>1</v>
      </c>
    </row>
    <row r="238" spans="1:38" ht="21" customHeight="1">
      <c r="A238" s="2230"/>
      <c r="B238" s="6793"/>
      <c r="C238" s="6074"/>
      <c r="D238" s="6069" t="str" cm="1">
        <f t="array" ref="D238">IF(ROW()=ROW(D229),C232,INDEX(E229:E242,ROW()-ROW(D229)))</f>
        <v/>
      </c>
      <c r="E238" s="6112" t="str">
        <f>IF(OR(D238="",C231="",C231&lt;=0,F238=""),"",TRIM(MID(D238,LEN(F238)+1+IF(MID(D238,LEN(F238)+1,1)=" ",1,0),99999)))</f>
        <v/>
      </c>
      <c r="F238" s="6069" t="str">
        <f>IF(OR(G238="",G238=0,G238="0"),"",IF(LEN(G238)&lt;=C231,G238,IF(LEN(SUBSTITUTE(H238," ",""))=C231+1,LEFT(G238,C231),LEFT(G238,FIND("§",SUBSTITUTE(H238," ","§",LEN(H238)-LEN(SUBSTITUTE(H238," ",""))))-1))))</f>
        <v/>
      </c>
      <c r="G238" s="6069" t="str">
        <f t="shared" si="19"/>
        <v/>
      </c>
      <c r="H238" s="6069" t="str">
        <f>IF(OR(G238="",G238=0,G238="0"),"",LEFT(G238,C231+1))</f>
        <v/>
      </c>
      <c r="I238" s="6070" t="str">
        <f t="shared" si="20"/>
        <v/>
      </c>
      <c r="J238" s="6071" t="str">
        <f t="shared" si="21"/>
        <v/>
      </c>
      <c r="K238" s="6072" t="str">
        <f>IF(LEN(TRIM(L238))&gt;0,MAX(K46:K237)+1,"")</f>
        <v/>
      </c>
      <c r="L238" s="200"/>
      <c r="M238" s="6116"/>
      <c r="N238" s="6116"/>
      <c r="O238" s="2230"/>
      <c r="P238" s="2252"/>
      <c r="Q238" s="2237"/>
      <c r="R238" s="2237"/>
      <c r="S238" s="2237"/>
      <c r="T238" s="2237"/>
      <c r="U238" s="2240"/>
      <c r="V238" s="2241"/>
      <c r="W238" s="2239"/>
      <c r="X238" s="2242"/>
      <c r="Y238" s="2243"/>
      <c r="Z238" s="2251"/>
      <c r="AA238" s="2244"/>
      <c r="AB238" s="2245"/>
      <c r="AC238" s="2246"/>
      <c r="AD238" s="2247"/>
      <c r="AE238" s="2248"/>
      <c r="AF238" s="2249"/>
      <c r="AG238" s="2249"/>
      <c r="AH238" s="2238"/>
      <c r="AI238" s="2257"/>
      <c r="AJ238" s="2230"/>
      <c r="AK238" s="2230"/>
      <c r="AL238" s="3">
        <v>1</v>
      </c>
    </row>
    <row r="239" spans="1:38" ht="21" customHeight="1">
      <c r="A239" s="2230"/>
      <c r="B239" s="6793"/>
      <c r="C239" s="6074"/>
      <c r="D239" s="6069" t="str" cm="1">
        <f t="array" ref="D239">IF(ROW()=ROW(D229),C232,INDEX(E229:E242,ROW()-ROW(D229)))</f>
        <v/>
      </c>
      <c r="E239" s="6112" t="str">
        <f>IF(OR(D239="",C231="",C231&lt;=0,F239=""),"",TRIM(MID(D239,LEN(F239)+1+IF(MID(D239,LEN(F239)+1,1)=" ",1,0),99999)))</f>
        <v/>
      </c>
      <c r="F239" s="6069" t="str">
        <f>IF(OR(G239="",G239=0,G239="0"),"",IF(LEN(G239)&lt;=C231,G239,IF(LEN(SUBSTITUTE(H239," ",""))=C231+1,LEFT(G239,C231),LEFT(G239,FIND("§",SUBSTITUTE(H239," ","§",LEN(H239)-LEN(SUBSTITUTE(H239," ",""))))-1))))</f>
        <v/>
      </c>
      <c r="G239" s="6069" t="str">
        <f t="shared" ref="G239:G302" si="22">IF(OR(D239="",D239=0),"",TRIM(SUBSTITUTE(SUBSTITUTE(D239,CHAR(160)," "),CHAR(10)," ")))</f>
        <v/>
      </c>
      <c r="H239" s="6069" t="str">
        <f>IF(OR(G239="",G239=0,G239="0"),"",LEFT(G239,C231+1))</f>
        <v/>
      </c>
      <c r="I239" s="6070" t="str">
        <f t="shared" ref="I239:I302" si="23">IF(L239="","",(LEN(TRIM(SUBSTITUTE(L239,CHAR(160)," ")))-LEN(SUBSTITUTE(TRIM(SUBSTITUTE(L239,CHAR(160)," "))," ",""))+1)&amp;" mot"&amp;IF((LEN(TRIM(SUBSTITUTE(L239,CHAR(160)," ")))-LEN(SUBSTITUTE(TRIM(SUBSTITUTE(L239,CHAR(160)," "))," ",""))+1)&gt;1,"s",""))</f>
        <v/>
      </c>
      <c r="J239" s="6071" t="str">
        <f t="shared" ref="J239:J302" si="24">IF(L239="","",LEN(TRIM(SUBSTITUTE(L239,CHAR(160),"")))&amp;" car.")</f>
        <v/>
      </c>
      <c r="K239" s="6072" t="str">
        <f>IF(LEN(TRIM(L239))&gt;0,MAX(K46:K238)+1,"")</f>
        <v/>
      </c>
      <c r="L239" s="200"/>
      <c r="M239" s="6116"/>
      <c r="N239" s="6116"/>
      <c r="O239" s="2230"/>
      <c r="P239" s="2252"/>
      <c r="Q239" s="2237"/>
      <c r="R239" s="2237"/>
      <c r="S239" s="2237"/>
      <c r="T239" s="2237"/>
      <c r="U239" s="2240"/>
      <c r="V239" s="2241"/>
      <c r="W239" s="2239"/>
      <c r="X239" s="2242"/>
      <c r="Y239" s="2243"/>
      <c r="Z239" s="2251"/>
      <c r="AA239" s="2244"/>
      <c r="AB239" s="2245"/>
      <c r="AC239" s="2246"/>
      <c r="AD239" s="2247"/>
      <c r="AE239" s="2248"/>
      <c r="AF239" s="2249"/>
      <c r="AG239" s="2249"/>
      <c r="AH239" s="2238"/>
      <c r="AI239" s="2257"/>
      <c r="AJ239" s="2230"/>
      <c r="AK239" s="2230"/>
      <c r="AL239" s="3">
        <v>1</v>
      </c>
    </row>
    <row r="240" spans="1:38" ht="21" customHeight="1">
      <c r="A240" s="2230"/>
      <c r="B240" s="6793"/>
      <c r="C240" s="6074"/>
      <c r="D240" s="6069" t="str" cm="1">
        <f t="array" ref="D240">IF(ROW()=ROW(D229),C232,INDEX(E229:E242,ROW()-ROW(D229)))</f>
        <v/>
      </c>
      <c r="E240" s="6112" t="str">
        <f>IF(OR(D240="",C231="",C231&lt;=0,F240=""),"",TRIM(MID(D240,LEN(F240)+1+IF(MID(D240,LEN(F240)+1,1)=" ",1,0),99999)))</f>
        <v/>
      </c>
      <c r="F240" s="6069" t="str">
        <f>IF(OR(G240="",G240=0,G240="0"),"",IF(LEN(G240)&lt;=C231,G240,IF(LEN(SUBSTITUTE(H240," ",""))=C231+1,LEFT(G240,C231),LEFT(G240,FIND("§",SUBSTITUTE(H240," ","§",LEN(H240)-LEN(SUBSTITUTE(H240," ",""))))-1))))</f>
        <v/>
      </c>
      <c r="G240" s="6069" t="str">
        <f t="shared" si="22"/>
        <v/>
      </c>
      <c r="H240" s="6069" t="str">
        <f>IF(OR(G240="",G240=0,G240="0"),"",LEFT(G240,C231+1))</f>
        <v/>
      </c>
      <c r="I240" s="6070" t="str">
        <f t="shared" si="23"/>
        <v/>
      </c>
      <c r="J240" s="6071" t="str">
        <f t="shared" si="24"/>
        <v/>
      </c>
      <c r="K240" s="6072" t="str">
        <f>IF(LEN(TRIM(L240))&gt;0,MAX(K46:K239)+1,"")</f>
        <v/>
      </c>
      <c r="L240" s="200"/>
      <c r="M240" s="6116"/>
      <c r="N240" s="6116"/>
      <c r="O240" s="2230"/>
      <c r="P240" s="2252"/>
      <c r="Q240" s="2237"/>
      <c r="R240" s="2237"/>
      <c r="S240" s="2237"/>
      <c r="T240" s="2237"/>
      <c r="U240" s="2240"/>
      <c r="V240" s="2241"/>
      <c r="W240" s="2239"/>
      <c r="X240" s="2242"/>
      <c r="Y240" s="2243"/>
      <c r="Z240" s="2251"/>
      <c r="AA240" s="2244"/>
      <c r="AB240" s="2245"/>
      <c r="AC240" s="2246"/>
      <c r="AD240" s="2247"/>
      <c r="AE240" s="2248"/>
      <c r="AF240" s="2249"/>
      <c r="AG240" s="2249"/>
      <c r="AH240" s="2238"/>
      <c r="AI240" s="2257"/>
      <c r="AJ240" s="2230"/>
      <c r="AK240" s="2230"/>
      <c r="AL240" s="3">
        <v>1</v>
      </c>
    </row>
    <row r="241" spans="1:38" ht="21" customHeight="1">
      <c r="A241" s="2230"/>
      <c r="B241" s="6793"/>
      <c r="C241" s="6074"/>
      <c r="D241" s="6069" t="str" cm="1">
        <f t="array" ref="D241">IF(ROW()=ROW(D229),C232,INDEX(E229:E242,ROW()-ROW(D229)))</f>
        <v/>
      </c>
      <c r="E241" s="6112" t="str">
        <f>IF(OR(D241="",C231="",C231&lt;=0,F241=""),"",TRIM(MID(D241,LEN(F241)+1+IF(MID(D241,LEN(F241)+1,1)=" ",1,0),99999)))</f>
        <v/>
      </c>
      <c r="F241" s="6069" t="str">
        <f>IF(OR(G241="",G241=0,G241="0"),"",IF(LEN(G241)&lt;=C231,G241,IF(LEN(SUBSTITUTE(H241," ",""))=C231+1,LEFT(G241,C231),LEFT(G241,FIND("§",SUBSTITUTE(H241," ","§",LEN(H241)-LEN(SUBSTITUTE(H241," ",""))))-1))))</f>
        <v/>
      </c>
      <c r="G241" s="6069" t="str">
        <f t="shared" si="22"/>
        <v/>
      </c>
      <c r="H241" s="6069" t="str">
        <f>IF(OR(G241="",G241=0,G241="0"),"",LEFT(G241,C231+1))</f>
        <v/>
      </c>
      <c r="I241" s="6070" t="str">
        <f t="shared" si="23"/>
        <v/>
      </c>
      <c r="J241" s="6071" t="str">
        <f t="shared" si="24"/>
        <v/>
      </c>
      <c r="K241" s="6072" t="str">
        <f>IF(LEN(TRIM(L241))&gt;0,MAX(K46:K240)+1,"")</f>
        <v/>
      </c>
      <c r="L241" s="200"/>
      <c r="M241" s="6116"/>
      <c r="N241" s="6116"/>
      <c r="O241" s="2230"/>
      <c r="P241" s="2252"/>
      <c r="Q241" s="2237"/>
      <c r="R241" s="2237"/>
      <c r="S241" s="2237"/>
      <c r="T241" s="2237"/>
      <c r="U241" s="2240"/>
      <c r="V241" s="2241"/>
      <c r="W241" s="2239"/>
      <c r="X241" s="2242"/>
      <c r="Y241" s="2243"/>
      <c r="Z241" s="2251"/>
      <c r="AA241" s="2244"/>
      <c r="AB241" s="2245"/>
      <c r="AC241" s="2246"/>
      <c r="AD241" s="2247"/>
      <c r="AE241" s="2248"/>
      <c r="AF241" s="2249"/>
      <c r="AG241" s="2249"/>
      <c r="AH241" s="2238"/>
      <c r="AI241" s="2257"/>
      <c r="AJ241" s="2230"/>
      <c r="AK241" s="2230"/>
      <c r="AL241" s="3">
        <v>1</v>
      </c>
    </row>
    <row r="242" spans="1:38" ht="21" customHeight="1">
      <c r="A242" s="2230"/>
      <c r="B242" s="6793"/>
      <c r="C242" s="6074"/>
      <c r="D242" s="6069" t="str" cm="1">
        <f t="array" ref="D242">IF(ROW()=ROW(D229),C232,INDEX(E229:E242,ROW()-ROW(D229)))</f>
        <v/>
      </c>
      <c r="E242" s="6112" t="str">
        <f>IF(OR(D242="",C231="",C231&lt;=0,F242=""),"",TRIM(MID(D242,LEN(F242)+1+IF(MID(D242,LEN(F242)+1,1)=" ",1,0),99999)))</f>
        <v/>
      </c>
      <c r="F242" s="6069" t="str">
        <f>IF(OR(G242="",G242=0,G242="0"),"",IF(LEN(G242)&lt;=C231,G242,IF(LEN(SUBSTITUTE(H242," ",""))=C231+1,LEFT(G242,C231),LEFT(G242,FIND("§",SUBSTITUTE(H242," ","§",LEN(H242)-LEN(SUBSTITUTE(H242," ",""))))-1))))</f>
        <v/>
      </c>
      <c r="G242" s="6069" t="str">
        <f t="shared" si="22"/>
        <v/>
      </c>
      <c r="H242" s="6069" t="str">
        <f>IF(OR(G242="",G242=0,G242="0"),"",LEFT(G242,C231+1))</f>
        <v/>
      </c>
      <c r="I242" s="6070" t="str">
        <f t="shared" si="23"/>
        <v/>
      </c>
      <c r="J242" s="6071" t="str">
        <f t="shared" si="24"/>
        <v/>
      </c>
      <c r="K242" s="6072" t="str">
        <f>IF(LEN(TRIM(L242))&gt;0,MAX(K46:K241)+1,"")</f>
        <v/>
      </c>
      <c r="L242" s="200"/>
      <c r="M242" s="6116"/>
      <c r="N242" s="6116"/>
      <c r="O242" s="2230"/>
      <c r="P242" s="2252"/>
      <c r="Q242" s="2237"/>
      <c r="R242" s="2237"/>
      <c r="S242" s="2237"/>
      <c r="T242" s="2237"/>
      <c r="U242" s="2240"/>
      <c r="V242" s="2241"/>
      <c r="W242" s="2239"/>
      <c r="X242" s="2242"/>
      <c r="Y242" s="2243"/>
      <c r="Z242" s="2251"/>
      <c r="AA242" s="2244"/>
      <c r="AB242" s="2245"/>
      <c r="AC242" s="2246"/>
      <c r="AD242" s="2247"/>
      <c r="AE242" s="2248"/>
      <c r="AF242" s="2249"/>
      <c r="AG242" s="2249"/>
      <c r="AH242" s="2238"/>
      <c r="AI242" s="2257"/>
      <c r="AJ242" s="2230"/>
      <c r="AK242" s="2230"/>
      <c r="AL242" s="3">
        <v>1</v>
      </c>
    </row>
    <row r="243" spans="1:38" ht="21" customHeight="1">
      <c r="A243" s="2230"/>
      <c r="B243" s="6793"/>
      <c r="C243" s="6068" t="str">
        <f>IF(TRIM(SUBSTITUTE(M61,CHAR(160),""))="","",M61)</f>
        <v/>
      </c>
      <c r="D243" s="6069" t="str" cm="1">
        <f t="array" ref="D243">IF(ROW()=ROW(D243),C246,INDEX(E243:E256,ROW()-ROW(D243)))</f>
        <v/>
      </c>
      <c r="E243" s="6112" t="str">
        <f>IF(OR(D243="",C245="",C245&lt;=0,F243=""),"",TRIM(MID(D243,LEN(F243)+1+IF(MID(D243,LEN(F243)+1,1)=" ",1,0),99999)))</f>
        <v/>
      </c>
      <c r="F243" s="6069" t="str">
        <f>IF(OR(G243="",G243=0,G243="0"),"",IF(LEN(G243)&lt;=C245,G243,IF(LEN(SUBSTITUTE(H243," ",""))=C245+1,LEFT(G243,C245),LEFT(G243,FIND("§",SUBSTITUTE(H243," ","§",LEN(H243)-LEN(SUBSTITUTE(H243," ",""))))-1))))</f>
        <v/>
      </c>
      <c r="G243" s="6069" t="str">
        <f t="shared" si="22"/>
        <v/>
      </c>
      <c r="H243" s="6069" t="str">
        <f>IF(OR(G243="",G243=0,G243="0"),"",LEFT(G243,C245+1))</f>
        <v/>
      </c>
      <c r="I243" s="6070" t="str">
        <f t="shared" si="23"/>
        <v/>
      </c>
      <c r="J243" s="6071" t="str">
        <f t="shared" si="24"/>
        <v/>
      </c>
      <c r="K243" s="6072" t="str">
        <f>IF(LEN(TRIM(L243))&gt;0,MAX(K46:K242)+1,"")</f>
        <v/>
      </c>
      <c r="L243" s="200"/>
      <c r="M243" s="6116"/>
      <c r="N243" s="6116"/>
      <c r="O243" s="2230"/>
      <c r="P243" s="2252"/>
      <c r="Q243" s="2237"/>
      <c r="R243" s="2237"/>
      <c r="S243" s="2237"/>
      <c r="T243" s="2237"/>
      <c r="U243" s="2240"/>
      <c r="V243" s="2241"/>
      <c r="W243" s="2239"/>
      <c r="X243" s="2242"/>
      <c r="Y243" s="2243"/>
      <c r="Z243" s="2251"/>
      <c r="AA243" s="2244"/>
      <c r="AB243" s="2245"/>
      <c r="AC243" s="2246"/>
      <c r="AD243" s="2247"/>
      <c r="AE243" s="2248"/>
      <c r="AF243" s="2249"/>
      <c r="AG243" s="2249"/>
      <c r="AH243" s="2238"/>
      <c r="AI243" s="2257"/>
      <c r="AJ243" s="2230"/>
      <c r="AK243" s="2230"/>
      <c r="AL243" s="3">
        <v>1</v>
      </c>
    </row>
    <row r="244" spans="1:38" ht="21" customHeight="1">
      <c r="A244" s="2230"/>
      <c r="B244" s="6793"/>
      <c r="C244" s="6074" t="str">
        <f>TRIM(SUBSTITUTE(SUBSTITUTE(SUBSTITUTE(SUBSTITUTE(IF(OR(LEFT(C243,1)="-",LEFT(C243,1)="="),MID(C243,2,99999),C243),CHAR(160)," "),CHAR(9)," "),CHAR(13)&amp;CHAR(10)," "),CHAR(10)," "))</f>
        <v/>
      </c>
      <c r="D244" s="6069" t="str" cm="1">
        <f t="array" ref="D244">IF(ROW()=ROW(D243),C246,INDEX(E243:E256,ROW()-ROW(D243)))</f>
        <v/>
      </c>
      <c r="E244" s="6112" t="str">
        <f>IF(OR(D244="",C245="",C245&lt;=0,F244=""),"",TRIM(MID(D244,LEN(F244)+1+IF(MID(D244,LEN(F244)+1,1)=" ",1,0),99999)))</f>
        <v/>
      </c>
      <c r="F244" s="6069" t="str">
        <f>IF(OR(G244="",G244=0,G244="0"),"",IF(LEN(G244)&lt;=C245,G244,IF(LEN(SUBSTITUTE(H244," ",""))=C245+1,LEFT(G244,C245),LEFT(G244,FIND("§",SUBSTITUTE(H244," ","§",LEN(H244)-LEN(SUBSTITUTE(H244," ",""))))-1))))</f>
        <v/>
      </c>
      <c r="G244" s="6069" t="str">
        <f t="shared" si="22"/>
        <v/>
      </c>
      <c r="H244" s="6069" t="str">
        <f>IF(OR(G244="",G244=0,G244="0"),"",LEFT(G244,C245+1))</f>
        <v/>
      </c>
      <c r="I244" s="6070" t="str">
        <f t="shared" si="23"/>
        <v/>
      </c>
      <c r="J244" s="6071" t="str">
        <f t="shared" si="24"/>
        <v/>
      </c>
      <c r="K244" s="6072" t="str">
        <f>IF(LEN(TRIM(L244))&gt;0,MAX(K46:K243)+1,"")</f>
        <v/>
      </c>
      <c r="L244" s="200"/>
      <c r="M244" s="6116"/>
      <c r="N244" s="6116"/>
      <c r="O244" s="2230"/>
      <c r="P244" s="2252"/>
      <c r="Q244" s="2237"/>
      <c r="R244" s="2237"/>
      <c r="S244" s="2237"/>
      <c r="T244" s="2237"/>
      <c r="U244" s="2240"/>
      <c r="V244" s="2241"/>
      <c r="W244" s="2239"/>
      <c r="X244" s="2242"/>
      <c r="Y244" s="2243"/>
      <c r="Z244" s="2251"/>
      <c r="AA244" s="2244"/>
      <c r="AB244" s="2245"/>
      <c r="AC244" s="2246"/>
      <c r="AD244" s="2247"/>
      <c r="AE244" s="2248"/>
      <c r="AF244" s="2249"/>
      <c r="AG244" s="2249"/>
      <c r="AH244" s="2238"/>
      <c r="AI244" s="2257"/>
      <c r="AJ244" s="2230"/>
      <c r="AK244" s="2230"/>
      <c r="AL244" s="3">
        <v>1</v>
      </c>
    </row>
    <row r="245" spans="1:38" ht="21" customHeight="1">
      <c r="A245" s="2230"/>
      <c r="B245" s="6793"/>
      <c r="C245" s="6075">
        <f>M44</f>
        <v>120</v>
      </c>
      <c r="D245" s="6069" t="str" cm="1">
        <f t="array" ref="D245">IF(ROW()=ROW(D243),C246,INDEX(E243:E256,ROW()-ROW(D243)))</f>
        <v/>
      </c>
      <c r="E245" s="6112" t="str">
        <f>IF(OR(D245="",C245="",C245&lt;=0,F245=""),"",TRIM(MID(D245,LEN(F245)+1+IF(MID(D245,LEN(F245)+1,1)=" ",1,0),99999)))</f>
        <v/>
      </c>
      <c r="F245" s="6069" t="str">
        <f>IF(OR(G245="",G245=0,G245="0"),"",IF(LEN(G245)&lt;=C245,G245,IF(LEN(SUBSTITUTE(H245," ",""))=C245+1,LEFT(G245,C245),LEFT(G245,FIND("§",SUBSTITUTE(H245," ","§",LEN(H245)-LEN(SUBSTITUTE(H245," ",""))))-1))))</f>
        <v/>
      </c>
      <c r="G245" s="6069" t="str">
        <f t="shared" si="22"/>
        <v/>
      </c>
      <c r="H245" s="6069" t="str">
        <f>IF(OR(G245="",G245=0,G245="0"),"",LEFT(G245,C245+1))</f>
        <v/>
      </c>
      <c r="I245" s="6070" t="str">
        <f t="shared" si="23"/>
        <v/>
      </c>
      <c r="J245" s="6071" t="str">
        <f t="shared" si="24"/>
        <v/>
      </c>
      <c r="K245" s="6072" t="str">
        <f>IF(LEN(TRIM(L245))&gt;0,MAX(K46:K244)+1,"")</f>
        <v/>
      </c>
      <c r="L245" s="200"/>
      <c r="M245" s="6116"/>
      <c r="N245" s="6116"/>
      <c r="O245" s="2230"/>
      <c r="P245" s="2252"/>
      <c r="Q245" s="2237"/>
      <c r="R245" s="2237"/>
      <c r="S245" s="2237"/>
      <c r="T245" s="2237"/>
      <c r="U245" s="2240"/>
      <c r="V245" s="2241"/>
      <c r="W245" s="2239"/>
      <c r="X245" s="2242"/>
      <c r="Y245" s="2243"/>
      <c r="Z245" s="2251"/>
      <c r="AA245" s="2244"/>
      <c r="AB245" s="2245"/>
      <c r="AC245" s="2246"/>
      <c r="AD245" s="2247"/>
      <c r="AE245" s="2248"/>
      <c r="AF245" s="2249"/>
      <c r="AG245" s="2249"/>
      <c r="AH245" s="2238"/>
      <c r="AI245" s="2257"/>
      <c r="AJ245" s="2230"/>
      <c r="AK245" s="2230"/>
      <c r="AL245" s="3">
        <v>1</v>
      </c>
    </row>
    <row r="246" spans="1:38" ht="21" customHeight="1">
      <c r="A246" s="2230"/>
      <c r="B246" s="6793"/>
      <c r="C246" s="6074" t="str">
        <f>IF(UPPER(TRIM(C45))="X",C250,C244)</f>
        <v/>
      </c>
      <c r="D246" s="6069" t="str" cm="1">
        <f t="array" ref="D246">IF(ROW()=ROW(D243),C246,INDEX(E243:E256,ROW()-ROW(D243)))</f>
        <v/>
      </c>
      <c r="E246" s="6112" t="str">
        <f>IF(OR(D246="",C245="",C245&lt;=0,F246=""),"",TRIM(MID(D246,LEN(F246)+1+IF(MID(D246,LEN(F246)+1,1)=" ",1,0),99999)))</f>
        <v/>
      </c>
      <c r="F246" s="6069" t="str">
        <f>IF(OR(G246="",G246=0,G246="0"),"",IF(LEN(G246)&lt;=C245,G246,IF(LEN(SUBSTITUTE(H246," ",""))=C245+1,LEFT(G246,C245),LEFT(G246,FIND("§",SUBSTITUTE(H246," ","§",LEN(H246)-LEN(SUBSTITUTE(H246," ",""))))-1))))</f>
        <v/>
      </c>
      <c r="G246" s="6069" t="str">
        <f t="shared" si="22"/>
        <v/>
      </c>
      <c r="H246" s="6069" t="str">
        <f>IF(OR(G246="",G246=0,G246="0"),"",LEFT(G246,C245+1))</f>
        <v/>
      </c>
      <c r="I246" s="6070" t="str">
        <f t="shared" si="23"/>
        <v/>
      </c>
      <c r="J246" s="6071" t="str">
        <f t="shared" si="24"/>
        <v/>
      </c>
      <c r="K246" s="6072" t="str">
        <f>IF(LEN(TRIM(L246))&gt;0,MAX(K46:K245)+1,"")</f>
        <v/>
      </c>
      <c r="L246" s="200"/>
      <c r="M246" s="6116"/>
      <c r="N246" s="6116"/>
      <c r="O246" s="2230"/>
      <c r="P246" s="2252"/>
      <c r="Q246" s="2237"/>
      <c r="R246" s="2237"/>
      <c r="S246" s="2237"/>
      <c r="T246" s="2237"/>
      <c r="U246" s="2240"/>
      <c r="V246" s="2241"/>
      <c r="W246" s="2239"/>
      <c r="X246" s="2242"/>
      <c r="Y246" s="2243"/>
      <c r="Z246" s="2251"/>
      <c r="AA246" s="2244"/>
      <c r="AB246" s="2245"/>
      <c r="AC246" s="2246"/>
      <c r="AD246" s="2247"/>
      <c r="AE246" s="2248"/>
      <c r="AF246" s="2249"/>
      <c r="AG246" s="2249"/>
      <c r="AH246" s="2238"/>
      <c r="AI246" s="2257"/>
      <c r="AJ246" s="2230"/>
      <c r="AK246" s="2230"/>
      <c r="AL246" s="3">
        <v>1</v>
      </c>
    </row>
    <row r="247" spans="1:38" ht="21" customHeight="1">
      <c r="A247" s="2230"/>
      <c r="B247" s="6793"/>
      <c r="C247" s="6074" t="str">
        <f>TRIM(SUBSTITUTE(SUBSTITUTE(SUBSTITUTE(SUBSTITUTE(SUBSTITUTE(SUBSTITUTE(SUBSTITUTE(SUBSTITUTE(SUBSTITUTE(SUBSTITUTE(C244,","," "),";"," "),":"," "),"!"," "),"?"," "),"…"," "),"»"," "),"«"," "),"/"," "),"."," "))</f>
        <v/>
      </c>
      <c r="D247" s="6069" t="str" cm="1">
        <f t="array" ref="D247">IF(ROW()=ROW(D243),C246,INDEX(E243:E256,ROW()-ROW(D243)))</f>
        <v/>
      </c>
      <c r="E247" s="6112" t="str">
        <f>IF(OR(D247="",C245="",C245&lt;=0,F247=""),"",TRIM(MID(D247,LEN(F247)+1+IF(MID(D247,LEN(F247)+1,1)=" ",1,0),99999)))</f>
        <v/>
      </c>
      <c r="F247" s="6069" t="str">
        <f>IF(OR(G247="",G247=0,G247="0"),"",IF(LEN(G247)&lt;=C245,G247,IF(LEN(SUBSTITUTE(H247," ",""))=C245+1,LEFT(G247,C245),LEFT(G247,FIND("§",SUBSTITUTE(H247," ","§",LEN(H247)-LEN(SUBSTITUTE(H247," ",""))))-1))))</f>
        <v/>
      </c>
      <c r="G247" s="6069" t="str">
        <f t="shared" si="22"/>
        <v/>
      </c>
      <c r="H247" s="6069" t="str">
        <f>IF(OR(G247="",G247=0,G247="0"),"",LEFT(G247,C245+1))</f>
        <v/>
      </c>
      <c r="I247" s="6070" t="str">
        <f t="shared" si="23"/>
        <v/>
      </c>
      <c r="J247" s="6071" t="str">
        <f t="shared" si="24"/>
        <v/>
      </c>
      <c r="K247" s="6072" t="str">
        <f>IF(LEN(TRIM(L247))&gt;0,MAX(K46:K246)+1,"")</f>
        <v/>
      </c>
      <c r="L247" s="200"/>
      <c r="M247" s="6116"/>
      <c r="N247" s="6116"/>
      <c r="O247" s="2230"/>
      <c r="P247" s="2252"/>
      <c r="Q247" s="2237"/>
      <c r="R247" s="2237"/>
      <c r="S247" s="2237"/>
      <c r="T247" s="2237"/>
      <c r="U247" s="2240"/>
      <c r="V247" s="2241"/>
      <c r="W247" s="2239"/>
      <c r="X247" s="2242"/>
      <c r="Y247" s="2243"/>
      <c r="Z247" s="2251"/>
      <c r="AA247" s="2244"/>
      <c r="AB247" s="2245"/>
      <c r="AC247" s="2246"/>
      <c r="AD247" s="2247"/>
      <c r="AE247" s="2248"/>
      <c r="AF247" s="2249"/>
      <c r="AG247" s="2249"/>
      <c r="AH247" s="2238"/>
      <c r="AI247" s="2257"/>
      <c r="AJ247" s="2230"/>
      <c r="AK247" s="2230"/>
      <c r="AL247" s="3">
        <v>1</v>
      </c>
    </row>
    <row r="248" spans="1:38" ht="21" customHeight="1">
      <c r="A248" s="2230"/>
      <c r="B248" s="6793"/>
      <c r="C248" s="6069" t="str">
        <f>TRIM(SUBSTITUTE(SUBSTITUTE(SUBSTITUTE(SUBSTITUTE(SUBSTITUTE(SUBSTITUTE(SUBSTITUTE(SUBSTITUTE(C247,"("," "),")"," "),CHAR(34)," "),"-"," "),"_"," "),"&lt;"," "),"&gt;"," "),"="," "))</f>
        <v/>
      </c>
      <c r="D248" s="6069" t="str" cm="1">
        <f t="array" ref="D248">IF(ROW()=ROW(D243),C246,INDEX(E243:E256,ROW()-ROW(D243)))</f>
        <v/>
      </c>
      <c r="E248" s="6112" t="str">
        <f>IF(OR(D248="",C245="",C245&lt;=0,F248=""),"",TRIM(MID(D248,LEN(F248)+1+IF(MID(D248,LEN(F248)+1,1)=" ",1,0),99999)))</f>
        <v/>
      </c>
      <c r="F248" s="6069" t="str">
        <f>IF(OR(G248="",G248=0,G248="0"),"",IF(LEN(G248)&lt;=C245,G248,IF(LEN(SUBSTITUTE(H248," ",""))=C245+1,LEFT(G248,C245),LEFT(G248,FIND("§",SUBSTITUTE(H248," ","§",LEN(H248)-LEN(SUBSTITUTE(H248," ",""))))-1))))</f>
        <v/>
      </c>
      <c r="G248" s="6069" t="str">
        <f t="shared" si="22"/>
        <v/>
      </c>
      <c r="H248" s="6069" t="str">
        <f>IF(OR(G248="",G248=0,G248="0"),"",LEFT(G248,C245+1))</f>
        <v/>
      </c>
      <c r="I248" s="6070" t="str">
        <f t="shared" si="23"/>
        <v/>
      </c>
      <c r="J248" s="6071" t="str">
        <f t="shared" si="24"/>
        <v/>
      </c>
      <c r="K248" s="6072" t="str">
        <f>IF(LEN(TRIM(L248))&gt;0,MAX(K46:K247)+1,"")</f>
        <v/>
      </c>
      <c r="L248" s="200"/>
      <c r="M248" s="6116"/>
      <c r="N248" s="6116"/>
      <c r="O248" s="2230"/>
      <c r="P248" s="2252"/>
      <c r="Q248" s="2237"/>
      <c r="R248" s="2237"/>
      <c r="S248" s="2237"/>
      <c r="T248" s="2237"/>
      <c r="U248" s="2240"/>
      <c r="V248" s="2241"/>
      <c r="W248" s="2239"/>
      <c r="X248" s="2242"/>
      <c r="Y248" s="2243"/>
      <c r="Z248" s="2251"/>
      <c r="AA248" s="2244"/>
      <c r="AB248" s="2245"/>
      <c r="AC248" s="2246"/>
      <c r="AD248" s="2247"/>
      <c r="AE248" s="2248"/>
      <c r="AF248" s="2249"/>
      <c r="AG248" s="2249"/>
      <c r="AH248" s="2238"/>
      <c r="AI248" s="2257"/>
      <c r="AJ248" s="2230"/>
      <c r="AK248" s="2230"/>
      <c r="AL248" s="3">
        <v>1</v>
      </c>
    </row>
    <row r="249" spans="1:38" ht="21" customHeight="1">
      <c r="A249" s="2230"/>
      <c r="B249" s="6793"/>
      <c r="C249" s="6074" t="str">
        <f>TRIM(SUBSTITUTE(SUBSTITUTE(SUBSTITUTE(SUBSTITUTE(C248,"►"," "),"▼"," "),"▲"," "),"◄"," "))</f>
        <v/>
      </c>
      <c r="D249" s="6069" t="str" cm="1">
        <f t="array" ref="D249">IF(ROW()=ROW(D243),C246,INDEX(E243:E256,ROW()-ROW(D243)))</f>
        <v/>
      </c>
      <c r="E249" s="6112" t="str">
        <f>IF(OR(D249="",C245="",C245&lt;=0,F249=""),"",TRIM(MID(D249,LEN(F249)+1+IF(MID(D249,LEN(F249)+1,1)=" ",1,0),99999)))</f>
        <v/>
      </c>
      <c r="F249" s="6069" t="str">
        <f>IF(OR(G249="",G249=0,G249="0"),"",IF(LEN(G249)&lt;=C245,G249,IF(LEN(SUBSTITUTE(H249," ",""))=C245+1,LEFT(G249,C245),LEFT(G249,FIND("§",SUBSTITUTE(H249," ","§",LEN(H249)-LEN(SUBSTITUTE(H249," ",""))))-1))))</f>
        <v/>
      </c>
      <c r="G249" s="6069" t="str">
        <f t="shared" si="22"/>
        <v/>
      </c>
      <c r="H249" s="6069" t="str">
        <f>IF(OR(G249="",G249=0,G249="0"),"",LEFT(G249,C245+1))</f>
        <v/>
      </c>
      <c r="I249" s="6070" t="str">
        <f t="shared" si="23"/>
        <v/>
      </c>
      <c r="J249" s="6071" t="str">
        <f t="shared" si="24"/>
        <v/>
      </c>
      <c r="K249" s="6072" t="str">
        <f>IF(LEN(TRIM(L249))&gt;0,MAX(K46:K248)+1,"")</f>
        <v/>
      </c>
      <c r="L249" s="200"/>
      <c r="M249" s="6116"/>
      <c r="N249" s="6116"/>
      <c r="O249" s="2230"/>
      <c r="P249" s="2252"/>
      <c r="Q249" s="2237"/>
      <c r="R249" s="2237"/>
      <c r="S249" s="2237"/>
      <c r="T249" s="2237"/>
      <c r="U249" s="2240"/>
      <c r="V249" s="2241"/>
      <c r="W249" s="2239"/>
      <c r="X249" s="2242"/>
      <c r="Y249" s="2243"/>
      <c r="Z249" s="2251"/>
      <c r="AA249" s="2244"/>
      <c r="AB249" s="2245"/>
      <c r="AC249" s="2246"/>
      <c r="AD249" s="2247"/>
      <c r="AE249" s="2248"/>
      <c r="AF249" s="2249"/>
      <c r="AG249" s="2249"/>
      <c r="AH249" s="2238"/>
      <c r="AI249" s="2257"/>
      <c r="AJ249" s="2230"/>
      <c r="AK249" s="2230"/>
      <c r="AL249" s="3">
        <v>1</v>
      </c>
    </row>
    <row r="250" spans="1:38" ht="21" customHeight="1">
      <c r="A250" s="2230"/>
      <c r="B250" s="6793"/>
      <c r="C250" s="6074" t="str">
        <f>TRIM(SUBSTITUTE(SUBSTITUTE(C249,"“"," "),"”"," "))</f>
        <v/>
      </c>
      <c r="D250" s="6069" t="str" cm="1">
        <f t="array" ref="D250">IF(ROW()=ROW(D243),C246,INDEX(E243:E256,ROW()-ROW(D243)))</f>
        <v/>
      </c>
      <c r="E250" s="6112" t="str">
        <f>IF(OR(D250="",C245="",C245&lt;=0,F250=""),"",TRIM(MID(D250,LEN(F250)+1+IF(MID(D250,LEN(F250)+1,1)=" ",1,0),99999)))</f>
        <v/>
      </c>
      <c r="F250" s="6069" t="str">
        <f>IF(OR(G250="",G250=0,G250="0"),"",IF(LEN(G250)&lt;=C245,G250,IF(LEN(SUBSTITUTE(H250," ",""))=C245+1,LEFT(G250,C245),LEFT(G250,FIND("§",SUBSTITUTE(H250," ","§",LEN(H250)-LEN(SUBSTITUTE(H250," ",""))))-1))))</f>
        <v/>
      </c>
      <c r="G250" s="6069" t="str">
        <f t="shared" si="22"/>
        <v/>
      </c>
      <c r="H250" s="6069" t="str">
        <f>IF(OR(G250="",G250=0,G250="0"),"",LEFT(G250,C245+1))</f>
        <v/>
      </c>
      <c r="I250" s="6070" t="str">
        <f t="shared" si="23"/>
        <v/>
      </c>
      <c r="J250" s="6071" t="str">
        <f t="shared" si="24"/>
        <v/>
      </c>
      <c r="K250" s="6072" t="str">
        <f>IF(LEN(TRIM(L250))&gt;0,MAX(K46:K249)+1,"")</f>
        <v/>
      </c>
      <c r="L250" s="200"/>
      <c r="M250" s="6116"/>
      <c r="N250" s="6116"/>
      <c r="O250" s="2230"/>
      <c r="P250" s="2252"/>
      <c r="Q250" s="2237"/>
      <c r="R250" s="2237"/>
      <c r="S250" s="2237"/>
      <c r="T250" s="2237"/>
      <c r="U250" s="2240"/>
      <c r="V250" s="2241"/>
      <c r="W250" s="2239"/>
      <c r="X250" s="2242"/>
      <c r="Y250" s="2243"/>
      <c r="Z250" s="2251"/>
      <c r="AA250" s="2244"/>
      <c r="AB250" s="2245"/>
      <c r="AC250" s="2246"/>
      <c r="AD250" s="2247"/>
      <c r="AE250" s="2248"/>
      <c r="AF250" s="2249"/>
      <c r="AG250" s="2249"/>
      <c r="AH250" s="2238"/>
      <c r="AI250" s="2257"/>
      <c r="AJ250" s="2230"/>
      <c r="AK250" s="2230"/>
      <c r="AL250" s="3">
        <v>1</v>
      </c>
    </row>
    <row r="251" spans="1:38" ht="21" customHeight="1">
      <c r="A251" s="2230"/>
      <c r="B251" s="6793"/>
      <c r="C251" s="6074"/>
      <c r="D251" s="6069" t="str" cm="1">
        <f t="array" ref="D251">IF(ROW()=ROW(D243),C246,INDEX(E243:E256,ROW()-ROW(D243)))</f>
        <v/>
      </c>
      <c r="E251" s="6112" t="str">
        <f>IF(OR(D251="",C245="",C245&lt;=0,F251=""),"",TRIM(MID(D251,LEN(F251)+1+IF(MID(D251,LEN(F251)+1,1)=" ",1,0),99999)))</f>
        <v/>
      </c>
      <c r="F251" s="6069" t="str">
        <f>IF(OR(G251="",G251=0,G251="0"),"",IF(LEN(G251)&lt;=C245,G251,IF(LEN(SUBSTITUTE(H251," ",""))=C245+1,LEFT(G251,C245),LEFT(G251,FIND("§",SUBSTITUTE(H251," ","§",LEN(H251)-LEN(SUBSTITUTE(H251," ",""))))-1))))</f>
        <v/>
      </c>
      <c r="G251" s="6069" t="str">
        <f t="shared" si="22"/>
        <v/>
      </c>
      <c r="H251" s="6069" t="str">
        <f>IF(OR(G251="",G251=0,G251="0"),"",LEFT(G251,C245+1))</f>
        <v/>
      </c>
      <c r="I251" s="6070" t="str">
        <f t="shared" si="23"/>
        <v/>
      </c>
      <c r="J251" s="6071" t="str">
        <f t="shared" si="24"/>
        <v/>
      </c>
      <c r="K251" s="6072" t="str">
        <f>IF(LEN(TRIM(L251))&gt;0,MAX(K46:K250)+1,"")</f>
        <v/>
      </c>
      <c r="L251" s="200"/>
      <c r="M251" s="6116"/>
      <c r="N251" s="6116"/>
      <c r="O251" s="2230"/>
      <c r="P251" s="2252"/>
      <c r="Q251" s="2237"/>
      <c r="R251" s="2237"/>
      <c r="S251" s="2237"/>
      <c r="T251" s="2237"/>
      <c r="U251" s="2240"/>
      <c r="V251" s="2241"/>
      <c r="W251" s="2239"/>
      <c r="X251" s="2242"/>
      <c r="Y251" s="2243"/>
      <c r="Z251" s="2251"/>
      <c r="AA251" s="2244"/>
      <c r="AB251" s="2245"/>
      <c r="AC251" s="2246"/>
      <c r="AD251" s="2247"/>
      <c r="AE251" s="2248"/>
      <c r="AF251" s="2249"/>
      <c r="AG251" s="2249"/>
      <c r="AH251" s="2238"/>
      <c r="AI251" s="2257"/>
      <c r="AJ251" s="2230"/>
      <c r="AK251" s="2230"/>
      <c r="AL251" s="3">
        <v>1</v>
      </c>
    </row>
    <row r="252" spans="1:38" ht="21" customHeight="1">
      <c r="A252" s="2230"/>
      <c r="B252" s="6793"/>
      <c r="C252" s="6074"/>
      <c r="D252" s="6069" t="str" cm="1">
        <f t="array" ref="D252">IF(ROW()=ROW(D243),C246,INDEX(E243:E256,ROW()-ROW(D243)))</f>
        <v/>
      </c>
      <c r="E252" s="6112" t="str">
        <f>IF(OR(D252="",C245="",C245&lt;=0,F252=""),"",TRIM(MID(D252,LEN(F252)+1+IF(MID(D252,LEN(F252)+1,1)=" ",1,0),99999)))</f>
        <v/>
      </c>
      <c r="F252" s="6069" t="str">
        <f>IF(OR(G252="",G252=0,G252="0"),"",IF(LEN(G252)&lt;=C245,G252,IF(LEN(SUBSTITUTE(H252," ",""))=C245+1,LEFT(G252,C245),LEFT(G252,FIND("§",SUBSTITUTE(H252," ","§",LEN(H252)-LEN(SUBSTITUTE(H252," ",""))))-1))))</f>
        <v/>
      </c>
      <c r="G252" s="6069" t="str">
        <f t="shared" si="22"/>
        <v/>
      </c>
      <c r="H252" s="6069" t="str">
        <f>IF(OR(G252="",G252=0,G252="0"),"",LEFT(G252,C245+1))</f>
        <v/>
      </c>
      <c r="I252" s="6070" t="str">
        <f t="shared" si="23"/>
        <v/>
      </c>
      <c r="J252" s="6071" t="str">
        <f t="shared" si="24"/>
        <v/>
      </c>
      <c r="K252" s="6072" t="str">
        <f>IF(LEN(TRIM(L252))&gt;0,MAX(K46:K251)+1,"")</f>
        <v/>
      </c>
      <c r="L252" s="200"/>
      <c r="M252" s="6116"/>
      <c r="N252" s="6116"/>
      <c r="O252" s="2230"/>
      <c r="P252" s="2252"/>
      <c r="Q252" s="2237"/>
      <c r="R252" s="2237"/>
      <c r="S252" s="2237"/>
      <c r="T252" s="2237"/>
      <c r="U252" s="2240"/>
      <c r="V252" s="2241"/>
      <c r="W252" s="2239"/>
      <c r="X252" s="2242"/>
      <c r="Y252" s="2243"/>
      <c r="Z252" s="2251"/>
      <c r="AA252" s="2244"/>
      <c r="AB252" s="2245"/>
      <c r="AC252" s="2246"/>
      <c r="AD252" s="2247"/>
      <c r="AE252" s="2248"/>
      <c r="AF252" s="2249"/>
      <c r="AG252" s="2249"/>
      <c r="AH252" s="2238"/>
      <c r="AI252" s="2257"/>
      <c r="AJ252" s="2230"/>
      <c r="AK252" s="2230"/>
      <c r="AL252" s="3">
        <v>1</v>
      </c>
    </row>
    <row r="253" spans="1:38" ht="21" customHeight="1">
      <c r="A253" s="2230"/>
      <c r="B253" s="6793"/>
      <c r="C253" s="6074"/>
      <c r="D253" s="6069" t="str" cm="1">
        <f t="array" ref="D253">IF(ROW()=ROW(D243),C246,INDEX(E243:E256,ROW()-ROW(D243)))</f>
        <v/>
      </c>
      <c r="E253" s="6112" t="str">
        <f>IF(OR(D253="",C245="",C245&lt;=0,F253=""),"",TRIM(MID(D253,LEN(F253)+1+IF(MID(D253,LEN(F253)+1,1)=" ",1,0),99999)))</f>
        <v/>
      </c>
      <c r="F253" s="6069" t="str">
        <f>IF(OR(G253="",G253=0,G253="0"),"",IF(LEN(G253)&lt;=C245,G253,IF(LEN(SUBSTITUTE(H253," ",""))=C245+1,LEFT(G253,C245),LEFT(G253,FIND("§",SUBSTITUTE(H253," ","§",LEN(H253)-LEN(SUBSTITUTE(H253," ",""))))-1))))</f>
        <v/>
      </c>
      <c r="G253" s="6069" t="str">
        <f t="shared" si="22"/>
        <v/>
      </c>
      <c r="H253" s="6069" t="str">
        <f>IF(OR(G253="",G253=0,G253="0"),"",LEFT(G253,C245+1))</f>
        <v/>
      </c>
      <c r="I253" s="6070" t="str">
        <f t="shared" si="23"/>
        <v/>
      </c>
      <c r="J253" s="6071" t="str">
        <f t="shared" si="24"/>
        <v/>
      </c>
      <c r="K253" s="6072" t="str">
        <f>IF(LEN(TRIM(L253))&gt;0,MAX(K46:K252)+1,"")</f>
        <v/>
      </c>
      <c r="L253" s="200"/>
      <c r="M253" s="6116"/>
      <c r="N253" s="6116"/>
      <c r="O253" s="2230"/>
      <c r="P253" s="2252"/>
      <c r="Q253" s="2237"/>
      <c r="R253" s="2237"/>
      <c r="S253" s="2237"/>
      <c r="T253" s="2237"/>
      <c r="U253" s="2240"/>
      <c r="V253" s="2241"/>
      <c r="W253" s="2239"/>
      <c r="X253" s="2242"/>
      <c r="Y253" s="2243"/>
      <c r="Z253" s="2251"/>
      <c r="AA253" s="2244"/>
      <c r="AB253" s="2245"/>
      <c r="AC253" s="2246"/>
      <c r="AD253" s="2247"/>
      <c r="AE253" s="2248"/>
      <c r="AF253" s="2249"/>
      <c r="AG253" s="2249"/>
      <c r="AH253" s="2238"/>
      <c r="AI253" s="2257"/>
      <c r="AJ253" s="2230"/>
      <c r="AK253" s="2230"/>
      <c r="AL253" s="3">
        <v>1</v>
      </c>
    </row>
    <row r="254" spans="1:38" ht="21" customHeight="1">
      <c r="A254" s="2230"/>
      <c r="B254" s="6793"/>
      <c r="C254" s="6074"/>
      <c r="D254" s="6069" t="str" cm="1">
        <f t="array" ref="D254">IF(ROW()=ROW(D243),C246,INDEX(E243:E256,ROW()-ROW(D243)))</f>
        <v/>
      </c>
      <c r="E254" s="6112" t="str">
        <f>IF(OR(D254="",C245="",C245&lt;=0,F254=""),"",TRIM(MID(D254,LEN(F254)+1+IF(MID(D254,LEN(F254)+1,1)=" ",1,0),99999)))</f>
        <v/>
      </c>
      <c r="F254" s="6069" t="str">
        <f>IF(OR(G254="",G254=0,G254="0"),"",IF(LEN(G254)&lt;=C245,G254,IF(LEN(SUBSTITUTE(H254," ",""))=C245+1,LEFT(G254,C245),LEFT(G254,FIND("§",SUBSTITUTE(H254," ","§",LEN(H254)-LEN(SUBSTITUTE(H254," ",""))))-1))))</f>
        <v/>
      </c>
      <c r="G254" s="6069" t="str">
        <f t="shared" si="22"/>
        <v/>
      </c>
      <c r="H254" s="6069" t="str">
        <f>IF(OR(G254="",G254=0,G254="0"),"",LEFT(G254,C245+1))</f>
        <v/>
      </c>
      <c r="I254" s="6070" t="str">
        <f t="shared" si="23"/>
        <v/>
      </c>
      <c r="J254" s="6071" t="str">
        <f t="shared" si="24"/>
        <v/>
      </c>
      <c r="K254" s="6072" t="str">
        <f>IF(LEN(TRIM(L254))&gt;0,MAX(K46:K253)+1,"")</f>
        <v/>
      </c>
      <c r="L254" s="200"/>
      <c r="M254" s="6116"/>
      <c r="N254" s="6116"/>
      <c r="O254" s="2230"/>
      <c r="P254" s="2252"/>
      <c r="Q254" s="2237"/>
      <c r="R254" s="2237"/>
      <c r="S254" s="2237"/>
      <c r="T254" s="2237"/>
      <c r="U254" s="2240"/>
      <c r="V254" s="2241"/>
      <c r="W254" s="2239"/>
      <c r="X254" s="2242"/>
      <c r="Y254" s="2243"/>
      <c r="Z254" s="2251"/>
      <c r="AA254" s="2244"/>
      <c r="AB254" s="2245"/>
      <c r="AC254" s="2246"/>
      <c r="AD254" s="2247"/>
      <c r="AE254" s="2248"/>
      <c r="AF254" s="2249"/>
      <c r="AG254" s="2249"/>
      <c r="AH254" s="2238"/>
      <c r="AI254" s="2257"/>
      <c r="AJ254" s="2230"/>
      <c r="AK254" s="2230"/>
      <c r="AL254" s="3">
        <v>1</v>
      </c>
    </row>
    <row r="255" spans="1:38" ht="21" customHeight="1">
      <c r="A255" s="2230"/>
      <c r="B255" s="6793"/>
      <c r="C255" s="6074"/>
      <c r="D255" s="6069" t="str" cm="1">
        <f t="array" ref="D255">IF(ROW()=ROW(D243),C246,INDEX(E243:E256,ROW()-ROW(D243)))</f>
        <v/>
      </c>
      <c r="E255" s="6112" t="str">
        <f>IF(OR(D255="",C245="",C245&lt;=0,F255=""),"",TRIM(MID(D255,LEN(F255)+1+IF(MID(D255,LEN(F255)+1,1)=" ",1,0),99999)))</f>
        <v/>
      </c>
      <c r="F255" s="6069" t="str">
        <f>IF(OR(G255="",G255=0,G255="0"),"",IF(LEN(G255)&lt;=C245,G255,IF(LEN(SUBSTITUTE(H255," ",""))=C245+1,LEFT(G255,C245),LEFT(G255,FIND("§",SUBSTITUTE(H255," ","§",LEN(H255)-LEN(SUBSTITUTE(H255," ",""))))-1))))</f>
        <v/>
      </c>
      <c r="G255" s="6069" t="str">
        <f t="shared" si="22"/>
        <v/>
      </c>
      <c r="H255" s="6069" t="str">
        <f>IF(OR(G255="",G255=0,G255="0"),"",LEFT(G255,C245+1))</f>
        <v/>
      </c>
      <c r="I255" s="6070" t="str">
        <f t="shared" si="23"/>
        <v/>
      </c>
      <c r="J255" s="6071" t="str">
        <f t="shared" si="24"/>
        <v/>
      </c>
      <c r="K255" s="6072" t="str">
        <f>IF(LEN(TRIM(L255))&gt;0,MAX(K46:K254)+1,"")</f>
        <v/>
      </c>
      <c r="L255" s="200"/>
      <c r="M255" s="6116"/>
      <c r="N255" s="6116"/>
      <c r="O255" s="2230"/>
      <c r="P255" s="2252"/>
      <c r="Q255" s="2237"/>
      <c r="R255" s="2237"/>
      <c r="S255" s="2237"/>
      <c r="T255" s="2237"/>
      <c r="U255" s="2240"/>
      <c r="V255" s="2241"/>
      <c r="W255" s="2239"/>
      <c r="X255" s="2242"/>
      <c r="Y255" s="2243"/>
      <c r="Z255" s="2251"/>
      <c r="AA255" s="2244"/>
      <c r="AB255" s="2245"/>
      <c r="AC255" s="2246"/>
      <c r="AD255" s="2247"/>
      <c r="AE255" s="2248"/>
      <c r="AF255" s="2249"/>
      <c r="AG255" s="2249"/>
      <c r="AH255" s="2238"/>
      <c r="AI255" s="2257"/>
      <c r="AJ255" s="2230"/>
      <c r="AK255" s="2230"/>
      <c r="AL255" s="3">
        <v>1</v>
      </c>
    </row>
    <row r="256" spans="1:38" ht="21" customHeight="1">
      <c r="A256" s="2230"/>
      <c r="B256" s="6793"/>
      <c r="C256" s="6074"/>
      <c r="D256" s="6069" t="str" cm="1">
        <f t="array" ref="D256">IF(ROW()=ROW(D243),C246,INDEX(E243:E256,ROW()-ROW(D243)))</f>
        <v/>
      </c>
      <c r="E256" s="6112" t="str">
        <f>IF(OR(D256="",C245="",C245&lt;=0,F256=""),"",TRIM(MID(D256,LEN(F256)+1+IF(MID(D256,LEN(F256)+1,1)=" ",1,0),99999)))</f>
        <v/>
      </c>
      <c r="F256" s="6069" t="str">
        <f>IF(OR(G256="",G256=0,G256="0"),"",IF(LEN(G256)&lt;=C245,G256,IF(LEN(SUBSTITUTE(H256," ",""))=C245+1,LEFT(G256,C245),LEFT(G256,FIND("§",SUBSTITUTE(H256," ","§",LEN(H256)-LEN(SUBSTITUTE(H256," ",""))))-1))))</f>
        <v/>
      </c>
      <c r="G256" s="6069" t="str">
        <f t="shared" si="22"/>
        <v/>
      </c>
      <c r="H256" s="6069" t="str">
        <f>IF(OR(G256="",G256=0,G256="0"),"",LEFT(G256,C245+1))</f>
        <v/>
      </c>
      <c r="I256" s="6070" t="str">
        <f t="shared" si="23"/>
        <v/>
      </c>
      <c r="J256" s="6071" t="str">
        <f t="shared" si="24"/>
        <v/>
      </c>
      <c r="K256" s="6072" t="str">
        <f>IF(LEN(TRIM(L256))&gt;0,MAX(K46:K255)+1,"")</f>
        <v/>
      </c>
      <c r="L256" s="200"/>
      <c r="M256" s="6116"/>
      <c r="N256" s="6116"/>
      <c r="O256" s="2230"/>
      <c r="P256" s="2252"/>
      <c r="Q256" s="2237"/>
      <c r="R256" s="2237"/>
      <c r="S256" s="2237"/>
      <c r="T256" s="2237"/>
      <c r="U256" s="2240"/>
      <c r="V256" s="2241"/>
      <c r="W256" s="2239"/>
      <c r="X256" s="2242"/>
      <c r="Y256" s="2243"/>
      <c r="Z256" s="2251"/>
      <c r="AA256" s="2244"/>
      <c r="AB256" s="2245"/>
      <c r="AC256" s="2246"/>
      <c r="AD256" s="2247"/>
      <c r="AE256" s="2248"/>
      <c r="AF256" s="2249"/>
      <c r="AG256" s="2249"/>
      <c r="AH256" s="2238"/>
      <c r="AI256" s="2257"/>
      <c r="AJ256" s="2230"/>
      <c r="AK256" s="2230"/>
      <c r="AL256" s="3">
        <v>1</v>
      </c>
    </row>
    <row r="257" spans="1:38" ht="21" customHeight="1">
      <c r="A257" s="2230"/>
      <c r="B257" s="6793"/>
      <c r="C257" s="6068" t="str">
        <f>IF(TRIM(SUBSTITUTE(M62,CHAR(160),""))="","",M62)</f>
        <v/>
      </c>
      <c r="D257" s="6069" t="str" cm="1">
        <f t="array" ref="D257">IF(ROW()=ROW(D257),C260,INDEX(E257:E270,ROW()-ROW(D257)))</f>
        <v/>
      </c>
      <c r="E257" s="6112" t="str">
        <f>IF(OR(D257="",C259="",C259&lt;=0,F257=""),"",TRIM(MID(D257,LEN(F257)+1+IF(MID(D257,LEN(F257)+1,1)=" ",1,0),99999)))</f>
        <v/>
      </c>
      <c r="F257" s="6069" t="str">
        <f>IF(OR(G257="",G257=0,G257="0"),"",IF(LEN(G257)&lt;=C259,G257,IF(LEN(SUBSTITUTE(H257," ",""))=C259+1,LEFT(G257,C259),LEFT(G257,FIND("§",SUBSTITUTE(H257," ","§",LEN(H257)-LEN(SUBSTITUTE(H257," ",""))))-1))))</f>
        <v/>
      </c>
      <c r="G257" s="6069" t="str">
        <f t="shared" si="22"/>
        <v/>
      </c>
      <c r="H257" s="6069" t="str">
        <f>IF(OR(G257="",G257=0,G257="0"),"",LEFT(G257,C259+1))</f>
        <v/>
      </c>
      <c r="I257" s="6070" t="str">
        <f t="shared" si="23"/>
        <v/>
      </c>
      <c r="J257" s="6071" t="str">
        <f t="shared" si="24"/>
        <v/>
      </c>
      <c r="K257" s="6072" t="str">
        <f>IF(LEN(TRIM(L257))&gt;0,MAX(K46:K256)+1,"")</f>
        <v/>
      </c>
      <c r="L257" s="200"/>
      <c r="M257" s="6116"/>
      <c r="N257" s="6116"/>
      <c r="O257" s="2230"/>
      <c r="P257" s="2252"/>
      <c r="Q257" s="2237"/>
      <c r="R257" s="2237"/>
      <c r="S257" s="2237"/>
      <c r="T257" s="2237"/>
      <c r="U257" s="2240"/>
      <c r="V257" s="2241"/>
      <c r="W257" s="2239"/>
      <c r="X257" s="2242"/>
      <c r="Y257" s="2243"/>
      <c r="Z257" s="2251"/>
      <c r="AA257" s="2244"/>
      <c r="AB257" s="2245"/>
      <c r="AC257" s="2246"/>
      <c r="AD257" s="2247"/>
      <c r="AE257" s="2248"/>
      <c r="AF257" s="2249"/>
      <c r="AG257" s="2249"/>
      <c r="AH257" s="2238"/>
      <c r="AI257" s="2257"/>
      <c r="AJ257" s="2230"/>
      <c r="AK257" s="2230"/>
      <c r="AL257" s="3">
        <v>1</v>
      </c>
    </row>
    <row r="258" spans="1:38" ht="21" customHeight="1">
      <c r="A258" s="2230"/>
      <c r="B258" s="6793"/>
      <c r="C258" s="6074" t="str">
        <f>TRIM(SUBSTITUTE(SUBSTITUTE(SUBSTITUTE(SUBSTITUTE(IF(OR(LEFT(C257,1)="-",LEFT(C257,1)="="),MID(C257,2,99999),C257),CHAR(160)," "),CHAR(9)," "),CHAR(13)&amp;CHAR(10)," "),CHAR(10)," "))</f>
        <v/>
      </c>
      <c r="D258" s="6069" t="str" cm="1">
        <f t="array" ref="D258">IF(ROW()=ROW(D257),C260,INDEX(E257:E270,ROW()-ROW(D257)))</f>
        <v/>
      </c>
      <c r="E258" s="6112" t="str">
        <f>IF(OR(D258="",C259="",C259&lt;=0,F258=""),"",TRIM(MID(D258,LEN(F258)+1+IF(MID(D258,LEN(F258)+1,1)=" ",1,0),99999)))</f>
        <v/>
      </c>
      <c r="F258" s="6069" t="str">
        <f>IF(OR(G258="",G258=0,G258="0"),"",IF(LEN(G258)&lt;=C259,G258,IF(LEN(SUBSTITUTE(H258," ",""))=C259+1,LEFT(G258,C259),LEFT(G258,FIND("§",SUBSTITUTE(H258," ","§",LEN(H258)-LEN(SUBSTITUTE(H258," ",""))))-1))))</f>
        <v/>
      </c>
      <c r="G258" s="6069" t="str">
        <f t="shared" si="22"/>
        <v/>
      </c>
      <c r="H258" s="6069" t="str">
        <f>IF(OR(G258="",G258=0,G258="0"),"",LEFT(G258,C259+1))</f>
        <v/>
      </c>
      <c r="I258" s="6070" t="str">
        <f t="shared" si="23"/>
        <v/>
      </c>
      <c r="J258" s="6071" t="str">
        <f t="shared" si="24"/>
        <v/>
      </c>
      <c r="K258" s="6072" t="str">
        <f>IF(LEN(TRIM(L258))&gt;0,MAX(K46:K257)+1,"")</f>
        <v/>
      </c>
      <c r="L258" s="200"/>
      <c r="M258" s="6116"/>
      <c r="N258" s="6116"/>
      <c r="O258" s="2230"/>
      <c r="P258" s="2252"/>
      <c r="Q258" s="2237"/>
      <c r="R258" s="2237"/>
      <c r="S258" s="2237"/>
      <c r="T258" s="2237"/>
      <c r="U258" s="2240"/>
      <c r="V258" s="2241"/>
      <c r="W258" s="2239"/>
      <c r="X258" s="2242"/>
      <c r="Y258" s="2243"/>
      <c r="Z258" s="2251"/>
      <c r="AA258" s="2244"/>
      <c r="AB258" s="2245"/>
      <c r="AC258" s="2246"/>
      <c r="AD258" s="2247"/>
      <c r="AE258" s="2248"/>
      <c r="AF258" s="2249"/>
      <c r="AG258" s="2249"/>
      <c r="AH258" s="2238"/>
      <c r="AI258" s="2257"/>
      <c r="AJ258" s="2230"/>
      <c r="AK258" s="2230"/>
      <c r="AL258" s="3">
        <v>1</v>
      </c>
    </row>
    <row r="259" spans="1:38" ht="21" customHeight="1">
      <c r="A259" s="2230"/>
      <c r="B259" s="6793"/>
      <c r="C259" s="6075">
        <f>M44</f>
        <v>120</v>
      </c>
      <c r="D259" s="6069" t="str" cm="1">
        <f t="array" ref="D259">IF(ROW()=ROW(D257),C260,INDEX(E257:E270,ROW()-ROW(D257)))</f>
        <v/>
      </c>
      <c r="E259" s="6112" t="str">
        <f>IF(OR(D259="",C259="",C259&lt;=0,F259=""),"",TRIM(MID(D259,LEN(F259)+1+IF(MID(D259,LEN(F259)+1,1)=" ",1,0),99999)))</f>
        <v/>
      </c>
      <c r="F259" s="6069" t="str">
        <f>IF(OR(G259="",G259=0,G259="0"),"",IF(LEN(G259)&lt;=C259,G259,IF(LEN(SUBSTITUTE(H259," ",""))=C259+1,LEFT(G259,C259),LEFT(G259,FIND("§",SUBSTITUTE(H259," ","§",LEN(H259)-LEN(SUBSTITUTE(H259," ",""))))-1))))</f>
        <v/>
      </c>
      <c r="G259" s="6069" t="str">
        <f t="shared" si="22"/>
        <v/>
      </c>
      <c r="H259" s="6069" t="str">
        <f>IF(OR(G259="",G259=0,G259="0"),"",LEFT(G259,C259+1))</f>
        <v/>
      </c>
      <c r="I259" s="6070" t="str">
        <f t="shared" si="23"/>
        <v/>
      </c>
      <c r="J259" s="6071" t="str">
        <f t="shared" si="24"/>
        <v/>
      </c>
      <c r="K259" s="6072" t="str">
        <f>IF(LEN(TRIM(L259))&gt;0,MAX(K46:K258)+1,"")</f>
        <v/>
      </c>
      <c r="L259" s="200"/>
      <c r="M259" s="6116"/>
      <c r="N259" s="6116"/>
      <c r="O259" s="2230"/>
      <c r="P259" s="2252"/>
      <c r="Q259" s="2237"/>
      <c r="R259" s="2237"/>
      <c r="S259" s="2237"/>
      <c r="T259" s="2237"/>
      <c r="U259" s="2240"/>
      <c r="V259" s="2241"/>
      <c r="W259" s="2239"/>
      <c r="X259" s="2242"/>
      <c r="Y259" s="2243"/>
      <c r="Z259" s="2251"/>
      <c r="AA259" s="2244"/>
      <c r="AB259" s="2245"/>
      <c r="AC259" s="2246"/>
      <c r="AD259" s="2247"/>
      <c r="AE259" s="2248"/>
      <c r="AF259" s="2249"/>
      <c r="AG259" s="2249"/>
      <c r="AH259" s="2238"/>
      <c r="AI259" s="2257"/>
      <c r="AJ259" s="2230"/>
      <c r="AK259" s="2230"/>
      <c r="AL259" s="3">
        <v>1</v>
      </c>
    </row>
    <row r="260" spans="1:38" ht="21" customHeight="1">
      <c r="A260" s="2230"/>
      <c r="B260" s="6793"/>
      <c r="C260" s="6074" t="str">
        <f>IF(UPPER(TRIM(C45))="X",C264,C258)</f>
        <v/>
      </c>
      <c r="D260" s="6069" t="str" cm="1">
        <f t="array" ref="D260">IF(ROW()=ROW(D257),C260,INDEX(E257:E270,ROW()-ROW(D257)))</f>
        <v/>
      </c>
      <c r="E260" s="6112" t="str">
        <f>IF(OR(D260="",C259="",C259&lt;=0,F260=""),"",TRIM(MID(D260,LEN(F260)+1+IF(MID(D260,LEN(F260)+1,1)=" ",1,0),99999)))</f>
        <v/>
      </c>
      <c r="F260" s="6069" t="str">
        <f>IF(OR(G260="",G260=0,G260="0"),"",IF(LEN(G260)&lt;=C259,G260,IF(LEN(SUBSTITUTE(H260," ",""))=C259+1,LEFT(G260,C259),LEFT(G260,FIND("§",SUBSTITUTE(H260," ","§",LEN(H260)-LEN(SUBSTITUTE(H260," ",""))))-1))))</f>
        <v/>
      </c>
      <c r="G260" s="6069" t="str">
        <f t="shared" si="22"/>
        <v/>
      </c>
      <c r="H260" s="6069" t="str">
        <f>IF(OR(G260="",G260=0,G260="0"),"",LEFT(G260,C259+1))</f>
        <v/>
      </c>
      <c r="I260" s="6070" t="str">
        <f t="shared" si="23"/>
        <v/>
      </c>
      <c r="J260" s="6071" t="str">
        <f t="shared" si="24"/>
        <v/>
      </c>
      <c r="K260" s="6072" t="str">
        <f>IF(LEN(TRIM(L260))&gt;0,MAX(K46:K259)+1,"")</f>
        <v/>
      </c>
      <c r="L260" s="200"/>
      <c r="M260" s="6116"/>
      <c r="N260" s="6116"/>
      <c r="O260" s="2230"/>
      <c r="P260" s="2252"/>
      <c r="Q260" s="2237"/>
      <c r="R260" s="2237"/>
      <c r="S260" s="2237"/>
      <c r="T260" s="2237"/>
      <c r="U260" s="2240"/>
      <c r="V260" s="2241"/>
      <c r="W260" s="2239"/>
      <c r="X260" s="2242"/>
      <c r="Y260" s="2243"/>
      <c r="Z260" s="2251"/>
      <c r="AA260" s="2244"/>
      <c r="AB260" s="2245"/>
      <c r="AC260" s="2246"/>
      <c r="AD260" s="2247"/>
      <c r="AE260" s="2248"/>
      <c r="AF260" s="2249"/>
      <c r="AG260" s="2249"/>
      <c r="AH260" s="2238"/>
      <c r="AI260" s="2257"/>
      <c r="AJ260" s="2230"/>
      <c r="AK260" s="2230"/>
      <c r="AL260" s="3">
        <v>1</v>
      </c>
    </row>
    <row r="261" spans="1:38" ht="21" customHeight="1">
      <c r="A261" s="2230"/>
      <c r="B261" s="6793"/>
      <c r="C261" s="6074" t="str">
        <f>TRIM(SUBSTITUTE(SUBSTITUTE(SUBSTITUTE(SUBSTITUTE(SUBSTITUTE(SUBSTITUTE(SUBSTITUTE(SUBSTITUTE(SUBSTITUTE(SUBSTITUTE(C258,","," "),";"," "),":"," "),"!"," "),"?"," "),"…"," "),"»"," "),"«"," "),"/"," "),"."," "))</f>
        <v/>
      </c>
      <c r="D261" s="6069" t="str" cm="1">
        <f t="array" ref="D261">IF(ROW()=ROW(D257),C260,INDEX(E257:E270,ROW()-ROW(D257)))</f>
        <v/>
      </c>
      <c r="E261" s="6112" t="str">
        <f>IF(OR(D261="",C259="",C259&lt;=0,F261=""),"",TRIM(MID(D261,LEN(F261)+1+IF(MID(D261,LEN(F261)+1,1)=" ",1,0),99999)))</f>
        <v/>
      </c>
      <c r="F261" s="6069" t="str">
        <f>IF(OR(G261="",G261=0,G261="0"),"",IF(LEN(G261)&lt;=C259,G261,IF(LEN(SUBSTITUTE(H261," ",""))=C259+1,LEFT(G261,C259),LEFT(G261,FIND("§",SUBSTITUTE(H261," ","§",LEN(H261)-LEN(SUBSTITUTE(H261," ",""))))-1))))</f>
        <v/>
      </c>
      <c r="G261" s="6069" t="str">
        <f t="shared" si="22"/>
        <v/>
      </c>
      <c r="H261" s="6069" t="str">
        <f>IF(OR(G261="",G261=0,G261="0"),"",LEFT(G261,C259+1))</f>
        <v/>
      </c>
      <c r="I261" s="6070" t="str">
        <f t="shared" si="23"/>
        <v/>
      </c>
      <c r="J261" s="6071" t="str">
        <f t="shared" si="24"/>
        <v/>
      </c>
      <c r="K261" s="6072" t="str">
        <f>IF(LEN(TRIM(L261))&gt;0,MAX(K46:K260)+1,"")</f>
        <v/>
      </c>
      <c r="L261" s="200"/>
      <c r="M261" s="6116"/>
      <c r="N261" s="6116"/>
      <c r="O261" s="2230"/>
      <c r="P261" s="2252"/>
      <c r="Q261" s="2237"/>
      <c r="R261" s="2237"/>
      <c r="S261" s="2237"/>
      <c r="T261" s="2237"/>
      <c r="U261" s="2240"/>
      <c r="V261" s="2241"/>
      <c r="W261" s="2239"/>
      <c r="X261" s="2242"/>
      <c r="Y261" s="2243"/>
      <c r="Z261" s="2251"/>
      <c r="AA261" s="2244"/>
      <c r="AB261" s="2245"/>
      <c r="AC261" s="2246"/>
      <c r="AD261" s="2247"/>
      <c r="AE261" s="2248"/>
      <c r="AF261" s="2249"/>
      <c r="AG261" s="2249"/>
      <c r="AH261" s="2238"/>
      <c r="AI261" s="2257"/>
      <c r="AJ261" s="2230"/>
      <c r="AK261" s="2230"/>
      <c r="AL261" s="3">
        <v>1</v>
      </c>
    </row>
    <row r="262" spans="1:38" ht="21" customHeight="1">
      <c r="A262" s="2230"/>
      <c r="B262" s="6793"/>
      <c r="C262" s="6069" t="str">
        <f>TRIM(SUBSTITUTE(SUBSTITUTE(SUBSTITUTE(SUBSTITUTE(SUBSTITUTE(SUBSTITUTE(SUBSTITUTE(SUBSTITUTE(C261,"("," "),")"," "),CHAR(34)," "),"-"," "),"_"," "),"&lt;"," "),"&gt;"," "),"="," "))</f>
        <v/>
      </c>
      <c r="D262" s="6069" t="str" cm="1">
        <f t="array" ref="D262">IF(ROW()=ROW(D257),C260,INDEX(E257:E270,ROW()-ROW(D257)))</f>
        <v/>
      </c>
      <c r="E262" s="6112" t="str">
        <f>IF(OR(D262="",C259="",C259&lt;=0,F262=""),"",TRIM(MID(D262,LEN(F262)+1+IF(MID(D262,LEN(F262)+1,1)=" ",1,0),99999)))</f>
        <v/>
      </c>
      <c r="F262" s="6069" t="str">
        <f>IF(OR(G262="",G262=0,G262="0"),"",IF(LEN(G262)&lt;=C259,G262,IF(LEN(SUBSTITUTE(H262," ",""))=C259+1,LEFT(G262,C259),LEFT(G262,FIND("§",SUBSTITUTE(H262," ","§",LEN(H262)-LEN(SUBSTITUTE(H262," ",""))))-1))))</f>
        <v/>
      </c>
      <c r="G262" s="6069" t="str">
        <f t="shared" si="22"/>
        <v/>
      </c>
      <c r="H262" s="6069" t="str">
        <f>IF(OR(G262="",G262=0,G262="0"),"",LEFT(G262,C259+1))</f>
        <v/>
      </c>
      <c r="I262" s="6070" t="str">
        <f t="shared" si="23"/>
        <v/>
      </c>
      <c r="J262" s="6071" t="str">
        <f t="shared" si="24"/>
        <v/>
      </c>
      <c r="K262" s="6072" t="str">
        <f>IF(LEN(TRIM(L262))&gt;0,MAX(K46:K261)+1,"")</f>
        <v/>
      </c>
      <c r="L262" s="200"/>
      <c r="M262" s="6116"/>
      <c r="N262" s="6116"/>
      <c r="O262" s="2230"/>
      <c r="P262" s="2252"/>
      <c r="Q262" s="2237"/>
      <c r="R262" s="2237"/>
      <c r="S262" s="2237"/>
      <c r="T262" s="2237"/>
      <c r="U262" s="2240"/>
      <c r="V262" s="2241"/>
      <c r="W262" s="2239"/>
      <c r="X262" s="2242"/>
      <c r="Y262" s="2243"/>
      <c r="Z262" s="2251"/>
      <c r="AA262" s="2244"/>
      <c r="AB262" s="2245"/>
      <c r="AC262" s="2246"/>
      <c r="AD262" s="2247"/>
      <c r="AE262" s="2248"/>
      <c r="AF262" s="2249"/>
      <c r="AG262" s="2249"/>
      <c r="AH262" s="2238"/>
      <c r="AI262" s="2257"/>
      <c r="AJ262" s="2230"/>
      <c r="AK262" s="2230"/>
      <c r="AL262" s="3">
        <v>1</v>
      </c>
    </row>
    <row r="263" spans="1:38" ht="21" customHeight="1">
      <c r="A263" s="2230"/>
      <c r="B263" s="6793"/>
      <c r="C263" s="6074" t="str">
        <f>TRIM(SUBSTITUTE(SUBSTITUTE(SUBSTITUTE(SUBSTITUTE(C262,"►"," "),"▼"," "),"▲"," "),"◄"," "))</f>
        <v/>
      </c>
      <c r="D263" s="6069" t="str" cm="1">
        <f t="array" ref="D263">IF(ROW()=ROW(D257),C260,INDEX(E257:E270,ROW()-ROW(D257)))</f>
        <v/>
      </c>
      <c r="E263" s="6112" t="str">
        <f>IF(OR(D263="",C259="",C259&lt;=0,F263=""),"",TRIM(MID(D263,LEN(F263)+1+IF(MID(D263,LEN(F263)+1,1)=" ",1,0),99999)))</f>
        <v/>
      </c>
      <c r="F263" s="6069" t="str">
        <f>IF(OR(G263="",G263=0,G263="0"),"",IF(LEN(G263)&lt;=C259,G263,IF(LEN(SUBSTITUTE(H263," ",""))=C259+1,LEFT(G263,C259),LEFT(G263,FIND("§",SUBSTITUTE(H263," ","§",LEN(H263)-LEN(SUBSTITUTE(H263," ",""))))-1))))</f>
        <v/>
      </c>
      <c r="G263" s="6069" t="str">
        <f t="shared" si="22"/>
        <v/>
      </c>
      <c r="H263" s="6069" t="str">
        <f>IF(OR(G263="",G263=0,G263="0"),"",LEFT(G263,C259+1))</f>
        <v/>
      </c>
      <c r="I263" s="6070" t="str">
        <f t="shared" si="23"/>
        <v/>
      </c>
      <c r="J263" s="6071" t="str">
        <f t="shared" si="24"/>
        <v/>
      </c>
      <c r="K263" s="6072" t="str">
        <f>IF(LEN(TRIM(L263))&gt;0,MAX(K46:K262)+1,"")</f>
        <v/>
      </c>
      <c r="L263" s="200"/>
      <c r="M263" s="6116"/>
      <c r="N263" s="6116"/>
      <c r="O263" s="2230"/>
      <c r="P263" s="2252"/>
      <c r="Q263" s="2237"/>
      <c r="R263" s="2237"/>
      <c r="S263" s="2237"/>
      <c r="T263" s="2237"/>
      <c r="U263" s="2240"/>
      <c r="V263" s="2241"/>
      <c r="W263" s="2239"/>
      <c r="X263" s="2242"/>
      <c r="Y263" s="2243"/>
      <c r="Z263" s="2251"/>
      <c r="AA263" s="2244"/>
      <c r="AB263" s="2245"/>
      <c r="AC263" s="2246"/>
      <c r="AD263" s="2247"/>
      <c r="AE263" s="2248"/>
      <c r="AF263" s="2249"/>
      <c r="AG263" s="2249"/>
      <c r="AH263" s="2238"/>
      <c r="AI263" s="2257"/>
      <c r="AJ263" s="2230"/>
      <c r="AK263" s="2230"/>
      <c r="AL263" s="3">
        <v>1</v>
      </c>
    </row>
    <row r="264" spans="1:38" ht="21" customHeight="1">
      <c r="A264" s="2230"/>
      <c r="B264" s="6793"/>
      <c r="C264" s="6074" t="str">
        <f>TRIM(SUBSTITUTE(SUBSTITUTE(C263,"“"," "),"”"," "))</f>
        <v/>
      </c>
      <c r="D264" s="6069" t="str" cm="1">
        <f t="array" ref="D264">IF(ROW()=ROW(D257),C260,INDEX(E257:E270,ROW()-ROW(D257)))</f>
        <v/>
      </c>
      <c r="E264" s="6112" t="str">
        <f>IF(OR(D264="",C259="",C259&lt;=0,F264=""),"",TRIM(MID(D264,LEN(F264)+1+IF(MID(D264,LEN(F264)+1,1)=" ",1,0),99999)))</f>
        <v/>
      </c>
      <c r="F264" s="6069" t="str">
        <f>IF(OR(G264="",G264=0,G264="0"),"",IF(LEN(G264)&lt;=C259,G264,IF(LEN(SUBSTITUTE(H264," ",""))=C259+1,LEFT(G264,C259),LEFT(G264,FIND("§",SUBSTITUTE(H264," ","§",LEN(H264)-LEN(SUBSTITUTE(H264," ",""))))-1))))</f>
        <v/>
      </c>
      <c r="G264" s="6069" t="str">
        <f t="shared" si="22"/>
        <v/>
      </c>
      <c r="H264" s="6069" t="str">
        <f>IF(OR(G264="",G264=0,G264="0"),"",LEFT(G264,C259+1))</f>
        <v/>
      </c>
      <c r="I264" s="6070" t="str">
        <f t="shared" si="23"/>
        <v/>
      </c>
      <c r="J264" s="6071" t="str">
        <f t="shared" si="24"/>
        <v/>
      </c>
      <c r="K264" s="6072" t="str">
        <f>IF(LEN(TRIM(L264))&gt;0,MAX(K46:K263)+1,"")</f>
        <v/>
      </c>
      <c r="L264" s="200"/>
      <c r="M264" s="6116"/>
      <c r="N264" s="6116"/>
      <c r="O264" s="2230"/>
      <c r="P264" s="2252"/>
      <c r="Q264" s="2237"/>
      <c r="R264" s="2237"/>
      <c r="S264" s="2237"/>
      <c r="T264" s="2237"/>
      <c r="U264" s="2240"/>
      <c r="V264" s="2241"/>
      <c r="W264" s="2239"/>
      <c r="X264" s="2242"/>
      <c r="Y264" s="2243"/>
      <c r="Z264" s="2251"/>
      <c r="AA264" s="2244"/>
      <c r="AB264" s="2245"/>
      <c r="AC264" s="2246"/>
      <c r="AD264" s="2247"/>
      <c r="AE264" s="2248"/>
      <c r="AF264" s="2249"/>
      <c r="AG264" s="2249"/>
      <c r="AH264" s="2238"/>
      <c r="AI264" s="2257"/>
      <c r="AJ264" s="2230"/>
      <c r="AK264" s="2230"/>
      <c r="AL264" s="3">
        <v>1</v>
      </c>
    </row>
    <row r="265" spans="1:38" ht="21" customHeight="1">
      <c r="A265" s="2230"/>
      <c r="B265" s="6793"/>
      <c r="C265" s="6074"/>
      <c r="D265" s="6069" t="str" cm="1">
        <f t="array" ref="D265">IF(ROW()=ROW(D257),C260,INDEX(E257:E270,ROW()-ROW(D257)))</f>
        <v/>
      </c>
      <c r="E265" s="6112" t="str">
        <f>IF(OR(D265="",C259="",C259&lt;=0,F265=""),"",TRIM(MID(D265,LEN(F265)+1+IF(MID(D265,LEN(F265)+1,1)=" ",1,0),99999)))</f>
        <v/>
      </c>
      <c r="F265" s="6069" t="str">
        <f>IF(OR(G265="",G265=0,G265="0"),"",IF(LEN(G265)&lt;=C259,G265,IF(LEN(SUBSTITUTE(H265," ",""))=C259+1,LEFT(G265,C259),LEFT(G265,FIND("§",SUBSTITUTE(H265," ","§",LEN(H265)-LEN(SUBSTITUTE(H265," ",""))))-1))))</f>
        <v/>
      </c>
      <c r="G265" s="6069" t="str">
        <f t="shared" si="22"/>
        <v/>
      </c>
      <c r="H265" s="6069" t="str">
        <f>IF(OR(G265="",G265=0,G265="0"),"",LEFT(G265,C259+1))</f>
        <v/>
      </c>
      <c r="I265" s="6070" t="str">
        <f t="shared" si="23"/>
        <v/>
      </c>
      <c r="J265" s="6071" t="str">
        <f t="shared" si="24"/>
        <v/>
      </c>
      <c r="K265" s="6072" t="str">
        <f>IF(LEN(TRIM(L265))&gt;0,MAX(K46:K264)+1,"")</f>
        <v/>
      </c>
      <c r="L265" s="200"/>
      <c r="M265" s="6116"/>
      <c r="N265" s="6116"/>
      <c r="O265" s="2230"/>
      <c r="P265" s="2252"/>
      <c r="Q265" s="2237"/>
      <c r="R265" s="2237"/>
      <c r="S265" s="2237"/>
      <c r="T265" s="2237"/>
      <c r="U265" s="2240"/>
      <c r="V265" s="2241"/>
      <c r="W265" s="2239"/>
      <c r="X265" s="2242"/>
      <c r="Y265" s="2243"/>
      <c r="Z265" s="2251"/>
      <c r="AA265" s="2244"/>
      <c r="AB265" s="2245"/>
      <c r="AC265" s="2246"/>
      <c r="AD265" s="2247"/>
      <c r="AE265" s="2248"/>
      <c r="AF265" s="2249"/>
      <c r="AG265" s="2249"/>
      <c r="AH265" s="2238"/>
      <c r="AI265" s="2257"/>
      <c r="AJ265" s="2230"/>
      <c r="AK265" s="2230"/>
      <c r="AL265" s="3">
        <v>1</v>
      </c>
    </row>
    <row r="266" spans="1:38" ht="21" customHeight="1">
      <c r="A266" s="2230"/>
      <c r="B266" s="6793"/>
      <c r="C266" s="6074"/>
      <c r="D266" s="6069" t="str" cm="1">
        <f t="array" ref="D266">IF(ROW()=ROW(D257),C260,INDEX(E257:E270,ROW()-ROW(D257)))</f>
        <v/>
      </c>
      <c r="E266" s="6112" t="str">
        <f>IF(OR(D266="",C259="",C259&lt;=0,F266=""),"",TRIM(MID(D266,LEN(F266)+1+IF(MID(D266,LEN(F266)+1,1)=" ",1,0),99999)))</f>
        <v/>
      </c>
      <c r="F266" s="6069" t="str">
        <f>IF(OR(G266="",G266=0,G266="0"),"",IF(LEN(G266)&lt;=C259,G266,IF(LEN(SUBSTITUTE(H266," ",""))=C259+1,LEFT(G266,C259),LEFT(G266,FIND("§",SUBSTITUTE(H266," ","§",LEN(H266)-LEN(SUBSTITUTE(H266," ",""))))-1))))</f>
        <v/>
      </c>
      <c r="G266" s="6069" t="str">
        <f t="shared" si="22"/>
        <v/>
      </c>
      <c r="H266" s="6069" t="str">
        <f>IF(OR(G266="",G266=0,G266="0"),"",LEFT(G266,C259+1))</f>
        <v/>
      </c>
      <c r="I266" s="6070" t="str">
        <f t="shared" si="23"/>
        <v/>
      </c>
      <c r="J266" s="6071" t="str">
        <f t="shared" si="24"/>
        <v/>
      </c>
      <c r="K266" s="6072" t="str">
        <f>IF(LEN(TRIM(L266))&gt;0,MAX(K46:K265)+1,"")</f>
        <v/>
      </c>
      <c r="L266" s="200"/>
      <c r="M266" s="6116"/>
      <c r="N266" s="6116"/>
      <c r="O266" s="2230"/>
      <c r="P266" s="2252"/>
      <c r="Q266" s="2237"/>
      <c r="R266" s="2237"/>
      <c r="S266" s="2237"/>
      <c r="T266" s="2237"/>
      <c r="U266" s="2240"/>
      <c r="V266" s="2241"/>
      <c r="W266" s="2239"/>
      <c r="X266" s="2242"/>
      <c r="Y266" s="2243"/>
      <c r="Z266" s="2251"/>
      <c r="AA266" s="2244"/>
      <c r="AB266" s="2245"/>
      <c r="AC266" s="2246"/>
      <c r="AD266" s="2247"/>
      <c r="AE266" s="2248"/>
      <c r="AF266" s="2249"/>
      <c r="AG266" s="2249"/>
      <c r="AH266" s="2238"/>
      <c r="AI266" s="2257"/>
      <c r="AJ266" s="2230"/>
      <c r="AK266" s="2230"/>
      <c r="AL266" s="3">
        <v>1</v>
      </c>
    </row>
    <row r="267" spans="1:38" ht="21" customHeight="1">
      <c r="A267" s="2230"/>
      <c r="B267" s="6793"/>
      <c r="C267" s="6074"/>
      <c r="D267" s="6069" t="str" cm="1">
        <f t="array" ref="D267">IF(ROW()=ROW(D257),C260,INDEX(E257:E270,ROW()-ROW(D257)))</f>
        <v/>
      </c>
      <c r="E267" s="6112" t="str">
        <f>IF(OR(D267="",C259="",C259&lt;=0,F267=""),"",TRIM(MID(D267,LEN(F267)+1+IF(MID(D267,LEN(F267)+1,1)=" ",1,0),99999)))</f>
        <v/>
      </c>
      <c r="F267" s="6069" t="str">
        <f>IF(OR(G267="",G267=0,G267="0"),"",IF(LEN(G267)&lt;=C259,G267,IF(LEN(SUBSTITUTE(H267," ",""))=C259+1,LEFT(G267,C259),LEFT(G267,FIND("§",SUBSTITUTE(H267," ","§",LEN(H267)-LEN(SUBSTITUTE(H267," ",""))))-1))))</f>
        <v/>
      </c>
      <c r="G267" s="6069" t="str">
        <f t="shared" si="22"/>
        <v/>
      </c>
      <c r="H267" s="6069" t="str">
        <f>IF(OR(G267="",G267=0,G267="0"),"",LEFT(G267,C259+1))</f>
        <v/>
      </c>
      <c r="I267" s="6070" t="str">
        <f t="shared" si="23"/>
        <v/>
      </c>
      <c r="J267" s="6071" t="str">
        <f t="shared" si="24"/>
        <v/>
      </c>
      <c r="K267" s="6072" t="str">
        <f>IF(LEN(TRIM(L267))&gt;0,MAX(K46:K266)+1,"")</f>
        <v/>
      </c>
      <c r="L267" s="200"/>
      <c r="M267" s="6116"/>
      <c r="N267" s="6116"/>
      <c r="O267" s="2230"/>
      <c r="P267" s="2252"/>
      <c r="Q267" s="2237"/>
      <c r="R267" s="2237"/>
      <c r="S267" s="2237"/>
      <c r="T267" s="2237"/>
      <c r="U267" s="2240"/>
      <c r="V267" s="2241"/>
      <c r="W267" s="2239"/>
      <c r="X267" s="2242"/>
      <c r="Y267" s="2243"/>
      <c r="Z267" s="2251"/>
      <c r="AA267" s="2244"/>
      <c r="AB267" s="2245"/>
      <c r="AC267" s="2246"/>
      <c r="AD267" s="2247"/>
      <c r="AE267" s="2248"/>
      <c r="AF267" s="2249"/>
      <c r="AG267" s="2249"/>
      <c r="AH267" s="2238"/>
      <c r="AI267" s="2257"/>
      <c r="AJ267" s="2230"/>
      <c r="AK267" s="2230"/>
      <c r="AL267" s="3">
        <v>1</v>
      </c>
    </row>
    <row r="268" spans="1:38" ht="21" customHeight="1">
      <c r="A268" s="2230"/>
      <c r="B268" s="6793"/>
      <c r="C268" s="6074"/>
      <c r="D268" s="6069" t="str" cm="1">
        <f t="array" ref="D268">IF(ROW()=ROW(D257),C260,INDEX(E257:E270,ROW()-ROW(D257)))</f>
        <v/>
      </c>
      <c r="E268" s="6112" t="str">
        <f>IF(OR(D268="",C259="",C259&lt;=0,F268=""),"",TRIM(MID(D268,LEN(F268)+1+IF(MID(D268,LEN(F268)+1,1)=" ",1,0),99999)))</f>
        <v/>
      </c>
      <c r="F268" s="6069" t="str">
        <f>IF(OR(G268="",G268=0,G268="0"),"",IF(LEN(G268)&lt;=C259,G268,IF(LEN(SUBSTITUTE(H268," ",""))=C259+1,LEFT(G268,C259),LEFT(G268,FIND("§",SUBSTITUTE(H268," ","§",LEN(H268)-LEN(SUBSTITUTE(H268," ",""))))-1))))</f>
        <v/>
      </c>
      <c r="G268" s="6069" t="str">
        <f t="shared" si="22"/>
        <v/>
      </c>
      <c r="H268" s="6069" t="str">
        <f>IF(OR(G268="",G268=0,G268="0"),"",LEFT(G268,C259+1))</f>
        <v/>
      </c>
      <c r="I268" s="6070" t="str">
        <f t="shared" si="23"/>
        <v/>
      </c>
      <c r="J268" s="6071" t="str">
        <f t="shared" si="24"/>
        <v/>
      </c>
      <c r="K268" s="6072" t="str">
        <f>IF(LEN(TRIM(L268))&gt;0,MAX(K46:K267)+1,"")</f>
        <v/>
      </c>
      <c r="L268" s="200"/>
      <c r="M268" s="6116"/>
      <c r="N268" s="6116"/>
      <c r="O268" s="2230"/>
      <c r="P268" s="2252"/>
      <c r="Q268" s="2237"/>
      <c r="R268" s="2237"/>
      <c r="S268" s="2237"/>
      <c r="T268" s="2237"/>
      <c r="U268" s="2240"/>
      <c r="V268" s="2241"/>
      <c r="W268" s="2239"/>
      <c r="X268" s="2242"/>
      <c r="Y268" s="2243"/>
      <c r="Z268" s="2251"/>
      <c r="AA268" s="2244"/>
      <c r="AB268" s="2245"/>
      <c r="AC268" s="2246"/>
      <c r="AD268" s="2247"/>
      <c r="AE268" s="2248"/>
      <c r="AF268" s="2249"/>
      <c r="AG268" s="2249"/>
      <c r="AH268" s="2238"/>
      <c r="AI268" s="2257"/>
      <c r="AJ268" s="2230"/>
      <c r="AK268" s="2230"/>
      <c r="AL268" s="3">
        <v>1</v>
      </c>
    </row>
    <row r="269" spans="1:38" ht="21" customHeight="1">
      <c r="A269" s="2230"/>
      <c r="B269" s="6793"/>
      <c r="C269" s="6074"/>
      <c r="D269" s="6069" t="str" cm="1">
        <f t="array" ref="D269">IF(ROW()=ROW(D257),C260,INDEX(E257:E270,ROW()-ROW(D257)))</f>
        <v/>
      </c>
      <c r="E269" s="6112" t="str">
        <f>IF(OR(D269="",C259="",C259&lt;=0,F269=""),"",TRIM(MID(D269,LEN(F269)+1+IF(MID(D269,LEN(F269)+1,1)=" ",1,0),99999)))</f>
        <v/>
      </c>
      <c r="F269" s="6069" t="str">
        <f>IF(OR(G269="",G269=0,G269="0"),"",IF(LEN(G269)&lt;=C259,G269,IF(LEN(SUBSTITUTE(H269," ",""))=C259+1,LEFT(G269,C259),LEFT(G269,FIND("§",SUBSTITUTE(H269," ","§",LEN(H269)-LEN(SUBSTITUTE(H269," ",""))))-1))))</f>
        <v/>
      </c>
      <c r="G269" s="6069" t="str">
        <f t="shared" si="22"/>
        <v/>
      </c>
      <c r="H269" s="6069" t="str">
        <f>IF(OR(G269="",G269=0,G269="0"),"",LEFT(G269,C259+1))</f>
        <v/>
      </c>
      <c r="I269" s="6070" t="str">
        <f t="shared" si="23"/>
        <v/>
      </c>
      <c r="J269" s="6071" t="str">
        <f t="shared" si="24"/>
        <v/>
      </c>
      <c r="K269" s="6072" t="str">
        <f>IF(LEN(TRIM(L269))&gt;0,MAX(K46:K268)+1,"")</f>
        <v/>
      </c>
      <c r="L269" s="200"/>
      <c r="M269" s="6116"/>
      <c r="N269" s="6116"/>
      <c r="O269" s="2230"/>
      <c r="P269" s="2252"/>
      <c r="Q269" s="2237"/>
      <c r="R269" s="2237"/>
      <c r="S269" s="2237"/>
      <c r="T269" s="2237"/>
      <c r="U269" s="2240"/>
      <c r="V269" s="2241"/>
      <c r="W269" s="2239"/>
      <c r="X269" s="2242"/>
      <c r="Y269" s="2243"/>
      <c r="Z269" s="2251"/>
      <c r="AA269" s="2244"/>
      <c r="AB269" s="2245"/>
      <c r="AC269" s="2246"/>
      <c r="AD269" s="2247"/>
      <c r="AE269" s="2248"/>
      <c r="AF269" s="2249"/>
      <c r="AG269" s="2249"/>
      <c r="AH269" s="2238"/>
      <c r="AI269" s="2257"/>
      <c r="AJ269" s="2230"/>
      <c r="AK269" s="2230"/>
      <c r="AL269" s="3">
        <v>1</v>
      </c>
    </row>
    <row r="270" spans="1:38" ht="21" customHeight="1">
      <c r="A270" s="2230"/>
      <c r="B270" s="6793"/>
      <c r="C270" s="6074"/>
      <c r="D270" s="6069" t="str" cm="1">
        <f t="array" ref="D270">IF(ROW()=ROW(D257),C260,INDEX(E257:E270,ROW()-ROW(D257)))</f>
        <v/>
      </c>
      <c r="E270" s="6112" t="str">
        <f>IF(OR(D270="",C259="",C259&lt;=0,F270=""),"",TRIM(MID(D270,LEN(F270)+1+IF(MID(D270,LEN(F270)+1,1)=" ",1,0),99999)))</f>
        <v/>
      </c>
      <c r="F270" s="6069" t="str">
        <f>IF(OR(G270="",G270=0,G270="0"),"",IF(LEN(G270)&lt;=C259,G270,IF(LEN(SUBSTITUTE(H270," ",""))=C259+1,LEFT(G270,C259),LEFT(G270,FIND("§",SUBSTITUTE(H270," ","§",LEN(H270)-LEN(SUBSTITUTE(H270," ",""))))-1))))</f>
        <v/>
      </c>
      <c r="G270" s="6069" t="str">
        <f t="shared" si="22"/>
        <v/>
      </c>
      <c r="H270" s="6069" t="str">
        <f>IF(OR(G270="",G270=0,G270="0"),"",LEFT(G270,C259+1))</f>
        <v/>
      </c>
      <c r="I270" s="6070" t="str">
        <f t="shared" si="23"/>
        <v/>
      </c>
      <c r="J270" s="6071" t="str">
        <f t="shared" si="24"/>
        <v/>
      </c>
      <c r="K270" s="6072" t="str">
        <f>IF(LEN(TRIM(L270))&gt;0,MAX(K46:K269)+1,"")</f>
        <v/>
      </c>
      <c r="L270" s="200"/>
      <c r="M270" s="6116"/>
      <c r="N270" s="6116"/>
      <c r="O270" s="2230"/>
      <c r="P270" s="2252"/>
      <c r="Q270" s="2237"/>
      <c r="R270" s="2237"/>
      <c r="S270" s="2237"/>
      <c r="T270" s="2237"/>
      <c r="U270" s="2240"/>
      <c r="V270" s="2241"/>
      <c r="W270" s="2239"/>
      <c r="X270" s="2242"/>
      <c r="Y270" s="2243"/>
      <c r="Z270" s="2251"/>
      <c r="AA270" s="2244"/>
      <c r="AB270" s="2245"/>
      <c r="AC270" s="2246"/>
      <c r="AD270" s="2247"/>
      <c r="AE270" s="2248"/>
      <c r="AF270" s="2249"/>
      <c r="AG270" s="2249"/>
      <c r="AH270" s="2238"/>
      <c r="AI270" s="2257"/>
      <c r="AJ270" s="2230"/>
      <c r="AK270" s="2230"/>
      <c r="AL270" s="3">
        <v>1</v>
      </c>
    </row>
    <row r="271" spans="1:38" ht="21" customHeight="1">
      <c r="A271" s="2230"/>
      <c r="B271" s="6793"/>
      <c r="C271" s="6068" t="str">
        <f>IF(TRIM(SUBSTITUTE(M63,CHAR(160),""))="","",M63)</f>
        <v/>
      </c>
      <c r="D271" s="6069" t="str" cm="1">
        <f t="array" ref="D271">IF(ROW()=ROW(D271),C274,INDEX(E271:E284,ROW()-ROW(D271)))</f>
        <v/>
      </c>
      <c r="E271" s="6112" t="str">
        <f>IF(OR(D271="",C273="",C273&lt;=0,F271=""),"",TRIM(MID(D271,LEN(F271)+1+IF(MID(D271,LEN(F271)+1,1)=" ",1,0),99999)))</f>
        <v/>
      </c>
      <c r="F271" s="6069" t="str">
        <f>IF(OR(G271="",G271=0,G271="0"),"",IF(LEN(G271)&lt;=C273,G271,IF(LEN(SUBSTITUTE(H271," ",""))=C273+1,LEFT(G271,C273),LEFT(G271,FIND("§",SUBSTITUTE(H271," ","§",LEN(H271)-LEN(SUBSTITUTE(H271," ",""))))-1))))</f>
        <v/>
      </c>
      <c r="G271" s="6069" t="str">
        <f t="shared" si="22"/>
        <v/>
      </c>
      <c r="H271" s="6069" t="str">
        <f>IF(OR(G271="",G271=0,G271="0"),"",LEFT(G271,C273+1))</f>
        <v/>
      </c>
      <c r="I271" s="6070" t="str">
        <f t="shared" si="23"/>
        <v/>
      </c>
      <c r="J271" s="6071" t="str">
        <f t="shared" si="24"/>
        <v/>
      </c>
      <c r="K271" s="6072" t="str">
        <f>IF(LEN(TRIM(L271))&gt;0,MAX(K46:K270)+1,"")</f>
        <v/>
      </c>
      <c r="L271" s="200"/>
      <c r="M271" s="6116"/>
      <c r="N271" s="6116"/>
      <c r="O271" s="2230"/>
      <c r="P271" s="2252"/>
      <c r="Q271" s="2237"/>
      <c r="R271" s="2237"/>
      <c r="S271" s="2237"/>
      <c r="T271" s="2237"/>
      <c r="U271" s="2240"/>
      <c r="V271" s="2241"/>
      <c r="W271" s="2239"/>
      <c r="X271" s="2242"/>
      <c r="Y271" s="2243"/>
      <c r="Z271" s="2251"/>
      <c r="AA271" s="2244"/>
      <c r="AB271" s="2245"/>
      <c r="AC271" s="2246"/>
      <c r="AD271" s="2247"/>
      <c r="AE271" s="2248"/>
      <c r="AF271" s="2249"/>
      <c r="AG271" s="2249"/>
      <c r="AH271" s="2238"/>
      <c r="AI271" s="2257"/>
      <c r="AJ271" s="2230"/>
      <c r="AK271" s="2230"/>
      <c r="AL271" s="3">
        <v>1</v>
      </c>
    </row>
    <row r="272" spans="1:38" ht="21" customHeight="1">
      <c r="A272" s="2230"/>
      <c r="B272" s="6793"/>
      <c r="C272" s="6074" t="str">
        <f>TRIM(SUBSTITUTE(SUBSTITUTE(SUBSTITUTE(SUBSTITUTE(IF(OR(LEFT(C271,1)="-",LEFT(C271,1)="="),MID(C271,2,99999),C271),CHAR(160)," "),CHAR(9)," "),CHAR(13)&amp;CHAR(10)," "),CHAR(10)," "))</f>
        <v/>
      </c>
      <c r="D272" s="6069" t="str" cm="1">
        <f t="array" ref="D272">IF(ROW()=ROW(D271),C274,INDEX(E271:E284,ROW()-ROW(D271)))</f>
        <v/>
      </c>
      <c r="E272" s="6112" t="str">
        <f>IF(OR(D272="",C273="",C273&lt;=0,F272=""),"",TRIM(MID(D272,LEN(F272)+1+IF(MID(D272,LEN(F272)+1,1)=" ",1,0),99999)))</f>
        <v/>
      </c>
      <c r="F272" s="6069" t="str">
        <f>IF(OR(G272="",G272=0,G272="0"),"",IF(LEN(G272)&lt;=C273,G272,IF(LEN(SUBSTITUTE(H272," ",""))=C273+1,LEFT(G272,C273),LEFT(G272,FIND("§",SUBSTITUTE(H272," ","§",LEN(H272)-LEN(SUBSTITUTE(H272," ",""))))-1))))</f>
        <v/>
      </c>
      <c r="G272" s="6069" t="str">
        <f t="shared" si="22"/>
        <v/>
      </c>
      <c r="H272" s="6069" t="str">
        <f>IF(OR(G272="",G272=0,G272="0"),"",LEFT(G272,C273+1))</f>
        <v/>
      </c>
      <c r="I272" s="6070" t="str">
        <f t="shared" si="23"/>
        <v/>
      </c>
      <c r="J272" s="6071" t="str">
        <f t="shared" si="24"/>
        <v/>
      </c>
      <c r="K272" s="6072" t="str">
        <f>IF(LEN(TRIM(L272))&gt;0,MAX(K46:K271)+1,"")</f>
        <v/>
      </c>
      <c r="L272" s="200"/>
      <c r="M272" s="6116"/>
      <c r="N272" s="6116"/>
      <c r="O272" s="2230"/>
      <c r="P272" s="2252"/>
      <c r="Q272" s="2237"/>
      <c r="R272" s="2237"/>
      <c r="S272" s="2237"/>
      <c r="T272" s="2237"/>
      <c r="U272" s="2240"/>
      <c r="V272" s="2241"/>
      <c r="W272" s="2239"/>
      <c r="X272" s="2242"/>
      <c r="Y272" s="2243"/>
      <c r="Z272" s="2251"/>
      <c r="AA272" s="2244"/>
      <c r="AB272" s="2245"/>
      <c r="AC272" s="2246"/>
      <c r="AD272" s="2247"/>
      <c r="AE272" s="2248"/>
      <c r="AF272" s="2249"/>
      <c r="AG272" s="2249"/>
      <c r="AH272" s="2238"/>
      <c r="AI272" s="2257"/>
      <c r="AJ272" s="2230"/>
      <c r="AK272" s="2230"/>
      <c r="AL272" s="3">
        <v>1</v>
      </c>
    </row>
    <row r="273" spans="1:38" ht="21" customHeight="1">
      <c r="A273" s="2230"/>
      <c r="B273" s="6793"/>
      <c r="C273" s="6075">
        <f>M44</f>
        <v>120</v>
      </c>
      <c r="D273" s="6069" t="str" cm="1">
        <f t="array" ref="D273">IF(ROW()=ROW(D271),C274,INDEX(E271:E284,ROW()-ROW(D271)))</f>
        <v/>
      </c>
      <c r="E273" s="6112" t="str">
        <f>IF(OR(D273="",C273="",C273&lt;=0,F273=""),"",TRIM(MID(D273,LEN(F273)+1+IF(MID(D273,LEN(F273)+1,1)=" ",1,0),99999)))</f>
        <v/>
      </c>
      <c r="F273" s="6069" t="str">
        <f>IF(OR(G273="",G273=0,G273="0"),"",IF(LEN(G273)&lt;=C273,G273,IF(LEN(SUBSTITUTE(H273," ",""))=C273+1,LEFT(G273,C273),LEFT(G273,FIND("§",SUBSTITUTE(H273," ","§",LEN(H273)-LEN(SUBSTITUTE(H273," ",""))))-1))))</f>
        <v/>
      </c>
      <c r="G273" s="6069" t="str">
        <f t="shared" si="22"/>
        <v/>
      </c>
      <c r="H273" s="6069" t="str">
        <f>IF(OR(G273="",G273=0,G273="0"),"",LEFT(G273,C273+1))</f>
        <v/>
      </c>
      <c r="I273" s="6070" t="str">
        <f t="shared" si="23"/>
        <v/>
      </c>
      <c r="J273" s="6071" t="str">
        <f t="shared" si="24"/>
        <v/>
      </c>
      <c r="K273" s="6072" t="str">
        <f>IF(LEN(TRIM(L273))&gt;0,MAX(K46:K272)+1,"")</f>
        <v/>
      </c>
      <c r="L273" s="200"/>
      <c r="M273" s="6116"/>
      <c r="N273" s="6116"/>
      <c r="O273" s="2230"/>
      <c r="P273" s="2252"/>
      <c r="Q273" s="2237"/>
      <c r="R273" s="2237"/>
      <c r="S273" s="2237"/>
      <c r="T273" s="2237"/>
      <c r="U273" s="2240"/>
      <c r="V273" s="2241"/>
      <c r="W273" s="2239"/>
      <c r="X273" s="2242"/>
      <c r="Y273" s="2243"/>
      <c r="Z273" s="2251"/>
      <c r="AA273" s="2244"/>
      <c r="AB273" s="2245"/>
      <c r="AC273" s="2246"/>
      <c r="AD273" s="2247"/>
      <c r="AE273" s="2248"/>
      <c r="AF273" s="2249"/>
      <c r="AG273" s="2249"/>
      <c r="AH273" s="2238"/>
      <c r="AI273" s="2257"/>
      <c r="AJ273" s="2230"/>
      <c r="AK273" s="2230"/>
      <c r="AL273" s="3">
        <v>1</v>
      </c>
    </row>
    <row r="274" spans="1:38" ht="21" customHeight="1">
      <c r="A274" s="2230"/>
      <c r="B274" s="6793"/>
      <c r="C274" s="6074" t="str">
        <f>IF(UPPER(TRIM(C45))="X",C278,C272)</f>
        <v/>
      </c>
      <c r="D274" s="6069" t="str" cm="1">
        <f t="array" ref="D274">IF(ROW()=ROW(D271),C274,INDEX(E271:E284,ROW()-ROW(D271)))</f>
        <v/>
      </c>
      <c r="E274" s="6112" t="str">
        <f>IF(OR(D274="",C273="",C273&lt;=0,F274=""),"",TRIM(MID(D274,LEN(F274)+1+IF(MID(D274,LEN(F274)+1,1)=" ",1,0),99999)))</f>
        <v/>
      </c>
      <c r="F274" s="6069" t="str">
        <f>IF(OR(G274="",G274=0,G274="0"),"",IF(LEN(G274)&lt;=C273,G274,IF(LEN(SUBSTITUTE(H274," ",""))=C273+1,LEFT(G274,C273),LEFT(G274,FIND("§",SUBSTITUTE(H274," ","§",LEN(H274)-LEN(SUBSTITUTE(H274," ",""))))-1))))</f>
        <v/>
      </c>
      <c r="G274" s="6069" t="str">
        <f t="shared" si="22"/>
        <v/>
      </c>
      <c r="H274" s="6069" t="str">
        <f>IF(OR(G274="",G274=0,G274="0"),"",LEFT(G274,C273+1))</f>
        <v/>
      </c>
      <c r="I274" s="6070" t="str">
        <f t="shared" si="23"/>
        <v/>
      </c>
      <c r="J274" s="6071" t="str">
        <f t="shared" si="24"/>
        <v/>
      </c>
      <c r="K274" s="6072" t="str">
        <f>IF(LEN(TRIM(L274))&gt;0,MAX(K46:K273)+1,"")</f>
        <v/>
      </c>
      <c r="L274" s="200"/>
      <c r="M274" s="6116"/>
      <c r="N274" s="6116"/>
      <c r="O274" s="2230"/>
      <c r="P274" s="2252"/>
      <c r="Q274" s="2237"/>
      <c r="R274" s="2237"/>
      <c r="S274" s="2237"/>
      <c r="T274" s="2237"/>
      <c r="U274" s="2240"/>
      <c r="V274" s="2241"/>
      <c r="W274" s="2239"/>
      <c r="X274" s="2242"/>
      <c r="Y274" s="2243"/>
      <c r="Z274" s="2251"/>
      <c r="AA274" s="2244"/>
      <c r="AB274" s="2245"/>
      <c r="AC274" s="2246"/>
      <c r="AD274" s="2247"/>
      <c r="AE274" s="2248"/>
      <c r="AF274" s="2249"/>
      <c r="AG274" s="2249"/>
      <c r="AH274" s="2238"/>
      <c r="AI274" s="2257"/>
      <c r="AJ274" s="2230"/>
      <c r="AK274" s="2230"/>
      <c r="AL274" s="3">
        <v>1</v>
      </c>
    </row>
    <row r="275" spans="1:38" ht="21" customHeight="1">
      <c r="A275" s="2230"/>
      <c r="B275" s="6793"/>
      <c r="C275" s="6074" t="str">
        <f>TRIM(SUBSTITUTE(SUBSTITUTE(SUBSTITUTE(SUBSTITUTE(SUBSTITUTE(SUBSTITUTE(SUBSTITUTE(SUBSTITUTE(SUBSTITUTE(SUBSTITUTE(C272,","," "),";"," "),":"," "),"!"," "),"?"," "),"…"," "),"»"," "),"«"," "),"/"," "),"."," "))</f>
        <v/>
      </c>
      <c r="D275" s="6069" t="str" cm="1">
        <f t="array" ref="D275">IF(ROW()=ROW(D271),C274,INDEX(E271:E284,ROW()-ROW(D271)))</f>
        <v/>
      </c>
      <c r="E275" s="6112" t="str">
        <f>IF(OR(D275="",C273="",C273&lt;=0,F275=""),"",TRIM(MID(D275,LEN(F275)+1+IF(MID(D275,LEN(F275)+1,1)=" ",1,0),99999)))</f>
        <v/>
      </c>
      <c r="F275" s="6069" t="str">
        <f>IF(OR(G275="",G275=0,G275="0"),"",IF(LEN(G275)&lt;=C273,G275,IF(LEN(SUBSTITUTE(H275," ",""))=C273+1,LEFT(G275,C273),LEFT(G275,FIND("§",SUBSTITUTE(H275," ","§",LEN(H275)-LEN(SUBSTITUTE(H275," ",""))))-1))))</f>
        <v/>
      </c>
      <c r="G275" s="6069" t="str">
        <f t="shared" si="22"/>
        <v/>
      </c>
      <c r="H275" s="6069" t="str">
        <f>IF(OR(G275="",G275=0,G275="0"),"",LEFT(G275,C273+1))</f>
        <v/>
      </c>
      <c r="I275" s="6070" t="str">
        <f t="shared" si="23"/>
        <v/>
      </c>
      <c r="J275" s="6071" t="str">
        <f t="shared" si="24"/>
        <v/>
      </c>
      <c r="K275" s="6072" t="str">
        <f>IF(LEN(TRIM(L275))&gt;0,MAX(K46:K274)+1,"")</f>
        <v/>
      </c>
      <c r="L275" s="200"/>
      <c r="M275" s="6116"/>
      <c r="N275" s="6116"/>
      <c r="O275" s="2230"/>
      <c r="P275" s="2252"/>
      <c r="Q275" s="2237"/>
      <c r="R275" s="2237"/>
      <c r="S275" s="2237"/>
      <c r="T275" s="2237"/>
      <c r="U275" s="2240"/>
      <c r="V275" s="2241"/>
      <c r="W275" s="2239"/>
      <c r="X275" s="2242"/>
      <c r="Y275" s="2243"/>
      <c r="Z275" s="2251"/>
      <c r="AA275" s="2244"/>
      <c r="AB275" s="2245"/>
      <c r="AC275" s="2246"/>
      <c r="AD275" s="2247"/>
      <c r="AE275" s="2248"/>
      <c r="AF275" s="2249"/>
      <c r="AG275" s="2249"/>
      <c r="AH275" s="2238"/>
      <c r="AI275" s="2257"/>
      <c r="AJ275" s="2230"/>
      <c r="AK275" s="2230"/>
      <c r="AL275" s="3">
        <v>1</v>
      </c>
    </row>
    <row r="276" spans="1:38" ht="21" customHeight="1">
      <c r="A276" s="2230"/>
      <c r="B276" s="6793"/>
      <c r="C276" s="6069" t="str">
        <f>TRIM(SUBSTITUTE(SUBSTITUTE(SUBSTITUTE(SUBSTITUTE(SUBSTITUTE(SUBSTITUTE(SUBSTITUTE(SUBSTITUTE(C275,"("," "),")"," "),CHAR(34)," "),"-"," "),"_"," "),"&lt;"," "),"&gt;"," "),"="," "))</f>
        <v/>
      </c>
      <c r="D276" s="6069" t="str" cm="1">
        <f t="array" ref="D276">IF(ROW()=ROW(D271),C274,INDEX(E271:E284,ROW()-ROW(D271)))</f>
        <v/>
      </c>
      <c r="E276" s="6112" t="str">
        <f>IF(OR(D276="",C273="",C273&lt;=0,F276=""),"",TRIM(MID(D276,LEN(F276)+1+IF(MID(D276,LEN(F276)+1,1)=" ",1,0),99999)))</f>
        <v/>
      </c>
      <c r="F276" s="6069" t="str">
        <f>IF(OR(G276="",G276=0,G276="0"),"",IF(LEN(G276)&lt;=C273,G276,IF(LEN(SUBSTITUTE(H276," ",""))=C273+1,LEFT(G276,C273),LEFT(G276,FIND("§",SUBSTITUTE(H276," ","§",LEN(H276)-LEN(SUBSTITUTE(H276," ",""))))-1))))</f>
        <v/>
      </c>
      <c r="G276" s="6069" t="str">
        <f t="shared" si="22"/>
        <v/>
      </c>
      <c r="H276" s="6069" t="str">
        <f>IF(OR(G276="",G276=0,G276="0"),"",LEFT(G276,C273+1))</f>
        <v/>
      </c>
      <c r="I276" s="6070" t="str">
        <f t="shared" si="23"/>
        <v/>
      </c>
      <c r="J276" s="6071" t="str">
        <f t="shared" si="24"/>
        <v/>
      </c>
      <c r="K276" s="6072" t="str">
        <f>IF(LEN(TRIM(L276))&gt;0,MAX(K46:K275)+1,"")</f>
        <v/>
      </c>
      <c r="L276" s="200"/>
      <c r="M276" s="6116"/>
      <c r="N276" s="6116"/>
      <c r="O276" s="2230"/>
      <c r="P276" s="2252"/>
      <c r="Q276" s="2237"/>
      <c r="R276" s="2237"/>
      <c r="S276" s="2237"/>
      <c r="T276" s="2237"/>
      <c r="U276" s="2240"/>
      <c r="V276" s="2241"/>
      <c r="W276" s="2239"/>
      <c r="X276" s="2242"/>
      <c r="Y276" s="2243"/>
      <c r="Z276" s="2251"/>
      <c r="AA276" s="2244"/>
      <c r="AB276" s="2245"/>
      <c r="AC276" s="2246"/>
      <c r="AD276" s="2247"/>
      <c r="AE276" s="2248"/>
      <c r="AF276" s="2249"/>
      <c r="AG276" s="2249"/>
      <c r="AH276" s="2238"/>
      <c r="AI276" s="2257"/>
      <c r="AJ276" s="2230"/>
      <c r="AK276" s="2230"/>
      <c r="AL276" s="3">
        <v>1</v>
      </c>
    </row>
    <row r="277" spans="1:38" ht="21" customHeight="1">
      <c r="A277" s="2230"/>
      <c r="B277" s="6793"/>
      <c r="C277" s="6074" t="str">
        <f>TRIM(SUBSTITUTE(SUBSTITUTE(SUBSTITUTE(SUBSTITUTE(C276,"►"," "),"▼"," "),"▲"," "),"◄"," "))</f>
        <v/>
      </c>
      <c r="D277" s="6069" t="str" cm="1">
        <f t="array" ref="D277">IF(ROW()=ROW(D271),C274,INDEX(E271:E284,ROW()-ROW(D271)))</f>
        <v/>
      </c>
      <c r="E277" s="6112" t="str">
        <f>IF(OR(D277="",C273="",C273&lt;=0,F277=""),"",TRIM(MID(D277,LEN(F277)+1+IF(MID(D277,LEN(F277)+1,1)=" ",1,0),99999)))</f>
        <v/>
      </c>
      <c r="F277" s="6069" t="str">
        <f>IF(OR(G277="",G277=0,G277="0"),"",IF(LEN(G277)&lt;=C273,G277,IF(LEN(SUBSTITUTE(H277," ",""))=C273+1,LEFT(G277,C273),LEFT(G277,FIND("§",SUBSTITUTE(H277," ","§",LEN(H277)-LEN(SUBSTITUTE(H277," ",""))))-1))))</f>
        <v/>
      </c>
      <c r="G277" s="6069" t="str">
        <f t="shared" si="22"/>
        <v/>
      </c>
      <c r="H277" s="6069" t="str">
        <f>IF(OR(G277="",G277=0,G277="0"),"",LEFT(G277,C273+1))</f>
        <v/>
      </c>
      <c r="I277" s="6070" t="str">
        <f t="shared" si="23"/>
        <v/>
      </c>
      <c r="J277" s="6071" t="str">
        <f t="shared" si="24"/>
        <v/>
      </c>
      <c r="K277" s="6072" t="str">
        <f>IF(LEN(TRIM(L277))&gt;0,MAX(K46:K276)+1,"")</f>
        <v/>
      </c>
      <c r="L277" s="200"/>
      <c r="M277" s="6116"/>
      <c r="N277" s="6116"/>
      <c r="O277" s="2230"/>
      <c r="P277" s="2252"/>
      <c r="Q277" s="2237"/>
      <c r="R277" s="2237"/>
      <c r="S277" s="2237"/>
      <c r="T277" s="2237"/>
      <c r="U277" s="2240"/>
      <c r="V277" s="2241"/>
      <c r="W277" s="2239"/>
      <c r="X277" s="2242"/>
      <c r="Y277" s="2243"/>
      <c r="Z277" s="2251"/>
      <c r="AA277" s="2244"/>
      <c r="AB277" s="2245"/>
      <c r="AC277" s="2246"/>
      <c r="AD277" s="2247"/>
      <c r="AE277" s="2248"/>
      <c r="AF277" s="2249"/>
      <c r="AG277" s="2249"/>
      <c r="AH277" s="2238"/>
      <c r="AI277" s="2257"/>
      <c r="AJ277" s="2230"/>
      <c r="AK277" s="2230"/>
      <c r="AL277" s="3">
        <v>1</v>
      </c>
    </row>
    <row r="278" spans="1:38" ht="21" customHeight="1">
      <c r="A278" s="2230"/>
      <c r="B278" s="6793"/>
      <c r="C278" s="6074" t="str">
        <f>TRIM(SUBSTITUTE(SUBSTITUTE(C277,"“"," "),"”"," "))</f>
        <v/>
      </c>
      <c r="D278" s="6069" t="str" cm="1">
        <f t="array" ref="D278">IF(ROW()=ROW(D271),C274,INDEX(E271:E284,ROW()-ROW(D271)))</f>
        <v/>
      </c>
      <c r="E278" s="6112" t="str">
        <f>IF(OR(D278="",C273="",C273&lt;=0,F278=""),"",TRIM(MID(D278,LEN(F278)+1+IF(MID(D278,LEN(F278)+1,1)=" ",1,0),99999)))</f>
        <v/>
      </c>
      <c r="F278" s="6069" t="str">
        <f>IF(OR(G278="",G278=0,G278="0"),"",IF(LEN(G278)&lt;=C273,G278,IF(LEN(SUBSTITUTE(H278," ",""))=C273+1,LEFT(G278,C273),LEFT(G278,FIND("§",SUBSTITUTE(H278," ","§",LEN(H278)-LEN(SUBSTITUTE(H278," ",""))))-1))))</f>
        <v/>
      </c>
      <c r="G278" s="6069" t="str">
        <f t="shared" si="22"/>
        <v/>
      </c>
      <c r="H278" s="6069" t="str">
        <f>IF(OR(G278="",G278=0,G278="0"),"",LEFT(G278,C273+1))</f>
        <v/>
      </c>
      <c r="I278" s="6070" t="str">
        <f t="shared" si="23"/>
        <v/>
      </c>
      <c r="J278" s="6071" t="str">
        <f t="shared" si="24"/>
        <v/>
      </c>
      <c r="K278" s="6072" t="str">
        <f>IF(LEN(TRIM(L278))&gt;0,MAX(K46:K277)+1,"")</f>
        <v/>
      </c>
      <c r="L278" s="200"/>
      <c r="M278" s="6116"/>
      <c r="N278" s="6116"/>
      <c r="O278" s="2230"/>
      <c r="P278" s="2252"/>
      <c r="Q278" s="2237"/>
      <c r="R278" s="2237"/>
      <c r="S278" s="2237"/>
      <c r="T278" s="2237"/>
      <c r="U278" s="2240"/>
      <c r="V278" s="2241"/>
      <c r="W278" s="2239"/>
      <c r="X278" s="2242"/>
      <c r="Y278" s="2243"/>
      <c r="Z278" s="2251"/>
      <c r="AA278" s="2244"/>
      <c r="AB278" s="2245"/>
      <c r="AC278" s="2246"/>
      <c r="AD278" s="2247"/>
      <c r="AE278" s="2248"/>
      <c r="AF278" s="2249"/>
      <c r="AG278" s="2249"/>
      <c r="AH278" s="2238"/>
      <c r="AI278" s="2257"/>
      <c r="AJ278" s="2230"/>
      <c r="AK278" s="2230"/>
      <c r="AL278" s="3">
        <v>1</v>
      </c>
    </row>
    <row r="279" spans="1:38" ht="21" customHeight="1">
      <c r="A279" s="2230"/>
      <c r="B279" s="6793"/>
      <c r="C279" s="6074"/>
      <c r="D279" s="6069" t="str" cm="1">
        <f t="array" ref="D279">IF(ROW()=ROW(D271),C274,INDEX(E271:E284,ROW()-ROW(D271)))</f>
        <v/>
      </c>
      <c r="E279" s="6112" t="str">
        <f>IF(OR(D279="",C273="",C273&lt;=0,F279=""),"",TRIM(MID(D279,LEN(F279)+1+IF(MID(D279,LEN(F279)+1,1)=" ",1,0),99999)))</f>
        <v/>
      </c>
      <c r="F279" s="6069" t="str">
        <f>IF(OR(G279="",G279=0,G279="0"),"",IF(LEN(G279)&lt;=C273,G279,IF(LEN(SUBSTITUTE(H279," ",""))=C273+1,LEFT(G279,C273),LEFT(G279,FIND("§",SUBSTITUTE(H279," ","§",LEN(H279)-LEN(SUBSTITUTE(H279," ",""))))-1))))</f>
        <v/>
      </c>
      <c r="G279" s="6069" t="str">
        <f t="shared" si="22"/>
        <v/>
      </c>
      <c r="H279" s="6069" t="str">
        <f>IF(OR(G279="",G279=0,G279="0"),"",LEFT(G279,C273+1))</f>
        <v/>
      </c>
      <c r="I279" s="6070" t="str">
        <f t="shared" si="23"/>
        <v/>
      </c>
      <c r="J279" s="6071" t="str">
        <f t="shared" si="24"/>
        <v/>
      </c>
      <c r="K279" s="6072" t="str">
        <f>IF(LEN(TRIM(L279))&gt;0,MAX(K46:K278)+1,"")</f>
        <v/>
      </c>
      <c r="L279" s="200"/>
      <c r="M279" s="6116"/>
      <c r="N279" s="6116"/>
      <c r="O279" s="2230"/>
      <c r="P279" s="2252"/>
      <c r="Q279" s="2237"/>
      <c r="R279" s="2237"/>
      <c r="S279" s="2237"/>
      <c r="T279" s="2237"/>
      <c r="U279" s="2240"/>
      <c r="V279" s="2241"/>
      <c r="W279" s="2239"/>
      <c r="X279" s="2242"/>
      <c r="Y279" s="2243"/>
      <c r="Z279" s="2251"/>
      <c r="AA279" s="2244"/>
      <c r="AB279" s="2245"/>
      <c r="AC279" s="2246"/>
      <c r="AD279" s="2247"/>
      <c r="AE279" s="2248"/>
      <c r="AF279" s="2249"/>
      <c r="AG279" s="2249"/>
      <c r="AH279" s="2238"/>
      <c r="AI279" s="2257"/>
      <c r="AJ279" s="2230"/>
      <c r="AK279" s="2230"/>
      <c r="AL279" s="3">
        <v>1</v>
      </c>
    </row>
    <row r="280" spans="1:38" ht="21" customHeight="1">
      <c r="A280" s="2230"/>
      <c r="B280" s="6793"/>
      <c r="C280" s="6074"/>
      <c r="D280" s="6069" t="str" cm="1">
        <f t="array" ref="D280">IF(ROW()=ROW(D271),C274,INDEX(E271:E284,ROW()-ROW(D271)))</f>
        <v/>
      </c>
      <c r="E280" s="6112" t="str">
        <f>IF(OR(D280="",C273="",C273&lt;=0,F280=""),"",TRIM(MID(D280,LEN(F280)+1+IF(MID(D280,LEN(F280)+1,1)=" ",1,0),99999)))</f>
        <v/>
      </c>
      <c r="F280" s="6069" t="str">
        <f>IF(OR(G280="",G280=0,G280="0"),"",IF(LEN(G280)&lt;=C273,G280,IF(LEN(SUBSTITUTE(H280," ",""))=C273+1,LEFT(G280,C273),LEFT(G280,FIND("§",SUBSTITUTE(H280," ","§",LEN(H280)-LEN(SUBSTITUTE(H280," ",""))))-1))))</f>
        <v/>
      </c>
      <c r="G280" s="6069" t="str">
        <f t="shared" si="22"/>
        <v/>
      </c>
      <c r="H280" s="6069" t="str">
        <f>IF(OR(G280="",G280=0,G280="0"),"",LEFT(G280,C273+1))</f>
        <v/>
      </c>
      <c r="I280" s="6070" t="str">
        <f t="shared" si="23"/>
        <v/>
      </c>
      <c r="J280" s="6071" t="str">
        <f t="shared" si="24"/>
        <v/>
      </c>
      <c r="K280" s="6072" t="str">
        <f>IF(LEN(TRIM(L280))&gt;0,MAX(K46:K279)+1,"")</f>
        <v/>
      </c>
      <c r="L280" s="200"/>
      <c r="M280" s="6116"/>
      <c r="N280" s="6116"/>
      <c r="O280" s="2230"/>
      <c r="P280" s="2252"/>
      <c r="Q280" s="2237"/>
      <c r="R280" s="2237"/>
      <c r="S280" s="2237"/>
      <c r="T280" s="2237"/>
      <c r="U280" s="2240"/>
      <c r="V280" s="2241"/>
      <c r="W280" s="2239"/>
      <c r="X280" s="2242"/>
      <c r="Y280" s="2243"/>
      <c r="Z280" s="2251"/>
      <c r="AA280" s="2244"/>
      <c r="AB280" s="2245"/>
      <c r="AC280" s="2246"/>
      <c r="AD280" s="2247"/>
      <c r="AE280" s="2248"/>
      <c r="AF280" s="2249"/>
      <c r="AG280" s="2249"/>
      <c r="AH280" s="2238"/>
      <c r="AI280" s="2257"/>
      <c r="AJ280" s="2230"/>
      <c r="AK280" s="2230"/>
      <c r="AL280" s="3">
        <v>1</v>
      </c>
    </row>
    <row r="281" spans="1:38" ht="21" customHeight="1">
      <c r="A281" s="2230"/>
      <c r="B281" s="6793"/>
      <c r="C281" s="6074"/>
      <c r="D281" s="6069" t="str" cm="1">
        <f t="array" ref="D281">IF(ROW()=ROW(D271),C274,INDEX(E271:E284,ROW()-ROW(D271)))</f>
        <v/>
      </c>
      <c r="E281" s="6112" t="str">
        <f>IF(OR(D281="",C273="",C273&lt;=0,F281=""),"",TRIM(MID(D281,LEN(F281)+1+IF(MID(D281,LEN(F281)+1,1)=" ",1,0),99999)))</f>
        <v/>
      </c>
      <c r="F281" s="6069" t="str">
        <f>IF(OR(G281="",G281=0,G281="0"),"",IF(LEN(G281)&lt;=C273,G281,IF(LEN(SUBSTITUTE(H281," ",""))=C273+1,LEFT(G281,C273),LEFT(G281,FIND("§",SUBSTITUTE(H281," ","§",LEN(H281)-LEN(SUBSTITUTE(H281," ",""))))-1))))</f>
        <v/>
      </c>
      <c r="G281" s="6069" t="str">
        <f t="shared" si="22"/>
        <v/>
      </c>
      <c r="H281" s="6069" t="str">
        <f>IF(OR(G281="",G281=0,G281="0"),"",LEFT(G281,C273+1))</f>
        <v/>
      </c>
      <c r="I281" s="6070" t="str">
        <f t="shared" si="23"/>
        <v/>
      </c>
      <c r="J281" s="6071" t="str">
        <f t="shared" si="24"/>
        <v/>
      </c>
      <c r="K281" s="6072" t="str">
        <f>IF(LEN(TRIM(L281))&gt;0,MAX(K46:K280)+1,"")</f>
        <v/>
      </c>
      <c r="L281" s="200"/>
      <c r="M281" s="6116"/>
      <c r="N281" s="6116"/>
      <c r="O281" s="2230"/>
      <c r="P281" s="2252"/>
      <c r="Q281" s="2237"/>
      <c r="R281" s="2237"/>
      <c r="S281" s="2237"/>
      <c r="T281" s="2237"/>
      <c r="U281" s="2240"/>
      <c r="V281" s="2241"/>
      <c r="W281" s="2239"/>
      <c r="X281" s="2242"/>
      <c r="Y281" s="2243"/>
      <c r="Z281" s="2251"/>
      <c r="AA281" s="2244"/>
      <c r="AB281" s="2245"/>
      <c r="AC281" s="2246"/>
      <c r="AD281" s="2247"/>
      <c r="AE281" s="2248"/>
      <c r="AF281" s="2249"/>
      <c r="AG281" s="2249"/>
      <c r="AH281" s="2238"/>
      <c r="AI281" s="2257"/>
      <c r="AJ281" s="2230"/>
      <c r="AK281" s="2230"/>
      <c r="AL281" s="3">
        <v>1</v>
      </c>
    </row>
    <row r="282" spans="1:38" ht="21" customHeight="1">
      <c r="A282" s="2230"/>
      <c r="B282" s="6793"/>
      <c r="C282" s="6074"/>
      <c r="D282" s="6069" t="str" cm="1">
        <f t="array" ref="D282">IF(ROW()=ROW(D271),C274,INDEX(E271:E284,ROW()-ROW(D271)))</f>
        <v/>
      </c>
      <c r="E282" s="6112" t="str">
        <f>IF(OR(D282="",C273="",C273&lt;=0,F282=""),"",TRIM(MID(D282,LEN(F282)+1+IF(MID(D282,LEN(F282)+1,1)=" ",1,0),99999)))</f>
        <v/>
      </c>
      <c r="F282" s="6069" t="str">
        <f>IF(OR(G282="",G282=0,G282="0"),"",IF(LEN(G282)&lt;=C273,G282,IF(LEN(SUBSTITUTE(H282," ",""))=C273+1,LEFT(G282,C273),LEFT(G282,FIND("§",SUBSTITUTE(H282," ","§",LEN(H282)-LEN(SUBSTITUTE(H282," ",""))))-1))))</f>
        <v/>
      </c>
      <c r="G282" s="6069" t="str">
        <f t="shared" si="22"/>
        <v/>
      </c>
      <c r="H282" s="6069" t="str">
        <f>IF(OR(G282="",G282=0,G282="0"),"",LEFT(G282,C273+1))</f>
        <v/>
      </c>
      <c r="I282" s="6070" t="str">
        <f t="shared" si="23"/>
        <v/>
      </c>
      <c r="J282" s="6071" t="str">
        <f t="shared" si="24"/>
        <v/>
      </c>
      <c r="K282" s="6072" t="str">
        <f>IF(LEN(TRIM(L282))&gt;0,MAX(K46:K281)+1,"")</f>
        <v/>
      </c>
      <c r="L282" s="200"/>
      <c r="M282" s="6116"/>
      <c r="N282" s="6116"/>
      <c r="O282" s="2230"/>
      <c r="P282" s="2252"/>
      <c r="Q282" s="2237"/>
      <c r="R282" s="2237"/>
      <c r="S282" s="2237"/>
      <c r="T282" s="2237"/>
      <c r="U282" s="2240"/>
      <c r="V282" s="2241"/>
      <c r="W282" s="2239"/>
      <c r="X282" s="2242"/>
      <c r="Y282" s="2243"/>
      <c r="Z282" s="2251"/>
      <c r="AA282" s="2244"/>
      <c r="AB282" s="2245"/>
      <c r="AC282" s="2246"/>
      <c r="AD282" s="2247"/>
      <c r="AE282" s="2248"/>
      <c r="AF282" s="2249"/>
      <c r="AG282" s="2249"/>
      <c r="AH282" s="2238"/>
      <c r="AI282" s="2257"/>
      <c r="AJ282" s="2230"/>
      <c r="AK282" s="2230"/>
      <c r="AL282" s="3">
        <v>1</v>
      </c>
    </row>
    <row r="283" spans="1:38" ht="21" customHeight="1">
      <c r="A283" s="2230"/>
      <c r="B283" s="6793"/>
      <c r="C283" s="6074"/>
      <c r="D283" s="6069" t="str" cm="1">
        <f t="array" ref="D283">IF(ROW()=ROW(D271),C274,INDEX(E271:E284,ROW()-ROW(D271)))</f>
        <v/>
      </c>
      <c r="E283" s="6112" t="str">
        <f>IF(OR(D283="",C273="",C273&lt;=0,F283=""),"",TRIM(MID(D283,LEN(F283)+1+IF(MID(D283,LEN(F283)+1,1)=" ",1,0),99999)))</f>
        <v/>
      </c>
      <c r="F283" s="6069" t="str">
        <f>IF(OR(G283="",G283=0,G283="0"),"",IF(LEN(G283)&lt;=C273,G283,IF(LEN(SUBSTITUTE(H283," ",""))=C273+1,LEFT(G283,C273),LEFT(G283,FIND("§",SUBSTITUTE(H283," ","§",LEN(H283)-LEN(SUBSTITUTE(H283," ",""))))-1))))</f>
        <v/>
      </c>
      <c r="G283" s="6069" t="str">
        <f t="shared" si="22"/>
        <v/>
      </c>
      <c r="H283" s="6069" t="str">
        <f>IF(OR(G283="",G283=0,G283="0"),"",LEFT(G283,C273+1))</f>
        <v/>
      </c>
      <c r="I283" s="6070" t="str">
        <f t="shared" si="23"/>
        <v/>
      </c>
      <c r="J283" s="6071" t="str">
        <f t="shared" si="24"/>
        <v/>
      </c>
      <c r="K283" s="6072" t="str">
        <f>IF(LEN(TRIM(L283))&gt;0,MAX(K46:K282)+1,"")</f>
        <v/>
      </c>
      <c r="L283" s="200"/>
      <c r="M283" s="6116"/>
      <c r="N283" s="6116"/>
      <c r="O283" s="2230"/>
      <c r="P283" s="2252"/>
      <c r="Q283" s="2237"/>
      <c r="R283" s="2237"/>
      <c r="S283" s="2237"/>
      <c r="T283" s="2237"/>
      <c r="U283" s="2240"/>
      <c r="V283" s="2241"/>
      <c r="W283" s="2239"/>
      <c r="X283" s="2242"/>
      <c r="Y283" s="2243"/>
      <c r="Z283" s="2251"/>
      <c r="AA283" s="2244"/>
      <c r="AB283" s="2245"/>
      <c r="AC283" s="2246"/>
      <c r="AD283" s="2247"/>
      <c r="AE283" s="2248"/>
      <c r="AF283" s="2249"/>
      <c r="AG283" s="2249"/>
      <c r="AH283" s="2238"/>
      <c r="AI283" s="2257"/>
      <c r="AJ283" s="2230"/>
      <c r="AK283" s="2230"/>
      <c r="AL283" s="3">
        <v>1</v>
      </c>
    </row>
    <row r="284" spans="1:38" ht="21" customHeight="1">
      <c r="A284" s="2230"/>
      <c r="B284" s="6793"/>
      <c r="C284" s="6074"/>
      <c r="D284" s="6069" t="str" cm="1">
        <f t="array" ref="D284">IF(ROW()=ROW(D271),C274,INDEX(E271:E284,ROW()-ROW(D271)))</f>
        <v/>
      </c>
      <c r="E284" s="6112" t="str">
        <f>IF(OR(D284="",C273="",C273&lt;=0,F284=""),"",TRIM(MID(D284,LEN(F284)+1+IF(MID(D284,LEN(F284)+1,1)=" ",1,0),99999)))</f>
        <v/>
      </c>
      <c r="F284" s="6069" t="str">
        <f>IF(OR(G284="",G284=0,G284="0"),"",IF(LEN(G284)&lt;=C273,G284,IF(LEN(SUBSTITUTE(H284," ",""))=C273+1,LEFT(G284,C273),LEFT(G284,FIND("§",SUBSTITUTE(H284," ","§",LEN(H284)-LEN(SUBSTITUTE(H284," ",""))))-1))))</f>
        <v/>
      </c>
      <c r="G284" s="6069" t="str">
        <f t="shared" si="22"/>
        <v/>
      </c>
      <c r="H284" s="6069" t="str">
        <f>IF(OR(G284="",G284=0,G284="0"),"",LEFT(G284,C273+1))</f>
        <v/>
      </c>
      <c r="I284" s="6070" t="str">
        <f t="shared" si="23"/>
        <v/>
      </c>
      <c r="J284" s="6071" t="str">
        <f t="shared" si="24"/>
        <v/>
      </c>
      <c r="K284" s="6072" t="str">
        <f>IF(LEN(TRIM(L284))&gt;0,MAX(K46:K283)+1,"")</f>
        <v/>
      </c>
      <c r="L284" s="200"/>
      <c r="M284" s="6116"/>
      <c r="N284" s="6116"/>
      <c r="O284" s="2230"/>
      <c r="P284" s="2252"/>
      <c r="Q284" s="2237"/>
      <c r="R284" s="2237"/>
      <c r="S284" s="2237"/>
      <c r="T284" s="2237"/>
      <c r="U284" s="2240"/>
      <c r="V284" s="2241"/>
      <c r="W284" s="2239"/>
      <c r="X284" s="2242"/>
      <c r="Y284" s="2243"/>
      <c r="Z284" s="2251"/>
      <c r="AA284" s="2244"/>
      <c r="AB284" s="2245"/>
      <c r="AC284" s="2246"/>
      <c r="AD284" s="2247"/>
      <c r="AE284" s="2248"/>
      <c r="AF284" s="2249"/>
      <c r="AG284" s="2249"/>
      <c r="AH284" s="2238"/>
      <c r="AI284" s="2257"/>
      <c r="AJ284" s="2230"/>
      <c r="AK284" s="2230"/>
      <c r="AL284" s="3">
        <v>1</v>
      </c>
    </row>
    <row r="285" spans="1:38" ht="21" customHeight="1">
      <c r="A285" s="2230"/>
      <c r="B285" s="6793"/>
      <c r="C285" s="6068" t="str">
        <f>IF(TRIM(SUBSTITUTE(M64,CHAR(160),""))="","",M64)</f>
        <v/>
      </c>
      <c r="D285" s="6069" t="str" cm="1">
        <f t="array" ref="D285">IF(ROW()=ROW(D285),C288,INDEX(E285:E298,ROW()-ROW(D285)))</f>
        <v/>
      </c>
      <c r="E285" s="6112" t="str">
        <f>IF(OR(D285="",C287="",C287&lt;=0,F285=""),"",TRIM(MID(D285,LEN(F285)+1+IF(MID(D285,LEN(F285)+1,1)=" ",1,0),99999)))</f>
        <v/>
      </c>
      <c r="F285" s="6069" t="str">
        <f>IF(OR(G285="",G285=0,G285="0"),"",IF(LEN(G285)&lt;=C287,G285,IF(LEN(SUBSTITUTE(H285," ",""))=C287+1,LEFT(G285,C287),LEFT(G285,FIND("§",SUBSTITUTE(H285," ","§",LEN(H285)-LEN(SUBSTITUTE(H285," ",""))))-1))))</f>
        <v/>
      </c>
      <c r="G285" s="6069" t="str">
        <f t="shared" si="22"/>
        <v/>
      </c>
      <c r="H285" s="6069" t="str">
        <f>IF(OR(G285="",G285=0,G285="0"),"",LEFT(G285,C287+1))</f>
        <v/>
      </c>
      <c r="I285" s="6070" t="str">
        <f t="shared" si="23"/>
        <v/>
      </c>
      <c r="J285" s="6071" t="str">
        <f t="shared" si="24"/>
        <v/>
      </c>
      <c r="K285" s="6072" t="str">
        <f>IF(LEN(TRIM(L285))&gt;0,MAX(K46:K284)+1,"")</f>
        <v/>
      </c>
      <c r="L285" s="200"/>
      <c r="M285" s="6116"/>
      <c r="N285" s="6116"/>
      <c r="O285" s="2230"/>
      <c r="P285" s="2252"/>
      <c r="Q285" s="2237"/>
      <c r="R285" s="2237"/>
      <c r="S285" s="2237"/>
      <c r="T285" s="2237"/>
      <c r="U285" s="2240"/>
      <c r="V285" s="2241"/>
      <c r="W285" s="2239"/>
      <c r="X285" s="2242"/>
      <c r="Y285" s="2243"/>
      <c r="Z285" s="2251"/>
      <c r="AA285" s="2244"/>
      <c r="AB285" s="2245"/>
      <c r="AC285" s="2246"/>
      <c r="AD285" s="2247"/>
      <c r="AE285" s="2248"/>
      <c r="AF285" s="2249"/>
      <c r="AG285" s="2249"/>
      <c r="AH285" s="2238"/>
      <c r="AI285" s="2257"/>
      <c r="AJ285" s="2230"/>
      <c r="AK285" s="2230"/>
      <c r="AL285" s="3">
        <v>1</v>
      </c>
    </row>
    <row r="286" spans="1:38" ht="21" customHeight="1">
      <c r="A286" s="2230"/>
      <c r="B286" s="6793"/>
      <c r="C286" s="6074" t="str">
        <f>TRIM(SUBSTITUTE(SUBSTITUTE(SUBSTITUTE(SUBSTITUTE(IF(OR(LEFT(C285,1)="-",LEFT(C285,1)="="),MID(C285,2,99999),C285),CHAR(160)," "),CHAR(9)," "),CHAR(13)&amp;CHAR(10)," "),CHAR(10)," "))</f>
        <v/>
      </c>
      <c r="D286" s="6069" t="str" cm="1">
        <f t="array" ref="D286">IF(ROW()=ROW(D285),C288,INDEX(E285:E298,ROW()-ROW(D285)))</f>
        <v/>
      </c>
      <c r="E286" s="6112" t="str">
        <f>IF(OR(D286="",C287="",C287&lt;=0,F286=""),"",TRIM(MID(D286,LEN(F286)+1+IF(MID(D286,LEN(F286)+1,1)=" ",1,0),99999)))</f>
        <v/>
      </c>
      <c r="F286" s="6069" t="str">
        <f>IF(OR(G286="",G286=0,G286="0"),"",IF(LEN(G286)&lt;=C287,G286,IF(LEN(SUBSTITUTE(H286," ",""))=C287+1,LEFT(G286,C287),LEFT(G286,FIND("§",SUBSTITUTE(H286," ","§",LEN(H286)-LEN(SUBSTITUTE(H286," ",""))))-1))))</f>
        <v/>
      </c>
      <c r="G286" s="6069" t="str">
        <f t="shared" si="22"/>
        <v/>
      </c>
      <c r="H286" s="6069" t="str">
        <f>IF(OR(G286="",G286=0,G286="0"),"",LEFT(G286,C287+1))</f>
        <v/>
      </c>
      <c r="I286" s="6070" t="str">
        <f t="shared" si="23"/>
        <v/>
      </c>
      <c r="J286" s="6071" t="str">
        <f t="shared" si="24"/>
        <v/>
      </c>
      <c r="K286" s="6072" t="str">
        <f>IF(LEN(TRIM(L286))&gt;0,MAX(K46:K285)+1,"")</f>
        <v/>
      </c>
      <c r="L286" s="200"/>
      <c r="M286" s="6116"/>
      <c r="N286" s="6116"/>
      <c r="O286" s="2230"/>
      <c r="P286" s="2252"/>
      <c r="Q286" s="2237"/>
      <c r="R286" s="2237"/>
      <c r="S286" s="2237"/>
      <c r="T286" s="2237"/>
      <c r="U286" s="2240"/>
      <c r="V286" s="2241"/>
      <c r="W286" s="2239"/>
      <c r="X286" s="2242"/>
      <c r="Y286" s="2243"/>
      <c r="Z286" s="2251"/>
      <c r="AA286" s="2244"/>
      <c r="AB286" s="2245"/>
      <c r="AC286" s="2246"/>
      <c r="AD286" s="2247"/>
      <c r="AE286" s="2248"/>
      <c r="AF286" s="2249"/>
      <c r="AG286" s="2249"/>
      <c r="AH286" s="2238"/>
      <c r="AI286" s="2257"/>
      <c r="AJ286" s="2230"/>
      <c r="AK286" s="2230"/>
      <c r="AL286" s="3">
        <v>1</v>
      </c>
    </row>
    <row r="287" spans="1:38" ht="21" customHeight="1">
      <c r="A287" s="2230"/>
      <c r="B287" s="6793"/>
      <c r="C287" s="6075">
        <f>M44</f>
        <v>120</v>
      </c>
      <c r="D287" s="6069" t="str" cm="1">
        <f t="array" ref="D287">IF(ROW()=ROW(D285),C288,INDEX(E285:E298,ROW()-ROW(D285)))</f>
        <v/>
      </c>
      <c r="E287" s="6112" t="str">
        <f>IF(OR(D287="",C287="",C287&lt;=0,F287=""),"",TRIM(MID(D287,LEN(F287)+1+IF(MID(D287,LEN(F287)+1,1)=" ",1,0),99999)))</f>
        <v/>
      </c>
      <c r="F287" s="6069" t="str">
        <f>IF(OR(G287="",G287=0,G287="0"),"",IF(LEN(G287)&lt;=C287,G287,IF(LEN(SUBSTITUTE(H287," ",""))=C287+1,LEFT(G287,C287),LEFT(G287,FIND("§",SUBSTITUTE(H287," ","§",LEN(H287)-LEN(SUBSTITUTE(H287," ",""))))-1))))</f>
        <v/>
      </c>
      <c r="G287" s="6069" t="str">
        <f t="shared" si="22"/>
        <v/>
      </c>
      <c r="H287" s="6069" t="str">
        <f>IF(OR(G287="",G287=0,G287="0"),"",LEFT(G287,C287+1))</f>
        <v/>
      </c>
      <c r="I287" s="6070" t="str">
        <f t="shared" si="23"/>
        <v/>
      </c>
      <c r="J287" s="6071" t="str">
        <f t="shared" si="24"/>
        <v/>
      </c>
      <c r="K287" s="6072" t="str">
        <f>IF(LEN(TRIM(L287))&gt;0,MAX(K46:K286)+1,"")</f>
        <v/>
      </c>
      <c r="L287" s="200"/>
      <c r="M287" s="6116"/>
      <c r="N287" s="6116"/>
      <c r="O287" s="2230"/>
      <c r="P287" s="2252"/>
      <c r="Q287" s="2237"/>
      <c r="R287" s="2237"/>
      <c r="S287" s="2237"/>
      <c r="T287" s="2237"/>
      <c r="U287" s="2240"/>
      <c r="V287" s="2241"/>
      <c r="W287" s="2239"/>
      <c r="X287" s="2242"/>
      <c r="Y287" s="2243"/>
      <c r="Z287" s="2251"/>
      <c r="AA287" s="2244"/>
      <c r="AB287" s="2245"/>
      <c r="AC287" s="2246"/>
      <c r="AD287" s="2247"/>
      <c r="AE287" s="2248"/>
      <c r="AF287" s="2249"/>
      <c r="AG287" s="2249"/>
      <c r="AH287" s="2238"/>
      <c r="AI287" s="2257"/>
      <c r="AJ287" s="2230"/>
      <c r="AK287" s="2230"/>
      <c r="AL287" s="3">
        <v>1</v>
      </c>
    </row>
    <row r="288" spans="1:38" ht="21" customHeight="1">
      <c r="A288" s="2230"/>
      <c r="B288" s="6793"/>
      <c r="C288" s="6074" t="str">
        <f>IF(UPPER(TRIM(C45))="X",C292,C286)</f>
        <v/>
      </c>
      <c r="D288" s="6069" t="str" cm="1">
        <f t="array" ref="D288">IF(ROW()=ROW(D285),C288,INDEX(E285:E298,ROW()-ROW(D285)))</f>
        <v/>
      </c>
      <c r="E288" s="6112" t="str">
        <f>IF(OR(D288="",C287="",C287&lt;=0,F288=""),"",TRIM(MID(D288,LEN(F288)+1+IF(MID(D288,LEN(F288)+1,1)=" ",1,0),99999)))</f>
        <v/>
      </c>
      <c r="F288" s="6069" t="str">
        <f>IF(OR(G288="",G288=0,G288="0"),"",IF(LEN(G288)&lt;=C287,G288,IF(LEN(SUBSTITUTE(H288," ",""))=C287+1,LEFT(G288,C287),LEFT(G288,FIND("§",SUBSTITUTE(H288," ","§",LEN(H288)-LEN(SUBSTITUTE(H288," ",""))))-1))))</f>
        <v/>
      </c>
      <c r="G288" s="6069" t="str">
        <f t="shared" si="22"/>
        <v/>
      </c>
      <c r="H288" s="6069" t="str">
        <f>IF(OR(G288="",G288=0,G288="0"),"",LEFT(G288,C287+1))</f>
        <v/>
      </c>
      <c r="I288" s="6070" t="str">
        <f t="shared" si="23"/>
        <v/>
      </c>
      <c r="J288" s="6071" t="str">
        <f t="shared" si="24"/>
        <v/>
      </c>
      <c r="K288" s="6072" t="str">
        <f>IF(LEN(TRIM(L288))&gt;0,MAX(K46:K287)+1,"")</f>
        <v/>
      </c>
      <c r="L288" s="200"/>
      <c r="M288" s="6116"/>
      <c r="N288" s="6116"/>
      <c r="O288" s="2230"/>
      <c r="P288" s="2252"/>
      <c r="Q288" s="2237"/>
      <c r="R288" s="2237"/>
      <c r="S288" s="2237"/>
      <c r="T288" s="2237"/>
      <c r="U288" s="2240"/>
      <c r="V288" s="2241"/>
      <c r="W288" s="2239"/>
      <c r="X288" s="2242"/>
      <c r="Y288" s="2243"/>
      <c r="Z288" s="2251"/>
      <c r="AA288" s="2244"/>
      <c r="AB288" s="2245"/>
      <c r="AC288" s="2246"/>
      <c r="AD288" s="2247"/>
      <c r="AE288" s="2248"/>
      <c r="AF288" s="2249"/>
      <c r="AG288" s="2249"/>
      <c r="AH288" s="2238"/>
      <c r="AI288" s="2257"/>
      <c r="AJ288" s="2230"/>
      <c r="AK288" s="2230"/>
      <c r="AL288" s="3">
        <v>1</v>
      </c>
    </row>
    <row r="289" spans="1:38" ht="21" customHeight="1">
      <c r="A289" s="2230"/>
      <c r="B289" s="6793"/>
      <c r="C289" s="6074" t="str">
        <f>TRIM(SUBSTITUTE(SUBSTITUTE(SUBSTITUTE(SUBSTITUTE(SUBSTITUTE(SUBSTITUTE(SUBSTITUTE(SUBSTITUTE(SUBSTITUTE(SUBSTITUTE(C286,","," "),";"," "),":"," "),"!"," "),"?"," "),"…"," "),"»"," "),"«"," "),"/"," "),"."," "))</f>
        <v/>
      </c>
      <c r="D289" s="6069" t="str" cm="1">
        <f t="array" ref="D289">IF(ROW()=ROW(D285),C288,INDEX(E285:E298,ROW()-ROW(D285)))</f>
        <v/>
      </c>
      <c r="E289" s="6112" t="str">
        <f>IF(OR(D289="",C287="",C287&lt;=0,F289=""),"",TRIM(MID(D289,LEN(F289)+1+IF(MID(D289,LEN(F289)+1,1)=" ",1,0),99999)))</f>
        <v/>
      </c>
      <c r="F289" s="6069" t="str">
        <f>IF(OR(G289="",G289=0,G289="0"),"",IF(LEN(G289)&lt;=C287,G289,IF(LEN(SUBSTITUTE(H289," ",""))=C287+1,LEFT(G289,C287),LEFT(G289,FIND("§",SUBSTITUTE(H289," ","§",LEN(H289)-LEN(SUBSTITUTE(H289," ",""))))-1))))</f>
        <v/>
      </c>
      <c r="G289" s="6069" t="str">
        <f t="shared" si="22"/>
        <v/>
      </c>
      <c r="H289" s="6069" t="str">
        <f>IF(OR(G289="",G289=0,G289="0"),"",LEFT(G289,C287+1))</f>
        <v/>
      </c>
      <c r="I289" s="6070" t="str">
        <f t="shared" si="23"/>
        <v/>
      </c>
      <c r="J289" s="6071" t="str">
        <f t="shared" si="24"/>
        <v/>
      </c>
      <c r="K289" s="6072" t="str">
        <f>IF(LEN(TRIM(L289))&gt;0,MAX(K46:K288)+1,"")</f>
        <v/>
      </c>
      <c r="L289" s="200"/>
      <c r="M289" s="6116"/>
      <c r="N289" s="6116"/>
      <c r="O289" s="2230"/>
      <c r="P289" s="2252"/>
      <c r="Q289" s="2237"/>
      <c r="R289" s="2237"/>
      <c r="S289" s="2237"/>
      <c r="T289" s="2237"/>
      <c r="U289" s="2240"/>
      <c r="V289" s="2241"/>
      <c r="W289" s="2239"/>
      <c r="X289" s="2242"/>
      <c r="Y289" s="2243"/>
      <c r="Z289" s="2251"/>
      <c r="AA289" s="2244"/>
      <c r="AB289" s="2245"/>
      <c r="AC289" s="2246"/>
      <c r="AD289" s="2247"/>
      <c r="AE289" s="2248"/>
      <c r="AF289" s="2249"/>
      <c r="AG289" s="2249"/>
      <c r="AH289" s="2238"/>
      <c r="AI289" s="2257"/>
      <c r="AJ289" s="2230"/>
      <c r="AK289" s="2230"/>
      <c r="AL289" s="3">
        <v>1</v>
      </c>
    </row>
    <row r="290" spans="1:38" ht="21" customHeight="1">
      <c r="A290" s="2230"/>
      <c r="B290" s="6793"/>
      <c r="C290" s="6069" t="str">
        <f>TRIM(SUBSTITUTE(SUBSTITUTE(SUBSTITUTE(SUBSTITUTE(SUBSTITUTE(SUBSTITUTE(SUBSTITUTE(SUBSTITUTE(C289,"("," "),")"," "),CHAR(34)," "),"-"," "),"_"," "),"&lt;"," "),"&gt;"," "),"="," "))</f>
        <v/>
      </c>
      <c r="D290" s="6069" t="str" cm="1">
        <f t="array" ref="D290">IF(ROW()=ROW(D285),C288,INDEX(E285:E298,ROW()-ROW(D285)))</f>
        <v/>
      </c>
      <c r="E290" s="6112" t="str">
        <f>IF(OR(D290="",C287="",C287&lt;=0,F290=""),"",TRIM(MID(D290,LEN(F290)+1+IF(MID(D290,LEN(F290)+1,1)=" ",1,0),99999)))</f>
        <v/>
      </c>
      <c r="F290" s="6069" t="str">
        <f>IF(OR(G290="",G290=0,G290="0"),"",IF(LEN(G290)&lt;=C287,G290,IF(LEN(SUBSTITUTE(H290," ",""))=C287+1,LEFT(G290,C287),LEFT(G290,FIND("§",SUBSTITUTE(H290," ","§",LEN(H290)-LEN(SUBSTITUTE(H290," ",""))))-1))))</f>
        <v/>
      </c>
      <c r="G290" s="6069" t="str">
        <f t="shared" si="22"/>
        <v/>
      </c>
      <c r="H290" s="6069" t="str">
        <f>IF(OR(G290="",G290=0,G290="0"),"",LEFT(G290,C287+1))</f>
        <v/>
      </c>
      <c r="I290" s="6070" t="str">
        <f t="shared" si="23"/>
        <v/>
      </c>
      <c r="J290" s="6071" t="str">
        <f t="shared" si="24"/>
        <v/>
      </c>
      <c r="K290" s="6072" t="str">
        <f>IF(LEN(TRIM(L290))&gt;0,MAX(K46:K289)+1,"")</f>
        <v/>
      </c>
      <c r="L290" s="200"/>
      <c r="M290" s="6116"/>
      <c r="N290" s="6116"/>
      <c r="O290" s="2230"/>
      <c r="P290" s="2252"/>
      <c r="Q290" s="2237"/>
      <c r="R290" s="2237"/>
      <c r="S290" s="2237"/>
      <c r="T290" s="2237"/>
      <c r="U290" s="2240"/>
      <c r="V290" s="2241"/>
      <c r="W290" s="2239"/>
      <c r="X290" s="2242"/>
      <c r="Y290" s="2243"/>
      <c r="Z290" s="2251"/>
      <c r="AA290" s="2244"/>
      <c r="AB290" s="2245"/>
      <c r="AC290" s="2246"/>
      <c r="AD290" s="2247"/>
      <c r="AE290" s="2248"/>
      <c r="AF290" s="2249"/>
      <c r="AG290" s="2249"/>
      <c r="AH290" s="2238"/>
      <c r="AI290" s="2257"/>
      <c r="AJ290" s="2230"/>
      <c r="AK290" s="2230"/>
      <c r="AL290" s="3">
        <v>1</v>
      </c>
    </row>
    <row r="291" spans="1:38" ht="21" customHeight="1">
      <c r="A291" s="2230"/>
      <c r="B291" s="6793"/>
      <c r="C291" s="6074" t="str">
        <f>TRIM(SUBSTITUTE(SUBSTITUTE(SUBSTITUTE(SUBSTITUTE(C290,"►"," "),"▼"," "),"▲"," "),"◄"," "))</f>
        <v/>
      </c>
      <c r="D291" s="6069" t="str" cm="1">
        <f t="array" ref="D291">IF(ROW()=ROW(D285),C288,INDEX(E285:E298,ROW()-ROW(D285)))</f>
        <v/>
      </c>
      <c r="E291" s="6112" t="str">
        <f>IF(OR(D291="",C287="",C287&lt;=0,F291=""),"",TRIM(MID(D291,LEN(F291)+1+IF(MID(D291,LEN(F291)+1,1)=" ",1,0),99999)))</f>
        <v/>
      </c>
      <c r="F291" s="6069" t="str">
        <f>IF(OR(G291="",G291=0,G291="0"),"",IF(LEN(G291)&lt;=C287,G291,IF(LEN(SUBSTITUTE(H291," ",""))=C287+1,LEFT(G291,C287),LEFT(G291,FIND("§",SUBSTITUTE(H291," ","§",LEN(H291)-LEN(SUBSTITUTE(H291," ",""))))-1))))</f>
        <v/>
      </c>
      <c r="G291" s="6069" t="str">
        <f t="shared" si="22"/>
        <v/>
      </c>
      <c r="H291" s="6069" t="str">
        <f>IF(OR(G291="",G291=0,G291="0"),"",LEFT(G291,C287+1))</f>
        <v/>
      </c>
      <c r="I291" s="6070" t="str">
        <f t="shared" si="23"/>
        <v/>
      </c>
      <c r="J291" s="6071" t="str">
        <f t="shared" si="24"/>
        <v/>
      </c>
      <c r="K291" s="6072" t="str">
        <f>IF(LEN(TRIM(L291))&gt;0,MAX(K46:K290)+1,"")</f>
        <v/>
      </c>
      <c r="L291" s="200"/>
      <c r="M291" s="6116"/>
      <c r="N291" s="6116"/>
      <c r="O291" s="2230"/>
      <c r="P291" s="2252"/>
      <c r="Q291" s="2237"/>
      <c r="R291" s="2237"/>
      <c r="S291" s="2237"/>
      <c r="T291" s="2237"/>
      <c r="U291" s="2240"/>
      <c r="V291" s="2241"/>
      <c r="W291" s="2239"/>
      <c r="X291" s="2242"/>
      <c r="Y291" s="2243"/>
      <c r="Z291" s="2251"/>
      <c r="AA291" s="2244"/>
      <c r="AB291" s="2245"/>
      <c r="AC291" s="2246"/>
      <c r="AD291" s="2247"/>
      <c r="AE291" s="2248"/>
      <c r="AF291" s="2249"/>
      <c r="AG291" s="2249"/>
      <c r="AH291" s="2238"/>
      <c r="AI291" s="2257"/>
      <c r="AJ291" s="2230"/>
      <c r="AK291" s="2230"/>
      <c r="AL291" s="3">
        <v>1</v>
      </c>
    </row>
    <row r="292" spans="1:38" ht="15.75">
      <c r="A292" s="5561"/>
      <c r="B292" s="6793"/>
      <c r="C292" s="6074" t="str">
        <f>TRIM(SUBSTITUTE(SUBSTITUTE(C291,"“"," "),"”"," "))</f>
        <v/>
      </c>
      <c r="D292" s="6069" t="str" cm="1">
        <f t="array" ref="D292">IF(ROW()=ROW(D285),C288,INDEX(E285:E298,ROW()-ROW(D285)))</f>
        <v/>
      </c>
      <c r="E292" s="6112" t="str">
        <f>IF(OR(D292="",C287="",C287&lt;=0,F292=""),"",TRIM(MID(D292,LEN(F292)+1+IF(MID(D292,LEN(F292)+1,1)=" ",1,0),99999)))</f>
        <v/>
      </c>
      <c r="F292" s="6069" t="str">
        <f>IF(OR(G292="",G292=0,G292="0"),"",IF(LEN(G292)&lt;=C287,G292,IF(LEN(SUBSTITUTE(H292," ",""))=C287+1,LEFT(G292,C287),LEFT(G292,FIND("§",SUBSTITUTE(H292," ","§",LEN(H292)-LEN(SUBSTITUTE(H292," ",""))))-1))))</f>
        <v/>
      </c>
      <c r="G292" s="6069" t="str">
        <f t="shared" si="22"/>
        <v/>
      </c>
      <c r="H292" s="6069" t="str">
        <f>IF(OR(G292="",G292=0,G292="0"),"",LEFT(G292,C287+1))</f>
        <v/>
      </c>
      <c r="I292" s="6070" t="str">
        <f t="shared" si="23"/>
        <v/>
      </c>
      <c r="J292" s="6071" t="str">
        <f t="shared" si="24"/>
        <v/>
      </c>
      <c r="K292" s="6072" t="str">
        <f>IF(LEN(TRIM(L292))&gt;0,MAX(K46:K291)+1,"")</f>
        <v/>
      </c>
      <c r="L292" s="200"/>
      <c r="M292" s="6116"/>
      <c r="N292" s="6116"/>
      <c r="O292" s="2230"/>
      <c r="P292" s="2252"/>
      <c r="Q292" s="2237"/>
      <c r="R292" s="2237"/>
      <c r="S292" s="2237"/>
      <c r="T292" s="2237"/>
      <c r="U292" s="2240"/>
      <c r="V292" s="2241"/>
      <c r="W292" s="2239"/>
      <c r="X292" s="2242"/>
      <c r="Y292" s="2243"/>
      <c r="Z292" s="2251"/>
      <c r="AA292" s="2244"/>
      <c r="AB292" s="2245"/>
      <c r="AC292" s="2246"/>
      <c r="AD292" s="2247"/>
      <c r="AE292" s="2248"/>
      <c r="AF292" s="2249"/>
      <c r="AG292" s="2249"/>
      <c r="AH292" s="2238"/>
      <c r="AI292" s="2257"/>
      <c r="AJ292" s="2230"/>
      <c r="AK292" s="2230"/>
      <c r="AL292" s="3">
        <v>1</v>
      </c>
    </row>
    <row r="293" spans="1:38" ht="15.75">
      <c r="B293" s="6793"/>
      <c r="C293" s="6074"/>
      <c r="D293" s="6069" t="str" cm="1">
        <f t="array" ref="D293">IF(ROW()=ROW(D285),C288,INDEX(E285:E298,ROW()-ROW(D285)))</f>
        <v/>
      </c>
      <c r="E293" s="6112" t="str">
        <f>IF(OR(D293="",C287="",C287&lt;=0,F293=""),"",TRIM(MID(D293,LEN(F293)+1+IF(MID(D293,LEN(F293)+1,1)=" ",1,0),99999)))</f>
        <v/>
      </c>
      <c r="F293" s="6069" t="str">
        <f>IF(OR(G293="",G293=0,G293="0"),"",IF(LEN(G293)&lt;=C287,G293,IF(LEN(SUBSTITUTE(H293," ",""))=C287+1,LEFT(G293,C287),LEFT(G293,FIND("§",SUBSTITUTE(H293," ","§",LEN(H293)-LEN(SUBSTITUTE(H293," ",""))))-1))))</f>
        <v/>
      </c>
      <c r="G293" s="6069" t="str">
        <f t="shared" si="22"/>
        <v/>
      </c>
      <c r="H293" s="6069" t="str">
        <f>IF(OR(G293="",G293=0,G293="0"),"",LEFT(G293,C287+1))</f>
        <v/>
      </c>
      <c r="I293" s="6070" t="str">
        <f t="shared" si="23"/>
        <v/>
      </c>
      <c r="J293" s="6071" t="str">
        <f t="shared" si="24"/>
        <v/>
      </c>
      <c r="K293" s="6072" t="str">
        <f>IF(LEN(TRIM(L293))&gt;0,MAX(K46:K292)+1,"")</f>
        <v/>
      </c>
      <c r="L293" s="200"/>
      <c r="M293" s="6116"/>
      <c r="N293" s="6116"/>
      <c r="O293" s="2230"/>
      <c r="P293" s="2252"/>
      <c r="Q293" s="2237"/>
      <c r="R293" s="2237"/>
      <c r="S293" s="2237"/>
      <c r="T293" s="2237"/>
      <c r="U293" s="2240"/>
      <c r="V293" s="2241"/>
      <c r="W293" s="2239"/>
      <c r="X293" s="2242"/>
      <c r="Y293" s="2243"/>
      <c r="Z293" s="2251"/>
      <c r="AA293" s="2244"/>
      <c r="AB293" s="2245"/>
      <c r="AC293" s="2246"/>
      <c r="AD293" s="2247"/>
      <c r="AE293" s="2248"/>
      <c r="AF293" s="2249"/>
      <c r="AG293" s="2249"/>
      <c r="AH293" s="2238"/>
      <c r="AI293" s="2257"/>
      <c r="AJ293" s="2230"/>
      <c r="AK293" s="2230"/>
      <c r="AL293" s="3">
        <v>1</v>
      </c>
    </row>
    <row r="294" spans="1:38" ht="15.75">
      <c r="B294" s="6793"/>
      <c r="C294" s="6074"/>
      <c r="D294" s="6069" t="str" cm="1">
        <f t="array" ref="D294">IF(ROW()=ROW(D285),C288,INDEX(E285:E298,ROW()-ROW(D285)))</f>
        <v/>
      </c>
      <c r="E294" s="6112" t="str">
        <f>IF(OR(D294="",C287="",C287&lt;=0,F294=""),"",TRIM(MID(D294,LEN(F294)+1+IF(MID(D294,LEN(F294)+1,1)=" ",1,0),99999)))</f>
        <v/>
      </c>
      <c r="F294" s="6069" t="str">
        <f>IF(OR(G294="",G294=0,G294="0"),"",IF(LEN(G294)&lt;=C287,G294,IF(LEN(SUBSTITUTE(H294," ",""))=C287+1,LEFT(G294,C287),LEFT(G294,FIND("§",SUBSTITUTE(H294," ","§",LEN(H294)-LEN(SUBSTITUTE(H294," ",""))))-1))))</f>
        <v/>
      </c>
      <c r="G294" s="6069" t="str">
        <f t="shared" si="22"/>
        <v/>
      </c>
      <c r="H294" s="6069" t="str">
        <f>IF(OR(G294="",G294=0,G294="0"),"",LEFT(G294,C287+1))</f>
        <v/>
      </c>
      <c r="I294" s="6070" t="str">
        <f t="shared" si="23"/>
        <v/>
      </c>
      <c r="J294" s="6071" t="str">
        <f t="shared" si="24"/>
        <v/>
      </c>
      <c r="K294" s="6072" t="str">
        <f>IF(LEN(TRIM(L294))&gt;0,MAX(K46:K293)+1,"")</f>
        <v/>
      </c>
      <c r="L294" s="200"/>
      <c r="M294" s="6116"/>
      <c r="N294" s="6116"/>
      <c r="O294" s="2230"/>
      <c r="P294" s="2252"/>
      <c r="Q294" s="2237"/>
      <c r="R294" s="2237"/>
      <c r="S294" s="2237"/>
      <c r="T294" s="2237"/>
      <c r="U294" s="2240"/>
      <c r="V294" s="2241"/>
      <c r="W294" s="2239"/>
      <c r="X294" s="2242"/>
      <c r="Y294" s="2243"/>
      <c r="Z294" s="2251"/>
      <c r="AA294" s="2244"/>
      <c r="AB294" s="2245"/>
      <c r="AC294" s="2246"/>
      <c r="AD294" s="2247"/>
      <c r="AE294" s="2248"/>
      <c r="AF294" s="2249"/>
      <c r="AG294" s="2249"/>
      <c r="AH294" s="2238"/>
      <c r="AI294" s="2257"/>
      <c r="AJ294" s="2230"/>
      <c r="AK294" s="2230"/>
      <c r="AL294" s="3">
        <v>1</v>
      </c>
    </row>
    <row r="295" spans="1:38" ht="15.75">
      <c r="B295" s="6793"/>
      <c r="C295" s="6074"/>
      <c r="D295" s="6069" t="str" cm="1">
        <f t="array" ref="D295">IF(ROW()=ROW(D285),C288,INDEX(E285:E298,ROW()-ROW(D285)))</f>
        <v/>
      </c>
      <c r="E295" s="6112" t="str">
        <f>IF(OR(D295="",C287="",C287&lt;=0,F295=""),"",TRIM(MID(D295,LEN(F295)+1+IF(MID(D295,LEN(F295)+1,1)=" ",1,0),99999)))</f>
        <v/>
      </c>
      <c r="F295" s="6069" t="str">
        <f>IF(OR(G295="",G295=0,G295="0"),"",IF(LEN(G295)&lt;=C287,G295,IF(LEN(SUBSTITUTE(H295," ",""))=C287+1,LEFT(G295,C287),LEFT(G295,FIND("§",SUBSTITUTE(H295," ","§",LEN(H295)-LEN(SUBSTITUTE(H295," ",""))))-1))))</f>
        <v/>
      </c>
      <c r="G295" s="6069" t="str">
        <f t="shared" si="22"/>
        <v/>
      </c>
      <c r="H295" s="6069" t="str">
        <f>IF(OR(G295="",G295=0,G295="0"),"",LEFT(G295,C287+1))</f>
        <v/>
      </c>
      <c r="I295" s="6070" t="str">
        <f t="shared" si="23"/>
        <v/>
      </c>
      <c r="J295" s="6071" t="str">
        <f t="shared" si="24"/>
        <v/>
      </c>
      <c r="K295" s="6072" t="str">
        <f>IF(LEN(TRIM(L295))&gt;0,MAX(K46:K294)+1,"")</f>
        <v/>
      </c>
      <c r="L295" s="200"/>
      <c r="M295" s="6116"/>
      <c r="N295" s="6116"/>
      <c r="O295" s="2230"/>
      <c r="P295" s="2252"/>
      <c r="Q295" s="2237"/>
      <c r="R295" s="2237"/>
      <c r="S295" s="2237"/>
      <c r="T295" s="2237"/>
      <c r="U295" s="2240"/>
      <c r="V295" s="2241"/>
      <c r="W295" s="2239"/>
      <c r="X295" s="2242"/>
      <c r="Y295" s="2243"/>
      <c r="Z295" s="2251"/>
      <c r="AA295" s="2244"/>
      <c r="AB295" s="2245"/>
      <c r="AC295" s="2246"/>
      <c r="AD295" s="2247"/>
      <c r="AE295" s="2248"/>
      <c r="AF295" s="2249"/>
      <c r="AG295" s="2249"/>
      <c r="AH295" s="2238"/>
      <c r="AI295" s="2257"/>
      <c r="AJ295" s="2230"/>
      <c r="AK295" s="2230"/>
      <c r="AL295" s="3">
        <v>1</v>
      </c>
    </row>
    <row r="296" spans="1:38" ht="15.75">
      <c r="B296" s="6793"/>
      <c r="C296" s="6074"/>
      <c r="D296" s="6069" t="str" cm="1">
        <f t="array" ref="D296">IF(ROW()=ROW(D285),C288,INDEX(E285:E298,ROW()-ROW(D285)))</f>
        <v/>
      </c>
      <c r="E296" s="6112" t="str">
        <f>IF(OR(D296="",C287="",C287&lt;=0,F296=""),"",TRIM(MID(D296,LEN(F296)+1+IF(MID(D296,LEN(F296)+1,1)=" ",1,0),99999)))</f>
        <v/>
      </c>
      <c r="F296" s="6069" t="str">
        <f>IF(OR(G296="",G296=0,G296="0"),"",IF(LEN(G296)&lt;=C287,G296,IF(LEN(SUBSTITUTE(H296," ",""))=C287+1,LEFT(G296,C287),LEFT(G296,FIND("§",SUBSTITUTE(H296," ","§",LEN(H296)-LEN(SUBSTITUTE(H296," ",""))))-1))))</f>
        <v/>
      </c>
      <c r="G296" s="6069" t="str">
        <f t="shared" si="22"/>
        <v/>
      </c>
      <c r="H296" s="6069" t="str">
        <f>IF(OR(G296="",G296=0,G296="0"),"",LEFT(G296,C287+1))</f>
        <v/>
      </c>
      <c r="I296" s="6070" t="str">
        <f t="shared" si="23"/>
        <v/>
      </c>
      <c r="J296" s="6071" t="str">
        <f t="shared" si="24"/>
        <v/>
      </c>
      <c r="K296" s="6072" t="str">
        <f>IF(LEN(TRIM(L296))&gt;0,MAX(K46:K295)+1,"")</f>
        <v/>
      </c>
      <c r="L296" s="200"/>
      <c r="M296" s="6116"/>
      <c r="N296" s="6116"/>
      <c r="O296" s="2230"/>
      <c r="P296" s="2252"/>
      <c r="Q296" s="2237"/>
      <c r="R296" s="2237"/>
      <c r="S296" s="2237"/>
      <c r="T296" s="2237"/>
      <c r="U296" s="2240"/>
      <c r="V296" s="2241"/>
      <c r="W296" s="2239"/>
      <c r="X296" s="2242"/>
      <c r="Y296" s="2243"/>
      <c r="Z296" s="2251"/>
      <c r="AA296" s="2244"/>
      <c r="AB296" s="2245"/>
      <c r="AC296" s="2246"/>
      <c r="AD296" s="2247"/>
      <c r="AE296" s="2248"/>
      <c r="AF296" s="2249"/>
      <c r="AG296" s="2249"/>
      <c r="AH296" s="2238"/>
      <c r="AI296" s="2257"/>
      <c r="AJ296" s="2230"/>
      <c r="AK296" s="2230"/>
      <c r="AL296" s="3">
        <v>1</v>
      </c>
    </row>
    <row r="297" spans="1:38" ht="15.75">
      <c r="B297" s="6793"/>
      <c r="C297" s="6074"/>
      <c r="D297" s="6069" t="str" cm="1">
        <f t="array" ref="D297">IF(ROW()=ROW(D285),C288,INDEX(E285:E298,ROW()-ROW(D285)))</f>
        <v/>
      </c>
      <c r="E297" s="6112" t="str">
        <f>IF(OR(D297="",C287="",C287&lt;=0,F297=""),"",TRIM(MID(D297,LEN(F297)+1+IF(MID(D297,LEN(F297)+1,1)=" ",1,0),99999)))</f>
        <v/>
      </c>
      <c r="F297" s="6069" t="str">
        <f>IF(OR(G297="",G297=0,G297="0"),"",IF(LEN(G297)&lt;=C287,G297,IF(LEN(SUBSTITUTE(H297," ",""))=C287+1,LEFT(G297,C287),LEFT(G297,FIND("§",SUBSTITUTE(H297," ","§",LEN(H297)-LEN(SUBSTITUTE(H297," ",""))))-1))))</f>
        <v/>
      </c>
      <c r="G297" s="6069" t="str">
        <f t="shared" si="22"/>
        <v/>
      </c>
      <c r="H297" s="6069" t="str">
        <f>IF(OR(G297="",G297=0,G297="0"),"",LEFT(G297,C287+1))</f>
        <v/>
      </c>
      <c r="I297" s="6070" t="str">
        <f t="shared" si="23"/>
        <v/>
      </c>
      <c r="J297" s="6071" t="str">
        <f t="shared" si="24"/>
        <v/>
      </c>
      <c r="K297" s="6072" t="str">
        <f>IF(LEN(TRIM(L297))&gt;0,MAX(K46:K296)+1,"")</f>
        <v/>
      </c>
      <c r="L297" s="200"/>
      <c r="M297" s="6116"/>
      <c r="N297" s="6116"/>
      <c r="O297" s="2230"/>
      <c r="P297" s="2252"/>
      <c r="Q297" s="2237"/>
      <c r="R297" s="2237"/>
      <c r="S297" s="2237"/>
      <c r="T297" s="2237"/>
      <c r="U297" s="2240"/>
      <c r="V297" s="2241"/>
      <c r="W297" s="2239"/>
      <c r="X297" s="2242"/>
      <c r="Y297" s="2243"/>
      <c r="Z297" s="2251"/>
      <c r="AA297" s="2244"/>
      <c r="AB297" s="2245"/>
      <c r="AC297" s="2246"/>
      <c r="AD297" s="2247"/>
      <c r="AE297" s="2248"/>
      <c r="AF297" s="2249"/>
      <c r="AG297" s="2249"/>
      <c r="AH297" s="2238"/>
      <c r="AI297" s="2257"/>
      <c r="AJ297" s="2230"/>
      <c r="AK297" s="2230"/>
      <c r="AL297" s="3">
        <v>1</v>
      </c>
    </row>
    <row r="298" spans="1:38" ht="15.75">
      <c r="B298" s="6793"/>
      <c r="C298" s="6074"/>
      <c r="D298" s="6069" t="str" cm="1">
        <f t="array" ref="D298">IF(ROW()=ROW(D285),C288,INDEX(E285:E298,ROW()-ROW(D285)))</f>
        <v/>
      </c>
      <c r="E298" s="6112" t="str">
        <f>IF(OR(D298="",C287="",C287&lt;=0,F298=""),"",TRIM(MID(D298,LEN(F298)+1+IF(MID(D298,LEN(F298)+1,1)=" ",1,0),99999)))</f>
        <v/>
      </c>
      <c r="F298" s="6069" t="str">
        <f>IF(OR(G298="",G298=0,G298="0"),"",IF(LEN(G298)&lt;=C287,G298,IF(LEN(SUBSTITUTE(H298," ",""))=C287+1,LEFT(G298,C287),LEFT(G298,FIND("§",SUBSTITUTE(H298," ","§",LEN(H298)-LEN(SUBSTITUTE(H298," ",""))))-1))))</f>
        <v/>
      </c>
      <c r="G298" s="6069" t="str">
        <f t="shared" si="22"/>
        <v/>
      </c>
      <c r="H298" s="6069" t="str">
        <f>IF(OR(G298="",G298=0,G298="0"),"",LEFT(G298,C287+1))</f>
        <v/>
      </c>
      <c r="I298" s="6070" t="str">
        <f t="shared" si="23"/>
        <v/>
      </c>
      <c r="J298" s="6071" t="str">
        <f t="shared" si="24"/>
        <v/>
      </c>
      <c r="K298" s="6072" t="str">
        <f>IF(LEN(TRIM(L298))&gt;0,MAX(K46:K297)+1,"")</f>
        <v/>
      </c>
      <c r="L298" s="200"/>
      <c r="M298" s="6116"/>
      <c r="N298" s="6116"/>
      <c r="O298" s="2230"/>
      <c r="P298" s="2252"/>
      <c r="Q298" s="2237"/>
      <c r="R298" s="2237"/>
      <c r="S298" s="2237"/>
      <c r="T298" s="2237"/>
      <c r="U298" s="2240"/>
      <c r="V298" s="2241"/>
      <c r="W298" s="2239"/>
      <c r="X298" s="2242"/>
      <c r="Y298" s="2243"/>
      <c r="Z298" s="2251"/>
      <c r="AA298" s="2244"/>
      <c r="AB298" s="2245"/>
      <c r="AC298" s="2246"/>
      <c r="AD298" s="2247"/>
      <c r="AE298" s="2248"/>
      <c r="AF298" s="2249"/>
      <c r="AG298" s="2249"/>
      <c r="AH298" s="2238"/>
      <c r="AI298" s="2257"/>
      <c r="AJ298" s="2230"/>
      <c r="AK298" s="2230"/>
      <c r="AL298" s="3">
        <v>1</v>
      </c>
    </row>
    <row r="299" spans="1:38" ht="15.75" customHeight="1">
      <c r="B299" s="6793"/>
      <c r="C299" s="6068" t="str">
        <f>IF(TRIM(SUBSTITUTE(M65,CHAR(160),""))="","",M65)</f>
        <v/>
      </c>
      <c r="D299" s="6069" t="str" cm="1">
        <f t="array" ref="D299">IF(ROW()=ROW(D299),C302,INDEX(E299:E312,ROW()-ROW(D299)))</f>
        <v/>
      </c>
      <c r="E299" s="6112" t="str">
        <f>IF(OR(D299="",C301="",C301&lt;=0,F299=""),"",TRIM(MID(D299,LEN(F299)+1+IF(MID(D299,LEN(F299)+1,1)=" ",1,0),99999)))</f>
        <v/>
      </c>
      <c r="F299" s="6069" t="str">
        <f>IF(OR(G299="",G299=0,G299="0"),"",IF(LEN(G299)&lt;=C301,G299,IF(LEN(SUBSTITUTE(H299," ",""))=C301+1,LEFT(G299,C301),LEFT(G299,FIND("§",SUBSTITUTE(H299," ","§",LEN(H299)-LEN(SUBSTITUTE(H299," ",""))))-1))))</f>
        <v/>
      </c>
      <c r="G299" s="6069" t="str">
        <f t="shared" si="22"/>
        <v/>
      </c>
      <c r="H299" s="6069" t="str">
        <f>IF(OR(G299="",G299=0,G299="0"),"",LEFT(G299,C301+1))</f>
        <v/>
      </c>
      <c r="I299" s="6070" t="str">
        <f t="shared" si="23"/>
        <v/>
      </c>
      <c r="J299" s="6071" t="str">
        <f t="shared" si="24"/>
        <v/>
      </c>
      <c r="K299" s="6072" t="str">
        <f>IF(LEN(TRIM(L299))&gt;0,MAX(K46:K298)+1,"")</f>
        <v/>
      </c>
      <c r="L299" s="200"/>
      <c r="M299" s="6116"/>
      <c r="N299" s="6116"/>
      <c r="O299" s="2230"/>
      <c r="P299" s="2252"/>
      <c r="Q299" s="2237"/>
      <c r="R299" s="2237"/>
      <c r="S299" s="2237"/>
      <c r="T299" s="2237"/>
      <c r="U299" s="2240"/>
      <c r="V299" s="2241"/>
      <c r="W299" s="2239"/>
      <c r="X299" s="2242"/>
      <c r="Y299" s="2243"/>
      <c r="Z299" s="2251"/>
      <c r="AA299" s="2244"/>
      <c r="AB299" s="2245"/>
      <c r="AC299" s="2246"/>
      <c r="AD299" s="2247"/>
      <c r="AE299" s="2248"/>
      <c r="AF299" s="2249"/>
      <c r="AG299" s="2249"/>
      <c r="AH299" s="2238"/>
      <c r="AI299" s="2257"/>
      <c r="AJ299" s="2230"/>
      <c r="AK299" s="2230"/>
      <c r="AL299" s="3">
        <v>1</v>
      </c>
    </row>
    <row r="300" spans="1:38" ht="22.5" customHeight="1">
      <c r="B300" s="6793"/>
      <c r="C300" s="6074" t="str">
        <f>TRIM(SUBSTITUTE(SUBSTITUTE(SUBSTITUTE(SUBSTITUTE(IF(OR(LEFT(C299,1)="-",LEFT(C299,1)="="),MID(C299,2,99999),C299),CHAR(160)," "),CHAR(9)," "),CHAR(13)&amp;CHAR(10)," "),CHAR(10)," "))</f>
        <v/>
      </c>
      <c r="D300" s="6069" t="str" cm="1">
        <f t="array" ref="D300">IF(ROW()=ROW(D299),C302,INDEX(E299:E312,ROW()-ROW(D299)))</f>
        <v/>
      </c>
      <c r="E300" s="6112" t="str">
        <f>IF(OR(D300="",C301="",C301&lt;=0,F300=""),"",TRIM(MID(D300,LEN(F300)+1+IF(MID(D300,LEN(F300)+1,1)=" ",1,0),99999)))</f>
        <v/>
      </c>
      <c r="F300" s="6069" t="str">
        <f>IF(OR(G300="",G300=0,G300="0"),"",IF(LEN(G300)&lt;=C301,G300,IF(LEN(SUBSTITUTE(H300," ",""))=C301+1,LEFT(G300,C301),LEFT(G300,FIND("§",SUBSTITUTE(H300," ","§",LEN(H300)-LEN(SUBSTITUTE(H300," ",""))))-1))))</f>
        <v/>
      </c>
      <c r="G300" s="6069" t="str">
        <f t="shared" si="22"/>
        <v/>
      </c>
      <c r="H300" s="6069" t="str">
        <f>IF(OR(G300="",G300=0,G300="0"),"",LEFT(G300,C301+1))</f>
        <v/>
      </c>
      <c r="I300" s="6070" t="str">
        <f t="shared" si="23"/>
        <v/>
      </c>
      <c r="J300" s="6071" t="str">
        <f t="shared" si="24"/>
        <v/>
      </c>
      <c r="K300" s="6072" t="str">
        <f>IF(LEN(TRIM(L300))&gt;0,MAX(K46:K299)+1,"")</f>
        <v/>
      </c>
      <c r="L300" s="200"/>
      <c r="M300" s="6116"/>
      <c r="N300" s="6116"/>
      <c r="O300" s="2230"/>
      <c r="P300" s="2252"/>
      <c r="Q300" s="2237"/>
      <c r="R300" s="2237"/>
      <c r="S300" s="2237"/>
      <c r="T300" s="2237"/>
      <c r="U300" s="2240"/>
      <c r="V300" s="2241"/>
      <c r="W300" s="2239"/>
      <c r="X300" s="2242"/>
      <c r="Y300" s="2243"/>
      <c r="Z300" s="2251"/>
      <c r="AA300" s="2244"/>
      <c r="AB300" s="2245"/>
      <c r="AC300" s="2246"/>
      <c r="AD300" s="2247"/>
      <c r="AE300" s="2248"/>
      <c r="AF300" s="2249"/>
      <c r="AG300" s="2249"/>
      <c r="AH300" s="2238"/>
      <c r="AI300" s="2257"/>
      <c r="AJ300" s="2230"/>
      <c r="AK300" s="2230"/>
      <c r="AL300" s="3">
        <v>1</v>
      </c>
    </row>
    <row r="301" spans="1:38" ht="15.75">
      <c r="B301" s="6793"/>
      <c r="C301" s="6075">
        <f>M44</f>
        <v>120</v>
      </c>
      <c r="D301" s="6069" t="str" cm="1">
        <f t="array" ref="D301">IF(ROW()=ROW(D299),C302,INDEX(E299:E312,ROW()-ROW(D299)))</f>
        <v/>
      </c>
      <c r="E301" s="6112" t="str">
        <f>IF(OR(D301="",C301="",C301&lt;=0,F301=""),"",TRIM(MID(D301,LEN(F301)+1+IF(MID(D301,LEN(F301)+1,1)=" ",1,0),99999)))</f>
        <v/>
      </c>
      <c r="F301" s="6069" t="str">
        <f>IF(OR(G301="",G301=0,G301="0"),"",IF(LEN(G301)&lt;=C301,G301,IF(LEN(SUBSTITUTE(H301," ",""))=C301+1,LEFT(G301,C301),LEFT(G301,FIND("§",SUBSTITUTE(H301," ","§",LEN(H301)-LEN(SUBSTITUTE(H301," ",""))))-1))))</f>
        <v/>
      </c>
      <c r="G301" s="6069" t="str">
        <f t="shared" si="22"/>
        <v/>
      </c>
      <c r="H301" s="6069" t="str">
        <f>IF(OR(G301="",G301=0,G301="0"),"",LEFT(G301,C301+1))</f>
        <v/>
      </c>
      <c r="I301" s="6070" t="str">
        <f t="shared" si="23"/>
        <v/>
      </c>
      <c r="J301" s="6071" t="str">
        <f t="shared" si="24"/>
        <v/>
      </c>
      <c r="K301" s="6072" t="str">
        <f>IF(LEN(TRIM(L301))&gt;0,MAX(K46:K300)+1,"")</f>
        <v/>
      </c>
      <c r="L301" s="200"/>
      <c r="M301" s="6116"/>
      <c r="N301" s="6116"/>
      <c r="O301" s="2230"/>
      <c r="P301" s="2252"/>
      <c r="Q301" s="2237"/>
      <c r="R301" s="2237"/>
      <c r="S301" s="2237"/>
      <c r="T301" s="2237"/>
      <c r="U301" s="2240"/>
      <c r="V301" s="2241"/>
      <c r="W301" s="2239"/>
      <c r="X301" s="2242"/>
      <c r="Y301" s="2243"/>
      <c r="Z301" s="2251"/>
      <c r="AA301" s="2244"/>
      <c r="AB301" s="2245"/>
      <c r="AC301" s="2246"/>
      <c r="AD301" s="2247"/>
      <c r="AE301" s="2248"/>
      <c r="AF301" s="2249"/>
      <c r="AG301" s="2249"/>
      <c r="AH301" s="2238"/>
      <c r="AI301" s="2257"/>
      <c r="AJ301" s="2230"/>
      <c r="AK301" s="2230"/>
      <c r="AL301" s="3">
        <v>1</v>
      </c>
    </row>
    <row r="302" spans="1:38" ht="18.75" customHeight="1">
      <c r="B302" s="6793"/>
      <c r="C302" s="6074" t="str">
        <f>IF(UPPER(TRIM(C45))="X",C306,C300)</f>
        <v/>
      </c>
      <c r="D302" s="6069" t="str" cm="1">
        <f t="array" ref="D302">IF(ROW()=ROW(D299),C302,INDEX(E299:E312,ROW()-ROW(D299)))</f>
        <v/>
      </c>
      <c r="E302" s="6112" t="str">
        <f>IF(OR(D302="",C301="",C301&lt;=0,F302=""),"",TRIM(MID(D302,LEN(F302)+1+IF(MID(D302,LEN(F302)+1,1)=" ",1,0),99999)))</f>
        <v/>
      </c>
      <c r="F302" s="6069" t="str">
        <f>IF(OR(G302="",G302=0,G302="0"),"",IF(LEN(G302)&lt;=C301,G302,IF(LEN(SUBSTITUTE(H302," ",""))=C301+1,LEFT(G302,C301),LEFT(G302,FIND("§",SUBSTITUTE(H302," ","§",LEN(H302)-LEN(SUBSTITUTE(H302," ",""))))-1))))</f>
        <v/>
      </c>
      <c r="G302" s="6069" t="str">
        <f t="shared" si="22"/>
        <v/>
      </c>
      <c r="H302" s="6069" t="str">
        <f>IF(OR(G302="",G302=0,G302="0"),"",LEFT(G302,C301+1))</f>
        <v/>
      </c>
      <c r="I302" s="6070" t="str">
        <f t="shared" si="23"/>
        <v/>
      </c>
      <c r="J302" s="6071" t="str">
        <f t="shared" si="24"/>
        <v/>
      </c>
      <c r="K302" s="6072" t="str">
        <f>IF(LEN(TRIM(L302))&gt;0,MAX(K46:K301)+1,"")</f>
        <v/>
      </c>
      <c r="L302" s="200"/>
      <c r="M302" s="6116"/>
      <c r="N302" s="6116"/>
      <c r="O302" s="2230"/>
      <c r="P302" s="2252"/>
      <c r="Q302" s="2237"/>
      <c r="R302" s="2237"/>
      <c r="S302" s="2237"/>
      <c r="T302" s="2237"/>
      <c r="U302" s="2240"/>
      <c r="V302" s="2241"/>
      <c r="W302" s="2239"/>
      <c r="X302" s="2242"/>
      <c r="Y302" s="2243"/>
      <c r="Z302" s="2251"/>
      <c r="AA302" s="2244"/>
      <c r="AB302" s="2245"/>
      <c r="AC302" s="2246"/>
      <c r="AD302" s="2247"/>
      <c r="AE302" s="2248"/>
      <c r="AF302" s="2249"/>
      <c r="AG302" s="2249"/>
      <c r="AH302" s="2238"/>
      <c r="AI302" s="2257"/>
      <c r="AJ302" s="2230"/>
      <c r="AK302" s="2230"/>
      <c r="AL302" s="3">
        <v>1</v>
      </c>
    </row>
    <row r="303" spans="1:38" ht="15.75">
      <c r="B303" s="6793"/>
      <c r="C303" s="6074" t="str">
        <f>TRIM(SUBSTITUTE(SUBSTITUTE(SUBSTITUTE(SUBSTITUTE(SUBSTITUTE(SUBSTITUTE(SUBSTITUTE(SUBSTITUTE(SUBSTITUTE(SUBSTITUTE(C300,","," "),";"," "),":"," "),"!"," "),"?"," "),"…"," "),"»"," "),"«"," "),"/"," "),"."," "))</f>
        <v/>
      </c>
      <c r="D303" s="6069" t="str" cm="1">
        <f t="array" ref="D303">IF(ROW()=ROW(D299),C302,INDEX(E299:E312,ROW()-ROW(D299)))</f>
        <v/>
      </c>
      <c r="E303" s="6112" t="str">
        <f>IF(OR(D303="",C301="",C301&lt;=0,F303=""),"",TRIM(MID(D303,LEN(F303)+1+IF(MID(D303,LEN(F303)+1,1)=" ",1,0),99999)))</f>
        <v/>
      </c>
      <c r="F303" s="6069" t="str">
        <f>IF(OR(G303="",G303=0,G303="0"),"",IF(LEN(G303)&lt;=C301,G303,IF(LEN(SUBSTITUTE(H303," ",""))=C301+1,LEFT(G303,C301),LEFT(G303,FIND("§",SUBSTITUTE(H303," ","§",LEN(H303)-LEN(SUBSTITUTE(H303," ",""))))-1))))</f>
        <v/>
      </c>
      <c r="G303" s="6069" t="str">
        <f t="shared" ref="G303:G326" si="25">IF(OR(D303="",D303=0),"",TRIM(SUBSTITUTE(SUBSTITUTE(D303,CHAR(160)," "),CHAR(10)," ")))</f>
        <v/>
      </c>
      <c r="H303" s="6069" t="str">
        <f>IF(OR(G303="",G303=0,G303="0"),"",LEFT(G303,C301+1))</f>
        <v/>
      </c>
      <c r="I303" s="6070" t="str">
        <f t="shared" ref="I303:I326" si="26">IF(L303="","",(LEN(TRIM(SUBSTITUTE(L303,CHAR(160)," ")))-LEN(SUBSTITUTE(TRIM(SUBSTITUTE(L303,CHAR(160)," "))," ",""))+1)&amp;" mot"&amp;IF((LEN(TRIM(SUBSTITUTE(L303,CHAR(160)," ")))-LEN(SUBSTITUTE(TRIM(SUBSTITUTE(L303,CHAR(160)," "))," ",""))+1)&gt;1,"s",""))</f>
        <v/>
      </c>
      <c r="J303" s="6071" t="str">
        <f t="shared" ref="J303:J326" si="27">IF(L303="","",LEN(TRIM(SUBSTITUTE(L303,CHAR(160),"")))&amp;" car.")</f>
        <v/>
      </c>
      <c r="K303" s="6072" t="str">
        <f>IF(LEN(TRIM(L303))&gt;0,MAX(K46:K302)+1,"")</f>
        <v/>
      </c>
      <c r="L303" s="200"/>
      <c r="M303" s="6116"/>
      <c r="N303" s="6116"/>
      <c r="O303" s="2230"/>
      <c r="P303" s="2252"/>
      <c r="Q303" s="2237"/>
      <c r="R303" s="2237"/>
      <c r="S303" s="2237"/>
      <c r="T303" s="2237"/>
      <c r="U303" s="2240"/>
      <c r="V303" s="2241"/>
      <c r="W303" s="2239"/>
      <c r="X303" s="2242"/>
      <c r="Y303" s="2243"/>
      <c r="Z303" s="2251"/>
      <c r="AA303" s="2244"/>
      <c r="AB303" s="2245"/>
      <c r="AC303" s="2246"/>
      <c r="AD303" s="2247"/>
      <c r="AE303" s="2248"/>
      <c r="AF303" s="2249"/>
      <c r="AG303" s="2249"/>
      <c r="AH303" s="2238"/>
      <c r="AI303" s="2257"/>
      <c r="AJ303" s="2230"/>
      <c r="AK303" s="2230"/>
      <c r="AL303" s="3">
        <v>1</v>
      </c>
    </row>
    <row r="304" spans="1:38" ht="15.75">
      <c r="B304" s="6793"/>
      <c r="C304" s="6069" t="str">
        <f>TRIM(SUBSTITUTE(SUBSTITUTE(SUBSTITUTE(SUBSTITUTE(SUBSTITUTE(SUBSTITUTE(SUBSTITUTE(SUBSTITUTE(C303,"("," "),")"," "),CHAR(34)," "),"-"," "),"_"," "),"&lt;"," "),"&gt;"," "),"="," "))</f>
        <v/>
      </c>
      <c r="D304" s="6069" t="str" cm="1">
        <f t="array" ref="D304">IF(ROW()=ROW(D299),C302,INDEX(E299:E312,ROW()-ROW(D299)))</f>
        <v/>
      </c>
      <c r="E304" s="6112" t="str">
        <f>IF(OR(D304="",C301="",C301&lt;=0,F304=""),"",TRIM(MID(D304,LEN(F304)+1+IF(MID(D304,LEN(F304)+1,1)=" ",1,0),99999)))</f>
        <v/>
      </c>
      <c r="F304" s="6069" t="str">
        <f>IF(OR(G304="",G304=0,G304="0"),"",IF(LEN(G304)&lt;=C301,G304,IF(LEN(SUBSTITUTE(H304," ",""))=C301+1,LEFT(G304,C301),LEFT(G304,FIND("§",SUBSTITUTE(H304," ","§",LEN(H304)-LEN(SUBSTITUTE(H304," ",""))))-1))))</f>
        <v/>
      </c>
      <c r="G304" s="6069" t="str">
        <f t="shared" si="25"/>
        <v/>
      </c>
      <c r="H304" s="6069" t="str">
        <f>IF(OR(G304="",G304=0,G304="0"),"",LEFT(G304,C301+1))</f>
        <v/>
      </c>
      <c r="I304" s="6070" t="str">
        <f t="shared" si="26"/>
        <v/>
      </c>
      <c r="J304" s="6071" t="str">
        <f t="shared" si="27"/>
        <v/>
      </c>
      <c r="K304" s="6072" t="str">
        <f>IF(LEN(TRIM(L304))&gt;0,MAX(K46:K303)+1,"")</f>
        <v/>
      </c>
      <c r="L304" s="200"/>
      <c r="M304" s="6116"/>
      <c r="N304" s="6116"/>
      <c r="O304" s="2230"/>
      <c r="P304" s="2252"/>
      <c r="Q304" s="2237"/>
      <c r="R304" s="2237"/>
      <c r="S304" s="2237"/>
      <c r="T304" s="2237"/>
      <c r="U304" s="2240"/>
      <c r="V304" s="2241"/>
      <c r="W304" s="2239"/>
      <c r="X304" s="2242"/>
      <c r="Y304" s="2243"/>
      <c r="Z304" s="2251"/>
      <c r="AA304" s="2244"/>
      <c r="AB304" s="2245"/>
      <c r="AC304" s="2246"/>
      <c r="AD304" s="2247"/>
      <c r="AE304" s="2248"/>
      <c r="AF304" s="2249"/>
      <c r="AG304" s="2249"/>
      <c r="AH304" s="2238"/>
      <c r="AI304" s="2257"/>
      <c r="AJ304" s="2230"/>
      <c r="AK304" s="2230"/>
      <c r="AL304" s="3">
        <v>1</v>
      </c>
    </row>
    <row r="305" spans="2:38" ht="15.75">
      <c r="B305" s="6793"/>
      <c r="C305" s="6074" t="str">
        <f>TRIM(SUBSTITUTE(SUBSTITUTE(SUBSTITUTE(SUBSTITUTE(C304,"►"," "),"▼"," "),"▲"," "),"◄"," "))</f>
        <v/>
      </c>
      <c r="D305" s="6069" t="str" cm="1">
        <f t="array" ref="D305">IF(ROW()=ROW(D299),C302,INDEX(E299:E312,ROW()-ROW(D299)))</f>
        <v/>
      </c>
      <c r="E305" s="6112" t="str">
        <f>IF(OR(D305="",C301="",C301&lt;=0,F305=""),"",TRIM(MID(D305,LEN(F305)+1+IF(MID(D305,LEN(F305)+1,1)=" ",1,0),99999)))</f>
        <v/>
      </c>
      <c r="F305" s="6069" t="str">
        <f>IF(OR(G305="",G305=0,G305="0"),"",IF(LEN(G305)&lt;=C301,G305,IF(LEN(SUBSTITUTE(H305," ",""))=C301+1,LEFT(G305,C301),LEFT(G305,FIND("§",SUBSTITUTE(H305," ","§",LEN(H305)-LEN(SUBSTITUTE(H305," ",""))))-1))))</f>
        <v/>
      </c>
      <c r="G305" s="6069" t="str">
        <f t="shared" si="25"/>
        <v/>
      </c>
      <c r="H305" s="6069" t="str">
        <f>IF(OR(G305="",G305=0,G305="0"),"",LEFT(G305,C301+1))</f>
        <v/>
      </c>
      <c r="I305" s="6070" t="str">
        <f t="shared" si="26"/>
        <v/>
      </c>
      <c r="J305" s="6071" t="str">
        <f t="shared" si="27"/>
        <v/>
      </c>
      <c r="K305" s="6072" t="str">
        <f>IF(LEN(TRIM(L305))&gt;0,MAX(K46:K304)+1,"")</f>
        <v/>
      </c>
      <c r="L305" s="200"/>
      <c r="M305" s="6116"/>
      <c r="N305" s="6116"/>
      <c r="O305" s="2230"/>
      <c r="P305" s="2252"/>
      <c r="Q305" s="2237"/>
      <c r="R305" s="2237"/>
      <c r="S305" s="2237"/>
      <c r="T305" s="2237"/>
      <c r="U305" s="2240"/>
      <c r="V305" s="2241"/>
      <c r="W305" s="2239"/>
      <c r="X305" s="2242"/>
      <c r="Y305" s="2243"/>
      <c r="Z305" s="2251"/>
      <c r="AA305" s="2244"/>
      <c r="AB305" s="2245"/>
      <c r="AC305" s="2246"/>
      <c r="AD305" s="2247"/>
      <c r="AE305" s="2248"/>
      <c r="AF305" s="2249"/>
      <c r="AG305" s="2249"/>
      <c r="AH305" s="2238"/>
      <c r="AI305" s="2257"/>
      <c r="AJ305" s="2230"/>
      <c r="AK305" s="2230"/>
      <c r="AL305" s="3">
        <v>1</v>
      </c>
    </row>
    <row r="306" spans="2:38" ht="15.75">
      <c r="B306" s="6793"/>
      <c r="C306" s="6074" t="str">
        <f>TRIM(SUBSTITUTE(SUBSTITUTE(C305,"“"," "),"”"," "))</f>
        <v/>
      </c>
      <c r="D306" s="6069" t="str" cm="1">
        <f t="array" ref="D306">IF(ROW()=ROW(D299),C302,INDEX(E299:E312,ROW()-ROW(D299)))</f>
        <v/>
      </c>
      <c r="E306" s="6112" t="str">
        <f>IF(OR(D306="",C301="",C301&lt;=0,F306=""),"",TRIM(MID(D306,LEN(F306)+1+IF(MID(D306,LEN(F306)+1,1)=" ",1,0),99999)))</f>
        <v/>
      </c>
      <c r="F306" s="6069" t="str">
        <f>IF(OR(G306="",G306=0,G306="0"),"",IF(LEN(G306)&lt;=C301,G306,IF(LEN(SUBSTITUTE(H306," ",""))=C301+1,LEFT(G306,C301),LEFT(G306,FIND("§",SUBSTITUTE(H306," ","§",LEN(H306)-LEN(SUBSTITUTE(H306," ",""))))-1))))</f>
        <v/>
      </c>
      <c r="G306" s="6069" t="str">
        <f t="shared" si="25"/>
        <v/>
      </c>
      <c r="H306" s="6069" t="str">
        <f>IF(OR(G306="",G306=0,G306="0"),"",LEFT(G306,C301+1))</f>
        <v/>
      </c>
      <c r="I306" s="6070" t="str">
        <f t="shared" si="26"/>
        <v/>
      </c>
      <c r="J306" s="6071" t="str">
        <f t="shared" si="27"/>
        <v/>
      </c>
      <c r="K306" s="6072" t="str">
        <f>IF(LEN(TRIM(L306))&gt;0,MAX(K46:K305)+1,"")</f>
        <v/>
      </c>
      <c r="L306" s="200"/>
      <c r="M306" s="6116"/>
      <c r="N306" s="6116"/>
      <c r="O306" s="2230"/>
      <c r="P306" s="2252"/>
      <c r="Q306" s="2237"/>
      <c r="R306" s="2237"/>
      <c r="S306" s="2237"/>
      <c r="T306" s="2237"/>
      <c r="U306" s="2240"/>
      <c r="V306" s="2241"/>
      <c r="W306" s="2239"/>
      <c r="X306" s="2242"/>
      <c r="Y306" s="2243"/>
      <c r="Z306" s="2251"/>
      <c r="AA306" s="2244"/>
      <c r="AB306" s="2245"/>
      <c r="AC306" s="2246"/>
      <c r="AD306" s="2247"/>
      <c r="AE306" s="2248"/>
      <c r="AF306" s="2249"/>
      <c r="AG306" s="2249"/>
      <c r="AH306" s="2238"/>
      <c r="AI306" s="2257"/>
      <c r="AJ306" s="2230"/>
      <c r="AK306" s="2230"/>
      <c r="AL306" s="3">
        <v>1</v>
      </c>
    </row>
    <row r="307" spans="2:38" ht="15.75" customHeight="1">
      <c r="B307" s="6793"/>
      <c r="C307" s="6074"/>
      <c r="D307" s="6069" t="str" cm="1">
        <f t="array" ref="D307">IF(ROW()=ROW(D299),C302,INDEX(E299:E312,ROW()-ROW(D299)))</f>
        <v/>
      </c>
      <c r="E307" s="6112" t="str">
        <f>IF(OR(D307="",C301="",C301&lt;=0,F307=""),"",TRIM(MID(D307,LEN(F307)+1+IF(MID(D307,LEN(F307)+1,1)=" ",1,0),99999)))</f>
        <v/>
      </c>
      <c r="F307" s="6069" t="str">
        <f>IF(OR(G307="",G307=0,G307="0"),"",IF(LEN(G307)&lt;=C301,G307,IF(LEN(SUBSTITUTE(H307," ",""))=C301+1,LEFT(G307,C301),LEFT(G307,FIND("§",SUBSTITUTE(H307," ","§",LEN(H307)-LEN(SUBSTITUTE(H307," ",""))))-1))))</f>
        <v/>
      </c>
      <c r="G307" s="6069" t="str">
        <f t="shared" si="25"/>
        <v/>
      </c>
      <c r="H307" s="6069" t="str">
        <f>IF(OR(G307="",G307=0,G307="0"),"",LEFT(G307,C301+1))</f>
        <v/>
      </c>
      <c r="I307" s="6070" t="str">
        <f t="shared" si="26"/>
        <v/>
      </c>
      <c r="J307" s="6071" t="str">
        <f t="shared" si="27"/>
        <v/>
      </c>
      <c r="K307" s="6072" t="str">
        <f>IF(LEN(TRIM(L307))&gt;0,MAX(K46:K306)+1,"")</f>
        <v/>
      </c>
      <c r="L307" s="200"/>
      <c r="M307" s="6116"/>
      <c r="N307" s="6116"/>
      <c r="O307" s="2230"/>
      <c r="P307" s="2252"/>
      <c r="Q307" s="2237"/>
      <c r="R307" s="2237"/>
      <c r="S307" s="2237"/>
      <c r="T307" s="2237"/>
      <c r="U307" s="2240"/>
      <c r="V307" s="2241"/>
      <c r="W307" s="2239"/>
      <c r="X307" s="2242"/>
      <c r="Y307" s="2243"/>
      <c r="Z307" s="2251"/>
      <c r="AA307" s="2244"/>
      <c r="AB307" s="2245"/>
      <c r="AC307" s="2246"/>
      <c r="AD307" s="2247"/>
      <c r="AE307" s="2248"/>
      <c r="AF307" s="2249"/>
      <c r="AG307" s="2249"/>
      <c r="AH307" s="2238"/>
      <c r="AI307" s="2257"/>
      <c r="AJ307" s="2230"/>
      <c r="AK307" s="2230"/>
      <c r="AL307" s="3">
        <v>1</v>
      </c>
    </row>
    <row r="308" spans="2:38" ht="15.75">
      <c r="B308" s="6793"/>
      <c r="C308" s="6074"/>
      <c r="D308" s="6069" t="str" cm="1">
        <f t="array" ref="D308">IF(ROW()=ROW(D299),C302,INDEX(E299:E312,ROW()-ROW(D299)))</f>
        <v/>
      </c>
      <c r="E308" s="6112" t="str">
        <f>IF(OR(D308="",C301="",C301&lt;=0,F308=""),"",TRIM(MID(D308,LEN(F308)+1+IF(MID(D308,LEN(F308)+1,1)=" ",1,0),99999)))</f>
        <v/>
      </c>
      <c r="F308" s="6069" t="str">
        <f>IF(OR(G308="",G308=0,G308="0"),"",IF(LEN(G308)&lt;=C301,G308,IF(LEN(SUBSTITUTE(H308," ",""))=C301+1,LEFT(G308,C301),LEFT(G308,FIND("§",SUBSTITUTE(H308," ","§",LEN(H308)-LEN(SUBSTITUTE(H308," ",""))))-1))))</f>
        <v/>
      </c>
      <c r="G308" s="6069" t="str">
        <f t="shared" si="25"/>
        <v/>
      </c>
      <c r="H308" s="6069" t="str">
        <f>IF(OR(G308="",G308=0,G308="0"),"",LEFT(G308,C301+1))</f>
        <v/>
      </c>
      <c r="I308" s="6070" t="str">
        <f t="shared" si="26"/>
        <v/>
      </c>
      <c r="J308" s="6071" t="str">
        <f t="shared" si="27"/>
        <v/>
      </c>
      <c r="K308" s="6072" t="str">
        <f>IF(LEN(TRIM(L308))&gt;0,MAX(K46:K307)+1,"")</f>
        <v/>
      </c>
      <c r="L308" s="200"/>
      <c r="M308" s="6116"/>
      <c r="N308" s="6116"/>
      <c r="O308" s="2230"/>
      <c r="P308" s="2252"/>
      <c r="Q308" s="2237"/>
      <c r="R308" s="2237"/>
      <c r="S308" s="2237"/>
      <c r="T308" s="2237"/>
      <c r="U308" s="2240"/>
      <c r="V308" s="2241"/>
      <c r="W308" s="2239"/>
      <c r="X308" s="2242"/>
      <c r="Y308" s="2243"/>
      <c r="Z308" s="2251"/>
      <c r="AA308" s="2244"/>
      <c r="AB308" s="2245"/>
      <c r="AC308" s="2246"/>
      <c r="AD308" s="2247"/>
      <c r="AE308" s="2248"/>
      <c r="AF308" s="2249"/>
      <c r="AG308" s="2249"/>
      <c r="AH308" s="2238"/>
      <c r="AI308" s="2257"/>
      <c r="AJ308" s="2230"/>
      <c r="AK308" s="2230"/>
      <c r="AL308" s="3">
        <v>1</v>
      </c>
    </row>
    <row r="309" spans="2:38" ht="15.75">
      <c r="B309" s="6793"/>
      <c r="C309" s="6074"/>
      <c r="D309" s="6069" t="str" cm="1">
        <f t="array" ref="D309">IF(ROW()=ROW(D299),C302,INDEX(E299:E312,ROW()-ROW(D299)))</f>
        <v/>
      </c>
      <c r="E309" s="6112" t="str">
        <f>IF(OR(D309="",C301="",C301&lt;=0,F309=""),"",TRIM(MID(D309,LEN(F309)+1+IF(MID(D309,LEN(F309)+1,1)=" ",1,0),99999)))</f>
        <v/>
      </c>
      <c r="F309" s="6069" t="str">
        <f>IF(OR(G309="",G309=0,G309="0"),"",IF(LEN(G309)&lt;=C301,G309,IF(LEN(SUBSTITUTE(H309," ",""))=C301+1,LEFT(G309,C301),LEFT(G309,FIND("§",SUBSTITUTE(H309," ","§",LEN(H309)-LEN(SUBSTITUTE(H309," ",""))))-1))))</f>
        <v/>
      </c>
      <c r="G309" s="6069" t="str">
        <f t="shared" si="25"/>
        <v/>
      </c>
      <c r="H309" s="6069" t="str">
        <f>IF(OR(G309="",G309=0,G309="0"),"",LEFT(G309,C301+1))</f>
        <v/>
      </c>
      <c r="I309" s="6070" t="str">
        <f t="shared" si="26"/>
        <v/>
      </c>
      <c r="J309" s="6071" t="str">
        <f t="shared" si="27"/>
        <v/>
      </c>
      <c r="K309" s="6072" t="str">
        <f>IF(LEN(TRIM(L309))&gt;0,MAX(K46:K308)+1,"")</f>
        <v/>
      </c>
      <c r="L309" s="200"/>
      <c r="M309" s="6116"/>
      <c r="N309" s="6116"/>
      <c r="O309" s="2230"/>
      <c r="P309" s="2252"/>
      <c r="Q309" s="2237"/>
      <c r="R309" s="2237"/>
      <c r="S309" s="2237"/>
      <c r="T309" s="2237"/>
      <c r="U309" s="2240"/>
      <c r="V309" s="2241"/>
      <c r="W309" s="2239"/>
      <c r="X309" s="2242"/>
      <c r="Y309" s="2243"/>
      <c r="Z309" s="2251"/>
      <c r="AA309" s="2244"/>
      <c r="AB309" s="2245"/>
      <c r="AC309" s="2246"/>
      <c r="AD309" s="2247"/>
      <c r="AE309" s="2248"/>
      <c r="AF309" s="2249"/>
      <c r="AG309" s="2249"/>
      <c r="AH309" s="2238"/>
      <c r="AI309" s="2257"/>
      <c r="AJ309" s="2230"/>
      <c r="AK309" s="2230"/>
      <c r="AL309" s="3">
        <v>1</v>
      </c>
    </row>
    <row r="310" spans="2:38" ht="15.75" customHeight="1">
      <c r="B310" s="6793"/>
      <c r="C310" s="6074"/>
      <c r="D310" s="6069" t="str" cm="1">
        <f t="array" ref="D310">IF(ROW()=ROW(D299),C302,INDEX(E299:E312,ROW()-ROW(D299)))</f>
        <v/>
      </c>
      <c r="E310" s="6112" t="str">
        <f>IF(OR(D310="",C301="",C301&lt;=0,F310=""),"",TRIM(MID(D310,LEN(F310)+1+IF(MID(D310,LEN(F310)+1,1)=" ",1,0),99999)))</f>
        <v/>
      </c>
      <c r="F310" s="6069" t="str">
        <f>IF(OR(G310="",G310=0,G310="0"),"",IF(LEN(G310)&lt;=C301,G310,IF(LEN(SUBSTITUTE(H310," ",""))=C301+1,LEFT(G310,C301),LEFT(G310,FIND("§",SUBSTITUTE(H310," ","§",LEN(H310)-LEN(SUBSTITUTE(H310," ",""))))-1))))</f>
        <v/>
      </c>
      <c r="G310" s="6069" t="str">
        <f t="shared" si="25"/>
        <v/>
      </c>
      <c r="H310" s="6069" t="str">
        <f>IF(OR(G310="",G310=0,G310="0"),"",LEFT(G310,C301+1))</f>
        <v/>
      </c>
      <c r="I310" s="6070" t="str">
        <f t="shared" si="26"/>
        <v/>
      </c>
      <c r="J310" s="6071" t="str">
        <f t="shared" si="27"/>
        <v/>
      </c>
      <c r="K310" s="6072" t="str">
        <f>IF(LEN(TRIM(L310))&gt;0,MAX(K46:K309)+1,"")</f>
        <v/>
      </c>
      <c r="L310" s="200"/>
      <c r="M310" s="6116"/>
      <c r="N310" s="6116"/>
      <c r="O310" s="2230"/>
      <c r="P310" s="2252"/>
      <c r="Q310" s="2237"/>
      <c r="R310" s="2237"/>
      <c r="S310" s="2237"/>
      <c r="T310" s="2237"/>
      <c r="U310" s="2240"/>
      <c r="V310" s="2241"/>
      <c r="W310" s="2239"/>
      <c r="X310" s="2242"/>
      <c r="Y310" s="2243"/>
      <c r="Z310" s="2251"/>
      <c r="AA310" s="2244"/>
      <c r="AB310" s="2245"/>
      <c r="AC310" s="2246"/>
      <c r="AD310" s="2247"/>
      <c r="AE310" s="2248"/>
      <c r="AF310" s="2249"/>
      <c r="AG310" s="2249"/>
      <c r="AH310" s="2238"/>
      <c r="AI310" s="2257"/>
      <c r="AJ310" s="2230"/>
      <c r="AK310" s="2230"/>
      <c r="AL310" s="3">
        <v>1</v>
      </c>
    </row>
    <row r="311" spans="2:38" ht="22.5" customHeight="1">
      <c r="B311" s="6793"/>
      <c r="C311" s="6074"/>
      <c r="D311" s="6069" t="str" cm="1">
        <f t="array" ref="D311">IF(ROW()=ROW(D299),C302,INDEX(E299:E312,ROW()-ROW(D299)))</f>
        <v/>
      </c>
      <c r="E311" s="6112" t="str">
        <f>IF(OR(D311="",C301="",C301&lt;=0,F311=""),"",TRIM(MID(D311,LEN(F311)+1+IF(MID(D311,LEN(F311)+1,1)=" ",1,0),99999)))</f>
        <v/>
      </c>
      <c r="F311" s="6069" t="str">
        <f>IF(OR(G311="",G311=0,G311="0"),"",IF(LEN(G311)&lt;=C301,G311,IF(LEN(SUBSTITUTE(H311," ",""))=C301+1,LEFT(G311,C301),LEFT(G311,FIND("§",SUBSTITUTE(H311," ","§",LEN(H311)-LEN(SUBSTITUTE(H311," ",""))))-1))))</f>
        <v/>
      </c>
      <c r="G311" s="6069" t="str">
        <f t="shared" si="25"/>
        <v/>
      </c>
      <c r="H311" s="6069" t="str">
        <f>IF(OR(G311="",G311=0,G311="0"),"",LEFT(G311,C301+1))</f>
        <v/>
      </c>
      <c r="I311" s="6070" t="str">
        <f t="shared" si="26"/>
        <v/>
      </c>
      <c r="J311" s="6071" t="str">
        <f t="shared" si="27"/>
        <v/>
      </c>
      <c r="K311" s="6072" t="str">
        <f>IF(LEN(TRIM(L311))&gt;0,MAX(K46:K310)+1,"")</f>
        <v/>
      </c>
      <c r="L311" s="200"/>
      <c r="M311" s="6116"/>
      <c r="N311" s="6116"/>
      <c r="O311" s="2230"/>
      <c r="P311" s="2252"/>
      <c r="Q311" s="2237"/>
      <c r="R311" s="2237"/>
      <c r="S311" s="2237"/>
      <c r="T311" s="2237"/>
      <c r="U311" s="2240"/>
      <c r="V311" s="2241"/>
      <c r="W311" s="2239"/>
      <c r="X311" s="2242"/>
      <c r="Y311" s="2243"/>
      <c r="Z311" s="2251"/>
      <c r="AA311" s="2244"/>
      <c r="AB311" s="2245"/>
      <c r="AC311" s="2246"/>
      <c r="AD311" s="2247"/>
      <c r="AE311" s="2248"/>
      <c r="AF311" s="2249"/>
      <c r="AG311" s="2249"/>
      <c r="AH311" s="2238"/>
      <c r="AI311" s="2257"/>
      <c r="AJ311" s="2230"/>
      <c r="AK311" s="2230"/>
      <c r="AL311" s="3">
        <v>1</v>
      </c>
    </row>
    <row r="312" spans="2:38" ht="15.75">
      <c r="B312" s="6793"/>
      <c r="C312" s="6074"/>
      <c r="D312" s="6069" t="str" cm="1">
        <f t="array" ref="D312">IF(ROW()=ROW(D299),C302,INDEX(E299:E312,ROW()-ROW(D299)))</f>
        <v/>
      </c>
      <c r="E312" s="6112" t="str">
        <f>IF(OR(D312="",C301="",C301&lt;=0,F312=""),"",TRIM(MID(D312,LEN(F312)+1+IF(MID(D312,LEN(F312)+1,1)=" ",1,0),99999)))</f>
        <v/>
      </c>
      <c r="F312" s="6069" t="str">
        <f>IF(OR(G312="",G312=0,G312="0"),"",IF(LEN(G312)&lt;=C301,G312,IF(LEN(SUBSTITUTE(H312," ",""))=C301+1,LEFT(G312,C301),LEFT(G312,FIND("§",SUBSTITUTE(H312," ","§",LEN(H312)-LEN(SUBSTITUTE(H312," ",""))))-1))))</f>
        <v/>
      </c>
      <c r="G312" s="6069" t="str">
        <f t="shared" si="25"/>
        <v/>
      </c>
      <c r="H312" s="6069" t="str">
        <f>IF(OR(G312="",G312=0,G312="0"),"",LEFT(G312,C301+1))</f>
        <v/>
      </c>
      <c r="I312" s="6070" t="str">
        <f t="shared" si="26"/>
        <v/>
      </c>
      <c r="J312" s="6071" t="str">
        <f t="shared" si="27"/>
        <v/>
      </c>
      <c r="K312" s="6072" t="str">
        <f>IF(LEN(TRIM(L312))&gt;0,MAX(K46:K311)+1,"")</f>
        <v/>
      </c>
      <c r="L312" s="200"/>
      <c r="M312" s="6116"/>
      <c r="N312" s="6116"/>
      <c r="O312" s="2230"/>
      <c r="P312" s="2252"/>
      <c r="Q312" s="2237"/>
      <c r="R312" s="2237"/>
      <c r="S312" s="2237"/>
      <c r="T312" s="2237"/>
      <c r="U312" s="2240"/>
      <c r="V312" s="2241"/>
      <c r="W312" s="2239"/>
      <c r="X312" s="2242"/>
      <c r="Y312" s="2243"/>
      <c r="Z312" s="2251"/>
      <c r="AA312" s="2244"/>
      <c r="AB312" s="2245"/>
      <c r="AC312" s="2246"/>
      <c r="AD312" s="2247"/>
      <c r="AE312" s="2248"/>
      <c r="AF312" s="2249"/>
      <c r="AG312" s="2249"/>
      <c r="AH312" s="2238"/>
      <c r="AI312" s="2257"/>
      <c r="AJ312" s="2230"/>
      <c r="AK312" s="2230"/>
      <c r="AL312" s="3">
        <v>1</v>
      </c>
    </row>
    <row r="313" spans="2:38" ht="18.75" customHeight="1">
      <c r="B313" s="6793"/>
      <c r="C313" s="6068" t="str">
        <f>IF(TRIM(SUBSTITUTE(M66,CHAR(160),""))="","",M66)</f>
        <v/>
      </c>
      <c r="D313" s="6069" t="str" cm="1">
        <f t="array" ref="D313">IF(ROW()=ROW(D313),C316,INDEX(E313:E326,ROW()-ROW(D313)))</f>
        <v/>
      </c>
      <c r="E313" s="6112" t="str">
        <f>IF(OR(D313="",C315="",C315&lt;=0,F313=""),"",TRIM(MID(D313,LEN(F313)+1+IF(MID(D313,LEN(F313)+1,1)=" ",1,0),99999)))</f>
        <v/>
      </c>
      <c r="F313" s="6069" t="str">
        <f>IF(OR(G313="",G313=0,G313="0"),"",IF(LEN(G313)&lt;=C315,G313,IF(LEN(SUBSTITUTE(H313," ",""))=C315+1,LEFT(G313,C315),LEFT(G313,FIND("§",SUBSTITUTE(H313," ","§",LEN(H313)-LEN(SUBSTITUTE(H313," ",""))))-1))))</f>
        <v/>
      </c>
      <c r="G313" s="6069" t="str">
        <f t="shared" si="25"/>
        <v/>
      </c>
      <c r="H313" s="6069" t="str">
        <f>IF(OR(G313="",G313=0,G313="0"),"",LEFT(G313,C315+1))</f>
        <v/>
      </c>
      <c r="I313" s="6070" t="str">
        <f t="shared" si="26"/>
        <v/>
      </c>
      <c r="J313" s="6071" t="str">
        <f t="shared" si="27"/>
        <v/>
      </c>
      <c r="K313" s="6072" t="str">
        <f>IF(LEN(TRIM(L313))&gt;0,MAX(K46:K312)+1,"")</f>
        <v/>
      </c>
      <c r="L313" s="200"/>
      <c r="M313" s="6116"/>
      <c r="N313" s="6116"/>
      <c r="O313" s="2230"/>
      <c r="P313" s="2252"/>
      <c r="Q313" s="2237"/>
      <c r="R313" s="2237"/>
      <c r="S313" s="2237"/>
      <c r="T313" s="2237"/>
      <c r="U313" s="2240"/>
      <c r="V313" s="2241"/>
      <c r="W313" s="2239"/>
      <c r="X313" s="2242"/>
      <c r="Y313" s="2243"/>
      <c r="Z313" s="2251"/>
      <c r="AA313" s="2244"/>
      <c r="AB313" s="2245"/>
      <c r="AC313" s="2246"/>
      <c r="AD313" s="2247"/>
      <c r="AE313" s="2248"/>
      <c r="AF313" s="2249"/>
      <c r="AG313" s="2249"/>
      <c r="AH313" s="2238"/>
      <c r="AI313" s="2257"/>
      <c r="AJ313" s="2230"/>
      <c r="AK313" s="2230"/>
      <c r="AL313" s="3">
        <v>1</v>
      </c>
    </row>
    <row r="314" spans="2:38" ht="15.75">
      <c r="B314" s="6793"/>
      <c r="C314" s="6074" t="str">
        <f>TRIM(SUBSTITUTE(SUBSTITUTE(SUBSTITUTE(SUBSTITUTE(IF(OR(LEFT(C313,1)="-",LEFT(C313,1)="="),MID(C313,2,99999),C313),CHAR(160)," "),CHAR(9)," "),CHAR(13)&amp;CHAR(10)," "),CHAR(10)," "))</f>
        <v/>
      </c>
      <c r="D314" s="6069" t="str" cm="1">
        <f t="array" ref="D314">IF(ROW()=ROW(D313),C316,INDEX(E313:E326,ROW()-ROW(D313)))</f>
        <v/>
      </c>
      <c r="E314" s="6112" t="str">
        <f>IF(OR(D314="",C315="",C315&lt;=0,F314=""),"",TRIM(MID(D314,LEN(F314)+1+IF(MID(D314,LEN(F314)+1,1)=" ",1,0),99999)))</f>
        <v/>
      </c>
      <c r="F314" s="6069" t="str">
        <f>IF(OR(G314="",G314=0,G314="0"),"",IF(LEN(G314)&lt;=C315,G314,IF(LEN(SUBSTITUTE(H314," ",""))=C315+1,LEFT(G314,C315),LEFT(G314,FIND("§",SUBSTITUTE(H314," ","§",LEN(H314)-LEN(SUBSTITUTE(H314," ",""))))-1))))</f>
        <v/>
      </c>
      <c r="G314" s="6069" t="str">
        <f t="shared" si="25"/>
        <v/>
      </c>
      <c r="H314" s="6069" t="str">
        <f>IF(OR(G314="",G314=0,G314="0"),"",LEFT(G314,C315+1))</f>
        <v/>
      </c>
      <c r="I314" s="6070" t="str">
        <f t="shared" si="26"/>
        <v/>
      </c>
      <c r="J314" s="6071" t="str">
        <f t="shared" si="27"/>
        <v/>
      </c>
      <c r="K314" s="6072" t="str">
        <f>IF(LEN(TRIM(L314))&gt;0,MAX(K46:K313)+1,"")</f>
        <v/>
      </c>
      <c r="L314" s="200"/>
      <c r="M314" s="6116"/>
      <c r="N314" s="6116"/>
      <c r="O314" s="2230"/>
      <c r="P314" s="2252"/>
      <c r="Q314" s="2237"/>
      <c r="R314" s="2237"/>
      <c r="S314" s="2237"/>
      <c r="T314" s="2237"/>
      <c r="U314" s="2240"/>
      <c r="V314" s="2241"/>
      <c r="W314" s="2239"/>
      <c r="X314" s="2242"/>
      <c r="Y314" s="2243"/>
      <c r="Z314" s="2251"/>
      <c r="AA314" s="2244"/>
      <c r="AB314" s="2245"/>
      <c r="AC314" s="2246"/>
      <c r="AD314" s="2247"/>
      <c r="AE314" s="2248"/>
      <c r="AF314" s="2249"/>
      <c r="AG314" s="2249"/>
      <c r="AH314" s="2238"/>
      <c r="AI314" s="2257"/>
      <c r="AJ314" s="2230"/>
      <c r="AK314" s="2230"/>
      <c r="AL314" s="3">
        <v>1</v>
      </c>
    </row>
    <row r="315" spans="2:38" ht="15.75">
      <c r="B315" s="6793"/>
      <c r="C315" s="6075">
        <f>M44</f>
        <v>120</v>
      </c>
      <c r="D315" s="6069" t="str" cm="1">
        <f t="array" ref="D315">IF(ROW()=ROW(D313),C316,INDEX(E313:E326,ROW()-ROW(D313)))</f>
        <v/>
      </c>
      <c r="E315" s="6112" t="str">
        <f>IF(OR(D315="",C315="",C315&lt;=0,F315=""),"",TRIM(MID(D315,LEN(F315)+1+IF(MID(D315,LEN(F315)+1,1)=" ",1,0),99999)))</f>
        <v/>
      </c>
      <c r="F315" s="6069" t="str">
        <f>IF(OR(G315="",G315=0,G315="0"),"",IF(LEN(G315)&lt;=C315,G315,IF(LEN(SUBSTITUTE(H315," ",""))=C315+1,LEFT(G315,C315),LEFT(G315,FIND("§",SUBSTITUTE(H315," ","§",LEN(H315)-LEN(SUBSTITUTE(H315," ",""))))-1))))</f>
        <v/>
      </c>
      <c r="G315" s="6069" t="str">
        <f t="shared" si="25"/>
        <v/>
      </c>
      <c r="H315" s="6069" t="str">
        <f>IF(OR(G315="",G315=0,G315="0"),"",LEFT(G315,C315+1))</f>
        <v/>
      </c>
      <c r="I315" s="6070" t="str">
        <f t="shared" si="26"/>
        <v/>
      </c>
      <c r="J315" s="6071" t="str">
        <f t="shared" si="27"/>
        <v/>
      </c>
      <c r="K315" s="6072" t="str">
        <f>IF(LEN(TRIM(L315))&gt;0,MAX(K46:K314)+1,"")</f>
        <v/>
      </c>
      <c r="L315" s="200"/>
      <c r="M315" s="6116"/>
      <c r="N315" s="6116"/>
      <c r="O315" s="2230"/>
      <c r="P315" s="2252"/>
      <c r="Q315" s="2237"/>
      <c r="R315" s="2237"/>
      <c r="S315" s="2237"/>
      <c r="T315" s="2237"/>
      <c r="U315" s="2240"/>
      <c r="V315" s="2241"/>
      <c r="W315" s="2239"/>
      <c r="X315" s="2242"/>
      <c r="Y315" s="2243"/>
      <c r="Z315" s="2251"/>
      <c r="AA315" s="2244"/>
      <c r="AB315" s="2245"/>
      <c r="AC315" s="2246"/>
      <c r="AD315" s="2247"/>
      <c r="AE315" s="2248"/>
      <c r="AF315" s="2249"/>
      <c r="AG315" s="2249"/>
      <c r="AH315" s="2238"/>
      <c r="AI315" s="2257"/>
      <c r="AJ315" s="2230"/>
      <c r="AK315" s="2230"/>
      <c r="AL315" s="3">
        <v>1</v>
      </c>
    </row>
    <row r="316" spans="2:38" ht="15.75">
      <c r="B316" s="6793"/>
      <c r="C316" s="6074" t="str">
        <f>IF(UPPER(TRIM(C45))="X",C320,C314)</f>
        <v/>
      </c>
      <c r="D316" s="6069" t="str" cm="1">
        <f t="array" ref="D316">IF(ROW()=ROW(D313),C316,INDEX(E313:E326,ROW()-ROW(D313)))</f>
        <v/>
      </c>
      <c r="E316" s="6112" t="str">
        <f>IF(OR(D316="",C315="",C315&lt;=0,F316=""),"",TRIM(MID(D316,LEN(F316)+1+IF(MID(D316,LEN(F316)+1,1)=" ",1,0),99999)))</f>
        <v/>
      </c>
      <c r="F316" s="6069" t="str">
        <f>IF(OR(G316="",G316=0,G316="0"),"",IF(LEN(G316)&lt;=C315,G316,IF(LEN(SUBSTITUTE(H316," ",""))=C315+1,LEFT(G316,C315),LEFT(G316,FIND("§",SUBSTITUTE(H316," ","§",LEN(H316)-LEN(SUBSTITUTE(H316," ",""))))-1))))</f>
        <v/>
      </c>
      <c r="G316" s="6069" t="str">
        <f t="shared" si="25"/>
        <v/>
      </c>
      <c r="H316" s="6069" t="str">
        <f>IF(OR(G316="",G316=0,G316="0"),"",LEFT(G316,C315+1))</f>
        <v/>
      </c>
      <c r="I316" s="6070" t="str">
        <f t="shared" si="26"/>
        <v/>
      </c>
      <c r="J316" s="6071" t="str">
        <f t="shared" si="27"/>
        <v/>
      </c>
      <c r="K316" s="6072" t="str">
        <f>IF(LEN(TRIM(L316))&gt;0,MAX(K46:K315)+1,"")</f>
        <v/>
      </c>
      <c r="L316" s="200"/>
      <c r="M316" s="6116"/>
      <c r="N316" s="6116"/>
      <c r="O316" s="2230"/>
      <c r="P316" s="2252"/>
      <c r="Q316" s="2237"/>
      <c r="R316" s="2237"/>
      <c r="S316" s="2237"/>
      <c r="T316" s="2237"/>
      <c r="U316" s="2240"/>
      <c r="V316" s="2241"/>
      <c r="W316" s="2239"/>
      <c r="X316" s="2242"/>
      <c r="Y316" s="2243"/>
      <c r="Z316" s="2251"/>
      <c r="AA316" s="2244"/>
      <c r="AB316" s="2245"/>
      <c r="AC316" s="2246"/>
      <c r="AD316" s="2247"/>
      <c r="AE316" s="2248"/>
      <c r="AF316" s="2249"/>
      <c r="AG316" s="2249"/>
      <c r="AH316" s="2238"/>
      <c r="AI316" s="2257"/>
      <c r="AJ316" s="2230"/>
      <c r="AK316" s="2230"/>
      <c r="AL316" s="3">
        <v>1</v>
      </c>
    </row>
    <row r="317" spans="2:38" ht="15.75">
      <c r="B317" s="6793"/>
      <c r="C317" s="6074" t="str">
        <f>TRIM(SUBSTITUTE(SUBSTITUTE(SUBSTITUTE(SUBSTITUTE(SUBSTITUTE(SUBSTITUTE(SUBSTITUTE(SUBSTITUTE(SUBSTITUTE(SUBSTITUTE(C314,","," "),";"," "),":"," "),"!"," "),"?"," "),"…"," "),"»"," "),"«"," "),"/"," "),"."," "))</f>
        <v/>
      </c>
      <c r="D317" s="6069" t="str" cm="1">
        <f t="array" ref="D317">IF(ROW()=ROW(D313),C316,INDEX(E313:E326,ROW()-ROW(D313)))</f>
        <v/>
      </c>
      <c r="E317" s="6112" t="str">
        <f>IF(OR(D317="",C315="",C315&lt;=0,F317=""),"",TRIM(MID(D317,LEN(F317)+1+IF(MID(D317,LEN(F317)+1,1)=" ",1,0),99999)))</f>
        <v/>
      </c>
      <c r="F317" s="6069" t="str">
        <f>IF(OR(G317="",G317=0,G317="0"),"",IF(LEN(G317)&lt;=C315,G317,IF(LEN(SUBSTITUTE(H317," ",""))=C315+1,LEFT(G317,C315),LEFT(G317,FIND("§",SUBSTITUTE(H317," ","§",LEN(H317)-LEN(SUBSTITUTE(H317," ",""))))-1))))</f>
        <v/>
      </c>
      <c r="G317" s="6069" t="str">
        <f t="shared" si="25"/>
        <v/>
      </c>
      <c r="H317" s="6069" t="str">
        <f>IF(OR(G317="",G317=0,G317="0"),"",LEFT(G317,C315+1))</f>
        <v/>
      </c>
      <c r="I317" s="6070" t="str">
        <f t="shared" si="26"/>
        <v/>
      </c>
      <c r="J317" s="6071" t="str">
        <f t="shared" si="27"/>
        <v/>
      </c>
      <c r="K317" s="6072" t="str">
        <f>IF(LEN(TRIM(L317))&gt;0,MAX(K46:K316)+1,"")</f>
        <v/>
      </c>
      <c r="L317" s="200"/>
      <c r="M317" s="6116"/>
      <c r="N317" s="6116"/>
      <c r="P317" s="6117"/>
      <c r="Q317" s="6117"/>
      <c r="R317" s="6117"/>
      <c r="S317" s="6117"/>
      <c r="T317" s="6117"/>
      <c r="U317" s="6117"/>
      <c r="V317" s="6117"/>
      <c r="W317" s="6117"/>
      <c r="X317" s="6117"/>
      <c r="Y317" s="6117"/>
      <c r="Z317" s="6117"/>
      <c r="AA317" s="6117"/>
      <c r="AB317" s="6117"/>
      <c r="AC317" s="6117"/>
      <c r="AD317" s="6117"/>
      <c r="AE317" s="6117"/>
      <c r="AF317" s="6117"/>
      <c r="AG317" s="6117"/>
      <c r="AH317" s="6117"/>
      <c r="AI317" s="6117"/>
      <c r="AL317" s="3">
        <v>1</v>
      </c>
    </row>
    <row r="318" spans="2:38" ht="15.75">
      <c r="B318" s="6793"/>
      <c r="C318" s="6069" t="str">
        <f>TRIM(SUBSTITUTE(SUBSTITUTE(SUBSTITUTE(SUBSTITUTE(SUBSTITUTE(SUBSTITUTE(SUBSTITUTE(SUBSTITUTE(C317,"("," "),")"," "),CHAR(34)," "),"-"," "),"_"," "),"&lt;"," "),"&gt;"," "),"="," "))</f>
        <v/>
      </c>
      <c r="D318" s="6069" t="str" cm="1">
        <f t="array" ref="D318">IF(ROW()=ROW(D313),C316,INDEX(E313:E326,ROW()-ROW(D313)))</f>
        <v/>
      </c>
      <c r="E318" s="6112" t="str">
        <f>IF(OR(D318="",C315="",C315&lt;=0,F318=""),"",TRIM(MID(D318,LEN(F318)+1+IF(MID(D318,LEN(F318)+1,1)=" ",1,0),99999)))</f>
        <v/>
      </c>
      <c r="F318" s="6069" t="str">
        <f>IF(OR(G318="",G318=0,G318="0"),"",IF(LEN(G318)&lt;=C315,G318,IF(LEN(SUBSTITUTE(H318," ",""))=C315+1,LEFT(G318,C315),LEFT(G318,FIND("§",SUBSTITUTE(H318," ","§",LEN(H318)-LEN(SUBSTITUTE(H318," ",""))))-1))))</f>
        <v/>
      </c>
      <c r="G318" s="6069" t="str">
        <f t="shared" si="25"/>
        <v/>
      </c>
      <c r="H318" s="6069" t="str">
        <f>IF(OR(G318="",G318=0,G318="0"),"",LEFT(G318,C315+1))</f>
        <v/>
      </c>
      <c r="I318" s="6070" t="str">
        <f t="shared" si="26"/>
        <v/>
      </c>
      <c r="J318" s="6071" t="str">
        <f t="shared" si="27"/>
        <v/>
      </c>
      <c r="K318" s="6072" t="str">
        <f>IF(LEN(TRIM(L318))&gt;0,MAX(K46:K317)+1,"")</f>
        <v/>
      </c>
      <c r="L318" s="200"/>
      <c r="M318" s="6116"/>
      <c r="N318" s="6116"/>
      <c r="AL318" s="3">
        <v>1</v>
      </c>
    </row>
    <row r="319" spans="2:38" ht="15.75">
      <c r="B319" s="6793"/>
      <c r="C319" s="6074" t="str">
        <f>TRIM(SUBSTITUTE(SUBSTITUTE(SUBSTITUTE(SUBSTITUTE(C318,"►"," "),"▼"," "),"▲"," "),"◄"," "))</f>
        <v/>
      </c>
      <c r="D319" s="6069" t="str" cm="1">
        <f t="array" ref="D319">IF(ROW()=ROW(D313),C316,INDEX(E313:E326,ROW()-ROW(D313)))</f>
        <v/>
      </c>
      <c r="E319" s="6112" t="str">
        <f>IF(OR(D319="",C315="",C315&lt;=0,F319=""),"",TRIM(MID(D319,LEN(F319)+1+IF(MID(D319,LEN(F319)+1,1)=" ",1,0),99999)))</f>
        <v/>
      </c>
      <c r="F319" s="6069" t="str">
        <f>IF(OR(G319="",G319=0,G319="0"),"",IF(LEN(G319)&lt;=C315,G319,IF(LEN(SUBSTITUTE(H319," ",""))=C315+1,LEFT(G319,C315),LEFT(G319,FIND("§",SUBSTITUTE(H319," ","§",LEN(H319)-LEN(SUBSTITUTE(H319," ",""))))-1))))</f>
        <v/>
      </c>
      <c r="G319" s="6069" t="str">
        <f t="shared" si="25"/>
        <v/>
      </c>
      <c r="H319" s="6069" t="str">
        <f>IF(OR(G319="",G319=0,G319="0"),"",LEFT(G319,C315+1))</f>
        <v/>
      </c>
      <c r="I319" s="6070" t="str">
        <f t="shared" si="26"/>
        <v/>
      </c>
      <c r="J319" s="6071" t="str">
        <f t="shared" si="27"/>
        <v/>
      </c>
      <c r="K319" s="6072" t="str">
        <f>IF(LEN(TRIM(L319))&gt;0,MAX(K46:K318)+1,"")</f>
        <v/>
      </c>
      <c r="L319" s="200"/>
      <c r="M319" s="6116"/>
      <c r="N319" s="6116"/>
      <c r="AL319" s="3">
        <v>1</v>
      </c>
    </row>
    <row r="320" spans="2:38" ht="15.75">
      <c r="B320" s="6793"/>
      <c r="C320" s="6074" t="str">
        <f>TRIM(SUBSTITUTE(SUBSTITUTE(C319,"“"," "),"”"," "))</f>
        <v/>
      </c>
      <c r="D320" s="6069" t="str" cm="1">
        <f t="array" ref="D320">IF(ROW()=ROW(D313),C316,INDEX(E313:E326,ROW()-ROW(D313)))</f>
        <v/>
      </c>
      <c r="E320" s="6112" t="str">
        <f>IF(OR(D320="",C315="",C315&lt;=0,F320=""),"",TRIM(MID(D320,LEN(F320)+1+IF(MID(D320,LEN(F320)+1,1)=" ",1,0),99999)))</f>
        <v/>
      </c>
      <c r="F320" s="6069" t="str">
        <f>IF(OR(G320="",G320=0,G320="0"),"",IF(LEN(G320)&lt;=C315,G320,IF(LEN(SUBSTITUTE(H320," ",""))=C315+1,LEFT(G320,C315),LEFT(G320,FIND("§",SUBSTITUTE(H320," ","§",LEN(H320)-LEN(SUBSTITUTE(H320," ",""))))-1))))</f>
        <v/>
      </c>
      <c r="G320" s="6069" t="str">
        <f t="shared" si="25"/>
        <v/>
      </c>
      <c r="H320" s="6069" t="str">
        <f>IF(OR(G320="",G320=0,G320="0"),"",LEFT(G320,C315+1))</f>
        <v/>
      </c>
      <c r="I320" s="6070" t="str">
        <f t="shared" si="26"/>
        <v/>
      </c>
      <c r="J320" s="6071" t="str">
        <f t="shared" si="27"/>
        <v/>
      </c>
      <c r="K320" s="6072" t="str">
        <f>IF(LEN(TRIM(L320))&gt;0,MAX(K46:K319)+1,"")</f>
        <v/>
      </c>
      <c r="L320" s="200"/>
      <c r="M320" s="6116"/>
      <c r="N320" s="6116"/>
      <c r="AL320" s="3">
        <v>1</v>
      </c>
    </row>
    <row r="321" spans="1:40" ht="15.75">
      <c r="B321" s="6793"/>
      <c r="C321" s="6074"/>
      <c r="D321" s="6069" t="str" cm="1">
        <f t="array" ref="D321">IF(ROW()=ROW(D313),C316,INDEX(E313:E326,ROW()-ROW(D313)))</f>
        <v/>
      </c>
      <c r="E321" s="6112" t="str">
        <f>IF(OR(D321="",C315="",C315&lt;=0,F321=""),"",TRIM(MID(D321,LEN(F321)+1+IF(MID(D321,LEN(F321)+1,1)=" ",1,0),99999)))</f>
        <v/>
      </c>
      <c r="F321" s="6069" t="str">
        <f>IF(OR(G321="",G321=0,G321="0"),"",IF(LEN(G321)&lt;=C315,G321,IF(LEN(SUBSTITUTE(H321," ",""))=C315+1,LEFT(G321,C315),LEFT(G321,FIND("§",SUBSTITUTE(H321," ","§",LEN(H321)-LEN(SUBSTITUTE(H321," ",""))))-1))))</f>
        <v/>
      </c>
      <c r="G321" s="6069" t="str">
        <f t="shared" si="25"/>
        <v/>
      </c>
      <c r="H321" s="6069" t="str">
        <f>IF(OR(G321="",G321=0,G321="0"),"",LEFT(G321,C315+1))</f>
        <v/>
      </c>
      <c r="I321" s="6070" t="str">
        <f t="shared" si="26"/>
        <v/>
      </c>
      <c r="J321" s="6071" t="str">
        <f t="shared" si="27"/>
        <v/>
      </c>
      <c r="K321" s="6072" t="str">
        <f>IF(LEN(TRIM(L321))&gt;0,MAX(K46:K320)+1,"")</f>
        <v/>
      </c>
      <c r="L321" s="200"/>
      <c r="M321" s="6116"/>
      <c r="N321" s="6116"/>
      <c r="AL321" s="3">
        <v>1</v>
      </c>
    </row>
    <row r="322" spans="1:40" ht="15.75">
      <c r="B322" s="6793"/>
      <c r="C322" s="6074"/>
      <c r="D322" s="6069" t="str" cm="1">
        <f t="array" ref="D322">IF(ROW()=ROW(D313),C316,INDEX(E313:E326,ROW()-ROW(D313)))</f>
        <v/>
      </c>
      <c r="E322" s="6112" t="str">
        <f>IF(OR(D322="",C315="",C315&lt;=0,F322=""),"",TRIM(MID(D322,LEN(F322)+1+IF(MID(D322,LEN(F322)+1,1)=" ",1,0),99999)))</f>
        <v/>
      </c>
      <c r="F322" s="6069" t="str">
        <f>IF(OR(G322="",G322=0,G322="0"),"",IF(LEN(G322)&lt;=C315,G322,IF(LEN(SUBSTITUTE(H322," ",""))=C315+1,LEFT(G322,C315),LEFT(G322,FIND("§",SUBSTITUTE(H322," ","§",LEN(H322)-LEN(SUBSTITUTE(H322," ",""))))-1))))</f>
        <v/>
      </c>
      <c r="G322" s="6069" t="str">
        <f t="shared" si="25"/>
        <v/>
      </c>
      <c r="H322" s="6069" t="str">
        <f>IF(OR(G322="",G322=0,G322="0"),"",LEFT(G322,C315+1))</f>
        <v/>
      </c>
      <c r="I322" s="6070" t="str">
        <f t="shared" si="26"/>
        <v/>
      </c>
      <c r="J322" s="6071" t="str">
        <f t="shared" si="27"/>
        <v/>
      </c>
      <c r="K322" s="6072" t="str">
        <f>IF(LEN(TRIM(L322))&gt;0,MAX(K46:K321)+1,"")</f>
        <v/>
      </c>
      <c r="L322" s="200"/>
      <c r="M322" s="6116"/>
      <c r="N322" s="6116"/>
      <c r="AL322" s="3">
        <v>1</v>
      </c>
    </row>
    <row r="323" spans="1:40" ht="15.75">
      <c r="B323" s="6793"/>
      <c r="C323" s="6074"/>
      <c r="D323" s="6069" t="str" cm="1">
        <f t="array" ref="D323">IF(ROW()=ROW(D313),C316,INDEX(E313:E326,ROW()-ROW(D313)))</f>
        <v/>
      </c>
      <c r="E323" s="6112" t="str">
        <f>IF(OR(D323="",C315="",C315&lt;=0,F323=""),"",TRIM(MID(D323,LEN(F323)+1+IF(MID(D323,LEN(F323)+1,1)=" ",1,0),99999)))</f>
        <v/>
      </c>
      <c r="F323" s="6069" t="str">
        <f>IF(OR(G323="",G323=0,G323="0"),"",IF(LEN(G323)&lt;=C315,G323,IF(LEN(SUBSTITUTE(H323," ",""))=C315+1,LEFT(G323,C315),LEFT(G323,FIND("§",SUBSTITUTE(H323," ","§",LEN(H323)-LEN(SUBSTITUTE(H323," ",""))))-1))))</f>
        <v/>
      </c>
      <c r="G323" s="6069" t="str">
        <f t="shared" si="25"/>
        <v/>
      </c>
      <c r="H323" s="6069" t="str">
        <f>IF(OR(G323="",G323=0,G323="0"),"",LEFT(G323,C315+1))</f>
        <v/>
      </c>
      <c r="I323" s="6070" t="str">
        <f t="shared" si="26"/>
        <v/>
      </c>
      <c r="J323" s="6071" t="str">
        <f t="shared" si="27"/>
        <v/>
      </c>
      <c r="K323" s="6072" t="str">
        <f>IF(LEN(TRIM(L323))&gt;0,MAX(K46:K322)+1,"")</f>
        <v/>
      </c>
      <c r="L323" s="200"/>
      <c r="M323" s="6116"/>
      <c r="N323" s="6116"/>
      <c r="AL323" s="3">
        <v>1</v>
      </c>
    </row>
    <row r="324" spans="1:40" ht="15.75">
      <c r="B324" s="6793"/>
      <c r="C324" s="6074"/>
      <c r="D324" s="6069" t="str" cm="1">
        <f t="array" ref="D324">IF(ROW()=ROW(D313),C316,INDEX(E313:E326,ROW()-ROW(D313)))</f>
        <v/>
      </c>
      <c r="E324" s="6112" t="str">
        <f>IF(OR(D324="",C315="",C315&lt;=0,F324=""),"",TRIM(MID(D324,LEN(F324)+1+IF(MID(D324,LEN(F324)+1,1)=" ",1,0),99999)))</f>
        <v/>
      </c>
      <c r="F324" s="6069" t="str">
        <f>IF(OR(G324="",G324=0,G324="0"),"",IF(LEN(G324)&lt;=C315,G324,IF(LEN(SUBSTITUTE(H324," ",""))=C315+1,LEFT(G324,C315),LEFT(G324,FIND("§",SUBSTITUTE(H324," ","§",LEN(H324)-LEN(SUBSTITUTE(H324," ",""))))-1))))</f>
        <v/>
      </c>
      <c r="G324" s="6069" t="str">
        <f t="shared" si="25"/>
        <v/>
      </c>
      <c r="H324" s="6069" t="str">
        <f>IF(OR(G324="",G324=0,G324="0"),"",LEFT(G324,C315+1))</f>
        <v/>
      </c>
      <c r="I324" s="6070" t="str">
        <f t="shared" si="26"/>
        <v/>
      </c>
      <c r="J324" s="6071" t="str">
        <f t="shared" si="27"/>
        <v/>
      </c>
      <c r="K324" s="6072" t="str">
        <f>IF(LEN(TRIM(L324))&gt;0,MAX(K46:K323)+1,"")</f>
        <v/>
      </c>
      <c r="L324" s="200"/>
      <c r="M324" s="6116"/>
      <c r="N324" s="6116"/>
      <c r="AL324" s="3">
        <v>1</v>
      </c>
    </row>
    <row r="325" spans="1:40" ht="15.75">
      <c r="B325" s="6793"/>
      <c r="C325" s="6074"/>
      <c r="D325" s="6069" t="str" cm="1">
        <f t="array" ref="D325">IF(ROW()=ROW(D313),C316,INDEX(E313:E326,ROW()-ROW(D313)))</f>
        <v/>
      </c>
      <c r="E325" s="6112" t="str">
        <f>IF(OR(D325="",C315="",C315&lt;=0,F325=""),"",TRIM(MID(D325,LEN(F325)+1+IF(MID(D325,LEN(F325)+1,1)=" ",1,0),99999)))</f>
        <v/>
      </c>
      <c r="F325" s="6069" t="str">
        <f>IF(OR(G325="",G325=0,G325="0"),"",IF(LEN(G325)&lt;=C315,G325,IF(LEN(SUBSTITUTE(H325," ",""))=C315+1,LEFT(G325,C315),LEFT(G325,FIND("§",SUBSTITUTE(H325," ","§",LEN(H325)-LEN(SUBSTITUTE(H325," ",""))))-1))))</f>
        <v/>
      </c>
      <c r="G325" s="6069" t="str">
        <f t="shared" si="25"/>
        <v/>
      </c>
      <c r="H325" s="6069" t="str">
        <f>IF(OR(G325="",G325=0,G325="0"),"",LEFT(G325,C315+1))</f>
        <v/>
      </c>
      <c r="I325" s="6070" t="str">
        <f t="shared" si="26"/>
        <v/>
      </c>
      <c r="J325" s="6071" t="str">
        <f t="shared" si="27"/>
        <v/>
      </c>
      <c r="K325" s="6072" t="str">
        <f>IF(LEN(TRIM(L325))&gt;0,MAX(K46:K324)+1,"")</f>
        <v/>
      </c>
      <c r="L325" s="200"/>
      <c r="M325" s="6116"/>
      <c r="N325" s="6116"/>
      <c r="AL325" s="3">
        <v>1</v>
      </c>
    </row>
    <row r="326" spans="1:40" ht="15.75">
      <c r="B326" s="6793"/>
      <c r="C326" s="6074"/>
      <c r="D326" s="6069" t="str" cm="1">
        <f t="array" ref="D326">IF(ROW()=ROW(D313),C316,INDEX(E313:E326,ROW()-ROW(D313)))</f>
        <v/>
      </c>
      <c r="E326" s="6112" t="str">
        <f>IF(OR(D326="",C315="",C315&lt;=0,F326=""),"",TRIM(MID(D326,LEN(F326)+1+IF(MID(D326,LEN(F326)+1,1)=" ",1,0),99999)))</f>
        <v/>
      </c>
      <c r="F326" s="6069" t="str">
        <f>IF(OR(G326="",G326=0,G326="0"),"",IF(LEN(G326)&lt;=C315,G326,IF(LEN(SUBSTITUTE(H326," ",""))=C315+1,LEFT(G326,C315),LEFT(G326,FIND("§",SUBSTITUTE(H326," ","§",LEN(H326)-LEN(SUBSTITUTE(H326," ",""))))-1))))</f>
        <v/>
      </c>
      <c r="G326" s="6069" t="str">
        <f t="shared" si="25"/>
        <v/>
      </c>
      <c r="H326" s="6069" t="str">
        <f>IF(OR(G326="",G326=0,G326="0"),"",LEFT(G326,C315+1))</f>
        <v/>
      </c>
      <c r="I326" s="6070" t="str">
        <f t="shared" si="26"/>
        <v/>
      </c>
      <c r="J326" s="6071" t="str">
        <f t="shared" si="27"/>
        <v/>
      </c>
      <c r="K326" s="6072" t="str">
        <f>IF(LEN(TRIM(L326))&gt;0,MAX(K46:K325)+1,"")</f>
        <v/>
      </c>
      <c r="L326" s="200"/>
      <c r="M326" s="6116"/>
      <c r="N326" s="6116"/>
      <c r="AL326" s="3">
        <v>1</v>
      </c>
    </row>
    <row r="327" spans="1:40">
      <c r="AL327" s="3">
        <v>1</v>
      </c>
    </row>
    <row r="328" spans="1:40">
      <c r="AL328" s="1148" t="s">
        <v>793</v>
      </c>
    </row>
    <row r="329" spans="1:40">
      <c r="A329" s="3">
        <v>1</v>
      </c>
      <c r="B329" s="3">
        <v>1</v>
      </c>
      <c r="C329" s="3">
        <v>1</v>
      </c>
      <c r="D329" s="3">
        <v>1</v>
      </c>
      <c r="E329" s="3">
        <v>1</v>
      </c>
      <c r="F329" s="3">
        <v>1</v>
      </c>
      <c r="G329" s="3">
        <v>1</v>
      </c>
      <c r="H329" s="3">
        <v>1</v>
      </c>
      <c r="I329" s="3">
        <v>1</v>
      </c>
      <c r="J329" s="3">
        <v>1</v>
      </c>
      <c r="K329" s="3">
        <v>1</v>
      </c>
      <c r="L329" s="3">
        <v>1</v>
      </c>
      <c r="M329" s="3">
        <v>1</v>
      </c>
      <c r="N329" s="3">
        <v>1</v>
      </c>
      <c r="O329" s="3">
        <v>1</v>
      </c>
      <c r="P329" s="3">
        <v>1</v>
      </c>
      <c r="Q329" s="3">
        <v>1</v>
      </c>
      <c r="R329" s="3">
        <v>1</v>
      </c>
      <c r="S329" s="3">
        <v>1</v>
      </c>
      <c r="T329" s="3">
        <v>1</v>
      </c>
      <c r="U329" s="3">
        <v>1</v>
      </c>
      <c r="V329" s="3">
        <v>1</v>
      </c>
      <c r="W329" s="3">
        <v>1</v>
      </c>
      <c r="X329" s="3">
        <v>1</v>
      </c>
      <c r="Y329" s="3">
        <v>1</v>
      </c>
      <c r="Z329" s="3">
        <v>1</v>
      </c>
      <c r="AA329" s="3">
        <v>1</v>
      </c>
      <c r="AB329" s="3">
        <v>1</v>
      </c>
      <c r="AC329" s="3">
        <v>1</v>
      </c>
      <c r="AD329" s="3">
        <v>1</v>
      </c>
      <c r="AE329" s="3">
        <v>1</v>
      </c>
      <c r="AF329" s="3">
        <v>1</v>
      </c>
      <c r="AG329" s="3">
        <v>1</v>
      </c>
      <c r="AH329" s="3">
        <v>1</v>
      </c>
      <c r="AI329" s="3">
        <v>1</v>
      </c>
      <c r="AJ329" s="3">
        <v>1</v>
      </c>
      <c r="AK329" s="3">
        <v>1</v>
      </c>
      <c r="AL329" s="1" t="str">
        <f>ADDRESS(ROW(),COLUMN(),4)</f>
        <v>AL329</v>
      </c>
      <c r="AM329" s="628"/>
      <c r="AN329" s="629" t="str">
        <f>ADDRESS(ROW(),COLUMN(),4)</f>
        <v>AN329</v>
      </c>
    </row>
  </sheetData>
  <mergeCells count="24">
    <mergeCell ref="AJ1:AJ2"/>
    <mergeCell ref="Q5:AG6"/>
    <mergeCell ref="AH5:AI5"/>
    <mergeCell ref="AH6:AI14"/>
    <mergeCell ref="AC8:AG9"/>
    <mergeCell ref="X17:AF18"/>
    <mergeCell ref="AG17:AH18"/>
    <mergeCell ref="AI17:AI18"/>
    <mergeCell ref="Y20:AE21"/>
    <mergeCell ref="AC10:AG11"/>
    <mergeCell ref="AH15:AI15"/>
    <mergeCell ref="AI25:AI26"/>
    <mergeCell ref="AJ43:AJ44"/>
    <mergeCell ref="W22:X22"/>
    <mergeCell ref="W23:Y23"/>
    <mergeCell ref="X25:X26"/>
    <mergeCell ref="Y25:Y26"/>
    <mergeCell ref="Z25:Z26"/>
    <mergeCell ref="AA25:AA26"/>
    <mergeCell ref="B38:B326"/>
    <mergeCell ref="AE25:AE26"/>
    <mergeCell ref="AF25:AF26"/>
    <mergeCell ref="AG25:AG26"/>
    <mergeCell ref="AH25:AH26"/>
  </mergeCells>
  <conditionalFormatting sqref="Z27:Z37">
    <cfRule type="cellIs" dxfId="58" priority="1" operator="notEqual">
      <formul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8DA68-A179-4ADF-8B7E-702CCDA8F9C1}">
  <dimension ref="A1:BT779"/>
  <sheetViews>
    <sheetView showZeros="0" topLeftCell="A33" zoomScaleNormal="100" workbookViewId="0">
      <selection activeCell="AM37" sqref="AM37"/>
    </sheetView>
  </sheetViews>
  <sheetFormatPr baseColWidth="10" defaultRowHeight="15"/>
  <cols>
    <col min="1" max="1" width="4.85546875" customWidth="1"/>
    <col min="2" max="2" width="5.7109375" customWidth="1"/>
    <col min="3" max="3" width="9" customWidth="1"/>
    <col min="4" max="4" width="10.7109375" customWidth="1"/>
    <col min="5" max="6" width="3.7109375" customWidth="1"/>
    <col min="7" max="7" width="14.28515625" customWidth="1"/>
    <col min="8" max="8" width="3.7109375" customWidth="1"/>
    <col min="9" max="9" width="10.7109375" customWidth="1"/>
    <col min="10" max="12" width="3.7109375" customWidth="1"/>
    <col min="13" max="13" width="14.7109375" customWidth="1"/>
    <col min="14" max="14" width="3.85546875" customWidth="1"/>
    <col min="15" max="15" width="98.85546875" customWidth="1"/>
    <col min="16" max="21" width="3.7109375" customWidth="1"/>
    <col min="22" max="22" width="13.5703125" customWidth="1"/>
    <col min="23" max="23" width="5.28515625" customWidth="1"/>
    <col min="24" max="24" width="17.5703125" customWidth="1"/>
    <col min="25" max="25" width="20.7109375" customWidth="1"/>
    <col min="27" max="27" width="6" customWidth="1"/>
    <col min="28" max="28" width="15.140625" customWidth="1"/>
    <col min="29" max="29" width="20.7109375" customWidth="1"/>
    <col min="30" max="30" width="13.42578125" customWidth="1"/>
    <col min="31" max="31" width="6.42578125" customWidth="1"/>
    <col min="32" max="32" width="10.140625" style="227" customWidth="1"/>
    <col min="33" max="33" width="11.28515625" style="227" customWidth="1"/>
    <col min="34" max="35" width="13.5703125" style="227" customWidth="1"/>
    <col min="36" max="36" width="6.5703125" style="227" customWidth="1"/>
    <col min="37" max="37" width="11.140625" style="227" customWidth="1"/>
    <col min="38" max="38" width="6.7109375" style="227" customWidth="1"/>
    <col min="39" max="39" width="40.7109375" style="227" customWidth="1"/>
    <col min="40" max="40" width="10.7109375" style="227" customWidth="1"/>
    <col min="41" max="41" width="9.7109375" style="227" customWidth="1"/>
    <col min="42" max="42" width="18.7109375" style="227" customWidth="1"/>
    <col min="43" max="45" width="13.7109375" style="227" customWidth="1"/>
    <col min="46" max="46" width="17.7109375" style="227" customWidth="1"/>
    <col min="48" max="51" width="3.7109375" customWidth="1"/>
    <col min="52" max="52" width="5.7109375" customWidth="1"/>
    <col min="53" max="54" width="12.7109375" customWidth="1"/>
    <col min="55" max="55" width="3.7109375" customWidth="1"/>
    <col min="56" max="56" width="9.7109375" customWidth="1"/>
    <col min="57" max="57" width="12.7109375" customWidth="1"/>
    <col min="58" max="58" width="13.7109375" customWidth="1"/>
    <col min="59" max="59" width="6.7109375" customWidth="1"/>
    <col min="60" max="60" width="40.7109375" customWidth="1"/>
    <col min="61" max="61" width="10.7109375" customWidth="1"/>
    <col min="62" max="62" width="9.7109375" customWidth="1"/>
    <col min="63" max="63" width="11.7109375" customWidth="1"/>
    <col min="64" max="66" width="13.7109375" customWidth="1"/>
    <col min="67" max="67" width="17.7109375" customWidth="1"/>
    <col min="68" max="68" width="17.28515625" customWidth="1"/>
    <col min="69" max="69" width="6.28515625" customWidth="1"/>
    <col min="70" max="70" width="8.7109375" customWidth="1"/>
    <col min="72" max="72" width="86" customWidth="1"/>
  </cols>
  <sheetData>
    <row r="1" spans="1:72" ht="15.75" thickTop="1">
      <c r="A1" s="1" t="str">
        <f>ADDRESS(ROW(),COLUMN(),4)</f>
        <v>A1</v>
      </c>
      <c r="B1" s="2" t="str">
        <f t="shared" ref="B1:V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9"/>
      <c r="AF1" s="2" t="str">
        <f t="shared" ref="AF1:AT1" si="1">SUBSTITUTE(ADDRESS(1,COLUMN(),4),"1","")</f>
        <v>AF</v>
      </c>
      <c r="AG1" s="2" t="str">
        <f t="shared" si="1"/>
        <v>AG</v>
      </c>
      <c r="AH1" s="2" t="str">
        <f t="shared" si="1"/>
        <v>AH</v>
      </c>
      <c r="AI1" s="2" t="str">
        <f t="shared" si="1"/>
        <v>AI</v>
      </c>
      <c r="AJ1" s="2" t="str">
        <f t="shared" si="1"/>
        <v>AJ</v>
      </c>
      <c r="AK1" s="2" t="str">
        <f t="shared" si="1"/>
        <v>AK</v>
      </c>
      <c r="AL1" s="2" t="str">
        <f t="shared" si="1"/>
        <v>AL</v>
      </c>
      <c r="AM1" s="2" t="str">
        <f t="shared" si="1"/>
        <v>AM</v>
      </c>
      <c r="AN1" s="2" t="str">
        <f t="shared" si="1"/>
        <v>AN</v>
      </c>
      <c r="AO1" s="2" t="str">
        <f t="shared" si="1"/>
        <v>AO</v>
      </c>
      <c r="AP1" s="2" t="str">
        <f t="shared" si="1"/>
        <v>AP</v>
      </c>
      <c r="AQ1" s="2" t="str">
        <f t="shared" si="1"/>
        <v>AQ</v>
      </c>
      <c r="AR1" s="2" t="str">
        <f t="shared" si="1"/>
        <v>AR</v>
      </c>
      <c r="AS1" s="2" t="str">
        <f t="shared" si="1"/>
        <v>AS</v>
      </c>
      <c r="AT1" s="2" t="str">
        <f t="shared" si="1"/>
        <v>AT</v>
      </c>
      <c r="AU1" s="9"/>
      <c r="AV1" s="2" t="str">
        <f t="shared" ref="AV1:BO1" si="2">SUBSTITUTE(ADDRESS(1,COLUMN(),4),"1","")</f>
        <v>AV</v>
      </c>
      <c r="AW1" s="2" t="str">
        <f t="shared" si="2"/>
        <v>AW</v>
      </c>
      <c r="AX1" s="2" t="str">
        <f t="shared" si="2"/>
        <v>AX</v>
      </c>
      <c r="AY1" s="2" t="str">
        <f t="shared" si="2"/>
        <v>AY</v>
      </c>
      <c r="AZ1" s="2" t="str">
        <f t="shared" si="2"/>
        <v>AZ</v>
      </c>
      <c r="BA1" s="2" t="str">
        <f t="shared" si="2"/>
        <v>BA</v>
      </c>
      <c r="BB1" s="2" t="str">
        <f t="shared" si="2"/>
        <v>BB</v>
      </c>
      <c r="BC1" s="2" t="str">
        <f t="shared" si="2"/>
        <v>BC</v>
      </c>
      <c r="BD1" s="2" t="str">
        <f t="shared" si="2"/>
        <v>BD</v>
      </c>
      <c r="BE1" s="2" t="str">
        <f t="shared" si="2"/>
        <v>BE</v>
      </c>
      <c r="BF1" s="2" t="str">
        <f t="shared" si="2"/>
        <v>BF</v>
      </c>
      <c r="BG1" s="2" t="str">
        <f t="shared" si="2"/>
        <v>BG</v>
      </c>
      <c r="BH1" s="2" t="str">
        <f t="shared" si="2"/>
        <v>BH</v>
      </c>
      <c r="BI1" s="2" t="str">
        <f t="shared" si="2"/>
        <v>BI</v>
      </c>
      <c r="BJ1" s="2" t="str">
        <f t="shared" si="2"/>
        <v>BJ</v>
      </c>
      <c r="BK1" s="2" t="str">
        <f t="shared" si="2"/>
        <v>BK</v>
      </c>
      <c r="BL1" s="2" t="str">
        <f t="shared" si="2"/>
        <v>BL</v>
      </c>
      <c r="BM1" s="2" t="str">
        <f t="shared" si="2"/>
        <v>BM</v>
      </c>
      <c r="BN1" s="2" t="str">
        <f t="shared" si="2"/>
        <v>BN</v>
      </c>
      <c r="BO1" s="2" t="str">
        <f t="shared" si="2"/>
        <v>BO</v>
      </c>
      <c r="BP1" s="6628" t="s">
        <v>8774</v>
      </c>
      <c r="BQ1" s="2297"/>
      <c r="BR1" s="3">
        <v>1</v>
      </c>
      <c r="BS1" s="4" t="str">
        <f>SUBSTITUTE(ADDRESS(1,COLUMN(),4),"1","")</f>
        <v>BS</v>
      </c>
      <c r="BT1" s="5" t="str">
        <f>SUBSTITUTE(ADDRESS(1,COLUMN(),4),"1","")</f>
        <v>BT</v>
      </c>
    </row>
    <row r="2" spans="1:72" ht="26.25" customHeight="1">
      <c r="A2" s="9"/>
      <c r="B2" s="694">
        <f t="shared" ref="B2:Q2" ca="1" si="3">CELL("largeur",B2)</f>
        <v>5</v>
      </c>
      <c r="C2" s="694">
        <f t="shared" ca="1" si="3"/>
        <v>8</v>
      </c>
      <c r="D2" s="694">
        <f t="shared" ca="1" si="3"/>
        <v>10</v>
      </c>
      <c r="E2" s="694">
        <f t="shared" ca="1" si="3"/>
        <v>3</v>
      </c>
      <c r="F2" s="694">
        <f t="shared" ca="1" si="3"/>
        <v>3</v>
      </c>
      <c r="G2" s="694">
        <f t="shared" ca="1" si="3"/>
        <v>14</v>
      </c>
      <c r="H2" s="694">
        <f t="shared" ca="1" si="3"/>
        <v>3</v>
      </c>
      <c r="I2" s="694">
        <f t="shared" ca="1" si="3"/>
        <v>10</v>
      </c>
      <c r="J2" s="694">
        <f t="shared" ca="1" si="3"/>
        <v>3</v>
      </c>
      <c r="K2" s="694">
        <f t="shared" ca="1" si="3"/>
        <v>3</v>
      </c>
      <c r="L2" s="694">
        <f t="shared" ca="1" si="3"/>
        <v>3</v>
      </c>
      <c r="M2" s="694">
        <f t="shared" ca="1" si="3"/>
        <v>14</v>
      </c>
      <c r="N2" s="694">
        <f t="shared" ca="1" si="3"/>
        <v>3</v>
      </c>
      <c r="O2" s="694">
        <f t="shared" ca="1" si="3"/>
        <v>98</v>
      </c>
      <c r="P2" s="694">
        <f t="shared" ca="1" si="3"/>
        <v>3</v>
      </c>
      <c r="Q2" s="694">
        <f t="shared" ca="1" si="3"/>
        <v>3</v>
      </c>
      <c r="R2" s="694">
        <f t="shared" ref="R2:V2" ca="1" si="4">CELL("largeur",R2)</f>
        <v>3</v>
      </c>
      <c r="S2" s="694">
        <f t="shared" ca="1" si="4"/>
        <v>3</v>
      </c>
      <c r="T2" s="694">
        <f t="shared" ca="1" si="4"/>
        <v>3</v>
      </c>
      <c r="U2" s="694">
        <f t="shared" ca="1" si="4"/>
        <v>3</v>
      </c>
      <c r="V2" s="694">
        <f t="shared" ca="1" si="4"/>
        <v>13</v>
      </c>
      <c r="W2" s="9"/>
      <c r="X2" s="9"/>
      <c r="Y2" s="9"/>
      <c r="Z2" s="9"/>
      <c r="AA2" s="9"/>
      <c r="AB2" s="9"/>
      <c r="AC2" s="9"/>
      <c r="AD2" s="9"/>
      <c r="AE2" s="714" t="s">
        <v>14284</v>
      </c>
      <c r="AF2" s="694">
        <f t="shared" ref="AF2:AT2" ca="1" si="5">CELL("largeur",AF2)</f>
        <v>9</v>
      </c>
      <c r="AG2" s="694">
        <f t="shared" ca="1" si="5"/>
        <v>11</v>
      </c>
      <c r="AH2" s="694">
        <f t="shared" ca="1" si="5"/>
        <v>13</v>
      </c>
      <c r="AI2" s="694">
        <f t="shared" ca="1" si="5"/>
        <v>13</v>
      </c>
      <c r="AJ2" s="694">
        <f t="shared" ca="1" si="5"/>
        <v>6</v>
      </c>
      <c r="AK2" s="694">
        <f t="shared" ca="1" si="5"/>
        <v>10</v>
      </c>
      <c r="AL2" s="694">
        <f t="shared" ca="1" si="5"/>
        <v>6</v>
      </c>
      <c r="AM2" s="694">
        <f t="shared" ca="1" si="5"/>
        <v>40</v>
      </c>
      <c r="AN2" s="694">
        <f t="shared" ca="1" si="5"/>
        <v>10</v>
      </c>
      <c r="AO2" s="694">
        <f t="shared" ca="1" si="5"/>
        <v>9</v>
      </c>
      <c r="AP2" s="694">
        <f t="shared" ca="1" si="5"/>
        <v>18</v>
      </c>
      <c r="AQ2" s="694">
        <f t="shared" ca="1" si="5"/>
        <v>13</v>
      </c>
      <c r="AR2" s="694">
        <f t="shared" ca="1" si="5"/>
        <v>13</v>
      </c>
      <c r="AS2" s="694">
        <f t="shared" ca="1" si="5"/>
        <v>13</v>
      </c>
      <c r="AT2" s="694">
        <f t="shared" ca="1" si="5"/>
        <v>17</v>
      </c>
      <c r="AU2" s="186" t="s">
        <v>14285</v>
      </c>
      <c r="AV2" s="694">
        <f t="shared" ref="AV2:BO2" ca="1" si="6">CELL("largeur",AV2)</f>
        <v>3</v>
      </c>
      <c r="AW2" s="694">
        <f t="shared" ca="1" si="6"/>
        <v>3</v>
      </c>
      <c r="AX2" s="694">
        <f t="shared" ca="1" si="6"/>
        <v>3</v>
      </c>
      <c r="AY2" s="694">
        <f t="shared" ca="1" si="6"/>
        <v>3</v>
      </c>
      <c r="AZ2" s="694">
        <f t="shared" ca="1" si="6"/>
        <v>5</v>
      </c>
      <c r="BA2" s="694">
        <f t="shared" ca="1" si="6"/>
        <v>12</v>
      </c>
      <c r="BB2" s="694">
        <f t="shared" ca="1" si="6"/>
        <v>12</v>
      </c>
      <c r="BC2" s="694">
        <f t="shared" ca="1" si="6"/>
        <v>3</v>
      </c>
      <c r="BD2" s="694">
        <f t="shared" ca="1" si="6"/>
        <v>9</v>
      </c>
      <c r="BE2" s="694">
        <f t="shared" ca="1" si="6"/>
        <v>12</v>
      </c>
      <c r="BF2" s="694">
        <f t="shared" ca="1" si="6"/>
        <v>13</v>
      </c>
      <c r="BG2" s="694">
        <f t="shared" ca="1" si="6"/>
        <v>6</v>
      </c>
      <c r="BH2" s="694">
        <f t="shared" ca="1" si="6"/>
        <v>40</v>
      </c>
      <c r="BI2" s="694">
        <f t="shared" ca="1" si="6"/>
        <v>10</v>
      </c>
      <c r="BJ2" s="694">
        <f t="shared" ca="1" si="6"/>
        <v>9</v>
      </c>
      <c r="BK2" s="694">
        <f t="shared" ca="1" si="6"/>
        <v>11</v>
      </c>
      <c r="BL2" s="694">
        <f t="shared" ca="1" si="6"/>
        <v>13</v>
      </c>
      <c r="BM2" s="694">
        <f t="shared" ca="1" si="6"/>
        <v>13</v>
      </c>
      <c r="BN2" s="694">
        <f t="shared" ca="1" si="6"/>
        <v>13</v>
      </c>
      <c r="BO2" s="694">
        <f t="shared" ca="1" si="6"/>
        <v>17</v>
      </c>
      <c r="BP2" s="6628"/>
      <c r="BQ2" s="2297"/>
      <c r="BR2" s="3">
        <v>1</v>
      </c>
      <c r="BS2" s="7" t="s">
        <v>3</v>
      </c>
      <c r="BT2" s="8"/>
    </row>
    <row r="3" spans="1:72" ht="21" customHeight="1" thickBot="1">
      <c r="A3" s="9"/>
      <c r="B3" s="2069">
        <v>5</v>
      </c>
      <c r="C3" s="2069">
        <v>8</v>
      </c>
      <c r="D3" s="2069">
        <v>10</v>
      </c>
      <c r="E3" s="2069">
        <v>3</v>
      </c>
      <c r="F3" s="2069">
        <v>3</v>
      </c>
      <c r="G3" s="2069">
        <v>14</v>
      </c>
      <c r="H3" s="2069">
        <v>3</v>
      </c>
      <c r="I3" s="2069">
        <v>10</v>
      </c>
      <c r="J3" s="2069">
        <v>3</v>
      </c>
      <c r="K3" s="2069">
        <v>3</v>
      </c>
      <c r="L3" s="2069">
        <v>3</v>
      </c>
      <c r="M3" s="2069">
        <v>14</v>
      </c>
      <c r="N3" s="2069">
        <v>3</v>
      </c>
      <c r="O3" s="2069">
        <f ca="1">O2</f>
        <v>98</v>
      </c>
      <c r="P3" s="2069">
        <v>3</v>
      </c>
      <c r="Q3" s="2069">
        <v>3</v>
      </c>
      <c r="R3" s="2069">
        <v>3</v>
      </c>
      <c r="S3" s="2069">
        <v>3</v>
      </c>
      <c r="T3" s="2069">
        <v>3</v>
      </c>
      <c r="U3" s="2069">
        <v>3</v>
      </c>
      <c r="V3" s="2069">
        <v>13</v>
      </c>
      <c r="W3" s="9"/>
      <c r="X3" s="2693"/>
      <c r="Y3" s="9"/>
      <c r="Z3" s="9"/>
      <c r="AA3" s="9"/>
      <c r="AB3" s="9"/>
      <c r="AC3" s="9"/>
      <c r="AD3" s="9"/>
      <c r="AE3" s="714" t="s">
        <v>14286</v>
      </c>
      <c r="AF3" s="695">
        <v>9</v>
      </c>
      <c r="AG3" s="695">
        <v>11</v>
      </c>
      <c r="AH3" s="695">
        <v>13</v>
      </c>
      <c r="AI3" s="695">
        <v>13</v>
      </c>
      <c r="AJ3" s="695">
        <v>6</v>
      </c>
      <c r="AK3" s="695">
        <v>10</v>
      </c>
      <c r="AL3" s="695">
        <v>6</v>
      </c>
      <c r="AM3" s="695">
        <v>40</v>
      </c>
      <c r="AN3" s="695">
        <v>10</v>
      </c>
      <c r="AO3" s="695">
        <v>9</v>
      </c>
      <c r="AP3" s="695">
        <v>18</v>
      </c>
      <c r="AQ3" s="695">
        <v>13</v>
      </c>
      <c r="AR3" s="695">
        <v>13</v>
      </c>
      <c r="AS3" s="695">
        <v>13</v>
      </c>
      <c r="AT3" s="695">
        <v>17</v>
      </c>
      <c r="AU3" s="186" t="s">
        <v>14287</v>
      </c>
      <c r="AV3" s="2069">
        <v>3</v>
      </c>
      <c r="AW3" s="2069">
        <v>3</v>
      </c>
      <c r="AX3" s="2069">
        <v>3</v>
      </c>
      <c r="AY3" s="2069">
        <v>3</v>
      </c>
      <c r="AZ3" s="2069">
        <v>5</v>
      </c>
      <c r="BA3" s="2069">
        <v>12</v>
      </c>
      <c r="BB3" s="2069">
        <v>12</v>
      </c>
      <c r="BC3" s="2069">
        <v>3</v>
      </c>
      <c r="BD3" s="2069">
        <v>9</v>
      </c>
      <c r="BE3" s="2069">
        <v>12</v>
      </c>
      <c r="BF3" s="2069">
        <v>9</v>
      </c>
      <c r="BG3" s="2069">
        <v>6</v>
      </c>
      <c r="BH3" s="2069">
        <v>40</v>
      </c>
      <c r="BI3" s="2069">
        <v>10</v>
      </c>
      <c r="BJ3" s="2069">
        <v>9</v>
      </c>
      <c r="BK3" s="2069">
        <v>11</v>
      </c>
      <c r="BL3" s="2069">
        <v>13</v>
      </c>
      <c r="BM3" s="2069">
        <v>13</v>
      </c>
      <c r="BN3" s="2069">
        <v>13</v>
      </c>
      <c r="BO3" s="2069">
        <v>17</v>
      </c>
      <c r="BP3" s="2066" t="s">
        <v>8779</v>
      </c>
      <c r="BQ3" s="2297"/>
      <c r="BR3" s="3">
        <v>1</v>
      </c>
      <c r="BS3" s="10">
        <f ca="1">COUNTA(AV1:BR779) + COUNTBLANK(AV1:BR779)</f>
        <v>17936</v>
      </c>
      <c r="BT3" s="11" t="str">
        <f>"cellules entre -cells -celdas  "&amp;" " &amp;A1&amp;" et  "&amp;BR779</f>
        <v>cellules entre -cells -celdas   A1 et  BR779</v>
      </c>
    </row>
    <row r="4" spans="1:72" ht="21" customHeight="1" thickBot="1">
      <c r="A4" s="9"/>
      <c r="B4" s="6178"/>
      <c r="C4" s="9"/>
      <c r="D4" s="9"/>
      <c r="E4" s="9"/>
      <c r="F4" s="9"/>
      <c r="G4" s="9"/>
      <c r="H4" s="9"/>
      <c r="I4" s="9"/>
      <c r="J4" s="9"/>
      <c r="K4" s="9"/>
      <c r="L4" s="9"/>
      <c r="M4" s="9"/>
      <c r="N4" s="9"/>
      <c r="O4" s="9"/>
      <c r="P4" s="9"/>
      <c r="Q4" s="9"/>
      <c r="R4" s="9"/>
      <c r="S4" s="9"/>
      <c r="T4" s="9"/>
      <c r="U4" s="9"/>
      <c r="V4" s="9"/>
      <c r="W4" s="9"/>
      <c r="X4" s="2693"/>
      <c r="Y4" s="9"/>
      <c r="Z4" s="9"/>
      <c r="AA4" s="9"/>
      <c r="AB4" s="9"/>
      <c r="AC4" s="9"/>
      <c r="AD4" s="9"/>
      <c r="AE4" s="9"/>
      <c r="AF4" s="9"/>
      <c r="AG4" s="9"/>
      <c r="AH4" s="9"/>
      <c r="AI4" s="9"/>
      <c r="AJ4" s="9"/>
      <c r="AK4" s="9"/>
      <c r="AL4" s="9"/>
      <c r="AM4" s="9"/>
      <c r="AN4" s="9"/>
      <c r="AO4" s="9"/>
      <c r="AP4" s="9"/>
      <c r="AQ4" s="9"/>
      <c r="AR4" s="9"/>
      <c r="AS4" s="9"/>
      <c r="AT4" s="9"/>
      <c r="AU4" s="9"/>
      <c r="AV4" s="5562" t="s">
        <v>14288</v>
      </c>
      <c r="BK4" s="714" t="s">
        <v>1495</v>
      </c>
      <c r="BN4" s="705" t="s">
        <v>1491</v>
      </c>
      <c r="BO4" s="706" t="str">
        <f>$BR$779</f>
        <v>BR779</v>
      </c>
      <c r="BQ4" s="2297"/>
      <c r="BR4" s="3">
        <v>1</v>
      </c>
      <c r="BS4" s="10">
        <f ca="1">COUNTA(A1:BR779)</f>
        <v>9683</v>
      </c>
      <c r="BT4" s="11" t="s">
        <v>9</v>
      </c>
    </row>
    <row r="5" spans="1:72" ht="21" customHeight="1">
      <c r="A5" s="9"/>
      <c r="B5" s="6179"/>
      <c r="C5" s="9"/>
      <c r="D5" s="9"/>
      <c r="E5" s="9"/>
      <c r="F5" s="9"/>
      <c r="G5" s="9"/>
      <c r="H5" s="9"/>
      <c r="I5" s="9"/>
      <c r="J5" s="9"/>
      <c r="K5" s="9"/>
      <c r="L5" s="9"/>
      <c r="M5" s="9"/>
      <c r="N5" s="9"/>
      <c r="O5" s="9"/>
      <c r="P5" s="9"/>
      <c r="Q5" s="9"/>
      <c r="R5" s="9"/>
      <c r="S5" s="9"/>
      <c r="T5" s="9"/>
      <c r="U5" s="9"/>
      <c r="V5" s="9"/>
      <c r="W5" s="9"/>
      <c r="X5" s="2693"/>
      <c r="Y5" s="9"/>
      <c r="Z5" s="9"/>
      <c r="AA5" s="9"/>
      <c r="AB5" s="9"/>
      <c r="AC5" s="9"/>
      <c r="AD5" s="9"/>
      <c r="AE5" s="9"/>
      <c r="AF5" s="9"/>
      <c r="AG5" s="9"/>
      <c r="AH5" s="9"/>
      <c r="AI5" s="9"/>
      <c r="AJ5" s="9"/>
      <c r="AK5" s="9"/>
      <c r="AL5" s="14"/>
      <c r="AM5" s="14"/>
      <c r="AN5" s="14"/>
      <c r="AO5" s="14"/>
      <c r="AP5" s="14"/>
      <c r="AQ5" s="14"/>
      <c r="AR5" s="14"/>
      <c r="AS5" s="14"/>
      <c r="AT5" s="9"/>
      <c r="AU5" s="9"/>
      <c r="AV5" s="1586"/>
      <c r="AW5" s="6808" t="s">
        <v>14289</v>
      </c>
      <c r="AX5" s="6808"/>
      <c r="AY5" s="6808"/>
      <c r="AZ5" s="6808"/>
      <c r="BA5" s="6808"/>
      <c r="BB5" s="6808"/>
      <c r="BC5" s="6808"/>
      <c r="BD5" s="6808"/>
      <c r="BE5" s="6808"/>
      <c r="BF5" s="6808"/>
      <c r="BG5" s="6808"/>
      <c r="BH5" s="6808"/>
      <c r="BI5" s="6808"/>
      <c r="BJ5" s="6804" t="s">
        <v>8226</v>
      </c>
      <c r="BK5" s="6805"/>
      <c r="BL5" s="9"/>
      <c r="BM5" s="9"/>
      <c r="BN5" s="6804" t="s">
        <v>8226</v>
      </c>
      <c r="BO5" s="6805"/>
      <c r="BQ5" s="2297"/>
      <c r="BR5" s="3">
        <v>1</v>
      </c>
      <c r="BS5" s="10">
        <f ca="1">COUNTBLANK(A1:BR779)</f>
        <v>48040</v>
      </c>
      <c r="BT5" s="11" t="s">
        <v>12</v>
      </c>
    </row>
    <row r="6" spans="1:72" ht="21" customHeight="1">
      <c r="A6" s="9"/>
      <c r="B6" s="6178"/>
      <c r="C6" s="9"/>
      <c r="D6" s="9"/>
      <c r="E6" s="9"/>
      <c r="F6" s="9"/>
      <c r="G6" s="9"/>
      <c r="H6" s="9"/>
      <c r="I6" s="9"/>
      <c r="J6" s="9"/>
      <c r="K6" s="9"/>
      <c r="L6" s="9"/>
      <c r="M6" s="9"/>
      <c r="N6" s="9"/>
      <c r="O6" s="9"/>
      <c r="P6" s="9"/>
      <c r="Q6" s="9"/>
      <c r="R6" s="9"/>
      <c r="S6" s="9"/>
      <c r="T6" s="9"/>
      <c r="U6" s="9"/>
      <c r="V6" s="9"/>
      <c r="W6" s="9"/>
      <c r="X6" s="2693"/>
      <c r="Y6" s="9"/>
      <c r="Z6" s="9"/>
      <c r="AA6" s="9"/>
      <c r="AB6" s="9"/>
      <c r="AC6" s="9"/>
      <c r="AD6" s="9"/>
      <c r="AE6" s="9"/>
      <c r="AF6" s="9"/>
      <c r="AG6" s="9"/>
      <c r="AH6" s="9"/>
      <c r="AI6" s="9"/>
      <c r="AJ6" s="9"/>
      <c r="AK6" s="9"/>
      <c r="AL6" s="14"/>
      <c r="AM6" s="14"/>
      <c r="AN6" s="14"/>
      <c r="AO6" s="14"/>
      <c r="AP6" s="14"/>
      <c r="AQ6" s="14"/>
      <c r="AR6" s="14"/>
      <c r="AS6" s="14"/>
      <c r="AT6" s="9"/>
      <c r="AU6" s="9"/>
      <c r="AV6" s="1587"/>
      <c r="AW6" s="6809"/>
      <c r="AX6" s="6809"/>
      <c r="AY6" s="6809"/>
      <c r="AZ6" s="6809"/>
      <c r="BA6" s="6809"/>
      <c r="BB6" s="6809"/>
      <c r="BC6" s="6809"/>
      <c r="BD6" s="6809"/>
      <c r="BE6" s="6809"/>
      <c r="BF6" s="6809"/>
      <c r="BG6" s="6809"/>
      <c r="BH6" s="6809"/>
      <c r="BI6" s="6809"/>
      <c r="BJ6" s="6810">
        <f>COLUMNS(AV2:BK2)</f>
        <v>16</v>
      </c>
      <c r="BK6" s="6811"/>
      <c r="BL6" s="9"/>
      <c r="BM6" s="9"/>
      <c r="BN6" s="6806">
        <v>20</v>
      </c>
      <c r="BO6" s="6807"/>
      <c r="BQ6" s="2297"/>
      <c r="BR6" s="3">
        <v>1</v>
      </c>
      <c r="BS6" s="10">
        <f>SUM(BR1:BR777)+2</f>
        <v>779</v>
      </c>
      <c r="BT6" s="11" t="s">
        <v>14</v>
      </c>
    </row>
    <row r="7" spans="1:72" ht="21" customHeight="1">
      <c r="A7" s="9"/>
      <c r="B7" s="2693"/>
      <c r="C7" s="9"/>
      <c r="D7" s="9"/>
      <c r="E7" s="9"/>
      <c r="F7" s="9"/>
      <c r="G7" s="9"/>
      <c r="H7" s="9"/>
      <c r="I7" s="9"/>
      <c r="J7" s="9"/>
      <c r="K7" s="9"/>
      <c r="L7" s="9"/>
      <c r="M7" s="9"/>
      <c r="N7" s="9"/>
      <c r="O7" s="9"/>
      <c r="P7" s="9"/>
      <c r="Q7" s="9"/>
      <c r="R7" s="9"/>
      <c r="S7" s="9"/>
      <c r="T7" s="9"/>
      <c r="U7" s="9"/>
      <c r="V7" s="9"/>
      <c r="W7" s="9"/>
      <c r="X7" s="2693"/>
      <c r="Y7" s="9"/>
      <c r="Z7" s="9"/>
      <c r="AA7" s="9"/>
      <c r="AB7" s="9"/>
      <c r="AC7" s="9"/>
      <c r="AD7" s="9"/>
      <c r="AE7" s="9"/>
      <c r="AF7" s="9"/>
      <c r="AG7" s="9"/>
      <c r="AH7" s="9"/>
      <c r="AI7" s="9"/>
      <c r="AJ7" s="9"/>
      <c r="AK7" s="9"/>
      <c r="AL7" s="14"/>
      <c r="AM7" s="14"/>
      <c r="AN7" s="14"/>
      <c r="AO7" s="14"/>
      <c r="AP7" s="14"/>
      <c r="AQ7" s="2225" t="s">
        <v>14097</v>
      </c>
      <c r="AR7" s="2224"/>
      <c r="AS7" s="14"/>
      <c r="AT7" s="9"/>
      <c r="AU7" s="9"/>
      <c r="AV7" s="1587"/>
      <c r="AW7" s="2225" t="s">
        <v>8948</v>
      </c>
      <c r="AX7" s="2224"/>
      <c r="AY7" s="2224"/>
      <c r="AZ7" s="2224"/>
      <c r="BB7" s="2224"/>
      <c r="BC7" s="2224"/>
      <c r="BD7" s="2224"/>
      <c r="BE7" s="2224"/>
      <c r="BF7" s="2224"/>
      <c r="BG7" s="2225"/>
      <c r="BH7" s="2224"/>
      <c r="BI7" s="2224"/>
      <c r="BJ7" s="6810"/>
      <c r="BK7" s="6811"/>
      <c r="BL7" s="9"/>
      <c r="BM7" s="9"/>
      <c r="BN7" s="6806"/>
      <c r="BO7" s="6807"/>
      <c r="BQ7" s="2297"/>
      <c r="BR7" s="3">
        <v>1</v>
      </c>
      <c r="BS7" s="10" cm="1">
        <f t="array" ref="BS7">SUM(A779:BQ779+1)</f>
        <v>138</v>
      </c>
      <c r="BT7" s="11" t="s">
        <v>17</v>
      </c>
    </row>
    <row r="8" spans="1:72" ht="21" customHeight="1">
      <c r="A8" s="9"/>
      <c r="B8" s="2693"/>
      <c r="C8" s="9"/>
      <c r="D8" s="9"/>
      <c r="E8" s="9"/>
      <c r="F8" s="9"/>
      <c r="G8" s="9"/>
      <c r="H8" s="9"/>
      <c r="I8" s="9"/>
      <c r="J8" s="9"/>
      <c r="K8" s="9"/>
      <c r="L8" s="9"/>
      <c r="M8" s="9"/>
      <c r="N8" s="9"/>
      <c r="O8" s="9"/>
      <c r="P8" s="9"/>
      <c r="Q8" s="9"/>
      <c r="R8" s="9"/>
      <c r="S8" s="9"/>
      <c r="T8" s="9"/>
      <c r="U8" s="9"/>
      <c r="V8" s="9"/>
      <c r="W8" s="9"/>
      <c r="X8" s="2693"/>
      <c r="Y8" s="9"/>
      <c r="Z8" s="9"/>
      <c r="AA8" s="9"/>
      <c r="AB8" s="9"/>
      <c r="AC8" s="9"/>
      <c r="AD8" s="9"/>
      <c r="AE8" s="9"/>
      <c r="AF8" s="9"/>
      <c r="AG8" s="9"/>
      <c r="AH8" s="9"/>
      <c r="AI8" s="9"/>
      <c r="AJ8" s="9"/>
      <c r="AK8" s="9"/>
      <c r="AL8" s="6180"/>
      <c r="AM8" s="9"/>
      <c r="AN8" s="9"/>
      <c r="AO8" s="9"/>
      <c r="AP8" s="9"/>
      <c r="AQ8" s="6461" t="s">
        <v>14099</v>
      </c>
      <c r="AR8" s="6461"/>
      <c r="AS8" s="14"/>
      <c r="AT8" s="9"/>
      <c r="AU8" s="9"/>
      <c r="AV8" s="1587"/>
      <c r="AW8" s="2226" t="s">
        <v>14098</v>
      </c>
      <c r="AX8" s="2224"/>
      <c r="AY8" s="2224"/>
      <c r="AZ8" s="2224"/>
      <c r="BB8" s="2224"/>
      <c r="BC8" s="2224"/>
      <c r="BD8" s="2224"/>
      <c r="BE8" s="2224"/>
      <c r="BF8" s="2224"/>
      <c r="BG8" s="6176"/>
      <c r="BH8" s="6176"/>
      <c r="BI8" s="6176"/>
      <c r="BJ8" s="6810"/>
      <c r="BK8" s="6811"/>
      <c r="BL8" s="9"/>
      <c r="BM8" s="186"/>
      <c r="BN8" s="6806"/>
      <c r="BO8" s="6807"/>
      <c r="BQ8" s="2297"/>
      <c r="BR8" s="3">
        <v>1</v>
      </c>
      <c r="BS8" s="10"/>
      <c r="BT8" s="11"/>
    </row>
    <row r="9" spans="1:72" ht="21" customHeight="1">
      <c r="A9" s="9"/>
      <c r="B9" s="2693"/>
      <c r="C9" s="6812" t="s">
        <v>14290</v>
      </c>
      <c r="D9" s="6813"/>
      <c r="E9" s="6813"/>
      <c r="F9" s="6813"/>
      <c r="G9" s="6813"/>
      <c r="H9" s="6813"/>
      <c r="I9" s="6813"/>
      <c r="J9" s="6813"/>
      <c r="K9" s="6813"/>
      <c r="L9" s="6813"/>
      <c r="M9" s="6813"/>
      <c r="N9" s="6813"/>
      <c r="O9" s="6814"/>
      <c r="P9" s="9"/>
      <c r="Q9" s="9"/>
      <c r="R9" s="9"/>
      <c r="S9" s="9"/>
      <c r="T9" s="9"/>
      <c r="U9" s="9"/>
      <c r="V9" s="9"/>
      <c r="W9" s="9"/>
      <c r="X9" s="2693"/>
      <c r="Y9" s="9"/>
      <c r="Z9" s="9"/>
      <c r="AA9" s="9"/>
      <c r="AB9" s="9"/>
      <c r="AC9" s="9"/>
      <c r="AD9" s="9"/>
      <c r="AE9" s="9"/>
      <c r="AF9" s="9"/>
      <c r="AG9" s="9"/>
      <c r="AH9" s="9"/>
      <c r="AI9" s="9"/>
      <c r="AJ9" s="9"/>
      <c r="AK9" s="9"/>
      <c r="AL9" s="6180"/>
      <c r="AM9" s="9"/>
      <c r="AN9" s="9"/>
      <c r="AO9" s="9"/>
      <c r="AP9" s="9"/>
      <c r="AQ9" s="6461"/>
      <c r="AR9" s="6461"/>
      <c r="AS9" s="14"/>
      <c r="AT9" s="9"/>
      <c r="AU9" s="9"/>
      <c r="AV9" s="1587"/>
      <c r="AW9" s="1994" t="s">
        <v>14100</v>
      </c>
      <c r="AX9" s="2224"/>
      <c r="AY9" s="2224"/>
      <c r="AZ9" s="2224"/>
      <c r="BB9" s="2224"/>
      <c r="BC9" s="2224"/>
      <c r="BD9" s="2224"/>
      <c r="BE9" s="2224"/>
      <c r="BF9" s="2224"/>
      <c r="BG9" s="6176"/>
      <c r="BH9" s="6176"/>
      <c r="BI9" s="6176"/>
      <c r="BJ9" s="6810"/>
      <c r="BK9" s="6811"/>
      <c r="BL9" s="9"/>
      <c r="BM9" s="9"/>
      <c r="BN9" s="6806"/>
      <c r="BO9" s="6807"/>
      <c r="BQ9" s="2297"/>
      <c r="BR9" s="3">
        <v>1</v>
      </c>
    </row>
    <row r="10" spans="1:72" ht="21" customHeight="1">
      <c r="A10" s="9"/>
      <c r="B10" s="2693"/>
      <c r="C10" s="6815"/>
      <c r="D10" s="6816"/>
      <c r="E10" s="6816"/>
      <c r="F10" s="6816"/>
      <c r="G10" s="6816"/>
      <c r="H10" s="6816"/>
      <c r="I10" s="6816"/>
      <c r="J10" s="6816"/>
      <c r="K10" s="6816"/>
      <c r="L10" s="6816"/>
      <c r="M10" s="6816"/>
      <c r="N10" s="6816"/>
      <c r="O10" s="6817"/>
      <c r="P10" s="9"/>
      <c r="Q10" s="9"/>
      <c r="R10" s="9"/>
      <c r="S10" s="9"/>
      <c r="T10" s="9"/>
      <c r="U10" s="9"/>
      <c r="V10" s="9"/>
      <c r="W10" s="9"/>
      <c r="X10" s="2693"/>
      <c r="Y10" s="9"/>
      <c r="Z10" s="9"/>
      <c r="AA10" s="9"/>
      <c r="AB10" s="9"/>
      <c r="AC10" s="9"/>
      <c r="AD10" s="9"/>
      <c r="AE10" s="9"/>
      <c r="AF10" s="9"/>
      <c r="AG10" s="9"/>
      <c r="AH10" s="9"/>
      <c r="AI10" s="9"/>
      <c r="AJ10" s="9"/>
      <c r="AK10" s="9"/>
      <c r="AL10" s="6180"/>
      <c r="AM10" s="9"/>
      <c r="AN10" s="9"/>
      <c r="AO10" s="9"/>
      <c r="AP10" s="9"/>
      <c r="AQ10" s="6463" t="s">
        <v>14102</v>
      </c>
      <c r="AR10" s="6463"/>
      <c r="AS10" s="14"/>
      <c r="AT10" s="9"/>
      <c r="AU10" s="9"/>
      <c r="AV10" s="1587"/>
      <c r="AW10" s="1994" t="s">
        <v>14101</v>
      </c>
      <c r="AX10" s="2224"/>
      <c r="AY10" s="2224"/>
      <c r="AZ10" s="2224"/>
      <c r="BB10" s="2224"/>
      <c r="BC10" s="2224"/>
      <c r="BD10" s="2224"/>
      <c r="BE10" s="2224"/>
      <c r="BF10" s="2224"/>
      <c r="BG10" s="6177"/>
      <c r="BH10" s="6177"/>
      <c r="BI10" s="6177"/>
      <c r="BJ10" s="6810"/>
      <c r="BK10" s="6811"/>
      <c r="BL10" s="9"/>
      <c r="BM10" s="9"/>
      <c r="BN10" s="6806"/>
      <c r="BO10" s="6807"/>
      <c r="BQ10" s="2297"/>
      <c r="BR10" s="3">
        <v>1</v>
      </c>
      <c r="BS10" s="198" t="s">
        <v>14241</v>
      </c>
      <c r="BT10" s="9"/>
    </row>
    <row r="11" spans="1:72" ht="21" customHeight="1">
      <c r="A11" s="9"/>
      <c r="B11" s="2693"/>
      <c r="C11" s="186"/>
      <c r="D11" s="186"/>
      <c r="E11" s="186"/>
      <c r="F11" s="186"/>
      <c r="G11" s="186"/>
      <c r="H11" s="186"/>
      <c r="I11" s="186"/>
      <c r="J11" s="186"/>
      <c r="K11" s="186"/>
      <c r="L11" s="186"/>
      <c r="M11" s="186"/>
      <c r="N11" s="186"/>
      <c r="O11" s="2230"/>
      <c r="P11" s="9"/>
      <c r="Q11" s="9"/>
      <c r="R11" s="9"/>
      <c r="S11" s="9"/>
      <c r="T11" s="9"/>
      <c r="U11" s="9"/>
      <c r="V11" s="9"/>
      <c r="W11" s="9"/>
      <c r="X11" s="2693"/>
      <c r="Y11" s="9"/>
      <c r="Z11" s="9"/>
      <c r="AA11" s="9"/>
      <c r="AB11" s="9"/>
      <c r="AC11" s="9"/>
      <c r="AD11" s="9"/>
      <c r="AE11" s="9"/>
      <c r="AF11" s="9"/>
      <c r="AG11" s="9"/>
      <c r="AH11" s="9"/>
      <c r="AI11" s="9"/>
      <c r="AJ11" s="9"/>
      <c r="AK11" s="9"/>
      <c r="AL11" s="6180"/>
      <c r="AM11" s="9"/>
      <c r="AN11" s="9"/>
      <c r="AO11" s="9"/>
      <c r="AP11" s="9"/>
      <c r="AQ11" s="6463"/>
      <c r="AR11" s="6463"/>
      <c r="AS11" s="14"/>
      <c r="AT11" s="9"/>
      <c r="AU11" s="9"/>
      <c r="AV11" s="1587"/>
      <c r="AW11" s="1994" t="s">
        <v>14103</v>
      </c>
      <c r="AX11" s="2224"/>
      <c r="AY11" s="2224"/>
      <c r="AZ11" s="2224"/>
      <c r="BB11" s="2224"/>
      <c r="BC11" s="2224"/>
      <c r="BD11" s="2224"/>
      <c r="BE11" s="2224"/>
      <c r="BF11" s="2224"/>
      <c r="BG11" s="6177"/>
      <c r="BH11" s="6177"/>
      <c r="BI11" s="6177"/>
      <c r="BJ11" s="6810"/>
      <c r="BK11" s="6811"/>
      <c r="BL11" s="9"/>
      <c r="BM11" s="9"/>
      <c r="BN11" s="6806"/>
      <c r="BO11" s="6807"/>
      <c r="BQ11" s="2297"/>
      <c r="BR11" s="3">
        <v>1</v>
      </c>
      <c r="BS11" s="198" t="s">
        <v>14229</v>
      </c>
      <c r="BT11" s="9"/>
    </row>
    <row r="12" spans="1:72" ht="21" customHeight="1">
      <c r="A12" s="9"/>
      <c r="B12" s="2693"/>
      <c r="C12" s="186"/>
      <c r="D12" s="186"/>
      <c r="E12" s="186"/>
      <c r="F12" s="186"/>
      <c r="G12" s="186"/>
      <c r="H12" s="186"/>
      <c r="I12" s="186"/>
      <c r="J12" s="186"/>
      <c r="K12" s="186"/>
      <c r="L12" s="186"/>
      <c r="M12" s="186"/>
      <c r="N12" s="186"/>
      <c r="O12" s="2230"/>
      <c r="P12" s="9"/>
      <c r="Q12" s="9"/>
      <c r="R12" s="9"/>
      <c r="S12" s="9"/>
      <c r="T12" s="9"/>
      <c r="U12" s="9"/>
      <c r="V12" s="9"/>
      <c r="W12" s="9"/>
      <c r="X12" s="2693"/>
      <c r="Y12" s="9"/>
      <c r="Z12" s="9"/>
      <c r="AA12" s="9"/>
      <c r="AB12" s="9"/>
      <c r="AC12" s="9"/>
      <c r="AD12" s="9"/>
      <c r="AE12" s="9"/>
      <c r="AF12" s="9"/>
      <c r="AG12" s="9"/>
      <c r="AH12" s="9"/>
      <c r="AI12" s="9"/>
      <c r="AJ12" s="9"/>
      <c r="AK12" s="9"/>
      <c r="AL12" s="6180"/>
      <c r="AM12" s="9"/>
      <c r="AN12" s="9"/>
      <c r="AO12" s="9"/>
      <c r="AP12" s="9"/>
      <c r="AQ12" s="1994" t="s">
        <v>14105</v>
      </c>
      <c r="AR12" s="2224"/>
      <c r="AS12" s="14"/>
      <c r="AT12" s="9"/>
      <c r="AU12" s="9"/>
      <c r="AV12" s="1587"/>
      <c r="AW12" s="1994" t="s">
        <v>14104</v>
      </c>
      <c r="AX12" s="2224"/>
      <c r="AY12" s="2224"/>
      <c r="AZ12" s="2224"/>
      <c r="BB12" s="2224"/>
      <c r="BC12" s="2224"/>
      <c r="BD12" s="2224"/>
      <c r="BE12" s="2224"/>
      <c r="BF12" s="2224"/>
      <c r="BG12" s="1994"/>
      <c r="BH12" s="2224"/>
      <c r="BI12" s="2224"/>
      <c r="BJ12" s="6810"/>
      <c r="BK12" s="6811"/>
      <c r="BL12" s="9"/>
      <c r="BM12" s="9"/>
      <c r="BN12" s="6806"/>
      <c r="BO12" s="6807"/>
      <c r="BQ12" s="2297"/>
      <c r="BR12" s="3">
        <v>1</v>
      </c>
      <c r="BS12" s="198"/>
      <c r="BT12" s="9"/>
    </row>
    <row r="13" spans="1:72" ht="21" customHeight="1">
      <c r="A13" s="9"/>
      <c r="B13" s="2693"/>
      <c r="C13" s="186"/>
      <c r="D13" s="186"/>
      <c r="E13" s="186"/>
      <c r="F13" s="186"/>
      <c r="G13" s="186"/>
      <c r="H13" s="186"/>
      <c r="I13" s="186"/>
      <c r="J13" s="186"/>
      <c r="K13" s="186"/>
      <c r="L13" s="5989" t="s">
        <v>14291</v>
      </c>
      <c r="M13" s="186"/>
      <c r="N13" s="186"/>
      <c r="O13" s="2230"/>
      <c r="P13" s="9"/>
      <c r="Q13" s="9"/>
      <c r="R13" s="9"/>
      <c r="S13" s="9"/>
      <c r="T13" s="9"/>
      <c r="U13" s="9"/>
      <c r="V13" s="9"/>
      <c r="W13" s="9"/>
      <c r="X13" s="2693"/>
      <c r="Y13" s="9"/>
      <c r="Z13" s="9"/>
      <c r="AA13" s="9"/>
      <c r="AB13" s="9"/>
      <c r="AC13" s="9"/>
      <c r="AD13" s="9"/>
      <c r="AE13" s="9"/>
      <c r="AF13" s="9"/>
      <c r="AG13" s="9"/>
      <c r="AH13" s="9"/>
      <c r="AI13" s="9"/>
      <c r="AJ13" s="9"/>
      <c r="AK13" s="9"/>
      <c r="AL13" s="6180"/>
      <c r="AM13" s="9"/>
      <c r="AN13" s="9"/>
      <c r="AO13" s="9"/>
      <c r="AP13" s="9"/>
      <c r="AQ13" s="1994" t="s">
        <v>14107</v>
      </c>
      <c r="AR13" s="2224"/>
      <c r="AS13" s="14"/>
      <c r="AT13" s="9"/>
      <c r="AU13" s="9"/>
      <c r="AV13" s="1587"/>
      <c r="AW13" s="1994" t="s">
        <v>14106</v>
      </c>
      <c r="AX13" s="2224"/>
      <c r="AY13" s="2224"/>
      <c r="AZ13" s="2224"/>
      <c r="BB13" s="2224"/>
      <c r="BC13" s="2224"/>
      <c r="BD13" s="2224"/>
      <c r="BE13" s="2224"/>
      <c r="BF13" s="2224"/>
      <c r="BG13" s="1994"/>
      <c r="BH13" s="2224"/>
      <c r="BI13" s="2224"/>
      <c r="BJ13" s="6810"/>
      <c r="BK13" s="6811"/>
      <c r="BL13" s="9"/>
      <c r="BM13" s="9"/>
      <c r="BN13" s="6806"/>
      <c r="BO13" s="6807"/>
      <c r="BQ13" s="2297"/>
      <c r="BR13" s="3">
        <v>1</v>
      </c>
      <c r="BS13" s="198" t="s">
        <v>14232</v>
      </c>
      <c r="BT13" s="9"/>
    </row>
    <row r="14" spans="1:72" ht="21" customHeight="1">
      <c r="A14" s="9"/>
      <c r="B14" s="2693"/>
      <c r="C14" s="186"/>
      <c r="D14" s="186"/>
      <c r="E14" s="186"/>
      <c r="F14" s="186"/>
      <c r="G14" s="186"/>
      <c r="H14" s="186"/>
      <c r="I14" s="186"/>
      <c r="J14" s="186"/>
      <c r="K14" s="186"/>
      <c r="L14" s="186"/>
      <c r="M14" s="186"/>
      <c r="N14" s="186"/>
      <c r="O14" s="2230"/>
      <c r="P14" s="6181" t="s">
        <v>14292</v>
      </c>
      <c r="Q14" s="9"/>
      <c r="R14" s="9"/>
      <c r="S14" s="9"/>
      <c r="T14" s="9"/>
      <c r="U14" s="9"/>
      <c r="V14" s="9"/>
      <c r="W14" s="9"/>
      <c r="X14" s="2693"/>
      <c r="Y14" s="9"/>
      <c r="Z14" s="9"/>
      <c r="AA14" s="9"/>
      <c r="AB14" s="9"/>
      <c r="AC14" s="6182" t="s">
        <v>838</v>
      </c>
      <c r="AD14" s="9"/>
      <c r="AE14" s="9"/>
      <c r="AF14" s="9"/>
      <c r="AG14" s="9"/>
      <c r="AH14" s="9"/>
      <c r="AI14" s="9"/>
      <c r="AJ14" s="9"/>
      <c r="AK14" s="9"/>
      <c r="AL14" s="6180"/>
      <c r="AM14" s="9"/>
      <c r="AN14" s="9"/>
      <c r="AO14" s="9"/>
      <c r="AP14" s="9"/>
      <c r="AQ14" s="1340" t="s">
        <v>8230</v>
      </c>
      <c r="AR14" s="2224"/>
      <c r="AS14" s="14"/>
      <c r="AT14" s="9"/>
      <c r="AU14" s="9"/>
      <c r="AV14" s="1587"/>
      <c r="AW14" s="904" t="s">
        <v>8951</v>
      </c>
      <c r="AX14" s="2224"/>
      <c r="AY14" s="2224"/>
      <c r="AZ14" s="2224"/>
      <c r="BB14" s="2224"/>
      <c r="BC14" s="2224"/>
      <c r="BD14" s="2224"/>
      <c r="BE14" s="2224"/>
      <c r="BF14" s="2224"/>
      <c r="BG14" s="1340"/>
      <c r="BH14" s="2224"/>
      <c r="BI14" s="1340"/>
      <c r="BJ14" s="6810"/>
      <c r="BK14" s="6811"/>
      <c r="BL14" s="9"/>
      <c r="BM14" s="9"/>
      <c r="BN14" s="6806"/>
      <c r="BO14" s="6807"/>
      <c r="BQ14" s="2297"/>
      <c r="BR14" s="3">
        <v>1</v>
      </c>
      <c r="BS14" s="198" t="s">
        <v>14235</v>
      </c>
      <c r="BT14" s="9"/>
    </row>
    <row r="15" spans="1:72" ht="21" customHeight="1" thickBot="1">
      <c r="A15" s="9"/>
      <c r="B15" s="2693"/>
      <c r="C15" s="186"/>
      <c r="D15" s="186"/>
      <c r="E15" s="6040"/>
      <c r="F15" s="1246"/>
      <c r="G15" s="1246"/>
      <c r="H15" s="186"/>
      <c r="I15" s="186"/>
      <c r="J15" s="186"/>
      <c r="K15" s="186"/>
      <c r="L15" s="630"/>
      <c r="M15" s="186"/>
      <c r="N15" s="186"/>
      <c r="O15" s="2230"/>
      <c r="P15" s="9" t="s">
        <v>14293</v>
      </c>
      <c r="Q15" s="9"/>
      <c r="R15" s="9"/>
      <c r="S15" s="9"/>
      <c r="T15" s="9"/>
      <c r="U15" s="9"/>
      <c r="V15" s="9"/>
      <c r="W15" s="9"/>
      <c r="X15" s="2693"/>
      <c r="Y15" s="9"/>
      <c r="Z15" s="9"/>
      <c r="AA15" s="9"/>
      <c r="AB15" s="9"/>
      <c r="AC15" s="6183" t="s">
        <v>7806</v>
      </c>
      <c r="AD15" s="9"/>
      <c r="AE15" s="9"/>
      <c r="AF15" s="9"/>
      <c r="AG15" s="9"/>
      <c r="AH15" s="9"/>
      <c r="AI15" s="9"/>
      <c r="AJ15" s="9"/>
      <c r="AK15" s="9"/>
      <c r="AL15" s="6180"/>
      <c r="AM15" s="9"/>
      <c r="AN15" s="9"/>
      <c r="AO15" s="9"/>
      <c r="AP15" s="9"/>
      <c r="AQ15" s="9"/>
      <c r="AR15" s="9"/>
      <c r="AS15" s="14"/>
      <c r="AT15" s="9"/>
      <c r="AU15" s="9"/>
      <c r="AV15" s="1589"/>
      <c r="AW15" s="1590"/>
      <c r="AX15" s="906"/>
      <c r="AY15" s="908"/>
      <c r="AZ15" s="908"/>
      <c r="BA15" s="908"/>
      <c r="BB15" s="908"/>
      <c r="BC15" s="908"/>
      <c r="BD15" s="908"/>
      <c r="BE15" s="908"/>
      <c r="BF15" s="908"/>
      <c r="BG15" s="908"/>
      <c r="BH15" s="1591"/>
      <c r="BI15" s="908"/>
      <c r="BJ15" s="6818" t="s">
        <v>8229</v>
      </c>
      <c r="BK15" s="6819"/>
      <c r="BL15" s="9"/>
      <c r="BM15" s="9"/>
      <c r="BN15" s="6800" t="s">
        <v>8229</v>
      </c>
      <c r="BO15" s="6801"/>
      <c r="BQ15" s="2297"/>
      <c r="BR15" s="3">
        <v>1</v>
      </c>
      <c r="BS15" s="9"/>
      <c r="BT15" s="9"/>
    </row>
    <row r="16" spans="1:72" ht="21" customHeight="1" thickBot="1">
      <c r="A16" s="9"/>
      <c r="B16" s="2693"/>
      <c r="C16" s="186"/>
      <c r="D16" s="186"/>
      <c r="E16" s="5990" t="s">
        <v>14294</v>
      </c>
      <c r="F16" s="186"/>
      <c r="G16" s="186"/>
      <c r="H16" s="186"/>
      <c r="I16" s="186"/>
      <c r="J16" s="186"/>
      <c r="K16" s="186"/>
      <c r="L16" s="186"/>
      <c r="M16" s="186"/>
      <c r="N16" s="186"/>
      <c r="O16" s="2230"/>
      <c r="P16" s="2297"/>
      <c r="Q16" s="9"/>
      <c r="R16" s="9"/>
      <c r="S16" s="9"/>
      <c r="T16" s="9"/>
      <c r="U16" s="9"/>
      <c r="V16" s="9"/>
      <c r="W16" s="9"/>
      <c r="X16" s="2693"/>
      <c r="Y16" s="9"/>
      <c r="Z16" s="9"/>
      <c r="AA16" s="9"/>
      <c r="AB16" s="9"/>
      <c r="AC16" s="6183" t="s">
        <v>7811</v>
      </c>
      <c r="AD16" s="9"/>
      <c r="AE16" s="9"/>
      <c r="AF16" s="9"/>
      <c r="AG16" s="9"/>
      <c r="AH16" s="9"/>
      <c r="AI16" s="9"/>
      <c r="AJ16" s="9"/>
      <c r="AK16" s="9"/>
      <c r="AL16" s="6180"/>
      <c r="AM16" s="9"/>
      <c r="AN16" s="9"/>
      <c r="AO16" s="9"/>
      <c r="AP16" s="9"/>
      <c r="AQ16" s="9"/>
      <c r="AR16" s="9"/>
      <c r="AS16" s="14"/>
      <c r="AT16" s="9"/>
      <c r="AU16" s="9"/>
      <c r="AV16" s="1595"/>
      <c r="AW16" s="6184"/>
      <c r="AX16" s="6184"/>
      <c r="AY16" s="6185"/>
      <c r="AZ16" s="6186"/>
      <c r="BA16" s="6187"/>
      <c r="BB16" s="6187"/>
      <c r="BC16" s="6187"/>
      <c r="BD16" s="6187"/>
      <c r="BE16" s="6187"/>
      <c r="BF16" s="1372" t="s">
        <v>8145</v>
      </c>
      <c r="BG16" s="6188"/>
      <c r="BH16" s="1340"/>
      <c r="BJ16" s="1596"/>
      <c r="BL16" s="6189"/>
      <c r="BO16" s="6190" t="s">
        <v>14295</v>
      </c>
      <c r="BQ16" s="2230"/>
      <c r="BR16" s="3">
        <v>1</v>
      </c>
      <c r="BS16" s="9"/>
      <c r="BT16" s="9"/>
    </row>
    <row r="17" spans="1:72" ht="21" customHeight="1">
      <c r="A17" s="9"/>
      <c r="B17" s="2693"/>
      <c r="C17" s="186"/>
      <c r="D17" s="186"/>
      <c r="E17" s="5990" t="s">
        <v>14296</v>
      </c>
      <c r="F17" s="186"/>
      <c r="G17" s="186"/>
      <c r="H17" s="186"/>
      <c r="I17" s="186"/>
      <c r="J17" s="186"/>
      <c r="K17" s="186"/>
      <c r="L17" s="186"/>
      <c r="M17" s="186"/>
      <c r="N17" s="186"/>
      <c r="O17" s="2230"/>
      <c r="P17" s="6181" t="s">
        <v>14297</v>
      </c>
      <c r="Q17" s="9"/>
      <c r="R17" s="9"/>
      <c r="S17" s="9"/>
      <c r="T17" s="9"/>
      <c r="U17" s="9"/>
      <c r="V17" s="9"/>
      <c r="W17" s="9"/>
      <c r="X17" s="2693"/>
      <c r="Y17" s="9"/>
      <c r="Z17" s="9"/>
      <c r="AA17" s="9"/>
      <c r="AB17" s="9"/>
      <c r="AC17" s="6191" t="s">
        <v>839</v>
      </c>
      <c r="AD17" s="9"/>
      <c r="AE17" s="9"/>
      <c r="AF17" s="9"/>
      <c r="AG17" s="9"/>
      <c r="AH17" s="9"/>
      <c r="AI17" s="9"/>
      <c r="AJ17" s="9"/>
      <c r="AK17" s="9"/>
      <c r="AL17" s="6180"/>
      <c r="AM17" s="9"/>
      <c r="AN17" s="9"/>
      <c r="AO17" s="9"/>
      <c r="AP17" s="9"/>
      <c r="AQ17" s="9"/>
      <c r="AR17" s="9"/>
      <c r="AS17" s="14"/>
      <c r="AT17" s="9"/>
      <c r="AU17" s="9"/>
      <c r="AV17" s="19" t="s">
        <v>10</v>
      </c>
      <c r="AW17" s="20" t="str">
        <f>AW23</f>
        <v>C Coquetiers de l'Antoine | | Auteur &gt; Guy KRENZE - Eric GODDYN - Arnaud NICOLAS - CEPROC 2002</v>
      </c>
      <c r="AX17" s="21">
        <f>AX23</f>
        <v>20</v>
      </c>
      <c r="AY17" s="21" t="str">
        <f>AY23</f>
        <v>coquetiers de 25 g</v>
      </c>
      <c r="AZ17" s="22" t="str">
        <f>AZ23</f>
        <v>Recette mère ► le Boudin en 4 déclinaisons</v>
      </c>
      <c r="BA17" s="24" t="s">
        <v>22</v>
      </c>
      <c r="BB17" s="6634" t="s">
        <v>14298</v>
      </c>
      <c r="BC17" s="6634"/>
      <c r="BD17" s="6634"/>
      <c r="BE17" s="6634"/>
      <c r="BF17" s="6634"/>
      <c r="BG17" s="6634"/>
      <c r="BH17" s="6634"/>
      <c r="BI17" s="6648" t="s">
        <v>993</v>
      </c>
      <c r="BJ17" s="6648"/>
      <c r="BK17" s="6638" t="str">
        <f>UPPER(LEFT(BB17,1))</f>
        <v>C</v>
      </c>
      <c r="BL17" s="2080"/>
      <c r="BM17" s="1970"/>
      <c r="BN17" s="99"/>
      <c r="BO17" s="1809"/>
      <c r="BQ17" s="2230"/>
      <c r="BR17" s="3">
        <v>1</v>
      </c>
      <c r="BS17" s="198" t="s">
        <v>14242</v>
      </c>
      <c r="BT17" s="9"/>
    </row>
    <row r="18" spans="1:72" ht="21" customHeight="1">
      <c r="A18" s="9"/>
      <c r="B18" s="2693"/>
      <c r="C18" s="186"/>
      <c r="D18" s="186"/>
      <c r="E18" s="186"/>
      <c r="F18" s="186"/>
      <c r="G18" s="6192" t="s">
        <v>14274</v>
      </c>
      <c r="H18" s="9"/>
      <c r="I18" s="9"/>
      <c r="J18" s="9"/>
      <c r="K18" s="9"/>
      <c r="L18" s="9"/>
      <c r="M18" s="186"/>
      <c r="N18" s="186"/>
      <c r="O18" s="2230"/>
      <c r="P18" s="9" t="s">
        <v>14299</v>
      </c>
      <c r="Q18" s="9"/>
      <c r="R18" s="9"/>
      <c r="S18" s="9"/>
      <c r="T18" s="9"/>
      <c r="U18" s="9"/>
      <c r="V18" s="9"/>
      <c r="W18" s="9"/>
      <c r="X18" s="2693"/>
      <c r="Y18" s="9"/>
      <c r="Z18" s="9"/>
      <c r="AA18" s="9"/>
      <c r="AB18" s="9"/>
      <c r="AC18" s="6193" t="s">
        <v>7819</v>
      </c>
      <c r="AD18" s="9"/>
      <c r="AE18" s="9"/>
      <c r="AF18" s="9"/>
      <c r="AG18" s="9"/>
      <c r="AH18" s="9"/>
      <c r="AI18" s="9"/>
      <c r="AJ18" s="9"/>
      <c r="AK18" s="9"/>
      <c r="AL18" s="6180"/>
      <c r="AM18" s="9"/>
      <c r="AN18" s="9"/>
      <c r="AO18" s="9"/>
      <c r="AP18" s="9"/>
      <c r="AQ18" s="9"/>
      <c r="AR18" s="9"/>
      <c r="AS18" s="14"/>
      <c r="AT18" s="9"/>
      <c r="AU18" s="9"/>
      <c r="AV18" s="25" t="s">
        <v>10</v>
      </c>
      <c r="AW18" s="26" t="str">
        <f>AW23</f>
        <v>C Coquetiers de l'Antoine | | Auteur &gt; Guy KRENZE - Eric GODDYN - Arnaud NICOLAS - CEPROC 2002</v>
      </c>
      <c r="AX18" s="27">
        <f>AX23</f>
        <v>20</v>
      </c>
      <c r="AY18" s="27" t="str">
        <f>AY23</f>
        <v>coquetiers de 25 g</v>
      </c>
      <c r="AZ18" s="28" t="str">
        <f>AZ23</f>
        <v>Recette mère ► le Boudin en 4 déclinaisons</v>
      </c>
      <c r="BA18" s="30" t="s">
        <v>29</v>
      </c>
      <c r="BB18" s="6635"/>
      <c r="BC18" s="6635"/>
      <c r="BD18" s="6635"/>
      <c r="BE18" s="6635"/>
      <c r="BF18" s="6635"/>
      <c r="BG18" s="6635"/>
      <c r="BH18" s="6635"/>
      <c r="BI18" s="6649"/>
      <c r="BJ18" s="6649"/>
      <c r="BK18" s="6639"/>
      <c r="BL18" s="2080"/>
      <c r="BM18" s="1970"/>
      <c r="BN18" s="99"/>
      <c r="BO18" s="1809"/>
      <c r="BQ18" s="2230"/>
      <c r="BR18" s="3">
        <v>1</v>
      </c>
      <c r="BS18" s="198" t="s">
        <v>14230</v>
      </c>
      <c r="BT18" s="9"/>
    </row>
    <row r="19" spans="1:72" ht="21" customHeight="1">
      <c r="A19" s="9"/>
      <c r="B19" s="2693"/>
      <c r="C19" s="9"/>
      <c r="D19" s="9"/>
      <c r="E19" s="9"/>
      <c r="F19" s="9"/>
      <c r="G19" s="9"/>
      <c r="H19" s="9"/>
      <c r="I19" s="9"/>
      <c r="J19" s="9"/>
      <c r="K19" s="9"/>
      <c r="L19" s="9"/>
      <c r="M19" s="9"/>
      <c r="N19" s="9"/>
      <c r="O19" s="9"/>
      <c r="P19" s="9"/>
      <c r="Q19" s="9"/>
      <c r="R19" s="9"/>
      <c r="S19" s="9"/>
      <c r="T19" s="9"/>
      <c r="U19" s="9"/>
      <c r="V19" s="9"/>
      <c r="W19" s="9"/>
      <c r="X19" s="2693"/>
      <c r="Y19" s="9"/>
      <c r="Z19" s="9"/>
      <c r="AA19" s="9"/>
      <c r="AB19" s="9"/>
      <c r="AC19" s="9"/>
      <c r="AD19" s="9"/>
      <c r="AE19" s="9"/>
      <c r="AF19" s="9"/>
      <c r="AG19" s="9"/>
      <c r="AH19" s="9"/>
      <c r="AI19" s="9"/>
      <c r="AJ19" s="9"/>
      <c r="AK19" s="9"/>
      <c r="AL19" s="6180"/>
      <c r="AM19" s="9"/>
      <c r="AN19" s="9"/>
      <c r="AO19" s="9"/>
      <c r="AP19" s="9"/>
      <c r="AQ19" s="9"/>
      <c r="AR19" s="9"/>
      <c r="AS19" s="14"/>
      <c r="AT19" s="9"/>
      <c r="AU19" s="9"/>
      <c r="AV19" s="25" t="s">
        <v>10</v>
      </c>
      <c r="AW19" s="6184" t="str">
        <f>AW23</f>
        <v>C Coquetiers de l'Antoine | | Auteur &gt; Guy KRENZE - Eric GODDYN - Arnaud NICOLAS - CEPROC 2002</v>
      </c>
      <c r="AX19" s="6184">
        <f>AX23</f>
        <v>20</v>
      </c>
      <c r="AY19" s="6185" t="str">
        <f>AY23</f>
        <v>coquetiers de 25 g</v>
      </c>
      <c r="AZ19" s="6186" t="str">
        <f>AZ23</f>
        <v>Recette mère ► le Boudin en 4 déclinaisons</v>
      </c>
      <c r="BA19" s="6194"/>
      <c r="BB19" s="6195" t="s">
        <v>30</v>
      </c>
      <c r="BC19" s="34"/>
      <c r="BD19" s="35" t="s">
        <v>31</v>
      </c>
      <c r="BE19" s="36" t="s">
        <v>14300</v>
      </c>
      <c r="BF19" s="9"/>
      <c r="BG19" s="9"/>
      <c r="BH19" s="36"/>
      <c r="BI19" s="36"/>
      <c r="BJ19" s="37"/>
      <c r="BK19" s="2062" t="str" cm="1">
        <f t="array" aca="1" ref="BK19" ca="1">IF(COUNTIF(AW49:BK49,"&lt;0.5")=0,"Aucune colonne masquée ",COUNTIF(AW49:BK49,"&lt;0.5") &amp; " " &amp; IF(COUNTIF(AW49:BK49,"&lt;0.5")&gt;1,"colonnes masquées","colonne masquée") &amp; " " &amp; _xlfn.TEXTJOIN(" ", TRUE, IF(AW49:BK49&lt;0.5,AW48:BK48,"")))&amp;" "</f>
        <v xml:space="preserve">Aucune colonne masquée  </v>
      </c>
      <c r="BL19" s="2080"/>
      <c r="BM19" s="1970"/>
      <c r="BN19" s="99"/>
      <c r="BO19" s="1809"/>
      <c r="BQ19" s="2230"/>
      <c r="BR19" s="3">
        <v>1</v>
      </c>
      <c r="BS19" s="198"/>
      <c r="BT19" s="9"/>
    </row>
    <row r="20" spans="1:72" ht="21" customHeight="1">
      <c r="A20" s="9"/>
      <c r="B20" s="2693"/>
      <c r="C20" s="9"/>
      <c r="D20" s="9"/>
      <c r="E20" s="9"/>
      <c r="F20" s="9"/>
      <c r="G20" s="6196" t="str">
        <f>O49&amp;" ❶  Saisissez ou collez le texte à découper."</f>
        <v>Colonne.O ▼ ❶  Saisissez ou collez le texte à découper.</v>
      </c>
      <c r="H20" s="9"/>
      <c r="I20" s="9"/>
      <c r="J20" s="9"/>
      <c r="K20" s="9"/>
      <c r="L20" s="9"/>
      <c r="M20" s="9"/>
      <c r="N20" s="9"/>
      <c r="O20" s="9"/>
      <c r="P20" s="6181" t="s">
        <v>14301</v>
      </c>
      <c r="Q20" s="9"/>
      <c r="R20" s="9"/>
      <c r="S20" s="9"/>
      <c r="T20" s="9"/>
      <c r="U20" s="9"/>
      <c r="V20" s="9"/>
      <c r="W20" s="9"/>
      <c r="X20" s="2693"/>
      <c r="Y20" s="9"/>
      <c r="Z20" s="9"/>
      <c r="AA20" s="9"/>
      <c r="AB20" s="9"/>
      <c r="AC20" s="9"/>
      <c r="AD20" s="9"/>
      <c r="AE20" s="9"/>
      <c r="AF20" s="9"/>
      <c r="AG20" s="9"/>
      <c r="AH20" s="9"/>
      <c r="AI20" s="9"/>
      <c r="AJ20" s="9"/>
      <c r="AK20" s="9"/>
      <c r="AL20" s="6180"/>
      <c r="AM20" s="9"/>
      <c r="AN20" s="9"/>
      <c r="AO20" s="9"/>
      <c r="AP20" s="9"/>
      <c r="AQ20" s="9"/>
      <c r="AR20" s="9"/>
      <c r="AS20" s="14"/>
      <c r="AT20" s="9"/>
      <c r="AU20" s="9"/>
      <c r="AV20" s="25" t="s">
        <v>10</v>
      </c>
      <c r="AW20" s="31" t="str">
        <f>AW23</f>
        <v>C Coquetiers de l'Antoine | | Auteur &gt; Guy KRENZE - Eric GODDYN - Arnaud NICOLAS - CEPROC 2002</v>
      </c>
      <c r="AX20" s="32">
        <f>AX23</f>
        <v>20</v>
      </c>
      <c r="AY20" s="32" t="str">
        <f>AY23</f>
        <v>coquetiers de 25 g</v>
      </c>
      <c r="AZ20" s="33" t="str">
        <f>AZ23</f>
        <v>Recette mère ► le Boudin en 4 déclinaisons</v>
      </c>
      <c r="BA20" s="39" t="s">
        <v>32</v>
      </c>
      <c r="BB20" s="40"/>
      <c r="BC20" s="40"/>
      <c r="BD20" s="41" t="s">
        <v>33</v>
      </c>
      <c r="BE20" s="6820" t="str">
        <f>BF23&amp;" "&amp;BH23&amp;" ► Famille = "&amp;BI17&amp;" ► "&amp;BB17&amp;" "&amp; "pour "&amp;BI21&amp;" "&amp;BJ21</f>
        <v>Recette mère ► le Boudin en 4 déclinaisons ► Famille =  charcuterie-BOUDIN-NOIR ► Coquetiers de l'Antoine pour 20 coquetiers de 25 g</v>
      </c>
      <c r="BF20" s="6820"/>
      <c r="BG20" s="6820"/>
      <c r="BH20" s="6820"/>
      <c r="BI20" s="6197" t="s">
        <v>14302</v>
      </c>
      <c r="BJ20" s="37"/>
      <c r="BK20" s="6198"/>
      <c r="BL20" s="2080"/>
      <c r="BM20" s="1970"/>
      <c r="BN20" s="99"/>
      <c r="BO20" s="1809"/>
      <c r="BQ20" s="5559"/>
      <c r="BR20" s="3">
        <v>1</v>
      </c>
      <c r="BS20" s="198" t="s">
        <v>14233</v>
      </c>
      <c r="BT20" s="9"/>
    </row>
    <row r="21" spans="1:72" ht="21" customHeight="1">
      <c r="A21" s="9"/>
      <c r="B21" s="2693"/>
      <c r="C21" s="9"/>
      <c r="D21" s="9"/>
      <c r="E21" s="9"/>
      <c r="F21" s="9"/>
      <c r="G21" s="6199" t="s">
        <v>14303</v>
      </c>
      <c r="H21" s="9"/>
      <c r="I21" s="9"/>
      <c r="J21" s="9"/>
      <c r="K21" s="9"/>
      <c r="L21" s="9"/>
      <c r="M21" s="9"/>
      <c r="N21" s="9"/>
      <c r="O21" s="9"/>
      <c r="P21" s="9" t="s">
        <v>14304</v>
      </c>
      <c r="Q21" s="9"/>
      <c r="R21" s="9"/>
      <c r="S21" s="9"/>
      <c r="T21" s="9"/>
      <c r="U21" s="9"/>
      <c r="V21" s="9"/>
      <c r="W21" s="9"/>
      <c r="X21" s="2693"/>
      <c r="Y21" s="9"/>
      <c r="Z21" s="9"/>
      <c r="AA21" s="9"/>
      <c r="AB21" s="9"/>
      <c r="AC21" s="9"/>
      <c r="AD21" s="9"/>
      <c r="AE21" s="9"/>
      <c r="AF21" s="9"/>
      <c r="AG21" s="9"/>
      <c r="AH21" s="9"/>
      <c r="AI21" s="9"/>
      <c r="AJ21" s="9"/>
      <c r="AK21" s="9"/>
      <c r="AL21" s="6180"/>
      <c r="AM21" s="9"/>
      <c r="AN21" s="9"/>
      <c r="AO21" s="9"/>
      <c r="AP21" s="9"/>
      <c r="AQ21" s="9"/>
      <c r="AR21" s="9"/>
      <c r="AS21" s="14"/>
      <c r="AT21" s="9"/>
      <c r="AU21" s="9"/>
      <c r="AV21" s="25" t="s">
        <v>10</v>
      </c>
      <c r="AW21" s="31" t="str">
        <f>AW23</f>
        <v>C Coquetiers de l'Antoine | | Auteur &gt; Guy KRENZE - Eric GODDYN - Arnaud NICOLAS - CEPROC 2002</v>
      </c>
      <c r="AX21" s="32">
        <f>AX23</f>
        <v>20</v>
      </c>
      <c r="AY21" s="32" t="str">
        <f>AY23</f>
        <v>coquetiers de 25 g</v>
      </c>
      <c r="AZ21" s="33" t="str">
        <f>AZ23</f>
        <v>Recette mère ► le Boudin en 4 déclinaisons</v>
      </c>
      <c r="BA21" s="1360">
        <v>20</v>
      </c>
      <c r="BB21" s="1361" t="s">
        <v>14305</v>
      </c>
      <c r="BC21" s="39"/>
      <c r="BD21" s="39"/>
      <c r="BE21" s="6820"/>
      <c r="BF21" s="6820"/>
      <c r="BG21" s="6820"/>
      <c r="BH21" s="6820"/>
      <c r="BI21" s="42">
        <v>20</v>
      </c>
      <c r="BJ21" s="6821" t="str">
        <f>BB21</f>
        <v>coquetiers de 25 g</v>
      </c>
      <c r="BK21" s="6822"/>
      <c r="BL21" s="2080"/>
      <c r="BM21" s="1970"/>
      <c r="BN21" s="99"/>
      <c r="BO21" s="1809"/>
      <c r="BQ21" s="5559"/>
      <c r="BR21" s="3">
        <v>1</v>
      </c>
      <c r="BS21" s="198" t="s">
        <v>14236</v>
      </c>
      <c r="BT21" s="9"/>
    </row>
    <row r="22" spans="1:72" ht="21" customHeight="1">
      <c r="A22" s="9"/>
      <c r="B22" s="2693"/>
      <c r="C22" s="9"/>
      <c r="D22" s="9"/>
      <c r="E22" s="9"/>
      <c r="F22" s="9"/>
      <c r="G22" s="9"/>
      <c r="H22" s="9"/>
      <c r="I22" s="9"/>
      <c r="J22" s="9"/>
      <c r="K22" s="9"/>
      <c r="L22" s="9"/>
      <c r="M22" s="9"/>
      <c r="N22" s="9"/>
      <c r="O22" s="9"/>
      <c r="P22" s="9"/>
      <c r="Q22" s="9"/>
      <c r="R22" s="9"/>
      <c r="S22" s="9"/>
      <c r="T22" s="9"/>
      <c r="U22" s="9"/>
      <c r="V22" s="9"/>
      <c r="W22" s="9"/>
      <c r="X22" s="2693"/>
      <c r="Y22" s="9"/>
      <c r="Z22" s="9"/>
      <c r="AA22" s="9"/>
      <c r="AB22" s="9"/>
      <c r="AC22" s="9"/>
      <c r="AD22" s="9"/>
      <c r="AE22" s="9"/>
      <c r="AF22" s="9"/>
      <c r="AG22" s="9"/>
      <c r="AH22" s="9"/>
      <c r="AI22" s="9"/>
      <c r="AJ22" s="9"/>
      <c r="AK22" s="9"/>
      <c r="AL22" s="6180"/>
      <c r="AM22" s="9"/>
      <c r="AN22" s="9"/>
      <c r="AO22" s="9"/>
      <c r="AP22" s="9"/>
      <c r="AQ22" s="9"/>
      <c r="AR22" s="9"/>
      <c r="AS22" s="14"/>
      <c r="AT22" s="9"/>
      <c r="AU22" s="9"/>
      <c r="AV22" s="25" t="s">
        <v>15</v>
      </c>
      <c r="AW22" s="31" t="str">
        <f>AW23</f>
        <v>C Coquetiers de l'Antoine | | Auteur &gt; Guy KRENZE - Eric GODDYN - Arnaud NICOLAS - CEPROC 2002</v>
      </c>
      <c r="AX22" s="32">
        <f>AX23</f>
        <v>20</v>
      </c>
      <c r="AY22" s="32" t="str">
        <f>AY23</f>
        <v>coquetiers de 25 g</v>
      </c>
      <c r="AZ22" s="33" t="str">
        <f>AZ23</f>
        <v>Recette mère ► le Boudin en 4 déclinaisons</v>
      </c>
      <c r="BA22" s="53"/>
      <c r="BB22" s="1323" t="s">
        <v>8094</v>
      </c>
      <c r="BC22" s="6737">
        <f>BJ42/BF22</f>
        <v>1.5309999999999999</v>
      </c>
      <c r="BD22" s="6737"/>
      <c r="BE22" s="1324" t="str" cm="1">
        <f t="array" ref="BE22">"1= "&amp;IF(OR(BA21&lt;=0,BC22=""),"",_xlfn.LET(_xlpm.kg,IF(ISNUMBER(BC22),BC22,VALEUR(SUBSTITUTE(SUBSTITUTE(SUBSTITUTE(LOWER(BC22),"kg",""),",",".")," ",""))),TEXT(ROUND(_xlpm.kg*1000/BA21,2),"0.##")&amp;" g"))</f>
        <v>1= 76.55 g</v>
      </c>
      <c r="BF22" s="1325">
        <f>IFERROR(BI21/BA21,0)</f>
        <v>1</v>
      </c>
      <c r="BG22" s="1325"/>
      <c r="BH22" s="6200"/>
      <c r="BI22" s="6201" t="s">
        <v>49</v>
      </c>
      <c r="BJ22" s="6202">
        <f>BJ42</f>
        <v>1.5309999999999999</v>
      </c>
      <c r="BK22" s="6203"/>
      <c r="BL22" s="2080"/>
      <c r="BM22" s="1970"/>
      <c r="BN22" s="99"/>
      <c r="BO22" s="1809"/>
      <c r="BQ22" s="5560"/>
      <c r="BR22" s="3">
        <v>1</v>
      </c>
      <c r="BS22" s="9"/>
      <c r="BT22" s="9"/>
    </row>
    <row r="23" spans="1:72" ht="21" customHeight="1">
      <c r="A23" s="9"/>
      <c r="B23" s="2693"/>
      <c r="C23" s="9"/>
      <c r="D23" s="9"/>
      <c r="E23" s="9"/>
      <c r="F23" s="9"/>
      <c r="G23" s="6178" t="str">
        <f>"❷ couper le texte en nombre de LIGNES saisissez un X cellule "&amp;AA48</f>
        <v>❷ couper le texte en nombre de LIGNES saisissez un X cellule Z48</v>
      </c>
      <c r="H23" s="9"/>
      <c r="I23" s="9"/>
      <c r="J23" s="9"/>
      <c r="K23" s="9"/>
      <c r="L23" s="9"/>
      <c r="M23" s="9"/>
      <c r="N23" s="9"/>
      <c r="O23" s="9"/>
      <c r="P23" s="54" t="s">
        <v>14306</v>
      </c>
      <c r="Q23" s="9"/>
      <c r="R23" s="9"/>
      <c r="S23" s="9"/>
      <c r="T23" s="9"/>
      <c r="U23" s="9"/>
      <c r="V23" s="9"/>
      <c r="W23" s="9"/>
      <c r="X23" s="2693"/>
      <c r="Y23" s="9"/>
      <c r="Z23" s="9"/>
      <c r="AA23" s="9"/>
      <c r="AB23" s="9"/>
      <c r="AC23" s="9"/>
      <c r="AD23" s="9"/>
      <c r="AE23" s="9"/>
      <c r="AF23" s="9"/>
      <c r="AG23" s="9"/>
      <c r="AH23" s="9"/>
      <c r="AI23" s="9"/>
      <c r="AJ23" s="9"/>
      <c r="AK23" s="9"/>
      <c r="AL23" s="6180"/>
      <c r="AM23" s="9"/>
      <c r="AN23" s="9"/>
      <c r="AO23" s="9"/>
      <c r="AP23" s="9"/>
      <c r="AQ23" s="9"/>
      <c r="AR23" s="9"/>
      <c r="AS23" s="14"/>
      <c r="AT23" s="9"/>
      <c r="AU23" s="9"/>
      <c r="AV23" s="6204" t="s">
        <v>15</v>
      </c>
      <c r="AW23" s="61" t="str">
        <f>BA23</f>
        <v>C Coquetiers de l'Antoine | | Auteur &gt; Guy KRENZE - Eric GODDYN - Arnaud NICOLAS - CEPROC 2002</v>
      </c>
      <c r="AX23" s="62">
        <f>BA21</f>
        <v>20</v>
      </c>
      <c r="AY23" s="61" t="str">
        <f>BB21</f>
        <v>coquetiers de 25 g</v>
      </c>
      <c r="AZ23" s="63" t="str">
        <f>BF23&amp;" "&amp;BH23</f>
        <v>Recette mère ► le Boudin en 4 déclinaisons</v>
      </c>
      <c r="BA23" s="64" t="str">
        <f>UPPER(LEFT(BB17,1))&amp;" "&amp;BB17&amp;" | "&amp;BJ17&amp;"| "&amp;BD19&amp;" "&amp;BE19</f>
        <v>C Coquetiers de l'Antoine | | Auteur &gt; Guy KRENZE - Eric GODDYN - Arnaud NICOLAS - CEPROC 2002</v>
      </c>
      <c r="BB23" s="65" t="s">
        <v>53</v>
      </c>
      <c r="BC23" s="6735" t="s">
        <v>54</v>
      </c>
      <c r="BD23" s="6735"/>
      <c r="BE23" s="6735"/>
      <c r="BF23" s="66" t="str">
        <f>IF(ISTEXT(BH23),"Recette mère ►",BB23)</f>
        <v>Recette mère ►</v>
      </c>
      <c r="BG23" s="66"/>
      <c r="BH23" s="67" t="s">
        <v>14307</v>
      </c>
      <c r="BI23" s="67"/>
      <c r="BJ23" s="68"/>
      <c r="BK23" s="6205"/>
      <c r="BL23" s="2080"/>
      <c r="BM23" s="1970"/>
      <c r="BN23" s="99"/>
      <c r="BO23" s="1809"/>
      <c r="BQ23" s="5560"/>
      <c r="BR23" s="3">
        <v>1</v>
      </c>
      <c r="BS23" s="9"/>
      <c r="BT23" s="9"/>
    </row>
    <row r="24" spans="1:72" ht="21" customHeight="1">
      <c r="A24" s="9"/>
      <c r="B24" s="2693"/>
      <c r="C24" s="9"/>
      <c r="D24" s="9"/>
      <c r="E24" s="9"/>
      <c r="F24" s="9"/>
      <c r="G24" s="2693" t="str">
        <f>"❷ OU couper le texte en nombre de CARACTÈRES saisissez un X cellule "&amp;AE48</f>
        <v>❷ OU couper le texte en nombre de CARACTÈRES saisissez un X cellule AD48</v>
      </c>
      <c r="H24" s="9"/>
      <c r="I24" s="9"/>
      <c r="J24" s="9"/>
      <c r="K24" s="9"/>
      <c r="L24" s="9"/>
      <c r="M24" s="9"/>
      <c r="N24" s="9"/>
      <c r="O24" s="9"/>
      <c r="P24" s="54" t="s">
        <v>14308</v>
      </c>
      <c r="Q24" s="9"/>
      <c r="R24" s="9"/>
      <c r="S24" s="9"/>
      <c r="T24" s="9"/>
      <c r="U24" s="9"/>
      <c r="V24" s="9"/>
      <c r="W24" s="9"/>
      <c r="X24" s="2693"/>
      <c r="Y24" s="9"/>
      <c r="Z24" s="9"/>
      <c r="AA24" s="9"/>
      <c r="AB24" s="9"/>
      <c r="AC24" s="9"/>
      <c r="AD24" s="9"/>
      <c r="AE24" s="9"/>
      <c r="AF24" s="9"/>
      <c r="AG24" s="9"/>
      <c r="AH24" s="9"/>
      <c r="AI24" s="9"/>
      <c r="AJ24" s="9"/>
      <c r="AK24" s="9"/>
      <c r="AL24" s="6180"/>
      <c r="AM24" s="9"/>
      <c r="AN24" s="9"/>
      <c r="AO24" s="9"/>
      <c r="AP24" s="9"/>
      <c r="AQ24" s="9"/>
      <c r="AR24" s="9"/>
      <c r="AS24" s="14"/>
      <c r="AT24" s="9"/>
      <c r="AU24" s="9"/>
      <c r="AV24" s="6206" t="s">
        <v>15</v>
      </c>
      <c r="AW24" s="70" t="str">
        <f>AW23</f>
        <v>C Coquetiers de l'Antoine | | Auteur &gt; Guy KRENZE - Eric GODDYN - Arnaud NICOLAS - CEPROC 2002</v>
      </c>
      <c r="AX24" s="70">
        <f>AX23</f>
        <v>20</v>
      </c>
      <c r="AY24" s="70" t="str">
        <f>AY23</f>
        <v>coquetiers de 25 g</v>
      </c>
      <c r="AZ24" s="71" t="str">
        <f>AZ23</f>
        <v>Recette mère ► le Boudin en 4 déclinaisons</v>
      </c>
      <c r="BA24" s="12" t="s">
        <v>65</v>
      </c>
      <c r="BB24" s="12" t="s">
        <v>66</v>
      </c>
      <c r="BC24" s="12" t="s">
        <v>67</v>
      </c>
      <c r="BD24" s="12" t="s">
        <v>68</v>
      </c>
      <c r="BE24" s="72" t="s">
        <v>69</v>
      </c>
      <c r="BF24" s="73" t="s">
        <v>70</v>
      </c>
      <c r="BG24" s="12" t="s">
        <v>71</v>
      </c>
      <c r="BH24" s="12" t="s">
        <v>72</v>
      </c>
      <c r="BI24" s="12" t="s">
        <v>73</v>
      </c>
      <c r="BJ24" s="12" t="s">
        <v>74</v>
      </c>
      <c r="BK24" s="492" t="s">
        <v>75</v>
      </c>
      <c r="BL24" s="2080"/>
      <c r="BM24" s="1970"/>
      <c r="BN24" s="99"/>
      <c r="BO24" s="1809"/>
      <c r="BQ24" s="2230"/>
      <c r="BR24" s="3">
        <v>1</v>
      </c>
      <c r="BS24" s="198" t="s">
        <v>14243</v>
      </c>
      <c r="BT24" s="9"/>
    </row>
    <row r="25" spans="1:72" ht="21" customHeight="1">
      <c r="A25" s="9"/>
      <c r="B25" s="2693"/>
      <c r="C25" s="9"/>
      <c r="D25" s="9"/>
      <c r="E25" s="9"/>
      <c r="F25" s="9"/>
      <c r="G25" s="6199" t="s">
        <v>14309</v>
      </c>
      <c r="H25" s="9"/>
      <c r="I25" s="9"/>
      <c r="J25" s="9"/>
      <c r="K25" s="9"/>
      <c r="L25" s="9"/>
      <c r="M25" s="9"/>
      <c r="N25" s="9"/>
      <c r="O25" s="9"/>
      <c r="P25" s="9"/>
      <c r="Q25" s="9"/>
      <c r="R25" s="9"/>
      <c r="S25" s="9"/>
      <c r="T25" s="9"/>
      <c r="U25" s="9"/>
      <c r="V25" s="9"/>
      <c r="W25" s="9"/>
      <c r="X25" s="2693"/>
      <c r="Y25" s="9"/>
      <c r="Z25" s="9"/>
      <c r="AA25" s="9"/>
      <c r="AB25" s="9"/>
      <c r="AC25" s="9"/>
      <c r="AD25" s="9"/>
      <c r="AE25" s="9"/>
      <c r="AF25" s="9"/>
      <c r="AG25" s="9"/>
      <c r="AH25" s="9"/>
      <c r="AI25" s="9"/>
      <c r="AJ25" s="9"/>
      <c r="AK25" s="9"/>
      <c r="AL25" s="6180"/>
      <c r="AM25" s="9"/>
      <c r="AN25" s="9"/>
      <c r="AO25" s="9"/>
      <c r="AP25" s="9"/>
      <c r="AQ25" s="9"/>
      <c r="AR25" s="9"/>
      <c r="AS25" s="14"/>
      <c r="AT25" s="9"/>
      <c r="AU25" s="9"/>
      <c r="AV25" s="25" t="s">
        <v>10</v>
      </c>
      <c r="AW25" s="31" t="str">
        <f>AW23</f>
        <v>C Coquetiers de l'Antoine | | Auteur &gt; Guy KRENZE - Eric GODDYN - Arnaud NICOLAS - CEPROC 2002</v>
      </c>
      <c r="AX25" s="32">
        <f>AX23</f>
        <v>20</v>
      </c>
      <c r="AY25" s="31" t="str">
        <f>AY23</f>
        <v>coquetiers de 25 g</v>
      </c>
      <c r="AZ25" s="33" t="str">
        <f>AZ23</f>
        <v>Recette mère ► le Boudin en 4 déclinaisons</v>
      </c>
      <c r="BA25" s="6125" t="s">
        <v>78</v>
      </c>
      <c r="BB25" s="77" t="s">
        <v>79</v>
      </c>
      <c r="BC25" s="78"/>
      <c r="BD25" s="6787" t="s">
        <v>80</v>
      </c>
      <c r="BE25" s="6788" t="s">
        <v>81</v>
      </c>
      <c r="BF25" s="6823" t="s">
        <v>82</v>
      </c>
      <c r="BG25" s="6733" t="s">
        <v>8575</v>
      </c>
      <c r="BH25" s="79" t="s">
        <v>83</v>
      </c>
      <c r="BI25" s="6824" t="s">
        <v>84</v>
      </c>
      <c r="BJ25" s="6826" t="s">
        <v>14310</v>
      </c>
      <c r="BK25" s="6792" t="s">
        <v>87</v>
      </c>
      <c r="BL25" s="2080"/>
      <c r="BM25" s="1970"/>
      <c r="BN25" s="99"/>
      <c r="BO25" s="1809"/>
      <c r="BQ25" s="2230"/>
      <c r="BR25" s="3">
        <v>1</v>
      </c>
      <c r="BS25" s="198" t="s">
        <v>14231</v>
      </c>
      <c r="BT25" s="9"/>
    </row>
    <row r="26" spans="1:72" ht="21" customHeight="1">
      <c r="A26" s="9"/>
      <c r="B26" s="2693"/>
      <c r="C26" s="9"/>
      <c r="D26" s="9"/>
      <c r="E26" s="9"/>
      <c r="F26" s="9"/>
      <c r="G26" s="9"/>
      <c r="H26" s="9"/>
      <c r="I26" s="9"/>
      <c r="J26" s="9"/>
      <c r="K26" s="9"/>
      <c r="L26" s="9"/>
      <c r="M26" s="9"/>
      <c r="N26" s="9"/>
      <c r="O26" s="9"/>
      <c r="P26" s="9" t="s">
        <v>14311</v>
      </c>
      <c r="Q26" s="9"/>
      <c r="R26" s="9"/>
      <c r="S26" s="9"/>
      <c r="T26" s="9"/>
      <c r="U26" s="9"/>
      <c r="V26" s="9"/>
      <c r="W26" s="9"/>
      <c r="X26" s="2693"/>
      <c r="Y26" s="9"/>
      <c r="Z26" s="9"/>
      <c r="AA26" s="9"/>
      <c r="AB26" s="9"/>
      <c r="AC26" s="9"/>
      <c r="AD26" s="9"/>
      <c r="AE26" s="9"/>
      <c r="AF26" s="9"/>
      <c r="AG26" s="9"/>
      <c r="AH26" s="9"/>
      <c r="AI26" s="9"/>
      <c r="AJ26" s="9"/>
      <c r="AK26" s="9"/>
      <c r="AL26" s="6180"/>
      <c r="AM26" s="9"/>
      <c r="AN26" s="9"/>
      <c r="AO26" s="9"/>
      <c r="AP26" s="9"/>
      <c r="AQ26" s="9"/>
      <c r="AR26" s="9"/>
      <c r="AS26" s="14"/>
      <c r="AT26" s="9"/>
      <c r="AU26" s="9"/>
      <c r="AV26" s="25" t="s">
        <v>10</v>
      </c>
      <c r="AW26" s="31" t="str">
        <f>AW23</f>
        <v>C Coquetiers de l'Antoine | | Auteur &gt; Guy KRENZE - Eric GODDYN - Arnaud NICOLAS - CEPROC 2002</v>
      </c>
      <c r="AX26" s="32">
        <f>AX23</f>
        <v>20</v>
      </c>
      <c r="AY26" s="31" t="str">
        <f>AY23</f>
        <v>coquetiers de 25 g</v>
      </c>
      <c r="AZ26" s="33" t="str">
        <f>AZ23</f>
        <v>Recette mère ► le Boudin en 4 déclinaisons</v>
      </c>
      <c r="BA26" s="6126" t="s">
        <v>92</v>
      </c>
      <c r="BB26" s="84" t="s">
        <v>93</v>
      </c>
      <c r="BC26" s="85" t="s">
        <v>94</v>
      </c>
      <c r="BD26" s="6577"/>
      <c r="BE26" s="6471"/>
      <c r="BF26" s="6579"/>
      <c r="BG26" s="6734"/>
      <c r="BH26" s="86" t="s">
        <v>95</v>
      </c>
      <c r="BI26" s="6825"/>
      <c r="BJ26" s="6827"/>
      <c r="BK26" s="6786"/>
      <c r="BL26" s="2080"/>
      <c r="BM26" s="1970"/>
      <c r="BN26" s="99"/>
      <c r="BO26" s="1809"/>
      <c r="BQ26" s="2230"/>
      <c r="BR26" s="3">
        <v>1</v>
      </c>
      <c r="BS26" s="198"/>
      <c r="BT26" s="9"/>
    </row>
    <row r="27" spans="1:72" ht="21" customHeight="1">
      <c r="A27" s="9"/>
      <c r="B27" s="2693"/>
      <c r="C27" s="9"/>
      <c r="D27" s="9"/>
      <c r="E27" s="9"/>
      <c r="F27" s="9"/>
      <c r="G27" s="6196" t="str">
        <f>ADDRESS(ROW(Z50),COLUMN(Z50),4)&amp;" ❸  saisissez un nombre de LIGNES par lignes"</f>
        <v>Z50 ❸  saisissez un nombre de LIGNES par lignes</v>
      </c>
      <c r="H27" s="9"/>
      <c r="I27" s="9"/>
      <c r="J27" s="9"/>
      <c r="K27" s="9"/>
      <c r="L27" s="9"/>
      <c r="M27" s="9"/>
      <c r="N27" s="9"/>
      <c r="O27" s="9"/>
      <c r="P27" s="9" t="s">
        <v>14312</v>
      </c>
      <c r="Q27" s="9"/>
      <c r="R27" s="9"/>
      <c r="S27" s="9"/>
      <c r="T27" s="9"/>
      <c r="U27" s="9"/>
      <c r="V27" s="9"/>
      <c r="W27" s="9"/>
      <c r="X27" s="2693"/>
      <c r="Y27" s="9"/>
      <c r="Z27" s="9"/>
      <c r="AA27" s="9"/>
      <c r="AB27" s="9"/>
      <c r="AC27" s="9"/>
      <c r="AD27" s="9"/>
      <c r="AE27" s="9"/>
      <c r="AF27" s="9"/>
      <c r="AG27" s="9"/>
      <c r="AH27" s="9"/>
      <c r="AI27" s="9"/>
      <c r="AJ27" s="9"/>
      <c r="AK27" s="9"/>
      <c r="AL27" s="6180"/>
      <c r="AM27" s="9"/>
      <c r="AN27" s="9"/>
      <c r="AO27" s="9"/>
      <c r="AP27" s="9"/>
      <c r="AQ27" s="9"/>
      <c r="AR27" s="9"/>
      <c r="AS27" s="14"/>
      <c r="AT27" s="9"/>
      <c r="AU27" s="9"/>
      <c r="AV27" s="25" t="s">
        <v>10</v>
      </c>
      <c r="AW27" s="31" t="str">
        <f>AW23</f>
        <v>C Coquetiers de l'Antoine | | Auteur &gt; Guy KRENZE - Eric GODDYN - Arnaud NICOLAS - CEPROC 2002</v>
      </c>
      <c r="AX27" s="32">
        <f>AX23</f>
        <v>20</v>
      </c>
      <c r="AY27" s="31" t="str">
        <f>AY23</f>
        <v>coquetiers de 25 g</v>
      </c>
      <c r="AZ27" s="33" t="str">
        <f>AZ23</f>
        <v>Recette mère ► le Boudin en 4 déclinaisons</v>
      </c>
      <c r="BA27" s="89"/>
      <c r="BB27" s="90"/>
      <c r="BC27" s="91" t="str">
        <f t="shared" ref="BC27:BC41" si="7">IF(OR(ISTEXT(BA27), BA27&lt;=0, BD27&lt;=0), "", "de")</f>
        <v/>
      </c>
      <c r="BD27" s="92">
        <v>300</v>
      </c>
      <c r="BE27" s="6136" t="s">
        <v>100</v>
      </c>
      <c r="BF27" s="130">
        <v>1</v>
      </c>
      <c r="BG27" s="6207" t="str">
        <f>ROWS(BG27:BG27)&amp;" ►"</f>
        <v>1 ►</v>
      </c>
      <c r="BH27" s="6208" t="s">
        <v>14313</v>
      </c>
      <c r="BI27" s="98">
        <f>IF(OR(ISBLANK(BA21),BI21=0),0,BA27*BF22)</f>
        <v>0</v>
      </c>
      <c r="BJ27" s="99" cm="1">
        <f t="array" ref="BJ27">IFERROR(_xlfn.LET(_xlpm.k,UPPER(TRIM(BE27)),_xlpm.r,_xlfn.XLOOKUP(_xlpm.k,UPPER(TRIM(BA43:BK43)),BA44:BK44,_xlfn.XLOOKUP(_xlpm.k,UPPER(TRIM(BA45:BK45)),BA46:BK46)),_xlpm.r*BD27*BF27*BF22*IF(ISBLANK(BA27),1,BA27)),0)</f>
        <v>0.3</v>
      </c>
      <c r="BK27" s="6209" t="str">
        <f>_xlfn.LET(_xlpm.unite,SUBSTITUTE(TRIM(BE27)," (s)",""),_xlpm.val,BJ27,_xlpm.estVol,COUNTIF(BD43:BK43,_xlpm.unite)+COUNTIF(BD45:BK45,_xlpm.unite)&gt;0,_xlpm.estPoids,COUNTIF(BA43:BC43,_xlpm.unite)+COUNTIF(BA45:BC45,_xlpm.unite)&gt;0,IF(_xlpm.estVol,IF(ROUND(_xlpm.val,3)&gt;=1,ROUND(_xlpm.val,3)&amp;"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300 g</v>
      </c>
      <c r="BL27" s="2080"/>
      <c r="BM27" s="1970"/>
      <c r="BN27" s="99"/>
      <c r="BO27" s="1809"/>
      <c r="BQ27" s="2230"/>
      <c r="BR27" s="3">
        <v>1</v>
      </c>
      <c r="BS27" s="198" t="s">
        <v>14234</v>
      </c>
      <c r="BT27" s="9"/>
    </row>
    <row r="28" spans="1:72" ht="21" customHeight="1">
      <c r="A28" s="9"/>
      <c r="B28" s="2693"/>
      <c r="C28" s="9"/>
      <c r="D28" s="9"/>
      <c r="E28" s="9"/>
      <c r="F28" s="9"/>
      <c r="G28" s="9"/>
      <c r="H28" s="9"/>
      <c r="I28" s="9"/>
      <c r="J28" s="9"/>
      <c r="K28" s="9"/>
      <c r="L28" s="9"/>
      <c r="M28" s="9"/>
      <c r="N28" s="9"/>
      <c r="O28" s="9"/>
      <c r="P28" s="9"/>
      <c r="Q28" s="9"/>
      <c r="R28" s="9"/>
      <c r="S28" s="9"/>
      <c r="T28" s="9"/>
      <c r="U28" s="9"/>
      <c r="V28" s="9"/>
      <c r="W28" s="9"/>
      <c r="X28" s="2693"/>
      <c r="Y28" s="9"/>
      <c r="Z28" s="9"/>
      <c r="AA28" s="9"/>
      <c r="AB28" s="9"/>
      <c r="AC28" s="9"/>
      <c r="AD28" s="9"/>
      <c r="AE28" s="9"/>
      <c r="AF28" s="9"/>
      <c r="AG28" s="9"/>
      <c r="AH28" s="9"/>
      <c r="AI28" s="9"/>
      <c r="AJ28" s="9"/>
      <c r="AK28" s="9"/>
      <c r="AL28" s="6180"/>
      <c r="AM28" s="9"/>
      <c r="AN28" s="9"/>
      <c r="AO28" s="9"/>
      <c r="AP28" s="9"/>
      <c r="AQ28" s="9"/>
      <c r="AR28" s="9"/>
      <c r="AS28" s="14"/>
      <c r="AT28" s="9"/>
      <c r="AU28" s="9"/>
      <c r="AV28" s="103" t="str">
        <f t="shared" ref="AV28:AV41" si="8">IF(BH28&lt;&gt;"","A","►")</f>
        <v>A</v>
      </c>
      <c r="AW28" s="31" t="str">
        <f>AW23</f>
        <v>C Coquetiers de l'Antoine | | Auteur &gt; Guy KRENZE - Eric GODDYN - Arnaud NICOLAS - CEPROC 2002</v>
      </c>
      <c r="AX28" s="32">
        <f>AX23</f>
        <v>20</v>
      </c>
      <c r="AY28" s="31" t="str">
        <f>AY23</f>
        <v>coquetiers de 25 g</v>
      </c>
      <c r="AZ28" s="33" t="str">
        <f>AZ23</f>
        <v>Recette mère ► le Boudin en 4 déclinaisons</v>
      </c>
      <c r="BA28" s="89"/>
      <c r="BB28" s="90"/>
      <c r="BC28" s="91" t="str">
        <f t="shared" si="7"/>
        <v/>
      </c>
      <c r="BD28" s="92">
        <v>300</v>
      </c>
      <c r="BE28" s="6136" t="s">
        <v>100</v>
      </c>
      <c r="BF28" s="130">
        <v>1</v>
      </c>
      <c r="BG28" s="6210" t="str">
        <f>ROWS(BG27:BG28)&amp;" ►"</f>
        <v>2 ►</v>
      </c>
      <c r="BH28" s="6211" t="s">
        <v>14314</v>
      </c>
      <c r="BI28" s="6212">
        <f>IF(OR(ISBLANK(BA21),BI21=0),0,BA28*BF22)</f>
        <v>0</v>
      </c>
      <c r="BJ28" s="99" cm="1">
        <f t="array" ref="BJ28">IFERROR(_xlfn.LET(_xlpm.k,UPPER(TRIM(BE28)),_xlpm.r,_xlfn.XLOOKUP(_xlpm.k,UPPER(TRIM(BA43:BK43)),BA44:BK44,_xlfn.XLOOKUP(_xlpm.k,UPPER(TRIM(BA45:BK45)),BA46:BK46)),_xlpm.r*BD28*BF28*BF22*IF(ISBLANK(BA28),1,BA28)),0)</f>
        <v>0.3</v>
      </c>
      <c r="BK28" s="6213" t="str">
        <f>_xlfn.LET(_xlpm.unite,SUBSTITUTE(TRIM(BE28)," (s)",""),_xlpm.val,BJ28,_xlpm.estVol,COUNTIF(BD43:BK43,_xlpm.unite)+COUNTIF(BD45:BK45,_xlpm.unite)&gt;0,_xlpm.estPoids,COUNTIF(BA43:BC43,_xlpm.unite)+COUNTIF(BA45:BC45,_xlpm.unite)&gt;0,IF(_xlpm.estVol,IF(ROUND(_xlpm.val,3)&gt;=1,ROUND(_xlpm.val,3)&amp;"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300 g</v>
      </c>
      <c r="BL28" s="2080"/>
      <c r="BM28" s="1970"/>
      <c r="BN28" s="99"/>
      <c r="BO28" s="1809"/>
      <c r="BQ28" s="2230"/>
      <c r="BR28" s="3">
        <v>1</v>
      </c>
      <c r="BS28" s="198" t="s">
        <v>14237</v>
      </c>
      <c r="BT28" s="9"/>
    </row>
    <row r="29" spans="1:72" ht="21" customHeight="1">
      <c r="A29" s="9"/>
      <c r="B29" s="2693"/>
      <c r="C29" s="9"/>
      <c r="D29" s="9"/>
      <c r="E29" s="9"/>
      <c r="F29" s="9"/>
      <c r="G29" s="6214" t="str">
        <f>ADDRESS(ROW(AD50),COLUMN(AD50),4)&amp;" ❸  saisissez un nombre de CARACTÈRES par lignes"</f>
        <v>AD50 ❸  saisissez un nombre de CARACTÈRES par lignes</v>
      </c>
      <c r="H29" s="9"/>
      <c r="I29" s="9"/>
      <c r="J29" s="9"/>
      <c r="K29" s="9"/>
      <c r="L29" s="9"/>
      <c r="M29" s="9"/>
      <c r="N29" s="9"/>
      <c r="O29" s="9"/>
      <c r="P29" s="6215" t="s">
        <v>14315</v>
      </c>
      <c r="Q29" s="9"/>
      <c r="R29" s="9"/>
      <c r="S29" s="9"/>
      <c r="T29" s="9"/>
      <c r="U29" s="9"/>
      <c r="V29" s="9"/>
      <c r="W29" s="9"/>
      <c r="X29" s="2693"/>
      <c r="Y29" s="9"/>
      <c r="Z29" s="9"/>
      <c r="AA29" s="9"/>
      <c r="AB29" s="9"/>
      <c r="AC29" s="9"/>
      <c r="AD29" s="9"/>
      <c r="AE29" s="9"/>
      <c r="AF29" s="9"/>
      <c r="AG29" s="9"/>
      <c r="AH29" s="9"/>
      <c r="AI29" s="9"/>
      <c r="AJ29" s="9"/>
      <c r="AK29" s="9"/>
      <c r="AL29" s="6180"/>
      <c r="AM29" s="9"/>
      <c r="AN29" s="9"/>
      <c r="AO29" s="9"/>
      <c r="AP29" s="9"/>
      <c r="AQ29" s="9"/>
      <c r="AR29" s="9"/>
      <c r="AS29" s="14"/>
      <c r="AT29" s="9"/>
      <c r="AU29" s="9"/>
      <c r="AV29" s="103" t="str">
        <f t="shared" si="8"/>
        <v>A</v>
      </c>
      <c r="AW29" s="31" t="str">
        <f>AW23</f>
        <v>C Coquetiers de l'Antoine | | Auteur &gt; Guy KRENZE - Eric GODDYN - Arnaud NICOLAS - CEPROC 2002</v>
      </c>
      <c r="AX29" s="32">
        <f>AX23</f>
        <v>20</v>
      </c>
      <c r="AY29" s="31" t="str">
        <f>AY23</f>
        <v>coquetiers de 25 g</v>
      </c>
      <c r="AZ29" s="33" t="str">
        <f>AZ23</f>
        <v>Recette mère ► le Boudin en 4 déclinaisons</v>
      </c>
      <c r="BA29" s="89"/>
      <c r="BB29" s="108"/>
      <c r="BC29" s="91" t="str">
        <f t="shared" si="7"/>
        <v/>
      </c>
      <c r="BD29" s="92">
        <v>45</v>
      </c>
      <c r="BE29" s="6136" t="s">
        <v>100</v>
      </c>
      <c r="BF29" s="130">
        <v>1</v>
      </c>
      <c r="BG29" s="6210" t="str">
        <f>ROWS(BG27:BG29)&amp;" ►"</f>
        <v>3 ►</v>
      </c>
      <c r="BH29" s="6211" t="s">
        <v>14316</v>
      </c>
      <c r="BI29" s="6212">
        <f>IF(OR(ISBLANK(BA21),BI21=0),0,BA29*BF22)</f>
        <v>0</v>
      </c>
      <c r="BJ29" s="99" cm="1">
        <f t="array" ref="BJ29">IFERROR(_xlfn.LET(_xlpm.k,UPPER(TRIM(BE29)),_xlpm.r,_xlfn.XLOOKUP(_xlpm.k,UPPER(TRIM(BA43:BK43)),BA44:BK44,_xlfn.XLOOKUP(_xlpm.k,UPPER(TRIM(BA45:BK45)),BA46:BK46)),_xlpm.r*BD29*BF29*BF22*IF(ISBLANK(BA29),1,BA29)),0)</f>
        <v>4.4999999999999998E-2</v>
      </c>
      <c r="BK29" s="6209" t="str">
        <f>_xlfn.LET(_xlpm.unite,SUBSTITUTE(TRIM(BE29)," (s)",""),_xlpm.val,BJ29,_xlpm.estVol,COUNTIF(BD43:BK43,_xlpm.unite)+COUNTIF(BD45:BK45,_xlpm.unite)&gt;0,_xlpm.estPoids,COUNTIF(BA43:BC43,_xlpm.unite)+COUNTIF(BA45:BC45,_xlpm.unite)&gt;0,IF(_xlpm.estVol,IF(ROUND(_xlpm.val,3)&gt;=1,ROUND(_xlpm.val,3)&amp;"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45 g</v>
      </c>
      <c r="BL29" s="2080"/>
      <c r="BM29" s="1970"/>
      <c r="BN29" s="99"/>
      <c r="BO29" s="1809"/>
      <c r="BQ29" s="2230"/>
      <c r="BR29" s="3">
        <v>1</v>
      </c>
    </row>
    <row r="30" spans="1:72" ht="21" customHeight="1">
      <c r="A30" s="9"/>
      <c r="B30" s="2693"/>
      <c r="C30" s="9"/>
      <c r="D30" s="9"/>
      <c r="E30" s="9"/>
      <c r="F30" s="9"/>
      <c r="G30" s="9"/>
      <c r="H30" s="9"/>
      <c r="I30" s="9"/>
      <c r="J30" s="9"/>
      <c r="K30" s="9"/>
      <c r="L30" s="9"/>
      <c r="M30" s="9"/>
      <c r="N30" s="9"/>
      <c r="O30" s="9"/>
      <c r="P30" s="6215" t="s">
        <v>14317</v>
      </c>
      <c r="Q30" s="9"/>
      <c r="R30" s="9"/>
      <c r="S30" s="9"/>
      <c r="T30" s="9"/>
      <c r="U30" s="9"/>
      <c r="V30" s="9"/>
      <c r="W30" s="9"/>
      <c r="X30" s="2693"/>
      <c r="Y30" s="9"/>
      <c r="Z30" s="9"/>
      <c r="AA30" s="9"/>
      <c r="AB30" s="9"/>
      <c r="AC30" s="9"/>
      <c r="AD30" s="9"/>
      <c r="AE30" s="9"/>
      <c r="AF30" s="9"/>
      <c r="AG30" s="9"/>
      <c r="AH30" s="9"/>
      <c r="AI30" s="9"/>
      <c r="AJ30" s="9"/>
      <c r="AK30" s="9"/>
      <c r="AL30" s="6180"/>
      <c r="AM30" s="9"/>
      <c r="AN30" s="9"/>
      <c r="AO30" s="9"/>
      <c r="AP30" s="9"/>
      <c r="AQ30" s="9"/>
      <c r="AR30" s="9"/>
      <c r="AS30" s="9"/>
      <c r="AT30" s="9"/>
      <c r="AU30" s="9"/>
      <c r="AV30" s="103" t="str">
        <f t="shared" si="8"/>
        <v>A</v>
      </c>
      <c r="AW30" s="31" t="str">
        <f>AW23</f>
        <v>C Coquetiers de l'Antoine | | Auteur &gt; Guy KRENZE - Eric GODDYN - Arnaud NICOLAS - CEPROC 2002</v>
      </c>
      <c r="AX30" s="32">
        <f>AX23</f>
        <v>20</v>
      </c>
      <c r="AY30" s="31" t="str">
        <f>AY23</f>
        <v>coquetiers de 25 g</v>
      </c>
      <c r="AZ30" s="33" t="str">
        <f>AZ23</f>
        <v>Recette mère ► le Boudin en 4 déclinaisons</v>
      </c>
      <c r="BA30" s="89"/>
      <c r="BB30" s="108"/>
      <c r="BC30" s="91" t="str">
        <f t="shared" si="7"/>
        <v/>
      </c>
      <c r="BD30" s="92">
        <v>50</v>
      </c>
      <c r="BE30" s="6136" t="s">
        <v>100</v>
      </c>
      <c r="BF30" s="130">
        <v>1</v>
      </c>
      <c r="BG30" s="6210" t="str">
        <f>ROWS(BG27:BG30)&amp;" ►"</f>
        <v>4 ►</v>
      </c>
      <c r="BH30" s="6211" t="s">
        <v>14318</v>
      </c>
      <c r="BI30" s="6212">
        <f>IF(OR(ISBLANK(BA21),BI21=0),0,BA30*BF22)</f>
        <v>0</v>
      </c>
      <c r="BJ30" s="99" cm="1">
        <f t="array" ref="BJ30">IFERROR(_xlfn.LET(_xlpm.k,UPPER(TRIM(BE30)),_xlpm.r,_xlfn.XLOOKUP(_xlpm.k,UPPER(TRIM(BA43:BK43)),BA44:BK44,_xlfn.XLOOKUP(_xlpm.k,UPPER(TRIM(BA45:BK45)),BA46:BK46)),_xlpm.r*BD30*BF30*BF22*IF(ISBLANK(BA30),1,BA30)),0)</f>
        <v>0.05</v>
      </c>
      <c r="BK30" s="6213" t="str">
        <f>_xlfn.LET(_xlpm.unite,SUBSTITUTE(TRIM(BE30)," (s)",""),_xlpm.val,BJ30,_xlpm.estVol,COUNTIF(BD43:BK43,_xlpm.unite)+COUNTIF(BD45:BK45,_xlpm.unite)&gt;0,_xlpm.estPoids,COUNTIF(BA43:BC43,_xlpm.unite)+COUNTIF(BA45:BC45,_xlpm.unite)&gt;0,IF(_xlpm.estVol,IF(ROUND(_xlpm.val,3)&gt;=1,ROUND(_xlpm.val,3)&amp;"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50 g</v>
      </c>
      <c r="BL30" s="2080"/>
      <c r="BM30" s="1970"/>
      <c r="BN30" s="99"/>
      <c r="BO30" s="1809"/>
      <c r="BQ30" s="2230"/>
      <c r="BR30" s="3">
        <v>1</v>
      </c>
    </row>
    <row r="31" spans="1:72" ht="21" customHeight="1">
      <c r="A31" s="9"/>
      <c r="B31" s="2693"/>
      <c r="C31" s="9"/>
      <c r="D31" s="9"/>
      <c r="E31" s="9"/>
      <c r="F31" s="9"/>
      <c r="G31" s="1997" t="str">
        <f>X42</f>
        <v>❹ Si vous ne voulez pas de ponctuation saisissez un X cellule X45</v>
      </c>
      <c r="H31" s="9"/>
      <c r="I31" s="9"/>
      <c r="J31" s="9"/>
      <c r="K31" s="9"/>
      <c r="L31" s="9"/>
      <c r="M31" s="9"/>
      <c r="N31" s="9"/>
      <c r="O31" s="9"/>
      <c r="P31" s="2087" t="s">
        <v>14319</v>
      </c>
      <c r="Q31" s="9"/>
      <c r="R31" s="9"/>
      <c r="S31" s="9"/>
      <c r="T31" s="9"/>
      <c r="U31" s="9"/>
      <c r="V31" s="9"/>
      <c r="W31" s="9"/>
      <c r="X31" s="2693"/>
      <c r="Y31" s="9"/>
      <c r="Z31" s="9"/>
      <c r="AA31" s="9"/>
      <c r="AB31" s="9"/>
      <c r="AC31" s="9"/>
      <c r="AD31" s="9"/>
      <c r="AE31" s="9"/>
      <c r="AF31" s="9"/>
      <c r="AG31" s="9"/>
      <c r="AH31" s="9"/>
      <c r="AI31" s="9"/>
      <c r="AJ31" s="9"/>
      <c r="AK31" s="9"/>
      <c r="AL31" s="6180"/>
      <c r="AM31" s="9"/>
      <c r="AN31" s="9"/>
      <c r="AO31" s="9"/>
      <c r="AP31" s="9"/>
      <c r="AQ31" s="9"/>
      <c r="AR31" s="9"/>
      <c r="AS31" s="9"/>
      <c r="AT31" s="9"/>
      <c r="AU31" s="9"/>
      <c r="AV31" s="103" t="str">
        <f t="shared" si="8"/>
        <v>A</v>
      </c>
      <c r="AW31" s="31" t="str">
        <f>AW23</f>
        <v>C Coquetiers de l'Antoine | | Auteur &gt; Guy KRENZE - Eric GODDYN - Arnaud NICOLAS - CEPROC 2002</v>
      </c>
      <c r="AX31" s="32">
        <f>AX23</f>
        <v>20</v>
      </c>
      <c r="AY31" s="31" t="str">
        <f>AY23</f>
        <v>coquetiers de 25 g</v>
      </c>
      <c r="AZ31" s="33" t="str">
        <f>AZ23</f>
        <v>Recette mère ► le Boudin en 4 déclinaisons</v>
      </c>
      <c r="BA31" s="89"/>
      <c r="BB31" s="108"/>
      <c r="BC31" s="91" t="str">
        <f t="shared" si="7"/>
        <v/>
      </c>
      <c r="BD31" s="92">
        <v>7</v>
      </c>
      <c r="BE31" s="6136" t="s">
        <v>100</v>
      </c>
      <c r="BF31" s="130">
        <v>1</v>
      </c>
      <c r="BG31" s="6210" t="str">
        <f>ROWS(BG27:BG31)&amp;" ►"</f>
        <v>5 ►</v>
      </c>
      <c r="BH31" s="6211" t="s">
        <v>14320</v>
      </c>
      <c r="BI31" s="6212">
        <f>IF(OR(ISBLANK(BA21),BI21=0),0,BA31*BF22)</f>
        <v>0</v>
      </c>
      <c r="BJ31" s="99" cm="1">
        <f t="array" ref="BJ31">IFERROR(_xlfn.LET(_xlpm.k,UPPER(TRIM(BE31)),_xlpm.r,_xlfn.XLOOKUP(_xlpm.k,UPPER(TRIM(BA43:BK43)),BA44:BK44,_xlfn.XLOOKUP(_xlpm.k,UPPER(TRIM(BA45:BK45)),BA46:BK46)),_xlpm.r*BD31*BF31*BF22*IF(ISBLANK(BA31),1,BA31)),0)</f>
        <v>7.0000000000000001E-3</v>
      </c>
      <c r="BK31" s="6209" t="str">
        <f>_xlfn.LET(_xlpm.unite,SUBSTITUTE(TRIM(BE31)," (s)",""),_xlpm.val,BJ31,_xlpm.estVol,COUNTIF(BD43:BK43,_xlpm.unite)+COUNTIF(BD45:BK45,_xlpm.unite)&gt;0,_xlpm.estPoids,COUNTIF(BA43:BC43,_xlpm.unite)+COUNTIF(BA45:BC45,_xlpm.unite)&gt;0,IF(_xlpm.estVol,IF(ROUND(_xlpm.val,3)&gt;=1,ROUND(_xlpm.val,3)&amp;"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7 g</v>
      </c>
      <c r="BL31" s="2080"/>
      <c r="BM31" s="1970"/>
      <c r="BN31" s="99"/>
      <c r="BO31" s="1809"/>
      <c r="BQ31" s="2230"/>
      <c r="BR31" s="3">
        <v>1</v>
      </c>
    </row>
    <row r="32" spans="1:72" ht="21" customHeight="1">
      <c r="A32" s="9"/>
      <c r="B32" s="2693"/>
      <c r="C32" s="9"/>
      <c r="D32" s="9"/>
      <c r="E32" s="9"/>
      <c r="F32" s="9"/>
      <c r="G32" s="9"/>
      <c r="H32" s="9"/>
      <c r="I32" s="9"/>
      <c r="J32" s="9"/>
      <c r="K32" s="9"/>
      <c r="L32" s="9"/>
      <c r="M32" s="9"/>
      <c r="N32" s="9"/>
      <c r="O32" s="9"/>
      <c r="P32" s="9" t="s">
        <v>14321</v>
      </c>
      <c r="Q32" s="9"/>
      <c r="R32" s="9"/>
      <c r="S32" s="9"/>
      <c r="T32" s="9"/>
      <c r="U32" s="9"/>
      <c r="V32" s="9"/>
      <c r="W32" s="9"/>
      <c r="X32" s="2693"/>
      <c r="Y32" s="9"/>
      <c r="Z32" s="9"/>
      <c r="AA32" s="9"/>
      <c r="AB32" s="9"/>
      <c r="AC32" s="9"/>
      <c r="AD32" s="9"/>
      <c r="AE32" s="9"/>
      <c r="AF32" s="9"/>
      <c r="AG32" s="9"/>
      <c r="AH32" s="9"/>
      <c r="AI32" s="9"/>
      <c r="AJ32" s="9"/>
      <c r="AK32" s="9"/>
      <c r="AL32" s="6180"/>
      <c r="AM32" s="9"/>
      <c r="AN32" s="9"/>
      <c r="AO32" s="9"/>
      <c r="AP32" s="9"/>
      <c r="AQ32" s="9"/>
      <c r="AR32" s="9"/>
      <c r="AS32" s="9"/>
      <c r="AT32" s="9"/>
      <c r="AU32" s="9"/>
      <c r="AV32" s="103" t="str">
        <f t="shared" si="8"/>
        <v>A</v>
      </c>
      <c r="AW32" s="31" t="str">
        <f>AW23</f>
        <v>C Coquetiers de l'Antoine | | Auteur &gt; Guy KRENZE - Eric GODDYN - Arnaud NICOLAS - CEPROC 2002</v>
      </c>
      <c r="AX32" s="32">
        <f>AX23</f>
        <v>20</v>
      </c>
      <c r="AY32" s="31" t="str">
        <f>AY23</f>
        <v>coquetiers de 25 g</v>
      </c>
      <c r="AZ32" s="33" t="str">
        <f>AZ23</f>
        <v>Recette mère ► le Boudin en 4 déclinaisons</v>
      </c>
      <c r="BA32" s="89"/>
      <c r="BB32" s="108"/>
      <c r="BC32" s="91" t="str">
        <f t="shared" si="7"/>
        <v/>
      </c>
      <c r="BD32" s="92">
        <v>20</v>
      </c>
      <c r="BE32" s="6136" t="s">
        <v>100</v>
      </c>
      <c r="BF32" s="130">
        <v>1</v>
      </c>
      <c r="BG32" s="6210" t="str">
        <f>ROWS(BG27:BG32)&amp;" ►"</f>
        <v>6 ►</v>
      </c>
      <c r="BH32" s="6211" t="s">
        <v>14322</v>
      </c>
      <c r="BI32" s="6212">
        <f>IF(OR(ISBLANK(BA21),BI21=0),0,BA32*BF22)</f>
        <v>0</v>
      </c>
      <c r="BJ32" s="99" cm="1">
        <f t="array" ref="BJ32">IFERROR(_xlfn.LET(_xlpm.k,UPPER(TRIM(BE32)),_xlpm.r,_xlfn.XLOOKUP(_xlpm.k,UPPER(TRIM(BA43:BK43)),BA44:BK44,_xlfn.XLOOKUP(_xlpm.k,UPPER(TRIM(BA45:BK45)),BA46:BK46)),_xlpm.r*BD32*BF32*BF22*IF(ISBLANK(BA32),1,BA32)),0)</f>
        <v>0.02</v>
      </c>
      <c r="BK32" s="6213" t="str">
        <f>_xlfn.LET(_xlpm.unite,SUBSTITUTE(TRIM(BE32)," (s)",""),_xlpm.val,BJ32,_xlpm.estVol,COUNTIF(BD43:BK43,_xlpm.unite)+COUNTIF(BD45:BK45,_xlpm.unite)&gt;0,_xlpm.estPoids,COUNTIF(BA43:BC43,_xlpm.unite)+COUNTIF(BA45:BC45,_xlpm.unite)&gt;0,IF(_xlpm.estVol,IF(ROUND(_xlpm.val,3)&gt;=1,ROUND(_xlpm.val,3)&amp;"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20 g</v>
      </c>
      <c r="BL32" s="2080"/>
      <c r="BM32" s="1970"/>
      <c r="BN32" s="99"/>
      <c r="BO32" s="1809"/>
      <c r="BQ32" s="2230"/>
      <c r="BR32" s="3">
        <v>1</v>
      </c>
    </row>
    <row r="33" spans="1:70" ht="21" customHeight="1">
      <c r="A33" s="9"/>
      <c r="B33" s="2693"/>
      <c r="C33" s="9"/>
      <c r="D33" s="9"/>
      <c r="E33" s="9"/>
      <c r="F33" s="9"/>
      <c r="G33" s="6196" t="s">
        <v>14269</v>
      </c>
      <c r="H33" s="9"/>
      <c r="I33" s="9"/>
      <c r="J33" s="9"/>
      <c r="K33" s="9"/>
      <c r="L33" s="9"/>
      <c r="M33" s="9"/>
      <c r="N33" s="9"/>
      <c r="O33" s="9"/>
      <c r="P33" s="9" t="s">
        <v>14323</v>
      </c>
      <c r="Q33" s="9"/>
      <c r="R33" s="9"/>
      <c r="S33" s="9"/>
      <c r="T33" s="9"/>
      <c r="U33" s="9"/>
      <c r="V33" s="9"/>
      <c r="W33" s="9"/>
      <c r="X33" s="2693"/>
      <c r="Y33" s="9"/>
      <c r="Z33" s="9"/>
      <c r="AA33" s="9"/>
      <c r="AB33" s="9"/>
      <c r="AC33" s="9"/>
      <c r="AD33" s="9"/>
      <c r="AE33" s="9"/>
      <c r="AF33" s="9"/>
      <c r="AG33" s="9"/>
      <c r="AH33" s="9"/>
      <c r="AI33" s="9"/>
      <c r="AJ33" s="9"/>
      <c r="AK33" s="9"/>
      <c r="AL33" s="6180"/>
      <c r="AM33" s="9"/>
      <c r="AN33" s="9"/>
      <c r="AO33" s="9"/>
      <c r="AP33" s="9"/>
      <c r="AQ33" s="9"/>
      <c r="AR33" s="9"/>
      <c r="AS33" s="9"/>
      <c r="AT33" s="9"/>
      <c r="AU33" s="9"/>
      <c r="AV33" s="103" t="str">
        <f t="shared" si="8"/>
        <v>A</v>
      </c>
      <c r="AW33" s="31" t="str">
        <f>AW23</f>
        <v>C Coquetiers de l'Antoine | | Auteur &gt; Guy KRENZE - Eric GODDYN - Arnaud NICOLAS - CEPROC 2002</v>
      </c>
      <c r="AX33" s="32">
        <f>AX23</f>
        <v>20</v>
      </c>
      <c r="AY33" s="31" t="str">
        <f>AY23</f>
        <v>coquetiers de 25 g</v>
      </c>
      <c r="AZ33" s="33" t="str">
        <f>AZ23</f>
        <v>Recette mère ► le Boudin en 4 déclinaisons</v>
      </c>
      <c r="BA33" s="89"/>
      <c r="BB33" s="108"/>
      <c r="BC33" s="91" t="str">
        <f t="shared" si="7"/>
        <v/>
      </c>
      <c r="BD33" s="92">
        <v>300</v>
      </c>
      <c r="BE33" s="6136" t="s">
        <v>100</v>
      </c>
      <c r="BF33" s="130">
        <v>1</v>
      </c>
      <c r="BG33" s="6210" t="str">
        <f>ROWS(BG27:BG33)&amp;" ►"</f>
        <v>7 ►</v>
      </c>
      <c r="BH33" s="6211" t="s">
        <v>9284</v>
      </c>
      <c r="BI33" s="6212">
        <f>IF(OR(ISBLANK(BA21),BI21=0),0,BA33*BF22)</f>
        <v>0</v>
      </c>
      <c r="BJ33" s="99" cm="1">
        <f t="array" ref="BJ33">IFERROR(_xlfn.LET(_xlpm.k,UPPER(TRIM(BE33)),_xlpm.r,_xlfn.XLOOKUP(_xlpm.k,UPPER(TRIM(BA43:BK43)),BA44:BK44,_xlfn.XLOOKUP(_xlpm.k,UPPER(TRIM(BA45:BK45)),BA46:BK46)),_xlpm.r*BD33*BF33*BF22*IF(ISBLANK(BA33),1,BA33)),0)</f>
        <v>0.3</v>
      </c>
      <c r="BK33" s="6209" t="str">
        <f>_xlfn.LET(_xlpm.unite,SUBSTITUTE(TRIM(BE33)," (s)",""),_xlpm.val,BJ33,_xlpm.estVol,COUNTIF(BD43:BK43,_xlpm.unite)+COUNTIF(BD45:BK45,_xlpm.unite)&gt;0,_xlpm.estPoids,COUNTIF(BA43:BC43,_xlpm.unite)+COUNTIF(BA45:BC45,_xlpm.unite)&gt;0,IF(_xlpm.estVol,IF(ROUND(_xlpm.val,3)&gt;=1,ROUND(_xlpm.val,3)&amp;"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300 g</v>
      </c>
      <c r="BL33" s="2080"/>
      <c r="BM33" s="1970"/>
      <c r="BN33" s="99"/>
      <c r="BO33" s="1809"/>
      <c r="BQ33" s="2230"/>
      <c r="BR33" s="3">
        <v>1</v>
      </c>
    </row>
    <row r="34" spans="1:70" ht="21" customHeight="1">
      <c r="A34" s="9"/>
      <c r="B34" s="2693"/>
      <c r="C34" s="9"/>
      <c r="D34" s="9"/>
      <c r="E34" s="9"/>
      <c r="F34" s="9"/>
      <c r="G34" s="6199" t="str">
        <f>"Copiez le texte ajusté colonne "&amp;ADDRESS(ROW(AL49),COLUMN(AL49),4)</f>
        <v>Copiez le texte ajusté colonne AL49</v>
      </c>
      <c r="H34" s="9"/>
      <c r="I34" s="9"/>
      <c r="J34" s="9"/>
      <c r="K34" s="9"/>
      <c r="L34" s="9"/>
      <c r="M34" s="9"/>
      <c r="N34" s="9"/>
      <c r="O34" s="9"/>
      <c r="P34" s="9"/>
      <c r="Q34" s="9"/>
      <c r="R34" s="9"/>
      <c r="S34" s="9"/>
      <c r="T34" s="9"/>
      <c r="U34" s="9"/>
      <c r="V34" s="9"/>
      <c r="W34" s="9"/>
      <c r="X34" s="2693"/>
      <c r="Y34" s="9"/>
      <c r="Z34" s="9"/>
      <c r="AA34" s="9"/>
      <c r="AB34" s="9"/>
      <c r="AC34" s="9"/>
      <c r="AD34" s="9"/>
      <c r="AE34" s="9"/>
      <c r="AF34" s="9"/>
      <c r="AG34" s="9"/>
      <c r="AH34" s="9"/>
      <c r="AI34" s="9"/>
      <c r="AJ34" s="9"/>
      <c r="AK34" s="9"/>
      <c r="AL34" s="6180"/>
      <c r="AM34" s="9"/>
      <c r="AN34" s="9"/>
      <c r="AO34" s="9"/>
      <c r="AP34" s="9"/>
      <c r="AQ34" s="9"/>
      <c r="AR34" s="9"/>
      <c r="AS34" s="9"/>
      <c r="AT34" s="9"/>
      <c r="AU34" s="9"/>
      <c r="AV34" s="103" t="str">
        <f t="shared" si="8"/>
        <v>A</v>
      </c>
      <c r="AW34" s="31" t="str">
        <f>AW23</f>
        <v>C Coquetiers de l'Antoine | | Auteur &gt; Guy KRENZE - Eric GODDYN - Arnaud NICOLAS - CEPROC 2002</v>
      </c>
      <c r="AX34" s="32">
        <f>AX23</f>
        <v>20</v>
      </c>
      <c r="AY34" s="31" t="str">
        <f>AY23</f>
        <v>coquetiers de 25 g</v>
      </c>
      <c r="AZ34" s="33" t="str">
        <f>AZ23</f>
        <v>Recette mère ► le Boudin en 4 déclinaisons</v>
      </c>
      <c r="BA34" s="89"/>
      <c r="BB34" s="108"/>
      <c r="BC34" s="91" t="str">
        <f t="shared" si="7"/>
        <v/>
      </c>
      <c r="BD34" s="92">
        <v>2</v>
      </c>
      <c r="BE34" s="6136" t="s">
        <v>100</v>
      </c>
      <c r="BF34" s="130">
        <v>1</v>
      </c>
      <c r="BG34" s="6210" t="str">
        <f>ROWS(BG27:BG34)&amp;" ►"</f>
        <v>8 ►</v>
      </c>
      <c r="BH34" s="6211" t="s">
        <v>9272</v>
      </c>
      <c r="BI34" s="6212">
        <f>IF(OR(ISBLANK(BA21),BI21=0),0,BA34*BF22)</f>
        <v>0</v>
      </c>
      <c r="BJ34" s="99" cm="1">
        <f t="array" ref="BJ34">IFERROR(_xlfn.LET(_xlpm.k,UPPER(TRIM(BE34)),_xlpm.r,_xlfn.XLOOKUP(_xlpm.k,UPPER(TRIM(BA43:BK43)),BA44:BK44,_xlfn.XLOOKUP(_xlpm.k,UPPER(TRIM(BA45:BK45)),BA46:BK46)),_xlpm.r*BD34*BF34*BF22*IF(ISBLANK(BA34),1,BA34)),0)</f>
        <v>2E-3</v>
      </c>
      <c r="BK34" s="6213" t="str">
        <f>_xlfn.LET(_xlpm.unite,SUBSTITUTE(TRIM(BE34)," (s)",""),_xlpm.val,BJ34,_xlpm.estVol,COUNTIF(BD43:BK43,_xlpm.unite)+COUNTIF(BD45:BK45,_xlpm.unite)&gt;0,_xlpm.estPoids,COUNTIF(BA43:BC43,_xlpm.unite)+COUNTIF(BA45:BC45,_xlpm.unite)&gt;0,IF(_xlpm.estVol,IF(ROUND(_xlpm.val,3)&gt;=1,ROUND(_xlpm.val,3)&amp;"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2 g</v>
      </c>
      <c r="BL34" s="2080"/>
      <c r="BM34" s="1970"/>
      <c r="BN34" s="99"/>
      <c r="BO34" s="1809"/>
      <c r="BQ34" s="2230"/>
      <c r="BR34" s="3">
        <v>1</v>
      </c>
    </row>
    <row r="35" spans="1:70" ht="21" customHeight="1">
      <c r="A35" s="9"/>
      <c r="B35" s="2693"/>
      <c r="C35" s="9"/>
      <c r="D35" s="9"/>
      <c r="E35" s="9"/>
      <c r="F35" s="9"/>
      <c r="G35" s="6216" t="s">
        <v>14324</v>
      </c>
      <c r="H35" s="9"/>
      <c r="I35" s="9"/>
      <c r="J35" s="9"/>
      <c r="K35" s="9"/>
      <c r="L35" s="9"/>
      <c r="M35" s="9"/>
      <c r="N35" s="9"/>
      <c r="O35" s="9"/>
      <c r="P35" s="9"/>
      <c r="Q35" s="9"/>
      <c r="R35" s="9"/>
      <c r="S35" s="9"/>
      <c r="T35" s="9"/>
      <c r="U35" s="9"/>
      <c r="V35" s="9"/>
      <c r="W35" s="9"/>
      <c r="X35" s="2693"/>
      <c r="Y35" s="9"/>
      <c r="Z35" s="9"/>
      <c r="AA35" s="9"/>
      <c r="AB35" s="9"/>
      <c r="AC35" s="9"/>
      <c r="AD35" s="9"/>
      <c r="AE35" s="9"/>
      <c r="AF35" s="9"/>
      <c r="AG35" s="9"/>
      <c r="AH35" s="9"/>
      <c r="AI35" s="9"/>
      <c r="AJ35" s="9"/>
      <c r="AK35" s="9"/>
      <c r="AL35" s="6180"/>
      <c r="AM35" s="6180"/>
      <c r="AN35" s="6180"/>
      <c r="AO35" s="6180"/>
      <c r="AP35" s="6180"/>
      <c r="AQ35" s="6180"/>
      <c r="AR35" s="6180"/>
      <c r="AS35" s="9"/>
      <c r="AT35" s="9"/>
      <c r="AU35" s="9"/>
      <c r="AV35" s="103" t="str">
        <f t="shared" si="8"/>
        <v>A</v>
      </c>
      <c r="AW35" s="31" t="str">
        <f>AW23</f>
        <v>C Coquetiers de l'Antoine | | Auteur &gt; Guy KRENZE - Eric GODDYN - Arnaud NICOLAS - CEPROC 2002</v>
      </c>
      <c r="AX35" s="32">
        <f>AX23</f>
        <v>20</v>
      </c>
      <c r="AY35" s="31" t="str">
        <f>AY23</f>
        <v>coquetiers de 25 g</v>
      </c>
      <c r="AZ35" s="33" t="str">
        <f>AZ23</f>
        <v>Recette mère ► le Boudin en 4 déclinaisons</v>
      </c>
      <c r="BA35" s="89"/>
      <c r="BB35" s="108"/>
      <c r="BC35" s="91" t="str">
        <f t="shared" si="7"/>
        <v/>
      </c>
      <c r="BD35" s="92">
        <v>7</v>
      </c>
      <c r="BE35" s="6136" t="s">
        <v>100</v>
      </c>
      <c r="BF35" s="130">
        <v>1</v>
      </c>
      <c r="BG35" s="6210" t="str">
        <f>ROWS(BG27:BG35)&amp;" ►"</f>
        <v>9 ►</v>
      </c>
      <c r="BH35" s="6211" t="s">
        <v>8284</v>
      </c>
      <c r="BI35" s="6212">
        <f>IF(OR(ISBLANK(BA21),BI21=0),0,BA35*BF22)</f>
        <v>0</v>
      </c>
      <c r="BJ35" s="99" cm="1">
        <f t="array" ref="BJ35">IFERROR(_xlfn.LET(_xlpm.k,UPPER(TRIM(BE35)),_xlpm.r,_xlfn.XLOOKUP(_xlpm.k,UPPER(TRIM(BA43:BK43)),BA44:BK44,_xlfn.XLOOKUP(_xlpm.k,UPPER(TRIM(BA45:BK45)),BA46:BK46)),_xlpm.r*BD35*BF35*BF22*IF(ISBLANK(BA35),1,BA35)),0)</f>
        <v>7.0000000000000001E-3</v>
      </c>
      <c r="BK35" s="6209" t="str">
        <f>_xlfn.LET(_xlpm.unite,SUBSTITUTE(TRIM(BE35)," (s)",""),_xlpm.val,BJ35,_xlpm.estVol,COUNTIF(BD43:BK43,_xlpm.unite)+COUNTIF(BD45:BK45,_xlpm.unite)&gt;0,_xlpm.estPoids,COUNTIF(BA43:BC43,_xlpm.unite)+COUNTIF(BA45:BC45,_xlpm.unite)&gt;0,IF(_xlpm.estVol,IF(ROUND(_xlpm.val,3)&gt;=1,ROUND(_xlpm.val,3)&amp;"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7 g</v>
      </c>
      <c r="BL35" s="2080"/>
      <c r="BM35" s="1970"/>
      <c r="BN35" s="99"/>
      <c r="BO35" s="1809"/>
      <c r="BQ35" s="2230"/>
      <c r="BR35" s="3">
        <v>1</v>
      </c>
    </row>
    <row r="36" spans="1:70" ht="21" customHeight="1">
      <c r="A36" s="9"/>
      <c r="B36" s="2693"/>
      <c r="C36" s="9"/>
      <c r="D36" s="9"/>
      <c r="E36" s="9"/>
      <c r="F36" s="9"/>
      <c r="G36" s="6217" t="s">
        <v>14325</v>
      </c>
      <c r="H36" s="9"/>
      <c r="I36" s="9"/>
      <c r="J36" s="9"/>
      <c r="K36" s="9"/>
      <c r="L36" s="9"/>
      <c r="M36" s="9"/>
      <c r="N36" s="9"/>
      <c r="O36" s="9"/>
      <c r="P36" s="9"/>
      <c r="Q36" s="9"/>
      <c r="R36" s="9"/>
      <c r="S36" s="9"/>
      <c r="T36" s="9"/>
      <c r="U36" s="9"/>
      <c r="V36" s="9"/>
      <c r="W36" s="9"/>
      <c r="X36" s="2693"/>
      <c r="Y36" s="9"/>
      <c r="Z36" s="9"/>
      <c r="AA36" s="9"/>
      <c r="AB36" s="9"/>
      <c r="AC36" s="9"/>
      <c r="AD36" s="9"/>
      <c r="AE36" s="9"/>
      <c r="AF36" s="9"/>
      <c r="AG36" s="9"/>
      <c r="AH36" s="9"/>
      <c r="AI36" s="9"/>
      <c r="AJ36" s="9"/>
      <c r="AK36" s="9"/>
      <c r="AL36" s="6180"/>
      <c r="AM36" s="9"/>
      <c r="AN36" s="9"/>
      <c r="AO36" s="9"/>
      <c r="AP36" s="9"/>
      <c r="AQ36" s="9"/>
      <c r="AR36" s="9"/>
      <c r="AS36" s="9"/>
      <c r="AT36" s="9"/>
      <c r="AU36" s="9"/>
      <c r="AV36" s="103" t="str">
        <f t="shared" si="8"/>
        <v>A</v>
      </c>
      <c r="AW36" s="31" t="str">
        <f>AW23</f>
        <v>C Coquetiers de l'Antoine | | Auteur &gt; Guy KRENZE - Eric GODDYN - Arnaud NICOLAS - CEPROC 2002</v>
      </c>
      <c r="AX36" s="32">
        <f>AX23</f>
        <v>20</v>
      </c>
      <c r="AY36" s="31" t="str">
        <f>AY23</f>
        <v>coquetiers de 25 g</v>
      </c>
      <c r="AZ36" s="33" t="str">
        <f>AZ23</f>
        <v>Recette mère ► le Boudin en 4 déclinaisons</v>
      </c>
      <c r="BA36" s="89"/>
      <c r="BB36" s="108"/>
      <c r="BC36" s="91" t="str">
        <f t="shared" si="7"/>
        <v/>
      </c>
      <c r="BD36" s="92"/>
      <c r="BE36" s="6132"/>
      <c r="BF36" s="130">
        <v>1</v>
      </c>
      <c r="BG36" s="6210" t="str">
        <f>ROWS(BG27:BG36)&amp;" ►"</f>
        <v>10 ►</v>
      </c>
      <c r="BH36" s="6211" t="s">
        <v>14326</v>
      </c>
      <c r="BI36" s="6212">
        <f>IF(OR(ISBLANK(BA21),BI21=0),0,BA36*BF22)</f>
        <v>0</v>
      </c>
      <c r="BJ36" s="99" cm="1">
        <f t="array" ref="BJ36">IFERROR(_xlfn.LET(_xlpm.k,UPPER(TRIM(BE36)),_xlpm.r,_xlfn.XLOOKUP(_xlpm.k,UPPER(TRIM(BA43:BK43)),BA44:BK44,_xlfn.XLOOKUP(_xlpm.k,UPPER(TRIM(BA45:BK45)),BA46:BK46)),_xlpm.r*BD36*BF36*BF22*IF(ISBLANK(BA36),1,BA36)),0)</f>
        <v>0</v>
      </c>
      <c r="BK36" s="6213" t="str">
        <f>_xlfn.LET(_xlpm.unite,SUBSTITUTE(TRIM(BE36)," (s)",""),_xlpm.val,BJ36,_xlpm.estVol,COUNTIF(BD43:BK43,_xlpm.unite)+COUNTIF(BD45:BK45,_xlpm.unite)&gt;0,_xlpm.estPoids,COUNTIF(BA43:BC43,_xlpm.unite)+COUNTIF(BA45:BC45,_xlpm.unite)&gt;0,IF(_xlpm.estVol,IF(ROUND(_xlpm.val,3)&gt;=1,ROUND(_xlpm.val,3)&amp;"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
      </c>
      <c r="BL36" s="2080"/>
      <c r="BM36" s="1970"/>
      <c r="BN36" s="99"/>
      <c r="BO36" s="1809"/>
      <c r="BQ36" s="2230"/>
      <c r="BR36" s="3">
        <v>1</v>
      </c>
    </row>
    <row r="37" spans="1:70" ht="21" customHeight="1">
      <c r="A37" s="9"/>
      <c r="B37" s="2693"/>
      <c r="C37" s="9"/>
      <c r="D37" s="9"/>
      <c r="E37" s="9"/>
      <c r="F37" s="9"/>
      <c r="G37" s="6217" t="s">
        <v>14327</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03" t="str">
        <f t="shared" si="8"/>
        <v>A</v>
      </c>
      <c r="AW37" s="31" t="str">
        <f>AW23</f>
        <v>C Coquetiers de l'Antoine | | Auteur &gt; Guy KRENZE - Eric GODDYN - Arnaud NICOLAS - CEPROC 2002</v>
      </c>
      <c r="AX37" s="32">
        <f>AX23</f>
        <v>20</v>
      </c>
      <c r="AY37" s="31" t="str">
        <f>AY23</f>
        <v>coquetiers de 25 g</v>
      </c>
      <c r="AZ37" s="33" t="str">
        <f>AZ23</f>
        <v>Recette mère ► le Boudin en 4 déclinaisons</v>
      </c>
      <c r="BA37" s="89"/>
      <c r="BB37" s="108"/>
      <c r="BC37" s="91" t="str">
        <f t="shared" si="7"/>
        <v/>
      </c>
      <c r="BD37" s="92"/>
      <c r="BE37" s="6132"/>
      <c r="BF37" s="130">
        <v>1</v>
      </c>
      <c r="BG37" s="6210" t="str">
        <f>ROWS(BG27:BG37)&amp;" ►"</f>
        <v>11 ►</v>
      </c>
      <c r="BH37" s="6211" t="s">
        <v>14328</v>
      </c>
      <c r="BI37" s="6212">
        <f>IF(OR(ISBLANK(BA21),BI21=0),0,BA37*BF22)</f>
        <v>0</v>
      </c>
      <c r="BJ37" s="99" cm="1">
        <f t="array" ref="BJ37">IFERROR(_xlfn.LET(_xlpm.k,UPPER(TRIM(BE37)),_xlpm.r,_xlfn.XLOOKUP(_xlpm.k,UPPER(TRIM(BA43:BK43)),BA44:BK44,_xlfn.XLOOKUP(_xlpm.k,UPPER(TRIM(BA45:BK45)),BA46:BK46)),_xlpm.r*BD37*BF37*BF22*IF(ISBLANK(BA37),1,BA37)),0)</f>
        <v>0</v>
      </c>
      <c r="BK37" s="6209" t="str">
        <f>_xlfn.LET(_xlpm.unite,SUBSTITUTE(TRIM(BE37)," (s)",""),_xlpm.val,BJ37,_xlpm.estVol,COUNTIF(BD43:BK43,_xlpm.unite)+COUNTIF(BD45:BK45,_xlpm.unite)&gt;0,_xlpm.estPoids,COUNTIF(BA43:BC43,_xlpm.unite)+COUNTIF(BA45:BC45,_xlpm.unite)&gt;0,IF(_xlpm.estVol,IF(ROUND(_xlpm.val,3)&gt;=1,ROUND(_xlpm.val,3)&amp;"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
      </c>
      <c r="BL37" s="2080"/>
      <c r="BM37" s="1970"/>
      <c r="BN37" s="99"/>
      <c r="BO37" s="1809"/>
      <c r="BQ37" s="2230"/>
      <c r="BR37" s="3">
        <v>1</v>
      </c>
    </row>
    <row r="38" spans="1:70" ht="21" customHeight="1">
      <c r="A38" s="9"/>
      <c r="B38" s="2693"/>
      <c r="C38" s="9"/>
      <c r="D38" s="9"/>
      <c r="E38" s="9"/>
      <c r="F38" s="9"/>
      <c r="G38" s="9"/>
      <c r="H38" s="9"/>
      <c r="I38" s="9"/>
      <c r="J38" s="9"/>
      <c r="K38" s="9"/>
      <c r="L38" s="9"/>
      <c r="M38" s="9"/>
      <c r="N38" s="9"/>
      <c r="O38" s="9"/>
      <c r="P38" s="9"/>
      <c r="Q38" s="9"/>
      <c r="R38" s="9"/>
      <c r="S38" s="9"/>
      <c r="T38" s="9"/>
      <c r="U38" s="9"/>
      <c r="V38" s="9"/>
      <c r="W38" s="9"/>
      <c r="X38" s="6178" t="str">
        <f>"❶ COLLEZ LE TEXTE BRUT  A DÉCOUPER "&amp;O49</f>
        <v>❶ COLLEZ LE TEXTE BRUT  A DÉCOUPER Colonne.O ▼</v>
      </c>
      <c r="Y38" s="9"/>
      <c r="Z38" s="9"/>
      <c r="AA38" s="9"/>
      <c r="AB38" s="9"/>
      <c r="AC38" s="9"/>
      <c r="AD38" s="9"/>
      <c r="AE38" s="9"/>
      <c r="AF38" s="9"/>
      <c r="AG38" s="9"/>
      <c r="AH38" s="9"/>
      <c r="AI38" s="9"/>
      <c r="AJ38" s="9"/>
      <c r="AK38" s="9"/>
      <c r="AL38" s="9"/>
      <c r="AM38" s="9"/>
      <c r="AN38" s="9"/>
      <c r="AO38" s="9"/>
      <c r="AP38" s="9"/>
      <c r="AQ38" s="9"/>
      <c r="AR38" s="9"/>
      <c r="AS38" s="9"/>
      <c r="AT38" s="9"/>
      <c r="AU38" s="9"/>
      <c r="AV38" s="103" t="str">
        <f t="shared" si="8"/>
        <v>A</v>
      </c>
      <c r="AW38" s="31" t="str">
        <f>AW23</f>
        <v>C Coquetiers de l'Antoine | | Auteur &gt; Guy KRENZE - Eric GODDYN - Arnaud NICOLAS - CEPROC 2002</v>
      </c>
      <c r="AX38" s="32">
        <f>AX23</f>
        <v>20</v>
      </c>
      <c r="AY38" s="31" t="str">
        <f>AY23</f>
        <v>coquetiers de 25 g</v>
      </c>
      <c r="AZ38" s="33" t="str">
        <f>AZ23</f>
        <v>Recette mère ► le Boudin en 4 déclinaisons</v>
      </c>
      <c r="BA38" s="89"/>
      <c r="BB38" s="108"/>
      <c r="BC38" s="91" t="str">
        <f t="shared" si="7"/>
        <v/>
      </c>
      <c r="BD38" s="92">
        <v>250</v>
      </c>
      <c r="BE38" s="6136" t="s">
        <v>100</v>
      </c>
      <c r="BF38" s="130">
        <v>1</v>
      </c>
      <c r="BG38" s="6210" t="str">
        <f>ROWS(BG27:BG38)&amp;" ►"</f>
        <v>12 ►</v>
      </c>
      <c r="BH38" s="6211" t="s">
        <v>14329</v>
      </c>
      <c r="BI38" s="6212">
        <f>IF(OR(ISBLANK(BA21),BI21=0),0,BA38*BF22)</f>
        <v>0</v>
      </c>
      <c r="BJ38" s="99" cm="1">
        <f t="array" ref="BJ38">IFERROR(_xlfn.LET(_xlpm.k,UPPER(TRIM(BE38)),_xlpm.r,_xlfn.XLOOKUP(_xlpm.k,UPPER(TRIM(BA43:BK43)),BA44:BK44,_xlfn.XLOOKUP(_xlpm.k,UPPER(TRIM(BA45:BK45)),BA46:BK46)),_xlpm.r*BD38*BF38*BF22*IF(ISBLANK(BA38),1,BA38)),0)</f>
        <v>0.25</v>
      </c>
      <c r="BK38" s="6213" t="str">
        <f>_xlfn.LET(_xlpm.unite,SUBSTITUTE(TRIM(BE38)," (s)",""),_xlpm.val,BJ38,_xlpm.estVol,COUNTIF(BD43:BK43,_xlpm.unite)+COUNTIF(BD45:BK45,_xlpm.unite)&gt;0,_xlpm.estPoids,COUNTIF(BA43:BC43,_xlpm.unite)+COUNTIF(BA45:BC45,_xlpm.unite)&gt;0,IF(_xlpm.estVol,IF(ROUND(_xlpm.val,3)&gt;=1,ROUND(_xlpm.val,3)&amp;"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250 g</v>
      </c>
      <c r="BL38" s="2080"/>
      <c r="BM38" s="1970"/>
      <c r="BN38" s="99"/>
      <c r="BO38" s="1809"/>
      <c r="BQ38" s="2230"/>
      <c r="BR38" s="3">
        <v>1</v>
      </c>
    </row>
    <row r="39" spans="1:70" ht="21" customHeight="1">
      <c r="A39" s="9"/>
      <c r="B39" s="2693"/>
      <c r="C39" s="9"/>
      <c r="D39" s="9"/>
      <c r="E39" s="9"/>
      <c r="F39" s="9"/>
      <c r="G39" s="9"/>
      <c r="H39" s="9"/>
      <c r="I39" s="9"/>
      <c r="J39" s="9"/>
      <c r="K39" s="9"/>
      <c r="L39" s="9"/>
      <c r="M39" s="9"/>
      <c r="N39" s="9"/>
      <c r="O39" s="9"/>
      <c r="P39" s="9"/>
      <c r="Q39" s="9"/>
      <c r="R39" s="9"/>
      <c r="S39" s="9"/>
      <c r="T39" s="9"/>
      <c r="U39" s="9"/>
      <c r="V39" s="9"/>
      <c r="W39" s="9"/>
      <c r="X39" s="6179" t="s">
        <v>14330</v>
      </c>
      <c r="Y39" s="9"/>
      <c r="Z39" s="9"/>
      <c r="AA39" s="9"/>
      <c r="AB39" s="9"/>
      <c r="AC39" s="9"/>
      <c r="AD39" s="9"/>
      <c r="AE39" s="9"/>
      <c r="AF39" s="9"/>
      <c r="AG39" s="9"/>
      <c r="AH39" s="9"/>
      <c r="AI39" s="9"/>
      <c r="AJ39" s="9"/>
      <c r="AK39" s="9"/>
      <c r="AM39" s="9"/>
      <c r="AN39" s="9"/>
      <c r="AO39" s="9"/>
      <c r="AP39" s="9"/>
      <c r="AQ39" s="9"/>
      <c r="AR39" s="9"/>
      <c r="AT39" s="9"/>
      <c r="AU39" s="9"/>
      <c r="AV39" s="103" t="str">
        <f t="shared" si="8"/>
        <v>A</v>
      </c>
      <c r="AW39" s="31" t="str">
        <f>AW23</f>
        <v>C Coquetiers de l'Antoine | | Auteur &gt; Guy KRENZE - Eric GODDYN - Arnaud NICOLAS - CEPROC 2002</v>
      </c>
      <c r="AX39" s="32">
        <f>AX23</f>
        <v>20</v>
      </c>
      <c r="AY39" s="31" t="str">
        <f>AY23</f>
        <v>coquetiers de 25 g</v>
      </c>
      <c r="AZ39" s="33" t="str">
        <f>AZ23</f>
        <v>Recette mère ► le Boudin en 4 déclinaisons</v>
      </c>
      <c r="BA39" s="89"/>
      <c r="BB39" s="108"/>
      <c r="BC39" s="91" t="str">
        <f t="shared" si="7"/>
        <v/>
      </c>
      <c r="BD39" s="92">
        <v>250</v>
      </c>
      <c r="BE39" s="6136" t="s">
        <v>100</v>
      </c>
      <c r="BF39" s="130">
        <v>1</v>
      </c>
      <c r="BG39" s="6210" t="str">
        <f>ROWS(BG27:BG39)&amp;" ►"</f>
        <v>13 ►</v>
      </c>
      <c r="BH39" s="6211" t="s">
        <v>14331</v>
      </c>
      <c r="BI39" s="6212">
        <f>IF(OR(ISBLANK(BA21),BI21=0),0,BA39*BF22)</f>
        <v>0</v>
      </c>
      <c r="BJ39" s="99" cm="1">
        <f t="array" ref="BJ39">IFERROR(_xlfn.LET(_xlpm.k,UPPER(TRIM(BE39)),_xlpm.r,_xlfn.XLOOKUP(_xlpm.k,UPPER(TRIM(BA43:BK43)),BA44:BK44,_xlfn.XLOOKUP(_xlpm.k,UPPER(TRIM(BA45:BK45)),BA46:BK46)),_xlpm.r*BD39*BF39*BF22*IF(ISBLANK(BA39),1,BA39)),0)</f>
        <v>0.25</v>
      </c>
      <c r="BK39" s="6213" t="str">
        <f>_xlfn.LET(_xlpm.unite,SUBSTITUTE(TRIM(BE39)," (s)",""),_xlpm.val,BJ39,_xlpm.estVol,COUNTIF(BD43:BK43,_xlpm.unite)+COUNTIF(BD45:BK45,_xlpm.unite)&gt;0,_xlpm.estPoids,COUNTIF(BA43:BC43,_xlpm.unite)+COUNTIF(BA45:BC45,_xlpm.unite)&gt;0,IF(_xlpm.estVol,IF(ROUND(_xlpm.val,3)&gt;=1,ROUND(_xlpm.val,3)&amp;"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250 g</v>
      </c>
      <c r="BL39" s="2080"/>
      <c r="BM39" s="1970"/>
      <c r="BN39" s="99"/>
      <c r="BO39" s="1809"/>
      <c r="BQ39" s="2230"/>
      <c r="BR39" s="3">
        <v>1</v>
      </c>
    </row>
    <row r="40" spans="1:70" ht="21" customHeight="1">
      <c r="A40" s="9"/>
      <c r="B40" s="2693"/>
      <c r="C40" s="9"/>
      <c r="D40" s="9"/>
      <c r="E40" s="9"/>
      <c r="F40" s="9"/>
      <c r="G40" s="9"/>
      <c r="H40" s="9"/>
      <c r="I40" s="9"/>
      <c r="J40" s="9"/>
      <c r="K40" s="9"/>
      <c r="L40" s="9"/>
      <c r="M40" s="9"/>
      <c r="N40" s="9"/>
      <c r="O40" s="9"/>
      <c r="P40" s="9"/>
      <c r="Q40" s="9"/>
      <c r="R40" s="9"/>
      <c r="S40" s="9"/>
      <c r="T40" s="9"/>
      <c r="U40" s="9"/>
      <c r="V40" s="9"/>
      <c r="W40" s="9"/>
      <c r="X40" s="6178" t="str">
        <f>"❷ couper le texte en nombre de LIGNES saisissez un X cellule "&amp;AA48</f>
        <v>❷ couper le texte en nombre de LIGNES saisissez un X cellule Z48</v>
      </c>
      <c r="Y40" s="9"/>
      <c r="Z40" s="9"/>
      <c r="AA40" s="9"/>
      <c r="AB40" s="9"/>
      <c r="AC40" s="9"/>
      <c r="AD40" s="9"/>
      <c r="AE40" s="9"/>
      <c r="AF40" s="9"/>
      <c r="AG40" s="9"/>
      <c r="AH40" s="9"/>
      <c r="AI40" s="9"/>
      <c r="AJ40" s="9"/>
      <c r="AK40" s="9"/>
      <c r="AL40" s="1347" t="str">
        <f>" 8 COLONNES UTILISABLES POUR LE TEXTE  de  " &amp;AL45&amp;" à "&amp;AS45</f>
        <v xml:space="preserve"> 8 COLONNES UTILISABLES POUR LE TEXTE  de  AL à AS</v>
      </c>
      <c r="AM40" s="9"/>
      <c r="AN40" s="9"/>
      <c r="AO40" s="9"/>
      <c r="AP40" s="9"/>
      <c r="AQ40" s="9"/>
      <c r="AR40" s="9"/>
      <c r="AS40" s="6218" t="str">
        <f>"largeur MAXI "&amp;SUM(AL44:AS44)</f>
        <v>largeur MAXI 122</v>
      </c>
      <c r="AT40" s="9"/>
      <c r="AU40" s="9"/>
      <c r="AV40" s="103" t="str">
        <f t="shared" si="8"/>
        <v>A</v>
      </c>
      <c r="AW40" s="31" t="str">
        <f>AW23</f>
        <v>C Coquetiers de l'Antoine | | Auteur &gt; Guy KRENZE - Eric GODDYN - Arnaud NICOLAS - CEPROC 2002</v>
      </c>
      <c r="AX40" s="32">
        <f>AX23</f>
        <v>20</v>
      </c>
      <c r="AY40" s="31" t="str">
        <f>AY23</f>
        <v>coquetiers de 25 g</v>
      </c>
      <c r="AZ40" s="33" t="str">
        <f>AZ23</f>
        <v>Recette mère ► le Boudin en 4 déclinaisons</v>
      </c>
      <c r="BA40" s="89"/>
      <c r="BB40" s="108"/>
      <c r="BC40" s="91" t="str">
        <f t="shared" si="7"/>
        <v/>
      </c>
      <c r="BD40" s="92"/>
      <c r="BE40" s="6132"/>
      <c r="BF40" s="130">
        <v>1</v>
      </c>
      <c r="BG40" s="6210" t="str">
        <f>ROWS(BG27:BG40)&amp;" ►"</f>
        <v>14 ►</v>
      </c>
      <c r="BH40" s="6211" t="s">
        <v>14332</v>
      </c>
      <c r="BI40" s="6212">
        <f>IF(OR(ISBLANK(BA21),BI21=0),0,BA40*BF22)</f>
        <v>0</v>
      </c>
      <c r="BJ40" s="99" cm="1">
        <f t="array" ref="BJ40">IFERROR(_xlfn.LET(_xlpm.k,UPPER(TRIM(BE40)),_xlpm.r,_xlfn.XLOOKUP(_xlpm.k,UPPER(TRIM(BA43:BK43)),BA44:BK44,_xlfn.XLOOKUP(_xlpm.k,UPPER(TRIM(BA45:BK45)),BA46:BK46)),_xlpm.r*BD40*BF40*BF22*IF(ISBLANK(BA40),1,BA40)),0)</f>
        <v>0</v>
      </c>
      <c r="BK40" s="6209" t="str">
        <f>_xlfn.LET(_xlpm.unite,SUBSTITUTE(TRIM(BE40)," (s)",""),_xlpm.val,BJ40,_xlpm.estVol,COUNTIF(BD43:BK43,_xlpm.unite)+COUNTIF(BD45:BK45,_xlpm.unite)&gt;0,_xlpm.estPoids,COUNTIF(BA43:BC43,_xlpm.unite)+COUNTIF(BA45:BC45,_xlpm.unite)&gt;0,IF(_xlpm.estVol,IF(ROUND(_xlpm.val,3)&gt;=1,ROUND(_xlpm.val,3)&amp;"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
      </c>
      <c r="BL40" s="2080"/>
      <c r="BM40" s="1970"/>
      <c r="BN40" s="99"/>
      <c r="BO40" s="1809"/>
      <c r="BQ40" s="2230"/>
      <c r="BR40" s="3">
        <v>1</v>
      </c>
    </row>
    <row r="41" spans="1:70" ht="21" customHeight="1">
      <c r="A41" s="9"/>
      <c r="B41" s="2693"/>
      <c r="C41" s="9"/>
      <c r="D41" s="9"/>
      <c r="E41" s="9"/>
      <c r="F41" s="9"/>
      <c r="G41" s="9"/>
      <c r="H41" s="9"/>
      <c r="I41" s="9"/>
      <c r="J41" s="9"/>
      <c r="K41" s="9"/>
      <c r="L41" s="9"/>
      <c r="M41" s="9"/>
      <c r="N41" s="9"/>
      <c r="O41" s="9"/>
      <c r="P41" s="9"/>
      <c r="Q41" s="9"/>
      <c r="R41" s="9"/>
      <c r="S41" s="9"/>
      <c r="T41" s="9"/>
      <c r="U41" s="9"/>
      <c r="V41" s="9"/>
      <c r="W41" s="9"/>
      <c r="X41" s="2693" t="str">
        <f>"❷ OU couper le texte en nombre de CARACTÈRES saisissez un X cellule "&amp;AE48</f>
        <v>❷ OU couper le texte en nombre de CARACTÈRES saisissez un X cellule AD48</v>
      </c>
      <c r="Y41" s="9"/>
      <c r="Z41" s="9"/>
      <c r="AA41" s="9"/>
      <c r="AB41" s="9"/>
      <c r="AC41" s="9"/>
      <c r="AD41" s="9"/>
      <c r="AE41" s="9"/>
      <c r="AF41" s="9"/>
      <c r="AG41" s="9"/>
      <c r="AH41" s="9"/>
      <c r="AI41" s="9"/>
      <c r="AJ41" s="9"/>
      <c r="AK41" s="9"/>
      <c r="AL41" s="6180"/>
      <c r="AM41" s="9"/>
      <c r="AN41" s="9"/>
      <c r="AO41" s="9"/>
      <c r="AP41" s="9"/>
      <c r="AQ41" s="9"/>
      <c r="AR41" s="9"/>
      <c r="AT41" s="9"/>
      <c r="AU41" s="9"/>
      <c r="AV41" s="103" t="str">
        <f t="shared" si="8"/>
        <v>►</v>
      </c>
      <c r="AW41" s="31" t="str">
        <f>AW23</f>
        <v>C Coquetiers de l'Antoine | | Auteur &gt; Guy KRENZE - Eric GODDYN - Arnaud NICOLAS - CEPROC 2002</v>
      </c>
      <c r="AX41" s="32">
        <f>AX23</f>
        <v>20</v>
      </c>
      <c r="AY41" s="31" t="str">
        <f>AY23</f>
        <v>coquetiers de 25 g</v>
      </c>
      <c r="AZ41" s="33" t="str">
        <f>AZ23</f>
        <v>Recette mère ► le Boudin en 4 déclinaisons</v>
      </c>
      <c r="BA41" s="89"/>
      <c r="BB41" s="108"/>
      <c r="BC41" s="91" t="str">
        <f t="shared" si="7"/>
        <v/>
      </c>
      <c r="BD41" s="92"/>
      <c r="BE41" s="6132"/>
      <c r="BF41" s="130">
        <v>1</v>
      </c>
      <c r="BG41" s="6210" t="str">
        <f>ROWS(BG27:BG41)&amp;" ►"</f>
        <v>15 ►</v>
      </c>
      <c r="BH41" s="6211"/>
      <c r="BI41" s="6212">
        <f>IF(OR(ISBLANK(BA21),BI21=0),0,BA41*BF22)</f>
        <v>0</v>
      </c>
      <c r="BJ41" s="99" cm="1">
        <f t="array" ref="BJ41">IFERROR(_xlfn.LET(_xlpm.k,UPPER(TRIM(BE41)),_xlpm.r,_xlfn.XLOOKUP(_xlpm.k,UPPER(TRIM(BA43:BK43)),BA44:BK44,_xlfn.XLOOKUP(_xlpm.k,UPPER(TRIM(BA45:BK45)),BA46:BK46)),_xlpm.r*BD41*BF41*BF22*IF(ISBLANK(BA41),1,BA41)),0)</f>
        <v>0</v>
      </c>
      <c r="BK41" s="6213" t="str">
        <f>_xlfn.LET(_xlpm.unite,SUBSTITUTE(TRIM(BE41)," (s)",""),_xlpm.val,BJ41,_xlpm.estVol,COUNTIF(BD43:BK43,_xlpm.unite)+COUNTIF(BD45:BK45,_xlpm.unite)&gt;0,_xlpm.estPoids,COUNTIF(BA43:BC43,_xlpm.unite)+COUNTIF(BA45:BC45,_xlpm.unite)&gt;0,IF(_xlpm.estVol,IF(ROUND(_xlpm.val,3)&gt;=1,ROUND(_xlpm.val,3)&amp;" L",MAX(1,ROUND(_xlpm.val*100,0))&amp;" cl"),IF(_xlpm.estPoids,IF(ROUND(_xlpm.val,3)&gt;=1,ROUND(_xlpm.val,3)&amp;" Kg",MAX(1,ROUND(_xlpm.val*1000,0))&amp;" g"),"")))</f>
        <v/>
      </c>
      <c r="BL41" s="2080"/>
      <c r="BM41" s="1970"/>
      <c r="BN41" s="99"/>
      <c r="BO41" s="1809"/>
      <c r="BQ41" s="2230"/>
      <c r="BR41" s="3">
        <v>1</v>
      </c>
    </row>
    <row r="42" spans="1:70" ht="21" customHeight="1" thickBot="1">
      <c r="A42" s="9"/>
      <c r="B42" s="2693"/>
      <c r="C42" s="9"/>
      <c r="D42" s="9"/>
      <c r="E42" s="9"/>
      <c r="F42" s="9"/>
      <c r="G42" s="9"/>
      <c r="H42" s="9"/>
      <c r="I42" s="9"/>
      <c r="J42" s="9"/>
      <c r="K42" s="9"/>
      <c r="L42" s="9"/>
      <c r="M42" s="9"/>
      <c r="N42" s="9"/>
      <c r="O42" s="9"/>
      <c r="P42" s="9"/>
      <c r="Q42" s="9"/>
      <c r="R42" s="9"/>
      <c r="S42" s="9"/>
      <c r="T42" s="9"/>
      <c r="U42" s="9"/>
      <c r="V42" s="9"/>
      <c r="W42" s="9"/>
      <c r="X42" s="2693" t="str">
        <f>"❹ Si vous ne voulez pas de ponctuation saisissez un X cellule "&amp;ADDRESS(ROW(X45),COLUMN(X45),4)</f>
        <v>❹ Si vous ne voulez pas de ponctuation saisissez un X cellule X45</v>
      </c>
      <c r="Y42" s="9"/>
      <c r="Z42" s="9"/>
      <c r="AA42" s="9"/>
      <c r="AB42" s="9"/>
      <c r="AC42" s="9"/>
      <c r="AD42" s="9"/>
      <c r="AE42" s="9"/>
      <c r="AF42" s="9"/>
      <c r="AG42" s="9"/>
      <c r="AH42" s="9"/>
      <c r="AI42" s="9"/>
      <c r="AJ42" s="9"/>
      <c r="AK42" s="9"/>
      <c r="AL42" s="6219" t="s">
        <v>14333</v>
      </c>
      <c r="AM42" s="9"/>
      <c r="AN42" s="9"/>
      <c r="AO42" s="9"/>
      <c r="AP42" s="9"/>
      <c r="AQ42" s="9"/>
      <c r="AR42" s="9"/>
      <c r="AT42" s="9"/>
      <c r="AU42" s="9"/>
      <c r="AV42" s="103" t="s">
        <v>10</v>
      </c>
      <c r="AW42" s="31" t="str">
        <f>AW23</f>
        <v>C Coquetiers de l'Antoine | | Auteur &gt; Guy KRENZE - Eric GODDYN - Arnaud NICOLAS - CEPROC 2002</v>
      </c>
      <c r="AX42" s="32">
        <f>AX23</f>
        <v>20</v>
      </c>
      <c r="AY42" s="31" t="str">
        <f>AY23</f>
        <v>coquetiers de 25 g</v>
      </c>
      <c r="AZ42" s="33" t="str">
        <f>AZ23</f>
        <v>Recette mère ► le Boudin en 4 déclinaisons</v>
      </c>
      <c r="BA42" s="680" t="s">
        <v>14334</v>
      </c>
      <c r="BB42" s="474"/>
      <c r="BC42" s="474"/>
      <c r="BD42" s="474"/>
      <c r="BE42" s="474"/>
      <c r="BF42" s="681"/>
      <c r="BG42" s="681"/>
      <c r="BH42" s="6220"/>
      <c r="BI42" s="6220"/>
      <c r="BJ42" s="6221">
        <f>SUM(BJ27:BJ41)</f>
        <v>1.5309999999999999</v>
      </c>
      <c r="BK42" s="6222"/>
      <c r="BL42" s="2080"/>
      <c r="BM42" s="1970"/>
      <c r="BN42" s="99"/>
      <c r="BO42" s="1809"/>
      <c r="BQ42" s="2230"/>
      <c r="BR42" s="3">
        <v>1</v>
      </c>
    </row>
    <row r="43" spans="1:70" ht="21" customHeight="1" thickBot="1">
      <c r="A43" s="9"/>
      <c r="B43" s="2693" t="str">
        <f t="shared" ref="B43" si="9">X42</f>
        <v>❹ Si vous ne voulez pas de ponctuation saisissez un X cellule X45</v>
      </c>
      <c r="C43" s="9"/>
      <c r="D43" s="9"/>
      <c r="E43" s="9"/>
      <c r="F43" s="9"/>
      <c r="G43" s="9"/>
      <c r="H43" s="9"/>
      <c r="I43" s="9"/>
      <c r="J43" s="9"/>
      <c r="K43" s="9"/>
      <c r="L43" s="9"/>
      <c r="M43" s="9"/>
      <c r="O43" s="6223" t="s">
        <v>14335</v>
      </c>
      <c r="P43" s="6224"/>
      <c r="Q43" s="6224"/>
      <c r="R43" s="6224"/>
      <c r="S43" s="6224"/>
      <c r="T43" s="6224"/>
      <c r="U43" s="6224"/>
      <c r="V43" s="6225"/>
      <c r="X43" s="9"/>
      <c r="Y43" s="9"/>
      <c r="Z43" s="9"/>
      <c r="AA43" s="9"/>
      <c r="AB43" s="9"/>
      <c r="AC43" s="9"/>
      <c r="AD43" s="9"/>
      <c r="AE43" s="9"/>
      <c r="AF43" s="9"/>
      <c r="AG43" s="9"/>
      <c r="AH43" s="9"/>
      <c r="AI43" s="9"/>
      <c r="AJ43" s="9"/>
      <c r="AK43" s="9"/>
      <c r="AM43" s="9"/>
      <c r="AN43" s="9"/>
      <c r="AO43" s="9"/>
      <c r="AP43" s="9"/>
      <c r="AQ43" s="9"/>
      <c r="AR43" s="9"/>
      <c r="AS43" s="9"/>
      <c r="AT43" s="9"/>
      <c r="AU43" s="9"/>
      <c r="AV43" s="103" t="s">
        <v>15</v>
      </c>
      <c r="AW43" s="31" t="str">
        <f>AW23</f>
        <v>C Coquetiers de l'Antoine | | Auteur &gt; Guy KRENZE - Eric GODDYN - Arnaud NICOLAS - CEPROC 2002</v>
      </c>
      <c r="AX43" s="32">
        <f>AX23</f>
        <v>20</v>
      </c>
      <c r="AY43" s="31" t="str">
        <f>AY23</f>
        <v>coquetiers de 25 g</v>
      </c>
      <c r="AZ43" s="33" t="str">
        <f>AZ23</f>
        <v>Recette mère ► le Boudin en 4 déclinaisons</v>
      </c>
      <c r="BA43" s="6135" t="s">
        <v>140</v>
      </c>
      <c r="BB43" s="6136" t="s">
        <v>100</v>
      </c>
      <c r="BC43" s="6137" t="s">
        <v>141</v>
      </c>
      <c r="BD43" s="6140" t="s">
        <v>0</v>
      </c>
      <c r="BE43" s="6140" t="s">
        <v>97</v>
      </c>
      <c r="BF43" s="6140" t="s">
        <v>144</v>
      </c>
      <c r="BG43" s="6137" t="s">
        <v>141</v>
      </c>
      <c r="BH43" s="6140" t="s">
        <v>145</v>
      </c>
      <c r="BI43" s="6141" t="s">
        <v>359</v>
      </c>
      <c r="BJ43" s="6141" t="s">
        <v>104</v>
      </c>
      <c r="BK43" s="6141" t="s">
        <v>146</v>
      </c>
      <c r="BL43" s="2080"/>
      <c r="BM43" s="1970"/>
      <c r="BN43" s="99"/>
      <c r="BO43" s="1809"/>
      <c r="BQ43" s="2230"/>
      <c r="BR43" s="3">
        <v>1</v>
      </c>
    </row>
    <row r="44" spans="1:70" ht="21" customHeight="1" thickBot="1">
      <c r="A44" s="9"/>
      <c r="B44" s="9"/>
      <c r="C44" s="9"/>
      <c r="D44" s="9"/>
      <c r="E44" s="9"/>
      <c r="F44" s="9"/>
      <c r="G44" s="9"/>
      <c r="H44" s="9"/>
      <c r="I44" s="9"/>
      <c r="J44" s="9"/>
      <c r="K44" s="9"/>
      <c r="L44" s="9"/>
      <c r="M44" s="9"/>
      <c r="O44" s="6226" t="str">
        <f t="shared" ref="O44:V44" si="10">SUBSTITUTE(ADDRESS(1,COLUMN(),4),"1","")</f>
        <v>O</v>
      </c>
      <c r="P44" s="6042" t="str">
        <f t="shared" si="10"/>
        <v>P</v>
      </c>
      <c r="Q44" s="6042" t="str">
        <f t="shared" si="10"/>
        <v>Q</v>
      </c>
      <c r="R44" s="6042" t="str">
        <f t="shared" si="10"/>
        <v>R</v>
      </c>
      <c r="S44" s="6042" t="str">
        <f t="shared" si="10"/>
        <v>S</v>
      </c>
      <c r="T44" s="6042" t="str">
        <f t="shared" si="10"/>
        <v>T</v>
      </c>
      <c r="U44" s="6042" t="str">
        <f t="shared" si="10"/>
        <v>U</v>
      </c>
      <c r="V44" s="6227" t="str">
        <f t="shared" si="10"/>
        <v>V</v>
      </c>
      <c r="X44" s="6228" t="str">
        <f>ADDRESS(ROW(X45),COLUMN(X45),4)&amp;" ▼"</f>
        <v>X45 ▼</v>
      </c>
      <c r="Y44" s="9"/>
      <c r="Z44" s="9"/>
      <c r="AA44" s="9"/>
      <c r="AB44" s="9"/>
      <c r="AC44" s="9"/>
      <c r="AD44" s="9"/>
      <c r="AE44" s="9"/>
      <c r="AF44" s="6229"/>
      <c r="AG44" s="1191"/>
      <c r="AH44" s="1191"/>
      <c r="AI44" s="1191"/>
      <c r="AJ44" s="1191"/>
      <c r="AK44" s="6230" t="s">
        <v>14336</v>
      </c>
      <c r="AL44" s="6231">
        <v>6</v>
      </c>
      <c r="AM44" s="6231">
        <v>40</v>
      </c>
      <c r="AN44" s="6231">
        <v>10</v>
      </c>
      <c r="AO44" s="6231">
        <v>9</v>
      </c>
      <c r="AP44" s="6231">
        <v>18</v>
      </c>
      <c r="AQ44" s="6231">
        <v>13</v>
      </c>
      <c r="AR44" s="6231">
        <v>13</v>
      </c>
      <c r="AS44" s="6231">
        <v>13</v>
      </c>
      <c r="AT44" s="6232">
        <v>17</v>
      </c>
      <c r="AU44" s="9"/>
      <c r="AV44" s="103" t="s">
        <v>15</v>
      </c>
      <c r="AW44" s="31" t="str">
        <f>AW23</f>
        <v>C Coquetiers de l'Antoine | | Auteur &gt; Guy KRENZE - Eric GODDYN - Arnaud NICOLAS - CEPROC 2002</v>
      </c>
      <c r="AX44" s="32">
        <f>AX23</f>
        <v>20</v>
      </c>
      <c r="AY44" s="31" t="str">
        <f>AY23</f>
        <v>coquetiers de 25 g</v>
      </c>
      <c r="AZ44" s="33" t="str">
        <f>AZ23</f>
        <v>Recette mère ► le Boudin en 4 déclinaisons</v>
      </c>
      <c r="BA44" s="685">
        <v>1</v>
      </c>
      <c r="BB44" s="6233">
        <v>1E-3</v>
      </c>
      <c r="BC44" s="6234">
        <v>0</v>
      </c>
      <c r="BD44" s="6235">
        <v>1</v>
      </c>
      <c r="BE44" s="6235">
        <v>0.1</v>
      </c>
      <c r="BF44" s="6235">
        <v>0.01</v>
      </c>
      <c r="BG44" s="6234">
        <v>0</v>
      </c>
      <c r="BH44" s="6235">
        <v>1E-3</v>
      </c>
      <c r="BI44" s="6235">
        <v>0.25</v>
      </c>
      <c r="BJ44" s="6235">
        <v>0.5</v>
      </c>
      <c r="BK44" s="6235">
        <v>0.33300000000000002</v>
      </c>
      <c r="BL44" s="2080"/>
      <c r="BM44" s="1970"/>
      <c r="BN44" s="99"/>
      <c r="BO44" s="1809"/>
      <c r="BQ44" s="2230"/>
      <c r="BR44" s="3">
        <v>1</v>
      </c>
    </row>
    <row r="45" spans="1:70" ht="21" customHeight="1" thickBot="1">
      <c r="B45" s="6236"/>
      <c r="C45" s="6042" t="str">
        <f t="shared" ref="C45:M45" si="11">SUBSTITUTE(ADDRESS(1,COLUMN(),4),"1","")</f>
        <v>C</v>
      </c>
      <c r="D45" s="6042" t="str">
        <f t="shared" si="11"/>
        <v>D</v>
      </c>
      <c r="E45" s="6042" t="str">
        <f t="shared" si="11"/>
        <v>E</v>
      </c>
      <c r="F45" s="6042" t="str">
        <f t="shared" si="11"/>
        <v>F</v>
      </c>
      <c r="G45" s="6042" t="str">
        <f t="shared" si="11"/>
        <v>G</v>
      </c>
      <c r="H45" s="6042" t="str">
        <f t="shared" si="11"/>
        <v>H</v>
      </c>
      <c r="I45" s="6042" t="str">
        <f t="shared" si="11"/>
        <v>I</v>
      </c>
      <c r="J45" s="6042" t="str">
        <f t="shared" si="11"/>
        <v>J</v>
      </c>
      <c r="K45" s="6042" t="str">
        <f t="shared" si="11"/>
        <v>K</v>
      </c>
      <c r="L45" s="6042" t="str">
        <f t="shared" si="11"/>
        <v>L</v>
      </c>
      <c r="M45" s="6042" t="str">
        <f t="shared" si="11"/>
        <v>M</v>
      </c>
      <c r="O45" s="6237">
        <f t="shared" ref="O45:V45" ca="1" si="12">CELL("largeur",O45)</f>
        <v>98</v>
      </c>
      <c r="P45" s="694">
        <f t="shared" ca="1" si="12"/>
        <v>3</v>
      </c>
      <c r="Q45" s="694">
        <f t="shared" ca="1" si="12"/>
        <v>3</v>
      </c>
      <c r="R45" s="694">
        <f t="shared" ca="1" si="12"/>
        <v>3</v>
      </c>
      <c r="S45" s="694">
        <f t="shared" ca="1" si="12"/>
        <v>3</v>
      </c>
      <c r="T45" s="694">
        <f t="shared" ca="1" si="12"/>
        <v>3</v>
      </c>
      <c r="U45" s="694">
        <f t="shared" ca="1" si="12"/>
        <v>3</v>
      </c>
      <c r="V45" s="6238">
        <f t="shared" ca="1" si="12"/>
        <v>13</v>
      </c>
      <c r="W45" s="6239"/>
      <c r="X45" s="6240"/>
      <c r="Y45" s="2702" t="s">
        <v>14337</v>
      </c>
      <c r="Z45" s="9"/>
      <c r="AA45" s="9"/>
      <c r="AB45" s="9"/>
      <c r="AC45" s="9"/>
      <c r="AD45" s="9"/>
      <c r="AE45" s="9"/>
      <c r="AF45" s="6241" t="str">
        <f t="shared" ref="AF45:AT45" si="13">SUBSTITUTE(ADDRESS(1,COLUMN(),4),"1","")</f>
        <v>AF</v>
      </c>
      <c r="AG45" s="6242" t="str">
        <f t="shared" si="13"/>
        <v>AG</v>
      </c>
      <c r="AH45" s="6242"/>
      <c r="AI45" s="6242"/>
      <c r="AJ45" s="6242"/>
      <c r="AK45" s="6242"/>
      <c r="AL45" s="6243" t="str">
        <f t="shared" si="13"/>
        <v>AL</v>
      </c>
      <c r="AM45" s="6242" t="str">
        <f t="shared" si="13"/>
        <v>AM</v>
      </c>
      <c r="AN45" s="6242" t="str">
        <f t="shared" si="13"/>
        <v>AN</v>
      </c>
      <c r="AO45" s="6242" t="str">
        <f t="shared" si="13"/>
        <v>AO</v>
      </c>
      <c r="AP45" s="6242" t="str">
        <f t="shared" si="13"/>
        <v>AP</v>
      </c>
      <c r="AQ45" s="6244" t="str">
        <f t="shared" si="13"/>
        <v>AQ</v>
      </c>
      <c r="AR45" s="6242" t="str">
        <f t="shared" si="13"/>
        <v>AR</v>
      </c>
      <c r="AS45" s="6244" t="str">
        <f t="shared" si="13"/>
        <v>AS</v>
      </c>
      <c r="AT45" s="6245" t="str">
        <f t="shared" si="13"/>
        <v>AT</v>
      </c>
      <c r="AU45" s="9"/>
      <c r="AV45" s="103" t="s">
        <v>15</v>
      </c>
      <c r="AW45" s="31" t="str">
        <f>AW23</f>
        <v>C Coquetiers de l'Antoine | | Auteur &gt; Guy KRENZE - Eric GODDYN - Arnaud NICOLAS - CEPROC 2002</v>
      </c>
      <c r="AX45" s="32">
        <f>AX23</f>
        <v>20</v>
      </c>
      <c r="AY45" s="31" t="str">
        <f>AY23</f>
        <v>coquetiers de 25 g</v>
      </c>
      <c r="AZ45" s="33" t="str">
        <f>AZ23</f>
        <v>Recette mère ► le Boudin en 4 déclinaisons</v>
      </c>
      <c r="BA45" s="6138" t="s">
        <v>142</v>
      </c>
      <c r="BB45" s="6139" t="s">
        <v>109</v>
      </c>
      <c r="BC45" s="6137" t="s">
        <v>141</v>
      </c>
      <c r="BD45" s="6141" t="s">
        <v>147</v>
      </c>
      <c r="BE45" s="6141" t="s">
        <v>162</v>
      </c>
      <c r="BF45" s="6141" t="s">
        <v>105</v>
      </c>
      <c r="BG45" s="6137" t="s">
        <v>141</v>
      </c>
      <c r="BH45" s="6141" t="s">
        <v>161</v>
      </c>
      <c r="BI45" s="6143" t="s">
        <v>159</v>
      </c>
      <c r="BJ45" s="6143" t="s">
        <v>115</v>
      </c>
      <c r="BK45" s="6246" t="s">
        <v>1638</v>
      </c>
      <c r="BL45" s="2080"/>
      <c r="BM45" s="1970"/>
      <c r="BN45" s="99"/>
      <c r="BO45" s="1809"/>
      <c r="BQ45" s="2230"/>
      <c r="BR45" s="3">
        <v>1</v>
      </c>
    </row>
    <row r="46" spans="1:70" ht="21" customHeight="1">
      <c r="B46" s="6247" t="s">
        <v>21</v>
      </c>
      <c r="C46" s="694">
        <f t="shared" ref="C46:M46" ca="1" si="14">CELL("largeur",C46)</f>
        <v>8</v>
      </c>
      <c r="D46" s="694">
        <f t="shared" ca="1" si="14"/>
        <v>10</v>
      </c>
      <c r="E46" s="694">
        <f t="shared" ca="1" si="14"/>
        <v>3</v>
      </c>
      <c r="F46" s="694">
        <f t="shared" ca="1" si="14"/>
        <v>3</v>
      </c>
      <c r="G46" s="694">
        <f t="shared" ca="1" si="14"/>
        <v>14</v>
      </c>
      <c r="H46" s="694">
        <f t="shared" ca="1" si="14"/>
        <v>3</v>
      </c>
      <c r="I46" s="694">
        <f t="shared" ca="1" si="14"/>
        <v>10</v>
      </c>
      <c r="J46" s="694">
        <f t="shared" ca="1" si="14"/>
        <v>3</v>
      </c>
      <c r="K46" s="694">
        <f t="shared" ca="1" si="14"/>
        <v>3</v>
      </c>
      <c r="L46" s="694">
        <f t="shared" ca="1" si="14"/>
        <v>3</v>
      </c>
      <c r="M46" s="694">
        <f t="shared" ca="1" si="14"/>
        <v>14</v>
      </c>
      <c r="O46" s="6248">
        <f ca="1">O45</f>
        <v>98</v>
      </c>
      <c r="P46" s="2069">
        <v>3</v>
      </c>
      <c r="Q46" s="2069">
        <v>3</v>
      </c>
      <c r="R46" s="2069">
        <v>3</v>
      </c>
      <c r="S46" s="2069">
        <v>3</v>
      </c>
      <c r="T46" s="2069">
        <v>3</v>
      </c>
      <c r="U46" s="2069">
        <v>3</v>
      </c>
      <c r="V46" s="6249">
        <v>13</v>
      </c>
      <c r="W46" s="6239"/>
      <c r="Y46" s="9"/>
      <c r="Z46" s="9"/>
      <c r="AA46" s="9"/>
      <c r="AB46" s="9"/>
      <c r="AC46" s="9"/>
      <c r="AD46" s="9"/>
      <c r="AE46" s="9"/>
      <c r="AF46" s="6250">
        <f t="shared" ref="AF46:AT46" ca="1" si="15">CELL("largeur",AF46)</f>
        <v>9</v>
      </c>
      <c r="AG46" s="6251">
        <f t="shared" ca="1" si="15"/>
        <v>11</v>
      </c>
      <c r="AH46" s="6251"/>
      <c r="AI46" s="6251"/>
      <c r="AJ46" s="6251"/>
      <c r="AK46" s="6251"/>
      <c r="AL46" s="6252">
        <f t="shared" ca="1" si="15"/>
        <v>6</v>
      </c>
      <c r="AM46" s="6253">
        <f t="shared" ca="1" si="15"/>
        <v>40</v>
      </c>
      <c r="AN46" s="6253">
        <f t="shared" ca="1" si="15"/>
        <v>10</v>
      </c>
      <c r="AO46" s="6253">
        <f t="shared" ca="1" si="15"/>
        <v>9</v>
      </c>
      <c r="AP46" s="6253">
        <f t="shared" ca="1" si="15"/>
        <v>18</v>
      </c>
      <c r="AQ46" s="6252">
        <f t="shared" ca="1" si="15"/>
        <v>13</v>
      </c>
      <c r="AR46" s="6253">
        <f t="shared" ca="1" si="15"/>
        <v>13</v>
      </c>
      <c r="AS46" s="6252">
        <f t="shared" ca="1" si="15"/>
        <v>13</v>
      </c>
      <c r="AT46" s="6254">
        <f t="shared" ca="1" si="15"/>
        <v>17</v>
      </c>
      <c r="AU46" s="9"/>
      <c r="AV46" s="103" t="s">
        <v>15</v>
      </c>
      <c r="AW46" s="31" t="str">
        <f>AW23</f>
        <v>C Coquetiers de l'Antoine | | Auteur &gt; Guy KRENZE - Eric GODDYN - Arnaud NICOLAS - CEPROC 2002</v>
      </c>
      <c r="AX46" s="32">
        <f>AX23</f>
        <v>20</v>
      </c>
      <c r="AY46" s="31" t="str">
        <f>AY23</f>
        <v>coquetiers de 25 g</v>
      </c>
      <c r="AZ46" s="33" t="str">
        <f>AZ23</f>
        <v>Recette mère ► le Boudin en 4 déclinaisons</v>
      </c>
      <c r="BA46" s="6233">
        <v>0.25</v>
      </c>
      <c r="BB46" s="6233">
        <v>0.5</v>
      </c>
      <c r="BC46" s="6234">
        <v>0</v>
      </c>
      <c r="BD46" s="6235">
        <v>0.2</v>
      </c>
      <c r="BE46" s="6235">
        <v>0.1</v>
      </c>
      <c r="BF46" s="6235">
        <v>0.22500000000000001</v>
      </c>
      <c r="BG46" s="6235"/>
      <c r="BH46" s="6235">
        <v>1.4999999999999999E-2</v>
      </c>
      <c r="BI46" s="6235">
        <v>4.9299999999999995E-3</v>
      </c>
      <c r="BJ46" s="6235">
        <v>0.35</v>
      </c>
      <c r="BK46" s="6255">
        <v>0.25</v>
      </c>
      <c r="BL46" s="2080"/>
      <c r="BM46" s="1970"/>
      <c r="BN46" s="99"/>
      <c r="BO46" s="1809"/>
      <c r="BQ46" s="2230"/>
      <c r="BR46" s="3">
        <v>1</v>
      </c>
    </row>
    <row r="47" spans="1:70" ht="21" customHeight="1" thickBot="1">
      <c r="B47" s="6236"/>
      <c r="C47" s="695">
        <v>8</v>
      </c>
      <c r="D47" s="695">
        <v>10</v>
      </c>
      <c r="E47" s="695">
        <v>3</v>
      </c>
      <c r="F47" s="695">
        <v>3</v>
      </c>
      <c r="G47" s="695">
        <v>14</v>
      </c>
      <c r="H47" s="695">
        <v>3</v>
      </c>
      <c r="I47" s="695">
        <v>10</v>
      </c>
      <c r="J47" s="695">
        <v>3</v>
      </c>
      <c r="K47" s="695">
        <v>3</v>
      </c>
      <c r="L47" s="695">
        <v>3</v>
      </c>
      <c r="M47" s="695">
        <v>14</v>
      </c>
      <c r="O47" s="6828" t="s">
        <v>14338</v>
      </c>
      <c r="P47" s="6830" t="str">
        <f>"récupérez le texte nettoyé  "&amp;V49</f>
        <v>récupérez le texte nettoyé  colonne V ▼</v>
      </c>
      <c r="Q47" s="6831"/>
      <c r="R47" s="6831"/>
      <c r="S47" s="6831"/>
      <c r="T47" s="6831"/>
      <c r="U47" s="6831"/>
      <c r="V47" s="6832"/>
      <c r="W47" s="6239"/>
      <c r="X47" s="6836" t="str">
        <f>"au choix "&amp;ADDRESS(ROW(Z48),COLUMN(Z48),4)&amp;"  ❷  saisissez un X"</f>
        <v>au choix Z48  ❷  saisissez un X</v>
      </c>
      <c r="Y47" s="6837"/>
      <c r="Z47" s="6837"/>
      <c r="AA47" s="6256"/>
      <c r="AB47" s="6838" t="str">
        <f>"ou "&amp;ADDRESS(ROW(AD48),COLUMN(AD48),4)&amp;"  ❸  saisissez un X"</f>
        <v>ou AD48  ❸  saisissez un X</v>
      </c>
      <c r="AC47" s="6838"/>
      <c r="AD47" s="6838"/>
      <c r="AE47" s="6257"/>
      <c r="AF47" s="6258"/>
      <c r="AG47" s="6259"/>
      <c r="AH47" s="6259"/>
      <c r="AI47" s="6259"/>
      <c r="AJ47" s="6259"/>
      <c r="AK47" s="6259"/>
      <c r="AL47" s="6260" t="str">
        <f>IF(AND(UPPER(Z48)="X",UPPER(AD48)&lt;&gt;"X"),"TEXTE COUPÉ AU NOMBRE DE LIGNES",IF(AND(UPPER(AD48)="X",UPPER(Z48)&lt;&gt;"X"),"TEXTE COUPÉ AU NOMBRE DE CARACTÈRES","CHOISIR LIGNES ou CARACTÈRES"))</f>
        <v>TEXTE COUPÉ AU NOMBRE DE CARACTÈRES</v>
      </c>
      <c r="AM47" s="6261"/>
      <c r="AN47" s="6261"/>
      <c r="AO47" s="6261"/>
      <c r="AP47" s="6261"/>
      <c r="AQ47" s="6261"/>
      <c r="AR47" s="6261"/>
      <c r="AS47" s="6261"/>
      <c r="AT47" s="6262"/>
      <c r="AU47" s="9"/>
      <c r="AV47" s="103" t="s">
        <v>15</v>
      </c>
      <c r="AW47" s="31" t="str">
        <f>AW33</f>
        <v>C Coquetiers de l'Antoine | | Auteur &gt; Guy KRENZE - Eric GODDYN - Arnaud NICOLAS - CEPROC 2002</v>
      </c>
      <c r="AX47" s="32">
        <f>AX33</f>
        <v>20</v>
      </c>
      <c r="AY47" s="31" t="str">
        <f>AY33</f>
        <v>coquetiers de 25 g</v>
      </c>
      <c r="AZ47" s="33" t="str">
        <f>AZ33</f>
        <v>Recette mère ► le Boudin en 4 déclinaisons</v>
      </c>
      <c r="BA47" s="6263">
        <f>BA34</f>
        <v>0</v>
      </c>
      <c r="BB47" s="6264">
        <f>BB34</f>
        <v>0</v>
      </c>
      <c r="BC47" s="6265" t="s">
        <v>14339</v>
      </c>
      <c r="BD47" s="6265"/>
      <c r="BE47" s="6265"/>
      <c r="BF47" s="6265"/>
      <c r="BG47" s="6265"/>
      <c r="BH47" s="6265"/>
      <c r="BI47" s="6266" t="str">
        <f ca="1">"largeur mini de "&amp;BA48&amp;" à "&amp;BH48&amp;" = "&amp;SUM(BA49:BH49)</f>
        <v>largeur mini de BA à BH = 107</v>
      </c>
      <c r="BJ47" s="6267"/>
      <c r="BK47" s="6268" t="str">
        <f ca="1">"largeur maxi de "&amp;BA48&amp;" à "&amp;BK48&amp;" = "&amp;SUM(BA49:BK49)</f>
        <v>largeur maxi de BA à BK = 137</v>
      </c>
      <c r="BL47" s="2080"/>
      <c r="BM47" s="1970"/>
      <c r="BN47" s="99"/>
      <c r="BO47" s="1809"/>
      <c r="BQ47" s="2230"/>
      <c r="BR47" s="3">
        <v>1</v>
      </c>
    </row>
    <row r="48" spans="1:70" ht="21" customHeight="1" thickBot="1">
      <c r="B48" s="6236"/>
      <c r="C48" s="6269" t="s">
        <v>14340</v>
      </c>
      <c r="D48" s="6269"/>
      <c r="E48" s="6269"/>
      <c r="F48" s="6269"/>
      <c r="G48" s="6270"/>
      <c r="H48" s="6271"/>
      <c r="I48" s="6271" t="s">
        <v>14341</v>
      </c>
      <c r="J48" s="6271"/>
      <c r="K48" s="6271"/>
      <c r="L48" s="6272"/>
      <c r="M48" s="6271"/>
      <c r="O48" s="6829"/>
      <c r="P48" s="6833"/>
      <c r="Q48" s="6834"/>
      <c r="R48" s="6834"/>
      <c r="S48" s="6834"/>
      <c r="T48" s="6834"/>
      <c r="U48" s="6834"/>
      <c r="V48" s="6835"/>
      <c r="W48" s="6239"/>
      <c r="X48" s="6273"/>
      <c r="Y48" s="6274" t="s">
        <v>14342</v>
      </c>
      <c r="Z48" s="6275"/>
      <c r="AA48" s="6228" t="str">
        <f>ADDRESS(ROW(Z48),COLUMN(Z48),4)</f>
        <v>Z48</v>
      </c>
      <c r="AB48" s="6276"/>
      <c r="AC48" s="6276" t="s">
        <v>14343</v>
      </c>
      <c r="AD48" s="6277" t="s">
        <v>14344</v>
      </c>
      <c r="AE48" s="6278" t="str">
        <f>ADDRESS(ROW(AD48),COLUMN(AD48),4)</f>
        <v>AD48</v>
      </c>
      <c r="AF48" s="6279"/>
      <c r="AG48" s="6280"/>
      <c r="AH48" s="6281"/>
      <c r="AI48" s="6280"/>
      <c r="AJ48" s="6282" t="str">
        <f>IF(Z48="x",X49,AB49)</f>
        <v>couper le texte en nombre de CARACTÈRES ▼</v>
      </c>
      <c r="AK48" s="6283" t="s">
        <v>14345</v>
      </c>
      <c r="AL48" s="6284" t="s">
        <v>821</v>
      </c>
      <c r="AM48" s="1941"/>
      <c r="AN48" s="5999" t="str">
        <f ca="1">"largeur mini  = "&amp;SUM(AL46:AQ46)</f>
        <v>largeur mini  = 96</v>
      </c>
      <c r="AO48" s="6000" t="str">
        <f ca="1">"largeur maxi  = "&amp;SUM(AL46:AT46)</f>
        <v>largeur maxi  = 139</v>
      </c>
      <c r="AP48" s="1942"/>
      <c r="AQ48" s="1942"/>
      <c r="AR48" s="1989"/>
      <c r="AS48" s="1989"/>
      <c r="AT48" s="1990" t="s">
        <v>218</v>
      </c>
      <c r="AU48" s="9"/>
      <c r="AV48" s="6285" t="s">
        <v>15</v>
      </c>
      <c r="AW48" s="6286" t="str">
        <f t="shared" ref="AW48:BK48" si="16">SUBSTITUTE(ADDRESS(1,COLUMN(),4),"1","")</f>
        <v>AW</v>
      </c>
      <c r="AX48" s="6286" t="str">
        <f t="shared" si="16"/>
        <v>AX</v>
      </c>
      <c r="AY48" s="6286" t="str">
        <f t="shared" si="16"/>
        <v>AY</v>
      </c>
      <c r="AZ48" s="6286" t="str">
        <f t="shared" si="16"/>
        <v>AZ</v>
      </c>
      <c r="BA48" s="6287" t="str">
        <f t="shared" si="16"/>
        <v>BA</v>
      </c>
      <c r="BB48" s="6288" t="str">
        <f t="shared" si="16"/>
        <v>BB</v>
      </c>
      <c r="BC48" s="6288" t="str">
        <f t="shared" si="16"/>
        <v>BC</v>
      </c>
      <c r="BD48" s="6288" t="str">
        <f t="shared" si="16"/>
        <v>BD</v>
      </c>
      <c r="BE48" s="6288" t="str">
        <f t="shared" si="16"/>
        <v>BE</v>
      </c>
      <c r="BF48" s="6288" t="str">
        <f t="shared" si="16"/>
        <v>BF</v>
      </c>
      <c r="BG48" s="6288" t="str">
        <f t="shared" si="16"/>
        <v>BG</v>
      </c>
      <c r="BH48" s="6289" t="str">
        <f t="shared" si="16"/>
        <v>BH</v>
      </c>
      <c r="BI48" s="6288" t="str">
        <f t="shared" si="16"/>
        <v>BI</v>
      </c>
      <c r="BJ48" s="6288" t="str">
        <f t="shared" si="16"/>
        <v>BJ</v>
      </c>
      <c r="BK48" s="6290" t="str">
        <f t="shared" si="16"/>
        <v>BK</v>
      </c>
      <c r="BL48" s="6628" t="s">
        <v>8774</v>
      </c>
      <c r="BM48" s="2081"/>
      <c r="BN48" s="2238"/>
      <c r="BO48" s="1809"/>
      <c r="BQ48" s="2230"/>
      <c r="BR48" s="3">
        <v>1</v>
      </c>
    </row>
    <row r="49" spans="2:70" ht="21" customHeight="1">
      <c r="B49" s="6236"/>
      <c r="C49" s="6291" t="s">
        <v>14346</v>
      </c>
      <c r="D49" s="6291"/>
      <c r="E49" s="6291"/>
      <c r="F49" s="6291"/>
      <c r="G49" s="6292"/>
      <c r="H49" s="6293"/>
      <c r="I49" s="6294" t="s">
        <v>14346</v>
      </c>
      <c r="J49" s="6294"/>
      <c r="K49" s="6294"/>
      <c r="L49" s="6295"/>
      <c r="M49" s="6294"/>
      <c r="N49" t="s">
        <v>21</v>
      </c>
      <c r="O49" s="6296" t="str">
        <f>"Colonne."&amp;SUBSTITUTE(ADDRESS(1,COLUMN(),4),"1","")&amp;" ▼"</f>
        <v>Colonne.O ▼</v>
      </c>
      <c r="P49" s="6297" t="s">
        <v>14347</v>
      </c>
      <c r="Q49" s="6298"/>
      <c r="R49" s="6298"/>
      <c r="S49" s="6298"/>
      <c r="T49" s="6298"/>
      <c r="U49" s="6298"/>
      <c r="V49" s="6299" t="str">
        <f>"colonne "&amp;SUBSTITUTE(ADDRESS(1,COLUMN(),4),"1","")&amp;" ▼"</f>
        <v>colonne V ▼</v>
      </c>
      <c r="W49" s="6239"/>
      <c r="X49" s="6300" t="s">
        <v>14348</v>
      </c>
      <c r="Y49" s="6301"/>
      <c r="Z49" s="6301"/>
      <c r="AA49" s="6302"/>
      <c r="AB49" s="6303" t="s">
        <v>14349</v>
      </c>
      <c r="AC49" s="6303"/>
      <c r="AD49" s="6303"/>
      <c r="AE49" s="6304"/>
      <c r="AF49" s="6305"/>
      <c r="AG49" s="2065"/>
      <c r="AH49" s="6306" t="s">
        <v>14350</v>
      </c>
      <c r="AI49" s="6306"/>
      <c r="AJ49" s="6306" t="s">
        <v>829</v>
      </c>
      <c r="AK49" s="6283" t="s">
        <v>849</v>
      </c>
      <c r="AL49" s="1942"/>
      <c r="AM49" s="9"/>
      <c r="AN49" s="9"/>
      <c r="AO49" s="9"/>
      <c r="AP49" s="9"/>
      <c r="AQ49" s="9"/>
      <c r="AR49" s="9"/>
      <c r="AS49" s="5993" t="s">
        <v>164</v>
      </c>
      <c r="AT49" s="1330" t="s">
        <v>165</v>
      </c>
      <c r="AU49" s="9"/>
      <c r="AV49" s="6307" t="s">
        <v>10</v>
      </c>
      <c r="AW49" s="6308">
        <f t="shared" ref="AW49:BK49" ca="1" si="17">CELL("largeur",AW49)</f>
        <v>3</v>
      </c>
      <c r="AX49" s="5602">
        <f t="shared" ca="1" si="17"/>
        <v>3</v>
      </c>
      <c r="AY49" s="5602">
        <f t="shared" ca="1" si="17"/>
        <v>3</v>
      </c>
      <c r="AZ49" s="5602">
        <f t="shared" ca="1" si="17"/>
        <v>5</v>
      </c>
      <c r="BA49" s="6309">
        <f t="shared" ca="1" si="17"/>
        <v>12</v>
      </c>
      <c r="BB49" s="6310">
        <f t="shared" ca="1" si="17"/>
        <v>12</v>
      </c>
      <c r="BC49" s="6310">
        <f t="shared" ca="1" si="17"/>
        <v>3</v>
      </c>
      <c r="BD49" s="6310">
        <f t="shared" ca="1" si="17"/>
        <v>9</v>
      </c>
      <c r="BE49" s="6310">
        <f t="shared" ca="1" si="17"/>
        <v>12</v>
      </c>
      <c r="BF49" s="6310">
        <f t="shared" ca="1" si="17"/>
        <v>13</v>
      </c>
      <c r="BG49" s="6310">
        <f t="shared" ca="1" si="17"/>
        <v>6</v>
      </c>
      <c r="BH49" s="6311">
        <f t="shared" ca="1" si="17"/>
        <v>40</v>
      </c>
      <c r="BI49" s="6310">
        <f t="shared" ca="1" si="17"/>
        <v>10</v>
      </c>
      <c r="BJ49" s="6310">
        <f t="shared" ca="1" si="17"/>
        <v>9</v>
      </c>
      <c r="BK49" s="6312">
        <f t="shared" ca="1" si="17"/>
        <v>11</v>
      </c>
      <c r="BL49" s="6628"/>
      <c r="BM49" s="2081"/>
      <c r="BN49" s="2238"/>
      <c r="BO49" s="1809"/>
      <c r="BQ49" s="2230"/>
      <c r="BR49" s="3">
        <v>1</v>
      </c>
    </row>
    <row r="50" spans="2:70" ht="21" customHeight="1">
      <c r="B50" s="6236"/>
      <c r="C50" s="6313">
        <f>AD50</f>
        <v>100</v>
      </c>
      <c r="D50" s="6314" t="str">
        <f>IF(UPPER(TRIM(X45))="X",U50,O50)</f>
        <v>1=TEST LIGNE 17 ? ! : ;  colonne Q et ligne 20 colonne P. rechercher la cellule qui coupe le texte Dans la cocotte N°3 en fonte, faites chauffer l’huile d’olive à feu moyen. Ajoutez la viande et faites-la dorer de tous les côtés. Retirez-la de la cocotte et réservez-la.</v>
      </c>
      <c r="E50" s="6315" t="str">
        <f>IF(D50="","",IF(F50="","",IF(LEN(F50)&gt;=LEN(D50),"",TRIM(MID(D50,LEN(F50)+1,99999)))))</f>
        <v>Dans la cocotte N°3 en fonte, faites chauffer l’huile d’olive à feu moyen. Ajoutez la viande et faites-la dorer de tous les côtés. Retirez-la de la cocotte et réservez-la.</v>
      </c>
      <c r="F50" s="6316" t="str">
        <f>IF(D50="","",IF(LEN(D50)&lt;=C50,D50,IFERROR(LEFT(D50,FIND("§",SUBSTITUTE(LEFT(D50,C50+1)," ","§",LEN(LEFT(D50,C50+1))-LEN(SUBSTITUTE(LEFT(D50,C50+1)," ",""))))-1),LEFT(D50,C50))))</f>
        <v>1=TEST LIGNE 17 ? ! : ;  colonne Q et ligne 20 colonne P. rechercher la cellule qui coupe le texte</v>
      </c>
      <c r="G50" s="6317" t="str" cm="1">
        <f t="array" ref="G50:G156">_xlfn._xlws.FILTER(F50:F777,TRIM(SUBSTITUTE(SUBSTITUTE(SUBSTITUTE(F50:F777,CHAR(160)," "),CHAR(9)," "),CHAR(10)," "))&lt;&gt;"")</f>
        <v>1=TEST LIGNE 17 ? ! : ;  colonne Q et ligne 20 colonne P. rechercher la cellule qui coupe le texte</v>
      </c>
      <c r="H50" s="6323">
        <f>IF(LEN(TRIM(L50))&gt;0,MAX(H49:H49)+1,"")</f>
        <v>1</v>
      </c>
      <c r="I50" s="6324" t="str">
        <f>D50</f>
        <v>1=TEST LIGNE 17 ? ! : ;  colonne Q et ligne 20 colonne P. rechercher la cellule qui coupe le texte Dans la cocotte N°3 en fonte, faites chauffer l’huile d’olive à feu moyen. Ajoutez la viande et faites-la dorer de tous les côtés. Retirez-la de la cocotte et réservez-la.</v>
      </c>
      <c r="J50" s="6325" t="str">
        <f>IF(I50=0,"",I50)</f>
        <v>1=TEST LIGNE 17 ? ! : ;  colonne Q et ligne 20 colonne P. rechercher la cellule qui coupe le texte Dans la cocotte N°3 en fonte, faites chauffer l’huile d’olive à feu moyen. Ajoutez la viande et faites-la dorer de tous les côtés. Retirez-la de la cocotte et réservez-la.</v>
      </c>
      <c r="K50" s="6326" t="str">
        <f>IF(I50="","",LEFT(I50,IF(LEN(I50)&lt;=I53,LEN(I50),IFERROR(FIND("§",SUBSTITUTE(LEFT(I50,I53+1)," ","§",LEN(LEFT(I50,I53+1))-LEN(SUBSTITUTE(LEFT(I50,I53+1)," ",""))))-1,IFERROR(FIND(" ",I50,I53+1)-1,LEN(I50))))))</f>
        <v>1=TEST LIGNE 17 ? ! : ;  colonne Q et ligne 20 colonne</v>
      </c>
      <c r="L50" s="6326" t="str" cm="1">
        <f t="array" ref="L50:L55">_xlfn._xlws.FILTER(TRIM(SUBSTITUTE(SUBSTITUTE(SUBSTITUTE(SUBSTITUTE(SUBSTITUTE(CLEAN(K50:K63),CHAR(160)," "),_xlfn.UNICHAR(8239)," "),CHAR(9)," "),CHAR(10)," "),CHAR(13)," ")),TRIM(SUBSTITUTE(SUBSTITUTE(SUBSTITUTE(SUBSTITUTE(SUBSTITUTE(CLEAN(K50:K63),CHAR(160)," "),_xlfn.UNICHAR(8239)," "),CHAR(9)," "),CHAR(10)," "),CHAR(13)," "))&lt;&gt;"")</f>
        <v>1=TEST LIGNE 17 ? ! : ; colonne Q et ligne 20 colonne</v>
      </c>
      <c r="M50" s="6328" t="str" cm="1">
        <f t="array" ref="M50:M361">_xlfn._xlws.FILTER(K50:K777,TRIM(SUBSTITUTE(SUBSTITUTE(SUBSTITUTE(K50:K777,CHAR(160)," "),CHAR(9)," "),CHAR(10)," "))&lt;&gt;"")</f>
        <v>1=TEST LIGNE 17 ? ! : ;  colonne Q et ligne 20 colonne</v>
      </c>
      <c r="N50" t="s">
        <v>21</v>
      </c>
      <c r="O50" s="6334" t="s">
        <v>14351</v>
      </c>
      <c r="P50" s="6335" t="str">
        <f>IF(O50="","",TRIM(SUBSTITUTE(SUBSTITUTE(SUBSTITUTE(SUBSTITUTE(SUBSTITUTE(SUBSTITUTE(SUBSTITUTE(CLEAN(IF(OR(LEFT(O50,1)="-",LEFT(O50,1)="="),MID(O50,2,99999),O50)),"—","-"),"–","-"),CHAR(160)," "),_xlfn.UNICHAR(8239)," "),_xlfn.UNICHAR(8199)," "),CHAR(10)," "),CHAR(13)," ")))</f>
        <v>1=TEST LIGNE 17 ? ! : ; colonne Q et ligne 20 colonne P. rechercher la cellule qui coupe le texte Dans la cocotte N°3 en fonte, faites chauffer l’huile d’olive à feu moyen. Ajoutez la viande et faites-la dorer de tous les côtés. Retirez-la de la cocotte et réservez-la.</v>
      </c>
      <c r="Q50" s="6336" t="str">
        <f>IF(P50="","",IF(OR(LEFT(P50,1)="-",LEFT(P50,1)="="),MID(P50,2,99999),P50))</f>
        <v>1=TEST LIGNE 17 ? ! : ; colonne Q et ligne 20 colonne P. rechercher la cellule qui coupe le texte Dans la cocotte N°3 en fonte, faites chauffer l’huile d’olive à feu moyen. Ajoutez la viande et faites-la dorer de tous les côtés. Retirez-la de la cocotte et réservez-la.</v>
      </c>
      <c r="R50" s="6336" t="str">
        <f>IF(Q50="","",TRIM(SUBSTITUTE(SUBSTITUTE(SUBSTITUTE(SUBSTITUTE(SUBSTITUTE(CLEAN(Q50),"—","-"),"–","-"),CHAR(160)," "),_xlfn.UNICHAR(8239)," "),_xlfn.UNICHAR(8199)," ")))</f>
        <v>1=TEST LIGNE 17 ? ! : ; colonne Q et ligne 20 colonne P. rechercher la cellule qui coupe le texte Dans la cocotte N°3 en fonte, faites chauffer l’huile d’olive à feu moyen. Ajoutez la viande et faites-la dorer de tous les côtés. Retirez-la de la cocotte et réservez-la.</v>
      </c>
      <c r="S50" s="6337" t="str">
        <f>IF(R50="","",TRIM(SUBSTITUTE(SUBSTITUTE(SUBSTITUTE(SUBSTITUTE(SUBSTITUTE(SUBSTITUTE(SUBSTITUTE(SUBSTITUTE(SUBSTITUTE(SUBSTITUTE(R50,","," "),";"," "),":"," "),"!"," "),"?"," "),"…"," "),"»"," "),"«"," "),"/"," "),"."," ")))</f>
        <v>1=TEST LIGNE 17 colonne Q et ligne 20 colonne P rechercher la cellule qui coupe le texte Dans la cocotte N°3 en fonte faites chauffer l’huile d’olive à feu moyen Ajoutez la viande et faites-la dorer de tous les côtés Retirez-la de la cocotte et réservez-la</v>
      </c>
      <c r="T50" s="6337" t="str">
        <f>IF(S50="","",TRIM(SUBSTITUTE(SUBSTITUTE(SUBSTITUTE(SUBSTITUTE(SUBSTITUTE(SUBSTITUTE(SUBSTITUTE(SUBSTITUTE(S50,"("," "),")"," "),CHAR(34)," "),"-"," "),"_"," "),"&lt;"," "),"&gt;"," "),"="," ")))</f>
        <v>1 TEST LIGNE 17 colonne Q et ligne 20 colonne P rechercher la cellule qui coupe le texte Dans la cocotte N°3 en fonte faites chauffer l’huile d’olive à feu moyen Ajoutez la viande et faites la dorer de tous les côtés Retirez la de la cocotte et réservez la</v>
      </c>
      <c r="U50" s="6337" t="str">
        <f>IF(T50="","",TRIM(SUBSTITUTE(SUBSTITUTE(SUBSTITUTE(SUBSTITUTE(T50,"►"," "),"▼"," "),"▲"," "),"◄"," ")))</f>
        <v>1 TEST LIGNE 17 colonne Q et ligne 20 colonne P rechercher la cellule qui coupe le texte Dans la cocotte N°3 en fonte faites chauffer l’huile d’olive à feu moyen Ajoutez la viande et faites la dorer de tous les côtés Retirez la de la cocotte et réservez la</v>
      </c>
      <c r="V50" s="6338" t="str">
        <f>IF(U50="","",TRIM(SUBSTITUTE(SUBSTITUTE(U50,"“"," "),"”"," ")))</f>
        <v>1 TEST LIGNE 17 colonne Q et ligne 20 colonne P rechercher la cellule qui coupe le texte Dans la cocotte N°3 en fonte faites chauffer l’huile d’olive à feu moyen Ajoutez la viande et faites la dorer de tous les côtés Retirez la de la cocotte et réservez la</v>
      </c>
      <c r="W50" s="6239"/>
      <c r="X50" s="6339" t="str">
        <f>"ligne "&amp;ROW()&amp;" ►"</f>
        <v>ligne 50 ►</v>
      </c>
      <c r="Y50" s="6340" t="str">
        <f t="shared" ref="Y50:Y52" si="18">O50</f>
        <v>1=TEST LIGNE 17 ? ! : ;  colonne Q et ligne 20 colonne P. rechercher la cellule qui coupe le texte Dans la cocotte N°3 en fonte, faites chauffer l’huile d’olive à feu moyen. Ajoutez la viande et faites-la dorer de tous les côtés. Retirez-la de la cocotte et réservez-la.</v>
      </c>
      <c r="Z50" s="6341">
        <v>5</v>
      </c>
      <c r="AB50" s="6342" t="str">
        <f>"ligne "&amp;ROW()&amp;" ►"</f>
        <v>ligne 50 ►</v>
      </c>
      <c r="AC50" s="6343" t="str">
        <f t="shared" ref="AC50:AC52" si="19">O50</f>
        <v>1=TEST LIGNE 17 ? ! : ;  colonne Q et ligne 20 colonne P. rechercher la cellule qui coupe le texte Dans la cocotte N°3 en fonte, faites chauffer l’huile d’olive à feu moyen. Ajoutez la viande et faites-la dorer de tous les côtés. Retirez-la de la cocotte et réservez-la.</v>
      </c>
      <c r="AD50" s="6344">
        <v>100</v>
      </c>
      <c r="AF50" s="6345" t="str" cm="1">
        <f t="array" ref="AF50">IF(SUMPRODUCT((AL50:AQ50&lt;&gt;"")*1)=0,"",SUMPRODUCT((AL50:AQ50&lt;&gt;"")*(LEN(TRIM(SUBSTITUTE(AL50:AQ50,CHAR(160)," "))) - LEN(SUBSTITUTE(TRIM(SUBSTITUTE(AL50:AQ50,CHAR(160)," "))," ","")) + 1)) &amp; " mot" &amp; IF(SUMPRODUCT((AL50:AQ50&lt;&gt;"")*(LEN(TRIM(SUBSTITUTE(AL50:AQ50,CHAR(160)," "))) - LEN(SUBSTITUTE(TRIM(SUBSTITUTE(AL50:AQ50,CHAR(160)," "))," ","")) + 1))&gt;1,"s",""))</f>
        <v>21 mots</v>
      </c>
      <c r="AG50" s="2263" t="str" cm="1">
        <f t="array" ref="AG50">SUMPRODUCT(--(AL50:AQ50&lt;&gt;""), LEN(TRIM(SUBSTITUTE(AL50:AQ50, CHAR(160), "")))) &amp; " Car."</f>
        <v>97 Car.</v>
      </c>
      <c r="AH50" s="6346" t="s">
        <v>14352</v>
      </c>
      <c r="AI50" s="6347" t="str">
        <f>AC50</f>
        <v>1=TEST LIGNE 17 ? ! : ;  colonne Q et ligne 20 colonne P. rechercher la cellule qui coupe le texte Dans la cocotte N°3 en fonte, faites chauffer l’huile d’olive à feu moyen. Ajoutez la viande et faites-la dorer de tous les côtés. Retirez-la de la cocotte et réservez-la.</v>
      </c>
      <c r="AJ50" s="6348" t="s">
        <v>14353</v>
      </c>
      <c r="AK50" s="2190">
        <f>ROWS(AO50:AO50)</f>
        <v>1</v>
      </c>
      <c r="AL50" s="1942" t="str" cm="1">
        <f t="array" ref="AL50:AL101">_xlfn._xlws.FILTER(IF(Z48="x",M50:M101,G50:G101),TRIM(SUBSTITUTE(SUBSTITUTE(SUBSTITUTE(IF(Z48="x",M50:M101,G50:G101),CHAR(160)," "),CHAR(9)," "),CHAR(10)," "))&lt;&gt;"")</f>
        <v>1=TEST LIGNE 17 ? ! : ;  colonne Q et ligne 20 colonne P. rechercher la cellule qui coupe le texte</v>
      </c>
      <c r="AM50" s="9"/>
      <c r="AN50" s="9"/>
      <c r="AO50" s="9"/>
      <c r="AP50" s="9"/>
      <c r="AQ50" s="9"/>
      <c r="AR50" s="9"/>
      <c r="AS50" s="5993" t="s">
        <v>167</v>
      </c>
      <c r="AT50" s="1330" t="s">
        <v>165</v>
      </c>
      <c r="AU50" s="9"/>
      <c r="AV50" s="103" t="s">
        <v>15</v>
      </c>
      <c r="AW50" s="6349" t="str">
        <f>AW23</f>
        <v>C Coquetiers de l'Antoine | | Auteur &gt; Guy KRENZE - Eric GODDYN - Arnaud NICOLAS - CEPROC 2002</v>
      </c>
      <c r="AX50" s="6349">
        <f>AX23</f>
        <v>20</v>
      </c>
      <c r="AY50" s="6350" t="str">
        <f>AY23</f>
        <v>coquetiers de 25 g</v>
      </c>
      <c r="AZ50" s="6351" t="str">
        <f>AZ23</f>
        <v>Recette mère ► le Boudin en 4 déclinaisons</v>
      </c>
      <c r="BA50" s="6352" t="s">
        <v>166</v>
      </c>
      <c r="BB50" s="6353" t="s">
        <v>14354</v>
      </c>
      <c r="BC50" s="6354"/>
      <c r="BD50" s="6354"/>
      <c r="BE50" s="6355"/>
      <c r="BF50" s="6355"/>
      <c r="BG50" s="6355"/>
      <c r="BH50" s="6355"/>
      <c r="BI50" s="6355"/>
      <c r="BJ50" s="6356" t="s">
        <v>164</v>
      </c>
      <c r="BK50" s="6357" t="s">
        <v>165</v>
      </c>
      <c r="BL50" s="2080"/>
      <c r="BM50" s="1970"/>
      <c r="BN50" s="99"/>
      <c r="BO50" s="1809"/>
      <c r="BQ50" s="2230"/>
      <c r="BR50" s="3">
        <v>1</v>
      </c>
    </row>
    <row r="51" spans="2:70" ht="21" customHeight="1">
      <c r="B51" s="6236"/>
      <c r="C51" s="6358">
        <f t="shared" ref="C51:C63" si="20">C50</f>
        <v>100</v>
      </c>
      <c r="D51" s="6359" cm="1">
        <f t="array" ref="D51">IF(MOD(ROW()-50,14)=0,INDEX(D50:D63,MOD(ROW()-50,14)+1),E49)</f>
        <v>0</v>
      </c>
      <c r="E51" s="6360" t="str">
        <f t="shared" ref="E51:E63" si="21">IF(D51="","",IF(F51="","",IF(LEN(F51)&gt;=LEN(D51),"",TRIM(MID(D51,LEN(F51)+1,99999)))))</f>
        <v/>
      </c>
      <c r="F51" s="6361">
        <f t="shared" ref="F51:F63" si="22">IF(D51="","",IF(LEN(D51)&lt;=C51,D51,IFERROR(LEFT(D51,FIND("§",SUBSTITUTE(LEFT(D51,C51+1)," ","§",LEN(LEFT(D51,C51+1))-LEN(SUBSTITUTE(LEFT(D51,C51+1)," ",""))))-1),LEFT(D51,C51))))</f>
        <v>0</v>
      </c>
      <c r="G51" s="6318">
        <v>0</v>
      </c>
      <c r="H51" s="6323">
        <f t="shared" ref="H51:H63" si="23">IF(LEN(TRIM(L51))&gt;0,MAX(H50:H50)+1,"")</f>
        <v>2</v>
      </c>
      <c r="I51" s="6362" t="s">
        <v>14355</v>
      </c>
      <c r="J51" s="6363" t="str">
        <f>TRIM(MID(I50,LEN(K50)+1,99999))</f>
        <v>P. rechercher la cellule qui coupe le texte Dans la cocotte N°3 en fonte, faites chauffer l’huile d’olive à feu moyen. Ajoutez la viande et faites-la dorer de tous les côtés. Retirez-la de la cocotte et réservez-la.</v>
      </c>
      <c r="K51" s="6364" t="str">
        <f>IF(J51="","",LEFT(J51,IF(LEN(J51)&lt;=I53,LEN(J51),IFERROR(FIND("§",SUBSTITUTE(LEFT(J51,I53+1)," ","§",LEN(LEFT(J51,I53+1))-LEN(SUBSTITUTE(LEFT(J51,I53+1)," ",""))))-1,IFERROR(FIND(" ",J51,I53+1)-1,LEN(J51))))))</f>
        <v>P. rechercher la cellule qui coupe le texte Dans la</v>
      </c>
      <c r="L51" s="6327" t="str">
        <v>P. rechercher la cellule qui coupe le texte Dans la</v>
      </c>
      <c r="M51" s="6329" t="str">
        <v>P. rechercher la cellule qui coupe le texte Dans la</v>
      </c>
      <c r="N51" t="s">
        <v>21</v>
      </c>
      <c r="O51" s="6334" t="s">
        <v>14356</v>
      </c>
      <c r="P51" s="6335" t="str">
        <f t="shared" ref="P51:P101" si="24">IF(O51="","",TRIM(SUBSTITUTE(SUBSTITUTE(SUBSTITUTE(SUBSTITUTE(SUBSTITUTE(SUBSTITUTE(SUBSTITUTE(CLEAN(IF(OR(LEFT(O51,1)="-",LEFT(O51,1)="="),MID(O51,2,99999),O51)),"—","-"),"–","-"),CHAR(160)," "),_xlfn.UNICHAR(8239)," "),_xlfn.UNICHAR(8199)," "),CHAR(10)," "),CHAR(13)," ")))</f>
        <v>2=TEST LIGNE 17 ? ! : ; colonne Q et ligne 20 colonne P. rechercher la cellule qui coupe le texte Dans la cocotte N°3 en fonte, faites chauffer l’huile d’olive à feu moyen. Ajoutez la viande et faites-la dorer de tous les côtés. Retirez-la de la cocotte et réservez-la.</v>
      </c>
      <c r="Q51" s="6336" t="str">
        <f t="shared" ref="Q51:Q101" si="25">IF(P51="","",IF(OR(LEFT(P51,1)="-",LEFT(P51,1)="="),MID(P51,2,99999),P51))</f>
        <v>2=TEST LIGNE 17 ? ! : ; colonne Q et ligne 20 colonne P. rechercher la cellule qui coupe le texte Dans la cocotte N°3 en fonte, faites chauffer l’huile d’olive à feu moyen. Ajoutez la viande et faites-la dorer de tous les côtés. Retirez-la de la cocotte et réservez-la.</v>
      </c>
      <c r="R51" s="6336" t="str">
        <f t="shared" ref="R51:R101" si="26">IF(Q51="","",TRIM(SUBSTITUTE(SUBSTITUTE(SUBSTITUTE(SUBSTITUTE(SUBSTITUTE(CLEAN(Q51),"—","-"),"–","-"),CHAR(160)," "),_xlfn.UNICHAR(8239)," "),_xlfn.UNICHAR(8199)," ")))</f>
        <v>2=TEST LIGNE 17 ? ! : ; colonne Q et ligne 20 colonne P. rechercher la cellule qui coupe le texte Dans la cocotte N°3 en fonte, faites chauffer l’huile d’olive à feu moyen. Ajoutez la viande et faites-la dorer de tous les côtés. Retirez-la de la cocotte et réservez-la.</v>
      </c>
      <c r="S51" s="6337" t="str">
        <f t="shared" ref="S51:S101" si="27">IF(R51="","",TRIM(SUBSTITUTE(SUBSTITUTE(SUBSTITUTE(SUBSTITUTE(SUBSTITUTE(SUBSTITUTE(SUBSTITUTE(SUBSTITUTE(SUBSTITUTE(SUBSTITUTE(R51,","," "),";"," "),":"," "),"!"," "),"?"," "),"…"," "),"»"," "),"«"," "),"/"," "),"."," ")))</f>
        <v>2=TEST LIGNE 17 colonne Q et ligne 20 colonne P rechercher la cellule qui coupe le texte Dans la cocotte N°3 en fonte faites chauffer l’huile d’olive à feu moyen Ajoutez la viande et faites-la dorer de tous les côtés Retirez-la de la cocotte et réservez-la</v>
      </c>
      <c r="T51" s="6337" t="str">
        <f t="shared" ref="T51:T101" si="28">IF(S51="","",TRIM(SUBSTITUTE(SUBSTITUTE(SUBSTITUTE(SUBSTITUTE(SUBSTITUTE(SUBSTITUTE(SUBSTITUTE(SUBSTITUTE(S51,"("," "),")"," "),CHAR(34)," "),"-"," "),"_"," "),"&lt;"," "),"&gt;"," "),"="," ")))</f>
        <v>2 TEST LIGNE 17 colonne Q et ligne 20 colonne P rechercher la cellule qui coupe le texte Dans la cocotte N°3 en fonte faites chauffer l’huile d’olive à feu moyen Ajoutez la viande et faites la dorer de tous les côtés Retirez la de la cocotte et réservez la</v>
      </c>
      <c r="U51" s="6337" t="str">
        <f t="shared" ref="U51:U101" si="29">IF(T51="","",TRIM(SUBSTITUTE(SUBSTITUTE(SUBSTITUTE(SUBSTITUTE(T51,"►"," "),"▼"," "),"▲"," "),"◄"," ")))</f>
        <v>2 TEST LIGNE 17 colonne Q et ligne 20 colonne P rechercher la cellule qui coupe le texte Dans la cocotte N°3 en fonte faites chauffer l’huile d’olive à feu moyen Ajoutez la viande et faites la dorer de tous les côtés Retirez la de la cocotte et réservez la</v>
      </c>
      <c r="V51" s="6338" t="str">
        <f t="shared" ref="V51:V101" si="30">IF(U51="","",TRIM(SUBSTITUTE(SUBSTITUTE(U51,"“"," "),"”"," ")))</f>
        <v>2 TEST LIGNE 17 colonne Q et ligne 20 colonne P rechercher la cellule qui coupe le texte Dans la cocotte N°3 en fonte faites chauffer l’huile d’olive à feu moyen Ajoutez la viande et faites la dorer de tous les côtés Retirez la de la cocotte et réservez la</v>
      </c>
      <c r="W51" s="6239"/>
      <c r="X51" s="6339" t="str">
        <f t="shared" ref="X51:X101" si="31">"ligne "&amp;ROW()&amp;" ►"</f>
        <v>ligne 51 ►</v>
      </c>
      <c r="Y51" s="6340" t="str">
        <f t="shared" si="18"/>
        <v>2=TEST LIGNE 17 ? ! : ;  colonne Q et ligne 20 colonne P. rechercher la cellule qui coupe le texte Dans la cocotte N°3 en fonte, faites chauffer l’huile d’olive à feu moyen. Ajoutez la viande et faites-la dorer de tous les côtés. Retirez-la de la cocotte et réservez-la.</v>
      </c>
      <c r="Z51" s="6341">
        <v>5</v>
      </c>
      <c r="AB51" s="6342" t="str">
        <f t="shared" ref="AB51:AB101" si="32">"ligne "&amp;ROW()&amp;" ►"</f>
        <v>ligne 51 ►</v>
      </c>
      <c r="AC51" s="6343" t="str">
        <f t="shared" si="19"/>
        <v>2=TEST LIGNE 17 ? ! : ;  colonne Q et ligne 20 colonne P. rechercher la cellule qui coupe le texte Dans la cocotte N°3 en fonte, faites chauffer l’huile d’olive à feu moyen. Ajoutez la viande et faites-la dorer de tous les côtés. Retirez-la de la cocotte et réservez-la.</v>
      </c>
      <c r="AD51" s="6344">
        <v>100</v>
      </c>
      <c r="AF51" s="6345" t="str" cm="1">
        <f t="array" ref="AF51">IF(SUMPRODUCT((AL51:AQ51&lt;&gt;"")*1)=0,"",SUMPRODUCT((AL51:AQ51&lt;&gt;"")*(LEN(TRIM(SUBSTITUTE(AL51:AQ51,CHAR(160)," "))) - LEN(SUBSTITUTE(TRIM(SUBSTITUTE(AL51:AQ51,CHAR(160)," "))," ","")) + 1)) &amp; " mot" &amp; IF(SUMPRODUCT((AL51:AQ51&lt;&gt;"")*(LEN(TRIM(SUBSTITUTE(AL51:AQ51,CHAR(160)," "))) - LEN(SUBSTITUTE(TRIM(SUBSTITUTE(AL51:AQ51,CHAR(160)," "))," ","")) + 1))&gt;1,"s",""))</f>
        <v>1 mot</v>
      </c>
      <c r="AG51" s="2263" t="str" cm="1">
        <f t="array" ref="AG51">SUMPRODUCT(--(AL51:AQ51&lt;&gt;""), LEN(TRIM(SUBSTITUTE(AL51:AQ51, CHAR(160), "")))) &amp; " Car."</f>
        <v>1 Car.</v>
      </c>
      <c r="AH51" s="6346" t="s">
        <v>14357</v>
      </c>
      <c r="AI51" s="6347" t="str">
        <f t="shared" ref="AI51:AI101" si="33">AC51</f>
        <v>2=TEST LIGNE 17 ? ! : ;  colonne Q et ligne 20 colonne P. rechercher la cellule qui coupe le texte Dans la cocotte N°3 en fonte, faites chauffer l’huile d’olive à feu moyen. Ajoutez la viande et faites-la dorer de tous les côtés. Retirez-la de la cocotte et réservez-la.</v>
      </c>
      <c r="AJ51" s="6348"/>
      <c r="AK51" s="2190">
        <f>ROWS(AO50:AO51)</f>
        <v>2</v>
      </c>
      <c r="AL51" s="1942">
        <v>0</v>
      </c>
      <c r="AM51" s="9"/>
      <c r="AN51" s="9"/>
      <c r="AO51" s="9"/>
      <c r="AP51" s="9"/>
      <c r="AQ51" s="9"/>
      <c r="AR51" s="1810"/>
      <c r="AS51" s="5994" t="s">
        <v>171</v>
      </c>
      <c r="AT51" s="5564">
        <v>3.472222222222222E-3</v>
      </c>
      <c r="AU51" s="9"/>
      <c r="AV51" s="103" t="s">
        <v>15</v>
      </c>
      <c r="AW51" s="163" t="str">
        <f>AW23</f>
        <v>C Coquetiers de l'Antoine | | Auteur &gt; Guy KRENZE - Eric GODDYN - Arnaud NICOLAS - CEPROC 2002</v>
      </c>
      <c r="AX51" s="163">
        <f>AX23</f>
        <v>20</v>
      </c>
      <c r="AY51" s="164" t="str">
        <f>AY23</f>
        <v>coquetiers de 25 g</v>
      </c>
      <c r="AZ51" s="165" t="str">
        <f>AZ23</f>
        <v>Recette mère ► le Boudin en 4 déclinaisons</v>
      </c>
      <c r="BA51" s="176" t="s">
        <v>14358</v>
      </c>
      <c r="BB51" s="176"/>
      <c r="BC51" s="176"/>
      <c r="BD51" s="176"/>
      <c r="BE51" s="176"/>
      <c r="BF51" s="176" t="s">
        <v>14359</v>
      </c>
      <c r="BG51" s="176"/>
      <c r="BH51" s="176"/>
      <c r="BI51" s="176"/>
      <c r="BJ51" s="5993" t="s">
        <v>167</v>
      </c>
      <c r="BK51" s="1330" t="s">
        <v>165</v>
      </c>
      <c r="BL51" s="2080"/>
      <c r="BM51" s="1970"/>
      <c r="BN51" s="99"/>
      <c r="BO51" s="1809"/>
      <c r="BQ51" s="2230"/>
      <c r="BR51" s="3">
        <v>1</v>
      </c>
    </row>
    <row r="52" spans="2:70" ht="21" customHeight="1">
      <c r="B52" s="6236"/>
      <c r="C52" s="6358">
        <f t="shared" si="20"/>
        <v>100</v>
      </c>
      <c r="D52" s="6359" t="str" cm="1">
        <f t="array" ref="D52">IF(MOD(ROW()-50,14)=0,INDEX(D50:D63,MOD(ROW()-50,14)+1),E50)</f>
        <v>Dans la cocotte N°3 en fonte, faites chauffer l’huile d’olive à feu moyen. Ajoutez la viande et faites-la dorer de tous les côtés. Retirez-la de la cocotte et réservez-la.</v>
      </c>
      <c r="E52" s="6360" t="str">
        <f t="shared" si="21"/>
        <v>faites-la dorer de tous les côtés. Retirez-la de la cocotte et réservez-la.</v>
      </c>
      <c r="F52" s="6361" t="str">
        <f t="shared" si="22"/>
        <v>Dans la cocotte N°3 en fonte, faites chauffer l’huile d’olive à feu moyen. Ajoutez la viande et</v>
      </c>
      <c r="G52" s="6318" t="str">
        <v>Dans la cocotte N°3 en fonte, faites chauffer l’huile d’olive à feu moyen. Ajoutez la viande et</v>
      </c>
      <c r="H52" s="6323">
        <f t="shared" si="23"/>
        <v>3</v>
      </c>
      <c r="I52" s="6365">
        <f>Z50</f>
        <v>5</v>
      </c>
      <c r="J52" s="6363" t="str">
        <f t="shared" ref="J52:J63" si="34">TRIM(MID(J51,LEN(K51)+1,99999))</f>
        <v>cocotte N°3 en fonte, faites chauffer l’huile d’olive à feu moyen. Ajoutez la viande et faites-la dorer de tous les côtés. Retirez-la de la cocotte et réservez-la.</v>
      </c>
      <c r="K52" s="6364" t="str">
        <f>IF(J52="","",LEFT(J52,IF(LEN(J52)&lt;=I53,LEN(J52),IFERROR(FIND("§",SUBSTITUTE(LEFT(J52,I53+1)," ","§",LEN(LEFT(J52,I53+1))-LEN(SUBSTITUTE(LEFT(J52,I53+1)," ",""))))-1,IFERROR(FIND(" ",J52,I53+1)-1,LEN(J52))))))</f>
        <v>cocotte N°3 en fonte, faites chauffer l’huile d’olive</v>
      </c>
      <c r="L52" s="6327" t="str">
        <v>cocotte N°3 en fonte, faites chauffer l’huile d’olive</v>
      </c>
      <c r="M52" s="6329" t="str">
        <v>cocotte N°3 en fonte, faites chauffer l’huile d’olive</v>
      </c>
      <c r="N52" t="s">
        <v>21</v>
      </c>
      <c r="O52" s="6334" t="s">
        <v>14360</v>
      </c>
      <c r="P52" s="6335" t="str">
        <f t="shared" si="24"/>
        <v>3.TEST LIGNE 16 colonne Q et ligne 20 colonne P. rechercher la cellule qui coupe le texte Dans la cocotte N°3 en fonte, faites chauffer l’huile d’olive à feu moyen. Ajoutez la viande et faites-la dorer de tous les côtés. Retirez-la de la cocotte et réservez-la.</v>
      </c>
      <c r="Q52" s="6336" t="str">
        <f t="shared" si="25"/>
        <v>3.TEST LIGNE 16 colonne Q et ligne 20 colonne P. rechercher la cellule qui coupe le texte Dans la cocotte N°3 en fonte, faites chauffer l’huile d’olive à feu moyen. Ajoutez la viande et faites-la dorer de tous les côtés. Retirez-la de la cocotte et réservez-la.</v>
      </c>
      <c r="R52" s="6336" t="str">
        <f t="shared" si="26"/>
        <v>3.TEST LIGNE 16 colonne Q et ligne 20 colonne P. rechercher la cellule qui coupe le texte Dans la cocotte N°3 en fonte, faites chauffer l’huile d’olive à feu moyen. Ajoutez la viande et faites-la dorer de tous les côtés. Retirez-la de la cocotte et réservez-la.</v>
      </c>
      <c r="S52" s="6337" t="str">
        <f t="shared" si="27"/>
        <v>3 TEST LIGNE 16 colonne Q et ligne 20 colonne P rechercher la cellule qui coupe le texte Dans la cocotte N°3 en fonte faites chauffer l’huile d’olive à feu moyen Ajoutez la viande et faites-la dorer de tous les côtés Retirez-la de la cocotte et réservez-la</v>
      </c>
      <c r="T52" s="6337" t="str">
        <f t="shared" si="28"/>
        <v>3 TEST LIGNE 16 colonne Q et ligne 20 colonne P rechercher la cellule qui coupe le texte Dans la cocotte N°3 en fonte faites chauffer l’huile d’olive à feu moyen Ajoutez la viande et faites la dorer de tous les côtés Retirez la de la cocotte et réservez la</v>
      </c>
      <c r="U52" s="6337" t="str">
        <f t="shared" si="29"/>
        <v>3 TEST LIGNE 16 colonne Q et ligne 20 colonne P rechercher la cellule qui coupe le texte Dans la cocotte N°3 en fonte faites chauffer l’huile d’olive à feu moyen Ajoutez la viande et faites la dorer de tous les côtés Retirez la de la cocotte et réservez la</v>
      </c>
      <c r="V52" s="6338" t="str">
        <f t="shared" si="30"/>
        <v>3 TEST LIGNE 16 colonne Q et ligne 20 colonne P rechercher la cellule qui coupe le texte Dans la cocotte N°3 en fonte faites chauffer l’huile d’olive à feu moyen Ajoutez la viande et faites la dorer de tous les côtés Retirez la de la cocotte et réservez la</v>
      </c>
      <c r="W52" s="6239"/>
      <c r="X52" s="6339" t="str">
        <f t="shared" si="31"/>
        <v>ligne 52 ►</v>
      </c>
      <c r="Y52" s="6340" t="str">
        <f t="shared" si="18"/>
        <v>3.TEST LIGNE 16 colonne Q et ligne 20 colonne P. rechercher la cellule qui coupe le texte Dans la cocotte N°3 en fonte, faites chauffer l’huile d’olive à feu moyen. Ajoutez la viande et faites-la dorer de tous les côtés. Retirez-la de la cocotte et réservez-la.</v>
      </c>
      <c r="Z52" s="6341">
        <v>5</v>
      </c>
      <c r="AB52" s="6342" t="str">
        <f t="shared" si="32"/>
        <v>ligne 52 ►</v>
      </c>
      <c r="AC52" s="6343" t="str">
        <f t="shared" si="19"/>
        <v>3.TEST LIGNE 16 colonne Q et ligne 20 colonne P. rechercher la cellule qui coupe le texte Dans la cocotte N°3 en fonte, faites chauffer l’huile d’olive à feu moyen. Ajoutez la viande et faites-la dorer de tous les côtés. Retirez-la de la cocotte et réservez-la.</v>
      </c>
      <c r="AD52" s="6344">
        <v>150</v>
      </c>
      <c r="AF52" s="6345" t="str" cm="1">
        <f t="array" ref="AF52">IF(SUMPRODUCT((AL52:AQ52&lt;&gt;"")*1)=0,"",SUMPRODUCT((AL52:AQ52&lt;&gt;"")*(LEN(TRIM(SUBSTITUTE(AL52:AQ52,CHAR(160)," "))) - LEN(SUBSTITUTE(TRIM(SUBSTITUTE(AL52:AQ52,CHAR(160)," "))," ","")) + 1)) &amp; " mot" &amp; IF(SUMPRODUCT((AL52:AQ52&lt;&gt;"")*(LEN(TRIM(SUBSTITUTE(AL52:AQ52,CHAR(160)," "))) - LEN(SUBSTITUTE(TRIM(SUBSTITUTE(AL52:AQ52,CHAR(160)," "))," ","")) + 1))&gt;1,"s",""))</f>
        <v>17 mots</v>
      </c>
      <c r="AG52" s="2263" t="str" cm="1">
        <f t="array" ref="AG52">SUMPRODUCT(--(AL52:AQ52&lt;&gt;""), LEN(TRIM(SUBSTITUTE(AL52:AQ52, CHAR(160), "")))) &amp; " Car."</f>
        <v>95 Car.</v>
      </c>
      <c r="AH52" s="6366" t="s">
        <v>14357</v>
      </c>
      <c r="AI52" s="6367" t="str">
        <f t="shared" si="33"/>
        <v>3.TEST LIGNE 16 colonne Q et ligne 20 colonne P. rechercher la cellule qui coupe le texte Dans la cocotte N°3 en fonte, faites chauffer l’huile d’olive à feu moyen. Ajoutez la viande et faites-la dorer de tous les côtés. Retirez-la de la cocotte et réservez-la.</v>
      </c>
      <c r="AJ52" s="6368"/>
      <c r="AK52" s="2190">
        <f>ROWS(AO50:AO52)</f>
        <v>3</v>
      </c>
      <c r="AL52" s="1942" t="str">
        <v>Dans la cocotte N°3 en fonte, faites chauffer l’huile d’olive à feu moyen. Ajoutez la viande et</v>
      </c>
      <c r="AM52" s="9"/>
      <c r="AN52" s="9"/>
      <c r="AO52" s="9"/>
      <c r="AP52" s="9"/>
      <c r="AQ52" s="9"/>
      <c r="AR52" s="1810"/>
      <c r="AS52" s="5994" t="s">
        <v>173</v>
      </c>
      <c r="AT52" s="5565">
        <v>1.0416666666666666E-2</v>
      </c>
      <c r="AU52" s="9"/>
      <c r="AV52" s="103" t="s">
        <v>15</v>
      </c>
      <c r="AW52" s="163" t="str">
        <f>AW23</f>
        <v>C Coquetiers de l'Antoine | | Auteur &gt; Guy KRENZE - Eric GODDYN - Arnaud NICOLAS - CEPROC 2002</v>
      </c>
      <c r="AX52" s="163">
        <f>AX23</f>
        <v>20</v>
      </c>
      <c r="AY52" s="164" t="str">
        <f>AY23</f>
        <v>coquetiers de 25 g</v>
      </c>
      <c r="AZ52" s="165" t="str">
        <f>AZ23</f>
        <v>Recette mère ► le Boudin en 4 déclinaisons</v>
      </c>
      <c r="BA52" s="176" t="s">
        <v>14361</v>
      </c>
      <c r="BB52" s="176"/>
      <c r="BC52" s="176"/>
      <c r="BD52" s="176"/>
      <c r="BE52" s="176"/>
      <c r="BF52" s="6369" t="s">
        <v>14362</v>
      </c>
      <c r="BG52" s="6369"/>
      <c r="BH52" s="176"/>
      <c r="BI52" s="176"/>
      <c r="BJ52" s="5994" t="s">
        <v>171</v>
      </c>
      <c r="BK52" s="5564">
        <v>3.472222222222222E-3</v>
      </c>
      <c r="BL52" s="2080"/>
      <c r="BM52" s="1970"/>
      <c r="BN52" s="99"/>
      <c r="BO52" s="1809"/>
      <c r="BQ52" s="2230"/>
      <c r="BR52" s="3">
        <v>1</v>
      </c>
    </row>
    <row r="53" spans="2:70" ht="21" customHeight="1">
      <c r="B53" s="6236"/>
      <c r="C53" s="6358">
        <f t="shared" si="20"/>
        <v>100</v>
      </c>
      <c r="D53" s="6359" t="str" cm="1">
        <f t="array" ref="D53">IF(MOD(ROW()-50,14)=0,INDEX(D50:D63,MOD(ROW()-50,14)+1),E51)</f>
        <v/>
      </c>
      <c r="E53" s="6360" t="str">
        <f t="shared" si="21"/>
        <v/>
      </c>
      <c r="F53" s="6361" t="str">
        <f t="shared" si="22"/>
        <v/>
      </c>
      <c r="G53" s="6318" t="str">
        <v>faites-la dorer de tous les côtés. Retirez-la de la cocotte et réservez-la.</v>
      </c>
      <c r="H53" s="6323">
        <f t="shared" si="23"/>
        <v>4</v>
      </c>
      <c r="I53" s="6370">
        <f>IF(OR(J50="",I52="",I52&lt;=0),"",ROUNDUP(LEN(J50)/I52,0))</f>
        <v>54</v>
      </c>
      <c r="J53" s="6363" t="str">
        <f t="shared" si="34"/>
        <v>à feu moyen. Ajoutez la viande et faites-la dorer de tous les côtés. Retirez-la de la cocotte et réservez-la.</v>
      </c>
      <c r="K53" s="6364" t="str">
        <f>IF(J53="","",LEFT(J53,IF(LEN(J53)&lt;=I53,LEN(J53),IFERROR(FIND("§",SUBSTITUTE(LEFT(J53,I53+1)," ","§",LEN(LEFT(J53,I53+1))-LEN(SUBSTITUTE(LEFT(J53,I53+1)," ",""))))-1,IFERROR(FIND(" ",J53,I53+1)-1,LEN(J53))))))</f>
        <v>à feu moyen. Ajoutez la viande et faites-la dorer de</v>
      </c>
      <c r="L53" s="6327" t="str">
        <v>à feu moyen. Ajoutez la viande et faites-la dorer de</v>
      </c>
      <c r="M53" s="6329" t="str">
        <v>à feu moyen. Ajoutez la viande et faites-la dorer de</v>
      </c>
      <c r="N53" t="s">
        <v>21</v>
      </c>
      <c r="O53" s="6334" t="s">
        <v>14363</v>
      </c>
      <c r="P53" s="6335" t="str">
        <f t="shared" si="24"/>
        <v>4.TEST LIGNE 17 colonne Q et ligne 20 colonne P. rechercher la cellule qui coupe le texte Dans la cocotte N°3 en fonte, faites chauffer l’huile d’olive à feu moyen. Ajoutez la viande et faites-la dorer de tous les côtés. Retirez-la de la cocotte et réservez-la.</v>
      </c>
      <c r="Q53" s="6336" t="str">
        <f t="shared" si="25"/>
        <v>4.TEST LIGNE 17 colonne Q et ligne 20 colonne P. rechercher la cellule qui coupe le texte Dans la cocotte N°3 en fonte, faites chauffer l’huile d’olive à feu moyen. Ajoutez la viande et faites-la dorer de tous les côtés. Retirez-la de la cocotte et réservez-la.</v>
      </c>
      <c r="R53" s="6336" t="str">
        <f t="shared" si="26"/>
        <v>4.TEST LIGNE 17 colonne Q et ligne 20 colonne P. rechercher la cellule qui coupe le texte Dans la cocotte N°3 en fonte, faites chauffer l’huile d’olive à feu moyen. Ajoutez la viande et faites-la dorer de tous les côtés. Retirez-la de la cocotte et réservez-la.</v>
      </c>
      <c r="S53" s="6337" t="str">
        <f t="shared" si="27"/>
        <v>4 TEST LIGNE 17 colonne Q et ligne 20 colonne P rechercher la cellule qui coupe le texte Dans la cocotte N°3 en fonte faites chauffer l’huile d’olive à feu moyen Ajoutez la viande et faites-la dorer de tous les côtés Retirez-la de la cocotte et réservez-la</v>
      </c>
      <c r="T53" s="6337" t="str">
        <f t="shared" si="28"/>
        <v>4 TEST LIGNE 17 colonne Q et ligne 20 colonne P rechercher la cellule qui coupe le texte Dans la cocotte N°3 en fonte faites chauffer l’huile d’olive à feu moyen Ajoutez la viande et faites la dorer de tous les côtés Retirez la de la cocotte et réservez la</v>
      </c>
      <c r="U53" s="6337" t="str">
        <f t="shared" si="29"/>
        <v>4 TEST LIGNE 17 colonne Q et ligne 20 colonne P rechercher la cellule qui coupe le texte Dans la cocotte N°3 en fonte faites chauffer l’huile d’olive à feu moyen Ajoutez la viande et faites la dorer de tous les côtés Retirez la de la cocotte et réservez la</v>
      </c>
      <c r="V53" s="6338" t="str">
        <f t="shared" si="30"/>
        <v>4 TEST LIGNE 17 colonne Q et ligne 20 colonne P rechercher la cellule qui coupe le texte Dans la cocotte N°3 en fonte faites chauffer l’huile d’olive à feu moyen Ajoutez la viande et faites la dorer de tous les côtés Retirez la de la cocotte et réservez la</v>
      </c>
      <c r="W53" s="6239"/>
      <c r="X53" s="6339" t="str">
        <f t="shared" si="31"/>
        <v>ligne 53 ►</v>
      </c>
      <c r="Y53" s="6340" t="str">
        <f>O50</f>
        <v>1=TEST LIGNE 17 ? ! : ;  colonne Q et ligne 20 colonne P. rechercher la cellule qui coupe le texte Dans la cocotte N°3 en fonte, faites chauffer l’huile d’olive à feu moyen. Ajoutez la viande et faites-la dorer de tous les côtés. Retirez-la de la cocotte et réservez-la.</v>
      </c>
      <c r="Z53" s="6341">
        <v>5</v>
      </c>
      <c r="AB53" s="6342" t="str">
        <f t="shared" si="32"/>
        <v>ligne 53 ►</v>
      </c>
      <c r="AC53" s="6343" t="str">
        <f>O50</f>
        <v>1=TEST LIGNE 17 ? ! : ;  colonne Q et ligne 20 colonne P. rechercher la cellule qui coupe le texte Dans la cocotte N°3 en fonte, faites chauffer l’huile d’olive à feu moyen. Ajoutez la viande et faites-la dorer de tous les côtés. Retirez-la de la cocotte et réservez-la.</v>
      </c>
      <c r="AD53" s="6344">
        <v>150</v>
      </c>
      <c r="AF53" s="6345" t="str" cm="1">
        <f t="array" ref="AF53">IF(SUMPRODUCT((AL53:AQ53&lt;&gt;"")*1)=0,"",SUMPRODUCT((AL53:AQ53&lt;&gt;"")*(LEN(TRIM(SUBSTITUTE(AL53:AQ53,CHAR(160)," "))) - LEN(SUBSTITUTE(TRIM(SUBSTITUTE(AL53:AQ53,CHAR(160)," "))," ","")) + 1)) &amp; " mot" &amp; IF(SUMPRODUCT((AL53:AQ53&lt;&gt;"")*(LEN(TRIM(SUBSTITUTE(AL53:AQ53,CHAR(160)," "))) - LEN(SUBSTITUTE(TRIM(SUBSTITUTE(AL53:AQ53,CHAR(160)," "))," ","")) + 1))&gt;1,"s",""))</f>
        <v>12 mots</v>
      </c>
      <c r="AG53" s="2263" t="str" cm="1">
        <f t="array" ref="AG53">SUMPRODUCT(--(AL53:AQ53&lt;&gt;""), LEN(TRIM(SUBSTITUTE(AL53:AQ53, CHAR(160), "")))) &amp; " Car."</f>
        <v>75 Car.</v>
      </c>
      <c r="AH53" s="6366" t="s">
        <v>14357</v>
      </c>
      <c r="AI53" s="6367" t="str">
        <f t="shared" si="33"/>
        <v>1=TEST LIGNE 17 ? ! : ;  colonne Q et ligne 20 colonne P. rechercher la cellule qui coupe le texte Dans la cocotte N°3 en fonte, faites chauffer l’huile d’olive à feu moyen. Ajoutez la viande et faites-la dorer de tous les côtés. Retirez-la de la cocotte et réservez-la.</v>
      </c>
      <c r="AJ53" s="6368"/>
      <c r="AK53" s="2190">
        <f>ROWS(AO50:AO53)</f>
        <v>4</v>
      </c>
      <c r="AL53" s="1942" t="str">
        <v>faites-la dorer de tous les côtés. Retirez-la de la cocotte et réservez-la.</v>
      </c>
      <c r="AM53" s="9"/>
      <c r="AN53" s="9"/>
      <c r="AO53" s="9"/>
      <c r="AP53" s="9"/>
      <c r="AQ53" s="9"/>
      <c r="AR53" s="1810"/>
      <c r="AS53" s="5994" t="s">
        <v>181</v>
      </c>
      <c r="AT53" s="6371">
        <v>2.0833333333333332E-2</v>
      </c>
      <c r="AU53" s="9"/>
      <c r="AV53" s="103" t="s">
        <v>15</v>
      </c>
      <c r="AW53" s="163" t="str">
        <f>AW23</f>
        <v>C Coquetiers de l'Antoine | | Auteur &gt; Guy KRENZE - Eric GODDYN - Arnaud NICOLAS - CEPROC 2002</v>
      </c>
      <c r="AX53" s="163">
        <f>AX23</f>
        <v>20</v>
      </c>
      <c r="AY53" s="164" t="str">
        <f>AY23</f>
        <v>coquetiers de 25 g</v>
      </c>
      <c r="AZ53" s="165" t="str">
        <f>AZ23</f>
        <v>Recette mère ► le Boudin en 4 déclinaisons</v>
      </c>
      <c r="BA53" s="176" t="s">
        <v>14364</v>
      </c>
      <c r="BB53" s="176"/>
      <c r="BC53" s="176"/>
      <c r="BD53" s="176"/>
      <c r="BE53" s="176"/>
      <c r="BF53" s="176" t="str">
        <f>"Poids de leur recette = "&amp;BC22&amp;" Kg"</f>
        <v>Poids de leur recette = 1.531 Kg</v>
      </c>
      <c r="BG53" s="176"/>
      <c r="BH53" s="176"/>
      <c r="BI53" s="176"/>
      <c r="BJ53" s="5994" t="s">
        <v>173</v>
      </c>
      <c r="BK53" s="5565">
        <v>1.0416666666666666E-2</v>
      </c>
      <c r="BL53" s="2080"/>
      <c r="BM53" s="1970"/>
      <c r="BN53" s="99"/>
      <c r="BO53" s="1809"/>
      <c r="BQ53" s="2230"/>
      <c r="BR53" s="3">
        <v>1</v>
      </c>
    </row>
    <row r="54" spans="2:70" ht="21" customHeight="1">
      <c r="B54" s="6236"/>
      <c r="C54" s="6358">
        <f t="shared" si="20"/>
        <v>100</v>
      </c>
      <c r="D54" s="6359" t="str" cm="1">
        <f t="array" ref="D54">IF(MOD(ROW()-50,14)=0,INDEX(D50:D63,MOD(ROW()-50,14)+1),E52)</f>
        <v>faites-la dorer de tous les côtés. Retirez-la de la cocotte et réservez-la.</v>
      </c>
      <c r="E54" s="6360" t="str">
        <f t="shared" si="21"/>
        <v/>
      </c>
      <c r="F54" s="6361" t="str">
        <f t="shared" si="22"/>
        <v>faites-la dorer de tous les côtés. Retirez-la de la cocotte et réservez-la.</v>
      </c>
      <c r="G54" s="6318" t="str">
        <v>2=TEST LIGNE 17 ? ! : ;  colonne Q et ligne 20 colonne P. rechercher la cellule qui coupe le texte</v>
      </c>
      <c r="H54" s="6323">
        <f t="shared" si="23"/>
        <v>5</v>
      </c>
      <c r="I54" s="6372"/>
      <c r="J54" s="6363" t="str">
        <f t="shared" si="34"/>
        <v>tous les côtés. Retirez-la de la cocotte et réservez-la.</v>
      </c>
      <c r="K54" s="6364" t="str">
        <f>IF(J54="","",LEFT(J54,IF(LEN(J54)&lt;=I53,LEN(J54),IFERROR(FIND("§",SUBSTITUTE(LEFT(J54,I53+1)," ","§",LEN(LEFT(J54,I53+1))-LEN(SUBSTITUTE(LEFT(J54,I53+1)," ",""))))-1,IFERROR(FIND(" ",J54,I53+1)-1,LEN(J54))))))</f>
        <v>tous les côtés. Retirez-la de la cocotte et</v>
      </c>
      <c r="L54" s="6327" t="str">
        <v>tous les côtés. Retirez-la de la cocotte et</v>
      </c>
      <c r="M54" s="6329" t="str">
        <v>tous les côtés. Retirez-la de la cocotte et</v>
      </c>
      <c r="N54" t="s">
        <v>21</v>
      </c>
      <c r="O54" s="6334" t="s">
        <v>14365</v>
      </c>
      <c r="P54" s="6335" t="str">
        <f t="shared" si="24"/>
        <v>5.TEST LIGNE 18 colonne Q et ligne 20 colonne P. rechercher la cellule qui coupe le texte Dans la cocotte N°3 en fonte, faites chauffer l’huile d’olive à feu moyen. Ajoutez la viande et faites-la dorer de tous les côtés. Retirez-la de la cocotte et réservez-la.</v>
      </c>
      <c r="Q54" s="6336" t="str">
        <f t="shared" si="25"/>
        <v>5.TEST LIGNE 18 colonne Q et ligne 20 colonne P. rechercher la cellule qui coupe le texte Dans la cocotte N°3 en fonte, faites chauffer l’huile d’olive à feu moyen. Ajoutez la viande et faites-la dorer de tous les côtés. Retirez-la de la cocotte et réservez-la.</v>
      </c>
      <c r="R54" s="6336" t="str">
        <f t="shared" si="26"/>
        <v>5.TEST LIGNE 18 colonne Q et ligne 20 colonne P. rechercher la cellule qui coupe le texte Dans la cocotte N°3 en fonte, faites chauffer l’huile d’olive à feu moyen. Ajoutez la viande et faites-la dorer de tous les côtés. Retirez-la de la cocotte et réservez-la.</v>
      </c>
      <c r="S54" s="6337" t="str">
        <f t="shared" si="27"/>
        <v>5 TEST LIGNE 18 colonne Q et ligne 20 colonne P rechercher la cellule qui coupe le texte Dans la cocotte N°3 en fonte faites chauffer l’huile d’olive à feu moyen Ajoutez la viande et faites-la dorer de tous les côtés Retirez-la de la cocotte et réservez-la</v>
      </c>
      <c r="T54" s="6337" t="str">
        <f t="shared" si="28"/>
        <v>5 TEST LIGNE 18 colonne Q et ligne 20 colonne P rechercher la cellule qui coupe le texte Dans la cocotte N°3 en fonte faites chauffer l’huile d’olive à feu moyen Ajoutez la viande et faites la dorer de tous les côtés Retirez la de la cocotte et réservez la</v>
      </c>
      <c r="U54" s="6337" t="str">
        <f t="shared" si="29"/>
        <v>5 TEST LIGNE 18 colonne Q et ligne 20 colonne P rechercher la cellule qui coupe le texte Dans la cocotte N°3 en fonte faites chauffer l’huile d’olive à feu moyen Ajoutez la viande et faites la dorer de tous les côtés Retirez la de la cocotte et réservez la</v>
      </c>
      <c r="V54" s="6338" t="str">
        <f t="shared" si="30"/>
        <v>5 TEST LIGNE 18 colonne Q et ligne 20 colonne P rechercher la cellule qui coupe le texte Dans la cocotte N°3 en fonte faites chauffer l’huile d’olive à feu moyen Ajoutez la viande et faites la dorer de tous les côtés Retirez la de la cocotte et réservez la</v>
      </c>
      <c r="W54" s="6239"/>
      <c r="X54" s="6339" t="str">
        <f t="shared" si="31"/>
        <v>ligne 54 ►</v>
      </c>
      <c r="Y54" s="6340" t="str">
        <f t="shared" ref="Y54:Y101" si="35">O54</f>
        <v>5.TEST LIGNE 18 colonne Q et ligne 20 colonne P. rechercher la cellule qui coupe le texte Dans la cocotte N°3 en fonte, faites chauffer l’huile d’olive à feu moyen. Ajoutez la viande et faites-la dorer de tous les côtés. Retirez-la de la cocotte et réservez-la.</v>
      </c>
      <c r="Z54" s="6341">
        <v>5</v>
      </c>
      <c r="AB54" s="6342" t="str">
        <f t="shared" si="32"/>
        <v>ligne 54 ►</v>
      </c>
      <c r="AC54" s="6343" t="str">
        <f t="shared" ref="AC54:AC101" si="36">O54</f>
        <v>5.TEST LIGNE 18 colonne Q et ligne 20 colonne P. rechercher la cellule qui coupe le texte Dans la cocotte N°3 en fonte, faites chauffer l’huile d’olive à feu moyen. Ajoutez la viande et faites-la dorer de tous les côtés. Retirez-la de la cocotte et réservez-la.</v>
      </c>
      <c r="AD54" s="6344">
        <v>150</v>
      </c>
      <c r="AF54" s="6345" t="str" cm="1">
        <f t="array" ref="AF54">IF(SUMPRODUCT((AL54:AQ54&lt;&gt;"")*1)=0,"",SUMPRODUCT((AL54:AQ54&lt;&gt;"")*(LEN(TRIM(SUBSTITUTE(AL54:AQ54,CHAR(160)," "))) - LEN(SUBSTITUTE(TRIM(SUBSTITUTE(AL54:AQ54,CHAR(160)," "))," ","")) + 1)) &amp; " mot" &amp; IF(SUMPRODUCT((AL54:AQ54&lt;&gt;"")*(LEN(TRIM(SUBSTITUTE(AL54:AQ54,CHAR(160)," "))) - LEN(SUBSTITUTE(TRIM(SUBSTITUTE(AL54:AQ54,CHAR(160)," "))," ","")) + 1))&gt;1,"s",""))</f>
        <v>21 mots</v>
      </c>
      <c r="AG54" s="2263" t="str" cm="1">
        <f t="array" ref="AG54">SUMPRODUCT(--(AL54:AQ54&lt;&gt;""), LEN(TRIM(SUBSTITUTE(AL54:AQ54, CHAR(160), "")))) &amp; " Car."</f>
        <v>97 Car.</v>
      </c>
      <c r="AH54" s="6366" t="s">
        <v>14357</v>
      </c>
      <c r="AI54" s="6367" t="str">
        <f t="shared" si="33"/>
        <v>5.TEST LIGNE 18 colonne Q et ligne 20 colonne P. rechercher la cellule qui coupe le texte Dans la cocotte N°3 en fonte, faites chauffer l’huile d’olive à feu moyen. Ajoutez la viande et faites-la dorer de tous les côtés. Retirez-la de la cocotte et réservez-la.</v>
      </c>
      <c r="AJ54" s="6368"/>
      <c r="AK54" s="2190">
        <f>ROWS(AO50:AO54)</f>
        <v>5</v>
      </c>
      <c r="AL54" s="1942" t="str">
        <v>2=TEST LIGNE 17 ? ! : ;  colonne Q et ligne 20 colonne P. rechercher la cellule qui coupe le texte</v>
      </c>
      <c r="AM54" s="9"/>
      <c r="AN54" s="9"/>
      <c r="AO54" s="9"/>
      <c r="AP54" s="9"/>
      <c r="AQ54" s="9"/>
      <c r="AR54" s="1810"/>
      <c r="AS54" s="179" t="s">
        <v>182</v>
      </c>
      <c r="AT54" s="180">
        <f>AT51+AT52+AT53</f>
        <v>3.4722222222222224E-2</v>
      </c>
      <c r="AU54" s="9"/>
      <c r="AV54" s="103" t="s">
        <v>15</v>
      </c>
      <c r="AW54" s="163" t="str">
        <f>AW23</f>
        <v>C Coquetiers de l'Antoine | | Auteur &gt; Guy KRENZE - Eric GODDYN - Arnaud NICOLAS - CEPROC 2002</v>
      </c>
      <c r="AX54" s="163">
        <f>AX23</f>
        <v>20</v>
      </c>
      <c r="AY54" s="164" t="str">
        <f>AY23</f>
        <v>coquetiers de 25 g</v>
      </c>
      <c r="AZ54" s="165" t="str">
        <f>AZ23</f>
        <v>Recette mère ► le Boudin en 4 déclinaisons</v>
      </c>
      <c r="BA54" s="176" t="s">
        <v>14366</v>
      </c>
      <c r="BB54" s="176"/>
      <c r="BC54" s="176"/>
      <c r="BD54" s="176"/>
      <c r="BE54" s="176"/>
      <c r="BF54" s="6369" t="str">
        <f>"divisé par "&amp;BA21 &amp; " = " &amp;(BC22/BA21)*1000&amp;" g"</f>
        <v>divisé par 20 = 76.55 g</v>
      </c>
      <c r="BG54" s="6369"/>
      <c r="BH54" s="176"/>
      <c r="BI54" s="176"/>
      <c r="BJ54" s="5994" t="s">
        <v>181</v>
      </c>
      <c r="BK54" s="178">
        <v>2.0833333333333332E-2</v>
      </c>
      <c r="BL54" s="2080"/>
      <c r="BM54" s="1970"/>
      <c r="BN54" s="99"/>
      <c r="BO54" s="1809"/>
      <c r="BQ54" s="2230"/>
      <c r="BR54" s="3">
        <v>1</v>
      </c>
    </row>
    <row r="55" spans="2:70" ht="21" customHeight="1">
      <c r="B55" s="6236"/>
      <c r="C55" s="6358">
        <f t="shared" si="20"/>
        <v>100</v>
      </c>
      <c r="D55" s="6359" t="str" cm="1">
        <f t="array" ref="D55">IF(MOD(ROW()-50,14)=0,INDEX(D50:D63,MOD(ROW()-50,14)+1),E53)</f>
        <v/>
      </c>
      <c r="E55" s="6360" t="str">
        <f t="shared" si="21"/>
        <v/>
      </c>
      <c r="F55" s="6361" t="str">
        <f t="shared" si="22"/>
        <v/>
      </c>
      <c r="G55" s="6318" t="str">
        <v>Dans la cocotte N°3 en fonte, faites chauffer l’huile d’olive à feu moyen. Ajoutez la viande et</v>
      </c>
      <c r="H55" s="6323">
        <f t="shared" si="23"/>
        <v>6</v>
      </c>
      <c r="I55" s="6373"/>
      <c r="J55" s="6363" t="str">
        <f t="shared" si="34"/>
        <v>réservez-la.</v>
      </c>
      <c r="K55" s="6364" t="str">
        <f>IF(J55="","",LEFT(J55,IF(LEN(J55)&lt;=I53,LEN(J55),IFERROR(FIND("§",SUBSTITUTE(LEFT(J55,I53+1)," ","§",LEN(LEFT(J55,I53+1))-LEN(SUBSTITUTE(LEFT(J55,I53+1)," ",""))))-1,IFERROR(FIND(" ",J55,I53+1)-1,LEN(J55))))))</f>
        <v>réservez-la.</v>
      </c>
      <c r="L55" s="6327" t="str">
        <v>réservez-la.</v>
      </c>
      <c r="M55" s="6329" t="str">
        <v>réservez-la.</v>
      </c>
      <c r="N55" t="s">
        <v>21</v>
      </c>
      <c r="O55" s="6334" t="s">
        <v>14367</v>
      </c>
      <c r="P55" s="6335" t="str">
        <f t="shared" si="24"/>
        <v>6.TEST LIGNE 19 colonne Q et ligne 20 colonne P. rechercher la cellule qui coupe le texte Dans la cocotte N°3 en fonte, faites chauffer l’huile d’olive à feu moyen. Ajoutez la viande et faites-la dorer de tous les côtés. Retirez-la de la cocotte et réservez-la.</v>
      </c>
      <c r="Q55" s="6336" t="str">
        <f t="shared" si="25"/>
        <v>6.TEST LIGNE 19 colonne Q et ligne 20 colonne P. rechercher la cellule qui coupe le texte Dans la cocotte N°3 en fonte, faites chauffer l’huile d’olive à feu moyen. Ajoutez la viande et faites-la dorer de tous les côtés. Retirez-la de la cocotte et réservez-la.</v>
      </c>
      <c r="R55" s="6336" t="str">
        <f t="shared" si="26"/>
        <v>6.TEST LIGNE 19 colonne Q et ligne 20 colonne P. rechercher la cellule qui coupe le texte Dans la cocotte N°3 en fonte, faites chauffer l’huile d’olive à feu moyen. Ajoutez la viande et faites-la dorer de tous les côtés. Retirez-la de la cocotte et réservez-la.</v>
      </c>
      <c r="S55" s="6337" t="str">
        <f t="shared" si="27"/>
        <v>6 TEST LIGNE 19 colonne Q et ligne 20 colonne P rechercher la cellule qui coupe le texte Dans la cocotte N°3 en fonte faites chauffer l’huile d’olive à feu moyen Ajoutez la viande et faites-la dorer de tous les côtés Retirez-la de la cocotte et réservez-la</v>
      </c>
      <c r="T55" s="6337" t="str">
        <f t="shared" si="28"/>
        <v>6 TEST LIGNE 19 colonne Q et ligne 20 colonne P rechercher la cellule qui coupe le texte Dans la cocotte N°3 en fonte faites chauffer l’huile d’olive à feu moyen Ajoutez la viande et faites la dorer de tous les côtés Retirez la de la cocotte et réservez la</v>
      </c>
      <c r="U55" s="6337" t="str">
        <f t="shared" si="29"/>
        <v>6 TEST LIGNE 19 colonne Q et ligne 20 colonne P rechercher la cellule qui coupe le texte Dans la cocotte N°3 en fonte faites chauffer l’huile d’olive à feu moyen Ajoutez la viande et faites la dorer de tous les côtés Retirez la de la cocotte et réservez la</v>
      </c>
      <c r="V55" s="6338" t="str">
        <f t="shared" si="30"/>
        <v>6 TEST LIGNE 19 colonne Q et ligne 20 colonne P rechercher la cellule qui coupe le texte Dans la cocotte N°3 en fonte faites chauffer l’huile d’olive à feu moyen Ajoutez la viande et faites la dorer de tous les côtés Retirez la de la cocotte et réservez la</v>
      </c>
      <c r="W55" s="6239"/>
      <c r="X55" s="6339" t="str">
        <f t="shared" si="31"/>
        <v>ligne 55 ►</v>
      </c>
      <c r="Y55" s="6340" t="str">
        <f t="shared" si="35"/>
        <v>6.TEST LIGNE 19 colonne Q et ligne 20 colonne P. rechercher la cellule qui coupe le texte Dans la cocotte N°3 en fonte, faites chauffer l’huile d’olive à feu moyen. Ajoutez la viande et faites-la dorer de tous les côtés. Retirez-la de la cocotte et réservez-la.</v>
      </c>
      <c r="Z55" s="6341">
        <v>5</v>
      </c>
      <c r="AB55" s="6342" t="str">
        <f t="shared" si="32"/>
        <v>ligne 55 ►</v>
      </c>
      <c r="AC55" s="6343" t="str">
        <f t="shared" si="36"/>
        <v>6.TEST LIGNE 19 colonne Q et ligne 20 colonne P. rechercher la cellule qui coupe le texte Dans la cocotte N°3 en fonte, faites chauffer l’huile d’olive à feu moyen. Ajoutez la viande et faites-la dorer de tous les côtés. Retirez-la de la cocotte et réservez-la.</v>
      </c>
      <c r="AD55" s="6344">
        <v>150</v>
      </c>
      <c r="AF55" s="6345" t="str" cm="1">
        <f t="array" ref="AF55">IF(SUMPRODUCT((AL55:AQ55&lt;&gt;"")*1)=0,"",SUMPRODUCT((AL55:AQ55&lt;&gt;"")*(LEN(TRIM(SUBSTITUTE(AL55:AQ55,CHAR(160)," "))) - LEN(SUBSTITUTE(TRIM(SUBSTITUTE(AL55:AQ55,CHAR(160)," "))," ","")) + 1)) &amp; " mot" &amp; IF(SUMPRODUCT((AL55:AQ55&lt;&gt;"")*(LEN(TRIM(SUBSTITUTE(AL55:AQ55,CHAR(160)," "))) - LEN(SUBSTITUTE(TRIM(SUBSTITUTE(AL55:AQ55,CHAR(160)," "))," ","")) + 1))&gt;1,"s",""))</f>
        <v>17 mots</v>
      </c>
      <c r="AG55" s="2263" t="str" cm="1">
        <f t="array" ref="AG55">SUMPRODUCT(--(AL55:AS55&lt;&gt;""), LEN(TRIM(SUBSTITUTE(AL55:AS55, CHAR(160), "")))) &amp; " Car."</f>
        <v>95 Car.</v>
      </c>
      <c r="AH55" s="6366" t="s">
        <v>14368</v>
      </c>
      <c r="AI55" s="6367" t="str">
        <f t="shared" si="33"/>
        <v>6.TEST LIGNE 19 colonne Q et ligne 20 colonne P. rechercher la cellule qui coupe le texte Dans la cocotte N°3 en fonte, faites chauffer l’huile d’olive à feu moyen. Ajoutez la viande et faites-la dorer de tous les côtés. Retirez-la de la cocotte et réservez-la.</v>
      </c>
      <c r="AJ55" s="6368"/>
      <c r="AK55" s="2190">
        <f>ROWS(AO50:AO55)</f>
        <v>6</v>
      </c>
      <c r="AL55" s="1942" t="str">
        <v>Dans la cocotte N°3 en fonte, faites chauffer l’huile d’olive à feu moyen. Ajoutez la viande et</v>
      </c>
      <c r="AM55" s="9"/>
      <c r="AN55" s="9"/>
      <c r="AO55" s="9"/>
      <c r="AP55" s="9"/>
      <c r="AQ55" s="9"/>
      <c r="AR55" s="9"/>
      <c r="AS55" s="9"/>
      <c r="AT55" s="592"/>
      <c r="AU55" s="9"/>
      <c r="AV55" s="103" t="s">
        <v>15</v>
      </c>
      <c r="AW55" s="163" t="str">
        <f>AW23</f>
        <v>C Coquetiers de l'Antoine | | Auteur &gt; Guy KRENZE - Eric GODDYN - Arnaud NICOLAS - CEPROC 2002</v>
      </c>
      <c r="AX55" s="163">
        <f>AX23</f>
        <v>20</v>
      </c>
      <c r="AY55" s="164" t="str">
        <f>AY23</f>
        <v>coquetiers de 25 g</v>
      </c>
      <c r="AZ55" s="165" t="str">
        <f>AZ23</f>
        <v>Recette mère ► le Boudin en 4 déclinaisons</v>
      </c>
      <c r="BA55" s="176" t="s">
        <v>14369</v>
      </c>
      <c r="BB55" s="176"/>
      <c r="BC55" s="176"/>
      <c r="BD55" s="176"/>
      <c r="BE55" s="176"/>
      <c r="BF55" s="176"/>
      <c r="BG55" s="176"/>
      <c r="BH55" s="176"/>
      <c r="BI55" s="176"/>
      <c r="BJ55" s="6374" t="s">
        <v>182</v>
      </c>
      <c r="BK55" s="180">
        <f>BK52+BK53+BK54</f>
        <v>3.4722222222222224E-2</v>
      </c>
      <c r="BL55" s="2080"/>
      <c r="BM55" s="1970"/>
      <c r="BN55" s="99"/>
      <c r="BO55" s="1809"/>
      <c r="BQ55" s="2230"/>
      <c r="BR55" s="3">
        <v>1</v>
      </c>
    </row>
    <row r="56" spans="2:70" ht="21" customHeight="1">
      <c r="B56" s="6236"/>
      <c r="C56" s="6358">
        <f t="shared" si="20"/>
        <v>100</v>
      </c>
      <c r="D56" s="6359" t="str" cm="1">
        <f t="array" ref="D56">IF(MOD(ROW()-50,14)=0,INDEX(D50:D63,MOD(ROW()-50,14)+1),E54)</f>
        <v/>
      </c>
      <c r="E56" s="6360" t="str">
        <f t="shared" si="21"/>
        <v/>
      </c>
      <c r="F56" s="6361" t="str">
        <f t="shared" si="22"/>
        <v/>
      </c>
      <c r="G56" s="6318" t="str">
        <v>faites-la dorer de tous les côtés. Retirez-la de la cocotte et réservez-la.</v>
      </c>
      <c r="H56" s="6323" t="str">
        <f t="shared" si="23"/>
        <v/>
      </c>
      <c r="I56" s="6373"/>
      <c r="J56" s="6363" t="str">
        <f t="shared" si="34"/>
        <v/>
      </c>
      <c r="K56" s="6364" t="str">
        <f>IF(J56="","",LEFT(J56,IF(LEN(J56)&lt;=I53,LEN(J56),IFERROR(FIND("§",SUBSTITUTE(LEFT(J56,I53+1)," ","§",LEN(LEFT(J56,I53+1))-LEN(SUBSTITUTE(LEFT(J56,I53+1)," ",""))))-1,IFERROR(FIND(" ",J56,I53+1)-1,LEN(J56))))))</f>
        <v/>
      </c>
      <c r="L56" s="6327"/>
      <c r="M56" s="6329" t="str">
        <v>2=TEST LIGNE 17 ? ! : ;  colonne Q et ligne 20 colonne</v>
      </c>
      <c r="N56" t="s">
        <v>21</v>
      </c>
      <c r="O56" s="6334" t="s">
        <v>14370</v>
      </c>
      <c r="P56" s="6335" t="str">
        <f t="shared" si="24"/>
        <v>7..TEST LIGNE 19 colonne Q et ligne 20 colonne P. rechercher la cellule qui coupe le texte Dans la cocotte N°3 en fonte, faites chauffer l’huile d’olive à feu moyen. Ajoutez la viande et faites-la dorer de tous les côtés. Retirez-la de la cocotte et réservez-la.</v>
      </c>
      <c r="Q56" s="6336" t="str">
        <f t="shared" si="25"/>
        <v>7..TEST LIGNE 19 colonne Q et ligne 20 colonne P. rechercher la cellule qui coupe le texte Dans la cocotte N°3 en fonte, faites chauffer l’huile d’olive à feu moyen. Ajoutez la viande et faites-la dorer de tous les côtés. Retirez-la de la cocotte et réservez-la.</v>
      </c>
      <c r="R56" s="6336" t="str">
        <f t="shared" si="26"/>
        <v>7..TEST LIGNE 19 colonne Q et ligne 20 colonne P. rechercher la cellule qui coupe le texte Dans la cocotte N°3 en fonte, faites chauffer l’huile d’olive à feu moyen. Ajoutez la viande et faites-la dorer de tous les côtés. Retirez-la de la cocotte et réservez-la.</v>
      </c>
      <c r="S56" s="6337" t="str">
        <f t="shared" si="27"/>
        <v>7 TEST LIGNE 19 colonne Q et ligne 20 colonne P rechercher la cellule qui coupe le texte Dans la cocotte N°3 en fonte faites chauffer l’huile d’olive à feu moyen Ajoutez la viande et faites-la dorer de tous les côtés Retirez-la de la cocotte et réservez-la</v>
      </c>
      <c r="T56" s="6337" t="str">
        <f t="shared" si="28"/>
        <v>7 TEST LIGNE 19 colonne Q et ligne 20 colonne P rechercher la cellule qui coupe le texte Dans la cocotte N°3 en fonte faites chauffer l’huile d’olive à feu moyen Ajoutez la viande et faites la dorer de tous les côtés Retirez la de la cocotte et réservez la</v>
      </c>
      <c r="U56" s="6337" t="str">
        <f t="shared" si="29"/>
        <v>7 TEST LIGNE 19 colonne Q et ligne 20 colonne P rechercher la cellule qui coupe le texte Dans la cocotte N°3 en fonte faites chauffer l’huile d’olive à feu moyen Ajoutez la viande et faites la dorer de tous les côtés Retirez la de la cocotte et réservez la</v>
      </c>
      <c r="V56" s="6338" t="str">
        <f t="shared" si="30"/>
        <v>7 TEST LIGNE 19 colonne Q et ligne 20 colonne P rechercher la cellule qui coupe le texte Dans la cocotte N°3 en fonte faites chauffer l’huile d’olive à feu moyen Ajoutez la viande et faites la dorer de tous les côtés Retirez la de la cocotte et réservez la</v>
      </c>
      <c r="W56" s="6239"/>
      <c r="X56" s="6339" t="str">
        <f t="shared" si="31"/>
        <v>ligne 56 ►</v>
      </c>
      <c r="Y56" s="6340" t="str">
        <f t="shared" si="35"/>
        <v>7..TEST LIGNE 19 colonne Q et ligne 20 colonne P. rechercher la cellule qui coupe le texte Dans la cocotte N°3 en fonte, faites chauffer l’huile d’olive à feu moyen. Ajoutez la viande et faites-la dorer de tous les côtés. Retirez-la de la cocotte et réservez-la.</v>
      </c>
      <c r="Z56" s="6341">
        <v>5</v>
      </c>
      <c r="AB56" s="6342" t="str">
        <f t="shared" si="32"/>
        <v>ligne 56 ►</v>
      </c>
      <c r="AC56" s="6343" t="str">
        <f t="shared" si="36"/>
        <v>7..TEST LIGNE 19 colonne Q et ligne 20 colonne P. rechercher la cellule qui coupe le texte Dans la cocotte N°3 en fonte, faites chauffer l’huile d’olive à feu moyen. Ajoutez la viande et faites-la dorer de tous les côtés. Retirez-la de la cocotte et réservez-la.</v>
      </c>
      <c r="AD56" s="6344">
        <v>150</v>
      </c>
      <c r="AF56" s="6345" t="str" cm="1">
        <f t="array" ref="AF56">IF(SUMPRODUCT((AL56:AQ56&lt;&gt;"")*1)=0,"",SUMPRODUCT((AL56:AQ56&lt;&gt;"")*(LEN(TRIM(SUBSTITUTE(AL56:AQ56,CHAR(160)," "))) - LEN(SUBSTITUTE(TRIM(SUBSTITUTE(AL56:AQ56,CHAR(160)," "))," ","")) + 1)) &amp; " mot" &amp; IF(SUMPRODUCT((AL56:AQ56&lt;&gt;"")*(LEN(TRIM(SUBSTITUTE(AL56:AQ56,CHAR(160)," "))) - LEN(SUBSTITUTE(TRIM(SUBSTITUTE(AL56:AQ56,CHAR(160)," "))," ","")) + 1))&gt;1,"s",""))</f>
        <v>12 mots</v>
      </c>
      <c r="AG56" s="2263" t="str" cm="1">
        <f t="array" ref="AG56">SUMPRODUCT(--(AL56:AS56&lt;&gt;""), LEN(TRIM(SUBSTITUTE(AL56:AS56, CHAR(160), "")))) &amp; " Car."</f>
        <v>75 Car.</v>
      </c>
      <c r="AH56" s="6366" t="s">
        <v>14368</v>
      </c>
      <c r="AI56" s="6367" t="str">
        <f t="shared" si="33"/>
        <v>7..TEST LIGNE 19 colonne Q et ligne 20 colonne P. rechercher la cellule qui coupe le texte Dans la cocotte N°3 en fonte, faites chauffer l’huile d’olive à feu moyen. Ajoutez la viande et faites-la dorer de tous les côtés. Retirez-la de la cocotte et réservez-la.</v>
      </c>
      <c r="AJ56" s="6368"/>
      <c r="AK56" s="2190">
        <f>ROWS(AO50:AO56)</f>
        <v>7</v>
      </c>
      <c r="AL56" s="1942" t="str">
        <v>faites-la dorer de tous les côtés. Retirez-la de la cocotte et réservez-la.</v>
      </c>
      <c r="AM56" s="9"/>
      <c r="AN56" s="9"/>
      <c r="AO56" s="9"/>
      <c r="AP56" s="9"/>
      <c r="AQ56" s="9"/>
      <c r="AR56" s="9"/>
      <c r="AS56" s="9"/>
      <c r="AT56" s="592"/>
      <c r="AU56" s="9"/>
      <c r="AV56" s="103" t="s">
        <v>15</v>
      </c>
      <c r="AW56" s="163" t="str">
        <f>AW23</f>
        <v>C Coquetiers de l'Antoine | | Auteur &gt; Guy KRENZE - Eric GODDYN - Arnaud NICOLAS - CEPROC 2002</v>
      </c>
      <c r="AX56" s="163">
        <f>AX23</f>
        <v>20</v>
      </c>
      <c r="AY56" s="164" t="str">
        <f>AY23</f>
        <v>coquetiers de 25 g</v>
      </c>
      <c r="AZ56" s="165" t="str">
        <f>AZ23</f>
        <v>Recette mère ► le Boudin en 4 déclinaisons</v>
      </c>
      <c r="BA56" s="176" t="s">
        <v>14371</v>
      </c>
      <c r="BB56" s="176"/>
      <c r="BC56" s="176"/>
      <c r="BD56" s="176"/>
      <c r="BE56" s="176"/>
      <c r="BF56" s="176"/>
      <c r="BG56" s="176"/>
      <c r="BH56" s="176"/>
      <c r="BI56" s="176"/>
      <c r="BJ56" s="176"/>
      <c r="BK56" s="520"/>
      <c r="BL56" s="2080"/>
      <c r="BM56" s="1970"/>
      <c r="BN56" s="99"/>
      <c r="BO56" s="1809"/>
      <c r="BQ56" s="2230"/>
      <c r="BR56" s="3">
        <v>1</v>
      </c>
    </row>
    <row r="57" spans="2:70" ht="21" customHeight="1">
      <c r="B57" s="6236"/>
      <c r="C57" s="6358">
        <f t="shared" si="20"/>
        <v>100</v>
      </c>
      <c r="D57" s="6359" t="str" cm="1">
        <f t="array" ref="D57">IF(MOD(ROW()-50,14)=0,INDEX(D50:D63,MOD(ROW()-50,14)+1),E55)</f>
        <v/>
      </c>
      <c r="E57" s="6360" t="str">
        <f t="shared" si="21"/>
        <v/>
      </c>
      <c r="F57" s="6361" t="str">
        <f t="shared" si="22"/>
        <v/>
      </c>
      <c r="G57" s="6318" t="str">
        <v>3.TEST LIGNE 16 colonne Q et ligne 20 colonne P. rechercher la cellule qui coupe le texte Dans la cocotte N°3 en fonte, faites chauffer l’huile</v>
      </c>
      <c r="H57" s="6323" t="str">
        <f t="shared" si="23"/>
        <v/>
      </c>
      <c r="I57" s="6373"/>
      <c r="J57" s="6363" t="str">
        <f t="shared" si="34"/>
        <v/>
      </c>
      <c r="K57" s="6364" t="str">
        <f>IF(J57="","",LEFT(J57,IF(LEN(J57)&lt;=I53,LEN(J57),IFERROR(FIND("§",SUBSTITUTE(LEFT(J57,I53+1)," ","§",LEN(LEFT(J57,I53+1))-LEN(SUBSTITUTE(LEFT(J57,I53+1)," ",""))))-1,IFERROR(FIND(" ",J57,I53+1)-1,LEN(J57))))))</f>
        <v/>
      </c>
      <c r="L57" s="6327"/>
      <c r="M57" s="6329" t="str">
        <v>P. rechercher la cellule qui coupe le texte Dans la</v>
      </c>
      <c r="N57" t="s">
        <v>21</v>
      </c>
      <c r="O57" s="6334" t="s">
        <v>14372</v>
      </c>
      <c r="P57" s="6335" t="str">
        <f t="shared" si="24"/>
        <v>8..TEST LIGNE 19 colonne Q et ligne 20 colonne P. rechercher la cellule qui coupe le texte Dans la cocotte N°3 en fonte, faites chauffer l’huile d’olive à feu moyen. Ajoutez la viande et faites-la dorer de tous les côtés. Retirez-la de la cocotte et réservez-la.</v>
      </c>
      <c r="Q57" s="6336" t="str">
        <f t="shared" si="25"/>
        <v>8..TEST LIGNE 19 colonne Q et ligne 20 colonne P. rechercher la cellule qui coupe le texte Dans la cocotte N°3 en fonte, faites chauffer l’huile d’olive à feu moyen. Ajoutez la viande et faites-la dorer de tous les côtés. Retirez-la de la cocotte et réservez-la.</v>
      </c>
      <c r="R57" s="6336" t="str">
        <f t="shared" si="26"/>
        <v>8..TEST LIGNE 19 colonne Q et ligne 20 colonne P. rechercher la cellule qui coupe le texte Dans la cocotte N°3 en fonte, faites chauffer l’huile d’olive à feu moyen. Ajoutez la viande et faites-la dorer de tous les côtés. Retirez-la de la cocotte et réservez-la.</v>
      </c>
      <c r="S57" s="6337" t="str">
        <f t="shared" si="27"/>
        <v>8 TEST LIGNE 19 colonne Q et ligne 20 colonne P rechercher la cellule qui coupe le texte Dans la cocotte N°3 en fonte faites chauffer l’huile d’olive à feu moyen Ajoutez la viande et faites-la dorer de tous les côtés Retirez-la de la cocotte et réservez-la</v>
      </c>
      <c r="T57" s="6337" t="str">
        <f t="shared" si="28"/>
        <v>8 TEST LIGNE 19 colonne Q et ligne 20 colonne P rechercher la cellule qui coupe le texte Dans la cocotte N°3 en fonte faites chauffer l’huile d’olive à feu moyen Ajoutez la viande et faites la dorer de tous les côtés Retirez la de la cocotte et réservez la</v>
      </c>
      <c r="U57" s="6337" t="str">
        <f t="shared" si="29"/>
        <v>8 TEST LIGNE 19 colonne Q et ligne 20 colonne P rechercher la cellule qui coupe le texte Dans la cocotte N°3 en fonte faites chauffer l’huile d’olive à feu moyen Ajoutez la viande et faites la dorer de tous les côtés Retirez la de la cocotte et réservez la</v>
      </c>
      <c r="V57" s="6338" t="str">
        <f t="shared" si="30"/>
        <v>8 TEST LIGNE 19 colonne Q et ligne 20 colonne P rechercher la cellule qui coupe le texte Dans la cocotte N°3 en fonte faites chauffer l’huile d’olive à feu moyen Ajoutez la viande et faites la dorer de tous les côtés Retirez la de la cocotte et réservez la</v>
      </c>
      <c r="W57" s="6239"/>
      <c r="X57" s="6339" t="str">
        <f t="shared" si="31"/>
        <v>ligne 57 ►</v>
      </c>
      <c r="Y57" s="6340" t="str">
        <f t="shared" si="35"/>
        <v>8..TEST LIGNE 19 colonne Q et ligne 20 colonne P. rechercher la cellule qui coupe le texte Dans la cocotte N°3 en fonte, faites chauffer l’huile d’olive à feu moyen. Ajoutez la viande et faites-la dorer de tous les côtés. Retirez-la de la cocotte et réservez-la.</v>
      </c>
      <c r="Z57" s="6341">
        <v>5</v>
      </c>
      <c r="AB57" s="6342" t="str">
        <f t="shared" si="32"/>
        <v>ligne 57 ►</v>
      </c>
      <c r="AC57" s="6343" t="str">
        <f t="shared" si="36"/>
        <v>8..TEST LIGNE 19 colonne Q et ligne 20 colonne P. rechercher la cellule qui coupe le texte Dans la cocotte N°3 en fonte, faites chauffer l’huile d’olive à feu moyen. Ajoutez la viande et faites-la dorer de tous les côtés. Retirez-la de la cocotte et réservez-la.</v>
      </c>
      <c r="AD57" s="6344">
        <v>150</v>
      </c>
      <c r="AF57" s="6345" t="str" cm="1">
        <f t="array" ref="AF57">IF(SUMPRODUCT((AL57:AQ57&lt;&gt;"")*1)=0,"",SUMPRODUCT((AL57:AQ57&lt;&gt;"")*(LEN(TRIM(SUBSTITUTE(AL57:AQ57,CHAR(160)," "))) - LEN(SUBSTITUTE(TRIM(SUBSTITUTE(AL57:AQ57,CHAR(160)," "))," ","")) + 1)) &amp; " mot" &amp; IF(SUMPRODUCT((AL57:AQ57&lt;&gt;"")*(LEN(TRIM(SUBSTITUTE(AL57:AQ57,CHAR(160)," "))) - LEN(SUBSTITUTE(TRIM(SUBSTITUTE(AL57:AQ57,CHAR(160)," "))," ","")) + 1))&gt;1,"s",""))</f>
        <v>26 mots</v>
      </c>
      <c r="AG57" s="2263" t="str" cm="1">
        <f t="array" ref="AG57">SUMPRODUCT(--(AL57:AS57&lt;&gt;""), LEN(TRIM(SUBSTITUTE(AL57:AS57, CHAR(160), "")))) &amp; " Car."</f>
        <v>143 Car.</v>
      </c>
      <c r="AH57" s="6366" t="s">
        <v>14368</v>
      </c>
      <c r="AI57" s="6367" t="str">
        <f t="shared" si="33"/>
        <v>8..TEST LIGNE 19 colonne Q et ligne 20 colonne P. rechercher la cellule qui coupe le texte Dans la cocotte N°3 en fonte, faites chauffer l’huile d’olive à feu moyen. Ajoutez la viande et faites-la dorer de tous les côtés. Retirez-la de la cocotte et réservez-la.</v>
      </c>
      <c r="AJ57" s="6368"/>
      <c r="AK57" s="2190">
        <f>ROWS(AO50:AO57)</f>
        <v>8</v>
      </c>
      <c r="AL57" s="1942" t="str">
        <v>3.TEST LIGNE 16 colonne Q et ligne 20 colonne P. rechercher la cellule qui coupe le texte Dans la cocotte N°3 en fonte, faites chauffer l’huile</v>
      </c>
      <c r="AM57" s="9"/>
      <c r="AN57" s="9"/>
      <c r="AO57" s="9"/>
      <c r="AP57" s="9"/>
      <c r="AQ57" s="9"/>
      <c r="AR57" s="9"/>
      <c r="AS57" s="9"/>
      <c r="AT57" s="592"/>
      <c r="AU57" s="9"/>
      <c r="AV57" s="103" t="str">
        <f t="shared" ref="AV57:AV61" si="37">IF(OR(BA57&lt;&gt;"",BB57&lt;&gt; "",BC57&lt;&gt;"",BD57&lt;&gt;""),"A", "►")</f>
        <v>A</v>
      </c>
      <c r="AW57" s="163" t="str">
        <f>AW23</f>
        <v>C Coquetiers de l'Antoine | | Auteur &gt; Guy KRENZE - Eric GODDYN - Arnaud NICOLAS - CEPROC 2002</v>
      </c>
      <c r="AX57" s="163">
        <f>AX23</f>
        <v>20</v>
      </c>
      <c r="AY57" s="164" t="str">
        <f>AY23</f>
        <v>coquetiers de 25 g</v>
      </c>
      <c r="AZ57" s="165" t="str">
        <f>AZ23</f>
        <v>Recette mère ► le Boudin en 4 déclinaisons</v>
      </c>
      <c r="BA57" s="176" t="s">
        <v>14373</v>
      </c>
      <c r="BB57" s="176"/>
      <c r="BC57" s="176"/>
      <c r="BD57" s="176"/>
      <c r="BE57" s="176"/>
      <c r="BF57" s="176"/>
      <c r="BG57" s="176"/>
      <c r="BH57" s="176"/>
      <c r="BI57" s="176"/>
      <c r="BJ57" s="176"/>
      <c r="BK57" s="520"/>
      <c r="BL57" s="2080"/>
      <c r="BM57" s="1970"/>
      <c r="BN57" s="99"/>
      <c r="BO57" s="1809"/>
      <c r="BQ57" s="2230"/>
      <c r="BR57" s="3">
        <v>1</v>
      </c>
    </row>
    <row r="58" spans="2:70" ht="21" customHeight="1">
      <c r="B58" s="6236"/>
      <c r="C58" s="6358">
        <f t="shared" si="20"/>
        <v>100</v>
      </c>
      <c r="D58" s="6359" t="str" cm="1">
        <f t="array" ref="D58">IF(MOD(ROW()-50,14)=0,INDEX(D50:D63,MOD(ROW()-50,14)+1),E56)</f>
        <v/>
      </c>
      <c r="E58" s="6360" t="str">
        <f t="shared" si="21"/>
        <v/>
      </c>
      <c r="F58" s="6361" t="str">
        <f t="shared" si="22"/>
        <v/>
      </c>
      <c r="G58" s="6318" t="str">
        <v>d’olive à feu moyen. Ajoutez la viande et faites-la dorer de tous les côtés. Retirez-la de la cocotte et réservez-la.</v>
      </c>
      <c r="H58" s="6323" t="str">
        <f t="shared" si="23"/>
        <v/>
      </c>
      <c r="I58" s="6373"/>
      <c r="J58" s="6363" t="str">
        <f t="shared" si="34"/>
        <v/>
      </c>
      <c r="K58" s="6364" t="str">
        <f>IF(J58="","",LEFT(J58,IF(LEN(J58)&lt;=I53,LEN(J58),IFERROR(FIND("§",SUBSTITUTE(LEFT(J58,I53+1)," ","§",LEN(LEFT(J58,I53+1))-LEN(SUBSTITUTE(LEFT(J58,I53+1)," ",""))))-1,IFERROR(FIND(" ",J58,I53+1)-1,LEN(J58))))))</f>
        <v/>
      </c>
      <c r="L58" s="6327"/>
      <c r="M58" s="6329" t="str">
        <v>cocotte N°3 en fonte, faites chauffer l’huile d’olive</v>
      </c>
      <c r="N58" t="s">
        <v>21</v>
      </c>
      <c r="O58" s="6334" t="s">
        <v>14374</v>
      </c>
      <c r="P58" s="6335" t="str">
        <f t="shared" si="24"/>
        <v>9.TEST LIGNE 19 colonne Q et ligne 20 colonne P. rechercher la cellule qui coupe le texte Dans la cocotte N°3 en fonte, faites chauffer l’huile d’olive à feu moyen. Ajoutez la viande et faites-la dorer de tous les côtés. Retirez-la de la cocotte et réservez-la.</v>
      </c>
      <c r="Q58" s="6336" t="str">
        <f t="shared" si="25"/>
        <v>9.TEST LIGNE 19 colonne Q et ligne 20 colonne P. rechercher la cellule qui coupe le texte Dans la cocotte N°3 en fonte, faites chauffer l’huile d’olive à feu moyen. Ajoutez la viande et faites-la dorer de tous les côtés. Retirez-la de la cocotte et réservez-la.</v>
      </c>
      <c r="R58" s="6336" t="str">
        <f t="shared" si="26"/>
        <v>9.TEST LIGNE 19 colonne Q et ligne 20 colonne P. rechercher la cellule qui coupe le texte Dans la cocotte N°3 en fonte, faites chauffer l’huile d’olive à feu moyen. Ajoutez la viande et faites-la dorer de tous les côtés. Retirez-la de la cocotte et réservez-la.</v>
      </c>
      <c r="S58" s="6337" t="str">
        <f t="shared" si="27"/>
        <v>9 TEST LIGNE 19 colonne Q et ligne 20 colonne P rechercher la cellule qui coupe le texte Dans la cocotte N°3 en fonte faites chauffer l’huile d’olive à feu moyen Ajoutez la viande et faites-la dorer de tous les côtés Retirez-la de la cocotte et réservez-la</v>
      </c>
      <c r="T58" s="6337" t="str">
        <f t="shared" si="28"/>
        <v>9 TEST LIGNE 19 colonne Q et ligne 20 colonne P rechercher la cellule qui coupe le texte Dans la cocotte N°3 en fonte faites chauffer l’huile d’olive à feu moyen Ajoutez la viande et faites la dorer de tous les côtés Retirez la de la cocotte et réservez la</v>
      </c>
      <c r="U58" s="6337" t="str">
        <f t="shared" si="29"/>
        <v>9 TEST LIGNE 19 colonne Q et ligne 20 colonne P rechercher la cellule qui coupe le texte Dans la cocotte N°3 en fonte faites chauffer l’huile d’olive à feu moyen Ajoutez la viande et faites la dorer de tous les côtés Retirez la de la cocotte et réservez la</v>
      </c>
      <c r="V58" s="6338" t="str">
        <f t="shared" si="30"/>
        <v>9 TEST LIGNE 19 colonne Q et ligne 20 colonne P rechercher la cellule qui coupe le texte Dans la cocotte N°3 en fonte faites chauffer l’huile d’olive à feu moyen Ajoutez la viande et faites la dorer de tous les côtés Retirez la de la cocotte et réservez la</v>
      </c>
      <c r="W58" s="6239"/>
      <c r="X58" s="6339" t="str">
        <f t="shared" si="31"/>
        <v>ligne 58 ►</v>
      </c>
      <c r="Y58" s="6340" t="str">
        <f t="shared" si="35"/>
        <v>9.TEST LIGNE 19 colonne Q et ligne 20 colonne P. rechercher la cellule qui coupe le texte Dans la cocotte N°3 en fonte, faites chauffer l’huile d’olive à feu moyen. Ajoutez la viande et faites-la dorer de tous les côtés. Retirez-la de la cocotte et réservez-la.</v>
      </c>
      <c r="Z58" s="6341">
        <v>5</v>
      </c>
      <c r="AB58" s="6342" t="str">
        <f t="shared" si="32"/>
        <v>ligne 58 ►</v>
      </c>
      <c r="AC58" s="6343" t="str">
        <f t="shared" si="36"/>
        <v>9.TEST LIGNE 19 colonne Q et ligne 20 colonne P. rechercher la cellule qui coupe le texte Dans la cocotte N°3 en fonte, faites chauffer l’huile d’olive à feu moyen. Ajoutez la viande et faites-la dorer de tous les côtés. Retirez-la de la cocotte et réservez-la.</v>
      </c>
      <c r="AD58" s="6344">
        <v>150</v>
      </c>
      <c r="AF58" s="6345" t="str" cm="1">
        <f t="array" ref="AF58">IF(SUMPRODUCT((AL58:AQ58&lt;&gt;"")*1)=0,"",SUMPRODUCT((AL58:AQ58&lt;&gt;"")*(LEN(TRIM(SUBSTITUTE(AL58:AQ58,CHAR(160)," "))) - LEN(SUBSTITUTE(TRIM(SUBSTITUTE(AL58:AQ58,CHAR(160)," "))," ","")) + 1)) &amp; " mot" &amp; IF(SUMPRODUCT((AL58:AQ58&lt;&gt;"")*(LEN(TRIM(SUBSTITUTE(AL58:AQ58,CHAR(160)," "))) - LEN(SUBSTITUTE(TRIM(SUBSTITUTE(AL58:AQ58,CHAR(160)," "))," ","")) + 1))&gt;1,"s",""))</f>
        <v>20 mots</v>
      </c>
      <c r="AG58" s="2263" t="str" cm="1">
        <f t="array" ref="AG58">SUMPRODUCT(--(AL58:AS58&lt;&gt;""), LEN(TRIM(SUBSTITUTE(AL58:AS58, CHAR(160), "")))) &amp; " Car."</f>
        <v>117 Car.</v>
      </c>
      <c r="AH58" s="6366" t="s">
        <v>14368</v>
      </c>
      <c r="AI58" s="6367" t="str">
        <f t="shared" si="33"/>
        <v>9.TEST LIGNE 19 colonne Q et ligne 20 colonne P. rechercher la cellule qui coupe le texte Dans la cocotte N°3 en fonte, faites chauffer l’huile d’olive à feu moyen. Ajoutez la viande et faites-la dorer de tous les côtés. Retirez-la de la cocotte et réservez-la.</v>
      </c>
      <c r="AJ58" s="6368"/>
      <c r="AK58" s="2190">
        <f>ROWS(AO50:AO58)</f>
        <v>9</v>
      </c>
      <c r="AL58" s="1942" t="str">
        <v>d’olive à feu moyen. Ajoutez la viande et faites-la dorer de tous les côtés. Retirez-la de la cocotte et réservez-la.</v>
      </c>
      <c r="AM58" s="9"/>
      <c r="AN58" s="9"/>
      <c r="AO58" s="9"/>
      <c r="AP58" s="9"/>
      <c r="AQ58" s="9"/>
      <c r="AR58" s="9"/>
      <c r="AS58" s="9"/>
      <c r="AT58" s="592"/>
      <c r="AU58" s="9"/>
      <c r="AV58" s="103" t="str">
        <f t="shared" si="37"/>
        <v>A</v>
      </c>
      <c r="AW58" s="163" t="str">
        <f>AW23</f>
        <v>C Coquetiers de l'Antoine | | Auteur &gt; Guy KRENZE - Eric GODDYN - Arnaud NICOLAS - CEPROC 2002</v>
      </c>
      <c r="AX58" s="163">
        <f>AX23</f>
        <v>20</v>
      </c>
      <c r="AY58" s="164" t="str">
        <f>AY23</f>
        <v>coquetiers de 25 g</v>
      </c>
      <c r="AZ58" s="165" t="str">
        <f>AZ23</f>
        <v>Recette mère ► le Boudin en 4 déclinaisons</v>
      </c>
      <c r="BA58" s="176" t="s">
        <v>14375</v>
      </c>
      <c r="BB58" s="176"/>
      <c r="BC58" s="176"/>
      <c r="BD58" s="176"/>
      <c r="BE58" s="176"/>
      <c r="BF58" s="176"/>
      <c r="BG58" s="176"/>
      <c r="BH58" s="176"/>
      <c r="BI58" s="176"/>
      <c r="BJ58" s="176"/>
      <c r="BK58" s="520"/>
      <c r="BL58" s="2080"/>
      <c r="BM58" s="1970"/>
      <c r="BN58" s="99"/>
      <c r="BO58" s="1809"/>
      <c r="BQ58" s="2230"/>
      <c r="BR58" s="3">
        <v>1</v>
      </c>
    </row>
    <row r="59" spans="2:70" ht="21" customHeight="1">
      <c r="B59" s="6236"/>
      <c r="C59" s="6358">
        <f t="shared" si="20"/>
        <v>100</v>
      </c>
      <c r="D59" s="6359" t="str" cm="1">
        <f t="array" ref="D59">IF(MOD(ROW()-50,14)=0,INDEX(D50:D63,MOD(ROW()-50,14)+1),E57)</f>
        <v/>
      </c>
      <c r="E59" s="6360" t="str">
        <f t="shared" si="21"/>
        <v/>
      </c>
      <c r="F59" s="6361" t="str">
        <f t="shared" si="22"/>
        <v/>
      </c>
      <c r="G59" s="6318" t="str">
        <v>4.TEST LIGNE 17 colonne Q et ligne 20 colonne P. rechercher la cellule qui coupe le texte Dans la cocotte N°3 en fonte, faites chauffer l’huile</v>
      </c>
      <c r="H59" s="6323" t="str">
        <f t="shared" si="23"/>
        <v/>
      </c>
      <c r="I59" s="6373"/>
      <c r="J59" s="6363" t="str">
        <f t="shared" si="34"/>
        <v/>
      </c>
      <c r="K59" s="6364" t="str">
        <f>IF(J59="","",LEFT(J59,IF(LEN(J59)&lt;=I53,LEN(J59),IFERROR(FIND("§",SUBSTITUTE(LEFT(J59,I53+1)," ","§",LEN(LEFT(J59,I53+1))-LEN(SUBSTITUTE(LEFT(J59,I53+1)," ",""))))-1,IFERROR(FIND(" ",J59,I53+1)-1,LEN(J59))))))</f>
        <v/>
      </c>
      <c r="L59" s="6327"/>
      <c r="M59" s="6329" t="str">
        <v>à feu moyen. Ajoutez la viande et faites-la dorer de</v>
      </c>
      <c r="N59" t="s">
        <v>21</v>
      </c>
      <c r="O59" s="6334" t="s">
        <v>14376</v>
      </c>
      <c r="P59" s="6335" t="str">
        <f t="shared" si="24"/>
        <v>10.TEST LIGNE 19 colonne Q et ligne 20 colonne P. rechercher la cellule qui coupe le texte Dans la cocotte N°3 en fonte, faites chauffer l’huile d’olive à feu moyen. Ajoutez la viande et faites-la dorer de tous les côtés. Retirez-la de la cocotte et réservez-la.</v>
      </c>
      <c r="Q59" s="6336" t="str">
        <f t="shared" si="25"/>
        <v>10.TEST LIGNE 19 colonne Q et ligne 20 colonne P. rechercher la cellule qui coupe le texte Dans la cocotte N°3 en fonte, faites chauffer l’huile d’olive à feu moyen. Ajoutez la viande et faites-la dorer de tous les côtés. Retirez-la de la cocotte et réservez-la.</v>
      </c>
      <c r="R59" s="6336" t="str">
        <f t="shared" si="26"/>
        <v>10.TEST LIGNE 19 colonne Q et ligne 20 colonne P. rechercher la cellule qui coupe le texte Dans la cocotte N°3 en fonte, faites chauffer l’huile d’olive à feu moyen. Ajoutez la viande et faites-la dorer de tous les côtés. Retirez-la de la cocotte et réservez-la.</v>
      </c>
      <c r="S59" s="6337" t="str">
        <f t="shared" si="27"/>
        <v>10 TEST LIGNE 19 colonne Q et ligne 20 colonne P rechercher la cellule qui coupe le texte Dans la cocotte N°3 en fonte faites chauffer l’huile d’olive à feu moyen Ajoutez la viande et faites-la dorer de tous les côtés Retirez-la de la cocotte et réservez-la</v>
      </c>
      <c r="T59" s="6337" t="str">
        <f t="shared" si="28"/>
        <v>10 TEST LIGNE 19 colonne Q et ligne 20 colonne P rechercher la cellule qui coupe le texte Dans la cocotte N°3 en fonte faites chauffer l’huile d’olive à feu moyen Ajoutez la viande et faites la dorer de tous les côtés Retirez la de la cocotte et réservez la</v>
      </c>
      <c r="U59" s="6337" t="str">
        <f t="shared" si="29"/>
        <v>10 TEST LIGNE 19 colonne Q et ligne 20 colonne P rechercher la cellule qui coupe le texte Dans la cocotte N°3 en fonte faites chauffer l’huile d’olive à feu moyen Ajoutez la viande et faites la dorer de tous les côtés Retirez la de la cocotte et réservez la</v>
      </c>
      <c r="V59" s="6338" t="str">
        <f t="shared" si="30"/>
        <v>10 TEST LIGNE 19 colonne Q et ligne 20 colonne P rechercher la cellule qui coupe le texte Dans la cocotte N°3 en fonte faites chauffer l’huile d’olive à feu moyen Ajoutez la viande et faites la dorer de tous les côtés Retirez la de la cocotte et réservez la</v>
      </c>
      <c r="W59" s="6239"/>
      <c r="X59" s="6339" t="str">
        <f t="shared" si="31"/>
        <v>ligne 59 ►</v>
      </c>
      <c r="Y59" s="6340" t="str">
        <f t="shared" si="35"/>
        <v>10.TEST LIGNE 19 colonne Q et ligne 20 colonne P. rechercher la cellule qui coupe le texte Dans la cocotte N°3 en fonte, faites chauffer l’huile d’olive à feu moyen. Ajoutez la viande et faites-la dorer de tous les côtés. Retirez-la de la cocotte et réservez-la.</v>
      </c>
      <c r="Z59" s="6341">
        <v>5</v>
      </c>
      <c r="AB59" s="6342" t="str">
        <f t="shared" si="32"/>
        <v>ligne 59 ►</v>
      </c>
      <c r="AC59" s="6343" t="str">
        <f t="shared" si="36"/>
        <v>10.TEST LIGNE 19 colonne Q et ligne 20 colonne P. rechercher la cellule qui coupe le texte Dans la cocotte N°3 en fonte, faites chauffer l’huile d’olive à feu moyen. Ajoutez la viande et faites-la dorer de tous les côtés. Retirez-la de la cocotte et réservez-la.</v>
      </c>
      <c r="AD59" s="6344">
        <v>150</v>
      </c>
      <c r="AF59" s="6345" t="str" cm="1">
        <f t="array" ref="AF59">IF(SUMPRODUCT((AL59:AQ59&lt;&gt;"")*1)=0,"",SUMPRODUCT((AL59:AQ59&lt;&gt;"")*(LEN(TRIM(SUBSTITUTE(AL59:AQ59,CHAR(160)," "))) - LEN(SUBSTITUTE(TRIM(SUBSTITUTE(AL59:AQ59,CHAR(160)," "))," ","")) + 1)) &amp; " mot" &amp; IF(SUMPRODUCT((AL59:AQ59&lt;&gt;"")*(LEN(TRIM(SUBSTITUTE(AL59:AQ59,CHAR(160)," "))) - LEN(SUBSTITUTE(TRIM(SUBSTITUTE(AL59:AQ59,CHAR(160)," "))," ","")) + 1))&gt;1,"s",""))</f>
        <v>26 mots</v>
      </c>
      <c r="AG59" s="2263" t="str" cm="1">
        <f t="array" ref="AG59">SUMPRODUCT(--(AL59:AS59&lt;&gt;""), LEN(TRIM(SUBSTITUTE(AL59:AS59, CHAR(160), "")))) &amp; " Car."</f>
        <v>143 Car.</v>
      </c>
      <c r="AH59" s="6366" t="s">
        <v>14368</v>
      </c>
      <c r="AI59" s="6367" t="str">
        <f t="shared" si="33"/>
        <v>10.TEST LIGNE 19 colonne Q et ligne 20 colonne P. rechercher la cellule qui coupe le texte Dans la cocotte N°3 en fonte, faites chauffer l’huile d’olive à feu moyen. Ajoutez la viande et faites-la dorer de tous les côtés. Retirez-la de la cocotte et réservez-la.</v>
      </c>
      <c r="AJ59" s="6368"/>
      <c r="AK59" s="2190">
        <f>ROWS(AO50:AO59)</f>
        <v>10</v>
      </c>
      <c r="AL59" s="1942" t="str">
        <v>4.TEST LIGNE 17 colonne Q et ligne 20 colonne P. rechercher la cellule qui coupe le texte Dans la cocotte N°3 en fonte, faites chauffer l’huile</v>
      </c>
      <c r="AM59" s="9"/>
      <c r="AN59" s="9"/>
      <c r="AO59" s="9"/>
      <c r="AP59" s="9"/>
      <c r="AQ59" s="9"/>
      <c r="AR59" s="9"/>
      <c r="AS59" s="9"/>
      <c r="AT59" s="592"/>
      <c r="AU59" s="9"/>
      <c r="AV59" s="103" t="str">
        <f t="shared" si="37"/>
        <v>A</v>
      </c>
      <c r="AW59" s="163" t="str">
        <f>AW23</f>
        <v>C Coquetiers de l'Antoine | | Auteur &gt; Guy KRENZE - Eric GODDYN - Arnaud NICOLAS - CEPROC 2002</v>
      </c>
      <c r="AX59" s="163">
        <f>AX23</f>
        <v>20</v>
      </c>
      <c r="AY59" s="164" t="str">
        <f>AY23</f>
        <v>coquetiers de 25 g</v>
      </c>
      <c r="AZ59" s="165" t="str">
        <f>AZ23</f>
        <v>Recette mère ► le Boudin en 4 déclinaisons</v>
      </c>
      <c r="BA59" s="176" t="s">
        <v>14377</v>
      </c>
      <c r="BB59" s="176"/>
      <c r="BC59" s="176"/>
      <c r="BD59" s="176"/>
      <c r="BE59" s="176"/>
      <c r="BF59" s="176"/>
      <c r="BG59" s="176"/>
      <c r="BH59" s="176"/>
      <c r="BI59" s="176"/>
      <c r="BJ59" s="176"/>
      <c r="BK59" s="520"/>
      <c r="BL59" s="2080"/>
      <c r="BM59" s="1970"/>
      <c r="BN59" s="99"/>
      <c r="BO59" s="1809"/>
      <c r="BQ59" s="2230"/>
      <c r="BR59" s="3">
        <v>1</v>
      </c>
    </row>
    <row r="60" spans="2:70" ht="21" customHeight="1">
      <c r="B60" s="6236"/>
      <c r="C60" s="6358">
        <f t="shared" si="20"/>
        <v>100</v>
      </c>
      <c r="D60" s="6359" t="str" cm="1">
        <f t="array" ref="D60">IF(MOD(ROW()-50,14)=0,INDEX(D50:D63,MOD(ROW()-50,14)+1),E58)</f>
        <v/>
      </c>
      <c r="E60" s="6360" t="str">
        <f t="shared" si="21"/>
        <v/>
      </c>
      <c r="F60" s="6361" t="str">
        <f t="shared" si="22"/>
        <v/>
      </c>
      <c r="G60" s="6318" t="str">
        <v>d’olive à feu moyen. Ajoutez la viande et faites-la dorer de tous les côtés. Retirez-la de la cocotte et réservez-la.</v>
      </c>
      <c r="H60" s="6323" t="str">
        <f t="shared" si="23"/>
        <v/>
      </c>
      <c r="I60" s="6373"/>
      <c r="J60" s="6363" t="str">
        <f t="shared" si="34"/>
        <v/>
      </c>
      <c r="K60" s="6364" t="str">
        <f>IF(J60="","",LEFT(J60,IF(LEN(J60)&lt;=I53,LEN(J60),IFERROR(FIND("§",SUBSTITUTE(LEFT(J60,I53+1)," ","§",LEN(LEFT(J60,I53+1))-LEN(SUBSTITUTE(LEFT(J60,I53+1)," ",""))))-1,IFERROR(FIND(" ",J60,I53+1)-1,LEN(J60))))))</f>
        <v/>
      </c>
      <c r="L60" s="6327"/>
      <c r="M60" s="6329" t="str">
        <v>tous les côtés. Retirez-la de la cocotte et</v>
      </c>
      <c r="N60" t="s">
        <v>21</v>
      </c>
      <c r="O60" s="6334" t="s">
        <v>14378</v>
      </c>
      <c r="P60" s="6335" t="str">
        <f t="shared" si="24"/>
        <v>11.TEST LIGNE 19 colonne Q et ligne 20 colonne P. rechercher la cellule qui coupe le texte Dans la cocotte N°3 en fonte, faites chauffer l’huile d’olive à feu moyen. Ajoutez la viande et faites-la dorer de tous les côtés. Retirez-la de la cocotte et réservez-la.</v>
      </c>
      <c r="Q60" s="6336" t="str">
        <f t="shared" si="25"/>
        <v>11.TEST LIGNE 19 colonne Q et ligne 20 colonne P. rechercher la cellule qui coupe le texte Dans la cocotte N°3 en fonte, faites chauffer l’huile d’olive à feu moyen. Ajoutez la viande et faites-la dorer de tous les côtés. Retirez-la de la cocotte et réservez-la.</v>
      </c>
      <c r="R60" s="6336" t="str">
        <f t="shared" si="26"/>
        <v>11.TEST LIGNE 19 colonne Q et ligne 20 colonne P. rechercher la cellule qui coupe le texte Dans la cocotte N°3 en fonte, faites chauffer l’huile d’olive à feu moyen. Ajoutez la viande et faites-la dorer de tous les côtés. Retirez-la de la cocotte et réservez-la.</v>
      </c>
      <c r="S60" s="6337" t="str">
        <f t="shared" si="27"/>
        <v>11 TEST LIGNE 19 colonne Q et ligne 20 colonne P rechercher la cellule qui coupe le texte Dans la cocotte N°3 en fonte faites chauffer l’huile d’olive à feu moyen Ajoutez la viande et faites-la dorer de tous les côtés Retirez-la de la cocotte et réservez-la</v>
      </c>
      <c r="T60" s="6337" t="str">
        <f t="shared" si="28"/>
        <v>11 TEST LIGNE 19 colonne Q et ligne 20 colonne P rechercher la cellule qui coupe le texte Dans la cocotte N°3 en fonte faites chauffer l’huile d’olive à feu moyen Ajoutez la viande et faites la dorer de tous les côtés Retirez la de la cocotte et réservez la</v>
      </c>
      <c r="U60" s="6337" t="str">
        <f t="shared" si="29"/>
        <v>11 TEST LIGNE 19 colonne Q et ligne 20 colonne P rechercher la cellule qui coupe le texte Dans la cocotte N°3 en fonte faites chauffer l’huile d’olive à feu moyen Ajoutez la viande et faites la dorer de tous les côtés Retirez la de la cocotte et réservez la</v>
      </c>
      <c r="V60" s="6338" t="str">
        <f t="shared" si="30"/>
        <v>11 TEST LIGNE 19 colonne Q et ligne 20 colonne P rechercher la cellule qui coupe le texte Dans la cocotte N°3 en fonte faites chauffer l’huile d’olive à feu moyen Ajoutez la viande et faites la dorer de tous les côtés Retirez la de la cocotte et réservez la</v>
      </c>
      <c r="W60" s="6239"/>
      <c r="X60" s="6339" t="str">
        <f t="shared" si="31"/>
        <v>ligne 60 ►</v>
      </c>
      <c r="Y60" s="6340" t="str">
        <f t="shared" si="35"/>
        <v>11.TEST LIGNE 19 colonne Q et ligne 20 colonne P. rechercher la cellule qui coupe le texte Dans la cocotte N°3 en fonte, faites chauffer l’huile d’olive à feu moyen. Ajoutez la viande et faites-la dorer de tous les côtés. Retirez-la de la cocotte et réservez-la.</v>
      </c>
      <c r="Z60" s="6341">
        <v>5</v>
      </c>
      <c r="AB60" s="6342" t="str">
        <f t="shared" si="32"/>
        <v>ligne 60 ►</v>
      </c>
      <c r="AC60" s="6343" t="str">
        <f t="shared" si="36"/>
        <v>11.TEST LIGNE 19 colonne Q et ligne 20 colonne P. rechercher la cellule qui coupe le texte Dans la cocotte N°3 en fonte, faites chauffer l’huile d’olive à feu moyen. Ajoutez la viande et faites-la dorer de tous les côtés. Retirez-la de la cocotte et réservez-la.</v>
      </c>
      <c r="AD60" s="6344">
        <v>150</v>
      </c>
      <c r="AF60" s="6345" t="str" cm="1">
        <f t="array" ref="AF60">IF(SUMPRODUCT((AL60:AQ60&lt;&gt;"")*1)=0,"",SUMPRODUCT((AL60:AQ60&lt;&gt;"")*(LEN(TRIM(SUBSTITUTE(AL60:AQ60,CHAR(160)," "))) - LEN(SUBSTITUTE(TRIM(SUBSTITUTE(AL60:AQ60,CHAR(160)," "))," ","")) + 1)) &amp; " mot" &amp; IF(SUMPRODUCT((AL60:AQ60&lt;&gt;"")*(LEN(TRIM(SUBSTITUTE(AL60:AQ60,CHAR(160)," "))) - LEN(SUBSTITUTE(TRIM(SUBSTITUTE(AL60:AQ60,CHAR(160)," "))," ","")) + 1))&gt;1,"s",""))</f>
        <v>20 mots</v>
      </c>
      <c r="AG60" s="2263" t="str" cm="1">
        <f t="array" ref="AG60">SUMPRODUCT(--(AL60:AS60&lt;&gt;""), LEN(TRIM(SUBSTITUTE(AL60:AS60, CHAR(160), "")))) &amp; " Car."</f>
        <v>117 Car.</v>
      </c>
      <c r="AH60" s="6366" t="s">
        <v>14368</v>
      </c>
      <c r="AI60" s="6367" t="str">
        <f t="shared" si="33"/>
        <v>11.TEST LIGNE 19 colonne Q et ligne 20 colonne P. rechercher la cellule qui coupe le texte Dans la cocotte N°3 en fonte, faites chauffer l’huile d’olive à feu moyen. Ajoutez la viande et faites-la dorer de tous les côtés. Retirez-la de la cocotte et réservez-la.</v>
      </c>
      <c r="AJ60" s="6368"/>
      <c r="AK60" s="2190">
        <f>ROWS(AO50:AO60)</f>
        <v>11</v>
      </c>
      <c r="AL60" s="1942" t="str">
        <v>d’olive à feu moyen. Ajoutez la viande et faites-la dorer de tous les côtés. Retirez-la de la cocotte et réservez-la.</v>
      </c>
      <c r="AM60" s="9"/>
      <c r="AN60" s="9"/>
      <c r="AO60" s="9"/>
      <c r="AP60" s="9"/>
      <c r="AQ60" s="9"/>
      <c r="AR60" s="9"/>
      <c r="AS60" s="9"/>
      <c r="AT60" s="592"/>
      <c r="AU60" s="9"/>
      <c r="AV60" s="103" t="str">
        <f t="shared" si="37"/>
        <v>A</v>
      </c>
      <c r="AW60" s="163" t="str">
        <f>AW23</f>
        <v>C Coquetiers de l'Antoine | | Auteur &gt; Guy KRENZE - Eric GODDYN - Arnaud NICOLAS - CEPROC 2002</v>
      </c>
      <c r="AX60" s="163">
        <f>AX23</f>
        <v>20</v>
      </c>
      <c r="AY60" s="164" t="str">
        <f>AY23</f>
        <v>coquetiers de 25 g</v>
      </c>
      <c r="AZ60" s="165" t="str">
        <f>AZ23</f>
        <v>Recette mère ► le Boudin en 4 déclinaisons</v>
      </c>
      <c r="BA60" s="176" t="s">
        <v>14379</v>
      </c>
      <c r="BB60" s="176"/>
      <c r="BC60" s="176"/>
      <c r="BD60" s="176"/>
      <c r="BE60" s="176"/>
      <c r="BF60" s="176"/>
      <c r="BG60" s="176"/>
      <c r="BH60" s="176"/>
      <c r="BI60" s="176"/>
      <c r="BJ60" s="176"/>
      <c r="BK60" s="520"/>
      <c r="BL60" s="2080"/>
      <c r="BM60" s="1970"/>
      <c r="BN60" s="99"/>
      <c r="BO60" s="1809"/>
      <c r="BQ60" s="2230"/>
      <c r="BR60" s="3">
        <v>1</v>
      </c>
    </row>
    <row r="61" spans="2:70" ht="21" customHeight="1">
      <c r="B61" s="6236"/>
      <c r="C61" s="6358">
        <f t="shared" si="20"/>
        <v>100</v>
      </c>
      <c r="D61" s="6359" t="str" cm="1">
        <f t="array" ref="D61">IF(MOD(ROW()-50,14)=0,INDEX(D50:D63,MOD(ROW()-50,14)+1),E59)</f>
        <v/>
      </c>
      <c r="E61" s="6360" t="str">
        <f t="shared" si="21"/>
        <v/>
      </c>
      <c r="F61" s="6361" t="str">
        <f t="shared" si="22"/>
        <v/>
      </c>
      <c r="G61" s="6318" t="str">
        <v>5.TEST LIGNE 18 colonne Q et ligne 20 colonne P. rechercher la cellule qui coupe le texte Dans la cocotte N°3 en fonte, faites chauffer l’huile</v>
      </c>
      <c r="H61" s="6323" t="str">
        <f t="shared" si="23"/>
        <v/>
      </c>
      <c r="I61" s="6373"/>
      <c r="J61" s="6363" t="str">
        <f t="shared" si="34"/>
        <v/>
      </c>
      <c r="K61" s="6364" t="str">
        <f>IF(J61="","",LEFT(J61,IF(LEN(J61)&lt;=I53,LEN(J61),IFERROR(FIND("§",SUBSTITUTE(LEFT(J61,I53+1)," ","§",LEN(LEFT(J61,I53+1))-LEN(SUBSTITUTE(LEFT(J61,I53+1)," ",""))))-1,IFERROR(FIND(" ",J61,I53+1)-1,LEN(J61))))))</f>
        <v/>
      </c>
      <c r="L61" s="6327"/>
      <c r="M61" s="6329" t="str">
        <v>réservez-la.</v>
      </c>
      <c r="N61" t="s">
        <v>21</v>
      </c>
      <c r="O61" s="6334" t="s">
        <v>14380</v>
      </c>
      <c r="P61" s="6335" t="str">
        <f t="shared" si="24"/>
        <v>12.TEST LIGNE 19 colonne Q et ligne 20 colonne P. rechercher la cellule qui coupe le texte Dans la cocotte N°3 en fonte, faites chauffer l’huile d’olive à feu moyen. Ajoutez la viande et faites-la dorer de tous les côtés. Retirez-la de la cocotte et réservez-la.</v>
      </c>
      <c r="Q61" s="6336" t="str">
        <f t="shared" si="25"/>
        <v>12.TEST LIGNE 19 colonne Q et ligne 20 colonne P. rechercher la cellule qui coupe le texte Dans la cocotte N°3 en fonte, faites chauffer l’huile d’olive à feu moyen. Ajoutez la viande et faites-la dorer de tous les côtés. Retirez-la de la cocotte et réservez-la.</v>
      </c>
      <c r="R61" s="6336" t="str">
        <f t="shared" si="26"/>
        <v>12.TEST LIGNE 19 colonne Q et ligne 20 colonne P. rechercher la cellule qui coupe le texte Dans la cocotte N°3 en fonte, faites chauffer l’huile d’olive à feu moyen. Ajoutez la viande et faites-la dorer de tous les côtés. Retirez-la de la cocotte et réservez-la.</v>
      </c>
      <c r="S61" s="6337" t="str">
        <f t="shared" si="27"/>
        <v>12 TEST LIGNE 19 colonne Q et ligne 20 colonne P rechercher la cellule qui coupe le texte Dans la cocotte N°3 en fonte faites chauffer l’huile d’olive à feu moyen Ajoutez la viande et faites-la dorer de tous les côtés Retirez-la de la cocotte et réservez-la</v>
      </c>
      <c r="T61" s="6337" t="str">
        <f t="shared" si="28"/>
        <v>12 TEST LIGNE 19 colonne Q et ligne 20 colonne P rechercher la cellule qui coupe le texte Dans la cocotte N°3 en fonte faites chauffer l’huile d’olive à feu moyen Ajoutez la viande et faites la dorer de tous les côtés Retirez la de la cocotte et réservez la</v>
      </c>
      <c r="U61" s="6337" t="str">
        <f t="shared" si="29"/>
        <v>12 TEST LIGNE 19 colonne Q et ligne 20 colonne P rechercher la cellule qui coupe le texte Dans la cocotte N°3 en fonte faites chauffer l’huile d’olive à feu moyen Ajoutez la viande et faites la dorer de tous les côtés Retirez la de la cocotte et réservez la</v>
      </c>
      <c r="V61" s="6338" t="str">
        <f t="shared" si="30"/>
        <v>12 TEST LIGNE 19 colonne Q et ligne 20 colonne P rechercher la cellule qui coupe le texte Dans la cocotte N°3 en fonte faites chauffer l’huile d’olive à feu moyen Ajoutez la viande et faites la dorer de tous les côtés Retirez la de la cocotte et réservez la</v>
      </c>
      <c r="W61" s="6239"/>
      <c r="X61" s="6339" t="str">
        <f t="shared" si="31"/>
        <v>ligne 61 ►</v>
      </c>
      <c r="Y61" s="6340" t="str">
        <f t="shared" si="35"/>
        <v>12.TEST LIGNE 19 colonne Q et ligne 20 colonne P. rechercher la cellule qui coupe le texte Dans la cocotte N°3 en fonte, faites chauffer l’huile d’olive à feu moyen. Ajoutez la viande et faites-la dorer de tous les côtés. Retirez-la de la cocotte et réservez-la.</v>
      </c>
      <c r="Z61" s="6341">
        <v>5</v>
      </c>
      <c r="AB61" s="6342" t="str">
        <f t="shared" si="32"/>
        <v>ligne 61 ►</v>
      </c>
      <c r="AC61" s="6343" t="str">
        <f t="shared" si="36"/>
        <v>12.TEST LIGNE 19 colonne Q et ligne 20 colonne P. rechercher la cellule qui coupe le texte Dans la cocotte N°3 en fonte, faites chauffer l’huile d’olive à feu moyen. Ajoutez la viande et faites-la dorer de tous les côtés. Retirez-la de la cocotte et réservez-la.</v>
      </c>
      <c r="AD61" s="6344">
        <v>150</v>
      </c>
      <c r="AF61" s="6345" t="str" cm="1">
        <f t="array" ref="AF61">IF(SUMPRODUCT((AL61:AQ61&lt;&gt;"")*1)=0,"",SUMPRODUCT((AL61:AQ61&lt;&gt;"")*(LEN(TRIM(SUBSTITUTE(AL61:AQ61,CHAR(160)," "))) - LEN(SUBSTITUTE(TRIM(SUBSTITUTE(AL61:AQ61,CHAR(160)," "))," ","")) + 1)) &amp; " mot" &amp; IF(SUMPRODUCT((AL61:AQ61&lt;&gt;"")*(LEN(TRIM(SUBSTITUTE(AL61:AQ61,CHAR(160)," "))) - LEN(SUBSTITUTE(TRIM(SUBSTITUTE(AL61:AQ61,CHAR(160)," "))," ","")) + 1))&gt;1,"s",""))</f>
        <v>26 mots</v>
      </c>
      <c r="AG61" s="2263" t="str" cm="1">
        <f t="array" ref="AG61">SUMPRODUCT(--(AL61:AS61&lt;&gt;""), LEN(TRIM(SUBSTITUTE(AL61:AS61, CHAR(160), "")))) &amp; " Car."</f>
        <v>143 Car.</v>
      </c>
      <c r="AH61" s="6366" t="s">
        <v>14368</v>
      </c>
      <c r="AI61" s="6367" t="str">
        <f t="shared" si="33"/>
        <v>12.TEST LIGNE 19 colonne Q et ligne 20 colonne P. rechercher la cellule qui coupe le texte Dans la cocotte N°3 en fonte, faites chauffer l’huile d’olive à feu moyen. Ajoutez la viande et faites-la dorer de tous les côtés. Retirez-la de la cocotte et réservez-la.</v>
      </c>
      <c r="AJ61" s="6368"/>
      <c r="AK61" s="2190">
        <f>ROWS(AO50:AO61)</f>
        <v>12</v>
      </c>
      <c r="AL61" s="1942" t="str">
        <v>5.TEST LIGNE 18 colonne Q et ligne 20 colonne P. rechercher la cellule qui coupe le texte Dans la cocotte N°3 en fonte, faites chauffer l’huile</v>
      </c>
      <c r="AM61" s="9"/>
      <c r="AN61" s="9"/>
      <c r="AO61" s="9"/>
      <c r="AP61" s="9"/>
      <c r="AQ61" s="9"/>
      <c r="AR61" s="9"/>
      <c r="AS61" s="9"/>
      <c r="AT61" s="592"/>
      <c r="AU61" s="9"/>
      <c r="AV61" s="103" t="str">
        <f t="shared" si="37"/>
        <v>A</v>
      </c>
      <c r="AW61" s="163" t="str">
        <f>AW23</f>
        <v>C Coquetiers de l'Antoine | | Auteur &gt; Guy KRENZE - Eric GODDYN - Arnaud NICOLAS - CEPROC 2002</v>
      </c>
      <c r="AX61" s="163">
        <f>AX23</f>
        <v>20</v>
      </c>
      <c r="AY61" s="164" t="str">
        <f>AY23</f>
        <v>coquetiers de 25 g</v>
      </c>
      <c r="AZ61" s="165" t="str">
        <f>AZ23</f>
        <v>Recette mère ► le Boudin en 4 déclinaisons</v>
      </c>
      <c r="BA61" s="176" t="s">
        <v>14381</v>
      </c>
      <c r="BB61" s="176"/>
      <c r="BC61" s="176"/>
      <c r="BD61" s="176"/>
      <c r="BE61" s="176"/>
      <c r="BF61" s="176"/>
      <c r="BG61" s="176"/>
      <c r="BH61" s="176"/>
      <c r="BI61" s="176"/>
      <c r="BJ61" s="176"/>
      <c r="BK61" s="520"/>
      <c r="BL61" s="2080"/>
      <c r="BM61" s="1970"/>
      <c r="BN61" s="99"/>
      <c r="BO61" s="1809"/>
      <c r="BQ61" s="2230"/>
      <c r="BR61" s="3">
        <v>1</v>
      </c>
    </row>
    <row r="62" spans="2:70" ht="21" customHeight="1">
      <c r="B62" s="6236"/>
      <c r="C62" s="6358">
        <f t="shared" si="20"/>
        <v>100</v>
      </c>
      <c r="D62" s="6359" t="str" cm="1">
        <f t="array" ref="D62">IF(MOD(ROW()-50,14)=0,INDEX(D50:D63,MOD(ROW()-50,14)+1),E60)</f>
        <v/>
      </c>
      <c r="E62" s="6360" t="str">
        <f t="shared" si="21"/>
        <v/>
      </c>
      <c r="F62" s="6361" t="str">
        <f t="shared" si="22"/>
        <v/>
      </c>
      <c r="G62" s="6318" t="str">
        <v>d’olive à feu moyen. Ajoutez la viande et faites-la dorer de tous les côtés. Retirez-la de la cocotte et réservez-la.</v>
      </c>
      <c r="H62" s="6323" t="str">
        <f t="shared" si="23"/>
        <v/>
      </c>
      <c r="I62" s="6373"/>
      <c r="J62" s="6363" t="str">
        <f t="shared" si="34"/>
        <v/>
      </c>
      <c r="K62" s="6364" t="str">
        <f>IF(J62="","",LEFT(J62,IF(LEN(J62)&lt;=I53,LEN(J62),IFERROR(FIND("§",SUBSTITUTE(LEFT(J62,I53+1)," ","§",LEN(LEFT(J62,I53+1))-LEN(SUBSTITUTE(LEFT(J62,I53+1)," ",""))))-1,IFERROR(FIND(" ",J62,I53+1)-1,LEN(J62))))))</f>
        <v/>
      </c>
      <c r="L62" s="6364"/>
      <c r="M62" s="6329" t="str">
        <v>3.TEST LIGNE 16 colonne Q et ligne 20 colonne P.</v>
      </c>
      <c r="N62" t="s">
        <v>21</v>
      </c>
      <c r="O62" s="6334" t="s">
        <v>14382</v>
      </c>
      <c r="P62" s="6335" t="str">
        <f t="shared" si="24"/>
        <v>13.TEST LIGNE 19 colonne Q et ligne 20 colonne P. rechercher la cellule qui coupe le texte Dans la cocotte N°3 en fonte, faites chauffer l’huile d’olive à feu moyen. Ajoutez la viande et faites-la dorer de tous les côtés. Retirez-la de la cocotte et réservez-la.</v>
      </c>
      <c r="Q62" s="6336" t="str">
        <f t="shared" si="25"/>
        <v>13.TEST LIGNE 19 colonne Q et ligne 20 colonne P. rechercher la cellule qui coupe le texte Dans la cocotte N°3 en fonte, faites chauffer l’huile d’olive à feu moyen. Ajoutez la viande et faites-la dorer de tous les côtés. Retirez-la de la cocotte et réservez-la.</v>
      </c>
      <c r="R62" s="6336" t="str">
        <f t="shared" si="26"/>
        <v>13.TEST LIGNE 19 colonne Q et ligne 20 colonne P. rechercher la cellule qui coupe le texte Dans la cocotte N°3 en fonte, faites chauffer l’huile d’olive à feu moyen. Ajoutez la viande et faites-la dorer de tous les côtés. Retirez-la de la cocotte et réservez-la.</v>
      </c>
      <c r="S62" s="6337" t="str">
        <f t="shared" si="27"/>
        <v>13 TEST LIGNE 19 colonne Q et ligne 20 colonne P rechercher la cellule qui coupe le texte Dans la cocotte N°3 en fonte faites chauffer l’huile d’olive à feu moyen Ajoutez la viande et faites-la dorer de tous les côtés Retirez-la de la cocotte et réservez-la</v>
      </c>
      <c r="T62" s="6337" t="str">
        <f t="shared" si="28"/>
        <v>13 TEST LIGNE 19 colonne Q et ligne 20 colonne P rechercher la cellule qui coupe le texte Dans la cocotte N°3 en fonte faites chauffer l’huile d’olive à feu moyen Ajoutez la viande et faites la dorer de tous les côtés Retirez la de la cocotte et réservez la</v>
      </c>
      <c r="U62" s="6337" t="str">
        <f t="shared" si="29"/>
        <v>13 TEST LIGNE 19 colonne Q et ligne 20 colonne P rechercher la cellule qui coupe le texte Dans la cocotte N°3 en fonte faites chauffer l’huile d’olive à feu moyen Ajoutez la viande et faites la dorer de tous les côtés Retirez la de la cocotte et réservez la</v>
      </c>
      <c r="V62" s="6338" t="str">
        <f t="shared" si="30"/>
        <v>13 TEST LIGNE 19 colonne Q et ligne 20 colonne P rechercher la cellule qui coupe le texte Dans la cocotte N°3 en fonte faites chauffer l’huile d’olive à feu moyen Ajoutez la viande et faites la dorer de tous les côtés Retirez la de la cocotte et réservez la</v>
      </c>
      <c r="W62" s="6239"/>
      <c r="X62" s="6339" t="str">
        <f t="shared" si="31"/>
        <v>ligne 62 ►</v>
      </c>
      <c r="Y62" s="6340" t="str">
        <f t="shared" si="35"/>
        <v>13.TEST LIGNE 19 colonne Q et ligne 20 colonne P. rechercher la cellule qui coupe le texte Dans la cocotte N°3 en fonte, faites chauffer l’huile d’olive à feu moyen. Ajoutez la viande et faites-la dorer de tous les côtés. Retirez-la de la cocotte et réservez-la.</v>
      </c>
      <c r="Z62" s="6341">
        <v>5</v>
      </c>
      <c r="AB62" s="6342" t="str">
        <f t="shared" si="32"/>
        <v>ligne 62 ►</v>
      </c>
      <c r="AC62" s="6343" t="str">
        <f t="shared" si="36"/>
        <v>13.TEST LIGNE 19 colonne Q et ligne 20 colonne P. rechercher la cellule qui coupe le texte Dans la cocotte N°3 en fonte, faites chauffer l’huile d’olive à feu moyen. Ajoutez la viande et faites-la dorer de tous les côtés. Retirez-la de la cocotte et réservez-la.</v>
      </c>
      <c r="AD62" s="6344">
        <v>150</v>
      </c>
      <c r="AF62" s="6345" t="str" cm="1">
        <f t="array" ref="AF62">IF(SUMPRODUCT((AL62:AQ62&lt;&gt;"")*1)=0,"",SUMPRODUCT((AL62:AQ62&lt;&gt;"")*(LEN(TRIM(SUBSTITUTE(AL62:AQ62,CHAR(160)," "))) - LEN(SUBSTITUTE(TRIM(SUBSTITUTE(AL62:AQ62,CHAR(160)," "))," ","")) + 1)) &amp; " mot" &amp; IF(SUMPRODUCT((AL62:AQ62&lt;&gt;"")*(LEN(TRIM(SUBSTITUTE(AL62:AQ62,CHAR(160)," "))) - LEN(SUBSTITUTE(TRIM(SUBSTITUTE(AL62:AQ62,CHAR(160)," "))," ","")) + 1))&gt;1,"s",""))</f>
        <v>20 mots</v>
      </c>
      <c r="AG62" s="2263" t="str" cm="1">
        <f t="array" ref="AG62">SUMPRODUCT(--(AL62:AS62&lt;&gt;""), LEN(TRIM(SUBSTITUTE(AL62:AS62, CHAR(160), "")))) &amp; " Car."</f>
        <v>117 Car.</v>
      </c>
      <c r="AH62" s="6366" t="s">
        <v>14368</v>
      </c>
      <c r="AI62" s="6367" t="str">
        <f t="shared" si="33"/>
        <v>13.TEST LIGNE 19 colonne Q et ligne 20 colonne P. rechercher la cellule qui coupe le texte Dans la cocotte N°3 en fonte, faites chauffer l’huile d’olive à feu moyen. Ajoutez la viande et faites-la dorer de tous les côtés. Retirez-la de la cocotte et réservez-la.</v>
      </c>
      <c r="AJ62" s="6368"/>
      <c r="AK62" s="2190">
        <f>ROWS(AO50:AO62)</f>
        <v>13</v>
      </c>
      <c r="AL62" s="1942" t="str">
        <v>d’olive à feu moyen. Ajoutez la viande et faites-la dorer de tous les côtés. Retirez-la de la cocotte et réservez-la.</v>
      </c>
      <c r="AM62" s="9"/>
      <c r="AN62" s="9"/>
      <c r="AO62" s="9"/>
      <c r="AP62" s="9"/>
      <c r="AQ62" s="9"/>
      <c r="AR62" s="9"/>
      <c r="AS62" s="9"/>
      <c r="AT62" s="592"/>
      <c r="AU62" s="9"/>
      <c r="AV62" s="6375" t="s">
        <v>15</v>
      </c>
      <c r="AW62" s="163" t="str">
        <f>AW23</f>
        <v>C Coquetiers de l'Antoine | | Auteur &gt; Guy KRENZE - Eric GODDYN - Arnaud NICOLAS - CEPROC 2002</v>
      </c>
      <c r="AX62" s="163">
        <f>AX23</f>
        <v>20</v>
      </c>
      <c r="AY62" s="164" t="str">
        <f>AY23</f>
        <v>coquetiers de 25 g</v>
      </c>
      <c r="AZ62" s="165" t="str">
        <f>AZ23</f>
        <v>Recette mère ► le Boudin en 4 déclinaisons</v>
      </c>
      <c r="BA62" s="176" t="s">
        <v>14383</v>
      </c>
      <c r="BB62" s="176"/>
      <c r="BC62" s="176"/>
      <c r="BD62" s="176"/>
      <c r="BE62" s="176"/>
      <c r="BF62" s="176"/>
      <c r="BG62" s="176"/>
      <c r="BH62" s="176"/>
      <c r="BI62" s="176"/>
      <c r="BJ62" s="176"/>
      <c r="BK62" s="520"/>
      <c r="BL62" s="2080"/>
      <c r="BM62" s="1970"/>
      <c r="BN62" s="99"/>
      <c r="BO62" s="1809"/>
      <c r="BQ62" s="2230"/>
      <c r="BR62" s="3">
        <v>1</v>
      </c>
    </row>
    <row r="63" spans="2:70" ht="21" customHeight="1">
      <c r="B63" s="6236"/>
      <c r="C63" s="6376">
        <f t="shared" si="20"/>
        <v>100</v>
      </c>
      <c r="D63" s="6359" t="str" cm="1">
        <f t="array" ref="D63">IF(MOD(ROW()-50,14)=0,INDEX(D50:D63,MOD(ROW()-50,14)+1),E61)</f>
        <v/>
      </c>
      <c r="E63" s="6377" t="str">
        <f t="shared" si="21"/>
        <v/>
      </c>
      <c r="F63" s="6378" t="str">
        <f t="shared" si="22"/>
        <v/>
      </c>
      <c r="G63" s="6319" t="str">
        <v>6.TEST LIGNE 19 colonne Q et ligne 20 colonne P. rechercher la cellule qui coupe le texte Dans la cocotte N°3 en fonte, faites chauffer l’huile</v>
      </c>
      <c r="H63" s="6323" t="str">
        <f t="shared" si="23"/>
        <v/>
      </c>
      <c r="I63" s="6379"/>
      <c r="J63" s="6380" t="str">
        <f t="shared" si="34"/>
        <v/>
      </c>
      <c r="K63" s="6381" t="str">
        <f>IF(J63="","",LEFT(J63,IF(LEN(J63)&lt;=I53,LEN(J63),IFERROR(FIND("§",SUBSTITUTE(LEFT(J63,I53+1)," ","§",LEN(LEFT(J63,I53+1))-LEN(SUBSTITUTE(LEFT(J63,I53+1)," ",""))))-1,IFERROR(FIND(" ",J63,I53+1)-1,LEN(J63))))))</f>
        <v/>
      </c>
      <c r="L63" s="6382"/>
      <c r="M63" s="6330" t="str">
        <v>rechercher la cellule qui coupe le texte Dans la</v>
      </c>
      <c r="N63" t="s">
        <v>21</v>
      </c>
      <c r="O63" s="6334" t="s">
        <v>14384</v>
      </c>
      <c r="P63" s="6335" t="str">
        <f t="shared" si="24"/>
        <v>14.TEST LIGNE 19 colonne Q et ligne 20 colonne P. rechercher la cellule qui coupe le texte Dans la cocotte N°3 en fonte, faites chauffer l’huile d’olive à feu moyen. Ajoutez la viande et faites-la dorer de tous les côtés. Retirez-la de la cocotte et réservez-la.</v>
      </c>
      <c r="Q63" s="6336" t="str">
        <f t="shared" si="25"/>
        <v>14.TEST LIGNE 19 colonne Q et ligne 20 colonne P. rechercher la cellule qui coupe le texte Dans la cocotte N°3 en fonte, faites chauffer l’huile d’olive à feu moyen. Ajoutez la viande et faites-la dorer de tous les côtés. Retirez-la de la cocotte et réservez-la.</v>
      </c>
      <c r="R63" s="6336" t="str">
        <f t="shared" si="26"/>
        <v>14.TEST LIGNE 19 colonne Q et ligne 20 colonne P. rechercher la cellule qui coupe le texte Dans la cocotte N°3 en fonte, faites chauffer l’huile d’olive à feu moyen. Ajoutez la viande et faites-la dorer de tous les côtés. Retirez-la de la cocotte et réservez-la.</v>
      </c>
      <c r="S63" s="6337" t="str">
        <f t="shared" si="27"/>
        <v>14 TEST LIGNE 19 colonne Q et ligne 20 colonne P rechercher la cellule qui coupe le texte Dans la cocotte N°3 en fonte faites chauffer l’huile d’olive à feu moyen Ajoutez la viande et faites-la dorer de tous les côtés Retirez-la de la cocotte et réservez-la</v>
      </c>
      <c r="T63" s="6337" t="str">
        <f t="shared" si="28"/>
        <v>14 TEST LIGNE 19 colonne Q et ligne 20 colonne P rechercher la cellule qui coupe le texte Dans la cocotte N°3 en fonte faites chauffer l’huile d’olive à feu moyen Ajoutez la viande et faites la dorer de tous les côtés Retirez la de la cocotte et réservez la</v>
      </c>
      <c r="U63" s="6337" t="str">
        <f t="shared" si="29"/>
        <v>14 TEST LIGNE 19 colonne Q et ligne 20 colonne P rechercher la cellule qui coupe le texte Dans la cocotte N°3 en fonte faites chauffer l’huile d’olive à feu moyen Ajoutez la viande et faites la dorer de tous les côtés Retirez la de la cocotte et réservez la</v>
      </c>
      <c r="V63" s="6338" t="str">
        <f t="shared" si="30"/>
        <v>14 TEST LIGNE 19 colonne Q et ligne 20 colonne P rechercher la cellule qui coupe le texte Dans la cocotte N°3 en fonte faites chauffer l’huile d’olive à feu moyen Ajoutez la viande et faites la dorer de tous les côtés Retirez la de la cocotte et réservez la</v>
      </c>
      <c r="W63" s="6239"/>
      <c r="X63" s="6339" t="str">
        <f t="shared" si="31"/>
        <v>ligne 63 ►</v>
      </c>
      <c r="Y63" s="6340" t="str">
        <f t="shared" si="35"/>
        <v>14.TEST LIGNE 19 colonne Q et ligne 20 colonne P. rechercher la cellule qui coupe le texte Dans la cocotte N°3 en fonte, faites chauffer l’huile d’olive à feu moyen. Ajoutez la viande et faites-la dorer de tous les côtés. Retirez-la de la cocotte et réservez-la.</v>
      </c>
      <c r="Z63" s="6341">
        <v>5</v>
      </c>
      <c r="AB63" s="6342" t="str">
        <f t="shared" si="32"/>
        <v>ligne 63 ►</v>
      </c>
      <c r="AC63" s="6343" t="str">
        <f t="shared" si="36"/>
        <v>14.TEST LIGNE 19 colonne Q et ligne 20 colonne P. rechercher la cellule qui coupe le texte Dans la cocotte N°3 en fonte, faites chauffer l’huile d’olive à feu moyen. Ajoutez la viande et faites-la dorer de tous les côtés. Retirez-la de la cocotte et réservez-la.</v>
      </c>
      <c r="AD63" s="6344">
        <v>150</v>
      </c>
      <c r="AF63" s="6345" t="str" cm="1">
        <f t="array" ref="AF63">IF(SUMPRODUCT((AL63:AQ63&lt;&gt;"")*1)=0,"",SUMPRODUCT((AL63:AQ63&lt;&gt;"")*(LEN(TRIM(SUBSTITUTE(AL63:AQ63,CHAR(160)," "))) - LEN(SUBSTITUTE(TRIM(SUBSTITUTE(AL63:AQ63,CHAR(160)," "))," ","")) + 1)) &amp; " mot" &amp; IF(SUMPRODUCT((AL63:AQ63&lt;&gt;"")*(LEN(TRIM(SUBSTITUTE(AL63:AQ63,CHAR(160)," "))) - LEN(SUBSTITUTE(TRIM(SUBSTITUTE(AL63:AQ63,CHAR(160)," "))," ","")) + 1))&gt;1,"s",""))</f>
        <v>26 mots</v>
      </c>
      <c r="AG63" s="2263" t="str" cm="1">
        <f t="array" ref="AG63">SUMPRODUCT(--(AL63:AS63&lt;&gt;""), LEN(TRIM(SUBSTITUTE(AL63:AS63, CHAR(160), "")))) &amp; " Car."</f>
        <v>143 Car.</v>
      </c>
      <c r="AH63" s="6366" t="s">
        <v>14368</v>
      </c>
      <c r="AI63" s="6367" t="str">
        <f t="shared" si="33"/>
        <v>14.TEST LIGNE 19 colonne Q et ligne 20 colonne P. rechercher la cellule qui coupe le texte Dans la cocotte N°3 en fonte, faites chauffer l’huile d’olive à feu moyen. Ajoutez la viande et faites-la dorer de tous les côtés. Retirez-la de la cocotte et réservez-la.</v>
      </c>
      <c r="AJ63" s="6368"/>
      <c r="AK63" s="2190">
        <f>ROWS(AO50:AO63)</f>
        <v>14</v>
      </c>
      <c r="AL63" s="1942" t="str">
        <v>6.TEST LIGNE 19 colonne Q et ligne 20 colonne P. rechercher la cellule qui coupe le texte Dans la cocotte N°3 en fonte, faites chauffer l’huile</v>
      </c>
      <c r="AM63" s="9"/>
      <c r="AN63" s="9"/>
      <c r="AO63" s="9"/>
      <c r="AP63" s="9"/>
      <c r="AQ63" s="9"/>
      <c r="AR63" s="9"/>
      <c r="AS63" s="9"/>
      <c r="AT63" s="592"/>
      <c r="AU63" s="9"/>
      <c r="AV63" s="6375" t="s">
        <v>10</v>
      </c>
      <c r="AW63" s="163" t="str">
        <f>AW23</f>
        <v>C Coquetiers de l'Antoine | | Auteur &gt; Guy KRENZE - Eric GODDYN - Arnaud NICOLAS - CEPROC 2002</v>
      </c>
      <c r="AX63" s="163">
        <f>AX23</f>
        <v>20</v>
      </c>
      <c r="AY63" s="164" t="str">
        <f>AY23</f>
        <v>coquetiers de 25 g</v>
      </c>
      <c r="AZ63" s="165" t="str">
        <f>AZ23</f>
        <v>Recette mère ► le Boudin en 4 déclinaisons</v>
      </c>
      <c r="BA63" s="176"/>
      <c r="BB63" s="176"/>
      <c r="BC63" s="176"/>
      <c r="BD63" s="176"/>
      <c r="BE63" s="176"/>
      <c r="BF63" s="176"/>
      <c r="BG63" s="176"/>
      <c r="BH63" s="176"/>
      <c r="BI63" s="176"/>
      <c r="BJ63" s="176"/>
      <c r="BK63" s="520"/>
      <c r="BL63" s="2080"/>
      <c r="BM63" s="1970"/>
      <c r="BN63" s="99"/>
      <c r="BO63" s="1809"/>
      <c r="BQ63" s="2230"/>
      <c r="BR63" s="3">
        <v>1</v>
      </c>
    </row>
    <row r="64" spans="2:70" ht="21" customHeight="1">
      <c r="B64" s="6236"/>
      <c r="C64" s="6313">
        <f>AD51</f>
        <v>100</v>
      </c>
      <c r="D64" s="6314" t="str">
        <f>IF(UPPER(TRIM(X45))="X",U51,O51)</f>
        <v>2=TEST LIGNE 17 ? ! : ;  colonne Q et ligne 20 colonne P. rechercher la cellule qui coupe le texte Dans la cocotte N°3 en fonte, faites chauffer l’huile d’olive à feu moyen. Ajoutez la viande et faites-la dorer de tous les côtés. Retirez-la de la cocotte et réservez-la.</v>
      </c>
      <c r="E64" s="6383" t="str">
        <f>IF(D64="","",IF(F64="","",IF(LEN(F64)&gt;=LEN(D64),"",TRIM(MID(D64,LEN(F64)+1,99999)))))</f>
        <v>Dans la cocotte N°3 en fonte, faites chauffer l’huile d’olive à feu moyen. Ajoutez la viande et faites-la dorer de tous les côtés. Retirez-la de la cocotte et réservez-la.</v>
      </c>
      <c r="F64" s="6384" t="str">
        <f>IF(D64="","",IF(LEN(D64)&lt;=C64,D64,IFERROR(LEFT(D64,FIND("§",SUBSTITUTE(LEFT(D64,C64+1)," ","§",LEN(LEFT(D64,C64+1))-LEN(SUBSTITUTE(LEFT(D64,C64+1)," ",""))))-1),LEFT(D64,C64))))</f>
        <v>2=TEST LIGNE 17 ? ! : ;  colonne Q et ligne 20 colonne P. rechercher la cellule qui coupe le texte</v>
      </c>
      <c r="G64" s="6320" t="str">
        <v>d’olive à feu moyen. Ajoutez la viande et faites-la dorer de tous les côtés. Retirez-la de la cocotte et réservez-la.</v>
      </c>
      <c r="H64" s="6385">
        <f>IF(LEN(TRIM(L64))&gt;0,MAX(H63:H63)+1,"")</f>
        <v>1</v>
      </c>
      <c r="I64" s="6324" t="str">
        <f>D64</f>
        <v>2=TEST LIGNE 17 ? ! : ;  colonne Q et ligne 20 colonne P. rechercher la cellule qui coupe le texte Dans la cocotte N°3 en fonte, faites chauffer l’huile d’olive à feu moyen. Ajoutez la viande et faites-la dorer de tous les côtés. Retirez-la de la cocotte et réservez-la.</v>
      </c>
      <c r="J64" s="6386" t="str">
        <f>IF(I64=0,"",I64)</f>
        <v>2=TEST LIGNE 17 ? ! : ;  colonne Q et ligne 20 colonne P. rechercher la cellule qui coupe le texte Dans la cocotte N°3 en fonte, faites chauffer l’huile d’olive à feu moyen. Ajoutez la viande et faites-la dorer de tous les côtés. Retirez-la de la cocotte et réservez-la.</v>
      </c>
      <c r="K64" s="6387" t="str">
        <f>IF(I64="","",LEFT(I64,IF(LEN(I64)&lt;=I67,LEN(I64),IFERROR(FIND("§",SUBSTITUTE(LEFT(I64,I67+1)," ","§",LEN(LEFT(I64,I67+1))-LEN(SUBSTITUTE(LEFT(I64,I67+1)," ",""))))-1,IFERROR(FIND(" ",I64,I67+1)-1,LEN(I64))))))</f>
        <v>2=TEST LIGNE 17 ? ! : ;  colonne Q et ligne 20 colonne</v>
      </c>
      <c r="L64" s="6388" t="str" cm="1">
        <f t="array" ref="L64:L69">_xlfn._xlws.FILTER(TRIM(SUBSTITUTE(SUBSTITUTE(SUBSTITUTE(SUBSTITUTE(SUBSTITUTE(CLEAN(K64:K77),CHAR(160)," "),_xlfn.UNICHAR(8239)," "),CHAR(9)," "),CHAR(10)," "),CHAR(13)," ")),TRIM(SUBSTITUTE(SUBSTITUTE(SUBSTITUTE(SUBSTITUTE(SUBSTITUTE(CLEAN(K64:K77),CHAR(160)," "),_xlfn.UNICHAR(8239)," "),CHAR(9)," "),CHAR(10)," "),CHAR(13)," "))&lt;&gt;"")</f>
        <v>2=TEST LIGNE 17 ? ! : ; colonne Q et ligne 20 colonne</v>
      </c>
      <c r="M64" s="6331" t="str">
        <v>cocotte N°3 en fonte, faites chauffer l’huile d’olive</v>
      </c>
      <c r="N64" t="s">
        <v>21</v>
      </c>
      <c r="O64" s="6334" t="s">
        <v>14385</v>
      </c>
      <c r="P64" s="6335" t="str">
        <f t="shared" si="24"/>
        <v>15.TEST LIGNE 19 colonne Q et ligne 20 colonne P. rechercher la cellule qui coupe le texte Dans la cocotte N°3 en fonte, faites chauffer l’huile d’olive à feu moyen. Ajoutez la viande et faites-la dorer de tous les côtés. Retirez-la de la cocotte et réservez-la.</v>
      </c>
      <c r="Q64" s="6336" t="str">
        <f t="shared" si="25"/>
        <v>15.TEST LIGNE 19 colonne Q et ligne 20 colonne P. rechercher la cellule qui coupe le texte Dans la cocotte N°3 en fonte, faites chauffer l’huile d’olive à feu moyen. Ajoutez la viande et faites-la dorer de tous les côtés. Retirez-la de la cocotte et réservez-la.</v>
      </c>
      <c r="R64" s="6336" t="str">
        <f t="shared" si="26"/>
        <v>15.TEST LIGNE 19 colonne Q et ligne 20 colonne P. rechercher la cellule qui coupe le texte Dans la cocotte N°3 en fonte, faites chauffer l’huile d’olive à feu moyen. Ajoutez la viande et faites-la dorer de tous les côtés. Retirez-la de la cocotte et réservez-la.</v>
      </c>
      <c r="S64" s="6337" t="str">
        <f t="shared" si="27"/>
        <v>15 TEST LIGNE 19 colonne Q et ligne 20 colonne P rechercher la cellule qui coupe le texte Dans la cocotte N°3 en fonte faites chauffer l’huile d’olive à feu moyen Ajoutez la viande et faites-la dorer de tous les côtés Retirez-la de la cocotte et réservez-la</v>
      </c>
      <c r="T64" s="6337" t="str">
        <f t="shared" si="28"/>
        <v>15 TEST LIGNE 19 colonne Q et ligne 20 colonne P rechercher la cellule qui coupe le texte Dans la cocotte N°3 en fonte faites chauffer l’huile d’olive à feu moyen Ajoutez la viande et faites la dorer de tous les côtés Retirez la de la cocotte et réservez la</v>
      </c>
      <c r="U64" s="6337" t="str">
        <f t="shared" si="29"/>
        <v>15 TEST LIGNE 19 colonne Q et ligne 20 colonne P rechercher la cellule qui coupe le texte Dans la cocotte N°3 en fonte faites chauffer l’huile d’olive à feu moyen Ajoutez la viande et faites la dorer de tous les côtés Retirez la de la cocotte et réservez la</v>
      </c>
      <c r="V64" s="6338" t="str">
        <f t="shared" si="30"/>
        <v>15 TEST LIGNE 19 colonne Q et ligne 20 colonne P rechercher la cellule qui coupe le texte Dans la cocotte N°3 en fonte faites chauffer l’huile d’olive à feu moyen Ajoutez la viande et faites la dorer de tous les côtés Retirez la de la cocotte et réservez la</v>
      </c>
      <c r="W64" s="6239"/>
      <c r="X64" s="6339" t="str">
        <f t="shared" si="31"/>
        <v>ligne 64 ►</v>
      </c>
      <c r="Y64" s="6340" t="str">
        <f t="shared" si="35"/>
        <v>15.TEST LIGNE 19 colonne Q et ligne 20 colonne P. rechercher la cellule qui coupe le texte Dans la cocotte N°3 en fonte, faites chauffer l’huile d’olive à feu moyen. Ajoutez la viande et faites-la dorer de tous les côtés. Retirez-la de la cocotte et réservez-la.</v>
      </c>
      <c r="Z64" s="6341">
        <v>5</v>
      </c>
      <c r="AB64" s="6342" t="str">
        <f t="shared" si="32"/>
        <v>ligne 64 ►</v>
      </c>
      <c r="AC64" s="6343" t="str">
        <f t="shared" si="36"/>
        <v>15.TEST LIGNE 19 colonne Q et ligne 20 colonne P. rechercher la cellule qui coupe le texte Dans la cocotte N°3 en fonte, faites chauffer l’huile d’olive à feu moyen. Ajoutez la viande et faites-la dorer de tous les côtés. Retirez-la de la cocotte et réservez-la.</v>
      </c>
      <c r="AD64" s="6344">
        <v>150</v>
      </c>
      <c r="AF64" s="6345" t="str" cm="1">
        <f t="array" ref="AF64">IF(SUMPRODUCT((AL64:AQ64&lt;&gt;"")*1)=0,"",SUMPRODUCT((AL64:AQ64&lt;&gt;"")*(LEN(TRIM(SUBSTITUTE(AL64:AQ64,CHAR(160)," "))) - LEN(SUBSTITUTE(TRIM(SUBSTITUTE(AL64:AQ64,CHAR(160)," "))," ","")) + 1)) &amp; " mot" &amp; IF(SUMPRODUCT((AL64:AQ64&lt;&gt;"")*(LEN(TRIM(SUBSTITUTE(AL64:AQ64,CHAR(160)," "))) - LEN(SUBSTITUTE(TRIM(SUBSTITUTE(AL64:AQ64,CHAR(160)," "))," ","")) + 1))&gt;1,"s",""))</f>
        <v>20 mots</v>
      </c>
      <c r="AG64" s="2263" t="str" cm="1">
        <f t="array" ref="AG64">SUMPRODUCT(--(AL64:AS64&lt;&gt;""), LEN(TRIM(SUBSTITUTE(AL64:AS64, CHAR(160), "")))) &amp; " Car."</f>
        <v>117 Car.</v>
      </c>
      <c r="AH64" s="6366" t="s">
        <v>14368</v>
      </c>
      <c r="AI64" s="6367" t="str">
        <f t="shared" si="33"/>
        <v>15.TEST LIGNE 19 colonne Q et ligne 20 colonne P. rechercher la cellule qui coupe le texte Dans la cocotte N°3 en fonte, faites chauffer l’huile d’olive à feu moyen. Ajoutez la viande et faites-la dorer de tous les côtés. Retirez-la de la cocotte et réservez-la.</v>
      </c>
      <c r="AJ64" s="6368"/>
      <c r="AK64" s="2190">
        <f>ROWS(AO50:AO64)</f>
        <v>15</v>
      </c>
      <c r="AL64" s="1942" t="str">
        <v>d’olive à feu moyen. Ajoutez la viande et faites-la dorer de tous les côtés. Retirez-la de la cocotte et réservez-la.</v>
      </c>
      <c r="AM64" s="9"/>
      <c r="AN64" s="9"/>
      <c r="AO64" s="9"/>
      <c r="AP64" s="9"/>
      <c r="AQ64" s="9"/>
      <c r="AR64" s="9"/>
      <c r="AS64" s="9"/>
      <c r="AT64" s="592"/>
      <c r="AU64" s="9"/>
      <c r="AV64" s="6375" t="s">
        <v>10</v>
      </c>
      <c r="AW64" s="163" t="str">
        <f>AW23</f>
        <v>C Coquetiers de l'Antoine | | Auteur &gt; Guy KRENZE - Eric GODDYN - Arnaud NICOLAS - CEPROC 2002</v>
      </c>
      <c r="AX64" s="163">
        <f>AX23</f>
        <v>20</v>
      </c>
      <c r="AY64" s="164" t="str">
        <f>AY23</f>
        <v>coquetiers de 25 g</v>
      </c>
      <c r="AZ64" s="165" t="str">
        <f>AZ23</f>
        <v>Recette mère ► le Boudin en 4 déclinaisons</v>
      </c>
      <c r="BA64" s="176"/>
      <c r="BB64" s="176"/>
      <c r="BC64" s="176"/>
      <c r="BD64" s="176"/>
      <c r="BE64" s="176"/>
      <c r="BF64" s="176"/>
      <c r="BG64" s="176"/>
      <c r="BH64" s="176"/>
      <c r="BI64" s="176"/>
      <c r="BJ64" s="176"/>
      <c r="BK64" s="6389" t="s">
        <v>196</v>
      </c>
      <c r="BL64" s="2080"/>
      <c r="BM64" s="1970"/>
      <c r="BN64" s="99"/>
      <c r="BO64" s="1809"/>
      <c r="BQ64" s="2230"/>
      <c r="BR64" s="3">
        <v>1</v>
      </c>
    </row>
    <row r="65" spans="2:70" ht="21" customHeight="1">
      <c r="B65" s="6236"/>
      <c r="C65" s="6358">
        <f t="shared" ref="C65:C77" si="38">C64</f>
        <v>100</v>
      </c>
      <c r="D65" s="6390" t="str" cm="1">
        <f t="array" ref="D65">IF(MOD(ROW()-50,14)=0,INDEX(D64:D77,MOD(ROW()-50,14)+1),E63)</f>
        <v/>
      </c>
      <c r="E65" s="6391" t="str">
        <f t="shared" ref="E65:E77" si="39">IF(D65="","",IF(F65="","",IF(LEN(F65)&gt;=LEN(D65),"",TRIM(MID(D65,LEN(F65)+1,99999)))))</f>
        <v/>
      </c>
      <c r="F65" s="6392" t="str">
        <f t="shared" ref="F65:F77" si="40">IF(D65="","",IF(LEN(D65)&lt;=C65,D65,IFERROR(LEFT(D65,FIND("§",SUBSTITUTE(LEFT(D65,C65+1)," ","§",LEN(LEFT(D65,C65+1))-LEN(SUBSTITUTE(LEFT(D65,C65+1)," ",""))))-1),LEFT(D65,C65))))</f>
        <v/>
      </c>
      <c r="G65" s="6321" t="str">
        <v>7..TEST LIGNE 19 colonne Q et ligne 20 colonne P. rechercher la cellule qui coupe le texte Dans la cocotte N°3 en fonte, faites chauffer l’huile</v>
      </c>
      <c r="H65" s="6393">
        <f t="shared" ref="H65:H77" si="41">IF(LEN(TRIM(L65))&gt;0,MAX(H64:H64)+1,"")</f>
        <v>2</v>
      </c>
      <c r="I65" s="6394" t="s">
        <v>14355</v>
      </c>
      <c r="J65" s="6395" t="str">
        <f>TRIM(MID(I68,LEN(K64)+1,99999))</f>
        <v>P. rechercher la cellule qui coupe le texte Dans la cocotte N°3 en fonte, faites chauffer l’huile d’olive à feu moyen. Ajoutez la viande et faites-la dorer de tous les côtés. Retirez-la de la cocotte et réservez-la.</v>
      </c>
      <c r="K65" s="6396" t="str">
        <f>IF(J65="","",LEFT(J65,IF(LEN(J65)&lt;=I67,LEN(J65),IFERROR(FIND("§",SUBSTITUTE(LEFT(J65,I67+1)," ","§",LEN(LEFT(J65,I67+1))-LEN(SUBSTITUTE(LEFT(J65,I67+1)," ",""))))-1,IFERROR(FIND(" ",J65,I67+1)-1,LEN(J65))))))</f>
        <v>P. rechercher la cellule qui coupe le texte Dans la</v>
      </c>
      <c r="L65" s="6388" t="str">
        <v>P. rechercher la cellule qui coupe le texte Dans la</v>
      </c>
      <c r="M65" s="6332" t="str">
        <v>à feu moyen. Ajoutez la viande et faites-la dorer de</v>
      </c>
      <c r="N65" t="s">
        <v>21</v>
      </c>
      <c r="O65" s="6334" t="s">
        <v>14386</v>
      </c>
      <c r="P65" s="6335" t="str">
        <f t="shared" si="24"/>
        <v>16.TEST LIGNE 19 colonne Q et ligne 20 colonne P. rechercher la cellule qui coupe le texte Dans la cocotte N°3 en fonte, faites chauffer l’huile d’olive à feu moyen. Ajoutez la viande et faites-la dorer de tous les côtés. Retirez-la de la cocotte et réservez-la.</v>
      </c>
      <c r="Q65" s="6336" t="str">
        <f t="shared" si="25"/>
        <v>16.TEST LIGNE 19 colonne Q et ligne 20 colonne P. rechercher la cellule qui coupe le texte Dans la cocotte N°3 en fonte, faites chauffer l’huile d’olive à feu moyen. Ajoutez la viande et faites-la dorer de tous les côtés. Retirez-la de la cocotte et réservez-la.</v>
      </c>
      <c r="R65" s="6336" t="str">
        <f t="shared" si="26"/>
        <v>16.TEST LIGNE 19 colonne Q et ligne 20 colonne P. rechercher la cellule qui coupe le texte Dans la cocotte N°3 en fonte, faites chauffer l’huile d’olive à feu moyen. Ajoutez la viande et faites-la dorer de tous les côtés. Retirez-la de la cocotte et réservez-la.</v>
      </c>
      <c r="S65" s="6337" t="str">
        <f t="shared" si="27"/>
        <v>16 TEST LIGNE 19 colonne Q et ligne 20 colonne P rechercher la cellule qui coupe le texte Dans la cocotte N°3 en fonte faites chauffer l’huile d’olive à feu moyen Ajoutez la viande et faites-la dorer de tous les côtés Retirez-la de la cocotte et réservez-la</v>
      </c>
      <c r="T65" s="6337" t="str">
        <f t="shared" si="28"/>
        <v>16 TEST LIGNE 19 colonne Q et ligne 20 colonne P rechercher la cellule qui coupe le texte Dans la cocotte N°3 en fonte faites chauffer l’huile d’olive à feu moyen Ajoutez la viande et faites la dorer de tous les côtés Retirez la de la cocotte et réservez la</v>
      </c>
      <c r="U65" s="6337" t="str">
        <f t="shared" si="29"/>
        <v>16 TEST LIGNE 19 colonne Q et ligne 20 colonne P rechercher la cellule qui coupe le texte Dans la cocotte N°3 en fonte faites chauffer l’huile d’olive à feu moyen Ajoutez la viande et faites la dorer de tous les côtés Retirez la de la cocotte et réservez la</v>
      </c>
      <c r="V65" s="6338" t="str">
        <f t="shared" si="30"/>
        <v>16 TEST LIGNE 19 colonne Q et ligne 20 colonne P rechercher la cellule qui coupe le texte Dans la cocotte N°3 en fonte faites chauffer l’huile d’olive à feu moyen Ajoutez la viande et faites la dorer de tous les côtés Retirez la de la cocotte et réservez la</v>
      </c>
      <c r="W65" s="6239"/>
      <c r="X65" s="6339" t="str">
        <f t="shared" si="31"/>
        <v>ligne 65 ►</v>
      </c>
      <c r="Y65" s="6340" t="str">
        <f t="shared" si="35"/>
        <v>16.TEST LIGNE 19 colonne Q et ligne 20 colonne P. rechercher la cellule qui coupe le texte Dans la cocotte N°3 en fonte, faites chauffer l’huile d’olive à feu moyen. Ajoutez la viande et faites-la dorer de tous les côtés. Retirez-la de la cocotte et réservez-la.</v>
      </c>
      <c r="Z65" s="6341">
        <v>5</v>
      </c>
      <c r="AB65" s="6342" t="str">
        <f t="shared" si="32"/>
        <v>ligne 65 ►</v>
      </c>
      <c r="AC65" s="6343" t="str">
        <f t="shared" si="36"/>
        <v>16.TEST LIGNE 19 colonne Q et ligne 20 colonne P. rechercher la cellule qui coupe le texte Dans la cocotte N°3 en fonte, faites chauffer l’huile d’olive à feu moyen. Ajoutez la viande et faites-la dorer de tous les côtés. Retirez-la de la cocotte et réservez-la.</v>
      </c>
      <c r="AD65" s="6344">
        <v>150</v>
      </c>
      <c r="AF65" s="6345" t="str" cm="1">
        <f t="array" ref="AF65">IF(SUMPRODUCT((AL65:AQ65&lt;&gt;"")*1)=0,"",SUMPRODUCT((AL65:AQ65&lt;&gt;"")*(LEN(TRIM(SUBSTITUTE(AL65:AQ65,CHAR(160)," "))) - LEN(SUBSTITUTE(TRIM(SUBSTITUTE(AL65:AQ65,CHAR(160)," "))," ","")) + 1)) &amp; " mot" &amp; IF(SUMPRODUCT((AL65:AQ65&lt;&gt;"")*(LEN(TRIM(SUBSTITUTE(AL65:AQ65,CHAR(160)," "))) - LEN(SUBSTITUTE(TRIM(SUBSTITUTE(AL65:AQ65,CHAR(160)," "))," ","")) + 1))&gt;1,"s",""))</f>
        <v>26 mots</v>
      </c>
      <c r="AG65" s="2263" t="str" cm="1">
        <f t="array" ref="AG65">SUMPRODUCT(--(AL65:AS65&lt;&gt;""), LEN(TRIM(SUBSTITUTE(AL65:AS65, CHAR(160), "")))) &amp; " Car."</f>
        <v>144 Car.</v>
      </c>
      <c r="AH65" s="6366" t="s">
        <v>14368</v>
      </c>
      <c r="AI65" s="6367" t="str">
        <f t="shared" si="33"/>
        <v>16.TEST LIGNE 19 colonne Q et ligne 20 colonne P. rechercher la cellule qui coupe le texte Dans la cocotte N°3 en fonte, faites chauffer l’huile d’olive à feu moyen. Ajoutez la viande et faites-la dorer de tous les côtés. Retirez-la de la cocotte et réservez-la.</v>
      </c>
      <c r="AJ65" s="6368"/>
      <c r="AK65" s="2190">
        <f>ROWS(AO50:AO65)</f>
        <v>16</v>
      </c>
      <c r="AL65" s="1942" t="str">
        <v>7..TEST LIGNE 19 colonne Q et ligne 20 colonne P. rechercher la cellule qui coupe le texte Dans la cocotte N°3 en fonte, faites chauffer l’huile</v>
      </c>
      <c r="AM65" s="9"/>
      <c r="AN65" s="9"/>
      <c r="AO65" s="9"/>
      <c r="AP65" s="9"/>
      <c r="AQ65" s="9"/>
      <c r="AR65" s="9"/>
      <c r="AS65" s="9"/>
      <c r="AT65" s="592"/>
      <c r="AU65" s="9"/>
      <c r="AV65" s="6375" t="s">
        <v>10</v>
      </c>
      <c r="AW65" s="163" t="str">
        <f>AW23</f>
        <v>C Coquetiers de l'Antoine | | Auteur &gt; Guy KRENZE - Eric GODDYN - Arnaud NICOLAS - CEPROC 2002</v>
      </c>
      <c r="AX65" s="163">
        <f>AX23</f>
        <v>20</v>
      </c>
      <c r="AY65" s="164" t="str">
        <f>AY23</f>
        <v>coquetiers de 25 g</v>
      </c>
      <c r="AZ65" s="165" t="str">
        <f>AZ23</f>
        <v>Recette mère ► le Boudin en 4 déclinaisons</v>
      </c>
      <c r="BA65" s="204"/>
      <c r="BB65" s="204"/>
      <c r="BC65" s="204" t="s">
        <v>200</v>
      </c>
      <c r="BD65" s="205"/>
      <c r="BE65" s="206"/>
      <c r="BF65" s="206"/>
      <c r="BG65" s="206"/>
      <c r="BH65" s="206"/>
      <c r="BI65" s="206"/>
      <c r="BJ65" s="206"/>
      <c r="BK65" s="529"/>
      <c r="BL65" s="2080"/>
      <c r="BM65" s="1970"/>
      <c r="BN65" s="99"/>
      <c r="BO65" s="1809"/>
      <c r="BQ65" s="2230"/>
      <c r="BR65" s="3">
        <v>1</v>
      </c>
    </row>
    <row r="66" spans="2:70" ht="21" customHeight="1">
      <c r="B66" s="6236"/>
      <c r="C66" s="6358">
        <f t="shared" si="38"/>
        <v>100</v>
      </c>
      <c r="D66" s="6390" t="str" cm="1">
        <f t="array" ref="D66">IF(MOD(ROW()-50,14)=0,INDEX(D64:D77,MOD(ROW()-50,14)+1),E64)</f>
        <v>Dans la cocotte N°3 en fonte, faites chauffer l’huile d’olive à feu moyen. Ajoutez la viande et faites-la dorer de tous les côtés. Retirez-la de la cocotte et réservez-la.</v>
      </c>
      <c r="E66" s="6391" t="str">
        <f t="shared" si="39"/>
        <v>faites-la dorer de tous les côtés. Retirez-la de la cocotte et réservez-la.</v>
      </c>
      <c r="F66" s="6392" t="str">
        <f t="shared" si="40"/>
        <v>Dans la cocotte N°3 en fonte, faites chauffer l’huile d’olive à feu moyen. Ajoutez la viande et</v>
      </c>
      <c r="G66" s="6321" t="str">
        <v>d’olive à feu moyen. Ajoutez la viande et faites-la dorer de tous les côtés. Retirez-la de la cocotte et réservez-la.</v>
      </c>
      <c r="H66" s="6393">
        <f t="shared" si="41"/>
        <v>3</v>
      </c>
      <c r="I66" s="6365">
        <f>Z51</f>
        <v>5</v>
      </c>
      <c r="J66" s="6395" t="str">
        <f t="shared" ref="J66:J77" si="42">TRIM(MID(J65,LEN(K65)+1,99999))</f>
        <v>cocotte N°3 en fonte, faites chauffer l’huile d’olive à feu moyen. Ajoutez la viande et faites-la dorer de tous les côtés. Retirez-la de la cocotte et réservez-la.</v>
      </c>
      <c r="K66" s="6396" t="str">
        <f>IF(J66="","",LEFT(J66,IF(LEN(J66)&lt;=I67,LEN(J66),IFERROR(FIND("§",SUBSTITUTE(LEFT(J66,I67+1)," ","§",LEN(LEFT(J66,I67+1))-LEN(SUBSTITUTE(LEFT(J66,I67+1)," ",""))))-1,IFERROR(FIND(" ",J66,I67+1)-1,LEN(J66))))))</f>
        <v>cocotte N°3 en fonte, faites chauffer l’huile d’olive</v>
      </c>
      <c r="L66" s="6388" t="str">
        <v>cocotte N°3 en fonte, faites chauffer l’huile d’olive</v>
      </c>
      <c r="M66" s="6332" t="str">
        <v>tous les côtés. Retirez-la de la cocotte et</v>
      </c>
      <c r="N66" t="s">
        <v>21</v>
      </c>
      <c r="O66" s="6334" t="s">
        <v>14387</v>
      </c>
      <c r="P66" s="6335" t="str">
        <f t="shared" si="24"/>
        <v>17.TEST LIGNE 19 colonne Q et ligne 20 colonne P. rechercher la cellule qui coupe le texte Dans la cocotte N°3 en fonte, faites chauffer l’huile d’olive à feu moyen. Ajoutez la viande et faites-la dorer de tous les côtés. Retirez-la de la cocotte et réservez-la.</v>
      </c>
      <c r="Q66" s="6336" t="str">
        <f t="shared" si="25"/>
        <v>17.TEST LIGNE 19 colonne Q et ligne 20 colonne P. rechercher la cellule qui coupe le texte Dans la cocotte N°3 en fonte, faites chauffer l’huile d’olive à feu moyen. Ajoutez la viande et faites-la dorer de tous les côtés. Retirez-la de la cocotte et réservez-la.</v>
      </c>
      <c r="R66" s="6336" t="str">
        <f t="shared" si="26"/>
        <v>17.TEST LIGNE 19 colonne Q et ligne 20 colonne P. rechercher la cellule qui coupe le texte Dans la cocotte N°3 en fonte, faites chauffer l’huile d’olive à feu moyen. Ajoutez la viande et faites-la dorer de tous les côtés. Retirez-la de la cocotte et réservez-la.</v>
      </c>
      <c r="S66" s="6337" t="str">
        <f t="shared" si="27"/>
        <v>17 TEST LIGNE 19 colonne Q et ligne 20 colonne P rechercher la cellule qui coupe le texte Dans la cocotte N°3 en fonte faites chauffer l’huile d’olive à feu moyen Ajoutez la viande et faites-la dorer de tous les côtés Retirez-la de la cocotte et réservez-la</v>
      </c>
      <c r="T66" s="6337" t="str">
        <f t="shared" si="28"/>
        <v>17 TEST LIGNE 19 colonne Q et ligne 20 colonne P rechercher la cellule qui coupe le texte Dans la cocotte N°3 en fonte faites chauffer l’huile d’olive à feu moyen Ajoutez la viande et faites la dorer de tous les côtés Retirez la de la cocotte et réservez la</v>
      </c>
      <c r="U66" s="6337" t="str">
        <f t="shared" si="29"/>
        <v>17 TEST LIGNE 19 colonne Q et ligne 20 colonne P rechercher la cellule qui coupe le texte Dans la cocotte N°3 en fonte faites chauffer l’huile d’olive à feu moyen Ajoutez la viande et faites la dorer de tous les côtés Retirez la de la cocotte et réservez la</v>
      </c>
      <c r="V66" s="6338" t="str">
        <f t="shared" si="30"/>
        <v>17 TEST LIGNE 19 colonne Q et ligne 20 colonne P rechercher la cellule qui coupe le texte Dans la cocotte N°3 en fonte faites chauffer l’huile d’olive à feu moyen Ajoutez la viande et faites la dorer de tous les côtés Retirez la de la cocotte et réservez la</v>
      </c>
      <c r="W66" s="6239"/>
      <c r="X66" s="6339" t="str">
        <f t="shared" si="31"/>
        <v>ligne 66 ►</v>
      </c>
      <c r="Y66" s="6340" t="str">
        <f t="shared" si="35"/>
        <v>17.TEST LIGNE 19 colonne Q et ligne 20 colonne P. rechercher la cellule qui coupe le texte Dans la cocotte N°3 en fonte, faites chauffer l’huile d’olive à feu moyen. Ajoutez la viande et faites-la dorer de tous les côtés. Retirez-la de la cocotte et réservez-la.</v>
      </c>
      <c r="Z66" s="6341">
        <v>5</v>
      </c>
      <c r="AB66" s="6342" t="str">
        <f t="shared" si="32"/>
        <v>ligne 66 ►</v>
      </c>
      <c r="AC66" s="6343" t="str">
        <f t="shared" si="36"/>
        <v>17.TEST LIGNE 19 colonne Q et ligne 20 colonne P. rechercher la cellule qui coupe le texte Dans la cocotte N°3 en fonte, faites chauffer l’huile d’olive à feu moyen. Ajoutez la viande et faites-la dorer de tous les côtés. Retirez-la de la cocotte et réservez-la.</v>
      </c>
      <c r="AD66" s="6344">
        <v>150</v>
      </c>
      <c r="AF66" s="6345" t="str" cm="1">
        <f t="array" ref="AF66">IF(SUMPRODUCT((AL66:AQ66&lt;&gt;"")*1)=0,"",SUMPRODUCT((AL66:AQ66&lt;&gt;"")*(LEN(TRIM(SUBSTITUTE(AL66:AQ66,CHAR(160)," "))) - LEN(SUBSTITUTE(TRIM(SUBSTITUTE(AL66:AQ66,CHAR(160)," "))," ","")) + 1)) &amp; " mot" &amp; IF(SUMPRODUCT((AL66:AQ66&lt;&gt;"")*(LEN(TRIM(SUBSTITUTE(AL66:AQ66,CHAR(160)," "))) - LEN(SUBSTITUTE(TRIM(SUBSTITUTE(AL66:AQ66,CHAR(160)," "))," ","")) + 1))&gt;1,"s",""))</f>
        <v>20 mots</v>
      </c>
      <c r="AG66" s="2263" t="str" cm="1">
        <f t="array" ref="AG66">SUMPRODUCT(--(AL66:AS66&lt;&gt;""), LEN(TRIM(SUBSTITUTE(AL66:AS66, CHAR(160), "")))) &amp; " Car."</f>
        <v>117 Car.</v>
      </c>
      <c r="AH66" s="6366" t="s">
        <v>14368</v>
      </c>
      <c r="AI66" s="6367" t="str">
        <f t="shared" si="33"/>
        <v>17.TEST LIGNE 19 colonne Q et ligne 20 colonne P. rechercher la cellule qui coupe le texte Dans la cocotte N°3 en fonte, faites chauffer l’huile d’olive à feu moyen. Ajoutez la viande et faites-la dorer de tous les côtés. Retirez-la de la cocotte et réservez-la.</v>
      </c>
      <c r="AJ66" s="6368"/>
      <c r="AK66" s="2190">
        <f>ROWS(AO50:AO66)</f>
        <v>17</v>
      </c>
      <c r="AL66" s="1942" t="str">
        <v>d’olive à feu moyen. Ajoutez la viande et faites-la dorer de tous les côtés. Retirez-la de la cocotte et réservez-la.</v>
      </c>
      <c r="AM66" s="9"/>
      <c r="AN66" s="9"/>
      <c r="AO66" s="9"/>
      <c r="AP66" s="9"/>
      <c r="AQ66" s="9"/>
      <c r="AR66" s="9"/>
      <c r="AS66" s="9"/>
      <c r="AT66" s="592"/>
      <c r="AU66" s="9"/>
      <c r="AV66" s="6375" t="s">
        <v>10</v>
      </c>
      <c r="AW66" s="209" t="str">
        <f>AW23</f>
        <v>C Coquetiers de l'Antoine | | Auteur &gt; Guy KRENZE - Eric GODDYN - Arnaud NICOLAS - CEPROC 2002</v>
      </c>
      <c r="AX66" s="209">
        <f>AX23</f>
        <v>20</v>
      </c>
      <c r="AY66" s="210" t="str">
        <f>AY23</f>
        <v>coquetiers de 25 g</v>
      </c>
      <c r="AZ66" s="211" t="str">
        <f>AZ23</f>
        <v>Recette mère ► le Boudin en 4 déclinaisons</v>
      </c>
      <c r="BA66" s="6397"/>
      <c r="BB66" s="212"/>
      <c r="BC66" s="213"/>
      <c r="BD66" s="214"/>
      <c r="BE66" s="213"/>
      <c r="BF66" s="213"/>
      <c r="BG66" s="213"/>
      <c r="BH66" s="213"/>
      <c r="BI66" s="213"/>
      <c r="BJ66" s="213"/>
      <c r="BK66" s="541"/>
      <c r="BL66" s="2080"/>
      <c r="BM66" s="1970"/>
      <c r="BN66" s="99"/>
      <c r="BO66" s="1809"/>
      <c r="BQ66" s="2230"/>
      <c r="BR66" s="3">
        <v>1</v>
      </c>
    </row>
    <row r="67" spans="2:70" ht="21" customHeight="1" thickBot="1">
      <c r="B67" s="6236"/>
      <c r="C67" s="6358">
        <f t="shared" si="38"/>
        <v>100</v>
      </c>
      <c r="D67" s="6390" t="str" cm="1">
        <f t="array" ref="D67">IF(MOD(ROW()-50,14)=0,INDEX(D64:D77,MOD(ROW()-50,14)+1),E65)</f>
        <v/>
      </c>
      <c r="E67" s="6391" t="str">
        <f t="shared" si="39"/>
        <v/>
      </c>
      <c r="F67" s="6392" t="str">
        <f t="shared" si="40"/>
        <v/>
      </c>
      <c r="G67" s="6321" t="str">
        <v>8..TEST LIGNE 19 colonne Q et ligne 20 colonne P. rechercher la cellule qui coupe le texte Dans la cocotte N°3 en fonte, faites chauffer l’huile</v>
      </c>
      <c r="H67" s="6393">
        <f t="shared" si="41"/>
        <v>4</v>
      </c>
      <c r="I67" s="6398">
        <f>IF(OR(J64="",I66="",I66&lt;=0),"",ROUNDUP(LEN(J64)/I66,0))</f>
        <v>54</v>
      </c>
      <c r="J67" s="6395" t="str">
        <f t="shared" si="42"/>
        <v>à feu moyen. Ajoutez la viande et faites-la dorer de tous les côtés. Retirez-la de la cocotte et réservez-la.</v>
      </c>
      <c r="K67" s="6396" t="str">
        <f>IF(J67="","",LEFT(J67,IF(LEN(J67)&lt;=I67,LEN(J67),IFERROR(FIND("§",SUBSTITUTE(LEFT(J67,I67+1)," ","§",LEN(LEFT(J67,I67+1))-LEN(SUBSTITUTE(LEFT(J67,I67+1)," ",""))))-1,IFERROR(FIND(" ",J67,I67+1)-1,LEN(J67))))))</f>
        <v>à feu moyen. Ajoutez la viande et faites-la dorer de</v>
      </c>
      <c r="L67" s="6388" t="str">
        <v>à feu moyen. Ajoutez la viande et faites-la dorer de</v>
      </c>
      <c r="M67" s="6332" t="str">
        <v>réservez-la.</v>
      </c>
      <c r="N67" t="s">
        <v>21</v>
      </c>
      <c r="O67" s="6334" t="s">
        <v>14388</v>
      </c>
      <c r="P67" s="6335" t="str">
        <f t="shared" si="24"/>
        <v>18.TEST LIGNE 19 colonne Q et ligne 20 colonne P. rechercher la cellule qui coupe le texte Dans la cocotte N°3 en fonte, faites chauffer l’huile d’olive à feu moyen. Ajoutez la viande et faites-la dorer de tous les côtés. Retirez-la de la cocotte et réservez-la.</v>
      </c>
      <c r="Q67" s="6336" t="str">
        <f t="shared" si="25"/>
        <v>18.TEST LIGNE 19 colonne Q et ligne 20 colonne P. rechercher la cellule qui coupe le texte Dans la cocotte N°3 en fonte, faites chauffer l’huile d’olive à feu moyen. Ajoutez la viande et faites-la dorer de tous les côtés. Retirez-la de la cocotte et réservez-la.</v>
      </c>
      <c r="R67" s="6336" t="str">
        <f t="shared" si="26"/>
        <v>18.TEST LIGNE 19 colonne Q et ligne 20 colonne P. rechercher la cellule qui coupe le texte Dans la cocotte N°3 en fonte, faites chauffer l’huile d’olive à feu moyen. Ajoutez la viande et faites-la dorer de tous les côtés. Retirez-la de la cocotte et réservez-la.</v>
      </c>
      <c r="S67" s="6337" t="str">
        <f t="shared" si="27"/>
        <v>18 TEST LIGNE 19 colonne Q et ligne 20 colonne P rechercher la cellule qui coupe le texte Dans la cocotte N°3 en fonte faites chauffer l’huile d’olive à feu moyen Ajoutez la viande et faites-la dorer de tous les côtés Retirez-la de la cocotte et réservez-la</v>
      </c>
      <c r="T67" s="6337" t="str">
        <f t="shared" si="28"/>
        <v>18 TEST LIGNE 19 colonne Q et ligne 20 colonne P rechercher la cellule qui coupe le texte Dans la cocotte N°3 en fonte faites chauffer l’huile d’olive à feu moyen Ajoutez la viande et faites la dorer de tous les côtés Retirez la de la cocotte et réservez la</v>
      </c>
      <c r="U67" s="6337" t="str">
        <f t="shared" si="29"/>
        <v>18 TEST LIGNE 19 colonne Q et ligne 20 colonne P rechercher la cellule qui coupe le texte Dans la cocotte N°3 en fonte faites chauffer l’huile d’olive à feu moyen Ajoutez la viande et faites la dorer de tous les côtés Retirez la de la cocotte et réservez la</v>
      </c>
      <c r="V67" s="6338" t="str">
        <f t="shared" si="30"/>
        <v>18 TEST LIGNE 19 colonne Q et ligne 20 colonne P rechercher la cellule qui coupe le texte Dans la cocotte N°3 en fonte faites chauffer l’huile d’olive à feu moyen Ajoutez la viande et faites la dorer de tous les côtés Retirez la de la cocotte et réservez la</v>
      </c>
      <c r="W67" s="6239"/>
      <c r="X67" s="6339" t="str">
        <f t="shared" si="31"/>
        <v>ligne 67 ►</v>
      </c>
      <c r="Y67" s="6340" t="str">
        <f t="shared" si="35"/>
        <v>18.TEST LIGNE 19 colonne Q et ligne 20 colonne P. rechercher la cellule qui coupe le texte Dans la cocotte N°3 en fonte, faites chauffer l’huile d’olive à feu moyen. Ajoutez la viande et faites-la dorer de tous les côtés. Retirez-la de la cocotte et réservez-la.</v>
      </c>
      <c r="Z67" s="6341">
        <v>5</v>
      </c>
      <c r="AB67" s="6342" t="str">
        <f t="shared" si="32"/>
        <v>ligne 67 ►</v>
      </c>
      <c r="AC67" s="6343" t="str">
        <f t="shared" si="36"/>
        <v>18.TEST LIGNE 19 colonne Q et ligne 20 colonne P. rechercher la cellule qui coupe le texte Dans la cocotte N°3 en fonte, faites chauffer l’huile d’olive à feu moyen. Ajoutez la viande et faites-la dorer de tous les côtés. Retirez-la de la cocotte et réservez-la.</v>
      </c>
      <c r="AD67" s="6344">
        <v>150</v>
      </c>
      <c r="AF67" s="6345" t="str" cm="1">
        <f t="array" ref="AF67">IF(SUMPRODUCT((AL67:AQ67&lt;&gt;"")*1)=0,"",SUMPRODUCT((AL67:AQ67&lt;&gt;"")*(LEN(TRIM(SUBSTITUTE(AL67:AQ67,CHAR(160)," "))) - LEN(SUBSTITUTE(TRIM(SUBSTITUTE(AL67:AQ67,CHAR(160)," "))," ","")) + 1)) &amp; " mot" &amp; IF(SUMPRODUCT((AL67:AQ67&lt;&gt;"")*(LEN(TRIM(SUBSTITUTE(AL67:AQ67,CHAR(160)," "))) - LEN(SUBSTITUTE(TRIM(SUBSTITUTE(AL67:AQ67,CHAR(160)," "))," ","")) + 1))&gt;1,"s",""))</f>
        <v>26 mots</v>
      </c>
      <c r="AG67" s="2263" t="str" cm="1">
        <f t="array" ref="AG67">SUMPRODUCT(--(AL67:AS67&lt;&gt;""), LEN(TRIM(SUBSTITUTE(AL67:AS67, CHAR(160), "")))) &amp; " Car."</f>
        <v>144 Car.</v>
      </c>
      <c r="AH67" s="6366" t="s">
        <v>14368</v>
      </c>
      <c r="AI67" s="6367" t="str">
        <f t="shared" si="33"/>
        <v>18.TEST LIGNE 19 colonne Q et ligne 20 colonne P. rechercher la cellule qui coupe le texte Dans la cocotte N°3 en fonte, faites chauffer l’huile d’olive à feu moyen. Ajoutez la viande et faites-la dorer de tous les côtés. Retirez-la de la cocotte et réservez-la.</v>
      </c>
      <c r="AJ67" s="6368"/>
      <c r="AK67" s="2190">
        <f>ROWS(AO50:AO67)</f>
        <v>18</v>
      </c>
      <c r="AL67" s="1942" t="str">
        <v>8..TEST LIGNE 19 colonne Q et ligne 20 colonne P. rechercher la cellule qui coupe le texte Dans la cocotte N°3 en fonte, faites chauffer l’huile</v>
      </c>
      <c r="AM67" s="9"/>
      <c r="AN67" s="9"/>
      <c r="AO67" s="9"/>
      <c r="AP67" s="9"/>
      <c r="AQ67" s="9"/>
      <c r="AR67" s="9"/>
      <c r="AS67" s="9"/>
      <c r="AT67" s="592"/>
      <c r="AU67" s="9"/>
      <c r="AV67" s="215" t="s">
        <v>10</v>
      </c>
      <c r="AW67" s="216"/>
      <c r="AX67" s="216"/>
      <c r="AY67" s="216"/>
      <c r="AZ67" s="217"/>
      <c r="BA67" s="218" t="s">
        <v>207</v>
      </c>
      <c r="BB67" s="6399" t="str">
        <f ca="1">CELL("nomfichier")</f>
        <v>D:\Données\1.UPRT\0-UPRT.fait\1-UPRT.FR-SITE-WEB\ff-fiches-fabrications\ff.fiches.fabrication.2023\ffr.restaurant.2023\[ff.FICHE.TRILINGUE.20.COLONNES.05.01.2026.xlsx]Couleurs.pour.vos.documents</v>
      </c>
      <c r="BC67" s="220"/>
      <c r="BD67" s="220"/>
      <c r="BE67" s="220"/>
      <c r="BF67" s="220"/>
      <c r="BG67" s="220"/>
      <c r="BH67" s="220"/>
      <c r="BI67" s="220"/>
      <c r="BJ67" s="220"/>
      <c r="BK67" s="221"/>
      <c r="BL67" s="2080"/>
      <c r="BM67" s="1970"/>
      <c r="BN67" s="99"/>
      <c r="BO67" s="1809"/>
      <c r="BQ67" s="2230"/>
      <c r="BR67" s="3">
        <v>1</v>
      </c>
    </row>
    <row r="68" spans="2:70" ht="21" customHeight="1">
      <c r="B68" s="6236"/>
      <c r="C68" s="6358">
        <f t="shared" si="38"/>
        <v>100</v>
      </c>
      <c r="D68" s="6390" t="str" cm="1">
        <f t="array" ref="D68">IF(MOD(ROW()-50,14)=0,INDEX(D64:D77,MOD(ROW()-50,14)+1),E66)</f>
        <v>faites-la dorer de tous les côtés. Retirez-la de la cocotte et réservez-la.</v>
      </c>
      <c r="E68" s="6391" t="str">
        <f t="shared" si="39"/>
        <v/>
      </c>
      <c r="F68" s="6392" t="str">
        <f t="shared" si="40"/>
        <v>faites-la dorer de tous les côtés. Retirez-la de la cocotte et réservez-la.</v>
      </c>
      <c r="G68" s="6321" t="str">
        <v>d’olive à feu moyen. Ajoutez la viande et faites-la dorer de tous les côtés. Retirez-la de la cocotte et réservez-la.</v>
      </c>
      <c r="H68" s="6393">
        <f t="shared" si="41"/>
        <v>5</v>
      </c>
      <c r="I68" s="6400" t="str">
        <f>I64</f>
        <v>2=TEST LIGNE 17 ? ! : ;  colonne Q et ligne 20 colonne P. rechercher la cellule qui coupe le texte Dans la cocotte N°3 en fonte, faites chauffer l’huile d’olive à feu moyen. Ajoutez la viande et faites-la dorer de tous les côtés. Retirez-la de la cocotte et réservez-la.</v>
      </c>
      <c r="J68" s="6395" t="str">
        <f t="shared" si="42"/>
        <v>tous les côtés. Retirez-la de la cocotte et réservez-la.</v>
      </c>
      <c r="K68" s="6396" t="str">
        <f>IF(J68="","",LEFT(J68,IF(LEN(J68)&lt;=I67,LEN(J68),IFERROR(FIND("§",SUBSTITUTE(LEFT(J68,I67+1)," ","§",LEN(LEFT(J68,I67+1))-LEN(SUBSTITUTE(LEFT(J68,I67+1)," ",""))))-1,IFERROR(FIND(" ",J68,I67+1)-1,LEN(J68))))))</f>
        <v>tous les côtés. Retirez-la de la cocotte et</v>
      </c>
      <c r="L68" s="6388" t="str">
        <v>tous les côtés. Retirez-la de la cocotte et</v>
      </c>
      <c r="M68" s="6332" t="str">
        <v>4.TEST LIGNE 17 colonne Q et ligne 20 colonne P.</v>
      </c>
      <c r="N68" t="s">
        <v>21</v>
      </c>
      <c r="O68" s="6334" t="s">
        <v>14389</v>
      </c>
      <c r="P68" s="6335" t="str">
        <f t="shared" si="24"/>
        <v>19.TEST LIGNE 19 colonne Q et ligne 20 colonne P. rechercher la cellule qui coupe le texte Dans la cocotte N°3 en fonte, faites chauffer l’huile d’olive à feu moyen. Ajoutez la viande et faites-la dorer de tous les côtés. Retirez-la de la cocotte et réservez-la.</v>
      </c>
      <c r="Q68" s="6336" t="str">
        <f t="shared" si="25"/>
        <v>19.TEST LIGNE 19 colonne Q et ligne 20 colonne P. rechercher la cellule qui coupe le texte Dans la cocotte N°3 en fonte, faites chauffer l’huile d’olive à feu moyen. Ajoutez la viande et faites-la dorer de tous les côtés. Retirez-la de la cocotte et réservez-la.</v>
      </c>
      <c r="R68" s="6336" t="str">
        <f t="shared" si="26"/>
        <v>19.TEST LIGNE 19 colonne Q et ligne 20 colonne P. rechercher la cellule qui coupe le texte Dans la cocotte N°3 en fonte, faites chauffer l’huile d’olive à feu moyen. Ajoutez la viande et faites-la dorer de tous les côtés. Retirez-la de la cocotte et réservez-la.</v>
      </c>
      <c r="S68" s="6337" t="str">
        <f t="shared" si="27"/>
        <v>19 TEST LIGNE 19 colonne Q et ligne 20 colonne P rechercher la cellule qui coupe le texte Dans la cocotte N°3 en fonte faites chauffer l’huile d’olive à feu moyen Ajoutez la viande et faites-la dorer de tous les côtés Retirez-la de la cocotte et réservez-la</v>
      </c>
      <c r="T68" s="6337" t="str">
        <f t="shared" si="28"/>
        <v>19 TEST LIGNE 19 colonne Q et ligne 20 colonne P rechercher la cellule qui coupe le texte Dans la cocotte N°3 en fonte faites chauffer l’huile d’olive à feu moyen Ajoutez la viande et faites la dorer de tous les côtés Retirez la de la cocotte et réservez la</v>
      </c>
      <c r="U68" s="6337" t="str">
        <f t="shared" si="29"/>
        <v>19 TEST LIGNE 19 colonne Q et ligne 20 colonne P rechercher la cellule qui coupe le texte Dans la cocotte N°3 en fonte faites chauffer l’huile d’olive à feu moyen Ajoutez la viande et faites la dorer de tous les côtés Retirez la de la cocotte et réservez la</v>
      </c>
      <c r="V68" s="6338" t="str">
        <f t="shared" si="30"/>
        <v>19 TEST LIGNE 19 colonne Q et ligne 20 colonne P rechercher la cellule qui coupe le texte Dans la cocotte N°3 en fonte faites chauffer l’huile d’olive à feu moyen Ajoutez la viande et faites la dorer de tous les côtés Retirez la de la cocotte et réservez la</v>
      </c>
      <c r="W68" s="6239"/>
      <c r="X68" s="6339" t="str">
        <f t="shared" si="31"/>
        <v>ligne 68 ►</v>
      </c>
      <c r="Y68" s="6340" t="str">
        <f t="shared" si="35"/>
        <v>19.TEST LIGNE 19 colonne Q et ligne 20 colonne P. rechercher la cellule qui coupe le texte Dans la cocotte N°3 en fonte, faites chauffer l’huile d’olive à feu moyen. Ajoutez la viande et faites-la dorer de tous les côtés. Retirez-la de la cocotte et réservez-la.</v>
      </c>
      <c r="Z68" s="6341">
        <v>5</v>
      </c>
      <c r="AB68" s="6342" t="str">
        <f t="shared" si="32"/>
        <v>ligne 68 ►</v>
      </c>
      <c r="AC68" s="6343" t="str">
        <f t="shared" si="36"/>
        <v>19.TEST LIGNE 19 colonne Q et ligne 20 colonne P. rechercher la cellule qui coupe le texte Dans la cocotte N°3 en fonte, faites chauffer l’huile d’olive à feu moyen. Ajoutez la viande et faites-la dorer de tous les côtés. Retirez-la de la cocotte et réservez-la.</v>
      </c>
      <c r="AD68" s="6344">
        <v>150</v>
      </c>
      <c r="AF68" s="6345" t="str" cm="1">
        <f t="array" ref="AF68">IF(SUMPRODUCT((AL68:AQ68&lt;&gt;"")*1)=0,"",SUMPRODUCT((AL68:AQ68&lt;&gt;"")*(LEN(TRIM(SUBSTITUTE(AL68:AQ68,CHAR(160)," "))) - LEN(SUBSTITUTE(TRIM(SUBSTITUTE(AL68:AQ68,CHAR(160)," "))," ","")) + 1)) &amp; " mot" &amp; IF(SUMPRODUCT((AL68:AQ68&lt;&gt;"")*(LEN(TRIM(SUBSTITUTE(AL68:AQ68,CHAR(160)," "))) - LEN(SUBSTITUTE(TRIM(SUBSTITUTE(AL68:AQ68,CHAR(160)," "))," ","")) + 1))&gt;1,"s",""))</f>
        <v>20 mots</v>
      </c>
      <c r="AG68" s="2263" t="str" cm="1">
        <f t="array" ref="AG68">SUMPRODUCT(--(AL68:AS68&lt;&gt;""), LEN(TRIM(SUBSTITUTE(AL68:AS68, CHAR(160), "")))) &amp; " Car."</f>
        <v>117 Car.</v>
      </c>
      <c r="AH68" s="6366" t="s">
        <v>14368</v>
      </c>
      <c r="AI68" s="6367" t="str">
        <f t="shared" si="33"/>
        <v>19.TEST LIGNE 19 colonne Q et ligne 20 colonne P. rechercher la cellule qui coupe le texte Dans la cocotte N°3 en fonte, faites chauffer l’huile d’olive à feu moyen. Ajoutez la viande et faites-la dorer de tous les côtés. Retirez-la de la cocotte et réservez-la.</v>
      </c>
      <c r="AJ68" s="6368"/>
      <c r="AK68" s="2190">
        <f>ROWS(AO50:AO68)</f>
        <v>19</v>
      </c>
      <c r="AL68" s="1942" t="str">
        <v>d’olive à feu moyen. Ajoutez la viande et faites-la dorer de tous les côtés. Retirez-la de la cocotte et réservez-la.</v>
      </c>
      <c r="AM68" s="9"/>
      <c r="AN68" s="9"/>
      <c r="AO68" s="9"/>
      <c r="AP68" s="9"/>
      <c r="AQ68" s="9"/>
      <c r="AR68" s="9"/>
      <c r="AS68" s="9"/>
      <c r="AT68" s="592"/>
      <c r="AU68" s="9"/>
      <c r="AV68" s="103"/>
      <c r="AW68" s="31"/>
      <c r="AX68" s="32"/>
      <c r="AY68" s="31"/>
      <c r="AZ68" s="33"/>
      <c r="BA68" s="1967"/>
      <c r="BB68" s="1805"/>
      <c r="BC68" s="91"/>
      <c r="BD68" s="1806"/>
      <c r="BE68" s="6401"/>
      <c r="BF68" s="6402"/>
      <c r="BG68" s="1969"/>
      <c r="BH68" s="6403"/>
      <c r="BI68" s="95"/>
      <c r="BJ68" s="1326"/>
      <c r="BK68" s="6404"/>
      <c r="BL68" s="1737"/>
      <c r="BM68" s="2081"/>
      <c r="BN68" s="2238"/>
      <c r="BO68" s="1809"/>
      <c r="BQ68" s="2230"/>
      <c r="BR68" s="3">
        <v>1</v>
      </c>
    </row>
    <row r="69" spans="2:70" ht="21" customHeight="1">
      <c r="B69" s="6236"/>
      <c r="C69" s="6358">
        <f t="shared" si="38"/>
        <v>100</v>
      </c>
      <c r="D69" s="6390" t="str" cm="1">
        <f t="array" ref="D69">IF(MOD(ROW()-50,14)=0,INDEX(D64:D77,MOD(ROW()-50,14)+1),E67)</f>
        <v/>
      </c>
      <c r="E69" s="6391" t="str">
        <f t="shared" si="39"/>
        <v/>
      </c>
      <c r="F69" s="6392" t="str">
        <f t="shared" si="40"/>
        <v/>
      </c>
      <c r="G69" s="6321" t="str">
        <v>9.TEST LIGNE 19 colonne Q et ligne 20 colonne P. rechercher la cellule qui coupe le texte Dans la cocotte N°3 en fonte, faites chauffer l’huile</v>
      </c>
      <c r="H69" s="6393">
        <f t="shared" si="41"/>
        <v>6</v>
      </c>
      <c r="I69" s="6405"/>
      <c r="J69" s="6395" t="str">
        <f t="shared" si="42"/>
        <v>réservez-la.</v>
      </c>
      <c r="K69" s="6396" t="str">
        <f>IF(J69="","",LEFT(J69,IF(LEN(J69)&lt;=I67,LEN(J69),IFERROR(FIND("§",SUBSTITUTE(LEFT(J69,I67+1)," ","§",LEN(LEFT(J69,I67+1))-LEN(SUBSTITUTE(LEFT(J69,I67+1)," ",""))))-1,IFERROR(FIND(" ",J69,I67+1)-1,LEN(J69))))))</f>
        <v>réservez-la.</v>
      </c>
      <c r="L69" s="6388" t="str">
        <v>réservez-la.</v>
      </c>
      <c r="M69" s="6332" t="str">
        <v>rechercher la cellule qui coupe le texte Dans la</v>
      </c>
      <c r="N69" t="s">
        <v>21</v>
      </c>
      <c r="O69" s="6334" t="s">
        <v>14390</v>
      </c>
      <c r="P69" s="6335" t="str">
        <f t="shared" si="24"/>
        <v>20.TEST LIGNE 19 colonne Q et ligne 20 colonne P. rechercher la cellule qui coupe le texte Dans la cocotte N°3 en fonte, faites chauffer l’huile d’olive à feu moyen. Ajoutez la viande et faites-la dorer de tous les côtés. Retirez-la de la cocotte et réservez-la.</v>
      </c>
      <c r="Q69" s="6336" t="str">
        <f t="shared" si="25"/>
        <v>20.TEST LIGNE 19 colonne Q et ligne 20 colonne P. rechercher la cellule qui coupe le texte Dans la cocotte N°3 en fonte, faites chauffer l’huile d’olive à feu moyen. Ajoutez la viande et faites-la dorer de tous les côtés. Retirez-la de la cocotte et réservez-la.</v>
      </c>
      <c r="R69" s="6336" t="str">
        <f t="shared" si="26"/>
        <v>20.TEST LIGNE 19 colonne Q et ligne 20 colonne P. rechercher la cellule qui coupe le texte Dans la cocotte N°3 en fonte, faites chauffer l’huile d’olive à feu moyen. Ajoutez la viande et faites-la dorer de tous les côtés. Retirez-la de la cocotte et réservez-la.</v>
      </c>
      <c r="S69" s="6337" t="str">
        <f t="shared" si="27"/>
        <v>20 TEST LIGNE 19 colonne Q et ligne 20 colonne P rechercher la cellule qui coupe le texte Dans la cocotte N°3 en fonte faites chauffer l’huile d’olive à feu moyen Ajoutez la viande et faites-la dorer de tous les côtés Retirez-la de la cocotte et réservez-la</v>
      </c>
      <c r="T69" s="6337" t="str">
        <f t="shared" si="28"/>
        <v>20 TEST LIGNE 19 colonne Q et ligne 20 colonne P rechercher la cellule qui coupe le texte Dans la cocotte N°3 en fonte faites chauffer l’huile d’olive à feu moyen Ajoutez la viande et faites la dorer de tous les côtés Retirez la de la cocotte et réservez la</v>
      </c>
      <c r="U69" s="6337" t="str">
        <f t="shared" si="29"/>
        <v>20 TEST LIGNE 19 colonne Q et ligne 20 colonne P rechercher la cellule qui coupe le texte Dans la cocotte N°3 en fonte faites chauffer l’huile d’olive à feu moyen Ajoutez la viande et faites la dorer de tous les côtés Retirez la de la cocotte et réservez la</v>
      </c>
      <c r="V69" s="6338" t="str">
        <f t="shared" si="30"/>
        <v>20 TEST LIGNE 19 colonne Q et ligne 20 colonne P rechercher la cellule qui coupe le texte Dans la cocotte N°3 en fonte faites chauffer l’huile d’olive à feu moyen Ajoutez la viande et faites la dorer de tous les côtés Retirez la de la cocotte et réservez la</v>
      </c>
      <c r="W69" s="6239"/>
      <c r="X69" s="6339" t="str">
        <f t="shared" si="31"/>
        <v>ligne 69 ►</v>
      </c>
      <c r="Y69" s="6340" t="str">
        <f t="shared" si="35"/>
        <v>20.TEST LIGNE 19 colonne Q et ligne 20 colonne P. rechercher la cellule qui coupe le texte Dans la cocotte N°3 en fonte, faites chauffer l’huile d’olive à feu moyen. Ajoutez la viande et faites-la dorer de tous les côtés. Retirez-la de la cocotte et réservez-la.</v>
      </c>
      <c r="Z69" s="6341">
        <v>5</v>
      </c>
      <c r="AB69" s="6342" t="str">
        <f t="shared" si="32"/>
        <v>ligne 69 ►</v>
      </c>
      <c r="AC69" s="6343" t="str">
        <f t="shared" si="36"/>
        <v>20.TEST LIGNE 19 colonne Q et ligne 20 colonne P. rechercher la cellule qui coupe le texte Dans la cocotte N°3 en fonte, faites chauffer l’huile d’olive à feu moyen. Ajoutez la viande et faites-la dorer de tous les côtés. Retirez-la de la cocotte et réservez-la.</v>
      </c>
      <c r="AD69" s="6344">
        <v>150</v>
      </c>
      <c r="AF69" s="6345" t="str" cm="1">
        <f t="array" ref="AF69">IF(SUMPRODUCT((AL69:AQ69&lt;&gt;"")*1)=0,"",SUMPRODUCT((AL69:AQ69&lt;&gt;"")*(LEN(TRIM(SUBSTITUTE(AL69:AQ69,CHAR(160)," "))) - LEN(SUBSTITUTE(TRIM(SUBSTITUTE(AL69:AQ69,CHAR(160)," "))," ","")) + 1)) &amp; " mot" &amp; IF(SUMPRODUCT((AL69:AQ69&lt;&gt;"")*(LEN(TRIM(SUBSTITUTE(AL69:AQ69,CHAR(160)," "))) - LEN(SUBSTITUTE(TRIM(SUBSTITUTE(AL69:AQ69,CHAR(160)," "))," ","")) + 1))&gt;1,"s",""))</f>
        <v>26 mots</v>
      </c>
      <c r="AG69" s="2263" t="str" cm="1">
        <f t="array" ref="AG69">SUMPRODUCT(--(AL69:AS69&lt;&gt;""), LEN(TRIM(SUBSTITUTE(AL69:AS69, CHAR(160), "")))) &amp; " Car."</f>
        <v>143 Car.</v>
      </c>
      <c r="AH69" s="6366" t="s">
        <v>14368</v>
      </c>
      <c r="AI69" s="6367" t="str">
        <f t="shared" si="33"/>
        <v>20.TEST LIGNE 19 colonne Q et ligne 20 colonne P. rechercher la cellule qui coupe le texte Dans la cocotte N°3 en fonte, faites chauffer l’huile d’olive à feu moyen. Ajoutez la viande et faites-la dorer de tous les côtés. Retirez-la de la cocotte et réservez-la.</v>
      </c>
      <c r="AJ69" s="6368"/>
      <c r="AK69" s="2190">
        <f>ROWS(AO50:AO69)</f>
        <v>20</v>
      </c>
      <c r="AL69" s="1942" t="str">
        <v>9.TEST LIGNE 19 colonne Q et ligne 20 colonne P. rechercher la cellule qui coupe le texte Dans la cocotte N°3 en fonte, faites chauffer l’huile</v>
      </c>
      <c r="AM69" s="9"/>
      <c r="AN69" s="9"/>
      <c r="AO69" s="9"/>
      <c r="AP69" s="9"/>
      <c r="AQ69" s="9"/>
      <c r="AR69" s="9"/>
      <c r="AS69" s="9"/>
      <c r="AT69" s="592"/>
      <c r="AU69" s="9"/>
      <c r="AV69" s="103"/>
      <c r="AW69" s="31"/>
      <c r="AX69" s="32"/>
      <c r="AY69" s="31"/>
      <c r="AZ69" s="33"/>
      <c r="BA69" s="1967"/>
      <c r="BB69" s="1805"/>
      <c r="BC69" s="91"/>
      <c r="BD69" s="1806"/>
      <c r="BE69" s="6401"/>
      <c r="BF69" s="6402"/>
      <c r="BG69" s="1969"/>
      <c r="BH69" s="6403"/>
      <c r="BI69" s="95"/>
      <c r="BJ69" s="1326"/>
      <c r="BK69" s="6404"/>
      <c r="BL69" s="1737"/>
      <c r="BM69" s="2081"/>
      <c r="BN69" s="2238"/>
      <c r="BO69" s="1809"/>
      <c r="BQ69" s="2230"/>
      <c r="BR69" s="3">
        <v>1</v>
      </c>
    </row>
    <row r="70" spans="2:70" ht="21" customHeight="1">
      <c r="B70" s="6236"/>
      <c r="C70" s="6358">
        <f t="shared" si="38"/>
        <v>100</v>
      </c>
      <c r="D70" s="6390" t="str" cm="1">
        <f t="array" ref="D70">IF(MOD(ROW()-50,14)=0,INDEX(D64:D77,MOD(ROW()-50,14)+1),E68)</f>
        <v/>
      </c>
      <c r="E70" s="6391" t="str">
        <f t="shared" si="39"/>
        <v/>
      </c>
      <c r="F70" s="6392" t="str">
        <f t="shared" si="40"/>
        <v/>
      </c>
      <c r="G70" s="6321" t="str">
        <v>d’olive à feu moyen. Ajoutez la viande et faites-la dorer de tous les côtés. Retirez-la de la cocotte et réservez-la.</v>
      </c>
      <c r="H70" s="6393" t="str">
        <f t="shared" si="41"/>
        <v/>
      </c>
      <c r="I70" s="6405"/>
      <c r="J70" s="6395" t="str">
        <f t="shared" si="42"/>
        <v/>
      </c>
      <c r="K70" s="6396" t="str">
        <f>IF(J70="","",LEFT(J70,IF(LEN(J70)&lt;=I67,LEN(J70),IFERROR(FIND("§",SUBSTITUTE(LEFT(J70,I67+1)," ","§",LEN(LEFT(J70,I67+1))-LEN(SUBSTITUTE(LEFT(J70,I67+1)," ",""))))-1,IFERROR(FIND(" ",J70,I67+1)-1,LEN(J70))))))</f>
        <v/>
      </c>
      <c r="L70" s="6388"/>
      <c r="M70" s="6332" t="str">
        <v>cocotte N°3 en fonte, faites chauffer l’huile d’olive</v>
      </c>
      <c r="N70" t="s">
        <v>21</v>
      </c>
      <c r="O70" s="6334" t="s">
        <v>14391</v>
      </c>
      <c r="P70" s="6335" t="str">
        <f t="shared" si="24"/>
        <v>21.TEST LIGNE 19 colonne Q et ligne 20 colonne P. rechercher la cellule qui coupe le texte Dans la cocotte N°3 en fonte, faites chauffer l’huile d’olive à feu moyen. Ajoutez la viande et faites-la dorer de tous les côtés. Retirez-la de la cocotte et réservez-la.</v>
      </c>
      <c r="Q70" s="6336" t="str">
        <f t="shared" si="25"/>
        <v>21.TEST LIGNE 19 colonne Q et ligne 20 colonne P. rechercher la cellule qui coupe le texte Dans la cocotte N°3 en fonte, faites chauffer l’huile d’olive à feu moyen. Ajoutez la viande et faites-la dorer de tous les côtés. Retirez-la de la cocotte et réservez-la.</v>
      </c>
      <c r="R70" s="6336" t="str">
        <f t="shared" si="26"/>
        <v>21.TEST LIGNE 19 colonne Q et ligne 20 colonne P. rechercher la cellule qui coupe le texte Dans la cocotte N°3 en fonte, faites chauffer l’huile d’olive à feu moyen. Ajoutez la viande et faites-la dorer de tous les côtés. Retirez-la de la cocotte et réservez-la.</v>
      </c>
      <c r="S70" s="6337" t="str">
        <f t="shared" si="27"/>
        <v>21 TEST LIGNE 19 colonne Q et ligne 20 colonne P rechercher la cellule qui coupe le texte Dans la cocotte N°3 en fonte faites chauffer l’huile d’olive à feu moyen Ajoutez la viande et faites-la dorer de tous les côtés Retirez-la de la cocotte et réservez-la</v>
      </c>
      <c r="T70" s="6337" t="str">
        <f t="shared" si="28"/>
        <v>21 TEST LIGNE 19 colonne Q et ligne 20 colonne P rechercher la cellule qui coupe le texte Dans la cocotte N°3 en fonte faites chauffer l’huile d’olive à feu moyen Ajoutez la viande et faites la dorer de tous les côtés Retirez la de la cocotte et réservez la</v>
      </c>
      <c r="U70" s="6337" t="str">
        <f t="shared" si="29"/>
        <v>21 TEST LIGNE 19 colonne Q et ligne 20 colonne P rechercher la cellule qui coupe le texte Dans la cocotte N°3 en fonte faites chauffer l’huile d’olive à feu moyen Ajoutez la viande et faites la dorer de tous les côtés Retirez la de la cocotte et réservez la</v>
      </c>
      <c r="V70" s="6338" t="str">
        <f t="shared" si="30"/>
        <v>21 TEST LIGNE 19 colonne Q et ligne 20 colonne P rechercher la cellule qui coupe le texte Dans la cocotte N°3 en fonte faites chauffer l’huile d’olive à feu moyen Ajoutez la viande et faites la dorer de tous les côtés Retirez la de la cocotte et réservez la</v>
      </c>
      <c r="W70" s="6239"/>
      <c r="X70" s="6339" t="str">
        <f t="shared" si="31"/>
        <v>ligne 70 ►</v>
      </c>
      <c r="Y70" s="6340" t="str">
        <f t="shared" si="35"/>
        <v>21.TEST LIGNE 19 colonne Q et ligne 20 colonne P. rechercher la cellule qui coupe le texte Dans la cocotte N°3 en fonte, faites chauffer l’huile d’olive à feu moyen. Ajoutez la viande et faites-la dorer de tous les côtés. Retirez-la de la cocotte et réservez-la.</v>
      </c>
      <c r="Z70" s="6341">
        <v>5</v>
      </c>
      <c r="AB70" s="6342" t="str">
        <f t="shared" si="32"/>
        <v>ligne 70 ►</v>
      </c>
      <c r="AC70" s="6343" t="str">
        <f t="shared" si="36"/>
        <v>21.TEST LIGNE 19 colonne Q et ligne 20 colonne P. rechercher la cellule qui coupe le texte Dans la cocotte N°3 en fonte, faites chauffer l’huile d’olive à feu moyen. Ajoutez la viande et faites-la dorer de tous les côtés. Retirez-la de la cocotte et réservez-la.</v>
      </c>
      <c r="AD70" s="6344">
        <v>150</v>
      </c>
      <c r="AF70" s="6345" t="str" cm="1">
        <f t="array" ref="AF70">IF(SUMPRODUCT((AL70:AQ70&lt;&gt;"")*1)=0,"",SUMPRODUCT((AL70:AQ70&lt;&gt;"")*(LEN(TRIM(SUBSTITUTE(AL70:AQ70,CHAR(160)," "))) - LEN(SUBSTITUTE(TRIM(SUBSTITUTE(AL70:AQ70,CHAR(160)," "))," ","")) + 1)) &amp; " mot" &amp; IF(SUMPRODUCT((AL70:AQ70&lt;&gt;"")*(LEN(TRIM(SUBSTITUTE(AL70:AQ70,CHAR(160)," "))) - LEN(SUBSTITUTE(TRIM(SUBSTITUTE(AL70:AQ70,CHAR(160)," "))," ","")) + 1))&gt;1,"s",""))</f>
        <v>20 mots</v>
      </c>
      <c r="AG70" s="2263" t="str" cm="1">
        <f t="array" ref="AG70">SUMPRODUCT(--(AL70:AS70&lt;&gt;""), LEN(TRIM(SUBSTITUTE(AL70:AS70, CHAR(160), "")))) &amp; " Car."</f>
        <v>117 Car.</v>
      </c>
      <c r="AH70" s="6366" t="s">
        <v>14368</v>
      </c>
      <c r="AI70" s="6367" t="str">
        <f t="shared" si="33"/>
        <v>21.TEST LIGNE 19 colonne Q et ligne 20 colonne P. rechercher la cellule qui coupe le texte Dans la cocotte N°3 en fonte, faites chauffer l’huile d’olive à feu moyen. Ajoutez la viande et faites-la dorer de tous les côtés. Retirez-la de la cocotte et réservez-la.</v>
      </c>
      <c r="AJ70" s="6368"/>
      <c r="AK70" s="2190">
        <f>ROWS(AO50:AO70)</f>
        <v>21</v>
      </c>
      <c r="AL70" s="1942" t="str">
        <v>d’olive à feu moyen. Ajoutez la viande et faites-la dorer de tous les côtés. Retirez-la de la cocotte et réservez-la.</v>
      </c>
      <c r="AM70" s="9"/>
      <c r="AN70" s="9"/>
      <c r="AO70" s="9"/>
      <c r="AP70" s="9"/>
      <c r="AQ70" s="9"/>
      <c r="AR70" s="9"/>
      <c r="AS70" s="9"/>
      <c r="AT70" s="592"/>
      <c r="AU70" s="9"/>
      <c r="AV70" s="103"/>
      <c r="AW70" s="31"/>
      <c r="AX70" s="32"/>
      <c r="AY70" s="31"/>
      <c r="AZ70" s="33"/>
      <c r="BA70" s="1967"/>
      <c r="BB70" s="1805"/>
      <c r="BC70" s="91"/>
      <c r="BD70" s="1806"/>
      <c r="BE70" s="6401"/>
      <c r="BF70" s="6402"/>
      <c r="BG70" s="1969"/>
      <c r="BH70" s="6403"/>
      <c r="BI70" s="95"/>
      <c r="BJ70" s="1326"/>
      <c r="BK70" s="6404"/>
      <c r="BL70" s="1737"/>
      <c r="BM70" s="2081"/>
      <c r="BN70" s="2238"/>
      <c r="BO70" s="1809"/>
      <c r="BQ70" s="2230"/>
      <c r="BR70" s="3">
        <v>1</v>
      </c>
    </row>
    <row r="71" spans="2:70" ht="21" customHeight="1">
      <c r="B71" s="6236"/>
      <c r="C71" s="6358">
        <f t="shared" si="38"/>
        <v>100</v>
      </c>
      <c r="D71" s="6390" t="str" cm="1">
        <f t="array" ref="D71">IF(MOD(ROW()-50,14)=0,INDEX(D64:D77,MOD(ROW()-50,14)+1),E69)</f>
        <v/>
      </c>
      <c r="E71" s="6391" t="str">
        <f t="shared" si="39"/>
        <v/>
      </c>
      <c r="F71" s="6392" t="str">
        <f t="shared" si="40"/>
        <v/>
      </c>
      <c r="G71" s="6321" t="str">
        <v>10.TEST LIGNE 19 colonne Q et ligne 20 colonne P. rechercher la cellule qui coupe le texte Dans la cocotte N°3 en fonte, faites chauffer l’huile</v>
      </c>
      <c r="H71" s="6393" t="str">
        <f t="shared" si="41"/>
        <v/>
      </c>
      <c r="I71" s="6405"/>
      <c r="J71" s="6395" t="str">
        <f t="shared" si="42"/>
        <v/>
      </c>
      <c r="K71" s="6396" t="str">
        <f>IF(J71="","",LEFT(J71,IF(LEN(J71)&lt;=I67,LEN(J71),IFERROR(FIND("§",SUBSTITUTE(LEFT(J71,I67+1)," ","§",LEN(LEFT(J71,I67+1))-LEN(SUBSTITUTE(LEFT(J71,I67+1)," ",""))))-1,IFERROR(FIND(" ",J71,I67+1)-1,LEN(J71))))))</f>
        <v/>
      </c>
      <c r="L71" s="6388"/>
      <c r="M71" s="6332" t="str">
        <v>à feu moyen. Ajoutez la viande et faites-la dorer de</v>
      </c>
      <c r="N71" t="s">
        <v>21</v>
      </c>
      <c r="O71" s="6334" t="s">
        <v>14392</v>
      </c>
      <c r="P71" s="6335" t="str">
        <f t="shared" si="24"/>
        <v>22.TEST LIGNE 19 colonne Q et ligne 20 colonne P. rechercher la cellule qui coupe le texte Dans la cocotte N°3 en fonte, faites chauffer l’huile d’olive à feu moyen. Ajoutez la viande et faites-la dorer de tous les côtés. Retirez-la de la cocotte et réservez-la.</v>
      </c>
      <c r="Q71" s="6336" t="str">
        <f t="shared" si="25"/>
        <v>22.TEST LIGNE 19 colonne Q et ligne 20 colonne P. rechercher la cellule qui coupe le texte Dans la cocotte N°3 en fonte, faites chauffer l’huile d’olive à feu moyen. Ajoutez la viande et faites-la dorer de tous les côtés. Retirez-la de la cocotte et réservez-la.</v>
      </c>
      <c r="R71" s="6336" t="str">
        <f t="shared" si="26"/>
        <v>22.TEST LIGNE 19 colonne Q et ligne 20 colonne P. rechercher la cellule qui coupe le texte Dans la cocotte N°3 en fonte, faites chauffer l’huile d’olive à feu moyen. Ajoutez la viande et faites-la dorer de tous les côtés. Retirez-la de la cocotte et réservez-la.</v>
      </c>
      <c r="S71" s="6337" t="str">
        <f t="shared" si="27"/>
        <v>22 TEST LIGNE 19 colonne Q et ligne 20 colonne P rechercher la cellule qui coupe le texte Dans la cocotte N°3 en fonte faites chauffer l’huile d’olive à feu moyen Ajoutez la viande et faites-la dorer de tous les côtés Retirez-la de la cocotte et réservez-la</v>
      </c>
      <c r="T71" s="6337" t="str">
        <f t="shared" si="28"/>
        <v>22 TEST LIGNE 19 colonne Q et ligne 20 colonne P rechercher la cellule qui coupe le texte Dans la cocotte N°3 en fonte faites chauffer l’huile d’olive à feu moyen Ajoutez la viande et faites la dorer de tous les côtés Retirez la de la cocotte et réservez la</v>
      </c>
      <c r="U71" s="6337" t="str">
        <f t="shared" si="29"/>
        <v>22 TEST LIGNE 19 colonne Q et ligne 20 colonne P rechercher la cellule qui coupe le texte Dans la cocotte N°3 en fonte faites chauffer l’huile d’olive à feu moyen Ajoutez la viande et faites la dorer de tous les côtés Retirez la de la cocotte et réservez la</v>
      </c>
      <c r="V71" s="6338" t="str">
        <f t="shared" si="30"/>
        <v>22 TEST LIGNE 19 colonne Q et ligne 20 colonne P rechercher la cellule qui coupe le texte Dans la cocotte N°3 en fonte faites chauffer l’huile d’olive à feu moyen Ajoutez la viande et faites la dorer de tous les côtés Retirez la de la cocotte et réservez la</v>
      </c>
      <c r="W71" s="6239"/>
      <c r="X71" s="6339" t="str">
        <f t="shared" si="31"/>
        <v>ligne 71 ►</v>
      </c>
      <c r="Y71" s="6340" t="str">
        <f t="shared" si="35"/>
        <v>22.TEST LIGNE 19 colonne Q et ligne 20 colonne P. rechercher la cellule qui coupe le texte Dans la cocotte N°3 en fonte, faites chauffer l’huile d’olive à feu moyen. Ajoutez la viande et faites-la dorer de tous les côtés. Retirez-la de la cocotte et réservez-la.</v>
      </c>
      <c r="Z71" s="6341">
        <v>5</v>
      </c>
      <c r="AB71" s="6342" t="str">
        <f t="shared" si="32"/>
        <v>ligne 71 ►</v>
      </c>
      <c r="AC71" s="6343" t="str">
        <f t="shared" si="36"/>
        <v>22.TEST LIGNE 19 colonne Q et ligne 20 colonne P. rechercher la cellule qui coupe le texte Dans la cocotte N°3 en fonte, faites chauffer l’huile d’olive à feu moyen. Ajoutez la viande et faites-la dorer de tous les côtés. Retirez-la de la cocotte et réservez-la.</v>
      </c>
      <c r="AD71" s="6344">
        <v>150</v>
      </c>
      <c r="AF71" s="6345" t="str" cm="1">
        <f t="array" ref="AF71">IF(SUMPRODUCT((AL71:AQ71&lt;&gt;"")*1)=0,"",SUMPRODUCT((AL71:AQ71&lt;&gt;"")*(LEN(TRIM(SUBSTITUTE(AL71:AQ71,CHAR(160)," "))) - LEN(SUBSTITUTE(TRIM(SUBSTITUTE(AL71:AQ71,CHAR(160)," "))," ","")) + 1)) &amp; " mot" &amp; IF(SUMPRODUCT((AL71:AQ71&lt;&gt;"")*(LEN(TRIM(SUBSTITUTE(AL71:AQ71,CHAR(160)," "))) - LEN(SUBSTITUTE(TRIM(SUBSTITUTE(AL71:AQ71,CHAR(160)," "))," ","")) + 1))&gt;1,"s",""))</f>
        <v>26 mots</v>
      </c>
      <c r="AG71" s="2263" t="str" cm="1">
        <f t="array" ref="AG71">SUMPRODUCT(--(AL71:AQ71&lt;&gt;""), LEN(TRIM(SUBSTITUTE(AL71:AQ71, CHAR(160), "")))) &amp; " Car."</f>
        <v>144 Car.</v>
      </c>
      <c r="AH71" s="6366" t="s">
        <v>14368</v>
      </c>
      <c r="AI71" s="6367" t="str">
        <f t="shared" si="33"/>
        <v>22.TEST LIGNE 19 colonne Q et ligne 20 colonne P. rechercher la cellule qui coupe le texte Dans la cocotte N°3 en fonte, faites chauffer l’huile d’olive à feu moyen. Ajoutez la viande et faites-la dorer de tous les côtés. Retirez-la de la cocotte et réservez-la.</v>
      </c>
      <c r="AJ71" s="6368"/>
      <c r="AK71" s="2190">
        <f>ROWS(AO50:AO71)</f>
        <v>22</v>
      </c>
      <c r="AL71" s="1942" t="str">
        <v>10.TEST LIGNE 19 colonne Q et ligne 20 colonne P. rechercher la cellule qui coupe le texte Dans la cocotte N°3 en fonte, faites chauffer l’huile</v>
      </c>
      <c r="AM71" s="9"/>
      <c r="AN71" s="9"/>
      <c r="AO71" s="9"/>
      <c r="AP71" s="9"/>
      <c r="AQ71" s="9"/>
      <c r="AR71" s="9"/>
      <c r="AS71" s="9"/>
      <c r="AT71" s="592"/>
      <c r="AU71" s="9"/>
      <c r="AV71" s="103"/>
      <c r="AW71" s="31"/>
      <c r="AX71" s="32"/>
      <c r="AY71" s="31"/>
      <c r="AZ71" s="33"/>
      <c r="BA71" s="1967"/>
      <c r="BB71" s="1805"/>
      <c r="BC71" s="91"/>
      <c r="BD71" s="1806"/>
      <c r="BE71" s="6401"/>
      <c r="BF71" s="6402"/>
      <c r="BG71" s="1969"/>
      <c r="BH71" s="6403"/>
      <c r="BI71" s="95"/>
      <c r="BJ71" s="1326"/>
      <c r="BK71" s="6404"/>
      <c r="BL71" s="1737"/>
      <c r="BM71" s="2081"/>
      <c r="BN71" s="2238"/>
      <c r="BO71" s="1809"/>
      <c r="BQ71" s="2230"/>
      <c r="BR71" s="3">
        <v>1</v>
      </c>
    </row>
    <row r="72" spans="2:70" ht="21" customHeight="1">
      <c r="B72" s="6236"/>
      <c r="C72" s="6358">
        <f t="shared" si="38"/>
        <v>100</v>
      </c>
      <c r="D72" s="6390" t="str" cm="1">
        <f t="array" ref="D72">IF(MOD(ROW()-50,14)=0,INDEX(D64:D77,MOD(ROW()-50,14)+1),E70)</f>
        <v/>
      </c>
      <c r="E72" s="6391" t="str">
        <f t="shared" si="39"/>
        <v/>
      </c>
      <c r="F72" s="6392" t="str">
        <f t="shared" si="40"/>
        <v/>
      </c>
      <c r="G72" s="6321" t="str">
        <v>d’olive à feu moyen. Ajoutez la viande et faites-la dorer de tous les côtés. Retirez-la de la cocotte et réservez-la.</v>
      </c>
      <c r="H72" s="6393" t="str">
        <f t="shared" si="41"/>
        <v/>
      </c>
      <c r="I72" s="6405"/>
      <c r="J72" s="6395" t="str">
        <f t="shared" si="42"/>
        <v/>
      </c>
      <c r="K72" s="6396" t="str">
        <f>IF(J72="","",LEFT(J72,IF(LEN(J72)&lt;=I67,LEN(J72),IFERROR(FIND("§",SUBSTITUTE(LEFT(J72,I67+1)," ","§",LEN(LEFT(J72,I67+1))-LEN(SUBSTITUTE(LEFT(J72,I67+1)," ",""))))-1,IFERROR(FIND(" ",J72,I67+1)-1,LEN(J72))))))</f>
        <v/>
      </c>
      <c r="L72" s="6388"/>
      <c r="M72" s="6332" t="str">
        <v>tous les côtés. Retirez-la de la cocotte et</v>
      </c>
      <c r="N72" t="s">
        <v>21</v>
      </c>
      <c r="O72" s="6334" t="s">
        <v>14393</v>
      </c>
      <c r="P72" s="6335" t="str">
        <f t="shared" si="24"/>
        <v>23.TEST LIGNE 19 colonne Q et ligne 20 colonne P. rechercher la cellule qui coupe le texte Dans la cocotte N°3 en fonte, faites chauffer l’huile d’olive à feu moyen. Ajoutez la viande et faites-la dorer de tous les côtés. Retirez-la de la cocotte et réservez-la.</v>
      </c>
      <c r="Q72" s="6336" t="str">
        <f t="shared" si="25"/>
        <v>23.TEST LIGNE 19 colonne Q et ligne 20 colonne P. rechercher la cellule qui coupe le texte Dans la cocotte N°3 en fonte, faites chauffer l’huile d’olive à feu moyen. Ajoutez la viande et faites-la dorer de tous les côtés. Retirez-la de la cocotte et réservez-la.</v>
      </c>
      <c r="R72" s="6336" t="str">
        <f t="shared" si="26"/>
        <v>23.TEST LIGNE 19 colonne Q et ligne 20 colonne P. rechercher la cellule qui coupe le texte Dans la cocotte N°3 en fonte, faites chauffer l’huile d’olive à feu moyen. Ajoutez la viande et faites-la dorer de tous les côtés. Retirez-la de la cocotte et réservez-la.</v>
      </c>
      <c r="S72" s="6337" t="str">
        <f t="shared" si="27"/>
        <v>23 TEST LIGNE 19 colonne Q et ligne 20 colonne P rechercher la cellule qui coupe le texte Dans la cocotte N°3 en fonte faites chauffer l’huile d’olive à feu moyen Ajoutez la viande et faites-la dorer de tous les côtés Retirez-la de la cocotte et réservez-la</v>
      </c>
      <c r="T72" s="6337" t="str">
        <f t="shared" si="28"/>
        <v>23 TEST LIGNE 19 colonne Q et ligne 20 colonne P rechercher la cellule qui coupe le texte Dans la cocotte N°3 en fonte faites chauffer l’huile d’olive à feu moyen Ajoutez la viande et faites la dorer de tous les côtés Retirez la de la cocotte et réservez la</v>
      </c>
      <c r="U72" s="6337" t="str">
        <f t="shared" si="29"/>
        <v>23 TEST LIGNE 19 colonne Q et ligne 20 colonne P rechercher la cellule qui coupe le texte Dans la cocotte N°3 en fonte faites chauffer l’huile d’olive à feu moyen Ajoutez la viande et faites la dorer de tous les côtés Retirez la de la cocotte et réservez la</v>
      </c>
      <c r="V72" s="6338" t="str">
        <f t="shared" si="30"/>
        <v>23 TEST LIGNE 19 colonne Q et ligne 20 colonne P rechercher la cellule qui coupe le texte Dans la cocotte N°3 en fonte faites chauffer l’huile d’olive à feu moyen Ajoutez la viande et faites la dorer de tous les côtés Retirez la de la cocotte et réservez la</v>
      </c>
      <c r="W72" s="6239"/>
      <c r="X72" s="6339" t="str">
        <f t="shared" si="31"/>
        <v>ligne 72 ►</v>
      </c>
      <c r="Y72" s="6340" t="str">
        <f t="shared" si="35"/>
        <v>23.TEST LIGNE 19 colonne Q et ligne 20 colonne P. rechercher la cellule qui coupe le texte Dans la cocotte N°3 en fonte, faites chauffer l’huile d’olive à feu moyen. Ajoutez la viande et faites-la dorer de tous les côtés. Retirez-la de la cocotte et réservez-la.</v>
      </c>
      <c r="Z72" s="6341">
        <v>5</v>
      </c>
      <c r="AB72" s="6342" t="str">
        <f t="shared" si="32"/>
        <v>ligne 72 ►</v>
      </c>
      <c r="AC72" s="6343" t="str">
        <f t="shared" si="36"/>
        <v>23.TEST LIGNE 19 colonne Q et ligne 20 colonne P. rechercher la cellule qui coupe le texte Dans la cocotte N°3 en fonte, faites chauffer l’huile d’olive à feu moyen. Ajoutez la viande et faites-la dorer de tous les côtés. Retirez-la de la cocotte et réservez-la.</v>
      </c>
      <c r="AD72" s="6344">
        <v>150</v>
      </c>
      <c r="AF72" s="6345" t="str" cm="1">
        <f t="array" ref="AF72">IF(SUMPRODUCT((AL72:AQ72&lt;&gt;"")*1)=0,"",SUMPRODUCT((AL72:AQ72&lt;&gt;"")*(LEN(TRIM(SUBSTITUTE(AL72:AQ72,CHAR(160)," "))) - LEN(SUBSTITUTE(TRIM(SUBSTITUTE(AL72:AQ72,CHAR(160)," "))," ","")) + 1)) &amp; " mot" &amp; IF(SUMPRODUCT((AL72:AQ72&lt;&gt;"")*(LEN(TRIM(SUBSTITUTE(AL72:AQ72,CHAR(160)," "))) - LEN(SUBSTITUTE(TRIM(SUBSTITUTE(AL72:AQ72,CHAR(160)," "))," ","")) + 1))&gt;1,"s",""))</f>
        <v>20 mots</v>
      </c>
      <c r="AG72" s="2263" t="str" cm="1">
        <f t="array" ref="AG72">SUMPRODUCT(--(AL72:AQ72&lt;&gt;""), LEN(TRIM(SUBSTITUTE(AL72:AQ72, CHAR(160), "")))) &amp; " Car."</f>
        <v>117 Car.</v>
      </c>
      <c r="AH72" s="6366" t="s">
        <v>14368</v>
      </c>
      <c r="AI72" s="6367" t="str">
        <f t="shared" si="33"/>
        <v>23.TEST LIGNE 19 colonne Q et ligne 20 colonne P. rechercher la cellule qui coupe le texte Dans la cocotte N°3 en fonte, faites chauffer l’huile d’olive à feu moyen. Ajoutez la viande et faites-la dorer de tous les côtés. Retirez-la de la cocotte et réservez-la.</v>
      </c>
      <c r="AJ72" s="6368"/>
      <c r="AK72" s="2190">
        <f>ROWS(AO50:AO72)</f>
        <v>23</v>
      </c>
      <c r="AL72" s="1942" t="str">
        <v>d’olive à feu moyen. Ajoutez la viande et faites-la dorer de tous les côtés. Retirez-la de la cocotte et réservez-la.</v>
      </c>
      <c r="AM72" s="9"/>
      <c r="AN72" s="9"/>
      <c r="AO72" s="9"/>
      <c r="AP72" s="9"/>
      <c r="AQ72" s="9"/>
      <c r="AR72" s="9"/>
      <c r="AS72" s="9"/>
      <c r="AT72" s="592"/>
      <c r="AU72" s="9"/>
      <c r="AV72" s="103"/>
      <c r="AW72" s="31"/>
      <c r="AX72" s="32"/>
      <c r="AY72" s="31"/>
      <c r="AZ72" s="33"/>
      <c r="BA72" s="1967"/>
      <c r="BB72" s="1805"/>
      <c r="BC72" s="91"/>
      <c r="BD72" s="1806"/>
      <c r="BE72" s="6401"/>
      <c r="BF72" s="6402"/>
      <c r="BG72" s="1969"/>
      <c r="BH72" s="6403"/>
      <c r="BI72" s="95"/>
      <c r="BJ72" s="1326"/>
      <c r="BK72" s="6404"/>
      <c r="BL72" s="1737"/>
      <c r="BM72" s="2081"/>
      <c r="BN72" s="2238"/>
      <c r="BO72" s="1809"/>
      <c r="BQ72" s="2230"/>
      <c r="BR72" s="3">
        <v>1</v>
      </c>
    </row>
    <row r="73" spans="2:70" ht="21" customHeight="1">
      <c r="B73" s="6236"/>
      <c r="C73" s="6358">
        <f t="shared" si="38"/>
        <v>100</v>
      </c>
      <c r="D73" s="6390" t="str" cm="1">
        <f t="array" ref="D73">IF(MOD(ROW()-50,14)=0,INDEX(D64:D77,MOD(ROW()-50,14)+1),E71)</f>
        <v/>
      </c>
      <c r="E73" s="6391" t="str">
        <f t="shared" si="39"/>
        <v/>
      </c>
      <c r="F73" s="6392" t="str">
        <f t="shared" si="40"/>
        <v/>
      </c>
      <c r="G73" s="6321" t="str">
        <v>11.TEST LIGNE 19 colonne Q et ligne 20 colonne P. rechercher la cellule qui coupe le texte Dans la cocotte N°3 en fonte, faites chauffer l’huile</v>
      </c>
      <c r="H73" s="6393" t="str">
        <f t="shared" si="41"/>
        <v/>
      </c>
      <c r="I73" s="6405"/>
      <c r="J73" s="6395" t="str">
        <f t="shared" si="42"/>
        <v/>
      </c>
      <c r="K73" s="6396" t="str">
        <f>IF(J73="","",LEFT(J73,IF(LEN(J73)&lt;=I67,LEN(J73),IFERROR(FIND("§",SUBSTITUTE(LEFT(J73,I67+1)," ","§",LEN(LEFT(J73,I67+1))-LEN(SUBSTITUTE(LEFT(J73,I67+1)," ",""))))-1,IFERROR(FIND(" ",J73,I67+1)-1,LEN(J73))))))</f>
        <v/>
      </c>
      <c r="L73" s="6388"/>
      <c r="M73" s="6332" t="str">
        <v>réservez-la.</v>
      </c>
      <c r="N73" t="s">
        <v>21</v>
      </c>
      <c r="O73" s="6334" t="s">
        <v>14394</v>
      </c>
      <c r="P73" s="6335" t="str">
        <f t="shared" si="24"/>
        <v>24.TEST LIGNE 19 colonne Q et ligne 20 colonne P. rechercher la cellule qui coupe le texte Dans la cocotte N°3 en fonte, faites chauffer l’huile d’olive à feu moyen. Ajoutez la viande et faites-la dorer de tous les côtés. Retirez-la de la cocotte et réservez-la.</v>
      </c>
      <c r="Q73" s="6336" t="str">
        <f t="shared" si="25"/>
        <v>24.TEST LIGNE 19 colonne Q et ligne 20 colonne P. rechercher la cellule qui coupe le texte Dans la cocotte N°3 en fonte, faites chauffer l’huile d’olive à feu moyen. Ajoutez la viande et faites-la dorer de tous les côtés. Retirez-la de la cocotte et réservez-la.</v>
      </c>
      <c r="R73" s="6336" t="str">
        <f t="shared" si="26"/>
        <v>24.TEST LIGNE 19 colonne Q et ligne 20 colonne P. rechercher la cellule qui coupe le texte Dans la cocotte N°3 en fonte, faites chauffer l’huile d’olive à feu moyen. Ajoutez la viande et faites-la dorer de tous les côtés. Retirez-la de la cocotte et réservez-la.</v>
      </c>
      <c r="S73" s="6337" t="str">
        <f t="shared" si="27"/>
        <v>24 TEST LIGNE 19 colonne Q et ligne 20 colonne P rechercher la cellule qui coupe le texte Dans la cocotte N°3 en fonte faites chauffer l’huile d’olive à feu moyen Ajoutez la viande et faites-la dorer de tous les côtés Retirez-la de la cocotte et réservez-la</v>
      </c>
      <c r="T73" s="6337" t="str">
        <f t="shared" si="28"/>
        <v>24 TEST LIGNE 19 colonne Q et ligne 20 colonne P rechercher la cellule qui coupe le texte Dans la cocotte N°3 en fonte faites chauffer l’huile d’olive à feu moyen Ajoutez la viande et faites la dorer de tous les côtés Retirez la de la cocotte et réservez la</v>
      </c>
      <c r="U73" s="6337" t="str">
        <f t="shared" si="29"/>
        <v>24 TEST LIGNE 19 colonne Q et ligne 20 colonne P rechercher la cellule qui coupe le texte Dans la cocotte N°3 en fonte faites chauffer l’huile d’olive à feu moyen Ajoutez la viande et faites la dorer de tous les côtés Retirez la de la cocotte et réservez la</v>
      </c>
      <c r="V73" s="6338" t="str">
        <f t="shared" si="30"/>
        <v>24 TEST LIGNE 19 colonne Q et ligne 20 colonne P rechercher la cellule qui coupe le texte Dans la cocotte N°3 en fonte faites chauffer l’huile d’olive à feu moyen Ajoutez la viande et faites la dorer de tous les côtés Retirez la de la cocotte et réservez la</v>
      </c>
      <c r="W73" s="6239"/>
      <c r="X73" s="6339" t="str">
        <f t="shared" si="31"/>
        <v>ligne 73 ►</v>
      </c>
      <c r="Y73" s="6340" t="str">
        <f t="shared" si="35"/>
        <v>24.TEST LIGNE 19 colonne Q et ligne 20 colonne P. rechercher la cellule qui coupe le texte Dans la cocotte N°3 en fonte, faites chauffer l’huile d’olive à feu moyen. Ajoutez la viande et faites-la dorer de tous les côtés. Retirez-la de la cocotte et réservez-la.</v>
      </c>
      <c r="Z73" s="6341">
        <v>5</v>
      </c>
      <c r="AB73" s="6342" t="str">
        <f t="shared" si="32"/>
        <v>ligne 73 ►</v>
      </c>
      <c r="AC73" s="6343" t="str">
        <f t="shared" si="36"/>
        <v>24.TEST LIGNE 19 colonne Q et ligne 20 colonne P. rechercher la cellule qui coupe le texte Dans la cocotte N°3 en fonte, faites chauffer l’huile d’olive à feu moyen. Ajoutez la viande et faites-la dorer de tous les côtés. Retirez-la de la cocotte et réservez-la.</v>
      </c>
      <c r="AD73" s="6344">
        <v>150</v>
      </c>
      <c r="AF73" s="6345" t="str" cm="1">
        <f t="array" ref="AF73">IF(SUMPRODUCT((AL73:AQ73&lt;&gt;"")*1)=0,"",SUMPRODUCT((AL73:AQ73&lt;&gt;"")*(LEN(TRIM(SUBSTITUTE(AL73:AQ73,CHAR(160)," "))) - LEN(SUBSTITUTE(TRIM(SUBSTITUTE(AL73:AQ73,CHAR(160)," "))," ","")) + 1)) &amp; " mot" &amp; IF(SUMPRODUCT((AL73:AQ73&lt;&gt;"")*(LEN(TRIM(SUBSTITUTE(AL73:AQ73,CHAR(160)," "))) - LEN(SUBSTITUTE(TRIM(SUBSTITUTE(AL73:AQ73,CHAR(160)," "))," ","")) + 1))&gt;1,"s",""))</f>
        <v>26 mots</v>
      </c>
      <c r="AG73" s="2263" t="str" cm="1">
        <f t="array" ref="AG73">SUMPRODUCT(--(AL73:AQ73&lt;&gt;""), LEN(TRIM(SUBSTITUTE(AL73:AQ73, CHAR(160), "")))) &amp; " Car."</f>
        <v>144 Car.</v>
      </c>
      <c r="AH73" s="6366" t="s">
        <v>14368</v>
      </c>
      <c r="AI73" s="6367" t="str">
        <f t="shared" si="33"/>
        <v>24.TEST LIGNE 19 colonne Q et ligne 20 colonne P. rechercher la cellule qui coupe le texte Dans la cocotte N°3 en fonte, faites chauffer l’huile d’olive à feu moyen. Ajoutez la viande et faites-la dorer de tous les côtés. Retirez-la de la cocotte et réservez-la.</v>
      </c>
      <c r="AJ73" s="6368"/>
      <c r="AK73" s="2190">
        <f>ROWS(AO50:AO73)</f>
        <v>24</v>
      </c>
      <c r="AL73" s="1942" t="str">
        <v>11.TEST LIGNE 19 colonne Q et ligne 20 colonne P. rechercher la cellule qui coupe le texte Dans la cocotte N°3 en fonte, faites chauffer l’huile</v>
      </c>
      <c r="AM73" s="9"/>
      <c r="AN73" s="9"/>
      <c r="AO73" s="9"/>
      <c r="AP73" s="9"/>
      <c r="AQ73" s="9"/>
      <c r="AR73" s="9"/>
      <c r="AS73" s="9"/>
      <c r="AT73" s="592"/>
      <c r="AU73" s="9"/>
      <c r="AV73" s="103"/>
      <c r="AW73" s="31"/>
      <c r="AX73" s="32"/>
      <c r="AY73" s="31"/>
      <c r="AZ73" s="33"/>
      <c r="BA73" s="1967"/>
      <c r="BB73" s="1805"/>
      <c r="BC73" s="91"/>
      <c r="BD73" s="1806"/>
      <c r="BE73" s="6401"/>
      <c r="BF73" s="6402"/>
      <c r="BG73" s="1969"/>
      <c r="BH73" s="6403"/>
      <c r="BI73" s="95"/>
      <c r="BJ73" s="1326"/>
      <c r="BK73" s="6404"/>
      <c r="BL73" s="1737"/>
      <c r="BM73" s="2081"/>
      <c r="BN73" s="2238"/>
      <c r="BO73" s="1809"/>
      <c r="BQ73" s="2230"/>
      <c r="BR73" s="3">
        <v>1</v>
      </c>
    </row>
    <row r="74" spans="2:70" ht="21" customHeight="1">
      <c r="B74" s="6236"/>
      <c r="C74" s="6358">
        <f t="shared" si="38"/>
        <v>100</v>
      </c>
      <c r="D74" s="6390" t="str" cm="1">
        <f t="array" ref="D74">IF(MOD(ROW()-50,14)=0,INDEX(D64:D77,MOD(ROW()-50,14)+1),E72)</f>
        <v/>
      </c>
      <c r="E74" s="6391" t="str">
        <f t="shared" si="39"/>
        <v/>
      </c>
      <c r="F74" s="6392" t="str">
        <f t="shared" si="40"/>
        <v/>
      </c>
      <c r="G74" s="6321" t="str">
        <v>d’olive à feu moyen. Ajoutez la viande et faites-la dorer de tous les côtés. Retirez-la de la cocotte et réservez-la.</v>
      </c>
      <c r="H74" s="6393" t="str">
        <f t="shared" si="41"/>
        <v/>
      </c>
      <c r="I74" s="6405"/>
      <c r="J74" s="6395" t="str">
        <f t="shared" si="42"/>
        <v/>
      </c>
      <c r="K74" s="6396" t="str">
        <f>IF(J74="","",LEFT(J74,IF(LEN(J74)&lt;=I67,LEN(J74),IFERROR(FIND("§",SUBSTITUTE(LEFT(J74,I67+1)," ","§",LEN(LEFT(J74,I67+1))-LEN(SUBSTITUTE(LEFT(J74,I67+1)," ",""))))-1,IFERROR(FIND(" ",J74,I67+1)-1,LEN(J74))))))</f>
        <v/>
      </c>
      <c r="L74" s="6388"/>
      <c r="M74" s="6332" t="str">
        <v>5.TEST LIGNE 18 colonne Q et ligne 20 colonne P.</v>
      </c>
      <c r="N74" t="s">
        <v>21</v>
      </c>
      <c r="O74" s="6334" t="s">
        <v>14395</v>
      </c>
      <c r="P74" s="6335" t="str">
        <f t="shared" si="24"/>
        <v>25.TEST LIGNE 19 colonne Q et ligne 20 colonne P. rechercher la cellule qui coupe le texte Dans la cocotte N°3 en fonte, faites chauffer l’huile d’olive à feu moyen. Ajoutez la viande et faites-la dorer de tous les côtés. Retirez-la de la cocotte et réservez-la.</v>
      </c>
      <c r="Q74" s="6336" t="str">
        <f t="shared" si="25"/>
        <v>25.TEST LIGNE 19 colonne Q et ligne 20 colonne P. rechercher la cellule qui coupe le texte Dans la cocotte N°3 en fonte, faites chauffer l’huile d’olive à feu moyen. Ajoutez la viande et faites-la dorer de tous les côtés. Retirez-la de la cocotte et réservez-la.</v>
      </c>
      <c r="R74" s="6336" t="str">
        <f t="shared" si="26"/>
        <v>25.TEST LIGNE 19 colonne Q et ligne 20 colonne P. rechercher la cellule qui coupe le texte Dans la cocotte N°3 en fonte, faites chauffer l’huile d’olive à feu moyen. Ajoutez la viande et faites-la dorer de tous les côtés. Retirez-la de la cocotte et réservez-la.</v>
      </c>
      <c r="S74" s="6337" t="str">
        <f t="shared" si="27"/>
        <v>25 TEST LIGNE 19 colonne Q et ligne 20 colonne P rechercher la cellule qui coupe le texte Dans la cocotte N°3 en fonte faites chauffer l’huile d’olive à feu moyen Ajoutez la viande et faites-la dorer de tous les côtés Retirez-la de la cocotte et réservez-la</v>
      </c>
      <c r="T74" s="6337" t="str">
        <f t="shared" si="28"/>
        <v>25 TEST LIGNE 19 colonne Q et ligne 20 colonne P rechercher la cellule qui coupe le texte Dans la cocotte N°3 en fonte faites chauffer l’huile d’olive à feu moyen Ajoutez la viande et faites la dorer de tous les côtés Retirez la de la cocotte et réservez la</v>
      </c>
      <c r="U74" s="6337" t="str">
        <f t="shared" si="29"/>
        <v>25 TEST LIGNE 19 colonne Q et ligne 20 colonne P rechercher la cellule qui coupe le texte Dans la cocotte N°3 en fonte faites chauffer l’huile d’olive à feu moyen Ajoutez la viande et faites la dorer de tous les côtés Retirez la de la cocotte et réservez la</v>
      </c>
      <c r="V74" s="6338" t="str">
        <f t="shared" si="30"/>
        <v>25 TEST LIGNE 19 colonne Q et ligne 20 colonne P rechercher la cellule qui coupe le texte Dans la cocotte N°3 en fonte faites chauffer l’huile d’olive à feu moyen Ajoutez la viande et faites la dorer de tous les côtés Retirez la de la cocotte et réservez la</v>
      </c>
      <c r="W74" s="6239"/>
      <c r="X74" s="6339" t="str">
        <f t="shared" si="31"/>
        <v>ligne 74 ►</v>
      </c>
      <c r="Y74" s="6340" t="str">
        <f t="shared" si="35"/>
        <v>25.TEST LIGNE 19 colonne Q et ligne 20 colonne P. rechercher la cellule qui coupe le texte Dans la cocotte N°3 en fonte, faites chauffer l’huile d’olive à feu moyen. Ajoutez la viande et faites-la dorer de tous les côtés. Retirez-la de la cocotte et réservez-la.</v>
      </c>
      <c r="Z74" s="6341">
        <v>5</v>
      </c>
      <c r="AB74" s="6342" t="str">
        <f t="shared" si="32"/>
        <v>ligne 74 ►</v>
      </c>
      <c r="AC74" s="6343" t="str">
        <f t="shared" si="36"/>
        <v>25.TEST LIGNE 19 colonne Q et ligne 20 colonne P. rechercher la cellule qui coupe le texte Dans la cocotte N°3 en fonte, faites chauffer l’huile d’olive à feu moyen. Ajoutez la viande et faites-la dorer de tous les côtés. Retirez-la de la cocotte et réservez-la.</v>
      </c>
      <c r="AD74" s="6344">
        <v>150</v>
      </c>
      <c r="AF74" s="6345" t="str" cm="1">
        <f t="array" ref="AF74">IF(SUMPRODUCT((AL74:AQ74&lt;&gt;"")*1)=0,"",SUMPRODUCT((AL74:AQ74&lt;&gt;"")*(LEN(TRIM(SUBSTITUTE(AL74:AQ74,CHAR(160)," "))) - LEN(SUBSTITUTE(TRIM(SUBSTITUTE(AL74:AQ74,CHAR(160)," "))," ","")) + 1)) &amp; " mot" &amp; IF(SUMPRODUCT((AL74:AQ74&lt;&gt;"")*(LEN(TRIM(SUBSTITUTE(AL74:AQ74,CHAR(160)," "))) - LEN(SUBSTITUTE(TRIM(SUBSTITUTE(AL74:AQ74,CHAR(160)," "))," ","")) + 1))&gt;1,"s",""))</f>
        <v>20 mots</v>
      </c>
      <c r="AG74" s="2263" t="str" cm="1">
        <f t="array" ref="AG74">SUMPRODUCT(--(AL74:AQ74&lt;&gt;""), LEN(TRIM(SUBSTITUTE(AL74:AQ74, CHAR(160), "")))) &amp; " Car."</f>
        <v>117 Car.</v>
      </c>
      <c r="AH74" s="6366" t="s">
        <v>14368</v>
      </c>
      <c r="AI74" s="6367" t="str">
        <f t="shared" si="33"/>
        <v>25.TEST LIGNE 19 colonne Q et ligne 20 colonne P. rechercher la cellule qui coupe le texte Dans la cocotte N°3 en fonte, faites chauffer l’huile d’olive à feu moyen. Ajoutez la viande et faites-la dorer de tous les côtés. Retirez-la de la cocotte et réservez-la.</v>
      </c>
      <c r="AJ74" s="6368"/>
      <c r="AK74" s="2190">
        <f>ROWS(AO50:AO74)</f>
        <v>25</v>
      </c>
      <c r="AL74" s="1942" t="str">
        <v>d’olive à feu moyen. Ajoutez la viande et faites-la dorer de tous les côtés. Retirez-la de la cocotte et réservez-la.</v>
      </c>
      <c r="AM74" s="9"/>
      <c r="AN74" s="9"/>
      <c r="AO74" s="9"/>
      <c r="AP74" s="9"/>
      <c r="AQ74" s="9"/>
      <c r="AR74" s="9"/>
      <c r="AS74" s="9"/>
      <c r="AT74" s="592"/>
      <c r="AU74" s="9"/>
      <c r="AV74" s="103"/>
      <c r="AW74" s="31"/>
      <c r="AX74" s="32"/>
      <c r="AY74" s="31"/>
      <c r="AZ74" s="33"/>
      <c r="BA74" s="1967"/>
      <c r="BB74" s="1805"/>
      <c r="BC74" s="91"/>
      <c r="BD74" s="1806"/>
      <c r="BE74" s="6401"/>
      <c r="BF74" s="6402"/>
      <c r="BG74" s="1969"/>
      <c r="BH74" s="6403"/>
      <c r="BI74" s="95"/>
      <c r="BJ74" s="1326"/>
      <c r="BK74" s="6404"/>
      <c r="BL74" s="1737"/>
      <c r="BM74" s="2081"/>
      <c r="BN74" s="2238"/>
      <c r="BO74" s="1809"/>
      <c r="BQ74" s="2230"/>
      <c r="BR74" s="3">
        <v>1</v>
      </c>
    </row>
    <row r="75" spans="2:70" ht="21" customHeight="1">
      <c r="B75" s="6236"/>
      <c r="C75" s="6358">
        <f t="shared" si="38"/>
        <v>100</v>
      </c>
      <c r="D75" s="6390" t="str" cm="1">
        <f t="array" ref="D75">IF(MOD(ROW()-50,14)=0,INDEX(D64:D77,MOD(ROW()-50,14)+1),E73)</f>
        <v/>
      </c>
      <c r="E75" s="6391" t="str">
        <f t="shared" si="39"/>
        <v/>
      </c>
      <c r="F75" s="6392" t="str">
        <f t="shared" si="40"/>
        <v/>
      </c>
      <c r="G75" s="6321" t="str">
        <v>12.TEST LIGNE 19 colonne Q et ligne 20 colonne P. rechercher la cellule qui coupe le texte Dans la cocotte N°3 en fonte, faites chauffer l’huile</v>
      </c>
      <c r="H75" s="6393" t="str">
        <f t="shared" si="41"/>
        <v/>
      </c>
      <c r="I75" s="6405"/>
      <c r="J75" s="6395" t="str">
        <f t="shared" si="42"/>
        <v/>
      </c>
      <c r="K75" s="6396" t="str">
        <f>IF(J75="","",LEFT(J75,IF(LEN(J75)&lt;=I67,LEN(J75),IFERROR(FIND("§",SUBSTITUTE(LEFT(J75,I67+1)," ","§",LEN(LEFT(J75,I67+1))-LEN(SUBSTITUTE(LEFT(J75,I67+1)," ",""))))-1,IFERROR(FIND(" ",J75,I67+1)-1,LEN(J75))))))</f>
        <v/>
      </c>
      <c r="L75" s="6388"/>
      <c r="M75" s="6332" t="str">
        <v>rechercher la cellule qui coupe le texte Dans la</v>
      </c>
      <c r="N75" t="s">
        <v>21</v>
      </c>
      <c r="O75" s="6334" t="s">
        <v>14396</v>
      </c>
      <c r="P75" s="6335" t="str">
        <f t="shared" si="24"/>
        <v>26.TEST LIGNE 19 colonne Q et ligne 20 colonne P. rechercher la cellule qui coupe le texte Dans la cocotte N°3 en fonte, faites chauffer l’huile d’olive à feu moyen. Ajoutez la viande et faites-la dorer de tous les côtés. Retirez-la de la cocotte et réservez-la.</v>
      </c>
      <c r="Q75" s="6336" t="str">
        <f t="shared" si="25"/>
        <v>26.TEST LIGNE 19 colonne Q et ligne 20 colonne P. rechercher la cellule qui coupe le texte Dans la cocotte N°3 en fonte, faites chauffer l’huile d’olive à feu moyen. Ajoutez la viande et faites-la dorer de tous les côtés. Retirez-la de la cocotte et réservez-la.</v>
      </c>
      <c r="R75" s="6336" t="str">
        <f t="shared" si="26"/>
        <v>26.TEST LIGNE 19 colonne Q et ligne 20 colonne P. rechercher la cellule qui coupe le texte Dans la cocotte N°3 en fonte, faites chauffer l’huile d’olive à feu moyen. Ajoutez la viande et faites-la dorer de tous les côtés. Retirez-la de la cocotte et réservez-la.</v>
      </c>
      <c r="S75" s="6337" t="str">
        <f t="shared" si="27"/>
        <v>26 TEST LIGNE 19 colonne Q et ligne 20 colonne P rechercher la cellule qui coupe le texte Dans la cocotte N°3 en fonte faites chauffer l’huile d’olive à feu moyen Ajoutez la viande et faites-la dorer de tous les côtés Retirez-la de la cocotte et réservez-la</v>
      </c>
      <c r="T75" s="6337" t="str">
        <f t="shared" si="28"/>
        <v>26 TEST LIGNE 19 colonne Q et ligne 20 colonne P rechercher la cellule qui coupe le texte Dans la cocotte N°3 en fonte faites chauffer l’huile d’olive à feu moyen Ajoutez la viande et faites la dorer de tous les côtés Retirez la de la cocotte et réservez la</v>
      </c>
      <c r="U75" s="6337" t="str">
        <f t="shared" si="29"/>
        <v>26 TEST LIGNE 19 colonne Q et ligne 20 colonne P rechercher la cellule qui coupe le texte Dans la cocotte N°3 en fonte faites chauffer l’huile d’olive à feu moyen Ajoutez la viande et faites la dorer de tous les côtés Retirez la de la cocotte et réservez la</v>
      </c>
      <c r="V75" s="6338" t="str">
        <f t="shared" si="30"/>
        <v>26 TEST LIGNE 19 colonne Q et ligne 20 colonne P rechercher la cellule qui coupe le texte Dans la cocotte N°3 en fonte faites chauffer l’huile d’olive à feu moyen Ajoutez la viande et faites la dorer de tous les côtés Retirez la de la cocotte et réservez la</v>
      </c>
      <c r="W75" s="6239"/>
      <c r="X75" s="6339" t="str">
        <f t="shared" si="31"/>
        <v>ligne 75 ►</v>
      </c>
      <c r="Y75" s="6340" t="str">
        <f t="shared" si="35"/>
        <v>26.TEST LIGNE 19 colonne Q et ligne 20 colonne P. rechercher la cellule qui coupe le texte Dans la cocotte N°3 en fonte, faites chauffer l’huile d’olive à feu moyen. Ajoutez la viande et faites-la dorer de tous les côtés. Retirez-la de la cocotte et réservez-la.</v>
      </c>
      <c r="Z75" s="6341">
        <v>5</v>
      </c>
      <c r="AB75" s="6342" t="str">
        <f t="shared" si="32"/>
        <v>ligne 75 ►</v>
      </c>
      <c r="AC75" s="6343" t="str">
        <f t="shared" si="36"/>
        <v>26.TEST LIGNE 19 colonne Q et ligne 20 colonne P. rechercher la cellule qui coupe le texte Dans la cocotte N°3 en fonte, faites chauffer l’huile d’olive à feu moyen. Ajoutez la viande et faites-la dorer de tous les côtés. Retirez-la de la cocotte et réservez-la.</v>
      </c>
      <c r="AD75" s="6344">
        <v>150</v>
      </c>
      <c r="AF75" s="6345" t="str" cm="1">
        <f t="array" ref="AF75">IF(SUMPRODUCT((AL75:AQ75&lt;&gt;"")*1)=0,"",SUMPRODUCT((AL75:AQ75&lt;&gt;"")*(LEN(TRIM(SUBSTITUTE(AL75:AQ75,CHAR(160)," "))) - LEN(SUBSTITUTE(TRIM(SUBSTITUTE(AL75:AQ75,CHAR(160)," "))," ","")) + 1)) &amp; " mot" &amp; IF(SUMPRODUCT((AL75:AQ75&lt;&gt;"")*(LEN(TRIM(SUBSTITUTE(AL75:AQ75,CHAR(160)," "))) - LEN(SUBSTITUTE(TRIM(SUBSTITUTE(AL75:AQ75,CHAR(160)," "))," ","")) + 1))&gt;1,"s",""))</f>
        <v>26 mots</v>
      </c>
      <c r="AG75" s="2263" t="str" cm="1">
        <f t="array" ref="AG75">SUMPRODUCT(--(AL75:AQ75&lt;&gt;""), LEN(TRIM(SUBSTITUTE(AL75:AQ75, CHAR(160), "")))) &amp; " Car."</f>
        <v>144 Car.</v>
      </c>
      <c r="AH75" s="6366" t="s">
        <v>14368</v>
      </c>
      <c r="AI75" s="6367" t="str">
        <f t="shared" si="33"/>
        <v>26.TEST LIGNE 19 colonne Q et ligne 20 colonne P. rechercher la cellule qui coupe le texte Dans la cocotte N°3 en fonte, faites chauffer l’huile d’olive à feu moyen. Ajoutez la viande et faites-la dorer de tous les côtés. Retirez-la de la cocotte et réservez-la.</v>
      </c>
      <c r="AJ75" s="6368"/>
      <c r="AK75" s="2190">
        <f>ROWS(AO50:AO75)</f>
        <v>26</v>
      </c>
      <c r="AL75" s="1942" t="str">
        <v>12.TEST LIGNE 19 colonne Q et ligne 20 colonne P. rechercher la cellule qui coupe le texte Dans la cocotte N°3 en fonte, faites chauffer l’huile</v>
      </c>
      <c r="AM75" s="9"/>
      <c r="AN75" s="9"/>
      <c r="AO75" s="9"/>
      <c r="AP75" s="9"/>
      <c r="AQ75" s="9"/>
      <c r="AR75" s="9"/>
      <c r="AS75" s="9"/>
      <c r="AT75" s="592"/>
      <c r="AU75" s="9"/>
      <c r="AV75" s="103"/>
      <c r="AW75" s="31"/>
      <c r="AX75" s="32"/>
      <c r="AY75" s="31"/>
      <c r="AZ75" s="33"/>
      <c r="BA75" s="1967"/>
      <c r="BB75" s="1805"/>
      <c r="BC75" s="91"/>
      <c r="BD75" s="1806"/>
      <c r="BE75" s="6401"/>
      <c r="BF75" s="6402"/>
      <c r="BG75" s="1969"/>
      <c r="BH75" s="6403"/>
      <c r="BI75" s="95"/>
      <c r="BJ75" s="1326"/>
      <c r="BK75" s="6404"/>
      <c r="BL75" s="1737"/>
      <c r="BM75" s="2081"/>
      <c r="BN75" s="2238"/>
      <c r="BO75" s="1809"/>
      <c r="BQ75" s="2230"/>
      <c r="BR75" s="3">
        <v>1</v>
      </c>
    </row>
    <row r="76" spans="2:70" ht="21" customHeight="1">
      <c r="B76" s="6236"/>
      <c r="C76" s="6358">
        <f t="shared" si="38"/>
        <v>100</v>
      </c>
      <c r="D76" s="6390" t="str" cm="1">
        <f t="array" ref="D76">IF(MOD(ROW()-50,14)=0,INDEX(D64:D77,MOD(ROW()-50,14)+1),E74)</f>
        <v/>
      </c>
      <c r="E76" s="6391" t="str">
        <f t="shared" si="39"/>
        <v/>
      </c>
      <c r="F76" s="6392" t="str">
        <f t="shared" si="40"/>
        <v/>
      </c>
      <c r="G76" s="6321" t="str">
        <v>d’olive à feu moyen. Ajoutez la viande et faites-la dorer de tous les côtés. Retirez-la de la cocotte et réservez-la.</v>
      </c>
      <c r="H76" s="6393" t="str">
        <f t="shared" si="41"/>
        <v/>
      </c>
      <c r="I76" s="6405"/>
      <c r="J76" s="6395" t="str">
        <f t="shared" si="42"/>
        <v/>
      </c>
      <c r="K76" s="6396" t="str">
        <f>IF(J76="","",LEFT(J76,IF(LEN(J76)&lt;=I67,LEN(J76),IFERROR(FIND("§",SUBSTITUTE(LEFT(J76,I67+1)," ","§",LEN(LEFT(J76,I67+1))-LEN(SUBSTITUTE(LEFT(J76,I67+1)," ",""))))-1,IFERROR(FIND(" ",J76,I67+1)-1,LEN(J76))))))</f>
        <v/>
      </c>
      <c r="L76" s="6396"/>
      <c r="M76" s="6332" t="str">
        <v>cocotte N°3 en fonte, faites chauffer l’huile d’olive</v>
      </c>
      <c r="N76" t="s">
        <v>21</v>
      </c>
      <c r="O76" s="6334" t="s">
        <v>14397</v>
      </c>
      <c r="P76" s="6335" t="str">
        <f t="shared" si="24"/>
        <v>27.TEST LIGNE 19 colonne Q et ligne 20 colonne P. rechercher la cellule qui coupe le texte Dans la cocotte N°3 en fonte, faites chauffer l’huile d’olive à feu moyen. Ajoutez la viande et faites-la dorer de tous les côtés. Retirez-la de la cocotte et réservez-la.</v>
      </c>
      <c r="Q76" s="6336" t="str">
        <f t="shared" si="25"/>
        <v>27.TEST LIGNE 19 colonne Q et ligne 20 colonne P. rechercher la cellule qui coupe le texte Dans la cocotte N°3 en fonte, faites chauffer l’huile d’olive à feu moyen. Ajoutez la viande et faites-la dorer de tous les côtés. Retirez-la de la cocotte et réservez-la.</v>
      </c>
      <c r="R76" s="6336" t="str">
        <f t="shared" si="26"/>
        <v>27.TEST LIGNE 19 colonne Q et ligne 20 colonne P. rechercher la cellule qui coupe le texte Dans la cocotte N°3 en fonte, faites chauffer l’huile d’olive à feu moyen. Ajoutez la viande et faites-la dorer de tous les côtés. Retirez-la de la cocotte et réservez-la.</v>
      </c>
      <c r="S76" s="6337" t="str">
        <f t="shared" si="27"/>
        <v>27 TEST LIGNE 19 colonne Q et ligne 20 colonne P rechercher la cellule qui coupe le texte Dans la cocotte N°3 en fonte faites chauffer l’huile d’olive à feu moyen Ajoutez la viande et faites-la dorer de tous les côtés Retirez-la de la cocotte et réservez-la</v>
      </c>
      <c r="T76" s="6337" t="str">
        <f t="shared" si="28"/>
        <v>27 TEST LIGNE 19 colonne Q et ligne 20 colonne P rechercher la cellule qui coupe le texte Dans la cocotte N°3 en fonte faites chauffer l’huile d’olive à feu moyen Ajoutez la viande et faites la dorer de tous les côtés Retirez la de la cocotte et réservez la</v>
      </c>
      <c r="U76" s="6337" t="str">
        <f t="shared" si="29"/>
        <v>27 TEST LIGNE 19 colonne Q et ligne 20 colonne P rechercher la cellule qui coupe le texte Dans la cocotte N°3 en fonte faites chauffer l’huile d’olive à feu moyen Ajoutez la viande et faites la dorer de tous les côtés Retirez la de la cocotte et réservez la</v>
      </c>
      <c r="V76" s="6338" t="str">
        <f t="shared" si="30"/>
        <v>27 TEST LIGNE 19 colonne Q et ligne 20 colonne P rechercher la cellule qui coupe le texte Dans la cocotte N°3 en fonte faites chauffer l’huile d’olive à feu moyen Ajoutez la viande et faites la dorer de tous les côtés Retirez la de la cocotte et réservez la</v>
      </c>
      <c r="W76" s="6239"/>
      <c r="X76" s="6339" t="str">
        <f t="shared" si="31"/>
        <v>ligne 76 ►</v>
      </c>
      <c r="Y76" s="6340" t="str">
        <f t="shared" si="35"/>
        <v>27.TEST LIGNE 19 colonne Q et ligne 20 colonne P. rechercher la cellule qui coupe le texte Dans la cocotte N°3 en fonte, faites chauffer l’huile d’olive à feu moyen. Ajoutez la viande et faites-la dorer de tous les côtés. Retirez-la de la cocotte et réservez-la.</v>
      </c>
      <c r="Z76" s="6341">
        <v>5</v>
      </c>
      <c r="AB76" s="6342" t="str">
        <f t="shared" si="32"/>
        <v>ligne 76 ►</v>
      </c>
      <c r="AC76" s="6343" t="str">
        <f t="shared" si="36"/>
        <v>27.TEST LIGNE 19 colonne Q et ligne 20 colonne P. rechercher la cellule qui coupe le texte Dans la cocotte N°3 en fonte, faites chauffer l’huile d’olive à feu moyen. Ajoutez la viande et faites-la dorer de tous les côtés. Retirez-la de la cocotte et réservez-la.</v>
      </c>
      <c r="AD76" s="6344">
        <v>150</v>
      </c>
      <c r="AF76" s="6345" t="str" cm="1">
        <f t="array" ref="AF76">IF(SUMPRODUCT((AL76:AQ76&lt;&gt;"")*1)=0,"",SUMPRODUCT((AL76:AQ76&lt;&gt;"")*(LEN(TRIM(SUBSTITUTE(AL76:AQ76,CHAR(160)," "))) - LEN(SUBSTITUTE(TRIM(SUBSTITUTE(AL76:AQ76,CHAR(160)," "))," ","")) + 1)) &amp; " mot" &amp; IF(SUMPRODUCT((AL76:AQ76&lt;&gt;"")*(LEN(TRIM(SUBSTITUTE(AL76:AQ76,CHAR(160)," "))) - LEN(SUBSTITUTE(TRIM(SUBSTITUTE(AL76:AQ76,CHAR(160)," "))," ","")) + 1))&gt;1,"s",""))</f>
        <v>20 mots</v>
      </c>
      <c r="AG76" s="2263" t="str" cm="1">
        <f t="array" ref="AG76">SUMPRODUCT(--(AL76:AQ76&lt;&gt;""), LEN(TRIM(SUBSTITUTE(AL76:AQ76, CHAR(160), "")))) &amp; " Car."</f>
        <v>117 Car.</v>
      </c>
      <c r="AH76" s="6366" t="s">
        <v>14368</v>
      </c>
      <c r="AI76" s="6367" t="str">
        <f t="shared" si="33"/>
        <v>27.TEST LIGNE 19 colonne Q et ligne 20 colonne P. rechercher la cellule qui coupe le texte Dans la cocotte N°3 en fonte, faites chauffer l’huile d’olive à feu moyen. Ajoutez la viande et faites-la dorer de tous les côtés. Retirez-la de la cocotte et réservez-la.</v>
      </c>
      <c r="AJ76" s="6368"/>
      <c r="AK76" s="2190">
        <f>ROWS(AO50:AO76)</f>
        <v>27</v>
      </c>
      <c r="AL76" s="1942" t="str">
        <v>d’olive à feu moyen. Ajoutez la viande et faites-la dorer de tous les côtés. Retirez-la de la cocotte et réservez-la.</v>
      </c>
      <c r="AM76" s="9"/>
      <c r="AN76" s="9"/>
      <c r="AO76" s="9"/>
      <c r="AP76" s="9"/>
      <c r="AQ76" s="9"/>
      <c r="AR76" s="9"/>
      <c r="AS76" s="9"/>
      <c r="AT76" s="592"/>
      <c r="AU76" s="9"/>
      <c r="AV76" s="103"/>
      <c r="AW76" s="31"/>
      <c r="AX76" s="32"/>
      <c r="AY76" s="31"/>
      <c r="AZ76" s="33"/>
      <c r="BA76" s="1967"/>
      <c r="BB76" s="1805"/>
      <c r="BC76" s="91"/>
      <c r="BD76" s="1806"/>
      <c r="BE76" s="6401"/>
      <c r="BF76" s="6402"/>
      <c r="BG76" s="1969"/>
      <c r="BH76" s="6403"/>
      <c r="BI76" s="95"/>
      <c r="BJ76" s="1326"/>
      <c r="BK76" s="6404"/>
      <c r="BL76" s="1737"/>
      <c r="BM76" s="2081"/>
      <c r="BN76" s="2238"/>
      <c r="BO76" s="1809"/>
      <c r="BQ76" s="2230"/>
      <c r="BR76" s="3">
        <v>1</v>
      </c>
    </row>
    <row r="77" spans="2:70" ht="21" customHeight="1">
      <c r="B77" s="6236"/>
      <c r="C77" s="6376">
        <f t="shared" si="38"/>
        <v>100</v>
      </c>
      <c r="D77" s="6406" t="str" cm="1">
        <f t="array" ref="D77">IF(MOD(ROW()-50,14)=0,INDEX(D64:D77,MOD(ROW()-50,14)+1),E75)</f>
        <v/>
      </c>
      <c r="E77" s="6407" t="str">
        <f t="shared" si="39"/>
        <v/>
      </c>
      <c r="F77" s="6408" t="str">
        <f t="shared" si="40"/>
        <v/>
      </c>
      <c r="G77" s="6322" t="str">
        <v>13.TEST LIGNE 19 colonne Q et ligne 20 colonne P. rechercher la cellule qui coupe le texte Dans la cocotte N°3 en fonte, faites chauffer l’huile</v>
      </c>
      <c r="H77" s="6409" t="str">
        <f t="shared" si="41"/>
        <v/>
      </c>
      <c r="I77" s="6410"/>
      <c r="J77" s="6411" t="str">
        <f t="shared" si="42"/>
        <v/>
      </c>
      <c r="K77" s="6412" t="str">
        <f>IF(J77="","",LEFT(J77,IF(LEN(J77)&lt;=I67,LEN(J77),IFERROR(FIND("§",SUBSTITUTE(LEFT(J77,I67+1)," ","§",LEN(LEFT(J77,I67+1))-LEN(SUBSTITUTE(LEFT(J77,I67+1)," ",""))))-1,IFERROR(FIND(" ",J77,I67+1)-1,LEN(J77))))))</f>
        <v/>
      </c>
      <c r="L77" s="6413"/>
      <c r="M77" s="6333" t="str">
        <v>à feu moyen. Ajoutez la viande et faites-la dorer de</v>
      </c>
      <c r="N77" t="s">
        <v>21</v>
      </c>
      <c r="O77" s="6334" t="s">
        <v>14398</v>
      </c>
      <c r="P77" s="6335" t="str">
        <f t="shared" si="24"/>
        <v>28.TEST LIGNE 19 colonne Q et ligne 20 colonne P. rechercher la cellule qui coupe le texte Dans la cocotte N°3 en fonte, faites chauffer l’huile d’olive à feu moyen. Ajoutez la viande et faites-la dorer de tous les côtés. Retirez-la de la cocotte et réservez-la.</v>
      </c>
      <c r="Q77" s="6336" t="str">
        <f t="shared" si="25"/>
        <v>28.TEST LIGNE 19 colonne Q et ligne 20 colonne P. rechercher la cellule qui coupe le texte Dans la cocotte N°3 en fonte, faites chauffer l’huile d’olive à feu moyen. Ajoutez la viande et faites-la dorer de tous les côtés. Retirez-la de la cocotte et réservez-la.</v>
      </c>
      <c r="R77" s="6336" t="str">
        <f t="shared" si="26"/>
        <v>28.TEST LIGNE 19 colonne Q et ligne 20 colonne P. rechercher la cellule qui coupe le texte Dans la cocotte N°3 en fonte, faites chauffer l’huile d’olive à feu moyen. Ajoutez la viande et faites-la dorer de tous les côtés. Retirez-la de la cocotte et réservez-la.</v>
      </c>
      <c r="S77" s="6337" t="str">
        <f t="shared" si="27"/>
        <v>28 TEST LIGNE 19 colonne Q et ligne 20 colonne P rechercher la cellule qui coupe le texte Dans la cocotte N°3 en fonte faites chauffer l’huile d’olive à feu moyen Ajoutez la viande et faites-la dorer de tous les côtés Retirez-la de la cocotte et réservez-la</v>
      </c>
      <c r="T77" s="6337" t="str">
        <f t="shared" si="28"/>
        <v>28 TEST LIGNE 19 colonne Q et ligne 20 colonne P rechercher la cellule qui coupe le texte Dans la cocotte N°3 en fonte faites chauffer l’huile d’olive à feu moyen Ajoutez la viande et faites la dorer de tous les côtés Retirez la de la cocotte et réservez la</v>
      </c>
      <c r="U77" s="6337" t="str">
        <f t="shared" si="29"/>
        <v>28 TEST LIGNE 19 colonne Q et ligne 20 colonne P rechercher la cellule qui coupe le texte Dans la cocotte N°3 en fonte faites chauffer l’huile d’olive à feu moyen Ajoutez la viande et faites la dorer de tous les côtés Retirez la de la cocotte et réservez la</v>
      </c>
      <c r="V77" s="6338" t="str">
        <f t="shared" si="30"/>
        <v>28 TEST LIGNE 19 colonne Q et ligne 20 colonne P rechercher la cellule qui coupe le texte Dans la cocotte N°3 en fonte faites chauffer l’huile d’olive à feu moyen Ajoutez la viande et faites la dorer de tous les côtés Retirez la de la cocotte et réservez la</v>
      </c>
      <c r="W77" s="6239"/>
      <c r="X77" s="6339" t="str">
        <f t="shared" si="31"/>
        <v>ligne 77 ►</v>
      </c>
      <c r="Y77" s="6340" t="str">
        <f t="shared" si="35"/>
        <v>28.TEST LIGNE 19 colonne Q et ligne 20 colonne P. rechercher la cellule qui coupe le texte Dans la cocotte N°3 en fonte, faites chauffer l’huile d’olive à feu moyen. Ajoutez la viande et faites-la dorer de tous les côtés. Retirez-la de la cocotte et réservez-la.</v>
      </c>
      <c r="Z77" s="6341">
        <v>5</v>
      </c>
      <c r="AB77" s="6342" t="str">
        <f t="shared" si="32"/>
        <v>ligne 77 ►</v>
      </c>
      <c r="AC77" s="6343" t="str">
        <f t="shared" si="36"/>
        <v>28.TEST LIGNE 19 colonne Q et ligne 20 colonne P. rechercher la cellule qui coupe le texte Dans la cocotte N°3 en fonte, faites chauffer l’huile d’olive à feu moyen. Ajoutez la viande et faites-la dorer de tous les côtés. Retirez-la de la cocotte et réservez-la.</v>
      </c>
      <c r="AD77" s="6344">
        <v>150</v>
      </c>
      <c r="AF77" s="6345" t="str" cm="1">
        <f t="array" ref="AF77">IF(SUMPRODUCT((AL77:AQ77&lt;&gt;"")*1)=0,"",SUMPRODUCT((AL77:AQ77&lt;&gt;"")*(LEN(TRIM(SUBSTITUTE(AL77:AQ77,CHAR(160)," "))) - LEN(SUBSTITUTE(TRIM(SUBSTITUTE(AL77:AQ77,CHAR(160)," "))," ","")) + 1)) &amp; " mot" &amp; IF(SUMPRODUCT((AL77:AQ77&lt;&gt;"")*(LEN(TRIM(SUBSTITUTE(AL77:AQ77,CHAR(160)," "))) - LEN(SUBSTITUTE(TRIM(SUBSTITUTE(AL77:AQ77,CHAR(160)," "))," ","")) + 1))&gt;1,"s",""))</f>
        <v>26 mots</v>
      </c>
      <c r="AG77" s="2263" t="str" cm="1">
        <f t="array" ref="AG77">SUMPRODUCT(--(AL77:AQ77&lt;&gt;""), LEN(TRIM(SUBSTITUTE(AL77:AQ77, CHAR(160), "")))) &amp; " Car."</f>
        <v>144 Car.</v>
      </c>
      <c r="AH77" s="6366" t="s">
        <v>14368</v>
      </c>
      <c r="AI77" s="6367" t="str">
        <f t="shared" si="33"/>
        <v>28.TEST LIGNE 19 colonne Q et ligne 20 colonne P. rechercher la cellule qui coupe le texte Dans la cocotte N°3 en fonte, faites chauffer l’huile d’olive à feu moyen. Ajoutez la viande et faites-la dorer de tous les côtés. Retirez-la de la cocotte et réservez-la.</v>
      </c>
      <c r="AJ77" s="6368"/>
      <c r="AK77" s="2190">
        <f>ROWS(AO50:AO77)</f>
        <v>28</v>
      </c>
      <c r="AL77" s="1942" t="str">
        <v>13.TEST LIGNE 19 colonne Q et ligne 20 colonne P. rechercher la cellule qui coupe le texte Dans la cocotte N°3 en fonte, faites chauffer l’huile</v>
      </c>
      <c r="AM77" s="9"/>
      <c r="AN77" s="9"/>
      <c r="AO77" s="9"/>
      <c r="AP77" s="9"/>
      <c r="AQ77" s="9"/>
      <c r="AR77" s="9"/>
      <c r="AS77" s="9"/>
      <c r="AT77" s="592"/>
      <c r="AU77" s="9"/>
      <c r="AV77" s="103"/>
      <c r="AW77" s="31"/>
      <c r="AX77" s="32"/>
      <c r="AY77" s="31"/>
      <c r="AZ77" s="33"/>
      <c r="BA77" s="1967"/>
      <c r="BB77" s="1805"/>
      <c r="BC77" s="91"/>
      <c r="BD77" s="1806"/>
      <c r="BE77" s="6401"/>
      <c r="BF77" s="6402"/>
      <c r="BG77" s="1969"/>
      <c r="BH77" s="6403"/>
      <c r="BI77" s="95"/>
      <c r="BJ77" s="1326"/>
      <c r="BK77" s="6404"/>
      <c r="BL77" s="1737"/>
      <c r="BM77" s="2081"/>
      <c r="BN77" s="2238"/>
      <c r="BO77" s="1809"/>
      <c r="BQ77" s="2230"/>
      <c r="BR77" s="3">
        <v>1</v>
      </c>
    </row>
    <row r="78" spans="2:70" ht="21" customHeight="1">
      <c r="B78" s="6236"/>
      <c r="C78" s="6313">
        <f>AD52</f>
        <v>150</v>
      </c>
      <c r="D78" s="6314" t="str">
        <f>IF(UPPER(TRIM(X45))="X",U52,O52)</f>
        <v>3.TEST LIGNE 16 colonne Q et ligne 20 colonne P. rechercher la cellule qui coupe le texte Dans la cocotte N°3 en fonte, faites chauffer l’huile d’olive à feu moyen. Ajoutez la viande et faites-la dorer de tous les côtés. Retirez-la de la cocotte et réservez-la.</v>
      </c>
      <c r="E78" s="6315" t="str">
        <f>IF(D78="","",IF(F78="","",IF(LEN(F78)&gt;=LEN(D78),"",TRIM(MID(D78,LEN(F78)+1,99999)))))</f>
        <v>d’olive à feu moyen. Ajoutez la viande et faites-la dorer de tous les côtés. Retirez-la de la cocotte et réservez-la.</v>
      </c>
      <c r="F78" s="6316" t="str">
        <f>IF(D78="","",IF(LEN(D78)&lt;=C78,D78,IFERROR(LEFT(D78,FIND("§",SUBSTITUTE(LEFT(D78,C78+1)," ","§",LEN(LEFT(D78,C78+1))-LEN(SUBSTITUTE(LEFT(D78,C78+1)," ",""))))-1),LEFT(D78,C78))))</f>
        <v>3.TEST LIGNE 16 colonne Q et ligne 20 colonne P. rechercher la cellule qui coupe le texte Dans la cocotte N°3 en fonte, faites chauffer l’huile</v>
      </c>
      <c r="G78" s="6317" t="str">
        <v>d’olive à feu moyen. Ajoutez la viande et faites-la dorer de tous les côtés. Retirez-la de la cocotte et réservez-la.</v>
      </c>
      <c r="H78" s="6323">
        <f>IF(LEN(TRIM(L78))&gt;0,MAX(H77:H77)+1,"")</f>
        <v>1</v>
      </c>
      <c r="I78" s="6324" t="str">
        <f>D78</f>
        <v>3.TEST LIGNE 16 colonne Q et ligne 20 colonne P. rechercher la cellule qui coupe le texte Dans la cocotte N°3 en fonte, faites chauffer l’huile d’olive à feu moyen. Ajoutez la viande et faites-la dorer de tous les côtés. Retirez-la de la cocotte et réservez-la.</v>
      </c>
      <c r="J78" s="6325" t="str">
        <f>IF(I78=0,"",I78)</f>
        <v>3.TEST LIGNE 16 colonne Q et ligne 20 colonne P. rechercher la cellule qui coupe le texte Dans la cocotte N°3 en fonte, faites chauffer l’huile d’olive à feu moyen. Ajoutez la viande et faites-la dorer de tous les côtés. Retirez-la de la cocotte et réservez-la.</v>
      </c>
      <c r="K78" s="6326" t="str">
        <f>IF(I78="","",LEFT(I78,IF(LEN(I78)&lt;=I81,LEN(I78),IFERROR(FIND("§",SUBSTITUTE(LEFT(I78,I81+1)," ","§",LEN(LEFT(I78,I81+1))-LEN(SUBSTITUTE(LEFT(I78,I81+1)," ",""))))-1,IFERROR(FIND(" ",I78,I81+1)-1,LEN(I78))))))</f>
        <v>3.TEST LIGNE 16 colonne Q et ligne 20 colonne P.</v>
      </c>
      <c r="L78" s="6326" t="str" cm="1">
        <f t="array" ref="L78:L83">_xlfn._xlws.FILTER(TRIM(SUBSTITUTE(SUBSTITUTE(SUBSTITUTE(SUBSTITUTE(SUBSTITUTE(CLEAN(K78:K91),CHAR(160)," "),_xlfn.UNICHAR(8239)," "),CHAR(9)," "),CHAR(10)," "),CHAR(13)," ")),TRIM(SUBSTITUTE(SUBSTITUTE(SUBSTITUTE(SUBSTITUTE(SUBSTITUTE(CLEAN(K78:K91),CHAR(160)," "),_xlfn.UNICHAR(8239)," "),CHAR(9)," "),CHAR(10)," "),CHAR(13)," "))&lt;&gt;"")</f>
        <v>3.TEST LIGNE 16 colonne Q et ligne 20 colonne P.</v>
      </c>
      <c r="M78" s="6328" t="str">
        <v>tous les côtés. Retirez-la de la cocotte et</v>
      </c>
      <c r="N78" t="s">
        <v>21</v>
      </c>
      <c r="O78" s="6334" t="s">
        <v>14399</v>
      </c>
      <c r="P78" s="6335" t="str">
        <f t="shared" si="24"/>
        <v>29.TEST LIGNE 19 colonne Q et ligne 20 colonne P. rechercher la cellule qui coupe le texte Dans la cocotte N°3 en fonte, faites chauffer l’huile d’olive à feu moyen. Ajoutez la viande et faites-la dorer de tous les côtés. Retirez-la de la cocotte et réservez-la.</v>
      </c>
      <c r="Q78" s="6336" t="str">
        <f t="shared" si="25"/>
        <v>29.TEST LIGNE 19 colonne Q et ligne 20 colonne P. rechercher la cellule qui coupe le texte Dans la cocotte N°3 en fonte, faites chauffer l’huile d’olive à feu moyen. Ajoutez la viande et faites-la dorer de tous les côtés. Retirez-la de la cocotte et réservez-la.</v>
      </c>
      <c r="R78" s="6336" t="str">
        <f t="shared" si="26"/>
        <v>29.TEST LIGNE 19 colonne Q et ligne 20 colonne P. rechercher la cellule qui coupe le texte Dans la cocotte N°3 en fonte, faites chauffer l’huile d’olive à feu moyen. Ajoutez la viande et faites-la dorer de tous les côtés. Retirez-la de la cocotte et réservez-la.</v>
      </c>
      <c r="S78" s="6337" t="str">
        <f t="shared" si="27"/>
        <v>29 TEST LIGNE 19 colonne Q et ligne 20 colonne P rechercher la cellule qui coupe le texte Dans la cocotte N°3 en fonte faites chauffer l’huile d’olive à feu moyen Ajoutez la viande et faites-la dorer de tous les côtés Retirez-la de la cocotte et réservez-la</v>
      </c>
      <c r="T78" s="6337" t="str">
        <f t="shared" si="28"/>
        <v>29 TEST LIGNE 19 colonne Q et ligne 20 colonne P rechercher la cellule qui coupe le texte Dans la cocotte N°3 en fonte faites chauffer l’huile d’olive à feu moyen Ajoutez la viande et faites la dorer de tous les côtés Retirez la de la cocotte et réservez la</v>
      </c>
      <c r="U78" s="6337" t="str">
        <f t="shared" si="29"/>
        <v>29 TEST LIGNE 19 colonne Q et ligne 20 colonne P rechercher la cellule qui coupe le texte Dans la cocotte N°3 en fonte faites chauffer l’huile d’olive à feu moyen Ajoutez la viande et faites la dorer de tous les côtés Retirez la de la cocotte et réservez la</v>
      </c>
      <c r="V78" s="6338" t="str">
        <f t="shared" si="30"/>
        <v>29 TEST LIGNE 19 colonne Q et ligne 20 colonne P rechercher la cellule qui coupe le texte Dans la cocotte N°3 en fonte faites chauffer l’huile d’olive à feu moyen Ajoutez la viande et faites la dorer de tous les côtés Retirez la de la cocotte et réservez la</v>
      </c>
      <c r="W78" s="6239"/>
      <c r="X78" s="6339" t="str">
        <f t="shared" si="31"/>
        <v>ligne 78 ►</v>
      </c>
      <c r="Y78" s="6340" t="str">
        <f t="shared" si="35"/>
        <v>29.TEST LIGNE 19 colonne Q et ligne 20 colonne P. rechercher la cellule qui coupe le texte Dans la cocotte N°3 en fonte, faites chauffer l’huile d’olive à feu moyen. Ajoutez la viande et faites-la dorer de tous les côtés. Retirez-la de la cocotte et réservez-la.</v>
      </c>
      <c r="Z78" s="6341">
        <v>5</v>
      </c>
      <c r="AB78" s="6342" t="str">
        <f t="shared" si="32"/>
        <v>ligne 78 ►</v>
      </c>
      <c r="AC78" s="6343" t="str">
        <f t="shared" si="36"/>
        <v>29.TEST LIGNE 19 colonne Q et ligne 20 colonne P. rechercher la cellule qui coupe le texte Dans la cocotte N°3 en fonte, faites chauffer l’huile d’olive à feu moyen. Ajoutez la viande et faites-la dorer de tous les côtés. Retirez-la de la cocotte et réservez-la.</v>
      </c>
      <c r="AD78" s="6344">
        <v>150</v>
      </c>
      <c r="AF78" s="6345" t="str" cm="1">
        <f t="array" ref="AF78">IF(SUMPRODUCT((AL78:AQ78&lt;&gt;"")*1)=0,"",SUMPRODUCT((AL78:AQ78&lt;&gt;"")*(LEN(TRIM(SUBSTITUTE(AL78:AQ78,CHAR(160)," "))) - LEN(SUBSTITUTE(TRIM(SUBSTITUTE(AL78:AQ78,CHAR(160)," "))," ","")) + 1)) &amp; " mot" &amp; IF(SUMPRODUCT((AL78:AQ78&lt;&gt;"")*(LEN(TRIM(SUBSTITUTE(AL78:AQ78,CHAR(160)," "))) - LEN(SUBSTITUTE(TRIM(SUBSTITUTE(AL78:AQ78,CHAR(160)," "))," ","")) + 1))&gt;1,"s",""))</f>
        <v>20 mots</v>
      </c>
      <c r="AG78" s="2263" t="str" cm="1">
        <f t="array" ref="AG78">SUMPRODUCT(--(AL78:AQ78&lt;&gt;""), LEN(TRIM(SUBSTITUTE(AL78:AQ78, CHAR(160), "")))) &amp; " Car."</f>
        <v>117 Car.</v>
      </c>
      <c r="AH78" s="6366" t="s">
        <v>14368</v>
      </c>
      <c r="AI78" s="6367" t="str">
        <f t="shared" si="33"/>
        <v>29.TEST LIGNE 19 colonne Q et ligne 20 colonne P. rechercher la cellule qui coupe le texte Dans la cocotte N°3 en fonte, faites chauffer l’huile d’olive à feu moyen. Ajoutez la viande et faites-la dorer de tous les côtés. Retirez-la de la cocotte et réservez-la.</v>
      </c>
      <c r="AJ78" s="6368"/>
      <c r="AK78" s="2190">
        <f>ROWS(AO50:AO78)</f>
        <v>29</v>
      </c>
      <c r="AL78" s="1942" t="str">
        <v>d’olive à feu moyen. Ajoutez la viande et faites-la dorer de tous les côtés. Retirez-la de la cocotte et réservez-la.</v>
      </c>
      <c r="AM78" s="9"/>
      <c r="AN78" s="9"/>
      <c r="AO78" s="9"/>
      <c r="AP78" s="9"/>
      <c r="AQ78" s="9"/>
      <c r="AR78" s="9"/>
      <c r="AS78" s="9"/>
      <c r="AT78" s="592"/>
      <c r="AU78" s="9"/>
      <c r="AV78" s="103"/>
      <c r="AW78" s="31"/>
      <c r="AX78" s="32"/>
      <c r="AY78" s="31"/>
      <c r="AZ78" s="33"/>
      <c r="BA78" s="1967"/>
      <c r="BB78" s="1805"/>
      <c r="BC78" s="91"/>
      <c r="BD78" s="1806"/>
      <c r="BE78" s="6401"/>
      <c r="BF78" s="6402"/>
      <c r="BG78" s="1969"/>
      <c r="BH78" s="6403"/>
      <c r="BI78" s="95"/>
      <c r="BJ78" s="1326"/>
      <c r="BK78" s="6404"/>
      <c r="BL78" s="1737"/>
      <c r="BM78" s="2081"/>
      <c r="BN78" s="2238"/>
      <c r="BO78" s="1809"/>
      <c r="BQ78" s="2230"/>
      <c r="BR78" s="3">
        <v>1</v>
      </c>
    </row>
    <row r="79" spans="2:70" ht="21" customHeight="1">
      <c r="B79" s="6236"/>
      <c r="C79" s="6358">
        <f t="shared" ref="C79:C91" si="43">C78</f>
        <v>150</v>
      </c>
      <c r="D79" s="6359" t="str" cm="1">
        <f t="array" ref="D79">IF(MOD(ROW()-50,14)=0,INDEX(D78:D91,MOD(ROW()-50,14)+1),E77)</f>
        <v/>
      </c>
      <c r="E79" s="6360" t="str">
        <f t="shared" ref="E79:E91" si="44">IF(D79="","",IF(F79="","",IF(LEN(F79)&gt;=LEN(D79),"",TRIM(MID(D79,LEN(F79)+1,99999)))))</f>
        <v/>
      </c>
      <c r="F79" s="6361" t="str">
        <f t="shared" ref="F79:F91" si="45">IF(D79="","",IF(LEN(D79)&lt;=C79,D79,IFERROR(LEFT(D79,FIND("§",SUBSTITUTE(LEFT(D79,C79+1)," ","§",LEN(LEFT(D79,C79+1))-LEN(SUBSTITUTE(LEFT(D79,C79+1)," ",""))))-1),LEFT(D79,C79))))</f>
        <v/>
      </c>
      <c r="G79" s="6318" t="str">
        <v>14.TEST LIGNE 19 colonne Q et ligne 20 colonne P. rechercher la cellule qui coupe le texte Dans la cocotte N°3 en fonte, faites chauffer l’huile</v>
      </c>
      <c r="H79" s="6323">
        <f t="shared" ref="H79:H91" si="46">IF(LEN(TRIM(L79))&gt;0,MAX(H78:H78)+1,"")</f>
        <v>2</v>
      </c>
      <c r="I79" s="6362" t="s">
        <v>14355</v>
      </c>
      <c r="J79" s="6363" t="str">
        <f>TRIM(MID(I82,LEN(K78)+1,99999))</f>
        <v>rechercher la cellule qui coupe le texte Dans la cocotte N°3 en fonte, faites chauffer l’huile d’olive à feu moyen. Ajoutez la viande et faites-la dorer de tous les côtés. Retirez-la de la cocotte et réservez-la.</v>
      </c>
      <c r="K79" s="6364" t="str">
        <f>IF(J79="","",LEFT(J79,IF(LEN(J79)&lt;=I81,LEN(J79),IFERROR(FIND("§",SUBSTITUTE(LEFT(J79,I81+1)," ","§",LEN(LEFT(J79,I81+1))-LEN(SUBSTITUTE(LEFT(J79,I81+1)," ",""))))-1,IFERROR(FIND(" ",J79,I81+1)-1,LEN(J79))))))</f>
        <v>rechercher la cellule qui coupe le texte Dans la</v>
      </c>
      <c r="L79" s="6327" t="str">
        <v>rechercher la cellule qui coupe le texte Dans la</v>
      </c>
      <c r="M79" s="6329" t="str">
        <v>réservez-la.</v>
      </c>
      <c r="N79" t="s">
        <v>21</v>
      </c>
      <c r="O79" s="6334" t="s">
        <v>14400</v>
      </c>
      <c r="P79" s="6335" t="str">
        <f t="shared" si="24"/>
        <v>30.TEST LIGNE 19 colonne Q et ligne 20 colonne P. rechercher la cellule qui coupe le texte Dans la cocotte N°3 en fonte, faites chauffer l’huile d’olive à feu moyen. Ajoutez la viande et faites-la dorer de tous les côtés. Retirez-la de la cocotte et réservez-la.</v>
      </c>
      <c r="Q79" s="6336" t="str">
        <f t="shared" si="25"/>
        <v>30.TEST LIGNE 19 colonne Q et ligne 20 colonne P. rechercher la cellule qui coupe le texte Dans la cocotte N°3 en fonte, faites chauffer l’huile d’olive à feu moyen. Ajoutez la viande et faites-la dorer de tous les côtés. Retirez-la de la cocotte et réservez-la.</v>
      </c>
      <c r="R79" s="6336" t="str">
        <f t="shared" si="26"/>
        <v>30.TEST LIGNE 19 colonne Q et ligne 20 colonne P. rechercher la cellule qui coupe le texte Dans la cocotte N°3 en fonte, faites chauffer l’huile d’olive à feu moyen. Ajoutez la viande et faites-la dorer de tous les côtés. Retirez-la de la cocotte et réservez-la.</v>
      </c>
      <c r="S79" s="6337" t="str">
        <f t="shared" si="27"/>
        <v>30 TEST LIGNE 19 colonne Q et ligne 20 colonne P rechercher la cellule qui coupe le texte Dans la cocotte N°3 en fonte faites chauffer l’huile d’olive à feu moyen Ajoutez la viande et faites-la dorer de tous les côtés Retirez-la de la cocotte et réservez-la</v>
      </c>
      <c r="T79" s="6337" t="str">
        <f t="shared" si="28"/>
        <v>30 TEST LIGNE 19 colonne Q et ligne 20 colonne P rechercher la cellule qui coupe le texte Dans la cocotte N°3 en fonte faites chauffer l’huile d’olive à feu moyen Ajoutez la viande et faites la dorer de tous les côtés Retirez la de la cocotte et réservez la</v>
      </c>
      <c r="U79" s="6337" t="str">
        <f t="shared" si="29"/>
        <v>30 TEST LIGNE 19 colonne Q et ligne 20 colonne P rechercher la cellule qui coupe le texte Dans la cocotte N°3 en fonte faites chauffer l’huile d’olive à feu moyen Ajoutez la viande et faites la dorer de tous les côtés Retirez la de la cocotte et réservez la</v>
      </c>
      <c r="V79" s="6338" t="str">
        <f t="shared" si="30"/>
        <v>30 TEST LIGNE 19 colonne Q et ligne 20 colonne P rechercher la cellule qui coupe le texte Dans la cocotte N°3 en fonte faites chauffer l’huile d’olive à feu moyen Ajoutez la viande et faites la dorer de tous les côtés Retirez la de la cocotte et réservez la</v>
      </c>
      <c r="W79" s="6239"/>
      <c r="X79" s="6339" t="str">
        <f t="shared" si="31"/>
        <v>ligne 79 ►</v>
      </c>
      <c r="Y79" s="6340" t="str">
        <f t="shared" si="35"/>
        <v>30.TEST LIGNE 19 colonne Q et ligne 20 colonne P. rechercher la cellule qui coupe le texte Dans la cocotte N°3 en fonte, faites chauffer l’huile d’olive à feu moyen. Ajoutez la viande et faites-la dorer de tous les côtés. Retirez-la de la cocotte et réservez-la.</v>
      </c>
      <c r="Z79" s="6341">
        <v>5</v>
      </c>
      <c r="AB79" s="6342" t="str">
        <f t="shared" si="32"/>
        <v>ligne 79 ►</v>
      </c>
      <c r="AC79" s="6343" t="str">
        <f t="shared" si="36"/>
        <v>30.TEST LIGNE 19 colonne Q et ligne 20 colonne P. rechercher la cellule qui coupe le texte Dans la cocotte N°3 en fonte, faites chauffer l’huile d’olive à feu moyen. Ajoutez la viande et faites-la dorer de tous les côtés. Retirez-la de la cocotte et réservez-la.</v>
      </c>
      <c r="AD79" s="6344">
        <v>150</v>
      </c>
      <c r="AF79" s="6345" t="str" cm="1">
        <f t="array" ref="AF79">IF(SUMPRODUCT((AL79:AQ79&lt;&gt;"")*1)=0,"",SUMPRODUCT((AL79:AQ79&lt;&gt;"")*(LEN(TRIM(SUBSTITUTE(AL79:AQ79,CHAR(160)," "))) - LEN(SUBSTITUTE(TRIM(SUBSTITUTE(AL79:AQ79,CHAR(160)," "))," ","")) + 1)) &amp; " mot" &amp; IF(SUMPRODUCT((AL79:AQ79&lt;&gt;"")*(LEN(TRIM(SUBSTITUTE(AL79:AQ79,CHAR(160)," "))) - LEN(SUBSTITUTE(TRIM(SUBSTITUTE(AL79:AQ79,CHAR(160)," "))," ","")) + 1))&gt;1,"s",""))</f>
        <v>26 mots</v>
      </c>
      <c r="AG79" s="2263" t="str" cm="1">
        <f t="array" ref="AG79">SUMPRODUCT(--(AL79:AQ79&lt;&gt;""), LEN(TRIM(SUBSTITUTE(AL79:AQ79, CHAR(160), "")))) &amp; " Car."</f>
        <v>144 Car.</v>
      </c>
      <c r="AH79" s="6366" t="s">
        <v>14368</v>
      </c>
      <c r="AI79" s="6367" t="str">
        <f t="shared" si="33"/>
        <v>30.TEST LIGNE 19 colonne Q et ligne 20 colonne P. rechercher la cellule qui coupe le texte Dans la cocotte N°3 en fonte, faites chauffer l’huile d’olive à feu moyen. Ajoutez la viande et faites-la dorer de tous les côtés. Retirez-la de la cocotte et réservez-la.</v>
      </c>
      <c r="AJ79" s="6368"/>
      <c r="AK79" s="2190">
        <f>ROWS(AO50:AO79)</f>
        <v>30</v>
      </c>
      <c r="AL79" s="1942" t="str">
        <v>14.TEST LIGNE 19 colonne Q et ligne 20 colonne P. rechercher la cellule qui coupe le texte Dans la cocotte N°3 en fonte, faites chauffer l’huile</v>
      </c>
      <c r="AM79" s="9"/>
      <c r="AN79" s="9"/>
      <c r="AO79" s="9"/>
      <c r="AP79" s="9"/>
      <c r="AQ79" s="9"/>
      <c r="AR79" s="9"/>
      <c r="AS79" s="9"/>
      <c r="AT79" s="592"/>
      <c r="AU79" s="9"/>
      <c r="AV79" s="103"/>
      <c r="AW79" s="31"/>
      <c r="AX79" s="32"/>
      <c r="AY79" s="31"/>
      <c r="AZ79" s="33"/>
      <c r="BA79" s="1967"/>
      <c r="BB79" s="1805"/>
      <c r="BC79" s="91"/>
      <c r="BD79" s="1806"/>
      <c r="BE79" s="6401"/>
      <c r="BF79" s="6402"/>
      <c r="BG79" s="1969"/>
      <c r="BH79" s="6403"/>
      <c r="BI79" s="95"/>
      <c r="BJ79" s="1326"/>
      <c r="BK79" s="6404"/>
      <c r="BL79" s="1737"/>
      <c r="BM79" s="2081"/>
      <c r="BN79" s="2238"/>
      <c r="BO79" s="1809"/>
      <c r="BQ79" s="2230"/>
      <c r="BR79" s="3">
        <v>1</v>
      </c>
    </row>
    <row r="80" spans="2:70" ht="21" customHeight="1">
      <c r="B80" s="6236"/>
      <c r="C80" s="6358">
        <f t="shared" si="43"/>
        <v>150</v>
      </c>
      <c r="D80" s="6359" t="str" cm="1">
        <f t="array" ref="D80">IF(MOD(ROW()-50,14)=0,INDEX(D78:D91,MOD(ROW()-50,14)+1),E78)</f>
        <v>d’olive à feu moyen. Ajoutez la viande et faites-la dorer de tous les côtés. Retirez-la de la cocotte et réservez-la.</v>
      </c>
      <c r="E80" s="6360" t="str">
        <f t="shared" si="44"/>
        <v/>
      </c>
      <c r="F80" s="6361" t="str">
        <f t="shared" si="45"/>
        <v>d’olive à feu moyen. Ajoutez la viande et faites-la dorer de tous les côtés. Retirez-la de la cocotte et réservez-la.</v>
      </c>
      <c r="G80" s="6318" t="str">
        <v>d’olive à feu moyen. Ajoutez la viande et faites-la dorer de tous les côtés. Retirez-la de la cocotte et réservez-la.</v>
      </c>
      <c r="H80" s="6323">
        <f t="shared" si="46"/>
        <v>3</v>
      </c>
      <c r="I80" s="6365">
        <f>Z52</f>
        <v>5</v>
      </c>
      <c r="J80" s="6363" t="str">
        <f t="shared" ref="J80:J91" si="47">TRIM(MID(J79,LEN(K79)+1,99999))</f>
        <v>cocotte N°3 en fonte, faites chauffer l’huile d’olive à feu moyen. Ajoutez la viande et faites-la dorer de tous les côtés. Retirez-la de la cocotte et réservez-la.</v>
      </c>
      <c r="K80" s="6364" t="str">
        <f>IF(J80="","",LEFT(J80,IF(LEN(J80)&lt;=I81,LEN(J80),IFERROR(FIND("§",SUBSTITUTE(LEFT(J80,I81+1)," ","§",LEN(LEFT(J80,I81+1))-LEN(SUBSTITUTE(LEFT(J80,I81+1)," ",""))))-1,IFERROR(FIND(" ",J80,I81+1)-1,LEN(J80))))))</f>
        <v>cocotte N°3 en fonte, faites chauffer l’huile d’olive</v>
      </c>
      <c r="L80" s="6327" t="str">
        <v>cocotte N°3 en fonte, faites chauffer l’huile d’olive</v>
      </c>
      <c r="M80" s="6329" t="str">
        <v>6.TEST LIGNE 19 colonne Q et ligne 20 colonne P.</v>
      </c>
      <c r="N80" t="s">
        <v>21</v>
      </c>
      <c r="O80" s="6334" t="s">
        <v>14401</v>
      </c>
      <c r="P80" s="6335" t="str">
        <f t="shared" si="24"/>
        <v>31.TEST LIGNE 19 colonne Q et ligne 20 colonne P. rechercher la cellule qui coupe le texte Dans la cocotte N°3 en fonte, faites chauffer l’huile d’olive à feu moyen. Ajoutez la viande et faites-la dorer de tous les côtés. Retirez-la de la cocotte et réservez-la.</v>
      </c>
      <c r="Q80" s="6336" t="str">
        <f t="shared" si="25"/>
        <v>31.TEST LIGNE 19 colonne Q et ligne 20 colonne P. rechercher la cellule qui coupe le texte Dans la cocotte N°3 en fonte, faites chauffer l’huile d’olive à feu moyen. Ajoutez la viande et faites-la dorer de tous les côtés. Retirez-la de la cocotte et réservez-la.</v>
      </c>
      <c r="R80" s="6336" t="str">
        <f t="shared" si="26"/>
        <v>31.TEST LIGNE 19 colonne Q et ligne 20 colonne P. rechercher la cellule qui coupe le texte Dans la cocotte N°3 en fonte, faites chauffer l’huile d’olive à feu moyen. Ajoutez la viande et faites-la dorer de tous les côtés. Retirez-la de la cocotte et réservez-la.</v>
      </c>
      <c r="S80" s="6337" t="str">
        <f t="shared" si="27"/>
        <v>31 TEST LIGNE 19 colonne Q et ligne 20 colonne P rechercher la cellule qui coupe le texte Dans la cocotte N°3 en fonte faites chauffer l’huile d’olive à feu moyen Ajoutez la viande et faites-la dorer de tous les côtés Retirez-la de la cocotte et réservez-la</v>
      </c>
      <c r="T80" s="6337" t="str">
        <f t="shared" si="28"/>
        <v>31 TEST LIGNE 19 colonne Q et ligne 20 colonne P rechercher la cellule qui coupe le texte Dans la cocotte N°3 en fonte faites chauffer l’huile d’olive à feu moyen Ajoutez la viande et faites la dorer de tous les côtés Retirez la de la cocotte et réservez la</v>
      </c>
      <c r="U80" s="6337" t="str">
        <f t="shared" si="29"/>
        <v>31 TEST LIGNE 19 colonne Q et ligne 20 colonne P rechercher la cellule qui coupe le texte Dans la cocotte N°3 en fonte faites chauffer l’huile d’olive à feu moyen Ajoutez la viande et faites la dorer de tous les côtés Retirez la de la cocotte et réservez la</v>
      </c>
      <c r="V80" s="6338" t="str">
        <f t="shared" si="30"/>
        <v>31 TEST LIGNE 19 colonne Q et ligne 20 colonne P rechercher la cellule qui coupe le texte Dans la cocotte N°3 en fonte faites chauffer l’huile d’olive à feu moyen Ajoutez la viande et faites la dorer de tous les côtés Retirez la de la cocotte et réservez la</v>
      </c>
      <c r="W80" s="6239"/>
      <c r="X80" s="6339" t="str">
        <f t="shared" si="31"/>
        <v>ligne 80 ►</v>
      </c>
      <c r="Y80" s="6340" t="str">
        <f t="shared" si="35"/>
        <v>31.TEST LIGNE 19 colonne Q et ligne 20 colonne P. rechercher la cellule qui coupe le texte Dans la cocotte N°3 en fonte, faites chauffer l’huile d’olive à feu moyen. Ajoutez la viande et faites-la dorer de tous les côtés. Retirez-la de la cocotte et réservez-la.</v>
      </c>
      <c r="Z80" s="6341">
        <v>5</v>
      </c>
      <c r="AB80" s="6342" t="str">
        <f t="shared" si="32"/>
        <v>ligne 80 ►</v>
      </c>
      <c r="AC80" s="6343" t="str">
        <f t="shared" si="36"/>
        <v>31.TEST LIGNE 19 colonne Q et ligne 20 colonne P. rechercher la cellule qui coupe le texte Dans la cocotte N°3 en fonte, faites chauffer l’huile d’olive à feu moyen. Ajoutez la viande et faites-la dorer de tous les côtés. Retirez-la de la cocotte et réservez-la.</v>
      </c>
      <c r="AD80" s="6344">
        <v>150</v>
      </c>
      <c r="AF80" s="6345" t="str" cm="1">
        <f t="array" ref="AF80">IF(SUMPRODUCT((AL80:AQ80&lt;&gt;"")*1)=0,"",SUMPRODUCT((AL80:AQ80&lt;&gt;"")*(LEN(TRIM(SUBSTITUTE(AL80:AQ80,CHAR(160)," "))) - LEN(SUBSTITUTE(TRIM(SUBSTITUTE(AL80:AQ80,CHAR(160)," "))," ","")) + 1)) &amp; " mot" &amp; IF(SUMPRODUCT((AL80:AQ80&lt;&gt;"")*(LEN(TRIM(SUBSTITUTE(AL80:AQ80,CHAR(160)," "))) - LEN(SUBSTITUTE(TRIM(SUBSTITUTE(AL80:AQ80,CHAR(160)," "))," ","")) + 1))&gt;1,"s",""))</f>
        <v>20 mots</v>
      </c>
      <c r="AG80" s="2263" t="str" cm="1">
        <f t="array" ref="AG80">SUMPRODUCT(--(AL80:AQ80&lt;&gt;""), LEN(TRIM(SUBSTITUTE(AL80:AQ80, CHAR(160), "")))) &amp; " Car."</f>
        <v>117 Car.</v>
      </c>
      <c r="AH80" s="6366" t="s">
        <v>14368</v>
      </c>
      <c r="AI80" s="6367" t="str">
        <f t="shared" si="33"/>
        <v>31.TEST LIGNE 19 colonne Q et ligne 20 colonne P. rechercher la cellule qui coupe le texte Dans la cocotte N°3 en fonte, faites chauffer l’huile d’olive à feu moyen. Ajoutez la viande et faites-la dorer de tous les côtés. Retirez-la de la cocotte et réservez-la.</v>
      </c>
      <c r="AJ80" s="6368"/>
      <c r="AK80" s="2190">
        <f>ROWS(AO50:AO80)</f>
        <v>31</v>
      </c>
      <c r="AL80" s="1942" t="str">
        <v>d’olive à feu moyen. Ajoutez la viande et faites-la dorer de tous les côtés. Retirez-la de la cocotte et réservez-la.</v>
      </c>
      <c r="AM80" s="9"/>
      <c r="AN80" s="9"/>
      <c r="AO80" s="9"/>
      <c r="AP80" s="9"/>
      <c r="AQ80" s="9"/>
      <c r="AR80" s="9"/>
      <c r="AS80" s="9"/>
      <c r="AT80" s="592"/>
      <c r="AU80" s="9"/>
      <c r="AV80" s="103"/>
      <c r="AW80" s="31"/>
      <c r="AX80" s="32"/>
      <c r="AY80" s="31"/>
      <c r="AZ80" s="33"/>
      <c r="BA80" s="1967"/>
      <c r="BB80" s="1805"/>
      <c r="BC80" s="91"/>
      <c r="BD80" s="1806"/>
      <c r="BE80" s="6401"/>
      <c r="BF80" s="6402"/>
      <c r="BG80" s="1969"/>
      <c r="BH80" s="6403"/>
      <c r="BI80" s="95"/>
      <c r="BJ80" s="1326"/>
      <c r="BK80" s="6404"/>
      <c r="BL80" s="1737"/>
      <c r="BM80" s="2081"/>
      <c r="BN80" s="2238"/>
      <c r="BO80" s="1809"/>
      <c r="BQ80" s="2230"/>
      <c r="BR80" s="3">
        <v>1</v>
      </c>
    </row>
    <row r="81" spans="2:70" ht="21" customHeight="1">
      <c r="B81" s="6236"/>
      <c r="C81" s="6358">
        <f t="shared" si="43"/>
        <v>150</v>
      </c>
      <c r="D81" s="6359" t="str" cm="1">
        <f t="array" ref="D81">IF(MOD(ROW()-50,14)=0,INDEX(D78:D91,MOD(ROW()-50,14)+1),E79)</f>
        <v/>
      </c>
      <c r="E81" s="6360" t="str">
        <f t="shared" si="44"/>
        <v/>
      </c>
      <c r="F81" s="6361" t="str">
        <f t="shared" si="45"/>
        <v/>
      </c>
      <c r="G81" s="6318" t="str">
        <v>15.TEST LIGNE 19 colonne Q et ligne 20 colonne P. rechercher la cellule qui coupe le texte Dans la cocotte N°3 en fonte, faites chauffer l’huile</v>
      </c>
      <c r="H81" s="6323">
        <f t="shared" si="46"/>
        <v>4</v>
      </c>
      <c r="I81" s="6370">
        <f>IF(OR(J78="",I80="",I80&lt;=0),"",ROUNDUP(LEN(J78)/I80,0))</f>
        <v>53</v>
      </c>
      <c r="J81" s="6363" t="str">
        <f t="shared" si="47"/>
        <v>à feu moyen. Ajoutez la viande et faites-la dorer de tous les côtés. Retirez-la de la cocotte et réservez-la.</v>
      </c>
      <c r="K81" s="6364" t="str">
        <f>IF(J81="","",LEFT(J81,IF(LEN(J81)&lt;=I81,LEN(J81),IFERROR(FIND("§",SUBSTITUTE(LEFT(J81,I81+1)," ","§",LEN(LEFT(J81,I81+1))-LEN(SUBSTITUTE(LEFT(J81,I81+1)," ",""))))-1,IFERROR(FIND(" ",J81,I81+1)-1,LEN(J81))))))</f>
        <v>à feu moyen. Ajoutez la viande et faites-la dorer de</v>
      </c>
      <c r="L81" s="6327" t="str">
        <v>à feu moyen. Ajoutez la viande et faites-la dorer de</v>
      </c>
      <c r="M81" s="6329" t="str">
        <v>rechercher la cellule qui coupe le texte Dans la</v>
      </c>
      <c r="N81" t="s">
        <v>21</v>
      </c>
      <c r="O81" s="6334" t="s">
        <v>14402</v>
      </c>
      <c r="P81" s="6335" t="str">
        <f t="shared" si="24"/>
        <v>32.TEST LIGNE 19 colonne Q et ligne 20 colonne P. rechercher la cellule qui coupe le texte Dans la cocotte N°3 en fonte, faites chauffer l’huile d’olive à feu moyen. Ajoutez la viande et faites-la dorer de tous les côtés. Retirez-la de la cocotte et réservez-la.</v>
      </c>
      <c r="Q81" s="6336" t="str">
        <f t="shared" si="25"/>
        <v>32.TEST LIGNE 19 colonne Q et ligne 20 colonne P. rechercher la cellule qui coupe le texte Dans la cocotte N°3 en fonte, faites chauffer l’huile d’olive à feu moyen. Ajoutez la viande et faites-la dorer de tous les côtés. Retirez-la de la cocotte et réservez-la.</v>
      </c>
      <c r="R81" s="6336" t="str">
        <f t="shared" si="26"/>
        <v>32.TEST LIGNE 19 colonne Q et ligne 20 colonne P. rechercher la cellule qui coupe le texte Dans la cocotte N°3 en fonte, faites chauffer l’huile d’olive à feu moyen. Ajoutez la viande et faites-la dorer de tous les côtés. Retirez-la de la cocotte et réservez-la.</v>
      </c>
      <c r="S81" s="6337" t="str">
        <f t="shared" si="27"/>
        <v>32 TEST LIGNE 19 colonne Q et ligne 20 colonne P rechercher la cellule qui coupe le texte Dans la cocotte N°3 en fonte faites chauffer l’huile d’olive à feu moyen Ajoutez la viande et faites-la dorer de tous les côtés Retirez-la de la cocotte et réservez-la</v>
      </c>
      <c r="T81" s="6337" t="str">
        <f t="shared" si="28"/>
        <v>32 TEST LIGNE 19 colonne Q et ligne 20 colonne P rechercher la cellule qui coupe le texte Dans la cocotte N°3 en fonte faites chauffer l’huile d’olive à feu moyen Ajoutez la viande et faites la dorer de tous les côtés Retirez la de la cocotte et réservez la</v>
      </c>
      <c r="U81" s="6337" t="str">
        <f t="shared" si="29"/>
        <v>32 TEST LIGNE 19 colonne Q et ligne 20 colonne P rechercher la cellule qui coupe le texte Dans la cocotte N°3 en fonte faites chauffer l’huile d’olive à feu moyen Ajoutez la viande et faites la dorer de tous les côtés Retirez la de la cocotte et réservez la</v>
      </c>
      <c r="V81" s="6338" t="str">
        <f t="shared" si="30"/>
        <v>32 TEST LIGNE 19 colonne Q et ligne 20 colonne P rechercher la cellule qui coupe le texte Dans la cocotte N°3 en fonte faites chauffer l’huile d’olive à feu moyen Ajoutez la viande et faites la dorer de tous les côtés Retirez la de la cocotte et réservez la</v>
      </c>
      <c r="W81" s="6239"/>
      <c r="X81" s="6339" t="str">
        <f t="shared" si="31"/>
        <v>ligne 81 ►</v>
      </c>
      <c r="Y81" s="6340" t="str">
        <f t="shared" si="35"/>
        <v>32.TEST LIGNE 19 colonne Q et ligne 20 colonne P. rechercher la cellule qui coupe le texte Dans la cocotte N°3 en fonte, faites chauffer l’huile d’olive à feu moyen. Ajoutez la viande et faites-la dorer de tous les côtés. Retirez-la de la cocotte et réservez-la.</v>
      </c>
      <c r="Z81" s="6341">
        <v>5</v>
      </c>
      <c r="AB81" s="6342" t="str">
        <f t="shared" si="32"/>
        <v>ligne 81 ►</v>
      </c>
      <c r="AC81" s="6343" t="str">
        <f t="shared" si="36"/>
        <v>32.TEST LIGNE 19 colonne Q et ligne 20 colonne P. rechercher la cellule qui coupe le texte Dans la cocotte N°3 en fonte, faites chauffer l’huile d’olive à feu moyen. Ajoutez la viande et faites-la dorer de tous les côtés. Retirez-la de la cocotte et réservez-la.</v>
      </c>
      <c r="AD81" s="6344">
        <v>150</v>
      </c>
      <c r="AF81" s="6345" t="str" cm="1">
        <f t="array" ref="AF81">IF(SUMPRODUCT((AL81:AQ81&lt;&gt;"")*1)=0,"",SUMPRODUCT((AL81:AQ81&lt;&gt;"")*(LEN(TRIM(SUBSTITUTE(AL81:AQ81,CHAR(160)," "))) - LEN(SUBSTITUTE(TRIM(SUBSTITUTE(AL81:AQ81,CHAR(160)," "))," ","")) + 1)) &amp; " mot" &amp; IF(SUMPRODUCT((AL81:AQ81&lt;&gt;"")*(LEN(TRIM(SUBSTITUTE(AL81:AQ81,CHAR(160)," "))) - LEN(SUBSTITUTE(TRIM(SUBSTITUTE(AL81:AQ81,CHAR(160)," "))," ","")) + 1))&gt;1,"s",""))</f>
        <v>26 mots</v>
      </c>
      <c r="AG81" s="2263" t="str" cm="1">
        <f t="array" ref="AG81">SUMPRODUCT(--(AL81:AQ81&lt;&gt;""), LEN(TRIM(SUBSTITUTE(AL81:AQ81, CHAR(160), "")))) &amp; " Car."</f>
        <v>144 Car.</v>
      </c>
      <c r="AH81" s="6366" t="s">
        <v>14368</v>
      </c>
      <c r="AI81" s="6367" t="str">
        <f t="shared" si="33"/>
        <v>32.TEST LIGNE 19 colonne Q et ligne 20 colonne P. rechercher la cellule qui coupe le texte Dans la cocotte N°3 en fonte, faites chauffer l’huile d’olive à feu moyen. Ajoutez la viande et faites-la dorer de tous les côtés. Retirez-la de la cocotte et réservez-la.</v>
      </c>
      <c r="AJ81" s="6368"/>
      <c r="AK81" s="2190">
        <f>ROWS(AO50:AO81)</f>
        <v>32</v>
      </c>
      <c r="AL81" s="1942" t="str">
        <v>15.TEST LIGNE 19 colonne Q et ligne 20 colonne P. rechercher la cellule qui coupe le texte Dans la cocotte N°3 en fonte, faites chauffer l’huile</v>
      </c>
      <c r="AM81" s="9"/>
      <c r="AN81" s="9"/>
      <c r="AO81" s="9"/>
      <c r="AP81" s="9"/>
      <c r="AQ81" s="9"/>
      <c r="AR81" s="9"/>
      <c r="AS81" s="9"/>
      <c r="AT81" s="592"/>
      <c r="AU81" s="9"/>
      <c r="AV81" s="103"/>
      <c r="AW81" s="31"/>
      <c r="AX81" s="32"/>
      <c r="AY81" s="31"/>
      <c r="AZ81" s="33"/>
      <c r="BA81" s="1967"/>
      <c r="BB81" s="1805"/>
      <c r="BC81" s="91"/>
      <c r="BD81" s="1806"/>
      <c r="BE81" s="6401"/>
      <c r="BF81" s="6402"/>
      <c r="BG81" s="1969"/>
      <c r="BH81" s="6403"/>
      <c r="BI81" s="95"/>
      <c r="BJ81" s="1326"/>
      <c r="BK81" s="6404"/>
      <c r="BL81" s="1737"/>
      <c r="BM81" s="2081"/>
      <c r="BN81" s="2238"/>
      <c r="BO81" s="1809"/>
      <c r="BQ81" s="2230"/>
      <c r="BR81" s="3">
        <v>1</v>
      </c>
    </row>
    <row r="82" spans="2:70" ht="21" customHeight="1">
      <c r="B82" s="6236"/>
      <c r="C82" s="6358">
        <f t="shared" si="43"/>
        <v>150</v>
      </c>
      <c r="D82" s="6359" t="str" cm="1">
        <f t="array" ref="D82">IF(MOD(ROW()-50,14)=0,INDEX(D78:D91,MOD(ROW()-50,14)+1),E80)</f>
        <v/>
      </c>
      <c r="E82" s="6360" t="str">
        <f t="shared" si="44"/>
        <v/>
      </c>
      <c r="F82" s="6361" t="str">
        <f t="shared" si="45"/>
        <v/>
      </c>
      <c r="G82" s="6318" t="str">
        <v>d’olive à feu moyen. Ajoutez la viande et faites-la dorer de tous les côtés. Retirez-la de la cocotte et réservez-la.</v>
      </c>
      <c r="H82" s="6323">
        <f t="shared" si="46"/>
        <v>5</v>
      </c>
      <c r="I82" s="6372" t="str">
        <f>I78</f>
        <v>3.TEST LIGNE 16 colonne Q et ligne 20 colonne P. rechercher la cellule qui coupe le texte Dans la cocotte N°3 en fonte, faites chauffer l’huile d’olive à feu moyen. Ajoutez la viande et faites-la dorer de tous les côtés. Retirez-la de la cocotte et réservez-la.</v>
      </c>
      <c r="J82" s="6363" t="str">
        <f t="shared" si="47"/>
        <v>tous les côtés. Retirez-la de la cocotte et réservez-la.</v>
      </c>
      <c r="K82" s="6364" t="str">
        <f>IF(J82="","",LEFT(J82,IF(LEN(J82)&lt;=I81,LEN(J82),IFERROR(FIND("§",SUBSTITUTE(LEFT(J82,I81+1)," ","§",LEN(LEFT(J82,I81+1))-LEN(SUBSTITUTE(LEFT(J82,I81+1)," ",""))))-1,IFERROR(FIND(" ",J82,I81+1)-1,LEN(J82))))))</f>
        <v>tous les côtés. Retirez-la de la cocotte et</v>
      </c>
      <c r="L82" s="6327" t="str">
        <v>tous les côtés. Retirez-la de la cocotte et</v>
      </c>
      <c r="M82" s="6329" t="str">
        <v>cocotte N°3 en fonte, faites chauffer l’huile d’olive</v>
      </c>
      <c r="N82" t="s">
        <v>21</v>
      </c>
      <c r="O82" s="6334" t="s">
        <v>14403</v>
      </c>
      <c r="P82" s="6335" t="str">
        <f t="shared" si="24"/>
        <v>33.TEST LIGNE 19 colonne Q et ligne 20 colonne P. rechercher la cellule qui coupe le texte Dans la cocotte N°3 en fonte, faites chauffer l’huile d’olive à feu moyen. Ajoutez la viande et faites-la dorer de tous les côtés. Retirez-la de la cocotte et réservez-la.</v>
      </c>
      <c r="Q82" s="6336" t="str">
        <f t="shared" si="25"/>
        <v>33.TEST LIGNE 19 colonne Q et ligne 20 colonne P. rechercher la cellule qui coupe le texte Dans la cocotte N°3 en fonte, faites chauffer l’huile d’olive à feu moyen. Ajoutez la viande et faites-la dorer de tous les côtés. Retirez-la de la cocotte et réservez-la.</v>
      </c>
      <c r="R82" s="6336" t="str">
        <f t="shared" si="26"/>
        <v>33.TEST LIGNE 19 colonne Q et ligne 20 colonne P. rechercher la cellule qui coupe le texte Dans la cocotte N°3 en fonte, faites chauffer l’huile d’olive à feu moyen. Ajoutez la viande et faites-la dorer de tous les côtés. Retirez-la de la cocotte et réservez-la.</v>
      </c>
      <c r="S82" s="6337" t="str">
        <f t="shared" si="27"/>
        <v>33 TEST LIGNE 19 colonne Q et ligne 20 colonne P rechercher la cellule qui coupe le texte Dans la cocotte N°3 en fonte faites chauffer l’huile d’olive à feu moyen Ajoutez la viande et faites-la dorer de tous les côtés Retirez-la de la cocotte et réservez-la</v>
      </c>
      <c r="T82" s="6337" t="str">
        <f t="shared" si="28"/>
        <v>33 TEST LIGNE 19 colonne Q et ligne 20 colonne P rechercher la cellule qui coupe le texte Dans la cocotte N°3 en fonte faites chauffer l’huile d’olive à feu moyen Ajoutez la viande et faites la dorer de tous les côtés Retirez la de la cocotte et réservez la</v>
      </c>
      <c r="U82" s="6337" t="str">
        <f t="shared" si="29"/>
        <v>33 TEST LIGNE 19 colonne Q et ligne 20 colonne P rechercher la cellule qui coupe le texte Dans la cocotte N°3 en fonte faites chauffer l’huile d’olive à feu moyen Ajoutez la viande et faites la dorer de tous les côtés Retirez la de la cocotte et réservez la</v>
      </c>
      <c r="V82" s="6338" t="str">
        <f t="shared" si="30"/>
        <v>33 TEST LIGNE 19 colonne Q et ligne 20 colonne P rechercher la cellule qui coupe le texte Dans la cocotte N°3 en fonte faites chauffer l’huile d’olive à feu moyen Ajoutez la viande et faites la dorer de tous les côtés Retirez la de la cocotte et réservez la</v>
      </c>
      <c r="W82" s="6239"/>
      <c r="X82" s="6339" t="str">
        <f t="shared" si="31"/>
        <v>ligne 82 ►</v>
      </c>
      <c r="Y82" s="6340" t="str">
        <f t="shared" si="35"/>
        <v>33.TEST LIGNE 19 colonne Q et ligne 20 colonne P. rechercher la cellule qui coupe le texte Dans la cocotte N°3 en fonte, faites chauffer l’huile d’olive à feu moyen. Ajoutez la viande et faites-la dorer de tous les côtés. Retirez-la de la cocotte et réservez-la.</v>
      </c>
      <c r="Z82" s="6341">
        <v>5</v>
      </c>
      <c r="AB82" s="6342" t="str">
        <f t="shared" si="32"/>
        <v>ligne 82 ►</v>
      </c>
      <c r="AC82" s="6343" t="str">
        <f t="shared" si="36"/>
        <v>33.TEST LIGNE 19 colonne Q et ligne 20 colonne P. rechercher la cellule qui coupe le texte Dans la cocotte N°3 en fonte, faites chauffer l’huile d’olive à feu moyen. Ajoutez la viande et faites-la dorer de tous les côtés. Retirez-la de la cocotte et réservez-la.</v>
      </c>
      <c r="AD82" s="6344">
        <v>150</v>
      </c>
      <c r="AF82" s="6345" t="str" cm="1">
        <f t="array" ref="AF82">IF(SUMPRODUCT((AL82:AQ82&lt;&gt;"")*1)=0,"",SUMPRODUCT((AL82:AQ82&lt;&gt;"")*(LEN(TRIM(SUBSTITUTE(AL82:AQ82,CHAR(160)," "))) - LEN(SUBSTITUTE(TRIM(SUBSTITUTE(AL82:AQ82,CHAR(160)," "))," ","")) + 1)) &amp; " mot" &amp; IF(SUMPRODUCT((AL82:AQ82&lt;&gt;"")*(LEN(TRIM(SUBSTITUTE(AL82:AQ82,CHAR(160)," "))) - LEN(SUBSTITUTE(TRIM(SUBSTITUTE(AL82:AQ82,CHAR(160)," "))," ","")) + 1))&gt;1,"s",""))</f>
        <v>20 mots</v>
      </c>
      <c r="AG82" s="2263" t="str" cm="1">
        <f t="array" ref="AG82">SUMPRODUCT(--(AL82:AQ82&lt;&gt;""), LEN(TRIM(SUBSTITUTE(AL82:AQ82, CHAR(160), "")))) &amp; " Car."</f>
        <v>117 Car.</v>
      </c>
      <c r="AH82" s="6366" t="s">
        <v>14368</v>
      </c>
      <c r="AI82" s="6367" t="str">
        <f t="shared" si="33"/>
        <v>33.TEST LIGNE 19 colonne Q et ligne 20 colonne P. rechercher la cellule qui coupe le texte Dans la cocotte N°3 en fonte, faites chauffer l’huile d’olive à feu moyen. Ajoutez la viande et faites-la dorer de tous les côtés. Retirez-la de la cocotte et réservez-la.</v>
      </c>
      <c r="AJ82" s="6368"/>
      <c r="AK82" s="2190">
        <f>ROWS(AO50:AO82)</f>
        <v>33</v>
      </c>
      <c r="AL82" s="1942" t="str">
        <v>d’olive à feu moyen. Ajoutez la viande et faites-la dorer de tous les côtés. Retirez-la de la cocotte et réservez-la.</v>
      </c>
      <c r="AM82" s="9"/>
      <c r="AN82" s="9"/>
      <c r="AO82" s="9"/>
      <c r="AP82" s="9"/>
      <c r="AQ82" s="9"/>
      <c r="AR82" s="9"/>
      <c r="AS82" s="9"/>
      <c r="AT82" s="592"/>
      <c r="AU82" s="9"/>
      <c r="AV82" s="103"/>
      <c r="AW82" s="31"/>
      <c r="AX82" s="32"/>
      <c r="AY82" s="31"/>
      <c r="AZ82" s="33"/>
      <c r="BA82" s="1967"/>
      <c r="BB82" s="1805"/>
      <c r="BC82" s="91"/>
      <c r="BD82" s="1806"/>
      <c r="BE82" s="6401"/>
      <c r="BF82" s="6402"/>
      <c r="BG82" s="1969"/>
      <c r="BH82" s="6403"/>
      <c r="BI82" s="95"/>
      <c r="BJ82" s="1326"/>
      <c r="BK82" s="6404"/>
      <c r="BL82" s="1737"/>
      <c r="BM82" s="2081"/>
      <c r="BN82" s="2238"/>
      <c r="BO82" s="1809"/>
      <c r="BQ82" s="2230"/>
      <c r="BR82" s="3">
        <v>1</v>
      </c>
    </row>
    <row r="83" spans="2:70" ht="21" customHeight="1">
      <c r="B83" s="6236"/>
      <c r="C83" s="6358">
        <f t="shared" si="43"/>
        <v>150</v>
      </c>
      <c r="D83" s="6359" t="str" cm="1">
        <f t="array" ref="D83">IF(MOD(ROW()-50,14)=0,INDEX(D78:D91,MOD(ROW()-50,14)+1),E81)</f>
        <v/>
      </c>
      <c r="E83" s="6360" t="str">
        <f t="shared" si="44"/>
        <v/>
      </c>
      <c r="F83" s="6361" t="str">
        <f t="shared" si="45"/>
        <v/>
      </c>
      <c r="G83" s="6318" t="str">
        <v>16.TEST LIGNE 19 colonne Q et ligne 20 colonne P. rechercher la cellule qui coupe le texte Dans la cocotte N°3 en fonte, faites chauffer l’huile</v>
      </c>
      <c r="H83" s="6323">
        <f t="shared" si="46"/>
        <v>6</v>
      </c>
      <c r="I83" s="6373"/>
      <c r="J83" s="6363" t="str">
        <f t="shared" si="47"/>
        <v>réservez-la.</v>
      </c>
      <c r="K83" s="6364" t="str">
        <f>IF(J83="","",LEFT(J83,IF(LEN(J83)&lt;=I81,LEN(J83),IFERROR(FIND("§",SUBSTITUTE(LEFT(J83,I81+1)," ","§",LEN(LEFT(J83,I81+1))-LEN(SUBSTITUTE(LEFT(J83,I81+1)," ",""))))-1,IFERROR(FIND(" ",J83,I81+1)-1,LEN(J83))))))</f>
        <v>réservez-la.</v>
      </c>
      <c r="L83" s="6327" t="str">
        <v>réservez-la.</v>
      </c>
      <c r="M83" s="6329" t="str">
        <v>à feu moyen. Ajoutez la viande et faites-la dorer de</v>
      </c>
      <c r="N83" t="s">
        <v>21</v>
      </c>
      <c r="O83" s="6334" t="s">
        <v>14404</v>
      </c>
      <c r="P83" s="6335" t="str">
        <f t="shared" si="24"/>
        <v>34.TEST LIGNE 19 colonne Q et ligne 20 colonne P. rechercher la cellule qui coupe le texte Dans la cocotte N°3 en fonte, faites chauffer l’huile d’olive à feu moyen. Ajoutez la viande et faites-la dorer de tous les côtés. Retirez-la de la cocotte et réservez-la.</v>
      </c>
      <c r="Q83" s="6336" t="str">
        <f t="shared" si="25"/>
        <v>34.TEST LIGNE 19 colonne Q et ligne 20 colonne P. rechercher la cellule qui coupe le texte Dans la cocotte N°3 en fonte, faites chauffer l’huile d’olive à feu moyen. Ajoutez la viande et faites-la dorer de tous les côtés. Retirez-la de la cocotte et réservez-la.</v>
      </c>
      <c r="R83" s="6336" t="str">
        <f t="shared" si="26"/>
        <v>34.TEST LIGNE 19 colonne Q et ligne 20 colonne P. rechercher la cellule qui coupe le texte Dans la cocotte N°3 en fonte, faites chauffer l’huile d’olive à feu moyen. Ajoutez la viande et faites-la dorer de tous les côtés. Retirez-la de la cocotte et réservez-la.</v>
      </c>
      <c r="S83" s="6337" t="str">
        <f t="shared" si="27"/>
        <v>34 TEST LIGNE 19 colonne Q et ligne 20 colonne P rechercher la cellule qui coupe le texte Dans la cocotte N°3 en fonte faites chauffer l’huile d’olive à feu moyen Ajoutez la viande et faites-la dorer de tous les côtés Retirez-la de la cocotte et réservez-la</v>
      </c>
      <c r="T83" s="6337" t="str">
        <f t="shared" si="28"/>
        <v>34 TEST LIGNE 19 colonne Q et ligne 20 colonne P rechercher la cellule qui coupe le texte Dans la cocotte N°3 en fonte faites chauffer l’huile d’olive à feu moyen Ajoutez la viande et faites la dorer de tous les côtés Retirez la de la cocotte et réservez la</v>
      </c>
      <c r="U83" s="6337" t="str">
        <f t="shared" si="29"/>
        <v>34 TEST LIGNE 19 colonne Q et ligne 20 colonne P rechercher la cellule qui coupe le texte Dans la cocotte N°3 en fonte faites chauffer l’huile d’olive à feu moyen Ajoutez la viande et faites la dorer de tous les côtés Retirez la de la cocotte et réservez la</v>
      </c>
      <c r="V83" s="6338" t="str">
        <f t="shared" si="30"/>
        <v>34 TEST LIGNE 19 colonne Q et ligne 20 colonne P rechercher la cellule qui coupe le texte Dans la cocotte N°3 en fonte faites chauffer l’huile d’olive à feu moyen Ajoutez la viande et faites la dorer de tous les côtés Retirez la de la cocotte et réservez la</v>
      </c>
      <c r="W83" s="6239"/>
      <c r="X83" s="6339" t="str">
        <f t="shared" si="31"/>
        <v>ligne 83 ►</v>
      </c>
      <c r="Y83" s="6340" t="str">
        <f t="shared" si="35"/>
        <v>34.TEST LIGNE 19 colonne Q et ligne 20 colonne P. rechercher la cellule qui coupe le texte Dans la cocotte N°3 en fonte, faites chauffer l’huile d’olive à feu moyen. Ajoutez la viande et faites-la dorer de tous les côtés. Retirez-la de la cocotte et réservez-la.</v>
      </c>
      <c r="Z83" s="6341">
        <v>5</v>
      </c>
      <c r="AB83" s="6342" t="str">
        <f t="shared" si="32"/>
        <v>ligne 83 ►</v>
      </c>
      <c r="AC83" s="6343" t="str">
        <f t="shared" si="36"/>
        <v>34.TEST LIGNE 19 colonne Q et ligne 20 colonne P. rechercher la cellule qui coupe le texte Dans la cocotte N°3 en fonte, faites chauffer l’huile d’olive à feu moyen. Ajoutez la viande et faites-la dorer de tous les côtés. Retirez-la de la cocotte et réservez-la.</v>
      </c>
      <c r="AD83" s="6344">
        <v>150</v>
      </c>
      <c r="AF83" s="6345" t="str" cm="1">
        <f t="array" ref="AF83">IF(SUMPRODUCT((AL83:AQ83&lt;&gt;"")*1)=0,"",SUMPRODUCT((AL83:AQ83&lt;&gt;"")*(LEN(TRIM(SUBSTITUTE(AL83:AQ83,CHAR(160)," "))) - LEN(SUBSTITUTE(TRIM(SUBSTITUTE(AL83:AQ83,CHAR(160)," "))," ","")) + 1)) &amp; " mot" &amp; IF(SUMPRODUCT((AL83:AQ83&lt;&gt;"")*(LEN(TRIM(SUBSTITUTE(AL83:AQ83,CHAR(160)," "))) - LEN(SUBSTITUTE(TRIM(SUBSTITUTE(AL83:AQ83,CHAR(160)," "))," ","")) + 1))&gt;1,"s",""))</f>
        <v>26 mots</v>
      </c>
      <c r="AG83" s="2263" t="str" cm="1">
        <f t="array" ref="AG83">SUMPRODUCT(--(AL83:AQ83&lt;&gt;""), LEN(TRIM(SUBSTITUTE(AL83:AQ83, CHAR(160), "")))) &amp; " Car."</f>
        <v>144 Car.</v>
      </c>
      <c r="AH83" s="6366" t="s">
        <v>14368</v>
      </c>
      <c r="AI83" s="6367" t="str">
        <f t="shared" si="33"/>
        <v>34.TEST LIGNE 19 colonne Q et ligne 20 colonne P. rechercher la cellule qui coupe le texte Dans la cocotte N°3 en fonte, faites chauffer l’huile d’olive à feu moyen. Ajoutez la viande et faites-la dorer de tous les côtés. Retirez-la de la cocotte et réservez-la.</v>
      </c>
      <c r="AJ83" s="6368"/>
      <c r="AK83" s="2190">
        <f>ROWS(AO50:AO83)</f>
        <v>34</v>
      </c>
      <c r="AL83" s="1942" t="str">
        <v>16.TEST LIGNE 19 colonne Q et ligne 20 colonne P. rechercher la cellule qui coupe le texte Dans la cocotte N°3 en fonte, faites chauffer l’huile</v>
      </c>
      <c r="AM83" s="9"/>
      <c r="AN83" s="9"/>
      <c r="AO83" s="9"/>
      <c r="AP83" s="9"/>
      <c r="AQ83" s="9"/>
      <c r="AR83" s="9"/>
      <c r="AS83" s="9"/>
      <c r="AT83" s="592"/>
      <c r="AU83" s="9"/>
      <c r="AV83" s="103"/>
      <c r="AW83" s="31"/>
      <c r="AX83" s="32"/>
      <c r="AY83" s="31"/>
      <c r="AZ83" s="33"/>
      <c r="BA83" s="1967"/>
      <c r="BB83" s="1805"/>
      <c r="BC83" s="91"/>
      <c r="BD83" s="1806"/>
      <c r="BE83" s="6401"/>
      <c r="BF83" s="6402"/>
      <c r="BG83" s="1969"/>
      <c r="BH83" s="6403"/>
      <c r="BI83" s="95"/>
      <c r="BJ83" s="1326"/>
      <c r="BK83" s="6404"/>
      <c r="BL83" s="1737"/>
      <c r="BM83" s="2081"/>
      <c r="BN83" s="2238"/>
      <c r="BO83" s="1809"/>
      <c r="BQ83" s="2230"/>
      <c r="BR83" s="3">
        <v>1</v>
      </c>
    </row>
    <row r="84" spans="2:70" ht="21" customHeight="1">
      <c r="B84" s="6236"/>
      <c r="C84" s="6358">
        <f t="shared" si="43"/>
        <v>150</v>
      </c>
      <c r="D84" s="6359" t="str" cm="1">
        <f t="array" ref="D84">IF(MOD(ROW()-50,14)=0,INDEX(D78:D91,MOD(ROW()-50,14)+1),E82)</f>
        <v/>
      </c>
      <c r="E84" s="6360" t="str">
        <f t="shared" si="44"/>
        <v/>
      </c>
      <c r="F84" s="6361" t="str">
        <f t="shared" si="45"/>
        <v/>
      </c>
      <c r="G84" s="6318" t="str">
        <v>d’olive à feu moyen. Ajoutez la viande et faites-la dorer de tous les côtés. Retirez-la de la cocotte et réservez-la.</v>
      </c>
      <c r="H84" s="6323" t="str">
        <f t="shared" si="46"/>
        <v/>
      </c>
      <c r="I84" s="6373"/>
      <c r="J84" s="6363" t="str">
        <f t="shared" si="47"/>
        <v/>
      </c>
      <c r="K84" s="6364" t="str">
        <f>IF(J84="","",LEFT(J84,IF(LEN(J84)&lt;=I81,LEN(J84),IFERROR(FIND("§",SUBSTITUTE(LEFT(J84,I81+1)," ","§",LEN(LEFT(J84,I81+1))-LEN(SUBSTITUTE(LEFT(J84,I81+1)," ",""))))-1,IFERROR(FIND(" ",J84,I81+1)-1,LEN(J84))))))</f>
        <v/>
      </c>
      <c r="L84" s="6327"/>
      <c r="M84" s="6329" t="str">
        <v>tous les côtés. Retirez-la de la cocotte et</v>
      </c>
      <c r="N84" t="s">
        <v>21</v>
      </c>
      <c r="O84" s="6334" t="s">
        <v>14405</v>
      </c>
      <c r="P84" s="6335" t="str">
        <f t="shared" si="24"/>
        <v>35.TEST LIGNE 19 colonne Q et ligne 20 colonne P. rechercher la cellule qui coupe le texte Dans la cocotte N°3 en fonte, faites chauffer l’huile d’olive à feu moyen. Ajoutez la viande et faites-la dorer de tous les côtés. Retirez-la de la cocotte et réservez-la.</v>
      </c>
      <c r="Q84" s="6336" t="str">
        <f t="shared" si="25"/>
        <v>35.TEST LIGNE 19 colonne Q et ligne 20 colonne P. rechercher la cellule qui coupe le texte Dans la cocotte N°3 en fonte, faites chauffer l’huile d’olive à feu moyen. Ajoutez la viande et faites-la dorer de tous les côtés. Retirez-la de la cocotte et réservez-la.</v>
      </c>
      <c r="R84" s="6336" t="str">
        <f t="shared" si="26"/>
        <v>35.TEST LIGNE 19 colonne Q et ligne 20 colonne P. rechercher la cellule qui coupe le texte Dans la cocotte N°3 en fonte, faites chauffer l’huile d’olive à feu moyen. Ajoutez la viande et faites-la dorer de tous les côtés. Retirez-la de la cocotte et réservez-la.</v>
      </c>
      <c r="S84" s="6337" t="str">
        <f t="shared" si="27"/>
        <v>35 TEST LIGNE 19 colonne Q et ligne 20 colonne P rechercher la cellule qui coupe le texte Dans la cocotte N°3 en fonte faites chauffer l’huile d’olive à feu moyen Ajoutez la viande et faites-la dorer de tous les côtés Retirez-la de la cocotte et réservez-la</v>
      </c>
      <c r="T84" s="6337" t="str">
        <f t="shared" si="28"/>
        <v>35 TEST LIGNE 19 colonne Q et ligne 20 colonne P rechercher la cellule qui coupe le texte Dans la cocotte N°3 en fonte faites chauffer l’huile d’olive à feu moyen Ajoutez la viande et faites la dorer de tous les côtés Retirez la de la cocotte et réservez la</v>
      </c>
      <c r="U84" s="6337" t="str">
        <f t="shared" si="29"/>
        <v>35 TEST LIGNE 19 colonne Q et ligne 20 colonne P rechercher la cellule qui coupe le texte Dans la cocotte N°3 en fonte faites chauffer l’huile d’olive à feu moyen Ajoutez la viande et faites la dorer de tous les côtés Retirez la de la cocotte et réservez la</v>
      </c>
      <c r="V84" s="6338" t="str">
        <f t="shared" si="30"/>
        <v>35 TEST LIGNE 19 colonne Q et ligne 20 colonne P rechercher la cellule qui coupe le texte Dans la cocotte N°3 en fonte faites chauffer l’huile d’olive à feu moyen Ajoutez la viande et faites la dorer de tous les côtés Retirez la de la cocotte et réservez la</v>
      </c>
      <c r="W84" s="6239"/>
      <c r="X84" s="6339" t="str">
        <f t="shared" si="31"/>
        <v>ligne 84 ►</v>
      </c>
      <c r="Y84" s="6340" t="str">
        <f t="shared" si="35"/>
        <v>35.TEST LIGNE 19 colonne Q et ligne 20 colonne P. rechercher la cellule qui coupe le texte Dans la cocotte N°3 en fonte, faites chauffer l’huile d’olive à feu moyen. Ajoutez la viande et faites-la dorer de tous les côtés. Retirez-la de la cocotte et réservez-la.</v>
      </c>
      <c r="Z84" s="6341">
        <v>5</v>
      </c>
      <c r="AB84" s="6342" t="str">
        <f t="shared" si="32"/>
        <v>ligne 84 ►</v>
      </c>
      <c r="AC84" s="6343" t="str">
        <f t="shared" si="36"/>
        <v>35.TEST LIGNE 19 colonne Q et ligne 20 colonne P. rechercher la cellule qui coupe le texte Dans la cocotte N°3 en fonte, faites chauffer l’huile d’olive à feu moyen. Ajoutez la viande et faites-la dorer de tous les côtés. Retirez-la de la cocotte et réservez-la.</v>
      </c>
      <c r="AD84" s="6344">
        <v>150</v>
      </c>
      <c r="AF84" s="6345" t="str" cm="1">
        <f t="array" ref="AF84">IF(SUMPRODUCT((AL84:AQ84&lt;&gt;"")*1)=0,"",SUMPRODUCT((AL84:AQ84&lt;&gt;"")*(LEN(TRIM(SUBSTITUTE(AL84:AQ84,CHAR(160)," "))) - LEN(SUBSTITUTE(TRIM(SUBSTITUTE(AL84:AQ84,CHAR(160)," "))," ","")) + 1)) &amp; " mot" &amp; IF(SUMPRODUCT((AL84:AQ84&lt;&gt;"")*(LEN(TRIM(SUBSTITUTE(AL84:AQ84,CHAR(160)," "))) - LEN(SUBSTITUTE(TRIM(SUBSTITUTE(AL84:AQ84,CHAR(160)," "))," ","")) + 1))&gt;1,"s",""))</f>
        <v>20 mots</v>
      </c>
      <c r="AG84" s="2263" t="str" cm="1">
        <f t="array" ref="AG84">SUMPRODUCT(--(AL84:AQ84&lt;&gt;""), LEN(TRIM(SUBSTITUTE(AL84:AQ84, CHAR(160), "")))) &amp; " Car."</f>
        <v>117 Car.</v>
      </c>
      <c r="AH84" s="6366" t="s">
        <v>14368</v>
      </c>
      <c r="AI84" s="6367" t="str">
        <f t="shared" si="33"/>
        <v>35.TEST LIGNE 19 colonne Q et ligne 20 colonne P. rechercher la cellule qui coupe le texte Dans la cocotte N°3 en fonte, faites chauffer l’huile d’olive à feu moyen. Ajoutez la viande et faites-la dorer de tous les côtés. Retirez-la de la cocotte et réservez-la.</v>
      </c>
      <c r="AJ84" s="6368"/>
      <c r="AK84" s="2190">
        <f>ROWS(AO50:AO84)</f>
        <v>35</v>
      </c>
      <c r="AL84" s="1942" t="str">
        <v>d’olive à feu moyen. Ajoutez la viande et faites-la dorer de tous les côtés. Retirez-la de la cocotte et réservez-la.</v>
      </c>
      <c r="AM84" s="9"/>
      <c r="AN84" s="9"/>
      <c r="AO84" s="9"/>
      <c r="AP84" s="9"/>
      <c r="AQ84" s="9"/>
      <c r="AR84" s="9"/>
      <c r="AS84" s="9"/>
      <c r="AT84" s="592"/>
      <c r="AU84" s="9"/>
      <c r="AV84" s="103"/>
      <c r="AW84" s="31"/>
      <c r="AX84" s="32"/>
      <c r="AY84" s="31"/>
      <c r="AZ84" s="33"/>
      <c r="BA84" s="1967"/>
      <c r="BB84" s="1805"/>
      <c r="BC84" s="91"/>
      <c r="BD84" s="1806"/>
      <c r="BE84" s="6401"/>
      <c r="BF84" s="6402"/>
      <c r="BG84" s="1969"/>
      <c r="BH84" s="6403"/>
      <c r="BI84" s="95"/>
      <c r="BJ84" s="1326"/>
      <c r="BK84" s="6404"/>
      <c r="BL84" s="1737"/>
      <c r="BM84" s="2081"/>
      <c r="BN84" s="2238"/>
      <c r="BO84" s="1809"/>
      <c r="BQ84" s="2230"/>
      <c r="BR84" s="3">
        <v>1</v>
      </c>
    </row>
    <row r="85" spans="2:70" ht="21" customHeight="1">
      <c r="B85" s="6236"/>
      <c r="C85" s="6358">
        <f t="shared" si="43"/>
        <v>150</v>
      </c>
      <c r="D85" s="6359" t="str" cm="1">
        <f t="array" ref="D85">IF(MOD(ROW()-50,14)=0,INDEX(D78:D91,MOD(ROW()-50,14)+1),E83)</f>
        <v/>
      </c>
      <c r="E85" s="6360" t="str">
        <f t="shared" si="44"/>
        <v/>
      </c>
      <c r="F85" s="6361" t="str">
        <f t="shared" si="45"/>
        <v/>
      </c>
      <c r="G85" s="6318" t="str">
        <v>17.TEST LIGNE 19 colonne Q et ligne 20 colonne P. rechercher la cellule qui coupe le texte Dans la cocotte N°3 en fonte, faites chauffer l’huile</v>
      </c>
      <c r="H85" s="6323" t="str">
        <f t="shared" si="46"/>
        <v/>
      </c>
      <c r="I85" s="6373"/>
      <c r="J85" s="6363" t="str">
        <f t="shared" si="47"/>
        <v/>
      </c>
      <c r="K85" s="6364" t="str">
        <f>IF(J85="","",LEFT(J85,IF(LEN(J85)&lt;=I81,LEN(J85),IFERROR(FIND("§",SUBSTITUTE(LEFT(J85,I81+1)," ","§",LEN(LEFT(J85,I81+1))-LEN(SUBSTITUTE(LEFT(J85,I81+1)," ",""))))-1,IFERROR(FIND(" ",J85,I81+1)-1,LEN(J85))))))</f>
        <v/>
      </c>
      <c r="L85" s="6327"/>
      <c r="M85" s="6329" t="str">
        <v>réservez-la.</v>
      </c>
      <c r="N85" t="s">
        <v>21</v>
      </c>
      <c r="O85" s="6334" t="s">
        <v>14406</v>
      </c>
      <c r="P85" s="6335" t="str">
        <f t="shared" si="24"/>
        <v>36.TEST LIGNE 19 colonne Q et ligne 20 colonne P. rechercher la cellule qui coupe le texte Dans la cocotte N°3 en fonte, faites chauffer l’huile d’olive à feu moyen. Ajoutez la viande et faites-la dorer de tous les côtés. Retirez-la de la cocotte et réservez-la.</v>
      </c>
      <c r="Q85" s="6336" t="str">
        <f t="shared" si="25"/>
        <v>36.TEST LIGNE 19 colonne Q et ligne 20 colonne P. rechercher la cellule qui coupe le texte Dans la cocotte N°3 en fonte, faites chauffer l’huile d’olive à feu moyen. Ajoutez la viande et faites-la dorer de tous les côtés. Retirez-la de la cocotte et réservez-la.</v>
      </c>
      <c r="R85" s="6336" t="str">
        <f t="shared" si="26"/>
        <v>36.TEST LIGNE 19 colonne Q et ligne 20 colonne P. rechercher la cellule qui coupe le texte Dans la cocotte N°3 en fonte, faites chauffer l’huile d’olive à feu moyen. Ajoutez la viande et faites-la dorer de tous les côtés. Retirez-la de la cocotte et réservez-la.</v>
      </c>
      <c r="S85" s="6337" t="str">
        <f t="shared" si="27"/>
        <v>36 TEST LIGNE 19 colonne Q et ligne 20 colonne P rechercher la cellule qui coupe le texte Dans la cocotte N°3 en fonte faites chauffer l’huile d’olive à feu moyen Ajoutez la viande et faites-la dorer de tous les côtés Retirez-la de la cocotte et réservez-la</v>
      </c>
      <c r="T85" s="6337" t="str">
        <f t="shared" si="28"/>
        <v>36 TEST LIGNE 19 colonne Q et ligne 20 colonne P rechercher la cellule qui coupe le texte Dans la cocotte N°3 en fonte faites chauffer l’huile d’olive à feu moyen Ajoutez la viande et faites la dorer de tous les côtés Retirez la de la cocotte et réservez la</v>
      </c>
      <c r="U85" s="6337" t="str">
        <f t="shared" si="29"/>
        <v>36 TEST LIGNE 19 colonne Q et ligne 20 colonne P rechercher la cellule qui coupe le texte Dans la cocotte N°3 en fonte faites chauffer l’huile d’olive à feu moyen Ajoutez la viande et faites la dorer de tous les côtés Retirez la de la cocotte et réservez la</v>
      </c>
      <c r="V85" s="6338" t="str">
        <f t="shared" si="30"/>
        <v>36 TEST LIGNE 19 colonne Q et ligne 20 colonne P rechercher la cellule qui coupe le texte Dans la cocotte N°3 en fonte faites chauffer l’huile d’olive à feu moyen Ajoutez la viande et faites la dorer de tous les côtés Retirez la de la cocotte et réservez la</v>
      </c>
      <c r="W85" s="6239"/>
      <c r="X85" s="6339" t="str">
        <f t="shared" si="31"/>
        <v>ligne 85 ►</v>
      </c>
      <c r="Y85" s="6340" t="str">
        <f t="shared" si="35"/>
        <v>36.TEST LIGNE 19 colonne Q et ligne 20 colonne P. rechercher la cellule qui coupe le texte Dans la cocotte N°3 en fonte, faites chauffer l’huile d’olive à feu moyen. Ajoutez la viande et faites-la dorer de tous les côtés. Retirez-la de la cocotte et réservez-la.</v>
      </c>
      <c r="Z85" s="6341">
        <v>5</v>
      </c>
      <c r="AB85" s="6342" t="str">
        <f t="shared" si="32"/>
        <v>ligne 85 ►</v>
      </c>
      <c r="AC85" s="6343" t="str">
        <f t="shared" si="36"/>
        <v>36.TEST LIGNE 19 colonne Q et ligne 20 colonne P. rechercher la cellule qui coupe le texte Dans la cocotte N°3 en fonte, faites chauffer l’huile d’olive à feu moyen. Ajoutez la viande et faites-la dorer de tous les côtés. Retirez-la de la cocotte et réservez-la.</v>
      </c>
      <c r="AD85" s="6344">
        <v>150</v>
      </c>
      <c r="AF85" s="6345" t="str" cm="1">
        <f t="array" ref="AF85">IF(SUMPRODUCT((AL85:AQ85&lt;&gt;"")*1)=0,"",SUMPRODUCT((AL85:AQ85&lt;&gt;"")*(LEN(TRIM(SUBSTITUTE(AL85:AQ85,CHAR(160)," "))) - LEN(SUBSTITUTE(TRIM(SUBSTITUTE(AL85:AQ85,CHAR(160)," "))," ","")) + 1)) &amp; " mot" &amp; IF(SUMPRODUCT((AL85:AQ85&lt;&gt;"")*(LEN(TRIM(SUBSTITUTE(AL85:AQ85,CHAR(160)," "))) - LEN(SUBSTITUTE(TRIM(SUBSTITUTE(AL85:AQ85,CHAR(160)," "))," ","")) + 1))&gt;1,"s",""))</f>
        <v>26 mots</v>
      </c>
      <c r="AG85" s="2263" t="str" cm="1">
        <f t="array" ref="AG85">SUMPRODUCT(--(AL85:AQ85&lt;&gt;""), LEN(TRIM(SUBSTITUTE(AL85:AQ85, CHAR(160), "")))) &amp; " Car."</f>
        <v>144 Car.</v>
      </c>
      <c r="AH85" s="6366" t="s">
        <v>14368</v>
      </c>
      <c r="AI85" s="6367" t="str">
        <f t="shared" si="33"/>
        <v>36.TEST LIGNE 19 colonne Q et ligne 20 colonne P. rechercher la cellule qui coupe le texte Dans la cocotte N°3 en fonte, faites chauffer l’huile d’olive à feu moyen. Ajoutez la viande et faites-la dorer de tous les côtés. Retirez-la de la cocotte et réservez-la.</v>
      </c>
      <c r="AJ85" s="6368"/>
      <c r="AK85" s="2190">
        <f>ROWS(AO50:AO85)</f>
        <v>36</v>
      </c>
      <c r="AL85" s="1942" t="str">
        <v>17.TEST LIGNE 19 colonne Q et ligne 20 colonne P. rechercher la cellule qui coupe le texte Dans la cocotte N°3 en fonte, faites chauffer l’huile</v>
      </c>
      <c r="AM85" s="9"/>
      <c r="AN85" s="9"/>
      <c r="AO85" s="9"/>
      <c r="AP85" s="9"/>
      <c r="AQ85" s="9"/>
      <c r="AR85" s="9"/>
      <c r="AS85" s="9"/>
      <c r="AT85" s="592"/>
      <c r="AU85" s="9"/>
      <c r="AV85" s="103"/>
      <c r="AW85" s="31"/>
      <c r="AX85" s="32"/>
      <c r="AY85" s="31"/>
      <c r="AZ85" s="33"/>
      <c r="BA85" s="1967"/>
      <c r="BB85" s="1805"/>
      <c r="BC85" s="91"/>
      <c r="BD85" s="1806"/>
      <c r="BE85" s="6401"/>
      <c r="BF85" s="6402"/>
      <c r="BG85" s="1969"/>
      <c r="BH85" s="6403"/>
      <c r="BI85" s="95"/>
      <c r="BJ85" s="1326"/>
      <c r="BK85" s="6404"/>
      <c r="BL85" s="1737"/>
      <c r="BM85" s="2081"/>
      <c r="BN85" s="2238"/>
      <c r="BO85" s="1809"/>
      <c r="BQ85" s="2230"/>
      <c r="BR85" s="3">
        <v>1</v>
      </c>
    </row>
    <row r="86" spans="2:70" ht="21" customHeight="1">
      <c r="B86" s="6236"/>
      <c r="C86" s="6358">
        <f t="shared" si="43"/>
        <v>150</v>
      </c>
      <c r="D86" s="6359" t="str" cm="1">
        <f t="array" ref="D86">IF(MOD(ROW()-50,14)=0,INDEX(D78:D91,MOD(ROW()-50,14)+1),E84)</f>
        <v/>
      </c>
      <c r="E86" s="6360" t="str">
        <f t="shared" si="44"/>
        <v/>
      </c>
      <c r="F86" s="6361" t="str">
        <f t="shared" si="45"/>
        <v/>
      </c>
      <c r="G86" s="6318" t="str">
        <v>d’olive à feu moyen. Ajoutez la viande et faites-la dorer de tous les côtés. Retirez-la de la cocotte et réservez-la.</v>
      </c>
      <c r="H86" s="6323" t="str">
        <f t="shared" si="46"/>
        <v/>
      </c>
      <c r="I86" s="6373"/>
      <c r="J86" s="6363" t="str">
        <f t="shared" si="47"/>
        <v/>
      </c>
      <c r="K86" s="6364" t="str">
        <f>IF(J86="","",LEFT(J86,IF(LEN(J86)&lt;=I81,LEN(J86),IFERROR(FIND("§",SUBSTITUTE(LEFT(J86,I81+1)," ","§",LEN(LEFT(J86,I81+1))-LEN(SUBSTITUTE(LEFT(J86,I81+1)," ",""))))-1,IFERROR(FIND(" ",J86,I81+1)-1,LEN(J86))))))</f>
        <v/>
      </c>
      <c r="L86" s="6327"/>
      <c r="M86" s="6329" t="str">
        <v>7..TEST LIGNE 19 colonne Q et ligne 20 colonne P.</v>
      </c>
      <c r="N86" t="s">
        <v>21</v>
      </c>
      <c r="O86" s="6334" t="s">
        <v>14407</v>
      </c>
      <c r="P86" s="6335" t="str">
        <f t="shared" si="24"/>
        <v>37.TEST LIGNE 19 colonne Q et ligne 20 colonne P. rechercher la cellule qui coupe le texte Dans la cocotte N°3 en fonte, faites chauffer l’huile d’olive à feu moyen. Ajoutez la viande et faites-la dorer de tous les côtés. Retirez-la de la cocotte et réservez-la.</v>
      </c>
      <c r="Q86" s="6336" t="str">
        <f t="shared" si="25"/>
        <v>37.TEST LIGNE 19 colonne Q et ligne 20 colonne P. rechercher la cellule qui coupe le texte Dans la cocotte N°3 en fonte, faites chauffer l’huile d’olive à feu moyen. Ajoutez la viande et faites-la dorer de tous les côtés. Retirez-la de la cocotte et réservez-la.</v>
      </c>
      <c r="R86" s="6336" t="str">
        <f t="shared" si="26"/>
        <v>37.TEST LIGNE 19 colonne Q et ligne 20 colonne P. rechercher la cellule qui coupe le texte Dans la cocotte N°3 en fonte, faites chauffer l’huile d’olive à feu moyen. Ajoutez la viande et faites-la dorer de tous les côtés. Retirez-la de la cocotte et réservez-la.</v>
      </c>
      <c r="S86" s="6337" t="str">
        <f t="shared" si="27"/>
        <v>37 TEST LIGNE 19 colonne Q et ligne 20 colonne P rechercher la cellule qui coupe le texte Dans la cocotte N°3 en fonte faites chauffer l’huile d’olive à feu moyen Ajoutez la viande et faites-la dorer de tous les côtés Retirez-la de la cocotte et réservez-la</v>
      </c>
      <c r="T86" s="6337" t="str">
        <f t="shared" si="28"/>
        <v>37 TEST LIGNE 19 colonne Q et ligne 20 colonne P rechercher la cellule qui coupe le texte Dans la cocotte N°3 en fonte faites chauffer l’huile d’olive à feu moyen Ajoutez la viande et faites la dorer de tous les côtés Retirez la de la cocotte et réservez la</v>
      </c>
      <c r="U86" s="6337" t="str">
        <f t="shared" si="29"/>
        <v>37 TEST LIGNE 19 colonne Q et ligne 20 colonne P rechercher la cellule qui coupe le texte Dans la cocotte N°3 en fonte faites chauffer l’huile d’olive à feu moyen Ajoutez la viande et faites la dorer de tous les côtés Retirez la de la cocotte et réservez la</v>
      </c>
      <c r="V86" s="6338" t="str">
        <f t="shared" si="30"/>
        <v>37 TEST LIGNE 19 colonne Q et ligne 20 colonne P rechercher la cellule qui coupe le texte Dans la cocotte N°3 en fonte faites chauffer l’huile d’olive à feu moyen Ajoutez la viande et faites la dorer de tous les côtés Retirez la de la cocotte et réservez la</v>
      </c>
      <c r="W86" s="6239"/>
      <c r="X86" s="6339" t="str">
        <f t="shared" si="31"/>
        <v>ligne 86 ►</v>
      </c>
      <c r="Y86" s="6340" t="str">
        <f t="shared" si="35"/>
        <v>37.TEST LIGNE 19 colonne Q et ligne 20 colonne P. rechercher la cellule qui coupe le texte Dans la cocotte N°3 en fonte, faites chauffer l’huile d’olive à feu moyen. Ajoutez la viande et faites-la dorer de tous les côtés. Retirez-la de la cocotte et réservez-la.</v>
      </c>
      <c r="Z86" s="6341">
        <v>5</v>
      </c>
      <c r="AB86" s="6342" t="str">
        <f t="shared" si="32"/>
        <v>ligne 86 ►</v>
      </c>
      <c r="AC86" s="6343" t="str">
        <f t="shared" si="36"/>
        <v>37.TEST LIGNE 19 colonne Q et ligne 20 colonne P. rechercher la cellule qui coupe le texte Dans la cocotte N°3 en fonte, faites chauffer l’huile d’olive à feu moyen. Ajoutez la viande et faites-la dorer de tous les côtés. Retirez-la de la cocotte et réservez-la.</v>
      </c>
      <c r="AD86" s="6344">
        <v>150</v>
      </c>
      <c r="AF86" s="6345" t="str" cm="1">
        <f t="array" ref="AF86">IF(SUMPRODUCT((AL86:AQ86&lt;&gt;"")*1)=0,"",SUMPRODUCT((AL86:AQ86&lt;&gt;"")*(LEN(TRIM(SUBSTITUTE(AL86:AQ86,CHAR(160)," "))) - LEN(SUBSTITUTE(TRIM(SUBSTITUTE(AL86:AQ86,CHAR(160)," "))," ","")) + 1)) &amp; " mot" &amp; IF(SUMPRODUCT((AL86:AQ86&lt;&gt;"")*(LEN(TRIM(SUBSTITUTE(AL86:AQ86,CHAR(160)," "))) - LEN(SUBSTITUTE(TRIM(SUBSTITUTE(AL86:AQ86,CHAR(160)," "))," ","")) + 1))&gt;1,"s",""))</f>
        <v>20 mots</v>
      </c>
      <c r="AG86" s="2263" t="str" cm="1">
        <f t="array" ref="AG86">SUMPRODUCT(--(AL86:AQ86&lt;&gt;""), LEN(TRIM(SUBSTITUTE(AL86:AQ86, CHAR(160), "")))) &amp; " Car."</f>
        <v>117 Car.</v>
      </c>
      <c r="AH86" s="6366" t="s">
        <v>14368</v>
      </c>
      <c r="AI86" s="6367" t="str">
        <f t="shared" si="33"/>
        <v>37.TEST LIGNE 19 colonne Q et ligne 20 colonne P. rechercher la cellule qui coupe le texte Dans la cocotte N°3 en fonte, faites chauffer l’huile d’olive à feu moyen. Ajoutez la viande et faites-la dorer de tous les côtés. Retirez-la de la cocotte et réservez-la.</v>
      </c>
      <c r="AJ86" s="6368"/>
      <c r="AK86" s="2190">
        <f>ROWS(AO50:AO86)</f>
        <v>37</v>
      </c>
      <c r="AL86" s="1942" t="str">
        <v>d’olive à feu moyen. Ajoutez la viande et faites-la dorer de tous les côtés. Retirez-la de la cocotte et réservez-la.</v>
      </c>
      <c r="AM86" s="9"/>
      <c r="AN86" s="9"/>
      <c r="AO86" s="9"/>
      <c r="AP86" s="9"/>
      <c r="AQ86" s="9"/>
      <c r="AR86" s="9"/>
      <c r="AS86" s="9"/>
      <c r="AT86" s="592"/>
      <c r="AU86" s="9"/>
      <c r="AV86" s="103"/>
      <c r="AW86" s="31"/>
      <c r="AX86" s="32"/>
      <c r="AY86" s="31"/>
      <c r="AZ86" s="33"/>
      <c r="BA86" s="1967"/>
      <c r="BB86" s="1805"/>
      <c r="BC86" s="91"/>
      <c r="BD86" s="1806"/>
      <c r="BE86" s="6401"/>
      <c r="BF86" s="6402"/>
      <c r="BG86" s="1969"/>
      <c r="BH86" s="6403"/>
      <c r="BI86" s="95"/>
      <c r="BJ86" s="1326"/>
      <c r="BK86" s="6404"/>
      <c r="BL86" s="1737"/>
      <c r="BM86" s="2081"/>
      <c r="BN86" s="2238"/>
      <c r="BO86" s="1809"/>
      <c r="BQ86" s="2230"/>
      <c r="BR86" s="3">
        <v>1</v>
      </c>
    </row>
    <row r="87" spans="2:70" ht="21" customHeight="1">
      <c r="B87" s="6236"/>
      <c r="C87" s="6358">
        <f t="shared" si="43"/>
        <v>150</v>
      </c>
      <c r="D87" s="6359" t="str" cm="1">
        <f t="array" ref="D87">IF(MOD(ROW()-50,14)=0,INDEX(D78:D91,MOD(ROW()-50,14)+1),E85)</f>
        <v/>
      </c>
      <c r="E87" s="6360" t="str">
        <f t="shared" si="44"/>
        <v/>
      </c>
      <c r="F87" s="6361" t="str">
        <f t="shared" si="45"/>
        <v/>
      </c>
      <c r="G87" s="6318" t="str">
        <v>18.TEST LIGNE 19 colonne Q et ligne 20 colonne P. rechercher la cellule qui coupe le texte Dans la cocotte N°3 en fonte, faites chauffer l’huile</v>
      </c>
      <c r="H87" s="6323" t="str">
        <f t="shared" si="46"/>
        <v/>
      </c>
      <c r="I87" s="6373"/>
      <c r="J87" s="6363" t="str">
        <f t="shared" si="47"/>
        <v/>
      </c>
      <c r="K87" s="6364" t="str">
        <f>IF(J87="","",LEFT(J87,IF(LEN(J87)&lt;=I81,LEN(J87),IFERROR(FIND("§",SUBSTITUTE(LEFT(J87,I81+1)," ","§",LEN(LEFT(J87,I81+1))-LEN(SUBSTITUTE(LEFT(J87,I81+1)," ",""))))-1,IFERROR(FIND(" ",J87,I81+1)-1,LEN(J87))))))</f>
        <v/>
      </c>
      <c r="L87" s="6327"/>
      <c r="M87" s="6329" t="str">
        <v>rechercher la cellule qui coupe le texte Dans la</v>
      </c>
      <c r="N87" t="s">
        <v>21</v>
      </c>
      <c r="O87" s="6334" t="s">
        <v>14408</v>
      </c>
      <c r="P87" s="6335" t="str">
        <f t="shared" si="24"/>
        <v>38.TEST LIGNE 19 colonne Q et ligne 20 colonne P. rechercher la cellule qui coupe le texte Dans la cocotte N°3 en fonte, faites chauffer l’huile d’olive à feu moyen. Ajoutez la viande et faites-la dorer de tous les côtés. Retirez-la de la cocotte et réservez-la.</v>
      </c>
      <c r="Q87" s="6336" t="str">
        <f t="shared" si="25"/>
        <v>38.TEST LIGNE 19 colonne Q et ligne 20 colonne P. rechercher la cellule qui coupe le texte Dans la cocotte N°3 en fonte, faites chauffer l’huile d’olive à feu moyen. Ajoutez la viande et faites-la dorer de tous les côtés. Retirez-la de la cocotte et réservez-la.</v>
      </c>
      <c r="R87" s="6336" t="str">
        <f t="shared" si="26"/>
        <v>38.TEST LIGNE 19 colonne Q et ligne 20 colonne P. rechercher la cellule qui coupe le texte Dans la cocotte N°3 en fonte, faites chauffer l’huile d’olive à feu moyen. Ajoutez la viande et faites-la dorer de tous les côtés. Retirez-la de la cocotte et réservez-la.</v>
      </c>
      <c r="S87" s="6337" t="str">
        <f t="shared" si="27"/>
        <v>38 TEST LIGNE 19 colonne Q et ligne 20 colonne P rechercher la cellule qui coupe le texte Dans la cocotte N°3 en fonte faites chauffer l’huile d’olive à feu moyen Ajoutez la viande et faites-la dorer de tous les côtés Retirez-la de la cocotte et réservez-la</v>
      </c>
      <c r="T87" s="6337" t="str">
        <f t="shared" si="28"/>
        <v>38 TEST LIGNE 19 colonne Q et ligne 20 colonne P rechercher la cellule qui coupe le texte Dans la cocotte N°3 en fonte faites chauffer l’huile d’olive à feu moyen Ajoutez la viande et faites la dorer de tous les côtés Retirez la de la cocotte et réservez la</v>
      </c>
      <c r="U87" s="6337" t="str">
        <f t="shared" si="29"/>
        <v>38 TEST LIGNE 19 colonne Q et ligne 20 colonne P rechercher la cellule qui coupe le texte Dans la cocotte N°3 en fonte faites chauffer l’huile d’olive à feu moyen Ajoutez la viande et faites la dorer de tous les côtés Retirez la de la cocotte et réservez la</v>
      </c>
      <c r="V87" s="6338" t="str">
        <f t="shared" si="30"/>
        <v>38 TEST LIGNE 19 colonne Q et ligne 20 colonne P rechercher la cellule qui coupe le texte Dans la cocotte N°3 en fonte faites chauffer l’huile d’olive à feu moyen Ajoutez la viande et faites la dorer de tous les côtés Retirez la de la cocotte et réservez la</v>
      </c>
      <c r="W87" s="6239"/>
      <c r="X87" s="6339" t="str">
        <f t="shared" si="31"/>
        <v>ligne 87 ►</v>
      </c>
      <c r="Y87" s="6340" t="str">
        <f t="shared" si="35"/>
        <v>38.TEST LIGNE 19 colonne Q et ligne 20 colonne P. rechercher la cellule qui coupe le texte Dans la cocotte N°3 en fonte, faites chauffer l’huile d’olive à feu moyen. Ajoutez la viande et faites-la dorer de tous les côtés. Retirez-la de la cocotte et réservez-la.</v>
      </c>
      <c r="Z87" s="6341">
        <v>5</v>
      </c>
      <c r="AB87" s="6342" t="str">
        <f t="shared" si="32"/>
        <v>ligne 87 ►</v>
      </c>
      <c r="AC87" s="6343" t="str">
        <f t="shared" si="36"/>
        <v>38.TEST LIGNE 19 colonne Q et ligne 20 colonne P. rechercher la cellule qui coupe le texte Dans la cocotte N°3 en fonte, faites chauffer l’huile d’olive à feu moyen. Ajoutez la viande et faites-la dorer de tous les côtés. Retirez-la de la cocotte et réservez-la.</v>
      </c>
      <c r="AD87" s="6344">
        <v>150</v>
      </c>
      <c r="AF87" s="6345" t="str" cm="1">
        <f t="array" ref="AF87">IF(SUMPRODUCT((AL87:AQ87&lt;&gt;"")*1)=0,"",SUMPRODUCT((AL87:AQ87&lt;&gt;"")*(LEN(TRIM(SUBSTITUTE(AL87:AQ87,CHAR(160)," "))) - LEN(SUBSTITUTE(TRIM(SUBSTITUTE(AL87:AQ87,CHAR(160)," "))," ","")) + 1)) &amp; " mot" &amp; IF(SUMPRODUCT((AL87:AQ87&lt;&gt;"")*(LEN(TRIM(SUBSTITUTE(AL87:AQ87,CHAR(160)," "))) - LEN(SUBSTITUTE(TRIM(SUBSTITUTE(AL87:AQ87,CHAR(160)," "))," ","")) + 1))&gt;1,"s",""))</f>
        <v>26 mots</v>
      </c>
      <c r="AG87" s="2263" t="str" cm="1">
        <f t="array" ref="AG87">SUMPRODUCT(--(AL87:AQ87&lt;&gt;""), LEN(TRIM(SUBSTITUTE(AL87:AQ87, CHAR(160), "")))) &amp; " Car."</f>
        <v>144 Car.</v>
      </c>
      <c r="AH87" s="6366" t="s">
        <v>14368</v>
      </c>
      <c r="AI87" s="6367" t="str">
        <f t="shared" si="33"/>
        <v>38.TEST LIGNE 19 colonne Q et ligne 20 colonne P. rechercher la cellule qui coupe le texte Dans la cocotte N°3 en fonte, faites chauffer l’huile d’olive à feu moyen. Ajoutez la viande et faites-la dorer de tous les côtés. Retirez-la de la cocotte et réservez-la.</v>
      </c>
      <c r="AJ87" s="6368"/>
      <c r="AK87" s="2190">
        <f>ROWS(AO50:AO87)</f>
        <v>38</v>
      </c>
      <c r="AL87" s="1942" t="str">
        <v>18.TEST LIGNE 19 colonne Q et ligne 20 colonne P. rechercher la cellule qui coupe le texte Dans la cocotte N°3 en fonte, faites chauffer l’huile</v>
      </c>
      <c r="AM87" s="9"/>
      <c r="AN87" s="9"/>
      <c r="AO87" s="9"/>
      <c r="AP87" s="9"/>
      <c r="AQ87" s="9"/>
      <c r="AR87" s="9"/>
      <c r="AS87" s="9"/>
      <c r="AT87" s="592"/>
      <c r="AU87" s="9"/>
      <c r="AV87" s="103"/>
      <c r="AW87" s="31"/>
      <c r="AX87" s="32"/>
      <c r="AY87" s="31"/>
      <c r="AZ87" s="33"/>
      <c r="BA87" s="1967"/>
      <c r="BB87" s="1805"/>
      <c r="BC87" s="91"/>
      <c r="BD87" s="1806"/>
      <c r="BE87" s="6401"/>
      <c r="BF87" s="6402"/>
      <c r="BG87" s="1969"/>
      <c r="BH87" s="6403"/>
      <c r="BI87" s="95"/>
      <c r="BJ87" s="1326"/>
      <c r="BK87" s="6404"/>
      <c r="BL87" s="1737"/>
      <c r="BM87" s="2081"/>
      <c r="BN87" s="2238"/>
      <c r="BO87" s="1809"/>
      <c r="BQ87" s="2230"/>
      <c r="BR87" s="3">
        <v>1</v>
      </c>
    </row>
    <row r="88" spans="2:70" ht="21" customHeight="1">
      <c r="B88" s="6236"/>
      <c r="C88" s="6358">
        <f t="shared" si="43"/>
        <v>150</v>
      </c>
      <c r="D88" s="6359" t="str" cm="1">
        <f t="array" ref="D88">IF(MOD(ROW()-50,14)=0,INDEX(D78:D91,MOD(ROW()-50,14)+1),E86)</f>
        <v/>
      </c>
      <c r="E88" s="6360" t="str">
        <f t="shared" si="44"/>
        <v/>
      </c>
      <c r="F88" s="6361" t="str">
        <f t="shared" si="45"/>
        <v/>
      </c>
      <c r="G88" s="6318" t="str">
        <v>d’olive à feu moyen. Ajoutez la viande et faites-la dorer de tous les côtés. Retirez-la de la cocotte et réservez-la.</v>
      </c>
      <c r="H88" s="6323" t="str">
        <f t="shared" si="46"/>
        <v/>
      </c>
      <c r="I88" s="6373"/>
      <c r="J88" s="6363" t="str">
        <f t="shared" si="47"/>
        <v/>
      </c>
      <c r="K88" s="6364" t="str">
        <f>IF(J88="","",LEFT(J88,IF(LEN(J88)&lt;=I81,LEN(J88),IFERROR(FIND("§",SUBSTITUTE(LEFT(J88,I81+1)," ","§",LEN(LEFT(J88,I81+1))-LEN(SUBSTITUTE(LEFT(J88,I81+1)," ",""))))-1,IFERROR(FIND(" ",J88,I81+1)-1,LEN(J88))))))</f>
        <v/>
      </c>
      <c r="L88" s="6327"/>
      <c r="M88" s="6329" t="str">
        <v>cocotte N°3 en fonte, faites chauffer l’huile d’olive</v>
      </c>
      <c r="N88" t="s">
        <v>21</v>
      </c>
      <c r="O88" s="6334" t="s">
        <v>14409</v>
      </c>
      <c r="P88" s="6335" t="str">
        <f t="shared" si="24"/>
        <v>39.TEST LIGNE 19 colonne Q et ligne 20 colonne P. rechercher la cellule qui coupe le texte Dans la cocotte N°3 en fonte, faites chauffer l’huile d’olive à feu moyen. Ajoutez la viande et faites-la dorer de tous les côtés. Retirez-la de la cocotte et réservez-la.</v>
      </c>
      <c r="Q88" s="6336" t="str">
        <f t="shared" si="25"/>
        <v>39.TEST LIGNE 19 colonne Q et ligne 20 colonne P. rechercher la cellule qui coupe le texte Dans la cocotte N°3 en fonte, faites chauffer l’huile d’olive à feu moyen. Ajoutez la viande et faites-la dorer de tous les côtés. Retirez-la de la cocotte et réservez-la.</v>
      </c>
      <c r="R88" s="6336" t="str">
        <f t="shared" si="26"/>
        <v>39.TEST LIGNE 19 colonne Q et ligne 20 colonne P. rechercher la cellule qui coupe le texte Dans la cocotte N°3 en fonte, faites chauffer l’huile d’olive à feu moyen. Ajoutez la viande et faites-la dorer de tous les côtés. Retirez-la de la cocotte et réservez-la.</v>
      </c>
      <c r="S88" s="6337" t="str">
        <f t="shared" si="27"/>
        <v>39 TEST LIGNE 19 colonne Q et ligne 20 colonne P rechercher la cellule qui coupe le texte Dans la cocotte N°3 en fonte faites chauffer l’huile d’olive à feu moyen Ajoutez la viande et faites-la dorer de tous les côtés Retirez-la de la cocotte et réservez-la</v>
      </c>
      <c r="T88" s="6337" t="str">
        <f t="shared" si="28"/>
        <v>39 TEST LIGNE 19 colonne Q et ligne 20 colonne P rechercher la cellule qui coupe le texte Dans la cocotte N°3 en fonte faites chauffer l’huile d’olive à feu moyen Ajoutez la viande et faites la dorer de tous les côtés Retirez la de la cocotte et réservez la</v>
      </c>
      <c r="U88" s="6337" t="str">
        <f t="shared" si="29"/>
        <v>39 TEST LIGNE 19 colonne Q et ligne 20 colonne P rechercher la cellule qui coupe le texte Dans la cocotte N°3 en fonte faites chauffer l’huile d’olive à feu moyen Ajoutez la viande et faites la dorer de tous les côtés Retirez la de la cocotte et réservez la</v>
      </c>
      <c r="V88" s="6338" t="str">
        <f t="shared" si="30"/>
        <v>39 TEST LIGNE 19 colonne Q et ligne 20 colonne P rechercher la cellule qui coupe le texte Dans la cocotte N°3 en fonte faites chauffer l’huile d’olive à feu moyen Ajoutez la viande et faites la dorer de tous les côtés Retirez la de la cocotte et réservez la</v>
      </c>
      <c r="W88" s="6239"/>
      <c r="X88" s="6339" t="str">
        <f t="shared" si="31"/>
        <v>ligne 88 ►</v>
      </c>
      <c r="Y88" s="6340" t="str">
        <f t="shared" si="35"/>
        <v>39.TEST LIGNE 19 colonne Q et ligne 20 colonne P. rechercher la cellule qui coupe le texte Dans la cocotte N°3 en fonte, faites chauffer l’huile d’olive à feu moyen. Ajoutez la viande et faites-la dorer de tous les côtés. Retirez-la de la cocotte et réservez-la.</v>
      </c>
      <c r="Z88" s="6341">
        <v>5</v>
      </c>
      <c r="AB88" s="6342" t="str">
        <f t="shared" si="32"/>
        <v>ligne 88 ►</v>
      </c>
      <c r="AC88" s="6343" t="str">
        <f t="shared" si="36"/>
        <v>39.TEST LIGNE 19 colonne Q et ligne 20 colonne P. rechercher la cellule qui coupe le texte Dans la cocotte N°3 en fonte, faites chauffer l’huile d’olive à feu moyen. Ajoutez la viande et faites-la dorer de tous les côtés. Retirez-la de la cocotte et réservez-la.</v>
      </c>
      <c r="AD88" s="6344">
        <v>150</v>
      </c>
      <c r="AF88" s="6345" t="str" cm="1">
        <f t="array" ref="AF88">IF(SUMPRODUCT((AL88:AQ88&lt;&gt;"")*1)=0,"",SUMPRODUCT((AL88:AQ88&lt;&gt;"")*(LEN(TRIM(SUBSTITUTE(AL88:AQ88,CHAR(160)," "))) - LEN(SUBSTITUTE(TRIM(SUBSTITUTE(AL88:AQ88,CHAR(160)," "))," ","")) + 1)) &amp; " mot" &amp; IF(SUMPRODUCT((AL88:AQ88&lt;&gt;"")*(LEN(TRIM(SUBSTITUTE(AL88:AQ88,CHAR(160)," "))) - LEN(SUBSTITUTE(TRIM(SUBSTITUTE(AL88:AQ88,CHAR(160)," "))," ","")) + 1))&gt;1,"s",""))</f>
        <v>20 mots</v>
      </c>
      <c r="AG88" s="2263" t="str" cm="1">
        <f t="array" ref="AG88">SUMPRODUCT(--(AL88:AQ88&lt;&gt;""), LEN(TRIM(SUBSTITUTE(AL88:AQ88, CHAR(160), "")))) &amp; " Car."</f>
        <v>117 Car.</v>
      </c>
      <c r="AH88" s="6366" t="s">
        <v>14368</v>
      </c>
      <c r="AI88" s="6367" t="str">
        <f t="shared" si="33"/>
        <v>39.TEST LIGNE 19 colonne Q et ligne 20 colonne P. rechercher la cellule qui coupe le texte Dans la cocotte N°3 en fonte, faites chauffer l’huile d’olive à feu moyen. Ajoutez la viande et faites-la dorer de tous les côtés. Retirez-la de la cocotte et réservez-la.</v>
      </c>
      <c r="AJ88" s="6368"/>
      <c r="AK88" s="2190">
        <f>ROWS(AO50:AO88)</f>
        <v>39</v>
      </c>
      <c r="AL88" s="1942" t="str">
        <v>d’olive à feu moyen. Ajoutez la viande et faites-la dorer de tous les côtés. Retirez-la de la cocotte et réservez-la.</v>
      </c>
      <c r="AM88" s="9"/>
      <c r="AN88" s="9"/>
      <c r="AO88" s="9"/>
      <c r="AP88" s="9"/>
      <c r="AQ88" s="9"/>
      <c r="AR88" s="9"/>
      <c r="AS88" s="9"/>
      <c r="AT88" s="592"/>
      <c r="AU88" s="9"/>
      <c r="AV88" s="103"/>
      <c r="AW88" s="31"/>
      <c r="AX88" s="32"/>
      <c r="AY88" s="31"/>
      <c r="AZ88" s="33"/>
      <c r="BA88" s="1967"/>
      <c r="BB88" s="1805"/>
      <c r="BC88" s="91"/>
      <c r="BD88" s="1806"/>
      <c r="BE88" s="6401"/>
      <c r="BF88" s="6402"/>
      <c r="BG88" s="1969"/>
      <c r="BH88" s="6403"/>
      <c r="BI88" s="95"/>
      <c r="BJ88" s="1326"/>
      <c r="BK88" s="6404"/>
      <c r="BL88" s="1737"/>
      <c r="BM88" s="2081"/>
      <c r="BN88" s="2238"/>
      <c r="BO88" s="1809"/>
      <c r="BQ88" s="2230"/>
      <c r="BR88" s="3">
        <v>1</v>
      </c>
    </row>
    <row r="89" spans="2:70" ht="21" customHeight="1">
      <c r="B89" s="6236"/>
      <c r="C89" s="6358">
        <f t="shared" si="43"/>
        <v>150</v>
      </c>
      <c r="D89" s="6359" t="str" cm="1">
        <f t="array" ref="D89">IF(MOD(ROW()-50,14)=0,INDEX(D78:D91,MOD(ROW()-50,14)+1),E87)</f>
        <v/>
      </c>
      <c r="E89" s="6360" t="str">
        <f t="shared" si="44"/>
        <v/>
      </c>
      <c r="F89" s="6361" t="str">
        <f t="shared" si="45"/>
        <v/>
      </c>
      <c r="G89" s="6318" t="str">
        <v>19.TEST LIGNE 19 colonne Q et ligne 20 colonne P. rechercher la cellule qui coupe le texte Dans la cocotte N°3 en fonte, faites chauffer l’huile</v>
      </c>
      <c r="H89" s="6323" t="str">
        <f t="shared" si="46"/>
        <v/>
      </c>
      <c r="I89" s="6373"/>
      <c r="J89" s="6363" t="str">
        <f t="shared" si="47"/>
        <v/>
      </c>
      <c r="K89" s="6364" t="str">
        <f>IF(J89="","",LEFT(J89,IF(LEN(J89)&lt;=I81,LEN(J89),IFERROR(FIND("§",SUBSTITUTE(LEFT(J89,I81+1)," ","§",LEN(LEFT(J89,I81+1))-LEN(SUBSTITUTE(LEFT(J89,I81+1)," ",""))))-1,IFERROR(FIND(" ",J89,I81+1)-1,LEN(J89))))))</f>
        <v/>
      </c>
      <c r="L89" s="6327"/>
      <c r="M89" s="6329" t="str">
        <v>à feu moyen. Ajoutez la viande et faites-la dorer de</v>
      </c>
      <c r="N89" t="s">
        <v>21</v>
      </c>
      <c r="O89" s="6334" t="s">
        <v>14410</v>
      </c>
      <c r="P89" s="6335" t="str">
        <f t="shared" si="24"/>
        <v>40.TEST LIGNE 19 colonne Q et ligne 20 colonne P. rechercher la cellule qui coupe le texte Dans la cocotte N°3 en fonte, faites chauffer l’huile d’olive à feu moyen. Ajoutez la viande et faites-la dorer de tous les côtés. Retirez-la de la cocotte et réservez-la.</v>
      </c>
      <c r="Q89" s="6336" t="str">
        <f t="shared" si="25"/>
        <v>40.TEST LIGNE 19 colonne Q et ligne 20 colonne P. rechercher la cellule qui coupe le texte Dans la cocotte N°3 en fonte, faites chauffer l’huile d’olive à feu moyen. Ajoutez la viande et faites-la dorer de tous les côtés. Retirez-la de la cocotte et réservez-la.</v>
      </c>
      <c r="R89" s="6336" t="str">
        <f t="shared" si="26"/>
        <v>40.TEST LIGNE 19 colonne Q et ligne 20 colonne P. rechercher la cellule qui coupe le texte Dans la cocotte N°3 en fonte, faites chauffer l’huile d’olive à feu moyen. Ajoutez la viande et faites-la dorer de tous les côtés. Retirez-la de la cocotte et réservez-la.</v>
      </c>
      <c r="S89" s="6337" t="str">
        <f t="shared" si="27"/>
        <v>40 TEST LIGNE 19 colonne Q et ligne 20 colonne P rechercher la cellule qui coupe le texte Dans la cocotte N°3 en fonte faites chauffer l’huile d’olive à feu moyen Ajoutez la viande et faites-la dorer de tous les côtés Retirez-la de la cocotte et réservez-la</v>
      </c>
      <c r="T89" s="6337" t="str">
        <f t="shared" si="28"/>
        <v>40 TEST LIGNE 19 colonne Q et ligne 20 colonne P rechercher la cellule qui coupe le texte Dans la cocotte N°3 en fonte faites chauffer l’huile d’olive à feu moyen Ajoutez la viande et faites la dorer de tous les côtés Retirez la de la cocotte et réservez la</v>
      </c>
      <c r="U89" s="6337" t="str">
        <f t="shared" si="29"/>
        <v>40 TEST LIGNE 19 colonne Q et ligne 20 colonne P rechercher la cellule qui coupe le texte Dans la cocotte N°3 en fonte faites chauffer l’huile d’olive à feu moyen Ajoutez la viande et faites la dorer de tous les côtés Retirez la de la cocotte et réservez la</v>
      </c>
      <c r="V89" s="6338" t="str">
        <f t="shared" si="30"/>
        <v>40 TEST LIGNE 19 colonne Q et ligne 20 colonne P rechercher la cellule qui coupe le texte Dans la cocotte N°3 en fonte faites chauffer l’huile d’olive à feu moyen Ajoutez la viande et faites la dorer de tous les côtés Retirez la de la cocotte et réservez la</v>
      </c>
      <c r="W89" s="6239"/>
      <c r="X89" s="6339" t="str">
        <f t="shared" si="31"/>
        <v>ligne 89 ►</v>
      </c>
      <c r="Y89" s="6340" t="str">
        <f t="shared" si="35"/>
        <v>40.TEST LIGNE 19 colonne Q et ligne 20 colonne P. rechercher la cellule qui coupe le texte Dans la cocotte N°3 en fonte, faites chauffer l’huile d’olive à feu moyen. Ajoutez la viande et faites-la dorer de tous les côtés. Retirez-la de la cocotte et réservez-la.</v>
      </c>
      <c r="Z89" s="6341">
        <v>5</v>
      </c>
      <c r="AB89" s="6342" t="str">
        <f t="shared" si="32"/>
        <v>ligne 89 ►</v>
      </c>
      <c r="AC89" s="6343" t="str">
        <f t="shared" si="36"/>
        <v>40.TEST LIGNE 19 colonne Q et ligne 20 colonne P. rechercher la cellule qui coupe le texte Dans la cocotte N°3 en fonte, faites chauffer l’huile d’olive à feu moyen. Ajoutez la viande et faites-la dorer de tous les côtés. Retirez-la de la cocotte et réservez-la.</v>
      </c>
      <c r="AD89" s="6344">
        <v>150</v>
      </c>
      <c r="AF89" s="6345" t="str" cm="1">
        <f t="array" ref="AF89">IF(SUMPRODUCT((AL89:AQ89&lt;&gt;"")*1)=0,"",SUMPRODUCT((AL89:AQ89&lt;&gt;"")*(LEN(TRIM(SUBSTITUTE(AL89:AQ89,CHAR(160)," "))) - LEN(SUBSTITUTE(TRIM(SUBSTITUTE(AL89:AQ89,CHAR(160)," "))," ","")) + 1)) &amp; " mot" &amp; IF(SUMPRODUCT((AL89:AQ89&lt;&gt;"")*(LEN(TRIM(SUBSTITUTE(AL89:AQ89,CHAR(160)," "))) - LEN(SUBSTITUTE(TRIM(SUBSTITUTE(AL89:AQ89,CHAR(160)," "))," ","")) + 1))&gt;1,"s",""))</f>
        <v>26 mots</v>
      </c>
      <c r="AG89" s="2263" t="str" cm="1">
        <f t="array" ref="AG89">SUMPRODUCT(--(AL89:AQ89&lt;&gt;""), LEN(TRIM(SUBSTITUTE(AL89:AQ89, CHAR(160), "")))) &amp; " Car."</f>
        <v>144 Car.</v>
      </c>
      <c r="AH89" s="6366" t="s">
        <v>14368</v>
      </c>
      <c r="AI89" s="6367" t="str">
        <f t="shared" si="33"/>
        <v>40.TEST LIGNE 19 colonne Q et ligne 20 colonne P. rechercher la cellule qui coupe le texte Dans la cocotte N°3 en fonte, faites chauffer l’huile d’olive à feu moyen. Ajoutez la viande et faites-la dorer de tous les côtés. Retirez-la de la cocotte et réservez-la.</v>
      </c>
      <c r="AJ89" s="6368"/>
      <c r="AK89" s="2190">
        <f>ROWS(AO50:AO89)</f>
        <v>40</v>
      </c>
      <c r="AL89" s="1942" t="str">
        <v>19.TEST LIGNE 19 colonne Q et ligne 20 colonne P. rechercher la cellule qui coupe le texte Dans la cocotte N°3 en fonte, faites chauffer l’huile</v>
      </c>
      <c r="AM89" s="9"/>
      <c r="AN89" s="9"/>
      <c r="AO89" s="9"/>
      <c r="AP89" s="9"/>
      <c r="AQ89" s="9"/>
      <c r="AR89" s="9"/>
      <c r="AS89" s="9"/>
      <c r="AT89" s="592"/>
      <c r="AU89" s="9"/>
      <c r="AV89" s="103"/>
      <c r="AW89" s="31"/>
      <c r="AX89" s="32"/>
      <c r="AY89" s="31"/>
      <c r="AZ89" s="33"/>
      <c r="BA89" s="1967"/>
      <c r="BB89" s="1805"/>
      <c r="BC89" s="91"/>
      <c r="BD89" s="1806"/>
      <c r="BE89" s="6401"/>
      <c r="BF89" s="6402"/>
      <c r="BG89" s="1969"/>
      <c r="BH89" s="6403"/>
      <c r="BI89" s="95"/>
      <c r="BJ89" s="1326"/>
      <c r="BK89" s="6404"/>
      <c r="BL89" s="1737"/>
      <c r="BM89" s="2081"/>
      <c r="BN89" s="2238"/>
      <c r="BO89" s="1809"/>
      <c r="BQ89" s="2230"/>
      <c r="BR89" s="3">
        <v>1</v>
      </c>
    </row>
    <row r="90" spans="2:70" ht="21" customHeight="1">
      <c r="B90" s="6236"/>
      <c r="C90" s="6358">
        <f t="shared" si="43"/>
        <v>150</v>
      </c>
      <c r="D90" s="6359" t="str" cm="1">
        <f t="array" ref="D90">IF(MOD(ROW()-50,14)=0,INDEX(D78:D91,MOD(ROW()-50,14)+1),E88)</f>
        <v/>
      </c>
      <c r="E90" s="6360" t="str">
        <f t="shared" si="44"/>
        <v/>
      </c>
      <c r="F90" s="6361" t="str">
        <f t="shared" si="45"/>
        <v/>
      </c>
      <c r="G90" s="6318" t="str">
        <v>d’olive à feu moyen. Ajoutez la viande et faites-la dorer de tous les côtés. Retirez-la de la cocotte et réservez-la.</v>
      </c>
      <c r="H90" s="6323" t="str">
        <f t="shared" si="46"/>
        <v/>
      </c>
      <c r="I90" s="6373"/>
      <c r="J90" s="6363" t="str">
        <f t="shared" si="47"/>
        <v/>
      </c>
      <c r="K90" s="6364" t="str">
        <f>IF(J90="","",LEFT(J90,IF(LEN(J90)&lt;=I81,LEN(J90),IFERROR(FIND("§",SUBSTITUTE(LEFT(J90,I81+1)," ","§",LEN(LEFT(J90,I81+1))-LEN(SUBSTITUTE(LEFT(J90,I81+1)," ",""))))-1,IFERROR(FIND(" ",J90,I81+1)-1,LEN(J90))))))</f>
        <v/>
      </c>
      <c r="L90" s="6364"/>
      <c r="M90" s="6329" t="str">
        <v>tous les côtés. Retirez-la de la cocotte et</v>
      </c>
      <c r="N90" t="s">
        <v>21</v>
      </c>
      <c r="O90" s="6334" t="s">
        <v>14411</v>
      </c>
      <c r="P90" s="6335" t="str">
        <f t="shared" si="24"/>
        <v>41.TEST LIGNE 19 colonne Q et ligne 20 colonne P. rechercher la cellule qui coupe le texte Dans la cocotte N°3 en fonte, faites chauffer l’huile d’olive à feu moyen. Ajoutez la viande et faites-la dorer de tous les côtés. Retirez-la de la cocotte et réservez-la.</v>
      </c>
      <c r="Q90" s="6336" t="str">
        <f t="shared" si="25"/>
        <v>41.TEST LIGNE 19 colonne Q et ligne 20 colonne P. rechercher la cellule qui coupe le texte Dans la cocotte N°3 en fonte, faites chauffer l’huile d’olive à feu moyen. Ajoutez la viande et faites-la dorer de tous les côtés. Retirez-la de la cocotte et réservez-la.</v>
      </c>
      <c r="R90" s="6336" t="str">
        <f t="shared" si="26"/>
        <v>41.TEST LIGNE 19 colonne Q et ligne 20 colonne P. rechercher la cellule qui coupe le texte Dans la cocotte N°3 en fonte, faites chauffer l’huile d’olive à feu moyen. Ajoutez la viande et faites-la dorer de tous les côtés. Retirez-la de la cocotte et réservez-la.</v>
      </c>
      <c r="S90" s="6337" t="str">
        <f t="shared" si="27"/>
        <v>41 TEST LIGNE 19 colonne Q et ligne 20 colonne P rechercher la cellule qui coupe le texte Dans la cocotte N°3 en fonte faites chauffer l’huile d’olive à feu moyen Ajoutez la viande et faites-la dorer de tous les côtés Retirez-la de la cocotte et réservez-la</v>
      </c>
      <c r="T90" s="6337" t="str">
        <f t="shared" si="28"/>
        <v>41 TEST LIGNE 19 colonne Q et ligne 20 colonne P rechercher la cellule qui coupe le texte Dans la cocotte N°3 en fonte faites chauffer l’huile d’olive à feu moyen Ajoutez la viande et faites la dorer de tous les côtés Retirez la de la cocotte et réservez la</v>
      </c>
      <c r="U90" s="6337" t="str">
        <f t="shared" si="29"/>
        <v>41 TEST LIGNE 19 colonne Q et ligne 20 colonne P rechercher la cellule qui coupe le texte Dans la cocotte N°3 en fonte faites chauffer l’huile d’olive à feu moyen Ajoutez la viande et faites la dorer de tous les côtés Retirez la de la cocotte et réservez la</v>
      </c>
      <c r="V90" s="6338" t="str">
        <f t="shared" si="30"/>
        <v>41 TEST LIGNE 19 colonne Q et ligne 20 colonne P rechercher la cellule qui coupe le texte Dans la cocotte N°3 en fonte faites chauffer l’huile d’olive à feu moyen Ajoutez la viande et faites la dorer de tous les côtés Retirez la de la cocotte et réservez la</v>
      </c>
      <c r="W90" s="6239"/>
      <c r="X90" s="6339" t="str">
        <f t="shared" si="31"/>
        <v>ligne 90 ►</v>
      </c>
      <c r="Y90" s="6340" t="str">
        <f t="shared" si="35"/>
        <v>41.TEST LIGNE 19 colonne Q et ligne 20 colonne P. rechercher la cellule qui coupe le texte Dans la cocotte N°3 en fonte, faites chauffer l’huile d’olive à feu moyen. Ajoutez la viande et faites-la dorer de tous les côtés. Retirez-la de la cocotte et réservez-la.</v>
      </c>
      <c r="Z90" s="6341">
        <v>5</v>
      </c>
      <c r="AB90" s="6342" t="str">
        <f t="shared" si="32"/>
        <v>ligne 90 ►</v>
      </c>
      <c r="AC90" s="6343" t="str">
        <f t="shared" si="36"/>
        <v>41.TEST LIGNE 19 colonne Q et ligne 20 colonne P. rechercher la cellule qui coupe le texte Dans la cocotte N°3 en fonte, faites chauffer l’huile d’olive à feu moyen. Ajoutez la viande et faites-la dorer de tous les côtés. Retirez-la de la cocotte et réservez-la.</v>
      </c>
      <c r="AD90" s="6344">
        <v>150</v>
      </c>
      <c r="AF90" s="6345" t="str" cm="1">
        <f t="array" ref="AF90">IF(SUMPRODUCT((AL90:AQ90&lt;&gt;"")*1)=0,"",SUMPRODUCT((AL90:AQ90&lt;&gt;"")*(LEN(TRIM(SUBSTITUTE(AL90:AQ90,CHAR(160)," "))) - LEN(SUBSTITUTE(TRIM(SUBSTITUTE(AL90:AQ90,CHAR(160)," "))," ","")) + 1)) &amp; " mot" &amp; IF(SUMPRODUCT((AL90:AQ90&lt;&gt;"")*(LEN(TRIM(SUBSTITUTE(AL90:AQ90,CHAR(160)," "))) - LEN(SUBSTITUTE(TRIM(SUBSTITUTE(AL90:AQ90,CHAR(160)," "))," ","")) + 1))&gt;1,"s",""))</f>
        <v>20 mots</v>
      </c>
      <c r="AG90" s="2263" t="str" cm="1">
        <f t="array" ref="AG90">SUMPRODUCT(--(AL90:AQ90&lt;&gt;""), LEN(TRIM(SUBSTITUTE(AL90:AQ90, CHAR(160), "")))) &amp; " Car."</f>
        <v>117 Car.</v>
      </c>
      <c r="AH90" s="6366" t="s">
        <v>14368</v>
      </c>
      <c r="AI90" s="6367" t="str">
        <f t="shared" si="33"/>
        <v>41.TEST LIGNE 19 colonne Q et ligne 20 colonne P. rechercher la cellule qui coupe le texte Dans la cocotte N°3 en fonte, faites chauffer l’huile d’olive à feu moyen. Ajoutez la viande et faites-la dorer de tous les côtés. Retirez-la de la cocotte et réservez-la.</v>
      </c>
      <c r="AJ90" s="6368"/>
      <c r="AK90" s="2190">
        <f>ROWS(AO50:AO90)</f>
        <v>41</v>
      </c>
      <c r="AL90" s="1942" t="str">
        <v>d’olive à feu moyen. Ajoutez la viande et faites-la dorer de tous les côtés. Retirez-la de la cocotte et réservez-la.</v>
      </c>
      <c r="AM90" s="9"/>
      <c r="AN90" s="9"/>
      <c r="AO90" s="9"/>
      <c r="AP90" s="9"/>
      <c r="AQ90" s="9"/>
      <c r="AR90" s="9"/>
      <c r="AS90" s="9"/>
      <c r="AT90" s="592"/>
      <c r="AU90" s="9"/>
      <c r="AV90" s="103"/>
      <c r="AW90" s="31"/>
      <c r="AX90" s="32"/>
      <c r="AY90" s="31"/>
      <c r="AZ90" s="33"/>
      <c r="BA90" s="1967"/>
      <c r="BB90" s="1805"/>
      <c r="BC90" s="91"/>
      <c r="BD90" s="1806"/>
      <c r="BE90" s="6401"/>
      <c r="BF90" s="6402"/>
      <c r="BG90" s="1969"/>
      <c r="BH90" s="6403"/>
      <c r="BI90" s="95"/>
      <c r="BJ90" s="1326"/>
      <c r="BK90" s="6404"/>
      <c r="BL90" s="1737"/>
      <c r="BM90" s="2081"/>
      <c r="BN90" s="2238"/>
      <c r="BO90" s="1809"/>
      <c r="BQ90" s="2230"/>
      <c r="BR90" s="3">
        <v>1</v>
      </c>
    </row>
    <row r="91" spans="2:70" ht="21" customHeight="1">
      <c r="B91" s="6236"/>
      <c r="C91" s="6376">
        <f t="shared" si="43"/>
        <v>150</v>
      </c>
      <c r="D91" s="6414" t="str" cm="1">
        <f t="array" ref="D91">IF(MOD(ROW()-50,14)=0,INDEX(D78:D91,MOD(ROW()-50,14)+1),E89)</f>
        <v/>
      </c>
      <c r="E91" s="6377" t="str">
        <f t="shared" si="44"/>
        <v/>
      </c>
      <c r="F91" s="6378" t="str">
        <f t="shared" si="45"/>
        <v/>
      </c>
      <c r="G91" s="6319" t="str">
        <v>20.TEST LIGNE 19 colonne Q et ligne 20 colonne P. rechercher la cellule qui coupe le texte Dans la cocotte N°3 en fonte, faites chauffer l’huile</v>
      </c>
      <c r="H91" s="6323" t="str">
        <f t="shared" si="46"/>
        <v/>
      </c>
      <c r="I91" s="6379"/>
      <c r="J91" s="6380" t="str">
        <f t="shared" si="47"/>
        <v/>
      </c>
      <c r="K91" s="6381" t="str">
        <f>IF(J91="","",LEFT(J91,IF(LEN(J91)&lt;=I81,LEN(J91),IFERROR(FIND("§",SUBSTITUTE(LEFT(J91,I81+1)," ","§",LEN(LEFT(J91,I81+1))-LEN(SUBSTITUTE(LEFT(J91,I81+1)," ",""))))-1,IFERROR(FIND(" ",J91,I81+1)-1,LEN(J91))))))</f>
        <v/>
      </c>
      <c r="L91" s="6382"/>
      <c r="M91" s="6330" t="str">
        <v>réservez-la.</v>
      </c>
      <c r="N91" t="s">
        <v>21</v>
      </c>
      <c r="O91" s="6334" t="s">
        <v>14412</v>
      </c>
      <c r="P91" s="6335" t="str">
        <f t="shared" si="24"/>
        <v>42.TEST LIGNE 19 colonne Q et ligne 20 colonne P. rechercher la cellule qui coupe le texte Dans la cocotte N°3 en fonte, faites chauffer l’huile d’olive à feu moyen. Ajoutez la viande et faites-la dorer de tous les côtés. Retirez-la de la cocotte et réservez-la.</v>
      </c>
      <c r="Q91" s="6336" t="str">
        <f t="shared" si="25"/>
        <v>42.TEST LIGNE 19 colonne Q et ligne 20 colonne P. rechercher la cellule qui coupe le texte Dans la cocotte N°3 en fonte, faites chauffer l’huile d’olive à feu moyen. Ajoutez la viande et faites-la dorer de tous les côtés. Retirez-la de la cocotte et réservez-la.</v>
      </c>
      <c r="R91" s="6336" t="str">
        <f t="shared" si="26"/>
        <v>42.TEST LIGNE 19 colonne Q et ligne 20 colonne P. rechercher la cellule qui coupe le texte Dans la cocotte N°3 en fonte, faites chauffer l’huile d’olive à feu moyen. Ajoutez la viande et faites-la dorer de tous les côtés. Retirez-la de la cocotte et réservez-la.</v>
      </c>
      <c r="S91" s="6337" t="str">
        <f t="shared" si="27"/>
        <v>42 TEST LIGNE 19 colonne Q et ligne 20 colonne P rechercher la cellule qui coupe le texte Dans la cocotte N°3 en fonte faites chauffer l’huile d’olive à feu moyen Ajoutez la viande et faites-la dorer de tous les côtés Retirez-la de la cocotte et réservez-la</v>
      </c>
      <c r="T91" s="6337" t="str">
        <f t="shared" si="28"/>
        <v>42 TEST LIGNE 19 colonne Q et ligne 20 colonne P rechercher la cellule qui coupe le texte Dans la cocotte N°3 en fonte faites chauffer l’huile d’olive à feu moyen Ajoutez la viande et faites la dorer de tous les côtés Retirez la de la cocotte et réservez la</v>
      </c>
      <c r="U91" s="6337" t="str">
        <f t="shared" si="29"/>
        <v>42 TEST LIGNE 19 colonne Q et ligne 20 colonne P rechercher la cellule qui coupe le texte Dans la cocotte N°3 en fonte faites chauffer l’huile d’olive à feu moyen Ajoutez la viande et faites la dorer de tous les côtés Retirez la de la cocotte et réservez la</v>
      </c>
      <c r="V91" s="6338" t="str">
        <f t="shared" si="30"/>
        <v>42 TEST LIGNE 19 colonne Q et ligne 20 colonne P rechercher la cellule qui coupe le texte Dans la cocotte N°3 en fonte faites chauffer l’huile d’olive à feu moyen Ajoutez la viande et faites la dorer de tous les côtés Retirez la de la cocotte et réservez la</v>
      </c>
      <c r="W91" s="6239"/>
      <c r="X91" s="6339" t="str">
        <f t="shared" si="31"/>
        <v>ligne 91 ►</v>
      </c>
      <c r="Y91" s="6340" t="str">
        <f t="shared" si="35"/>
        <v>42.TEST LIGNE 19 colonne Q et ligne 20 colonne P. rechercher la cellule qui coupe le texte Dans la cocotte N°3 en fonte, faites chauffer l’huile d’olive à feu moyen. Ajoutez la viande et faites-la dorer de tous les côtés. Retirez-la de la cocotte et réservez-la.</v>
      </c>
      <c r="Z91" s="6341">
        <v>5</v>
      </c>
      <c r="AB91" s="6342" t="str">
        <f t="shared" si="32"/>
        <v>ligne 91 ►</v>
      </c>
      <c r="AC91" s="6343" t="str">
        <f t="shared" si="36"/>
        <v>42.TEST LIGNE 19 colonne Q et ligne 20 colonne P. rechercher la cellule qui coupe le texte Dans la cocotte N°3 en fonte, faites chauffer l’huile d’olive à feu moyen. Ajoutez la viande et faites-la dorer de tous les côtés. Retirez-la de la cocotte et réservez-la.</v>
      </c>
      <c r="AD91" s="6344">
        <v>150</v>
      </c>
      <c r="AF91" s="6345" t="str" cm="1">
        <f t="array" ref="AF91">IF(SUMPRODUCT((AL91:AQ91&lt;&gt;"")*1)=0,"",SUMPRODUCT((AL91:AQ91&lt;&gt;"")*(LEN(TRIM(SUBSTITUTE(AL91:AQ91,CHAR(160)," "))) - LEN(SUBSTITUTE(TRIM(SUBSTITUTE(AL91:AQ91,CHAR(160)," "))," ","")) + 1)) &amp; " mot" &amp; IF(SUMPRODUCT((AL91:AQ91&lt;&gt;"")*(LEN(TRIM(SUBSTITUTE(AL91:AQ91,CHAR(160)," "))) - LEN(SUBSTITUTE(TRIM(SUBSTITUTE(AL91:AQ91,CHAR(160)," "))," ","")) + 1))&gt;1,"s",""))</f>
        <v>26 mots</v>
      </c>
      <c r="AG91" s="2263" t="str" cm="1">
        <f t="array" ref="AG91">SUMPRODUCT(--(AL91:AQ91&lt;&gt;""), LEN(TRIM(SUBSTITUTE(AL91:AQ91, CHAR(160), "")))) &amp; " Car."</f>
        <v>144 Car.</v>
      </c>
      <c r="AH91" s="6366" t="s">
        <v>14368</v>
      </c>
      <c r="AI91" s="6367" t="str">
        <f t="shared" si="33"/>
        <v>42.TEST LIGNE 19 colonne Q et ligne 20 colonne P. rechercher la cellule qui coupe le texte Dans la cocotte N°3 en fonte, faites chauffer l’huile d’olive à feu moyen. Ajoutez la viande et faites-la dorer de tous les côtés. Retirez-la de la cocotte et réservez-la.</v>
      </c>
      <c r="AJ91" s="6368"/>
      <c r="AK91" s="2190">
        <f>ROWS(AO50:AO91)</f>
        <v>42</v>
      </c>
      <c r="AL91" s="1942" t="str">
        <v>20.TEST LIGNE 19 colonne Q et ligne 20 colonne P. rechercher la cellule qui coupe le texte Dans la cocotte N°3 en fonte, faites chauffer l’huile</v>
      </c>
      <c r="AM91" s="9"/>
      <c r="AN91" s="9"/>
      <c r="AO91" s="9"/>
      <c r="AP91" s="9"/>
      <c r="AQ91" s="9"/>
      <c r="AR91" s="9"/>
      <c r="AS91" s="9"/>
      <c r="AT91" s="592"/>
      <c r="AU91" s="9"/>
      <c r="AV91" s="103"/>
      <c r="AW91" s="31"/>
      <c r="AX91" s="32"/>
      <c r="AY91" s="31"/>
      <c r="AZ91" s="33"/>
      <c r="BA91" s="1967"/>
      <c r="BB91" s="1805"/>
      <c r="BC91" s="91"/>
      <c r="BD91" s="1806"/>
      <c r="BE91" s="6401"/>
      <c r="BF91" s="6402"/>
      <c r="BG91" s="1969"/>
      <c r="BH91" s="6403"/>
      <c r="BI91" s="95"/>
      <c r="BJ91" s="1326"/>
      <c r="BK91" s="6404"/>
      <c r="BL91" s="1737"/>
      <c r="BM91" s="2081"/>
      <c r="BN91" s="2238"/>
      <c r="BO91" s="1809"/>
      <c r="BQ91" s="2230"/>
      <c r="BR91" s="3">
        <v>1</v>
      </c>
    </row>
    <row r="92" spans="2:70" ht="21" customHeight="1">
      <c r="B92" s="6236"/>
      <c r="C92" s="6313">
        <f>AD53</f>
        <v>150</v>
      </c>
      <c r="D92" s="6314" t="str">
        <f>IF(UPPER(TRIM(X45))="X",U53,O53)</f>
        <v>4.TEST LIGNE 17 colonne Q et ligne 20 colonne P. rechercher la cellule qui coupe le texte Dans la cocotte N°3 en fonte, faites chauffer l’huile d’olive à feu moyen. Ajoutez la viande et faites-la dorer de tous les côtés. Retirez-la de la cocotte et réservez-la.</v>
      </c>
      <c r="E92" s="6383" t="str">
        <f>IF(D92="","",IF(F92="","",IF(LEN(F92)&gt;=LEN(D92),"",TRIM(MID(D92,LEN(F92)+1,99999)))))</f>
        <v>d’olive à feu moyen. Ajoutez la viande et faites-la dorer de tous les côtés. Retirez-la de la cocotte et réservez-la.</v>
      </c>
      <c r="F92" s="6384" t="str">
        <f>IF(D92="","",IF(LEN(D92)&lt;=C92,D92,IFERROR(LEFT(D92,FIND("§",SUBSTITUTE(LEFT(D92,C92+1)," ","§",LEN(LEFT(D92,C92+1))-LEN(SUBSTITUTE(LEFT(D92,C92+1)," ",""))))-1),LEFT(D92,C92))))</f>
        <v>4.TEST LIGNE 17 colonne Q et ligne 20 colonne P. rechercher la cellule qui coupe le texte Dans la cocotte N°3 en fonte, faites chauffer l’huile</v>
      </c>
      <c r="G92" s="6320" t="str">
        <v>d’olive à feu moyen. Ajoutez la viande et faites-la dorer de tous les côtés. Retirez-la de la cocotte et réservez-la.</v>
      </c>
      <c r="H92" s="6385">
        <f>IF(LEN(TRIM(L92))&gt;0,MAX(H91:H91)+1,"")</f>
        <v>1</v>
      </c>
      <c r="I92" s="6324" t="str">
        <f>D92</f>
        <v>4.TEST LIGNE 17 colonne Q et ligne 20 colonne P. rechercher la cellule qui coupe le texte Dans la cocotte N°3 en fonte, faites chauffer l’huile d’olive à feu moyen. Ajoutez la viande et faites-la dorer de tous les côtés. Retirez-la de la cocotte et réservez-la.</v>
      </c>
      <c r="J92" s="6386" t="str">
        <f>IF(I92=0,"",I92)</f>
        <v>4.TEST LIGNE 17 colonne Q et ligne 20 colonne P. rechercher la cellule qui coupe le texte Dans la cocotte N°3 en fonte, faites chauffer l’huile d’olive à feu moyen. Ajoutez la viande et faites-la dorer de tous les côtés. Retirez-la de la cocotte et réservez-la.</v>
      </c>
      <c r="K92" s="6387" t="str">
        <f>IF(I92="","",LEFT(I92,IF(LEN(I92)&lt;=I95,LEN(I92),IFERROR(FIND("§",SUBSTITUTE(LEFT(I92,I95+1)," ","§",LEN(LEFT(I92,I95+1))-LEN(SUBSTITUTE(LEFT(I92,I95+1)," ",""))))-1,IFERROR(FIND(" ",I92,I95+1)-1,LEN(I92))))))</f>
        <v>4.TEST LIGNE 17 colonne Q et ligne 20 colonne P.</v>
      </c>
      <c r="L92" s="6388" t="str" cm="1">
        <f t="array" ref="L92:L97">_xlfn._xlws.FILTER(TRIM(SUBSTITUTE(SUBSTITUTE(SUBSTITUTE(SUBSTITUTE(SUBSTITUTE(CLEAN(K92:K105),CHAR(160)," "),_xlfn.UNICHAR(8239)," "),CHAR(9)," "),CHAR(10)," "),CHAR(13)," ")),TRIM(SUBSTITUTE(SUBSTITUTE(SUBSTITUTE(SUBSTITUTE(SUBSTITUTE(CLEAN(K92:K105),CHAR(160)," "),_xlfn.UNICHAR(8239)," "),CHAR(9)," "),CHAR(10)," "),CHAR(13)," "))&lt;&gt;"")</f>
        <v>4.TEST LIGNE 17 colonne Q et ligne 20 colonne P.</v>
      </c>
      <c r="M92" s="6331" t="str">
        <v>8..TEST LIGNE 19 colonne Q et ligne 20 colonne P.</v>
      </c>
      <c r="N92" t="s">
        <v>21</v>
      </c>
      <c r="O92" s="6334" t="s">
        <v>14412</v>
      </c>
      <c r="P92" s="6335" t="str">
        <f t="shared" si="24"/>
        <v>42.TEST LIGNE 19 colonne Q et ligne 20 colonne P. rechercher la cellule qui coupe le texte Dans la cocotte N°3 en fonte, faites chauffer l’huile d’olive à feu moyen. Ajoutez la viande et faites-la dorer de tous les côtés. Retirez-la de la cocotte et réservez-la.</v>
      </c>
      <c r="Q92" s="6336" t="str">
        <f t="shared" si="25"/>
        <v>42.TEST LIGNE 19 colonne Q et ligne 20 colonne P. rechercher la cellule qui coupe le texte Dans la cocotte N°3 en fonte, faites chauffer l’huile d’olive à feu moyen. Ajoutez la viande et faites-la dorer de tous les côtés. Retirez-la de la cocotte et réservez-la.</v>
      </c>
      <c r="R92" s="6336" t="str">
        <f t="shared" si="26"/>
        <v>42.TEST LIGNE 19 colonne Q et ligne 20 colonne P. rechercher la cellule qui coupe le texte Dans la cocotte N°3 en fonte, faites chauffer l’huile d’olive à feu moyen. Ajoutez la viande et faites-la dorer de tous les côtés. Retirez-la de la cocotte et réservez-la.</v>
      </c>
      <c r="S92" s="6337" t="str">
        <f t="shared" si="27"/>
        <v>42 TEST LIGNE 19 colonne Q et ligne 20 colonne P rechercher la cellule qui coupe le texte Dans la cocotte N°3 en fonte faites chauffer l’huile d’olive à feu moyen Ajoutez la viande et faites-la dorer de tous les côtés Retirez-la de la cocotte et réservez-la</v>
      </c>
      <c r="T92" s="6337" t="str">
        <f t="shared" si="28"/>
        <v>42 TEST LIGNE 19 colonne Q et ligne 20 colonne P rechercher la cellule qui coupe le texte Dans la cocotte N°3 en fonte faites chauffer l’huile d’olive à feu moyen Ajoutez la viande et faites la dorer de tous les côtés Retirez la de la cocotte et réservez la</v>
      </c>
      <c r="U92" s="6337" t="str">
        <f t="shared" si="29"/>
        <v>42 TEST LIGNE 19 colonne Q et ligne 20 colonne P rechercher la cellule qui coupe le texte Dans la cocotte N°3 en fonte faites chauffer l’huile d’olive à feu moyen Ajoutez la viande et faites la dorer de tous les côtés Retirez la de la cocotte et réservez la</v>
      </c>
      <c r="V92" s="6338" t="str">
        <f t="shared" si="30"/>
        <v>42 TEST LIGNE 19 colonne Q et ligne 20 colonne P rechercher la cellule qui coupe le texte Dans la cocotte N°3 en fonte faites chauffer l’huile d’olive à feu moyen Ajoutez la viande et faites la dorer de tous les côtés Retirez la de la cocotte et réservez la</v>
      </c>
      <c r="W92" s="6239"/>
      <c r="X92" s="6339" t="str">
        <f t="shared" si="31"/>
        <v>ligne 92 ►</v>
      </c>
      <c r="Y92" s="6340" t="str">
        <f t="shared" si="35"/>
        <v>42.TEST LIGNE 19 colonne Q et ligne 20 colonne P. rechercher la cellule qui coupe le texte Dans la cocotte N°3 en fonte, faites chauffer l’huile d’olive à feu moyen. Ajoutez la viande et faites-la dorer de tous les côtés. Retirez-la de la cocotte et réservez-la.</v>
      </c>
      <c r="Z92" s="6341">
        <v>5</v>
      </c>
      <c r="AB92" s="6342" t="str">
        <f t="shared" si="32"/>
        <v>ligne 92 ►</v>
      </c>
      <c r="AC92" s="6343" t="str">
        <f t="shared" si="36"/>
        <v>42.TEST LIGNE 19 colonne Q et ligne 20 colonne P. rechercher la cellule qui coupe le texte Dans la cocotte N°3 en fonte, faites chauffer l’huile d’olive à feu moyen. Ajoutez la viande et faites-la dorer de tous les côtés. Retirez-la de la cocotte et réservez-la.</v>
      </c>
      <c r="AD92" s="6344">
        <v>150</v>
      </c>
      <c r="AF92" s="6345" t="str" cm="1">
        <f t="array" ref="AF92">IF(SUMPRODUCT((AL92:AQ92&lt;&gt;"")*1)=0,"",SUMPRODUCT((AL92:AQ92&lt;&gt;"")*(LEN(TRIM(SUBSTITUTE(AL92:AQ92,CHAR(160)," "))) - LEN(SUBSTITUTE(TRIM(SUBSTITUTE(AL92:AQ92,CHAR(160)," "))," ","")) + 1)) &amp; " mot" &amp; IF(SUMPRODUCT((AL92:AQ92&lt;&gt;"")*(LEN(TRIM(SUBSTITUTE(AL92:AQ92,CHAR(160)," "))) - LEN(SUBSTITUTE(TRIM(SUBSTITUTE(AL92:AQ92,CHAR(160)," "))," ","")) + 1))&gt;1,"s",""))</f>
        <v>20 mots</v>
      </c>
      <c r="AG92" s="2263" t="str" cm="1">
        <f t="array" ref="AG92">SUMPRODUCT(--(AL92:AQ92&lt;&gt;""), LEN(TRIM(SUBSTITUTE(AL92:AQ92, CHAR(160), "")))) &amp; " Car."</f>
        <v>117 Car.</v>
      </c>
      <c r="AH92" s="6366" t="s">
        <v>14368</v>
      </c>
      <c r="AI92" s="6367" t="str">
        <f t="shared" si="33"/>
        <v>42.TEST LIGNE 19 colonne Q et ligne 20 colonne P. rechercher la cellule qui coupe le texte Dans la cocotte N°3 en fonte, faites chauffer l’huile d’olive à feu moyen. Ajoutez la viande et faites-la dorer de tous les côtés. Retirez-la de la cocotte et réservez-la.</v>
      </c>
      <c r="AJ92" s="6368"/>
      <c r="AK92" s="2190">
        <f>ROWS(AO50:AO92)</f>
        <v>43</v>
      </c>
      <c r="AL92" s="1942" t="str">
        <v>d’olive à feu moyen. Ajoutez la viande et faites-la dorer de tous les côtés. Retirez-la de la cocotte et réservez-la.</v>
      </c>
      <c r="AM92" s="9"/>
      <c r="AN92" s="9"/>
      <c r="AO92" s="9"/>
      <c r="AP92" s="9"/>
      <c r="AQ92" s="9"/>
      <c r="AR92" s="9"/>
      <c r="AS92" s="9"/>
      <c r="AT92" s="592"/>
      <c r="AU92" s="9"/>
      <c r="AV92" s="103"/>
      <c r="AW92" s="31"/>
      <c r="AX92" s="32"/>
      <c r="AY92" s="31"/>
      <c r="AZ92" s="33"/>
      <c r="BA92" s="1967"/>
      <c r="BB92" s="1805"/>
      <c r="BC92" s="91"/>
      <c r="BD92" s="1806"/>
      <c r="BE92" s="6401"/>
      <c r="BF92" s="6402"/>
      <c r="BG92" s="1969"/>
      <c r="BH92" s="6403"/>
      <c r="BI92" s="95"/>
      <c r="BJ92" s="1326"/>
      <c r="BK92" s="6404"/>
      <c r="BL92" s="1737"/>
      <c r="BM92" s="2081"/>
      <c r="BN92" s="2238"/>
      <c r="BO92" s="1809"/>
      <c r="BQ92" s="2230"/>
      <c r="BR92" s="3">
        <v>1</v>
      </c>
    </row>
    <row r="93" spans="2:70" ht="21" customHeight="1">
      <c r="B93" s="6236"/>
      <c r="C93" s="6358">
        <f t="shared" ref="C93:C105" si="48">C92</f>
        <v>150</v>
      </c>
      <c r="D93" s="6390" t="str" cm="1">
        <f t="array" ref="D93">IF(MOD(ROW()-50,14)=0,INDEX(D92:D105,MOD(ROW()-50,14)+1),E91)</f>
        <v/>
      </c>
      <c r="E93" s="6391" t="str">
        <f t="shared" ref="E93:E105" si="49">IF(D93="","",IF(F93="","",IF(LEN(F93)&gt;=LEN(D93),"",TRIM(MID(D93,LEN(F93)+1,99999)))))</f>
        <v/>
      </c>
      <c r="F93" s="6392" t="str">
        <f t="shared" ref="F93:F105" si="50">IF(D93="","",IF(LEN(D93)&lt;=C93,D93,IFERROR(LEFT(D93,FIND("§",SUBSTITUTE(LEFT(D93,C93+1)," ","§",LEN(LEFT(D93,C93+1))-LEN(SUBSTITUTE(LEFT(D93,C93+1)," ",""))))-1),LEFT(D93,C93))))</f>
        <v/>
      </c>
      <c r="G93" s="6321" t="str">
        <v>21.TEST LIGNE 19 colonne Q et ligne 20 colonne P. rechercher la cellule qui coupe le texte Dans la cocotte N°3 en fonte, faites chauffer l’huile</v>
      </c>
      <c r="H93" s="6393">
        <f t="shared" ref="H93:H105" si="51">IF(LEN(TRIM(L93))&gt;0,MAX(H92:H92)+1,"")</f>
        <v>2</v>
      </c>
      <c r="I93" s="6394" t="s">
        <v>14355</v>
      </c>
      <c r="J93" s="6395" t="str">
        <f>TRIM(MID(I96,LEN(K92)+1,99999))</f>
        <v>rechercher la cellule qui coupe le texte Dans la cocotte N°3 en fonte, faites chauffer l’huile d’olive à feu moyen. Ajoutez la viande et faites-la dorer de tous les côtés. Retirez-la de la cocotte et réservez-la.</v>
      </c>
      <c r="K93" s="6396" t="str">
        <f>IF(J93="","",LEFT(J93,IF(LEN(J93)&lt;=I95,LEN(J93),IFERROR(FIND("§",SUBSTITUTE(LEFT(J93,I95+1)," ","§",LEN(LEFT(J93,I95+1))-LEN(SUBSTITUTE(LEFT(J93,I95+1)," ",""))))-1,IFERROR(FIND(" ",J93,I95+1)-1,LEN(J93))))))</f>
        <v>rechercher la cellule qui coupe le texte Dans la</v>
      </c>
      <c r="L93" s="6388" t="str">
        <v>rechercher la cellule qui coupe le texte Dans la</v>
      </c>
      <c r="M93" s="6332" t="str">
        <v>rechercher la cellule qui coupe le texte Dans la</v>
      </c>
      <c r="N93" t="s">
        <v>21</v>
      </c>
      <c r="O93" s="6334" t="s">
        <v>14413</v>
      </c>
      <c r="P93" s="6335" t="str">
        <f t="shared" si="24"/>
        <v>44.TEST LIGNE 19 colonne Q et ligne 20 colonne P. rechercher la cellule qui coupe le texte Dans la cocotte N°3 en fonte, faites chauffer l’huile d’olive à feu moyen. Ajoutez la viande et faites-la dorer de tous les côtés. Retirez-la de la cocotte et réservez-la.</v>
      </c>
      <c r="Q93" s="6336" t="str">
        <f t="shared" si="25"/>
        <v>44.TEST LIGNE 19 colonne Q et ligne 20 colonne P. rechercher la cellule qui coupe le texte Dans la cocotte N°3 en fonte, faites chauffer l’huile d’olive à feu moyen. Ajoutez la viande et faites-la dorer de tous les côtés. Retirez-la de la cocotte et réservez-la.</v>
      </c>
      <c r="R93" s="6336" t="str">
        <f t="shared" si="26"/>
        <v>44.TEST LIGNE 19 colonne Q et ligne 20 colonne P. rechercher la cellule qui coupe le texte Dans la cocotte N°3 en fonte, faites chauffer l’huile d’olive à feu moyen. Ajoutez la viande et faites-la dorer de tous les côtés. Retirez-la de la cocotte et réservez-la.</v>
      </c>
      <c r="S93" s="6337" t="str">
        <f t="shared" si="27"/>
        <v>44 TEST LIGNE 19 colonne Q et ligne 20 colonne P rechercher la cellule qui coupe le texte Dans la cocotte N°3 en fonte faites chauffer l’huile d’olive à feu moyen Ajoutez la viande et faites-la dorer de tous les côtés Retirez-la de la cocotte et réservez-la</v>
      </c>
      <c r="T93" s="6337" t="str">
        <f t="shared" si="28"/>
        <v>44 TEST LIGNE 19 colonne Q et ligne 20 colonne P rechercher la cellule qui coupe le texte Dans la cocotte N°3 en fonte faites chauffer l’huile d’olive à feu moyen Ajoutez la viande et faites la dorer de tous les côtés Retirez la de la cocotte et réservez la</v>
      </c>
      <c r="U93" s="6337" t="str">
        <f t="shared" si="29"/>
        <v>44 TEST LIGNE 19 colonne Q et ligne 20 colonne P rechercher la cellule qui coupe le texte Dans la cocotte N°3 en fonte faites chauffer l’huile d’olive à feu moyen Ajoutez la viande et faites la dorer de tous les côtés Retirez la de la cocotte et réservez la</v>
      </c>
      <c r="V93" s="6338" t="str">
        <f t="shared" si="30"/>
        <v>44 TEST LIGNE 19 colonne Q et ligne 20 colonne P rechercher la cellule qui coupe le texte Dans la cocotte N°3 en fonte faites chauffer l’huile d’olive à feu moyen Ajoutez la viande et faites la dorer de tous les côtés Retirez la de la cocotte et réservez la</v>
      </c>
      <c r="W93" s="6239"/>
      <c r="X93" s="6339" t="str">
        <f t="shared" si="31"/>
        <v>ligne 93 ►</v>
      </c>
      <c r="Y93" s="6340" t="str">
        <f t="shared" si="35"/>
        <v>44.TEST LIGNE 19 colonne Q et ligne 20 colonne P. rechercher la cellule qui coupe le texte Dans la cocotte N°3 en fonte, faites chauffer l’huile d’olive à feu moyen. Ajoutez la viande et faites-la dorer de tous les côtés. Retirez-la de la cocotte et réservez-la.</v>
      </c>
      <c r="Z93" s="6341">
        <v>5</v>
      </c>
      <c r="AB93" s="6342" t="str">
        <f t="shared" si="32"/>
        <v>ligne 93 ►</v>
      </c>
      <c r="AC93" s="6343" t="str">
        <f t="shared" si="36"/>
        <v>44.TEST LIGNE 19 colonne Q et ligne 20 colonne P. rechercher la cellule qui coupe le texte Dans la cocotte N°3 en fonte, faites chauffer l’huile d’olive à feu moyen. Ajoutez la viande et faites-la dorer de tous les côtés. Retirez-la de la cocotte et réservez-la.</v>
      </c>
      <c r="AD93" s="6344">
        <v>150</v>
      </c>
      <c r="AF93" s="6345" t="str" cm="1">
        <f t="array" ref="AF93">IF(SUMPRODUCT((AL93:AQ93&lt;&gt;"")*1)=0,"",SUMPRODUCT((AL93:AQ93&lt;&gt;"")*(LEN(TRIM(SUBSTITUTE(AL93:AQ93,CHAR(160)," "))) - LEN(SUBSTITUTE(TRIM(SUBSTITUTE(AL93:AQ93,CHAR(160)," "))," ","")) + 1)) &amp; " mot" &amp; IF(SUMPRODUCT((AL93:AQ93&lt;&gt;"")*(LEN(TRIM(SUBSTITUTE(AL93:AQ93,CHAR(160)," "))) - LEN(SUBSTITUTE(TRIM(SUBSTITUTE(AL93:AQ93,CHAR(160)," "))," ","")) + 1))&gt;1,"s",""))</f>
        <v>26 mots</v>
      </c>
      <c r="AG93" s="2263" t="str" cm="1">
        <f t="array" ref="AG93">SUMPRODUCT(--(AL93:AQ93&lt;&gt;""), LEN(TRIM(SUBSTITUTE(AL93:AQ93, CHAR(160), "")))) &amp; " Car."</f>
        <v>144 Car.</v>
      </c>
      <c r="AH93" s="6366" t="s">
        <v>14368</v>
      </c>
      <c r="AI93" s="6367" t="str">
        <f t="shared" si="33"/>
        <v>44.TEST LIGNE 19 colonne Q et ligne 20 colonne P. rechercher la cellule qui coupe le texte Dans la cocotte N°3 en fonte, faites chauffer l’huile d’olive à feu moyen. Ajoutez la viande et faites-la dorer de tous les côtés. Retirez-la de la cocotte et réservez-la.</v>
      </c>
      <c r="AJ93" s="6368"/>
      <c r="AK93" s="2190">
        <f>ROWS(AO50:AO93)</f>
        <v>44</v>
      </c>
      <c r="AL93" s="1942" t="str">
        <v>21.TEST LIGNE 19 colonne Q et ligne 20 colonne P. rechercher la cellule qui coupe le texte Dans la cocotte N°3 en fonte, faites chauffer l’huile</v>
      </c>
      <c r="AM93" s="9"/>
      <c r="AN93" s="9"/>
      <c r="AO93" s="9"/>
      <c r="AP93" s="9"/>
      <c r="AQ93" s="9"/>
      <c r="AR93" s="9"/>
      <c r="AS93" s="9"/>
      <c r="AT93" s="592"/>
      <c r="AU93" s="9"/>
      <c r="AV93" s="103"/>
      <c r="AW93" s="31"/>
      <c r="AX93" s="32"/>
      <c r="AY93" s="31"/>
      <c r="AZ93" s="33"/>
      <c r="BA93" s="1967"/>
      <c r="BB93" s="1805"/>
      <c r="BC93" s="91"/>
      <c r="BD93" s="1806"/>
      <c r="BE93" s="6401"/>
      <c r="BF93" s="6402"/>
      <c r="BG93" s="1969"/>
      <c r="BH93" s="6403"/>
      <c r="BI93" s="95"/>
      <c r="BJ93" s="1326"/>
      <c r="BK93" s="6404"/>
      <c r="BL93" s="1737"/>
      <c r="BM93" s="2081"/>
      <c r="BN93" s="2238"/>
      <c r="BO93" s="1809"/>
      <c r="BQ93" s="2230"/>
      <c r="BR93" s="3">
        <v>1</v>
      </c>
    </row>
    <row r="94" spans="2:70" ht="21" customHeight="1">
      <c r="B94" s="6236"/>
      <c r="C94" s="6358">
        <f t="shared" si="48"/>
        <v>150</v>
      </c>
      <c r="D94" s="6390" t="str" cm="1">
        <f t="array" ref="D94">IF(MOD(ROW()-50,14)=0,INDEX(D92:D105,MOD(ROW()-50,14)+1),E92)</f>
        <v>d’olive à feu moyen. Ajoutez la viande et faites-la dorer de tous les côtés. Retirez-la de la cocotte et réservez-la.</v>
      </c>
      <c r="E94" s="6391" t="str">
        <f t="shared" si="49"/>
        <v/>
      </c>
      <c r="F94" s="6392" t="str">
        <f t="shared" si="50"/>
        <v>d’olive à feu moyen. Ajoutez la viande et faites-la dorer de tous les côtés. Retirez-la de la cocotte et réservez-la.</v>
      </c>
      <c r="G94" s="6321" t="str">
        <v>d’olive à feu moyen. Ajoutez la viande et faites-la dorer de tous les côtés. Retirez-la de la cocotte et réservez-la.</v>
      </c>
      <c r="H94" s="6393">
        <f t="shared" si="51"/>
        <v>3</v>
      </c>
      <c r="I94" s="6365">
        <f>Z53</f>
        <v>5</v>
      </c>
      <c r="J94" s="6395" t="str">
        <f t="shared" ref="J94:J105" si="52">TRIM(MID(J93,LEN(K93)+1,99999))</f>
        <v>cocotte N°3 en fonte, faites chauffer l’huile d’olive à feu moyen. Ajoutez la viande et faites-la dorer de tous les côtés. Retirez-la de la cocotte et réservez-la.</v>
      </c>
      <c r="K94" s="6396" t="str">
        <f>IF(J94="","",LEFT(J94,IF(LEN(J94)&lt;=I95,LEN(J94),IFERROR(FIND("§",SUBSTITUTE(LEFT(J94,I95+1)," ","§",LEN(LEFT(J94,I95+1))-LEN(SUBSTITUTE(LEFT(J94,I95+1)," ",""))))-1,IFERROR(FIND(" ",J94,I95+1)-1,LEN(J94))))))</f>
        <v>cocotte N°3 en fonte, faites chauffer l’huile d’olive</v>
      </c>
      <c r="L94" s="6388" t="str">
        <v>cocotte N°3 en fonte, faites chauffer l’huile d’olive</v>
      </c>
      <c r="M94" s="6332" t="str">
        <v>cocotte N°3 en fonte, faites chauffer l’huile d’olive</v>
      </c>
      <c r="N94" t="s">
        <v>21</v>
      </c>
      <c r="O94" s="6334" t="s">
        <v>14414</v>
      </c>
      <c r="P94" s="6335" t="str">
        <f t="shared" si="24"/>
        <v>45.TEST LIGNE 19 colonne Q et ligne 20 colonne P. rechercher la cellule qui coupe le texte Dans la cocotte N°3 en fonte, faites chauffer l’huile d’olive à feu moyen. Ajoutez la viande et faites-la dorer de tous les côtés. Retirez-la de la cocotte et réservez-la.</v>
      </c>
      <c r="Q94" s="6336" t="str">
        <f t="shared" si="25"/>
        <v>45.TEST LIGNE 19 colonne Q et ligne 20 colonne P. rechercher la cellule qui coupe le texte Dans la cocotte N°3 en fonte, faites chauffer l’huile d’olive à feu moyen. Ajoutez la viande et faites-la dorer de tous les côtés. Retirez-la de la cocotte et réservez-la.</v>
      </c>
      <c r="R94" s="6336" t="str">
        <f t="shared" si="26"/>
        <v>45.TEST LIGNE 19 colonne Q et ligne 20 colonne P. rechercher la cellule qui coupe le texte Dans la cocotte N°3 en fonte, faites chauffer l’huile d’olive à feu moyen. Ajoutez la viande et faites-la dorer de tous les côtés. Retirez-la de la cocotte et réservez-la.</v>
      </c>
      <c r="S94" s="6337" t="str">
        <f t="shared" si="27"/>
        <v>45 TEST LIGNE 19 colonne Q et ligne 20 colonne P rechercher la cellule qui coupe le texte Dans la cocotte N°3 en fonte faites chauffer l’huile d’olive à feu moyen Ajoutez la viande et faites-la dorer de tous les côtés Retirez-la de la cocotte et réservez-la</v>
      </c>
      <c r="T94" s="6337" t="str">
        <f t="shared" si="28"/>
        <v>45 TEST LIGNE 19 colonne Q et ligne 20 colonne P rechercher la cellule qui coupe le texte Dans la cocotte N°3 en fonte faites chauffer l’huile d’olive à feu moyen Ajoutez la viande et faites la dorer de tous les côtés Retirez la de la cocotte et réservez la</v>
      </c>
      <c r="U94" s="6337" t="str">
        <f t="shared" si="29"/>
        <v>45 TEST LIGNE 19 colonne Q et ligne 20 colonne P rechercher la cellule qui coupe le texte Dans la cocotte N°3 en fonte faites chauffer l’huile d’olive à feu moyen Ajoutez la viande et faites la dorer de tous les côtés Retirez la de la cocotte et réservez la</v>
      </c>
      <c r="V94" s="6338" t="str">
        <f t="shared" si="30"/>
        <v>45 TEST LIGNE 19 colonne Q et ligne 20 colonne P rechercher la cellule qui coupe le texte Dans la cocotte N°3 en fonte faites chauffer l’huile d’olive à feu moyen Ajoutez la viande et faites la dorer de tous les côtés Retirez la de la cocotte et réservez la</v>
      </c>
      <c r="W94" s="6239"/>
      <c r="X94" s="6339" t="str">
        <f t="shared" si="31"/>
        <v>ligne 94 ►</v>
      </c>
      <c r="Y94" s="6340" t="str">
        <f t="shared" si="35"/>
        <v>45.TEST LIGNE 19 colonne Q et ligne 20 colonne P. rechercher la cellule qui coupe le texte Dans la cocotte N°3 en fonte, faites chauffer l’huile d’olive à feu moyen. Ajoutez la viande et faites-la dorer de tous les côtés. Retirez-la de la cocotte et réservez-la.</v>
      </c>
      <c r="Z94" s="6341">
        <v>5</v>
      </c>
      <c r="AB94" s="6342" t="str">
        <f t="shared" si="32"/>
        <v>ligne 94 ►</v>
      </c>
      <c r="AC94" s="6343" t="str">
        <f t="shared" si="36"/>
        <v>45.TEST LIGNE 19 colonne Q et ligne 20 colonne P. rechercher la cellule qui coupe le texte Dans la cocotte N°3 en fonte, faites chauffer l’huile d’olive à feu moyen. Ajoutez la viande et faites-la dorer de tous les côtés. Retirez-la de la cocotte et réservez-la.</v>
      </c>
      <c r="AD94" s="6344">
        <v>150</v>
      </c>
      <c r="AF94" s="6345" t="str" cm="1">
        <f t="array" ref="AF94">IF(SUMPRODUCT((AL94:AQ94&lt;&gt;"")*1)=0,"",SUMPRODUCT((AL94:AQ94&lt;&gt;"")*(LEN(TRIM(SUBSTITUTE(AL94:AQ94,CHAR(160)," "))) - LEN(SUBSTITUTE(TRIM(SUBSTITUTE(AL94:AQ94,CHAR(160)," "))," ","")) + 1)) &amp; " mot" &amp; IF(SUMPRODUCT((AL94:AQ94&lt;&gt;"")*(LEN(TRIM(SUBSTITUTE(AL94:AQ94,CHAR(160)," "))) - LEN(SUBSTITUTE(TRIM(SUBSTITUTE(AL94:AQ94,CHAR(160)," "))," ","")) + 1))&gt;1,"s",""))</f>
        <v>20 mots</v>
      </c>
      <c r="AG94" s="2263" t="str" cm="1">
        <f t="array" ref="AG94">SUMPRODUCT(--(AL94:AQ94&lt;&gt;""), LEN(TRIM(SUBSTITUTE(AL94:AQ94, CHAR(160), "")))) &amp; " Car."</f>
        <v>117 Car.</v>
      </c>
      <c r="AH94" s="6366" t="s">
        <v>14368</v>
      </c>
      <c r="AI94" s="6367" t="str">
        <f t="shared" si="33"/>
        <v>45.TEST LIGNE 19 colonne Q et ligne 20 colonne P. rechercher la cellule qui coupe le texte Dans la cocotte N°3 en fonte, faites chauffer l’huile d’olive à feu moyen. Ajoutez la viande et faites-la dorer de tous les côtés. Retirez-la de la cocotte et réservez-la.</v>
      </c>
      <c r="AJ94" s="6368"/>
      <c r="AK94" s="2190">
        <f>ROWS(AO50:AO94)</f>
        <v>45</v>
      </c>
      <c r="AL94" s="1942" t="str">
        <v>d’olive à feu moyen. Ajoutez la viande et faites-la dorer de tous les côtés. Retirez-la de la cocotte et réservez-la.</v>
      </c>
      <c r="AM94" s="9"/>
      <c r="AN94" s="9"/>
      <c r="AO94" s="9"/>
      <c r="AP94" s="9"/>
      <c r="AQ94" s="9"/>
      <c r="AR94" s="9"/>
      <c r="AS94" s="9"/>
      <c r="AT94" s="592"/>
      <c r="AU94" s="9"/>
      <c r="AV94" s="103"/>
      <c r="AW94" s="31"/>
      <c r="AX94" s="32"/>
      <c r="AY94" s="31"/>
      <c r="AZ94" s="33"/>
      <c r="BA94" s="1967"/>
      <c r="BB94" s="1805"/>
      <c r="BC94" s="91"/>
      <c r="BD94" s="1806"/>
      <c r="BE94" s="6401"/>
      <c r="BF94" s="6402"/>
      <c r="BG94" s="1969"/>
      <c r="BH94" s="6403"/>
      <c r="BI94" s="95"/>
      <c r="BJ94" s="1326"/>
      <c r="BK94" s="6404"/>
      <c r="BL94" s="1737"/>
      <c r="BM94" s="2081"/>
      <c r="BN94" s="2238"/>
      <c r="BO94" s="1809"/>
      <c r="BQ94" s="2230"/>
      <c r="BR94" s="3">
        <v>1</v>
      </c>
    </row>
    <row r="95" spans="2:70" ht="21" customHeight="1">
      <c r="B95" s="6236"/>
      <c r="C95" s="6358">
        <f t="shared" si="48"/>
        <v>150</v>
      </c>
      <c r="D95" s="6390" t="str" cm="1">
        <f t="array" ref="D95">IF(MOD(ROW()-50,14)=0,INDEX(D92:D105,MOD(ROW()-50,14)+1),E93)</f>
        <v/>
      </c>
      <c r="E95" s="6391" t="str">
        <f t="shared" si="49"/>
        <v/>
      </c>
      <c r="F95" s="6392" t="str">
        <f t="shared" si="50"/>
        <v/>
      </c>
      <c r="G95" s="6321" t="str">
        <v>22.TEST LIGNE 19 colonne Q et ligne 20 colonne P. rechercher la cellule qui coupe le texte Dans la cocotte N°3 en fonte, faites chauffer l’huile</v>
      </c>
      <c r="H95" s="6393">
        <f t="shared" si="51"/>
        <v>4</v>
      </c>
      <c r="I95" s="6398">
        <f>IF(OR(J92="",I94="",I94&lt;=0),"",ROUNDUP(LEN(J92)/I94,0))</f>
        <v>53</v>
      </c>
      <c r="J95" s="6395" t="str">
        <f t="shared" si="52"/>
        <v>à feu moyen. Ajoutez la viande et faites-la dorer de tous les côtés. Retirez-la de la cocotte et réservez-la.</v>
      </c>
      <c r="K95" s="6396" t="str">
        <f>IF(J95="","",LEFT(J95,IF(LEN(J95)&lt;=I95,LEN(J95),IFERROR(FIND("§",SUBSTITUTE(LEFT(J95,I95+1)," ","§",LEN(LEFT(J95,I95+1))-LEN(SUBSTITUTE(LEFT(J95,I95+1)," ",""))))-1,IFERROR(FIND(" ",J95,I95+1)-1,LEN(J95))))))</f>
        <v>à feu moyen. Ajoutez la viande et faites-la dorer de</v>
      </c>
      <c r="L95" s="6388" t="str">
        <v>à feu moyen. Ajoutez la viande et faites-la dorer de</v>
      </c>
      <c r="M95" s="6332" t="str">
        <v>à feu moyen. Ajoutez la viande et faites-la dorer de</v>
      </c>
      <c r="N95" t="s">
        <v>21</v>
      </c>
      <c r="O95" s="6334" t="s">
        <v>14415</v>
      </c>
      <c r="P95" s="6335" t="str">
        <f t="shared" si="24"/>
        <v>46.TEST LIGNE 19 colonne Q et ligne 20 colonne P. rechercher la cellule qui coupe le texte Dans la cocotte N°3 en fonte, faites chauffer l’huile d’olive à feu moyen. Ajoutez la viande et faites-la dorer de tous les côtés. Retirez-la de la cocotte et réservez-la.</v>
      </c>
      <c r="Q95" s="6336" t="str">
        <f t="shared" si="25"/>
        <v>46.TEST LIGNE 19 colonne Q et ligne 20 colonne P. rechercher la cellule qui coupe le texte Dans la cocotte N°3 en fonte, faites chauffer l’huile d’olive à feu moyen. Ajoutez la viande et faites-la dorer de tous les côtés. Retirez-la de la cocotte et réservez-la.</v>
      </c>
      <c r="R95" s="6336" t="str">
        <f t="shared" si="26"/>
        <v>46.TEST LIGNE 19 colonne Q et ligne 20 colonne P. rechercher la cellule qui coupe le texte Dans la cocotte N°3 en fonte, faites chauffer l’huile d’olive à feu moyen. Ajoutez la viande et faites-la dorer de tous les côtés. Retirez-la de la cocotte et réservez-la.</v>
      </c>
      <c r="S95" s="6337" t="str">
        <f t="shared" si="27"/>
        <v>46 TEST LIGNE 19 colonne Q et ligne 20 colonne P rechercher la cellule qui coupe le texte Dans la cocotte N°3 en fonte faites chauffer l’huile d’olive à feu moyen Ajoutez la viande et faites-la dorer de tous les côtés Retirez-la de la cocotte et réservez-la</v>
      </c>
      <c r="T95" s="6337" t="str">
        <f t="shared" si="28"/>
        <v>46 TEST LIGNE 19 colonne Q et ligne 20 colonne P rechercher la cellule qui coupe le texte Dans la cocotte N°3 en fonte faites chauffer l’huile d’olive à feu moyen Ajoutez la viande et faites la dorer de tous les côtés Retirez la de la cocotte et réservez la</v>
      </c>
      <c r="U95" s="6337" t="str">
        <f t="shared" si="29"/>
        <v>46 TEST LIGNE 19 colonne Q et ligne 20 colonne P rechercher la cellule qui coupe le texte Dans la cocotte N°3 en fonte faites chauffer l’huile d’olive à feu moyen Ajoutez la viande et faites la dorer de tous les côtés Retirez la de la cocotte et réservez la</v>
      </c>
      <c r="V95" s="6338" t="str">
        <f t="shared" si="30"/>
        <v>46 TEST LIGNE 19 colonne Q et ligne 20 colonne P rechercher la cellule qui coupe le texte Dans la cocotte N°3 en fonte faites chauffer l’huile d’olive à feu moyen Ajoutez la viande et faites la dorer de tous les côtés Retirez la de la cocotte et réservez la</v>
      </c>
      <c r="W95" s="6239"/>
      <c r="X95" s="6339" t="str">
        <f t="shared" si="31"/>
        <v>ligne 95 ►</v>
      </c>
      <c r="Y95" s="6340" t="str">
        <f t="shared" si="35"/>
        <v>46.TEST LIGNE 19 colonne Q et ligne 20 colonne P. rechercher la cellule qui coupe le texte Dans la cocotte N°3 en fonte, faites chauffer l’huile d’olive à feu moyen. Ajoutez la viande et faites-la dorer de tous les côtés. Retirez-la de la cocotte et réservez-la.</v>
      </c>
      <c r="Z95" s="6341">
        <v>5</v>
      </c>
      <c r="AB95" s="6342" t="str">
        <f t="shared" si="32"/>
        <v>ligne 95 ►</v>
      </c>
      <c r="AC95" s="6343" t="str">
        <f t="shared" si="36"/>
        <v>46.TEST LIGNE 19 colonne Q et ligne 20 colonne P. rechercher la cellule qui coupe le texte Dans la cocotte N°3 en fonte, faites chauffer l’huile d’olive à feu moyen. Ajoutez la viande et faites-la dorer de tous les côtés. Retirez-la de la cocotte et réservez-la.</v>
      </c>
      <c r="AD95" s="6344">
        <v>150</v>
      </c>
      <c r="AF95" s="6345" t="str" cm="1">
        <f t="array" ref="AF95">IF(SUMPRODUCT((AL95:AQ95&lt;&gt;"")*1)=0,"",SUMPRODUCT((AL95:AQ95&lt;&gt;"")*(LEN(TRIM(SUBSTITUTE(AL95:AQ95,CHAR(160)," "))) - LEN(SUBSTITUTE(TRIM(SUBSTITUTE(AL95:AQ95,CHAR(160)," "))," ","")) + 1)) &amp; " mot" &amp; IF(SUMPRODUCT((AL95:AQ95&lt;&gt;"")*(LEN(TRIM(SUBSTITUTE(AL95:AQ95,CHAR(160)," "))) - LEN(SUBSTITUTE(TRIM(SUBSTITUTE(AL95:AQ95,CHAR(160)," "))," ","")) + 1))&gt;1,"s",""))</f>
        <v>26 mots</v>
      </c>
      <c r="AG95" s="2263" t="str" cm="1">
        <f t="array" ref="AG95">SUMPRODUCT(--(AL95:AQ95&lt;&gt;""), LEN(TRIM(SUBSTITUTE(AL95:AQ95, CHAR(160), "")))) &amp; " Car."</f>
        <v>144 Car.</v>
      </c>
      <c r="AH95" s="6366" t="s">
        <v>14368</v>
      </c>
      <c r="AI95" s="6367" t="str">
        <f t="shared" si="33"/>
        <v>46.TEST LIGNE 19 colonne Q et ligne 20 colonne P. rechercher la cellule qui coupe le texte Dans la cocotte N°3 en fonte, faites chauffer l’huile d’olive à feu moyen. Ajoutez la viande et faites-la dorer de tous les côtés. Retirez-la de la cocotte et réservez-la.</v>
      </c>
      <c r="AJ95" s="6368"/>
      <c r="AK95" s="2190">
        <f>ROWS(AO50:AO95)</f>
        <v>46</v>
      </c>
      <c r="AL95" s="1942" t="str">
        <v>22.TEST LIGNE 19 colonne Q et ligne 20 colonne P. rechercher la cellule qui coupe le texte Dans la cocotte N°3 en fonte, faites chauffer l’huile</v>
      </c>
      <c r="AM95" s="9"/>
      <c r="AN95" s="9"/>
      <c r="AO95" s="9"/>
      <c r="AP95" s="9"/>
      <c r="AQ95" s="9"/>
      <c r="AR95" s="9"/>
      <c r="AS95" s="9"/>
      <c r="AT95" s="592"/>
      <c r="AU95" s="9"/>
      <c r="AV95" s="103"/>
      <c r="AW95" s="31"/>
      <c r="AX95" s="32"/>
      <c r="AY95" s="31"/>
      <c r="AZ95" s="33"/>
      <c r="BA95" s="1967"/>
      <c r="BB95" s="1805"/>
      <c r="BC95" s="91"/>
      <c r="BD95" s="1806"/>
      <c r="BE95" s="6401"/>
      <c r="BF95" s="6402"/>
      <c r="BG95" s="1969"/>
      <c r="BH95" s="6403"/>
      <c r="BI95" s="95"/>
      <c r="BJ95" s="1326"/>
      <c r="BK95" s="6404"/>
      <c r="BL95" s="1737"/>
      <c r="BM95" s="2081"/>
      <c r="BN95" s="2238"/>
      <c r="BO95" s="1809"/>
      <c r="BQ95" s="2230"/>
      <c r="BR95" s="3">
        <v>1</v>
      </c>
    </row>
    <row r="96" spans="2:70" ht="21" customHeight="1">
      <c r="B96" s="6236"/>
      <c r="C96" s="6358">
        <f t="shared" si="48"/>
        <v>150</v>
      </c>
      <c r="D96" s="6390" t="str" cm="1">
        <f t="array" ref="D96">IF(MOD(ROW()-50,14)=0,INDEX(D92:D105,MOD(ROW()-50,14)+1),E94)</f>
        <v/>
      </c>
      <c r="E96" s="6391" t="str">
        <f t="shared" si="49"/>
        <v/>
      </c>
      <c r="F96" s="6392" t="str">
        <f t="shared" si="50"/>
        <v/>
      </c>
      <c r="G96" s="6321" t="str">
        <v>d’olive à feu moyen. Ajoutez la viande et faites-la dorer de tous les côtés. Retirez-la de la cocotte et réservez-la.</v>
      </c>
      <c r="H96" s="6393">
        <f t="shared" si="51"/>
        <v>5</v>
      </c>
      <c r="I96" s="6400" t="str">
        <f>I92</f>
        <v>4.TEST LIGNE 17 colonne Q et ligne 20 colonne P. rechercher la cellule qui coupe le texte Dans la cocotte N°3 en fonte, faites chauffer l’huile d’olive à feu moyen. Ajoutez la viande et faites-la dorer de tous les côtés. Retirez-la de la cocotte et réservez-la.</v>
      </c>
      <c r="J96" s="6395" t="str">
        <f t="shared" si="52"/>
        <v>tous les côtés. Retirez-la de la cocotte et réservez-la.</v>
      </c>
      <c r="K96" s="6396" t="str">
        <f>IF(J96="","",LEFT(J96,IF(LEN(J96)&lt;=I95,LEN(J96),IFERROR(FIND("§",SUBSTITUTE(LEFT(J96,I95+1)," ","§",LEN(LEFT(J96,I95+1))-LEN(SUBSTITUTE(LEFT(J96,I95+1)," ",""))))-1,IFERROR(FIND(" ",J96,I95+1)-1,LEN(J96))))))</f>
        <v>tous les côtés. Retirez-la de la cocotte et</v>
      </c>
      <c r="L96" s="6388" t="str">
        <v>tous les côtés. Retirez-la de la cocotte et</v>
      </c>
      <c r="M96" s="6332" t="str">
        <v>tous les côtés. Retirez-la de la cocotte et</v>
      </c>
      <c r="N96" t="s">
        <v>21</v>
      </c>
      <c r="O96" s="6334" t="s">
        <v>14416</v>
      </c>
      <c r="P96" s="6335" t="str">
        <f t="shared" si="24"/>
        <v>47.TEST LIGNE 19 colonne Q et ligne 20 colonne P. rechercher la cellule qui coupe le texte Dans la cocotte N°3 en fonte, faites chauffer l’huile d’olive à feu moyen. Ajoutez la viande et faites-la dorer de tous les côtés. Retirez-la de la cocotte et réservez-la.</v>
      </c>
      <c r="Q96" s="6336" t="str">
        <f t="shared" si="25"/>
        <v>47.TEST LIGNE 19 colonne Q et ligne 20 colonne P. rechercher la cellule qui coupe le texte Dans la cocotte N°3 en fonte, faites chauffer l’huile d’olive à feu moyen. Ajoutez la viande et faites-la dorer de tous les côtés. Retirez-la de la cocotte et réservez-la.</v>
      </c>
      <c r="R96" s="6336" t="str">
        <f t="shared" si="26"/>
        <v>47.TEST LIGNE 19 colonne Q et ligne 20 colonne P. rechercher la cellule qui coupe le texte Dans la cocotte N°3 en fonte, faites chauffer l’huile d’olive à feu moyen. Ajoutez la viande et faites-la dorer de tous les côtés. Retirez-la de la cocotte et réservez-la.</v>
      </c>
      <c r="S96" s="6337" t="str">
        <f t="shared" si="27"/>
        <v>47 TEST LIGNE 19 colonne Q et ligne 20 colonne P rechercher la cellule qui coupe le texte Dans la cocotte N°3 en fonte faites chauffer l’huile d’olive à feu moyen Ajoutez la viande et faites-la dorer de tous les côtés Retirez-la de la cocotte et réservez-la</v>
      </c>
      <c r="T96" s="6337" t="str">
        <f t="shared" si="28"/>
        <v>47 TEST LIGNE 19 colonne Q et ligne 20 colonne P rechercher la cellule qui coupe le texte Dans la cocotte N°3 en fonte faites chauffer l’huile d’olive à feu moyen Ajoutez la viande et faites la dorer de tous les côtés Retirez la de la cocotte et réservez la</v>
      </c>
      <c r="U96" s="6337" t="str">
        <f t="shared" si="29"/>
        <v>47 TEST LIGNE 19 colonne Q et ligne 20 colonne P rechercher la cellule qui coupe le texte Dans la cocotte N°3 en fonte faites chauffer l’huile d’olive à feu moyen Ajoutez la viande et faites la dorer de tous les côtés Retirez la de la cocotte et réservez la</v>
      </c>
      <c r="V96" s="6338" t="str">
        <f t="shared" si="30"/>
        <v>47 TEST LIGNE 19 colonne Q et ligne 20 colonne P rechercher la cellule qui coupe le texte Dans la cocotte N°3 en fonte faites chauffer l’huile d’olive à feu moyen Ajoutez la viande et faites la dorer de tous les côtés Retirez la de la cocotte et réservez la</v>
      </c>
      <c r="W96" s="6239"/>
      <c r="X96" s="6339" t="str">
        <f t="shared" si="31"/>
        <v>ligne 96 ►</v>
      </c>
      <c r="Y96" s="6340" t="str">
        <f t="shared" si="35"/>
        <v>47.TEST LIGNE 19 colonne Q et ligne 20 colonne P. rechercher la cellule qui coupe le texte Dans la cocotte N°3 en fonte, faites chauffer l’huile d’olive à feu moyen. Ajoutez la viande et faites-la dorer de tous les côtés. Retirez-la de la cocotte et réservez-la.</v>
      </c>
      <c r="Z96" s="6341">
        <v>5</v>
      </c>
      <c r="AB96" s="6342" t="str">
        <f t="shared" si="32"/>
        <v>ligne 96 ►</v>
      </c>
      <c r="AC96" s="6343" t="str">
        <f t="shared" si="36"/>
        <v>47.TEST LIGNE 19 colonne Q et ligne 20 colonne P. rechercher la cellule qui coupe le texte Dans la cocotte N°3 en fonte, faites chauffer l’huile d’olive à feu moyen. Ajoutez la viande et faites-la dorer de tous les côtés. Retirez-la de la cocotte et réservez-la.</v>
      </c>
      <c r="AD96" s="6344">
        <v>150</v>
      </c>
      <c r="AF96" s="6345" t="str" cm="1">
        <f t="array" ref="AF96">IF(SUMPRODUCT((AL96:AQ96&lt;&gt;"")*1)=0,"",SUMPRODUCT((AL96:AQ96&lt;&gt;"")*(LEN(TRIM(SUBSTITUTE(AL96:AQ96,CHAR(160)," "))) - LEN(SUBSTITUTE(TRIM(SUBSTITUTE(AL96:AQ96,CHAR(160)," "))," ","")) + 1)) &amp; " mot" &amp; IF(SUMPRODUCT((AL96:AQ96&lt;&gt;"")*(LEN(TRIM(SUBSTITUTE(AL96:AQ96,CHAR(160)," "))) - LEN(SUBSTITUTE(TRIM(SUBSTITUTE(AL96:AQ96,CHAR(160)," "))," ","")) + 1))&gt;1,"s",""))</f>
        <v>20 mots</v>
      </c>
      <c r="AG96" s="2263" t="str" cm="1">
        <f t="array" ref="AG96">SUMPRODUCT(--(AL96:AQ96&lt;&gt;""), LEN(TRIM(SUBSTITUTE(AL96:AQ96, CHAR(160), "")))) &amp; " Car."</f>
        <v>117 Car.</v>
      </c>
      <c r="AH96" s="6366" t="s">
        <v>14368</v>
      </c>
      <c r="AI96" s="6367" t="str">
        <f t="shared" si="33"/>
        <v>47.TEST LIGNE 19 colonne Q et ligne 20 colonne P. rechercher la cellule qui coupe le texte Dans la cocotte N°3 en fonte, faites chauffer l’huile d’olive à feu moyen. Ajoutez la viande et faites-la dorer de tous les côtés. Retirez-la de la cocotte et réservez-la.</v>
      </c>
      <c r="AJ96" s="6368"/>
      <c r="AK96" s="2190">
        <f>ROWS(AO50:AO96)</f>
        <v>47</v>
      </c>
      <c r="AL96" s="1942" t="str">
        <v>d’olive à feu moyen. Ajoutez la viande et faites-la dorer de tous les côtés. Retirez-la de la cocotte et réservez-la.</v>
      </c>
      <c r="AM96" s="9"/>
      <c r="AN96" s="9"/>
      <c r="AO96" s="9"/>
      <c r="AP96" s="9"/>
      <c r="AQ96" s="9"/>
      <c r="AR96" s="9"/>
      <c r="AS96" s="9"/>
      <c r="AT96" s="592"/>
      <c r="AU96" s="9"/>
      <c r="AV96" s="103"/>
      <c r="AW96" s="31"/>
      <c r="AX96" s="32"/>
      <c r="AY96" s="31"/>
      <c r="AZ96" s="33"/>
      <c r="BA96" s="1967"/>
      <c r="BB96" s="1805"/>
      <c r="BC96" s="91"/>
      <c r="BD96" s="1806"/>
      <c r="BE96" s="6401"/>
      <c r="BF96" s="6402"/>
      <c r="BG96" s="1969"/>
      <c r="BH96" s="6403"/>
      <c r="BI96" s="95"/>
      <c r="BJ96" s="1326"/>
      <c r="BK96" s="6404"/>
      <c r="BL96" s="1737"/>
      <c r="BM96" s="2081"/>
      <c r="BN96" s="2238"/>
      <c r="BO96" s="1809"/>
      <c r="BQ96" s="2230"/>
      <c r="BR96" s="3">
        <v>1</v>
      </c>
    </row>
    <row r="97" spans="2:70" ht="21" customHeight="1">
      <c r="B97" s="6236"/>
      <c r="C97" s="6358">
        <f t="shared" si="48"/>
        <v>150</v>
      </c>
      <c r="D97" s="6390" t="str" cm="1">
        <f t="array" ref="D97">IF(MOD(ROW()-50,14)=0,INDEX(D92:D105,MOD(ROW()-50,14)+1),E95)</f>
        <v/>
      </c>
      <c r="E97" s="6391" t="str">
        <f t="shared" si="49"/>
        <v/>
      </c>
      <c r="F97" s="6392" t="str">
        <f t="shared" si="50"/>
        <v/>
      </c>
      <c r="G97" s="6321" t="str">
        <v>23.TEST LIGNE 19 colonne Q et ligne 20 colonne P. rechercher la cellule qui coupe le texte Dans la cocotte N°3 en fonte, faites chauffer l’huile</v>
      </c>
      <c r="H97" s="6393">
        <f t="shared" si="51"/>
        <v>6</v>
      </c>
      <c r="I97" s="6405"/>
      <c r="J97" s="6395" t="str">
        <f t="shared" si="52"/>
        <v>réservez-la.</v>
      </c>
      <c r="K97" s="6396" t="str">
        <f>IF(J97="","",LEFT(J97,IF(LEN(J97)&lt;=I95,LEN(J97),IFERROR(FIND("§",SUBSTITUTE(LEFT(J97,I95+1)," ","§",LEN(LEFT(J97,I95+1))-LEN(SUBSTITUTE(LEFT(J97,I95+1)," ",""))))-1,IFERROR(FIND(" ",J97,I95+1)-1,LEN(J97))))))</f>
        <v>réservez-la.</v>
      </c>
      <c r="L97" s="6388" t="str">
        <v>réservez-la.</v>
      </c>
      <c r="M97" s="6332" t="str">
        <v>réservez-la.</v>
      </c>
      <c r="N97" t="s">
        <v>21</v>
      </c>
      <c r="O97" s="6334" t="s">
        <v>14417</v>
      </c>
      <c r="P97" s="6335" t="str">
        <f t="shared" si="24"/>
        <v>48.TEST LIGNE 19 colonne Q et ligne 20 colonne P. rechercher la cellule qui coupe le texte Dans la cocotte N°3 en fonte, faites chauffer l’huile d’olive à feu moyen. Ajoutez la viande et faites-la dorer de tous les côtés. Retirez-la de la cocotte et réservez-la.</v>
      </c>
      <c r="Q97" s="6336" t="str">
        <f t="shared" si="25"/>
        <v>48.TEST LIGNE 19 colonne Q et ligne 20 colonne P. rechercher la cellule qui coupe le texte Dans la cocotte N°3 en fonte, faites chauffer l’huile d’olive à feu moyen. Ajoutez la viande et faites-la dorer de tous les côtés. Retirez-la de la cocotte et réservez-la.</v>
      </c>
      <c r="R97" s="6336" t="str">
        <f t="shared" si="26"/>
        <v>48.TEST LIGNE 19 colonne Q et ligne 20 colonne P. rechercher la cellule qui coupe le texte Dans la cocotte N°3 en fonte, faites chauffer l’huile d’olive à feu moyen. Ajoutez la viande et faites-la dorer de tous les côtés. Retirez-la de la cocotte et réservez-la.</v>
      </c>
      <c r="S97" s="6337" t="str">
        <f t="shared" si="27"/>
        <v>48 TEST LIGNE 19 colonne Q et ligne 20 colonne P rechercher la cellule qui coupe le texte Dans la cocotte N°3 en fonte faites chauffer l’huile d’olive à feu moyen Ajoutez la viande et faites-la dorer de tous les côtés Retirez-la de la cocotte et réservez-la</v>
      </c>
      <c r="T97" s="6337" t="str">
        <f t="shared" si="28"/>
        <v>48 TEST LIGNE 19 colonne Q et ligne 20 colonne P rechercher la cellule qui coupe le texte Dans la cocotte N°3 en fonte faites chauffer l’huile d’olive à feu moyen Ajoutez la viande et faites la dorer de tous les côtés Retirez la de la cocotte et réservez la</v>
      </c>
      <c r="U97" s="6337" t="str">
        <f t="shared" si="29"/>
        <v>48 TEST LIGNE 19 colonne Q et ligne 20 colonne P rechercher la cellule qui coupe le texte Dans la cocotte N°3 en fonte faites chauffer l’huile d’olive à feu moyen Ajoutez la viande et faites la dorer de tous les côtés Retirez la de la cocotte et réservez la</v>
      </c>
      <c r="V97" s="6338" t="str">
        <f t="shared" si="30"/>
        <v>48 TEST LIGNE 19 colonne Q et ligne 20 colonne P rechercher la cellule qui coupe le texte Dans la cocotte N°3 en fonte faites chauffer l’huile d’olive à feu moyen Ajoutez la viande et faites la dorer de tous les côtés Retirez la de la cocotte et réservez la</v>
      </c>
      <c r="W97" s="6239"/>
      <c r="X97" s="6339" t="str">
        <f t="shared" si="31"/>
        <v>ligne 97 ►</v>
      </c>
      <c r="Y97" s="6340" t="str">
        <f t="shared" si="35"/>
        <v>48.TEST LIGNE 19 colonne Q et ligne 20 colonne P. rechercher la cellule qui coupe le texte Dans la cocotte N°3 en fonte, faites chauffer l’huile d’olive à feu moyen. Ajoutez la viande et faites-la dorer de tous les côtés. Retirez-la de la cocotte et réservez-la.</v>
      </c>
      <c r="Z97" s="6341">
        <v>5</v>
      </c>
      <c r="AB97" s="6342" t="str">
        <f t="shared" si="32"/>
        <v>ligne 97 ►</v>
      </c>
      <c r="AC97" s="6343" t="str">
        <f t="shared" si="36"/>
        <v>48.TEST LIGNE 19 colonne Q et ligne 20 colonne P. rechercher la cellule qui coupe le texte Dans la cocotte N°3 en fonte, faites chauffer l’huile d’olive à feu moyen. Ajoutez la viande et faites-la dorer de tous les côtés. Retirez-la de la cocotte et réservez-la.</v>
      </c>
      <c r="AD97" s="6344">
        <v>150</v>
      </c>
      <c r="AF97" s="6345" t="str" cm="1">
        <f t="array" ref="AF97">IF(SUMPRODUCT((AL97:AQ97&lt;&gt;"")*1)=0,"",SUMPRODUCT((AL97:AQ97&lt;&gt;"")*(LEN(TRIM(SUBSTITUTE(AL97:AQ97,CHAR(160)," "))) - LEN(SUBSTITUTE(TRIM(SUBSTITUTE(AL97:AQ97,CHAR(160)," "))," ","")) + 1)) &amp; " mot" &amp; IF(SUMPRODUCT((AL97:AQ97&lt;&gt;"")*(LEN(TRIM(SUBSTITUTE(AL97:AQ97,CHAR(160)," "))) - LEN(SUBSTITUTE(TRIM(SUBSTITUTE(AL97:AQ97,CHAR(160)," "))," ","")) + 1))&gt;1,"s",""))</f>
        <v>26 mots</v>
      </c>
      <c r="AG97" s="2263" t="str" cm="1">
        <f t="array" ref="AG97">SUMPRODUCT(--(AL97:AQ97&lt;&gt;""), LEN(TRIM(SUBSTITUTE(AL97:AQ97, CHAR(160), "")))) &amp; " Car."</f>
        <v>144 Car.</v>
      </c>
      <c r="AH97" s="6366" t="s">
        <v>14368</v>
      </c>
      <c r="AI97" s="6367" t="str">
        <f t="shared" si="33"/>
        <v>48.TEST LIGNE 19 colonne Q et ligne 20 colonne P. rechercher la cellule qui coupe le texte Dans la cocotte N°3 en fonte, faites chauffer l’huile d’olive à feu moyen. Ajoutez la viande et faites-la dorer de tous les côtés. Retirez-la de la cocotte et réservez-la.</v>
      </c>
      <c r="AJ97" s="6368"/>
      <c r="AK97" s="2190">
        <f>ROWS(AO50:AO97)</f>
        <v>48</v>
      </c>
      <c r="AL97" s="1942" t="str">
        <v>23.TEST LIGNE 19 colonne Q et ligne 20 colonne P. rechercher la cellule qui coupe le texte Dans la cocotte N°3 en fonte, faites chauffer l’huile</v>
      </c>
      <c r="AM97" s="9"/>
      <c r="AN97" s="9"/>
      <c r="AO97" s="9"/>
      <c r="AP97" s="9"/>
      <c r="AQ97" s="9"/>
      <c r="AR97" s="9"/>
      <c r="AS97" s="9"/>
      <c r="AT97" s="592"/>
      <c r="AU97" s="9"/>
      <c r="AV97" s="103"/>
      <c r="AW97" s="31"/>
      <c r="AX97" s="32"/>
      <c r="AY97" s="31"/>
      <c r="AZ97" s="33"/>
      <c r="BA97" s="1967"/>
      <c r="BB97" s="1805"/>
      <c r="BC97" s="91"/>
      <c r="BD97" s="1806"/>
      <c r="BE97" s="6401"/>
      <c r="BF97" s="6402"/>
      <c r="BG97" s="1969"/>
      <c r="BH97" s="6403"/>
      <c r="BI97" s="95"/>
      <c r="BJ97" s="1326"/>
      <c r="BK97" s="6404"/>
      <c r="BL97" s="1737"/>
      <c r="BM97" s="2081"/>
      <c r="BN97" s="2238"/>
      <c r="BO97" s="1809"/>
      <c r="BQ97" s="2230"/>
      <c r="BR97" s="3">
        <v>1</v>
      </c>
    </row>
    <row r="98" spans="2:70" ht="21" customHeight="1">
      <c r="B98" s="6236"/>
      <c r="C98" s="6358">
        <f t="shared" si="48"/>
        <v>150</v>
      </c>
      <c r="D98" s="6390" t="str" cm="1">
        <f t="array" ref="D98">IF(MOD(ROW()-50,14)=0,INDEX(D92:D105,MOD(ROW()-50,14)+1),E96)</f>
        <v/>
      </c>
      <c r="E98" s="6391" t="str">
        <f t="shared" si="49"/>
        <v/>
      </c>
      <c r="F98" s="6392" t="str">
        <f t="shared" si="50"/>
        <v/>
      </c>
      <c r="G98" s="6321" t="str">
        <v>d’olive à feu moyen. Ajoutez la viande et faites-la dorer de tous les côtés. Retirez-la de la cocotte et réservez-la.</v>
      </c>
      <c r="H98" s="6393" t="str">
        <f t="shared" si="51"/>
        <v/>
      </c>
      <c r="I98" s="6405"/>
      <c r="J98" s="6395" t="str">
        <f t="shared" si="52"/>
        <v/>
      </c>
      <c r="K98" s="6396" t="str">
        <f>IF(J98="","",LEFT(J98,IF(LEN(J98)&lt;=I95,LEN(J98),IFERROR(FIND("§",SUBSTITUTE(LEFT(J98,I95+1)," ","§",LEN(LEFT(J98,I95+1))-LEN(SUBSTITUTE(LEFT(J98,I95+1)," ",""))))-1,IFERROR(FIND(" ",J98,I95+1)-1,LEN(J98))))))</f>
        <v/>
      </c>
      <c r="L98" s="6388"/>
      <c r="M98" s="6332" t="str">
        <v>9.TEST LIGNE 19 colonne Q et ligne 20 colonne P.</v>
      </c>
      <c r="N98" t="s">
        <v>21</v>
      </c>
      <c r="O98" s="6334" t="s">
        <v>14418</v>
      </c>
      <c r="P98" s="6335" t="str">
        <f t="shared" si="24"/>
        <v>49.TEST LIGNE 19 colonne Q et ligne 20 colonne P. rechercher la cellule qui coupe le texte Dans la cocotte N°3 en fonte, faites chauffer l’huile d’olive à feu moyen. Ajoutez la viande et faites-la dorer de tous les côtés. Retirez-la de la cocotte et réservez-la.</v>
      </c>
      <c r="Q98" s="6336" t="str">
        <f t="shared" si="25"/>
        <v>49.TEST LIGNE 19 colonne Q et ligne 20 colonne P. rechercher la cellule qui coupe le texte Dans la cocotte N°3 en fonte, faites chauffer l’huile d’olive à feu moyen. Ajoutez la viande et faites-la dorer de tous les côtés. Retirez-la de la cocotte et réservez-la.</v>
      </c>
      <c r="R98" s="6336" t="str">
        <f t="shared" si="26"/>
        <v>49.TEST LIGNE 19 colonne Q et ligne 20 colonne P. rechercher la cellule qui coupe le texte Dans la cocotte N°3 en fonte, faites chauffer l’huile d’olive à feu moyen. Ajoutez la viande et faites-la dorer de tous les côtés. Retirez-la de la cocotte et réservez-la.</v>
      </c>
      <c r="S98" s="6337" t="str">
        <f t="shared" si="27"/>
        <v>49 TEST LIGNE 19 colonne Q et ligne 20 colonne P rechercher la cellule qui coupe le texte Dans la cocotte N°3 en fonte faites chauffer l’huile d’olive à feu moyen Ajoutez la viande et faites-la dorer de tous les côtés Retirez-la de la cocotte et réservez-la</v>
      </c>
      <c r="T98" s="6337" t="str">
        <f t="shared" si="28"/>
        <v>49 TEST LIGNE 19 colonne Q et ligne 20 colonne P rechercher la cellule qui coupe le texte Dans la cocotte N°3 en fonte faites chauffer l’huile d’olive à feu moyen Ajoutez la viande et faites la dorer de tous les côtés Retirez la de la cocotte et réservez la</v>
      </c>
      <c r="U98" s="6337" t="str">
        <f t="shared" si="29"/>
        <v>49 TEST LIGNE 19 colonne Q et ligne 20 colonne P rechercher la cellule qui coupe le texte Dans la cocotte N°3 en fonte faites chauffer l’huile d’olive à feu moyen Ajoutez la viande et faites la dorer de tous les côtés Retirez la de la cocotte et réservez la</v>
      </c>
      <c r="V98" s="6338" t="str">
        <f t="shared" si="30"/>
        <v>49 TEST LIGNE 19 colonne Q et ligne 20 colonne P rechercher la cellule qui coupe le texte Dans la cocotte N°3 en fonte faites chauffer l’huile d’olive à feu moyen Ajoutez la viande et faites la dorer de tous les côtés Retirez la de la cocotte et réservez la</v>
      </c>
      <c r="W98" s="6239"/>
      <c r="X98" s="6339" t="str">
        <f t="shared" si="31"/>
        <v>ligne 98 ►</v>
      </c>
      <c r="Y98" s="6340" t="str">
        <f t="shared" si="35"/>
        <v>49.TEST LIGNE 19 colonne Q et ligne 20 colonne P. rechercher la cellule qui coupe le texte Dans la cocotte N°3 en fonte, faites chauffer l’huile d’olive à feu moyen. Ajoutez la viande et faites-la dorer de tous les côtés. Retirez-la de la cocotte et réservez-la.</v>
      </c>
      <c r="Z98" s="6341">
        <v>5</v>
      </c>
      <c r="AB98" s="6342" t="str">
        <f t="shared" si="32"/>
        <v>ligne 98 ►</v>
      </c>
      <c r="AC98" s="6343" t="str">
        <f t="shared" si="36"/>
        <v>49.TEST LIGNE 19 colonne Q et ligne 20 colonne P. rechercher la cellule qui coupe le texte Dans la cocotte N°3 en fonte, faites chauffer l’huile d’olive à feu moyen. Ajoutez la viande et faites-la dorer de tous les côtés. Retirez-la de la cocotte et réservez-la.</v>
      </c>
      <c r="AD98" s="6344">
        <v>150</v>
      </c>
      <c r="AF98" s="6345" t="str" cm="1">
        <f t="array" ref="AF98">IF(SUMPRODUCT((AL98:AQ98&lt;&gt;"")*1)=0,"",SUMPRODUCT((AL98:AQ98&lt;&gt;"")*(LEN(TRIM(SUBSTITUTE(AL98:AQ98,CHAR(160)," "))) - LEN(SUBSTITUTE(TRIM(SUBSTITUTE(AL98:AQ98,CHAR(160)," "))," ","")) + 1)) &amp; " mot" &amp; IF(SUMPRODUCT((AL98:AQ98&lt;&gt;"")*(LEN(TRIM(SUBSTITUTE(AL98:AQ98,CHAR(160)," "))) - LEN(SUBSTITUTE(TRIM(SUBSTITUTE(AL98:AQ98,CHAR(160)," "))," ","")) + 1))&gt;1,"s",""))</f>
        <v>20 mots</v>
      </c>
      <c r="AG98" s="2263" t="str" cm="1">
        <f t="array" ref="AG98">SUMPRODUCT(--(AL98:AQ98&lt;&gt;""), LEN(TRIM(SUBSTITUTE(AL98:AQ98, CHAR(160), "")))) &amp; " Car."</f>
        <v>117 Car.</v>
      </c>
      <c r="AH98" s="6366" t="s">
        <v>14368</v>
      </c>
      <c r="AI98" s="6367" t="str">
        <f t="shared" si="33"/>
        <v>49.TEST LIGNE 19 colonne Q et ligne 20 colonne P. rechercher la cellule qui coupe le texte Dans la cocotte N°3 en fonte, faites chauffer l’huile d’olive à feu moyen. Ajoutez la viande et faites-la dorer de tous les côtés. Retirez-la de la cocotte et réservez-la.</v>
      </c>
      <c r="AJ98" s="6368"/>
      <c r="AK98" s="2190">
        <f>ROWS(AO50:AO98)</f>
        <v>49</v>
      </c>
      <c r="AL98" s="1942" t="str">
        <v>d’olive à feu moyen. Ajoutez la viande et faites-la dorer de tous les côtés. Retirez-la de la cocotte et réservez-la.</v>
      </c>
      <c r="AM98" s="9"/>
      <c r="AN98" s="9"/>
      <c r="AO98" s="9"/>
      <c r="AP98" s="9"/>
      <c r="AQ98" s="9"/>
      <c r="AR98" s="9"/>
      <c r="AS98" s="9"/>
      <c r="AT98" s="592"/>
      <c r="AV98" s="103"/>
      <c r="AW98" s="31"/>
      <c r="AX98" s="32"/>
      <c r="AY98" s="31"/>
      <c r="AZ98" s="33"/>
      <c r="BA98" s="1967"/>
      <c r="BB98" s="1805"/>
      <c r="BC98" s="91"/>
      <c r="BD98" s="1806"/>
      <c r="BE98" s="6401"/>
      <c r="BF98" s="6402"/>
      <c r="BG98" s="1969"/>
      <c r="BH98" s="6403"/>
      <c r="BI98" s="95"/>
      <c r="BJ98" s="1326"/>
      <c r="BK98" s="6404"/>
      <c r="BL98" s="1737"/>
      <c r="BM98" s="2081"/>
      <c r="BN98" s="2238"/>
      <c r="BO98" s="1809"/>
      <c r="BQ98" s="2230"/>
      <c r="BR98" s="3">
        <v>1</v>
      </c>
    </row>
    <row r="99" spans="2:70" ht="21" customHeight="1">
      <c r="B99" s="6236"/>
      <c r="C99" s="6358">
        <f t="shared" si="48"/>
        <v>150</v>
      </c>
      <c r="D99" s="6390" t="str" cm="1">
        <f t="array" ref="D99">IF(MOD(ROW()-50,14)=0,INDEX(D92:D105,MOD(ROW()-50,14)+1),E97)</f>
        <v/>
      </c>
      <c r="E99" s="6391" t="str">
        <f t="shared" si="49"/>
        <v/>
      </c>
      <c r="F99" s="6392" t="str">
        <f t="shared" si="50"/>
        <v/>
      </c>
      <c r="G99" s="6321" t="str">
        <v>24.TEST LIGNE 19 colonne Q et ligne 20 colonne P. rechercher la cellule qui coupe le texte Dans la cocotte N°3 en fonte, faites chauffer l’huile</v>
      </c>
      <c r="H99" s="6393" t="str">
        <f t="shared" si="51"/>
        <v/>
      </c>
      <c r="I99" s="6405"/>
      <c r="J99" s="6395" t="str">
        <f t="shared" si="52"/>
        <v/>
      </c>
      <c r="K99" s="6396" t="str">
        <f>IF(J99="","",LEFT(J99,IF(LEN(J99)&lt;=I95,LEN(J99),IFERROR(FIND("§",SUBSTITUTE(LEFT(J99,I95+1)," ","§",LEN(LEFT(J99,I95+1))-LEN(SUBSTITUTE(LEFT(J99,I95+1)," ",""))))-1,IFERROR(FIND(" ",J99,I95+1)-1,LEN(J99))))))</f>
        <v/>
      </c>
      <c r="L99" s="6388"/>
      <c r="M99" s="6332" t="str">
        <v>rechercher la cellule qui coupe le texte Dans la</v>
      </c>
      <c r="N99" t="s">
        <v>21</v>
      </c>
      <c r="O99" s="6334" t="s">
        <v>14419</v>
      </c>
      <c r="P99" s="6335" t="str">
        <f t="shared" si="24"/>
        <v>50.TEST LIGNE 19 colonne Q et ligne 20 colonne P. rechercher la cellule qui coupe le texte Dans la cocotte N°3 en fonte, faites chauffer l’huile d’olive à feu moyen. Ajoutez la viande et faites-la dorer de tous les côtés. Retirez-la de la cocotte et réservez-la.</v>
      </c>
      <c r="Q99" s="6336" t="str">
        <f t="shared" si="25"/>
        <v>50.TEST LIGNE 19 colonne Q et ligne 20 colonne P. rechercher la cellule qui coupe le texte Dans la cocotte N°3 en fonte, faites chauffer l’huile d’olive à feu moyen. Ajoutez la viande et faites-la dorer de tous les côtés. Retirez-la de la cocotte et réservez-la.</v>
      </c>
      <c r="R99" s="6336" t="str">
        <f t="shared" si="26"/>
        <v>50.TEST LIGNE 19 colonne Q et ligne 20 colonne P. rechercher la cellule qui coupe le texte Dans la cocotte N°3 en fonte, faites chauffer l’huile d’olive à feu moyen. Ajoutez la viande et faites-la dorer de tous les côtés. Retirez-la de la cocotte et réservez-la.</v>
      </c>
      <c r="S99" s="6337" t="str">
        <f t="shared" si="27"/>
        <v>50 TEST LIGNE 19 colonne Q et ligne 20 colonne P rechercher la cellule qui coupe le texte Dans la cocotte N°3 en fonte faites chauffer l’huile d’olive à feu moyen Ajoutez la viande et faites-la dorer de tous les côtés Retirez-la de la cocotte et réservez-la</v>
      </c>
      <c r="T99" s="6337" t="str">
        <f t="shared" si="28"/>
        <v>50 TEST LIGNE 19 colonne Q et ligne 20 colonne P rechercher la cellule qui coupe le texte Dans la cocotte N°3 en fonte faites chauffer l’huile d’olive à feu moyen Ajoutez la viande et faites la dorer de tous les côtés Retirez la de la cocotte et réservez la</v>
      </c>
      <c r="U99" s="6337" t="str">
        <f t="shared" si="29"/>
        <v>50 TEST LIGNE 19 colonne Q et ligne 20 colonne P rechercher la cellule qui coupe le texte Dans la cocotte N°3 en fonte faites chauffer l’huile d’olive à feu moyen Ajoutez la viande et faites la dorer de tous les côtés Retirez la de la cocotte et réservez la</v>
      </c>
      <c r="V99" s="6338" t="str">
        <f t="shared" si="30"/>
        <v>50 TEST LIGNE 19 colonne Q et ligne 20 colonne P rechercher la cellule qui coupe le texte Dans la cocotte N°3 en fonte faites chauffer l’huile d’olive à feu moyen Ajoutez la viande et faites la dorer de tous les côtés Retirez la de la cocotte et réservez la</v>
      </c>
      <c r="W99" s="6239"/>
      <c r="X99" s="6339" t="str">
        <f t="shared" si="31"/>
        <v>ligne 99 ►</v>
      </c>
      <c r="Y99" s="6340" t="str">
        <f t="shared" si="35"/>
        <v>50.TEST LIGNE 19 colonne Q et ligne 20 colonne P. rechercher la cellule qui coupe le texte Dans la cocotte N°3 en fonte, faites chauffer l’huile d’olive à feu moyen. Ajoutez la viande et faites-la dorer de tous les côtés. Retirez-la de la cocotte et réservez-la.</v>
      </c>
      <c r="Z99" s="6341">
        <v>5</v>
      </c>
      <c r="AB99" s="6342" t="str">
        <f t="shared" si="32"/>
        <v>ligne 99 ►</v>
      </c>
      <c r="AC99" s="6343" t="str">
        <f t="shared" si="36"/>
        <v>50.TEST LIGNE 19 colonne Q et ligne 20 colonne P. rechercher la cellule qui coupe le texte Dans la cocotte N°3 en fonte, faites chauffer l’huile d’olive à feu moyen. Ajoutez la viande et faites-la dorer de tous les côtés. Retirez-la de la cocotte et réservez-la.</v>
      </c>
      <c r="AD99" s="6344">
        <v>150</v>
      </c>
      <c r="AF99" s="6345" t="str" cm="1">
        <f t="array" ref="AF99">IF(SUMPRODUCT((AL99:AQ99&lt;&gt;"")*1)=0,"",SUMPRODUCT((AL99:AQ99&lt;&gt;"")*(LEN(TRIM(SUBSTITUTE(AL99:AQ99,CHAR(160)," "))) - LEN(SUBSTITUTE(TRIM(SUBSTITUTE(AL99:AQ99,CHAR(160)," "))," ","")) + 1)) &amp; " mot" &amp; IF(SUMPRODUCT((AL99:AQ99&lt;&gt;"")*(LEN(TRIM(SUBSTITUTE(AL99:AQ99,CHAR(160)," "))) - LEN(SUBSTITUTE(TRIM(SUBSTITUTE(AL99:AQ99,CHAR(160)," "))," ","")) + 1))&gt;1,"s",""))</f>
        <v>26 mots</v>
      </c>
      <c r="AG99" s="2263" t="str" cm="1">
        <f t="array" ref="AG99">SUMPRODUCT(--(AL99:AQ99&lt;&gt;""), LEN(TRIM(SUBSTITUTE(AL99:AQ99, CHAR(160), "")))) &amp; " Car."</f>
        <v>144 Car.</v>
      </c>
      <c r="AH99" s="6366" t="s">
        <v>14368</v>
      </c>
      <c r="AI99" s="6367" t="str">
        <f t="shared" si="33"/>
        <v>50.TEST LIGNE 19 colonne Q et ligne 20 colonne P. rechercher la cellule qui coupe le texte Dans la cocotte N°3 en fonte, faites chauffer l’huile d’olive à feu moyen. Ajoutez la viande et faites-la dorer de tous les côtés. Retirez-la de la cocotte et réservez-la.</v>
      </c>
      <c r="AJ99" s="6368"/>
      <c r="AK99" s="2190">
        <f>ROWS(AO50:AO99)</f>
        <v>50</v>
      </c>
      <c r="AL99" s="1942" t="str">
        <v>24.TEST LIGNE 19 colonne Q et ligne 20 colonne P. rechercher la cellule qui coupe le texte Dans la cocotte N°3 en fonte, faites chauffer l’huile</v>
      </c>
      <c r="AM99" s="9"/>
      <c r="AN99" s="9"/>
      <c r="AO99" s="9"/>
      <c r="AP99" s="9"/>
      <c r="AQ99" s="9"/>
      <c r="AR99" s="9"/>
      <c r="AS99" s="9"/>
      <c r="AT99" s="592"/>
      <c r="AV99" s="103"/>
      <c r="AW99" s="31"/>
      <c r="AX99" s="32"/>
      <c r="AY99" s="31"/>
      <c r="AZ99" s="33"/>
      <c r="BA99" s="1967"/>
      <c r="BB99" s="1805"/>
      <c r="BC99" s="91"/>
      <c r="BD99" s="1806"/>
      <c r="BE99" s="6401"/>
      <c r="BF99" s="6402"/>
      <c r="BG99" s="1969"/>
      <c r="BH99" s="6403"/>
      <c r="BI99" s="95"/>
      <c r="BJ99" s="1326"/>
      <c r="BK99" s="6404"/>
      <c r="BL99" s="1737"/>
      <c r="BM99" s="2081"/>
      <c r="BN99" s="2238"/>
      <c r="BO99" s="1809"/>
      <c r="BQ99" s="2230"/>
      <c r="BR99" s="3">
        <v>1</v>
      </c>
    </row>
    <row r="100" spans="2:70" ht="21" customHeight="1">
      <c r="B100" s="6236"/>
      <c r="C100" s="6358">
        <f t="shared" si="48"/>
        <v>150</v>
      </c>
      <c r="D100" s="6390" t="str" cm="1">
        <f t="array" ref="D100">IF(MOD(ROW()-50,14)=0,INDEX(D92:D105,MOD(ROW()-50,14)+1),E98)</f>
        <v/>
      </c>
      <c r="E100" s="6391" t="str">
        <f t="shared" si="49"/>
        <v/>
      </c>
      <c r="F100" s="6392" t="str">
        <f t="shared" si="50"/>
        <v/>
      </c>
      <c r="G100" s="6321" t="str">
        <v>d’olive à feu moyen. Ajoutez la viande et faites-la dorer de tous les côtés. Retirez-la de la cocotte et réservez-la.</v>
      </c>
      <c r="H100" s="6393" t="str">
        <f t="shared" si="51"/>
        <v/>
      </c>
      <c r="I100" s="6405"/>
      <c r="J100" s="6395" t="str">
        <f t="shared" si="52"/>
        <v/>
      </c>
      <c r="K100" s="6396" t="str">
        <f>IF(J100="","",LEFT(J100,IF(LEN(J100)&lt;=I95,LEN(J100),IFERROR(FIND("§",SUBSTITUTE(LEFT(J100,I95+1)," ","§",LEN(LEFT(J100,I95+1))-LEN(SUBSTITUTE(LEFT(J100,I95+1)," ",""))))-1,IFERROR(FIND(" ",J100,I95+1)-1,LEN(J100))))))</f>
        <v/>
      </c>
      <c r="L100" s="6388"/>
      <c r="M100" s="6332" t="str">
        <v>cocotte N°3 en fonte, faites chauffer l’huile d’olive</v>
      </c>
      <c r="N100" t="s">
        <v>21</v>
      </c>
      <c r="O100" s="6334" t="s">
        <v>14420</v>
      </c>
      <c r="P100" s="6335" t="str">
        <f t="shared" si="24"/>
        <v>51.TEST LIGNE 19 colonne Q et ligne 20 colonne P. rechercher la cellule qui coupe le texte Dans la cocotte N°3 en fonte, faites chauffer l’huile d’olive à feu moyen. Ajoutez la viande et faites-la dorer de tous les côtés. Retirez-la de la cocotte et réservez-la.</v>
      </c>
      <c r="Q100" s="6336" t="str">
        <f t="shared" si="25"/>
        <v>51.TEST LIGNE 19 colonne Q et ligne 20 colonne P. rechercher la cellule qui coupe le texte Dans la cocotte N°3 en fonte, faites chauffer l’huile d’olive à feu moyen. Ajoutez la viande et faites-la dorer de tous les côtés. Retirez-la de la cocotte et réservez-la.</v>
      </c>
      <c r="R100" s="6336" t="str">
        <f t="shared" si="26"/>
        <v>51.TEST LIGNE 19 colonne Q et ligne 20 colonne P. rechercher la cellule qui coupe le texte Dans la cocotte N°3 en fonte, faites chauffer l’huile d’olive à feu moyen. Ajoutez la viande et faites-la dorer de tous les côtés. Retirez-la de la cocotte et réservez-la.</v>
      </c>
      <c r="S100" s="6337" t="str">
        <f t="shared" si="27"/>
        <v>51 TEST LIGNE 19 colonne Q et ligne 20 colonne P rechercher la cellule qui coupe le texte Dans la cocotte N°3 en fonte faites chauffer l’huile d’olive à feu moyen Ajoutez la viande et faites-la dorer de tous les côtés Retirez-la de la cocotte et réservez-la</v>
      </c>
      <c r="T100" s="6337" t="str">
        <f t="shared" si="28"/>
        <v>51 TEST LIGNE 19 colonne Q et ligne 20 colonne P rechercher la cellule qui coupe le texte Dans la cocotte N°3 en fonte faites chauffer l’huile d’olive à feu moyen Ajoutez la viande et faites la dorer de tous les côtés Retirez la de la cocotte et réservez la</v>
      </c>
      <c r="U100" s="6337" t="str">
        <f t="shared" si="29"/>
        <v>51 TEST LIGNE 19 colonne Q et ligne 20 colonne P rechercher la cellule qui coupe le texte Dans la cocotte N°3 en fonte faites chauffer l’huile d’olive à feu moyen Ajoutez la viande et faites la dorer de tous les côtés Retirez la de la cocotte et réservez la</v>
      </c>
      <c r="V100" s="6338" t="str">
        <f t="shared" si="30"/>
        <v>51 TEST LIGNE 19 colonne Q et ligne 20 colonne P rechercher la cellule qui coupe le texte Dans la cocotte N°3 en fonte faites chauffer l’huile d’olive à feu moyen Ajoutez la viande et faites la dorer de tous les côtés Retirez la de la cocotte et réservez la</v>
      </c>
      <c r="W100" s="6239"/>
      <c r="X100" s="6339" t="str">
        <f t="shared" si="31"/>
        <v>ligne 100 ►</v>
      </c>
      <c r="Y100" s="6340" t="str">
        <f t="shared" si="35"/>
        <v>51.TEST LIGNE 19 colonne Q et ligne 20 colonne P. rechercher la cellule qui coupe le texte Dans la cocotte N°3 en fonte, faites chauffer l’huile d’olive à feu moyen. Ajoutez la viande et faites-la dorer de tous les côtés. Retirez-la de la cocotte et réservez-la.</v>
      </c>
      <c r="Z100" s="6341">
        <v>5</v>
      </c>
      <c r="AB100" s="6342" t="str">
        <f t="shared" si="32"/>
        <v>ligne 100 ►</v>
      </c>
      <c r="AC100" s="6343" t="str">
        <f t="shared" si="36"/>
        <v>51.TEST LIGNE 19 colonne Q et ligne 20 colonne P. rechercher la cellule qui coupe le texte Dans la cocotte N°3 en fonte, faites chauffer l’huile d’olive à feu moyen. Ajoutez la viande et faites-la dorer de tous les côtés. Retirez-la de la cocotte et réservez-la.</v>
      </c>
      <c r="AD100" s="6344">
        <v>150</v>
      </c>
      <c r="AF100" s="6345" t="str" cm="1">
        <f t="array" ref="AF100">IF(SUMPRODUCT((AL100:AQ100&lt;&gt;"")*1)=0,"",SUMPRODUCT((AL100:AQ100&lt;&gt;"")*(LEN(TRIM(SUBSTITUTE(AL100:AQ100,CHAR(160)," "))) - LEN(SUBSTITUTE(TRIM(SUBSTITUTE(AL100:AQ100,CHAR(160)," "))," ","")) + 1)) &amp; " mot" &amp; IF(SUMPRODUCT((AL100:AQ100&lt;&gt;"")*(LEN(TRIM(SUBSTITUTE(AL100:AQ100,CHAR(160)," "))) - LEN(SUBSTITUTE(TRIM(SUBSTITUTE(AL100:AQ100,CHAR(160)," "))," ","")) + 1))&gt;1,"s",""))</f>
        <v>20 mots</v>
      </c>
      <c r="AG100" s="2263" t="str" cm="1">
        <f t="array" ref="AG100">SUMPRODUCT(--(AL100:AQ100&lt;&gt;""), LEN(TRIM(SUBSTITUTE(AL100:AQ100, CHAR(160), "")))) &amp; " Car."</f>
        <v>117 Car.</v>
      </c>
      <c r="AH100" s="6366" t="s">
        <v>14368</v>
      </c>
      <c r="AI100" s="6367" t="str">
        <f t="shared" si="33"/>
        <v>51.TEST LIGNE 19 colonne Q et ligne 20 colonne P. rechercher la cellule qui coupe le texte Dans la cocotte N°3 en fonte, faites chauffer l’huile d’olive à feu moyen. Ajoutez la viande et faites-la dorer de tous les côtés. Retirez-la de la cocotte et réservez-la.</v>
      </c>
      <c r="AJ100" s="6368"/>
      <c r="AK100" s="2190">
        <f>ROWS(AO50:AO100)</f>
        <v>51</v>
      </c>
      <c r="AL100" s="1942" t="str">
        <v>d’olive à feu moyen. Ajoutez la viande et faites-la dorer de tous les côtés. Retirez-la de la cocotte et réservez-la.</v>
      </c>
      <c r="AM100" s="9"/>
      <c r="AN100" s="9"/>
      <c r="AO100" s="9"/>
      <c r="AP100" s="9"/>
      <c r="AQ100" s="9"/>
      <c r="AR100" s="9"/>
      <c r="AS100" s="9"/>
      <c r="AT100" s="592"/>
      <c r="AV100" s="103"/>
      <c r="AW100" s="31"/>
      <c r="AX100" s="32"/>
      <c r="AY100" s="31"/>
      <c r="AZ100" s="33"/>
      <c r="BA100" s="1967"/>
      <c r="BB100" s="1805"/>
      <c r="BC100" s="91"/>
      <c r="BD100" s="1806"/>
      <c r="BE100" s="6401"/>
      <c r="BF100" s="6402"/>
      <c r="BG100" s="1969"/>
      <c r="BH100" s="6403"/>
      <c r="BI100" s="95"/>
      <c r="BJ100" s="1326"/>
      <c r="BK100" s="6404"/>
      <c r="BL100" s="1737"/>
      <c r="BM100" s="2081"/>
      <c r="BN100" s="2238"/>
      <c r="BO100" s="1809"/>
      <c r="BQ100" s="2230"/>
      <c r="BR100" s="3">
        <v>1</v>
      </c>
    </row>
    <row r="101" spans="2:70" ht="21" customHeight="1" thickBot="1">
      <c r="B101" s="6236"/>
      <c r="C101" s="6358">
        <f t="shared" si="48"/>
        <v>150</v>
      </c>
      <c r="D101" s="6390" t="str" cm="1">
        <f t="array" ref="D101">IF(MOD(ROW()-50,14)=0,INDEX(D92:D105,MOD(ROW()-50,14)+1),E99)</f>
        <v/>
      </c>
      <c r="E101" s="6391" t="str">
        <f t="shared" si="49"/>
        <v/>
      </c>
      <c r="F101" s="6392" t="str">
        <f t="shared" si="50"/>
        <v/>
      </c>
      <c r="G101" s="6321" t="str">
        <v>25.TEST LIGNE 19 colonne Q et ligne 20 colonne P. rechercher la cellule qui coupe le texte Dans la cocotte N°3 en fonte, faites chauffer l’huile</v>
      </c>
      <c r="H101" s="6393" t="str">
        <f t="shared" si="51"/>
        <v/>
      </c>
      <c r="I101" s="6405"/>
      <c r="J101" s="6395" t="str">
        <f t="shared" si="52"/>
        <v/>
      </c>
      <c r="K101" s="6396" t="str">
        <f>IF(J101="","",LEFT(J101,IF(LEN(J101)&lt;=I95,LEN(J101),IFERROR(FIND("§",SUBSTITUTE(LEFT(J101,I95+1)," ","§",LEN(LEFT(J101,I95+1))-LEN(SUBSTITUTE(LEFT(J101,I95+1)," ",""))))-1,IFERROR(FIND(" ",J101,I95+1)-1,LEN(J101))))))</f>
        <v/>
      </c>
      <c r="L101" s="6388"/>
      <c r="M101" s="6332" t="str">
        <v>à feu moyen. Ajoutez la viande et faites-la dorer de</v>
      </c>
      <c r="N101" t="s">
        <v>21</v>
      </c>
      <c r="O101" s="6415" t="s">
        <v>14421</v>
      </c>
      <c r="P101" s="6335" t="str">
        <f t="shared" si="24"/>
        <v>52.TEST LIGNE 19 colonne Q et ligne 20 colonne P. rechercher la cellule qui coupe le texte Dans la cocotte N°3 en fonte, faites chauffer l’huile d’olive à feu moyen. Ajoutez la viande et faites-la dorer de tous les côtés. Retirez-la de la cocotte et réservez-la.</v>
      </c>
      <c r="Q101" s="6416" t="str">
        <f t="shared" si="25"/>
        <v>52.TEST LIGNE 19 colonne Q et ligne 20 colonne P. rechercher la cellule qui coupe le texte Dans la cocotte N°3 en fonte, faites chauffer l’huile d’olive à feu moyen. Ajoutez la viande et faites-la dorer de tous les côtés. Retirez-la de la cocotte et réservez-la.</v>
      </c>
      <c r="R101" s="6416" t="str">
        <f t="shared" si="26"/>
        <v>52.TEST LIGNE 19 colonne Q et ligne 20 colonne P. rechercher la cellule qui coupe le texte Dans la cocotte N°3 en fonte, faites chauffer l’huile d’olive à feu moyen. Ajoutez la viande et faites-la dorer de tous les côtés. Retirez-la de la cocotte et réservez-la.</v>
      </c>
      <c r="S101" s="6417" t="str">
        <f t="shared" si="27"/>
        <v>52 TEST LIGNE 19 colonne Q et ligne 20 colonne P rechercher la cellule qui coupe le texte Dans la cocotte N°3 en fonte faites chauffer l’huile d’olive à feu moyen Ajoutez la viande et faites-la dorer de tous les côtés Retirez-la de la cocotte et réservez-la</v>
      </c>
      <c r="T101" s="6417" t="str">
        <f t="shared" si="28"/>
        <v>52 TEST LIGNE 19 colonne Q et ligne 20 colonne P rechercher la cellule qui coupe le texte Dans la cocotte N°3 en fonte faites chauffer l’huile d’olive à feu moyen Ajoutez la viande et faites la dorer de tous les côtés Retirez la de la cocotte et réservez la</v>
      </c>
      <c r="U101" s="6417" t="str">
        <f t="shared" si="29"/>
        <v>52 TEST LIGNE 19 colonne Q et ligne 20 colonne P rechercher la cellule qui coupe le texte Dans la cocotte N°3 en fonte faites chauffer l’huile d’olive à feu moyen Ajoutez la viande et faites la dorer de tous les côtés Retirez la de la cocotte et réservez la</v>
      </c>
      <c r="V101" s="6418" t="str">
        <f t="shared" si="30"/>
        <v>52 TEST LIGNE 19 colonne Q et ligne 20 colonne P rechercher la cellule qui coupe le texte Dans la cocotte N°3 en fonte faites chauffer l’huile d’olive à feu moyen Ajoutez la viande et faites la dorer de tous les côtés Retirez la de la cocotte et réservez la</v>
      </c>
      <c r="W101" s="6239"/>
      <c r="X101" s="6339" t="str">
        <f t="shared" si="31"/>
        <v>ligne 101 ►</v>
      </c>
      <c r="Y101" s="6340" t="str">
        <f t="shared" si="35"/>
        <v>52.TEST LIGNE 19 colonne Q et ligne 20 colonne P. rechercher la cellule qui coupe le texte Dans la cocotte N°3 en fonte, faites chauffer l’huile d’olive à feu moyen. Ajoutez la viande et faites-la dorer de tous les côtés. Retirez-la de la cocotte et réservez-la.</v>
      </c>
      <c r="Z101" s="6341">
        <v>5</v>
      </c>
      <c r="AB101" s="6342" t="str">
        <f t="shared" si="32"/>
        <v>ligne 101 ►</v>
      </c>
      <c r="AC101" s="6343" t="str">
        <f t="shared" si="36"/>
        <v>52.TEST LIGNE 19 colonne Q et ligne 20 colonne P. rechercher la cellule qui coupe le texte Dans la cocotte N°3 en fonte, faites chauffer l’huile d’olive à feu moyen. Ajoutez la viande et faites-la dorer de tous les côtés. Retirez-la de la cocotte et réservez-la.</v>
      </c>
      <c r="AD101" s="6344">
        <v>150</v>
      </c>
      <c r="AF101" s="6345" t="str" cm="1">
        <f t="array" ref="AF101">IF(SUMPRODUCT((AL101:AQ101&lt;&gt;"")*1)=0,"",SUMPRODUCT((AL101:AQ101&lt;&gt;"")*(LEN(TRIM(SUBSTITUTE(AL101:AQ101,CHAR(160)," "))) - LEN(SUBSTITUTE(TRIM(SUBSTITUTE(AL101:AQ101,CHAR(160)," "))," ","")) + 1)) &amp; " mot" &amp; IF(SUMPRODUCT((AL101:AQ101&lt;&gt;"")*(LEN(TRIM(SUBSTITUTE(AL101:AQ101,CHAR(160)," "))) - LEN(SUBSTITUTE(TRIM(SUBSTITUTE(AL101:AQ101,CHAR(160)," "))," ","")) + 1))&gt;1,"s",""))</f>
        <v>26 mots</v>
      </c>
      <c r="AG101" s="2263" t="str" cm="1">
        <f t="array" ref="AG101">SUMPRODUCT(--(AL101:AQ101&lt;&gt;""), LEN(TRIM(SUBSTITUTE(AL101:AQ101, CHAR(160), "")))) &amp; " Car."</f>
        <v>144 Car.</v>
      </c>
      <c r="AH101" s="6366" t="s">
        <v>14368</v>
      </c>
      <c r="AI101" s="6367" t="str">
        <f t="shared" si="33"/>
        <v>52.TEST LIGNE 19 colonne Q et ligne 20 colonne P. rechercher la cellule qui coupe le texte Dans la cocotte N°3 en fonte, faites chauffer l’huile d’olive à feu moyen. Ajoutez la viande et faites-la dorer de tous les côtés. Retirez-la de la cocotte et réservez-la.</v>
      </c>
      <c r="AJ101" s="6368"/>
      <c r="AK101" s="2190">
        <f>ROWS(AO50:AO101)</f>
        <v>52</v>
      </c>
      <c r="AL101" s="1942" t="str">
        <v>25.TEST LIGNE 19 colonne Q et ligne 20 colonne P. rechercher la cellule qui coupe le texte Dans la cocotte N°3 en fonte, faites chauffer l’huile</v>
      </c>
      <c r="AM101" s="9"/>
      <c r="AN101" s="9"/>
      <c r="AO101" s="9"/>
      <c r="AP101" s="9"/>
      <c r="AQ101" s="9"/>
      <c r="AR101" s="9"/>
      <c r="AS101" s="9"/>
      <c r="AT101" s="592"/>
      <c r="AV101" s="103"/>
      <c r="AW101" s="31"/>
      <c r="AX101" s="32"/>
      <c r="AY101" s="31"/>
      <c r="AZ101" s="33"/>
      <c r="BA101" s="1967"/>
      <c r="BB101" s="1805"/>
      <c r="BC101" s="91"/>
      <c r="BD101" s="1806"/>
      <c r="BE101" s="6401"/>
      <c r="BF101" s="6402"/>
      <c r="BG101" s="1969"/>
      <c r="BH101" s="6403"/>
      <c r="BI101" s="95"/>
      <c r="BJ101" s="1326"/>
      <c r="BK101" s="6404"/>
      <c r="BL101" s="1737"/>
      <c r="BM101" s="2081"/>
      <c r="BN101" s="2238"/>
      <c r="BO101" s="1809"/>
      <c r="BQ101" s="2230"/>
      <c r="BR101" s="3">
        <v>1</v>
      </c>
    </row>
    <row r="102" spans="2:70" ht="21" customHeight="1">
      <c r="B102" s="6236"/>
      <c r="C102" s="6358">
        <f t="shared" si="48"/>
        <v>150</v>
      </c>
      <c r="D102" s="6390" t="str" cm="1">
        <f t="array" ref="D102">IF(MOD(ROW()-50,14)=0,INDEX(D92:D105,MOD(ROW()-50,14)+1),E100)</f>
        <v/>
      </c>
      <c r="E102" s="6391" t="str">
        <f t="shared" si="49"/>
        <v/>
      </c>
      <c r="F102" s="6392" t="str">
        <f t="shared" si="50"/>
        <v/>
      </c>
      <c r="G102" s="6321" t="str">
        <v>d’olive à feu moyen. Ajoutez la viande et faites-la dorer de tous les côtés. Retirez-la de la cocotte et réservez-la.</v>
      </c>
      <c r="H102" s="6393" t="str">
        <f t="shared" si="51"/>
        <v/>
      </c>
      <c r="I102" s="6405"/>
      <c r="J102" s="6395" t="str">
        <f t="shared" si="52"/>
        <v/>
      </c>
      <c r="K102" s="6396" t="str">
        <f>IF(J102="","",LEFT(J102,IF(LEN(J102)&lt;=I95,LEN(J102),IFERROR(FIND("§",SUBSTITUTE(LEFT(J102,I95+1)," ","§",LEN(LEFT(J102,I95+1))-LEN(SUBSTITUTE(LEFT(J102,I95+1)," ",""))))-1,IFERROR(FIND(" ",J102,I95+1)-1,LEN(J102))))))</f>
        <v/>
      </c>
      <c r="L102" s="6388"/>
      <c r="M102" s="6332" t="str">
        <v>tous les côtés. Retirez-la de la cocotte et</v>
      </c>
      <c r="N102" t="s">
        <v>21</v>
      </c>
      <c r="Z102" s="6419"/>
      <c r="AF102" s="6345" t="str" cm="1">
        <f t="array" ref="AF102">IF(SUMPRODUCT((AL102:AQ102&lt;&gt;"")*1)=0,"",SUMPRODUCT((AL102:AQ102&lt;&gt;"")*(LEN(TRIM(SUBSTITUTE(AL102:AQ102,CHAR(160)," "))) - LEN(SUBSTITUTE(TRIM(SUBSTITUTE(AL102:AQ102,CHAR(160)," "))," ","")) + 1)) &amp; " mot" &amp; IF(SUMPRODUCT((AL102:AQ102&lt;&gt;"")*(LEN(TRIM(SUBSTITUTE(AL102:AQ102,CHAR(160)," "))) - LEN(SUBSTITUTE(TRIM(SUBSTITUTE(AL102:AQ102,CHAR(160)," "))," ","")) + 1))&gt;1,"s",""))</f>
        <v/>
      </c>
      <c r="AG102" s="2263" t="str" cm="1">
        <f t="array" ref="AG102">SUMPRODUCT(--(AL102:AQ102&lt;&gt;""), LEN(TRIM(SUBSTITUTE(AL102:AQ102, CHAR(160), "")))) &amp; " Car."</f>
        <v>0 Car.</v>
      </c>
      <c r="AH102" s="6366" t="s">
        <v>14368</v>
      </c>
      <c r="AI102" s="6366"/>
      <c r="AJ102" s="6368"/>
      <c r="AK102" s="2190">
        <f>ROWS(AO50:AO102)</f>
        <v>53</v>
      </c>
      <c r="AL102" s="1942"/>
      <c r="AM102" s="9"/>
      <c r="AN102" s="9"/>
      <c r="AO102" s="9"/>
      <c r="AP102" s="9"/>
      <c r="AQ102" s="9"/>
      <c r="AR102" s="9"/>
      <c r="AS102" s="9"/>
      <c r="AT102" s="592"/>
      <c r="AV102" s="103"/>
      <c r="AW102" s="31"/>
      <c r="AX102" s="32"/>
      <c r="AY102" s="31"/>
      <c r="AZ102" s="33"/>
      <c r="BA102" s="1967"/>
      <c r="BB102" s="1805"/>
      <c r="BC102" s="91"/>
      <c r="BD102" s="1806"/>
      <c r="BE102" s="6401"/>
      <c r="BF102" s="6402"/>
      <c r="BG102" s="1969"/>
      <c r="BH102" s="6403"/>
      <c r="BI102" s="95"/>
      <c r="BJ102" s="1326"/>
      <c r="BK102" s="6404"/>
      <c r="BL102" s="1737"/>
      <c r="BM102" s="2081"/>
      <c r="BN102" s="2238"/>
      <c r="BO102" s="1809"/>
      <c r="BQ102" s="2230"/>
      <c r="BR102" s="3">
        <v>1</v>
      </c>
    </row>
    <row r="103" spans="2:70" ht="21" customHeight="1">
      <c r="B103" s="6236"/>
      <c r="C103" s="6358">
        <f t="shared" si="48"/>
        <v>150</v>
      </c>
      <c r="D103" s="6390" t="str" cm="1">
        <f t="array" ref="D103">IF(MOD(ROW()-50,14)=0,INDEX(D92:D105,MOD(ROW()-50,14)+1),E101)</f>
        <v/>
      </c>
      <c r="E103" s="6391" t="str">
        <f t="shared" si="49"/>
        <v/>
      </c>
      <c r="F103" s="6392" t="str">
        <f t="shared" si="50"/>
        <v/>
      </c>
      <c r="G103" s="6321" t="str">
        <v>26.TEST LIGNE 19 colonne Q et ligne 20 colonne P. rechercher la cellule qui coupe le texte Dans la cocotte N°3 en fonte, faites chauffer l’huile</v>
      </c>
      <c r="H103" s="6393" t="str">
        <f t="shared" si="51"/>
        <v/>
      </c>
      <c r="I103" s="6405"/>
      <c r="J103" s="6395" t="str">
        <f t="shared" si="52"/>
        <v/>
      </c>
      <c r="K103" s="6396" t="str">
        <f>IF(J103="","",LEFT(J103,IF(LEN(J103)&lt;=I95,LEN(J103),IFERROR(FIND("§",SUBSTITUTE(LEFT(J103,I95+1)," ","§",LEN(LEFT(J103,I95+1))-LEN(SUBSTITUTE(LEFT(J103,I95+1)," ",""))))-1,IFERROR(FIND(" ",J103,I95+1)-1,LEN(J103))))))</f>
        <v/>
      </c>
      <c r="L103" s="6388"/>
      <c r="M103" s="6332" t="str">
        <v>réservez-la.</v>
      </c>
      <c r="N103" t="s">
        <v>21</v>
      </c>
      <c r="Z103" s="6419"/>
      <c r="AF103" s="6345" t="str" cm="1">
        <f t="array" ref="AF103">IF(SUMPRODUCT((AL103:AQ103&lt;&gt;"")*1)=0,"",SUMPRODUCT((AL103:AQ103&lt;&gt;"")*(LEN(TRIM(SUBSTITUTE(AL103:AQ103,CHAR(160)," "))) - LEN(SUBSTITUTE(TRIM(SUBSTITUTE(AL103:AQ103,CHAR(160)," "))," ","")) + 1)) &amp; " mot" &amp; IF(SUMPRODUCT((AL103:AQ103&lt;&gt;"")*(LEN(TRIM(SUBSTITUTE(AL103:AQ103,CHAR(160)," "))) - LEN(SUBSTITUTE(TRIM(SUBSTITUTE(AL103:AQ103,CHAR(160)," "))," ","")) + 1))&gt;1,"s",""))</f>
        <v/>
      </c>
      <c r="AG103" s="2263" t="str" cm="1">
        <f t="array" ref="AG103">SUMPRODUCT(--(AL103:AQ103&lt;&gt;""), LEN(TRIM(SUBSTITUTE(AL103:AQ103, CHAR(160), "")))) &amp; " Car."</f>
        <v>0 Car.</v>
      </c>
      <c r="AH103" s="6366" t="s">
        <v>14368</v>
      </c>
      <c r="AI103" s="6366"/>
      <c r="AJ103" s="6368"/>
      <c r="AK103" s="2190">
        <f>ROWS(AO50:AO103)</f>
        <v>54</v>
      </c>
      <c r="AL103" s="1942"/>
      <c r="AM103" s="9"/>
      <c r="AN103" s="9"/>
      <c r="AO103" s="9"/>
      <c r="AP103" s="9"/>
      <c r="AQ103" s="9"/>
      <c r="AR103" s="9"/>
      <c r="AS103" s="9"/>
      <c r="AT103" s="592"/>
      <c r="AV103" s="103"/>
      <c r="AW103" s="31"/>
      <c r="AX103" s="32"/>
      <c r="AY103" s="31"/>
      <c r="AZ103" s="33"/>
      <c r="BA103" s="1967"/>
      <c r="BB103" s="1805"/>
      <c r="BC103" s="91"/>
      <c r="BD103" s="1806"/>
      <c r="BE103" s="6401"/>
      <c r="BF103" s="6402"/>
      <c r="BG103" s="1969"/>
      <c r="BH103" s="6403"/>
      <c r="BI103" s="95"/>
      <c r="BJ103" s="1326"/>
      <c r="BK103" s="6404"/>
      <c r="BL103" s="1737"/>
      <c r="BM103" s="2081"/>
      <c r="BN103" s="2238"/>
      <c r="BO103" s="1809"/>
      <c r="BQ103" s="2230"/>
      <c r="BR103" s="3">
        <v>1</v>
      </c>
    </row>
    <row r="104" spans="2:70" ht="21" customHeight="1">
      <c r="B104" s="6236"/>
      <c r="C104" s="6358">
        <f t="shared" si="48"/>
        <v>150</v>
      </c>
      <c r="D104" s="6390" t="str" cm="1">
        <f t="array" ref="D104">IF(MOD(ROW()-50,14)=0,INDEX(D92:D105,MOD(ROW()-50,14)+1),E102)</f>
        <v/>
      </c>
      <c r="E104" s="6391" t="str">
        <f t="shared" si="49"/>
        <v/>
      </c>
      <c r="F104" s="6392" t="str">
        <f t="shared" si="50"/>
        <v/>
      </c>
      <c r="G104" s="6321" t="str">
        <v>d’olive à feu moyen. Ajoutez la viande et faites-la dorer de tous les côtés. Retirez-la de la cocotte et réservez-la.</v>
      </c>
      <c r="H104" s="6393" t="str">
        <f t="shared" si="51"/>
        <v/>
      </c>
      <c r="I104" s="6405"/>
      <c r="J104" s="6395" t="str">
        <f t="shared" si="52"/>
        <v/>
      </c>
      <c r="K104" s="6396" t="str">
        <f>IF(J104="","",LEFT(J104,IF(LEN(J104)&lt;=I95,LEN(J104),IFERROR(FIND("§",SUBSTITUTE(LEFT(J104,I95+1)," ","§",LEN(LEFT(J104,I95+1))-LEN(SUBSTITUTE(LEFT(J104,I95+1)," ",""))))-1,IFERROR(FIND(" ",J104,I95+1)-1,LEN(J104))))))</f>
        <v/>
      </c>
      <c r="L104" s="6396"/>
      <c r="M104" s="6332" t="str">
        <v>10.TEST LIGNE 19 colonne Q et ligne 20 colonne P.</v>
      </c>
      <c r="N104" t="s">
        <v>21</v>
      </c>
      <c r="Z104" s="6419"/>
      <c r="AF104" s="6345" t="str" cm="1">
        <f t="array" ref="AF104">IF(SUMPRODUCT((AL104:AQ104&lt;&gt;"")*1)=0,"",SUMPRODUCT((AL104:AQ104&lt;&gt;"")*(LEN(TRIM(SUBSTITUTE(AL104:AQ104,CHAR(160)," "))) - LEN(SUBSTITUTE(TRIM(SUBSTITUTE(AL104:AQ104,CHAR(160)," "))," ","")) + 1)) &amp; " mot" &amp; IF(SUMPRODUCT((AL104:AQ104&lt;&gt;"")*(LEN(TRIM(SUBSTITUTE(AL104:AQ104,CHAR(160)," "))) - LEN(SUBSTITUTE(TRIM(SUBSTITUTE(AL104:AQ104,CHAR(160)," "))," ","")) + 1))&gt;1,"s",""))</f>
        <v/>
      </c>
      <c r="AG104" s="2263" t="str" cm="1">
        <f t="array" ref="AG104">SUMPRODUCT(--(AL104:AQ104&lt;&gt;""), LEN(TRIM(SUBSTITUTE(AL104:AQ104, CHAR(160), "")))) &amp; " Car."</f>
        <v>0 Car.</v>
      </c>
      <c r="AH104" s="6366" t="s">
        <v>14368</v>
      </c>
      <c r="AI104" s="6366"/>
      <c r="AJ104" s="6368"/>
      <c r="AK104" s="2190">
        <f>ROWS(AO50:AO104)</f>
        <v>55</v>
      </c>
      <c r="AL104" s="1942"/>
      <c r="AM104" s="9"/>
      <c r="AN104" s="9"/>
      <c r="AO104" s="9"/>
      <c r="AP104" s="9"/>
      <c r="AQ104" s="9"/>
      <c r="AR104" s="9"/>
      <c r="AS104" s="9"/>
      <c r="AT104" s="592"/>
      <c r="AV104" s="103"/>
      <c r="AW104" s="31"/>
      <c r="AX104" s="32"/>
      <c r="AY104" s="31"/>
      <c r="AZ104" s="33"/>
      <c r="BA104" s="1967"/>
      <c r="BB104" s="1805"/>
      <c r="BC104" s="91"/>
      <c r="BD104" s="1806"/>
      <c r="BE104" s="6401"/>
      <c r="BF104" s="6402"/>
      <c r="BG104" s="1969"/>
      <c r="BH104" s="6403"/>
      <c r="BI104" s="95"/>
      <c r="BJ104" s="1326"/>
      <c r="BK104" s="6404"/>
      <c r="BL104" s="1737"/>
      <c r="BM104" s="2081"/>
      <c r="BN104" s="2238"/>
      <c r="BO104" s="1809"/>
      <c r="BQ104" s="2230"/>
      <c r="BR104" s="3">
        <v>1</v>
      </c>
    </row>
    <row r="105" spans="2:70" ht="21" customHeight="1">
      <c r="B105" s="6236"/>
      <c r="C105" s="6376">
        <f t="shared" si="48"/>
        <v>150</v>
      </c>
      <c r="D105" s="6406" t="str" cm="1">
        <f t="array" ref="D105">IF(MOD(ROW()-50,14)=0,INDEX(D92:D105,MOD(ROW()-50,14)+1),E103)</f>
        <v/>
      </c>
      <c r="E105" s="6407" t="str">
        <f t="shared" si="49"/>
        <v/>
      </c>
      <c r="F105" s="6408" t="str">
        <f t="shared" si="50"/>
        <v/>
      </c>
      <c r="G105" s="6322" t="str">
        <v>27.TEST LIGNE 19 colonne Q et ligne 20 colonne P. rechercher la cellule qui coupe le texte Dans la cocotte N°3 en fonte, faites chauffer l’huile</v>
      </c>
      <c r="H105" s="6409" t="str">
        <f t="shared" si="51"/>
        <v/>
      </c>
      <c r="I105" s="6410"/>
      <c r="J105" s="6411" t="str">
        <f t="shared" si="52"/>
        <v/>
      </c>
      <c r="K105" s="6412" t="str">
        <f>IF(J105="","",LEFT(J105,IF(LEN(J105)&lt;=I95,LEN(J105),IFERROR(FIND("§",SUBSTITUTE(LEFT(J105,I95+1)," ","§",LEN(LEFT(J105,I95+1))-LEN(SUBSTITUTE(LEFT(J105,I95+1)," ",""))))-1,IFERROR(FIND(" ",J105,I95+1)-1,LEN(J105))))))</f>
        <v/>
      </c>
      <c r="L105" s="6413"/>
      <c r="M105" s="6333" t="str">
        <v>rechercher la cellule qui coupe le texte Dans la</v>
      </c>
      <c r="N105" t="s">
        <v>21</v>
      </c>
      <c r="Z105" s="6419"/>
      <c r="AF105" s="6345" t="str" cm="1">
        <f t="array" ref="AF105">IF(SUMPRODUCT((AL105:AQ105&lt;&gt;"")*1)=0,"",SUMPRODUCT((AL105:AQ105&lt;&gt;"")*(LEN(TRIM(SUBSTITUTE(AL105:AQ105,CHAR(160)," "))) - LEN(SUBSTITUTE(TRIM(SUBSTITUTE(AL105:AQ105,CHAR(160)," "))," ","")) + 1)) &amp; " mot" &amp; IF(SUMPRODUCT((AL105:AQ105&lt;&gt;"")*(LEN(TRIM(SUBSTITUTE(AL105:AQ105,CHAR(160)," "))) - LEN(SUBSTITUTE(TRIM(SUBSTITUTE(AL105:AQ105,CHAR(160)," "))," ","")) + 1))&gt;1,"s",""))</f>
        <v/>
      </c>
      <c r="AG105" s="2263" t="str" cm="1">
        <f t="array" ref="AG105">SUMPRODUCT(--(AL105:AQ105&lt;&gt;""), LEN(TRIM(SUBSTITUTE(AL105:AQ105, CHAR(160), "")))) &amp; " Car."</f>
        <v>0 Car.</v>
      </c>
      <c r="AH105" s="6366" t="s">
        <v>14368</v>
      </c>
      <c r="AI105" s="6366"/>
      <c r="AJ105" s="6368"/>
      <c r="AK105" s="2190">
        <f>ROWS(AO50:AO105)</f>
        <v>56</v>
      </c>
      <c r="AL105" s="1942"/>
      <c r="AM105" s="9"/>
      <c r="AN105" s="9"/>
      <c r="AO105" s="9"/>
      <c r="AP105" s="9"/>
      <c r="AQ105" s="9"/>
      <c r="AR105" s="9"/>
      <c r="AS105" s="9"/>
      <c r="AT105" s="592"/>
      <c r="AV105" s="103"/>
      <c r="AW105" s="31"/>
      <c r="AX105" s="32"/>
      <c r="AY105" s="31"/>
      <c r="AZ105" s="33"/>
      <c r="BA105" s="1967"/>
      <c r="BB105" s="1805"/>
      <c r="BC105" s="91"/>
      <c r="BD105" s="1806"/>
      <c r="BE105" s="6401"/>
      <c r="BF105" s="6402"/>
      <c r="BG105" s="1969"/>
      <c r="BH105" s="6403"/>
      <c r="BI105" s="95"/>
      <c r="BJ105" s="1326"/>
      <c r="BK105" s="6404"/>
      <c r="BL105" s="1737"/>
      <c r="BM105" s="2081"/>
      <c r="BN105" s="2238"/>
      <c r="BO105" s="1809"/>
      <c r="BQ105" s="2230"/>
      <c r="BR105" s="3">
        <v>1</v>
      </c>
    </row>
    <row r="106" spans="2:70" ht="21" customHeight="1">
      <c r="B106" s="6236"/>
      <c r="C106" s="6313">
        <f>AD54</f>
        <v>150</v>
      </c>
      <c r="D106" s="6314" t="str">
        <f>IF(UPPER(TRIM(X45))="X",U54,O54)</f>
        <v>5.TEST LIGNE 18 colonne Q et ligne 20 colonne P. rechercher la cellule qui coupe le texte Dans la cocotte N°3 en fonte, faites chauffer l’huile d’olive à feu moyen. Ajoutez la viande et faites-la dorer de tous les côtés. Retirez-la de la cocotte et réservez-la.</v>
      </c>
      <c r="E106" s="6315" t="str">
        <f>IF(D106="","",IF(F106="","",IF(LEN(F106)&gt;=LEN(D106),"",TRIM(MID(D106,LEN(F106)+1,99999)))))</f>
        <v>d’olive à feu moyen. Ajoutez la viande et faites-la dorer de tous les côtés. Retirez-la de la cocotte et réservez-la.</v>
      </c>
      <c r="F106" s="6316" t="str">
        <f>IF(D106="","",IF(LEN(D106)&lt;=C106,D106,IFERROR(LEFT(D106,FIND("§",SUBSTITUTE(LEFT(D106,C106+1)," ","§",LEN(LEFT(D106,C106+1))-LEN(SUBSTITUTE(LEFT(D106,C106+1)," ",""))))-1),LEFT(D106,C106))))</f>
        <v>5.TEST LIGNE 18 colonne Q et ligne 20 colonne P. rechercher la cellule qui coupe le texte Dans la cocotte N°3 en fonte, faites chauffer l’huile</v>
      </c>
      <c r="G106" s="6317" t="str">
        <v>d’olive à feu moyen. Ajoutez la viande et faites-la dorer de tous les côtés. Retirez-la de la cocotte et réservez-la.</v>
      </c>
      <c r="H106" s="6323">
        <f>IF(LEN(TRIM(L106))&gt;0,MAX(H105:H105)+1,"")</f>
        <v>1</v>
      </c>
      <c r="I106" s="6324" t="str">
        <f>D106</f>
        <v>5.TEST LIGNE 18 colonne Q et ligne 20 colonne P. rechercher la cellule qui coupe le texte Dans la cocotte N°3 en fonte, faites chauffer l’huile d’olive à feu moyen. Ajoutez la viande et faites-la dorer de tous les côtés. Retirez-la de la cocotte et réservez-la.</v>
      </c>
      <c r="J106" s="6325" t="str">
        <f>IF(I106=0,"",I106)</f>
        <v>5.TEST LIGNE 18 colonne Q et ligne 20 colonne P. rechercher la cellule qui coupe le texte Dans la cocotte N°3 en fonte, faites chauffer l’huile d’olive à feu moyen. Ajoutez la viande et faites-la dorer de tous les côtés. Retirez-la de la cocotte et réservez-la.</v>
      </c>
      <c r="K106" s="6326" t="str">
        <f>IF(I106="","",LEFT(I106,IF(LEN(I106)&lt;=I109,LEN(I106),IFERROR(FIND("§",SUBSTITUTE(LEFT(I106,I109+1)," ","§",LEN(LEFT(I106,I109+1))-LEN(SUBSTITUTE(LEFT(I106,I109+1)," ",""))))-1,IFERROR(FIND(" ",I106,I109+1)-1,LEN(I106))))))</f>
        <v>5.TEST LIGNE 18 colonne Q et ligne 20 colonne P.</v>
      </c>
      <c r="L106" s="6326" t="str" cm="1">
        <f t="array" ref="L106:L111">_xlfn._xlws.FILTER(TRIM(SUBSTITUTE(SUBSTITUTE(SUBSTITUTE(SUBSTITUTE(SUBSTITUTE(CLEAN(K106:K119),CHAR(160)," "),_xlfn.UNICHAR(8239)," "),CHAR(9)," "),CHAR(10)," "),CHAR(13)," ")),TRIM(SUBSTITUTE(SUBSTITUTE(SUBSTITUTE(SUBSTITUTE(SUBSTITUTE(CLEAN(K106:K119),CHAR(160)," "),_xlfn.UNICHAR(8239)," "),CHAR(9)," "),CHAR(10)," "),CHAR(13)," "))&lt;&gt;"")</f>
        <v>5.TEST LIGNE 18 colonne Q et ligne 20 colonne P.</v>
      </c>
      <c r="M106" s="6328" t="str">
        <v>cocotte N°3 en fonte, faites chauffer l’huile d’olive</v>
      </c>
      <c r="N106" t="s">
        <v>21</v>
      </c>
      <c r="Z106" s="6419"/>
      <c r="AF106" s="6345" t="str" cm="1">
        <f t="array" ref="AF106">IF(SUMPRODUCT((AL106:AQ106&lt;&gt;"")*1)=0,"",SUMPRODUCT((AL106:AQ106&lt;&gt;"")*(LEN(TRIM(SUBSTITUTE(AL106:AQ106,CHAR(160)," "))) - LEN(SUBSTITUTE(TRIM(SUBSTITUTE(AL106:AQ106,CHAR(160)," "))," ","")) + 1)) &amp; " mot" &amp; IF(SUMPRODUCT((AL106:AQ106&lt;&gt;"")*(LEN(TRIM(SUBSTITUTE(AL106:AQ106,CHAR(160)," "))) - LEN(SUBSTITUTE(TRIM(SUBSTITUTE(AL106:AQ106,CHAR(160)," "))," ","")) + 1))&gt;1,"s",""))</f>
        <v/>
      </c>
      <c r="AG106" s="2263" t="str" cm="1">
        <f t="array" ref="AG106">SUMPRODUCT(--(AL106:AQ106&lt;&gt;""), LEN(TRIM(SUBSTITUTE(AL106:AQ106, CHAR(160), "")))) &amp; " Car."</f>
        <v>0 Car.</v>
      </c>
      <c r="AH106" s="6366" t="s">
        <v>14368</v>
      </c>
      <c r="AI106" s="6366"/>
      <c r="AJ106" s="6368"/>
      <c r="AK106" s="2190">
        <f>ROWS(AO50:AO106)</f>
        <v>57</v>
      </c>
      <c r="AL106" s="1942"/>
      <c r="AM106" s="9"/>
      <c r="AN106" s="9"/>
      <c r="AO106" s="9"/>
      <c r="AP106" s="9"/>
      <c r="AQ106" s="9"/>
      <c r="AR106" s="9"/>
      <c r="AS106" s="9"/>
      <c r="AT106" s="592"/>
      <c r="AV106" s="103"/>
      <c r="AW106" s="31"/>
      <c r="AX106" s="32"/>
      <c r="AY106" s="31"/>
      <c r="AZ106" s="33"/>
      <c r="BA106" s="1967"/>
      <c r="BB106" s="1805"/>
      <c r="BC106" s="91"/>
      <c r="BD106" s="1806"/>
      <c r="BE106" s="6401"/>
      <c r="BF106" s="6402"/>
      <c r="BG106" s="1969"/>
      <c r="BH106" s="6403"/>
      <c r="BI106" s="95"/>
      <c r="BJ106" s="1326"/>
      <c r="BK106" s="6404"/>
      <c r="BL106" s="1737"/>
      <c r="BM106" s="2081"/>
      <c r="BN106" s="2238"/>
      <c r="BO106" s="1809"/>
      <c r="BQ106" s="2230"/>
      <c r="BR106" s="3">
        <v>1</v>
      </c>
    </row>
    <row r="107" spans="2:70" ht="21" customHeight="1">
      <c r="B107" s="6236"/>
      <c r="C107" s="6358">
        <f t="shared" ref="C107:C119" si="53">C106</f>
        <v>150</v>
      </c>
      <c r="D107" s="6359" t="str" cm="1">
        <f t="array" ref="D107">IF(MOD(ROW()-50,14)=0,INDEX(D106:D119,MOD(ROW()-50,14)+1),E105)</f>
        <v/>
      </c>
      <c r="E107" s="6360" t="str">
        <f t="shared" ref="E107:E119" si="54">IF(D107="","",IF(F107="","",IF(LEN(F107)&gt;=LEN(D107),"",TRIM(MID(D107,LEN(F107)+1,99999)))))</f>
        <v/>
      </c>
      <c r="F107" s="6361" t="str">
        <f t="shared" ref="F107:F119" si="55">IF(D107="","",IF(LEN(D107)&lt;=C107,D107,IFERROR(LEFT(D107,FIND("§",SUBSTITUTE(LEFT(D107,C107+1)," ","§",LEN(LEFT(D107,C107+1))-LEN(SUBSTITUTE(LEFT(D107,C107+1)," ",""))))-1),LEFT(D107,C107))))</f>
        <v/>
      </c>
      <c r="G107" s="6318" t="str">
        <v>28.TEST LIGNE 19 colonne Q et ligne 20 colonne P. rechercher la cellule qui coupe le texte Dans la cocotte N°3 en fonte, faites chauffer l’huile</v>
      </c>
      <c r="H107" s="6323">
        <f t="shared" ref="H107:H119" si="56">IF(LEN(TRIM(L107))&gt;0,MAX(H106:H106)+1,"")</f>
        <v>2</v>
      </c>
      <c r="I107" s="6362" t="s">
        <v>14355</v>
      </c>
      <c r="J107" s="6363" t="str">
        <f>TRIM(MID(I110,LEN(K106)+1,99999))</f>
        <v>rechercher la cellule qui coupe le texte Dans la cocotte N°3 en fonte, faites chauffer l’huile d’olive à feu moyen. Ajoutez la viande et faites-la dorer de tous les côtés. Retirez-la de la cocotte et réservez-la.</v>
      </c>
      <c r="K107" s="6364" t="str">
        <f>IF(J107="","",LEFT(J107,IF(LEN(J107)&lt;=I109,LEN(J107),IFERROR(FIND("§",SUBSTITUTE(LEFT(J107,I109+1)," ","§",LEN(LEFT(J107,I109+1))-LEN(SUBSTITUTE(LEFT(J107,I109+1)," ",""))))-1,IFERROR(FIND(" ",J107,I109+1)-1,LEN(J107))))))</f>
        <v>rechercher la cellule qui coupe le texte Dans la</v>
      </c>
      <c r="L107" s="6327" t="str">
        <v>rechercher la cellule qui coupe le texte Dans la</v>
      </c>
      <c r="M107" s="6329" t="str">
        <v>à feu moyen. Ajoutez la viande et faites-la dorer de</v>
      </c>
      <c r="N107" t="s">
        <v>21</v>
      </c>
      <c r="Z107" s="6419"/>
      <c r="AF107" s="6345" t="str" cm="1">
        <f t="array" ref="AF107">IF(SUMPRODUCT((AL107:AQ107&lt;&gt;"")*1)=0,"",SUMPRODUCT((AL107:AQ107&lt;&gt;"")*(LEN(TRIM(SUBSTITUTE(AL107:AQ107,CHAR(160)," "))) - LEN(SUBSTITUTE(TRIM(SUBSTITUTE(AL107:AQ107,CHAR(160)," "))," ","")) + 1)) &amp; " mot" &amp; IF(SUMPRODUCT((AL107:AQ107&lt;&gt;"")*(LEN(TRIM(SUBSTITUTE(AL107:AQ107,CHAR(160)," "))) - LEN(SUBSTITUTE(TRIM(SUBSTITUTE(AL107:AQ107,CHAR(160)," "))," ","")) + 1))&gt;1,"s",""))</f>
        <v/>
      </c>
      <c r="AG107" s="2263" t="str" cm="1">
        <f t="array" ref="AG107">SUMPRODUCT(--(AL107:AQ107&lt;&gt;""), LEN(TRIM(SUBSTITUTE(AL107:AQ107, CHAR(160), "")))) &amp; " Car."</f>
        <v>0 Car.</v>
      </c>
      <c r="AH107" s="6366" t="s">
        <v>14368</v>
      </c>
      <c r="AI107" s="6366"/>
      <c r="AJ107" s="6368"/>
      <c r="AK107" s="2190">
        <f>ROWS(AO50:AO107)</f>
        <v>58</v>
      </c>
      <c r="AL107" s="1942"/>
      <c r="AM107" s="9"/>
      <c r="AN107" s="9"/>
      <c r="AO107" s="9"/>
      <c r="AP107" s="9"/>
      <c r="AQ107" s="9"/>
      <c r="AR107" s="9"/>
      <c r="AS107" s="9"/>
      <c r="AT107" s="592"/>
      <c r="AV107" s="103"/>
      <c r="AW107" s="31"/>
      <c r="AX107" s="32"/>
      <c r="AY107" s="31"/>
      <c r="AZ107" s="33"/>
      <c r="BA107" s="1967"/>
      <c r="BB107" s="1805"/>
      <c r="BC107" s="91"/>
      <c r="BD107" s="1806"/>
      <c r="BE107" s="6401"/>
      <c r="BF107" s="6402"/>
      <c r="BG107" s="1969"/>
      <c r="BH107" s="6403"/>
      <c r="BI107" s="95"/>
      <c r="BJ107" s="1326"/>
      <c r="BK107" s="6404"/>
      <c r="BL107" s="1737"/>
      <c r="BM107" s="2081"/>
      <c r="BN107" s="2238"/>
      <c r="BO107" s="1809"/>
      <c r="BQ107" s="2230"/>
      <c r="BR107" s="3">
        <v>1</v>
      </c>
    </row>
    <row r="108" spans="2:70" ht="21" customHeight="1">
      <c r="B108" s="6236"/>
      <c r="C108" s="6358">
        <f t="shared" si="53"/>
        <v>150</v>
      </c>
      <c r="D108" s="6359" t="str" cm="1">
        <f t="array" ref="D108">IF(MOD(ROW()-50,14)=0,INDEX(D106:D119,MOD(ROW()-50,14)+1),E106)</f>
        <v>d’olive à feu moyen. Ajoutez la viande et faites-la dorer de tous les côtés. Retirez-la de la cocotte et réservez-la.</v>
      </c>
      <c r="E108" s="6360" t="str">
        <f t="shared" si="54"/>
        <v/>
      </c>
      <c r="F108" s="6361" t="str">
        <f t="shared" si="55"/>
        <v>d’olive à feu moyen. Ajoutez la viande et faites-la dorer de tous les côtés. Retirez-la de la cocotte et réservez-la.</v>
      </c>
      <c r="G108" s="6318" t="str">
        <v>d’olive à feu moyen. Ajoutez la viande et faites-la dorer de tous les côtés. Retirez-la de la cocotte et réservez-la.</v>
      </c>
      <c r="H108" s="6323">
        <f t="shared" si="56"/>
        <v>3</v>
      </c>
      <c r="I108" s="6365">
        <f>Z54</f>
        <v>5</v>
      </c>
      <c r="J108" s="6363" t="str">
        <f t="shared" ref="J108:J119" si="57">TRIM(MID(J107,LEN(K107)+1,99999))</f>
        <v>cocotte N°3 en fonte, faites chauffer l’huile d’olive à feu moyen. Ajoutez la viande et faites-la dorer de tous les côtés. Retirez-la de la cocotte et réservez-la.</v>
      </c>
      <c r="K108" s="6364" t="str">
        <f>IF(J108="","",LEFT(J108,IF(LEN(J108)&lt;=I109,LEN(J108),IFERROR(FIND("§",SUBSTITUTE(LEFT(J108,I109+1)," ","§",LEN(LEFT(J108,I109+1))-LEN(SUBSTITUTE(LEFT(J108,I109+1)," ",""))))-1,IFERROR(FIND(" ",J108,I109+1)-1,LEN(J108))))))</f>
        <v>cocotte N°3 en fonte, faites chauffer l’huile d’olive</v>
      </c>
      <c r="L108" s="6327" t="str">
        <v>cocotte N°3 en fonte, faites chauffer l’huile d’olive</v>
      </c>
      <c r="M108" s="6329" t="str">
        <v>tous les côtés. Retirez-la de la cocotte et</v>
      </c>
      <c r="N108" t="s">
        <v>21</v>
      </c>
      <c r="Z108" s="6419"/>
      <c r="AF108" s="6345" t="str" cm="1">
        <f t="array" ref="AF108">IF(SUMPRODUCT((AL108:AQ108&lt;&gt;"")*1)=0,"",SUMPRODUCT((AL108:AQ108&lt;&gt;"")*(LEN(TRIM(SUBSTITUTE(AL108:AQ108,CHAR(160)," "))) - LEN(SUBSTITUTE(TRIM(SUBSTITUTE(AL108:AQ108,CHAR(160)," "))," ","")) + 1)) &amp; " mot" &amp; IF(SUMPRODUCT((AL108:AQ108&lt;&gt;"")*(LEN(TRIM(SUBSTITUTE(AL108:AQ108,CHAR(160)," "))) - LEN(SUBSTITUTE(TRIM(SUBSTITUTE(AL108:AQ108,CHAR(160)," "))," ","")) + 1))&gt;1,"s",""))</f>
        <v/>
      </c>
      <c r="AG108" s="2263" t="str" cm="1">
        <f t="array" ref="AG108">SUMPRODUCT(--(AL108:AQ108&lt;&gt;""), LEN(TRIM(SUBSTITUTE(AL108:AQ108, CHAR(160), "")))) &amp; " Car."</f>
        <v>0 Car.</v>
      </c>
      <c r="AH108" s="6366" t="s">
        <v>14368</v>
      </c>
      <c r="AI108" s="6366"/>
      <c r="AJ108" s="6368"/>
      <c r="AK108" s="2190">
        <f>ROWS(AO50:AO108)</f>
        <v>59</v>
      </c>
      <c r="AL108" s="1942"/>
      <c r="AM108" s="9"/>
      <c r="AN108" s="9"/>
      <c r="AO108" s="9"/>
      <c r="AP108" s="9"/>
      <c r="AQ108" s="9"/>
      <c r="AR108" s="9"/>
      <c r="AS108" s="9"/>
      <c r="AT108" s="592"/>
      <c r="AV108" s="103"/>
      <c r="AW108" s="31"/>
      <c r="AX108" s="32"/>
      <c r="AY108" s="31"/>
      <c r="AZ108" s="33"/>
      <c r="BA108" s="1967"/>
      <c r="BB108" s="1805"/>
      <c r="BC108" s="91"/>
      <c r="BD108" s="1806"/>
      <c r="BE108" s="6401"/>
      <c r="BF108" s="6402"/>
      <c r="BG108" s="1969"/>
      <c r="BH108" s="6403"/>
      <c r="BI108" s="95"/>
      <c r="BJ108" s="1326"/>
      <c r="BK108" s="6404"/>
      <c r="BL108" s="1737"/>
      <c r="BM108" s="2081"/>
      <c r="BN108" s="2238"/>
      <c r="BO108" s="1809"/>
      <c r="BQ108" s="2230"/>
      <c r="BR108" s="3">
        <v>1</v>
      </c>
    </row>
    <row r="109" spans="2:70" ht="21" customHeight="1">
      <c r="B109" s="6236"/>
      <c r="C109" s="6358">
        <f t="shared" si="53"/>
        <v>150</v>
      </c>
      <c r="D109" s="6359" t="str" cm="1">
        <f t="array" ref="D109">IF(MOD(ROW()-50,14)=0,INDEX(D106:D119,MOD(ROW()-50,14)+1),E107)</f>
        <v/>
      </c>
      <c r="E109" s="6360" t="str">
        <f t="shared" si="54"/>
        <v/>
      </c>
      <c r="F109" s="6361" t="str">
        <f t="shared" si="55"/>
        <v/>
      </c>
      <c r="G109" s="6318" t="str">
        <v>29.TEST LIGNE 19 colonne Q et ligne 20 colonne P. rechercher la cellule qui coupe le texte Dans la cocotte N°3 en fonte, faites chauffer l’huile</v>
      </c>
      <c r="H109" s="6323">
        <f t="shared" si="56"/>
        <v>4</v>
      </c>
      <c r="I109" s="6370">
        <f>IF(OR(J106="",I108="",I108&lt;=0),"",ROUNDUP(LEN(J106)/I108,0))</f>
        <v>53</v>
      </c>
      <c r="J109" s="6363" t="str">
        <f t="shared" si="57"/>
        <v>à feu moyen. Ajoutez la viande et faites-la dorer de tous les côtés. Retirez-la de la cocotte et réservez-la.</v>
      </c>
      <c r="K109" s="6364" t="str">
        <f>IF(J109="","",LEFT(J109,IF(LEN(J109)&lt;=I109,LEN(J109),IFERROR(FIND("§",SUBSTITUTE(LEFT(J109,I109+1)," ","§",LEN(LEFT(J109,I109+1))-LEN(SUBSTITUTE(LEFT(J109,I109+1)," ",""))))-1,IFERROR(FIND(" ",J109,I109+1)-1,LEN(J109))))))</f>
        <v>à feu moyen. Ajoutez la viande et faites-la dorer de</v>
      </c>
      <c r="L109" s="6327" t="str">
        <v>à feu moyen. Ajoutez la viande et faites-la dorer de</v>
      </c>
      <c r="M109" s="6329" t="str">
        <v>réservez-la.</v>
      </c>
      <c r="N109" t="s">
        <v>21</v>
      </c>
      <c r="Z109" s="6419"/>
      <c r="AF109" s="6345" t="str" cm="1">
        <f t="array" ref="AF109">IF(SUMPRODUCT((AL109:AQ109&lt;&gt;"")*1)=0,"",SUMPRODUCT((AL109:AQ109&lt;&gt;"")*(LEN(TRIM(SUBSTITUTE(AL109:AQ109,CHAR(160)," "))) - LEN(SUBSTITUTE(TRIM(SUBSTITUTE(AL109:AQ109,CHAR(160)," "))," ","")) + 1)) &amp; " mot" &amp; IF(SUMPRODUCT((AL109:AQ109&lt;&gt;"")*(LEN(TRIM(SUBSTITUTE(AL109:AQ109,CHAR(160)," "))) - LEN(SUBSTITUTE(TRIM(SUBSTITUTE(AL109:AQ109,CHAR(160)," "))," ","")) + 1))&gt;1,"s",""))</f>
        <v/>
      </c>
      <c r="AG109" s="2263" t="str" cm="1">
        <f t="array" ref="AG109">SUMPRODUCT(--(AL109:AQ109&lt;&gt;""), LEN(TRIM(SUBSTITUTE(AL109:AQ109, CHAR(160), "")))) &amp; " Car."</f>
        <v>0 Car.</v>
      </c>
      <c r="AH109" s="6366" t="s">
        <v>14368</v>
      </c>
      <c r="AI109" s="6366"/>
      <c r="AJ109" s="6368"/>
      <c r="AK109" s="2190">
        <f>ROWS(AO50:AO109)</f>
        <v>60</v>
      </c>
      <c r="AL109" s="1942"/>
      <c r="AM109" s="9"/>
      <c r="AN109" s="9"/>
      <c r="AO109" s="9"/>
      <c r="AP109" s="9"/>
      <c r="AQ109" s="9"/>
      <c r="AR109" s="9"/>
      <c r="AS109" s="9"/>
      <c r="AT109" s="592"/>
      <c r="AV109" s="103"/>
      <c r="AW109" s="31"/>
      <c r="AX109" s="32"/>
      <c r="AY109" s="31"/>
      <c r="AZ109" s="33"/>
      <c r="BA109" s="1967"/>
      <c r="BB109" s="1805"/>
      <c r="BC109" s="91"/>
      <c r="BD109" s="1806"/>
      <c r="BE109" s="6401"/>
      <c r="BF109" s="6402"/>
      <c r="BG109" s="1969"/>
      <c r="BH109" s="6403"/>
      <c r="BI109" s="95"/>
      <c r="BJ109" s="1326"/>
      <c r="BK109" s="6404"/>
      <c r="BL109" s="1737"/>
      <c r="BM109" s="2081"/>
      <c r="BN109" s="2238"/>
      <c r="BO109" s="1809"/>
      <c r="BQ109" s="2230"/>
      <c r="BR109" s="3">
        <v>1</v>
      </c>
    </row>
    <row r="110" spans="2:70" ht="21" customHeight="1">
      <c r="B110" s="6236"/>
      <c r="C110" s="6358">
        <f t="shared" si="53"/>
        <v>150</v>
      </c>
      <c r="D110" s="6359" t="str" cm="1">
        <f t="array" ref="D110">IF(MOD(ROW()-50,14)=0,INDEX(D106:D119,MOD(ROW()-50,14)+1),E108)</f>
        <v/>
      </c>
      <c r="E110" s="6360" t="str">
        <f t="shared" si="54"/>
        <v/>
      </c>
      <c r="F110" s="6361" t="str">
        <f t="shared" si="55"/>
        <v/>
      </c>
      <c r="G110" s="6318" t="str">
        <v>d’olive à feu moyen. Ajoutez la viande et faites-la dorer de tous les côtés. Retirez-la de la cocotte et réservez-la.</v>
      </c>
      <c r="H110" s="6323">
        <f t="shared" si="56"/>
        <v>5</v>
      </c>
      <c r="I110" s="6372" t="str">
        <f>I106</f>
        <v>5.TEST LIGNE 18 colonne Q et ligne 20 colonne P. rechercher la cellule qui coupe le texte Dans la cocotte N°3 en fonte, faites chauffer l’huile d’olive à feu moyen. Ajoutez la viande et faites-la dorer de tous les côtés. Retirez-la de la cocotte et réservez-la.</v>
      </c>
      <c r="J110" s="6363" t="str">
        <f t="shared" si="57"/>
        <v>tous les côtés. Retirez-la de la cocotte et réservez-la.</v>
      </c>
      <c r="K110" s="6364" t="str">
        <f>IF(J110="","",LEFT(J110,IF(LEN(J110)&lt;=I109,LEN(J110),IFERROR(FIND("§",SUBSTITUTE(LEFT(J110,I109+1)," ","§",LEN(LEFT(J110,I109+1))-LEN(SUBSTITUTE(LEFT(J110,I109+1)," ",""))))-1,IFERROR(FIND(" ",J110,I109+1)-1,LEN(J110))))))</f>
        <v>tous les côtés. Retirez-la de la cocotte et</v>
      </c>
      <c r="L110" s="6327" t="str">
        <v>tous les côtés. Retirez-la de la cocotte et</v>
      </c>
      <c r="M110" s="6329" t="str">
        <v>11.TEST LIGNE 19 colonne Q et ligne 20 colonne P.</v>
      </c>
      <c r="N110" t="s">
        <v>21</v>
      </c>
      <c r="Z110" s="6419"/>
      <c r="AF110" s="6345" t="str" cm="1">
        <f t="array" ref="AF110">IF(SUMPRODUCT((AL110:AQ110&lt;&gt;"")*1)=0,"",SUMPRODUCT((AL110:AQ110&lt;&gt;"")*(LEN(TRIM(SUBSTITUTE(AL110:AQ110,CHAR(160)," "))) - LEN(SUBSTITUTE(TRIM(SUBSTITUTE(AL110:AQ110,CHAR(160)," "))," ","")) + 1)) &amp; " mot" &amp; IF(SUMPRODUCT((AL110:AQ110&lt;&gt;"")*(LEN(TRIM(SUBSTITUTE(AL110:AQ110,CHAR(160)," "))) - LEN(SUBSTITUTE(TRIM(SUBSTITUTE(AL110:AQ110,CHAR(160)," "))," ","")) + 1))&gt;1,"s",""))</f>
        <v/>
      </c>
      <c r="AG110" s="2263" t="str" cm="1">
        <f t="array" ref="AG110">SUMPRODUCT(--(AL110:AQ110&lt;&gt;""), LEN(TRIM(SUBSTITUTE(AL110:AQ110, CHAR(160), "")))) &amp; " Car."</f>
        <v>0 Car.</v>
      </c>
      <c r="AH110" s="6366" t="s">
        <v>14368</v>
      </c>
      <c r="AI110" s="6366"/>
      <c r="AJ110" s="6368"/>
      <c r="AK110" s="2190">
        <f>ROWS(AO50:AO110)</f>
        <v>61</v>
      </c>
      <c r="AL110" s="1942"/>
      <c r="AM110" s="9"/>
      <c r="AN110" s="9"/>
      <c r="AO110" s="9"/>
      <c r="AP110" s="9"/>
      <c r="AQ110" s="9"/>
      <c r="AR110" s="9"/>
      <c r="AS110" s="9"/>
      <c r="AT110" s="592"/>
      <c r="AV110" s="103"/>
      <c r="AW110" s="31"/>
      <c r="AX110" s="32"/>
      <c r="AY110" s="31"/>
      <c r="AZ110" s="33"/>
      <c r="BA110" s="1967"/>
      <c r="BB110" s="1805"/>
      <c r="BC110" s="91"/>
      <c r="BD110" s="1806"/>
      <c r="BE110" s="6401"/>
      <c r="BF110" s="6402"/>
      <c r="BG110" s="1969"/>
      <c r="BH110" s="6403"/>
      <c r="BI110" s="95"/>
      <c r="BJ110" s="1326"/>
      <c r="BK110" s="6404"/>
      <c r="BL110" s="1737"/>
      <c r="BM110" s="2081"/>
      <c r="BN110" s="2238"/>
      <c r="BO110" s="1809"/>
      <c r="BQ110" s="2230"/>
      <c r="BR110" s="3">
        <v>1</v>
      </c>
    </row>
    <row r="111" spans="2:70" ht="21" customHeight="1">
      <c r="B111" s="6236"/>
      <c r="C111" s="6358">
        <f t="shared" si="53"/>
        <v>150</v>
      </c>
      <c r="D111" s="6359" t="str" cm="1">
        <f t="array" ref="D111">IF(MOD(ROW()-50,14)=0,INDEX(D106:D119,MOD(ROW()-50,14)+1),E109)</f>
        <v/>
      </c>
      <c r="E111" s="6360" t="str">
        <f t="shared" si="54"/>
        <v/>
      </c>
      <c r="F111" s="6361" t="str">
        <f t="shared" si="55"/>
        <v/>
      </c>
      <c r="G111" s="6318" t="str">
        <v>30.TEST LIGNE 19 colonne Q et ligne 20 colonne P. rechercher la cellule qui coupe le texte Dans la cocotte N°3 en fonte, faites chauffer l’huile</v>
      </c>
      <c r="H111" s="6323">
        <f t="shared" si="56"/>
        <v>6</v>
      </c>
      <c r="I111" s="6373"/>
      <c r="J111" s="6363" t="str">
        <f t="shared" si="57"/>
        <v>réservez-la.</v>
      </c>
      <c r="K111" s="6364" t="str">
        <f>IF(J111="","",LEFT(J111,IF(LEN(J111)&lt;=I109,LEN(J111),IFERROR(FIND("§",SUBSTITUTE(LEFT(J111,I109+1)," ","§",LEN(LEFT(J111,I109+1))-LEN(SUBSTITUTE(LEFT(J111,I109+1)," ",""))))-1,IFERROR(FIND(" ",J111,I109+1)-1,LEN(J111))))))</f>
        <v>réservez-la.</v>
      </c>
      <c r="L111" s="6327" t="str">
        <v>réservez-la.</v>
      </c>
      <c r="M111" s="6329" t="str">
        <v>rechercher la cellule qui coupe le texte Dans la</v>
      </c>
      <c r="N111" t="s">
        <v>21</v>
      </c>
      <c r="Z111" s="6419"/>
      <c r="AF111" s="6345" t="str" cm="1">
        <f t="array" ref="AF111">IF(SUMPRODUCT((AL111:AQ111&lt;&gt;"")*1)=0,"",SUMPRODUCT((AL111:AQ111&lt;&gt;"")*(LEN(TRIM(SUBSTITUTE(AL111:AQ111,CHAR(160)," "))) - LEN(SUBSTITUTE(TRIM(SUBSTITUTE(AL111:AQ111,CHAR(160)," "))," ","")) + 1)) &amp; " mot" &amp; IF(SUMPRODUCT((AL111:AQ111&lt;&gt;"")*(LEN(TRIM(SUBSTITUTE(AL111:AQ111,CHAR(160)," "))) - LEN(SUBSTITUTE(TRIM(SUBSTITUTE(AL111:AQ111,CHAR(160)," "))," ","")) + 1))&gt;1,"s",""))</f>
        <v/>
      </c>
      <c r="AG111" s="2263" t="str" cm="1">
        <f t="array" ref="AG111">SUMPRODUCT(--(AL111:AQ111&lt;&gt;""), LEN(TRIM(SUBSTITUTE(AL111:AQ111, CHAR(160), "")))) &amp; " Car."</f>
        <v>0 Car.</v>
      </c>
      <c r="AH111" s="6366" t="s">
        <v>14368</v>
      </c>
      <c r="AI111" s="6366"/>
      <c r="AJ111" s="6368"/>
      <c r="AK111" s="2190">
        <f>ROWS(AO50:AO111)</f>
        <v>62</v>
      </c>
      <c r="AL111" s="1942"/>
      <c r="AM111" s="9"/>
      <c r="AN111" s="9"/>
      <c r="AO111" s="9"/>
      <c r="AP111" s="9"/>
      <c r="AQ111" s="9"/>
      <c r="AR111" s="9"/>
      <c r="AS111" s="9"/>
      <c r="AT111" s="592"/>
      <c r="AV111" s="103"/>
      <c r="AW111" s="31"/>
      <c r="AX111" s="32"/>
      <c r="AY111" s="31"/>
      <c r="AZ111" s="33"/>
      <c r="BA111" s="1967"/>
      <c r="BB111" s="1805"/>
      <c r="BC111" s="91"/>
      <c r="BD111" s="1806"/>
      <c r="BE111" s="6401"/>
      <c r="BF111" s="6402"/>
      <c r="BG111" s="1969"/>
      <c r="BH111" s="6403"/>
      <c r="BI111" s="95"/>
      <c r="BJ111" s="1326"/>
      <c r="BK111" s="6404"/>
      <c r="BL111" s="1737"/>
      <c r="BM111" s="2081"/>
      <c r="BN111" s="2238"/>
      <c r="BO111" s="1809"/>
      <c r="BQ111" s="2230"/>
      <c r="BR111" s="3">
        <v>1</v>
      </c>
    </row>
    <row r="112" spans="2:70" ht="21" customHeight="1">
      <c r="B112" s="6236"/>
      <c r="C112" s="6358">
        <f t="shared" si="53"/>
        <v>150</v>
      </c>
      <c r="D112" s="6359" t="str" cm="1">
        <f t="array" ref="D112">IF(MOD(ROW()-50,14)=0,INDEX(D106:D119,MOD(ROW()-50,14)+1),E110)</f>
        <v/>
      </c>
      <c r="E112" s="6360" t="str">
        <f t="shared" si="54"/>
        <v/>
      </c>
      <c r="F112" s="6361" t="str">
        <f t="shared" si="55"/>
        <v/>
      </c>
      <c r="G112" s="6318" t="str">
        <v>d’olive à feu moyen. Ajoutez la viande et faites-la dorer de tous les côtés. Retirez-la de la cocotte et réservez-la.</v>
      </c>
      <c r="H112" s="6323" t="str">
        <f t="shared" si="56"/>
        <v/>
      </c>
      <c r="I112" s="6373"/>
      <c r="J112" s="6363" t="str">
        <f t="shared" si="57"/>
        <v/>
      </c>
      <c r="K112" s="6364" t="str">
        <f>IF(J112="","",LEFT(J112,IF(LEN(J112)&lt;=I109,LEN(J112),IFERROR(FIND("§",SUBSTITUTE(LEFT(J112,I109+1)," ","§",LEN(LEFT(J112,I109+1))-LEN(SUBSTITUTE(LEFT(J112,I109+1)," ",""))))-1,IFERROR(FIND(" ",J112,I109+1)-1,LEN(J112))))))</f>
        <v/>
      </c>
      <c r="L112" s="6327"/>
      <c r="M112" s="6329" t="str">
        <v>cocotte N°3 en fonte, faites chauffer l’huile d’olive</v>
      </c>
      <c r="N112" t="s">
        <v>21</v>
      </c>
      <c r="AF112" s="519"/>
      <c r="AG112" s="176"/>
      <c r="AH112" s="176"/>
      <c r="AI112" s="176"/>
      <c r="AJ112" s="176"/>
      <c r="AK112" s="2190">
        <f>ROWS(AO50:AO112)</f>
        <v>63</v>
      </c>
      <c r="AL112" s="1942"/>
      <c r="AM112" s="9"/>
      <c r="AN112" s="9"/>
      <c r="AO112" s="9"/>
      <c r="AP112" s="9"/>
      <c r="AQ112" s="9"/>
      <c r="AR112" s="9"/>
      <c r="AS112" s="9"/>
      <c r="AT112" s="592"/>
      <c r="AV112" s="103"/>
      <c r="AW112" s="31"/>
      <c r="AX112" s="32"/>
      <c r="AY112" s="31"/>
      <c r="AZ112" s="33"/>
      <c r="BA112" s="1967"/>
      <c r="BB112" s="1805"/>
      <c r="BC112" s="91"/>
      <c r="BD112" s="1806"/>
      <c r="BE112" s="6401"/>
      <c r="BF112" s="6402"/>
      <c r="BG112" s="1969"/>
      <c r="BH112" s="6403"/>
      <c r="BI112" s="95"/>
      <c r="BJ112" s="1326"/>
      <c r="BK112" s="6404"/>
      <c r="BL112" s="1737"/>
      <c r="BM112" s="2081"/>
      <c r="BN112" s="2238"/>
      <c r="BO112" s="1809"/>
      <c r="BQ112" s="2230"/>
      <c r="BR112" s="3">
        <v>1</v>
      </c>
    </row>
    <row r="113" spans="2:70" ht="21" customHeight="1">
      <c r="B113" s="6236"/>
      <c r="C113" s="6358">
        <f t="shared" si="53"/>
        <v>150</v>
      </c>
      <c r="D113" s="6359" t="str" cm="1">
        <f t="array" ref="D113">IF(MOD(ROW()-50,14)=0,INDEX(D106:D119,MOD(ROW()-50,14)+1),E111)</f>
        <v/>
      </c>
      <c r="E113" s="6360" t="str">
        <f t="shared" si="54"/>
        <v/>
      </c>
      <c r="F113" s="6361" t="str">
        <f t="shared" si="55"/>
        <v/>
      </c>
      <c r="G113" s="6318" t="str">
        <v>31.TEST LIGNE 19 colonne Q et ligne 20 colonne P. rechercher la cellule qui coupe le texte Dans la cocotte N°3 en fonte, faites chauffer l’huile</v>
      </c>
      <c r="H113" s="6323" t="str">
        <f t="shared" si="56"/>
        <v/>
      </c>
      <c r="I113" s="6373"/>
      <c r="J113" s="6363" t="str">
        <f t="shared" si="57"/>
        <v/>
      </c>
      <c r="K113" s="6364" t="str">
        <f>IF(J113="","",LEFT(J113,IF(LEN(J113)&lt;=I109,LEN(J113),IFERROR(FIND("§",SUBSTITUTE(LEFT(J113,I109+1)," ","§",LEN(LEFT(J113,I109+1))-LEN(SUBSTITUTE(LEFT(J113,I109+1)," ",""))))-1,IFERROR(FIND(" ",J113,I109+1)-1,LEN(J113))))))</f>
        <v/>
      </c>
      <c r="L113" s="6327"/>
      <c r="M113" s="6329" t="str">
        <v>à feu moyen. Ajoutez la viande et faites-la dorer de</v>
      </c>
      <c r="N113" t="s">
        <v>21</v>
      </c>
      <c r="AF113" s="6420"/>
      <c r="AG113" s="1380"/>
      <c r="AH113" s="1380"/>
      <c r="AI113" s="1380"/>
      <c r="AJ113" s="1380"/>
      <c r="AK113" s="1380"/>
      <c r="AL113" s="1380"/>
      <c r="AM113" s="1381" t="s">
        <v>196</v>
      </c>
      <c r="AN113" s="202"/>
      <c r="AO113" s="202"/>
      <c r="AP113" s="202"/>
      <c r="AQ113" s="202"/>
      <c r="AR113" s="202"/>
      <c r="AS113" s="202"/>
      <c r="AT113" s="885"/>
      <c r="AV113" s="103"/>
      <c r="AW113" s="31"/>
      <c r="AX113" s="32"/>
      <c r="AY113" s="31"/>
      <c r="AZ113" s="33"/>
      <c r="BA113" s="1967"/>
      <c r="BB113" s="1805"/>
      <c r="BC113" s="91"/>
      <c r="BD113" s="1806"/>
      <c r="BE113" s="6401"/>
      <c r="BF113" s="6402"/>
      <c r="BG113" s="1969"/>
      <c r="BH113" s="6403"/>
      <c r="BI113" s="95"/>
      <c r="BJ113" s="1326"/>
      <c r="BK113" s="6404"/>
      <c r="BL113" s="1737"/>
      <c r="BM113" s="2081"/>
      <c r="BN113" s="2238"/>
      <c r="BO113" s="1809"/>
      <c r="BQ113" s="2230"/>
      <c r="BR113" s="3">
        <v>1</v>
      </c>
    </row>
    <row r="114" spans="2:70" ht="21" customHeight="1" thickBot="1">
      <c r="B114" s="6236"/>
      <c r="C114" s="6358">
        <f t="shared" si="53"/>
        <v>150</v>
      </c>
      <c r="D114" s="6359" t="str" cm="1">
        <f t="array" ref="D114">IF(MOD(ROW()-50,14)=0,INDEX(D106:D119,MOD(ROW()-50,14)+1),E112)</f>
        <v/>
      </c>
      <c r="E114" s="6360" t="str">
        <f t="shared" si="54"/>
        <v/>
      </c>
      <c r="F114" s="6361" t="str">
        <f t="shared" si="55"/>
        <v/>
      </c>
      <c r="G114" s="6318" t="str">
        <v>d’olive à feu moyen. Ajoutez la viande et faites-la dorer de tous les côtés. Retirez-la de la cocotte et réservez-la.</v>
      </c>
      <c r="H114" s="6323" t="str">
        <f t="shared" si="56"/>
        <v/>
      </c>
      <c r="I114" s="6373"/>
      <c r="J114" s="6363" t="str">
        <f t="shared" si="57"/>
        <v/>
      </c>
      <c r="K114" s="6364" t="str">
        <f>IF(J114="","",LEFT(J114,IF(LEN(J114)&lt;=I109,LEN(J114),IFERROR(FIND("§",SUBSTITUTE(LEFT(J114,I109+1)," ","§",LEN(LEFT(J114,I109+1))-LEN(SUBSTITUTE(LEFT(J114,I109+1)," ",""))))-1,IFERROR(FIND(" ",J114,I109+1)-1,LEN(J114))))))</f>
        <v/>
      </c>
      <c r="L114" s="6327"/>
      <c r="M114" s="6329" t="str">
        <v>tous les côtés. Retirez-la de la cocotte et</v>
      </c>
      <c r="N114" t="s">
        <v>21</v>
      </c>
      <c r="AF114" s="6305" t="s">
        <v>8860</v>
      </c>
      <c r="AG114" s="2065">
        <f>AG49</f>
        <v>0</v>
      </c>
      <c r="AH114" s="2065"/>
      <c r="AI114" s="2065"/>
      <c r="AJ114" s="2065"/>
      <c r="AK114" s="2065"/>
      <c r="AL114" s="2137"/>
      <c r="AM114" s="2137"/>
      <c r="AN114" s="2137"/>
      <c r="AO114" s="472"/>
      <c r="AP114" s="472"/>
      <c r="AQ114" s="472"/>
      <c r="AR114" s="2260" t="str">
        <f>IF(AL115="","",(LEN(TRIM(SUBSTITUTE(AL115,CHAR(160)," ")))-LEN(SUBSTITUTE(TRIM(SUBSTITUTE(AL115,CHAR(160)," "))," ",""))+1)&amp;" mot"&amp;IF((LEN(TRIM(SUBSTITUTE(AL115,CHAR(160)," ")))-LEN(SUBSTITUTE(TRIM(SUBSTITUTE(AL115,CHAR(160)," "))," ",""))+1)&gt;1,"s",""))</f>
        <v>17 mots</v>
      </c>
      <c r="AS114" s="2259" t="str">
        <f>IF(AL115="","",LEN(TRIM(SUBSTITUTE(AL115,CHAR(160),""))))&amp;" Car."</f>
        <v>123 Car.</v>
      </c>
      <c r="AT114" s="2261" t="s">
        <v>8863</v>
      </c>
      <c r="AV114" s="103"/>
      <c r="AW114" s="31"/>
      <c r="AX114" s="32"/>
      <c r="AY114" s="31"/>
      <c r="AZ114" s="33"/>
      <c r="BA114" s="1967"/>
      <c r="BB114" s="1805"/>
      <c r="BC114" s="91"/>
      <c r="BD114" s="1806"/>
      <c r="BE114" s="6401"/>
      <c r="BF114" s="6402"/>
      <c r="BG114" s="1969"/>
      <c r="BH114" s="6403"/>
      <c r="BI114" s="95"/>
      <c r="BJ114" s="1326"/>
      <c r="BK114" s="6404"/>
      <c r="BL114" s="1737"/>
      <c r="BM114" s="2081"/>
      <c r="BN114" s="2238"/>
      <c r="BO114" s="1809"/>
      <c r="BQ114" s="2230"/>
      <c r="BR114" s="3">
        <v>1</v>
      </c>
    </row>
    <row r="115" spans="2:70" ht="21" customHeight="1" thickBot="1">
      <c r="B115" s="6236"/>
      <c r="C115" s="6358">
        <f t="shared" si="53"/>
        <v>150</v>
      </c>
      <c r="D115" s="6359" t="str" cm="1">
        <f t="array" ref="D115">IF(MOD(ROW()-50,14)=0,INDEX(D106:D119,MOD(ROW()-50,14)+1),E113)</f>
        <v/>
      </c>
      <c r="E115" s="6360" t="str">
        <f t="shared" si="54"/>
        <v/>
      </c>
      <c r="F115" s="6361" t="str">
        <f t="shared" si="55"/>
        <v/>
      </c>
      <c r="G115" s="6318" t="str">
        <v>32.TEST LIGNE 19 colonne Q et ligne 20 colonne P. rechercher la cellule qui coupe le texte Dans la cocotte N°3 en fonte, faites chauffer l’huile</v>
      </c>
      <c r="H115" s="6323" t="str">
        <f t="shared" si="56"/>
        <v/>
      </c>
      <c r="I115" s="6373"/>
      <c r="J115" s="6363" t="str">
        <f t="shared" si="57"/>
        <v/>
      </c>
      <c r="K115" s="6364" t="str">
        <f>IF(J115="","",LEFT(J115,IF(LEN(J115)&lt;=I109,LEN(J115),IFERROR(FIND("§",SUBSTITUTE(LEFT(J115,I109+1)," ","§",LEN(LEFT(J115,I109+1))-LEN(SUBSTITUTE(LEFT(J115,I109+1)," ",""))))-1,IFERROR(FIND(" ",J115,I109+1)-1,LEN(J115))))))</f>
        <v/>
      </c>
      <c r="L115" s="6327"/>
      <c r="M115" s="6329" t="str">
        <v>réservez-la.</v>
      </c>
      <c r="N115" t="s">
        <v>21</v>
      </c>
      <c r="AF115" s="6421"/>
      <c r="AG115" s="2133"/>
      <c r="AH115" s="2133"/>
      <c r="AI115" s="2133"/>
      <c r="AJ115" s="2133"/>
      <c r="AK115" s="2133"/>
      <c r="AL115" s="5545" t="s">
        <v>8866</v>
      </c>
      <c r="AM115" s="2136"/>
      <c r="AN115" s="2134"/>
      <c r="AO115" s="2134"/>
      <c r="AP115" s="2134"/>
      <c r="AQ115" s="2134"/>
      <c r="AR115" s="2134"/>
      <c r="AS115" s="2134"/>
      <c r="AT115" s="2135"/>
      <c r="AV115" s="103"/>
      <c r="AW115" s="31"/>
      <c r="AX115" s="32"/>
      <c r="AY115" s="31"/>
      <c r="AZ115" s="33"/>
      <c r="BA115" s="1967"/>
      <c r="BB115" s="1805"/>
      <c r="BC115" s="91"/>
      <c r="BD115" s="1806"/>
      <c r="BE115" s="6401"/>
      <c r="BF115" s="6402"/>
      <c r="BG115" s="1969"/>
      <c r="BH115" s="6403"/>
      <c r="BI115" s="95"/>
      <c r="BJ115" s="1326"/>
      <c r="BK115" s="6404"/>
      <c r="BL115" s="1737"/>
      <c r="BM115" s="2081"/>
      <c r="BN115" s="2238"/>
      <c r="BO115" s="1809"/>
      <c r="BQ115" s="2230"/>
      <c r="BR115" s="3">
        <v>1</v>
      </c>
    </row>
    <row r="116" spans="2:70" ht="21" customHeight="1" thickBot="1">
      <c r="B116" s="6236"/>
      <c r="C116" s="6358">
        <f t="shared" si="53"/>
        <v>150</v>
      </c>
      <c r="D116" s="6359" t="str" cm="1">
        <f t="array" ref="D116">IF(MOD(ROW()-50,14)=0,INDEX(D106:D119,MOD(ROW()-50,14)+1),E114)</f>
        <v/>
      </c>
      <c r="E116" s="6360" t="str">
        <f t="shared" si="54"/>
        <v/>
      </c>
      <c r="F116" s="6361" t="str">
        <f t="shared" si="55"/>
        <v/>
      </c>
      <c r="G116" s="6318" t="str">
        <v>d’olive à feu moyen. Ajoutez la viande et faites-la dorer de tous les côtés. Retirez-la de la cocotte et réservez-la.</v>
      </c>
      <c r="H116" s="6323" t="str">
        <f t="shared" si="56"/>
        <v/>
      </c>
      <c r="I116" s="6373"/>
      <c r="J116" s="6363" t="str">
        <f t="shared" si="57"/>
        <v/>
      </c>
      <c r="K116" s="6364" t="str">
        <f>IF(J116="","",LEFT(J116,IF(LEN(J116)&lt;=I109,LEN(J116),IFERROR(FIND("§",SUBSTITUTE(LEFT(J116,I109+1)," ","§",LEN(LEFT(J116,I109+1))-LEN(SUBSTITUTE(LEFT(J116,I109+1)," ",""))))-1,IFERROR(FIND(" ",J116,I109+1)-1,LEN(J116))))))</f>
        <v/>
      </c>
      <c r="L116" s="6327"/>
      <c r="M116" s="6329" t="str">
        <v>12.TEST LIGNE 19 colonne Q et ligne 20 colonne P.</v>
      </c>
      <c r="N116" t="s">
        <v>21</v>
      </c>
      <c r="AF116" s="6422"/>
      <c r="AG116" s="220"/>
      <c r="AH116" s="220"/>
      <c r="AI116" s="220"/>
      <c r="AJ116" s="220"/>
      <c r="AK116" s="220"/>
      <c r="AL116" s="220"/>
      <c r="AM116" s="220"/>
      <c r="AN116" s="220"/>
      <c r="AO116" s="220"/>
      <c r="AP116" s="220"/>
      <c r="AQ116" s="220"/>
      <c r="AR116" s="220"/>
      <c r="AS116" s="220"/>
      <c r="AT116" s="221"/>
      <c r="AV116" s="103"/>
      <c r="AW116" s="31"/>
      <c r="AX116" s="32"/>
      <c r="AY116" s="31"/>
      <c r="AZ116" s="33"/>
      <c r="BA116" s="1967"/>
      <c r="BB116" s="1805"/>
      <c r="BC116" s="91"/>
      <c r="BD116" s="1806"/>
      <c r="BE116" s="6401"/>
      <c r="BF116" s="6402"/>
      <c r="BG116" s="1969"/>
      <c r="BH116" s="6403"/>
      <c r="BI116" s="95"/>
      <c r="BJ116" s="1326"/>
      <c r="BK116" s="6404"/>
      <c r="BL116" s="1737"/>
      <c r="BM116" s="2081"/>
      <c r="BN116" s="2238"/>
      <c r="BO116" s="1809"/>
      <c r="BQ116" s="2230"/>
      <c r="BR116" s="3">
        <v>1</v>
      </c>
    </row>
    <row r="117" spans="2:70" ht="21" customHeight="1" thickBot="1">
      <c r="B117" s="6236"/>
      <c r="C117" s="6358">
        <f t="shared" si="53"/>
        <v>150</v>
      </c>
      <c r="D117" s="6359" t="str" cm="1">
        <f t="array" ref="D117">IF(MOD(ROW()-50,14)=0,INDEX(D106:D119,MOD(ROW()-50,14)+1),E115)</f>
        <v/>
      </c>
      <c r="E117" s="6360" t="str">
        <f t="shared" si="54"/>
        <v/>
      </c>
      <c r="F117" s="6361" t="str">
        <f t="shared" si="55"/>
        <v/>
      </c>
      <c r="G117" s="6318" t="str">
        <v>33.TEST LIGNE 19 colonne Q et ligne 20 colonne P. rechercher la cellule qui coupe le texte Dans la cocotte N°3 en fonte, faites chauffer l’huile</v>
      </c>
      <c r="H117" s="6323" t="str">
        <f t="shared" si="56"/>
        <v/>
      </c>
      <c r="I117" s="6373"/>
      <c r="J117" s="6363" t="str">
        <f t="shared" si="57"/>
        <v/>
      </c>
      <c r="K117" s="6364" t="str">
        <f>IF(J117="","",LEFT(J117,IF(LEN(J117)&lt;=I109,LEN(J117),IFERROR(FIND("§",SUBSTITUTE(LEFT(J117,I109+1)," ","§",LEN(LEFT(J117,I109+1))-LEN(SUBSTITUTE(LEFT(J117,I109+1)," ",""))))-1,IFERROR(FIND(" ",J117,I109+1)-1,LEN(J117))))))</f>
        <v/>
      </c>
      <c r="L117" s="6327"/>
      <c r="M117" s="6329" t="str">
        <v>rechercher la cellule qui coupe le texte Dans la</v>
      </c>
      <c r="N117" t="s">
        <v>21</v>
      </c>
      <c r="AF117" s="1221"/>
      <c r="AG117" s="1222"/>
      <c r="AH117" s="1222"/>
      <c r="AI117" s="1222"/>
      <c r="AJ117" s="1222"/>
      <c r="AK117" s="1222"/>
      <c r="AL117" s="1223"/>
      <c r="AM117" s="1221"/>
      <c r="AN117" s="1221"/>
      <c r="AO117" s="1219"/>
      <c r="AP117" s="1219"/>
      <c r="AQ117" s="1219"/>
      <c r="AR117" s="1219"/>
      <c r="AS117" s="1219"/>
      <c r="AT117" s="1224" t="s">
        <v>1755</v>
      </c>
      <c r="AV117" s="103"/>
      <c r="AW117" s="31"/>
      <c r="AX117" s="32"/>
      <c r="AY117" s="31"/>
      <c r="AZ117" s="33"/>
      <c r="BA117" s="1967"/>
      <c r="BB117" s="1805"/>
      <c r="BC117" s="91"/>
      <c r="BD117" s="1806"/>
      <c r="BE117" s="6401"/>
      <c r="BF117" s="6402"/>
      <c r="BG117" s="1969"/>
      <c r="BH117" s="6403"/>
      <c r="BI117" s="95"/>
      <c r="BJ117" s="1326"/>
      <c r="BK117" s="6404"/>
      <c r="BL117" s="1737"/>
      <c r="BM117" s="2081"/>
      <c r="BN117" s="2238"/>
      <c r="BO117" s="1809"/>
      <c r="BQ117" s="2230"/>
      <c r="BR117" s="3">
        <v>1</v>
      </c>
    </row>
    <row r="118" spans="2:70" ht="21" customHeight="1">
      <c r="B118" s="6236"/>
      <c r="C118" s="6358">
        <f t="shared" si="53"/>
        <v>150</v>
      </c>
      <c r="D118" s="6359" t="str" cm="1">
        <f t="array" ref="D118">IF(MOD(ROW()-50,14)=0,INDEX(D106:D119,MOD(ROW()-50,14)+1),E116)</f>
        <v/>
      </c>
      <c r="E118" s="6360" t="str">
        <f t="shared" si="54"/>
        <v/>
      </c>
      <c r="F118" s="6361" t="str">
        <f t="shared" si="55"/>
        <v/>
      </c>
      <c r="G118" s="6318" t="str">
        <v>d’olive à feu moyen. Ajoutez la viande et faites-la dorer de tous les côtés. Retirez-la de la cocotte et réservez-la.</v>
      </c>
      <c r="H118" s="6323" t="str">
        <f t="shared" si="56"/>
        <v/>
      </c>
      <c r="I118" s="6373"/>
      <c r="J118" s="6363" t="str">
        <f t="shared" si="57"/>
        <v/>
      </c>
      <c r="K118" s="6364" t="str">
        <f>IF(J118="","",LEFT(J118,IF(LEN(J118)&lt;=I109,LEN(J118),IFERROR(FIND("§",SUBSTITUTE(LEFT(J118,I109+1)," ","§",LEN(LEFT(J118,I109+1))-LEN(SUBSTITUTE(LEFT(J118,I109+1)," ",""))))-1,IFERROR(FIND(" ",J118,I109+1)-1,LEN(J118))))))</f>
        <v/>
      </c>
      <c r="L118" s="6364"/>
      <c r="M118" s="6329" t="str">
        <v>cocotte N°3 en fonte, faites chauffer l’huile d’olive</v>
      </c>
      <c r="N118" t="s">
        <v>21</v>
      </c>
      <c r="AF118" s="3">
        <v>1</v>
      </c>
      <c r="AG118" s="3">
        <v>1</v>
      </c>
      <c r="AH118" s="3"/>
      <c r="AI118" s="3"/>
      <c r="AJ118" s="3"/>
      <c r="AK118" s="3"/>
      <c r="AL118" s="3">
        <v>1</v>
      </c>
      <c r="AM118" s="3">
        <v>1</v>
      </c>
      <c r="AN118" s="3">
        <v>1</v>
      </c>
      <c r="AO118" s="3">
        <v>1</v>
      </c>
      <c r="AP118" s="3">
        <v>1</v>
      </c>
      <c r="AQ118" s="3">
        <v>1</v>
      </c>
      <c r="AR118" s="3">
        <v>1</v>
      </c>
      <c r="AS118" s="3">
        <v>1</v>
      </c>
      <c r="AT118" s="3">
        <v>1</v>
      </c>
      <c r="AV118" s="103"/>
      <c r="AW118" s="31"/>
      <c r="AX118" s="32"/>
      <c r="AY118" s="31"/>
      <c r="AZ118" s="33"/>
      <c r="BA118" s="1967"/>
      <c r="BB118" s="1805"/>
      <c r="BC118" s="91"/>
      <c r="BD118" s="1806"/>
      <c r="BE118" s="6401"/>
      <c r="BF118" s="6402"/>
      <c r="BG118" s="1969"/>
      <c r="BH118" s="6403"/>
      <c r="BI118" s="95"/>
      <c r="BJ118" s="1326"/>
      <c r="BK118" s="6404"/>
      <c r="BL118" s="1737"/>
      <c r="BM118" s="2081"/>
      <c r="BN118" s="2238"/>
      <c r="BO118" s="1809"/>
      <c r="BQ118" s="2230"/>
      <c r="BR118" s="3">
        <v>1</v>
      </c>
    </row>
    <row r="119" spans="2:70" ht="21" customHeight="1">
      <c r="B119" s="6236"/>
      <c r="C119" s="6376">
        <f t="shared" si="53"/>
        <v>150</v>
      </c>
      <c r="D119" s="6414" t="str" cm="1">
        <f t="array" ref="D119">IF(MOD(ROW()-50,14)=0,INDEX(D106:D119,MOD(ROW()-50,14)+1),E117)</f>
        <v/>
      </c>
      <c r="E119" s="6377" t="str">
        <f t="shared" si="54"/>
        <v/>
      </c>
      <c r="F119" s="6378" t="str">
        <f t="shared" si="55"/>
        <v/>
      </c>
      <c r="G119" s="6319" t="str">
        <v>34.TEST LIGNE 19 colonne Q et ligne 20 colonne P. rechercher la cellule qui coupe le texte Dans la cocotte N°3 en fonte, faites chauffer l’huile</v>
      </c>
      <c r="H119" s="6323" t="str">
        <f t="shared" si="56"/>
        <v/>
      </c>
      <c r="I119" s="6379"/>
      <c r="J119" s="6380" t="str">
        <f t="shared" si="57"/>
        <v/>
      </c>
      <c r="K119" s="6381" t="str">
        <f>IF(J119="","",LEFT(J119,IF(LEN(J119)&lt;=I109,LEN(J119),IFERROR(FIND("§",SUBSTITUTE(LEFT(J119,I109+1)," ","§",LEN(LEFT(J119,I109+1))-LEN(SUBSTITUTE(LEFT(J119,I109+1)," ",""))))-1,IFERROR(FIND(" ",J119,I109+1)-1,LEN(J119))))))</f>
        <v/>
      </c>
      <c r="L119" s="6382"/>
      <c r="M119" s="6330" t="str">
        <v>à feu moyen. Ajoutez la viande et faites-la dorer de</v>
      </c>
      <c r="N119" t="s">
        <v>21</v>
      </c>
      <c r="AV119" s="103"/>
      <c r="AW119" s="31"/>
      <c r="AX119" s="32"/>
      <c r="AY119" s="31"/>
      <c r="AZ119" s="33"/>
      <c r="BA119" s="1967"/>
      <c r="BB119" s="1805"/>
      <c r="BC119" s="91"/>
      <c r="BD119" s="1806"/>
      <c r="BE119" s="6401"/>
      <c r="BF119" s="6402"/>
      <c r="BG119" s="1969"/>
      <c r="BH119" s="6403"/>
      <c r="BI119" s="95"/>
      <c r="BJ119" s="1326"/>
      <c r="BK119" s="6404"/>
      <c r="BL119" s="1737"/>
      <c r="BM119" s="2081"/>
      <c r="BN119" s="2238"/>
      <c r="BO119" s="1809"/>
      <c r="BQ119" s="2230"/>
      <c r="BR119" s="3">
        <v>1</v>
      </c>
    </row>
    <row r="120" spans="2:70" ht="21" customHeight="1">
      <c r="B120" s="6236"/>
      <c r="C120" s="6313">
        <f>AD55</f>
        <v>150</v>
      </c>
      <c r="D120" s="6314" t="str">
        <f>IF(UPPER(TRIM(X45))="X",U55,O55)</f>
        <v>6.TEST LIGNE 19 colonne Q et ligne 20 colonne P. rechercher la cellule qui coupe le texte Dans la cocotte N°3 en fonte, faites chauffer l’huile d’olive à feu moyen. Ajoutez la viande et faites-la dorer de tous les côtés. Retirez-la de la cocotte et réservez-la.</v>
      </c>
      <c r="E120" s="6383" t="str">
        <f>IF(D120="","",IF(F120="","",IF(LEN(F120)&gt;=LEN(D120),"",TRIM(MID(D120,LEN(F120)+1,99999)))))</f>
        <v>d’olive à feu moyen. Ajoutez la viande et faites-la dorer de tous les côtés. Retirez-la de la cocotte et réservez-la.</v>
      </c>
      <c r="F120" s="6384" t="str">
        <f>IF(D120="","",IF(LEN(D120)&lt;=C120,D120,IFERROR(LEFT(D120,FIND("§",SUBSTITUTE(LEFT(D120,C120+1)," ","§",LEN(LEFT(D120,C120+1))-LEN(SUBSTITUTE(LEFT(D120,C120+1)," ",""))))-1),LEFT(D120,C120))))</f>
        <v>6.TEST LIGNE 19 colonne Q et ligne 20 colonne P. rechercher la cellule qui coupe le texte Dans la cocotte N°3 en fonte, faites chauffer l’huile</v>
      </c>
      <c r="G120" s="6320" t="str">
        <v>d’olive à feu moyen. Ajoutez la viande et faites-la dorer de tous les côtés. Retirez-la de la cocotte et réservez-la.</v>
      </c>
      <c r="H120" s="6385">
        <f>IF(LEN(TRIM(L120))&gt;0,MAX(H119:H119)+1,"")</f>
        <v>1</v>
      </c>
      <c r="I120" s="6324" t="str">
        <f>D120</f>
        <v>6.TEST LIGNE 19 colonne Q et ligne 20 colonne P. rechercher la cellule qui coupe le texte Dans la cocotte N°3 en fonte, faites chauffer l’huile d’olive à feu moyen. Ajoutez la viande et faites-la dorer de tous les côtés. Retirez-la de la cocotte et réservez-la.</v>
      </c>
      <c r="J120" s="6386" t="str">
        <f>IF(I120=0,"",I120)</f>
        <v>6.TEST LIGNE 19 colonne Q et ligne 20 colonne P. rechercher la cellule qui coupe le texte Dans la cocotte N°3 en fonte, faites chauffer l’huile d’olive à feu moyen. Ajoutez la viande et faites-la dorer de tous les côtés. Retirez-la de la cocotte et réservez-la.</v>
      </c>
      <c r="K120" s="6387" t="str">
        <f>IF(I120="","",LEFT(I120,IF(LEN(I120)&lt;=I123,LEN(I120),IFERROR(FIND("§",SUBSTITUTE(LEFT(I120,I123+1)," ","§",LEN(LEFT(I120,I123+1))-LEN(SUBSTITUTE(LEFT(I120,I123+1)," ",""))))-1,IFERROR(FIND(" ",I120,I123+1)-1,LEN(I120))))))</f>
        <v>6.TEST LIGNE 19 colonne Q et ligne 20 colonne P.</v>
      </c>
      <c r="L120" s="6388" t="str" cm="1">
        <f t="array" ref="L120:L125">_xlfn._xlws.FILTER(TRIM(SUBSTITUTE(SUBSTITUTE(SUBSTITUTE(SUBSTITUTE(SUBSTITUTE(CLEAN(K120:K133),CHAR(160)," "),_xlfn.UNICHAR(8239)," "),CHAR(9)," "),CHAR(10)," "),CHAR(13)," ")),TRIM(SUBSTITUTE(SUBSTITUTE(SUBSTITUTE(SUBSTITUTE(SUBSTITUTE(CLEAN(K120:K133),CHAR(160)," "),_xlfn.UNICHAR(8239)," "),CHAR(9)," "),CHAR(10)," "),CHAR(13)," "))&lt;&gt;"")</f>
        <v>6.TEST LIGNE 19 colonne Q et ligne 20 colonne P.</v>
      </c>
      <c r="M120" s="6331" t="str">
        <v>tous les côtés. Retirez-la de la cocotte et</v>
      </c>
      <c r="N120" t="s">
        <v>21</v>
      </c>
      <c r="AV120" s="103"/>
      <c r="AW120" s="31"/>
      <c r="AX120" s="32"/>
      <c r="AY120" s="31"/>
      <c r="AZ120" s="33"/>
      <c r="BA120" s="1967"/>
      <c r="BB120" s="1805"/>
      <c r="BC120" s="91"/>
      <c r="BD120" s="1806"/>
      <c r="BE120" s="6401"/>
      <c r="BF120" s="6402"/>
      <c r="BG120" s="1969"/>
      <c r="BH120" s="6403"/>
      <c r="BI120" s="95"/>
      <c r="BJ120" s="1326"/>
      <c r="BK120" s="6404"/>
      <c r="BL120" s="1737"/>
      <c r="BM120" s="2081"/>
      <c r="BN120" s="2238"/>
      <c r="BO120" s="1809"/>
      <c r="BQ120" s="2230"/>
      <c r="BR120" s="3">
        <v>1</v>
      </c>
    </row>
    <row r="121" spans="2:70" ht="21" customHeight="1">
      <c r="B121" s="6236"/>
      <c r="C121" s="6358">
        <f t="shared" ref="C121:C133" si="58">C120</f>
        <v>150</v>
      </c>
      <c r="D121" s="6390" t="str" cm="1">
        <f t="array" ref="D121">IF(MOD(ROW()-50,14)=0,INDEX(D120:D133,MOD(ROW()-50,14)+1),E119)</f>
        <v/>
      </c>
      <c r="E121" s="6391" t="str">
        <f t="shared" ref="E121:E133" si="59">IF(D121="","",IF(F121="","",IF(LEN(F121)&gt;=LEN(D121),"",TRIM(MID(D121,LEN(F121)+1,99999)))))</f>
        <v/>
      </c>
      <c r="F121" s="6392" t="str">
        <f t="shared" ref="F121:F133" si="60">IF(D121="","",IF(LEN(D121)&lt;=C121,D121,IFERROR(LEFT(D121,FIND("§",SUBSTITUTE(LEFT(D121,C121+1)," ","§",LEN(LEFT(D121,C121+1))-LEN(SUBSTITUTE(LEFT(D121,C121+1)," ",""))))-1),LEFT(D121,C121))))</f>
        <v/>
      </c>
      <c r="G121" s="6321" t="str">
        <v>35.TEST LIGNE 19 colonne Q et ligne 20 colonne P. rechercher la cellule qui coupe le texte Dans la cocotte N°3 en fonte, faites chauffer l’huile</v>
      </c>
      <c r="H121" s="6393">
        <f t="shared" ref="H121:H133" si="61">IF(LEN(TRIM(L121))&gt;0,MAX(H120:H120)+1,"")</f>
        <v>2</v>
      </c>
      <c r="I121" s="6394" t="s">
        <v>14355</v>
      </c>
      <c r="J121" s="6395" t="str">
        <f>TRIM(MID(I124,LEN(K120)+1,99999))</f>
        <v>rechercher la cellule qui coupe le texte Dans la cocotte N°3 en fonte, faites chauffer l’huile d’olive à feu moyen. Ajoutez la viande et faites-la dorer de tous les côtés. Retirez-la de la cocotte et réservez-la.</v>
      </c>
      <c r="K121" s="6396" t="str">
        <f>IF(J121="","",LEFT(J121,IF(LEN(J121)&lt;=I123,LEN(J121),IFERROR(FIND("§",SUBSTITUTE(LEFT(J121,I123+1)," ","§",LEN(LEFT(J121,I123+1))-LEN(SUBSTITUTE(LEFT(J121,I123+1)," ",""))))-1,IFERROR(FIND(" ",J121,I123+1)-1,LEN(J121))))))</f>
        <v>rechercher la cellule qui coupe le texte Dans la</v>
      </c>
      <c r="L121" s="6388" t="str">
        <v>rechercher la cellule qui coupe le texte Dans la</v>
      </c>
      <c r="M121" s="6332" t="str">
        <v>réservez-la.</v>
      </c>
      <c r="N121" t="s">
        <v>21</v>
      </c>
      <c r="AV121" s="103"/>
      <c r="AW121" s="31"/>
      <c r="AX121" s="32"/>
      <c r="AY121" s="31"/>
      <c r="AZ121" s="33"/>
      <c r="BA121" s="1967"/>
      <c r="BB121" s="1805"/>
      <c r="BC121" s="91"/>
      <c r="BD121" s="1806"/>
      <c r="BE121" s="6401"/>
      <c r="BF121" s="6402"/>
      <c r="BG121" s="1969"/>
      <c r="BH121" s="6403"/>
      <c r="BI121" s="95"/>
      <c r="BJ121" s="1326"/>
      <c r="BK121" s="6404"/>
      <c r="BL121" s="1737"/>
      <c r="BM121" s="2081"/>
      <c r="BN121" s="2238"/>
      <c r="BO121" s="1809"/>
      <c r="BQ121" s="2230"/>
      <c r="BR121" s="3">
        <v>1</v>
      </c>
    </row>
    <row r="122" spans="2:70" ht="21" customHeight="1">
      <c r="B122" s="6236"/>
      <c r="C122" s="6358">
        <f t="shared" si="58"/>
        <v>150</v>
      </c>
      <c r="D122" s="6390" t="str" cm="1">
        <f t="array" ref="D122">IF(MOD(ROW()-50,14)=0,INDEX(D120:D133,MOD(ROW()-50,14)+1),E120)</f>
        <v>d’olive à feu moyen. Ajoutez la viande et faites-la dorer de tous les côtés. Retirez-la de la cocotte et réservez-la.</v>
      </c>
      <c r="E122" s="6391" t="str">
        <f t="shared" si="59"/>
        <v/>
      </c>
      <c r="F122" s="6392" t="str">
        <f t="shared" si="60"/>
        <v>d’olive à feu moyen. Ajoutez la viande et faites-la dorer de tous les côtés. Retirez-la de la cocotte et réservez-la.</v>
      </c>
      <c r="G122" s="6321" t="str">
        <v>d’olive à feu moyen. Ajoutez la viande et faites-la dorer de tous les côtés. Retirez-la de la cocotte et réservez-la.</v>
      </c>
      <c r="H122" s="6393">
        <f t="shared" si="61"/>
        <v>3</v>
      </c>
      <c r="I122" s="6365">
        <f>Z55</f>
        <v>5</v>
      </c>
      <c r="J122" s="6395" t="str">
        <f t="shared" ref="J122:J133" si="62">TRIM(MID(J121,LEN(K121)+1,99999))</f>
        <v>cocotte N°3 en fonte, faites chauffer l’huile d’olive à feu moyen. Ajoutez la viande et faites-la dorer de tous les côtés. Retirez-la de la cocotte et réservez-la.</v>
      </c>
      <c r="K122" s="6396" t="str">
        <f>IF(J122="","",LEFT(J122,IF(LEN(J122)&lt;=I123,LEN(J122),IFERROR(FIND("§",SUBSTITUTE(LEFT(J122,I123+1)," ","§",LEN(LEFT(J122,I123+1))-LEN(SUBSTITUTE(LEFT(J122,I123+1)," ",""))))-1,IFERROR(FIND(" ",J122,I123+1)-1,LEN(J122))))))</f>
        <v>cocotte N°3 en fonte, faites chauffer l’huile d’olive</v>
      </c>
      <c r="L122" s="6388" t="str">
        <v>cocotte N°3 en fonte, faites chauffer l’huile d’olive</v>
      </c>
      <c r="M122" s="6332" t="str">
        <v>13.TEST LIGNE 19 colonne Q et ligne 20 colonne P.</v>
      </c>
      <c r="N122" t="s">
        <v>21</v>
      </c>
      <c r="AV122" s="103"/>
      <c r="AW122" s="31"/>
      <c r="AX122" s="32"/>
      <c r="AY122" s="31"/>
      <c r="AZ122" s="33"/>
      <c r="BA122" s="1967"/>
      <c r="BB122" s="1805"/>
      <c r="BC122" s="91"/>
      <c r="BD122" s="1806"/>
      <c r="BE122" s="6401"/>
      <c r="BF122" s="6402"/>
      <c r="BG122" s="1969"/>
      <c r="BH122" s="6403"/>
      <c r="BI122" s="95"/>
      <c r="BJ122" s="1326"/>
      <c r="BK122" s="6404"/>
      <c r="BL122" s="1737"/>
      <c r="BM122" s="2081"/>
      <c r="BN122" s="2238"/>
      <c r="BO122" s="1809"/>
      <c r="BQ122" s="2230"/>
      <c r="BR122" s="3">
        <v>1</v>
      </c>
    </row>
    <row r="123" spans="2:70" ht="21" customHeight="1">
      <c r="B123" s="6236"/>
      <c r="C123" s="6358">
        <f t="shared" si="58"/>
        <v>150</v>
      </c>
      <c r="D123" s="6390" t="str" cm="1">
        <f t="array" ref="D123">IF(MOD(ROW()-50,14)=0,INDEX(D120:D133,MOD(ROW()-50,14)+1),E121)</f>
        <v/>
      </c>
      <c r="E123" s="6391" t="str">
        <f t="shared" si="59"/>
        <v/>
      </c>
      <c r="F123" s="6392" t="str">
        <f t="shared" si="60"/>
        <v/>
      </c>
      <c r="G123" s="6321" t="str">
        <v>36.TEST LIGNE 19 colonne Q et ligne 20 colonne P. rechercher la cellule qui coupe le texte Dans la cocotte N°3 en fonte, faites chauffer l’huile</v>
      </c>
      <c r="H123" s="6393">
        <f t="shared" si="61"/>
        <v>4</v>
      </c>
      <c r="I123" s="6398">
        <f>IF(OR(J120="",I122="",I122&lt;=0),"",ROUNDUP(LEN(J120)/I122,0))</f>
        <v>53</v>
      </c>
      <c r="J123" s="6395" t="str">
        <f t="shared" si="62"/>
        <v>à feu moyen. Ajoutez la viande et faites-la dorer de tous les côtés. Retirez-la de la cocotte et réservez-la.</v>
      </c>
      <c r="K123" s="6396" t="str">
        <f>IF(J123="","",LEFT(J123,IF(LEN(J123)&lt;=I123,LEN(J123),IFERROR(FIND("§",SUBSTITUTE(LEFT(J123,I123+1)," ","§",LEN(LEFT(J123,I123+1))-LEN(SUBSTITUTE(LEFT(J123,I123+1)," ",""))))-1,IFERROR(FIND(" ",J123,I123+1)-1,LEN(J123))))))</f>
        <v>à feu moyen. Ajoutez la viande et faites-la dorer de</v>
      </c>
      <c r="L123" s="6388" t="str">
        <v>à feu moyen. Ajoutez la viande et faites-la dorer de</v>
      </c>
      <c r="M123" s="6332" t="str">
        <v>rechercher la cellule qui coupe le texte Dans la</v>
      </c>
      <c r="N123" t="s">
        <v>21</v>
      </c>
      <c r="AV123" s="103"/>
      <c r="AW123" s="31"/>
      <c r="AX123" s="32"/>
      <c r="AY123" s="31"/>
      <c r="AZ123" s="33"/>
      <c r="BA123" s="1967"/>
      <c r="BB123" s="1805"/>
      <c r="BC123" s="91"/>
      <c r="BD123" s="1806"/>
      <c r="BE123" s="6401"/>
      <c r="BF123" s="6402"/>
      <c r="BG123" s="1969"/>
      <c r="BH123" s="6403"/>
      <c r="BI123" s="95"/>
      <c r="BJ123" s="1326"/>
      <c r="BK123" s="6404"/>
      <c r="BL123" s="1737"/>
      <c r="BM123" s="2081"/>
      <c r="BN123" s="2238"/>
      <c r="BO123" s="1809"/>
      <c r="BQ123" s="2230"/>
      <c r="BR123" s="3">
        <v>1</v>
      </c>
    </row>
    <row r="124" spans="2:70" ht="21" customHeight="1">
      <c r="B124" s="6236"/>
      <c r="C124" s="6358">
        <f t="shared" si="58"/>
        <v>150</v>
      </c>
      <c r="D124" s="6390" t="str" cm="1">
        <f t="array" ref="D124">IF(MOD(ROW()-50,14)=0,INDEX(D120:D133,MOD(ROW()-50,14)+1),E122)</f>
        <v/>
      </c>
      <c r="E124" s="6391" t="str">
        <f t="shared" si="59"/>
        <v/>
      </c>
      <c r="F124" s="6392" t="str">
        <f t="shared" si="60"/>
        <v/>
      </c>
      <c r="G124" s="6321" t="str">
        <v>d’olive à feu moyen. Ajoutez la viande et faites-la dorer de tous les côtés. Retirez-la de la cocotte et réservez-la.</v>
      </c>
      <c r="H124" s="6393">
        <f t="shared" si="61"/>
        <v>5</v>
      </c>
      <c r="I124" s="6400" t="str">
        <f>I120</f>
        <v>6.TEST LIGNE 19 colonne Q et ligne 20 colonne P. rechercher la cellule qui coupe le texte Dans la cocotte N°3 en fonte, faites chauffer l’huile d’olive à feu moyen. Ajoutez la viande et faites-la dorer de tous les côtés. Retirez-la de la cocotte et réservez-la.</v>
      </c>
      <c r="J124" s="6395" t="str">
        <f t="shared" si="62"/>
        <v>tous les côtés. Retirez-la de la cocotte et réservez-la.</v>
      </c>
      <c r="K124" s="6396" t="str">
        <f>IF(J124="","",LEFT(J124,IF(LEN(J124)&lt;=I123,LEN(J124),IFERROR(FIND("§",SUBSTITUTE(LEFT(J124,I123+1)," ","§",LEN(LEFT(J124,I123+1))-LEN(SUBSTITUTE(LEFT(J124,I123+1)," ",""))))-1,IFERROR(FIND(" ",J124,I123+1)-1,LEN(J124))))))</f>
        <v>tous les côtés. Retirez-la de la cocotte et</v>
      </c>
      <c r="L124" s="6388" t="str">
        <v>tous les côtés. Retirez-la de la cocotte et</v>
      </c>
      <c r="M124" s="6332" t="str">
        <v>cocotte N°3 en fonte, faites chauffer l’huile d’olive</v>
      </c>
      <c r="N124" t="s">
        <v>21</v>
      </c>
      <c r="AV124" s="103"/>
      <c r="AW124" s="31"/>
      <c r="AX124" s="32"/>
      <c r="AY124" s="31"/>
      <c r="AZ124" s="33"/>
      <c r="BA124" s="1967"/>
      <c r="BB124" s="1805"/>
      <c r="BC124" s="91"/>
      <c r="BD124" s="1806"/>
      <c r="BE124" s="6401"/>
      <c r="BF124" s="6402"/>
      <c r="BG124" s="1969"/>
      <c r="BH124" s="6403"/>
      <c r="BI124" s="95"/>
      <c r="BJ124" s="1326"/>
      <c r="BK124" s="6404"/>
      <c r="BL124" s="1737"/>
      <c r="BM124" s="2081"/>
      <c r="BN124" s="2238"/>
      <c r="BO124" s="1809"/>
      <c r="BQ124" s="2230"/>
      <c r="BR124" s="3">
        <v>1</v>
      </c>
    </row>
    <row r="125" spans="2:70" ht="21" customHeight="1">
      <c r="B125" s="6236"/>
      <c r="C125" s="6358">
        <f t="shared" si="58"/>
        <v>150</v>
      </c>
      <c r="D125" s="6390" t="str" cm="1">
        <f t="array" ref="D125">IF(MOD(ROW()-50,14)=0,INDEX(D120:D133,MOD(ROW()-50,14)+1),E123)</f>
        <v/>
      </c>
      <c r="E125" s="6391" t="str">
        <f t="shared" si="59"/>
        <v/>
      </c>
      <c r="F125" s="6392" t="str">
        <f t="shared" si="60"/>
        <v/>
      </c>
      <c r="G125" s="6321" t="str">
        <v>37.TEST LIGNE 19 colonne Q et ligne 20 colonne P. rechercher la cellule qui coupe le texte Dans la cocotte N°3 en fonte, faites chauffer l’huile</v>
      </c>
      <c r="H125" s="6393">
        <f t="shared" si="61"/>
        <v>6</v>
      </c>
      <c r="I125" s="6405"/>
      <c r="J125" s="6395" t="str">
        <f t="shared" si="62"/>
        <v>réservez-la.</v>
      </c>
      <c r="K125" s="6396" t="str">
        <f>IF(J125="","",LEFT(J125,IF(LEN(J125)&lt;=I123,LEN(J125),IFERROR(FIND("§",SUBSTITUTE(LEFT(J125,I123+1)," ","§",LEN(LEFT(J125,I123+1))-LEN(SUBSTITUTE(LEFT(J125,I123+1)," ",""))))-1,IFERROR(FIND(" ",J125,I123+1)-1,LEN(J125))))))</f>
        <v>réservez-la.</v>
      </c>
      <c r="L125" s="6388" t="str">
        <v>réservez-la.</v>
      </c>
      <c r="M125" s="6332" t="str">
        <v>à feu moyen. Ajoutez la viande et faites-la dorer de</v>
      </c>
      <c r="N125" t="s">
        <v>21</v>
      </c>
      <c r="AV125" s="103"/>
      <c r="AW125" s="31"/>
      <c r="AX125" s="32"/>
      <c r="AY125" s="31"/>
      <c r="AZ125" s="33"/>
      <c r="BA125" s="1967"/>
      <c r="BB125" s="1805"/>
      <c r="BC125" s="91"/>
      <c r="BD125" s="1806"/>
      <c r="BE125" s="6401"/>
      <c r="BF125" s="6402"/>
      <c r="BG125" s="1969"/>
      <c r="BH125" s="6403"/>
      <c r="BI125" s="95"/>
      <c r="BJ125" s="1326"/>
      <c r="BK125" s="6404"/>
      <c r="BL125" s="1737"/>
      <c r="BM125" s="2081"/>
      <c r="BN125" s="2238"/>
      <c r="BO125" s="1809"/>
      <c r="BQ125" s="2230"/>
      <c r="BR125" s="3">
        <v>1</v>
      </c>
    </row>
    <row r="126" spans="2:70" ht="21" customHeight="1">
      <c r="B126" s="6236"/>
      <c r="C126" s="6358">
        <f t="shared" si="58"/>
        <v>150</v>
      </c>
      <c r="D126" s="6390" t="str" cm="1">
        <f t="array" ref="D126">IF(MOD(ROW()-50,14)=0,INDEX(D120:D133,MOD(ROW()-50,14)+1),E124)</f>
        <v/>
      </c>
      <c r="E126" s="6391" t="str">
        <f t="shared" si="59"/>
        <v/>
      </c>
      <c r="F126" s="6392" t="str">
        <f t="shared" si="60"/>
        <v/>
      </c>
      <c r="G126" s="6321" t="str">
        <v>d’olive à feu moyen. Ajoutez la viande et faites-la dorer de tous les côtés. Retirez-la de la cocotte et réservez-la.</v>
      </c>
      <c r="H126" s="6393" t="str">
        <f t="shared" si="61"/>
        <v/>
      </c>
      <c r="I126" s="6405"/>
      <c r="J126" s="6395" t="str">
        <f t="shared" si="62"/>
        <v/>
      </c>
      <c r="K126" s="6396" t="str">
        <f>IF(J126="","",LEFT(J126,IF(LEN(J126)&lt;=I123,LEN(J126),IFERROR(FIND("§",SUBSTITUTE(LEFT(J126,I123+1)," ","§",LEN(LEFT(J126,I123+1))-LEN(SUBSTITUTE(LEFT(J126,I123+1)," ",""))))-1,IFERROR(FIND(" ",J126,I123+1)-1,LEN(J126))))))</f>
        <v/>
      </c>
      <c r="L126" s="6388"/>
      <c r="M126" s="6332" t="str">
        <v>tous les côtés. Retirez-la de la cocotte et</v>
      </c>
      <c r="N126" t="s">
        <v>21</v>
      </c>
      <c r="AV126" s="103"/>
      <c r="AW126" s="31"/>
      <c r="AX126" s="32"/>
      <c r="AY126" s="31"/>
      <c r="AZ126" s="33"/>
      <c r="BA126" s="1967"/>
      <c r="BB126" s="1805"/>
      <c r="BC126" s="91"/>
      <c r="BD126" s="1806"/>
      <c r="BE126" s="6401"/>
      <c r="BF126" s="6402"/>
      <c r="BG126" s="1969"/>
      <c r="BH126" s="6403"/>
      <c r="BI126" s="95"/>
      <c r="BJ126" s="1326"/>
      <c r="BK126" s="6404"/>
      <c r="BL126" s="1737"/>
      <c r="BM126" s="2081"/>
      <c r="BN126" s="2238"/>
      <c r="BO126" s="1809"/>
      <c r="BQ126" s="2230"/>
      <c r="BR126" s="3">
        <v>1</v>
      </c>
    </row>
    <row r="127" spans="2:70" ht="21" customHeight="1">
      <c r="B127" s="6236"/>
      <c r="C127" s="6358">
        <f t="shared" si="58"/>
        <v>150</v>
      </c>
      <c r="D127" s="6390" t="str" cm="1">
        <f t="array" ref="D127">IF(MOD(ROW()-50,14)=0,INDEX(D120:D133,MOD(ROW()-50,14)+1),E125)</f>
        <v/>
      </c>
      <c r="E127" s="6391" t="str">
        <f t="shared" si="59"/>
        <v/>
      </c>
      <c r="F127" s="6392" t="str">
        <f t="shared" si="60"/>
        <v/>
      </c>
      <c r="G127" s="6321" t="str">
        <v>38.TEST LIGNE 19 colonne Q et ligne 20 colonne P. rechercher la cellule qui coupe le texte Dans la cocotte N°3 en fonte, faites chauffer l’huile</v>
      </c>
      <c r="H127" s="6393" t="str">
        <f t="shared" si="61"/>
        <v/>
      </c>
      <c r="I127" s="6405"/>
      <c r="J127" s="6395" t="str">
        <f t="shared" si="62"/>
        <v/>
      </c>
      <c r="K127" s="6396" t="str">
        <f>IF(J127="","",LEFT(J127,IF(LEN(J127)&lt;=I123,LEN(J127),IFERROR(FIND("§",SUBSTITUTE(LEFT(J127,I123+1)," ","§",LEN(LEFT(J127,I123+1))-LEN(SUBSTITUTE(LEFT(J127,I123+1)," ",""))))-1,IFERROR(FIND(" ",J127,I123+1)-1,LEN(J127))))))</f>
        <v/>
      </c>
      <c r="L127" s="6388"/>
      <c r="M127" s="6332" t="str">
        <v>réservez-la.</v>
      </c>
      <c r="N127" t="s">
        <v>21</v>
      </c>
      <c r="AV127" s="103"/>
      <c r="AW127" s="31"/>
      <c r="AX127" s="32"/>
      <c r="AY127" s="31"/>
      <c r="AZ127" s="33"/>
      <c r="BA127" s="1967"/>
      <c r="BB127" s="1805"/>
      <c r="BC127" s="91"/>
      <c r="BD127" s="1806"/>
      <c r="BE127" s="6401"/>
      <c r="BF127" s="6402"/>
      <c r="BG127" s="1969"/>
      <c r="BH127" s="6403"/>
      <c r="BI127" s="95"/>
      <c r="BJ127" s="1326"/>
      <c r="BK127" s="6404"/>
      <c r="BL127" s="1737"/>
      <c r="BM127" s="2081"/>
      <c r="BN127" s="2238"/>
      <c r="BO127" s="1809"/>
      <c r="BQ127" s="2230"/>
      <c r="BR127" s="3">
        <v>1</v>
      </c>
    </row>
    <row r="128" spans="2:70" ht="21" customHeight="1">
      <c r="B128" s="6236"/>
      <c r="C128" s="6358">
        <f t="shared" si="58"/>
        <v>150</v>
      </c>
      <c r="D128" s="6390" t="str" cm="1">
        <f t="array" ref="D128">IF(MOD(ROW()-50,14)=0,INDEX(D120:D133,MOD(ROW()-50,14)+1),E126)</f>
        <v/>
      </c>
      <c r="E128" s="6391" t="str">
        <f t="shared" si="59"/>
        <v/>
      </c>
      <c r="F128" s="6392" t="str">
        <f t="shared" si="60"/>
        <v/>
      </c>
      <c r="G128" s="6321" t="str">
        <v>d’olive à feu moyen. Ajoutez la viande et faites-la dorer de tous les côtés. Retirez-la de la cocotte et réservez-la.</v>
      </c>
      <c r="H128" s="6393" t="str">
        <f t="shared" si="61"/>
        <v/>
      </c>
      <c r="I128" s="6405"/>
      <c r="J128" s="6395" t="str">
        <f t="shared" si="62"/>
        <v/>
      </c>
      <c r="K128" s="6396" t="str">
        <f>IF(J128="","",LEFT(J128,IF(LEN(J128)&lt;=I123,LEN(J128),IFERROR(FIND("§",SUBSTITUTE(LEFT(J128,I123+1)," ","§",LEN(LEFT(J128,I123+1))-LEN(SUBSTITUTE(LEFT(J128,I123+1)," ",""))))-1,IFERROR(FIND(" ",J128,I123+1)-1,LEN(J128))))))</f>
        <v/>
      </c>
      <c r="L128" s="6388"/>
      <c r="M128" s="6332" t="str">
        <v>14.TEST LIGNE 19 colonne Q et ligne 20 colonne P.</v>
      </c>
      <c r="N128" t="s">
        <v>21</v>
      </c>
      <c r="AV128" s="103"/>
      <c r="AW128" s="31"/>
      <c r="AX128" s="32"/>
      <c r="AY128" s="31"/>
      <c r="AZ128" s="33"/>
      <c r="BA128" s="1967"/>
      <c r="BB128" s="1805"/>
      <c r="BC128" s="91"/>
      <c r="BD128" s="1806"/>
      <c r="BE128" s="6401"/>
      <c r="BF128" s="6402"/>
      <c r="BG128" s="1969"/>
      <c r="BH128" s="6403"/>
      <c r="BI128" s="95"/>
      <c r="BJ128" s="1326"/>
      <c r="BK128" s="6404"/>
      <c r="BL128" s="1737"/>
      <c r="BM128" s="2081"/>
      <c r="BN128" s="2238"/>
      <c r="BO128" s="1809"/>
      <c r="BQ128" s="2230"/>
      <c r="BR128" s="3">
        <v>1</v>
      </c>
    </row>
    <row r="129" spans="2:70" ht="21" customHeight="1">
      <c r="B129" s="6236"/>
      <c r="C129" s="6358">
        <f t="shared" si="58"/>
        <v>150</v>
      </c>
      <c r="D129" s="6390" t="str" cm="1">
        <f t="array" ref="D129">IF(MOD(ROW()-50,14)=0,INDEX(D120:D133,MOD(ROW()-50,14)+1),E127)</f>
        <v/>
      </c>
      <c r="E129" s="6391" t="str">
        <f t="shared" si="59"/>
        <v/>
      </c>
      <c r="F129" s="6392" t="str">
        <f t="shared" si="60"/>
        <v/>
      </c>
      <c r="G129" s="6321" t="str">
        <v>39.TEST LIGNE 19 colonne Q et ligne 20 colonne P. rechercher la cellule qui coupe le texte Dans la cocotte N°3 en fonte, faites chauffer l’huile</v>
      </c>
      <c r="H129" s="6393" t="str">
        <f t="shared" si="61"/>
        <v/>
      </c>
      <c r="I129" s="6405"/>
      <c r="J129" s="6395" t="str">
        <f t="shared" si="62"/>
        <v/>
      </c>
      <c r="K129" s="6396" t="str">
        <f>IF(J129="","",LEFT(J129,IF(LEN(J129)&lt;=I123,LEN(J129),IFERROR(FIND("§",SUBSTITUTE(LEFT(J129,I123+1)," ","§",LEN(LEFT(J129,I123+1))-LEN(SUBSTITUTE(LEFT(J129,I123+1)," ",""))))-1,IFERROR(FIND(" ",J129,I123+1)-1,LEN(J129))))))</f>
        <v/>
      </c>
      <c r="L129" s="6388"/>
      <c r="M129" s="6332" t="str">
        <v>rechercher la cellule qui coupe le texte Dans la</v>
      </c>
      <c r="N129" t="s">
        <v>21</v>
      </c>
      <c r="AV129" s="103"/>
      <c r="AW129" s="31"/>
      <c r="AX129" s="32"/>
      <c r="AY129" s="31"/>
      <c r="AZ129" s="33"/>
      <c r="BA129" s="1967"/>
      <c r="BB129" s="1805"/>
      <c r="BC129" s="91"/>
      <c r="BD129" s="1806"/>
      <c r="BE129" s="6401"/>
      <c r="BF129" s="6402"/>
      <c r="BG129" s="1969"/>
      <c r="BH129" s="6403"/>
      <c r="BI129" s="95"/>
      <c r="BJ129" s="1326"/>
      <c r="BK129" s="6404"/>
      <c r="BL129" s="1737"/>
      <c r="BM129" s="2081"/>
      <c r="BN129" s="2238"/>
      <c r="BO129" s="1809"/>
      <c r="BQ129" s="2230"/>
      <c r="BR129" s="3">
        <v>1</v>
      </c>
    </row>
    <row r="130" spans="2:70" ht="21" customHeight="1">
      <c r="B130" s="6236"/>
      <c r="C130" s="6358">
        <f t="shared" si="58"/>
        <v>150</v>
      </c>
      <c r="D130" s="6390" t="str" cm="1">
        <f t="array" ref="D130">IF(MOD(ROW()-50,14)=0,INDEX(D120:D133,MOD(ROW()-50,14)+1),E128)</f>
        <v/>
      </c>
      <c r="E130" s="6391" t="str">
        <f t="shared" si="59"/>
        <v/>
      </c>
      <c r="F130" s="6392" t="str">
        <f t="shared" si="60"/>
        <v/>
      </c>
      <c r="G130" s="6321" t="str">
        <v>d’olive à feu moyen. Ajoutez la viande et faites-la dorer de tous les côtés. Retirez-la de la cocotte et réservez-la.</v>
      </c>
      <c r="H130" s="6393" t="str">
        <f t="shared" si="61"/>
        <v/>
      </c>
      <c r="I130" s="6405"/>
      <c r="J130" s="6395" t="str">
        <f t="shared" si="62"/>
        <v/>
      </c>
      <c r="K130" s="6396" t="str">
        <f>IF(J130="","",LEFT(J130,IF(LEN(J130)&lt;=I123,LEN(J130),IFERROR(FIND("§",SUBSTITUTE(LEFT(J130,I123+1)," ","§",LEN(LEFT(J130,I123+1))-LEN(SUBSTITUTE(LEFT(J130,I123+1)," ",""))))-1,IFERROR(FIND(" ",J130,I123+1)-1,LEN(J130))))))</f>
        <v/>
      </c>
      <c r="L130" s="6388"/>
      <c r="M130" s="6332" t="str">
        <v>cocotte N°3 en fonte, faites chauffer l’huile d’olive</v>
      </c>
      <c r="N130" t="s">
        <v>21</v>
      </c>
      <c r="AV130" s="103"/>
      <c r="AW130" s="31"/>
      <c r="AX130" s="32"/>
      <c r="AY130" s="31"/>
      <c r="AZ130" s="33"/>
      <c r="BA130" s="1967"/>
      <c r="BB130" s="1805"/>
      <c r="BC130" s="91"/>
      <c r="BD130" s="1806"/>
      <c r="BE130" s="6401"/>
      <c r="BF130" s="6402"/>
      <c r="BG130" s="1969"/>
      <c r="BH130" s="6403"/>
      <c r="BI130" s="95"/>
      <c r="BJ130" s="1326"/>
      <c r="BK130" s="6404"/>
      <c r="BL130" s="1737"/>
      <c r="BM130" s="2081"/>
      <c r="BN130" s="2238"/>
      <c r="BO130" s="1809"/>
      <c r="BQ130" s="2230"/>
      <c r="BR130" s="3">
        <v>1</v>
      </c>
    </row>
    <row r="131" spans="2:70" ht="21" customHeight="1">
      <c r="B131" s="6236"/>
      <c r="C131" s="6358">
        <f t="shared" si="58"/>
        <v>150</v>
      </c>
      <c r="D131" s="6390" t="str" cm="1">
        <f t="array" ref="D131">IF(MOD(ROW()-50,14)=0,INDEX(D120:D133,MOD(ROW()-50,14)+1),E129)</f>
        <v/>
      </c>
      <c r="E131" s="6391" t="str">
        <f t="shared" si="59"/>
        <v/>
      </c>
      <c r="F131" s="6392" t="str">
        <f t="shared" si="60"/>
        <v/>
      </c>
      <c r="G131" s="6321" t="str">
        <v>40.TEST LIGNE 19 colonne Q et ligne 20 colonne P. rechercher la cellule qui coupe le texte Dans la cocotte N°3 en fonte, faites chauffer l’huile</v>
      </c>
      <c r="H131" s="6393" t="str">
        <f t="shared" si="61"/>
        <v/>
      </c>
      <c r="I131" s="6405"/>
      <c r="J131" s="6395" t="str">
        <f t="shared" si="62"/>
        <v/>
      </c>
      <c r="K131" s="6396" t="str">
        <f>IF(J131="","",LEFT(J131,IF(LEN(J131)&lt;=I123,LEN(J131),IFERROR(FIND("§",SUBSTITUTE(LEFT(J131,I123+1)," ","§",LEN(LEFT(J131,I123+1))-LEN(SUBSTITUTE(LEFT(J131,I123+1)," ",""))))-1,IFERROR(FIND(" ",J131,I123+1)-1,LEN(J131))))))</f>
        <v/>
      </c>
      <c r="L131" s="6388"/>
      <c r="M131" s="6332" t="str">
        <v>à feu moyen. Ajoutez la viande et faites-la dorer de</v>
      </c>
      <c r="N131" t="s">
        <v>21</v>
      </c>
      <c r="AV131" s="103"/>
      <c r="AW131" s="31"/>
      <c r="AX131" s="32"/>
      <c r="AY131" s="31"/>
      <c r="AZ131" s="33"/>
      <c r="BA131" s="1967"/>
      <c r="BB131" s="1805"/>
      <c r="BC131" s="91"/>
      <c r="BD131" s="1806"/>
      <c r="BE131" s="6401"/>
      <c r="BF131" s="6402"/>
      <c r="BG131" s="1969"/>
      <c r="BH131" s="6403"/>
      <c r="BI131" s="95"/>
      <c r="BJ131" s="1326"/>
      <c r="BK131" s="6404"/>
      <c r="BL131" s="1737"/>
      <c r="BM131" s="2081"/>
      <c r="BN131" s="2238"/>
      <c r="BO131" s="1809"/>
      <c r="BQ131" s="2230"/>
      <c r="BR131" s="3">
        <v>1</v>
      </c>
    </row>
    <row r="132" spans="2:70" ht="21" customHeight="1">
      <c r="B132" s="6236"/>
      <c r="C132" s="6358">
        <f t="shared" si="58"/>
        <v>150</v>
      </c>
      <c r="D132" s="6390" t="str" cm="1">
        <f t="array" ref="D132">IF(MOD(ROW()-50,14)=0,INDEX(D120:D133,MOD(ROW()-50,14)+1),E130)</f>
        <v/>
      </c>
      <c r="E132" s="6391" t="str">
        <f t="shared" si="59"/>
        <v/>
      </c>
      <c r="F132" s="6392" t="str">
        <f t="shared" si="60"/>
        <v/>
      </c>
      <c r="G132" s="6321" t="str">
        <v>d’olive à feu moyen. Ajoutez la viande et faites-la dorer de tous les côtés. Retirez-la de la cocotte et réservez-la.</v>
      </c>
      <c r="H132" s="6393" t="str">
        <f t="shared" si="61"/>
        <v/>
      </c>
      <c r="I132" s="6405"/>
      <c r="J132" s="6395" t="str">
        <f t="shared" si="62"/>
        <v/>
      </c>
      <c r="K132" s="6396" t="str">
        <f>IF(J132="","",LEFT(J132,IF(LEN(J132)&lt;=I123,LEN(J132),IFERROR(FIND("§",SUBSTITUTE(LEFT(J132,I123+1)," ","§",LEN(LEFT(J132,I123+1))-LEN(SUBSTITUTE(LEFT(J132,I123+1)," ",""))))-1,IFERROR(FIND(" ",J132,I123+1)-1,LEN(J132))))))</f>
        <v/>
      </c>
      <c r="L132" s="6396"/>
      <c r="M132" s="6332" t="str">
        <v>tous les côtés. Retirez-la de la cocotte et</v>
      </c>
      <c r="N132" t="s">
        <v>21</v>
      </c>
      <c r="AV132" s="103"/>
      <c r="AW132" s="31"/>
      <c r="AX132" s="32"/>
      <c r="AY132" s="31"/>
      <c r="AZ132" s="33"/>
      <c r="BA132" s="1967"/>
      <c r="BB132" s="1805"/>
      <c r="BC132" s="91"/>
      <c r="BD132" s="1806"/>
      <c r="BE132" s="6401"/>
      <c r="BF132" s="6402"/>
      <c r="BG132" s="1969"/>
      <c r="BH132" s="6403"/>
      <c r="BI132" s="95"/>
      <c r="BJ132" s="1326"/>
      <c r="BK132" s="6404"/>
      <c r="BL132" s="1737"/>
      <c r="BM132" s="2081"/>
      <c r="BN132" s="2238"/>
      <c r="BO132" s="1809"/>
      <c r="BQ132" s="2230"/>
      <c r="BR132" s="3">
        <v>1</v>
      </c>
    </row>
    <row r="133" spans="2:70" ht="21" customHeight="1">
      <c r="B133" s="6236"/>
      <c r="C133" s="6376">
        <f t="shared" si="58"/>
        <v>150</v>
      </c>
      <c r="D133" s="6406" t="str" cm="1">
        <f t="array" ref="D133">IF(MOD(ROW()-50,14)=0,INDEX(D120:D133,MOD(ROW()-50,14)+1),E131)</f>
        <v/>
      </c>
      <c r="E133" s="6407" t="str">
        <f t="shared" si="59"/>
        <v/>
      </c>
      <c r="F133" s="6408" t="str">
        <f t="shared" si="60"/>
        <v/>
      </c>
      <c r="G133" s="6322" t="str">
        <v>41.TEST LIGNE 19 colonne Q et ligne 20 colonne P. rechercher la cellule qui coupe le texte Dans la cocotte N°3 en fonte, faites chauffer l’huile</v>
      </c>
      <c r="H133" s="6409" t="str">
        <f t="shared" si="61"/>
        <v/>
      </c>
      <c r="I133" s="6410"/>
      <c r="J133" s="6411" t="str">
        <f t="shared" si="62"/>
        <v/>
      </c>
      <c r="K133" s="6412" t="str">
        <f>IF(J133="","",LEFT(J133,IF(LEN(J133)&lt;=I123,LEN(J133),IFERROR(FIND("§",SUBSTITUTE(LEFT(J133,I123+1)," ","§",LEN(LEFT(J133,I123+1))-LEN(SUBSTITUTE(LEFT(J133,I123+1)," ",""))))-1,IFERROR(FIND(" ",J133,I123+1)-1,LEN(J133))))))</f>
        <v/>
      </c>
      <c r="L133" s="6413"/>
      <c r="M133" s="6333" t="str">
        <v>réservez-la.</v>
      </c>
      <c r="N133" t="s">
        <v>21</v>
      </c>
      <c r="AV133" s="103"/>
      <c r="AW133" s="31"/>
      <c r="AX133" s="32"/>
      <c r="AY133" s="31"/>
      <c r="AZ133" s="33"/>
      <c r="BA133" s="1967"/>
      <c r="BB133" s="1805"/>
      <c r="BC133" s="91"/>
      <c r="BD133" s="1806"/>
      <c r="BE133" s="6401"/>
      <c r="BF133" s="6402"/>
      <c r="BG133" s="1969"/>
      <c r="BH133" s="6403"/>
      <c r="BI133" s="95"/>
      <c r="BJ133" s="1326"/>
      <c r="BK133" s="6404"/>
      <c r="BL133" s="1737"/>
      <c r="BM133" s="2081"/>
      <c r="BN133" s="2238"/>
      <c r="BO133" s="1809"/>
      <c r="BQ133" s="2230"/>
      <c r="BR133" s="3">
        <v>1</v>
      </c>
    </row>
    <row r="134" spans="2:70" ht="21" customHeight="1">
      <c r="B134" s="6236"/>
      <c r="C134" s="6313">
        <f>AD56</f>
        <v>150</v>
      </c>
      <c r="D134" s="6314" t="str">
        <f>IF(UPPER(TRIM(X45))="X",U56,O56)</f>
        <v>7..TEST LIGNE 19 colonne Q et ligne 20 colonne P. rechercher la cellule qui coupe le texte Dans la cocotte N°3 en fonte, faites chauffer l’huile d’olive à feu moyen. Ajoutez la viande et faites-la dorer de tous les côtés. Retirez-la de la cocotte et réservez-la.</v>
      </c>
      <c r="E134" s="6315" t="str">
        <f>IF(D134="","",IF(F134="","",IF(LEN(F134)&gt;=LEN(D134),"",TRIM(MID(D134,LEN(F134)+1,99999)))))</f>
        <v>d’olive à feu moyen. Ajoutez la viande et faites-la dorer de tous les côtés. Retirez-la de la cocotte et réservez-la.</v>
      </c>
      <c r="F134" s="6316" t="str">
        <f>IF(D134="","",IF(LEN(D134)&lt;=C134,D134,IFERROR(LEFT(D134,FIND("§",SUBSTITUTE(LEFT(D134,C134+1)," ","§",LEN(LEFT(D134,C134+1))-LEN(SUBSTITUTE(LEFT(D134,C134+1)," ",""))))-1),LEFT(D134,C134))))</f>
        <v>7..TEST LIGNE 19 colonne Q et ligne 20 colonne P. rechercher la cellule qui coupe le texte Dans la cocotte N°3 en fonte, faites chauffer l’huile</v>
      </c>
      <c r="G134" s="6317" t="str">
        <v>d’olive à feu moyen. Ajoutez la viande et faites-la dorer de tous les côtés. Retirez-la de la cocotte et réservez-la.</v>
      </c>
      <c r="H134" s="6323">
        <f>IF(LEN(TRIM(L134))&gt;0,MAX(H133:H133)+1,"")</f>
        <v>1</v>
      </c>
      <c r="I134" s="6324" t="str">
        <f>D134</f>
        <v>7..TEST LIGNE 19 colonne Q et ligne 20 colonne P. rechercher la cellule qui coupe le texte Dans la cocotte N°3 en fonte, faites chauffer l’huile d’olive à feu moyen. Ajoutez la viande et faites-la dorer de tous les côtés. Retirez-la de la cocotte et réservez-la.</v>
      </c>
      <c r="J134" s="6325" t="str">
        <f>IF(I134=0,"",I134)</f>
        <v>7..TEST LIGNE 19 colonne Q et ligne 20 colonne P. rechercher la cellule qui coupe le texte Dans la cocotte N°3 en fonte, faites chauffer l’huile d’olive à feu moyen. Ajoutez la viande et faites-la dorer de tous les côtés. Retirez-la de la cocotte et réservez-la.</v>
      </c>
      <c r="K134" s="6326" t="str">
        <f>IF(I134="","",LEFT(I134,IF(LEN(I134)&lt;=I137,LEN(I134),IFERROR(FIND("§",SUBSTITUTE(LEFT(I134,I137+1)," ","§",LEN(LEFT(I134,I137+1))-LEN(SUBSTITUTE(LEFT(I134,I137+1)," ",""))))-1,IFERROR(FIND(" ",I134,I137+1)-1,LEN(I134))))))</f>
        <v>7..TEST LIGNE 19 colonne Q et ligne 20 colonne P.</v>
      </c>
      <c r="L134" s="6326" t="str" cm="1">
        <f t="array" ref="L134:L139">_xlfn._xlws.FILTER(TRIM(SUBSTITUTE(SUBSTITUTE(SUBSTITUTE(SUBSTITUTE(SUBSTITUTE(CLEAN(K134:K147),CHAR(160)," "),_xlfn.UNICHAR(8239)," "),CHAR(9)," "),CHAR(10)," "),CHAR(13)," ")),TRIM(SUBSTITUTE(SUBSTITUTE(SUBSTITUTE(SUBSTITUTE(SUBSTITUTE(CLEAN(K134:K147),CHAR(160)," "),_xlfn.UNICHAR(8239)," "),CHAR(9)," "),CHAR(10)," "),CHAR(13)," "))&lt;&gt;"")</f>
        <v>7..TEST LIGNE 19 colonne Q et ligne 20 colonne P.</v>
      </c>
      <c r="M134" s="6328" t="str">
        <v>15.TEST LIGNE 19 colonne Q et ligne 20 colonne P.</v>
      </c>
      <c r="N134" t="s">
        <v>21</v>
      </c>
      <c r="AV134" s="103"/>
      <c r="AW134" s="31"/>
      <c r="AX134" s="32"/>
      <c r="AY134" s="31"/>
      <c r="AZ134" s="33"/>
      <c r="BA134" s="1967"/>
      <c r="BB134" s="1805"/>
      <c r="BC134" s="91"/>
      <c r="BD134" s="1806"/>
      <c r="BE134" s="6401"/>
      <c r="BF134" s="6402"/>
      <c r="BG134" s="1969"/>
      <c r="BH134" s="6403"/>
      <c r="BI134" s="95"/>
      <c r="BJ134" s="1326"/>
      <c r="BK134" s="6404"/>
      <c r="BL134" s="1737"/>
      <c r="BM134" s="2081"/>
      <c r="BN134" s="2238"/>
      <c r="BO134" s="1809"/>
      <c r="BQ134" s="2230"/>
      <c r="BR134" s="3">
        <v>1</v>
      </c>
    </row>
    <row r="135" spans="2:70" ht="21" customHeight="1">
      <c r="B135" s="6236"/>
      <c r="C135" s="6358">
        <f t="shared" ref="C135:C147" si="63">C134</f>
        <v>150</v>
      </c>
      <c r="D135" s="6359" t="str" cm="1">
        <f t="array" ref="D135">IF(MOD(ROW()-50,14)=0,INDEX(D134:D147,MOD(ROW()-50,14)+1),E133)</f>
        <v/>
      </c>
      <c r="E135" s="6360" t="str">
        <f t="shared" ref="E135:E147" si="64">IF(D135="","",IF(F135="","",IF(LEN(F135)&gt;=LEN(D135),"",TRIM(MID(D135,LEN(F135)+1,99999)))))</f>
        <v/>
      </c>
      <c r="F135" s="6361" t="str">
        <f t="shared" ref="F135:F147" si="65">IF(D135="","",IF(LEN(D135)&lt;=C135,D135,IFERROR(LEFT(D135,FIND("§",SUBSTITUTE(LEFT(D135,C135+1)," ","§",LEN(LEFT(D135,C135+1))-LEN(SUBSTITUTE(LEFT(D135,C135+1)," ",""))))-1),LEFT(D135,C135))))</f>
        <v/>
      </c>
      <c r="G135" s="6318" t="str">
        <v>42.TEST LIGNE 19 colonne Q et ligne 20 colonne P. rechercher la cellule qui coupe le texte Dans la cocotte N°3 en fonte, faites chauffer l’huile</v>
      </c>
      <c r="H135" s="6323">
        <f t="shared" ref="H135:H147" si="66">IF(LEN(TRIM(L135))&gt;0,MAX(H134:H134)+1,"")</f>
        <v>2</v>
      </c>
      <c r="I135" s="6362" t="s">
        <v>14355</v>
      </c>
      <c r="J135" s="6363" t="str">
        <f>TRIM(MID(I138,LEN(K134)+1,99999))</f>
        <v>rechercher la cellule qui coupe le texte Dans la cocotte N°3 en fonte, faites chauffer l’huile d’olive à feu moyen. Ajoutez la viande et faites-la dorer de tous les côtés. Retirez-la de la cocotte et réservez-la.</v>
      </c>
      <c r="K135" s="6364" t="str">
        <f>IF(J135="","",LEFT(J135,IF(LEN(J135)&lt;=I137,LEN(J135),IFERROR(FIND("§",SUBSTITUTE(LEFT(J135,I137+1)," ","§",LEN(LEFT(J135,I137+1))-LEN(SUBSTITUTE(LEFT(J135,I137+1)," ",""))))-1,IFERROR(FIND(" ",J135,I137+1)-1,LEN(J135))))))</f>
        <v>rechercher la cellule qui coupe le texte Dans la</v>
      </c>
      <c r="L135" s="6327" t="str">
        <v>rechercher la cellule qui coupe le texte Dans la</v>
      </c>
      <c r="M135" s="6329" t="str">
        <v>rechercher la cellule qui coupe le texte Dans la</v>
      </c>
      <c r="N135" t="s">
        <v>21</v>
      </c>
      <c r="AV135" s="103"/>
      <c r="AW135" s="31"/>
      <c r="AX135" s="32"/>
      <c r="AY135" s="31"/>
      <c r="AZ135" s="33"/>
      <c r="BA135" s="1967"/>
      <c r="BB135" s="1805"/>
      <c r="BC135" s="91"/>
      <c r="BD135" s="1806"/>
      <c r="BE135" s="6401"/>
      <c r="BF135" s="6402"/>
      <c r="BG135" s="1969"/>
      <c r="BH135" s="6403"/>
      <c r="BI135" s="95"/>
      <c r="BJ135" s="1326"/>
      <c r="BK135" s="6404"/>
      <c r="BL135" s="1737"/>
      <c r="BM135" s="2081"/>
      <c r="BN135" s="2238"/>
      <c r="BO135" s="1809"/>
      <c r="BQ135" s="2230"/>
      <c r="BR135" s="3">
        <v>1</v>
      </c>
    </row>
    <row r="136" spans="2:70" ht="21" customHeight="1">
      <c r="B136" s="6236"/>
      <c r="C136" s="6358">
        <f t="shared" si="63"/>
        <v>150</v>
      </c>
      <c r="D136" s="6359" t="str" cm="1">
        <f t="array" ref="D136">IF(MOD(ROW()-50,14)=0,INDEX(D134:D147,MOD(ROW()-50,14)+1),E134)</f>
        <v>d’olive à feu moyen. Ajoutez la viande et faites-la dorer de tous les côtés. Retirez-la de la cocotte et réservez-la.</v>
      </c>
      <c r="E136" s="6360" t="str">
        <f t="shared" si="64"/>
        <v/>
      </c>
      <c r="F136" s="6361" t="str">
        <f t="shared" si="65"/>
        <v>d’olive à feu moyen. Ajoutez la viande et faites-la dorer de tous les côtés. Retirez-la de la cocotte et réservez-la.</v>
      </c>
      <c r="G136" s="6318" t="str">
        <v>d’olive à feu moyen. Ajoutez la viande et faites-la dorer de tous les côtés. Retirez-la de la cocotte et réservez-la.</v>
      </c>
      <c r="H136" s="6323">
        <f t="shared" si="66"/>
        <v>3</v>
      </c>
      <c r="I136" s="6365">
        <f>Z56</f>
        <v>5</v>
      </c>
      <c r="J136" s="6363" t="str">
        <f t="shared" ref="J136:J147" si="67">TRIM(MID(J135,LEN(K135)+1,99999))</f>
        <v>cocotte N°3 en fonte, faites chauffer l’huile d’olive à feu moyen. Ajoutez la viande et faites-la dorer de tous les côtés. Retirez-la de la cocotte et réservez-la.</v>
      </c>
      <c r="K136" s="6364" t="str">
        <f>IF(J136="","",LEFT(J136,IF(LEN(J136)&lt;=I137,LEN(J136),IFERROR(FIND("§",SUBSTITUTE(LEFT(J136,I137+1)," ","§",LEN(LEFT(J136,I137+1))-LEN(SUBSTITUTE(LEFT(J136,I137+1)," ",""))))-1,IFERROR(FIND(" ",J136,I137+1)-1,LEN(J136))))))</f>
        <v>cocotte N°3 en fonte, faites chauffer l’huile d’olive</v>
      </c>
      <c r="L136" s="6327" t="str">
        <v>cocotte N°3 en fonte, faites chauffer l’huile d’olive</v>
      </c>
      <c r="M136" s="6329" t="str">
        <v>cocotte N°3 en fonte, faites chauffer l’huile d’olive</v>
      </c>
      <c r="N136" t="s">
        <v>21</v>
      </c>
      <c r="AV136" s="103"/>
      <c r="AW136" s="31"/>
      <c r="AX136" s="32"/>
      <c r="AY136" s="31"/>
      <c r="AZ136" s="33"/>
      <c r="BA136" s="1967"/>
      <c r="BB136" s="1805"/>
      <c r="BC136" s="91"/>
      <c r="BD136" s="1806"/>
      <c r="BE136" s="6401"/>
      <c r="BF136" s="6402"/>
      <c r="BG136" s="1969"/>
      <c r="BH136" s="6403"/>
      <c r="BI136" s="95"/>
      <c r="BJ136" s="1326"/>
      <c r="BK136" s="6404"/>
      <c r="BL136" s="1737"/>
      <c r="BM136" s="2081"/>
      <c r="BN136" s="2238"/>
      <c r="BO136" s="1809"/>
      <c r="BQ136" s="2230"/>
      <c r="BR136" s="3">
        <v>1</v>
      </c>
    </row>
    <row r="137" spans="2:70" ht="21" customHeight="1">
      <c r="B137" s="6236"/>
      <c r="C137" s="6358">
        <f t="shared" si="63"/>
        <v>150</v>
      </c>
      <c r="D137" s="6359" t="str" cm="1">
        <f t="array" ref="D137">IF(MOD(ROW()-50,14)=0,INDEX(D134:D147,MOD(ROW()-50,14)+1),E135)</f>
        <v/>
      </c>
      <c r="E137" s="6360" t="str">
        <f t="shared" si="64"/>
        <v/>
      </c>
      <c r="F137" s="6361" t="str">
        <f t="shared" si="65"/>
        <v/>
      </c>
      <c r="G137" s="6318" t="str">
        <v>42.TEST LIGNE 19 colonne Q et ligne 20 colonne P. rechercher la cellule qui coupe le texte Dans la cocotte N°3 en fonte, faites chauffer l’huile</v>
      </c>
      <c r="H137" s="6323">
        <f t="shared" si="66"/>
        <v>4</v>
      </c>
      <c r="I137" s="6370">
        <f>IF(OR(J134="",I136="",I136&lt;=0),"",ROUNDUP(LEN(J134)/I136,0))</f>
        <v>53</v>
      </c>
      <c r="J137" s="6363" t="str">
        <f t="shared" si="67"/>
        <v>à feu moyen. Ajoutez la viande et faites-la dorer de tous les côtés. Retirez-la de la cocotte et réservez-la.</v>
      </c>
      <c r="K137" s="6364" t="str">
        <f>IF(J137="","",LEFT(J137,IF(LEN(J137)&lt;=I137,LEN(J137),IFERROR(FIND("§",SUBSTITUTE(LEFT(J137,I137+1)," ","§",LEN(LEFT(J137,I137+1))-LEN(SUBSTITUTE(LEFT(J137,I137+1)," ",""))))-1,IFERROR(FIND(" ",J137,I137+1)-1,LEN(J137))))))</f>
        <v>à feu moyen. Ajoutez la viande et faites-la dorer de</v>
      </c>
      <c r="L137" s="6327" t="str">
        <v>à feu moyen. Ajoutez la viande et faites-la dorer de</v>
      </c>
      <c r="M137" s="6329" t="str">
        <v>à feu moyen. Ajoutez la viande et faites-la dorer de</v>
      </c>
      <c r="N137" t="s">
        <v>21</v>
      </c>
      <c r="AV137" s="103"/>
      <c r="AW137" s="31"/>
      <c r="AX137" s="32"/>
      <c r="AY137" s="31"/>
      <c r="AZ137" s="33"/>
      <c r="BA137" s="1967"/>
      <c r="BB137" s="1805"/>
      <c r="BC137" s="91"/>
      <c r="BD137" s="1806"/>
      <c r="BE137" s="6401"/>
      <c r="BF137" s="6402"/>
      <c r="BG137" s="1969"/>
      <c r="BH137" s="6403"/>
      <c r="BI137" s="95"/>
      <c r="BJ137" s="1326"/>
      <c r="BK137" s="6404"/>
      <c r="BL137" s="1737"/>
      <c r="BM137" s="2081"/>
      <c r="BN137" s="2238"/>
      <c r="BO137" s="1809"/>
      <c r="BQ137" s="2230"/>
      <c r="BR137" s="3">
        <v>1</v>
      </c>
    </row>
    <row r="138" spans="2:70" ht="21" customHeight="1">
      <c r="B138" s="6236"/>
      <c r="C138" s="6358">
        <f t="shared" si="63"/>
        <v>150</v>
      </c>
      <c r="D138" s="6359" t="str" cm="1">
        <f t="array" ref="D138">IF(MOD(ROW()-50,14)=0,INDEX(D134:D147,MOD(ROW()-50,14)+1),E136)</f>
        <v/>
      </c>
      <c r="E138" s="6360" t="str">
        <f t="shared" si="64"/>
        <v/>
      </c>
      <c r="F138" s="6361" t="str">
        <f t="shared" si="65"/>
        <v/>
      </c>
      <c r="G138" s="6318" t="str">
        <v>d’olive à feu moyen. Ajoutez la viande et faites-la dorer de tous les côtés. Retirez-la de la cocotte et réservez-la.</v>
      </c>
      <c r="H138" s="6323">
        <f t="shared" si="66"/>
        <v>5</v>
      </c>
      <c r="I138" s="6372" t="str">
        <f>I134</f>
        <v>7..TEST LIGNE 19 colonne Q et ligne 20 colonne P. rechercher la cellule qui coupe le texte Dans la cocotte N°3 en fonte, faites chauffer l’huile d’olive à feu moyen. Ajoutez la viande et faites-la dorer de tous les côtés. Retirez-la de la cocotte et réservez-la.</v>
      </c>
      <c r="J138" s="6363" t="str">
        <f t="shared" si="67"/>
        <v>tous les côtés. Retirez-la de la cocotte et réservez-la.</v>
      </c>
      <c r="K138" s="6364" t="str">
        <f>IF(J138="","",LEFT(J138,IF(LEN(J138)&lt;=I137,LEN(J138),IFERROR(FIND("§",SUBSTITUTE(LEFT(J138,I137+1)," ","§",LEN(LEFT(J138,I137+1))-LEN(SUBSTITUTE(LEFT(J138,I137+1)," ",""))))-1,IFERROR(FIND(" ",J138,I137+1)-1,LEN(J138))))))</f>
        <v>tous les côtés. Retirez-la de la cocotte et</v>
      </c>
      <c r="L138" s="6327" t="str">
        <v>tous les côtés. Retirez-la de la cocotte et</v>
      </c>
      <c r="M138" s="6329" t="str">
        <v>tous les côtés. Retirez-la de la cocotte et</v>
      </c>
      <c r="N138" t="s">
        <v>21</v>
      </c>
      <c r="AV138" s="103"/>
      <c r="AW138" s="31"/>
      <c r="AX138" s="32"/>
      <c r="AY138" s="31"/>
      <c r="AZ138" s="33"/>
      <c r="BA138" s="1967"/>
      <c r="BB138" s="1805"/>
      <c r="BC138" s="91"/>
      <c r="BD138" s="1806"/>
      <c r="BE138" s="6401"/>
      <c r="BF138" s="6402"/>
      <c r="BG138" s="1969"/>
      <c r="BH138" s="6403"/>
      <c r="BI138" s="95"/>
      <c r="BJ138" s="1326"/>
      <c r="BK138" s="6404"/>
      <c r="BL138" s="1737"/>
      <c r="BM138" s="2081"/>
      <c r="BN138" s="2238"/>
      <c r="BO138" s="1809"/>
      <c r="BQ138" s="2230"/>
      <c r="BR138" s="3">
        <v>1</v>
      </c>
    </row>
    <row r="139" spans="2:70" ht="21" customHeight="1">
      <c r="B139" s="6236"/>
      <c r="C139" s="6358">
        <f t="shared" si="63"/>
        <v>150</v>
      </c>
      <c r="D139" s="6359" t="str" cm="1">
        <f t="array" ref="D139">IF(MOD(ROW()-50,14)=0,INDEX(D134:D147,MOD(ROW()-50,14)+1),E137)</f>
        <v/>
      </c>
      <c r="E139" s="6360" t="str">
        <f t="shared" si="64"/>
        <v/>
      </c>
      <c r="F139" s="6361" t="str">
        <f t="shared" si="65"/>
        <v/>
      </c>
      <c r="G139" s="6318" t="str">
        <v>44.TEST LIGNE 19 colonne Q et ligne 20 colonne P. rechercher la cellule qui coupe le texte Dans la cocotte N°3 en fonte, faites chauffer l’huile</v>
      </c>
      <c r="H139" s="6323">
        <f t="shared" si="66"/>
        <v>6</v>
      </c>
      <c r="I139" s="6373"/>
      <c r="J139" s="6363" t="str">
        <f t="shared" si="67"/>
        <v>réservez-la.</v>
      </c>
      <c r="K139" s="6364" t="str">
        <f>IF(J139="","",LEFT(J139,IF(LEN(J139)&lt;=I137,LEN(J139),IFERROR(FIND("§",SUBSTITUTE(LEFT(J139,I137+1)," ","§",LEN(LEFT(J139,I137+1))-LEN(SUBSTITUTE(LEFT(J139,I137+1)," ",""))))-1,IFERROR(FIND(" ",J139,I137+1)-1,LEN(J139))))))</f>
        <v>réservez-la.</v>
      </c>
      <c r="L139" s="6327" t="str">
        <v>réservez-la.</v>
      </c>
      <c r="M139" s="6329" t="str">
        <v>réservez-la.</v>
      </c>
      <c r="N139" t="s">
        <v>21</v>
      </c>
      <c r="AV139" s="103"/>
      <c r="AW139" s="31"/>
      <c r="AX139" s="32"/>
      <c r="AY139" s="31"/>
      <c r="AZ139" s="33"/>
      <c r="BA139" s="1967"/>
      <c r="BB139" s="1805"/>
      <c r="BC139" s="91"/>
      <c r="BD139" s="1806"/>
      <c r="BE139" s="6401"/>
      <c r="BF139" s="6402"/>
      <c r="BG139" s="1969"/>
      <c r="BH139" s="6403"/>
      <c r="BI139" s="95"/>
      <c r="BJ139" s="1326"/>
      <c r="BK139" s="6404"/>
      <c r="BL139" s="1737"/>
      <c r="BM139" s="2081"/>
      <c r="BN139" s="2238"/>
      <c r="BO139" s="1809"/>
      <c r="BQ139" s="2230"/>
      <c r="BR139" s="3">
        <v>1</v>
      </c>
    </row>
    <row r="140" spans="2:70" ht="21" customHeight="1">
      <c r="B140" s="6236"/>
      <c r="C140" s="6358">
        <f t="shared" si="63"/>
        <v>150</v>
      </c>
      <c r="D140" s="6359" t="str" cm="1">
        <f t="array" ref="D140">IF(MOD(ROW()-50,14)=0,INDEX(D134:D147,MOD(ROW()-50,14)+1),E138)</f>
        <v/>
      </c>
      <c r="E140" s="6360" t="str">
        <f t="shared" si="64"/>
        <v/>
      </c>
      <c r="F140" s="6361" t="str">
        <f t="shared" si="65"/>
        <v/>
      </c>
      <c r="G140" s="6318" t="str">
        <v>d’olive à feu moyen. Ajoutez la viande et faites-la dorer de tous les côtés. Retirez-la de la cocotte et réservez-la.</v>
      </c>
      <c r="H140" s="6323" t="str">
        <f t="shared" si="66"/>
        <v/>
      </c>
      <c r="I140" s="6373"/>
      <c r="J140" s="6363" t="str">
        <f t="shared" si="67"/>
        <v/>
      </c>
      <c r="K140" s="6364" t="str">
        <f>IF(J140="","",LEFT(J140,IF(LEN(J140)&lt;=I137,LEN(J140),IFERROR(FIND("§",SUBSTITUTE(LEFT(J140,I137+1)," ","§",LEN(LEFT(J140,I137+1))-LEN(SUBSTITUTE(LEFT(J140,I137+1)," ",""))))-1,IFERROR(FIND(" ",J140,I137+1)-1,LEN(J140))))))</f>
        <v/>
      </c>
      <c r="L140" s="6327"/>
      <c r="M140" s="6329" t="str">
        <v>16.TEST LIGNE 19 colonne Q et ligne 20 colonne P.</v>
      </c>
      <c r="N140" t="s">
        <v>21</v>
      </c>
      <c r="AV140" s="103"/>
      <c r="AW140" s="31"/>
      <c r="AX140" s="32"/>
      <c r="AY140" s="31"/>
      <c r="AZ140" s="33"/>
      <c r="BA140" s="1967"/>
      <c r="BB140" s="1805"/>
      <c r="BC140" s="91"/>
      <c r="BD140" s="1806"/>
      <c r="BE140" s="6401"/>
      <c r="BF140" s="6402"/>
      <c r="BG140" s="1969"/>
      <c r="BH140" s="6403"/>
      <c r="BI140" s="95"/>
      <c r="BJ140" s="1326"/>
      <c r="BK140" s="6404"/>
      <c r="BL140" s="1737"/>
      <c r="BM140" s="2081"/>
      <c r="BN140" s="2238"/>
      <c r="BO140" s="1809"/>
      <c r="BQ140" s="2230"/>
      <c r="BR140" s="3">
        <v>1</v>
      </c>
    </row>
    <row r="141" spans="2:70" ht="21" customHeight="1">
      <c r="B141" s="6236"/>
      <c r="C141" s="6358">
        <f t="shared" si="63"/>
        <v>150</v>
      </c>
      <c r="D141" s="6359" t="str" cm="1">
        <f t="array" ref="D141">IF(MOD(ROW()-50,14)=0,INDEX(D134:D147,MOD(ROW()-50,14)+1),E139)</f>
        <v/>
      </c>
      <c r="E141" s="6360" t="str">
        <f t="shared" si="64"/>
        <v/>
      </c>
      <c r="F141" s="6361" t="str">
        <f t="shared" si="65"/>
        <v/>
      </c>
      <c r="G141" s="6318" t="str">
        <v>45.TEST LIGNE 19 colonne Q et ligne 20 colonne P. rechercher la cellule qui coupe le texte Dans la cocotte N°3 en fonte, faites chauffer l’huile</v>
      </c>
      <c r="H141" s="6323" t="str">
        <f t="shared" si="66"/>
        <v/>
      </c>
      <c r="I141" s="6373"/>
      <c r="J141" s="6363" t="str">
        <f t="shared" si="67"/>
        <v/>
      </c>
      <c r="K141" s="6364" t="str">
        <f>IF(J141="","",LEFT(J141,IF(LEN(J141)&lt;=I137,LEN(J141),IFERROR(FIND("§",SUBSTITUTE(LEFT(J141,I137+1)," ","§",LEN(LEFT(J141,I137+1))-LEN(SUBSTITUTE(LEFT(J141,I137+1)," ",""))))-1,IFERROR(FIND(" ",J141,I137+1)-1,LEN(J141))))))</f>
        <v/>
      </c>
      <c r="L141" s="6327"/>
      <c r="M141" s="6329" t="str">
        <v>rechercher la cellule qui coupe le texte Dans la</v>
      </c>
      <c r="N141" t="s">
        <v>21</v>
      </c>
      <c r="AV141" s="103"/>
      <c r="AW141" s="31"/>
      <c r="AX141" s="32"/>
      <c r="AY141" s="31"/>
      <c r="AZ141" s="33"/>
      <c r="BA141" s="1967"/>
      <c r="BB141" s="1805"/>
      <c r="BC141" s="91"/>
      <c r="BD141" s="1806"/>
      <c r="BE141" s="6401"/>
      <c r="BF141" s="6402"/>
      <c r="BG141" s="1969"/>
      <c r="BH141" s="6403"/>
      <c r="BI141" s="95"/>
      <c r="BJ141" s="1326"/>
      <c r="BK141" s="6404"/>
      <c r="BL141" s="1737"/>
      <c r="BM141" s="2081"/>
      <c r="BN141" s="2238"/>
      <c r="BO141" s="1809"/>
      <c r="BQ141" s="2230"/>
      <c r="BR141" s="3">
        <v>1</v>
      </c>
    </row>
    <row r="142" spans="2:70" ht="21" customHeight="1">
      <c r="B142" s="6236"/>
      <c r="C142" s="6358">
        <f t="shared" si="63"/>
        <v>150</v>
      </c>
      <c r="D142" s="6359" t="str" cm="1">
        <f t="array" ref="D142">IF(MOD(ROW()-50,14)=0,INDEX(D134:D147,MOD(ROW()-50,14)+1),E140)</f>
        <v/>
      </c>
      <c r="E142" s="6360" t="str">
        <f t="shared" si="64"/>
        <v/>
      </c>
      <c r="F142" s="6361" t="str">
        <f t="shared" si="65"/>
        <v/>
      </c>
      <c r="G142" s="6318" t="str">
        <v>d’olive à feu moyen. Ajoutez la viande et faites-la dorer de tous les côtés. Retirez-la de la cocotte et réservez-la.</v>
      </c>
      <c r="H142" s="6323" t="str">
        <f t="shared" si="66"/>
        <v/>
      </c>
      <c r="I142" s="6373"/>
      <c r="J142" s="6363" t="str">
        <f t="shared" si="67"/>
        <v/>
      </c>
      <c r="K142" s="6364" t="str">
        <f>IF(J142="","",LEFT(J142,IF(LEN(J142)&lt;=I137,LEN(J142),IFERROR(FIND("§",SUBSTITUTE(LEFT(J142,I137+1)," ","§",LEN(LEFT(J142,I137+1))-LEN(SUBSTITUTE(LEFT(J142,I137+1)," ",""))))-1,IFERROR(FIND(" ",J142,I137+1)-1,LEN(J142))))))</f>
        <v/>
      </c>
      <c r="L142" s="6327"/>
      <c r="M142" s="6329" t="str">
        <v>cocotte N°3 en fonte, faites chauffer l’huile d’olive</v>
      </c>
      <c r="N142" t="s">
        <v>21</v>
      </c>
      <c r="AV142" s="103"/>
      <c r="AW142" s="31"/>
      <c r="AX142" s="32"/>
      <c r="AY142" s="31"/>
      <c r="AZ142" s="33"/>
      <c r="BA142" s="1967"/>
      <c r="BB142" s="1805"/>
      <c r="BC142" s="91"/>
      <c r="BD142" s="1806"/>
      <c r="BE142" s="6401"/>
      <c r="BF142" s="6402"/>
      <c r="BG142" s="1969"/>
      <c r="BH142" s="6403"/>
      <c r="BI142" s="95"/>
      <c r="BJ142" s="1326"/>
      <c r="BK142" s="6404"/>
      <c r="BL142" s="1737"/>
      <c r="BM142" s="2081"/>
      <c r="BN142" s="2238"/>
      <c r="BO142" s="1809"/>
      <c r="BQ142" s="2230"/>
      <c r="BR142" s="3">
        <v>1</v>
      </c>
    </row>
    <row r="143" spans="2:70" ht="21" customHeight="1">
      <c r="B143" s="6236"/>
      <c r="C143" s="6358">
        <f t="shared" si="63"/>
        <v>150</v>
      </c>
      <c r="D143" s="6359" t="str" cm="1">
        <f t="array" ref="D143">IF(MOD(ROW()-50,14)=0,INDEX(D134:D147,MOD(ROW()-50,14)+1),E141)</f>
        <v/>
      </c>
      <c r="E143" s="6360" t="str">
        <f t="shared" si="64"/>
        <v/>
      </c>
      <c r="F143" s="6361" t="str">
        <f t="shared" si="65"/>
        <v/>
      </c>
      <c r="G143" s="6318" t="str">
        <v>46.TEST LIGNE 19 colonne Q et ligne 20 colonne P. rechercher la cellule qui coupe le texte Dans la cocotte N°3 en fonte, faites chauffer l’huile</v>
      </c>
      <c r="H143" s="6323" t="str">
        <f t="shared" si="66"/>
        <v/>
      </c>
      <c r="I143" s="6373"/>
      <c r="J143" s="6363" t="str">
        <f t="shared" si="67"/>
        <v/>
      </c>
      <c r="K143" s="6364" t="str">
        <f>IF(J143="","",LEFT(J143,IF(LEN(J143)&lt;=I137,LEN(J143),IFERROR(FIND("§",SUBSTITUTE(LEFT(J143,I137+1)," ","§",LEN(LEFT(J143,I137+1))-LEN(SUBSTITUTE(LEFT(J143,I137+1)," ",""))))-1,IFERROR(FIND(" ",J143,I137+1)-1,LEN(J143))))))</f>
        <v/>
      </c>
      <c r="L143" s="6327"/>
      <c r="M143" s="6329" t="str">
        <v>à feu moyen. Ajoutez la viande et faites-la dorer de</v>
      </c>
      <c r="N143" t="s">
        <v>21</v>
      </c>
      <c r="AV143" s="103"/>
      <c r="AW143" s="31"/>
      <c r="AX143" s="32"/>
      <c r="AY143" s="31"/>
      <c r="AZ143" s="33"/>
      <c r="BA143" s="1967"/>
      <c r="BB143" s="1805"/>
      <c r="BC143" s="91"/>
      <c r="BD143" s="1806"/>
      <c r="BE143" s="6401"/>
      <c r="BF143" s="6402"/>
      <c r="BG143" s="1969"/>
      <c r="BH143" s="6403"/>
      <c r="BI143" s="95"/>
      <c r="BJ143" s="1326"/>
      <c r="BK143" s="6404"/>
      <c r="BL143" s="1737"/>
      <c r="BM143" s="2081"/>
      <c r="BN143" s="2238"/>
      <c r="BO143" s="1809"/>
      <c r="BQ143" s="2230"/>
      <c r="BR143" s="3">
        <v>1</v>
      </c>
    </row>
    <row r="144" spans="2:70" ht="21" customHeight="1">
      <c r="B144" s="6236"/>
      <c r="C144" s="6358">
        <f t="shared" si="63"/>
        <v>150</v>
      </c>
      <c r="D144" s="6359" t="str" cm="1">
        <f t="array" ref="D144">IF(MOD(ROW()-50,14)=0,INDEX(D134:D147,MOD(ROW()-50,14)+1),E142)</f>
        <v/>
      </c>
      <c r="E144" s="6360" t="str">
        <f t="shared" si="64"/>
        <v/>
      </c>
      <c r="F144" s="6361" t="str">
        <f t="shared" si="65"/>
        <v/>
      </c>
      <c r="G144" s="6318" t="str">
        <v>d’olive à feu moyen. Ajoutez la viande et faites-la dorer de tous les côtés. Retirez-la de la cocotte et réservez-la.</v>
      </c>
      <c r="H144" s="6323" t="str">
        <f t="shared" si="66"/>
        <v/>
      </c>
      <c r="I144" s="6373"/>
      <c r="J144" s="6363" t="str">
        <f t="shared" si="67"/>
        <v/>
      </c>
      <c r="K144" s="6364" t="str">
        <f>IF(J144="","",LEFT(J144,IF(LEN(J144)&lt;=I137,LEN(J144),IFERROR(FIND("§",SUBSTITUTE(LEFT(J144,I137+1)," ","§",LEN(LEFT(J144,I137+1))-LEN(SUBSTITUTE(LEFT(J144,I137+1)," ",""))))-1,IFERROR(FIND(" ",J144,I137+1)-1,LEN(J144))))))</f>
        <v/>
      </c>
      <c r="L144" s="6327"/>
      <c r="M144" s="6329" t="str">
        <v>tous les côtés. Retirez-la de la cocotte et</v>
      </c>
      <c r="N144" t="s">
        <v>21</v>
      </c>
      <c r="AV144" s="103"/>
      <c r="AW144" s="31"/>
      <c r="AX144" s="32"/>
      <c r="AY144" s="31"/>
      <c r="AZ144" s="33"/>
      <c r="BA144" s="1967"/>
      <c r="BB144" s="1805"/>
      <c r="BC144" s="91"/>
      <c r="BD144" s="1806"/>
      <c r="BE144" s="6401"/>
      <c r="BF144" s="6402"/>
      <c r="BG144" s="1969"/>
      <c r="BH144" s="6403"/>
      <c r="BI144" s="95"/>
      <c r="BJ144" s="1326"/>
      <c r="BK144" s="6404"/>
      <c r="BL144" s="1737"/>
      <c r="BM144" s="2081"/>
      <c r="BN144" s="2238"/>
      <c r="BO144" s="1809"/>
      <c r="BQ144" s="2230"/>
      <c r="BR144" s="3">
        <v>1</v>
      </c>
    </row>
    <row r="145" spans="2:70" ht="21" customHeight="1">
      <c r="B145" s="6236"/>
      <c r="C145" s="6358">
        <f t="shared" si="63"/>
        <v>150</v>
      </c>
      <c r="D145" s="6359" t="str" cm="1">
        <f t="array" ref="D145">IF(MOD(ROW()-50,14)=0,INDEX(D134:D147,MOD(ROW()-50,14)+1),E143)</f>
        <v/>
      </c>
      <c r="E145" s="6360" t="str">
        <f t="shared" si="64"/>
        <v/>
      </c>
      <c r="F145" s="6361" t="str">
        <f t="shared" si="65"/>
        <v/>
      </c>
      <c r="G145" s="6318" t="str">
        <v>47.TEST LIGNE 19 colonne Q et ligne 20 colonne P. rechercher la cellule qui coupe le texte Dans la cocotte N°3 en fonte, faites chauffer l’huile</v>
      </c>
      <c r="H145" s="6323" t="str">
        <f t="shared" si="66"/>
        <v/>
      </c>
      <c r="I145" s="6373"/>
      <c r="J145" s="6363" t="str">
        <f t="shared" si="67"/>
        <v/>
      </c>
      <c r="K145" s="6364" t="str">
        <f>IF(J145="","",LEFT(J145,IF(LEN(J145)&lt;=I137,LEN(J145),IFERROR(FIND("§",SUBSTITUTE(LEFT(J145,I137+1)," ","§",LEN(LEFT(J145,I137+1))-LEN(SUBSTITUTE(LEFT(J145,I137+1)," ",""))))-1,IFERROR(FIND(" ",J145,I137+1)-1,LEN(J145))))))</f>
        <v/>
      </c>
      <c r="L145" s="6327"/>
      <c r="M145" s="6329" t="str">
        <v>réservez-la.</v>
      </c>
      <c r="N145" t="s">
        <v>21</v>
      </c>
      <c r="AV145" s="103"/>
      <c r="AW145" s="31"/>
      <c r="AX145" s="32"/>
      <c r="AY145" s="31"/>
      <c r="AZ145" s="33"/>
      <c r="BA145" s="1967"/>
      <c r="BB145" s="1805"/>
      <c r="BC145" s="91"/>
      <c r="BD145" s="1806"/>
      <c r="BE145" s="6401"/>
      <c r="BF145" s="6402"/>
      <c r="BG145" s="1969"/>
      <c r="BH145" s="6403"/>
      <c r="BI145" s="95"/>
      <c r="BJ145" s="1326"/>
      <c r="BK145" s="6404"/>
      <c r="BL145" s="1737"/>
      <c r="BM145" s="2081"/>
      <c r="BN145" s="2238"/>
      <c r="BO145" s="1809"/>
      <c r="BQ145" s="2230"/>
      <c r="BR145" s="3">
        <v>1</v>
      </c>
    </row>
    <row r="146" spans="2:70" ht="21" customHeight="1">
      <c r="B146" s="6236"/>
      <c r="C146" s="6358">
        <f t="shared" si="63"/>
        <v>150</v>
      </c>
      <c r="D146" s="6359" t="str" cm="1">
        <f t="array" ref="D146">IF(MOD(ROW()-50,14)=0,INDEX(D134:D147,MOD(ROW()-50,14)+1),E144)</f>
        <v/>
      </c>
      <c r="E146" s="6360" t="str">
        <f t="shared" si="64"/>
        <v/>
      </c>
      <c r="F146" s="6361" t="str">
        <f t="shared" si="65"/>
        <v/>
      </c>
      <c r="G146" s="6318" t="str">
        <v>d’olive à feu moyen. Ajoutez la viande et faites-la dorer de tous les côtés. Retirez-la de la cocotte et réservez-la.</v>
      </c>
      <c r="H146" s="6323" t="str">
        <f t="shared" si="66"/>
        <v/>
      </c>
      <c r="I146" s="6373"/>
      <c r="J146" s="6363" t="str">
        <f t="shared" si="67"/>
        <v/>
      </c>
      <c r="K146" s="6364" t="str">
        <f>IF(J146="","",LEFT(J146,IF(LEN(J146)&lt;=I137,LEN(J146),IFERROR(FIND("§",SUBSTITUTE(LEFT(J146,I137+1)," ","§",LEN(LEFT(J146,I137+1))-LEN(SUBSTITUTE(LEFT(J146,I137+1)," ",""))))-1,IFERROR(FIND(" ",J146,I137+1)-1,LEN(J146))))))</f>
        <v/>
      </c>
      <c r="L146" s="6364"/>
      <c r="M146" s="6329" t="str">
        <v>17.TEST LIGNE 19 colonne Q et ligne 20 colonne P.</v>
      </c>
      <c r="N146" t="s">
        <v>21</v>
      </c>
      <c r="AV146" s="103"/>
      <c r="AW146" s="31"/>
      <c r="AX146" s="32"/>
      <c r="AY146" s="31"/>
      <c r="AZ146" s="33"/>
      <c r="BA146" s="1967"/>
      <c r="BB146" s="1805"/>
      <c r="BC146" s="91"/>
      <c r="BD146" s="1806"/>
      <c r="BE146" s="6401"/>
      <c r="BF146" s="6402"/>
      <c r="BG146" s="1969"/>
      <c r="BH146" s="6403"/>
      <c r="BI146" s="95"/>
      <c r="BJ146" s="1326"/>
      <c r="BK146" s="6404"/>
      <c r="BL146" s="1737"/>
      <c r="BM146" s="2081"/>
      <c r="BN146" s="2238"/>
      <c r="BO146" s="1809"/>
      <c r="BQ146" s="2230"/>
      <c r="BR146" s="3">
        <v>1</v>
      </c>
    </row>
    <row r="147" spans="2:70" ht="21" customHeight="1">
      <c r="B147" s="6236"/>
      <c r="C147" s="6376">
        <f t="shared" si="63"/>
        <v>150</v>
      </c>
      <c r="D147" s="6414" t="str" cm="1">
        <f t="array" ref="D147">IF(MOD(ROW()-50,14)=0,INDEX(D134:D147,MOD(ROW()-50,14)+1),E145)</f>
        <v/>
      </c>
      <c r="E147" s="6377" t="str">
        <f t="shared" si="64"/>
        <v/>
      </c>
      <c r="F147" s="6378" t="str">
        <f t="shared" si="65"/>
        <v/>
      </c>
      <c r="G147" s="6319" t="str">
        <v>48.TEST LIGNE 19 colonne Q et ligne 20 colonne P. rechercher la cellule qui coupe le texte Dans la cocotte N°3 en fonte, faites chauffer l’huile</v>
      </c>
      <c r="H147" s="6323" t="str">
        <f t="shared" si="66"/>
        <v/>
      </c>
      <c r="I147" s="6379"/>
      <c r="J147" s="6380" t="str">
        <f t="shared" si="67"/>
        <v/>
      </c>
      <c r="K147" s="6381" t="str">
        <f>IF(J147="","",LEFT(J147,IF(LEN(J147)&lt;=I137,LEN(J147),IFERROR(FIND("§",SUBSTITUTE(LEFT(J147,I137+1)," ","§",LEN(LEFT(J147,I137+1))-LEN(SUBSTITUTE(LEFT(J147,I137+1)," ",""))))-1,IFERROR(FIND(" ",J147,I137+1)-1,LEN(J147))))))</f>
        <v/>
      </c>
      <c r="L147" s="6382"/>
      <c r="M147" s="6330" t="str">
        <v>rechercher la cellule qui coupe le texte Dans la</v>
      </c>
      <c r="N147" t="s">
        <v>21</v>
      </c>
      <c r="AV147" s="103"/>
      <c r="AW147" s="31"/>
      <c r="AX147" s="32"/>
      <c r="AY147" s="31"/>
      <c r="AZ147" s="33"/>
      <c r="BA147" s="1967"/>
      <c r="BB147" s="1805"/>
      <c r="BC147" s="91"/>
      <c r="BD147" s="1806"/>
      <c r="BE147" s="6401"/>
      <c r="BF147" s="6402"/>
      <c r="BG147" s="1969"/>
      <c r="BH147" s="6403"/>
      <c r="BI147" s="95"/>
      <c r="BJ147" s="1326"/>
      <c r="BK147" s="6404"/>
      <c r="BL147" s="1737"/>
      <c r="BM147" s="2081"/>
      <c r="BN147" s="2238"/>
      <c r="BO147" s="1809"/>
      <c r="BQ147" s="2230"/>
      <c r="BR147" s="3">
        <v>1</v>
      </c>
    </row>
    <row r="148" spans="2:70" ht="21" customHeight="1">
      <c r="B148" s="6236"/>
      <c r="C148" s="6313">
        <f>AD57</f>
        <v>150</v>
      </c>
      <c r="D148" s="6314" t="str">
        <f>IF(UPPER(TRIM(X45))="X",U57,O57)</f>
        <v>8..TEST LIGNE 19 colonne Q et ligne 20 colonne P. rechercher la cellule qui coupe le texte Dans la cocotte N°3 en fonte, faites chauffer l’huile d’olive à feu moyen. Ajoutez la viande et faites-la dorer de tous les côtés. Retirez-la de la cocotte et réservez-la.</v>
      </c>
      <c r="E148" s="6315" t="str">
        <f>IF(D148="","",IF(F148="","",IF(LEN(F148)&gt;=LEN(D148),"",TRIM(MID(D148,LEN(F148)+1,99999)))))</f>
        <v>d’olive à feu moyen. Ajoutez la viande et faites-la dorer de tous les côtés. Retirez-la de la cocotte et réservez-la.</v>
      </c>
      <c r="F148" s="6316" t="str">
        <f>IF(D148="","",IF(LEN(D148)&lt;=C148,D148,IFERROR(LEFT(D148,FIND("§",SUBSTITUTE(LEFT(D148,C148+1)," ","§",LEN(LEFT(D148,C148+1))-LEN(SUBSTITUTE(LEFT(D148,C148+1)," ",""))))-1),LEFT(D148,C148))))</f>
        <v>8..TEST LIGNE 19 colonne Q et ligne 20 colonne P. rechercher la cellule qui coupe le texte Dans la cocotte N°3 en fonte, faites chauffer l’huile</v>
      </c>
      <c r="G148" s="6317" t="str">
        <v>d’olive à feu moyen. Ajoutez la viande et faites-la dorer de tous les côtés. Retirez-la de la cocotte et réservez-la.</v>
      </c>
      <c r="H148" s="6385">
        <f>IF(LEN(TRIM(L148))&gt;0,MAX(H147:H147)+1,"")</f>
        <v>1</v>
      </c>
      <c r="I148" s="6324" t="str">
        <f>D148</f>
        <v>8..TEST LIGNE 19 colonne Q et ligne 20 colonne P. rechercher la cellule qui coupe le texte Dans la cocotte N°3 en fonte, faites chauffer l’huile d’olive à feu moyen. Ajoutez la viande et faites-la dorer de tous les côtés. Retirez-la de la cocotte et réservez-la.</v>
      </c>
      <c r="J148" s="6386" t="str">
        <f>IF(I148=0,"",I148)</f>
        <v>8..TEST LIGNE 19 colonne Q et ligne 20 colonne P. rechercher la cellule qui coupe le texte Dans la cocotte N°3 en fonte, faites chauffer l’huile d’olive à feu moyen. Ajoutez la viande et faites-la dorer de tous les côtés. Retirez-la de la cocotte et réservez-la.</v>
      </c>
      <c r="K148" s="6387" t="str">
        <f>IF(I148="","",LEFT(I148,IF(LEN(I148)&lt;=I151,LEN(I148),IFERROR(FIND("§",SUBSTITUTE(LEFT(I148,I151+1)," ","§",LEN(LEFT(I148,I151+1))-LEN(SUBSTITUTE(LEFT(I148,I151+1)," ",""))))-1,IFERROR(FIND(" ",I148,I151+1)-1,LEN(I148))))))</f>
        <v>8..TEST LIGNE 19 colonne Q et ligne 20 colonne P.</v>
      </c>
      <c r="L148" s="6388" t="str" cm="1">
        <f t="array" ref="L148:L153">_xlfn._xlws.FILTER(TRIM(SUBSTITUTE(SUBSTITUTE(SUBSTITUTE(SUBSTITUTE(SUBSTITUTE(CLEAN(K148:K161),CHAR(160)," "),_xlfn.UNICHAR(8239)," "),CHAR(9)," "),CHAR(10)," "),CHAR(13)," ")),TRIM(SUBSTITUTE(SUBSTITUTE(SUBSTITUTE(SUBSTITUTE(SUBSTITUTE(CLEAN(K148:K161),CHAR(160)," "),_xlfn.UNICHAR(8239)," "),CHAR(9)," "),CHAR(10)," "),CHAR(13)," "))&lt;&gt;"")</f>
        <v>8..TEST LIGNE 19 colonne Q et ligne 20 colonne P.</v>
      </c>
      <c r="M148" s="6331" t="str">
        <v>cocotte N°3 en fonte, faites chauffer l’huile d’olive</v>
      </c>
      <c r="N148" t="s">
        <v>21</v>
      </c>
      <c r="AV148" s="103"/>
      <c r="AW148" s="31"/>
      <c r="AX148" s="32"/>
      <c r="AY148" s="31"/>
      <c r="AZ148" s="33"/>
      <c r="BA148" s="1967"/>
      <c r="BB148" s="1805"/>
      <c r="BC148" s="91"/>
      <c r="BD148" s="1806"/>
      <c r="BE148" s="6401"/>
      <c r="BF148" s="6402"/>
      <c r="BG148" s="1969"/>
      <c r="BH148" s="6403"/>
      <c r="BI148" s="95"/>
      <c r="BJ148" s="1326"/>
      <c r="BK148" s="6404"/>
      <c r="BL148" s="1737"/>
      <c r="BM148" s="2081"/>
      <c r="BN148" s="2238"/>
      <c r="BO148" s="1809"/>
      <c r="BQ148" s="2230"/>
      <c r="BR148" s="3">
        <v>1</v>
      </c>
    </row>
    <row r="149" spans="2:70" ht="21" customHeight="1">
      <c r="B149" s="6236"/>
      <c r="C149" s="6358">
        <f t="shared" ref="C149:C161" si="68">C148</f>
        <v>150</v>
      </c>
      <c r="D149" s="6359" t="str" cm="1">
        <f t="array" ref="D149">IF(MOD(ROW()-50,14)=0,INDEX(D148:D161,MOD(ROW()-50,14)+1),E147)</f>
        <v/>
      </c>
      <c r="E149" s="6360" t="str">
        <f t="shared" ref="E149:E161" si="69">IF(D149="","",IF(F149="","",IF(LEN(F149)&gt;=LEN(D149),"",TRIM(MID(D149,LEN(F149)+1,99999)))))</f>
        <v/>
      </c>
      <c r="F149" s="6361" t="str">
        <f t="shared" ref="F149:F161" si="70">IF(D149="","",IF(LEN(D149)&lt;=C149,D149,IFERROR(LEFT(D149,FIND("§",SUBSTITUTE(LEFT(D149,C149+1)," ","§",LEN(LEFT(D149,C149+1))-LEN(SUBSTITUTE(LEFT(D149,C149+1)," ",""))))-1),LEFT(D149,C149))))</f>
        <v/>
      </c>
      <c r="G149" s="6318" t="str">
        <v>49.TEST LIGNE 19 colonne Q et ligne 20 colonne P. rechercher la cellule qui coupe le texte Dans la cocotte N°3 en fonte, faites chauffer l’huile</v>
      </c>
      <c r="H149" s="6393">
        <f t="shared" ref="H149:H161" si="71">IF(LEN(TRIM(L149))&gt;0,MAX(H148:H148)+1,"")</f>
        <v>2</v>
      </c>
      <c r="I149" s="6394" t="s">
        <v>14355</v>
      </c>
      <c r="J149" s="6395" t="str">
        <f>TRIM(MID(I152,LEN(K148)+1,99999))</f>
        <v>rechercher la cellule qui coupe le texte Dans la cocotte N°3 en fonte, faites chauffer l’huile d’olive à feu moyen. Ajoutez la viande et faites-la dorer de tous les côtés. Retirez-la de la cocotte et réservez-la.</v>
      </c>
      <c r="K149" s="6396" t="str">
        <f>IF(J149="","",LEFT(J149,IF(LEN(J149)&lt;=I151,LEN(J149),IFERROR(FIND("§",SUBSTITUTE(LEFT(J149,I151+1)," ","§",LEN(LEFT(J149,I151+1))-LEN(SUBSTITUTE(LEFT(J149,I151+1)," ",""))))-1,IFERROR(FIND(" ",J149,I151+1)-1,LEN(J149))))))</f>
        <v>rechercher la cellule qui coupe le texte Dans la</v>
      </c>
      <c r="L149" s="6388" t="str">
        <v>rechercher la cellule qui coupe le texte Dans la</v>
      </c>
      <c r="M149" s="6332" t="str">
        <v>à feu moyen. Ajoutez la viande et faites-la dorer de</v>
      </c>
      <c r="N149" t="s">
        <v>21</v>
      </c>
      <c r="AV149" s="103"/>
      <c r="AW149" s="31"/>
      <c r="AX149" s="32"/>
      <c r="AY149" s="31"/>
      <c r="AZ149" s="33"/>
      <c r="BA149" s="1967"/>
      <c r="BB149" s="1805"/>
      <c r="BC149" s="91"/>
      <c r="BD149" s="1806"/>
      <c r="BE149" s="6401"/>
      <c r="BF149" s="6402"/>
      <c r="BG149" s="1969"/>
      <c r="BH149" s="6403"/>
      <c r="BI149" s="95"/>
      <c r="BJ149" s="1326"/>
      <c r="BK149" s="6404"/>
      <c r="BL149" s="1737"/>
      <c r="BM149" s="2081"/>
      <c r="BN149" s="2238"/>
      <c r="BO149" s="1809"/>
      <c r="BQ149" s="2230"/>
      <c r="BR149" s="3">
        <v>1</v>
      </c>
    </row>
    <row r="150" spans="2:70" ht="21" customHeight="1">
      <c r="B150" s="6236"/>
      <c r="C150" s="6358">
        <f t="shared" si="68"/>
        <v>150</v>
      </c>
      <c r="D150" s="6359" t="str" cm="1">
        <f t="array" ref="D150">IF(MOD(ROW()-50,14)=0,INDEX(D148:D161,MOD(ROW()-50,14)+1),E148)</f>
        <v>d’olive à feu moyen. Ajoutez la viande et faites-la dorer de tous les côtés. Retirez-la de la cocotte et réservez-la.</v>
      </c>
      <c r="E150" s="6360" t="str">
        <f t="shared" si="69"/>
        <v/>
      </c>
      <c r="F150" s="6361" t="str">
        <f t="shared" si="70"/>
        <v>d’olive à feu moyen. Ajoutez la viande et faites-la dorer de tous les côtés. Retirez-la de la cocotte et réservez-la.</v>
      </c>
      <c r="G150" s="6318" t="str">
        <v>d’olive à feu moyen. Ajoutez la viande et faites-la dorer de tous les côtés. Retirez-la de la cocotte et réservez-la.</v>
      </c>
      <c r="H150" s="6393">
        <f t="shared" si="71"/>
        <v>3</v>
      </c>
      <c r="I150" s="6365">
        <f>Z57</f>
        <v>5</v>
      </c>
      <c r="J150" s="6395" t="str">
        <f t="shared" ref="J150:J161" si="72">TRIM(MID(J149,LEN(K149)+1,99999))</f>
        <v>cocotte N°3 en fonte, faites chauffer l’huile d’olive à feu moyen. Ajoutez la viande et faites-la dorer de tous les côtés. Retirez-la de la cocotte et réservez-la.</v>
      </c>
      <c r="K150" s="6396" t="str">
        <f>IF(J150="","",LEFT(J150,IF(LEN(J150)&lt;=I151,LEN(J150),IFERROR(FIND("§",SUBSTITUTE(LEFT(J150,I151+1)," ","§",LEN(LEFT(J150,I151+1))-LEN(SUBSTITUTE(LEFT(J150,I151+1)," ",""))))-1,IFERROR(FIND(" ",J150,I151+1)-1,LEN(J150))))))</f>
        <v>cocotte N°3 en fonte, faites chauffer l’huile d’olive</v>
      </c>
      <c r="L150" s="6388" t="str">
        <v>cocotte N°3 en fonte, faites chauffer l’huile d’olive</v>
      </c>
      <c r="M150" s="6332" t="str">
        <v>tous les côtés. Retirez-la de la cocotte et</v>
      </c>
      <c r="N150" t="s">
        <v>21</v>
      </c>
      <c r="AV150" s="103"/>
      <c r="AW150" s="31"/>
      <c r="AX150" s="32"/>
      <c r="AY150" s="31"/>
      <c r="AZ150" s="33"/>
      <c r="BA150" s="1967"/>
      <c r="BB150" s="1805"/>
      <c r="BC150" s="91"/>
      <c r="BD150" s="1806"/>
      <c r="BE150" s="6401"/>
      <c r="BF150" s="6402"/>
      <c r="BG150" s="1969"/>
      <c r="BH150" s="6403"/>
      <c r="BI150" s="95"/>
      <c r="BJ150" s="1326"/>
      <c r="BK150" s="6404"/>
      <c r="BL150" s="1737"/>
      <c r="BM150" s="2081"/>
      <c r="BN150" s="2238"/>
      <c r="BO150" s="1809"/>
      <c r="BQ150" s="2230"/>
      <c r="BR150" s="3">
        <v>1</v>
      </c>
    </row>
    <row r="151" spans="2:70" ht="21" customHeight="1">
      <c r="B151" s="6236"/>
      <c r="C151" s="6358">
        <f t="shared" si="68"/>
        <v>150</v>
      </c>
      <c r="D151" s="6359" t="str" cm="1">
        <f t="array" ref="D151">IF(MOD(ROW()-50,14)=0,INDEX(D148:D161,MOD(ROW()-50,14)+1),E149)</f>
        <v/>
      </c>
      <c r="E151" s="6360" t="str">
        <f t="shared" si="69"/>
        <v/>
      </c>
      <c r="F151" s="6361" t="str">
        <f t="shared" si="70"/>
        <v/>
      </c>
      <c r="G151" s="6318" t="str">
        <v>50.TEST LIGNE 19 colonne Q et ligne 20 colonne P. rechercher la cellule qui coupe le texte Dans la cocotte N°3 en fonte, faites chauffer l’huile</v>
      </c>
      <c r="H151" s="6393">
        <f t="shared" si="71"/>
        <v>4</v>
      </c>
      <c r="I151" s="6398">
        <f>IF(OR(J148="",I150="",I150&lt;=0),"",ROUNDUP(LEN(J148)/I150,0))</f>
        <v>53</v>
      </c>
      <c r="J151" s="6395" t="str">
        <f t="shared" si="72"/>
        <v>à feu moyen. Ajoutez la viande et faites-la dorer de tous les côtés. Retirez-la de la cocotte et réservez-la.</v>
      </c>
      <c r="K151" s="6396" t="str">
        <f>IF(J151="","",LEFT(J151,IF(LEN(J151)&lt;=I151,LEN(J151),IFERROR(FIND("§",SUBSTITUTE(LEFT(J151,I151+1)," ","§",LEN(LEFT(J151,I151+1))-LEN(SUBSTITUTE(LEFT(J151,I151+1)," ",""))))-1,IFERROR(FIND(" ",J151,I151+1)-1,LEN(J151))))))</f>
        <v>à feu moyen. Ajoutez la viande et faites-la dorer de</v>
      </c>
      <c r="L151" s="6388" t="str">
        <v>à feu moyen. Ajoutez la viande et faites-la dorer de</v>
      </c>
      <c r="M151" s="6332" t="str">
        <v>réservez-la.</v>
      </c>
      <c r="N151" t="s">
        <v>21</v>
      </c>
      <c r="AV151" s="103"/>
      <c r="AW151" s="31"/>
      <c r="AX151" s="32"/>
      <c r="AY151" s="31"/>
      <c r="AZ151" s="33"/>
      <c r="BA151" s="1967"/>
      <c r="BB151" s="1805"/>
      <c r="BC151" s="91"/>
      <c r="BD151" s="1806"/>
      <c r="BE151" s="6401"/>
      <c r="BF151" s="6402"/>
      <c r="BG151" s="1969"/>
      <c r="BH151" s="6403"/>
      <c r="BI151" s="95"/>
      <c r="BJ151" s="1326"/>
      <c r="BK151" s="6404"/>
      <c r="BL151" s="1737"/>
      <c r="BM151" s="2081"/>
      <c r="BN151" s="2238"/>
      <c r="BO151" s="1809"/>
      <c r="BQ151" s="2230"/>
      <c r="BR151" s="3">
        <v>1</v>
      </c>
    </row>
    <row r="152" spans="2:70" ht="21" customHeight="1">
      <c r="B152" s="6236"/>
      <c r="C152" s="6358">
        <f t="shared" si="68"/>
        <v>150</v>
      </c>
      <c r="D152" s="6359" t="str" cm="1">
        <f t="array" ref="D152">IF(MOD(ROW()-50,14)=0,INDEX(D148:D161,MOD(ROW()-50,14)+1),E150)</f>
        <v/>
      </c>
      <c r="E152" s="6360" t="str">
        <f t="shared" si="69"/>
        <v/>
      </c>
      <c r="F152" s="6361" t="str">
        <f t="shared" si="70"/>
        <v/>
      </c>
      <c r="G152" s="6318" t="str">
        <v>d’olive à feu moyen. Ajoutez la viande et faites-la dorer de tous les côtés. Retirez-la de la cocotte et réservez-la.</v>
      </c>
      <c r="H152" s="6393">
        <f t="shared" si="71"/>
        <v>5</v>
      </c>
      <c r="I152" s="6400" t="str">
        <f>I148</f>
        <v>8..TEST LIGNE 19 colonne Q et ligne 20 colonne P. rechercher la cellule qui coupe le texte Dans la cocotte N°3 en fonte, faites chauffer l’huile d’olive à feu moyen. Ajoutez la viande et faites-la dorer de tous les côtés. Retirez-la de la cocotte et réservez-la.</v>
      </c>
      <c r="J152" s="6395" t="str">
        <f t="shared" si="72"/>
        <v>tous les côtés. Retirez-la de la cocotte et réservez-la.</v>
      </c>
      <c r="K152" s="6396" t="str">
        <f>IF(J152="","",LEFT(J152,IF(LEN(J152)&lt;=I151,LEN(J152),IFERROR(FIND("§",SUBSTITUTE(LEFT(J152,I151+1)," ","§",LEN(LEFT(J152,I151+1))-LEN(SUBSTITUTE(LEFT(J152,I151+1)," ",""))))-1,IFERROR(FIND(" ",J152,I151+1)-1,LEN(J152))))))</f>
        <v>tous les côtés. Retirez-la de la cocotte et</v>
      </c>
      <c r="L152" s="6388" t="str">
        <v>tous les côtés. Retirez-la de la cocotte et</v>
      </c>
      <c r="M152" s="6332" t="str">
        <v>18.TEST LIGNE 19 colonne Q et ligne 20 colonne P.</v>
      </c>
      <c r="N152" t="s">
        <v>21</v>
      </c>
      <c r="AV152" s="103"/>
      <c r="AW152" s="31"/>
      <c r="AX152" s="32"/>
      <c r="AY152" s="31"/>
      <c r="AZ152" s="33"/>
      <c r="BA152" s="1967"/>
      <c r="BB152" s="1805"/>
      <c r="BC152" s="91"/>
      <c r="BD152" s="1806"/>
      <c r="BE152" s="6401"/>
      <c r="BF152" s="6402"/>
      <c r="BG152" s="1969"/>
      <c r="BH152" s="6403"/>
      <c r="BI152" s="95"/>
      <c r="BJ152" s="1326"/>
      <c r="BK152" s="6404"/>
      <c r="BL152" s="1737"/>
      <c r="BM152" s="2081"/>
      <c r="BN152" s="2238"/>
      <c r="BO152" s="1809"/>
      <c r="BQ152" s="2230"/>
      <c r="BR152" s="3">
        <v>1</v>
      </c>
    </row>
    <row r="153" spans="2:70" ht="21" customHeight="1">
      <c r="B153" s="6236"/>
      <c r="C153" s="6358">
        <f t="shared" si="68"/>
        <v>150</v>
      </c>
      <c r="D153" s="6359" t="str" cm="1">
        <f t="array" ref="D153">IF(MOD(ROW()-50,14)=0,INDEX(D148:D161,MOD(ROW()-50,14)+1),E151)</f>
        <v/>
      </c>
      <c r="E153" s="6360" t="str">
        <f t="shared" si="69"/>
        <v/>
      </c>
      <c r="F153" s="6361" t="str">
        <f t="shared" si="70"/>
        <v/>
      </c>
      <c r="G153" s="6318" t="str">
        <v>51.TEST LIGNE 19 colonne Q et ligne 20 colonne P. rechercher la cellule qui coupe le texte Dans la cocotte N°3 en fonte, faites chauffer l’huile</v>
      </c>
      <c r="H153" s="6393">
        <f t="shared" si="71"/>
        <v>6</v>
      </c>
      <c r="I153" s="6405"/>
      <c r="J153" s="6395" t="str">
        <f t="shared" si="72"/>
        <v>réservez-la.</v>
      </c>
      <c r="K153" s="6396" t="str">
        <f>IF(J153="","",LEFT(J153,IF(LEN(J153)&lt;=I151,LEN(J153),IFERROR(FIND("§",SUBSTITUTE(LEFT(J153,I151+1)," ","§",LEN(LEFT(J153,I151+1))-LEN(SUBSTITUTE(LEFT(J153,I151+1)," ",""))))-1,IFERROR(FIND(" ",J153,I151+1)-1,LEN(J153))))))</f>
        <v>réservez-la.</v>
      </c>
      <c r="L153" s="6388" t="str">
        <v>réservez-la.</v>
      </c>
      <c r="M153" s="6332" t="str">
        <v>rechercher la cellule qui coupe le texte Dans la</v>
      </c>
      <c r="N153" t="s">
        <v>21</v>
      </c>
      <c r="AV153" s="103"/>
      <c r="AW153" s="31"/>
      <c r="AX153" s="32"/>
      <c r="AY153" s="31"/>
      <c r="AZ153" s="33"/>
      <c r="BA153" s="1967"/>
      <c r="BB153" s="1805"/>
      <c r="BC153" s="91"/>
      <c r="BD153" s="1806"/>
      <c r="BE153" s="6401"/>
      <c r="BF153" s="6402"/>
      <c r="BG153" s="1969"/>
      <c r="BH153" s="6403"/>
      <c r="BI153" s="95"/>
      <c r="BJ153" s="1326"/>
      <c r="BK153" s="6404"/>
      <c r="BL153" s="1737"/>
      <c r="BM153" s="2081"/>
      <c r="BN153" s="2238"/>
      <c r="BO153" s="1809"/>
      <c r="BQ153" s="2230"/>
      <c r="BR153" s="3">
        <v>1</v>
      </c>
    </row>
    <row r="154" spans="2:70" ht="21" customHeight="1">
      <c r="B154" s="6236"/>
      <c r="C154" s="6358">
        <f t="shared" si="68"/>
        <v>150</v>
      </c>
      <c r="D154" s="6359" t="str" cm="1">
        <f t="array" ref="D154">IF(MOD(ROW()-50,14)=0,INDEX(D148:D161,MOD(ROW()-50,14)+1),E152)</f>
        <v/>
      </c>
      <c r="E154" s="6360" t="str">
        <f t="shared" si="69"/>
        <v/>
      </c>
      <c r="F154" s="6361" t="str">
        <f t="shared" si="70"/>
        <v/>
      </c>
      <c r="G154" s="6318" t="str">
        <v>d’olive à feu moyen. Ajoutez la viande et faites-la dorer de tous les côtés. Retirez-la de la cocotte et réservez-la.</v>
      </c>
      <c r="H154" s="6393" t="str">
        <f t="shared" si="71"/>
        <v/>
      </c>
      <c r="I154" s="6405"/>
      <c r="J154" s="6395" t="str">
        <f t="shared" si="72"/>
        <v/>
      </c>
      <c r="K154" s="6396" t="str">
        <f>IF(J154="","",LEFT(J154,IF(LEN(J154)&lt;=I151,LEN(J154),IFERROR(FIND("§",SUBSTITUTE(LEFT(J154,I151+1)," ","§",LEN(LEFT(J154,I151+1))-LEN(SUBSTITUTE(LEFT(J154,I151+1)," ",""))))-1,IFERROR(FIND(" ",J154,I151+1)-1,LEN(J154))))))</f>
        <v/>
      </c>
      <c r="L154" s="6388"/>
      <c r="M154" s="6332" t="str">
        <v>cocotte N°3 en fonte, faites chauffer l’huile d’olive</v>
      </c>
      <c r="N154" t="s">
        <v>21</v>
      </c>
      <c r="AV154" s="103"/>
      <c r="AW154" s="31"/>
      <c r="AX154" s="32"/>
      <c r="AY154" s="31"/>
      <c r="AZ154" s="33"/>
      <c r="BA154" s="1967"/>
      <c r="BB154" s="1805"/>
      <c r="BC154" s="91"/>
      <c r="BD154" s="1806"/>
      <c r="BE154" s="6401"/>
      <c r="BF154" s="6402"/>
      <c r="BG154" s="1969"/>
      <c r="BH154" s="6403"/>
      <c r="BI154" s="95"/>
      <c r="BJ154" s="1326"/>
      <c r="BK154" s="6404"/>
      <c r="BL154" s="1737"/>
      <c r="BM154" s="2081"/>
      <c r="BN154" s="2238"/>
      <c r="BO154" s="1809"/>
      <c r="BQ154" s="2230"/>
      <c r="BR154" s="3">
        <v>1</v>
      </c>
    </row>
    <row r="155" spans="2:70" ht="21" customHeight="1">
      <c r="B155" s="6236"/>
      <c r="C155" s="6358">
        <f t="shared" si="68"/>
        <v>150</v>
      </c>
      <c r="D155" s="6359" t="str" cm="1">
        <f t="array" ref="D155">IF(MOD(ROW()-50,14)=0,INDEX(D148:D161,MOD(ROW()-50,14)+1),E153)</f>
        <v/>
      </c>
      <c r="E155" s="6360" t="str">
        <f t="shared" si="69"/>
        <v/>
      </c>
      <c r="F155" s="6361" t="str">
        <f t="shared" si="70"/>
        <v/>
      </c>
      <c r="G155" s="6318" t="str">
        <v>52.TEST LIGNE 19 colonne Q et ligne 20 colonne P. rechercher la cellule qui coupe le texte Dans la cocotte N°3 en fonte, faites chauffer l’huile</v>
      </c>
      <c r="H155" s="6393" t="str">
        <f t="shared" si="71"/>
        <v/>
      </c>
      <c r="I155" s="6405"/>
      <c r="J155" s="6395" t="str">
        <f t="shared" si="72"/>
        <v/>
      </c>
      <c r="K155" s="6396" t="str">
        <f>IF(J155="","",LEFT(J155,IF(LEN(J155)&lt;=I151,LEN(J155),IFERROR(FIND("§",SUBSTITUTE(LEFT(J155,I151+1)," ","§",LEN(LEFT(J155,I151+1))-LEN(SUBSTITUTE(LEFT(J155,I151+1)," ",""))))-1,IFERROR(FIND(" ",J155,I151+1)-1,LEN(J155))))))</f>
        <v/>
      </c>
      <c r="L155" s="6388"/>
      <c r="M155" s="6332" t="str">
        <v>à feu moyen. Ajoutez la viande et faites-la dorer de</v>
      </c>
      <c r="N155" t="s">
        <v>21</v>
      </c>
      <c r="AV155" s="103"/>
      <c r="AW155" s="31"/>
      <c r="AX155" s="32"/>
      <c r="AY155" s="31"/>
      <c r="AZ155" s="33"/>
      <c r="BA155" s="1967"/>
      <c r="BB155" s="1805"/>
      <c r="BC155" s="91"/>
      <c r="BD155" s="1806"/>
      <c r="BE155" s="6401"/>
      <c r="BF155" s="6402"/>
      <c r="BG155" s="1969"/>
      <c r="BH155" s="6403"/>
      <c r="BI155" s="95"/>
      <c r="BJ155" s="1326"/>
      <c r="BK155" s="6404"/>
      <c r="BL155" s="1737"/>
      <c r="BM155" s="2081"/>
      <c r="BN155" s="2238"/>
      <c r="BO155" s="1809"/>
      <c r="BQ155" s="2230"/>
      <c r="BR155" s="3">
        <v>1</v>
      </c>
    </row>
    <row r="156" spans="2:70" ht="21" customHeight="1">
      <c r="B156" s="6236"/>
      <c r="C156" s="6358">
        <f t="shared" si="68"/>
        <v>150</v>
      </c>
      <c r="D156" s="6359" t="str" cm="1">
        <f t="array" ref="D156">IF(MOD(ROW()-50,14)=0,INDEX(D148:D161,MOD(ROW()-50,14)+1),E154)</f>
        <v/>
      </c>
      <c r="E156" s="6360" t="str">
        <f t="shared" si="69"/>
        <v/>
      </c>
      <c r="F156" s="6361" t="str">
        <f t="shared" si="70"/>
        <v/>
      </c>
      <c r="G156" s="6318" t="str">
        <v>d’olive à feu moyen. Ajoutez la viande et faites-la dorer de tous les côtés. Retirez-la de la cocotte et réservez-la.</v>
      </c>
      <c r="H156" s="6393" t="str">
        <f t="shared" si="71"/>
        <v/>
      </c>
      <c r="I156" s="6405"/>
      <c r="J156" s="6395" t="str">
        <f t="shared" si="72"/>
        <v/>
      </c>
      <c r="K156" s="6396" t="str">
        <f>IF(J156="","",LEFT(J156,IF(LEN(J156)&lt;=I151,LEN(J156),IFERROR(FIND("§",SUBSTITUTE(LEFT(J156,I151+1)," ","§",LEN(LEFT(J156,I151+1))-LEN(SUBSTITUTE(LEFT(J156,I151+1)," ",""))))-1,IFERROR(FIND(" ",J156,I151+1)-1,LEN(J156))))))</f>
        <v/>
      </c>
      <c r="L156" s="6388"/>
      <c r="M156" s="6332" t="str">
        <v>tous les côtés. Retirez-la de la cocotte et</v>
      </c>
      <c r="N156" t="s">
        <v>21</v>
      </c>
      <c r="AV156" s="103"/>
      <c r="AW156" s="31"/>
      <c r="AX156" s="32"/>
      <c r="AY156" s="31"/>
      <c r="AZ156" s="33"/>
      <c r="BA156" s="1967"/>
      <c r="BB156" s="1805"/>
      <c r="BC156" s="91"/>
      <c r="BD156" s="1806"/>
      <c r="BE156" s="6401"/>
      <c r="BF156" s="6402"/>
      <c r="BG156" s="1969"/>
      <c r="BH156" s="6403"/>
      <c r="BI156" s="95"/>
      <c r="BJ156" s="1326"/>
      <c r="BK156" s="6404"/>
      <c r="BL156" s="1737"/>
      <c r="BM156" s="2081"/>
      <c r="BN156" s="2238"/>
      <c r="BO156" s="1809"/>
      <c r="BQ156" s="2230"/>
      <c r="BR156" s="3">
        <v>1</v>
      </c>
    </row>
    <row r="157" spans="2:70" ht="21" customHeight="1">
      <c r="B157" s="6236"/>
      <c r="C157" s="6358">
        <f t="shared" si="68"/>
        <v>150</v>
      </c>
      <c r="D157" s="6359" t="str" cm="1">
        <f t="array" ref="D157">IF(MOD(ROW()-50,14)=0,INDEX(D148:D161,MOD(ROW()-50,14)+1),E155)</f>
        <v/>
      </c>
      <c r="E157" s="6360" t="str">
        <f t="shared" si="69"/>
        <v/>
      </c>
      <c r="F157" s="6361" t="str">
        <f t="shared" si="70"/>
        <v/>
      </c>
      <c r="G157" s="6318"/>
      <c r="H157" s="6393" t="str">
        <f t="shared" si="71"/>
        <v/>
      </c>
      <c r="I157" s="6405"/>
      <c r="J157" s="6395" t="str">
        <f t="shared" si="72"/>
        <v/>
      </c>
      <c r="K157" s="6396" t="str">
        <f>IF(J157="","",LEFT(J157,IF(LEN(J157)&lt;=I151,LEN(J157),IFERROR(FIND("§",SUBSTITUTE(LEFT(J157,I151+1)," ","§",LEN(LEFT(J157,I151+1))-LEN(SUBSTITUTE(LEFT(J157,I151+1)," ",""))))-1,IFERROR(FIND(" ",J157,I151+1)-1,LEN(J157))))))</f>
        <v/>
      </c>
      <c r="L157" s="6388"/>
      <c r="M157" s="6332" t="str">
        <v>réservez-la.</v>
      </c>
      <c r="N157" t="s">
        <v>21</v>
      </c>
      <c r="AV157" s="103"/>
      <c r="AW157" s="31"/>
      <c r="AX157" s="32"/>
      <c r="AY157" s="31"/>
      <c r="AZ157" s="33"/>
      <c r="BA157" s="1967"/>
      <c r="BB157" s="1805"/>
      <c r="BC157" s="91"/>
      <c r="BD157" s="1806"/>
      <c r="BE157" s="6401"/>
      <c r="BF157" s="6402"/>
      <c r="BG157" s="1969"/>
      <c r="BH157" s="6403"/>
      <c r="BI157" s="95"/>
      <c r="BJ157" s="1326"/>
      <c r="BK157" s="6404"/>
      <c r="BL157" s="1737"/>
      <c r="BM157" s="2081"/>
      <c r="BN157" s="2238"/>
      <c r="BO157" s="1809"/>
      <c r="BQ157" s="2230"/>
      <c r="BR157" s="3">
        <v>1</v>
      </c>
    </row>
    <row r="158" spans="2:70" ht="21" customHeight="1">
      <c r="B158" s="6236"/>
      <c r="C158" s="6358">
        <f t="shared" si="68"/>
        <v>150</v>
      </c>
      <c r="D158" s="6359" t="str" cm="1">
        <f t="array" ref="D158">IF(MOD(ROW()-50,14)=0,INDEX(D148:D161,MOD(ROW()-50,14)+1),E156)</f>
        <v/>
      </c>
      <c r="E158" s="6360" t="str">
        <f t="shared" si="69"/>
        <v/>
      </c>
      <c r="F158" s="6361" t="str">
        <f t="shared" si="70"/>
        <v/>
      </c>
      <c r="G158" s="6318"/>
      <c r="H158" s="6393" t="str">
        <f t="shared" si="71"/>
        <v/>
      </c>
      <c r="I158" s="6405"/>
      <c r="J158" s="6395" t="str">
        <f t="shared" si="72"/>
        <v/>
      </c>
      <c r="K158" s="6396" t="str">
        <f>IF(J158="","",LEFT(J158,IF(LEN(J158)&lt;=I151,LEN(J158),IFERROR(FIND("§",SUBSTITUTE(LEFT(J158,I151+1)," ","§",LEN(LEFT(J158,I151+1))-LEN(SUBSTITUTE(LEFT(J158,I151+1)," ",""))))-1,IFERROR(FIND(" ",J158,I151+1)-1,LEN(J158))))))</f>
        <v/>
      </c>
      <c r="L158" s="6388"/>
      <c r="M158" s="6332" t="str">
        <v>19.TEST LIGNE 19 colonne Q et ligne 20 colonne P.</v>
      </c>
      <c r="N158" t="s">
        <v>21</v>
      </c>
      <c r="AV158" s="103"/>
      <c r="AW158" s="31"/>
      <c r="AX158" s="32"/>
      <c r="AY158" s="31"/>
      <c r="AZ158" s="33"/>
      <c r="BA158" s="1967"/>
      <c r="BB158" s="1805"/>
      <c r="BC158" s="91"/>
      <c r="BD158" s="1806"/>
      <c r="BE158" s="6401"/>
      <c r="BF158" s="6402"/>
      <c r="BG158" s="1969"/>
      <c r="BH158" s="6403"/>
      <c r="BI158" s="95"/>
      <c r="BJ158" s="1326"/>
      <c r="BK158" s="6404"/>
      <c r="BL158" s="1737"/>
      <c r="BM158" s="2081"/>
      <c r="BN158" s="2238"/>
      <c r="BO158" s="1809"/>
      <c r="BQ158" s="2230"/>
      <c r="BR158" s="3">
        <v>1</v>
      </c>
    </row>
    <row r="159" spans="2:70" ht="21" customHeight="1">
      <c r="B159" s="6236"/>
      <c r="C159" s="6358">
        <f t="shared" si="68"/>
        <v>150</v>
      </c>
      <c r="D159" s="6359" t="str" cm="1">
        <f t="array" ref="D159">IF(MOD(ROW()-50,14)=0,INDEX(D148:D161,MOD(ROW()-50,14)+1),E157)</f>
        <v/>
      </c>
      <c r="E159" s="6360" t="str">
        <f t="shared" si="69"/>
        <v/>
      </c>
      <c r="F159" s="6361" t="str">
        <f t="shared" si="70"/>
        <v/>
      </c>
      <c r="G159" s="6318"/>
      <c r="H159" s="6393" t="str">
        <f t="shared" si="71"/>
        <v/>
      </c>
      <c r="I159" s="6405"/>
      <c r="J159" s="6395" t="str">
        <f t="shared" si="72"/>
        <v/>
      </c>
      <c r="K159" s="6396" t="str">
        <f>IF(J159="","",LEFT(J159,IF(LEN(J159)&lt;=I151,LEN(J159),IFERROR(FIND("§",SUBSTITUTE(LEFT(J159,I151+1)," ","§",LEN(LEFT(J159,I151+1))-LEN(SUBSTITUTE(LEFT(J159,I151+1)," ",""))))-1,IFERROR(FIND(" ",J159,I151+1)-1,LEN(J159))))))</f>
        <v/>
      </c>
      <c r="L159" s="6388"/>
      <c r="M159" s="6332" t="str">
        <v>rechercher la cellule qui coupe le texte Dans la</v>
      </c>
      <c r="N159" t="s">
        <v>21</v>
      </c>
      <c r="AV159" s="103"/>
      <c r="AW159" s="31"/>
      <c r="AX159" s="32"/>
      <c r="AY159" s="31"/>
      <c r="AZ159" s="33"/>
      <c r="BA159" s="1967"/>
      <c r="BB159" s="1805"/>
      <c r="BC159" s="91"/>
      <c r="BD159" s="1806"/>
      <c r="BE159" s="6401"/>
      <c r="BF159" s="6402"/>
      <c r="BG159" s="1969"/>
      <c r="BH159" s="6403"/>
      <c r="BI159" s="95"/>
      <c r="BJ159" s="1326"/>
      <c r="BK159" s="6404"/>
      <c r="BL159" s="1737"/>
      <c r="BM159" s="2081"/>
      <c r="BN159" s="2238"/>
      <c r="BO159" s="1809"/>
      <c r="BQ159" s="2230"/>
      <c r="BR159" s="3">
        <v>1</v>
      </c>
    </row>
    <row r="160" spans="2:70" ht="21" customHeight="1">
      <c r="B160" s="6236"/>
      <c r="C160" s="6358">
        <f t="shared" si="68"/>
        <v>150</v>
      </c>
      <c r="D160" s="6359" t="str" cm="1">
        <f t="array" ref="D160">IF(MOD(ROW()-50,14)=0,INDEX(D148:D161,MOD(ROW()-50,14)+1),E158)</f>
        <v/>
      </c>
      <c r="E160" s="6360" t="str">
        <f t="shared" si="69"/>
        <v/>
      </c>
      <c r="F160" s="6361" t="str">
        <f t="shared" si="70"/>
        <v/>
      </c>
      <c r="G160" s="6318"/>
      <c r="H160" s="6393" t="str">
        <f t="shared" si="71"/>
        <v/>
      </c>
      <c r="I160" s="6405"/>
      <c r="J160" s="6395" t="str">
        <f t="shared" si="72"/>
        <v/>
      </c>
      <c r="K160" s="6396" t="str">
        <f>IF(J160="","",LEFT(J160,IF(LEN(J160)&lt;=I151,LEN(J160),IFERROR(FIND("§",SUBSTITUTE(LEFT(J160,I151+1)," ","§",LEN(LEFT(J160,I151+1))-LEN(SUBSTITUTE(LEFT(J160,I151+1)," ",""))))-1,IFERROR(FIND(" ",J160,I151+1)-1,LEN(J160))))))</f>
        <v/>
      </c>
      <c r="L160" s="6396"/>
      <c r="M160" s="6332" t="str">
        <v>cocotte N°3 en fonte, faites chauffer l’huile d’olive</v>
      </c>
      <c r="N160" t="s">
        <v>21</v>
      </c>
      <c r="AV160" s="103"/>
      <c r="AW160" s="31"/>
      <c r="AX160" s="32"/>
      <c r="AY160" s="31"/>
      <c r="AZ160" s="33"/>
      <c r="BA160" s="1967"/>
      <c r="BB160" s="1805"/>
      <c r="BC160" s="91"/>
      <c r="BD160" s="1806"/>
      <c r="BE160" s="6401"/>
      <c r="BF160" s="6402"/>
      <c r="BG160" s="1969"/>
      <c r="BH160" s="6403"/>
      <c r="BI160" s="95"/>
      <c r="BJ160" s="1326"/>
      <c r="BK160" s="6404"/>
      <c r="BL160" s="1737"/>
      <c r="BM160" s="2081"/>
      <c r="BN160" s="2238"/>
      <c r="BO160" s="1809"/>
      <c r="BQ160" s="2230"/>
      <c r="BR160" s="3">
        <v>1</v>
      </c>
    </row>
    <row r="161" spans="2:70" ht="21" customHeight="1">
      <c r="B161" s="6236"/>
      <c r="C161" s="6376">
        <f t="shared" si="68"/>
        <v>150</v>
      </c>
      <c r="D161" s="6414" t="str" cm="1">
        <f t="array" ref="D161">IF(MOD(ROW()-50,14)=0,INDEX(D148:D161,MOD(ROW()-50,14)+1),E159)</f>
        <v/>
      </c>
      <c r="E161" s="6377" t="str">
        <f t="shared" si="69"/>
        <v/>
      </c>
      <c r="F161" s="6378" t="str">
        <f t="shared" si="70"/>
        <v/>
      </c>
      <c r="G161" s="6319"/>
      <c r="H161" s="6409" t="str">
        <f t="shared" si="71"/>
        <v/>
      </c>
      <c r="I161" s="6410"/>
      <c r="J161" s="6411" t="str">
        <f t="shared" si="72"/>
        <v/>
      </c>
      <c r="K161" s="6412" t="str">
        <f>IF(J161="","",LEFT(J161,IF(LEN(J161)&lt;=I151,LEN(J161),IFERROR(FIND("§",SUBSTITUTE(LEFT(J161,I151+1)," ","§",LEN(LEFT(J161,I151+1))-LEN(SUBSTITUTE(LEFT(J161,I151+1)," ",""))))-1,IFERROR(FIND(" ",J161,I151+1)-1,LEN(J161))))))</f>
        <v/>
      </c>
      <c r="L161" s="6413"/>
      <c r="M161" s="6333" t="str">
        <v>à feu moyen. Ajoutez la viande et faites-la dorer de</v>
      </c>
      <c r="N161" t="s">
        <v>21</v>
      </c>
      <c r="AV161" s="103"/>
      <c r="AW161" s="31"/>
      <c r="AX161" s="32"/>
      <c r="AY161" s="31"/>
      <c r="AZ161" s="33"/>
      <c r="BA161" s="1967"/>
      <c r="BB161" s="1805"/>
      <c r="BC161" s="91"/>
      <c r="BD161" s="1806"/>
      <c r="BE161" s="6401"/>
      <c r="BF161" s="6402"/>
      <c r="BG161" s="1969"/>
      <c r="BH161" s="6403"/>
      <c r="BI161" s="95"/>
      <c r="BJ161" s="1326"/>
      <c r="BK161" s="6404"/>
      <c r="BL161" s="1737"/>
      <c r="BM161" s="2081"/>
      <c r="BN161" s="2238"/>
      <c r="BO161" s="1809"/>
      <c r="BQ161" s="2230"/>
      <c r="BR161" s="3">
        <v>1</v>
      </c>
    </row>
    <row r="162" spans="2:70" ht="21" customHeight="1">
      <c r="B162" s="6236"/>
      <c r="C162" s="6313">
        <f>AD58</f>
        <v>150</v>
      </c>
      <c r="D162" s="6314" t="str">
        <f>IF(UPPER(TRIM(X45))="X",U58,O58)</f>
        <v>9.TEST LIGNE 19 colonne Q et ligne 20 colonne P. rechercher la cellule qui coupe le texte Dans la cocotte N°3 en fonte, faites chauffer l’huile d’olive à feu moyen. Ajoutez la viande et faites-la dorer de tous les côtés. Retirez-la de la cocotte et réservez-la.</v>
      </c>
      <c r="E162" s="6383" t="str">
        <f>IF(D162="","",IF(F162="","",IF(LEN(F162)&gt;=LEN(D162),"",TRIM(MID(D162,LEN(F162)+1,99999)))))</f>
        <v>d’olive à feu moyen. Ajoutez la viande et faites-la dorer de tous les côtés. Retirez-la de la cocotte et réservez-la.</v>
      </c>
      <c r="F162" s="6384" t="str">
        <f>IF(D162="","",IF(LEN(D162)&lt;=C162,D162,IFERROR(LEFT(D162,FIND("§",SUBSTITUTE(LEFT(D162,C162+1)," ","§",LEN(LEFT(D162,C162+1))-LEN(SUBSTITUTE(LEFT(D162,C162+1)," ",""))))-1),LEFT(D162,C162))))</f>
        <v>9.TEST LIGNE 19 colonne Q et ligne 20 colonne P. rechercher la cellule qui coupe le texte Dans la cocotte N°3 en fonte, faites chauffer l’huile</v>
      </c>
      <c r="G162" s="6320"/>
      <c r="H162" s="6323">
        <f>IF(LEN(TRIM(L162))&gt;0,MAX(H161:H161)+1,"")</f>
        <v>1</v>
      </c>
      <c r="I162" s="6324" t="str">
        <f>D162</f>
        <v>9.TEST LIGNE 19 colonne Q et ligne 20 colonne P. rechercher la cellule qui coupe le texte Dans la cocotte N°3 en fonte, faites chauffer l’huile d’olive à feu moyen. Ajoutez la viande et faites-la dorer de tous les côtés. Retirez-la de la cocotte et réservez-la.</v>
      </c>
      <c r="J162" s="6325" t="str">
        <f>IF(I162=0,"",I162)</f>
        <v>9.TEST LIGNE 19 colonne Q et ligne 20 colonne P. rechercher la cellule qui coupe le texte Dans la cocotte N°3 en fonte, faites chauffer l’huile d’olive à feu moyen. Ajoutez la viande et faites-la dorer de tous les côtés. Retirez-la de la cocotte et réservez-la.</v>
      </c>
      <c r="K162" s="6326" t="str">
        <f>IF(I162="","",LEFT(I162,IF(LEN(I162)&lt;=I165,LEN(I162),IFERROR(FIND("§",SUBSTITUTE(LEFT(I162,I165+1)," ","§",LEN(LEFT(I162,I165+1))-LEN(SUBSTITUTE(LEFT(I162,I165+1)," ",""))))-1,IFERROR(FIND(" ",I162,I165+1)-1,LEN(I162))))))</f>
        <v>9.TEST LIGNE 19 colonne Q et ligne 20 colonne P.</v>
      </c>
      <c r="L162" s="6326" t="str" cm="1">
        <f t="array" ref="L162:L167">_xlfn._xlws.FILTER(TRIM(SUBSTITUTE(SUBSTITUTE(SUBSTITUTE(SUBSTITUTE(SUBSTITUTE(CLEAN(K162:K175),CHAR(160)," "),_xlfn.UNICHAR(8239)," "),CHAR(9)," "),CHAR(10)," "),CHAR(13)," ")),TRIM(SUBSTITUTE(SUBSTITUTE(SUBSTITUTE(SUBSTITUTE(SUBSTITUTE(CLEAN(K162:K175),CHAR(160)," "),_xlfn.UNICHAR(8239)," "),CHAR(9)," "),CHAR(10)," "),CHAR(13)," "))&lt;&gt;"")</f>
        <v>9.TEST LIGNE 19 colonne Q et ligne 20 colonne P.</v>
      </c>
      <c r="M162" s="6328" t="str">
        <v>tous les côtés. Retirez-la de la cocotte et</v>
      </c>
      <c r="N162" t="s">
        <v>21</v>
      </c>
      <c r="AV162" s="103"/>
      <c r="AW162" s="31"/>
      <c r="AX162" s="32"/>
      <c r="AY162" s="31"/>
      <c r="AZ162" s="33"/>
      <c r="BA162" s="1967"/>
      <c r="BB162" s="1805"/>
      <c r="BC162" s="91"/>
      <c r="BD162" s="1806"/>
      <c r="BE162" s="6401"/>
      <c r="BF162" s="6402"/>
      <c r="BG162" s="1969"/>
      <c r="BH162" s="6403"/>
      <c r="BI162" s="95"/>
      <c r="BJ162" s="1326"/>
      <c r="BK162" s="6404"/>
      <c r="BL162" s="1737"/>
      <c r="BM162" s="2081"/>
      <c r="BN162" s="2238"/>
      <c r="BO162" s="1809"/>
      <c r="BQ162" s="2230"/>
      <c r="BR162" s="3">
        <v>1</v>
      </c>
    </row>
    <row r="163" spans="2:70" ht="21" customHeight="1">
      <c r="B163" s="6236"/>
      <c r="C163" s="6358">
        <f t="shared" ref="C163:C175" si="73">C162</f>
        <v>150</v>
      </c>
      <c r="D163" s="6390" t="str" cm="1">
        <f t="array" ref="D163">IF(MOD(ROW()-50,14)=0,INDEX(D162:D175,MOD(ROW()-50,14)+1),E161)</f>
        <v/>
      </c>
      <c r="E163" s="6391" t="str">
        <f t="shared" ref="E163:E175" si="74">IF(D163="","",IF(F163="","",IF(LEN(F163)&gt;=LEN(D163),"",TRIM(MID(D163,LEN(F163)+1,99999)))))</f>
        <v/>
      </c>
      <c r="F163" s="6392" t="str">
        <f t="shared" ref="F163:F175" si="75">IF(D163="","",IF(LEN(D163)&lt;=C163,D163,IFERROR(LEFT(D163,FIND("§",SUBSTITUTE(LEFT(D163,C163+1)," ","§",LEN(LEFT(D163,C163+1))-LEN(SUBSTITUTE(LEFT(D163,C163+1)," ",""))))-1),LEFT(D163,C163))))</f>
        <v/>
      </c>
      <c r="G163" s="6321"/>
      <c r="H163" s="6323">
        <f t="shared" ref="H163:H175" si="76">IF(LEN(TRIM(L163))&gt;0,MAX(H162:H162)+1,"")</f>
        <v>2</v>
      </c>
      <c r="I163" s="6362" t="s">
        <v>14355</v>
      </c>
      <c r="J163" s="6363" t="str">
        <f>TRIM(MID(I166,LEN(K162)+1,99999))</f>
        <v>rechercher la cellule qui coupe le texte Dans la cocotte N°3 en fonte, faites chauffer l’huile d’olive à feu moyen. Ajoutez la viande et faites-la dorer de tous les côtés. Retirez-la de la cocotte et réservez-la.</v>
      </c>
      <c r="K163" s="6364" t="str">
        <f>IF(J163="","",LEFT(J163,IF(LEN(J163)&lt;=I165,LEN(J163),IFERROR(FIND("§",SUBSTITUTE(LEFT(J163,I165+1)," ","§",LEN(LEFT(J163,I165+1))-LEN(SUBSTITUTE(LEFT(J163,I165+1)," ",""))))-1,IFERROR(FIND(" ",J163,I165+1)-1,LEN(J163))))))</f>
        <v>rechercher la cellule qui coupe le texte Dans la</v>
      </c>
      <c r="L163" s="6327" t="str">
        <v>rechercher la cellule qui coupe le texte Dans la</v>
      </c>
      <c r="M163" s="6329" t="str">
        <v>réservez-la.</v>
      </c>
      <c r="N163" t="s">
        <v>21</v>
      </c>
      <c r="AV163" s="103"/>
      <c r="AW163" s="31"/>
      <c r="AX163" s="32"/>
      <c r="AY163" s="31"/>
      <c r="AZ163" s="33"/>
      <c r="BA163" s="1967"/>
      <c r="BB163" s="1805"/>
      <c r="BC163" s="91"/>
      <c r="BD163" s="1806"/>
      <c r="BE163" s="6401"/>
      <c r="BF163" s="6402"/>
      <c r="BG163" s="1969"/>
      <c r="BH163" s="6403"/>
      <c r="BI163" s="95"/>
      <c r="BJ163" s="1326"/>
      <c r="BK163" s="6404"/>
      <c r="BL163" s="1737"/>
      <c r="BM163" s="2081"/>
      <c r="BN163" s="2238"/>
      <c r="BO163" s="1809"/>
      <c r="BQ163" s="2230"/>
      <c r="BR163" s="3">
        <v>1</v>
      </c>
    </row>
    <row r="164" spans="2:70" ht="21" customHeight="1">
      <c r="B164" s="6236"/>
      <c r="C164" s="6358">
        <f t="shared" si="73"/>
        <v>150</v>
      </c>
      <c r="D164" s="6390" t="str" cm="1">
        <f t="array" ref="D164">IF(MOD(ROW()-50,14)=0,INDEX(D162:D175,MOD(ROW()-50,14)+1),E162)</f>
        <v>d’olive à feu moyen. Ajoutez la viande et faites-la dorer de tous les côtés. Retirez-la de la cocotte et réservez-la.</v>
      </c>
      <c r="E164" s="6391" t="str">
        <f t="shared" si="74"/>
        <v/>
      </c>
      <c r="F164" s="6392" t="str">
        <f t="shared" si="75"/>
        <v>d’olive à feu moyen. Ajoutez la viande et faites-la dorer de tous les côtés. Retirez-la de la cocotte et réservez-la.</v>
      </c>
      <c r="G164" s="6321"/>
      <c r="H164" s="6323">
        <f t="shared" si="76"/>
        <v>3</v>
      </c>
      <c r="I164" s="6365">
        <f>Z58</f>
        <v>5</v>
      </c>
      <c r="J164" s="6363" t="str">
        <f t="shared" ref="J164:J175" si="77">TRIM(MID(J163,LEN(K163)+1,99999))</f>
        <v>cocotte N°3 en fonte, faites chauffer l’huile d’olive à feu moyen. Ajoutez la viande et faites-la dorer de tous les côtés. Retirez-la de la cocotte et réservez-la.</v>
      </c>
      <c r="K164" s="6364" t="str">
        <f>IF(J164="","",LEFT(J164,IF(LEN(J164)&lt;=I165,LEN(J164),IFERROR(FIND("§",SUBSTITUTE(LEFT(J164,I165+1)," ","§",LEN(LEFT(J164,I165+1))-LEN(SUBSTITUTE(LEFT(J164,I165+1)," ",""))))-1,IFERROR(FIND(" ",J164,I165+1)-1,LEN(J164))))))</f>
        <v>cocotte N°3 en fonte, faites chauffer l’huile d’olive</v>
      </c>
      <c r="L164" s="6327" t="str">
        <v>cocotte N°3 en fonte, faites chauffer l’huile d’olive</v>
      </c>
      <c r="M164" s="6329" t="str">
        <v>20.TEST LIGNE 19 colonne Q et ligne 20 colonne P.</v>
      </c>
      <c r="N164" t="s">
        <v>21</v>
      </c>
      <c r="AV164" s="103"/>
      <c r="AW164" s="31"/>
      <c r="AX164" s="32"/>
      <c r="AY164" s="31"/>
      <c r="AZ164" s="33"/>
      <c r="BA164" s="1967"/>
      <c r="BB164" s="1805"/>
      <c r="BC164" s="91"/>
      <c r="BD164" s="1806"/>
      <c r="BE164" s="6401"/>
      <c r="BF164" s="6402"/>
      <c r="BG164" s="1969"/>
      <c r="BH164" s="6403"/>
      <c r="BI164" s="95"/>
      <c r="BJ164" s="1326"/>
      <c r="BK164" s="6404"/>
      <c r="BL164" s="1737"/>
      <c r="BM164" s="2081"/>
      <c r="BN164" s="2238"/>
      <c r="BO164" s="1809"/>
      <c r="BQ164" s="2230"/>
      <c r="BR164" s="3">
        <v>1</v>
      </c>
    </row>
    <row r="165" spans="2:70" ht="21" customHeight="1">
      <c r="B165" s="6236"/>
      <c r="C165" s="6358">
        <f t="shared" si="73"/>
        <v>150</v>
      </c>
      <c r="D165" s="6390" t="str" cm="1">
        <f t="array" ref="D165">IF(MOD(ROW()-50,14)=0,INDEX(D162:D175,MOD(ROW()-50,14)+1),E163)</f>
        <v/>
      </c>
      <c r="E165" s="6391" t="str">
        <f t="shared" si="74"/>
        <v/>
      </c>
      <c r="F165" s="6392" t="str">
        <f t="shared" si="75"/>
        <v/>
      </c>
      <c r="G165" s="6321"/>
      <c r="H165" s="6323">
        <f t="shared" si="76"/>
        <v>4</v>
      </c>
      <c r="I165" s="6370">
        <f>IF(OR(J162="",I164="",I164&lt;=0),"",ROUNDUP(LEN(J162)/I164,0))</f>
        <v>53</v>
      </c>
      <c r="J165" s="6363" t="str">
        <f t="shared" si="77"/>
        <v>à feu moyen. Ajoutez la viande et faites-la dorer de tous les côtés. Retirez-la de la cocotte et réservez-la.</v>
      </c>
      <c r="K165" s="6364" t="str">
        <f>IF(J165="","",LEFT(J165,IF(LEN(J165)&lt;=I165,LEN(J165),IFERROR(FIND("§",SUBSTITUTE(LEFT(J165,I165+1)," ","§",LEN(LEFT(J165,I165+1))-LEN(SUBSTITUTE(LEFT(J165,I165+1)," ",""))))-1,IFERROR(FIND(" ",J165,I165+1)-1,LEN(J165))))))</f>
        <v>à feu moyen. Ajoutez la viande et faites-la dorer de</v>
      </c>
      <c r="L165" s="6327" t="str">
        <v>à feu moyen. Ajoutez la viande et faites-la dorer de</v>
      </c>
      <c r="M165" s="6329" t="str">
        <v>rechercher la cellule qui coupe le texte Dans la</v>
      </c>
      <c r="N165" t="s">
        <v>21</v>
      </c>
      <c r="AV165" s="103"/>
      <c r="AW165" s="31"/>
      <c r="AX165" s="32"/>
      <c r="AY165" s="31"/>
      <c r="AZ165" s="33"/>
      <c r="BA165" s="1967"/>
      <c r="BB165" s="1805"/>
      <c r="BC165" s="91"/>
      <c r="BD165" s="1806"/>
      <c r="BE165" s="6401"/>
      <c r="BF165" s="6402"/>
      <c r="BG165" s="1969"/>
      <c r="BH165" s="6403"/>
      <c r="BI165" s="95"/>
      <c r="BJ165" s="1326"/>
      <c r="BK165" s="6404"/>
      <c r="BL165" s="1737"/>
      <c r="BM165" s="2081"/>
      <c r="BN165" s="2238"/>
      <c r="BO165" s="1809"/>
      <c r="BQ165" s="2230"/>
      <c r="BR165" s="3">
        <v>1</v>
      </c>
    </row>
    <row r="166" spans="2:70" ht="21" customHeight="1">
      <c r="B166" s="6236"/>
      <c r="C166" s="6358">
        <f t="shared" si="73"/>
        <v>150</v>
      </c>
      <c r="D166" s="6390" t="str" cm="1">
        <f t="array" ref="D166">IF(MOD(ROW()-50,14)=0,INDEX(D162:D175,MOD(ROW()-50,14)+1),E164)</f>
        <v/>
      </c>
      <c r="E166" s="6391" t="str">
        <f t="shared" si="74"/>
        <v/>
      </c>
      <c r="F166" s="6392" t="str">
        <f t="shared" si="75"/>
        <v/>
      </c>
      <c r="G166" s="6321"/>
      <c r="H166" s="6323">
        <f t="shared" si="76"/>
        <v>5</v>
      </c>
      <c r="I166" s="6372" t="str">
        <f>I162</f>
        <v>9.TEST LIGNE 19 colonne Q et ligne 20 colonne P. rechercher la cellule qui coupe le texte Dans la cocotte N°3 en fonte, faites chauffer l’huile d’olive à feu moyen. Ajoutez la viande et faites-la dorer de tous les côtés. Retirez-la de la cocotte et réservez-la.</v>
      </c>
      <c r="J166" s="6363" t="str">
        <f t="shared" si="77"/>
        <v>tous les côtés. Retirez-la de la cocotte et réservez-la.</v>
      </c>
      <c r="K166" s="6364" t="str">
        <f>IF(J166="","",LEFT(J166,IF(LEN(J166)&lt;=I165,LEN(J166),IFERROR(FIND("§",SUBSTITUTE(LEFT(J166,I165+1)," ","§",LEN(LEFT(J166,I165+1))-LEN(SUBSTITUTE(LEFT(J166,I165+1)," ",""))))-1,IFERROR(FIND(" ",J166,I165+1)-1,LEN(J166))))))</f>
        <v>tous les côtés. Retirez-la de la cocotte et</v>
      </c>
      <c r="L166" s="6327" t="str">
        <v>tous les côtés. Retirez-la de la cocotte et</v>
      </c>
      <c r="M166" s="6329" t="str">
        <v>cocotte N°3 en fonte, faites chauffer l’huile d’olive</v>
      </c>
      <c r="N166" t="s">
        <v>21</v>
      </c>
      <c r="AV166" s="103"/>
      <c r="AW166" s="31"/>
      <c r="AX166" s="32"/>
      <c r="AY166" s="31"/>
      <c r="AZ166" s="33"/>
      <c r="BA166" s="1967"/>
      <c r="BB166" s="1805"/>
      <c r="BC166" s="91"/>
      <c r="BD166" s="1806"/>
      <c r="BE166" s="6401"/>
      <c r="BF166" s="6402"/>
      <c r="BG166" s="1969"/>
      <c r="BH166" s="6403"/>
      <c r="BI166" s="95"/>
      <c r="BJ166" s="1326"/>
      <c r="BK166" s="6404"/>
      <c r="BL166" s="1737"/>
      <c r="BM166" s="2081"/>
      <c r="BN166" s="2238"/>
      <c r="BO166" s="1809"/>
      <c r="BQ166" s="2230"/>
      <c r="BR166" s="3">
        <v>1</v>
      </c>
    </row>
    <row r="167" spans="2:70" ht="21" customHeight="1">
      <c r="B167" s="6236"/>
      <c r="C167" s="6358">
        <f t="shared" si="73"/>
        <v>150</v>
      </c>
      <c r="D167" s="6390" t="str" cm="1">
        <f t="array" ref="D167">IF(MOD(ROW()-50,14)=0,INDEX(D162:D175,MOD(ROW()-50,14)+1),E165)</f>
        <v/>
      </c>
      <c r="E167" s="6391" t="str">
        <f t="shared" si="74"/>
        <v/>
      </c>
      <c r="F167" s="6392" t="str">
        <f t="shared" si="75"/>
        <v/>
      </c>
      <c r="G167" s="6321"/>
      <c r="H167" s="6323">
        <f t="shared" si="76"/>
        <v>6</v>
      </c>
      <c r="I167" s="6373"/>
      <c r="J167" s="6363" t="str">
        <f t="shared" si="77"/>
        <v>réservez-la.</v>
      </c>
      <c r="K167" s="6364" t="str">
        <f>IF(J167="","",LEFT(J167,IF(LEN(J167)&lt;=I165,LEN(J167),IFERROR(FIND("§",SUBSTITUTE(LEFT(J167,I165+1)," ","§",LEN(LEFT(J167,I165+1))-LEN(SUBSTITUTE(LEFT(J167,I165+1)," ",""))))-1,IFERROR(FIND(" ",J167,I165+1)-1,LEN(J167))))))</f>
        <v>réservez-la.</v>
      </c>
      <c r="L167" s="6327" t="str">
        <v>réservez-la.</v>
      </c>
      <c r="M167" s="6329" t="str">
        <v>à feu moyen. Ajoutez la viande et faites-la dorer de</v>
      </c>
      <c r="N167" t="s">
        <v>21</v>
      </c>
      <c r="AV167" s="103"/>
      <c r="AW167" s="31"/>
      <c r="AX167" s="32"/>
      <c r="AY167" s="31"/>
      <c r="AZ167" s="33"/>
      <c r="BA167" s="1967"/>
      <c r="BB167" s="1805"/>
      <c r="BC167" s="91"/>
      <c r="BD167" s="1806"/>
      <c r="BE167" s="6401"/>
      <c r="BF167" s="6402"/>
      <c r="BG167" s="1969"/>
      <c r="BH167" s="6403"/>
      <c r="BI167" s="95"/>
      <c r="BJ167" s="1326"/>
      <c r="BK167" s="6404"/>
      <c r="BL167" s="1737"/>
      <c r="BM167" s="2081"/>
      <c r="BN167" s="2238"/>
      <c r="BO167" s="1809"/>
      <c r="BQ167" s="2230"/>
      <c r="BR167" s="3">
        <v>1</v>
      </c>
    </row>
    <row r="168" spans="2:70" ht="21" customHeight="1">
      <c r="B168" s="6236"/>
      <c r="C168" s="6358">
        <f t="shared" si="73"/>
        <v>150</v>
      </c>
      <c r="D168" s="6390" t="str" cm="1">
        <f t="array" ref="D168">IF(MOD(ROW()-50,14)=0,INDEX(D162:D175,MOD(ROW()-50,14)+1),E166)</f>
        <v/>
      </c>
      <c r="E168" s="6391" t="str">
        <f t="shared" si="74"/>
        <v/>
      </c>
      <c r="F168" s="6392" t="str">
        <f t="shared" si="75"/>
        <v/>
      </c>
      <c r="G168" s="6321"/>
      <c r="H168" s="6323" t="str">
        <f t="shared" si="76"/>
        <v/>
      </c>
      <c r="I168" s="6373"/>
      <c r="J168" s="6363" t="str">
        <f t="shared" si="77"/>
        <v/>
      </c>
      <c r="K168" s="6364" t="str">
        <f>IF(J168="","",LEFT(J168,IF(LEN(J168)&lt;=I165,LEN(J168),IFERROR(FIND("§",SUBSTITUTE(LEFT(J168,I165+1)," ","§",LEN(LEFT(J168,I165+1))-LEN(SUBSTITUTE(LEFT(J168,I165+1)," ",""))))-1,IFERROR(FIND(" ",J168,I165+1)-1,LEN(J168))))))</f>
        <v/>
      </c>
      <c r="L168" s="6327"/>
      <c r="M168" s="6329" t="str">
        <v>tous les côtés. Retirez-la de la cocotte et</v>
      </c>
      <c r="N168" t="s">
        <v>21</v>
      </c>
      <c r="AV168" s="103"/>
      <c r="AW168" s="31"/>
      <c r="AX168" s="32"/>
      <c r="AY168" s="31"/>
      <c r="AZ168" s="33"/>
      <c r="BA168" s="1967"/>
      <c r="BB168" s="1805"/>
      <c r="BC168" s="91"/>
      <c r="BD168" s="1806"/>
      <c r="BE168" s="6401"/>
      <c r="BF168" s="6402"/>
      <c r="BG168" s="1969"/>
      <c r="BH168" s="6403"/>
      <c r="BI168" s="95"/>
      <c r="BJ168" s="1326"/>
      <c r="BK168" s="6404"/>
      <c r="BL168" s="1737"/>
      <c r="BM168" s="2081"/>
      <c r="BN168" s="2238"/>
      <c r="BO168" s="1809"/>
      <c r="BQ168" s="2230"/>
      <c r="BR168" s="3">
        <v>1</v>
      </c>
    </row>
    <row r="169" spans="2:70" ht="21" customHeight="1">
      <c r="B169" s="6236"/>
      <c r="C169" s="6358">
        <f t="shared" si="73"/>
        <v>150</v>
      </c>
      <c r="D169" s="6390" t="str" cm="1">
        <f t="array" ref="D169">IF(MOD(ROW()-50,14)=0,INDEX(D162:D175,MOD(ROW()-50,14)+1),E167)</f>
        <v/>
      </c>
      <c r="E169" s="6391" t="str">
        <f t="shared" si="74"/>
        <v/>
      </c>
      <c r="F169" s="6392" t="str">
        <f t="shared" si="75"/>
        <v/>
      </c>
      <c r="G169" s="6321"/>
      <c r="H169" s="6323" t="str">
        <f t="shared" si="76"/>
        <v/>
      </c>
      <c r="I169" s="6373"/>
      <c r="J169" s="6363" t="str">
        <f t="shared" si="77"/>
        <v/>
      </c>
      <c r="K169" s="6364" t="str">
        <f>IF(J169="","",LEFT(J169,IF(LEN(J169)&lt;=I165,LEN(J169),IFERROR(FIND("§",SUBSTITUTE(LEFT(J169,I165+1)," ","§",LEN(LEFT(J169,I165+1))-LEN(SUBSTITUTE(LEFT(J169,I165+1)," ",""))))-1,IFERROR(FIND(" ",J169,I165+1)-1,LEN(J169))))))</f>
        <v/>
      </c>
      <c r="L169" s="6327"/>
      <c r="M169" s="6329" t="str">
        <v>réservez-la.</v>
      </c>
      <c r="N169" t="s">
        <v>21</v>
      </c>
      <c r="AV169" s="103"/>
      <c r="AW169" s="31"/>
      <c r="AX169" s="32"/>
      <c r="AY169" s="31"/>
      <c r="AZ169" s="33"/>
      <c r="BA169" s="1967"/>
      <c r="BB169" s="1805"/>
      <c r="BC169" s="91"/>
      <c r="BD169" s="1806"/>
      <c r="BE169" s="6401"/>
      <c r="BF169" s="6402"/>
      <c r="BG169" s="1969"/>
      <c r="BH169" s="6403"/>
      <c r="BI169" s="95"/>
      <c r="BJ169" s="1326"/>
      <c r="BK169" s="6404"/>
      <c r="BL169" s="1737"/>
      <c r="BM169" s="2081"/>
      <c r="BN169" s="2238"/>
      <c r="BO169" s="1809"/>
      <c r="BQ169" s="2230"/>
      <c r="BR169" s="3">
        <v>1</v>
      </c>
    </row>
    <row r="170" spans="2:70" ht="21" customHeight="1">
      <c r="B170" s="6236"/>
      <c r="C170" s="6358">
        <f t="shared" si="73"/>
        <v>150</v>
      </c>
      <c r="D170" s="6390" t="str" cm="1">
        <f t="array" ref="D170">IF(MOD(ROW()-50,14)=0,INDEX(D162:D175,MOD(ROW()-50,14)+1),E168)</f>
        <v/>
      </c>
      <c r="E170" s="6391" t="str">
        <f t="shared" si="74"/>
        <v/>
      </c>
      <c r="F170" s="6392" t="str">
        <f t="shared" si="75"/>
        <v/>
      </c>
      <c r="G170" s="6321"/>
      <c r="H170" s="6323" t="str">
        <f t="shared" si="76"/>
        <v/>
      </c>
      <c r="I170" s="6373"/>
      <c r="J170" s="6363" t="str">
        <f t="shared" si="77"/>
        <v/>
      </c>
      <c r="K170" s="6364" t="str">
        <f>IF(J170="","",LEFT(J170,IF(LEN(J170)&lt;=I165,LEN(J170),IFERROR(FIND("§",SUBSTITUTE(LEFT(J170,I165+1)," ","§",LEN(LEFT(J170,I165+1))-LEN(SUBSTITUTE(LEFT(J170,I165+1)," ",""))))-1,IFERROR(FIND(" ",J170,I165+1)-1,LEN(J170))))))</f>
        <v/>
      </c>
      <c r="L170" s="6327"/>
      <c r="M170" s="6329" t="str">
        <v>21.TEST LIGNE 19 colonne Q et ligne 20 colonne P.</v>
      </c>
      <c r="N170" t="s">
        <v>21</v>
      </c>
      <c r="AV170" s="103"/>
      <c r="AW170" s="31"/>
      <c r="AX170" s="32"/>
      <c r="AY170" s="31"/>
      <c r="AZ170" s="33"/>
      <c r="BA170" s="1967"/>
      <c r="BB170" s="1805"/>
      <c r="BC170" s="91"/>
      <c r="BD170" s="1806"/>
      <c r="BE170" s="6401"/>
      <c r="BF170" s="6402"/>
      <c r="BG170" s="1969"/>
      <c r="BH170" s="6403"/>
      <c r="BI170" s="95"/>
      <c r="BJ170" s="1326"/>
      <c r="BK170" s="6404"/>
      <c r="BL170" s="1737"/>
      <c r="BM170" s="2081"/>
      <c r="BN170" s="2238"/>
      <c r="BO170" s="1809"/>
      <c r="BQ170" s="2230"/>
      <c r="BR170" s="3">
        <v>1</v>
      </c>
    </row>
    <row r="171" spans="2:70" ht="21" customHeight="1">
      <c r="B171" s="6236"/>
      <c r="C171" s="6358">
        <f t="shared" si="73"/>
        <v>150</v>
      </c>
      <c r="D171" s="6390" t="str" cm="1">
        <f t="array" ref="D171">IF(MOD(ROW()-50,14)=0,INDEX(D162:D175,MOD(ROW()-50,14)+1),E169)</f>
        <v/>
      </c>
      <c r="E171" s="6391" t="str">
        <f t="shared" si="74"/>
        <v/>
      </c>
      <c r="F171" s="6392" t="str">
        <f t="shared" si="75"/>
        <v/>
      </c>
      <c r="G171" s="6321"/>
      <c r="H171" s="6323" t="str">
        <f t="shared" si="76"/>
        <v/>
      </c>
      <c r="I171" s="6373"/>
      <c r="J171" s="6363" t="str">
        <f t="shared" si="77"/>
        <v/>
      </c>
      <c r="K171" s="6364" t="str">
        <f>IF(J171="","",LEFT(J171,IF(LEN(J171)&lt;=I165,LEN(J171),IFERROR(FIND("§",SUBSTITUTE(LEFT(J171,I165+1)," ","§",LEN(LEFT(J171,I165+1))-LEN(SUBSTITUTE(LEFT(J171,I165+1)," ",""))))-1,IFERROR(FIND(" ",J171,I165+1)-1,LEN(J171))))))</f>
        <v/>
      </c>
      <c r="L171" s="6327"/>
      <c r="M171" s="6329" t="str">
        <v>rechercher la cellule qui coupe le texte Dans la</v>
      </c>
      <c r="N171" t="s">
        <v>21</v>
      </c>
      <c r="AV171" s="103"/>
      <c r="AW171" s="31"/>
      <c r="AX171" s="32"/>
      <c r="AY171" s="31"/>
      <c r="AZ171" s="33"/>
      <c r="BA171" s="1967"/>
      <c r="BB171" s="1805"/>
      <c r="BC171" s="91"/>
      <c r="BD171" s="1806"/>
      <c r="BE171" s="6401"/>
      <c r="BF171" s="6402"/>
      <c r="BG171" s="1969"/>
      <c r="BH171" s="6403"/>
      <c r="BI171" s="95"/>
      <c r="BJ171" s="1326"/>
      <c r="BK171" s="6404"/>
      <c r="BL171" s="1737"/>
      <c r="BM171" s="2081"/>
      <c r="BN171" s="2238"/>
      <c r="BO171" s="1809"/>
      <c r="BQ171" s="2230"/>
      <c r="BR171" s="3">
        <v>1</v>
      </c>
    </row>
    <row r="172" spans="2:70" ht="21" customHeight="1">
      <c r="B172" s="6236"/>
      <c r="C172" s="6358">
        <f t="shared" si="73"/>
        <v>150</v>
      </c>
      <c r="D172" s="6390" t="str" cm="1">
        <f t="array" ref="D172">IF(MOD(ROW()-50,14)=0,INDEX(D162:D175,MOD(ROW()-50,14)+1),E170)</f>
        <v/>
      </c>
      <c r="E172" s="6391" t="str">
        <f t="shared" si="74"/>
        <v/>
      </c>
      <c r="F172" s="6392" t="str">
        <f t="shared" si="75"/>
        <v/>
      </c>
      <c r="G172" s="6321"/>
      <c r="H172" s="6323" t="str">
        <f t="shared" si="76"/>
        <v/>
      </c>
      <c r="I172" s="6373"/>
      <c r="J172" s="6363" t="str">
        <f t="shared" si="77"/>
        <v/>
      </c>
      <c r="K172" s="6364" t="str">
        <f>IF(J172="","",LEFT(J172,IF(LEN(J172)&lt;=I165,LEN(J172),IFERROR(FIND("§",SUBSTITUTE(LEFT(J172,I165+1)," ","§",LEN(LEFT(J172,I165+1))-LEN(SUBSTITUTE(LEFT(J172,I165+1)," ",""))))-1,IFERROR(FIND(" ",J172,I165+1)-1,LEN(J172))))))</f>
        <v/>
      </c>
      <c r="L172" s="6327"/>
      <c r="M172" s="6329" t="str">
        <v>cocotte N°3 en fonte, faites chauffer l’huile d’olive</v>
      </c>
      <c r="N172" t="s">
        <v>21</v>
      </c>
      <c r="AV172" s="103"/>
      <c r="AW172" s="31"/>
      <c r="AX172" s="32"/>
      <c r="AY172" s="31"/>
      <c r="AZ172" s="33"/>
      <c r="BA172" s="1967"/>
      <c r="BB172" s="1805"/>
      <c r="BC172" s="91"/>
      <c r="BD172" s="1806"/>
      <c r="BE172" s="6401"/>
      <c r="BF172" s="6402"/>
      <c r="BG172" s="1969"/>
      <c r="BH172" s="6403"/>
      <c r="BI172" s="95"/>
      <c r="BJ172" s="1326"/>
      <c r="BK172" s="6404"/>
      <c r="BL172" s="1737"/>
      <c r="BM172" s="2081"/>
      <c r="BN172" s="2238"/>
      <c r="BO172" s="1809"/>
      <c r="BQ172" s="2230"/>
      <c r="BR172" s="3">
        <v>1</v>
      </c>
    </row>
    <row r="173" spans="2:70" ht="21" customHeight="1">
      <c r="B173" s="6236"/>
      <c r="C173" s="6358">
        <f t="shared" si="73"/>
        <v>150</v>
      </c>
      <c r="D173" s="6390" t="str" cm="1">
        <f t="array" ref="D173">IF(MOD(ROW()-50,14)=0,INDEX(D162:D175,MOD(ROW()-50,14)+1),E171)</f>
        <v/>
      </c>
      <c r="E173" s="6391" t="str">
        <f t="shared" si="74"/>
        <v/>
      </c>
      <c r="F173" s="6392" t="str">
        <f t="shared" si="75"/>
        <v/>
      </c>
      <c r="G173" s="6321"/>
      <c r="H173" s="6323" t="str">
        <f t="shared" si="76"/>
        <v/>
      </c>
      <c r="I173" s="6373"/>
      <c r="J173" s="6363" t="str">
        <f t="shared" si="77"/>
        <v/>
      </c>
      <c r="K173" s="6364" t="str">
        <f>IF(J173="","",LEFT(J173,IF(LEN(J173)&lt;=I165,LEN(J173),IFERROR(FIND("§",SUBSTITUTE(LEFT(J173,I165+1)," ","§",LEN(LEFT(J173,I165+1))-LEN(SUBSTITUTE(LEFT(J173,I165+1)," ",""))))-1,IFERROR(FIND(" ",J173,I165+1)-1,LEN(J173))))))</f>
        <v/>
      </c>
      <c r="L173" s="6327"/>
      <c r="M173" s="6329" t="str">
        <v>à feu moyen. Ajoutez la viande et faites-la dorer de</v>
      </c>
      <c r="N173" t="s">
        <v>21</v>
      </c>
      <c r="AV173" s="103"/>
      <c r="AW173" s="31"/>
      <c r="AX173" s="32"/>
      <c r="AY173" s="31"/>
      <c r="AZ173" s="33"/>
      <c r="BA173" s="1967"/>
      <c r="BB173" s="1805"/>
      <c r="BC173" s="91"/>
      <c r="BD173" s="1806"/>
      <c r="BE173" s="6401"/>
      <c r="BF173" s="6402"/>
      <c r="BG173" s="1969"/>
      <c r="BH173" s="6403"/>
      <c r="BI173" s="95"/>
      <c r="BJ173" s="1326"/>
      <c r="BK173" s="6404"/>
      <c r="BL173" s="1737"/>
      <c r="BM173" s="2081"/>
      <c r="BN173" s="2238"/>
      <c r="BO173" s="1809"/>
      <c r="BQ173" s="2230"/>
      <c r="BR173" s="3">
        <v>1</v>
      </c>
    </row>
    <row r="174" spans="2:70" ht="21" customHeight="1">
      <c r="B174" s="6236"/>
      <c r="C174" s="6358">
        <f t="shared" si="73"/>
        <v>150</v>
      </c>
      <c r="D174" s="6390" t="str" cm="1">
        <f t="array" ref="D174">IF(MOD(ROW()-50,14)=0,INDEX(D162:D175,MOD(ROW()-50,14)+1),E172)</f>
        <v/>
      </c>
      <c r="E174" s="6391" t="str">
        <f t="shared" si="74"/>
        <v/>
      </c>
      <c r="F174" s="6392" t="str">
        <f t="shared" si="75"/>
        <v/>
      </c>
      <c r="G174" s="6321"/>
      <c r="H174" s="6323" t="str">
        <f t="shared" si="76"/>
        <v/>
      </c>
      <c r="I174" s="6373"/>
      <c r="J174" s="6363" t="str">
        <f t="shared" si="77"/>
        <v/>
      </c>
      <c r="K174" s="6364" t="str">
        <f>IF(J174="","",LEFT(J174,IF(LEN(J174)&lt;=I165,LEN(J174),IFERROR(FIND("§",SUBSTITUTE(LEFT(J174,I165+1)," ","§",LEN(LEFT(J174,I165+1))-LEN(SUBSTITUTE(LEFT(J174,I165+1)," ",""))))-1,IFERROR(FIND(" ",J174,I165+1)-1,LEN(J174))))))</f>
        <v/>
      </c>
      <c r="L174" s="6364"/>
      <c r="M174" s="6329" t="str">
        <v>tous les côtés. Retirez-la de la cocotte et</v>
      </c>
      <c r="N174" t="s">
        <v>21</v>
      </c>
      <c r="AV174" s="103"/>
      <c r="AW174" s="31"/>
      <c r="AX174" s="32"/>
      <c r="AY174" s="31"/>
      <c r="AZ174" s="33"/>
      <c r="BA174" s="1967"/>
      <c r="BB174" s="1805"/>
      <c r="BC174" s="91"/>
      <c r="BD174" s="1806"/>
      <c r="BE174" s="6401"/>
      <c r="BF174" s="6402"/>
      <c r="BG174" s="1969"/>
      <c r="BH174" s="6403"/>
      <c r="BI174" s="95"/>
      <c r="BJ174" s="1326"/>
      <c r="BK174" s="6404"/>
      <c r="BL174" s="1737"/>
      <c r="BM174" s="2081"/>
      <c r="BN174" s="2238"/>
      <c r="BO174" s="1809"/>
      <c r="BQ174" s="2230"/>
      <c r="BR174" s="3">
        <v>1</v>
      </c>
    </row>
    <row r="175" spans="2:70" ht="21" customHeight="1">
      <c r="B175" s="6236"/>
      <c r="C175" s="6376">
        <f t="shared" si="73"/>
        <v>150</v>
      </c>
      <c r="D175" s="6406" t="str" cm="1">
        <f t="array" ref="D175">IF(MOD(ROW()-50,14)=0,INDEX(D162:D175,MOD(ROW()-50,14)+1),E173)</f>
        <v/>
      </c>
      <c r="E175" s="6407" t="str">
        <f t="shared" si="74"/>
        <v/>
      </c>
      <c r="F175" s="6408" t="str">
        <f t="shared" si="75"/>
        <v/>
      </c>
      <c r="G175" s="6322"/>
      <c r="H175" s="6323" t="str">
        <f t="shared" si="76"/>
        <v/>
      </c>
      <c r="I175" s="6379"/>
      <c r="J175" s="6380" t="str">
        <f t="shared" si="77"/>
        <v/>
      </c>
      <c r="K175" s="6381" t="str">
        <f>IF(J175="","",LEFT(J175,IF(LEN(J175)&lt;=I165,LEN(J175),IFERROR(FIND("§",SUBSTITUTE(LEFT(J175,I165+1)," ","§",LEN(LEFT(J175,I165+1))-LEN(SUBSTITUTE(LEFT(J175,I165+1)," ",""))))-1,IFERROR(FIND(" ",J175,I165+1)-1,LEN(J175))))))</f>
        <v/>
      </c>
      <c r="L175" s="6382"/>
      <c r="M175" s="6330" t="str">
        <v>réservez-la.</v>
      </c>
      <c r="N175" t="s">
        <v>21</v>
      </c>
      <c r="AV175" s="103"/>
      <c r="AW175" s="31"/>
      <c r="AX175" s="32"/>
      <c r="AY175" s="31"/>
      <c r="AZ175" s="33"/>
      <c r="BA175" s="1967"/>
      <c r="BB175" s="1805"/>
      <c r="BC175" s="91"/>
      <c r="BD175" s="1806"/>
      <c r="BE175" s="6401"/>
      <c r="BF175" s="6402"/>
      <c r="BG175" s="1969"/>
      <c r="BH175" s="6403"/>
      <c r="BI175" s="95"/>
      <c r="BJ175" s="1326"/>
      <c r="BK175" s="6404"/>
      <c r="BL175" s="1737"/>
      <c r="BM175" s="2081"/>
      <c r="BN175" s="2238"/>
      <c r="BO175" s="1809"/>
      <c r="BQ175" s="2230"/>
      <c r="BR175" s="3">
        <v>1</v>
      </c>
    </row>
    <row r="176" spans="2:70" ht="21" customHeight="1">
      <c r="B176" s="6236"/>
      <c r="C176" s="6313">
        <f>AD59</f>
        <v>150</v>
      </c>
      <c r="D176" s="6314" t="str">
        <f>IF(UPPER(TRIM(X45))="X",U59,O59)</f>
        <v>10.TEST LIGNE 19 colonne Q et ligne 20 colonne P. rechercher la cellule qui coupe le texte Dans la cocotte N°3 en fonte, faites chauffer l’huile d’olive à feu moyen. Ajoutez la viande et faites-la dorer de tous les côtés. Retirez-la de la cocotte et réservez-la.</v>
      </c>
      <c r="E176" s="6315" t="str">
        <f>IF(D176="","",IF(F176="","",IF(LEN(F176)&gt;=LEN(D176),"",TRIM(MID(D176,LEN(F176)+1,99999)))))</f>
        <v>d’olive à feu moyen. Ajoutez la viande et faites-la dorer de tous les côtés. Retirez-la de la cocotte et réservez-la.</v>
      </c>
      <c r="F176" s="6316" t="str">
        <f>IF(D176="","",IF(LEN(D176)&lt;=C176,D176,IFERROR(LEFT(D176,FIND("§",SUBSTITUTE(LEFT(D176,C176+1)," ","§",LEN(LEFT(D176,C176+1))-LEN(SUBSTITUTE(LEFT(D176,C176+1)," ",""))))-1),LEFT(D176,C176))))</f>
        <v>10.TEST LIGNE 19 colonne Q et ligne 20 colonne P. rechercher la cellule qui coupe le texte Dans la cocotte N°3 en fonte, faites chauffer l’huile</v>
      </c>
      <c r="G176" s="6317"/>
      <c r="H176" s="6385">
        <f>IF(LEN(TRIM(L176))&gt;0,MAX(H175:H175)+1,"")</f>
        <v>1</v>
      </c>
      <c r="I176" s="6324" t="str">
        <f>D176</f>
        <v>10.TEST LIGNE 19 colonne Q et ligne 20 colonne P. rechercher la cellule qui coupe le texte Dans la cocotte N°3 en fonte, faites chauffer l’huile d’olive à feu moyen. Ajoutez la viande et faites-la dorer de tous les côtés. Retirez-la de la cocotte et réservez-la.</v>
      </c>
      <c r="J176" s="6386" t="str">
        <f>IF(I176=0,"",I176)</f>
        <v>10.TEST LIGNE 19 colonne Q et ligne 20 colonne P. rechercher la cellule qui coupe le texte Dans la cocotte N°3 en fonte, faites chauffer l’huile d’olive à feu moyen. Ajoutez la viande et faites-la dorer de tous les côtés. Retirez-la de la cocotte et réservez-la.</v>
      </c>
      <c r="K176" s="6387" t="str">
        <f>IF(I176="","",LEFT(I176,IF(LEN(I176)&lt;=I179,LEN(I176),IFERROR(FIND("§",SUBSTITUTE(LEFT(I176,I179+1)," ","§",LEN(LEFT(I176,I179+1))-LEN(SUBSTITUTE(LEFT(I176,I179+1)," ",""))))-1,IFERROR(FIND(" ",I176,I179+1)-1,LEN(I176))))))</f>
        <v>10.TEST LIGNE 19 colonne Q et ligne 20 colonne P.</v>
      </c>
      <c r="L176" s="6388" t="str" cm="1">
        <f t="array" ref="L176:L181">_xlfn._xlws.FILTER(TRIM(SUBSTITUTE(SUBSTITUTE(SUBSTITUTE(SUBSTITUTE(SUBSTITUTE(CLEAN(K176:K189),CHAR(160)," "),_xlfn.UNICHAR(8239)," "),CHAR(9)," "),CHAR(10)," "),CHAR(13)," ")),TRIM(SUBSTITUTE(SUBSTITUTE(SUBSTITUTE(SUBSTITUTE(SUBSTITUTE(CLEAN(K176:K189),CHAR(160)," "),_xlfn.UNICHAR(8239)," "),CHAR(9)," "),CHAR(10)," "),CHAR(13)," "))&lt;&gt;"")</f>
        <v>10.TEST LIGNE 19 colonne Q et ligne 20 colonne P.</v>
      </c>
      <c r="M176" s="6331" t="str">
        <v>22.TEST LIGNE 19 colonne Q et ligne 20 colonne P.</v>
      </c>
      <c r="N176" t="s">
        <v>21</v>
      </c>
      <c r="AV176" s="103"/>
      <c r="AW176" s="31"/>
      <c r="AX176" s="32"/>
      <c r="AY176" s="31"/>
      <c r="AZ176" s="33"/>
      <c r="BA176" s="1967"/>
      <c r="BB176" s="1805"/>
      <c r="BC176" s="91"/>
      <c r="BD176" s="1806"/>
      <c r="BE176" s="6401"/>
      <c r="BF176" s="6402"/>
      <c r="BG176" s="1969"/>
      <c r="BH176" s="6403"/>
      <c r="BI176" s="95"/>
      <c r="BJ176" s="1326"/>
      <c r="BK176" s="6404"/>
      <c r="BL176" s="1737"/>
      <c r="BM176" s="2081"/>
      <c r="BN176" s="2238"/>
      <c r="BO176" s="1809"/>
      <c r="BQ176" s="2230"/>
      <c r="BR176" s="3">
        <v>1</v>
      </c>
    </row>
    <row r="177" spans="2:70" ht="21" customHeight="1">
      <c r="B177" s="6236"/>
      <c r="C177" s="6358">
        <f t="shared" ref="C177:C189" si="78">C176</f>
        <v>150</v>
      </c>
      <c r="D177" s="6359" t="str" cm="1">
        <f t="array" ref="D177">IF(MOD(ROW()-50,14)=0,INDEX(D176:D189,MOD(ROW()-50,14)+1),E175)</f>
        <v/>
      </c>
      <c r="E177" s="6360" t="str">
        <f t="shared" ref="E177:E189" si="79">IF(D177="","",IF(F177="","",IF(LEN(F177)&gt;=LEN(D177),"",TRIM(MID(D177,LEN(F177)+1,99999)))))</f>
        <v/>
      </c>
      <c r="F177" s="6361" t="str">
        <f t="shared" ref="F177:F189" si="80">IF(D177="","",IF(LEN(D177)&lt;=C177,D177,IFERROR(LEFT(D177,FIND("§",SUBSTITUTE(LEFT(D177,C177+1)," ","§",LEN(LEFT(D177,C177+1))-LEN(SUBSTITUTE(LEFT(D177,C177+1)," ",""))))-1),LEFT(D177,C177))))</f>
        <v/>
      </c>
      <c r="G177" s="6318"/>
      <c r="H177" s="6393">
        <f t="shared" ref="H177:H189" si="81">IF(LEN(TRIM(L177))&gt;0,MAX(H176:H176)+1,"")</f>
        <v>2</v>
      </c>
      <c r="I177" s="6394" t="s">
        <v>14355</v>
      </c>
      <c r="J177" s="6395" t="str">
        <f>TRIM(MID(I180,LEN(K176)+1,99999))</f>
        <v>rechercher la cellule qui coupe le texte Dans la cocotte N°3 en fonte, faites chauffer l’huile d’olive à feu moyen. Ajoutez la viande et faites-la dorer de tous les côtés. Retirez-la de la cocotte et réservez-la.</v>
      </c>
      <c r="K177" s="6396" t="str">
        <f>IF(J177="","",LEFT(J177,IF(LEN(J177)&lt;=I179,LEN(J177),IFERROR(FIND("§",SUBSTITUTE(LEFT(J177,I179+1)," ","§",LEN(LEFT(J177,I179+1))-LEN(SUBSTITUTE(LEFT(J177,I179+1)," ",""))))-1,IFERROR(FIND(" ",J177,I179+1)-1,LEN(J177))))))</f>
        <v>rechercher la cellule qui coupe le texte Dans la</v>
      </c>
      <c r="L177" s="6388" t="str">
        <v>rechercher la cellule qui coupe le texte Dans la</v>
      </c>
      <c r="M177" s="6332" t="str">
        <v>rechercher la cellule qui coupe le texte Dans la</v>
      </c>
      <c r="N177" t="s">
        <v>21</v>
      </c>
      <c r="AV177" s="103"/>
      <c r="AW177" s="31"/>
      <c r="AX177" s="32"/>
      <c r="AY177" s="31"/>
      <c r="AZ177" s="33"/>
      <c r="BA177" s="1967"/>
      <c r="BB177" s="1805"/>
      <c r="BC177" s="91"/>
      <c r="BD177" s="1806"/>
      <c r="BE177" s="6401"/>
      <c r="BF177" s="6402"/>
      <c r="BG177" s="1969"/>
      <c r="BH177" s="6403"/>
      <c r="BI177" s="95"/>
      <c r="BJ177" s="1326"/>
      <c r="BK177" s="6404"/>
      <c r="BL177" s="1737"/>
      <c r="BM177" s="2081"/>
      <c r="BN177" s="2238"/>
      <c r="BO177" s="1809"/>
      <c r="BQ177" s="2230"/>
      <c r="BR177" s="3">
        <v>1</v>
      </c>
    </row>
    <row r="178" spans="2:70" ht="21" customHeight="1">
      <c r="B178" s="6236"/>
      <c r="C178" s="6358">
        <f t="shared" si="78"/>
        <v>150</v>
      </c>
      <c r="D178" s="6359" t="str" cm="1">
        <f t="array" ref="D178">IF(MOD(ROW()-50,14)=0,INDEX(D176:D189,MOD(ROW()-50,14)+1),E176)</f>
        <v>d’olive à feu moyen. Ajoutez la viande et faites-la dorer de tous les côtés. Retirez-la de la cocotte et réservez-la.</v>
      </c>
      <c r="E178" s="6360" t="str">
        <f t="shared" si="79"/>
        <v/>
      </c>
      <c r="F178" s="6361" t="str">
        <f t="shared" si="80"/>
        <v>d’olive à feu moyen. Ajoutez la viande et faites-la dorer de tous les côtés. Retirez-la de la cocotte et réservez-la.</v>
      </c>
      <c r="G178" s="6318"/>
      <c r="H178" s="6393">
        <f t="shared" si="81"/>
        <v>3</v>
      </c>
      <c r="I178" s="6365">
        <f>Z59</f>
        <v>5</v>
      </c>
      <c r="J178" s="6395" t="str">
        <f t="shared" ref="J178:J189" si="82">TRIM(MID(J177,LEN(K177)+1,99999))</f>
        <v>cocotte N°3 en fonte, faites chauffer l’huile d’olive à feu moyen. Ajoutez la viande et faites-la dorer de tous les côtés. Retirez-la de la cocotte et réservez-la.</v>
      </c>
      <c r="K178" s="6396" t="str">
        <f>IF(J178="","",LEFT(J178,IF(LEN(J178)&lt;=I179,LEN(J178),IFERROR(FIND("§",SUBSTITUTE(LEFT(J178,I179+1)," ","§",LEN(LEFT(J178,I179+1))-LEN(SUBSTITUTE(LEFT(J178,I179+1)," ",""))))-1,IFERROR(FIND(" ",J178,I179+1)-1,LEN(J178))))))</f>
        <v>cocotte N°3 en fonte, faites chauffer l’huile d’olive</v>
      </c>
      <c r="L178" s="6388" t="str">
        <v>cocotte N°3 en fonte, faites chauffer l’huile d’olive</v>
      </c>
      <c r="M178" s="6332" t="str">
        <v>cocotte N°3 en fonte, faites chauffer l’huile d’olive</v>
      </c>
      <c r="N178" t="s">
        <v>21</v>
      </c>
      <c r="AV178" s="103"/>
      <c r="AW178" s="31"/>
      <c r="AX178" s="32"/>
      <c r="AY178" s="31"/>
      <c r="AZ178" s="33"/>
      <c r="BA178" s="1967"/>
      <c r="BB178" s="1805"/>
      <c r="BC178" s="91"/>
      <c r="BD178" s="1806"/>
      <c r="BE178" s="6401"/>
      <c r="BF178" s="6402"/>
      <c r="BG178" s="1969"/>
      <c r="BH178" s="6403"/>
      <c r="BI178" s="95"/>
      <c r="BJ178" s="1326"/>
      <c r="BK178" s="6404"/>
      <c r="BL178" s="1737"/>
      <c r="BM178" s="2081"/>
      <c r="BN178" s="2238"/>
      <c r="BO178" s="1809"/>
      <c r="BQ178" s="2230"/>
      <c r="BR178" s="3">
        <v>1</v>
      </c>
    </row>
    <row r="179" spans="2:70" ht="21" customHeight="1">
      <c r="B179" s="6236"/>
      <c r="C179" s="6358">
        <f t="shared" si="78"/>
        <v>150</v>
      </c>
      <c r="D179" s="6359" t="str" cm="1">
        <f t="array" ref="D179">IF(MOD(ROW()-50,14)=0,INDEX(D176:D189,MOD(ROW()-50,14)+1),E177)</f>
        <v/>
      </c>
      <c r="E179" s="6360" t="str">
        <f t="shared" si="79"/>
        <v/>
      </c>
      <c r="F179" s="6361" t="str">
        <f t="shared" si="80"/>
        <v/>
      </c>
      <c r="G179" s="6318"/>
      <c r="H179" s="6393">
        <f t="shared" si="81"/>
        <v>4</v>
      </c>
      <c r="I179" s="6398">
        <f>IF(OR(J176="",I178="",I178&lt;=0),"",ROUNDUP(LEN(J176)/I178,0))</f>
        <v>53</v>
      </c>
      <c r="J179" s="6395" t="str">
        <f t="shared" si="82"/>
        <v>à feu moyen. Ajoutez la viande et faites-la dorer de tous les côtés. Retirez-la de la cocotte et réservez-la.</v>
      </c>
      <c r="K179" s="6396" t="str">
        <f>IF(J179="","",LEFT(J179,IF(LEN(J179)&lt;=I179,LEN(J179),IFERROR(FIND("§",SUBSTITUTE(LEFT(J179,I179+1)," ","§",LEN(LEFT(J179,I179+1))-LEN(SUBSTITUTE(LEFT(J179,I179+1)," ",""))))-1,IFERROR(FIND(" ",J179,I179+1)-1,LEN(J179))))))</f>
        <v>à feu moyen. Ajoutez la viande et faites-la dorer de</v>
      </c>
      <c r="L179" s="6388" t="str">
        <v>à feu moyen. Ajoutez la viande et faites-la dorer de</v>
      </c>
      <c r="M179" s="6332" t="str">
        <v>à feu moyen. Ajoutez la viande et faites-la dorer de</v>
      </c>
      <c r="N179" t="s">
        <v>21</v>
      </c>
      <c r="AV179" s="103"/>
      <c r="AW179" s="31"/>
      <c r="AX179" s="32"/>
      <c r="AY179" s="31"/>
      <c r="AZ179" s="33"/>
      <c r="BA179" s="1967"/>
      <c r="BB179" s="1805"/>
      <c r="BC179" s="91"/>
      <c r="BD179" s="1806"/>
      <c r="BE179" s="6401"/>
      <c r="BF179" s="6402"/>
      <c r="BG179" s="1969"/>
      <c r="BH179" s="6403"/>
      <c r="BI179" s="95"/>
      <c r="BJ179" s="1326"/>
      <c r="BK179" s="6404"/>
      <c r="BL179" s="1737"/>
      <c r="BM179" s="2081"/>
      <c r="BN179" s="2238"/>
      <c r="BO179" s="1809"/>
      <c r="BQ179" s="2230"/>
      <c r="BR179" s="3">
        <v>1</v>
      </c>
    </row>
    <row r="180" spans="2:70" ht="21" customHeight="1">
      <c r="B180" s="6236"/>
      <c r="C180" s="6358">
        <f t="shared" si="78"/>
        <v>150</v>
      </c>
      <c r="D180" s="6359" t="str" cm="1">
        <f t="array" ref="D180">IF(MOD(ROW()-50,14)=0,INDEX(D176:D189,MOD(ROW()-50,14)+1),E178)</f>
        <v/>
      </c>
      <c r="E180" s="6360" t="str">
        <f t="shared" si="79"/>
        <v/>
      </c>
      <c r="F180" s="6361" t="str">
        <f t="shared" si="80"/>
        <v/>
      </c>
      <c r="G180" s="6318"/>
      <c r="H180" s="6393">
        <f t="shared" si="81"/>
        <v>5</v>
      </c>
      <c r="I180" s="6400" t="str">
        <f>I176</f>
        <v>10.TEST LIGNE 19 colonne Q et ligne 20 colonne P. rechercher la cellule qui coupe le texte Dans la cocotte N°3 en fonte, faites chauffer l’huile d’olive à feu moyen. Ajoutez la viande et faites-la dorer de tous les côtés. Retirez-la de la cocotte et réservez-la.</v>
      </c>
      <c r="J180" s="6395" t="str">
        <f t="shared" si="82"/>
        <v>tous les côtés. Retirez-la de la cocotte et réservez-la.</v>
      </c>
      <c r="K180" s="6396" t="str">
        <f>IF(J180="","",LEFT(J180,IF(LEN(J180)&lt;=I179,LEN(J180),IFERROR(FIND("§",SUBSTITUTE(LEFT(J180,I179+1)," ","§",LEN(LEFT(J180,I179+1))-LEN(SUBSTITUTE(LEFT(J180,I179+1)," ",""))))-1,IFERROR(FIND(" ",J180,I179+1)-1,LEN(J180))))))</f>
        <v>tous les côtés. Retirez-la de la cocotte et</v>
      </c>
      <c r="L180" s="6388" t="str">
        <v>tous les côtés. Retirez-la de la cocotte et</v>
      </c>
      <c r="M180" s="6332" t="str">
        <v>tous les côtés. Retirez-la de la cocotte et</v>
      </c>
      <c r="N180" t="s">
        <v>21</v>
      </c>
      <c r="AV180" s="103"/>
      <c r="AW180" s="31"/>
      <c r="AX180" s="32"/>
      <c r="AY180" s="31"/>
      <c r="AZ180" s="33"/>
      <c r="BA180" s="1967"/>
      <c r="BB180" s="1805"/>
      <c r="BC180" s="91"/>
      <c r="BD180" s="1806"/>
      <c r="BE180" s="6401"/>
      <c r="BF180" s="6402"/>
      <c r="BG180" s="1969"/>
      <c r="BH180" s="6403"/>
      <c r="BI180" s="95"/>
      <c r="BJ180" s="1326"/>
      <c r="BK180" s="6404"/>
      <c r="BL180" s="1737"/>
      <c r="BM180" s="2081"/>
      <c r="BN180" s="2238"/>
      <c r="BO180" s="1809"/>
      <c r="BQ180" s="2230"/>
      <c r="BR180" s="3">
        <v>1</v>
      </c>
    </row>
    <row r="181" spans="2:70" ht="21" customHeight="1">
      <c r="B181" s="6236"/>
      <c r="C181" s="6358">
        <f t="shared" si="78"/>
        <v>150</v>
      </c>
      <c r="D181" s="6359" t="str" cm="1">
        <f t="array" ref="D181">IF(MOD(ROW()-50,14)=0,INDEX(D176:D189,MOD(ROW()-50,14)+1),E179)</f>
        <v/>
      </c>
      <c r="E181" s="6360" t="str">
        <f t="shared" si="79"/>
        <v/>
      </c>
      <c r="F181" s="6361" t="str">
        <f t="shared" si="80"/>
        <v/>
      </c>
      <c r="G181" s="6318"/>
      <c r="H181" s="6393">
        <f t="shared" si="81"/>
        <v>6</v>
      </c>
      <c r="I181" s="6405"/>
      <c r="J181" s="6395" t="str">
        <f t="shared" si="82"/>
        <v>réservez-la.</v>
      </c>
      <c r="K181" s="6396" t="str">
        <f>IF(J181="","",LEFT(J181,IF(LEN(J181)&lt;=I179,LEN(J181),IFERROR(FIND("§",SUBSTITUTE(LEFT(J181,I179+1)," ","§",LEN(LEFT(J181,I179+1))-LEN(SUBSTITUTE(LEFT(J181,I179+1)," ",""))))-1,IFERROR(FIND(" ",J181,I179+1)-1,LEN(J181))))))</f>
        <v>réservez-la.</v>
      </c>
      <c r="L181" s="6388" t="str">
        <v>réservez-la.</v>
      </c>
      <c r="M181" s="6332" t="str">
        <v>réservez-la.</v>
      </c>
      <c r="N181" t="s">
        <v>21</v>
      </c>
      <c r="AV181" s="103"/>
      <c r="AW181" s="31"/>
      <c r="AX181" s="32"/>
      <c r="AY181" s="31"/>
      <c r="AZ181" s="33"/>
      <c r="BA181" s="1967"/>
      <c r="BB181" s="1805"/>
      <c r="BC181" s="91"/>
      <c r="BD181" s="1806"/>
      <c r="BE181" s="6401"/>
      <c r="BF181" s="6402"/>
      <c r="BG181" s="1969"/>
      <c r="BH181" s="6403"/>
      <c r="BI181" s="95"/>
      <c r="BJ181" s="1326"/>
      <c r="BK181" s="6404"/>
      <c r="BL181" s="1737"/>
      <c r="BM181" s="2081"/>
      <c r="BN181" s="2238"/>
      <c r="BO181" s="1809"/>
      <c r="BQ181" s="2230"/>
      <c r="BR181" s="3">
        <v>1</v>
      </c>
    </row>
    <row r="182" spans="2:70" ht="21" customHeight="1">
      <c r="B182" s="6236"/>
      <c r="C182" s="6358">
        <f t="shared" si="78"/>
        <v>150</v>
      </c>
      <c r="D182" s="6359" t="str" cm="1">
        <f t="array" ref="D182">IF(MOD(ROW()-50,14)=0,INDEX(D176:D189,MOD(ROW()-50,14)+1),E180)</f>
        <v/>
      </c>
      <c r="E182" s="6360" t="str">
        <f t="shared" si="79"/>
        <v/>
      </c>
      <c r="F182" s="6361" t="str">
        <f t="shared" si="80"/>
        <v/>
      </c>
      <c r="G182" s="6318"/>
      <c r="H182" s="6393" t="str">
        <f t="shared" si="81"/>
        <v/>
      </c>
      <c r="I182" s="6405"/>
      <c r="J182" s="6395" t="str">
        <f t="shared" si="82"/>
        <v/>
      </c>
      <c r="K182" s="6396" t="str">
        <f>IF(J182="","",LEFT(J182,IF(LEN(J182)&lt;=I179,LEN(J182),IFERROR(FIND("§",SUBSTITUTE(LEFT(J182,I179+1)," ","§",LEN(LEFT(J182,I179+1))-LEN(SUBSTITUTE(LEFT(J182,I179+1)," ",""))))-1,IFERROR(FIND(" ",J182,I179+1)-1,LEN(J182))))))</f>
        <v/>
      </c>
      <c r="L182" s="6388"/>
      <c r="M182" s="6332" t="str">
        <v>23.TEST LIGNE 19 colonne Q et ligne 20 colonne P.</v>
      </c>
      <c r="N182" t="s">
        <v>21</v>
      </c>
      <c r="AV182" s="103"/>
      <c r="AW182" s="31"/>
      <c r="AX182" s="32"/>
      <c r="AY182" s="31"/>
      <c r="AZ182" s="33"/>
      <c r="BA182" s="1967"/>
      <c r="BB182" s="1805"/>
      <c r="BC182" s="91"/>
      <c r="BD182" s="1806"/>
      <c r="BE182" s="6401"/>
      <c r="BF182" s="6402"/>
      <c r="BG182" s="1969"/>
      <c r="BH182" s="6403"/>
      <c r="BI182" s="95"/>
      <c r="BJ182" s="1326"/>
      <c r="BK182" s="6404"/>
      <c r="BL182" s="1737"/>
      <c r="BM182" s="2081"/>
      <c r="BN182" s="2238"/>
      <c r="BO182" s="1809"/>
      <c r="BQ182" s="2230"/>
      <c r="BR182" s="3">
        <v>1</v>
      </c>
    </row>
    <row r="183" spans="2:70" ht="21" customHeight="1">
      <c r="B183" s="6236"/>
      <c r="C183" s="6358">
        <f t="shared" si="78"/>
        <v>150</v>
      </c>
      <c r="D183" s="6359" t="str" cm="1">
        <f t="array" ref="D183">IF(MOD(ROW()-50,14)=0,INDEX(D176:D189,MOD(ROW()-50,14)+1),E181)</f>
        <v/>
      </c>
      <c r="E183" s="6360" t="str">
        <f t="shared" si="79"/>
        <v/>
      </c>
      <c r="F183" s="6361" t="str">
        <f t="shared" si="80"/>
        <v/>
      </c>
      <c r="G183" s="6318"/>
      <c r="H183" s="6393" t="str">
        <f t="shared" si="81"/>
        <v/>
      </c>
      <c r="I183" s="6405"/>
      <c r="J183" s="6395" t="str">
        <f t="shared" si="82"/>
        <v/>
      </c>
      <c r="K183" s="6396" t="str">
        <f>IF(J183="","",LEFT(J183,IF(LEN(J183)&lt;=I179,LEN(J183),IFERROR(FIND("§",SUBSTITUTE(LEFT(J183,I179+1)," ","§",LEN(LEFT(J183,I179+1))-LEN(SUBSTITUTE(LEFT(J183,I179+1)," ",""))))-1,IFERROR(FIND(" ",J183,I179+1)-1,LEN(J183))))))</f>
        <v/>
      </c>
      <c r="L183" s="6388"/>
      <c r="M183" s="6332" t="str">
        <v>rechercher la cellule qui coupe le texte Dans la</v>
      </c>
      <c r="N183" t="s">
        <v>21</v>
      </c>
      <c r="AV183" s="103"/>
      <c r="AW183" s="31"/>
      <c r="AX183" s="32"/>
      <c r="AY183" s="31"/>
      <c r="AZ183" s="33"/>
      <c r="BA183" s="1967"/>
      <c r="BB183" s="1805"/>
      <c r="BC183" s="91"/>
      <c r="BD183" s="1806"/>
      <c r="BE183" s="6401"/>
      <c r="BF183" s="6402"/>
      <c r="BG183" s="1969"/>
      <c r="BH183" s="6403"/>
      <c r="BI183" s="95"/>
      <c r="BJ183" s="1326"/>
      <c r="BK183" s="6404"/>
      <c r="BL183" s="1737"/>
      <c r="BM183" s="2081"/>
      <c r="BN183" s="2238"/>
      <c r="BO183" s="1809"/>
      <c r="BQ183" s="2230"/>
      <c r="BR183" s="3">
        <v>1</v>
      </c>
    </row>
    <row r="184" spans="2:70" ht="21" customHeight="1">
      <c r="B184" s="6236"/>
      <c r="C184" s="6358">
        <f t="shared" si="78"/>
        <v>150</v>
      </c>
      <c r="D184" s="6359" t="str" cm="1">
        <f t="array" ref="D184">IF(MOD(ROW()-50,14)=0,INDEX(D176:D189,MOD(ROW()-50,14)+1),E182)</f>
        <v/>
      </c>
      <c r="E184" s="6360" t="str">
        <f t="shared" si="79"/>
        <v/>
      </c>
      <c r="F184" s="6361" t="str">
        <f t="shared" si="80"/>
        <v/>
      </c>
      <c r="G184" s="6318"/>
      <c r="H184" s="6393" t="str">
        <f t="shared" si="81"/>
        <v/>
      </c>
      <c r="I184" s="6405"/>
      <c r="J184" s="6395" t="str">
        <f t="shared" si="82"/>
        <v/>
      </c>
      <c r="K184" s="6396" t="str">
        <f>IF(J184="","",LEFT(J184,IF(LEN(J184)&lt;=I179,LEN(J184),IFERROR(FIND("§",SUBSTITUTE(LEFT(J184,I179+1)," ","§",LEN(LEFT(J184,I179+1))-LEN(SUBSTITUTE(LEFT(J184,I179+1)," ",""))))-1,IFERROR(FIND(" ",J184,I179+1)-1,LEN(J184))))))</f>
        <v/>
      </c>
      <c r="L184" s="6388"/>
      <c r="M184" s="6332" t="str">
        <v>cocotte N°3 en fonte, faites chauffer l’huile d’olive</v>
      </c>
      <c r="N184" t="s">
        <v>21</v>
      </c>
      <c r="AV184" s="103"/>
      <c r="AW184" s="31"/>
      <c r="AX184" s="32"/>
      <c r="AY184" s="31"/>
      <c r="AZ184" s="33"/>
      <c r="BA184" s="1967"/>
      <c r="BB184" s="1805"/>
      <c r="BC184" s="91"/>
      <c r="BD184" s="1806"/>
      <c r="BE184" s="6401"/>
      <c r="BF184" s="6402"/>
      <c r="BG184" s="1969"/>
      <c r="BH184" s="6403"/>
      <c r="BI184" s="95"/>
      <c r="BJ184" s="1326"/>
      <c r="BK184" s="6404"/>
      <c r="BL184" s="1737"/>
      <c r="BM184" s="2081"/>
      <c r="BN184" s="2238"/>
      <c r="BO184" s="1809"/>
      <c r="BQ184" s="2230"/>
      <c r="BR184" s="3">
        <v>1</v>
      </c>
    </row>
    <row r="185" spans="2:70" ht="21" customHeight="1">
      <c r="B185" s="6236"/>
      <c r="C185" s="6358">
        <f t="shared" si="78"/>
        <v>150</v>
      </c>
      <c r="D185" s="6359" t="str" cm="1">
        <f t="array" ref="D185">IF(MOD(ROW()-50,14)=0,INDEX(D176:D189,MOD(ROW()-50,14)+1),E183)</f>
        <v/>
      </c>
      <c r="E185" s="6360" t="str">
        <f t="shared" si="79"/>
        <v/>
      </c>
      <c r="F185" s="6361" t="str">
        <f t="shared" si="80"/>
        <v/>
      </c>
      <c r="G185" s="6318"/>
      <c r="H185" s="6393" t="str">
        <f t="shared" si="81"/>
        <v/>
      </c>
      <c r="I185" s="6405"/>
      <c r="J185" s="6395" t="str">
        <f t="shared" si="82"/>
        <v/>
      </c>
      <c r="K185" s="6396" t="str">
        <f>IF(J185="","",LEFT(J185,IF(LEN(J185)&lt;=I179,LEN(J185),IFERROR(FIND("§",SUBSTITUTE(LEFT(J185,I179+1)," ","§",LEN(LEFT(J185,I179+1))-LEN(SUBSTITUTE(LEFT(J185,I179+1)," ",""))))-1,IFERROR(FIND(" ",J185,I179+1)-1,LEN(J185))))))</f>
        <v/>
      </c>
      <c r="L185" s="6388"/>
      <c r="M185" s="6332" t="str">
        <v>à feu moyen. Ajoutez la viande et faites-la dorer de</v>
      </c>
      <c r="N185" t="s">
        <v>21</v>
      </c>
      <c r="AV185" s="103"/>
      <c r="AW185" s="31"/>
      <c r="AX185" s="32"/>
      <c r="AY185" s="31"/>
      <c r="AZ185" s="33"/>
      <c r="BA185" s="1967"/>
      <c r="BB185" s="1805"/>
      <c r="BC185" s="91"/>
      <c r="BD185" s="1806"/>
      <c r="BE185" s="6401"/>
      <c r="BF185" s="6402"/>
      <c r="BG185" s="1969"/>
      <c r="BH185" s="6403"/>
      <c r="BI185" s="95"/>
      <c r="BJ185" s="1326"/>
      <c r="BK185" s="6404"/>
      <c r="BL185" s="1737"/>
      <c r="BM185" s="2081"/>
      <c r="BN185" s="2238"/>
      <c r="BO185" s="1809"/>
      <c r="BQ185" s="2230"/>
      <c r="BR185" s="3">
        <v>1</v>
      </c>
    </row>
    <row r="186" spans="2:70" ht="21" customHeight="1">
      <c r="B186" s="6236"/>
      <c r="C186" s="6358">
        <f t="shared" si="78"/>
        <v>150</v>
      </c>
      <c r="D186" s="6359" t="str" cm="1">
        <f t="array" ref="D186">IF(MOD(ROW()-50,14)=0,INDEX(D176:D189,MOD(ROW()-50,14)+1),E184)</f>
        <v/>
      </c>
      <c r="E186" s="6360" t="str">
        <f t="shared" si="79"/>
        <v/>
      </c>
      <c r="F186" s="6361" t="str">
        <f t="shared" si="80"/>
        <v/>
      </c>
      <c r="G186" s="6318"/>
      <c r="H186" s="6393" t="str">
        <f t="shared" si="81"/>
        <v/>
      </c>
      <c r="I186" s="6405"/>
      <c r="J186" s="6395" t="str">
        <f t="shared" si="82"/>
        <v/>
      </c>
      <c r="K186" s="6396" t="str">
        <f>IF(J186="","",LEFT(J186,IF(LEN(J186)&lt;=I179,LEN(J186),IFERROR(FIND("§",SUBSTITUTE(LEFT(J186,I179+1)," ","§",LEN(LEFT(J186,I179+1))-LEN(SUBSTITUTE(LEFT(J186,I179+1)," ",""))))-1,IFERROR(FIND(" ",J186,I179+1)-1,LEN(J186))))))</f>
        <v/>
      </c>
      <c r="L186" s="6388"/>
      <c r="M186" s="6332" t="str">
        <v>tous les côtés. Retirez-la de la cocotte et</v>
      </c>
      <c r="N186" t="s">
        <v>21</v>
      </c>
      <c r="AV186" s="103"/>
      <c r="AW186" s="31"/>
      <c r="AX186" s="32"/>
      <c r="AY186" s="31"/>
      <c r="AZ186" s="33"/>
      <c r="BA186" s="1967"/>
      <c r="BB186" s="1805"/>
      <c r="BC186" s="91"/>
      <c r="BD186" s="1806"/>
      <c r="BE186" s="6401"/>
      <c r="BF186" s="6402"/>
      <c r="BG186" s="1969"/>
      <c r="BH186" s="6403"/>
      <c r="BI186" s="95"/>
      <c r="BJ186" s="1326"/>
      <c r="BK186" s="6404"/>
      <c r="BL186" s="1737"/>
      <c r="BM186" s="2081"/>
      <c r="BN186" s="2238"/>
      <c r="BO186" s="1809"/>
      <c r="BQ186" s="2230"/>
      <c r="BR186" s="3">
        <v>1</v>
      </c>
    </row>
    <row r="187" spans="2:70" ht="21" customHeight="1">
      <c r="B187" s="6236"/>
      <c r="C187" s="6358">
        <f t="shared" si="78"/>
        <v>150</v>
      </c>
      <c r="D187" s="6359" t="str" cm="1">
        <f t="array" ref="D187">IF(MOD(ROW()-50,14)=0,INDEX(D176:D189,MOD(ROW()-50,14)+1),E185)</f>
        <v/>
      </c>
      <c r="E187" s="6360" t="str">
        <f t="shared" si="79"/>
        <v/>
      </c>
      <c r="F187" s="6361" t="str">
        <f t="shared" si="80"/>
        <v/>
      </c>
      <c r="G187" s="6318"/>
      <c r="H187" s="6393" t="str">
        <f t="shared" si="81"/>
        <v/>
      </c>
      <c r="I187" s="6405"/>
      <c r="J187" s="6395" t="str">
        <f t="shared" si="82"/>
        <v/>
      </c>
      <c r="K187" s="6396" t="str">
        <f>IF(J187="","",LEFT(J187,IF(LEN(J187)&lt;=I179,LEN(J187),IFERROR(FIND("§",SUBSTITUTE(LEFT(J187,I179+1)," ","§",LEN(LEFT(J187,I179+1))-LEN(SUBSTITUTE(LEFT(J187,I179+1)," ",""))))-1,IFERROR(FIND(" ",J187,I179+1)-1,LEN(J187))))))</f>
        <v/>
      </c>
      <c r="L187" s="6388"/>
      <c r="M187" s="6332" t="str">
        <v>réservez-la.</v>
      </c>
      <c r="N187" t="s">
        <v>21</v>
      </c>
      <c r="AV187" s="103"/>
      <c r="AW187" s="31"/>
      <c r="AX187" s="32"/>
      <c r="AY187" s="31"/>
      <c r="AZ187" s="33"/>
      <c r="BA187" s="1967"/>
      <c r="BB187" s="1805"/>
      <c r="BC187" s="91"/>
      <c r="BD187" s="1806"/>
      <c r="BE187" s="6401"/>
      <c r="BF187" s="6402"/>
      <c r="BG187" s="1969"/>
      <c r="BH187" s="6403"/>
      <c r="BI187" s="95"/>
      <c r="BJ187" s="1326"/>
      <c r="BK187" s="6404"/>
      <c r="BL187" s="1737"/>
      <c r="BM187" s="2081"/>
      <c r="BN187" s="2238"/>
      <c r="BO187" s="1809"/>
      <c r="BQ187" s="2230"/>
      <c r="BR187" s="3">
        <v>1</v>
      </c>
    </row>
    <row r="188" spans="2:70" ht="21" customHeight="1">
      <c r="B188" s="6236"/>
      <c r="C188" s="6358">
        <f t="shared" si="78"/>
        <v>150</v>
      </c>
      <c r="D188" s="6359" t="str" cm="1">
        <f t="array" ref="D188">IF(MOD(ROW()-50,14)=0,INDEX(D176:D189,MOD(ROW()-50,14)+1),E186)</f>
        <v/>
      </c>
      <c r="E188" s="6360" t="str">
        <f t="shared" si="79"/>
        <v/>
      </c>
      <c r="F188" s="6361" t="str">
        <f t="shared" si="80"/>
        <v/>
      </c>
      <c r="G188" s="6318"/>
      <c r="H188" s="6393" t="str">
        <f t="shared" si="81"/>
        <v/>
      </c>
      <c r="I188" s="6405"/>
      <c r="J188" s="6395" t="str">
        <f t="shared" si="82"/>
        <v/>
      </c>
      <c r="K188" s="6396" t="str">
        <f>IF(J188="","",LEFT(J188,IF(LEN(J188)&lt;=I179,LEN(J188),IFERROR(FIND("§",SUBSTITUTE(LEFT(J188,I179+1)," ","§",LEN(LEFT(J188,I179+1))-LEN(SUBSTITUTE(LEFT(J188,I179+1)," ",""))))-1,IFERROR(FIND(" ",J188,I179+1)-1,LEN(J188))))))</f>
        <v/>
      </c>
      <c r="L188" s="6396"/>
      <c r="M188" s="6332" t="str">
        <v>24.TEST LIGNE 19 colonne Q et ligne 20 colonne P.</v>
      </c>
      <c r="N188" t="s">
        <v>21</v>
      </c>
      <c r="AV188" s="103"/>
      <c r="AW188" s="31"/>
      <c r="AX188" s="32"/>
      <c r="AY188" s="31"/>
      <c r="AZ188" s="33"/>
      <c r="BA188" s="1967"/>
      <c r="BB188" s="1805"/>
      <c r="BC188" s="91"/>
      <c r="BD188" s="1806"/>
      <c r="BE188" s="6401"/>
      <c r="BF188" s="6402"/>
      <c r="BG188" s="1969"/>
      <c r="BH188" s="6403"/>
      <c r="BI188" s="95"/>
      <c r="BJ188" s="1326"/>
      <c r="BK188" s="6404"/>
      <c r="BL188" s="1737"/>
      <c r="BM188" s="2081"/>
      <c r="BN188" s="2238"/>
      <c r="BO188" s="1809"/>
      <c r="BQ188" s="2230"/>
      <c r="BR188" s="3">
        <v>1</v>
      </c>
    </row>
    <row r="189" spans="2:70" ht="21" customHeight="1">
      <c r="B189" s="6236"/>
      <c r="C189" s="6376">
        <f t="shared" si="78"/>
        <v>150</v>
      </c>
      <c r="D189" s="6414" t="str" cm="1">
        <f t="array" ref="D189">IF(MOD(ROW()-50,14)=0,INDEX(D176:D189,MOD(ROW()-50,14)+1),E187)</f>
        <v/>
      </c>
      <c r="E189" s="6377" t="str">
        <f t="shared" si="79"/>
        <v/>
      </c>
      <c r="F189" s="6378" t="str">
        <f t="shared" si="80"/>
        <v/>
      </c>
      <c r="G189" s="6319"/>
      <c r="H189" s="6409" t="str">
        <f t="shared" si="81"/>
        <v/>
      </c>
      <c r="I189" s="6410"/>
      <c r="J189" s="6411" t="str">
        <f t="shared" si="82"/>
        <v/>
      </c>
      <c r="K189" s="6412" t="str">
        <f>IF(J189="","",LEFT(J189,IF(LEN(J189)&lt;=I179,LEN(J189),IFERROR(FIND("§",SUBSTITUTE(LEFT(J189,I179+1)," ","§",LEN(LEFT(J189,I179+1))-LEN(SUBSTITUTE(LEFT(J189,I179+1)," ",""))))-1,IFERROR(FIND(" ",J189,I179+1)-1,LEN(J189))))))</f>
        <v/>
      </c>
      <c r="L189" s="6413"/>
      <c r="M189" s="6333" t="str">
        <v>rechercher la cellule qui coupe le texte Dans la</v>
      </c>
      <c r="N189" t="s">
        <v>21</v>
      </c>
      <c r="AV189" s="103"/>
      <c r="AW189" s="31"/>
      <c r="AX189" s="32"/>
      <c r="AY189" s="31"/>
      <c r="AZ189" s="33"/>
      <c r="BA189" s="1967"/>
      <c r="BB189" s="1805"/>
      <c r="BC189" s="91"/>
      <c r="BD189" s="1806"/>
      <c r="BE189" s="6401"/>
      <c r="BF189" s="6402"/>
      <c r="BG189" s="1969"/>
      <c r="BH189" s="6403"/>
      <c r="BI189" s="95"/>
      <c r="BJ189" s="1326"/>
      <c r="BK189" s="6404"/>
      <c r="BL189" s="1737"/>
      <c r="BM189" s="2081"/>
      <c r="BN189" s="2238"/>
      <c r="BO189" s="1809"/>
      <c r="BQ189" s="2230"/>
      <c r="BR189" s="3">
        <v>1</v>
      </c>
    </row>
    <row r="190" spans="2:70" ht="21" customHeight="1">
      <c r="B190" s="6236"/>
      <c r="C190" s="6313">
        <f>AD60</f>
        <v>150</v>
      </c>
      <c r="D190" s="6314" t="str">
        <f>IF(UPPER(TRIM(X45))="X",U60,O60)</f>
        <v>11.TEST LIGNE 19 colonne Q et ligne 20 colonne P. rechercher la cellule qui coupe le texte Dans la cocotte N°3 en fonte, faites chauffer l’huile d’olive à feu moyen. Ajoutez la viande et faites-la dorer de tous les côtés. Retirez-la de la cocotte et réservez-la.</v>
      </c>
      <c r="E190" s="6383" t="str">
        <f>IF(D190="","",IF(F190="","",IF(LEN(F190)&gt;=LEN(D190),"",TRIM(MID(D190,LEN(F190)+1,99999)))))</f>
        <v>d’olive à feu moyen. Ajoutez la viande et faites-la dorer de tous les côtés. Retirez-la de la cocotte et réservez-la.</v>
      </c>
      <c r="F190" s="6384" t="str">
        <f>IF(D190="","",IF(LEN(D190)&lt;=C190,D190,IFERROR(LEFT(D190,FIND("§",SUBSTITUTE(LEFT(D190,C190+1)," ","§",LEN(LEFT(D190,C190+1))-LEN(SUBSTITUTE(LEFT(D190,C190+1)," ",""))))-1),LEFT(D190,C190))))</f>
        <v>11.TEST LIGNE 19 colonne Q et ligne 20 colonne P. rechercher la cellule qui coupe le texte Dans la cocotte N°3 en fonte, faites chauffer l’huile</v>
      </c>
      <c r="G190" s="6320"/>
      <c r="H190" s="6323">
        <f>IF(LEN(TRIM(L190))&gt;0,MAX(H189:H189)+1,"")</f>
        <v>1</v>
      </c>
      <c r="I190" s="6324" t="str">
        <f>D190</f>
        <v>11.TEST LIGNE 19 colonne Q et ligne 20 colonne P. rechercher la cellule qui coupe le texte Dans la cocotte N°3 en fonte, faites chauffer l’huile d’olive à feu moyen. Ajoutez la viande et faites-la dorer de tous les côtés. Retirez-la de la cocotte et réservez-la.</v>
      </c>
      <c r="J190" s="6325" t="str">
        <f>IF(I190=0,"",I190)</f>
        <v>11.TEST LIGNE 19 colonne Q et ligne 20 colonne P. rechercher la cellule qui coupe le texte Dans la cocotte N°3 en fonte, faites chauffer l’huile d’olive à feu moyen. Ajoutez la viande et faites-la dorer de tous les côtés. Retirez-la de la cocotte et réservez-la.</v>
      </c>
      <c r="K190" s="6326" t="str">
        <f>IF(I190="","",LEFT(I190,IF(LEN(I190)&lt;=I193,LEN(I190),IFERROR(FIND("§",SUBSTITUTE(LEFT(I190,I193+1)," ","§",LEN(LEFT(I190,I193+1))-LEN(SUBSTITUTE(LEFT(I190,I193+1)," ",""))))-1,IFERROR(FIND(" ",I190,I193+1)-1,LEN(I190))))))</f>
        <v>11.TEST LIGNE 19 colonne Q et ligne 20 colonne P.</v>
      </c>
      <c r="L190" s="6326" t="str" cm="1">
        <f t="array" ref="L190:L195">_xlfn._xlws.FILTER(TRIM(SUBSTITUTE(SUBSTITUTE(SUBSTITUTE(SUBSTITUTE(SUBSTITUTE(CLEAN(K190:K203),CHAR(160)," "),_xlfn.UNICHAR(8239)," "),CHAR(9)," "),CHAR(10)," "),CHAR(13)," ")),TRIM(SUBSTITUTE(SUBSTITUTE(SUBSTITUTE(SUBSTITUTE(SUBSTITUTE(CLEAN(K190:K203),CHAR(160)," "),_xlfn.UNICHAR(8239)," "),CHAR(9)," "),CHAR(10)," "),CHAR(13)," "))&lt;&gt;"")</f>
        <v>11.TEST LIGNE 19 colonne Q et ligne 20 colonne P.</v>
      </c>
      <c r="M190" s="6328" t="str">
        <v>cocotte N°3 en fonte, faites chauffer l’huile d’olive</v>
      </c>
      <c r="N190" t="s">
        <v>21</v>
      </c>
      <c r="AV190" s="103"/>
      <c r="AW190" s="31"/>
      <c r="AX190" s="32"/>
      <c r="AY190" s="31"/>
      <c r="AZ190" s="33"/>
      <c r="BA190" s="1967"/>
      <c r="BB190" s="1805"/>
      <c r="BC190" s="91"/>
      <c r="BD190" s="1806"/>
      <c r="BE190" s="6401"/>
      <c r="BF190" s="6402"/>
      <c r="BG190" s="1969"/>
      <c r="BH190" s="6403"/>
      <c r="BI190" s="95"/>
      <c r="BJ190" s="1326"/>
      <c r="BK190" s="6404"/>
      <c r="BL190" s="1737"/>
      <c r="BM190" s="2081"/>
      <c r="BN190" s="2238"/>
      <c r="BO190" s="1809"/>
      <c r="BQ190" s="2230"/>
      <c r="BR190" s="3">
        <v>1</v>
      </c>
    </row>
    <row r="191" spans="2:70" ht="21" customHeight="1">
      <c r="B191" s="6236"/>
      <c r="C191" s="6358">
        <f t="shared" ref="C191:C203" si="83">C190</f>
        <v>150</v>
      </c>
      <c r="D191" s="6390" t="str" cm="1">
        <f t="array" ref="D191">IF(MOD(ROW()-50,14)=0,INDEX(D190:D203,MOD(ROW()-50,14)+1),E189)</f>
        <v/>
      </c>
      <c r="E191" s="6391" t="str">
        <f t="shared" ref="E191:E203" si="84">IF(D191="","",IF(F191="","",IF(LEN(F191)&gt;=LEN(D191),"",TRIM(MID(D191,LEN(F191)+1,99999)))))</f>
        <v/>
      </c>
      <c r="F191" s="6392" t="str">
        <f t="shared" ref="F191:F203" si="85">IF(D191="","",IF(LEN(D191)&lt;=C191,D191,IFERROR(LEFT(D191,FIND("§",SUBSTITUTE(LEFT(D191,C191+1)," ","§",LEN(LEFT(D191,C191+1))-LEN(SUBSTITUTE(LEFT(D191,C191+1)," ",""))))-1),LEFT(D191,C191))))</f>
        <v/>
      </c>
      <c r="G191" s="6321"/>
      <c r="H191" s="6323">
        <f t="shared" ref="H191:H203" si="86">IF(LEN(TRIM(L191))&gt;0,MAX(H190:H190)+1,"")</f>
        <v>2</v>
      </c>
      <c r="I191" s="6362" t="s">
        <v>14355</v>
      </c>
      <c r="J191" s="6363" t="str">
        <f>TRIM(MID(I194,LEN(K190)+1,99999))</f>
        <v>rechercher la cellule qui coupe le texte Dans la cocotte N°3 en fonte, faites chauffer l’huile d’olive à feu moyen. Ajoutez la viande et faites-la dorer de tous les côtés. Retirez-la de la cocotte et réservez-la.</v>
      </c>
      <c r="K191" s="6364" t="str">
        <f>IF(J191="","",LEFT(J191,IF(LEN(J191)&lt;=I193,LEN(J191),IFERROR(FIND("§",SUBSTITUTE(LEFT(J191,I193+1)," ","§",LEN(LEFT(J191,I193+1))-LEN(SUBSTITUTE(LEFT(J191,I193+1)," ",""))))-1,IFERROR(FIND(" ",J191,I193+1)-1,LEN(J191))))))</f>
        <v>rechercher la cellule qui coupe le texte Dans la</v>
      </c>
      <c r="L191" s="6327" t="str">
        <v>rechercher la cellule qui coupe le texte Dans la</v>
      </c>
      <c r="M191" s="6329" t="str">
        <v>à feu moyen. Ajoutez la viande et faites-la dorer de</v>
      </c>
      <c r="N191" t="s">
        <v>21</v>
      </c>
      <c r="AV191" s="103"/>
      <c r="AW191" s="31"/>
      <c r="AX191" s="32"/>
      <c r="AY191" s="31"/>
      <c r="AZ191" s="33"/>
      <c r="BA191" s="1967"/>
      <c r="BB191" s="1805"/>
      <c r="BC191" s="91"/>
      <c r="BD191" s="1806"/>
      <c r="BE191" s="6401"/>
      <c r="BF191" s="6402"/>
      <c r="BG191" s="1969"/>
      <c r="BH191" s="6403"/>
      <c r="BI191" s="95"/>
      <c r="BJ191" s="1326"/>
      <c r="BK191" s="6404"/>
      <c r="BL191" s="1737"/>
      <c r="BM191" s="2081"/>
      <c r="BN191" s="2238"/>
      <c r="BO191" s="1809"/>
      <c r="BQ191" s="2230"/>
      <c r="BR191" s="3">
        <v>1</v>
      </c>
    </row>
    <row r="192" spans="2:70" ht="21" customHeight="1">
      <c r="B192" s="6236"/>
      <c r="C192" s="6358">
        <f t="shared" si="83"/>
        <v>150</v>
      </c>
      <c r="D192" s="6390" t="str" cm="1">
        <f t="array" ref="D192">IF(MOD(ROW()-50,14)=0,INDEX(D190:D203,MOD(ROW()-50,14)+1),E190)</f>
        <v>d’olive à feu moyen. Ajoutez la viande et faites-la dorer de tous les côtés. Retirez-la de la cocotte et réservez-la.</v>
      </c>
      <c r="E192" s="6391" t="str">
        <f t="shared" si="84"/>
        <v/>
      </c>
      <c r="F192" s="6392" t="str">
        <f t="shared" si="85"/>
        <v>d’olive à feu moyen. Ajoutez la viande et faites-la dorer de tous les côtés. Retirez-la de la cocotte et réservez-la.</v>
      </c>
      <c r="G192" s="6321"/>
      <c r="H192" s="6323">
        <f t="shared" si="86"/>
        <v>3</v>
      </c>
      <c r="I192" s="6365">
        <f>Z60</f>
        <v>5</v>
      </c>
      <c r="J192" s="6363" t="str">
        <f t="shared" ref="J192:J203" si="87">TRIM(MID(J191,LEN(K191)+1,99999))</f>
        <v>cocotte N°3 en fonte, faites chauffer l’huile d’olive à feu moyen. Ajoutez la viande et faites-la dorer de tous les côtés. Retirez-la de la cocotte et réservez-la.</v>
      </c>
      <c r="K192" s="6364" t="str">
        <f>IF(J192="","",LEFT(J192,IF(LEN(J192)&lt;=I193,LEN(J192),IFERROR(FIND("§",SUBSTITUTE(LEFT(J192,I193+1)," ","§",LEN(LEFT(J192,I193+1))-LEN(SUBSTITUTE(LEFT(J192,I193+1)," ",""))))-1,IFERROR(FIND(" ",J192,I193+1)-1,LEN(J192))))))</f>
        <v>cocotte N°3 en fonte, faites chauffer l’huile d’olive</v>
      </c>
      <c r="L192" s="6327" t="str">
        <v>cocotte N°3 en fonte, faites chauffer l’huile d’olive</v>
      </c>
      <c r="M192" s="6329" t="str">
        <v>tous les côtés. Retirez-la de la cocotte et</v>
      </c>
      <c r="N192" t="s">
        <v>21</v>
      </c>
      <c r="AV192" s="103"/>
      <c r="AW192" s="31"/>
      <c r="AX192" s="32"/>
      <c r="AY192" s="31"/>
      <c r="AZ192" s="33"/>
      <c r="BA192" s="1967"/>
      <c r="BB192" s="1805"/>
      <c r="BC192" s="91"/>
      <c r="BD192" s="1806"/>
      <c r="BE192" s="6401"/>
      <c r="BF192" s="6402"/>
      <c r="BG192" s="1969"/>
      <c r="BH192" s="6403"/>
      <c r="BI192" s="95"/>
      <c r="BJ192" s="1326"/>
      <c r="BK192" s="6404"/>
      <c r="BL192" s="1737"/>
      <c r="BM192" s="2081"/>
      <c r="BN192" s="2238"/>
      <c r="BO192" s="1809"/>
      <c r="BQ192" s="2230"/>
      <c r="BR192" s="3">
        <v>1</v>
      </c>
    </row>
    <row r="193" spans="2:70" ht="21" customHeight="1">
      <c r="B193" s="6236"/>
      <c r="C193" s="6358">
        <f t="shared" si="83"/>
        <v>150</v>
      </c>
      <c r="D193" s="6390" t="str" cm="1">
        <f t="array" ref="D193">IF(MOD(ROW()-50,14)=0,INDEX(D190:D203,MOD(ROW()-50,14)+1),E191)</f>
        <v/>
      </c>
      <c r="E193" s="6391" t="str">
        <f t="shared" si="84"/>
        <v/>
      </c>
      <c r="F193" s="6392" t="str">
        <f t="shared" si="85"/>
        <v/>
      </c>
      <c r="G193" s="6321"/>
      <c r="H193" s="6323">
        <f t="shared" si="86"/>
        <v>4</v>
      </c>
      <c r="I193" s="6370">
        <f>IF(OR(J190="",I192="",I192&lt;=0),"",ROUNDUP(LEN(J190)/I192,0))</f>
        <v>53</v>
      </c>
      <c r="J193" s="6363" t="str">
        <f t="shared" si="87"/>
        <v>à feu moyen. Ajoutez la viande et faites-la dorer de tous les côtés. Retirez-la de la cocotte et réservez-la.</v>
      </c>
      <c r="K193" s="6364" t="str">
        <f>IF(J193="","",LEFT(J193,IF(LEN(J193)&lt;=I193,LEN(J193),IFERROR(FIND("§",SUBSTITUTE(LEFT(J193,I193+1)," ","§",LEN(LEFT(J193,I193+1))-LEN(SUBSTITUTE(LEFT(J193,I193+1)," ",""))))-1,IFERROR(FIND(" ",J193,I193+1)-1,LEN(J193))))))</f>
        <v>à feu moyen. Ajoutez la viande et faites-la dorer de</v>
      </c>
      <c r="L193" s="6327" t="str">
        <v>à feu moyen. Ajoutez la viande et faites-la dorer de</v>
      </c>
      <c r="M193" s="6329" t="str">
        <v>réservez-la.</v>
      </c>
      <c r="N193" t="s">
        <v>21</v>
      </c>
      <c r="AV193" s="103"/>
      <c r="AW193" s="31"/>
      <c r="AX193" s="32"/>
      <c r="AY193" s="31"/>
      <c r="AZ193" s="33"/>
      <c r="BA193" s="1967"/>
      <c r="BB193" s="1805"/>
      <c r="BC193" s="91"/>
      <c r="BD193" s="1806"/>
      <c r="BE193" s="6401"/>
      <c r="BF193" s="6402"/>
      <c r="BG193" s="1969"/>
      <c r="BH193" s="6403"/>
      <c r="BI193" s="95"/>
      <c r="BJ193" s="1326"/>
      <c r="BK193" s="6404"/>
      <c r="BL193" s="1737"/>
      <c r="BM193" s="2081"/>
      <c r="BN193" s="2238"/>
      <c r="BO193" s="1809"/>
      <c r="BQ193" s="2230"/>
      <c r="BR193" s="3">
        <v>1</v>
      </c>
    </row>
    <row r="194" spans="2:70" ht="21" customHeight="1">
      <c r="B194" s="6236"/>
      <c r="C194" s="6358">
        <f t="shared" si="83"/>
        <v>150</v>
      </c>
      <c r="D194" s="6390" t="str" cm="1">
        <f t="array" ref="D194">IF(MOD(ROW()-50,14)=0,INDEX(D190:D203,MOD(ROW()-50,14)+1),E192)</f>
        <v/>
      </c>
      <c r="E194" s="6391" t="str">
        <f t="shared" si="84"/>
        <v/>
      </c>
      <c r="F194" s="6392" t="str">
        <f t="shared" si="85"/>
        <v/>
      </c>
      <c r="G194" s="6321"/>
      <c r="H194" s="6323">
        <f t="shared" si="86"/>
        <v>5</v>
      </c>
      <c r="I194" s="6372" t="str">
        <f>I190</f>
        <v>11.TEST LIGNE 19 colonne Q et ligne 20 colonne P. rechercher la cellule qui coupe le texte Dans la cocotte N°3 en fonte, faites chauffer l’huile d’olive à feu moyen. Ajoutez la viande et faites-la dorer de tous les côtés. Retirez-la de la cocotte et réservez-la.</v>
      </c>
      <c r="J194" s="6363" t="str">
        <f t="shared" si="87"/>
        <v>tous les côtés. Retirez-la de la cocotte et réservez-la.</v>
      </c>
      <c r="K194" s="6364" t="str">
        <f>IF(J194="","",LEFT(J194,IF(LEN(J194)&lt;=I193,LEN(J194),IFERROR(FIND("§",SUBSTITUTE(LEFT(J194,I193+1)," ","§",LEN(LEFT(J194,I193+1))-LEN(SUBSTITUTE(LEFT(J194,I193+1)," ",""))))-1,IFERROR(FIND(" ",J194,I193+1)-1,LEN(J194))))))</f>
        <v>tous les côtés. Retirez-la de la cocotte et</v>
      </c>
      <c r="L194" s="6327" t="str">
        <v>tous les côtés. Retirez-la de la cocotte et</v>
      </c>
      <c r="M194" s="6329" t="str">
        <v>25.TEST LIGNE 19 colonne Q et ligne 20 colonne P.</v>
      </c>
      <c r="N194" t="s">
        <v>21</v>
      </c>
      <c r="AV194" s="103"/>
      <c r="AW194" s="31"/>
      <c r="AX194" s="32"/>
      <c r="AY194" s="31"/>
      <c r="AZ194" s="33"/>
      <c r="BA194" s="1967"/>
      <c r="BB194" s="1805"/>
      <c r="BC194" s="91"/>
      <c r="BD194" s="1806"/>
      <c r="BE194" s="6401"/>
      <c r="BF194" s="6402"/>
      <c r="BG194" s="1969"/>
      <c r="BH194" s="6403"/>
      <c r="BI194" s="95"/>
      <c r="BJ194" s="1326"/>
      <c r="BK194" s="6404"/>
      <c r="BL194" s="1737"/>
      <c r="BM194" s="2081"/>
      <c r="BN194" s="2238"/>
      <c r="BO194" s="1809"/>
      <c r="BQ194" s="2230"/>
      <c r="BR194" s="3">
        <v>1</v>
      </c>
    </row>
    <row r="195" spans="2:70" ht="21" customHeight="1">
      <c r="B195" s="6236"/>
      <c r="C195" s="6358">
        <f t="shared" si="83"/>
        <v>150</v>
      </c>
      <c r="D195" s="6390" t="str" cm="1">
        <f t="array" ref="D195">IF(MOD(ROW()-50,14)=0,INDEX(D190:D203,MOD(ROW()-50,14)+1),E193)</f>
        <v/>
      </c>
      <c r="E195" s="6391" t="str">
        <f t="shared" si="84"/>
        <v/>
      </c>
      <c r="F195" s="6392" t="str">
        <f t="shared" si="85"/>
        <v/>
      </c>
      <c r="G195" s="6321"/>
      <c r="H195" s="6323">
        <f t="shared" si="86"/>
        <v>6</v>
      </c>
      <c r="I195" s="6373"/>
      <c r="J195" s="6363" t="str">
        <f t="shared" si="87"/>
        <v>réservez-la.</v>
      </c>
      <c r="K195" s="6364" t="str">
        <f>IF(J195="","",LEFT(J195,IF(LEN(J195)&lt;=I193,LEN(J195),IFERROR(FIND("§",SUBSTITUTE(LEFT(J195,I193+1)," ","§",LEN(LEFT(J195,I193+1))-LEN(SUBSTITUTE(LEFT(J195,I193+1)," ",""))))-1,IFERROR(FIND(" ",J195,I193+1)-1,LEN(J195))))))</f>
        <v>réservez-la.</v>
      </c>
      <c r="L195" s="6327" t="str">
        <v>réservez-la.</v>
      </c>
      <c r="M195" s="6329" t="str">
        <v>rechercher la cellule qui coupe le texte Dans la</v>
      </c>
      <c r="N195" t="s">
        <v>21</v>
      </c>
      <c r="AV195" s="103"/>
      <c r="AW195" s="31"/>
      <c r="AX195" s="32"/>
      <c r="AY195" s="31"/>
      <c r="AZ195" s="33"/>
      <c r="BA195" s="1967"/>
      <c r="BB195" s="1805"/>
      <c r="BC195" s="91"/>
      <c r="BD195" s="1806"/>
      <c r="BE195" s="6401"/>
      <c r="BF195" s="6402"/>
      <c r="BG195" s="1969"/>
      <c r="BH195" s="6403"/>
      <c r="BI195" s="95"/>
      <c r="BJ195" s="1326"/>
      <c r="BK195" s="6404"/>
      <c r="BL195" s="1737"/>
      <c r="BM195" s="2081"/>
      <c r="BN195" s="2238"/>
      <c r="BO195" s="1809"/>
      <c r="BQ195" s="2230"/>
      <c r="BR195" s="3">
        <v>1</v>
      </c>
    </row>
    <row r="196" spans="2:70" ht="21" customHeight="1">
      <c r="B196" s="6236"/>
      <c r="C196" s="6358">
        <f t="shared" si="83"/>
        <v>150</v>
      </c>
      <c r="D196" s="6390" t="str" cm="1">
        <f t="array" ref="D196">IF(MOD(ROW()-50,14)=0,INDEX(D190:D203,MOD(ROW()-50,14)+1),E194)</f>
        <v/>
      </c>
      <c r="E196" s="6391" t="str">
        <f t="shared" si="84"/>
        <v/>
      </c>
      <c r="F196" s="6392" t="str">
        <f t="shared" si="85"/>
        <v/>
      </c>
      <c r="G196" s="6321"/>
      <c r="H196" s="6323" t="str">
        <f t="shared" si="86"/>
        <v/>
      </c>
      <c r="I196" s="6373"/>
      <c r="J196" s="6363" t="str">
        <f t="shared" si="87"/>
        <v/>
      </c>
      <c r="K196" s="6364" t="str">
        <f>IF(J196="","",LEFT(J196,IF(LEN(J196)&lt;=I193,LEN(J196),IFERROR(FIND("§",SUBSTITUTE(LEFT(J196,I193+1)," ","§",LEN(LEFT(J196,I193+1))-LEN(SUBSTITUTE(LEFT(J196,I193+1)," ",""))))-1,IFERROR(FIND(" ",J196,I193+1)-1,LEN(J196))))))</f>
        <v/>
      </c>
      <c r="L196" s="6327"/>
      <c r="M196" s="6329" t="str">
        <v>cocotte N°3 en fonte, faites chauffer l’huile d’olive</v>
      </c>
      <c r="N196" t="s">
        <v>21</v>
      </c>
      <c r="AV196" s="103"/>
      <c r="AW196" s="31"/>
      <c r="AX196" s="32"/>
      <c r="AY196" s="31"/>
      <c r="AZ196" s="33"/>
      <c r="BA196" s="1967"/>
      <c r="BB196" s="1805"/>
      <c r="BC196" s="91"/>
      <c r="BD196" s="1806"/>
      <c r="BE196" s="6401"/>
      <c r="BF196" s="6402"/>
      <c r="BG196" s="1969"/>
      <c r="BH196" s="6403"/>
      <c r="BI196" s="95"/>
      <c r="BJ196" s="1326"/>
      <c r="BK196" s="6404"/>
      <c r="BL196" s="1737"/>
      <c r="BM196" s="2081"/>
      <c r="BN196" s="2238"/>
      <c r="BO196" s="1809"/>
      <c r="BQ196" s="2230"/>
      <c r="BR196" s="3">
        <v>1</v>
      </c>
    </row>
    <row r="197" spans="2:70" ht="21" customHeight="1">
      <c r="B197" s="6236"/>
      <c r="C197" s="6358">
        <f t="shared" si="83"/>
        <v>150</v>
      </c>
      <c r="D197" s="6390" t="str" cm="1">
        <f t="array" ref="D197">IF(MOD(ROW()-50,14)=0,INDEX(D190:D203,MOD(ROW()-50,14)+1),E195)</f>
        <v/>
      </c>
      <c r="E197" s="6391" t="str">
        <f t="shared" si="84"/>
        <v/>
      </c>
      <c r="F197" s="6392" t="str">
        <f t="shared" si="85"/>
        <v/>
      </c>
      <c r="G197" s="6321"/>
      <c r="H197" s="6323" t="str">
        <f t="shared" si="86"/>
        <v/>
      </c>
      <c r="I197" s="6373"/>
      <c r="J197" s="6363" t="str">
        <f t="shared" si="87"/>
        <v/>
      </c>
      <c r="K197" s="6364" t="str">
        <f>IF(J197="","",LEFT(J197,IF(LEN(J197)&lt;=I193,LEN(J197),IFERROR(FIND("§",SUBSTITUTE(LEFT(J197,I193+1)," ","§",LEN(LEFT(J197,I193+1))-LEN(SUBSTITUTE(LEFT(J197,I193+1)," ",""))))-1,IFERROR(FIND(" ",J197,I193+1)-1,LEN(J197))))))</f>
        <v/>
      </c>
      <c r="L197" s="6327"/>
      <c r="M197" s="6329" t="str">
        <v>à feu moyen. Ajoutez la viande et faites-la dorer de</v>
      </c>
      <c r="N197" t="s">
        <v>21</v>
      </c>
      <c r="AV197" s="103"/>
      <c r="AW197" s="31"/>
      <c r="AX197" s="32"/>
      <c r="AY197" s="31"/>
      <c r="AZ197" s="33"/>
      <c r="BA197" s="1967"/>
      <c r="BB197" s="1805"/>
      <c r="BC197" s="91"/>
      <c r="BD197" s="1806"/>
      <c r="BE197" s="6401"/>
      <c r="BF197" s="6402"/>
      <c r="BG197" s="1969"/>
      <c r="BH197" s="6403"/>
      <c r="BI197" s="95"/>
      <c r="BJ197" s="1326"/>
      <c r="BK197" s="6404"/>
      <c r="BL197" s="1737"/>
      <c r="BM197" s="2081"/>
      <c r="BN197" s="2238"/>
      <c r="BO197" s="1809"/>
      <c r="BQ197" s="2230"/>
      <c r="BR197" s="3">
        <v>1</v>
      </c>
    </row>
    <row r="198" spans="2:70" ht="21" customHeight="1">
      <c r="B198" s="6236"/>
      <c r="C198" s="6358">
        <f t="shared" si="83"/>
        <v>150</v>
      </c>
      <c r="D198" s="6390" t="str" cm="1">
        <f t="array" ref="D198">IF(MOD(ROW()-50,14)=0,INDEX(D190:D203,MOD(ROW()-50,14)+1),E196)</f>
        <v/>
      </c>
      <c r="E198" s="6391" t="str">
        <f t="shared" si="84"/>
        <v/>
      </c>
      <c r="F198" s="6392" t="str">
        <f t="shared" si="85"/>
        <v/>
      </c>
      <c r="G198" s="6321"/>
      <c r="H198" s="6323" t="str">
        <f t="shared" si="86"/>
        <v/>
      </c>
      <c r="I198" s="6373"/>
      <c r="J198" s="6363" t="str">
        <f t="shared" si="87"/>
        <v/>
      </c>
      <c r="K198" s="6364" t="str">
        <f>IF(J198="","",LEFT(J198,IF(LEN(J198)&lt;=I193,LEN(J198),IFERROR(FIND("§",SUBSTITUTE(LEFT(J198,I193+1)," ","§",LEN(LEFT(J198,I193+1))-LEN(SUBSTITUTE(LEFT(J198,I193+1)," ",""))))-1,IFERROR(FIND(" ",J198,I193+1)-1,LEN(J198))))))</f>
        <v/>
      </c>
      <c r="L198" s="6327"/>
      <c r="M198" s="6329" t="str">
        <v>tous les côtés. Retirez-la de la cocotte et</v>
      </c>
      <c r="N198" t="s">
        <v>21</v>
      </c>
      <c r="AV198" s="103"/>
      <c r="AW198" s="31"/>
      <c r="AX198" s="32"/>
      <c r="AY198" s="31"/>
      <c r="AZ198" s="33"/>
      <c r="BA198" s="1967"/>
      <c r="BB198" s="1805"/>
      <c r="BC198" s="91"/>
      <c r="BD198" s="1806"/>
      <c r="BE198" s="6401"/>
      <c r="BF198" s="6402"/>
      <c r="BG198" s="1969"/>
      <c r="BH198" s="6403"/>
      <c r="BI198" s="95"/>
      <c r="BJ198" s="1326"/>
      <c r="BK198" s="6404"/>
      <c r="BL198" s="1737"/>
      <c r="BM198" s="2081"/>
      <c r="BN198" s="2238"/>
      <c r="BO198" s="1809"/>
      <c r="BQ198" s="2230"/>
      <c r="BR198" s="3">
        <v>1</v>
      </c>
    </row>
    <row r="199" spans="2:70" ht="21" customHeight="1">
      <c r="B199" s="6236"/>
      <c r="C199" s="6358">
        <f t="shared" si="83"/>
        <v>150</v>
      </c>
      <c r="D199" s="6390" t="str" cm="1">
        <f t="array" ref="D199">IF(MOD(ROW()-50,14)=0,INDEX(D190:D203,MOD(ROW()-50,14)+1),E197)</f>
        <v/>
      </c>
      <c r="E199" s="6391" t="str">
        <f t="shared" si="84"/>
        <v/>
      </c>
      <c r="F199" s="6392" t="str">
        <f t="shared" si="85"/>
        <v/>
      </c>
      <c r="G199" s="6321"/>
      <c r="H199" s="6323" t="str">
        <f t="shared" si="86"/>
        <v/>
      </c>
      <c r="I199" s="6373"/>
      <c r="J199" s="6363" t="str">
        <f t="shared" si="87"/>
        <v/>
      </c>
      <c r="K199" s="6364" t="str">
        <f>IF(J199="","",LEFT(J199,IF(LEN(J199)&lt;=I193,LEN(J199),IFERROR(FIND("§",SUBSTITUTE(LEFT(J199,I193+1)," ","§",LEN(LEFT(J199,I193+1))-LEN(SUBSTITUTE(LEFT(J199,I193+1)," ",""))))-1,IFERROR(FIND(" ",J199,I193+1)-1,LEN(J199))))))</f>
        <v/>
      </c>
      <c r="L199" s="6327"/>
      <c r="M199" s="6329" t="str">
        <v>réservez-la.</v>
      </c>
      <c r="N199" t="s">
        <v>21</v>
      </c>
      <c r="AV199" s="103"/>
      <c r="AW199" s="31"/>
      <c r="AX199" s="32"/>
      <c r="AY199" s="31"/>
      <c r="AZ199" s="33"/>
      <c r="BA199" s="1967"/>
      <c r="BB199" s="1805"/>
      <c r="BC199" s="91"/>
      <c r="BD199" s="1806"/>
      <c r="BE199" s="6401"/>
      <c r="BF199" s="6402"/>
      <c r="BG199" s="1969"/>
      <c r="BH199" s="6403"/>
      <c r="BI199" s="95"/>
      <c r="BJ199" s="1326"/>
      <c r="BK199" s="6404"/>
      <c r="BL199" s="1737"/>
      <c r="BM199" s="2081"/>
      <c r="BN199" s="2238"/>
      <c r="BO199" s="1809"/>
      <c r="BQ199" s="2230"/>
      <c r="BR199" s="3">
        <v>1</v>
      </c>
    </row>
    <row r="200" spans="2:70" ht="21" customHeight="1">
      <c r="B200" s="6236"/>
      <c r="C200" s="6358">
        <f t="shared" si="83"/>
        <v>150</v>
      </c>
      <c r="D200" s="6390" t="str" cm="1">
        <f t="array" ref="D200">IF(MOD(ROW()-50,14)=0,INDEX(D190:D203,MOD(ROW()-50,14)+1),E198)</f>
        <v/>
      </c>
      <c r="E200" s="6391" t="str">
        <f t="shared" si="84"/>
        <v/>
      </c>
      <c r="F200" s="6392" t="str">
        <f t="shared" si="85"/>
        <v/>
      </c>
      <c r="G200" s="6321"/>
      <c r="H200" s="6323" t="str">
        <f t="shared" si="86"/>
        <v/>
      </c>
      <c r="I200" s="6373"/>
      <c r="J200" s="6363" t="str">
        <f t="shared" si="87"/>
        <v/>
      </c>
      <c r="K200" s="6364" t="str">
        <f>IF(J200="","",LEFT(J200,IF(LEN(J200)&lt;=I193,LEN(J200),IFERROR(FIND("§",SUBSTITUTE(LEFT(J200,I193+1)," ","§",LEN(LEFT(J200,I193+1))-LEN(SUBSTITUTE(LEFT(J200,I193+1)," ",""))))-1,IFERROR(FIND(" ",J200,I193+1)-1,LEN(J200))))))</f>
        <v/>
      </c>
      <c r="L200" s="6327"/>
      <c r="M200" s="6329" t="str">
        <v>26.TEST LIGNE 19 colonne Q et ligne 20 colonne P.</v>
      </c>
      <c r="N200" t="s">
        <v>21</v>
      </c>
      <c r="AV200" s="103"/>
      <c r="AW200" s="31"/>
      <c r="AX200" s="32"/>
      <c r="AY200" s="31"/>
      <c r="AZ200" s="33"/>
      <c r="BA200" s="1967"/>
      <c r="BB200" s="1805"/>
      <c r="BC200" s="91"/>
      <c r="BD200" s="1806"/>
      <c r="BE200" s="6401"/>
      <c r="BF200" s="6402"/>
      <c r="BG200" s="1969"/>
      <c r="BH200" s="6403"/>
      <c r="BI200" s="95"/>
      <c r="BJ200" s="1326"/>
      <c r="BK200" s="6404"/>
      <c r="BL200" s="1737"/>
      <c r="BM200" s="2081"/>
      <c r="BN200" s="2238"/>
      <c r="BO200" s="1809"/>
      <c r="BQ200" s="2230"/>
      <c r="BR200" s="3">
        <v>1</v>
      </c>
    </row>
    <row r="201" spans="2:70" ht="21" customHeight="1">
      <c r="B201" s="6236"/>
      <c r="C201" s="6358">
        <f t="shared" si="83"/>
        <v>150</v>
      </c>
      <c r="D201" s="6390" t="str" cm="1">
        <f t="array" ref="D201">IF(MOD(ROW()-50,14)=0,INDEX(D190:D203,MOD(ROW()-50,14)+1),E199)</f>
        <v/>
      </c>
      <c r="E201" s="6391" t="str">
        <f t="shared" si="84"/>
        <v/>
      </c>
      <c r="F201" s="6392" t="str">
        <f t="shared" si="85"/>
        <v/>
      </c>
      <c r="G201" s="6321"/>
      <c r="H201" s="6323" t="str">
        <f t="shared" si="86"/>
        <v/>
      </c>
      <c r="I201" s="6373"/>
      <c r="J201" s="6363" t="str">
        <f t="shared" si="87"/>
        <v/>
      </c>
      <c r="K201" s="6364" t="str">
        <f>IF(J201="","",LEFT(J201,IF(LEN(J201)&lt;=I193,LEN(J201),IFERROR(FIND("§",SUBSTITUTE(LEFT(J201,I193+1)," ","§",LEN(LEFT(J201,I193+1))-LEN(SUBSTITUTE(LEFT(J201,I193+1)," ",""))))-1,IFERROR(FIND(" ",J201,I193+1)-1,LEN(J201))))))</f>
        <v/>
      </c>
      <c r="L201" s="6327"/>
      <c r="M201" s="6329" t="str">
        <v>rechercher la cellule qui coupe le texte Dans la</v>
      </c>
      <c r="N201" t="s">
        <v>21</v>
      </c>
      <c r="AV201" s="103"/>
      <c r="AW201" s="31"/>
      <c r="AX201" s="32"/>
      <c r="AY201" s="31"/>
      <c r="AZ201" s="33"/>
      <c r="BA201" s="1967"/>
      <c r="BB201" s="1805"/>
      <c r="BC201" s="91"/>
      <c r="BD201" s="1806"/>
      <c r="BE201" s="6401"/>
      <c r="BF201" s="6402"/>
      <c r="BG201" s="1969"/>
      <c r="BH201" s="6403"/>
      <c r="BI201" s="95"/>
      <c r="BJ201" s="1326"/>
      <c r="BK201" s="6404"/>
      <c r="BL201" s="1737"/>
      <c r="BM201" s="2081"/>
      <c r="BN201" s="2238"/>
      <c r="BO201" s="1809"/>
      <c r="BQ201" s="2230"/>
      <c r="BR201" s="3">
        <v>1</v>
      </c>
    </row>
    <row r="202" spans="2:70" ht="21" customHeight="1">
      <c r="B202" s="6236"/>
      <c r="C202" s="6358">
        <f t="shared" si="83"/>
        <v>150</v>
      </c>
      <c r="D202" s="6390" t="str" cm="1">
        <f t="array" ref="D202">IF(MOD(ROW()-50,14)=0,INDEX(D190:D203,MOD(ROW()-50,14)+1),E200)</f>
        <v/>
      </c>
      <c r="E202" s="6391" t="str">
        <f t="shared" si="84"/>
        <v/>
      </c>
      <c r="F202" s="6392" t="str">
        <f t="shared" si="85"/>
        <v/>
      </c>
      <c r="G202" s="6321"/>
      <c r="H202" s="6323" t="str">
        <f t="shared" si="86"/>
        <v/>
      </c>
      <c r="I202" s="6373"/>
      <c r="J202" s="6363" t="str">
        <f t="shared" si="87"/>
        <v/>
      </c>
      <c r="K202" s="6364" t="str">
        <f>IF(J202="","",LEFT(J202,IF(LEN(J202)&lt;=I193,LEN(J202),IFERROR(FIND("§",SUBSTITUTE(LEFT(J202,I193+1)," ","§",LEN(LEFT(J202,I193+1))-LEN(SUBSTITUTE(LEFT(J202,I193+1)," ",""))))-1,IFERROR(FIND(" ",J202,I193+1)-1,LEN(J202))))))</f>
        <v/>
      </c>
      <c r="L202" s="6364"/>
      <c r="M202" s="6329" t="str">
        <v>cocotte N°3 en fonte, faites chauffer l’huile d’olive</v>
      </c>
      <c r="N202" t="s">
        <v>21</v>
      </c>
      <c r="AV202" s="103"/>
      <c r="AW202" s="31"/>
      <c r="AX202" s="32"/>
      <c r="AY202" s="31"/>
      <c r="AZ202" s="33"/>
      <c r="BA202" s="1967"/>
      <c r="BB202" s="1805"/>
      <c r="BC202" s="91"/>
      <c r="BD202" s="1806"/>
      <c r="BE202" s="6401"/>
      <c r="BF202" s="6402"/>
      <c r="BG202" s="1969"/>
      <c r="BH202" s="6403"/>
      <c r="BI202" s="95"/>
      <c r="BJ202" s="1326"/>
      <c r="BK202" s="6404"/>
      <c r="BL202" s="1737"/>
      <c r="BM202" s="2081"/>
      <c r="BN202" s="2238"/>
      <c r="BO202" s="1809"/>
      <c r="BQ202" s="2230"/>
      <c r="BR202" s="3">
        <v>1</v>
      </c>
    </row>
    <row r="203" spans="2:70" ht="21" customHeight="1">
      <c r="B203" s="6236"/>
      <c r="C203" s="6376">
        <f t="shared" si="83"/>
        <v>150</v>
      </c>
      <c r="D203" s="6406" t="str" cm="1">
        <f t="array" ref="D203">IF(MOD(ROW()-50,14)=0,INDEX(D190:D203,MOD(ROW()-50,14)+1),E201)</f>
        <v/>
      </c>
      <c r="E203" s="6407" t="str">
        <f t="shared" si="84"/>
        <v/>
      </c>
      <c r="F203" s="6408" t="str">
        <f t="shared" si="85"/>
        <v/>
      </c>
      <c r="G203" s="6322"/>
      <c r="H203" s="6323" t="str">
        <f t="shared" si="86"/>
        <v/>
      </c>
      <c r="I203" s="6379"/>
      <c r="J203" s="6380" t="str">
        <f t="shared" si="87"/>
        <v/>
      </c>
      <c r="K203" s="6381" t="str">
        <f>IF(J203="","",LEFT(J203,IF(LEN(J203)&lt;=I193,LEN(J203),IFERROR(FIND("§",SUBSTITUTE(LEFT(J203,I193+1)," ","§",LEN(LEFT(J203,I193+1))-LEN(SUBSTITUTE(LEFT(J203,I193+1)," ",""))))-1,IFERROR(FIND(" ",J203,I193+1)-1,LEN(J203))))))</f>
        <v/>
      </c>
      <c r="L203" s="6382"/>
      <c r="M203" s="6330" t="str">
        <v>à feu moyen. Ajoutez la viande et faites-la dorer de</v>
      </c>
      <c r="N203" t="s">
        <v>21</v>
      </c>
      <c r="AV203" s="103"/>
      <c r="AW203" s="31"/>
      <c r="AX203" s="32"/>
      <c r="AY203" s="31"/>
      <c r="AZ203" s="33"/>
      <c r="BA203" s="1967"/>
      <c r="BB203" s="1805"/>
      <c r="BC203" s="91"/>
      <c r="BD203" s="1806"/>
      <c r="BE203" s="6401"/>
      <c r="BF203" s="6402"/>
      <c r="BG203" s="1969"/>
      <c r="BH203" s="6403"/>
      <c r="BI203" s="95"/>
      <c r="BJ203" s="1326"/>
      <c r="BK203" s="6404"/>
      <c r="BL203" s="1737"/>
      <c r="BM203" s="2081"/>
      <c r="BN203" s="2238"/>
      <c r="BO203" s="1809"/>
      <c r="BQ203" s="2230"/>
      <c r="BR203" s="3">
        <v>1</v>
      </c>
    </row>
    <row r="204" spans="2:70" ht="21" customHeight="1">
      <c r="B204" s="6236"/>
      <c r="C204" s="6313">
        <f>AD61</f>
        <v>150</v>
      </c>
      <c r="D204" s="6314" t="str">
        <f>IF(UPPER(TRIM(X45))="X",U61,O61)</f>
        <v>12.TEST LIGNE 19 colonne Q et ligne 20 colonne P. rechercher la cellule qui coupe le texte Dans la cocotte N°3 en fonte, faites chauffer l’huile d’olive à feu moyen. Ajoutez la viande et faites-la dorer de tous les côtés. Retirez-la de la cocotte et réservez-la.</v>
      </c>
      <c r="E204" s="6315" t="str">
        <f>IF(D204="","",IF(F204="","",IF(LEN(F204)&gt;=LEN(D204),"",TRIM(MID(D204,LEN(F204)+1,99999)))))</f>
        <v>d’olive à feu moyen. Ajoutez la viande et faites-la dorer de tous les côtés. Retirez-la de la cocotte et réservez-la.</v>
      </c>
      <c r="F204" s="6316" t="str">
        <f>IF(D204="","",IF(LEN(D204)&lt;=C204,D204,IFERROR(LEFT(D204,FIND("§",SUBSTITUTE(LEFT(D204,C204+1)," ","§",LEN(LEFT(D204,C204+1))-LEN(SUBSTITUTE(LEFT(D204,C204+1)," ",""))))-1),LEFT(D204,C204))))</f>
        <v>12.TEST LIGNE 19 colonne Q et ligne 20 colonne P. rechercher la cellule qui coupe le texte Dans la cocotte N°3 en fonte, faites chauffer l’huile</v>
      </c>
      <c r="G204" s="6317"/>
      <c r="H204" s="6385">
        <f>IF(LEN(TRIM(L204))&gt;0,MAX(H203:H203)+1,"")</f>
        <v>1</v>
      </c>
      <c r="I204" s="6324" t="str">
        <f>D204</f>
        <v>12.TEST LIGNE 19 colonne Q et ligne 20 colonne P. rechercher la cellule qui coupe le texte Dans la cocotte N°3 en fonte, faites chauffer l’huile d’olive à feu moyen. Ajoutez la viande et faites-la dorer de tous les côtés. Retirez-la de la cocotte et réservez-la.</v>
      </c>
      <c r="J204" s="6386" t="str">
        <f>IF(I204=0,"",I204)</f>
        <v>12.TEST LIGNE 19 colonne Q et ligne 20 colonne P. rechercher la cellule qui coupe le texte Dans la cocotte N°3 en fonte, faites chauffer l’huile d’olive à feu moyen. Ajoutez la viande et faites-la dorer de tous les côtés. Retirez-la de la cocotte et réservez-la.</v>
      </c>
      <c r="K204" s="6387" t="str">
        <f>IF(I204="","",LEFT(I204,IF(LEN(I204)&lt;=I207,LEN(I204),IFERROR(FIND("§",SUBSTITUTE(LEFT(I204,I207+1)," ","§",LEN(LEFT(I204,I207+1))-LEN(SUBSTITUTE(LEFT(I204,I207+1)," ",""))))-1,IFERROR(FIND(" ",I204,I207+1)-1,LEN(I204))))))</f>
        <v>12.TEST LIGNE 19 colonne Q et ligne 20 colonne P.</v>
      </c>
      <c r="L204" s="6388" t="str" cm="1">
        <f t="array" ref="L204:L209">_xlfn._xlws.FILTER(TRIM(SUBSTITUTE(SUBSTITUTE(SUBSTITUTE(SUBSTITUTE(SUBSTITUTE(CLEAN(K204:K217),CHAR(160)," "),_xlfn.UNICHAR(8239)," "),CHAR(9)," "),CHAR(10)," "),CHAR(13)," ")),TRIM(SUBSTITUTE(SUBSTITUTE(SUBSTITUTE(SUBSTITUTE(SUBSTITUTE(CLEAN(K204:K217),CHAR(160)," "),_xlfn.UNICHAR(8239)," "),CHAR(9)," "),CHAR(10)," "),CHAR(13)," "))&lt;&gt;"")</f>
        <v>12.TEST LIGNE 19 colonne Q et ligne 20 colonne P.</v>
      </c>
      <c r="M204" s="6331" t="str">
        <v>tous les côtés. Retirez-la de la cocotte et</v>
      </c>
      <c r="N204" t="s">
        <v>21</v>
      </c>
      <c r="AV204" s="103"/>
      <c r="AW204" s="31"/>
      <c r="AX204" s="32"/>
      <c r="AY204" s="31"/>
      <c r="AZ204" s="33"/>
      <c r="BA204" s="1967"/>
      <c r="BB204" s="1805"/>
      <c r="BC204" s="91"/>
      <c r="BD204" s="1806"/>
      <c r="BE204" s="6401"/>
      <c r="BF204" s="6402"/>
      <c r="BG204" s="1969"/>
      <c r="BH204" s="6403"/>
      <c r="BI204" s="95"/>
      <c r="BJ204" s="1326"/>
      <c r="BK204" s="6404"/>
      <c r="BL204" s="1737"/>
      <c r="BM204" s="2081"/>
      <c r="BN204" s="2238"/>
      <c r="BO204" s="1809"/>
      <c r="BQ204" s="2230"/>
      <c r="BR204" s="3">
        <v>1</v>
      </c>
    </row>
    <row r="205" spans="2:70" ht="21" customHeight="1">
      <c r="B205" s="6236"/>
      <c r="C205" s="6358">
        <f t="shared" ref="C205:C217" si="88">C204</f>
        <v>150</v>
      </c>
      <c r="D205" s="6359" t="str" cm="1">
        <f t="array" ref="D205">IF(MOD(ROW()-50,14)=0,INDEX(D204:D217,MOD(ROW()-50,14)+1),E203)</f>
        <v/>
      </c>
      <c r="E205" s="6360" t="str">
        <f t="shared" ref="E205:E217" si="89">IF(D205="","",IF(F205="","",IF(LEN(F205)&gt;=LEN(D205),"",TRIM(MID(D205,LEN(F205)+1,99999)))))</f>
        <v/>
      </c>
      <c r="F205" s="6361" t="str">
        <f t="shared" ref="F205:F217" si="90">IF(D205="","",IF(LEN(D205)&lt;=C205,D205,IFERROR(LEFT(D205,FIND("§",SUBSTITUTE(LEFT(D205,C205+1)," ","§",LEN(LEFT(D205,C205+1))-LEN(SUBSTITUTE(LEFT(D205,C205+1)," ",""))))-1),LEFT(D205,C205))))</f>
        <v/>
      </c>
      <c r="G205" s="6318"/>
      <c r="H205" s="6393">
        <f t="shared" ref="H205:H217" si="91">IF(LEN(TRIM(L205))&gt;0,MAX(H204:H204)+1,"")</f>
        <v>2</v>
      </c>
      <c r="I205" s="6394" t="s">
        <v>14355</v>
      </c>
      <c r="J205" s="6395" t="str">
        <f>TRIM(MID(I208,LEN(K204)+1,99999))</f>
        <v>rechercher la cellule qui coupe le texte Dans la cocotte N°3 en fonte, faites chauffer l’huile d’olive à feu moyen. Ajoutez la viande et faites-la dorer de tous les côtés. Retirez-la de la cocotte et réservez-la.</v>
      </c>
      <c r="K205" s="6396" t="str">
        <f>IF(J205="","",LEFT(J205,IF(LEN(J205)&lt;=I207,LEN(J205),IFERROR(FIND("§",SUBSTITUTE(LEFT(J205,I207+1)," ","§",LEN(LEFT(J205,I207+1))-LEN(SUBSTITUTE(LEFT(J205,I207+1)," ",""))))-1,IFERROR(FIND(" ",J205,I207+1)-1,LEN(J205))))))</f>
        <v>rechercher la cellule qui coupe le texte Dans la</v>
      </c>
      <c r="L205" s="6388" t="str">
        <v>rechercher la cellule qui coupe le texte Dans la</v>
      </c>
      <c r="M205" s="6332" t="str">
        <v>réservez-la.</v>
      </c>
      <c r="N205" t="s">
        <v>21</v>
      </c>
      <c r="AV205" s="103"/>
      <c r="AW205" s="31"/>
      <c r="AX205" s="32"/>
      <c r="AY205" s="31"/>
      <c r="AZ205" s="33"/>
      <c r="BA205" s="1967"/>
      <c r="BB205" s="1805"/>
      <c r="BC205" s="91"/>
      <c r="BD205" s="1806"/>
      <c r="BE205" s="6401"/>
      <c r="BF205" s="6402"/>
      <c r="BG205" s="1969"/>
      <c r="BH205" s="6403"/>
      <c r="BI205" s="95"/>
      <c r="BJ205" s="1326"/>
      <c r="BK205" s="6404"/>
      <c r="BL205" s="1737"/>
      <c r="BM205" s="2081"/>
      <c r="BN205" s="2238"/>
      <c r="BO205" s="1809"/>
      <c r="BQ205" s="2230"/>
      <c r="BR205" s="3">
        <v>1</v>
      </c>
    </row>
    <row r="206" spans="2:70" ht="21" customHeight="1">
      <c r="B206" s="6236"/>
      <c r="C206" s="6358">
        <f t="shared" si="88"/>
        <v>150</v>
      </c>
      <c r="D206" s="6359" t="str" cm="1">
        <f t="array" ref="D206">IF(MOD(ROW()-50,14)=0,INDEX(D204:D217,MOD(ROW()-50,14)+1),E204)</f>
        <v>d’olive à feu moyen. Ajoutez la viande et faites-la dorer de tous les côtés. Retirez-la de la cocotte et réservez-la.</v>
      </c>
      <c r="E206" s="6360" t="str">
        <f t="shared" si="89"/>
        <v/>
      </c>
      <c r="F206" s="6361" t="str">
        <f t="shared" si="90"/>
        <v>d’olive à feu moyen. Ajoutez la viande et faites-la dorer de tous les côtés. Retirez-la de la cocotte et réservez-la.</v>
      </c>
      <c r="G206" s="6318"/>
      <c r="H206" s="6393">
        <f t="shared" si="91"/>
        <v>3</v>
      </c>
      <c r="I206" s="6365">
        <f>Z61</f>
        <v>5</v>
      </c>
      <c r="J206" s="6395" t="str">
        <f t="shared" ref="J206:J217" si="92">TRIM(MID(J205,LEN(K205)+1,99999))</f>
        <v>cocotte N°3 en fonte, faites chauffer l’huile d’olive à feu moyen. Ajoutez la viande et faites-la dorer de tous les côtés. Retirez-la de la cocotte et réservez-la.</v>
      </c>
      <c r="K206" s="6396" t="str">
        <f>IF(J206="","",LEFT(J206,IF(LEN(J206)&lt;=I207,LEN(J206),IFERROR(FIND("§",SUBSTITUTE(LEFT(J206,I207+1)," ","§",LEN(LEFT(J206,I207+1))-LEN(SUBSTITUTE(LEFT(J206,I207+1)," ",""))))-1,IFERROR(FIND(" ",J206,I207+1)-1,LEN(J206))))))</f>
        <v>cocotte N°3 en fonte, faites chauffer l’huile d’olive</v>
      </c>
      <c r="L206" s="6388" t="str">
        <v>cocotte N°3 en fonte, faites chauffer l’huile d’olive</v>
      </c>
      <c r="M206" s="6332" t="str">
        <v>27.TEST LIGNE 19 colonne Q et ligne 20 colonne P.</v>
      </c>
      <c r="N206" t="s">
        <v>21</v>
      </c>
      <c r="AV206" s="103"/>
      <c r="AW206" s="31"/>
      <c r="AX206" s="32"/>
      <c r="AY206" s="31"/>
      <c r="AZ206" s="33"/>
      <c r="BA206" s="1967"/>
      <c r="BB206" s="1805"/>
      <c r="BC206" s="91"/>
      <c r="BD206" s="1806"/>
      <c r="BE206" s="6401"/>
      <c r="BF206" s="6402"/>
      <c r="BG206" s="1969"/>
      <c r="BH206" s="6403"/>
      <c r="BI206" s="95"/>
      <c r="BJ206" s="1326"/>
      <c r="BK206" s="6404"/>
      <c r="BL206" s="1737"/>
      <c r="BM206" s="2081"/>
      <c r="BN206" s="2238"/>
      <c r="BO206" s="1809"/>
      <c r="BQ206" s="2230"/>
      <c r="BR206" s="3">
        <v>1</v>
      </c>
    </row>
    <row r="207" spans="2:70" ht="21" customHeight="1">
      <c r="B207" s="6236"/>
      <c r="C207" s="6358">
        <f t="shared" si="88"/>
        <v>150</v>
      </c>
      <c r="D207" s="6359" t="str" cm="1">
        <f t="array" ref="D207">IF(MOD(ROW()-50,14)=0,INDEX(D204:D217,MOD(ROW()-50,14)+1),E205)</f>
        <v/>
      </c>
      <c r="E207" s="6360" t="str">
        <f t="shared" si="89"/>
        <v/>
      </c>
      <c r="F207" s="6361" t="str">
        <f t="shared" si="90"/>
        <v/>
      </c>
      <c r="G207" s="6318"/>
      <c r="H207" s="6393">
        <f t="shared" si="91"/>
        <v>4</v>
      </c>
      <c r="I207" s="6398">
        <f>IF(OR(J204="",I206="",I206&lt;=0),"",ROUNDUP(LEN(J204)/I206,0))</f>
        <v>53</v>
      </c>
      <c r="J207" s="6395" t="str">
        <f t="shared" si="92"/>
        <v>à feu moyen. Ajoutez la viande et faites-la dorer de tous les côtés. Retirez-la de la cocotte et réservez-la.</v>
      </c>
      <c r="K207" s="6396" t="str">
        <f>IF(J207="","",LEFT(J207,IF(LEN(J207)&lt;=I207,LEN(J207),IFERROR(FIND("§",SUBSTITUTE(LEFT(J207,I207+1)," ","§",LEN(LEFT(J207,I207+1))-LEN(SUBSTITUTE(LEFT(J207,I207+1)," ",""))))-1,IFERROR(FIND(" ",J207,I207+1)-1,LEN(J207))))))</f>
        <v>à feu moyen. Ajoutez la viande et faites-la dorer de</v>
      </c>
      <c r="L207" s="6388" t="str">
        <v>à feu moyen. Ajoutez la viande et faites-la dorer de</v>
      </c>
      <c r="M207" s="6332" t="str">
        <v>rechercher la cellule qui coupe le texte Dans la</v>
      </c>
      <c r="N207" t="s">
        <v>21</v>
      </c>
      <c r="AV207" s="103"/>
      <c r="AW207" s="31"/>
      <c r="AX207" s="32"/>
      <c r="AY207" s="31"/>
      <c r="AZ207" s="33"/>
      <c r="BA207" s="1967"/>
      <c r="BB207" s="1805"/>
      <c r="BC207" s="91"/>
      <c r="BD207" s="1806"/>
      <c r="BE207" s="6401"/>
      <c r="BF207" s="6402"/>
      <c r="BG207" s="1969"/>
      <c r="BH207" s="6403"/>
      <c r="BI207" s="95"/>
      <c r="BJ207" s="1326"/>
      <c r="BK207" s="6404"/>
      <c r="BL207" s="1737"/>
      <c r="BM207" s="2081"/>
      <c r="BN207" s="2238"/>
      <c r="BO207" s="1809"/>
      <c r="BQ207" s="2230"/>
      <c r="BR207" s="3">
        <v>1</v>
      </c>
    </row>
    <row r="208" spans="2:70" ht="21" customHeight="1">
      <c r="B208" s="6236"/>
      <c r="C208" s="6358">
        <f t="shared" si="88"/>
        <v>150</v>
      </c>
      <c r="D208" s="6359" t="str" cm="1">
        <f t="array" ref="D208">IF(MOD(ROW()-50,14)=0,INDEX(D204:D217,MOD(ROW()-50,14)+1),E206)</f>
        <v/>
      </c>
      <c r="E208" s="6360" t="str">
        <f t="shared" si="89"/>
        <v/>
      </c>
      <c r="F208" s="6361" t="str">
        <f t="shared" si="90"/>
        <v/>
      </c>
      <c r="G208" s="6318"/>
      <c r="H208" s="6393">
        <f t="shared" si="91"/>
        <v>5</v>
      </c>
      <c r="I208" s="6400" t="str">
        <f>I204</f>
        <v>12.TEST LIGNE 19 colonne Q et ligne 20 colonne P. rechercher la cellule qui coupe le texte Dans la cocotte N°3 en fonte, faites chauffer l’huile d’olive à feu moyen. Ajoutez la viande et faites-la dorer de tous les côtés. Retirez-la de la cocotte et réservez-la.</v>
      </c>
      <c r="J208" s="6395" t="str">
        <f t="shared" si="92"/>
        <v>tous les côtés. Retirez-la de la cocotte et réservez-la.</v>
      </c>
      <c r="K208" s="6396" t="str">
        <f>IF(J208="","",LEFT(J208,IF(LEN(J208)&lt;=I207,LEN(J208),IFERROR(FIND("§",SUBSTITUTE(LEFT(J208,I207+1)," ","§",LEN(LEFT(J208,I207+1))-LEN(SUBSTITUTE(LEFT(J208,I207+1)," ",""))))-1,IFERROR(FIND(" ",J208,I207+1)-1,LEN(J208))))))</f>
        <v>tous les côtés. Retirez-la de la cocotte et</v>
      </c>
      <c r="L208" s="6388" t="str">
        <v>tous les côtés. Retirez-la de la cocotte et</v>
      </c>
      <c r="M208" s="6332" t="str">
        <v>cocotte N°3 en fonte, faites chauffer l’huile d’olive</v>
      </c>
      <c r="N208" t="s">
        <v>21</v>
      </c>
      <c r="AV208" s="103"/>
      <c r="AW208" s="31"/>
      <c r="AX208" s="32"/>
      <c r="AY208" s="31"/>
      <c r="AZ208" s="33"/>
      <c r="BA208" s="1967"/>
      <c r="BB208" s="1805"/>
      <c r="BC208" s="91"/>
      <c r="BD208" s="1806"/>
      <c r="BE208" s="6401"/>
      <c r="BF208" s="6402"/>
      <c r="BG208" s="1969"/>
      <c r="BH208" s="6403"/>
      <c r="BI208" s="95"/>
      <c r="BJ208" s="1326"/>
      <c r="BK208" s="6404"/>
      <c r="BL208" s="1737"/>
      <c r="BM208" s="2081"/>
      <c r="BN208" s="2238"/>
      <c r="BO208" s="1809"/>
      <c r="BQ208" s="2230"/>
      <c r="BR208" s="3">
        <v>1</v>
      </c>
    </row>
    <row r="209" spans="2:70" ht="21" customHeight="1">
      <c r="B209" s="6236"/>
      <c r="C209" s="6358">
        <f t="shared" si="88"/>
        <v>150</v>
      </c>
      <c r="D209" s="6359" t="str" cm="1">
        <f t="array" ref="D209">IF(MOD(ROW()-50,14)=0,INDEX(D204:D217,MOD(ROW()-50,14)+1),E207)</f>
        <v/>
      </c>
      <c r="E209" s="6360" t="str">
        <f t="shared" si="89"/>
        <v/>
      </c>
      <c r="F209" s="6361" t="str">
        <f t="shared" si="90"/>
        <v/>
      </c>
      <c r="G209" s="6318"/>
      <c r="H209" s="6393">
        <f t="shared" si="91"/>
        <v>6</v>
      </c>
      <c r="I209" s="6405"/>
      <c r="J209" s="6395" t="str">
        <f t="shared" si="92"/>
        <v>réservez-la.</v>
      </c>
      <c r="K209" s="6396" t="str">
        <f>IF(J209="","",LEFT(J209,IF(LEN(J209)&lt;=I207,LEN(J209),IFERROR(FIND("§",SUBSTITUTE(LEFT(J209,I207+1)," ","§",LEN(LEFT(J209,I207+1))-LEN(SUBSTITUTE(LEFT(J209,I207+1)," ",""))))-1,IFERROR(FIND(" ",J209,I207+1)-1,LEN(J209))))))</f>
        <v>réservez-la.</v>
      </c>
      <c r="L209" s="6388" t="str">
        <v>réservez-la.</v>
      </c>
      <c r="M209" s="6332" t="str">
        <v>à feu moyen. Ajoutez la viande et faites-la dorer de</v>
      </c>
      <c r="N209" t="s">
        <v>21</v>
      </c>
      <c r="AV209" s="103"/>
      <c r="AW209" s="31"/>
      <c r="AX209" s="32"/>
      <c r="AY209" s="31"/>
      <c r="AZ209" s="33"/>
      <c r="BA209" s="1967"/>
      <c r="BB209" s="1805"/>
      <c r="BC209" s="91"/>
      <c r="BD209" s="1806"/>
      <c r="BE209" s="6401"/>
      <c r="BF209" s="6402"/>
      <c r="BG209" s="1969"/>
      <c r="BH209" s="6403"/>
      <c r="BI209" s="95"/>
      <c r="BJ209" s="1326"/>
      <c r="BK209" s="6404"/>
      <c r="BL209" s="1737"/>
      <c r="BM209" s="2081"/>
      <c r="BN209" s="2238"/>
      <c r="BO209" s="1809"/>
      <c r="BQ209" s="2230"/>
      <c r="BR209" s="3">
        <v>1</v>
      </c>
    </row>
    <row r="210" spans="2:70" ht="21" customHeight="1">
      <c r="B210" s="6236"/>
      <c r="C210" s="6358">
        <f t="shared" si="88"/>
        <v>150</v>
      </c>
      <c r="D210" s="6359" t="str" cm="1">
        <f t="array" ref="D210">IF(MOD(ROW()-50,14)=0,INDEX(D204:D217,MOD(ROW()-50,14)+1),E208)</f>
        <v/>
      </c>
      <c r="E210" s="6360" t="str">
        <f t="shared" si="89"/>
        <v/>
      </c>
      <c r="F210" s="6361" t="str">
        <f t="shared" si="90"/>
        <v/>
      </c>
      <c r="G210" s="6318"/>
      <c r="H210" s="6393" t="str">
        <f t="shared" si="91"/>
        <v/>
      </c>
      <c r="I210" s="6405"/>
      <c r="J210" s="6395" t="str">
        <f t="shared" si="92"/>
        <v/>
      </c>
      <c r="K210" s="6396" t="str">
        <f>IF(J210="","",LEFT(J210,IF(LEN(J210)&lt;=I207,LEN(J210),IFERROR(FIND("§",SUBSTITUTE(LEFT(J210,I207+1)," ","§",LEN(LEFT(J210,I207+1))-LEN(SUBSTITUTE(LEFT(J210,I207+1)," ",""))))-1,IFERROR(FIND(" ",J210,I207+1)-1,LEN(J210))))))</f>
        <v/>
      </c>
      <c r="L210" s="6388"/>
      <c r="M210" s="6332" t="str">
        <v>tous les côtés. Retirez-la de la cocotte et</v>
      </c>
      <c r="N210" t="s">
        <v>21</v>
      </c>
      <c r="AV210" s="103"/>
      <c r="AW210" s="31"/>
      <c r="AX210" s="32"/>
      <c r="AY210" s="31"/>
      <c r="AZ210" s="33"/>
      <c r="BA210" s="1967"/>
      <c r="BB210" s="1805"/>
      <c r="BC210" s="91"/>
      <c r="BD210" s="1806"/>
      <c r="BE210" s="6401"/>
      <c r="BF210" s="6402"/>
      <c r="BG210" s="1969"/>
      <c r="BH210" s="6403"/>
      <c r="BI210" s="95"/>
      <c r="BJ210" s="1326"/>
      <c r="BK210" s="6404"/>
      <c r="BL210" s="1737"/>
      <c r="BM210" s="2081"/>
      <c r="BN210" s="2238"/>
      <c r="BO210" s="1809"/>
      <c r="BQ210" s="2230"/>
      <c r="BR210" s="3">
        <v>1</v>
      </c>
    </row>
    <row r="211" spans="2:70" ht="21" customHeight="1">
      <c r="B211" s="6236"/>
      <c r="C211" s="6358">
        <f t="shared" si="88"/>
        <v>150</v>
      </c>
      <c r="D211" s="6359" t="str" cm="1">
        <f t="array" ref="D211">IF(MOD(ROW()-50,14)=0,INDEX(D204:D217,MOD(ROW()-50,14)+1),E209)</f>
        <v/>
      </c>
      <c r="E211" s="6360" t="str">
        <f t="shared" si="89"/>
        <v/>
      </c>
      <c r="F211" s="6361" t="str">
        <f t="shared" si="90"/>
        <v/>
      </c>
      <c r="G211" s="6318"/>
      <c r="H211" s="6393" t="str">
        <f t="shared" si="91"/>
        <v/>
      </c>
      <c r="I211" s="6405"/>
      <c r="J211" s="6395" t="str">
        <f t="shared" si="92"/>
        <v/>
      </c>
      <c r="K211" s="6396" t="str">
        <f>IF(J211="","",LEFT(J211,IF(LEN(J211)&lt;=I207,LEN(J211),IFERROR(FIND("§",SUBSTITUTE(LEFT(J211,I207+1)," ","§",LEN(LEFT(J211,I207+1))-LEN(SUBSTITUTE(LEFT(J211,I207+1)," ",""))))-1,IFERROR(FIND(" ",J211,I207+1)-1,LEN(J211))))))</f>
        <v/>
      </c>
      <c r="L211" s="6388"/>
      <c r="M211" s="6332" t="str">
        <v>réservez-la.</v>
      </c>
      <c r="N211" t="s">
        <v>21</v>
      </c>
      <c r="AV211" s="103"/>
      <c r="AW211" s="31"/>
      <c r="AX211" s="32"/>
      <c r="AY211" s="31"/>
      <c r="AZ211" s="33"/>
      <c r="BA211" s="1967"/>
      <c r="BB211" s="1805"/>
      <c r="BC211" s="91"/>
      <c r="BD211" s="1806"/>
      <c r="BE211" s="6401"/>
      <c r="BF211" s="6402"/>
      <c r="BG211" s="1969"/>
      <c r="BH211" s="6403"/>
      <c r="BI211" s="95"/>
      <c r="BJ211" s="1326"/>
      <c r="BK211" s="6404"/>
      <c r="BL211" s="1737"/>
      <c r="BM211" s="2081"/>
      <c r="BN211" s="2238"/>
      <c r="BO211" s="1809"/>
      <c r="BQ211" s="2230"/>
      <c r="BR211" s="3">
        <v>1</v>
      </c>
    </row>
    <row r="212" spans="2:70" ht="21" customHeight="1">
      <c r="B212" s="6236"/>
      <c r="C212" s="6358">
        <f t="shared" si="88"/>
        <v>150</v>
      </c>
      <c r="D212" s="6359" t="str" cm="1">
        <f t="array" ref="D212">IF(MOD(ROW()-50,14)=0,INDEX(D204:D217,MOD(ROW()-50,14)+1),E210)</f>
        <v/>
      </c>
      <c r="E212" s="6360" t="str">
        <f t="shared" si="89"/>
        <v/>
      </c>
      <c r="F212" s="6361" t="str">
        <f t="shared" si="90"/>
        <v/>
      </c>
      <c r="G212" s="6318"/>
      <c r="H212" s="6393" t="str">
        <f t="shared" si="91"/>
        <v/>
      </c>
      <c r="I212" s="6405"/>
      <c r="J212" s="6395" t="str">
        <f t="shared" si="92"/>
        <v/>
      </c>
      <c r="K212" s="6396" t="str">
        <f>IF(J212="","",LEFT(J212,IF(LEN(J212)&lt;=I207,LEN(J212),IFERROR(FIND("§",SUBSTITUTE(LEFT(J212,I207+1)," ","§",LEN(LEFT(J212,I207+1))-LEN(SUBSTITUTE(LEFT(J212,I207+1)," ",""))))-1,IFERROR(FIND(" ",J212,I207+1)-1,LEN(J212))))))</f>
        <v/>
      </c>
      <c r="L212" s="6388"/>
      <c r="M212" s="6332" t="str">
        <v>28.TEST LIGNE 19 colonne Q et ligne 20 colonne P.</v>
      </c>
      <c r="N212" t="s">
        <v>21</v>
      </c>
      <c r="AV212" s="103"/>
      <c r="AW212" s="31"/>
      <c r="AX212" s="32"/>
      <c r="AY212" s="31"/>
      <c r="AZ212" s="33"/>
      <c r="BA212" s="1967"/>
      <c r="BB212" s="1805"/>
      <c r="BC212" s="91"/>
      <c r="BD212" s="1806"/>
      <c r="BE212" s="6401"/>
      <c r="BF212" s="6402"/>
      <c r="BG212" s="1969"/>
      <c r="BH212" s="6403"/>
      <c r="BI212" s="95"/>
      <c r="BJ212" s="1326"/>
      <c r="BK212" s="6404"/>
      <c r="BL212" s="1737"/>
      <c r="BM212" s="2081"/>
      <c r="BN212" s="2238"/>
      <c r="BO212" s="1809"/>
      <c r="BQ212" s="2230"/>
      <c r="BR212" s="3">
        <v>1</v>
      </c>
    </row>
    <row r="213" spans="2:70" ht="21" customHeight="1">
      <c r="B213" s="6236"/>
      <c r="C213" s="6358">
        <f t="shared" si="88"/>
        <v>150</v>
      </c>
      <c r="D213" s="6359" t="str" cm="1">
        <f t="array" ref="D213">IF(MOD(ROW()-50,14)=0,INDEX(D204:D217,MOD(ROW()-50,14)+1),E211)</f>
        <v/>
      </c>
      <c r="E213" s="6360" t="str">
        <f t="shared" si="89"/>
        <v/>
      </c>
      <c r="F213" s="6361" t="str">
        <f t="shared" si="90"/>
        <v/>
      </c>
      <c r="G213" s="6318"/>
      <c r="H213" s="6393" t="str">
        <f t="shared" si="91"/>
        <v/>
      </c>
      <c r="I213" s="6405"/>
      <c r="J213" s="6395" t="str">
        <f t="shared" si="92"/>
        <v/>
      </c>
      <c r="K213" s="6396" t="str">
        <f>IF(J213="","",LEFT(J213,IF(LEN(J213)&lt;=I207,LEN(J213),IFERROR(FIND("§",SUBSTITUTE(LEFT(J213,I207+1)," ","§",LEN(LEFT(J213,I207+1))-LEN(SUBSTITUTE(LEFT(J213,I207+1)," ",""))))-1,IFERROR(FIND(" ",J213,I207+1)-1,LEN(J213))))))</f>
        <v/>
      </c>
      <c r="L213" s="6388"/>
      <c r="M213" s="6332" t="str">
        <v>rechercher la cellule qui coupe le texte Dans la</v>
      </c>
      <c r="N213" t="s">
        <v>21</v>
      </c>
      <c r="AV213" s="103"/>
      <c r="AW213" s="31"/>
      <c r="AX213" s="32"/>
      <c r="AY213" s="31"/>
      <c r="AZ213" s="33"/>
      <c r="BA213" s="1967"/>
      <c r="BB213" s="1805"/>
      <c r="BC213" s="91"/>
      <c r="BD213" s="1806"/>
      <c r="BE213" s="6401"/>
      <c r="BF213" s="6402"/>
      <c r="BG213" s="1969"/>
      <c r="BH213" s="6403"/>
      <c r="BI213" s="95"/>
      <c r="BJ213" s="1326"/>
      <c r="BK213" s="6404"/>
      <c r="BL213" s="1737"/>
      <c r="BM213" s="2081"/>
      <c r="BN213" s="2238"/>
      <c r="BO213" s="1809"/>
      <c r="BQ213" s="2230"/>
      <c r="BR213" s="3">
        <v>1</v>
      </c>
    </row>
    <row r="214" spans="2:70" ht="21" customHeight="1">
      <c r="B214" s="6236"/>
      <c r="C214" s="6358">
        <f t="shared" si="88"/>
        <v>150</v>
      </c>
      <c r="D214" s="6359" t="str" cm="1">
        <f t="array" ref="D214">IF(MOD(ROW()-50,14)=0,INDEX(D204:D217,MOD(ROW()-50,14)+1),E212)</f>
        <v/>
      </c>
      <c r="E214" s="6360" t="str">
        <f t="shared" si="89"/>
        <v/>
      </c>
      <c r="F214" s="6361" t="str">
        <f t="shared" si="90"/>
        <v/>
      </c>
      <c r="G214" s="6318"/>
      <c r="H214" s="6393" t="str">
        <f t="shared" si="91"/>
        <v/>
      </c>
      <c r="I214" s="6405"/>
      <c r="J214" s="6395" t="str">
        <f t="shared" si="92"/>
        <v/>
      </c>
      <c r="K214" s="6396" t="str">
        <f>IF(J214="","",LEFT(J214,IF(LEN(J214)&lt;=I207,LEN(J214),IFERROR(FIND("§",SUBSTITUTE(LEFT(J214,I207+1)," ","§",LEN(LEFT(J214,I207+1))-LEN(SUBSTITUTE(LEFT(J214,I207+1)," ",""))))-1,IFERROR(FIND(" ",J214,I207+1)-1,LEN(J214))))))</f>
        <v/>
      </c>
      <c r="L214" s="6388"/>
      <c r="M214" s="6332" t="str">
        <v>cocotte N°3 en fonte, faites chauffer l’huile d’olive</v>
      </c>
      <c r="N214" t="s">
        <v>21</v>
      </c>
      <c r="AV214" s="103"/>
      <c r="AW214" s="31"/>
      <c r="AX214" s="32"/>
      <c r="AY214" s="31"/>
      <c r="AZ214" s="33"/>
      <c r="BA214" s="1967"/>
      <c r="BB214" s="1805"/>
      <c r="BC214" s="91"/>
      <c r="BD214" s="1806"/>
      <c r="BE214" s="6401"/>
      <c r="BF214" s="6402"/>
      <c r="BG214" s="1969"/>
      <c r="BH214" s="6403"/>
      <c r="BI214" s="95"/>
      <c r="BJ214" s="1326"/>
      <c r="BK214" s="6404"/>
      <c r="BL214" s="1737"/>
      <c r="BM214" s="2081"/>
      <c r="BN214" s="2238"/>
      <c r="BO214" s="1809"/>
      <c r="BQ214" s="2230"/>
      <c r="BR214" s="3">
        <v>1</v>
      </c>
    </row>
    <row r="215" spans="2:70" ht="21" customHeight="1">
      <c r="B215" s="6236"/>
      <c r="C215" s="6358">
        <f t="shared" si="88"/>
        <v>150</v>
      </c>
      <c r="D215" s="6359" t="str" cm="1">
        <f t="array" ref="D215">IF(MOD(ROW()-50,14)=0,INDEX(D204:D217,MOD(ROW()-50,14)+1),E213)</f>
        <v/>
      </c>
      <c r="E215" s="6360" t="str">
        <f t="shared" si="89"/>
        <v/>
      </c>
      <c r="F215" s="6361" t="str">
        <f t="shared" si="90"/>
        <v/>
      </c>
      <c r="G215" s="6318"/>
      <c r="H215" s="6393" t="str">
        <f t="shared" si="91"/>
        <v/>
      </c>
      <c r="I215" s="6405"/>
      <c r="J215" s="6395" t="str">
        <f t="shared" si="92"/>
        <v/>
      </c>
      <c r="K215" s="6396" t="str">
        <f>IF(J215="","",LEFT(J215,IF(LEN(J215)&lt;=I207,LEN(J215),IFERROR(FIND("§",SUBSTITUTE(LEFT(J215,I207+1)," ","§",LEN(LEFT(J215,I207+1))-LEN(SUBSTITUTE(LEFT(J215,I207+1)," ",""))))-1,IFERROR(FIND(" ",J215,I207+1)-1,LEN(J215))))))</f>
        <v/>
      </c>
      <c r="L215" s="6388"/>
      <c r="M215" s="6332" t="str">
        <v>à feu moyen. Ajoutez la viande et faites-la dorer de</v>
      </c>
      <c r="N215" t="s">
        <v>21</v>
      </c>
      <c r="AV215" s="103"/>
      <c r="AW215" s="31"/>
      <c r="AX215" s="32"/>
      <c r="AY215" s="31"/>
      <c r="AZ215" s="33"/>
      <c r="BA215" s="1967"/>
      <c r="BB215" s="1805"/>
      <c r="BC215" s="91"/>
      <c r="BD215" s="1806"/>
      <c r="BE215" s="6401"/>
      <c r="BF215" s="6402"/>
      <c r="BG215" s="1969"/>
      <c r="BH215" s="6403"/>
      <c r="BI215" s="95"/>
      <c r="BJ215" s="1326"/>
      <c r="BK215" s="6404"/>
      <c r="BL215" s="1737"/>
      <c r="BM215" s="2081"/>
      <c r="BN215" s="2238"/>
      <c r="BO215" s="1809"/>
      <c r="BQ215" s="2230"/>
      <c r="BR215" s="3">
        <v>1</v>
      </c>
    </row>
    <row r="216" spans="2:70" ht="21" customHeight="1">
      <c r="B216" s="6236"/>
      <c r="C216" s="6358">
        <f t="shared" si="88"/>
        <v>150</v>
      </c>
      <c r="D216" s="6359" t="str" cm="1">
        <f t="array" ref="D216">IF(MOD(ROW()-50,14)=0,INDEX(D204:D217,MOD(ROW()-50,14)+1),E214)</f>
        <v/>
      </c>
      <c r="E216" s="6360" t="str">
        <f t="shared" si="89"/>
        <v/>
      </c>
      <c r="F216" s="6361" t="str">
        <f t="shared" si="90"/>
        <v/>
      </c>
      <c r="G216" s="6318"/>
      <c r="H216" s="6393" t="str">
        <f t="shared" si="91"/>
        <v/>
      </c>
      <c r="I216" s="6405"/>
      <c r="J216" s="6395" t="str">
        <f t="shared" si="92"/>
        <v/>
      </c>
      <c r="K216" s="6396" t="str">
        <f>IF(J216="","",LEFT(J216,IF(LEN(J216)&lt;=I207,LEN(J216),IFERROR(FIND("§",SUBSTITUTE(LEFT(J216,I207+1)," ","§",LEN(LEFT(J216,I207+1))-LEN(SUBSTITUTE(LEFT(J216,I207+1)," ",""))))-1,IFERROR(FIND(" ",J216,I207+1)-1,LEN(J216))))))</f>
        <v/>
      </c>
      <c r="L216" s="6396"/>
      <c r="M216" s="6332" t="str">
        <v>tous les côtés. Retirez-la de la cocotte et</v>
      </c>
      <c r="N216" t="s">
        <v>21</v>
      </c>
      <c r="AV216" s="103"/>
      <c r="AW216" s="31"/>
      <c r="AX216" s="32"/>
      <c r="AY216" s="31"/>
      <c r="AZ216" s="33"/>
      <c r="BA216" s="1967"/>
      <c r="BB216" s="1805"/>
      <c r="BC216" s="91"/>
      <c r="BD216" s="1806"/>
      <c r="BE216" s="6401"/>
      <c r="BF216" s="6402"/>
      <c r="BG216" s="1969"/>
      <c r="BH216" s="6403"/>
      <c r="BI216" s="95"/>
      <c r="BJ216" s="1326"/>
      <c r="BK216" s="6404"/>
      <c r="BL216" s="1737"/>
      <c r="BM216" s="2081"/>
      <c r="BN216" s="2238"/>
      <c r="BO216" s="1809"/>
      <c r="BQ216" s="2230"/>
      <c r="BR216" s="3">
        <v>1</v>
      </c>
    </row>
    <row r="217" spans="2:70" ht="21" customHeight="1">
      <c r="B217" s="6236"/>
      <c r="C217" s="6376">
        <f t="shared" si="88"/>
        <v>150</v>
      </c>
      <c r="D217" s="6414" t="str" cm="1">
        <f t="array" ref="D217">IF(MOD(ROW()-50,14)=0,INDEX(D204:D217,MOD(ROW()-50,14)+1),E215)</f>
        <v/>
      </c>
      <c r="E217" s="6377" t="str">
        <f t="shared" si="89"/>
        <v/>
      </c>
      <c r="F217" s="6378" t="str">
        <f t="shared" si="90"/>
        <v/>
      </c>
      <c r="G217" s="6319"/>
      <c r="H217" s="6409" t="str">
        <f t="shared" si="91"/>
        <v/>
      </c>
      <c r="I217" s="6410"/>
      <c r="J217" s="6411" t="str">
        <f t="shared" si="92"/>
        <v/>
      </c>
      <c r="K217" s="6412" t="str">
        <f>IF(J217="","",LEFT(J217,IF(LEN(J217)&lt;=I207,LEN(J217),IFERROR(FIND("§",SUBSTITUTE(LEFT(J217,I207+1)," ","§",LEN(LEFT(J217,I207+1))-LEN(SUBSTITUTE(LEFT(J217,I207+1)," ",""))))-1,IFERROR(FIND(" ",J217,I207+1)-1,LEN(J217))))))</f>
        <v/>
      </c>
      <c r="L217" s="6413"/>
      <c r="M217" s="6333" t="str">
        <v>réservez-la.</v>
      </c>
      <c r="N217" t="s">
        <v>21</v>
      </c>
      <c r="AV217" s="103"/>
      <c r="AW217" s="31"/>
      <c r="AX217" s="32"/>
      <c r="AY217" s="31"/>
      <c r="AZ217" s="33"/>
      <c r="BA217" s="1967"/>
      <c r="BB217" s="1805"/>
      <c r="BC217" s="91"/>
      <c r="BD217" s="1806"/>
      <c r="BE217" s="6401"/>
      <c r="BF217" s="6402"/>
      <c r="BG217" s="1969"/>
      <c r="BH217" s="6403"/>
      <c r="BI217" s="95"/>
      <c r="BJ217" s="1326"/>
      <c r="BK217" s="6404"/>
      <c r="BL217" s="1737"/>
      <c r="BM217" s="2081"/>
      <c r="BN217" s="2238"/>
      <c r="BO217" s="1809"/>
      <c r="BQ217" s="2230"/>
      <c r="BR217" s="3">
        <v>1</v>
      </c>
    </row>
    <row r="218" spans="2:70" ht="21" customHeight="1">
      <c r="B218" s="6236"/>
      <c r="C218" s="6313">
        <f>AD62</f>
        <v>150</v>
      </c>
      <c r="D218" s="6314" t="str">
        <f>IF(UPPER(TRIM(X45))="X",U62,O62)</f>
        <v>13.TEST LIGNE 19 colonne Q et ligne 20 colonne P. rechercher la cellule qui coupe le texte Dans la cocotte N°3 en fonte, faites chauffer l’huile d’olive à feu moyen. Ajoutez la viande et faites-la dorer de tous les côtés. Retirez-la de la cocotte et réservez-la.</v>
      </c>
      <c r="E218" s="6383" t="str">
        <f>IF(D218="","",IF(F218="","",IF(LEN(F218)&gt;=LEN(D218),"",TRIM(MID(D218,LEN(F218)+1,99999)))))</f>
        <v>d’olive à feu moyen. Ajoutez la viande et faites-la dorer de tous les côtés. Retirez-la de la cocotte et réservez-la.</v>
      </c>
      <c r="F218" s="6384" t="str">
        <f>IF(D218="","",IF(LEN(D218)&lt;=C218,D218,IFERROR(LEFT(D218,FIND("§",SUBSTITUTE(LEFT(D218,C218+1)," ","§",LEN(LEFT(D218,C218+1))-LEN(SUBSTITUTE(LEFT(D218,C218+1)," ",""))))-1),LEFT(D218,C218))))</f>
        <v>13.TEST LIGNE 19 colonne Q et ligne 20 colonne P. rechercher la cellule qui coupe le texte Dans la cocotte N°3 en fonte, faites chauffer l’huile</v>
      </c>
      <c r="G218" s="6320"/>
      <c r="H218" s="6323">
        <f>IF(LEN(TRIM(L218))&gt;0,MAX(H217:H217)+1,"")</f>
        <v>1</v>
      </c>
      <c r="I218" s="6324" t="str">
        <f>D218</f>
        <v>13.TEST LIGNE 19 colonne Q et ligne 20 colonne P. rechercher la cellule qui coupe le texte Dans la cocotte N°3 en fonte, faites chauffer l’huile d’olive à feu moyen. Ajoutez la viande et faites-la dorer de tous les côtés. Retirez-la de la cocotte et réservez-la.</v>
      </c>
      <c r="J218" s="6325" t="str">
        <f>IF(I218=0,"",I218)</f>
        <v>13.TEST LIGNE 19 colonne Q et ligne 20 colonne P. rechercher la cellule qui coupe le texte Dans la cocotte N°3 en fonte, faites chauffer l’huile d’olive à feu moyen. Ajoutez la viande et faites-la dorer de tous les côtés. Retirez-la de la cocotte et réservez-la.</v>
      </c>
      <c r="K218" s="6326" t="str">
        <f>IF(I218="","",LEFT(I218,IF(LEN(I218)&lt;=I221,LEN(I218),IFERROR(FIND("§",SUBSTITUTE(LEFT(I218,I221+1)," ","§",LEN(LEFT(I218,I221+1))-LEN(SUBSTITUTE(LEFT(I218,I221+1)," ",""))))-1,IFERROR(FIND(" ",I218,I221+1)-1,LEN(I218))))))</f>
        <v>13.TEST LIGNE 19 colonne Q et ligne 20 colonne P.</v>
      </c>
      <c r="L218" s="6326" t="str" cm="1">
        <f t="array" ref="L218:L223">_xlfn._xlws.FILTER(TRIM(SUBSTITUTE(SUBSTITUTE(SUBSTITUTE(SUBSTITUTE(SUBSTITUTE(CLEAN(K218:K231),CHAR(160)," "),_xlfn.UNICHAR(8239)," "),CHAR(9)," "),CHAR(10)," "),CHAR(13)," ")),TRIM(SUBSTITUTE(SUBSTITUTE(SUBSTITUTE(SUBSTITUTE(SUBSTITUTE(CLEAN(K218:K231),CHAR(160)," "),_xlfn.UNICHAR(8239)," "),CHAR(9)," "),CHAR(10)," "),CHAR(13)," "))&lt;&gt;"")</f>
        <v>13.TEST LIGNE 19 colonne Q et ligne 20 colonne P.</v>
      </c>
      <c r="M218" s="6328" t="str">
        <v>29.TEST LIGNE 19 colonne Q et ligne 20 colonne P.</v>
      </c>
      <c r="N218" t="s">
        <v>21</v>
      </c>
      <c r="AV218" s="103"/>
      <c r="AW218" s="31"/>
      <c r="AX218" s="32"/>
      <c r="AY218" s="31"/>
      <c r="AZ218" s="33"/>
      <c r="BA218" s="1967"/>
      <c r="BB218" s="1805"/>
      <c r="BC218" s="91"/>
      <c r="BD218" s="1806"/>
      <c r="BE218" s="6401"/>
      <c r="BF218" s="6402"/>
      <c r="BG218" s="1969"/>
      <c r="BH218" s="6403"/>
      <c r="BI218" s="95"/>
      <c r="BJ218" s="1326"/>
      <c r="BK218" s="6404"/>
      <c r="BL218" s="1737"/>
      <c r="BM218" s="2081"/>
      <c r="BN218" s="2238"/>
      <c r="BO218" s="1809"/>
      <c r="BQ218" s="2230"/>
      <c r="BR218" s="3">
        <v>1</v>
      </c>
    </row>
    <row r="219" spans="2:70" ht="21" customHeight="1">
      <c r="B219" s="6236"/>
      <c r="C219" s="6358">
        <f t="shared" ref="C219:C231" si="93">C218</f>
        <v>150</v>
      </c>
      <c r="D219" s="6390" t="str" cm="1">
        <f t="array" ref="D219">IF(MOD(ROW()-50,14)=0,INDEX(D218:D231,MOD(ROW()-50,14)+1),E217)</f>
        <v/>
      </c>
      <c r="E219" s="6391" t="str">
        <f t="shared" ref="E219:E231" si="94">IF(D219="","",IF(F219="","",IF(LEN(F219)&gt;=LEN(D219),"",TRIM(MID(D219,LEN(F219)+1,99999)))))</f>
        <v/>
      </c>
      <c r="F219" s="6392" t="str">
        <f t="shared" ref="F219:F231" si="95">IF(D219="","",IF(LEN(D219)&lt;=C219,D219,IFERROR(LEFT(D219,FIND("§",SUBSTITUTE(LEFT(D219,C219+1)," ","§",LEN(LEFT(D219,C219+1))-LEN(SUBSTITUTE(LEFT(D219,C219+1)," ",""))))-1),LEFT(D219,C219))))</f>
        <v/>
      </c>
      <c r="G219" s="6321"/>
      <c r="H219" s="6323">
        <f t="shared" ref="H219:H231" si="96">IF(LEN(TRIM(L219))&gt;0,MAX(H218:H218)+1,"")</f>
        <v>2</v>
      </c>
      <c r="I219" s="6362" t="s">
        <v>14355</v>
      </c>
      <c r="J219" s="6363" t="str">
        <f>TRIM(MID(I222,LEN(K218)+1,99999))</f>
        <v>rechercher la cellule qui coupe le texte Dans la cocotte N°3 en fonte, faites chauffer l’huile d’olive à feu moyen. Ajoutez la viande et faites-la dorer de tous les côtés. Retirez-la de la cocotte et réservez-la.</v>
      </c>
      <c r="K219" s="6364" t="str">
        <f>IF(J219="","",LEFT(J219,IF(LEN(J219)&lt;=I221,LEN(J219),IFERROR(FIND("§",SUBSTITUTE(LEFT(J219,I221+1)," ","§",LEN(LEFT(J219,I221+1))-LEN(SUBSTITUTE(LEFT(J219,I221+1)," ",""))))-1,IFERROR(FIND(" ",J219,I221+1)-1,LEN(J219))))))</f>
        <v>rechercher la cellule qui coupe le texte Dans la</v>
      </c>
      <c r="L219" s="6327" t="str">
        <v>rechercher la cellule qui coupe le texte Dans la</v>
      </c>
      <c r="M219" s="6329" t="str">
        <v>rechercher la cellule qui coupe le texte Dans la</v>
      </c>
      <c r="N219" t="s">
        <v>21</v>
      </c>
      <c r="AV219" s="103"/>
      <c r="AW219" s="31"/>
      <c r="AX219" s="32"/>
      <c r="AY219" s="31"/>
      <c r="AZ219" s="33"/>
      <c r="BA219" s="1967"/>
      <c r="BB219" s="1805"/>
      <c r="BC219" s="91"/>
      <c r="BD219" s="1806"/>
      <c r="BE219" s="6401"/>
      <c r="BF219" s="6402"/>
      <c r="BG219" s="1969"/>
      <c r="BH219" s="6403"/>
      <c r="BI219" s="95"/>
      <c r="BJ219" s="1326"/>
      <c r="BK219" s="6404"/>
      <c r="BL219" s="1737"/>
      <c r="BM219" s="2081"/>
      <c r="BN219" s="2238"/>
      <c r="BO219" s="1809"/>
      <c r="BQ219" s="2230"/>
      <c r="BR219" s="3">
        <v>1</v>
      </c>
    </row>
    <row r="220" spans="2:70" ht="21" customHeight="1">
      <c r="B220" s="6236"/>
      <c r="C220" s="6358">
        <f t="shared" si="93"/>
        <v>150</v>
      </c>
      <c r="D220" s="6390" t="str" cm="1">
        <f t="array" ref="D220">IF(MOD(ROW()-50,14)=0,INDEX(D218:D231,MOD(ROW()-50,14)+1),E218)</f>
        <v>d’olive à feu moyen. Ajoutez la viande et faites-la dorer de tous les côtés. Retirez-la de la cocotte et réservez-la.</v>
      </c>
      <c r="E220" s="6391" t="str">
        <f t="shared" si="94"/>
        <v/>
      </c>
      <c r="F220" s="6392" t="str">
        <f t="shared" si="95"/>
        <v>d’olive à feu moyen. Ajoutez la viande et faites-la dorer de tous les côtés. Retirez-la de la cocotte et réservez-la.</v>
      </c>
      <c r="G220" s="6321"/>
      <c r="H220" s="6323">
        <f t="shared" si="96"/>
        <v>3</v>
      </c>
      <c r="I220" s="6365">
        <f>Z62</f>
        <v>5</v>
      </c>
      <c r="J220" s="6363" t="str">
        <f t="shared" ref="J220:J231" si="97">TRIM(MID(J219,LEN(K219)+1,99999))</f>
        <v>cocotte N°3 en fonte, faites chauffer l’huile d’olive à feu moyen. Ajoutez la viande et faites-la dorer de tous les côtés. Retirez-la de la cocotte et réservez-la.</v>
      </c>
      <c r="K220" s="6364" t="str">
        <f>IF(J220="","",LEFT(J220,IF(LEN(J220)&lt;=I221,LEN(J220),IFERROR(FIND("§",SUBSTITUTE(LEFT(J220,I221+1)," ","§",LEN(LEFT(J220,I221+1))-LEN(SUBSTITUTE(LEFT(J220,I221+1)," ",""))))-1,IFERROR(FIND(" ",J220,I221+1)-1,LEN(J220))))))</f>
        <v>cocotte N°3 en fonte, faites chauffer l’huile d’olive</v>
      </c>
      <c r="L220" s="6327" t="str">
        <v>cocotte N°3 en fonte, faites chauffer l’huile d’olive</v>
      </c>
      <c r="M220" s="6329" t="str">
        <v>cocotte N°3 en fonte, faites chauffer l’huile d’olive</v>
      </c>
      <c r="N220" t="s">
        <v>21</v>
      </c>
      <c r="AV220" s="103"/>
      <c r="AW220" s="31"/>
      <c r="AX220" s="32"/>
      <c r="AY220" s="31"/>
      <c r="AZ220" s="33"/>
      <c r="BA220" s="1967"/>
      <c r="BB220" s="1805"/>
      <c r="BC220" s="91"/>
      <c r="BD220" s="1806"/>
      <c r="BE220" s="6401"/>
      <c r="BF220" s="6402"/>
      <c r="BG220" s="1969"/>
      <c r="BH220" s="6403"/>
      <c r="BI220" s="95"/>
      <c r="BJ220" s="1326"/>
      <c r="BK220" s="6404"/>
      <c r="BL220" s="1737"/>
      <c r="BM220" s="2081"/>
      <c r="BN220" s="2238"/>
      <c r="BO220" s="1809"/>
      <c r="BQ220" s="2230"/>
      <c r="BR220" s="3">
        <v>1</v>
      </c>
    </row>
    <row r="221" spans="2:70" ht="21" customHeight="1">
      <c r="B221" s="6236"/>
      <c r="C221" s="6358">
        <f t="shared" si="93"/>
        <v>150</v>
      </c>
      <c r="D221" s="6390" t="str" cm="1">
        <f t="array" ref="D221">IF(MOD(ROW()-50,14)=0,INDEX(D218:D231,MOD(ROW()-50,14)+1),E219)</f>
        <v/>
      </c>
      <c r="E221" s="6391" t="str">
        <f t="shared" si="94"/>
        <v/>
      </c>
      <c r="F221" s="6392" t="str">
        <f t="shared" si="95"/>
        <v/>
      </c>
      <c r="G221" s="6321"/>
      <c r="H221" s="6323">
        <f t="shared" si="96"/>
        <v>4</v>
      </c>
      <c r="I221" s="6370">
        <f>IF(OR(J218="",I220="",I220&lt;=0),"",ROUNDUP(LEN(J218)/I220,0))</f>
        <v>53</v>
      </c>
      <c r="J221" s="6363" t="str">
        <f t="shared" si="97"/>
        <v>à feu moyen. Ajoutez la viande et faites-la dorer de tous les côtés. Retirez-la de la cocotte et réservez-la.</v>
      </c>
      <c r="K221" s="6364" t="str">
        <f>IF(J221="","",LEFT(J221,IF(LEN(J221)&lt;=I221,LEN(J221),IFERROR(FIND("§",SUBSTITUTE(LEFT(J221,I221+1)," ","§",LEN(LEFT(J221,I221+1))-LEN(SUBSTITUTE(LEFT(J221,I221+1)," ",""))))-1,IFERROR(FIND(" ",J221,I221+1)-1,LEN(J221))))))</f>
        <v>à feu moyen. Ajoutez la viande et faites-la dorer de</v>
      </c>
      <c r="L221" s="6327" t="str">
        <v>à feu moyen. Ajoutez la viande et faites-la dorer de</v>
      </c>
      <c r="M221" s="6329" t="str">
        <v>à feu moyen. Ajoutez la viande et faites-la dorer de</v>
      </c>
      <c r="N221" t="s">
        <v>21</v>
      </c>
      <c r="AV221" s="103"/>
      <c r="AW221" s="31"/>
      <c r="AX221" s="32"/>
      <c r="AY221" s="31"/>
      <c r="AZ221" s="33"/>
      <c r="BA221" s="1967"/>
      <c r="BB221" s="1805"/>
      <c r="BC221" s="91"/>
      <c r="BD221" s="1806"/>
      <c r="BE221" s="6401"/>
      <c r="BF221" s="6402"/>
      <c r="BG221" s="1969"/>
      <c r="BH221" s="6403"/>
      <c r="BI221" s="95"/>
      <c r="BJ221" s="1326"/>
      <c r="BK221" s="6404"/>
      <c r="BL221" s="1737"/>
      <c r="BM221" s="2081"/>
      <c r="BN221" s="2238"/>
      <c r="BO221" s="1809"/>
      <c r="BQ221" s="2230"/>
      <c r="BR221" s="3">
        <v>1</v>
      </c>
    </row>
    <row r="222" spans="2:70" ht="21" customHeight="1">
      <c r="B222" s="6236"/>
      <c r="C222" s="6358">
        <f t="shared" si="93"/>
        <v>150</v>
      </c>
      <c r="D222" s="6390" t="str" cm="1">
        <f t="array" ref="D222">IF(MOD(ROW()-50,14)=0,INDEX(D218:D231,MOD(ROW()-50,14)+1),E220)</f>
        <v/>
      </c>
      <c r="E222" s="6391" t="str">
        <f t="shared" si="94"/>
        <v/>
      </c>
      <c r="F222" s="6392" t="str">
        <f t="shared" si="95"/>
        <v/>
      </c>
      <c r="G222" s="6321"/>
      <c r="H222" s="6323">
        <f t="shared" si="96"/>
        <v>5</v>
      </c>
      <c r="I222" s="6372" t="str">
        <f>I218</f>
        <v>13.TEST LIGNE 19 colonne Q et ligne 20 colonne P. rechercher la cellule qui coupe le texte Dans la cocotte N°3 en fonte, faites chauffer l’huile d’olive à feu moyen. Ajoutez la viande et faites-la dorer de tous les côtés. Retirez-la de la cocotte et réservez-la.</v>
      </c>
      <c r="J222" s="6363" t="str">
        <f t="shared" si="97"/>
        <v>tous les côtés. Retirez-la de la cocotte et réservez-la.</v>
      </c>
      <c r="K222" s="6364" t="str">
        <f>IF(J222="","",LEFT(J222,IF(LEN(J222)&lt;=I221,LEN(J222),IFERROR(FIND("§",SUBSTITUTE(LEFT(J222,I221+1)," ","§",LEN(LEFT(J222,I221+1))-LEN(SUBSTITUTE(LEFT(J222,I221+1)," ",""))))-1,IFERROR(FIND(" ",J222,I221+1)-1,LEN(J222))))))</f>
        <v>tous les côtés. Retirez-la de la cocotte et</v>
      </c>
      <c r="L222" s="6327" t="str">
        <v>tous les côtés. Retirez-la de la cocotte et</v>
      </c>
      <c r="M222" s="6329" t="str">
        <v>tous les côtés. Retirez-la de la cocotte et</v>
      </c>
      <c r="N222" t="s">
        <v>21</v>
      </c>
      <c r="AV222" s="103"/>
      <c r="AW222" s="31"/>
      <c r="AX222" s="32"/>
      <c r="AY222" s="31"/>
      <c r="AZ222" s="33"/>
      <c r="BA222" s="1967"/>
      <c r="BB222" s="1805"/>
      <c r="BC222" s="91"/>
      <c r="BD222" s="1806"/>
      <c r="BE222" s="6401"/>
      <c r="BF222" s="6402"/>
      <c r="BG222" s="1969"/>
      <c r="BH222" s="6403"/>
      <c r="BI222" s="95"/>
      <c r="BJ222" s="1326"/>
      <c r="BK222" s="6404"/>
      <c r="BL222" s="1737"/>
      <c r="BM222" s="2081"/>
      <c r="BN222" s="2238"/>
      <c r="BO222" s="1809"/>
      <c r="BQ222" s="2230"/>
      <c r="BR222" s="3">
        <v>1</v>
      </c>
    </row>
    <row r="223" spans="2:70" ht="21" customHeight="1">
      <c r="B223" s="6236"/>
      <c r="C223" s="6358">
        <f t="shared" si="93"/>
        <v>150</v>
      </c>
      <c r="D223" s="6390" t="str" cm="1">
        <f t="array" ref="D223">IF(MOD(ROW()-50,14)=0,INDEX(D218:D231,MOD(ROW()-50,14)+1),E221)</f>
        <v/>
      </c>
      <c r="E223" s="6391" t="str">
        <f t="shared" si="94"/>
        <v/>
      </c>
      <c r="F223" s="6392" t="str">
        <f t="shared" si="95"/>
        <v/>
      </c>
      <c r="G223" s="6321"/>
      <c r="H223" s="6323">
        <f t="shared" si="96"/>
        <v>6</v>
      </c>
      <c r="I223" s="6373"/>
      <c r="J223" s="6363" t="str">
        <f t="shared" si="97"/>
        <v>réservez-la.</v>
      </c>
      <c r="K223" s="6364" t="str">
        <f>IF(J223="","",LEFT(J223,IF(LEN(J223)&lt;=I221,LEN(J223),IFERROR(FIND("§",SUBSTITUTE(LEFT(J223,I221+1)," ","§",LEN(LEFT(J223,I221+1))-LEN(SUBSTITUTE(LEFT(J223,I221+1)," ",""))))-1,IFERROR(FIND(" ",J223,I221+1)-1,LEN(J223))))))</f>
        <v>réservez-la.</v>
      </c>
      <c r="L223" s="6327" t="str">
        <v>réservez-la.</v>
      </c>
      <c r="M223" s="6329" t="str">
        <v>réservez-la.</v>
      </c>
      <c r="N223" t="s">
        <v>21</v>
      </c>
      <c r="AV223" s="103"/>
      <c r="AW223" s="31"/>
      <c r="AX223" s="32"/>
      <c r="AY223" s="31"/>
      <c r="AZ223" s="33"/>
      <c r="BA223" s="1967"/>
      <c r="BB223" s="1805"/>
      <c r="BC223" s="91"/>
      <c r="BD223" s="1806"/>
      <c r="BE223" s="6401"/>
      <c r="BF223" s="6402"/>
      <c r="BG223" s="1969"/>
      <c r="BH223" s="6403"/>
      <c r="BI223" s="95"/>
      <c r="BJ223" s="1326"/>
      <c r="BK223" s="6404"/>
      <c r="BL223" s="1737"/>
      <c r="BM223" s="2081"/>
      <c r="BN223" s="2238"/>
      <c r="BO223" s="1809"/>
      <c r="BQ223" s="2230"/>
      <c r="BR223" s="3">
        <v>1</v>
      </c>
    </row>
    <row r="224" spans="2:70" ht="21" customHeight="1">
      <c r="B224" s="6236"/>
      <c r="C224" s="6358">
        <f t="shared" si="93"/>
        <v>150</v>
      </c>
      <c r="D224" s="6390" t="str" cm="1">
        <f t="array" ref="D224">IF(MOD(ROW()-50,14)=0,INDEX(D218:D231,MOD(ROW()-50,14)+1),E222)</f>
        <v/>
      </c>
      <c r="E224" s="6391" t="str">
        <f t="shared" si="94"/>
        <v/>
      </c>
      <c r="F224" s="6392" t="str">
        <f t="shared" si="95"/>
        <v/>
      </c>
      <c r="G224" s="6321"/>
      <c r="H224" s="6323" t="str">
        <f t="shared" si="96"/>
        <v/>
      </c>
      <c r="I224" s="6373"/>
      <c r="J224" s="6363" t="str">
        <f t="shared" si="97"/>
        <v/>
      </c>
      <c r="K224" s="6364" t="str">
        <f>IF(J224="","",LEFT(J224,IF(LEN(J224)&lt;=I221,LEN(J224),IFERROR(FIND("§",SUBSTITUTE(LEFT(J224,I221+1)," ","§",LEN(LEFT(J224,I221+1))-LEN(SUBSTITUTE(LEFT(J224,I221+1)," ",""))))-1,IFERROR(FIND(" ",J224,I221+1)-1,LEN(J224))))))</f>
        <v/>
      </c>
      <c r="L224" s="6327"/>
      <c r="M224" s="6329" t="str">
        <v>30.TEST LIGNE 19 colonne Q et ligne 20 colonne P.</v>
      </c>
      <c r="N224" t="s">
        <v>21</v>
      </c>
      <c r="AV224" s="103"/>
      <c r="AW224" s="31"/>
      <c r="AX224" s="32"/>
      <c r="AY224" s="31"/>
      <c r="AZ224" s="33"/>
      <c r="BA224" s="1967"/>
      <c r="BB224" s="1805"/>
      <c r="BC224" s="91"/>
      <c r="BD224" s="1806"/>
      <c r="BE224" s="6401"/>
      <c r="BF224" s="6402"/>
      <c r="BG224" s="1969"/>
      <c r="BH224" s="6403"/>
      <c r="BI224" s="95"/>
      <c r="BJ224" s="1326"/>
      <c r="BK224" s="6404"/>
      <c r="BL224" s="1737"/>
      <c r="BM224" s="2081"/>
      <c r="BN224" s="2238"/>
      <c r="BO224" s="1809"/>
      <c r="BQ224" s="2230"/>
      <c r="BR224" s="3">
        <v>1</v>
      </c>
    </row>
    <row r="225" spans="2:70" ht="21" customHeight="1">
      <c r="B225" s="6236"/>
      <c r="C225" s="6358">
        <f t="shared" si="93"/>
        <v>150</v>
      </c>
      <c r="D225" s="6390" t="str" cm="1">
        <f t="array" ref="D225">IF(MOD(ROW()-50,14)=0,INDEX(D218:D231,MOD(ROW()-50,14)+1),E223)</f>
        <v/>
      </c>
      <c r="E225" s="6391" t="str">
        <f t="shared" si="94"/>
        <v/>
      </c>
      <c r="F225" s="6392" t="str">
        <f t="shared" si="95"/>
        <v/>
      </c>
      <c r="G225" s="6321"/>
      <c r="H225" s="6323" t="str">
        <f t="shared" si="96"/>
        <v/>
      </c>
      <c r="I225" s="6373"/>
      <c r="J225" s="6363" t="str">
        <f t="shared" si="97"/>
        <v/>
      </c>
      <c r="K225" s="6364" t="str">
        <f>IF(J225="","",LEFT(J225,IF(LEN(J225)&lt;=I221,LEN(J225),IFERROR(FIND("§",SUBSTITUTE(LEFT(J225,I221+1)," ","§",LEN(LEFT(J225,I221+1))-LEN(SUBSTITUTE(LEFT(J225,I221+1)," ",""))))-1,IFERROR(FIND(" ",J225,I221+1)-1,LEN(J225))))))</f>
        <v/>
      </c>
      <c r="L225" s="6327"/>
      <c r="M225" s="6329" t="str">
        <v>rechercher la cellule qui coupe le texte Dans la</v>
      </c>
      <c r="N225" t="s">
        <v>21</v>
      </c>
      <c r="AV225" s="103"/>
      <c r="AW225" s="31"/>
      <c r="AX225" s="32"/>
      <c r="AY225" s="31"/>
      <c r="AZ225" s="33"/>
      <c r="BA225" s="1967"/>
      <c r="BB225" s="1805"/>
      <c r="BC225" s="91"/>
      <c r="BD225" s="1806"/>
      <c r="BE225" s="6401"/>
      <c r="BF225" s="6402"/>
      <c r="BG225" s="1969"/>
      <c r="BH225" s="6403"/>
      <c r="BI225" s="95"/>
      <c r="BJ225" s="1326"/>
      <c r="BK225" s="6404"/>
      <c r="BL225" s="1737"/>
      <c r="BM225" s="2081"/>
      <c r="BN225" s="2238"/>
      <c r="BO225" s="1809"/>
      <c r="BQ225" s="2230"/>
      <c r="BR225" s="3">
        <v>1</v>
      </c>
    </row>
    <row r="226" spans="2:70" ht="21" customHeight="1">
      <c r="B226" s="6236"/>
      <c r="C226" s="6358">
        <f t="shared" si="93"/>
        <v>150</v>
      </c>
      <c r="D226" s="6390" t="str" cm="1">
        <f t="array" ref="D226">IF(MOD(ROW()-50,14)=0,INDEX(D218:D231,MOD(ROW()-50,14)+1),E224)</f>
        <v/>
      </c>
      <c r="E226" s="6391" t="str">
        <f t="shared" si="94"/>
        <v/>
      </c>
      <c r="F226" s="6392" t="str">
        <f t="shared" si="95"/>
        <v/>
      </c>
      <c r="G226" s="6321"/>
      <c r="H226" s="6323" t="str">
        <f t="shared" si="96"/>
        <v/>
      </c>
      <c r="I226" s="6373"/>
      <c r="J226" s="6363" t="str">
        <f t="shared" si="97"/>
        <v/>
      </c>
      <c r="K226" s="6364" t="str">
        <f>IF(J226="","",LEFT(J226,IF(LEN(J226)&lt;=I221,LEN(J226),IFERROR(FIND("§",SUBSTITUTE(LEFT(J226,I221+1)," ","§",LEN(LEFT(J226,I221+1))-LEN(SUBSTITUTE(LEFT(J226,I221+1)," ",""))))-1,IFERROR(FIND(" ",J226,I221+1)-1,LEN(J226))))))</f>
        <v/>
      </c>
      <c r="L226" s="6327"/>
      <c r="M226" s="6329" t="str">
        <v>cocotte N°3 en fonte, faites chauffer l’huile d’olive</v>
      </c>
      <c r="N226" t="s">
        <v>21</v>
      </c>
      <c r="AV226" s="103"/>
      <c r="AW226" s="31"/>
      <c r="AX226" s="32"/>
      <c r="AY226" s="31"/>
      <c r="AZ226" s="33"/>
      <c r="BA226" s="1967"/>
      <c r="BB226" s="1805"/>
      <c r="BC226" s="91"/>
      <c r="BD226" s="1806"/>
      <c r="BE226" s="6401"/>
      <c r="BF226" s="6402"/>
      <c r="BG226" s="1969"/>
      <c r="BH226" s="6403"/>
      <c r="BI226" s="95"/>
      <c r="BJ226" s="1326"/>
      <c r="BK226" s="6404"/>
      <c r="BL226" s="1737"/>
      <c r="BM226" s="2081"/>
      <c r="BN226" s="2238"/>
      <c r="BO226" s="1809"/>
      <c r="BQ226" s="2230"/>
      <c r="BR226" s="3">
        <v>1</v>
      </c>
    </row>
    <row r="227" spans="2:70" ht="21" customHeight="1">
      <c r="B227" s="6236"/>
      <c r="C227" s="6358">
        <f t="shared" si="93"/>
        <v>150</v>
      </c>
      <c r="D227" s="6390" t="str" cm="1">
        <f t="array" ref="D227">IF(MOD(ROW()-50,14)=0,INDEX(D218:D231,MOD(ROW()-50,14)+1),E225)</f>
        <v/>
      </c>
      <c r="E227" s="6391" t="str">
        <f t="shared" si="94"/>
        <v/>
      </c>
      <c r="F227" s="6392" t="str">
        <f t="shared" si="95"/>
        <v/>
      </c>
      <c r="G227" s="6321"/>
      <c r="H227" s="6323" t="str">
        <f t="shared" si="96"/>
        <v/>
      </c>
      <c r="I227" s="6373"/>
      <c r="J227" s="6363" t="str">
        <f t="shared" si="97"/>
        <v/>
      </c>
      <c r="K227" s="6364" t="str">
        <f>IF(J227="","",LEFT(J227,IF(LEN(J227)&lt;=I221,LEN(J227),IFERROR(FIND("§",SUBSTITUTE(LEFT(J227,I221+1)," ","§",LEN(LEFT(J227,I221+1))-LEN(SUBSTITUTE(LEFT(J227,I221+1)," ",""))))-1,IFERROR(FIND(" ",J227,I221+1)-1,LEN(J227))))))</f>
        <v/>
      </c>
      <c r="L227" s="6327"/>
      <c r="M227" s="6329" t="str">
        <v>à feu moyen. Ajoutez la viande et faites-la dorer de</v>
      </c>
      <c r="N227" t="s">
        <v>21</v>
      </c>
      <c r="AV227" s="103"/>
      <c r="AW227" s="31"/>
      <c r="AX227" s="32"/>
      <c r="AY227" s="31"/>
      <c r="AZ227" s="33"/>
      <c r="BA227" s="1967"/>
      <c r="BB227" s="1805"/>
      <c r="BC227" s="91"/>
      <c r="BD227" s="1806"/>
      <c r="BE227" s="6401"/>
      <c r="BF227" s="6402"/>
      <c r="BG227" s="1969"/>
      <c r="BH227" s="6403"/>
      <c r="BI227" s="95"/>
      <c r="BJ227" s="1326"/>
      <c r="BK227" s="6404"/>
      <c r="BL227" s="1737"/>
      <c r="BM227" s="2081"/>
      <c r="BN227" s="2238"/>
      <c r="BO227" s="1809"/>
      <c r="BQ227" s="2230"/>
      <c r="BR227" s="3">
        <v>1</v>
      </c>
    </row>
    <row r="228" spans="2:70" ht="21" customHeight="1">
      <c r="B228" s="6236"/>
      <c r="C228" s="6358">
        <f t="shared" si="93"/>
        <v>150</v>
      </c>
      <c r="D228" s="6390" t="str" cm="1">
        <f t="array" ref="D228">IF(MOD(ROW()-50,14)=0,INDEX(D218:D231,MOD(ROW()-50,14)+1),E226)</f>
        <v/>
      </c>
      <c r="E228" s="6391" t="str">
        <f t="shared" si="94"/>
        <v/>
      </c>
      <c r="F228" s="6392" t="str">
        <f t="shared" si="95"/>
        <v/>
      </c>
      <c r="G228" s="6321"/>
      <c r="H228" s="6323" t="str">
        <f t="shared" si="96"/>
        <v/>
      </c>
      <c r="I228" s="6373"/>
      <c r="J228" s="6363" t="str">
        <f t="shared" si="97"/>
        <v/>
      </c>
      <c r="K228" s="6364" t="str">
        <f>IF(J228="","",LEFT(J228,IF(LEN(J228)&lt;=I221,LEN(J228),IFERROR(FIND("§",SUBSTITUTE(LEFT(J228,I221+1)," ","§",LEN(LEFT(J228,I221+1))-LEN(SUBSTITUTE(LEFT(J228,I221+1)," ",""))))-1,IFERROR(FIND(" ",J228,I221+1)-1,LEN(J228))))))</f>
        <v/>
      </c>
      <c r="L228" s="6327"/>
      <c r="M228" s="6329" t="str">
        <v>tous les côtés. Retirez-la de la cocotte et</v>
      </c>
      <c r="N228" t="s">
        <v>21</v>
      </c>
      <c r="AV228" s="103"/>
      <c r="AW228" s="31"/>
      <c r="AX228" s="32"/>
      <c r="AY228" s="31"/>
      <c r="AZ228" s="33"/>
      <c r="BA228" s="1967"/>
      <c r="BB228" s="1805"/>
      <c r="BC228" s="91"/>
      <c r="BD228" s="1806"/>
      <c r="BE228" s="6401"/>
      <c r="BF228" s="6402"/>
      <c r="BG228" s="1969"/>
      <c r="BH228" s="6403"/>
      <c r="BI228" s="95"/>
      <c r="BJ228" s="1326"/>
      <c r="BK228" s="6404"/>
      <c r="BL228" s="1737"/>
      <c r="BM228" s="2081"/>
      <c r="BN228" s="2238"/>
      <c r="BO228" s="1809"/>
      <c r="BQ228" s="2230"/>
      <c r="BR228" s="3">
        <v>1</v>
      </c>
    </row>
    <row r="229" spans="2:70" ht="21" customHeight="1">
      <c r="B229" s="6236"/>
      <c r="C229" s="6358">
        <f t="shared" si="93"/>
        <v>150</v>
      </c>
      <c r="D229" s="6390" t="str" cm="1">
        <f t="array" ref="D229">IF(MOD(ROW()-50,14)=0,INDEX(D218:D231,MOD(ROW()-50,14)+1),E227)</f>
        <v/>
      </c>
      <c r="E229" s="6391" t="str">
        <f t="shared" si="94"/>
        <v/>
      </c>
      <c r="F229" s="6392" t="str">
        <f t="shared" si="95"/>
        <v/>
      </c>
      <c r="G229" s="6321"/>
      <c r="H229" s="6323" t="str">
        <f t="shared" si="96"/>
        <v/>
      </c>
      <c r="I229" s="6373"/>
      <c r="J229" s="6363" t="str">
        <f t="shared" si="97"/>
        <v/>
      </c>
      <c r="K229" s="6364" t="str">
        <f>IF(J229="","",LEFT(J229,IF(LEN(J229)&lt;=I221,LEN(J229),IFERROR(FIND("§",SUBSTITUTE(LEFT(J229,I221+1)," ","§",LEN(LEFT(J229,I221+1))-LEN(SUBSTITUTE(LEFT(J229,I221+1)," ",""))))-1,IFERROR(FIND(" ",J229,I221+1)-1,LEN(J229))))))</f>
        <v/>
      </c>
      <c r="L229" s="6327"/>
      <c r="M229" s="6329" t="str">
        <v>réservez-la.</v>
      </c>
      <c r="N229" t="s">
        <v>21</v>
      </c>
      <c r="AV229" s="103"/>
      <c r="AW229" s="31"/>
      <c r="AX229" s="32"/>
      <c r="AY229" s="31"/>
      <c r="AZ229" s="33"/>
      <c r="BA229" s="1967"/>
      <c r="BB229" s="1805"/>
      <c r="BC229" s="91"/>
      <c r="BD229" s="1806"/>
      <c r="BE229" s="6401"/>
      <c r="BF229" s="6402"/>
      <c r="BG229" s="1969"/>
      <c r="BH229" s="6403"/>
      <c r="BI229" s="95"/>
      <c r="BJ229" s="1326"/>
      <c r="BK229" s="6404"/>
      <c r="BL229" s="1737"/>
      <c r="BM229" s="2081"/>
      <c r="BN229" s="2238"/>
      <c r="BO229" s="1809"/>
      <c r="BQ229" s="2230"/>
      <c r="BR229" s="3">
        <v>1</v>
      </c>
    </row>
    <row r="230" spans="2:70" ht="21" customHeight="1">
      <c r="B230" s="6236"/>
      <c r="C230" s="6358">
        <f t="shared" si="93"/>
        <v>150</v>
      </c>
      <c r="D230" s="6390" t="str" cm="1">
        <f t="array" ref="D230">IF(MOD(ROW()-50,14)=0,INDEX(D218:D231,MOD(ROW()-50,14)+1),E228)</f>
        <v/>
      </c>
      <c r="E230" s="6391" t="str">
        <f t="shared" si="94"/>
        <v/>
      </c>
      <c r="F230" s="6392" t="str">
        <f t="shared" si="95"/>
        <v/>
      </c>
      <c r="G230" s="6321"/>
      <c r="H230" s="6323" t="str">
        <f t="shared" si="96"/>
        <v/>
      </c>
      <c r="I230" s="6373"/>
      <c r="J230" s="6363" t="str">
        <f t="shared" si="97"/>
        <v/>
      </c>
      <c r="K230" s="6364" t="str">
        <f>IF(J230="","",LEFT(J230,IF(LEN(J230)&lt;=I221,LEN(J230),IFERROR(FIND("§",SUBSTITUTE(LEFT(J230,I221+1)," ","§",LEN(LEFT(J230,I221+1))-LEN(SUBSTITUTE(LEFT(J230,I221+1)," ",""))))-1,IFERROR(FIND(" ",J230,I221+1)-1,LEN(J230))))))</f>
        <v/>
      </c>
      <c r="L230" s="6364"/>
      <c r="M230" s="6329" t="str">
        <v>31.TEST LIGNE 19 colonne Q et ligne 20 colonne P.</v>
      </c>
      <c r="N230" t="s">
        <v>21</v>
      </c>
      <c r="AV230" s="103"/>
      <c r="AW230" s="31"/>
      <c r="AX230" s="32"/>
      <c r="AY230" s="31"/>
      <c r="AZ230" s="33"/>
      <c r="BA230" s="1967"/>
      <c r="BB230" s="1805"/>
      <c r="BC230" s="91"/>
      <c r="BD230" s="1806"/>
      <c r="BE230" s="6401"/>
      <c r="BF230" s="6402"/>
      <c r="BG230" s="1969"/>
      <c r="BH230" s="6403"/>
      <c r="BI230" s="95"/>
      <c r="BJ230" s="1326"/>
      <c r="BK230" s="6404"/>
      <c r="BL230" s="1737"/>
      <c r="BM230" s="2081"/>
      <c r="BN230" s="2238"/>
      <c r="BO230" s="1809"/>
      <c r="BQ230" s="2230"/>
      <c r="BR230" s="3">
        <v>1</v>
      </c>
    </row>
    <row r="231" spans="2:70" ht="21" customHeight="1">
      <c r="B231" s="6236"/>
      <c r="C231" s="6376">
        <f t="shared" si="93"/>
        <v>150</v>
      </c>
      <c r="D231" s="6406" t="str" cm="1">
        <f t="array" ref="D231">IF(MOD(ROW()-50,14)=0,INDEX(D218:D231,MOD(ROW()-50,14)+1),E229)</f>
        <v/>
      </c>
      <c r="E231" s="6407" t="str">
        <f t="shared" si="94"/>
        <v/>
      </c>
      <c r="F231" s="6408" t="str">
        <f t="shared" si="95"/>
        <v/>
      </c>
      <c r="G231" s="6322"/>
      <c r="H231" s="6323" t="str">
        <f t="shared" si="96"/>
        <v/>
      </c>
      <c r="I231" s="6379"/>
      <c r="J231" s="6380" t="str">
        <f t="shared" si="97"/>
        <v/>
      </c>
      <c r="K231" s="6381" t="str">
        <f>IF(J231="","",LEFT(J231,IF(LEN(J231)&lt;=I221,LEN(J231),IFERROR(FIND("§",SUBSTITUTE(LEFT(J231,I221+1)," ","§",LEN(LEFT(J231,I221+1))-LEN(SUBSTITUTE(LEFT(J231,I221+1)," ",""))))-1,IFERROR(FIND(" ",J231,I221+1)-1,LEN(J231))))))</f>
        <v/>
      </c>
      <c r="L231" s="6382"/>
      <c r="M231" s="6330" t="str">
        <v>rechercher la cellule qui coupe le texte Dans la</v>
      </c>
      <c r="N231" t="s">
        <v>21</v>
      </c>
      <c r="AV231" s="103"/>
      <c r="AW231" s="31"/>
      <c r="AX231" s="32"/>
      <c r="AY231" s="31"/>
      <c r="AZ231" s="33"/>
      <c r="BA231" s="1967"/>
      <c r="BB231" s="1805"/>
      <c r="BC231" s="91"/>
      <c r="BD231" s="1806"/>
      <c r="BE231" s="6401"/>
      <c r="BF231" s="6402"/>
      <c r="BG231" s="1969"/>
      <c r="BH231" s="6403"/>
      <c r="BI231" s="95"/>
      <c r="BJ231" s="1326"/>
      <c r="BK231" s="6404"/>
      <c r="BL231" s="1737"/>
      <c r="BM231" s="2081"/>
      <c r="BN231" s="2238"/>
      <c r="BO231" s="1809"/>
      <c r="BQ231" s="2230"/>
      <c r="BR231" s="3">
        <v>1</v>
      </c>
    </row>
    <row r="232" spans="2:70" ht="21" customHeight="1">
      <c r="B232" s="6236"/>
      <c r="C232" s="6313">
        <f>AD63</f>
        <v>150</v>
      </c>
      <c r="D232" s="6314" t="str">
        <f>IF(UPPER(TRIM(X45))="X",U63,O63)</f>
        <v>14.TEST LIGNE 19 colonne Q et ligne 20 colonne P. rechercher la cellule qui coupe le texte Dans la cocotte N°3 en fonte, faites chauffer l’huile d’olive à feu moyen. Ajoutez la viande et faites-la dorer de tous les côtés. Retirez-la de la cocotte et réservez-la.</v>
      </c>
      <c r="E232" s="6315" t="str">
        <f>IF(D232="","",IF(F232="","",IF(LEN(F232)&gt;=LEN(D232),"",TRIM(MID(D232,LEN(F232)+1,99999)))))</f>
        <v>d’olive à feu moyen. Ajoutez la viande et faites-la dorer de tous les côtés. Retirez-la de la cocotte et réservez-la.</v>
      </c>
      <c r="F232" s="6316" t="str">
        <f>IF(D232="","",IF(LEN(D232)&lt;=C232,D232,IFERROR(LEFT(D232,FIND("§",SUBSTITUTE(LEFT(D232,C232+1)," ","§",LEN(LEFT(D232,C232+1))-LEN(SUBSTITUTE(LEFT(D232,C232+1)," ",""))))-1),LEFT(D232,C232))))</f>
        <v>14.TEST LIGNE 19 colonne Q et ligne 20 colonne P. rechercher la cellule qui coupe le texte Dans la cocotte N°3 en fonte, faites chauffer l’huile</v>
      </c>
      <c r="G232" s="6317"/>
      <c r="H232" s="6385">
        <f>IF(LEN(TRIM(L232))&gt;0,MAX(H231:H231)+1,"")</f>
        <v>1</v>
      </c>
      <c r="I232" s="6324" t="str">
        <f>D232</f>
        <v>14.TEST LIGNE 19 colonne Q et ligne 20 colonne P. rechercher la cellule qui coupe le texte Dans la cocotte N°3 en fonte, faites chauffer l’huile d’olive à feu moyen. Ajoutez la viande et faites-la dorer de tous les côtés. Retirez-la de la cocotte et réservez-la.</v>
      </c>
      <c r="J232" s="6386" t="str">
        <f>IF(I232=0,"",I232)</f>
        <v>14.TEST LIGNE 19 colonne Q et ligne 20 colonne P. rechercher la cellule qui coupe le texte Dans la cocotte N°3 en fonte, faites chauffer l’huile d’olive à feu moyen. Ajoutez la viande et faites-la dorer de tous les côtés. Retirez-la de la cocotte et réservez-la.</v>
      </c>
      <c r="K232" s="6387" t="str">
        <f>IF(I232="","",LEFT(I232,IF(LEN(I232)&lt;=I235,LEN(I232),IFERROR(FIND("§",SUBSTITUTE(LEFT(I232,I235+1)," ","§",LEN(LEFT(I232,I235+1))-LEN(SUBSTITUTE(LEFT(I232,I235+1)," ",""))))-1,IFERROR(FIND(" ",I232,I235+1)-1,LEN(I232))))))</f>
        <v>14.TEST LIGNE 19 colonne Q et ligne 20 colonne P.</v>
      </c>
      <c r="L232" s="6388" t="str" cm="1">
        <f t="array" ref="L232:L237">_xlfn._xlws.FILTER(TRIM(SUBSTITUTE(SUBSTITUTE(SUBSTITUTE(SUBSTITUTE(SUBSTITUTE(CLEAN(K232:K245),CHAR(160)," "),_xlfn.UNICHAR(8239)," "),CHAR(9)," "),CHAR(10)," "),CHAR(13)," ")),TRIM(SUBSTITUTE(SUBSTITUTE(SUBSTITUTE(SUBSTITUTE(SUBSTITUTE(CLEAN(K232:K245),CHAR(160)," "),_xlfn.UNICHAR(8239)," "),CHAR(9)," "),CHAR(10)," "),CHAR(13)," "))&lt;&gt;"")</f>
        <v>14.TEST LIGNE 19 colonne Q et ligne 20 colonne P.</v>
      </c>
      <c r="M232" s="6331" t="str">
        <v>cocotte N°3 en fonte, faites chauffer l’huile d’olive</v>
      </c>
      <c r="N232" t="s">
        <v>21</v>
      </c>
      <c r="AV232" s="103"/>
      <c r="AW232" s="31"/>
      <c r="AX232" s="32"/>
      <c r="AY232" s="31"/>
      <c r="AZ232" s="33"/>
      <c r="BA232" s="1967"/>
      <c r="BB232" s="1805"/>
      <c r="BC232" s="91"/>
      <c r="BD232" s="1806"/>
      <c r="BE232" s="6401"/>
      <c r="BF232" s="6402"/>
      <c r="BG232" s="1969"/>
      <c r="BH232" s="6403"/>
      <c r="BI232" s="95"/>
      <c r="BJ232" s="1326"/>
      <c r="BK232" s="6404"/>
      <c r="BL232" s="1737"/>
      <c r="BM232" s="2081"/>
      <c r="BN232" s="2238"/>
      <c r="BO232" s="1809"/>
      <c r="BQ232" s="2230"/>
      <c r="BR232" s="3">
        <v>1</v>
      </c>
    </row>
    <row r="233" spans="2:70" ht="21" customHeight="1">
      <c r="B233" s="6236"/>
      <c r="C233" s="6358">
        <f t="shared" ref="C233:C245" si="98">C232</f>
        <v>150</v>
      </c>
      <c r="D233" s="6359" t="str" cm="1">
        <f t="array" ref="D233">IF(MOD(ROW()-50,14)=0,INDEX(D232:D245,MOD(ROW()-50,14)+1),E231)</f>
        <v/>
      </c>
      <c r="E233" s="6360" t="str">
        <f t="shared" ref="E233:E245" si="99">IF(D233="","",IF(F233="","",IF(LEN(F233)&gt;=LEN(D233),"",TRIM(MID(D233,LEN(F233)+1,99999)))))</f>
        <v/>
      </c>
      <c r="F233" s="6361" t="str">
        <f t="shared" ref="F233:F245" si="100">IF(D233="","",IF(LEN(D233)&lt;=C233,D233,IFERROR(LEFT(D233,FIND("§",SUBSTITUTE(LEFT(D233,C233+1)," ","§",LEN(LEFT(D233,C233+1))-LEN(SUBSTITUTE(LEFT(D233,C233+1)," ",""))))-1),LEFT(D233,C233))))</f>
        <v/>
      </c>
      <c r="G233" s="6318"/>
      <c r="H233" s="6393">
        <f t="shared" ref="H233:H245" si="101">IF(LEN(TRIM(L233))&gt;0,MAX(H232:H232)+1,"")</f>
        <v>2</v>
      </c>
      <c r="I233" s="6394" t="s">
        <v>14355</v>
      </c>
      <c r="J233" s="6395" t="str">
        <f>TRIM(MID(I236,LEN(K232)+1,99999))</f>
        <v>rechercher la cellule qui coupe le texte Dans la cocotte N°3 en fonte, faites chauffer l’huile d’olive à feu moyen. Ajoutez la viande et faites-la dorer de tous les côtés. Retirez-la de la cocotte et réservez-la.</v>
      </c>
      <c r="K233" s="6396" t="str">
        <f>IF(J233="","",LEFT(J233,IF(LEN(J233)&lt;=I235,LEN(J233),IFERROR(FIND("§",SUBSTITUTE(LEFT(J233,I235+1)," ","§",LEN(LEFT(J233,I235+1))-LEN(SUBSTITUTE(LEFT(J233,I235+1)," ",""))))-1,IFERROR(FIND(" ",J233,I235+1)-1,LEN(J233))))))</f>
        <v>rechercher la cellule qui coupe le texte Dans la</v>
      </c>
      <c r="L233" s="6388" t="str">
        <v>rechercher la cellule qui coupe le texte Dans la</v>
      </c>
      <c r="M233" s="6332" t="str">
        <v>à feu moyen. Ajoutez la viande et faites-la dorer de</v>
      </c>
      <c r="N233" t="s">
        <v>21</v>
      </c>
      <c r="AV233" s="103"/>
      <c r="AW233" s="31"/>
      <c r="AX233" s="32"/>
      <c r="AY233" s="31"/>
      <c r="AZ233" s="33"/>
      <c r="BA233" s="1967"/>
      <c r="BB233" s="1805"/>
      <c r="BC233" s="91"/>
      <c r="BD233" s="1806"/>
      <c r="BE233" s="6401"/>
      <c r="BF233" s="6402"/>
      <c r="BG233" s="1969"/>
      <c r="BH233" s="6403"/>
      <c r="BI233" s="95"/>
      <c r="BJ233" s="1326"/>
      <c r="BK233" s="6404"/>
      <c r="BL233" s="1737"/>
      <c r="BM233" s="2081"/>
      <c r="BN233" s="2238"/>
      <c r="BO233" s="1809"/>
      <c r="BQ233" s="2230"/>
      <c r="BR233" s="3">
        <v>1</v>
      </c>
    </row>
    <row r="234" spans="2:70" ht="21" customHeight="1">
      <c r="B234" s="6236"/>
      <c r="C234" s="6358">
        <f t="shared" si="98"/>
        <v>150</v>
      </c>
      <c r="D234" s="6359" t="str" cm="1">
        <f t="array" ref="D234">IF(MOD(ROW()-50,14)=0,INDEX(D232:D245,MOD(ROW()-50,14)+1),E232)</f>
        <v>d’olive à feu moyen. Ajoutez la viande et faites-la dorer de tous les côtés. Retirez-la de la cocotte et réservez-la.</v>
      </c>
      <c r="E234" s="6360" t="str">
        <f t="shared" si="99"/>
        <v/>
      </c>
      <c r="F234" s="6361" t="str">
        <f t="shared" si="100"/>
        <v>d’olive à feu moyen. Ajoutez la viande et faites-la dorer de tous les côtés. Retirez-la de la cocotte et réservez-la.</v>
      </c>
      <c r="G234" s="6318"/>
      <c r="H234" s="6393">
        <f t="shared" si="101"/>
        <v>3</v>
      </c>
      <c r="I234" s="6365">
        <f>Z63</f>
        <v>5</v>
      </c>
      <c r="J234" s="6395" t="str">
        <f t="shared" ref="J234:J245" si="102">TRIM(MID(J233,LEN(K233)+1,99999))</f>
        <v>cocotte N°3 en fonte, faites chauffer l’huile d’olive à feu moyen. Ajoutez la viande et faites-la dorer de tous les côtés. Retirez-la de la cocotte et réservez-la.</v>
      </c>
      <c r="K234" s="6396" t="str">
        <f>IF(J234="","",LEFT(J234,IF(LEN(J234)&lt;=I235,LEN(J234),IFERROR(FIND("§",SUBSTITUTE(LEFT(J234,I235+1)," ","§",LEN(LEFT(J234,I235+1))-LEN(SUBSTITUTE(LEFT(J234,I235+1)," ",""))))-1,IFERROR(FIND(" ",J234,I235+1)-1,LEN(J234))))))</f>
        <v>cocotte N°3 en fonte, faites chauffer l’huile d’olive</v>
      </c>
      <c r="L234" s="6388" t="str">
        <v>cocotte N°3 en fonte, faites chauffer l’huile d’olive</v>
      </c>
      <c r="M234" s="6332" t="str">
        <v>tous les côtés. Retirez-la de la cocotte et</v>
      </c>
      <c r="N234" t="s">
        <v>21</v>
      </c>
      <c r="AV234" s="103"/>
      <c r="AW234" s="31"/>
      <c r="AX234" s="32"/>
      <c r="AY234" s="31"/>
      <c r="AZ234" s="33"/>
      <c r="BA234" s="1967"/>
      <c r="BB234" s="1805"/>
      <c r="BC234" s="91"/>
      <c r="BD234" s="1806"/>
      <c r="BE234" s="6401"/>
      <c r="BF234" s="6402"/>
      <c r="BG234" s="1969"/>
      <c r="BH234" s="6403"/>
      <c r="BI234" s="95"/>
      <c r="BJ234" s="1326"/>
      <c r="BK234" s="6404"/>
      <c r="BL234" s="1737"/>
      <c r="BM234" s="2081"/>
      <c r="BN234" s="2238"/>
      <c r="BO234" s="1809"/>
      <c r="BQ234" s="2230"/>
      <c r="BR234" s="3">
        <v>1</v>
      </c>
    </row>
    <row r="235" spans="2:70" ht="21" customHeight="1">
      <c r="B235" s="6236"/>
      <c r="C235" s="6358">
        <f t="shared" si="98"/>
        <v>150</v>
      </c>
      <c r="D235" s="6359" t="str" cm="1">
        <f t="array" ref="D235">IF(MOD(ROW()-50,14)=0,INDEX(D232:D245,MOD(ROW()-50,14)+1),E233)</f>
        <v/>
      </c>
      <c r="E235" s="6360" t="str">
        <f t="shared" si="99"/>
        <v/>
      </c>
      <c r="F235" s="6361" t="str">
        <f t="shared" si="100"/>
        <v/>
      </c>
      <c r="G235" s="6318"/>
      <c r="H235" s="6393">
        <f t="shared" si="101"/>
        <v>4</v>
      </c>
      <c r="I235" s="6398">
        <f>IF(OR(J232="",I234="",I234&lt;=0),"",ROUNDUP(LEN(J232)/I234,0))</f>
        <v>53</v>
      </c>
      <c r="J235" s="6395" t="str">
        <f t="shared" si="102"/>
        <v>à feu moyen. Ajoutez la viande et faites-la dorer de tous les côtés. Retirez-la de la cocotte et réservez-la.</v>
      </c>
      <c r="K235" s="6396" t="str">
        <f>IF(J235="","",LEFT(J235,IF(LEN(J235)&lt;=I235,LEN(J235),IFERROR(FIND("§",SUBSTITUTE(LEFT(J235,I235+1)," ","§",LEN(LEFT(J235,I235+1))-LEN(SUBSTITUTE(LEFT(J235,I235+1)," ",""))))-1,IFERROR(FIND(" ",J235,I235+1)-1,LEN(J235))))))</f>
        <v>à feu moyen. Ajoutez la viande et faites-la dorer de</v>
      </c>
      <c r="L235" s="6388" t="str">
        <v>à feu moyen. Ajoutez la viande et faites-la dorer de</v>
      </c>
      <c r="M235" s="6332" t="str">
        <v>réservez-la.</v>
      </c>
      <c r="N235" t="s">
        <v>21</v>
      </c>
      <c r="AV235" s="103"/>
      <c r="AW235" s="31"/>
      <c r="AX235" s="32"/>
      <c r="AY235" s="31"/>
      <c r="AZ235" s="33"/>
      <c r="BA235" s="1967"/>
      <c r="BB235" s="1805"/>
      <c r="BC235" s="91"/>
      <c r="BD235" s="1806"/>
      <c r="BE235" s="6401"/>
      <c r="BF235" s="6402"/>
      <c r="BG235" s="1969"/>
      <c r="BH235" s="6403"/>
      <c r="BI235" s="95"/>
      <c r="BJ235" s="1326"/>
      <c r="BK235" s="6404"/>
      <c r="BL235" s="1737"/>
      <c r="BM235" s="2081"/>
      <c r="BN235" s="2238"/>
      <c r="BO235" s="1809"/>
      <c r="BQ235" s="2230"/>
      <c r="BR235" s="3">
        <v>1</v>
      </c>
    </row>
    <row r="236" spans="2:70" ht="21" customHeight="1">
      <c r="B236" s="6236"/>
      <c r="C236" s="6358">
        <f t="shared" si="98"/>
        <v>150</v>
      </c>
      <c r="D236" s="6359" t="str" cm="1">
        <f t="array" ref="D236">IF(MOD(ROW()-50,14)=0,INDEX(D232:D245,MOD(ROW()-50,14)+1),E234)</f>
        <v/>
      </c>
      <c r="E236" s="6360" t="str">
        <f t="shared" si="99"/>
        <v/>
      </c>
      <c r="F236" s="6361" t="str">
        <f t="shared" si="100"/>
        <v/>
      </c>
      <c r="G236" s="6318"/>
      <c r="H236" s="6393">
        <f t="shared" si="101"/>
        <v>5</v>
      </c>
      <c r="I236" s="6400" t="str">
        <f>I232</f>
        <v>14.TEST LIGNE 19 colonne Q et ligne 20 colonne P. rechercher la cellule qui coupe le texte Dans la cocotte N°3 en fonte, faites chauffer l’huile d’olive à feu moyen. Ajoutez la viande et faites-la dorer de tous les côtés. Retirez-la de la cocotte et réservez-la.</v>
      </c>
      <c r="J236" s="6395" t="str">
        <f t="shared" si="102"/>
        <v>tous les côtés. Retirez-la de la cocotte et réservez-la.</v>
      </c>
      <c r="K236" s="6396" t="str">
        <f>IF(J236="","",LEFT(J236,IF(LEN(J236)&lt;=I235,LEN(J236),IFERROR(FIND("§",SUBSTITUTE(LEFT(J236,I235+1)," ","§",LEN(LEFT(J236,I235+1))-LEN(SUBSTITUTE(LEFT(J236,I235+1)," ",""))))-1,IFERROR(FIND(" ",J236,I235+1)-1,LEN(J236))))))</f>
        <v>tous les côtés. Retirez-la de la cocotte et</v>
      </c>
      <c r="L236" s="6388" t="str">
        <v>tous les côtés. Retirez-la de la cocotte et</v>
      </c>
      <c r="M236" s="6332" t="str">
        <v>32.TEST LIGNE 19 colonne Q et ligne 20 colonne P.</v>
      </c>
      <c r="N236" t="s">
        <v>21</v>
      </c>
      <c r="AV236" s="103"/>
      <c r="AW236" s="31"/>
      <c r="AX236" s="32"/>
      <c r="AY236" s="31"/>
      <c r="AZ236" s="33"/>
      <c r="BA236" s="1967"/>
      <c r="BB236" s="1805"/>
      <c r="BC236" s="91"/>
      <c r="BD236" s="1806"/>
      <c r="BE236" s="6401"/>
      <c r="BF236" s="6402"/>
      <c r="BG236" s="1969"/>
      <c r="BH236" s="6403"/>
      <c r="BI236" s="95"/>
      <c r="BJ236" s="1326"/>
      <c r="BK236" s="6404"/>
      <c r="BL236" s="1737"/>
      <c r="BM236" s="2081"/>
      <c r="BN236" s="2238"/>
      <c r="BO236" s="1809"/>
      <c r="BQ236" s="2230"/>
      <c r="BR236" s="3">
        <v>1</v>
      </c>
    </row>
    <row r="237" spans="2:70" ht="21" customHeight="1">
      <c r="B237" s="6236"/>
      <c r="C237" s="6358">
        <f t="shared" si="98"/>
        <v>150</v>
      </c>
      <c r="D237" s="6359" t="str" cm="1">
        <f t="array" ref="D237">IF(MOD(ROW()-50,14)=0,INDEX(D232:D245,MOD(ROW()-50,14)+1),E235)</f>
        <v/>
      </c>
      <c r="E237" s="6360" t="str">
        <f t="shared" si="99"/>
        <v/>
      </c>
      <c r="F237" s="6361" t="str">
        <f t="shared" si="100"/>
        <v/>
      </c>
      <c r="G237" s="6318"/>
      <c r="H237" s="6393">
        <f t="shared" si="101"/>
        <v>6</v>
      </c>
      <c r="I237" s="6405"/>
      <c r="J237" s="6395" t="str">
        <f t="shared" si="102"/>
        <v>réservez-la.</v>
      </c>
      <c r="K237" s="6396" t="str">
        <f>IF(J237="","",LEFT(J237,IF(LEN(J237)&lt;=I235,LEN(J237),IFERROR(FIND("§",SUBSTITUTE(LEFT(J237,I235+1)," ","§",LEN(LEFT(J237,I235+1))-LEN(SUBSTITUTE(LEFT(J237,I235+1)," ",""))))-1,IFERROR(FIND(" ",J237,I235+1)-1,LEN(J237))))))</f>
        <v>réservez-la.</v>
      </c>
      <c r="L237" s="6388" t="str">
        <v>réservez-la.</v>
      </c>
      <c r="M237" s="6332" t="str">
        <v>rechercher la cellule qui coupe le texte Dans la</v>
      </c>
      <c r="N237" t="s">
        <v>21</v>
      </c>
      <c r="AV237" s="103"/>
      <c r="AW237" s="31"/>
      <c r="AX237" s="32"/>
      <c r="AY237" s="31"/>
      <c r="AZ237" s="33"/>
      <c r="BA237" s="1967"/>
      <c r="BB237" s="1805"/>
      <c r="BC237" s="91"/>
      <c r="BD237" s="1806"/>
      <c r="BE237" s="6401"/>
      <c r="BF237" s="6402"/>
      <c r="BG237" s="1969"/>
      <c r="BH237" s="6403"/>
      <c r="BI237" s="95"/>
      <c r="BJ237" s="1326"/>
      <c r="BK237" s="6404"/>
      <c r="BL237" s="1737"/>
      <c r="BM237" s="2081"/>
      <c r="BN237" s="2238"/>
      <c r="BO237" s="1809"/>
      <c r="BQ237" s="2230"/>
      <c r="BR237" s="3">
        <v>1</v>
      </c>
    </row>
    <row r="238" spans="2:70" ht="21" customHeight="1">
      <c r="B238" s="6236"/>
      <c r="C238" s="6358">
        <f t="shared" si="98"/>
        <v>150</v>
      </c>
      <c r="D238" s="6359" t="str" cm="1">
        <f t="array" ref="D238">IF(MOD(ROW()-50,14)=0,INDEX(D232:D245,MOD(ROW()-50,14)+1),E236)</f>
        <v/>
      </c>
      <c r="E238" s="6360" t="str">
        <f t="shared" si="99"/>
        <v/>
      </c>
      <c r="F238" s="6361" t="str">
        <f t="shared" si="100"/>
        <v/>
      </c>
      <c r="G238" s="6318"/>
      <c r="H238" s="6393" t="str">
        <f t="shared" si="101"/>
        <v/>
      </c>
      <c r="I238" s="6405"/>
      <c r="J238" s="6395" t="str">
        <f t="shared" si="102"/>
        <v/>
      </c>
      <c r="K238" s="6396" t="str">
        <f>IF(J238="","",LEFT(J238,IF(LEN(J238)&lt;=I235,LEN(J238),IFERROR(FIND("§",SUBSTITUTE(LEFT(J238,I235+1)," ","§",LEN(LEFT(J238,I235+1))-LEN(SUBSTITUTE(LEFT(J238,I235+1)," ",""))))-1,IFERROR(FIND(" ",J238,I235+1)-1,LEN(J238))))))</f>
        <v/>
      </c>
      <c r="L238" s="6388"/>
      <c r="M238" s="6332" t="str">
        <v>cocotte N°3 en fonte, faites chauffer l’huile d’olive</v>
      </c>
      <c r="N238" t="s">
        <v>21</v>
      </c>
      <c r="AV238" s="103"/>
      <c r="AW238" s="31"/>
      <c r="AX238" s="32"/>
      <c r="AY238" s="31"/>
      <c r="AZ238" s="33"/>
      <c r="BA238" s="1967"/>
      <c r="BB238" s="1805"/>
      <c r="BC238" s="91"/>
      <c r="BD238" s="1806"/>
      <c r="BE238" s="6401"/>
      <c r="BF238" s="6402"/>
      <c r="BG238" s="1969"/>
      <c r="BH238" s="6403"/>
      <c r="BI238" s="95"/>
      <c r="BJ238" s="1326"/>
      <c r="BK238" s="6404"/>
      <c r="BL238" s="1737"/>
      <c r="BM238" s="2081"/>
      <c r="BN238" s="2238"/>
      <c r="BO238" s="1809"/>
      <c r="BQ238" s="2230"/>
      <c r="BR238" s="3">
        <v>1</v>
      </c>
    </row>
    <row r="239" spans="2:70" ht="21" customHeight="1">
      <c r="B239" s="6236"/>
      <c r="C239" s="6358">
        <f t="shared" si="98"/>
        <v>150</v>
      </c>
      <c r="D239" s="6359" t="str" cm="1">
        <f t="array" ref="D239">IF(MOD(ROW()-50,14)=0,INDEX(D232:D245,MOD(ROW()-50,14)+1),E237)</f>
        <v/>
      </c>
      <c r="E239" s="6360" t="str">
        <f t="shared" si="99"/>
        <v/>
      </c>
      <c r="F239" s="6361" t="str">
        <f t="shared" si="100"/>
        <v/>
      </c>
      <c r="G239" s="6318"/>
      <c r="H239" s="6393" t="str">
        <f t="shared" si="101"/>
        <v/>
      </c>
      <c r="I239" s="6405"/>
      <c r="J239" s="6395" t="str">
        <f t="shared" si="102"/>
        <v/>
      </c>
      <c r="K239" s="6396" t="str">
        <f>IF(J239="","",LEFT(J239,IF(LEN(J239)&lt;=I235,LEN(J239),IFERROR(FIND("§",SUBSTITUTE(LEFT(J239,I235+1)," ","§",LEN(LEFT(J239,I235+1))-LEN(SUBSTITUTE(LEFT(J239,I235+1)," ",""))))-1,IFERROR(FIND(" ",J239,I235+1)-1,LEN(J239))))))</f>
        <v/>
      </c>
      <c r="L239" s="6388"/>
      <c r="M239" s="6332" t="str">
        <v>à feu moyen. Ajoutez la viande et faites-la dorer de</v>
      </c>
      <c r="N239" t="s">
        <v>21</v>
      </c>
      <c r="AV239" s="103"/>
      <c r="AW239" s="31"/>
      <c r="AX239" s="32"/>
      <c r="AY239" s="31"/>
      <c r="AZ239" s="33"/>
      <c r="BA239" s="1967"/>
      <c r="BB239" s="1805"/>
      <c r="BC239" s="91"/>
      <c r="BD239" s="1806"/>
      <c r="BE239" s="6401"/>
      <c r="BF239" s="6402"/>
      <c r="BG239" s="1969"/>
      <c r="BH239" s="6403"/>
      <c r="BI239" s="95"/>
      <c r="BJ239" s="1326"/>
      <c r="BK239" s="6404"/>
      <c r="BL239" s="1737"/>
      <c r="BM239" s="2081"/>
      <c r="BN239" s="2238"/>
      <c r="BO239" s="1809"/>
      <c r="BQ239" s="2230"/>
      <c r="BR239" s="3">
        <v>1</v>
      </c>
    </row>
    <row r="240" spans="2:70" ht="21" customHeight="1">
      <c r="B240" s="6236"/>
      <c r="C240" s="6358">
        <f t="shared" si="98"/>
        <v>150</v>
      </c>
      <c r="D240" s="6359" t="str" cm="1">
        <f t="array" ref="D240">IF(MOD(ROW()-50,14)=0,INDEX(D232:D245,MOD(ROW()-50,14)+1),E238)</f>
        <v/>
      </c>
      <c r="E240" s="6360" t="str">
        <f t="shared" si="99"/>
        <v/>
      </c>
      <c r="F240" s="6361" t="str">
        <f t="shared" si="100"/>
        <v/>
      </c>
      <c r="G240" s="6318"/>
      <c r="H240" s="6393" t="str">
        <f t="shared" si="101"/>
        <v/>
      </c>
      <c r="I240" s="6405"/>
      <c r="J240" s="6395" t="str">
        <f t="shared" si="102"/>
        <v/>
      </c>
      <c r="K240" s="6396" t="str">
        <f>IF(J240="","",LEFT(J240,IF(LEN(J240)&lt;=I235,LEN(J240),IFERROR(FIND("§",SUBSTITUTE(LEFT(J240,I235+1)," ","§",LEN(LEFT(J240,I235+1))-LEN(SUBSTITUTE(LEFT(J240,I235+1)," ",""))))-1,IFERROR(FIND(" ",J240,I235+1)-1,LEN(J240))))))</f>
        <v/>
      </c>
      <c r="L240" s="6388"/>
      <c r="M240" s="6332" t="str">
        <v>tous les côtés. Retirez-la de la cocotte et</v>
      </c>
      <c r="N240" t="s">
        <v>21</v>
      </c>
      <c r="AV240" s="103"/>
      <c r="AW240" s="31"/>
      <c r="AX240" s="32"/>
      <c r="AY240" s="31"/>
      <c r="AZ240" s="33"/>
      <c r="BA240" s="1967"/>
      <c r="BB240" s="1805"/>
      <c r="BC240" s="91"/>
      <c r="BD240" s="1806"/>
      <c r="BE240" s="6401"/>
      <c r="BF240" s="6402"/>
      <c r="BG240" s="1969"/>
      <c r="BH240" s="6403"/>
      <c r="BI240" s="95"/>
      <c r="BJ240" s="1326"/>
      <c r="BK240" s="6404"/>
      <c r="BL240" s="1737"/>
      <c r="BM240" s="2081"/>
      <c r="BN240" s="2238"/>
      <c r="BO240" s="1809"/>
      <c r="BQ240" s="2230"/>
      <c r="BR240" s="3">
        <v>1</v>
      </c>
    </row>
    <row r="241" spans="2:70" ht="21" customHeight="1">
      <c r="B241" s="6236"/>
      <c r="C241" s="6358">
        <f t="shared" si="98"/>
        <v>150</v>
      </c>
      <c r="D241" s="6359" t="str" cm="1">
        <f t="array" ref="D241">IF(MOD(ROW()-50,14)=0,INDEX(D232:D245,MOD(ROW()-50,14)+1),E239)</f>
        <v/>
      </c>
      <c r="E241" s="6360" t="str">
        <f t="shared" si="99"/>
        <v/>
      </c>
      <c r="F241" s="6361" t="str">
        <f t="shared" si="100"/>
        <v/>
      </c>
      <c r="G241" s="6318"/>
      <c r="H241" s="6393" t="str">
        <f t="shared" si="101"/>
        <v/>
      </c>
      <c r="I241" s="6405"/>
      <c r="J241" s="6395" t="str">
        <f t="shared" si="102"/>
        <v/>
      </c>
      <c r="K241" s="6396" t="str">
        <f>IF(J241="","",LEFT(J241,IF(LEN(J241)&lt;=I235,LEN(J241),IFERROR(FIND("§",SUBSTITUTE(LEFT(J241,I235+1)," ","§",LEN(LEFT(J241,I235+1))-LEN(SUBSTITUTE(LEFT(J241,I235+1)," ",""))))-1,IFERROR(FIND(" ",J241,I235+1)-1,LEN(J241))))))</f>
        <v/>
      </c>
      <c r="L241" s="6388"/>
      <c r="M241" s="6332" t="str">
        <v>réservez-la.</v>
      </c>
      <c r="N241" t="s">
        <v>21</v>
      </c>
      <c r="AV241" s="103"/>
      <c r="AW241" s="31"/>
      <c r="AX241" s="32"/>
      <c r="AY241" s="31"/>
      <c r="AZ241" s="33"/>
      <c r="BA241" s="1967"/>
      <c r="BB241" s="1805"/>
      <c r="BC241" s="91"/>
      <c r="BD241" s="1806"/>
      <c r="BE241" s="6401"/>
      <c r="BF241" s="6402"/>
      <c r="BG241" s="1969"/>
      <c r="BH241" s="6403"/>
      <c r="BI241" s="95"/>
      <c r="BJ241" s="1326"/>
      <c r="BK241" s="6404"/>
      <c r="BL241" s="1737"/>
      <c r="BM241" s="2081"/>
      <c r="BN241" s="2238"/>
      <c r="BO241" s="1809"/>
      <c r="BQ241" s="2230"/>
      <c r="BR241" s="3">
        <v>1</v>
      </c>
    </row>
    <row r="242" spans="2:70" ht="21" customHeight="1">
      <c r="B242" s="6236"/>
      <c r="C242" s="6358">
        <f t="shared" si="98"/>
        <v>150</v>
      </c>
      <c r="D242" s="6359" t="str" cm="1">
        <f t="array" ref="D242">IF(MOD(ROW()-50,14)=0,INDEX(D232:D245,MOD(ROW()-50,14)+1),E240)</f>
        <v/>
      </c>
      <c r="E242" s="6360" t="str">
        <f t="shared" si="99"/>
        <v/>
      </c>
      <c r="F242" s="6361" t="str">
        <f t="shared" si="100"/>
        <v/>
      </c>
      <c r="G242" s="6318"/>
      <c r="H242" s="6393" t="str">
        <f t="shared" si="101"/>
        <v/>
      </c>
      <c r="I242" s="6405"/>
      <c r="J242" s="6395" t="str">
        <f t="shared" si="102"/>
        <v/>
      </c>
      <c r="K242" s="6396" t="str">
        <f>IF(J242="","",LEFT(J242,IF(LEN(J242)&lt;=I235,LEN(J242),IFERROR(FIND("§",SUBSTITUTE(LEFT(J242,I235+1)," ","§",LEN(LEFT(J242,I235+1))-LEN(SUBSTITUTE(LEFT(J242,I235+1)," ",""))))-1,IFERROR(FIND(" ",J242,I235+1)-1,LEN(J242))))))</f>
        <v/>
      </c>
      <c r="L242" s="6388"/>
      <c r="M242" s="6332" t="str">
        <v>33.TEST LIGNE 19 colonne Q et ligne 20 colonne P.</v>
      </c>
      <c r="N242" t="s">
        <v>21</v>
      </c>
      <c r="AV242" s="103"/>
      <c r="AW242" s="31"/>
      <c r="AX242" s="32"/>
      <c r="AY242" s="31"/>
      <c r="AZ242" s="33"/>
      <c r="BA242" s="1967"/>
      <c r="BB242" s="1805"/>
      <c r="BC242" s="91"/>
      <c r="BD242" s="1806"/>
      <c r="BE242" s="6401"/>
      <c r="BF242" s="6402"/>
      <c r="BG242" s="1969"/>
      <c r="BH242" s="6403"/>
      <c r="BI242" s="95"/>
      <c r="BJ242" s="1326"/>
      <c r="BK242" s="6404"/>
      <c r="BL242" s="1737"/>
      <c r="BM242" s="2081"/>
      <c r="BN242" s="2238"/>
      <c r="BO242" s="1809"/>
      <c r="BQ242" s="2230"/>
      <c r="BR242" s="3">
        <v>1</v>
      </c>
    </row>
    <row r="243" spans="2:70" ht="21" customHeight="1">
      <c r="B243" s="6236"/>
      <c r="C243" s="6358">
        <f t="shared" si="98"/>
        <v>150</v>
      </c>
      <c r="D243" s="6359" t="str" cm="1">
        <f t="array" ref="D243">IF(MOD(ROW()-50,14)=0,INDEX(D232:D245,MOD(ROW()-50,14)+1),E241)</f>
        <v/>
      </c>
      <c r="E243" s="6360" t="str">
        <f t="shared" si="99"/>
        <v/>
      </c>
      <c r="F243" s="6361" t="str">
        <f t="shared" si="100"/>
        <v/>
      </c>
      <c r="G243" s="6318"/>
      <c r="H243" s="6393" t="str">
        <f t="shared" si="101"/>
        <v/>
      </c>
      <c r="I243" s="6405"/>
      <c r="J243" s="6395" t="str">
        <f t="shared" si="102"/>
        <v/>
      </c>
      <c r="K243" s="6396" t="str">
        <f>IF(J243="","",LEFT(J243,IF(LEN(J243)&lt;=I235,LEN(J243),IFERROR(FIND("§",SUBSTITUTE(LEFT(J243,I235+1)," ","§",LEN(LEFT(J243,I235+1))-LEN(SUBSTITUTE(LEFT(J243,I235+1)," ",""))))-1,IFERROR(FIND(" ",J243,I235+1)-1,LEN(J243))))))</f>
        <v/>
      </c>
      <c r="L243" s="6388"/>
      <c r="M243" s="6332" t="str">
        <v>rechercher la cellule qui coupe le texte Dans la</v>
      </c>
      <c r="N243" t="s">
        <v>21</v>
      </c>
      <c r="AV243" s="103"/>
      <c r="AW243" s="31"/>
      <c r="AX243" s="32"/>
      <c r="AY243" s="31"/>
      <c r="AZ243" s="33"/>
      <c r="BA243" s="1967"/>
      <c r="BB243" s="1805"/>
      <c r="BC243" s="91"/>
      <c r="BD243" s="1806"/>
      <c r="BE243" s="6401"/>
      <c r="BF243" s="6402"/>
      <c r="BG243" s="1969"/>
      <c r="BH243" s="6403"/>
      <c r="BI243" s="95"/>
      <c r="BJ243" s="1326"/>
      <c r="BK243" s="6404"/>
      <c r="BL243" s="1737"/>
      <c r="BM243" s="2081"/>
      <c r="BN243" s="2238"/>
      <c r="BO243" s="1809"/>
      <c r="BQ243" s="2230"/>
      <c r="BR243" s="3">
        <v>1</v>
      </c>
    </row>
    <row r="244" spans="2:70" ht="21" customHeight="1">
      <c r="B244" s="6236"/>
      <c r="C244" s="6358">
        <f t="shared" si="98"/>
        <v>150</v>
      </c>
      <c r="D244" s="6359" t="str" cm="1">
        <f t="array" ref="D244">IF(MOD(ROW()-50,14)=0,INDEX(D232:D245,MOD(ROW()-50,14)+1),E242)</f>
        <v/>
      </c>
      <c r="E244" s="6360" t="str">
        <f t="shared" si="99"/>
        <v/>
      </c>
      <c r="F244" s="6361" t="str">
        <f t="shared" si="100"/>
        <v/>
      </c>
      <c r="G244" s="6318"/>
      <c r="H244" s="6393" t="str">
        <f t="shared" si="101"/>
        <v/>
      </c>
      <c r="I244" s="6405"/>
      <c r="J244" s="6395" t="str">
        <f t="shared" si="102"/>
        <v/>
      </c>
      <c r="K244" s="6396" t="str">
        <f>IF(J244="","",LEFT(J244,IF(LEN(J244)&lt;=I235,LEN(J244),IFERROR(FIND("§",SUBSTITUTE(LEFT(J244,I235+1)," ","§",LEN(LEFT(J244,I235+1))-LEN(SUBSTITUTE(LEFT(J244,I235+1)," ",""))))-1,IFERROR(FIND(" ",J244,I235+1)-1,LEN(J244))))))</f>
        <v/>
      </c>
      <c r="L244" s="6396"/>
      <c r="M244" s="6332" t="str">
        <v>cocotte N°3 en fonte, faites chauffer l’huile d’olive</v>
      </c>
      <c r="N244" t="s">
        <v>21</v>
      </c>
      <c r="AV244" s="103"/>
      <c r="AW244" s="31"/>
      <c r="AX244" s="32"/>
      <c r="AY244" s="31"/>
      <c r="AZ244" s="33"/>
      <c r="BA244" s="1967"/>
      <c r="BB244" s="1805"/>
      <c r="BC244" s="91"/>
      <c r="BD244" s="1806"/>
      <c r="BE244" s="6401"/>
      <c r="BF244" s="6402"/>
      <c r="BG244" s="1969"/>
      <c r="BH244" s="6403"/>
      <c r="BI244" s="95"/>
      <c r="BJ244" s="1326"/>
      <c r="BK244" s="6404"/>
      <c r="BL244" s="1737"/>
      <c r="BM244" s="2081"/>
      <c r="BN244" s="2238"/>
      <c r="BO244" s="1809"/>
      <c r="BQ244" s="2230"/>
      <c r="BR244" s="3">
        <v>1</v>
      </c>
    </row>
    <row r="245" spans="2:70" ht="21" customHeight="1">
      <c r="B245" s="6236"/>
      <c r="C245" s="6376">
        <f t="shared" si="98"/>
        <v>150</v>
      </c>
      <c r="D245" s="6414" t="str" cm="1">
        <f t="array" ref="D245">IF(MOD(ROW()-50,14)=0,INDEX(D232:D245,MOD(ROW()-50,14)+1),E243)</f>
        <v/>
      </c>
      <c r="E245" s="6377" t="str">
        <f t="shared" si="99"/>
        <v/>
      </c>
      <c r="F245" s="6378" t="str">
        <f t="shared" si="100"/>
        <v/>
      </c>
      <c r="G245" s="6319"/>
      <c r="H245" s="6409" t="str">
        <f t="shared" si="101"/>
        <v/>
      </c>
      <c r="I245" s="6410"/>
      <c r="J245" s="6411" t="str">
        <f t="shared" si="102"/>
        <v/>
      </c>
      <c r="K245" s="6412" t="str">
        <f>IF(J245="","",LEFT(J245,IF(LEN(J245)&lt;=I235,LEN(J245),IFERROR(FIND("§",SUBSTITUTE(LEFT(J245,I235+1)," ","§",LEN(LEFT(J245,I235+1))-LEN(SUBSTITUTE(LEFT(J245,I235+1)," ",""))))-1,IFERROR(FIND(" ",J245,I235+1)-1,LEN(J245))))))</f>
        <v/>
      </c>
      <c r="L245" s="6413"/>
      <c r="M245" s="6333" t="str">
        <v>à feu moyen. Ajoutez la viande et faites-la dorer de</v>
      </c>
      <c r="N245" t="s">
        <v>21</v>
      </c>
      <c r="AV245" s="103"/>
      <c r="AW245" s="31"/>
      <c r="AX245" s="32"/>
      <c r="AY245" s="31"/>
      <c r="AZ245" s="33"/>
      <c r="BA245" s="1967"/>
      <c r="BB245" s="1805"/>
      <c r="BC245" s="91"/>
      <c r="BD245" s="1806"/>
      <c r="BE245" s="6401"/>
      <c r="BF245" s="6402"/>
      <c r="BG245" s="1969"/>
      <c r="BH245" s="6403"/>
      <c r="BI245" s="95"/>
      <c r="BJ245" s="1326"/>
      <c r="BK245" s="6404"/>
      <c r="BL245" s="1737"/>
      <c r="BM245" s="2081"/>
      <c r="BN245" s="2238"/>
      <c r="BO245" s="1809"/>
      <c r="BQ245" s="2230"/>
      <c r="BR245" s="3">
        <v>1</v>
      </c>
    </row>
    <row r="246" spans="2:70" ht="21" customHeight="1">
      <c r="B246" s="6236"/>
      <c r="C246" s="6313">
        <f>AD64</f>
        <v>150</v>
      </c>
      <c r="D246" s="6314" t="str">
        <f>IF(UPPER(TRIM(X45))="X",U64,O64)</f>
        <v>15.TEST LIGNE 19 colonne Q et ligne 20 colonne P. rechercher la cellule qui coupe le texte Dans la cocotte N°3 en fonte, faites chauffer l’huile d’olive à feu moyen. Ajoutez la viande et faites-la dorer de tous les côtés. Retirez-la de la cocotte et réservez-la.</v>
      </c>
      <c r="E246" s="6315" t="str">
        <f>IF(D246="","",IF(F246="","",IF(LEN(F246)&gt;=LEN(D246),"",TRIM(MID(D246,LEN(F246)+1,99999)))))</f>
        <v>d’olive à feu moyen. Ajoutez la viande et faites-la dorer de tous les côtés. Retirez-la de la cocotte et réservez-la.</v>
      </c>
      <c r="F246" s="6316" t="str">
        <f>IF(D246="","",IF(LEN(D246)&lt;=C246,D246,IFERROR(LEFT(D246,FIND("§",SUBSTITUTE(LEFT(D246,C246+1)," ","§",LEN(LEFT(D246,C246+1))-LEN(SUBSTITUTE(LEFT(D246,C246+1)," ",""))))-1),LEFT(D246,C246))))</f>
        <v>15.TEST LIGNE 19 colonne Q et ligne 20 colonne P. rechercher la cellule qui coupe le texte Dans la cocotte N°3 en fonte, faites chauffer l’huile</v>
      </c>
      <c r="G246" s="6317"/>
      <c r="H246" s="6323">
        <f>IF(LEN(TRIM(L246))&gt;0,MAX(H245:H245)+1,"")</f>
        <v>1</v>
      </c>
      <c r="I246" s="6324" t="str">
        <f>D246</f>
        <v>15.TEST LIGNE 19 colonne Q et ligne 20 colonne P. rechercher la cellule qui coupe le texte Dans la cocotte N°3 en fonte, faites chauffer l’huile d’olive à feu moyen. Ajoutez la viande et faites-la dorer de tous les côtés. Retirez-la de la cocotte et réservez-la.</v>
      </c>
      <c r="J246" s="6325" t="str">
        <f>IF(I246=0,"",I246)</f>
        <v>15.TEST LIGNE 19 colonne Q et ligne 20 colonne P. rechercher la cellule qui coupe le texte Dans la cocotte N°3 en fonte, faites chauffer l’huile d’olive à feu moyen. Ajoutez la viande et faites-la dorer de tous les côtés. Retirez-la de la cocotte et réservez-la.</v>
      </c>
      <c r="K246" s="6326" t="str">
        <f>IF(I246="","",LEFT(I246,IF(LEN(I246)&lt;=I249,LEN(I246),IFERROR(FIND("§",SUBSTITUTE(LEFT(I246,I249+1)," ","§",LEN(LEFT(I246,I249+1))-LEN(SUBSTITUTE(LEFT(I246,I249+1)," ",""))))-1,IFERROR(FIND(" ",I246,I249+1)-1,LEN(I246))))))</f>
        <v>15.TEST LIGNE 19 colonne Q et ligne 20 colonne P.</v>
      </c>
      <c r="L246" s="6326" t="str" cm="1">
        <f t="array" ref="L246:L251">_xlfn._xlws.FILTER(TRIM(SUBSTITUTE(SUBSTITUTE(SUBSTITUTE(SUBSTITUTE(SUBSTITUTE(CLEAN(K246:K259),CHAR(160)," "),_xlfn.UNICHAR(8239)," "),CHAR(9)," "),CHAR(10)," "),CHAR(13)," ")),TRIM(SUBSTITUTE(SUBSTITUTE(SUBSTITUTE(SUBSTITUTE(SUBSTITUTE(CLEAN(K246:K259),CHAR(160)," "),_xlfn.UNICHAR(8239)," "),CHAR(9)," "),CHAR(10)," "),CHAR(13)," "))&lt;&gt;"")</f>
        <v>15.TEST LIGNE 19 colonne Q et ligne 20 colonne P.</v>
      </c>
      <c r="M246" s="6328" t="str">
        <v>tous les côtés. Retirez-la de la cocotte et</v>
      </c>
      <c r="N246" t="s">
        <v>21</v>
      </c>
      <c r="AV246" s="103"/>
      <c r="AW246" s="31"/>
      <c r="AX246" s="32"/>
      <c r="AY246" s="31"/>
      <c r="AZ246" s="33"/>
      <c r="BA246" s="1967"/>
      <c r="BB246" s="1805"/>
      <c r="BC246" s="91"/>
      <c r="BD246" s="1806"/>
      <c r="BE246" s="6401"/>
      <c r="BF246" s="6402"/>
      <c r="BG246" s="1969"/>
      <c r="BH246" s="6403"/>
      <c r="BI246" s="95"/>
      <c r="BJ246" s="1326"/>
      <c r="BK246" s="6404"/>
      <c r="BL246" s="1737"/>
      <c r="BM246" s="2081"/>
      <c r="BN246" s="2238"/>
      <c r="BO246" s="1809"/>
      <c r="BQ246" s="2230"/>
      <c r="BR246" s="3">
        <v>1</v>
      </c>
    </row>
    <row r="247" spans="2:70" ht="21" customHeight="1">
      <c r="B247" s="6236"/>
      <c r="C247" s="6358">
        <f t="shared" ref="C247:C259" si="103">C246</f>
        <v>150</v>
      </c>
      <c r="D247" s="6359" t="str" cm="1">
        <f t="array" ref="D247">IF(MOD(ROW()-50,14)=0,INDEX(D246:D259,MOD(ROW()-50,14)+1),E245)</f>
        <v/>
      </c>
      <c r="E247" s="6360" t="str">
        <f t="shared" ref="E247:E259" si="104">IF(D247="","",IF(F247="","",IF(LEN(F247)&gt;=LEN(D247),"",TRIM(MID(D247,LEN(F247)+1,99999)))))</f>
        <v/>
      </c>
      <c r="F247" s="6361" t="str">
        <f t="shared" ref="F247:F259" si="105">IF(D247="","",IF(LEN(D247)&lt;=C247,D247,IFERROR(LEFT(D247,FIND("§",SUBSTITUTE(LEFT(D247,C247+1)," ","§",LEN(LEFT(D247,C247+1))-LEN(SUBSTITUTE(LEFT(D247,C247+1)," ",""))))-1),LEFT(D247,C247))))</f>
        <v/>
      </c>
      <c r="G247" s="6318"/>
      <c r="H247" s="6323">
        <f t="shared" ref="H247:H259" si="106">IF(LEN(TRIM(L247))&gt;0,MAX(H246:H246)+1,"")</f>
        <v>2</v>
      </c>
      <c r="I247" s="6362" t="s">
        <v>14355</v>
      </c>
      <c r="J247" s="6363" t="str">
        <f>TRIM(MID(I250,LEN(K246)+1,99999))</f>
        <v>rechercher la cellule qui coupe le texte Dans la cocotte N°3 en fonte, faites chauffer l’huile d’olive à feu moyen. Ajoutez la viande et faites-la dorer de tous les côtés. Retirez-la de la cocotte et réservez-la.</v>
      </c>
      <c r="K247" s="6364" t="str">
        <f>IF(J247="","",LEFT(J247,IF(LEN(J247)&lt;=I249,LEN(J247),IFERROR(FIND("§",SUBSTITUTE(LEFT(J247,I249+1)," ","§",LEN(LEFT(J247,I249+1))-LEN(SUBSTITUTE(LEFT(J247,I249+1)," ",""))))-1,IFERROR(FIND(" ",J247,I249+1)-1,LEN(J247))))))</f>
        <v>rechercher la cellule qui coupe le texte Dans la</v>
      </c>
      <c r="L247" s="6327" t="str">
        <v>rechercher la cellule qui coupe le texte Dans la</v>
      </c>
      <c r="M247" s="6329" t="str">
        <v>réservez-la.</v>
      </c>
      <c r="N247" t="s">
        <v>21</v>
      </c>
      <c r="AV247" s="103"/>
      <c r="AW247" s="31"/>
      <c r="AX247" s="32"/>
      <c r="AY247" s="31"/>
      <c r="AZ247" s="33"/>
      <c r="BA247" s="1967"/>
      <c r="BB247" s="1805"/>
      <c r="BC247" s="91"/>
      <c r="BD247" s="1806"/>
      <c r="BE247" s="6401"/>
      <c r="BF247" s="6402"/>
      <c r="BG247" s="1969"/>
      <c r="BH247" s="6403"/>
      <c r="BI247" s="95"/>
      <c r="BJ247" s="1326"/>
      <c r="BK247" s="6404"/>
      <c r="BL247" s="1737"/>
      <c r="BM247" s="2081"/>
      <c r="BN247" s="2238"/>
      <c r="BO247" s="1809"/>
      <c r="BQ247" s="2230"/>
      <c r="BR247" s="3">
        <v>1</v>
      </c>
    </row>
    <row r="248" spans="2:70" ht="21" customHeight="1">
      <c r="B248" s="6236"/>
      <c r="C248" s="6358">
        <f t="shared" si="103"/>
        <v>150</v>
      </c>
      <c r="D248" s="6359" t="str" cm="1">
        <f t="array" ref="D248">IF(MOD(ROW()-50,14)=0,INDEX(D246:D259,MOD(ROW()-50,14)+1),E246)</f>
        <v>d’olive à feu moyen. Ajoutez la viande et faites-la dorer de tous les côtés. Retirez-la de la cocotte et réservez-la.</v>
      </c>
      <c r="E248" s="6360" t="str">
        <f t="shared" si="104"/>
        <v/>
      </c>
      <c r="F248" s="6361" t="str">
        <f t="shared" si="105"/>
        <v>d’olive à feu moyen. Ajoutez la viande et faites-la dorer de tous les côtés. Retirez-la de la cocotte et réservez-la.</v>
      </c>
      <c r="G248" s="6318"/>
      <c r="H248" s="6323">
        <f t="shared" si="106"/>
        <v>3</v>
      </c>
      <c r="I248" s="6365">
        <f>Z64</f>
        <v>5</v>
      </c>
      <c r="J248" s="6363" t="str">
        <f t="shared" ref="J248:J259" si="107">TRIM(MID(J247,LEN(K247)+1,99999))</f>
        <v>cocotte N°3 en fonte, faites chauffer l’huile d’olive à feu moyen. Ajoutez la viande et faites-la dorer de tous les côtés. Retirez-la de la cocotte et réservez-la.</v>
      </c>
      <c r="K248" s="6364" t="str">
        <f>IF(J248="","",LEFT(J248,IF(LEN(J248)&lt;=I249,LEN(J248),IFERROR(FIND("§",SUBSTITUTE(LEFT(J248,I249+1)," ","§",LEN(LEFT(J248,I249+1))-LEN(SUBSTITUTE(LEFT(J248,I249+1)," ",""))))-1,IFERROR(FIND(" ",J248,I249+1)-1,LEN(J248))))))</f>
        <v>cocotte N°3 en fonte, faites chauffer l’huile d’olive</v>
      </c>
      <c r="L248" s="6327" t="str">
        <v>cocotte N°3 en fonte, faites chauffer l’huile d’olive</v>
      </c>
      <c r="M248" s="6329" t="str">
        <v>34.TEST LIGNE 19 colonne Q et ligne 20 colonne P.</v>
      </c>
      <c r="N248" t="s">
        <v>21</v>
      </c>
      <c r="AV248" s="103"/>
      <c r="AW248" s="31"/>
      <c r="AX248" s="32"/>
      <c r="AY248" s="31"/>
      <c r="AZ248" s="33"/>
      <c r="BA248" s="1967"/>
      <c r="BB248" s="1805"/>
      <c r="BC248" s="91"/>
      <c r="BD248" s="1806"/>
      <c r="BE248" s="6401"/>
      <c r="BF248" s="6402"/>
      <c r="BG248" s="1969"/>
      <c r="BH248" s="6403"/>
      <c r="BI248" s="95"/>
      <c r="BJ248" s="1326"/>
      <c r="BK248" s="6404"/>
      <c r="BL248" s="1737"/>
      <c r="BM248" s="2081"/>
      <c r="BN248" s="2238"/>
      <c r="BO248" s="1809"/>
      <c r="BQ248" s="2230"/>
      <c r="BR248" s="3">
        <v>1</v>
      </c>
    </row>
    <row r="249" spans="2:70" ht="21" customHeight="1">
      <c r="B249" s="6236"/>
      <c r="C249" s="6358">
        <f t="shared" si="103"/>
        <v>150</v>
      </c>
      <c r="D249" s="6359" t="str" cm="1">
        <f t="array" ref="D249">IF(MOD(ROW()-50,14)=0,INDEX(D246:D259,MOD(ROW()-50,14)+1),E247)</f>
        <v/>
      </c>
      <c r="E249" s="6360" t="str">
        <f t="shared" si="104"/>
        <v/>
      </c>
      <c r="F249" s="6361" t="str">
        <f t="shared" si="105"/>
        <v/>
      </c>
      <c r="G249" s="6318"/>
      <c r="H249" s="6323">
        <f t="shared" si="106"/>
        <v>4</v>
      </c>
      <c r="I249" s="6370">
        <f>IF(OR(J246="",I248="",I248&lt;=0),"",ROUNDUP(LEN(J246)/I248,0))</f>
        <v>53</v>
      </c>
      <c r="J249" s="6363" t="str">
        <f t="shared" si="107"/>
        <v>à feu moyen. Ajoutez la viande et faites-la dorer de tous les côtés. Retirez-la de la cocotte et réservez-la.</v>
      </c>
      <c r="K249" s="6364" t="str">
        <f>IF(J249="","",LEFT(J249,IF(LEN(J249)&lt;=I249,LEN(J249),IFERROR(FIND("§",SUBSTITUTE(LEFT(J249,I249+1)," ","§",LEN(LEFT(J249,I249+1))-LEN(SUBSTITUTE(LEFT(J249,I249+1)," ",""))))-1,IFERROR(FIND(" ",J249,I249+1)-1,LEN(J249))))))</f>
        <v>à feu moyen. Ajoutez la viande et faites-la dorer de</v>
      </c>
      <c r="L249" s="6327" t="str">
        <v>à feu moyen. Ajoutez la viande et faites-la dorer de</v>
      </c>
      <c r="M249" s="6329" t="str">
        <v>rechercher la cellule qui coupe le texte Dans la</v>
      </c>
      <c r="N249" t="s">
        <v>21</v>
      </c>
      <c r="AV249" s="103"/>
      <c r="AW249" s="31"/>
      <c r="AX249" s="32"/>
      <c r="AY249" s="31"/>
      <c r="AZ249" s="33"/>
      <c r="BA249" s="1967"/>
      <c r="BB249" s="1805"/>
      <c r="BC249" s="91"/>
      <c r="BD249" s="1806"/>
      <c r="BE249" s="6401"/>
      <c r="BF249" s="6402"/>
      <c r="BG249" s="1969"/>
      <c r="BH249" s="6403"/>
      <c r="BI249" s="95"/>
      <c r="BJ249" s="1326"/>
      <c r="BK249" s="6404"/>
      <c r="BL249" s="1737"/>
      <c r="BM249" s="2081"/>
      <c r="BN249" s="2238"/>
      <c r="BO249" s="1809"/>
      <c r="BQ249" s="2230"/>
      <c r="BR249" s="3">
        <v>1</v>
      </c>
    </row>
    <row r="250" spans="2:70" ht="21" customHeight="1">
      <c r="B250" s="6236"/>
      <c r="C250" s="6358">
        <f t="shared" si="103"/>
        <v>150</v>
      </c>
      <c r="D250" s="6359" t="str" cm="1">
        <f t="array" ref="D250">IF(MOD(ROW()-50,14)=0,INDEX(D246:D259,MOD(ROW()-50,14)+1),E248)</f>
        <v/>
      </c>
      <c r="E250" s="6360" t="str">
        <f t="shared" si="104"/>
        <v/>
      </c>
      <c r="F250" s="6361" t="str">
        <f t="shared" si="105"/>
        <v/>
      </c>
      <c r="G250" s="6318"/>
      <c r="H250" s="6323">
        <f t="shared" si="106"/>
        <v>5</v>
      </c>
      <c r="I250" s="6372" t="str">
        <f>I246</f>
        <v>15.TEST LIGNE 19 colonne Q et ligne 20 colonne P. rechercher la cellule qui coupe le texte Dans la cocotte N°3 en fonte, faites chauffer l’huile d’olive à feu moyen. Ajoutez la viande et faites-la dorer de tous les côtés. Retirez-la de la cocotte et réservez-la.</v>
      </c>
      <c r="J250" s="6363" t="str">
        <f t="shared" si="107"/>
        <v>tous les côtés. Retirez-la de la cocotte et réservez-la.</v>
      </c>
      <c r="K250" s="6364" t="str">
        <f>IF(J250="","",LEFT(J250,IF(LEN(J250)&lt;=I249,LEN(J250),IFERROR(FIND("§",SUBSTITUTE(LEFT(J250,I249+1)," ","§",LEN(LEFT(J250,I249+1))-LEN(SUBSTITUTE(LEFT(J250,I249+1)," ",""))))-1,IFERROR(FIND(" ",J250,I249+1)-1,LEN(J250))))))</f>
        <v>tous les côtés. Retirez-la de la cocotte et</v>
      </c>
      <c r="L250" s="6327" t="str">
        <v>tous les côtés. Retirez-la de la cocotte et</v>
      </c>
      <c r="M250" s="6329" t="str">
        <v>cocotte N°3 en fonte, faites chauffer l’huile d’olive</v>
      </c>
      <c r="N250" t="s">
        <v>21</v>
      </c>
      <c r="AV250" s="103"/>
      <c r="AW250" s="31"/>
      <c r="AX250" s="32"/>
      <c r="AY250" s="31"/>
      <c r="AZ250" s="33"/>
      <c r="BA250" s="1967"/>
      <c r="BB250" s="1805"/>
      <c r="BC250" s="91"/>
      <c r="BD250" s="1806"/>
      <c r="BE250" s="6401"/>
      <c r="BF250" s="6402"/>
      <c r="BG250" s="1969"/>
      <c r="BH250" s="6403"/>
      <c r="BI250" s="95"/>
      <c r="BJ250" s="1326"/>
      <c r="BK250" s="6404"/>
      <c r="BL250" s="1737"/>
      <c r="BM250" s="2081"/>
      <c r="BN250" s="2238"/>
      <c r="BO250" s="1809"/>
      <c r="BQ250" s="2230"/>
      <c r="BR250" s="3">
        <v>1</v>
      </c>
    </row>
    <row r="251" spans="2:70" ht="21" customHeight="1">
      <c r="B251" s="6236"/>
      <c r="C251" s="6358">
        <f t="shared" si="103"/>
        <v>150</v>
      </c>
      <c r="D251" s="6359" t="str" cm="1">
        <f t="array" ref="D251">IF(MOD(ROW()-50,14)=0,INDEX(D246:D259,MOD(ROW()-50,14)+1),E249)</f>
        <v/>
      </c>
      <c r="E251" s="6360" t="str">
        <f t="shared" si="104"/>
        <v/>
      </c>
      <c r="F251" s="6361" t="str">
        <f t="shared" si="105"/>
        <v/>
      </c>
      <c r="G251" s="6318"/>
      <c r="H251" s="6323">
        <f t="shared" si="106"/>
        <v>6</v>
      </c>
      <c r="I251" s="6373"/>
      <c r="J251" s="6363" t="str">
        <f t="shared" si="107"/>
        <v>réservez-la.</v>
      </c>
      <c r="K251" s="6364" t="str">
        <f>IF(J251="","",LEFT(J251,IF(LEN(J251)&lt;=I249,LEN(J251),IFERROR(FIND("§",SUBSTITUTE(LEFT(J251,I249+1)," ","§",LEN(LEFT(J251,I249+1))-LEN(SUBSTITUTE(LEFT(J251,I249+1)," ",""))))-1,IFERROR(FIND(" ",J251,I249+1)-1,LEN(J251))))))</f>
        <v>réservez-la.</v>
      </c>
      <c r="L251" s="6327" t="str">
        <v>réservez-la.</v>
      </c>
      <c r="M251" s="6329" t="str">
        <v>à feu moyen. Ajoutez la viande et faites-la dorer de</v>
      </c>
      <c r="N251" t="s">
        <v>21</v>
      </c>
      <c r="AV251" s="103"/>
      <c r="AW251" s="31"/>
      <c r="AX251" s="32"/>
      <c r="AY251" s="31"/>
      <c r="AZ251" s="33"/>
      <c r="BA251" s="1967"/>
      <c r="BB251" s="1805"/>
      <c r="BC251" s="91"/>
      <c r="BD251" s="1806"/>
      <c r="BE251" s="6401"/>
      <c r="BF251" s="6402"/>
      <c r="BG251" s="1969"/>
      <c r="BH251" s="6403"/>
      <c r="BI251" s="95"/>
      <c r="BJ251" s="1326"/>
      <c r="BK251" s="6404"/>
      <c r="BL251" s="1737"/>
      <c r="BM251" s="2081"/>
      <c r="BN251" s="2238"/>
      <c r="BO251" s="1809"/>
      <c r="BQ251" s="2230"/>
      <c r="BR251" s="3">
        <v>1</v>
      </c>
    </row>
    <row r="252" spans="2:70" ht="21" customHeight="1">
      <c r="B252" s="6236"/>
      <c r="C252" s="6358">
        <f t="shared" si="103"/>
        <v>150</v>
      </c>
      <c r="D252" s="6359" t="str" cm="1">
        <f t="array" ref="D252">IF(MOD(ROW()-50,14)=0,INDEX(D246:D259,MOD(ROW()-50,14)+1),E250)</f>
        <v/>
      </c>
      <c r="E252" s="6360" t="str">
        <f t="shared" si="104"/>
        <v/>
      </c>
      <c r="F252" s="6361" t="str">
        <f t="shared" si="105"/>
        <v/>
      </c>
      <c r="G252" s="6318"/>
      <c r="H252" s="6323" t="str">
        <f t="shared" si="106"/>
        <v/>
      </c>
      <c r="I252" s="6373"/>
      <c r="J252" s="6363" t="str">
        <f t="shared" si="107"/>
        <v/>
      </c>
      <c r="K252" s="6364" t="str">
        <f>IF(J252="","",LEFT(J252,IF(LEN(J252)&lt;=I249,LEN(J252),IFERROR(FIND("§",SUBSTITUTE(LEFT(J252,I249+1)," ","§",LEN(LEFT(J252,I249+1))-LEN(SUBSTITUTE(LEFT(J252,I249+1)," ",""))))-1,IFERROR(FIND(" ",J252,I249+1)-1,LEN(J252))))))</f>
        <v/>
      </c>
      <c r="L252" s="6327"/>
      <c r="M252" s="6329" t="str">
        <v>tous les côtés. Retirez-la de la cocotte et</v>
      </c>
      <c r="N252" t="s">
        <v>21</v>
      </c>
      <c r="AV252" s="103"/>
      <c r="AW252" s="31"/>
      <c r="AX252" s="32"/>
      <c r="AY252" s="31"/>
      <c r="AZ252" s="33"/>
      <c r="BA252" s="1967"/>
      <c r="BB252" s="1805"/>
      <c r="BC252" s="91"/>
      <c r="BD252" s="1806"/>
      <c r="BE252" s="6401"/>
      <c r="BF252" s="6402"/>
      <c r="BG252" s="1969"/>
      <c r="BH252" s="6403"/>
      <c r="BI252" s="95"/>
      <c r="BJ252" s="1326"/>
      <c r="BK252" s="6404"/>
      <c r="BL252" s="1737"/>
      <c r="BM252" s="2081"/>
      <c r="BN252" s="2238"/>
      <c r="BO252" s="1809"/>
      <c r="BQ252" s="2230"/>
      <c r="BR252" s="3">
        <v>1</v>
      </c>
    </row>
    <row r="253" spans="2:70" ht="21" customHeight="1">
      <c r="B253" s="6236"/>
      <c r="C253" s="6358">
        <f t="shared" si="103"/>
        <v>150</v>
      </c>
      <c r="D253" s="6359" t="str" cm="1">
        <f t="array" ref="D253">IF(MOD(ROW()-50,14)=0,INDEX(D246:D259,MOD(ROW()-50,14)+1),E251)</f>
        <v/>
      </c>
      <c r="E253" s="6360" t="str">
        <f t="shared" si="104"/>
        <v/>
      </c>
      <c r="F253" s="6361" t="str">
        <f t="shared" si="105"/>
        <v/>
      </c>
      <c r="G253" s="6318"/>
      <c r="H253" s="6323" t="str">
        <f t="shared" si="106"/>
        <v/>
      </c>
      <c r="I253" s="6373"/>
      <c r="J253" s="6363" t="str">
        <f t="shared" si="107"/>
        <v/>
      </c>
      <c r="K253" s="6364" t="str">
        <f>IF(J253="","",LEFT(J253,IF(LEN(J253)&lt;=I249,LEN(J253),IFERROR(FIND("§",SUBSTITUTE(LEFT(J253,I249+1)," ","§",LEN(LEFT(J253,I249+1))-LEN(SUBSTITUTE(LEFT(J253,I249+1)," ",""))))-1,IFERROR(FIND(" ",J253,I249+1)-1,LEN(J253))))))</f>
        <v/>
      </c>
      <c r="L253" s="6327"/>
      <c r="M253" s="6329" t="str">
        <v>réservez-la.</v>
      </c>
      <c r="N253" t="s">
        <v>21</v>
      </c>
      <c r="AV253" s="103"/>
      <c r="AW253" s="31"/>
      <c r="AX253" s="32"/>
      <c r="AY253" s="31"/>
      <c r="AZ253" s="33"/>
      <c r="BA253" s="1967"/>
      <c r="BB253" s="1805"/>
      <c r="BC253" s="91"/>
      <c r="BD253" s="1806"/>
      <c r="BE253" s="6401"/>
      <c r="BF253" s="6402"/>
      <c r="BG253" s="1969"/>
      <c r="BH253" s="6403"/>
      <c r="BI253" s="95"/>
      <c r="BJ253" s="1326"/>
      <c r="BK253" s="6404"/>
      <c r="BL253" s="1737"/>
      <c r="BM253" s="2081"/>
      <c r="BN253" s="2238"/>
      <c r="BO253" s="1809"/>
      <c r="BQ253" s="2230"/>
      <c r="BR253" s="3">
        <v>1</v>
      </c>
    </row>
    <row r="254" spans="2:70" ht="21" customHeight="1">
      <c r="B254" s="6236"/>
      <c r="C254" s="6358">
        <f t="shared" si="103"/>
        <v>150</v>
      </c>
      <c r="D254" s="6359" t="str" cm="1">
        <f t="array" ref="D254">IF(MOD(ROW()-50,14)=0,INDEX(D246:D259,MOD(ROW()-50,14)+1),E252)</f>
        <v/>
      </c>
      <c r="E254" s="6360" t="str">
        <f t="shared" si="104"/>
        <v/>
      </c>
      <c r="F254" s="6361" t="str">
        <f t="shared" si="105"/>
        <v/>
      </c>
      <c r="G254" s="6318"/>
      <c r="H254" s="6323" t="str">
        <f t="shared" si="106"/>
        <v/>
      </c>
      <c r="I254" s="6373"/>
      <c r="J254" s="6363" t="str">
        <f t="shared" si="107"/>
        <v/>
      </c>
      <c r="K254" s="6364" t="str">
        <f>IF(J254="","",LEFT(J254,IF(LEN(J254)&lt;=I249,LEN(J254),IFERROR(FIND("§",SUBSTITUTE(LEFT(J254,I249+1)," ","§",LEN(LEFT(J254,I249+1))-LEN(SUBSTITUTE(LEFT(J254,I249+1)," ",""))))-1,IFERROR(FIND(" ",J254,I249+1)-1,LEN(J254))))))</f>
        <v/>
      </c>
      <c r="L254" s="6327"/>
      <c r="M254" s="6329" t="str">
        <v>35.TEST LIGNE 19 colonne Q et ligne 20 colonne P.</v>
      </c>
      <c r="N254" t="s">
        <v>21</v>
      </c>
      <c r="AV254" s="103"/>
      <c r="AW254" s="31"/>
      <c r="AX254" s="32"/>
      <c r="AY254" s="31"/>
      <c r="AZ254" s="33"/>
      <c r="BA254" s="1967"/>
      <c r="BB254" s="1805"/>
      <c r="BC254" s="91"/>
      <c r="BD254" s="1806"/>
      <c r="BE254" s="6401"/>
      <c r="BF254" s="6402"/>
      <c r="BG254" s="1969"/>
      <c r="BH254" s="6403"/>
      <c r="BI254" s="95"/>
      <c r="BJ254" s="1326"/>
      <c r="BK254" s="6404"/>
      <c r="BL254" s="1737"/>
      <c r="BM254" s="2081"/>
      <c r="BN254" s="2238"/>
      <c r="BO254" s="1809"/>
      <c r="BQ254" s="2230"/>
      <c r="BR254" s="3">
        <v>1</v>
      </c>
    </row>
    <row r="255" spans="2:70" ht="21" customHeight="1">
      <c r="B255" s="6236"/>
      <c r="C255" s="6358">
        <f t="shared" si="103"/>
        <v>150</v>
      </c>
      <c r="D255" s="6359" t="str" cm="1">
        <f t="array" ref="D255">IF(MOD(ROW()-50,14)=0,INDEX(D246:D259,MOD(ROW()-50,14)+1),E253)</f>
        <v/>
      </c>
      <c r="E255" s="6360" t="str">
        <f t="shared" si="104"/>
        <v/>
      </c>
      <c r="F255" s="6361" t="str">
        <f t="shared" si="105"/>
        <v/>
      </c>
      <c r="G255" s="6318"/>
      <c r="H255" s="6323" t="str">
        <f t="shared" si="106"/>
        <v/>
      </c>
      <c r="I255" s="6373"/>
      <c r="J255" s="6363" t="str">
        <f t="shared" si="107"/>
        <v/>
      </c>
      <c r="K255" s="6364" t="str">
        <f>IF(J255="","",LEFT(J255,IF(LEN(J255)&lt;=I249,LEN(J255),IFERROR(FIND("§",SUBSTITUTE(LEFT(J255,I249+1)," ","§",LEN(LEFT(J255,I249+1))-LEN(SUBSTITUTE(LEFT(J255,I249+1)," ",""))))-1,IFERROR(FIND(" ",J255,I249+1)-1,LEN(J255))))))</f>
        <v/>
      </c>
      <c r="L255" s="6327"/>
      <c r="M255" s="6329" t="str">
        <v>rechercher la cellule qui coupe le texte Dans la</v>
      </c>
      <c r="N255" t="s">
        <v>21</v>
      </c>
      <c r="AV255" s="103"/>
      <c r="AW255" s="31"/>
      <c r="AX255" s="32"/>
      <c r="AY255" s="31"/>
      <c r="AZ255" s="33"/>
      <c r="BA255" s="1967"/>
      <c r="BB255" s="1805"/>
      <c r="BC255" s="91"/>
      <c r="BD255" s="1806"/>
      <c r="BE255" s="6401"/>
      <c r="BF255" s="6402"/>
      <c r="BG255" s="1969"/>
      <c r="BH255" s="6403"/>
      <c r="BI255" s="95"/>
      <c r="BJ255" s="1326"/>
      <c r="BK255" s="6404"/>
      <c r="BL255" s="1737"/>
      <c r="BM255" s="2081"/>
      <c r="BN255" s="2238"/>
      <c r="BO255" s="1809"/>
      <c r="BQ255" s="2230"/>
      <c r="BR255" s="3">
        <v>1</v>
      </c>
    </row>
    <row r="256" spans="2:70" ht="21" customHeight="1">
      <c r="B256" s="6236"/>
      <c r="C256" s="6358">
        <f t="shared" si="103"/>
        <v>150</v>
      </c>
      <c r="D256" s="6359" t="str" cm="1">
        <f t="array" ref="D256">IF(MOD(ROW()-50,14)=0,INDEX(D246:D259,MOD(ROW()-50,14)+1),E254)</f>
        <v/>
      </c>
      <c r="E256" s="6360" t="str">
        <f t="shared" si="104"/>
        <v/>
      </c>
      <c r="F256" s="6361" t="str">
        <f t="shared" si="105"/>
        <v/>
      </c>
      <c r="G256" s="6318"/>
      <c r="H256" s="6323" t="str">
        <f t="shared" si="106"/>
        <v/>
      </c>
      <c r="I256" s="6373"/>
      <c r="J256" s="6363" t="str">
        <f t="shared" si="107"/>
        <v/>
      </c>
      <c r="K256" s="6364" t="str">
        <f>IF(J256="","",LEFT(J256,IF(LEN(J256)&lt;=I249,LEN(J256),IFERROR(FIND("§",SUBSTITUTE(LEFT(J256,I249+1)," ","§",LEN(LEFT(J256,I249+1))-LEN(SUBSTITUTE(LEFT(J256,I249+1)," ",""))))-1,IFERROR(FIND(" ",J256,I249+1)-1,LEN(J256))))))</f>
        <v/>
      </c>
      <c r="L256" s="6327"/>
      <c r="M256" s="6329" t="str">
        <v>cocotte N°3 en fonte, faites chauffer l’huile d’olive</v>
      </c>
      <c r="N256" t="s">
        <v>21</v>
      </c>
      <c r="AV256" s="103"/>
      <c r="AW256" s="31"/>
      <c r="AX256" s="32"/>
      <c r="AY256" s="31"/>
      <c r="AZ256" s="33"/>
      <c r="BA256" s="1967"/>
      <c r="BB256" s="1805"/>
      <c r="BC256" s="91"/>
      <c r="BD256" s="1806"/>
      <c r="BE256" s="6401"/>
      <c r="BF256" s="6402"/>
      <c r="BG256" s="1969"/>
      <c r="BH256" s="6403"/>
      <c r="BI256" s="95"/>
      <c r="BJ256" s="1326"/>
      <c r="BK256" s="6404"/>
      <c r="BL256" s="1737"/>
      <c r="BM256" s="2081"/>
      <c r="BN256" s="2238"/>
      <c r="BO256" s="1809"/>
      <c r="BQ256" s="2230"/>
      <c r="BR256" s="3">
        <v>1</v>
      </c>
    </row>
    <row r="257" spans="2:70" ht="21" customHeight="1">
      <c r="B257" s="6236"/>
      <c r="C257" s="6358">
        <f t="shared" si="103"/>
        <v>150</v>
      </c>
      <c r="D257" s="6359" t="str" cm="1">
        <f t="array" ref="D257">IF(MOD(ROW()-50,14)=0,INDEX(D246:D259,MOD(ROW()-50,14)+1),E255)</f>
        <v/>
      </c>
      <c r="E257" s="6360" t="str">
        <f t="shared" si="104"/>
        <v/>
      </c>
      <c r="F257" s="6361" t="str">
        <f t="shared" si="105"/>
        <v/>
      </c>
      <c r="G257" s="6318"/>
      <c r="H257" s="6323" t="str">
        <f t="shared" si="106"/>
        <v/>
      </c>
      <c r="I257" s="6373"/>
      <c r="J257" s="6363" t="str">
        <f t="shared" si="107"/>
        <v/>
      </c>
      <c r="K257" s="6364" t="str">
        <f>IF(J257="","",LEFT(J257,IF(LEN(J257)&lt;=I249,LEN(J257),IFERROR(FIND("§",SUBSTITUTE(LEFT(J257,I249+1)," ","§",LEN(LEFT(J257,I249+1))-LEN(SUBSTITUTE(LEFT(J257,I249+1)," ",""))))-1,IFERROR(FIND(" ",J257,I249+1)-1,LEN(J257))))))</f>
        <v/>
      </c>
      <c r="L257" s="6327"/>
      <c r="M257" s="6329" t="str">
        <v>à feu moyen. Ajoutez la viande et faites-la dorer de</v>
      </c>
      <c r="N257" t="s">
        <v>21</v>
      </c>
      <c r="AV257" s="103"/>
      <c r="AW257" s="31"/>
      <c r="AX257" s="32"/>
      <c r="AY257" s="31"/>
      <c r="AZ257" s="33"/>
      <c r="BA257" s="1967"/>
      <c r="BB257" s="1805"/>
      <c r="BC257" s="91"/>
      <c r="BD257" s="1806"/>
      <c r="BE257" s="6401"/>
      <c r="BF257" s="6402"/>
      <c r="BG257" s="1969"/>
      <c r="BH257" s="6403"/>
      <c r="BI257" s="95"/>
      <c r="BJ257" s="1326"/>
      <c r="BK257" s="6404"/>
      <c r="BL257" s="1737"/>
      <c r="BM257" s="2081"/>
      <c r="BN257" s="2238"/>
      <c r="BO257" s="1809"/>
      <c r="BQ257" s="2230"/>
      <c r="BR257" s="3">
        <v>1</v>
      </c>
    </row>
    <row r="258" spans="2:70" ht="21" customHeight="1">
      <c r="B258" s="6236"/>
      <c r="C258" s="6358">
        <f t="shared" si="103"/>
        <v>150</v>
      </c>
      <c r="D258" s="6359" t="str" cm="1">
        <f t="array" ref="D258">IF(MOD(ROW()-50,14)=0,INDEX(D246:D259,MOD(ROW()-50,14)+1),E256)</f>
        <v/>
      </c>
      <c r="E258" s="6360" t="str">
        <f t="shared" si="104"/>
        <v/>
      </c>
      <c r="F258" s="6361" t="str">
        <f t="shared" si="105"/>
        <v/>
      </c>
      <c r="G258" s="6318"/>
      <c r="H258" s="6323" t="str">
        <f t="shared" si="106"/>
        <v/>
      </c>
      <c r="I258" s="6373"/>
      <c r="J258" s="6363" t="str">
        <f t="shared" si="107"/>
        <v/>
      </c>
      <c r="K258" s="6364" t="str">
        <f>IF(J258="","",LEFT(J258,IF(LEN(J258)&lt;=I249,LEN(J258),IFERROR(FIND("§",SUBSTITUTE(LEFT(J258,I249+1)," ","§",LEN(LEFT(J258,I249+1))-LEN(SUBSTITUTE(LEFT(J258,I249+1)," ",""))))-1,IFERROR(FIND(" ",J258,I249+1)-1,LEN(J258))))))</f>
        <v/>
      </c>
      <c r="L258" s="6364"/>
      <c r="M258" s="6329" t="str">
        <v>tous les côtés. Retirez-la de la cocotte et</v>
      </c>
      <c r="N258" t="s">
        <v>21</v>
      </c>
      <c r="AV258" s="103"/>
      <c r="AW258" s="31"/>
      <c r="AX258" s="32"/>
      <c r="AY258" s="31"/>
      <c r="AZ258" s="33"/>
      <c r="BA258" s="1967"/>
      <c r="BB258" s="1805"/>
      <c r="BC258" s="91"/>
      <c r="BD258" s="1806"/>
      <c r="BE258" s="6401"/>
      <c r="BF258" s="6402"/>
      <c r="BG258" s="1969"/>
      <c r="BH258" s="6403"/>
      <c r="BI258" s="95"/>
      <c r="BJ258" s="1326"/>
      <c r="BK258" s="6404"/>
      <c r="BL258" s="1737"/>
      <c r="BM258" s="2081"/>
      <c r="BN258" s="2238"/>
      <c r="BO258" s="1809"/>
      <c r="BQ258" s="2230"/>
      <c r="BR258" s="3">
        <v>1</v>
      </c>
    </row>
    <row r="259" spans="2:70" ht="21" customHeight="1">
      <c r="B259" s="6236"/>
      <c r="C259" s="6376">
        <f t="shared" si="103"/>
        <v>150</v>
      </c>
      <c r="D259" s="6414" t="str" cm="1">
        <f t="array" ref="D259">IF(MOD(ROW()-50,14)=0,INDEX(D246:D259,MOD(ROW()-50,14)+1),E257)</f>
        <v/>
      </c>
      <c r="E259" s="6377" t="str">
        <f t="shared" si="104"/>
        <v/>
      </c>
      <c r="F259" s="6378" t="str">
        <f t="shared" si="105"/>
        <v/>
      </c>
      <c r="G259" s="6319"/>
      <c r="H259" s="6323" t="str">
        <f t="shared" si="106"/>
        <v/>
      </c>
      <c r="I259" s="6379"/>
      <c r="J259" s="6380" t="str">
        <f t="shared" si="107"/>
        <v/>
      </c>
      <c r="K259" s="6381" t="str">
        <f>IF(J259="","",LEFT(J259,IF(LEN(J259)&lt;=I249,LEN(J259),IFERROR(FIND("§",SUBSTITUTE(LEFT(J259,I249+1)," ","§",LEN(LEFT(J259,I249+1))-LEN(SUBSTITUTE(LEFT(J259,I249+1)," ",""))))-1,IFERROR(FIND(" ",J259,I249+1)-1,LEN(J259))))))</f>
        <v/>
      </c>
      <c r="L259" s="6382"/>
      <c r="M259" s="6330" t="str">
        <v>réservez-la.</v>
      </c>
      <c r="N259" t="s">
        <v>21</v>
      </c>
      <c r="AV259" s="103"/>
      <c r="AW259" s="31"/>
      <c r="AX259" s="32"/>
      <c r="AY259" s="31"/>
      <c r="AZ259" s="33"/>
      <c r="BA259" s="1967"/>
      <c r="BB259" s="1805"/>
      <c r="BC259" s="91"/>
      <c r="BD259" s="1806"/>
      <c r="BE259" s="6401"/>
      <c r="BF259" s="6402"/>
      <c r="BG259" s="1969"/>
      <c r="BH259" s="6403"/>
      <c r="BI259" s="95"/>
      <c r="BJ259" s="1326"/>
      <c r="BK259" s="6404"/>
      <c r="BL259" s="1737"/>
      <c r="BM259" s="2081"/>
      <c r="BN259" s="2238"/>
      <c r="BO259" s="1809"/>
      <c r="BQ259" s="2230"/>
      <c r="BR259" s="3">
        <v>1</v>
      </c>
    </row>
    <row r="260" spans="2:70" ht="21" customHeight="1">
      <c r="B260" s="6236"/>
      <c r="C260" s="6313">
        <f>AD65</f>
        <v>150</v>
      </c>
      <c r="D260" s="6314" t="str">
        <f>IF(UPPER(TRIM(X45))="X",U65,O65)</f>
        <v>16.TEST LIGNE 19 colonne Q et ligne 20 colonne P. rechercher la cellule qui coupe le texte Dans la cocotte N°3 en fonte, faites chauffer l’huile d’olive à feu moyen. Ajoutez la viande et faites-la dorer de tous les côtés. Retirez-la de la cocotte et réservez-la.</v>
      </c>
      <c r="E260" s="6383" t="str">
        <f>IF(D260="","",IF(F260="","",IF(LEN(F260)&gt;=LEN(D260),"",TRIM(MID(D260,LEN(F260)+1,99999)))))</f>
        <v>d’olive à feu moyen. Ajoutez la viande et faites-la dorer de tous les côtés. Retirez-la de la cocotte et réservez-la.</v>
      </c>
      <c r="F260" s="6384" t="str">
        <f>IF(D260="","",IF(LEN(D260)&lt;=C260,D260,IFERROR(LEFT(D260,FIND("§",SUBSTITUTE(LEFT(D260,C260+1)," ","§",LEN(LEFT(D260,C260+1))-LEN(SUBSTITUTE(LEFT(D260,C260+1)," ",""))))-1),LEFT(D260,C260))))</f>
        <v>16.TEST LIGNE 19 colonne Q et ligne 20 colonne P. rechercher la cellule qui coupe le texte Dans la cocotte N°3 en fonte, faites chauffer l’huile</v>
      </c>
      <c r="G260" s="6320"/>
      <c r="H260" s="6385">
        <f>IF(LEN(TRIM(L260))&gt;0,MAX(H259:H259)+1,"")</f>
        <v>1</v>
      </c>
      <c r="I260" s="6324" t="str">
        <f>D260</f>
        <v>16.TEST LIGNE 19 colonne Q et ligne 20 colonne P. rechercher la cellule qui coupe le texte Dans la cocotte N°3 en fonte, faites chauffer l’huile d’olive à feu moyen. Ajoutez la viande et faites-la dorer de tous les côtés. Retirez-la de la cocotte et réservez-la.</v>
      </c>
      <c r="J260" s="6386" t="str">
        <f>IF(I260=0,"",I260)</f>
        <v>16.TEST LIGNE 19 colonne Q et ligne 20 colonne P. rechercher la cellule qui coupe le texte Dans la cocotte N°3 en fonte, faites chauffer l’huile d’olive à feu moyen. Ajoutez la viande et faites-la dorer de tous les côtés. Retirez-la de la cocotte et réservez-la.</v>
      </c>
      <c r="K260" s="6387" t="str">
        <f>IF(I260="","",LEFT(I260,IF(LEN(I260)&lt;=I263,LEN(I260),IFERROR(FIND("§",SUBSTITUTE(LEFT(I260,I263+1)," ","§",LEN(LEFT(I260,I263+1))-LEN(SUBSTITUTE(LEFT(I260,I263+1)," ",""))))-1,IFERROR(FIND(" ",I260,I263+1)-1,LEN(I260))))))</f>
        <v>16.TEST LIGNE 19 colonne Q et ligne 20 colonne P.</v>
      </c>
      <c r="L260" s="6388" t="str" cm="1">
        <f t="array" ref="L260:L265">_xlfn._xlws.FILTER(TRIM(SUBSTITUTE(SUBSTITUTE(SUBSTITUTE(SUBSTITUTE(SUBSTITUTE(CLEAN(K260:K273),CHAR(160)," "),_xlfn.UNICHAR(8239)," "),CHAR(9)," "),CHAR(10)," "),CHAR(13)," ")),TRIM(SUBSTITUTE(SUBSTITUTE(SUBSTITUTE(SUBSTITUTE(SUBSTITUTE(CLEAN(K260:K273),CHAR(160)," "),_xlfn.UNICHAR(8239)," "),CHAR(9)," "),CHAR(10)," "),CHAR(13)," "))&lt;&gt;"")</f>
        <v>16.TEST LIGNE 19 colonne Q et ligne 20 colonne P.</v>
      </c>
      <c r="M260" s="6331" t="str">
        <v>36.TEST LIGNE 19 colonne Q et ligne 20 colonne P.</v>
      </c>
      <c r="N260" t="s">
        <v>21</v>
      </c>
      <c r="AV260" s="103"/>
      <c r="AW260" s="31"/>
      <c r="AX260" s="32"/>
      <c r="AY260" s="31"/>
      <c r="AZ260" s="33"/>
      <c r="BA260" s="1967"/>
      <c r="BB260" s="1805"/>
      <c r="BC260" s="91"/>
      <c r="BD260" s="1806"/>
      <c r="BE260" s="6401"/>
      <c r="BF260" s="6402"/>
      <c r="BG260" s="1969"/>
      <c r="BH260" s="6403"/>
      <c r="BI260" s="95"/>
      <c r="BJ260" s="1326"/>
      <c r="BK260" s="6404"/>
      <c r="BL260" s="1737"/>
      <c r="BM260" s="2081"/>
      <c r="BN260" s="2238"/>
      <c r="BO260" s="1809"/>
      <c r="BQ260" s="2230"/>
      <c r="BR260" s="3">
        <v>1</v>
      </c>
    </row>
    <row r="261" spans="2:70" ht="21" customHeight="1">
      <c r="B261" s="6236"/>
      <c r="C261" s="6358">
        <f t="shared" ref="C261:C273" si="108">C260</f>
        <v>150</v>
      </c>
      <c r="D261" s="6390" t="str" cm="1">
        <f t="array" ref="D261">IF(MOD(ROW()-50,14)=0,INDEX(D260:D273,MOD(ROW()-50,14)+1),E259)</f>
        <v/>
      </c>
      <c r="E261" s="6391" t="str">
        <f t="shared" ref="E261:E273" si="109">IF(D261="","",IF(F261="","",IF(LEN(F261)&gt;=LEN(D261),"",TRIM(MID(D261,LEN(F261)+1,99999)))))</f>
        <v/>
      </c>
      <c r="F261" s="6392" t="str">
        <f t="shared" ref="F261:F273" si="110">IF(D261="","",IF(LEN(D261)&lt;=C261,D261,IFERROR(LEFT(D261,FIND("§",SUBSTITUTE(LEFT(D261,C261+1)," ","§",LEN(LEFT(D261,C261+1))-LEN(SUBSTITUTE(LEFT(D261,C261+1)," ",""))))-1),LEFT(D261,C261))))</f>
        <v/>
      </c>
      <c r="G261" s="6321"/>
      <c r="H261" s="6393">
        <f t="shared" ref="H261:H273" si="111">IF(LEN(TRIM(L261))&gt;0,MAX(H260:H260)+1,"")</f>
        <v>2</v>
      </c>
      <c r="I261" s="6394" t="s">
        <v>14355</v>
      </c>
      <c r="J261" s="6395" t="str">
        <f>TRIM(MID(I264,LEN(K260)+1,99999))</f>
        <v>rechercher la cellule qui coupe le texte Dans la cocotte N°3 en fonte, faites chauffer l’huile d’olive à feu moyen. Ajoutez la viande et faites-la dorer de tous les côtés. Retirez-la de la cocotte et réservez-la.</v>
      </c>
      <c r="K261" s="6396" t="str">
        <f>IF(J261="","",LEFT(J261,IF(LEN(J261)&lt;=I263,LEN(J261),IFERROR(FIND("§",SUBSTITUTE(LEFT(J261,I263+1)," ","§",LEN(LEFT(J261,I263+1))-LEN(SUBSTITUTE(LEFT(J261,I263+1)," ",""))))-1,IFERROR(FIND(" ",J261,I263+1)-1,LEN(J261))))))</f>
        <v>rechercher la cellule qui coupe le texte Dans la</v>
      </c>
      <c r="L261" s="6388" t="str">
        <v>rechercher la cellule qui coupe le texte Dans la</v>
      </c>
      <c r="M261" s="6332" t="str">
        <v>rechercher la cellule qui coupe le texte Dans la</v>
      </c>
      <c r="N261" t="s">
        <v>21</v>
      </c>
      <c r="AV261" s="103"/>
      <c r="AW261" s="31"/>
      <c r="AX261" s="32"/>
      <c r="AY261" s="31"/>
      <c r="AZ261" s="33"/>
      <c r="BA261" s="1967"/>
      <c r="BB261" s="1805"/>
      <c r="BC261" s="91"/>
      <c r="BD261" s="1806"/>
      <c r="BE261" s="6401"/>
      <c r="BF261" s="6402"/>
      <c r="BG261" s="1969"/>
      <c r="BH261" s="6403"/>
      <c r="BI261" s="95"/>
      <c r="BJ261" s="1326"/>
      <c r="BK261" s="6404"/>
      <c r="BL261" s="1737"/>
      <c r="BM261" s="2081"/>
      <c r="BN261" s="2238"/>
      <c r="BO261" s="1809"/>
      <c r="BQ261" s="2230"/>
      <c r="BR261" s="3">
        <v>1</v>
      </c>
    </row>
    <row r="262" spans="2:70" ht="21" customHeight="1">
      <c r="B262" s="6236"/>
      <c r="C262" s="6358">
        <f t="shared" si="108"/>
        <v>150</v>
      </c>
      <c r="D262" s="6390" t="str" cm="1">
        <f t="array" ref="D262">IF(MOD(ROW()-50,14)=0,INDEX(D260:D273,MOD(ROW()-50,14)+1),E260)</f>
        <v>d’olive à feu moyen. Ajoutez la viande et faites-la dorer de tous les côtés. Retirez-la de la cocotte et réservez-la.</v>
      </c>
      <c r="E262" s="6391" t="str">
        <f t="shared" si="109"/>
        <v/>
      </c>
      <c r="F262" s="6392" t="str">
        <f t="shared" si="110"/>
        <v>d’olive à feu moyen. Ajoutez la viande et faites-la dorer de tous les côtés. Retirez-la de la cocotte et réservez-la.</v>
      </c>
      <c r="G262" s="6321"/>
      <c r="H262" s="6393">
        <f t="shared" si="111"/>
        <v>3</v>
      </c>
      <c r="I262" s="6365">
        <f>Z65</f>
        <v>5</v>
      </c>
      <c r="J262" s="6395" t="str">
        <f t="shared" ref="J262:J273" si="112">TRIM(MID(J261,LEN(K261)+1,99999))</f>
        <v>cocotte N°3 en fonte, faites chauffer l’huile d’olive à feu moyen. Ajoutez la viande et faites-la dorer de tous les côtés. Retirez-la de la cocotte et réservez-la.</v>
      </c>
      <c r="K262" s="6396" t="str">
        <f>IF(J262="","",LEFT(J262,IF(LEN(J262)&lt;=I263,LEN(J262),IFERROR(FIND("§",SUBSTITUTE(LEFT(J262,I263+1)," ","§",LEN(LEFT(J262,I263+1))-LEN(SUBSTITUTE(LEFT(J262,I263+1)," ",""))))-1,IFERROR(FIND(" ",J262,I263+1)-1,LEN(J262))))))</f>
        <v>cocotte N°3 en fonte, faites chauffer l’huile d’olive</v>
      </c>
      <c r="L262" s="6388" t="str">
        <v>cocotte N°3 en fonte, faites chauffer l’huile d’olive</v>
      </c>
      <c r="M262" s="6332" t="str">
        <v>cocotte N°3 en fonte, faites chauffer l’huile d’olive</v>
      </c>
      <c r="N262" t="s">
        <v>21</v>
      </c>
      <c r="AV262" s="103"/>
      <c r="AW262" s="31"/>
      <c r="AX262" s="32"/>
      <c r="AY262" s="31"/>
      <c r="AZ262" s="33"/>
      <c r="BA262" s="1967"/>
      <c r="BB262" s="1805"/>
      <c r="BC262" s="91"/>
      <c r="BD262" s="1806"/>
      <c r="BE262" s="6401"/>
      <c r="BF262" s="6402"/>
      <c r="BG262" s="1969"/>
      <c r="BH262" s="6403"/>
      <c r="BI262" s="95"/>
      <c r="BJ262" s="1326"/>
      <c r="BK262" s="6404"/>
      <c r="BL262" s="1737"/>
      <c r="BM262" s="2081"/>
      <c r="BN262" s="2238"/>
      <c r="BO262" s="1809"/>
      <c r="BQ262" s="2230"/>
      <c r="BR262" s="3">
        <v>1</v>
      </c>
    </row>
    <row r="263" spans="2:70" ht="21" customHeight="1">
      <c r="B263" s="6236"/>
      <c r="C263" s="6358">
        <f t="shared" si="108"/>
        <v>150</v>
      </c>
      <c r="D263" s="6390" t="str" cm="1">
        <f t="array" ref="D263">IF(MOD(ROW()-50,14)=0,INDEX(D260:D273,MOD(ROW()-50,14)+1),E261)</f>
        <v/>
      </c>
      <c r="E263" s="6391" t="str">
        <f t="shared" si="109"/>
        <v/>
      </c>
      <c r="F263" s="6392" t="str">
        <f t="shared" si="110"/>
        <v/>
      </c>
      <c r="G263" s="6321"/>
      <c r="H263" s="6393">
        <f t="shared" si="111"/>
        <v>4</v>
      </c>
      <c r="I263" s="6398">
        <f>IF(OR(J260="",I262="",I262&lt;=0),"",ROUNDUP(LEN(J260)/I262,0))</f>
        <v>53</v>
      </c>
      <c r="J263" s="6395" t="str">
        <f t="shared" si="112"/>
        <v>à feu moyen. Ajoutez la viande et faites-la dorer de tous les côtés. Retirez-la de la cocotte et réservez-la.</v>
      </c>
      <c r="K263" s="6396" t="str">
        <f>IF(J263="","",LEFT(J263,IF(LEN(J263)&lt;=I263,LEN(J263),IFERROR(FIND("§",SUBSTITUTE(LEFT(J263,I263+1)," ","§",LEN(LEFT(J263,I263+1))-LEN(SUBSTITUTE(LEFT(J263,I263+1)," ",""))))-1,IFERROR(FIND(" ",J263,I263+1)-1,LEN(J263))))))</f>
        <v>à feu moyen. Ajoutez la viande et faites-la dorer de</v>
      </c>
      <c r="L263" s="6388" t="str">
        <v>à feu moyen. Ajoutez la viande et faites-la dorer de</v>
      </c>
      <c r="M263" s="6332" t="str">
        <v>à feu moyen. Ajoutez la viande et faites-la dorer de</v>
      </c>
      <c r="N263" t="s">
        <v>21</v>
      </c>
      <c r="AV263" s="103"/>
      <c r="AW263" s="31"/>
      <c r="AX263" s="32"/>
      <c r="AY263" s="31"/>
      <c r="AZ263" s="33"/>
      <c r="BA263" s="1967"/>
      <c r="BB263" s="1805"/>
      <c r="BC263" s="91"/>
      <c r="BD263" s="1806"/>
      <c r="BE263" s="6401"/>
      <c r="BF263" s="6402"/>
      <c r="BG263" s="1969"/>
      <c r="BH263" s="6403"/>
      <c r="BI263" s="95"/>
      <c r="BJ263" s="1326"/>
      <c r="BK263" s="6404"/>
      <c r="BL263" s="1737"/>
      <c r="BM263" s="2081"/>
      <c r="BN263" s="2238"/>
      <c r="BO263" s="1809"/>
      <c r="BQ263" s="2230"/>
      <c r="BR263" s="3">
        <v>1</v>
      </c>
    </row>
    <row r="264" spans="2:70" ht="21" customHeight="1">
      <c r="B264" s="6236"/>
      <c r="C264" s="6358">
        <f t="shared" si="108"/>
        <v>150</v>
      </c>
      <c r="D264" s="6390" t="str" cm="1">
        <f t="array" ref="D264">IF(MOD(ROW()-50,14)=0,INDEX(D260:D273,MOD(ROW()-50,14)+1),E262)</f>
        <v/>
      </c>
      <c r="E264" s="6391" t="str">
        <f t="shared" si="109"/>
        <v/>
      </c>
      <c r="F264" s="6392" t="str">
        <f t="shared" si="110"/>
        <v/>
      </c>
      <c r="G264" s="6321"/>
      <c r="H264" s="6393">
        <f t="shared" si="111"/>
        <v>5</v>
      </c>
      <c r="I264" s="6400" t="str">
        <f>I260</f>
        <v>16.TEST LIGNE 19 colonne Q et ligne 20 colonne P. rechercher la cellule qui coupe le texte Dans la cocotte N°3 en fonte, faites chauffer l’huile d’olive à feu moyen. Ajoutez la viande et faites-la dorer de tous les côtés. Retirez-la de la cocotte et réservez-la.</v>
      </c>
      <c r="J264" s="6395" t="str">
        <f t="shared" si="112"/>
        <v>tous les côtés. Retirez-la de la cocotte et réservez-la.</v>
      </c>
      <c r="K264" s="6396" t="str">
        <f>IF(J264="","",LEFT(J264,IF(LEN(J264)&lt;=I263,LEN(J264),IFERROR(FIND("§",SUBSTITUTE(LEFT(J264,I263+1)," ","§",LEN(LEFT(J264,I263+1))-LEN(SUBSTITUTE(LEFT(J264,I263+1)," ",""))))-1,IFERROR(FIND(" ",J264,I263+1)-1,LEN(J264))))))</f>
        <v>tous les côtés. Retirez-la de la cocotte et</v>
      </c>
      <c r="L264" s="6388" t="str">
        <v>tous les côtés. Retirez-la de la cocotte et</v>
      </c>
      <c r="M264" s="6332" t="str">
        <v>tous les côtés. Retirez-la de la cocotte et</v>
      </c>
      <c r="N264" t="s">
        <v>21</v>
      </c>
      <c r="AV264" s="103"/>
      <c r="AW264" s="31"/>
      <c r="AX264" s="32"/>
      <c r="AY264" s="31"/>
      <c r="AZ264" s="33"/>
      <c r="BA264" s="1967"/>
      <c r="BB264" s="1805"/>
      <c r="BC264" s="91"/>
      <c r="BD264" s="1806"/>
      <c r="BE264" s="6401"/>
      <c r="BF264" s="6402"/>
      <c r="BG264" s="1969"/>
      <c r="BH264" s="6403"/>
      <c r="BI264" s="95"/>
      <c r="BJ264" s="1326"/>
      <c r="BK264" s="6404"/>
      <c r="BL264" s="1737"/>
      <c r="BM264" s="2081"/>
      <c r="BN264" s="2238"/>
      <c r="BO264" s="1809"/>
      <c r="BQ264" s="2230"/>
      <c r="BR264" s="3">
        <v>1</v>
      </c>
    </row>
    <row r="265" spans="2:70" ht="21" customHeight="1">
      <c r="B265" s="6236"/>
      <c r="C265" s="6358">
        <f t="shared" si="108"/>
        <v>150</v>
      </c>
      <c r="D265" s="6390" t="str" cm="1">
        <f t="array" ref="D265">IF(MOD(ROW()-50,14)=0,INDEX(D260:D273,MOD(ROW()-50,14)+1),E263)</f>
        <v/>
      </c>
      <c r="E265" s="6391" t="str">
        <f t="shared" si="109"/>
        <v/>
      </c>
      <c r="F265" s="6392" t="str">
        <f t="shared" si="110"/>
        <v/>
      </c>
      <c r="G265" s="6321"/>
      <c r="H265" s="6393">
        <f t="shared" si="111"/>
        <v>6</v>
      </c>
      <c r="I265" s="6405"/>
      <c r="J265" s="6395" t="str">
        <f t="shared" si="112"/>
        <v>réservez-la.</v>
      </c>
      <c r="K265" s="6396" t="str">
        <f>IF(J265="","",LEFT(J265,IF(LEN(J265)&lt;=I263,LEN(J265),IFERROR(FIND("§",SUBSTITUTE(LEFT(J265,I263+1)," ","§",LEN(LEFT(J265,I263+1))-LEN(SUBSTITUTE(LEFT(J265,I263+1)," ",""))))-1,IFERROR(FIND(" ",J265,I263+1)-1,LEN(J265))))))</f>
        <v>réservez-la.</v>
      </c>
      <c r="L265" s="6388" t="str">
        <v>réservez-la.</v>
      </c>
      <c r="M265" s="6332" t="str">
        <v>réservez-la.</v>
      </c>
      <c r="N265" t="s">
        <v>21</v>
      </c>
      <c r="AV265" s="103"/>
      <c r="AW265" s="31"/>
      <c r="AX265" s="32"/>
      <c r="AY265" s="31"/>
      <c r="AZ265" s="33"/>
      <c r="BA265" s="1967"/>
      <c r="BB265" s="1805"/>
      <c r="BC265" s="91"/>
      <c r="BD265" s="1806"/>
      <c r="BE265" s="6401"/>
      <c r="BF265" s="6402"/>
      <c r="BG265" s="1969"/>
      <c r="BH265" s="6403"/>
      <c r="BI265" s="95"/>
      <c r="BJ265" s="1326"/>
      <c r="BK265" s="6404"/>
      <c r="BL265" s="1737"/>
      <c r="BM265" s="2081"/>
      <c r="BN265" s="2238"/>
      <c r="BO265" s="1809"/>
      <c r="BQ265" s="2230"/>
      <c r="BR265" s="3">
        <v>1</v>
      </c>
    </row>
    <row r="266" spans="2:70" ht="21" customHeight="1">
      <c r="B266" s="6236"/>
      <c r="C266" s="6358">
        <f t="shared" si="108"/>
        <v>150</v>
      </c>
      <c r="D266" s="6390" t="str" cm="1">
        <f t="array" ref="D266">IF(MOD(ROW()-50,14)=0,INDEX(D260:D273,MOD(ROW()-50,14)+1),E264)</f>
        <v/>
      </c>
      <c r="E266" s="6391" t="str">
        <f t="shared" si="109"/>
        <v/>
      </c>
      <c r="F266" s="6392" t="str">
        <f t="shared" si="110"/>
        <v/>
      </c>
      <c r="G266" s="6321"/>
      <c r="H266" s="6393" t="str">
        <f t="shared" si="111"/>
        <v/>
      </c>
      <c r="I266" s="6405"/>
      <c r="J266" s="6395" t="str">
        <f t="shared" si="112"/>
        <v/>
      </c>
      <c r="K266" s="6396" t="str">
        <f>IF(J266="","",LEFT(J266,IF(LEN(J266)&lt;=I263,LEN(J266),IFERROR(FIND("§",SUBSTITUTE(LEFT(J266,I263+1)," ","§",LEN(LEFT(J266,I263+1))-LEN(SUBSTITUTE(LEFT(J266,I263+1)," ",""))))-1,IFERROR(FIND(" ",J266,I263+1)-1,LEN(J266))))))</f>
        <v/>
      </c>
      <c r="L266" s="6388"/>
      <c r="M266" s="6332" t="str">
        <v>37.TEST LIGNE 19 colonne Q et ligne 20 colonne P.</v>
      </c>
      <c r="N266" t="s">
        <v>21</v>
      </c>
      <c r="AV266" s="103"/>
      <c r="AW266" s="31"/>
      <c r="AX266" s="32"/>
      <c r="AY266" s="31"/>
      <c r="AZ266" s="33"/>
      <c r="BA266" s="1967"/>
      <c r="BB266" s="1805"/>
      <c r="BC266" s="91"/>
      <c r="BD266" s="1806"/>
      <c r="BE266" s="6401"/>
      <c r="BF266" s="6402"/>
      <c r="BG266" s="1969"/>
      <c r="BH266" s="6403"/>
      <c r="BI266" s="95"/>
      <c r="BJ266" s="1326"/>
      <c r="BK266" s="6404"/>
      <c r="BL266" s="1737"/>
      <c r="BM266" s="2081"/>
      <c r="BN266" s="2238"/>
      <c r="BO266" s="1809"/>
      <c r="BQ266" s="2230"/>
      <c r="BR266" s="3">
        <v>1</v>
      </c>
    </row>
    <row r="267" spans="2:70" ht="21" customHeight="1">
      <c r="B267" s="6236"/>
      <c r="C267" s="6358">
        <f t="shared" si="108"/>
        <v>150</v>
      </c>
      <c r="D267" s="6390" t="str" cm="1">
        <f t="array" ref="D267">IF(MOD(ROW()-50,14)=0,INDEX(D260:D273,MOD(ROW()-50,14)+1),E265)</f>
        <v/>
      </c>
      <c r="E267" s="6391" t="str">
        <f t="shared" si="109"/>
        <v/>
      </c>
      <c r="F267" s="6392" t="str">
        <f t="shared" si="110"/>
        <v/>
      </c>
      <c r="G267" s="6321"/>
      <c r="H267" s="6393" t="str">
        <f t="shared" si="111"/>
        <v/>
      </c>
      <c r="I267" s="6405"/>
      <c r="J267" s="6395" t="str">
        <f t="shared" si="112"/>
        <v/>
      </c>
      <c r="K267" s="6396" t="str">
        <f>IF(J267="","",LEFT(J267,IF(LEN(J267)&lt;=I263,LEN(J267),IFERROR(FIND("§",SUBSTITUTE(LEFT(J267,I263+1)," ","§",LEN(LEFT(J267,I263+1))-LEN(SUBSTITUTE(LEFT(J267,I263+1)," ",""))))-1,IFERROR(FIND(" ",J267,I263+1)-1,LEN(J267))))))</f>
        <v/>
      </c>
      <c r="L267" s="6388"/>
      <c r="M267" s="6332" t="str">
        <v>rechercher la cellule qui coupe le texte Dans la</v>
      </c>
      <c r="N267" t="s">
        <v>21</v>
      </c>
      <c r="AV267" s="103"/>
      <c r="AW267" s="31"/>
      <c r="AX267" s="32"/>
      <c r="AY267" s="31"/>
      <c r="AZ267" s="33"/>
      <c r="BA267" s="1967"/>
      <c r="BB267" s="1805"/>
      <c r="BC267" s="91"/>
      <c r="BD267" s="1806"/>
      <c r="BE267" s="6401"/>
      <c r="BF267" s="6402"/>
      <c r="BG267" s="1969"/>
      <c r="BH267" s="6403"/>
      <c r="BI267" s="95"/>
      <c r="BJ267" s="1326"/>
      <c r="BK267" s="6404"/>
      <c r="BL267" s="1737"/>
      <c r="BM267" s="2081"/>
      <c r="BN267" s="2238"/>
      <c r="BO267" s="1809"/>
      <c r="BQ267" s="2230"/>
      <c r="BR267" s="3">
        <v>1</v>
      </c>
    </row>
    <row r="268" spans="2:70" ht="21" customHeight="1">
      <c r="B268" s="6236"/>
      <c r="C268" s="6358">
        <f t="shared" si="108"/>
        <v>150</v>
      </c>
      <c r="D268" s="6390" t="str" cm="1">
        <f t="array" ref="D268">IF(MOD(ROW()-50,14)=0,INDEX(D260:D273,MOD(ROW()-50,14)+1),E266)</f>
        <v/>
      </c>
      <c r="E268" s="6391" t="str">
        <f t="shared" si="109"/>
        <v/>
      </c>
      <c r="F268" s="6392" t="str">
        <f t="shared" si="110"/>
        <v/>
      </c>
      <c r="G268" s="6321"/>
      <c r="H268" s="6393" t="str">
        <f t="shared" si="111"/>
        <v/>
      </c>
      <c r="I268" s="6405"/>
      <c r="J268" s="6395" t="str">
        <f t="shared" si="112"/>
        <v/>
      </c>
      <c r="K268" s="6396" t="str">
        <f>IF(J268="","",LEFT(J268,IF(LEN(J268)&lt;=I263,LEN(J268),IFERROR(FIND("§",SUBSTITUTE(LEFT(J268,I263+1)," ","§",LEN(LEFT(J268,I263+1))-LEN(SUBSTITUTE(LEFT(J268,I263+1)," ",""))))-1,IFERROR(FIND(" ",J268,I263+1)-1,LEN(J268))))))</f>
        <v/>
      </c>
      <c r="L268" s="6388"/>
      <c r="M268" s="6332" t="str">
        <v>cocotte N°3 en fonte, faites chauffer l’huile d’olive</v>
      </c>
      <c r="N268" t="s">
        <v>21</v>
      </c>
      <c r="AV268" s="103"/>
      <c r="AW268" s="31"/>
      <c r="AX268" s="32"/>
      <c r="AY268" s="31"/>
      <c r="AZ268" s="33"/>
      <c r="BA268" s="1967"/>
      <c r="BB268" s="1805"/>
      <c r="BC268" s="91"/>
      <c r="BD268" s="1806"/>
      <c r="BE268" s="6401"/>
      <c r="BF268" s="6402"/>
      <c r="BG268" s="1969"/>
      <c r="BH268" s="6403"/>
      <c r="BI268" s="95"/>
      <c r="BJ268" s="1326"/>
      <c r="BK268" s="6404"/>
      <c r="BL268" s="1737"/>
      <c r="BM268" s="2081"/>
      <c r="BN268" s="2238"/>
      <c r="BO268" s="1809"/>
      <c r="BQ268" s="2230"/>
      <c r="BR268" s="3">
        <v>1</v>
      </c>
    </row>
    <row r="269" spans="2:70" ht="21" customHeight="1">
      <c r="B269" s="6236"/>
      <c r="C269" s="6358">
        <f t="shared" si="108"/>
        <v>150</v>
      </c>
      <c r="D269" s="6390" t="str" cm="1">
        <f t="array" ref="D269">IF(MOD(ROW()-50,14)=0,INDEX(D260:D273,MOD(ROW()-50,14)+1),E267)</f>
        <v/>
      </c>
      <c r="E269" s="6391" t="str">
        <f t="shared" si="109"/>
        <v/>
      </c>
      <c r="F269" s="6392" t="str">
        <f t="shared" si="110"/>
        <v/>
      </c>
      <c r="G269" s="6321"/>
      <c r="H269" s="6393" t="str">
        <f t="shared" si="111"/>
        <v/>
      </c>
      <c r="I269" s="6405"/>
      <c r="J269" s="6395" t="str">
        <f t="shared" si="112"/>
        <v/>
      </c>
      <c r="K269" s="6396" t="str">
        <f>IF(J269="","",LEFT(J269,IF(LEN(J269)&lt;=I263,LEN(J269),IFERROR(FIND("§",SUBSTITUTE(LEFT(J269,I263+1)," ","§",LEN(LEFT(J269,I263+1))-LEN(SUBSTITUTE(LEFT(J269,I263+1)," ",""))))-1,IFERROR(FIND(" ",J269,I263+1)-1,LEN(J269))))))</f>
        <v/>
      </c>
      <c r="L269" s="6388"/>
      <c r="M269" s="6332" t="str">
        <v>à feu moyen. Ajoutez la viande et faites-la dorer de</v>
      </c>
      <c r="N269" t="s">
        <v>21</v>
      </c>
      <c r="AV269" s="103"/>
      <c r="AW269" s="31"/>
      <c r="AX269" s="32"/>
      <c r="AY269" s="31"/>
      <c r="AZ269" s="33"/>
      <c r="BA269" s="1967"/>
      <c r="BB269" s="1805"/>
      <c r="BC269" s="91"/>
      <c r="BD269" s="1806"/>
      <c r="BE269" s="6401"/>
      <c r="BF269" s="6402"/>
      <c r="BG269" s="1969"/>
      <c r="BH269" s="6403"/>
      <c r="BI269" s="95"/>
      <c r="BJ269" s="1326"/>
      <c r="BK269" s="6404"/>
      <c r="BL269" s="1737"/>
      <c r="BM269" s="2081"/>
      <c r="BN269" s="2238"/>
      <c r="BO269" s="1809"/>
      <c r="BQ269" s="2230"/>
      <c r="BR269" s="3">
        <v>1</v>
      </c>
    </row>
    <row r="270" spans="2:70" ht="21" customHeight="1">
      <c r="B270" s="6236"/>
      <c r="C270" s="6358">
        <f t="shared" si="108"/>
        <v>150</v>
      </c>
      <c r="D270" s="6390" t="str" cm="1">
        <f t="array" ref="D270">IF(MOD(ROW()-50,14)=0,INDEX(D260:D273,MOD(ROW()-50,14)+1),E268)</f>
        <v/>
      </c>
      <c r="E270" s="6391" t="str">
        <f t="shared" si="109"/>
        <v/>
      </c>
      <c r="F270" s="6392" t="str">
        <f t="shared" si="110"/>
        <v/>
      </c>
      <c r="G270" s="6321"/>
      <c r="H270" s="6393" t="str">
        <f t="shared" si="111"/>
        <v/>
      </c>
      <c r="I270" s="6405"/>
      <c r="J270" s="6395" t="str">
        <f t="shared" si="112"/>
        <v/>
      </c>
      <c r="K270" s="6396" t="str">
        <f>IF(J270="","",LEFT(J270,IF(LEN(J270)&lt;=I263,LEN(J270),IFERROR(FIND("§",SUBSTITUTE(LEFT(J270,I263+1)," ","§",LEN(LEFT(J270,I263+1))-LEN(SUBSTITUTE(LEFT(J270,I263+1)," ",""))))-1,IFERROR(FIND(" ",J270,I263+1)-1,LEN(J270))))))</f>
        <v/>
      </c>
      <c r="L270" s="6388"/>
      <c r="M270" s="6332" t="str">
        <v>tous les côtés. Retirez-la de la cocotte et</v>
      </c>
      <c r="N270" t="s">
        <v>21</v>
      </c>
      <c r="AV270" s="103"/>
      <c r="AW270" s="31"/>
      <c r="AX270" s="32"/>
      <c r="AY270" s="31"/>
      <c r="AZ270" s="33"/>
      <c r="BA270" s="1967"/>
      <c r="BB270" s="1805"/>
      <c r="BC270" s="91"/>
      <c r="BD270" s="1806"/>
      <c r="BE270" s="6401"/>
      <c r="BF270" s="6402"/>
      <c r="BG270" s="1969"/>
      <c r="BH270" s="6403"/>
      <c r="BI270" s="95"/>
      <c r="BJ270" s="1326"/>
      <c r="BK270" s="6404"/>
      <c r="BL270" s="1737"/>
      <c r="BM270" s="2081"/>
      <c r="BN270" s="2238"/>
      <c r="BO270" s="1809"/>
      <c r="BQ270" s="2230"/>
      <c r="BR270" s="3">
        <v>1</v>
      </c>
    </row>
    <row r="271" spans="2:70" ht="21" customHeight="1">
      <c r="B271" s="6236"/>
      <c r="C271" s="6358">
        <f t="shared" si="108"/>
        <v>150</v>
      </c>
      <c r="D271" s="6390" t="str" cm="1">
        <f t="array" ref="D271">IF(MOD(ROW()-50,14)=0,INDEX(D260:D273,MOD(ROW()-50,14)+1),E269)</f>
        <v/>
      </c>
      <c r="E271" s="6391" t="str">
        <f t="shared" si="109"/>
        <v/>
      </c>
      <c r="F271" s="6392" t="str">
        <f t="shared" si="110"/>
        <v/>
      </c>
      <c r="G271" s="6321"/>
      <c r="H271" s="6393" t="str">
        <f t="shared" si="111"/>
        <v/>
      </c>
      <c r="I271" s="6405"/>
      <c r="J271" s="6395" t="str">
        <f t="shared" si="112"/>
        <v/>
      </c>
      <c r="K271" s="6396" t="str">
        <f>IF(J271="","",LEFT(J271,IF(LEN(J271)&lt;=I263,LEN(J271),IFERROR(FIND("§",SUBSTITUTE(LEFT(J271,I263+1)," ","§",LEN(LEFT(J271,I263+1))-LEN(SUBSTITUTE(LEFT(J271,I263+1)," ",""))))-1,IFERROR(FIND(" ",J271,I263+1)-1,LEN(J271))))))</f>
        <v/>
      </c>
      <c r="L271" s="6388"/>
      <c r="M271" s="6332" t="str">
        <v>réservez-la.</v>
      </c>
      <c r="N271" t="s">
        <v>21</v>
      </c>
      <c r="AV271" s="103"/>
      <c r="AW271" s="31"/>
      <c r="AX271" s="32"/>
      <c r="AY271" s="31"/>
      <c r="AZ271" s="33"/>
      <c r="BA271" s="1967"/>
      <c r="BB271" s="1805"/>
      <c r="BC271" s="91"/>
      <c r="BD271" s="1806"/>
      <c r="BE271" s="6401"/>
      <c r="BF271" s="6402"/>
      <c r="BG271" s="1969"/>
      <c r="BH271" s="6403"/>
      <c r="BI271" s="95"/>
      <c r="BJ271" s="1326"/>
      <c r="BK271" s="6404"/>
      <c r="BL271" s="1737"/>
      <c r="BM271" s="2081"/>
      <c r="BN271" s="2238"/>
      <c r="BO271" s="1809"/>
      <c r="BQ271" s="2230"/>
      <c r="BR271" s="3">
        <v>1</v>
      </c>
    </row>
    <row r="272" spans="2:70" ht="21" customHeight="1">
      <c r="B272" s="6236"/>
      <c r="C272" s="6358">
        <f t="shared" si="108"/>
        <v>150</v>
      </c>
      <c r="D272" s="6390" t="str" cm="1">
        <f t="array" ref="D272">IF(MOD(ROW()-50,14)=0,INDEX(D260:D273,MOD(ROW()-50,14)+1),E270)</f>
        <v/>
      </c>
      <c r="E272" s="6391" t="str">
        <f t="shared" si="109"/>
        <v/>
      </c>
      <c r="F272" s="6392" t="str">
        <f t="shared" si="110"/>
        <v/>
      </c>
      <c r="G272" s="6321"/>
      <c r="H272" s="6393" t="str">
        <f t="shared" si="111"/>
        <v/>
      </c>
      <c r="I272" s="6405"/>
      <c r="J272" s="6395" t="str">
        <f t="shared" si="112"/>
        <v/>
      </c>
      <c r="K272" s="6396" t="str">
        <f>IF(J272="","",LEFT(J272,IF(LEN(J272)&lt;=I263,LEN(J272),IFERROR(FIND("§",SUBSTITUTE(LEFT(J272,I263+1)," ","§",LEN(LEFT(J272,I263+1))-LEN(SUBSTITUTE(LEFT(J272,I263+1)," ",""))))-1,IFERROR(FIND(" ",J272,I263+1)-1,LEN(J272))))))</f>
        <v/>
      </c>
      <c r="L272" s="6396"/>
      <c r="M272" s="6332" t="str">
        <v>38.TEST LIGNE 19 colonne Q et ligne 20 colonne P.</v>
      </c>
      <c r="N272" t="s">
        <v>21</v>
      </c>
      <c r="AV272" s="103"/>
      <c r="AW272" s="31"/>
      <c r="AX272" s="32"/>
      <c r="AY272" s="31"/>
      <c r="AZ272" s="33"/>
      <c r="BA272" s="1967"/>
      <c r="BB272" s="1805"/>
      <c r="BC272" s="91"/>
      <c r="BD272" s="1806"/>
      <c r="BE272" s="6401"/>
      <c r="BF272" s="6402"/>
      <c r="BG272" s="1969"/>
      <c r="BH272" s="6403"/>
      <c r="BI272" s="95"/>
      <c r="BJ272" s="1326"/>
      <c r="BK272" s="6404"/>
      <c r="BL272" s="1737"/>
      <c r="BM272" s="2081"/>
      <c r="BN272" s="2238"/>
      <c r="BO272" s="1809"/>
      <c r="BQ272" s="2230"/>
      <c r="BR272" s="3">
        <v>1</v>
      </c>
    </row>
    <row r="273" spans="2:70" ht="21" customHeight="1">
      <c r="B273" s="6236"/>
      <c r="C273" s="6376">
        <f t="shared" si="108"/>
        <v>150</v>
      </c>
      <c r="D273" s="6406" t="str" cm="1">
        <f t="array" ref="D273">IF(MOD(ROW()-50,14)=0,INDEX(D260:D273,MOD(ROW()-50,14)+1),E271)</f>
        <v/>
      </c>
      <c r="E273" s="6407" t="str">
        <f t="shared" si="109"/>
        <v/>
      </c>
      <c r="F273" s="6408" t="str">
        <f t="shared" si="110"/>
        <v/>
      </c>
      <c r="G273" s="6322"/>
      <c r="H273" s="6409" t="str">
        <f t="shared" si="111"/>
        <v/>
      </c>
      <c r="I273" s="6410"/>
      <c r="J273" s="6411" t="str">
        <f t="shared" si="112"/>
        <v/>
      </c>
      <c r="K273" s="6412" t="str">
        <f>IF(J273="","",LEFT(J273,IF(LEN(J273)&lt;=I263,LEN(J273),IFERROR(FIND("§",SUBSTITUTE(LEFT(J273,I263+1)," ","§",LEN(LEFT(J273,I263+1))-LEN(SUBSTITUTE(LEFT(J273,I263+1)," ",""))))-1,IFERROR(FIND(" ",J273,I263+1)-1,LEN(J273))))))</f>
        <v/>
      </c>
      <c r="L273" s="6413"/>
      <c r="M273" s="6333" t="str">
        <v>rechercher la cellule qui coupe le texte Dans la</v>
      </c>
      <c r="N273" t="s">
        <v>21</v>
      </c>
      <c r="AV273" s="103"/>
      <c r="AW273" s="31"/>
      <c r="AX273" s="32"/>
      <c r="AY273" s="31"/>
      <c r="AZ273" s="33"/>
      <c r="BA273" s="1967"/>
      <c r="BB273" s="1805"/>
      <c r="BC273" s="91"/>
      <c r="BD273" s="1806"/>
      <c r="BE273" s="6401"/>
      <c r="BF273" s="6402"/>
      <c r="BG273" s="1969"/>
      <c r="BH273" s="6403"/>
      <c r="BI273" s="95"/>
      <c r="BJ273" s="1326"/>
      <c r="BK273" s="6404"/>
      <c r="BL273" s="1737"/>
      <c r="BM273" s="2081"/>
      <c r="BN273" s="2238"/>
      <c r="BO273" s="1809"/>
      <c r="BQ273" s="2230"/>
      <c r="BR273" s="3">
        <v>1</v>
      </c>
    </row>
    <row r="274" spans="2:70" ht="21" customHeight="1">
      <c r="B274" s="6236"/>
      <c r="C274" s="6313">
        <f>AD66</f>
        <v>150</v>
      </c>
      <c r="D274" s="6314" t="str">
        <f>IF(UPPER(TRIM(X45))="X",U66,O66)</f>
        <v>17.TEST LIGNE 19 colonne Q et ligne 20 colonne P. rechercher la cellule qui coupe le texte Dans la cocotte N°3 en fonte, faites chauffer l’huile d’olive à feu moyen. Ajoutez la viande et faites-la dorer de tous les côtés. Retirez-la de la cocotte et réservez-la.</v>
      </c>
      <c r="E274" s="6315" t="str">
        <f>IF(D274="","",IF(F274="","",IF(LEN(F274)&gt;=LEN(D274),"",TRIM(MID(D274,LEN(F274)+1,99999)))))</f>
        <v>d’olive à feu moyen. Ajoutez la viande et faites-la dorer de tous les côtés. Retirez-la de la cocotte et réservez-la.</v>
      </c>
      <c r="F274" s="6316" t="str">
        <f>IF(D274="","",IF(LEN(D274)&lt;=C274,D274,IFERROR(LEFT(D274,FIND("§",SUBSTITUTE(LEFT(D274,C274+1)," ","§",LEN(LEFT(D274,C274+1))-LEN(SUBSTITUTE(LEFT(D274,C274+1)," ",""))))-1),LEFT(D274,C274))))</f>
        <v>17.TEST LIGNE 19 colonne Q et ligne 20 colonne P. rechercher la cellule qui coupe le texte Dans la cocotte N°3 en fonte, faites chauffer l’huile</v>
      </c>
      <c r="G274" s="6317"/>
      <c r="H274" s="6323">
        <f>IF(LEN(TRIM(L274))&gt;0,MAX(H273:H273)+1,"")</f>
        <v>1</v>
      </c>
      <c r="I274" s="6324" t="str">
        <f>D274</f>
        <v>17.TEST LIGNE 19 colonne Q et ligne 20 colonne P. rechercher la cellule qui coupe le texte Dans la cocotte N°3 en fonte, faites chauffer l’huile d’olive à feu moyen. Ajoutez la viande et faites-la dorer de tous les côtés. Retirez-la de la cocotte et réservez-la.</v>
      </c>
      <c r="J274" s="6325" t="str">
        <f>IF(I274=0,"",I274)</f>
        <v>17.TEST LIGNE 19 colonne Q et ligne 20 colonne P. rechercher la cellule qui coupe le texte Dans la cocotte N°3 en fonte, faites chauffer l’huile d’olive à feu moyen. Ajoutez la viande et faites-la dorer de tous les côtés. Retirez-la de la cocotte et réservez-la.</v>
      </c>
      <c r="K274" s="6326" t="str">
        <f>IF(I274="","",LEFT(I274,IF(LEN(I274)&lt;=I277,LEN(I274),IFERROR(FIND("§",SUBSTITUTE(LEFT(I274,I277+1)," ","§",LEN(LEFT(I274,I277+1))-LEN(SUBSTITUTE(LEFT(I274,I277+1)," ",""))))-1,IFERROR(FIND(" ",I274,I277+1)-1,LEN(I274))))))</f>
        <v>17.TEST LIGNE 19 colonne Q et ligne 20 colonne P.</v>
      </c>
      <c r="L274" s="6326" t="str" cm="1">
        <f t="array" ref="L274:L279">_xlfn._xlws.FILTER(TRIM(SUBSTITUTE(SUBSTITUTE(SUBSTITUTE(SUBSTITUTE(SUBSTITUTE(CLEAN(K274:K287),CHAR(160)," "),_xlfn.UNICHAR(8239)," "),CHAR(9)," "),CHAR(10)," "),CHAR(13)," ")),TRIM(SUBSTITUTE(SUBSTITUTE(SUBSTITUTE(SUBSTITUTE(SUBSTITUTE(CLEAN(K274:K287),CHAR(160)," "),_xlfn.UNICHAR(8239)," "),CHAR(9)," "),CHAR(10)," "),CHAR(13)," "))&lt;&gt;"")</f>
        <v>17.TEST LIGNE 19 colonne Q et ligne 20 colonne P.</v>
      </c>
      <c r="M274" s="6328" t="str">
        <v>cocotte N°3 en fonte, faites chauffer l’huile d’olive</v>
      </c>
      <c r="N274" t="s">
        <v>21</v>
      </c>
      <c r="AV274" s="103"/>
      <c r="AW274" s="31"/>
      <c r="AX274" s="32"/>
      <c r="AY274" s="31"/>
      <c r="AZ274" s="33"/>
      <c r="BA274" s="1967"/>
      <c r="BB274" s="1805"/>
      <c r="BC274" s="91"/>
      <c r="BD274" s="1806"/>
      <c r="BE274" s="6401"/>
      <c r="BF274" s="6402"/>
      <c r="BG274" s="1969"/>
      <c r="BH274" s="6403"/>
      <c r="BI274" s="95"/>
      <c r="BJ274" s="1326"/>
      <c r="BK274" s="6404"/>
      <c r="BL274" s="1737"/>
      <c r="BM274" s="2081"/>
      <c r="BN274" s="2238"/>
      <c r="BO274" s="1809"/>
      <c r="BQ274" s="2230"/>
      <c r="BR274" s="3">
        <v>1</v>
      </c>
    </row>
    <row r="275" spans="2:70" ht="21" customHeight="1">
      <c r="B275" s="6236"/>
      <c r="C275" s="6358">
        <f t="shared" ref="C275:C287" si="113">C274</f>
        <v>150</v>
      </c>
      <c r="D275" s="6359" t="str" cm="1">
        <f t="array" ref="D275">IF(MOD(ROW()-50,14)=0,INDEX(D274:D287,MOD(ROW()-50,14)+1),E273)</f>
        <v/>
      </c>
      <c r="E275" s="6360" t="str">
        <f t="shared" ref="E275:E287" si="114">IF(D275="","",IF(F275="","",IF(LEN(F275)&gt;=LEN(D275),"",TRIM(MID(D275,LEN(F275)+1,99999)))))</f>
        <v/>
      </c>
      <c r="F275" s="6361" t="str">
        <f t="shared" ref="F275:F287" si="115">IF(D275="","",IF(LEN(D275)&lt;=C275,D275,IFERROR(LEFT(D275,FIND("§",SUBSTITUTE(LEFT(D275,C275+1)," ","§",LEN(LEFT(D275,C275+1))-LEN(SUBSTITUTE(LEFT(D275,C275+1)," ",""))))-1),LEFT(D275,C275))))</f>
        <v/>
      </c>
      <c r="G275" s="6318"/>
      <c r="H275" s="6323">
        <f t="shared" ref="H275:H287" si="116">IF(LEN(TRIM(L275))&gt;0,MAX(H274:H274)+1,"")</f>
        <v>2</v>
      </c>
      <c r="I275" s="6362" t="s">
        <v>14355</v>
      </c>
      <c r="J275" s="6363" t="str">
        <f>TRIM(MID(I278,LEN(K274)+1,99999))</f>
        <v>rechercher la cellule qui coupe le texte Dans la cocotte N°3 en fonte, faites chauffer l’huile d’olive à feu moyen. Ajoutez la viande et faites-la dorer de tous les côtés. Retirez-la de la cocotte et réservez-la.</v>
      </c>
      <c r="K275" s="6364" t="str">
        <f>IF(J275="","",LEFT(J275,IF(LEN(J275)&lt;=I277,LEN(J275),IFERROR(FIND("§",SUBSTITUTE(LEFT(J275,I277+1)," ","§",LEN(LEFT(J275,I277+1))-LEN(SUBSTITUTE(LEFT(J275,I277+1)," ",""))))-1,IFERROR(FIND(" ",J275,I277+1)-1,LEN(J275))))))</f>
        <v>rechercher la cellule qui coupe le texte Dans la</v>
      </c>
      <c r="L275" s="6327" t="str">
        <v>rechercher la cellule qui coupe le texte Dans la</v>
      </c>
      <c r="M275" s="6329" t="str">
        <v>à feu moyen. Ajoutez la viande et faites-la dorer de</v>
      </c>
      <c r="N275" t="s">
        <v>21</v>
      </c>
      <c r="AV275" s="103"/>
      <c r="AW275" s="31"/>
      <c r="AX275" s="32"/>
      <c r="AY275" s="31"/>
      <c r="AZ275" s="33"/>
      <c r="BA275" s="1967"/>
      <c r="BB275" s="1805"/>
      <c r="BC275" s="91"/>
      <c r="BD275" s="1806"/>
      <c r="BE275" s="6401"/>
      <c r="BF275" s="6402"/>
      <c r="BG275" s="1969"/>
      <c r="BH275" s="6403"/>
      <c r="BI275" s="95"/>
      <c r="BJ275" s="1326"/>
      <c r="BK275" s="6404"/>
      <c r="BL275" s="1737"/>
      <c r="BM275" s="2081"/>
      <c r="BN275" s="2238"/>
      <c r="BO275" s="1809"/>
      <c r="BQ275" s="2230"/>
      <c r="BR275" s="3">
        <v>1</v>
      </c>
    </row>
    <row r="276" spans="2:70" ht="21" customHeight="1">
      <c r="B276" s="6236"/>
      <c r="C276" s="6358">
        <f t="shared" si="113"/>
        <v>150</v>
      </c>
      <c r="D276" s="6359" t="str" cm="1">
        <f t="array" ref="D276">IF(MOD(ROW()-50,14)=0,INDEX(D274:D287,MOD(ROW()-50,14)+1),E274)</f>
        <v>d’olive à feu moyen. Ajoutez la viande et faites-la dorer de tous les côtés. Retirez-la de la cocotte et réservez-la.</v>
      </c>
      <c r="E276" s="6360" t="str">
        <f t="shared" si="114"/>
        <v/>
      </c>
      <c r="F276" s="6361" t="str">
        <f t="shared" si="115"/>
        <v>d’olive à feu moyen. Ajoutez la viande et faites-la dorer de tous les côtés. Retirez-la de la cocotte et réservez-la.</v>
      </c>
      <c r="G276" s="6318"/>
      <c r="H276" s="6323">
        <f t="shared" si="116"/>
        <v>3</v>
      </c>
      <c r="I276" s="6365">
        <f>Z66</f>
        <v>5</v>
      </c>
      <c r="J276" s="6363" t="str">
        <f t="shared" ref="J276:J287" si="117">TRIM(MID(J275,LEN(K275)+1,99999))</f>
        <v>cocotte N°3 en fonte, faites chauffer l’huile d’olive à feu moyen. Ajoutez la viande et faites-la dorer de tous les côtés. Retirez-la de la cocotte et réservez-la.</v>
      </c>
      <c r="K276" s="6364" t="str">
        <f>IF(J276="","",LEFT(J276,IF(LEN(J276)&lt;=I277,LEN(J276),IFERROR(FIND("§",SUBSTITUTE(LEFT(J276,I277+1)," ","§",LEN(LEFT(J276,I277+1))-LEN(SUBSTITUTE(LEFT(J276,I277+1)," ",""))))-1,IFERROR(FIND(" ",J276,I277+1)-1,LEN(J276))))))</f>
        <v>cocotte N°3 en fonte, faites chauffer l’huile d’olive</v>
      </c>
      <c r="L276" s="6327" t="str">
        <v>cocotte N°3 en fonte, faites chauffer l’huile d’olive</v>
      </c>
      <c r="M276" s="6329" t="str">
        <v>tous les côtés. Retirez-la de la cocotte et</v>
      </c>
      <c r="N276" t="s">
        <v>21</v>
      </c>
      <c r="AV276" s="103"/>
      <c r="AW276" s="31"/>
      <c r="AX276" s="32"/>
      <c r="AY276" s="31"/>
      <c r="AZ276" s="33"/>
      <c r="BA276" s="1967"/>
      <c r="BB276" s="1805"/>
      <c r="BC276" s="91"/>
      <c r="BD276" s="1806"/>
      <c r="BE276" s="6401"/>
      <c r="BF276" s="6402"/>
      <c r="BG276" s="1969"/>
      <c r="BH276" s="6403"/>
      <c r="BI276" s="95"/>
      <c r="BJ276" s="1326"/>
      <c r="BK276" s="6404"/>
      <c r="BL276" s="1737"/>
      <c r="BM276" s="2081"/>
      <c r="BN276" s="2238"/>
      <c r="BO276" s="1809"/>
      <c r="BQ276" s="2230"/>
      <c r="BR276" s="3">
        <v>1</v>
      </c>
    </row>
    <row r="277" spans="2:70" ht="21" customHeight="1">
      <c r="B277" s="6236"/>
      <c r="C277" s="6358">
        <f t="shared" si="113"/>
        <v>150</v>
      </c>
      <c r="D277" s="6359" t="str" cm="1">
        <f t="array" ref="D277">IF(MOD(ROW()-50,14)=0,INDEX(D274:D287,MOD(ROW()-50,14)+1),E275)</f>
        <v/>
      </c>
      <c r="E277" s="6360" t="str">
        <f t="shared" si="114"/>
        <v/>
      </c>
      <c r="F277" s="6361" t="str">
        <f t="shared" si="115"/>
        <v/>
      </c>
      <c r="G277" s="6318"/>
      <c r="H277" s="6323">
        <f t="shared" si="116"/>
        <v>4</v>
      </c>
      <c r="I277" s="6370">
        <f>IF(OR(J274="",I276="",I276&lt;=0),"",ROUNDUP(LEN(J274)/I276,0))</f>
        <v>53</v>
      </c>
      <c r="J277" s="6363" t="str">
        <f t="shared" si="117"/>
        <v>à feu moyen. Ajoutez la viande et faites-la dorer de tous les côtés. Retirez-la de la cocotte et réservez-la.</v>
      </c>
      <c r="K277" s="6364" t="str">
        <f>IF(J277="","",LEFT(J277,IF(LEN(J277)&lt;=I277,LEN(J277),IFERROR(FIND("§",SUBSTITUTE(LEFT(J277,I277+1)," ","§",LEN(LEFT(J277,I277+1))-LEN(SUBSTITUTE(LEFT(J277,I277+1)," ",""))))-1,IFERROR(FIND(" ",J277,I277+1)-1,LEN(J277))))))</f>
        <v>à feu moyen. Ajoutez la viande et faites-la dorer de</v>
      </c>
      <c r="L277" s="6327" t="str">
        <v>à feu moyen. Ajoutez la viande et faites-la dorer de</v>
      </c>
      <c r="M277" s="6329" t="str">
        <v>réservez-la.</v>
      </c>
      <c r="N277" t="s">
        <v>21</v>
      </c>
      <c r="AV277" s="103"/>
      <c r="AW277" s="31"/>
      <c r="AX277" s="32"/>
      <c r="AY277" s="31"/>
      <c r="AZ277" s="33"/>
      <c r="BA277" s="1967"/>
      <c r="BB277" s="1805"/>
      <c r="BC277" s="91"/>
      <c r="BD277" s="1806"/>
      <c r="BE277" s="6401"/>
      <c r="BF277" s="6402"/>
      <c r="BG277" s="1969"/>
      <c r="BH277" s="6403"/>
      <c r="BI277" s="95"/>
      <c r="BJ277" s="1326"/>
      <c r="BK277" s="6404"/>
      <c r="BL277" s="1737"/>
      <c r="BM277" s="2081"/>
      <c r="BN277" s="2238"/>
      <c r="BO277" s="1809"/>
      <c r="BQ277" s="2230"/>
      <c r="BR277" s="3">
        <v>1</v>
      </c>
    </row>
    <row r="278" spans="2:70" ht="21" customHeight="1">
      <c r="B278" s="6236"/>
      <c r="C278" s="6358">
        <f t="shared" si="113"/>
        <v>150</v>
      </c>
      <c r="D278" s="6359" t="str" cm="1">
        <f t="array" ref="D278">IF(MOD(ROW()-50,14)=0,INDEX(D274:D287,MOD(ROW()-50,14)+1),E276)</f>
        <v/>
      </c>
      <c r="E278" s="6360" t="str">
        <f t="shared" si="114"/>
        <v/>
      </c>
      <c r="F278" s="6361" t="str">
        <f t="shared" si="115"/>
        <v/>
      </c>
      <c r="G278" s="6318"/>
      <c r="H278" s="6323">
        <f t="shared" si="116"/>
        <v>5</v>
      </c>
      <c r="I278" s="6372" t="str">
        <f>I274</f>
        <v>17.TEST LIGNE 19 colonne Q et ligne 20 colonne P. rechercher la cellule qui coupe le texte Dans la cocotte N°3 en fonte, faites chauffer l’huile d’olive à feu moyen. Ajoutez la viande et faites-la dorer de tous les côtés. Retirez-la de la cocotte et réservez-la.</v>
      </c>
      <c r="J278" s="6363" t="str">
        <f t="shared" si="117"/>
        <v>tous les côtés. Retirez-la de la cocotte et réservez-la.</v>
      </c>
      <c r="K278" s="6364" t="str">
        <f>IF(J278="","",LEFT(J278,IF(LEN(J278)&lt;=I277,LEN(J278),IFERROR(FIND("§",SUBSTITUTE(LEFT(J278,I277+1)," ","§",LEN(LEFT(J278,I277+1))-LEN(SUBSTITUTE(LEFT(J278,I277+1)," ",""))))-1,IFERROR(FIND(" ",J278,I277+1)-1,LEN(J278))))))</f>
        <v>tous les côtés. Retirez-la de la cocotte et</v>
      </c>
      <c r="L278" s="6327" t="str">
        <v>tous les côtés. Retirez-la de la cocotte et</v>
      </c>
      <c r="M278" s="6329" t="str">
        <v>39.TEST LIGNE 19 colonne Q et ligne 20 colonne P.</v>
      </c>
      <c r="N278" t="s">
        <v>21</v>
      </c>
      <c r="AV278" s="103"/>
      <c r="AW278" s="31"/>
      <c r="AX278" s="32"/>
      <c r="AY278" s="31"/>
      <c r="AZ278" s="33"/>
      <c r="BA278" s="1967"/>
      <c r="BB278" s="1805"/>
      <c r="BC278" s="91"/>
      <c r="BD278" s="1806"/>
      <c r="BE278" s="6401"/>
      <c r="BF278" s="6402"/>
      <c r="BG278" s="1969"/>
      <c r="BH278" s="6403"/>
      <c r="BI278" s="95"/>
      <c r="BJ278" s="1326"/>
      <c r="BK278" s="6404"/>
      <c r="BL278" s="1737"/>
      <c r="BM278" s="2081"/>
      <c r="BN278" s="2238"/>
      <c r="BO278" s="1809"/>
      <c r="BQ278" s="2230"/>
      <c r="BR278" s="3">
        <v>1</v>
      </c>
    </row>
    <row r="279" spans="2:70" ht="21" customHeight="1">
      <c r="B279" s="6236"/>
      <c r="C279" s="6358">
        <f t="shared" si="113"/>
        <v>150</v>
      </c>
      <c r="D279" s="6359" t="str" cm="1">
        <f t="array" ref="D279">IF(MOD(ROW()-50,14)=0,INDEX(D274:D287,MOD(ROW()-50,14)+1),E277)</f>
        <v/>
      </c>
      <c r="E279" s="6360" t="str">
        <f t="shared" si="114"/>
        <v/>
      </c>
      <c r="F279" s="6361" t="str">
        <f t="shared" si="115"/>
        <v/>
      </c>
      <c r="G279" s="6318"/>
      <c r="H279" s="6323">
        <f t="shared" si="116"/>
        <v>6</v>
      </c>
      <c r="I279" s="6373"/>
      <c r="J279" s="6363" t="str">
        <f t="shared" si="117"/>
        <v>réservez-la.</v>
      </c>
      <c r="K279" s="6364" t="str">
        <f>IF(J279="","",LEFT(J279,IF(LEN(J279)&lt;=I277,LEN(J279),IFERROR(FIND("§",SUBSTITUTE(LEFT(J279,I277+1)," ","§",LEN(LEFT(J279,I277+1))-LEN(SUBSTITUTE(LEFT(J279,I277+1)," ",""))))-1,IFERROR(FIND(" ",J279,I277+1)-1,LEN(J279))))))</f>
        <v>réservez-la.</v>
      </c>
      <c r="L279" s="6327" t="str">
        <v>réservez-la.</v>
      </c>
      <c r="M279" s="6329" t="str">
        <v>rechercher la cellule qui coupe le texte Dans la</v>
      </c>
      <c r="N279" t="s">
        <v>21</v>
      </c>
      <c r="AV279" s="103"/>
      <c r="AW279" s="31"/>
      <c r="AX279" s="32"/>
      <c r="AY279" s="31"/>
      <c r="AZ279" s="33"/>
      <c r="BA279" s="1967"/>
      <c r="BB279" s="1805"/>
      <c r="BC279" s="91"/>
      <c r="BD279" s="1806"/>
      <c r="BE279" s="6401"/>
      <c r="BF279" s="6402"/>
      <c r="BG279" s="1969"/>
      <c r="BH279" s="6403"/>
      <c r="BI279" s="95"/>
      <c r="BJ279" s="1326"/>
      <c r="BK279" s="6404"/>
      <c r="BL279" s="1737"/>
      <c r="BM279" s="2081"/>
      <c r="BN279" s="2238"/>
      <c r="BO279" s="1809"/>
      <c r="BQ279" s="2230"/>
      <c r="BR279" s="3">
        <v>1</v>
      </c>
    </row>
    <row r="280" spans="2:70" ht="21" customHeight="1">
      <c r="B280" s="6236"/>
      <c r="C280" s="6358">
        <f t="shared" si="113"/>
        <v>150</v>
      </c>
      <c r="D280" s="6359" t="str" cm="1">
        <f t="array" ref="D280">IF(MOD(ROW()-50,14)=0,INDEX(D274:D287,MOD(ROW()-50,14)+1),E278)</f>
        <v/>
      </c>
      <c r="E280" s="6360" t="str">
        <f t="shared" si="114"/>
        <v/>
      </c>
      <c r="F280" s="6361" t="str">
        <f t="shared" si="115"/>
        <v/>
      </c>
      <c r="G280" s="6318"/>
      <c r="H280" s="6323" t="str">
        <f t="shared" si="116"/>
        <v/>
      </c>
      <c r="I280" s="6373"/>
      <c r="J280" s="6363" t="str">
        <f t="shared" si="117"/>
        <v/>
      </c>
      <c r="K280" s="6364" t="str">
        <f>IF(J280="","",LEFT(J280,IF(LEN(J280)&lt;=I277,LEN(J280),IFERROR(FIND("§",SUBSTITUTE(LEFT(J280,I277+1)," ","§",LEN(LEFT(J280,I277+1))-LEN(SUBSTITUTE(LEFT(J280,I277+1)," ",""))))-1,IFERROR(FIND(" ",J280,I277+1)-1,LEN(J280))))))</f>
        <v/>
      </c>
      <c r="L280" s="6327"/>
      <c r="M280" s="6329" t="str">
        <v>cocotte N°3 en fonte, faites chauffer l’huile d’olive</v>
      </c>
      <c r="N280" t="s">
        <v>21</v>
      </c>
      <c r="AV280" s="103"/>
      <c r="AW280" s="31"/>
      <c r="AX280" s="32"/>
      <c r="AY280" s="31"/>
      <c r="AZ280" s="33"/>
      <c r="BA280" s="1967"/>
      <c r="BB280" s="1805"/>
      <c r="BC280" s="91"/>
      <c r="BD280" s="1806"/>
      <c r="BE280" s="6401"/>
      <c r="BF280" s="6402"/>
      <c r="BG280" s="1969"/>
      <c r="BH280" s="6403"/>
      <c r="BI280" s="95"/>
      <c r="BJ280" s="1326"/>
      <c r="BK280" s="6404"/>
      <c r="BL280" s="1737"/>
      <c r="BM280" s="2081"/>
      <c r="BN280" s="2238"/>
      <c r="BO280" s="1809"/>
      <c r="BQ280" s="2230"/>
      <c r="BR280" s="3">
        <v>1</v>
      </c>
    </row>
    <row r="281" spans="2:70" ht="21" customHeight="1">
      <c r="B281" s="6236"/>
      <c r="C281" s="6358">
        <f t="shared" si="113"/>
        <v>150</v>
      </c>
      <c r="D281" s="6359" t="str" cm="1">
        <f t="array" ref="D281">IF(MOD(ROW()-50,14)=0,INDEX(D274:D287,MOD(ROW()-50,14)+1),E279)</f>
        <v/>
      </c>
      <c r="E281" s="6360" t="str">
        <f t="shared" si="114"/>
        <v/>
      </c>
      <c r="F281" s="6361" t="str">
        <f t="shared" si="115"/>
        <v/>
      </c>
      <c r="G281" s="6318"/>
      <c r="H281" s="6323" t="str">
        <f t="shared" si="116"/>
        <v/>
      </c>
      <c r="I281" s="6373"/>
      <c r="J281" s="6363" t="str">
        <f t="shared" si="117"/>
        <v/>
      </c>
      <c r="K281" s="6364" t="str">
        <f>IF(J281="","",LEFT(J281,IF(LEN(J281)&lt;=I277,LEN(J281),IFERROR(FIND("§",SUBSTITUTE(LEFT(J281,I277+1)," ","§",LEN(LEFT(J281,I277+1))-LEN(SUBSTITUTE(LEFT(J281,I277+1)," ",""))))-1,IFERROR(FIND(" ",J281,I277+1)-1,LEN(J281))))))</f>
        <v/>
      </c>
      <c r="L281" s="6327"/>
      <c r="M281" s="6329" t="str">
        <v>à feu moyen. Ajoutez la viande et faites-la dorer de</v>
      </c>
      <c r="N281" t="s">
        <v>21</v>
      </c>
      <c r="AV281" s="103"/>
      <c r="AW281" s="31"/>
      <c r="AX281" s="32"/>
      <c r="AY281" s="31"/>
      <c r="AZ281" s="33"/>
      <c r="BA281" s="1967"/>
      <c r="BB281" s="1805"/>
      <c r="BC281" s="91"/>
      <c r="BD281" s="1806"/>
      <c r="BE281" s="6401"/>
      <c r="BF281" s="6402"/>
      <c r="BG281" s="1969"/>
      <c r="BH281" s="6403"/>
      <c r="BI281" s="95"/>
      <c r="BJ281" s="1326"/>
      <c r="BK281" s="6404"/>
      <c r="BL281" s="1737"/>
      <c r="BM281" s="2081"/>
      <c r="BN281" s="2238"/>
      <c r="BO281" s="1809"/>
      <c r="BQ281" s="2230"/>
      <c r="BR281" s="3">
        <v>1</v>
      </c>
    </row>
    <row r="282" spans="2:70" ht="21" customHeight="1">
      <c r="B282" s="6236"/>
      <c r="C282" s="6358">
        <f t="shared" si="113"/>
        <v>150</v>
      </c>
      <c r="D282" s="6359" t="str" cm="1">
        <f t="array" ref="D282">IF(MOD(ROW()-50,14)=0,INDEX(D274:D287,MOD(ROW()-50,14)+1),E280)</f>
        <v/>
      </c>
      <c r="E282" s="6360" t="str">
        <f t="shared" si="114"/>
        <v/>
      </c>
      <c r="F282" s="6361" t="str">
        <f t="shared" si="115"/>
        <v/>
      </c>
      <c r="G282" s="6318"/>
      <c r="H282" s="6323" t="str">
        <f t="shared" si="116"/>
        <v/>
      </c>
      <c r="I282" s="6373"/>
      <c r="J282" s="6363" t="str">
        <f t="shared" si="117"/>
        <v/>
      </c>
      <c r="K282" s="6364" t="str">
        <f>IF(J282="","",LEFT(J282,IF(LEN(J282)&lt;=I277,LEN(J282),IFERROR(FIND("§",SUBSTITUTE(LEFT(J282,I277+1)," ","§",LEN(LEFT(J282,I277+1))-LEN(SUBSTITUTE(LEFT(J282,I277+1)," ",""))))-1,IFERROR(FIND(" ",J282,I277+1)-1,LEN(J282))))))</f>
        <v/>
      </c>
      <c r="L282" s="6327"/>
      <c r="M282" s="6329" t="str">
        <v>tous les côtés. Retirez-la de la cocotte et</v>
      </c>
      <c r="N282" t="s">
        <v>21</v>
      </c>
      <c r="AV282" s="103"/>
      <c r="AW282" s="31"/>
      <c r="AX282" s="32"/>
      <c r="AY282" s="31"/>
      <c r="AZ282" s="33"/>
      <c r="BA282" s="1967"/>
      <c r="BB282" s="1805"/>
      <c r="BC282" s="91"/>
      <c r="BD282" s="1806"/>
      <c r="BE282" s="6401"/>
      <c r="BF282" s="6402"/>
      <c r="BG282" s="1969"/>
      <c r="BH282" s="6403"/>
      <c r="BI282" s="95"/>
      <c r="BJ282" s="1326"/>
      <c r="BK282" s="6404"/>
      <c r="BL282" s="1737"/>
      <c r="BM282" s="2081"/>
      <c r="BN282" s="2238"/>
      <c r="BO282" s="1809"/>
      <c r="BQ282" s="2230"/>
      <c r="BR282" s="3">
        <v>1</v>
      </c>
    </row>
    <row r="283" spans="2:70" ht="21" customHeight="1">
      <c r="B283" s="6236"/>
      <c r="C283" s="6358">
        <f t="shared" si="113"/>
        <v>150</v>
      </c>
      <c r="D283" s="6359" t="str" cm="1">
        <f t="array" ref="D283">IF(MOD(ROW()-50,14)=0,INDEX(D274:D287,MOD(ROW()-50,14)+1),E281)</f>
        <v/>
      </c>
      <c r="E283" s="6360" t="str">
        <f t="shared" si="114"/>
        <v/>
      </c>
      <c r="F283" s="6361" t="str">
        <f t="shared" si="115"/>
        <v/>
      </c>
      <c r="G283" s="6318"/>
      <c r="H283" s="6323" t="str">
        <f t="shared" si="116"/>
        <v/>
      </c>
      <c r="I283" s="6373"/>
      <c r="J283" s="6363" t="str">
        <f t="shared" si="117"/>
        <v/>
      </c>
      <c r="K283" s="6364" t="str">
        <f>IF(J283="","",LEFT(J283,IF(LEN(J283)&lt;=I277,LEN(J283),IFERROR(FIND("§",SUBSTITUTE(LEFT(J283,I277+1)," ","§",LEN(LEFT(J283,I277+1))-LEN(SUBSTITUTE(LEFT(J283,I277+1)," ",""))))-1,IFERROR(FIND(" ",J283,I277+1)-1,LEN(J283))))))</f>
        <v/>
      </c>
      <c r="L283" s="6327"/>
      <c r="M283" s="6329" t="str">
        <v>réservez-la.</v>
      </c>
      <c r="N283" t="s">
        <v>21</v>
      </c>
      <c r="AV283" s="103"/>
      <c r="AW283" s="31"/>
      <c r="AX283" s="32"/>
      <c r="AY283" s="31"/>
      <c r="AZ283" s="33"/>
      <c r="BA283" s="1967"/>
      <c r="BB283" s="1805"/>
      <c r="BC283" s="91"/>
      <c r="BD283" s="1806"/>
      <c r="BE283" s="6401"/>
      <c r="BF283" s="6402"/>
      <c r="BG283" s="1969"/>
      <c r="BH283" s="6403"/>
      <c r="BI283" s="95"/>
      <c r="BJ283" s="1326"/>
      <c r="BK283" s="6404"/>
      <c r="BL283" s="1737"/>
      <c r="BM283" s="2081"/>
      <c r="BN283" s="2238"/>
      <c r="BO283" s="1809"/>
      <c r="BQ283" s="2230"/>
      <c r="BR283" s="3">
        <v>1</v>
      </c>
    </row>
    <row r="284" spans="2:70" ht="21" customHeight="1">
      <c r="B284" s="6236"/>
      <c r="C284" s="6358">
        <f t="shared" si="113"/>
        <v>150</v>
      </c>
      <c r="D284" s="6359" t="str" cm="1">
        <f t="array" ref="D284">IF(MOD(ROW()-50,14)=0,INDEX(D274:D287,MOD(ROW()-50,14)+1),E282)</f>
        <v/>
      </c>
      <c r="E284" s="6360" t="str">
        <f t="shared" si="114"/>
        <v/>
      </c>
      <c r="F284" s="6361" t="str">
        <f t="shared" si="115"/>
        <v/>
      </c>
      <c r="G284" s="6318"/>
      <c r="H284" s="6323" t="str">
        <f t="shared" si="116"/>
        <v/>
      </c>
      <c r="I284" s="6373"/>
      <c r="J284" s="6363" t="str">
        <f t="shared" si="117"/>
        <v/>
      </c>
      <c r="K284" s="6364" t="str">
        <f>IF(J284="","",LEFT(J284,IF(LEN(J284)&lt;=I277,LEN(J284),IFERROR(FIND("§",SUBSTITUTE(LEFT(J284,I277+1)," ","§",LEN(LEFT(J284,I277+1))-LEN(SUBSTITUTE(LEFT(J284,I277+1)," ",""))))-1,IFERROR(FIND(" ",J284,I277+1)-1,LEN(J284))))))</f>
        <v/>
      </c>
      <c r="L284" s="6327"/>
      <c r="M284" s="6329" t="str">
        <v>40.TEST LIGNE 19 colonne Q et ligne 20 colonne P.</v>
      </c>
      <c r="N284" t="s">
        <v>21</v>
      </c>
      <c r="AV284" s="103"/>
      <c r="AW284" s="31"/>
      <c r="AX284" s="32"/>
      <c r="AY284" s="31"/>
      <c r="AZ284" s="33"/>
      <c r="BA284" s="1967"/>
      <c r="BB284" s="1805"/>
      <c r="BC284" s="91"/>
      <c r="BD284" s="1806"/>
      <c r="BE284" s="6401"/>
      <c r="BF284" s="6402"/>
      <c r="BG284" s="1969"/>
      <c r="BH284" s="6403"/>
      <c r="BI284" s="95"/>
      <c r="BJ284" s="1326"/>
      <c r="BK284" s="6404"/>
      <c r="BL284" s="1737"/>
      <c r="BM284" s="2081"/>
      <c r="BN284" s="2238"/>
      <c r="BO284" s="1809"/>
      <c r="BQ284" s="2230"/>
      <c r="BR284" s="3">
        <v>1</v>
      </c>
    </row>
    <row r="285" spans="2:70" ht="21" customHeight="1">
      <c r="B285" s="6236"/>
      <c r="C285" s="6358">
        <f t="shared" si="113"/>
        <v>150</v>
      </c>
      <c r="D285" s="6359" t="str" cm="1">
        <f t="array" ref="D285">IF(MOD(ROW()-50,14)=0,INDEX(D274:D287,MOD(ROW()-50,14)+1),E283)</f>
        <v/>
      </c>
      <c r="E285" s="6360" t="str">
        <f t="shared" si="114"/>
        <v/>
      </c>
      <c r="F285" s="6361" t="str">
        <f t="shared" si="115"/>
        <v/>
      </c>
      <c r="G285" s="6318"/>
      <c r="H285" s="6323" t="str">
        <f t="shared" si="116"/>
        <v/>
      </c>
      <c r="I285" s="6373"/>
      <c r="J285" s="6363" t="str">
        <f t="shared" si="117"/>
        <v/>
      </c>
      <c r="K285" s="6364" t="str">
        <f>IF(J285="","",LEFT(J285,IF(LEN(J285)&lt;=I277,LEN(J285),IFERROR(FIND("§",SUBSTITUTE(LEFT(J285,I277+1)," ","§",LEN(LEFT(J285,I277+1))-LEN(SUBSTITUTE(LEFT(J285,I277+1)," ",""))))-1,IFERROR(FIND(" ",J285,I277+1)-1,LEN(J285))))))</f>
        <v/>
      </c>
      <c r="L285" s="6327"/>
      <c r="M285" s="6329" t="str">
        <v>rechercher la cellule qui coupe le texte Dans la</v>
      </c>
      <c r="N285" t="s">
        <v>21</v>
      </c>
      <c r="AV285" s="103"/>
      <c r="AW285" s="31"/>
      <c r="AX285" s="32"/>
      <c r="AY285" s="31"/>
      <c r="AZ285" s="33"/>
      <c r="BA285" s="1967"/>
      <c r="BB285" s="1805"/>
      <c r="BC285" s="91"/>
      <c r="BD285" s="1806"/>
      <c r="BE285" s="6401"/>
      <c r="BF285" s="6402"/>
      <c r="BG285" s="1969"/>
      <c r="BH285" s="6403"/>
      <c r="BI285" s="95"/>
      <c r="BJ285" s="1326"/>
      <c r="BK285" s="6404"/>
      <c r="BL285" s="1737"/>
      <c r="BM285" s="2081"/>
      <c r="BN285" s="2238"/>
      <c r="BO285" s="1809"/>
      <c r="BQ285" s="2230"/>
      <c r="BR285" s="3">
        <v>1</v>
      </c>
    </row>
    <row r="286" spans="2:70" ht="21" customHeight="1">
      <c r="B286" s="6236"/>
      <c r="C286" s="6358">
        <f t="shared" si="113"/>
        <v>150</v>
      </c>
      <c r="D286" s="6359" t="str" cm="1">
        <f t="array" ref="D286">IF(MOD(ROW()-50,14)=0,INDEX(D274:D287,MOD(ROW()-50,14)+1),E284)</f>
        <v/>
      </c>
      <c r="E286" s="6360" t="str">
        <f t="shared" si="114"/>
        <v/>
      </c>
      <c r="F286" s="6361" t="str">
        <f t="shared" si="115"/>
        <v/>
      </c>
      <c r="G286" s="6318"/>
      <c r="H286" s="6323" t="str">
        <f t="shared" si="116"/>
        <v/>
      </c>
      <c r="I286" s="6373"/>
      <c r="J286" s="6363" t="str">
        <f t="shared" si="117"/>
        <v/>
      </c>
      <c r="K286" s="6364" t="str">
        <f>IF(J286="","",LEFT(J286,IF(LEN(J286)&lt;=I277,LEN(J286),IFERROR(FIND("§",SUBSTITUTE(LEFT(J286,I277+1)," ","§",LEN(LEFT(J286,I277+1))-LEN(SUBSTITUTE(LEFT(J286,I277+1)," ",""))))-1,IFERROR(FIND(" ",J286,I277+1)-1,LEN(J286))))))</f>
        <v/>
      </c>
      <c r="L286" s="6364"/>
      <c r="M286" s="6329" t="str">
        <v>cocotte N°3 en fonte, faites chauffer l’huile d’olive</v>
      </c>
      <c r="N286" t="s">
        <v>21</v>
      </c>
      <c r="AV286" s="103"/>
      <c r="AW286" s="31"/>
      <c r="AX286" s="32"/>
      <c r="AY286" s="31"/>
      <c r="AZ286" s="33"/>
      <c r="BA286" s="1967"/>
      <c r="BB286" s="1805"/>
      <c r="BC286" s="91"/>
      <c r="BD286" s="1806"/>
      <c r="BE286" s="6401"/>
      <c r="BF286" s="6402"/>
      <c r="BG286" s="1969"/>
      <c r="BH286" s="6403"/>
      <c r="BI286" s="95"/>
      <c r="BJ286" s="1326"/>
      <c r="BK286" s="6404"/>
      <c r="BL286" s="1737"/>
      <c r="BM286" s="2081"/>
      <c r="BN286" s="2238"/>
      <c r="BO286" s="1809"/>
      <c r="BQ286" s="2230"/>
      <c r="BR286" s="3">
        <v>1</v>
      </c>
    </row>
    <row r="287" spans="2:70" ht="21" customHeight="1">
      <c r="B287" s="6236"/>
      <c r="C287" s="6376">
        <f t="shared" si="113"/>
        <v>150</v>
      </c>
      <c r="D287" s="6414" t="str" cm="1">
        <f t="array" ref="D287">IF(MOD(ROW()-50,14)=0,INDEX(D274:D287,MOD(ROW()-50,14)+1),E285)</f>
        <v/>
      </c>
      <c r="E287" s="6377" t="str">
        <f t="shared" si="114"/>
        <v/>
      </c>
      <c r="F287" s="6378" t="str">
        <f t="shared" si="115"/>
        <v/>
      </c>
      <c r="G287" s="6319"/>
      <c r="H287" s="6323" t="str">
        <f t="shared" si="116"/>
        <v/>
      </c>
      <c r="I287" s="6379"/>
      <c r="J287" s="6380" t="str">
        <f t="shared" si="117"/>
        <v/>
      </c>
      <c r="K287" s="6381" t="str">
        <f>IF(J287="","",LEFT(J287,IF(LEN(J287)&lt;=I277,LEN(J287),IFERROR(FIND("§",SUBSTITUTE(LEFT(J287,I277+1)," ","§",LEN(LEFT(J287,I277+1))-LEN(SUBSTITUTE(LEFT(J287,I277+1)," ",""))))-1,IFERROR(FIND(" ",J287,I277+1)-1,LEN(J287))))))</f>
        <v/>
      </c>
      <c r="L287" s="6382"/>
      <c r="M287" s="6330" t="str">
        <v>à feu moyen. Ajoutez la viande et faites-la dorer de</v>
      </c>
      <c r="N287" t="s">
        <v>21</v>
      </c>
      <c r="AV287" s="103"/>
      <c r="AW287" s="31"/>
      <c r="AX287" s="32"/>
      <c r="AY287" s="31"/>
      <c r="AZ287" s="33"/>
      <c r="BA287" s="1967"/>
      <c r="BB287" s="1805"/>
      <c r="BC287" s="91"/>
      <c r="BD287" s="1806"/>
      <c r="BE287" s="6401"/>
      <c r="BF287" s="6402"/>
      <c r="BG287" s="1969"/>
      <c r="BH287" s="6403"/>
      <c r="BI287" s="95"/>
      <c r="BJ287" s="1326"/>
      <c r="BK287" s="6404"/>
      <c r="BL287" s="1737"/>
      <c r="BM287" s="2081"/>
      <c r="BN287" s="2238"/>
      <c r="BO287" s="1809"/>
      <c r="BQ287" s="2230"/>
      <c r="BR287" s="3">
        <v>1</v>
      </c>
    </row>
    <row r="288" spans="2:70" ht="21" customHeight="1">
      <c r="B288" s="6236"/>
      <c r="C288" s="6313">
        <f>AD67</f>
        <v>150</v>
      </c>
      <c r="D288" s="6314" t="str">
        <f>IF(UPPER(TRIM(X45))="X",U67,O67)</f>
        <v>18.TEST LIGNE 19 colonne Q et ligne 20 colonne P. rechercher la cellule qui coupe le texte Dans la cocotte N°3 en fonte, faites chauffer l’huile d’olive à feu moyen. Ajoutez la viande et faites-la dorer de tous les côtés. Retirez-la de la cocotte et réservez-la.</v>
      </c>
      <c r="E288" s="6383" t="str">
        <f>IF(D288="","",IF(F288="","",IF(LEN(F288)&gt;=LEN(D288),"",TRIM(MID(D288,LEN(F288)+1,99999)))))</f>
        <v>d’olive à feu moyen. Ajoutez la viande et faites-la dorer de tous les côtés. Retirez-la de la cocotte et réservez-la.</v>
      </c>
      <c r="F288" s="6384" t="str">
        <f>IF(D288="","",IF(LEN(D288)&lt;=C288,D288,IFERROR(LEFT(D288,FIND("§",SUBSTITUTE(LEFT(D288,C288+1)," ","§",LEN(LEFT(D288,C288+1))-LEN(SUBSTITUTE(LEFT(D288,C288+1)," ",""))))-1),LEFT(D288,C288))))</f>
        <v>18.TEST LIGNE 19 colonne Q et ligne 20 colonne P. rechercher la cellule qui coupe le texte Dans la cocotte N°3 en fonte, faites chauffer l’huile</v>
      </c>
      <c r="G288" s="6320"/>
      <c r="H288" s="6385">
        <f>IF(LEN(TRIM(L288))&gt;0,MAX(H287:H287)+1,"")</f>
        <v>1</v>
      </c>
      <c r="I288" s="6324" t="str">
        <f>D288</f>
        <v>18.TEST LIGNE 19 colonne Q et ligne 20 colonne P. rechercher la cellule qui coupe le texte Dans la cocotte N°3 en fonte, faites chauffer l’huile d’olive à feu moyen. Ajoutez la viande et faites-la dorer de tous les côtés. Retirez-la de la cocotte et réservez-la.</v>
      </c>
      <c r="J288" s="6386" t="str">
        <f>IF(I288=0,"",I288)</f>
        <v>18.TEST LIGNE 19 colonne Q et ligne 20 colonne P. rechercher la cellule qui coupe le texte Dans la cocotte N°3 en fonte, faites chauffer l’huile d’olive à feu moyen. Ajoutez la viande et faites-la dorer de tous les côtés. Retirez-la de la cocotte et réservez-la.</v>
      </c>
      <c r="K288" s="6387" t="str">
        <f>IF(I288="","",LEFT(I288,IF(LEN(I288)&lt;=I291,LEN(I288),IFERROR(FIND("§",SUBSTITUTE(LEFT(I288,I291+1)," ","§",LEN(LEFT(I288,I291+1))-LEN(SUBSTITUTE(LEFT(I288,I291+1)," ",""))))-1,IFERROR(FIND(" ",I288,I291+1)-1,LEN(I288))))))</f>
        <v>18.TEST LIGNE 19 colonne Q et ligne 20 colonne P.</v>
      </c>
      <c r="L288" s="6388" t="str" cm="1">
        <f t="array" ref="L288:L293">_xlfn._xlws.FILTER(TRIM(SUBSTITUTE(SUBSTITUTE(SUBSTITUTE(SUBSTITUTE(SUBSTITUTE(CLEAN(K288:K301),CHAR(160)," "),_xlfn.UNICHAR(8239)," "),CHAR(9)," "),CHAR(10)," "),CHAR(13)," ")),TRIM(SUBSTITUTE(SUBSTITUTE(SUBSTITUTE(SUBSTITUTE(SUBSTITUTE(CLEAN(K288:K301),CHAR(160)," "),_xlfn.UNICHAR(8239)," "),CHAR(9)," "),CHAR(10)," "),CHAR(13)," "))&lt;&gt;"")</f>
        <v>18.TEST LIGNE 19 colonne Q et ligne 20 colonne P.</v>
      </c>
      <c r="M288" s="6331" t="str">
        <v>tous les côtés. Retirez-la de la cocotte et</v>
      </c>
      <c r="N288" t="s">
        <v>21</v>
      </c>
      <c r="AV288" s="103"/>
      <c r="AW288" s="31"/>
      <c r="AX288" s="32"/>
      <c r="AY288" s="31"/>
      <c r="AZ288" s="33"/>
      <c r="BA288" s="1967"/>
      <c r="BB288" s="1805"/>
      <c r="BC288" s="91"/>
      <c r="BD288" s="1806"/>
      <c r="BE288" s="6401"/>
      <c r="BF288" s="6402"/>
      <c r="BG288" s="1969"/>
      <c r="BH288" s="6403"/>
      <c r="BI288" s="95"/>
      <c r="BJ288" s="1326"/>
      <c r="BK288" s="6404"/>
      <c r="BL288" s="1737"/>
      <c r="BM288" s="2081"/>
      <c r="BN288" s="2238"/>
      <c r="BO288" s="1809"/>
      <c r="BQ288" s="2230"/>
      <c r="BR288" s="3">
        <v>1</v>
      </c>
    </row>
    <row r="289" spans="2:70" ht="21" customHeight="1">
      <c r="B289" s="6236"/>
      <c r="C289" s="6358">
        <f t="shared" ref="C289:C301" si="118">C288</f>
        <v>150</v>
      </c>
      <c r="D289" s="6390" t="str" cm="1">
        <f t="array" ref="D289">IF(MOD(ROW()-50,14)=0,INDEX(D288:D301,MOD(ROW()-50,14)+1),E287)</f>
        <v/>
      </c>
      <c r="E289" s="6391" t="str">
        <f t="shared" ref="E289:E301" si="119">IF(D289="","",IF(F289="","",IF(LEN(F289)&gt;=LEN(D289),"",TRIM(MID(D289,LEN(F289)+1,99999)))))</f>
        <v/>
      </c>
      <c r="F289" s="6392" t="str">
        <f t="shared" ref="F289:F301" si="120">IF(D289="","",IF(LEN(D289)&lt;=C289,D289,IFERROR(LEFT(D289,FIND("§",SUBSTITUTE(LEFT(D289,C289+1)," ","§",LEN(LEFT(D289,C289+1))-LEN(SUBSTITUTE(LEFT(D289,C289+1)," ",""))))-1),LEFT(D289,C289))))</f>
        <v/>
      </c>
      <c r="G289" s="6321"/>
      <c r="H289" s="6393">
        <f t="shared" ref="H289:H301" si="121">IF(LEN(TRIM(L289))&gt;0,MAX(H288:H288)+1,"")</f>
        <v>2</v>
      </c>
      <c r="I289" s="6394" t="s">
        <v>14355</v>
      </c>
      <c r="J289" s="6395" t="str">
        <f>TRIM(MID(I292,LEN(K288)+1,99999))</f>
        <v>rechercher la cellule qui coupe le texte Dans la cocotte N°3 en fonte, faites chauffer l’huile d’olive à feu moyen. Ajoutez la viande et faites-la dorer de tous les côtés. Retirez-la de la cocotte et réservez-la.</v>
      </c>
      <c r="K289" s="6396" t="str">
        <f>IF(J289="","",LEFT(J289,IF(LEN(J289)&lt;=I291,LEN(J289),IFERROR(FIND("§",SUBSTITUTE(LEFT(J289,I291+1)," ","§",LEN(LEFT(J289,I291+1))-LEN(SUBSTITUTE(LEFT(J289,I291+1)," ",""))))-1,IFERROR(FIND(" ",J289,I291+1)-1,LEN(J289))))))</f>
        <v>rechercher la cellule qui coupe le texte Dans la</v>
      </c>
      <c r="L289" s="6388" t="str">
        <v>rechercher la cellule qui coupe le texte Dans la</v>
      </c>
      <c r="M289" s="6332" t="str">
        <v>réservez-la.</v>
      </c>
      <c r="N289" t="s">
        <v>21</v>
      </c>
      <c r="AV289" s="103"/>
      <c r="AW289" s="31"/>
      <c r="AX289" s="32"/>
      <c r="AY289" s="31"/>
      <c r="AZ289" s="33"/>
      <c r="BA289" s="1967"/>
      <c r="BB289" s="1805"/>
      <c r="BC289" s="91"/>
      <c r="BD289" s="1806"/>
      <c r="BE289" s="6401"/>
      <c r="BF289" s="6402"/>
      <c r="BG289" s="1969"/>
      <c r="BH289" s="6403"/>
      <c r="BI289" s="95"/>
      <c r="BJ289" s="1326"/>
      <c r="BK289" s="6404"/>
      <c r="BL289" s="1737"/>
      <c r="BM289" s="2081"/>
      <c r="BN289" s="2238"/>
      <c r="BO289" s="1809"/>
      <c r="BQ289" s="2230"/>
      <c r="BR289" s="3">
        <v>1</v>
      </c>
    </row>
    <row r="290" spans="2:70" ht="21" customHeight="1">
      <c r="B290" s="6236"/>
      <c r="C290" s="6358">
        <f t="shared" si="118"/>
        <v>150</v>
      </c>
      <c r="D290" s="6390" t="str" cm="1">
        <f t="array" ref="D290">IF(MOD(ROW()-50,14)=0,INDEX(D288:D301,MOD(ROW()-50,14)+1),E288)</f>
        <v>d’olive à feu moyen. Ajoutez la viande et faites-la dorer de tous les côtés. Retirez-la de la cocotte et réservez-la.</v>
      </c>
      <c r="E290" s="6391" t="str">
        <f t="shared" si="119"/>
        <v/>
      </c>
      <c r="F290" s="6392" t="str">
        <f t="shared" si="120"/>
        <v>d’olive à feu moyen. Ajoutez la viande et faites-la dorer de tous les côtés. Retirez-la de la cocotte et réservez-la.</v>
      </c>
      <c r="G290" s="6321"/>
      <c r="H290" s="6393">
        <f t="shared" si="121"/>
        <v>3</v>
      </c>
      <c r="I290" s="6365">
        <f>Z67</f>
        <v>5</v>
      </c>
      <c r="J290" s="6395" t="str">
        <f t="shared" ref="J290:J301" si="122">TRIM(MID(J289,LEN(K289)+1,99999))</f>
        <v>cocotte N°3 en fonte, faites chauffer l’huile d’olive à feu moyen. Ajoutez la viande et faites-la dorer de tous les côtés. Retirez-la de la cocotte et réservez-la.</v>
      </c>
      <c r="K290" s="6396" t="str">
        <f>IF(J290="","",LEFT(J290,IF(LEN(J290)&lt;=I291,LEN(J290),IFERROR(FIND("§",SUBSTITUTE(LEFT(J290,I291+1)," ","§",LEN(LEFT(J290,I291+1))-LEN(SUBSTITUTE(LEFT(J290,I291+1)," ",""))))-1,IFERROR(FIND(" ",J290,I291+1)-1,LEN(J290))))))</f>
        <v>cocotte N°3 en fonte, faites chauffer l’huile d’olive</v>
      </c>
      <c r="L290" s="6388" t="str">
        <v>cocotte N°3 en fonte, faites chauffer l’huile d’olive</v>
      </c>
      <c r="M290" s="6332" t="str">
        <v>41.TEST LIGNE 19 colonne Q et ligne 20 colonne P.</v>
      </c>
      <c r="N290" t="s">
        <v>21</v>
      </c>
      <c r="AV290" s="103"/>
      <c r="AW290" s="31"/>
      <c r="AX290" s="32"/>
      <c r="AY290" s="31"/>
      <c r="AZ290" s="33"/>
      <c r="BA290" s="1967"/>
      <c r="BB290" s="1805"/>
      <c r="BC290" s="91"/>
      <c r="BD290" s="1806"/>
      <c r="BE290" s="6401"/>
      <c r="BF290" s="6402"/>
      <c r="BG290" s="1969"/>
      <c r="BH290" s="6403"/>
      <c r="BI290" s="95"/>
      <c r="BJ290" s="1326"/>
      <c r="BK290" s="6404"/>
      <c r="BL290" s="1737"/>
      <c r="BM290" s="2081"/>
      <c r="BN290" s="2238"/>
      <c r="BO290" s="1809"/>
      <c r="BQ290" s="2230"/>
      <c r="BR290" s="3">
        <v>1</v>
      </c>
    </row>
    <row r="291" spans="2:70" ht="21" customHeight="1">
      <c r="B291" s="6236"/>
      <c r="C291" s="6358">
        <f t="shared" si="118"/>
        <v>150</v>
      </c>
      <c r="D291" s="6390" t="str" cm="1">
        <f t="array" ref="D291">IF(MOD(ROW()-50,14)=0,INDEX(D288:D301,MOD(ROW()-50,14)+1),E289)</f>
        <v/>
      </c>
      <c r="E291" s="6391" t="str">
        <f t="shared" si="119"/>
        <v/>
      </c>
      <c r="F291" s="6392" t="str">
        <f t="shared" si="120"/>
        <v/>
      </c>
      <c r="G291" s="6321"/>
      <c r="H291" s="6393">
        <f t="shared" si="121"/>
        <v>4</v>
      </c>
      <c r="I291" s="6398">
        <f>IF(OR(J288="",I290="",I290&lt;=0),"",ROUNDUP(LEN(J288)/I290,0))</f>
        <v>53</v>
      </c>
      <c r="J291" s="6395" t="str">
        <f t="shared" si="122"/>
        <v>à feu moyen. Ajoutez la viande et faites-la dorer de tous les côtés. Retirez-la de la cocotte et réservez-la.</v>
      </c>
      <c r="K291" s="6396" t="str">
        <f>IF(J291="","",LEFT(J291,IF(LEN(J291)&lt;=I291,LEN(J291),IFERROR(FIND("§",SUBSTITUTE(LEFT(J291,I291+1)," ","§",LEN(LEFT(J291,I291+1))-LEN(SUBSTITUTE(LEFT(J291,I291+1)," ",""))))-1,IFERROR(FIND(" ",J291,I291+1)-1,LEN(J291))))))</f>
        <v>à feu moyen. Ajoutez la viande et faites-la dorer de</v>
      </c>
      <c r="L291" s="6388" t="str">
        <v>à feu moyen. Ajoutez la viande et faites-la dorer de</v>
      </c>
      <c r="M291" s="6332" t="str">
        <v>rechercher la cellule qui coupe le texte Dans la</v>
      </c>
      <c r="N291" t="s">
        <v>21</v>
      </c>
      <c r="AV291" s="103"/>
      <c r="AW291" s="31"/>
      <c r="AX291" s="32"/>
      <c r="AY291" s="31"/>
      <c r="AZ291" s="33"/>
      <c r="BA291" s="1967"/>
      <c r="BB291" s="1805"/>
      <c r="BC291" s="91"/>
      <c r="BD291" s="1806"/>
      <c r="BE291" s="6401"/>
      <c r="BF291" s="6402"/>
      <c r="BG291" s="1969"/>
      <c r="BH291" s="6403"/>
      <c r="BI291" s="95"/>
      <c r="BJ291" s="1326"/>
      <c r="BK291" s="6404"/>
      <c r="BL291" s="1737"/>
      <c r="BM291" s="2081"/>
      <c r="BN291" s="2238"/>
      <c r="BO291" s="1809"/>
      <c r="BQ291" s="2230"/>
      <c r="BR291" s="3">
        <v>1</v>
      </c>
    </row>
    <row r="292" spans="2:70" ht="21" customHeight="1">
      <c r="B292" s="6236"/>
      <c r="C292" s="6358">
        <f t="shared" si="118"/>
        <v>150</v>
      </c>
      <c r="D292" s="6390" t="str" cm="1">
        <f t="array" ref="D292">IF(MOD(ROW()-50,14)=0,INDEX(D288:D301,MOD(ROW()-50,14)+1),E290)</f>
        <v/>
      </c>
      <c r="E292" s="6391" t="str">
        <f t="shared" si="119"/>
        <v/>
      </c>
      <c r="F292" s="6392" t="str">
        <f t="shared" si="120"/>
        <v/>
      </c>
      <c r="G292" s="6321"/>
      <c r="H292" s="6393">
        <f t="shared" si="121"/>
        <v>5</v>
      </c>
      <c r="I292" s="6400" t="str">
        <f>I288</f>
        <v>18.TEST LIGNE 19 colonne Q et ligne 20 colonne P. rechercher la cellule qui coupe le texte Dans la cocotte N°3 en fonte, faites chauffer l’huile d’olive à feu moyen. Ajoutez la viande et faites-la dorer de tous les côtés. Retirez-la de la cocotte et réservez-la.</v>
      </c>
      <c r="J292" s="6395" t="str">
        <f t="shared" si="122"/>
        <v>tous les côtés. Retirez-la de la cocotte et réservez-la.</v>
      </c>
      <c r="K292" s="6396" t="str">
        <f>IF(J292="","",LEFT(J292,IF(LEN(J292)&lt;=I291,LEN(J292),IFERROR(FIND("§",SUBSTITUTE(LEFT(J292,I291+1)," ","§",LEN(LEFT(J292,I291+1))-LEN(SUBSTITUTE(LEFT(J292,I291+1)," ",""))))-1,IFERROR(FIND(" ",J292,I291+1)-1,LEN(J292))))))</f>
        <v>tous les côtés. Retirez-la de la cocotte et</v>
      </c>
      <c r="L292" s="6388" t="str">
        <v>tous les côtés. Retirez-la de la cocotte et</v>
      </c>
      <c r="M292" s="6332" t="str">
        <v>cocotte N°3 en fonte, faites chauffer l’huile d’olive</v>
      </c>
      <c r="N292" t="s">
        <v>21</v>
      </c>
      <c r="AV292" s="103"/>
      <c r="AW292" s="31"/>
      <c r="AX292" s="32"/>
      <c r="AY292" s="31"/>
      <c r="AZ292" s="33"/>
      <c r="BA292" s="1967"/>
      <c r="BB292" s="1805"/>
      <c r="BC292" s="91"/>
      <c r="BD292" s="1806"/>
      <c r="BE292" s="6401"/>
      <c r="BF292" s="6402"/>
      <c r="BG292" s="1969"/>
      <c r="BH292" s="6403"/>
      <c r="BI292" s="95"/>
      <c r="BJ292" s="1326"/>
      <c r="BK292" s="6404"/>
      <c r="BL292" s="1737"/>
      <c r="BM292" s="2081"/>
      <c r="BN292" s="2238"/>
      <c r="BO292" s="1809"/>
      <c r="BQ292" s="2230"/>
      <c r="BR292" s="3">
        <v>1</v>
      </c>
    </row>
    <row r="293" spans="2:70" ht="21" customHeight="1">
      <c r="B293" s="6236"/>
      <c r="C293" s="6358">
        <f t="shared" si="118"/>
        <v>150</v>
      </c>
      <c r="D293" s="6390" t="str" cm="1">
        <f t="array" ref="D293">IF(MOD(ROW()-50,14)=0,INDEX(D288:D301,MOD(ROW()-50,14)+1),E291)</f>
        <v/>
      </c>
      <c r="E293" s="6391" t="str">
        <f t="shared" si="119"/>
        <v/>
      </c>
      <c r="F293" s="6392" t="str">
        <f t="shared" si="120"/>
        <v/>
      </c>
      <c r="G293" s="6321"/>
      <c r="H293" s="6393">
        <f t="shared" si="121"/>
        <v>6</v>
      </c>
      <c r="I293" s="6405"/>
      <c r="J293" s="6395" t="str">
        <f t="shared" si="122"/>
        <v>réservez-la.</v>
      </c>
      <c r="K293" s="6396" t="str">
        <f>IF(J293="","",LEFT(J293,IF(LEN(J293)&lt;=I291,LEN(J293),IFERROR(FIND("§",SUBSTITUTE(LEFT(J293,I291+1)," ","§",LEN(LEFT(J293,I291+1))-LEN(SUBSTITUTE(LEFT(J293,I291+1)," ",""))))-1,IFERROR(FIND(" ",J293,I291+1)-1,LEN(J293))))))</f>
        <v>réservez-la.</v>
      </c>
      <c r="L293" s="6388" t="str">
        <v>réservez-la.</v>
      </c>
      <c r="M293" s="6332" t="str">
        <v>à feu moyen. Ajoutez la viande et faites-la dorer de</v>
      </c>
      <c r="N293" t="s">
        <v>21</v>
      </c>
      <c r="AV293" s="103"/>
      <c r="AW293" s="31"/>
      <c r="AX293" s="32"/>
      <c r="AY293" s="31"/>
      <c r="AZ293" s="33"/>
      <c r="BA293" s="1967"/>
      <c r="BB293" s="1805"/>
      <c r="BC293" s="91"/>
      <c r="BD293" s="1806"/>
      <c r="BE293" s="6401"/>
      <c r="BF293" s="6402"/>
      <c r="BG293" s="1969"/>
      <c r="BH293" s="6403"/>
      <c r="BI293" s="95"/>
      <c r="BJ293" s="1326"/>
      <c r="BK293" s="6404"/>
      <c r="BL293" s="1737"/>
      <c r="BM293" s="2081"/>
      <c r="BN293" s="2238"/>
      <c r="BO293" s="1809"/>
      <c r="BQ293" s="2230"/>
      <c r="BR293" s="3">
        <v>1</v>
      </c>
    </row>
    <row r="294" spans="2:70" ht="21" customHeight="1">
      <c r="B294" s="6236"/>
      <c r="C294" s="6358">
        <f t="shared" si="118"/>
        <v>150</v>
      </c>
      <c r="D294" s="6390" t="str" cm="1">
        <f t="array" ref="D294">IF(MOD(ROW()-50,14)=0,INDEX(D288:D301,MOD(ROW()-50,14)+1),E292)</f>
        <v/>
      </c>
      <c r="E294" s="6391" t="str">
        <f t="shared" si="119"/>
        <v/>
      </c>
      <c r="F294" s="6392" t="str">
        <f t="shared" si="120"/>
        <v/>
      </c>
      <c r="G294" s="6321"/>
      <c r="H294" s="6393" t="str">
        <f t="shared" si="121"/>
        <v/>
      </c>
      <c r="I294" s="6405"/>
      <c r="J294" s="6395" t="str">
        <f t="shared" si="122"/>
        <v/>
      </c>
      <c r="K294" s="6396" t="str">
        <f>IF(J294="","",LEFT(J294,IF(LEN(J294)&lt;=I291,LEN(J294),IFERROR(FIND("§",SUBSTITUTE(LEFT(J294,I291+1)," ","§",LEN(LEFT(J294,I291+1))-LEN(SUBSTITUTE(LEFT(J294,I291+1)," ",""))))-1,IFERROR(FIND(" ",J294,I291+1)-1,LEN(J294))))))</f>
        <v/>
      </c>
      <c r="L294" s="6388"/>
      <c r="M294" s="6332" t="str">
        <v>tous les côtés. Retirez-la de la cocotte et</v>
      </c>
      <c r="N294" t="s">
        <v>21</v>
      </c>
      <c r="AV294" s="103"/>
      <c r="AW294" s="31"/>
      <c r="AX294" s="32"/>
      <c r="AY294" s="31"/>
      <c r="AZ294" s="33"/>
      <c r="BA294" s="1967"/>
      <c r="BB294" s="1805"/>
      <c r="BC294" s="91"/>
      <c r="BD294" s="1806"/>
      <c r="BE294" s="6401"/>
      <c r="BF294" s="6402"/>
      <c r="BG294" s="1969"/>
      <c r="BH294" s="6403"/>
      <c r="BI294" s="95"/>
      <c r="BJ294" s="1326"/>
      <c r="BK294" s="6404"/>
      <c r="BL294" s="1737"/>
      <c r="BM294" s="2081"/>
      <c r="BN294" s="2238"/>
      <c r="BO294" s="1809"/>
      <c r="BQ294" s="2230"/>
      <c r="BR294" s="3">
        <v>1</v>
      </c>
    </row>
    <row r="295" spans="2:70" ht="21" customHeight="1">
      <c r="B295" s="6236"/>
      <c r="C295" s="6358">
        <f t="shared" si="118"/>
        <v>150</v>
      </c>
      <c r="D295" s="6390" t="str" cm="1">
        <f t="array" ref="D295">IF(MOD(ROW()-50,14)=0,INDEX(D288:D301,MOD(ROW()-50,14)+1),E293)</f>
        <v/>
      </c>
      <c r="E295" s="6391" t="str">
        <f t="shared" si="119"/>
        <v/>
      </c>
      <c r="F295" s="6392" t="str">
        <f t="shared" si="120"/>
        <v/>
      </c>
      <c r="G295" s="6321"/>
      <c r="H295" s="6393" t="str">
        <f t="shared" si="121"/>
        <v/>
      </c>
      <c r="I295" s="6405"/>
      <c r="J295" s="6395" t="str">
        <f t="shared" si="122"/>
        <v/>
      </c>
      <c r="K295" s="6396" t="str">
        <f>IF(J295="","",LEFT(J295,IF(LEN(J295)&lt;=I291,LEN(J295),IFERROR(FIND("§",SUBSTITUTE(LEFT(J295,I291+1)," ","§",LEN(LEFT(J295,I291+1))-LEN(SUBSTITUTE(LEFT(J295,I291+1)," ",""))))-1,IFERROR(FIND(" ",J295,I291+1)-1,LEN(J295))))))</f>
        <v/>
      </c>
      <c r="L295" s="6388"/>
      <c r="M295" s="6332" t="str">
        <v>réservez-la.</v>
      </c>
      <c r="N295" t="s">
        <v>21</v>
      </c>
      <c r="AV295" s="103"/>
      <c r="AW295" s="31"/>
      <c r="AX295" s="32"/>
      <c r="AY295" s="31"/>
      <c r="AZ295" s="33"/>
      <c r="BA295" s="1967"/>
      <c r="BB295" s="1805"/>
      <c r="BC295" s="91"/>
      <c r="BD295" s="1806"/>
      <c r="BE295" s="6401"/>
      <c r="BF295" s="6402"/>
      <c r="BG295" s="1969"/>
      <c r="BH295" s="6403"/>
      <c r="BI295" s="95"/>
      <c r="BJ295" s="1326"/>
      <c r="BK295" s="6404"/>
      <c r="BL295" s="1737"/>
      <c r="BM295" s="2081"/>
      <c r="BN295" s="2238"/>
      <c r="BO295" s="1809"/>
      <c r="BQ295" s="2230"/>
      <c r="BR295" s="3">
        <v>1</v>
      </c>
    </row>
    <row r="296" spans="2:70" ht="21" customHeight="1">
      <c r="B296" s="6236"/>
      <c r="C296" s="6358">
        <f t="shared" si="118"/>
        <v>150</v>
      </c>
      <c r="D296" s="6390" t="str" cm="1">
        <f t="array" ref="D296">IF(MOD(ROW()-50,14)=0,INDEX(D288:D301,MOD(ROW()-50,14)+1),E294)</f>
        <v/>
      </c>
      <c r="E296" s="6391" t="str">
        <f t="shared" si="119"/>
        <v/>
      </c>
      <c r="F296" s="6392" t="str">
        <f t="shared" si="120"/>
        <v/>
      </c>
      <c r="G296" s="6321"/>
      <c r="H296" s="6393" t="str">
        <f t="shared" si="121"/>
        <v/>
      </c>
      <c r="I296" s="6405"/>
      <c r="J296" s="6395" t="str">
        <f t="shared" si="122"/>
        <v/>
      </c>
      <c r="K296" s="6396" t="str">
        <f>IF(J296="","",LEFT(J296,IF(LEN(J296)&lt;=I291,LEN(J296),IFERROR(FIND("§",SUBSTITUTE(LEFT(J296,I291+1)," ","§",LEN(LEFT(J296,I291+1))-LEN(SUBSTITUTE(LEFT(J296,I291+1)," ",""))))-1,IFERROR(FIND(" ",J296,I291+1)-1,LEN(J296))))))</f>
        <v/>
      </c>
      <c r="L296" s="6388"/>
      <c r="M296" s="6332" t="str">
        <v>42.TEST LIGNE 19 colonne Q et ligne 20 colonne P.</v>
      </c>
      <c r="N296" t="s">
        <v>21</v>
      </c>
      <c r="AV296" s="103"/>
      <c r="AW296" s="31"/>
      <c r="AX296" s="32"/>
      <c r="AY296" s="31"/>
      <c r="AZ296" s="33"/>
      <c r="BA296" s="1967"/>
      <c r="BB296" s="1805"/>
      <c r="BC296" s="91"/>
      <c r="BD296" s="1806"/>
      <c r="BE296" s="6401"/>
      <c r="BF296" s="6402"/>
      <c r="BG296" s="1969"/>
      <c r="BH296" s="6403"/>
      <c r="BI296" s="95"/>
      <c r="BJ296" s="1326"/>
      <c r="BK296" s="6404"/>
      <c r="BL296" s="1737"/>
      <c r="BM296" s="2081"/>
      <c r="BN296" s="2238"/>
      <c r="BO296" s="1809"/>
      <c r="BQ296" s="2230"/>
      <c r="BR296" s="3">
        <v>1</v>
      </c>
    </row>
    <row r="297" spans="2:70" ht="21" customHeight="1">
      <c r="B297" s="6236"/>
      <c r="C297" s="6358">
        <f t="shared" si="118"/>
        <v>150</v>
      </c>
      <c r="D297" s="6390" t="str" cm="1">
        <f t="array" ref="D297">IF(MOD(ROW()-50,14)=0,INDEX(D288:D301,MOD(ROW()-50,14)+1),E295)</f>
        <v/>
      </c>
      <c r="E297" s="6391" t="str">
        <f t="shared" si="119"/>
        <v/>
      </c>
      <c r="F297" s="6392" t="str">
        <f t="shared" si="120"/>
        <v/>
      </c>
      <c r="G297" s="6321"/>
      <c r="H297" s="6393" t="str">
        <f t="shared" si="121"/>
        <v/>
      </c>
      <c r="I297" s="6405"/>
      <c r="J297" s="6395" t="str">
        <f t="shared" si="122"/>
        <v/>
      </c>
      <c r="K297" s="6396" t="str">
        <f>IF(J297="","",LEFT(J297,IF(LEN(J297)&lt;=I291,LEN(J297),IFERROR(FIND("§",SUBSTITUTE(LEFT(J297,I291+1)," ","§",LEN(LEFT(J297,I291+1))-LEN(SUBSTITUTE(LEFT(J297,I291+1)," ",""))))-1,IFERROR(FIND(" ",J297,I291+1)-1,LEN(J297))))))</f>
        <v/>
      </c>
      <c r="L297" s="6388"/>
      <c r="M297" s="6332" t="str">
        <v>rechercher la cellule qui coupe le texte Dans la</v>
      </c>
      <c r="N297" t="s">
        <v>21</v>
      </c>
      <c r="AV297" s="103"/>
      <c r="AW297" s="31"/>
      <c r="AX297" s="32"/>
      <c r="AY297" s="31"/>
      <c r="AZ297" s="33"/>
      <c r="BA297" s="1967"/>
      <c r="BB297" s="1805"/>
      <c r="BC297" s="91"/>
      <c r="BD297" s="1806"/>
      <c r="BE297" s="6401"/>
      <c r="BF297" s="6402"/>
      <c r="BG297" s="1969"/>
      <c r="BH297" s="6403"/>
      <c r="BI297" s="95"/>
      <c r="BJ297" s="1326"/>
      <c r="BK297" s="6404"/>
      <c r="BL297" s="1737"/>
      <c r="BM297" s="2081"/>
      <c r="BN297" s="2238"/>
      <c r="BO297" s="1809"/>
      <c r="BQ297" s="2230"/>
      <c r="BR297" s="3">
        <v>1</v>
      </c>
    </row>
    <row r="298" spans="2:70" ht="21" customHeight="1">
      <c r="B298" s="6236"/>
      <c r="C298" s="6358">
        <f t="shared" si="118"/>
        <v>150</v>
      </c>
      <c r="D298" s="6390" t="str" cm="1">
        <f t="array" ref="D298">IF(MOD(ROW()-50,14)=0,INDEX(D288:D301,MOD(ROW()-50,14)+1),E296)</f>
        <v/>
      </c>
      <c r="E298" s="6391" t="str">
        <f t="shared" si="119"/>
        <v/>
      </c>
      <c r="F298" s="6392" t="str">
        <f t="shared" si="120"/>
        <v/>
      </c>
      <c r="G298" s="6321"/>
      <c r="H298" s="6393" t="str">
        <f t="shared" si="121"/>
        <v/>
      </c>
      <c r="I298" s="6405"/>
      <c r="J298" s="6395" t="str">
        <f t="shared" si="122"/>
        <v/>
      </c>
      <c r="K298" s="6396" t="str">
        <f>IF(J298="","",LEFT(J298,IF(LEN(J298)&lt;=I291,LEN(J298),IFERROR(FIND("§",SUBSTITUTE(LEFT(J298,I291+1)," ","§",LEN(LEFT(J298,I291+1))-LEN(SUBSTITUTE(LEFT(J298,I291+1)," ",""))))-1,IFERROR(FIND(" ",J298,I291+1)-1,LEN(J298))))))</f>
        <v/>
      </c>
      <c r="L298" s="6388"/>
      <c r="M298" s="6332" t="str">
        <v>cocotte N°3 en fonte, faites chauffer l’huile d’olive</v>
      </c>
      <c r="N298" t="s">
        <v>21</v>
      </c>
      <c r="AV298" s="103"/>
      <c r="AW298" s="31"/>
      <c r="AX298" s="32"/>
      <c r="AY298" s="31"/>
      <c r="AZ298" s="33"/>
      <c r="BA298" s="1967"/>
      <c r="BB298" s="1805"/>
      <c r="BC298" s="91"/>
      <c r="BD298" s="1806"/>
      <c r="BE298" s="6401"/>
      <c r="BF298" s="6402"/>
      <c r="BG298" s="1969"/>
      <c r="BH298" s="6403"/>
      <c r="BI298" s="95"/>
      <c r="BJ298" s="1326"/>
      <c r="BK298" s="6404"/>
      <c r="BL298" s="1737"/>
      <c r="BM298" s="2081"/>
      <c r="BN298" s="2238"/>
      <c r="BO298" s="1809"/>
      <c r="BQ298" s="2230"/>
      <c r="BR298" s="3">
        <v>1</v>
      </c>
    </row>
    <row r="299" spans="2:70" ht="21" customHeight="1">
      <c r="B299" s="6236"/>
      <c r="C299" s="6358">
        <f t="shared" si="118"/>
        <v>150</v>
      </c>
      <c r="D299" s="6390" t="str" cm="1">
        <f t="array" ref="D299">IF(MOD(ROW()-50,14)=0,INDEX(D288:D301,MOD(ROW()-50,14)+1),E297)</f>
        <v/>
      </c>
      <c r="E299" s="6391" t="str">
        <f t="shared" si="119"/>
        <v/>
      </c>
      <c r="F299" s="6392" t="str">
        <f t="shared" si="120"/>
        <v/>
      </c>
      <c r="G299" s="6321"/>
      <c r="H299" s="6393" t="str">
        <f t="shared" si="121"/>
        <v/>
      </c>
      <c r="I299" s="6405"/>
      <c r="J299" s="6395" t="str">
        <f t="shared" si="122"/>
        <v/>
      </c>
      <c r="K299" s="6396" t="str">
        <f>IF(J299="","",LEFT(J299,IF(LEN(J299)&lt;=I291,LEN(J299),IFERROR(FIND("§",SUBSTITUTE(LEFT(J299,I291+1)," ","§",LEN(LEFT(J299,I291+1))-LEN(SUBSTITUTE(LEFT(J299,I291+1)," ",""))))-1,IFERROR(FIND(" ",J299,I291+1)-1,LEN(J299))))))</f>
        <v/>
      </c>
      <c r="L299" s="6388"/>
      <c r="M299" s="6332" t="str">
        <v>à feu moyen. Ajoutez la viande et faites-la dorer de</v>
      </c>
      <c r="N299" t="s">
        <v>21</v>
      </c>
      <c r="AV299" s="103"/>
      <c r="AW299" s="31"/>
      <c r="AX299" s="32"/>
      <c r="AY299" s="31"/>
      <c r="AZ299" s="33"/>
      <c r="BA299" s="1967"/>
      <c r="BB299" s="1805"/>
      <c r="BC299" s="91"/>
      <c r="BD299" s="1806"/>
      <c r="BE299" s="6401"/>
      <c r="BF299" s="6402"/>
      <c r="BG299" s="1969"/>
      <c r="BH299" s="6403"/>
      <c r="BI299" s="95"/>
      <c r="BJ299" s="1326"/>
      <c r="BK299" s="6404"/>
      <c r="BL299" s="1737"/>
      <c r="BM299" s="2081"/>
      <c r="BN299" s="2238"/>
      <c r="BO299" s="1809"/>
      <c r="BQ299" s="2230"/>
      <c r="BR299" s="3">
        <v>1</v>
      </c>
    </row>
    <row r="300" spans="2:70" ht="21" customHeight="1">
      <c r="B300" s="6236"/>
      <c r="C300" s="6358">
        <f t="shared" si="118"/>
        <v>150</v>
      </c>
      <c r="D300" s="6390" t="str" cm="1">
        <f t="array" ref="D300">IF(MOD(ROW()-50,14)=0,INDEX(D288:D301,MOD(ROW()-50,14)+1),E298)</f>
        <v/>
      </c>
      <c r="E300" s="6391" t="str">
        <f t="shared" si="119"/>
        <v/>
      </c>
      <c r="F300" s="6392" t="str">
        <f t="shared" si="120"/>
        <v/>
      </c>
      <c r="G300" s="6321"/>
      <c r="H300" s="6393" t="str">
        <f t="shared" si="121"/>
        <v/>
      </c>
      <c r="I300" s="6405"/>
      <c r="J300" s="6395" t="str">
        <f t="shared" si="122"/>
        <v/>
      </c>
      <c r="K300" s="6396" t="str">
        <f>IF(J300="","",LEFT(J300,IF(LEN(J300)&lt;=I291,LEN(J300),IFERROR(FIND("§",SUBSTITUTE(LEFT(J300,I291+1)," ","§",LEN(LEFT(J300,I291+1))-LEN(SUBSTITUTE(LEFT(J300,I291+1)," ",""))))-1,IFERROR(FIND(" ",J300,I291+1)-1,LEN(J300))))))</f>
        <v/>
      </c>
      <c r="L300" s="6396"/>
      <c r="M300" s="6332" t="str">
        <v>tous les côtés. Retirez-la de la cocotte et</v>
      </c>
      <c r="N300" t="s">
        <v>21</v>
      </c>
      <c r="AV300" s="103"/>
      <c r="AW300" s="31"/>
      <c r="AX300" s="32"/>
      <c r="AY300" s="31"/>
      <c r="AZ300" s="33"/>
      <c r="BA300" s="1967"/>
      <c r="BB300" s="1805"/>
      <c r="BC300" s="91"/>
      <c r="BD300" s="1806"/>
      <c r="BE300" s="6401"/>
      <c r="BF300" s="6402"/>
      <c r="BG300" s="1969"/>
      <c r="BH300" s="6403"/>
      <c r="BI300" s="95"/>
      <c r="BJ300" s="1326"/>
      <c r="BK300" s="6404"/>
      <c r="BL300" s="1737"/>
      <c r="BM300" s="2081"/>
      <c r="BN300" s="2238"/>
      <c r="BO300" s="1809"/>
      <c r="BQ300" s="2230"/>
      <c r="BR300" s="3">
        <v>1</v>
      </c>
    </row>
    <row r="301" spans="2:70" ht="21" customHeight="1">
      <c r="B301" s="6236"/>
      <c r="C301" s="6376">
        <f t="shared" si="118"/>
        <v>150</v>
      </c>
      <c r="D301" s="6406" t="str" cm="1">
        <f t="array" ref="D301">IF(MOD(ROW()-50,14)=0,INDEX(D288:D301,MOD(ROW()-50,14)+1),E299)</f>
        <v/>
      </c>
      <c r="E301" s="6407" t="str">
        <f t="shared" si="119"/>
        <v/>
      </c>
      <c r="F301" s="6408" t="str">
        <f t="shared" si="120"/>
        <v/>
      </c>
      <c r="G301" s="6322"/>
      <c r="H301" s="6409" t="str">
        <f t="shared" si="121"/>
        <v/>
      </c>
      <c r="I301" s="6410"/>
      <c r="J301" s="6411" t="str">
        <f t="shared" si="122"/>
        <v/>
      </c>
      <c r="K301" s="6412" t="str">
        <f>IF(J301="","",LEFT(J301,IF(LEN(J301)&lt;=I291,LEN(J301),IFERROR(FIND("§",SUBSTITUTE(LEFT(J301,I291+1)," ","§",LEN(LEFT(J301,I291+1))-LEN(SUBSTITUTE(LEFT(J301,I291+1)," ",""))))-1,IFERROR(FIND(" ",J301,I291+1)-1,LEN(J301))))))</f>
        <v/>
      </c>
      <c r="L301" s="6413"/>
      <c r="M301" s="6333" t="str">
        <v>réservez-la.</v>
      </c>
      <c r="N301" t="s">
        <v>21</v>
      </c>
      <c r="AV301" s="103"/>
      <c r="AW301" s="31"/>
      <c r="AX301" s="32"/>
      <c r="AY301" s="31"/>
      <c r="AZ301" s="33"/>
      <c r="BA301" s="1967"/>
      <c r="BB301" s="1805"/>
      <c r="BC301" s="91"/>
      <c r="BD301" s="1806"/>
      <c r="BE301" s="6401"/>
      <c r="BF301" s="6402"/>
      <c r="BG301" s="1969"/>
      <c r="BH301" s="6403"/>
      <c r="BI301" s="95"/>
      <c r="BJ301" s="1326"/>
      <c r="BK301" s="6404"/>
      <c r="BL301" s="1737"/>
      <c r="BM301" s="2081"/>
      <c r="BN301" s="2238"/>
      <c r="BO301" s="1809"/>
      <c r="BQ301" s="2230"/>
      <c r="BR301" s="3">
        <v>1</v>
      </c>
    </row>
    <row r="302" spans="2:70" ht="21" customHeight="1">
      <c r="B302" s="6236"/>
      <c r="C302" s="6313">
        <f>AD68</f>
        <v>150</v>
      </c>
      <c r="D302" s="6314" t="str">
        <f>IF(UPPER(TRIM(X45))="X",U68,O68)</f>
        <v>19.TEST LIGNE 19 colonne Q et ligne 20 colonne P. rechercher la cellule qui coupe le texte Dans la cocotte N°3 en fonte, faites chauffer l’huile d’olive à feu moyen. Ajoutez la viande et faites-la dorer de tous les côtés. Retirez-la de la cocotte et réservez-la.</v>
      </c>
      <c r="E302" s="6315" t="str">
        <f>IF(D302="","",IF(F302="","",IF(LEN(F302)&gt;=LEN(D302),"",TRIM(MID(D302,LEN(F302)+1,99999)))))</f>
        <v>d’olive à feu moyen. Ajoutez la viande et faites-la dorer de tous les côtés. Retirez-la de la cocotte et réservez-la.</v>
      </c>
      <c r="F302" s="6316" t="str">
        <f>IF(D302="","",IF(LEN(D302)&lt;=C302,D302,IFERROR(LEFT(D302,FIND("§",SUBSTITUTE(LEFT(D302,C302+1)," ","§",LEN(LEFT(D302,C302+1))-LEN(SUBSTITUTE(LEFT(D302,C302+1)," ",""))))-1),LEFT(D302,C302))))</f>
        <v>19.TEST LIGNE 19 colonne Q et ligne 20 colonne P. rechercher la cellule qui coupe le texte Dans la cocotte N°3 en fonte, faites chauffer l’huile</v>
      </c>
      <c r="G302" s="6317"/>
      <c r="H302" s="6323">
        <f>IF(LEN(TRIM(L302))&gt;0,MAX(H301:H301)+1,"")</f>
        <v>1</v>
      </c>
      <c r="I302" s="6324" t="str">
        <f>D302</f>
        <v>19.TEST LIGNE 19 colonne Q et ligne 20 colonne P. rechercher la cellule qui coupe le texte Dans la cocotte N°3 en fonte, faites chauffer l’huile d’olive à feu moyen. Ajoutez la viande et faites-la dorer de tous les côtés. Retirez-la de la cocotte et réservez-la.</v>
      </c>
      <c r="J302" s="6325" t="str">
        <f>IF(I302=0,"",I302)</f>
        <v>19.TEST LIGNE 19 colonne Q et ligne 20 colonne P. rechercher la cellule qui coupe le texte Dans la cocotte N°3 en fonte, faites chauffer l’huile d’olive à feu moyen. Ajoutez la viande et faites-la dorer de tous les côtés. Retirez-la de la cocotte et réservez-la.</v>
      </c>
      <c r="K302" s="6326" t="str">
        <f>IF(I302="","",LEFT(I302,IF(LEN(I302)&lt;=I305,LEN(I302),IFERROR(FIND("§",SUBSTITUTE(LEFT(I302,I305+1)," ","§",LEN(LEFT(I302,I305+1))-LEN(SUBSTITUTE(LEFT(I302,I305+1)," ",""))))-1,IFERROR(FIND(" ",I302,I305+1)-1,LEN(I302))))))</f>
        <v>19.TEST LIGNE 19 colonne Q et ligne 20 colonne P.</v>
      </c>
      <c r="L302" s="6326" t="str" cm="1">
        <f t="array" ref="L302:L307">_xlfn._xlws.FILTER(TRIM(SUBSTITUTE(SUBSTITUTE(SUBSTITUTE(SUBSTITUTE(SUBSTITUTE(CLEAN(K302:K315),CHAR(160)," "),_xlfn.UNICHAR(8239)," "),CHAR(9)," "),CHAR(10)," "),CHAR(13)," ")),TRIM(SUBSTITUTE(SUBSTITUTE(SUBSTITUTE(SUBSTITUTE(SUBSTITUTE(CLEAN(K302:K315),CHAR(160)," "),_xlfn.UNICHAR(8239)," "),CHAR(9)," "),CHAR(10)," "),CHAR(13)," "))&lt;&gt;"")</f>
        <v>19.TEST LIGNE 19 colonne Q et ligne 20 colonne P.</v>
      </c>
      <c r="M302" s="6328" t="str">
        <v>42.TEST LIGNE 19 colonne Q et ligne 20 colonne P.</v>
      </c>
      <c r="N302" t="s">
        <v>21</v>
      </c>
      <c r="AV302" s="103"/>
      <c r="AW302" s="31"/>
      <c r="AX302" s="32"/>
      <c r="AY302" s="31"/>
      <c r="AZ302" s="33"/>
      <c r="BA302" s="1967"/>
      <c r="BB302" s="1805"/>
      <c r="BC302" s="91"/>
      <c r="BD302" s="1806"/>
      <c r="BE302" s="6401"/>
      <c r="BF302" s="6402"/>
      <c r="BG302" s="1969"/>
      <c r="BH302" s="6403"/>
      <c r="BI302" s="95"/>
      <c r="BJ302" s="1326"/>
      <c r="BK302" s="6404"/>
      <c r="BL302" s="1737"/>
      <c r="BM302" s="2081"/>
      <c r="BN302" s="2238"/>
      <c r="BO302" s="1809"/>
      <c r="BQ302" s="2230"/>
      <c r="BR302" s="3">
        <v>1</v>
      </c>
    </row>
    <row r="303" spans="2:70" ht="21" customHeight="1">
      <c r="B303" s="6236"/>
      <c r="C303" s="6358">
        <f t="shared" ref="C303:C315" si="123">C302</f>
        <v>150</v>
      </c>
      <c r="D303" s="6359" t="str" cm="1">
        <f t="array" ref="D303">IF(MOD(ROW()-50,14)=0,INDEX(D302:D315,MOD(ROW()-50,14)+1),E301)</f>
        <v/>
      </c>
      <c r="E303" s="6360" t="str">
        <f t="shared" ref="E303:E315" si="124">IF(D303="","",IF(F303="","",IF(LEN(F303)&gt;=LEN(D303),"",TRIM(MID(D303,LEN(F303)+1,99999)))))</f>
        <v/>
      </c>
      <c r="F303" s="6361" t="str">
        <f t="shared" ref="F303:F315" si="125">IF(D303="","",IF(LEN(D303)&lt;=C303,D303,IFERROR(LEFT(D303,FIND("§",SUBSTITUTE(LEFT(D303,C303+1)," ","§",LEN(LEFT(D303,C303+1))-LEN(SUBSTITUTE(LEFT(D303,C303+1)," ",""))))-1),LEFT(D303,C303))))</f>
        <v/>
      </c>
      <c r="G303" s="6318"/>
      <c r="H303" s="6323">
        <f t="shared" ref="H303:H315" si="126">IF(LEN(TRIM(L303))&gt;0,MAX(H302:H302)+1,"")</f>
        <v>2</v>
      </c>
      <c r="I303" s="6362" t="s">
        <v>14355</v>
      </c>
      <c r="J303" s="6363" t="str">
        <f>TRIM(MID(I306,LEN(K302)+1,99999))</f>
        <v>rechercher la cellule qui coupe le texte Dans la cocotte N°3 en fonte, faites chauffer l’huile d’olive à feu moyen. Ajoutez la viande et faites-la dorer de tous les côtés. Retirez-la de la cocotte et réservez-la.</v>
      </c>
      <c r="K303" s="6364" t="str">
        <f>IF(J303="","",LEFT(J303,IF(LEN(J303)&lt;=I305,LEN(J303),IFERROR(FIND("§",SUBSTITUTE(LEFT(J303,I305+1)," ","§",LEN(LEFT(J303,I305+1))-LEN(SUBSTITUTE(LEFT(J303,I305+1)," ",""))))-1,IFERROR(FIND(" ",J303,I305+1)-1,LEN(J303))))))</f>
        <v>rechercher la cellule qui coupe le texte Dans la</v>
      </c>
      <c r="L303" s="6327" t="str">
        <v>rechercher la cellule qui coupe le texte Dans la</v>
      </c>
      <c r="M303" s="6329" t="str">
        <v>rechercher la cellule qui coupe le texte Dans la</v>
      </c>
      <c r="N303" t="s">
        <v>21</v>
      </c>
      <c r="AV303" s="103"/>
      <c r="AW303" s="31"/>
      <c r="AX303" s="32"/>
      <c r="AY303" s="31"/>
      <c r="AZ303" s="33"/>
      <c r="BA303" s="1967"/>
      <c r="BB303" s="1805"/>
      <c r="BC303" s="91"/>
      <c r="BD303" s="1806"/>
      <c r="BE303" s="6401"/>
      <c r="BF303" s="6402"/>
      <c r="BG303" s="1969"/>
      <c r="BH303" s="6403"/>
      <c r="BI303" s="95"/>
      <c r="BJ303" s="1326"/>
      <c r="BK303" s="6404"/>
      <c r="BL303" s="1737"/>
      <c r="BM303" s="2081"/>
      <c r="BN303" s="2238"/>
      <c r="BO303" s="1809"/>
      <c r="BQ303" s="2230"/>
      <c r="BR303" s="3">
        <v>1</v>
      </c>
    </row>
    <row r="304" spans="2:70" ht="21" customHeight="1">
      <c r="B304" s="6236"/>
      <c r="C304" s="6358">
        <f t="shared" si="123"/>
        <v>150</v>
      </c>
      <c r="D304" s="6359" t="str" cm="1">
        <f t="array" ref="D304">IF(MOD(ROW()-50,14)=0,INDEX(D302:D315,MOD(ROW()-50,14)+1),E302)</f>
        <v>d’olive à feu moyen. Ajoutez la viande et faites-la dorer de tous les côtés. Retirez-la de la cocotte et réservez-la.</v>
      </c>
      <c r="E304" s="6360" t="str">
        <f t="shared" si="124"/>
        <v/>
      </c>
      <c r="F304" s="6361" t="str">
        <f t="shared" si="125"/>
        <v>d’olive à feu moyen. Ajoutez la viande et faites-la dorer de tous les côtés. Retirez-la de la cocotte et réservez-la.</v>
      </c>
      <c r="G304" s="6318"/>
      <c r="H304" s="6323">
        <f t="shared" si="126"/>
        <v>3</v>
      </c>
      <c r="I304" s="6365">
        <f>Z68</f>
        <v>5</v>
      </c>
      <c r="J304" s="6363" t="str">
        <f t="shared" ref="J304:J315" si="127">TRIM(MID(J303,LEN(K303)+1,99999))</f>
        <v>cocotte N°3 en fonte, faites chauffer l’huile d’olive à feu moyen. Ajoutez la viande et faites-la dorer de tous les côtés. Retirez-la de la cocotte et réservez-la.</v>
      </c>
      <c r="K304" s="6364" t="str">
        <f>IF(J304="","",LEFT(J304,IF(LEN(J304)&lt;=I305,LEN(J304),IFERROR(FIND("§",SUBSTITUTE(LEFT(J304,I305+1)," ","§",LEN(LEFT(J304,I305+1))-LEN(SUBSTITUTE(LEFT(J304,I305+1)," ",""))))-1,IFERROR(FIND(" ",J304,I305+1)-1,LEN(J304))))))</f>
        <v>cocotte N°3 en fonte, faites chauffer l’huile d’olive</v>
      </c>
      <c r="L304" s="6327" t="str">
        <v>cocotte N°3 en fonte, faites chauffer l’huile d’olive</v>
      </c>
      <c r="M304" s="6329" t="str">
        <v>cocotte N°3 en fonte, faites chauffer l’huile d’olive</v>
      </c>
      <c r="N304" t="s">
        <v>21</v>
      </c>
      <c r="AV304" s="103"/>
      <c r="AW304" s="31"/>
      <c r="AX304" s="32"/>
      <c r="AY304" s="31"/>
      <c r="AZ304" s="33"/>
      <c r="BA304" s="1967"/>
      <c r="BB304" s="1805"/>
      <c r="BC304" s="91"/>
      <c r="BD304" s="1806"/>
      <c r="BE304" s="6401"/>
      <c r="BF304" s="6402"/>
      <c r="BG304" s="1969"/>
      <c r="BH304" s="6403"/>
      <c r="BI304" s="95"/>
      <c r="BJ304" s="1326"/>
      <c r="BK304" s="6404"/>
      <c r="BL304" s="1737"/>
      <c r="BM304" s="2081"/>
      <c r="BN304" s="2238"/>
      <c r="BO304" s="1809"/>
      <c r="BQ304" s="2230"/>
      <c r="BR304" s="3">
        <v>1</v>
      </c>
    </row>
    <row r="305" spans="2:70" ht="21" customHeight="1">
      <c r="B305" s="6236"/>
      <c r="C305" s="6358">
        <f t="shared" si="123"/>
        <v>150</v>
      </c>
      <c r="D305" s="6359" t="str" cm="1">
        <f t="array" ref="D305">IF(MOD(ROW()-50,14)=0,INDEX(D302:D315,MOD(ROW()-50,14)+1),E303)</f>
        <v/>
      </c>
      <c r="E305" s="6360" t="str">
        <f t="shared" si="124"/>
        <v/>
      </c>
      <c r="F305" s="6361" t="str">
        <f t="shared" si="125"/>
        <v/>
      </c>
      <c r="G305" s="6318"/>
      <c r="H305" s="6323">
        <f t="shared" si="126"/>
        <v>4</v>
      </c>
      <c r="I305" s="6370">
        <f>IF(OR(J302="",I304="",I304&lt;=0),"",ROUNDUP(LEN(J302)/I304,0))</f>
        <v>53</v>
      </c>
      <c r="J305" s="6363" t="str">
        <f t="shared" si="127"/>
        <v>à feu moyen. Ajoutez la viande et faites-la dorer de tous les côtés. Retirez-la de la cocotte et réservez-la.</v>
      </c>
      <c r="K305" s="6364" t="str">
        <f>IF(J305="","",LEFT(J305,IF(LEN(J305)&lt;=I305,LEN(J305),IFERROR(FIND("§",SUBSTITUTE(LEFT(J305,I305+1)," ","§",LEN(LEFT(J305,I305+1))-LEN(SUBSTITUTE(LEFT(J305,I305+1)," ",""))))-1,IFERROR(FIND(" ",J305,I305+1)-1,LEN(J305))))))</f>
        <v>à feu moyen. Ajoutez la viande et faites-la dorer de</v>
      </c>
      <c r="L305" s="6327" t="str">
        <v>à feu moyen. Ajoutez la viande et faites-la dorer de</v>
      </c>
      <c r="M305" s="6329" t="str">
        <v>à feu moyen. Ajoutez la viande et faites-la dorer de</v>
      </c>
      <c r="N305" t="s">
        <v>21</v>
      </c>
      <c r="AV305" s="103"/>
      <c r="AW305" s="31"/>
      <c r="AX305" s="32"/>
      <c r="AY305" s="31"/>
      <c r="AZ305" s="33"/>
      <c r="BA305" s="1967"/>
      <c r="BB305" s="1805"/>
      <c r="BC305" s="91"/>
      <c r="BD305" s="1806"/>
      <c r="BE305" s="6401"/>
      <c r="BF305" s="6402"/>
      <c r="BG305" s="1969"/>
      <c r="BH305" s="6403"/>
      <c r="BI305" s="95"/>
      <c r="BJ305" s="1326"/>
      <c r="BK305" s="6404"/>
      <c r="BL305" s="1737"/>
      <c r="BM305" s="2081"/>
      <c r="BN305" s="2238"/>
      <c r="BO305" s="1809"/>
      <c r="BQ305" s="2230"/>
      <c r="BR305" s="3">
        <v>1</v>
      </c>
    </row>
    <row r="306" spans="2:70" ht="21" customHeight="1">
      <c r="B306" s="6236"/>
      <c r="C306" s="6358">
        <f t="shared" si="123"/>
        <v>150</v>
      </c>
      <c r="D306" s="6359" t="str" cm="1">
        <f t="array" ref="D306">IF(MOD(ROW()-50,14)=0,INDEX(D302:D315,MOD(ROW()-50,14)+1),E304)</f>
        <v/>
      </c>
      <c r="E306" s="6360" t="str">
        <f t="shared" si="124"/>
        <v/>
      </c>
      <c r="F306" s="6361" t="str">
        <f t="shared" si="125"/>
        <v/>
      </c>
      <c r="G306" s="6318"/>
      <c r="H306" s="6323">
        <f t="shared" si="126"/>
        <v>5</v>
      </c>
      <c r="I306" s="6372" t="str">
        <f>I302</f>
        <v>19.TEST LIGNE 19 colonne Q et ligne 20 colonne P. rechercher la cellule qui coupe le texte Dans la cocotte N°3 en fonte, faites chauffer l’huile d’olive à feu moyen. Ajoutez la viande et faites-la dorer de tous les côtés. Retirez-la de la cocotte et réservez-la.</v>
      </c>
      <c r="J306" s="6363" t="str">
        <f t="shared" si="127"/>
        <v>tous les côtés. Retirez-la de la cocotte et réservez-la.</v>
      </c>
      <c r="K306" s="6364" t="str">
        <f>IF(J306="","",LEFT(J306,IF(LEN(J306)&lt;=I305,LEN(J306),IFERROR(FIND("§",SUBSTITUTE(LEFT(J306,I305+1)," ","§",LEN(LEFT(J306,I305+1))-LEN(SUBSTITUTE(LEFT(J306,I305+1)," ",""))))-1,IFERROR(FIND(" ",J306,I305+1)-1,LEN(J306))))))</f>
        <v>tous les côtés. Retirez-la de la cocotte et</v>
      </c>
      <c r="L306" s="6327" t="str">
        <v>tous les côtés. Retirez-la de la cocotte et</v>
      </c>
      <c r="M306" s="6329" t="str">
        <v>tous les côtés. Retirez-la de la cocotte et</v>
      </c>
      <c r="N306" t="s">
        <v>21</v>
      </c>
      <c r="AV306" s="103"/>
      <c r="AW306" s="31"/>
      <c r="AX306" s="32"/>
      <c r="AY306" s="31"/>
      <c r="AZ306" s="33"/>
      <c r="BA306" s="1967"/>
      <c r="BB306" s="1805"/>
      <c r="BC306" s="91"/>
      <c r="BD306" s="1806"/>
      <c r="BE306" s="6401"/>
      <c r="BF306" s="6402"/>
      <c r="BG306" s="1969"/>
      <c r="BH306" s="6403"/>
      <c r="BI306" s="95"/>
      <c r="BJ306" s="1326"/>
      <c r="BK306" s="6404"/>
      <c r="BL306" s="1737"/>
      <c r="BM306" s="2081"/>
      <c r="BN306" s="2238"/>
      <c r="BO306" s="1809"/>
      <c r="BQ306" s="2230"/>
      <c r="BR306" s="3">
        <v>1</v>
      </c>
    </row>
    <row r="307" spans="2:70" ht="21" customHeight="1">
      <c r="B307" s="6236"/>
      <c r="C307" s="6358">
        <f t="shared" si="123"/>
        <v>150</v>
      </c>
      <c r="D307" s="6359" t="str" cm="1">
        <f t="array" ref="D307">IF(MOD(ROW()-50,14)=0,INDEX(D302:D315,MOD(ROW()-50,14)+1),E305)</f>
        <v/>
      </c>
      <c r="E307" s="6360" t="str">
        <f t="shared" si="124"/>
        <v/>
      </c>
      <c r="F307" s="6361" t="str">
        <f t="shared" si="125"/>
        <v/>
      </c>
      <c r="G307" s="6318"/>
      <c r="H307" s="6323">
        <f t="shared" si="126"/>
        <v>6</v>
      </c>
      <c r="I307" s="6373"/>
      <c r="J307" s="6363" t="str">
        <f t="shared" si="127"/>
        <v>réservez-la.</v>
      </c>
      <c r="K307" s="6364" t="str">
        <f>IF(J307="","",LEFT(J307,IF(LEN(J307)&lt;=I305,LEN(J307),IFERROR(FIND("§",SUBSTITUTE(LEFT(J307,I305+1)," ","§",LEN(LEFT(J307,I305+1))-LEN(SUBSTITUTE(LEFT(J307,I305+1)," ",""))))-1,IFERROR(FIND(" ",J307,I305+1)-1,LEN(J307))))))</f>
        <v>réservez-la.</v>
      </c>
      <c r="L307" s="6327" t="str">
        <v>réservez-la.</v>
      </c>
      <c r="M307" s="6329" t="str">
        <v>réservez-la.</v>
      </c>
      <c r="N307" t="s">
        <v>21</v>
      </c>
      <c r="AV307" s="103"/>
      <c r="AW307" s="31"/>
      <c r="AX307" s="32"/>
      <c r="AY307" s="31"/>
      <c r="AZ307" s="33"/>
      <c r="BA307" s="1967"/>
      <c r="BB307" s="1805"/>
      <c r="BC307" s="91"/>
      <c r="BD307" s="1806"/>
      <c r="BE307" s="6401"/>
      <c r="BF307" s="6402"/>
      <c r="BG307" s="1969"/>
      <c r="BH307" s="6403"/>
      <c r="BI307" s="95"/>
      <c r="BJ307" s="1326"/>
      <c r="BK307" s="6404"/>
      <c r="BL307" s="1737"/>
      <c r="BM307" s="2081"/>
      <c r="BN307" s="2238"/>
      <c r="BO307" s="1809"/>
      <c r="BQ307" s="2230"/>
      <c r="BR307" s="3">
        <v>1</v>
      </c>
    </row>
    <row r="308" spans="2:70" ht="21" customHeight="1">
      <c r="B308" s="6236"/>
      <c r="C308" s="6358">
        <f t="shared" si="123"/>
        <v>150</v>
      </c>
      <c r="D308" s="6359" t="str" cm="1">
        <f t="array" ref="D308">IF(MOD(ROW()-50,14)=0,INDEX(D302:D315,MOD(ROW()-50,14)+1),E306)</f>
        <v/>
      </c>
      <c r="E308" s="6360" t="str">
        <f t="shared" si="124"/>
        <v/>
      </c>
      <c r="F308" s="6361" t="str">
        <f t="shared" si="125"/>
        <v/>
      </c>
      <c r="G308" s="6318"/>
      <c r="H308" s="6323" t="str">
        <f t="shared" si="126"/>
        <v/>
      </c>
      <c r="I308" s="6373"/>
      <c r="J308" s="6363" t="str">
        <f t="shared" si="127"/>
        <v/>
      </c>
      <c r="K308" s="6364" t="str">
        <f>IF(J308="","",LEFT(J308,IF(LEN(J308)&lt;=I305,LEN(J308),IFERROR(FIND("§",SUBSTITUTE(LEFT(J308,I305+1)," ","§",LEN(LEFT(J308,I305+1))-LEN(SUBSTITUTE(LEFT(J308,I305+1)," ",""))))-1,IFERROR(FIND(" ",J308,I305+1)-1,LEN(J308))))))</f>
        <v/>
      </c>
      <c r="L308" s="6327"/>
      <c r="M308" s="6329" t="str">
        <v>44.TEST LIGNE 19 colonne Q et ligne 20 colonne P.</v>
      </c>
      <c r="N308" t="s">
        <v>21</v>
      </c>
      <c r="AV308" s="103"/>
      <c r="AW308" s="31"/>
      <c r="AX308" s="32"/>
      <c r="AY308" s="31"/>
      <c r="AZ308" s="33"/>
      <c r="BA308" s="1967"/>
      <c r="BB308" s="1805"/>
      <c r="BC308" s="91"/>
      <c r="BD308" s="1806"/>
      <c r="BE308" s="6401"/>
      <c r="BF308" s="6402"/>
      <c r="BG308" s="1969"/>
      <c r="BH308" s="6403"/>
      <c r="BI308" s="95"/>
      <c r="BJ308" s="1326"/>
      <c r="BK308" s="6404"/>
      <c r="BL308" s="1737"/>
      <c r="BM308" s="2081"/>
      <c r="BN308" s="2238"/>
      <c r="BO308" s="1809"/>
      <c r="BQ308" s="2230"/>
      <c r="BR308" s="3">
        <v>1</v>
      </c>
    </row>
    <row r="309" spans="2:70" ht="21" customHeight="1">
      <c r="B309" s="6236"/>
      <c r="C309" s="6358">
        <f t="shared" si="123"/>
        <v>150</v>
      </c>
      <c r="D309" s="6359" t="str" cm="1">
        <f t="array" ref="D309">IF(MOD(ROW()-50,14)=0,INDEX(D302:D315,MOD(ROW()-50,14)+1),E307)</f>
        <v/>
      </c>
      <c r="E309" s="6360" t="str">
        <f t="shared" si="124"/>
        <v/>
      </c>
      <c r="F309" s="6361" t="str">
        <f t="shared" si="125"/>
        <v/>
      </c>
      <c r="G309" s="6318"/>
      <c r="H309" s="6323" t="str">
        <f t="shared" si="126"/>
        <v/>
      </c>
      <c r="I309" s="6373"/>
      <c r="J309" s="6363" t="str">
        <f t="shared" si="127"/>
        <v/>
      </c>
      <c r="K309" s="6364" t="str">
        <f>IF(J309="","",LEFT(J309,IF(LEN(J309)&lt;=I305,LEN(J309),IFERROR(FIND("§",SUBSTITUTE(LEFT(J309,I305+1)," ","§",LEN(LEFT(J309,I305+1))-LEN(SUBSTITUTE(LEFT(J309,I305+1)," ",""))))-1,IFERROR(FIND(" ",J309,I305+1)-1,LEN(J309))))))</f>
        <v/>
      </c>
      <c r="L309" s="6327"/>
      <c r="M309" s="6329" t="str">
        <v>rechercher la cellule qui coupe le texte Dans la</v>
      </c>
      <c r="N309" t="s">
        <v>21</v>
      </c>
      <c r="AV309" s="103"/>
      <c r="AW309" s="31"/>
      <c r="AX309" s="32"/>
      <c r="AY309" s="31"/>
      <c r="AZ309" s="33"/>
      <c r="BA309" s="1967"/>
      <c r="BB309" s="1805"/>
      <c r="BC309" s="91"/>
      <c r="BD309" s="1806"/>
      <c r="BE309" s="6401"/>
      <c r="BF309" s="6402"/>
      <c r="BG309" s="1969"/>
      <c r="BH309" s="6403"/>
      <c r="BI309" s="95"/>
      <c r="BJ309" s="1326"/>
      <c r="BK309" s="6404"/>
      <c r="BL309" s="1737"/>
      <c r="BM309" s="2081"/>
      <c r="BN309" s="2238"/>
      <c r="BO309" s="1809"/>
      <c r="BQ309" s="2230"/>
      <c r="BR309" s="3">
        <v>1</v>
      </c>
    </row>
    <row r="310" spans="2:70" ht="21" customHeight="1">
      <c r="B310" s="6236"/>
      <c r="C310" s="6358">
        <f t="shared" si="123"/>
        <v>150</v>
      </c>
      <c r="D310" s="6359" t="str" cm="1">
        <f t="array" ref="D310">IF(MOD(ROW()-50,14)=0,INDEX(D302:D315,MOD(ROW()-50,14)+1),E308)</f>
        <v/>
      </c>
      <c r="E310" s="6360" t="str">
        <f t="shared" si="124"/>
        <v/>
      </c>
      <c r="F310" s="6361" t="str">
        <f t="shared" si="125"/>
        <v/>
      </c>
      <c r="G310" s="6318"/>
      <c r="H310" s="6323" t="str">
        <f t="shared" si="126"/>
        <v/>
      </c>
      <c r="I310" s="6373"/>
      <c r="J310" s="6363" t="str">
        <f t="shared" si="127"/>
        <v/>
      </c>
      <c r="K310" s="6364" t="str">
        <f>IF(J310="","",LEFT(J310,IF(LEN(J310)&lt;=I305,LEN(J310),IFERROR(FIND("§",SUBSTITUTE(LEFT(J310,I305+1)," ","§",LEN(LEFT(J310,I305+1))-LEN(SUBSTITUTE(LEFT(J310,I305+1)," ",""))))-1,IFERROR(FIND(" ",J310,I305+1)-1,LEN(J310))))))</f>
        <v/>
      </c>
      <c r="L310" s="6327"/>
      <c r="M310" s="6329" t="str">
        <v>cocotte N°3 en fonte, faites chauffer l’huile d’olive</v>
      </c>
      <c r="N310" t="s">
        <v>21</v>
      </c>
      <c r="AV310" s="103"/>
      <c r="AW310" s="31"/>
      <c r="AX310" s="32"/>
      <c r="AY310" s="31"/>
      <c r="AZ310" s="33"/>
      <c r="BA310" s="1967"/>
      <c r="BB310" s="1805"/>
      <c r="BC310" s="91"/>
      <c r="BD310" s="1806"/>
      <c r="BE310" s="6401"/>
      <c r="BF310" s="6402"/>
      <c r="BG310" s="1969"/>
      <c r="BH310" s="6403"/>
      <c r="BI310" s="95"/>
      <c r="BJ310" s="1326"/>
      <c r="BK310" s="6404"/>
      <c r="BL310" s="1737"/>
      <c r="BM310" s="2081"/>
      <c r="BN310" s="2238"/>
      <c r="BO310" s="1809"/>
      <c r="BQ310" s="2230"/>
      <c r="BR310" s="3">
        <v>1</v>
      </c>
    </row>
    <row r="311" spans="2:70" ht="21" customHeight="1">
      <c r="B311" s="6236"/>
      <c r="C311" s="6358">
        <f t="shared" si="123"/>
        <v>150</v>
      </c>
      <c r="D311" s="6359" t="str" cm="1">
        <f t="array" ref="D311">IF(MOD(ROW()-50,14)=0,INDEX(D302:D315,MOD(ROW()-50,14)+1),E309)</f>
        <v/>
      </c>
      <c r="E311" s="6360" t="str">
        <f t="shared" si="124"/>
        <v/>
      </c>
      <c r="F311" s="6361" t="str">
        <f t="shared" si="125"/>
        <v/>
      </c>
      <c r="G311" s="6318"/>
      <c r="H311" s="6323" t="str">
        <f t="shared" si="126"/>
        <v/>
      </c>
      <c r="I311" s="6373"/>
      <c r="J311" s="6363" t="str">
        <f t="shared" si="127"/>
        <v/>
      </c>
      <c r="K311" s="6364" t="str">
        <f>IF(J311="","",LEFT(J311,IF(LEN(J311)&lt;=I305,LEN(J311),IFERROR(FIND("§",SUBSTITUTE(LEFT(J311,I305+1)," ","§",LEN(LEFT(J311,I305+1))-LEN(SUBSTITUTE(LEFT(J311,I305+1)," ",""))))-1,IFERROR(FIND(" ",J311,I305+1)-1,LEN(J311))))))</f>
        <v/>
      </c>
      <c r="L311" s="6327"/>
      <c r="M311" s="6329" t="str">
        <v>à feu moyen. Ajoutez la viande et faites-la dorer de</v>
      </c>
      <c r="N311" t="s">
        <v>21</v>
      </c>
      <c r="AV311" s="103"/>
      <c r="AW311" s="31"/>
      <c r="AX311" s="32"/>
      <c r="AY311" s="31"/>
      <c r="AZ311" s="33"/>
      <c r="BA311" s="1967"/>
      <c r="BB311" s="1805"/>
      <c r="BC311" s="91"/>
      <c r="BD311" s="1806"/>
      <c r="BE311" s="6401"/>
      <c r="BF311" s="6402"/>
      <c r="BG311" s="1969"/>
      <c r="BH311" s="6403"/>
      <c r="BI311" s="95"/>
      <c r="BJ311" s="1326"/>
      <c r="BK311" s="6404"/>
      <c r="BL311" s="1737"/>
      <c r="BM311" s="2081"/>
      <c r="BN311" s="2238"/>
      <c r="BO311" s="1809"/>
      <c r="BQ311" s="2230"/>
      <c r="BR311" s="3">
        <v>1</v>
      </c>
    </row>
    <row r="312" spans="2:70" ht="21" customHeight="1">
      <c r="B312" s="6236"/>
      <c r="C312" s="6358">
        <f t="shared" si="123"/>
        <v>150</v>
      </c>
      <c r="D312" s="6359" t="str" cm="1">
        <f t="array" ref="D312">IF(MOD(ROW()-50,14)=0,INDEX(D302:D315,MOD(ROW()-50,14)+1),E310)</f>
        <v/>
      </c>
      <c r="E312" s="6360" t="str">
        <f t="shared" si="124"/>
        <v/>
      </c>
      <c r="F312" s="6361" t="str">
        <f t="shared" si="125"/>
        <v/>
      </c>
      <c r="G312" s="6318"/>
      <c r="H312" s="6323" t="str">
        <f t="shared" si="126"/>
        <v/>
      </c>
      <c r="I312" s="6373"/>
      <c r="J312" s="6363" t="str">
        <f t="shared" si="127"/>
        <v/>
      </c>
      <c r="K312" s="6364" t="str">
        <f>IF(J312="","",LEFT(J312,IF(LEN(J312)&lt;=I305,LEN(J312),IFERROR(FIND("§",SUBSTITUTE(LEFT(J312,I305+1)," ","§",LEN(LEFT(J312,I305+1))-LEN(SUBSTITUTE(LEFT(J312,I305+1)," ",""))))-1,IFERROR(FIND(" ",J312,I305+1)-1,LEN(J312))))))</f>
        <v/>
      </c>
      <c r="L312" s="6327"/>
      <c r="M312" s="6329" t="str">
        <v>tous les côtés. Retirez-la de la cocotte et</v>
      </c>
      <c r="N312" t="s">
        <v>21</v>
      </c>
      <c r="AV312" s="103"/>
      <c r="AW312" s="31"/>
      <c r="AX312" s="32"/>
      <c r="AY312" s="31"/>
      <c r="AZ312" s="33"/>
      <c r="BA312" s="1967"/>
      <c r="BB312" s="1805"/>
      <c r="BC312" s="91"/>
      <c r="BD312" s="1806"/>
      <c r="BE312" s="6401"/>
      <c r="BF312" s="6402"/>
      <c r="BG312" s="1969"/>
      <c r="BH312" s="6403"/>
      <c r="BI312" s="95"/>
      <c r="BJ312" s="1326"/>
      <c r="BK312" s="6404"/>
      <c r="BL312" s="1737"/>
      <c r="BM312" s="2081"/>
      <c r="BN312" s="2238"/>
      <c r="BO312" s="1809"/>
      <c r="BQ312" s="2230"/>
      <c r="BR312" s="3">
        <v>1</v>
      </c>
    </row>
    <row r="313" spans="2:70" ht="21" customHeight="1">
      <c r="B313" s="6236"/>
      <c r="C313" s="6358">
        <f t="shared" si="123"/>
        <v>150</v>
      </c>
      <c r="D313" s="6359" t="str" cm="1">
        <f t="array" ref="D313">IF(MOD(ROW()-50,14)=0,INDEX(D302:D315,MOD(ROW()-50,14)+1),E311)</f>
        <v/>
      </c>
      <c r="E313" s="6360" t="str">
        <f t="shared" si="124"/>
        <v/>
      </c>
      <c r="F313" s="6361" t="str">
        <f t="shared" si="125"/>
        <v/>
      </c>
      <c r="G313" s="6318"/>
      <c r="H313" s="6323" t="str">
        <f t="shared" si="126"/>
        <v/>
      </c>
      <c r="I313" s="6373"/>
      <c r="J313" s="6363" t="str">
        <f t="shared" si="127"/>
        <v/>
      </c>
      <c r="K313" s="6364" t="str">
        <f>IF(J313="","",LEFT(J313,IF(LEN(J313)&lt;=I305,LEN(J313),IFERROR(FIND("§",SUBSTITUTE(LEFT(J313,I305+1)," ","§",LEN(LEFT(J313,I305+1))-LEN(SUBSTITUTE(LEFT(J313,I305+1)," ",""))))-1,IFERROR(FIND(" ",J313,I305+1)-1,LEN(J313))))))</f>
        <v/>
      </c>
      <c r="L313" s="6327"/>
      <c r="M313" s="6329" t="str">
        <v>réservez-la.</v>
      </c>
      <c r="N313" t="s">
        <v>21</v>
      </c>
      <c r="AV313" s="103"/>
      <c r="AW313" s="31"/>
      <c r="AX313" s="32"/>
      <c r="AY313" s="31"/>
      <c r="AZ313" s="33"/>
      <c r="BA313" s="1967"/>
      <c r="BB313" s="1805"/>
      <c r="BC313" s="91"/>
      <c r="BD313" s="1806"/>
      <c r="BE313" s="6401"/>
      <c r="BF313" s="6402"/>
      <c r="BG313" s="1969"/>
      <c r="BH313" s="6403"/>
      <c r="BI313" s="95"/>
      <c r="BJ313" s="1326"/>
      <c r="BK313" s="6404"/>
      <c r="BL313" s="1737"/>
      <c r="BM313" s="2081"/>
      <c r="BN313" s="2238"/>
      <c r="BO313" s="1809"/>
      <c r="BQ313" s="2230"/>
      <c r="BR313" s="3">
        <v>1</v>
      </c>
    </row>
    <row r="314" spans="2:70" ht="21" customHeight="1">
      <c r="B314" s="6236"/>
      <c r="C314" s="6358">
        <f t="shared" si="123"/>
        <v>150</v>
      </c>
      <c r="D314" s="6359" t="str" cm="1">
        <f t="array" ref="D314">IF(MOD(ROW()-50,14)=0,INDEX(D302:D315,MOD(ROW()-50,14)+1),E312)</f>
        <v/>
      </c>
      <c r="E314" s="6360" t="str">
        <f t="shared" si="124"/>
        <v/>
      </c>
      <c r="F314" s="6361" t="str">
        <f t="shared" si="125"/>
        <v/>
      </c>
      <c r="G314" s="6318"/>
      <c r="H314" s="6323" t="str">
        <f t="shared" si="126"/>
        <v/>
      </c>
      <c r="I314" s="6373"/>
      <c r="J314" s="6363" t="str">
        <f t="shared" si="127"/>
        <v/>
      </c>
      <c r="K314" s="6364" t="str">
        <f>IF(J314="","",LEFT(J314,IF(LEN(J314)&lt;=I305,LEN(J314),IFERROR(FIND("§",SUBSTITUTE(LEFT(J314,I305+1)," ","§",LEN(LEFT(J314,I305+1))-LEN(SUBSTITUTE(LEFT(J314,I305+1)," ",""))))-1,IFERROR(FIND(" ",J314,I305+1)-1,LEN(J314))))))</f>
        <v/>
      </c>
      <c r="L314" s="6364"/>
      <c r="M314" s="6329" t="str">
        <v>45.TEST LIGNE 19 colonne Q et ligne 20 colonne P.</v>
      </c>
      <c r="N314" t="s">
        <v>21</v>
      </c>
      <c r="AV314" s="103"/>
      <c r="AW314" s="31"/>
      <c r="AX314" s="32"/>
      <c r="AY314" s="31"/>
      <c r="AZ314" s="33"/>
      <c r="BA314" s="1967"/>
      <c r="BB314" s="1805"/>
      <c r="BC314" s="91"/>
      <c r="BD314" s="1806"/>
      <c r="BE314" s="6401"/>
      <c r="BF314" s="6402"/>
      <c r="BG314" s="1969"/>
      <c r="BH314" s="6403"/>
      <c r="BI314" s="95"/>
      <c r="BJ314" s="1326"/>
      <c r="BK314" s="6404"/>
      <c r="BL314" s="1737"/>
      <c r="BM314" s="2081"/>
      <c r="BN314" s="2238"/>
      <c r="BO314" s="1809"/>
      <c r="BQ314" s="2230"/>
      <c r="BR314" s="3">
        <v>1</v>
      </c>
    </row>
    <row r="315" spans="2:70" ht="21" customHeight="1">
      <c r="B315" s="6236"/>
      <c r="C315" s="6376">
        <f t="shared" si="123"/>
        <v>150</v>
      </c>
      <c r="D315" s="6414" t="str" cm="1">
        <f t="array" ref="D315">IF(MOD(ROW()-50,14)=0,INDEX(D302:D315,MOD(ROW()-50,14)+1),E313)</f>
        <v/>
      </c>
      <c r="E315" s="6377" t="str">
        <f t="shared" si="124"/>
        <v/>
      </c>
      <c r="F315" s="6378" t="str">
        <f t="shared" si="125"/>
        <v/>
      </c>
      <c r="G315" s="6319"/>
      <c r="H315" s="6323" t="str">
        <f t="shared" si="126"/>
        <v/>
      </c>
      <c r="I315" s="6379"/>
      <c r="J315" s="6380" t="str">
        <f t="shared" si="127"/>
        <v/>
      </c>
      <c r="K315" s="6381" t="str">
        <f>IF(J315="","",LEFT(J315,IF(LEN(J315)&lt;=I305,LEN(J315),IFERROR(FIND("§",SUBSTITUTE(LEFT(J315,I305+1)," ","§",LEN(LEFT(J315,I305+1))-LEN(SUBSTITUTE(LEFT(J315,I305+1)," ",""))))-1,IFERROR(FIND(" ",J315,I305+1)-1,LEN(J315))))))</f>
        <v/>
      </c>
      <c r="L315" s="6382"/>
      <c r="M315" s="6330" t="str">
        <v>rechercher la cellule qui coupe le texte Dans la</v>
      </c>
      <c r="N315" t="s">
        <v>21</v>
      </c>
      <c r="AV315" s="103"/>
      <c r="AW315" s="31"/>
      <c r="AX315" s="32"/>
      <c r="AY315" s="31"/>
      <c r="AZ315" s="33"/>
      <c r="BA315" s="1967"/>
      <c r="BB315" s="1805"/>
      <c r="BC315" s="91"/>
      <c r="BD315" s="1806"/>
      <c r="BE315" s="6401"/>
      <c r="BF315" s="6402"/>
      <c r="BG315" s="1969"/>
      <c r="BH315" s="6403"/>
      <c r="BI315" s="95"/>
      <c r="BJ315" s="1326"/>
      <c r="BK315" s="6404"/>
      <c r="BL315" s="1737"/>
      <c r="BM315" s="2081"/>
      <c r="BN315" s="2238"/>
      <c r="BO315" s="1809"/>
      <c r="BQ315" s="2230"/>
      <c r="BR315" s="3">
        <v>1</v>
      </c>
    </row>
    <row r="316" spans="2:70" ht="21" customHeight="1">
      <c r="B316" s="6236"/>
      <c r="C316" s="6313">
        <f>AD69</f>
        <v>150</v>
      </c>
      <c r="D316" s="6314" t="str">
        <f>IF(UPPER(TRIM(X45))="X",U69,O69)</f>
        <v>20.TEST LIGNE 19 colonne Q et ligne 20 colonne P. rechercher la cellule qui coupe le texte Dans la cocotte N°3 en fonte, faites chauffer l’huile d’olive à feu moyen. Ajoutez la viande et faites-la dorer de tous les côtés. Retirez-la de la cocotte et réservez-la.</v>
      </c>
      <c r="E316" s="6383" t="str">
        <f>IF(D316="","",IF(F316="","",IF(LEN(F316)&gt;=LEN(D316),"",TRIM(MID(D316,LEN(F316)+1,99999)))))</f>
        <v>d’olive à feu moyen. Ajoutez la viande et faites-la dorer de tous les côtés. Retirez-la de la cocotte et réservez-la.</v>
      </c>
      <c r="F316" s="6384" t="str">
        <f>IF(D316="","",IF(LEN(D316)&lt;=C316,D316,IFERROR(LEFT(D316,FIND("§",SUBSTITUTE(LEFT(D316,C316+1)," ","§",LEN(LEFT(D316,C316+1))-LEN(SUBSTITUTE(LEFT(D316,C316+1)," ",""))))-1),LEFT(D316,C316))))</f>
        <v>20.TEST LIGNE 19 colonne Q et ligne 20 colonne P. rechercher la cellule qui coupe le texte Dans la cocotte N°3 en fonte, faites chauffer l’huile</v>
      </c>
      <c r="G316" s="6320"/>
      <c r="H316" s="6385">
        <f>IF(LEN(TRIM(L316))&gt;0,MAX(H315:H315)+1,"")</f>
        <v>1</v>
      </c>
      <c r="I316" s="6324" t="str">
        <f>D316</f>
        <v>20.TEST LIGNE 19 colonne Q et ligne 20 colonne P. rechercher la cellule qui coupe le texte Dans la cocotte N°3 en fonte, faites chauffer l’huile d’olive à feu moyen. Ajoutez la viande et faites-la dorer de tous les côtés. Retirez-la de la cocotte et réservez-la.</v>
      </c>
      <c r="J316" s="6386" t="str">
        <f>IF(I316=0,"",I316)</f>
        <v>20.TEST LIGNE 19 colonne Q et ligne 20 colonne P. rechercher la cellule qui coupe le texte Dans la cocotte N°3 en fonte, faites chauffer l’huile d’olive à feu moyen. Ajoutez la viande et faites-la dorer de tous les côtés. Retirez-la de la cocotte et réservez-la.</v>
      </c>
      <c r="K316" s="6387" t="str">
        <f>IF(I316="","",LEFT(I316,IF(LEN(I316)&lt;=I319,LEN(I316),IFERROR(FIND("§",SUBSTITUTE(LEFT(I316,I319+1)," ","§",LEN(LEFT(I316,I319+1))-LEN(SUBSTITUTE(LEFT(I316,I319+1)," ",""))))-1,IFERROR(FIND(" ",I316,I319+1)-1,LEN(I316))))))</f>
        <v>20.TEST LIGNE 19 colonne Q et ligne 20 colonne P.</v>
      </c>
      <c r="L316" s="6388" t="str" cm="1">
        <f t="array" ref="L316:L321">_xlfn._xlws.FILTER(TRIM(SUBSTITUTE(SUBSTITUTE(SUBSTITUTE(SUBSTITUTE(SUBSTITUTE(CLEAN(K316:K329),CHAR(160)," "),_xlfn.UNICHAR(8239)," "),CHAR(9)," "),CHAR(10)," "),CHAR(13)," ")),TRIM(SUBSTITUTE(SUBSTITUTE(SUBSTITUTE(SUBSTITUTE(SUBSTITUTE(CLEAN(K316:K329),CHAR(160)," "),_xlfn.UNICHAR(8239)," "),CHAR(9)," "),CHAR(10)," "),CHAR(13)," "))&lt;&gt;"")</f>
        <v>20.TEST LIGNE 19 colonne Q et ligne 20 colonne P.</v>
      </c>
      <c r="M316" s="6331" t="str">
        <v>cocotte N°3 en fonte, faites chauffer l’huile d’olive</v>
      </c>
      <c r="N316" t="s">
        <v>21</v>
      </c>
      <c r="AV316" s="103"/>
      <c r="AW316" s="31"/>
      <c r="AX316" s="32"/>
      <c r="AY316" s="31"/>
      <c r="AZ316" s="33"/>
      <c r="BA316" s="1967"/>
      <c r="BB316" s="1805"/>
      <c r="BC316" s="91"/>
      <c r="BD316" s="1806"/>
      <c r="BE316" s="6401"/>
      <c r="BF316" s="6402"/>
      <c r="BG316" s="1969"/>
      <c r="BH316" s="6403"/>
      <c r="BI316" s="95"/>
      <c r="BJ316" s="1326"/>
      <c r="BK316" s="6404"/>
      <c r="BL316" s="1737"/>
      <c r="BM316" s="2081"/>
      <c r="BN316" s="2238"/>
      <c r="BO316" s="1809"/>
      <c r="BR316" s="3">
        <v>1</v>
      </c>
    </row>
    <row r="317" spans="2:70" ht="21" customHeight="1">
      <c r="B317" s="6236"/>
      <c r="C317" s="6358">
        <f t="shared" ref="C317:C329" si="128">C316</f>
        <v>150</v>
      </c>
      <c r="D317" s="6390" t="str" cm="1">
        <f t="array" ref="D317">IF(MOD(ROW()-50,14)=0,INDEX(D316:D329,MOD(ROW()-50,14)+1),E315)</f>
        <v/>
      </c>
      <c r="E317" s="6391" t="str">
        <f t="shared" ref="E317:E329" si="129">IF(D317="","",IF(F317="","",IF(LEN(F317)&gt;=LEN(D317),"",TRIM(MID(D317,LEN(F317)+1,99999)))))</f>
        <v/>
      </c>
      <c r="F317" s="6392" t="str">
        <f t="shared" ref="F317:F329" si="130">IF(D317="","",IF(LEN(D317)&lt;=C317,D317,IFERROR(LEFT(D317,FIND("§",SUBSTITUTE(LEFT(D317,C317+1)," ","§",LEN(LEFT(D317,C317+1))-LEN(SUBSTITUTE(LEFT(D317,C317+1)," ",""))))-1),LEFT(D317,C317))))</f>
        <v/>
      </c>
      <c r="G317" s="6321"/>
      <c r="H317" s="6393">
        <f t="shared" ref="H317:H329" si="131">IF(LEN(TRIM(L317))&gt;0,MAX(H316:H316)+1,"")</f>
        <v>2</v>
      </c>
      <c r="I317" s="6394" t="s">
        <v>14355</v>
      </c>
      <c r="J317" s="6395" t="str">
        <f>TRIM(MID(I320,LEN(K316)+1,99999))</f>
        <v>rechercher la cellule qui coupe le texte Dans la cocotte N°3 en fonte, faites chauffer l’huile d’olive à feu moyen. Ajoutez la viande et faites-la dorer de tous les côtés. Retirez-la de la cocotte et réservez-la.</v>
      </c>
      <c r="K317" s="6396" t="str">
        <f>IF(J317="","",LEFT(J317,IF(LEN(J317)&lt;=I319,LEN(J317),IFERROR(FIND("§",SUBSTITUTE(LEFT(J317,I319+1)," ","§",LEN(LEFT(J317,I319+1))-LEN(SUBSTITUTE(LEFT(J317,I319+1)," ",""))))-1,IFERROR(FIND(" ",J317,I319+1)-1,LEN(J317))))))</f>
        <v>rechercher la cellule qui coupe le texte Dans la</v>
      </c>
      <c r="L317" s="6388" t="str">
        <v>rechercher la cellule qui coupe le texte Dans la</v>
      </c>
      <c r="M317" s="6332" t="str">
        <v>à feu moyen. Ajoutez la viande et faites-la dorer de</v>
      </c>
      <c r="N317" t="s">
        <v>21</v>
      </c>
      <c r="AV317" s="103"/>
      <c r="AW317" s="31"/>
      <c r="AX317" s="32"/>
      <c r="AY317" s="31"/>
      <c r="AZ317" s="33"/>
      <c r="BA317" s="1967"/>
      <c r="BB317" s="1805"/>
      <c r="BC317" s="91"/>
      <c r="BD317" s="1806"/>
      <c r="BE317" s="6401"/>
      <c r="BF317" s="6402"/>
      <c r="BG317" s="1969"/>
      <c r="BH317" s="6403"/>
      <c r="BI317" s="95"/>
      <c r="BJ317" s="1326"/>
      <c r="BK317" s="6404"/>
      <c r="BL317" s="1737"/>
      <c r="BM317" s="2081"/>
      <c r="BN317" s="2238"/>
      <c r="BO317" s="1809"/>
      <c r="BR317" s="3">
        <v>1</v>
      </c>
    </row>
    <row r="318" spans="2:70" ht="21" customHeight="1">
      <c r="B318" s="6236"/>
      <c r="C318" s="6358">
        <f t="shared" si="128"/>
        <v>150</v>
      </c>
      <c r="D318" s="6390" t="str" cm="1">
        <f t="array" ref="D318">IF(MOD(ROW()-50,14)=0,INDEX(D316:D329,MOD(ROW()-50,14)+1),E316)</f>
        <v>d’olive à feu moyen. Ajoutez la viande et faites-la dorer de tous les côtés. Retirez-la de la cocotte et réservez-la.</v>
      </c>
      <c r="E318" s="6391" t="str">
        <f t="shared" si="129"/>
        <v/>
      </c>
      <c r="F318" s="6392" t="str">
        <f t="shared" si="130"/>
        <v>d’olive à feu moyen. Ajoutez la viande et faites-la dorer de tous les côtés. Retirez-la de la cocotte et réservez-la.</v>
      </c>
      <c r="G318" s="6321"/>
      <c r="H318" s="6393">
        <f t="shared" si="131"/>
        <v>3</v>
      </c>
      <c r="I318" s="6365">
        <f>Z69</f>
        <v>5</v>
      </c>
      <c r="J318" s="6395" t="str">
        <f t="shared" ref="J318:J329" si="132">TRIM(MID(J317,LEN(K317)+1,99999))</f>
        <v>cocotte N°3 en fonte, faites chauffer l’huile d’olive à feu moyen. Ajoutez la viande et faites-la dorer de tous les côtés. Retirez-la de la cocotte et réservez-la.</v>
      </c>
      <c r="K318" s="6396" t="str">
        <f>IF(J318="","",LEFT(J318,IF(LEN(J318)&lt;=I319,LEN(J318),IFERROR(FIND("§",SUBSTITUTE(LEFT(J318,I319+1)," ","§",LEN(LEFT(J318,I319+1))-LEN(SUBSTITUTE(LEFT(J318,I319+1)," ",""))))-1,IFERROR(FIND(" ",J318,I319+1)-1,LEN(J318))))))</f>
        <v>cocotte N°3 en fonte, faites chauffer l’huile d’olive</v>
      </c>
      <c r="L318" s="6388" t="str">
        <v>cocotte N°3 en fonte, faites chauffer l’huile d’olive</v>
      </c>
      <c r="M318" s="6332" t="str">
        <v>tous les côtés. Retirez-la de la cocotte et</v>
      </c>
      <c r="N318" t="s">
        <v>21</v>
      </c>
      <c r="AV318" s="103"/>
      <c r="AW318" s="31"/>
      <c r="AX318" s="32"/>
      <c r="AY318" s="31"/>
      <c r="AZ318" s="33"/>
      <c r="BA318" s="1967"/>
      <c r="BB318" s="1805"/>
      <c r="BC318" s="91"/>
      <c r="BD318" s="1806"/>
      <c r="BE318" s="6401"/>
      <c r="BF318" s="6402"/>
      <c r="BG318" s="1969"/>
      <c r="BH318" s="6403"/>
      <c r="BI318" s="95"/>
      <c r="BJ318" s="1326"/>
      <c r="BK318" s="6404"/>
      <c r="BL318" s="1737"/>
      <c r="BM318" s="2081"/>
      <c r="BN318" s="2238"/>
      <c r="BO318" s="1809"/>
      <c r="BR318" s="3">
        <v>1</v>
      </c>
    </row>
    <row r="319" spans="2:70" ht="21" customHeight="1">
      <c r="B319" s="6236"/>
      <c r="C319" s="6358">
        <f t="shared" si="128"/>
        <v>150</v>
      </c>
      <c r="D319" s="6390" t="str" cm="1">
        <f t="array" ref="D319">IF(MOD(ROW()-50,14)=0,INDEX(D316:D329,MOD(ROW()-50,14)+1),E317)</f>
        <v/>
      </c>
      <c r="E319" s="6391" t="str">
        <f t="shared" si="129"/>
        <v/>
      </c>
      <c r="F319" s="6392" t="str">
        <f t="shared" si="130"/>
        <v/>
      </c>
      <c r="G319" s="6321"/>
      <c r="H319" s="6393">
        <f t="shared" si="131"/>
        <v>4</v>
      </c>
      <c r="I319" s="6398">
        <f>IF(OR(J316="",I318="",I318&lt;=0),"",ROUNDUP(LEN(J316)/I318,0))</f>
        <v>53</v>
      </c>
      <c r="J319" s="6395" t="str">
        <f t="shared" si="132"/>
        <v>à feu moyen. Ajoutez la viande et faites-la dorer de tous les côtés. Retirez-la de la cocotte et réservez-la.</v>
      </c>
      <c r="K319" s="6396" t="str">
        <f>IF(J319="","",LEFT(J319,IF(LEN(J319)&lt;=I319,LEN(J319),IFERROR(FIND("§",SUBSTITUTE(LEFT(J319,I319+1)," ","§",LEN(LEFT(J319,I319+1))-LEN(SUBSTITUTE(LEFT(J319,I319+1)," ",""))))-1,IFERROR(FIND(" ",J319,I319+1)-1,LEN(J319))))))</f>
        <v>à feu moyen. Ajoutez la viande et faites-la dorer de</v>
      </c>
      <c r="L319" s="6388" t="str">
        <v>à feu moyen. Ajoutez la viande et faites-la dorer de</v>
      </c>
      <c r="M319" s="6332" t="str">
        <v>réservez-la.</v>
      </c>
      <c r="N319" t="s">
        <v>21</v>
      </c>
      <c r="AV319" s="103"/>
      <c r="AW319" s="31"/>
      <c r="AX319" s="32"/>
      <c r="AY319" s="31"/>
      <c r="AZ319" s="33"/>
      <c r="BA319" s="1967"/>
      <c r="BB319" s="1805"/>
      <c r="BC319" s="91"/>
      <c r="BD319" s="1806"/>
      <c r="BE319" s="6401"/>
      <c r="BF319" s="6402"/>
      <c r="BG319" s="1969"/>
      <c r="BH319" s="6403"/>
      <c r="BI319" s="95"/>
      <c r="BJ319" s="1326"/>
      <c r="BK319" s="6404"/>
      <c r="BL319" s="1737"/>
      <c r="BM319" s="2081"/>
      <c r="BN319" s="2238"/>
      <c r="BO319" s="1809"/>
      <c r="BR319" s="3">
        <v>1</v>
      </c>
    </row>
    <row r="320" spans="2:70" ht="21" customHeight="1">
      <c r="B320" s="6236"/>
      <c r="C320" s="6358">
        <f t="shared" si="128"/>
        <v>150</v>
      </c>
      <c r="D320" s="6390" t="str" cm="1">
        <f t="array" ref="D320">IF(MOD(ROW()-50,14)=0,INDEX(D316:D329,MOD(ROW()-50,14)+1),E318)</f>
        <v/>
      </c>
      <c r="E320" s="6391" t="str">
        <f t="shared" si="129"/>
        <v/>
      </c>
      <c r="F320" s="6392" t="str">
        <f t="shared" si="130"/>
        <v/>
      </c>
      <c r="G320" s="6321"/>
      <c r="H320" s="6393">
        <f t="shared" si="131"/>
        <v>5</v>
      </c>
      <c r="I320" s="6400" t="str">
        <f>I316</f>
        <v>20.TEST LIGNE 19 colonne Q et ligne 20 colonne P. rechercher la cellule qui coupe le texte Dans la cocotte N°3 en fonte, faites chauffer l’huile d’olive à feu moyen. Ajoutez la viande et faites-la dorer de tous les côtés. Retirez-la de la cocotte et réservez-la.</v>
      </c>
      <c r="J320" s="6395" t="str">
        <f t="shared" si="132"/>
        <v>tous les côtés. Retirez-la de la cocotte et réservez-la.</v>
      </c>
      <c r="K320" s="6396" t="str">
        <f>IF(J320="","",LEFT(J320,IF(LEN(J320)&lt;=I319,LEN(J320),IFERROR(FIND("§",SUBSTITUTE(LEFT(J320,I319+1)," ","§",LEN(LEFT(J320,I319+1))-LEN(SUBSTITUTE(LEFT(J320,I319+1)," ",""))))-1,IFERROR(FIND(" ",J320,I319+1)-1,LEN(J320))))))</f>
        <v>tous les côtés. Retirez-la de la cocotte et</v>
      </c>
      <c r="L320" s="6388" t="str">
        <v>tous les côtés. Retirez-la de la cocotte et</v>
      </c>
      <c r="M320" s="6332" t="str">
        <v>46.TEST LIGNE 19 colonne Q et ligne 20 colonne P.</v>
      </c>
      <c r="N320" t="s">
        <v>21</v>
      </c>
      <c r="AV320" s="103"/>
      <c r="AW320" s="31"/>
      <c r="AX320" s="32"/>
      <c r="AY320" s="31"/>
      <c r="AZ320" s="33"/>
      <c r="BA320" s="1967"/>
      <c r="BB320" s="1805"/>
      <c r="BC320" s="91"/>
      <c r="BD320" s="1806"/>
      <c r="BE320" s="6401"/>
      <c r="BF320" s="6402"/>
      <c r="BG320" s="1969"/>
      <c r="BH320" s="6403"/>
      <c r="BI320" s="95"/>
      <c r="BJ320" s="1326"/>
      <c r="BK320" s="6404"/>
      <c r="BL320" s="1737"/>
      <c r="BM320" s="2081"/>
      <c r="BN320" s="2238"/>
      <c r="BO320" s="1809"/>
      <c r="BR320" s="3">
        <v>1</v>
      </c>
    </row>
    <row r="321" spans="2:70" ht="21" customHeight="1">
      <c r="B321" s="6236"/>
      <c r="C321" s="6358">
        <f t="shared" si="128"/>
        <v>150</v>
      </c>
      <c r="D321" s="6390" t="str" cm="1">
        <f t="array" ref="D321">IF(MOD(ROW()-50,14)=0,INDEX(D316:D329,MOD(ROW()-50,14)+1),E319)</f>
        <v/>
      </c>
      <c r="E321" s="6391" t="str">
        <f t="shared" si="129"/>
        <v/>
      </c>
      <c r="F321" s="6392" t="str">
        <f t="shared" si="130"/>
        <v/>
      </c>
      <c r="G321" s="6321"/>
      <c r="H321" s="6393">
        <f t="shared" si="131"/>
        <v>6</v>
      </c>
      <c r="I321" s="6405"/>
      <c r="J321" s="6395" t="str">
        <f t="shared" si="132"/>
        <v>réservez-la.</v>
      </c>
      <c r="K321" s="6396" t="str">
        <f>IF(J321="","",LEFT(J321,IF(LEN(J321)&lt;=I319,LEN(J321),IFERROR(FIND("§",SUBSTITUTE(LEFT(J321,I319+1)," ","§",LEN(LEFT(J321,I319+1))-LEN(SUBSTITUTE(LEFT(J321,I319+1)," ",""))))-1,IFERROR(FIND(" ",J321,I319+1)-1,LEN(J321))))))</f>
        <v>réservez-la.</v>
      </c>
      <c r="L321" s="6388" t="str">
        <v>réservez-la.</v>
      </c>
      <c r="M321" s="6332" t="str">
        <v>rechercher la cellule qui coupe le texte Dans la</v>
      </c>
      <c r="N321" t="s">
        <v>21</v>
      </c>
      <c r="AV321" s="103"/>
      <c r="AW321" s="31"/>
      <c r="AX321" s="32"/>
      <c r="AY321" s="31"/>
      <c r="AZ321" s="33"/>
      <c r="BA321" s="1967"/>
      <c r="BB321" s="1805"/>
      <c r="BC321" s="91"/>
      <c r="BD321" s="1806"/>
      <c r="BE321" s="6401"/>
      <c r="BF321" s="6402"/>
      <c r="BG321" s="1969"/>
      <c r="BH321" s="6403"/>
      <c r="BI321" s="95"/>
      <c r="BJ321" s="1326"/>
      <c r="BK321" s="6404"/>
      <c r="BL321" s="1737"/>
      <c r="BM321" s="2081"/>
      <c r="BN321" s="2238"/>
      <c r="BO321" s="1809"/>
      <c r="BR321" s="3">
        <v>1</v>
      </c>
    </row>
    <row r="322" spans="2:70" ht="21" customHeight="1">
      <c r="B322" s="6236"/>
      <c r="C322" s="6358">
        <f t="shared" si="128"/>
        <v>150</v>
      </c>
      <c r="D322" s="6390" t="str" cm="1">
        <f t="array" ref="D322">IF(MOD(ROW()-50,14)=0,INDEX(D316:D329,MOD(ROW()-50,14)+1),E320)</f>
        <v/>
      </c>
      <c r="E322" s="6391" t="str">
        <f t="shared" si="129"/>
        <v/>
      </c>
      <c r="F322" s="6392" t="str">
        <f t="shared" si="130"/>
        <v/>
      </c>
      <c r="G322" s="6321"/>
      <c r="H322" s="6393" t="str">
        <f t="shared" si="131"/>
        <v/>
      </c>
      <c r="I322" s="6405"/>
      <c r="J322" s="6395" t="str">
        <f t="shared" si="132"/>
        <v/>
      </c>
      <c r="K322" s="6396" t="str">
        <f>IF(J322="","",LEFT(J322,IF(LEN(J322)&lt;=I319,LEN(J322),IFERROR(FIND("§",SUBSTITUTE(LEFT(J322,I319+1)," ","§",LEN(LEFT(J322,I319+1))-LEN(SUBSTITUTE(LEFT(J322,I319+1)," ",""))))-1,IFERROR(FIND(" ",J322,I319+1)-1,LEN(J322))))))</f>
        <v/>
      </c>
      <c r="L322" s="6388"/>
      <c r="M322" s="6332" t="str">
        <v>cocotte N°3 en fonte, faites chauffer l’huile d’olive</v>
      </c>
      <c r="N322" t="s">
        <v>21</v>
      </c>
      <c r="AV322" s="103"/>
      <c r="AW322" s="31"/>
      <c r="AX322" s="32"/>
      <c r="AY322" s="31"/>
      <c r="AZ322" s="33"/>
      <c r="BA322" s="1967"/>
      <c r="BB322" s="1805"/>
      <c r="BC322" s="91"/>
      <c r="BD322" s="1806"/>
      <c r="BE322" s="6401"/>
      <c r="BF322" s="6402"/>
      <c r="BG322" s="1969"/>
      <c r="BH322" s="6403"/>
      <c r="BI322" s="95"/>
      <c r="BJ322" s="1326"/>
      <c r="BK322" s="6404"/>
      <c r="BL322" s="1737"/>
      <c r="BM322" s="2081"/>
      <c r="BN322" s="2238"/>
      <c r="BO322" s="1809"/>
      <c r="BR322" s="3">
        <v>1</v>
      </c>
    </row>
    <row r="323" spans="2:70" ht="21" customHeight="1">
      <c r="B323" s="6236"/>
      <c r="C323" s="6358">
        <f t="shared" si="128"/>
        <v>150</v>
      </c>
      <c r="D323" s="6390" t="str" cm="1">
        <f t="array" ref="D323">IF(MOD(ROW()-50,14)=0,INDEX(D316:D329,MOD(ROW()-50,14)+1),E321)</f>
        <v/>
      </c>
      <c r="E323" s="6391" t="str">
        <f t="shared" si="129"/>
        <v/>
      </c>
      <c r="F323" s="6392" t="str">
        <f t="shared" si="130"/>
        <v/>
      </c>
      <c r="G323" s="6321"/>
      <c r="H323" s="6393" t="str">
        <f t="shared" si="131"/>
        <v/>
      </c>
      <c r="I323" s="6405"/>
      <c r="J323" s="6395" t="str">
        <f t="shared" si="132"/>
        <v/>
      </c>
      <c r="K323" s="6396" t="str">
        <f>IF(J323="","",LEFT(J323,IF(LEN(J323)&lt;=I319,LEN(J323),IFERROR(FIND("§",SUBSTITUTE(LEFT(J323,I319+1)," ","§",LEN(LEFT(J323,I319+1))-LEN(SUBSTITUTE(LEFT(J323,I319+1)," ",""))))-1,IFERROR(FIND(" ",J323,I319+1)-1,LEN(J323))))))</f>
        <v/>
      </c>
      <c r="L323" s="6388"/>
      <c r="M323" s="6332" t="str">
        <v>à feu moyen. Ajoutez la viande et faites-la dorer de</v>
      </c>
      <c r="N323" t="s">
        <v>21</v>
      </c>
      <c r="AV323" s="103"/>
      <c r="AW323" s="31"/>
      <c r="AX323" s="32"/>
      <c r="AY323" s="31"/>
      <c r="AZ323" s="33"/>
      <c r="BA323" s="1967"/>
      <c r="BB323" s="1805"/>
      <c r="BC323" s="91"/>
      <c r="BD323" s="1806"/>
      <c r="BE323" s="6401"/>
      <c r="BF323" s="6402"/>
      <c r="BG323" s="1969"/>
      <c r="BH323" s="6403"/>
      <c r="BI323" s="95"/>
      <c r="BJ323" s="1326"/>
      <c r="BK323" s="6404"/>
      <c r="BL323" s="1737"/>
      <c r="BM323" s="2081"/>
      <c r="BN323" s="2238"/>
      <c r="BO323" s="1809"/>
      <c r="BR323" s="3">
        <v>1</v>
      </c>
    </row>
    <row r="324" spans="2:70" ht="21" customHeight="1">
      <c r="B324" s="6236"/>
      <c r="C324" s="6358">
        <f t="shared" si="128"/>
        <v>150</v>
      </c>
      <c r="D324" s="6390" t="str" cm="1">
        <f t="array" ref="D324">IF(MOD(ROW()-50,14)=0,INDEX(D316:D329,MOD(ROW()-50,14)+1),E322)</f>
        <v/>
      </c>
      <c r="E324" s="6391" t="str">
        <f t="shared" si="129"/>
        <v/>
      </c>
      <c r="F324" s="6392" t="str">
        <f t="shared" si="130"/>
        <v/>
      </c>
      <c r="G324" s="6321"/>
      <c r="H324" s="6393" t="str">
        <f t="shared" si="131"/>
        <v/>
      </c>
      <c r="I324" s="6405"/>
      <c r="J324" s="6395" t="str">
        <f t="shared" si="132"/>
        <v/>
      </c>
      <c r="K324" s="6396" t="str">
        <f>IF(J324="","",LEFT(J324,IF(LEN(J324)&lt;=I319,LEN(J324),IFERROR(FIND("§",SUBSTITUTE(LEFT(J324,I319+1)," ","§",LEN(LEFT(J324,I319+1))-LEN(SUBSTITUTE(LEFT(J324,I319+1)," ",""))))-1,IFERROR(FIND(" ",J324,I319+1)-1,LEN(J324))))))</f>
        <v/>
      </c>
      <c r="L324" s="6388"/>
      <c r="M324" s="6332" t="str">
        <v>tous les côtés. Retirez-la de la cocotte et</v>
      </c>
      <c r="N324" t="s">
        <v>21</v>
      </c>
      <c r="AV324" s="103"/>
      <c r="AW324" s="31"/>
      <c r="AX324" s="32"/>
      <c r="AY324" s="31"/>
      <c r="AZ324" s="33"/>
      <c r="BA324" s="1967"/>
      <c r="BB324" s="1805"/>
      <c r="BC324" s="91"/>
      <c r="BD324" s="1806"/>
      <c r="BE324" s="6401"/>
      <c r="BF324" s="6402"/>
      <c r="BG324" s="1969"/>
      <c r="BH324" s="6403"/>
      <c r="BI324" s="95"/>
      <c r="BJ324" s="1326"/>
      <c r="BK324" s="6404"/>
      <c r="BL324" s="1737"/>
      <c r="BM324" s="2081"/>
      <c r="BN324" s="2238"/>
      <c r="BO324" s="1809"/>
      <c r="BR324" s="3">
        <v>1</v>
      </c>
    </row>
    <row r="325" spans="2:70" ht="21" customHeight="1">
      <c r="B325" s="6236"/>
      <c r="C325" s="6358">
        <f t="shared" si="128"/>
        <v>150</v>
      </c>
      <c r="D325" s="6390" t="str" cm="1">
        <f t="array" ref="D325">IF(MOD(ROW()-50,14)=0,INDEX(D316:D329,MOD(ROW()-50,14)+1),E323)</f>
        <v/>
      </c>
      <c r="E325" s="6391" t="str">
        <f t="shared" si="129"/>
        <v/>
      </c>
      <c r="F325" s="6392" t="str">
        <f t="shared" si="130"/>
        <v/>
      </c>
      <c r="G325" s="6321"/>
      <c r="H325" s="6393" t="str">
        <f t="shared" si="131"/>
        <v/>
      </c>
      <c r="I325" s="6405"/>
      <c r="J325" s="6395" t="str">
        <f t="shared" si="132"/>
        <v/>
      </c>
      <c r="K325" s="6396" t="str">
        <f>IF(J325="","",LEFT(J325,IF(LEN(J325)&lt;=I319,LEN(J325),IFERROR(FIND("§",SUBSTITUTE(LEFT(J325,I319+1)," ","§",LEN(LEFT(J325,I319+1))-LEN(SUBSTITUTE(LEFT(J325,I319+1)," ",""))))-1,IFERROR(FIND(" ",J325,I319+1)-1,LEN(J325))))))</f>
        <v/>
      </c>
      <c r="L325" s="6388"/>
      <c r="M325" s="6332" t="str">
        <v>réservez-la.</v>
      </c>
      <c r="N325" t="s">
        <v>21</v>
      </c>
      <c r="AV325" s="103"/>
      <c r="AW325" s="31"/>
      <c r="AX325" s="32"/>
      <c r="AY325" s="31"/>
      <c r="AZ325" s="33"/>
      <c r="BA325" s="1967"/>
      <c r="BB325" s="1805"/>
      <c r="BC325" s="91"/>
      <c r="BD325" s="1806"/>
      <c r="BE325" s="6401"/>
      <c r="BF325" s="6402"/>
      <c r="BG325" s="1969"/>
      <c r="BH325" s="6403"/>
      <c r="BI325" s="95"/>
      <c r="BJ325" s="1326"/>
      <c r="BK325" s="6404"/>
      <c r="BL325" s="1737"/>
      <c r="BM325" s="2081"/>
      <c r="BN325" s="2238"/>
      <c r="BO325" s="1809"/>
      <c r="BR325" s="3">
        <v>1</v>
      </c>
    </row>
    <row r="326" spans="2:70" ht="21" customHeight="1">
      <c r="B326" s="6236"/>
      <c r="C326" s="6358">
        <f t="shared" si="128"/>
        <v>150</v>
      </c>
      <c r="D326" s="6390" t="str" cm="1">
        <f t="array" ref="D326">IF(MOD(ROW()-50,14)=0,INDEX(D316:D329,MOD(ROW()-50,14)+1),E324)</f>
        <v/>
      </c>
      <c r="E326" s="6391" t="str">
        <f t="shared" si="129"/>
        <v/>
      </c>
      <c r="F326" s="6392" t="str">
        <f t="shared" si="130"/>
        <v/>
      </c>
      <c r="G326" s="6321"/>
      <c r="H326" s="6393" t="str">
        <f t="shared" si="131"/>
        <v/>
      </c>
      <c r="I326" s="6405"/>
      <c r="J326" s="6395" t="str">
        <f t="shared" si="132"/>
        <v/>
      </c>
      <c r="K326" s="6396" t="str">
        <f>IF(J326="","",LEFT(J326,IF(LEN(J326)&lt;=I319,LEN(J326),IFERROR(FIND("§",SUBSTITUTE(LEFT(J326,I319+1)," ","§",LEN(LEFT(J326,I319+1))-LEN(SUBSTITUTE(LEFT(J326,I319+1)," ",""))))-1,IFERROR(FIND(" ",J326,I319+1)-1,LEN(J326))))))</f>
        <v/>
      </c>
      <c r="L326" s="6388"/>
      <c r="M326" s="6332" t="str">
        <v>47.TEST LIGNE 19 colonne Q et ligne 20 colonne P.</v>
      </c>
      <c r="N326" t="s">
        <v>21</v>
      </c>
      <c r="AV326" s="103"/>
      <c r="AW326" s="31"/>
      <c r="AX326" s="32"/>
      <c r="AY326" s="31"/>
      <c r="AZ326" s="33"/>
      <c r="BA326" s="1967"/>
      <c r="BB326" s="1805"/>
      <c r="BC326" s="91"/>
      <c r="BD326" s="1806"/>
      <c r="BE326" s="6401"/>
      <c r="BF326" s="6402"/>
      <c r="BG326" s="1969"/>
      <c r="BH326" s="6403"/>
      <c r="BI326" s="95"/>
      <c r="BJ326" s="1326"/>
      <c r="BK326" s="6404"/>
      <c r="BL326" s="1737"/>
      <c r="BM326" s="2081"/>
      <c r="BN326" s="2238"/>
      <c r="BO326" s="1809"/>
      <c r="BR326" s="3">
        <v>1</v>
      </c>
    </row>
    <row r="327" spans="2:70" ht="21" customHeight="1">
      <c r="B327" s="6236"/>
      <c r="C327" s="6358">
        <f t="shared" si="128"/>
        <v>150</v>
      </c>
      <c r="D327" s="6390" t="str" cm="1">
        <f t="array" ref="D327">IF(MOD(ROW()-50,14)=0,INDEX(D316:D329,MOD(ROW()-50,14)+1),E325)</f>
        <v/>
      </c>
      <c r="E327" s="6391" t="str">
        <f t="shared" si="129"/>
        <v/>
      </c>
      <c r="F327" s="6392" t="str">
        <f t="shared" si="130"/>
        <v/>
      </c>
      <c r="G327" s="6321"/>
      <c r="H327" s="6393" t="str">
        <f t="shared" si="131"/>
        <v/>
      </c>
      <c r="I327" s="6405"/>
      <c r="J327" s="6395" t="str">
        <f t="shared" si="132"/>
        <v/>
      </c>
      <c r="K327" s="6396" t="str">
        <f>IF(J327="","",LEFT(J327,IF(LEN(J327)&lt;=I319,LEN(J327),IFERROR(FIND("§",SUBSTITUTE(LEFT(J327,I319+1)," ","§",LEN(LEFT(J327,I319+1))-LEN(SUBSTITUTE(LEFT(J327,I319+1)," ",""))))-1,IFERROR(FIND(" ",J327,I319+1)-1,LEN(J327))))))</f>
        <v/>
      </c>
      <c r="L327" s="6388"/>
      <c r="M327" s="6332" t="str">
        <v>rechercher la cellule qui coupe le texte Dans la</v>
      </c>
      <c r="N327" t="s">
        <v>21</v>
      </c>
      <c r="AV327" s="103"/>
      <c r="AW327" s="31"/>
      <c r="AX327" s="32"/>
      <c r="AY327" s="31"/>
      <c r="AZ327" s="33"/>
      <c r="BA327" s="1967"/>
      <c r="BB327" s="1805"/>
      <c r="BC327" s="91"/>
      <c r="BD327" s="1806"/>
      <c r="BE327" s="6401"/>
      <c r="BF327" s="6402"/>
      <c r="BG327" s="1969"/>
      <c r="BH327" s="6403"/>
      <c r="BI327" s="95"/>
      <c r="BJ327" s="1326"/>
      <c r="BK327" s="6404"/>
      <c r="BL327" s="1737"/>
      <c r="BM327" s="2081"/>
      <c r="BN327" s="2238"/>
      <c r="BO327" s="1809"/>
      <c r="BR327" s="3">
        <v>1</v>
      </c>
    </row>
    <row r="328" spans="2:70" ht="21" customHeight="1">
      <c r="B328" s="6236"/>
      <c r="C328" s="6358">
        <f t="shared" si="128"/>
        <v>150</v>
      </c>
      <c r="D328" s="6390" t="str" cm="1">
        <f t="array" ref="D328">IF(MOD(ROW()-50,14)=0,INDEX(D316:D329,MOD(ROW()-50,14)+1),E326)</f>
        <v/>
      </c>
      <c r="E328" s="6391" t="str">
        <f t="shared" si="129"/>
        <v/>
      </c>
      <c r="F328" s="6392" t="str">
        <f t="shared" si="130"/>
        <v/>
      </c>
      <c r="G328" s="6321"/>
      <c r="H328" s="6393" t="str">
        <f t="shared" si="131"/>
        <v/>
      </c>
      <c r="I328" s="6405"/>
      <c r="J328" s="6395" t="str">
        <f t="shared" si="132"/>
        <v/>
      </c>
      <c r="K328" s="6396" t="str">
        <f>IF(J328="","",LEFT(J328,IF(LEN(J328)&lt;=I319,LEN(J328),IFERROR(FIND("§",SUBSTITUTE(LEFT(J328,I319+1)," ","§",LEN(LEFT(J328,I319+1))-LEN(SUBSTITUTE(LEFT(J328,I319+1)," ",""))))-1,IFERROR(FIND(" ",J328,I319+1)-1,LEN(J328))))))</f>
        <v/>
      </c>
      <c r="L328" s="6396"/>
      <c r="M328" s="6332" t="str">
        <v>cocotte N°3 en fonte, faites chauffer l’huile d’olive</v>
      </c>
      <c r="N328" t="s">
        <v>21</v>
      </c>
      <c r="AV328" s="103"/>
      <c r="AW328" s="31"/>
      <c r="AX328" s="32"/>
      <c r="AY328" s="31"/>
      <c r="AZ328" s="33"/>
      <c r="BA328" s="1967"/>
      <c r="BB328" s="1805"/>
      <c r="BC328" s="91"/>
      <c r="BD328" s="1806"/>
      <c r="BE328" s="6401"/>
      <c r="BF328" s="6402"/>
      <c r="BG328" s="1969"/>
      <c r="BH328" s="6403"/>
      <c r="BI328" s="95"/>
      <c r="BJ328" s="1326"/>
      <c r="BK328" s="6404"/>
      <c r="BL328" s="1737"/>
      <c r="BM328" s="2081"/>
      <c r="BN328" s="2238"/>
      <c r="BO328" s="1809"/>
      <c r="BR328" s="3">
        <v>1</v>
      </c>
    </row>
    <row r="329" spans="2:70" ht="21" customHeight="1">
      <c r="B329" s="6236"/>
      <c r="C329" s="6376">
        <f t="shared" si="128"/>
        <v>150</v>
      </c>
      <c r="D329" s="6406" t="str" cm="1">
        <f t="array" ref="D329">IF(MOD(ROW()-50,14)=0,INDEX(D316:D329,MOD(ROW()-50,14)+1),E327)</f>
        <v/>
      </c>
      <c r="E329" s="6407" t="str">
        <f t="shared" si="129"/>
        <v/>
      </c>
      <c r="F329" s="6408" t="str">
        <f t="shared" si="130"/>
        <v/>
      </c>
      <c r="G329" s="6322"/>
      <c r="H329" s="6409" t="str">
        <f t="shared" si="131"/>
        <v/>
      </c>
      <c r="I329" s="6410"/>
      <c r="J329" s="6411" t="str">
        <f t="shared" si="132"/>
        <v/>
      </c>
      <c r="K329" s="6412" t="str">
        <f>IF(J329="","",LEFT(J329,IF(LEN(J329)&lt;=I319,LEN(J329),IFERROR(FIND("§",SUBSTITUTE(LEFT(J329,I319+1)," ","§",LEN(LEFT(J329,I319+1))-LEN(SUBSTITUTE(LEFT(J329,I319+1)," ",""))))-1,IFERROR(FIND(" ",J329,I319+1)-1,LEN(J329))))))</f>
        <v/>
      </c>
      <c r="L329" s="6413"/>
      <c r="M329" s="6333" t="str">
        <v>à feu moyen. Ajoutez la viande et faites-la dorer de</v>
      </c>
      <c r="N329" t="s">
        <v>21</v>
      </c>
      <c r="AV329" s="103"/>
      <c r="AW329" s="31"/>
      <c r="AX329" s="32"/>
      <c r="AY329" s="31"/>
      <c r="AZ329" s="33"/>
      <c r="BA329" s="1967"/>
      <c r="BB329" s="1805"/>
      <c r="BC329" s="91"/>
      <c r="BD329" s="1806"/>
      <c r="BE329" s="6401"/>
      <c r="BF329" s="6402"/>
      <c r="BG329" s="1969"/>
      <c r="BH329" s="6403"/>
      <c r="BI329" s="95"/>
      <c r="BJ329" s="1326"/>
      <c r="BK329" s="6404"/>
      <c r="BL329" s="1737"/>
      <c r="BM329" s="2081"/>
      <c r="BN329" s="2238"/>
      <c r="BO329" s="1809"/>
      <c r="BR329" s="3">
        <v>1</v>
      </c>
    </row>
    <row r="330" spans="2:70" ht="21" customHeight="1">
      <c r="B330" s="6236"/>
      <c r="C330" s="6313">
        <f>AD70</f>
        <v>150</v>
      </c>
      <c r="D330" s="6314" t="str">
        <f>IF(UPPER(TRIM(X45))="X",U70,O70)</f>
        <v>21.TEST LIGNE 19 colonne Q et ligne 20 colonne P. rechercher la cellule qui coupe le texte Dans la cocotte N°3 en fonte, faites chauffer l’huile d’olive à feu moyen. Ajoutez la viande et faites-la dorer de tous les côtés. Retirez-la de la cocotte et réservez-la.</v>
      </c>
      <c r="E330" s="6315" t="str">
        <f>IF(D330="","",IF(F330="","",IF(LEN(F330)&gt;=LEN(D330),"",TRIM(MID(D330,LEN(F330)+1,99999)))))</f>
        <v>d’olive à feu moyen. Ajoutez la viande et faites-la dorer de tous les côtés. Retirez-la de la cocotte et réservez-la.</v>
      </c>
      <c r="F330" s="6316" t="str">
        <f>IF(D330="","",IF(LEN(D330)&lt;=C330,D330,IFERROR(LEFT(D330,FIND("§",SUBSTITUTE(LEFT(D330,C330+1)," ","§",LEN(LEFT(D330,C330+1))-LEN(SUBSTITUTE(LEFT(D330,C330+1)," ",""))))-1),LEFT(D330,C330))))</f>
        <v>21.TEST LIGNE 19 colonne Q et ligne 20 colonne P. rechercher la cellule qui coupe le texte Dans la cocotte N°3 en fonte, faites chauffer l’huile</v>
      </c>
      <c r="G330" s="6317"/>
      <c r="H330" s="6323">
        <f>IF(LEN(TRIM(L330))&gt;0,MAX(H329:H329)+1,"")</f>
        <v>1</v>
      </c>
      <c r="I330" s="6324" t="str">
        <f>D330</f>
        <v>21.TEST LIGNE 19 colonne Q et ligne 20 colonne P. rechercher la cellule qui coupe le texte Dans la cocotte N°3 en fonte, faites chauffer l’huile d’olive à feu moyen. Ajoutez la viande et faites-la dorer de tous les côtés. Retirez-la de la cocotte et réservez-la.</v>
      </c>
      <c r="J330" s="6325" t="str">
        <f>IF(I330=0,"",I330)</f>
        <v>21.TEST LIGNE 19 colonne Q et ligne 20 colonne P. rechercher la cellule qui coupe le texte Dans la cocotte N°3 en fonte, faites chauffer l’huile d’olive à feu moyen. Ajoutez la viande et faites-la dorer de tous les côtés. Retirez-la de la cocotte et réservez-la.</v>
      </c>
      <c r="K330" s="6326" t="str">
        <f>IF(I330="","",LEFT(I330,IF(LEN(I330)&lt;=I333,LEN(I330),IFERROR(FIND("§",SUBSTITUTE(LEFT(I330,I333+1)," ","§",LEN(LEFT(I330,I333+1))-LEN(SUBSTITUTE(LEFT(I330,I333+1)," ",""))))-1,IFERROR(FIND(" ",I330,I333+1)-1,LEN(I330))))))</f>
        <v>21.TEST LIGNE 19 colonne Q et ligne 20 colonne P.</v>
      </c>
      <c r="L330" s="6326" t="str" cm="1">
        <f t="array" ref="L330:L335">_xlfn._xlws.FILTER(TRIM(SUBSTITUTE(SUBSTITUTE(SUBSTITUTE(SUBSTITUTE(SUBSTITUTE(CLEAN(K330:K343),CHAR(160)," "),_xlfn.UNICHAR(8239)," "),CHAR(9)," "),CHAR(10)," "),CHAR(13)," ")),TRIM(SUBSTITUTE(SUBSTITUTE(SUBSTITUTE(SUBSTITUTE(SUBSTITUTE(CLEAN(K330:K343),CHAR(160)," "),_xlfn.UNICHAR(8239)," "),CHAR(9)," "),CHAR(10)," "),CHAR(13)," "))&lt;&gt;"")</f>
        <v>21.TEST LIGNE 19 colonne Q et ligne 20 colonne P.</v>
      </c>
      <c r="M330" s="6328" t="str">
        <v>tous les côtés. Retirez-la de la cocotte et</v>
      </c>
      <c r="N330" t="s">
        <v>21</v>
      </c>
      <c r="AV330" s="103"/>
      <c r="AW330" s="31"/>
      <c r="AX330" s="32"/>
      <c r="AY330" s="31"/>
      <c r="AZ330" s="33"/>
      <c r="BA330" s="1967"/>
      <c r="BB330" s="1805"/>
      <c r="BC330" s="91"/>
      <c r="BD330" s="1806"/>
      <c r="BE330" s="6401"/>
      <c r="BF330" s="6402"/>
      <c r="BG330" s="1969"/>
      <c r="BH330" s="6403"/>
      <c r="BI330" s="95"/>
      <c r="BJ330" s="1326"/>
      <c r="BK330" s="6404"/>
      <c r="BL330" s="1737"/>
      <c r="BM330" s="2081"/>
      <c r="BN330" s="2238"/>
      <c r="BO330" s="1809"/>
      <c r="BR330" s="3">
        <v>1</v>
      </c>
    </row>
    <row r="331" spans="2:70" ht="21" customHeight="1">
      <c r="B331" s="6236"/>
      <c r="C331" s="6358">
        <f t="shared" ref="C331:C343" si="133">C330</f>
        <v>150</v>
      </c>
      <c r="D331" s="6359" t="str" cm="1">
        <f t="array" ref="D331">IF(MOD(ROW()-50,14)=0,INDEX(D330:D343,MOD(ROW()-50,14)+1),E329)</f>
        <v/>
      </c>
      <c r="E331" s="6360" t="str">
        <f t="shared" ref="E331:E343" si="134">IF(D331="","",IF(F331="","",IF(LEN(F331)&gt;=LEN(D331),"",TRIM(MID(D331,LEN(F331)+1,99999)))))</f>
        <v/>
      </c>
      <c r="F331" s="6361" t="str">
        <f t="shared" ref="F331:F343" si="135">IF(D331="","",IF(LEN(D331)&lt;=C331,D331,IFERROR(LEFT(D331,FIND("§",SUBSTITUTE(LEFT(D331,C331+1)," ","§",LEN(LEFT(D331,C331+1))-LEN(SUBSTITUTE(LEFT(D331,C331+1)," ",""))))-1),LEFT(D331,C331))))</f>
        <v/>
      </c>
      <c r="G331" s="6318"/>
      <c r="H331" s="6323">
        <f t="shared" ref="H331:H343" si="136">IF(LEN(TRIM(L331))&gt;0,MAX(H330:H330)+1,"")</f>
        <v>2</v>
      </c>
      <c r="I331" s="6362" t="s">
        <v>14355</v>
      </c>
      <c r="J331" s="6363" t="str">
        <f>TRIM(MID(I334,LEN(K330)+1,99999))</f>
        <v>rechercher la cellule qui coupe le texte Dans la cocotte N°3 en fonte, faites chauffer l’huile d’olive à feu moyen. Ajoutez la viande et faites-la dorer de tous les côtés. Retirez-la de la cocotte et réservez-la.</v>
      </c>
      <c r="K331" s="6364" t="str">
        <f>IF(J331="","",LEFT(J331,IF(LEN(J331)&lt;=I333,LEN(J331),IFERROR(FIND("§",SUBSTITUTE(LEFT(J331,I333+1)," ","§",LEN(LEFT(J331,I333+1))-LEN(SUBSTITUTE(LEFT(J331,I333+1)," ",""))))-1,IFERROR(FIND(" ",J331,I333+1)-1,LEN(J331))))))</f>
        <v>rechercher la cellule qui coupe le texte Dans la</v>
      </c>
      <c r="L331" s="6327" t="str">
        <v>rechercher la cellule qui coupe le texte Dans la</v>
      </c>
      <c r="M331" s="6329" t="str">
        <v>réservez-la.</v>
      </c>
      <c r="N331" t="s">
        <v>21</v>
      </c>
      <c r="AV331" s="103"/>
      <c r="AW331" s="31"/>
      <c r="AX331" s="32"/>
      <c r="AY331" s="31"/>
      <c r="AZ331" s="33"/>
      <c r="BA331" s="1967"/>
      <c r="BB331" s="1805"/>
      <c r="BC331" s="91"/>
      <c r="BD331" s="1806"/>
      <c r="BE331" s="6401"/>
      <c r="BF331" s="6402"/>
      <c r="BG331" s="1969"/>
      <c r="BH331" s="6403"/>
      <c r="BI331" s="95"/>
      <c r="BJ331" s="1326"/>
      <c r="BK331" s="6404"/>
      <c r="BL331" s="1737"/>
      <c r="BM331" s="2081"/>
      <c r="BN331" s="2238"/>
      <c r="BO331" s="1809"/>
      <c r="BR331" s="3">
        <v>1</v>
      </c>
    </row>
    <row r="332" spans="2:70" ht="21" customHeight="1">
      <c r="B332" s="6236"/>
      <c r="C332" s="6358">
        <f t="shared" si="133"/>
        <v>150</v>
      </c>
      <c r="D332" s="6359" t="str" cm="1">
        <f t="array" ref="D332">IF(MOD(ROW()-50,14)=0,INDEX(D330:D343,MOD(ROW()-50,14)+1),E330)</f>
        <v>d’olive à feu moyen. Ajoutez la viande et faites-la dorer de tous les côtés. Retirez-la de la cocotte et réservez-la.</v>
      </c>
      <c r="E332" s="6360" t="str">
        <f t="shared" si="134"/>
        <v/>
      </c>
      <c r="F332" s="6361" t="str">
        <f t="shared" si="135"/>
        <v>d’olive à feu moyen. Ajoutez la viande et faites-la dorer de tous les côtés. Retirez-la de la cocotte et réservez-la.</v>
      </c>
      <c r="G332" s="6318"/>
      <c r="H332" s="6323">
        <f t="shared" si="136"/>
        <v>3</v>
      </c>
      <c r="I332" s="6365">
        <f>Z70</f>
        <v>5</v>
      </c>
      <c r="J332" s="6363" t="str">
        <f t="shared" ref="J332:J343" si="137">TRIM(MID(J331,LEN(K331)+1,99999))</f>
        <v>cocotte N°3 en fonte, faites chauffer l’huile d’olive à feu moyen. Ajoutez la viande et faites-la dorer de tous les côtés. Retirez-la de la cocotte et réservez-la.</v>
      </c>
      <c r="K332" s="6364" t="str">
        <f>IF(J332="","",LEFT(J332,IF(LEN(J332)&lt;=I333,LEN(J332),IFERROR(FIND("§",SUBSTITUTE(LEFT(J332,I333+1)," ","§",LEN(LEFT(J332,I333+1))-LEN(SUBSTITUTE(LEFT(J332,I333+1)," ",""))))-1,IFERROR(FIND(" ",J332,I333+1)-1,LEN(J332))))))</f>
        <v>cocotte N°3 en fonte, faites chauffer l’huile d’olive</v>
      </c>
      <c r="L332" s="6327" t="str">
        <v>cocotte N°3 en fonte, faites chauffer l’huile d’olive</v>
      </c>
      <c r="M332" s="6329" t="str">
        <v>48.TEST LIGNE 19 colonne Q et ligne 20 colonne P.</v>
      </c>
      <c r="N332" t="s">
        <v>21</v>
      </c>
      <c r="AV332" s="103"/>
      <c r="AW332" s="31"/>
      <c r="AX332" s="32"/>
      <c r="AY332" s="31"/>
      <c r="AZ332" s="33"/>
      <c r="BA332" s="1967"/>
      <c r="BB332" s="1805"/>
      <c r="BC332" s="91"/>
      <c r="BD332" s="1806"/>
      <c r="BE332" s="6401"/>
      <c r="BF332" s="6402"/>
      <c r="BG332" s="1969"/>
      <c r="BH332" s="6403"/>
      <c r="BI332" s="95"/>
      <c r="BJ332" s="1326"/>
      <c r="BK332" s="6404"/>
      <c r="BL332" s="1737"/>
      <c r="BM332" s="2081"/>
      <c r="BN332" s="2238"/>
      <c r="BO332" s="1809"/>
      <c r="BR332" s="3">
        <v>1</v>
      </c>
    </row>
    <row r="333" spans="2:70" ht="21" customHeight="1">
      <c r="B333" s="6236"/>
      <c r="C333" s="6358">
        <f t="shared" si="133"/>
        <v>150</v>
      </c>
      <c r="D333" s="6359" t="str" cm="1">
        <f t="array" ref="D333">IF(MOD(ROW()-50,14)=0,INDEX(D330:D343,MOD(ROW()-50,14)+1),E331)</f>
        <v/>
      </c>
      <c r="E333" s="6360" t="str">
        <f t="shared" si="134"/>
        <v/>
      </c>
      <c r="F333" s="6361" t="str">
        <f t="shared" si="135"/>
        <v/>
      </c>
      <c r="G333" s="6318"/>
      <c r="H333" s="6323">
        <f t="shared" si="136"/>
        <v>4</v>
      </c>
      <c r="I333" s="6370">
        <f>IF(OR(J330="",I332="",I332&lt;=0),"",ROUNDUP(LEN(J330)/I332,0))</f>
        <v>53</v>
      </c>
      <c r="J333" s="6363" t="str">
        <f t="shared" si="137"/>
        <v>à feu moyen. Ajoutez la viande et faites-la dorer de tous les côtés. Retirez-la de la cocotte et réservez-la.</v>
      </c>
      <c r="K333" s="6364" t="str">
        <f>IF(J333="","",LEFT(J333,IF(LEN(J333)&lt;=I333,LEN(J333),IFERROR(FIND("§",SUBSTITUTE(LEFT(J333,I333+1)," ","§",LEN(LEFT(J333,I333+1))-LEN(SUBSTITUTE(LEFT(J333,I333+1)," ",""))))-1,IFERROR(FIND(" ",J333,I333+1)-1,LEN(J333))))))</f>
        <v>à feu moyen. Ajoutez la viande et faites-la dorer de</v>
      </c>
      <c r="L333" s="6327" t="str">
        <v>à feu moyen. Ajoutez la viande et faites-la dorer de</v>
      </c>
      <c r="M333" s="6329" t="str">
        <v>rechercher la cellule qui coupe le texte Dans la</v>
      </c>
      <c r="N333" t="s">
        <v>21</v>
      </c>
      <c r="AV333" s="103"/>
      <c r="AW333" s="31"/>
      <c r="AX333" s="32"/>
      <c r="AY333" s="31"/>
      <c r="AZ333" s="33"/>
      <c r="BA333" s="1967"/>
      <c r="BB333" s="1805"/>
      <c r="BC333" s="91"/>
      <c r="BD333" s="1806"/>
      <c r="BE333" s="6401"/>
      <c r="BF333" s="6402"/>
      <c r="BG333" s="1969"/>
      <c r="BH333" s="6403"/>
      <c r="BI333" s="95"/>
      <c r="BJ333" s="1326"/>
      <c r="BK333" s="6404"/>
      <c r="BL333" s="1737"/>
      <c r="BM333" s="2081"/>
      <c r="BN333" s="2238"/>
      <c r="BO333" s="1809"/>
      <c r="BR333" s="3">
        <v>1</v>
      </c>
    </row>
    <row r="334" spans="2:70" ht="21" customHeight="1">
      <c r="B334" s="6236"/>
      <c r="C334" s="6358">
        <f t="shared" si="133"/>
        <v>150</v>
      </c>
      <c r="D334" s="6359" t="str" cm="1">
        <f t="array" ref="D334">IF(MOD(ROW()-50,14)=0,INDEX(D330:D343,MOD(ROW()-50,14)+1),E332)</f>
        <v/>
      </c>
      <c r="E334" s="6360" t="str">
        <f t="shared" si="134"/>
        <v/>
      </c>
      <c r="F334" s="6361" t="str">
        <f t="shared" si="135"/>
        <v/>
      </c>
      <c r="G334" s="6318"/>
      <c r="H334" s="6323">
        <f t="shared" si="136"/>
        <v>5</v>
      </c>
      <c r="I334" s="6372" t="str">
        <f>I330</f>
        <v>21.TEST LIGNE 19 colonne Q et ligne 20 colonne P. rechercher la cellule qui coupe le texte Dans la cocotte N°3 en fonte, faites chauffer l’huile d’olive à feu moyen. Ajoutez la viande et faites-la dorer de tous les côtés. Retirez-la de la cocotte et réservez-la.</v>
      </c>
      <c r="J334" s="6363" t="str">
        <f t="shared" si="137"/>
        <v>tous les côtés. Retirez-la de la cocotte et réservez-la.</v>
      </c>
      <c r="K334" s="6364" t="str">
        <f>IF(J334="","",LEFT(J334,IF(LEN(J334)&lt;=I333,LEN(J334),IFERROR(FIND("§",SUBSTITUTE(LEFT(J334,I333+1)," ","§",LEN(LEFT(J334,I333+1))-LEN(SUBSTITUTE(LEFT(J334,I333+1)," ",""))))-1,IFERROR(FIND(" ",J334,I333+1)-1,LEN(J334))))))</f>
        <v>tous les côtés. Retirez-la de la cocotte et</v>
      </c>
      <c r="L334" s="6327" t="str">
        <v>tous les côtés. Retirez-la de la cocotte et</v>
      </c>
      <c r="M334" s="6329" t="str">
        <v>cocotte N°3 en fonte, faites chauffer l’huile d’olive</v>
      </c>
      <c r="N334" t="s">
        <v>21</v>
      </c>
      <c r="AV334" s="103"/>
      <c r="AW334" s="31"/>
      <c r="AX334" s="32"/>
      <c r="AY334" s="31"/>
      <c r="AZ334" s="33"/>
      <c r="BA334" s="1967"/>
      <c r="BB334" s="1805"/>
      <c r="BC334" s="91"/>
      <c r="BD334" s="1806"/>
      <c r="BE334" s="6401"/>
      <c r="BF334" s="6402"/>
      <c r="BG334" s="1969"/>
      <c r="BH334" s="6403"/>
      <c r="BI334" s="95"/>
      <c r="BJ334" s="1326"/>
      <c r="BK334" s="6404"/>
      <c r="BL334" s="1737"/>
      <c r="BM334" s="2081"/>
      <c r="BN334" s="2238"/>
      <c r="BO334" s="1809"/>
      <c r="BR334" s="3">
        <v>1</v>
      </c>
    </row>
    <row r="335" spans="2:70" ht="21" customHeight="1">
      <c r="B335" s="6236"/>
      <c r="C335" s="6358">
        <f t="shared" si="133"/>
        <v>150</v>
      </c>
      <c r="D335" s="6359" t="str" cm="1">
        <f t="array" ref="D335">IF(MOD(ROW()-50,14)=0,INDEX(D330:D343,MOD(ROW()-50,14)+1),E333)</f>
        <v/>
      </c>
      <c r="E335" s="6360" t="str">
        <f t="shared" si="134"/>
        <v/>
      </c>
      <c r="F335" s="6361" t="str">
        <f t="shared" si="135"/>
        <v/>
      </c>
      <c r="G335" s="6318"/>
      <c r="H335" s="6323">
        <f t="shared" si="136"/>
        <v>6</v>
      </c>
      <c r="I335" s="6373"/>
      <c r="J335" s="6363" t="str">
        <f t="shared" si="137"/>
        <v>réservez-la.</v>
      </c>
      <c r="K335" s="6364" t="str">
        <f>IF(J335="","",LEFT(J335,IF(LEN(J335)&lt;=I333,LEN(J335),IFERROR(FIND("§",SUBSTITUTE(LEFT(J335,I333+1)," ","§",LEN(LEFT(J335,I333+1))-LEN(SUBSTITUTE(LEFT(J335,I333+1)," ",""))))-1,IFERROR(FIND(" ",J335,I333+1)-1,LEN(J335))))))</f>
        <v>réservez-la.</v>
      </c>
      <c r="L335" s="6327" t="str">
        <v>réservez-la.</v>
      </c>
      <c r="M335" s="6329" t="str">
        <v>à feu moyen. Ajoutez la viande et faites-la dorer de</v>
      </c>
      <c r="N335" t="s">
        <v>21</v>
      </c>
      <c r="AV335" s="103"/>
      <c r="AW335" s="31"/>
      <c r="AX335" s="32"/>
      <c r="AY335" s="31"/>
      <c r="AZ335" s="33"/>
      <c r="BA335" s="1967"/>
      <c r="BB335" s="1805"/>
      <c r="BC335" s="91"/>
      <c r="BD335" s="1806"/>
      <c r="BE335" s="6401"/>
      <c r="BF335" s="6402"/>
      <c r="BG335" s="1969"/>
      <c r="BH335" s="6403"/>
      <c r="BI335" s="95"/>
      <c r="BJ335" s="1326"/>
      <c r="BK335" s="6404"/>
      <c r="BL335" s="1737"/>
      <c r="BM335" s="2081"/>
      <c r="BN335" s="2238"/>
      <c r="BO335" s="1809"/>
      <c r="BR335" s="3">
        <v>1</v>
      </c>
    </row>
    <row r="336" spans="2:70" ht="21" customHeight="1">
      <c r="B336" s="6236"/>
      <c r="C336" s="6358">
        <f t="shared" si="133"/>
        <v>150</v>
      </c>
      <c r="D336" s="6359" t="str" cm="1">
        <f t="array" ref="D336">IF(MOD(ROW()-50,14)=0,INDEX(D330:D343,MOD(ROW()-50,14)+1),E334)</f>
        <v/>
      </c>
      <c r="E336" s="6360" t="str">
        <f t="shared" si="134"/>
        <v/>
      </c>
      <c r="F336" s="6361" t="str">
        <f t="shared" si="135"/>
        <v/>
      </c>
      <c r="G336" s="6318"/>
      <c r="H336" s="6323" t="str">
        <f t="shared" si="136"/>
        <v/>
      </c>
      <c r="I336" s="6373"/>
      <c r="J336" s="6363" t="str">
        <f t="shared" si="137"/>
        <v/>
      </c>
      <c r="K336" s="6364" t="str">
        <f>IF(J336="","",LEFT(J336,IF(LEN(J336)&lt;=I333,LEN(J336),IFERROR(FIND("§",SUBSTITUTE(LEFT(J336,I333+1)," ","§",LEN(LEFT(J336,I333+1))-LEN(SUBSTITUTE(LEFT(J336,I333+1)," ",""))))-1,IFERROR(FIND(" ",J336,I333+1)-1,LEN(J336))))))</f>
        <v/>
      </c>
      <c r="L336" s="6327"/>
      <c r="M336" s="6329" t="str">
        <v>tous les côtés. Retirez-la de la cocotte et</v>
      </c>
      <c r="N336" t="s">
        <v>21</v>
      </c>
      <c r="AV336" s="103"/>
      <c r="AW336" s="31"/>
      <c r="AX336" s="32"/>
      <c r="AY336" s="31"/>
      <c r="AZ336" s="33"/>
      <c r="BA336" s="1967"/>
      <c r="BB336" s="1805"/>
      <c r="BC336" s="91"/>
      <c r="BD336" s="1806"/>
      <c r="BE336" s="6401"/>
      <c r="BF336" s="6402"/>
      <c r="BG336" s="1969"/>
      <c r="BH336" s="6403"/>
      <c r="BI336" s="95"/>
      <c r="BJ336" s="1326"/>
      <c r="BK336" s="6404"/>
      <c r="BL336" s="1737"/>
      <c r="BM336" s="2081"/>
      <c r="BN336" s="2238"/>
      <c r="BO336" s="1809"/>
      <c r="BR336" s="3">
        <v>1</v>
      </c>
    </row>
    <row r="337" spans="2:70" ht="21" customHeight="1">
      <c r="B337" s="6236"/>
      <c r="C337" s="6358">
        <f t="shared" si="133"/>
        <v>150</v>
      </c>
      <c r="D337" s="6359" t="str" cm="1">
        <f t="array" ref="D337">IF(MOD(ROW()-50,14)=0,INDEX(D330:D343,MOD(ROW()-50,14)+1),E335)</f>
        <v/>
      </c>
      <c r="E337" s="6360" t="str">
        <f t="shared" si="134"/>
        <v/>
      </c>
      <c r="F337" s="6361" t="str">
        <f t="shared" si="135"/>
        <v/>
      </c>
      <c r="G337" s="6318"/>
      <c r="H337" s="6323" t="str">
        <f t="shared" si="136"/>
        <v/>
      </c>
      <c r="I337" s="6373"/>
      <c r="J337" s="6363" t="str">
        <f t="shared" si="137"/>
        <v/>
      </c>
      <c r="K337" s="6364" t="str">
        <f>IF(J337="","",LEFT(J337,IF(LEN(J337)&lt;=I333,LEN(J337),IFERROR(FIND("§",SUBSTITUTE(LEFT(J337,I333+1)," ","§",LEN(LEFT(J337,I333+1))-LEN(SUBSTITUTE(LEFT(J337,I333+1)," ",""))))-1,IFERROR(FIND(" ",J337,I333+1)-1,LEN(J337))))))</f>
        <v/>
      </c>
      <c r="L337" s="6327"/>
      <c r="M337" s="6329" t="str">
        <v>réservez-la.</v>
      </c>
      <c r="N337" t="s">
        <v>21</v>
      </c>
      <c r="AV337" s="103"/>
      <c r="AW337" s="31"/>
      <c r="AX337" s="32"/>
      <c r="AY337" s="31"/>
      <c r="AZ337" s="33"/>
      <c r="BA337" s="1967"/>
      <c r="BB337" s="1805"/>
      <c r="BC337" s="91"/>
      <c r="BD337" s="1806"/>
      <c r="BE337" s="6401"/>
      <c r="BF337" s="6402"/>
      <c r="BG337" s="1969"/>
      <c r="BH337" s="6403"/>
      <c r="BI337" s="95"/>
      <c r="BJ337" s="1326"/>
      <c r="BK337" s="6404"/>
      <c r="BL337" s="1737"/>
      <c r="BM337" s="2081"/>
      <c r="BN337" s="2238"/>
      <c r="BO337" s="1809"/>
      <c r="BR337" s="3">
        <v>1</v>
      </c>
    </row>
    <row r="338" spans="2:70" ht="21" customHeight="1">
      <c r="B338" s="6236"/>
      <c r="C338" s="6358">
        <f t="shared" si="133"/>
        <v>150</v>
      </c>
      <c r="D338" s="6359" t="str" cm="1">
        <f t="array" ref="D338">IF(MOD(ROW()-50,14)=0,INDEX(D330:D343,MOD(ROW()-50,14)+1),E336)</f>
        <v/>
      </c>
      <c r="E338" s="6360" t="str">
        <f t="shared" si="134"/>
        <v/>
      </c>
      <c r="F338" s="6361" t="str">
        <f t="shared" si="135"/>
        <v/>
      </c>
      <c r="G338" s="6318"/>
      <c r="H338" s="6323" t="str">
        <f t="shared" si="136"/>
        <v/>
      </c>
      <c r="I338" s="6373"/>
      <c r="J338" s="6363" t="str">
        <f t="shared" si="137"/>
        <v/>
      </c>
      <c r="K338" s="6364" t="str">
        <f>IF(J338="","",LEFT(J338,IF(LEN(J338)&lt;=I333,LEN(J338),IFERROR(FIND("§",SUBSTITUTE(LEFT(J338,I333+1)," ","§",LEN(LEFT(J338,I333+1))-LEN(SUBSTITUTE(LEFT(J338,I333+1)," ",""))))-1,IFERROR(FIND(" ",J338,I333+1)-1,LEN(J338))))))</f>
        <v/>
      </c>
      <c r="L338" s="6327"/>
      <c r="M338" s="6329" t="str">
        <v>49.TEST LIGNE 19 colonne Q et ligne 20 colonne P.</v>
      </c>
      <c r="N338" t="s">
        <v>21</v>
      </c>
      <c r="AV338" s="103"/>
      <c r="AW338" s="31"/>
      <c r="AX338" s="32"/>
      <c r="AY338" s="31"/>
      <c r="AZ338" s="33"/>
      <c r="BA338" s="1967"/>
      <c r="BB338" s="1805"/>
      <c r="BC338" s="91"/>
      <c r="BD338" s="1806"/>
      <c r="BE338" s="6401"/>
      <c r="BF338" s="6402"/>
      <c r="BG338" s="1969"/>
      <c r="BH338" s="6403"/>
      <c r="BI338" s="95"/>
      <c r="BJ338" s="1326"/>
      <c r="BK338" s="6404"/>
      <c r="BL338" s="1737"/>
      <c r="BM338" s="2081"/>
      <c r="BN338" s="2238"/>
      <c r="BO338" s="1809"/>
      <c r="BR338" s="3">
        <v>1</v>
      </c>
    </row>
    <row r="339" spans="2:70" ht="21" customHeight="1">
      <c r="B339" s="6236"/>
      <c r="C339" s="6358">
        <f t="shared" si="133"/>
        <v>150</v>
      </c>
      <c r="D339" s="6359" t="str" cm="1">
        <f t="array" ref="D339">IF(MOD(ROW()-50,14)=0,INDEX(D330:D343,MOD(ROW()-50,14)+1),E337)</f>
        <v/>
      </c>
      <c r="E339" s="6360" t="str">
        <f t="shared" si="134"/>
        <v/>
      </c>
      <c r="F339" s="6361" t="str">
        <f t="shared" si="135"/>
        <v/>
      </c>
      <c r="G339" s="6318"/>
      <c r="H339" s="6323" t="str">
        <f t="shared" si="136"/>
        <v/>
      </c>
      <c r="I339" s="6373"/>
      <c r="J339" s="6363" t="str">
        <f t="shared" si="137"/>
        <v/>
      </c>
      <c r="K339" s="6364" t="str">
        <f>IF(J339="","",LEFT(J339,IF(LEN(J339)&lt;=I333,LEN(J339),IFERROR(FIND("§",SUBSTITUTE(LEFT(J339,I333+1)," ","§",LEN(LEFT(J339,I333+1))-LEN(SUBSTITUTE(LEFT(J339,I333+1)," ",""))))-1,IFERROR(FIND(" ",J339,I333+1)-1,LEN(J339))))))</f>
        <v/>
      </c>
      <c r="L339" s="6327"/>
      <c r="M339" s="6329" t="str">
        <v>rechercher la cellule qui coupe le texte Dans la</v>
      </c>
      <c r="N339" t="s">
        <v>21</v>
      </c>
      <c r="AV339" s="103"/>
      <c r="AW339" s="31"/>
      <c r="AX339" s="32"/>
      <c r="AY339" s="31"/>
      <c r="AZ339" s="33"/>
      <c r="BA339" s="1967"/>
      <c r="BB339" s="1805"/>
      <c r="BC339" s="91"/>
      <c r="BD339" s="1806"/>
      <c r="BE339" s="6401"/>
      <c r="BF339" s="6402"/>
      <c r="BG339" s="1969"/>
      <c r="BH339" s="6403"/>
      <c r="BI339" s="95"/>
      <c r="BJ339" s="1326"/>
      <c r="BK339" s="6404"/>
      <c r="BL339" s="1737"/>
      <c r="BM339" s="2081"/>
      <c r="BN339" s="2238"/>
      <c r="BO339" s="1809"/>
      <c r="BR339" s="3">
        <v>1</v>
      </c>
    </row>
    <row r="340" spans="2:70" ht="21" customHeight="1">
      <c r="B340" s="6236"/>
      <c r="C340" s="6358">
        <f t="shared" si="133"/>
        <v>150</v>
      </c>
      <c r="D340" s="6359" t="str" cm="1">
        <f t="array" ref="D340">IF(MOD(ROW()-50,14)=0,INDEX(D330:D343,MOD(ROW()-50,14)+1),E338)</f>
        <v/>
      </c>
      <c r="E340" s="6360" t="str">
        <f t="shared" si="134"/>
        <v/>
      </c>
      <c r="F340" s="6361" t="str">
        <f t="shared" si="135"/>
        <v/>
      </c>
      <c r="G340" s="6318"/>
      <c r="H340" s="6323" t="str">
        <f t="shared" si="136"/>
        <v/>
      </c>
      <c r="I340" s="6373"/>
      <c r="J340" s="6363" t="str">
        <f t="shared" si="137"/>
        <v/>
      </c>
      <c r="K340" s="6364" t="str">
        <f>IF(J340="","",LEFT(J340,IF(LEN(J340)&lt;=I333,LEN(J340),IFERROR(FIND("§",SUBSTITUTE(LEFT(J340,I333+1)," ","§",LEN(LEFT(J340,I333+1))-LEN(SUBSTITUTE(LEFT(J340,I333+1)," ",""))))-1,IFERROR(FIND(" ",J340,I333+1)-1,LEN(J340))))))</f>
        <v/>
      </c>
      <c r="L340" s="6327"/>
      <c r="M340" s="6329" t="str">
        <v>cocotte N°3 en fonte, faites chauffer l’huile d’olive</v>
      </c>
      <c r="N340" t="s">
        <v>21</v>
      </c>
      <c r="AV340" s="103"/>
      <c r="AW340" s="31"/>
      <c r="AX340" s="32"/>
      <c r="AY340" s="31"/>
      <c r="AZ340" s="33"/>
      <c r="BA340" s="1967"/>
      <c r="BB340" s="1805"/>
      <c r="BC340" s="91"/>
      <c r="BD340" s="1806"/>
      <c r="BE340" s="6401"/>
      <c r="BF340" s="6402"/>
      <c r="BG340" s="1969"/>
      <c r="BH340" s="6403"/>
      <c r="BI340" s="95"/>
      <c r="BJ340" s="1326"/>
      <c r="BK340" s="6404"/>
      <c r="BL340" s="1737"/>
      <c r="BM340" s="2081"/>
      <c r="BN340" s="2238"/>
      <c r="BO340" s="1809"/>
      <c r="BR340" s="3">
        <v>1</v>
      </c>
    </row>
    <row r="341" spans="2:70" ht="21" customHeight="1">
      <c r="B341" s="6236"/>
      <c r="C341" s="6358">
        <f t="shared" si="133"/>
        <v>150</v>
      </c>
      <c r="D341" s="6359" t="str" cm="1">
        <f t="array" ref="D341">IF(MOD(ROW()-50,14)=0,INDEX(D330:D343,MOD(ROW()-50,14)+1),E339)</f>
        <v/>
      </c>
      <c r="E341" s="6360" t="str">
        <f t="shared" si="134"/>
        <v/>
      </c>
      <c r="F341" s="6361" t="str">
        <f t="shared" si="135"/>
        <v/>
      </c>
      <c r="G341" s="6318"/>
      <c r="H341" s="6323" t="str">
        <f t="shared" si="136"/>
        <v/>
      </c>
      <c r="I341" s="6373"/>
      <c r="J341" s="6363" t="str">
        <f t="shared" si="137"/>
        <v/>
      </c>
      <c r="K341" s="6364" t="str">
        <f>IF(J341="","",LEFT(J341,IF(LEN(J341)&lt;=I333,LEN(J341),IFERROR(FIND("§",SUBSTITUTE(LEFT(J341,I333+1)," ","§",LEN(LEFT(J341,I333+1))-LEN(SUBSTITUTE(LEFT(J341,I333+1)," ",""))))-1,IFERROR(FIND(" ",J341,I333+1)-1,LEN(J341))))))</f>
        <v/>
      </c>
      <c r="L341" s="6327"/>
      <c r="M341" s="6329" t="str">
        <v>à feu moyen. Ajoutez la viande et faites-la dorer de</v>
      </c>
      <c r="N341" t="s">
        <v>21</v>
      </c>
      <c r="AV341" s="103"/>
      <c r="AW341" s="31"/>
      <c r="AX341" s="32"/>
      <c r="AY341" s="31"/>
      <c r="AZ341" s="33"/>
      <c r="BA341" s="1967"/>
      <c r="BB341" s="1805"/>
      <c r="BC341" s="91"/>
      <c r="BD341" s="1806"/>
      <c r="BE341" s="6401"/>
      <c r="BF341" s="6402"/>
      <c r="BG341" s="1969"/>
      <c r="BH341" s="6403"/>
      <c r="BI341" s="95"/>
      <c r="BJ341" s="1326"/>
      <c r="BK341" s="6404"/>
      <c r="BL341" s="1737"/>
      <c r="BM341" s="2081"/>
      <c r="BN341" s="2238"/>
      <c r="BO341" s="1809"/>
      <c r="BR341" s="3">
        <v>1</v>
      </c>
    </row>
    <row r="342" spans="2:70" ht="21" customHeight="1">
      <c r="B342" s="6236"/>
      <c r="C342" s="6358">
        <f t="shared" si="133"/>
        <v>150</v>
      </c>
      <c r="D342" s="6359" t="str" cm="1">
        <f t="array" ref="D342">IF(MOD(ROW()-50,14)=0,INDEX(D330:D343,MOD(ROW()-50,14)+1),E340)</f>
        <v/>
      </c>
      <c r="E342" s="6360" t="str">
        <f t="shared" si="134"/>
        <v/>
      </c>
      <c r="F342" s="6361" t="str">
        <f t="shared" si="135"/>
        <v/>
      </c>
      <c r="G342" s="6318"/>
      <c r="H342" s="6323" t="str">
        <f t="shared" si="136"/>
        <v/>
      </c>
      <c r="I342" s="6373"/>
      <c r="J342" s="6363" t="str">
        <f t="shared" si="137"/>
        <v/>
      </c>
      <c r="K342" s="6364" t="str">
        <f>IF(J342="","",LEFT(J342,IF(LEN(J342)&lt;=I333,LEN(J342),IFERROR(FIND("§",SUBSTITUTE(LEFT(J342,I333+1)," ","§",LEN(LEFT(J342,I333+1))-LEN(SUBSTITUTE(LEFT(J342,I333+1)," ",""))))-1,IFERROR(FIND(" ",J342,I333+1)-1,LEN(J342))))))</f>
        <v/>
      </c>
      <c r="L342" s="6364"/>
      <c r="M342" s="6329" t="str">
        <v>tous les côtés. Retirez-la de la cocotte et</v>
      </c>
      <c r="N342" t="s">
        <v>21</v>
      </c>
      <c r="AV342" s="103"/>
      <c r="AW342" s="31"/>
      <c r="AX342" s="32"/>
      <c r="AY342" s="31"/>
      <c r="AZ342" s="33"/>
      <c r="BA342" s="1967"/>
      <c r="BB342" s="1805"/>
      <c r="BC342" s="91"/>
      <c r="BD342" s="1806"/>
      <c r="BE342" s="6401"/>
      <c r="BF342" s="6402"/>
      <c r="BG342" s="1969"/>
      <c r="BH342" s="6403"/>
      <c r="BI342" s="95"/>
      <c r="BJ342" s="1326"/>
      <c r="BK342" s="6404"/>
      <c r="BL342" s="1737"/>
      <c r="BM342" s="2081"/>
      <c r="BN342" s="2238"/>
      <c r="BO342" s="1809"/>
      <c r="BR342" s="3">
        <v>1</v>
      </c>
    </row>
    <row r="343" spans="2:70" ht="21" customHeight="1">
      <c r="B343" s="6236"/>
      <c r="C343" s="6376">
        <f t="shared" si="133"/>
        <v>150</v>
      </c>
      <c r="D343" s="6414" t="str" cm="1">
        <f t="array" ref="D343">IF(MOD(ROW()-50,14)=0,INDEX(D330:D343,MOD(ROW()-50,14)+1),E341)</f>
        <v/>
      </c>
      <c r="E343" s="6377" t="str">
        <f t="shared" si="134"/>
        <v/>
      </c>
      <c r="F343" s="6378" t="str">
        <f t="shared" si="135"/>
        <v/>
      </c>
      <c r="G343" s="6319"/>
      <c r="H343" s="6323" t="str">
        <f t="shared" si="136"/>
        <v/>
      </c>
      <c r="I343" s="6379"/>
      <c r="J343" s="6380" t="str">
        <f t="shared" si="137"/>
        <v/>
      </c>
      <c r="K343" s="6381" t="str">
        <f>IF(J343="","",LEFT(J343,IF(LEN(J343)&lt;=I333,LEN(J343),IFERROR(FIND("§",SUBSTITUTE(LEFT(J343,I333+1)," ","§",LEN(LEFT(J343,I333+1))-LEN(SUBSTITUTE(LEFT(J343,I333+1)," ",""))))-1,IFERROR(FIND(" ",J343,I333+1)-1,LEN(J343))))))</f>
        <v/>
      </c>
      <c r="L343" s="6382"/>
      <c r="M343" s="6330" t="str">
        <v>réservez-la.</v>
      </c>
      <c r="N343" t="s">
        <v>21</v>
      </c>
      <c r="AV343" s="103"/>
      <c r="AW343" s="31"/>
      <c r="AX343" s="32"/>
      <c r="AY343" s="31"/>
      <c r="AZ343" s="33"/>
      <c r="BA343" s="1967"/>
      <c r="BB343" s="1805"/>
      <c r="BC343" s="91"/>
      <c r="BD343" s="1806"/>
      <c r="BE343" s="6401"/>
      <c r="BF343" s="6402"/>
      <c r="BG343" s="1969"/>
      <c r="BH343" s="6403"/>
      <c r="BI343" s="95"/>
      <c r="BJ343" s="1326"/>
      <c r="BK343" s="6404"/>
      <c r="BL343" s="1737"/>
      <c r="BM343" s="2081"/>
      <c r="BN343" s="2238"/>
      <c r="BO343" s="1809"/>
      <c r="BR343" s="3">
        <v>1</v>
      </c>
    </row>
    <row r="344" spans="2:70" ht="21" customHeight="1">
      <c r="B344" s="6236"/>
      <c r="C344" s="6313">
        <f>AD71</f>
        <v>150</v>
      </c>
      <c r="D344" s="6314" t="str">
        <f>IF(UPPER(TRIM(X45))="X",U71,O71)</f>
        <v>22.TEST LIGNE 19 colonne Q et ligne 20 colonne P. rechercher la cellule qui coupe le texte Dans la cocotte N°3 en fonte, faites chauffer l’huile d’olive à feu moyen. Ajoutez la viande et faites-la dorer de tous les côtés. Retirez-la de la cocotte et réservez-la.</v>
      </c>
      <c r="E344" s="6315" t="str">
        <f>IF(D344="","",IF(F344="","",IF(LEN(F344)&gt;=LEN(D344),"",TRIM(MID(D344,LEN(F344)+1,99999)))))</f>
        <v>d’olive à feu moyen. Ajoutez la viande et faites-la dorer de tous les côtés. Retirez-la de la cocotte et réservez-la.</v>
      </c>
      <c r="F344" s="6316" t="str">
        <f>IF(D344="","",IF(LEN(D344)&lt;=C344,D344,IFERROR(LEFT(D344,FIND("§",SUBSTITUTE(LEFT(D344,C344+1)," ","§",LEN(LEFT(D344,C344+1))-LEN(SUBSTITUTE(LEFT(D344,C344+1)," ",""))))-1),LEFT(D344,C344))))</f>
        <v>22.TEST LIGNE 19 colonne Q et ligne 20 colonne P. rechercher la cellule qui coupe le texte Dans la cocotte N°3 en fonte, faites chauffer l’huile</v>
      </c>
      <c r="G344" s="6317"/>
      <c r="H344" s="6385">
        <f>IF(LEN(TRIM(L344))&gt;0,MAX(H343:H343)+1,"")</f>
        <v>1</v>
      </c>
      <c r="I344" s="6324" t="str">
        <f>D344</f>
        <v>22.TEST LIGNE 19 colonne Q et ligne 20 colonne P. rechercher la cellule qui coupe le texte Dans la cocotte N°3 en fonte, faites chauffer l’huile d’olive à feu moyen. Ajoutez la viande et faites-la dorer de tous les côtés. Retirez-la de la cocotte et réservez-la.</v>
      </c>
      <c r="J344" s="6386" t="str">
        <f>IF(I344=0,"",I344)</f>
        <v>22.TEST LIGNE 19 colonne Q et ligne 20 colonne P. rechercher la cellule qui coupe le texte Dans la cocotte N°3 en fonte, faites chauffer l’huile d’olive à feu moyen. Ajoutez la viande et faites-la dorer de tous les côtés. Retirez-la de la cocotte et réservez-la.</v>
      </c>
      <c r="K344" s="6387" t="str">
        <f>IF(I344="","",LEFT(I344,IF(LEN(I344)&lt;=I347,LEN(I344),IFERROR(FIND("§",SUBSTITUTE(LEFT(I344,I347+1)," ","§",LEN(LEFT(I344,I347+1))-LEN(SUBSTITUTE(LEFT(I344,I347+1)," ",""))))-1,IFERROR(FIND(" ",I344,I347+1)-1,LEN(I344))))))</f>
        <v>22.TEST LIGNE 19 colonne Q et ligne 20 colonne P.</v>
      </c>
      <c r="L344" s="6388" t="str" cm="1">
        <f t="array" ref="L344:L349">_xlfn._xlws.FILTER(TRIM(SUBSTITUTE(SUBSTITUTE(SUBSTITUTE(SUBSTITUTE(SUBSTITUTE(CLEAN(K344:K357),CHAR(160)," "),_xlfn.UNICHAR(8239)," "),CHAR(9)," "),CHAR(10)," "),CHAR(13)," ")),TRIM(SUBSTITUTE(SUBSTITUTE(SUBSTITUTE(SUBSTITUTE(SUBSTITUTE(CLEAN(K344:K357),CHAR(160)," "),_xlfn.UNICHAR(8239)," "),CHAR(9)," "),CHAR(10)," "),CHAR(13)," "))&lt;&gt;"")</f>
        <v>22.TEST LIGNE 19 colonne Q et ligne 20 colonne P.</v>
      </c>
      <c r="M344" s="6331" t="str">
        <v>50.TEST LIGNE 19 colonne Q et ligne 20 colonne P.</v>
      </c>
      <c r="N344" t="s">
        <v>21</v>
      </c>
      <c r="AV344" s="103"/>
      <c r="AW344" s="31"/>
      <c r="AX344" s="32"/>
      <c r="AY344" s="31"/>
      <c r="AZ344" s="33"/>
      <c r="BA344" s="1967"/>
      <c r="BB344" s="1805"/>
      <c r="BC344" s="91"/>
      <c r="BD344" s="1806"/>
      <c r="BE344" s="6401"/>
      <c r="BF344" s="6402"/>
      <c r="BG344" s="1969"/>
      <c r="BH344" s="6403"/>
      <c r="BI344" s="95"/>
      <c r="BJ344" s="1326"/>
      <c r="BK344" s="6404"/>
      <c r="BL344" s="1737"/>
      <c r="BM344" s="2081"/>
      <c r="BN344" s="2238"/>
      <c r="BO344" s="1809"/>
      <c r="BR344" s="3">
        <v>1</v>
      </c>
    </row>
    <row r="345" spans="2:70" ht="21" customHeight="1">
      <c r="B345" s="6236"/>
      <c r="C345" s="6358">
        <f t="shared" ref="C345:C357" si="138">C344</f>
        <v>150</v>
      </c>
      <c r="D345" s="6359" t="str" cm="1">
        <f t="array" ref="D345">IF(MOD(ROW()-50,14)=0,INDEX(D344:D357,MOD(ROW()-50,14)+1),E343)</f>
        <v/>
      </c>
      <c r="E345" s="6360" t="str">
        <f t="shared" ref="E345:E357" si="139">IF(D345="","",IF(F345="","",IF(LEN(F345)&gt;=LEN(D345),"",TRIM(MID(D345,LEN(F345)+1,99999)))))</f>
        <v/>
      </c>
      <c r="F345" s="6361" t="str">
        <f t="shared" ref="F345:F357" si="140">IF(D345="","",IF(LEN(D345)&lt;=C345,D345,IFERROR(LEFT(D345,FIND("§",SUBSTITUTE(LEFT(D345,C345+1)," ","§",LEN(LEFT(D345,C345+1))-LEN(SUBSTITUTE(LEFT(D345,C345+1)," ",""))))-1),LEFT(D345,C345))))</f>
        <v/>
      </c>
      <c r="G345" s="6318"/>
      <c r="H345" s="6393">
        <f t="shared" ref="H345:H357" si="141">IF(LEN(TRIM(L345))&gt;0,MAX(H344:H344)+1,"")</f>
        <v>2</v>
      </c>
      <c r="I345" s="6394" t="s">
        <v>14355</v>
      </c>
      <c r="J345" s="6395" t="str">
        <f>TRIM(MID(I348,LEN(K344)+1,99999))</f>
        <v>rechercher la cellule qui coupe le texte Dans la cocotte N°3 en fonte, faites chauffer l’huile d’olive à feu moyen. Ajoutez la viande et faites-la dorer de tous les côtés. Retirez-la de la cocotte et réservez-la.</v>
      </c>
      <c r="K345" s="6396" t="str">
        <f>IF(J345="","",LEFT(J345,IF(LEN(J345)&lt;=I347,LEN(J345),IFERROR(FIND("§",SUBSTITUTE(LEFT(J345,I347+1)," ","§",LEN(LEFT(J345,I347+1))-LEN(SUBSTITUTE(LEFT(J345,I347+1)," ",""))))-1,IFERROR(FIND(" ",J345,I347+1)-1,LEN(J345))))))</f>
        <v>rechercher la cellule qui coupe le texte Dans la</v>
      </c>
      <c r="L345" s="6388" t="str">
        <v>rechercher la cellule qui coupe le texte Dans la</v>
      </c>
      <c r="M345" s="6332" t="str">
        <v>rechercher la cellule qui coupe le texte Dans la</v>
      </c>
      <c r="N345" t="s">
        <v>21</v>
      </c>
      <c r="AV345" s="103"/>
      <c r="AW345" s="31"/>
      <c r="AX345" s="32"/>
      <c r="AY345" s="31"/>
      <c r="AZ345" s="33"/>
      <c r="BA345" s="1967"/>
      <c r="BB345" s="1805"/>
      <c r="BC345" s="91"/>
      <c r="BD345" s="1806"/>
      <c r="BE345" s="6401"/>
      <c r="BF345" s="6402"/>
      <c r="BG345" s="1969"/>
      <c r="BH345" s="6403"/>
      <c r="BI345" s="95"/>
      <c r="BJ345" s="1326"/>
      <c r="BK345" s="6404"/>
      <c r="BL345" s="1737"/>
      <c r="BM345" s="2081"/>
      <c r="BN345" s="2238"/>
      <c r="BO345" s="1809"/>
      <c r="BR345" s="3">
        <v>1</v>
      </c>
    </row>
    <row r="346" spans="2:70" ht="21" customHeight="1">
      <c r="B346" s="6236"/>
      <c r="C346" s="6358">
        <f t="shared" si="138"/>
        <v>150</v>
      </c>
      <c r="D346" s="6359" t="str" cm="1">
        <f t="array" ref="D346">IF(MOD(ROW()-50,14)=0,INDEX(D344:D357,MOD(ROW()-50,14)+1),E344)</f>
        <v>d’olive à feu moyen. Ajoutez la viande et faites-la dorer de tous les côtés. Retirez-la de la cocotte et réservez-la.</v>
      </c>
      <c r="E346" s="6360" t="str">
        <f t="shared" si="139"/>
        <v/>
      </c>
      <c r="F346" s="6361" t="str">
        <f t="shared" si="140"/>
        <v>d’olive à feu moyen. Ajoutez la viande et faites-la dorer de tous les côtés. Retirez-la de la cocotte et réservez-la.</v>
      </c>
      <c r="G346" s="6318"/>
      <c r="H346" s="6393">
        <f t="shared" si="141"/>
        <v>3</v>
      </c>
      <c r="I346" s="6365">
        <f>Z71</f>
        <v>5</v>
      </c>
      <c r="J346" s="6395" t="str">
        <f t="shared" ref="J346:J357" si="142">TRIM(MID(J345,LEN(K345)+1,99999))</f>
        <v>cocotte N°3 en fonte, faites chauffer l’huile d’olive à feu moyen. Ajoutez la viande et faites-la dorer de tous les côtés. Retirez-la de la cocotte et réservez-la.</v>
      </c>
      <c r="K346" s="6396" t="str">
        <f>IF(J346="","",LEFT(J346,IF(LEN(J346)&lt;=I347,LEN(J346),IFERROR(FIND("§",SUBSTITUTE(LEFT(J346,I347+1)," ","§",LEN(LEFT(J346,I347+1))-LEN(SUBSTITUTE(LEFT(J346,I347+1)," ",""))))-1,IFERROR(FIND(" ",J346,I347+1)-1,LEN(J346))))))</f>
        <v>cocotte N°3 en fonte, faites chauffer l’huile d’olive</v>
      </c>
      <c r="L346" s="6388" t="str">
        <v>cocotte N°3 en fonte, faites chauffer l’huile d’olive</v>
      </c>
      <c r="M346" s="6332" t="str">
        <v>cocotte N°3 en fonte, faites chauffer l’huile d’olive</v>
      </c>
      <c r="N346" t="s">
        <v>21</v>
      </c>
      <c r="AV346" s="103"/>
      <c r="AW346" s="31"/>
      <c r="AX346" s="32"/>
      <c r="AY346" s="31"/>
      <c r="AZ346" s="33"/>
      <c r="BA346" s="1967"/>
      <c r="BB346" s="1805"/>
      <c r="BC346" s="91"/>
      <c r="BD346" s="1806"/>
      <c r="BE346" s="6401"/>
      <c r="BF346" s="6402"/>
      <c r="BG346" s="1969"/>
      <c r="BH346" s="6403"/>
      <c r="BI346" s="95"/>
      <c r="BJ346" s="1326"/>
      <c r="BK346" s="6404"/>
      <c r="BL346" s="1737"/>
      <c r="BM346" s="2081"/>
      <c r="BN346" s="2238"/>
      <c r="BO346" s="1809"/>
      <c r="BR346" s="3">
        <v>1</v>
      </c>
    </row>
    <row r="347" spans="2:70" ht="21" customHeight="1">
      <c r="B347" s="6236"/>
      <c r="C347" s="6358">
        <f t="shared" si="138"/>
        <v>150</v>
      </c>
      <c r="D347" s="6359" t="str" cm="1">
        <f t="array" ref="D347">IF(MOD(ROW()-50,14)=0,INDEX(D344:D357,MOD(ROW()-50,14)+1),E345)</f>
        <v/>
      </c>
      <c r="E347" s="6360" t="str">
        <f t="shared" si="139"/>
        <v/>
      </c>
      <c r="F347" s="6361" t="str">
        <f t="shared" si="140"/>
        <v/>
      </c>
      <c r="G347" s="6318"/>
      <c r="H347" s="6393">
        <f t="shared" si="141"/>
        <v>4</v>
      </c>
      <c r="I347" s="6398">
        <f>IF(OR(J344="",I346="",I346&lt;=0),"",ROUNDUP(LEN(J344)/I346,0))</f>
        <v>53</v>
      </c>
      <c r="J347" s="6395" t="str">
        <f t="shared" si="142"/>
        <v>à feu moyen. Ajoutez la viande et faites-la dorer de tous les côtés. Retirez-la de la cocotte et réservez-la.</v>
      </c>
      <c r="K347" s="6396" t="str">
        <f>IF(J347="","",LEFT(J347,IF(LEN(J347)&lt;=I347,LEN(J347),IFERROR(FIND("§",SUBSTITUTE(LEFT(J347,I347+1)," ","§",LEN(LEFT(J347,I347+1))-LEN(SUBSTITUTE(LEFT(J347,I347+1)," ",""))))-1,IFERROR(FIND(" ",J347,I347+1)-1,LEN(J347))))))</f>
        <v>à feu moyen. Ajoutez la viande et faites-la dorer de</v>
      </c>
      <c r="L347" s="6388" t="str">
        <v>à feu moyen. Ajoutez la viande et faites-la dorer de</v>
      </c>
      <c r="M347" s="6332" t="str">
        <v>à feu moyen. Ajoutez la viande et faites-la dorer de</v>
      </c>
      <c r="N347" t="s">
        <v>21</v>
      </c>
      <c r="AV347" s="103"/>
      <c r="AW347" s="31"/>
      <c r="AX347" s="32"/>
      <c r="AY347" s="31"/>
      <c r="AZ347" s="33"/>
      <c r="BA347" s="1967"/>
      <c r="BB347" s="1805"/>
      <c r="BC347" s="91"/>
      <c r="BD347" s="1806"/>
      <c r="BE347" s="6401"/>
      <c r="BF347" s="6402"/>
      <c r="BG347" s="1969"/>
      <c r="BH347" s="6403"/>
      <c r="BI347" s="95"/>
      <c r="BJ347" s="1326"/>
      <c r="BK347" s="6404"/>
      <c r="BL347" s="1737"/>
      <c r="BM347" s="2081"/>
      <c r="BN347" s="2238"/>
      <c r="BO347" s="1809"/>
      <c r="BR347" s="3">
        <v>1</v>
      </c>
    </row>
    <row r="348" spans="2:70" ht="21" customHeight="1">
      <c r="B348" s="6236"/>
      <c r="C348" s="6358">
        <f t="shared" si="138"/>
        <v>150</v>
      </c>
      <c r="D348" s="6359" t="str" cm="1">
        <f t="array" ref="D348">IF(MOD(ROW()-50,14)=0,INDEX(D344:D357,MOD(ROW()-50,14)+1),E346)</f>
        <v/>
      </c>
      <c r="E348" s="6360" t="str">
        <f t="shared" si="139"/>
        <v/>
      </c>
      <c r="F348" s="6361" t="str">
        <f t="shared" si="140"/>
        <v/>
      </c>
      <c r="G348" s="6318"/>
      <c r="H348" s="6393">
        <f t="shared" si="141"/>
        <v>5</v>
      </c>
      <c r="I348" s="6400" t="str">
        <f>I344</f>
        <v>22.TEST LIGNE 19 colonne Q et ligne 20 colonne P. rechercher la cellule qui coupe le texte Dans la cocotte N°3 en fonte, faites chauffer l’huile d’olive à feu moyen. Ajoutez la viande et faites-la dorer de tous les côtés. Retirez-la de la cocotte et réservez-la.</v>
      </c>
      <c r="J348" s="6395" t="str">
        <f t="shared" si="142"/>
        <v>tous les côtés. Retirez-la de la cocotte et réservez-la.</v>
      </c>
      <c r="K348" s="6396" t="str">
        <f>IF(J348="","",LEFT(J348,IF(LEN(J348)&lt;=I347,LEN(J348),IFERROR(FIND("§",SUBSTITUTE(LEFT(J348,I347+1)," ","§",LEN(LEFT(J348,I347+1))-LEN(SUBSTITUTE(LEFT(J348,I347+1)," ",""))))-1,IFERROR(FIND(" ",J348,I347+1)-1,LEN(J348))))))</f>
        <v>tous les côtés. Retirez-la de la cocotte et</v>
      </c>
      <c r="L348" s="6388" t="str">
        <v>tous les côtés. Retirez-la de la cocotte et</v>
      </c>
      <c r="M348" s="6332" t="str">
        <v>tous les côtés. Retirez-la de la cocotte et</v>
      </c>
      <c r="N348" t="s">
        <v>21</v>
      </c>
      <c r="AV348" s="103"/>
      <c r="AW348" s="31"/>
      <c r="AX348" s="32"/>
      <c r="AY348" s="31"/>
      <c r="AZ348" s="33"/>
      <c r="BA348" s="1967"/>
      <c r="BB348" s="1805"/>
      <c r="BC348" s="91"/>
      <c r="BD348" s="1806"/>
      <c r="BE348" s="6401"/>
      <c r="BF348" s="6402"/>
      <c r="BG348" s="1969"/>
      <c r="BH348" s="6403"/>
      <c r="BI348" s="95"/>
      <c r="BJ348" s="1326"/>
      <c r="BK348" s="6404"/>
      <c r="BL348" s="1737"/>
      <c r="BM348" s="2081"/>
      <c r="BN348" s="2238"/>
      <c r="BO348" s="1809"/>
      <c r="BR348" s="3">
        <v>1</v>
      </c>
    </row>
    <row r="349" spans="2:70" ht="21" customHeight="1">
      <c r="B349" s="6236"/>
      <c r="C349" s="6358">
        <f t="shared" si="138"/>
        <v>150</v>
      </c>
      <c r="D349" s="6359" t="str" cm="1">
        <f t="array" ref="D349">IF(MOD(ROW()-50,14)=0,INDEX(D344:D357,MOD(ROW()-50,14)+1),E347)</f>
        <v/>
      </c>
      <c r="E349" s="6360" t="str">
        <f t="shared" si="139"/>
        <v/>
      </c>
      <c r="F349" s="6361" t="str">
        <f t="shared" si="140"/>
        <v/>
      </c>
      <c r="G349" s="6318"/>
      <c r="H349" s="6393">
        <f t="shared" si="141"/>
        <v>6</v>
      </c>
      <c r="I349" s="6405"/>
      <c r="J349" s="6395" t="str">
        <f t="shared" si="142"/>
        <v>réservez-la.</v>
      </c>
      <c r="K349" s="6396" t="str">
        <f>IF(J349="","",LEFT(J349,IF(LEN(J349)&lt;=I347,LEN(J349),IFERROR(FIND("§",SUBSTITUTE(LEFT(J349,I347+1)," ","§",LEN(LEFT(J349,I347+1))-LEN(SUBSTITUTE(LEFT(J349,I347+1)," ",""))))-1,IFERROR(FIND(" ",J349,I347+1)-1,LEN(J349))))))</f>
        <v>réservez-la.</v>
      </c>
      <c r="L349" s="6388" t="str">
        <v>réservez-la.</v>
      </c>
      <c r="M349" s="6332" t="str">
        <v>réservez-la.</v>
      </c>
      <c r="N349" t="s">
        <v>21</v>
      </c>
      <c r="AV349" s="103"/>
      <c r="AW349" s="31"/>
      <c r="AX349" s="32"/>
      <c r="AY349" s="31"/>
      <c r="AZ349" s="33"/>
      <c r="BA349" s="1967"/>
      <c r="BB349" s="1805"/>
      <c r="BC349" s="91"/>
      <c r="BD349" s="1806"/>
      <c r="BE349" s="6401"/>
      <c r="BF349" s="6402"/>
      <c r="BG349" s="1969"/>
      <c r="BH349" s="6403"/>
      <c r="BI349" s="95"/>
      <c r="BJ349" s="1326"/>
      <c r="BK349" s="6404"/>
      <c r="BL349" s="1737"/>
      <c r="BM349" s="2081"/>
      <c r="BN349" s="2238"/>
      <c r="BO349" s="1809"/>
      <c r="BR349" s="3">
        <v>1</v>
      </c>
    </row>
    <row r="350" spans="2:70" ht="21" customHeight="1">
      <c r="B350" s="6236"/>
      <c r="C350" s="6358">
        <f t="shared" si="138"/>
        <v>150</v>
      </c>
      <c r="D350" s="6359" t="str" cm="1">
        <f t="array" ref="D350">IF(MOD(ROW()-50,14)=0,INDEX(D344:D357,MOD(ROW()-50,14)+1),E348)</f>
        <v/>
      </c>
      <c r="E350" s="6360" t="str">
        <f t="shared" si="139"/>
        <v/>
      </c>
      <c r="F350" s="6361" t="str">
        <f t="shared" si="140"/>
        <v/>
      </c>
      <c r="G350" s="6318"/>
      <c r="H350" s="6393" t="str">
        <f t="shared" si="141"/>
        <v/>
      </c>
      <c r="I350" s="6405"/>
      <c r="J350" s="6395" t="str">
        <f t="shared" si="142"/>
        <v/>
      </c>
      <c r="K350" s="6396" t="str">
        <f>IF(J350="","",LEFT(J350,IF(LEN(J350)&lt;=I347,LEN(J350),IFERROR(FIND("§",SUBSTITUTE(LEFT(J350,I347+1)," ","§",LEN(LEFT(J350,I347+1))-LEN(SUBSTITUTE(LEFT(J350,I347+1)," ",""))))-1,IFERROR(FIND(" ",J350,I347+1)-1,LEN(J350))))))</f>
        <v/>
      </c>
      <c r="L350" s="6388"/>
      <c r="M350" s="6332" t="str">
        <v>51.TEST LIGNE 19 colonne Q et ligne 20 colonne P.</v>
      </c>
      <c r="N350" t="s">
        <v>21</v>
      </c>
      <c r="AV350" s="103"/>
      <c r="AW350" s="31"/>
      <c r="AX350" s="32"/>
      <c r="AY350" s="31"/>
      <c r="AZ350" s="33"/>
      <c r="BA350" s="1967"/>
      <c r="BB350" s="1805"/>
      <c r="BC350" s="91"/>
      <c r="BD350" s="1806"/>
      <c r="BE350" s="6401"/>
      <c r="BF350" s="6402"/>
      <c r="BG350" s="1969"/>
      <c r="BH350" s="6403"/>
      <c r="BI350" s="95"/>
      <c r="BJ350" s="1326"/>
      <c r="BK350" s="6404"/>
      <c r="BL350" s="1737"/>
      <c r="BM350" s="2081"/>
      <c r="BN350" s="2238"/>
      <c r="BO350" s="1809"/>
      <c r="BR350" s="3">
        <v>1</v>
      </c>
    </row>
    <row r="351" spans="2:70" ht="21" customHeight="1">
      <c r="B351" s="6236"/>
      <c r="C351" s="6358">
        <f t="shared" si="138"/>
        <v>150</v>
      </c>
      <c r="D351" s="6359" t="str" cm="1">
        <f t="array" ref="D351">IF(MOD(ROW()-50,14)=0,INDEX(D344:D357,MOD(ROW()-50,14)+1),E349)</f>
        <v/>
      </c>
      <c r="E351" s="6360" t="str">
        <f t="shared" si="139"/>
        <v/>
      </c>
      <c r="F351" s="6361" t="str">
        <f t="shared" si="140"/>
        <v/>
      </c>
      <c r="G351" s="6318"/>
      <c r="H351" s="6393" t="str">
        <f t="shared" si="141"/>
        <v/>
      </c>
      <c r="I351" s="6405"/>
      <c r="J351" s="6395" t="str">
        <f t="shared" si="142"/>
        <v/>
      </c>
      <c r="K351" s="6396" t="str">
        <f>IF(J351="","",LEFT(J351,IF(LEN(J351)&lt;=I347,LEN(J351),IFERROR(FIND("§",SUBSTITUTE(LEFT(J351,I347+1)," ","§",LEN(LEFT(J351,I347+1))-LEN(SUBSTITUTE(LEFT(J351,I347+1)," ",""))))-1,IFERROR(FIND(" ",J351,I347+1)-1,LEN(J351))))))</f>
        <v/>
      </c>
      <c r="L351" s="6388"/>
      <c r="M351" s="6332" t="str">
        <v>rechercher la cellule qui coupe le texte Dans la</v>
      </c>
      <c r="N351" t="s">
        <v>21</v>
      </c>
      <c r="AV351" s="103"/>
      <c r="AW351" s="31"/>
      <c r="AX351" s="32"/>
      <c r="AY351" s="31"/>
      <c r="AZ351" s="33"/>
      <c r="BA351" s="1967"/>
      <c r="BB351" s="1805"/>
      <c r="BC351" s="91"/>
      <c r="BD351" s="1806"/>
      <c r="BE351" s="6401"/>
      <c r="BF351" s="6402"/>
      <c r="BG351" s="1969"/>
      <c r="BH351" s="6403"/>
      <c r="BI351" s="95"/>
      <c r="BJ351" s="1326"/>
      <c r="BK351" s="6404"/>
      <c r="BL351" s="1737"/>
      <c r="BM351" s="2081"/>
      <c r="BN351" s="2238"/>
      <c r="BO351" s="1809"/>
      <c r="BR351" s="3">
        <v>1</v>
      </c>
    </row>
    <row r="352" spans="2:70" ht="21" customHeight="1">
      <c r="B352" s="6236"/>
      <c r="C352" s="6358">
        <f t="shared" si="138"/>
        <v>150</v>
      </c>
      <c r="D352" s="6359" t="str" cm="1">
        <f t="array" ref="D352">IF(MOD(ROW()-50,14)=0,INDEX(D344:D357,MOD(ROW()-50,14)+1),E350)</f>
        <v/>
      </c>
      <c r="E352" s="6360" t="str">
        <f t="shared" si="139"/>
        <v/>
      </c>
      <c r="F352" s="6361" t="str">
        <f t="shared" si="140"/>
        <v/>
      </c>
      <c r="G352" s="6318"/>
      <c r="H352" s="6393" t="str">
        <f t="shared" si="141"/>
        <v/>
      </c>
      <c r="I352" s="6405"/>
      <c r="J352" s="6395" t="str">
        <f t="shared" si="142"/>
        <v/>
      </c>
      <c r="K352" s="6396" t="str">
        <f>IF(J352="","",LEFT(J352,IF(LEN(J352)&lt;=I347,LEN(J352),IFERROR(FIND("§",SUBSTITUTE(LEFT(J352,I347+1)," ","§",LEN(LEFT(J352,I347+1))-LEN(SUBSTITUTE(LEFT(J352,I347+1)," ",""))))-1,IFERROR(FIND(" ",J352,I347+1)-1,LEN(J352))))))</f>
        <v/>
      </c>
      <c r="L352" s="6388"/>
      <c r="M352" s="6332" t="str">
        <v>cocotte N°3 en fonte, faites chauffer l’huile d’olive</v>
      </c>
      <c r="N352" t="s">
        <v>21</v>
      </c>
      <c r="AV352" s="103"/>
      <c r="AW352" s="31"/>
      <c r="AX352" s="32"/>
      <c r="AY352" s="31"/>
      <c r="AZ352" s="33"/>
      <c r="BA352" s="1967"/>
      <c r="BB352" s="1805"/>
      <c r="BC352" s="91"/>
      <c r="BD352" s="1806"/>
      <c r="BE352" s="6401"/>
      <c r="BF352" s="6402"/>
      <c r="BG352" s="1969"/>
      <c r="BH352" s="6403"/>
      <c r="BI352" s="95"/>
      <c r="BJ352" s="1326"/>
      <c r="BK352" s="6404"/>
      <c r="BL352" s="1737"/>
      <c r="BM352" s="2081"/>
      <c r="BN352" s="2238"/>
      <c r="BO352" s="1809"/>
      <c r="BR352" s="3">
        <v>1</v>
      </c>
    </row>
    <row r="353" spans="2:70" ht="21" customHeight="1">
      <c r="B353" s="6236"/>
      <c r="C353" s="6358">
        <f t="shared" si="138"/>
        <v>150</v>
      </c>
      <c r="D353" s="6359" t="str" cm="1">
        <f t="array" ref="D353">IF(MOD(ROW()-50,14)=0,INDEX(D344:D357,MOD(ROW()-50,14)+1),E351)</f>
        <v/>
      </c>
      <c r="E353" s="6360" t="str">
        <f t="shared" si="139"/>
        <v/>
      </c>
      <c r="F353" s="6361" t="str">
        <f t="shared" si="140"/>
        <v/>
      </c>
      <c r="G353" s="6318"/>
      <c r="H353" s="6393" t="str">
        <f t="shared" si="141"/>
        <v/>
      </c>
      <c r="I353" s="6405"/>
      <c r="J353" s="6395" t="str">
        <f t="shared" si="142"/>
        <v/>
      </c>
      <c r="K353" s="6396" t="str">
        <f>IF(J353="","",LEFT(J353,IF(LEN(J353)&lt;=I347,LEN(J353),IFERROR(FIND("§",SUBSTITUTE(LEFT(J353,I347+1)," ","§",LEN(LEFT(J353,I347+1))-LEN(SUBSTITUTE(LEFT(J353,I347+1)," ",""))))-1,IFERROR(FIND(" ",J353,I347+1)-1,LEN(J353))))))</f>
        <v/>
      </c>
      <c r="L353" s="6388"/>
      <c r="M353" s="6332" t="str">
        <v>à feu moyen. Ajoutez la viande et faites-la dorer de</v>
      </c>
      <c r="N353" t="s">
        <v>21</v>
      </c>
      <c r="AV353" s="103"/>
      <c r="AW353" s="31"/>
      <c r="AX353" s="32"/>
      <c r="AY353" s="31"/>
      <c r="AZ353" s="33"/>
      <c r="BA353" s="1967"/>
      <c r="BB353" s="1805"/>
      <c r="BC353" s="91"/>
      <c r="BD353" s="1806"/>
      <c r="BE353" s="6401"/>
      <c r="BF353" s="6402"/>
      <c r="BG353" s="1969"/>
      <c r="BH353" s="6403"/>
      <c r="BI353" s="95"/>
      <c r="BJ353" s="1326"/>
      <c r="BK353" s="6404"/>
      <c r="BL353" s="1737"/>
      <c r="BM353" s="2081"/>
      <c r="BN353" s="2238"/>
      <c r="BO353" s="1809"/>
      <c r="BR353" s="3">
        <v>1</v>
      </c>
    </row>
    <row r="354" spans="2:70" ht="21" customHeight="1">
      <c r="B354" s="6236"/>
      <c r="C354" s="6358">
        <f t="shared" si="138"/>
        <v>150</v>
      </c>
      <c r="D354" s="6359" t="str" cm="1">
        <f t="array" ref="D354">IF(MOD(ROW()-50,14)=0,INDEX(D344:D357,MOD(ROW()-50,14)+1),E352)</f>
        <v/>
      </c>
      <c r="E354" s="6360" t="str">
        <f t="shared" si="139"/>
        <v/>
      </c>
      <c r="F354" s="6361" t="str">
        <f t="shared" si="140"/>
        <v/>
      </c>
      <c r="G354" s="6318"/>
      <c r="H354" s="6393" t="str">
        <f t="shared" si="141"/>
        <v/>
      </c>
      <c r="I354" s="6405"/>
      <c r="J354" s="6395" t="str">
        <f t="shared" si="142"/>
        <v/>
      </c>
      <c r="K354" s="6396" t="str">
        <f>IF(J354="","",LEFT(J354,IF(LEN(J354)&lt;=I347,LEN(J354),IFERROR(FIND("§",SUBSTITUTE(LEFT(J354,I347+1)," ","§",LEN(LEFT(J354,I347+1))-LEN(SUBSTITUTE(LEFT(J354,I347+1)," ",""))))-1,IFERROR(FIND(" ",J354,I347+1)-1,LEN(J354))))))</f>
        <v/>
      </c>
      <c r="L354" s="6388"/>
      <c r="M354" s="6332" t="str">
        <v>tous les côtés. Retirez-la de la cocotte et</v>
      </c>
      <c r="N354" t="s">
        <v>21</v>
      </c>
      <c r="AV354" s="103"/>
      <c r="AW354" s="31"/>
      <c r="AX354" s="32"/>
      <c r="AY354" s="31"/>
      <c r="AZ354" s="33"/>
      <c r="BA354" s="1967"/>
      <c r="BB354" s="1805"/>
      <c r="BC354" s="91"/>
      <c r="BD354" s="1806"/>
      <c r="BE354" s="6401"/>
      <c r="BF354" s="6402"/>
      <c r="BG354" s="1969"/>
      <c r="BH354" s="6403"/>
      <c r="BI354" s="95"/>
      <c r="BJ354" s="1326"/>
      <c r="BK354" s="6404"/>
      <c r="BL354" s="1737"/>
      <c r="BM354" s="2081"/>
      <c r="BN354" s="2238"/>
      <c r="BO354" s="1809"/>
      <c r="BR354" s="3">
        <v>1</v>
      </c>
    </row>
    <row r="355" spans="2:70" ht="21" customHeight="1">
      <c r="B355" s="6236"/>
      <c r="C355" s="6358">
        <f t="shared" si="138"/>
        <v>150</v>
      </c>
      <c r="D355" s="6359" t="str" cm="1">
        <f t="array" ref="D355">IF(MOD(ROW()-50,14)=0,INDEX(D344:D357,MOD(ROW()-50,14)+1),E353)</f>
        <v/>
      </c>
      <c r="E355" s="6360" t="str">
        <f t="shared" si="139"/>
        <v/>
      </c>
      <c r="F355" s="6361" t="str">
        <f t="shared" si="140"/>
        <v/>
      </c>
      <c r="G355" s="6318"/>
      <c r="H355" s="6393" t="str">
        <f t="shared" si="141"/>
        <v/>
      </c>
      <c r="I355" s="6405"/>
      <c r="J355" s="6395" t="str">
        <f t="shared" si="142"/>
        <v/>
      </c>
      <c r="K355" s="6396" t="str">
        <f>IF(J355="","",LEFT(J355,IF(LEN(J355)&lt;=I347,LEN(J355),IFERROR(FIND("§",SUBSTITUTE(LEFT(J355,I347+1)," ","§",LEN(LEFT(J355,I347+1))-LEN(SUBSTITUTE(LEFT(J355,I347+1)," ",""))))-1,IFERROR(FIND(" ",J355,I347+1)-1,LEN(J355))))))</f>
        <v/>
      </c>
      <c r="L355" s="6388"/>
      <c r="M355" s="6332" t="str">
        <v>réservez-la.</v>
      </c>
      <c r="N355" t="s">
        <v>21</v>
      </c>
      <c r="AV355" s="103"/>
      <c r="AW355" s="31"/>
      <c r="AX355" s="32"/>
      <c r="AY355" s="31"/>
      <c r="AZ355" s="33"/>
      <c r="BA355" s="1967"/>
      <c r="BB355" s="1805"/>
      <c r="BC355" s="91"/>
      <c r="BD355" s="1806"/>
      <c r="BE355" s="6401"/>
      <c r="BF355" s="6402"/>
      <c r="BG355" s="1969"/>
      <c r="BH355" s="6403"/>
      <c r="BI355" s="95"/>
      <c r="BJ355" s="1326"/>
      <c r="BK355" s="6404"/>
      <c r="BL355" s="1737"/>
      <c r="BM355" s="2081"/>
      <c r="BN355" s="2238"/>
      <c r="BO355" s="1809"/>
      <c r="BR355" s="3">
        <v>1</v>
      </c>
    </row>
    <row r="356" spans="2:70" ht="21" customHeight="1">
      <c r="B356" s="6236"/>
      <c r="C356" s="6358">
        <f t="shared" si="138"/>
        <v>150</v>
      </c>
      <c r="D356" s="6359" t="str" cm="1">
        <f t="array" ref="D356">IF(MOD(ROW()-50,14)=0,INDEX(D344:D357,MOD(ROW()-50,14)+1),E354)</f>
        <v/>
      </c>
      <c r="E356" s="6360" t="str">
        <f t="shared" si="139"/>
        <v/>
      </c>
      <c r="F356" s="6361" t="str">
        <f t="shared" si="140"/>
        <v/>
      </c>
      <c r="G356" s="6318"/>
      <c r="H356" s="6393" t="str">
        <f t="shared" si="141"/>
        <v/>
      </c>
      <c r="I356" s="6405"/>
      <c r="J356" s="6395" t="str">
        <f t="shared" si="142"/>
        <v/>
      </c>
      <c r="K356" s="6396" t="str">
        <f>IF(J356="","",LEFT(J356,IF(LEN(J356)&lt;=I347,LEN(J356),IFERROR(FIND("§",SUBSTITUTE(LEFT(J356,I347+1)," ","§",LEN(LEFT(J356,I347+1))-LEN(SUBSTITUTE(LEFT(J356,I347+1)," ",""))))-1,IFERROR(FIND(" ",J356,I347+1)-1,LEN(J356))))))</f>
        <v/>
      </c>
      <c r="L356" s="6396"/>
      <c r="M356" s="6332" t="str">
        <v>52.TEST LIGNE 19 colonne Q et ligne 20 colonne P.</v>
      </c>
      <c r="N356" t="s">
        <v>21</v>
      </c>
      <c r="AV356" s="103"/>
      <c r="AW356" s="31"/>
      <c r="AX356" s="32"/>
      <c r="AY356" s="31"/>
      <c r="AZ356" s="33"/>
      <c r="BA356" s="1967"/>
      <c r="BB356" s="1805"/>
      <c r="BC356" s="91"/>
      <c r="BD356" s="1806"/>
      <c r="BE356" s="6401"/>
      <c r="BF356" s="6402"/>
      <c r="BG356" s="1969"/>
      <c r="BH356" s="6403"/>
      <c r="BI356" s="95"/>
      <c r="BJ356" s="1326"/>
      <c r="BK356" s="6404"/>
      <c r="BL356" s="1737"/>
      <c r="BM356" s="2081"/>
      <c r="BN356" s="2238"/>
      <c r="BO356" s="1809"/>
      <c r="BR356" s="3">
        <v>1</v>
      </c>
    </row>
    <row r="357" spans="2:70" ht="21" customHeight="1">
      <c r="B357" s="6236"/>
      <c r="C357" s="6376">
        <f t="shared" si="138"/>
        <v>150</v>
      </c>
      <c r="D357" s="6414" t="str" cm="1">
        <f t="array" ref="D357">IF(MOD(ROW()-50,14)=0,INDEX(D344:D357,MOD(ROW()-50,14)+1),E355)</f>
        <v/>
      </c>
      <c r="E357" s="6377" t="str">
        <f t="shared" si="139"/>
        <v/>
      </c>
      <c r="F357" s="6378" t="str">
        <f t="shared" si="140"/>
        <v/>
      </c>
      <c r="G357" s="6319"/>
      <c r="H357" s="6409" t="str">
        <f t="shared" si="141"/>
        <v/>
      </c>
      <c r="I357" s="6410"/>
      <c r="J357" s="6411" t="str">
        <f t="shared" si="142"/>
        <v/>
      </c>
      <c r="K357" s="6412" t="str">
        <f>IF(J357="","",LEFT(J357,IF(LEN(J357)&lt;=I347,LEN(J357),IFERROR(FIND("§",SUBSTITUTE(LEFT(J357,I347+1)," ","§",LEN(LEFT(J357,I347+1))-LEN(SUBSTITUTE(LEFT(J357,I347+1)," ",""))))-1,IFERROR(FIND(" ",J357,I347+1)-1,LEN(J357))))))</f>
        <v/>
      </c>
      <c r="L357" s="6413"/>
      <c r="M357" s="6333" t="str">
        <v>rechercher la cellule qui coupe le texte Dans la</v>
      </c>
      <c r="N357" t="s">
        <v>21</v>
      </c>
      <c r="AV357" s="103"/>
      <c r="AW357" s="31"/>
      <c r="AX357" s="32"/>
      <c r="AY357" s="31"/>
      <c r="AZ357" s="33"/>
      <c r="BA357" s="1967"/>
      <c r="BB357" s="1805"/>
      <c r="BC357" s="91"/>
      <c r="BD357" s="1806"/>
      <c r="BE357" s="6401"/>
      <c r="BF357" s="6402"/>
      <c r="BG357" s="1969"/>
      <c r="BH357" s="6403"/>
      <c r="BI357" s="95"/>
      <c r="BJ357" s="1326"/>
      <c r="BK357" s="6404"/>
      <c r="BL357" s="1737"/>
      <c r="BM357" s="2081"/>
      <c r="BN357" s="2238"/>
      <c r="BO357" s="1809"/>
      <c r="BR357" s="3">
        <v>1</v>
      </c>
    </row>
    <row r="358" spans="2:70" ht="21" customHeight="1">
      <c r="B358" s="6236"/>
      <c r="C358" s="6313">
        <f>AD72</f>
        <v>150</v>
      </c>
      <c r="D358" s="6314" t="str">
        <f>IF(UPPER(TRIM(X45))="X",U72,O72)</f>
        <v>23.TEST LIGNE 19 colonne Q et ligne 20 colonne P. rechercher la cellule qui coupe le texte Dans la cocotte N°3 en fonte, faites chauffer l’huile d’olive à feu moyen. Ajoutez la viande et faites-la dorer de tous les côtés. Retirez-la de la cocotte et réservez-la.</v>
      </c>
      <c r="E358" s="6383" t="str">
        <f>IF(D358="","",IF(F358="","",IF(LEN(F358)&gt;=LEN(D358),"",TRIM(MID(D358,LEN(F358)+1,99999)))))</f>
        <v>d’olive à feu moyen. Ajoutez la viande et faites-la dorer de tous les côtés. Retirez-la de la cocotte et réservez-la.</v>
      </c>
      <c r="F358" s="6384" t="str">
        <f>IF(D358="","",IF(LEN(D358)&lt;=C358,D358,IFERROR(LEFT(D358,FIND("§",SUBSTITUTE(LEFT(D358,C358+1)," ","§",LEN(LEFT(D358,C358+1))-LEN(SUBSTITUTE(LEFT(D358,C358+1)," ",""))))-1),LEFT(D358,C358))))</f>
        <v>23.TEST LIGNE 19 colonne Q et ligne 20 colonne P. rechercher la cellule qui coupe le texte Dans la cocotte N°3 en fonte, faites chauffer l’huile</v>
      </c>
      <c r="G358" s="6320"/>
      <c r="H358" s="6323">
        <f>IF(LEN(TRIM(L358))&gt;0,MAX(H357:H357)+1,"")</f>
        <v>1</v>
      </c>
      <c r="I358" s="6324" t="str">
        <f>D358</f>
        <v>23.TEST LIGNE 19 colonne Q et ligne 20 colonne P. rechercher la cellule qui coupe le texte Dans la cocotte N°3 en fonte, faites chauffer l’huile d’olive à feu moyen. Ajoutez la viande et faites-la dorer de tous les côtés. Retirez-la de la cocotte et réservez-la.</v>
      </c>
      <c r="J358" s="6325" t="str">
        <f>IF(I358=0,"",I358)</f>
        <v>23.TEST LIGNE 19 colonne Q et ligne 20 colonne P. rechercher la cellule qui coupe le texte Dans la cocotte N°3 en fonte, faites chauffer l’huile d’olive à feu moyen. Ajoutez la viande et faites-la dorer de tous les côtés. Retirez-la de la cocotte et réservez-la.</v>
      </c>
      <c r="K358" s="6326" t="str">
        <f>IF(I358="","",LEFT(I358,IF(LEN(I358)&lt;=I361,LEN(I358),IFERROR(FIND("§",SUBSTITUTE(LEFT(I358,I361+1)," ","§",LEN(LEFT(I358,I361+1))-LEN(SUBSTITUTE(LEFT(I358,I361+1)," ",""))))-1,IFERROR(FIND(" ",I358,I361+1)-1,LEN(I358))))))</f>
        <v>23.TEST LIGNE 19 colonne Q et ligne 20 colonne P.</v>
      </c>
      <c r="L358" s="6326" t="str" cm="1">
        <f t="array" ref="L358:L363">_xlfn._xlws.FILTER(TRIM(SUBSTITUTE(SUBSTITUTE(SUBSTITUTE(SUBSTITUTE(SUBSTITUTE(CLEAN(K358:K371),CHAR(160)," "),_xlfn.UNICHAR(8239)," "),CHAR(9)," "),CHAR(10)," "),CHAR(13)," ")),TRIM(SUBSTITUTE(SUBSTITUTE(SUBSTITUTE(SUBSTITUTE(SUBSTITUTE(CLEAN(K358:K371),CHAR(160)," "),_xlfn.UNICHAR(8239)," "),CHAR(9)," "),CHAR(10)," "),CHAR(13)," "))&lt;&gt;"")</f>
        <v>23.TEST LIGNE 19 colonne Q et ligne 20 colonne P.</v>
      </c>
      <c r="M358" s="6328" t="str">
        <v>cocotte N°3 en fonte, faites chauffer l’huile d’olive</v>
      </c>
      <c r="N358" t="s">
        <v>21</v>
      </c>
      <c r="AV358" s="103"/>
      <c r="AW358" s="31"/>
      <c r="AX358" s="32"/>
      <c r="AY358" s="31"/>
      <c r="AZ358" s="33"/>
      <c r="BA358" s="1967"/>
      <c r="BB358" s="1805"/>
      <c r="BC358" s="91"/>
      <c r="BD358" s="1806"/>
      <c r="BE358" s="6401"/>
      <c r="BF358" s="6402"/>
      <c r="BG358" s="1969"/>
      <c r="BH358" s="6403"/>
      <c r="BI358" s="95"/>
      <c r="BJ358" s="1326"/>
      <c r="BK358" s="6404"/>
      <c r="BL358" s="1737"/>
      <c r="BM358" s="2081"/>
      <c r="BN358" s="2238"/>
      <c r="BO358" s="1809"/>
      <c r="BR358" s="3">
        <v>1</v>
      </c>
    </row>
    <row r="359" spans="2:70" ht="21" customHeight="1">
      <c r="B359" s="6236"/>
      <c r="C359" s="6358">
        <f t="shared" ref="C359:C371" si="143">C358</f>
        <v>150</v>
      </c>
      <c r="D359" s="6390" t="str" cm="1">
        <f t="array" ref="D359">IF(MOD(ROW()-50,14)=0,INDEX(D358:D371,MOD(ROW()-50,14)+1),E357)</f>
        <v/>
      </c>
      <c r="E359" s="6391" t="str">
        <f t="shared" ref="E359:E371" si="144">IF(D359="","",IF(F359="","",IF(LEN(F359)&gt;=LEN(D359),"",TRIM(MID(D359,LEN(F359)+1,99999)))))</f>
        <v/>
      </c>
      <c r="F359" s="6392" t="str">
        <f t="shared" ref="F359:F371" si="145">IF(D359="","",IF(LEN(D359)&lt;=C359,D359,IFERROR(LEFT(D359,FIND("§",SUBSTITUTE(LEFT(D359,C359+1)," ","§",LEN(LEFT(D359,C359+1))-LEN(SUBSTITUTE(LEFT(D359,C359+1)," ",""))))-1),LEFT(D359,C359))))</f>
        <v/>
      </c>
      <c r="G359" s="6321"/>
      <c r="H359" s="6323">
        <f t="shared" ref="H359:H371" si="146">IF(LEN(TRIM(L359))&gt;0,MAX(H358:H358)+1,"")</f>
        <v>2</v>
      </c>
      <c r="I359" s="6362" t="s">
        <v>14355</v>
      </c>
      <c r="J359" s="6363" t="str">
        <f>TRIM(MID(I362,LEN(K358)+1,99999))</f>
        <v>rechercher la cellule qui coupe le texte Dans la cocotte N°3 en fonte, faites chauffer l’huile d’olive à feu moyen. Ajoutez la viande et faites-la dorer de tous les côtés. Retirez-la de la cocotte et réservez-la.</v>
      </c>
      <c r="K359" s="6364" t="str">
        <f>IF(J359="","",LEFT(J359,IF(LEN(J359)&lt;=I361,LEN(J359),IFERROR(FIND("§",SUBSTITUTE(LEFT(J359,I361+1)," ","§",LEN(LEFT(J359,I361+1))-LEN(SUBSTITUTE(LEFT(J359,I361+1)," ",""))))-1,IFERROR(FIND(" ",J359,I361+1)-1,LEN(J359))))))</f>
        <v>rechercher la cellule qui coupe le texte Dans la</v>
      </c>
      <c r="L359" s="6327" t="str">
        <v>rechercher la cellule qui coupe le texte Dans la</v>
      </c>
      <c r="M359" s="6329" t="str">
        <v>à feu moyen. Ajoutez la viande et faites-la dorer de</v>
      </c>
      <c r="N359" t="s">
        <v>21</v>
      </c>
      <c r="AV359" s="103"/>
      <c r="AW359" s="31"/>
      <c r="AX359" s="32"/>
      <c r="AY359" s="31"/>
      <c r="AZ359" s="33"/>
      <c r="BA359" s="1967"/>
      <c r="BB359" s="1805"/>
      <c r="BC359" s="91"/>
      <c r="BD359" s="1806"/>
      <c r="BE359" s="6401"/>
      <c r="BF359" s="6402"/>
      <c r="BG359" s="1969"/>
      <c r="BH359" s="6403"/>
      <c r="BI359" s="95"/>
      <c r="BJ359" s="1326"/>
      <c r="BK359" s="6404"/>
      <c r="BL359" s="1737"/>
      <c r="BM359" s="2081"/>
      <c r="BN359" s="2238"/>
      <c r="BO359" s="1809"/>
      <c r="BR359" s="3">
        <v>1</v>
      </c>
    </row>
    <row r="360" spans="2:70" ht="21" customHeight="1">
      <c r="B360" s="6236"/>
      <c r="C360" s="6358">
        <f t="shared" si="143"/>
        <v>150</v>
      </c>
      <c r="D360" s="6390" t="str" cm="1">
        <f t="array" ref="D360">IF(MOD(ROW()-50,14)=0,INDEX(D358:D371,MOD(ROW()-50,14)+1),E358)</f>
        <v>d’olive à feu moyen. Ajoutez la viande et faites-la dorer de tous les côtés. Retirez-la de la cocotte et réservez-la.</v>
      </c>
      <c r="E360" s="6391" t="str">
        <f t="shared" si="144"/>
        <v/>
      </c>
      <c r="F360" s="6392" t="str">
        <f t="shared" si="145"/>
        <v>d’olive à feu moyen. Ajoutez la viande et faites-la dorer de tous les côtés. Retirez-la de la cocotte et réservez-la.</v>
      </c>
      <c r="G360" s="6321"/>
      <c r="H360" s="6323">
        <f t="shared" si="146"/>
        <v>3</v>
      </c>
      <c r="I360" s="6365">
        <f>Z72</f>
        <v>5</v>
      </c>
      <c r="J360" s="6363" t="str">
        <f t="shared" ref="J360:J371" si="147">TRIM(MID(J359,LEN(K359)+1,99999))</f>
        <v>cocotte N°3 en fonte, faites chauffer l’huile d’olive à feu moyen. Ajoutez la viande et faites-la dorer de tous les côtés. Retirez-la de la cocotte et réservez-la.</v>
      </c>
      <c r="K360" s="6364" t="str">
        <f>IF(J360="","",LEFT(J360,IF(LEN(J360)&lt;=I361,LEN(J360),IFERROR(FIND("§",SUBSTITUTE(LEFT(J360,I361+1)," ","§",LEN(LEFT(J360,I361+1))-LEN(SUBSTITUTE(LEFT(J360,I361+1)," ",""))))-1,IFERROR(FIND(" ",J360,I361+1)-1,LEN(J360))))))</f>
        <v>cocotte N°3 en fonte, faites chauffer l’huile d’olive</v>
      </c>
      <c r="L360" s="6327" t="str">
        <v>cocotte N°3 en fonte, faites chauffer l’huile d’olive</v>
      </c>
      <c r="M360" s="6329" t="str">
        <v>tous les côtés. Retirez-la de la cocotte et</v>
      </c>
      <c r="N360" t="s">
        <v>21</v>
      </c>
      <c r="AV360" s="103"/>
      <c r="AW360" s="31"/>
      <c r="AX360" s="32"/>
      <c r="AY360" s="31"/>
      <c r="AZ360" s="33"/>
      <c r="BA360" s="1967"/>
      <c r="BB360" s="1805"/>
      <c r="BC360" s="91"/>
      <c r="BD360" s="1806"/>
      <c r="BE360" s="6401"/>
      <c r="BF360" s="6402"/>
      <c r="BG360" s="1969"/>
      <c r="BH360" s="6403"/>
      <c r="BI360" s="95"/>
      <c r="BJ360" s="1326"/>
      <c r="BK360" s="6404"/>
      <c r="BL360" s="1737"/>
      <c r="BM360" s="2081"/>
      <c r="BN360" s="2238"/>
      <c r="BO360" s="1809"/>
      <c r="BR360" s="3">
        <v>1</v>
      </c>
    </row>
    <row r="361" spans="2:70" ht="21" customHeight="1">
      <c r="B361" s="6236"/>
      <c r="C361" s="6358">
        <f t="shared" si="143"/>
        <v>150</v>
      </c>
      <c r="D361" s="6390" t="str" cm="1">
        <f t="array" ref="D361">IF(MOD(ROW()-50,14)=0,INDEX(D358:D371,MOD(ROW()-50,14)+1),E359)</f>
        <v/>
      </c>
      <c r="E361" s="6391" t="str">
        <f t="shared" si="144"/>
        <v/>
      </c>
      <c r="F361" s="6392" t="str">
        <f t="shared" si="145"/>
        <v/>
      </c>
      <c r="G361" s="6321"/>
      <c r="H361" s="6323">
        <f t="shared" si="146"/>
        <v>4</v>
      </c>
      <c r="I361" s="6370">
        <f>IF(OR(J358="",I360="",I360&lt;=0),"",ROUNDUP(LEN(J358)/I360,0))</f>
        <v>53</v>
      </c>
      <c r="J361" s="6363" t="str">
        <f t="shared" si="147"/>
        <v>à feu moyen. Ajoutez la viande et faites-la dorer de tous les côtés. Retirez-la de la cocotte et réservez-la.</v>
      </c>
      <c r="K361" s="6364" t="str">
        <f>IF(J361="","",LEFT(J361,IF(LEN(J361)&lt;=I361,LEN(J361),IFERROR(FIND("§",SUBSTITUTE(LEFT(J361,I361+1)," ","§",LEN(LEFT(J361,I361+1))-LEN(SUBSTITUTE(LEFT(J361,I361+1)," ",""))))-1,IFERROR(FIND(" ",J361,I361+1)-1,LEN(J361))))))</f>
        <v>à feu moyen. Ajoutez la viande et faites-la dorer de</v>
      </c>
      <c r="L361" s="6327" t="str">
        <v>à feu moyen. Ajoutez la viande et faites-la dorer de</v>
      </c>
      <c r="M361" s="6329" t="str">
        <v>réservez-la.</v>
      </c>
      <c r="N361" t="s">
        <v>21</v>
      </c>
      <c r="AV361" s="103"/>
      <c r="AW361" s="31"/>
      <c r="AX361" s="32"/>
      <c r="AY361" s="31"/>
      <c r="AZ361" s="33"/>
      <c r="BA361" s="1967"/>
      <c r="BB361" s="1805"/>
      <c r="BC361" s="91"/>
      <c r="BD361" s="1806"/>
      <c r="BE361" s="6401"/>
      <c r="BF361" s="6402"/>
      <c r="BG361" s="1969"/>
      <c r="BH361" s="6403"/>
      <c r="BI361" s="95"/>
      <c r="BJ361" s="1326"/>
      <c r="BK361" s="6404"/>
      <c r="BL361" s="1737"/>
      <c r="BM361" s="2081"/>
      <c r="BN361" s="2238"/>
      <c r="BO361" s="1809"/>
      <c r="BR361" s="3">
        <v>1</v>
      </c>
    </row>
    <row r="362" spans="2:70" ht="21" customHeight="1">
      <c r="B362" s="6236"/>
      <c r="C362" s="6358">
        <f t="shared" si="143"/>
        <v>150</v>
      </c>
      <c r="D362" s="6390" t="str" cm="1">
        <f t="array" ref="D362">IF(MOD(ROW()-50,14)=0,INDEX(D358:D371,MOD(ROW()-50,14)+1),E360)</f>
        <v/>
      </c>
      <c r="E362" s="6391" t="str">
        <f t="shared" si="144"/>
        <v/>
      </c>
      <c r="F362" s="6392" t="str">
        <f t="shared" si="145"/>
        <v/>
      </c>
      <c r="G362" s="6321"/>
      <c r="H362" s="6323">
        <f t="shared" si="146"/>
        <v>5</v>
      </c>
      <c r="I362" s="6372" t="str">
        <f>I358</f>
        <v>23.TEST LIGNE 19 colonne Q et ligne 20 colonne P. rechercher la cellule qui coupe le texte Dans la cocotte N°3 en fonte, faites chauffer l’huile d’olive à feu moyen. Ajoutez la viande et faites-la dorer de tous les côtés. Retirez-la de la cocotte et réservez-la.</v>
      </c>
      <c r="J362" s="6363" t="str">
        <f t="shared" si="147"/>
        <v>tous les côtés. Retirez-la de la cocotte et réservez-la.</v>
      </c>
      <c r="K362" s="6364" t="str">
        <f>IF(J362="","",LEFT(J362,IF(LEN(J362)&lt;=I361,LEN(J362),IFERROR(FIND("§",SUBSTITUTE(LEFT(J362,I361+1)," ","§",LEN(LEFT(J362,I361+1))-LEN(SUBSTITUTE(LEFT(J362,I361+1)," ",""))))-1,IFERROR(FIND(" ",J362,I361+1)-1,LEN(J362))))))</f>
        <v>tous les côtés. Retirez-la de la cocotte et</v>
      </c>
      <c r="L362" s="6327" t="str">
        <v>tous les côtés. Retirez-la de la cocotte et</v>
      </c>
      <c r="M362" s="6329"/>
      <c r="N362" t="s">
        <v>21</v>
      </c>
      <c r="AV362" s="103"/>
      <c r="AW362" s="31"/>
      <c r="AX362" s="32"/>
      <c r="AY362" s="31"/>
      <c r="AZ362" s="33"/>
      <c r="BA362" s="1967"/>
      <c r="BB362" s="1805"/>
      <c r="BC362" s="91"/>
      <c r="BD362" s="1806"/>
      <c r="BE362" s="6401"/>
      <c r="BF362" s="6402"/>
      <c r="BG362" s="1969"/>
      <c r="BH362" s="6403"/>
      <c r="BI362" s="95"/>
      <c r="BJ362" s="1326"/>
      <c r="BK362" s="6404"/>
      <c r="BL362" s="1737"/>
      <c r="BM362" s="2081"/>
      <c r="BN362" s="2238"/>
      <c r="BO362" s="1809"/>
      <c r="BR362" s="3">
        <v>1</v>
      </c>
    </row>
    <row r="363" spans="2:70" ht="21" customHeight="1">
      <c r="B363" s="6236"/>
      <c r="C363" s="6358">
        <f t="shared" si="143"/>
        <v>150</v>
      </c>
      <c r="D363" s="6390" t="str" cm="1">
        <f t="array" ref="D363">IF(MOD(ROW()-50,14)=0,INDEX(D358:D371,MOD(ROW()-50,14)+1),E361)</f>
        <v/>
      </c>
      <c r="E363" s="6391" t="str">
        <f t="shared" si="144"/>
        <v/>
      </c>
      <c r="F363" s="6392" t="str">
        <f t="shared" si="145"/>
        <v/>
      </c>
      <c r="G363" s="6321"/>
      <c r="H363" s="6323">
        <f t="shared" si="146"/>
        <v>6</v>
      </c>
      <c r="I363" s="6373"/>
      <c r="J363" s="6363" t="str">
        <f t="shared" si="147"/>
        <v>réservez-la.</v>
      </c>
      <c r="K363" s="6364" t="str">
        <f>IF(J363="","",LEFT(J363,IF(LEN(J363)&lt;=I361,LEN(J363),IFERROR(FIND("§",SUBSTITUTE(LEFT(J363,I361+1)," ","§",LEN(LEFT(J363,I361+1))-LEN(SUBSTITUTE(LEFT(J363,I361+1)," ",""))))-1,IFERROR(FIND(" ",J363,I361+1)-1,LEN(J363))))))</f>
        <v>réservez-la.</v>
      </c>
      <c r="L363" s="6327" t="str">
        <v>réservez-la.</v>
      </c>
      <c r="M363" s="6329"/>
      <c r="N363" t="s">
        <v>21</v>
      </c>
      <c r="AV363" s="103"/>
      <c r="AW363" s="31"/>
      <c r="AX363" s="32"/>
      <c r="AY363" s="31"/>
      <c r="AZ363" s="33"/>
      <c r="BA363" s="1967"/>
      <c r="BB363" s="1805"/>
      <c r="BC363" s="91"/>
      <c r="BD363" s="1806"/>
      <c r="BE363" s="6401"/>
      <c r="BF363" s="6402"/>
      <c r="BG363" s="1969"/>
      <c r="BH363" s="6403"/>
      <c r="BI363" s="95"/>
      <c r="BJ363" s="1326"/>
      <c r="BK363" s="6404"/>
      <c r="BL363" s="1737"/>
      <c r="BM363" s="2081"/>
      <c r="BN363" s="2238"/>
      <c r="BO363" s="1809"/>
      <c r="BR363" s="3">
        <v>1</v>
      </c>
    </row>
    <row r="364" spans="2:70" ht="21" customHeight="1">
      <c r="B364" s="6236"/>
      <c r="C364" s="6358">
        <f t="shared" si="143"/>
        <v>150</v>
      </c>
      <c r="D364" s="6390" t="str" cm="1">
        <f t="array" ref="D364">IF(MOD(ROW()-50,14)=0,INDEX(D358:D371,MOD(ROW()-50,14)+1),E362)</f>
        <v/>
      </c>
      <c r="E364" s="6391" t="str">
        <f t="shared" si="144"/>
        <v/>
      </c>
      <c r="F364" s="6392" t="str">
        <f t="shared" si="145"/>
        <v/>
      </c>
      <c r="G364" s="6321"/>
      <c r="H364" s="6323" t="str">
        <f t="shared" si="146"/>
        <v/>
      </c>
      <c r="I364" s="6373"/>
      <c r="J364" s="6363" t="str">
        <f t="shared" si="147"/>
        <v/>
      </c>
      <c r="K364" s="6364" t="str">
        <f>IF(J364="","",LEFT(J364,IF(LEN(J364)&lt;=I361,LEN(J364),IFERROR(FIND("§",SUBSTITUTE(LEFT(J364,I361+1)," ","§",LEN(LEFT(J364,I361+1))-LEN(SUBSTITUTE(LEFT(J364,I361+1)," ",""))))-1,IFERROR(FIND(" ",J364,I361+1)-1,LEN(J364))))))</f>
        <v/>
      </c>
      <c r="L364" s="6327"/>
      <c r="M364" s="6329"/>
      <c r="N364" t="s">
        <v>21</v>
      </c>
      <c r="AV364" s="103"/>
      <c r="AW364" s="31"/>
      <c r="AX364" s="32"/>
      <c r="AY364" s="31"/>
      <c r="AZ364" s="33"/>
      <c r="BA364" s="1967"/>
      <c r="BB364" s="1805"/>
      <c r="BC364" s="91"/>
      <c r="BD364" s="1806"/>
      <c r="BE364" s="6401"/>
      <c r="BF364" s="6402"/>
      <c r="BG364" s="1969"/>
      <c r="BH364" s="6403"/>
      <c r="BI364" s="95"/>
      <c r="BJ364" s="1326"/>
      <c r="BK364" s="6404"/>
      <c r="BL364" s="1737"/>
      <c r="BM364" s="2081"/>
      <c r="BN364" s="2238"/>
      <c r="BO364" s="1809"/>
      <c r="BR364" s="3">
        <v>1</v>
      </c>
    </row>
    <row r="365" spans="2:70" ht="21" customHeight="1">
      <c r="B365" s="6236"/>
      <c r="C365" s="6358">
        <f t="shared" si="143"/>
        <v>150</v>
      </c>
      <c r="D365" s="6390" t="str" cm="1">
        <f t="array" ref="D365">IF(MOD(ROW()-50,14)=0,INDEX(D358:D371,MOD(ROW()-50,14)+1),E363)</f>
        <v/>
      </c>
      <c r="E365" s="6391" t="str">
        <f t="shared" si="144"/>
        <v/>
      </c>
      <c r="F365" s="6392" t="str">
        <f t="shared" si="145"/>
        <v/>
      </c>
      <c r="G365" s="6321"/>
      <c r="H365" s="6323" t="str">
        <f t="shared" si="146"/>
        <v/>
      </c>
      <c r="I365" s="6373"/>
      <c r="J365" s="6363" t="str">
        <f t="shared" si="147"/>
        <v/>
      </c>
      <c r="K365" s="6364" t="str">
        <f>IF(J365="","",LEFT(J365,IF(LEN(J365)&lt;=I361,LEN(J365),IFERROR(FIND("§",SUBSTITUTE(LEFT(J365,I361+1)," ","§",LEN(LEFT(J365,I361+1))-LEN(SUBSTITUTE(LEFT(J365,I361+1)," ",""))))-1,IFERROR(FIND(" ",J365,I361+1)-1,LEN(J365))))))</f>
        <v/>
      </c>
      <c r="L365" s="6327"/>
      <c r="M365" s="6329"/>
      <c r="N365" t="s">
        <v>21</v>
      </c>
      <c r="AV365" s="103"/>
      <c r="AW365" s="31"/>
      <c r="AX365" s="32"/>
      <c r="AY365" s="31"/>
      <c r="AZ365" s="33"/>
      <c r="BA365" s="1967"/>
      <c r="BB365" s="1805"/>
      <c r="BC365" s="91"/>
      <c r="BD365" s="1806"/>
      <c r="BE365" s="6401"/>
      <c r="BF365" s="6402"/>
      <c r="BG365" s="1969"/>
      <c r="BH365" s="6403"/>
      <c r="BI365" s="95"/>
      <c r="BJ365" s="1326"/>
      <c r="BK365" s="6404"/>
      <c r="BL365" s="1737"/>
      <c r="BM365" s="2081"/>
      <c r="BN365" s="2238"/>
      <c r="BO365" s="1809"/>
      <c r="BR365" s="3">
        <v>1</v>
      </c>
    </row>
    <row r="366" spans="2:70" ht="21" customHeight="1">
      <c r="B366" s="6236"/>
      <c r="C366" s="6358">
        <f t="shared" si="143"/>
        <v>150</v>
      </c>
      <c r="D366" s="6390" t="str" cm="1">
        <f t="array" ref="D366">IF(MOD(ROW()-50,14)=0,INDEX(D358:D371,MOD(ROW()-50,14)+1),E364)</f>
        <v/>
      </c>
      <c r="E366" s="6391" t="str">
        <f t="shared" si="144"/>
        <v/>
      </c>
      <c r="F366" s="6392" t="str">
        <f t="shared" si="145"/>
        <v/>
      </c>
      <c r="G366" s="6321"/>
      <c r="H366" s="6323" t="str">
        <f t="shared" si="146"/>
        <v/>
      </c>
      <c r="I366" s="6373"/>
      <c r="J366" s="6363" t="str">
        <f t="shared" si="147"/>
        <v/>
      </c>
      <c r="K366" s="6364" t="str">
        <f>IF(J366="","",LEFT(J366,IF(LEN(J366)&lt;=I361,LEN(J366),IFERROR(FIND("§",SUBSTITUTE(LEFT(J366,I361+1)," ","§",LEN(LEFT(J366,I361+1))-LEN(SUBSTITUTE(LEFT(J366,I361+1)," ",""))))-1,IFERROR(FIND(" ",J366,I361+1)-1,LEN(J366))))))</f>
        <v/>
      </c>
      <c r="L366" s="6327"/>
      <c r="M366" s="6329"/>
      <c r="N366" t="s">
        <v>21</v>
      </c>
      <c r="AV366" s="103"/>
      <c r="AW366" s="31"/>
      <c r="AX366" s="32"/>
      <c r="AY366" s="31"/>
      <c r="AZ366" s="33"/>
      <c r="BA366" s="1967"/>
      <c r="BB366" s="1805"/>
      <c r="BC366" s="91"/>
      <c r="BD366" s="1806"/>
      <c r="BE366" s="6401"/>
      <c r="BF366" s="6402"/>
      <c r="BG366" s="1969"/>
      <c r="BH366" s="6403"/>
      <c r="BI366" s="95"/>
      <c r="BJ366" s="1326"/>
      <c r="BK366" s="6404"/>
      <c r="BL366" s="1737"/>
      <c r="BM366" s="2081"/>
      <c r="BN366" s="2238"/>
      <c r="BO366" s="1809"/>
      <c r="BR366" s="3">
        <v>1</v>
      </c>
    </row>
    <row r="367" spans="2:70" ht="21" customHeight="1">
      <c r="B367" s="6236"/>
      <c r="C367" s="6358">
        <f t="shared" si="143"/>
        <v>150</v>
      </c>
      <c r="D367" s="6390" t="str" cm="1">
        <f t="array" ref="D367">IF(MOD(ROW()-50,14)=0,INDEX(D358:D371,MOD(ROW()-50,14)+1),E365)</f>
        <v/>
      </c>
      <c r="E367" s="6391" t="str">
        <f t="shared" si="144"/>
        <v/>
      </c>
      <c r="F367" s="6392" t="str">
        <f t="shared" si="145"/>
        <v/>
      </c>
      <c r="G367" s="6321"/>
      <c r="H367" s="6323" t="str">
        <f t="shared" si="146"/>
        <v/>
      </c>
      <c r="I367" s="6373"/>
      <c r="J367" s="6363" t="str">
        <f t="shared" si="147"/>
        <v/>
      </c>
      <c r="K367" s="6364" t="str">
        <f>IF(J367="","",LEFT(J367,IF(LEN(J367)&lt;=I361,LEN(J367),IFERROR(FIND("§",SUBSTITUTE(LEFT(J367,I361+1)," ","§",LEN(LEFT(J367,I361+1))-LEN(SUBSTITUTE(LEFT(J367,I361+1)," ",""))))-1,IFERROR(FIND(" ",J367,I361+1)-1,LEN(J367))))))</f>
        <v/>
      </c>
      <c r="L367" s="6327"/>
      <c r="M367" s="6329"/>
      <c r="N367" t="s">
        <v>21</v>
      </c>
      <c r="AV367" s="103"/>
      <c r="AW367" s="31"/>
      <c r="AX367" s="32"/>
      <c r="AY367" s="31"/>
      <c r="AZ367" s="33"/>
      <c r="BA367" s="1967"/>
      <c r="BB367" s="1805"/>
      <c r="BC367" s="91"/>
      <c r="BD367" s="1806"/>
      <c r="BE367" s="6401"/>
      <c r="BF367" s="6402"/>
      <c r="BG367" s="1969"/>
      <c r="BH367" s="6403"/>
      <c r="BI367" s="95"/>
      <c r="BJ367" s="1326"/>
      <c r="BK367" s="6404"/>
      <c r="BL367" s="1737"/>
      <c r="BM367" s="2081"/>
      <c r="BN367" s="2238"/>
      <c r="BO367" s="1809"/>
      <c r="BR367" s="3">
        <v>1</v>
      </c>
    </row>
    <row r="368" spans="2:70" ht="21" customHeight="1">
      <c r="B368" s="6236"/>
      <c r="C368" s="6358">
        <f t="shared" si="143"/>
        <v>150</v>
      </c>
      <c r="D368" s="6390" t="str" cm="1">
        <f t="array" ref="D368">IF(MOD(ROW()-50,14)=0,INDEX(D358:D371,MOD(ROW()-50,14)+1),E366)</f>
        <v/>
      </c>
      <c r="E368" s="6391" t="str">
        <f t="shared" si="144"/>
        <v/>
      </c>
      <c r="F368" s="6392" t="str">
        <f t="shared" si="145"/>
        <v/>
      </c>
      <c r="G368" s="6321"/>
      <c r="H368" s="6323" t="str">
        <f t="shared" si="146"/>
        <v/>
      </c>
      <c r="I368" s="6373"/>
      <c r="J368" s="6363" t="str">
        <f t="shared" si="147"/>
        <v/>
      </c>
      <c r="K368" s="6364" t="str">
        <f>IF(J368="","",LEFT(J368,IF(LEN(J368)&lt;=I361,LEN(J368),IFERROR(FIND("§",SUBSTITUTE(LEFT(J368,I361+1)," ","§",LEN(LEFT(J368,I361+1))-LEN(SUBSTITUTE(LEFT(J368,I361+1)," ",""))))-1,IFERROR(FIND(" ",J368,I361+1)-1,LEN(J368))))))</f>
        <v/>
      </c>
      <c r="L368" s="6327"/>
      <c r="M368" s="6329"/>
      <c r="N368" t="s">
        <v>21</v>
      </c>
      <c r="AV368" s="103"/>
      <c r="AW368" s="31"/>
      <c r="AX368" s="32"/>
      <c r="AY368" s="31"/>
      <c r="AZ368" s="33"/>
      <c r="BA368" s="1967"/>
      <c r="BB368" s="1805"/>
      <c r="BC368" s="91"/>
      <c r="BD368" s="1806"/>
      <c r="BE368" s="6401"/>
      <c r="BF368" s="6402"/>
      <c r="BG368" s="1969"/>
      <c r="BH368" s="6403"/>
      <c r="BI368" s="95"/>
      <c r="BJ368" s="1326"/>
      <c r="BK368" s="6404"/>
      <c r="BL368" s="1737"/>
      <c r="BM368" s="2081"/>
      <c r="BN368" s="2238"/>
      <c r="BO368" s="1809"/>
      <c r="BR368" s="3">
        <v>1</v>
      </c>
    </row>
    <row r="369" spans="2:70" ht="21" customHeight="1">
      <c r="B369" s="6236"/>
      <c r="C369" s="6358">
        <f t="shared" si="143"/>
        <v>150</v>
      </c>
      <c r="D369" s="6390" t="str" cm="1">
        <f t="array" ref="D369">IF(MOD(ROW()-50,14)=0,INDEX(D358:D371,MOD(ROW()-50,14)+1),E367)</f>
        <v/>
      </c>
      <c r="E369" s="6391" t="str">
        <f t="shared" si="144"/>
        <v/>
      </c>
      <c r="F369" s="6392" t="str">
        <f t="shared" si="145"/>
        <v/>
      </c>
      <c r="G369" s="6321"/>
      <c r="H369" s="6323" t="str">
        <f t="shared" si="146"/>
        <v/>
      </c>
      <c r="I369" s="6373"/>
      <c r="J369" s="6363" t="str">
        <f t="shared" si="147"/>
        <v/>
      </c>
      <c r="K369" s="6364" t="str">
        <f>IF(J369="","",LEFT(J369,IF(LEN(J369)&lt;=I361,LEN(J369),IFERROR(FIND("§",SUBSTITUTE(LEFT(J369,I361+1)," ","§",LEN(LEFT(J369,I361+1))-LEN(SUBSTITUTE(LEFT(J369,I361+1)," ",""))))-1,IFERROR(FIND(" ",J369,I361+1)-1,LEN(J369))))))</f>
        <v/>
      </c>
      <c r="L369" s="6327"/>
      <c r="M369" s="6329"/>
      <c r="N369" t="s">
        <v>21</v>
      </c>
      <c r="AV369" s="103"/>
      <c r="AW369" s="31"/>
      <c r="AX369" s="32"/>
      <c r="AY369" s="31"/>
      <c r="AZ369" s="33"/>
      <c r="BA369" s="1967"/>
      <c r="BB369" s="1805"/>
      <c r="BC369" s="91"/>
      <c r="BD369" s="1806"/>
      <c r="BE369" s="6401"/>
      <c r="BF369" s="6402"/>
      <c r="BG369" s="1969"/>
      <c r="BH369" s="6403"/>
      <c r="BI369" s="95"/>
      <c r="BJ369" s="1326"/>
      <c r="BK369" s="6404"/>
      <c r="BL369" s="1737"/>
      <c r="BM369" s="2081"/>
      <c r="BN369" s="2238"/>
      <c r="BO369" s="1809"/>
      <c r="BR369" s="3">
        <v>1</v>
      </c>
    </row>
    <row r="370" spans="2:70" ht="21" customHeight="1">
      <c r="B370" s="6236"/>
      <c r="C370" s="6358">
        <f t="shared" si="143"/>
        <v>150</v>
      </c>
      <c r="D370" s="6390" t="str" cm="1">
        <f t="array" ref="D370">IF(MOD(ROW()-50,14)=0,INDEX(D358:D371,MOD(ROW()-50,14)+1),E368)</f>
        <v/>
      </c>
      <c r="E370" s="6391" t="str">
        <f t="shared" si="144"/>
        <v/>
      </c>
      <c r="F370" s="6392" t="str">
        <f t="shared" si="145"/>
        <v/>
      </c>
      <c r="G370" s="6321"/>
      <c r="H370" s="6323" t="str">
        <f t="shared" si="146"/>
        <v/>
      </c>
      <c r="I370" s="6373"/>
      <c r="J370" s="6363" t="str">
        <f t="shared" si="147"/>
        <v/>
      </c>
      <c r="K370" s="6364" t="str">
        <f>IF(J370="","",LEFT(J370,IF(LEN(J370)&lt;=I361,LEN(J370),IFERROR(FIND("§",SUBSTITUTE(LEFT(J370,I361+1)," ","§",LEN(LEFT(J370,I361+1))-LEN(SUBSTITUTE(LEFT(J370,I361+1)," ",""))))-1,IFERROR(FIND(" ",J370,I361+1)-1,LEN(J370))))))</f>
        <v/>
      </c>
      <c r="L370" s="6364"/>
      <c r="M370" s="6329"/>
      <c r="N370" t="s">
        <v>21</v>
      </c>
      <c r="AV370" s="103"/>
      <c r="AW370" s="31"/>
      <c r="AX370" s="32"/>
      <c r="AY370" s="31"/>
      <c r="AZ370" s="33"/>
      <c r="BA370" s="1967"/>
      <c r="BB370" s="1805"/>
      <c r="BC370" s="91"/>
      <c r="BD370" s="1806"/>
      <c r="BE370" s="6401"/>
      <c r="BF370" s="6402"/>
      <c r="BG370" s="1969"/>
      <c r="BH370" s="6403"/>
      <c r="BI370" s="95"/>
      <c r="BJ370" s="1326"/>
      <c r="BK370" s="6404"/>
      <c r="BL370" s="1737"/>
      <c r="BM370" s="2081"/>
      <c r="BN370" s="2238"/>
      <c r="BO370" s="1809"/>
      <c r="BR370" s="3">
        <v>1</v>
      </c>
    </row>
    <row r="371" spans="2:70" ht="21" customHeight="1">
      <c r="B371" s="6236"/>
      <c r="C371" s="6376">
        <f t="shared" si="143"/>
        <v>150</v>
      </c>
      <c r="D371" s="6406" t="str" cm="1">
        <f t="array" ref="D371">IF(MOD(ROW()-50,14)=0,INDEX(D358:D371,MOD(ROW()-50,14)+1),E369)</f>
        <v/>
      </c>
      <c r="E371" s="6407" t="str">
        <f t="shared" si="144"/>
        <v/>
      </c>
      <c r="F371" s="6408" t="str">
        <f t="shared" si="145"/>
        <v/>
      </c>
      <c r="G371" s="6322"/>
      <c r="H371" s="6323" t="str">
        <f t="shared" si="146"/>
        <v/>
      </c>
      <c r="I371" s="6379"/>
      <c r="J371" s="6380" t="str">
        <f t="shared" si="147"/>
        <v/>
      </c>
      <c r="K371" s="6381" t="str">
        <f>IF(J371="","",LEFT(J371,IF(LEN(J371)&lt;=I361,LEN(J371),IFERROR(FIND("§",SUBSTITUTE(LEFT(J371,I361+1)," ","§",LEN(LEFT(J371,I361+1))-LEN(SUBSTITUTE(LEFT(J371,I361+1)," ",""))))-1,IFERROR(FIND(" ",J371,I361+1)-1,LEN(J371))))))</f>
        <v/>
      </c>
      <c r="L371" s="6382"/>
      <c r="M371" s="6330"/>
      <c r="N371" t="s">
        <v>21</v>
      </c>
      <c r="AV371" s="103"/>
      <c r="AW371" s="31"/>
      <c r="AX371" s="32"/>
      <c r="AY371" s="31"/>
      <c r="AZ371" s="33"/>
      <c r="BA371" s="1967"/>
      <c r="BB371" s="1805"/>
      <c r="BC371" s="91"/>
      <c r="BD371" s="1806"/>
      <c r="BE371" s="6401"/>
      <c r="BF371" s="6402"/>
      <c r="BG371" s="1969"/>
      <c r="BH371" s="6403"/>
      <c r="BI371" s="95"/>
      <c r="BJ371" s="1326"/>
      <c r="BK371" s="6404"/>
      <c r="BL371" s="1737"/>
      <c r="BM371" s="2081"/>
      <c r="BN371" s="2238"/>
      <c r="BO371" s="1809"/>
      <c r="BR371" s="3">
        <v>1</v>
      </c>
    </row>
    <row r="372" spans="2:70" ht="21" customHeight="1">
      <c r="B372" s="6236"/>
      <c r="C372" s="6313">
        <f>AD73</f>
        <v>150</v>
      </c>
      <c r="D372" s="6314" t="str">
        <f>IF(UPPER(TRIM(X45))="X",U73,O73)</f>
        <v>24.TEST LIGNE 19 colonne Q et ligne 20 colonne P. rechercher la cellule qui coupe le texte Dans la cocotte N°3 en fonte, faites chauffer l’huile d’olive à feu moyen. Ajoutez la viande et faites-la dorer de tous les côtés. Retirez-la de la cocotte et réservez-la.</v>
      </c>
      <c r="E372" s="6315" t="str">
        <f>IF(D372="","",IF(F372="","",IF(LEN(F372)&gt;=LEN(D372),"",TRIM(MID(D372,LEN(F372)+1,99999)))))</f>
        <v>d’olive à feu moyen. Ajoutez la viande et faites-la dorer de tous les côtés. Retirez-la de la cocotte et réservez-la.</v>
      </c>
      <c r="F372" s="6316" t="str">
        <f>IF(D372="","",IF(LEN(D372)&lt;=C372,D372,IFERROR(LEFT(D372,FIND("§",SUBSTITUTE(LEFT(D372,C372+1)," ","§",LEN(LEFT(D372,C372+1))-LEN(SUBSTITUTE(LEFT(D372,C372+1)," ",""))))-1),LEFT(D372,C372))))</f>
        <v>24.TEST LIGNE 19 colonne Q et ligne 20 colonne P. rechercher la cellule qui coupe le texte Dans la cocotte N°3 en fonte, faites chauffer l’huile</v>
      </c>
      <c r="G372" s="6317"/>
      <c r="H372" s="6385">
        <f>IF(LEN(TRIM(L372))&gt;0,MAX(H371:H371)+1,"")</f>
        <v>1</v>
      </c>
      <c r="I372" s="6324" t="str">
        <f>D372</f>
        <v>24.TEST LIGNE 19 colonne Q et ligne 20 colonne P. rechercher la cellule qui coupe le texte Dans la cocotte N°3 en fonte, faites chauffer l’huile d’olive à feu moyen. Ajoutez la viande et faites-la dorer de tous les côtés. Retirez-la de la cocotte et réservez-la.</v>
      </c>
      <c r="J372" s="6386" t="str">
        <f>IF(I372=0,"",I372)</f>
        <v>24.TEST LIGNE 19 colonne Q et ligne 20 colonne P. rechercher la cellule qui coupe le texte Dans la cocotte N°3 en fonte, faites chauffer l’huile d’olive à feu moyen. Ajoutez la viande et faites-la dorer de tous les côtés. Retirez-la de la cocotte et réservez-la.</v>
      </c>
      <c r="K372" s="6387" t="str">
        <f>IF(I372="","",LEFT(I372,IF(LEN(I372)&lt;=I375,LEN(I372),IFERROR(FIND("§",SUBSTITUTE(LEFT(I372,I375+1)," ","§",LEN(LEFT(I372,I375+1))-LEN(SUBSTITUTE(LEFT(I372,I375+1)," ",""))))-1,IFERROR(FIND(" ",I372,I375+1)-1,LEN(I372))))))</f>
        <v>24.TEST LIGNE 19 colonne Q et ligne 20 colonne P.</v>
      </c>
      <c r="L372" s="6388" t="str" cm="1">
        <f t="array" ref="L372:L377">_xlfn._xlws.FILTER(TRIM(SUBSTITUTE(SUBSTITUTE(SUBSTITUTE(SUBSTITUTE(SUBSTITUTE(CLEAN(K372:K385),CHAR(160)," "),_xlfn.UNICHAR(8239)," "),CHAR(9)," "),CHAR(10)," "),CHAR(13)," ")),TRIM(SUBSTITUTE(SUBSTITUTE(SUBSTITUTE(SUBSTITUTE(SUBSTITUTE(CLEAN(K372:K385),CHAR(160)," "),_xlfn.UNICHAR(8239)," "),CHAR(9)," "),CHAR(10)," "),CHAR(13)," "))&lt;&gt;"")</f>
        <v>24.TEST LIGNE 19 colonne Q et ligne 20 colonne P.</v>
      </c>
      <c r="M372" s="6331"/>
      <c r="N372" t="s">
        <v>21</v>
      </c>
      <c r="AV372" s="103"/>
      <c r="AW372" s="31"/>
      <c r="AX372" s="32"/>
      <c r="AY372" s="31"/>
      <c r="AZ372" s="33"/>
      <c r="BA372" s="1967"/>
      <c r="BB372" s="1805"/>
      <c r="BC372" s="91"/>
      <c r="BD372" s="1806"/>
      <c r="BE372" s="6401"/>
      <c r="BF372" s="6402"/>
      <c r="BG372" s="1969"/>
      <c r="BH372" s="6403"/>
      <c r="BI372" s="95"/>
      <c r="BJ372" s="1326"/>
      <c r="BK372" s="6404"/>
      <c r="BL372" s="1737"/>
      <c r="BM372" s="2081"/>
      <c r="BN372" s="2238"/>
      <c r="BO372" s="1809"/>
      <c r="BR372" s="3">
        <v>1</v>
      </c>
    </row>
    <row r="373" spans="2:70" ht="21" customHeight="1">
      <c r="B373" s="6236"/>
      <c r="C373" s="6358">
        <f t="shared" ref="C373:C385" si="148">C372</f>
        <v>150</v>
      </c>
      <c r="D373" s="6359" t="str" cm="1">
        <f t="array" ref="D373">IF(MOD(ROW()-50,14)=0,INDEX(D372:D385,MOD(ROW()-50,14)+1),E371)</f>
        <v/>
      </c>
      <c r="E373" s="6360" t="str">
        <f t="shared" ref="E373:E385" si="149">IF(D373="","",IF(F373="","",IF(LEN(F373)&gt;=LEN(D373),"",TRIM(MID(D373,LEN(F373)+1,99999)))))</f>
        <v/>
      </c>
      <c r="F373" s="6361" t="str">
        <f t="shared" ref="F373:F385" si="150">IF(D373="","",IF(LEN(D373)&lt;=C373,D373,IFERROR(LEFT(D373,FIND("§",SUBSTITUTE(LEFT(D373,C373+1)," ","§",LEN(LEFT(D373,C373+1))-LEN(SUBSTITUTE(LEFT(D373,C373+1)," ",""))))-1),LEFT(D373,C373))))</f>
        <v/>
      </c>
      <c r="G373" s="6318"/>
      <c r="H373" s="6393">
        <f t="shared" ref="H373:H385" si="151">IF(LEN(TRIM(L373))&gt;0,MAX(H372:H372)+1,"")</f>
        <v>2</v>
      </c>
      <c r="I373" s="6394" t="s">
        <v>14355</v>
      </c>
      <c r="J373" s="6395" t="str">
        <f>TRIM(MID(I376,LEN(K372)+1,99999))</f>
        <v>rechercher la cellule qui coupe le texte Dans la cocotte N°3 en fonte, faites chauffer l’huile d’olive à feu moyen. Ajoutez la viande et faites-la dorer de tous les côtés. Retirez-la de la cocotte et réservez-la.</v>
      </c>
      <c r="K373" s="6396" t="str">
        <f>IF(J373="","",LEFT(J373,IF(LEN(J373)&lt;=I375,LEN(J373),IFERROR(FIND("§",SUBSTITUTE(LEFT(J373,I375+1)," ","§",LEN(LEFT(J373,I375+1))-LEN(SUBSTITUTE(LEFT(J373,I375+1)," ",""))))-1,IFERROR(FIND(" ",J373,I375+1)-1,LEN(J373))))))</f>
        <v>rechercher la cellule qui coupe le texte Dans la</v>
      </c>
      <c r="L373" s="6388" t="str">
        <v>rechercher la cellule qui coupe le texte Dans la</v>
      </c>
      <c r="M373" s="6332"/>
      <c r="N373" t="s">
        <v>21</v>
      </c>
      <c r="AV373" s="103"/>
      <c r="AW373" s="31"/>
      <c r="AX373" s="32"/>
      <c r="AY373" s="31"/>
      <c r="AZ373" s="33"/>
      <c r="BA373" s="1967"/>
      <c r="BB373" s="1805"/>
      <c r="BC373" s="91"/>
      <c r="BD373" s="1806"/>
      <c r="BE373" s="6401"/>
      <c r="BF373" s="6402"/>
      <c r="BG373" s="1969"/>
      <c r="BH373" s="6403"/>
      <c r="BI373" s="95"/>
      <c r="BJ373" s="1326"/>
      <c r="BK373" s="6404"/>
      <c r="BL373" s="1737"/>
      <c r="BM373" s="2081"/>
      <c r="BN373" s="2238"/>
      <c r="BO373" s="1809"/>
      <c r="BR373" s="3">
        <v>1</v>
      </c>
    </row>
    <row r="374" spans="2:70" ht="21" customHeight="1">
      <c r="B374" s="6236"/>
      <c r="C374" s="6358">
        <f t="shared" si="148"/>
        <v>150</v>
      </c>
      <c r="D374" s="6359" t="str" cm="1">
        <f t="array" ref="D374">IF(MOD(ROW()-50,14)=0,INDEX(D372:D385,MOD(ROW()-50,14)+1),E372)</f>
        <v>d’olive à feu moyen. Ajoutez la viande et faites-la dorer de tous les côtés. Retirez-la de la cocotte et réservez-la.</v>
      </c>
      <c r="E374" s="6360" t="str">
        <f t="shared" si="149"/>
        <v/>
      </c>
      <c r="F374" s="6361" t="str">
        <f t="shared" si="150"/>
        <v>d’olive à feu moyen. Ajoutez la viande et faites-la dorer de tous les côtés. Retirez-la de la cocotte et réservez-la.</v>
      </c>
      <c r="G374" s="6318"/>
      <c r="H374" s="6393">
        <f t="shared" si="151"/>
        <v>3</v>
      </c>
      <c r="I374" s="6365">
        <f>Z73</f>
        <v>5</v>
      </c>
      <c r="J374" s="6395" t="str">
        <f t="shared" ref="J374:J385" si="152">TRIM(MID(J373,LEN(K373)+1,99999))</f>
        <v>cocotte N°3 en fonte, faites chauffer l’huile d’olive à feu moyen. Ajoutez la viande et faites-la dorer de tous les côtés. Retirez-la de la cocotte et réservez-la.</v>
      </c>
      <c r="K374" s="6396" t="str">
        <f>IF(J374="","",LEFT(J374,IF(LEN(J374)&lt;=I375,LEN(J374),IFERROR(FIND("§",SUBSTITUTE(LEFT(J374,I375+1)," ","§",LEN(LEFT(J374,I375+1))-LEN(SUBSTITUTE(LEFT(J374,I375+1)," ",""))))-1,IFERROR(FIND(" ",J374,I375+1)-1,LEN(J374))))))</f>
        <v>cocotte N°3 en fonte, faites chauffer l’huile d’olive</v>
      </c>
      <c r="L374" s="6388" t="str">
        <v>cocotte N°3 en fonte, faites chauffer l’huile d’olive</v>
      </c>
      <c r="M374" s="6332"/>
      <c r="N374" t="s">
        <v>21</v>
      </c>
      <c r="AV374" s="103"/>
      <c r="AW374" s="31"/>
      <c r="AX374" s="32"/>
      <c r="AY374" s="31"/>
      <c r="AZ374" s="33"/>
      <c r="BA374" s="1967"/>
      <c r="BB374" s="1805"/>
      <c r="BC374" s="91"/>
      <c r="BD374" s="1806"/>
      <c r="BE374" s="6401"/>
      <c r="BF374" s="6402"/>
      <c r="BG374" s="1969"/>
      <c r="BH374" s="6403"/>
      <c r="BI374" s="95"/>
      <c r="BJ374" s="1326"/>
      <c r="BK374" s="6404"/>
      <c r="BL374" s="1737"/>
      <c r="BM374" s="2081"/>
      <c r="BN374" s="2238"/>
      <c r="BO374" s="1809"/>
      <c r="BR374" s="3">
        <v>1</v>
      </c>
    </row>
    <row r="375" spans="2:70" ht="21" customHeight="1">
      <c r="B375" s="6236"/>
      <c r="C375" s="6358">
        <f t="shared" si="148"/>
        <v>150</v>
      </c>
      <c r="D375" s="6359" t="str" cm="1">
        <f t="array" ref="D375">IF(MOD(ROW()-50,14)=0,INDEX(D372:D385,MOD(ROW()-50,14)+1),E373)</f>
        <v/>
      </c>
      <c r="E375" s="6360" t="str">
        <f t="shared" si="149"/>
        <v/>
      </c>
      <c r="F375" s="6361" t="str">
        <f t="shared" si="150"/>
        <v/>
      </c>
      <c r="G375" s="6318"/>
      <c r="H375" s="6393">
        <f t="shared" si="151"/>
        <v>4</v>
      </c>
      <c r="I375" s="6398">
        <f>IF(OR(J372="",I374="",I374&lt;=0),"",ROUNDUP(LEN(J372)/I374,0))</f>
        <v>53</v>
      </c>
      <c r="J375" s="6395" t="str">
        <f t="shared" si="152"/>
        <v>à feu moyen. Ajoutez la viande et faites-la dorer de tous les côtés. Retirez-la de la cocotte et réservez-la.</v>
      </c>
      <c r="K375" s="6396" t="str">
        <f>IF(J375="","",LEFT(J375,IF(LEN(J375)&lt;=I375,LEN(J375),IFERROR(FIND("§",SUBSTITUTE(LEFT(J375,I375+1)," ","§",LEN(LEFT(J375,I375+1))-LEN(SUBSTITUTE(LEFT(J375,I375+1)," ",""))))-1,IFERROR(FIND(" ",J375,I375+1)-1,LEN(J375))))))</f>
        <v>à feu moyen. Ajoutez la viande et faites-la dorer de</v>
      </c>
      <c r="L375" s="6388" t="str">
        <v>à feu moyen. Ajoutez la viande et faites-la dorer de</v>
      </c>
      <c r="M375" s="6332"/>
      <c r="N375" t="s">
        <v>21</v>
      </c>
      <c r="AV375" s="103"/>
      <c r="AW375" s="31"/>
      <c r="AX375" s="32"/>
      <c r="AY375" s="31"/>
      <c r="AZ375" s="33"/>
      <c r="BA375" s="1967"/>
      <c r="BB375" s="1805"/>
      <c r="BC375" s="91"/>
      <c r="BD375" s="1806"/>
      <c r="BE375" s="6401"/>
      <c r="BF375" s="6402"/>
      <c r="BG375" s="1969"/>
      <c r="BH375" s="6403"/>
      <c r="BI375" s="95"/>
      <c r="BJ375" s="1326"/>
      <c r="BK375" s="6404"/>
      <c r="BL375" s="1737"/>
      <c r="BM375" s="2081"/>
      <c r="BN375" s="2238"/>
      <c r="BO375" s="1809"/>
      <c r="BR375" s="3">
        <v>1</v>
      </c>
    </row>
    <row r="376" spans="2:70" ht="21" customHeight="1">
      <c r="B376" s="6236"/>
      <c r="C376" s="6358">
        <f t="shared" si="148"/>
        <v>150</v>
      </c>
      <c r="D376" s="6359" t="str" cm="1">
        <f t="array" ref="D376">IF(MOD(ROW()-50,14)=0,INDEX(D372:D385,MOD(ROW()-50,14)+1),E374)</f>
        <v/>
      </c>
      <c r="E376" s="6360" t="str">
        <f t="shared" si="149"/>
        <v/>
      </c>
      <c r="F376" s="6361" t="str">
        <f t="shared" si="150"/>
        <v/>
      </c>
      <c r="G376" s="6318"/>
      <c r="H376" s="6393">
        <f t="shared" si="151"/>
        <v>5</v>
      </c>
      <c r="I376" s="6400" t="str">
        <f>I372</f>
        <v>24.TEST LIGNE 19 colonne Q et ligne 20 colonne P. rechercher la cellule qui coupe le texte Dans la cocotte N°3 en fonte, faites chauffer l’huile d’olive à feu moyen. Ajoutez la viande et faites-la dorer de tous les côtés. Retirez-la de la cocotte et réservez-la.</v>
      </c>
      <c r="J376" s="6395" t="str">
        <f t="shared" si="152"/>
        <v>tous les côtés. Retirez-la de la cocotte et réservez-la.</v>
      </c>
      <c r="K376" s="6396" t="str">
        <f>IF(J376="","",LEFT(J376,IF(LEN(J376)&lt;=I375,LEN(J376),IFERROR(FIND("§",SUBSTITUTE(LEFT(J376,I375+1)," ","§",LEN(LEFT(J376,I375+1))-LEN(SUBSTITUTE(LEFT(J376,I375+1)," ",""))))-1,IFERROR(FIND(" ",J376,I375+1)-1,LEN(J376))))))</f>
        <v>tous les côtés. Retirez-la de la cocotte et</v>
      </c>
      <c r="L376" s="6388" t="str">
        <v>tous les côtés. Retirez-la de la cocotte et</v>
      </c>
      <c r="M376" s="6332"/>
      <c r="N376" t="s">
        <v>21</v>
      </c>
      <c r="AV376" s="103"/>
      <c r="AW376" s="31"/>
      <c r="AX376" s="32"/>
      <c r="AY376" s="31"/>
      <c r="AZ376" s="33"/>
      <c r="BA376" s="1967"/>
      <c r="BB376" s="1805"/>
      <c r="BC376" s="91"/>
      <c r="BD376" s="1806"/>
      <c r="BE376" s="6401"/>
      <c r="BF376" s="6402"/>
      <c r="BG376" s="1969"/>
      <c r="BH376" s="6403"/>
      <c r="BI376" s="95"/>
      <c r="BJ376" s="1326"/>
      <c r="BK376" s="6404"/>
      <c r="BL376" s="1737"/>
      <c r="BM376" s="2081"/>
      <c r="BN376" s="2238"/>
      <c r="BO376" s="1809"/>
      <c r="BR376" s="3">
        <v>1</v>
      </c>
    </row>
    <row r="377" spans="2:70" ht="21" customHeight="1">
      <c r="B377" s="6236"/>
      <c r="C377" s="6358">
        <f t="shared" si="148"/>
        <v>150</v>
      </c>
      <c r="D377" s="6359" t="str" cm="1">
        <f t="array" ref="D377">IF(MOD(ROW()-50,14)=0,INDEX(D372:D385,MOD(ROW()-50,14)+1),E375)</f>
        <v/>
      </c>
      <c r="E377" s="6360" t="str">
        <f t="shared" si="149"/>
        <v/>
      </c>
      <c r="F377" s="6361" t="str">
        <f t="shared" si="150"/>
        <v/>
      </c>
      <c r="G377" s="6318"/>
      <c r="H377" s="6393">
        <f t="shared" si="151"/>
        <v>6</v>
      </c>
      <c r="I377" s="6405"/>
      <c r="J377" s="6395" t="str">
        <f t="shared" si="152"/>
        <v>réservez-la.</v>
      </c>
      <c r="K377" s="6396" t="str">
        <f>IF(J377="","",LEFT(J377,IF(LEN(J377)&lt;=I375,LEN(J377),IFERROR(FIND("§",SUBSTITUTE(LEFT(J377,I375+1)," ","§",LEN(LEFT(J377,I375+1))-LEN(SUBSTITUTE(LEFT(J377,I375+1)," ",""))))-1,IFERROR(FIND(" ",J377,I375+1)-1,LEN(J377))))))</f>
        <v>réservez-la.</v>
      </c>
      <c r="L377" s="6388" t="str">
        <v>réservez-la.</v>
      </c>
      <c r="M377" s="6332"/>
      <c r="N377" t="s">
        <v>21</v>
      </c>
      <c r="AV377" s="103"/>
      <c r="AW377" s="31"/>
      <c r="AX377" s="32"/>
      <c r="AY377" s="31"/>
      <c r="AZ377" s="33"/>
      <c r="BA377" s="1967"/>
      <c r="BB377" s="1805"/>
      <c r="BC377" s="91"/>
      <c r="BD377" s="1806"/>
      <c r="BE377" s="6401"/>
      <c r="BF377" s="6402"/>
      <c r="BG377" s="1969"/>
      <c r="BH377" s="6403"/>
      <c r="BI377" s="95"/>
      <c r="BJ377" s="1326"/>
      <c r="BK377" s="6404"/>
      <c r="BL377" s="1737"/>
      <c r="BM377" s="2081"/>
      <c r="BN377" s="2238"/>
      <c r="BO377" s="1809"/>
      <c r="BR377" s="3">
        <v>1</v>
      </c>
    </row>
    <row r="378" spans="2:70" ht="21" customHeight="1">
      <c r="B378" s="6236"/>
      <c r="C378" s="6358">
        <f t="shared" si="148"/>
        <v>150</v>
      </c>
      <c r="D378" s="6359" t="str" cm="1">
        <f t="array" ref="D378">IF(MOD(ROW()-50,14)=0,INDEX(D372:D385,MOD(ROW()-50,14)+1),E376)</f>
        <v/>
      </c>
      <c r="E378" s="6360" t="str">
        <f t="shared" si="149"/>
        <v/>
      </c>
      <c r="F378" s="6361" t="str">
        <f t="shared" si="150"/>
        <v/>
      </c>
      <c r="G378" s="6318"/>
      <c r="H378" s="6393" t="str">
        <f t="shared" si="151"/>
        <v/>
      </c>
      <c r="I378" s="6405"/>
      <c r="J378" s="6395" t="str">
        <f t="shared" si="152"/>
        <v/>
      </c>
      <c r="K378" s="6396" t="str">
        <f>IF(J378="","",LEFT(J378,IF(LEN(J378)&lt;=I375,LEN(J378),IFERROR(FIND("§",SUBSTITUTE(LEFT(J378,I375+1)," ","§",LEN(LEFT(J378,I375+1))-LEN(SUBSTITUTE(LEFT(J378,I375+1)," ",""))))-1,IFERROR(FIND(" ",J378,I375+1)-1,LEN(J378))))))</f>
        <v/>
      </c>
      <c r="L378" s="6388"/>
      <c r="M378" s="6332"/>
      <c r="N378" t="s">
        <v>21</v>
      </c>
      <c r="AV378" s="103"/>
      <c r="AW378" s="31"/>
      <c r="AX378" s="32"/>
      <c r="AY378" s="31"/>
      <c r="AZ378" s="33"/>
      <c r="BA378" s="1967"/>
      <c r="BB378" s="1805"/>
      <c r="BC378" s="91"/>
      <c r="BD378" s="1806"/>
      <c r="BE378" s="6401"/>
      <c r="BF378" s="6402"/>
      <c r="BG378" s="1969"/>
      <c r="BH378" s="6403"/>
      <c r="BI378" s="95"/>
      <c r="BJ378" s="1326"/>
      <c r="BK378" s="6404"/>
      <c r="BL378" s="1737"/>
      <c r="BM378" s="2081"/>
      <c r="BN378" s="2238"/>
      <c r="BO378" s="1809"/>
      <c r="BR378" s="3">
        <v>1</v>
      </c>
    </row>
    <row r="379" spans="2:70" ht="21" customHeight="1">
      <c r="B379" s="6236"/>
      <c r="C379" s="6358">
        <f t="shared" si="148"/>
        <v>150</v>
      </c>
      <c r="D379" s="6359" t="str" cm="1">
        <f t="array" ref="D379">IF(MOD(ROW()-50,14)=0,INDEX(D372:D385,MOD(ROW()-50,14)+1),E377)</f>
        <v/>
      </c>
      <c r="E379" s="6360" t="str">
        <f t="shared" si="149"/>
        <v/>
      </c>
      <c r="F379" s="6361" t="str">
        <f t="shared" si="150"/>
        <v/>
      </c>
      <c r="G379" s="6318"/>
      <c r="H379" s="6393" t="str">
        <f t="shared" si="151"/>
        <v/>
      </c>
      <c r="I379" s="6405"/>
      <c r="J379" s="6395" t="str">
        <f t="shared" si="152"/>
        <v/>
      </c>
      <c r="K379" s="6396" t="str">
        <f>IF(J379="","",LEFT(J379,IF(LEN(J379)&lt;=I375,LEN(J379),IFERROR(FIND("§",SUBSTITUTE(LEFT(J379,I375+1)," ","§",LEN(LEFT(J379,I375+1))-LEN(SUBSTITUTE(LEFT(J379,I375+1)," ",""))))-1,IFERROR(FIND(" ",J379,I375+1)-1,LEN(J379))))))</f>
        <v/>
      </c>
      <c r="L379" s="6388"/>
      <c r="M379" s="6332"/>
      <c r="N379" t="s">
        <v>21</v>
      </c>
      <c r="AV379" s="103"/>
      <c r="AW379" s="31"/>
      <c r="AX379" s="32"/>
      <c r="AY379" s="31"/>
      <c r="AZ379" s="33"/>
      <c r="BA379" s="1967"/>
      <c r="BB379" s="1805"/>
      <c r="BC379" s="91"/>
      <c r="BD379" s="1806"/>
      <c r="BE379" s="6401"/>
      <c r="BF379" s="6402"/>
      <c r="BG379" s="1969"/>
      <c r="BH379" s="6403"/>
      <c r="BI379" s="95"/>
      <c r="BJ379" s="1326"/>
      <c r="BK379" s="6404"/>
      <c r="BL379" s="1737"/>
      <c r="BM379" s="2081"/>
      <c r="BN379" s="2238"/>
      <c r="BO379" s="1809"/>
      <c r="BR379" s="3">
        <v>1</v>
      </c>
    </row>
    <row r="380" spans="2:70" ht="21" customHeight="1">
      <c r="B380" s="6236"/>
      <c r="C380" s="6358">
        <f t="shared" si="148"/>
        <v>150</v>
      </c>
      <c r="D380" s="6359" t="str" cm="1">
        <f t="array" ref="D380">IF(MOD(ROW()-50,14)=0,INDEX(D372:D385,MOD(ROW()-50,14)+1),E378)</f>
        <v/>
      </c>
      <c r="E380" s="6360" t="str">
        <f t="shared" si="149"/>
        <v/>
      </c>
      <c r="F380" s="6361" t="str">
        <f t="shared" si="150"/>
        <v/>
      </c>
      <c r="G380" s="6318"/>
      <c r="H380" s="6393" t="str">
        <f t="shared" si="151"/>
        <v/>
      </c>
      <c r="I380" s="6405"/>
      <c r="J380" s="6395" t="str">
        <f t="shared" si="152"/>
        <v/>
      </c>
      <c r="K380" s="6396" t="str">
        <f>IF(J380="","",LEFT(J380,IF(LEN(J380)&lt;=I375,LEN(J380),IFERROR(FIND("§",SUBSTITUTE(LEFT(J380,I375+1)," ","§",LEN(LEFT(J380,I375+1))-LEN(SUBSTITUTE(LEFT(J380,I375+1)," ",""))))-1,IFERROR(FIND(" ",J380,I375+1)-1,LEN(J380))))))</f>
        <v/>
      </c>
      <c r="L380" s="6388"/>
      <c r="M380" s="6332"/>
      <c r="N380" t="s">
        <v>21</v>
      </c>
      <c r="AV380" s="103"/>
      <c r="AW380" s="31"/>
      <c r="AX380" s="32"/>
      <c r="AY380" s="31"/>
      <c r="AZ380" s="33"/>
      <c r="BA380" s="1967"/>
      <c r="BB380" s="1805"/>
      <c r="BC380" s="91"/>
      <c r="BD380" s="1806"/>
      <c r="BE380" s="6401"/>
      <c r="BF380" s="6402"/>
      <c r="BG380" s="1969"/>
      <c r="BH380" s="6403"/>
      <c r="BI380" s="95"/>
      <c r="BJ380" s="1326"/>
      <c r="BK380" s="6404"/>
      <c r="BL380" s="1737"/>
      <c r="BM380" s="2081"/>
      <c r="BN380" s="2238"/>
      <c r="BO380" s="1809"/>
      <c r="BR380" s="3">
        <v>1</v>
      </c>
    </row>
    <row r="381" spans="2:70" ht="21" customHeight="1">
      <c r="B381" s="6236"/>
      <c r="C381" s="6358">
        <f t="shared" si="148"/>
        <v>150</v>
      </c>
      <c r="D381" s="6359" t="str" cm="1">
        <f t="array" ref="D381">IF(MOD(ROW()-50,14)=0,INDEX(D372:D385,MOD(ROW()-50,14)+1),E379)</f>
        <v/>
      </c>
      <c r="E381" s="6360" t="str">
        <f t="shared" si="149"/>
        <v/>
      </c>
      <c r="F381" s="6361" t="str">
        <f t="shared" si="150"/>
        <v/>
      </c>
      <c r="G381" s="6318"/>
      <c r="H381" s="6393" t="str">
        <f t="shared" si="151"/>
        <v/>
      </c>
      <c r="I381" s="6405"/>
      <c r="J381" s="6395" t="str">
        <f t="shared" si="152"/>
        <v/>
      </c>
      <c r="K381" s="6396" t="str">
        <f>IF(J381="","",LEFT(J381,IF(LEN(J381)&lt;=I375,LEN(J381),IFERROR(FIND("§",SUBSTITUTE(LEFT(J381,I375+1)," ","§",LEN(LEFT(J381,I375+1))-LEN(SUBSTITUTE(LEFT(J381,I375+1)," ",""))))-1,IFERROR(FIND(" ",J381,I375+1)-1,LEN(J381))))))</f>
        <v/>
      </c>
      <c r="L381" s="6388"/>
      <c r="M381" s="6332"/>
      <c r="N381" t="s">
        <v>21</v>
      </c>
      <c r="AV381" s="103"/>
      <c r="AW381" s="31"/>
      <c r="AX381" s="32"/>
      <c r="AY381" s="31"/>
      <c r="AZ381" s="33"/>
      <c r="BA381" s="1967"/>
      <c r="BB381" s="1805"/>
      <c r="BC381" s="91"/>
      <c r="BD381" s="1806"/>
      <c r="BE381" s="6401"/>
      <c r="BF381" s="6402"/>
      <c r="BG381" s="1969"/>
      <c r="BH381" s="6403"/>
      <c r="BI381" s="95"/>
      <c r="BJ381" s="1326"/>
      <c r="BK381" s="6404"/>
      <c r="BL381" s="1737"/>
      <c r="BM381" s="2081"/>
      <c r="BN381" s="2238"/>
      <c r="BO381" s="1809"/>
      <c r="BR381" s="3">
        <v>1</v>
      </c>
    </row>
    <row r="382" spans="2:70" ht="21" customHeight="1">
      <c r="B382" s="6236"/>
      <c r="C382" s="6358">
        <f t="shared" si="148"/>
        <v>150</v>
      </c>
      <c r="D382" s="6359" t="str" cm="1">
        <f t="array" ref="D382">IF(MOD(ROW()-50,14)=0,INDEX(D372:D385,MOD(ROW()-50,14)+1),E380)</f>
        <v/>
      </c>
      <c r="E382" s="6360" t="str">
        <f t="shared" si="149"/>
        <v/>
      </c>
      <c r="F382" s="6361" t="str">
        <f t="shared" si="150"/>
        <v/>
      </c>
      <c r="G382" s="6318"/>
      <c r="H382" s="6393" t="str">
        <f t="shared" si="151"/>
        <v/>
      </c>
      <c r="I382" s="6405"/>
      <c r="J382" s="6395" t="str">
        <f t="shared" si="152"/>
        <v/>
      </c>
      <c r="K382" s="6396" t="str">
        <f>IF(J382="","",LEFT(J382,IF(LEN(J382)&lt;=I375,LEN(J382),IFERROR(FIND("§",SUBSTITUTE(LEFT(J382,I375+1)," ","§",LEN(LEFT(J382,I375+1))-LEN(SUBSTITUTE(LEFT(J382,I375+1)," ",""))))-1,IFERROR(FIND(" ",J382,I375+1)-1,LEN(J382))))))</f>
        <v/>
      </c>
      <c r="L382" s="6388"/>
      <c r="M382" s="6332"/>
      <c r="N382" t="s">
        <v>21</v>
      </c>
      <c r="AV382" s="103"/>
      <c r="AW382" s="31"/>
      <c r="AX382" s="32"/>
      <c r="AY382" s="31"/>
      <c r="AZ382" s="33"/>
      <c r="BA382" s="1967"/>
      <c r="BB382" s="1805"/>
      <c r="BC382" s="91"/>
      <c r="BD382" s="1806"/>
      <c r="BE382" s="6401"/>
      <c r="BF382" s="6402"/>
      <c r="BG382" s="1969"/>
      <c r="BH382" s="6403"/>
      <c r="BI382" s="95"/>
      <c r="BJ382" s="1326"/>
      <c r="BK382" s="6404"/>
      <c r="BL382" s="1737"/>
      <c r="BM382" s="2081"/>
      <c r="BN382" s="2238"/>
      <c r="BO382" s="1809"/>
      <c r="BR382" s="3">
        <v>1</v>
      </c>
    </row>
    <row r="383" spans="2:70" ht="21" customHeight="1">
      <c r="B383" s="6236"/>
      <c r="C383" s="6358">
        <f t="shared" si="148"/>
        <v>150</v>
      </c>
      <c r="D383" s="6359" t="str" cm="1">
        <f t="array" ref="D383">IF(MOD(ROW()-50,14)=0,INDEX(D372:D385,MOD(ROW()-50,14)+1),E381)</f>
        <v/>
      </c>
      <c r="E383" s="6360" t="str">
        <f t="shared" si="149"/>
        <v/>
      </c>
      <c r="F383" s="6361" t="str">
        <f t="shared" si="150"/>
        <v/>
      </c>
      <c r="G383" s="6318"/>
      <c r="H383" s="6393" t="str">
        <f t="shared" si="151"/>
        <v/>
      </c>
      <c r="I383" s="6405"/>
      <c r="J383" s="6395" t="str">
        <f t="shared" si="152"/>
        <v/>
      </c>
      <c r="K383" s="6396" t="str">
        <f>IF(J383="","",LEFT(J383,IF(LEN(J383)&lt;=I375,LEN(J383),IFERROR(FIND("§",SUBSTITUTE(LEFT(J383,I375+1)," ","§",LEN(LEFT(J383,I375+1))-LEN(SUBSTITUTE(LEFT(J383,I375+1)," ",""))))-1,IFERROR(FIND(" ",J383,I375+1)-1,LEN(J383))))))</f>
        <v/>
      </c>
      <c r="L383" s="6388"/>
      <c r="M383" s="6332"/>
      <c r="N383" t="s">
        <v>21</v>
      </c>
      <c r="AV383" s="103"/>
      <c r="AW383" s="31"/>
      <c r="AX383" s="32"/>
      <c r="AY383" s="31"/>
      <c r="AZ383" s="33"/>
      <c r="BA383" s="1967"/>
      <c r="BB383" s="1805"/>
      <c r="BC383" s="91"/>
      <c r="BD383" s="1806"/>
      <c r="BE383" s="6401"/>
      <c r="BF383" s="6402"/>
      <c r="BG383" s="1969"/>
      <c r="BH383" s="6403"/>
      <c r="BI383" s="95"/>
      <c r="BJ383" s="1326"/>
      <c r="BK383" s="6404"/>
      <c r="BL383" s="1737"/>
      <c r="BM383" s="2081"/>
      <c r="BN383" s="2238"/>
      <c r="BO383" s="1809"/>
      <c r="BR383" s="3">
        <v>1</v>
      </c>
    </row>
    <row r="384" spans="2:70" ht="21" customHeight="1">
      <c r="B384" s="6236"/>
      <c r="C384" s="6358">
        <f t="shared" si="148"/>
        <v>150</v>
      </c>
      <c r="D384" s="6359" t="str" cm="1">
        <f t="array" ref="D384">IF(MOD(ROW()-50,14)=0,INDEX(D372:D385,MOD(ROW()-50,14)+1),E382)</f>
        <v/>
      </c>
      <c r="E384" s="6360" t="str">
        <f t="shared" si="149"/>
        <v/>
      </c>
      <c r="F384" s="6361" t="str">
        <f t="shared" si="150"/>
        <v/>
      </c>
      <c r="G384" s="6318"/>
      <c r="H384" s="6393" t="str">
        <f t="shared" si="151"/>
        <v/>
      </c>
      <c r="I384" s="6405"/>
      <c r="J384" s="6395" t="str">
        <f t="shared" si="152"/>
        <v/>
      </c>
      <c r="K384" s="6396" t="str">
        <f>IF(J384="","",LEFT(J384,IF(LEN(J384)&lt;=I375,LEN(J384),IFERROR(FIND("§",SUBSTITUTE(LEFT(J384,I375+1)," ","§",LEN(LEFT(J384,I375+1))-LEN(SUBSTITUTE(LEFT(J384,I375+1)," ",""))))-1,IFERROR(FIND(" ",J384,I375+1)-1,LEN(J384))))))</f>
        <v/>
      </c>
      <c r="L384" s="6396"/>
      <c r="M384" s="6332"/>
      <c r="N384" t="s">
        <v>21</v>
      </c>
      <c r="AV384" s="103"/>
      <c r="AW384" s="31"/>
      <c r="AX384" s="32"/>
      <c r="AY384" s="31"/>
      <c r="AZ384" s="33"/>
      <c r="BA384" s="1967"/>
      <c r="BB384" s="1805"/>
      <c r="BC384" s="91"/>
      <c r="BD384" s="1806"/>
      <c r="BE384" s="6401"/>
      <c r="BF384" s="6402"/>
      <c r="BG384" s="1969"/>
      <c r="BH384" s="6403"/>
      <c r="BI384" s="95"/>
      <c r="BJ384" s="1326"/>
      <c r="BK384" s="6404"/>
      <c r="BL384" s="1737"/>
      <c r="BM384" s="2081"/>
      <c r="BN384" s="2238"/>
      <c r="BO384" s="1809"/>
      <c r="BR384" s="3">
        <v>1</v>
      </c>
    </row>
    <row r="385" spans="2:70" ht="21" customHeight="1">
      <c r="B385" s="6236"/>
      <c r="C385" s="6376">
        <f t="shared" si="148"/>
        <v>150</v>
      </c>
      <c r="D385" s="6414" t="str" cm="1">
        <f t="array" ref="D385">IF(MOD(ROW()-50,14)=0,INDEX(D372:D385,MOD(ROW()-50,14)+1),E383)</f>
        <v/>
      </c>
      <c r="E385" s="6377" t="str">
        <f t="shared" si="149"/>
        <v/>
      </c>
      <c r="F385" s="6378" t="str">
        <f t="shared" si="150"/>
        <v/>
      </c>
      <c r="G385" s="6319"/>
      <c r="H385" s="6409" t="str">
        <f t="shared" si="151"/>
        <v/>
      </c>
      <c r="I385" s="6410"/>
      <c r="J385" s="6411" t="str">
        <f t="shared" si="152"/>
        <v/>
      </c>
      <c r="K385" s="6412" t="str">
        <f>IF(J385="","",LEFT(J385,IF(LEN(J385)&lt;=I375,LEN(J385),IFERROR(FIND("§",SUBSTITUTE(LEFT(J385,I375+1)," ","§",LEN(LEFT(J385,I375+1))-LEN(SUBSTITUTE(LEFT(J385,I375+1)," ",""))))-1,IFERROR(FIND(" ",J385,I375+1)-1,LEN(J385))))))</f>
        <v/>
      </c>
      <c r="L385" s="6413"/>
      <c r="M385" s="6333"/>
      <c r="N385" t="s">
        <v>21</v>
      </c>
      <c r="AV385" s="103"/>
      <c r="AW385" s="31"/>
      <c r="AX385" s="32"/>
      <c r="AY385" s="31"/>
      <c r="AZ385" s="33"/>
      <c r="BA385" s="1967"/>
      <c r="BB385" s="1805"/>
      <c r="BC385" s="91"/>
      <c r="BD385" s="1806"/>
      <c r="BE385" s="6401"/>
      <c r="BF385" s="6402"/>
      <c r="BG385" s="1969"/>
      <c r="BH385" s="6403"/>
      <c r="BI385" s="95"/>
      <c r="BJ385" s="1326"/>
      <c r="BK385" s="6404"/>
      <c r="BL385" s="1737"/>
      <c r="BM385" s="2081"/>
      <c r="BN385" s="2238"/>
      <c r="BO385" s="1809"/>
      <c r="BR385" s="3">
        <v>1</v>
      </c>
    </row>
    <row r="386" spans="2:70" ht="21" customHeight="1">
      <c r="B386" s="6236"/>
      <c r="C386" s="6313">
        <f>AD74</f>
        <v>150</v>
      </c>
      <c r="D386" s="6314" t="str">
        <f>IF(UPPER(TRIM(X45))="X",U74,O74)</f>
        <v>25.TEST LIGNE 19 colonne Q et ligne 20 colonne P. rechercher la cellule qui coupe le texte Dans la cocotte N°3 en fonte, faites chauffer l’huile d’olive à feu moyen. Ajoutez la viande et faites-la dorer de tous les côtés. Retirez-la de la cocotte et réservez-la.</v>
      </c>
      <c r="E386" s="6383" t="str">
        <f>IF(D386="","",IF(F386="","",IF(LEN(F386)&gt;=LEN(D386),"",TRIM(MID(D386,LEN(F386)+1,99999)))))</f>
        <v>d’olive à feu moyen. Ajoutez la viande et faites-la dorer de tous les côtés. Retirez-la de la cocotte et réservez-la.</v>
      </c>
      <c r="F386" s="6384" t="str">
        <f>IF(D386="","",IF(LEN(D386)&lt;=C386,D386,IFERROR(LEFT(D386,FIND("§",SUBSTITUTE(LEFT(D386,C386+1)," ","§",LEN(LEFT(D386,C386+1))-LEN(SUBSTITUTE(LEFT(D386,C386+1)," ",""))))-1),LEFT(D386,C386))))</f>
        <v>25.TEST LIGNE 19 colonne Q et ligne 20 colonne P. rechercher la cellule qui coupe le texte Dans la cocotte N°3 en fonte, faites chauffer l’huile</v>
      </c>
      <c r="G386" s="6320"/>
      <c r="H386" s="6323">
        <f>IF(LEN(TRIM(L386))&gt;0,MAX(H385:H385)+1,"")</f>
        <v>1</v>
      </c>
      <c r="I386" s="6324" t="str">
        <f>D386</f>
        <v>25.TEST LIGNE 19 colonne Q et ligne 20 colonne P. rechercher la cellule qui coupe le texte Dans la cocotte N°3 en fonte, faites chauffer l’huile d’olive à feu moyen. Ajoutez la viande et faites-la dorer de tous les côtés. Retirez-la de la cocotte et réservez-la.</v>
      </c>
      <c r="J386" s="6325" t="str">
        <f>IF(I386=0,"",I386)</f>
        <v>25.TEST LIGNE 19 colonne Q et ligne 20 colonne P. rechercher la cellule qui coupe le texte Dans la cocotte N°3 en fonte, faites chauffer l’huile d’olive à feu moyen. Ajoutez la viande et faites-la dorer de tous les côtés. Retirez-la de la cocotte et réservez-la.</v>
      </c>
      <c r="K386" s="6326" t="str">
        <f>IF(I386="","",LEFT(I386,IF(LEN(I386)&lt;=I389,LEN(I386),IFERROR(FIND("§",SUBSTITUTE(LEFT(I386,I389+1)," ","§",LEN(LEFT(I386,I389+1))-LEN(SUBSTITUTE(LEFT(I386,I389+1)," ",""))))-1,IFERROR(FIND(" ",I386,I389+1)-1,LEN(I386))))))</f>
        <v>25.TEST LIGNE 19 colonne Q et ligne 20 colonne P.</v>
      </c>
      <c r="L386" s="6326" t="str" cm="1">
        <f t="array" ref="L386:L391">_xlfn._xlws.FILTER(TRIM(SUBSTITUTE(SUBSTITUTE(SUBSTITUTE(SUBSTITUTE(SUBSTITUTE(CLEAN(K386:K399),CHAR(160)," "),_xlfn.UNICHAR(8239)," "),CHAR(9)," "),CHAR(10)," "),CHAR(13)," ")),TRIM(SUBSTITUTE(SUBSTITUTE(SUBSTITUTE(SUBSTITUTE(SUBSTITUTE(CLEAN(K386:K399),CHAR(160)," "),_xlfn.UNICHAR(8239)," "),CHAR(9)," "),CHAR(10)," "),CHAR(13)," "))&lt;&gt;"")</f>
        <v>25.TEST LIGNE 19 colonne Q et ligne 20 colonne P.</v>
      </c>
      <c r="M386" s="6328"/>
      <c r="N386" t="s">
        <v>21</v>
      </c>
      <c r="AV386" s="103"/>
      <c r="AW386" s="31"/>
      <c r="AX386" s="32"/>
      <c r="AY386" s="31"/>
      <c r="AZ386" s="33"/>
      <c r="BA386" s="1967"/>
      <c r="BB386" s="1805"/>
      <c r="BC386" s="91"/>
      <c r="BD386" s="1806"/>
      <c r="BE386" s="6401"/>
      <c r="BF386" s="6402"/>
      <c r="BG386" s="1969"/>
      <c r="BH386" s="6403"/>
      <c r="BI386" s="95"/>
      <c r="BJ386" s="1326"/>
      <c r="BK386" s="6404"/>
      <c r="BL386" s="1737"/>
      <c r="BM386" s="2081"/>
      <c r="BN386" s="2238"/>
      <c r="BO386" s="1809"/>
      <c r="BR386" s="3">
        <v>1</v>
      </c>
    </row>
    <row r="387" spans="2:70" ht="21" customHeight="1">
      <c r="B387" s="6236"/>
      <c r="C387" s="6358">
        <f t="shared" ref="C387:C399" si="153">C386</f>
        <v>150</v>
      </c>
      <c r="D387" s="6390" t="str" cm="1">
        <f t="array" ref="D387">IF(MOD(ROW()-50,14)=0,INDEX(D386:D399,MOD(ROW()-50,14)+1),E385)</f>
        <v/>
      </c>
      <c r="E387" s="6391" t="str">
        <f t="shared" ref="E387:E399" si="154">IF(D387="","",IF(F387="","",IF(LEN(F387)&gt;=LEN(D387),"",TRIM(MID(D387,LEN(F387)+1,99999)))))</f>
        <v/>
      </c>
      <c r="F387" s="6392" t="str">
        <f t="shared" ref="F387:F399" si="155">IF(D387="","",IF(LEN(D387)&lt;=C387,D387,IFERROR(LEFT(D387,FIND("§",SUBSTITUTE(LEFT(D387,C387+1)," ","§",LEN(LEFT(D387,C387+1))-LEN(SUBSTITUTE(LEFT(D387,C387+1)," ",""))))-1),LEFT(D387,C387))))</f>
        <v/>
      </c>
      <c r="G387" s="6321"/>
      <c r="H387" s="6323">
        <f t="shared" ref="H387:H399" si="156">IF(LEN(TRIM(L387))&gt;0,MAX(H386:H386)+1,"")</f>
        <v>2</v>
      </c>
      <c r="I387" s="6362" t="s">
        <v>14355</v>
      </c>
      <c r="J387" s="6363" t="str">
        <f>TRIM(MID(I390,LEN(K386)+1,99999))</f>
        <v>rechercher la cellule qui coupe le texte Dans la cocotte N°3 en fonte, faites chauffer l’huile d’olive à feu moyen. Ajoutez la viande et faites-la dorer de tous les côtés. Retirez-la de la cocotte et réservez-la.</v>
      </c>
      <c r="K387" s="6364" t="str">
        <f>IF(J387="","",LEFT(J387,IF(LEN(J387)&lt;=I389,LEN(J387),IFERROR(FIND("§",SUBSTITUTE(LEFT(J387,I389+1)," ","§",LEN(LEFT(J387,I389+1))-LEN(SUBSTITUTE(LEFT(J387,I389+1)," ",""))))-1,IFERROR(FIND(" ",J387,I389+1)-1,LEN(J387))))))</f>
        <v>rechercher la cellule qui coupe le texte Dans la</v>
      </c>
      <c r="L387" s="6327" t="str">
        <v>rechercher la cellule qui coupe le texte Dans la</v>
      </c>
      <c r="M387" s="6329"/>
      <c r="N387" t="s">
        <v>21</v>
      </c>
      <c r="AV387" s="103"/>
      <c r="AW387" s="31"/>
      <c r="AX387" s="32"/>
      <c r="AY387" s="31"/>
      <c r="AZ387" s="33"/>
      <c r="BA387" s="1967"/>
      <c r="BB387" s="1805"/>
      <c r="BC387" s="91"/>
      <c r="BD387" s="1806"/>
      <c r="BE387" s="6401"/>
      <c r="BF387" s="6402"/>
      <c r="BG387" s="1969"/>
      <c r="BH387" s="6403"/>
      <c r="BI387" s="95"/>
      <c r="BJ387" s="1326"/>
      <c r="BK387" s="6404"/>
      <c r="BL387" s="1737"/>
      <c r="BM387" s="2081"/>
      <c r="BN387" s="2238"/>
      <c r="BO387" s="1809"/>
      <c r="BR387" s="3">
        <v>1</v>
      </c>
    </row>
    <row r="388" spans="2:70" ht="21" customHeight="1">
      <c r="B388" s="6236"/>
      <c r="C388" s="6358">
        <f t="shared" si="153"/>
        <v>150</v>
      </c>
      <c r="D388" s="6390" t="str" cm="1">
        <f t="array" ref="D388">IF(MOD(ROW()-50,14)=0,INDEX(D386:D399,MOD(ROW()-50,14)+1),E386)</f>
        <v>d’olive à feu moyen. Ajoutez la viande et faites-la dorer de tous les côtés. Retirez-la de la cocotte et réservez-la.</v>
      </c>
      <c r="E388" s="6391" t="str">
        <f t="shared" si="154"/>
        <v/>
      </c>
      <c r="F388" s="6392" t="str">
        <f t="shared" si="155"/>
        <v>d’olive à feu moyen. Ajoutez la viande et faites-la dorer de tous les côtés. Retirez-la de la cocotte et réservez-la.</v>
      </c>
      <c r="G388" s="6321"/>
      <c r="H388" s="6323">
        <f t="shared" si="156"/>
        <v>3</v>
      </c>
      <c r="I388" s="6365">
        <f>Z74</f>
        <v>5</v>
      </c>
      <c r="J388" s="6363" t="str">
        <f t="shared" ref="J388:J399" si="157">TRIM(MID(J387,LEN(K387)+1,99999))</f>
        <v>cocotte N°3 en fonte, faites chauffer l’huile d’olive à feu moyen. Ajoutez la viande et faites-la dorer de tous les côtés. Retirez-la de la cocotte et réservez-la.</v>
      </c>
      <c r="K388" s="6364" t="str">
        <f>IF(J388="","",LEFT(J388,IF(LEN(J388)&lt;=I389,LEN(J388),IFERROR(FIND("§",SUBSTITUTE(LEFT(J388,I389+1)," ","§",LEN(LEFT(J388,I389+1))-LEN(SUBSTITUTE(LEFT(J388,I389+1)," ",""))))-1,IFERROR(FIND(" ",J388,I389+1)-1,LEN(J388))))))</f>
        <v>cocotte N°3 en fonte, faites chauffer l’huile d’olive</v>
      </c>
      <c r="L388" s="6327" t="str">
        <v>cocotte N°3 en fonte, faites chauffer l’huile d’olive</v>
      </c>
      <c r="M388" s="6329"/>
      <c r="N388" t="s">
        <v>21</v>
      </c>
      <c r="AV388" s="103"/>
      <c r="AW388" s="31"/>
      <c r="AX388" s="32"/>
      <c r="AY388" s="31"/>
      <c r="AZ388" s="33"/>
      <c r="BA388" s="1967"/>
      <c r="BB388" s="1805"/>
      <c r="BC388" s="91"/>
      <c r="BD388" s="1806"/>
      <c r="BE388" s="6401"/>
      <c r="BF388" s="6402"/>
      <c r="BG388" s="1969"/>
      <c r="BH388" s="6403"/>
      <c r="BI388" s="95"/>
      <c r="BJ388" s="1326"/>
      <c r="BK388" s="6404"/>
      <c r="BL388" s="1737"/>
      <c r="BM388" s="2081"/>
      <c r="BN388" s="2238"/>
      <c r="BO388" s="1809"/>
      <c r="BR388" s="3">
        <v>1</v>
      </c>
    </row>
    <row r="389" spans="2:70" ht="21" customHeight="1">
      <c r="B389" s="6236"/>
      <c r="C389" s="6358">
        <f t="shared" si="153"/>
        <v>150</v>
      </c>
      <c r="D389" s="6390" t="str" cm="1">
        <f t="array" ref="D389">IF(MOD(ROW()-50,14)=0,INDEX(D386:D399,MOD(ROW()-50,14)+1),E387)</f>
        <v/>
      </c>
      <c r="E389" s="6391" t="str">
        <f t="shared" si="154"/>
        <v/>
      </c>
      <c r="F389" s="6392" t="str">
        <f t="shared" si="155"/>
        <v/>
      </c>
      <c r="G389" s="6321"/>
      <c r="H389" s="6323">
        <f t="shared" si="156"/>
        <v>4</v>
      </c>
      <c r="I389" s="6370">
        <f>IF(OR(J386="",I388="",I388&lt;=0),"",ROUNDUP(LEN(J386)/I388,0))</f>
        <v>53</v>
      </c>
      <c r="J389" s="6363" t="str">
        <f t="shared" si="157"/>
        <v>à feu moyen. Ajoutez la viande et faites-la dorer de tous les côtés. Retirez-la de la cocotte et réservez-la.</v>
      </c>
      <c r="K389" s="6364" t="str">
        <f>IF(J389="","",LEFT(J389,IF(LEN(J389)&lt;=I389,LEN(J389),IFERROR(FIND("§",SUBSTITUTE(LEFT(J389,I389+1)," ","§",LEN(LEFT(J389,I389+1))-LEN(SUBSTITUTE(LEFT(J389,I389+1)," ",""))))-1,IFERROR(FIND(" ",J389,I389+1)-1,LEN(J389))))))</f>
        <v>à feu moyen. Ajoutez la viande et faites-la dorer de</v>
      </c>
      <c r="L389" s="6327" t="str">
        <v>à feu moyen. Ajoutez la viande et faites-la dorer de</v>
      </c>
      <c r="M389" s="6329"/>
      <c r="N389" t="s">
        <v>21</v>
      </c>
      <c r="AV389" s="103"/>
      <c r="AW389" s="31"/>
      <c r="AX389" s="32"/>
      <c r="AY389" s="31"/>
      <c r="AZ389" s="33"/>
      <c r="BA389" s="1967"/>
      <c r="BB389" s="1805"/>
      <c r="BC389" s="91"/>
      <c r="BD389" s="1806"/>
      <c r="BE389" s="6401"/>
      <c r="BF389" s="6402"/>
      <c r="BG389" s="1969"/>
      <c r="BH389" s="6403"/>
      <c r="BI389" s="95"/>
      <c r="BJ389" s="1326"/>
      <c r="BK389" s="6404"/>
      <c r="BL389" s="1737"/>
      <c r="BM389" s="2081"/>
      <c r="BN389" s="2238"/>
      <c r="BO389" s="1809"/>
      <c r="BR389" s="3">
        <v>1</v>
      </c>
    </row>
    <row r="390" spans="2:70" ht="21" customHeight="1">
      <c r="B390" s="6236"/>
      <c r="C390" s="6358">
        <f t="shared" si="153"/>
        <v>150</v>
      </c>
      <c r="D390" s="6390" t="str" cm="1">
        <f t="array" ref="D390">IF(MOD(ROW()-50,14)=0,INDEX(D386:D399,MOD(ROW()-50,14)+1),E388)</f>
        <v/>
      </c>
      <c r="E390" s="6391" t="str">
        <f t="shared" si="154"/>
        <v/>
      </c>
      <c r="F390" s="6392" t="str">
        <f t="shared" si="155"/>
        <v/>
      </c>
      <c r="G390" s="6321"/>
      <c r="H390" s="6323">
        <f t="shared" si="156"/>
        <v>5</v>
      </c>
      <c r="I390" s="6372" t="str">
        <f>I386</f>
        <v>25.TEST LIGNE 19 colonne Q et ligne 20 colonne P. rechercher la cellule qui coupe le texte Dans la cocotte N°3 en fonte, faites chauffer l’huile d’olive à feu moyen. Ajoutez la viande et faites-la dorer de tous les côtés. Retirez-la de la cocotte et réservez-la.</v>
      </c>
      <c r="J390" s="6363" t="str">
        <f t="shared" si="157"/>
        <v>tous les côtés. Retirez-la de la cocotte et réservez-la.</v>
      </c>
      <c r="K390" s="6364" t="str">
        <f>IF(J390="","",LEFT(J390,IF(LEN(J390)&lt;=I389,LEN(J390),IFERROR(FIND("§",SUBSTITUTE(LEFT(J390,I389+1)," ","§",LEN(LEFT(J390,I389+1))-LEN(SUBSTITUTE(LEFT(J390,I389+1)," ",""))))-1,IFERROR(FIND(" ",J390,I389+1)-1,LEN(J390))))))</f>
        <v>tous les côtés. Retirez-la de la cocotte et</v>
      </c>
      <c r="L390" s="6327" t="str">
        <v>tous les côtés. Retirez-la de la cocotte et</v>
      </c>
      <c r="M390" s="6329"/>
      <c r="N390" t="s">
        <v>21</v>
      </c>
      <c r="AV390" s="103"/>
      <c r="AW390" s="31"/>
      <c r="AX390" s="32"/>
      <c r="AY390" s="31"/>
      <c r="AZ390" s="33"/>
      <c r="BA390" s="1967"/>
      <c r="BB390" s="1805"/>
      <c r="BC390" s="91"/>
      <c r="BD390" s="1806"/>
      <c r="BE390" s="6401"/>
      <c r="BF390" s="6402"/>
      <c r="BG390" s="1969"/>
      <c r="BH390" s="6403"/>
      <c r="BI390" s="95"/>
      <c r="BJ390" s="1326"/>
      <c r="BK390" s="6404"/>
      <c r="BL390" s="1737"/>
      <c r="BM390" s="2081"/>
      <c r="BN390" s="2238"/>
      <c r="BO390" s="1809"/>
      <c r="BR390" s="3">
        <v>1</v>
      </c>
    </row>
    <row r="391" spans="2:70" ht="21" customHeight="1">
      <c r="B391" s="6236"/>
      <c r="C391" s="6358">
        <f t="shared" si="153"/>
        <v>150</v>
      </c>
      <c r="D391" s="6390" t="str" cm="1">
        <f t="array" ref="D391">IF(MOD(ROW()-50,14)=0,INDEX(D386:D399,MOD(ROW()-50,14)+1),E389)</f>
        <v/>
      </c>
      <c r="E391" s="6391" t="str">
        <f t="shared" si="154"/>
        <v/>
      </c>
      <c r="F391" s="6392" t="str">
        <f t="shared" si="155"/>
        <v/>
      </c>
      <c r="G391" s="6321"/>
      <c r="H391" s="6323">
        <f t="shared" si="156"/>
        <v>6</v>
      </c>
      <c r="I391" s="6373"/>
      <c r="J391" s="6363" t="str">
        <f t="shared" si="157"/>
        <v>réservez-la.</v>
      </c>
      <c r="K391" s="6364" t="str">
        <f>IF(J391="","",LEFT(J391,IF(LEN(J391)&lt;=I389,LEN(J391),IFERROR(FIND("§",SUBSTITUTE(LEFT(J391,I389+1)," ","§",LEN(LEFT(J391,I389+1))-LEN(SUBSTITUTE(LEFT(J391,I389+1)," ",""))))-1,IFERROR(FIND(" ",J391,I389+1)-1,LEN(J391))))))</f>
        <v>réservez-la.</v>
      </c>
      <c r="L391" s="6327" t="str">
        <v>réservez-la.</v>
      </c>
      <c r="M391" s="6329"/>
      <c r="N391" t="s">
        <v>21</v>
      </c>
      <c r="AV391" s="103"/>
      <c r="AW391" s="31"/>
      <c r="AX391" s="32"/>
      <c r="AY391" s="31"/>
      <c r="AZ391" s="33"/>
      <c r="BA391" s="1967"/>
      <c r="BB391" s="1805"/>
      <c r="BC391" s="91"/>
      <c r="BD391" s="1806"/>
      <c r="BE391" s="6401"/>
      <c r="BF391" s="6402"/>
      <c r="BG391" s="1969"/>
      <c r="BH391" s="6403"/>
      <c r="BI391" s="95"/>
      <c r="BJ391" s="1326"/>
      <c r="BK391" s="6404"/>
      <c r="BL391" s="1737"/>
      <c r="BM391" s="2081"/>
      <c r="BN391" s="2238"/>
      <c r="BO391" s="1809"/>
      <c r="BR391" s="3">
        <v>1</v>
      </c>
    </row>
    <row r="392" spans="2:70" ht="21" customHeight="1">
      <c r="B392" s="6236"/>
      <c r="C392" s="6358">
        <f t="shared" si="153"/>
        <v>150</v>
      </c>
      <c r="D392" s="6390" t="str" cm="1">
        <f t="array" ref="D392">IF(MOD(ROW()-50,14)=0,INDEX(D386:D399,MOD(ROW()-50,14)+1),E390)</f>
        <v/>
      </c>
      <c r="E392" s="6391" t="str">
        <f t="shared" si="154"/>
        <v/>
      </c>
      <c r="F392" s="6392" t="str">
        <f t="shared" si="155"/>
        <v/>
      </c>
      <c r="G392" s="6321"/>
      <c r="H392" s="6323" t="str">
        <f t="shared" si="156"/>
        <v/>
      </c>
      <c r="I392" s="6373"/>
      <c r="J392" s="6363" t="str">
        <f t="shared" si="157"/>
        <v/>
      </c>
      <c r="K392" s="6364" t="str">
        <f>IF(J392="","",LEFT(J392,IF(LEN(J392)&lt;=I389,LEN(J392),IFERROR(FIND("§",SUBSTITUTE(LEFT(J392,I389+1)," ","§",LEN(LEFT(J392,I389+1))-LEN(SUBSTITUTE(LEFT(J392,I389+1)," ",""))))-1,IFERROR(FIND(" ",J392,I389+1)-1,LEN(J392))))))</f>
        <v/>
      </c>
      <c r="L392" s="6327"/>
      <c r="M392" s="6329"/>
      <c r="N392" t="s">
        <v>21</v>
      </c>
      <c r="AV392" s="103"/>
      <c r="AW392" s="31"/>
      <c r="AX392" s="32"/>
      <c r="AY392" s="31"/>
      <c r="AZ392" s="33"/>
      <c r="BA392" s="1967"/>
      <c r="BB392" s="1805"/>
      <c r="BC392" s="91"/>
      <c r="BD392" s="1806"/>
      <c r="BE392" s="6401"/>
      <c r="BF392" s="6402"/>
      <c r="BG392" s="1969"/>
      <c r="BH392" s="6403"/>
      <c r="BI392" s="95"/>
      <c r="BJ392" s="1326"/>
      <c r="BK392" s="6404"/>
      <c r="BL392" s="1737"/>
      <c r="BM392" s="2081"/>
      <c r="BN392" s="2238"/>
      <c r="BO392" s="1809"/>
      <c r="BR392" s="3">
        <v>1</v>
      </c>
    </row>
    <row r="393" spans="2:70" ht="21" customHeight="1">
      <c r="B393" s="6236"/>
      <c r="C393" s="6358">
        <f t="shared" si="153"/>
        <v>150</v>
      </c>
      <c r="D393" s="6390" t="str" cm="1">
        <f t="array" ref="D393">IF(MOD(ROW()-50,14)=0,INDEX(D386:D399,MOD(ROW()-50,14)+1),E391)</f>
        <v/>
      </c>
      <c r="E393" s="6391" t="str">
        <f t="shared" si="154"/>
        <v/>
      </c>
      <c r="F393" s="6392" t="str">
        <f t="shared" si="155"/>
        <v/>
      </c>
      <c r="G393" s="6321"/>
      <c r="H393" s="6323" t="str">
        <f t="shared" si="156"/>
        <v/>
      </c>
      <c r="I393" s="6373"/>
      <c r="J393" s="6363" t="str">
        <f t="shared" si="157"/>
        <v/>
      </c>
      <c r="K393" s="6364" t="str">
        <f>IF(J393="","",LEFT(J393,IF(LEN(J393)&lt;=I389,LEN(J393),IFERROR(FIND("§",SUBSTITUTE(LEFT(J393,I389+1)," ","§",LEN(LEFT(J393,I389+1))-LEN(SUBSTITUTE(LEFT(J393,I389+1)," ",""))))-1,IFERROR(FIND(" ",J393,I389+1)-1,LEN(J393))))))</f>
        <v/>
      </c>
      <c r="L393" s="6327"/>
      <c r="M393" s="6329"/>
      <c r="N393" t="s">
        <v>21</v>
      </c>
      <c r="AV393" s="103"/>
      <c r="AW393" s="31"/>
      <c r="AX393" s="32"/>
      <c r="AY393" s="31"/>
      <c r="AZ393" s="33"/>
      <c r="BA393" s="1967"/>
      <c r="BB393" s="1805"/>
      <c r="BC393" s="91"/>
      <c r="BD393" s="1806"/>
      <c r="BE393" s="6401"/>
      <c r="BF393" s="6402"/>
      <c r="BG393" s="1969"/>
      <c r="BH393" s="6403"/>
      <c r="BI393" s="95"/>
      <c r="BJ393" s="1326"/>
      <c r="BK393" s="6404"/>
      <c r="BL393" s="1737"/>
      <c r="BM393" s="2081"/>
      <c r="BN393" s="2238"/>
      <c r="BO393" s="1809"/>
      <c r="BR393" s="3">
        <v>1</v>
      </c>
    </row>
    <row r="394" spans="2:70" ht="21" customHeight="1">
      <c r="B394" s="6236"/>
      <c r="C394" s="6358">
        <f t="shared" si="153"/>
        <v>150</v>
      </c>
      <c r="D394" s="6390" t="str" cm="1">
        <f t="array" ref="D394">IF(MOD(ROW()-50,14)=0,INDEX(D386:D399,MOD(ROW()-50,14)+1),E392)</f>
        <v/>
      </c>
      <c r="E394" s="6391" t="str">
        <f t="shared" si="154"/>
        <v/>
      </c>
      <c r="F394" s="6392" t="str">
        <f t="shared" si="155"/>
        <v/>
      </c>
      <c r="G394" s="6321"/>
      <c r="H394" s="6323" t="str">
        <f t="shared" si="156"/>
        <v/>
      </c>
      <c r="I394" s="6373"/>
      <c r="J394" s="6363" t="str">
        <f t="shared" si="157"/>
        <v/>
      </c>
      <c r="K394" s="6364" t="str">
        <f>IF(J394="","",LEFT(J394,IF(LEN(J394)&lt;=I389,LEN(J394),IFERROR(FIND("§",SUBSTITUTE(LEFT(J394,I389+1)," ","§",LEN(LEFT(J394,I389+1))-LEN(SUBSTITUTE(LEFT(J394,I389+1)," ",""))))-1,IFERROR(FIND(" ",J394,I389+1)-1,LEN(J394))))))</f>
        <v/>
      </c>
      <c r="L394" s="6327"/>
      <c r="M394" s="6329"/>
      <c r="N394" t="s">
        <v>21</v>
      </c>
      <c r="AV394" s="103"/>
      <c r="AW394" s="31"/>
      <c r="AX394" s="32"/>
      <c r="AY394" s="31"/>
      <c r="AZ394" s="33"/>
      <c r="BA394" s="1967"/>
      <c r="BB394" s="1805"/>
      <c r="BC394" s="91"/>
      <c r="BD394" s="1806"/>
      <c r="BE394" s="6401"/>
      <c r="BF394" s="6402"/>
      <c r="BG394" s="1969"/>
      <c r="BH394" s="6403"/>
      <c r="BI394" s="95"/>
      <c r="BJ394" s="1326"/>
      <c r="BK394" s="6404"/>
      <c r="BL394" s="1737"/>
      <c r="BM394" s="2081"/>
      <c r="BN394" s="2238"/>
      <c r="BO394" s="1809"/>
      <c r="BR394" s="3">
        <v>1</v>
      </c>
    </row>
    <row r="395" spans="2:70" ht="21" customHeight="1">
      <c r="B395" s="6236"/>
      <c r="C395" s="6358">
        <f t="shared" si="153"/>
        <v>150</v>
      </c>
      <c r="D395" s="6390" t="str" cm="1">
        <f t="array" ref="D395">IF(MOD(ROW()-50,14)=0,INDEX(D386:D399,MOD(ROW()-50,14)+1),E393)</f>
        <v/>
      </c>
      <c r="E395" s="6391" t="str">
        <f t="shared" si="154"/>
        <v/>
      </c>
      <c r="F395" s="6392" t="str">
        <f t="shared" si="155"/>
        <v/>
      </c>
      <c r="G395" s="6321"/>
      <c r="H395" s="6323" t="str">
        <f t="shared" si="156"/>
        <v/>
      </c>
      <c r="I395" s="6373"/>
      <c r="J395" s="6363" t="str">
        <f t="shared" si="157"/>
        <v/>
      </c>
      <c r="K395" s="6364" t="str">
        <f>IF(J395="","",LEFT(J395,IF(LEN(J395)&lt;=I389,LEN(J395),IFERROR(FIND("§",SUBSTITUTE(LEFT(J395,I389+1)," ","§",LEN(LEFT(J395,I389+1))-LEN(SUBSTITUTE(LEFT(J395,I389+1)," ",""))))-1,IFERROR(FIND(" ",J395,I389+1)-1,LEN(J395))))))</f>
        <v/>
      </c>
      <c r="L395" s="6327"/>
      <c r="M395" s="6329"/>
      <c r="N395" t="s">
        <v>21</v>
      </c>
      <c r="AV395" s="103"/>
      <c r="AW395" s="31"/>
      <c r="AX395" s="32"/>
      <c r="AY395" s="31"/>
      <c r="AZ395" s="33"/>
      <c r="BA395" s="1967"/>
      <c r="BB395" s="1805"/>
      <c r="BC395" s="91"/>
      <c r="BD395" s="1806"/>
      <c r="BE395" s="6401"/>
      <c r="BF395" s="6402"/>
      <c r="BG395" s="1969"/>
      <c r="BH395" s="6403"/>
      <c r="BI395" s="95"/>
      <c r="BJ395" s="1326"/>
      <c r="BK395" s="6404"/>
      <c r="BL395" s="1737"/>
      <c r="BM395" s="2081"/>
      <c r="BN395" s="2238"/>
      <c r="BO395" s="1809"/>
      <c r="BR395" s="3">
        <v>1</v>
      </c>
    </row>
    <row r="396" spans="2:70" ht="21" customHeight="1">
      <c r="B396" s="6236"/>
      <c r="C396" s="6358">
        <f t="shared" si="153"/>
        <v>150</v>
      </c>
      <c r="D396" s="6390" t="str" cm="1">
        <f t="array" ref="D396">IF(MOD(ROW()-50,14)=0,INDEX(D386:D399,MOD(ROW()-50,14)+1),E394)</f>
        <v/>
      </c>
      <c r="E396" s="6391" t="str">
        <f t="shared" si="154"/>
        <v/>
      </c>
      <c r="F396" s="6392" t="str">
        <f t="shared" si="155"/>
        <v/>
      </c>
      <c r="G396" s="6321"/>
      <c r="H396" s="6323" t="str">
        <f t="shared" si="156"/>
        <v/>
      </c>
      <c r="I396" s="6373"/>
      <c r="J396" s="6363" t="str">
        <f t="shared" si="157"/>
        <v/>
      </c>
      <c r="K396" s="6364" t="str">
        <f>IF(J396="","",LEFT(J396,IF(LEN(J396)&lt;=I389,LEN(J396),IFERROR(FIND("§",SUBSTITUTE(LEFT(J396,I389+1)," ","§",LEN(LEFT(J396,I389+1))-LEN(SUBSTITUTE(LEFT(J396,I389+1)," ",""))))-1,IFERROR(FIND(" ",J396,I389+1)-1,LEN(J396))))))</f>
        <v/>
      </c>
      <c r="L396" s="6327"/>
      <c r="M396" s="6329"/>
      <c r="N396" t="s">
        <v>21</v>
      </c>
      <c r="AV396" s="103"/>
      <c r="AW396" s="31"/>
      <c r="AX396" s="32"/>
      <c r="AY396" s="31"/>
      <c r="AZ396" s="33"/>
      <c r="BA396" s="1967"/>
      <c r="BB396" s="1805"/>
      <c r="BC396" s="91"/>
      <c r="BD396" s="1806"/>
      <c r="BE396" s="6401"/>
      <c r="BF396" s="6402"/>
      <c r="BG396" s="1969"/>
      <c r="BH396" s="6403"/>
      <c r="BI396" s="95"/>
      <c r="BJ396" s="1326"/>
      <c r="BK396" s="6404"/>
      <c r="BL396" s="1737"/>
      <c r="BM396" s="2081"/>
      <c r="BN396" s="2238"/>
      <c r="BO396" s="1809"/>
      <c r="BR396" s="3">
        <v>1</v>
      </c>
    </row>
    <row r="397" spans="2:70" ht="21" customHeight="1">
      <c r="B397" s="6236"/>
      <c r="C397" s="6358">
        <f t="shared" si="153"/>
        <v>150</v>
      </c>
      <c r="D397" s="6390" t="str" cm="1">
        <f t="array" ref="D397">IF(MOD(ROW()-50,14)=0,INDEX(D386:D399,MOD(ROW()-50,14)+1),E395)</f>
        <v/>
      </c>
      <c r="E397" s="6391" t="str">
        <f t="shared" si="154"/>
        <v/>
      </c>
      <c r="F397" s="6392" t="str">
        <f t="shared" si="155"/>
        <v/>
      </c>
      <c r="G397" s="6321"/>
      <c r="H397" s="6323" t="str">
        <f t="shared" si="156"/>
        <v/>
      </c>
      <c r="I397" s="6373"/>
      <c r="J397" s="6363" t="str">
        <f t="shared" si="157"/>
        <v/>
      </c>
      <c r="K397" s="6364" t="str">
        <f>IF(J397="","",LEFT(J397,IF(LEN(J397)&lt;=I389,LEN(J397),IFERROR(FIND("§",SUBSTITUTE(LEFT(J397,I389+1)," ","§",LEN(LEFT(J397,I389+1))-LEN(SUBSTITUTE(LEFT(J397,I389+1)," ",""))))-1,IFERROR(FIND(" ",J397,I389+1)-1,LEN(J397))))))</f>
        <v/>
      </c>
      <c r="L397" s="6327"/>
      <c r="M397" s="6329"/>
      <c r="N397" t="s">
        <v>21</v>
      </c>
      <c r="AV397" s="103"/>
      <c r="AW397" s="31"/>
      <c r="AX397" s="32"/>
      <c r="AY397" s="31"/>
      <c r="AZ397" s="33"/>
      <c r="BA397" s="1967"/>
      <c r="BB397" s="1805"/>
      <c r="BC397" s="91"/>
      <c r="BD397" s="1806"/>
      <c r="BE397" s="6401"/>
      <c r="BF397" s="6402"/>
      <c r="BG397" s="1969"/>
      <c r="BH397" s="6403"/>
      <c r="BI397" s="95"/>
      <c r="BJ397" s="1326"/>
      <c r="BK397" s="6404"/>
      <c r="BL397" s="1737"/>
      <c r="BM397" s="2081"/>
      <c r="BN397" s="2238"/>
      <c r="BO397" s="1809"/>
      <c r="BR397" s="3">
        <v>1</v>
      </c>
    </row>
    <row r="398" spans="2:70" ht="21" customHeight="1">
      <c r="B398" s="6236"/>
      <c r="C398" s="6358">
        <f t="shared" si="153"/>
        <v>150</v>
      </c>
      <c r="D398" s="6390" t="str" cm="1">
        <f t="array" ref="D398">IF(MOD(ROW()-50,14)=0,INDEX(D386:D399,MOD(ROW()-50,14)+1),E396)</f>
        <v/>
      </c>
      <c r="E398" s="6391" t="str">
        <f t="shared" si="154"/>
        <v/>
      </c>
      <c r="F398" s="6392" t="str">
        <f t="shared" si="155"/>
        <v/>
      </c>
      <c r="G398" s="6321"/>
      <c r="H398" s="6323" t="str">
        <f t="shared" si="156"/>
        <v/>
      </c>
      <c r="I398" s="6373"/>
      <c r="J398" s="6363" t="str">
        <f t="shared" si="157"/>
        <v/>
      </c>
      <c r="K398" s="6364" t="str">
        <f>IF(J398="","",LEFT(J398,IF(LEN(J398)&lt;=I389,LEN(J398),IFERROR(FIND("§",SUBSTITUTE(LEFT(J398,I389+1)," ","§",LEN(LEFT(J398,I389+1))-LEN(SUBSTITUTE(LEFT(J398,I389+1)," ",""))))-1,IFERROR(FIND(" ",J398,I389+1)-1,LEN(J398))))))</f>
        <v/>
      </c>
      <c r="L398" s="6364"/>
      <c r="M398" s="6329"/>
      <c r="N398" t="s">
        <v>21</v>
      </c>
      <c r="AV398" s="103"/>
      <c r="AW398" s="31"/>
      <c r="AX398" s="32"/>
      <c r="AY398" s="31"/>
      <c r="AZ398" s="33"/>
      <c r="BA398" s="1967"/>
      <c r="BB398" s="1805"/>
      <c r="BC398" s="91"/>
      <c r="BD398" s="1806"/>
      <c r="BE398" s="6401"/>
      <c r="BF398" s="6402"/>
      <c r="BG398" s="1969"/>
      <c r="BH398" s="6403"/>
      <c r="BI398" s="95"/>
      <c r="BJ398" s="1326"/>
      <c r="BK398" s="6404"/>
      <c r="BL398" s="1737"/>
      <c r="BM398" s="2081"/>
      <c r="BN398" s="2238"/>
      <c r="BO398" s="1809"/>
      <c r="BR398" s="3">
        <v>1</v>
      </c>
    </row>
    <row r="399" spans="2:70" ht="21" customHeight="1">
      <c r="B399" s="6236"/>
      <c r="C399" s="6376">
        <f t="shared" si="153"/>
        <v>150</v>
      </c>
      <c r="D399" s="6406" t="str" cm="1">
        <f t="array" ref="D399">IF(MOD(ROW()-50,14)=0,INDEX(D386:D399,MOD(ROW()-50,14)+1),E397)</f>
        <v/>
      </c>
      <c r="E399" s="6407" t="str">
        <f t="shared" si="154"/>
        <v/>
      </c>
      <c r="F399" s="6408" t="str">
        <f t="shared" si="155"/>
        <v/>
      </c>
      <c r="G399" s="6322"/>
      <c r="H399" s="6323" t="str">
        <f t="shared" si="156"/>
        <v/>
      </c>
      <c r="I399" s="6379"/>
      <c r="J399" s="6380" t="str">
        <f t="shared" si="157"/>
        <v/>
      </c>
      <c r="K399" s="6381" t="str">
        <f>IF(J399="","",LEFT(J399,IF(LEN(J399)&lt;=I389,LEN(J399),IFERROR(FIND("§",SUBSTITUTE(LEFT(J399,I389+1)," ","§",LEN(LEFT(J399,I389+1))-LEN(SUBSTITUTE(LEFT(J399,I389+1)," ",""))))-1,IFERROR(FIND(" ",J399,I389+1)-1,LEN(J399))))))</f>
        <v/>
      </c>
      <c r="L399" s="6382"/>
      <c r="M399" s="6330"/>
      <c r="N399" t="s">
        <v>21</v>
      </c>
      <c r="AV399" s="103"/>
      <c r="AW399" s="31"/>
      <c r="AX399" s="32"/>
      <c r="AY399" s="31"/>
      <c r="AZ399" s="33"/>
      <c r="BA399" s="1967"/>
      <c r="BB399" s="1805"/>
      <c r="BC399" s="91"/>
      <c r="BD399" s="1806"/>
      <c r="BE399" s="6401"/>
      <c r="BF399" s="6402"/>
      <c r="BG399" s="1969"/>
      <c r="BH399" s="6403"/>
      <c r="BI399" s="95"/>
      <c r="BJ399" s="1326"/>
      <c r="BK399" s="6404"/>
      <c r="BL399" s="1737"/>
      <c r="BM399" s="2081"/>
      <c r="BN399" s="2238"/>
      <c r="BO399" s="1809"/>
      <c r="BR399" s="3">
        <v>1</v>
      </c>
    </row>
    <row r="400" spans="2:70" ht="21" customHeight="1">
      <c r="B400" s="6236"/>
      <c r="C400" s="6313">
        <f>AD75</f>
        <v>150</v>
      </c>
      <c r="D400" s="6314" t="str">
        <f>IF(UPPER(TRIM(X45))="X",U75,O75)</f>
        <v>26.TEST LIGNE 19 colonne Q et ligne 20 colonne P. rechercher la cellule qui coupe le texte Dans la cocotte N°3 en fonte, faites chauffer l’huile d’olive à feu moyen. Ajoutez la viande et faites-la dorer de tous les côtés. Retirez-la de la cocotte et réservez-la.</v>
      </c>
      <c r="E400" s="6315" t="str">
        <f>IF(D400="","",IF(F400="","",IF(LEN(F400)&gt;=LEN(D400),"",TRIM(MID(D400,LEN(F400)+1,99999)))))</f>
        <v>d’olive à feu moyen. Ajoutez la viande et faites-la dorer de tous les côtés. Retirez-la de la cocotte et réservez-la.</v>
      </c>
      <c r="F400" s="6316" t="str">
        <f>IF(D400="","",IF(LEN(D400)&lt;=C400,D400,IFERROR(LEFT(D400,FIND("§",SUBSTITUTE(LEFT(D400,C400+1)," ","§",LEN(LEFT(D400,C400+1))-LEN(SUBSTITUTE(LEFT(D400,C400+1)," ",""))))-1),LEFT(D400,C400))))</f>
        <v>26.TEST LIGNE 19 colonne Q et ligne 20 colonne P. rechercher la cellule qui coupe le texte Dans la cocotte N°3 en fonte, faites chauffer l’huile</v>
      </c>
      <c r="G400" s="6317"/>
      <c r="H400" s="6385">
        <f>IF(LEN(TRIM(L400))&gt;0,MAX(H399:H399)+1,"")</f>
        <v>1</v>
      </c>
      <c r="I400" s="6324" t="str">
        <f>D400</f>
        <v>26.TEST LIGNE 19 colonne Q et ligne 20 colonne P. rechercher la cellule qui coupe le texte Dans la cocotte N°3 en fonte, faites chauffer l’huile d’olive à feu moyen. Ajoutez la viande et faites-la dorer de tous les côtés. Retirez-la de la cocotte et réservez-la.</v>
      </c>
      <c r="J400" s="6386" t="str">
        <f>IF(I400=0,"",I400)</f>
        <v>26.TEST LIGNE 19 colonne Q et ligne 20 colonne P. rechercher la cellule qui coupe le texte Dans la cocotte N°3 en fonte, faites chauffer l’huile d’olive à feu moyen. Ajoutez la viande et faites-la dorer de tous les côtés. Retirez-la de la cocotte et réservez-la.</v>
      </c>
      <c r="K400" s="6387" t="str">
        <f>IF(I400="","",LEFT(I400,IF(LEN(I400)&lt;=I403,LEN(I400),IFERROR(FIND("§",SUBSTITUTE(LEFT(I400,I403+1)," ","§",LEN(LEFT(I400,I403+1))-LEN(SUBSTITUTE(LEFT(I400,I403+1)," ",""))))-1,IFERROR(FIND(" ",I400,I403+1)-1,LEN(I400))))))</f>
        <v>26.TEST LIGNE 19 colonne Q et ligne 20 colonne P.</v>
      </c>
      <c r="L400" s="6388" t="str" cm="1">
        <f t="array" ref="L400:L405">_xlfn._xlws.FILTER(TRIM(SUBSTITUTE(SUBSTITUTE(SUBSTITUTE(SUBSTITUTE(SUBSTITUTE(CLEAN(K400:K413),CHAR(160)," "),_xlfn.UNICHAR(8239)," "),CHAR(9)," "),CHAR(10)," "),CHAR(13)," ")),TRIM(SUBSTITUTE(SUBSTITUTE(SUBSTITUTE(SUBSTITUTE(SUBSTITUTE(CLEAN(K400:K413),CHAR(160)," "),_xlfn.UNICHAR(8239)," "),CHAR(9)," "),CHAR(10)," "),CHAR(13)," "))&lt;&gt;"")</f>
        <v>26.TEST LIGNE 19 colonne Q et ligne 20 colonne P.</v>
      </c>
      <c r="M400" s="6331"/>
      <c r="N400" t="s">
        <v>21</v>
      </c>
      <c r="AV400" s="103"/>
      <c r="AW400" s="31"/>
      <c r="AX400" s="32"/>
      <c r="AY400" s="31"/>
      <c r="AZ400" s="33"/>
      <c r="BA400" s="1967"/>
      <c r="BB400" s="1805"/>
      <c r="BC400" s="91"/>
      <c r="BD400" s="1806"/>
      <c r="BE400" s="6401"/>
      <c r="BF400" s="6402"/>
      <c r="BG400" s="1969"/>
      <c r="BH400" s="6403"/>
      <c r="BI400" s="95"/>
      <c r="BJ400" s="1326"/>
      <c r="BK400" s="6404"/>
      <c r="BL400" s="1737"/>
      <c r="BM400" s="2081"/>
      <c r="BN400" s="2238"/>
      <c r="BO400" s="1809"/>
      <c r="BR400" s="3">
        <v>1</v>
      </c>
    </row>
    <row r="401" spans="2:70" ht="21" customHeight="1">
      <c r="B401" s="6236"/>
      <c r="C401" s="6358">
        <f t="shared" ref="C401:C413" si="158">C400</f>
        <v>150</v>
      </c>
      <c r="D401" s="6359" t="str" cm="1">
        <f t="array" ref="D401">IF(MOD(ROW()-50,14)=0,INDEX(D400:D413,MOD(ROW()-50,14)+1),E399)</f>
        <v/>
      </c>
      <c r="E401" s="6360" t="str">
        <f t="shared" ref="E401:E413" si="159">IF(D401="","",IF(F401="","",IF(LEN(F401)&gt;=LEN(D401),"",TRIM(MID(D401,LEN(F401)+1,99999)))))</f>
        <v/>
      </c>
      <c r="F401" s="6361" t="str">
        <f t="shared" ref="F401:F413" si="160">IF(D401="","",IF(LEN(D401)&lt;=C401,D401,IFERROR(LEFT(D401,FIND("§",SUBSTITUTE(LEFT(D401,C401+1)," ","§",LEN(LEFT(D401,C401+1))-LEN(SUBSTITUTE(LEFT(D401,C401+1)," ",""))))-1),LEFT(D401,C401))))</f>
        <v/>
      </c>
      <c r="G401" s="6318"/>
      <c r="H401" s="6393">
        <f t="shared" ref="H401:H413" si="161">IF(LEN(TRIM(L401))&gt;0,MAX(H400:H400)+1,"")</f>
        <v>2</v>
      </c>
      <c r="I401" s="6394" t="s">
        <v>14355</v>
      </c>
      <c r="J401" s="6395" t="str">
        <f>TRIM(MID(I404,LEN(K400)+1,99999))</f>
        <v>rechercher la cellule qui coupe le texte Dans la cocotte N°3 en fonte, faites chauffer l’huile d’olive à feu moyen. Ajoutez la viande et faites-la dorer de tous les côtés. Retirez-la de la cocotte et réservez-la.</v>
      </c>
      <c r="K401" s="6396" t="str">
        <f>IF(J401="","",LEFT(J401,IF(LEN(J401)&lt;=I403,LEN(J401),IFERROR(FIND("§",SUBSTITUTE(LEFT(J401,I403+1)," ","§",LEN(LEFT(J401,I403+1))-LEN(SUBSTITUTE(LEFT(J401,I403+1)," ",""))))-1,IFERROR(FIND(" ",J401,I403+1)-1,LEN(J401))))))</f>
        <v>rechercher la cellule qui coupe le texte Dans la</v>
      </c>
      <c r="L401" s="6388" t="str">
        <v>rechercher la cellule qui coupe le texte Dans la</v>
      </c>
      <c r="M401" s="6332"/>
      <c r="N401" t="s">
        <v>21</v>
      </c>
      <c r="AV401" s="103"/>
      <c r="AW401" s="31"/>
      <c r="AX401" s="32"/>
      <c r="AY401" s="31"/>
      <c r="AZ401" s="33"/>
      <c r="BA401" s="1967"/>
      <c r="BB401" s="1805"/>
      <c r="BC401" s="91"/>
      <c r="BD401" s="1806"/>
      <c r="BE401" s="6401"/>
      <c r="BF401" s="6402"/>
      <c r="BG401" s="1969"/>
      <c r="BH401" s="6403"/>
      <c r="BI401" s="95"/>
      <c r="BJ401" s="1326"/>
      <c r="BK401" s="6404"/>
      <c r="BL401" s="1737"/>
      <c r="BM401" s="2081"/>
      <c r="BN401" s="2238"/>
      <c r="BO401" s="1809"/>
      <c r="BR401" s="3">
        <v>1</v>
      </c>
    </row>
    <row r="402" spans="2:70" ht="21" customHeight="1">
      <c r="B402" s="6236"/>
      <c r="C402" s="6358">
        <f t="shared" si="158"/>
        <v>150</v>
      </c>
      <c r="D402" s="6359" t="str" cm="1">
        <f t="array" ref="D402">IF(MOD(ROW()-50,14)=0,INDEX(D400:D413,MOD(ROW()-50,14)+1),E400)</f>
        <v>d’olive à feu moyen. Ajoutez la viande et faites-la dorer de tous les côtés. Retirez-la de la cocotte et réservez-la.</v>
      </c>
      <c r="E402" s="6360" t="str">
        <f t="shared" si="159"/>
        <v/>
      </c>
      <c r="F402" s="6361" t="str">
        <f t="shared" si="160"/>
        <v>d’olive à feu moyen. Ajoutez la viande et faites-la dorer de tous les côtés. Retirez-la de la cocotte et réservez-la.</v>
      </c>
      <c r="G402" s="6318"/>
      <c r="H402" s="6393">
        <f t="shared" si="161"/>
        <v>3</v>
      </c>
      <c r="I402" s="6365">
        <f>Z75</f>
        <v>5</v>
      </c>
      <c r="J402" s="6395" t="str">
        <f t="shared" ref="J402:J413" si="162">TRIM(MID(J401,LEN(K401)+1,99999))</f>
        <v>cocotte N°3 en fonte, faites chauffer l’huile d’olive à feu moyen. Ajoutez la viande et faites-la dorer de tous les côtés. Retirez-la de la cocotte et réservez-la.</v>
      </c>
      <c r="K402" s="6396" t="str">
        <f>IF(J402="","",LEFT(J402,IF(LEN(J402)&lt;=I403,LEN(J402),IFERROR(FIND("§",SUBSTITUTE(LEFT(J402,I403+1)," ","§",LEN(LEFT(J402,I403+1))-LEN(SUBSTITUTE(LEFT(J402,I403+1)," ",""))))-1,IFERROR(FIND(" ",J402,I403+1)-1,LEN(J402))))))</f>
        <v>cocotte N°3 en fonte, faites chauffer l’huile d’olive</v>
      </c>
      <c r="L402" s="6388" t="str">
        <v>cocotte N°3 en fonte, faites chauffer l’huile d’olive</v>
      </c>
      <c r="M402" s="6332"/>
      <c r="N402" t="s">
        <v>21</v>
      </c>
      <c r="AV402" s="103"/>
      <c r="AW402" s="31"/>
      <c r="AX402" s="32"/>
      <c r="AY402" s="31"/>
      <c r="AZ402" s="33"/>
      <c r="BA402" s="1967"/>
      <c r="BB402" s="1805"/>
      <c r="BC402" s="91"/>
      <c r="BD402" s="1806"/>
      <c r="BE402" s="6401"/>
      <c r="BF402" s="6402"/>
      <c r="BG402" s="1969"/>
      <c r="BH402" s="6403"/>
      <c r="BI402" s="95"/>
      <c r="BJ402" s="1326"/>
      <c r="BK402" s="6404"/>
      <c r="BL402" s="1737"/>
      <c r="BM402" s="2081"/>
      <c r="BN402" s="2238"/>
      <c r="BO402" s="1809"/>
      <c r="BR402" s="3">
        <v>1</v>
      </c>
    </row>
    <row r="403" spans="2:70" ht="21" customHeight="1">
      <c r="B403" s="6236"/>
      <c r="C403" s="6358">
        <f t="shared" si="158"/>
        <v>150</v>
      </c>
      <c r="D403" s="6359" t="str" cm="1">
        <f t="array" ref="D403">IF(MOD(ROW()-50,14)=0,INDEX(D400:D413,MOD(ROW()-50,14)+1),E401)</f>
        <v/>
      </c>
      <c r="E403" s="6360" t="str">
        <f t="shared" si="159"/>
        <v/>
      </c>
      <c r="F403" s="6361" t="str">
        <f t="shared" si="160"/>
        <v/>
      </c>
      <c r="G403" s="6318"/>
      <c r="H403" s="6393">
        <f t="shared" si="161"/>
        <v>4</v>
      </c>
      <c r="I403" s="6398">
        <f>IF(OR(J400="",I402="",I402&lt;=0),"",ROUNDUP(LEN(J400)/I402,0))</f>
        <v>53</v>
      </c>
      <c r="J403" s="6395" t="str">
        <f t="shared" si="162"/>
        <v>à feu moyen. Ajoutez la viande et faites-la dorer de tous les côtés. Retirez-la de la cocotte et réservez-la.</v>
      </c>
      <c r="K403" s="6396" t="str">
        <f>IF(J403="","",LEFT(J403,IF(LEN(J403)&lt;=I403,LEN(J403),IFERROR(FIND("§",SUBSTITUTE(LEFT(J403,I403+1)," ","§",LEN(LEFT(J403,I403+1))-LEN(SUBSTITUTE(LEFT(J403,I403+1)," ",""))))-1,IFERROR(FIND(" ",J403,I403+1)-1,LEN(J403))))))</f>
        <v>à feu moyen. Ajoutez la viande et faites-la dorer de</v>
      </c>
      <c r="L403" s="6388" t="str">
        <v>à feu moyen. Ajoutez la viande et faites-la dorer de</v>
      </c>
      <c r="M403" s="6332"/>
      <c r="N403" t="s">
        <v>21</v>
      </c>
      <c r="AV403" s="103"/>
      <c r="AW403" s="31"/>
      <c r="AX403" s="32"/>
      <c r="AY403" s="31"/>
      <c r="AZ403" s="33"/>
      <c r="BA403" s="1967"/>
      <c r="BB403" s="1805"/>
      <c r="BC403" s="91"/>
      <c r="BD403" s="1806"/>
      <c r="BE403" s="6401"/>
      <c r="BF403" s="6402"/>
      <c r="BG403" s="1969"/>
      <c r="BH403" s="6403"/>
      <c r="BI403" s="95"/>
      <c r="BJ403" s="1326"/>
      <c r="BK403" s="6404"/>
      <c r="BL403" s="1737"/>
      <c r="BM403" s="2081"/>
      <c r="BN403" s="2238"/>
      <c r="BO403" s="1809"/>
      <c r="BR403" s="3">
        <v>1</v>
      </c>
    </row>
    <row r="404" spans="2:70" ht="21" customHeight="1">
      <c r="B404" s="6236"/>
      <c r="C404" s="6358">
        <f t="shared" si="158"/>
        <v>150</v>
      </c>
      <c r="D404" s="6359" t="str" cm="1">
        <f t="array" ref="D404">IF(MOD(ROW()-50,14)=0,INDEX(D400:D413,MOD(ROW()-50,14)+1),E402)</f>
        <v/>
      </c>
      <c r="E404" s="6360" t="str">
        <f t="shared" si="159"/>
        <v/>
      </c>
      <c r="F404" s="6361" t="str">
        <f t="shared" si="160"/>
        <v/>
      </c>
      <c r="G404" s="6318"/>
      <c r="H404" s="6393">
        <f t="shared" si="161"/>
        <v>5</v>
      </c>
      <c r="I404" s="6400" t="str">
        <f>I400</f>
        <v>26.TEST LIGNE 19 colonne Q et ligne 20 colonne P. rechercher la cellule qui coupe le texte Dans la cocotte N°3 en fonte, faites chauffer l’huile d’olive à feu moyen. Ajoutez la viande et faites-la dorer de tous les côtés. Retirez-la de la cocotte et réservez-la.</v>
      </c>
      <c r="J404" s="6395" t="str">
        <f t="shared" si="162"/>
        <v>tous les côtés. Retirez-la de la cocotte et réservez-la.</v>
      </c>
      <c r="K404" s="6396" t="str">
        <f>IF(J404="","",LEFT(J404,IF(LEN(J404)&lt;=I403,LEN(J404),IFERROR(FIND("§",SUBSTITUTE(LEFT(J404,I403+1)," ","§",LEN(LEFT(J404,I403+1))-LEN(SUBSTITUTE(LEFT(J404,I403+1)," ",""))))-1,IFERROR(FIND(" ",J404,I403+1)-1,LEN(J404))))))</f>
        <v>tous les côtés. Retirez-la de la cocotte et</v>
      </c>
      <c r="L404" s="6388" t="str">
        <v>tous les côtés. Retirez-la de la cocotte et</v>
      </c>
      <c r="M404" s="6332"/>
      <c r="N404" t="s">
        <v>21</v>
      </c>
      <c r="AV404" s="103"/>
      <c r="AW404" s="31"/>
      <c r="AX404" s="32"/>
      <c r="AY404" s="31"/>
      <c r="AZ404" s="33"/>
      <c r="BA404" s="1967"/>
      <c r="BB404" s="1805"/>
      <c r="BC404" s="91"/>
      <c r="BD404" s="1806"/>
      <c r="BE404" s="6401"/>
      <c r="BF404" s="6402"/>
      <c r="BG404" s="1969"/>
      <c r="BH404" s="6403"/>
      <c r="BI404" s="95"/>
      <c r="BJ404" s="1326"/>
      <c r="BK404" s="6404"/>
      <c r="BL404" s="1737"/>
      <c r="BM404" s="2081"/>
      <c r="BN404" s="2238"/>
      <c r="BO404" s="1809"/>
      <c r="BR404" s="3">
        <v>1</v>
      </c>
    </row>
    <row r="405" spans="2:70" ht="21" customHeight="1">
      <c r="B405" s="6236"/>
      <c r="C405" s="6358">
        <f t="shared" si="158"/>
        <v>150</v>
      </c>
      <c r="D405" s="6359" t="str" cm="1">
        <f t="array" ref="D405">IF(MOD(ROW()-50,14)=0,INDEX(D400:D413,MOD(ROW()-50,14)+1),E403)</f>
        <v/>
      </c>
      <c r="E405" s="6360" t="str">
        <f t="shared" si="159"/>
        <v/>
      </c>
      <c r="F405" s="6361" t="str">
        <f t="shared" si="160"/>
        <v/>
      </c>
      <c r="G405" s="6318"/>
      <c r="H405" s="6393">
        <f t="shared" si="161"/>
        <v>6</v>
      </c>
      <c r="I405" s="6405"/>
      <c r="J405" s="6395" t="str">
        <f t="shared" si="162"/>
        <v>réservez-la.</v>
      </c>
      <c r="K405" s="6396" t="str">
        <f>IF(J405="","",LEFT(J405,IF(LEN(J405)&lt;=I403,LEN(J405),IFERROR(FIND("§",SUBSTITUTE(LEFT(J405,I403+1)," ","§",LEN(LEFT(J405,I403+1))-LEN(SUBSTITUTE(LEFT(J405,I403+1)," ",""))))-1,IFERROR(FIND(" ",J405,I403+1)-1,LEN(J405))))))</f>
        <v>réservez-la.</v>
      </c>
      <c r="L405" s="6388" t="str">
        <v>réservez-la.</v>
      </c>
      <c r="M405" s="6332"/>
      <c r="N405" t="s">
        <v>21</v>
      </c>
      <c r="AV405" s="103"/>
      <c r="AW405" s="31"/>
      <c r="AX405" s="32"/>
      <c r="AY405" s="31"/>
      <c r="AZ405" s="33"/>
      <c r="BA405" s="1967"/>
      <c r="BB405" s="1805"/>
      <c r="BC405" s="91"/>
      <c r="BD405" s="1806"/>
      <c r="BE405" s="6401"/>
      <c r="BF405" s="6402"/>
      <c r="BG405" s="1969"/>
      <c r="BH405" s="6403"/>
      <c r="BI405" s="95"/>
      <c r="BJ405" s="1326"/>
      <c r="BK405" s="6404"/>
      <c r="BL405" s="1737"/>
      <c r="BM405" s="2081"/>
      <c r="BN405" s="2238"/>
      <c r="BO405" s="1809"/>
      <c r="BR405" s="3">
        <v>1</v>
      </c>
    </row>
    <row r="406" spans="2:70" ht="21" customHeight="1">
      <c r="B406" s="6236"/>
      <c r="C406" s="6358">
        <f t="shared" si="158"/>
        <v>150</v>
      </c>
      <c r="D406" s="6359" t="str" cm="1">
        <f t="array" ref="D406">IF(MOD(ROW()-50,14)=0,INDEX(D400:D413,MOD(ROW()-50,14)+1),E404)</f>
        <v/>
      </c>
      <c r="E406" s="6360" t="str">
        <f t="shared" si="159"/>
        <v/>
      </c>
      <c r="F406" s="6361" t="str">
        <f t="shared" si="160"/>
        <v/>
      </c>
      <c r="G406" s="6318"/>
      <c r="H406" s="6393" t="str">
        <f t="shared" si="161"/>
        <v/>
      </c>
      <c r="I406" s="6405"/>
      <c r="J406" s="6395" t="str">
        <f t="shared" si="162"/>
        <v/>
      </c>
      <c r="K406" s="6396" t="str">
        <f>IF(J406="","",LEFT(J406,IF(LEN(J406)&lt;=I403,LEN(J406),IFERROR(FIND("§",SUBSTITUTE(LEFT(J406,I403+1)," ","§",LEN(LEFT(J406,I403+1))-LEN(SUBSTITUTE(LEFT(J406,I403+1)," ",""))))-1,IFERROR(FIND(" ",J406,I403+1)-1,LEN(J406))))))</f>
        <v/>
      </c>
      <c r="L406" s="6388"/>
      <c r="M406" s="6332"/>
      <c r="N406" t="s">
        <v>21</v>
      </c>
      <c r="AV406" s="103"/>
      <c r="AW406" s="31"/>
      <c r="AX406" s="32"/>
      <c r="AY406" s="31"/>
      <c r="AZ406" s="33"/>
      <c r="BA406" s="1967"/>
      <c r="BB406" s="1805"/>
      <c r="BC406" s="91"/>
      <c r="BD406" s="1806"/>
      <c r="BE406" s="6401"/>
      <c r="BF406" s="6402"/>
      <c r="BG406" s="1969"/>
      <c r="BH406" s="6403"/>
      <c r="BI406" s="95"/>
      <c r="BJ406" s="1326"/>
      <c r="BK406" s="6404"/>
      <c r="BL406" s="1737"/>
      <c r="BM406" s="2081"/>
      <c r="BN406" s="2238"/>
      <c r="BO406" s="1809"/>
      <c r="BR406" s="3">
        <v>1</v>
      </c>
    </row>
    <row r="407" spans="2:70" ht="21" customHeight="1">
      <c r="B407" s="6236"/>
      <c r="C407" s="6358">
        <f t="shared" si="158"/>
        <v>150</v>
      </c>
      <c r="D407" s="6359" t="str" cm="1">
        <f t="array" ref="D407">IF(MOD(ROW()-50,14)=0,INDEX(D400:D413,MOD(ROW()-50,14)+1),E405)</f>
        <v/>
      </c>
      <c r="E407" s="6360" t="str">
        <f t="shared" si="159"/>
        <v/>
      </c>
      <c r="F407" s="6361" t="str">
        <f t="shared" si="160"/>
        <v/>
      </c>
      <c r="G407" s="6318"/>
      <c r="H407" s="6393" t="str">
        <f t="shared" si="161"/>
        <v/>
      </c>
      <c r="I407" s="6405"/>
      <c r="J407" s="6395" t="str">
        <f t="shared" si="162"/>
        <v/>
      </c>
      <c r="K407" s="6396" t="str">
        <f>IF(J407="","",LEFT(J407,IF(LEN(J407)&lt;=I403,LEN(J407),IFERROR(FIND("§",SUBSTITUTE(LEFT(J407,I403+1)," ","§",LEN(LEFT(J407,I403+1))-LEN(SUBSTITUTE(LEFT(J407,I403+1)," ",""))))-1,IFERROR(FIND(" ",J407,I403+1)-1,LEN(J407))))))</f>
        <v/>
      </c>
      <c r="L407" s="6388"/>
      <c r="M407" s="6332"/>
      <c r="N407" t="s">
        <v>21</v>
      </c>
      <c r="AV407" s="103"/>
      <c r="AW407" s="31"/>
      <c r="AX407" s="32"/>
      <c r="AY407" s="31"/>
      <c r="AZ407" s="33"/>
      <c r="BA407" s="1967"/>
      <c r="BB407" s="1805"/>
      <c r="BC407" s="91"/>
      <c r="BD407" s="1806"/>
      <c r="BE407" s="6401"/>
      <c r="BF407" s="6402"/>
      <c r="BG407" s="1969"/>
      <c r="BH407" s="6403"/>
      <c r="BI407" s="95"/>
      <c r="BJ407" s="1326"/>
      <c r="BK407" s="6404"/>
      <c r="BL407" s="1737"/>
      <c r="BM407" s="2081"/>
      <c r="BN407" s="2238"/>
      <c r="BO407" s="1809"/>
      <c r="BR407" s="3">
        <v>1</v>
      </c>
    </row>
    <row r="408" spans="2:70" ht="21" customHeight="1">
      <c r="B408" s="6236"/>
      <c r="C408" s="6358">
        <f t="shared" si="158"/>
        <v>150</v>
      </c>
      <c r="D408" s="6359" t="str" cm="1">
        <f t="array" ref="D408">IF(MOD(ROW()-50,14)=0,INDEX(D400:D413,MOD(ROW()-50,14)+1),E406)</f>
        <v/>
      </c>
      <c r="E408" s="6360" t="str">
        <f t="shared" si="159"/>
        <v/>
      </c>
      <c r="F408" s="6361" t="str">
        <f t="shared" si="160"/>
        <v/>
      </c>
      <c r="G408" s="6318"/>
      <c r="H408" s="6393" t="str">
        <f t="shared" si="161"/>
        <v/>
      </c>
      <c r="I408" s="6405"/>
      <c r="J408" s="6395" t="str">
        <f t="shared" si="162"/>
        <v/>
      </c>
      <c r="K408" s="6396" t="str">
        <f>IF(J408="","",LEFT(J408,IF(LEN(J408)&lt;=I403,LEN(J408),IFERROR(FIND("§",SUBSTITUTE(LEFT(J408,I403+1)," ","§",LEN(LEFT(J408,I403+1))-LEN(SUBSTITUTE(LEFT(J408,I403+1)," ",""))))-1,IFERROR(FIND(" ",J408,I403+1)-1,LEN(J408))))))</f>
        <v/>
      </c>
      <c r="L408" s="6388"/>
      <c r="M408" s="6332"/>
      <c r="N408" t="s">
        <v>21</v>
      </c>
      <c r="AV408" s="103"/>
      <c r="AW408" s="31"/>
      <c r="AX408" s="32"/>
      <c r="AY408" s="31"/>
      <c r="AZ408" s="33"/>
      <c r="BA408" s="1967"/>
      <c r="BB408" s="1805"/>
      <c r="BC408" s="91"/>
      <c r="BD408" s="1806"/>
      <c r="BE408" s="6401"/>
      <c r="BF408" s="6402"/>
      <c r="BG408" s="1969"/>
      <c r="BH408" s="6403"/>
      <c r="BI408" s="95"/>
      <c r="BJ408" s="1326"/>
      <c r="BK408" s="6404"/>
      <c r="BL408" s="1737"/>
      <c r="BM408" s="2081"/>
      <c r="BN408" s="2238"/>
      <c r="BO408" s="1809"/>
      <c r="BR408" s="3">
        <v>1</v>
      </c>
    </row>
    <row r="409" spans="2:70" ht="21" customHeight="1">
      <c r="B409" s="6236"/>
      <c r="C409" s="6358">
        <f t="shared" si="158"/>
        <v>150</v>
      </c>
      <c r="D409" s="6359" t="str" cm="1">
        <f t="array" ref="D409">IF(MOD(ROW()-50,14)=0,INDEX(D400:D413,MOD(ROW()-50,14)+1),E407)</f>
        <v/>
      </c>
      <c r="E409" s="6360" t="str">
        <f t="shared" si="159"/>
        <v/>
      </c>
      <c r="F409" s="6361" t="str">
        <f t="shared" si="160"/>
        <v/>
      </c>
      <c r="G409" s="6318"/>
      <c r="H409" s="6393" t="str">
        <f t="shared" si="161"/>
        <v/>
      </c>
      <c r="I409" s="6405"/>
      <c r="J409" s="6395" t="str">
        <f t="shared" si="162"/>
        <v/>
      </c>
      <c r="K409" s="6396" t="str">
        <f>IF(J409="","",LEFT(J409,IF(LEN(J409)&lt;=I403,LEN(J409),IFERROR(FIND("§",SUBSTITUTE(LEFT(J409,I403+1)," ","§",LEN(LEFT(J409,I403+1))-LEN(SUBSTITUTE(LEFT(J409,I403+1)," ",""))))-1,IFERROR(FIND(" ",J409,I403+1)-1,LEN(J409))))))</f>
        <v/>
      </c>
      <c r="L409" s="6388"/>
      <c r="M409" s="6332"/>
      <c r="N409" t="s">
        <v>21</v>
      </c>
      <c r="AV409" s="103"/>
      <c r="AW409" s="31"/>
      <c r="AX409" s="32"/>
      <c r="AY409" s="31"/>
      <c r="AZ409" s="33"/>
      <c r="BA409" s="1967"/>
      <c r="BB409" s="1805"/>
      <c r="BC409" s="91"/>
      <c r="BD409" s="1806"/>
      <c r="BE409" s="6401"/>
      <c r="BF409" s="6402"/>
      <c r="BG409" s="1969"/>
      <c r="BH409" s="6403"/>
      <c r="BI409" s="95"/>
      <c r="BJ409" s="1326"/>
      <c r="BK409" s="6404"/>
      <c r="BL409" s="1737"/>
      <c r="BM409" s="2081"/>
      <c r="BN409" s="2238"/>
      <c r="BO409" s="1809"/>
      <c r="BR409" s="3">
        <v>1</v>
      </c>
    </row>
    <row r="410" spans="2:70" ht="21" customHeight="1">
      <c r="B410" s="6236"/>
      <c r="C410" s="6358">
        <f t="shared" si="158"/>
        <v>150</v>
      </c>
      <c r="D410" s="6359" t="str" cm="1">
        <f t="array" ref="D410">IF(MOD(ROW()-50,14)=0,INDEX(D400:D413,MOD(ROW()-50,14)+1),E408)</f>
        <v/>
      </c>
      <c r="E410" s="6360" t="str">
        <f t="shared" si="159"/>
        <v/>
      </c>
      <c r="F410" s="6361" t="str">
        <f t="shared" si="160"/>
        <v/>
      </c>
      <c r="G410" s="6318"/>
      <c r="H410" s="6393" t="str">
        <f t="shared" si="161"/>
        <v/>
      </c>
      <c r="I410" s="6405"/>
      <c r="J410" s="6395" t="str">
        <f t="shared" si="162"/>
        <v/>
      </c>
      <c r="K410" s="6396" t="str">
        <f>IF(J410="","",LEFT(J410,IF(LEN(J410)&lt;=I403,LEN(J410),IFERROR(FIND("§",SUBSTITUTE(LEFT(J410,I403+1)," ","§",LEN(LEFT(J410,I403+1))-LEN(SUBSTITUTE(LEFT(J410,I403+1)," ",""))))-1,IFERROR(FIND(" ",J410,I403+1)-1,LEN(J410))))))</f>
        <v/>
      </c>
      <c r="L410" s="6388"/>
      <c r="M410" s="6332"/>
      <c r="N410" t="s">
        <v>21</v>
      </c>
      <c r="AV410" s="103"/>
      <c r="AW410" s="31"/>
      <c r="AX410" s="32"/>
      <c r="AY410" s="31"/>
      <c r="AZ410" s="33"/>
      <c r="BA410" s="1967"/>
      <c r="BB410" s="1805"/>
      <c r="BC410" s="91"/>
      <c r="BD410" s="1806"/>
      <c r="BE410" s="6401"/>
      <c r="BF410" s="6402"/>
      <c r="BG410" s="1969"/>
      <c r="BH410" s="6403"/>
      <c r="BI410" s="95"/>
      <c r="BJ410" s="1326"/>
      <c r="BK410" s="6404"/>
      <c r="BL410" s="1737"/>
      <c r="BM410" s="2081"/>
      <c r="BN410" s="2238"/>
      <c r="BO410" s="1809"/>
      <c r="BR410" s="3">
        <v>1</v>
      </c>
    </row>
    <row r="411" spans="2:70" ht="21" customHeight="1">
      <c r="B411" s="6236"/>
      <c r="C411" s="6358">
        <f t="shared" si="158"/>
        <v>150</v>
      </c>
      <c r="D411" s="6359" t="str" cm="1">
        <f t="array" ref="D411">IF(MOD(ROW()-50,14)=0,INDEX(D400:D413,MOD(ROW()-50,14)+1),E409)</f>
        <v/>
      </c>
      <c r="E411" s="6360" t="str">
        <f t="shared" si="159"/>
        <v/>
      </c>
      <c r="F411" s="6361" t="str">
        <f t="shared" si="160"/>
        <v/>
      </c>
      <c r="G411" s="6318"/>
      <c r="H411" s="6393" t="str">
        <f t="shared" si="161"/>
        <v/>
      </c>
      <c r="I411" s="6405"/>
      <c r="J411" s="6395" t="str">
        <f t="shared" si="162"/>
        <v/>
      </c>
      <c r="K411" s="6396" t="str">
        <f>IF(J411="","",LEFT(J411,IF(LEN(J411)&lt;=I403,LEN(J411),IFERROR(FIND("§",SUBSTITUTE(LEFT(J411,I403+1)," ","§",LEN(LEFT(J411,I403+1))-LEN(SUBSTITUTE(LEFT(J411,I403+1)," ",""))))-1,IFERROR(FIND(" ",J411,I403+1)-1,LEN(J411))))))</f>
        <v/>
      </c>
      <c r="L411" s="6388"/>
      <c r="M411" s="6332"/>
      <c r="N411" t="s">
        <v>21</v>
      </c>
      <c r="AV411" s="103"/>
      <c r="AW411" s="31"/>
      <c r="AX411" s="32"/>
      <c r="AY411" s="31"/>
      <c r="AZ411" s="33"/>
      <c r="BA411" s="1967"/>
      <c r="BB411" s="1805"/>
      <c r="BC411" s="91"/>
      <c r="BD411" s="1806"/>
      <c r="BE411" s="6401"/>
      <c r="BF411" s="6402"/>
      <c r="BG411" s="1969"/>
      <c r="BH411" s="6403"/>
      <c r="BI411" s="95"/>
      <c r="BJ411" s="1326"/>
      <c r="BK411" s="6404"/>
      <c r="BL411" s="1737"/>
      <c r="BM411" s="2081"/>
      <c r="BN411" s="2238"/>
      <c r="BO411" s="1809"/>
      <c r="BR411" s="3">
        <v>1</v>
      </c>
    </row>
    <row r="412" spans="2:70" ht="21" customHeight="1">
      <c r="B412" s="6236"/>
      <c r="C412" s="6358">
        <f t="shared" si="158"/>
        <v>150</v>
      </c>
      <c r="D412" s="6359" t="str" cm="1">
        <f t="array" ref="D412">IF(MOD(ROW()-50,14)=0,INDEX(D400:D413,MOD(ROW()-50,14)+1),E410)</f>
        <v/>
      </c>
      <c r="E412" s="6360" t="str">
        <f t="shared" si="159"/>
        <v/>
      </c>
      <c r="F412" s="6361" t="str">
        <f t="shared" si="160"/>
        <v/>
      </c>
      <c r="G412" s="6318"/>
      <c r="H412" s="6393" t="str">
        <f t="shared" si="161"/>
        <v/>
      </c>
      <c r="I412" s="6405"/>
      <c r="J412" s="6395" t="str">
        <f t="shared" si="162"/>
        <v/>
      </c>
      <c r="K412" s="6396" t="str">
        <f>IF(J412="","",LEFT(J412,IF(LEN(J412)&lt;=I403,LEN(J412),IFERROR(FIND("§",SUBSTITUTE(LEFT(J412,I403+1)," ","§",LEN(LEFT(J412,I403+1))-LEN(SUBSTITUTE(LEFT(J412,I403+1)," ",""))))-1,IFERROR(FIND(" ",J412,I403+1)-1,LEN(J412))))))</f>
        <v/>
      </c>
      <c r="L412" s="6396"/>
      <c r="M412" s="6332"/>
      <c r="N412" t="s">
        <v>21</v>
      </c>
      <c r="AV412" s="103"/>
      <c r="AW412" s="31"/>
      <c r="AX412" s="32"/>
      <c r="AY412" s="31"/>
      <c r="AZ412" s="33"/>
      <c r="BA412" s="1967"/>
      <c r="BB412" s="1805"/>
      <c r="BC412" s="91"/>
      <c r="BD412" s="1806"/>
      <c r="BE412" s="6401"/>
      <c r="BF412" s="6402"/>
      <c r="BG412" s="1969"/>
      <c r="BH412" s="6403"/>
      <c r="BI412" s="95"/>
      <c r="BJ412" s="1326"/>
      <c r="BK412" s="6404"/>
      <c r="BL412" s="1737"/>
      <c r="BM412" s="2081"/>
      <c r="BN412" s="2238"/>
      <c r="BO412" s="1809"/>
      <c r="BR412" s="3">
        <v>1</v>
      </c>
    </row>
    <row r="413" spans="2:70" ht="21" customHeight="1">
      <c r="B413" s="6236"/>
      <c r="C413" s="6376">
        <f t="shared" si="158"/>
        <v>150</v>
      </c>
      <c r="D413" s="6414" t="str" cm="1">
        <f t="array" ref="D413">IF(MOD(ROW()-50,14)=0,INDEX(D400:D413,MOD(ROW()-50,14)+1),E411)</f>
        <v/>
      </c>
      <c r="E413" s="6377" t="str">
        <f t="shared" si="159"/>
        <v/>
      </c>
      <c r="F413" s="6378" t="str">
        <f t="shared" si="160"/>
        <v/>
      </c>
      <c r="G413" s="6319"/>
      <c r="H413" s="6409" t="str">
        <f t="shared" si="161"/>
        <v/>
      </c>
      <c r="I413" s="6410"/>
      <c r="J413" s="6411" t="str">
        <f t="shared" si="162"/>
        <v/>
      </c>
      <c r="K413" s="6412" t="str">
        <f>IF(J413="","",LEFT(J413,IF(LEN(J413)&lt;=I403,LEN(J413),IFERROR(FIND("§",SUBSTITUTE(LEFT(J413,I403+1)," ","§",LEN(LEFT(J413,I403+1))-LEN(SUBSTITUTE(LEFT(J413,I403+1)," ",""))))-1,IFERROR(FIND(" ",J413,I403+1)-1,LEN(J413))))))</f>
        <v/>
      </c>
      <c r="L413" s="6413"/>
      <c r="M413" s="6333"/>
      <c r="N413" t="s">
        <v>21</v>
      </c>
      <c r="AV413" s="103"/>
      <c r="AW413" s="31"/>
      <c r="AX413" s="32"/>
      <c r="AY413" s="31"/>
      <c r="AZ413" s="33"/>
      <c r="BA413" s="1967"/>
      <c r="BB413" s="1805"/>
      <c r="BC413" s="91"/>
      <c r="BD413" s="1806"/>
      <c r="BE413" s="6401"/>
      <c r="BF413" s="6402"/>
      <c r="BG413" s="1969"/>
      <c r="BH413" s="6403"/>
      <c r="BI413" s="95"/>
      <c r="BJ413" s="1326"/>
      <c r="BK413" s="6404"/>
      <c r="BL413" s="1737"/>
      <c r="BM413" s="2081"/>
      <c r="BN413" s="2238"/>
      <c r="BO413" s="1809"/>
      <c r="BR413" s="3">
        <v>1</v>
      </c>
    </row>
    <row r="414" spans="2:70" ht="21" customHeight="1">
      <c r="B414" s="6236"/>
      <c r="C414" s="6313">
        <f>AD76</f>
        <v>150</v>
      </c>
      <c r="D414" s="6314" t="str">
        <f>IF(UPPER(TRIM(X45))="X",U76,O76)</f>
        <v>27.TEST LIGNE 19 colonne Q et ligne 20 colonne P. rechercher la cellule qui coupe le texte Dans la cocotte N°3 en fonte, faites chauffer l’huile d’olive à feu moyen. Ajoutez la viande et faites-la dorer de tous les côtés. Retirez-la de la cocotte et réservez-la.</v>
      </c>
      <c r="E414" s="6383" t="str">
        <f>IF(D414="","",IF(F414="","",IF(LEN(F414)&gt;=LEN(D414),"",TRIM(MID(D414,LEN(F414)+1,99999)))))</f>
        <v>d’olive à feu moyen. Ajoutez la viande et faites-la dorer de tous les côtés. Retirez-la de la cocotte et réservez-la.</v>
      </c>
      <c r="F414" s="6384" t="str">
        <f>IF(D414="","",IF(LEN(D414)&lt;=C414,D414,IFERROR(LEFT(D414,FIND("§",SUBSTITUTE(LEFT(D414,C414+1)," ","§",LEN(LEFT(D414,C414+1))-LEN(SUBSTITUTE(LEFT(D414,C414+1)," ",""))))-1),LEFT(D414,C414))))</f>
        <v>27.TEST LIGNE 19 colonne Q et ligne 20 colonne P. rechercher la cellule qui coupe le texte Dans la cocotte N°3 en fonte, faites chauffer l’huile</v>
      </c>
      <c r="G414" s="6320"/>
      <c r="H414" s="6323">
        <f>IF(LEN(TRIM(L414))&gt;0,MAX(H413:H413)+1,"")</f>
        <v>1</v>
      </c>
      <c r="I414" s="6324" t="str">
        <f>D414</f>
        <v>27.TEST LIGNE 19 colonne Q et ligne 20 colonne P. rechercher la cellule qui coupe le texte Dans la cocotte N°3 en fonte, faites chauffer l’huile d’olive à feu moyen. Ajoutez la viande et faites-la dorer de tous les côtés. Retirez-la de la cocotte et réservez-la.</v>
      </c>
      <c r="J414" s="6325" t="str">
        <f>IF(I414=0,"",I414)</f>
        <v>27.TEST LIGNE 19 colonne Q et ligne 20 colonne P. rechercher la cellule qui coupe le texte Dans la cocotte N°3 en fonte, faites chauffer l’huile d’olive à feu moyen. Ajoutez la viande et faites-la dorer de tous les côtés. Retirez-la de la cocotte et réservez-la.</v>
      </c>
      <c r="K414" s="6326" t="str">
        <f>IF(I414="","",LEFT(I414,IF(LEN(I414)&lt;=I417,LEN(I414),IFERROR(FIND("§",SUBSTITUTE(LEFT(I414,I417+1)," ","§",LEN(LEFT(I414,I417+1))-LEN(SUBSTITUTE(LEFT(I414,I417+1)," ",""))))-1,IFERROR(FIND(" ",I414,I417+1)-1,LEN(I414))))))</f>
        <v>27.TEST LIGNE 19 colonne Q et ligne 20 colonne P.</v>
      </c>
      <c r="L414" s="6326" t="str" cm="1">
        <f t="array" ref="L414:L419">_xlfn._xlws.FILTER(TRIM(SUBSTITUTE(SUBSTITUTE(SUBSTITUTE(SUBSTITUTE(SUBSTITUTE(CLEAN(K414:K427),CHAR(160)," "),_xlfn.UNICHAR(8239)," "),CHAR(9)," "),CHAR(10)," "),CHAR(13)," ")),TRIM(SUBSTITUTE(SUBSTITUTE(SUBSTITUTE(SUBSTITUTE(SUBSTITUTE(CLEAN(K414:K427),CHAR(160)," "),_xlfn.UNICHAR(8239)," "),CHAR(9)," "),CHAR(10)," "),CHAR(13)," "))&lt;&gt;"")</f>
        <v>27.TEST LIGNE 19 colonne Q et ligne 20 colonne P.</v>
      </c>
      <c r="M414" s="6328"/>
      <c r="N414" t="s">
        <v>21</v>
      </c>
      <c r="AV414" s="103"/>
      <c r="AW414" s="31"/>
      <c r="AX414" s="32"/>
      <c r="AY414" s="31"/>
      <c r="AZ414" s="33"/>
      <c r="BA414" s="1967"/>
      <c r="BB414" s="1805"/>
      <c r="BC414" s="91"/>
      <c r="BD414" s="1806"/>
      <c r="BE414" s="6401"/>
      <c r="BF414" s="6402"/>
      <c r="BG414" s="1969"/>
      <c r="BH414" s="6403"/>
      <c r="BI414" s="95"/>
      <c r="BJ414" s="1326"/>
      <c r="BK414" s="6404"/>
      <c r="BL414" s="1737"/>
      <c r="BM414" s="2081"/>
      <c r="BN414" s="2238"/>
      <c r="BO414" s="1809"/>
      <c r="BR414" s="3">
        <v>1</v>
      </c>
    </row>
    <row r="415" spans="2:70" ht="21" customHeight="1">
      <c r="B415" s="6236"/>
      <c r="C415" s="6358">
        <f t="shared" ref="C415:C427" si="163">C414</f>
        <v>150</v>
      </c>
      <c r="D415" s="6390" t="str" cm="1">
        <f t="array" ref="D415">IF(MOD(ROW()-50,14)=0,INDEX(D414:D427,MOD(ROW()-50,14)+1),E413)</f>
        <v/>
      </c>
      <c r="E415" s="6391" t="str">
        <f t="shared" ref="E415:E427" si="164">IF(D415="","",IF(F415="","",IF(LEN(F415)&gt;=LEN(D415),"",TRIM(MID(D415,LEN(F415)+1,99999)))))</f>
        <v/>
      </c>
      <c r="F415" s="6392" t="str">
        <f t="shared" ref="F415:F427" si="165">IF(D415="","",IF(LEN(D415)&lt;=C415,D415,IFERROR(LEFT(D415,FIND("§",SUBSTITUTE(LEFT(D415,C415+1)," ","§",LEN(LEFT(D415,C415+1))-LEN(SUBSTITUTE(LEFT(D415,C415+1)," ",""))))-1),LEFT(D415,C415))))</f>
        <v/>
      </c>
      <c r="G415" s="6321"/>
      <c r="H415" s="6323">
        <f t="shared" ref="H415:H427" si="166">IF(LEN(TRIM(L415))&gt;0,MAX(H414:H414)+1,"")</f>
        <v>2</v>
      </c>
      <c r="I415" s="6362" t="s">
        <v>14355</v>
      </c>
      <c r="J415" s="6363" t="str">
        <f>TRIM(MID(I418,LEN(K414)+1,99999))</f>
        <v>rechercher la cellule qui coupe le texte Dans la cocotte N°3 en fonte, faites chauffer l’huile d’olive à feu moyen. Ajoutez la viande et faites-la dorer de tous les côtés. Retirez-la de la cocotte et réservez-la.</v>
      </c>
      <c r="K415" s="6364" t="str">
        <f>IF(J415="","",LEFT(J415,IF(LEN(J415)&lt;=I417,LEN(J415),IFERROR(FIND("§",SUBSTITUTE(LEFT(J415,I417+1)," ","§",LEN(LEFT(J415,I417+1))-LEN(SUBSTITUTE(LEFT(J415,I417+1)," ",""))))-1,IFERROR(FIND(" ",J415,I417+1)-1,LEN(J415))))))</f>
        <v>rechercher la cellule qui coupe le texte Dans la</v>
      </c>
      <c r="L415" s="6327" t="str">
        <v>rechercher la cellule qui coupe le texte Dans la</v>
      </c>
      <c r="M415" s="6329"/>
      <c r="N415" t="s">
        <v>21</v>
      </c>
      <c r="AV415" s="103"/>
      <c r="AW415" s="31"/>
      <c r="AX415" s="32"/>
      <c r="AY415" s="31"/>
      <c r="AZ415" s="33"/>
      <c r="BA415" s="1967"/>
      <c r="BB415" s="1805"/>
      <c r="BC415" s="91"/>
      <c r="BD415" s="1806"/>
      <c r="BE415" s="6401"/>
      <c r="BF415" s="6402"/>
      <c r="BG415" s="1969"/>
      <c r="BH415" s="6403"/>
      <c r="BI415" s="95"/>
      <c r="BJ415" s="1326"/>
      <c r="BK415" s="6404"/>
      <c r="BL415" s="1737"/>
      <c r="BM415" s="2081"/>
      <c r="BN415" s="2238"/>
      <c r="BO415" s="1809"/>
      <c r="BR415" s="3">
        <v>1</v>
      </c>
    </row>
    <row r="416" spans="2:70" ht="21" customHeight="1">
      <c r="B416" s="6236"/>
      <c r="C416" s="6358">
        <f t="shared" si="163"/>
        <v>150</v>
      </c>
      <c r="D416" s="6390" t="str" cm="1">
        <f t="array" ref="D416">IF(MOD(ROW()-50,14)=0,INDEX(D414:D427,MOD(ROW()-50,14)+1),E414)</f>
        <v>d’olive à feu moyen. Ajoutez la viande et faites-la dorer de tous les côtés. Retirez-la de la cocotte et réservez-la.</v>
      </c>
      <c r="E416" s="6391" t="str">
        <f t="shared" si="164"/>
        <v/>
      </c>
      <c r="F416" s="6392" t="str">
        <f t="shared" si="165"/>
        <v>d’olive à feu moyen. Ajoutez la viande et faites-la dorer de tous les côtés. Retirez-la de la cocotte et réservez-la.</v>
      </c>
      <c r="G416" s="6321"/>
      <c r="H416" s="6323">
        <f t="shared" si="166"/>
        <v>3</v>
      </c>
      <c r="I416" s="6365">
        <f>Z76</f>
        <v>5</v>
      </c>
      <c r="J416" s="6363" t="str">
        <f t="shared" ref="J416:J427" si="167">TRIM(MID(J415,LEN(K415)+1,99999))</f>
        <v>cocotte N°3 en fonte, faites chauffer l’huile d’olive à feu moyen. Ajoutez la viande et faites-la dorer de tous les côtés. Retirez-la de la cocotte et réservez-la.</v>
      </c>
      <c r="K416" s="6364" t="str">
        <f>IF(J416="","",LEFT(J416,IF(LEN(J416)&lt;=I417,LEN(J416),IFERROR(FIND("§",SUBSTITUTE(LEFT(J416,I417+1)," ","§",LEN(LEFT(J416,I417+1))-LEN(SUBSTITUTE(LEFT(J416,I417+1)," ",""))))-1,IFERROR(FIND(" ",J416,I417+1)-1,LEN(J416))))))</f>
        <v>cocotte N°3 en fonte, faites chauffer l’huile d’olive</v>
      </c>
      <c r="L416" s="6327" t="str">
        <v>cocotte N°3 en fonte, faites chauffer l’huile d’olive</v>
      </c>
      <c r="M416" s="6329"/>
      <c r="N416" t="s">
        <v>21</v>
      </c>
      <c r="AV416" s="103"/>
      <c r="AW416" s="31"/>
      <c r="AX416" s="32"/>
      <c r="AY416" s="31"/>
      <c r="AZ416" s="33"/>
      <c r="BA416" s="1967"/>
      <c r="BB416" s="1805"/>
      <c r="BC416" s="91"/>
      <c r="BD416" s="1806"/>
      <c r="BE416" s="6401"/>
      <c r="BF416" s="6402"/>
      <c r="BG416" s="1969"/>
      <c r="BH416" s="6403"/>
      <c r="BI416" s="95"/>
      <c r="BJ416" s="1326"/>
      <c r="BK416" s="6404"/>
      <c r="BL416" s="1737"/>
      <c r="BM416" s="2081"/>
      <c r="BN416" s="2238"/>
      <c r="BO416" s="1809"/>
      <c r="BR416" s="3">
        <v>1</v>
      </c>
    </row>
    <row r="417" spans="2:70" ht="21" customHeight="1">
      <c r="B417" s="6236"/>
      <c r="C417" s="6358">
        <f t="shared" si="163"/>
        <v>150</v>
      </c>
      <c r="D417" s="6390" t="str" cm="1">
        <f t="array" ref="D417">IF(MOD(ROW()-50,14)=0,INDEX(D414:D427,MOD(ROW()-50,14)+1),E415)</f>
        <v/>
      </c>
      <c r="E417" s="6391" t="str">
        <f t="shared" si="164"/>
        <v/>
      </c>
      <c r="F417" s="6392" t="str">
        <f t="shared" si="165"/>
        <v/>
      </c>
      <c r="G417" s="6321"/>
      <c r="H417" s="6323">
        <f t="shared" si="166"/>
        <v>4</v>
      </c>
      <c r="I417" s="6370">
        <f>IF(OR(J414="",I416="",I416&lt;=0),"",ROUNDUP(LEN(J414)/I416,0))</f>
        <v>53</v>
      </c>
      <c r="J417" s="6363" t="str">
        <f t="shared" si="167"/>
        <v>à feu moyen. Ajoutez la viande et faites-la dorer de tous les côtés. Retirez-la de la cocotte et réservez-la.</v>
      </c>
      <c r="K417" s="6364" t="str">
        <f>IF(J417="","",LEFT(J417,IF(LEN(J417)&lt;=I417,LEN(J417),IFERROR(FIND("§",SUBSTITUTE(LEFT(J417,I417+1)," ","§",LEN(LEFT(J417,I417+1))-LEN(SUBSTITUTE(LEFT(J417,I417+1)," ",""))))-1,IFERROR(FIND(" ",J417,I417+1)-1,LEN(J417))))))</f>
        <v>à feu moyen. Ajoutez la viande et faites-la dorer de</v>
      </c>
      <c r="L417" s="6327" t="str">
        <v>à feu moyen. Ajoutez la viande et faites-la dorer de</v>
      </c>
      <c r="M417" s="6329"/>
      <c r="N417" t="s">
        <v>21</v>
      </c>
      <c r="AV417" s="103"/>
      <c r="AW417" s="31"/>
      <c r="AX417" s="32"/>
      <c r="AY417" s="31"/>
      <c r="AZ417" s="33"/>
      <c r="BA417" s="1967"/>
      <c r="BB417" s="1805"/>
      <c r="BC417" s="91"/>
      <c r="BD417" s="1806"/>
      <c r="BE417" s="6401"/>
      <c r="BF417" s="6402"/>
      <c r="BG417" s="1969"/>
      <c r="BH417" s="6403"/>
      <c r="BI417" s="95"/>
      <c r="BJ417" s="1326"/>
      <c r="BK417" s="6404"/>
      <c r="BL417" s="1737"/>
      <c r="BM417" s="2081"/>
      <c r="BN417" s="2238"/>
      <c r="BO417" s="1809"/>
      <c r="BR417" s="3">
        <v>1</v>
      </c>
    </row>
    <row r="418" spans="2:70" ht="21" customHeight="1">
      <c r="B418" s="6236"/>
      <c r="C418" s="6358">
        <f t="shared" si="163"/>
        <v>150</v>
      </c>
      <c r="D418" s="6390" t="str" cm="1">
        <f t="array" ref="D418">IF(MOD(ROW()-50,14)=0,INDEX(D414:D427,MOD(ROW()-50,14)+1),E416)</f>
        <v/>
      </c>
      <c r="E418" s="6391" t="str">
        <f t="shared" si="164"/>
        <v/>
      </c>
      <c r="F418" s="6392" t="str">
        <f t="shared" si="165"/>
        <v/>
      </c>
      <c r="G418" s="6321"/>
      <c r="H418" s="6323">
        <f t="shared" si="166"/>
        <v>5</v>
      </c>
      <c r="I418" s="6372" t="str">
        <f>I414</f>
        <v>27.TEST LIGNE 19 colonne Q et ligne 20 colonne P. rechercher la cellule qui coupe le texte Dans la cocotte N°3 en fonte, faites chauffer l’huile d’olive à feu moyen. Ajoutez la viande et faites-la dorer de tous les côtés. Retirez-la de la cocotte et réservez-la.</v>
      </c>
      <c r="J418" s="6363" t="str">
        <f t="shared" si="167"/>
        <v>tous les côtés. Retirez-la de la cocotte et réservez-la.</v>
      </c>
      <c r="K418" s="6364" t="str">
        <f>IF(J418="","",LEFT(J418,IF(LEN(J418)&lt;=I417,LEN(J418),IFERROR(FIND("§",SUBSTITUTE(LEFT(J418,I417+1)," ","§",LEN(LEFT(J418,I417+1))-LEN(SUBSTITUTE(LEFT(J418,I417+1)," ",""))))-1,IFERROR(FIND(" ",J418,I417+1)-1,LEN(J418))))))</f>
        <v>tous les côtés. Retirez-la de la cocotte et</v>
      </c>
      <c r="L418" s="6327" t="str">
        <v>tous les côtés. Retirez-la de la cocotte et</v>
      </c>
      <c r="M418" s="6329"/>
      <c r="N418" t="s">
        <v>21</v>
      </c>
      <c r="AV418" s="103"/>
      <c r="AW418" s="31"/>
      <c r="AX418" s="32"/>
      <c r="AY418" s="31"/>
      <c r="AZ418" s="33"/>
      <c r="BA418" s="1967"/>
      <c r="BB418" s="1805"/>
      <c r="BC418" s="91"/>
      <c r="BD418" s="1806"/>
      <c r="BE418" s="6401"/>
      <c r="BF418" s="6402"/>
      <c r="BG418" s="1969"/>
      <c r="BH418" s="6403"/>
      <c r="BI418" s="95"/>
      <c r="BJ418" s="1326"/>
      <c r="BK418" s="6404"/>
      <c r="BL418" s="1737"/>
      <c r="BM418" s="2081"/>
      <c r="BN418" s="2238"/>
      <c r="BO418" s="1809"/>
      <c r="BR418" s="3">
        <v>1</v>
      </c>
    </row>
    <row r="419" spans="2:70" ht="21" customHeight="1">
      <c r="B419" s="6236"/>
      <c r="C419" s="6358">
        <f t="shared" si="163"/>
        <v>150</v>
      </c>
      <c r="D419" s="6390" t="str" cm="1">
        <f t="array" ref="D419">IF(MOD(ROW()-50,14)=0,INDEX(D414:D427,MOD(ROW()-50,14)+1),E417)</f>
        <v/>
      </c>
      <c r="E419" s="6391" t="str">
        <f t="shared" si="164"/>
        <v/>
      </c>
      <c r="F419" s="6392" t="str">
        <f t="shared" si="165"/>
        <v/>
      </c>
      <c r="G419" s="6321"/>
      <c r="H419" s="6323">
        <f t="shared" si="166"/>
        <v>6</v>
      </c>
      <c r="I419" s="6373"/>
      <c r="J419" s="6363" t="str">
        <f t="shared" si="167"/>
        <v>réservez-la.</v>
      </c>
      <c r="K419" s="6364" t="str">
        <f>IF(J419="","",LEFT(J419,IF(LEN(J419)&lt;=I417,LEN(J419),IFERROR(FIND("§",SUBSTITUTE(LEFT(J419,I417+1)," ","§",LEN(LEFT(J419,I417+1))-LEN(SUBSTITUTE(LEFT(J419,I417+1)," ",""))))-1,IFERROR(FIND(" ",J419,I417+1)-1,LEN(J419))))))</f>
        <v>réservez-la.</v>
      </c>
      <c r="L419" s="6327" t="str">
        <v>réservez-la.</v>
      </c>
      <c r="M419" s="6329"/>
      <c r="N419" t="s">
        <v>21</v>
      </c>
      <c r="AV419" s="103"/>
      <c r="AW419" s="31"/>
      <c r="AX419" s="32"/>
      <c r="AY419" s="31"/>
      <c r="AZ419" s="33"/>
      <c r="BA419" s="1967"/>
      <c r="BB419" s="1805"/>
      <c r="BC419" s="91"/>
      <c r="BD419" s="1806"/>
      <c r="BE419" s="6401"/>
      <c r="BF419" s="6402"/>
      <c r="BG419" s="1969"/>
      <c r="BH419" s="6403"/>
      <c r="BI419" s="95"/>
      <c r="BJ419" s="1326"/>
      <c r="BK419" s="6404"/>
      <c r="BL419" s="1737"/>
      <c r="BM419" s="2081"/>
      <c r="BN419" s="2238"/>
      <c r="BO419" s="1809"/>
      <c r="BR419" s="3">
        <v>1</v>
      </c>
    </row>
    <row r="420" spans="2:70" ht="21" customHeight="1">
      <c r="B420" s="6236"/>
      <c r="C420" s="6358">
        <f t="shared" si="163"/>
        <v>150</v>
      </c>
      <c r="D420" s="6390" t="str" cm="1">
        <f t="array" ref="D420">IF(MOD(ROW()-50,14)=0,INDEX(D414:D427,MOD(ROW()-50,14)+1),E418)</f>
        <v/>
      </c>
      <c r="E420" s="6391" t="str">
        <f t="shared" si="164"/>
        <v/>
      </c>
      <c r="F420" s="6392" t="str">
        <f t="shared" si="165"/>
        <v/>
      </c>
      <c r="G420" s="6321"/>
      <c r="H420" s="6323" t="str">
        <f t="shared" si="166"/>
        <v/>
      </c>
      <c r="I420" s="6373"/>
      <c r="J420" s="6363" t="str">
        <f t="shared" si="167"/>
        <v/>
      </c>
      <c r="K420" s="6364" t="str">
        <f>IF(J420="","",LEFT(J420,IF(LEN(J420)&lt;=I417,LEN(J420),IFERROR(FIND("§",SUBSTITUTE(LEFT(J420,I417+1)," ","§",LEN(LEFT(J420,I417+1))-LEN(SUBSTITUTE(LEFT(J420,I417+1)," ",""))))-1,IFERROR(FIND(" ",J420,I417+1)-1,LEN(J420))))))</f>
        <v/>
      </c>
      <c r="L420" s="6327"/>
      <c r="M420" s="6329"/>
      <c r="N420" t="s">
        <v>21</v>
      </c>
      <c r="AV420" s="103"/>
      <c r="AW420" s="31"/>
      <c r="AX420" s="32"/>
      <c r="AY420" s="31"/>
      <c r="AZ420" s="33"/>
      <c r="BA420" s="1967"/>
      <c r="BB420" s="1805"/>
      <c r="BC420" s="91"/>
      <c r="BD420" s="1806"/>
      <c r="BE420" s="6401"/>
      <c r="BF420" s="6402"/>
      <c r="BG420" s="1969"/>
      <c r="BH420" s="6403"/>
      <c r="BI420" s="95"/>
      <c r="BJ420" s="1326"/>
      <c r="BK420" s="6404"/>
      <c r="BL420" s="1737"/>
      <c r="BM420" s="2081"/>
      <c r="BN420" s="2238"/>
      <c r="BO420" s="1809"/>
      <c r="BR420" s="3">
        <v>1</v>
      </c>
    </row>
    <row r="421" spans="2:70" ht="21" customHeight="1">
      <c r="B421" s="6236"/>
      <c r="C421" s="6358">
        <f t="shared" si="163"/>
        <v>150</v>
      </c>
      <c r="D421" s="6390" t="str" cm="1">
        <f t="array" ref="D421">IF(MOD(ROW()-50,14)=0,INDEX(D414:D427,MOD(ROW()-50,14)+1),E419)</f>
        <v/>
      </c>
      <c r="E421" s="6391" t="str">
        <f t="shared" si="164"/>
        <v/>
      </c>
      <c r="F421" s="6392" t="str">
        <f t="shared" si="165"/>
        <v/>
      </c>
      <c r="G421" s="6321"/>
      <c r="H421" s="6323" t="str">
        <f t="shared" si="166"/>
        <v/>
      </c>
      <c r="I421" s="6373"/>
      <c r="J421" s="6363" t="str">
        <f t="shared" si="167"/>
        <v/>
      </c>
      <c r="K421" s="6364" t="str">
        <f>IF(J421="","",LEFT(J421,IF(LEN(J421)&lt;=I417,LEN(J421),IFERROR(FIND("§",SUBSTITUTE(LEFT(J421,I417+1)," ","§",LEN(LEFT(J421,I417+1))-LEN(SUBSTITUTE(LEFT(J421,I417+1)," ",""))))-1,IFERROR(FIND(" ",J421,I417+1)-1,LEN(J421))))))</f>
        <v/>
      </c>
      <c r="L421" s="6327"/>
      <c r="M421" s="6329"/>
      <c r="N421" t="s">
        <v>21</v>
      </c>
      <c r="AV421" s="103"/>
      <c r="AW421" s="31"/>
      <c r="AX421" s="32"/>
      <c r="AY421" s="31"/>
      <c r="AZ421" s="33"/>
      <c r="BA421" s="1967"/>
      <c r="BB421" s="1805"/>
      <c r="BC421" s="91"/>
      <c r="BD421" s="1806"/>
      <c r="BE421" s="6401"/>
      <c r="BF421" s="6402"/>
      <c r="BG421" s="1969"/>
      <c r="BH421" s="6403"/>
      <c r="BI421" s="95"/>
      <c r="BJ421" s="1326"/>
      <c r="BK421" s="6404"/>
      <c r="BL421" s="1737"/>
      <c r="BM421" s="2081"/>
      <c r="BN421" s="2238"/>
      <c r="BO421" s="1809"/>
      <c r="BR421" s="3">
        <v>1</v>
      </c>
    </row>
    <row r="422" spans="2:70" ht="21" customHeight="1">
      <c r="B422" s="6236"/>
      <c r="C422" s="6358">
        <f t="shared" si="163"/>
        <v>150</v>
      </c>
      <c r="D422" s="6390" t="str" cm="1">
        <f t="array" ref="D422">IF(MOD(ROW()-50,14)=0,INDEX(D414:D427,MOD(ROW()-50,14)+1),E420)</f>
        <v/>
      </c>
      <c r="E422" s="6391" t="str">
        <f t="shared" si="164"/>
        <v/>
      </c>
      <c r="F422" s="6392" t="str">
        <f t="shared" si="165"/>
        <v/>
      </c>
      <c r="G422" s="6321"/>
      <c r="H422" s="6323" t="str">
        <f t="shared" si="166"/>
        <v/>
      </c>
      <c r="I422" s="6373"/>
      <c r="J422" s="6363" t="str">
        <f t="shared" si="167"/>
        <v/>
      </c>
      <c r="K422" s="6364" t="str">
        <f>IF(J422="","",LEFT(J422,IF(LEN(J422)&lt;=I417,LEN(J422),IFERROR(FIND("§",SUBSTITUTE(LEFT(J422,I417+1)," ","§",LEN(LEFT(J422,I417+1))-LEN(SUBSTITUTE(LEFT(J422,I417+1)," ",""))))-1,IFERROR(FIND(" ",J422,I417+1)-1,LEN(J422))))))</f>
        <v/>
      </c>
      <c r="L422" s="6327"/>
      <c r="M422" s="6329"/>
      <c r="N422" t="s">
        <v>21</v>
      </c>
      <c r="AV422" s="103"/>
      <c r="AW422" s="31"/>
      <c r="AX422" s="32"/>
      <c r="AY422" s="31"/>
      <c r="AZ422" s="33"/>
      <c r="BA422" s="1967"/>
      <c r="BB422" s="1805"/>
      <c r="BC422" s="91"/>
      <c r="BD422" s="1806"/>
      <c r="BE422" s="6401"/>
      <c r="BF422" s="6402"/>
      <c r="BG422" s="1969"/>
      <c r="BH422" s="6403"/>
      <c r="BI422" s="95"/>
      <c r="BJ422" s="1326"/>
      <c r="BK422" s="6404"/>
      <c r="BL422" s="1737"/>
      <c r="BM422" s="2081"/>
      <c r="BN422" s="2238"/>
      <c r="BO422" s="1809"/>
      <c r="BR422" s="3">
        <v>1</v>
      </c>
    </row>
    <row r="423" spans="2:70" ht="21" customHeight="1">
      <c r="B423" s="6236"/>
      <c r="C423" s="6358">
        <f t="shared" si="163"/>
        <v>150</v>
      </c>
      <c r="D423" s="6390" t="str" cm="1">
        <f t="array" ref="D423">IF(MOD(ROW()-50,14)=0,INDEX(D414:D427,MOD(ROW()-50,14)+1),E421)</f>
        <v/>
      </c>
      <c r="E423" s="6391" t="str">
        <f t="shared" si="164"/>
        <v/>
      </c>
      <c r="F423" s="6392" t="str">
        <f t="shared" si="165"/>
        <v/>
      </c>
      <c r="G423" s="6321"/>
      <c r="H423" s="6323" t="str">
        <f t="shared" si="166"/>
        <v/>
      </c>
      <c r="I423" s="6373"/>
      <c r="J423" s="6363" t="str">
        <f t="shared" si="167"/>
        <v/>
      </c>
      <c r="K423" s="6364" t="str">
        <f>IF(J423="","",LEFT(J423,IF(LEN(J423)&lt;=I417,LEN(J423),IFERROR(FIND("§",SUBSTITUTE(LEFT(J423,I417+1)," ","§",LEN(LEFT(J423,I417+1))-LEN(SUBSTITUTE(LEFT(J423,I417+1)," ",""))))-1,IFERROR(FIND(" ",J423,I417+1)-1,LEN(J423))))))</f>
        <v/>
      </c>
      <c r="L423" s="6327"/>
      <c r="M423" s="6329"/>
      <c r="N423" t="s">
        <v>21</v>
      </c>
      <c r="AV423" s="103"/>
      <c r="AW423" s="31"/>
      <c r="AX423" s="32"/>
      <c r="AY423" s="31"/>
      <c r="AZ423" s="33"/>
      <c r="BA423" s="1967"/>
      <c r="BB423" s="1805"/>
      <c r="BC423" s="91"/>
      <c r="BD423" s="1806"/>
      <c r="BE423" s="6401"/>
      <c r="BF423" s="6402"/>
      <c r="BG423" s="1969"/>
      <c r="BH423" s="6403"/>
      <c r="BI423" s="95"/>
      <c r="BJ423" s="1326"/>
      <c r="BK423" s="6404"/>
      <c r="BL423" s="1737"/>
      <c r="BM423" s="2081"/>
      <c r="BN423" s="2238"/>
      <c r="BO423" s="1809"/>
      <c r="BR423" s="3">
        <v>1</v>
      </c>
    </row>
    <row r="424" spans="2:70" ht="21" customHeight="1">
      <c r="B424" s="6236"/>
      <c r="C424" s="6358">
        <f t="shared" si="163"/>
        <v>150</v>
      </c>
      <c r="D424" s="6390" t="str" cm="1">
        <f t="array" ref="D424">IF(MOD(ROW()-50,14)=0,INDEX(D414:D427,MOD(ROW()-50,14)+1),E422)</f>
        <v/>
      </c>
      <c r="E424" s="6391" t="str">
        <f t="shared" si="164"/>
        <v/>
      </c>
      <c r="F424" s="6392" t="str">
        <f t="shared" si="165"/>
        <v/>
      </c>
      <c r="G424" s="6321"/>
      <c r="H424" s="6323" t="str">
        <f t="shared" si="166"/>
        <v/>
      </c>
      <c r="I424" s="6373"/>
      <c r="J424" s="6363" t="str">
        <f t="shared" si="167"/>
        <v/>
      </c>
      <c r="K424" s="6364" t="str">
        <f>IF(J424="","",LEFT(J424,IF(LEN(J424)&lt;=I417,LEN(J424),IFERROR(FIND("§",SUBSTITUTE(LEFT(J424,I417+1)," ","§",LEN(LEFT(J424,I417+1))-LEN(SUBSTITUTE(LEFT(J424,I417+1)," ",""))))-1,IFERROR(FIND(" ",J424,I417+1)-1,LEN(J424))))))</f>
        <v/>
      </c>
      <c r="L424" s="6327"/>
      <c r="M424" s="6329"/>
      <c r="N424" t="s">
        <v>21</v>
      </c>
      <c r="AV424" s="103"/>
      <c r="AW424" s="31"/>
      <c r="AX424" s="32"/>
      <c r="AY424" s="31"/>
      <c r="AZ424" s="33"/>
      <c r="BA424" s="1967"/>
      <c r="BB424" s="1805"/>
      <c r="BC424" s="91"/>
      <c r="BD424" s="1806"/>
      <c r="BE424" s="6401"/>
      <c r="BF424" s="6402"/>
      <c r="BG424" s="1969"/>
      <c r="BH424" s="6403"/>
      <c r="BI424" s="95"/>
      <c r="BJ424" s="1326"/>
      <c r="BK424" s="6404"/>
      <c r="BL424" s="1737"/>
      <c r="BM424" s="2081"/>
      <c r="BN424" s="2238"/>
      <c r="BO424" s="1809"/>
      <c r="BR424" s="3">
        <v>1</v>
      </c>
    </row>
    <row r="425" spans="2:70" ht="21" customHeight="1">
      <c r="B425" s="6236"/>
      <c r="C425" s="6358">
        <f t="shared" si="163"/>
        <v>150</v>
      </c>
      <c r="D425" s="6390" t="str" cm="1">
        <f t="array" ref="D425">IF(MOD(ROW()-50,14)=0,INDEX(D414:D427,MOD(ROW()-50,14)+1),E423)</f>
        <v/>
      </c>
      <c r="E425" s="6391" t="str">
        <f t="shared" si="164"/>
        <v/>
      </c>
      <c r="F425" s="6392" t="str">
        <f t="shared" si="165"/>
        <v/>
      </c>
      <c r="G425" s="6321"/>
      <c r="H425" s="6323" t="str">
        <f t="shared" si="166"/>
        <v/>
      </c>
      <c r="I425" s="6373"/>
      <c r="J425" s="6363" t="str">
        <f t="shared" si="167"/>
        <v/>
      </c>
      <c r="K425" s="6364" t="str">
        <f>IF(J425="","",LEFT(J425,IF(LEN(J425)&lt;=I417,LEN(J425),IFERROR(FIND("§",SUBSTITUTE(LEFT(J425,I417+1)," ","§",LEN(LEFT(J425,I417+1))-LEN(SUBSTITUTE(LEFT(J425,I417+1)," ",""))))-1,IFERROR(FIND(" ",J425,I417+1)-1,LEN(J425))))))</f>
        <v/>
      </c>
      <c r="L425" s="6327"/>
      <c r="M425" s="6329"/>
      <c r="N425" t="s">
        <v>21</v>
      </c>
      <c r="AV425" s="103"/>
      <c r="AW425" s="31"/>
      <c r="AX425" s="32"/>
      <c r="AY425" s="31"/>
      <c r="AZ425" s="33"/>
      <c r="BA425" s="1967"/>
      <c r="BB425" s="1805"/>
      <c r="BC425" s="91"/>
      <c r="BD425" s="1806"/>
      <c r="BE425" s="6401"/>
      <c r="BF425" s="6402"/>
      <c r="BG425" s="1969"/>
      <c r="BH425" s="6403"/>
      <c r="BI425" s="95"/>
      <c r="BJ425" s="1326"/>
      <c r="BK425" s="6404"/>
      <c r="BL425" s="1737"/>
      <c r="BM425" s="2081"/>
      <c r="BN425" s="2238"/>
      <c r="BO425" s="1809"/>
      <c r="BR425" s="3">
        <v>1</v>
      </c>
    </row>
    <row r="426" spans="2:70" ht="21" customHeight="1">
      <c r="B426" s="6236"/>
      <c r="C426" s="6358">
        <f t="shared" si="163"/>
        <v>150</v>
      </c>
      <c r="D426" s="6390" t="str" cm="1">
        <f t="array" ref="D426">IF(MOD(ROW()-50,14)=0,INDEX(D414:D427,MOD(ROW()-50,14)+1),E424)</f>
        <v/>
      </c>
      <c r="E426" s="6391" t="str">
        <f t="shared" si="164"/>
        <v/>
      </c>
      <c r="F426" s="6392" t="str">
        <f t="shared" si="165"/>
        <v/>
      </c>
      <c r="G426" s="6321"/>
      <c r="H426" s="6323" t="str">
        <f t="shared" si="166"/>
        <v/>
      </c>
      <c r="I426" s="6373"/>
      <c r="J426" s="6363" t="str">
        <f t="shared" si="167"/>
        <v/>
      </c>
      <c r="K426" s="6364" t="str">
        <f>IF(J426="","",LEFT(J426,IF(LEN(J426)&lt;=I417,LEN(J426),IFERROR(FIND("§",SUBSTITUTE(LEFT(J426,I417+1)," ","§",LEN(LEFT(J426,I417+1))-LEN(SUBSTITUTE(LEFT(J426,I417+1)," ",""))))-1,IFERROR(FIND(" ",J426,I417+1)-1,LEN(J426))))))</f>
        <v/>
      </c>
      <c r="L426" s="6364"/>
      <c r="M426" s="6329"/>
      <c r="N426" t="s">
        <v>21</v>
      </c>
      <c r="AV426" s="103"/>
      <c r="AW426" s="31"/>
      <c r="AX426" s="32"/>
      <c r="AY426" s="31"/>
      <c r="AZ426" s="33"/>
      <c r="BA426" s="1967"/>
      <c r="BB426" s="1805"/>
      <c r="BC426" s="91"/>
      <c r="BD426" s="1806"/>
      <c r="BE426" s="6401"/>
      <c r="BF426" s="6402"/>
      <c r="BG426" s="1969"/>
      <c r="BH426" s="6403"/>
      <c r="BI426" s="95"/>
      <c r="BJ426" s="1326"/>
      <c r="BK426" s="6404"/>
      <c r="BL426" s="1737"/>
      <c r="BM426" s="2081"/>
      <c r="BN426" s="2238"/>
      <c r="BO426" s="1809"/>
      <c r="BR426" s="3">
        <v>1</v>
      </c>
    </row>
    <row r="427" spans="2:70" ht="21" customHeight="1">
      <c r="B427" s="6236"/>
      <c r="C427" s="6376">
        <f t="shared" si="163"/>
        <v>150</v>
      </c>
      <c r="D427" s="6406" t="str" cm="1">
        <f t="array" ref="D427">IF(MOD(ROW()-50,14)=0,INDEX(D414:D427,MOD(ROW()-50,14)+1),E425)</f>
        <v/>
      </c>
      <c r="E427" s="6407" t="str">
        <f t="shared" si="164"/>
        <v/>
      </c>
      <c r="F427" s="6408" t="str">
        <f t="shared" si="165"/>
        <v/>
      </c>
      <c r="G427" s="6322"/>
      <c r="H427" s="6323" t="str">
        <f t="shared" si="166"/>
        <v/>
      </c>
      <c r="I427" s="6379"/>
      <c r="J427" s="6380" t="str">
        <f t="shared" si="167"/>
        <v/>
      </c>
      <c r="K427" s="6381" t="str">
        <f>IF(J427="","",LEFT(J427,IF(LEN(J427)&lt;=I417,LEN(J427),IFERROR(FIND("§",SUBSTITUTE(LEFT(J427,I417+1)," ","§",LEN(LEFT(J427,I417+1))-LEN(SUBSTITUTE(LEFT(J427,I417+1)," ",""))))-1,IFERROR(FIND(" ",J427,I417+1)-1,LEN(J427))))))</f>
        <v/>
      </c>
      <c r="L427" s="6382"/>
      <c r="M427" s="6330"/>
      <c r="N427" t="s">
        <v>21</v>
      </c>
      <c r="AV427" s="103"/>
      <c r="AW427" s="31"/>
      <c r="AX427" s="32"/>
      <c r="AY427" s="31"/>
      <c r="AZ427" s="33"/>
      <c r="BA427" s="1967"/>
      <c r="BB427" s="1805"/>
      <c r="BC427" s="91"/>
      <c r="BD427" s="1806"/>
      <c r="BE427" s="6401"/>
      <c r="BF427" s="6402"/>
      <c r="BG427" s="1969"/>
      <c r="BH427" s="6403"/>
      <c r="BI427" s="95"/>
      <c r="BJ427" s="1326"/>
      <c r="BK427" s="6404"/>
      <c r="BL427" s="1737"/>
      <c r="BM427" s="2081"/>
      <c r="BN427" s="2238"/>
      <c r="BO427" s="1809"/>
      <c r="BR427" s="3">
        <v>1</v>
      </c>
    </row>
    <row r="428" spans="2:70" ht="21" customHeight="1">
      <c r="B428" s="6236"/>
      <c r="C428" s="6313">
        <f>AD77</f>
        <v>150</v>
      </c>
      <c r="D428" s="6314" t="str">
        <f>IF(UPPER(TRIM(X45))="X",U77,O77)</f>
        <v>28.TEST LIGNE 19 colonne Q et ligne 20 colonne P. rechercher la cellule qui coupe le texte Dans la cocotte N°3 en fonte, faites chauffer l’huile d’olive à feu moyen. Ajoutez la viande et faites-la dorer de tous les côtés. Retirez-la de la cocotte et réservez-la.</v>
      </c>
      <c r="E428" s="6315" t="str">
        <f>IF(D428="","",IF(F428="","",IF(LEN(F428)&gt;=LEN(D428),"",TRIM(MID(D428,LEN(F428)+1,99999)))))</f>
        <v>d’olive à feu moyen. Ajoutez la viande et faites-la dorer de tous les côtés. Retirez-la de la cocotte et réservez-la.</v>
      </c>
      <c r="F428" s="6316" t="str">
        <f>IF(D428="","",IF(LEN(D428)&lt;=C428,D428,IFERROR(LEFT(D428,FIND("§",SUBSTITUTE(LEFT(D428,C428+1)," ","§",LEN(LEFT(D428,C428+1))-LEN(SUBSTITUTE(LEFT(D428,C428+1)," ",""))))-1),LEFT(D428,C428))))</f>
        <v>28.TEST LIGNE 19 colonne Q et ligne 20 colonne P. rechercher la cellule qui coupe le texte Dans la cocotte N°3 en fonte, faites chauffer l’huile</v>
      </c>
      <c r="G428" s="6317"/>
      <c r="H428" s="6385">
        <f>IF(LEN(TRIM(L428))&gt;0,MAX(H427:H427)+1,"")</f>
        <v>1</v>
      </c>
      <c r="I428" s="6324" t="str">
        <f>D428</f>
        <v>28.TEST LIGNE 19 colonne Q et ligne 20 colonne P. rechercher la cellule qui coupe le texte Dans la cocotte N°3 en fonte, faites chauffer l’huile d’olive à feu moyen. Ajoutez la viande et faites-la dorer de tous les côtés. Retirez-la de la cocotte et réservez-la.</v>
      </c>
      <c r="J428" s="6386" t="str">
        <f>IF(I428=0,"",I428)</f>
        <v>28.TEST LIGNE 19 colonne Q et ligne 20 colonne P. rechercher la cellule qui coupe le texte Dans la cocotte N°3 en fonte, faites chauffer l’huile d’olive à feu moyen. Ajoutez la viande et faites-la dorer de tous les côtés. Retirez-la de la cocotte et réservez-la.</v>
      </c>
      <c r="K428" s="6387" t="str">
        <f>IF(I428="","",LEFT(I428,IF(LEN(I428)&lt;=I431,LEN(I428),IFERROR(FIND("§",SUBSTITUTE(LEFT(I428,I431+1)," ","§",LEN(LEFT(I428,I431+1))-LEN(SUBSTITUTE(LEFT(I428,I431+1)," ",""))))-1,IFERROR(FIND(" ",I428,I431+1)-1,LEN(I428))))))</f>
        <v>28.TEST LIGNE 19 colonne Q et ligne 20 colonne P.</v>
      </c>
      <c r="L428" s="6388" t="str" cm="1">
        <f t="array" ref="L428:L433">_xlfn._xlws.FILTER(TRIM(SUBSTITUTE(SUBSTITUTE(SUBSTITUTE(SUBSTITUTE(SUBSTITUTE(CLEAN(K428:K441),CHAR(160)," "),_xlfn.UNICHAR(8239)," "),CHAR(9)," "),CHAR(10)," "),CHAR(13)," ")),TRIM(SUBSTITUTE(SUBSTITUTE(SUBSTITUTE(SUBSTITUTE(SUBSTITUTE(CLEAN(K428:K441),CHAR(160)," "),_xlfn.UNICHAR(8239)," "),CHAR(9)," "),CHAR(10)," "),CHAR(13)," "))&lt;&gt;"")</f>
        <v>28.TEST LIGNE 19 colonne Q et ligne 20 colonne P.</v>
      </c>
      <c r="M428" s="6331"/>
      <c r="N428" t="s">
        <v>21</v>
      </c>
      <c r="AV428" s="103"/>
      <c r="AW428" s="31"/>
      <c r="AX428" s="32"/>
      <c r="AY428" s="31"/>
      <c r="AZ428" s="33"/>
      <c r="BA428" s="1967"/>
      <c r="BB428" s="1805"/>
      <c r="BC428" s="91"/>
      <c r="BD428" s="1806"/>
      <c r="BE428" s="6401"/>
      <c r="BF428" s="6402"/>
      <c r="BG428" s="1969"/>
      <c r="BH428" s="6403"/>
      <c r="BI428" s="95"/>
      <c r="BJ428" s="1326"/>
      <c r="BK428" s="6404"/>
      <c r="BL428" s="1737"/>
      <c r="BM428" s="2081"/>
      <c r="BN428" s="2238"/>
      <c r="BO428" s="1809"/>
      <c r="BR428" s="3">
        <v>1</v>
      </c>
    </row>
    <row r="429" spans="2:70" ht="21" customHeight="1">
      <c r="B429" s="6236"/>
      <c r="C429" s="6358">
        <f t="shared" ref="C429:C441" si="168">C428</f>
        <v>150</v>
      </c>
      <c r="D429" s="6359" t="str" cm="1">
        <f t="array" ref="D429">IF(MOD(ROW()-50,14)=0,INDEX(D428:D441,MOD(ROW()-50,14)+1),E427)</f>
        <v/>
      </c>
      <c r="E429" s="6360" t="str">
        <f t="shared" ref="E429:E441" si="169">IF(D429="","",IF(F429="","",IF(LEN(F429)&gt;=LEN(D429),"",TRIM(MID(D429,LEN(F429)+1,99999)))))</f>
        <v/>
      </c>
      <c r="F429" s="6361" t="str">
        <f t="shared" ref="F429:F441" si="170">IF(D429="","",IF(LEN(D429)&lt;=C429,D429,IFERROR(LEFT(D429,FIND("§",SUBSTITUTE(LEFT(D429,C429+1)," ","§",LEN(LEFT(D429,C429+1))-LEN(SUBSTITUTE(LEFT(D429,C429+1)," ",""))))-1),LEFT(D429,C429))))</f>
        <v/>
      </c>
      <c r="G429" s="6318"/>
      <c r="H429" s="6393">
        <f t="shared" ref="H429:H441" si="171">IF(LEN(TRIM(L429))&gt;0,MAX(H428:H428)+1,"")</f>
        <v>2</v>
      </c>
      <c r="I429" s="6394" t="s">
        <v>14355</v>
      </c>
      <c r="J429" s="6395" t="str">
        <f>TRIM(MID(I432,LEN(K428)+1,99999))</f>
        <v>rechercher la cellule qui coupe le texte Dans la cocotte N°3 en fonte, faites chauffer l’huile d’olive à feu moyen. Ajoutez la viande et faites-la dorer de tous les côtés. Retirez-la de la cocotte et réservez-la.</v>
      </c>
      <c r="K429" s="6396" t="str">
        <f>IF(J429="","",LEFT(J429,IF(LEN(J429)&lt;=I431,LEN(J429),IFERROR(FIND("§",SUBSTITUTE(LEFT(J429,I431+1)," ","§",LEN(LEFT(J429,I431+1))-LEN(SUBSTITUTE(LEFT(J429,I431+1)," ",""))))-1,IFERROR(FIND(" ",J429,I431+1)-1,LEN(J429))))))</f>
        <v>rechercher la cellule qui coupe le texte Dans la</v>
      </c>
      <c r="L429" s="6388" t="str">
        <v>rechercher la cellule qui coupe le texte Dans la</v>
      </c>
      <c r="M429" s="6332"/>
      <c r="N429" t="s">
        <v>21</v>
      </c>
      <c r="AV429" s="103"/>
      <c r="AW429" s="31"/>
      <c r="AX429" s="32"/>
      <c r="AY429" s="31"/>
      <c r="AZ429" s="33"/>
      <c r="BA429" s="1967"/>
      <c r="BB429" s="1805"/>
      <c r="BC429" s="91"/>
      <c r="BD429" s="1806"/>
      <c r="BE429" s="6401"/>
      <c r="BF429" s="6402"/>
      <c r="BG429" s="1969"/>
      <c r="BH429" s="6403"/>
      <c r="BI429" s="95"/>
      <c r="BJ429" s="1326"/>
      <c r="BK429" s="6404"/>
      <c r="BL429" s="1737"/>
      <c r="BM429" s="2081"/>
      <c r="BN429" s="2238"/>
      <c r="BO429" s="1809"/>
      <c r="BR429" s="3">
        <v>1</v>
      </c>
    </row>
    <row r="430" spans="2:70" ht="21" customHeight="1">
      <c r="B430" s="6236"/>
      <c r="C430" s="6358">
        <f t="shared" si="168"/>
        <v>150</v>
      </c>
      <c r="D430" s="6359" t="str" cm="1">
        <f t="array" ref="D430">IF(MOD(ROW()-50,14)=0,INDEX(D428:D441,MOD(ROW()-50,14)+1),E428)</f>
        <v>d’olive à feu moyen. Ajoutez la viande et faites-la dorer de tous les côtés. Retirez-la de la cocotte et réservez-la.</v>
      </c>
      <c r="E430" s="6360" t="str">
        <f t="shared" si="169"/>
        <v/>
      </c>
      <c r="F430" s="6361" t="str">
        <f t="shared" si="170"/>
        <v>d’olive à feu moyen. Ajoutez la viande et faites-la dorer de tous les côtés. Retirez-la de la cocotte et réservez-la.</v>
      </c>
      <c r="G430" s="6318"/>
      <c r="H430" s="6393">
        <f t="shared" si="171"/>
        <v>3</v>
      </c>
      <c r="I430" s="6365">
        <f>Z77</f>
        <v>5</v>
      </c>
      <c r="J430" s="6395" t="str">
        <f t="shared" ref="J430:J441" si="172">TRIM(MID(J429,LEN(K429)+1,99999))</f>
        <v>cocotte N°3 en fonte, faites chauffer l’huile d’olive à feu moyen. Ajoutez la viande et faites-la dorer de tous les côtés. Retirez-la de la cocotte et réservez-la.</v>
      </c>
      <c r="K430" s="6396" t="str">
        <f>IF(J430="","",LEFT(J430,IF(LEN(J430)&lt;=I431,LEN(J430),IFERROR(FIND("§",SUBSTITUTE(LEFT(J430,I431+1)," ","§",LEN(LEFT(J430,I431+1))-LEN(SUBSTITUTE(LEFT(J430,I431+1)," ",""))))-1,IFERROR(FIND(" ",J430,I431+1)-1,LEN(J430))))))</f>
        <v>cocotte N°3 en fonte, faites chauffer l’huile d’olive</v>
      </c>
      <c r="L430" s="6388" t="str">
        <v>cocotte N°3 en fonte, faites chauffer l’huile d’olive</v>
      </c>
      <c r="M430" s="6332"/>
      <c r="N430" t="s">
        <v>21</v>
      </c>
      <c r="AV430" s="103"/>
      <c r="AW430" s="31"/>
      <c r="AX430" s="32"/>
      <c r="AY430" s="31"/>
      <c r="AZ430" s="33"/>
      <c r="BA430" s="1967"/>
      <c r="BB430" s="1805"/>
      <c r="BC430" s="91"/>
      <c r="BD430" s="1806"/>
      <c r="BE430" s="6401"/>
      <c r="BF430" s="6402"/>
      <c r="BG430" s="1969"/>
      <c r="BH430" s="6403"/>
      <c r="BI430" s="95"/>
      <c r="BJ430" s="1326"/>
      <c r="BK430" s="6404"/>
      <c r="BL430" s="1737"/>
      <c r="BM430" s="2081"/>
      <c r="BN430" s="2238"/>
      <c r="BO430" s="1809"/>
      <c r="BR430" s="3">
        <v>1</v>
      </c>
    </row>
    <row r="431" spans="2:70" ht="21" customHeight="1">
      <c r="B431" s="6236"/>
      <c r="C431" s="6358">
        <f t="shared" si="168"/>
        <v>150</v>
      </c>
      <c r="D431" s="6359" t="str" cm="1">
        <f t="array" ref="D431">IF(MOD(ROW()-50,14)=0,INDEX(D428:D441,MOD(ROW()-50,14)+1),E429)</f>
        <v/>
      </c>
      <c r="E431" s="6360" t="str">
        <f t="shared" si="169"/>
        <v/>
      </c>
      <c r="F431" s="6361" t="str">
        <f t="shared" si="170"/>
        <v/>
      </c>
      <c r="G431" s="6318"/>
      <c r="H431" s="6393">
        <f t="shared" si="171"/>
        <v>4</v>
      </c>
      <c r="I431" s="6398">
        <f>IF(OR(J428="",I430="",I430&lt;=0),"",ROUNDUP(LEN(J428)/I430,0))</f>
        <v>53</v>
      </c>
      <c r="J431" s="6395" t="str">
        <f t="shared" si="172"/>
        <v>à feu moyen. Ajoutez la viande et faites-la dorer de tous les côtés. Retirez-la de la cocotte et réservez-la.</v>
      </c>
      <c r="K431" s="6396" t="str">
        <f>IF(J431="","",LEFT(J431,IF(LEN(J431)&lt;=I431,LEN(J431),IFERROR(FIND("§",SUBSTITUTE(LEFT(J431,I431+1)," ","§",LEN(LEFT(J431,I431+1))-LEN(SUBSTITUTE(LEFT(J431,I431+1)," ",""))))-1,IFERROR(FIND(" ",J431,I431+1)-1,LEN(J431))))))</f>
        <v>à feu moyen. Ajoutez la viande et faites-la dorer de</v>
      </c>
      <c r="L431" s="6388" t="str">
        <v>à feu moyen. Ajoutez la viande et faites-la dorer de</v>
      </c>
      <c r="M431" s="6332"/>
      <c r="N431" t="s">
        <v>21</v>
      </c>
      <c r="AV431" s="103"/>
      <c r="AW431" s="31"/>
      <c r="AX431" s="32"/>
      <c r="AY431" s="31"/>
      <c r="AZ431" s="33"/>
      <c r="BA431" s="1967"/>
      <c r="BB431" s="1805"/>
      <c r="BC431" s="91"/>
      <c r="BD431" s="1806"/>
      <c r="BE431" s="6401"/>
      <c r="BF431" s="6402"/>
      <c r="BG431" s="1969"/>
      <c r="BH431" s="6403"/>
      <c r="BI431" s="95"/>
      <c r="BJ431" s="1326"/>
      <c r="BK431" s="6404"/>
      <c r="BL431" s="1737"/>
      <c r="BM431" s="2081"/>
      <c r="BN431" s="2238"/>
      <c r="BO431" s="1809"/>
      <c r="BR431" s="3">
        <v>1</v>
      </c>
    </row>
    <row r="432" spans="2:70" ht="21" customHeight="1">
      <c r="B432" s="6236"/>
      <c r="C432" s="6358">
        <f t="shared" si="168"/>
        <v>150</v>
      </c>
      <c r="D432" s="6359" t="str" cm="1">
        <f t="array" ref="D432">IF(MOD(ROW()-50,14)=0,INDEX(D428:D441,MOD(ROW()-50,14)+1),E430)</f>
        <v/>
      </c>
      <c r="E432" s="6360" t="str">
        <f t="shared" si="169"/>
        <v/>
      </c>
      <c r="F432" s="6361" t="str">
        <f t="shared" si="170"/>
        <v/>
      </c>
      <c r="G432" s="6318"/>
      <c r="H432" s="6393">
        <f t="shared" si="171"/>
        <v>5</v>
      </c>
      <c r="I432" s="6400" t="str">
        <f>I428</f>
        <v>28.TEST LIGNE 19 colonne Q et ligne 20 colonne P. rechercher la cellule qui coupe le texte Dans la cocotte N°3 en fonte, faites chauffer l’huile d’olive à feu moyen. Ajoutez la viande et faites-la dorer de tous les côtés. Retirez-la de la cocotte et réservez-la.</v>
      </c>
      <c r="J432" s="6395" t="str">
        <f t="shared" si="172"/>
        <v>tous les côtés. Retirez-la de la cocotte et réservez-la.</v>
      </c>
      <c r="K432" s="6396" t="str">
        <f>IF(J432="","",LEFT(J432,IF(LEN(J432)&lt;=I431,LEN(J432),IFERROR(FIND("§",SUBSTITUTE(LEFT(J432,I431+1)," ","§",LEN(LEFT(J432,I431+1))-LEN(SUBSTITUTE(LEFT(J432,I431+1)," ",""))))-1,IFERROR(FIND(" ",J432,I431+1)-1,LEN(J432))))))</f>
        <v>tous les côtés. Retirez-la de la cocotte et</v>
      </c>
      <c r="L432" s="6388" t="str">
        <v>tous les côtés. Retirez-la de la cocotte et</v>
      </c>
      <c r="M432" s="6332"/>
      <c r="N432" t="s">
        <v>21</v>
      </c>
      <c r="AV432" s="103"/>
      <c r="AW432" s="31"/>
      <c r="AX432" s="32"/>
      <c r="AY432" s="31"/>
      <c r="AZ432" s="33"/>
      <c r="BA432" s="1967"/>
      <c r="BB432" s="1805"/>
      <c r="BC432" s="91"/>
      <c r="BD432" s="1806"/>
      <c r="BE432" s="6401"/>
      <c r="BF432" s="6402"/>
      <c r="BG432" s="1969"/>
      <c r="BH432" s="6403"/>
      <c r="BI432" s="95"/>
      <c r="BJ432" s="1326"/>
      <c r="BK432" s="6404"/>
      <c r="BL432" s="1737"/>
      <c r="BM432" s="2081"/>
      <c r="BN432" s="2238"/>
      <c r="BO432" s="1809"/>
      <c r="BR432" s="3">
        <v>1</v>
      </c>
    </row>
    <row r="433" spans="2:70" ht="21" customHeight="1">
      <c r="B433" s="6236"/>
      <c r="C433" s="6358">
        <f t="shared" si="168"/>
        <v>150</v>
      </c>
      <c r="D433" s="6359" t="str" cm="1">
        <f t="array" ref="D433">IF(MOD(ROW()-50,14)=0,INDEX(D428:D441,MOD(ROW()-50,14)+1),E431)</f>
        <v/>
      </c>
      <c r="E433" s="6360" t="str">
        <f t="shared" si="169"/>
        <v/>
      </c>
      <c r="F433" s="6361" t="str">
        <f t="shared" si="170"/>
        <v/>
      </c>
      <c r="G433" s="6318"/>
      <c r="H433" s="6393">
        <f t="shared" si="171"/>
        <v>6</v>
      </c>
      <c r="I433" s="6405"/>
      <c r="J433" s="6395" t="str">
        <f t="shared" si="172"/>
        <v>réservez-la.</v>
      </c>
      <c r="K433" s="6396" t="str">
        <f>IF(J433="","",LEFT(J433,IF(LEN(J433)&lt;=I431,LEN(J433),IFERROR(FIND("§",SUBSTITUTE(LEFT(J433,I431+1)," ","§",LEN(LEFT(J433,I431+1))-LEN(SUBSTITUTE(LEFT(J433,I431+1)," ",""))))-1,IFERROR(FIND(" ",J433,I431+1)-1,LEN(J433))))))</f>
        <v>réservez-la.</v>
      </c>
      <c r="L433" s="6388" t="str">
        <v>réservez-la.</v>
      </c>
      <c r="M433" s="6332"/>
      <c r="N433" t="s">
        <v>21</v>
      </c>
      <c r="AV433" s="103"/>
      <c r="AW433" s="31"/>
      <c r="AX433" s="32"/>
      <c r="AY433" s="31"/>
      <c r="AZ433" s="33"/>
      <c r="BA433" s="1967"/>
      <c r="BB433" s="1805"/>
      <c r="BC433" s="91"/>
      <c r="BD433" s="1806"/>
      <c r="BE433" s="6401"/>
      <c r="BF433" s="6402"/>
      <c r="BG433" s="1969"/>
      <c r="BH433" s="6403"/>
      <c r="BI433" s="95"/>
      <c r="BJ433" s="1326"/>
      <c r="BK433" s="6404"/>
      <c r="BL433" s="1737"/>
      <c r="BM433" s="2081"/>
      <c r="BN433" s="2238"/>
      <c r="BO433" s="1809"/>
      <c r="BR433" s="3">
        <v>1</v>
      </c>
    </row>
    <row r="434" spans="2:70" ht="21" customHeight="1">
      <c r="B434" s="6236"/>
      <c r="C434" s="6358">
        <f t="shared" si="168"/>
        <v>150</v>
      </c>
      <c r="D434" s="6359" t="str" cm="1">
        <f t="array" ref="D434">IF(MOD(ROW()-50,14)=0,INDEX(D428:D441,MOD(ROW()-50,14)+1),E432)</f>
        <v/>
      </c>
      <c r="E434" s="6360" t="str">
        <f t="shared" si="169"/>
        <v/>
      </c>
      <c r="F434" s="6361" t="str">
        <f t="shared" si="170"/>
        <v/>
      </c>
      <c r="G434" s="6318"/>
      <c r="H434" s="6393" t="str">
        <f t="shared" si="171"/>
        <v/>
      </c>
      <c r="I434" s="6405"/>
      <c r="J434" s="6395" t="str">
        <f t="shared" si="172"/>
        <v/>
      </c>
      <c r="K434" s="6396" t="str">
        <f>IF(J434="","",LEFT(J434,IF(LEN(J434)&lt;=I431,LEN(J434),IFERROR(FIND("§",SUBSTITUTE(LEFT(J434,I431+1)," ","§",LEN(LEFT(J434,I431+1))-LEN(SUBSTITUTE(LEFT(J434,I431+1)," ",""))))-1,IFERROR(FIND(" ",J434,I431+1)-1,LEN(J434))))))</f>
        <v/>
      </c>
      <c r="L434" s="6388"/>
      <c r="M434" s="6332"/>
      <c r="N434" t="s">
        <v>21</v>
      </c>
      <c r="AV434" s="103"/>
      <c r="AW434" s="31"/>
      <c r="AX434" s="32"/>
      <c r="AY434" s="31"/>
      <c r="AZ434" s="33"/>
      <c r="BA434" s="1967"/>
      <c r="BB434" s="1805"/>
      <c r="BC434" s="91"/>
      <c r="BD434" s="1806"/>
      <c r="BE434" s="6401"/>
      <c r="BF434" s="6402"/>
      <c r="BG434" s="1969"/>
      <c r="BH434" s="6403"/>
      <c r="BI434" s="95"/>
      <c r="BJ434" s="1326"/>
      <c r="BK434" s="6404"/>
      <c r="BL434" s="1737"/>
      <c r="BM434" s="2081"/>
      <c r="BN434" s="2238"/>
      <c r="BO434" s="1809"/>
      <c r="BR434" s="3">
        <v>1</v>
      </c>
    </row>
    <row r="435" spans="2:70" ht="21" customHeight="1">
      <c r="B435" s="6236"/>
      <c r="C435" s="6358">
        <f t="shared" si="168"/>
        <v>150</v>
      </c>
      <c r="D435" s="6359" t="str" cm="1">
        <f t="array" ref="D435">IF(MOD(ROW()-50,14)=0,INDEX(D428:D441,MOD(ROW()-50,14)+1),E433)</f>
        <v/>
      </c>
      <c r="E435" s="6360" t="str">
        <f t="shared" si="169"/>
        <v/>
      </c>
      <c r="F435" s="6361" t="str">
        <f t="shared" si="170"/>
        <v/>
      </c>
      <c r="G435" s="6318"/>
      <c r="H435" s="6393" t="str">
        <f t="shared" si="171"/>
        <v/>
      </c>
      <c r="I435" s="6405"/>
      <c r="J435" s="6395" t="str">
        <f t="shared" si="172"/>
        <v/>
      </c>
      <c r="K435" s="6396" t="str">
        <f>IF(J435="","",LEFT(J435,IF(LEN(J435)&lt;=I431,LEN(J435),IFERROR(FIND("§",SUBSTITUTE(LEFT(J435,I431+1)," ","§",LEN(LEFT(J435,I431+1))-LEN(SUBSTITUTE(LEFT(J435,I431+1)," ",""))))-1,IFERROR(FIND(" ",J435,I431+1)-1,LEN(J435))))))</f>
        <v/>
      </c>
      <c r="L435" s="6388"/>
      <c r="M435" s="6332"/>
      <c r="N435" t="s">
        <v>21</v>
      </c>
      <c r="AV435" s="103"/>
      <c r="AW435" s="31"/>
      <c r="AX435" s="32"/>
      <c r="AY435" s="31"/>
      <c r="AZ435" s="33"/>
      <c r="BA435" s="1967"/>
      <c r="BB435" s="1805"/>
      <c r="BC435" s="91"/>
      <c r="BD435" s="1806"/>
      <c r="BE435" s="6401"/>
      <c r="BF435" s="6402"/>
      <c r="BG435" s="1969"/>
      <c r="BH435" s="6403"/>
      <c r="BI435" s="95"/>
      <c r="BJ435" s="1326"/>
      <c r="BK435" s="6404"/>
      <c r="BL435" s="1737"/>
      <c r="BM435" s="2081"/>
      <c r="BN435" s="2238"/>
      <c r="BO435" s="1809"/>
      <c r="BR435" s="3">
        <v>1</v>
      </c>
    </row>
    <row r="436" spans="2:70" ht="21" customHeight="1">
      <c r="B436" s="6236"/>
      <c r="C436" s="6358">
        <f t="shared" si="168"/>
        <v>150</v>
      </c>
      <c r="D436" s="6359" t="str" cm="1">
        <f t="array" ref="D436">IF(MOD(ROW()-50,14)=0,INDEX(D428:D441,MOD(ROW()-50,14)+1),E434)</f>
        <v/>
      </c>
      <c r="E436" s="6360" t="str">
        <f t="shared" si="169"/>
        <v/>
      </c>
      <c r="F436" s="6361" t="str">
        <f t="shared" si="170"/>
        <v/>
      </c>
      <c r="G436" s="6318"/>
      <c r="H436" s="6393" t="str">
        <f t="shared" si="171"/>
        <v/>
      </c>
      <c r="I436" s="6405"/>
      <c r="J436" s="6395" t="str">
        <f t="shared" si="172"/>
        <v/>
      </c>
      <c r="K436" s="6396" t="str">
        <f>IF(J436="","",LEFT(J436,IF(LEN(J436)&lt;=I431,LEN(J436),IFERROR(FIND("§",SUBSTITUTE(LEFT(J436,I431+1)," ","§",LEN(LEFT(J436,I431+1))-LEN(SUBSTITUTE(LEFT(J436,I431+1)," ",""))))-1,IFERROR(FIND(" ",J436,I431+1)-1,LEN(J436))))))</f>
        <v/>
      </c>
      <c r="L436" s="6388"/>
      <c r="M436" s="6332"/>
      <c r="N436" t="s">
        <v>21</v>
      </c>
      <c r="AV436" s="103"/>
      <c r="AW436" s="31"/>
      <c r="AX436" s="32"/>
      <c r="AY436" s="31"/>
      <c r="AZ436" s="33"/>
      <c r="BA436" s="1967"/>
      <c r="BB436" s="1805"/>
      <c r="BC436" s="91"/>
      <c r="BD436" s="1806"/>
      <c r="BE436" s="6401"/>
      <c r="BF436" s="6402"/>
      <c r="BG436" s="1969"/>
      <c r="BH436" s="6403"/>
      <c r="BI436" s="95"/>
      <c r="BJ436" s="1326"/>
      <c r="BK436" s="6404"/>
      <c r="BL436" s="1737"/>
      <c r="BM436" s="2081"/>
      <c r="BN436" s="2238"/>
      <c r="BO436" s="1809"/>
      <c r="BR436" s="3">
        <v>1</v>
      </c>
    </row>
    <row r="437" spans="2:70" ht="21" customHeight="1">
      <c r="B437" s="6236"/>
      <c r="C437" s="6358">
        <f t="shared" si="168"/>
        <v>150</v>
      </c>
      <c r="D437" s="6359" t="str" cm="1">
        <f t="array" ref="D437">IF(MOD(ROW()-50,14)=0,INDEX(D428:D441,MOD(ROW()-50,14)+1),E435)</f>
        <v/>
      </c>
      <c r="E437" s="6360" t="str">
        <f t="shared" si="169"/>
        <v/>
      </c>
      <c r="F437" s="6361" t="str">
        <f t="shared" si="170"/>
        <v/>
      </c>
      <c r="G437" s="6318"/>
      <c r="H437" s="6393" t="str">
        <f t="shared" si="171"/>
        <v/>
      </c>
      <c r="I437" s="6405"/>
      <c r="J437" s="6395" t="str">
        <f t="shared" si="172"/>
        <v/>
      </c>
      <c r="K437" s="6396" t="str">
        <f>IF(J437="","",LEFT(J437,IF(LEN(J437)&lt;=I431,LEN(J437),IFERROR(FIND("§",SUBSTITUTE(LEFT(J437,I431+1)," ","§",LEN(LEFT(J437,I431+1))-LEN(SUBSTITUTE(LEFT(J437,I431+1)," ",""))))-1,IFERROR(FIND(" ",J437,I431+1)-1,LEN(J437))))))</f>
        <v/>
      </c>
      <c r="L437" s="6388"/>
      <c r="M437" s="6332"/>
      <c r="N437" t="s">
        <v>21</v>
      </c>
      <c r="AV437" s="103"/>
      <c r="AW437" s="31"/>
      <c r="AX437" s="32"/>
      <c r="AY437" s="31"/>
      <c r="AZ437" s="33"/>
      <c r="BA437" s="1967"/>
      <c r="BB437" s="1805"/>
      <c r="BC437" s="91"/>
      <c r="BD437" s="1806"/>
      <c r="BE437" s="6401"/>
      <c r="BF437" s="6402"/>
      <c r="BG437" s="1969"/>
      <c r="BH437" s="6403"/>
      <c r="BI437" s="95"/>
      <c r="BJ437" s="1326"/>
      <c r="BK437" s="6404"/>
      <c r="BL437" s="1737"/>
      <c r="BM437" s="2081"/>
      <c r="BN437" s="2238"/>
      <c r="BO437" s="1809"/>
      <c r="BR437" s="3">
        <v>1</v>
      </c>
    </row>
    <row r="438" spans="2:70" ht="21" customHeight="1">
      <c r="B438" s="6236"/>
      <c r="C438" s="6358">
        <f t="shared" si="168"/>
        <v>150</v>
      </c>
      <c r="D438" s="6359" t="str" cm="1">
        <f t="array" ref="D438">IF(MOD(ROW()-50,14)=0,INDEX(D428:D441,MOD(ROW()-50,14)+1),E436)</f>
        <v/>
      </c>
      <c r="E438" s="6360" t="str">
        <f t="shared" si="169"/>
        <v/>
      </c>
      <c r="F438" s="6361" t="str">
        <f t="shared" si="170"/>
        <v/>
      </c>
      <c r="G438" s="6318"/>
      <c r="H438" s="6393" t="str">
        <f t="shared" si="171"/>
        <v/>
      </c>
      <c r="I438" s="6405"/>
      <c r="J438" s="6395" t="str">
        <f t="shared" si="172"/>
        <v/>
      </c>
      <c r="K438" s="6396" t="str">
        <f>IF(J438="","",LEFT(J438,IF(LEN(J438)&lt;=I431,LEN(J438),IFERROR(FIND("§",SUBSTITUTE(LEFT(J438,I431+1)," ","§",LEN(LEFT(J438,I431+1))-LEN(SUBSTITUTE(LEFT(J438,I431+1)," ",""))))-1,IFERROR(FIND(" ",J438,I431+1)-1,LEN(J438))))))</f>
        <v/>
      </c>
      <c r="L438" s="6388"/>
      <c r="M438" s="6332"/>
      <c r="N438" t="s">
        <v>21</v>
      </c>
      <c r="AV438" s="103"/>
      <c r="AW438" s="31"/>
      <c r="AX438" s="32"/>
      <c r="AY438" s="31"/>
      <c r="AZ438" s="33"/>
      <c r="BA438" s="1967"/>
      <c r="BB438" s="1805"/>
      <c r="BC438" s="91"/>
      <c r="BD438" s="1806"/>
      <c r="BE438" s="6401"/>
      <c r="BF438" s="6402"/>
      <c r="BG438" s="1969"/>
      <c r="BH438" s="6403"/>
      <c r="BI438" s="95"/>
      <c r="BJ438" s="1326"/>
      <c r="BK438" s="6404"/>
      <c r="BL438" s="1737"/>
      <c r="BM438" s="2081"/>
      <c r="BN438" s="2238"/>
      <c r="BO438" s="1809"/>
      <c r="BR438" s="3">
        <v>1</v>
      </c>
    </row>
    <row r="439" spans="2:70" ht="21" customHeight="1">
      <c r="B439" s="6236"/>
      <c r="C439" s="6358">
        <f t="shared" si="168"/>
        <v>150</v>
      </c>
      <c r="D439" s="6359" t="str" cm="1">
        <f t="array" ref="D439">IF(MOD(ROW()-50,14)=0,INDEX(D428:D441,MOD(ROW()-50,14)+1),E437)</f>
        <v/>
      </c>
      <c r="E439" s="6360" t="str">
        <f t="shared" si="169"/>
        <v/>
      </c>
      <c r="F439" s="6361" t="str">
        <f t="shared" si="170"/>
        <v/>
      </c>
      <c r="G439" s="6318"/>
      <c r="H439" s="6393" t="str">
        <f t="shared" si="171"/>
        <v/>
      </c>
      <c r="I439" s="6405"/>
      <c r="J439" s="6395" t="str">
        <f t="shared" si="172"/>
        <v/>
      </c>
      <c r="K439" s="6396" t="str">
        <f>IF(J439="","",LEFT(J439,IF(LEN(J439)&lt;=I431,LEN(J439),IFERROR(FIND("§",SUBSTITUTE(LEFT(J439,I431+1)," ","§",LEN(LEFT(J439,I431+1))-LEN(SUBSTITUTE(LEFT(J439,I431+1)," ",""))))-1,IFERROR(FIND(" ",J439,I431+1)-1,LEN(J439))))))</f>
        <v/>
      </c>
      <c r="L439" s="6388"/>
      <c r="M439" s="6332"/>
      <c r="N439" t="s">
        <v>21</v>
      </c>
      <c r="AV439" s="103"/>
      <c r="AW439" s="31"/>
      <c r="AX439" s="32"/>
      <c r="AY439" s="31"/>
      <c r="AZ439" s="33"/>
      <c r="BA439" s="1967"/>
      <c r="BB439" s="1805"/>
      <c r="BC439" s="91"/>
      <c r="BD439" s="1806"/>
      <c r="BE439" s="6401"/>
      <c r="BF439" s="6402"/>
      <c r="BG439" s="1969"/>
      <c r="BH439" s="6403"/>
      <c r="BI439" s="95"/>
      <c r="BJ439" s="1326"/>
      <c r="BK439" s="6404"/>
      <c r="BL439" s="1737"/>
      <c r="BM439" s="2081"/>
      <c r="BN439" s="2238"/>
      <c r="BO439" s="1809"/>
      <c r="BR439" s="3">
        <v>1</v>
      </c>
    </row>
    <row r="440" spans="2:70" ht="21" customHeight="1">
      <c r="B440" s="6236"/>
      <c r="C440" s="6358">
        <f t="shared" si="168"/>
        <v>150</v>
      </c>
      <c r="D440" s="6359" t="str" cm="1">
        <f t="array" ref="D440">IF(MOD(ROW()-50,14)=0,INDEX(D428:D441,MOD(ROW()-50,14)+1),E438)</f>
        <v/>
      </c>
      <c r="E440" s="6360" t="str">
        <f t="shared" si="169"/>
        <v/>
      </c>
      <c r="F440" s="6361" t="str">
        <f t="shared" si="170"/>
        <v/>
      </c>
      <c r="G440" s="6318"/>
      <c r="H440" s="6393" t="str">
        <f t="shared" si="171"/>
        <v/>
      </c>
      <c r="I440" s="6405"/>
      <c r="J440" s="6395" t="str">
        <f t="shared" si="172"/>
        <v/>
      </c>
      <c r="K440" s="6396" t="str">
        <f>IF(J440="","",LEFT(J440,IF(LEN(J440)&lt;=I431,LEN(J440),IFERROR(FIND("§",SUBSTITUTE(LEFT(J440,I431+1)," ","§",LEN(LEFT(J440,I431+1))-LEN(SUBSTITUTE(LEFT(J440,I431+1)," ",""))))-1,IFERROR(FIND(" ",J440,I431+1)-1,LEN(J440))))))</f>
        <v/>
      </c>
      <c r="L440" s="6396"/>
      <c r="M440" s="6332"/>
      <c r="N440" t="s">
        <v>21</v>
      </c>
      <c r="AV440" s="103"/>
      <c r="AW440" s="31"/>
      <c r="AX440" s="32"/>
      <c r="AY440" s="31"/>
      <c r="AZ440" s="33"/>
      <c r="BA440" s="1967"/>
      <c r="BB440" s="1805"/>
      <c r="BC440" s="91"/>
      <c r="BD440" s="1806"/>
      <c r="BE440" s="6401"/>
      <c r="BF440" s="6402"/>
      <c r="BG440" s="1969"/>
      <c r="BH440" s="6403"/>
      <c r="BI440" s="95"/>
      <c r="BJ440" s="1326"/>
      <c r="BK440" s="6404"/>
      <c r="BL440" s="1737"/>
      <c r="BM440" s="2081"/>
      <c r="BN440" s="2238"/>
      <c r="BO440" s="1809"/>
      <c r="BR440" s="3">
        <v>1</v>
      </c>
    </row>
    <row r="441" spans="2:70" ht="21" customHeight="1">
      <c r="B441" s="6236"/>
      <c r="C441" s="6376">
        <f t="shared" si="168"/>
        <v>150</v>
      </c>
      <c r="D441" s="6414" t="str" cm="1">
        <f t="array" ref="D441">IF(MOD(ROW()-50,14)=0,INDEX(D428:D441,MOD(ROW()-50,14)+1),E439)</f>
        <v/>
      </c>
      <c r="E441" s="6377" t="str">
        <f t="shared" si="169"/>
        <v/>
      </c>
      <c r="F441" s="6378" t="str">
        <f t="shared" si="170"/>
        <v/>
      </c>
      <c r="G441" s="6319"/>
      <c r="H441" s="6409" t="str">
        <f t="shared" si="171"/>
        <v/>
      </c>
      <c r="I441" s="6410"/>
      <c r="J441" s="6411" t="str">
        <f t="shared" si="172"/>
        <v/>
      </c>
      <c r="K441" s="6412" t="str">
        <f>IF(J441="","",LEFT(J441,IF(LEN(J441)&lt;=I431,LEN(J441),IFERROR(FIND("§",SUBSTITUTE(LEFT(J441,I431+1)," ","§",LEN(LEFT(J441,I431+1))-LEN(SUBSTITUTE(LEFT(J441,I431+1)," ",""))))-1,IFERROR(FIND(" ",J441,I431+1)-1,LEN(J441))))))</f>
        <v/>
      </c>
      <c r="L441" s="6413"/>
      <c r="M441" s="6333"/>
      <c r="N441" t="s">
        <v>21</v>
      </c>
      <c r="AV441" s="103"/>
      <c r="AW441" s="31"/>
      <c r="AX441" s="32"/>
      <c r="AY441" s="31"/>
      <c r="AZ441" s="33"/>
      <c r="BA441" s="1967"/>
      <c r="BB441" s="1805"/>
      <c r="BC441" s="91"/>
      <c r="BD441" s="1806"/>
      <c r="BE441" s="6401"/>
      <c r="BF441" s="6402"/>
      <c r="BG441" s="1969"/>
      <c r="BH441" s="6403"/>
      <c r="BI441" s="95"/>
      <c r="BJ441" s="1326"/>
      <c r="BK441" s="6404"/>
      <c r="BL441" s="1737"/>
      <c r="BM441" s="2081"/>
      <c r="BN441" s="2238"/>
      <c r="BO441" s="1809"/>
      <c r="BR441" s="3">
        <v>1</v>
      </c>
    </row>
    <row r="442" spans="2:70" ht="21" customHeight="1">
      <c r="B442" s="6236"/>
      <c r="C442" s="6313">
        <f>AD78</f>
        <v>150</v>
      </c>
      <c r="D442" s="6314" t="str">
        <f>IF(UPPER(TRIM(X45))="X",U78,O78)</f>
        <v>29.TEST LIGNE 19 colonne Q et ligne 20 colonne P. rechercher la cellule qui coupe le texte Dans la cocotte N°3 en fonte, faites chauffer l’huile d’olive à feu moyen. Ajoutez la viande et faites-la dorer de tous les côtés. Retirez-la de la cocotte et réservez-la.</v>
      </c>
      <c r="E442" s="6315" t="str">
        <f>IF(D442="","",IF(F442="","",IF(LEN(F442)&gt;=LEN(D442),"",TRIM(MID(D442,LEN(F442)+1,99999)))))</f>
        <v>d’olive à feu moyen. Ajoutez la viande et faites-la dorer de tous les côtés. Retirez-la de la cocotte et réservez-la.</v>
      </c>
      <c r="F442" s="6316" t="str">
        <f>IF(D442="","",IF(LEN(D442)&lt;=C442,D442,IFERROR(LEFT(D442,FIND("§",SUBSTITUTE(LEFT(D442,C442+1)," ","§",LEN(LEFT(D442,C442+1))-LEN(SUBSTITUTE(LEFT(D442,C442+1)," ",""))))-1),LEFT(D442,C442))))</f>
        <v>29.TEST LIGNE 19 colonne Q et ligne 20 colonne P. rechercher la cellule qui coupe le texte Dans la cocotte N°3 en fonte, faites chauffer l’huile</v>
      </c>
      <c r="G442" s="6317"/>
      <c r="H442" s="6323">
        <f>IF(LEN(TRIM(L442))&gt;0,MAX(H441:H441)+1,"")</f>
        <v>1</v>
      </c>
      <c r="I442" s="6324" t="str">
        <f>D442</f>
        <v>29.TEST LIGNE 19 colonne Q et ligne 20 colonne P. rechercher la cellule qui coupe le texte Dans la cocotte N°3 en fonte, faites chauffer l’huile d’olive à feu moyen. Ajoutez la viande et faites-la dorer de tous les côtés. Retirez-la de la cocotte et réservez-la.</v>
      </c>
      <c r="J442" s="6325" t="str">
        <f>IF(I442=0,"",I442)</f>
        <v>29.TEST LIGNE 19 colonne Q et ligne 20 colonne P. rechercher la cellule qui coupe le texte Dans la cocotte N°3 en fonte, faites chauffer l’huile d’olive à feu moyen. Ajoutez la viande et faites-la dorer de tous les côtés. Retirez-la de la cocotte et réservez-la.</v>
      </c>
      <c r="K442" s="6326" t="str">
        <f>IF(I442="","",LEFT(I442,IF(LEN(I442)&lt;=I445,LEN(I442),IFERROR(FIND("§",SUBSTITUTE(LEFT(I442,I445+1)," ","§",LEN(LEFT(I442,I445+1))-LEN(SUBSTITUTE(LEFT(I442,I445+1)," ",""))))-1,IFERROR(FIND(" ",I442,I445+1)-1,LEN(I442))))))</f>
        <v>29.TEST LIGNE 19 colonne Q et ligne 20 colonne P.</v>
      </c>
      <c r="L442" s="6326" t="str" cm="1">
        <f t="array" ref="L442:L447">_xlfn._xlws.FILTER(TRIM(SUBSTITUTE(SUBSTITUTE(SUBSTITUTE(SUBSTITUTE(SUBSTITUTE(CLEAN(K442:K455),CHAR(160)," "),_xlfn.UNICHAR(8239)," "),CHAR(9)," "),CHAR(10)," "),CHAR(13)," ")),TRIM(SUBSTITUTE(SUBSTITUTE(SUBSTITUTE(SUBSTITUTE(SUBSTITUTE(CLEAN(K442:K455),CHAR(160)," "),_xlfn.UNICHAR(8239)," "),CHAR(9)," "),CHAR(10)," "),CHAR(13)," "))&lt;&gt;"")</f>
        <v>29.TEST LIGNE 19 colonne Q et ligne 20 colonne P.</v>
      </c>
      <c r="M442" s="6328"/>
      <c r="N442" t="s">
        <v>21</v>
      </c>
      <c r="AV442" s="103"/>
      <c r="AW442" s="31"/>
      <c r="AX442" s="32"/>
      <c r="AY442" s="31"/>
      <c r="AZ442" s="33"/>
      <c r="BA442" s="1967"/>
      <c r="BB442" s="1805"/>
      <c r="BC442" s="91"/>
      <c r="BD442" s="1806"/>
      <c r="BE442" s="6401"/>
      <c r="BF442" s="6402"/>
      <c r="BG442" s="1969"/>
      <c r="BH442" s="6403"/>
      <c r="BI442" s="95"/>
      <c r="BJ442" s="1326"/>
      <c r="BK442" s="6404"/>
      <c r="BL442" s="1737"/>
      <c r="BM442" s="2081"/>
      <c r="BN442" s="2238"/>
      <c r="BO442" s="1809"/>
      <c r="BR442" s="3">
        <v>1</v>
      </c>
    </row>
    <row r="443" spans="2:70" ht="21" customHeight="1">
      <c r="B443" s="6236"/>
      <c r="C443" s="6358">
        <f t="shared" ref="C443:C455" si="173">C442</f>
        <v>150</v>
      </c>
      <c r="D443" s="6359" t="str" cm="1">
        <f t="array" ref="D443">IF(MOD(ROW()-50,14)=0,INDEX(D442:D455,MOD(ROW()-50,14)+1),E441)</f>
        <v/>
      </c>
      <c r="E443" s="6360" t="str">
        <f t="shared" ref="E443:E455" si="174">IF(D443="","",IF(F443="","",IF(LEN(F443)&gt;=LEN(D443),"",TRIM(MID(D443,LEN(F443)+1,99999)))))</f>
        <v/>
      </c>
      <c r="F443" s="6361" t="str">
        <f t="shared" ref="F443:F455" si="175">IF(D443="","",IF(LEN(D443)&lt;=C443,D443,IFERROR(LEFT(D443,FIND("§",SUBSTITUTE(LEFT(D443,C443+1)," ","§",LEN(LEFT(D443,C443+1))-LEN(SUBSTITUTE(LEFT(D443,C443+1)," ",""))))-1),LEFT(D443,C443))))</f>
        <v/>
      </c>
      <c r="G443" s="6318"/>
      <c r="H443" s="6323">
        <f t="shared" ref="H443:H455" si="176">IF(LEN(TRIM(L443))&gt;0,MAX(H442:H442)+1,"")</f>
        <v>2</v>
      </c>
      <c r="I443" s="6362" t="s">
        <v>14355</v>
      </c>
      <c r="J443" s="6363" t="str">
        <f>TRIM(MID(I446,LEN(K442)+1,99999))</f>
        <v>rechercher la cellule qui coupe le texte Dans la cocotte N°3 en fonte, faites chauffer l’huile d’olive à feu moyen. Ajoutez la viande et faites-la dorer de tous les côtés. Retirez-la de la cocotte et réservez-la.</v>
      </c>
      <c r="K443" s="6364" t="str">
        <f>IF(J443="","",LEFT(J443,IF(LEN(J443)&lt;=I445,LEN(J443),IFERROR(FIND("§",SUBSTITUTE(LEFT(J443,I445+1)," ","§",LEN(LEFT(J443,I445+1))-LEN(SUBSTITUTE(LEFT(J443,I445+1)," ",""))))-1,IFERROR(FIND(" ",J443,I445+1)-1,LEN(J443))))))</f>
        <v>rechercher la cellule qui coupe le texte Dans la</v>
      </c>
      <c r="L443" s="6327" t="str">
        <v>rechercher la cellule qui coupe le texte Dans la</v>
      </c>
      <c r="M443" s="6329"/>
      <c r="N443" t="s">
        <v>21</v>
      </c>
      <c r="AV443" s="103"/>
      <c r="AW443" s="31"/>
      <c r="AX443" s="32"/>
      <c r="AY443" s="31"/>
      <c r="AZ443" s="33"/>
      <c r="BA443" s="1967"/>
      <c r="BB443" s="1805"/>
      <c r="BC443" s="91"/>
      <c r="BD443" s="1806"/>
      <c r="BE443" s="6401"/>
      <c r="BF443" s="6402"/>
      <c r="BG443" s="1969"/>
      <c r="BH443" s="6403"/>
      <c r="BI443" s="95"/>
      <c r="BJ443" s="1326"/>
      <c r="BK443" s="6404"/>
      <c r="BL443" s="1737"/>
      <c r="BM443" s="2081"/>
      <c r="BN443" s="2238"/>
      <c r="BO443" s="1809"/>
      <c r="BR443" s="3">
        <v>1</v>
      </c>
    </row>
    <row r="444" spans="2:70" ht="21" customHeight="1">
      <c r="B444" s="6236"/>
      <c r="C444" s="6358">
        <f t="shared" si="173"/>
        <v>150</v>
      </c>
      <c r="D444" s="6359" t="str" cm="1">
        <f t="array" ref="D444">IF(MOD(ROW()-50,14)=0,INDEX(D442:D455,MOD(ROW()-50,14)+1),E442)</f>
        <v>d’olive à feu moyen. Ajoutez la viande et faites-la dorer de tous les côtés. Retirez-la de la cocotte et réservez-la.</v>
      </c>
      <c r="E444" s="6360" t="str">
        <f t="shared" si="174"/>
        <v/>
      </c>
      <c r="F444" s="6361" t="str">
        <f t="shared" si="175"/>
        <v>d’olive à feu moyen. Ajoutez la viande et faites-la dorer de tous les côtés. Retirez-la de la cocotte et réservez-la.</v>
      </c>
      <c r="G444" s="6318"/>
      <c r="H444" s="6323">
        <f t="shared" si="176"/>
        <v>3</v>
      </c>
      <c r="I444" s="6365">
        <f>Z78</f>
        <v>5</v>
      </c>
      <c r="J444" s="6363" t="str">
        <f t="shared" ref="J444:J455" si="177">TRIM(MID(J443,LEN(K443)+1,99999))</f>
        <v>cocotte N°3 en fonte, faites chauffer l’huile d’olive à feu moyen. Ajoutez la viande et faites-la dorer de tous les côtés. Retirez-la de la cocotte et réservez-la.</v>
      </c>
      <c r="K444" s="6364" t="str">
        <f>IF(J444="","",LEFT(J444,IF(LEN(J444)&lt;=I445,LEN(J444),IFERROR(FIND("§",SUBSTITUTE(LEFT(J444,I445+1)," ","§",LEN(LEFT(J444,I445+1))-LEN(SUBSTITUTE(LEFT(J444,I445+1)," ",""))))-1,IFERROR(FIND(" ",J444,I445+1)-1,LEN(J444))))))</f>
        <v>cocotte N°3 en fonte, faites chauffer l’huile d’olive</v>
      </c>
      <c r="L444" s="6327" t="str">
        <v>cocotte N°3 en fonte, faites chauffer l’huile d’olive</v>
      </c>
      <c r="M444" s="6329"/>
      <c r="N444" t="s">
        <v>21</v>
      </c>
      <c r="AV444" s="103"/>
      <c r="AW444" s="31"/>
      <c r="AX444" s="32"/>
      <c r="AY444" s="31"/>
      <c r="AZ444" s="33"/>
      <c r="BA444" s="1967"/>
      <c r="BB444" s="1805"/>
      <c r="BC444" s="91"/>
      <c r="BD444" s="1806"/>
      <c r="BE444" s="6401"/>
      <c r="BF444" s="6402"/>
      <c r="BG444" s="1969"/>
      <c r="BH444" s="6403"/>
      <c r="BI444" s="95"/>
      <c r="BJ444" s="1326"/>
      <c r="BK444" s="6404"/>
      <c r="BL444" s="1737"/>
      <c r="BM444" s="2081"/>
      <c r="BN444" s="2238"/>
      <c r="BO444" s="1809"/>
      <c r="BR444" s="3">
        <v>1</v>
      </c>
    </row>
    <row r="445" spans="2:70" ht="21" customHeight="1">
      <c r="B445" s="6236"/>
      <c r="C445" s="6358">
        <f t="shared" si="173"/>
        <v>150</v>
      </c>
      <c r="D445" s="6359" t="str" cm="1">
        <f t="array" ref="D445">IF(MOD(ROW()-50,14)=0,INDEX(D442:D455,MOD(ROW()-50,14)+1),E443)</f>
        <v/>
      </c>
      <c r="E445" s="6360" t="str">
        <f t="shared" si="174"/>
        <v/>
      </c>
      <c r="F445" s="6361" t="str">
        <f t="shared" si="175"/>
        <v/>
      </c>
      <c r="G445" s="6318"/>
      <c r="H445" s="6323">
        <f t="shared" si="176"/>
        <v>4</v>
      </c>
      <c r="I445" s="6370">
        <f>IF(OR(J442="",I444="",I444&lt;=0),"",ROUNDUP(LEN(J442)/I444,0))</f>
        <v>53</v>
      </c>
      <c r="J445" s="6363" t="str">
        <f t="shared" si="177"/>
        <v>à feu moyen. Ajoutez la viande et faites-la dorer de tous les côtés. Retirez-la de la cocotte et réservez-la.</v>
      </c>
      <c r="K445" s="6364" t="str">
        <f>IF(J445="","",LEFT(J445,IF(LEN(J445)&lt;=I445,LEN(J445),IFERROR(FIND("§",SUBSTITUTE(LEFT(J445,I445+1)," ","§",LEN(LEFT(J445,I445+1))-LEN(SUBSTITUTE(LEFT(J445,I445+1)," ",""))))-1,IFERROR(FIND(" ",J445,I445+1)-1,LEN(J445))))))</f>
        <v>à feu moyen. Ajoutez la viande et faites-la dorer de</v>
      </c>
      <c r="L445" s="6327" t="str">
        <v>à feu moyen. Ajoutez la viande et faites-la dorer de</v>
      </c>
      <c r="M445" s="6329"/>
      <c r="N445" t="s">
        <v>21</v>
      </c>
      <c r="AV445" s="103"/>
      <c r="AW445" s="31"/>
      <c r="AX445" s="32"/>
      <c r="AY445" s="31"/>
      <c r="AZ445" s="33"/>
      <c r="BA445" s="1967"/>
      <c r="BB445" s="1805"/>
      <c r="BC445" s="91"/>
      <c r="BD445" s="1806"/>
      <c r="BE445" s="6401"/>
      <c r="BF445" s="6402"/>
      <c r="BG445" s="1969"/>
      <c r="BH445" s="6403"/>
      <c r="BI445" s="95"/>
      <c r="BJ445" s="1326"/>
      <c r="BK445" s="6404"/>
      <c r="BL445" s="1737"/>
      <c r="BM445" s="2081"/>
      <c r="BN445" s="2238"/>
      <c r="BO445" s="1809"/>
      <c r="BR445" s="3">
        <v>1</v>
      </c>
    </row>
    <row r="446" spans="2:70" ht="21" customHeight="1">
      <c r="B446" s="6236"/>
      <c r="C446" s="6358">
        <f t="shared" si="173"/>
        <v>150</v>
      </c>
      <c r="D446" s="6359" t="str" cm="1">
        <f t="array" ref="D446">IF(MOD(ROW()-50,14)=0,INDEX(D442:D455,MOD(ROW()-50,14)+1),E444)</f>
        <v/>
      </c>
      <c r="E446" s="6360" t="str">
        <f t="shared" si="174"/>
        <v/>
      </c>
      <c r="F446" s="6361" t="str">
        <f t="shared" si="175"/>
        <v/>
      </c>
      <c r="G446" s="6318"/>
      <c r="H446" s="6323">
        <f t="shared" si="176"/>
        <v>5</v>
      </c>
      <c r="I446" s="6372" t="str">
        <f>I442</f>
        <v>29.TEST LIGNE 19 colonne Q et ligne 20 colonne P. rechercher la cellule qui coupe le texte Dans la cocotte N°3 en fonte, faites chauffer l’huile d’olive à feu moyen. Ajoutez la viande et faites-la dorer de tous les côtés. Retirez-la de la cocotte et réservez-la.</v>
      </c>
      <c r="J446" s="6363" t="str">
        <f t="shared" si="177"/>
        <v>tous les côtés. Retirez-la de la cocotte et réservez-la.</v>
      </c>
      <c r="K446" s="6364" t="str">
        <f>IF(J446="","",LEFT(J446,IF(LEN(J446)&lt;=I445,LEN(J446),IFERROR(FIND("§",SUBSTITUTE(LEFT(J446,I445+1)," ","§",LEN(LEFT(J446,I445+1))-LEN(SUBSTITUTE(LEFT(J446,I445+1)," ",""))))-1,IFERROR(FIND(" ",J446,I445+1)-1,LEN(J446))))))</f>
        <v>tous les côtés. Retirez-la de la cocotte et</v>
      </c>
      <c r="L446" s="6327" t="str">
        <v>tous les côtés. Retirez-la de la cocotte et</v>
      </c>
      <c r="M446" s="6329"/>
      <c r="N446" t="s">
        <v>21</v>
      </c>
      <c r="AV446" s="103"/>
      <c r="AW446" s="31"/>
      <c r="AX446" s="32"/>
      <c r="AY446" s="31"/>
      <c r="AZ446" s="33"/>
      <c r="BA446" s="1967"/>
      <c r="BB446" s="1805"/>
      <c r="BC446" s="91"/>
      <c r="BD446" s="1806"/>
      <c r="BE446" s="6401"/>
      <c r="BF446" s="6402"/>
      <c r="BG446" s="1969"/>
      <c r="BH446" s="6403"/>
      <c r="BI446" s="95"/>
      <c r="BJ446" s="1326"/>
      <c r="BK446" s="6404"/>
      <c r="BL446" s="1737"/>
      <c r="BM446" s="2081"/>
      <c r="BN446" s="2238"/>
      <c r="BO446" s="1809"/>
      <c r="BR446" s="3">
        <v>1</v>
      </c>
    </row>
    <row r="447" spans="2:70" ht="21" customHeight="1">
      <c r="B447" s="6236"/>
      <c r="C447" s="6358">
        <f t="shared" si="173"/>
        <v>150</v>
      </c>
      <c r="D447" s="6359" t="str" cm="1">
        <f t="array" ref="D447">IF(MOD(ROW()-50,14)=0,INDEX(D442:D455,MOD(ROW()-50,14)+1),E445)</f>
        <v/>
      </c>
      <c r="E447" s="6360" t="str">
        <f t="shared" si="174"/>
        <v/>
      </c>
      <c r="F447" s="6361" t="str">
        <f t="shared" si="175"/>
        <v/>
      </c>
      <c r="G447" s="6318"/>
      <c r="H447" s="6323">
        <f t="shared" si="176"/>
        <v>6</v>
      </c>
      <c r="I447" s="6373"/>
      <c r="J447" s="6363" t="str">
        <f t="shared" si="177"/>
        <v>réservez-la.</v>
      </c>
      <c r="K447" s="6364" t="str">
        <f>IF(J447="","",LEFT(J447,IF(LEN(J447)&lt;=I445,LEN(J447),IFERROR(FIND("§",SUBSTITUTE(LEFT(J447,I445+1)," ","§",LEN(LEFT(J447,I445+1))-LEN(SUBSTITUTE(LEFT(J447,I445+1)," ",""))))-1,IFERROR(FIND(" ",J447,I445+1)-1,LEN(J447))))))</f>
        <v>réservez-la.</v>
      </c>
      <c r="L447" s="6327" t="str">
        <v>réservez-la.</v>
      </c>
      <c r="M447" s="6329"/>
      <c r="N447" t="s">
        <v>21</v>
      </c>
      <c r="AV447" s="103"/>
      <c r="AW447" s="31"/>
      <c r="AX447" s="32"/>
      <c r="AY447" s="31"/>
      <c r="AZ447" s="33"/>
      <c r="BA447" s="1967"/>
      <c r="BB447" s="1805"/>
      <c r="BC447" s="91"/>
      <c r="BD447" s="1806"/>
      <c r="BE447" s="6401"/>
      <c r="BF447" s="6402"/>
      <c r="BG447" s="1969"/>
      <c r="BH447" s="6403"/>
      <c r="BI447" s="95"/>
      <c r="BJ447" s="1326"/>
      <c r="BK447" s="6404"/>
      <c r="BL447" s="1737"/>
      <c r="BM447" s="2081"/>
      <c r="BN447" s="2238"/>
      <c r="BO447" s="1809"/>
      <c r="BR447" s="3">
        <v>1</v>
      </c>
    </row>
    <row r="448" spans="2:70" ht="21" customHeight="1">
      <c r="B448" s="6236"/>
      <c r="C448" s="6358">
        <f t="shared" si="173"/>
        <v>150</v>
      </c>
      <c r="D448" s="6359" t="str" cm="1">
        <f t="array" ref="D448">IF(MOD(ROW()-50,14)=0,INDEX(D442:D455,MOD(ROW()-50,14)+1),E446)</f>
        <v/>
      </c>
      <c r="E448" s="6360" t="str">
        <f t="shared" si="174"/>
        <v/>
      </c>
      <c r="F448" s="6361" t="str">
        <f t="shared" si="175"/>
        <v/>
      </c>
      <c r="G448" s="6318"/>
      <c r="H448" s="6323" t="str">
        <f t="shared" si="176"/>
        <v/>
      </c>
      <c r="I448" s="6373"/>
      <c r="J448" s="6363" t="str">
        <f t="shared" si="177"/>
        <v/>
      </c>
      <c r="K448" s="6364" t="str">
        <f>IF(J448="","",LEFT(J448,IF(LEN(J448)&lt;=I445,LEN(J448),IFERROR(FIND("§",SUBSTITUTE(LEFT(J448,I445+1)," ","§",LEN(LEFT(J448,I445+1))-LEN(SUBSTITUTE(LEFT(J448,I445+1)," ",""))))-1,IFERROR(FIND(" ",J448,I445+1)-1,LEN(J448))))))</f>
        <v/>
      </c>
      <c r="L448" s="6327"/>
      <c r="M448" s="6329"/>
      <c r="N448" t="s">
        <v>21</v>
      </c>
      <c r="AV448" s="103"/>
      <c r="AW448" s="31"/>
      <c r="AX448" s="32"/>
      <c r="AY448" s="31"/>
      <c r="AZ448" s="33"/>
      <c r="BA448" s="1967"/>
      <c r="BB448" s="1805"/>
      <c r="BC448" s="91"/>
      <c r="BD448" s="1806"/>
      <c r="BE448" s="6401"/>
      <c r="BF448" s="6402"/>
      <c r="BG448" s="1969"/>
      <c r="BH448" s="6403"/>
      <c r="BI448" s="95"/>
      <c r="BJ448" s="1326"/>
      <c r="BK448" s="6404"/>
      <c r="BL448" s="1737"/>
      <c r="BM448" s="2081"/>
      <c r="BN448" s="2238"/>
      <c r="BO448" s="1809"/>
      <c r="BR448" s="3">
        <v>1</v>
      </c>
    </row>
    <row r="449" spans="2:70" ht="21" customHeight="1">
      <c r="B449" s="6236"/>
      <c r="C449" s="6358">
        <f t="shared" si="173"/>
        <v>150</v>
      </c>
      <c r="D449" s="6359" t="str" cm="1">
        <f t="array" ref="D449">IF(MOD(ROW()-50,14)=0,INDEX(D442:D455,MOD(ROW()-50,14)+1),E447)</f>
        <v/>
      </c>
      <c r="E449" s="6360" t="str">
        <f t="shared" si="174"/>
        <v/>
      </c>
      <c r="F449" s="6361" t="str">
        <f t="shared" si="175"/>
        <v/>
      </c>
      <c r="G449" s="6318"/>
      <c r="H449" s="6323" t="str">
        <f t="shared" si="176"/>
        <v/>
      </c>
      <c r="I449" s="6373"/>
      <c r="J449" s="6363" t="str">
        <f t="shared" si="177"/>
        <v/>
      </c>
      <c r="K449" s="6364" t="str">
        <f>IF(J449="","",LEFT(J449,IF(LEN(J449)&lt;=I445,LEN(J449),IFERROR(FIND("§",SUBSTITUTE(LEFT(J449,I445+1)," ","§",LEN(LEFT(J449,I445+1))-LEN(SUBSTITUTE(LEFT(J449,I445+1)," ",""))))-1,IFERROR(FIND(" ",J449,I445+1)-1,LEN(J449))))))</f>
        <v/>
      </c>
      <c r="L449" s="6327"/>
      <c r="M449" s="6329"/>
      <c r="N449" t="s">
        <v>21</v>
      </c>
      <c r="AV449" s="103"/>
      <c r="AW449" s="31"/>
      <c r="AX449" s="32"/>
      <c r="AY449" s="31"/>
      <c r="AZ449" s="33"/>
      <c r="BA449" s="1967"/>
      <c r="BB449" s="1805"/>
      <c r="BC449" s="91"/>
      <c r="BD449" s="1806"/>
      <c r="BE449" s="6401"/>
      <c r="BF449" s="6402"/>
      <c r="BG449" s="1969"/>
      <c r="BH449" s="6403"/>
      <c r="BI449" s="95"/>
      <c r="BJ449" s="1326"/>
      <c r="BK449" s="6404"/>
      <c r="BL449" s="1737"/>
      <c r="BM449" s="2081"/>
      <c r="BN449" s="2238"/>
      <c r="BO449" s="1809"/>
      <c r="BR449" s="3">
        <v>1</v>
      </c>
    </row>
    <row r="450" spans="2:70" ht="21" customHeight="1">
      <c r="B450" s="6236"/>
      <c r="C450" s="6358">
        <f t="shared" si="173"/>
        <v>150</v>
      </c>
      <c r="D450" s="6359" t="str" cm="1">
        <f t="array" ref="D450">IF(MOD(ROW()-50,14)=0,INDEX(D442:D455,MOD(ROW()-50,14)+1),E448)</f>
        <v/>
      </c>
      <c r="E450" s="6360" t="str">
        <f t="shared" si="174"/>
        <v/>
      </c>
      <c r="F450" s="6361" t="str">
        <f t="shared" si="175"/>
        <v/>
      </c>
      <c r="G450" s="6318"/>
      <c r="H450" s="6323" t="str">
        <f t="shared" si="176"/>
        <v/>
      </c>
      <c r="I450" s="6373"/>
      <c r="J450" s="6363" t="str">
        <f t="shared" si="177"/>
        <v/>
      </c>
      <c r="K450" s="6364" t="str">
        <f>IF(J450="","",LEFT(J450,IF(LEN(J450)&lt;=I445,LEN(J450),IFERROR(FIND("§",SUBSTITUTE(LEFT(J450,I445+1)," ","§",LEN(LEFT(J450,I445+1))-LEN(SUBSTITUTE(LEFT(J450,I445+1)," ",""))))-1,IFERROR(FIND(" ",J450,I445+1)-1,LEN(J450))))))</f>
        <v/>
      </c>
      <c r="L450" s="6327"/>
      <c r="M450" s="6329"/>
      <c r="N450" t="s">
        <v>21</v>
      </c>
      <c r="AV450" s="103"/>
      <c r="AW450" s="31"/>
      <c r="AX450" s="32"/>
      <c r="AY450" s="31"/>
      <c r="AZ450" s="33"/>
      <c r="BA450" s="1967"/>
      <c r="BB450" s="1805"/>
      <c r="BC450" s="91"/>
      <c r="BD450" s="1806"/>
      <c r="BE450" s="6401"/>
      <c r="BF450" s="6402"/>
      <c r="BG450" s="1969"/>
      <c r="BH450" s="6403"/>
      <c r="BI450" s="95"/>
      <c r="BJ450" s="1326"/>
      <c r="BK450" s="6404"/>
      <c r="BL450" s="1737"/>
      <c r="BM450" s="2081"/>
      <c r="BN450" s="2238"/>
      <c r="BO450" s="1809"/>
      <c r="BR450" s="3">
        <v>1</v>
      </c>
    </row>
    <row r="451" spans="2:70" ht="21" customHeight="1">
      <c r="B451" s="6236"/>
      <c r="C451" s="6358">
        <f t="shared" si="173"/>
        <v>150</v>
      </c>
      <c r="D451" s="6359" t="str" cm="1">
        <f t="array" ref="D451">IF(MOD(ROW()-50,14)=0,INDEX(D442:D455,MOD(ROW()-50,14)+1),E449)</f>
        <v/>
      </c>
      <c r="E451" s="6360" t="str">
        <f t="shared" si="174"/>
        <v/>
      </c>
      <c r="F451" s="6361" t="str">
        <f t="shared" si="175"/>
        <v/>
      </c>
      <c r="G451" s="6318"/>
      <c r="H451" s="6323" t="str">
        <f t="shared" si="176"/>
        <v/>
      </c>
      <c r="I451" s="6373"/>
      <c r="J451" s="6363" t="str">
        <f t="shared" si="177"/>
        <v/>
      </c>
      <c r="K451" s="6364" t="str">
        <f>IF(J451="","",LEFT(J451,IF(LEN(J451)&lt;=I445,LEN(J451),IFERROR(FIND("§",SUBSTITUTE(LEFT(J451,I445+1)," ","§",LEN(LEFT(J451,I445+1))-LEN(SUBSTITUTE(LEFT(J451,I445+1)," ",""))))-1,IFERROR(FIND(" ",J451,I445+1)-1,LEN(J451))))))</f>
        <v/>
      </c>
      <c r="L451" s="6327"/>
      <c r="M451" s="6329"/>
      <c r="N451" t="s">
        <v>21</v>
      </c>
      <c r="AV451" s="103"/>
      <c r="AW451" s="31"/>
      <c r="AX451" s="32"/>
      <c r="AY451" s="31"/>
      <c r="AZ451" s="33"/>
      <c r="BA451" s="1967"/>
      <c r="BB451" s="1805"/>
      <c r="BC451" s="91"/>
      <c r="BD451" s="1806"/>
      <c r="BE451" s="6401"/>
      <c r="BF451" s="6402"/>
      <c r="BG451" s="1969"/>
      <c r="BH451" s="6403"/>
      <c r="BI451" s="95"/>
      <c r="BJ451" s="1326"/>
      <c r="BK451" s="6404"/>
      <c r="BL451" s="1737"/>
      <c r="BM451" s="2081"/>
      <c r="BN451" s="2238"/>
      <c r="BO451" s="1809"/>
      <c r="BR451" s="3">
        <v>1</v>
      </c>
    </row>
    <row r="452" spans="2:70" ht="21" customHeight="1">
      <c r="B452" s="6236"/>
      <c r="C452" s="6358">
        <f t="shared" si="173"/>
        <v>150</v>
      </c>
      <c r="D452" s="6359" t="str" cm="1">
        <f t="array" ref="D452">IF(MOD(ROW()-50,14)=0,INDEX(D442:D455,MOD(ROW()-50,14)+1),E450)</f>
        <v/>
      </c>
      <c r="E452" s="6360" t="str">
        <f t="shared" si="174"/>
        <v/>
      </c>
      <c r="F452" s="6361" t="str">
        <f t="shared" si="175"/>
        <v/>
      </c>
      <c r="G452" s="6318"/>
      <c r="H452" s="6323" t="str">
        <f t="shared" si="176"/>
        <v/>
      </c>
      <c r="I452" s="6373"/>
      <c r="J452" s="6363" t="str">
        <f t="shared" si="177"/>
        <v/>
      </c>
      <c r="K452" s="6364" t="str">
        <f>IF(J452="","",LEFT(J452,IF(LEN(J452)&lt;=I445,LEN(J452),IFERROR(FIND("§",SUBSTITUTE(LEFT(J452,I445+1)," ","§",LEN(LEFT(J452,I445+1))-LEN(SUBSTITUTE(LEFT(J452,I445+1)," ",""))))-1,IFERROR(FIND(" ",J452,I445+1)-1,LEN(J452))))))</f>
        <v/>
      </c>
      <c r="L452" s="6327"/>
      <c r="M452" s="6329"/>
      <c r="N452" t="s">
        <v>21</v>
      </c>
      <c r="AV452" s="103"/>
      <c r="AW452" s="31"/>
      <c r="AX452" s="32"/>
      <c r="AY452" s="31"/>
      <c r="AZ452" s="33"/>
      <c r="BA452" s="1967"/>
      <c r="BB452" s="1805"/>
      <c r="BC452" s="91"/>
      <c r="BD452" s="1806"/>
      <c r="BE452" s="6401"/>
      <c r="BF452" s="6402"/>
      <c r="BG452" s="1969"/>
      <c r="BH452" s="6403"/>
      <c r="BI452" s="95"/>
      <c r="BJ452" s="1326"/>
      <c r="BK452" s="6404"/>
      <c r="BL452" s="1737"/>
      <c r="BM452" s="2081"/>
      <c r="BN452" s="2238"/>
      <c r="BO452" s="1809"/>
      <c r="BR452" s="3">
        <v>1</v>
      </c>
    </row>
    <row r="453" spans="2:70" ht="21" customHeight="1">
      <c r="B453" s="6236"/>
      <c r="C453" s="6358">
        <f t="shared" si="173"/>
        <v>150</v>
      </c>
      <c r="D453" s="6359" t="str" cm="1">
        <f t="array" ref="D453">IF(MOD(ROW()-50,14)=0,INDEX(D442:D455,MOD(ROW()-50,14)+1),E451)</f>
        <v/>
      </c>
      <c r="E453" s="6360" t="str">
        <f t="shared" si="174"/>
        <v/>
      </c>
      <c r="F453" s="6361" t="str">
        <f t="shared" si="175"/>
        <v/>
      </c>
      <c r="G453" s="6318"/>
      <c r="H453" s="6323" t="str">
        <f t="shared" si="176"/>
        <v/>
      </c>
      <c r="I453" s="6373"/>
      <c r="J453" s="6363" t="str">
        <f t="shared" si="177"/>
        <v/>
      </c>
      <c r="K453" s="6364" t="str">
        <f>IF(J453="","",LEFT(J453,IF(LEN(J453)&lt;=I445,LEN(J453),IFERROR(FIND("§",SUBSTITUTE(LEFT(J453,I445+1)," ","§",LEN(LEFT(J453,I445+1))-LEN(SUBSTITUTE(LEFT(J453,I445+1)," ",""))))-1,IFERROR(FIND(" ",J453,I445+1)-1,LEN(J453))))))</f>
        <v/>
      </c>
      <c r="L453" s="6327"/>
      <c r="M453" s="6329"/>
      <c r="N453" t="s">
        <v>21</v>
      </c>
      <c r="AV453" s="103"/>
      <c r="AW453" s="31"/>
      <c r="AX453" s="32"/>
      <c r="AY453" s="31"/>
      <c r="AZ453" s="33"/>
      <c r="BA453" s="1967"/>
      <c r="BB453" s="1805"/>
      <c r="BC453" s="91"/>
      <c r="BD453" s="1806"/>
      <c r="BE453" s="6401"/>
      <c r="BF453" s="6402"/>
      <c r="BG453" s="1969"/>
      <c r="BH453" s="6403"/>
      <c r="BI453" s="95"/>
      <c r="BJ453" s="1326"/>
      <c r="BK453" s="6404"/>
      <c r="BL453" s="1737"/>
      <c r="BM453" s="2081"/>
      <c r="BN453" s="2238"/>
      <c r="BO453" s="1809"/>
      <c r="BR453" s="3">
        <v>1</v>
      </c>
    </row>
    <row r="454" spans="2:70" ht="21" customHeight="1">
      <c r="B454" s="6236"/>
      <c r="C454" s="6358">
        <f t="shared" si="173"/>
        <v>150</v>
      </c>
      <c r="D454" s="6359" t="str" cm="1">
        <f t="array" ref="D454">IF(MOD(ROW()-50,14)=0,INDEX(D442:D455,MOD(ROW()-50,14)+1),E452)</f>
        <v/>
      </c>
      <c r="E454" s="6360" t="str">
        <f t="shared" si="174"/>
        <v/>
      </c>
      <c r="F454" s="6361" t="str">
        <f t="shared" si="175"/>
        <v/>
      </c>
      <c r="G454" s="6318"/>
      <c r="H454" s="6323" t="str">
        <f t="shared" si="176"/>
        <v/>
      </c>
      <c r="I454" s="6373"/>
      <c r="J454" s="6363" t="str">
        <f t="shared" si="177"/>
        <v/>
      </c>
      <c r="K454" s="6364" t="str">
        <f>IF(J454="","",LEFT(J454,IF(LEN(J454)&lt;=I445,LEN(J454),IFERROR(FIND("§",SUBSTITUTE(LEFT(J454,I445+1)," ","§",LEN(LEFT(J454,I445+1))-LEN(SUBSTITUTE(LEFT(J454,I445+1)," ",""))))-1,IFERROR(FIND(" ",J454,I445+1)-1,LEN(J454))))))</f>
        <v/>
      </c>
      <c r="L454" s="6364"/>
      <c r="M454" s="6329"/>
      <c r="N454" t="s">
        <v>21</v>
      </c>
      <c r="AV454" s="103"/>
      <c r="AW454" s="31"/>
      <c r="AX454" s="32"/>
      <c r="AY454" s="31"/>
      <c r="AZ454" s="33"/>
      <c r="BA454" s="1967"/>
      <c r="BB454" s="1805"/>
      <c r="BC454" s="91"/>
      <c r="BD454" s="1806"/>
      <c r="BE454" s="6401"/>
      <c r="BF454" s="6402"/>
      <c r="BG454" s="1969"/>
      <c r="BH454" s="6403"/>
      <c r="BI454" s="95"/>
      <c r="BJ454" s="1326"/>
      <c r="BK454" s="6404"/>
      <c r="BL454" s="1737"/>
      <c r="BM454" s="2081"/>
      <c r="BN454" s="2238"/>
      <c r="BO454" s="1809"/>
      <c r="BR454" s="3">
        <v>1</v>
      </c>
    </row>
    <row r="455" spans="2:70" ht="21" customHeight="1">
      <c r="B455" s="6236"/>
      <c r="C455" s="6376">
        <f t="shared" si="173"/>
        <v>150</v>
      </c>
      <c r="D455" s="6414" t="str" cm="1">
        <f t="array" ref="D455">IF(MOD(ROW()-50,14)=0,INDEX(D442:D455,MOD(ROW()-50,14)+1),E453)</f>
        <v/>
      </c>
      <c r="E455" s="6377" t="str">
        <f t="shared" si="174"/>
        <v/>
      </c>
      <c r="F455" s="6378" t="str">
        <f t="shared" si="175"/>
        <v/>
      </c>
      <c r="G455" s="6319"/>
      <c r="H455" s="6323" t="str">
        <f t="shared" si="176"/>
        <v/>
      </c>
      <c r="I455" s="6379"/>
      <c r="J455" s="6380" t="str">
        <f t="shared" si="177"/>
        <v/>
      </c>
      <c r="K455" s="6381" t="str">
        <f>IF(J455="","",LEFT(J455,IF(LEN(J455)&lt;=I445,LEN(J455),IFERROR(FIND("§",SUBSTITUTE(LEFT(J455,I445+1)," ","§",LEN(LEFT(J455,I445+1))-LEN(SUBSTITUTE(LEFT(J455,I445+1)," ",""))))-1,IFERROR(FIND(" ",J455,I445+1)-1,LEN(J455))))))</f>
        <v/>
      </c>
      <c r="L455" s="6382"/>
      <c r="M455" s="6330"/>
      <c r="N455" t="s">
        <v>21</v>
      </c>
      <c r="AV455" s="103"/>
      <c r="AW455" s="31"/>
      <c r="AX455" s="32"/>
      <c r="AY455" s="31"/>
      <c r="AZ455" s="33"/>
      <c r="BA455" s="1967"/>
      <c r="BB455" s="1805"/>
      <c r="BC455" s="91"/>
      <c r="BD455" s="1806"/>
      <c r="BE455" s="6401"/>
      <c r="BF455" s="6402"/>
      <c r="BG455" s="1969"/>
      <c r="BH455" s="6403"/>
      <c r="BI455" s="95"/>
      <c r="BJ455" s="1326"/>
      <c r="BK455" s="6404"/>
      <c r="BL455" s="1737"/>
      <c r="BM455" s="2081"/>
      <c r="BN455" s="2238"/>
      <c r="BO455" s="1809"/>
      <c r="BR455" s="3">
        <v>1</v>
      </c>
    </row>
    <row r="456" spans="2:70" ht="21" customHeight="1">
      <c r="B456" s="6236"/>
      <c r="C456" s="6313">
        <f>AD79</f>
        <v>150</v>
      </c>
      <c r="D456" s="6314" t="str">
        <f>IF(UPPER(TRIM(X45))="X",U79,O79)</f>
        <v>30.TEST LIGNE 19 colonne Q et ligne 20 colonne P. rechercher la cellule qui coupe le texte Dans la cocotte N°3 en fonte, faites chauffer l’huile d’olive à feu moyen. Ajoutez la viande et faites-la dorer de tous les côtés. Retirez-la de la cocotte et réservez-la.</v>
      </c>
      <c r="E456" s="6383" t="str">
        <f>IF(D456="","",IF(F456="","",IF(LEN(F456)&gt;=LEN(D456),"",TRIM(MID(D456,LEN(F456)+1,99999)))))</f>
        <v>d’olive à feu moyen. Ajoutez la viande et faites-la dorer de tous les côtés. Retirez-la de la cocotte et réservez-la.</v>
      </c>
      <c r="F456" s="6384" t="str">
        <f>IF(D456="","",IF(LEN(D456)&lt;=C456,D456,IFERROR(LEFT(D456,FIND("§",SUBSTITUTE(LEFT(D456,C456+1)," ","§",LEN(LEFT(D456,C456+1))-LEN(SUBSTITUTE(LEFT(D456,C456+1)," ",""))))-1),LEFT(D456,C456))))</f>
        <v>30.TEST LIGNE 19 colonne Q et ligne 20 colonne P. rechercher la cellule qui coupe le texte Dans la cocotte N°3 en fonte, faites chauffer l’huile</v>
      </c>
      <c r="G456" s="6320"/>
      <c r="H456" s="6385">
        <f>IF(LEN(TRIM(L456))&gt;0,MAX(H455:H455)+1,"")</f>
        <v>1</v>
      </c>
      <c r="I456" s="6324" t="str">
        <f>D456</f>
        <v>30.TEST LIGNE 19 colonne Q et ligne 20 colonne P. rechercher la cellule qui coupe le texte Dans la cocotte N°3 en fonte, faites chauffer l’huile d’olive à feu moyen. Ajoutez la viande et faites-la dorer de tous les côtés. Retirez-la de la cocotte et réservez-la.</v>
      </c>
      <c r="J456" s="6386" t="str">
        <f>IF(I456=0,"",I456)</f>
        <v>30.TEST LIGNE 19 colonne Q et ligne 20 colonne P. rechercher la cellule qui coupe le texte Dans la cocotte N°3 en fonte, faites chauffer l’huile d’olive à feu moyen. Ajoutez la viande et faites-la dorer de tous les côtés. Retirez-la de la cocotte et réservez-la.</v>
      </c>
      <c r="K456" s="6387" t="str">
        <f>IF(I456="","",LEFT(I456,IF(LEN(I456)&lt;=I459,LEN(I456),IFERROR(FIND("§",SUBSTITUTE(LEFT(I456,I459+1)," ","§",LEN(LEFT(I456,I459+1))-LEN(SUBSTITUTE(LEFT(I456,I459+1)," ",""))))-1,IFERROR(FIND(" ",I456,I459+1)-1,LEN(I456))))))</f>
        <v>30.TEST LIGNE 19 colonne Q et ligne 20 colonne P.</v>
      </c>
      <c r="L456" s="6388" t="str" cm="1">
        <f t="array" ref="L456:L461">_xlfn._xlws.FILTER(TRIM(SUBSTITUTE(SUBSTITUTE(SUBSTITUTE(SUBSTITUTE(SUBSTITUTE(CLEAN(K456:K469),CHAR(160)," "),_xlfn.UNICHAR(8239)," "),CHAR(9)," "),CHAR(10)," "),CHAR(13)," ")),TRIM(SUBSTITUTE(SUBSTITUTE(SUBSTITUTE(SUBSTITUTE(SUBSTITUTE(CLEAN(K456:K469),CHAR(160)," "),_xlfn.UNICHAR(8239)," "),CHAR(9)," "),CHAR(10)," "),CHAR(13)," "))&lt;&gt;"")</f>
        <v>30.TEST LIGNE 19 colonne Q et ligne 20 colonne P.</v>
      </c>
      <c r="M456" s="6331"/>
      <c r="N456" t="s">
        <v>21</v>
      </c>
      <c r="AV456" s="103"/>
      <c r="AW456" s="31"/>
      <c r="AX456" s="32"/>
      <c r="AY456" s="31"/>
      <c r="AZ456" s="33"/>
      <c r="BA456" s="1967"/>
      <c r="BB456" s="1805"/>
      <c r="BC456" s="91"/>
      <c r="BD456" s="1806"/>
      <c r="BE456" s="6401"/>
      <c r="BF456" s="6402"/>
      <c r="BG456" s="1969"/>
      <c r="BH456" s="6403"/>
      <c r="BI456" s="95"/>
      <c r="BJ456" s="1326"/>
      <c r="BK456" s="6404"/>
      <c r="BL456" s="1737"/>
      <c r="BM456" s="2081"/>
      <c r="BN456" s="2238"/>
      <c r="BO456" s="1809"/>
      <c r="BR456" s="3">
        <v>1</v>
      </c>
    </row>
    <row r="457" spans="2:70" ht="21" customHeight="1">
      <c r="B457" s="6236"/>
      <c r="C457" s="6358">
        <f t="shared" ref="C457:C469" si="178">C456</f>
        <v>150</v>
      </c>
      <c r="D457" s="6390" t="str" cm="1">
        <f t="array" ref="D457">IF(MOD(ROW()-50,14)=0,INDEX(D456:D469,MOD(ROW()-50,14)+1),E455)</f>
        <v/>
      </c>
      <c r="E457" s="6391" t="str">
        <f t="shared" ref="E457:E469" si="179">IF(D457="","",IF(F457="","",IF(LEN(F457)&gt;=LEN(D457),"",TRIM(MID(D457,LEN(F457)+1,99999)))))</f>
        <v/>
      </c>
      <c r="F457" s="6392" t="str">
        <f t="shared" ref="F457:F469" si="180">IF(D457="","",IF(LEN(D457)&lt;=C457,D457,IFERROR(LEFT(D457,FIND("§",SUBSTITUTE(LEFT(D457,C457+1)," ","§",LEN(LEFT(D457,C457+1))-LEN(SUBSTITUTE(LEFT(D457,C457+1)," ",""))))-1),LEFT(D457,C457))))</f>
        <v/>
      </c>
      <c r="G457" s="6321"/>
      <c r="H457" s="6393">
        <f t="shared" ref="H457:H469" si="181">IF(LEN(TRIM(L457))&gt;0,MAX(H456:H456)+1,"")</f>
        <v>2</v>
      </c>
      <c r="I457" s="6394" t="s">
        <v>14355</v>
      </c>
      <c r="J457" s="6395" t="str">
        <f>TRIM(MID(I460,LEN(K456)+1,99999))</f>
        <v>rechercher la cellule qui coupe le texte Dans la cocotte N°3 en fonte, faites chauffer l’huile d’olive à feu moyen. Ajoutez la viande et faites-la dorer de tous les côtés. Retirez-la de la cocotte et réservez-la.</v>
      </c>
      <c r="K457" s="6396" t="str">
        <f>IF(J457="","",LEFT(J457,IF(LEN(J457)&lt;=I459,LEN(J457),IFERROR(FIND("§",SUBSTITUTE(LEFT(J457,I459+1)," ","§",LEN(LEFT(J457,I459+1))-LEN(SUBSTITUTE(LEFT(J457,I459+1)," ",""))))-1,IFERROR(FIND(" ",J457,I459+1)-1,LEN(J457))))))</f>
        <v>rechercher la cellule qui coupe le texte Dans la</v>
      </c>
      <c r="L457" s="6388" t="str">
        <v>rechercher la cellule qui coupe le texte Dans la</v>
      </c>
      <c r="M457" s="6332"/>
      <c r="N457" t="s">
        <v>21</v>
      </c>
      <c r="AV457" s="103"/>
      <c r="AW457" s="31"/>
      <c r="AX457" s="32"/>
      <c r="AY457" s="31"/>
      <c r="AZ457" s="33"/>
      <c r="BA457" s="1967"/>
      <c r="BB457" s="1805"/>
      <c r="BC457" s="91"/>
      <c r="BD457" s="1806"/>
      <c r="BE457" s="6401"/>
      <c r="BF457" s="6402"/>
      <c r="BG457" s="1969"/>
      <c r="BH457" s="6403"/>
      <c r="BI457" s="95"/>
      <c r="BJ457" s="1326"/>
      <c r="BK457" s="6404"/>
      <c r="BL457" s="1737"/>
      <c r="BM457" s="2081"/>
      <c r="BN457" s="2238"/>
      <c r="BO457" s="1809"/>
      <c r="BR457" s="3">
        <v>1</v>
      </c>
    </row>
    <row r="458" spans="2:70" ht="21" customHeight="1">
      <c r="B458" s="6236"/>
      <c r="C458" s="6358">
        <f t="shared" si="178"/>
        <v>150</v>
      </c>
      <c r="D458" s="6390" t="str" cm="1">
        <f t="array" ref="D458">IF(MOD(ROW()-50,14)=0,INDEX(D456:D469,MOD(ROW()-50,14)+1),E456)</f>
        <v>d’olive à feu moyen. Ajoutez la viande et faites-la dorer de tous les côtés. Retirez-la de la cocotte et réservez-la.</v>
      </c>
      <c r="E458" s="6391" t="str">
        <f t="shared" si="179"/>
        <v/>
      </c>
      <c r="F458" s="6392" t="str">
        <f t="shared" si="180"/>
        <v>d’olive à feu moyen. Ajoutez la viande et faites-la dorer de tous les côtés. Retirez-la de la cocotte et réservez-la.</v>
      </c>
      <c r="G458" s="6321"/>
      <c r="H458" s="6393">
        <f t="shared" si="181"/>
        <v>3</v>
      </c>
      <c r="I458" s="6365">
        <f>Z79</f>
        <v>5</v>
      </c>
      <c r="J458" s="6395" t="str">
        <f t="shared" ref="J458:J469" si="182">TRIM(MID(J457,LEN(K457)+1,99999))</f>
        <v>cocotte N°3 en fonte, faites chauffer l’huile d’olive à feu moyen. Ajoutez la viande et faites-la dorer de tous les côtés. Retirez-la de la cocotte et réservez-la.</v>
      </c>
      <c r="K458" s="6396" t="str">
        <f>IF(J458="","",LEFT(J458,IF(LEN(J458)&lt;=I459,LEN(J458),IFERROR(FIND("§",SUBSTITUTE(LEFT(J458,I459+1)," ","§",LEN(LEFT(J458,I459+1))-LEN(SUBSTITUTE(LEFT(J458,I459+1)," ",""))))-1,IFERROR(FIND(" ",J458,I459+1)-1,LEN(J458))))))</f>
        <v>cocotte N°3 en fonte, faites chauffer l’huile d’olive</v>
      </c>
      <c r="L458" s="6388" t="str">
        <v>cocotte N°3 en fonte, faites chauffer l’huile d’olive</v>
      </c>
      <c r="M458" s="6332"/>
      <c r="N458" t="s">
        <v>21</v>
      </c>
      <c r="AV458" s="103"/>
      <c r="AW458" s="31"/>
      <c r="AX458" s="32"/>
      <c r="AY458" s="31"/>
      <c r="AZ458" s="33"/>
      <c r="BA458" s="1967"/>
      <c r="BB458" s="1805"/>
      <c r="BC458" s="91"/>
      <c r="BD458" s="1806"/>
      <c r="BE458" s="6401"/>
      <c r="BF458" s="6402"/>
      <c r="BG458" s="1969"/>
      <c r="BH458" s="6403"/>
      <c r="BI458" s="95"/>
      <c r="BJ458" s="1326"/>
      <c r="BK458" s="6404"/>
      <c r="BL458" s="1737"/>
      <c r="BM458" s="2081"/>
      <c r="BN458" s="2238"/>
      <c r="BO458" s="1809"/>
      <c r="BR458" s="3">
        <v>1</v>
      </c>
    </row>
    <row r="459" spans="2:70" ht="21" customHeight="1">
      <c r="B459" s="6236"/>
      <c r="C459" s="6358">
        <f t="shared" si="178"/>
        <v>150</v>
      </c>
      <c r="D459" s="6390" t="str" cm="1">
        <f t="array" ref="D459">IF(MOD(ROW()-50,14)=0,INDEX(D456:D469,MOD(ROW()-50,14)+1),E457)</f>
        <v/>
      </c>
      <c r="E459" s="6391" t="str">
        <f t="shared" si="179"/>
        <v/>
      </c>
      <c r="F459" s="6392" t="str">
        <f t="shared" si="180"/>
        <v/>
      </c>
      <c r="G459" s="6321"/>
      <c r="H459" s="6393">
        <f t="shared" si="181"/>
        <v>4</v>
      </c>
      <c r="I459" s="6398">
        <f>IF(OR(J456="",I458="",I458&lt;=0),"",ROUNDUP(LEN(J456)/I458,0))</f>
        <v>53</v>
      </c>
      <c r="J459" s="6395" t="str">
        <f t="shared" si="182"/>
        <v>à feu moyen. Ajoutez la viande et faites-la dorer de tous les côtés. Retirez-la de la cocotte et réservez-la.</v>
      </c>
      <c r="K459" s="6396" t="str">
        <f>IF(J459="","",LEFT(J459,IF(LEN(J459)&lt;=I459,LEN(J459),IFERROR(FIND("§",SUBSTITUTE(LEFT(J459,I459+1)," ","§",LEN(LEFT(J459,I459+1))-LEN(SUBSTITUTE(LEFT(J459,I459+1)," ",""))))-1,IFERROR(FIND(" ",J459,I459+1)-1,LEN(J459))))))</f>
        <v>à feu moyen. Ajoutez la viande et faites-la dorer de</v>
      </c>
      <c r="L459" s="6388" t="str">
        <v>à feu moyen. Ajoutez la viande et faites-la dorer de</v>
      </c>
      <c r="M459" s="6332"/>
      <c r="N459" t="s">
        <v>21</v>
      </c>
      <c r="AV459" s="103"/>
      <c r="AW459" s="31"/>
      <c r="AX459" s="32"/>
      <c r="AY459" s="31"/>
      <c r="AZ459" s="33"/>
      <c r="BA459" s="1967"/>
      <c r="BB459" s="1805"/>
      <c r="BC459" s="91"/>
      <c r="BD459" s="1806"/>
      <c r="BE459" s="6401"/>
      <c r="BF459" s="6402"/>
      <c r="BG459" s="1969"/>
      <c r="BH459" s="6403"/>
      <c r="BI459" s="95"/>
      <c r="BJ459" s="1326"/>
      <c r="BK459" s="6404"/>
      <c r="BL459" s="1737"/>
      <c r="BM459" s="2081"/>
      <c r="BN459" s="2238"/>
      <c r="BO459" s="1809"/>
      <c r="BR459" s="3">
        <v>1</v>
      </c>
    </row>
    <row r="460" spans="2:70" ht="21" customHeight="1">
      <c r="B460" s="6236"/>
      <c r="C460" s="6358">
        <f t="shared" si="178"/>
        <v>150</v>
      </c>
      <c r="D460" s="6390" t="str" cm="1">
        <f t="array" ref="D460">IF(MOD(ROW()-50,14)=0,INDEX(D456:D469,MOD(ROW()-50,14)+1),E458)</f>
        <v/>
      </c>
      <c r="E460" s="6391" t="str">
        <f t="shared" si="179"/>
        <v/>
      </c>
      <c r="F460" s="6392" t="str">
        <f t="shared" si="180"/>
        <v/>
      </c>
      <c r="G460" s="6321"/>
      <c r="H460" s="6393">
        <f t="shared" si="181"/>
        <v>5</v>
      </c>
      <c r="I460" s="6400" t="str">
        <f>I456</f>
        <v>30.TEST LIGNE 19 colonne Q et ligne 20 colonne P. rechercher la cellule qui coupe le texte Dans la cocotte N°3 en fonte, faites chauffer l’huile d’olive à feu moyen. Ajoutez la viande et faites-la dorer de tous les côtés. Retirez-la de la cocotte et réservez-la.</v>
      </c>
      <c r="J460" s="6395" t="str">
        <f t="shared" si="182"/>
        <v>tous les côtés. Retirez-la de la cocotte et réservez-la.</v>
      </c>
      <c r="K460" s="6396" t="str">
        <f>IF(J460="","",LEFT(J460,IF(LEN(J460)&lt;=I459,LEN(J460),IFERROR(FIND("§",SUBSTITUTE(LEFT(J460,I459+1)," ","§",LEN(LEFT(J460,I459+1))-LEN(SUBSTITUTE(LEFT(J460,I459+1)," ",""))))-1,IFERROR(FIND(" ",J460,I459+1)-1,LEN(J460))))))</f>
        <v>tous les côtés. Retirez-la de la cocotte et</v>
      </c>
      <c r="L460" s="6388" t="str">
        <v>tous les côtés. Retirez-la de la cocotte et</v>
      </c>
      <c r="M460" s="6332"/>
      <c r="N460" t="s">
        <v>21</v>
      </c>
      <c r="AV460" s="103"/>
      <c r="AW460" s="31"/>
      <c r="AX460" s="32"/>
      <c r="AY460" s="31"/>
      <c r="AZ460" s="33"/>
      <c r="BA460" s="1967"/>
      <c r="BB460" s="1805"/>
      <c r="BC460" s="91"/>
      <c r="BD460" s="1806"/>
      <c r="BE460" s="6401"/>
      <c r="BF460" s="6402"/>
      <c r="BG460" s="1969"/>
      <c r="BH460" s="6403"/>
      <c r="BI460" s="95"/>
      <c r="BJ460" s="1326"/>
      <c r="BK460" s="6404"/>
      <c r="BL460" s="1737"/>
      <c r="BM460" s="2081"/>
      <c r="BN460" s="2238"/>
      <c r="BO460" s="1809"/>
      <c r="BR460" s="3">
        <v>1</v>
      </c>
    </row>
    <row r="461" spans="2:70" ht="21" customHeight="1">
      <c r="B461" s="6236"/>
      <c r="C461" s="6358">
        <f t="shared" si="178"/>
        <v>150</v>
      </c>
      <c r="D461" s="6390" t="str" cm="1">
        <f t="array" ref="D461">IF(MOD(ROW()-50,14)=0,INDEX(D456:D469,MOD(ROW()-50,14)+1),E459)</f>
        <v/>
      </c>
      <c r="E461" s="6391" t="str">
        <f t="shared" si="179"/>
        <v/>
      </c>
      <c r="F461" s="6392" t="str">
        <f t="shared" si="180"/>
        <v/>
      </c>
      <c r="G461" s="6321"/>
      <c r="H461" s="6393">
        <f t="shared" si="181"/>
        <v>6</v>
      </c>
      <c r="I461" s="6405"/>
      <c r="J461" s="6395" t="str">
        <f t="shared" si="182"/>
        <v>réservez-la.</v>
      </c>
      <c r="K461" s="6396" t="str">
        <f>IF(J461="","",LEFT(J461,IF(LEN(J461)&lt;=I459,LEN(J461),IFERROR(FIND("§",SUBSTITUTE(LEFT(J461,I459+1)," ","§",LEN(LEFT(J461,I459+1))-LEN(SUBSTITUTE(LEFT(J461,I459+1)," ",""))))-1,IFERROR(FIND(" ",J461,I459+1)-1,LEN(J461))))))</f>
        <v>réservez-la.</v>
      </c>
      <c r="L461" s="6388" t="str">
        <v>réservez-la.</v>
      </c>
      <c r="M461" s="6332"/>
      <c r="N461" t="s">
        <v>21</v>
      </c>
      <c r="AV461" s="103"/>
      <c r="AW461" s="31"/>
      <c r="AX461" s="32"/>
      <c r="AY461" s="31"/>
      <c r="AZ461" s="33"/>
      <c r="BA461" s="1967"/>
      <c r="BB461" s="1805"/>
      <c r="BC461" s="91"/>
      <c r="BD461" s="1806"/>
      <c r="BE461" s="6401"/>
      <c r="BF461" s="6402"/>
      <c r="BG461" s="1969"/>
      <c r="BH461" s="6403"/>
      <c r="BI461" s="95"/>
      <c r="BJ461" s="1326"/>
      <c r="BK461" s="6404"/>
      <c r="BL461" s="1737"/>
      <c r="BM461" s="2081"/>
      <c r="BN461" s="2238"/>
      <c r="BO461" s="1809"/>
      <c r="BR461" s="3">
        <v>1</v>
      </c>
    </row>
    <row r="462" spans="2:70" ht="21" customHeight="1">
      <c r="B462" s="6236"/>
      <c r="C462" s="6358">
        <f t="shared" si="178"/>
        <v>150</v>
      </c>
      <c r="D462" s="6390" t="str" cm="1">
        <f t="array" ref="D462">IF(MOD(ROW()-50,14)=0,INDEX(D456:D469,MOD(ROW()-50,14)+1),E460)</f>
        <v/>
      </c>
      <c r="E462" s="6391" t="str">
        <f t="shared" si="179"/>
        <v/>
      </c>
      <c r="F462" s="6392" t="str">
        <f t="shared" si="180"/>
        <v/>
      </c>
      <c r="G462" s="6321"/>
      <c r="H462" s="6393" t="str">
        <f t="shared" si="181"/>
        <v/>
      </c>
      <c r="I462" s="6405"/>
      <c r="J462" s="6395" t="str">
        <f t="shared" si="182"/>
        <v/>
      </c>
      <c r="K462" s="6396" t="str">
        <f>IF(J462="","",LEFT(J462,IF(LEN(J462)&lt;=I459,LEN(J462),IFERROR(FIND("§",SUBSTITUTE(LEFT(J462,I459+1)," ","§",LEN(LEFT(J462,I459+1))-LEN(SUBSTITUTE(LEFT(J462,I459+1)," ",""))))-1,IFERROR(FIND(" ",J462,I459+1)-1,LEN(J462))))))</f>
        <v/>
      </c>
      <c r="L462" s="6388"/>
      <c r="M462" s="6332"/>
      <c r="N462" t="s">
        <v>21</v>
      </c>
      <c r="AV462" s="103"/>
      <c r="AW462" s="31"/>
      <c r="AX462" s="32"/>
      <c r="AY462" s="31"/>
      <c r="AZ462" s="33"/>
      <c r="BA462" s="1967"/>
      <c r="BB462" s="1805"/>
      <c r="BC462" s="91"/>
      <c r="BD462" s="1806"/>
      <c r="BE462" s="6401"/>
      <c r="BF462" s="6402"/>
      <c r="BG462" s="1969"/>
      <c r="BH462" s="6403"/>
      <c r="BI462" s="95"/>
      <c r="BJ462" s="1326"/>
      <c r="BK462" s="6404"/>
      <c r="BL462" s="1737"/>
      <c r="BM462" s="2081"/>
      <c r="BN462" s="2238"/>
      <c r="BO462" s="1809"/>
      <c r="BR462" s="3">
        <v>1</v>
      </c>
    </row>
    <row r="463" spans="2:70" ht="21" customHeight="1">
      <c r="B463" s="6236"/>
      <c r="C463" s="6358">
        <f t="shared" si="178"/>
        <v>150</v>
      </c>
      <c r="D463" s="6390" t="str" cm="1">
        <f t="array" ref="D463">IF(MOD(ROW()-50,14)=0,INDEX(D456:D469,MOD(ROW()-50,14)+1),E461)</f>
        <v/>
      </c>
      <c r="E463" s="6391" t="str">
        <f t="shared" si="179"/>
        <v/>
      </c>
      <c r="F463" s="6392" t="str">
        <f t="shared" si="180"/>
        <v/>
      </c>
      <c r="G463" s="6321"/>
      <c r="H463" s="6393" t="str">
        <f t="shared" si="181"/>
        <v/>
      </c>
      <c r="I463" s="6405"/>
      <c r="J463" s="6395" t="str">
        <f t="shared" si="182"/>
        <v/>
      </c>
      <c r="K463" s="6396" t="str">
        <f>IF(J463="","",LEFT(J463,IF(LEN(J463)&lt;=I459,LEN(J463),IFERROR(FIND("§",SUBSTITUTE(LEFT(J463,I459+1)," ","§",LEN(LEFT(J463,I459+1))-LEN(SUBSTITUTE(LEFT(J463,I459+1)," ",""))))-1,IFERROR(FIND(" ",J463,I459+1)-1,LEN(J463))))))</f>
        <v/>
      </c>
      <c r="L463" s="6388"/>
      <c r="M463" s="6332"/>
      <c r="N463" t="s">
        <v>21</v>
      </c>
      <c r="AV463" s="103"/>
      <c r="AW463" s="31"/>
      <c r="AX463" s="32"/>
      <c r="AY463" s="31"/>
      <c r="AZ463" s="33"/>
      <c r="BA463" s="1967"/>
      <c r="BB463" s="1805"/>
      <c r="BC463" s="91"/>
      <c r="BD463" s="1806"/>
      <c r="BE463" s="6401"/>
      <c r="BF463" s="6402"/>
      <c r="BG463" s="1969"/>
      <c r="BH463" s="6403"/>
      <c r="BI463" s="95"/>
      <c r="BJ463" s="1326"/>
      <c r="BK463" s="6404"/>
      <c r="BL463" s="1737"/>
      <c r="BM463" s="2081"/>
      <c r="BN463" s="2238"/>
      <c r="BO463" s="1809"/>
      <c r="BR463" s="3">
        <v>1</v>
      </c>
    </row>
    <row r="464" spans="2:70" ht="21" customHeight="1">
      <c r="B464" s="6236"/>
      <c r="C464" s="6358">
        <f t="shared" si="178"/>
        <v>150</v>
      </c>
      <c r="D464" s="6390" t="str" cm="1">
        <f t="array" ref="D464">IF(MOD(ROW()-50,14)=0,INDEX(D456:D469,MOD(ROW()-50,14)+1),E462)</f>
        <v/>
      </c>
      <c r="E464" s="6391" t="str">
        <f t="shared" si="179"/>
        <v/>
      </c>
      <c r="F464" s="6392" t="str">
        <f t="shared" si="180"/>
        <v/>
      </c>
      <c r="G464" s="6321"/>
      <c r="H464" s="6393" t="str">
        <f t="shared" si="181"/>
        <v/>
      </c>
      <c r="I464" s="6405"/>
      <c r="J464" s="6395" t="str">
        <f t="shared" si="182"/>
        <v/>
      </c>
      <c r="K464" s="6396" t="str">
        <f>IF(J464="","",LEFT(J464,IF(LEN(J464)&lt;=I459,LEN(J464),IFERROR(FIND("§",SUBSTITUTE(LEFT(J464,I459+1)," ","§",LEN(LEFT(J464,I459+1))-LEN(SUBSTITUTE(LEFT(J464,I459+1)," ",""))))-1,IFERROR(FIND(" ",J464,I459+1)-1,LEN(J464))))))</f>
        <v/>
      </c>
      <c r="L464" s="6388"/>
      <c r="M464" s="6332"/>
      <c r="N464" t="s">
        <v>21</v>
      </c>
      <c r="AV464" s="103"/>
      <c r="AW464" s="31"/>
      <c r="AX464" s="32"/>
      <c r="AY464" s="31"/>
      <c r="AZ464" s="33"/>
      <c r="BA464" s="1967"/>
      <c r="BB464" s="1805"/>
      <c r="BC464" s="91"/>
      <c r="BD464" s="1806"/>
      <c r="BE464" s="6401"/>
      <c r="BF464" s="6402"/>
      <c r="BG464" s="1969"/>
      <c r="BH464" s="6403"/>
      <c r="BI464" s="95"/>
      <c r="BJ464" s="1326"/>
      <c r="BK464" s="6404"/>
      <c r="BL464" s="1737"/>
      <c r="BM464" s="2081"/>
      <c r="BN464" s="2238"/>
      <c r="BO464" s="1809"/>
      <c r="BR464" s="3">
        <v>1</v>
      </c>
    </row>
    <row r="465" spans="2:70" ht="21" customHeight="1">
      <c r="B465" s="6236"/>
      <c r="C465" s="6358">
        <f t="shared" si="178"/>
        <v>150</v>
      </c>
      <c r="D465" s="6390" t="str" cm="1">
        <f t="array" ref="D465">IF(MOD(ROW()-50,14)=0,INDEX(D456:D469,MOD(ROW()-50,14)+1),E463)</f>
        <v/>
      </c>
      <c r="E465" s="6391" t="str">
        <f t="shared" si="179"/>
        <v/>
      </c>
      <c r="F465" s="6392" t="str">
        <f t="shared" si="180"/>
        <v/>
      </c>
      <c r="G465" s="6321"/>
      <c r="H465" s="6393" t="str">
        <f t="shared" si="181"/>
        <v/>
      </c>
      <c r="I465" s="6405"/>
      <c r="J465" s="6395" t="str">
        <f t="shared" si="182"/>
        <v/>
      </c>
      <c r="K465" s="6396" t="str">
        <f>IF(J465="","",LEFT(J465,IF(LEN(J465)&lt;=I459,LEN(J465),IFERROR(FIND("§",SUBSTITUTE(LEFT(J465,I459+1)," ","§",LEN(LEFT(J465,I459+1))-LEN(SUBSTITUTE(LEFT(J465,I459+1)," ",""))))-1,IFERROR(FIND(" ",J465,I459+1)-1,LEN(J465))))))</f>
        <v/>
      </c>
      <c r="L465" s="6388"/>
      <c r="M465" s="6332"/>
      <c r="N465" t="s">
        <v>21</v>
      </c>
      <c r="AV465" s="103"/>
      <c r="AW465" s="31"/>
      <c r="AX465" s="32"/>
      <c r="AY465" s="31"/>
      <c r="AZ465" s="33"/>
      <c r="BA465" s="1967"/>
      <c r="BB465" s="1805"/>
      <c r="BC465" s="91"/>
      <c r="BD465" s="1806"/>
      <c r="BE465" s="6401"/>
      <c r="BF465" s="6402"/>
      <c r="BG465" s="1969"/>
      <c r="BH465" s="6403"/>
      <c r="BI465" s="95"/>
      <c r="BJ465" s="1326"/>
      <c r="BK465" s="6404"/>
      <c r="BL465" s="1737"/>
      <c r="BM465" s="2081"/>
      <c r="BN465" s="2238"/>
      <c r="BO465" s="1809"/>
      <c r="BR465" s="3">
        <v>1</v>
      </c>
    </row>
    <row r="466" spans="2:70" ht="21" customHeight="1">
      <c r="B466" s="6236"/>
      <c r="C466" s="6358">
        <f t="shared" si="178"/>
        <v>150</v>
      </c>
      <c r="D466" s="6390" t="str" cm="1">
        <f t="array" ref="D466">IF(MOD(ROW()-50,14)=0,INDEX(D456:D469,MOD(ROW()-50,14)+1),E464)</f>
        <v/>
      </c>
      <c r="E466" s="6391" t="str">
        <f t="shared" si="179"/>
        <v/>
      </c>
      <c r="F466" s="6392" t="str">
        <f t="shared" si="180"/>
        <v/>
      </c>
      <c r="G466" s="6321"/>
      <c r="H466" s="6393" t="str">
        <f t="shared" si="181"/>
        <v/>
      </c>
      <c r="I466" s="6405"/>
      <c r="J466" s="6395" t="str">
        <f t="shared" si="182"/>
        <v/>
      </c>
      <c r="K466" s="6396" t="str">
        <f>IF(J466="","",LEFT(J466,IF(LEN(J466)&lt;=I459,LEN(J466),IFERROR(FIND("§",SUBSTITUTE(LEFT(J466,I459+1)," ","§",LEN(LEFT(J466,I459+1))-LEN(SUBSTITUTE(LEFT(J466,I459+1)," ",""))))-1,IFERROR(FIND(" ",J466,I459+1)-1,LEN(J466))))))</f>
        <v/>
      </c>
      <c r="L466" s="6388"/>
      <c r="M466" s="6332"/>
      <c r="N466" t="s">
        <v>21</v>
      </c>
      <c r="AV466" s="103"/>
      <c r="AW466" s="31"/>
      <c r="AX466" s="32"/>
      <c r="AY466" s="31"/>
      <c r="AZ466" s="33"/>
      <c r="BA466" s="1967"/>
      <c r="BB466" s="1805"/>
      <c r="BC466" s="91"/>
      <c r="BD466" s="1806"/>
      <c r="BE466" s="6401"/>
      <c r="BF466" s="6402"/>
      <c r="BG466" s="1969"/>
      <c r="BH466" s="6403"/>
      <c r="BI466" s="95"/>
      <c r="BJ466" s="1326"/>
      <c r="BK466" s="6404"/>
      <c r="BL466" s="1737"/>
      <c r="BM466" s="2081"/>
      <c r="BN466" s="2238"/>
      <c r="BO466" s="1809"/>
      <c r="BR466" s="3">
        <v>1</v>
      </c>
    </row>
    <row r="467" spans="2:70" ht="21" customHeight="1">
      <c r="B467" s="6236"/>
      <c r="C467" s="6358">
        <f t="shared" si="178"/>
        <v>150</v>
      </c>
      <c r="D467" s="6390" t="str" cm="1">
        <f t="array" ref="D467">IF(MOD(ROW()-50,14)=0,INDEX(D456:D469,MOD(ROW()-50,14)+1),E465)</f>
        <v/>
      </c>
      <c r="E467" s="6391" t="str">
        <f t="shared" si="179"/>
        <v/>
      </c>
      <c r="F467" s="6392" t="str">
        <f t="shared" si="180"/>
        <v/>
      </c>
      <c r="G467" s="6321"/>
      <c r="H467" s="6393" t="str">
        <f t="shared" si="181"/>
        <v/>
      </c>
      <c r="I467" s="6405"/>
      <c r="J467" s="6395" t="str">
        <f t="shared" si="182"/>
        <v/>
      </c>
      <c r="K467" s="6396" t="str">
        <f>IF(J467="","",LEFT(J467,IF(LEN(J467)&lt;=I459,LEN(J467),IFERROR(FIND("§",SUBSTITUTE(LEFT(J467,I459+1)," ","§",LEN(LEFT(J467,I459+1))-LEN(SUBSTITUTE(LEFT(J467,I459+1)," ",""))))-1,IFERROR(FIND(" ",J467,I459+1)-1,LEN(J467))))))</f>
        <v/>
      </c>
      <c r="L467" s="6388"/>
      <c r="M467" s="6332"/>
      <c r="N467" t="s">
        <v>21</v>
      </c>
      <c r="AV467" s="103"/>
      <c r="AW467" s="31"/>
      <c r="AX467" s="32"/>
      <c r="AY467" s="31"/>
      <c r="AZ467" s="33"/>
      <c r="BA467" s="1967"/>
      <c r="BB467" s="1805"/>
      <c r="BC467" s="91"/>
      <c r="BD467" s="1806"/>
      <c r="BE467" s="6401"/>
      <c r="BF467" s="6402"/>
      <c r="BG467" s="1969"/>
      <c r="BH467" s="6403"/>
      <c r="BI467" s="95"/>
      <c r="BJ467" s="1326"/>
      <c r="BK467" s="6404"/>
      <c r="BL467" s="1737"/>
      <c r="BM467" s="2081"/>
      <c r="BN467" s="2238"/>
      <c r="BO467" s="1809"/>
      <c r="BR467" s="3">
        <v>1</v>
      </c>
    </row>
    <row r="468" spans="2:70" ht="21" customHeight="1">
      <c r="B468" s="6236"/>
      <c r="C468" s="6358">
        <f t="shared" si="178"/>
        <v>150</v>
      </c>
      <c r="D468" s="6390" t="str" cm="1">
        <f t="array" ref="D468">IF(MOD(ROW()-50,14)=0,INDEX(D456:D469,MOD(ROW()-50,14)+1),E466)</f>
        <v/>
      </c>
      <c r="E468" s="6391" t="str">
        <f t="shared" si="179"/>
        <v/>
      </c>
      <c r="F468" s="6392" t="str">
        <f t="shared" si="180"/>
        <v/>
      </c>
      <c r="G468" s="6321"/>
      <c r="H468" s="6393" t="str">
        <f t="shared" si="181"/>
        <v/>
      </c>
      <c r="I468" s="6405"/>
      <c r="J468" s="6395" t="str">
        <f t="shared" si="182"/>
        <v/>
      </c>
      <c r="K468" s="6396" t="str">
        <f>IF(J468="","",LEFT(J468,IF(LEN(J468)&lt;=I459,LEN(J468),IFERROR(FIND("§",SUBSTITUTE(LEFT(J468,I459+1)," ","§",LEN(LEFT(J468,I459+1))-LEN(SUBSTITUTE(LEFT(J468,I459+1)," ",""))))-1,IFERROR(FIND(" ",J468,I459+1)-1,LEN(J468))))))</f>
        <v/>
      </c>
      <c r="L468" s="6396"/>
      <c r="M468" s="6332"/>
      <c r="N468" t="s">
        <v>21</v>
      </c>
      <c r="AV468" s="103"/>
      <c r="AW468" s="31"/>
      <c r="AX468" s="32"/>
      <c r="AY468" s="31"/>
      <c r="AZ468" s="33"/>
      <c r="BA468" s="1967"/>
      <c r="BB468" s="1805"/>
      <c r="BC468" s="91"/>
      <c r="BD468" s="1806"/>
      <c r="BE468" s="6401"/>
      <c r="BF468" s="6402"/>
      <c r="BG468" s="1969"/>
      <c r="BH468" s="6403"/>
      <c r="BI468" s="95"/>
      <c r="BJ468" s="1326"/>
      <c r="BK468" s="6404"/>
      <c r="BL468" s="1737"/>
      <c r="BM468" s="2081"/>
      <c r="BN468" s="2238"/>
      <c r="BO468" s="1809"/>
      <c r="BR468" s="3">
        <v>1</v>
      </c>
    </row>
    <row r="469" spans="2:70" ht="21" customHeight="1">
      <c r="B469" s="6236"/>
      <c r="C469" s="6376">
        <f t="shared" si="178"/>
        <v>150</v>
      </c>
      <c r="D469" s="6406" t="str" cm="1">
        <f t="array" ref="D469">IF(MOD(ROW()-50,14)=0,INDEX(D456:D469,MOD(ROW()-50,14)+1),E467)</f>
        <v/>
      </c>
      <c r="E469" s="6407" t="str">
        <f t="shared" si="179"/>
        <v/>
      </c>
      <c r="F469" s="6408" t="str">
        <f t="shared" si="180"/>
        <v/>
      </c>
      <c r="G469" s="6322"/>
      <c r="H469" s="6409" t="str">
        <f t="shared" si="181"/>
        <v/>
      </c>
      <c r="I469" s="6410"/>
      <c r="J469" s="6411" t="str">
        <f t="shared" si="182"/>
        <v/>
      </c>
      <c r="K469" s="6412" t="str">
        <f>IF(J469="","",LEFT(J469,IF(LEN(J469)&lt;=I459,LEN(J469),IFERROR(FIND("§",SUBSTITUTE(LEFT(J469,I459+1)," ","§",LEN(LEFT(J469,I459+1))-LEN(SUBSTITUTE(LEFT(J469,I459+1)," ",""))))-1,IFERROR(FIND(" ",J469,I459+1)-1,LEN(J469))))))</f>
        <v/>
      </c>
      <c r="L469" s="6413"/>
      <c r="M469" s="6333"/>
      <c r="N469" t="s">
        <v>21</v>
      </c>
      <c r="AV469" s="103"/>
      <c r="AW469" s="31"/>
      <c r="AX469" s="32"/>
      <c r="AY469" s="31"/>
      <c r="AZ469" s="33"/>
      <c r="BA469" s="1967"/>
      <c r="BB469" s="1805"/>
      <c r="BC469" s="91"/>
      <c r="BD469" s="1806"/>
      <c r="BE469" s="6401"/>
      <c r="BF469" s="6402"/>
      <c r="BG469" s="1969"/>
      <c r="BH469" s="6403"/>
      <c r="BI469" s="95"/>
      <c r="BJ469" s="1326"/>
      <c r="BK469" s="6404"/>
      <c r="BL469" s="1737"/>
      <c r="BM469" s="2081"/>
      <c r="BN469" s="2238"/>
      <c r="BO469" s="1809"/>
      <c r="BR469" s="3">
        <v>1</v>
      </c>
    </row>
    <row r="470" spans="2:70" ht="21" customHeight="1">
      <c r="B470" s="6236"/>
      <c r="C470" s="6313">
        <f>AD80</f>
        <v>150</v>
      </c>
      <c r="D470" s="6314" t="str">
        <f>IF(UPPER(TRIM(X45))="X",U80,O80)</f>
        <v>31.TEST LIGNE 19 colonne Q et ligne 20 colonne P. rechercher la cellule qui coupe le texte Dans la cocotte N°3 en fonte, faites chauffer l’huile d’olive à feu moyen. Ajoutez la viande et faites-la dorer de tous les côtés. Retirez-la de la cocotte et réservez-la.</v>
      </c>
      <c r="E470" s="6315" t="str">
        <f>IF(D470="","",IF(F470="","",IF(LEN(F470)&gt;=LEN(D470),"",TRIM(MID(D470,LEN(F470)+1,99999)))))</f>
        <v>d’olive à feu moyen. Ajoutez la viande et faites-la dorer de tous les côtés. Retirez-la de la cocotte et réservez-la.</v>
      </c>
      <c r="F470" s="6316" t="str">
        <f>IF(D470="","",IF(LEN(D470)&lt;=C470,D470,IFERROR(LEFT(D470,FIND("§",SUBSTITUTE(LEFT(D470,C470+1)," ","§",LEN(LEFT(D470,C470+1))-LEN(SUBSTITUTE(LEFT(D470,C470+1)," ",""))))-1),LEFT(D470,C470))))</f>
        <v>31.TEST LIGNE 19 colonne Q et ligne 20 colonne P. rechercher la cellule qui coupe le texte Dans la cocotte N°3 en fonte, faites chauffer l’huile</v>
      </c>
      <c r="G470" s="6317"/>
      <c r="H470" s="6323">
        <f>IF(LEN(TRIM(L470))&gt;0,MAX(H469:H469)+1,"")</f>
        <v>1</v>
      </c>
      <c r="I470" s="6324" t="str">
        <f>D470</f>
        <v>31.TEST LIGNE 19 colonne Q et ligne 20 colonne P. rechercher la cellule qui coupe le texte Dans la cocotte N°3 en fonte, faites chauffer l’huile d’olive à feu moyen. Ajoutez la viande et faites-la dorer de tous les côtés. Retirez-la de la cocotte et réservez-la.</v>
      </c>
      <c r="J470" s="6325" t="str">
        <f>IF(I470=0,"",I470)</f>
        <v>31.TEST LIGNE 19 colonne Q et ligne 20 colonne P. rechercher la cellule qui coupe le texte Dans la cocotte N°3 en fonte, faites chauffer l’huile d’olive à feu moyen. Ajoutez la viande et faites-la dorer de tous les côtés. Retirez-la de la cocotte et réservez-la.</v>
      </c>
      <c r="K470" s="6326" t="str">
        <f>IF(I470="","",LEFT(I470,IF(LEN(I470)&lt;=I473,LEN(I470),IFERROR(FIND("§",SUBSTITUTE(LEFT(I470,I473+1)," ","§",LEN(LEFT(I470,I473+1))-LEN(SUBSTITUTE(LEFT(I470,I473+1)," ",""))))-1,IFERROR(FIND(" ",I470,I473+1)-1,LEN(I470))))))</f>
        <v>31.TEST LIGNE 19 colonne Q et ligne 20 colonne P.</v>
      </c>
      <c r="L470" s="6326" t="str" cm="1">
        <f t="array" ref="L470:L475">_xlfn._xlws.FILTER(TRIM(SUBSTITUTE(SUBSTITUTE(SUBSTITUTE(SUBSTITUTE(SUBSTITUTE(CLEAN(K470:K483),CHAR(160)," "),_xlfn.UNICHAR(8239)," "),CHAR(9)," "),CHAR(10)," "),CHAR(13)," ")),TRIM(SUBSTITUTE(SUBSTITUTE(SUBSTITUTE(SUBSTITUTE(SUBSTITUTE(CLEAN(K470:K483),CHAR(160)," "),_xlfn.UNICHAR(8239)," "),CHAR(9)," "),CHAR(10)," "),CHAR(13)," "))&lt;&gt;"")</f>
        <v>31.TEST LIGNE 19 colonne Q et ligne 20 colonne P.</v>
      </c>
      <c r="M470" s="6328"/>
      <c r="N470" t="s">
        <v>21</v>
      </c>
      <c r="AV470" s="103"/>
      <c r="AW470" s="31"/>
      <c r="AX470" s="32"/>
      <c r="AY470" s="31"/>
      <c r="AZ470" s="33"/>
      <c r="BA470" s="1967"/>
      <c r="BB470" s="1805"/>
      <c r="BC470" s="91"/>
      <c r="BD470" s="1806"/>
      <c r="BE470" s="6401"/>
      <c r="BF470" s="6402"/>
      <c r="BG470" s="1969"/>
      <c r="BH470" s="6403"/>
      <c r="BI470" s="95"/>
      <c r="BJ470" s="1326"/>
      <c r="BK470" s="6404"/>
      <c r="BL470" s="1737"/>
      <c r="BM470" s="2081"/>
      <c r="BN470" s="2238"/>
      <c r="BO470" s="1809"/>
      <c r="BR470" s="3">
        <v>1</v>
      </c>
    </row>
    <row r="471" spans="2:70" ht="21" customHeight="1">
      <c r="B471" s="6236"/>
      <c r="C471" s="6358">
        <f t="shared" ref="C471:C483" si="183">C470</f>
        <v>150</v>
      </c>
      <c r="D471" s="6359" t="str" cm="1">
        <f t="array" ref="D471">IF(MOD(ROW()-50,14)=0,INDEX(D470:D483,MOD(ROW()-50,14)+1),E469)</f>
        <v/>
      </c>
      <c r="E471" s="6360" t="str">
        <f t="shared" ref="E471:E483" si="184">IF(D471="","",IF(F471="","",IF(LEN(F471)&gt;=LEN(D471),"",TRIM(MID(D471,LEN(F471)+1,99999)))))</f>
        <v/>
      </c>
      <c r="F471" s="6361" t="str">
        <f t="shared" ref="F471:F483" si="185">IF(D471="","",IF(LEN(D471)&lt;=C471,D471,IFERROR(LEFT(D471,FIND("§",SUBSTITUTE(LEFT(D471,C471+1)," ","§",LEN(LEFT(D471,C471+1))-LEN(SUBSTITUTE(LEFT(D471,C471+1)," ",""))))-1),LEFT(D471,C471))))</f>
        <v/>
      </c>
      <c r="G471" s="6318"/>
      <c r="H471" s="6323">
        <f t="shared" ref="H471:H483" si="186">IF(LEN(TRIM(L471))&gt;0,MAX(H470:H470)+1,"")</f>
        <v>2</v>
      </c>
      <c r="I471" s="6362" t="s">
        <v>14355</v>
      </c>
      <c r="J471" s="6363" t="str">
        <f>TRIM(MID(I474,LEN(K470)+1,99999))</f>
        <v>rechercher la cellule qui coupe le texte Dans la cocotte N°3 en fonte, faites chauffer l’huile d’olive à feu moyen. Ajoutez la viande et faites-la dorer de tous les côtés. Retirez-la de la cocotte et réservez-la.</v>
      </c>
      <c r="K471" s="6364" t="str">
        <f>IF(J471="","",LEFT(J471,IF(LEN(J471)&lt;=I473,LEN(J471),IFERROR(FIND("§",SUBSTITUTE(LEFT(J471,I473+1)," ","§",LEN(LEFT(J471,I473+1))-LEN(SUBSTITUTE(LEFT(J471,I473+1)," ",""))))-1,IFERROR(FIND(" ",J471,I473+1)-1,LEN(J471))))))</f>
        <v>rechercher la cellule qui coupe le texte Dans la</v>
      </c>
      <c r="L471" s="6327" t="str">
        <v>rechercher la cellule qui coupe le texte Dans la</v>
      </c>
      <c r="M471" s="6329"/>
      <c r="N471" t="s">
        <v>21</v>
      </c>
      <c r="AV471" s="103"/>
      <c r="AW471" s="31"/>
      <c r="AX471" s="32"/>
      <c r="AY471" s="31"/>
      <c r="AZ471" s="33"/>
      <c r="BA471" s="1967"/>
      <c r="BB471" s="1805"/>
      <c r="BC471" s="91"/>
      <c r="BD471" s="1806"/>
      <c r="BE471" s="6401"/>
      <c r="BF471" s="6402"/>
      <c r="BG471" s="1969"/>
      <c r="BH471" s="6403"/>
      <c r="BI471" s="95"/>
      <c r="BJ471" s="1326"/>
      <c r="BK471" s="6404"/>
      <c r="BL471" s="1737"/>
      <c r="BM471" s="2081"/>
      <c r="BN471" s="2238"/>
      <c r="BO471" s="1809"/>
      <c r="BR471" s="3">
        <v>1</v>
      </c>
    </row>
    <row r="472" spans="2:70" ht="21" customHeight="1">
      <c r="B472" s="6236"/>
      <c r="C472" s="6358">
        <f t="shared" si="183"/>
        <v>150</v>
      </c>
      <c r="D472" s="6359" t="str" cm="1">
        <f t="array" ref="D472">IF(MOD(ROW()-50,14)=0,INDEX(D470:D483,MOD(ROW()-50,14)+1),E470)</f>
        <v>d’olive à feu moyen. Ajoutez la viande et faites-la dorer de tous les côtés. Retirez-la de la cocotte et réservez-la.</v>
      </c>
      <c r="E472" s="6360" t="str">
        <f t="shared" si="184"/>
        <v/>
      </c>
      <c r="F472" s="6361" t="str">
        <f t="shared" si="185"/>
        <v>d’olive à feu moyen. Ajoutez la viande et faites-la dorer de tous les côtés. Retirez-la de la cocotte et réservez-la.</v>
      </c>
      <c r="G472" s="6318"/>
      <c r="H472" s="6323">
        <f t="shared" si="186"/>
        <v>3</v>
      </c>
      <c r="I472" s="6365">
        <f>Z80</f>
        <v>5</v>
      </c>
      <c r="J472" s="6363" t="str">
        <f t="shared" ref="J472:J483" si="187">TRIM(MID(J471,LEN(K471)+1,99999))</f>
        <v>cocotte N°3 en fonte, faites chauffer l’huile d’olive à feu moyen. Ajoutez la viande et faites-la dorer de tous les côtés. Retirez-la de la cocotte et réservez-la.</v>
      </c>
      <c r="K472" s="6364" t="str">
        <f>IF(J472="","",LEFT(J472,IF(LEN(J472)&lt;=I473,LEN(J472),IFERROR(FIND("§",SUBSTITUTE(LEFT(J472,I473+1)," ","§",LEN(LEFT(J472,I473+1))-LEN(SUBSTITUTE(LEFT(J472,I473+1)," ",""))))-1,IFERROR(FIND(" ",J472,I473+1)-1,LEN(J472))))))</f>
        <v>cocotte N°3 en fonte, faites chauffer l’huile d’olive</v>
      </c>
      <c r="L472" s="6327" t="str">
        <v>cocotte N°3 en fonte, faites chauffer l’huile d’olive</v>
      </c>
      <c r="M472" s="6329"/>
      <c r="N472" t="s">
        <v>21</v>
      </c>
      <c r="AV472" s="103"/>
      <c r="AW472" s="31"/>
      <c r="AX472" s="32"/>
      <c r="AY472" s="31"/>
      <c r="AZ472" s="33"/>
      <c r="BA472" s="1967"/>
      <c r="BB472" s="1805"/>
      <c r="BC472" s="91"/>
      <c r="BD472" s="1806"/>
      <c r="BE472" s="6401"/>
      <c r="BF472" s="6402"/>
      <c r="BG472" s="1969"/>
      <c r="BH472" s="6403"/>
      <c r="BI472" s="95"/>
      <c r="BJ472" s="1326"/>
      <c r="BK472" s="6404"/>
      <c r="BL472" s="1737"/>
      <c r="BM472" s="2081"/>
      <c r="BN472" s="2238"/>
      <c r="BO472" s="1809"/>
      <c r="BR472" s="3">
        <v>1</v>
      </c>
    </row>
    <row r="473" spans="2:70" ht="21" customHeight="1">
      <c r="B473" s="6236"/>
      <c r="C473" s="6358">
        <f t="shared" si="183"/>
        <v>150</v>
      </c>
      <c r="D473" s="6359" t="str" cm="1">
        <f t="array" ref="D473">IF(MOD(ROW()-50,14)=0,INDEX(D470:D483,MOD(ROW()-50,14)+1),E471)</f>
        <v/>
      </c>
      <c r="E473" s="6360" t="str">
        <f t="shared" si="184"/>
        <v/>
      </c>
      <c r="F473" s="6361" t="str">
        <f t="shared" si="185"/>
        <v/>
      </c>
      <c r="G473" s="6318"/>
      <c r="H473" s="6323">
        <f t="shared" si="186"/>
        <v>4</v>
      </c>
      <c r="I473" s="6370">
        <f>IF(OR(J470="",I472="",I472&lt;=0),"",ROUNDUP(LEN(J470)/I472,0))</f>
        <v>53</v>
      </c>
      <c r="J473" s="6363" t="str">
        <f t="shared" si="187"/>
        <v>à feu moyen. Ajoutez la viande et faites-la dorer de tous les côtés. Retirez-la de la cocotte et réservez-la.</v>
      </c>
      <c r="K473" s="6364" t="str">
        <f>IF(J473="","",LEFT(J473,IF(LEN(J473)&lt;=I473,LEN(J473),IFERROR(FIND("§",SUBSTITUTE(LEFT(J473,I473+1)," ","§",LEN(LEFT(J473,I473+1))-LEN(SUBSTITUTE(LEFT(J473,I473+1)," ",""))))-1,IFERROR(FIND(" ",J473,I473+1)-1,LEN(J473))))))</f>
        <v>à feu moyen. Ajoutez la viande et faites-la dorer de</v>
      </c>
      <c r="L473" s="6327" t="str">
        <v>à feu moyen. Ajoutez la viande et faites-la dorer de</v>
      </c>
      <c r="M473" s="6329"/>
      <c r="N473" t="s">
        <v>21</v>
      </c>
      <c r="AV473" s="103"/>
      <c r="AW473" s="31"/>
      <c r="AX473" s="32"/>
      <c r="AY473" s="31"/>
      <c r="AZ473" s="33"/>
      <c r="BA473" s="1967"/>
      <c r="BB473" s="1805"/>
      <c r="BC473" s="91"/>
      <c r="BD473" s="1806"/>
      <c r="BE473" s="6401"/>
      <c r="BF473" s="6402"/>
      <c r="BG473" s="1969"/>
      <c r="BH473" s="6403"/>
      <c r="BI473" s="95"/>
      <c r="BJ473" s="1326"/>
      <c r="BK473" s="6404"/>
      <c r="BL473" s="1737"/>
      <c r="BM473" s="2081"/>
      <c r="BN473" s="2238"/>
      <c r="BO473" s="1809"/>
      <c r="BR473" s="3">
        <v>1</v>
      </c>
    </row>
    <row r="474" spans="2:70" ht="21" customHeight="1">
      <c r="B474" s="6236"/>
      <c r="C474" s="6358">
        <f t="shared" si="183"/>
        <v>150</v>
      </c>
      <c r="D474" s="6359" t="str" cm="1">
        <f t="array" ref="D474">IF(MOD(ROW()-50,14)=0,INDEX(D470:D483,MOD(ROW()-50,14)+1),E472)</f>
        <v/>
      </c>
      <c r="E474" s="6360" t="str">
        <f t="shared" si="184"/>
        <v/>
      </c>
      <c r="F474" s="6361" t="str">
        <f t="shared" si="185"/>
        <v/>
      </c>
      <c r="G474" s="6318"/>
      <c r="H474" s="6323">
        <f t="shared" si="186"/>
        <v>5</v>
      </c>
      <c r="I474" s="6372" t="str">
        <f>I470</f>
        <v>31.TEST LIGNE 19 colonne Q et ligne 20 colonne P. rechercher la cellule qui coupe le texte Dans la cocotte N°3 en fonte, faites chauffer l’huile d’olive à feu moyen. Ajoutez la viande et faites-la dorer de tous les côtés. Retirez-la de la cocotte et réservez-la.</v>
      </c>
      <c r="J474" s="6363" t="str">
        <f t="shared" si="187"/>
        <v>tous les côtés. Retirez-la de la cocotte et réservez-la.</v>
      </c>
      <c r="K474" s="6364" t="str">
        <f>IF(J474="","",LEFT(J474,IF(LEN(J474)&lt;=I473,LEN(J474),IFERROR(FIND("§",SUBSTITUTE(LEFT(J474,I473+1)," ","§",LEN(LEFT(J474,I473+1))-LEN(SUBSTITUTE(LEFT(J474,I473+1)," ",""))))-1,IFERROR(FIND(" ",J474,I473+1)-1,LEN(J474))))))</f>
        <v>tous les côtés. Retirez-la de la cocotte et</v>
      </c>
      <c r="L474" s="6327" t="str">
        <v>tous les côtés. Retirez-la de la cocotte et</v>
      </c>
      <c r="M474" s="6329"/>
      <c r="N474" t="s">
        <v>21</v>
      </c>
      <c r="AV474" s="103"/>
      <c r="AW474" s="31"/>
      <c r="AX474" s="32"/>
      <c r="AY474" s="31"/>
      <c r="AZ474" s="33"/>
      <c r="BA474" s="1967"/>
      <c r="BB474" s="1805"/>
      <c r="BC474" s="91"/>
      <c r="BD474" s="1806"/>
      <c r="BE474" s="6401"/>
      <c r="BF474" s="6402"/>
      <c r="BG474" s="1969"/>
      <c r="BH474" s="6403"/>
      <c r="BI474" s="95"/>
      <c r="BJ474" s="1326"/>
      <c r="BK474" s="6404"/>
      <c r="BL474" s="1737"/>
      <c r="BM474" s="2081"/>
      <c r="BN474" s="2238"/>
      <c r="BO474" s="1809"/>
      <c r="BR474" s="3">
        <v>1</v>
      </c>
    </row>
    <row r="475" spans="2:70" ht="21" customHeight="1">
      <c r="B475" s="6236"/>
      <c r="C475" s="6358">
        <f t="shared" si="183"/>
        <v>150</v>
      </c>
      <c r="D475" s="6359" t="str" cm="1">
        <f t="array" ref="D475">IF(MOD(ROW()-50,14)=0,INDEX(D470:D483,MOD(ROW()-50,14)+1),E473)</f>
        <v/>
      </c>
      <c r="E475" s="6360" t="str">
        <f t="shared" si="184"/>
        <v/>
      </c>
      <c r="F475" s="6361" t="str">
        <f t="shared" si="185"/>
        <v/>
      </c>
      <c r="G475" s="6318"/>
      <c r="H475" s="6323">
        <f t="shared" si="186"/>
        <v>6</v>
      </c>
      <c r="I475" s="6373"/>
      <c r="J475" s="6363" t="str">
        <f t="shared" si="187"/>
        <v>réservez-la.</v>
      </c>
      <c r="K475" s="6364" t="str">
        <f>IF(J475="","",LEFT(J475,IF(LEN(J475)&lt;=I473,LEN(J475),IFERROR(FIND("§",SUBSTITUTE(LEFT(J475,I473+1)," ","§",LEN(LEFT(J475,I473+1))-LEN(SUBSTITUTE(LEFT(J475,I473+1)," ",""))))-1,IFERROR(FIND(" ",J475,I473+1)-1,LEN(J475))))))</f>
        <v>réservez-la.</v>
      </c>
      <c r="L475" s="6327" t="str">
        <v>réservez-la.</v>
      </c>
      <c r="M475" s="6329"/>
      <c r="N475" t="s">
        <v>21</v>
      </c>
      <c r="AV475" s="103"/>
      <c r="AW475" s="31"/>
      <c r="AX475" s="32"/>
      <c r="AY475" s="31"/>
      <c r="AZ475" s="33"/>
      <c r="BA475" s="1967"/>
      <c r="BB475" s="1805"/>
      <c r="BC475" s="91"/>
      <c r="BD475" s="1806"/>
      <c r="BE475" s="6401"/>
      <c r="BF475" s="6402"/>
      <c r="BG475" s="1969"/>
      <c r="BH475" s="6403"/>
      <c r="BI475" s="95"/>
      <c r="BJ475" s="1326"/>
      <c r="BK475" s="6404"/>
      <c r="BL475" s="1737"/>
      <c r="BM475" s="2081"/>
      <c r="BN475" s="2238"/>
      <c r="BO475" s="1809"/>
      <c r="BR475" s="3">
        <v>1</v>
      </c>
    </row>
    <row r="476" spans="2:70" ht="21" customHeight="1">
      <c r="B476" s="6236"/>
      <c r="C476" s="6358">
        <f t="shared" si="183"/>
        <v>150</v>
      </c>
      <c r="D476" s="6359" t="str" cm="1">
        <f t="array" ref="D476">IF(MOD(ROW()-50,14)=0,INDEX(D470:D483,MOD(ROW()-50,14)+1),E474)</f>
        <v/>
      </c>
      <c r="E476" s="6360" t="str">
        <f t="shared" si="184"/>
        <v/>
      </c>
      <c r="F476" s="6361" t="str">
        <f t="shared" si="185"/>
        <v/>
      </c>
      <c r="G476" s="6318"/>
      <c r="H476" s="6323" t="str">
        <f t="shared" si="186"/>
        <v/>
      </c>
      <c r="I476" s="6373"/>
      <c r="J476" s="6363" t="str">
        <f t="shared" si="187"/>
        <v/>
      </c>
      <c r="K476" s="6364" t="str">
        <f>IF(J476="","",LEFT(J476,IF(LEN(J476)&lt;=I473,LEN(J476),IFERROR(FIND("§",SUBSTITUTE(LEFT(J476,I473+1)," ","§",LEN(LEFT(J476,I473+1))-LEN(SUBSTITUTE(LEFT(J476,I473+1)," ",""))))-1,IFERROR(FIND(" ",J476,I473+1)-1,LEN(J476))))))</f>
        <v/>
      </c>
      <c r="L476" s="6327"/>
      <c r="M476" s="6329"/>
      <c r="N476" t="s">
        <v>21</v>
      </c>
      <c r="AV476" s="103"/>
      <c r="AW476" s="31"/>
      <c r="AX476" s="32"/>
      <c r="AY476" s="31"/>
      <c r="AZ476" s="33"/>
      <c r="BA476" s="1967"/>
      <c r="BB476" s="1805"/>
      <c r="BC476" s="91"/>
      <c r="BD476" s="1806"/>
      <c r="BE476" s="6401"/>
      <c r="BF476" s="6402"/>
      <c r="BG476" s="1969"/>
      <c r="BH476" s="6403"/>
      <c r="BI476" s="95"/>
      <c r="BJ476" s="1326"/>
      <c r="BK476" s="6404"/>
      <c r="BL476" s="1737"/>
      <c r="BM476" s="2081"/>
      <c r="BN476" s="2238"/>
      <c r="BO476" s="1809"/>
      <c r="BR476" s="3">
        <v>1</v>
      </c>
    </row>
    <row r="477" spans="2:70" ht="21" customHeight="1">
      <c r="B477" s="6236"/>
      <c r="C477" s="6358">
        <f t="shared" si="183"/>
        <v>150</v>
      </c>
      <c r="D477" s="6359" t="str" cm="1">
        <f t="array" ref="D477">IF(MOD(ROW()-50,14)=0,INDEX(D470:D483,MOD(ROW()-50,14)+1),E475)</f>
        <v/>
      </c>
      <c r="E477" s="6360" t="str">
        <f t="shared" si="184"/>
        <v/>
      </c>
      <c r="F477" s="6361" t="str">
        <f t="shared" si="185"/>
        <v/>
      </c>
      <c r="G477" s="6318"/>
      <c r="H477" s="6323" t="str">
        <f t="shared" si="186"/>
        <v/>
      </c>
      <c r="I477" s="6373"/>
      <c r="J477" s="6363" t="str">
        <f t="shared" si="187"/>
        <v/>
      </c>
      <c r="K477" s="6364" t="str">
        <f>IF(J477="","",LEFT(J477,IF(LEN(J477)&lt;=I473,LEN(J477),IFERROR(FIND("§",SUBSTITUTE(LEFT(J477,I473+1)," ","§",LEN(LEFT(J477,I473+1))-LEN(SUBSTITUTE(LEFT(J477,I473+1)," ",""))))-1,IFERROR(FIND(" ",J477,I473+1)-1,LEN(J477))))))</f>
        <v/>
      </c>
      <c r="L477" s="6327"/>
      <c r="M477" s="6329"/>
      <c r="N477" t="s">
        <v>21</v>
      </c>
      <c r="AV477" s="103"/>
      <c r="AW477" s="31"/>
      <c r="AX477" s="32"/>
      <c r="AY477" s="31"/>
      <c r="AZ477" s="33"/>
      <c r="BA477" s="1967"/>
      <c r="BB477" s="1805"/>
      <c r="BC477" s="91"/>
      <c r="BD477" s="1806"/>
      <c r="BE477" s="6401"/>
      <c r="BF477" s="6402"/>
      <c r="BG477" s="1969"/>
      <c r="BH477" s="6403"/>
      <c r="BI477" s="95"/>
      <c r="BJ477" s="1326"/>
      <c r="BK477" s="6404"/>
      <c r="BL477" s="1737"/>
      <c r="BM477" s="2081"/>
      <c r="BN477" s="2238"/>
      <c r="BO477" s="1809"/>
      <c r="BR477" s="3">
        <v>1</v>
      </c>
    </row>
    <row r="478" spans="2:70" ht="21" customHeight="1">
      <c r="B478" s="6236"/>
      <c r="C478" s="6358">
        <f t="shared" si="183"/>
        <v>150</v>
      </c>
      <c r="D478" s="6359" t="str" cm="1">
        <f t="array" ref="D478">IF(MOD(ROW()-50,14)=0,INDEX(D470:D483,MOD(ROW()-50,14)+1),E476)</f>
        <v/>
      </c>
      <c r="E478" s="6360" t="str">
        <f t="shared" si="184"/>
        <v/>
      </c>
      <c r="F478" s="6361" t="str">
        <f t="shared" si="185"/>
        <v/>
      </c>
      <c r="G478" s="6318"/>
      <c r="H478" s="6323" t="str">
        <f t="shared" si="186"/>
        <v/>
      </c>
      <c r="I478" s="6373"/>
      <c r="J478" s="6363" t="str">
        <f t="shared" si="187"/>
        <v/>
      </c>
      <c r="K478" s="6364" t="str">
        <f>IF(J478="","",LEFT(J478,IF(LEN(J478)&lt;=I473,LEN(J478),IFERROR(FIND("§",SUBSTITUTE(LEFT(J478,I473+1)," ","§",LEN(LEFT(J478,I473+1))-LEN(SUBSTITUTE(LEFT(J478,I473+1)," ",""))))-1,IFERROR(FIND(" ",J478,I473+1)-1,LEN(J478))))))</f>
        <v/>
      </c>
      <c r="L478" s="6327"/>
      <c r="M478" s="6329"/>
      <c r="N478" t="s">
        <v>21</v>
      </c>
      <c r="AV478" s="103"/>
      <c r="AW478" s="31"/>
      <c r="AX478" s="32"/>
      <c r="AY478" s="31"/>
      <c r="AZ478" s="33"/>
      <c r="BA478" s="1967"/>
      <c r="BB478" s="1805"/>
      <c r="BC478" s="91"/>
      <c r="BD478" s="1806"/>
      <c r="BE478" s="6401"/>
      <c r="BF478" s="6402"/>
      <c r="BG478" s="1969"/>
      <c r="BH478" s="6403"/>
      <c r="BI478" s="95"/>
      <c r="BJ478" s="1326"/>
      <c r="BK478" s="6404"/>
      <c r="BL478" s="1737"/>
      <c r="BM478" s="2081"/>
      <c r="BN478" s="2238"/>
      <c r="BO478" s="1809"/>
      <c r="BR478" s="3">
        <v>1</v>
      </c>
    </row>
    <row r="479" spans="2:70" ht="21" customHeight="1">
      <c r="B479" s="6236"/>
      <c r="C479" s="6358">
        <f t="shared" si="183"/>
        <v>150</v>
      </c>
      <c r="D479" s="6359" t="str" cm="1">
        <f t="array" ref="D479">IF(MOD(ROW()-50,14)=0,INDEX(D470:D483,MOD(ROW()-50,14)+1),E477)</f>
        <v/>
      </c>
      <c r="E479" s="6360" t="str">
        <f t="shared" si="184"/>
        <v/>
      </c>
      <c r="F479" s="6361" t="str">
        <f t="shared" si="185"/>
        <v/>
      </c>
      <c r="G479" s="6318"/>
      <c r="H479" s="6323" t="str">
        <f t="shared" si="186"/>
        <v/>
      </c>
      <c r="I479" s="6373"/>
      <c r="J479" s="6363" t="str">
        <f t="shared" si="187"/>
        <v/>
      </c>
      <c r="K479" s="6364" t="str">
        <f>IF(J479="","",LEFT(J479,IF(LEN(J479)&lt;=I473,LEN(J479),IFERROR(FIND("§",SUBSTITUTE(LEFT(J479,I473+1)," ","§",LEN(LEFT(J479,I473+1))-LEN(SUBSTITUTE(LEFT(J479,I473+1)," ",""))))-1,IFERROR(FIND(" ",J479,I473+1)-1,LEN(J479))))))</f>
        <v/>
      </c>
      <c r="L479" s="6327"/>
      <c r="M479" s="6329"/>
      <c r="N479" t="s">
        <v>21</v>
      </c>
      <c r="AV479" s="103"/>
      <c r="AW479" s="31"/>
      <c r="AX479" s="32"/>
      <c r="AY479" s="31"/>
      <c r="AZ479" s="33"/>
      <c r="BA479" s="1967"/>
      <c r="BB479" s="1805"/>
      <c r="BC479" s="91"/>
      <c r="BD479" s="1806"/>
      <c r="BE479" s="6401"/>
      <c r="BF479" s="6402"/>
      <c r="BG479" s="1969"/>
      <c r="BH479" s="6403"/>
      <c r="BI479" s="95"/>
      <c r="BJ479" s="1326"/>
      <c r="BK479" s="6404"/>
      <c r="BL479" s="1737"/>
      <c r="BM479" s="2081"/>
      <c r="BN479" s="2238"/>
      <c r="BO479" s="1809"/>
      <c r="BR479" s="3">
        <v>1</v>
      </c>
    </row>
    <row r="480" spans="2:70" ht="21" customHeight="1">
      <c r="B480" s="6236"/>
      <c r="C480" s="6358">
        <f t="shared" si="183"/>
        <v>150</v>
      </c>
      <c r="D480" s="6359" t="str" cm="1">
        <f t="array" ref="D480">IF(MOD(ROW()-50,14)=0,INDEX(D470:D483,MOD(ROW()-50,14)+1),E478)</f>
        <v/>
      </c>
      <c r="E480" s="6360" t="str">
        <f t="shared" si="184"/>
        <v/>
      </c>
      <c r="F480" s="6361" t="str">
        <f t="shared" si="185"/>
        <v/>
      </c>
      <c r="G480" s="6318"/>
      <c r="H480" s="6323" t="str">
        <f t="shared" si="186"/>
        <v/>
      </c>
      <c r="I480" s="6373"/>
      <c r="J480" s="6363" t="str">
        <f t="shared" si="187"/>
        <v/>
      </c>
      <c r="K480" s="6364" t="str">
        <f>IF(J480="","",LEFT(J480,IF(LEN(J480)&lt;=I473,LEN(J480),IFERROR(FIND("§",SUBSTITUTE(LEFT(J480,I473+1)," ","§",LEN(LEFT(J480,I473+1))-LEN(SUBSTITUTE(LEFT(J480,I473+1)," ",""))))-1,IFERROR(FIND(" ",J480,I473+1)-1,LEN(J480))))))</f>
        <v/>
      </c>
      <c r="L480" s="6327"/>
      <c r="M480" s="6329"/>
      <c r="N480" t="s">
        <v>21</v>
      </c>
      <c r="AV480" s="103"/>
      <c r="AW480" s="31"/>
      <c r="AX480" s="32"/>
      <c r="AY480" s="31"/>
      <c r="AZ480" s="33"/>
      <c r="BA480" s="1967"/>
      <c r="BB480" s="1805"/>
      <c r="BC480" s="91"/>
      <c r="BD480" s="1806"/>
      <c r="BE480" s="6401"/>
      <c r="BF480" s="6402"/>
      <c r="BG480" s="1969"/>
      <c r="BH480" s="6403"/>
      <c r="BI480" s="95"/>
      <c r="BJ480" s="1326"/>
      <c r="BK480" s="6404"/>
      <c r="BL480" s="1737"/>
      <c r="BM480" s="2081"/>
      <c r="BN480" s="2238"/>
      <c r="BO480" s="1809"/>
      <c r="BR480" s="3">
        <v>1</v>
      </c>
    </row>
    <row r="481" spans="2:70" ht="21" customHeight="1">
      <c r="B481" s="6236"/>
      <c r="C481" s="6358">
        <f t="shared" si="183"/>
        <v>150</v>
      </c>
      <c r="D481" s="6359" t="str" cm="1">
        <f t="array" ref="D481">IF(MOD(ROW()-50,14)=0,INDEX(D470:D483,MOD(ROW()-50,14)+1),E479)</f>
        <v/>
      </c>
      <c r="E481" s="6360" t="str">
        <f t="shared" si="184"/>
        <v/>
      </c>
      <c r="F481" s="6361" t="str">
        <f t="shared" si="185"/>
        <v/>
      </c>
      <c r="G481" s="6318"/>
      <c r="H481" s="6323" t="str">
        <f t="shared" si="186"/>
        <v/>
      </c>
      <c r="I481" s="6373"/>
      <c r="J481" s="6363" t="str">
        <f t="shared" si="187"/>
        <v/>
      </c>
      <c r="K481" s="6364" t="str">
        <f>IF(J481="","",LEFT(J481,IF(LEN(J481)&lt;=I473,LEN(J481),IFERROR(FIND("§",SUBSTITUTE(LEFT(J481,I473+1)," ","§",LEN(LEFT(J481,I473+1))-LEN(SUBSTITUTE(LEFT(J481,I473+1)," ",""))))-1,IFERROR(FIND(" ",J481,I473+1)-1,LEN(J481))))))</f>
        <v/>
      </c>
      <c r="L481" s="6327"/>
      <c r="M481" s="6329"/>
      <c r="N481" t="s">
        <v>21</v>
      </c>
      <c r="AV481" s="103"/>
      <c r="AW481" s="31"/>
      <c r="AX481" s="32"/>
      <c r="AY481" s="31"/>
      <c r="AZ481" s="33"/>
      <c r="BA481" s="1967"/>
      <c r="BB481" s="1805"/>
      <c r="BC481" s="91"/>
      <c r="BD481" s="1806"/>
      <c r="BE481" s="6401"/>
      <c r="BF481" s="6402"/>
      <c r="BG481" s="1969"/>
      <c r="BH481" s="6403"/>
      <c r="BI481" s="95"/>
      <c r="BJ481" s="1326"/>
      <c r="BK481" s="6404"/>
      <c r="BL481" s="1737"/>
      <c r="BM481" s="2081"/>
      <c r="BN481" s="2238"/>
      <c r="BO481" s="1809"/>
      <c r="BR481" s="3">
        <v>1</v>
      </c>
    </row>
    <row r="482" spans="2:70" ht="21" customHeight="1">
      <c r="B482" s="6236"/>
      <c r="C482" s="6358">
        <f t="shared" si="183"/>
        <v>150</v>
      </c>
      <c r="D482" s="6359" t="str" cm="1">
        <f t="array" ref="D482">IF(MOD(ROW()-50,14)=0,INDEX(D470:D483,MOD(ROW()-50,14)+1),E480)</f>
        <v/>
      </c>
      <c r="E482" s="6360" t="str">
        <f t="shared" si="184"/>
        <v/>
      </c>
      <c r="F482" s="6361" t="str">
        <f t="shared" si="185"/>
        <v/>
      </c>
      <c r="G482" s="6318"/>
      <c r="H482" s="6323" t="str">
        <f t="shared" si="186"/>
        <v/>
      </c>
      <c r="I482" s="6373"/>
      <c r="J482" s="6363" t="str">
        <f t="shared" si="187"/>
        <v/>
      </c>
      <c r="K482" s="6364" t="str">
        <f>IF(J482="","",LEFT(J482,IF(LEN(J482)&lt;=I473,LEN(J482),IFERROR(FIND("§",SUBSTITUTE(LEFT(J482,I473+1)," ","§",LEN(LEFT(J482,I473+1))-LEN(SUBSTITUTE(LEFT(J482,I473+1)," ",""))))-1,IFERROR(FIND(" ",J482,I473+1)-1,LEN(J482))))))</f>
        <v/>
      </c>
      <c r="L482" s="6364"/>
      <c r="M482" s="6329"/>
      <c r="N482" t="s">
        <v>21</v>
      </c>
      <c r="AV482" s="103"/>
      <c r="AW482" s="31"/>
      <c r="AX482" s="32"/>
      <c r="AY482" s="31"/>
      <c r="AZ482" s="33"/>
      <c r="BA482" s="1967"/>
      <c r="BB482" s="1805"/>
      <c r="BC482" s="91"/>
      <c r="BD482" s="1806"/>
      <c r="BE482" s="6401"/>
      <c r="BF482" s="6402"/>
      <c r="BG482" s="1969"/>
      <c r="BH482" s="6403"/>
      <c r="BI482" s="95"/>
      <c r="BJ482" s="1326"/>
      <c r="BK482" s="6404"/>
      <c r="BL482" s="1737"/>
      <c r="BM482" s="2081"/>
      <c r="BN482" s="2238"/>
      <c r="BO482" s="1809"/>
      <c r="BR482" s="3">
        <v>1</v>
      </c>
    </row>
    <row r="483" spans="2:70" ht="21" customHeight="1">
      <c r="B483" s="6236"/>
      <c r="C483" s="6376">
        <f t="shared" si="183"/>
        <v>150</v>
      </c>
      <c r="D483" s="6414" t="str" cm="1">
        <f t="array" ref="D483">IF(MOD(ROW()-50,14)=0,INDEX(D470:D483,MOD(ROW()-50,14)+1),E481)</f>
        <v/>
      </c>
      <c r="E483" s="6377" t="str">
        <f t="shared" si="184"/>
        <v/>
      </c>
      <c r="F483" s="6378" t="str">
        <f t="shared" si="185"/>
        <v/>
      </c>
      <c r="G483" s="6319"/>
      <c r="H483" s="6323" t="str">
        <f t="shared" si="186"/>
        <v/>
      </c>
      <c r="I483" s="6379"/>
      <c r="J483" s="6380" t="str">
        <f t="shared" si="187"/>
        <v/>
      </c>
      <c r="K483" s="6381" t="str">
        <f>IF(J483="","",LEFT(J483,IF(LEN(J483)&lt;=I473,LEN(J483),IFERROR(FIND("§",SUBSTITUTE(LEFT(J483,I473+1)," ","§",LEN(LEFT(J483,I473+1))-LEN(SUBSTITUTE(LEFT(J483,I473+1)," ",""))))-1,IFERROR(FIND(" ",J483,I473+1)-1,LEN(J483))))))</f>
        <v/>
      </c>
      <c r="L483" s="6382"/>
      <c r="M483" s="6330"/>
      <c r="N483" t="s">
        <v>21</v>
      </c>
      <c r="AV483" s="103"/>
      <c r="AW483" s="31"/>
      <c r="AX483" s="32"/>
      <c r="AY483" s="31"/>
      <c r="AZ483" s="33"/>
      <c r="BA483" s="1967"/>
      <c r="BB483" s="1805"/>
      <c r="BC483" s="91"/>
      <c r="BD483" s="1806"/>
      <c r="BE483" s="6401"/>
      <c r="BF483" s="6402"/>
      <c r="BG483" s="1969"/>
      <c r="BH483" s="6403"/>
      <c r="BI483" s="95"/>
      <c r="BJ483" s="1326"/>
      <c r="BK483" s="6404"/>
      <c r="BL483" s="1737"/>
      <c r="BM483" s="2081"/>
      <c r="BN483" s="2238"/>
      <c r="BO483" s="1809"/>
      <c r="BR483" s="3">
        <v>1</v>
      </c>
    </row>
    <row r="484" spans="2:70" ht="21" customHeight="1">
      <c r="B484" s="6236"/>
      <c r="C484" s="6313">
        <f>AD81</f>
        <v>150</v>
      </c>
      <c r="D484" s="6314" t="str">
        <f>IF(UPPER(TRIM(X45))="X",U81,O81)</f>
        <v>32.TEST LIGNE 19 colonne Q et ligne 20 colonne P. rechercher la cellule qui coupe le texte Dans la cocotte N°3 en fonte, faites chauffer l’huile d’olive à feu moyen. Ajoutez la viande et faites-la dorer de tous les côtés. Retirez-la de la cocotte et réservez-la.</v>
      </c>
      <c r="E484" s="6383" t="str">
        <f>IF(D484="","",IF(F484="","",IF(LEN(F484)&gt;=LEN(D484),"",TRIM(MID(D484,LEN(F484)+1,99999)))))</f>
        <v>d’olive à feu moyen. Ajoutez la viande et faites-la dorer de tous les côtés. Retirez-la de la cocotte et réservez-la.</v>
      </c>
      <c r="F484" s="6384" t="str">
        <f>IF(D484="","",IF(LEN(D484)&lt;=C484,D484,IFERROR(LEFT(D484,FIND("§",SUBSTITUTE(LEFT(D484,C484+1)," ","§",LEN(LEFT(D484,C484+1))-LEN(SUBSTITUTE(LEFT(D484,C484+1)," ",""))))-1),LEFT(D484,C484))))</f>
        <v>32.TEST LIGNE 19 colonne Q et ligne 20 colonne P. rechercher la cellule qui coupe le texte Dans la cocotte N°3 en fonte, faites chauffer l’huile</v>
      </c>
      <c r="G484" s="6320"/>
      <c r="H484" s="6385">
        <f>IF(LEN(TRIM(L484))&gt;0,MAX(H483:H483)+1,"")</f>
        <v>1</v>
      </c>
      <c r="I484" s="6324" t="str">
        <f>D484</f>
        <v>32.TEST LIGNE 19 colonne Q et ligne 20 colonne P. rechercher la cellule qui coupe le texte Dans la cocotte N°3 en fonte, faites chauffer l’huile d’olive à feu moyen. Ajoutez la viande et faites-la dorer de tous les côtés. Retirez-la de la cocotte et réservez-la.</v>
      </c>
      <c r="J484" s="6386" t="str">
        <f>IF(I484=0,"",I484)</f>
        <v>32.TEST LIGNE 19 colonne Q et ligne 20 colonne P. rechercher la cellule qui coupe le texte Dans la cocotte N°3 en fonte, faites chauffer l’huile d’olive à feu moyen. Ajoutez la viande et faites-la dorer de tous les côtés. Retirez-la de la cocotte et réservez-la.</v>
      </c>
      <c r="K484" s="6387" t="str">
        <f>IF(I484="","",LEFT(I484,IF(LEN(I484)&lt;=I487,LEN(I484),IFERROR(FIND("§",SUBSTITUTE(LEFT(I484,I487+1)," ","§",LEN(LEFT(I484,I487+1))-LEN(SUBSTITUTE(LEFT(I484,I487+1)," ",""))))-1,IFERROR(FIND(" ",I484,I487+1)-1,LEN(I484))))))</f>
        <v>32.TEST LIGNE 19 colonne Q et ligne 20 colonne P.</v>
      </c>
      <c r="L484" s="6388" t="str" cm="1">
        <f t="array" ref="L484:L489">_xlfn._xlws.FILTER(TRIM(SUBSTITUTE(SUBSTITUTE(SUBSTITUTE(SUBSTITUTE(SUBSTITUTE(CLEAN(K484:K497),CHAR(160)," "),_xlfn.UNICHAR(8239)," "),CHAR(9)," "),CHAR(10)," "),CHAR(13)," ")),TRIM(SUBSTITUTE(SUBSTITUTE(SUBSTITUTE(SUBSTITUTE(SUBSTITUTE(CLEAN(K484:K497),CHAR(160)," "),_xlfn.UNICHAR(8239)," "),CHAR(9)," "),CHAR(10)," "),CHAR(13)," "))&lt;&gt;"")</f>
        <v>32.TEST LIGNE 19 colonne Q et ligne 20 colonne P.</v>
      </c>
      <c r="M484" s="6331"/>
      <c r="N484" t="s">
        <v>21</v>
      </c>
      <c r="AV484" s="103"/>
      <c r="AW484" s="31"/>
      <c r="AX484" s="32"/>
      <c r="AY484" s="31"/>
      <c r="AZ484" s="33"/>
      <c r="BA484" s="1967"/>
      <c r="BB484" s="1805"/>
      <c r="BC484" s="91"/>
      <c r="BD484" s="1806"/>
      <c r="BE484" s="6401"/>
      <c r="BF484" s="6402"/>
      <c r="BG484" s="1969"/>
      <c r="BH484" s="6403"/>
      <c r="BI484" s="95"/>
      <c r="BJ484" s="1326"/>
      <c r="BK484" s="6404"/>
      <c r="BL484" s="1737"/>
      <c r="BM484" s="2081"/>
      <c r="BN484" s="2238"/>
      <c r="BO484" s="1809"/>
      <c r="BR484" s="3">
        <v>1</v>
      </c>
    </row>
    <row r="485" spans="2:70" ht="21" customHeight="1">
      <c r="B485" s="6236"/>
      <c r="C485" s="6358">
        <f t="shared" ref="C485:C497" si="188">C484</f>
        <v>150</v>
      </c>
      <c r="D485" s="6390" t="str" cm="1">
        <f t="array" ref="D485">IF(MOD(ROW()-50,14)=0,INDEX(D484:D497,MOD(ROW()-50,14)+1),E483)</f>
        <v/>
      </c>
      <c r="E485" s="6391" t="str">
        <f t="shared" ref="E485:E497" si="189">IF(D485="","",IF(F485="","",IF(LEN(F485)&gt;=LEN(D485),"",TRIM(MID(D485,LEN(F485)+1,99999)))))</f>
        <v/>
      </c>
      <c r="F485" s="6392" t="str">
        <f t="shared" ref="F485:F497" si="190">IF(D485="","",IF(LEN(D485)&lt;=C485,D485,IFERROR(LEFT(D485,FIND("§",SUBSTITUTE(LEFT(D485,C485+1)," ","§",LEN(LEFT(D485,C485+1))-LEN(SUBSTITUTE(LEFT(D485,C485+1)," ",""))))-1),LEFT(D485,C485))))</f>
        <v/>
      </c>
      <c r="G485" s="6321"/>
      <c r="H485" s="6393">
        <f t="shared" ref="H485:H497" si="191">IF(LEN(TRIM(L485))&gt;0,MAX(H484:H484)+1,"")</f>
        <v>2</v>
      </c>
      <c r="I485" s="6394" t="s">
        <v>14355</v>
      </c>
      <c r="J485" s="6395" t="str">
        <f>TRIM(MID(I488,LEN(K484)+1,99999))</f>
        <v>rechercher la cellule qui coupe le texte Dans la cocotte N°3 en fonte, faites chauffer l’huile d’olive à feu moyen. Ajoutez la viande et faites-la dorer de tous les côtés. Retirez-la de la cocotte et réservez-la.</v>
      </c>
      <c r="K485" s="6396" t="str">
        <f>IF(J485="","",LEFT(J485,IF(LEN(J485)&lt;=I487,LEN(J485),IFERROR(FIND("§",SUBSTITUTE(LEFT(J485,I487+1)," ","§",LEN(LEFT(J485,I487+1))-LEN(SUBSTITUTE(LEFT(J485,I487+1)," ",""))))-1,IFERROR(FIND(" ",J485,I487+1)-1,LEN(J485))))))</f>
        <v>rechercher la cellule qui coupe le texte Dans la</v>
      </c>
      <c r="L485" s="6388" t="str">
        <v>rechercher la cellule qui coupe le texte Dans la</v>
      </c>
      <c r="M485" s="6332"/>
      <c r="N485" t="s">
        <v>21</v>
      </c>
      <c r="AV485" s="103"/>
      <c r="AW485" s="31"/>
      <c r="AX485" s="32"/>
      <c r="AY485" s="31"/>
      <c r="AZ485" s="33"/>
      <c r="BA485" s="1967"/>
      <c r="BB485" s="1805"/>
      <c r="BC485" s="91"/>
      <c r="BD485" s="1806"/>
      <c r="BE485" s="6401"/>
      <c r="BF485" s="6402"/>
      <c r="BG485" s="1969"/>
      <c r="BH485" s="6403"/>
      <c r="BI485" s="95"/>
      <c r="BJ485" s="1326"/>
      <c r="BK485" s="6404"/>
      <c r="BL485" s="1737"/>
      <c r="BM485" s="2081"/>
      <c r="BN485" s="2238"/>
      <c r="BO485" s="1809"/>
      <c r="BR485" s="3">
        <v>1</v>
      </c>
    </row>
    <row r="486" spans="2:70" ht="21" customHeight="1">
      <c r="B486" s="6236"/>
      <c r="C486" s="6358">
        <f t="shared" si="188"/>
        <v>150</v>
      </c>
      <c r="D486" s="6390" t="str" cm="1">
        <f t="array" ref="D486">IF(MOD(ROW()-50,14)=0,INDEX(D484:D497,MOD(ROW()-50,14)+1),E484)</f>
        <v>d’olive à feu moyen. Ajoutez la viande et faites-la dorer de tous les côtés. Retirez-la de la cocotte et réservez-la.</v>
      </c>
      <c r="E486" s="6391" t="str">
        <f t="shared" si="189"/>
        <v/>
      </c>
      <c r="F486" s="6392" t="str">
        <f t="shared" si="190"/>
        <v>d’olive à feu moyen. Ajoutez la viande et faites-la dorer de tous les côtés. Retirez-la de la cocotte et réservez-la.</v>
      </c>
      <c r="G486" s="6321"/>
      <c r="H486" s="6393">
        <f t="shared" si="191"/>
        <v>3</v>
      </c>
      <c r="I486" s="6365">
        <f>Z81</f>
        <v>5</v>
      </c>
      <c r="J486" s="6395" t="str">
        <f t="shared" ref="J486:J497" si="192">TRIM(MID(J485,LEN(K485)+1,99999))</f>
        <v>cocotte N°3 en fonte, faites chauffer l’huile d’olive à feu moyen. Ajoutez la viande et faites-la dorer de tous les côtés. Retirez-la de la cocotte et réservez-la.</v>
      </c>
      <c r="K486" s="6396" t="str">
        <f>IF(J486="","",LEFT(J486,IF(LEN(J486)&lt;=I487,LEN(J486),IFERROR(FIND("§",SUBSTITUTE(LEFT(J486,I487+1)," ","§",LEN(LEFT(J486,I487+1))-LEN(SUBSTITUTE(LEFT(J486,I487+1)," ",""))))-1,IFERROR(FIND(" ",J486,I487+1)-1,LEN(J486))))))</f>
        <v>cocotte N°3 en fonte, faites chauffer l’huile d’olive</v>
      </c>
      <c r="L486" s="6388" t="str">
        <v>cocotte N°3 en fonte, faites chauffer l’huile d’olive</v>
      </c>
      <c r="M486" s="6332"/>
      <c r="N486" t="s">
        <v>21</v>
      </c>
      <c r="AV486" s="103"/>
      <c r="AW486" s="31"/>
      <c r="AX486" s="32"/>
      <c r="AY486" s="31"/>
      <c r="AZ486" s="33"/>
      <c r="BA486" s="1967"/>
      <c r="BB486" s="1805"/>
      <c r="BC486" s="91"/>
      <c r="BD486" s="1806"/>
      <c r="BE486" s="6401"/>
      <c r="BF486" s="6402"/>
      <c r="BG486" s="1969"/>
      <c r="BH486" s="6403"/>
      <c r="BI486" s="95"/>
      <c r="BJ486" s="1326"/>
      <c r="BK486" s="6404"/>
      <c r="BL486" s="1737"/>
      <c r="BM486" s="2081"/>
      <c r="BN486" s="2238"/>
      <c r="BO486" s="1809"/>
      <c r="BR486" s="3">
        <v>1</v>
      </c>
    </row>
    <row r="487" spans="2:70" ht="21" customHeight="1">
      <c r="B487" s="6236"/>
      <c r="C487" s="6358">
        <f t="shared" si="188"/>
        <v>150</v>
      </c>
      <c r="D487" s="6390" t="str" cm="1">
        <f t="array" ref="D487">IF(MOD(ROW()-50,14)=0,INDEX(D484:D497,MOD(ROW()-50,14)+1),E485)</f>
        <v/>
      </c>
      <c r="E487" s="6391" t="str">
        <f t="shared" si="189"/>
        <v/>
      </c>
      <c r="F487" s="6392" t="str">
        <f t="shared" si="190"/>
        <v/>
      </c>
      <c r="G487" s="6321"/>
      <c r="H487" s="6393">
        <f t="shared" si="191"/>
        <v>4</v>
      </c>
      <c r="I487" s="6398">
        <f>IF(OR(J484="",I486="",I486&lt;=0),"",ROUNDUP(LEN(J484)/I486,0))</f>
        <v>53</v>
      </c>
      <c r="J487" s="6395" t="str">
        <f t="shared" si="192"/>
        <v>à feu moyen. Ajoutez la viande et faites-la dorer de tous les côtés. Retirez-la de la cocotte et réservez-la.</v>
      </c>
      <c r="K487" s="6396" t="str">
        <f>IF(J487="","",LEFT(J487,IF(LEN(J487)&lt;=I487,LEN(J487),IFERROR(FIND("§",SUBSTITUTE(LEFT(J487,I487+1)," ","§",LEN(LEFT(J487,I487+1))-LEN(SUBSTITUTE(LEFT(J487,I487+1)," ",""))))-1,IFERROR(FIND(" ",J487,I487+1)-1,LEN(J487))))))</f>
        <v>à feu moyen. Ajoutez la viande et faites-la dorer de</v>
      </c>
      <c r="L487" s="6388" t="str">
        <v>à feu moyen. Ajoutez la viande et faites-la dorer de</v>
      </c>
      <c r="M487" s="6332"/>
      <c r="N487" t="s">
        <v>21</v>
      </c>
      <c r="AV487" s="103"/>
      <c r="AW487" s="31"/>
      <c r="AX487" s="32"/>
      <c r="AY487" s="31"/>
      <c r="AZ487" s="33"/>
      <c r="BA487" s="1967"/>
      <c r="BB487" s="1805"/>
      <c r="BC487" s="91"/>
      <c r="BD487" s="1806"/>
      <c r="BE487" s="6401"/>
      <c r="BF487" s="6402"/>
      <c r="BG487" s="1969"/>
      <c r="BH487" s="6403"/>
      <c r="BI487" s="95"/>
      <c r="BJ487" s="1326"/>
      <c r="BK487" s="6404"/>
      <c r="BL487" s="1737"/>
      <c r="BM487" s="2081"/>
      <c r="BN487" s="2238"/>
      <c r="BO487" s="1809"/>
      <c r="BR487" s="3">
        <v>1</v>
      </c>
    </row>
    <row r="488" spans="2:70" ht="21" customHeight="1">
      <c r="B488" s="6236"/>
      <c r="C488" s="6358">
        <f t="shared" si="188"/>
        <v>150</v>
      </c>
      <c r="D488" s="6390" t="str" cm="1">
        <f t="array" ref="D488">IF(MOD(ROW()-50,14)=0,INDEX(D484:D497,MOD(ROW()-50,14)+1),E486)</f>
        <v/>
      </c>
      <c r="E488" s="6391" t="str">
        <f t="shared" si="189"/>
        <v/>
      </c>
      <c r="F488" s="6392" t="str">
        <f t="shared" si="190"/>
        <v/>
      </c>
      <c r="G488" s="6321"/>
      <c r="H488" s="6393">
        <f t="shared" si="191"/>
        <v>5</v>
      </c>
      <c r="I488" s="6400" t="str">
        <f>I484</f>
        <v>32.TEST LIGNE 19 colonne Q et ligne 20 colonne P. rechercher la cellule qui coupe le texte Dans la cocotte N°3 en fonte, faites chauffer l’huile d’olive à feu moyen. Ajoutez la viande et faites-la dorer de tous les côtés. Retirez-la de la cocotte et réservez-la.</v>
      </c>
      <c r="J488" s="6395" t="str">
        <f t="shared" si="192"/>
        <v>tous les côtés. Retirez-la de la cocotte et réservez-la.</v>
      </c>
      <c r="K488" s="6396" t="str">
        <f>IF(J488="","",LEFT(J488,IF(LEN(J488)&lt;=I487,LEN(J488),IFERROR(FIND("§",SUBSTITUTE(LEFT(J488,I487+1)," ","§",LEN(LEFT(J488,I487+1))-LEN(SUBSTITUTE(LEFT(J488,I487+1)," ",""))))-1,IFERROR(FIND(" ",J488,I487+1)-1,LEN(J488))))))</f>
        <v>tous les côtés. Retirez-la de la cocotte et</v>
      </c>
      <c r="L488" s="6388" t="str">
        <v>tous les côtés. Retirez-la de la cocotte et</v>
      </c>
      <c r="M488" s="6332"/>
      <c r="N488" t="s">
        <v>21</v>
      </c>
      <c r="AV488" s="103"/>
      <c r="AW488" s="31"/>
      <c r="AX488" s="32"/>
      <c r="AY488" s="31"/>
      <c r="AZ488" s="33"/>
      <c r="BA488" s="1967"/>
      <c r="BB488" s="1805"/>
      <c r="BC488" s="91"/>
      <c r="BD488" s="1806"/>
      <c r="BE488" s="6401"/>
      <c r="BF488" s="6402"/>
      <c r="BG488" s="1969"/>
      <c r="BH488" s="6403"/>
      <c r="BI488" s="95"/>
      <c r="BJ488" s="1326"/>
      <c r="BK488" s="6404"/>
      <c r="BL488" s="1737"/>
      <c r="BM488" s="2081"/>
      <c r="BN488" s="2238"/>
      <c r="BO488" s="1809"/>
      <c r="BR488" s="3">
        <v>1</v>
      </c>
    </row>
    <row r="489" spans="2:70" ht="21" customHeight="1">
      <c r="B489" s="6236"/>
      <c r="C489" s="6358">
        <f t="shared" si="188"/>
        <v>150</v>
      </c>
      <c r="D489" s="6390" t="str" cm="1">
        <f t="array" ref="D489">IF(MOD(ROW()-50,14)=0,INDEX(D484:D497,MOD(ROW()-50,14)+1),E487)</f>
        <v/>
      </c>
      <c r="E489" s="6391" t="str">
        <f t="shared" si="189"/>
        <v/>
      </c>
      <c r="F489" s="6392" t="str">
        <f t="shared" si="190"/>
        <v/>
      </c>
      <c r="G489" s="6321"/>
      <c r="H489" s="6393">
        <f t="shared" si="191"/>
        <v>6</v>
      </c>
      <c r="I489" s="6405"/>
      <c r="J489" s="6395" t="str">
        <f t="shared" si="192"/>
        <v>réservez-la.</v>
      </c>
      <c r="K489" s="6396" t="str">
        <f>IF(J489="","",LEFT(J489,IF(LEN(J489)&lt;=I487,LEN(J489),IFERROR(FIND("§",SUBSTITUTE(LEFT(J489,I487+1)," ","§",LEN(LEFT(J489,I487+1))-LEN(SUBSTITUTE(LEFT(J489,I487+1)," ",""))))-1,IFERROR(FIND(" ",J489,I487+1)-1,LEN(J489))))))</f>
        <v>réservez-la.</v>
      </c>
      <c r="L489" s="6388" t="str">
        <v>réservez-la.</v>
      </c>
      <c r="M489" s="6332"/>
      <c r="N489" t="s">
        <v>21</v>
      </c>
      <c r="AV489" s="103"/>
      <c r="AW489" s="31"/>
      <c r="AX489" s="32"/>
      <c r="AY489" s="31"/>
      <c r="AZ489" s="33"/>
      <c r="BA489" s="1967"/>
      <c r="BB489" s="1805"/>
      <c r="BC489" s="91"/>
      <c r="BD489" s="1806"/>
      <c r="BE489" s="6401"/>
      <c r="BF489" s="6402"/>
      <c r="BG489" s="1969"/>
      <c r="BH489" s="6403"/>
      <c r="BI489" s="95"/>
      <c r="BJ489" s="1326"/>
      <c r="BK489" s="6404"/>
      <c r="BL489" s="1737"/>
      <c r="BM489" s="2081"/>
      <c r="BN489" s="2238"/>
      <c r="BO489" s="1809"/>
      <c r="BR489" s="3">
        <v>1</v>
      </c>
    </row>
    <row r="490" spans="2:70" ht="21" customHeight="1">
      <c r="B490" s="6236"/>
      <c r="C490" s="6358">
        <f t="shared" si="188"/>
        <v>150</v>
      </c>
      <c r="D490" s="6390" t="str" cm="1">
        <f t="array" ref="D490">IF(MOD(ROW()-50,14)=0,INDEX(D484:D497,MOD(ROW()-50,14)+1),E488)</f>
        <v/>
      </c>
      <c r="E490" s="6391" t="str">
        <f t="shared" si="189"/>
        <v/>
      </c>
      <c r="F490" s="6392" t="str">
        <f t="shared" si="190"/>
        <v/>
      </c>
      <c r="G490" s="6321"/>
      <c r="H490" s="6393" t="str">
        <f t="shared" si="191"/>
        <v/>
      </c>
      <c r="I490" s="6405"/>
      <c r="J490" s="6395" t="str">
        <f t="shared" si="192"/>
        <v/>
      </c>
      <c r="K490" s="6396" t="str">
        <f>IF(J490="","",LEFT(J490,IF(LEN(J490)&lt;=I487,LEN(J490),IFERROR(FIND("§",SUBSTITUTE(LEFT(J490,I487+1)," ","§",LEN(LEFT(J490,I487+1))-LEN(SUBSTITUTE(LEFT(J490,I487+1)," ",""))))-1,IFERROR(FIND(" ",J490,I487+1)-1,LEN(J490))))))</f>
        <v/>
      </c>
      <c r="L490" s="6388"/>
      <c r="M490" s="6332"/>
      <c r="N490" t="s">
        <v>21</v>
      </c>
      <c r="AV490" s="103"/>
      <c r="AW490" s="31"/>
      <c r="AX490" s="32"/>
      <c r="AY490" s="31"/>
      <c r="AZ490" s="33"/>
      <c r="BA490" s="1967"/>
      <c r="BB490" s="1805"/>
      <c r="BC490" s="91"/>
      <c r="BD490" s="1806"/>
      <c r="BE490" s="6401"/>
      <c r="BF490" s="6402"/>
      <c r="BG490" s="1969"/>
      <c r="BH490" s="6403"/>
      <c r="BI490" s="95"/>
      <c r="BJ490" s="1326"/>
      <c r="BK490" s="6404"/>
      <c r="BL490" s="1737"/>
      <c r="BM490" s="2081"/>
      <c r="BN490" s="2238"/>
      <c r="BO490" s="1809"/>
      <c r="BR490" s="3">
        <v>1</v>
      </c>
    </row>
    <row r="491" spans="2:70" ht="21" customHeight="1">
      <c r="B491" s="6236"/>
      <c r="C491" s="6358">
        <f t="shared" si="188"/>
        <v>150</v>
      </c>
      <c r="D491" s="6390" t="str" cm="1">
        <f t="array" ref="D491">IF(MOD(ROW()-50,14)=0,INDEX(D484:D497,MOD(ROW()-50,14)+1),E489)</f>
        <v/>
      </c>
      <c r="E491" s="6391" t="str">
        <f t="shared" si="189"/>
        <v/>
      </c>
      <c r="F491" s="6392" t="str">
        <f t="shared" si="190"/>
        <v/>
      </c>
      <c r="G491" s="6321"/>
      <c r="H491" s="6393" t="str">
        <f t="shared" si="191"/>
        <v/>
      </c>
      <c r="I491" s="6405"/>
      <c r="J491" s="6395" t="str">
        <f t="shared" si="192"/>
        <v/>
      </c>
      <c r="K491" s="6396" t="str">
        <f>IF(J491="","",LEFT(J491,IF(LEN(J491)&lt;=I487,LEN(J491),IFERROR(FIND("§",SUBSTITUTE(LEFT(J491,I487+1)," ","§",LEN(LEFT(J491,I487+1))-LEN(SUBSTITUTE(LEFT(J491,I487+1)," ",""))))-1,IFERROR(FIND(" ",J491,I487+1)-1,LEN(J491))))))</f>
        <v/>
      </c>
      <c r="L491" s="6388"/>
      <c r="M491" s="6332"/>
      <c r="N491" t="s">
        <v>21</v>
      </c>
      <c r="AV491" s="103"/>
      <c r="AW491" s="31"/>
      <c r="AX491" s="32"/>
      <c r="AY491" s="31"/>
      <c r="AZ491" s="33"/>
      <c r="BA491" s="1967"/>
      <c r="BB491" s="1805"/>
      <c r="BC491" s="91"/>
      <c r="BD491" s="1806"/>
      <c r="BE491" s="6401"/>
      <c r="BF491" s="6402"/>
      <c r="BG491" s="1969"/>
      <c r="BH491" s="6403"/>
      <c r="BI491" s="95"/>
      <c r="BJ491" s="1326"/>
      <c r="BK491" s="6404"/>
      <c r="BL491" s="1737"/>
      <c r="BM491" s="2081"/>
      <c r="BN491" s="2238"/>
      <c r="BO491" s="1809"/>
      <c r="BR491" s="3">
        <v>1</v>
      </c>
    </row>
    <row r="492" spans="2:70" ht="21" customHeight="1">
      <c r="B492" s="6236"/>
      <c r="C492" s="6358">
        <f t="shared" si="188"/>
        <v>150</v>
      </c>
      <c r="D492" s="6390" t="str" cm="1">
        <f t="array" ref="D492">IF(MOD(ROW()-50,14)=0,INDEX(D484:D497,MOD(ROW()-50,14)+1),E490)</f>
        <v/>
      </c>
      <c r="E492" s="6391" t="str">
        <f t="shared" si="189"/>
        <v/>
      </c>
      <c r="F492" s="6392" t="str">
        <f t="shared" si="190"/>
        <v/>
      </c>
      <c r="G492" s="6321"/>
      <c r="H492" s="6393" t="str">
        <f t="shared" si="191"/>
        <v/>
      </c>
      <c r="I492" s="6405"/>
      <c r="J492" s="6395" t="str">
        <f t="shared" si="192"/>
        <v/>
      </c>
      <c r="K492" s="6396" t="str">
        <f>IF(J492="","",LEFT(J492,IF(LEN(J492)&lt;=I487,LEN(J492),IFERROR(FIND("§",SUBSTITUTE(LEFT(J492,I487+1)," ","§",LEN(LEFT(J492,I487+1))-LEN(SUBSTITUTE(LEFT(J492,I487+1)," ",""))))-1,IFERROR(FIND(" ",J492,I487+1)-1,LEN(J492))))))</f>
        <v/>
      </c>
      <c r="L492" s="6388"/>
      <c r="M492" s="6332"/>
      <c r="N492" t="s">
        <v>21</v>
      </c>
      <c r="AV492" s="103"/>
      <c r="AW492" s="31"/>
      <c r="AX492" s="32"/>
      <c r="AY492" s="31"/>
      <c r="AZ492" s="33"/>
      <c r="BA492" s="1967"/>
      <c r="BB492" s="1805"/>
      <c r="BC492" s="91"/>
      <c r="BD492" s="1806"/>
      <c r="BE492" s="6401"/>
      <c r="BF492" s="6402"/>
      <c r="BG492" s="1969"/>
      <c r="BH492" s="6403"/>
      <c r="BI492" s="95"/>
      <c r="BJ492" s="1326"/>
      <c r="BK492" s="6404"/>
      <c r="BL492" s="1737"/>
      <c r="BM492" s="2081"/>
      <c r="BN492" s="2238"/>
      <c r="BO492" s="1809"/>
      <c r="BR492" s="3">
        <v>1</v>
      </c>
    </row>
    <row r="493" spans="2:70" ht="21" customHeight="1">
      <c r="B493" s="6236"/>
      <c r="C493" s="6358">
        <f t="shared" si="188"/>
        <v>150</v>
      </c>
      <c r="D493" s="6390" t="str" cm="1">
        <f t="array" ref="D493">IF(MOD(ROW()-50,14)=0,INDEX(D484:D497,MOD(ROW()-50,14)+1),E491)</f>
        <v/>
      </c>
      <c r="E493" s="6391" t="str">
        <f t="shared" si="189"/>
        <v/>
      </c>
      <c r="F493" s="6392" t="str">
        <f t="shared" si="190"/>
        <v/>
      </c>
      <c r="G493" s="6321"/>
      <c r="H493" s="6393" t="str">
        <f t="shared" si="191"/>
        <v/>
      </c>
      <c r="I493" s="6405"/>
      <c r="J493" s="6395" t="str">
        <f t="shared" si="192"/>
        <v/>
      </c>
      <c r="K493" s="6396" t="str">
        <f>IF(J493="","",LEFT(J493,IF(LEN(J493)&lt;=I487,LEN(J493),IFERROR(FIND("§",SUBSTITUTE(LEFT(J493,I487+1)," ","§",LEN(LEFT(J493,I487+1))-LEN(SUBSTITUTE(LEFT(J493,I487+1)," ",""))))-1,IFERROR(FIND(" ",J493,I487+1)-1,LEN(J493))))))</f>
        <v/>
      </c>
      <c r="L493" s="6388"/>
      <c r="M493" s="6332"/>
      <c r="N493" t="s">
        <v>21</v>
      </c>
      <c r="AV493" s="103"/>
      <c r="AW493" s="31"/>
      <c r="AX493" s="32"/>
      <c r="AY493" s="31"/>
      <c r="AZ493" s="33"/>
      <c r="BA493" s="1967"/>
      <c r="BB493" s="1805"/>
      <c r="BC493" s="91"/>
      <c r="BD493" s="1806"/>
      <c r="BE493" s="6401"/>
      <c r="BF493" s="6402"/>
      <c r="BG493" s="1969"/>
      <c r="BH493" s="6403"/>
      <c r="BI493" s="95"/>
      <c r="BJ493" s="1326"/>
      <c r="BK493" s="6404"/>
      <c r="BL493" s="1737"/>
      <c r="BM493" s="2081"/>
      <c r="BN493" s="2238"/>
      <c r="BO493" s="1809"/>
      <c r="BR493" s="3">
        <v>1</v>
      </c>
    </row>
    <row r="494" spans="2:70" ht="21" customHeight="1">
      <c r="B494" s="6236"/>
      <c r="C494" s="6358">
        <f t="shared" si="188"/>
        <v>150</v>
      </c>
      <c r="D494" s="6390" t="str" cm="1">
        <f t="array" ref="D494">IF(MOD(ROW()-50,14)=0,INDEX(D484:D497,MOD(ROW()-50,14)+1),E492)</f>
        <v/>
      </c>
      <c r="E494" s="6391" t="str">
        <f t="shared" si="189"/>
        <v/>
      </c>
      <c r="F494" s="6392" t="str">
        <f t="shared" si="190"/>
        <v/>
      </c>
      <c r="G494" s="6321"/>
      <c r="H494" s="6393" t="str">
        <f t="shared" si="191"/>
        <v/>
      </c>
      <c r="I494" s="6405"/>
      <c r="J494" s="6395" t="str">
        <f t="shared" si="192"/>
        <v/>
      </c>
      <c r="K494" s="6396" t="str">
        <f>IF(J494="","",LEFT(J494,IF(LEN(J494)&lt;=I487,LEN(J494),IFERROR(FIND("§",SUBSTITUTE(LEFT(J494,I487+1)," ","§",LEN(LEFT(J494,I487+1))-LEN(SUBSTITUTE(LEFT(J494,I487+1)," ",""))))-1,IFERROR(FIND(" ",J494,I487+1)-1,LEN(J494))))))</f>
        <v/>
      </c>
      <c r="L494" s="6388"/>
      <c r="M494" s="6332"/>
      <c r="N494" t="s">
        <v>21</v>
      </c>
      <c r="AV494" s="103"/>
      <c r="AW494" s="31"/>
      <c r="AX494" s="32"/>
      <c r="AY494" s="31"/>
      <c r="AZ494" s="33"/>
      <c r="BA494" s="1967"/>
      <c r="BB494" s="1805"/>
      <c r="BC494" s="91"/>
      <c r="BD494" s="1806"/>
      <c r="BE494" s="6401"/>
      <c r="BF494" s="6402"/>
      <c r="BG494" s="1969"/>
      <c r="BH494" s="6403"/>
      <c r="BI494" s="95"/>
      <c r="BJ494" s="1326"/>
      <c r="BK494" s="6404"/>
      <c r="BL494" s="1737"/>
      <c r="BM494" s="2081"/>
      <c r="BN494" s="2238"/>
      <c r="BO494" s="1809"/>
      <c r="BR494" s="3">
        <v>1</v>
      </c>
    </row>
    <row r="495" spans="2:70" ht="21" customHeight="1">
      <c r="B495" s="6236"/>
      <c r="C495" s="6358">
        <f t="shared" si="188"/>
        <v>150</v>
      </c>
      <c r="D495" s="6390" t="str" cm="1">
        <f t="array" ref="D495">IF(MOD(ROW()-50,14)=0,INDEX(D484:D497,MOD(ROW()-50,14)+1),E493)</f>
        <v/>
      </c>
      <c r="E495" s="6391" t="str">
        <f t="shared" si="189"/>
        <v/>
      </c>
      <c r="F495" s="6392" t="str">
        <f t="shared" si="190"/>
        <v/>
      </c>
      <c r="G495" s="6321"/>
      <c r="H495" s="6393" t="str">
        <f t="shared" si="191"/>
        <v/>
      </c>
      <c r="I495" s="6405"/>
      <c r="J495" s="6395" t="str">
        <f t="shared" si="192"/>
        <v/>
      </c>
      <c r="K495" s="6396" t="str">
        <f>IF(J495="","",LEFT(J495,IF(LEN(J495)&lt;=I487,LEN(J495),IFERROR(FIND("§",SUBSTITUTE(LEFT(J495,I487+1)," ","§",LEN(LEFT(J495,I487+1))-LEN(SUBSTITUTE(LEFT(J495,I487+1)," ",""))))-1,IFERROR(FIND(" ",J495,I487+1)-1,LEN(J495))))))</f>
        <v/>
      </c>
      <c r="L495" s="6388"/>
      <c r="M495" s="6332"/>
      <c r="N495" t="s">
        <v>21</v>
      </c>
      <c r="AV495" s="103"/>
      <c r="AW495" s="31"/>
      <c r="AX495" s="32"/>
      <c r="AY495" s="31"/>
      <c r="AZ495" s="33"/>
      <c r="BA495" s="1967"/>
      <c r="BB495" s="1805"/>
      <c r="BC495" s="91"/>
      <c r="BD495" s="1806"/>
      <c r="BE495" s="6401"/>
      <c r="BF495" s="6402"/>
      <c r="BG495" s="1969"/>
      <c r="BH495" s="6403"/>
      <c r="BI495" s="95"/>
      <c r="BJ495" s="1326"/>
      <c r="BK495" s="6404"/>
      <c r="BL495" s="1737"/>
      <c r="BM495" s="2081"/>
      <c r="BN495" s="2238"/>
      <c r="BO495" s="1809"/>
      <c r="BR495" s="3">
        <v>1</v>
      </c>
    </row>
    <row r="496" spans="2:70" ht="21" customHeight="1">
      <c r="B496" s="6236"/>
      <c r="C496" s="6358">
        <f t="shared" si="188"/>
        <v>150</v>
      </c>
      <c r="D496" s="6390" t="str" cm="1">
        <f t="array" ref="D496">IF(MOD(ROW()-50,14)=0,INDEX(D484:D497,MOD(ROW()-50,14)+1),E494)</f>
        <v/>
      </c>
      <c r="E496" s="6391" t="str">
        <f t="shared" si="189"/>
        <v/>
      </c>
      <c r="F496" s="6392" t="str">
        <f t="shared" si="190"/>
        <v/>
      </c>
      <c r="G496" s="6321"/>
      <c r="H496" s="6393" t="str">
        <f t="shared" si="191"/>
        <v/>
      </c>
      <c r="I496" s="6405"/>
      <c r="J496" s="6395" t="str">
        <f t="shared" si="192"/>
        <v/>
      </c>
      <c r="K496" s="6396" t="str">
        <f>IF(J496="","",LEFT(J496,IF(LEN(J496)&lt;=I487,LEN(J496),IFERROR(FIND("§",SUBSTITUTE(LEFT(J496,I487+1)," ","§",LEN(LEFT(J496,I487+1))-LEN(SUBSTITUTE(LEFT(J496,I487+1)," ",""))))-1,IFERROR(FIND(" ",J496,I487+1)-1,LEN(J496))))))</f>
        <v/>
      </c>
      <c r="L496" s="6396"/>
      <c r="M496" s="6332"/>
      <c r="N496" t="s">
        <v>21</v>
      </c>
      <c r="AV496" s="103"/>
      <c r="AW496" s="31"/>
      <c r="AX496" s="32"/>
      <c r="AY496" s="31"/>
      <c r="AZ496" s="33"/>
      <c r="BA496" s="1967"/>
      <c r="BB496" s="1805"/>
      <c r="BC496" s="91"/>
      <c r="BD496" s="1806"/>
      <c r="BE496" s="6401"/>
      <c r="BF496" s="6402"/>
      <c r="BG496" s="1969"/>
      <c r="BH496" s="6403"/>
      <c r="BI496" s="95"/>
      <c r="BJ496" s="1326"/>
      <c r="BK496" s="6404"/>
      <c r="BL496" s="1737"/>
      <c r="BM496" s="2081"/>
      <c r="BN496" s="2238"/>
      <c r="BO496" s="1809"/>
      <c r="BR496" s="3">
        <v>1</v>
      </c>
    </row>
    <row r="497" spans="2:70" ht="21" customHeight="1">
      <c r="B497" s="6236"/>
      <c r="C497" s="6376">
        <f t="shared" si="188"/>
        <v>150</v>
      </c>
      <c r="D497" s="6406" t="str" cm="1">
        <f t="array" ref="D497">IF(MOD(ROW()-50,14)=0,INDEX(D484:D497,MOD(ROW()-50,14)+1),E495)</f>
        <v/>
      </c>
      <c r="E497" s="6407" t="str">
        <f t="shared" si="189"/>
        <v/>
      </c>
      <c r="F497" s="6408" t="str">
        <f t="shared" si="190"/>
        <v/>
      </c>
      <c r="G497" s="6322"/>
      <c r="H497" s="6409" t="str">
        <f t="shared" si="191"/>
        <v/>
      </c>
      <c r="I497" s="6410"/>
      <c r="J497" s="6411" t="str">
        <f t="shared" si="192"/>
        <v/>
      </c>
      <c r="K497" s="6412" t="str">
        <f>IF(J497="","",LEFT(J497,IF(LEN(J497)&lt;=I487,LEN(J497),IFERROR(FIND("§",SUBSTITUTE(LEFT(J497,I487+1)," ","§",LEN(LEFT(J497,I487+1))-LEN(SUBSTITUTE(LEFT(J497,I487+1)," ",""))))-1,IFERROR(FIND(" ",J497,I487+1)-1,LEN(J497))))))</f>
        <v/>
      </c>
      <c r="L497" s="6413"/>
      <c r="M497" s="6333"/>
      <c r="N497" t="s">
        <v>21</v>
      </c>
      <c r="AV497" s="103"/>
      <c r="AW497" s="31"/>
      <c r="AX497" s="32"/>
      <c r="AY497" s="31"/>
      <c r="AZ497" s="33"/>
      <c r="BA497" s="1967"/>
      <c r="BB497" s="1805"/>
      <c r="BC497" s="91"/>
      <c r="BD497" s="1806"/>
      <c r="BE497" s="6401"/>
      <c r="BF497" s="6402"/>
      <c r="BG497" s="1969"/>
      <c r="BH497" s="6403"/>
      <c r="BI497" s="95"/>
      <c r="BJ497" s="1326"/>
      <c r="BK497" s="6404"/>
      <c r="BL497" s="1737"/>
      <c r="BM497" s="2081"/>
      <c r="BN497" s="2238"/>
      <c r="BO497" s="1809"/>
      <c r="BR497" s="3">
        <v>1</v>
      </c>
    </row>
    <row r="498" spans="2:70" ht="21" customHeight="1">
      <c r="B498" s="6236"/>
      <c r="C498" s="6313">
        <f>AD82</f>
        <v>150</v>
      </c>
      <c r="D498" s="6314" t="str">
        <f>IF(UPPER(TRIM(X45))="X",U82,O82)</f>
        <v>33.TEST LIGNE 19 colonne Q et ligne 20 colonne P. rechercher la cellule qui coupe le texte Dans la cocotte N°3 en fonte, faites chauffer l’huile d’olive à feu moyen. Ajoutez la viande et faites-la dorer de tous les côtés. Retirez-la de la cocotte et réservez-la.</v>
      </c>
      <c r="E498" s="6315" t="str">
        <f>IF(D498="","",IF(F498="","",IF(LEN(F498)&gt;=LEN(D498),"",TRIM(MID(D498,LEN(F498)+1,99999)))))</f>
        <v>d’olive à feu moyen. Ajoutez la viande et faites-la dorer de tous les côtés. Retirez-la de la cocotte et réservez-la.</v>
      </c>
      <c r="F498" s="6316" t="str">
        <f>IF(D498="","",IF(LEN(D498)&lt;=C498,D498,IFERROR(LEFT(D498,FIND("§",SUBSTITUTE(LEFT(D498,C498+1)," ","§",LEN(LEFT(D498,C498+1))-LEN(SUBSTITUTE(LEFT(D498,C498+1)," ",""))))-1),LEFT(D498,C498))))</f>
        <v>33.TEST LIGNE 19 colonne Q et ligne 20 colonne P. rechercher la cellule qui coupe le texte Dans la cocotte N°3 en fonte, faites chauffer l’huile</v>
      </c>
      <c r="G498" s="6317"/>
      <c r="H498" s="6323">
        <f>IF(LEN(TRIM(L498))&gt;0,MAX(H497:H497)+1,"")</f>
        <v>1</v>
      </c>
      <c r="I498" s="6324" t="str">
        <f>D498</f>
        <v>33.TEST LIGNE 19 colonne Q et ligne 20 colonne P. rechercher la cellule qui coupe le texte Dans la cocotte N°3 en fonte, faites chauffer l’huile d’olive à feu moyen. Ajoutez la viande et faites-la dorer de tous les côtés. Retirez-la de la cocotte et réservez-la.</v>
      </c>
      <c r="J498" s="6325" t="str">
        <f>IF(I498=0,"",I498)</f>
        <v>33.TEST LIGNE 19 colonne Q et ligne 20 colonne P. rechercher la cellule qui coupe le texte Dans la cocotte N°3 en fonte, faites chauffer l’huile d’olive à feu moyen. Ajoutez la viande et faites-la dorer de tous les côtés. Retirez-la de la cocotte et réservez-la.</v>
      </c>
      <c r="K498" s="6326" t="str">
        <f>IF(I498="","",LEFT(I498,IF(LEN(I498)&lt;=I501,LEN(I498),IFERROR(FIND("§",SUBSTITUTE(LEFT(I498,I501+1)," ","§",LEN(LEFT(I498,I501+1))-LEN(SUBSTITUTE(LEFT(I498,I501+1)," ",""))))-1,IFERROR(FIND(" ",I498,I501+1)-1,LEN(I498))))))</f>
        <v>33.TEST LIGNE 19 colonne Q et ligne 20 colonne P.</v>
      </c>
      <c r="L498" s="6326" t="str" cm="1">
        <f t="array" ref="L498:L503">_xlfn._xlws.FILTER(TRIM(SUBSTITUTE(SUBSTITUTE(SUBSTITUTE(SUBSTITUTE(SUBSTITUTE(CLEAN(K498:K511),CHAR(160)," "),_xlfn.UNICHAR(8239)," "),CHAR(9)," "),CHAR(10)," "),CHAR(13)," ")),TRIM(SUBSTITUTE(SUBSTITUTE(SUBSTITUTE(SUBSTITUTE(SUBSTITUTE(CLEAN(K498:K511),CHAR(160)," "),_xlfn.UNICHAR(8239)," "),CHAR(9)," "),CHAR(10)," "),CHAR(13)," "))&lt;&gt;"")</f>
        <v>33.TEST LIGNE 19 colonne Q et ligne 20 colonne P.</v>
      </c>
      <c r="M498" s="6328"/>
      <c r="N498" t="s">
        <v>21</v>
      </c>
      <c r="AV498" s="103"/>
      <c r="AW498" s="31"/>
      <c r="AX498" s="32"/>
      <c r="AY498" s="31"/>
      <c r="AZ498" s="33"/>
      <c r="BA498" s="1967"/>
      <c r="BB498" s="1805"/>
      <c r="BC498" s="91"/>
      <c r="BD498" s="1806"/>
      <c r="BE498" s="6401"/>
      <c r="BF498" s="6402"/>
      <c r="BG498" s="1969"/>
      <c r="BH498" s="6403"/>
      <c r="BI498" s="95"/>
      <c r="BJ498" s="1326"/>
      <c r="BK498" s="6404"/>
      <c r="BL498" s="1737"/>
      <c r="BM498" s="2081"/>
      <c r="BN498" s="2238"/>
      <c r="BO498" s="1809"/>
      <c r="BR498" s="3">
        <v>1</v>
      </c>
    </row>
    <row r="499" spans="2:70" ht="21" customHeight="1">
      <c r="B499" s="6236"/>
      <c r="C499" s="6358">
        <f t="shared" ref="C499:C511" si="193">C498</f>
        <v>150</v>
      </c>
      <c r="D499" s="6359" t="str" cm="1">
        <f t="array" ref="D499">IF(MOD(ROW()-50,14)=0,INDEX(D498:D511,MOD(ROW()-50,14)+1),E497)</f>
        <v/>
      </c>
      <c r="E499" s="6360" t="str">
        <f t="shared" ref="E499:E511" si="194">IF(D499="","",IF(F499="","",IF(LEN(F499)&gt;=LEN(D499),"",TRIM(MID(D499,LEN(F499)+1,99999)))))</f>
        <v/>
      </c>
      <c r="F499" s="6361" t="str">
        <f t="shared" ref="F499:F511" si="195">IF(D499="","",IF(LEN(D499)&lt;=C499,D499,IFERROR(LEFT(D499,FIND("§",SUBSTITUTE(LEFT(D499,C499+1)," ","§",LEN(LEFT(D499,C499+1))-LEN(SUBSTITUTE(LEFT(D499,C499+1)," ",""))))-1),LEFT(D499,C499))))</f>
        <v/>
      </c>
      <c r="G499" s="6318"/>
      <c r="H499" s="6323">
        <f t="shared" ref="H499:H511" si="196">IF(LEN(TRIM(L499))&gt;0,MAX(H498:H498)+1,"")</f>
        <v>2</v>
      </c>
      <c r="I499" s="6362" t="s">
        <v>14355</v>
      </c>
      <c r="J499" s="6363" t="str">
        <f>TRIM(MID(I502,LEN(K498)+1,99999))</f>
        <v>rechercher la cellule qui coupe le texte Dans la cocotte N°3 en fonte, faites chauffer l’huile d’olive à feu moyen. Ajoutez la viande et faites-la dorer de tous les côtés. Retirez-la de la cocotte et réservez-la.</v>
      </c>
      <c r="K499" s="6364" t="str">
        <f>IF(J499="","",LEFT(J499,IF(LEN(J499)&lt;=I501,LEN(J499),IFERROR(FIND("§",SUBSTITUTE(LEFT(J499,I501+1)," ","§",LEN(LEFT(J499,I501+1))-LEN(SUBSTITUTE(LEFT(J499,I501+1)," ",""))))-1,IFERROR(FIND(" ",J499,I501+1)-1,LEN(J499))))))</f>
        <v>rechercher la cellule qui coupe le texte Dans la</v>
      </c>
      <c r="L499" s="6327" t="str">
        <v>rechercher la cellule qui coupe le texte Dans la</v>
      </c>
      <c r="M499" s="6329"/>
      <c r="N499" t="s">
        <v>21</v>
      </c>
      <c r="AV499" s="103"/>
      <c r="AW499" s="31"/>
      <c r="AX499" s="32"/>
      <c r="AY499" s="31"/>
      <c r="AZ499" s="33"/>
      <c r="BA499" s="1967"/>
      <c r="BB499" s="1805"/>
      <c r="BC499" s="91"/>
      <c r="BD499" s="1806"/>
      <c r="BE499" s="6401"/>
      <c r="BF499" s="6402"/>
      <c r="BG499" s="1969"/>
      <c r="BH499" s="6403"/>
      <c r="BI499" s="95"/>
      <c r="BJ499" s="1326"/>
      <c r="BK499" s="6404"/>
      <c r="BL499" s="1737"/>
      <c r="BM499" s="2081"/>
      <c r="BN499" s="2238"/>
      <c r="BO499" s="1809"/>
      <c r="BR499" s="3">
        <v>1</v>
      </c>
    </row>
    <row r="500" spans="2:70" ht="21" customHeight="1">
      <c r="B500" s="6236"/>
      <c r="C500" s="6358">
        <f t="shared" si="193"/>
        <v>150</v>
      </c>
      <c r="D500" s="6359" t="str" cm="1">
        <f t="array" ref="D500">IF(MOD(ROW()-50,14)=0,INDEX(D498:D511,MOD(ROW()-50,14)+1),E498)</f>
        <v>d’olive à feu moyen. Ajoutez la viande et faites-la dorer de tous les côtés. Retirez-la de la cocotte et réservez-la.</v>
      </c>
      <c r="E500" s="6360" t="str">
        <f t="shared" si="194"/>
        <v/>
      </c>
      <c r="F500" s="6361" t="str">
        <f t="shared" si="195"/>
        <v>d’olive à feu moyen. Ajoutez la viande et faites-la dorer de tous les côtés. Retirez-la de la cocotte et réservez-la.</v>
      </c>
      <c r="G500" s="6318"/>
      <c r="H500" s="6323">
        <f t="shared" si="196"/>
        <v>3</v>
      </c>
      <c r="I500" s="6365">
        <f>Z82</f>
        <v>5</v>
      </c>
      <c r="J500" s="6363" t="str">
        <f t="shared" ref="J500:J511" si="197">TRIM(MID(J499,LEN(K499)+1,99999))</f>
        <v>cocotte N°3 en fonte, faites chauffer l’huile d’olive à feu moyen. Ajoutez la viande et faites-la dorer de tous les côtés. Retirez-la de la cocotte et réservez-la.</v>
      </c>
      <c r="K500" s="6364" t="str">
        <f>IF(J500="","",LEFT(J500,IF(LEN(J500)&lt;=I501,LEN(J500),IFERROR(FIND("§",SUBSTITUTE(LEFT(J500,I501+1)," ","§",LEN(LEFT(J500,I501+1))-LEN(SUBSTITUTE(LEFT(J500,I501+1)," ",""))))-1,IFERROR(FIND(" ",J500,I501+1)-1,LEN(J500))))))</f>
        <v>cocotte N°3 en fonte, faites chauffer l’huile d’olive</v>
      </c>
      <c r="L500" s="6327" t="str">
        <v>cocotte N°3 en fonte, faites chauffer l’huile d’olive</v>
      </c>
      <c r="M500" s="6329"/>
      <c r="N500" t="s">
        <v>21</v>
      </c>
      <c r="AV500" s="103"/>
      <c r="AW500" s="31"/>
      <c r="AX500" s="32"/>
      <c r="AY500" s="31"/>
      <c r="AZ500" s="33"/>
      <c r="BA500" s="1967"/>
      <c r="BB500" s="1805"/>
      <c r="BC500" s="91"/>
      <c r="BD500" s="1806"/>
      <c r="BE500" s="6401"/>
      <c r="BF500" s="6402"/>
      <c r="BG500" s="1969"/>
      <c r="BH500" s="6403"/>
      <c r="BI500" s="95"/>
      <c r="BJ500" s="1326"/>
      <c r="BK500" s="6404"/>
      <c r="BL500" s="1737"/>
      <c r="BM500" s="2081"/>
      <c r="BN500" s="2238"/>
      <c r="BO500" s="1809"/>
      <c r="BR500" s="3">
        <v>1</v>
      </c>
    </row>
    <row r="501" spans="2:70" ht="21" customHeight="1">
      <c r="B501" s="6236"/>
      <c r="C501" s="6358">
        <f t="shared" si="193"/>
        <v>150</v>
      </c>
      <c r="D501" s="6359" t="str" cm="1">
        <f t="array" ref="D501">IF(MOD(ROW()-50,14)=0,INDEX(D498:D511,MOD(ROW()-50,14)+1),E499)</f>
        <v/>
      </c>
      <c r="E501" s="6360" t="str">
        <f t="shared" si="194"/>
        <v/>
      </c>
      <c r="F501" s="6361" t="str">
        <f t="shared" si="195"/>
        <v/>
      </c>
      <c r="G501" s="6318"/>
      <c r="H501" s="6323">
        <f t="shared" si="196"/>
        <v>4</v>
      </c>
      <c r="I501" s="6370">
        <f>IF(OR(J498="",I500="",I500&lt;=0),"",ROUNDUP(LEN(J498)/I500,0))</f>
        <v>53</v>
      </c>
      <c r="J501" s="6363" t="str">
        <f t="shared" si="197"/>
        <v>à feu moyen. Ajoutez la viande et faites-la dorer de tous les côtés. Retirez-la de la cocotte et réservez-la.</v>
      </c>
      <c r="K501" s="6364" t="str">
        <f>IF(J501="","",LEFT(J501,IF(LEN(J501)&lt;=I501,LEN(J501),IFERROR(FIND("§",SUBSTITUTE(LEFT(J501,I501+1)," ","§",LEN(LEFT(J501,I501+1))-LEN(SUBSTITUTE(LEFT(J501,I501+1)," ",""))))-1,IFERROR(FIND(" ",J501,I501+1)-1,LEN(J501))))))</f>
        <v>à feu moyen. Ajoutez la viande et faites-la dorer de</v>
      </c>
      <c r="L501" s="6327" t="str">
        <v>à feu moyen. Ajoutez la viande et faites-la dorer de</v>
      </c>
      <c r="M501" s="6329"/>
      <c r="N501" t="s">
        <v>21</v>
      </c>
      <c r="AV501" s="103"/>
      <c r="AW501" s="31"/>
      <c r="AX501" s="32"/>
      <c r="AY501" s="31"/>
      <c r="AZ501" s="33"/>
      <c r="BA501" s="1967"/>
      <c r="BB501" s="1805"/>
      <c r="BC501" s="91"/>
      <c r="BD501" s="1806"/>
      <c r="BE501" s="6401"/>
      <c r="BF501" s="6402"/>
      <c r="BG501" s="1969"/>
      <c r="BH501" s="6403"/>
      <c r="BI501" s="95"/>
      <c r="BJ501" s="1326"/>
      <c r="BK501" s="6404"/>
      <c r="BL501" s="1737"/>
      <c r="BM501" s="2081"/>
      <c r="BN501" s="2238"/>
      <c r="BO501" s="1809"/>
      <c r="BR501" s="3">
        <v>1</v>
      </c>
    </row>
    <row r="502" spans="2:70" ht="21" customHeight="1">
      <c r="B502" s="6236"/>
      <c r="C502" s="6358">
        <f t="shared" si="193"/>
        <v>150</v>
      </c>
      <c r="D502" s="6359" t="str" cm="1">
        <f t="array" ref="D502">IF(MOD(ROW()-50,14)=0,INDEX(D498:D511,MOD(ROW()-50,14)+1),E500)</f>
        <v/>
      </c>
      <c r="E502" s="6360" t="str">
        <f t="shared" si="194"/>
        <v/>
      </c>
      <c r="F502" s="6361" t="str">
        <f t="shared" si="195"/>
        <v/>
      </c>
      <c r="G502" s="6318"/>
      <c r="H502" s="6323">
        <f t="shared" si="196"/>
        <v>5</v>
      </c>
      <c r="I502" s="6372" t="str">
        <f>I498</f>
        <v>33.TEST LIGNE 19 colonne Q et ligne 20 colonne P. rechercher la cellule qui coupe le texte Dans la cocotte N°3 en fonte, faites chauffer l’huile d’olive à feu moyen. Ajoutez la viande et faites-la dorer de tous les côtés. Retirez-la de la cocotte et réservez-la.</v>
      </c>
      <c r="J502" s="6363" t="str">
        <f t="shared" si="197"/>
        <v>tous les côtés. Retirez-la de la cocotte et réservez-la.</v>
      </c>
      <c r="K502" s="6364" t="str">
        <f>IF(J502="","",LEFT(J502,IF(LEN(J502)&lt;=I501,LEN(J502),IFERROR(FIND("§",SUBSTITUTE(LEFT(J502,I501+1)," ","§",LEN(LEFT(J502,I501+1))-LEN(SUBSTITUTE(LEFT(J502,I501+1)," ",""))))-1,IFERROR(FIND(" ",J502,I501+1)-1,LEN(J502))))))</f>
        <v>tous les côtés. Retirez-la de la cocotte et</v>
      </c>
      <c r="L502" s="6327" t="str">
        <v>tous les côtés. Retirez-la de la cocotte et</v>
      </c>
      <c r="M502" s="6329"/>
      <c r="N502" t="s">
        <v>21</v>
      </c>
      <c r="AV502" s="103"/>
      <c r="AW502" s="31"/>
      <c r="AX502" s="32"/>
      <c r="AY502" s="31"/>
      <c r="AZ502" s="33"/>
      <c r="BA502" s="1967"/>
      <c r="BB502" s="1805"/>
      <c r="BC502" s="91"/>
      <c r="BD502" s="1806"/>
      <c r="BE502" s="6401"/>
      <c r="BF502" s="6402"/>
      <c r="BG502" s="1969"/>
      <c r="BH502" s="6403"/>
      <c r="BI502" s="95"/>
      <c r="BJ502" s="1326"/>
      <c r="BK502" s="6404"/>
      <c r="BL502" s="1737"/>
      <c r="BM502" s="2081"/>
      <c r="BN502" s="2238"/>
      <c r="BO502" s="1809"/>
      <c r="BR502" s="3">
        <v>1</v>
      </c>
    </row>
    <row r="503" spans="2:70" ht="21" customHeight="1">
      <c r="B503" s="6236"/>
      <c r="C503" s="6358">
        <f t="shared" si="193"/>
        <v>150</v>
      </c>
      <c r="D503" s="6359" t="str" cm="1">
        <f t="array" ref="D503">IF(MOD(ROW()-50,14)=0,INDEX(D498:D511,MOD(ROW()-50,14)+1),E501)</f>
        <v/>
      </c>
      <c r="E503" s="6360" t="str">
        <f t="shared" si="194"/>
        <v/>
      </c>
      <c r="F503" s="6361" t="str">
        <f t="shared" si="195"/>
        <v/>
      </c>
      <c r="G503" s="6318"/>
      <c r="H503" s="6323">
        <f t="shared" si="196"/>
        <v>6</v>
      </c>
      <c r="I503" s="6373"/>
      <c r="J503" s="6363" t="str">
        <f t="shared" si="197"/>
        <v>réservez-la.</v>
      </c>
      <c r="K503" s="6364" t="str">
        <f>IF(J503="","",LEFT(J503,IF(LEN(J503)&lt;=I501,LEN(J503),IFERROR(FIND("§",SUBSTITUTE(LEFT(J503,I501+1)," ","§",LEN(LEFT(J503,I501+1))-LEN(SUBSTITUTE(LEFT(J503,I501+1)," ",""))))-1,IFERROR(FIND(" ",J503,I501+1)-1,LEN(J503))))))</f>
        <v>réservez-la.</v>
      </c>
      <c r="L503" s="6327" t="str">
        <v>réservez-la.</v>
      </c>
      <c r="M503" s="6329"/>
      <c r="N503" t="s">
        <v>21</v>
      </c>
      <c r="AV503" s="103"/>
      <c r="AW503" s="31"/>
      <c r="AX503" s="32"/>
      <c r="AY503" s="31"/>
      <c r="AZ503" s="33"/>
      <c r="BA503" s="1967"/>
      <c r="BB503" s="1805"/>
      <c r="BC503" s="91"/>
      <c r="BD503" s="1806"/>
      <c r="BE503" s="6401"/>
      <c r="BF503" s="6402"/>
      <c r="BG503" s="1969"/>
      <c r="BH503" s="6403"/>
      <c r="BI503" s="95"/>
      <c r="BJ503" s="1326"/>
      <c r="BK503" s="6404"/>
      <c r="BL503" s="1737"/>
      <c r="BM503" s="2081"/>
      <c r="BN503" s="2238"/>
      <c r="BO503" s="1809"/>
      <c r="BR503" s="3">
        <v>1</v>
      </c>
    </row>
    <row r="504" spans="2:70" ht="21" customHeight="1">
      <c r="B504" s="6236"/>
      <c r="C504" s="6358">
        <f t="shared" si="193"/>
        <v>150</v>
      </c>
      <c r="D504" s="6359" t="str" cm="1">
        <f t="array" ref="D504">IF(MOD(ROW()-50,14)=0,INDEX(D498:D511,MOD(ROW()-50,14)+1),E502)</f>
        <v/>
      </c>
      <c r="E504" s="6360" t="str">
        <f t="shared" si="194"/>
        <v/>
      </c>
      <c r="F504" s="6361" t="str">
        <f t="shared" si="195"/>
        <v/>
      </c>
      <c r="G504" s="6318"/>
      <c r="H504" s="6323" t="str">
        <f t="shared" si="196"/>
        <v/>
      </c>
      <c r="I504" s="6373"/>
      <c r="J504" s="6363" t="str">
        <f t="shared" si="197"/>
        <v/>
      </c>
      <c r="K504" s="6364" t="str">
        <f>IF(J504="","",LEFT(J504,IF(LEN(J504)&lt;=I501,LEN(J504),IFERROR(FIND("§",SUBSTITUTE(LEFT(J504,I501+1)," ","§",LEN(LEFT(J504,I501+1))-LEN(SUBSTITUTE(LEFT(J504,I501+1)," ",""))))-1,IFERROR(FIND(" ",J504,I501+1)-1,LEN(J504))))))</f>
        <v/>
      </c>
      <c r="L504" s="6327"/>
      <c r="M504" s="6329"/>
      <c r="N504" t="s">
        <v>21</v>
      </c>
      <c r="AV504" s="103"/>
      <c r="AW504" s="31"/>
      <c r="AX504" s="32"/>
      <c r="AY504" s="31"/>
      <c r="AZ504" s="33"/>
      <c r="BA504" s="1967"/>
      <c r="BB504" s="1805"/>
      <c r="BC504" s="91"/>
      <c r="BD504" s="1806"/>
      <c r="BE504" s="6401"/>
      <c r="BF504" s="6402"/>
      <c r="BG504" s="1969"/>
      <c r="BH504" s="6403"/>
      <c r="BI504" s="95"/>
      <c r="BJ504" s="1326"/>
      <c r="BK504" s="6404"/>
      <c r="BL504" s="1737"/>
      <c r="BM504" s="2081"/>
      <c r="BN504" s="2238"/>
      <c r="BO504" s="1809"/>
      <c r="BR504" s="3">
        <v>1</v>
      </c>
    </row>
    <row r="505" spans="2:70" ht="21" customHeight="1">
      <c r="B505" s="6236"/>
      <c r="C505" s="6358">
        <f t="shared" si="193"/>
        <v>150</v>
      </c>
      <c r="D505" s="6359" t="str" cm="1">
        <f t="array" ref="D505">IF(MOD(ROW()-50,14)=0,INDEX(D498:D511,MOD(ROW()-50,14)+1),E503)</f>
        <v/>
      </c>
      <c r="E505" s="6360" t="str">
        <f t="shared" si="194"/>
        <v/>
      </c>
      <c r="F505" s="6361" t="str">
        <f t="shared" si="195"/>
        <v/>
      </c>
      <c r="G505" s="6318"/>
      <c r="H505" s="6323" t="str">
        <f t="shared" si="196"/>
        <v/>
      </c>
      <c r="I505" s="6373"/>
      <c r="J505" s="6363" t="str">
        <f t="shared" si="197"/>
        <v/>
      </c>
      <c r="K505" s="6364" t="str">
        <f>IF(J505="","",LEFT(J505,IF(LEN(J505)&lt;=I501,LEN(J505),IFERROR(FIND("§",SUBSTITUTE(LEFT(J505,I501+1)," ","§",LEN(LEFT(J505,I501+1))-LEN(SUBSTITUTE(LEFT(J505,I501+1)," ",""))))-1,IFERROR(FIND(" ",J505,I501+1)-1,LEN(J505))))))</f>
        <v/>
      </c>
      <c r="L505" s="6327"/>
      <c r="M505" s="6329"/>
      <c r="N505" t="s">
        <v>21</v>
      </c>
      <c r="AV505" s="103"/>
      <c r="AW505" s="31"/>
      <c r="AX505" s="32"/>
      <c r="AY505" s="31"/>
      <c r="AZ505" s="33"/>
      <c r="BA505" s="1967"/>
      <c r="BB505" s="1805"/>
      <c r="BC505" s="91"/>
      <c r="BD505" s="1806"/>
      <c r="BE505" s="6401"/>
      <c r="BF505" s="6402"/>
      <c r="BG505" s="1969"/>
      <c r="BH505" s="6403"/>
      <c r="BI505" s="95"/>
      <c r="BJ505" s="1326"/>
      <c r="BK505" s="6404"/>
      <c r="BL505" s="1737"/>
      <c r="BM505" s="2081"/>
      <c r="BN505" s="2238"/>
      <c r="BO505" s="1809"/>
      <c r="BR505" s="3">
        <v>1</v>
      </c>
    </row>
    <row r="506" spans="2:70" ht="21" customHeight="1">
      <c r="B506" s="6236"/>
      <c r="C506" s="6358">
        <f t="shared" si="193"/>
        <v>150</v>
      </c>
      <c r="D506" s="6359" t="str" cm="1">
        <f t="array" ref="D506">IF(MOD(ROW()-50,14)=0,INDEX(D498:D511,MOD(ROW()-50,14)+1),E504)</f>
        <v/>
      </c>
      <c r="E506" s="6360" t="str">
        <f t="shared" si="194"/>
        <v/>
      </c>
      <c r="F506" s="6361" t="str">
        <f t="shared" si="195"/>
        <v/>
      </c>
      <c r="G506" s="6318"/>
      <c r="H506" s="6323" t="str">
        <f t="shared" si="196"/>
        <v/>
      </c>
      <c r="I506" s="6373"/>
      <c r="J506" s="6363" t="str">
        <f t="shared" si="197"/>
        <v/>
      </c>
      <c r="K506" s="6364" t="str">
        <f>IF(J506="","",LEFT(J506,IF(LEN(J506)&lt;=I501,LEN(J506),IFERROR(FIND("§",SUBSTITUTE(LEFT(J506,I501+1)," ","§",LEN(LEFT(J506,I501+1))-LEN(SUBSTITUTE(LEFT(J506,I501+1)," ",""))))-1,IFERROR(FIND(" ",J506,I501+1)-1,LEN(J506))))))</f>
        <v/>
      </c>
      <c r="L506" s="6327"/>
      <c r="M506" s="6329"/>
      <c r="N506" t="s">
        <v>21</v>
      </c>
      <c r="AV506" s="103"/>
      <c r="AW506" s="31"/>
      <c r="AX506" s="32"/>
      <c r="AY506" s="31"/>
      <c r="AZ506" s="33"/>
      <c r="BA506" s="1967"/>
      <c r="BB506" s="1805"/>
      <c r="BC506" s="91"/>
      <c r="BD506" s="1806"/>
      <c r="BE506" s="6401"/>
      <c r="BF506" s="6402"/>
      <c r="BG506" s="1969"/>
      <c r="BH506" s="6403"/>
      <c r="BI506" s="95"/>
      <c r="BJ506" s="1326"/>
      <c r="BK506" s="6404"/>
      <c r="BL506" s="1737"/>
      <c r="BM506" s="2081"/>
      <c r="BN506" s="2238"/>
      <c r="BO506" s="1809"/>
      <c r="BR506" s="3">
        <v>1</v>
      </c>
    </row>
    <row r="507" spans="2:70" ht="21" customHeight="1">
      <c r="B507" s="6236"/>
      <c r="C507" s="6358">
        <f t="shared" si="193"/>
        <v>150</v>
      </c>
      <c r="D507" s="6359" t="str" cm="1">
        <f t="array" ref="D507">IF(MOD(ROW()-50,14)=0,INDEX(D498:D511,MOD(ROW()-50,14)+1),E505)</f>
        <v/>
      </c>
      <c r="E507" s="6360" t="str">
        <f t="shared" si="194"/>
        <v/>
      </c>
      <c r="F507" s="6361" t="str">
        <f t="shared" si="195"/>
        <v/>
      </c>
      <c r="G507" s="6318"/>
      <c r="H507" s="6323" t="str">
        <f t="shared" si="196"/>
        <v/>
      </c>
      <c r="I507" s="6373"/>
      <c r="J507" s="6363" t="str">
        <f t="shared" si="197"/>
        <v/>
      </c>
      <c r="K507" s="6364" t="str">
        <f>IF(J507="","",LEFT(J507,IF(LEN(J507)&lt;=I501,LEN(J507),IFERROR(FIND("§",SUBSTITUTE(LEFT(J507,I501+1)," ","§",LEN(LEFT(J507,I501+1))-LEN(SUBSTITUTE(LEFT(J507,I501+1)," ",""))))-1,IFERROR(FIND(" ",J507,I501+1)-1,LEN(J507))))))</f>
        <v/>
      </c>
      <c r="L507" s="6327"/>
      <c r="M507" s="6329"/>
      <c r="N507" t="s">
        <v>21</v>
      </c>
      <c r="AV507" s="103"/>
      <c r="AW507" s="31"/>
      <c r="AX507" s="32"/>
      <c r="AY507" s="31"/>
      <c r="AZ507" s="33"/>
      <c r="BA507" s="1967"/>
      <c r="BB507" s="1805"/>
      <c r="BC507" s="91"/>
      <c r="BD507" s="1806"/>
      <c r="BE507" s="6401"/>
      <c r="BF507" s="6402"/>
      <c r="BG507" s="1969"/>
      <c r="BH507" s="6403"/>
      <c r="BI507" s="95"/>
      <c r="BJ507" s="1326"/>
      <c r="BK507" s="6404"/>
      <c r="BL507" s="1737"/>
      <c r="BM507" s="2081"/>
      <c r="BN507" s="2238"/>
      <c r="BO507" s="1809"/>
      <c r="BR507" s="3">
        <v>1</v>
      </c>
    </row>
    <row r="508" spans="2:70" ht="21" customHeight="1">
      <c r="B508" s="6236"/>
      <c r="C508" s="6358">
        <f t="shared" si="193"/>
        <v>150</v>
      </c>
      <c r="D508" s="6359" t="str" cm="1">
        <f t="array" ref="D508">IF(MOD(ROW()-50,14)=0,INDEX(D498:D511,MOD(ROW()-50,14)+1),E506)</f>
        <v/>
      </c>
      <c r="E508" s="6360" t="str">
        <f t="shared" si="194"/>
        <v/>
      </c>
      <c r="F508" s="6361" t="str">
        <f t="shared" si="195"/>
        <v/>
      </c>
      <c r="G508" s="6318"/>
      <c r="H508" s="6323" t="str">
        <f t="shared" si="196"/>
        <v/>
      </c>
      <c r="I508" s="6373"/>
      <c r="J508" s="6363" t="str">
        <f t="shared" si="197"/>
        <v/>
      </c>
      <c r="K508" s="6364" t="str">
        <f>IF(J508="","",LEFT(J508,IF(LEN(J508)&lt;=I501,LEN(J508),IFERROR(FIND("§",SUBSTITUTE(LEFT(J508,I501+1)," ","§",LEN(LEFT(J508,I501+1))-LEN(SUBSTITUTE(LEFT(J508,I501+1)," ",""))))-1,IFERROR(FIND(" ",J508,I501+1)-1,LEN(J508))))))</f>
        <v/>
      </c>
      <c r="L508" s="6327"/>
      <c r="M508" s="6329"/>
      <c r="N508" t="s">
        <v>21</v>
      </c>
      <c r="AV508" s="103"/>
      <c r="AW508" s="31"/>
      <c r="AX508" s="32"/>
      <c r="AY508" s="31"/>
      <c r="AZ508" s="33"/>
      <c r="BA508" s="1967"/>
      <c r="BB508" s="1805"/>
      <c r="BC508" s="91"/>
      <c r="BD508" s="1806"/>
      <c r="BE508" s="6401"/>
      <c r="BF508" s="6402"/>
      <c r="BG508" s="1969"/>
      <c r="BH508" s="6403"/>
      <c r="BI508" s="95"/>
      <c r="BJ508" s="1326"/>
      <c r="BK508" s="6404"/>
      <c r="BL508" s="1737"/>
      <c r="BM508" s="2081"/>
      <c r="BN508" s="2238"/>
      <c r="BO508" s="1809"/>
      <c r="BR508" s="3">
        <v>1</v>
      </c>
    </row>
    <row r="509" spans="2:70" ht="21" customHeight="1">
      <c r="B509" s="6236"/>
      <c r="C509" s="6358">
        <f t="shared" si="193"/>
        <v>150</v>
      </c>
      <c r="D509" s="6359" t="str" cm="1">
        <f t="array" ref="D509">IF(MOD(ROW()-50,14)=0,INDEX(D498:D511,MOD(ROW()-50,14)+1),E507)</f>
        <v/>
      </c>
      <c r="E509" s="6360" t="str">
        <f t="shared" si="194"/>
        <v/>
      </c>
      <c r="F509" s="6361" t="str">
        <f t="shared" si="195"/>
        <v/>
      </c>
      <c r="G509" s="6318"/>
      <c r="H509" s="6323" t="str">
        <f t="shared" si="196"/>
        <v/>
      </c>
      <c r="I509" s="6373"/>
      <c r="J509" s="6363" t="str">
        <f t="shared" si="197"/>
        <v/>
      </c>
      <c r="K509" s="6364" t="str">
        <f>IF(J509="","",LEFT(J509,IF(LEN(J509)&lt;=I501,LEN(J509),IFERROR(FIND("§",SUBSTITUTE(LEFT(J509,I501+1)," ","§",LEN(LEFT(J509,I501+1))-LEN(SUBSTITUTE(LEFT(J509,I501+1)," ",""))))-1,IFERROR(FIND(" ",J509,I501+1)-1,LEN(J509))))))</f>
        <v/>
      </c>
      <c r="L509" s="6327"/>
      <c r="M509" s="6329"/>
      <c r="N509" t="s">
        <v>21</v>
      </c>
      <c r="AV509" s="103"/>
      <c r="AW509" s="31"/>
      <c r="AX509" s="32"/>
      <c r="AY509" s="31"/>
      <c r="AZ509" s="33"/>
      <c r="BA509" s="1967"/>
      <c r="BB509" s="1805"/>
      <c r="BC509" s="91"/>
      <c r="BD509" s="1806"/>
      <c r="BE509" s="6401"/>
      <c r="BF509" s="6402"/>
      <c r="BG509" s="1969"/>
      <c r="BH509" s="6403"/>
      <c r="BI509" s="95"/>
      <c r="BJ509" s="1326"/>
      <c r="BK509" s="6404"/>
      <c r="BL509" s="1737"/>
      <c r="BM509" s="2081"/>
      <c r="BN509" s="2238"/>
      <c r="BO509" s="1809"/>
      <c r="BR509" s="3">
        <v>1</v>
      </c>
    </row>
    <row r="510" spans="2:70" ht="21" customHeight="1">
      <c r="B510" s="6236"/>
      <c r="C510" s="6358">
        <f t="shared" si="193"/>
        <v>150</v>
      </c>
      <c r="D510" s="6359" t="str" cm="1">
        <f t="array" ref="D510">IF(MOD(ROW()-50,14)=0,INDEX(D498:D511,MOD(ROW()-50,14)+1),E508)</f>
        <v/>
      </c>
      <c r="E510" s="6360" t="str">
        <f t="shared" si="194"/>
        <v/>
      </c>
      <c r="F510" s="6361" t="str">
        <f t="shared" si="195"/>
        <v/>
      </c>
      <c r="G510" s="6318"/>
      <c r="H510" s="6323" t="str">
        <f t="shared" si="196"/>
        <v/>
      </c>
      <c r="I510" s="6373"/>
      <c r="J510" s="6363" t="str">
        <f t="shared" si="197"/>
        <v/>
      </c>
      <c r="K510" s="6364" t="str">
        <f>IF(J510="","",LEFT(J510,IF(LEN(J510)&lt;=I501,LEN(J510),IFERROR(FIND("§",SUBSTITUTE(LEFT(J510,I501+1)," ","§",LEN(LEFT(J510,I501+1))-LEN(SUBSTITUTE(LEFT(J510,I501+1)," ",""))))-1,IFERROR(FIND(" ",J510,I501+1)-1,LEN(J510))))))</f>
        <v/>
      </c>
      <c r="L510" s="6364"/>
      <c r="M510" s="6329"/>
      <c r="N510" t="s">
        <v>21</v>
      </c>
      <c r="AV510" s="103"/>
      <c r="AW510" s="31"/>
      <c r="AX510" s="32"/>
      <c r="AY510" s="31"/>
      <c r="AZ510" s="33"/>
      <c r="BA510" s="1967"/>
      <c r="BB510" s="1805"/>
      <c r="BC510" s="91"/>
      <c r="BD510" s="1806"/>
      <c r="BE510" s="6401"/>
      <c r="BF510" s="6402"/>
      <c r="BG510" s="1969"/>
      <c r="BH510" s="6403"/>
      <c r="BI510" s="95"/>
      <c r="BJ510" s="1326"/>
      <c r="BK510" s="6404"/>
      <c r="BL510" s="1737"/>
      <c r="BM510" s="2081"/>
      <c r="BN510" s="2238"/>
      <c r="BO510" s="1809"/>
      <c r="BR510" s="3">
        <v>1</v>
      </c>
    </row>
    <row r="511" spans="2:70" ht="21" customHeight="1">
      <c r="B511" s="6236"/>
      <c r="C511" s="6376">
        <f t="shared" si="193"/>
        <v>150</v>
      </c>
      <c r="D511" s="6414" t="str" cm="1">
        <f t="array" ref="D511">IF(MOD(ROW()-50,14)=0,INDEX(D498:D511,MOD(ROW()-50,14)+1),E509)</f>
        <v/>
      </c>
      <c r="E511" s="6377" t="str">
        <f t="shared" si="194"/>
        <v/>
      </c>
      <c r="F511" s="6378" t="str">
        <f t="shared" si="195"/>
        <v/>
      </c>
      <c r="G511" s="6319"/>
      <c r="H511" s="6323" t="str">
        <f t="shared" si="196"/>
        <v/>
      </c>
      <c r="I511" s="6379"/>
      <c r="J511" s="6380" t="str">
        <f t="shared" si="197"/>
        <v/>
      </c>
      <c r="K511" s="6381" t="str">
        <f>IF(J511="","",LEFT(J511,IF(LEN(J511)&lt;=I501,LEN(J511),IFERROR(FIND("§",SUBSTITUTE(LEFT(J511,I501+1)," ","§",LEN(LEFT(J511,I501+1))-LEN(SUBSTITUTE(LEFT(J511,I501+1)," ",""))))-1,IFERROR(FIND(" ",J511,I501+1)-1,LEN(J511))))))</f>
        <v/>
      </c>
      <c r="L511" s="6382"/>
      <c r="M511" s="6330"/>
      <c r="N511" t="s">
        <v>21</v>
      </c>
      <c r="AV511" s="103"/>
      <c r="AW511" s="31"/>
      <c r="AX511" s="32"/>
      <c r="AY511" s="31"/>
      <c r="AZ511" s="33"/>
      <c r="BA511" s="1967"/>
      <c r="BB511" s="1805"/>
      <c r="BC511" s="91"/>
      <c r="BD511" s="1806"/>
      <c r="BE511" s="6401"/>
      <c r="BF511" s="6402"/>
      <c r="BG511" s="1969"/>
      <c r="BH511" s="6403"/>
      <c r="BI511" s="95"/>
      <c r="BJ511" s="1326"/>
      <c r="BK511" s="6404"/>
      <c r="BL511" s="1737"/>
      <c r="BM511" s="2081"/>
      <c r="BN511" s="2238"/>
      <c r="BO511" s="1809"/>
      <c r="BR511" s="3">
        <v>1</v>
      </c>
    </row>
    <row r="512" spans="2:70" ht="21" customHeight="1">
      <c r="B512" s="6236"/>
      <c r="C512" s="6313">
        <f>AD83</f>
        <v>150</v>
      </c>
      <c r="D512" s="6314" t="str">
        <f>IF(UPPER(TRIM(X45))="X",U83,O83)</f>
        <v>34.TEST LIGNE 19 colonne Q et ligne 20 colonne P. rechercher la cellule qui coupe le texte Dans la cocotte N°3 en fonte, faites chauffer l’huile d’olive à feu moyen. Ajoutez la viande et faites-la dorer de tous les côtés. Retirez-la de la cocotte et réservez-la.</v>
      </c>
      <c r="E512" s="6383" t="str">
        <f>IF(D512="","",IF(F512="","",IF(LEN(F512)&gt;=LEN(D512),"",TRIM(MID(D512,LEN(F512)+1,99999)))))</f>
        <v>d’olive à feu moyen. Ajoutez la viande et faites-la dorer de tous les côtés. Retirez-la de la cocotte et réservez-la.</v>
      </c>
      <c r="F512" s="6384" t="str">
        <f>IF(D512="","",IF(LEN(D512)&lt;=C512,D512,IFERROR(LEFT(D512,FIND("§",SUBSTITUTE(LEFT(D512,C512+1)," ","§",LEN(LEFT(D512,C512+1))-LEN(SUBSTITUTE(LEFT(D512,C512+1)," ",""))))-1),LEFT(D512,C512))))</f>
        <v>34.TEST LIGNE 19 colonne Q et ligne 20 colonne P. rechercher la cellule qui coupe le texte Dans la cocotte N°3 en fonte, faites chauffer l’huile</v>
      </c>
      <c r="G512" s="6320"/>
      <c r="H512" s="6385">
        <f>IF(LEN(TRIM(L512))&gt;0,MAX(H511:H511)+1,"")</f>
        <v>1</v>
      </c>
      <c r="I512" s="6324" t="str">
        <f>D512</f>
        <v>34.TEST LIGNE 19 colonne Q et ligne 20 colonne P. rechercher la cellule qui coupe le texte Dans la cocotte N°3 en fonte, faites chauffer l’huile d’olive à feu moyen. Ajoutez la viande et faites-la dorer de tous les côtés. Retirez-la de la cocotte et réservez-la.</v>
      </c>
      <c r="J512" s="6386" t="str">
        <f>IF(I512=0,"",I512)</f>
        <v>34.TEST LIGNE 19 colonne Q et ligne 20 colonne P. rechercher la cellule qui coupe le texte Dans la cocotte N°3 en fonte, faites chauffer l’huile d’olive à feu moyen. Ajoutez la viande et faites-la dorer de tous les côtés. Retirez-la de la cocotte et réservez-la.</v>
      </c>
      <c r="K512" s="6387" t="str">
        <f>IF(I512="","",LEFT(I512,IF(LEN(I512)&lt;=I515,LEN(I512),IFERROR(FIND("§",SUBSTITUTE(LEFT(I512,I515+1)," ","§",LEN(LEFT(I512,I515+1))-LEN(SUBSTITUTE(LEFT(I512,I515+1)," ",""))))-1,IFERROR(FIND(" ",I512,I515+1)-1,LEN(I512))))))</f>
        <v>34.TEST LIGNE 19 colonne Q et ligne 20 colonne P.</v>
      </c>
      <c r="L512" s="6388" t="str" cm="1">
        <f t="array" ref="L512:L517">_xlfn._xlws.FILTER(TRIM(SUBSTITUTE(SUBSTITUTE(SUBSTITUTE(SUBSTITUTE(SUBSTITUTE(CLEAN(K512:K525),CHAR(160)," "),_xlfn.UNICHAR(8239)," "),CHAR(9)," "),CHAR(10)," "),CHAR(13)," ")),TRIM(SUBSTITUTE(SUBSTITUTE(SUBSTITUTE(SUBSTITUTE(SUBSTITUTE(CLEAN(K512:K525),CHAR(160)," "),_xlfn.UNICHAR(8239)," "),CHAR(9)," "),CHAR(10)," "),CHAR(13)," "))&lt;&gt;"")</f>
        <v>34.TEST LIGNE 19 colonne Q et ligne 20 colonne P.</v>
      </c>
      <c r="M512" s="6331"/>
      <c r="N512" t="s">
        <v>21</v>
      </c>
      <c r="AV512" s="103"/>
      <c r="AW512" s="31"/>
      <c r="AX512" s="32"/>
      <c r="AY512" s="31"/>
      <c r="AZ512" s="33"/>
      <c r="BA512" s="1967"/>
      <c r="BB512" s="1805"/>
      <c r="BC512" s="91"/>
      <c r="BD512" s="1806"/>
      <c r="BE512" s="6401"/>
      <c r="BF512" s="6402"/>
      <c r="BG512" s="1969"/>
      <c r="BH512" s="6403"/>
      <c r="BI512" s="95"/>
      <c r="BJ512" s="1326"/>
      <c r="BK512" s="6404"/>
      <c r="BL512" s="1737"/>
      <c r="BM512" s="2081"/>
      <c r="BN512" s="2238"/>
      <c r="BO512" s="1809"/>
      <c r="BR512" s="3">
        <v>1</v>
      </c>
    </row>
    <row r="513" spans="2:70" ht="21" customHeight="1">
      <c r="B513" s="6236"/>
      <c r="C513" s="6358">
        <f t="shared" ref="C513:C525" si="198">C512</f>
        <v>150</v>
      </c>
      <c r="D513" s="6390" t="str" cm="1">
        <f t="array" ref="D513">IF(MOD(ROW()-50,14)=0,INDEX(D512:D525,MOD(ROW()-50,14)+1),E511)</f>
        <v/>
      </c>
      <c r="E513" s="6391" t="str">
        <f t="shared" ref="E513:E525" si="199">IF(D513="","",IF(F513="","",IF(LEN(F513)&gt;=LEN(D513),"",TRIM(MID(D513,LEN(F513)+1,99999)))))</f>
        <v/>
      </c>
      <c r="F513" s="6392" t="str">
        <f t="shared" ref="F513:F525" si="200">IF(D513="","",IF(LEN(D513)&lt;=C513,D513,IFERROR(LEFT(D513,FIND("§",SUBSTITUTE(LEFT(D513,C513+1)," ","§",LEN(LEFT(D513,C513+1))-LEN(SUBSTITUTE(LEFT(D513,C513+1)," ",""))))-1),LEFT(D513,C513))))</f>
        <v/>
      </c>
      <c r="G513" s="6321"/>
      <c r="H513" s="6393">
        <f t="shared" ref="H513:H525" si="201">IF(LEN(TRIM(L513))&gt;0,MAX(H512:H512)+1,"")</f>
        <v>2</v>
      </c>
      <c r="I513" s="6394" t="s">
        <v>14355</v>
      </c>
      <c r="J513" s="6395" t="str">
        <f>TRIM(MID(I516,LEN(K512)+1,99999))</f>
        <v>rechercher la cellule qui coupe le texte Dans la cocotte N°3 en fonte, faites chauffer l’huile d’olive à feu moyen. Ajoutez la viande et faites-la dorer de tous les côtés. Retirez-la de la cocotte et réservez-la.</v>
      </c>
      <c r="K513" s="6396" t="str">
        <f>IF(J513="","",LEFT(J513,IF(LEN(J513)&lt;=I515,LEN(J513),IFERROR(FIND("§",SUBSTITUTE(LEFT(J513,I515+1)," ","§",LEN(LEFT(J513,I515+1))-LEN(SUBSTITUTE(LEFT(J513,I515+1)," ",""))))-1,IFERROR(FIND(" ",J513,I515+1)-1,LEN(J513))))))</f>
        <v>rechercher la cellule qui coupe le texte Dans la</v>
      </c>
      <c r="L513" s="6388" t="str">
        <v>rechercher la cellule qui coupe le texte Dans la</v>
      </c>
      <c r="M513" s="6332"/>
      <c r="N513" t="s">
        <v>21</v>
      </c>
      <c r="AV513" s="103"/>
      <c r="AW513" s="31"/>
      <c r="AX513" s="32"/>
      <c r="AY513" s="31"/>
      <c r="AZ513" s="33"/>
      <c r="BA513" s="1967"/>
      <c r="BB513" s="1805"/>
      <c r="BC513" s="91"/>
      <c r="BD513" s="1806"/>
      <c r="BE513" s="6401"/>
      <c r="BF513" s="6402"/>
      <c r="BG513" s="1969"/>
      <c r="BH513" s="6403"/>
      <c r="BI513" s="95"/>
      <c r="BJ513" s="1326"/>
      <c r="BK513" s="6404"/>
      <c r="BL513" s="1737"/>
      <c r="BM513" s="2081"/>
      <c r="BN513" s="2238"/>
      <c r="BO513" s="1809"/>
      <c r="BR513" s="3">
        <v>1</v>
      </c>
    </row>
    <row r="514" spans="2:70" ht="21" customHeight="1">
      <c r="B514" s="6236"/>
      <c r="C514" s="6358">
        <f t="shared" si="198"/>
        <v>150</v>
      </c>
      <c r="D514" s="6390" t="str" cm="1">
        <f t="array" ref="D514">IF(MOD(ROW()-50,14)=0,INDEX(D512:D525,MOD(ROW()-50,14)+1),E512)</f>
        <v>d’olive à feu moyen. Ajoutez la viande et faites-la dorer de tous les côtés. Retirez-la de la cocotte et réservez-la.</v>
      </c>
      <c r="E514" s="6391" t="str">
        <f t="shared" si="199"/>
        <v/>
      </c>
      <c r="F514" s="6392" t="str">
        <f t="shared" si="200"/>
        <v>d’olive à feu moyen. Ajoutez la viande et faites-la dorer de tous les côtés. Retirez-la de la cocotte et réservez-la.</v>
      </c>
      <c r="G514" s="6321"/>
      <c r="H514" s="6393">
        <f t="shared" si="201"/>
        <v>3</v>
      </c>
      <c r="I514" s="6365">
        <f>Z83</f>
        <v>5</v>
      </c>
      <c r="J514" s="6395" t="str">
        <f t="shared" ref="J514:J525" si="202">TRIM(MID(J513,LEN(K513)+1,99999))</f>
        <v>cocotte N°3 en fonte, faites chauffer l’huile d’olive à feu moyen. Ajoutez la viande et faites-la dorer de tous les côtés. Retirez-la de la cocotte et réservez-la.</v>
      </c>
      <c r="K514" s="6396" t="str">
        <f>IF(J514="","",LEFT(J514,IF(LEN(J514)&lt;=I515,LEN(J514),IFERROR(FIND("§",SUBSTITUTE(LEFT(J514,I515+1)," ","§",LEN(LEFT(J514,I515+1))-LEN(SUBSTITUTE(LEFT(J514,I515+1)," ",""))))-1,IFERROR(FIND(" ",J514,I515+1)-1,LEN(J514))))))</f>
        <v>cocotte N°3 en fonte, faites chauffer l’huile d’olive</v>
      </c>
      <c r="L514" s="6388" t="str">
        <v>cocotte N°3 en fonte, faites chauffer l’huile d’olive</v>
      </c>
      <c r="M514" s="6332"/>
      <c r="N514" t="s">
        <v>21</v>
      </c>
      <c r="AV514" s="103"/>
      <c r="AW514" s="31"/>
      <c r="AX514" s="32"/>
      <c r="AY514" s="31"/>
      <c r="AZ514" s="33"/>
      <c r="BA514" s="1967"/>
      <c r="BB514" s="1805"/>
      <c r="BC514" s="91"/>
      <c r="BD514" s="1806"/>
      <c r="BE514" s="6401"/>
      <c r="BF514" s="6402"/>
      <c r="BG514" s="1969"/>
      <c r="BH514" s="6403"/>
      <c r="BI514" s="95"/>
      <c r="BJ514" s="1326"/>
      <c r="BK514" s="6404"/>
      <c r="BL514" s="1737"/>
      <c r="BM514" s="2081"/>
      <c r="BN514" s="2238"/>
      <c r="BO514" s="1809"/>
      <c r="BR514" s="3">
        <v>1</v>
      </c>
    </row>
    <row r="515" spans="2:70" ht="21" customHeight="1">
      <c r="B515" s="6236"/>
      <c r="C515" s="6358">
        <f t="shared" si="198"/>
        <v>150</v>
      </c>
      <c r="D515" s="6390" t="str" cm="1">
        <f t="array" ref="D515">IF(MOD(ROW()-50,14)=0,INDEX(D512:D525,MOD(ROW()-50,14)+1),E513)</f>
        <v/>
      </c>
      <c r="E515" s="6391" t="str">
        <f t="shared" si="199"/>
        <v/>
      </c>
      <c r="F515" s="6392" t="str">
        <f t="shared" si="200"/>
        <v/>
      </c>
      <c r="G515" s="6321"/>
      <c r="H515" s="6393">
        <f t="shared" si="201"/>
        <v>4</v>
      </c>
      <c r="I515" s="6398">
        <f>IF(OR(J512="",I514="",I514&lt;=0),"",ROUNDUP(LEN(J512)/I514,0))</f>
        <v>53</v>
      </c>
      <c r="J515" s="6395" t="str">
        <f t="shared" si="202"/>
        <v>à feu moyen. Ajoutez la viande et faites-la dorer de tous les côtés. Retirez-la de la cocotte et réservez-la.</v>
      </c>
      <c r="K515" s="6396" t="str">
        <f>IF(J515="","",LEFT(J515,IF(LEN(J515)&lt;=I515,LEN(J515),IFERROR(FIND("§",SUBSTITUTE(LEFT(J515,I515+1)," ","§",LEN(LEFT(J515,I515+1))-LEN(SUBSTITUTE(LEFT(J515,I515+1)," ",""))))-1,IFERROR(FIND(" ",J515,I515+1)-1,LEN(J515))))))</f>
        <v>à feu moyen. Ajoutez la viande et faites-la dorer de</v>
      </c>
      <c r="L515" s="6388" t="str">
        <v>à feu moyen. Ajoutez la viande et faites-la dorer de</v>
      </c>
      <c r="M515" s="6332"/>
      <c r="N515" t="s">
        <v>21</v>
      </c>
      <c r="AV515" s="103"/>
      <c r="AW515" s="31"/>
      <c r="AX515" s="32"/>
      <c r="AY515" s="31"/>
      <c r="AZ515" s="33"/>
      <c r="BA515" s="1967"/>
      <c r="BB515" s="1805"/>
      <c r="BC515" s="91"/>
      <c r="BD515" s="1806"/>
      <c r="BE515" s="6401"/>
      <c r="BF515" s="6402"/>
      <c r="BG515" s="1969"/>
      <c r="BH515" s="6403"/>
      <c r="BI515" s="95"/>
      <c r="BJ515" s="1326"/>
      <c r="BK515" s="6404"/>
      <c r="BL515" s="1737"/>
      <c r="BM515" s="2081"/>
      <c r="BN515" s="2238"/>
      <c r="BO515" s="1809"/>
      <c r="BR515" s="3">
        <v>1</v>
      </c>
    </row>
    <row r="516" spans="2:70" ht="21" customHeight="1">
      <c r="B516" s="6236"/>
      <c r="C516" s="6358">
        <f t="shared" si="198"/>
        <v>150</v>
      </c>
      <c r="D516" s="6390" t="str" cm="1">
        <f t="array" ref="D516">IF(MOD(ROW()-50,14)=0,INDEX(D512:D525,MOD(ROW()-50,14)+1),E514)</f>
        <v/>
      </c>
      <c r="E516" s="6391" t="str">
        <f t="shared" si="199"/>
        <v/>
      </c>
      <c r="F516" s="6392" t="str">
        <f t="shared" si="200"/>
        <v/>
      </c>
      <c r="G516" s="6321"/>
      <c r="H516" s="6393">
        <f t="shared" si="201"/>
        <v>5</v>
      </c>
      <c r="I516" s="6400" t="str">
        <f>I512</f>
        <v>34.TEST LIGNE 19 colonne Q et ligne 20 colonne P. rechercher la cellule qui coupe le texte Dans la cocotte N°3 en fonte, faites chauffer l’huile d’olive à feu moyen. Ajoutez la viande et faites-la dorer de tous les côtés. Retirez-la de la cocotte et réservez-la.</v>
      </c>
      <c r="J516" s="6395" t="str">
        <f t="shared" si="202"/>
        <v>tous les côtés. Retirez-la de la cocotte et réservez-la.</v>
      </c>
      <c r="K516" s="6396" t="str">
        <f>IF(J516="","",LEFT(J516,IF(LEN(J516)&lt;=I515,LEN(J516),IFERROR(FIND("§",SUBSTITUTE(LEFT(J516,I515+1)," ","§",LEN(LEFT(J516,I515+1))-LEN(SUBSTITUTE(LEFT(J516,I515+1)," ",""))))-1,IFERROR(FIND(" ",J516,I515+1)-1,LEN(J516))))))</f>
        <v>tous les côtés. Retirez-la de la cocotte et</v>
      </c>
      <c r="L516" s="6388" t="str">
        <v>tous les côtés. Retirez-la de la cocotte et</v>
      </c>
      <c r="M516" s="6332"/>
      <c r="N516" t="s">
        <v>21</v>
      </c>
      <c r="AV516" s="103"/>
      <c r="AW516" s="31"/>
      <c r="AX516" s="32"/>
      <c r="AY516" s="31"/>
      <c r="AZ516" s="33"/>
      <c r="BA516" s="1967"/>
      <c r="BB516" s="1805"/>
      <c r="BC516" s="91"/>
      <c r="BD516" s="1806"/>
      <c r="BE516" s="6401"/>
      <c r="BF516" s="6402"/>
      <c r="BG516" s="1969"/>
      <c r="BH516" s="6403"/>
      <c r="BI516" s="95"/>
      <c r="BJ516" s="1326"/>
      <c r="BK516" s="6404"/>
      <c r="BL516" s="1737"/>
      <c r="BM516" s="2081"/>
      <c r="BN516" s="2238"/>
      <c r="BO516" s="1809"/>
      <c r="BR516" s="3">
        <v>1</v>
      </c>
    </row>
    <row r="517" spans="2:70" ht="21" customHeight="1">
      <c r="B517" s="6236"/>
      <c r="C517" s="6358">
        <f t="shared" si="198"/>
        <v>150</v>
      </c>
      <c r="D517" s="6390" t="str" cm="1">
        <f t="array" ref="D517">IF(MOD(ROW()-50,14)=0,INDEX(D512:D525,MOD(ROW()-50,14)+1),E515)</f>
        <v/>
      </c>
      <c r="E517" s="6391" t="str">
        <f t="shared" si="199"/>
        <v/>
      </c>
      <c r="F517" s="6392" t="str">
        <f t="shared" si="200"/>
        <v/>
      </c>
      <c r="G517" s="6321"/>
      <c r="H517" s="6393">
        <f t="shared" si="201"/>
        <v>6</v>
      </c>
      <c r="I517" s="6405"/>
      <c r="J517" s="6395" t="str">
        <f t="shared" si="202"/>
        <v>réservez-la.</v>
      </c>
      <c r="K517" s="6396" t="str">
        <f>IF(J517="","",LEFT(J517,IF(LEN(J517)&lt;=I515,LEN(J517),IFERROR(FIND("§",SUBSTITUTE(LEFT(J517,I515+1)," ","§",LEN(LEFT(J517,I515+1))-LEN(SUBSTITUTE(LEFT(J517,I515+1)," ",""))))-1,IFERROR(FIND(" ",J517,I515+1)-1,LEN(J517))))))</f>
        <v>réservez-la.</v>
      </c>
      <c r="L517" s="6388" t="str">
        <v>réservez-la.</v>
      </c>
      <c r="M517" s="6332"/>
      <c r="N517" t="s">
        <v>21</v>
      </c>
      <c r="AV517" s="103"/>
      <c r="AW517" s="31"/>
      <c r="AX517" s="32"/>
      <c r="AY517" s="31"/>
      <c r="AZ517" s="33"/>
      <c r="BA517" s="1967"/>
      <c r="BB517" s="1805"/>
      <c r="BC517" s="91"/>
      <c r="BD517" s="1806"/>
      <c r="BE517" s="6401"/>
      <c r="BF517" s="6402"/>
      <c r="BG517" s="1969"/>
      <c r="BH517" s="6403"/>
      <c r="BI517" s="95"/>
      <c r="BJ517" s="1326"/>
      <c r="BK517" s="6404"/>
      <c r="BL517" s="1737"/>
      <c r="BM517" s="2081"/>
      <c r="BN517" s="2238"/>
      <c r="BO517" s="1809"/>
      <c r="BR517" s="3">
        <v>1</v>
      </c>
    </row>
    <row r="518" spans="2:70" ht="21" customHeight="1">
      <c r="B518" s="6236"/>
      <c r="C518" s="6358">
        <f t="shared" si="198"/>
        <v>150</v>
      </c>
      <c r="D518" s="6390" t="str" cm="1">
        <f t="array" ref="D518">IF(MOD(ROW()-50,14)=0,INDEX(D512:D525,MOD(ROW()-50,14)+1),E516)</f>
        <v/>
      </c>
      <c r="E518" s="6391" t="str">
        <f t="shared" si="199"/>
        <v/>
      </c>
      <c r="F518" s="6392" t="str">
        <f t="shared" si="200"/>
        <v/>
      </c>
      <c r="G518" s="6321"/>
      <c r="H518" s="6393" t="str">
        <f t="shared" si="201"/>
        <v/>
      </c>
      <c r="I518" s="6405"/>
      <c r="J518" s="6395" t="str">
        <f t="shared" si="202"/>
        <v/>
      </c>
      <c r="K518" s="6396" t="str">
        <f>IF(J518="","",LEFT(J518,IF(LEN(J518)&lt;=I515,LEN(J518),IFERROR(FIND("§",SUBSTITUTE(LEFT(J518,I515+1)," ","§",LEN(LEFT(J518,I515+1))-LEN(SUBSTITUTE(LEFT(J518,I515+1)," ",""))))-1,IFERROR(FIND(" ",J518,I515+1)-1,LEN(J518))))))</f>
        <v/>
      </c>
      <c r="L518" s="6388"/>
      <c r="M518" s="6332"/>
      <c r="N518" t="s">
        <v>21</v>
      </c>
      <c r="AV518" s="103"/>
      <c r="AW518" s="31"/>
      <c r="AX518" s="32"/>
      <c r="AY518" s="31"/>
      <c r="AZ518" s="33"/>
      <c r="BA518" s="1967"/>
      <c r="BB518" s="1805"/>
      <c r="BC518" s="91"/>
      <c r="BD518" s="1806"/>
      <c r="BE518" s="6401"/>
      <c r="BF518" s="6402"/>
      <c r="BG518" s="1969"/>
      <c r="BH518" s="6403"/>
      <c r="BI518" s="95"/>
      <c r="BJ518" s="1326"/>
      <c r="BK518" s="6404"/>
      <c r="BL518" s="1737"/>
      <c r="BM518" s="2081"/>
      <c r="BN518" s="2238"/>
      <c r="BO518" s="1809"/>
      <c r="BR518" s="3">
        <v>1</v>
      </c>
    </row>
    <row r="519" spans="2:70" ht="21" customHeight="1">
      <c r="B519" s="6236"/>
      <c r="C519" s="6358">
        <f t="shared" si="198"/>
        <v>150</v>
      </c>
      <c r="D519" s="6390" t="str" cm="1">
        <f t="array" ref="D519">IF(MOD(ROW()-50,14)=0,INDEX(D512:D525,MOD(ROW()-50,14)+1),E517)</f>
        <v/>
      </c>
      <c r="E519" s="6391" t="str">
        <f t="shared" si="199"/>
        <v/>
      </c>
      <c r="F519" s="6392" t="str">
        <f t="shared" si="200"/>
        <v/>
      </c>
      <c r="G519" s="6321"/>
      <c r="H519" s="6393" t="str">
        <f t="shared" si="201"/>
        <v/>
      </c>
      <c r="I519" s="6405"/>
      <c r="J519" s="6395" t="str">
        <f t="shared" si="202"/>
        <v/>
      </c>
      <c r="K519" s="6396" t="str">
        <f>IF(J519="","",LEFT(J519,IF(LEN(J519)&lt;=I515,LEN(J519),IFERROR(FIND("§",SUBSTITUTE(LEFT(J519,I515+1)," ","§",LEN(LEFT(J519,I515+1))-LEN(SUBSTITUTE(LEFT(J519,I515+1)," ",""))))-1,IFERROR(FIND(" ",J519,I515+1)-1,LEN(J519))))))</f>
        <v/>
      </c>
      <c r="L519" s="6388"/>
      <c r="M519" s="6332"/>
      <c r="N519" t="s">
        <v>21</v>
      </c>
      <c r="AV519" s="103"/>
      <c r="AW519" s="31"/>
      <c r="AX519" s="32"/>
      <c r="AY519" s="31"/>
      <c r="AZ519" s="33"/>
      <c r="BA519" s="1967"/>
      <c r="BB519" s="1805"/>
      <c r="BC519" s="91"/>
      <c r="BD519" s="1806"/>
      <c r="BE519" s="6401"/>
      <c r="BF519" s="6402"/>
      <c r="BG519" s="1969"/>
      <c r="BH519" s="6403"/>
      <c r="BI519" s="95"/>
      <c r="BJ519" s="1326"/>
      <c r="BK519" s="6404"/>
      <c r="BL519" s="1737"/>
      <c r="BM519" s="2081"/>
      <c r="BN519" s="2238"/>
      <c r="BO519" s="1809"/>
      <c r="BR519" s="3">
        <v>1</v>
      </c>
    </row>
    <row r="520" spans="2:70" ht="21" customHeight="1">
      <c r="B520" s="6236"/>
      <c r="C520" s="6358">
        <f t="shared" si="198"/>
        <v>150</v>
      </c>
      <c r="D520" s="6390" t="str" cm="1">
        <f t="array" ref="D520">IF(MOD(ROW()-50,14)=0,INDEX(D512:D525,MOD(ROW()-50,14)+1),E518)</f>
        <v/>
      </c>
      <c r="E520" s="6391" t="str">
        <f t="shared" si="199"/>
        <v/>
      </c>
      <c r="F520" s="6392" t="str">
        <f t="shared" si="200"/>
        <v/>
      </c>
      <c r="G520" s="6321"/>
      <c r="H520" s="6393" t="str">
        <f t="shared" si="201"/>
        <v/>
      </c>
      <c r="I520" s="6405"/>
      <c r="J520" s="6395" t="str">
        <f t="shared" si="202"/>
        <v/>
      </c>
      <c r="K520" s="6396" t="str">
        <f>IF(J520="","",LEFT(J520,IF(LEN(J520)&lt;=I515,LEN(J520),IFERROR(FIND("§",SUBSTITUTE(LEFT(J520,I515+1)," ","§",LEN(LEFT(J520,I515+1))-LEN(SUBSTITUTE(LEFT(J520,I515+1)," ",""))))-1,IFERROR(FIND(" ",J520,I515+1)-1,LEN(J520))))))</f>
        <v/>
      </c>
      <c r="L520" s="6388"/>
      <c r="M520" s="6332"/>
      <c r="N520" t="s">
        <v>21</v>
      </c>
      <c r="AV520" s="103"/>
      <c r="AW520" s="31"/>
      <c r="AX520" s="32"/>
      <c r="AY520" s="31"/>
      <c r="AZ520" s="33"/>
      <c r="BA520" s="1967"/>
      <c r="BB520" s="1805"/>
      <c r="BC520" s="91"/>
      <c r="BD520" s="1806"/>
      <c r="BE520" s="6401"/>
      <c r="BF520" s="6402"/>
      <c r="BG520" s="1969"/>
      <c r="BH520" s="6403"/>
      <c r="BI520" s="95"/>
      <c r="BJ520" s="1326"/>
      <c r="BK520" s="6404"/>
      <c r="BL520" s="1737"/>
      <c r="BM520" s="2081"/>
      <c r="BN520" s="2238"/>
      <c r="BO520" s="1809"/>
      <c r="BR520" s="3">
        <v>1</v>
      </c>
    </row>
    <row r="521" spans="2:70" ht="21" customHeight="1">
      <c r="B521" s="6236"/>
      <c r="C521" s="6358">
        <f t="shared" si="198"/>
        <v>150</v>
      </c>
      <c r="D521" s="6390" t="str" cm="1">
        <f t="array" ref="D521">IF(MOD(ROW()-50,14)=0,INDEX(D512:D525,MOD(ROW()-50,14)+1),E519)</f>
        <v/>
      </c>
      <c r="E521" s="6391" t="str">
        <f t="shared" si="199"/>
        <v/>
      </c>
      <c r="F521" s="6392" t="str">
        <f t="shared" si="200"/>
        <v/>
      </c>
      <c r="G521" s="6321"/>
      <c r="H521" s="6393" t="str">
        <f t="shared" si="201"/>
        <v/>
      </c>
      <c r="I521" s="6405"/>
      <c r="J521" s="6395" t="str">
        <f t="shared" si="202"/>
        <v/>
      </c>
      <c r="K521" s="6396" t="str">
        <f>IF(J521="","",LEFT(J521,IF(LEN(J521)&lt;=I515,LEN(J521),IFERROR(FIND("§",SUBSTITUTE(LEFT(J521,I515+1)," ","§",LEN(LEFT(J521,I515+1))-LEN(SUBSTITUTE(LEFT(J521,I515+1)," ",""))))-1,IFERROR(FIND(" ",J521,I515+1)-1,LEN(J521))))))</f>
        <v/>
      </c>
      <c r="L521" s="6388"/>
      <c r="M521" s="6332"/>
      <c r="N521" t="s">
        <v>21</v>
      </c>
      <c r="AV521" s="103"/>
      <c r="AW521" s="31"/>
      <c r="AX521" s="32"/>
      <c r="AY521" s="31"/>
      <c r="AZ521" s="33"/>
      <c r="BA521" s="1967"/>
      <c r="BB521" s="1805"/>
      <c r="BC521" s="91"/>
      <c r="BD521" s="1806"/>
      <c r="BE521" s="6401"/>
      <c r="BF521" s="6402"/>
      <c r="BG521" s="1969"/>
      <c r="BH521" s="6403"/>
      <c r="BI521" s="95"/>
      <c r="BJ521" s="1326"/>
      <c r="BK521" s="6404"/>
      <c r="BL521" s="1737"/>
      <c r="BM521" s="2081"/>
      <c r="BN521" s="2238"/>
      <c r="BO521" s="1809"/>
      <c r="BR521" s="3">
        <v>1</v>
      </c>
    </row>
    <row r="522" spans="2:70" ht="21" customHeight="1">
      <c r="B522" s="6236"/>
      <c r="C522" s="6358">
        <f t="shared" si="198"/>
        <v>150</v>
      </c>
      <c r="D522" s="6390" t="str" cm="1">
        <f t="array" ref="D522">IF(MOD(ROW()-50,14)=0,INDEX(D512:D525,MOD(ROW()-50,14)+1),E520)</f>
        <v/>
      </c>
      <c r="E522" s="6391" t="str">
        <f t="shared" si="199"/>
        <v/>
      </c>
      <c r="F522" s="6392" t="str">
        <f t="shared" si="200"/>
        <v/>
      </c>
      <c r="G522" s="6321"/>
      <c r="H522" s="6393" t="str">
        <f t="shared" si="201"/>
        <v/>
      </c>
      <c r="I522" s="6405"/>
      <c r="J522" s="6395" t="str">
        <f t="shared" si="202"/>
        <v/>
      </c>
      <c r="K522" s="6396" t="str">
        <f>IF(J522="","",LEFT(J522,IF(LEN(J522)&lt;=I515,LEN(J522),IFERROR(FIND("§",SUBSTITUTE(LEFT(J522,I515+1)," ","§",LEN(LEFT(J522,I515+1))-LEN(SUBSTITUTE(LEFT(J522,I515+1)," ",""))))-1,IFERROR(FIND(" ",J522,I515+1)-1,LEN(J522))))))</f>
        <v/>
      </c>
      <c r="L522" s="6388"/>
      <c r="M522" s="6332"/>
      <c r="N522" t="s">
        <v>21</v>
      </c>
      <c r="AV522" s="103"/>
      <c r="AW522" s="31"/>
      <c r="AX522" s="32"/>
      <c r="AY522" s="31"/>
      <c r="AZ522" s="33"/>
      <c r="BA522" s="1967"/>
      <c r="BB522" s="1805"/>
      <c r="BC522" s="91"/>
      <c r="BD522" s="1806"/>
      <c r="BE522" s="6401"/>
      <c r="BF522" s="6402"/>
      <c r="BG522" s="1969"/>
      <c r="BH522" s="6403"/>
      <c r="BI522" s="95"/>
      <c r="BJ522" s="1326"/>
      <c r="BK522" s="6404"/>
      <c r="BL522" s="1737"/>
      <c r="BM522" s="2081"/>
      <c r="BN522" s="2238"/>
      <c r="BO522" s="1809"/>
      <c r="BR522" s="3">
        <v>1</v>
      </c>
    </row>
    <row r="523" spans="2:70" ht="21" customHeight="1">
      <c r="B523" s="6236"/>
      <c r="C523" s="6358">
        <f t="shared" si="198"/>
        <v>150</v>
      </c>
      <c r="D523" s="6390" t="str" cm="1">
        <f t="array" ref="D523">IF(MOD(ROW()-50,14)=0,INDEX(D512:D525,MOD(ROW()-50,14)+1),E521)</f>
        <v/>
      </c>
      <c r="E523" s="6391" t="str">
        <f t="shared" si="199"/>
        <v/>
      </c>
      <c r="F523" s="6392" t="str">
        <f t="shared" si="200"/>
        <v/>
      </c>
      <c r="G523" s="6321"/>
      <c r="H523" s="6393" t="str">
        <f t="shared" si="201"/>
        <v/>
      </c>
      <c r="I523" s="6405"/>
      <c r="J523" s="6395" t="str">
        <f t="shared" si="202"/>
        <v/>
      </c>
      <c r="K523" s="6396" t="str">
        <f>IF(J523="","",LEFT(J523,IF(LEN(J523)&lt;=I515,LEN(J523),IFERROR(FIND("§",SUBSTITUTE(LEFT(J523,I515+1)," ","§",LEN(LEFT(J523,I515+1))-LEN(SUBSTITUTE(LEFT(J523,I515+1)," ",""))))-1,IFERROR(FIND(" ",J523,I515+1)-1,LEN(J523))))))</f>
        <v/>
      </c>
      <c r="L523" s="6388"/>
      <c r="M523" s="6332"/>
      <c r="N523" t="s">
        <v>21</v>
      </c>
      <c r="AV523" s="103"/>
      <c r="AW523" s="31"/>
      <c r="AX523" s="32"/>
      <c r="AY523" s="31"/>
      <c r="AZ523" s="33"/>
      <c r="BA523" s="1967"/>
      <c r="BB523" s="1805"/>
      <c r="BC523" s="91"/>
      <c r="BD523" s="1806"/>
      <c r="BE523" s="6401"/>
      <c r="BF523" s="6402"/>
      <c r="BG523" s="1969"/>
      <c r="BH523" s="6403"/>
      <c r="BI523" s="95"/>
      <c r="BJ523" s="1326"/>
      <c r="BK523" s="6404"/>
      <c r="BL523" s="1737"/>
      <c r="BM523" s="2081"/>
      <c r="BN523" s="2238"/>
      <c r="BO523" s="1809"/>
      <c r="BR523" s="3">
        <v>1</v>
      </c>
    </row>
    <row r="524" spans="2:70" ht="21" customHeight="1">
      <c r="B524" s="6236"/>
      <c r="C524" s="6358">
        <f t="shared" si="198"/>
        <v>150</v>
      </c>
      <c r="D524" s="6390" t="str" cm="1">
        <f t="array" ref="D524">IF(MOD(ROW()-50,14)=0,INDEX(D512:D525,MOD(ROW()-50,14)+1),E522)</f>
        <v/>
      </c>
      <c r="E524" s="6391" t="str">
        <f t="shared" si="199"/>
        <v/>
      </c>
      <c r="F524" s="6392" t="str">
        <f t="shared" si="200"/>
        <v/>
      </c>
      <c r="G524" s="6321"/>
      <c r="H524" s="6393" t="str">
        <f t="shared" si="201"/>
        <v/>
      </c>
      <c r="I524" s="6405"/>
      <c r="J524" s="6395" t="str">
        <f t="shared" si="202"/>
        <v/>
      </c>
      <c r="K524" s="6396" t="str">
        <f>IF(J524="","",LEFT(J524,IF(LEN(J524)&lt;=I515,LEN(J524),IFERROR(FIND("§",SUBSTITUTE(LEFT(J524,I515+1)," ","§",LEN(LEFT(J524,I515+1))-LEN(SUBSTITUTE(LEFT(J524,I515+1)," ",""))))-1,IFERROR(FIND(" ",J524,I515+1)-1,LEN(J524))))))</f>
        <v/>
      </c>
      <c r="L524" s="6396"/>
      <c r="M524" s="6332"/>
      <c r="N524" t="s">
        <v>21</v>
      </c>
      <c r="AV524" s="103"/>
      <c r="AW524" s="31"/>
      <c r="AX524" s="32"/>
      <c r="AY524" s="31"/>
      <c r="AZ524" s="33"/>
      <c r="BA524" s="1967"/>
      <c r="BB524" s="1805"/>
      <c r="BC524" s="91"/>
      <c r="BD524" s="1806"/>
      <c r="BE524" s="6401"/>
      <c r="BF524" s="6402"/>
      <c r="BG524" s="1969"/>
      <c r="BH524" s="6403"/>
      <c r="BI524" s="95"/>
      <c r="BJ524" s="1326"/>
      <c r="BK524" s="6404"/>
      <c r="BL524" s="1737"/>
      <c r="BM524" s="2081"/>
      <c r="BN524" s="2238"/>
      <c r="BO524" s="1809"/>
      <c r="BR524" s="3">
        <v>1</v>
      </c>
    </row>
    <row r="525" spans="2:70" ht="21" customHeight="1">
      <c r="B525" s="6236"/>
      <c r="C525" s="6376">
        <f t="shared" si="198"/>
        <v>150</v>
      </c>
      <c r="D525" s="6406" t="str" cm="1">
        <f t="array" ref="D525">IF(MOD(ROW()-50,14)=0,INDEX(D512:D525,MOD(ROW()-50,14)+1),E523)</f>
        <v/>
      </c>
      <c r="E525" s="6407" t="str">
        <f t="shared" si="199"/>
        <v/>
      </c>
      <c r="F525" s="6408" t="str">
        <f t="shared" si="200"/>
        <v/>
      </c>
      <c r="G525" s="6322"/>
      <c r="H525" s="6409" t="str">
        <f t="shared" si="201"/>
        <v/>
      </c>
      <c r="I525" s="6410"/>
      <c r="J525" s="6411" t="str">
        <f t="shared" si="202"/>
        <v/>
      </c>
      <c r="K525" s="6412" t="str">
        <f>IF(J525="","",LEFT(J525,IF(LEN(J525)&lt;=I515,LEN(J525),IFERROR(FIND("§",SUBSTITUTE(LEFT(J525,I515+1)," ","§",LEN(LEFT(J525,I515+1))-LEN(SUBSTITUTE(LEFT(J525,I515+1)," ",""))))-1,IFERROR(FIND(" ",J525,I515+1)-1,LEN(J525))))))</f>
        <v/>
      </c>
      <c r="L525" s="6413"/>
      <c r="M525" s="6333"/>
      <c r="N525" t="s">
        <v>21</v>
      </c>
      <c r="AV525" s="103"/>
      <c r="AW525" s="31"/>
      <c r="AX525" s="32"/>
      <c r="AY525" s="31"/>
      <c r="AZ525" s="33"/>
      <c r="BA525" s="1967"/>
      <c r="BB525" s="1805"/>
      <c r="BC525" s="91"/>
      <c r="BD525" s="1806"/>
      <c r="BE525" s="6401"/>
      <c r="BF525" s="6402"/>
      <c r="BG525" s="1969"/>
      <c r="BH525" s="6403"/>
      <c r="BI525" s="95"/>
      <c r="BJ525" s="1326"/>
      <c r="BK525" s="6404"/>
      <c r="BL525" s="1737"/>
      <c r="BM525" s="2081"/>
      <c r="BN525" s="2238"/>
      <c r="BO525" s="1809"/>
      <c r="BR525" s="3">
        <v>1</v>
      </c>
    </row>
    <row r="526" spans="2:70" ht="21" customHeight="1">
      <c r="B526" s="6236"/>
      <c r="C526" s="6313">
        <f>AD84</f>
        <v>150</v>
      </c>
      <c r="D526" s="6314" t="str">
        <f>IF(UPPER(TRIM(X45))="X",U84,O84)</f>
        <v>35.TEST LIGNE 19 colonne Q et ligne 20 colonne P. rechercher la cellule qui coupe le texte Dans la cocotte N°3 en fonte, faites chauffer l’huile d’olive à feu moyen. Ajoutez la viande et faites-la dorer de tous les côtés. Retirez-la de la cocotte et réservez-la.</v>
      </c>
      <c r="E526" s="6315" t="str">
        <f>IF(D526="","",IF(F526="","",IF(LEN(F526)&gt;=LEN(D526),"",TRIM(MID(D526,LEN(F526)+1,99999)))))</f>
        <v>d’olive à feu moyen. Ajoutez la viande et faites-la dorer de tous les côtés. Retirez-la de la cocotte et réservez-la.</v>
      </c>
      <c r="F526" s="6316" t="str">
        <f>IF(D526="","",IF(LEN(D526)&lt;=C526,D526,IFERROR(LEFT(D526,FIND("§",SUBSTITUTE(LEFT(D526,C526+1)," ","§",LEN(LEFT(D526,C526+1))-LEN(SUBSTITUTE(LEFT(D526,C526+1)," ",""))))-1),LEFT(D526,C526))))</f>
        <v>35.TEST LIGNE 19 colonne Q et ligne 20 colonne P. rechercher la cellule qui coupe le texte Dans la cocotte N°3 en fonte, faites chauffer l’huile</v>
      </c>
      <c r="G526" s="6317"/>
      <c r="H526" s="6323">
        <f>IF(LEN(TRIM(L526))&gt;0,MAX(H525:H525)+1,"")</f>
        <v>1</v>
      </c>
      <c r="I526" s="6324" t="str">
        <f>D526</f>
        <v>35.TEST LIGNE 19 colonne Q et ligne 20 colonne P. rechercher la cellule qui coupe le texte Dans la cocotte N°3 en fonte, faites chauffer l’huile d’olive à feu moyen. Ajoutez la viande et faites-la dorer de tous les côtés. Retirez-la de la cocotte et réservez-la.</v>
      </c>
      <c r="J526" s="6325" t="str">
        <f>IF(I526=0,"",I526)</f>
        <v>35.TEST LIGNE 19 colonne Q et ligne 20 colonne P. rechercher la cellule qui coupe le texte Dans la cocotte N°3 en fonte, faites chauffer l’huile d’olive à feu moyen. Ajoutez la viande et faites-la dorer de tous les côtés. Retirez-la de la cocotte et réservez-la.</v>
      </c>
      <c r="K526" s="6326" t="str">
        <f>IF(I526="","",LEFT(I526,IF(LEN(I526)&lt;=I529,LEN(I526),IFERROR(FIND("§",SUBSTITUTE(LEFT(I526,I529+1)," ","§",LEN(LEFT(I526,I529+1))-LEN(SUBSTITUTE(LEFT(I526,I529+1)," ",""))))-1,IFERROR(FIND(" ",I526,I529+1)-1,LEN(I526))))))</f>
        <v>35.TEST LIGNE 19 colonne Q et ligne 20 colonne P.</v>
      </c>
      <c r="L526" s="6326" t="str" cm="1">
        <f t="array" ref="L526:L531">_xlfn._xlws.FILTER(TRIM(SUBSTITUTE(SUBSTITUTE(SUBSTITUTE(SUBSTITUTE(SUBSTITUTE(CLEAN(K526:K539),CHAR(160)," "),_xlfn.UNICHAR(8239)," "),CHAR(9)," "),CHAR(10)," "),CHAR(13)," ")),TRIM(SUBSTITUTE(SUBSTITUTE(SUBSTITUTE(SUBSTITUTE(SUBSTITUTE(CLEAN(K526:K539),CHAR(160)," "),_xlfn.UNICHAR(8239)," "),CHAR(9)," "),CHAR(10)," "),CHAR(13)," "))&lt;&gt;"")</f>
        <v>35.TEST LIGNE 19 colonne Q et ligne 20 colonne P.</v>
      </c>
      <c r="M526" s="6328"/>
      <c r="N526" t="s">
        <v>21</v>
      </c>
      <c r="AV526" s="103"/>
      <c r="AW526" s="31"/>
      <c r="AX526" s="32"/>
      <c r="AY526" s="31"/>
      <c r="AZ526" s="33"/>
      <c r="BA526" s="1967"/>
      <c r="BB526" s="1805"/>
      <c r="BC526" s="91"/>
      <c r="BD526" s="1806"/>
      <c r="BE526" s="6401"/>
      <c r="BF526" s="6402"/>
      <c r="BG526" s="1969"/>
      <c r="BH526" s="6403"/>
      <c r="BI526" s="95"/>
      <c r="BJ526" s="1326"/>
      <c r="BK526" s="6404"/>
      <c r="BL526" s="1737"/>
      <c r="BM526" s="2081"/>
      <c r="BN526" s="2238"/>
      <c r="BO526" s="1809"/>
      <c r="BR526" s="3">
        <v>1</v>
      </c>
    </row>
    <row r="527" spans="2:70" ht="21" customHeight="1">
      <c r="B527" s="6236"/>
      <c r="C527" s="6358">
        <f t="shared" ref="C527:C539" si="203">C526</f>
        <v>150</v>
      </c>
      <c r="D527" s="6359" t="str" cm="1">
        <f t="array" ref="D527">IF(MOD(ROW()-50,14)=0,INDEX(D526:D539,MOD(ROW()-50,14)+1),E525)</f>
        <v/>
      </c>
      <c r="E527" s="6360" t="str">
        <f t="shared" ref="E527:E539" si="204">IF(D527="","",IF(F527="","",IF(LEN(F527)&gt;=LEN(D527),"",TRIM(MID(D527,LEN(F527)+1,99999)))))</f>
        <v/>
      </c>
      <c r="F527" s="6361" t="str">
        <f t="shared" ref="F527:F539" si="205">IF(D527="","",IF(LEN(D527)&lt;=C527,D527,IFERROR(LEFT(D527,FIND("§",SUBSTITUTE(LEFT(D527,C527+1)," ","§",LEN(LEFT(D527,C527+1))-LEN(SUBSTITUTE(LEFT(D527,C527+1)," ",""))))-1),LEFT(D527,C527))))</f>
        <v/>
      </c>
      <c r="G527" s="6318"/>
      <c r="H527" s="6323">
        <f t="shared" ref="H527:H539" si="206">IF(LEN(TRIM(L527))&gt;0,MAX(H526:H526)+1,"")</f>
        <v>2</v>
      </c>
      <c r="I527" s="6362" t="s">
        <v>14355</v>
      </c>
      <c r="J527" s="6363" t="str">
        <f>TRIM(MID(I530,LEN(K526)+1,99999))</f>
        <v>rechercher la cellule qui coupe le texte Dans la cocotte N°3 en fonte, faites chauffer l’huile d’olive à feu moyen. Ajoutez la viande et faites-la dorer de tous les côtés. Retirez-la de la cocotte et réservez-la.</v>
      </c>
      <c r="K527" s="6364" t="str">
        <f>IF(J527="","",LEFT(J527,IF(LEN(J527)&lt;=I529,LEN(J527),IFERROR(FIND("§",SUBSTITUTE(LEFT(J527,I529+1)," ","§",LEN(LEFT(J527,I529+1))-LEN(SUBSTITUTE(LEFT(J527,I529+1)," ",""))))-1,IFERROR(FIND(" ",J527,I529+1)-1,LEN(J527))))))</f>
        <v>rechercher la cellule qui coupe le texte Dans la</v>
      </c>
      <c r="L527" s="6327" t="str">
        <v>rechercher la cellule qui coupe le texte Dans la</v>
      </c>
      <c r="M527" s="6329"/>
      <c r="N527" t="s">
        <v>21</v>
      </c>
      <c r="AV527" s="103"/>
      <c r="AW527" s="31"/>
      <c r="AX527" s="32"/>
      <c r="AY527" s="31"/>
      <c r="AZ527" s="33"/>
      <c r="BA527" s="1967"/>
      <c r="BB527" s="1805"/>
      <c r="BC527" s="91"/>
      <c r="BD527" s="1806"/>
      <c r="BE527" s="6401"/>
      <c r="BF527" s="6402"/>
      <c r="BG527" s="1969"/>
      <c r="BH527" s="6403"/>
      <c r="BI527" s="95"/>
      <c r="BJ527" s="1326"/>
      <c r="BK527" s="6404"/>
      <c r="BL527" s="1737"/>
      <c r="BM527" s="2081"/>
      <c r="BN527" s="2238"/>
      <c r="BO527" s="1809"/>
      <c r="BR527" s="3">
        <v>1</v>
      </c>
    </row>
    <row r="528" spans="2:70" ht="21" customHeight="1">
      <c r="B528" s="6236"/>
      <c r="C528" s="6358">
        <f t="shared" si="203"/>
        <v>150</v>
      </c>
      <c r="D528" s="6359" t="str" cm="1">
        <f t="array" ref="D528">IF(MOD(ROW()-50,14)=0,INDEX(D526:D539,MOD(ROW()-50,14)+1),E526)</f>
        <v>d’olive à feu moyen. Ajoutez la viande et faites-la dorer de tous les côtés. Retirez-la de la cocotte et réservez-la.</v>
      </c>
      <c r="E528" s="6360" t="str">
        <f t="shared" si="204"/>
        <v/>
      </c>
      <c r="F528" s="6361" t="str">
        <f t="shared" si="205"/>
        <v>d’olive à feu moyen. Ajoutez la viande et faites-la dorer de tous les côtés. Retirez-la de la cocotte et réservez-la.</v>
      </c>
      <c r="G528" s="6318"/>
      <c r="H528" s="6323">
        <f t="shared" si="206"/>
        <v>3</v>
      </c>
      <c r="I528" s="6365">
        <f>Z84</f>
        <v>5</v>
      </c>
      <c r="J528" s="6363" t="str">
        <f t="shared" ref="J528:J539" si="207">TRIM(MID(J527,LEN(K527)+1,99999))</f>
        <v>cocotte N°3 en fonte, faites chauffer l’huile d’olive à feu moyen. Ajoutez la viande et faites-la dorer de tous les côtés. Retirez-la de la cocotte et réservez-la.</v>
      </c>
      <c r="K528" s="6364" t="str">
        <f>IF(J528="","",LEFT(J528,IF(LEN(J528)&lt;=I529,LEN(J528),IFERROR(FIND("§",SUBSTITUTE(LEFT(J528,I529+1)," ","§",LEN(LEFT(J528,I529+1))-LEN(SUBSTITUTE(LEFT(J528,I529+1)," ",""))))-1,IFERROR(FIND(" ",J528,I529+1)-1,LEN(J528))))))</f>
        <v>cocotte N°3 en fonte, faites chauffer l’huile d’olive</v>
      </c>
      <c r="L528" s="6327" t="str">
        <v>cocotte N°3 en fonte, faites chauffer l’huile d’olive</v>
      </c>
      <c r="M528" s="6329"/>
      <c r="N528" t="s">
        <v>21</v>
      </c>
      <c r="AV528" s="103"/>
      <c r="AW528" s="31"/>
      <c r="AX528" s="32"/>
      <c r="AY528" s="31"/>
      <c r="AZ528" s="33"/>
      <c r="BA528" s="1967"/>
      <c r="BB528" s="1805"/>
      <c r="BC528" s="91"/>
      <c r="BD528" s="1806"/>
      <c r="BE528" s="6401"/>
      <c r="BF528" s="6402"/>
      <c r="BG528" s="1969"/>
      <c r="BH528" s="6403"/>
      <c r="BI528" s="95"/>
      <c r="BJ528" s="1326"/>
      <c r="BK528" s="6404"/>
      <c r="BL528" s="1737"/>
      <c r="BM528" s="2081"/>
      <c r="BN528" s="2238"/>
      <c r="BO528" s="1809"/>
      <c r="BR528" s="3">
        <v>1</v>
      </c>
    </row>
    <row r="529" spans="2:70" ht="21" customHeight="1">
      <c r="B529" s="6236"/>
      <c r="C529" s="6358">
        <f t="shared" si="203"/>
        <v>150</v>
      </c>
      <c r="D529" s="6359" t="str" cm="1">
        <f t="array" ref="D529">IF(MOD(ROW()-50,14)=0,INDEX(D526:D539,MOD(ROW()-50,14)+1),E527)</f>
        <v/>
      </c>
      <c r="E529" s="6360" t="str">
        <f t="shared" si="204"/>
        <v/>
      </c>
      <c r="F529" s="6361" t="str">
        <f t="shared" si="205"/>
        <v/>
      </c>
      <c r="G529" s="6318"/>
      <c r="H529" s="6323">
        <f t="shared" si="206"/>
        <v>4</v>
      </c>
      <c r="I529" s="6370">
        <f>IF(OR(J526="",I528="",I528&lt;=0),"",ROUNDUP(LEN(J526)/I528,0))</f>
        <v>53</v>
      </c>
      <c r="J529" s="6363" t="str">
        <f t="shared" si="207"/>
        <v>à feu moyen. Ajoutez la viande et faites-la dorer de tous les côtés. Retirez-la de la cocotte et réservez-la.</v>
      </c>
      <c r="K529" s="6364" t="str">
        <f>IF(J529="","",LEFT(J529,IF(LEN(J529)&lt;=I529,LEN(J529),IFERROR(FIND("§",SUBSTITUTE(LEFT(J529,I529+1)," ","§",LEN(LEFT(J529,I529+1))-LEN(SUBSTITUTE(LEFT(J529,I529+1)," ",""))))-1,IFERROR(FIND(" ",J529,I529+1)-1,LEN(J529))))))</f>
        <v>à feu moyen. Ajoutez la viande et faites-la dorer de</v>
      </c>
      <c r="L529" s="6327" t="str">
        <v>à feu moyen. Ajoutez la viande et faites-la dorer de</v>
      </c>
      <c r="M529" s="6329"/>
      <c r="N529" t="s">
        <v>21</v>
      </c>
      <c r="AV529" s="103"/>
      <c r="AW529" s="31"/>
      <c r="AX529" s="32"/>
      <c r="AY529" s="31"/>
      <c r="AZ529" s="33"/>
      <c r="BA529" s="1967"/>
      <c r="BB529" s="1805"/>
      <c r="BC529" s="91"/>
      <c r="BD529" s="1806"/>
      <c r="BE529" s="6401"/>
      <c r="BF529" s="6402"/>
      <c r="BG529" s="1969"/>
      <c r="BH529" s="6403"/>
      <c r="BI529" s="95"/>
      <c r="BJ529" s="1326"/>
      <c r="BK529" s="6404"/>
      <c r="BL529" s="1737"/>
      <c r="BM529" s="2081"/>
      <c r="BN529" s="2238"/>
      <c r="BO529" s="1809"/>
      <c r="BR529" s="3">
        <v>1</v>
      </c>
    </row>
    <row r="530" spans="2:70" ht="21" customHeight="1">
      <c r="B530" s="6236"/>
      <c r="C530" s="6358">
        <f t="shared" si="203"/>
        <v>150</v>
      </c>
      <c r="D530" s="6359" t="str" cm="1">
        <f t="array" ref="D530">IF(MOD(ROW()-50,14)=0,INDEX(D526:D539,MOD(ROW()-50,14)+1),E528)</f>
        <v/>
      </c>
      <c r="E530" s="6360" t="str">
        <f t="shared" si="204"/>
        <v/>
      </c>
      <c r="F530" s="6361" t="str">
        <f t="shared" si="205"/>
        <v/>
      </c>
      <c r="G530" s="6318"/>
      <c r="H530" s="6323">
        <f t="shared" si="206"/>
        <v>5</v>
      </c>
      <c r="I530" s="6372" t="str">
        <f>I526</f>
        <v>35.TEST LIGNE 19 colonne Q et ligne 20 colonne P. rechercher la cellule qui coupe le texte Dans la cocotte N°3 en fonte, faites chauffer l’huile d’olive à feu moyen. Ajoutez la viande et faites-la dorer de tous les côtés. Retirez-la de la cocotte et réservez-la.</v>
      </c>
      <c r="J530" s="6363" t="str">
        <f t="shared" si="207"/>
        <v>tous les côtés. Retirez-la de la cocotte et réservez-la.</v>
      </c>
      <c r="K530" s="6364" t="str">
        <f>IF(J530="","",LEFT(J530,IF(LEN(J530)&lt;=I529,LEN(J530),IFERROR(FIND("§",SUBSTITUTE(LEFT(J530,I529+1)," ","§",LEN(LEFT(J530,I529+1))-LEN(SUBSTITUTE(LEFT(J530,I529+1)," ",""))))-1,IFERROR(FIND(" ",J530,I529+1)-1,LEN(J530))))))</f>
        <v>tous les côtés. Retirez-la de la cocotte et</v>
      </c>
      <c r="L530" s="6327" t="str">
        <v>tous les côtés. Retirez-la de la cocotte et</v>
      </c>
      <c r="M530" s="6329"/>
      <c r="N530" t="s">
        <v>21</v>
      </c>
      <c r="AV530" s="103"/>
      <c r="AW530" s="31"/>
      <c r="AX530" s="32"/>
      <c r="AY530" s="31"/>
      <c r="AZ530" s="33"/>
      <c r="BA530" s="1967"/>
      <c r="BB530" s="1805"/>
      <c r="BC530" s="91"/>
      <c r="BD530" s="1806"/>
      <c r="BE530" s="6401"/>
      <c r="BF530" s="6402"/>
      <c r="BG530" s="1969"/>
      <c r="BH530" s="6403"/>
      <c r="BI530" s="95"/>
      <c r="BJ530" s="1326"/>
      <c r="BK530" s="6404"/>
      <c r="BL530" s="1737"/>
      <c r="BM530" s="2081"/>
      <c r="BN530" s="2238"/>
      <c r="BO530" s="1809"/>
      <c r="BR530" s="3">
        <v>1</v>
      </c>
    </row>
    <row r="531" spans="2:70" ht="21" customHeight="1">
      <c r="B531" s="6236"/>
      <c r="C531" s="6358">
        <f t="shared" si="203"/>
        <v>150</v>
      </c>
      <c r="D531" s="6359" t="str" cm="1">
        <f t="array" ref="D531">IF(MOD(ROW()-50,14)=0,INDEX(D526:D539,MOD(ROW()-50,14)+1),E529)</f>
        <v/>
      </c>
      <c r="E531" s="6360" t="str">
        <f t="shared" si="204"/>
        <v/>
      </c>
      <c r="F531" s="6361" t="str">
        <f t="shared" si="205"/>
        <v/>
      </c>
      <c r="G531" s="6318"/>
      <c r="H531" s="6323">
        <f t="shared" si="206"/>
        <v>6</v>
      </c>
      <c r="I531" s="6373"/>
      <c r="J531" s="6363" t="str">
        <f t="shared" si="207"/>
        <v>réservez-la.</v>
      </c>
      <c r="K531" s="6364" t="str">
        <f>IF(J531="","",LEFT(J531,IF(LEN(J531)&lt;=I529,LEN(J531),IFERROR(FIND("§",SUBSTITUTE(LEFT(J531,I529+1)," ","§",LEN(LEFT(J531,I529+1))-LEN(SUBSTITUTE(LEFT(J531,I529+1)," ",""))))-1,IFERROR(FIND(" ",J531,I529+1)-1,LEN(J531))))))</f>
        <v>réservez-la.</v>
      </c>
      <c r="L531" s="6327" t="str">
        <v>réservez-la.</v>
      </c>
      <c r="M531" s="6329"/>
      <c r="N531" t="s">
        <v>21</v>
      </c>
      <c r="AV531" s="103"/>
      <c r="AW531" s="31"/>
      <c r="AX531" s="32"/>
      <c r="AY531" s="31"/>
      <c r="AZ531" s="33"/>
      <c r="BA531" s="1967"/>
      <c r="BB531" s="1805"/>
      <c r="BC531" s="91"/>
      <c r="BD531" s="1806"/>
      <c r="BE531" s="6401"/>
      <c r="BF531" s="6402"/>
      <c r="BG531" s="1969"/>
      <c r="BH531" s="6403"/>
      <c r="BI531" s="95"/>
      <c r="BJ531" s="1326"/>
      <c r="BK531" s="6404"/>
      <c r="BL531" s="1737"/>
      <c r="BM531" s="2081"/>
      <c r="BN531" s="2238"/>
      <c r="BO531" s="1809"/>
      <c r="BR531" s="3">
        <v>1</v>
      </c>
    </row>
    <row r="532" spans="2:70" ht="21" customHeight="1">
      <c r="B532" s="6236"/>
      <c r="C532" s="6358">
        <f t="shared" si="203"/>
        <v>150</v>
      </c>
      <c r="D532" s="6359" t="str" cm="1">
        <f t="array" ref="D532">IF(MOD(ROW()-50,14)=0,INDEX(D526:D539,MOD(ROW()-50,14)+1),E530)</f>
        <v/>
      </c>
      <c r="E532" s="6360" t="str">
        <f t="shared" si="204"/>
        <v/>
      </c>
      <c r="F532" s="6361" t="str">
        <f t="shared" si="205"/>
        <v/>
      </c>
      <c r="G532" s="6318"/>
      <c r="H532" s="6323" t="str">
        <f t="shared" si="206"/>
        <v/>
      </c>
      <c r="I532" s="6373"/>
      <c r="J532" s="6363" t="str">
        <f t="shared" si="207"/>
        <v/>
      </c>
      <c r="K532" s="6364" t="str">
        <f>IF(J532="","",LEFT(J532,IF(LEN(J532)&lt;=I529,LEN(J532),IFERROR(FIND("§",SUBSTITUTE(LEFT(J532,I529+1)," ","§",LEN(LEFT(J532,I529+1))-LEN(SUBSTITUTE(LEFT(J532,I529+1)," ",""))))-1,IFERROR(FIND(" ",J532,I529+1)-1,LEN(J532))))))</f>
        <v/>
      </c>
      <c r="L532" s="6327"/>
      <c r="M532" s="6329"/>
      <c r="N532" t="s">
        <v>21</v>
      </c>
      <c r="AV532" s="103"/>
      <c r="AW532" s="31"/>
      <c r="AX532" s="32"/>
      <c r="AY532" s="31"/>
      <c r="AZ532" s="33"/>
      <c r="BA532" s="1967"/>
      <c r="BB532" s="1805"/>
      <c r="BC532" s="91"/>
      <c r="BD532" s="1806"/>
      <c r="BE532" s="6401"/>
      <c r="BF532" s="6402"/>
      <c r="BG532" s="1969"/>
      <c r="BH532" s="6403"/>
      <c r="BI532" s="95"/>
      <c r="BJ532" s="1326"/>
      <c r="BK532" s="6404"/>
      <c r="BL532" s="1737"/>
      <c r="BM532" s="2081"/>
      <c r="BN532" s="2238"/>
      <c r="BO532" s="1809"/>
      <c r="BR532" s="3">
        <v>1</v>
      </c>
    </row>
    <row r="533" spans="2:70" ht="21" customHeight="1">
      <c r="B533" s="6236"/>
      <c r="C533" s="6358">
        <f t="shared" si="203"/>
        <v>150</v>
      </c>
      <c r="D533" s="6359" t="str" cm="1">
        <f t="array" ref="D533">IF(MOD(ROW()-50,14)=0,INDEX(D526:D539,MOD(ROW()-50,14)+1),E531)</f>
        <v/>
      </c>
      <c r="E533" s="6360" t="str">
        <f t="shared" si="204"/>
        <v/>
      </c>
      <c r="F533" s="6361" t="str">
        <f t="shared" si="205"/>
        <v/>
      </c>
      <c r="G533" s="6318"/>
      <c r="H533" s="6323" t="str">
        <f t="shared" si="206"/>
        <v/>
      </c>
      <c r="I533" s="6373"/>
      <c r="J533" s="6363" t="str">
        <f t="shared" si="207"/>
        <v/>
      </c>
      <c r="K533" s="6364" t="str">
        <f>IF(J533="","",LEFT(J533,IF(LEN(J533)&lt;=I529,LEN(J533),IFERROR(FIND("§",SUBSTITUTE(LEFT(J533,I529+1)," ","§",LEN(LEFT(J533,I529+1))-LEN(SUBSTITUTE(LEFT(J533,I529+1)," ",""))))-1,IFERROR(FIND(" ",J533,I529+1)-1,LEN(J533))))))</f>
        <v/>
      </c>
      <c r="L533" s="6327"/>
      <c r="M533" s="6329"/>
      <c r="N533" t="s">
        <v>21</v>
      </c>
      <c r="AV533" s="103"/>
      <c r="AW533" s="31"/>
      <c r="AX533" s="32"/>
      <c r="AY533" s="31"/>
      <c r="AZ533" s="33"/>
      <c r="BA533" s="1967"/>
      <c r="BB533" s="1805"/>
      <c r="BC533" s="91"/>
      <c r="BD533" s="1806"/>
      <c r="BE533" s="6401"/>
      <c r="BF533" s="6402"/>
      <c r="BG533" s="1969"/>
      <c r="BH533" s="6403"/>
      <c r="BI533" s="95"/>
      <c r="BJ533" s="1326"/>
      <c r="BK533" s="6404"/>
      <c r="BL533" s="1737"/>
      <c r="BM533" s="2081"/>
      <c r="BN533" s="2238"/>
      <c r="BO533" s="1809"/>
      <c r="BR533" s="3">
        <v>1</v>
      </c>
    </row>
    <row r="534" spans="2:70" ht="21" customHeight="1">
      <c r="B534" s="6236"/>
      <c r="C534" s="6358">
        <f t="shared" si="203"/>
        <v>150</v>
      </c>
      <c r="D534" s="6359" t="str" cm="1">
        <f t="array" ref="D534">IF(MOD(ROW()-50,14)=0,INDEX(D526:D539,MOD(ROW()-50,14)+1),E532)</f>
        <v/>
      </c>
      <c r="E534" s="6360" t="str">
        <f t="shared" si="204"/>
        <v/>
      </c>
      <c r="F534" s="6361" t="str">
        <f t="shared" si="205"/>
        <v/>
      </c>
      <c r="G534" s="6318"/>
      <c r="H534" s="6323" t="str">
        <f t="shared" si="206"/>
        <v/>
      </c>
      <c r="I534" s="6373"/>
      <c r="J534" s="6363" t="str">
        <f t="shared" si="207"/>
        <v/>
      </c>
      <c r="K534" s="6364" t="str">
        <f>IF(J534="","",LEFT(J534,IF(LEN(J534)&lt;=I529,LEN(J534),IFERROR(FIND("§",SUBSTITUTE(LEFT(J534,I529+1)," ","§",LEN(LEFT(J534,I529+1))-LEN(SUBSTITUTE(LEFT(J534,I529+1)," ",""))))-1,IFERROR(FIND(" ",J534,I529+1)-1,LEN(J534))))))</f>
        <v/>
      </c>
      <c r="L534" s="6327"/>
      <c r="M534" s="6329"/>
      <c r="N534" t="s">
        <v>21</v>
      </c>
      <c r="AV534" s="103"/>
      <c r="AW534" s="31"/>
      <c r="AX534" s="32"/>
      <c r="AY534" s="31"/>
      <c r="AZ534" s="33"/>
      <c r="BA534" s="1967"/>
      <c r="BB534" s="1805"/>
      <c r="BC534" s="91"/>
      <c r="BD534" s="1806"/>
      <c r="BE534" s="6401"/>
      <c r="BF534" s="6402"/>
      <c r="BG534" s="1969"/>
      <c r="BH534" s="6403"/>
      <c r="BI534" s="95"/>
      <c r="BJ534" s="1326"/>
      <c r="BK534" s="6404"/>
      <c r="BL534" s="1737"/>
      <c r="BM534" s="2081"/>
      <c r="BN534" s="2238"/>
      <c r="BO534" s="1809"/>
      <c r="BR534" s="3">
        <v>1</v>
      </c>
    </row>
    <row r="535" spans="2:70" ht="21" customHeight="1">
      <c r="B535" s="6236"/>
      <c r="C535" s="6358">
        <f t="shared" si="203"/>
        <v>150</v>
      </c>
      <c r="D535" s="6359" t="str" cm="1">
        <f t="array" ref="D535">IF(MOD(ROW()-50,14)=0,INDEX(D526:D539,MOD(ROW()-50,14)+1),E533)</f>
        <v/>
      </c>
      <c r="E535" s="6360" t="str">
        <f t="shared" si="204"/>
        <v/>
      </c>
      <c r="F535" s="6361" t="str">
        <f t="shared" si="205"/>
        <v/>
      </c>
      <c r="G535" s="6318"/>
      <c r="H535" s="6323" t="str">
        <f t="shared" si="206"/>
        <v/>
      </c>
      <c r="I535" s="6373"/>
      <c r="J535" s="6363" t="str">
        <f t="shared" si="207"/>
        <v/>
      </c>
      <c r="K535" s="6364" t="str">
        <f>IF(J535="","",LEFT(J535,IF(LEN(J535)&lt;=I529,LEN(J535),IFERROR(FIND("§",SUBSTITUTE(LEFT(J535,I529+1)," ","§",LEN(LEFT(J535,I529+1))-LEN(SUBSTITUTE(LEFT(J535,I529+1)," ",""))))-1,IFERROR(FIND(" ",J535,I529+1)-1,LEN(J535))))))</f>
        <v/>
      </c>
      <c r="L535" s="6327"/>
      <c r="M535" s="6329"/>
      <c r="N535" t="s">
        <v>21</v>
      </c>
      <c r="AV535" s="103"/>
      <c r="AW535" s="31"/>
      <c r="AX535" s="32"/>
      <c r="AY535" s="31"/>
      <c r="AZ535" s="33"/>
      <c r="BA535" s="1967"/>
      <c r="BB535" s="1805"/>
      <c r="BC535" s="91"/>
      <c r="BD535" s="1806"/>
      <c r="BE535" s="6401"/>
      <c r="BF535" s="6402"/>
      <c r="BG535" s="1969"/>
      <c r="BH535" s="6403"/>
      <c r="BI535" s="95"/>
      <c r="BJ535" s="1326"/>
      <c r="BK535" s="6404"/>
      <c r="BL535" s="1737"/>
      <c r="BM535" s="2081"/>
      <c r="BN535" s="2238"/>
      <c r="BO535" s="1809"/>
      <c r="BR535" s="3">
        <v>1</v>
      </c>
    </row>
    <row r="536" spans="2:70" ht="21" customHeight="1">
      <c r="B536" s="6236"/>
      <c r="C536" s="6358">
        <f t="shared" si="203"/>
        <v>150</v>
      </c>
      <c r="D536" s="6359" t="str" cm="1">
        <f t="array" ref="D536">IF(MOD(ROW()-50,14)=0,INDEX(D526:D539,MOD(ROW()-50,14)+1),E534)</f>
        <v/>
      </c>
      <c r="E536" s="6360" t="str">
        <f t="shared" si="204"/>
        <v/>
      </c>
      <c r="F536" s="6361" t="str">
        <f t="shared" si="205"/>
        <v/>
      </c>
      <c r="G536" s="6318"/>
      <c r="H536" s="6323" t="str">
        <f t="shared" si="206"/>
        <v/>
      </c>
      <c r="I536" s="6373"/>
      <c r="J536" s="6363" t="str">
        <f t="shared" si="207"/>
        <v/>
      </c>
      <c r="K536" s="6364" t="str">
        <f>IF(J536="","",LEFT(J536,IF(LEN(J536)&lt;=I529,LEN(J536),IFERROR(FIND("§",SUBSTITUTE(LEFT(J536,I529+1)," ","§",LEN(LEFT(J536,I529+1))-LEN(SUBSTITUTE(LEFT(J536,I529+1)," ",""))))-1,IFERROR(FIND(" ",J536,I529+1)-1,LEN(J536))))))</f>
        <v/>
      </c>
      <c r="L536" s="6327"/>
      <c r="M536" s="6329"/>
      <c r="N536" t="s">
        <v>21</v>
      </c>
      <c r="AV536" s="103"/>
      <c r="AW536" s="31"/>
      <c r="AX536" s="32"/>
      <c r="AY536" s="31"/>
      <c r="AZ536" s="33"/>
      <c r="BA536" s="1967"/>
      <c r="BB536" s="1805"/>
      <c r="BC536" s="91"/>
      <c r="BD536" s="1806"/>
      <c r="BE536" s="6401"/>
      <c r="BF536" s="6402"/>
      <c r="BG536" s="1969"/>
      <c r="BH536" s="6403"/>
      <c r="BI536" s="95"/>
      <c r="BJ536" s="1326"/>
      <c r="BK536" s="6404"/>
      <c r="BL536" s="1737"/>
      <c r="BM536" s="2081"/>
      <c r="BN536" s="2238"/>
      <c r="BO536" s="1809"/>
      <c r="BR536" s="3">
        <v>1</v>
      </c>
    </row>
    <row r="537" spans="2:70" ht="21" customHeight="1">
      <c r="B537" s="6236"/>
      <c r="C537" s="6358">
        <f t="shared" si="203"/>
        <v>150</v>
      </c>
      <c r="D537" s="6359" t="str" cm="1">
        <f t="array" ref="D537">IF(MOD(ROW()-50,14)=0,INDEX(D526:D539,MOD(ROW()-50,14)+1),E535)</f>
        <v/>
      </c>
      <c r="E537" s="6360" t="str">
        <f t="shared" si="204"/>
        <v/>
      </c>
      <c r="F537" s="6361" t="str">
        <f t="shared" si="205"/>
        <v/>
      </c>
      <c r="G537" s="6318"/>
      <c r="H537" s="6323" t="str">
        <f t="shared" si="206"/>
        <v/>
      </c>
      <c r="I537" s="6373"/>
      <c r="J537" s="6363" t="str">
        <f t="shared" si="207"/>
        <v/>
      </c>
      <c r="K537" s="6364" t="str">
        <f>IF(J537="","",LEFT(J537,IF(LEN(J537)&lt;=I529,LEN(J537),IFERROR(FIND("§",SUBSTITUTE(LEFT(J537,I529+1)," ","§",LEN(LEFT(J537,I529+1))-LEN(SUBSTITUTE(LEFT(J537,I529+1)," ",""))))-1,IFERROR(FIND(" ",J537,I529+1)-1,LEN(J537))))))</f>
        <v/>
      </c>
      <c r="L537" s="6327"/>
      <c r="M537" s="6329"/>
      <c r="N537" t="s">
        <v>21</v>
      </c>
      <c r="AV537" s="103"/>
      <c r="AW537" s="31"/>
      <c r="AX537" s="32"/>
      <c r="AY537" s="31"/>
      <c r="AZ537" s="33"/>
      <c r="BA537" s="1967"/>
      <c r="BB537" s="1805"/>
      <c r="BC537" s="91"/>
      <c r="BD537" s="1806"/>
      <c r="BE537" s="6401"/>
      <c r="BF537" s="6402"/>
      <c r="BG537" s="1969"/>
      <c r="BH537" s="6403"/>
      <c r="BI537" s="95"/>
      <c r="BJ537" s="1326"/>
      <c r="BK537" s="6404"/>
      <c r="BL537" s="1737"/>
      <c r="BM537" s="2081"/>
      <c r="BN537" s="2238"/>
      <c r="BO537" s="1809"/>
      <c r="BR537" s="3">
        <v>1</v>
      </c>
    </row>
    <row r="538" spans="2:70" ht="21" customHeight="1">
      <c r="B538" s="6236"/>
      <c r="C538" s="6358">
        <f t="shared" si="203"/>
        <v>150</v>
      </c>
      <c r="D538" s="6359" t="str" cm="1">
        <f t="array" ref="D538">IF(MOD(ROW()-50,14)=0,INDEX(D526:D539,MOD(ROW()-50,14)+1),E536)</f>
        <v/>
      </c>
      <c r="E538" s="6360" t="str">
        <f t="shared" si="204"/>
        <v/>
      </c>
      <c r="F538" s="6361" t="str">
        <f t="shared" si="205"/>
        <v/>
      </c>
      <c r="G538" s="6318"/>
      <c r="H538" s="6323" t="str">
        <f t="shared" si="206"/>
        <v/>
      </c>
      <c r="I538" s="6373"/>
      <c r="J538" s="6363" t="str">
        <f t="shared" si="207"/>
        <v/>
      </c>
      <c r="K538" s="6364" t="str">
        <f>IF(J538="","",LEFT(J538,IF(LEN(J538)&lt;=I529,LEN(J538),IFERROR(FIND("§",SUBSTITUTE(LEFT(J538,I529+1)," ","§",LEN(LEFT(J538,I529+1))-LEN(SUBSTITUTE(LEFT(J538,I529+1)," ",""))))-1,IFERROR(FIND(" ",J538,I529+1)-1,LEN(J538))))))</f>
        <v/>
      </c>
      <c r="L538" s="6364"/>
      <c r="M538" s="6329"/>
      <c r="N538" t="s">
        <v>21</v>
      </c>
      <c r="AV538" s="103"/>
      <c r="AW538" s="31"/>
      <c r="AX538" s="32"/>
      <c r="AY538" s="31"/>
      <c r="AZ538" s="33"/>
      <c r="BA538" s="1967"/>
      <c r="BB538" s="1805"/>
      <c r="BC538" s="91"/>
      <c r="BD538" s="1806"/>
      <c r="BE538" s="6401"/>
      <c r="BF538" s="6402"/>
      <c r="BG538" s="1969"/>
      <c r="BH538" s="6403"/>
      <c r="BI538" s="95"/>
      <c r="BJ538" s="1326"/>
      <c r="BK538" s="6404"/>
      <c r="BL538" s="1737"/>
      <c r="BM538" s="2081"/>
      <c r="BN538" s="2238"/>
      <c r="BO538" s="1809"/>
      <c r="BR538" s="3">
        <v>1</v>
      </c>
    </row>
    <row r="539" spans="2:70" ht="21" customHeight="1">
      <c r="B539" s="6236"/>
      <c r="C539" s="6376">
        <f t="shared" si="203"/>
        <v>150</v>
      </c>
      <c r="D539" s="6414" t="str" cm="1">
        <f t="array" ref="D539">IF(MOD(ROW()-50,14)=0,INDEX(D526:D539,MOD(ROW()-50,14)+1),E537)</f>
        <v/>
      </c>
      <c r="E539" s="6377" t="str">
        <f t="shared" si="204"/>
        <v/>
      </c>
      <c r="F539" s="6378" t="str">
        <f t="shared" si="205"/>
        <v/>
      </c>
      <c r="G539" s="6319"/>
      <c r="H539" s="6323" t="str">
        <f t="shared" si="206"/>
        <v/>
      </c>
      <c r="I539" s="6379"/>
      <c r="J539" s="6380" t="str">
        <f t="shared" si="207"/>
        <v/>
      </c>
      <c r="K539" s="6381" t="str">
        <f>IF(J539="","",LEFT(J539,IF(LEN(J539)&lt;=I529,LEN(J539),IFERROR(FIND("§",SUBSTITUTE(LEFT(J539,I529+1)," ","§",LEN(LEFT(J539,I529+1))-LEN(SUBSTITUTE(LEFT(J539,I529+1)," ",""))))-1,IFERROR(FIND(" ",J539,I529+1)-1,LEN(J539))))))</f>
        <v/>
      </c>
      <c r="L539" s="6382"/>
      <c r="M539" s="6330"/>
      <c r="N539" t="s">
        <v>21</v>
      </c>
      <c r="AV539" s="103"/>
      <c r="AW539" s="31"/>
      <c r="AX539" s="32"/>
      <c r="AY539" s="31"/>
      <c r="AZ539" s="33"/>
      <c r="BA539" s="1967"/>
      <c r="BB539" s="1805"/>
      <c r="BC539" s="91"/>
      <c r="BD539" s="1806"/>
      <c r="BE539" s="6401"/>
      <c r="BF539" s="6402"/>
      <c r="BG539" s="1969"/>
      <c r="BH539" s="6403"/>
      <c r="BI539" s="95"/>
      <c r="BJ539" s="1326"/>
      <c r="BK539" s="6404"/>
      <c r="BL539" s="1737"/>
      <c r="BM539" s="2081"/>
      <c r="BN539" s="2238"/>
      <c r="BO539" s="1809"/>
      <c r="BR539" s="3">
        <v>1</v>
      </c>
    </row>
    <row r="540" spans="2:70" ht="21" customHeight="1">
      <c r="B540" s="6236"/>
      <c r="C540" s="6313">
        <f>AD85</f>
        <v>150</v>
      </c>
      <c r="D540" s="6314" t="str">
        <f>IF(UPPER(TRIM(X45))="X",U85,O85)</f>
        <v>36.TEST LIGNE 19 colonne Q et ligne 20 colonne P. rechercher la cellule qui coupe le texte Dans la cocotte N°3 en fonte, faites chauffer l’huile d’olive à feu moyen. Ajoutez la viande et faites-la dorer de tous les côtés. Retirez-la de la cocotte et réservez-la.</v>
      </c>
      <c r="E540" s="6315" t="str">
        <f>IF(D540="","",IF(F540="","",IF(LEN(F540)&gt;=LEN(D540),"",TRIM(MID(D540,LEN(F540)+1,99999)))))</f>
        <v>d’olive à feu moyen. Ajoutez la viande et faites-la dorer de tous les côtés. Retirez-la de la cocotte et réservez-la.</v>
      </c>
      <c r="F540" s="6316" t="str">
        <f>IF(D540="","",IF(LEN(D540)&lt;=C540,D540,IFERROR(LEFT(D540,FIND("§",SUBSTITUTE(LEFT(D540,C540+1)," ","§",LEN(LEFT(D540,C540+1))-LEN(SUBSTITUTE(LEFT(D540,C540+1)," ",""))))-1),LEFT(D540,C540))))</f>
        <v>36.TEST LIGNE 19 colonne Q et ligne 20 colonne P. rechercher la cellule qui coupe le texte Dans la cocotte N°3 en fonte, faites chauffer l’huile</v>
      </c>
      <c r="G540" s="6317"/>
      <c r="H540" s="6385">
        <f>IF(LEN(TRIM(L540))&gt;0,MAX(H539:H539)+1,"")</f>
        <v>1</v>
      </c>
      <c r="I540" s="6324" t="str">
        <f>D540</f>
        <v>36.TEST LIGNE 19 colonne Q et ligne 20 colonne P. rechercher la cellule qui coupe le texte Dans la cocotte N°3 en fonte, faites chauffer l’huile d’olive à feu moyen. Ajoutez la viande et faites-la dorer de tous les côtés. Retirez-la de la cocotte et réservez-la.</v>
      </c>
      <c r="J540" s="6386" t="str">
        <f>IF(I540=0,"",I540)</f>
        <v>36.TEST LIGNE 19 colonne Q et ligne 20 colonne P. rechercher la cellule qui coupe le texte Dans la cocotte N°3 en fonte, faites chauffer l’huile d’olive à feu moyen. Ajoutez la viande et faites-la dorer de tous les côtés. Retirez-la de la cocotte et réservez-la.</v>
      </c>
      <c r="K540" s="6387" t="str">
        <f>IF(I540="","",LEFT(I540,IF(LEN(I540)&lt;=I543,LEN(I540),IFERROR(FIND("§",SUBSTITUTE(LEFT(I540,I543+1)," ","§",LEN(LEFT(I540,I543+1))-LEN(SUBSTITUTE(LEFT(I540,I543+1)," ",""))))-1,IFERROR(FIND(" ",I540,I543+1)-1,LEN(I540))))))</f>
        <v>36.TEST LIGNE 19 colonne Q et ligne 20 colonne P.</v>
      </c>
      <c r="L540" s="6388" t="str" cm="1">
        <f t="array" ref="L540:L545">_xlfn._xlws.FILTER(TRIM(SUBSTITUTE(SUBSTITUTE(SUBSTITUTE(SUBSTITUTE(SUBSTITUTE(CLEAN(K540:K553),CHAR(160)," "),_xlfn.UNICHAR(8239)," "),CHAR(9)," "),CHAR(10)," "),CHAR(13)," ")),TRIM(SUBSTITUTE(SUBSTITUTE(SUBSTITUTE(SUBSTITUTE(SUBSTITUTE(CLEAN(K540:K553),CHAR(160)," "),_xlfn.UNICHAR(8239)," "),CHAR(9)," "),CHAR(10)," "),CHAR(13)," "))&lt;&gt;"")</f>
        <v>36.TEST LIGNE 19 colonne Q et ligne 20 colonne P.</v>
      </c>
      <c r="M540" s="6331"/>
      <c r="N540" t="s">
        <v>21</v>
      </c>
      <c r="AV540" s="103"/>
      <c r="AW540" s="31"/>
      <c r="AX540" s="32"/>
      <c r="AY540" s="31"/>
      <c r="AZ540" s="33"/>
      <c r="BA540" s="1967"/>
      <c r="BB540" s="1805"/>
      <c r="BC540" s="91"/>
      <c r="BD540" s="1806"/>
      <c r="BE540" s="6401"/>
      <c r="BF540" s="6402"/>
      <c r="BG540" s="1969"/>
      <c r="BH540" s="6403"/>
      <c r="BI540" s="95"/>
      <c r="BJ540" s="1326"/>
      <c r="BK540" s="6404"/>
      <c r="BL540" s="1737"/>
      <c r="BM540" s="2081"/>
      <c r="BN540" s="2238"/>
      <c r="BO540" s="1809"/>
      <c r="BR540" s="3">
        <v>1</v>
      </c>
    </row>
    <row r="541" spans="2:70" ht="21" customHeight="1">
      <c r="B541" s="6236"/>
      <c r="C541" s="6358">
        <f t="shared" ref="C541:C553" si="208">C540</f>
        <v>150</v>
      </c>
      <c r="D541" s="6359" t="str" cm="1">
        <f t="array" ref="D541">IF(MOD(ROW()-50,14)=0,INDEX(D540:D553,MOD(ROW()-50,14)+1),E539)</f>
        <v/>
      </c>
      <c r="E541" s="6360" t="str">
        <f t="shared" ref="E541:E553" si="209">IF(D541="","",IF(F541="","",IF(LEN(F541)&gt;=LEN(D541),"",TRIM(MID(D541,LEN(F541)+1,99999)))))</f>
        <v/>
      </c>
      <c r="F541" s="6361" t="str">
        <f t="shared" ref="F541:F553" si="210">IF(D541="","",IF(LEN(D541)&lt;=C541,D541,IFERROR(LEFT(D541,FIND("§",SUBSTITUTE(LEFT(D541,C541+1)," ","§",LEN(LEFT(D541,C541+1))-LEN(SUBSTITUTE(LEFT(D541,C541+1)," ",""))))-1),LEFT(D541,C541))))</f>
        <v/>
      </c>
      <c r="G541" s="6318"/>
      <c r="H541" s="6393">
        <f t="shared" ref="H541:H553" si="211">IF(LEN(TRIM(L541))&gt;0,MAX(H540:H540)+1,"")</f>
        <v>2</v>
      </c>
      <c r="I541" s="6394" t="s">
        <v>14355</v>
      </c>
      <c r="J541" s="6395" t="str">
        <f>TRIM(MID(I544,LEN(K540)+1,99999))</f>
        <v>rechercher la cellule qui coupe le texte Dans la cocotte N°3 en fonte, faites chauffer l’huile d’olive à feu moyen. Ajoutez la viande et faites-la dorer de tous les côtés. Retirez-la de la cocotte et réservez-la.</v>
      </c>
      <c r="K541" s="6396" t="str">
        <f>IF(J541="","",LEFT(J541,IF(LEN(J541)&lt;=I543,LEN(J541),IFERROR(FIND("§",SUBSTITUTE(LEFT(J541,I543+1)," ","§",LEN(LEFT(J541,I543+1))-LEN(SUBSTITUTE(LEFT(J541,I543+1)," ",""))))-1,IFERROR(FIND(" ",J541,I543+1)-1,LEN(J541))))))</f>
        <v>rechercher la cellule qui coupe le texte Dans la</v>
      </c>
      <c r="L541" s="6388" t="str">
        <v>rechercher la cellule qui coupe le texte Dans la</v>
      </c>
      <c r="M541" s="6332"/>
      <c r="N541" t="s">
        <v>21</v>
      </c>
      <c r="AV541" s="103"/>
      <c r="AW541" s="31"/>
      <c r="AX541" s="32"/>
      <c r="AY541" s="31"/>
      <c r="AZ541" s="33"/>
      <c r="BA541" s="1967"/>
      <c r="BB541" s="1805"/>
      <c r="BC541" s="91"/>
      <c r="BD541" s="1806"/>
      <c r="BE541" s="6401"/>
      <c r="BF541" s="6402"/>
      <c r="BG541" s="1969"/>
      <c r="BH541" s="6403"/>
      <c r="BI541" s="95"/>
      <c r="BJ541" s="1326"/>
      <c r="BK541" s="6404"/>
      <c r="BL541" s="1737"/>
      <c r="BM541" s="2081"/>
      <c r="BN541" s="2238"/>
      <c r="BO541" s="1809"/>
      <c r="BR541" s="3">
        <v>1</v>
      </c>
    </row>
    <row r="542" spans="2:70" ht="21" customHeight="1">
      <c r="B542" s="6236"/>
      <c r="C542" s="6358">
        <f t="shared" si="208"/>
        <v>150</v>
      </c>
      <c r="D542" s="6359" t="str" cm="1">
        <f t="array" ref="D542">IF(MOD(ROW()-50,14)=0,INDEX(D540:D553,MOD(ROW()-50,14)+1),E540)</f>
        <v>d’olive à feu moyen. Ajoutez la viande et faites-la dorer de tous les côtés. Retirez-la de la cocotte et réservez-la.</v>
      </c>
      <c r="E542" s="6360" t="str">
        <f t="shared" si="209"/>
        <v/>
      </c>
      <c r="F542" s="6361" t="str">
        <f t="shared" si="210"/>
        <v>d’olive à feu moyen. Ajoutez la viande et faites-la dorer de tous les côtés. Retirez-la de la cocotte et réservez-la.</v>
      </c>
      <c r="G542" s="6318"/>
      <c r="H542" s="6393">
        <f t="shared" si="211"/>
        <v>3</v>
      </c>
      <c r="I542" s="6365">
        <f>Z85</f>
        <v>5</v>
      </c>
      <c r="J542" s="6395" t="str">
        <f t="shared" ref="J542:J553" si="212">TRIM(MID(J541,LEN(K541)+1,99999))</f>
        <v>cocotte N°3 en fonte, faites chauffer l’huile d’olive à feu moyen. Ajoutez la viande et faites-la dorer de tous les côtés. Retirez-la de la cocotte et réservez-la.</v>
      </c>
      <c r="K542" s="6396" t="str">
        <f>IF(J542="","",LEFT(J542,IF(LEN(J542)&lt;=I543,LEN(J542),IFERROR(FIND("§",SUBSTITUTE(LEFT(J542,I543+1)," ","§",LEN(LEFT(J542,I543+1))-LEN(SUBSTITUTE(LEFT(J542,I543+1)," ",""))))-1,IFERROR(FIND(" ",J542,I543+1)-1,LEN(J542))))))</f>
        <v>cocotte N°3 en fonte, faites chauffer l’huile d’olive</v>
      </c>
      <c r="L542" s="6388" t="str">
        <v>cocotte N°3 en fonte, faites chauffer l’huile d’olive</v>
      </c>
      <c r="M542" s="6332"/>
      <c r="N542" t="s">
        <v>21</v>
      </c>
      <c r="AV542" s="103"/>
      <c r="AW542" s="31"/>
      <c r="AX542" s="32"/>
      <c r="AY542" s="31"/>
      <c r="AZ542" s="33"/>
      <c r="BA542" s="1967"/>
      <c r="BB542" s="1805"/>
      <c r="BC542" s="91"/>
      <c r="BD542" s="1806"/>
      <c r="BE542" s="6401"/>
      <c r="BF542" s="6402"/>
      <c r="BG542" s="1969"/>
      <c r="BH542" s="6403"/>
      <c r="BI542" s="95"/>
      <c r="BJ542" s="1326"/>
      <c r="BK542" s="6404"/>
      <c r="BL542" s="1737"/>
      <c r="BM542" s="2081"/>
      <c r="BN542" s="2238"/>
      <c r="BO542" s="1809"/>
      <c r="BR542" s="3">
        <v>1</v>
      </c>
    </row>
    <row r="543" spans="2:70" ht="21" customHeight="1">
      <c r="B543" s="6236"/>
      <c r="C543" s="6358">
        <f t="shared" si="208"/>
        <v>150</v>
      </c>
      <c r="D543" s="6359" t="str" cm="1">
        <f t="array" ref="D543">IF(MOD(ROW()-50,14)=0,INDEX(D540:D553,MOD(ROW()-50,14)+1),E541)</f>
        <v/>
      </c>
      <c r="E543" s="6360" t="str">
        <f t="shared" si="209"/>
        <v/>
      </c>
      <c r="F543" s="6361" t="str">
        <f t="shared" si="210"/>
        <v/>
      </c>
      <c r="G543" s="6318"/>
      <c r="H543" s="6393">
        <f t="shared" si="211"/>
        <v>4</v>
      </c>
      <c r="I543" s="6398">
        <f>IF(OR(J540="",I542="",I542&lt;=0),"",ROUNDUP(LEN(J540)/I542,0))</f>
        <v>53</v>
      </c>
      <c r="J543" s="6395" t="str">
        <f t="shared" si="212"/>
        <v>à feu moyen. Ajoutez la viande et faites-la dorer de tous les côtés. Retirez-la de la cocotte et réservez-la.</v>
      </c>
      <c r="K543" s="6396" t="str">
        <f>IF(J543="","",LEFT(J543,IF(LEN(J543)&lt;=I543,LEN(J543),IFERROR(FIND("§",SUBSTITUTE(LEFT(J543,I543+1)," ","§",LEN(LEFT(J543,I543+1))-LEN(SUBSTITUTE(LEFT(J543,I543+1)," ",""))))-1,IFERROR(FIND(" ",J543,I543+1)-1,LEN(J543))))))</f>
        <v>à feu moyen. Ajoutez la viande et faites-la dorer de</v>
      </c>
      <c r="L543" s="6388" t="str">
        <v>à feu moyen. Ajoutez la viande et faites-la dorer de</v>
      </c>
      <c r="M543" s="6332"/>
      <c r="N543" t="s">
        <v>21</v>
      </c>
      <c r="AV543" s="103"/>
      <c r="AW543" s="31"/>
      <c r="AX543" s="32"/>
      <c r="AY543" s="31"/>
      <c r="AZ543" s="33"/>
      <c r="BA543" s="1967"/>
      <c r="BB543" s="1805"/>
      <c r="BC543" s="91"/>
      <c r="BD543" s="1806"/>
      <c r="BE543" s="6401"/>
      <c r="BF543" s="6402"/>
      <c r="BG543" s="1969"/>
      <c r="BH543" s="6403"/>
      <c r="BI543" s="95"/>
      <c r="BJ543" s="1326"/>
      <c r="BK543" s="6404"/>
      <c r="BL543" s="1737"/>
      <c r="BM543" s="2081"/>
      <c r="BN543" s="2238"/>
      <c r="BO543" s="1809"/>
      <c r="BR543" s="3">
        <v>1</v>
      </c>
    </row>
    <row r="544" spans="2:70" ht="21" customHeight="1">
      <c r="B544" s="6236"/>
      <c r="C544" s="6358">
        <f t="shared" si="208"/>
        <v>150</v>
      </c>
      <c r="D544" s="6359" t="str" cm="1">
        <f t="array" ref="D544">IF(MOD(ROW()-50,14)=0,INDEX(D540:D553,MOD(ROW()-50,14)+1),E542)</f>
        <v/>
      </c>
      <c r="E544" s="6360" t="str">
        <f t="shared" si="209"/>
        <v/>
      </c>
      <c r="F544" s="6361" t="str">
        <f t="shared" si="210"/>
        <v/>
      </c>
      <c r="G544" s="6318"/>
      <c r="H544" s="6393">
        <f t="shared" si="211"/>
        <v>5</v>
      </c>
      <c r="I544" s="6400" t="str">
        <f>I540</f>
        <v>36.TEST LIGNE 19 colonne Q et ligne 20 colonne P. rechercher la cellule qui coupe le texte Dans la cocotte N°3 en fonte, faites chauffer l’huile d’olive à feu moyen. Ajoutez la viande et faites-la dorer de tous les côtés. Retirez-la de la cocotte et réservez-la.</v>
      </c>
      <c r="J544" s="6395" t="str">
        <f t="shared" si="212"/>
        <v>tous les côtés. Retirez-la de la cocotte et réservez-la.</v>
      </c>
      <c r="K544" s="6396" t="str">
        <f>IF(J544="","",LEFT(J544,IF(LEN(J544)&lt;=I543,LEN(J544),IFERROR(FIND("§",SUBSTITUTE(LEFT(J544,I543+1)," ","§",LEN(LEFT(J544,I543+1))-LEN(SUBSTITUTE(LEFT(J544,I543+1)," ",""))))-1,IFERROR(FIND(" ",J544,I543+1)-1,LEN(J544))))))</f>
        <v>tous les côtés. Retirez-la de la cocotte et</v>
      </c>
      <c r="L544" s="6388" t="str">
        <v>tous les côtés. Retirez-la de la cocotte et</v>
      </c>
      <c r="M544" s="6332"/>
      <c r="N544" t="s">
        <v>21</v>
      </c>
      <c r="AV544" s="103"/>
      <c r="AW544" s="31"/>
      <c r="AX544" s="32"/>
      <c r="AY544" s="31"/>
      <c r="AZ544" s="33"/>
      <c r="BA544" s="1967"/>
      <c r="BB544" s="1805"/>
      <c r="BC544" s="91"/>
      <c r="BD544" s="1806"/>
      <c r="BE544" s="6401"/>
      <c r="BF544" s="6402"/>
      <c r="BG544" s="1969"/>
      <c r="BH544" s="6403"/>
      <c r="BI544" s="95"/>
      <c r="BJ544" s="1326"/>
      <c r="BK544" s="6404"/>
      <c r="BL544" s="1737"/>
      <c r="BM544" s="2081"/>
      <c r="BN544" s="2238"/>
      <c r="BO544" s="1809"/>
      <c r="BR544" s="3">
        <v>1</v>
      </c>
    </row>
    <row r="545" spans="2:70" ht="21" customHeight="1">
      <c r="B545" s="6236"/>
      <c r="C545" s="6358">
        <f t="shared" si="208"/>
        <v>150</v>
      </c>
      <c r="D545" s="6359" t="str" cm="1">
        <f t="array" ref="D545">IF(MOD(ROW()-50,14)=0,INDEX(D540:D553,MOD(ROW()-50,14)+1),E543)</f>
        <v/>
      </c>
      <c r="E545" s="6360" t="str">
        <f t="shared" si="209"/>
        <v/>
      </c>
      <c r="F545" s="6361" t="str">
        <f t="shared" si="210"/>
        <v/>
      </c>
      <c r="G545" s="6318"/>
      <c r="H545" s="6393">
        <f t="shared" si="211"/>
        <v>6</v>
      </c>
      <c r="I545" s="6405"/>
      <c r="J545" s="6395" t="str">
        <f t="shared" si="212"/>
        <v>réservez-la.</v>
      </c>
      <c r="K545" s="6396" t="str">
        <f>IF(J545="","",LEFT(J545,IF(LEN(J545)&lt;=I543,LEN(J545),IFERROR(FIND("§",SUBSTITUTE(LEFT(J545,I543+1)," ","§",LEN(LEFT(J545,I543+1))-LEN(SUBSTITUTE(LEFT(J545,I543+1)," ",""))))-1,IFERROR(FIND(" ",J545,I543+1)-1,LEN(J545))))))</f>
        <v>réservez-la.</v>
      </c>
      <c r="L545" s="6388" t="str">
        <v>réservez-la.</v>
      </c>
      <c r="M545" s="6332"/>
      <c r="N545" t="s">
        <v>21</v>
      </c>
      <c r="AV545" s="103"/>
      <c r="AW545" s="31"/>
      <c r="AX545" s="32"/>
      <c r="AY545" s="31"/>
      <c r="AZ545" s="33"/>
      <c r="BA545" s="1967"/>
      <c r="BB545" s="1805"/>
      <c r="BC545" s="91"/>
      <c r="BD545" s="1806"/>
      <c r="BE545" s="6401"/>
      <c r="BF545" s="6402"/>
      <c r="BG545" s="1969"/>
      <c r="BH545" s="6403"/>
      <c r="BI545" s="95"/>
      <c r="BJ545" s="1326"/>
      <c r="BK545" s="6404"/>
      <c r="BL545" s="1737"/>
      <c r="BM545" s="2081"/>
      <c r="BN545" s="2238"/>
      <c r="BO545" s="1809"/>
      <c r="BR545" s="3">
        <v>1</v>
      </c>
    </row>
    <row r="546" spans="2:70" ht="21" customHeight="1">
      <c r="B546" s="6236"/>
      <c r="C546" s="6358">
        <f t="shared" si="208"/>
        <v>150</v>
      </c>
      <c r="D546" s="6359" t="str" cm="1">
        <f t="array" ref="D546">IF(MOD(ROW()-50,14)=0,INDEX(D540:D553,MOD(ROW()-50,14)+1),E544)</f>
        <v/>
      </c>
      <c r="E546" s="6360" t="str">
        <f t="shared" si="209"/>
        <v/>
      </c>
      <c r="F546" s="6361" t="str">
        <f t="shared" si="210"/>
        <v/>
      </c>
      <c r="G546" s="6318"/>
      <c r="H546" s="6393" t="str">
        <f t="shared" si="211"/>
        <v/>
      </c>
      <c r="I546" s="6405"/>
      <c r="J546" s="6395" t="str">
        <f t="shared" si="212"/>
        <v/>
      </c>
      <c r="K546" s="6396" t="str">
        <f>IF(J546="","",LEFT(J546,IF(LEN(J546)&lt;=I543,LEN(J546),IFERROR(FIND("§",SUBSTITUTE(LEFT(J546,I543+1)," ","§",LEN(LEFT(J546,I543+1))-LEN(SUBSTITUTE(LEFT(J546,I543+1)," ",""))))-1,IFERROR(FIND(" ",J546,I543+1)-1,LEN(J546))))))</f>
        <v/>
      </c>
      <c r="L546" s="6388"/>
      <c r="M546" s="6332"/>
      <c r="N546" t="s">
        <v>21</v>
      </c>
      <c r="AV546" s="103"/>
      <c r="AW546" s="31"/>
      <c r="AX546" s="32"/>
      <c r="AY546" s="31"/>
      <c r="AZ546" s="33"/>
      <c r="BA546" s="1967"/>
      <c r="BB546" s="1805"/>
      <c r="BC546" s="91"/>
      <c r="BD546" s="1806"/>
      <c r="BE546" s="6401"/>
      <c r="BF546" s="6402"/>
      <c r="BG546" s="1969"/>
      <c r="BH546" s="6403"/>
      <c r="BI546" s="95"/>
      <c r="BJ546" s="1326"/>
      <c r="BK546" s="6404"/>
      <c r="BL546" s="1737"/>
      <c r="BM546" s="2081"/>
      <c r="BN546" s="2238"/>
      <c r="BO546" s="1809"/>
      <c r="BR546" s="3">
        <v>1</v>
      </c>
    </row>
    <row r="547" spans="2:70" ht="21" customHeight="1">
      <c r="B547" s="6236"/>
      <c r="C547" s="6358">
        <f t="shared" si="208"/>
        <v>150</v>
      </c>
      <c r="D547" s="6359" t="str" cm="1">
        <f t="array" ref="D547">IF(MOD(ROW()-50,14)=0,INDEX(D540:D553,MOD(ROW()-50,14)+1),E545)</f>
        <v/>
      </c>
      <c r="E547" s="6360" t="str">
        <f t="shared" si="209"/>
        <v/>
      </c>
      <c r="F547" s="6361" t="str">
        <f t="shared" si="210"/>
        <v/>
      </c>
      <c r="G547" s="6318"/>
      <c r="H547" s="6393" t="str">
        <f t="shared" si="211"/>
        <v/>
      </c>
      <c r="I547" s="6405"/>
      <c r="J547" s="6395" t="str">
        <f t="shared" si="212"/>
        <v/>
      </c>
      <c r="K547" s="6396" t="str">
        <f>IF(J547="","",LEFT(J547,IF(LEN(J547)&lt;=I543,LEN(J547),IFERROR(FIND("§",SUBSTITUTE(LEFT(J547,I543+1)," ","§",LEN(LEFT(J547,I543+1))-LEN(SUBSTITUTE(LEFT(J547,I543+1)," ",""))))-1,IFERROR(FIND(" ",J547,I543+1)-1,LEN(J547))))))</f>
        <v/>
      </c>
      <c r="L547" s="6388"/>
      <c r="M547" s="6332"/>
      <c r="N547" t="s">
        <v>21</v>
      </c>
      <c r="AV547" s="103"/>
      <c r="AW547" s="31"/>
      <c r="AX547" s="32"/>
      <c r="AY547" s="31"/>
      <c r="AZ547" s="33"/>
      <c r="BA547" s="1967"/>
      <c r="BB547" s="1805"/>
      <c r="BC547" s="91"/>
      <c r="BD547" s="1806"/>
      <c r="BE547" s="6401"/>
      <c r="BF547" s="6402"/>
      <c r="BG547" s="1969"/>
      <c r="BH547" s="6403"/>
      <c r="BI547" s="95"/>
      <c r="BJ547" s="1326"/>
      <c r="BK547" s="6404"/>
      <c r="BL547" s="1737"/>
      <c r="BM547" s="2081"/>
      <c r="BN547" s="2238"/>
      <c r="BO547" s="1809"/>
      <c r="BR547" s="3">
        <v>1</v>
      </c>
    </row>
    <row r="548" spans="2:70" ht="21" customHeight="1">
      <c r="B548" s="6236"/>
      <c r="C548" s="6358">
        <f t="shared" si="208"/>
        <v>150</v>
      </c>
      <c r="D548" s="6359" t="str" cm="1">
        <f t="array" ref="D548">IF(MOD(ROW()-50,14)=0,INDEX(D540:D553,MOD(ROW()-50,14)+1),E546)</f>
        <v/>
      </c>
      <c r="E548" s="6360" t="str">
        <f t="shared" si="209"/>
        <v/>
      </c>
      <c r="F548" s="6361" t="str">
        <f t="shared" si="210"/>
        <v/>
      </c>
      <c r="G548" s="6318"/>
      <c r="H548" s="6393" t="str">
        <f t="shared" si="211"/>
        <v/>
      </c>
      <c r="I548" s="6405"/>
      <c r="J548" s="6395" t="str">
        <f t="shared" si="212"/>
        <v/>
      </c>
      <c r="K548" s="6396" t="str">
        <f>IF(J548="","",LEFT(J548,IF(LEN(J548)&lt;=I543,LEN(J548),IFERROR(FIND("§",SUBSTITUTE(LEFT(J548,I543+1)," ","§",LEN(LEFT(J548,I543+1))-LEN(SUBSTITUTE(LEFT(J548,I543+1)," ",""))))-1,IFERROR(FIND(" ",J548,I543+1)-1,LEN(J548))))))</f>
        <v/>
      </c>
      <c r="L548" s="6388"/>
      <c r="M548" s="6332"/>
      <c r="N548" t="s">
        <v>21</v>
      </c>
      <c r="AV548" s="103"/>
      <c r="AW548" s="31"/>
      <c r="AX548" s="32"/>
      <c r="AY548" s="31"/>
      <c r="AZ548" s="33"/>
      <c r="BA548" s="1967"/>
      <c r="BB548" s="1805"/>
      <c r="BC548" s="91"/>
      <c r="BD548" s="1806"/>
      <c r="BE548" s="6401"/>
      <c r="BF548" s="6402"/>
      <c r="BG548" s="1969"/>
      <c r="BH548" s="6403"/>
      <c r="BI548" s="95"/>
      <c r="BJ548" s="1326"/>
      <c r="BK548" s="6404"/>
      <c r="BL548" s="1737"/>
      <c r="BM548" s="2081"/>
      <c r="BN548" s="2238"/>
      <c r="BO548" s="1809"/>
      <c r="BR548" s="3">
        <v>1</v>
      </c>
    </row>
    <row r="549" spans="2:70" ht="21" customHeight="1">
      <c r="B549" s="6236"/>
      <c r="C549" s="6358">
        <f t="shared" si="208"/>
        <v>150</v>
      </c>
      <c r="D549" s="6359" t="str" cm="1">
        <f t="array" ref="D549">IF(MOD(ROW()-50,14)=0,INDEX(D540:D553,MOD(ROW()-50,14)+1),E547)</f>
        <v/>
      </c>
      <c r="E549" s="6360" t="str">
        <f t="shared" si="209"/>
        <v/>
      </c>
      <c r="F549" s="6361" t="str">
        <f t="shared" si="210"/>
        <v/>
      </c>
      <c r="G549" s="6318"/>
      <c r="H549" s="6393" t="str">
        <f t="shared" si="211"/>
        <v/>
      </c>
      <c r="I549" s="6405"/>
      <c r="J549" s="6395" t="str">
        <f t="shared" si="212"/>
        <v/>
      </c>
      <c r="K549" s="6396" t="str">
        <f>IF(J549="","",LEFT(J549,IF(LEN(J549)&lt;=I543,LEN(J549),IFERROR(FIND("§",SUBSTITUTE(LEFT(J549,I543+1)," ","§",LEN(LEFT(J549,I543+1))-LEN(SUBSTITUTE(LEFT(J549,I543+1)," ",""))))-1,IFERROR(FIND(" ",J549,I543+1)-1,LEN(J549))))))</f>
        <v/>
      </c>
      <c r="L549" s="6388"/>
      <c r="M549" s="6332"/>
      <c r="N549" t="s">
        <v>21</v>
      </c>
      <c r="AV549" s="103"/>
      <c r="AW549" s="31"/>
      <c r="AX549" s="32"/>
      <c r="AY549" s="31"/>
      <c r="AZ549" s="33"/>
      <c r="BA549" s="1967"/>
      <c r="BB549" s="1805"/>
      <c r="BC549" s="91"/>
      <c r="BD549" s="1806"/>
      <c r="BE549" s="6401"/>
      <c r="BF549" s="6402"/>
      <c r="BG549" s="1969"/>
      <c r="BH549" s="6403"/>
      <c r="BI549" s="95"/>
      <c r="BJ549" s="1326"/>
      <c r="BK549" s="6404"/>
      <c r="BL549" s="1737"/>
      <c r="BM549" s="2081"/>
      <c r="BN549" s="2238"/>
      <c r="BO549" s="1809"/>
      <c r="BR549" s="3">
        <v>1</v>
      </c>
    </row>
    <row r="550" spans="2:70" ht="21" customHeight="1">
      <c r="B550" s="6236"/>
      <c r="C550" s="6358">
        <f t="shared" si="208"/>
        <v>150</v>
      </c>
      <c r="D550" s="6359" t="str" cm="1">
        <f t="array" ref="D550">IF(MOD(ROW()-50,14)=0,INDEX(D540:D553,MOD(ROW()-50,14)+1),E548)</f>
        <v/>
      </c>
      <c r="E550" s="6360" t="str">
        <f t="shared" si="209"/>
        <v/>
      </c>
      <c r="F550" s="6361" t="str">
        <f t="shared" si="210"/>
        <v/>
      </c>
      <c r="G550" s="6318"/>
      <c r="H550" s="6393" t="str">
        <f t="shared" si="211"/>
        <v/>
      </c>
      <c r="I550" s="6405"/>
      <c r="J550" s="6395" t="str">
        <f t="shared" si="212"/>
        <v/>
      </c>
      <c r="K550" s="6396" t="str">
        <f>IF(J550="","",LEFT(J550,IF(LEN(J550)&lt;=I543,LEN(J550),IFERROR(FIND("§",SUBSTITUTE(LEFT(J550,I543+1)," ","§",LEN(LEFT(J550,I543+1))-LEN(SUBSTITUTE(LEFT(J550,I543+1)," ",""))))-1,IFERROR(FIND(" ",J550,I543+1)-1,LEN(J550))))))</f>
        <v/>
      </c>
      <c r="L550" s="6388"/>
      <c r="M550" s="6332"/>
      <c r="N550" t="s">
        <v>21</v>
      </c>
      <c r="AV550" s="103"/>
      <c r="AW550" s="31"/>
      <c r="AX550" s="32"/>
      <c r="AY550" s="31"/>
      <c r="AZ550" s="33"/>
      <c r="BA550" s="1967"/>
      <c r="BB550" s="1805"/>
      <c r="BC550" s="91"/>
      <c r="BD550" s="1806"/>
      <c r="BE550" s="6401"/>
      <c r="BF550" s="6402"/>
      <c r="BG550" s="1969"/>
      <c r="BH550" s="6403"/>
      <c r="BI550" s="95"/>
      <c r="BJ550" s="1326"/>
      <c r="BK550" s="6404"/>
      <c r="BL550" s="1737"/>
      <c r="BM550" s="2081"/>
      <c r="BN550" s="2238"/>
      <c r="BO550" s="1809"/>
      <c r="BR550" s="3">
        <v>1</v>
      </c>
    </row>
    <row r="551" spans="2:70" ht="21" customHeight="1">
      <c r="B551" s="6236"/>
      <c r="C551" s="6358">
        <f t="shared" si="208"/>
        <v>150</v>
      </c>
      <c r="D551" s="6359" t="str" cm="1">
        <f t="array" ref="D551">IF(MOD(ROW()-50,14)=0,INDEX(D540:D553,MOD(ROW()-50,14)+1),E549)</f>
        <v/>
      </c>
      <c r="E551" s="6360" t="str">
        <f t="shared" si="209"/>
        <v/>
      </c>
      <c r="F551" s="6361" t="str">
        <f t="shared" si="210"/>
        <v/>
      </c>
      <c r="G551" s="6318"/>
      <c r="H551" s="6393" t="str">
        <f t="shared" si="211"/>
        <v/>
      </c>
      <c r="I551" s="6405"/>
      <c r="J551" s="6395" t="str">
        <f t="shared" si="212"/>
        <v/>
      </c>
      <c r="K551" s="6396" t="str">
        <f>IF(J551="","",LEFT(J551,IF(LEN(J551)&lt;=I543,LEN(J551),IFERROR(FIND("§",SUBSTITUTE(LEFT(J551,I543+1)," ","§",LEN(LEFT(J551,I543+1))-LEN(SUBSTITUTE(LEFT(J551,I543+1)," ",""))))-1,IFERROR(FIND(" ",J551,I543+1)-1,LEN(J551))))))</f>
        <v/>
      </c>
      <c r="L551" s="6388"/>
      <c r="M551" s="6332"/>
      <c r="N551" t="s">
        <v>21</v>
      </c>
      <c r="AV551" s="103"/>
      <c r="AW551" s="31"/>
      <c r="AX551" s="32"/>
      <c r="AY551" s="31"/>
      <c r="AZ551" s="33"/>
      <c r="BA551" s="1967"/>
      <c r="BB551" s="1805"/>
      <c r="BC551" s="91"/>
      <c r="BD551" s="1806"/>
      <c r="BE551" s="6401"/>
      <c r="BF551" s="6402"/>
      <c r="BG551" s="1969"/>
      <c r="BH551" s="6403"/>
      <c r="BI551" s="95"/>
      <c r="BJ551" s="1326"/>
      <c r="BK551" s="6404"/>
      <c r="BL551" s="1737"/>
      <c r="BM551" s="2081"/>
      <c r="BN551" s="2238"/>
      <c r="BO551" s="1809"/>
      <c r="BR551" s="3">
        <v>1</v>
      </c>
    </row>
    <row r="552" spans="2:70" ht="21" customHeight="1">
      <c r="B552" s="6236"/>
      <c r="C552" s="6358">
        <f t="shared" si="208"/>
        <v>150</v>
      </c>
      <c r="D552" s="6359" t="str" cm="1">
        <f t="array" ref="D552">IF(MOD(ROW()-50,14)=0,INDEX(D540:D553,MOD(ROW()-50,14)+1),E550)</f>
        <v/>
      </c>
      <c r="E552" s="6360" t="str">
        <f t="shared" si="209"/>
        <v/>
      </c>
      <c r="F552" s="6361" t="str">
        <f t="shared" si="210"/>
        <v/>
      </c>
      <c r="G552" s="6318"/>
      <c r="H552" s="6393" t="str">
        <f t="shared" si="211"/>
        <v/>
      </c>
      <c r="I552" s="6405"/>
      <c r="J552" s="6395" t="str">
        <f t="shared" si="212"/>
        <v/>
      </c>
      <c r="K552" s="6396" t="str">
        <f>IF(J552="","",LEFT(J552,IF(LEN(J552)&lt;=I543,LEN(J552),IFERROR(FIND("§",SUBSTITUTE(LEFT(J552,I543+1)," ","§",LEN(LEFT(J552,I543+1))-LEN(SUBSTITUTE(LEFT(J552,I543+1)," ",""))))-1,IFERROR(FIND(" ",J552,I543+1)-1,LEN(J552))))))</f>
        <v/>
      </c>
      <c r="L552" s="6396"/>
      <c r="M552" s="6332"/>
      <c r="N552" t="s">
        <v>21</v>
      </c>
      <c r="AV552" s="103"/>
      <c r="AW552" s="31"/>
      <c r="AX552" s="32"/>
      <c r="AY552" s="31"/>
      <c r="AZ552" s="33"/>
      <c r="BA552" s="1967"/>
      <c r="BB552" s="1805"/>
      <c r="BC552" s="91"/>
      <c r="BD552" s="1806"/>
      <c r="BE552" s="6401"/>
      <c r="BF552" s="6402"/>
      <c r="BG552" s="1969"/>
      <c r="BH552" s="6403"/>
      <c r="BI552" s="95"/>
      <c r="BJ552" s="1326"/>
      <c r="BK552" s="6404"/>
      <c r="BL552" s="1737"/>
      <c r="BM552" s="2081"/>
      <c r="BN552" s="2238"/>
      <c r="BO552" s="1809"/>
      <c r="BR552" s="3">
        <v>1</v>
      </c>
    </row>
    <row r="553" spans="2:70" ht="21" customHeight="1">
      <c r="B553" s="6236"/>
      <c r="C553" s="6376">
        <f t="shared" si="208"/>
        <v>150</v>
      </c>
      <c r="D553" s="6414" t="str" cm="1">
        <f t="array" ref="D553">IF(MOD(ROW()-50,14)=0,INDEX(D540:D553,MOD(ROW()-50,14)+1),E551)</f>
        <v/>
      </c>
      <c r="E553" s="6377" t="str">
        <f t="shared" si="209"/>
        <v/>
      </c>
      <c r="F553" s="6378" t="str">
        <f t="shared" si="210"/>
        <v/>
      </c>
      <c r="G553" s="6319"/>
      <c r="H553" s="6409" t="str">
        <f t="shared" si="211"/>
        <v/>
      </c>
      <c r="I553" s="6410"/>
      <c r="J553" s="6411" t="str">
        <f t="shared" si="212"/>
        <v/>
      </c>
      <c r="K553" s="6412" t="str">
        <f>IF(J553="","",LEFT(J553,IF(LEN(J553)&lt;=I543,LEN(J553),IFERROR(FIND("§",SUBSTITUTE(LEFT(J553,I543+1)," ","§",LEN(LEFT(J553,I543+1))-LEN(SUBSTITUTE(LEFT(J553,I543+1)," ",""))))-1,IFERROR(FIND(" ",J553,I543+1)-1,LEN(J553))))))</f>
        <v/>
      </c>
      <c r="L553" s="6413"/>
      <c r="M553" s="6333"/>
      <c r="N553" t="s">
        <v>21</v>
      </c>
      <c r="AV553" s="103"/>
      <c r="AW553" s="31"/>
      <c r="AX553" s="32"/>
      <c r="AY553" s="31"/>
      <c r="AZ553" s="33"/>
      <c r="BA553" s="1967"/>
      <c r="BB553" s="1805"/>
      <c r="BC553" s="91"/>
      <c r="BD553" s="1806"/>
      <c r="BE553" s="6401"/>
      <c r="BF553" s="6402"/>
      <c r="BG553" s="1969"/>
      <c r="BH553" s="6403"/>
      <c r="BI553" s="95"/>
      <c r="BJ553" s="1326"/>
      <c r="BK553" s="6404"/>
      <c r="BL553" s="1737"/>
      <c r="BM553" s="2081"/>
      <c r="BN553" s="2238"/>
      <c r="BO553" s="1809"/>
      <c r="BR553" s="3">
        <v>1</v>
      </c>
    </row>
    <row r="554" spans="2:70" ht="21" customHeight="1">
      <c r="B554" s="6236"/>
      <c r="C554" s="6313">
        <f>AD86</f>
        <v>150</v>
      </c>
      <c r="D554" s="6314" t="str">
        <f>IF(UPPER(TRIM(X45))="X",U86,O86)</f>
        <v>37.TEST LIGNE 19 colonne Q et ligne 20 colonne P. rechercher la cellule qui coupe le texte Dans la cocotte N°3 en fonte, faites chauffer l’huile d’olive à feu moyen. Ajoutez la viande et faites-la dorer de tous les côtés. Retirez-la de la cocotte et réservez-la.</v>
      </c>
      <c r="E554" s="6383" t="str">
        <f>IF(D554="","",IF(F554="","",IF(LEN(F554)&gt;=LEN(D554),"",TRIM(MID(D554,LEN(F554)+1,99999)))))</f>
        <v>d’olive à feu moyen. Ajoutez la viande et faites-la dorer de tous les côtés. Retirez-la de la cocotte et réservez-la.</v>
      </c>
      <c r="F554" s="6384" t="str">
        <f>IF(D554="","",IF(LEN(D554)&lt;=C554,D554,IFERROR(LEFT(D554,FIND("§",SUBSTITUTE(LEFT(D554,C554+1)," ","§",LEN(LEFT(D554,C554+1))-LEN(SUBSTITUTE(LEFT(D554,C554+1)," ",""))))-1),LEFT(D554,C554))))</f>
        <v>37.TEST LIGNE 19 colonne Q et ligne 20 colonne P. rechercher la cellule qui coupe le texte Dans la cocotte N°3 en fonte, faites chauffer l’huile</v>
      </c>
      <c r="G554" s="6320"/>
      <c r="H554" s="6323">
        <f>IF(LEN(TRIM(L554))&gt;0,MAX(H553:H553)+1,"")</f>
        <v>1</v>
      </c>
      <c r="I554" s="6324" t="str">
        <f>D554</f>
        <v>37.TEST LIGNE 19 colonne Q et ligne 20 colonne P. rechercher la cellule qui coupe le texte Dans la cocotte N°3 en fonte, faites chauffer l’huile d’olive à feu moyen. Ajoutez la viande et faites-la dorer de tous les côtés. Retirez-la de la cocotte et réservez-la.</v>
      </c>
      <c r="J554" s="6325" t="str">
        <f>IF(I554=0,"",I554)</f>
        <v>37.TEST LIGNE 19 colonne Q et ligne 20 colonne P. rechercher la cellule qui coupe le texte Dans la cocotte N°3 en fonte, faites chauffer l’huile d’olive à feu moyen. Ajoutez la viande et faites-la dorer de tous les côtés. Retirez-la de la cocotte et réservez-la.</v>
      </c>
      <c r="K554" s="6326" t="str">
        <f>IF(I554="","",LEFT(I554,IF(LEN(I554)&lt;=I557,LEN(I554),IFERROR(FIND("§",SUBSTITUTE(LEFT(I554,I557+1)," ","§",LEN(LEFT(I554,I557+1))-LEN(SUBSTITUTE(LEFT(I554,I557+1)," ",""))))-1,IFERROR(FIND(" ",I554,I557+1)-1,LEN(I554))))))</f>
        <v>37.TEST LIGNE 19 colonne Q et ligne 20 colonne P.</v>
      </c>
      <c r="L554" s="6326" t="str" cm="1">
        <f t="array" ref="L554:L559">_xlfn._xlws.FILTER(TRIM(SUBSTITUTE(SUBSTITUTE(SUBSTITUTE(SUBSTITUTE(SUBSTITUTE(CLEAN(K554:K567),CHAR(160)," "),_xlfn.UNICHAR(8239)," "),CHAR(9)," "),CHAR(10)," "),CHAR(13)," ")),TRIM(SUBSTITUTE(SUBSTITUTE(SUBSTITUTE(SUBSTITUTE(SUBSTITUTE(CLEAN(K554:K567),CHAR(160)," "),_xlfn.UNICHAR(8239)," "),CHAR(9)," "),CHAR(10)," "),CHAR(13)," "))&lt;&gt;"")</f>
        <v>37.TEST LIGNE 19 colonne Q et ligne 20 colonne P.</v>
      </c>
      <c r="M554" s="6328"/>
      <c r="N554" t="s">
        <v>21</v>
      </c>
      <c r="AV554" s="103"/>
      <c r="AW554" s="31"/>
      <c r="AX554" s="32"/>
      <c r="AY554" s="31"/>
      <c r="AZ554" s="33"/>
      <c r="BA554" s="1967"/>
      <c r="BB554" s="1805"/>
      <c r="BC554" s="91"/>
      <c r="BD554" s="1806"/>
      <c r="BE554" s="6401"/>
      <c r="BF554" s="6402"/>
      <c r="BG554" s="1969"/>
      <c r="BH554" s="6403"/>
      <c r="BI554" s="95"/>
      <c r="BJ554" s="1326"/>
      <c r="BK554" s="6404"/>
      <c r="BL554" s="1737"/>
      <c r="BM554" s="2081"/>
      <c r="BN554" s="2238"/>
      <c r="BO554" s="1809"/>
      <c r="BR554" s="3">
        <v>1</v>
      </c>
    </row>
    <row r="555" spans="2:70" ht="21" customHeight="1">
      <c r="B555" s="6236"/>
      <c r="C555" s="6358">
        <f t="shared" ref="C555:C567" si="213">C554</f>
        <v>150</v>
      </c>
      <c r="D555" s="6390" t="str" cm="1">
        <f t="array" ref="D555">IF(MOD(ROW()-50,14)=0,INDEX(D554:D567,MOD(ROW()-50,14)+1),E553)</f>
        <v/>
      </c>
      <c r="E555" s="6391" t="str">
        <f t="shared" ref="E555:E567" si="214">IF(D555="","",IF(F555="","",IF(LEN(F555)&gt;=LEN(D555),"",TRIM(MID(D555,LEN(F555)+1,99999)))))</f>
        <v/>
      </c>
      <c r="F555" s="6392" t="str">
        <f t="shared" ref="F555:F567" si="215">IF(D555="","",IF(LEN(D555)&lt;=C555,D555,IFERROR(LEFT(D555,FIND("§",SUBSTITUTE(LEFT(D555,C555+1)," ","§",LEN(LEFT(D555,C555+1))-LEN(SUBSTITUTE(LEFT(D555,C555+1)," ",""))))-1),LEFT(D555,C555))))</f>
        <v/>
      </c>
      <c r="G555" s="6321"/>
      <c r="H555" s="6323">
        <f t="shared" ref="H555:H567" si="216">IF(LEN(TRIM(L555))&gt;0,MAX(H554:H554)+1,"")</f>
        <v>2</v>
      </c>
      <c r="I555" s="6362" t="s">
        <v>14355</v>
      </c>
      <c r="J555" s="6363" t="str">
        <f>TRIM(MID(I558,LEN(K554)+1,99999))</f>
        <v>rechercher la cellule qui coupe le texte Dans la cocotte N°3 en fonte, faites chauffer l’huile d’olive à feu moyen. Ajoutez la viande et faites-la dorer de tous les côtés. Retirez-la de la cocotte et réservez-la.</v>
      </c>
      <c r="K555" s="6364" t="str">
        <f>IF(J555="","",LEFT(J555,IF(LEN(J555)&lt;=I557,LEN(J555),IFERROR(FIND("§",SUBSTITUTE(LEFT(J555,I557+1)," ","§",LEN(LEFT(J555,I557+1))-LEN(SUBSTITUTE(LEFT(J555,I557+1)," ",""))))-1,IFERROR(FIND(" ",J555,I557+1)-1,LEN(J555))))))</f>
        <v>rechercher la cellule qui coupe le texte Dans la</v>
      </c>
      <c r="L555" s="6327" t="str">
        <v>rechercher la cellule qui coupe le texte Dans la</v>
      </c>
      <c r="M555" s="6329"/>
      <c r="N555" t="s">
        <v>21</v>
      </c>
      <c r="AV555" s="103"/>
      <c r="AW555" s="31"/>
      <c r="AX555" s="32"/>
      <c r="AY555" s="31"/>
      <c r="AZ555" s="33"/>
      <c r="BA555" s="1967"/>
      <c r="BB555" s="1805"/>
      <c r="BC555" s="91"/>
      <c r="BD555" s="1806"/>
      <c r="BE555" s="6401"/>
      <c r="BF555" s="6402"/>
      <c r="BG555" s="1969"/>
      <c r="BH555" s="6403"/>
      <c r="BI555" s="95"/>
      <c r="BJ555" s="1326"/>
      <c r="BK555" s="6404"/>
      <c r="BL555" s="1737"/>
      <c r="BM555" s="2081"/>
      <c r="BN555" s="2238"/>
      <c r="BO555" s="1809"/>
      <c r="BR555" s="3">
        <v>1</v>
      </c>
    </row>
    <row r="556" spans="2:70" ht="21" customHeight="1">
      <c r="B556" s="6236"/>
      <c r="C556" s="6358">
        <f t="shared" si="213"/>
        <v>150</v>
      </c>
      <c r="D556" s="6390" t="str" cm="1">
        <f t="array" ref="D556">IF(MOD(ROW()-50,14)=0,INDEX(D554:D567,MOD(ROW()-50,14)+1),E554)</f>
        <v>d’olive à feu moyen. Ajoutez la viande et faites-la dorer de tous les côtés. Retirez-la de la cocotte et réservez-la.</v>
      </c>
      <c r="E556" s="6391" t="str">
        <f t="shared" si="214"/>
        <v/>
      </c>
      <c r="F556" s="6392" t="str">
        <f t="shared" si="215"/>
        <v>d’olive à feu moyen. Ajoutez la viande et faites-la dorer de tous les côtés. Retirez-la de la cocotte et réservez-la.</v>
      </c>
      <c r="G556" s="6321"/>
      <c r="H556" s="6323">
        <f t="shared" si="216"/>
        <v>3</v>
      </c>
      <c r="I556" s="6365">
        <f>Z86</f>
        <v>5</v>
      </c>
      <c r="J556" s="6363" t="str">
        <f t="shared" ref="J556:J567" si="217">TRIM(MID(J555,LEN(K555)+1,99999))</f>
        <v>cocotte N°3 en fonte, faites chauffer l’huile d’olive à feu moyen. Ajoutez la viande et faites-la dorer de tous les côtés. Retirez-la de la cocotte et réservez-la.</v>
      </c>
      <c r="K556" s="6364" t="str">
        <f>IF(J556="","",LEFT(J556,IF(LEN(J556)&lt;=I557,LEN(J556),IFERROR(FIND("§",SUBSTITUTE(LEFT(J556,I557+1)," ","§",LEN(LEFT(J556,I557+1))-LEN(SUBSTITUTE(LEFT(J556,I557+1)," ",""))))-1,IFERROR(FIND(" ",J556,I557+1)-1,LEN(J556))))))</f>
        <v>cocotte N°3 en fonte, faites chauffer l’huile d’olive</v>
      </c>
      <c r="L556" s="6327" t="str">
        <v>cocotte N°3 en fonte, faites chauffer l’huile d’olive</v>
      </c>
      <c r="M556" s="6329"/>
      <c r="N556" t="s">
        <v>21</v>
      </c>
      <c r="AV556" s="103"/>
      <c r="AW556" s="31"/>
      <c r="AX556" s="32"/>
      <c r="AY556" s="31"/>
      <c r="AZ556" s="33"/>
      <c r="BA556" s="1967"/>
      <c r="BB556" s="1805"/>
      <c r="BC556" s="91"/>
      <c r="BD556" s="1806"/>
      <c r="BE556" s="6401"/>
      <c r="BF556" s="6402"/>
      <c r="BG556" s="1969"/>
      <c r="BH556" s="6403"/>
      <c r="BI556" s="95"/>
      <c r="BJ556" s="1326"/>
      <c r="BK556" s="6404"/>
      <c r="BL556" s="1737"/>
      <c r="BM556" s="2081"/>
      <c r="BN556" s="2238"/>
      <c r="BO556" s="1809"/>
      <c r="BR556" s="3">
        <v>1</v>
      </c>
    </row>
    <row r="557" spans="2:70" ht="21" customHeight="1">
      <c r="B557" s="6236"/>
      <c r="C557" s="6358">
        <f t="shared" si="213"/>
        <v>150</v>
      </c>
      <c r="D557" s="6390" t="str" cm="1">
        <f t="array" ref="D557">IF(MOD(ROW()-50,14)=0,INDEX(D554:D567,MOD(ROW()-50,14)+1),E555)</f>
        <v/>
      </c>
      <c r="E557" s="6391" t="str">
        <f t="shared" si="214"/>
        <v/>
      </c>
      <c r="F557" s="6392" t="str">
        <f t="shared" si="215"/>
        <v/>
      </c>
      <c r="G557" s="6321"/>
      <c r="H557" s="6323">
        <f t="shared" si="216"/>
        <v>4</v>
      </c>
      <c r="I557" s="6370">
        <f>IF(OR(J554="",I556="",I556&lt;=0),"",ROUNDUP(LEN(J554)/I556,0))</f>
        <v>53</v>
      </c>
      <c r="J557" s="6363" t="str">
        <f t="shared" si="217"/>
        <v>à feu moyen. Ajoutez la viande et faites-la dorer de tous les côtés. Retirez-la de la cocotte et réservez-la.</v>
      </c>
      <c r="K557" s="6364" t="str">
        <f>IF(J557="","",LEFT(J557,IF(LEN(J557)&lt;=I557,LEN(J557),IFERROR(FIND("§",SUBSTITUTE(LEFT(J557,I557+1)," ","§",LEN(LEFT(J557,I557+1))-LEN(SUBSTITUTE(LEFT(J557,I557+1)," ",""))))-1,IFERROR(FIND(" ",J557,I557+1)-1,LEN(J557))))))</f>
        <v>à feu moyen. Ajoutez la viande et faites-la dorer de</v>
      </c>
      <c r="L557" s="6327" t="str">
        <v>à feu moyen. Ajoutez la viande et faites-la dorer de</v>
      </c>
      <c r="M557" s="6329"/>
      <c r="N557" t="s">
        <v>21</v>
      </c>
      <c r="AV557" s="103"/>
      <c r="AW557" s="31"/>
      <c r="AX557" s="32"/>
      <c r="AY557" s="31"/>
      <c r="AZ557" s="33"/>
      <c r="BA557" s="1967"/>
      <c r="BB557" s="1805"/>
      <c r="BC557" s="91"/>
      <c r="BD557" s="1806"/>
      <c r="BE557" s="6401"/>
      <c r="BF557" s="6402"/>
      <c r="BG557" s="1969"/>
      <c r="BH557" s="6403"/>
      <c r="BI557" s="95"/>
      <c r="BJ557" s="1326"/>
      <c r="BK557" s="6404"/>
      <c r="BL557" s="1737"/>
      <c r="BM557" s="2081"/>
      <c r="BN557" s="2238"/>
      <c r="BO557" s="1809"/>
      <c r="BR557" s="3">
        <v>1</v>
      </c>
    </row>
    <row r="558" spans="2:70" ht="21" customHeight="1">
      <c r="B558" s="6236"/>
      <c r="C558" s="6358">
        <f t="shared" si="213"/>
        <v>150</v>
      </c>
      <c r="D558" s="6390" t="str" cm="1">
        <f t="array" ref="D558">IF(MOD(ROW()-50,14)=0,INDEX(D554:D567,MOD(ROW()-50,14)+1),E556)</f>
        <v/>
      </c>
      <c r="E558" s="6391" t="str">
        <f t="shared" si="214"/>
        <v/>
      </c>
      <c r="F558" s="6392" t="str">
        <f t="shared" si="215"/>
        <v/>
      </c>
      <c r="G558" s="6321"/>
      <c r="H558" s="6323">
        <f t="shared" si="216"/>
        <v>5</v>
      </c>
      <c r="I558" s="6372" t="str">
        <f>I554</f>
        <v>37.TEST LIGNE 19 colonne Q et ligne 20 colonne P. rechercher la cellule qui coupe le texte Dans la cocotte N°3 en fonte, faites chauffer l’huile d’olive à feu moyen. Ajoutez la viande et faites-la dorer de tous les côtés. Retirez-la de la cocotte et réservez-la.</v>
      </c>
      <c r="J558" s="6363" t="str">
        <f t="shared" si="217"/>
        <v>tous les côtés. Retirez-la de la cocotte et réservez-la.</v>
      </c>
      <c r="K558" s="6364" t="str">
        <f>IF(J558="","",LEFT(J558,IF(LEN(J558)&lt;=I557,LEN(J558),IFERROR(FIND("§",SUBSTITUTE(LEFT(J558,I557+1)," ","§",LEN(LEFT(J558,I557+1))-LEN(SUBSTITUTE(LEFT(J558,I557+1)," ",""))))-1,IFERROR(FIND(" ",J558,I557+1)-1,LEN(J558))))))</f>
        <v>tous les côtés. Retirez-la de la cocotte et</v>
      </c>
      <c r="L558" s="6327" t="str">
        <v>tous les côtés. Retirez-la de la cocotte et</v>
      </c>
      <c r="M558" s="6329"/>
      <c r="N558" t="s">
        <v>21</v>
      </c>
      <c r="AV558" s="103"/>
      <c r="AW558" s="31"/>
      <c r="AX558" s="32"/>
      <c r="AY558" s="31"/>
      <c r="AZ558" s="33"/>
      <c r="BA558" s="1967"/>
      <c r="BB558" s="1805"/>
      <c r="BC558" s="91"/>
      <c r="BD558" s="1806"/>
      <c r="BE558" s="6401"/>
      <c r="BF558" s="6402"/>
      <c r="BG558" s="1969"/>
      <c r="BH558" s="6403"/>
      <c r="BI558" s="95"/>
      <c r="BJ558" s="1326"/>
      <c r="BK558" s="6404"/>
      <c r="BL558" s="1737"/>
      <c r="BM558" s="2081"/>
      <c r="BN558" s="2238"/>
      <c r="BO558" s="1809"/>
      <c r="BR558" s="3">
        <v>1</v>
      </c>
    </row>
    <row r="559" spans="2:70" ht="21" customHeight="1">
      <c r="B559" s="6236"/>
      <c r="C559" s="6358">
        <f t="shared" si="213"/>
        <v>150</v>
      </c>
      <c r="D559" s="6390" t="str" cm="1">
        <f t="array" ref="D559">IF(MOD(ROW()-50,14)=0,INDEX(D554:D567,MOD(ROW()-50,14)+1),E557)</f>
        <v/>
      </c>
      <c r="E559" s="6391" t="str">
        <f t="shared" si="214"/>
        <v/>
      </c>
      <c r="F559" s="6392" t="str">
        <f t="shared" si="215"/>
        <v/>
      </c>
      <c r="G559" s="6321"/>
      <c r="H559" s="6323">
        <f t="shared" si="216"/>
        <v>6</v>
      </c>
      <c r="I559" s="6373"/>
      <c r="J559" s="6363" t="str">
        <f t="shared" si="217"/>
        <v>réservez-la.</v>
      </c>
      <c r="K559" s="6364" t="str">
        <f>IF(J559="","",LEFT(J559,IF(LEN(J559)&lt;=I557,LEN(J559),IFERROR(FIND("§",SUBSTITUTE(LEFT(J559,I557+1)," ","§",LEN(LEFT(J559,I557+1))-LEN(SUBSTITUTE(LEFT(J559,I557+1)," ",""))))-1,IFERROR(FIND(" ",J559,I557+1)-1,LEN(J559))))))</f>
        <v>réservez-la.</v>
      </c>
      <c r="L559" s="6327" t="str">
        <v>réservez-la.</v>
      </c>
      <c r="M559" s="6329"/>
      <c r="N559" t="s">
        <v>21</v>
      </c>
      <c r="AV559" s="103"/>
      <c r="AW559" s="31"/>
      <c r="AX559" s="32"/>
      <c r="AY559" s="31"/>
      <c r="AZ559" s="33"/>
      <c r="BA559" s="1967"/>
      <c r="BB559" s="1805"/>
      <c r="BC559" s="91"/>
      <c r="BD559" s="1806"/>
      <c r="BE559" s="6401"/>
      <c r="BF559" s="6402"/>
      <c r="BG559" s="1969"/>
      <c r="BH559" s="6403"/>
      <c r="BI559" s="95"/>
      <c r="BJ559" s="1326"/>
      <c r="BK559" s="6404"/>
      <c r="BL559" s="1737"/>
      <c r="BM559" s="2081"/>
      <c r="BN559" s="2238"/>
      <c r="BO559" s="1809"/>
      <c r="BR559" s="3">
        <v>1</v>
      </c>
    </row>
    <row r="560" spans="2:70" ht="21" customHeight="1">
      <c r="B560" s="6236"/>
      <c r="C560" s="6358">
        <f t="shared" si="213"/>
        <v>150</v>
      </c>
      <c r="D560" s="6390" t="str" cm="1">
        <f t="array" ref="D560">IF(MOD(ROW()-50,14)=0,INDEX(D554:D567,MOD(ROW()-50,14)+1),E558)</f>
        <v/>
      </c>
      <c r="E560" s="6391" t="str">
        <f t="shared" si="214"/>
        <v/>
      </c>
      <c r="F560" s="6392" t="str">
        <f t="shared" si="215"/>
        <v/>
      </c>
      <c r="G560" s="6321"/>
      <c r="H560" s="6323" t="str">
        <f t="shared" si="216"/>
        <v/>
      </c>
      <c r="I560" s="6373"/>
      <c r="J560" s="6363" t="str">
        <f t="shared" si="217"/>
        <v/>
      </c>
      <c r="K560" s="6364" t="str">
        <f>IF(J560="","",LEFT(J560,IF(LEN(J560)&lt;=I557,LEN(J560),IFERROR(FIND("§",SUBSTITUTE(LEFT(J560,I557+1)," ","§",LEN(LEFT(J560,I557+1))-LEN(SUBSTITUTE(LEFT(J560,I557+1)," ",""))))-1,IFERROR(FIND(" ",J560,I557+1)-1,LEN(J560))))))</f>
        <v/>
      </c>
      <c r="L560" s="6327"/>
      <c r="M560" s="6329"/>
      <c r="N560" t="s">
        <v>21</v>
      </c>
      <c r="AV560" s="103"/>
      <c r="AW560" s="31"/>
      <c r="AX560" s="32"/>
      <c r="AY560" s="31"/>
      <c r="AZ560" s="33"/>
      <c r="BA560" s="1967"/>
      <c r="BB560" s="1805"/>
      <c r="BC560" s="91"/>
      <c r="BD560" s="1806"/>
      <c r="BE560" s="6401"/>
      <c r="BF560" s="6402"/>
      <c r="BG560" s="1969"/>
      <c r="BH560" s="6403"/>
      <c r="BI560" s="95"/>
      <c r="BJ560" s="1326"/>
      <c r="BK560" s="6404"/>
      <c r="BL560" s="1737"/>
      <c r="BM560" s="2081"/>
      <c r="BN560" s="2238"/>
      <c r="BO560" s="1809"/>
      <c r="BR560" s="3">
        <v>1</v>
      </c>
    </row>
    <row r="561" spans="2:70" ht="21" customHeight="1">
      <c r="B561" s="6236"/>
      <c r="C561" s="6358">
        <f t="shared" si="213"/>
        <v>150</v>
      </c>
      <c r="D561" s="6390" t="str" cm="1">
        <f t="array" ref="D561">IF(MOD(ROW()-50,14)=0,INDEX(D554:D567,MOD(ROW()-50,14)+1),E559)</f>
        <v/>
      </c>
      <c r="E561" s="6391" t="str">
        <f t="shared" si="214"/>
        <v/>
      </c>
      <c r="F561" s="6392" t="str">
        <f t="shared" si="215"/>
        <v/>
      </c>
      <c r="G561" s="6321"/>
      <c r="H561" s="6323" t="str">
        <f t="shared" si="216"/>
        <v/>
      </c>
      <c r="I561" s="6373"/>
      <c r="J561" s="6363" t="str">
        <f t="shared" si="217"/>
        <v/>
      </c>
      <c r="K561" s="6364" t="str">
        <f>IF(J561="","",LEFT(J561,IF(LEN(J561)&lt;=I557,LEN(J561),IFERROR(FIND("§",SUBSTITUTE(LEFT(J561,I557+1)," ","§",LEN(LEFT(J561,I557+1))-LEN(SUBSTITUTE(LEFT(J561,I557+1)," ",""))))-1,IFERROR(FIND(" ",J561,I557+1)-1,LEN(J561))))))</f>
        <v/>
      </c>
      <c r="L561" s="6327"/>
      <c r="M561" s="6329"/>
      <c r="N561" t="s">
        <v>21</v>
      </c>
      <c r="AV561" s="103"/>
      <c r="AW561" s="31"/>
      <c r="AX561" s="32"/>
      <c r="AY561" s="31"/>
      <c r="AZ561" s="33"/>
      <c r="BA561" s="1967"/>
      <c r="BB561" s="1805"/>
      <c r="BC561" s="91"/>
      <c r="BD561" s="1806"/>
      <c r="BE561" s="6401"/>
      <c r="BF561" s="6402"/>
      <c r="BG561" s="1969"/>
      <c r="BH561" s="6403"/>
      <c r="BI561" s="95"/>
      <c r="BJ561" s="1326"/>
      <c r="BK561" s="6404"/>
      <c r="BL561" s="1737"/>
      <c r="BM561" s="2081"/>
      <c r="BN561" s="2238"/>
      <c r="BO561" s="1809"/>
      <c r="BR561" s="3">
        <v>1</v>
      </c>
    </row>
    <row r="562" spans="2:70" ht="21" customHeight="1">
      <c r="B562" s="6236"/>
      <c r="C562" s="6358">
        <f t="shared" si="213"/>
        <v>150</v>
      </c>
      <c r="D562" s="6390" t="str" cm="1">
        <f t="array" ref="D562">IF(MOD(ROW()-50,14)=0,INDEX(D554:D567,MOD(ROW()-50,14)+1),E560)</f>
        <v/>
      </c>
      <c r="E562" s="6391" t="str">
        <f t="shared" si="214"/>
        <v/>
      </c>
      <c r="F562" s="6392" t="str">
        <f t="shared" si="215"/>
        <v/>
      </c>
      <c r="G562" s="6321"/>
      <c r="H562" s="6323" t="str">
        <f t="shared" si="216"/>
        <v/>
      </c>
      <c r="I562" s="6373"/>
      <c r="J562" s="6363" t="str">
        <f t="shared" si="217"/>
        <v/>
      </c>
      <c r="K562" s="6364" t="str">
        <f>IF(J562="","",LEFT(J562,IF(LEN(J562)&lt;=I557,LEN(J562),IFERROR(FIND("§",SUBSTITUTE(LEFT(J562,I557+1)," ","§",LEN(LEFT(J562,I557+1))-LEN(SUBSTITUTE(LEFT(J562,I557+1)," ",""))))-1,IFERROR(FIND(" ",J562,I557+1)-1,LEN(J562))))))</f>
        <v/>
      </c>
      <c r="L562" s="6327"/>
      <c r="M562" s="6329"/>
      <c r="N562" t="s">
        <v>21</v>
      </c>
      <c r="AV562" s="103"/>
      <c r="AW562" s="31"/>
      <c r="AX562" s="32"/>
      <c r="AY562" s="31"/>
      <c r="AZ562" s="33"/>
      <c r="BA562" s="1967"/>
      <c r="BB562" s="1805"/>
      <c r="BC562" s="91"/>
      <c r="BD562" s="1806"/>
      <c r="BE562" s="6401"/>
      <c r="BF562" s="6402"/>
      <c r="BG562" s="1969"/>
      <c r="BH562" s="6403"/>
      <c r="BI562" s="95"/>
      <c r="BJ562" s="1326"/>
      <c r="BK562" s="6404"/>
      <c r="BL562" s="1737"/>
      <c r="BM562" s="2081"/>
      <c r="BN562" s="2238"/>
      <c r="BO562" s="1809"/>
      <c r="BR562" s="3">
        <v>1</v>
      </c>
    </row>
    <row r="563" spans="2:70" ht="21" customHeight="1">
      <c r="B563" s="6236"/>
      <c r="C563" s="6358">
        <f t="shared" si="213"/>
        <v>150</v>
      </c>
      <c r="D563" s="6390" t="str" cm="1">
        <f t="array" ref="D563">IF(MOD(ROW()-50,14)=0,INDEX(D554:D567,MOD(ROW()-50,14)+1),E561)</f>
        <v/>
      </c>
      <c r="E563" s="6391" t="str">
        <f t="shared" si="214"/>
        <v/>
      </c>
      <c r="F563" s="6392" t="str">
        <f t="shared" si="215"/>
        <v/>
      </c>
      <c r="G563" s="6321"/>
      <c r="H563" s="6323" t="str">
        <f t="shared" si="216"/>
        <v/>
      </c>
      <c r="I563" s="6373"/>
      <c r="J563" s="6363" t="str">
        <f t="shared" si="217"/>
        <v/>
      </c>
      <c r="K563" s="6364" t="str">
        <f>IF(J563="","",LEFT(J563,IF(LEN(J563)&lt;=I557,LEN(J563),IFERROR(FIND("§",SUBSTITUTE(LEFT(J563,I557+1)," ","§",LEN(LEFT(J563,I557+1))-LEN(SUBSTITUTE(LEFT(J563,I557+1)," ",""))))-1,IFERROR(FIND(" ",J563,I557+1)-1,LEN(J563))))))</f>
        <v/>
      </c>
      <c r="L563" s="6327"/>
      <c r="M563" s="6329"/>
      <c r="N563" t="s">
        <v>21</v>
      </c>
      <c r="AV563" s="103"/>
      <c r="AW563" s="31"/>
      <c r="AX563" s="32"/>
      <c r="AY563" s="31"/>
      <c r="AZ563" s="33"/>
      <c r="BA563" s="1967"/>
      <c r="BB563" s="1805"/>
      <c r="BC563" s="91"/>
      <c r="BD563" s="1806"/>
      <c r="BE563" s="6401"/>
      <c r="BF563" s="6402"/>
      <c r="BG563" s="1969"/>
      <c r="BH563" s="6403"/>
      <c r="BI563" s="95"/>
      <c r="BJ563" s="1326"/>
      <c r="BK563" s="6404"/>
      <c r="BL563" s="1737"/>
      <c r="BM563" s="2081"/>
      <c r="BN563" s="2238"/>
      <c r="BO563" s="1809"/>
      <c r="BR563" s="3">
        <v>1</v>
      </c>
    </row>
    <row r="564" spans="2:70" ht="21" customHeight="1">
      <c r="B564" s="6236"/>
      <c r="C564" s="6358">
        <f t="shared" si="213"/>
        <v>150</v>
      </c>
      <c r="D564" s="6390" t="str" cm="1">
        <f t="array" ref="D564">IF(MOD(ROW()-50,14)=0,INDEX(D554:D567,MOD(ROW()-50,14)+1),E562)</f>
        <v/>
      </c>
      <c r="E564" s="6391" t="str">
        <f t="shared" si="214"/>
        <v/>
      </c>
      <c r="F564" s="6392" t="str">
        <f t="shared" si="215"/>
        <v/>
      </c>
      <c r="G564" s="6321"/>
      <c r="H564" s="6323" t="str">
        <f t="shared" si="216"/>
        <v/>
      </c>
      <c r="I564" s="6373"/>
      <c r="J564" s="6363" t="str">
        <f t="shared" si="217"/>
        <v/>
      </c>
      <c r="K564" s="6364" t="str">
        <f>IF(J564="","",LEFT(J564,IF(LEN(J564)&lt;=I557,LEN(J564),IFERROR(FIND("§",SUBSTITUTE(LEFT(J564,I557+1)," ","§",LEN(LEFT(J564,I557+1))-LEN(SUBSTITUTE(LEFT(J564,I557+1)," ",""))))-1,IFERROR(FIND(" ",J564,I557+1)-1,LEN(J564))))))</f>
        <v/>
      </c>
      <c r="L564" s="6327"/>
      <c r="M564" s="6329"/>
      <c r="N564" t="s">
        <v>21</v>
      </c>
      <c r="AV564" s="103"/>
      <c r="AW564" s="31"/>
      <c r="AX564" s="32"/>
      <c r="AY564" s="31"/>
      <c r="AZ564" s="33"/>
      <c r="BA564" s="1967"/>
      <c r="BB564" s="1805"/>
      <c r="BC564" s="91"/>
      <c r="BD564" s="1806"/>
      <c r="BE564" s="6401"/>
      <c r="BF564" s="6402"/>
      <c r="BG564" s="1969"/>
      <c r="BH564" s="6403"/>
      <c r="BI564" s="95"/>
      <c r="BJ564" s="1326"/>
      <c r="BK564" s="6404"/>
      <c r="BL564" s="1737"/>
      <c r="BM564" s="2081"/>
      <c r="BN564" s="2238"/>
      <c r="BO564" s="1809"/>
      <c r="BR564" s="3">
        <v>1</v>
      </c>
    </row>
    <row r="565" spans="2:70" ht="21" customHeight="1">
      <c r="B565" s="6236"/>
      <c r="C565" s="6358">
        <f t="shared" si="213"/>
        <v>150</v>
      </c>
      <c r="D565" s="6390" t="str" cm="1">
        <f t="array" ref="D565">IF(MOD(ROW()-50,14)=0,INDEX(D554:D567,MOD(ROW()-50,14)+1),E563)</f>
        <v/>
      </c>
      <c r="E565" s="6391" t="str">
        <f t="shared" si="214"/>
        <v/>
      </c>
      <c r="F565" s="6392" t="str">
        <f t="shared" si="215"/>
        <v/>
      </c>
      <c r="G565" s="6321"/>
      <c r="H565" s="6323" t="str">
        <f t="shared" si="216"/>
        <v/>
      </c>
      <c r="I565" s="6373"/>
      <c r="J565" s="6363" t="str">
        <f t="shared" si="217"/>
        <v/>
      </c>
      <c r="K565" s="6364" t="str">
        <f>IF(J565="","",LEFT(J565,IF(LEN(J565)&lt;=I557,LEN(J565),IFERROR(FIND("§",SUBSTITUTE(LEFT(J565,I557+1)," ","§",LEN(LEFT(J565,I557+1))-LEN(SUBSTITUTE(LEFT(J565,I557+1)," ",""))))-1,IFERROR(FIND(" ",J565,I557+1)-1,LEN(J565))))))</f>
        <v/>
      </c>
      <c r="L565" s="6327"/>
      <c r="M565" s="6329"/>
      <c r="N565" t="s">
        <v>21</v>
      </c>
      <c r="AV565" s="103"/>
      <c r="AW565" s="31"/>
      <c r="AX565" s="32"/>
      <c r="AY565" s="31"/>
      <c r="AZ565" s="33"/>
      <c r="BA565" s="1967"/>
      <c r="BB565" s="1805"/>
      <c r="BC565" s="91"/>
      <c r="BD565" s="1806"/>
      <c r="BE565" s="6401"/>
      <c r="BF565" s="6402"/>
      <c r="BG565" s="1969"/>
      <c r="BH565" s="6403"/>
      <c r="BI565" s="95"/>
      <c r="BJ565" s="1326"/>
      <c r="BK565" s="6404"/>
      <c r="BL565" s="1737"/>
      <c r="BM565" s="2081"/>
      <c r="BN565" s="2238"/>
      <c r="BO565" s="1809"/>
      <c r="BR565" s="3">
        <v>1</v>
      </c>
    </row>
    <row r="566" spans="2:70" ht="21" customHeight="1">
      <c r="B566" s="6236"/>
      <c r="C566" s="6358">
        <f t="shared" si="213"/>
        <v>150</v>
      </c>
      <c r="D566" s="6390" t="str" cm="1">
        <f t="array" ref="D566">IF(MOD(ROW()-50,14)=0,INDEX(D554:D567,MOD(ROW()-50,14)+1),E564)</f>
        <v/>
      </c>
      <c r="E566" s="6391" t="str">
        <f t="shared" si="214"/>
        <v/>
      </c>
      <c r="F566" s="6392" t="str">
        <f t="shared" si="215"/>
        <v/>
      </c>
      <c r="G566" s="6321"/>
      <c r="H566" s="6323" t="str">
        <f t="shared" si="216"/>
        <v/>
      </c>
      <c r="I566" s="6373"/>
      <c r="J566" s="6363" t="str">
        <f t="shared" si="217"/>
        <v/>
      </c>
      <c r="K566" s="6364" t="str">
        <f>IF(J566="","",LEFT(J566,IF(LEN(J566)&lt;=I557,LEN(J566),IFERROR(FIND("§",SUBSTITUTE(LEFT(J566,I557+1)," ","§",LEN(LEFT(J566,I557+1))-LEN(SUBSTITUTE(LEFT(J566,I557+1)," ",""))))-1,IFERROR(FIND(" ",J566,I557+1)-1,LEN(J566))))))</f>
        <v/>
      </c>
      <c r="L566" s="6364"/>
      <c r="M566" s="6329"/>
      <c r="N566" t="s">
        <v>21</v>
      </c>
      <c r="AV566" s="103"/>
      <c r="AW566" s="31"/>
      <c r="AX566" s="32"/>
      <c r="AY566" s="31"/>
      <c r="AZ566" s="33"/>
      <c r="BA566" s="1967"/>
      <c r="BB566" s="1805"/>
      <c r="BC566" s="91"/>
      <c r="BD566" s="1806"/>
      <c r="BE566" s="6401"/>
      <c r="BF566" s="6402"/>
      <c r="BG566" s="1969"/>
      <c r="BH566" s="6403"/>
      <c r="BI566" s="95"/>
      <c r="BJ566" s="1326"/>
      <c r="BK566" s="6404"/>
      <c r="BL566" s="1737"/>
      <c r="BM566" s="2081"/>
      <c r="BN566" s="2238"/>
      <c r="BO566" s="1809"/>
      <c r="BR566" s="3">
        <v>1</v>
      </c>
    </row>
    <row r="567" spans="2:70" ht="21" customHeight="1">
      <c r="B567" s="6236"/>
      <c r="C567" s="6376">
        <f t="shared" si="213"/>
        <v>150</v>
      </c>
      <c r="D567" s="6406" t="str" cm="1">
        <f t="array" ref="D567">IF(MOD(ROW()-50,14)=0,INDEX(D554:D567,MOD(ROW()-50,14)+1),E565)</f>
        <v/>
      </c>
      <c r="E567" s="6407" t="str">
        <f t="shared" si="214"/>
        <v/>
      </c>
      <c r="F567" s="6408" t="str">
        <f t="shared" si="215"/>
        <v/>
      </c>
      <c r="G567" s="6322"/>
      <c r="H567" s="6323" t="str">
        <f t="shared" si="216"/>
        <v/>
      </c>
      <c r="I567" s="6379"/>
      <c r="J567" s="6380" t="str">
        <f t="shared" si="217"/>
        <v/>
      </c>
      <c r="K567" s="6381" t="str">
        <f>IF(J567="","",LEFT(J567,IF(LEN(J567)&lt;=I557,LEN(J567),IFERROR(FIND("§",SUBSTITUTE(LEFT(J567,I557+1)," ","§",LEN(LEFT(J567,I557+1))-LEN(SUBSTITUTE(LEFT(J567,I557+1)," ",""))))-1,IFERROR(FIND(" ",J567,I557+1)-1,LEN(J567))))))</f>
        <v/>
      </c>
      <c r="L567" s="6382"/>
      <c r="M567" s="6330"/>
      <c r="N567" t="s">
        <v>21</v>
      </c>
      <c r="AV567" s="103"/>
      <c r="AW567" s="31"/>
      <c r="AX567" s="32"/>
      <c r="AY567" s="31"/>
      <c r="AZ567" s="33"/>
      <c r="BA567" s="1967"/>
      <c r="BB567" s="1805"/>
      <c r="BC567" s="91"/>
      <c r="BD567" s="1806"/>
      <c r="BE567" s="6401"/>
      <c r="BF567" s="6402"/>
      <c r="BG567" s="1969"/>
      <c r="BH567" s="6403"/>
      <c r="BI567" s="95"/>
      <c r="BJ567" s="1326"/>
      <c r="BK567" s="6404"/>
      <c r="BL567" s="1737"/>
      <c r="BM567" s="2081"/>
      <c r="BN567" s="2238"/>
      <c r="BO567" s="1809"/>
      <c r="BR567" s="3">
        <v>1</v>
      </c>
    </row>
    <row r="568" spans="2:70" ht="21" customHeight="1">
      <c r="B568" s="6236"/>
      <c r="C568" s="6313">
        <f>AD87</f>
        <v>150</v>
      </c>
      <c r="D568" s="6314" t="str">
        <f>IF(UPPER(TRIM(X45))="X",U87,O87)</f>
        <v>38.TEST LIGNE 19 colonne Q et ligne 20 colonne P. rechercher la cellule qui coupe le texte Dans la cocotte N°3 en fonte, faites chauffer l’huile d’olive à feu moyen. Ajoutez la viande et faites-la dorer de tous les côtés. Retirez-la de la cocotte et réservez-la.</v>
      </c>
      <c r="E568" s="6315" t="str">
        <f>IF(D568="","",IF(F568="","",IF(LEN(F568)&gt;=LEN(D568),"",TRIM(MID(D568,LEN(F568)+1,99999)))))</f>
        <v>d’olive à feu moyen. Ajoutez la viande et faites-la dorer de tous les côtés. Retirez-la de la cocotte et réservez-la.</v>
      </c>
      <c r="F568" s="6316" t="str">
        <f>IF(D568="","",IF(LEN(D568)&lt;=C568,D568,IFERROR(LEFT(D568,FIND("§",SUBSTITUTE(LEFT(D568,C568+1)," ","§",LEN(LEFT(D568,C568+1))-LEN(SUBSTITUTE(LEFT(D568,C568+1)," ",""))))-1),LEFT(D568,C568))))</f>
        <v>38.TEST LIGNE 19 colonne Q et ligne 20 colonne P. rechercher la cellule qui coupe le texte Dans la cocotte N°3 en fonte, faites chauffer l’huile</v>
      </c>
      <c r="G568" s="6317"/>
      <c r="H568" s="6385">
        <f>IF(LEN(TRIM(L568))&gt;0,MAX(H567:H567)+1,"")</f>
        <v>1</v>
      </c>
      <c r="I568" s="6324" t="str">
        <f>D568</f>
        <v>38.TEST LIGNE 19 colonne Q et ligne 20 colonne P. rechercher la cellule qui coupe le texte Dans la cocotte N°3 en fonte, faites chauffer l’huile d’olive à feu moyen. Ajoutez la viande et faites-la dorer de tous les côtés. Retirez-la de la cocotte et réservez-la.</v>
      </c>
      <c r="J568" s="6386" t="str">
        <f>IF(I568=0,"",I568)</f>
        <v>38.TEST LIGNE 19 colonne Q et ligne 20 colonne P. rechercher la cellule qui coupe le texte Dans la cocotte N°3 en fonte, faites chauffer l’huile d’olive à feu moyen. Ajoutez la viande et faites-la dorer de tous les côtés. Retirez-la de la cocotte et réservez-la.</v>
      </c>
      <c r="K568" s="6387" t="str">
        <f>IF(I568="","",LEFT(I568,IF(LEN(I568)&lt;=I571,LEN(I568),IFERROR(FIND("§",SUBSTITUTE(LEFT(I568,I571+1)," ","§",LEN(LEFT(I568,I571+1))-LEN(SUBSTITUTE(LEFT(I568,I571+1)," ",""))))-1,IFERROR(FIND(" ",I568,I571+1)-1,LEN(I568))))))</f>
        <v>38.TEST LIGNE 19 colonne Q et ligne 20 colonne P.</v>
      </c>
      <c r="L568" s="6388" t="str" cm="1">
        <f t="array" ref="L568:L573">_xlfn._xlws.FILTER(TRIM(SUBSTITUTE(SUBSTITUTE(SUBSTITUTE(SUBSTITUTE(SUBSTITUTE(CLEAN(K568:K581),CHAR(160)," "),_xlfn.UNICHAR(8239)," "),CHAR(9)," "),CHAR(10)," "),CHAR(13)," ")),TRIM(SUBSTITUTE(SUBSTITUTE(SUBSTITUTE(SUBSTITUTE(SUBSTITUTE(CLEAN(K568:K581),CHAR(160)," "),_xlfn.UNICHAR(8239)," "),CHAR(9)," "),CHAR(10)," "),CHAR(13)," "))&lt;&gt;"")</f>
        <v>38.TEST LIGNE 19 colonne Q et ligne 20 colonne P.</v>
      </c>
      <c r="M568" s="6331"/>
      <c r="N568" t="s">
        <v>21</v>
      </c>
      <c r="AV568" s="103"/>
      <c r="AW568" s="31"/>
      <c r="AX568" s="32"/>
      <c r="AY568" s="31"/>
      <c r="AZ568" s="33"/>
      <c r="BA568" s="1967"/>
      <c r="BB568" s="1805"/>
      <c r="BC568" s="91"/>
      <c r="BD568" s="1806"/>
      <c r="BE568" s="6401"/>
      <c r="BF568" s="6402"/>
      <c r="BG568" s="1969"/>
      <c r="BH568" s="6403"/>
      <c r="BI568" s="95"/>
      <c r="BJ568" s="1326"/>
      <c r="BK568" s="6404"/>
      <c r="BL568" s="1737"/>
      <c r="BM568" s="2081"/>
      <c r="BN568" s="2238"/>
      <c r="BO568" s="1809"/>
      <c r="BR568" s="3">
        <v>1</v>
      </c>
    </row>
    <row r="569" spans="2:70" ht="21" customHeight="1">
      <c r="B569" s="6236"/>
      <c r="C569" s="6358">
        <f t="shared" ref="C569:C581" si="218">C568</f>
        <v>150</v>
      </c>
      <c r="D569" s="6359" t="str" cm="1">
        <f t="array" ref="D569">IF(MOD(ROW()-50,14)=0,INDEX(D568:D581,MOD(ROW()-50,14)+1),E567)</f>
        <v/>
      </c>
      <c r="E569" s="6360" t="str">
        <f t="shared" ref="E569:E581" si="219">IF(D569="","",IF(F569="","",IF(LEN(F569)&gt;=LEN(D569),"",TRIM(MID(D569,LEN(F569)+1,99999)))))</f>
        <v/>
      </c>
      <c r="F569" s="6361" t="str">
        <f t="shared" ref="F569:F581" si="220">IF(D569="","",IF(LEN(D569)&lt;=C569,D569,IFERROR(LEFT(D569,FIND("§",SUBSTITUTE(LEFT(D569,C569+1)," ","§",LEN(LEFT(D569,C569+1))-LEN(SUBSTITUTE(LEFT(D569,C569+1)," ",""))))-1),LEFT(D569,C569))))</f>
        <v/>
      </c>
      <c r="G569" s="6318"/>
      <c r="H569" s="6393">
        <f t="shared" ref="H569:H581" si="221">IF(LEN(TRIM(L569))&gt;0,MAX(H568:H568)+1,"")</f>
        <v>2</v>
      </c>
      <c r="I569" s="6394" t="s">
        <v>14355</v>
      </c>
      <c r="J569" s="6395" t="str">
        <f>TRIM(MID(I572,LEN(K568)+1,99999))</f>
        <v>rechercher la cellule qui coupe le texte Dans la cocotte N°3 en fonte, faites chauffer l’huile d’olive à feu moyen. Ajoutez la viande et faites-la dorer de tous les côtés. Retirez-la de la cocotte et réservez-la.</v>
      </c>
      <c r="K569" s="6396" t="str">
        <f>IF(J569="","",LEFT(J569,IF(LEN(J569)&lt;=I571,LEN(J569),IFERROR(FIND("§",SUBSTITUTE(LEFT(J569,I571+1)," ","§",LEN(LEFT(J569,I571+1))-LEN(SUBSTITUTE(LEFT(J569,I571+1)," ",""))))-1,IFERROR(FIND(" ",J569,I571+1)-1,LEN(J569))))))</f>
        <v>rechercher la cellule qui coupe le texte Dans la</v>
      </c>
      <c r="L569" s="6388" t="str">
        <v>rechercher la cellule qui coupe le texte Dans la</v>
      </c>
      <c r="M569" s="6332"/>
      <c r="N569" t="s">
        <v>21</v>
      </c>
      <c r="AV569" s="103"/>
      <c r="AW569" s="31"/>
      <c r="AX569" s="32"/>
      <c r="AY569" s="31"/>
      <c r="AZ569" s="33"/>
      <c r="BA569" s="1967"/>
      <c r="BB569" s="1805"/>
      <c r="BC569" s="91"/>
      <c r="BD569" s="1806"/>
      <c r="BE569" s="6401"/>
      <c r="BF569" s="6402"/>
      <c r="BG569" s="1969"/>
      <c r="BH569" s="6403"/>
      <c r="BI569" s="95"/>
      <c r="BJ569" s="1326"/>
      <c r="BK569" s="6404"/>
      <c r="BL569" s="1737"/>
      <c r="BM569" s="2081"/>
      <c r="BN569" s="2238"/>
      <c r="BO569" s="1809"/>
      <c r="BR569" s="3">
        <v>1</v>
      </c>
    </row>
    <row r="570" spans="2:70" ht="21" customHeight="1">
      <c r="B570" s="6236"/>
      <c r="C570" s="6358">
        <f t="shared" si="218"/>
        <v>150</v>
      </c>
      <c r="D570" s="6359" t="str" cm="1">
        <f t="array" ref="D570">IF(MOD(ROW()-50,14)=0,INDEX(D568:D581,MOD(ROW()-50,14)+1),E568)</f>
        <v>d’olive à feu moyen. Ajoutez la viande et faites-la dorer de tous les côtés. Retirez-la de la cocotte et réservez-la.</v>
      </c>
      <c r="E570" s="6360" t="str">
        <f t="shared" si="219"/>
        <v/>
      </c>
      <c r="F570" s="6361" t="str">
        <f t="shared" si="220"/>
        <v>d’olive à feu moyen. Ajoutez la viande et faites-la dorer de tous les côtés. Retirez-la de la cocotte et réservez-la.</v>
      </c>
      <c r="G570" s="6318"/>
      <c r="H570" s="6393">
        <f t="shared" si="221"/>
        <v>3</v>
      </c>
      <c r="I570" s="6365">
        <f>Z87</f>
        <v>5</v>
      </c>
      <c r="J570" s="6395" t="str">
        <f t="shared" ref="J570:J581" si="222">TRIM(MID(J569,LEN(K569)+1,99999))</f>
        <v>cocotte N°3 en fonte, faites chauffer l’huile d’olive à feu moyen. Ajoutez la viande et faites-la dorer de tous les côtés. Retirez-la de la cocotte et réservez-la.</v>
      </c>
      <c r="K570" s="6396" t="str">
        <f>IF(J570="","",LEFT(J570,IF(LEN(J570)&lt;=I571,LEN(J570),IFERROR(FIND("§",SUBSTITUTE(LEFT(J570,I571+1)," ","§",LEN(LEFT(J570,I571+1))-LEN(SUBSTITUTE(LEFT(J570,I571+1)," ",""))))-1,IFERROR(FIND(" ",J570,I571+1)-1,LEN(J570))))))</f>
        <v>cocotte N°3 en fonte, faites chauffer l’huile d’olive</v>
      </c>
      <c r="L570" s="6388" t="str">
        <v>cocotte N°3 en fonte, faites chauffer l’huile d’olive</v>
      </c>
      <c r="M570" s="6332"/>
      <c r="N570" t="s">
        <v>21</v>
      </c>
      <c r="AV570" s="103"/>
      <c r="AW570" s="31"/>
      <c r="AX570" s="32"/>
      <c r="AY570" s="31"/>
      <c r="AZ570" s="33"/>
      <c r="BA570" s="1967"/>
      <c r="BB570" s="1805"/>
      <c r="BC570" s="91"/>
      <c r="BD570" s="1806"/>
      <c r="BE570" s="6401"/>
      <c r="BF570" s="6402"/>
      <c r="BG570" s="1969"/>
      <c r="BH570" s="6403"/>
      <c r="BI570" s="95"/>
      <c r="BJ570" s="1326"/>
      <c r="BK570" s="6404"/>
      <c r="BL570" s="1737"/>
      <c r="BM570" s="2081"/>
      <c r="BN570" s="2238"/>
      <c r="BO570" s="1809"/>
      <c r="BR570" s="3">
        <v>1</v>
      </c>
    </row>
    <row r="571" spans="2:70" ht="21" customHeight="1">
      <c r="B571" s="6236"/>
      <c r="C571" s="6358">
        <f t="shared" si="218"/>
        <v>150</v>
      </c>
      <c r="D571" s="6359" t="str" cm="1">
        <f t="array" ref="D571">IF(MOD(ROW()-50,14)=0,INDEX(D568:D581,MOD(ROW()-50,14)+1),E569)</f>
        <v/>
      </c>
      <c r="E571" s="6360" t="str">
        <f t="shared" si="219"/>
        <v/>
      </c>
      <c r="F571" s="6361" t="str">
        <f t="shared" si="220"/>
        <v/>
      </c>
      <c r="G571" s="6318"/>
      <c r="H571" s="6393">
        <f t="shared" si="221"/>
        <v>4</v>
      </c>
      <c r="I571" s="6398">
        <f>IF(OR(J568="",I570="",I570&lt;=0),"",ROUNDUP(LEN(J568)/I570,0))</f>
        <v>53</v>
      </c>
      <c r="J571" s="6395" t="str">
        <f t="shared" si="222"/>
        <v>à feu moyen. Ajoutez la viande et faites-la dorer de tous les côtés. Retirez-la de la cocotte et réservez-la.</v>
      </c>
      <c r="K571" s="6396" t="str">
        <f>IF(J571="","",LEFT(J571,IF(LEN(J571)&lt;=I571,LEN(J571),IFERROR(FIND("§",SUBSTITUTE(LEFT(J571,I571+1)," ","§",LEN(LEFT(J571,I571+1))-LEN(SUBSTITUTE(LEFT(J571,I571+1)," ",""))))-1,IFERROR(FIND(" ",J571,I571+1)-1,LEN(J571))))))</f>
        <v>à feu moyen. Ajoutez la viande et faites-la dorer de</v>
      </c>
      <c r="L571" s="6388" t="str">
        <v>à feu moyen. Ajoutez la viande et faites-la dorer de</v>
      </c>
      <c r="M571" s="6332"/>
      <c r="N571" t="s">
        <v>21</v>
      </c>
      <c r="AV571" s="103"/>
      <c r="AW571" s="31"/>
      <c r="AX571" s="32"/>
      <c r="AY571" s="31"/>
      <c r="AZ571" s="33"/>
      <c r="BA571" s="1967"/>
      <c r="BB571" s="1805"/>
      <c r="BC571" s="91"/>
      <c r="BD571" s="1806"/>
      <c r="BE571" s="6401"/>
      <c r="BF571" s="6402"/>
      <c r="BG571" s="1969"/>
      <c r="BH571" s="6403"/>
      <c r="BI571" s="95"/>
      <c r="BJ571" s="1326"/>
      <c r="BK571" s="6404"/>
      <c r="BL571" s="1737"/>
      <c r="BM571" s="2081"/>
      <c r="BN571" s="2238"/>
      <c r="BO571" s="1809"/>
      <c r="BR571" s="3">
        <v>1</v>
      </c>
    </row>
    <row r="572" spans="2:70" ht="21" customHeight="1">
      <c r="B572" s="6236"/>
      <c r="C572" s="6358">
        <f t="shared" si="218"/>
        <v>150</v>
      </c>
      <c r="D572" s="6359" t="str" cm="1">
        <f t="array" ref="D572">IF(MOD(ROW()-50,14)=0,INDEX(D568:D581,MOD(ROW()-50,14)+1),E570)</f>
        <v/>
      </c>
      <c r="E572" s="6360" t="str">
        <f t="shared" si="219"/>
        <v/>
      </c>
      <c r="F572" s="6361" t="str">
        <f t="shared" si="220"/>
        <v/>
      </c>
      <c r="G572" s="6318"/>
      <c r="H572" s="6393">
        <f t="shared" si="221"/>
        <v>5</v>
      </c>
      <c r="I572" s="6400" t="str">
        <f>I568</f>
        <v>38.TEST LIGNE 19 colonne Q et ligne 20 colonne P. rechercher la cellule qui coupe le texte Dans la cocotte N°3 en fonte, faites chauffer l’huile d’olive à feu moyen. Ajoutez la viande et faites-la dorer de tous les côtés. Retirez-la de la cocotte et réservez-la.</v>
      </c>
      <c r="J572" s="6395" t="str">
        <f t="shared" si="222"/>
        <v>tous les côtés. Retirez-la de la cocotte et réservez-la.</v>
      </c>
      <c r="K572" s="6396" t="str">
        <f>IF(J572="","",LEFT(J572,IF(LEN(J572)&lt;=I571,LEN(J572),IFERROR(FIND("§",SUBSTITUTE(LEFT(J572,I571+1)," ","§",LEN(LEFT(J572,I571+1))-LEN(SUBSTITUTE(LEFT(J572,I571+1)," ",""))))-1,IFERROR(FIND(" ",J572,I571+1)-1,LEN(J572))))))</f>
        <v>tous les côtés. Retirez-la de la cocotte et</v>
      </c>
      <c r="L572" s="6388" t="str">
        <v>tous les côtés. Retirez-la de la cocotte et</v>
      </c>
      <c r="M572" s="6332"/>
      <c r="N572" t="s">
        <v>21</v>
      </c>
      <c r="AV572" s="103"/>
      <c r="AW572" s="31"/>
      <c r="AX572" s="32"/>
      <c r="AY572" s="31"/>
      <c r="AZ572" s="33"/>
      <c r="BA572" s="1967"/>
      <c r="BB572" s="1805"/>
      <c r="BC572" s="91"/>
      <c r="BD572" s="1806"/>
      <c r="BE572" s="6401"/>
      <c r="BF572" s="6402"/>
      <c r="BG572" s="1969"/>
      <c r="BH572" s="6403"/>
      <c r="BI572" s="95"/>
      <c r="BJ572" s="1326"/>
      <c r="BK572" s="6404"/>
      <c r="BL572" s="1737"/>
      <c r="BM572" s="2081"/>
      <c r="BN572" s="2238"/>
      <c r="BO572" s="1809"/>
      <c r="BR572" s="3">
        <v>1</v>
      </c>
    </row>
    <row r="573" spans="2:70" ht="21" customHeight="1">
      <c r="B573" s="6236"/>
      <c r="C573" s="6358">
        <f t="shared" si="218"/>
        <v>150</v>
      </c>
      <c r="D573" s="6359" t="str" cm="1">
        <f t="array" ref="D573">IF(MOD(ROW()-50,14)=0,INDEX(D568:D581,MOD(ROW()-50,14)+1),E571)</f>
        <v/>
      </c>
      <c r="E573" s="6360" t="str">
        <f t="shared" si="219"/>
        <v/>
      </c>
      <c r="F573" s="6361" t="str">
        <f t="shared" si="220"/>
        <v/>
      </c>
      <c r="G573" s="6318"/>
      <c r="H573" s="6393">
        <f t="shared" si="221"/>
        <v>6</v>
      </c>
      <c r="I573" s="6405"/>
      <c r="J573" s="6395" t="str">
        <f t="shared" si="222"/>
        <v>réservez-la.</v>
      </c>
      <c r="K573" s="6396" t="str">
        <f>IF(J573="","",LEFT(J573,IF(LEN(J573)&lt;=I571,LEN(J573),IFERROR(FIND("§",SUBSTITUTE(LEFT(J573,I571+1)," ","§",LEN(LEFT(J573,I571+1))-LEN(SUBSTITUTE(LEFT(J573,I571+1)," ",""))))-1,IFERROR(FIND(" ",J573,I571+1)-1,LEN(J573))))))</f>
        <v>réservez-la.</v>
      </c>
      <c r="L573" s="6388" t="str">
        <v>réservez-la.</v>
      </c>
      <c r="M573" s="6332"/>
      <c r="N573" t="s">
        <v>21</v>
      </c>
      <c r="AV573" s="103"/>
      <c r="AW573" s="31"/>
      <c r="AX573" s="32"/>
      <c r="AY573" s="31"/>
      <c r="AZ573" s="33"/>
      <c r="BA573" s="1967"/>
      <c r="BB573" s="1805"/>
      <c r="BC573" s="91"/>
      <c r="BD573" s="1806"/>
      <c r="BE573" s="6401"/>
      <c r="BF573" s="6402"/>
      <c r="BG573" s="1969"/>
      <c r="BH573" s="6403"/>
      <c r="BI573" s="95"/>
      <c r="BJ573" s="1326"/>
      <c r="BK573" s="6404"/>
      <c r="BL573" s="1737"/>
      <c r="BM573" s="2081"/>
      <c r="BN573" s="2238"/>
      <c r="BO573" s="1809"/>
      <c r="BR573" s="3">
        <v>1</v>
      </c>
    </row>
    <row r="574" spans="2:70" ht="21" customHeight="1">
      <c r="B574" s="6236"/>
      <c r="C574" s="6358">
        <f t="shared" si="218"/>
        <v>150</v>
      </c>
      <c r="D574" s="6359" t="str" cm="1">
        <f t="array" ref="D574">IF(MOD(ROW()-50,14)=0,INDEX(D568:D581,MOD(ROW()-50,14)+1),E572)</f>
        <v/>
      </c>
      <c r="E574" s="6360" t="str">
        <f t="shared" si="219"/>
        <v/>
      </c>
      <c r="F574" s="6361" t="str">
        <f t="shared" si="220"/>
        <v/>
      </c>
      <c r="G574" s="6318"/>
      <c r="H574" s="6393" t="str">
        <f t="shared" si="221"/>
        <v/>
      </c>
      <c r="I574" s="6405"/>
      <c r="J574" s="6395" t="str">
        <f t="shared" si="222"/>
        <v/>
      </c>
      <c r="K574" s="6396" t="str">
        <f>IF(J574="","",LEFT(J574,IF(LEN(J574)&lt;=I571,LEN(J574),IFERROR(FIND("§",SUBSTITUTE(LEFT(J574,I571+1)," ","§",LEN(LEFT(J574,I571+1))-LEN(SUBSTITUTE(LEFT(J574,I571+1)," ",""))))-1,IFERROR(FIND(" ",J574,I571+1)-1,LEN(J574))))))</f>
        <v/>
      </c>
      <c r="L574" s="6388"/>
      <c r="M574" s="6332"/>
      <c r="N574" t="s">
        <v>21</v>
      </c>
      <c r="AV574" s="103"/>
      <c r="AW574" s="31"/>
      <c r="AX574" s="32"/>
      <c r="AY574" s="31"/>
      <c r="AZ574" s="33"/>
      <c r="BA574" s="1967"/>
      <c r="BB574" s="1805"/>
      <c r="BC574" s="91"/>
      <c r="BD574" s="1806"/>
      <c r="BE574" s="6401"/>
      <c r="BF574" s="6402"/>
      <c r="BG574" s="1969"/>
      <c r="BH574" s="6403"/>
      <c r="BI574" s="95"/>
      <c r="BJ574" s="1326"/>
      <c r="BK574" s="6404"/>
      <c r="BL574" s="1737"/>
      <c r="BM574" s="2081"/>
      <c r="BN574" s="2238"/>
      <c r="BO574" s="1809"/>
      <c r="BR574" s="3">
        <v>1</v>
      </c>
    </row>
    <row r="575" spans="2:70" ht="21" customHeight="1">
      <c r="B575" s="6236"/>
      <c r="C575" s="6358">
        <f t="shared" si="218"/>
        <v>150</v>
      </c>
      <c r="D575" s="6359" t="str" cm="1">
        <f t="array" ref="D575">IF(MOD(ROW()-50,14)=0,INDEX(D568:D581,MOD(ROW()-50,14)+1),E573)</f>
        <v/>
      </c>
      <c r="E575" s="6360" t="str">
        <f t="shared" si="219"/>
        <v/>
      </c>
      <c r="F575" s="6361" t="str">
        <f t="shared" si="220"/>
        <v/>
      </c>
      <c r="G575" s="6318"/>
      <c r="H575" s="6393" t="str">
        <f t="shared" si="221"/>
        <v/>
      </c>
      <c r="I575" s="6405"/>
      <c r="J575" s="6395" t="str">
        <f t="shared" si="222"/>
        <v/>
      </c>
      <c r="K575" s="6396" t="str">
        <f>IF(J575="","",LEFT(J575,IF(LEN(J575)&lt;=I571,LEN(J575),IFERROR(FIND("§",SUBSTITUTE(LEFT(J575,I571+1)," ","§",LEN(LEFT(J575,I571+1))-LEN(SUBSTITUTE(LEFT(J575,I571+1)," ",""))))-1,IFERROR(FIND(" ",J575,I571+1)-1,LEN(J575))))))</f>
        <v/>
      </c>
      <c r="L575" s="6388"/>
      <c r="M575" s="6332"/>
      <c r="N575" t="s">
        <v>21</v>
      </c>
      <c r="AV575" s="103"/>
      <c r="AW575" s="31"/>
      <c r="AX575" s="32"/>
      <c r="AY575" s="31"/>
      <c r="AZ575" s="33"/>
      <c r="BA575" s="1967"/>
      <c r="BB575" s="1805"/>
      <c r="BC575" s="91"/>
      <c r="BD575" s="1806"/>
      <c r="BE575" s="6401"/>
      <c r="BF575" s="6402"/>
      <c r="BG575" s="1969"/>
      <c r="BH575" s="6403"/>
      <c r="BI575" s="95"/>
      <c r="BJ575" s="1326"/>
      <c r="BK575" s="6404"/>
      <c r="BL575" s="1737"/>
      <c r="BM575" s="2081"/>
      <c r="BN575" s="2238"/>
      <c r="BO575" s="1809"/>
      <c r="BR575" s="3">
        <v>1</v>
      </c>
    </row>
    <row r="576" spans="2:70" ht="21" customHeight="1">
      <c r="B576" s="6236"/>
      <c r="C576" s="6358">
        <f t="shared" si="218"/>
        <v>150</v>
      </c>
      <c r="D576" s="6359" t="str" cm="1">
        <f t="array" ref="D576">IF(MOD(ROW()-50,14)=0,INDEX(D568:D581,MOD(ROW()-50,14)+1),E574)</f>
        <v/>
      </c>
      <c r="E576" s="6360" t="str">
        <f t="shared" si="219"/>
        <v/>
      </c>
      <c r="F576" s="6361" t="str">
        <f t="shared" si="220"/>
        <v/>
      </c>
      <c r="G576" s="6318"/>
      <c r="H576" s="6393" t="str">
        <f t="shared" si="221"/>
        <v/>
      </c>
      <c r="I576" s="6405"/>
      <c r="J576" s="6395" t="str">
        <f t="shared" si="222"/>
        <v/>
      </c>
      <c r="K576" s="6396" t="str">
        <f>IF(J576="","",LEFT(J576,IF(LEN(J576)&lt;=I571,LEN(J576),IFERROR(FIND("§",SUBSTITUTE(LEFT(J576,I571+1)," ","§",LEN(LEFT(J576,I571+1))-LEN(SUBSTITUTE(LEFT(J576,I571+1)," ",""))))-1,IFERROR(FIND(" ",J576,I571+1)-1,LEN(J576))))))</f>
        <v/>
      </c>
      <c r="L576" s="6388"/>
      <c r="M576" s="6332"/>
      <c r="N576" t="s">
        <v>21</v>
      </c>
      <c r="AV576" s="103"/>
      <c r="AW576" s="31"/>
      <c r="AX576" s="32"/>
      <c r="AY576" s="31"/>
      <c r="AZ576" s="33"/>
      <c r="BA576" s="1967"/>
      <c r="BB576" s="1805"/>
      <c r="BC576" s="91"/>
      <c r="BD576" s="1806"/>
      <c r="BE576" s="6401"/>
      <c r="BF576" s="6402"/>
      <c r="BG576" s="1969"/>
      <c r="BH576" s="6403"/>
      <c r="BI576" s="95"/>
      <c r="BJ576" s="1326"/>
      <c r="BK576" s="6404"/>
      <c r="BL576" s="1737"/>
      <c r="BM576" s="2081"/>
      <c r="BN576" s="2238"/>
      <c r="BO576" s="1809"/>
      <c r="BR576" s="3">
        <v>1</v>
      </c>
    </row>
    <row r="577" spans="2:70" ht="21" customHeight="1">
      <c r="B577" s="6236"/>
      <c r="C577" s="6358">
        <f t="shared" si="218"/>
        <v>150</v>
      </c>
      <c r="D577" s="6359" t="str" cm="1">
        <f t="array" ref="D577">IF(MOD(ROW()-50,14)=0,INDEX(D568:D581,MOD(ROW()-50,14)+1),E575)</f>
        <v/>
      </c>
      <c r="E577" s="6360" t="str">
        <f t="shared" si="219"/>
        <v/>
      </c>
      <c r="F577" s="6361" t="str">
        <f t="shared" si="220"/>
        <v/>
      </c>
      <c r="G577" s="6318"/>
      <c r="H577" s="6393" t="str">
        <f t="shared" si="221"/>
        <v/>
      </c>
      <c r="I577" s="6405"/>
      <c r="J577" s="6395" t="str">
        <f t="shared" si="222"/>
        <v/>
      </c>
      <c r="K577" s="6396" t="str">
        <f>IF(J577="","",LEFT(J577,IF(LEN(J577)&lt;=I571,LEN(J577),IFERROR(FIND("§",SUBSTITUTE(LEFT(J577,I571+1)," ","§",LEN(LEFT(J577,I571+1))-LEN(SUBSTITUTE(LEFT(J577,I571+1)," ",""))))-1,IFERROR(FIND(" ",J577,I571+1)-1,LEN(J577))))))</f>
        <v/>
      </c>
      <c r="L577" s="6388"/>
      <c r="M577" s="6332"/>
      <c r="N577" t="s">
        <v>21</v>
      </c>
      <c r="AV577" s="103"/>
      <c r="AW577" s="31"/>
      <c r="AX577" s="32"/>
      <c r="AY577" s="31"/>
      <c r="AZ577" s="33"/>
      <c r="BA577" s="1967"/>
      <c r="BB577" s="1805"/>
      <c r="BC577" s="91"/>
      <c r="BD577" s="1806"/>
      <c r="BE577" s="6401"/>
      <c r="BF577" s="6402"/>
      <c r="BG577" s="1969"/>
      <c r="BH577" s="6403"/>
      <c r="BI577" s="95"/>
      <c r="BJ577" s="1326"/>
      <c r="BK577" s="6404"/>
      <c r="BL577" s="1737"/>
      <c r="BM577" s="2081"/>
      <c r="BN577" s="2238"/>
      <c r="BO577" s="1809"/>
      <c r="BR577" s="3">
        <v>1</v>
      </c>
    </row>
    <row r="578" spans="2:70" ht="21" customHeight="1">
      <c r="B578" s="6236"/>
      <c r="C578" s="6358">
        <f t="shared" si="218"/>
        <v>150</v>
      </c>
      <c r="D578" s="6359" t="str" cm="1">
        <f t="array" ref="D578">IF(MOD(ROW()-50,14)=0,INDEX(D568:D581,MOD(ROW()-50,14)+1),E576)</f>
        <v/>
      </c>
      <c r="E578" s="6360" t="str">
        <f t="shared" si="219"/>
        <v/>
      </c>
      <c r="F578" s="6361" t="str">
        <f t="shared" si="220"/>
        <v/>
      </c>
      <c r="G578" s="6318"/>
      <c r="H578" s="6393" t="str">
        <f t="shared" si="221"/>
        <v/>
      </c>
      <c r="I578" s="6405"/>
      <c r="J578" s="6395" t="str">
        <f t="shared" si="222"/>
        <v/>
      </c>
      <c r="K578" s="6396" t="str">
        <f>IF(J578="","",LEFT(J578,IF(LEN(J578)&lt;=I571,LEN(J578),IFERROR(FIND("§",SUBSTITUTE(LEFT(J578,I571+1)," ","§",LEN(LEFT(J578,I571+1))-LEN(SUBSTITUTE(LEFT(J578,I571+1)," ",""))))-1,IFERROR(FIND(" ",J578,I571+1)-1,LEN(J578))))))</f>
        <v/>
      </c>
      <c r="L578" s="6388"/>
      <c r="M578" s="6332"/>
      <c r="N578" t="s">
        <v>21</v>
      </c>
      <c r="AV578" s="103"/>
      <c r="AW578" s="31"/>
      <c r="AX578" s="32"/>
      <c r="AY578" s="31"/>
      <c r="AZ578" s="33"/>
      <c r="BA578" s="1967"/>
      <c r="BB578" s="1805"/>
      <c r="BC578" s="91"/>
      <c r="BD578" s="1806"/>
      <c r="BE578" s="6401"/>
      <c r="BF578" s="6402"/>
      <c r="BG578" s="1969"/>
      <c r="BH578" s="6403"/>
      <c r="BI578" s="95"/>
      <c r="BJ578" s="1326"/>
      <c r="BK578" s="6404"/>
      <c r="BL578" s="1737"/>
      <c r="BM578" s="2081"/>
      <c r="BN578" s="2238"/>
      <c r="BO578" s="1809"/>
      <c r="BR578" s="3">
        <v>1</v>
      </c>
    </row>
    <row r="579" spans="2:70" ht="21" customHeight="1">
      <c r="B579" s="6236"/>
      <c r="C579" s="6358">
        <f t="shared" si="218"/>
        <v>150</v>
      </c>
      <c r="D579" s="6359" t="str" cm="1">
        <f t="array" ref="D579">IF(MOD(ROW()-50,14)=0,INDEX(D568:D581,MOD(ROW()-50,14)+1),E577)</f>
        <v/>
      </c>
      <c r="E579" s="6360" t="str">
        <f t="shared" si="219"/>
        <v/>
      </c>
      <c r="F579" s="6361" t="str">
        <f t="shared" si="220"/>
        <v/>
      </c>
      <c r="G579" s="6318"/>
      <c r="H579" s="6393" t="str">
        <f t="shared" si="221"/>
        <v/>
      </c>
      <c r="I579" s="6405"/>
      <c r="J579" s="6395" t="str">
        <f t="shared" si="222"/>
        <v/>
      </c>
      <c r="K579" s="6396" t="str">
        <f>IF(J579="","",LEFT(J579,IF(LEN(J579)&lt;=I571,LEN(J579),IFERROR(FIND("§",SUBSTITUTE(LEFT(J579,I571+1)," ","§",LEN(LEFT(J579,I571+1))-LEN(SUBSTITUTE(LEFT(J579,I571+1)," ",""))))-1,IFERROR(FIND(" ",J579,I571+1)-1,LEN(J579))))))</f>
        <v/>
      </c>
      <c r="L579" s="6388"/>
      <c r="M579" s="6332"/>
      <c r="N579" t="s">
        <v>21</v>
      </c>
      <c r="AV579" s="103"/>
      <c r="AW579" s="31"/>
      <c r="AX579" s="32"/>
      <c r="AY579" s="31"/>
      <c r="AZ579" s="33"/>
      <c r="BA579" s="1967"/>
      <c r="BB579" s="1805"/>
      <c r="BC579" s="91"/>
      <c r="BD579" s="1806"/>
      <c r="BE579" s="6401"/>
      <c r="BF579" s="6402"/>
      <c r="BG579" s="1969"/>
      <c r="BH579" s="6403"/>
      <c r="BI579" s="95"/>
      <c r="BJ579" s="1326"/>
      <c r="BK579" s="6404"/>
      <c r="BL579" s="1737"/>
      <c r="BM579" s="2081"/>
      <c r="BN579" s="2238"/>
      <c r="BO579" s="1809"/>
      <c r="BR579" s="3">
        <v>1</v>
      </c>
    </row>
    <row r="580" spans="2:70" ht="21" customHeight="1">
      <c r="B580" s="6236"/>
      <c r="C580" s="6358">
        <f t="shared" si="218"/>
        <v>150</v>
      </c>
      <c r="D580" s="6359" t="str" cm="1">
        <f t="array" ref="D580">IF(MOD(ROW()-50,14)=0,INDEX(D568:D581,MOD(ROW()-50,14)+1),E578)</f>
        <v/>
      </c>
      <c r="E580" s="6360" t="str">
        <f t="shared" si="219"/>
        <v/>
      </c>
      <c r="F580" s="6361" t="str">
        <f t="shared" si="220"/>
        <v/>
      </c>
      <c r="G580" s="6318"/>
      <c r="H580" s="6393" t="str">
        <f t="shared" si="221"/>
        <v/>
      </c>
      <c r="I580" s="6405"/>
      <c r="J580" s="6395" t="str">
        <f t="shared" si="222"/>
        <v/>
      </c>
      <c r="K580" s="6396" t="str">
        <f>IF(J580="","",LEFT(J580,IF(LEN(J580)&lt;=I571,LEN(J580),IFERROR(FIND("§",SUBSTITUTE(LEFT(J580,I571+1)," ","§",LEN(LEFT(J580,I571+1))-LEN(SUBSTITUTE(LEFT(J580,I571+1)," ",""))))-1,IFERROR(FIND(" ",J580,I571+1)-1,LEN(J580))))))</f>
        <v/>
      </c>
      <c r="L580" s="6396"/>
      <c r="M580" s="6332"/>
      <c r="N580" t="s">
        <v>21</v>
      </c>
      <c r="AV580" s="103"/>
      <c r="AW580" s="31"/>
      <c r="AX580" s="32"/>
      <c r="AY580" s="31"/>
      <c r="AZ580" s="33"/>
      <c r="BA580" s="1967"/>
      <c r="BB580" s="1805"/>
      <c r="BC580" s="91"/>
      <c r="BD580" s="1806"/>
      <c r="BE580" s="6401"/>
      <c r="BF580" s="6402"/>
      <c r="BG580" s="1969"/>
      <c r="BH580" s="6403"/>
      <c r="BI580" s="95"/>
      <c r="BJ580" s="1326"/>
      <c r="BK580" s="6404"/>
      <c r="BL580" s="1737"/>
      <c r="BM580" s="2081"/>
      <c r="BN580" s="2238"/>
      <c r="BO580" s="1809"/>
      <c r="BR580" s="3">
        <v>1</v>
      </c>
    </row>
    <row r="581" spans="2:70" ht="21" customHeight="1">
      <c r="B581" s="6236"/>
      <c r="C581" s="6376">
        <f t="shared" si="218"/>
        <v>150</v>
      </c>
      <c r="D581" s="6414" t="str" cm="1">
        <f t="array" ref="D581">IF(MOD(ROW()-50,14)=0,INDEX(D568:D581,MOD(ROW()-50,14)+1),E579)</f>
        <v/>
      </c>
      <c r="E581" s="6377" t="str">
        <f t="shared" si="219"/>
        <v/>
      </c>
      <c r="F581" s="6378" t="str">
        <f t="shared" si="220"/>
        <v/>
      </c>
      <c r="G581" s="6319"/>
      <c r="H581" s="6409" t="str">
        <f t="shared" si="221"/>
        <v/>
      </c>
      <c r="I581" s="6410"/>
      <c r="J581" s="6411" t="str">
        <f t="shared" si="222"/>
        <v/>
      </c>
      <c r="K581" s="6412" t="str">
        <f>IF(J581="","",LEFT(J581,IF(LEN(J581)&lt;=I571,LEN(J581),IFERROR(FIND("§",SUBSTITUTE(LEFT(J581,I571+1)," ","§",LEN(LEFT(J581,I571+1))-LEN(SUBSTITUTE(LEFT(J581,I571+1)," ",""))))-1,IFERROR(FIND(" ",J581,I571+1)-1,LEN(J581))))))</f>
        <v/>
      </c>
      <c r="L581" s="6413"/>
      <c r="M581" s="6333"/>
      <c r="N581" t="s">
        <v>21</v>
      </c>
      <c r="AV581" s="103"/>
      <c r="AW581" s="31"/>
      <c r="AX581" s="32"/>
      <c r="AY581" s="31"/>
      <c r="AZ581" s="33"/>
      <c r="BA581" s="1967"/>
      <c r="BB581" s="1805"/>
      <c r="BC581" s="91"/>
      <c r="BD581" s="1806"/>
      <c r="BE581" s="6401"/>
      <c r="BF581" s="6402"/>
      <c r="BG581" s="1969"/>
      <c r="BH581" s="6403"/>
      <c r="BI581" s="95"/>
      <c r="BJ581" s="1326"/>
      <c r="BK581" s="6404"/>
      <c r="BL581" s="1737"/>
      <c r="BM581" s="2081"/>
      <c r="BN581" s="2238"/>
      <c r="BO581" s="1809"/>
      <c r="BR581" s="3">
        <v>1</v>
      </c>
    </row>
    <row r="582" spans="2:70" ht="21" customHeight="1">
      <c r="B582" s="6236"/>
      <c r="C582" s="6313">
        <f>AD88</f>
        <v>150</v>
      </c>
      <c r="D582" s="6314" t="str">
        <f>IF(UPPER(TRIM(X45))="X",U88,O88)</f>
        <v>39.TEST LIGNE 19 colonne Q et ligne 20 colonne P. rechercher la cellule qui coupe le texte Dans la cocotte N°3 en fonte, faites chauffer l’huile d’olive à feu moyen. Ajoutez la viande et faites-la dorer de tous les côtés. Retirez-la de la cocotte et réservez-la.</v>
      </c>
      <c r="E582" s="6383" t="str">
        <f>IF(D582="","",IF(F582="","",IF(LEN(F582)&gt;=LEN(D582),"",TRIM(MID(D582,LEN(F582)+1,99999)))))</f>
        <v>d’olive à feu moyen. Ajoutez la viande et faites-la dorer de tous les côtés. Retirez-la de la cocotte et réservez-la.</v>
      </c>
      <c r="F582" s="6384" t="str">
        <f>IF(D582="","",IF(LEN(D582)&lt;=C582,D582,IFERROR(LEFT(D582,FIND("§",SUBSTITUTE(LEFT(D582,C582+1)," ","§",LEN(LEFT(D582,C582+1))-LEN(SUBSTITUTE(LEFT(D582,C582+1)," ",""))))-1),LEFT(D582,C582))))</f>
        <v>39.TEST LIGNE 19 colonne Q et ligne 20 colonne P. rechercher la cellule qui coupe le texte Dans la cocotte N°3 en fonte, faites chauffer l’huile</v>
      </c>
      <c r="G582" s="6320"/>
      <c r="H582" s="6323">
        <f>IF(LEN(TRIM(L582))&gt;0,MAX(H581:H581)+1,"")</f>
        <v>1</v>
      </c>
      <c r="I582" s="6324" t="str">
        <f>D582</f>
        <v>39.TEST LIGNE 19 colonne Q et ligne 20 colonne P. rechercher la cellule qui coupe le texte Dans la cocotte N°3 en fonte, faites chauffer l’huile d’olive à feu moyen. Ajoutez la viande et faites-la dorer de tous les côtés. Retirez-la de la cocotte et réservez-la.</v>
      </c>
      <c r="J582" s="6325" t="str">
        <f>IF(I582=0,"",I582)</f>
        <v>39.TEST LIGNE 19 colonne Q et ligne 20 colonne P. rechercher la cellule qui coupe le texte Dans la cocotte N°3 en fonte, faites chauffer l’huile d’olive à feu moyen. Ajoutez la viande et faites-la dorer de tous les côtés. Retirez-la de la cocotte et réservez-la.</v>
      </c>
      <c r="K582" s="6326" t="str">
        <f>IF(I582="","",LEFT(I582,IF(LEN(I582)&lt;=I585,LEN(I582),IFERROR(FIND("§",SUBSTITUTE(LEFT(I582,I585+1)," ","§",LEN(LEFT(I582,I585+1))-LEN(SUBSTITUTE(LEFT(I582,I585+1)," ",""))))-1,IFERROR(FIND(" ",I582,I585+1)-1,LEN(I582))))))</f>
        <v>39.TEST LIGNE 19 colonne Q et ligne 20 colonne P.</v>
      </c>
      <c r="L582" s="6326" t="str" cm="1">
        <f t="array" ref="L582:L587">_xlfn._xlws.FILTER(TRIM(SUBSTITUTE(SUBSTITUTE(SUBSTITUTE(SUBSTITUTE(SUBSTITUTE(CLEAN(K582:K595),CHAR(160)," "),_xlfn.UNICHAR(8239)," "),CHAR(9)," "),CHAR(10)," "),CHAR(13)," ")),TRIM(SUBSTITUTE(SUBSTITUTE(SUBSTITUTE(SUBSTITUTE(SUBSTITUTE(CLEAN(K582:K595),CHAR(160)," "),_xlfn.UNICHAR(8239)," "),CHAR(9)," "),CHAR(10)," "),CHAR(13)," "))&lt;&gt;"")</f>
        <v>39.TEST LIGNE 19 colonne Q et ligne 20 colonne P.</v>
      </c>
      <c r="M582" s="6328"/>
      <c r="N582" t="s">
        <v>21</v>
      </c>
      <c r="AV582" s="103"/>
      <c r="AW582" s="31"/>
      <c r="AX582" s="32"/>
      <c r="AY582" s="31"/>
      <c r="AZ582" s="33"/>
      <c r="BA582" s="1967"/>
      <c r="BB582" s="1805"/>
      <c r="BC582" s="91"/>
      <c r="BD582" s="1806"/>
      <c r="BE582" s="6401"/>
      <c r="BF582" s="6402"/>
      <c r="BG582" s="1969"/>
      <c r="BH582" s="6403"/>
      <c r="BI582" s="95"/>
      <c r="BJ582" s="1326"/>
      <c r="BK582" s="6404"/>
      <c r="BL582" s="1737"/>
      <c r="BM582" s="2081"/>
      <c r="BN582" s="2238"/>
      <c r="BO582" s="1809"/>
      <c r="BR582" s="3">
        <v>1</v>
      </c>
    </row>
    <row r="583" spans="2:70" ht="21" customHeight="1">
      <c r="B583" s="6236"/>
      <c r="C583" s="6358">
        <f t="shared" ref="C583:C595" si="223">C582</f>
        <v>150</v>
      </c>
      <c r="D583" s="6390" t="str" cm="1">
        <f t="array" ref="D583">IF(MOD(ROW()-50,14)=0,INDEX(D582:D595,MOD(ROW()-50,14)+1),E581)</f>
        <v/>
      </c>
      <c r="E583" s="6391" t="str">
        <f t="shared" ref="E583:E595" si="224">IF(D583="","",IF(F583="","",IF(LEN(F583)&gt;=LEN(D583),"",TRIM(MID(D583,LEN(F583)+1,99999)))))</f>
        <v/>
      </c>
      <c r="F583" s="6392" t="str">
        <f t="shared" ref="F583:F595" si="225">IF(D583="","",IF(LEN(D583)&lt;=C583,D583,IFERROR(LEFT(D583,FIND("§",SUBSTITUTE(LEFT(D583,C583+1)," ","§",LEN(LEFT(D583,C583+1))-LEN(SUBSTITUTE(LEFT(D583,C583+1)," ",""))))-1),LEFT(D583,C583))))</f>
        <v/>
      </c>
      <c r="G583" s="6321"/>
      <c r="H583" s="6323">
        <f t="shared" ref="H583:H595" si="226">IF(LEN(TRIM(L583))&gt;0,MAX(H582:H582)+1,"")</f>
        <v>2</v>
      </c>
      <c r="I583" s="6362" t="s">
        <v>14355</v>
      </c>
      <c r="J583" s="6363" t="str">
        <f>TRIM(MID(I586,LEN(K582)+1,99999))</f>
        <v>rechercher la cellule qui coupe le texte Dans la cocotte N°3 en fonte, faites chauffer l’huile d’olive à feu moyen. Ajoutez la viande et faites-la dorer de tous les côtés. Retirez-la de la cocotte et réservez-la.</v>
      </c>
      <c r="K583" s="6364" t="str">
        <f>IF(J583="","",LEFT(J583,IF(LEN(J583)&lt;=I585,LEN(J583),IFERROR(FIND("§",SUBSTITUTE(LEFT(J583,I585+1)," ","§",LEN(LEFT(J583,I585+1))-LEN(SUBSTITUTE(LEFT(J583,I585+1)," ",""))))-1,IFERROR(FIND(" ",J583,I585+1)-1,LEN(J583))))))</f>
        <v>rechercher la cellule qui coupe le texte Dans la</v>
      </c>
      <c r="L583" s="6327" t="str">
        <v>rechercher la cellule qui coupe le texte Dans la</v>
      </c>
      <c r="M583" s="6329"/>
      <c r="N583" t="s">
        <v>21</v>
      </c>
      <c r="AV583" s="103"/>
      <c r="AW583" s="31"/>
      <c r="AX583" s="32"/>
      <c r="AY583" s="31"/>
      <c r="AZ583" s="33"/>
      <c r="BA583" s="1967"/>
      <c r="BB583" s="1805"/>
      <c r="BC583" s="91"/>
      <c r="BD583" s="1806"/>
      <c r="BE583" s="6401"/>
      <c r="BF583" s="6402"/>
      <c r="BG583" s="1969"/>
      <c r="BH583" s="6403"/>
      <c r="BI583" s="95"/>
      <c r="BJ583" s="1326"/>
      <c r="BK583" s="6404"/>
      <c r="BL583" s="1737"/>
      <c r="BM583" s="2081"/>
      <c r="BN583" s="2238"/>
      <c r="BO583" s="1809"/>
      <c r="BR583" s="3">
        <v>1</v>
      </c>
    </row>
    <row r="584" spans="2:70" ht="21" customHeight="1">
      <c r="B584" s="6236"/>
      <c r="C584" s="6358">
        <f t="shared" si="223"/>
        <v>150</v>
      </c>
      <c r="D584" s="6390" t="str" cm="1">
        <f t="array" ref="D584">IF(MOD(ROW()-50,14)=0,INDEX(D582:D595,MOD(ROW()-50,14)+1),E582)</f>
        <v>d’olive à feu moyen. Ajoutez la viande et faites-la dorer de tous les côtés. Retirez-la de la cocotte et réservez-la.</v>
      </c>
      <c r="E584" s="6391" t="str">
        <f t="shared" si="224"/>
        <v/>
      </c>
      <c r="F584" s="6392" t="str">
        <f t="shared" si="225"/>
        <v>d’olive à feu moyen. Ajoutez la viande et faites-la dorer de tous les côtés. Retirez-la de la cocotte et réservez-la.</v>
      </c>
      <c r="G584" s="6321"/>
      <c r="H584" s="6323">
        <f t="shared" si="226"/>
        <v>3</v>
      </c>
      <c r="I584" s="6365">
        <f>Z88</f>
        <v>5</v>
      </c>
      <c r="J584" s="6363" t="str">
        <f t="shared" ref="J584:J595" si="227">TRIM(MID(J583,LEN(K583)+1,99999))</f>
        <v>cocotte N°3 en fonte, faites chauffer l’huile d’olive à feu moyen. Ajoutez la viande et faites-la dorer de tous les côtés. Retirez-la de la cocotte et réservez-la.</v>
      </c>
      <c r="K584" s="6364" t="str">
        <f>IF(J584="","",LEFT(J584,IF(LEN(J584)&lt;=I585,LEN(J584),IFERROR(FIND("§",SUBSTITUTE(LEFT(J584,I585+1)," ","§",LEN(LEFT(J584,I585+1))-LEN(SUBSTITUTE(LEFT(J584,I585+1)," ",""))))-1,IFERROR(FIND(" ",J584,I585+1)-1,LEN(J584))))))</f>
        <v>cocotte N°3 en fonte, faites chauffer l’huile d’olive</v>
      </c>
      <c r="L584" s="6327" t="str">
        <v>cocotte N°3 en fonte, faites chauffer l’huile d’olive</v>
      </c>
      <c r="M584" s="6329"/>
      <c r="N584" t="s">
        <v>21</v>
      </c>
      <c r="AV584" s="103"/>
      <c r="AW584" s="31"/>
      <c r="AX584" s="32"/>
      <c r="AY584" s="31"/>
      <c r="AZ584" s="33"/>
      <c r="BA584" s="1967"/>
      <c r="BB584" s="1805"/>
      <c r="BC584" s="91"/>
      <c r="BD584" s="1806"/>
      <c r="BE584" s="6401"/>
      <c r="BF584" s="6402"/>
      <c r="BG584" s="1969"/>
      <c r="BH584" s="6403"/>
      <c r="BI584" s="95"/>
      <c r="BJ584" s="1326"/>
      <c r="BK584" s="6404"/>
      <c r="BL584" s="1737"/>
      <c r="BM584" s="2081"/>
      <c r="BN584" s="2238"/>
      <c r="BO584" s="1809"/>
      <c r="BR584" s="3">
        <v>1</v>
      </c>
    </row>
    <row r="585" spans="2:70" ht="21" customHeight="1">
      <c r="B585" s="6236"/>
      <c r="C585" s="6358">
        <f t="shared" si="223"/>
        <v>150</v>
      </c>
      <c r="D585" s="6390" t="str" cm="1">
        <f t="array" ref="D585">IF(MOD(ROW()-50,14)=0,INDEX(D582:D595,MOD(ROW()-50,14)+1),E583)</f>
        <v/>
      </c>
      <c r="E585" s="6391" t="str">
        <f t="shared" si="224"/>
        <v/>
      </c>
      <c r="F585" s="6392" t="str">
        <f t="shared" si="225"/>
        <v/>
      </c>
      <c r="G585" s="6321"/>
      <c r="H585" s="6323">
        <f t="shared" si="226"/>
        <v>4</v>
      </c>
      <c r="I585" s="6370">
        <f>IF(OR(J582="",I584="",I584&lt;=0),"",ROUNDUP(LEN(J582)/I584,0))</f>
        <v>53</v>
      </c>
      <c r="J585" s="6363" t="str">
        <f t="shared" si="227"/>
        <v>à feu moyen. Ajoutez la viande et faites-la dorer de tous les côtés. Retirez-la de la cocotte et réservez-la.</v>
      </c>
      <c r="K585" s="6364" t="str">
        <f>IF(J585="","",LEFT(J585,IF(LEN(J585)&lt;=I585,LEN(J585),IFERROR(FIND("§",SUBSTITUTE(LEFT(J585,I585+1)," ","§",LEN(LEFT(J585,I585+1))-LEN(SUBSTITUTE(LEFT(J585,I585+1)," ",""))))-1,IFERROR(FIND(" ",J585,I585+1)-1,LEN(J585))))))</f>
        <v>à feu moyen. Ajoutez la viande et faites-la dorer de</v>
      </c>
      <c r="L585" s="6327" t="str">
        <v>à feu moyen. Ajoutez la viande et faites-la dorer de</v>
      </c>
      <c r="M585" s="6329"/>
      <c r="N585" t="s">
        <v>21</v>
      </c>
      <c r="AV585" s="103"/>
      <c r="AW585" s="31"/>
      <c r="AX585" s="32"/>
      <c r="AY585" s="31"/>
      <c r="AZ585" s="33"/>
      <c r="BA585" s="1967"/>
      <c r="BB585" s="1805"/>
      <c r="BC585" s="91"/>
      <c r="BD585" s="1806"/>
      <c r="BE585" s="6401"/>
      <c r="BF585" s="6402"/>
      <c r="BG585" s="1969"/>
      <c r="BH585" s="6403"/>
      <c r="BI585" s="95"/>
      <c r="BJ585" s="1326"/>
      <c r="BK585" s="6404"/>
      <c r="BL585" s="1737"/>
      <c r="BM585" s="2081"/>
      <c r="BN585" s="2238"/>
      <c r="BO585" s="1809"/>
      <c r="BR585" s="3">
        <v>1</v>
      </c>
    </row>
    <row r="586" spans="2:70" ht="21" customHeight="1">
      <c r="B586" s="6236"/>
      <c r="C586" s="6358">
        <f t="shared" si="223"/>
        <v>150</v>
      </c>
      <c r="D586" s="6390" t="str" cm="1">
        <f t="array" ref="D586">IF(MOD(ROW()-50,14)=0,INDEX(D582:D595,MOD(ROW()-50,14)+1),E584)</f>
        <v/>
      </c>
      <c r="E586" s="6391" t="str">
        <f t="shared" si="224"/>
        <v/>
      </c>
      <c r="F586" s="6392" t="str">
        <f t="shared" si="225"/>
        <v/>
      </c>
      <c r="G586" s="6321"/>
      <c r="H586" s="6323">
        <f t="shared" si="226"/>
        <v>5</v>
      </c>
      <c r="I586" s="6372" t="str">
        <f>I582</f>
        <v>39.TEST LIGNE 19 colonne Q et ligne 20 colonne P. rechercher la cellule qui coupe le texte Dans la cocotte N°3 en fonte, faites chauffer l’huile d’olive à feu moyen. Ajoutez la viande et faites-la dorer de tous les côtés. Retirez-la de la cocotte et réservez-la.</v>
      </c>
      <c r="J586" s="6363" t="str">
        <f t="shared" si="227"/>
        <v>tous les côtés. Retirez-la de la cocotte et réservez-la.</v>
      </c>
      <c r="K586" s="6364" t="str">
        <f>IF(J586="","",LEFT(J586,IF(LEN(J586)&lt;=I585,LEN(J586),IFERROR(FIND("§",SUBSTITUTE(LEFT(J586,I585+1)," ","§",LEN(LEFT(J586,I585+1))-LEN(SUBSTITUTE(LEFT(J586,I585+1)," ",""))))-1,IFERROR(FIND(" ",J586,I585+1)-1,LEN(J586))))))</f>
        <v>tous les côtés. Retirez-la de la cocotte et</v>
      </c>
      <c r="L586" s="6327" t="str">
        <v>tous les côtés. Retirez-la de la cocotte et</v>
      </c>
      <c r="M586" s="6329"/>
      <c r="N586" t="s">
        <v>21</v>
      </c>
      <c r="AV586" s="103"/>
      <c r="AW586" s="31"/>
      <c r="AX586" s="32"/>
      <c r="AY586" s="31"/>
      <c r="AZ586" s="33"/>
      <c r="BA586" s="1967"/>
      <c r="BB586" s="1805"/>
      <c r="BC586" s="91"/>
      <c r="BD586" s="1806"/>
      <c r="BE586" s="6401"/>
      <c r="BF586" s="6402"/>
      <c r="BG586" s="1969"/>
      <c r="BH586" s="6403"/>
      <c r="BI586" s="95"/>
      <c r="BJ586" s="1326"/>
      <c r="BK586" s="6404"/>
      <c r="BL586" s="1737"/>
      <c r="BM586" s="2081"/>
      <c r="BN586" s="2238"/>
      <c r="BO586" s="1809"/>
      <c r="BR586" s="3">
        <v>1</v>
      </c>
    </row>
    <row r="587" spans="2:70" ht="21" customHeight="1">
      <c r="B587" s="6236"/>
      <c r="C587" s="6358">
        <f t="shared" si="223"/>
        <v>150</v>
      </c>
      <c r="D587" s="6390" t="str" cm="1">
        <f t="array" ref="D587">IF(MOD(ROW()-50,14)=0,INDEX(D582:D595,MOD(ROW()-50,14)+1),E585)</f>
        <v/>
      </c>
      <c r="E587" s="6391" t="str">
        <f t="shared" si="224"/>
        <v/>
      </c>
      <c r="F587" s="6392" t="str">
        <f t="shared" si="225"/>
        <v/>
      </c>
      <c r="G587" s="6321"/>
      <c r="H587" s="6323">
        <f t="shared" si="226"/>
        <v>6</v>
      </c>
      <c r="I587" s="6373"/>
      <c r="J587" s="6363" t="str">
        <f t="shared" si="227"/>
        <v>réservez-la.</v>
      </c>
      <c r="K587" s="6364" t="str">
        <f>IF(J587="","",LEFT(J587,IF(LEN(J587)&lt;=I585,LEN(J587),IFERROR(FIND("§",SUBSTITUTE(LEFT(J587,I585+1)," ","§",LEN(LEFT(J587,I585+1))-LEN(SUBSTITUTE(LEFT(J587,I585+1)," ",""))))-1,IFERROR(FIND(" ",J587,I585+1)-1,LEN(J587))))))</f>
        <v>réservez-la.</v>
      </c>
      <c r="L587" s="6327" t="str">
        <v>réservez-la.</v>
      </c>
      <c r="M587" s="6329"/>
      <c r="N587" t="s">
        <v>21</v>
      </c>
      <c r="AV587" s="103"/>
      <c r="AW587" s="31"/>
      <c r="AX587" s="32"/>
      <c r="AY587" s="31"/>
      <c r="AZ587" s="33"/>
      <c r="BA587" s="1967"/>
      <c r="BB587" s="1805"/>
      <c r="BC587" s="91"/>
      <c r="BD587" s="1806"/>
      <c r="BE587" s="6401"/>
      <c r="BF587" s="6402"/>
      <c r="BG587" s="1969"/>
      <c r="BH587" s="6403"/>
      <c r="BI587" s="95"/>
      <c r="BJ587" s="1326"/>
      <c r="BK587" s="6404"/>
      <c r="BL587" s="1737"/>
      <c r="BM587" s="2081"/>
      <c r="BN587" s="2238"/>
      <c r="BO587" s="1809"/>
      <c r="BR587" s="3">
        <v>1</v>
      </c>
    </row>
    <row r="588" spans="2:70" ht="21" customHeight="1">
      <c r="B588" s="6236"/>
      <c r="C588" s="6358">
        <f t="shared" si="223"/>
        <v>150</v>
      </c>
      <c r="D588" s="6390" t="str" cm="1">
        <f t="array" ref="D588">IF(MOD(ROW()-50,14)=0,INDEX(D582:D595,MOD(ROW()-50,14)+1),E586)</f>
        <v/>
      </c>
      <c r="E588" s="6391" t="str">
        <f t="shared" si="224"/>
        <v/>
      </c>
      <c r="F588" s="6392" t="str">
        <f t="shared" si="225"/>
        <v/>
      </c>
      <c r="G588" s="6321"/>
      <c r="H588" s="6323" t="str">
        <f t="shared" si="226"/>
        <v/>
      </c>
      <c r="I588" s="6373"/>
      <c r="J588" s="6363" t="str">
        <f t="shared" si="227"/>
        <v/>
      </c>
      <c r="K588" s="6364" t="str">
        <f>IF(J588="","",LEFT(J588,IF(LEN(J588)&lt;=I585,LEN(J588),IFERROR(FIND("§",SUBSTITUTE(LEFT(J588,I585+1)," ","§",LEN(LEFT(J588,I585+1))-LEN(SUBSTITUTE(LEFT(J588,I585+1)," ",""))))-1,IFERROR(FIND(" ",J588,I585+1)-1,LEN(J588))))))</f>
        <v/>
      </c>
      <c r="L588" s="6327"/>
      <c r="M588" s="6329"/>
      <c r="N588" t="s">
        <v>21</v>
      </c>
      <c r="AV588" s="103"/>
      <c r="AW588" s="31"/>
      <c r="AX588" s="32"/>
      <c r="AY588" s="31"/>
      <c r="AZ588" s="33"/>
      <c r="BA588" s="1967"/>
      <c r="BB588" s="1805"/>
      <c r="BC588" s="91"/>
      <c r="BD588" s="1806"/>
      <c r="BE588" s="6401"/>
      <c r="BF588" s="6402"/>
      <c r="BG588" s="1969"/>
      <c r="BH588" s="6403"/>
      <c r="BI588" s="95"/>
      <c r="BJ588" s="1326"/>
      <c r="BK588" s="6404"/>
      <c r="BL588" s="1737"/>
      <c r="BM588" s="2081"/>
      <c r="BN588" s="2238"/>
      <c r="BO588" s="1809"/>
      <c r="BR588" s="3">
        <v>1</v>
      </c>
    </row>
    <row r="589" spans="2:70" ht="21" customHeight="1">
      <c r="B589" s="6236"/>
      <c r="C589" s="6358">
        <f t="shared" si="223"/>
        <v>150</v>
      </c>
      <c r="D589" s="6390" t="str" cm="1">
        <f t="array" ref="D589">IF(MOD(ROW()-50,14)=0,INDEX(D582:D595,MOD(ROW()-50,14)+1),E587)</f>
        <v/>
      </c>
      <c r="E589" s="6391" t="str">
        <f t="shared" si="224"/>
        <v/>
      </c>
      <c r="F589" s="6392" t="str">
        <f t="shared" si="225"/>
        <v/>
      </c>
      <c r="G589" s="6321"/>
      <c r="H589" s="6323" t="str">
        <f t="shared" si="226"/>
        <v/>
      </c>
      <c r="I589" s="6373"/>
      <c r="J589" s="6363" t="str">
        <f t="shared" si="227"/>
        <v/>
      </c>
      <c r="K589" s="6364" t="str">
        <f>IF(J589="","",LEFT(J589,IF(LEN(J589)&lt;=I585,LEN(J589),IFERROR(FIND("§",SUBSTITUTE(LEFT(J589,I585+1)," ","§",LEN(LEFT(J589,I585+1))-LEN(SUBSTITUTE(LEFT(J589,I585+1)," ",""))))-1,IFERROR(FIND(" ",J589,I585+1)-1,LEN(J589))))))</f>
        <v/>
      </c>
      <c r="L589" s="6327"/>
      <c r="M589" s="6329"/>
      <c r="N589" t="s">
        <v>21</v>
      </c>
      <c r="AV589" s="103"/>
      <c r="AW589" s="31"/>
      <c r="AX589" s="32"/>
      <c r="AY589" s="31"/>
      <c r="AZ589" s="33"/>
      <c r="BA589" s="1967"/>
      <c r="BB589" s="1805"/>
      <c r="BC589" s="91"/>
      <c r="BD589" s="1806"/>
      <c r="BE589" s="6401"/>
      <c r="BF589" s="6402"/>
      <c r="BG589" s="1969"/>
      <c r="BH589" s="6403"/>
      <c r="BI589" s="95"/>
      <c r="BJ589" s="1326"/>
      <c r="BK589" s="6404"/>
      <c r="BL589" s="1737"/>
      <c r="BM589" s="2081"/>
      <c r="BN589" s="2238"/>
      <c r="BO589" s="1809"/>
      <c r="BR589" s="3">
        <v>1</v>
      </c>
    </row>
    <row r="590" spans="2:70" ht="21" customHeight="1">
      <c r="B590" s="6236"/>
      <c r="C590" s="6358">
        <f t="shared" si="223"/>
        <v>150</v>
      </c>
      <c r="D590" s="6390" t="str" cm="1">
        <f t="array" ref="D590">IF(MOD(ROW()-50,14)=0,INDEX(D582:D595,MOD(ROW()-50,14)+1),E588)</f>
        <v/>
      </c>
      <c r="E590" s="6391" t="str">
        <f t="shared" si="224"/>
        <v/>
      </c>
      <c r="F590" s="6392" t="str">
        <f t="shared" si="225"/>
        <v/>
      </c>
      <c r="G590" s="6321"/>
      <c r="H590" s="6323" t="str">
        <f t="shared" si="226"/>
        <v/>
      </c>
      <c r="I590" s="6373"/>
      <c r="J590" s="6363" t="str">
        <f t="shared" si="227"/>
        <v/>
      </c>
      <c r="K590" s="6364" t="str">
        <f>IF(J590="","",LEFT(J590,IF(LEN(J590)&lt;=I585,LEN(J590),IFERROR(FIND("§",SUBSTITUTE(LEFT(J590,I585+1)," ","§",LEN(LEFT(J590,I585+1))-LEN(SUBSTITUTE(LEFT(J590,I585+1)," ",""))))-1,IFERROR(FIND(" ",J590,I585+1)-1,LEN(J590))))))</f>
        <v/>
      </c>
      <c r="L590" s="6327"/>
      <c r="M590" s="6329"/>
      <c r="N590" t="s">
        <v>21</v>
      </c>
      <c r="AV590" s="103"/>
      <c r="AW590" s="31"/>
      <c r="AX590" s="32"/>
      <c r="AY590" s="31"/>
      <c r="AZ590" s="33"/>
      <c r="BA590" s="1967"/>
      <c r="BB590" s="1805"/>
      <c r="BC590" s="91"/>
      <c r="BD590" s="1806"/>
      <c r="BE590" s="6401"/>
      <c r="BF590" s="6402"/>
      <c r="BG590" s="1969"/>
      <c r="BH590" s="6403"/>
      <c r="BI590" s="95"/>
      <c r="BJ590" s="1326"/>
      <c r="BK590" s="6404"/>
      <c r="BL590" s="1737"/>
      <c r="BM590" s="2081"/>
      <c r="BN590" s="2238"/>
      <c r="BO590" s="1809"/>
      <c r="BR590" s="3">
        <v>1</v>
      </c>
    </row>
    <row r="591" spans="2:70" ht="21" customHeight="1">
      <c r="B591" s="6236"/>
      <c r="C591" s="6358">
        <f t="shared" si="223"/>
        <v>150</v>
      </c>
      <c r="D591" s="6390" t="str" cm="1">
        <f t="array" ref="D591">IF(MOD(ROW()-50,14)=0,INDEX(D582:D595,MOD(ROW()-50,14)+1),E589)</f>
        <v/>
      </c>
      <c r="E591" s="6391" t="str">
        <f t="shared" si="224"/>
        <v/>
      </c>
      <c r="F591" s="6392" t="str">
        <f t="shared" si="225"/>
        <v/>
      </c>
      <c r="G591" s="6321"/>
      <c r="H591" s="6323" t="str">
        <f t="shared" si="226"/>
        <v/>
      </c>
      <c r="I591" s="6373"/>
      <c r="J591" s="6363" t="str">
        <f t="shared" si="227"/>
        <v/>
      </c>
      <c r="K591" s="6364" t="str">
        <f>IF(J591="","",LEFT(J591,IF(LEN(J591)&lt;=I585,LEN(J591),IFERROR(FIND("§",SUBSTITUTE(LEFT(J591,I585+1)," ","§",LEN(LEFT(J591,I585+1))-LEN(SUBSTITUTE(LEFT(J591,I585+1)," ",""))))-1,IFERROR(FIND(" ",J591,I585+1)-1,LEN(J591))))))</f>
        <v/>
      </c>
      <c r="L591" s="6327"/>
      <c r="M591" s="6329"/>
      <c r="N591" t="s">
        <v>21</v>
      </c>
      <c r="AV591" s="103"/>
      <c r="AW591" s="31"/>
      <c r="AX591" s="32"/>
      <c r="AY591" s="31"/>
      <c r="AZ591" s="33"/>
      <c r="BA591" s="1967"/>
      <c r="BB591" s="1805"/>
      <c r="BC591" s="91"/>
      <c r="BD591" s="1806"/>
      <c r="BE591" s="6401"/>
      <c r="BF591" s="6402"/>
      <c r="BG591" s="1969"/>
      <c r="BH591" s="6403"/>
      <c r="BI591" s="95"/>
      <c r="BJ591" s="1326"/>
      <c r="BK591" s="6404"/>
      <c r="BL591" s="1737"/>
      <c r="BM591" s="2081"/>
      <c r="BN591" s="2238"/>
      <c r="BO591" s="1809"/>
      <c r="BR591" s="3">
        <v>1</v>
      </c>
    </row>
    <row r="592" spans="2:70" ht="21" customHeight="1">
      <c r="B592" s="6236"/>
      <c r="C592" s="6358">
        <f t="shared" si="223"/>
        <v>150</v>
      </c>
      <c r="D592" s="6390" t="str" cm="1">
        <f t="array" ref="D592">IF(MOD(ROW()-50,14)=0,INDEX(D582:D595,MOD(ROW()-50,14)+1),E590)</f>
        <v/>
      </c>
      <c r="E592" s="6391" t="str">
        <f t="shared" si="224"/>
        <v/>
      </c>
      <c r="F592" s="6392" t="str">
        <f t="shared" si="225"/>
        <v/>
      </c>
      <c r="G592" s="6321"/>
      <c r="H592" s="6323" t="str">
        <f t="shared" si="226"/>
        <v/>
      </c>
      <c r="I592" s="6373"/>
      <c r="J592" s="6363" t="str">
        <f t="shared" si="227"/>
        <v/>
      </c>
      <c r="K592" s="6364" t="str">
        <f>IF(J592="","",LEFT(J592,IF(LEN(J592)&lt;=I585,LEN(J592),IFERROR(FIND("§",SUBSTITUTE(LEFT(J592,I585+1)," ","§",LEN(LEFT(J592,I585+1))-LEN(SUBSTITUTE(LEFT(J592,I585+1)," ",""))))-1,IFERROR(FIND(" ",J592,I585+1)-1,LEN(J592))))))</f>
        <v/>
      </c>
      <c r="L592" s="6327"/>
      <c r="M592" s="6329"/>
      <c r="N592" t="s">
        <v>21</v>
      </c>
      <c r="AV592" s="103"/>
      <c r="AW592" s="31"/>
      <c r="AX592" s="32"/>
      <c r="AY592" s="31"/>
      <c r="AZ592" s="33"/>
      <c r="BA592" s="1967"/>
      <c r="BB592" s="1805"/>
      <c r="BC592" s="91"/>
      <c r="BD592" s="1806"/>
      <c r="BE592" s="6401"/>
      <c r="BF592" s="6402"/>
      <c r="BG592" s="1969"/>
      <c r="BH592" s="6403"/>
      <c r="BI592" s="95"/>
      <c r="BJ592" s="1326"/>
      <c r="BK592" s="6404"/>
      <c r="BL592" s="1737"/>
      <c r="BM592" s="2081"/>
      <c r="BN592" s="2238"/>
      <c r="BO592" s="1809"/>
      <c r="BR592" s="3">
        <v>1</v>
      </c>
    </row>
    <row r="593" spans="2:70" ht="21" customHeight="1">
      <c r="B593" s="6236"/>
      <c r="C593" s="6358">
        <f t="shared" si="223"/>
        <v>150</v>
      </c>
      <c r="D593" s="6390" t="str" cm="1">
        <f t="array" ref="D593">IF(MOD(ROW()-50,14)=0,INDEX(D582:D595,MOD(ROW()-50,14)+1),E591)</f>
        <v/>
      </c>
      <c r="E593" s="6391" t="str">
        <f t="shared" si="224"/>
        <v/>
      </c>
      <c r="F593" s="6392" t="str">
        <f t="shared" si="225"/>
        <v/>
      </c>
      <c r="G593" s="6321"/>
      <c r="H593" s="6323" t="str">
        <f t="shared" si="226"/>
        <v/>
      </c>
      <c r="I593" s="6373"/>
      <c r="J593" s="6363" t="str">
        <f t="shared" si="227"/>
        <v/>
      </c>
      <c r="K593" s="6364" t="str">
        <f>IF(J593="","",LEFT(J593,IF(LEN(J593)&lt;=I585,LEN(J593),IFERROR(FIND("§",SUBSTITUTE(LEFT(J593,I585+1)," ","§",LEN(LEFT(J593,I585+1))-LEN(SUBSTITUTE(LEFT(J593,I585+1)," ",""))))-1,IFERROR(FIND(" ",J593,I585+1)-1,LEN(J593))))))</f>
        <v/>
      </c>
      <c r="L593" s="6327"/>
      <c r="M593" s="6329"/>
      <c r="N593" t="s">
        <v>21</v>
      </c>
      <c r="AV593" s="103"/>
      <c r="AW593" s="31"/>
      <c r="AX593" s="32"/>
      <c r="AY593" s="31"/>
      <c r="AZ593" s="33"/>
      <c r="BA593" s="1967"/>
      <c r="BB593" s="1805"/>
      <c r="BC593" s="91"/>
      <c r="BD593" s="1806"/>
      <c r="BE593" s="6401"/>
      <c r="BF593" s="6402"/>
      <c r="BG593" s="1969"/>
      <c r="BH593" s="6403"/>
      <c r="BI593" s="95"/>
      <c r="BJ593" s="1326"/>
      <c r="BK593" s="6404"/>
      <c r="BL593" s="1737"/>
      <c r="BM593" s="2081"/>
      <c r="BN593" s="2238"/>
      <c r="BO593" s="1809"/>
      <c r="BR593" s="3">
        <v>1</v>
      </c>
    </row>
    <row r="594" spans="2:70" ht="21" customHeight="1">
      <c r="B594" s="6236"/>
      <c r="C594" s="6358">
        <f t="shared" si="223"/>
        <v>150</v>
      </c>
      <c r="D594" s="6390" t="str" cm="1">
        <f t="array" ref="D594">IF(MOD(ROW()-50,14)=0,INDEX(D582:D595,MOD(ROW()-50,14)+1),E592)</f>
        <v/>
      </c>
      <c r="E594" s="6391" t="str">
        <f t="shared" si="224"/>
        <v/>
      </c>
      <c r="F594" s="6392" t="str">
        <f t="shared" si="225"/>
        <v/>
      </c>
      <c r="G594" s="6321"/>
      <c r="H594" s="6323" t="str">
        <f t="shared" si="226"/>
        <v/>
      </c>
      <c r="I594" s="6373"/>
      <c r="J594" s="6363" t="str">
        <f t="shared" si="227"/>
        <v/>
      </c>
      <c r="K594" s="6364" t="str">
        <f>IF(J594="","",LEFT(J594,IF(LEN(J594)&lt;=I585,LEN(J594),IFERROR(FIND("§",SUBSTITUTE(LEFT(J594,I585+1)," ","§",LEN(LEFT(J594,I585+1))-LEN(SUBSTITUTE(LEFT(J594,I585+1)," ",""))))-1,IFERROR(FIND(" ",J594,I585+1)-1,LEN(J594))))))</f>
        <v/>
      </c>
      <c r="L594" s="6364"/>
      <c r="M594" s="6329"/>
      <c r="N594" t="s">
        <v>21</v>
      </c>
      <c r="AV594" s="103"/>
      <c r="AW594" s="31"/>
      <c r="AX594" s="32"/>
      <c r="AY594" s="31"/>
      <c r="AZ594" s="33"/>
      <c r="BA594" s="1967"/>
      <c r="BB594" s="1805"/>
      <c r="BC594" s="91"/>
      <c r="BD594" s="1806"/>
      <c r="BE594" s="6401"/>
      <c r="BF594" s="6402"/>
      <c r="BG594" s="1969"/>
      <c r="BH594" s="6403"/>
      <c r="BI594" s="95"/>
      <c r="BJ594" s="1326"/>
      <c r="BK594" s="6404"/>
      <c r="BL594" s="1737"/>
      <c r="BM594" s="2081"/>
      <c r="BN594" s="2238"/>
      <c r="BO594" s="1809"/>
      <c r="BR594" s="3">
        <v>1</v>
      </c>
    </row>
    <row r="595" spans="2:70" ht="21" customHeight="1">
      <c r="B595" s="6236"/>
      <c r="C595" s="6376">
        <f t="shared" si="223"/>
        <v>150</v>
      </c>
      <c r="D595" s="6406" t="str" cm="1">
        <f t="array" ref="D595">IF(MOD(ROW()-50,14)=0,INDEX(D582:D595,MOD(ROW()-50,14)+1),E593)</f>
        <v/>
      </c>
      <c r="E595" s="6407" t="str">
        <f t="shared" si="224"/>
        <v/>
      </c>
      <c r="F595" s="6408" t="str">
        <f t="shared" si="225"/>
        <v/>
      </c>
      <c r="G595" s="6322"/>
      <c r="H595" s="6323" t="str">
        <f t="shared" si="226"/>
        <v/>
      </c>
      <c r="I595" s="6379"/>
      <c r="J595" s="6380" t="str">
        <f t="shared" si="227"/>
        <v/>
      </c>
      <c r="K595" s="6381" t="str">
        <f>IF(J595="","",LEFT(J595,IF(LEN(J595)&lt;=I585,LEN(J595),IFERROR(FIND("§",SUBSTITUTE(LEFT(J595,I585+1)," ","§",LEN(LEFT(J595,I585+1))-LEN(SUBSTITUTE(LEFT(J595,I585+1)," ",""))))-1,IFERROR(FIND(" ",J595,I585+1)-1,LEN(J595))))))</f>
        <v/>
      </c>
      <c r="L595" s="6382"/>
      <c r="M595" s="6330"/>
      <c r="N595" t="s">
        <v>21</v>
      </c>
      <c r="AV595" s="103"/>
      <c r="AW595" s="31"/>
      <c r="AX595" s="32"/>
      <c r="AY595" s="31"/>
      <c r="AZ595" s="33"/>
      <c r="BA595" s="1967"/>
      <c r="BB595" s="1805"/>
      <c r="BC595" s="91"/>
      <c r="BD595" s="1806"/>
      <c r="BE595" s="6401"/>
      <c r="BF595" s="6402"/>
      <c r="BG595" s="1969"/>
      <c r="BH595" s="6403"/>
      <c r="BI595" s="95"/>
      <c r="BJ595" s="1326"/>
      <c r="BK595" s="6404"/>
      <c r="BL595" s="1737"/>
      <c r="BM595" s="2081"/>
      <c r="BN595" s="2238"/>
      <c r="BO595" s="1809"/>
      <c r="BR595" s="3">
        <v>1</v>
      </c>
    </row>
    <row r="596" spans="2:70" ht="21" customHeight="1">
      <c r="B596" s="6236"/>
      <c r="C596" s="6313">
        <f>AD89</f>
        <v>150</v>
      </c>
      <c r="D596" s="6314" t="str">
        <f>IF(UPPER(TRIM(X45))="X",U89,O89)</f>
        <v>40.TEST LIGNE 19 colonne Q et ligne 20 colonne P. rechercher la cellule qui coupe le texte Dans la cocotte N°3 en fonte, faites chauffer l’huile d’olive à feu moyen. Ajoutez la viande et faites-la dorer de tous les côtés. Retirez-la de la cocotte et réservez-la.</v>
      </c>
      <c r="E596" s="6315" t="str">
        <f>IF(D596="","",IF(F596="","",IF(LEN(F596)&gt;=LEN(D596),"",TRIM(MID(D596,LEN(F596)+1,99999)))))</f>
        <v>d’olive à feu moyen. Ajoutez la viande et faites-la dorer de tous les côtés. Retirez-la de la cocotte et réservez-la.</v>
      </c>
      <c r="F596" s="6316" t="str">
        <f>IF(D596="","",IF(LEN(D596)&lt;=C596,D596,IFERROR(LEFT(D596,FIND("§",SUBSTITUTE(LEFT(D596,C596+1)," ","§",LEN(LEFT(D596,C596+1))-LEN(SUBSTITUTE(LEFT(D596,C596+1)," ",""))))-1),LEFT(D596,C596))))</f>
        <v>40.TEST LIGNE 19 colonne Q et ligne 20 colonne P. rechercher la cellule qui coupe le texte Dans la cocotte N°3 en fonte, faites chauffer l’huile</v>
      </c>
      <c r="G596" s="6317"/>
      <c r="H596" s="6385">
        <f>IF(LEN(TRIM(L596))&gt;0,MAX(H595:H595)+1,"")</f>
        <v>1</v>
      </c>
      <c r="I596" s="6324" t="str">
        <f>D596</f>
        <v>40.TEST LIGNE 19 colonne Q et ligne 20 colonne P. rechercher la cellule qui coupe le texte Dans la cocotte N°3 en fonte, faites chauffer l’huile d’olive à feu moyen. Ajoutez la viande et faites-la dorer de tous les côtés. Retirez-la de la cocotte et réservez-la.</v>
      </c>
      <c r="J596" s="6386" t="str">
        <f>IF(I596=0,"",I596)</f>
        <v>40.TEST LIGNE 19 colonne Q et ligne 20 colonne P. rechercher la cellule qui coupe le texte Dans la cocotte N°3 en fonte, faites chauffer l’huile d’olive à feu moyen. Ajoutez la viande et faites-la dorer de tous les côtés. Retirez-la de la cocotte et réservez-la.</v>
      </c>
      <c r="K596" s="6387" t="str">
        <f>IF(I596="","",LEFT(I596,IF(LEN(I596)&lt;=I599,LEN(I596),IFERROR(FIND("§",SUBSTITUTE(LEFT(I596,I599+1)," ","§",LEN(LEFT(I596,I599+1))-LEN(SUBSTITUTE(LEFT(I596,I599+1)," ",""))))-1,IFERROR(FIND(" ",I596,I599+1)-1,LEN(I596))))))</f>
        <v>40.TEST LIGNE 19 colonne Q et ligne 20 colonne P.</v>
      </c>
      <c r="L596" s="6388" t="str" cm="1">
        <f t="array" ref="L596:L601">_xlfn._xlws.FILTER(TRIM(SUBSTITUTE(SUBSTITUTE(SUBSTITUTE(SUBSTITUTE(SUBSTITUTE(CLEAN(K596:K609),CHAR(160)," "),_xlfn.UNICHAR(8239)," "),CHAR(9)," "),CHAR(10)," "),CHAR(13)," ")),TRIM(SUBSTITUTE(SUBSTITUTE(SUBSTITUTE(SUBSTITUTE(SUBSTITUTE(CLEAN(K596:K609),CHAR(160)," "),_xlfn.UNICHAR(8239)," "),CHAR(9)," "),CHAR(10)," "),CHAR(13)," "))&lt;&gt;"")</f>
        <v>40.TEST LIGNE 19 colonne Q et ligne 20 colonne P.</v>
      </c>
      <c r="M596" s="6331"/>
      <c r="N596" t="s">
        <v>21</v>
      </c>
      <c r="AV596" s="103"/>
      <c r="AW596" s="31"/>
      <c r="AX596" s="32"/>
      <c r="AY596" s="31"/>
      <c r="AZ596" s="33"/>
      <c r="BA596" s="1967"/>
      <c r="BB596" s="1805"/>
      <c r="BC596" s="91"/>
      <c r="BD596" s="1806"/>
      <c r="BE596" s="6401"/>
      <c r="BF596" s="6402"/>
      <c r="BG596" s="1969"/>
      <c r="BH596" s="6403"/>
      <c r="BI596" s="95"/>
      <c r="BJ596" s="1326"/>
      <c r="BK596" s="6404"/>
      <c r="BL596" s="1737"/>
      <c r="BM596" s="2081"/>
      <c r="BN596" s="2238"/>
      <c r="BO596" s="1809"/>
      <c r="BR596" s="3">
        <v>1</v>
      </c>
    </row>
    <row r="597" spans="2:70" ht="21" customHeight="1">
      <c r="B597" s="6236"/>
      <c r="C597" s="6358">
        <f t="shared" ref="C597:C609" si="228">C596</f>
        <v>150</v>
      </c>
      <c r="D597" s="6359" t="str" cm="1">
        <f t="array" ref="D597">IF(MOD(ROW()-50,14)=0,INDEX(D596:D609,MOD(ROW()-50,14)+1),E595)</f>
        <v/>
      </c>
      <c r="E597" s="6360" t="str">
        <f t="shared" ref="E597:E609" si="229">IF(D597="","",IF(F597="","",IF(LEN(F597)&gt;=LEN(D597),"",TRIM(MID(D597,LEN(F597)+1,99999)))))</f>
        <v/>
      </c>
      <c r="F597" s="6361" t="str">
        <f t="shared" ref="F597:F609" si="230">IF(D597="","",IF(LEN(D597)&lt;=C597,D597,IFERROR(LEFT(D597,FIND("§",SUBSTITUTE(LEFT(D597,C597+1)," ","§",LEN(LEFT(D597,C597+1))-LEN(SUBSTITUTE(LEFT(D597,C597+1)," ",""))))-1),LEFT(D597,C597))))</f>
        <v/>
      </c>
      <c r="G597" s="6318"/>
      <c r="H597" s="6393">
        <f t="shared" ref="H597:H609" si="231">IF(LEN(TRIM(L597))&gt;0,MAX(H596:H596)+1,"")</f>
        <v>2</v>
      </c>
      <c r="I597" s="6394" t="s">
        <v>14355</v>
      </c>
      <c r="J597" s="6395" t="str">
        <f>TRIM(MID(I600,LEN(K596)+1,99999))</f>
        <v>rechercher la cellule qui coupe le texte Dans la cocotte N°3 en fonte, faites chauffer l’huile d’olive à feu moyen. Ajoutez la viande et faites-la dorer de tous les côtés. Retirez-la de la cocotte et réservez-la.</v>
      </c>
      <c r="K597" s="6396" t="str">
        <f>IF(J597="","",LEFT(J597,IF(LEN(J597)&lt;=I599,LEN(J597),IFERROR(FIND("§",SUBSTITUTE(LEFT(J597,I599+1)," ","§",LEN(LEFT(J597,I599+1))-LEN(SUBSTITUTE(LEFT(J597,I599+1)," ",""))))-1,IFERROR(FIND(" ",J597,I599+1)-1,LEN(J597))))))</f>
        <v>rechercher la cellule qui coupe le texte Dans la</v>
      </c>
      <c r="L597" s="6388" t="str">
        <v>rechercher la cellule qui coupe le texte Dans la</v>
      </c>
      <c r="M597" s="6332"/>
      <c r="N597" t="s">
        <v>21</v>
      </c>
      <c r="AV597" s="103"/>
      <c r="AW597" s="31"/>
      <c r="AX597" s="32"/>
      <c r="AY597" s="31"/>
      <c r="AZ597" s="33"/>
      <c r="BA597" s="1967"/>
      <c r="BB597" s="1805"/>
      <c r="BC597" s="91"/>
      <c r="BD597" s="1806"/>
      <c r="BE597" s="6401"/>
      <c r="BF597" s="6402"/>
      <c r="BG597" s="1969"/>
      <c r="BH597" s="6403"/>
      <c r="BI597" s="95"/>
      <c r="BJ597" s="1326"/>
      <c r="BK597" s="6404"/>
      <c r="BL597" s="1737"/>
      <c r="BM597" s="2081"/>
      <c r="BN597" s="2238"/>
      <c r="BO597" s="1809"/>
      <c r="BR597" s="3">
        <v>1</v>
      </c>
    </row>
    <row r="598" spans="2:70" ht="21" customHeight="1">
      <c r="B598" s="6236"/>
      <c r="C598" s="6358">
        <f t="shared" si="228"/>
        <v>150</v>
      </c>
      <c r="D598" s="6359" t="str" cm="1">
        <f t="array" ref="D598">IF(MOD(ROW()-50,14)=0,INDEX(D596:D609,MOD(ROW()-50,14)+1),E596)</f>
        <v>d’olive à feu moyen. Ajoutez la viande et faites-la dorer de tous les côtés. Retirez-la de la cocotte et réservez-la.</v>
      </c>
      <c r="E598" s="6360" t="str">
        <f t="shared" si="229"/>
        <v/>
      </c>
      <c r="F598" s="6361" t="str">
        <f t="shared" si="230"/>
        <v>d’olive à feu moyen. Ajoutez la viande et faites-la dorer de tous les côtés. Retirez-la de la cocotte et réservez-la.</v>
      </c>
      <c r="G598" s="6318"/>
      <c r="H598" s="6393">
        <f t="shared" si="231"/>
        <v>3</v>
      </c>
      <c r="I598" s="6365">
        <f>Z89</f>
        <v>5</v>
      </c>
      <c r="J598" s="6395" t="str">
        <f t="shared" ref="J598:J609" si="232">TRIM(MID(J597,LEN(K597)+1,99999))</f>
        <v>cocotte N°3 en fonte, faites chauffer l’huile d’olive à feu moyen. Ajoutez la viande et faites-la dorer de tous les côtés. Retirez-la de la cocotte et réservez-la.</v>
      </c>
      <c r="K598" s="6396" t="str">
        <f>IF(J598="","",LEFT(J598,IF(LEN(J598)&lt;=I599,LEN(J598),IFERROR(FIND("§",SUBSTITUTE(LEFT(J598,I599+1)," ","§",LEN(LEFT(J598,I599+1))-LEN(SUBSTITUTE(LEFT(J598,I599+1)," ",""))))-1,IFERROR(FIND(" ",J598,I599+1)-1,LEN(J598))))))</f>
        <v>cocotte N°3 en fonte, faites chauffer l’huile d’olive</v>
      </c>
      <c r="L598" s="6388" t="str">
        <v>cocotte N°3 en fonte, faites chauffer l’huile d’olive</v>
      </c>
      <c r="M598" s="6332"/>
      <c r="N598" t="s">
        <v>21</v>
      </c>
      <c r="AV598" s="103"/>
      <c r="AW598" s="31"/>
      <c r="AX598" s="32"/>
      <c r="AY598" s="31"/>
      <c r="AZ598" s="33"/>
      <c r="BA598" s="1967"/>
      <c r="BB598" s="1805"/>
      <c r="BC598" s="91"/>
      <c r="BD598" s="1806"/>
      <c r="BE598" s="6401"/>
      <c r="BF598" s="6402"/>
      <c r="BG598" s="1969"/>
      <c r="BH598" s="6403"/>
      <c r="BI598" s="95"/>
      <c r="BJ598" s="1326"/>
      <c r="BK598" s="6404"/>
      <c r="BL598" s="1737"/>
      <c r="BM598" s="2081"/>
      <c r="BN598" s="2238"/>
      <c r="BO598" s="1809"/>
      <c r="BR598" s="3">
        <v>1</v>
      </c>
    </row>
    <row r="599" spans="2:70" ht="21" customHeight="1">
      <c r="B599" s="6236"/>
      <c r="C599" s="6358">
        <f t="shared" si="228"/>
        <v>150</v>
      </c>
      <c r="D599" s="6359" t="str" cm="1">
        <f t="array" ref="D599">IF(MOD(ROW()-50,14)=0,INDEX(D596:D609,MOD(ROW()-50,14)+1),E597)</f>
        <v/>
      </c>
      <c r="E599" s="6360" t="str">
        <f t="shared" si="229"/>
        <v/>
      </c>
      <c r="F599" s="6361" t="str">
        <f t="shared" si="230"/>
        <v/>
      </c>
      <c r="G599" s="6318"/>
      <c r="H599" s="6393">
        <f t="shared" si="231"/>
        <v>4</v>
      </c>
      <c r="I599" s="6398">
        <f>IF(OR(J596="",I598="",I598&lt;=0),"",ROUNDUP(LEN(J596)/I598,0))</f>
        <v>53</v>
      </c>
      <c r="J599" s="6395" t="str">
        <f t="shared" si="232"/>
        <v>à feu moyen. Ajoutez la viande et faites-la dorer de tous les côtés. Retirez-la de la cocotte et réservez-la.</v>
      </c>
      <c r="K599" s="6396" t="str">
        <f>IF(J599="","",LEFT(J599,IF(LEN(J599)&lt;=I599,LEN(J599),IFERROR(FIND("§",SUBSTITUTE(LEFT(J599,I599+1)," ","§",LEN(LEFT(J599,I599+1))-LEN(SUBSTITUTE(LEFT(J599,I599+1)," ",""))))-1,IFERROR(FIND(" ",J599,I599+1)-1,LEN(J599))))))</f>
        <v>à feu moyen. Ajoutez la viande et faites-la dorer de</v>
      </c>
      <c r="L599" s="6388" t="str">
        <v>à feu moyen. Ajoutez la viande et faites-la dorer de</v>
      </c>
      <c r="M599" s="6332"/>
      <c r="N599" t="s">
        <v>21</v>
      </c>
      <c r="AV599" s="103"/>
      <c r="AW599" s="31"/>
      <c r="AX599" s="32"/>
      <c r="AY599" s="31"/>
      <c r="AZ599" s="33"/>
      <c r="BA599" s="1967"/>
      <c r="BB599" s="1805"/>
      <c r="BC599" s="91"/>
      <c r="BD599" s="1806"/>
      <c r="BE599" s="6401"/>
      <c r="BF599" s="6402"/>
      <c r="BG599" s="1969"/>
      <c r="BH599" s="6403"/>
      <c r="BI599" s="95"/>
      <c r="BJ599" s="1326"/>
      <c r="BK599" s="6404"/>
      <c r="BL599" s="1737"/>
      <c r="BM599" s="2081"/>
      <c r="BN599" s="2238"/>
      <c r="BO599" s="1809"/>
      <c r="BR599" s="3">
        <v>1</v>
      </c>
    </row>
    <row r="600" spans="2:70" ht="21" customHeight="1">
      <c r="B600" s="6236"/>
      <c r="C600" s="6358">
        <f t="shared" si="228"/>
        <v>150</v>
      </c>
      <c r="D600" s="6359" t="str" cm="1">
        <f t="array" ref="D600">IF(MOD(ROW()-50,14)=0,INDEX(D596:D609,MOD(ROW()-50,14)+1),E598)</f>
        <v/>
      </c>
      <c r="E600" s="6360" t="str">
        <f t="shared" si="229"/>
        <v/>
      </c>
      <c r="F600" s="6361" t="str">
        <f t="shared" si="230"/>
        <v/>
      </c>
      <c r="G600" s="6318"/>
      <c r="H600" s="6393">
        <f t="shared" si="231"/>
        <v>5</v>
      </c>
      <c r="I600" s="6400" t="str">
        <f>I596</f>
        <v>40.TEST LIGNE 19 colonne Q et ligne 20 colonne P. rechercher la cellule qui coupe le texte Dans la cocotte N°3 en fonte, faites chauffer l’huile d’olive à feu moyen. Ajoutez la viande et faites-la dorer de tous les côtés. Retirez-la de la cocotte et réservez-la.</v>
      </c>
      <c r="J600" s="6395" t="str">
        <f t="shared" si="232"/>
        <v>tous les côtés. Retirez-la de la cocotte et réservez-la.</v>
      </c>
      <c r="K600" s="6396" t="str">
        <f>IF(J600="","",LEFT(J600,IF(LEN(J600)&lt;=I599,LEN(J600),IFERROR(FIND("§",SUBSTITUTE(LEFT(J600,I599+1)," ","§",LEN(LEFT(J600,I599+1))-LEN(SUBSTITUTE(LEFT(J600,I599+1)," ",""))))-1,IFERROR(FIND(" ",J600,I599+1)-1,LEN(J600))))))</f>
        <v>tous les côtés. Retirez-la de la cocotte et</v>
      </c>
      <c r="L600" s="6388" t="str">
        <v>tous les côtés. Retirez-la de la cocotte et</v>
      </c>
      <c r="M600" s="6332"/>
      <c r="N600" t="s">
        <v>21</v>
      </c>
      <c r="AV600" s="103"/>
      <c r="AW600" s="31"/>
      <c r="AX600" s="32"/>
      <c r="AY600" s="31"/>
      <c r="AZ600" s="33"/>
      <c r="BA600" s="1967"/>
      <c r="BB600" s="1805"/>
      <c r="BC600" s="91"/>
      <c r="BD600" s="1806"/>
      <c r="BE600" s="6401"/>
      <c r="BF600" s="6402"/>
      <c r="BG600" s="1969"/>
      <c r="BH600" s="6403"/>
      <c r="BI600" s="95"/>
      <c r="BJ600" s="1326"/>
      <c r="BK600" s="6404"/>
      <c r="BL600" s="1737"/>
      <c r="BM600" s="2081"/>
      <c r="BN600" s="2238"/>
      <c r="BO600" s="1809"/>
      <c r="BR600" s="3">
        <v>1</v>
      </c>
    </row>
    <row r="601" spans="2:70" ht="21" customHeight="1">
      <c r="B601" s="6236"/>
      <c r="C601" s="6358">
        <f t="shared" si="228"/>
        <v>150</v>
      </c>
      <c r="D601" s="6359" t="str" cm="1">
        <f t="array" ref="D601">IF(MOD(ROW()-50,14)=0,INDEX(D596:D609,MOD(ROW()-50,14)+1),E599)</f>
        <v/>
      </c>
      <c r="E601" s="6360" t="str">
        <f t="shared" si="229"/>
        <v/>
      </c>
      <c r="F601" s="6361" t="str">
        <f t="shared" si="230"/>
        <v/>
      </c>
      <c r="G601" s="6318"/>
      <c r="H601" s="6393">
        <f t="shared" si="231"/>
        <v>6</v>
      </c>
      <c r="I601" s="6405"/>
      <c r="J601" s="6395" t="str">
        <f t="shared" si="232"/>
        <v>réservez-la.</v>
      </c>
      <c r="K601" s="6396" t="str">
        <f>IF(J601="","",LEFT(J601,IF(LEN(J601)&lt;=I599,LEN(J601),IFERROR(FIND("§",SUBSTITUTE(LEFT(J601,I599+1)," ","§",LEN(LEFT(J601,I599+1))-LEN(SUBSTITUTE(LEFT(J601,I599+1)," ",""))))-1,IFERROR(FIND(" ",J601,I599+1)-1,LEN(J601))))))</f>
        <v>réservez-la.</v>
      </c>
      <c r="L601" s="6388" t="str">
        <v>réservez-la.</v>
      </c>
      <c r="M601" s="6332"/>
      <c r="N601" t="s">
        <v>21</v>
      </c>
      <c r="AV601" s="103"/>
      <c r="AW601" s="31"/>
      <c r="AX601" s="32"/>
      <c r="AY601" s="31"/>
      <c r="AZ601" s="33"/>
      <c r="BA601" s="1967"/>
      <c r="BB601" s="1805"/>
      <c r="BC601" s="91"/>
      <c r="BD601" s="1806"/>
      <c r="BE601" s="6401"/>
      <c r="BF601" s="6402"/>
      <c r="BG601" s="1969"/>
      <c r="BH601" s="6403"/>
      <c r="BI601" s="95"/>
      <c r="BJ601" s="1326"/>
      <c r="BK601" s="6404"/>
      <c r="BL601" s="1737"/>
      <c r="BM601" s="2081"/>
      <c r="BN601" s="2238"/>
      <c r="BO601" s="1809"/>
      <c r="BR601" s="3">
        <v>1</v>
      </c>
    </row>
    <row r="602" spans="2:70" ht="21" customHeight="1">
      <c r="B602" s="6236"/>
      <c r="C602" s="6358">
        <f t="shared" si="228"/>
        <v>150</v>
      </c>
      <c r="D602" s="6359" t="str" cm="1">
        <f t="array" ref="D602">IF(MOD(ROW()-50,14)=0,INDEX(D596:D609,MOD(ROW()-50,14)+1),E600)</f>
        <v/>
      </c>
      <c r="E602" s="6360" t="str">
        <f t="shared" si="229"/>
        <v/>
      </c>
      <c r="F602" s="6361" t="str">
        <f t="shared" si="230"/>
        <v/>
      </c>
      <c r="G602" s="6318"/>
      <c r="H602" s="6393" t="str">
        <f t="shared" si="231"/>
        <v/>
      </c>
      <c r="I602" s="6405"/>
      <c r="J602" s="6395" t="str">
        <f t="shared" si="232"/>
        <v/>
      </c>
      <c r="K602" s="6396" t="str">
        <f>IF(J602="","",LEFT(J602,IF(LEN(J602)&lt;=I599,LEN(J602),IFERROR(FIND("§",SUBSTITUTE(LEFT(J602,I599+1)," ","§",LEN(LEFT(J602,I599+1))-LEN(SUBSTITUTE(LEFT(J602,I599+1)," ",""))))-1,IFERROR(FIND(" ",J602,I599+1)-1,LEN(J602))))))</f>
        <v/>
      </c>
      <c r="L602" s="6388"/>
      <c r="M602" s="6332"/>
      <c r="N602" t="s">
        <v>21</v>
      </c>
      <c r="AV602" s="103"/>
      <c r="AW602" s="31"/>
      <c r="AX602" s="32"/>
      <c r="AY602" s="31"/>
      <c r="AZ602" s="33"/>
      <c r="BA602" s="1967"/>
      <c r="BB602" s="1805"/>
      <c r="BC602" s="91"/>
      <c r="BD602" s="1806"/>
      <c r="BE602" s="6401"/>
      <c r="BF602" s="6402"/>
      <c r="BG602" s="1969"/>
      <c r="BH602" s="6403"/>
      <c r="BI602" s="95"/>
      <c r="BJ602" s="1326"/>
      <c r="BK602" s="6404"/>
      <c r="BL602" s="1737"/>
      <c r="BM602" s="2081"/>
      <c r="BN602" s="2238"/>
      <c r="BO602" s="1809"/>
      <c r="BR602" s="3">
        <v>1</v>
      </c>
    </row>
    <row r="603" spans="2:70" ht="21" customHeight="1">
      <c r="B603" s="6236"/>
      <c r="C603" s="6358">
        <f t="shared" si="228"/>
        <v>150</v>
      </c>
      <c r="D603" s="6359" t="str" cm="1">
        <f t="array" ref="D603">IF(MOD(ROW()-50,14)=0,INDEX(D596:D609,MOD(ROW()-50,14)+1),E601)</f>
        <v/>
      </c>
      <c r="E603" s="6360" t="str">
        <f t="shared" si="229"/>
        <v/>
      </c>
      <c r="F603" s="6361" t="str">
        <f t="shared" si="230"/>
        <v/>
      </c>
      <c r="G603" s="6318"/>
      <c r="H603" s="6393" t="str">
        <f t="shared" si="231"/>
        <v/>
      </c>
      <c r="I603" s="6405"/>
      <c r="J603" s="6395" t="str">
        <f t="shared" si="232"/>
        <v/>
      </c>
      <c r="K603" s="6396" t="str">
        <f>IF(J603="","",LEFT(J603,IF(LEN(J603)&lt;=I599,LEN(J603),IFERROR(FIND("§",SUBSTITUTE(LEFT(J603,I599+1)," ","§",LEN(LEFT(J603,I599+1))-LEN(SUBSTITUTE(LEFT(J603,I599+1)," ",""))))-1,IFERROR(FIND(" ",J603,I599+1)-1,LEN(J603))))))</f>
        <v/>
      </c>
      <c r="L603" s="6388"/>
      <c r="M603" s="6332"/>
      <c r="N603" t="s">
        <v>21</v>
      </c>
      <c r="AV603" s="103"/>
      <c r="AW603" s="31"/>
      <c r="AX603" s="32"/>
      <c r="AY603" s="31"/>
      <c r="AZ603" s="33"/>
      <c r="BA603" s="1967"/>
      <c r="BB603" s="1805"/>
      <c r="BC603" s="91"/>
      <c r="BD603" s="1806"/>
      <c r="BE603" s="6401"/>
      <c r="BF603" s="6402"/>
      <c r="BG603" s="1969"/>
      <c r="BH603" s="6403"/>
      <c r="BI603" s="95"/>
      <c r="BJ603" s="1326"/>
      <c r="BK603" s="6404"/>
      <c r="BL603" s="1737"/>
      <c r="BM603" s="2081"/>
      <c r="BN603" s="2238"/>
      <c r="BO603" s="1809"/>
      <c r="BR603" s="3">
        <v>1</v>
      </c>
    </row>
    <row r="604" spans="2:70" ht="21" customHeight="1">
      <c r="B604" s="6236"/>
      <c r="C604" s="6358">
        <f t="shared" si="228"/>
        <v>150</v>
      </c>
      <c r="D604" s="6359" t="str" cm="1">
        <f t="array" ref="D604">IF(MOD(ROW()-50,14)=0,INDEX(D596:D609,MOD(ROW()-50,14)+1),E602)</f>
        <v/>
      </c>
      <c r="E604" s="6360" t="str">
        <f t="shared" si="229"/>
        <v/>
      </c>
      <c r="F604" s="6361" t="str">
        <f t="shared" si="230"/>
        <v/>
      </c>
      <c r="G604" s="6318"/>
      <c r="H604" s="6393" t="str">
        <f t="shared" si="231"/>
        <v/>
      </c>
      <c r="I604" s="6405"/>
      <c r="J604" s="6395" t="str">
        <f t="shared" si="232"/>
        <v/>
      </c>
      <c r="K604" s="6396" t="str">
        <f>IF(J604="","",LEFT(J604,IF(LEN(J604)&lt;=I599,LEN(J604),IFERROR(FIND("§",SUBSTITUTE(LEFT(J604,I599+1)," ","§",LEN(LEFT(J604,I599+1))-LEN(SUBSTITUTE(LEFT(J604,I599+1)," ",""))))-1,IFERROR(FIND(" ",J604,I599+1)-1,LEN(J604))))))</f>
        <v/>
      </c>
      <c r="L604" s="6388"/>
      <c r="M604" s="6332"/>
      <c r="N604" t="s">
        <v>21</v>
      </c>
      <c r="AV604" s="103"/>
      <c r="AW604" s="31"/>
      <c r="AX604" s="32"/>
      <c r="AY604" s="31"/>
      <c r="AZ604" s="33"/>
      <c r="BA604" s="1967"/>
      <c r="BB604" s="1805"/>
      <c r="BC604" s="91"/>
      <c r="BD604" s="1806"/>
      <c r="BE604" s="6401"/>
      <c r="BF604" s="6402"/>
      <c r="BG604" s="1969"/>
      <c r="BH604" s="6403"/>
      <c r="BI604" s="95"/>
      <c r="BJ604" s="1326"/>
      <c r="BK604" s="6404"/>
      <c r="BL604" s="1737"/>
      <c r="BM604" s="2081"/>
      <c r="BN604" s="2238"/>
      <c r="BO604" s="1809"/>
      <c r="BR604" s="3">
        <v>1</v>
      </c>
    </row>
    <row r="605" spans="2:70" ht="21" customHeight="1">
      <c r="B605" s="6236"/>
      <c r="C605" s="6358">
        <f t="shared" si="228"/>
        <v>150</v>
      </c>
      <c r="D605" s="6359" t="str" cm="1">
        <f t="array" ref="D605">IF(MOD(ROW()-50,14)=0,INDEX(D596:D609,MOD(ROW()-50,14)+1),E603)</f>
        <v/>
      </c>
      <c r="E605" s="6360" t="str">
        <f t="shared" si="229"/>
        <v/>
      </c>
      <c r="F605" s="6361" t="str">
        <f t="shared" si="230"/>
        <v/>
      </c>
      <c r="G605" s="6318"/>
      <c r="H605" s="6393" t="str">
        <f t="shared" si="231"/>
        <v/>
      </c>
      <c r="I605" s="6405"/>
      <c r="J605" s="6395" t="str">
        <f t="shared" si="232"/>
        <v/>
      </c>
      <c r="K605" s="6396" t="str">
        <f>IF(J605="","",LEFT(J605,IF(LEN(J605)&lt;=I599,LEN(J605),IFERROR(FIND("§",SUBSTITUTE(LEFT(J605,I599+1)," ","§",LEN(LEFT(J605,I599+1))-LEN(SUBSTITUTE(LEFT(J605,I599+1)," ",""))))-1,IFERROR(FIND(" ",J605,I599+1)-1,LEN(J605))))))</f>
        <v/>
      </c>
      <c r="L605" s="6388"/>
      <c r="M605" s="6332"/>
      <c r="N605" t="s">
        <v>21</v>
      </c>
      <c r="AV605" s="103"/>
      <c r="AW605" s="31"/>
      <c r="AX605" s="32"/>
      <c r="AY605" s="31"/>
      <c r="AZ605" s="33"/>
      <c r="BA605" s="1967"/>
      <c r="BB605" s="1805"/>
      <c r="BC605" s="91"/>
      <c r="BD605" s="1806"/>
      <c r="BE605" s="6401"/>
      <c r="BF605" s="6402"/>
      <c r="BG605" s="1969"/>
      <c r="BH605" s="6403"/>
      <c r="BI605" s="95"/>
      <c r="BJ605" s="1326"/>
      <c r="BK605" s="6404"/>
      <c r="BL605" s="1737"/>
      <c r="BM605" s="2081"/>
      <c r="BN605" s="2238"/>
      <c r="BO605" s="1809"/>
      <c r="BR605" s="3">
        <v>1</v>
      </c>
    </row>
    <row r="606" spans="2:70" ht="21" customHeight="1">
      <c r="B606" s="6236"/>
      <c r="C606" s="6358">
        <f t="shared" si="228"/>
        <v>150</v>
      </c>
      <c r="D606" s="6359" t="str" cm="1">
        <f t="array" ref="D606">IF(MOD(ROW()-50,14)=0,INDEX(D596:D609,MOD(ROW()-50,14)+1),E604)</f>
        <v/>
      </c>
      <c r="E606" s="6360" t="str">
        <f t="shared" si="229"/>
        <v/>
      </c>
      <c r="F606" s="6361" t="str">
        <f t="shared" si="230"/>
        <v/>
      </c>
      <c r="G606" s="6318"/>
      <c r="H606" s="6393" t="str">
        <f t="shared" si="231"/>
        <v/>
      </c>
      <c r="I606" s="6405"/>
      <c r="J606" s="6395" t="str">
        <f t="shared" si="232"/>
        <v/>
      </c>
      <c r="K606" s="6396" t="str">
        <f>IF(J606="","",LEFT(J606,IF(LEN(J606)&lt;=I599,LEN(J606),IFERROR(FIND("§",SUBSTITUTE(LEFT(J606,I599+1)," ","§",LEN(LEFT(J606,I599+1))-LEN(SUBSTITUTE(LEFT(J606,I599+1)," ",""))))-1,IFERROR(FIND(" ",J606,I599+1)-1,LEN(J606))))))</f>
        <v/>
      </c>
      <c r="L606" s="6388"/>
      <c r="M606" s="6332"/>
      <c r="N606" t="s">
        <v>21</v>
      </c>
      <c r="AV606" s="103"/>
      <c r="AW606" s="31"/>
      <c r="AX606" s="32"/>
      <c r="AY606" s="31"/>
      <c r="AZ606" s="33"/>
      <c r="BA606" s="1967"/>
      <c r="BB606" s="1805"/>
      <c r="BC606" s="91"/>
      <c r="BD606" s="1806"/>
      <c r="BE606" s="6401"/>
      <c r="BF606" s="6402"/>
      <c r="BG606" s="1969"/>
      <c r="BH606" s="6403"/>
      <c r="BI606" s="95"/>
      <c r="BJ606" s="1326"/>
      <c r="BK606" s="6404"/>
      <c r="BL606" s="1737"/>
      <c r="BM606" s="2081"/>
      <c r="BN606" s="2238"/>
      <c r="BO606" s="1809"/>
      <c r="BR606" s="3">
        <v>1</v>
      </c>
    </row>
    <row r="607" spans="2:70" ht="21" customHeight="1">
      <c r="B607" s="6236"/>
      <c r="C607" s="6358">
        <f t="shared" si="228"/>
        <v>150</v>
      </c>
      <c r="D607" s="6359" t="str" cm="1">
        <f t="array" ref="D607">IF(MOD(ROW()-50,14)=0,INDEX(D596:D609,MOD(ROW()-50,14)+1),E605)</f>
        <v/>
      </c>
      <c r="E607" s="6360" t="str">
        <f t="shared" si="229"/>
        <v/>
      </c>
      <c r="F607" s="6361" t="str">
        <f t="shared" si="230"/>
        <v/>
      </c>
      <c r="G607" s="6318"/>
      <c r="H607" s="6393" t="str">
        <f t="shared" si="231"/>
        <v/>
      </c>
      <c r="I607" s="6405"/>
      <c r="J607" s="6395" t="str">
        <f t="shared" si="232"/>
        <v/>
      </c>
      <c r="K607" s="6396" t="str">
        <f>IF(J607="","",LEFT(J607,IF(LEN(J607)&lt;=I599,LEN(J607),IFERROR(FIND("§",SUBSTITUTE(LEFT(J607,I599+1)," ","§",LEN(LEFT(J607,I599+1))-LEN(SUBSTITUTE(LEFT(J607,I599+1)," ",""))))-1,IFERROR(FIND(" ",J607,I599+1)-1,LEN(J607))))))</f>
        <v/>
      </c>
      <c r="L607" s="6388"/>
      <c r="M607" s="6332"/>
      <c r="N607" t="s">
        <v>21</v>
      </c>
      <c r="AV607" s="103"/>
      <c r="AW607" s="31"/>
      <c r="AX607" s="32"/>
      <c r="AY607" s="31"/>
      <c r="AZ607" s="33"/>
      <c r="BA607" s="1967"/>
      <c r="BB607" s="1805"/>
      <c r="BC607" s="91"/>
      <c r="BD607" s="1806"/>
      <c r="BE607" s="6401"/>
      <c r="BF607" s="6402"/>
      <c r="BG607" s="1969"/>
      <c r="BH607" s="6403"/>
      <c r="BI607" s="95"/>
      <c r="BJ607" s="1326"/>
      <c r="BK607" s="6404"/>
      <c r="BL607" s="1737"/>
      <c r="BM607" s="2081"/>
      <c r="BN607" s="2238"/>
      <c r="BO607" s="1809"/>
      <c r="BR607" s="3">
        <v>1</v>
      </c>
    </row>
    <row r="608" spans="2:70" ht="21" customHeight="1">
      <c r="B608" s="6236"/>
      <c r="C608" s="6358">
        <f t="shared" si="228"/>
        <v>150</v>
      </c>
      <c r="D608" s="6359" t="str" cm="1">
        <f t="array" ref="D608">IF(MOD(ROW()-50,14)=0,INDEX(D596:D609,MOD(ROW()-50,14)+1),E606)</f>
        <v/>
      </c>
      <c r="E608" s="6360" t="str">
        <f t="shared" si="229"/>
        <v/>
      </c>
      <c r="F608" s="6361" t="str">
        <f t="shared" si="230"/>
        <v/>
      </c>
      <c r="G608" s="6318"/>
      <c r="H608" s="6393" t="str">
        <f t="shared" si="231"/>
        <v/>
      </c>
      <c r="I608" s="6405"/>
      <c r="J608" s="6395" t="str">
        <f t="shared" si="232"/>
        <v/>
      </c>
      <c r="K608" s="6396" t="str">
        <f>IF(J608="","",LEFT(J608,IF(LEN(J608)&lt;=I599,LEN(J608),IFERROR(FIND("§",SUBSTITUTE(LEFT(J608,I599+1)," ","§",LEN(LEFT(J608,I599+1))-LEN(SUBSTITUTE(LEFT(J608,I599+1)," ",""))))-1,IFERROR(FIND(" ",J608,I599+1)-1,LEN(J608))))))</f>
        <v/>
      </c>
      <c r="L608" s="6396"/>
      <c r="M608" s="6332"/>
      <c r="N608" t="s">
        <v>21</v>
      </c>
      <c r="AV608" s="103"/>
      <c r="AW608" s="31"/>
      <c r="AX608" s="32"/>
      <c r="AY608" s="31"/>
      <c r="AZ608" s="33"/>
      <c r="BA608" s="1967"/>
      <c r="BB608" s="1805"/>
      <c r="BC608" s="91"/>
      <c r="BD608" s="1806"/>
      <c r="BE608" s="6401"/>
      <c r="BF608" s="6402"/>
      <c r="BG608" s="1969"/>
      <c r="BH608" s="6403"/>
      <c r="BI608" s="95"/>
      <c r="BJ608" s="1326"/>
      <c r="BK608" s="6404"/>
      <c r="BL608" s="1737"/>
      <c r="BM608" s="2081"/>
      <c r="BN608" s="2238"/>
      <c r="BO608" s="1809"/>
      <c r="BR608" s="3">
        <v>1</v>
      </c>
    </row>
    <row r="609" spans="2:70" ht="21" customHeight="1">
      <c r="B609" s="6236"/>
      <c r="C609" s="6376">
        <f t="shared" si="228"/>
        <v>150</v>
      </c>
      <c r="D609" s="6414" t="str" cm="1">
        <f t="array" ref="D609">IF(MOD(ROW()-50,14)=0,INDEX(D596:D609,MOD(ROW()-50,14)+1),E607)</f>
        <v/>
      </c>
      <c r="E609" s="6377" t="str">
        <f t="shared" si="229"/>
        <v/>
      </c>
      <c r="F609" s="6378" t="str">
        <f t="shared" si="230"/>
        <v/>
      </c>
      <c r="G609" s="6319"/>
      <c r="H609" s="6409" t="str">
        <f t="shared" si="231"/>
        <v/>
      </c>
      <c r="I609" s="6410"/>
      <c r="J609" s="6411" t="str">
        <f t="shared" si="232"/>
        <v/>
      </c>
      <c r="K609" s="6412" t="str">
        <f>IF(J609="","",LEFT(J609,IF(LEN(J609)&lt;=I599,LEN(J609),IFERROR(FIND("§",SUBSTITUTE(LEFT(J609,I599+1)," ","§",LEN(LEFT(J609,I599+1))-LEN(SUBSTITUTE(LEFT(J609,I599+1)," ",""))))-1,IFERROR(FIND(" ",J609,I599+1)-1,LEN(J609))))))</f>
        <v/>
      </c>
      <c r="L609" s="6413"/>
      <c r="M609" s="6333"/>
      <c r="N609" t="s">
        <v>21</v>
      </c>
      <c r="AV609" s="103"/>
      <c r="AW609" s="31"/>
      <c r="AX609" s="32"/>
      <c r="AY609" s="31"/>
      <c r="AZ609" s="33"/>
      <c r="BA609" s="1967"/>
      <c r="BB609" s="1805"/>
      <c r="BC609" s="91"/>
      <c r="BD609" s="1806"/>
      <c r="BE609" s="6401"/>
      <c r="BF609" s="6402"/>
      <c r="BG609" s="1969"/>
      <c r="BH609" s="6403"/>
      <c r="BI609" s="95"/>
      <c r="BJ609" s="1326"/>
      <c r="BK609" s="6404"/>
      <c r="BL609" s="1737"/>
      <c r="BM609" s="2081"/>
      <c r="BN609" s="2238"/>
      <c r="BO609" s="1809"/>
      <c r="BR609" s="3">
        <v>1</v>
      </c>
    </row>
    <row r="610" spans="2:70" ht="21" customHeight="1">
      <c r="B610" s="6236"/>
      <c r="C610" s="6313">
        <f>AD90</f>
        <v>150</v>
      </c>
      <c r="D610" s="6314" t="str">
        <f>IF(UPPER(TRIM(X45))="X",U90,O90)</f>
        <v>41.TEST LIGNE 19 colonne Q et ligne 20 colonne P. rechercher la cellule qui coupe le texte Dans la cocotte N°3 en fonte, faites chauffer l’huile d’olive à feu moyen. Ajoutez la viande et faites-la dorer de tous les côtés. Retirez-la de la cocotte et réservez-la.</v>
      </c>
      <c r="E610" s="6383" t="str">
        <f>IF(D610="","",IF(F610="","",IF(LEN(F610)&gt;=LEN(D610),"",TRIM(MID(D610,LEN(F610)+1,99999)))))</f>
        <v>d’olive à feu moyen. Ajoutez la viande et faites-la dorer de tous les côtés. Retirez-la de la cocotte et réservez-la.</v>
      </c>
      <c r="F610" s="6384" t="str">
        <f>IF(D610="","",IF(LEN(D610)&lt;=C610,D610,IFERROR(LEFT(D610,FIND("§",SUBSTITUTE(LEFT(D610,C610+1)," ","§",LEN(LEFT(D610,C610+1))-LEN(SUBSTITUTE(LEFT(D610,C610+1)," ",""))))-1),LEFT(D610,C610))))</f>
        <v>41.TEST LIGNE 19 colonne Q et ligne 20 colonne P. rechercher la cellule qui coupe le texte Dans la cocotte N°3 en fonte, faites chauffer l’huile</v>
      </c>
      <c r="G610" s="6320"/>
      <c r="H610" s="6323">
        <f>IF(LEN(TRIM(L610))&gt;0,MAX(H609:H609)+1,"")</f>
        <v>1</v>
      </c>
      <c r="I610" s="6324" t="str">
        <f>D610</f>
        <v>41.TEST LIGNE 19 colonne Q et ligne 20 colonne P. rechercher la cellule qui coupe le texte Dans la cocotte N°3 en fonte, faites chauffer l’huile d’olive à feu moyen. Ajoutez la viande et faites-la dorer de tous les côtés. Retirez-la de la cocotte et réservez-la.</v>
      </c>
      <c r="J610" s="6325" t="str">
        <f>IF(I610=0,"",I610)</f>
        <v>41.TEST LIGNE 19 colonne Q et ligne 20 colonne P. rechercher la cellule qui coupe le texte Dans la cocotte N°3 en fonte, faites chauffer l’huile d’olive à feu moyen. Ajoutez la viande et faites-la dorer de tous les côtés. Retirez-la de la cocotte et réservez-la.</v>
      </c>
      <c r="K610" s="6326" t="str">
        <f>IF(I610="","",LEFT(I610,IF(LEN(I610)&lt;=I613,LEN(I610),IFERROR(FIND("§",SUBSTITUTE(LEFT(I610,I613+1)," ","§",LEN(LEFT(I610,I613+1))-LEN(SUBSTITUTE(LEFT(I610,I613+1)," ",""))))-1,IFERROR(FIND(" ",I610,I613+1)-1,LEN(I610))))))</f>
        <v>41.TEST LIGNE 19 colonne Q et ligne 20 colonne P.</v>
      </c>
      <c r="L610" s="6326" t="str" cm="1">
        <f t="array" ref="L610:L615">_xlfn._xlws.FILTER(TRIM(SUBSTITUTE(SUBSTITUTE(SUBSTITUTE(SUBSTITUTE(SUBSTITUTE(CLEAN(K610:K623),CHAR(160)," "),_xlfn.UNICHAR(8239)," "),CHAR(9)," "),CHAR(10)," "),CHAR(13)," ")),TRIM(SUBSTITUTE(SUBSTITUTE(SUBSTITUTE(SUBSTITUTE(SUBSTITUTE(CLEAN(K610:K623),CHAR(160)," "),_xlfn.UNICHAR(8239)," "),CHAR(9)," "),CHAR(10)," "),CHAR(13)," "))&lt;&gt;"")</f>
        <v>41.TEST LIGNE 19 colonne Q et ligne 20 colonne P.</v>
      </c>
      <c r="M610" s="6328"/>
      <c r="N610" t="s">
        <v>21</v>
      </c>
      <c r="AV610" s="103"/>
      <c r="AW610" s="31"/>
      <c r="AX610" s="32"/>
      <c r="AY610" s="31"/>
      <c r="AZ610" s="33"/>
      <c r="BA610" s="1967"/>
      <c r="BB610" s="1805"/>
      <c r="BC610" s="91"/>
      <c r="BD610" s="1806"/>
      <c r="BE610" s="6401"/>
      <c r="BF610" s="6402"/>
      <c r="BG610" s="1969"/>
      <c r="BH610" s="6403"/>
      <c r="BI610" s="95"/>
      <c r="BJ610" s="1326"/>
      <c r="BK610" s="6404"/>
      <c r="BL610" s="1737"/>
      <c r="BM610" s="2081"/>
      <c r="BN610" s="2238"/>
      <c r="BO610" s="1809"/>
      <c r="BR610" s="3">
        <v>1</v>
      </c>
    </row>
    <row r="611" spans="2:70" ht="21" customHeight="1">
      <c r="B611" s="6236"/>
      <c r="C611" s="6358">
        <f t="shared" ref="C611:C623" si="233">C610</f>
        <v>150</v>
      </c>
      <c r="D611" s="6390" t="str" cm="1">
        <f t="array" ref="D611">IF(MOD(ROW()-50,14)=0,INDEX(D610:D623,MOD(ROW()-50,14)+1),E609)</f>
        <v/>
      </c>
      <c r="E611" s="6391" t="str">
        <f t="shared" ref="E611:E623" si="234">IF(D611="","",IF(F611="","",IF(LEN(F611)&gt;=LEN(D611),"",TRIM(MID(D611,LEN(F611)+1,99999)))))</f>
        <v/>
      </c>
      <c r="F611" s="6392" t="str">
        <f t="shared" ref="F611:F623" si="235">IF(D611="","",IF(LEN(D611)&lt;=C611,D611,IFERROR(LEFT(D611,FIND("§",SUBSTITUTE(LEFT(D611,C611+1)," ","§",LEN(LEFT(D611,C611+1))-LEN(SUBSTITUTE(LEFT(D611,C611+1)," ",""))))-1),LEFT(D611,C611))))</f>
        <v/>
      </c>
      <c r="G611" s="6321"/>
      <c r="H611" s="6323">
        <f t="shared" ref="H611:H623" si="236">IF(LEN(TRIM(L611))&gt;0,MAX(H610:H610)+1,"")</f>
        <v>2</v>
      </c>
      <c r="I611" s="6362" t="s">
        <v>14355</v>
      </c>
      <c r="J611" s="6363" t="str">
        <f>TRIM(MID(I614,LEN(K610)+1,99999))</f>
        <v>rechercher la cellule qui coupe le texte Dans la cocotte N°3 en fonte, faites chauffer l’huile d’olive à feu moyen. Ajoutez la viande et faites-la dorer de tous les côtés. Retirez-la de la cocotte et réservez-la.</v>
      </c>
      <c r="K611" s="6364" t="str">
        <f>IF(J611="","",LEFT(J611,IF(LEN(J611)&lt;=I613,LEN(J611),IFERROR(FIND("§",SUBSTITUTE(LEFT(J611,I613+1)," ","§",LEN(LEFT(J611,I613+1))-LEN(SUBSTITUTE(LEFT(J611,I613+1)," ",""))))-1,IFERROR(FIND(" ",J611,I613+1)-1,LEN(J611))))))</f>
        <v>rechercher la cellule qui coupe le texte Dans la</v>
      </c>
      <c r="L611" s="6327" t="str">
        <v>rechercher la cellule qui coupe le texte Dans la</v>
      </c>
      <c r="M611" s="6329"/>
      <c r="N611" t="s">
        <v>21</v>
      </c>
      <c r="AV611" s="103"/>
      <c r="AW611" s="31"/>
      <c r="AX611" s="32"/>
      <c r="AY611" s="31"/>
      <c r="AZ611" s="33"/>
      <c r="BA611" s="1967"/>
      <c r="BB611" s="1805"/>
      <c r="BC611" s="91"/>
      <c r="BD611" s="1806"/>
      <c r="BE611" s="6401"/>
      <c r="BF611" s="6402"/>
      <c r="BG611" s="1969"/>
      <c r="BH611" s="6403"/>
      <c r="BI611" s="95"/>
      <c r="BJ611" s="1326"/>
      <c r="BK611" s="6404"/>
      <c r="BL611" s="1737"/>
      <c r="BM611" s="2081"/>
      <c r="BN611" s="2238"/>
      <c r="BO611" s="1809"/>
      <c r="BR611" s="3">
        <v>1</v>
      </c>
    </row>
    <row r="612" spans="2:70" ht="21" customHeight="1">
      <c r="B612" s="6236"/>
      <c r="C612" s="6358">
        <f t="shared" si="233"/>
        <v>150</v>
      </c>
      <c r="D612" s="6390" t="str" cm="1">
        <f t="array" ref="D612">IF(MOD(ROW()-50,14)=0,INDEX(D610:D623,MOD(ROW()-50,14)+1),E610)</f>
        <v>d’olive à feu moyen. Ajoutez la viande et faites-la dorer de tous les côtés. Retirez-la de la cocotte et réservez-la.</v>
      </c>
      <c r="E612" s="6391" t="str">
        <f t="shared" si="234"/>
        <v/>
      </c>
      <c r="F612" s="6392" t="str">
        <f t="shared" si="235"/>
        <v>d’olive à feu moyen. Ajoutez la viande et faites-la dorer de tous les côtés. Retirez-la de la cocotte et réservez-la.</v>
      </c>
      <c r="G612" s="6321"/>
      <c r="H612" s="6323">
        <f t="shared" si="236"/>
        <v>3</v>
      </c>
      <c r="I612" s="6365">
        <f>Z90</f>
        <v>5</v>
      </c>
      <c r="J612" s="6363" t="str">
        <f t="shared" ref="J612:J623" si="237">TRIM(MID(J611,LEN(K611)+1,99999))</f>
        <v>cocotte N°3 en fonte, faites chauffer l’huile d’olive à feu moyen. Ajoutez la viande et faites-la dorer de tous les côtés. Retirez-la de la cocotte et réservez-la.</v>
      </c>
      <c r="K612" s="6364" t="str">
        <f>IF(J612="","",LEFT(J612,IF(LEN(J612)&lt;=I613,LEN(J612),IFERROR(FIND("§",SUBSTITUTE(LEFT(J612,I613+1)," ","§",LEN(LEFT(J612,I613+1))-LEN(SUBSTITUTE(LEFT(J612,I613+1)," ",""))))-1,IFERROR(FIND(" ",J612,I613+1)-1,LEN(J612))))))</f>
        <v>cocotte N°3 en fonte, faites chauffer l’huile d’olive</v>
      </c>
      <c r="L612" s="6327" t="str">
        <v>cocotte N°3 en fonte, faites chauffer l’huile d’olive</v>
      </c>
      <c r="M612" s="6329"/>
      <c r="N612" t="s">
        <v>21</v>
      </c>
      <c r="AV612" s="103"/>
      <c r="AW612" s="31"/>
      <c r="AX612" s="32"/>
      <c r="AY612" s="31"/>
      <c r="AZ612" s="33"/>
      <c r="BA612" s="1967"/>
      <c r="BB612" s="1805"/>
      <c r="BC612" s="91"/>
      <c r="BD612" s="1806"/>
      <c r="BE612" s="6401"/>
      <c r="BF612" s="6402"/>
      <c r="BG612" s="1969"/>
      <c r="BH612" s="6403"/>
      <c r="BI612" s="95"/>
      <c r="BJ612" s="1326"/>
      <c r="BK612" s="6404"/>
      <c r="BL612" s="1737"/>
      <c r="BM612" s="2081"/>
      <c r="BN612" s="2238"/>
      <c r="BO612" s="1809"/>
      <c r="BR612" s="3">
        <v>1</v>
      </c>
    </row>
    <row r="613" spans="2:70" ht="21" customHeight="1">
      <c r="B613" s="6236"/>
      <c r="C613" s="6358">
        <f t="shared" si="233"/>
        <v>150</v>
      </c>
      <c r="D613" s="6390" t="str" cm="1">
        <f t="array" ref="D613">IF(MOD(ROW()-50,14)=0,INDEX(D610:D623,MOD(ROW()-50,14)+1),E611)</f>
        <v/>
      </c>
      <c r="E613" s="6391" t="str">
        <f t="shared" si="234"/>
        <v/>
      </c>
      <c r="F613" s="6392" t="str">
        <f t="shared" si="235"/>
        <v/>
      </c>
      <c r="G613" s="6321"/>
      <c r="H613" s="6323">
        <f t="shared" si="236"/>
        <v>4</v>
      </c>
      <c r="I613" s="6370">
        <f>IF(OR(J610="",I612="",I612&lt;=0),"",ROUNDUP(LEN(J610)/I612,0))</f>
        <v>53</v>
      </c>
      <c r="J613" s="6363" t="str">
        <f t="shared" si="237"/>
        <v>à feu moyen. Ajoutez la viande et faites-la dorer de tous les côtés. Retirez-la de la cocotte et réservez-la.</v>
      </c>
      <c r="K613" s="6364" t="str">
        <f>IF(J613="","",LEFT(J613,IF(LEN(J613)&lt;=I613,LEN(J613),IFERROR(FIND("§",SUBSTITUTE(LEFT(J613,I613+1)," ","§",LEN(LEFT(J613,I613+1))-LEN(SUBSTITUTE(LEFT(J613,I613+1)," ",""))))-1,IFERROR(FIND(" ",J613,I613+1)-1,LEN(J613))))))</f>
        <v>à feu moyen. Ajoutez la viande et faites-la dorer de</v>
      </c>
      <c r="L613" s="6327" t="str">
        <v>à feu moyen. Ajoutez la viande et faites-la dorer de</v>
      </c>
      <c r="M613" s="6329"/>
      <c r="N613" t="s">
        <v>21</v>
      </c>
      <c r="AV613" s="103"/>
      <c r="AW613" s="31"/>
      <c r="AX613" s="32"/>
      <c r="AY613" s="31"/>
      <c r="AZ613" s="33"/>
      <c r="BA613" s="1967"/>
      <c r="BB613" s="1805"/>
      <c r="BC613" s="91"/>
      <c r="BD613" s="1806"/>
      <c r="BE613" s="6401"/>
      <c r="BF613" s="6402"/>
      <c r="BG613" s="1969"/>
      <c r="BH613" s="6403"/>
      <c r="BI613" s="95"/>
      <c r="BJ613" s="1326"/>
      <c r="BK613" s="6404"/>
      <c r="BL613" s="1737"/>
      <c r="BM613" s="2081"/>
      <c r="BN613" s="2238"/>
      <c r="BO613" s="1809"/>
      <c r="BR613" s="3">
        <v>1</v>
      </c>
    </row>
    <row r="614" spans="2:70" ht="21" customHeight="1">
      <c r="B614" s="6236"/>
      <c r="C614" s="6358">
        <f t="shared" si="233"/>
        <v>150</v>
      </c>
      <c r="D614" s="6390" t="str" cm="1">
        <f t="array" ref="D614">IF(MOD(ROW()-50,14)=0,INDEX(D610:D623,MOD(ROW()-50,14)+1),E612)</f>
        <v/>
      </c>
      <c r="E614" s="6391" t="str">
        <f t="shared" si="234"/>
        <v/>
      </c>
      <c r="F614" s="6392" t="str">
        <f t="shared" si="235"/>
        <v/>
      </c>
      <c r="G614" s="6321"/>
      <c r="H614" s="6323">
        <f t="shared" si="236"/>
        <v>5</v>
      </c>
      <c r="I614" s="6372" t="str">
        <f>I610</f>
        <v>41.TEST LIGNE 19 colonne Q et ligne 20 colonne P. rechercher la cellule qui coupe le texte Dans la cocotte N°3 en fonte, faites chauffer l’huile d’olive à feu moyen. Ajoutez la viande et faites-la dorer de tous les côtés. Retirez-la de la cocotte et réservez-la.</v>
      </c>
      <c r="J614" s="6363" t="str">
        <f t="shared" si="237"/>
        <v>tous les côtés. Retirez-la de la cocotte et réservez-la.</v>
      </c>
      <c r="K614" s="6364" t="str">
        <f>IF(J614="","",LEFT(J614,IF(LEN(J614)&lt;=I613,LEN(J614),IFERROR(FIND("§",SUBSTITUTE(LEFT(J614,I613+1)," ","§",LEN(LEFT(J614,I613+1))-LEN(SUBSTITUTE(LEFT(J614,I613+1)," ",""))))-1,IFERROR(FIND(" ",J614,I613+1)-1,LEN(J614))))))</f>
        <v>tous les côtés. Retirez-la de la cocotte et</v>
      </c>
      <c r="L614" s="6327" t="str">
        <v>tous les côtés. Retirez-la de la cocotte et</v>
      </c>
      <c r="M614" s="6329"/>
      <c r="N614" t="s">
        <v>21</v>
      </c>
      <c r="AV614" s="103"/>
      <c r="AW614" s="31"/>
      <c r="AX614" s="32"/>
      <c r="AY614" s="31"/>
      <c r="AZ614" s="33"/>
      <c r="BA614" s="1967"/>
      <c r="BB614" s="1805"/>
      <c r="BC614" s="91"/>
      <c r="BD614" s="1806"/>
      <c r="BE614" s="6401"/>
      <c r="BF614" s="6402"/>
      <c r="BG614" s="1969"/>
      <c r="BH614" s="6403"/>
      <c r="BI614" s="95"/>
      <c r="BJ614" s="1326"/>
      <c r="BK614" s="6404"/>
      <c r="BL614" s="1737"/>
      <c r="BM614" s="2081"/>
      <c r="BN614" s="2238"/>
      <c r="BO614" s="1809"/>
      <c r="BR614" s="3">
        <v>1</v>
      </c>
    </row>
    <row r="615" spans="2:70" ht="21" customHeight="1">
      <c r="B615" s="6236"/>
      <c r="C615" s="6358">
        <f t="shared" si="233"/>
        <v>150</v>
      </c>
      <c r="D615" s="6390" t="str" cm="1">
        <f t="array" ref="D615">IF(MOD(ROW()-50,14)=0,INDEX(D610:D623,MOD(ROW()-50,14)+1),E613)</f>
        <v/>
      </c>
      <c r="E615" s="6391" t="str">
        <f t="shared" si="234"/>
        <v/>
      </c>
      <c r="F615" s="6392" t="str">
        <f t="shared" si="235"/>
        <v/>
      </c>
      <c r="G615" s="6321"/>
      <c r="H615" s="6323">
        <f t="shared" si="236"/>
        <v>6</v>
      </c>
      <c r="I615" s="6373"/>
      <c r="J615" s="6363" t="str">
        <f t="shared" si="237"/>
        <v>réservez-la.</v>
      </c>
      <c r="K615" s="6364" t="str">
        <f>IF(J615="","",LEFT(J615,IF(LEN(J615)&lt;=I613,LEN(J615),IFERROR(FIND("§",SUBSTITUTE(LEFT(J615,I613+1)," ","§",LEN(LEFT(J615,I613+1))-LEN(SUBSTITUTE(LEFT(J615,I613+1)," ",""))))-1,IFERROR(FIND(" ",J615,I613+1)-1,LEN(J615))))))</f>
        <v>réservez-la.</v>
      </c>
      <c r="L615" s="6327" t="str">
        <v>réservez-la.</v>
      </c>
      <c r="M615" s="6329"/>
      <c r="N615" t="s">
        <v>21</v>
      </c>
      <c r="AV615" s="103"/>
      <c r="AW615" s="31"/>
      <c r="AX615" s="32"/>
      <c r="AY615" s="31"/>
      <c r="AZ615" s="33"/>
      <c r="BA615" s="1967"/>
      <c r="BB615" s="1805"/>
      <c r="BC615" s="91"/>
      <c r="BD615" s="1806"/>
      <c r="BE615" s="6401"/>
      <c r="BF615" s="6402"/>
      <c r="BG615" s="1969"/>
      <c r="BH615" s="6403"/>
      <c r="BI615" s="95"/>
      <c r="BJ615" s="1326"/>
      <c r="BK615" s="6404"/>
      <c r="BL615" s="1737"/>
      <c r="BM615" s="2081"/>
      <c r="BN615" s="2238"/>
      <c r="BO615" s="1809"/>
      <c r="BR615" s="3">
        <v>1</v>
      </c>
    </row>
    <row r="616" spans="2:70" ht="21" customHeight="1">
      <c r="B616" s="6236"/>
      <c r="C616" s="6358">
        <f t="shared" si="233"/>
        <v>150</v>
      </c>
      <c r="D616" s="6390" t="str" cm="1">
        <f t="array" ref="D616">IF(MOD(ROW()-50,14)=0,INDEX(D610:D623,MOD(ROW()-50,14)+1),E614)</f>
        <v/>
      </c>
      <c r="E616" s="6391" t="str">
        <f t="shared" si="234"/>
        <v/>
      </c>
      <c r="F616" s="6392" t="str">
        <f t="shared" si="235"/>
        <v/>
      </c>
      <c r="G616" s="6321"/>
      <c r="H616" s="6323" t="str">
        <f t="shared" si="236"/>
        <v/>
      </c>
      <c r="I616" s="6373"/>
      <c r="J616" s="6363" t="str">
        <f t="shared" si="237"/>
        <v/>
      </c>
      <c r="K616" s="6364" t="str">
        <f>IF(J616="","",LEFT(J616,IF(LEN(J616)&lt;=I613,LEN(J616),IFERROR(FIND("§",SUBSTITUTE(LEFT(J616,I613+1)," ","§",LEN(LEFT(J616,I613+1))-LEN(SUBSTITUTE(LEFT(J616,I613+1)," ",""))))-1,IFERROR(FIND(" ",J616,I613+1)-1,LEN(J616))))))</f>
        <v/>
      </c>
      <c r="L616" s="6327"/>
      <c r="M616" s="6329"/>
      <c r="N616" t="s">
        <v>21</v>
      </c>
      <c r="AV616" s="103"/>
      <c r="AW616" s="31"/>
      <c r="AX616" s="32"/>
      <c r="AY616" s="31"/>
      <c r="AZ616" s="33"/>
      <c r="BA616" s="1967"/>
      <c r="BB616" s="1805"/>
      <c r="BC616" s="91"/>
      <c r="BD616" s="1806"/>
      <c r="BE616" s="6401"/>
      <c r="BF616" s="6402"/>
      <c r="BG616" s="1969"/>
      <c r="BH616" s="6403"/>
      <c r="BI616" s="95"/>
      <c r="BJ616" s="1326"/>
      <c r="BK616" s="6404"/>
      <c r="BL616" s="1737"/>
      <c r="BM616" s="2081"/>
      <c r="BN616" s="2238"/>
      <c r="BO616" s="1809"/>
      <c r="BR616" s="3">
        <v>1</v>
      </c>
    </row>
    <row r="617" spans="2:70" ht="21" customHeight="1">
      <c r="B617" s="6236"/>
      <c r="C617" s="6358">
        <f t="shared" si="233"/>
        <v>150</v>
      </c>
      <c r="D617" s="6390" t="str" cm="1">
        <f t="array" ref="D617">IF(MOD(ROW()-50,14)=0,INDEX(D610:D623,MOD(ROW()-50,14)+1),E615)</f>
        <v/>
      </c>
      <c r="E617" s="6391" t="str">
        <f t="shared" si="234"/>
        <v/>
      </c>
      <c r="F617" s="6392" t="str">
        <f t="shared" si="235"/>
        <v/>
      </c>
      <c r="G617" s="6321"/>
      <c r="H617" s="6323" t="str">
        <f t="shared" si="236"/>
        <v/>
      </c>
      <c r="I617" s="6373"/>
      <c r="J617" s="6363" t="str">
        <f t="shared" si="237"/>
        <v/>
      </c>
      <c r="K617" s="6364" t="str">
        <f>IF(J617="","",LEFT(J617,IF(LEN(J617)&lt;=I613,LEN(J617),IFERROR(FIND("§",SUBSTITUTE(LEFT(J617,I613+1)," ","§",LEN(LEFT(J617,I613+1))-LEN(SUBSTITUTE(LEFT(J617,I613+1)," ",""))))-1,IFERROR(FIND(" ",J617,I613+1)-1,LEN(J617))))))</f>
        <v/>
      </c>
      <c r="L617" s="6327"/>
      <c r="M617" s="6329"/>
      <c r="N617" t="s">
        <v>21</v>
      </c>
      <c r="AV617" s="103"/>
      <c r="AW617" s="31"/>
      <c r="AX617" s="32"/>
      <c r="AY617" s="31"/>
      <c r="AZ617" s="33"/>
      <c r="BA617" s="1967"/>
      <c r="BB617" s="1805"/>
      <c r="BC617" s="91"/>
      <c r="BD617" s="1806"/>
      <c r="BE617" s="6401"/>
      <c r="BF617" s="6402"/>
      <c r="BG617" s="1969"/>
      <c r="BH617" s="6403"/>
      <c r="BI617" s="95"/>
      <c r="BJ617" s="1326"/>
      <c r="BK617" s="6404"/>
      <c r="BL617" s="1737"/>
      <c r="BM617" s="2081"/>
      <c r="BN617" s="2238"/>
      <c r="BO617" s="1809"/>
      <c r="BR617" s="3">
        <v>1</v>
      </c>
    </row>
    <row r="618" spans="2:70" ht="21" customHeight="1">
      <c r="B618" s="6236"/>
      <c r="C618" s="6358">
        <f t="shared" si="233"/>
        <v>150</v>
      </c>
      <c r="D618" s="6390" t="str" cm="1">
        <f t="array" ref="D618">IF(MOD(ROW()-50,14)=0,INDEX(D610:D623,MOD(ROW()-50,14)+1),E616)</f>
        <v/>
      </c>
      <c r="E618" s="6391" t="str">
        <f t="shared" si="234"/>
        <v/>
      </c>
      <c r="F618" s="6392" t="str">
        <f t="shared" si="235"/>
        <v/>
      </c>
      <c r="G618" s="6321"/>
      <c r="H618" s="6323" t="str">
        <f t="shared" si="236"/>
        <v/>
      </c>
      <c r="I618" s="6373"/>
      <c r="J618" s="6363" t="str">
        <f t="shared" si="237"/>
        <v/>
      </c>
      <c r="K618" s="6364" t="str">
        <f>IF(J618="","",LEFT(J618,IF(LEN(J618)&lt;=I613,LEN(J618),IFERROR(FIND("§",SUBSTITUTE(LEFT(J618,I613+1)," ","§",LEN(LEFT(J618,I613+1))-LEN(SUBSTITUTE(LEFT(J618,I613+1)," ",""))))-1,IFERROR(FIND(" ",J618,I613+1)-1,LEN(J618))))))</f>
        <v/>
      </c>
      <c r="L618" s="6327"/>
      <c r="M618" s="6329"/>
      <c r="N618" t="s">
        <v>21</v>
      </c>
      <c r="AV618" s="103"/>
      <c r="AW618" s="31"/>
      <c r="AX618" s="32"/>
      <c r="AY618" s="31"/>
      <c r="AZ618" s="33"/>
      <c r="BA618" s="1967"/>
      <c r="BB618" s="1805"/>
      <c r="BC618" s="91"/>
      <c r="BD618" s="1806"/>
      <c r="BE618" s="6401"/>
      <c r="BF618" s="6402"/>
      <c r="BG618" s="1969"/>
      <c r="BH618" s="6403"/>
      <c r="BI618" s="95"/>
      <c r="BJ618" s="1326"/>
      <c r="BK618" s="6404"/>
      <c r="BL618" s="1737"/>
      <c r="BM618" s="2081"/>
      <c r="BN618" s="2238"/>
      <c r="BO618" s="1809"/>
      <c r="BR618" s="3">
        <v>1</v>
      </c>
    </row>
    <row r="619" spans="2:70" ht="21" customHeight="1">
      <c r="B619" s="6236"/>
      <c r="C619" s="6358">
        <f t="shared" si="233"/>
        <v>150</v>
      </c>
      <c r="D619" s="6390" t="str" cm="1">
        <f t="array" ref="D619">IF(MOD(ROW()-50,14)=0,INDEX(D610:D623,MOD(ROW()-50,14)+1),E617)</f>
        <v/>
      </c>
      <c r="E619" s="6391" t="str">
        <f t="shared" si="234"/>
        <v/>
      </c>
      <c r="F619" s="6392" t="str">
        <f t="shared" si="235"/>
        <v/>
      </c>
      <c r="G619" s="6321"/>
      <c r="H619" s="6323" t="str">
        <f t="shared" si="236"/>
        <v/>
      </c>
      <c r="I619" s="6373"/>
      <c r="J619" s="6363" t="str">
        <f t="shared" si="237"/>
        <v/>
      </c>
      <c r="K619" s="6364" t="str">
        <f>IF(J619="","",LEFT(J619,IF(LEN(J619)&lt;=I613,LEN(J619),IFERROR(FIND("§",SUBSTITUTE(LEFT(J619,I613+1)," ","§",LEN(LEFT(J619,I613+1))-LEN(SUBSTITUTE(LEFT(J619,I613+1)," ",""))))-1,IFERROR(FIND(" ",J619,I613+1)-1,LEN(J619))))))</f>
        <v/>
      </c>
      <c r="L619" s="6327"/>
      <c r="M619" s="6329"/>
      <c r="N619" t="s">
        <v>21</v>
      </c>
      <c r="AV619" s="103"/>
      <c r="AW619" s="31"/>
      <c r="AX619" s="32"/>
      <c r="AY619" s="31"/>
      <c r="AZ619" s="33"/>
      <c r="BA619" s="1967"/>
      <c r="BB619" s="1805"/>
      <c r="BC619" s="91"/>
      <c r="BD619" s="1806"/>
      <c r="BE619" s="6401"/>
      <c r="BF619" s="6402"/>
      <c r="BG619" s="1969"/>
      <c r="BH619" s="6403"/>
      <c r="BI619" s="95"/>
      <c r="BJ619" s="1326"/>
      <c r="BK619" s="6404"/>
      <c r="BL619" s="1737"/>
      <c r="BM619" s="2081"/>
      <c r="BN619" s="2238"/>
      <c r="BO619" s="1809"/>
      <c r="BR619" s="3">
        <v>1</v>
      </c>
    </row>
    <row r="620" spans="2:70" ht="21" customHeight="1">
      <c r="B620" s="6236"/>
      <c r="C620" s="6358">
        <f t="shared" si="233"/>
        <v>150</v>
      </c>
      <c r="D620" s="6390" t="str" cm="1">
        <f t="array" ref="D620">IF(MOD(ROW()-50,14)=0,INDEX(D610:D623,MOD(ROW()-50,14)+1),E618)</f>
        <v/>
      </c>
      <c r="E620" s="6391" t="str">
        <f t="shared" si="234"/>
        <v/>
      </c>
      <c r="F620" s="6392" t="str">
        <f t="shared" si="235"/>
        <v/>
      </c>
      <c r="G620" s="6321"/>
      <c r="H620" s="6323" t="str">
        <f t="shared" si="236"/>
        <v/>
      </c>
      <c r="I620" s="6373"/>
      <c r="J620" s="6363" t="str">
        <f t="shared" si="237"/>
        <v/>
      </c>
      <c r="K620" s="6364" t="str">
        <f>IF(J620="","",LEFT(J620,IF(LEN(J620)&lt;=I613,LEN(J620),IFERROR(FIND("§",SUBSTITUTE(LEFT(J620,I613+1)," ","§",LEN(LEFT(J620,I613+1))-LEN(SUBSTITUTE(LEFT(J620,I613+1)," ",""))))-1,IFERROR(FIND(" ",J620,I613+1)-1,LEN(J620))))))</f>
        <v/>
      </c>
      <c r="L620" s="6327"/>
      <c r="M620" s="6329"/>
      <c r="N620" t="s">
        <v>21</v>
      </c>
      <c r="AV620" s="103"/>
      <c r="AW620" s="31"/>
      <c r="AX620" s="32"/>
      <c r="AY620" s="31"/>
      <c r="AZ620" s="33"/>
      <c r="BA620" s="1967"/>
      <c r="BB620" s="1805"/>
      <c r="BC620" s="91"/>
      <c r="BD620" s="1806"/>
      <c r="BE620" s="6401"/>
      <c r="BF620" s="6402"/>
      <c r="BG620" s="1969"/>
      <c r="BH620" s="6403"/>
      <c r="BI620" s="95"/>
      <c r="BJ620" s="1326"/>
      <c r="BK620" s="6404"/>
      <c r="BL620" s="1737"/>
      <c r="BM620" s="2081"/>
      <c r="BN620" s="2238"/>
      <c r="BO620" s="1809"/>
      <c r="BR620" s="3">
        <v>1</v>
      </c>
    </row>
    <row r="621" spans="2:70" ht="21" customHeight="1">
      <c r="B621" s="6236"/>
      <c r="C621" s="6358">
        <f t="shared" si="233"/>
        <v>150</v>
      </c>
      <c r="D621" s="6390" t="str" cm="1">
        <f t="array" ref="D621">IF(MOD(ROW()-50,14)=0,INDEX(D610:D623,MOD(ROW()-50,14)+1),E619)</f>
        <v/>
      </c>
      <c r="E621" s="6391" t="str">
        <f t="shared" si="234"/>
        <v/>
      </c>
      <c r="F621" s="6392" t="str">
        <f t="shared" si="235"/>
        <v/>
      </c>
      <c r="G621" s="6321"/>
      <c r="H621" s="6323" t="str">
        <f t="shared" si="236"/>
        <v/>
      </c>
      <c r="I621" s="6373"/>
      <c r="J621" s="6363" t="str">
        <f t="shared" si="237"/>
        <v/>
      </c>
      <c r="K621" s="6364" t="str">
        <f>IF(J621="","",LEFT(J621,IF(LEN(J621)&lt;=I613,LEN(J621),IFERROR(FIND("§",SUBSTITUTE(LEFT(J621,I613+1)," ","§",LEN(LEFT(J621,I613+1))-LEN(SUBSTITUTE(LEFT(J621,I613+1)," ",""))))-1,IFERROR(FIND(" ",J621,I613+1)-1,LEN(J621))))))</f>
        <v/>
      </c>
      <c r="L621" s="6327"/>
      <c r="M621" s="6329"/>
      <c r="N621" t="s">
        <v>21</v>
      </c>
      <c r="AV621" s="103"/>
      <c r="AW621" s="31"/>
      <c r="AX621" s="32"/>
      <c r="AY621" s="31"/>
      <c r="AZ621" s="33"/>
      <c r="BA621" s="1967"/>
      <c r="BB621" s="1805"/>
      <c r="BC621" s="91"/>
      <c r="BD621" s="1806"/>
      <c r="BE621" s="6401"/>
      <c r="BF621" s="6402"/>
      <c r="BG621" s="1969"/>
      <c r="BH621" s="6403"/>
      <c r="BI621" s="95"/>
      <c r="BJ621" s="1326"/>
      <c r="BK621" s="6404"/>
      <c r="BL621" s="1737"/>
      <c r="BM621" s="2081"/>
      <c r="BN621" s="2238"/>
      <c r="BO621" s="1809"/>
      <c r="BR621" s="3">
        <v>1</v>
      </c>
    </row>
    <row r="622" spans="2:70" ht="21" customHeight="1">
      <c r="B622" s="6236"/>
      <c r="C622" s="6358">
        <f t="shared" si="233"/>
        <v>150</v>
      </c>
      <c r="D622" s="6390" t="str" cm="1">
        <f t="array" ref="D622">IF(MOD(ROW()-50,14)=0,INDEX(D610:D623,MOD(ROW()-50,14)+1),E620)</f>
        <v/>
      </c>
      <c r="E622" s="6391" t="str">
        <f t="shared" si="234"/>
        <v/>
      </c>
      <c r="F622" s="6392" t="str">
        <f t="shared" si="235"/>
        <v/>
      </c>
      <c r="G622" s="6321"/>
      <c r="H622" s="6323" t="str">
        <f t="shared" si="236"/>
        <v/>
      </c>
      <c r="I622" s="6373"/>
      <c r="J622" s="6363" t="str">
        <f t="shared" si="237"/>
        <v/>
      </c>
      <c r="K622" s="6364" t="str">
        <f>IF(J622="","",LEFT(J622,IF(LEN(J622)&lt;=I613,LEN(J622),IFERROR(FIND("§",SUBSTITUTE(LEFT(J622,I613+1)," ","§",LEN(LEFT(J622,I613+1))-LEN(SUBSTITUTE(LEFT(J622,I613+1)," ",""))))-1,IFERROR(FIND(" ",J622,I613+1)-1,LEN(J622))))))</f>
        <v/>
      </c>
      <c r="L622" s="6364"/>
      <c r="M622" s="6329"/>
      <c r="N622" t="s">
        <v>21</v>
      </c>
      <c r="AV622" s="103"/>
      <c r="AW622" s="31"/>
      <c r="AX622" s="32"/>
      <c r="AY622" s="31"/>
      <c r="AZ622" s="33"/>
      <c r="BA622" s="1967"/>
      <c r="BB622" s="1805"/>
      <c r="BC622" s="91"/>
      <c r="BD622" s="1806"/>
      <c r="BE622" s="6401"/>
      <c r="BF622" s="6402"/>
      <c r="BG622" s="1969"/>
      <c r="BH622" s="6403"/>
      <c r="BI622" s="95"/>
      <c r="BJ622" s="1326"/>
      <c r="BK622" s="6404"/>
      <c r="BL622" s="1737"/>
      <c r="BM622" s="2081"/>
      <c r="BN622" s="2238"/>
      <c r="BO622" s="1809"/>
      <c r="BR622" s="3">
        <v>1</v>
      </c>
    </row>
    <row r="623" spans="2:70" ht="21" customHeight="1">
      <c r="B623" s="6236"/>
      <c r="C623" s="6376">
        <f t="shared" si="233"/>
        <v>150</v>
      </c>
      <c r="D623" s="6406" t="str" cm="1">
        <f t="array" ref="D623">IF(MOD(ROW()-50,14)=0,INDEX(D610:D623,MOD(ROW()-50,14)+1),E621)</f>
        <v/>
      </c>
      <c r="E623" s="6407" t="str">
        <f t="shared" si="234"/>
        <v/>
      </c>
      <c r="F623" s="6408" t="str">
        <f t="shared" si="235"/>
        <v/>
      </c>
      <c r="G623" s="6322"/>
      <c r="H623" s="6323" t="str">
        <f t="shared" si="236"/>
        <v/>
      </c>
      <c r="I623" s="6379"/>
      <c r="J623" s="6380" t="str">
        <f t="shared" si="237"/>
        <v/>
      </c>
      <c r="K623" s="6381" t="str">
        <f>IF(J623="","",LEFT(J623,IF(LEN(J623)&lt;=I613,LEN(J623),IFERROR(FIND("§",SUBSTITUTE(LEFT(J623,I613+1)," ","§",LEN(LEFT(J623,I613+1))-LEN(SUBSTITUTE(LEFT(J623,I613+1)," ",""))))-1,IFERROR(FIND(" ",J623,I613+1)-1,LEN(J623))))))</f>
        <v/>
      </c>
      <c r="L623" s="6382"/>
      <c r="M623" s="6330"/>
      <c r="N623" t="s">
        <v>21</v>
      </c>
      <c r="AV623" s="103"/>
      <c r="AW623" s="31"/>
      <c r="AX623" s="32"/>
      <c r="AY623" s="31"/>
      <c r="AZ623" s="33"/>
      <c r="BA623" s="1967"/>
      <c r="BB623" s="1805"/>
      <c r="BC623" s="91"/>
      <c r="BD623" s="1806"/>
      <c r="BE623" s="6401"/>
      <c r="BF623" s="6402"/>
      <c r="BG623" s="1969"/>
      <c r="BH623" s="6403"/>
      <c r="BI623" s="95"/>
      <c r="BJ623" s="1326"/>
      <c r="BK623" s="6404"/>
      <c r="BL623" s="1737"/>
      <c r="BM623" s="2081"/>
      <c r="BN623" s="2238"/>
      <c r="BO623" s="1809"/>
      <c r="BR623" s="3">
        <v>1</v>
      </c>
    </row>
    <row r="624" spans="2:70" ht="21" customHeight="1">
      <c r="B624" s="6236"/>
      <c r="C624" s="6313">
        <f>AD91</f>
        <v>150</v>
      </c>
      <c r="D624" s="6314" t="str">
        <f>IF(UPPER(TRIM(X45))="X",U91,O91)</f>
        <v>42.TEST LIGNE 19 colonne Q et ligne 20 colonne P. rechercher la cellule qui coupe le texte Dans la cocotte N°3 en fonte, faites chauffer l’huile d’olive à feu moyen. Ajoutez la viande et faites-la dorer de tous les côtés. Retirez-la de la cocotte et réservez-la.</v>
      </c>
      <c r="E624" s="6315" t="str">
        <f>IF(D624="","",IF(F624="","",IF(LEN(F624)&gt;=LEN(D624),"",TRIM(MID(D624,LEN(F624)+1,99999)))))</f>
        <v>d’olive à feu moyen. Ajoutez la viande et faites-la dorer de tous les côtés. Retirez-la de la cocotte et réservez-la.</v>
      </c>
      <c r="F624" s="6316" t="str">
        <f>IF(D624="","",IF(LEN(D624)&lt;=C624,D624,IFERROR(LEFT(D624,FIND("§",SUBSTITUTE(LEFT(D624,C624+1)," ","§",LEN(LEFT(D624,C624+1))-LEN(SUBSTITUTE(LEFT(D624,C624+1)," ",""))))-1),LEFT(D624,C624))))</f>
        <v>42.TEST LIGNE 19 colonne Q et ligne 20 colonne P. rechercher la cellule qui coupe le texte Dans la cocotte N°3 en fonte, faites chauffer l’huile</v>
      </c>
      <c r="G624" s="6317"/>
      <c r="H624" s="6385">
        <f>IF(LEN(TRIM(L624))&gt;0,MAX(H623:H623)+1,"")</f>
        <v>1</v>
      </c>
      <c r="I624" s="6324" t="str">
        <f>D624</f>
        <v>42.TEST LIGNE 19 colonne Q et ligne 20 colonne P. rechercher la cellule qui coupe le texte Dans la cocotte N°3 en fonte, faites chauffer l’huile d’olive à feu moyen. Ajoutez la viande et faites-la dorer de tous les côtés. Retirez-la de la cocotte et réservez-la.</v>
      </c>
      <c r="J624" s="6386" t="str">
        <f>IF(I624=0,"",I624)</f>
        <v>42.TEST LIGNE 19 colonne Q et ligne 20 colonne P. rechercher la cellule qui coupe le texte Dans la cocotte N°3 en fonte, faites chauffer l’huile d’olive à feu moyen. Ajoutez la viande et faites-la dorer de tous les côtés. Retirez-la de la cocotte et réservez-la.</v>
      </c>
      <c r="K624" s="6387" t="str">
        <f>IF(I624="","",LEFT(I624,IF(LEN(I624)&lt;=I627,LEN(I624),IFERROR(FIND("§",SUBSTITUTE(LEFT(I624,I627+1)," ","§",LEN(LEFT(I624,I627+1))-LEN(SUBSTITUTE(LEFT(I624,I627+1)," ",""))))-1,IFERROR(FIND(" ",I624,I627+1)-1,LEN(I624))))))</f>
        <v>42.TEST LIGNE 19 colonne Q et ligne 20 colonne P.</v>
      </c>
      <c r="L624" s="6388" t="str" cm="1">
        <f t="array" ref="L624:L629">_xlfn._xlws.FILTER(TRIM(SUBSTITUTE(SUBSTITUTE(SUBSTITUTE(SUBSTITUTE(SUBSTITUTE(CLEAN(K624:K637),CHAR(160)," "),_xlfn.UNICHAR(8239)," "),CHAR(9)," "),CHAR(10)," "),CHAR(13)," ")),TRIM(SUBSTITUTE(SUBSTITUTE(SUBSTITUTE(SUBSTITUTE(SUBSTITUTE(CLEAN(K624:K637),CHAR(160)," "),_xlfn.UNICHAR(8239)," "),CHAR(9)," "),CHAR(10)," "),CHAR(13)," "))&lt;&gt;"")</f>
        <v>42.TEST LIGNE 19 colonne Q et ligne 20 colonne P.</v>
      </c>
      <c r="M624" s="6331"/>
      <c r="N624" t="s">
        <v>21</v>
      </c>
      <c r="AV624" s="103"/>
      <c r="AW624" s="31"/>
      <c r="AX624" s="32"/>
      <c r="AY624" s="31"/>
      <c r="AZ624" s="33"/>
      <c r="BA624" s="1967"/>
      <c r="BB624" s="1805"/>
      <c r="BC624" s="91"/>
      <c r="BD624" s="1806"/>
      <c r="BE624" s="6401"/>
      <c r="BF624" s="6402"/>
      <c r="BG624" s="1969"/>
      <c r="BH624" s="6403"/>
      <c r="BI624" s="95"/>
      <c r="BJ624" s="1326"/>
      <c r="BK624" s="6404"/>
      <c r="BL624" s="1737"/>
      <c r="BM624" s="2081"/>
      <c r="BN624" s="2238"/>
      <c r="BO624" s="1809"/>
      <c r="BR624" s="3">
        <v>1</v>
      </c>
    </row>
    <row r="625" spans="2:70" ht="21" customHeight="1">
      <c r="B625" s="6236"/>
      <c r="C625" s="6358">
        <f t="shared" ref="C625:C637" si="238">C624</f>
        <v>150</v>
      </c>
      <c r="D625" s="6359" t="str" cm="1">
        <f t="array" ref="D625">IF(MOD(ROW()-50,14)=0,INDEX(D624:D637,MOD(ROW()-50,14)+1),E623)</f>
        <v/>
      </c>
      <c r="E625" s="6360" t="str">
        <f t="shared" ref="E625:E637" si="239">IF(D625="","",IF(F625="","",IF(LEN(F625)&gt;=LEN(D625),"",TRIM(MID(D625,LEN(F625)+1,99999)))))</f>
        <v/>
      </c>
      <c r="F625" s="6361" t="str">
        <f t="shared" ref="F625:F637" si="240">IF(D625="","",IF(LEN(D625)&lt;=C625,D625,IFERROR(LEFT(D625,FIND("§",SUBSTITUTE(LEFT(D625,C625+1)," ","§",LEN(LEFT(D625,C625+1))-LEN(SUBSTITUTE(LEFT(D625,C625+1)," ",""))))-1),LEFT(D625,C625))))</f>
        <v/>
      </c>
      <c r="G625" s="6318"/>
      <c r="H625" s="6393">
        <f t="shared" ref="H625:H637" si="241">IF(LEN(TRIM(L625))&gt;0,MAX(H624:H624)+1,"")</f>
        <v>2</v>
      </c>
      <c r="I625" s="6394" t="s">
        <v>14355</v>
      </c>
      <c r="J625" s="6395" t="str">
        <f>TRIM(MID(I628,LEN(K624)+1,99999))</f>
        <v>rechercher la cellule qui coupe le texte Dans la cocotte N°3 en fonte, faites chauffer l’huile d’olive à feu moyen. Ajoutez la viande et faites-la dorer de tous les côtés. Retirez-la de la cocotte et réservez-la.</v>
      </c>
      <c r="K625" s="6396" t="str">
        <f>IF(J625="","",LEFT(J625,IF(LEN(J625)&lt;=I627,LEN(J625),IFERROR(FIND("§",SUBSTITUTE(LEFT(J625,I627+1)," ","§",LEN(LEFT(J625,I627+1))-LEN(SUBSTITUTE(LEFT(J625,I627+1)," ",""))))-1,IFERROR(FIND(" ",J625,I627+1)-1,LEN(J625))))))</f>
        <v>rechercher la cellule qui coupe le texte Dans la</v>
      </c>
      <c r="L625" s="6388" t="str">
        <v>rechercher la cellule qui coupe le texte Dans la</v>
      </c>
      <c r="M625" s="6332"/>
      <c r="N625" t="s">
        <v>21</v>
      </c>
      <c r="AV625" s="103"/>
      <c r="AW625" s="31"/>
      <c r="AX625" s="32"/>
      <c r="AY625" s="31"/>
      <c r="AZ625" s="33"/>
      <c r="BA625" s="1967"/>
      <c r="BB625" s="1805"/>
      <c r="BC625" s="91"/>
      <c r="BD625" s="1806"/>
      <c r="BE625" s="6401"/>
      <c r="BF625" s="6402"/>
      <c r="BG625" s="1969"/>
      <c r="BH625" s="6403"/>
      <c r="BI625" s="95"/>
      <c r="BJ625" s="1326"/>
      <c r="BK625" s="6404"/>
      <c r="BL625" s="1737"/>
      <c r="BM625" s="2081"/>
      <c r="BN625" s="2238"/>
      <c r="BO625" s="1809"/>
      <c r="BR625" s="3">
        <v>1</v>
      </c>
    </row>
    <row r="626" spans="2:70" ht="21" customHeight="1">
      <c r="B626" s="6236"/>
      <c r="C626" s="6358">
        <f t="shared" si="238"/>
        <v>150</v>
      </c>
      <c r="D626" s="6359" t="str" cm="1">
        <f t="array" ref="D626">IF(MOD(ROW()-50,14)=0,INDEX(D624:D637,MOD(ROW()-50,14)+1),E624)</f>
        <v>d’olive à feu moyen. Ajoutez la viande et faites-la dorer de tous les côtés. Retirez-la de la cocotte et réservez-la.</v>
      </c>
      <c r="E626" s="6360" t="str">
        <f t="shared" si="239"/>
        <v/>
      </c>
      <c r="F626" s="6361" t="str">
        <f t="shared" si="240"/>
        <v>d’olive à feu moyen. Ajoutez la viande et faites-la dorer de tous les côtés. Retirez-la de la cocotte et réservez-la.</v>
      </c>
      <c r="G626" s="6318"/>
      <c r="H626" s="6393">
        <f t="shared" si="241"/>
        <v>3</v>
      </c>
      <c r="I626" s="6365">
        <f>Z91</f>
        <v>5</v>
      </c>
      <c r="J626" s="6395" t="str">
        <f t="shared" ref="J626:J637" si="242">TRIM(MID(J625,LEN(K625)+1,99999))</f>
        <v>cocotte N°3 en fonte, faites chauffer l’huile d’olive à feu moyen. Ajoutez la viande et faites-la dorer de tous les côtés. Retirez-la de la cocotte et réservez-la.</v>
      </c>
      <c r="K626" s="6396" t="str">
        <f>IF(J626="","",LEFT(J626,IF(LEN(J626)&lt;=I627,LEN(J626),IFERROR(FIND("§",SUBSTITUTE(LEFT(J626,I627+1)," ","§",LEN(LEFT(J626,I627+1))-LEN(SUBSTITUTE(LEFT(J626,I627+1)," ",""))))-1,IFERROR(FIND(" ",J626,I627+1)-1,LEN(J626))))))</f>
        <v>cocotte N°3 en fonte, faites chauffer l’huile d’olive</v>
      </c>
      <c r="L626" s="6388" t="str">
        <v>cocotte N°3 en fonte, faites chauffer l’huile d’olive</v>
      </c>
      <c r="M626" s="6332"/>
      <c r="N626" t="s">
        <v>21</v>
      </c>
      <c r="AV626" s="103"/>
      <c r="AW626" s="31"/>
      <c r="AX626" s="32"/>
      <c r="AY626" s="31"/>
      <c r="AZ626" s="33"/>
      <c r="BA626" s="1967"/>
      <c r="BB626" s="1805"/>
      <c r="BC626" s="91"/>
      <c r="BD626" s="1806"/>
      <c r="BE626" s="6401"/>
      <c r="BF626" s="6402"/>
      <c r="BG626" s="1969"/>
      <c r="BH626" s="6403"/>
      <c r="BI626" s="95"/>
      <c r="BJ626" s="1326"/>
      <c r="BK626" s="6404"/>
      <c r="BL626" s="1737"/>
      <c r="BM626" s="2081"/>
      <c r="BN626" s="2238"/>
      <c r="BO626" s="1809"/>
      <c r="BR626" s="3">
        <v>1</v>
      </c>
    </row>
    <row r="627" spans="2:70" ht="21" customHeight="1">
      <c r="B627" s="6236"/>
      <c r="C627" s="6358">
        <f t="shared" si="238"/>
        <v>150</v>
      </c>
      <c r="D627" s="6359" t="str" cm="1">
        <f t="array" ref="D627">IF(MOD(ROW()-50,14)=0,INDEX(D624:D637,MOD(ROW()-50,14)+1),E625)</f>
        <v/>
      </c>
      <c r="E627" s="6360" t="str">
        <f t="shared" si="239"/>
        <v/>
      </c>
      <c r="F627" s="6361" t="str">
        <f t="shared" si="240"/>
        <v/>
      </c>
      <c r="G627" s="6318"/>
      <c r="H627" s="6393">
        <f t="shared" si="241"/>
        <v>4</v>
      </c>
      <c r="I627" s="6398">
        <f>IF(OR(J624="",I626="",I626&lt;=0),"",ROUNDUP(LEN(J624)/I626,0))</f>
        <v>53</v>
      </c>
      <c r="J627" s="6395" t="str">
        <f t="shared" si="242"/>
        <v>à feu moyen. Ajoutez la viande et faites-la dorer de tous les côtés. Retirez-la de la cocotte et réservez-la.</v>
      </c>
      <c r="K627" s="6396" t="str">
        <f>IF(J627="","",LEFT(J627,IF(LEN(J627)&lt;=I627,LEN(J627),IFERROR(FIND("§",SUBSTITUTE(LEFT(J627,I627+1)," ","§",LEN(LEFT(J627,I627+1))-LEN(SUBSTITUTE(LEFT(J627,I627+1)," ",""))))-1,IFERROR(FIND(" ",J627,I627+1)-1,LEN(J627))))))</f>
        <v>à feu moyen. Ajoutez la viande et faites-la dorer de</v>
      </c>
      <c r="L627" s="6388" t="str">
        <v>à feu moyen. Ajoutez la viande et faites-la dorer de</v>
      </c>
      <c r="M627" s="6332"/>
      <c r="N627" t="s">
        <v>21</v>
      </c>
      <c r="AV627" s="103"/>
      <c r="AW627" s="31"/>
      <c r="AX627" s="32"/>
      <c r="AY627" s="31"/>
      <c r="AZ627" s="33"/>
      <c r="BA627" s="1967"/>
      <c r="BB627" s="1805"/>
      <c r="BC627" s="91"/>
      <c r="BD627" s="1806"/>
      <c r="BE627" s="6401"/>
      <c r="BF627" s="6402"/>
      <c r="BG627" s="1969"/>
      <c r="BH627" s="6403"/>
      <c r="BI627" s="95"/>
      <c r="BJ627" s="1326"/>
      <c r="BK627" s="6404"/>
      <c r="BL627" s="1737"/>
      <c r="BM627" s="2081"/>
      <c r="BN627" s="2238"/>
      <c r="BO627" s="1809"/>
      <c r="BR627" s="3">
        <v>1</v>
      </c>
    </row>
    <row r="628" spans="2:70" ht="21" customHeight="1">
      <c r="B628" s="6236"/>
      <c r="C628" s="6358">
        <f t="shared" si="238"/>
        <v>150</v>
      </c>
      <c r="D628" s="6359" t="str" cm="1">
        <f t="array" ref="D628">IF(MOD(ROW()-50,14)=0,INDEX(D624:D637,MOD(ROW()-50,14)+1),E626)</f>
        <v/>
      </c>
      <c r="E628" s="6360" t="str">
        <f t="shared" si="239"/>
        <v/>
      </c>
      <c r="F628" s="6361" t="str">
        <f t="shared" si="240"/>
        <v/>
      </c>
      <c r="G628" s="6318"/>
      <c r="H628" s="6393">
        <f t="shared" si="241"/>
        <v>5</v>
      </c>
      <c r="I628" s="6400" t="str">
        <f>I624</f>
        <v>42.TEST LIGNE 19 colonne Q et ligne 20 colonne P. rechercher la cellule qui coupe le texte Dans la cocotte N°3 en fonte, faites chauffer l’huile d’olive à feu moyen. Ajoutez la viande et faites-la dorer de tous les côtés. Retirez-la de la cocotte et réservez-la.</v>
      </c>
      <c r="J628" s="6395" t="str">
        <f t="shared" si="242"/>
        <v>tous les côtés. Retirez-la de la cocotte et réservez-la.</v>
      </c>
      <c r="K628" s="6396" t="str">
        <f>IF(J628="","",LEFT(J628,IF(LEN(J628)&lt;=I627,LEN(J628),IFERROR(FIND("§",SUBSTITUTE(LEFT(J628,I627+1)," ","§",LEN(LEFT(J628,I627+1))-LEN(SUBSTITUTE(LEFT(J628,I627+1)," ",""))))-1,IFERROR(FIND(" ",J628,I627+1)-1,LEN(J628))))))</f>
        <v>tous les côtés. Retirez-la de la cocotte et</v>
      </c>
      <c r="L628" s="6388" t="str">
        <v>tous les côtés. Retirez-la de la cocotte et</v>
      </c>
      <c r="M628" s="6332"/>
      <c r="N628" t="s">
        <v>21</v>
      </c>
      <c r="AV628" s="103"/>
      <c r="AW628" s="31"/>
      <c r="AX628" s="32"/>
      <c r="AY628" s="31"/>
      <c r="AZ628" s="33"/>
      <c r="BA628" s="1967"/>
      <c r="BB628" s="1805"/>
      <c r="BC628" s="91"/>
      <c r="BD628" s="1806"/>
      <c r="BE628" s="6401"/>
      <c r="BF628" s="6402"/>
      <c r="BG628" s="1969"/>
      <c r="BH628" s="6403"/>
      <c r="BI628" s="95"/>
      <c r="BJ628" s="1326"/>
      <c r="BK628" s="6404"/>
      <c r="BL628" s="1737"/>
      <c r="BM628" s="2081"/>
      <c r="BN628" s="2238"/>
      <c r="BO628" s="1809"/>
      <c r="BR628" s="3">
        <v>1</v>
      </c>
    </row>
    <row r="629" spans="2:70" ht="21" customHeight="1">
      <c r="B629" s="6236"/>
      <c r="C629" s="6358">
        <f t="shared" si="238"/>
        <v>150</v>
      </c>
      <c r="D629" s="6359" t="str" cm="1">
        <f t="array" ref="D629">IF(MOD(ROW()-50,14)=0,INDEX(D624:D637,MOD(ROW()-50,14)+1),E627)</f>
        <v/>
      </c>
      <c r="E629" s="6360" t="str">
        <f t="shared" si="239"/>
        <v/>
      </c>
      <c r="F629" s="6361" t="str">
        <f t="shared" si="240"/>
        <v/>
      </c>
      <c r="G629" s="6318"/>
      <c r="H629" s="6393">
        <f t="shared" si="241"/>
        <v>6</v>
      </c>
      <c r="I629" s="6405"/>
      <c r="J629" s="6395" t="str">
        <f t="shared" si="242"/>
        <v>réservez-la.</v>
      </c>
      <c r="K629" s="6396" t="str">
        <f>IF(J629="","",LEFT(J629,IF(LEN(J629)&lt;=I627,LEN(J629),IFERROR(FIND("§",SUBSTITUTE(LEFT(J629,I627+1)," ","§",LEN(LEFT(J629,I627+1))-LEN(SUBSTITUTE(LEFT(J629,I627+1)," ",""))))-1,IFERROR(FIND(" ",J629,I627+1)-1,LEN(J629))))))</f>
        <v>réservez-la.</v>
      </c>
      <c r="L629" s="6388" t="str">
        <v>réservez-la.</v>
      </c>
      <c r="M629" s="6332"/>
      <c r="N629" t="s">
        <v>21</v>
      </c>
      <c r="AV629" s="103"/>
      <c r="AW629" s="31"/>
      <c r="AX629" s="32"/>
      <c r="AY629" s="31"/>
      <c r="AZ629" s="33"/>
      <c r="BA629" s="1967"/>
      <c r="BB629" s="1805"/>
      <c r="BC629" s="91"/>
      <c r="BD629" s="1806"/>
      <c r="BE629" s="6401"/>
      <c r="BF629" s="6402"/>
      <c r="BG629" s="1969"/>
      <c r="BH629" s="6403"/>
      <c r="BI629" s="95"/>
      <c r="BJ629" s="1326"/>
      <c r="BK629" s="6404"/>
      <c r="BL629" s="1737"/>
      <c r="BM629" s="2081"/>
      <c r="BN629" s="2238"/>
      <c r="BO629" s="1809"/>
      <c r="BR629" s="3">
        <v>1</v>
      </c>
    </row>
    <row r="630" spans="2:70" ht="21" customHeight="1">
      <c r="B630" s="6236"/>
      <c r="C630" s="6358">
        <f t="shared" si="238"/>
        <v>150</v>
      </c>
      <c r="D630" s="6359" t="str" cm="1">
        <f t="array" ref="D630">IF(MOD(ROW()-50,14)=0,INDEX(D624:D637,MOD(ROW()-50,14)+1),E628)</f>
        <v/>
      </c>
      <c r="E630" s="6360" t="str">
        <f t="shared" si="239"/>
        <v/>
      </c>
      <c r="F630" s="6361" t="str">
        <f t="shared" si="240"/>
        <v/>
      </c>
      <c r="G630" s="6318"/>
      <c r="H630" s="6393" t="str">
        <f t="shared" si="241"/>
        <v/>
      </c>
      <c r="I630" s="6405"/>
      <c r="J630" s="6395" t="str">
        <f t="shared" si="242"/>
        <v/>
      </c>
      <c r="K630" s="6396" t="str">
        <f>IF(J630="","",LEFT(J630,IF(LEN(J630)&lt;=I627,LEN(J630),IFERROR(FIND("§",SUBSTITUTE(LEFT(J630,I627+1)," ","§",LEN(LEFT(J630,I627+1))-LEN(SUBSTITUTE(LEFT(J630,I627+1)," ",""))))-1,IFERROR(FIND(" ",J630,I627+1)-1,LEN(J630))))))</f>
        <v/>
      </c>
      <c r="L630" s="6388"/>
      <c r="M630" s="6332"/>
      <c r="N630" t="s">
        <v>21</v>
      </c>
      <c r="AV630" s="103"/>
      <c r="AW630" s="31"/>
      <c r="AX630" s="32"/>
      <c r="AY630" s="31"/>
      <c r="AZ630" s="33"/>
      <c r="BA630" s="1967"/>
      <c r="BB630" s="1805"/>
      <c r="BC630" s="91"/>
      <c r="BD630" s="1806"/>
      <c r="BE630" s="6401"/>
      <c r="BF630" s="6402"/>
      <c r="BG630" s="1969"/>
      <c r="BH630" s="6403"/>
      <c r="BI630" s="95"/>
      <c r="BJ630" s="1326"/>
      <c r="BK630" s="6404"/>
      <c r="BL630" s="1737"/>
      <c r="BM630" s="2081"/>
      <c r="BN630" s="2238"/>
      <c r="BO630" s="1809"/>
      <c r="BR630" s="3">
        <v>1</v>
      </c>
    </row>
    <row r="631" spans="2:70" ht="21" customHeight="1">
      <c r="B631" s="6236"/>
      <c r="C631" s="6358">
        <f t="shared" si="238"/>
        <v>150</v>
      </c>
      <c r="D631" s="6359" t="str" cm="1">
        <f t="array" ref="D631">IF(MOD(ROW()-50,14)=0,INDEX(D624:D637,MOD(ROW()-50,14)+1),E629)</f>
        <v/>
      </c>
      <c r="E631" s="6360" t="str">
        <f t="shared" si="239"/>
        <v/>
      </c>
      <c r="F631" s="6361" t="str">
        <f t="shared" si="240"/>
        <v/>
      </c>
      <c r="G631" s="6318"/>
      <c r="H631" s="6393" t="str">
        <f t="shared" si="241"/>
        <v/>
      </c>
      <c r="I631" s="6405"/>
      <c r="J631" s="6395" t="str">
        <f t="shared" si="242"/>
        <v/>
      </c>
      <c r="K631" s="6396" t="str">
        <f>IF(J631="","",LEFT(J631,IF(LEN(J631)&lt;=I627,LEN(J631),IFERROR(FIND("§",SUBSTITUTE(LEFT(J631,I627+1)," ","§",LEN(LEFT(J631,I627+1))-LEN(SUBSTITUTE(LEFT(J631,I627+1)," ",""))))-1,IFERROR(FIND(" ",J631,I627+1)-1,LEN(J631))))))</f>
        <v/>
      </c>
      <c r="L631" s="6388"/>
      <c r="M631" s="6332"/>
      <c r="N631" t="s">
        <v>21</v>
      </c>
      <c r="AV631" s="103"/>
      <c r="AW631" s="31"/>
      <c r="AX631" s="32"/>
      <c r="AY631" s="31"/>
      <c r="AZ631" s="33"/>
      <c r="BA631" s="1967"/>
      <c r="BB631" s="1805"/>
      <c r="BC631" s="91"/>
      <c r="BD631" s="1806"/>
      <c r="BE631" s="6401"/>
      <c r="BF631" s="6402"/>
      <c r="BG631" s="1969"/>
      <c r="BH631" s="6403"/>
      <c r="BI631" s="95"/>
      <c r="BJ631" s="1326"/>
      <c r="BK631" s="6404"/>
      <c r="BL631" s="1737"/>
      <c r="BM631" s="2081"/>
      <c r="BN631" s="2238"/>
      <c r="BO631" s="1809"/>
      <c r="BR631" s="3">
        <v>1</v>
      </c>
    </row>
    <row r="632" spans="2:70" ht="21" customHeight="1">
      <c r="B632" s="6236"/>
      <c r="C632" s="6358">
        <f t="shared" si="238"/>
        <v>150</v>
      </c>
      <c r="D632" s="6359" t="str" cm="1">
        <f t="array" ref="D632">IF(MOD(ROW()-50,14)=0,INDEX(D624:D637,MOD(ROW()-50,14)+1),E630)</f>
        <v/>
      </c>
      <c r="E632" s="6360" t="str">
        <f t="shared" si="239"/>
        <v/>
      </c>
      <c r="F632" s="6361" t="str">
        <f t="shared" si="240"/>
        <v/>
      </c>
      <c r="G632" s="6318"/>
      <c r="H632" s="6393" t="str">
        <f t="shared" si="241"/>
        <v/>
      </c>
      <c r="I632" s="6405"/>
      <c r="J632" s="6395" t="str">
        <f t="shared" si="242"/>
        <v/>
      </c>
      <c r="K632" s="6396" t="str">
        <f>IF(J632="","",LEFT(J632,IF(LEN(J632)&lt;=I627,LEN(J632),IFERROR(FIND("§",SUBSTITUTE(LEFT(J632,I627+1)," ","§",LEN(LEFT(J632,I627+1))-LEN(SUBSTITUTE(LEFT(J632,I627+1)," ",""))))-1,IFERROR(FIND(" ",J632,I627+1)-1,LEN(J632))))))</f>
        <v/>
      </c>
      <c r="L632" s="6388"/>
      <c r="M632" s="6332"/>
      <c r="N632" t="s">
        <v>21</v>
      </c>
      <c r="AV632" s="103"/>
      <c r="AW632" s="31"/>
      <c r="AX632" s="32"/>
      <c r="AY632" s="31"/>
      <c r="AZ632" s="33"/>
      <c r="BA632" s="1967"/>
      <c r="BB632" s="1805"/>
      <c r="BC632" s="91"/>
      <c r="BD632" s="1806"/>
      <c r="BE632" s="6401"/>
      <c r="BF632" s="6402"/>
      <c r="BG632" s="1969"/>
      <c r="BH632" s="6403"/>
      <c r="BI632" s="95"/>
      <c r="BJ632" s="1326"/>
      <c r="BK632" s="6404"/>
      <c r="BL632" s="1737"/>
      <c r="BM632" s="2081"/>
      <c r="BN632" s="2238"/>
      <c r="BO632" s="1809"/>
      <c r="BR632" s="3">
        <v>1</v>
      </c>
    </row>
    <row r="633" spans="2:70" ht="21" customHeight="1">
      <c r="B633" s="6236"/>
      <c r="C633" s="6358">
        <f t="shared" si="238"/>
        <v>150</v>
      </c>
      <c r="D633" s="6359" t="str" cm="1">
        <f t="array" ref="D633">IF(MOD(ROW()-50,14)=0,INDEX(D624:D637,MOD(ROW()-50,14)+1),E631)</f>
        <v/>
      </c>
      <c r="E633" s="6360" t="str">
        <f t="shared" si="239"/>
        <v/>
      </c>
      <c r="F633" s="6361" t="str">
        <f t="shared" si="240"/>
        <v/>
      </c>
      <c r="G633" s="6318"/>
      <c r="H633" s="6393" t="str">
        <f t="shared" si="241"/>
        <v/>
      </c>
      <c r="I633" s="6405"/>
      <c r="J633" s="6395" t="str">
        <f t="shared" si="242"/>
        <v/>
      </c>
      <c r="K633" s="6396" t="str">
        <f>IF(J633="","",LEFT(J633,IF(LEN(J633)&lt;=I627,LEN(J633),IFERROR(FIND("§",SUBSTITUTE(LEFT(J633,I627+1)," ","§",LEN(LEFT(J633,I627+1))-LEN(SUBSTITUTE(LEFT(J633,I627+1)," ",""))))-1,IFERROR(FIND(" ",J633,I627+1)-1,LEN(J633))))))</f>
        <v/>
      </c>
      <c r="L633" s="6388"/>
      <c r="M633" s="6332"/>
      <c r="N633" t="s">
        <v>21</v>
      </c>
      <c r="AV633" s="103"/>
      <c r="AW633" s="31"/>
      <c r="AX633" s="32"/>
      <c r="AY633" s="31"/>
      <c r="AZ633" s="33"/>
      <c r="BA633" s="1967"/>
      <c r="BB633" s="1805"/>
      <c r="BC633" s="91"/>
      <c r="BD633" s="1806"/>
      <c r="BE633" s="6401"/>
      <c r="BF633" s="6402"/>
      <c r="BG633" s="1969"/>
      <c r="BH633" s="6403"/>
      <c r="BI633" s="95"/>
      <c r="BJ633" s="1326"/>
      <c r="BK633" s="6404"/>
      <c r="BL633" s="1737"/>
      <c r="BM633" s="2081"/>
      <c r="BN633" s="2238"/>
      <c r="BO633" s="1809"/>
      <c r="BR633" s="3">
        <v>1</v>
      </c>
    </row>
    <row r="634" spans="2:70" ht="21" customHeight="1">
      <c r="B634" s="6236"/>
      <c r="C634" s="6358">
        <f t="shared" si="238"/>
        <v>150</v>
      </c>
      <c r="D634" s="6359" t="str" cm="1">
        <f t="array" ref="D634">IF(MOD(ROW()-50,14)=0,INDEX(D624:D637,MOD(ROW()-50,14)+1),E632)</f>
        <v/>
      </c>
      <c r="E634" s="6360" t="str">
        <f t="shared" si="239"/>
        <v/>
      </c>
      <c r="F634" s="6361" t="str">
        <f t="shared" si="240"/>
        <v/>
      </c>
      <c r="G634" s="6318"/>
      <c r="H634" s="6393" t="str">
        <f t="shared" si="241"/>
        <v/>
      </c>
      <c r="I634" s="6405"/>
      <c r="J634" s="6395" t="str">
        <f t="shared" si="242"/>
        <v/>
      </c>
      <c r="K634" s="6396" t="str">
        <f>IF(J634="","",LEFT(J634,IF(LEN(J634)&lt;=I627,LEN(J634),IFERROR(FIND("§",SUBSTITUTE(LEFT(J634,I627+1)," ","§",LEN(LEFT(J634,I627+1))-LEN(SUBSTITUTE(LEFT(J634,I627+1)," ",""))))-1,IFERROR(FIND(" ",J634,I627+1)-1,LEN(J634))))))</f>
        <v/>
      </c>
      <c r="L634" s="6388"/>
      <c r="M634" s="6332"/>
      <c r="N634" t="s">
        <v>21</v>
      </c>
      <c r="AV634" s="103"/>
      <c r="AW634" s="31"/>
      <c r="AX634" s="32"/>
      <c r="AY634" s="31"/>
      <c r="AZ634" s="33"/>
      <c r="BA634" s="1967"/>
      <c r="BB634" s="1805"/>
      <c r="BC634" s="91"/>
      <c r="BD634" s="1806"/>
      <c r="BE634" s="6401"/>
      <c r="BF634" s="6402"/>
      <c r="BG634" s="1969"/>
      <c r="BH634" s="6403"/>
      <c r="BI634" s="95"/>
      <c r="BJ634" s="1326"/>
      <c r="BK634" s="6404"/>
      <c r="BL634" s="1737"/>
      <c r="BM634" s="2081"/>
      <c r="BN634" s="2238"/>
      <c r="BO634" s="1809"/>
      <c r="BR634" s="3">
        <v>1</v>
      </c>
    </row>
    <row r="635" spans="2:70" ht="21" customHeight="1">
      <c r="B635" s="6236"/>
      <c r="C635" s="6358">
        <f t="shared" si="238"/>
        <v>150</v>
      </c>
      <c r="D635" s="6359" t="str" cm="1">
        <f t="array" ref="D635">IF(MOD(ROW()-50,14)=0,INDEX(D624:D637,MOD(ROW()-50,14)+1),E633)</f>
        <v/>
      </c>
      <c r="E635" s="6360" t="str">
        <f t="shared" si="239"/>
        <v/>
      </c>
      <c r="F635" s="6361" t="str">
        <f t="shared" si="240"/>
        <v/>
      </c>
      <c r="G635" s="6318"/>
      <c r="H635" s="6393" t="str">
        <f t="shared" si="241"/>
        <v/>
      </c>
      <c r="I635" s="6405"/>
      <c r="J635" s="6395" t="str">
        <f t="shared" si="242"/>
        <v/>
      </c>
      <c r="K635" s="6396" t="str">
        <f>IF(J635="","",LEFT(J635,IF(LEN(J635)&lt;=I627,LEN(J635),IFERROR(FIND("§",SUBSTITUTE(LEFT(J635,I627+1)," ","§",LEN(LEFT(J635,I627+1))-LEN(SUBSTITUTE(LEFT(J635,I627+1)," ",""))))-1,IFERROR(FIND(" ",J635,I627+1)-1,LEN(J635))))))</f>
        <v/>
      </c>
      <c r="L635" s="6388"/>
      <c r="M635" s="6332"/>
      <c r="N635" t="s">
        <v>21</v>
      </c>
      <c r="AV635" s="103"/>
      <c r="AW635" s="31"/>
      <c r="AX635" s="32"/>
      <c r="AY635" s="31"/>
      <c r="AZ635" s="33"/>
      <c r="BA635" s="1967"/>
      <c r="BB635" s="1805"/>
      <c r="BC635" s="91"/>
      <c r="BD635" s="1806"/>
      <c r="BE635" s="6401"/>
      <c r="BF635" s="6402"/>
      <c r="BG635" s="1969"/>
      <c r="BH635" s="6403"/>
      <c r="BI635" s="95"/>
      <c r="BJ635" s="1326"/>
      <c r="BK635" s="6404"/>
      <c r="BL635" s="1737"/>
      <c r="BM635" s="2081"/>
      <c r="BN635" s="2238"/>
      <c r="BO635" s="1809"/>
      <c r="BR635" s="3">
        <v>1</v>
      </c>
    </row>
    <row r="636" spans="2:70" ht="21" customHeight="1">
      <c r="B636" s="6236"/>
      <c r="C636" s="6358">
        <f t="shared" si="238"/>
        <v>150</v>
      </c>
      <c r="D636" s="6359" t="str" cm="1">
        <f t="array" ref="D636">IF(MOD(ROW()-50,14)=0,INDEX(D624:D637,MOD(ROW()-50,14)+1),E634)</f>
        <v/>
      </c>
      <c r="E636" s="6360" t="str">
        <f t="shared" si="239"/>
        <v/>
      </c>
      <c r="F636" s="6361" t="str">
        <f t="shared" si="240"/>
        <v/>
      </c>
      <c r="G636" s="6318"/>
      <c r="H636" s="6393" t="str">
        <f t="shared" si="241"/>
        <v/>
      </c>
      <c r="I636" s="6405"/>
      <c r="J636" s="6395" t="str">
        <f t="shared" si="242"/>
        <v/>
      </c>
      <c r="K636" s="6396" t="str">
        <f>IF(J636="","",LEFT(J636,IF(LEN(J636)&lt;=I627,LEN(J636),IFERROR(FIND("§",SUBSTITUTE(LEFT(J636,I627+1)," ","§",LEN(LEFT(J636,I627+1))-LEN(SUBSTITUTE(LEFT(J636,I627+1)," ",""))))-1,IFERROR(FIND(" ",J636,I627+1)-1,LEN(J636))))))</f>
        <v/>
      </c>
      <c r="L636" s="6396"/>
      <c r="M636" s="6332"/>
      <c r="N636" t="s">
        <v>21</v>
      </c>
      <c r="AV636" s="103"/>
      <c r="AW636" s="31"/>
      <c r="AX636" s="32"/>
      <c r="AY636" s="31"/>
      <c r="AZ636" s="33"/>
      <c r="BA636" s="1967"/>
      <c r="BB636" s="1805"/>
      <c r="BC636" s="91"/>
      <c r="BD636" s="1806"/>
      <c r="BE636" s="6401"/>
      <c r="BF636" s="6402"/>
      <c r="BG636" s="1969"/>
      <c r="BH636" s="6403"/>
      <c r="BI636" s="95"/>
      <c r="BJ636" s="1326"/>
      <c r="BK636" s="6404"/>
      <c r="BL636" s="1737"/>
      <c r="BM636" s="2081"/>
      <c r="BN636" s="2238"/>
      <c r="BO636" s="1809"/>
      <c r="BR636" s="3">
        <v>1</v>
      </c>
    </row>
    <row r="637" spans="2:70" ht="21" customHeight="1">
      <c r="B637" s="6236"/>
      <c r="C637" s="6376">
        <f t="shared" si="238"/>
        <v>150</v>
      </c>
      <c r="D637" s="6414" t="str" cm="1">
        <f t="array" ref="D637">IF(MOD(ROW()-50,14)=0,INDEX(D624:D637,MOD(ROW()-50,14)+1),E635)</f>
        <v/>
      </c>
      <c r="E637" s="6377" t="str">
        <f t="shared" si="239"/>
        <v/>
      </c>
      <c r="F637" s="6378" t="str">
        <f t="shared" si="240"/>
        <v/>
      </c>
      <c r="G637" s="6319"/>
      <c r="H637" s="6409" t="str">
        <f t="shared" si="241"/>
        <v/>
      </c>
      <c r="I637" s="6410"/>
      <c r="J637" s="6411" t="str">
        <f t="shared" si="242"/>
        <v/>
      </c>
      <c r="K637" s="6412" t="str">
        <f>IF(J637="","",LEFT(J637,IF(LEN(J637)&lt;=I627,LEN(J637),IFERROR(FIND("§",SUBSTITUTE(LEFT(J637,I627+1)," ","§",LEN(LEFT(J637,I627+1))-LEN(SUBSTITUTE(LEFT(J637,I627+1)," ",""))))-1,IFERROR(FIND(" ",J637,I627+1)-1,LEN(J637))))))</f>
        <v/>
      </c>
      <c r="L637" s="6413"/>
      <c r="M637" s="6333"/>
      <c r="N637" t="s">
        <v>21</v>
      </c>
      <c r="AV637" s="103"/>
      <c r="AW637" s="31"/>
      <c r="AX637" s="32"/>
      <c r="AY637" s="31"/>
      <c r="AZ637" s="33"/>
      <c r="BA637" s="1967"/>
      <c r="BB637" s="1805"/>
      <c r="BC637" s="91"/>
      <c r="BD637" s="1806"/>
      <c r="BE637" s="6401"/>
      <c r="BF637" s="6402"/>
      <c r="BG637" s="1969"/>
      <c r="BH637" s="6403"/>
      <c r="BI637" s="95"/>
      <c r="BJ637" s="1326"/>
      <c r="BK637" s="6404"/>
      <c r="BL637" s="1737"/>
      <c r="BM637" s="2081"/>
      <c r="BN637" s="2238"/>
      <c r="BO637" s="1809"/>
      <c r="BR637" s="3">
        <v>1</v>
      </c>
    </row>
    <row r="638" spans="2:70" ht="21" customHeight="1">
      <c r="B638" s="6236"/>
      <c r="C638" s="6313">
        <f>AD92</f>
        <v>150</v>
      </c>
      <c r="D638" s="6314" t="str">
        <f>IF(UPPER(TRIM(X45))="X",U92,O92)</f>
        <v>42.TEST LIGNE 19 colonne Q et ligne 20 colonne P. rechercher la cellule qui coupe le texte Dans la cocotte N°3 en fonte, faites chauffer l’huile d’olive à feu moyen. Ajoutez la viande et faites-la dorer de tous les côtés. Retirez-la de la cocotte et réservez-la.</v>
      </c>
      <c r="E638" s="6315" t="str">
        <f>IF(D638="","",IF(F638="","",IF(LEN(F638)&gt;=LEN(D638),"",TRIM(MID(D638,LEN(F638)+1,99999)))))</f>
        <v>d’olive à feu moyen. Ajoutez la viande et faites-la dorer de tous les côtés. Retirez-la de la cocotte et réservez-la.</v>
      </c>
      <c r="F638" s="6316" t="str">
        <f>IF(D638="","",IF(LEN(D638)&lt;=C638,D638,IFERROR(LEFT(D638,FIND("§",SUBSTITUTE(LEFT(D638,C638+1)," ","§",LEN(LEFT(D638,C638+1))-LEN(SUBSTITUTE(LEFT(D638,C638+1)," ",""))))-1),LEFT(D638,C638))))</f>
        <v>42.TEST LIGNE 19 colonne Q et ligne 20 colonne P. rechercher la cellule qui coupe le texte Dans la cocotte N°3 en fonte, faites chauffer l’huile</v>
      </c>
      <c r="G638" s="6317"/>
      <c r="H638" s="6323">
        <f>IF(LEN(TRIM(L638))&gt;0,MAX(H637:H637)+1,"")</f>
        <v>1</v>
      </c>
      <c r="I638" s="6324" t="str">
        <f>D638</f>
        <v>42.TEST LIGNE 19 colonne Q et ligne 20 colonne P. rechercher la cellule qui coupe le texte Dans la cocotte N°3 en fonte, faites chauffer l’huile d’olive à feu moyen. Ajoutez la viande et faites-la dorer de tous les côtés. Retirez-la de la cocotte et réservez-la.</v>
      </c>
      <c r="J638" s="6325" t="str">
        <f>IF(I638=0,"",I638)</f>
        <v>42.TEST LIGNE 19 colonne Q et ligne 20 colonne P. rechercher la cellule qui coupe le texte Dans la cocotte N°3 en fonte, faites chauffer l’huile d’olive à feu moyen. Ajoutez la viande et faites-la dorer de tous les côtés. Retirez-la de la cocotte et réservez-la.</v>
      </c>
      <c r="K638" s="6326" t="str">
        <f>IF(I638="","",LEFT(I638,IF(LEN(I638)&lt;=I641,LEN(I638),IFERROR(FIND("§",SUBSTITUTE(LEFT(I638,I641+1)," ","§",LEN(LEFT(I638,I641+1))-LEN(SUBSTITUTE(LEFT(I638,I641+1)," ",""))))-1,IFERROR(FIND(" ",I638,I641+1)-1,LEN(I638))))))</f>
        <v>42.TEST LIGNE 19 colonne Q et ligne 20 colonne P.</v>
      </c>
      <c r="L638" s="6326" t="str" cm="1">
        <f t="array" ref="L638:L643">_xlfn._xlws.FILTER(TRIM(SUBSTITUTE(SUBSTITUTE(SUBSTITUTE(SUBSTITUTE(SUBSTITUTE(CLEAN(K638:K651),CHAR(160)," "),_xlfn.UNICHAR(8239)," "),CHAR(9)," "),CHAR(10)," "),CHAR(13)," ")),TRIM(SUBSTITUTE(SUBSTITUTE(SUBSTITUTE(SUBSTITUTE(SUBSTITUTE(CLEAN(K638:K651),CHAR(160)," "),_xlfn.UNICHAR(8239)," "),CHAR(9)," "),CHAR(10)," "),CHAR(13)," "))&lt;&gt;"")</f>
        <v>42.TEST LIGNE 19 colonne Q et ligne 20 colonne P.</v>
      </c>
      <c r="M638" s="6328"/>
      <c r="N638" t="s">
        <v>21</v>
      </c>
      <c r="AV638" s="103"/>
      <c r="AW638" s="31"/>
      <c r="AX638" s="32"/>
      <c r="AY638" s="31"/>
      <c r="AZ638" s="33"/>
      <c r="BA638" s="1967"/>
      <c r="BB638" s="1805"/>
      <c r="BC638" s="91"/>
      <c r="BD638" s="1806"/>
      <c r="BE638" s="6401"/>
      <c r="BF638" s="6402"/>
      <c r="BG638" s="1969"/>
      <c r="BH638" s="6403"/>
      <c r="BI638" s="95"/>
      <c r="BJ638" s="1326"/>
      <c r="BK638" s="6404"/>
      <c r="BL638" s="1737"/>
      <c r="BM638" s="2081"/>
      <c r="BN638" s="2238"/>
      <c r="BO638" s="1809"/>
      <c r="BR638" s="3">
        <v>1</v>
      </c>
    </row>
    <row r="639" spans="2:70" ht="21" customHeight="1">
      <c r="B639" s="6236"/>
      <c r="C639" s="6358">
        <f t="shared" ref="C639:C651" si="243">C638</f>
        <v>150</v>
      </c>
      <c r="D639" s="6359" t="str" cm="1">
        <f t="array" ref="D639">IF(MOD(ROW()-50,14)=0,INDEX(D638:D651,MOD(ROW()-50,14)+1),E637)</f>
        <v/>
      </c>
      <c r="E639" s="6360" t="str">
        <f t="shared" ref="E639:E651" si="244">IF(D639="","",IF(F639="","",IF(LEN(F639)&gt;=LEN(D639),"",TRIM(MID(D639,LEN(F639)+1,99999)))))</f>
        <v/>
      </c>
      <c r="F639" s="6361" t="str">
        <f t="shared" ref="F639:F651" si="245">IF(D639="","",IF(LEN(D639)&lt;=C639,D639,IFERROR(LEFT(D639,FIND("§",SUBSTITUTE(LEFT(D639,C639+1)," ","§",LEN(LEFT(D639,C639+1))-LEN(SUBSTITUTE(LEFT(D639,C639+1)," ",""))))-1),LEFT(D639,C639))))</f>
        <v/>
      </c>
      <c r="G639" s="6318"/>
      <c r="H639" s="6323">
        <f t="shared" ref="H639:H651" si="246">IF(LEN(TRIM(L639))&gt;0,MAX(H638:H638)+1,"")</f>
        <v>2</v>
      </c>
      <c r="I639" s="6362" t="s">
        <v>14355</v>
      </c>
      <c r="J639" s="6363" t="str">
        <f>TRIM(MID(I642,LEN(K638)+1,99999))</f>
        <v>rechercher la cellule qui coupe le texte Dans la cocotte N°3 en fonte, faites chauffer l’huile d’olive à feu moyen. Ajoutez la viande et faites-la dorer de tous les côtés. Retirez-la de la cocotte et réservez-la.</v>
      </c>
      <c r="K639" s="6364" t="str">
        <f>IF(J639="","",LEFT(J639,IF(LEN(J639)&lt;=I641,LEN(J639),IFERROR(FIND("§",SUBSTITUTE(LEFT(J639,I641+1)," ","§",LEN(LEFT(J639,I641+1))-LEN(SUBSTITUTE(LEFT(J639,I641+1)," ",""))))-1,IFERROR(FIND(" ",J639,I641+1)-1,LEN(J639))))))</f>
        <v>rechercher la cellule qui coupe le texte Dans la</v>
      </c>
      <c r="L639" s="6327" t="str">
        <v>rechercher la cellule qui coupe le texte Dans la</v>
      </c>
      <c r="M639" s="6329"/>
      <c r="N639" t="s">
        <v>21</v>
      </c>
      <c r="AV639" s="103"/>
      <c r="AW639" s="31"/>
      <c r="AX639" s="32"/>
      <c r="AY639" s="31"/>
      <c r="AZ639" s="33"/>
      <c r="BA639" s="1967"/>
      <c r="BB639" s="1805"/>
      <c r="BC639" s="91"/>
      <c r="BD639" s="1806"/>
      <c r="BE639" s="6401"/>
      <c r="BF639" s="6402"/>
      <c r="BG639" s="1969"/>
      <c r="BH639" s="6403"/>
      <c r="BI639" s="95"/>
      <c r="BJ639" s="1326"/>
      <c r="BK639" s="6404"/>
      <c r="BL639" s="1737"/>
      <c r="BM639" s="2081"/>
      <c r="BN639" s="2238"/>
      <c r="BO639" s="1809"/>
      <c r="BR639" s="3">
        <v>1</v>
      </c>
    </row>
    <row r="640" spans="2:70" ht="21" customHeight="1">
      <c r="B640" s="6236"/>
      <c r="C640" s="6358">
        <f t="shared" si="243"/>
        <v>150</v>
      </c>
      <c r="D640" s="6359" t="str" cm="1">
        <f t="array" ref="D640">IF(MOD(ROW()-50,14)=0,INDEX(D638:D651,MOD(ROW()-50,14)+1),E638)</f>
        <v>d’olive à feu moyen. Ajoutez la viande et faites-la dorer de tous les côtés. Retirez-la de la cocotte et réservez-la.</v>
      </c>
      <c r="E640" s="6360" t="str">
        <f t="shared" si="244"/>
        <v/>
      </c>
      <c r="F640" s="6361" t="str">
        <f t="shared" si="245"/>
        <v>d’olive à feu moyen. Ajoutez la viande et faites-la dorer de tous les côtés. Retirez-la de la cocotte et réservez-la.</v>
      </c>
      <c r="G640" s="6318"/>
      <c r="H640" s="6323">
        <f t="shared" si="246"/>
        <v>3</v>
      </c>
      <c r="I640" s="6365">
        <f>Z92</f>
        <v>5</v>
      </c>
      <c r="J640" s="6363" t="str">
        <f t="shared" ref="J640:J651" si="247">TRIM(MID(J639,LEN(K639)+1,99999))</f>
        <v>cocotte N°3 en fonte, faites chauffer l’huile d’olive à feu moyen. Ajoutez la viande et faites-la dorer de tous les côtés. Retirez-la de la cocotte et réservez-la.</v>
      </c>
      <c r="K640" s="6364" t="str">
        <f>IF(J640="","",LEFT(J640,IF(LEN(J640)&lt;=I641,LEN(J640),IFERROR(FIND("§",SUBSTITUTE(LEFT(J640,I641+1)," ","§",LEN(LEFT(J640,I641+1))-LEN(SUBSTITUTE(LEFT(J640,I641+1)," ",""))))-1,IFERROR(FIND(" ",J640,I641+1)-1,LEN(J640))))))</f>
        <v>cocotte N°3 en fonte, faites chauffer l’huile d’olive</v>
      </c>
      <c r="L640" s="6327" t="str">
        <v>cocotte N°3 en fonte, faites chauffer l’huile d’olive</v>
      </c>
      <c r="M640" s="6329"/>
      <c r="N640" t="s">
        <v>21</v>
      </c>
      <c r="AV640" s="103"/>
      <c r="AW640" s="31"/>
      <c r="AX640" s="32"/>
      <c r="AY640" s="31"/>
      <c r="AZ640" s="33"/>
      <c r="BA640" s="1967"/>
      <c r="BB640" s="1805"/>
      <c r="BC640" s="91"/>
      <c r="BD640" s="1806"/>
      <c r="BE640" s="6401"/>
      <c r="BF640" s="6402"/>
      <c r="BG640" s="1969"/>
      <c r="BH640" s="6403"/>
      <c r="BI640" s="95"/>
      <c r="BJ640" s="1326"/>
      <c r="BK640" s="6404"/>
      <c r="BL640" s="1737"/>
      <c r="BM640" s="2081"/>
      <c r="BN640" s="2238"/>
      <c r="BO640" s="1809"/>
      <c r="BR640" s="3">
        <v>1</v>
      </c>
    </row>
    <row r="641" spans="2:70" ht="21" customHeight="1">
      <c r="B641" s="6236"/>
      <c r="C641" s="6358">
        <f t="shared" si="243"/>
        <v>150</v>
      </c>
      <c r="D641" s="6359" t="str" cm="1">
        <f t="array" ref="D641">IF(MOD(ROW()-50,14)=0,INDEX(D638:D651,MOD(ROW()-50,14)+1),E639)</f>
        <v/>
      </c>
      <c r="E641" s="6360" t="str">
        <f t="shared" si="244"/>
        <v/>
      </c>
      <c r="F641" s="6361" t="str">
        <f t="shared" si="245"/>
        <v/>
      </c>
      <c r="G641" s="6318"/>
      <c r="H641" s="6323">
        <f t="shared" si="246"/>
        <v>4</v>
      </c>
      <c r="I641" s="6370">
        <f>IF(OR(J638="",I640="",I640&lt;=0),"",ROUNDUP(LEN(J638)/I640,0))</f>
        <v>53</v>
      </c>
      <c r="J641" s="6363" t="str">
        <f t="shared" si="247"/>
        <v>à feu moyen. Ajoutez la viande et faites-la dorer de tous les côtés. Retirez-la de la cocotte et réservez-la.</v>
      </c>
      <c r="K641" s="6364" t="str">
        <f>IF(J641="","",LEFT(J641,IF(LEN(J641)&lt;=I641,LEN(J641),IFERROR(FIND("§",SUBSTITUTE(LEFT(J641,I641+1)," ","§",LEN(LEFT(J641,I641+1))-LEN(SUBSTITUTE(LEFT(J641,I641+1)," ",""))))-1,IFERROR(FIND(" ",J641,I641+1)-1,LEN(J641))))))</f>
        <v>à feu moyen. Ajoutez la viande et faites-la dorer de</v>
      </c>
      <c r="L641" s="6327" t="str">
        <v>à feu moyen. Ajoutez la viande et faites-la dorer de</v>
      </c>
      <c r="M641" s="6329"/>
      <c r="N641" t="s">
        <v>21</v>
      </c>
      <c r="AV641" s="103"/>
      <c r="AW641" s="31"/>
      <c r="AX641" s="32"/>
      <c r="AY641" s="31"/>
      <c r="AZ641" s="33"/>
      <c r="BA641" s="1967"/>
      <c r="BB641" s="1805"/>
      <c r="BC641" s="91"/>
      <c r="BD641" s="1806"/>
      <c r="BE641" s="6401"/>
      <c r="BF641" s="6402"/>
      <c r="BG641" s="1969"/>
      <c r="BH641" s="6403"/>
      <c r="BI641" s="95"/>
      <c r="BJ641" s="1326"/>
      <c r="BK641" s="6404"/>
      <c r="BL641" s="1737"/>
      <c r="BM641" s="2081"/>
      <c r="BN641" s="2238"/>
      <c r="BO641" s="1809"/>
      <c r="BR641" s="3">
        <v>1</v>
      </c>
    </row>
    <row r="642" spans="2:70" ht="21" customHeight="1">
      <c r="B642" s="6236"/>
      <c r="C642" s="6358">
        <f t="shared" si="243"/>
        <v>150</v>
      </c>
      <c r="D642" s="6359" t="str" cm="1">
        <f t="array" ref="D642">IF(MOD(ROW()-50,14)=0,INDEX(D638:D651,MOD(ROW()-50,14)+1),E640)</f>
        <v/>
      </c>
      <c r="E642" s="6360" t="str">
        <f t="shared" si="244"/>
        <v/>
      </c>
      <c r="F642" s="6361" t="str">
        <f t="shared" si="245"/>
        <v/>
      </c>
      <c r="G642" s="6318"/>
      <c r="H642" s="6323">
        <f t="shared" si="246"/>
        <v>5</v>
      </c>
      <c r="I642" s="6372" t="str">
        <f>I638</f>
        <v>42.TEST LIGNE 19 colonne Q et ligne 20 colonne P. rechercher la cellule qui coupe le texte Dans la cocotte N°3 en fonte, faites chauffer l’huile d’olive à feu moyen. Ajoutez la viande et faites-la dorer de tous les côtés. Retirez-la de la cocotte et réservez-la.</v>
      </c>
      <c r="J642" s="6363" t="str">
        <f t="shared" si="247"/>
        <v>tous les côtés. Retirez-la de la cocotte et réservez-la.</v>
      </c>
      <c r="K642" s="6364" t="str">
        <f>IF(J642="","",LEFT(J642,IF(LEN(J642)&lt;=I641,LEN(J642),IFERROR(FIND("§",SUBSTITUTE(LEFT(J642,I641+1)," ","§",LEN(LEFT(J642,I641+1))-LEN(SUBSTITUTE(LEFT(J642,I641+1)," ",""))))-1,IFERROR(FIND(" ",J642,I641+1)-1,LEN(J642))))))</f>
        <v>tous les côtés. Retirez-la de la cocotte et</v>
      </c>
      <c r="L642" s="6327" t="str">
        <v>tous les côtés. Retirez-la de la cocotte et</v>
      </c>
      <c r="M642" s="6329"/>
      <c r="N642" t="s">
        <v>21</v>
      </c>
      <c r="AV642" s="103"/>
      <c r="AW642" s="31"/>
      <c r="AX642" s="32"/>
      <c r="AY642" s="31"/>
      <c r="AZ642" s="33"/>
      <c r="BA642" s="1967"/>
      <c r="BB642" s="1805"/>
      <c r="BC642" s="91"/>
      <c r="BD642" s="1806"/>
      <c r="BE642" s="6401"/>
      <c r="BF642" s="6402"/>
      <c r="BG642" s="1969"/>
      <c r="BH642" s="6403"/>
      <c r="BI642" s="95"/>
      <c r="BJ642" s="1326"/>
      <c r="BK642" s="6404"/>
      <c r="BL642" s="1737"/>
      <c r="BM642" s="2081"/>
      <c r="BN642" s="2238"/>
      <c r="BO642" s="1809"/>
      <c r="BR642" s="3">
        <v>1</v>
      </c>
    </row>
    <row r="643" spans="2:70" ht="21" customHeight="1">
      <c r="B643" s="6236"/>
      <c r="C643" s="6358">
        <f t="shared" si="243"/>
        <v>150</v>
      </c>
      <c r="D643" s="6359" t="str" cm="1">
        <f t="array" ref="D643">IF(MOD(ROW()-50,14)=0,INDEX(D638:D651,MOD(ROW()-50,14)+1),E641)</f>
        <v/>
      </c>
      <c r="E643" s="6360" t="str">
        <f t="shared" si="244"/>
        <v/>
      </c>
      <c r="F643" s="6361" t="str">
        <f t="shared" si="245"/>
        <v/>
      </c>
      <c r="G643" s="6318"/>
      <c r="H643" s="6323">
        <f t="shared" si="246"/>
        <v>6</v>
      </c>
      <c r="I643" s="6373"/>
      <c r="J643" s="6363" t="str">
        <f t="shared" si="247"/>
        <v>réservez-la.</v>
      </c>
      <c r="K643" s="6364" t="str">
        <f>IF(J643="","",LEFT(J643,IF(LEN(J643)&lt;=I641,LEN(J643),IFERROR(FIND("§",SUBSTITUTE(LEFT(J643,I641+1)," ","§",LEN(LEFT(J643,I641+1))-LEN(SUBSTITUTE(LEFT(J643,I641+1)," ",""))))-1,IFERROR(FIND(" ",J643,I641+1)-1,LEN(J643))))))</f>
        <v>réservez-la.</v>
      </c>
      <c r="L643" s="6327" t="str">
        <v>réservez-la.</v>
      </c>
      <c r="M643" s="6329"/>
      <c r="N643" t="s">
        <v>21</v>
      </c>
      <c r="AV643" s="103"/>
      <c r="AW643" s="31"/>
      <c r="AX643" s="32"/>
      <c r="AY643" s="31"/>
      <c r="AZ643" s="33"/>
      <c r="BA643" s="1967"/>
      <c r="BB643" s="1805"/>
      <c r="BC643" s="91"/>
      <c r="BD643" s="1806"/>
      <c r="BE643" s="6401"/>
      <c r="BF643" s="6402"/>
      <c r="BG643" s="1969"/>
      <c r="BH643" s="6403"/>
      <c r="BI643" s="95"/>
      <c r="BJ643" s="1326"/>
      <c r="BK643" s="6404"/>
      <c r="BL643" s="1737"/>
      <c r="BM643" s="2081"/>
      <c r="BN643" s="2238"/>
      <c r="BO643" s="1809"/>
      <c r="BR643" s="3">
        <v>1</v>
      </c>
    </row>
    <row r="644" spans="2:70" ht="21" customHeight="1">
      <c r="B644" s="6236"/>
      <c r="C644" s="6358">
        <f t="shared" si="243"/>
        <v>150</v>
      </c>
      <c r="D644" s="6359" t="str" cm="1">
        <f t="array" ref="D644">IF(MOD(ROW()-50,14)=0,INDEX(D638:D651,MOD(ROW()-50,14)+1),E642)</f>
        <v/>
      </c>
      <c r="E644" s="6360" t="str">
        <f t="shared" si="244"/>
        <v/>
      </c>
      <c r="F644" s="6361" t="str">
        <f t="shared" si="245"/>
        <v/>
      </c>
      <c r="G644" s="6318"/>
      <c r="H644" s="6323" t="str">
        <f t="shared" si="246"/>
        <v/>
      </c>
      <c r="I644" s="6373"/>
      <c r="J644" s="6363" t="str">
        <f t="shared" si="247"/>
        <v/>
      </c>
      <c r="K644" s="6364" t="str">
        <f>IF(J644="","",LEFT(J644,IF(LEN(J644)&lt;=I641,LEN(J644),IFERROR(FIND("§",SUBSTITUTE(LEFT(J644,I641+1)," ","§",LEN(LEFT(J644,I641+1))-LEN(SUBSTITUTE(LEFT(J644,I641+1)," ",""))))-1,IFERROR(FIND(" ",J644,I641+1)-1,LEN(J644))))))</f>
        <v/>
      </c>
      <c r="L644" s="6327"/>
      <c r="M644" s="6329"/>
      <c r="N644" t="s">
        <v>21</v>
      </c>
      <c r="AV644" s="103"/>
      <c r="AW644" s="31"/>
      <c r="AX644" s="32"/>
      <c r="AY644" s="31"/>
      <c r="AZ644" s="33"/>
      <c r="BA644" s="1967"/>
      <c r="BB644" s="1805"/>
      <c r="BC644" s="91"/>
      <c r="BD644" s="1806"/>
      <c r="BE644" s="6401"/>
      <c r="BF644" s="6402"/>
      <c r="BG644" s="1969"/>
      <c r="BH644" s="6403"/>
      <c r="BI644" s="95"/>
      <c r="BJ644" s="1326"/>
      <c r="BK644" s="6404"/>
      <c r="BL644" s="1737"/>
      <c r="BM644" s="2081"/>
      <c r="BN644" s="2238"/>
      <c r="BO644" s="1809"/>
      <c r="BR644" s="3">
        <v>1</v>
      </c>
    </row>
    <row r="645" spans="2:70" ht="21" customHeight="1">
      <c r="B645" s="6236"/>
      <c r="C645" s="6358">
        <f t="shared" si="243"/>
        <v>150</v>
      </c>
      <c r="D645" s="6359" t="str" cm="1">
        <f t="array" ref="D645">IF(MOD(ROW()-50,14)=0,INDEX(D638:D651,MOD(ROW()-50,14)+1),E643)</f>
        <v/>
      </c>
      <c r="E645" s="6360" t="str">
        <f t="shared" si="244"/>
        <v/>
      </c>
      <c r="F645" s="6361" t="str">
        <f t="shared" si="245"/>
        <v/>
      </c>
      <c r="G645" s="6318"/>
      <c r="H645" s="6323" t="str">
        <f t="shared" si="246"/>
        <v/>
      </c>
      <c r="I645" s="6373"/>
      <c r="J645" s="6363" t="str">
        <f t="shared" si="247"/>
        <v/>
      </c>
      <c r="K645" s="6364" t="str">
        <f>IF(J645="","",LEFT(J645,IF(LEN(J645)&lt;=I641,LEN(J645),IFERROR(FIND("§",SUBSTITUTE(LEFT(J645,I641+1)," ","§",LEN(LEFT(J645,I641+1))-LEN(SUBSTITUTE(LEFT(J645,I641+1)," ",""))))-1,IFERROR(FIND(" ",J645,I641+1)-1,LEN(J645))))))</f>
        <v/>
      </c>
      <c r="L645" s="6327"/>
      <c r="M645" s="6329"/>
      <c r="N645" t="s">
        <v>21</v>
      </c>
      <c r="AV645" s="103"/>
      <c r="AW645" s="31"/>
      <c r="AX645" s="32"/>
      <c r="AY645" s="31"/>
      <c r="AZ645" s="33"/>
      <c r="BA645" s="1967"/>
      <c r="BB645" s="1805"/>
      <c r="BC645" s="91"/>
      <c r="BD645" s="1806"/>
      <c r="BE645" s="6401"/>
      <c r="BF645" s="6402"/>
      <c r="BG645" s="1969"/>
      <c r="BH645" s="6403"/>
      <c r="BI645" s="95"/>
      <c r="BJ645" s="1326"/>
      <c r="BK645" s="6404"/>
      <c r="BL645" s="1737"/>
      <c r="BM645" s="2081"/>
      <c r="BN645" s="2238"/>
      <c r="BO645" s="1809"/>
      <c r="BR645" s="3">
        <v>1</v>
      </c>
    </row>
    <row r="646" spans="2:70" ht="21" customHeight="1">
      <c r="B646" s="6236"/>
      <c r="C646" s="6358">
        <f t="shared" si="243"/>
        <v>150</v>
      </c>
      <c r="D646" s="6359" t="str" cm="1">
        <f t="array" ref="D646">IF(MOD(ROW()-50,14)=0,INDEX(D638:D651,MOD(ROW()-50,14)+1),E644)</f>
        <v/>
      </c>
      <c r="E646" s="6360" t="str">
        <f t="shared" si="244"/>
        <v/>
      </c>
      <c r="F646" s="6361" t="str">
        <f t="shared" si="245"/>
        <v/>
      </c>
      <c r="G646" s="6318"/>
      <c r="H646" s="6323" t="str">
        <f t="shared" si="246"/>
        <v/>
      </c>
      <c r="I646" s="6373"/>
      <c r="J646" s="6363" t="str">
        <f t="shared" si="247"/>
        <v/>
      </c>
      <c r="K646" s="6364" t="str">
        <f>IF(J646="","",LEFT(J646,IF(LEN(J646)&lt;=I641,LEN(J646),IFERROR(FIND("§",SUBSTITUTE(LEFT(J646,I641+1)," ","§",LEN(LEFT(J646,I641+1))-LEN(SUBSTITUTE(LEFT(J646,I641+1)," ",""))))-1,IFERROR(FIND(" ",J646,I641+1)-1,LEN(J646))))))</f>
        <v/>
      </c>
      <c r="L646" s="6327"/>
      <c r="M646" s="6329"/>
      <c r="N646" t="s">
        <v>21</v>
      </c>
      <c r="AV646" s="103"/>
      <c r="AW646" s="31"/>
      <c r="AX646" s="32"/>
      <c r="AY646" s="31"/>
      <c r="AZ646" s="33"/>
      <c r="BA646" s="1967"/>
      <c r="BB646" s="1805"/>
      <c r="BC646" s="91"/>
      <c r="BD646" s="1806"/>
      <c r="BE646" s="6401"/>
      <c r="BF646" s="6402"/>
      <c r="BG646" s="1969"/>
      <c r="BH646" s="6403"/>
      <c r="BI646" s="95"/>
      <c r="BJ646" s="1326"/>
      <c r="BK646" s="6404"/>
      <c r="BL646" s="1737"/>
      <c r="BM646" s="2081"/>
      <c r="BN646" s="2238"/>
      <c r="BO646" s="1809"/>
      <c r="BR646" s="3">
        <v>1</v>
      </c>
    </row>
    <row r="647" spans="2:70" ht="21" customHeight="1">
      <c r="B647" s="6236"/>
      <c r="C647" s="6358">
        <f t="shared" si="243"/>
        <v>150</v>
      </c>
      <c r="D647" s="6359" t="str" cm="1">
        <f t="array" ref="D647">IF(MOD(ROW()-50,14)=0,INDEX(D638:D651,MOD(ROW()-50,14)+1),E645)</f>
        <v/>
      </c>
      <c r="E647" s="6360" t="str">
        <f t="shared" si="244"/>
        <v/>
      </c>
      <c r="F647" s="6361" t="str">
        <f t="shared" si="245"/>
        <v/>
      </c>
      <c r="G647" s="6318"/>
      <c r="H647" s="6323" t="str">
        <f t="shared" si="246"/>
        <v/>
      </c>
      <c r="I647" s="6373"/>
      <c r="J647" s="6363" t="str">
        <f t="shared" si="247"/>
        <v/>
      </c>
      <c r="K647" s="6364" t="str">
        <f>IF(J647="","",LEFT(J647,IF(LEN(J647)&lt;=I641,LEN(J647),IFERROR(FIND("§",SUBSTITUTE(LEFT(J647,I641+1)," ","§",LEN(LEFT(J647,I641+1))-LEN(SUBSTITUTE(LEFT(J647,I641+1)," ",""))))-1,IFERROR(FIND(" ",J647,I641+1)-1,LEN(J647))))))</f>
        <v/>
      </c>
      <c r="L647" s="6327"/>
      <c r="M647" s="6329"/>
      <c r="N647" t="s">
        <v>21</v>
      </c>
      <c r="AV647" s="103"/>
      <c r="AW647" s="31"/>
      <c r="AX647" s="32"/>
      <c r="AY647" s="31"/>
      <c r="AZ647" s="33"/>
      <c r="BA647" s="1967"/>
      <c r="BB647" s="1805"/>
      <c r="BC647" s="91"/>
      <c r="BD647" s="1806"/>
      <c r="BE647" s="6401"/>
      <c r="BF647" s="6402"/>
      <c r="BG647" s="1969"/>
      <c r="BH647" s="6403"/>
      <c r="BI647" s="95"/>
      <c r="BJ647" s="1326"/>
      <c r="BK647" s="6404"/>
      <c r="BL647" s="1737"/>
      <c r="BM647" s="2081"/>
      <c r="BN647" s="2238"/>
      <c r="BO647" s="1809"/>
      <c r="BR647" s="3">
        <v>1</v>
      </c>
    </row>
    <row r="648" spans="2:70" ht="21" customHeight="1">
      <c r="B648" s="6236"/>
      <c r="C648" s="6358">
        <f t="shared" si="243"/>
        <v>150</v>
      </c>
      <c r="D648" s="6359" t="str" cm="1">
        <f t="array" ref="D648">IF(MOD(ROW()-50,14)=0,INDEX(D638:D651,MOD(ROW()-50,14)+1),E646)</f>
        <v/>
      </c>
      <c r="E648" s="6360" t="str">
        <f t="shared" si="244"/>
        <v/>
      </c>
      <c r="F648" s="6361" t="str">
        <f t="shared" si="245"/>
        <v/>
      </c>
      <c r="G648" s="6318"/>
      <c r="H648" s="6323" t="str">
        <f t="shared" si="246"/>
        <v/>
      </c>
      <c r="I648" s="6373"/>
      <c r="J648" s="6363" t="str">
        <f t="shared" si="247"/>
        <v/>
      </c>
      <c r="K648" s="6364" t="str">
        <f>IF(J648="","",LEFT(J648,IF(LEN(J648)&lt;=I641,LEN(J648),IFERROR(FIND("§",SUBSTITUTE(LEFT(J648,I641+1)," ","§",LEN(LEFT(J648,I641+1))-LEN(SUBSTITUTE(LEFT(J648,I641+1)," ",""))))-1,IFERROR(FIND(" ",J648,I641+1)-1,LEN(J648))))))</f>
        <v/>
      </c>
      <c r="L648" s="6327"/>
      <c r="M648" s="6329"/>
      <c r="N648" t="s">
        <v>21</v>
      </c>
      <c r="AV648" s="103"/>
      <c r="AW648" s="31"/>
      <c r="AX648" s="32"/>
      <c r="AY648" s="31"/>
      <c r="AZ648" s="33"/>
      <c r="BA648" s="1967"/>
      <c r="BB648" s="1805"/>
      <c r="BC648" s="91"/>
      <c r="BD648" s="1806"/>
      <c r="BE648" s="6401"/>
      <c r="BF648" s="6402"/>
      <c r="BG648" s="1969"/>
      <c r="BH648" s="6403"/>
      <c r="BI648" s="95"/>
      <c r="BJ648" s="1326"/>
      <c r="BK648" s="6404"/>
      <c r="BL648" s="1737"/>
      <c r="BM648" s="2081"/>
      <c r="BN648" s="2238"/>
      <c r="BO648" s="1809"/>
      <c r="BR648" s="3">
        <v>1</v>
      </c>
    </row>
    <row r="649" spans="2:70" ht="21" customHeight="1">
      <c r="B649" s="6236"/>
      <c r="C649" s="6358">
        <f t="shared" si="243"/>
        <v>150</v>
      </c>
      <c r="D649" s="6359" t="str" cm="1">
        <f t="array" ref="D649">IF(MOD(ROW()-50,14)=0,INDEX(D638:D651,MOD(ROW()-50,14)+1),E647)</f>
        <v/>
      </c>
      <c r="E649" s="6360" t="str">
        <f t="shared" si="244"/>
        <v/>
      </c>
      <c r="F649" s="6361" t="str">
        <f t="shared" si="245"/>
        <v/>
      </c>
      <c r="G649" s="6318"/>
      <c r="H649" s="6323" t="str">
        <f t="shared" si="246"/>
        <v/>
      </c>
      <c r="I649" s="6373"/>
      <c r="J649" s="6363" t="str">
        <f t="shared" si="247"/>
        <v/>
      </c>
      <c r="K649" s="6364" t="str">
        <f>IF(J649="","",LEFT(J649,IF(LEN(J649)&lt;=I641,LEN(J649),IFERROR(FIND("§",SUBSTITUTE(LEFT(J649,I641+1)," ","§",LEN(LEFT(J649,I641+1))-LEN(SUBSTITUTE(LEFT(J649,I641+1)," ",""))))-1,IFERROR(FIND(" ",J649,I641+1)-1,LEN(J649))))))</f>
        <v/>
      </c>
      <c r="L649" s="6327"/>
      <c r="M649" s="6329"/>
      <c r="N649" t="s">
        <v>21</v>
      </c>
      <c r="AV649" s="103"/>
      <c r="AW649" s="31"/>
      <c r="AX649" s="32"/>
      <c r="AY649" s="31"/>
      <c r="AZ649" s="33"/>
      <c r="BA649" s="1967"/>
      <c r="BB649" s="1805"/>
      <c r="BC649" s="91"/>
      <c r="BD649" s="1806"/>
      <c r="BE649" s="6401"/>
      <c r="BF649" s="6402"/>
      <c r="BG649" s="1969"/>
      <c r="BH649" s="6403"/>
      <c r="BI649" s="95"/>
      <c r="BJ649" s="1326"/>
      <c r="BK649" s="6404"/>
      <c r="BL649" s="1737"/>
      <c r="BM649" s="2081"/>
      <c r="BN649" s="2238"/>
      <c r="BO649" s="1809"/>
      <c r="BR649" s="3">
        <v>1</v>
      </c>
    </row>
    <row r="650" spans="2:70" ht="21" customHeight="1">
      <c r="B650" s="6236"/>
      <c r="C650" s="6358">
        <f t="shared" si="243"/>
        <v>150</v>
      </c>
      <c r="D650" s="6359" t="str" cm="1">
        <f t="array" ref="D650">IF(MOD(ROW()-50,14)=0,INDEX(D638:D651,MOD(ROW()-50,14)+1),E648)</f>
        <v/>
      </c>
      <c r="E650" s="6360" t="str">
        <f t="shared" si="244"/>
        <v/>
      </c>
      <c r="F650" s="6361" t="str">
        <f t="shared" si="245"/>
        <v/>
      </c>
      <c r="G650" s="6318"/>
      <c r="H650" s="6323" t="str">
        <f t="shared" si="246"/>
        <v/>
      </c>
      <c r="I650" s="6373"/>
      <c r="J650" s="6363" t="str">
        <f t="shared" si="247"/>
        <v/>
      </c>
      <c r="K650" s="6364" t="str">
        <f>IF(J650="","",LEFT(J650,IF(LEN(J650)&lt;=I641,LEN(J650),IFERROR(FIND("§",SUBSTITUTE(LEFT(J650,I641+1)," ","§",LEN(LEFT(J650,I641+1))-LEN(SUBSTITUTE(LEFT(J650,I641+1)," ",""))))-1,IFERROR(FIND(" ",J650,I641+1)-1,LEN(J650))))))</f>
        <v/>
      </c>
      <c r="L650" s="6364"/>
      <c r="M650" s="6329"/>
      <c r="N650" t="s">
        <v>21</v>
      </c>
      <c r="AV650" s="103"/>
      <c r="AW650" s="31"/>
      <c r="AX650" s="32"/>
      <c r="AY650" s="31"/>
      <c r="AZ650" s="33"/>
      <c r="BA650" s="1967"/>
      <c r="BB650" s="1805"/>
      <c r="BC650" s="91"/>
      <c r="BD650" s="1806"/>
      <c r="BE650" s="6401"/>
      <c r="BF650" s="6402"/>
      <c r="BG650" s="1969"/>
      <c r="BH650" s="6403"/>
      <c r="BI650" s="95"/>
      <c r="BJ650" s="1326"/>
      <c r="BK650" s="6404"/>
      <c r="BL650" s="1737"/>
      <c r="BM650" s="2081"/>
      <c r="BN650" s="2238"/>
      <c r="BO650" s="1809"/>
      <c r="BR650" s="3">
        <v>1</v>
      </c>
    </row>
    <row r="651" spans="2:70" ht="21" customHeight="1">
      <c r="B651" s="6236"/>
      <c r="C651" s="6376">
        <f t="shared" si="243"/>
        <v>150</v>
      </c>
      <c r="D651" s="6414" t="str" cm="1">
        <f t="array" ref="D651">IF(MOD(ROW()-50,14)=0,INDEX(D638:D651,MOD(ROW()-50,14)+1),E649)</f>
        <v/>
      </c>
      <c r="E651" s="6377" t="str">
        <f t="shared" si="244"/>
        <v/>
      </c>
      <c r="F651" s="6378" t="str">
        <f t="shared" si="245"/>
        <v/>
      </c>
      <c r="G651" s="6319"/>
      <c r="H651" s="6323" t="str">
        <f t="shared" si="246"/>
        <v/>
      </c>
      <c r="I651" s="6379"/>
      <c r="J651" s="6380" t="str">
        <f t="shared" si="247"/>
        <v/>
      </c>
      <c r="K651" s="6381" t="str">
        <f>IF(J651="","",LEFT(J651,IF(LEN(J651)&lt;=I641,LEN(J651),IFERROR(FIND("§",SUBSTITUTE(LEFT(J651,I641+1)," ","§",LEN(LEFT(J651,I641+1))-LEN(SUBSTITUTE(LEFT(J651,I641+1)," ",""))))-1,IFERROR(FIND(" ",J651,I641+1)-1,LEN(J651))))))</f>
        <v/>
      </c>
      <c r="L651" s="6382"/>
      <c r="M651" s="6330"/>
      <c r="N651" t="s">
        <v>21</v>
      </c>
      <c r="AV651" s="103"/>
      <c r="AW651" s="31"/>
      <c r="AX651" s="32"/>
      <c r="AY651" s="31"/>
      <c r="AZ651" s="33"/>
      <c r="BA651" s="1967"/>
      <c r="BB651" s="1805"/>
      <c r="BC651" s="91"/>
      <c r="BD651" s="1806"/>
      <c r="BE651" s="6401"/>
      <c r="BF651" s="6402"/>
      <c r="BG651" s="1969"/>
      <c r="BH651" s="6403"/>
      <c r="BI651" s="95"/>
      <c r="BJ651" s="1326"/>
      <c r="BK651" s="6404"/>
      <c r="BL651" s="1737"/>
      <c r="BM651" s="2081"/>
      <c r="BN651" s="2238"/>
      <c r="BO651" s="1809"/>
      <c r="BR651" s="3">
        <v>1</v>
      </c>
    </row>
    <row r="652" spans="2:70" ht="21" customHeight="1">
      <c r="B652" s="6236"/>
      <c r="C652" s="6313">
        <f>AD93</f>
        <v>150</v>
      </c>
      <c r="D652" s="6314" t="str">
        <f>IF(UPPER(TRIM(X45))="X",U93,O93)</f>
        <v>44.TEST LIGNE 19 colonne Q et ligne 20 colonne P. rechercher la cellule qui coupe le texte Dans la cocotte N°3 en fonte, faites chauffer l’huile d’olive à feu moyen. Ajoutez la viande et faites-la dorer de tous les côtés. Retirez-la de la cocotte et réservez-la.</v>
      </c>
      <c r="E652" s="6383" t="str">
        <f>IF(D652="","",IF(F652="","",IF(LEN(F652)&gt;=LEN(D652),"",TRIM(MID(D652,LEN(F652)+1,99999)))))</f>
        <v>d’olive à feu moyen. Ajoutez la viande et faites-la dorer de tous les côtés. Retirez-la de la cocotte et réservez-la.</v>
      </c>
      <c r="F652" s="6384" t="str">
        <f>IF(D652="","",IF(LEN(D652)&lt;=C652,D652,IFERROR(LEFT(D652,FIND("§",SUBSTITUTE(LEFT(D652,C652+1)," ","§",LEN(LEFT(D652,C652+1))-LEN(SUBSTITUTE(LEFT(D652,C652+1)," ",""))))-1),LEFT(D652,C652))))</f>
        <v>44.TEST LIGNE 19 colonne Q et ligne 20 colonne P. rechercher la cellule qui coupe le texte Dans la cocotte N°3 en fonte, faites chauffer l’huile</v>
      </c>
      <c r="G652" s="6320"/>
      <c r="H652" s="6385">
        <f>IF(LEN(TRIM(L652))&gt;0,MAX(H651:H651)+1,"")</f>
        <v>1</v>
      </c>
      <c r="I652" s="6324" t="str">
        <f>D652</f>
        <v>44.TEST LIGNE 19 colonne Q et ligne 20 colonne P. rechercher la cellule qui coupe le texte Dans la cocotte N°3 en fonte, faites chauffer l’huile d’olive à feu moyen. Ajoutez la viande et faites-la dorer de tous les côtés. Retirez-la de la cocotte et réservez-la.</v>
      </c>
      <c r="J652" s="6386" t="str">
        <f>IF(I652=0,"",I652)</f>
        <v>44.TEST LIGNE 19 colonne Q et ligne 20 colonne P. rechercher la cellule qui coupe le texte Dans la cocotte N°3 en fonte, faites chauffer l’huile d’olive à feu moyen. Ajoutez la viande et faites-la dorer de tous les côtés. Retirez-la de la cocotte et réservez-la.</v>
      </c>
      <c r="K652" s="6387" t="str">
        <f>IF(I652="","",LEFT(I652,IF(LEN(I652)&lt;=I655,LEN(I652),IFERROR(FIND("§",SUBSTITUTE(LEFT(I652,I655+1)," ","§",LEN(LEFT(I652,I655+1))-LEN(SUBSTITUTE(LEFT(I652,I655+1)," ",""))))-1,IFERROR(FIND(" ",I652,I655+1)-1,LEN(I652))))))</f>
        <v>44.TEST LIGNE 19 colonne Q et ligne 20 colonne P.</v>
      </c>
      <c r="L652" s="6388" t="str" cm="1">
        <f t="array" ref="L652:L657">_xlfn._xlws.FILTER(TRIM(SUBSTITUTE(SUBSTITUTE(SUBSTITUTE(SUBSTITUTE(SUBSTITUTE(CLEAN(K652:K665),CHAR(160)," "),_xlfn.UNICHAR(8239)," "),CHAR(9)," "),CHAR(10)," "),CHAR(13)," ")),TRIM(SUBSTITUTE(SUBSTITUTE(SUBSTITUTE(SUBSTITUTE(SUBSTITUTE(CLEAN(K652:K665),CHAR(160)," "),_xlfn.UNICHAR(8239)," "),CHAR(9)," "),CHAR(10)," "),CHAR(13)," "))&lt;&gt;"")</f>
        <v>44.TEST LIGNE 19 colonne Q et ligne 20 colonne P.</v>
      </c>
      <c r="M652" s="6331"/>
      <c r="N652" t="s">
        <v>21</v>
      </c>
      <c r="AV652" s="103"/>
      <c r="AW652" s="31"/>
      <c r="AX652" s="32"/>
      <c r="AY652" s="31"/>
      <c r="AZ652" s="33"/>
      <c r="BA652" s="1967"/>
      <c r="BB652" s="1805"/>
      <c r="BC652" s="91"/>
      <c r="BD652" s="1806"/>
      <c r="BE652" s="6401"/>
      <c r="BF652" s="6402"/>
      <c r="BG652" s="1969"/>
      <c r="BH652" s="6403"/>
      <c r="BI652" s="95"/>
      <c r="BJ652" s="1326"/>
      <c r="BK652" s="6404"/>
      <c r="BL652" s="1737"/>
      <c r="BM652" s="2081"/>
      <c r="BN652" s="2238"/>
      <c r="BO652" s="1809"/>
      <c r="BR652" s="3">
        <v>1</v>
      </c>
    </row>
    <row r="653" spans="2:70" ht="21" customHeight="1">
      <c r="B653" s="6236"/>
      <c r="C653" s="6358">
        <f t="shared" ref="C653:C665" si="248">C652</f>
        <v>150</v>
      </c>
      <c r="D653" s="6390" t="str" cm="1">
        <f t="array" ref="D653">IF(MOD(ROW()-50,14)=0,INDEX(D652:D665,MOD(ROW()-50,14)+1),E651)</f>
        <v/>
      </c>
      <c r="E653" s="6391" t="str">
        <f t="shared" ref="E653:E665" si="249">IF(D653="","",IF(F653="","",IF(LEN(F653)&gt;=LEN(D653),"",TRIM(MID(D653,LEN(F653)+1,99999)))))</f>
        <v/>
      </c>
      <c r="F653" s="6392" t="str">
        <f t="shared" ref="F653:F665" si="250">IF(D653="","",IF(LEN(D653)&lt;=C653,D653,IFERROR(LEFT(D653,FIND("§",SUBSTITUTE(LEFT(D653,C653+1)," ","§",LEN(LEFT(D653,C653+1))-LEN(SUBSTITUTE(LEFT(D653,C653+1)," ",""))))-1),LEFT(D653,C653))))</f>
        <v/>
      </c>
      <c r="G653" s="6321"/>
      <c r="H653" s="6393">
        <f t="shared" ref="H653:H665" si="251">IF(LEN(TRIM(L653))&gt;0,MAX(H652:H652)+1,"")</f>
        <v>2</v>
      </c>
      <c r="I653" s="6394" t="s">
        <v>14355</v>
      </c>
      <c r="J653" s="6395" t="str">
        <f>TRIM(MID(I656,LEN(K652)+1,99999))</f>
        <v>rechercher la cellule qui coupe le texte Dans la cocotte N°3 en fonte, faites chauffer l’huile d’olive à feu moyen. Ajoutez la viande et faites-la dorer de tous les côtés. Retirez-la de la cocotte et réservez-la.</v>
      </c>
      <c r="K653" s="6396" t="str">
        <f>IF(J653="","",LEFT(J653,IF(LEN(J653)&lt;=I655,LEN(J653),IFERROR(FIND("§",SUBSTITUTE(LEFT(J653,I655+1)," ","§",LEN(LEFT(J653,I655+1))-LEN(SUBSTITUTE(LEFT(J653,I655+1)," ",""))))-1,IFERROR(FIND(" ",J653,I655+1)-1,LEN(J653))))))</f>
        <v>rechercher la cellule qui coupe le texte Dans la</v>
      </c>
      <c r="L653" s="6388" t="str">
        <v>rechercher la cellule qui coupe le texte Dans la</v>
      </c>
      <c r="M653" s="6332"/>
      <c r="N653" t="s">
        <v>21</v>
      </c>
      <c r="AV653" s="103"/>
      <c r="AW653" s="31"/>
      <c r="AX653" s="32"/>
      <c r="AY653" s="31"/>
      <c r="AZ653" s="33"/>
      <c r="BA653" s="1967"/>
      <c r="BB653" s="1805"/>
      <c r="BC653" s="91"/>
      <c r="BD653" s="1806"/>
      <c r="BE653" s="6401"/>
      <c r="BF653" s="6402"/>
      <c r="BG653" s="1969"/>
      <c r="BH653" s="6403"/>
      <c r="BI653" s="95"/>
      <c r="BJ653" s="1326"/>
      <c r="BK653" s="6404"/>
      <c r="BL653" s="1737"/>
      <c r="BM653" s="2081"/>
      <c r="BN653" s="2238"/>
      <c r="BO653" s="1809"/>
      <c r="BR653" s="3">
        <v>1</v>
      </c>
    </row>
    <row r="654" spans="2:70" ht="21" customHeight="1">
      <c r="B654" s="6236"/>
      <c r="C654" s="6358">
        <f t="shared" si="248"/>
        <v>150</v>
      </c>
      <c r="D654" s="6390" t="str" cm="1">
        <f t="array" ref="D654">IF(MOD(ROW()-50,14)=0,INDEX(D652:D665,MOD(ROW()-50,14)+1),E652)</f>
        <v>d’olive à feu moyen. Ajoutez la viande et faites-la dorer de tous les côtés. Retirez-la de la cocotte et réservez-la.</v>
      </c>
      <c r="E654" s="6391" t="str">
        <f t="shared" si="249"/>
        <v/>
      </c>
      <c r="F654" s="6392" t="str">
        <f t="shared" si="250"/>
        <v>d’olive à feu moyen. Ajoutez la viande et faites-la dorer de tous les côtés. Retirez-la de la cocotte et réservez-la.</v>
      </c>
      <c r="G654" s="6321"/>
      <c r="H654" s="6393">
        <f t="shared" si="251"/>
        <v>3</v>
      </c>
      <c r="I654" s="6365">
        <f>Z93</f>
        <v>5</v>
      </c>
      <c r="J654" s="6395" t="str">
        <f t="shared" ref="J654:J665" si="252">TRIM(MID(J653,LEN(K653)+1,99999))</f>
        <v>cocotte N°3 en fonte, faites chauffer l’huile d’olive à feu moyen. Ajoutez la viande et faites-la dorer de tous les côtés. Retirez-la de la cocotte et réservez-la.</v>
      </c>
      <c r="K654" s="6396" t="str">
        <f>IF(J654="","",LEFT(J654,IF(LEN(J654)&lt;=I655,LEN(J654),IFERROR(FIND("§",SUBSTITUTE(LEFT(J654,I655+1)," ","§",LEN(LEFT(J654,I655+1))-LEN(SUBSTITUTE(LEFT(J654,I655+1)," ",""))))-1,IFERROR(FIND(" ",J654,I655+1)-1,LEN(J654))))))</f>
        <v>cocotte N°3 en fonte, faites chauffer l’huile d’olive</v>
      </c>
      <c r="L654" s="6388" t="str">
        <v>cocotte N°3 en fonte, faites chauffer l’huile d’olive</v>
      </c>
      <c r="M654" s="6332"/>
      <c r="N654" t="s">
        <v>21</v>
      </c>
      <c r="AV654" s="103"/>
      <c r="AW654" s="31"/>
      <c r="AX654" s="32"/>
      <c r="AY654" s="31"/>
      <c r="AZ654" s="33"/>
      <c r="BA654" s="1967"/>
      <c r="BB654" s="1805"/>
      <c r="BC654" s="91"/>
      <c r="BD654" s="1806"/>
      <c r="BE654" s="6401"/>
      <c r="BF654" s="6402"/>
      <c r="BG654" s="1969"/>
      <c r="BH654" s="6403"/>
      <c r="BI654" s="95"/>
      <c r="BJ654" s="1326"/>
      <c r="BK654" s="6404"/>
      <c r="BL654" s="1737"/>
      <c r="BM654" s="2081"/>
      <c r="BN654" s="2238"/>
      <c r="BO654" s="1809"/>
      <c r="BR654" s="3">
        <v>1</v>
      </c>
    </row>
    <row r="655" spans="2:70" ht="21" customHeight="1">
      <c r="B655" s="6236"/>
      <c r="C655" s="6358">
        <f t="shared" si="248"/>
        <v>150</v>
      </c>
      <c r="D655" s="6390" t="str" cm="1">
        <f t="array" ref="D655">IF(MOD(ROW()-50,14)=0,INDEX(D652:D665,MOD(ROW()-50,14)+1),E653)</f>
        <v/>
      </c>
      <c r="E655" s="6391" t="str">
        <f t="shared" si="249"/>
        <v/>
      </c>
      <c r="F655" s="6392" t="str">
        <f t="shared" si="250"/>
        <v/>
      </c>
      <c r="G655" s="6321"/>
      <c r="H655" s="6393">
        <f t="shared" si="251"/>
        <v>4</v>
      </c>
      <c r="I655" s="6398">
        <f>IF(OR(J652="",I654="",I654&lt;=0),"",ROUNDUP(LEN(J652)/I654,0))</f>
        <v>53</v>
      </c>
      <c r="J655" s="6395" t="str">
        <f t="shared" si="252"/>
        <v>à feu moyen. Ajoutez la viande et faites-la dorer de tous les côtés. Retirez-la de la cocotte et réservez-la.</v>
      </c>
      <c r="K655" s="6396" t="str">
        <f>IF(J655="","",LEFT(J655,IF(LEN(J655)&lt;=I655,LEN(J655),IFERROR(FIND("§",SUBSTITUTE(LEFT(J655,I655+1)," ","§",LEN(LEFT(J655,I655+1))-LEN(SUBSTITUTE(LEFT(J655,I655+1)," ",""))))-1,IFERROR(FIND(" ",J655,I655+1)-1,LEN(J655))))))</f>
        <v>à feu moyen. Ajoutez la viande et faites-la dorer de</v>
      </c>
      <c r="L655" s="6388" t="str">
        <v>à feu moyen. Ajoutez la viande et faites-la dorer de</v>
      </c>
      <c r="M655" s="6332"/>
      <c r="N655" t="s">
        <v>21</v>
      </c>
      <c r="AV655" s="103"/>
      <c r="AW655" s="31"/>
      <c r="AX655" s="32"/>
      <c r="AY655" s="31"/>
      <c r="AZ655" s="33"/>
      <c r="BA655" s="1967"/>
      <c r="BB655" s="1805"/>
      <c r="BC655" s="91"/>
      <c r="BD655" s="1806"/>
      <c r="BE655" s="6401"/>
      <c r="BF655" s="6402"/>
      <c r="BG655" s="1969"/>
      <c r="BH655" s="6403"/>
      <c r="BI655" s="95"/>
      <c r="BJ655" s="1326"/>
      <c r="BK655" s="6404"/>
      <c r="BL655" s="1737"/>
      <c r="BM655" s="2081"/>
      <c r="BN655" s="2238"/>
      <c r="BO655" s="1809"/>
      <c r="BR655" s="3">
        <v>1</v>
      </c>
    </row>
    <row r="656" spans="2:70" ht="21" customHeight="1">
      <c r="B656" s="6236"/>
      <c r="C656" s="6358">
        <f t="shared" si="248"/>
        <v>150</v>
      </c>
      <c r="D656" s="6390" t="str" cm="1">
        <f t="array" ref="D656">IF(MOD(ROW()-50,14)=0,INDEX(D652:D665,MOD(ROW()-50,14)+1),E654)</f>
        <v/>
      </c>
      <c r="E656" s="6391" t="str">
        <f t="shared" si="249"/>
        <v/>
      </c>
      <c r="F656" s="6392" t="str">
        <f t="shared" si="250"/>
        <v/>
      </c>
      <c r="G656" s="6321"/>
      <c r="H656" s="6393">
        <f t="shared" si="251"/>
        <v>5</v>
      </c>
      <c r="I656" s="6400" t="str">
        <f>I652</f>
        <v>44.TEST LIGNE 19 colonne Q et ligne 20 colonne P. rechercher la cellule qui coupe le texte Dans la cocotte N°3 en fonte, faites chauffer l’huile d’olive à feu moyen. Ajoutez la viande et faites-la dorer de tous les côtés. Retirez-la de la cocotte et réservez-la.</v>
      </c>
      <c r="J656" s="6395" t="str">
        <f t="shared" si="252"/>
        <v>tous les côtés. Retirez-la de la cocotte et réservez-la.</v>
      </c>
      <c r="K656" s="6396" t="str">
        <f>IF(J656="","",LEFT(J656,IF(LEN(J656)&lt;=I655,LEN(J656),IFERROR(FIND("§",SUBSTITUTE(LEFT(J656,I655+1)," ","§",LEN(LEFT(J656,I655+1))-LEN(SUBSTITUTE(LEFT(J656,I655+1)," ",""))))-1,IFERROR(FIND(" ",J656,I655+1)-1,LEN(J656))))))</f>
        <v>tous les côtés. Retirez-la de la cocotte et</v>
      </c>
      <c r="L656" s="6388" t="str">
        <v>tous les côtés. Retirez-la de la cocotte et</v>
      </c>
      <c r="M656" s="6332"/>
      <c r="N656" t="s">
        <v>21</v>
      </c>
      <c r="AV656" s="103"/>
      <c r="AW656" s="31"/>
      <c r="AX656" s="32"/>
      <c r="AY656" s="31"/>
      <c r="AZ656" s="33"/>
      <c r="BA656" s="1967"/>
      <c r="BB656" s="1805"/>
      <c r="BC656" s="91"/>
      <c r="BD656" s="1806"/>
      <c r="BE656" s="6401"/>
      <c r="BF656" s="6402"/>
      <c r="BG656" s="1969"/>
      <c r="BH656" s="6403"/>
      <c r="BI656" s="95"/>
      <c r="BJ656" s="1326"/>
      <c r="BK656" s="6404"/>
      <c r="BL656" s="1737"/>
      <c r="BM656" s="2081"/>
      <c r="BN656" s="2238"/>
      <c r="BO656" s="1809"/>
      <c r="BR656" s="3">
        <v>1</v>
      </c>
    </row>
    <row r="657" spans="2:70" ht="21" customHeight="1">
      <c r="B657" s="6236"/>
      <c r="C657" s="6358">
        <f t="shared" si="248"/>
        <v>150</v>
      </c>
      <c r="D657" s="6390" t="str" cm="1">
        <f t="array" ref="D657">IF(MOD(ROW()-50,14)=0,INDEX(D652:D665,MOD(ROW()-50,14)+1),E655)</f>
        <v/>
      </c>
      <c r="E657" s="6391" t="str">
        <f t="shared" si="249"/>
        <v/>
      </c>
      <c r="F657" s="6392" t="str">
        <f t="shared" si="250"/>
        <v/>
      </c>
      <c r="G657" s="6321"/>
      <c r="H657" s="6393">
        <f t="shared" si="251"/>
        <v>6</v>
      </c>
      <c r="I657" s="6405"/>
      <c r="J657" s="6395" t="str">
        <f t="shared" si="252"/>
        <v>réservez-la.</v>
      </c>
      <c r="K657" s="6396" t="str">
        <f>IF(J657="","",LEFT(J657,IF(LEN(J657)&lt;=I655,LEN(J657),IFERROR(FIND("§",SUBSTITUTE(LEFT(J657,I655+1)," ","§",LEN(LEFT(J657,I655+1))-LEN(SUBSTITUTE(LEFT(J657,I655+1)," ",""))))-1,IFERROR(FIND(" ",J657,I655+1)-1,LEN(J657))))))</f>
        <v>réservez-la.</v>
      </c>
      <c r="L657" s="6388" t="str">
        <v>réservez-la.</v>
      </c>
      <c r="M657" s="6332"/>
      <c r="N657" t="s">
        <v>21</v>
      </c>
      <c r="AV657" s="103"/>
      <c r="AW657" s="31"/>
      <c r="AX657" s="32"/>
      <c r="AY657" s="31"/>
      <c r="AZ657" s="33"/>
      <c r="BA657" s="1967"/>
      <c r="BB657" s="1805"/>
      <c r="BC657" s="91"/>
      <c r="BD657" s="1806"/>
      <c r="BE657" s="6401"/>
      <c r="BF657" s="6402"/>
      <c r="BG657" s="1969"/>
      <c r="BH657" s="6403"/>
      <c r="BI657" s="95"/>
      <c r="BJ657" s="1326"/>
      <c r="BK657" s="6404"/>
      <c r="BL657" s="1737"/>
      <c r="BM657" s="2081"/>
      <c r="BN657" s="2238"/>
      <c r="BO657" s="1809"/>
      <c r="BR657" s="3">
        <v>1</v>
      </c>
    </row>
    <row r="658" spans="2:70" ht="21" customHeight="1">
      <c r="B658" s="6236"/>
      <c r="C658" s="6358">
        <f t="shared" si="248"/>
        <v>150</v>
      </c>
      <c r="D658" s="6390" t="str" cm="1">
        <f t="array" ref="D658">IF(MOD(ROW()-50,14)=0,INDEX(D652:D665,MOD(ROW()-50,14)+1),E656)</f>
        <v/>
      </c>
      <c r="E658" s="6391" t="str">
        <f t="shared" si="249"/>
        <v/>
      </c>
      <c r="F658" s="6392" t="str">
        <f t="shared" si="250"/>
        <v/>
      </c>
      <c r="G658" s="6321"/>
      <c r="H658" s="6393" t="str">
        <f t="shared" si="251"/>
        <v/>
      </c>
      <c r="I658" s="6405"/>
      <c r="J658" s="6395" t="str">
        <f t="shared" si="252"/>
        <v/>
      </c>
      <c r="K658" s="6396" t="str">
        <f>IF(J658="","",LEFT(J658,IF(LEN(J658)&lt;=I655,LEN(J658),IFERROR(FIND("§",SUBSTITUTE(LEFT(J658,I655+1)," ","§",LEN(LEFT(J658,I655+1))-LEN(SUBSTITUTE(LEFT(J658,I655+1)," ",""))))-1,IFERROR(FIND(" ",J658,I655+1)-1,LEN(J658))))))</f>
        <v/>
      </c>
      <c r="L658" s="6388"/>
      <c r="M658" s="6332"/>
      <c r="N658" t="s">
        <v>21</v>
      </c>
      <c r="AV658" s="103"/>
      <c r="AW658" s="31"/>
      <c r="AX658" s="32"/>
      <c r="AY658" s="31"/>
      <c r="AZ658" s="33"/>
      <c r="BA658" s="1967"/>
      <c r="BB658" s="1805"/>
      <c r="BC658" s="91"/>
      <c r="BD658" s="1806"/>
      <c r="BE658" s="6401"/>
      <c r="BF658" s="6402"/>
      <c r="BG658" s="1969"/>
      <c r="BH658" s="6403"/>
      <c r="BI658" s="95"/>
      <c r="BJ658" s="1326"/>
      <c r="BK658" s="6404"/>
      <c r="BL658" s="1737"/>
      <c r="BM658" s="2081"/>
      <c r="BN658" s="2238"/>
      <c r="BO658" s="1809"/>
      <c r="BR658" s="3">
        <v>1</v>
      </c>
    </row>
    <row r="659" spans="2:70" ht="21" customHeight="1">
      <c r="B659" s="6236"/>
      <c r="C659" s="6358">
        <f t="shared" si="248"/>
        <v>150</v>
      </c>
      <c r="D659" s="6390" t="str" cm="1">
        <f t="array" ref="D659">IF(MOD(ROW()-50,14)=0,INDEX(D652:D665,MOD(ROW()-50,14)+1),E657)</f>
        <v/>
      </c>
      <c r="E659" s="6391" t="str">
        <f t="shared" si="249"/>
        <v/>
      </c>
      <c r="F659" s="6392" t="str">
        <f t="shared" si="250"/>
        <v/>
      </c>
      <c r="G659" s="6321"/>
      <c r="H659" s="6393" t="str">
        <f t="shared" si="251"/>
        <v/>
      </c>
      <c r="I659" s="6405"/>
      <c r="J659" s="6395" t="str">
        <f t="shared" si="252"/>
        <v/>
      </c>
      <c r="K659" s="6396" t="str">
        <f>IF(J659="","",LEFT(J659,IF(LEN(J659)&lt;=I655,LEN(J659),IFERROR(FIND("§",SUBSTITUTE(LEFT(J659,I655+1)," ","§",LEN(LEFT(J659,I655+1))-LEN(SUBSTITUTE(LEFT(J659,I655+1)," ",""))))-1,IFERROR(FIND(" ",J659,I655+1)-1,LEN(J659))))))</f>
        <v/>
      </c>
      <c r="L659" s="6388"/>
      <c r="M659" s="6332"/>
      <c r="N659" t="s">
        <v>21</v>
      </c>
      <c r="AV659" s="103"/>
      <c r="AW659" s="31"/>
      <c r="AX659" s="32"/>
      <c r="AY659" s="31"/>
      <c r="AZ659" s="33"/>
      <c r="BA659" s="1967"/>
      <c r="BB659" s="1805"/>
      <c r="BC659" s="91"/>
      <c r="BD659" s="1806"/>
      <c r="BE659" s="6401"/>
      <c r="BF659" s="6402"/>
      <c r="BG659" s="1969"/>
      <c r="BH659" s="6403"/>
      <c r="BI659" s="95"/>
      <c r="BJ659" s="1326"/>
      <c r="BK659" s="6404"/>
      <c r="BL659" s="1737"/>
      <c r="BM659" s="2081"/>
      <c r="BN659" s="2238"/>
      <c r="BO659" s="1809"/>
      <c r="BR659" s="3">
        <v>1</v>
      </c>
    </row>
    <row r="660" spans="2:70" ht="21" customHeight="1">
      <c r="B660" s="6236"/>
      <c r="C660" s="6358">
        <f t="shared" si="248"/>
        <v>150</v>
      </c>
      <c r="D660" s="6390" t="str" cm="1">
        <f t="array" ref="D660">IF(MOD(ROW()-50,14)=0,INDEX(D652:D665,MOD(ROW()-50,14)+1),E658)</f>
        <v/>
      </c>
      <c r="E660" s="6391" t="str">
        <f t="shared" si="249"/>
        <v/>
      </c>
      <c r="F660" s="6392" t="str">
        <f t="shared" si="250"/>
        <v/>
      </c>
      <c r="G660" s="6321"/>
      <c r="H660" s="6393" t="str">
        <f t="shared" si="251"/>
        <v/>
      </c>
      <c r="I660" s="6405"/>
      <c r="J660" s="6395" t="str">
        <f t="shared" si="252"/>
        <v/>
      </c>
      <c r="K660" s="6396" t="str">
        <f>IF(J660="","",LEFT(J660,IF(LEN(J660)&lt;=I655,LEN(J660),IFERROR(FIND("§",SUBSTITUTE(LEFT(J660,I655+1)," ","§",LEN(LEFT(J660,I655+1))-LEN(SUBSTITUTE(LEFT(J660,I655+1)," ",""))))-1,IFERROR(FIND(" ",J660,I655+1)-1,LEN(J660))))))</f>
        <v/>
      </c>
      <c r="L660" s="6388"/>
      <c r="M660" s="6332"/>
      <c r="N660" t="s">
        <v>21</v>
      </c>
      <c r="AV660" s="103"/>
      <c r="AW660" s="31"/>
      <c r="AX660" s="32"/>
      <c r="AY660" s="31"/>
      <c r="AZ660" s="33"/>
      <c r="BA660" s="1967"/>
      <c r="BB660" s="1805"/>
      <c r="BC660" s="91"/>
      <c r="BD660" s="1806"/>
      <c r="BE660" s="6401"/>
      <c r="BF660" s="6402"/>
      <c r="BG660" s="1969"/>
      <c r="BH660" s="6403"/>
      <c r="BI660" s="95"/>
      <c r="BJ660" s="1326"/>
      <c r="BK660" s="6404"/>
      <c r="BL660" s="1737"/>
      <c r="BM660" s="2081"/>
      <c r="BN660" s="2238"/>
      <c r="BO660" s="1809"/>
      <c r="BR660" s="3">
        <v>1</v>
      </c>
    </row>
    <row r="661" spans="2:70" ht="21" customHeight="1">
      <c r="B661" s="6236"/>
      <c r="C661" s="6358">
        <f t="shared" si="248"/>
        <v>150</v>
      </c>
      <c r="D661" s="6390" t="str" cm="1">
        <f t="array" ref="D661">IF(MOD(ROW()-50,14)=0,INDEX(D652:D665,MOD(ROW()-50,14)+1),E659)</f>
        <v/>
      </c>
      <c r="E661" s="6391" t="str">
        <f t="shared" si="249"/>
        <v/>
      </c>
      <c r="F661" s="6392" t="str">
        <f t="shared" si="250"/>
        <v/>
      </c>
      <c r="G661" s="6321"/>
      <c r="H661" s="6393" t="str">
        <f t="shared" si="251"/>
        <v/>
      </c>
      <c r="I661" s="6405"/>
      <c r="J661" s="6395" t="str">
        <f t="shared" si="252"/>
        <v/>
      </c>
      <c r="K661" s="6396" t="str">
        <f>IF(J661="","",LEFT(J661,IF(LEN(J661)&lt;=I655,LEN(J661),IFERROR(FIND("§",SUBSTITUTE(LEFT(J661,I655+1)," ","§",LEN(LEFT(J661,I655+1))-LEN(SUBSTITUTE(LEFT(J661,I655+1)," ",""))))-1,IFERROR(FIND(" ",J661,I655+1)-1,LEN(J661))))))</f>
        <v/>
      </c>
      <c r="L661" s="6388"/>
      <c r="M661" s="6332"/>
      <c r="N661" t="s">
        <v>21</v>
      </c>
      <c r="AV661" s="103"/>
      <c r="AW661" s="31"/>
      <c r="AX661" s="32"/>
      <c r="AY661" s="31"/>
      <c r="AZ661" s="33"/>
      <c r="BA661" s="1967"/>
      <c r="BB661" s="1805"/>
      <c r="BC661" s="91"/>
      <c r="BD661" s="1806"/>
      <c r="BE661" s="6401"/>
      <c r="BF661" s="6402"/>
      <c r="BG661" s="1969"/>
      <c r="BH661" s="6403"/>
      <c r="BI661" s="95"/>
      <c r="BJ661" s="1326"/>
      <c r="BK661" s="6404"/>
      <c r="BL661" s="1737"/>
      <c r="BM661" s="2081"/>
      <c r="BN661" s="2238"/>
      <c r="BO661" s="1809"/>
      <c r="BR661" s="3">
        <v>1</v>
      </c>
    </row>
    <row r="662" spans="2:70" ht="21" customHeight="1">
      <c r="B662" s="6236"/>
      <c r="C662" s="6358">
        <f t="shared" si="248"/>
        <v>150</v>
      </c>
      <c r="D662" s="6390" t="str" cm="1">
        <f t="array" ref="D662">IF(MOD(ROW()-50,14)=0,INDEX(D652:D665,MOD(ROW()-50,14)+1),E660)</f>
        <v/>
      </c>
      <c r="E662" s="6391" t="str">
        <f t="shared" si="249"/>
        <v/>
      </c>
      <c r="F662" s="6392" t="str">
        <f t="shared" si="250"/>
        <v/>
      </c>
      <c r="G662" s="6321"/>
      <c r="H662" s="6393" t="str">
        <f t="shared" si="251"/>
        <v/>
      </c>
      <c r="I662" s="6405"/>
      <c r="J662" s="6395" t="str">
        <f t="shared" si="252"/>
        <v/>
      </c>
      <c r="K662" s="6396" t="str">
        <f>IF(J662="","",LEFT(J662,IF(LEN(J662)&lt;=I655,LEN(J662),IFERROR(FIND("§",SUBSTITUTE(LEFT(J662,I655+1)," ","§",LEN(LEFT(J662,I655+1))-LEN(SUBSTITUTE(LEFT(J662,I655+1)," ",""))))-1,IFERROR(FIND(" ",J662,I655+1)-1,LEN(J662))))))</f>
        <v/>
      </c>
      <c r="L662" s="6388"/>
      <c r="M662" s="6332"/>
      <c r="N662" t="s">
        <v>21</v>
      </c>
      <c r="AV662" s="103"/>
      <c r="AW662" s="31"/>
      <c r="AX662" s="32"/>
      <c r="AY662" s="31"/>
      <c r="AZ662" s="33"/>
      <c r="BA662" s="1967"/>
      <c r="BB662" s="1805"/>
      <c r="BC662" s="91"/>
      <c r="BD662" s="1806"/>
      <c r="BE662" s="6401"/>
      <c r="BF662" s="6402"/>
      <c r="BG662" s="1969"/>
      <c r="BH662" s="6403"/>
      <c r="BI662" s="95"/>
      <c r="BJ662" s="1326"/>
      <c r="BK662" s="6404"/>
      <c r="BL662" s="1737"/>
      <c r="BM662" s="2081"/>
      <c r="BN662" s="2238"/>
      <c r="BO662" s="1809"/>
      <c r="BR662" s="3">
        <v>1</v>
      </c>
    </row>
    <row r="663" spans="2:70" ht="21" customHeight="1">
      <c r="B663" s="6236"/>
      <c r="C663" s="6358">
        <f t="shared" si="248"/>
        <v>150</v>
      </c>
      <c r="D663" s="6390" t="str" cm="1">
        <f t="array" ref="D663">IF(MOD(ROW()-50,14)=0,INDEX(D652:D665,MOD(ROW()-50,14)+1),E661)</f>
        <v/>
      </c>
      <c r="E663" s="6391" t="str">
        <f t="shared" si="249"/>
        <v/>
      </c>
      <c r="F663" s="6392" t="str">
        <f t="shared" si="250"/>
        <v/>
      </c>
      <c r="G663" s="6321"/>
      <c r="H663" s="6393" t="str">
        <f t="shared" si="251"/>
        <v/>
      </c>
      <c r="I663" s="6405"/>
      <c r="J663" s="6395" t="str">
        <f t="shared" si="252"/>
        <v/>
      </c>
      <c r="K663" s="6396" t="str">
        <f>IF(J663="","",LEFT(J663,IF(LEN(J663)&lt;=I655,LEN(J663),IFERROR(FIND("§",SUBSTITUTE(LEFT(J663,I655+1)," ","§",LEN(LEFT(J663,I655+1))-LEN(SUBSTITUTE(LEFT(J663,I655+1)," ",""))))-1,IFERROR(FIND(" ",J663,I655+1)-1,LEN(J663))))))</f>
        <v/>
      </c>
      <c r="L663" s="6388"/>
      <c r="M663" s="6332"/>
      <c r="N663" t="s">
        <v>21</v>
      </c>
      <c r="AV663" s="103"/>
      <c r="AW663" s="31"/>
      <c r="AX663" s="32"/>
      <c r="AY663" s="31"/>
      <c r="AZ663" s="33"/>
      <c r="BA663" s="1967"/>
      <c r="BB663" s="1805"/>
      <c r="BC663" s="91"/>
      <c r="BD663" s="1806"/>
      <c r="BE663" s="6401"/>
      <c r="BF663" s="6402"/>
      <c r="BG663" s="1969"/>
      <c r="BH663" s="6403"/>
      <c r="BI663" s="95"/>
      <c r="BJ663" s="1326"/>
      <c r="BK663" s="6404"/>
      <c r="BL663" s="1737"/>
      <c r="BM663" s="2081"/>
      <c r="BN663" s="2238"/>
      <c r="BO663" s="1809"/>
      <c r="BR663" s="3">
        <v>1</v>
      </c>
    </row>
    <row r="664" spans="2:70" ht="21" customHeight="1">
      <c r="B664" s="6236"/>
      <c r="C664" s="6358">
        <f t="shared" si="248"/>
        <v>150</v>
      </c>
      <c r="D664" s="6390" t="str" cm="1">
        <f t="array" ref="D664">IF(MOD(ROW()-50,14)=0,INDEX(D652:D665,MOD(ROW()-50,14)+1),E662)</f>
        <v/>
      </c>
      <c r="E664" s="6391" t="str">
        <f t="shared" si="249"/>
        <v/>
      </c>
      <c r="F664" s="6392" t="str">
        <f t="shared" si="250"/>
        <v/>
      </c>
      <c r="G664" s="6321"/>
      <c r="H664" s="6393" t="str">
        <f t="shared" si="251"/>
        <v/>
      </c>
      <c r="I664" s="6405"/>
      <c r="J664" s="6395" t="str">
        <f t="shared" si="252"/>
        <v/>
      </c>
      <c r="K664" s="6396" t="str">
        <f>IF(J664="","",LEFT(J664,IF(LEN(J664)&lt;=I655,LEN(J664),IFERROR(FIND("§",SUBSTITUTE(LEFT(J664,I655+1)," ","§",LEN(LEFT(J664,I655+1))-LEN(SUBSTITUTE(LEFT(J664,I655+1)," ",""))))-1,IFERROR(FIND(" ",J664,I655+1)-1,LEN(J664))))))</f>
        <v/>
      </c>
      <c r="L664" s="6396"/>
      <c r="M664" s="6332"/>
      <c r="N664" t="s">
        <v>21</v>
      </c>
      <c r="AV664" s="103"/>
      <c r="AW664" s="31"/>
      <c r="AX664" s="32"/>
      <c r="AY664" s="31"/>
      <c r="AZ664" s="33"/>
      <c r="BA664" s="1967"/>
      <c r="BB664" s="1805"/>
      <c r="BC664" s="91"/>
      <c r="BD664" s="1806"/>
      <c r="BE664" s="6401"/>
      <c r="BF664" s="6402"/>
      <c r="BG664" s="1969"/>
      <c r="BH664" s="6403"/>
      <c r="BI664" s="95"/>
      <c r="BJ664" s="1326"/>
      <c r="BK664" s="6404"/>
      <c r="BL664" s="1737"/>
      <c r="BM664" s="2081"/>
      <c r="BN664" s="2238"/>
      <c r="BO664" s="1809"/>
      <c r="BR664" s="3">
        <v>1</v>
      </c>
    </row>
    <row r="665" spans="2:70" ht="21" customHeight="1">
      <c r="B665" s="6236"/>
      <c r="C665" s="6376">
        <f t="shared" si="248"/>
        <v>150</v>
      </c>
      <c r="D665" s="6406" t="str" cm="1">
        <f t="array" ref="D665">IF(MOD(ROW()-50,14)=0,INDEX(D652:D665,MOD(ROW()-50,14)+1),E663)</f>
        <v/>
      </c>
      <c r="E665" s="6407" t="str">
        <f t="shared" si="249"/>
        <v/>
      </c>
      <c r="F665" s="6408" t="str">
        <f t="shared" si="250"/>
        <v/>
      </c>
      <c r="G665" s="6322"/>
      <c r="H665" s="6409" t="str">
        <f t="shared" si="251"/>
        <v/>
      </c>
      <c r="I665" s="6410"/>
      <c r="J665" s="6411" t="str">
        <f t="shared" si="252"/>
        <v/>
      </c>
      <c r="K665" s="6412" t="str">
        <f>IF(J665="","",LEFT(J665,IF(LEN(J665)&lt;=I655,LEN(J665),IFERROR(FIND("§",SUBSTITUTE(LEFT(J665,I655+1)," ","§",LEN(LEFT(J665,I655+1))-LEN(SUBSTITUTE(LEFT(J665,I655+1)," ",""))))-1,IFERROR(FIND(" ",J665,I655+1)-1,LEN(J665))))))</f>
        <v/>
      </c>
      <c r="L665" s="6413"/>
      <c r="M665" s="6333"/>
      <c r="N665" t="s">
        <v>21</v>
      </c>
      <c r="AV665" s="103"/>
      <c r="AW665" s="31"/>
      <c r="AX665" s="32"/>
      <c r="AY665" s="31"/>
      <c r="AZ665" s="33"/>
      <c r="BA665" s="1967"/>
      <c r="BB665" s="1805"/>
      <c r="BC665" s="91"/>
      <c r="BD665" s="1806"/>
      <c r="BE665" s="6401"/>
      <c r="BF665" s="6402"/>
      <c r="BG665" s="1969"/>
      <c r="BH665" s="6403"/>
      <c r="BI665" s="95"/>
      <c r="BJ665" s="1326"/>
      <c r="BK665" s="6404"/>
      <c r="BL665" s="1737"/>
      <c r="BM665" s="2081"/>
      <c r="BN665" s="2238"/>
      <c r="BO665" s="1809"/>
      <c r="BR665" s="3">
        <v>1</v>
      </c>
    </row>
    <row r="666" spans="2:70" ht="21" customHeight="1">
      <c r="B666" s="6236"/>
      <c r="C666" s="6313">
        <f>AD94</f>
        <v>150</v>
      </c>
      <c r="D666" s="6314" t="str">
        <f>IF(UPPER(TRIM(X45))="X",U94,O94)</f>
        <v>45.TEST LIGNE 19 colonne Q et ligne 20 colonne P. rechercher la cellule qui coupe le texte Dans la cocotte N°3 en fonte, faites chauffer l’huile d’olive à feu moyen. Ajoutez la viande et faites-la dorer de tous les côtés. Retirez-la de la cocotte et réservez-la.</v>
      </c>
      <c r="E666" s="6315" t="str">
        <f>IF(D666="","",IF(F666="","",IF(LEN(F666)&gt;=LEN(D666),"",TRIM(MID(D666,LEN(F666)+1,99999)))))</f>
        <v>d’olive à feu moyen. Ajoutez la viande et faites-la dorer de tous les côtés. Retirez-la de la cocotte et réservez-la.</v>
      </c>
      <c r="F666" s="6316" t="str">
        <f>IF(D666="","",IF(LEN(D666)&lt;=C666,D666,IFERROR(LEFT(D666,FIND("§",SUBSTITUTE(LEFT(D666,C666+1)," ","§",LEN(LEFT(D666,C666+1))-LEN(SUBSTITUTE(LEFT(D666,C666+1)," ",""))))-1),LEFT(D666,C666))))</f>
        <v>45.TEST LIGNE 19 colonne Q et ligne 20 colonne P. rechercher la cellule qui coupe le texte Dans la cocotte N°3 en fonte, faites chauffer l’huile</v>
      </c>
      <c r="G666" s="6317"/>
      <c r="H666" s="6323">
        <f>IF(LEN(TRIM(L666))&gt;0,MAX(H665:H665)+1,"")</f>
        <v>1</v>
      </c>
      <c r="I666" s="6324" t="str">
        <f>D666</f>
        <v>45.TEST LIGNE 19 colonne Q et ligne 20 colonne P. rechercher la cellule qui coupe le texte Dans la cocotte N°3 en fonte, faites chauffer l’huile d’olive à feu moyen. Ajoutez la viande et faites-la dorer de tous les côtés. Retirez-la de la cocotte et réservez-la.</v>
      </c>
      <c r="J666" s="6325" t="str">
        <f>IF(I666=0,"",I666)</f>
        <v>45.TEST LIGNE 19 colonne Q et ligne 20 colonne P. rechercher la cellule qui coupe le texte Dans la cocotte N°3 en fonte, faites chauffer l’huile d’olive à feu moyen. Ajoutez la viande et faites-la dorer de tous les côtés. Retirez-la de la cocotte et réservez-la.</v>
      </c>
      <c r="K666" s="6326" t="str">
        <f>IF(I666="","",LEFT(I666,IF(LEN(I666)&lt;=I669,LEN(I666),IFERROR(FIND("§",SUBSTITUTE(LEFT(I666,I669+1)," ","§",LEN(LEFT(I666,I669+1))-LEN(SUBSTITUTE(LEFT(I666,I669+1)," ",""))))-1,IFERROR(FIND(" ",I666,I669+1)-1,LEN(I666))))))</f>
        <v>45.TEST LIGNE 19 colonne Q et ligne 20 colonne P.</v>
      </c>
      <c r="L666" s="6326" t="str" cm="1">
        <f t="array" ref="L666:L671">_xlfn._xlws.FILTER(TRIM(SUBSTITUTE(SUBSTITUTE(SUBSTITUTE(SUBSTITUTE(SUBSTITUTE(CLEAN(K666:K679),CHAR(160)," "),_xlfn.UNICHAR(8239)," "),CHAR(9)," "),CHAR(10)," "),CHAR(13)," ")),TRIM(SUBSTITUTE(SUBSTITUTE(SUBSTITUTE(SUBSTITUTE(SUBSTITUTE(CLEAN(K666:K679),CHAR(160)," "),_xlfn.UNICHAR(8239)," "),CHAR(9)," "),CHAR(10)," "),CHAR(13)," "))&lt;&gt;"")</f>
        <v>45.TEST LIGNE 19 colonne Q et ligne 20 colonne P.</v>
      </c>
      <c r="M666" s="6328"/>
      <c r="N666" t="s">
        <v>21</v>
      </c>
      <c r="AV666" s="103"/>
      <c r="AW666" s="31"/>
      <c r="AX666" s="32"/>
      <c r="AY666" s="31"/>
      <c r="AZ666" s="33"/>
      <c r="BA666" s="1967"/>
      <c r="BB666" s="1805"/>
      <c r="BC666" s="91"/>
      <c r="BD666" s="1806"/>
      <c r="BE666" s="6401"/>
      <c r="BF666" s="6402"/>
      <c r="BG666" s="1969"/>
      <c r="BH666" s="6403"/>
      <c r="BI666" s="95"/>
      <c r="BJ666" s="1326"/>
      <c r="BK666" s="6404"/>
      <c r="BL666" s="1737"/>
      <c r="BM666" s="2081"/>
      <c r="BN666" s="2238"/>
      <c r="BO666" s="1809"/>
      <c r="BR666" s="3">
        <v>1</v>
      </c>
    </row>
    <row r="667" spans="2:70" ht="21" customHeight="1">
      <c r="B667" s="6236"/>
      <c r="C667" s="6358">
        <f t="shared" ref="C667:C679" si="253">C666</f>
        <v>150</v>
      </c>
      <c r="D667" s="6359" t="str" cm="1">
        <f t="array" ref="D667">IF(MOD(ROW()-50,14)=0,INDEX(D666:D679,MOD(ROW()-50,14)+1),E665)</f>
        <v/>
      </c>
      <c r="E667" s="6360" t="str">
        <f t="shared" ref="E667:E679" si="254">IF(D667="","",IF(F667="","",IF(LEN(F667)&gt;=LEN(D667),"",TRIM(MID(D667,LEN(F667)+1,99999)))))</f>
        <v/>
      </c>
      <c r="F667" s="6361" t="str">
        <f t="shared" ref="F667:F679" si="255">IF(D667="","",IF(LEN(D667)&lt;=C667,D667,IFERROR(LEFT(D667,FIND("§",SUBSTITUTE(LEFT(D667,C667+1)," ","§",LEN(LEFT(D667,C667+1))-LEN(SUBSTITUTE(LEFT(D667,C667+1)," ",""))))-1),LEFT(D667,C667))))</f>
        <v/>
      </c>
      <c r="G667" s="6318"/>
      <c r="H667" s="6323">
        <f t="shared" ref="H667:H679" si="256">IF(LEN(TRIM(L667))&gt;0,MAX(H666:H666)+1,"")</f>
        <v>2</v>
      </c>
      <c r="I667" s="6362" t="s">
        <v>14355</v>
      </c>
      <c r="J667" s="6363" t="str">
        <f>TRIM(MID(I670,LEN(K666)+1,99999))</f>
        <v>rechercher la cellule qui coupe le texte Dans la cocotte N°3 en fonte, faites chauffer l’huile d’olive à feu moyen. Ajoutez la viande et faites-la dorer de tous les côtés. Retirez-la de la cocotte et réservez-la.</v>
      </c>
      <c r="K667" s="6364" t="str">
        <f>IF(J667="","",LEFT(J667,IF(LEN(J667)&lt;=I669,LEN(J667),IFERROR(FIND("§",SUBSTITUTE(LEFT(J667,I669+1)," ","§",LEN(LEFT(J667,I669+1))-LEN(SUBSTITUTE(LEFT(J667,I669+1)," ",""))))-1,IFERROR(FIND(" ",J667,I669+1)-1,LEN(J667))))))</f>
        <v>rechercher la cellule qui coupe le texte Dans la</v>
      </c>
      <c r="L667" s="6327" t="str">
        <v>rechercher la cellule qui coupe le texte Dans la</v>
      </c>
      <c r="M667" s="6329"/>
      <c r="N667" t="s">
        <v>21</v>
      </c>
      <c r="AV667" s="103"/>
      <c r="AW667" s="31"/>
      <c r="AX667" s="32"/>
      <c r="AY667" s="31"/>
      <c r="AZ667" s="33"/>
      <c r="BA667" s="1967"/>
      <c r="BB667" s="1805"/>
      <c r="BC667" s="91"/>
      <c r="BD667" s="1806"/>
      <c r="BE667" s="6401"/>
      <c r="BF667" s="6402"/>
      <c r="BG667" s="1969"/>
      <c r="BH667" s="6403"/>
      <c r="BI667" s="95"/>
      <c r="BJ667" s="1326"/>
      <c r="BK667" s="6404"/>
      <c r="BL667" s="1737"/>
      <c r="BM667" s="2081"/>
      <c r="BN667" s="2238"/>
      <c r="BO667" s="1809"/>
      <c r="BR667" s="3">
        <v>1</v>
      </c>
    </row>
    <row r="668" spans="2:70" ht="21" customHeight="1">
      <c r="B668" s="6236"/>
      <c r="C668" s="6358">
        <f t="shared" si="253"/>
        <v>150</v>
      </c>
      <c r="D668" s="6359" t="str" cm="1">
        <f t="array" ref="D668">IF(MOD(ROW()-50,14)=0,INDEX(D666:D679,MOD(ROW()-50,14)+1),E666)</f>
        <v>d’olive à feu moyen. Ajoutez la viande et faites-la dorer de tous les côtés. Retirez-la de la cocotte et réservez-la.</v>
      </c>
      <c r="E668" s="6360" t="str">
        <f t="shared" si="254"/>
        <v/>
      </c>
      <c r="F668" s="6361" t="str">
        <f t="shared" si="255"/>
        <v>d’olive à feu moyen. Ajoutez la viande et faites-la dorer de tous les côtés. Retirez-la de la cocotte et réservez-la.</v>
      </c>
      <c r="G668" s="6318"/>
      <c r="H668" s="6323">
        <f t="shared" si="256"/>
        <v>3</v>
      </c>
      <c r="I668" s="6365">
        <f>Z94</f>
        <v>5</v>
      </c>
      <c r="J668" s="6363" t="str">
        <f t="shared" ref="J668:J679" si="257">TRIM(MID(J667,LEN(K667)+1,99999))</f>
        <v>cocotte N°3 en fonte, faites chauffer l’huile d’olive à feu moyen. Ajoutez la viande et faites-la dorer de tous les côtés. Retirez-la de la cocotte et réservez-la.</v>
      </c>
      <c r="K668" s="6364" t="str">
        <f>IF(J668="","",LEFT(J668,IF(LEN(J668)&lt;=I669,LEN(J668),IFERROR(FIND("§",SUBSTITUTE(LEFT(J668,I669+1)," ","§",LEN(LEFT(J668,I669+1))-LEN(SUBSTITUTE(LEFT(J668,I669+1)," ",""))))-1,IFERROR(FIND(" ",J668,I669+1)-1,LEN(J668))))))</f>
        <v>cocotte N°3 en fonte, faites chauffer l’huile d’olive</v>
      </c>
      <c r="L668" s="6327" t="str">
        <v>cocotte N°3 en fonte, faites chauffer l’huile d’olive</v>
      </c>
      <c r="M668" s="6329"/>
      <c r="N668" t="s">
        <v>21</v>
      </c>
      <c r="AV668" s="103"/>
      <c r="AW668" s="31"/>
      <c r="AX668" s="32"/>
      <c r="AY668" s="31"/>
      <c r="AZ668" s="33"/>
      <c r="BA668" s="1967"/>
      <c r="BB668" s="1805"/>
      <c r="BC668" s="91"/>
      <c r="BD668" s="1806"/>
      <c r="BE668" s="6401"/>
      <c r="BF668" s="6402"/>
      <c r="BG668" s="1969"/>
      <c r="BH668" s="6403"/>
      <c r="BI668" s="95"/>
      <c r="BJ668" s="1326"/>
      <c r="BK668" s="6404"/>
      <c r="BL668" s="1737"/>
      <c r="BM668" s="2081"/>
      <c r="BN668" s="2238"/>
      <c r="BO668" s="1809"/>
      <c r="BR668" s="3">
        <v>1</v>
      </c>
    </row>
    <row r="669" spans="2:70" ht="21" customHeight="1">
      <c r="B669" s="6236"/>
      <c r="C669" s="6358">
        <f t="shared" si="253"/>
        <v>150</v>
      </c>
      <c r="D669" s="6359" t="str" cm="1">
        <f t="array" ref="D669">IF(MOD(ROW()-50,14)=0,INDEX(D666:D679,MOD(ROW()-50,14)+1),E667)</f>
        <v/>
      </c>
      <c r="E669" s="6360" t="str">
        <f t="shared" si="254"/>
        <v/>
      </c>
      <c r="F669" s="6361" t="str">
        <f t="shared" si="255"/>
        <v/>
      </c>
      <c r="G669" s="6318"/>
      <c r="H669" s="6323">
        <f t="shared" si="256"/>
        <v>4</v>
      </c>
      <c r="I669" s="6370">
        <f>IF(OR(J666="",I668="",I668&lt;=0),"",ROUNDUP(LEN(J666)/I668,0))</f>
        <v>53</v>
      </c>
      <c r="J669" s="6363" t="str">
        <f t="shared" si="257"/>
        <v>à feu moyen. Ajoutez la viande et faites-la dorer de tous les côtés. Retirez-la de la cocotte et réservez-la.</v>
      </c>
      <c r="K669" s="6364" t="str">
        <f>IF(J669="","",LEFT(J669,IF(LEN(J669)&lt;=I669,LEN(J669),IFERROR(FIND("§",SUBSTITUTE(LEFT(J669,I669+1)," ","§",LEN(LEFT(J669,I669+1))-LEN(SUBSTITUTE(LEFT(J669,I669+1)," ",""))))-1,IFERROR(FIND(" ",J669,I669+1)-1,LEN(J669))))))</f>
        <v>à feu moyen. Ajoutez la viande et faites-la dorer de</v>
      </c>
      <c r="L669" s="6327" t="str">
        <v>à feu moyen. Ajoutez la viande et faites-la dorer de</v>
      </c>
      <c r="M669" s="6329"/>
      <c r="N669" t="s">
        <v>21</v>
      </c>
      <c r="AV669" s="103"/>
      <c r="AW669" s="31"/>
      <c r="AX669" s="32"/>
      <c r="AY669" s="31"/>
      <c r="AZ669" s="33"/>
      <c r="BA669" s="1967"/>
      <c r="BB669" s="1805"/>
      <c r="BC669" s="91"/>
      <c r="BD669" s="1806"/>
      <c r="BE669" s="6401"/>
      <c r="BF669" s="6402"/>
      <c r="BG669" s="1969"/>
      <c r="BH669" s="6403"/>
      <c r="BI669" s="95"/>
      <c r="BJ669" s="1326"/>
      <c r="BK669" s="6404"/>
      <c r="BL669" s="1737"/>
      <c r="BM669" s="2081"/>
      <c r="BN669" s="2238"/>
      <c r="BO669" s="1809"/>
      <c r="BR669" s="3">
        <v>1</v>
      </c>
    </row>
    <row r="670" spans="2:70" ht="21" customHeight="1">
      <c r="B670" s="6236"/>
      <c r="C670" s="6358">
        <f t="shared" si="253"/>
        <v>150</v>
      </c>
      <c r="D670" s="6359" t="str" cm="1">
        <f t="array" ref="D670">IF(MOD(ROW()-50,14)=0,INDEX(D666:D679,MOD(ROW()-50,14)+1),E668)</f>
        <v/>
      </c>
      <c r="E670" s="6360" t="str">
        <f t="shared" si="254"/>
        <v/>
      </c>
      <c r="F670" s="6361" t="str">
        <f t="shared" si="255"/>
        <v/>
      </c>
      <c r="G670" s="6318"/>
      <c r="H670" s="6323">
        <f t="shared" si="256"/>
        <v>5</v>
      </c>
      <c r="I670" s="6372" t="str">
        <f>I666</f>
        <v>45.TEST LIGNE 19 colonne Q et ligne 20 colonne P. rechercher la cellule qui coupe le texte Dans la cocotte N°3 en fonte, faites chauffer l’huile d’olive à feu moyen. Ajoutez la viande et faites-la dorer de tous les côtés. Retirez-la de la cocotte et réservez-la.</v>
      </c>
      <c r="J670" s="6363" t="str">
        <f t="shared" si="257"/>
        <v>tous les côtés. Retirez-la de la cocotte et réservez-la.</v>
      </c>
      <c r="K670" s="6364" t="str">
        <f>IF(J670="","",LEFT(J670,IF(LEN(J670)&lt;=I669,LEN(J670),IFERROR(FIND("§",SUBSTITUTE(LEFT(J670,I669+1)," ","§",LEN(LEFT(J670,I669+1))-LEN(SUBSTITUTE(LEFT(J670,I669+1)," ",""))))-1,IFERROR(FIND(" ",J670,I669+1)-1,LEN(J670))))))</f>
        <v>tous les côtés. Retirez-la de la cocotte et</v>
      </c>
      <c r="L670" s="6327" t="str">
        <v>tous les côtés. Retirez-la de la cocotte et</v>
      </c>
      <c r="M670" s="6329"/>
      <c r="N670" t="s">
        <v>21</v>
      </c>
      <c r="AV670" s="103"/>
      <c r="AW670" s="31"/>
      <c r="AX670" s="32"/>
      <c r="AY670" s="31"/>
      <c r="AZ670" s="33"/>
      <c r="BA670" s="1967"/>
      <c r="BB670" s="1805"/>
      <c r="BC670" s="91"/>
      <c r="BD670" s="1806"/>
      <c r="BE670" s="6401"/>
      <c r="BF670" s="6402"/>
      <c r="BG670" s="1969"/>
      <c r="BH670" s="6403"/>
      <c r="BI670" s="95"/>
      <c r="BJ670" s="1326"/>
      <c r="BK670" s="6404"/>
      <c r="BL670" s="1737"/>
      <c r="BM670" s="2081"/>
      <c r="BN670" s="2238"/>
      <c r="BO670" s="1809"/>
      <c r="BR670" s="3">
        <v>1</v>
      </c>
    </row>
    <row r="671" spans="2:70" ht="21" customHeight="1">
      <c r="B671" s="6236"/>
      <c r="C671" s="6358">
        <f t="shared" si="253"/>
        <v>150</v>
      </c>
      <c r="D671" s="6359" t="str" cm="1">
        <f t="array" ref="D671">IF(MOD(ROW()-50,14)=0,INDEX(D666:D679,MOD(ROW()-50,14)+1),E669)</f>
        <v/>
      </c>
      <c r="E671" s="6360" t="str">
        <f t="shared" si="254"/>
        <v/>
      </c>
      <c r="F671" s="6361" t="str">
        <f t="shared" si="255"/>
        <v/>
      </c>
      <c r="G671" s="6318"/>
      <c r="H671" s="6323">
        <f t="shared" si="256"/>
        <v>6</v>
      </c>
      <c r="I671" s="6373"/>
      <c r="J671" s="6363" t="str">
        <f t="shared" si="257"/>
        <v>réservez-la.</v>
      </c>
      <c r="K671" s="6364" t="str">
        <f>IF(J671="","",LEFT(J671,IF(LEN(J671)&lt;=I669,LEN(J671),IFERROR(FIND("§",SUBSTITUTE(LEFT(J671,I669+1)," ","§",LEN(LEFT(J671,I669+1))-LEN(SUBSTITUTE(LEFT(J671,I669+1)," ",""))))-1,IFERROR(FIND(" ",J671,I669+1)-1,LEN(J671))))))</f>
        <v>réservez-la.</v>
      </c>
      <c r="L671" s="6327" t="str">
        <v>réservez-la.</v>
      </c>
      <c r="M671" s="6329"/>
      <c r="N671" t="s">
        <v>21</v>
      </c>
      <c r="AV671" s="103"/>
      <c r="AW671" s="31"/>
      <c r="AX671" s="32"/>
      <c r="AY671" s="31"/>
      <c r="AZ671" s="33"/>
      <c r="BA671" s="1967"/>
      <c r="BB671" s="1805"/>
      <c r="BC671" s="91"/>
      <c r="BD671" s="1806"/>
      <c r="BE671" s="6401"/>
      <c r="BF671" s="6402"/>
      <c r="BG671" s="1969"/>
      <c r="BH671" s="6403"/>
      <c r="BI671" s="95"/>
      <c r="BJ671" s="1326"/>
      <c r="BK671" s="6404"/>
      <c r="BL671" s="1737"/>
      <c r="BM671" s="2081"/>
      <c r="BN671" s="2238"/>
      <c r="BO671" s="1809"/>
      <c r="BR671" s="3">
        <v>1</v>
      </c>
    </row>
    <row r="672" spans="2:70" ht="21" customHeight="1">
      <c r="B672" s="6236"/>
      <c r="C672" s="6358">
        <f t="shared" si="253"/>
        <v>150</v>
      </c>
      <c r="D672" s="6359" t="str" cm="1">
        <f t="array" ref="D672">IF(MOD(ROW()-50,14)=0,INDEX(D666:D679,MOD(ROW()-50,14)+1),E670)</f>
        <v/>
      </c>
      <c r="E672" s="6360" t="str">
        <f t="shared" si="254"/>
        <v/>
      </c>
      <c r="F672" s="6361" t="str">
        <f t="shared" si="255"/>
        <v/>
      </c>
      <c r="G672" s="6318"/>
      <c r="H672" s="6323" t="str">
        <f t="shared" si="256"/>
        <v/>
      </c>
      <c r="I672" s="6373"/>
      <c r="J672" s="6363" t="str">
        <f t="shared" si="257"/>
        <v/>
      </c>
      <c r="K672" s="6364" t="str">
        <f>IF(J672="","",LEFT(J672,IF(LEN(J672)&lt;=I669,LEN(J672),IFERROR(FIND("§",SUBSTITUTE(LEFT(J672,I669+1)," ","§",LEN(LEFT(J672,I669+1))-LEN(SUBSTITUTE(LEFT(J672,I669+1)," ",""))))-1,IFERROR(FIND(" ",J672,I669+1)-1,LEN(J672))))))</f>
        <v/>
      </c>
      <c r="L672" s="6327"/>
      <c r="M672" s="6329"/>
      <c r="N672" t="s">
        <v>21</v>
      </c>
      <c r="AV672" s="103"/>
      <c r="AW672" s="31"/>
      <c r="AX672" s="32"/>
      <c r="AY672" s="31"/>
      <c r="AZ672" s="33"/>
      <c r="BA672" s="1967"/>
      <c r="BB672" s="1805"/>
      <c r="BC672" s="91"/>
      <c r="BD672" s="1806"/>
      <c r="BE672" s="6401"/>
      <c r="BF672" s="6402"/>
      <c r="BG672" s="1969"/>
      <c r="BH672" s="6403"/>
      <c r="BI672" s="95"/>
      <c r="BJ672" s="1326"/>
      <c r="BK672" s="6404"/>
      <c r="BL672" s="1737"/>
      <c r="BM672" s="2081"/>
      <c r="BN672" s="2238"/>
      <c r="BO672" s="1809"/>
      <c r="BR672" s="3">
        <v>1</v>
      </c>
    </row>
    <row r="673" spans="2:70" ht="21" customHeight="1">
      <c r="B673" s="6236"/>
      <c r="C673" s="6358">
        <f t="shared" si="253"/>
        <v>150</v>
      </c>
      <c r="D673" s="6359" t="str" cm="1">
        <f t="array" ref="D673">IF(MOD(ROW()-50,14)=0,INDEX(D666:D679,MOD(ROW()-50,14)+1),E671)</f>
        <v/>
      </c>
      <c r="E673" s="6360" t="str">
        <f t="shared" si="254"/>
        <v/>
      </c>
      <c r="F673" s="6361" t="str">
        <f t="shared" si="255"/>
        <v/>
      </c>
      <c r="G673" s="6318"/>
      <c r="H673" s="6323" t="str">
        <f t="shared" si="256"/>
        <v/>
      </c>
      <c r="I673" s="6373"/>
      <c r="J673" s="6363" t="str">
        <f t="shared" si="257"/>
        <v/>
      </c>
      <c r="K673" s="6364" t="str">
        <f>IF(J673="","",LEFT(J673,IF(LEN(J673)&lt;=I669,LEN(J673),IFERROR(FIND("§",SUBSTITUTE(LEFT(J673,I669+1)," ","§",LEN(LEFT(J673,I669+1))-LEN(SUBSTITUTE(LEFT(J673,I669+1)," ",""))))-1,IFERROR(FIND(" ",J673,I669+1)-1,LEN(J673))))))</f>
        <v/>
      </c>
      <c r="L673" s="6327"/>
      <c r="M673" s="6329"/>
      <c r="N673" t="s">
        <v>21</v>
      </c>
      <c r="AV673" s="103"/>
      <c r="AW673" s="31"/>
      <c r="AX673" s="32"/>
      <c r="AY673" s="31"/>
      <c r="AZ673" s="33"/>
      <c r="BA673" s="1967"/>
      <c r="BB673" s="1805"/>
      <c r="BC673" s="91"/>
      <c r="BD673" s="1806"/>
      <c r="BE673" s="6401"/>
      <c r="BF673" s="6402"/>
      <c r="BG673" s="1969"/>
      <c r="BH673" s="6403"/>
      <c r="BI673" s="95"/>
      <c r="BJ673" s="1326"/>
      <c r="BK673" s="6404"/>
      <c r="BL673" s="1737"/>
      <c r="BM673" s="2081"/>
      <c r="BN673" s="2238"/>
      <c r="BO673" s="1809"/>
      <c r="BR673" s="3">
        <v>1</v>
      </c>
    </row>
    <row r="674" spans="2:70" ht="21" customHeight="1">
      <c r="B674" s="6236"/>
      <c r="C674" s="6358">
        <f t="shared" si="253"/>
        <v>150</v>
      </c>
      <c r="D674" s="6359" t="str" cm="1">
        <f t="array" ref="D674">IF(MOD(ROW()-50,14)=0,INDEX(D666:D679,MOD(ROW()-50,14)+1),E672)</f>
        <v/>
      </c>
      <c r="E674" s="6360" t="str">
        <f t="shared" si="254"/>
        <v/>
      </c>
      <c r="F674" s="6361" t="str">
        <f t="shared" si="255"/>
        <v/>
      </c>
      <c r="G674" s="6318"/>
      <c r="H674" s="6323" t="str">
        <f t="shared" si="256"/>
        <v/>
      </c>
      <c r="I674" s="6373"/>
      <c r="J674" s="6363" t="str">
        <f t="shared" si="257"/>
        <v/>
      </c>
      <c r="K674" s="6364" t="str">
        <f>IF(J674="","",LEFT(J674,IF(LEN(J674)&lt;=I669,LEN(J674),IFERROR(FIND("§",SUBSTITUTE(LEFT(J674,I669+1)," ","§",LEN(LEFT(J674,I669+1))-LEN(SUBSTITUTE(LEFT(J674,I669+1)," ",""))))-1,IFERROR(FIND(" ",J674,I669+1)-1,LEN(J674))))))</f>
        <v/>
      </c>
      <c r="L674" s="6327"/>
      <c r="M674" s="6329"/>
      <c r="N674" t="s">
        <v>21</v>
      </c>
      <c r="AV674" s="103"/>
      <c r="AW674" s="31"/>
      <c r="AX674" s="32"/>
      <c r="AY674" s="31"/>
      <c r="AZ674" s="33"/>
      <c r="BA674" s="1967"/>
      <c r="BB674" s="1805"/>
      <c r="BC674" s="91"/>
      <c r="BD674" s="1806"/>
      <c r="BE674" s="6401"/>
      <c r="BF674" s="6402"/>
      <c r="BG674" s="1969"/>
      <c r="BH674" s="6403"/>
      <c r="BI674" s="95"/>
      <c r="BJ674" s="1326"/>
      <c r="BK674" s="6404"/>
      <c r="BL674" s="1737"/>
      <c r="BM674" s="2081"/>
      <c r="BN674" s="2238"/>
      <c r="BO674" s="1809"/>
      <c r="BR674" s="3">
        <v>1</v>
      </c>
    </row>
    <row r="675" spans="2:70" ht="21" customHeight="1">
      <c r="B675" s="6236"/>
      <c r="C675" s="6358">
        <f t="shared" si="253"/>
        <v>150</v>
      </c>
      <c r="D675" s="6359" t="str" cm="1">
        <f t="array" ref="D675">IF(MOD(ROW()-50,14)=0,INDEX(D666:D679,MOD(ROW()-50,14)+1),E673)</f>
        <v/>
      </c>
      <c r="E675" s="6360" t="str">
        <f t="shared" si="254"/>
        <v/>
      </c>
      <c r="F675" s="6361" t="str">
        <f t="shared" si="255"/>
        <v/>
      </c>
      <c r="G675" s="6318"/>
      <c r="H675" s="6323" t="str">
        <f t="shared" si="256"/>
        <v/>
      </c>
      <c r="I675" s="6373"/>
      <c r="J675" s="6363" t="str">
        <f t="shared" si="257"/>
        <v/>
      </c>
      <c r="K675" s="6364" t="str">
        <f>IF(J675="","",LEFT(J675,IF(LEN(J675)&lt;=I669,LEN(J675),IFERROR(FIND("§",SUBSTITUTE(LEFT(J675,I669+1)," ","§",LEN(LEFT(J675,I669+1))-LEN(SUBSTITUTE(LEFT(J675,I669+1)," ",""))))-1,IFERROR(FIND(" ",J675,I669+1)-1,LEN(J675))))))</f>
        <v/>
      </c>
      <c r="L675" s="6327"/>
      <c r="M675" s="6329"/>
      <c r="N675" t="s">
        <v>21</v>
      </c>
      <c r="AV675" s="103"/>
      <c r="AW675" s="31"/>
      <c r="AX675" s="32"/>
      <c r="AY675" s="31"/>
      <c r="AZ675" s="33"/>
      <c r="BA675" s="1967"/>
      <c r="BB675" s="1805"/>
      <c r="BC675" s="91"/>
      <c r="BD675" s="1806"/>
      <c r="BE675" s="6401"/>
      <c r="BF675" s="6402"/>
      <c r="BG675" s="1969"/>
      <c r="BH675" s="6403"/>
      <c r="BI675" s="95"/>
      <c r="BJ675" s="1326"/>
      <c r="BK675" s="6404"/>
      <c r="BL675" s="1737"/>
      <c r="BM675" s="2081"/>
      <c r="BN675" s="2238"/>
      <c r="BO675" s="1809"/>
      <c r="BR675" s="3">
        <v>1</v>
      </c>
    </row>
    <row r="676" spans="2:70" ht="21" customHeight="1">
      <c r="B676" s="6236"/>
      <c r="C676" s="6358">
        <f t="shared" si="253"/>
        <v>150</v>
      </c>
      <c r="D676" s="6359" t="str" cm="1">
        <f t="array" ref="D676">IF(MOD(ROW()-50,14)=0,INDEX(D666:D679,MOD(ROW()-50,14)+1),E674)</f>
        <v/>
      </c>
      <c r="E676" s="6360" t="str">
        <f t="shared" si="254"/>
        <v/>
      </c>
      <c r="F676" s="6361" t="str">
        <f t="shared" si="255"/>
        <v/>
      </c>
      <c r="G676" s="6318"/>
      <c r="H676" s="6323" t="str">
        <f t="shared" si="256"/>
        <v/>
      </c>
      <c r="I676" s="6373"/>
      <c r="J676" s="6363" t="str">
        <f t="shared" si="257"/>
        <v/>
      </c>
      <c r="K676" s="6364" t="str">
        <f>IF(J676="","",LEFT(J676,IF(LEN(J676)&lt;=I669,LEN(J676),IFERROR(FIND("§",SUBSTITUTE(LEFT(J676,I669+1)," ","§",LEN(LEFT(J676,I669+1))-LEN(SUBSTITUTE(LEFT(J676,I669+1)," ",""))))-1,IFERROR(FIND(" ",J676,I669+1)-1,LEN(J676))))))</f>
        <v/>
      </c>
      <c r="L676" s="6327"/>
      <c r="M676" s="6329"/>
      <c r="N676" t="s">
        <v>21</v>
      </c>
      <c r="AV676" s="103"/>
      <c r="AW676" s="31"/>
      <c r="AX676" s="32"/>
      <c r="AY676" s="31"/>
      <c r="AZ676" s="33"/>
      <c r="BA676" s="1967"/>
      <c r="BB676" s="1805"/>
      <c r="BC676" s="91"/>
      <c r="BD676" s="1806"/>
      <c r="BE676" s="6401"/>
      <c r="BF676" s="6402"/>
      <c r="BG676" s="1969"/>
      <c r="BH676" s="6403"/>
      <c r="BI676" s="95"/>
      <c r="BJ676" s="1326"/>
      <c r="BK676" s="6404"/>
      <c r="BL676" s="1737"/>
      <c r="BM676" s="2081"/>
      <c r="BN676" s="2238"/>
      <c r="BO676" s="1809"/>
      <c r="BR676" s="3">
        <v>1</v>
      </c>
    </row>
    <row r="677" spans="2:70" ht="21" customHeight="1">
      <c r="B677" s="6236"/>
      <c r="C677" s="6358">
        <f t="shared" si="253"/>
        <v>150</v>
      </c>
      <c r="D677" s="6359" t="str" cm="1">
        <f t="array" ref="D677">IF(MOD(ROW()-50,14)=0,INDEX(D666:D679,MOD(ROW()-50,14)+1),E675)</f>
        <v/>
      </c>
      <c r="E677" s="6360" t="str">
        <f t="shared" si="254"/>
        <v/>
      </c>
      <c r="F677" s="6361" t="str">
        <f t="shared" si="255"/>
        <v/>
      </c>
      <c r="G677" s="6318"/>
      <c r="H677" s="6323" t="str">
        <f t="shared" si="256"/>
        <v/>
      </c>
      <c r="I677" s="6373"/>
      <c r="J677" s="6363" t="str">
        <f t="shared" si="257"/>
        <v/>
      </c>
      <c r="K677" s="6364" t="str">
        <f>IF(J677="","",LEFT(J677,IF(LEN(J677)&lt;=I669,LEN(J677),IFERROR(FIND("§",SUBSTITUTE(LEFT(J677,I669+1)," ","§",LEN(LEFT(J677,I669+1))-LEN(SUBSTITUTE(LEFT(J677,I669+1)," ",""))))-1,IFERROR(FIND(" ",J677,I669+1)-1,LEN(J677))))))</f>
        <v/>
      </c>
      <c r="L677" s="6327"/>
      <c r="M677" s="6329"/>
      <c r="N677" t="s">
        <v>21</v>
      </c>
      <c r="AV677" s="103"/>
      <c r="AW677" s="31"/>
      <c r="AX677" s="32"/>
      <c r="AY677" s="31"/>
      <c r="AZ677" s="33"/>
      <c r="BA677" s="1967"/>
      <c r="BB677" s="1805"/>
      <c r="BC677" s="91"/>
      <c r="BD677" s="1806"/>
      <c r="BE677" s="6401"/>
      <c r="BF677" s="6402"/>
      <c r="BG677" s="1969"/>
      <c r="BH677" s="6403"/>
      <c r="BI677" s="95"/>
      <c r="BJ677" s="1326"/>
      <c r="BK677" s="6404"/>
      <c r="BL677" s="1737"/>
      <c r="BM677" s="2081"/>
      <c r="BN677" s="2238"/>
      <c r="BO677" s="1809"/>
      <c r="BR677" s="3">
        <v>1</v>
      </c>
    </row>
    <row r="678" spans="2:70" ht="21" customHeight="1">
      <c r="B678" s="6236"/>
      <c r="C678" s="6358">
        <f t="shared" si="253"/>
        <v>150</v>
      </c>
      <c r="D678" s="6359" t="str" cm="1">
        <f t="array" ref="D678">IF(MOD(ROW()-50,14)=0,INDEX(D666:D679,MOD(ROW()-50,14)+1),E676)</f>
        <v/>
      </c>
      <c r="E678" s="6360" t="str">
        <f t="shared" si="254"/>
        <v/>
      </c>
      <c r="F678" s="6361" t="str">
        <f t="shared" si="255"/>
        <v/>
      </c>
      <c r="G678" s="6318"/>
      <c r="H678" s="6323" t="str">
        <f t="shared" si="256"/>
        <v/>
      </c>
      <c r="I678" s="6373"/>
      <c r="J678" s="6363" t="str">
        <f t="shared" si="257"/>
        <v/>
      </c>
      <c r="K678" s="6364" t="str">
        <f>IF(J678="","",LEFT(J678,IF(LEN(J678)&lt;=I669,LEN(J678),IFERROR(FIND("§",SUBSTITUTE(LEFT(J678,I669+1)," ","§",LEN(LEFT(J678,I669+1))-LEN(SUBSTITUTE(LEFT(J678,I669+1)," ",""))))-1,IFERROR(FIND(" ",J678,I669+1)-1,LEN(J678))))))</f>
        <v/>
      </c>
      <c r="L678" s="6364"/>
      <c r="M678" s="6329"/>
      <c r="N678" t="s">
        <v>21</v>
      </c>
      <c r="AV678" s="103"/>
      <c r="AW678" s="31"/>
      <c r="AX678" s="32"/>
      <c r="AY678" s="31"/>
      <c r="AZ678" s="33"/>
      <c r="BA678" s="1967"/>
      <c r="BB678" s="1805"/>
      <c r="BC678" s="91"/>
      <c r="BD678" s="1806"/>
      <c r="BE678" s="6401"/>
      <c r="BF678" s="6402"/>
      <c r="BG678" s="1969"/>
      <c r="BH678" s="6403"/>
      <c r="BI678" s="95"/>
      <c r="BJ678" s="1326"/>
      <c r="BK678" s="6404"/>
      <c r="BL678" s="1737"/>
      <c r="BM678" s="2081"/>
      <c r="BN678" s="2238"/>
      <c r="BO678" s="1809"/>
      <c r="BR678" s="3">
        <v>1</v>
      </c>
    </row>
    <row r="679" spans="2:70" ht="21" customHeight="1">
      <c r="B679" s="6236"/>
      <c r="C679" s="6376">
        <f t="shared" si="253"/>
        <v>150</v>
      </c>
      <c r="D679" s="6414" t="str" cm="1">
        <f t="array" ref="D679">IF(MOD(ROW()-50,14)=0,INDEX(D666:D679,MOD(ROW()-50,14)+1),E677)</f>
        <v/>
      </c>
      <c r="E679" s="6377" t="str">
        <f t="shared" si="254"/>
        <v/>
      </c>
      <c r="F679" s="6378" t="str">
        <f t="shared" si="255"/>
        <v/>
      </c>
      <c r="G679" s="6319"/>
      <c r="H679" s="6323" t="str">
        <f t="shared" si="256"/>
        <v/>
      </c>
      <c r="I679" s="6379"/>
      <c r="J679" s="6380" t="str">
        <f t="shared" si="257"/>
        <v/>
      </c>
      <c r="K679" s="6381" t="str">
        <f>IF(J679="","",LEFT(J679,IF(LEN(J679)&lt;=I669,LEN(J679),IFERROR(FIND("§",SUBSTITUTE(LEFT(J679,I669+1)," ","§",LEN(LEFT(J679,I669+1))-LEN(SUBSTITUTE(LEFT(J679,I669+1)," ",""))))-1,IFERROR(FIND(" ",J679,I669+1)-1,LEN(J679))))))</f>
        <v/>
      </c>
      <c r="L679" s="6382"/>
      <c r="M679" s="6330"/>
      <c r="N679" t="s">
        <v>21</v>
      </c>
      <c r="AV679" s="103"/>
      <c r="AW679" s="31"/>
      <c r="AX679" s="32"/>
      <c r="AY679" s="31"/>
      <c r="AZ679" s="33"/>
      <c r="BA679" s="1967"/>
      <c r="BB679" s="1805"/>
      <c r="BC679" s="91"/>
      <c r="BD679" s="1806"/>
      <c r="BE679" s="6401"/>
      <c r="BF679" s="6402"/>
      <c r="BG679" s="1969"/>
      <c r="BH679" s="6403"/>
      <c r="BI679" s="95"/>
      <c r="BJ679" s="1326"/>
      <c r="BK679" s="6404"/>
      <c r="BL679" s="1737"/>
      <c r="BM679" s="2081"/>
      <c r="BN679" s="2238"/>
      <c r="BO679" s="1809"/>
      <c r="BR679" s="3">
        <v>1</v>
      </c>
    </row>
    <row r="680" spans="2:70" ht="21" customHeight="1">
      <c r="B680" s="6236"/>
      <c r="C680" s="6313">
        <f>AD95</f>
        <v>150</v>
      </c>
      <c r="D680" s="6314" t="str">
        <f>IF(UPPER(TRIM(X45))="X",U95,O95)</f>
        <v>46.TEST LIGNE 19 colonne Q et ligne 20 colonne P. rechercher la cellule qui coupe le texte Dans la cocotte N°3 en fonte, faites chauffer l’huile d’olive à feu moyen. Ajoutez la viande et faites-la dorer de tous les côtés. Retirez-la de la cocotte et réservez-la.</v>
      </c>
      <c r="E680" s="6383" t="str">
        <f>IF(D680="","",IF(F680="","",IF(LEN(F680)&gt;=LEN(D680),"",TRIM(MID(D680,LEN(F680)+1,99999)))))</f>
        <v>d’olive à feu moyen. Ajoutez la viande et faites-la dorer de tous les côtés. Retirez-la de la cocotte et réservez-la.</v>
      </c>
      <c r="F680" s="6384" t="str">
        <f>IF(D680="","",IF(LEN(D680)&lt;=C680,D680,IFERROR(LEFT(D680,FIND("§",SUBSTITUTE(LEFT(D680,C680+1)," ","§",LEN(LEFT(D680,C680+1))-LEN(SUBSTITUTE(LEFT(D680,C680+1)," ",""))))-1),LEFT(D680,C680))))</f>
        <v>46.TEST LIGNE 19 colonne Q et ligne 20 colonne P. rechercher la cellule qui coupe le texte Dans la cocotte N°3 en fonte, faites chauffer l’huile</v>
      </c>
      <c r="G680" s="6320"/>
      <c r="H680" s="6385">
        <f>IF(LEN(TRIM(L680))&gt;0,MAX(H679:H679)+1,"")</f>
        <v>1</v>
      </c>
      <c r="I680" s="6324" t="str">
        <f>D680</f>
        <v>46.TEST LIGNE 19 colonne Q et ligne 20 colonne P. rechercher la cellule qui coupe le texte Dans la cocotte N°3 en fonte, faites chauffer l’huile d’olive à feu moyen. Ajoutez la viande et faites-la dorer de tous les côtés. Retirez-la de la cocotte et réservez-la.</v>
      </c>
      <c r="J680" s="6386" t="str">
        <f>IF(I680=0,"",I680)</f>
        <v>46.TEST LIGNE 19 colonne Q et ligne 20 colonne P. rechercher la cellule qui coupe le texte Dans la cocotte N°3 en fonte, faites chauffer l’huile d’olive à feu moyen. Ajoutez la viande et faites-la dorer de tous les côtés. Retirez-la de la cocotte et réservez-la.</v>
      </c>
      <c r="K680" s="6387" t="str">
        <f>IF(I680="","",LEFT(I680,IF(LEN(I680)&lt;=I683,LEN(I680),IFERROR(FIND("§",SUBSTITUTE(LEFT(I680,I683+1)," ","§",LEN(LEFT(I680,I683+1))-LEN(SUBSTITUTE(LEFT(I680,I683+1)," ",""))))-1,IFERROR(FIND(" ",I680,I683+1)-1,LEN(I680))))))</f>
        <v>46.TEST LIGNE 19 colonne Q et ligne 20 colonne P.</v>
      </c>
      <c r="L680" s="6388" t="str" cm="1">
        <f t="array" ref="L680:L685">_xlfn._xlws.FILTER(TRIM(SUBSTITUTE(SUBSTITUTE(SUBSTITUTE(SUBSTITUTE(SUBSTITUTE(CLEAN(K680:K693),CHAR(160)," "),_xlfn.UNICHAR(8239)," "),CHAR(9)," "),CHAR(10)," "),CHAR(13)," ")),TRIM(SUBSTITUTE(SUBSTITUTE(SUBSTITUTE(SUBSTITUTE(SUBSTITUTE(CLEAN(K680:K693),CHAR(160)," "),_xlfn.UNICHAR(8239)," "),CHAR(9)," "),CHAR(10)," "),CHAR(13)," "))&lt;&gt;"")</f>
        <v>46.TEST LIGNE 19 colonne Q et ligne 20 colonne P.</v>
      </c>
      <c r="M680" s="6331"/>
      <c r="N680" t="s">
        <v>21</v>
      </c>
      <c r="AV680" s="103"/>
      <c r="AW680" s="31"/>
      <c r="AX680" s="32"/>
      <c r="AY680" s="31"/>
      <c r="AZ680" s="33"/>
      <c r="BA680" s="1967"/>
      <c r="BB680" s="1805"/>
      <c r="BC680" s="91"/>
      <c r="BD680" s="1806"/>
      <c r="BE680" s="6401"/>
      <c r="BF680" s="6402"/>
      <c r="BG680" s="1969"/>
      <c r="BH680" s="6403"/>
      <c r="BI680" s="95"/>
      <c r="BJ680" s="1326"/>
      <c r="BK680" s="6404"/>
      <c r="BL680" s="1737"/>
      <c r="BM680" s="2081"/>
      <c r="BN680" s="2238"/>
      <c r="BO680" s="1809"/>
      <c r="BR680" s="3">
        <v>1</v>
      </c>
    </row>
    <row r="681" spans="2:70" ht="21" customHeight="1">
      <c r="B681" s="6236"/>
      <c r="C681" s="6358">
        <f t="shared" ref="C681:C693" si="258">C680</f>
        <v>150</v>
      </c>
      <c r="D681" s="6390" t="str" cm="1">
        <f t="array" ref="D681">IF(MOD(ROW()-50,14)=0,INDEX(D680:D693,MOD(ROW()-50,14)+1),E679)</f>
        <v/>
      </c>
      <c r="E681" s="6391" t="str">
        <f t="shared" ref="E681:E693" si="259">IF(D681="","",IF(F681="","",IF(LEN(F681)&gt;=LEN(D681),"",TRIM(MID(D681,LEN(F681)+1,99999)))))</f>
        <v/>
      </c>
      <c r="F681" s="6392" t="str">
        <f t="shared" ref="F681:F693" si="260">IF(D681="","",IF(LEN(D681)&lt;=C681,D681,IFERROR(LEFT(D681,FIND("§",SUBSTITUTE(LEFT(D681,C681+1)," ","§",LEN(LEFT(D681,C681+1))-LEN(SUBSTITUTE(LEFT(D681,C681+1)," ",""))))-1),LEFT(D681,C681))))</f>
        <v/>
      </c>
      <c r="G681" s="6321"/>
      <c r="H681" s="6393">
        <f t="shared" ref="H681:H693" si="261">IF(LEN(TRIM(L681))&gt;0,MAX(H680:H680)+1,"")</f>
        <v>2</v>
      </c>
      <c r="I681" s="6394" t="s">
        <v>14355</v>
      </c>
      <c r="J681" s="6395" t="str">
        <f>TRIM(MID(I684,LEN(K680)+1,99999))</f>
        <v>rechercher la cellule qui coupe le texte Dans la cocotte N°3 en fonte, faites chauffer l’huile d’olive à feu moyen. Ajoutez la viande et faites-la dorer de tous les côtés. Retirez-la de la cocotte et réservez-la.</v>
      </c>
      <c r="K681" s="6396" t="str">
        <f>IF(J681="","",LEFT(J681,IF(LEN(J681)&lt;=I683,LEN(J681),IFERROR(FIND("§",SUBSTITUTE(LEFT(J681,I683+1)," ","§",LEN(LEFT(J681,I683+1))-LEN(SUBSTITUTE(LEFT(J681,I683+1)," ",""))))-1,IFERROR(FIND(" ",J681,I683+1)-1,LEN(J681))))))</f>
        <v>rechercher la cellule qui coupe le texte Dans la</v>
      </c>
      <c r="L681" s="6388" t="str">
        <v>rechercher la cellule qui coupe le texte Dans la</v>
      </c>
      <c r="M681" s="6332"/>
      <c r="N681" t="s">
        <v>21</v>
      </c>
      <c r="AV681" s="103"/>
      <c r="AW681" s="31"/>
      <c r="AX681" s="32"/>
      <c r="AY681" s="31"/>
      <c r="AZ681" s="33"/>
      <c r="BA681" s="1967"/>
      <c r="BB681" s="1805"/>
      <c r="BC681" s="91"/>
      <c r="BD681" s="1806"/>
      <c r="BE681" s="6401"/>
      <c r="BF681" s="6402"/>
      <c r="BG681" s="1969"/>
      <c r="BH681" s="6403"/>
      <c r="BI681" s="95"/>
      <c r="BJ681" s="1326"/>
      <c r="BK681" s="6404"/>
      <c r="BL681" s="1737"/>
      <c r="BM681" s="2081"/>
      <c r="BN681" s="2238"/>
      <c r="BO681" s="1809"/>
      <c r="BR681" s="3">
        <v>1</v>
      </c>
    </row>
    <row r="682" spans="2:70" ht="21" customHeight="1">
      <c r="B682" s="6236"/>
      <c r="C682" s="6358">
        <f t="shared" si="258"/>
        <v>150</v>
      </c>
      <c r="D682" s="6390" t="str" cm="1">
        <f t="array" ref="D682">IF(MOD(ROW()-50,14)=0,INDEX(D680:D693,MOD(ROW()-50,14)+1),E680)</f>
        <v>d’olive à feu moyen. Ajoutez la viande et faites-la dorer de tous les côtés. Retirez-la de la cocotte et réservez-la.</v>
      </c>
      <c r="E682" s="6391" t="str">
        <f t="shared" si="259"/>
        <v/>
      </c>
      <c r="F682" s="6392" t="str">
        <f t="shared" si="260"/>
        <v>d’olive à feu moyen. Ajoutez la viande et faites-la dorer de tous les côtés. Retirez-la de la cocotte et réservez-la.</v>
      </c>
      <c r="G682" s="6321"/>
      <c r="H682" s="6393">
        <f t="shared" si="261"/>
        <v>3</v>
      </c>
      <c r="I682" s="6365">
        <f>Z95</f>
        <v>5</v>
      </c>
      <c r="J682" s="6395" t="str">
        <f t="shared" ref="J682:J693" si="262">TRIM(MID(J681,LEN(K681)+1,99999))</f>
        <v>cocotte N°3 en fonte, faites chauffer l’huile d’olive à feu moyen. Ajoutez la viande et faites-la dorer de tous les côtés. Retirez-la de la cocotte et réservez-la.</v>
      </c>
      <c r="K682" s="6396" t="str">
        <f>IF(J682="","",LEFT(J682,IF(LEN(J682)&lt;=I683,LEN(J682),IFERROR(FIND("§",SUBSTITUTE(LEFT(J682,I683+1)," ","§",LEN(LEFT(J682,I683+1))-LEN(SUBSTITUTE(LEFT(J682,I683+1)," ",""))))-1,IFERROR(FIND(" ",J682,I683+1)-1,LEN(J682))))))</f>
        <v>cocotte N°3 en fonte, faites chauffer l’huile d’olive</v>
      </c>
      <c r="L682" s="6388" t="str">
        <v>cocotte N°3 en fonte, faites chauffer l’huile d’olive</v>
      </c>
      <c r="M682" s="6332"/>
      <c r="N682" t="s">
        <v>21</v>
      </c>
      <c r="AV682" s="103"/>
      <c r="AW682" s="31"/>
      <c r="AX682" s="32"/>
      <c r="AY682" s="31"/>
      <c r="AZ682" s="33"/>
      <c r="BA682" s="1967"/>
      <c r="BB682" s="1805"/>
      <c r="BC682" s="91"/>
      <c r="BD682" s="1806"/>
      <c r="BE682" s="6401"/>
      <c r="BF682" s="6402"/>
      <c r="BG682" s="1969"/>
      <c r="BH682" s="6403"/>
      <c r="BI682" s="95"/>
      <c r="BJ682" s="1326"/>
      <c r="BK682" s="6404"/>
      <c r="BL682" s="1737"/>
      <c r="BM682" s="2081"/>
      <c r="BN682" s="2238"/>
      <c r="BO682" s="1809"/>
      <c r="BR682" s="3">
        <v>1</v>
      </c>
    </row>
    <row r="683" spans="2:70" ht="21" customHeight="1">
      <c r="B683" s="6236"/>
      <c r="C683" s="6358">
        <f t="shared" si="258"/>
        <v>150</v>
      </c>
      <c r="D683" s="6390" t="str" cm="1">
        <f t="array" ref="D683">IF(MOD(ROW()-50,14)=0,INDEX(D680:D693,MOD(ROW()-50,14)+1),E681)</f>
        <v/>
      </c>
      <c r="E683" s="6391" t="str">
        <f t="shared" si="259"/>
        <v/>
      </c>
      <c r="F683" s="6392" t="str">
        <f t="shared" si="260"/>
        <v/>
      </c>
      <c r="G683" s="6321"/>
      <c r="H683" s="6393">
        <f t="shared" si="261"/>
        <v>4</v>
      </c>
      <c r="I683" s="6398">
        <f>IF(OR(J680="",I682="",I682&lt;=0),"",ROUNDUP(LEN(J680)/I682,0))</f>
        <v>53</v>
      </c>
      <c r="J683" s="6395" t="str">
        <f t="shared" si="262"/>
        <v>à feu moyen. Ajoutez la viande et faites-la dorer de tous les côtés. Retirez-la de la cocotte et réservez-la.</v>
      </c>
      <c r="K683" s="6396" t="str">
        <f>IF(J683="","",LEFT(J683,IF(LEN(J683)&lt;=I683,LEN(J683),IFERROR(FIND("§",SUBSTITUTE(LEFT(J683,I683+1)," ","§",LEN(LEFT(J683,I683+1))-LEN(SUBSTITUTE(LEFT(J683,I683+1)," ",""))))-1,IFERROR(FIND(" ",J683,I683+1)-1,LEN(J683))))))</f>
        <v>à feu moyen. Ajoutez la viande et faites-la dorer de</v>
      </c>
      <c r="L683" s="6388" t="str">
        <v>à feu moyen. Ajoutez la viande et faites-la dorer de</v>
      </c>
      <c r="M683" s="6332"/>
      <c r="N683" t="s">
        <v>21</v>
      </c>
      <c r="AV683" s="103"/>
      <c r="AW683" s="31"/>
      <c r="AX683" s="32"/>
      <c r="AY683" s="31"/>
      <c r="AZ683" s="33"/>
      <c r="BA683" s="1967"/>
      <c r="BB683" s="1805"/>
      <c r="BC683" s="91"/>
      <c r="BD683" s="1806"/>
      <c r="BE683" s="6401"/>
      <c r="BF683" s="6402"/>
      <c r="BG683" s="1969"/>
      <c r="BH683" s="6403"/>
      <c r="BI683" s="95"/>
      <c r="BJ683" s="1326"/>
      <c r="BK683" s="6404"/>
      <c r="BL683" s="1737"/>
      <c r="BM683" s="2081"/>
      <c r="BN683" s="2238"/>
      <c r="BO683" s="1809"/>
      <c r="BR683" s="3">
        <v>1</v>
      </c>
    </row>
    <row r="684" spans="2:70" ht="21" customHeight="1">
      <c r="B684" s="6236"/>
      <c r="C684" s="6358">
        <f t="shared" si="258"/>
        <v>150</v>
      </c>
      <c r="D684" s="6390" t="str" cm="1">
        <f t="array" ref="D684">IF(MOD(ROW()-50,14)=0,INDEX(D680:D693,MOD(ROW()-50,14)+1),E682)</f>
        <v/>
      </c>
      <c r="E684" s="6391" t="str">
        <f t="shared" si="259"/>
        <v/>
      </c>
      <c r="F684" s="6392" t="str">
        <f t="shared" si="260"/>
        <v/>
      </c>
      <c r="G684" s="6321"/>
      <c r="H684" s="6393">
        <f t="shared" si="261"/>
        <v>5</v>
      </c>
      <c r="I684" s="6400" t="str">
        <f>I680</f>
        <v>46.TEST LIGNE 19 colonne Q et ligne 20 colonne P. rechercher la cellule qui coupe le texte Dans la cocotte N°3 en fonte, faites chauffer l’huile d’olive à feu moyen. Ajoutez la viande et faites-la dorer de tous les côtés. Retirez-la de la cocotte et réservez-la.</v>
      </c>
      <c r="J684" s="6395" t="str">
        <f t="shared" si="262"/>
        <v>tous les côtés. Retirez-la de la cocotte et réservez-la.</v>
      </c>
      <c r="K684" s="6396" t="str">
        <f>IF(J684="","",LEFT(J684,IF(LEN(J684)&lt;=I683,LEN(J684),IFERROR(FIND("§",SUBSTITUTE(LEFT(J684,I683+1)," ","§",LEN(LEFT(J684,I683+1))-LEN(SUBSTITUTE(LEFT(J684,I683+1)," ",""))))-1,IFERROR(FIND(" ",J684,I683+1)-1,LEN(J684))))))</f>
        <v>tous les côtés. Retirez-la de la cocotte et</v>
      </c>
      <c r="L684" s="6388" t="str">
        <v>tous les côtés. Retirez-la de la cocotte et</v>
      </c>
      <c r="M684" s="6332"/>
      <c r="N684" t="s">
        <v>21</v>
      </c>
      <c r="AV684" s="103"/>
      <c r="AW684" s="31"/>
      <c r="AX684" s="32"/>
      <c r="AY684" s="31"/>
      <c r="AZ684" s="33"/>
      <c r="BA684" s="1967"/>
      <c r="BB684" s="1805"/>
      <c r="BC684" s="91"/>
      <c r="BD684" s="1806"/>
      <c r="BE684" s="6401"/>
      <c r="BF684" s="6402"/>
      <c r="BG684" s="1969"/>
      <c r="BH684" s="6403"/>
      <c r="BI684" s="95"/>
      <c r="BJ684" s="1326"/>
      <c r="BK684" s="6404"/>
      <c r="BL684" s="1737"/>
      <c r="BM684" s="2081"/>
      <c r="BN684" s="2238"/>
      <c r="BO684" s="1809"/>
      <c r="BR684" s="3">
        <v>1</v>
      </c>
    </row>
    <row r="685" spans="2:70" ht="21" customHeight="1">
      <c r="B685" s="6236"/>
      <c r="C685" s="6358">
        <f t="shared" si="258"/>
        <v>150</v>
      </c>
      <c r="D685" s="6390" t="str" cm="1">
        <f t="array" ref="D685">IF(MOD(ROW()-50,14)=0,INDEX(D680:D693,MOD(ROW()-50,14)+1),E683)</f>
        <v/>
      </c>
      <c r="E685" s="6391" t="str">
        <f t="shared" si="259"/>
        <v/>
      </c>
      <c r="F685" s="6392" t="str">
        <f t="shared" si="260"/>
        <v/>
      </c>
      <c r="G685" s="6321"/>
      <c r="H685" s="6393">
        <f t="shared" si="261"/>
        <v>6</v>
      </c>
      <c r="I685" s="6405"/>
      <c r="J685" s="6395" t="str">
        <f t="shared" si="262"/>
        <v>réservez-la.</v>
      </c>
      <c r="K685" s="6396" t="str">
        <f>IF(J685="","",LEFT(J685,IF(LEN(J685)&lt;=I683,LEN(J685),IFERROR(FIND("§",SUBSTITUTE(LEFT(J685,I683+1)," ","§",LEN(LEFT(J685,I683+1))-LEN(SUBSTITUTE(LEFT(J685,I683+1)," ",""))))-1,IFERROR(FIND(" ",J685,I683+1)-1,LEN(J685))))))</f>
        <v>réservez-la.</v>
      </c>
      <c r="L685" s="6388" t="str">
        <v>réservez-la.</v>
      </c>
      <c r="M685" s="6332"/>
      <c r="N685" t="s">
        <v>21</v>
      </c>
      <c r="AV685" s="103"/>
      <c r="AW685" s="31"/>
      <c r="AX685" s="32"/>
      <c r="AY685" s="31"/>
      <c r="AZ685" s="33"/>
      <c r="BA685" s="1967"/>
      <c r="BB685" s="1805"/>
      <c r="BC685" s="91"/>
      <c r="BD685" s="1806"/>
      <c r="BE685" s="6401"/>
      <c r="BF685" s="6402"/>
      <c r="BG685" s="1969"/>
      <c r="BH685" s="6403"/>
      <c r="BI685" s="95"/>
      <c r="BJ685" s="1326"/>
      <c r="BK685" s="6404"/>
      <c r="BL685" s="1737"/>
      <c r="BM685" s="2081"/>
      <c r="BN685" s="2238"/>
      <c r="BO685" s="1809"/>
      <c r="BR685" s="3">
        <v>1</v>
      </c>
    </row>
    <row r="686" spans="2:70" ht="21" customHeight="1">
      <c r="B686" s="6236"/>
      <c r="C686" s="6358">
        <f t="shared" si="258"/>
        <v>150</v>
      </c>
      <c r="D686" s="6390" t="str" cm="1">
        <f t="array" ref="D686">IF(MOD(ROW()-50,14)=0,INDEX(D680:D693,MOD(ROW()-50,14)+1),E684)</f>
        <v/>
      </c>
      <c r="E686" s="6391" t="str">
        <f t="shared" si="259"/>
        <v/>
      </c>
      <c r="F686" s="6392" t="str">
        <f t="shared" si="260"/>
        <v/>
      </c>
      <c r="G686" s="6321"/>
      <c r="H686" s="6393" t="str">
        <f t="shared" si="261"/>
        <v/>
      </c>
      <c r="I686" s="6405"/>
      <c r="J686" s="6395" t="str">
        <f t="shared" si="262"/>
        <v/>
      </c>
      <c r="K686" s="6396" t="str">
        <f>IF(J686="","",LEFT(J686,IF(LEN(J686)&lt;=I683,LEN(J686),IFERROR(FIND("§",SUBSTITUTE(LEFT(J686,I683+1)," ","§",LEN(LEFT(J686,I683+1))-LEN(SUBSTITUTE(LEFT(J686,I683+1)," ",""))))-1,IFERROR(FIND(" ",J686,I683+1)-1,LEN(J686))))))</f>
        <v/>
      </c>
      <c r="L686" s="6388"/>
      <c r="M686" s="6332"/>
      <c r="N686" t="s">
        <v>21</v>
      </c>
      <c r="AV686" s="103"/>
      <c r="AW686" s="31"/>
      <c r="AX686" s="32"/>
      <c r="AY686" s="31"/>
      <c r="AZ686" s="33"/>
      <c r="BA686" s="1967"/>
      <c r="BB686" s="1805"/>
      <c r="BC686" s="91"/>
      <c r="BD686" s="1806"/>
      <c r="BE686" s="6401"/>
      <c r="BF686" s="6402"/>
      <c r="BG686" s="1969"/>
      <c r="BH686" s="6403"/>
      <c r="BI686" s="95"/>
      <c r="BJ686" s="1326"/>
      <c r="BK686" s="6404"/>
      <c r="BL686" s="1737"/>
      <c r="BM686" s="2081"/>
      <c r="BN686" s="2238"/>
      <c r="BO686" s="1809"/>
      <c r="BR686" s="3">
        <v>1</v>
      </c>
    </row>
    <row r="687" spans="2:70" ht="15.75">
      <c r="B687" s="6236"/>
      <c r="C687" s="6358">
        <f t="shared" si="258"/>
        <v>150</v>
      </c>
      <c r="D687" s="6390" t="str" cm="1">
        <f t="array" ref="D687">IF(MOD(ROW()-50,14)=0,INDEX(D680:D693,MOD(ROW()-50,14)+1),E685)</f>
        <v/>
      </c>
      <c r="E687" s="6391" t="str">
        <f t="shared" si="259"/>
        <v/>
      </c>
      <c r="F687" s="6392" t="str">
        <f t="shared" si="260"/>
        <v/>
      </c>
      <c r="G687" s="6321"/>
      <c r="H687" s="6393" t="str">
        <f t="shared" si="261"/>
        <v/>
      </c>
      <c r="I687" s="6405"/>
      <c r="J687" s="6395" t="str">
        <f t="shared" si="262"/>
        <v/>
      </c>
      <c r="K687" s="6396" t="str">
        <f>IF(J687="","",LEFT(J687,IF(LEN(J687)&lt;=I683,LEN(J687),IFERROR(FIND("§",SUBSTITUTE(LEFT(J687,I683+1)," ","§",LEN(LEFT(J687,I683+1))-LEN(SUBSTITUTE(LEFT(J687,I683+1)," ",""))))-1,IFERROR(FIND(" ",J687,I683+1)-1,LEN(J687))))))</f>
        <v/>
      </c>
      <c r="L687" s="6388"/>
      <c r="M687" s="6332"/>
      <c r="N687" t="s">
        <v>21</v>
      </c>
      <c r="AV687" s="103"/>
      <c r="AW687" s="31"/>
      <c r="AX687" s="32"/>
      <c r="AY687" s="31"/>
      <c r="AZ687" s="33"/>
      <c r="BA687" s="1967"/>
      <c r="BB687" s="1805"/>
      <c r="BC687" s="91"/>
      <c r="BD687" s="1806"/>
      <c r="BE687" s="6401"/>
      <c r="BF687" s="6402"/>
      <c r="BG687" s="1969"/>
      <c r="BH687" s="6403"/>
      <c r="BI687" s="95"/>
      <c r="BJ687" s="1326"/>
      <c r="BK687" s="6404"/>
      <c r="BL687" s="1737"/>
      <c r="BM687" s="2081"/>
      <c r="BN687" s="2238"/>
      <c r="BO687" s="1809"/>
      <c r="BR687" s="3">
        <v>1</v>
      </c>
    </row>
    <row r="688" spans="2:70" ht="15.75">
      <c r="B688" s="6236"/>
      <c r="C688" s="6358">
        <f t="shared" si="258"/>
        <v>150</v>
      </c>
      <c r="D688" s="6390" t="str" cm="1">
        <f t="array" ref="D688">IF(MOD(ROW()-50,14)=0,INDEX(D680:D693,MOD(ROW()-50,14)+1),E686)</f>
        <v/>
      </c>
      <c r="E688" s="6391" t="str">
        <f t="shared" si="259"/>
        <v/>
      </c>
      <c r="F688" s="6392" t="str">
        <f t="shared" si="260"/>
        <v/>
      </c>
      <c r="G688" s="6321"/>
      <c r="H688" s="6393" t="str">
        <f t="shared" si="261"/>
        <v/>
      </c>
      <c r="I688" s="6405"/>
      <c r="J688" s="6395" t="str">
        <f t="shared" si="262"/>
        <v/>
      </c>
      <c r="K688" s="6396" t="str">
        <f>IF(J688="","",LEFT(J688,IF(LEN(J688)&lt;=I683,LEN(J688),IFERROR(FIND("§",SUBSTITUTE(LEFT(J688,I683+1)," ","§",LEN(LEFT(J688,I683+1))-LEN(SUBSTITUTE(LEFT(J688,I683+1)," ",""))))-1,IFERROR(FIND(" ",J688,I683+1)-1,LEN(J688))))))</f>
        <v/>
      </c>
      <c r="L688" s="6388"/>
      <c r="M688" s="6332"/>
      <c r="N688" t="s">
        <v>21</v>
      </c>
      <c r="AV688" s="103"/>
      <c r="AW688" s="31"/>
      <c r="AX688" s="32"/>
      <c r="AY688" s="31"/>
      <c r="AZ688" s="33"/>
      <c r="BA688" s="1967"/>
      <c r="BB688" s="1805"/>
      <c r="BC688" s="91"/>
      <c r="BD688" s="1806"/>
      <c r="BE688" s="6401"/>
      <c r="BF688" s="6402"/>
      <c r="BG688" s="1969"/>
      <c r="BH688" s="6403"/>
      <c r="BI688" s="95"/>
      <c r="BJ688" s="1326"/>
      <c r="BK688" s="6404"/>
      <c r="BL688" s="1737"/>
      <c r="BM688" s="2081"/>
      <c r="BN688" s="2238"/>
      <c r="BO688" s="1809"/>
      <c r="BR688" s="3">
        <v>1</v>
      </c>
    </row>
    <row r="689" spans="2:70" ht="15.75">
      <c r="B689" s="6236"/>
      <c r="C689" s="6358">
        <f t="shared" si="258"/>
        <v>150</v>
      </c>
      <c r="D689" s="6390" t="str" cm="1">
        <f t="array" ref="D689">IF(MOD(ROW()-50,14)=0,INDEX(D680:D693,MOD(ROW()-50,14)+1),E687)</f>
        <v/>
      </c>
      <c r="E689" s="6391" t="str">
        <f t="shared" si="259"/>
        <v/>
      </c>
      <c r="F689" s="6392" t="str">
        <f t="shared" si="260"/>
        <v/>
      </c>
      <c r="G689" s="6321"/>
      <c r="H689" s="6393" t="str">
        <f t="shared" si="261"/>
        <v/>
      </c>
      <c r="I689" s="6405"/>
      <c r="J689" s="6395" t="str">
        <f t="shared" si="262"/>
        <v/>
      </c>
      <c r="K689" s="6396" t="str">
        <f>IF(J689="","",LEFT(J689,IF(LEN(J689)&lt;=I683,LEN(J689),IFERROR(FIND("§",SUBSTITUTE(LEFT(J689,I683+1)," ","§",LEN(LEFT(J689,I683+1))-LEN(SUBSTITUTE(LEFT(J689,I683+1)," ",""))))-1,IFERROR(FIND(" ",J689,I683+1)-1,LEN(J689))))))</f>
        <v/>
      </c>
      <c r="L689" s="6388"/>
      <c r="M689" s="6332"/>
      <c r="N689" t="s">
        <v>21</v>
      </c>
      <c r="AV689" s="103"/>
      <c r="AW689" s="31"/>
      <c r="AX689" s="32"/>
      <c r="AY689" s="31"/>
      <c r="AZ689" s="33"/>
      <c r="BA689" s="1967"/>
      <c r="BB689" s="1805"/>
      <c r="BC689" s="91"/>
      <c r="BD689" s="1806"/>
      <c r="BE689" s="6401"/>
      <c r="BF689" s="6402"/>
      <c r="BG689" s="1969"/>
      <c r="BH689" s="6403"/>
      <c r="BI689" s="95"/>
      <c r="BJ689" s="1326"/>
      <c r="BK689" s="6404"/>
      <c r="BL689" s="1737"/>
      <c r="BM689" s="2081"/>
      <c r="BN689" s="2238"/>
      <c r="BO689" s="1809"/>
      <c r="BR689" s="3">
        <v>1</v>
      </c>
    </row>
    <row r="690" spans="2:70" ht="15.75">
      <c r="B690" s="6236"/>
      <c r="C690" s="6358">
        <f t="shared" si="258"/>
        <v>150</v>
      </c>
      <c r="D690" s="6390" t="str" cm="1">
        <f t="array" ref="D690">IF(MOD(ROW()-50,14)=0,INDEX(D680:D693,MOD(ROW()-50,14)+1),E688)</f>
        <v/>
      </c>
      <c r="E690" s="6391" t="str">
        <f t="shared" si="259"/>
        <v/>
      </c>
      <c r="F690" s="6392" t="str">
        <f t="shared" si="260"/>
        <v/>
      </c>
      <c r="G690" s="6321"/>
      <c r="H690" s="6393" t="str">
        <f t="shared" si="261"/>
        <v/>
      </c>
      <c r="I690" s="6405"/>
      <c r="J690" s="6395" t="str">
        <f t="shared" si="262"/>
        <v/>
      </c>
      <c r="K690" s="6396" t="str">
        <f>IF(J690="","",LEFT(J690,IF(LEN(J690)&lt;=I683,LEN(J690),IFERROR(FIND("§",SUBSTITUTE(LEFT(J690,I683+1)," ","§",LEN(LEFT(J690,I683+1))-LEN(SUBSTITUTE(LEFT(J690,I683+1)," ",""))))-1,IFERROR(FIND(" ",J690,I683+1)-1,LEN(J690))))))</f>
        <v/>
      </c>
      <c r="L690" s="6388"/>
      <c r="M690" s="6332"/>
      <c r="N690" t="s">
        <v>21</v>
      </c>
      <c r="AV690" s="103"/>
      <c r="AW690" s="31"/>
      <c r="AX690" s="32"/>
      <c r="AY690" s="31"/>
      <c r="AZ690" s="33"/>
      <c r="BA690" s="1967"/>
      <c r="BB690" s="1805"/>
      <c r="BC690" s="91"/>
      <c r="BD690" s="1806"/>
      <c r="BE690" s="6401"/>
      <c r="BF690" s="6402"/>
      <c r="BG690" s="1969"/>
      <c r="BH690" s="6403"/>
      <c r="BI690" s="95"/>
      <c r="BJ690" s="1326"/>
      <c r="BK690" s="6404"/>
      <c r="BL690" s="1737"/>
      <c r="BM690" s="2081"/>
      <c r="BN690" s="2238"/>
      <c r="BO690" s="1809"/>
      <c r="BR690" s="3">
        <v>1</v>
      </c>
    </row>
    <row r="691" spans="2:70" ht="15.75">
      <c r="B691" s="6236"/>
      <c r="C691" s="6358">
        <f t="shared" si="258"/>
        <v>150</v>
      </c>
      <c r="D691" s="6390" t="str" cm="1">
        <f t="array" ref="D691">IF(MOD(ROW()-50,14)=0,INDEX(D680:D693,MOD(ROW()-50,14)+1),E689)</f>
        <v/>
      </c>
      <c r="E691" s="6391" t="str">
        <f t="shared" si="259"/>
        <v/>
      </c>
      <c r="F691" s="6392" t="str">
        <f t="shared" si="260"/>
        <v/>
      </c>
      <c r="G691" s="6321"/>
      <c r="H691" s="6393" t="str">
        <f t="shared" si="261"/>
        <v/>
      </c>
      <c r="I691" s="6405"/>
      <c r="J691" s="6395" t="str">
        <f t="shared" si="262"/>
        <v/>
      </c>
      <c r="K691" s="6396" t="str">
        <f>IF(J691="","",LEFT(J691,IF(LEN(J691)&lt;=I683,LEN(J691),IFERROR(FIND("§",SUBSTITUTE(LEFT(J691,I683+1)," ","§",LEN(LEFT(J691,I683+1))-LEN(SUBSTITUTE(LEFT(J691,I683+1)," ",""))))-1,IFERROR(FIND(" ",J691,I683+1)-1,LEN(J691))))))</f>
        <v/>
      </c>
      <c r="L691" s="6388"/>
      <c r="M691" s="6332"/>
      <c r="N691" t="s">
        <v>21</v>
      </c>
      <c r="AV691" s="103"/>
      <c r="AW691" s="31"/>
      <c r="AX691" s="32"/>
      <c r="AY691" s="31"/>
      <c r="AZ691" s="33"/>
      <c r="BA691" s="1967"/>
      <c r="BB691" s="1805"/>
      <c r="BC691" s="91"/>
      <c r="BD691" s="1806"/>
      <c r="BE691" s="6401"/>
      <c r="BF691" s="6402"/>
      <c r="BG691" s="1969"/>
      <c r="BH691" s="6403"/>
      <c r="BI691" s="95"/>
      <c r="BJ691" s="1326"/>
      <c r="BK691" s="6404"/>
      <c r="BL691" s="1737"/>
      <c r="BM691" s="2081"/>
      <c r="BN691" s="2238"/>
      <c r="BO691" s="1809"/>
      <c r="BR691" s="3">
        <v>1</v>
      </c>
    </row>
    <row r="692" spans="2:70" ht="15.75">
      <c r="B692" s="6236"/>
      <c r="C692" s="6358">
        <f t="shared" si="258"/>
        <v>150</v>
      </c>
      <c r="D692" s="6390" t="str" cm="1">
        <f t="array" ref="D692">IF(MOD(ROW()-50,14)=0,INDEX(D680:D693,MOD(ROW()-50,14)+1),E690)</f>
        <v/>
      </c>
      <c r="E692" s="6391" t="str">
        <f t="shared" si="259"/>
        <v/>
      </c>
      <c r="F692" s="6392" t="str">
        <f t="shared" si="260"/>
        <v/>
      </c>
      <c r="G692" s="6321"/>
      <c r="H692" s="6393" t="str">
        <f t="shared" si="261"/>
        <v/>
      </c>
      <c r="I692" s="6405"/>
      <c r="J692" s="6395" t="str">
        <f t="shared" si="262"/>
        <v/>
      </c>
      <c r="K692" s="6396" t="str">
        <f>IF(J692="","",LEFT(J692,IF(LEN(J692)&lt;=I683,LEN(J692),IFERROR(FIND("§",SUBSTITUTE(LEFT(J692,I683+1)," ","§",LEN(LEFT(J692,I683+1))-LEN(SUBSTITUTE(LEFT(J692,I683+1)," ",""))))-1,IFERROR(FIND(" ",J692,I683+1)-1,LEN(J692))))))</f>
        <v/>
      </c>
      <c r="L692" s="6396"/>
      <c r="M692" s="6332"/>
      <c r="N692" t="s">
        <v>21</v>
      </c>
      <c r="AV692" s="103"/>
      <c r="AW692" s="31"/>
      <c r="AX692" s="32"/>
      <c r="AY692" s="31"/>
      <c r="AZ692" s="33"/>
      <c r="BA692" s="1967"/>
      <c r="BB692" s="1805"/>
      <c r="BC692" s="91"/>
      <c r="BD692" s="1806"/>
      <c r="BE692" s="6401"/>
      <c r="BF692" s="6402"/>
      <c r="BG692" s="1969"/>
      <c r="BH692" s="6403"/>
      <c r="BI692" s="95"/>
      <c r="BJ692" s="1326"/>
      <c r="BK692" s="6404"/>
      <c r="BL692" s="1737"/>
      <c r="BM692" s="2081"/>
      <c r="BN692" s="2238"/>
      <c r="BO692" s="1809"/>
      <c r="BR692" s="3">
        <v>1</v>
      </c>
    </row>
    <row r="693" spans="2:70" ht="15.75">
      <c r="B693" s="6236"/>
      <c r="C693" s="6376">
        <f t="shared" si="258"/>
        <v>150</v>
      </c>
      <c r="D693" s="6406" t="str" cm="1">
        <f t="array" ref="D693">IF(MOD(ROW()-50,14)=0,INDEX(D680:D693,MOD(ROW()-50,14)+1),E691)</f>
        <v/>
      </c>
      <c r="E693" s="6407" t="str">
        <f t="shared" si="259"/>
        <v/>
      </c>
      <c r="F693" s="6408" t="str">
        <f t="shared" si="260"/>
        <v/>
      </c>
      <c r="G693" s="6322"/>
      <c r="H693" s="6409" t="str">
        <f t="shared" si="261"/>
        <v/>
      </c>
      <c r="I693" s="6410"/>
      <c r="J693" s="6411" t="str">
        <f t="shared" si="262"/>
        <v/>
      </c>
      <c r="K693" s="6412" t="str">
        <f>IF(J693="","",LEFT(J693,IF(LEN(J693)&lt;=I683,LEN(J693),IFERROR(FIND("§",SUBSTITUTE(LEFT(J693,I683+1)," ","§",LEN(LEFT(J693,I683+1))-LEN(SUBSTITUTE(LEFT(J693,I683+1)," ",""))))-1,IFERROR(FIND(" ",J693,I683+1)-1,LEN(J693))))))</f>
        <v/>
      </c>
      <c r="L693" s="6413"/>
      <c r="M693" s="6333"/>
      <c r="N693" t="s">
        <v>21</v>
      </c>
      <c r="AV693" s="103"/>
      <c r="AW693" s="31"/>
      <c r="AX693" s="32"/>
      <c r="AY693" s="31"/>
      <c r="AZ693" s="33"/>
      <c r="BA693" s="1967"/>
      <c r="BB693" s="1805"/>
      <c r="BC693" s="91"/>
      <c r="BD693" s="1806"/>
      <c r="BE693" s="6401"/>
      <c r="BF693" s="6402"/>
      <c r="BG693" s="1969"/>
      <c r="BH693" s="6403"/>
      <c r="BI693" s="95"/>
      <c r="BJ693" s="1326"/>
      <c r="BK693" s="6404"/>
      <c r="BL693" s="1737"/>
      <c r="BM693" s="2081"/>
      <c r="BN693" s="2238"/>
      <c r="BO693" s="1809"/>
      <c r="BR693" s="3">
        <v>1</v>
      </c>
    </row>
    <row r="694" spans="2:70" ht="15.75">
      <c r="B694" s="6236"/>
      <c r="C694" s="6313">
        <f>AD96</f>
        <v>150</v>
      </c>
      <c r="D694" s="6314" t="str">
        <f>IF(UPPER(TRIM(X45))="X",U96,O96)</f>
        <v>47.TEST LIGNE 19 colonne Q et ligne 20 colonne P. rechercher la cellule qui coupe le texte Dans la cocotte N°3 en fonte, faites chauffer l’huile d’olive à feu moyen. Ajoutez la viande et faites-la dorer de tous les côtés. Retirez-la de la cocotte et réservez-la.</v>
      </c>
      <c r="E694" s="6315" t="str">
        <f>IF(D694="","",IF(F694="","",IF(LEN(F694)&gt;=LEN(D694),"",TRIM(MID(D694,LEN(F694)+1,99999)))))</f>
        <v>d’olive à feu moyen. Ajoutez la viande et faites-la dorer de tous les côtés. Retirez-la de la cocotte et réservez-la.</v>
      </c>
      <c r="F694" s="6316" t="str">
        <f>IF(D694="","",IF(LEN(D694)&lt;=C694,D694,IFERROR(LEFT(D694,FIND("§",SUBSTITUTE(LEFT(D694,C694+1)," ","§",LEN(LEFT(D694,C694+1))-LEN(SUBSTITUTE(LEFT(D694,C694+1)," ",""))))-1),LEFT(D694,C694))))</f>
        <v>47.TEST LIGNE 19 colonne Q et ligne 20 colonne P. rechercher la cellule qui coupe le texte Dans la cocotte N°3 en fonte, faites chauffer l’huile</v>
      </c>
      <c r="G694" s="6317"/>
      <c r="H694" s="6323">
        <f>IF(LEN(TRIM(L694))&gt;0,MAX(H693:H693)+1,"")</f>
        <v>1</v>
      </c>
      <c r="I694" s="6324" t="str">
        <f>D694</f>
        <v>47.TEST LIGNE 19 colonne Q et ligne 20 colonne P. rechercher la cellule qui coupe le texte Dans la cocotte N°3 en fonte, faites chauffer l’huile d’olive à feu moyen. Ajoutez la viande et faites-la dorer de tous les côtés. Retirez-la de la cocotte et réservez-la.</v>
      </c>
      <c r="J694" s="6325" t="str">
        <f>IF(I694=0,"",I694)</f>
        <v>47.TEST LIGNE 19 colonne Q et ligne 20 colonne P. rechercher la cellule qui coupe le texte Dans la cocotte N°3 en fonte, faites chauffer l’huile d’olive à feu moyen. Ajoutez la viande et faites-la dorer de tous les côtés. Retirez-la de la cocotte et réservez-la.</v>
      </c>
      <c r="K694" s="6326" t="str">
        <f>IF(I694="","",LEFT(I694,IF(LEN(I694)&lt;=I697,LEN(I694),IFERROR(FIND("§",SUBSTITUTE(LEFT(I694,I697+1)," ","§",LEN(LEFT(I694,I697+1))-LEN(SUBSTITUTE(LEFT(I694,I697+1)," ",""))))-1,IFERROR(FIND(" ",I694,I697+1)-1,LEN(I694))))))</f>
        <v>47.TEST LIGNE 19 colonne Q et ligne 20 colonne P.</v>
      </c>
      <c r="L694" s="6326" t="str" cm="1">
        <f t="array" ref="L694:L699">_xlfn._xlws.FILTER(TRIM(SUBSTITUTE(SUBSTITUTE(SUBSTITUTE(SUBSTITUTE(SUBSTITUTE(CLEAN(K694:K707),CHAR(160)," "),_xlfn.UNICHAR(8239)," "),CHAR(9)," "),CHAR(10)," "),CHAR(13)," ")),TRIM(SUBSTITUTE(SUBSTITUTE(SUBSTITUTE(SUBSTITUTE(SUBSTITUTE(CLEAN(K694:K707),CHAR(160)," "),_xlfn.UNICHAR(8239)," "),CHAR(9)," "),CHAR(10)," "),CHAR(13)," "))&lt;&gt;"")</f>
        <v>47.TEST LIGNE 19 colonne Q et ligne 20 colonne P.</v>
      </c>
      <c r="M694" s="6328"/>
      <c r="N694" t="s">
        <v>21</v>
      </c>
      <c r="AV694" s="103"/>
      <c r="AW694" s="31"/>
      <c r="AX694" s="32"/>
      <c r="AY694" s="31"/>
      <c r="AZ694" s="33"/>
      <c r="BA694" s="1967"/>
      <c r="BB694" s="1805"/>
      <c r="BC694" s="91"/>
      <c r="BD694" s="1806"/>
      <c r="BE694" s="6401"/>
      <c r="BF694" s="6402"/>
      <c r="BG694" s="1969"/>
      <c r="BH694" s="6403"/>
      <c r="BI694" s="95"/>
      <c r="BJ694" s="1326"/>
      <c r="BK694" s="6404"/>
      <c r="BL694" s="1737"/>
      <c r="BM694" s="2081"/>
      <c r="BN694" s="2238"/>
      <c r="BO694" s="1809"/>
      <c r="BR694" s="3">
        <v>1</v>
      </c>
    </row>
    <row r="695" spans="2:70" ht="15.75">
      <c r="B695" s="6236"/>
      <c r="C695" s="6358">
        <f t="shared" ref="C695:C707" si="263">C694</f>
        <v>150</v>
      </c>
      <c r="D695" s="6359" t="str" cm="1">
        <f t="array" ref="D695">IF(MOD(ROW()-50,14)=0,INDEX(D694:D707,MOD(ROW()-50,14)+1),E693)</f>
        <v/>
      </c>
      <c r="E695" s="6360" t="str">
        <f t="shared" ref="E695:E707" si="264">IF(D695="","",IF(F695="","",IF(LEN(F695)&gt;=LEN(D695),"",TRIM(MID(D695,LEN(F695)+1,99999)))))</f>
        <v/>
      </c>
      <c r="F695" s="6361" t="str">
        <f t="shared" ref="F695:F707" si="265">IF(D695="","",IF(LEN(D695)&lt;=C695,D695,IFERROR(LEFT(D695,FIND("§",SUBSTITUTE(LEFT(D695,C695+1)," ","§",LEN(LEFT(D695,C695+1))-LEN(SUBSTITUTE(LEFT(D695,C695+1)," ",""))))-1),LEFT(D695,C695))))</f>
        <v/>
      </c>
      <c r="G695" s="6318"/>
      <c r="H695" s="6323">
        <f t="shared" ref="H695:H707" si="266">IF(LEN(TRIM(L695))&gt;0,MAX(H694:H694)+1,"")</f>
        <v>2</v>
      </c>
      <c r="I695" s="6362" t="s">
        <v>14355</v>
      </c>
      <c r="J695" s="6363" t="str">
        <f>TRIM(MID(I698,LEN(K694)+1,99999))</f>
        <v>rechercher la cellule qui coupe le texte Dans la cocotte N°3 en fonte, faites chauffer l’huile d’olive à feu moyen. Ajoutez la viande et faites-la dorer de tous les côtés. Retirez-la de la cocotte et réservez-la.</v>
      </c>
      <c r="K695" s="6364" t="str">
        <f>IF(J695="","",LEFT(J695,IF(LEN(J695)&lt;=I697,LEN(J695),IFERROR(FIND("§",SUBSTITUTE(LEFT(J695,I697+1)," ","§",LEN(LEFT(J695,I697+1))-LEN(SUBSTITUTE(LEFT(J695,I697+1)," ",""))))-1,IFERROR(FIND(" ",J695,I697+1)-1,LEN(J695))))))</f>
        <v>rechercher la cellule qui coupe le texte Dans la</v>
      </c>
      <c r="L695" s="6327" t="str">
        <v>rechercher la cellule qui coupe le texte Dans la</v>
      </c>
      <c r="M695" s="6329"/>
      <c r="N695" t="s">
        <v>21</v>
      </c>
      <c r="AV695" s="103"/>
      <c r="AW695" s="31"/>
      <c r="AX695" s="32"/>
      <c r="AY695" s="31"/>
      <c r="AZ695" s="33"/>
      <c r="BA695" s="1967"/>
      <c r="BB695" s="1805"/>
      <c r="BC695" s="91"/>
      <c r="BD695" s="1806"/>
      <c r="BE695" s="6401"/>
      <c r="BF695" s="6402"/>
      <c r="BG695" s="1969"/>
      <c r="BH695" s="6403"/>
      <c r="BI695" s="95"/>
      <c r="BJ695" s="1326"/>
      <c r="BK695" s="6404"/>
      <c r="BL695" s="1737"/>
      <c r="BM695" s="2081"/>
      <c r="BN695" s="2238"/>
      <c r="BO695" s="1809"/>
      <c r="BR695" s="3">
        <v>1</v>
      </c>
    </row>
    <row r="696" spans="2:70" ht="15.75">
      <c r="B696" s="6236"/>
      <c r="C696" s="6358">
        <f t="shared" si="263"/>
        <v>150</v>
      </c>
      <c r="D696" s="6359" t="str" cm="1">
        <f t="array" ref="D696">IF(MOD(ROW()-50,14)=0,INDEX(D694:D707,MOD(ROW()-50,14)+1),E694)</f>
        <v>d’olive à feu moyen. Ajoutez la viande et faites-la dorer de tous les côtés. Retirez-la de la cocotte et réservez-la.</v>
      </c>
      <c r="E696" s="6360" t="str">
        <f t="shared" si="264"/>
        <v/>
      </c>
      <c r="F696" s="6361" t="str">
        <f t="shared" si="265"/>
        <v>d’olive à feu moyen. Ajoutez la viande et faites-la dorer de tous les côtés. Retirez-la de la cocotte et réservez-la.</v>
      </c>
      <c r="G696" s="6318"/>
      <c r="H696" s="6323">
        <f t="shared" si="266"/>
        <v>3</v>
      </c>
      <c r="I696" s="6365">
        <f>Z96</f>
        <v>5</v>
      </c>
      <c r="J696" s="6363" t="str">
        <f t="shared" ref="J696:J707" si="267">TRIM(MID(J695,LEN(K695)+1,99999))</f>
        <v>cocotte N°3 en fonte, faites chauffer l’huile d’olive à feu moyen. Ajoutez la viande et faites-la dorer de tous les côtés. Retirez-la de la cocotte et réservez-la.</v>
      </c>
      <c r="K696" s="6364" t="str">
        <f>IF(J696="","",LEFT(J696,IF(LEN(J696)&lt;=I697,LEN(J696),IFERROR(FIND("§",SUBSTITUTE(LEFT(J696,I697+1)," ","§",LEN(LEFT(J696,I697+1))-LEN(SUBSTITUTE(LEFT(J696,I697+1)," ",""))))-1,IFERROR(FIND(" ",J696,I697+1)-1,LEN(J696))))))</f>
        <v>cocotte N°3 en fonte, faites chauffer l’huile d’olive</v>
      </c>
      <c r="L696" s="6327" t="str">
        <v>cocotte N°3 en fonte, faites chauffer l’huile d’olive</v>
      </c>
      <c r="M696" s="6329"/>
      <c r="N696" t="s">
        <v>21</v>
      </c>
      <c r="AV696" s="103"/>
      <c r="AW696" s="31"/>
      <c r="AX696" s="32"/>
      <c r="AY696" s="31"/>
      <c r="AZ696" s="33"/>
      <c r="BA696" s="1967"/>
      <c r="BB696" s="1805"/>
      <c r="BC696" s="91"/>
      <c r="BD696" s="1806"/>
      <c r="BE696" s="6401"/>
      <c r="BF696" s="6402"/>
      <c r="BG696" s="1969"/>
      <c r="BH696" s="6403"/>
      <c r="BI696" s="95"/>
      <c r="BJ696" s="1326"/>
      <c r="BK696" s="6404"/>
      <c r="BL696" s="1737"/>
      <c r="BM696" s="2081"/>
      <c r="BN696" s="2238"/>
      <c r="BO696" s="1809"/>
      <c r="BR696" s="3">
        <v>1</v>
      </c>
    </row>
    <row r="697" spans="2:70" ht="15.75">
      <c r="B697" s="6236"/>
      <c r="C697" s="6358">
        <f t="shared" si="263"/>
        <v>150</v>
      </c>
      <c r="D697" s="6359" t="str" cm="1">
        <f t="array" ref="D697">IF(MOD(ROW()-50,14)=0,INDEX(D694:D707,MOD(ROW()-50,14)+1),E695)</f>
        <v/>
      </c>
      <c r="E697" s="6360" t="str">
        <f t="shared" si="264"/>
        <v/>
      </c>
      <c r="F697" s="6361" t="str">
        <f t="shared" si="265"/>
        <v/>
      </c>
      <c r="G697" s="6318"/>
      <c r="H697" s="6323">
        <f t="shared" si="266"/>
        <v>4</v>
      </c>
      <c r="I697" s="6370">
        <f>IF(OR(J694="",I696="",I696&lt;=0),"",ROUNDUP(LEN(J694)/I696,0))</f>
        <v>53</v>
      </c>
      <c r="J697" s="6363" t="str">
        <f t="shared" si="267"/>
        <v>à feu moyen. Ajoutez la viande et faites-la dorer de tous les côtés. Retirez-la de la cocotte et réservez-la.</v>
      </c>
      <c r="K697" s="6364" t="str">
        <f>IF(J697="","",LEFT(J697,IF(LEN(J697)&lt;=I697,LEN(J697),IFERROR(FIND("§",SUBSTITUTE(LEFT(J697,I697+1)," ","§",LEN(LEFT(J697,I697+1))-LEN(SUBSTITUTE(LEFT(J697,I697+1)," ",""))))-1,IFERROR(FIND(" ",J697,I697+1)-1,LEN(J697))))))</f>
        <v>à feu moyen. Ajoutez la viande et faites-la dorer de</v>
      </c>
      <c r="L697" s="6327" t="str">
        <v>à feu moyen. Ajoutez la viande et faites-la dorer de</v>
      </c>
      <c r="M697" s="6329"/>
      <c r="N697" t="s">
        <v>21</v>
      </c>
      <c r="AV697" s="103"/>
      <c r="AW697" s="31"/>
      <c r="AX697" s="32"/>
      <c r="AY697" s="31"/>
      <c r="AZ697" s="33"/>
      <c r="BA697" s="1967"/>
      <c r="BB697" s="1805"/>
      <c r="BC697" s="91"/>
      <c r="BD697" s="1806"/>
      <c r="BE697" s="6401"/>
      <c r="BF697" s="6402"/>
      <c r="BG697" s="1969"/>
      <c r="BH697" s="6403"/>
      <c r="BI697" s="95"/>
      <c r="BJ697" s="1326"/>
      <c r="BK697" s="6404"/>
      <c r="BL697" s="1737"/>
      <c r="BM697" s="2081"/>
      <c r="BN697" s="2238"/>
      <c r="BO697" s="1809"/>
      <c r="BR697" s="3">
        <v>1</v>
      </c>
    </row>
    <row r="698" spans="2:70" ht="15.75">
      <c r="B698" s="6236"/>
      <c r="C698" s="6358">
        <f t="shared" si="263"/>
        <v>150</v>
      </c>
      <c r="D698" s="6359" t="str" cm="1">
        <f t="array" ref="D698">IF(MOD(ROW()-50,14)=0,INDEX(D694:D707,MOD(ROW()-50,14)+1),E696)</f>
        <v/>
      </c>
      <c r="E698" s="6360" t="str">
        <f t="shared" si="264"/>
        <v/>
      </c>
      <c r="F698" s="6361" t="str">
        <f t="shared" si="265"/>
        <v/>
      </c>
      <c r="G698" s="6318"/>
      <c r="H698" s="6323">
        <f t="shared" si="266"/>
        <v>5</v>
      </c>
      <c r="I698" s="6372" t="str">
        <f>I694</f>
        <v>47.TEST LIGNE 19 colonne Q et ligne 20 colonne P. rechercher la cellule qui coupe le texte Dans la cocotte N°3 en fonte, faites chauffer l’huile d’olive à feu moyen. Ajoutez la viande et faites-la dorer de tous les côtés. Retirez-la de la cocotte et réservez-la.</v>
      </c>
      <c r="J698" s="6363" t="str">
        <f t="shared" si="267"/>
        <v>tous les côtés. Retirez-la de la cocotte et réservez-la.</v>
      </c>
      <c r="K698" s="6364" t="str">
        <f>IF(J698="","",LEFT(J698,IF(LEN(J698)&lt;=I697,LEN(J698),IFERROR(FIND("§",SUBSTITUTE(LEFT(J698,I697+1)," ","§",LEN(LEFT(J698,I697+1))-LEN(SUBSTITUTE(LEFT(J698,I697+1)," ",""))))-1,IFERROR(FIND(" ",J698,I697+1)-1,LEN(J698))))))</f>
        <v>tous les côtés. Retirez-la de la cocotte et</v>
      </c>
      <c r="L698" s="6327" t="str">
        <v>tous les côtés. Retirez-la de la cocotte et</v>
      </c>
      <c r="M698" s="6329"/>
      <c r="N698" t="s">
        <v>21</v>
      </c>
      <c r="AV698" s="103"/>
      <c r="AW698" s="31"/>
      <c r="AX698" s="32"/>
      <c r="AY698" s="31"/>
      <c r="AZ698" s="33"/>
      <c r="BA698" s="1967"/>
      <c r="BB698" s="1805"/>
      <c r="BC698" s="91"/>
      <c r="BD698" s="1806"/>
      <c r="BE698" s="6401"/>
      <c r="BF698" s="6402"/>
      <c r="BG698" s="1969"/>
      <c r="BH698" s="6403"/>
      <c r="BI698" s="95"/>
      <c r="BJ698" s="1326"/>
      <c r="BK698" s="6404"/>
      <c r="BL698" s="1737"/>
      <c r="BM698" s="2081"/>
      <c r="BN698" s="2238"/>
      <c r="BO698" s="1809"/>
      <c r="BR698" s="3">
        <v>1</v>
      </c>
    </row>
    <row r="699" spans="2:70" ht="15.75">
      <c r="B699" s="6236"/>
      <c r="C699" s="6358">
        <f t="shared" si="263"/>
        <v>150</v>
      </c>
      <c r="D699" s="6359" t="str" cm="1">
        <f t="array" ref="D699">IF(MOD(ROW()-50,14)=0,INDEX(D694:D707,MOD(ROW()-50,14)+1),E697)</f>
        <v/>
      </c>
      <c r="E699" s="6360" t="str">
        <f t="shared" si="264"/>
        <v/>
      </c>
      <c r="F699" s="6361" t="str">
        <f t="shared" si="265"/>
        <v/>
      </c>
      <c r="G699" s="6318"/>
      <c r="H699" s="6323">
        <f t="shared" si="266"/>
        <v>6</v>
      </c>
      <c r="I699" s="6373"/>
      <c r="J699" s="6363" t="str">
        <f t="shared" si="267"/>
        <v>réservez-la.</v>
      </c>
      <c r="K699" s="6364" t="str">
        <f>IF(J699="","",LEFT(J699,IF(LEN(J699)&lt;=I697,LEN(J699),IFERROR(FIND("§",SUBSTITUTE(LEFT(J699,I697+1)," ","§",LEN(LEFT(J699,I697+1))-LEN(SUBSTITUTE(LEFT(J699,I697+1)," ",""))))-1,IFERROR(FIND(" ",J699,I697+1)-1,LEN(J699))))))</f>
        <v>réservez-la.</v>
      </c>
      <c r="L699" s="6327" t="str">
        <v>réservez-la.</v>
      </c>
      <c r="M699" s="6329"/>
      <c r="N699" t="s">
        <v>21</v>
      </c>
      <c r="AV699" s="103"/>
      <c r="AW699" s="31"/>
      <c r="AX699" s="32"/>
      <c r="AY699" s="31"/>
      <c r="AZ699" s="33"/>
      <c r="BA699" s="1967"/>
      <c r="BB699" s="1805"/>
      <c r="BC699" s="91"/>
      <c r="BD699" s="1806"/>
      <c r="BE699" s="6401"/>
      <c r="BF699" s="6402"/>
      <c r="BG699" s="1969"/>
      <c r="BH699" s="6403"/>
      <c r="BI699" s="95"/>
      <c r="BJ699" s="1326"/>
      <c r="BK699" s="6404"/>
      <c r="BL699" s="1737"/>
      <c r="BM699" s="2081"/>
      <c r="BN699" s="2238"/>
      <c r="BO699" s="1809"/>
      <c r="BR699" s="3">
        <v>1</v>
      </c>
    </row>
    <row r="700" spans="2:70" ht="15.75">
      <c r="B700" s="6236"/>
      <c r="C700" s="6358">
        <f t="shared" si="263"/>
        <v>150</v>
      </c>
      <c r="D700" s="6359" t="str" cm="1">
        <f t="array" ref="D700">IF(MOD(ROW()-50,14)=0,INDEX(D694:D707,MOD(ROW()-50,14)+1),E698)</f>
        <v/>
      </c>
      <c r="E700" s="6360" t="str">
        <f t="shared" si="264"/>
        <v/>
      </c>
      <c r="F700" s="6361" t="str">
        <f t="shared" si="265"/>
        <v/>
      </c>
      <c r="G700" s="6318"/>
      <c r="H700" s="6323" t="str">
        <f t="shared" si="266"/>
        <v/>
      </c>
      <c r="I700" s="6373"/>
      <c r="J700" s="6363" t="str">
        <f t="shared" si="267"/>
        <v/>
      </c>
      <c r="K700" s="6364" t="str">
        <f>IF(J700="","",LEFT(J700,IF(LEN(J700)&lt;=I697,LEN(J700),IFERROR(FIND("§",SUBSTITUTE(LEFT(J700,I697+1)," ","§",LEN(LEFT(J700,I697+1))-LEN(SUBSTITUTE(LEFT(J700,I697+1)," ",""))))-1,IFERROR(FIND(" ",J700,I697+1)-1,LEN(J700))))))</f>
        <v/>
      </c>
      <c r="L700" s="6327"/>
      <c r="M700" s="6329"/>
      <c r="N700" t="s">
        <v>21</v>
      </c>
      <c r="AV700" s="103"/>
      <c r="AW700" s="31"/>
      <c r="AX700" s="32"/>
      <c r="AY700" s="31"/>
      <c r="AZ700" s="33"/>
      <c r="BA700" s="1967"/>
      <c r="BB700" s="1805"/>
      <c r="BC700" s="91"/>
      <c r="BD700" s="1806"/>
      <c r="BE700" s="6401"/>
      <c r="BF700" s="6402"/>
      <c r="BG700" s="1969"/>
      <c r="BH700" s="6403"/>
      <c r="BI700" s="95"/>
      <c r="BJ700" s="1326"/>
      <c r="BK700" s="6404"/>
      <c r="BL700" s="1737"/>
      <c r="BM700" s="2081"/>
      <c r="BN700" s="2238"/>
      <c r="BO700" s="1809"/>
      <c r="BR700" s="3">
        <v>1</v>
      </c>
    </row>
    <row r="701" spans="2:70" ht="15.75">
      <c r="B701" s="6236"/>
      <c r="C701" s="6358">
        <f t="shared" si="263"/>
        <v>150</v>
      </c>
      <c r="D701" s="6359" t="str" cm="1">
        <f t="array" ref="D701">IF(MOD(ROW()-50,14)=0,INDEX(D694:D707,MOD(ROW()-50,14)+1),E699)</f>
        <v/>
      </c>
      <c r="E701" s="6360" t="str">
        <f t="shared" si="264"/>
        <v/>
      </c>
      <c r="F701" s="6361" t="str">
        <f t="shared" si="265"/>
        <v/>
      </c>
      <c r="G701" s="6318"/>
      <c r="H701" s="6323" t="str">
        <f t="shared" si="266"/>
        <v/>
      </c>
      <c r="I701" s="6373"/>
      <c r="J701" s="6363" t="str">
        <f t="shared" si="267"/>
        <v/>
      </c>
      <c r="K701" s="6364" t="str">
        <f>IF(J701="","",LEFT(J701,IF(LEN(J701)&lt;=I697,LEN(J701),IFERROR(FIND("§",SUBSTITUTE(LEFT(J701,I697+1)," ","§",LEN(LEFT(J701,I697+1))-LEN(SUBSTITUTE(LEFT(J701,I697+1)," ",""))))-1,IFERROR(FIND(" ",J701,I697+1)-1,LEN(J701))))))</f>
        <v/>
      </c>
      <c r="L701" s="6327"/>
      <c r="M701" s="6329"/>
      <c r="N701" t="s">
        <v>21</v>
      </c>
      <c r="AV701" s="103"/>
      <c r="AW701" s="31"/>
      <c r="AX701" s="32"/>
      <c r="AY701" s="31"/>
      <c r="AZ701" s="33"/>
      <c r="BA701" s="1967"/>
      <c r="BB701" s="1805"/>
      <c r="BC701" s="91"/>
      <c r="BD701" s="1806"/>
      <c r="BE701" s="6401"/>
      <c r="BF701" s="6402"/>
      <c r="BG701" s="1969"/>
      <c r="BH701" s="6403"/>
      <c r="BI701" s="95"/>
      <c r="BJ701" s="1326"/>
      <c r="BK701" s="6404"/>
      <c r="BL701" s="1737"/>
      <c r="BM701" s="2081"/>
      <c r="BN701" s="2238"/>
      <c r="BO701" s="1809"/>
      <c r="BR701" s="3">
        <v>1</v>
      </c>
    </row>
    <row r="702" spans="2:70" ht="15.75">
      <c r="B702" s="6236"/>
      <c r="C702" s="6358">
        <f t="shared" si="263"/>
        <v>150</v>
      </c>
      <c r="D702" s="6359" t="str" cm="1">
        <f t="array" ref="D702">IF(MOD(ROW()-50,14)=0,INDEX(D694:D707,MOD(ROW()-50,14)+1),E700)</f>
        <v/>
      </c>
      <c r="E702" s="6360" t="str">
        <f t="shared" si="264"/>
        <v/>
      </c>
      <c r="F702" s="6361" t="str">
        <f t="shared" si="265"/>
        <v/>
      </c>
      <c r="G702" s="6318"/>
      <c r="H702" s="6323" t="str">
        <f t="shared" si="266"/>
        <v/>
      </c>
      <c r="I702" s="6373"/>
      <c r="J702" s="6363" t="str">
        <f t="shared" si="267"/>
        <v/>
      </c>
      <c r="K702" s="6364" t="str">
        <f>IF(J702="","",LEFT(J702,IF(LEN(J702)&lt;=I697,LEN(J702),IFERROR(FIND("§",SUBSTITUTE(LEFT(J702,I697+1)," ","§",LEN(LEFT(J702,I697+1))-LEN(SUBSTITUTE(LEFT(J702,I697+1)," ",""))))-1,IFERROR(FIND(" ",J702,I697+1)-1,LEN(J702))))))</f>
        <v/>
      </c>
      <c r="L702" s="6327"/>
      <c r="M702" s="6329"/>
      <c r="N702" t="s">
        <v>21</v>
      </c>
      <c r="AV702" s="103"/>
      <c r="AW702" s="31"/>
      <c r="AX702" s="32"/>
      <c r="AY702" s="31"/>
      <c r="AZ702" s="33"/>
      <c r="BA702" s="1967"/>
      <c r="BB702" s="1805"/>
      <c r="BC702" s="91"/>
      <c r="BD702" s="1806"/>
      <c r="BE702" s="6401"/>
      <c r="BF702" s="6402"/>
      <c r="BG702" s="1969"/>
      <c r="BH702" s="6403"/>
      <c r="BI702" s="95"/>
      <c r="BJ702" s="1326"/>
      <c r="BK702" s="6404"/>
      <c r="BL702" s="1737"/>
      <c r="BM702" s="2081"/>
      <c r="BN702" s="2238"/>
      <c r="BO702" s="1809"/>
      <c r="BR702" s="3">
        <v>1</v>
      </c>
    </row>
    <row r="703" spans="2:70" ht="15.75">
      <c r="B703" s="6236"/>
      <c r="C703" s="6358">
        <f t="shared" si="263"/>
        <v>150</v>
      </c>
      <c r="D703" s="6359" t="str" cm="1">
        <f t="array" ref="D703">IF(MOD(ROW()-50,14)=0,INDEX(D694:D707,MOD(ROW()-50,14)+1),E701)</f>
        <v/>
      </c>
      <c r="E703" s="6360" t="str">
        <f t="shared" si="264"/>
        <v/>
      </c>
      <c r="F703" s="6361" t="str">
        <f t="shared" si="265"/>
        <v/>
      </c>
      <c r="G703" s="6318"/>
      <c r="H703" s="6323" t="str">
        <f t="shared" si="266"/>
        <v/>
      </c>
      <c r="I703" s="6373"/>
      <c r="J703" s="6363" t="str">
        <f t="shared" si="267"/>
        <v/>
      </c>
      <c r="K703" s="6364" t="str">
        <f>IF(J703="","",LEFT(J703,IF(LEN(J703)&lt;=I697,LEN(J703),IFERROR(FIND("§",SUBSTITUTE(LEFT(J703,I697+1)," ","§",LEN(LEFT(J703,I697+1))-LEN(SUBSTITUTE(LEFT(J703,I697+1)," ",""))))-1,IFERROR(FIND(" ",J703,I697+1)-1,LEN(J703))))))</f>
        <v/>
      </c>
      <c r="L703" s="6327"/>
      <c r="M703" s="6329"/>
      <c r="N703" t="s">
        <v>21</v>
      </c>
      <c r="AV703" s="103"/>
      <c r="AW703" s="31"/>
      <c r="AX703" s="32"/>
      <c r="AY703" s="31"/>
      <c r="AZ703" s="33"/>
      <c r="BA703" s="1967"/>
      <c r="BB703" s="1805"/>
      <c r="BC703" s="91"/>
      <c r="BD703" s="1806"/>
      <c r="BE703" s="6401"/>
      <c r="BF703" s="6402"/>
      <c r="BG703" s="1969"/>
      <c r="BH703" s="6403"/>
      <c r="BI703" s="95"/>
      <c r="BJ703" s="1326"/>
      <c r="BK703" s="6404"/>
      <c r="BL703" s="1737"/>
      <c r="BM703" s="2081"/>
      <c r="BN703" s="2238"/>
      <c r="BO703" s="1809"/>
      <c r="BR703" s="3">
        <v>1</v>
      </c>
    </row>
    <row r="704" spans="2:70" ht="15.75">
      <c r="B704" s="6236"/>
      <c r="C704" s="6358">
        <f t="shared" si="263"/>
        <v>150</v>
      </c>
      <c r="D704" s="6359" t="str" cm="1">
        <f t="array" ref="D704">IF(MOD(ROW()-50,14)=0,INDEX(D694:D707,MOD(ROW()-50,14)+1),E702)</f>
        <v/>
      </c>
      <c r="E704" s="6360" t="str">
        <f t="shared" si="264"/>
        <v/>
      </c>
      <c r="F704" s="6361" t="str">
        <f t="shared" si="265"/>
        <v/>
      </c>
      <c r="G704" s="6318"/>
      <c r="H704" s="6323" t="str">
        <f t="shared" si="266"/>
        <v/>
      </c>
      <c r="I704" s="6373"/>
      <c r="J704" s="6363" t="str">
        <f t="shared" si="267"/>
        <v/>
      </c>
      <c r="K704" s="6364" t="str">
        <f>IF(J704="","",LEFT(J704,IF(LEN(J704)&lt;=I697,LEN(J704),IFERROR(FIND("§",SUBSTITUTE(LEFT(J704,I697+1)," ","§",LEN(LEFT(J704,I697+1))-LEN(SUBSTITUTE(LEFT(J704,I697+1)," ",""))))-1,IFERROR(FIND(" ",J704,I697+1)-1,LEN(J704))))))</f>
        <v/>
      </c>
      <c r="L704" s="6327"/>
      <c r="M704" s="6329"/>
      <c r="N704" t="s">
        <v>21</v>
      </c>
      <c r="AV704" s="103"/>
      <c r="AW704" s="31"/>
      <c r="AX704" s="32"/>
      <c r="AY704" s="31"/>
      <c r="AZ704" s="33"/>
      <c r="BA704" s="1967"/>
      <c r="BB704" s="1805"/>
      <c r="BC704" s="91"/>
      <c r="BD704" s="1806"/>
      <c r="BE704" s="6401"/>
      <c r="BF704" s="6402"/>
      <c r="BG704" s="1969"/>
      <c r="BH704" s="6403"/>
      <c r="BI704" s="95"/>
      <c r="BJ704" s="1326"/>
      <c r="BK704" s="6404"/>
      <c r="BL704" s="1737"/>
      <c r="BM704" s="2081"/>
      <c r="BN704" s="2238"/>
      <c r="BO704" s="1809"/>
      <c r="BR704" s="3">
        <v>1</v>
      </c>
    </row>
    <row r="705" spans="2:70" ht="15.75">
      <c r="B705" s="6236"/>
      <c r="C705" s="6358">
        <f t="shared" si="263"/>
        <v>150</v>
      </c>
      <c r="D705" s="6359" t="str" cm="1">
        <f t="array" ref="D705">IF(MOD(ROW()-50,14)=0,INDEX(D694:D707,MOD(ROW()-50,14)+1),E703)</f>
        <v/>
      </c>
      <c r="E705" s="6360" t="str">
        <f t="shared" si="264"/>
        <v/>
      </c>
      <c r="F705" s="6361" t="str">
        <f t="shared" si="265"/>
        <v/>
      </c>
      <c r="G705" s="6318"/>
      <c r="H705" s="6323" t="str">
        <f t="shared" si="266"/>
        <v/>
      </c>
      <c r="I705" s="6373"/>
      <c r="J705" s="6363" t="str">
        <f t="shared" si="267"/>
        <v/>
      </c>
      <c r="K705" s="6364" t="str">
        <f>IF(J705="","",LEFT(J705,IF(LEN(J705)&lt;=I697,LEN(J705),IFERROR(FIND("§",SUBSTITUTE(LEFT(J705,I697+1)," ","§",LEN(LEFT(J705,I697+1))-LEN(SUBSTITUTE(LEFT(J705,I697+1)," ",""))))-1,IFERROR(FIND(" ",J705,I697+1)-1,LEN(J705))))))</f>
        <v/>
      </c>
      <c r="L705" s="6327"/>
      <c r="M705" s="6329"/>
      <c r="N705" t="s">
        <v>21</v>
      </c>
      <c r="AV705" s="103"/>
      <c r="AW705" s="31"/>
      <c r="AX705" s="32"/>
      <c r="AY705" s="31"/>
      <c r="AZ705" s="33"/>
      <c r="BA705" s="1967"/>
      <c r="BB705" s="1805"/>
      <c r="BC705" s="91"/>
      <c r="BD705" s="1806"/>
      <c r="BE705" s="6401"/>
      <c r="BF705" s="6402"/>
      <c r="BG705" s="1969"/>
      <c r="BH705" s="6403"/>
      <c r="BI705" s="95"/>
      <c r="BJ705" s="1326"/>
      <c r="BK705" s="6404"/>
      <c r="BL705" s="1737"/>
      <c r="BM705" s="2081"/>
      <c r="BN705" s="2238"/>
      <c r="BO705" s="1809"/>
      <c r="BR705" s="3">
        <v>1</v>
      </c>
    </row>
    <row r="706" spans="2:70" ht="15.75">
      <c r="B706" s="6236"/>
      <c r="C706" s="6358">
        <f t="shared" si="263"/>
        <v>150</v>
      </c>
      <c r="D706" s="6359" t="str" cm="1">
        <f t="array" ref="D706">IF(MOD(ROW()-50,14)=0,INDEX(D694:D707,MOD(ROW()-50,14)+1),E704)</f>
        <v/>
      </c>
      <c r="E706" s="6360" t="str">
        <f t="shared" si="264"/>
        <v/>
      </c>
      <c r="F706" s="6361" t="str">
        <f t="shared" si="265"/>
        <v/>
      </c>
      <c r="G706" s="6318"/>
      <c r="H706" s="6323" t="str">
        <f t="shared" si="266"/>
        <v/>
      </c>
      <c r="I706" s="6373"/>
      <c r="J706" s="6363" t="str">
        <f t="shared" si="267"/>
        <v/>
      </c>
      <c r="K706" s="6364" t="str">
        <f>IF(J706="","",LEFT(J706,IF(LEN(J706)&lt;=I697,LEN(J706),IFERROR(FIND("§",SUBSTITUTE(LEFT(J706,I697+1)," ","§",LEN(LEFT(J706,I697+1))-LEN(SUBSTITUTE(LEFT(J706,I697+1)," ",""))))-1,IFERROR(FIND(" ",J706,I697+1)-1,LEN(J706))))))</f>
        <v/>
      </c>
      <c r="L706" s="6364"/>
      <c r="M706" s="6329"/>
      <c r="N706" t="s">
        <v>21</v>
      </c>
      <c r="AV706" s="103"/>
      <c r="AW706" s="31"/>
      <c r="AX706" s="32"/>
      <c r="AY706" s="31"/>
      <c r="AZ706" s="33"/>
      <c r="BA706" s="1967"/>
      <c r="BB706" s="1805"/>
      <c r="BC706" s="91"/>
      <c r="BD706" s="1806"/>
      <c r="BE706" s="6401"/>
      <c r="BF706" s="6402"/>
      <c r="BG706" s="1969"/>
      <c r="BH706" s="6403"/>
      <c r="BI706" s="95"/>
      <c r="BJ706" s="1326"/>
      <c r="BK706" s="6404"/>
      <c r="BL706" s="1737"/>
      <c r="BM706" s="2081"/>
      <c r="BN706" s="2238"/>
      <c r="BO706" s="1809"/>
      <c r="BR706" s="3">
        <v>1</v>
      </c>
    </row>
    <row r="707" spans="2:70" ht="15.75">
      <c r="B707" s="6236"/>
      <c r="C707" s="6376">
        <f t="shared" si="263"/>
        <v>150</v>
      </c>
      <c r="D707" s="6414" t="str" cm="1">
        <f t="array" ref="D707">IF(MOD(ROW()-50,14)=0,INDEX(D694:D707,MOD(ROW()-50,14)+1),E705)</f>
        <v/>
      </c>
      <c r="E707" s="6377" t="str">
        <f t="shared" si="264"/>
        <v/>
      </c>
      <c r="F707" s="6378" t="str">
        <f t="shared" si="265"/>
        <v/>
      </c>
      <c r="G707" s="6319"/>
      <c r="H707" s="6323" t="str">
        <f t="shared" si="266"/>
        <v/>
      </c>
      <c r="I707" s="6379"/>
      <c r="J707" s="6380" t="str">
        <f t="shared" si="267"/>
        <v/>
      </c>
      <c r="K707" s="6381" t="str">
        <f>IF(J707="","",LEFT(J707,IF(LEN(J707)&lt;=I697,LEN(J707),IFERROR(FIND("§",SUBSTITUTE(LEFT(J707,I697+1)," ","§",LEN(LEFT(J707,I697+1))-LEN(SUBSTITUTE(LEFT(J707,I697+1)," ",""))))-1,IFERROR(FIND(" ",J707,I697+1)-1,LEN(J707))))))</f>
        <v/>
      </c>
      <c r="L707" s="6382"/>
      <c r="M707" s="6330"/>
      <c r="N707" t="s">
        <v>21</v>
      </c>
      <c r="AV707" s="103"/>
      <c r="AW707" s="31"/>
      <c r="AX707" s="32"/>
      <c r="AY707" s="31"/>
      <c r="AZ707" s="33"/>
      <c r="BA707" s="1967"/>
      <c r="BB707" s="1805"/>
      <c r="BC707" s="91"/>
      <c r="BD707" s="1806"/>
      <c r="BE707" s="6401"/>
      <c r="BF707" s="6402"/>
      <c r="BG707" s="1969"/>
      <c r="BH707" s="6403"/>
      <c r="BI707" s="95"/>
      <c r="BJ707" s="1326"/>
      <c r="BK707" s="6404"/>
      <c r="BL707" s="1737"/>
      <c r="BM707" s="2081"/>
      <c r="BN707" s="2238"/>
      <c r="BO707" s="1809"/>
      <c r="BR707" s="3">
        <v>1</v>
      </c>
    </row>
    <row r="708" spans="2:70" ht="15.75">
      <c r="B708" s="6236"/>
      <c r="C708" s="6313">
        <f>AD97</f>
        <v>150</v>
      </c>
      <c r="D708" s="6314" t="str">
        <f>IF(UPPER(TRIM(X45))="X",U97,O97)</f>
        <v>48.TEST LIGNE 19 colonne Q et ligne 20 colonne P. rechercher la cellule qui coupe le texte Dans la cocotte N°3 en fonte, faites chauffer l’huile d’olive à feu moyen. Ajoutez la viande et faites-la dorer de tous les côtés. Retirez-la de la cocotte et réservez-la.</v>
      </c>
      <c r="E708" s="6383" t="str">
        <f>IF(D708="","",IF(F708="","",IF(LEN(F708)&gt;=LEN(D708),"",TRIM(MID(D708,LEN(F708)+1,99999)))))</f>
        <v>d’olive à feu moyen. Ajoutez la viande et faites-la dorer de tous les côtés. Retirez-la de la cocotte et réservez-la.</v>
      </c>
      <c r="F708" s="6384" t="str">
        <f>IF(D708="","",IF(LEN(D708)&lt;=C708,D708,IFERROR(LEFT(D708,FIND("§",SUBSTITUTE(LEFT(D708,C708+1)," ","§",LEN(LEFT(D708,C708+1))-LEN(SUBSTITUTE(LEFT(D708,C708+1)," ",""))))-1),LEFT(D708,C708))))</f>
        <v>48.TEST LIGNE 19 colonne Q et ligne 20 colonne P. rechercher la cellule qui coupe le texte Dans la cocotte N°3 en fonte, faites chauffer l’huile</v>
      </c>
      <c r="G708" s="6320"/>
      <c r="H708" s="6385">
        <f>IF(LEN(TRIM(L708))&gt;0,MAX(H707:H707)+1,"")</f>
        <v>1</v>
      </c>
      <c r="I708" s="6324" t="str">
        <f>D708</f>
        <v>48.TEST LIGNE 19 colonne Q et ligne 20 colonne P. rechercher la cellule qui coupe le texte Dans la cocotte N°3 en fonte, faites chauffer l’huile d’olive à feu moyen. Ajoutez la viande et faites-la dorer de tous les côtés. Retirez-la de la cocotte et réservez-la.</v>
      </c>
      <c r="J708" s="6386" t="str">
        <f>IF(I708=0,"",I708)</f>
        <v>48.TEST LIGNE 19 colonne Q et ligne 20 colonne P. rechercher la cellule qui coupe le texte Dans la cocotte N°3 en fonte, faites chauffer l’huile d’olive à feu moyen. Ajoutez la viande et faites-la dorer de tous les côtés. Retirez-la de la cocotte et réservez-la.</v>
      </c>
      <c r="K708" s="6387" t="str">
        <f>IF(I708="","",LEFT(I708,IF(LEN(I708)&lt;=I711,LEN(I708),IFERROR(FIND("§",SUBSTITUTE(LEFT(I708,I711+1)," ","§",LEN(LEFT(I708,I711+1))-LEN(SUBSTITUTE(LEFT(I708,I711+1)," ",""))))-1,IFERROR(FIND(" ",I708,I711+1)-1,LEN(I708))))))</f>
        <v>48.TEST LIGNE 19 colonne Q et ligne 20 colonne P.</v>
      </c>
      <c r="L708" s="6388" t="str" cm="1">
        <f t="array" ref="L708:L713">_xlfn._xlws.FILTER(TRIM(SUBSTITUTE(SUBSTITUTE(SUBSTITUTE(SUBSTITUTE(SUBSTITUTE(CLEAN(K708:K721),CHAR(160)," "),_xlfn.UNICHAR(8239)," "),CHAR(9)," "),CHAR(10)," "),CHAR(13)," ")),TRIM(SUBSTITUTE(SUBSTITUTE(SUBSTITUTE(SUBSTITUTE(SUBSTITUTE(CLEAN(K708:K721),CHAR(160)," "),_xlfn.UNICHAR(8239)," "),CHAR(9)," "),CHAR(10)," "),CHAR(13)," "))&lt;&gt;"")</f>
        <v>48.TEST LIGNE 19 colonne Q et ligne 20 colonne P.</v>
      </c>
      <c r="M708" s="6331"/>
      <c r="N708" t="s">
        <v>21</v>
      </c>
      <c r="AV708" s="103"/>
      <c r="AW708" s="31"/>
      <c r="AX708" s="32"/>
      <c r="AY708" s="31"/>
      <c r="AZ708" s="33"/>
      <c r="BA708" s="1967"/>
      <c r="BB708" s="1805"/>
      <c r="BC708" s="91"/>
      <c r="BD708" s="1806"/>
      <c r="BE708" s="6401"/>
      <c r="BF708" s="6402"/>
      <c r="BG708" s="1969"/>
      <c r="BH708" s="6403"/>
      <c r="BI708" s="95"/>
      <c r="BJ708" s="1326"/>
      <c r="BK708" s="6404"/>
      <c r="BL708" s="1737"/>
      <c r="BM708" s="2081"/>
      <c r="BN708" s="2238"/>
      <c r="BO708" s="1809"/>
      <c r="BR708" s="3">
        <v>1</v>
      </c>
    </row>
    <row r="709" spans="2:70" ht="15.75">
      <c r="B709" s="6236"/>
      <c r="C709" s="6358">
        <f t="shared" ref="C709:C721" si="268">C708</f>
        <v>150</v>
      </c>
      <c r="D709" s="6390" t="str" cm="1">
        <f t="array" ref="D709">IF(MOD(ROW()-50,14)=0,INDEX(D708:D721,MOD(ROW()-50,14)+1),E707)</f>
        <v/>
      </c>
      <c r="E709" s="6391" t="str">
        <f t="shared" ref="E709:E721" si="269">IF(D709="","",IF(F709="","",IF(LEN(F709)&gt;=LEN(D709),"",TRIM(MID(D709,LEN(F709)+1,99999)))))</f>
        <v/>
      </c>
      <c r="F709" s="6392" t="str">
        <f t="shared" ref="F709:F721" si="270">IF(D709="","",IF(LEN(D709)&lt;=C709,D709,IFERROR(LEFT(D709,FIND("§",SUBSTITUTE(LEFT(D709,C709+1)," ","§",LEN(LEFT(D709,C709+1))-LEN(SUBSTITUTE(LEFT(D709,C709+1)," ",""))))-1),LEFT(D709,C709))))</f>
        <v/>
      </c>
      <c r="G709" s="6321"/>
      <c r="H709" s="6393">
        <f t="shared" ref="H709:H721" si="271">IF(LEN(TRIM(L709))&gt;0,MAX(H708:H708)+1,"")</f>
        <v>2</v>
      </c>
      <c r="I709" s="6394" t="s">
        <v>14355</v>
      </c>
      <c r="J709" s="6395" t="str">
        <f>TRIM(MID(I712,LEN(K708)+1,99999))</f>
        <v>rechercher la cellule qui coupe le texte Dans la cocotte N°3 en fonte, faites chauffer l’huile d’olive à feu moyen. Ajoutez la viande et faites-la dorer de tous les côtés. Retirez-la de la cocotte et réservez-la.</v>
      </c>
      <c r="K709" s="6396" t="str">
        <f>IF(J709="","",LEFT(J709,IF(LEN(J709)&lt;=I711,LEN(J709),IFERROR(FIND("§",SUBSTITUTE(LEFT(J709,I711+1)," ","§",LEN(LEFT(J709,I711+1))-LEN(SUBSTITUTE(LEFT(J709,I711+1)," ",""))))-1,IFERROR(FIND(" ",J709,I711+1)-1,LEN(J709))))))</f>
        <v>rechercher la cellule qui coupe le texte Dans la</v>
      </c>
      <c r="L709" s="6388" t="str">
        <v>rechercher la cellule qui coupe le texte Dans la</v>
      </c>
      <c r="M709" s="6332"/>
      <c r="N709" t="s">
        <v>21</v>
      </c>
      <c r="AV709" s="103"/>
      <c r="AW709" s="31"/>
      <c r="AX709" s="32"/>
      <c r="AY709" s="31"/>
      <c r="AZ709" s="33"/>
      <c r="BA709" s="1967"/>
      <c r="BB709" s="1805"/>
      <c r="BC709" s="91"/>
      <c r="BD709" s="1806"/>
      <c r="BE709" s="6401"/>
      <c r="BF709" s="6402"/>
      <c r="BG709" s="1969"/>
      <c r="BH709" s="6403"/>
      <c r="BI709" s="95"/>
      <c r="BJ709" s="1326"/>
      <c r="BK709" s="6404"/>
      <c r="BL709" s="1737"/>
      <c r="BM709" s="2081"/>
      <c r="BN709" s="2238"/>
      <c r="BO709" s="1809"/>
      <c r="BR709" s="3">
        <v>1</v>
      </c>
    </row>
    <row r="710" spans="2:70" ht="15.75">
      <c r="B710" s="6236"/>
      <c r="C710" s="6358">
        <f t="shared" si="268"/>
        <v>150</v>
      </c>
      <c r="D710" s="6390" t="str" cm="1">
        <f t="array" ref="D710">IF(MOD(ROW()-50,14)=0,INDEX(D708:D721,MOD(ROW()-50,14)+1),E708)</f>
        <v>d’olive à feu moyen. Ajoutez la viande et faites-la dorer de tous les côtés. Retirez-la de la cocotte et réservez-la.</v>
      </c>
      <c r="E710" s="6391" t="str">
        <f t="shared" si="269"/>
        <v/>
      </c>
      <c r="F710" s="6392" t="str">
        <f t="shared" si="270"/>
        <v>d’olive à feu moyen. Ajoutez la viande et faites-la dorer de tous les côtés. Retirez-la de la cocotte et réservez-la.</v>
      </c>
      <c r="G710" s="6321"/>
      <c r="H710" s="6393">
        <f t="shared" si="271"/>
        <v>3</v>
      </c>
      <c r="I710" s="6365">
        <f>Z97</f>
        <v>5</v>
      </c>
      <c r="J710" s="6395" t="str">
        <f t="shared" ref="J710:J721" si="272">TRIM(MID(J709,LEN(K709)+1,99999))</f>
        <v>cocotte N°3 en fonte, faites chauffer l’huile d’olive à feu moyen. Ajoutez la viande et faites-la dorer de tous les côtés. Retirez-la de la cocotte et réservez-la.</v>
      </c>
      <c r="K710" s="6396" t="str">
        <f>IF(J710="","",LEFT(J710,IF(LEN(J710)&lt;=I711,LEN(J710),IFERROR(FIND("§",SUBSTITUTE(LEFT(J710,I711+1)," ","§",LEN(LEFT(J710,I711+1))-LEN(SUBSTITUTE(LEFT(J710,I711+1)," ",""))))-1,IFERROR(FIND(" ",J710,I711+1)-1,LEN(J710))))))</f>
        <v>cocotte N°3 en fonte, faites chauffer l’huile d’olive</v>
      </c>
      <c r="L710" s="6388" t="str">
        <v>cocotte N°3 en fonte, faites chauffer l’huile d’olive</v>
      </c>
      <c r="M710" s="6332"/>
      <c r="N710" t="s">
        <v>21</v>
      </c>
      <c r="AV710" s="103"/>
      <c r="AW710" s="31"/>
      <c r="AX710" s="32"/>
      <c r="AY710" s="31"/>
      <c r="AZ710" s="33"/>
      <c r="BA710" s="1967"/>
      <c r="BB710" s="1805"/>
      <c r="BC710" s="91"/>
      <c r="BD710" s="1806"/>
      <c r="BE710" s="6401"/>
      <c r="BF710" s="6402"/>
      <c r="BG710" s="1969"/>
      <c r="BH710" s="6403"/>
      <c r="BI710" s="95"/>
      <c r="BJ710" s="1326"/>
      <c r="BK710" s="6404"/>
      <c r="BL710" s="1737"/>
      <c r="BM710" s="2081"/>
      <c r="BN710" s="2238"/>
      <c r="BO710" s="1809"/>
      <c r="BR710" s="3">
        <v>1</v>
      </c>
    </row>
    <row r="711" spans="2:70" ht="15.75">
      <c r="B711" s="6236"/>
      <c r="C711" s="6358">
        <f t="shared" si="268"/>
        <v>150</v>
      </c>
      <c r="D711" s="6390" t="str" cm="1">
        <f t="array" ref="D711">IF(MOD(ROW()-50,14)=0,INDEX(D708:D721,MOD(ROW()-50,14)+1),E709)</f>
        <v/>
      </c>
      <c r="E711" s="6391" t="str">
        <f t="shared" si="269"/>
        <v/>
      </c>
      <c r="F711" s="6392" t="str">
        <f t="shared" si="270"/>
        <v/>
      </c>
      <c r="G711" s="6321"/>
      <c r="H711" s="6393">
        <f t="shared" si="271"/>
        <v>4</v>
      </c>
      <c r="I711" s="6398">
        <f>IF(OR(J708="",I710="",I710&lt;=0),"",ROUNDUP(LEN(J708)/I710,0))</f>
        <v>53</v>
      </c>
      <c r="J711" s="6395" t="str">
        <f t="shared" si="272"/>
        <v>à feu moyen. Ajoutez la viande et faites-la dorer de tous les côtés. Retirez-la de la cocotte et réservez-la.</v>
      </c>
      <c r="K711" s="6396" t="str">
        <f>IF(J711="","",LEFT(J711,IF(LEN(J711)&lt;=I711,LEN(J711),IFERROR(FIND("§",SUBSTITUTE(LEFT(J711,I711+1)," ","§",LEN(LEFT(J711,I711+1))-LEN(SUBSTITUTE(LEFT(J711,I711+1)," ",""))))-1,IFERROR(FIND(" ",J711,I711+1)-1,LEN(J711))))))</f>
        <v>à feu moyen. Ajoutez la viande et faites-la dorer de</v>
      </c>
      <c r="L711" s="6388" t="str">
        <v>à feu moyen. Ajoutez la viande et faites-la dorer de</v>
      </c>
      <c r="M711" s="6332"/>
      <c r="N711" t="s">
        <v>21</v>
      </c>
      <c r="AV711" s="103"/>
      <c r="AW711" s="31"/>
      <c r="AX711" s="32"/>
      <c r="AY711" s="31"/>
      <c r="AZ711" s="33"/>
      <c r="BA711" s="1967"/>
      <c r="BB711" s="1805"/>
      <c r="BC711" s="91"/>
      <c r="BD711" s="1806"/>
      <c r="BE711" s="6401"/>
      <c r="BF711" s="6402"/>
      <c r="BG711" s="1969"/>
      <c r="BH711" s="6403"/>
      <c r="BI711" s="95"/>
      <c r="BJ711" s="1326"/>
      <c r="BK711" s="6404"/>
      <c r="BL711" s="1737"/>
      <c r="BM711" s="2081"/>
      <c r="BN711" s="2238"/>
      <c r="BO711" s="1809"/>
      <c r="BR711" s="3">
        <v>1</v>
      </c>
    </row>
    <row r="712" spans="2:70" ht="15.75">
      <c r="B712" s="6236"/>
      <c r="C712" s="6358">
        <f t="shared" si="268"/>
        <v>150</v>
      </c>
      <c r="D712" s="6390" t="str" cm="1">
        <f t="array" ref="D712">IF(MOD(ROW()-50,14)=0,INDEX(D708:D721,MOD(ROW()-50,14)+1),E710)</f>
        <v/>
      </c>
      <c r="E712" s="6391" t="str">
        <f t="shared" si="269"/>
        <v/>
      </c>
      <c r="F712" s="6392" t="str">
        <f t="shared" si="270"/>
        <v/>
      </c>
      <c r="G712" s="6321"/>
      <c r="H712" s="6393">
        <f t="shared" si="271"/>
        <v>5</v>
      </c>
      <c r="I712" s="6400" t="str">
        <f>I708</f>
        <v>48.TEST LIGNE 19 colonne Q et ligne 20 colonne P. rechercher la cellule qui coupe le texte Dans la cocotte N°3 en fonte, faites chauffer l’huile d’olive à feu moyen. Ajoutez la viande et faites-la dorer de tous les côtés. Retirez-la de la cocotte et réservez-la.</v>
      </c>
      <c r="J712" s="6395" t="str">
        <f t="shared" si="272"/>
        <v>tous les côtés. Retirez-la de la cocotte et réservez-la.</v>
      </c>
      <c r="K712" s="6396" t="str">
        <f>IF(J712="","",LEFT(J712,IF(LEN(J712)&lt;=I711,LEN(J712),IFERROR(FIND("§",SUBSTITUTE(LEFT(J712,I711+1)," ","§",LEN(LEFT(J712,I711+1))-LEN(SUBSTITUTE(LEFT(J712,I711+1)," ",""))))-1,IFERROR(FIND(" ",J712,I711+1)-1,LEN(J712))))))</f>
        <v>tous les côtés. Retirez-la de la cocotte et</v>
      </c>
      <c r="L712" s="6388" t="str">
        <v>tous les côtés. Retirez-la de la cocotte et</v>
      </c>
      <c r="M712" s="6332"/>
      <c r="N712" t="s">
        <v>21</v>
      </c>
      <c r="AV712" s="103"/>
      <c r="AW712" s="31"/>
      <c r="AX712" s="32"/>
      <c r="AY712" s="31"/>
      <c r="AZ712" s="33"/>
      <c r="BA712" s="1967"/>
      <c r="BB712" s="1805"/>
      <c r="BC712" s="91"/>
      <c r="BD712" s="1806"/>
      <c r="BE712" s="6401"/>
      <c r="BF712" s="6402"/>
      <c r="BG712" s="1969"/>
      <c r="BH712" s="6403"/>
      <c r="BI712" s="95"/>
      <c r="BJ712" s="1326"/>
      <c r="BK712" s="6404"/>
      <c r="BL712" s="1737"/>
      <c r="BM712" s="2081"/>
      <c r="BN712" s="2238"/>
      <c r="BO712" s="1809"/>
      <c r="BR712" s="3">
        <v>1</v>
      </c>
    </row>
    <row r="713" spans="2:70" ht="15.75">
      <c r="B713" s="6236"/>
      <c r="C713" s="6358">
        <f t="shared" si="268"/>
        <v>150</v>
      </c>
      <c r="D713" s="6390" t="str" cm="1">
        <f t="array" ref="D713">IF(MOD(ROW()-50,14)=0,INDEX(D708:D721,MOD(ROW()-50,14)+1),E711)</f>
        <v/>
      </c>
      <c r="E713" s="6391" t="str">
        <f t="shared" si="269"/>
        <v/>
      </c>
      <c r="F713" s="6392" t="str">
        <f t="shared" si="270"/>
        <v/>
      </c>
      <c r="G713" s="6321"/>
      <c r="H713" s="6393">
        <f t="shared" si="271"/>
        <v>6</v>
      </c>
      <c r="I713" s="6405"/>
      <c r="J713" s="6395" t="str">
        <f t="shared" si="272"/>
        <v>réservez-la.</v>
      </c>
      <c r="K713" s="6396" t="str">
        <f>IF(J713="","",LEFT(J713,IF(LEN(J713)&lt;=I711,LEN(J713),IFERROR(FIND("§",SUBSTITUTE(LEFT(J713,I711+1)," ","§",LEN(LEFT(J713,I711+1))-LEN(SUBSTITUTE(LEFT(J713,I711+1)," ",""))))-1,IFERROR(FIND(" ",J713,I711+1)-1,LEN(J713))))))</f>
        <v>réservez-la.</v>
      </c>
      <c r="L713" s="6388" t="str">
        <v>réservez-la.</v>
      </c>
      <c r="M713" s="6332"/>
      <c r="N713" t="s">
        <v>21</v>
      </c>
      <c r="AV713" s="103"/>
      <c r="AW713" s="31"/>
      <c r="AX713" s="32"/>
      <c r="AY713" s="31"/>
      <c r="AZ713" s="33"/>
      <c r="BA713" s="1967"/>
      <c r="BB713" s="1805"/>
      <c r="BC713" s="91"/>
      <c r="BD713" s="1806"/>
      <c r="BE713" s="6401"/>
      <c r="BF713" s="6402"/>
      <c r="BG713" s="1969"/>
      <c r="BH713" s="6403"/>
      <c r="BI713" s="95"/>
      <c r="BJ713" s="1326"/>
      <c r="BK713" s="6404"/>
      <c r="BL713" s="1737"/>
      <c r="BM713" s="2081"/>
      <c r="BN713" s="2238"/>
      <c r="BO713" s="1809"/>
      <c r="BR713" s="3">
        <v>1</v>
      </c>
    </row>
    <row r="714" spans="2:70" ht="15.75">
      <c r="B714" s="6236"/>
      <c r="C714" s="6358">
        <f t="shared" si="268"/>
        <v>150</v>
      </c>
      <c r="D714" s="6390" t="str" cm="1">
        <f t="array" ref="D714">IF(MOD(ROW()-50,14)=0,INDEX(D708:D721,MOD(ROW()-50,14)+1),E712)</f>
        <v/>
      </c>
      <c r="E714" s="6391" t="str">
        <f t="shared" si="269"/>
        <v/>
      </c>
      <c r="F714" s="6392" t="str">
        <f t="shared" si="270"/>
        <v/>
      </c>
      <c r="G714" s="6321"/>
      <c r="H714" s="6393" t="str">
        <f t="shared" si="271"/>
        <v/>
      </c>
      <c r="I714" s="6405"/>
      <c r="J714" s="6395" t="str">
        <f t="shared" si="272"/>
        <v/>
      </c>
      <c r="K714" s="6396" t="str">
        <f>IF(J714="","",LEFT(J714,IF(LEN(J714)&lt;=I711,LEN(J714),IFERROR(FIND("§",SUBSTITUTE(LEFT(J714,I711+1)," ","§",LEN(LEFT(J714,I711+1))-LEN(SUBSTITUTE(LEFT(J714,I711+1)," ",""))))-1,IFERROR(FIND(" ",J714,I711+1)-1,LEN(J714))))))</f>
        <v/>
      </c>
      <c r="L714" s="6388"/>
      <c r="M714" s="6332"/>
      <c r="N714" t="s">
        <v>21</v>
      </c>
      <c r="AV714" s="103"/>
      <c r="AW714" s="31"/>
      <c r="AX714" s="32"/>
      <c r="AY714" s="31"/>
      <c r="AZ714" s="33"/>
      <c r="BA714" s="1967"/>
      <c r="BB714" s="1805"/>
      <c r="BC714" s="91"/>
      <c r="BD714" s="1806"/>
      <c r="BE714" s="6401"/>
      <c r="BF714" s="6402"/>
      <c r="BG714" s="1969"/>
      <c r="BH714" s="6403"/>
      <c r="BI714" s="95"/>
      <c r="BJ714" s="1326"/>
      <c r="BK714" s="6404"/>
      <c r="BL714" s="1737"/>
      <c r="BM714" s="2081"/>
      <c r="BN714" s="2238"/>
      <c r="BO714" s="1809"/>
      <c r="BR714" s="3">
        <v>1</v>
      </c>
    </row>
    <row r="715" spans="2:70" ht="15.75">
      <c r="B715" s="6236"/>
      <c r="C715" s="6358">
        <f t="shared" si="268"/>
        <v>150</v>
      </c>
      <c r="D715" s="6390" t="str" cm="1">
        <f t="array" ref="D715">IF(MOD(ROW()-50,14)=0,INDEX(D708:D721,MOD(ROW()-50,14)+1),E713)</f>
        <v/>
      </c>
      <c r="E715" s="6391" t="str">
        <f t="shared" si="269"/>
        <v/>
      </c>
      <c r="F715" s="6392" t="str">
        <f t="shared" si="270"/>
        <v/>
      </c>
      <c r="G715" s="6321"/>
      <c r="H715" s="6393" t="str">
        <f t="shared" si="271"/>
        <v/>
      </c>
      <c r="I715" s="6405"/>
      <c r="J715" s="6395" t="str">
        <f t="shared" si="272"/>
        <v/>
      </c>
      <c r="K715" s="6396" t="str">
        <f>IF(J715="","",LEFT(J715,IF(LEN(J715)&lt;=I711,LEN(J715),IFERROR(FIND("§",SUBSTITUTE(LEFT(J715,I711+1)," ","§",LEN(LEFT(J715,I711+1))-LEN(SUBSTITUTE(LEFT(J715,I711+1)," ",""))))-1,IFERROR(FIND(" ",J715,I711+1)-1,LEN(J715))))))</f>
        <v/>
      </c>
      <c r="L715" s="6388"/>
      <c r="M715" s="6332"/>
      <c r="N715" t="s">
        <v>21</v>
      </c>
      <c r="AV715" s="103"/>
      <c r="AW715" s="31"/>
      <c r="AX715" s="32"/>
      <c r="AY715" s="31"/>
      <c r="AZ715" s="33"/>
      <c r="BA715" s="1967"/>
      <c r="BB715" s="1805"/>
      <c r="BC715" s="91"/>
      <c r="BD715" s="1806"/>
      <c r="BE715" s="6401"/>
      <c r="BF715" s="6402"/>
      <c r="BG715" s="1969"/>
      <c r="BH715" s="6403"/>
      <c r="BI715" s="95"/>
      <c r="BJ715" s="1326"/>
      <c r="BK715" s="6404"/>
      <c r="BL715" s="1737"/>
      <c r="BM715" s="2081"/>
      <c r="BN715" s="2238"/>
      <c r="BO715" s="1809"/>
      <c r="BR715" s="3">
        <v>1</v>
      </c>
    </row>
    <row r="716" spans="2:70" ht="15.75">
      <c r="B716" s="6236"/>
      <c r="C716" s="6358">
        <f t="shared" si="268"/>
        <v>150</v>
      </c>
      <c r="D716" s="6390" t="str" cm="1">
        <f t="array" ref="D716">IF(MOD(ROW()-50,14)=0,INDEX(D708:D721,MOD(ROW()-50,14)+1),E714)</f>
        <v/>
      </c>
      <c r="E716" s="6391" t="str">
        <f t="shared" si="269"/>
        <v/>
      </c>
      <c r="F716" s="6392" t="str">
        <f t="shared" si="270"/>
        <v/>
      </c>
      <c r="G716" s="6321"/>
      <c r="H716" s="6393" t="str">
        <f t="shared" si="271"/>
        <v/>
      </c>
      <c r="I716" s="6405"/>
      <c r="J716" s="6395" t="str">
        <f t="shared" si="272"/>
        <v/>
      </c>
      <c r="K716" s="6396" t="str">
        <f>IF(J716="","",LEFT(J716,IF(LEN(J716)&lt;=I711,LEN(J716),IFERROR(FIND("§",SUBSTITUTE(LEFT(J716,I711+1)," ","§",LEN(LEFT(J716,I711+1))-LEN(SUBSTITUTE(LEFT(J716,I711+1)," ",""))))-1,IFERROR(FIND(" ",J716,I711+1)-1,LEN(J716))))))</f>
        <v/>
      </c>
      <c r="L716" s="6388"/>
      <c r="M716" s="6332"/>
      <c r="N716" t="s">
        <v>21</v>
      </c>
      <c r="AV716" s="103"/>
      <c r="AW716" s="31"/>
      <c r="AX716" s="32"/>
      <c r="AY716" s="31"/>
      <c r="AZ716" s="33"/>
      <c r="BA716" s="1967"/>
      <c r="BB716" s="1805"/>
      <c r="BC716" s="91"/>
      <c r="BD716" s="1806"/>
      <c r="BE716" s="6401"/>
      <c r="BF716" s="6402"/>
      <c r="BG716" s="1969"/>
      <c r="BH716" s="6403"/>
      <c r="BI716" s="95"/>
      <c r="BJ716" s="1326"/>
      <c r="BK716" s="6404"/>
      <c r="BL716" s="1737"/>
      <c r="BM716" s="2081"/>
      <c r="BN716" s="2238"/>
      <c r="BO716" s="1809"/>
      <c r="BR716" s="3">
        <v>1</v>
      </c>
    </row>
    <row r="717" spans="2:70" ht="15.75">
      <c r="B717" s="6236"/>
      <c r="C717" s="6358">
        <f t="shared" si="268"/>
        <v>150</v>
      </c>
      <c r="D717" s="6390" t="str" cm="1">
        <f t="array" ref="D717">IF(MOD(ROW()-50,14)=0,INDEX(D708:D721,MOD(ROW()-50,14)+1),E715)</f>
        <v/>
      </c>
      <c r="E717" s="6391" t="str">
        <f t="shared" si="269"/>
        <v/>
      </c>
      <c r="F717" s="6392" t="str">
        <f t="shared" si="270"/>
        <v/>
      </c>
      <c r="G717" s="6321"/>
      <c r="H717" s="6393" t="str">
        <f t="shared" si="271"/>
        <v/>
      </c>
      <c r="I717" s="6405"/>
      <c r="J717" s="6395" t="str">
        <f t="shared" si="272"/>
        <v/>
      </c>
      <c r="K717" s="6396" t="str">
        <f>IF(J717="","",LEFT(J717,IF(LEN(J717)&lt;=I711,LEN(J717),IFERROR(FIND("§",SUBSTITUTE(LEFT(J717,I711+1)," ","§",LEN(LEFT(J717,I711+1))-LEN(SUBSTITUTE(LEFT(J717,I711+1)," ",""))))-1,IFERROR(FIND(" ",J717,I711+1)-1,LEN(J717))))))</f>
        <v/>
      </c>
      <c r="L717" s="6388"/>
      <c r="M717" s="6332"/>
      <c r="N717" t="s">
        <v>21</v>
      </c>
      <c r="AV717" s="103"/>
      <c r="AW717" s="31"/>
      <c r="AX717" s="32"/>
      <c r="AY717" s="31"/>
      <c r="AZ717" s="33"/>
      <c r="BA717" s="1967"/>
      <c r="BB717" s="1805"/>
      <c r="BC717" s="91"/>
      <c r="BD717" s="1806"/>
      <c r="BE717" s="6401"/>
      <c r="BF717" s="6402"/>
      <c r="BG717" s="1969"/>
      <c r="BH717" s="6403"/>
      <c r="BI717" s="95"/>
      <c r="BJ717" s="1326"/>
      <c r="BK717" s="6404"/>
      <c r="BL717" s="1737"/>
      <c r="BM717" s="2081"/>
      <c r="BN717" s="2238"/>
      <c r="BO717" s="1809"/>
      <c r="BR717" s="3">
        <v>1</v>
      </c>
    </row>
    <row r="718" spans="2:70" ht="15.75">
      <c r="B718" s="6236"/>
      <c r="C718" s="6358">
        <f t="shared" si="268"/>
        <v>150</v>
      </c>
      <c r="D718" s="6390" t="str" cm="1">
        <f t="array" ref="D718">IF(MOD(ROW()-50,14)=0,INDEX(D708:D721,MOD(ROW()-50,14)+1),E716)</f>
        <v/>
      </c>
      <c r="E718" s="6391" t="str">
        <f t="shared" si="269"/>
        <v/>
      </c>
      <c r="F718" s="6392" t="str">
        <f t="shared" si="270"/>
        <v/>
      </c>
      <c r="G718" s="6321"/>
      <c r="H718" s="6393" t="str">
        <f t="shared" si="271"/>
        <v/>
      </c>
      <c r="I718" s="6405"/>
      <c r="J718" s="6395" t="str">
        <f t="shared" si="272"/>
        <v/>
      </c>
      <c r="K718" s="6396" t="str">
        <f>IF(J718="","",LEFT(J718,IF(LEN(J718)&lt;=I711,LEN(J718),IFERROR(FIND("§",SUBSTITUTE(LEFT(J718,I711+1)," ","§",LEN(LEFT(J718,I711+1))-LEN(SUBSTITUTE(LEFT(J718,I711+1)," ",""))))-1,IFERROR(FIND(" ",J718,I711+1)-1,LEN(J718))))))</f>
        <v/>
      </c>
      <c r="L718" s="6388"/>
      <c r="M718" s="6332"/>
      <c r="N718" t="s">
        <v>21</v>
      </c>
      <c r="AV718" s="103"/>
      <c r="AW718" s="31"/>
      <c r="AX718" s="32"/>
      <c r="AY718" s="31"/>
      <c r="AZ718" s="33"/>
      <c r="BA718" s="1967"/>
      <c r="BB718" s="1805"/>
      <c r="BC718" s="91"/>
      <c r="BD718" s="1806"/>
      <c r="BE718" s="6401"/>
      <c r="BF718" s="6402"/>
      <c r="BG718" s="1969"/>
      <c r="BH718" s="6403"/>
      <c r="BI718" s="95"/>
      <c r="BJ718" s="1326"/>
      <c r="BK718" s="6404"/>
      <c r="BL718" s="1737"/>
      <c r="BM718" s="2081"/>
      <c r="BN718" s="2238"/>
      <c r="BO718" s="1809"/>
      <c r="BR718" s="3">
        <v>1</v>
      </c>
    </row>
    <row r="719" spans="2:70" ht="15.75">
      <c r="B719" s="6236"/>
      <c r="C719" s="6358">
        <f t="shared" si="268"/>
        <v>150</v>
      </c>
      <c r="D719" s="6390" t="str" cm="1">
        <f t="array" ref="D719">IF(MOD(ROW()-50,14)=0,INDEX(D708:D721,MOD(ROW()-50,14)+1),E717)</f>
        <v/>
      </c>
      <c r="E719" s="6391" t="str">
        <f t="shared" si="269"/>
        <v/>
      </c>
      <c r="F719" s="6392" t="str">
        <f t="shared" si="270"/>
        <v/>
      </c>
      <c r="G719" s="6321"/>
      <c r="H719" s="6393" t="str">
        <f t="shared" si="271"/>
        <v/>
      </c>
      <c r="I719" s="6405"/>
      <c r="J719" s="6395" t="str">
        <f t="shared" si="272"/>
        <v/>
      </c>
      <c r="K719" s="6396" t="str">
        <f>IF(J719="","",LEFT(J719,IF(LEN(J719)&lt;=I711,LEN(J719),IFERROR(FIND("§",SUBSTITUTE(LEFT(J719,I711+1)," ","§",LEN(LEFT(J719,I711+1))-LEN(SUBSTITUTE(LEFT(J719,I711+1)," ",""))))-1,IFERROR(FIND(" ",J719,I711+1)-1,LEN(J719))))))</f>
        <v/>
      </c>
      <c r="L719" s="6388"/>
      <c r="M719" s="6332"/>
      <c r="N719" t="s">
        <v>21</v>
      </c>
      <c r="AV719" s="103"/>
      <c r="AW719" s="31"/>
      <c r="AX719" s="32"/>
      <c r="AY719" s="31"/>
      <c r="AZ719" s="33"/>
      <c r="BA719" s="1967"/>
      <c r="BB719" s="1805"/>
      <c r="BC719" s="91"/>
      <c r="BD719" s="1806"/>
      <c r="BE719" s="6401"/>
      <c r="BF719" s="6402"/>
      <c r="BG719" s="1969"/>
      <c r="BH719" s="6403"/>
      <c r="BI719" s="95"/>
      <c r="BJ719" s="1326"/>
      <c r="BK719" s="6404"/>
      <c r="BL719" s="1737"/>
      <c r="BM719" s="2081"/>
      <c r="BN719" s="2238"/>
      <c r="BO719" s="1809"/>
      <c r="BR719" s="3">
        <v>1</v>
      </c>
    </row>
    <row r="720" spans="2:70" ht="15.75">
      <c r="B720" s="6236"/>
      <c r="C720" s="6358">
        <f t="shared" si="268"/>
        <v>150</v>
      </c>
      <c r="D720" s="6390" t="str" cm="1">
        <f t="array" ref="D720">IF(MOD(ROW()-50,14)=0,INDEX(D708:D721,MOD(ROW()-50,14)+1),E718)</f>
        <v/>
      </c>
      <c r="E720" s="6391" t="str">
        <f t="shared" si="269"/>
        <v/>
      </c>
      <c r="F720" s="6392" t="str">
        <f t="shared" si="270"/>
        <v/>
      </c>
      <c r="G720" s="6321"/>
      <c r="H720" s="6393" t="str">
        <f t="shared" si="271"/>
        <v/>
      </c>
      <c r="I720" s="6405"/>
      <c r="J720" s="6395" t="str">
        <f t="shared" si="272"/>
        <v/>
      </c>
      <c r="K720" s="6396" t="str">
        <f>IF(J720="","",LEFT(J720,IF(LEN(J720)&lt;=I711,LEN(J720),IFERROR(FIND("§",SUBSTITUTE(LEFT(J720,I711+1)," ","§",LEN(LEFT(J720,I711+1))-LEN(SUBSTITUTE(LEFT(J720,I711+1)," ",""))))-1,IFERROR(FIND(" ",J720,I711+1)-1,LEN(J720))))))</f>
        <v/>
      </c>
      <c r="L720" s="6396"/>
      <c r="M720" s="6332"/>
      <c r="N720" t="s">
        <v>21</v>
      </c>
      <c r="AV720" s="103"/>
      <c r="AW720" s="31"/>
      <c r="AX720" s="32"/>
      <c r="AY720" s="31"/>
      <c r="AZ720" s="33"/>
      <c r="BA720" s="1967"/>
      <c r="BB720" s="1805"/>
      <c r="BC720" s="91"/>
      <c r="BD720" s="1806"/>
      <c r="BE720" s="6401"/>
      <c r="BF720" s="6402"/>
      <c r="BG720" s="1969"/>
      <c r="BH720" s="6403"/>
      <c r="BI720" s="95"/>
      <c r="BJ720" s="1326"/>
      <c r="BK720" s="6404"/>
      <c r="BL720" s="1737"/>
      <c r="BM720" s="2081"/>
      <c r="BN720" s="2238"/>
      <c r="BO720" s="1809"/>
      <c r="BR720" s="3">
        <v>1</v>
      </c>
    </row>
    <row r="721" spans="2:70" ht="15.75">
      <c r="B721" s="6236"/>
      <c r="C721" s="6376">
        <f t="shared" si="268"/>
        <v>150</v>
      </c>
      <c r="D721" s="6406" t="str" cm="1">
        <f t="array" ref="D721">IF(MOD(ROW()-50,14)=0,INDEX(D708:D721,MOD(ROW()-50,14)+1),E719)</f>
        <v/>
      </c>
      <c r="E721" s="6407" t="str">
        <f t="shared" si="269"/>
        <v/>
      </c>
      <c r="F721" s="6408" t="str">
        <f t="shared" si="270"/>
        <v/>
      </c>
      <c r="G721" s="6322"/>
      <c r="H721" s="6409" t="str">
        <f t="shared" si="271"/>
        <v/>
      </c>
      <c r="I721" s="6410"/>
      <c r="J721" s="6411" t="str">
        <f t="shared" si="272"/>
        <v/>
      </c>
      <c r="K721" s="6412" t="str">
        <f>IF(J721="","",LEFT(J721,IF(LEN(J721)&lt;=I711,LEN(J721),IFERROR(FIND("§",SUBSTITUTE(LEFT(J721,I711+1)," ","§",LEN(LEFT(J721,I711+1))-LEN(SUBSTITUTE(LEFT(J721,I711+1)," ",""))))-1,IFERROR(FIND(" ",J721,I711+1)-1,LEN(J721))))))</f>
        <v/>
      </c>
      <c r="L721" s="6413"/>
      <c r="M721" s="6333"/>
      <c r="N721" t="s">
        <v>21</v>
      </c>
      <c r="AV721" s="103"/>
      <c r="AW721" s="31"/>
      <c r="AX721" s="32"/>
      <c r="AY721" s="31"/>
      <c r="AZ721" s="33"/>
      <c r="BA721" s="1967"/>
      <c r="BB721" s="1805"/>
      <c r="BC721" s="91"/>
      <c r="BD721" s="1806"/>
      <c r="BE721" s="6401"/>
      <c r="BF721" s="6402"/>
      <c r="BG721" s="1969"/>
      <c r="BH721" s="6403"/>
      <c r="BI721" s="95"/>
      <c r="BJ721" s="1326"/>
      <c r="BK721" s="6404"/>
      <c r="BL721" s="1737"/>
      <c r="BM721" s="2081"/>
      <c r="BN721" s="2238"/>
      <c r="BO721" s="1809"/>
      <c r="BR721" s="3">
        <v>1</v>
      </c>
    </row>
    <row r="722" spans="2:70" ht="15.75">
      <c r="B722" s="6236"/>
      <c r="C722" s="6313">
        <f>AD98</f>
        <v>150</v>
      </c>
      <c r="D722" s="6314" t="str">
        <f>IF(UPPER(TRIM(X45))="X",U98,O98)</f>
        <v>49.TEST LIGNE 19 colonne Q et ligne 20 colonne P. rechercher la cellule qui coupe le texte Dans la cocotte N°3 en fonte, faites chauffer l’huile d’olive à feu moyen. Ajoutez la viande et faites-la dorer de tous les côtés. Retirez-la de la cocotte et réservez-la.</v>
      </c>
      <c r="E722" s="6315" t="str">
        <f>IF(D722="","",IF(F722="","",IF(LEN(F722)&gt;=LEN(D722),"",TRIM(MID(D722,LEN(F722)+1,99999)))))</f>
        <v>d’olive à feu moyen. Ajoutez la viande et faites-la dorer de tous les côtés. Retirez-la de la cocotte et réservez-la.</v>
      </c>
      <c r="F722" s="6316" t="str">
        <f>IF(D722="","",IF(LEN(D722)&lt;=C722,D722,IFERROR(LEFT(D722,FIND("§",SUBSTITUTE(LEFT(D722,C722+1)," ","§",LEN(LEFT(D722,C722+1))-LEN(SUBSTITUTE(LEFT(D722,C722+1)," ",""))))-1),LEFT(D722,C722))))</f>
        <v>49.TEST LIGNE 19 colonne Q et ligne 20 colonne P. rechercher la cellule qui coupe le texte Dans la cocotte N°3 en fonte, faites chauffer l’huile</v>
      </c>
      <c r="G722" s="6317"/>
      <c r="H722" s="6323">
        <f>IF(LEN(TRIM(L722))&gt;0,MAX(H721:H721)+1,"")</f>
        <v>1</v>
      </c>
      <c r="I722" s="6324" t="str">
        <f>D722</f>
        <v>49.TEST LIGNE 19 colonne Q et ligne 20 colonne P. rechercher la cellule qui coupe le texte Dans la cocotte N°3 en fonte, faites chauffer l’huile d’olive à feu moyen. Ajoutez la viande et faites-la dorer de tous les côtés. Retirez-la de la cocotte et réservez-la.</v>
      </c>
      <c r="J722" s="6325" t="str">
        <f>IF(I722=0,"",I722)</f>
        <v>49.TEST LIGNE 19 colonne Q et ligne 20 colonne P. rechercher la cellule qui coupe le texte Dans la cocotte N°3 en fonte, faites chauffer l’huile d’olive à feu moyen. Ajoutez la viande et faites-la dorer de tous les côtés. Retirez-la de la cocotte et réservez-la.</v>
      </c>
      <c r="K722" s="6326" t="str">
        <f>IF(I722="","",LEFT(I722,IF(LEN(I722)&lt;=I725,LEN(I722),IFERROR(FIND("§",SUBSTITUTE(LEFT(I722,I725+1)," ","§",LEN(LEFT(I722,I725+1))-LEN(SUBSTITUTE(LEFT(I722,I725+1)," ",""))))-1,IFERROR(FIND(" ",I722,I725+1)-1,LEN(I722))))))</f>
        <v>49.TEST LIGNE 19 colonne Q et ligne 20 colonne P.</v>
      </c>
      <c r="L722" s="6326" t="str" cm="1">
        <f t="array" ref="L722:L727">_xlfn._xlws.FILTER(TRIM(SUBSTITUTE(SUBSTITUTE(SUBSTITUTE(SUBSTITUTE(SUBSTITUTE(CLEAN(K722:K735),CHAR(160)," "),_xlfn.UNICHAR(8239)," "),CHAR(9)," "),CHAR(10)," "),CHAR(13)," ")),TRIM(SUBSTITUTE(SUBSTITUTE(SUBSTITUTE(SUBSTITUTE(SUBSTITUTE(CLEAN(K722:K735),CHAR(160)," "),_xlfn.UNICHAR(8239)," "),CHAR(9)," "),CHAR(10)," "),CHAR(13)," "))&lt;&gt;"")</f>
        <v>49.TEST LIGNE 19 colonne Q et ligne 20 colonne P.</v>
      </c>
      <c r="M722" s="6328"/>
      <c r="N722" t="s">
        <v>21</v>
      </c>
      <c r="AV722" s="103"/>
      <c r="AW722" s="31"/>
      <c r="AX722" s="32"/>
      <c r="AY722" s="31"/>
      <c r="AZ722" s="33"/>
      <c r="BA722" s="1967"/>
      <c r="BB722" s="1805"/>
      <c r="BC722" s="91"/>
      <c r="BD722" s="1806"/>
      <c r="BE722" s="6401"/>
      <c r="BF722" s="6402"/>
      <c r="BG722" s="1969"/>
      <c r="BH722" s="6403"/>
      <c r="BI722" s="95"/>
      <c r="BJ722" s="1326"/>
      <c r="BK722" s="6404"/>
      <c r="BL722" s="1737"/>
      <c r="BM722" s="2081"/>
      <c r="BN722" s="2238"/>
      <c r="BO722" s="1809"/>
      <c r="BR722" s="3">
        <v>1</v>
      </c>
    </row>
    <row r="723" spans="2:70" ht="15.75">
      <c r="B723" s="6236"/>
      <c r="C723" s="6358">
        <f t="shared" ref="C723:C735" si="273">C722</f>
        <v>150</v>
      </c>
      <c r="D723" s="6359" t="str" cm="1">
        <f t="array" ref="D723">IF(MOD(ROW()-50,14)=0,INDEX(D722:D735,MOD(ROW()-50,14)+1),E721)</f>
        <v/>
      </c>
      <c r="E723" s="6360" t="str">
        <f t="shared" ref="E723:E735" si="274">IF(D723="","",IF(F723="","",IF(LEN(F723)&gt;=LEN(D723),"",TRIM(MID(D723,LEN(F723)+1,99999)))))</f>
        <v/>
      </c>
      <c r="F723" s="6361" t="str">
        <f t="shared" ref="F723:F735" si="275">IF(D723="","",IF(LEN(D723)&lt;=C723,D723,IFERROR(LEFT(D723,FIND("§",SUBSTITUTE(LEFT(D723,C723+1)," ","§",LEN(LEFT(D723,C723+1))-LEN(SUBSTITUTE(LEFT(D723,C723+1)," ",""))))-1),LEFT(D723,C723))))</f>
        <v/>
      </c>
      <c r="G723" s="6318"/>
      <c r="H723" s="6323">
        <f t="shared" ref="H723:H735" si="276">IF(LEN(TRIM(L723))&gt;0,MAX(H722:H722)+1,"")</f>
        <v>2</v>
      </c>
      <c r="I723" s="6362" t="s">
        <v>14355</v>
      </c>
      <c r="J723" s="6363" t="str">
        <f>TRIM(MID(I726,LEN(K722)+1,99999))</f>
        <v>rechercher la cellule qui coupe le texte Dans la cocotte N°3 en fonte, faites chauffer l’huile d’olive à feu moyen. Ajoutez la viande et faites-la dorer de tous les côtés. Retirez-la de la cocotte et réservez-la.</v>
      </c>
      <c r="K723" s="6364" t="str">
        <f>IF(J723="","",LEFT(J723,IF(LEN(J723)&lt;=I725,LEN(J723),IFERROR(FIND("§",SUBSTITUTE(LEFT(J723,I725+1)," ","§",LEN(LEFT(J723,I725+1))-LEN(SUBSTITUTE(LEFT(J723,I725+1)," ",""))))-1,IFERROR(FIND(" ",J723,I725+1)-1,LEN(J723))))))</f>
        <v>rechercher la cellule qui coupe le texte Dans la</v>
      </c>
      <c r="L723" s="6327" t="str">
        <v>rechercher la cellule qui coupe le texte Dans la</v>
      </c>
      <c r="M723" s="6329"/>
      <c r="N723" t="s">
        <v>21</v>
      </c>
      <c r="AV723" s="103"/>
      <c r="AW723" s="31"/>
      <c r="AX723" s="32"/>
      <c r="AY723" s="31"/>
      <c r="AZ723" s="33"/>
      <c r="BA723" s="1967"/>
      <c r="BB723" s="1805"/>
      <c r="BC723" s="91"/>
      <c r="BD723" s="1806"/>
      <c r="BE723" s="6401"/>
      <c r="BF723" s="6402"/>
      <c r="BG723" s="1969"/>
      <c r="BH723" s="6403"/>
      <c r="BI723" s="95"/>
      <c r="BJ723" s="1326"/>
      <c r="BK723" s="6404"/>
      <c r="BL723" s="1737"/>
      <c r="BM723" s="2081"/>
      <c r="BN723" s="2238"/>
      <c r="BO723" s="1809"/>
      <c r="BR723" s="3">
        <v>1</v>
      </c>
    </row>
    <row r="724" spans="2:70" ht="15.75">
      <c r="B724" s="6236"/>
      <c r="C724" s="6358">
        <f t="shared" si="273"/>
        <v>150</v>
      </c>
      <c r="D724" s="6359" t="str" cm="1">
        <f t="array" ref="D724">IF(MOD(ROW()-50,14)=0,INDEX(D722:D735,MOD(ROW()-50,14)+1),E722)</f>
        <v>d’olive à feu moyen. Ajoutez la viande et faites-la dorer de tous les côtés. Retirez-la de la cocotte et réservez-la.</v>
      </c>
      <c r="E724" s="6360" t="str">
        <f t="shared" si="274"/>
        <v/>
      </c>
      <c r="F724" s="6361" t="str">
        <f t="shared" si="275"/>
        <v>d’olive à feu moyen. Ajoutez la viande et faites-la dorer de tous les côtés. Retirez-la de la cocotte et réservez-la.</v>
      </c>
      <c r="G724" s="6318"/>
      <c r="H724" s="6323">
        <f t="shared" si="276"/>
        <v>3</v>
      </c>
      <c r="I724" s="6365">
        <f>Z98</f>
        <v>5</v>
      </c>
      <c r="J724" s="6363" t="str">
        <f t="shared" ref="J724:J735" si="277">TRIM(MID(J723,LEN(K723)+1,99999))</f>
        <v>cocotte N°3 en fonte, faites chauffer l’huile d’olive à feu moyen. Ajoutez la viande et faites-la dorer de tous les côtés. Retirez-la de la cocotte et réservez-la.</v>
      </c>
      <c r="K724" s="6364" t="str">
        <f>IF(J724="","",LEFT(J724,IF(LEN(J724)&lt;=I725,LEN(J724),IFERROR(FIND("§",SUBSTITUTE(LEFT(J724,I725+1)," ","§",LEN(LEFT(J724,I725+1))-LEN(SUBSTITUTE(LEFT(J724,I725+1)," ",""))))-1,IFERROR(FIND(" ",J724,I725+1)-1,LEN(J724))))))</f>
        <v>cocotte N°3 en fonte, faites chauffer l’huile d’olive</v>
      </c>
      <c r="L724" s="6327" t="str">
        <v>cocotte N°3 en fonte, faites chauffer l’huile d’olive</v>
      </c>
      <c r="M724" s="6329"/>
      <c r="N724" t="s">
        <v>21</v>
      </c>
      <c r="AV724" s="103"/>
      <c r="AW724" s="31"/>
      <c r="AX724" s="32"/>
      <c r="AY724" s="31"/>
      <c r="AZ724" s="33"/>
      <c r="BA724" s="1967"/>
      <c r="BB724" s="1805"/>
      <c r="BC724" s="91"/>
      <c r="BD724" s="1806"/>
      <c r="BE724" s="6401"/>
      <c r="BF724" s="6402"/>
      <c r="BG724" s="1969"/>
      <c r="BH724" s="6403"/>
      <c r="BI724" s="95"/>
      <c r="BJ724" s="1326"/>
      <c r="BK724" s="6404"/>
      <c r="BL724" s="1737"/>
      <c r="BM724" s="2081"/>
      <c r="BN724" s="2238"/>
      <c r="BO724" s="1809"/>
      <c r="BR724" s="3">
        <v>1</v>
      </c>
    </row>
    <row r="725" spans="2:70" ht="15.75">
      <c r="B725" s="6236"/>
      <c r="C725" s="6358">
        <f t="shared" si="273"/>
        <v>150</v>
      </c>
      <c r="D725" s="6359" t="str" cm="1">
        <f t="array" ref="D725">IF(MOD(ROW()-50,14)=0,INDEX(D722:D735,MOD(ROW()-50,14)+1),E723)</f>
        <v/>
      </c>
      <c r="E725" s="6360" t="str">
        <f t="shared" si="274"/>
        <v/>
      </c>
      <c r="F725" s="6361" t="str">
        <f t="shared" si="275"/>
        <v/>
      </c>
      <c r="G725" s="6318"/>
      <c r="H725" s="6323">
        <f t="shared" si="276"/>
        <v>4</v>
      </c>
      <c r="I725" s="6370">
        <f>IF(OR(J722="",I724="",I724&lt;=0),"",ROUNDUP(LEN(J722)/I724,0))</f>
        <v>53</v>
      </c>
      <c r="J725" s="6363" t="str">
        <f t="shared" si="277"/>
        <v>à feu moyen. Ajoutez la viande et faites-la dorer de tous les côtés. Retirez-la de la cocotte et réservez-la.</v>
      </c>
      <c r="K725" s="6364" t="str">
        <f>IF(J725="","",LEFT(J725,IF(LEN(J725)&lt;=I725,LEN(J725),IFERROR(FIND("§",SUBSTITUTE(LEFT(J725,I725+1)," ","§",LEN(LEFT(J725,I725+1))-LEN(SUBSTITUTE(LEFT(J725,I725+1)," ",""))))-1,IFERROR(FIND(" ",J725,I725+1)-1,LEN(J725))))))</f>
        <v>à feu moyen. Ajoutez la viande et faites-la dorer de</v>
      </c>
      <c r="L725" s="6327" t="str">
        <v>à feu moyen. Ajoutez la viande et faites-la dorer de</v>
      </c>
      <c r="M725" s="6329"/>
      <c r="N725" t="s">
        <v>21</v>
      </c>
      <c r="AV725" s="103"/>
      <c r="AW725" s="31"/>
      <c r="AX725" s="32"/>
      <c r="AY725" s="31"/>
      <c r="AZ725" s="33"/>
      <c r="BA725" s="1967"/>
      <c r="BB725" s="1805"/>
      <c r="BC725" s="91"/>
      <c r="BD725" s="1806"/>
      <c r="BE725" s="6401"/>
      <c r="BF725" s="6402"/>
      <c r="BG725" s="1969"/>
      <c r="BH725" s="6403"/>
      <c r="BI725" s="95"/>
      <c r="BJ725" s="1326"/>
      <c r="BK725" s="6404"/>
      <c r="BL725" s="1737"/>
      <c r="BM725" s="2081"/>
      <c r="BN725" s="2238"/>
      <c r="BO725" s="1809"/>
      <c r="BR725" s="3">
        <v>1</v>
      </c>
    </row>
    <row r="726" spans="2:70" ht="15.75">
      <c r="B726" s="6236"/>
      <c r="C726" s="6358">
        <f t="shared" si="273"/>
        <v>150</v>
      </c>
      <c r="D726" s="6359" t="str" cm="1">
        <f t="array" ref="D726">IF(MOD(ROW()-50,14)=0,INDEX(D722:D735,MOD(ROW()-50,14)+1),E724)</f>
        <v/>
      </c>
      <c r="E726" s="6360" t="str">
        <f t="shared" si="274"/>
        <v/>
      </c>
      <c r="F726" s="6361" t="str">
        <f t="shared" si="275"/>
        <v/>
      </c>
      <c r="G726" s="6318"/>
      <c r="H726" s="6323">
        <f t="shared" si="276"/>
        <v>5</v>
      </c>
      <c r="I726" s="6372" t="str">
        <f>I722</f>
        <v>49.TEST LIGNE 19 colonne Q et ligne 20 colonne P. rechercher la cellule qui coupe le texte Dans la cocotte N°3 en fonte, faites chauffer l’huile d’olive à feu moyen. Ajoutez la viande et faites-la dorer de tous les côtés. Retirez-la de la cocotte et réservez-la.</v>
      </c>
      <c r="J726" s="6363" t="str">
        <f t="shared" si="277"/>
        <v>tous les côtés. Retirez-la de la cocotte et réservez-la.</v>
      </c>
      <c r="K726" s="6364" t="str">
        <f>IF(J726="","",LEFT(J726,IF(LEN(J726)&lt;=I725,LEN(J726),IFERROR(FIND("§",SUBSTITUTE(LEFT(J726,I725+1)," ","§",LEN(LEFT(J726,I725+1))-LEN(SUBSTITUTE(LEFT(J726,I725+1)," ",""))))-1,IFERROR(FIND(" ",J726,I725+1)-1,LEN(J726))))))</f>
        <v>tous les côtés. Retirez-la de la cocotte et</v>
      </c>
      <c r="L726" s="6327" t="str">
        <v>tous les côtés. Retirez-la de la cocotte et</v>
      </c>
      <c r="M726" s="6329"/>
      <c r="N726" t="s">
        <v>21</v>
      </c>
      <c r="AV726" s="103"/>
      <c r="AW726" s="31"/>
      <c r="AX726" s="32"/>
      <c r="AY726" s="31"/>
      <c r="AZ726" s="33"/>
      <c r="BA726" s="1967"/>
      <c r="BB726" s="1805"/>
      <c r="BC726" s="91"/>
      <c r="BD726" s="1806"/>
      <c r="BE726" s="6401"/>
      <c r="BF726" s="6402"/>
      <c r="BG726" s="1969"/>
      <c r="BH726" s="6403"/>
      <c r="BI726" s="95"/>
      <c r="BJ726" s="1326"/>
      <c r="BK726" s="6404"/>
      <c r="BL726" s="1737"/>
      <c r="BM726" s="2081"/>
      <c r="BN726" s="2238"/>
      <c r="BO726" s="1809"/>
      <c r="BR726" s="3">
        <v>1</v>
      </c>
    </row>
    <row r="727" spans="2:70" ht="15.75">
      <c r="B727" s="6236"/>
      <c r="C727" s="6358">
        <f t="shared" si="273"/>
        <v>150</v>
      </c>
      <c r="D727" s="6359" t="str" cm="1">
        <f t="array" ref="D727">IF(MOD(ROW()-50,14)=0,INDEX(D722:D735,MOD(ROW()-50,14)+1),E725)</f>
        <v/>
      </c>
      <c r="E727" s="6360" t="str">
        <f t="shared" si="274"/>
        <v/>
      </c>
      <c r="F727" s="6361" t="str">
        <f t="shared" si="275"/>
        <v/>
      </c>
      <c r="G727" s="6318"/>
      <c r="H727" s="6323">
        <f t="shared" si="276"/>
        <v>6</v>
      </c>
      <c r="I727" s="6373"/>
      <c r="J727" s="6363" t="str">
        <f t="shared" si="277"/>
        <v>réservez-la.</v>
      </c>
      <c r="K727" s="6364" t="str">
        <f>IF(J727="","",LEFT(J727,IF(LEN(J727)&lt;=I725,LEN(J727),IFERROR(FIND("§",SUBSTITUTE(LEFT(J727,I725+1)," ","§",LEN(LEFT(J727,I725+1))-LEN(SUBSTITUTE(LEFT(J727,I725+1)," ",""))))-1,IFERROR(FIND(" ",J727,I725+1)-1,LEN(J727))))))</f>
        <v>réservez-la.</v>
      </c>
      <c r="L727" s="6327" t="str">
        <v>réservez-la.</v>
      </c>
      <c r="M727" s="6329"/>
      <c r="N727" t="s">
        <v>21</v>
      </c>
      <c r="AV727" s="103"/>
      <c r="AW727" s="31"/>
      <c r="AX727" s="32"/>
      <c r="AY727" s="31"/>
      <c r="AZ727" s="33"/>
      <c r="BA727" s="1967"/>
      <c r="BB727" s="1805"/>
      <c r="BC727" s="91"/>
      <c r="BD727" s="1806"/>
      <c r="BE727" s="6401"/>
      <c r="BF727" s="6402"/>
      <c r="BG727" s="1969"/>
      <c r="BH727" s="6403"/>
      <c r="BI727" s="95"/>
      <c r="BJ727" s="1326"/>
      <c r="BK727" s="6404"/>
      <c r="BL727" s="1737"/>
      <c r="BM727" s="2081"/>
      <c r="BN727" s="2238"/>
      <c r="BO727" s="1809"/>
      <c r="BR727" s="3">
        <v>1</v>
      </c>
    </row>
    <row r="728" spans="2:70" ht="15.75">
      <c r="B728" s="6236"/>
      <c r="C728" s="6358">
        <f t="shared" si="273"/>
        <v>150</v>
      </c>
      <c r="D728" s="6359" t="str" cm="1">
        <f t="array" ref="D728">IF(MOD(ROW()-50,14)=0,INDEX(D722:D735,MOD(ROW()-50,14)+1),E726)</f>
        <v/>
      </c>
      <c r="E728" s="6360" t="str">
        <f t="shared" si="274"/>
        <v/>
      </c>
      <c r="F728" s="6361" t="str">
        <f t="shared" si="275"/>
        <v/>
      </c>
      <c r="G728" s="6318"/>
      <c r="H728" s="6323" t="str">
        <f t="shared" si="276"/>
        <v/>
      </c>
      <c r="I728" s="6373"/>
      <c r="J728" s="6363" t="str">
        <f t="shared" si="277"/>
        <v/>
      </c>
      <c r="K728" s="6364" t="str">
        <f>IF(J728="","",LEFT(J728,IF(LEN(J728)&lt;=I725,LEN(J728),IFERROR(FIND("§",SUBSTITUTE(LEFT(J728,I725+1)," ","§",LEN(LEFT(J728,I725+1))-LEN(SUBSTITUTE(LEFT(J728,I725+1)," ",""))))-1,IFERROR(FIND(" ",J728,I725+1)-1,LEN(J728))))))</f>
        <v/>
      </c>
      <c r="L728" s="6327"/>
      <c r="M728" s="6329"/>
      <c r="N728" t="s">
        <v>21</v>
      </c>
      <c r="AV728" s="103"/>
      <c r="AW728" s="31"/>
      <c r="AX728" s="32"/>
      <c r="AY728" s="31"/>
      <c r="AZ728" s="33"/>
      <c r="BA728" s="1967"/>
      <c r="BB728" s="1805"/>
      <c r="BC728" s="91"/>
      <c r="BD728" s="1806"/>
      <c r="BE728" s="6401"/>
      <c r="BF728" s="6402"/>
      <c r="BG728" s="1969"/>
      <c r="BH728" s="6403"/>
      <c r="BI728" s="95"/>
      <c r="BJ728" s="1326"/>
      <c r="BK728" s="6404"/>
      <c r="BL728" s="1737"/>
      <c r="BM728" s="2081"/>
      <c r="BN728" s="2238"/>
      <c r="BO728" s="1809"/>
      <c r="BR728" s="3">
        <v>1</v>
      </c>
    </row>
    <row r="729" spans="2:70" ht="15.75">
      <c r="B729" s="6236"/>
      <c r="C729" s="6358">
        <f t="shared" si="273"/>
        <v>150</v>
      </c>
      <c r="D729" s="6359" t="str" cm="1">
        <f t="array" ref="D729">IF(MOD(ROW()-50,14)=0,INDEX(D722:D735,MOD(ROW()-50,14)+1),E727)</f>
        <v/>
      </c>
      <c r="E729" s="6360" t="str">
        <f t="shared" si="274"/>
        <v/>
      </c>
      <c r="F729" s="6361" t="str">
        <f t="shared" si="275"/>
        <v/>
      </c>
      <c r="G729" s="6318"/>
      <c r="H729" s="6323" t="str">
        <f t="shared" si="276"/>
        <v/>
      </c>
      <c r="I729" s="6373"/>
      <c r="J729" s="6363" t="str">
        <f t="shared" si="277"/>
        <v/>
      </c>
      <c r="K729" s="6364" t="str">
        <f>IF(J729="","",LEFT(J729,IF(LEN(J729)&lt;=I725,LEN(J729),IFERROR(FIND("§",SUBSTITUTE(LEFT(J729,I725+1)," ","§",LEN(LEFT(J729,I725+1))-LEN(SUBSTITUTE(LEFT(J729,I725+1)," ",""))))-1,IFERROR(FIND(" ",J729,I725+1)-1,LEN(J729))))))</f>
        <v/>
      </c>
      <c r="L729" s="6327"/>
      <c r="M729" s="6329"/>
      <c r="N729" t="s">
        <v>21</v>
      </c>
      <c r="AV729" s="103"/>
      <c r="AW729" s="31"/>
      <c r="AX729" s="32"/>
      <c r="AY729" s="31"/>
      <c r="AZ729" s="33"/>
      <c r="BA729" s="1967"/>
      <c r="BB729" s="1805"/>
      <c r="BC729" s="91"/>
      <c r="BD729" s="1806"/>
      <c r="BE729" s="6401"/>
      <c r="BF729" s="6402"/>
      <c r="BG729" s="1969"/>
      <c r="BH729" s="6403"/>
      <c r="BI729" s="95"/>
      <c r="BJ729" s="1326"/>
      <c r="BK729" s="6404"/>
      <c r="BL729" s="1737"/>
      <c r="BM729" s="2081"/>
      <c r="BN729" s="2238"/>
      <c r="BO729" s="1809"/>
      <c r="BR729" s="3">
        <v>1</v>
      </c>
    </row>
    <row r="730" spans="2:70" ht="15.75">
      <c r="B730" s="6236"/>
      <c r="C730" s="6358">
        <f t="shared" si="273"/>
        <v>150</v>
      </c>
      <c r="D730" s="6359" t="str" cm="1">
        <f t="array" ref="D730">IF(MOD(ROW()-50,14)=0,INDEX(D722:D735,MOD(ROW()-50,14)+1),E728)</f>
        <v/>
      </c>
      <c r="E730" s="6360" t="str">
        <f t="shared" si="274"/>
        <v/>
      </c>
      <c r="F730" s="6361" t="str">
        <f t="shared" si="275"/>
        <v/>
      </c>
      <c r="G730" s="6318"/>
      <c r="H730" s="6323" t="str">
        <f t="shared" si="276"/>
        <v/>
      </c>
      <c r="I730" s="6373"/>
      <c r="J730" s="6363" t="str">
        <f t="shared" si="277"/>
        <v/>
      </c>
      <c r="K730" s="6364" t="str">
        <f>IF(J730="","",LEFT(J730,IF(LEN(J730)&lt;=I725,LEN(J730),IFERROR(FIND("§",SUBSTITUTE(LEFT(J730,I725+1)," ","§",LEN(LEFT(J730,I725+1))-LEN(SUBSTITUTE(LEFT(J730,I725+1)," ",""))))-1,IFERROR(FIND(" ",J730,I725+1)-1,LEN(J730))))))</f>
        <v/>
      </c>
      <c r="L730" s="6327"/>
      <c r="M730" s="6329"/>
      <c r="N730" t="s">
        <v>21</v>
      </c>
      <c r="AV730" s="103"/>
      <c r="AW730" s="31"/>
      <c r="AX730" s="32"/>
      <c r="AY730" s="31"/>
      <c r="AZ730" s="33"/>
      <c r="BA730" s="1967"/>
      <c r="BB730" s="1805"/>
      <c r="BC730" s="91"/>
      <c r="BD730" s="1806"/>
      <c r="BE730" s="6401"/>
      <c r="BF730" s="6402"/>
      <c r="BG730" s="1969"/>
      <c r="BH730" s="6403"/>
      <c r="BI730" s="95"/>
      <c r="BJ730" s="1326"/>
      <c r="BK730" s="6404"/>
      <c r="BL730" s="1737"/>
      <c r="BM730" s="2081"/>
      <c r="BN730" s="2238"/>
      <c r="BO730" s="1809"/>
      <c r="BR730" s="3">
        <v>1</v>
      </c>
    </row>
    <row r="731" spans="2:70" ht="15.75">
      <c r="B731" s="6236"/>
      <c r="C731" s="6358">
        <f t="shared" si="273"/>
        <v>150</v>
      </c>
      <c r="D731" s="6359" t="str" cm="1">
        <f t="array" ref="D731">IF(MOD(ROW()-50,14)=0,INDEX(D722:D735,MOD(ROW()-50,14)+1),E729)</f>
        <v/>
      </c>
      <c r="E731" s="6360" t="str">
        <f t="shared" si="274"/>
        <v/>
      </c>
      <c r="F731" s="6361" t="str">
        <f t="shared" si="275"/>
        <v/>
      </c>
      <c r="G731" s="6318"/>
      <c r="H731" s="6323" t="str">
        <f t="shared" si="276"/>
        <v/>
      </c>
      <c r="I731" s="6373"/>
      <c r="J731" s="6363" t="str">
        <f t="shared" si="277"/>
        <v/>
      </c>
      <c r="K731" s="6364" t="str">
        <f>IF(J731="","",LEFT(J731,IF(LEN(J731)&lt;=I725,LEN(J731),IFERROR(FIND("§",SUBSTITUTE(LEFT(J731,I725+1)," ","§",LEN(LEFT(J731,I725+1))-LEN(SUBSTITUTE(LEFT(J731,I725+1)," ",""))))-1,IFERROR(FIND(" ",J731,I725+1)-1,LEN(J731))))))</f>
        <v/>
      </c>
      <c r="L731" s="6327"/>
      <c r="M731" s="6329"/>
      <c r="N731" t="s">
        <v>21</v>
      </c>
      <c r="AV731" s="103"/>
      <c r="AW731" s="31"/>
      <c r="AX731" s="32"/>
      <c r="AY731" s="31"/>
      <c r="AZ731" s="33"/>
      <c r="BA731" s="1967"/>
      <c r="BB731" s="1805"/>
      <c r="BC731" s="91"/>
      <c r="BD731" s="1806"/>
      <c r="BE731" s="6401"/>
      <c r="BF731" s="6402"/>
      <c r="BG731" s="1969"/>
      <c r="BH731" s="6403"/>
      <c r="BI731" s="95"/>
      <c r="BJ731" s="1326"/>
      <c r="BK731" s="6404"/>
      <c r="BL731" s="1737"/>
      <c r="BM731" s="2081"/>
      <c r="BN731" s="2238"/>
      <c r="BO731" s="1809"/>
      <c r="BR731" s="3">
        <v>1</v>
      </c>
    </row>
    <row r="732" spans="2:70" ht="15.75">
      <c r="B732" s="6236"/>
      <c r="C732" s="6358">
        <f t="shared" si="273"/>
        <v>150</v>
      </c>
      <c r="D732" s="6359" t="str" cm="1">
        <f t="array" ref="D732">IF(MOD(ROW()-50,14)=0,INDEX(D722:D735,MOD(ROW()-50,14)+1),E730)</f>
        <v/>
      </c>
      <c r="E732" s="6360" t="str">
        <f t="shared" si="274"/>
        <v/>
      </c>
      <c r="F732" s="6361" t="str">
        <f t="shared" si="275"/>
        <v/>
      </c>
      <c r="G732" s="6318"/>
      <c r="H732" s="6323" t="str">
        <f t="shared" si="276"/>
        <v/>
      </c>
      <c r="I732" s="6373"/>
      <c r="J732" s="6363" t="str">
        <f t="shared" si="277"/>
        <v/>
      </c>
      <c r="K732" s="6364" t="str">
        <f>IF(J732="","",LEFT(J732,IF(LEN(J732)&lt;=I725,LEN(J732),IFERROR(FIND("§",SUBSTITUTE(LEFT(J732,I725+1)," ","§",LEN(LEFT(J732,I725+1))-LEN(SUBSTITUTE(LEFT(J732,I725+1)," ",""))))-1,IFERROR(FIND(" ",J732,I725+1)-1,LEN(J732))))))</f>
        <v/>
      </c>
      <c r="L732" s="6327"/>
      <c r="M732" s="6329"/>
      <c r="N732" t="s">
        <v>21</v>
      </c>
      <c r="AV732" s="103"/>
      <c r="AW732" s="31"/>
      <c r="AX732" s="32"/>
      <c r="AY732" s="31"/>
      <c r="AZ732" s="33"/>
      <c r="BA732" s="1967"/>
      <c r="BB732" s="1805"/>
      <c r="BC732" s="91"/>
      <c r="BD732" s="1806"/>
      <c r="BE732" s="6401"/>
      <c r="BF732" s="6402"/>
      <c r="BG732" s="1969"/>
      <c r="BH732" s="6403"/>
      <c r="BI732" s="95"/>
      <c r="BJ732" s="1326"/>
      <c r="BK732" s="6404"/>
      <c r="BL732" s="1737"/>
      <c r="BM732" s="2081"/>
      <c r="BN732" s="2238"/>
      <c r="BO732" s="1809"/>
      <c r="BR732" s="3">
        <v>1</v>
      </c>
    </row>
    <row r="733" spans="2:70" ht="15.75">
      <c r="B733" s="6236"/>
      <c r="C733" s="6358">
        <f t="shared" si="273"/>
        <v>150</v>
      </c>
      <c r="D733" s="6359" t="str" cm="1">
        <f t="array" ref="D733">IF(MOD(ROW()-50,14)=0,INDEX(D722:D735,MOD(ROW()-50,14)+1),E731)</f>
        <v/>
      </c>
      <c r="E733" s="6360" t="str">
        <f t="shared" si="274"/>
        <v/>
      </c>
      <c r="F733" s="6361" t="str">
        <f t="shared" si="275"/>
        <v/>
      </c>
      <c r="G733" s="6318"/>
      <c r="H733" s="6323" t="str">
        <f t="shared" si="276"/>
        <v/>
      </c>
      <c r="I733" s="6373"/>
      <c r="J733" s="6363" t="str">
        <f t="shared" si="277"/>
        <v/>
      </c>
      <c r="K733" s="6364" t="str">
        <f>IF(J733="","",LEFT(J733,IF(LEN(J733)&lt;=I725,LEN(J733),IFERROR(FIND("§",SUBSTITUTE(LEFT(J733,I725+1)," ","§",LEN(LEFT(J733,I725+1))-LEN(SUBSTITUTE(LEFT(J733,I725+1)," ",""))))-1,IFERROR(FIND(" ",J733,I725+1)-1,LEN(J733))))))</f>
        <v/>
      </c>
      <c r="L733" s="6327"/>
      <c r="M733" s="6329"/>
      <c r="N733" t="s">
        <v>21</v>
      </c>
      <c r="AV733" s="103"/>
      <c r="AW733" s="31"/>
      <c r="AX733" s="32"/>
      <c r="AY733" s="31"/>
      <c r="AZ733" s="33"/>
      <c r="BA733" s="1967"/>
      <c r="BB733" s="1805"/>
      <c r="BC733" s="91"/>
      <c r="BD733" s="1806"/>
      <c r="BE733" s="6401"/>
      <c r="BF733" s="6402"/>
      <c r="BG733" s="1969"/>
      <c r="BH733" s="6403"/>
      <c r="BI733" s="95"/>
      <c r="BJ733" s="1326"/>
      <c r="BK733" s="6404"/>
      <c r="BL733" s="1737"/>
      <c r="BM733" s="2081"/>
      <c r="BN733" s="2238"/>
      <c r="BO733" s="1809"/>
      <c r="BR733" s="3">
        <v>1</v>
      </c>
    </row>
    <row r="734" spans="2:70" ht="15.75">
      <c r="B734" s="6236"/>
      <c r="C734" s="6358">
        <f t="shared" si="273"/>
        <v>150</v>
      </c>
      <c r="D734" s="6359" t="str" cm="1">
        <f t="array" ref="D734">IF(MOD(ROW()-50,14)=0,INDEX(D722:D735,MOD(ROW()-50,14)+1),E732)</f>
        <v/>
      </c>
      <c r="E734" s="6360" t="str">
        <f t="shared" si="274"/>
        <v/>
      </c>
      <c r="F734" s="6361" t="str">
        <f t="shared" si="275"/>
        <v/>
      </c>
      <c r="G734" s="6318"/>
      <c r="H734" s="6323" t="str">
        <f t="shared" si="276"/>
        <v/>
      </c>
      <c r="I734" s="6373"/>
      <c r="J734" s="6363" t="str">
        <f t="shared" si="277"/>
        <v/>
      </c>
      <c r="K734" s="6364" t="str">
        <f>IF(J734="","",LEFT(J734,IF(LEN(J734)&lt;=I725,LEN(J734),IFERROR(FIND("§",SUBSTITUTE(LEFT(J734,I725+1)," ","§",LEN(LEFT(J734,I725+1))-LEN(SUBSTITUTE(LEFT(J734,I725+1)," ",""))))-1,IFERROR(FIND(" ",J734,I725+1)-1,LEN(J734))))))</f>
        <v/>
      </c>
      <c r="L734" s="6364"/>
      <c r="M734" s="6329"/>
      <c r="N734" t="s">
        <v>21</v>
      </c>
      <c r="AV734" s="103"/>
      <c r="AW734" s="31"/>
      <c r="AX734" s="32"/>
      <c r="AY734" s="31"/>
      <c r="AZ734" s="33"/>
      <c r="BA734" s="1967"/>
      <c r="BB734" s="1805"/>
      <c r="BC734" s="91"/>
      <c r="BD734" s="1806"/>
      <c r="BE734" s="6401"/>
      <c r="BF734" s="6402"/>
      <c r="BG734" s="1969"/>
      <c r="BH734" s="6403"/>
      <c r="BI734" s="95"/>
      <c r="BJ734" s="1326"/>
      <c r="BK734" s="6404"/>
      <c r="BL734" s="1737"/>
      <c r="BM734" s="2081"/>
      <c r="BN734" s="2238"/>
      <c r="BO734" s="1809"/>
      <c r="BR734" s="3">
        <v>1</v>
      </c>
    </row>
    <row r="735" spans="2:70" ht="15.75">
      <c r="B735" s="6236"/>
      <c r="C735" s="6376">
        <f t="shared" si="273"/>
        <v>150</v>
      </c>
      <c r="D735" s="6414" t="str" cm="1">
        <f t="array" ref="D735">IF(MOD(ROW()-50,14)=0,INDEX(D722:D735,MOD(ROW()-50,14)+1),E733)</f>
        <v/>
      </c>
      <c r="E735" s="6377" t="str">
        <f t="shared" si="274"/>
        <v/>
      </c>
      <c r="F735" s="6378" t="str">
        <f t="shared" si="275"/>
        <v/>
      </c>
      <c r="G735" s="6319"/>
      <c r="H735" s="6323" t="str">
        <f t="shared" si="276"/>
        <v/>
      </c>
      <c r="I735" s="6379"/>
      <c r="J735" s="6380" t="str">
        <f t="shared" si="277"/>
        <v/>
      </c>
      <c r="K735" s="6381" t="str">
        <f>IF(J735="","",LEFT(J735,IF(LEN(J735)&lt;=I725,LEN(J735),IFERROR(FIND("§",SUBSTITUTE(LEFT(J735,I725+1)," ","§",LEN(LEFT(J735,I725+1))-LEN(SUBSTITUTE(LEFT(J735,I725+1)," ",""))))-1,IFERROR(FIND(" ",J735,I725+1)-1,LEN(J735))))))</f>
        <v/>
      </c>
      <c r="L735" s="6382"/>
      <c r="M735" s="6330"/>
      <c r="N735" t="s">
        <v>21</v>
      </c>
      <c r="AV735" s="103"/>
      <c r="AW735" s="31"/>
      <c r="AX735" s="32"/>
      <c r="AY735" s="31"/>
      <c r="AZ735" s="33"/>
      <c r="BA735" s="1967"/>
      <c r="BB735" s="1805"/>
      <c r="BC735" s="91"/>
      <c r="BD735" s="1806"/>
      <c r="BE735" s="6401"/>
      <c r="BF735" s="6402"/>
      <c r="BG735" s="1969"/>
      <c r="BH735" s="6403"/>
      <c r="BI735" s="95"/>
      <c r="BJ735" s="1326"/>
      <c r="BK735" s="6404"/>
      <c r="BL735" s="1737"/>
      <c r="BM735" s="2081"/>
      <c r="BN735" s="2238"/>
      <c r="BO735" s="1809"/>
      <c r="BR735" s="3">
        <v>1</v>
      </c>
    </row>
    <row r="736" spans="2:70" ht="15.75">
      <c r="B736" s="6236"/>
      <c r="C736" s="6313">
        <f>AD99</f>
        <v>150</v>
      </c>
      <c r="D736" s="6314" t="str">
        <f>IF(UPPER(TRIM(X45))="X",U99,O99)</f>
        <v>50.TEST LIGNE 19 colonne Q et ligne 20 colonne P. rechercher la cellule qui coupe le texte Dans la cocotte N°3 en fonte, faites chauffer l’huile d’olive à feu moyen. Ajoutez la viande et faites-la dorer de tous les côtés. Retirez-la de la cocotte et réservez-la.</v>
      </c>
      <c r="E736" s="6315" t="str">
        <f>IF(D736="","",IF(F736="","",IF(LEN(F736)&gt;=LEN(D736),"",TRIM(MID(D736,LEN(F736)+1,99999)))))</f>
        <v>d’olive à feu moyen. Ajoutez la viande et faites-la dorer de tous les côtés. Retirez-la de la cocotte et réservez-la.</v>
      </c>
      <c r="F736" s="6316" t="str">
        <f>IF(D736="","",IF(LEN(D736)&lt;=C736,D736,IFERROR(LEFT(D736,FIND("§",SUBSTITUTE(LEFT(D736,C736+1)," ","§",LEN(LEFT(D736,C736+1))-LEN(SUBSTITUTE(LEFT(D736,C736+1)," ",""))))-1),LEFT(D736,C736))))</f>
        <v>50.TEST LIGNE 19 colonne Q et ligne 20 colonne P. rechercher la cellule qui coupe le texte Dans la cocotte N°3 en fonte, faites chauffer l’huile</v>
      </c>
      <c r="G736" s="6317"/>
      <c r="H736" s="6385">
        <f>IF(LEN(TRIM(L736))&gt;0,MAX(H735:H735)+1,"")</f>
        <v>1</v>
      </c>
      <c r="I736" s="6324" t="str">
        <f>D736</f>
        <v>50.TEST LIGNE 19 colonne Q et ligne 20 colonne P. rechercher la cellule qui coupe le texte Dans la cocotte N°3 en fonte, faites chauffer l’huile d’olive à feu moyen. Ajoutez la viande et faites-la dorer de tous les côtés. Retirez-la de la cocotte et réservez-la.</v>
      </c>
      <c r="J736" s="6386" t="str">
        <f>IF(I736=0,"",I736)</f>
        <v>50.TEST LIGNE 19 colonne Q et ligne 20 colonne P. rechercher la cellule qui coupe le texte Dans la cocotte N°3 en fonte, faites chauffer l’huile d’olive à feu moyen. Ajoutez la viande et faites-la dorer de tous les côtés. Retirez-la de la cocotte et réservez-la.</v>
      </c>
      <c r="K736" s="6387" t="str">
        <f>IF(I736="","",LEFT(I736,IF(LEN(I736)&lt;=I739,LEN(I736),IFERROR(FIND("§",SUBSTITUTE(LEFT(I736,I739+1)," ","§",LEN(LEFT(I736,I739+1))-LEN(SUBSTITUTE(LEFT(I736,I739+1)," ",""))))-1,IFERROR(FIND(" ",I736,I739+1)-1,LEN(I736))))))</f>
        <v>50.TEST LIGNE 19 colonne Q et ligne 20 colonne P.</v>
      </c>
      <c r="L736" s="6388" t="str" cm="1">
        <f t="array" ref="L736:L741">_xlfn._xlws.FILTER(TRIM(SUBSTITUTE(SUBSTITUTE(SUBSTITUTE(SUBSTITUTE(SUBSTITUTE(CLEAN(K736:K749),CHAR(160)," "),_xlfn.UNICHAR(8239)," "),CHAR(9)," "),CHAR(10)," "),CHAR(13)," ")),TRIM(SUBSTITUTE(SUBSTITUTE(SUBSTITUTE(SUBSTITUTE(SUBSTITUTE(CLEAN(K736:K749),CHAR(160)," "),_xlfn.UNICHAR(8239)," "),CHAR(9)," "),CHAR(10)," "),CHAR(13)," "))&lt;&gt;"")</f>
        <v>50.TEST LIGNE 19 colonne Q et ligne 20 colonne P.</v>
      </c>
      <c r="M736" s="6331"/>
      <c r="N736" t="s">
        <v>21</v>
      </c>
      <c r="AV736" s="103"/>
      <c r="AW736" s="31"/>
      <c r="AX736" s="32"/>
      <c r="AY736" s="31"/>
      <c r="AZ736" s="33"/>
      <c r="BA736" s="1967"/>
      <c r="BB736" s="1805"/>
      <c r="BC736" s="91"/>
      <c r="BD736" s="1806"/>
      <c r="BE736" s="6401"/>
      <c r="BF736" s="6402"/>
      <c r="BG736" s="1969"/>
      <c r="BH736" s="6403"/>
      <c r="BI736" s="95"/>
      <c r="BJ736" s="1326"/>
      <c r="BK736" s="6404"/>
      <c r="BL736" s="1737"/>
      <c r="BM736" s="2081"/>
      <c r="BN736" s="2238"/>
      <c r="BO736" s="1809"/>
      <c r="BR736" s="3">
        <v>1</v>
      </c>
    </row>
    <row r="737" spans="2:70" ht="15.75">
      <c r="B737" s="6236"/>
      <c r="C737" s="6358">
        <f t="shared" ref="C737:C749" si="278">C736</f>
        <v>150</v>
      </c>
      <c r="D737" s="6359" t="str" cm="1">
        <f t="array" ref="D737">IF(MOD(ROW()-50,14)=0,INDEX(D736:D749,MOD(ROW()-50,14)+1),E735)</f>
        <v/>
      </c>
      <c r="E737" s="6360" t="str">
        <f t="shared" ref="E737:E749" si="279">IF(D737="","",IF(F737="","",IF(LEN(F737)&gt;=LEN(D737),"",TRIM(MID(D737,LEN(F737)+1,99999)))))</f>
        <v/>
      </c>
      <c r="F737" s="6361" t="str">
        <f t="shared" ref="F737:F749" si="280">IF(D737="","",IF(LEN(D737)&lt;=C737,D737,IFERROR(LEFT(D737,FIND("§",SUBSTITUTE(LEFT(D737,C737+1)," ","§",LEN(LEFT(D737,C737+1))-LEN(SUBSTITUTE(LEFT(D737,C737+1)," ",""))))-1),LEFT(D737,C737))))</f>
        <v/>
      </c>
      <c r="G737" s="6318"/>
      <c r="H737" s="6393">
        <f t="shared" ref="H737:H749" si="281">IF(LEN(TRIM(L737))&gt;0,MAX(H736:H736)+1,"")</f>
        <v>2</v>
      </c>
      <c r="I737" s="6394" t="s">
        <v>14355</v>
      </c>
      <c r="J737" s="6395" t="str">
        <f>TRIM(MID(I740,LEN(K736)+1,99999))</f>
        <v>rechercher la cellule qui coupe le texte Dans la cocotte N°3 en fonte, faites chauffer l’huile d’olive à feu moyen. Ajoutez la viande et faites-la dorer de tous les côtés. Retirez-la de la cocotte et réservez-la.</v>
      </c>
      <c r="K737" s="6396" t="str">
        <f>IF(J737="","",LEFT(J737,IF(LEN(J737)&lt;=I739,LEN(J737),IFERROR(FIND("§",SUBSTITUTE(LEFT(J737,I739+1)," ","§",LEN(LEFT(J737,I739+1))-LEN(SUBSTITUTE(LEFT(J737,I739+1)," ",""))))-1,IFERROR(FIND(" ",J737,I739+1)-1,LEN(J737))))))</f>
        <v>rechercher la cellule qui coupe le texte Dans la</v>
      </c>
      <c r="L737" s="6388" t="str">
        <v>rechercher la cellule qui coupe le texte Dans la</v>
      </c>
      <c r="M737" s="6332"/>
      <c r="N737" t="s">
        <v>21</v>
      </c>
      <c r="AV737" s="103"/>
      <c r="AW737" s="31"/>
      <c r="AX737" s="32"/>
      <c r="AY737" s="31"/>
      <c r="AZ737" s="33"/>
      <c r="BA737" s="1967"/>
      <c r="BB737" s="1805"/>
      <c r="BC737" s="91"/>
      <c r="BD737" s="1806"/>
      <c r="BE737" s="6401"/>
      <c r="BF737" s="6402"/>
      <c r="BG737" s="1969"/>
      <c r="BH737" s="6403"/>
      <c r="BI737" s="95"/>
      <c r="BJ737" s="1326"/>
      <c r="BK737" s="6404"/>
      <c r="BL737" s="1737"/>
      <c r="BM737" s="2081"/>
      <c r="BN737" s="2238"/>
      <c r="BO737" s="1809"/>
      <c r="BR737" s="3">
        <v>1</v>
      </c>
    </row>
    <row r="738" spans="2:70" ht="15.75">
      <c r="B738" s="6236"/>
      <c r="C738" s="6358">
        <f t="shared" si="278"/>
        <v>150</v>
      </c>
      <c r="D738" s="6359" t="str" cm="1">
        <f t="array" ref="D738">IF(MOD(ROW()-50,14)=0,INDEX(D736:D749,MOD(ROW()-50,14)+1),E736)</f>
        <v>d’olive à feu moyen. Ajoutez la viande et faites-la dorer de tous les côtés. Retirez-la de la cocotte et réservez-la.</v>
      </c>
      <c r="E738" s="6360" t="str">
        <f t="shared" si="279"/>
        <v/>
      </c>
      <c r="F738" s="6361" t="str">
        <f t="shared" si="280"/>
        <v>d’olive à feu moyen. Ajoutez la viande et faites-la dorer de tous les côtés. Retirez-la de la cocotte et réservez-la.</v>
      </c>
      <c r="G738" s="6318"/>
      <c r="H738" s="6393">
        <f t="shared" si="281"/>
        <v>3</v>
      </c>
      <c r="I738" s="6365">
        <f>Z99</f>
        <v>5</v>
      </c>
      <c r="J738" s="6395" t="str">
        <f t="shared" ref="J738:J749" si="282">TRIM(MID(J737,LEN(K737)+1,99999))</f>
        <v>cocotte N°3 en fonte, faites chauffer l’huile d’olive à feu moyen. Ajoutez la viande et faites-la dorer de tous les côtés. Retirez-la de la cocotte et réservez-la.</v>
      </c>
      <c r="K738" s="6396" t="str">
        <f>IF(J738="","",LEFT(J738,IF(LEN(J738)&lt;=I739,LEN(J738),IFERROR(FIND("§",SUBSTITUTE(LEFT(J738,I739+1)," ","§",LEN(LEFT(J738,I739+1))-LEN(SUBSTITUTE(LEFT(J738,I739+1)," ",""))))-1,IFERROR(FIND(" ",J738,I739+1)-1,LEN(J738))))))</f>
        <v>cocotte N°3 en fonte, faites chauffer l’huile d’olive</v>
      </c>
      <c r="L738" s="6388" t="str">
        <v>cocotte N°3 en fonte, faites chauffer l’huile d’olive</v>
      </c>
      <c r="M738" s="6332"/>
      <c r="N738" t="s">
        <v>21</v>
      </c>
      <c r="AV738" s="103"/>
      <c r="AW738" s="31"/>
      <c r="AX738" s="32"/>
      <c r="AY738" s="31"/>
      <c r="AZ738" s="33"/>
      <c r="BA738" s="1967"/>
      <c r="BB738" s="1805"/>
      <c r="BC738" s="91"/>
      <c r="BD738" s="1806"/>
      <c r="BE738" s="6401"/>
      <c r="BF738" s="6402"/>
      <c r="BG738" s="1969"/>
      <c r="BH738" s="6403"/>
      <c r="BI738" s="95"/>
      <c r="BJ738" s="1326"/>
      <c r="BK738" s="6404"/>
      <c r="BL738" s="1737"/>
      <c r="BM738" s="2081"/>
      <c r="BN738" s="2238"/>
      <c r="BO738" s="1809"/>
      <c r="BR738" s="3">
        <v>1</v>
      </c>
    </row>
    <row r="739" spans="2:70" ht="15.75">
      <c r="B739" s="6236"/>
      <c r="C739" s="6358">
        <f t="shared" si="278"/>
        <v>150</v>
      </c>
      <c r="D739" s="6359" t="str" cm="1">
        <f t="array" ref="D739">IF(MOD(ROW()-50,14)=0,INDEX(D736:D749,MOD(ROW()-50,14)+1),E737)</f>
        <v/>
      </c>
      <c r="E739" s="6360" t="str">
        <f t="shared" si="279"/>
        <v/>
      </c>
      <c r="F739" s="6361" t="str">
        <f t="shared" si="280"/>
        <v/>
      </c>
      <c r="G739" s="6318"/>
      <c r="H739" s="6393">
        <f t="shared" si="281"/>
        <v>4</v>
      </c>
      <c r="I739" s="6398">
        <f>IF(OR(J736="",I738="",I738&lt;=0),"",ROUNDUP(LEN(J736)/I738,0))</f>
        <v>53</v>
      </c>
      <c r="J739" s="6395" t="str">
        <f t="shared" si="282"/>
        <v>à feu moyen. Ajoutez la viande et faites-la dorer de tous les côtés. Retirez-la de la cocotte et réservez-la.</v>
      </c>
      <c r="K739" s="6396" t="str">
        <f>IF(J739="","",LEFT(J739,IF(LEN(J739)&lt;=I739,LEN(J739),IFERROR(FIND("§",SUBSTITUTE(LEFT(J739,I739+1)," ","§",LEN(LEFT(J739,I739+1))-LEN(SUBSTITUTE(LEFT(J739,I739+1)," ",""))))-1,IFERROR(FIND(" ",J739,I739+1)-1,LEN(J739))))))</f>
        <v>à feu moyen. Ajoutez la viande et faites-la dorer de</v>
      </c>
      <c r="L739" s="6388" t="str">
        <v>à feu moyen. Ajoutez la viande et faites-la dorer de</v>
      </c>
      <c r="M739" s="6332"/>
      <c r="N739" t="s">
        <v>21</v>
      </c>
      <c r="AV739" s="103"/>
      <c r="AW739" s="31"/>
      <c r="AX739" s="32"/>
      <c r="AY739" s="31"/>
      <c r="AZ739" s="33"/>
      <c r="BA739" s="1967"/>
      <c r="BB739" s="1805"/>
      <c r="BC739" s="91"/>
      <c r="BD739" s="1806"/>
      <c r="BE739" s="6401"/>
      <c r="BF739" s="6402"/>
      <c r="BG739" s="1969"/>
      <c r="BH739" s="6403"/>
      <c r="BI739" s="95"/>
      <c r="BJ739" s="1326"/>
      <c r="BK739" s="6404"/>
      <c r="BL739" s="1737"/>
      <c r="BM739" s="2081"/>
      <c r="BN739" s="2238"/>
      <c r="BO739" s="1809"/>
      <c r="BR739" s="3">
        <v>1</v>
      </c>
    </row>
    <row r="740" spans="2:70" ht="15.75">
      <c r="B740" s="6236"/>
      <c r="C740" s="6358">
        <f t="shared" si="278"/>
        <v>150</v>
      </c>
      <c r="D740" s="6359" t="str" cm="1">
        <f t="array" ref="D740">IF(MOD(ROW()-50,14)=0,INDEX(D736:D749,MOD(ROW()-50,14)+1),E738)</f>
        <v/>
      </c>
      <c r="E740" s="6360" t="str">
        <f t="shared" si="279"/>
        <v/>
      </c>
      <c r="F740" s="6361" t="str">
        <f t="shared" si="280"/>
        <v/>
      </c>
      <c r="G740" s="6318"/>
      <c r="H740" s="6393">
        <f t="shared" si="281"/>
        <v>5</v>
      </c>
      <c r="I740" s="6400" t="str">
        <f>I736</f>
        <v>50.TEST LIGNE 19 colonne Q et ligne 20 colonne P. rechercher la cellule qui coupe le texte Dans la cocotte N°3 en fonte, faites chauffer l’huile d’olive à feu moyen. Ajoutez la viande et faites-la dorer de tous les côtés. Retirez-la de la cocotte et réservez-la.</v>
      </c>
      <c r="J740" s="6395" t="str">
        <f t="shared" si="282"/>
        <v>tous les côtés. Retirez-la de la cocotte et réservez-la.</v>
      </c>
      <c r="K740" s="6396" t="str">
        <f>IF(J740="","",LEFT(J740,IF(LEN(J740)&lt;=I739,LEN(J740),IFERROR(FIND("§",SUBSTITUTE(LEFT(J740,I739+1)," ","§",LEN(LEFT(J740,I739+1))-LEN(SUBSTITUTE(LEFT(J740,I739+1)," ",""))))-1,IFERROR(FIND(" ",J740,I739+1)-1,LEN(J740))))))</f>
        <v>tous les côtés. Retirez-la de la cocotte et</v>
      </c>
      <c r="L740" s="6388" t="str">
        <v>tous les côtés. Retirez-la de la cocotte et</v>
      </c>
      <c r="M740" s="6332"/>
      <c r="N740" t="s">
        <v>21</v>
      </c>
      <c r="AV740" s="103"/>
      <c r="AW740" s="31"/>
      <c r="AX740" s="32"/>
      <c r="AY740" s="31"/>
      <c r="AZ740" s="33"/>
      <c r="BA740" s="1967"/>
      <c r="BB740" s="1805"/>
      <c r="BC740" s="91"/>
      <c r="BD740" s="1806"/>
      <c r="BE740" s="6401"/>
      <c r="BF740" s="6402"/>
      <c r="BG740" s="1969"/>
      <c r="BH740" s="6403"/>
      <c r="BI740" s="95"/>
      <c r="BJ740" s="1326"/>
      <c r="BK740" s="6404"/>
      <c r="BL740" s="1737"/>
      <c r="BM740" s="2081"/>
      <c r="BN740" s="2238"/>
      <c r="BO740" s="1809"/>
      <c r="BR740" s="3">
        <v>1</v>
      </c>
    </row>
    <row r="741" spans="2:70" ht="15.75">
      <c r="B741" s="6236"/>
      <c r="C741" s="6358">
        <f t="shared" si="278"/>
        <v>150</v>
      </c>
      <c r="D741" s="6359" t="str" cm="1">
        <f t="array" ref="D741">IF(MOD(ROW()-50,14)=0,INDEX(D736:D749,MOD(ROW()-50,14)+1),E739)</f>
        <v/>
      </c>
      <c r="E741" s="6360" t="str">
        <f t="shared" si="279"/>
        <v/>
      </c>
      <c r="F741" s="6361" t="str">
        <f t="shared" si="280"/>
        <v/>
      </c>
      <c r="G741" s="6318"/>
      <c r="H741" s="6393">
        <f t="shared" si="281"/>
        <v>6</v>
      </c>
      <c r="I741" s="6405"/>
      <c r="J741" s="6395" t="str">
        <f t="shared" si="282"/>
        <v>réservez-la.</v>
      </c>
      <c r="K741" s="6396" t="str">
        <f>IF(J741="","",LEFT(J741,IF(LEN(J741)&lt;=I739,LEN(J741),IFERROR(FIND("§",SUBSTITUTE(LEFT(J741,I739+1)," ","§",LEN(LEFT(J741,I739+1))-LEN(SUBSTITUTE(LEFT(J741,I739+1)," ",""))))-1,IFERROR(FIND(" ",J741,I739+1)-1,LEN(J741))))))</f>
        <v>réservez-la.</v>
      </c>
      <c r="L741" s="6388" t="str">
        <v>réservez-la.</v>
      </c>
      <c r="M741" s="6332"/>
      <c r="N741" t="s">
        <v>21</v>
      </c>
      <c r="AV741" s="103"/>
      <c r="AW741" s="31"/>
      <c r="AX741" s="32"/>
      <c r="AY741" s="31"/>
      <c r="AZ741" s="33"/>
      <c r="BA741" s="1967"/>
      <c r="BB741" s="1805"/>
      <c r="BC741" s="91"/>
      <c r="BD741" s="1806"/>
      <c r="BE741" s="6401"/>
      <c r="BF741" s="6402"/>
      <c r="BG741" s="1969"/>
      <c r="BH741" s="6403"/>
      <c r="BI741" s="95"/>
      <c r="BJ741" s="1326"/>
      <c r="BK741" s="6404"/>
      <c r="BL741" s="1737"/>
      <c r="BM741" s="2081"/>
      <c r="BN741" s="2238"/>
      <c r="BO741" s="1809"/>
      <c r="BR741" s="3">
        <v>1</v>
      </c>
    </row>
    <row r="742" spans="2:70" ht="15.75">
      <c r="B742" s="6236"/>
      <c r="C742" s="6358">
        <f t="shared" si="278"/>
        <v>150</v>
      </c>
      <c r="D742" s="6359" t="str" cm="1">
        <f t="array" ref="D742">IF(MOD(ROW()-50,14)=0,INDEX(D736:D749,MOD(ROW()-50,14)+1),E740)</f>
        <v/>
      </c>
      <c r="E742" s="6360" t="str">
        <f t="shared" si="279"/>
        <v/>
      </c>
      <c r="F742" s="6361" t="str">
        <f t="shared" si="280"/>
        <v/>
      </c>
      <c r="G742" s="6318"/>
      <c r="H742" s="6393" t="str">
        <f t="shared" si="281"/>
        <v/>
      </c>
      <c r="I742" s="6405"/>
      <c r="J742" s="6395" t="str">
        <f t="shared" si="282"/>
        <v/>
      </c>
      <c r="K742" s="6396" t="str">
        <f>IF(J742="","",LEFT(J742,IF(LEN(J742)&lt;=I739,LEN(J742),IFERROR(FIND("§",SUBSTITUTE(LEFT(J742,I739+1)," ","§",LEN(LEFT(J742,I739+1))-LEN(SUBSTITUTE(LEFT(J742,I739+1)," ",""))))-1,IFERROR(FIND(" ",J742,I739+1)-1,LEN(J742))))))</f>
        <v/>
      </c>
      <c r="L742" s="6388"/>
      <c r="M742" s="6332"/>
      <c r="N742" t="s">
        <v>21</v>
      </c>
      <c r="AV742" s="103"/>
      <c r="AW742" s="31"/>
      <c r="AX742" s="32"/>
      <c r="AY742" s="31"/>
      <c r="AZ742" s="33"/>
      <c r="BA742" s="1967"/>
      <c r="BB742" s="1805"/>
      <c r="BC742" s="91"/>
      <c r="BD742" s="1806"/>
      <c r="BE742" s="6401"/>
      <c r="BF742" s="6402"/>
      <c r="BG742" s="1969"/>
      <c r="BH742" s="6403"/>
      <c r="BI742" s="95"/>
      <c r="BJ742" s="1326"/>
      <c r="BK742" s="6404"/>
      <c r="BL742" s="1737"/>
      <c r="BM742" s="2081"/>
      <c r="BN742" s="2238"/>
      <c r="BO742" s="1809"/>
      <c r="BR742" s="3">
        <v>1</v>
      </c>
    </row>
    <row r="743" spans="2:70" ht="15.75">
      <c r="B743" s="6236"/>
      <c r="C743" s="6358">
        <f t="shared" si="278"/>
        <v>150</v>
      </c>
      <c r="D743" s="6359" t="str" cm="1">
        <f t="array" ref="D743">IF(MOD(ROW()-50,14)=0,INDEX(D736:D749,MOD(ROW()-50,14)+1),E741)</f>
        <v/>
      </c>
      <c r="E743" s="6360" t="str">
        <f t="shared" si="279"/>
        <v/>
      </c>
      <c r="F743" s="6361" t="str">
        <f t="shared" si="280"/>
        <v/>
      </c>
      <c r="G743" s="6318"/>
      <c r="H743" s="6393" t="str">
        <f t="shared" si="281"/>
        <v/>
      </c>
      <c r="I743" s="6405"/>
      <c r="J743" s="6395" t="str">
        <f t="shared" si="282"/>
        <v/>
      </c>
      <c r="K743" s="6396" t="str">
        <f>IF(J743="","",LEFT(J743,IF(LEN(J743)&lt;=I739,LEN(J743),IFERROR(FIND("§",SUBSTITUTE(LEFT(J743,I739+1)," ","§",LEN(LEFT(J743,I739+1))-LEN(SUBSTITUTE(LEFT(J743,I739+1)," ",""))))-1,IFERROR(FIND(" ",J743,I739+1)-1,LEN(J743))))))</f>
        <v/>
      </c>
      <c r="L743" s="6388"/>
      <c r="M743" s="6332"/>
      <c r="N743" t="s">
        <v>21</v>
      </c>
      <c r="AV743" s="103"/>
      <c r="AW743" s="31"/>
      <c r="AX743" s="32"/>
      <c r="AY743" s="31"/>
      <c r="AZ743" s="33"/>
      <c r="BA743" s="1967"/>
      <c r="BB743" s="1805"/>
      <c r="BC743" s="91"/>
      <c r="BD743" s="1806"/>
      <c r="BE743" s="6401"/>
      <c r="BF743" s="6402"/>
      <c r="BG743" s="1969"/>
      <c r="BH743" s="6403"/>
      <c r="BI743" s="95"/>
      <c r="BJ743" s="1326"/>
      <c r="BK743" s="6404"/>
      <c r="BL743" s="1737"/>
      <c r="BM743" s="2081"/>
      <c r="BN743" s="2238"/>
      <c r="BO743" s="1809"/>
      <c r="BR743" s="3">
        <v>1</v>
      </c>
    </row>
    <row r="744" spans="2:70" ht="15.75">
      <c r="B744" s="6236"/>
      <c r="C744" s="6358">
        <f t="shared" si="278"/>
        <v>150</v>
      </c>
      <c r="D744" s="6359" t="str" cm="1">
        <f t="array" ref="D744">IF(MOD(ROW()-50,14)=0,INDEX(D736:D749,MOD(ROW()-50,14)+1),E742)</f>
        <v/>
      </c>
      <c r="E744" s="6360" t="str">
        <f t="shared" si="279"/>
        <v/>
      </c>
      <c r="F744" s="6361" t="str">
        <f t="shared" si="280"/>
        <v/>
      </c>
      <c r="G744" s="6318"/>
      <c r="H744" s="6393" t="str">
        <f t="shared" si="281"/>
        <v/>
      </c>
      <c r="I744" s="6405"/>
      <c r="J744" s="6395" t="str">
        <f t="shared" si="282"/>
        <v/>
      </c>
      <c r="K744" s="6396" t="str">
        <f>IF(J744="","",LEFT(J744,IF(LEN(J744)&lt;=I739,LEN(J744),IFERROR(FIND("§",SUBSTITUTE(LEFT(J744,I739+1)," ","§",LEN(LEFT(J744,I739+1))-LEN(SUBSTITUTE(LEFT(J744,I739+1)," ",""))))-1,IFERROR(FIND(" ",J744,I739+1)-1,LEN(J744))))))</f>
        <v/>
      </c>
      <c r="L744" s="6388"/>
      <c r="M744" s="6332"/>
      <c r="N744" t="s">
        <v>21</v>
      </c>
      <c r="AV744" s="103"/>
      <c r="AW744" s="31"/>
      <c r="AX744" s="32"/>
      <c r="AY744" s="31"/>
      <c r="AZ744" s="33"/>
      <c r="BA744" s="1967"/>
      <c r="BB744" s="1805"/>
      <c r="BC744" s="91"/>
      <c r="BD744" s="1806"/>
      <c r="BE744" s="6401"/>
      <c r="BF744" s="6402"/>
      <c r="BG744" s="1969"/>
      <c r="BH744" s="6403"/>
      <c r="BI744" s="95"/>
      <c r="BJ744" s="1326"/>
      <c r="BK744" s="6404"/>
      <c r="BL744" s="1737"/>
      <c r="BM744" s="2081"/>
      <c r="BN744" s="2238"/>
      <c r="BO744" s="1809"/>
      <c r="BR744" s="3">
        <v>1</v>
      </c>
    </row>
    <row r="745" spans="2:70" ht="15.75">
      <c r="B745" s="6236"/>
      <c r="C745" s="6358">
        <f t="shared" si="278"/>
        <v>150</v>
      </c>
      <c r="D745" s="6359" t="str" cm="1">
        <f t="array" ref="D745">IF(MOD(ROW()-50,14)=0,INDEX(D736:D749,MOD(ROW()-50,14)+1),E743)</f>
        <v/>
      </c>
      <c r="E745" s="6360" t="str">
        <f t="shared" si="279"/>
        <v/>
      </c>
      <c r="F745" s="6361" t="str">
        <f t="shared" si="280"/>
        <v/>
      </c>
      <c r="G745" s="6318"/>
      <c r="H745" s="6393" t="str">
        <f t="shared" si="281"/>
        <v/>
      </c>
      <c r="I745" s="6405"/>
      <c r="J745" s="6395" t="str">
        <f t="shared" si="282"/>
        <v/>
      </c>
      <c r="K745" s="6396" t="str">
        <f>IF(J745="","",LEFT(J745,IF(LEN(J745)&lt;=I739,LEN(J745),IFERROR(FIND("§",SUBSTITUTE(LEFT(J745,I739+1)," ","§",LEN(LEFT(J745,I739+1))-LEN(SUBSTITUTE(LEFT(J745,I739+1)," ",""))))-1,IFERROR(FIND(" ",J745,I739+1)-1,LEN(J745))))))</f>
        <v/>
      </c>
      <c r="L745" s="6388"/>
      <c r="M745" s="6332"/>
      <c r="N745" t="s">
        <v>21</v>
      </c>
      <c r="AV745" s="103"/>
      <c r="AW745" s="31"/>
      <c r="AX745" s="32"/>
      <c r="AY745" s="31"/>
      <c r="AZ745" s="33"/>
      <c r="BA745" s="1967"/>
      <c r="BB745" s="1805"/>
      <c r="BC745" s="91"/>
      <c r="BD745" s="1806"/>
      <c r="BE745" s="6401"/>
      <c r="BF745" s="6402"/>
      <c r="BG745" s="1969"/>
      <c r="BH745" s="6403"/>
      <c r="BI745" s="95"/>
      <c r="BJ745" s="1326"/>
      <c r="BK745" s="6404"/>
      <c r="BL745" s="1737"/>
      <c r="BM745" s="2081"/>
      <c r="BN745" s="2238"/>
      <c r="BO745" s="1809"/>
      <c r="BR745" s="3">
        <v>1</v>
      </c>
    </row>
    <row r="746" spans="2:70" ht="15.75">
      <c r="B746" s="6236"/>
      <c r="C746" s="6358">
        <f t="shared" si="278"/>
        <v>150</v>
      </c>
      <c r="D746" s="6359" t="str" cm="1">
        <f t="array" ref="D746">IF(MOD(ROW()-50,14)=0,INDEX(D736:D749,MOD(ROW()-50,14)+1),E744)</f>
        <v/>
      </c>
      <c r="E746" s="6360" t="str">
        <f t="shared" si="279"/>
        <v/>
      </c>
      <c r="F746" s="6361" t="str">
        <f t="shared" si="280"/>
        <v/>
      </c>
      <c r="G746" s="6318"/>
      <c r="H746" s="6393" t="str">
        <f t="shared" si="281"/>
        <v/>
      </c>
      <c r="I746" s="6405"/>
      <c r="J746" s="6395" t="str">
        <f t="shared" si="282"/>
        <v/>
      </c>
      <c r="K746" s="6396" t="str">
        <f>IF(J746="","",LEFT(J746,IF(LEN(J746)&lt;=I739,LEN(J746),IFERROR(FIND("§",SUBSTITUTE(LEFT(J746,I739+1)," ","§",LEN(LEFT(J746,I739+1))-LEN(SUBSTITUTE(LEFT(J746,I739+1)," ",""))))-1,IFERROR(FIND(" ",J746,I739+1)-1,LEN(J746))))))</f>
        <v/>
      </c>
      <c r="L746" s="6388"/>
      <c r="M746" s="6332"/>
      <c r="N746" t="s">
        <v>21</v>
      </c>
      <c r="AV746" s="103"/>
      <c r="AW746" s="31"/>
      <c r="AX746" s="32"/>
      <c r="AY746" s="31"/>
      <c r="AZ746" s="33"/>
      <c r="BA746" s="1967"/>
      <c r="BB746" s="1805"/>
      <c r="BC746" s="91"/>
      <c r="BD746" s="1806"/>
      <c r="BE746" s="6401"/>
      <c r="BF746" s="6402"/>
      <c r="BG746" s="1969"/>
      <c r="BH746" s="6403"/>
      <c r="BI746" s="95"/>
      <c r="BJ746" s="1326"/>
      <c r="BK746" s="6404"/>
      <c r="BL746" s="1737"/>
      <c r="BM746" s="2081"/>
      <c r="BN746" s="2238"/>
      <c r="BO746" s="1809"/>
      <c r="BR746" s="3">
        <v>1</v>
      </c>
    </row>
    <row r="747" spans="2:70" ht="15.75">
      <c r="B747" s="6236"/>
      <c r="C747" s="6358">
        <f t="shared" si="278"/>
        <v>150</v>
      </c>
      <c r="D747" s="6359" t="str" cm="1">
        <f t="array" ref="D747">IF(MOD(ROW()-50,14)=0,INDEX(D736:D749,MOD(ROW()-50,14)+1),E745)</f>
        <v/>
      </c>
      <c r="E747" s="6360" t="str">
        <f t="shared" si="279"/>
        <v/>
      </c>
      <c r="F747" s="6361" t="str">
        <f t="shared" si="280"/>
        <v/>
      </c>
      <c r="G747" s="6318"/>
      <c r="H747" s="6393" t="str">
        <f t="shared" si="281"/>
        <v/>
      </c>
      <c r="I747" s="6405"/>
      <c r="J747" s="6395" t="str">
        <f t="shared" si="282"/>
        <v/>
      </c>
      <c r="K747" s="6396" t="str">
        <f>IF(J747="","",LEFT(J747,IF(LEN(J747)&lt;=I739,LEN(J747),IFERROR(FIND("§",SUBSTITUTE(LEFT(J747,I739+1)," ","§",LEN(LEFT(J747,I739+1))-LEN(SUBSTITUTE(LEFT(J747,I739+1)," ",""))))-1,IFERROR(FIND(" ",J747,I739+1)-1,LEN(J747))))))</f>
        <v/>
      </c>
      <c r="L747" s="6388"/>
      <c r="M747" s="6332"/>
      <c r="N747" t="s">
        <v>21</v>
      </c>
      <c r="AV747" s="103"/>
      <c r="AW747" s="31"/>
      <c r="AX747" s="32"/>
      <c r="AY747" s="31"/>
      <c r="AZ747" s="33"/>
      <c r="BA747" s="1967"/>
      <c r="BB747" s="1805"/>
      <c r="BC747" s="91"/>
      <c r="BD747" s="1806"/>
      <c r="BE747" s="6401"/>
      <c r="BF747" s="6402"/>
      <c r="BG747" s="1969"/>
      <c r="BH747" s="6403"/>
      <c r="BI747" s="95"/>
      <c r="BJ747" s="1326"/>
      <c r="BK747" s="6404"/>
      <c r="BL747" s="1737"/>
      <c r="BM747" s="2081"/>
      <c r="BN747" s="2238"/>
      <c r="BO747" s="1809"/>
      <c r="BR747" s="3">
        <v>1</v>
      </c>
    </row>
    <row r="748" spans="2:70" ht="15.75">
      <c r="B748" s="6236"/>
      <c r="C748" s="6358">
        <f t="shared" si="278"/>
        <v>150</v>
      </c>
      <c r="D748" s="6359" t="str" cm="1">
        <f t="array" ref="D748">IF(MOD(ROW()-50,14)=0,INDEX(D736:D749,MOD(ROW()-50,14)+1),E746)</f>
        <v/>
      </c>
      <c r="E748" s="6360" t="str">
        <f t="shared" si="279"/>
        <v/>
      </c>
      <c r="F748" s="6361" t="str">
        <f t="shared" si="280"/>
        <v/>
      </c>
      <c r="G748" s="6318"/>
      <c r="H748" s="6393" t="str">
        <f t="shared" si="281"/>
        <v/>
      </c>
      <c r="I748" s="6405"/>
      <c r="J748" s="6395" t="str">
        <f t="shared" si="282"/>
        <v/>
      </c>
      <c r="K748" s="6396" t="str">
        <f>IF(J748="","",LEFT(J748,IF(LEN(J748)&lt;=I739,LEN(J748),IFERROR(FIND("§",SUBSTITUTE(LEFT(J748,I739+1)," ","§",LEN(LEFT(J748,I739+1))-LEN(SUBSTITUTE(LEFT(J748,I739+1)," ",""))))-1,IFERROR(FIND(" ",J748,I739+1)-1,LEN(J748))))))</f>
        <v/>
      </c>
      <c r="L748" s="6396"/>
      <c r="M748" s="6332"/>
      <c r="N748" t="s">
        <v>21</v>
      </c>
      <c r="AV748" s="103"/>
      <c r="AW748" s="31"/>
      <c r="AX748" s="32"/>
      <c r="AY748" s="31"/>
      <c r="AZ748" s="33"/>
      <c r="BA748" s="1967"/>
      <c r="BB748" s="1805"/>
      <c r="BC748" s="91"/>
      <c r="BD748" s="1806"/>
      <c r="BE748" s="6401"/>
      <c r="BF748" s="6402"/>
      <c r="BG748" s="1969"/>
      <c r="BH748" s="6403"/>
      <c r="BI748" s="95"/>
      <c r="BJ748" s="1326"/>
      <c r="BK748" s="6404"/>
      <c r="BL748" s="1737"/>
      <c r="BM748" s="2081"/>
      <c r="BN748" s="2238"/>
      <c r="BO748" s="1809"/>
      <c r="BR748" s="3">
        <v>1</v>
      </c>
    </row>
    <row r="749" spans="2:70" ht="15.75">
      <c r="B749" s="6236"/>
      <c r="C749" s="6376">
        <f t="shared" si="278"/>
        <v>150</v>
      </c>
      <c r="D749" s="6414" t="str" cm="1">
        <f t="array" ref="D749">IF(MOD(ROW()-50,14)=0,INDEX(D736:D749,MOD(ROW()-50,14)+1),E747)</f>
        <v/>
      </c>
      <c r="E749" s="6377" t="str">
        <f t="shared" si="279"/>
        <v/>
      </c>
      <c r="F749" s="6378" t="str">
        <f t="shared" si="280"/>
        <v/>
      </c>
      <c r="G749" s="6319"/>
      <c r="H749" s="6409" t="str">
        <f t="shared" si="281"/>
        <v/>
      </c>
      <c r="I749" s="6410"/>
      <c r="J749" s="6411" t="str">
        <f t="shared" si="282"/>
        <v/>
      </c>
      <c r="K749" s="6412" t="str">
        <f>IF(J749="","",LEFT(J749,IF(LEN(J749)&lt;=I739,LEN(J749),IFERROR(FIND("§",SUBSTITUTE(LEFT(J749,I739+1)," ","§",LEN(LEFT(J749,I739+1))-LEN(SUBSTITUTE(LEFT(J749,I739+1)," ",""))))-1,IFERROR(FIND(" ",J749,I739+1)-1,LEN(J749))))))</f>
        <v/>
      </c>
      <c r="L749" s="6413"/>
      <c r="M749" s="6333"/>
      <c r="N749" t="s">
        <v>21</v>
      </c>
      <c r="AV749" s="103"/>
      <c r="AW749" s="31"/>
      <c r="AX749" s="32"/>
      <c r="AY749" s="31"/>
      <c r="AZ749" s="33"/>
      <c r="BA749" s="1967"/>
      <c r="BB749" s="1805"/>
      <c r="BC749" s="91"/>
      <c r="BD749" s="1806"/>
      <c r="BE749" s="6401"/>
      <c r="BF749" s="6402"/>
      <c r="BG749" s="1969"/>
      <c r="BH749" s="6403"/>
      <c r="BI749" s="95"/>
      <c r="BJ749" s="1326"/>
      <c r="BK749" s="6404"/>
      <c r="BL749" s="1737"/>
      <c r="BM749" s="2081"/>
      <c r="BN749" s="2238"/>
      <c r="BO749" s="1809"/>
      <c r="BR749" s="3">
        <v>1</v>
      </c>
    </row>
    <row r="750" spans="2:70" ht="15.75">
      <c r="B750" s="6236"/>
      <c r="C750" s="6313">
        <f>AD100</f>
        <v>150</v>
      </c>
      <c r="D750" s="6314" t="str">
        <f>IF(UPPER(TRIM(X45))="X",U100,O100)</f>
        <v>51.TEST LIGNE 19 colonne Q et ligne 20 colonne P. rechercher la cellule qui coupe le texte Dans la cocotte N°3 en fonte, faites chauffer l’huile d’olive à feu moyen. Ajoutez la viande et faites-la dorer de tous les côtés. Retirez-la de la cocotte et réservez-la.</v>
      </c>
      <c r="E750" s="6383" t="str">
        <f>IF(D750="","",IF(F750="","",IF(LEN(F750)&gt;=LEN(D750),"",TRIM(MID(D750,LEN(F750)+1,99999)))))</f>
        <v>d’olive à feu moyen. Ajoutez la viande et faites-la dorer de tous les côtés. Retirez-la de la cocotte et réservez-la.</v>
      </c>
      <c r="F750" s="6384" t="str">
        <f>IF(D750="","",IF(LEN(D750)&lt;=C750,D750,IFERROR(LEFT(D750,FIND("§",SUBSTITUTE(LEFT(D750,C750+1)," ","§",LEN(LEFT(D750,C750+1))-LEN(SUBSTITUTE(LEFT(D750,C750+1)," ",""))))-1),LEFT(D750,C750))))</f>
        <v>51.TEST LIGNE 19 colonne Q et ligne 20 colonne P. rechercher la cellule qui coupe le texte Dans la cocotte N°3 en fonte, faites chauffer l’huile</v>
      </c>
      <c r="G750" s="6320"/>
      <c r="H750" s="6323">
        <f>IF(LEN(TRIM(L750))&gt;0,MAX(H749:H749)+1,"")</f>
        <v>1</v>
      </c>
      <c r="I750" s="6324" t="str">
        <f>D750</f>
        <v>51.TEST LIGNE 19 colonne Q et ligne 20 colonne P. rechercher la cellule qui coupe le texte Dans la cocotte N°3 en fonte, faites chauffer l’huile d’olive à feu moyen. Ajoutez la viande et faites-la dorer de tous les côtés. Retirez-la de la cocotte et réservez-la.</v>
      </c>
      <c r="J750" s="6325" t="str">
        <f>IF(I750=0,"",I750)</f>
        <v>51.TEST LIGNE 19 colonne Q et ligne 20 colonne P. rechercher la cellule qui coupe le texte Dans la cocotte N°3 en fonte, faites chauffer l’huile d’olive à feu moyen. Ajoutez la viande et faites-la dorer de tous les côtés. Retirez-la de la cocotte et réservez-la.</v>
      </c>
      <c r="K750" s="6326" t="str">
        <f>IF(I750="","",LEFT(I750,IF(LEN(I750)&lt;=I753,LEN(I750),IFERROR(FIND("§",SUBSTITUTE(LEFT(I750,I753+1)," ","§",LEN(LEFT(I750,I753+1))-LEN(SUBSTITUTE(LEFT(I750,I753+1)," ",""))))-1,IFERROR(FIND(" ",I750,I753+1)-1,LEN(I750))))))</f>
        <v>51.TEST LIGNE 19 colonne Q et ligne 20 colonne P.</v>
      </c>
      <c r="L750" s="6326" t="str" cm="1">
        <f t="array" ref="L750:L755">_xlfn._xlws.FILTER(TRIM(SUBSTITUTE(SUBSTITUTE(SUBSTITUTE(SUBSTITUTE(SUBSTITUTE(CLEAN(K750:K763),CHAR(160)," "),_xlfn.UNICHAR(8239)," "),CHAR(9)," "),CHAR(10)," "),CHAR(13)," ")),TRIM(SUBSTITUTE(SUBSTITUTE(SUBSTITUTE(SUBSTITUTE(SUBSTITUTE(CLEAN(K750:K763),CHAR(160)," "),_xlfn.UNICHAR(8239)," "),CHAR(9)," "),CHAR(10)," "),CHAR(13)," "))&lt;&gt;"")</f>
        <v>51.TEST LIGNE 19 colonne Q et ligne 20 colonne P.</v>
      </c>
      <c r="M750" s="6328"/>
      <c r="N750" t="s">
        <v>21</v>
      </c>
      <c r="AV750" s="103"/>
      <c r="AW750" s="31"/>
      <c r="AX750" s="32"/>
      <c r="AY750" s="31"/>
      <c r="AZ750" s="33"/>
      <c r="BA750" s="1967"/>
      <c r="BB750" s="1805"/>
      <c r="BC750" s="91"/>
      <c r="BD750" s="1806"/>
      <c r="BE750" s="6401"/>
      <c r="BF750" s="6402"/>
      <c r="BG750" s="1969"/>
      <c r="BH750" s="6403"/>
      <c r="BI750" s="95"/>
      <c r="BJ750" s="1326"/>
      <c r="BK750" s="6404"/>
      <c r="BL750" s="1737"/>
      <c r="BM750" s="2081"/>
      <c r="BN750" s="2238"/>
      <c r="BO750" s="1809"/>
      <c r="BR750" s="3">
        <v>1</v>
      </c>
    </row>
    <row r="751" spans="2:70" ht="15.75">
      <c r="B751" s="6236"/>
      <c r="C751" s="6358">
        <f t="shared" ref="C751:C763" si="283">C750</f>
        <v>150</v>
      </c>
      <c r="D751" s="6390" t="str" cm="1">
        <f t="array" ref="D751">IF(MOD(ROW()-50,14)=0,INDEX(D750:D763,MOD(ROW()-50,14)+1),E749)</f>
        <v/>
      </c>
      <c r="E751" s="6391" t="str">
        <f t="shared" ref="E751:E763" si="284">IF(D751="","",IF(F751="","",IF(LEN(F751)&gt;=LEN(D751),"",TRIM(MID(D751,LEN(F751)+1,99999)))))</f>
        <v/>
      </c>
      <c r="F751" s="6392" t="str">
        <f t="shared" ref="F751:F763" si="285">IF(D751="","",IF(LEN(D751)&lt;=C751,D751,IFERROR(LEFT(D751,FIND("§",SUBSTITUTE(LEFT(D751,C751+1)," ","§",LEN(LEFT(D751,C751+1))-LEN(SUBSTITUTE(LEFT(D751,C751+1)," ",""))))-1),LEFT(D751,C751))))</f>
        <v/>
      </c>
      <c r="G751" s="6321"/>
      <c r="H751" s="6323">
        <f t="shared" ref="H751:H763" si="286">IF(LEN(TRIM(L751))&gt;0,MAX(H750:H750)+1,"")</f>
        <v>2</v>
      </c>
      <c r="I751" s="6362" t="s">
        <v>14355</v>
      </c>
      <c r="J751" s="6363" t="str">
        <f>TRIM(MID(I754,LEN(K750)+1,99999))</f>
        <v>rechercher la cellule qui coupe le texte Dans la cocotte N°3 en fonte, faites chauffer l’huile d’olive à feu moyen. Ajoutez la viande et faites-la dorer de tous les côtés. Retirez-la de la cocotte et réservez-la.</v>
      </c>
      <c r="K751" s="6364" t="str">
        <f>IF(J751="","",LEFT(J751,IF(LEN(J751)&lt;=I753,LEN(J751),IFERROR(FIND("§",SUBSTITUTE(LEFT(J751,I753+1)," ","§",LEN(LEFT(J751,I753+1))-LEN(SUBSTITUTE(LEFT(J751,I753+1)," ",""))))-1,IFERROR(FIND(" ",J751,I753+1)-1,LEN(J751))))))</f>
        <v>rechercher la cellule qui coupe le texte Dans la</v>
      </c>
      <c r="L751" s="6327" t="str">
        <v>rechercher la cellule qui coupe le texte Dans la</v>
      </c>
      <c r="M751" s="6329"/>
      <c r="N751" t="s">
        <v>21</v>
      </c>
      <c r="AV751" s="103"/>
      <c r="AW751" s="31"/>
      <c r="AX751" s="32"/>
      <c r="AY751" s="31"/>
      <c r="AZ751" s="33"/>
      <c r="BA751" s="1967"/>
      <c r="BB751" s="1805"/>
      <c r="BC751" s="91"/>
      <c r="BD751" s="1806"/>
      <c r="BE751" s="6401"/>
      <c r="BF751" s="6402"/>
      <c r="BG751" s="1969"/>
      <c r="BH751" s="6403"/>
      <c r="BI751" s="95"/>
      <c r="BJ751" s="1326"/>
      <c r="BK751" s="6404"/>
      <c r="BL751" s="1737"/>
      <c r="BM751" s="2081"/>
      <c r="BN751" s="2238"/>
      <c r="BO751" s="1809"/>
      <c r="BR751" s="3">
        <v>1</v>
      </c>
    </row>
    <row r="752" spans="2:70" ht="15.75">
      <c r="B752" s="6236"/>
      <c r="C752" s="6358">
        <f t="shared" si="283"/>
        <v>150</v>
      </c>
      <c r="D752" s="6390" t="str" cm="1">
        <f t="array" ref="D752">IF(MOD(ROW()-50,14)=0,INDEX(D750:D763,MOD(ROW()-50,14)+1),E750)</f>
        <v>d’olive à feu moyen. Ajoutez la viande et faites-la dorer de tous les côtés. Retirez-la de la cocotte et réservez-la.</v>
      </c>
      <c r="E752" s="6391" t="str">
        <f t="shared" si="284"/>
        <v/>
      </c>
      <c r="F752" s="6392" t="str">
        <f t="shared" si="285"/>
        <v>d’olive à feu moyen. Ajoutez la viande et faites-la dorer de tous les côtés. Retirez-la de la cocotte et réservez-la.</v>
      </c>
      <c r="G752" s="6321"/>
      <c r="H752" s="6323">
        <f t="shared" si="286"/>
        <v>3</v>
      </c>
      <c r="I752" s="6365">
        <f>Z100</f>
        <v>5</v>
      </c>
      <c r="J752" s="6363" t="str">
        <f t="shared" ref="J752:J763" si="287">TRIM(MID(J751,LEN(K751)+1,99999))</f>
        <v>cocotte N°3 en fonte, faites chauffer l’huile d’olive à feu moyen. Ajoutez la viande et faites-la dorer de tous les côtés. Retirez-la de la cocotte et réservez-la.</v>
      </c>
      <c r="K752" s="6364" t="str">
        <f>IF(J752="","",LEFT(J752,IF(LEN(J752)&lt;=I753,LEN(J752),IFERROR(FIND("§",SUBSTITUTE(LEFT(J752,I753+1)," ","§",LEN(LEFT(J752,I753+1))-LEN(SUBSTITUTE(LEFT(J752,I753+1)," ",""))))-1,IFERROR(FIND(" ",J752,I753+1)-1,LEN(J752))))))</f>
        <v>cocotte N°3 en fonte, faites chauffer l’huile d’olive</v>
      </c>
      <c r="L752" s="6327" t="str">
        <v>cocotte N°3 en fonte, faites chauffer l’huile d’olive</v>
      </c>
      <c r="M752" s="6329"/>
      <c r="N752" t="s">
        <v>21</v>
      </c>
      <c r="AV752" s="103"/>
      <c r="AW752" s="31"/>
      <c r="AX752" s="32"/>
      <c r="AY752" s="31"/>
      <c r="AZ752" s="33"/>
      <c r="BA752" s="1967"/>
      <c r="BB752" s="1805"/>
      <c r="BC752" s="91"/>
      <c r="BD752" s="1806"/>
      <c r="BE752" s="6401"/>
      <c r="BF752" s="6402"/>
      <c r="BG752" s="1969"/>
      <c r="BH752" s="6403"/>
      <c r="BI752" s="95"/>
      <c r="BJ752" s="1326"/>
      <c r="BK752" s="6404"/>
      <c r="BL752" s="1737"/>
      <c r="BM752" s="2081"/>
      <c r="BN752" s="2238"/>
      <c r="BO752" s="1809"/>
      <c r="BR752" s="3">
        <v>1</v>
      </c>
    </row>
    <row r="753" spans="2:70" ht="15.75">
      <c r="B753" s="6236"/>
      <c r="C753" s="6358">
        <f t="shared" si="283"/>
        <v>150</v>
      </c>
      <c r="D753" s="6390" t="str" cm="1">
        <f t="array" ref="D753">IF(MOD(ROW()-50,14)=0,INDEX(D750:D763,MOD(ROW()-50,14)+1),E751)</f>
        <v/>
      </c>
      <c r="E753" s="6391" t="str">
        <f t="shared" si="284"/>
        <v/>
      </c>
      <c r="F753" s="6392" t="str">
        <f t="shared" si="285"/>
        <v/>
      </c>
      <c r="G753" s="6321"/>
      <c r="H753" s="6323">
        <f t="shared" si="286"/>
        <v>4</v>
      </c>
      <c r="I753" s="6370">
        <f>IF(OR(J750="",I752="",I752&lt;=0),"",ROUNDUP(LEN(J750)/I752,0))</f>
        <v>53</v>
      </c>
      <c r="J753" s="6363" t="str">
        <f t="shared" si="287"/>
        <v>à feu moyen. Ajoutez la viande et faites-la dorer de tous les côtés. Retirez-la de la cocotte et réservez-la.</v>
      </c>
      <c r="K753" s="6364" t="str">
        <f>IF(J753="","",LEFT(J753,IF(LEN(J753)&lt;=I753,LEN(J753),IFERROR(FIND("§",SUBSTITUTE(LEFT(J753,I753+1)," ","§",LEN(LEFT(J753,I753+1))-LEN(SUBSTITUTE(LEFT(J753,I753+1)," ",""))))-1,IFERROR(FIND(" ",J753,I753+1)-1,LEN(J753))))))</f>
        <v>à feu moyen. Ajoutez la viande et faites-la dorer de</v>
      </c>
      <c r="L753" s="6327" t="str">
        <v>à feu moyen. Ajoutez la viande et faites-la dorer de</v>
      </c>
      <c r="M753" s="6329"/>
      <c r="N753" t="s">
        <v>21</v>
      </c>
      <c r="AV753" s="103"/>
      <c r="AW753" s="31"/>
      <c r="AX753" s="32"/>
      <c r="AY753" s="31"/>
      <c r="AZ753" s="33"/>
      <c r="BA753" s="1967"/>
      <c r="BB753" s="1805"/>
      <c r="BC753" s="91"/>
      <c r="BD753" s="1806"/>
      <c r="BE753" s="6401"/>
      <c r="BF753" s="6402"/>
      <c r="BG753" s="1969"/>
      <c r="BH753" s="6403"/>
      <c r="BI753" s="95"/>
      <c r="BJ753" s="1326"/>
      <c r="BK753" s="6404"/>
      <c r="BL753" s="1737"/>
      <c r="BM753" s="2081"/>
      <c r="BN753" s="2238"/>
      <c r="BO753" s="1809"/>
      <c r="BR753" s="3">
        <v>1</v>
      </c>
    </row>
    <row r="754" spans="2:70" ht="15.75">
      <c r="B754" s="6236"/>
      <c r="C754" s="6358">
        <f t="shared" si="283"/>
        <v>150</v>
      </c>
      <c r="D754" s="6390" t="str" cm="1">
        <f t="array" ref="D754">IF(MOD(ROW()-50,14)=0,INDEX(D750:D763,MOD(ROW()-50,14)+1),E752)</f>
        <v/>
      </c>
      <c r="E754" s="6391" t="str">
        <f t="shared" si="284"/>
        <v/>
      </c>
      <c r="F754" s="6392" t="str">
        <f t="shared" si="285"/>
        <v/>
      </c>
      <c r="G754" s="6321"/>
      <c r="H754" s="6323">
        <f t="shared" si="286"/>
        <v>5</v>
      </c>
      <c r="I754" s="6372" t="str">
        <f>I750</f>
        <v>51.TEST LIGNE 19 colonne Q et ligne 20 colonne P. rechercher la cellule qui coupe le texte Dans la cocotte N°3 en fonte, faites chauffer l’huile d’olive à feu moyen. Ajoutez la viande et faites-la dorer de tous les côtés. Retirez-la de la cocotte et réservez-la.</v>
      </c>
      <c r="J754" s="6363" t="str">
        <f t="shared" si="287"/>
        <v>tous les côtés. Retirez-la de la cocotte et réservez-la.</v>
      </c>
      <c r="K754" s="6364" t="str">
        <f>IF(J754="","",LEFT(J754,IF(LEN(J754)&lt;=I753,LEN(J754),IFERROR(FIND("§",SUBSTITUTE(LEFT(J754,I753+1)," ","§",LEN(LEFT(J754,I753+1))-LEN(SUBSTITUTE(LEFT(J754,I753+1)," ",""))))-1,IFERROR(FIND(" ",J754,I753+1)-1,LEN(J754))))))</f>
        <v>tous les côtés. Retirez-la de la cocotte et</v>
      </c>
      <c r="L754" s="6327" t="str">
        <v>tous les côtés. Retirez-la de la cocotte et</v>
      </c>
      <c r="M754" s="6329"/>
      <c r="N754" t="s">
        <v>21</v>
      </c>
      <c r="AV754" s="103"/>
      <c r="AW754" s="31"/>
      <c r="AX754" s="32"/>
      <c r="AY754" s="31"/>
      <c r="AZ754" s="33"/>
      <c r="BA754" s="1967"/>
      <c r="BB754" s="1805"/>
      <c r="BC754" s="91"/>
      <c r="BD754" s="1806"/>
      <c r="BE754" s="6401"/>
      <c r="BF754" s="6402"/>
      <c r="BG754" s="1969"/>
      <c r="BH754" s="6403"/>
      <c r="BI754" s="95"/>
      <c r="BJ754" s="1326"/>
      <c r="BK754" s="6404"/>
      <c r="BL754" s="1737"/>
      <c r="BM754" s="2081"/>
      <c r="BN754" s="2238"/>
      <c r="BO754" s="1809"/>
      <c r="BR754" s="3">
        <v>1</v>
      </c>
    </row>
    <row r="755" spans="2:70" ht="15.75">
      <c r="B755" s="6236"/>
      <c r="C755" s="6358">
        <f t="shared" si="283"/>
        <v>150</v>
      </c>
      <c r="D755" s="6390" t="str" cm="1">
        <f t="array" ref="D755">IF(MOD(ROW()-50,14)=0,INDEX(D750:D763,MOD(ROW()-50,14)+1),E753)</f>
        <v/>
      </c>
      <c r="E755" s="6391" t="str">
        <f t="shared" si="284"/>
        <v/>
      </c>
      <c r="F755" s="6392" t="str">
        <f t="shared" si="285"/>
        <v/>
      </c>
      <c r="G755" s="6321"/>
      <c r="H755" s="6323">
        <f t="shared" si="286"/>
        <v>6</v>
      </c>
      <c r="I755" s="6373"/>
      <c r="J755" s="6363" t="str">
        <f t="shared" si="287"/>
        <v>réservez-la.</v>
      </c>
      <c r="K755" s="6364" t="str">
        <f>IF(J755="","",LEFT(J755,IF(LEN(J755)&lt;=I753,LEN(J755),IFERROR(FIND("§",SUBSTITUTE(LEFT(J755,I753+1)," ","§",LEN(LEFT(J755,I753+1))-LEN(SUBSTITUTE(LEFT(J755,I753+1)," ",""))))-1,IFERROR(FIND(" ",J755,I753+1)-1,LEN(J755))))))</f>
        <v>réservez-la.</v>
      </c>
      <c r="L755" s="6327" t="str">
        <v>réservez-la.</v>
      </c>
      <c r="M755" s="6329"/>
      <c r="N755" t="s">
        <v>21</v>
      </c>
      <c r="AV755" s="103"/>
      <c r="AW755" s="31"/>
      <c r="AX755" s="32"/>
      <c r="AY755" s="31"/>
      <c r="AZ755" s="33"/>
      <c r="BA755" s="1967"/>
      <c r="BB755" s="1805"/>
      <c r="BC755" s="91"/>
      <c r="BD755" s="1806"/>
      <c r="BE755" s="6401"/>
      <c r="BF755" s="6402"/>
      <c r="BG755" s="1969"/>
      <c r="BH755" s="6403"/>
      <c r="BI755" s="95"/>
      <c r="BJ755" s="1326"/>
      <c r="BK755" s="6404"/>
      <c r="BL755" s="1737"/>
      <c r="BM755" s="2081"/>
      <c r="BN755" s="2238"/>
      <c r="BO755" s="1809"/>
      <c r="BR755" s="3">
        <v>1</v>
      </c>
    </row>
    <row r="756" spans="2:70" ht="15.75">
      <c r="B756" s="6236"/>
      <c r="C756" s="6358">
        <f t="shared" si="283"/>
        <v>150</v>
      </c>
      <c r="D756" s="6390" t="str" cm="1">
        <f t="array" ref="D756">IF(MOD(ROW()-50,14)=0,INDEX(D750:D763,MOD(ROW()-50,14)+1),E754)</f>
        <v/>
      </c>
      <c r="E756" s="6391" t="str">
        <f t="shared" si="284"/>
        <v/>
      </c>
      <c r="F756" s="6392" t="str">
        <f t="shared" si="285"/>
        <v/>
      </c>
      <c r="G756" s="6321"/>
      <c r="H756" s="6323" t="str">
        <f t="shared" si="286"/>
        <v/>
      </c>
      <c r="I756" s="6373"/>
      <c r="J756" s="6363" t="str">
        <f t="shared" si="287"/>
        <v/>
      </c>
      <c r="K756" s="6364" t="str">
        <f>IF(J756="","",LEFT(J756,IF(LEN(J756)&lt;=I753,LEN(J756),IFERROR(FIND("§",SUBSTITUTE(LEFT(J756,I753+1)," ","§",LEN(LEFT(J756,I753+1))-LEN(SUBSTITUTE(LEFT(J756,I753+1)," ",""))))-1,IFERROR(FIND(" ",J756,I753+1)-1,LEN(J756))))))</f>
        <v/>
      </c>
      <c r="L756" s="6327"/>
      <c r="M756" s="6329"/>
      <c r="N756" t="s">
        <v>21</v>
      </c>
      <c r="AV756" s="103"/>
      <c r="AW756" s="31"/>
      <c r="AX756" s="32"/>
      <c r="AY756" s="31"/>
      <c r="AZ756" s="33"/>
      <c r="BA756" s="1967"/>
      <c r="BB756" s="1805"/>
      <c r="BC756" s="91"/>
      <c r="BD756" s="1806"/>
      <c r="BE756" s="6401"/>
      <c r="BF756" s="6402"/>
      <c r="BG756" s="1969"/>
      <c r="BH756" s="6403"/>
      <c r="BI756" s="95"/>
      <c r="BJ756" s="1326"/>
      <c r="BK756" s="6404"/>
      <c r="BL756" s="1737"/>
      <c r="BM756" s="2081"/>
      <c r="BN756" s="2238"/>
      <c r="BO756" s="1809"/>
      <c r="BR756" s="3">
        <v>1</v>
      </c>
    </row>
    <row r="757" spans="2:70" ht="15.75">
      <c r="B757" s="6236"/>
      <c r="C757" s="6358">
        <f t="shared" si="283"/>
        <v>150</v>
      </c>
      <c r="D757" s="6390" t="str" cm="1">
        <f t="array" ref="D757">IF(MOD(ROW()-50,14)=0,INDEX(D750:D763,MOD(ROW()-50,14)+1),E755)</f>
        <v/>
      </c>
      <c r="E757" s="6391" t="str">
        <f t="shared" si="284"/>
        <v/>
      </c>
      <c r="F757" s="6392" t="str">
        <f t="shared" si="285"/>
        <v/>
      </c>
      <c r="G757" s="6321"/>
      <c r="H757" s="6323" t="str">
        <f t="shared" si="286"/>
        <v/>
      </c>
      <c r="I757" s="6373"/>
      <c r="J757" s="6363" t="str">
        <f t="shared" si="287"/>
        <v/>
      </c>
      <c r="K757" s="6364" t="str">
        <f>IF(J757="","",LEFT(J757,IF(LEN(J757)&lt;=I753,LEN(J757),IFERROR(FIND("§",SUBSTITUTE(LEFT(J757,I753+1)," ","§",LEN(LEFT(J757,I753+1))-LEN(SUBSTITUTE(LEFT(J757,I753+1)," ",""))))-1,IFERROR(FIND(" ",J757,I753+1)-1,LEN(J757))))))</f>
        <v/>
      </c>
      <c r="L757" s="6327"/>
      <c r="M757" s="6329"/>
      <c r="N757" t="s">
        <v>21</v>
      </c>
      <c r="AV757" s="103"/>
      <c r="AW757" s="31"/>
      <c r="AX757" s="32"/>
      <c r="AY757" s="31"/>
      <c r="AZ757" s="33"/>
      <c r="BA757" s="1967"/>
      <c r="BB757" s="1805"/>
      <c r="BC757" s="91"/>
      <c r="BD757" s="1806"/>
      <c r="BE757" s="6401"/>
      <c r="BF757" s="6402"/>
      <c r="BG757" s="1969"/>
      <c r="BH757" s="6403"/>
      <c r="BI757" s="95"/>
      <c r="BJ757" s="1326"/>
      <c r="BK757" s="6404"/>
      <c r="BL757" s="1737"/>
      <c r="BM757" s="2081"/>
      <c r="BN757" s="2238"/>
      <c r="BO757" s="1809"/>
      <c r="BR757" s="3">
        <v>1</v>
      </c>
    </row>
    <row r="758" spans="2:70" ht="15.75">
      <c r="B758" s="6236"/>
      <c r="C758" s="6358">
        <f t="shared" si="283"/>
        <v>150</v>
      </c>
      <c r="D758" s="6390" t="str" cm="1">
        <f t="array" ref="D758">IF(MOD(ROW()-50,14)=0,INDEX(D750:D763,MOD(ROW()-50,14)+1),E756)</f>
        <v/>
      </c>
      <c r="E758" s="6391" t="str">
        <f t="shared" si="284"/>
        <v/>
      </c>
      <c r="F758" s="6392" t="str">
        <f t="shared" si="285"/>
        <v/>
      </c>
      <c r="G758" s="6321"/>
      <c r="H758" s="6323" t="str">
        <f t="shared" si="286"/>
        <v/>
      </c>
      <c r="I758" s="6373"/>
      <c r="J758" s="6363" t="str">
        <f t="shared" si="287"/>
        <v/>
      </c>
      <c r="K758" s="6364" t="str">
        <f>IF(J758="","",LEFT(J758,IF(LEN(J758)&lt;=I753,LEN(J758),IFERROR(FIND("§",SUBSTITUTE(LEFT(J758,I753+1)," ","§",LEN(LEFT(J758,I753+1))-LEN(SUBSTITUTE(LEFT(J758,I753+1)," ",""))))-1,IFERROR(FIND(" ",J758,I753+1)-1,LEN(J758))))))</f>
        <v/>
      </c>
      <c r="L758" s="6327"/>
      <c r="M758" s="6329"/>
      <c r="N758" t="s">
        <v>21</v>
      </c>
      <c r="AV758" s="103"/>
      <c r="AW758" s="31"/>
      <c r="AX758" s="32"/>
      <c r="AY758" s="31"/>
      <c r="AZ758" s="33"/>
      <c r="BA758" s="1967"/>
      <c r="BB758" s="1805"/>
      <c r="BC758" s="91"/>
      <c r="BD758" s="1806"/>
      <c r="BE758" s="6401"/>
      <c r="BF758" s="6402"/>
      <c r="BG758" s="1969"/>
      <c r="BH758" s="6403"/>
      <c r="BI758" s="95"/>
      <c r="BJ758" s="1326"/>
      <c r="BK758" s="6404"/>
      <c r="BL758" s="1737"/>
      <c r="BM758" s="2081"/>
      <c r="BN758" s="2238"/>
      <c r="BO758" s="1809"/>
      <c r="BR758" s="3">
        <v>1</v>
      </c>
    </row>
    <row r="759" spans="2:70" ht="15.75">
      <c r="B759" s="6236"/>
      <c r="C759" s="6358">
        <f t="shared" si="283"/>
        <v>150</v>
      </c>
      <c r="D759" s="6390" t="str" cm="1">
        <f t="array" ref="D759">IF(MOD(ROW()-50,14)=0,INDEX(D750:D763,MOD(ROW()-50,14)+1),E757)</f>
        <v/>
      </c>
      <c r="E759" s="6391" t="str">
        <f t="shared" si="284"/>
        <v/>
      </c>
      <c r="F759" s="6392" t="str">
        <f t="shared" si="285"/>
        <v/>
      </c>
      <c r="G759" s="6321"/>
      <c r="H759" s="6323" t="str">
        <f t="shared" si="286"/>
        <v/>
      </c>
      <c r="I759" s="6373"/>
      <c r="J759" s="6363" t="str">
        <f t="shared" si="287"/>
        <v/>
      </c>
      <c r="K759" s="6364" t="str">
        <f>IF(J759="","",LEFT(J759,IF(LEN(J759)&lt;=I753,LEN(J759),IFERROR(FIND("§",SUBSTITUTE(LEFT(J759,I753+1)," ","§",LEN(LEFT(J759,I753+1))-LEN(SUBSTITUTE(LEFT(J759,I753+1)," ",""))))-1,IFERROR(FIND(" ",J759,I753+1)-1,LEN(J759))))))</f>
        <v/>
      </c>
      <c r="L759" s="6327"/>
      <c r="M759" s="6329"/>
      <c r="N759" t="s">
        <v>21</v>
      </c>
      <c r="AV759" s="103"/>
      <c r="AW759" s="31"/>
      <c r="AX759" s="32"/>
      <c r="AY759" s="31"/>
      <c r="AZ759" s="33"/>
      <c r="BA759" s="1967"/>
      <c r="BB759" s="1805"/>
      <c r="BC759" s="91"/>
      <c r="BD759" s="1806"/>
      <c r="BE759" s="6401"/>
      <c r="BF759" s="6402"/>
      <c r="BG759" s="1969"/>
      <c r="BH759" s="6403"/>
      <c r="BI759" s="95"/>
      <c r="BJ759" s="1326"/>
      <c r="BK759" s="6404"/>
      <c r="BL759" s="1737"/>
      <c r="BM759" s="2081"/>
      <c r="BN759" s="2238"/>
      <c r="BO759" s="1809"/>
      <c r="BR759" s="3">
        <v>1</v>
      </c>
    </row>
    <row r="760" spans="2:70" ht="15.75">
      <c r="B760" s="6236"/>
      <c r="C760" s="6358">
        <f t="shared" si="283"/>
        <v>150</v>
      </c>
      <c r="D760" s="6390" t="str" cm="1">
        <f t="array" ref="D760">IF(MOD(ROW()-50,14)=0,INDEX(D750:D763,MOD(ROW()-50,14)+1),E758)</f>
        <v/>
      </c>
      <c r="E760" s="6391" t="str">
        <f t="shared" si="284"/>
        <v/>
      </c>
      <c r="F760" s="6392" t="str">
        <f t="shared" si="285"/>
        <v/>
      </c>
      <c r="G760" s="6321"/>
      <c r="H760" s="6323" t="str">
        <f t="shared" si="286"/>
        <v/>
      </c>
      <c r="I760" s="6373"/>
      <c r="J760" s="6363" t="str">
        <f t="shared" si="287"/>
        <v/>
      </c>
      <c r="K760" s="6364" t="str">
        <f>IF(J760="","",LEFT(J760,IF(LEN(J760)&lt;=I753,LEN(J760),IFERROR(FIND("§",SUBSTITUTE(LEFT(J760,I753+1)," ","§",LEN(LEFT(J760,I753+1))-LEN(SUBSTITUTE(LEFT(J760,I753+1)," ",""))))-1,IFERROR(FIND(" ",J760,I753+1)-1,LEN(J760))))))</f>
        <v/>
      </c>
      <c r="L760" s="6327"/>
      <c r="M760" s="6329"/>
      <c r="N760" t="s">
        <v>21</v>
      </c>
      <c r="AV760" s="103"/>
      <c r="AW760" s="31"/>
      <c r="AX760" s="32"/>
      <c r="AY760" s="31"/>
      <c r="AZ760" s="33"/>
      <c r="BA760" s="1967"/>
      <c r="BB760" s="1805"/>
      <c r="BC760" s="91"/>
      <c r="BD760" s="1806"/>
      <c r="BE760" s="6401"/>
      <c r="BF760" s="6402"/>
      <c r="BG760" s="1969"/>
      <c r="BH760" s="6403"/>
      <c r="BI760" s="95"/>
      <c r="BJ760" s="1326"/>
      <c r="BK760" s="6404"/>
      <c r="BL760" s="1737"/>
      <c r="BM760" s="2081"/>
      <c r="BN760" s="2238"/>
      <c r="BO760" s="1809"/>
      <c r="BR760" s="3">
        <v>1</v>
      </c>
    </row>
    <row r="761" spans="2:70" ht="15.75">
      <c r="B761" s="6236"/>
      <c r="C761" s="6358">
        <f t="shared" si="283"/>
        <v>150</v>
      </c>
      <c r="D761" s="6390" t="str" cm="1">
        <f t="array" ref="D761">IF(MOD(ROW()-50,14)=0,INDEX(D750:D763,MOD(ROW()-50,14)+1),E759)</f>
        <v/>
      </c>
      <c r="E761" s="6391" t="str">
        <f t="shared" si="284"/>
        <v/>
      </c>
      <c r="F761" s="6392" t="str">
        <f t="shared" si="285"/>
        <v/>
      </c>
      <c r="G761" s="6321"/>
      <c r="H761" s="6323" t="str">
        <f t="shared" si="286"/>
        <v/>
      </c>
      <c r="I761" s="6373"/>
      <c r="J761" s="6363" t="str">
        <f t="shared" si="287"/>
        <v/>
      </c>
      <c r="K761" s="6364" t="str">
        <f>IF(J761="","",LEFT(J761,IF(LEN(J761)&lt;=I753,LEN(J761),IFERROR(FIND("§",SUBSTITUTE(LEFT(J761,I753+1)," ","§",LEN(LEFT(J761,I753+1))-LEN(SUBSTITUTE(LEFT(J761,I753+1)," ",""))))-1,IFERROR(FIND(" ",J761,I753+1)-1,LEN(J761))))))</f>
        <v/>
      </c>
      <c r="L761" s="6327"/>
      <c r="M761" s="6329"/>
      <c r="N761" t="s">
        <v>21</v>
      </c>
      <c r="AV761" s="103"/>
      <c r="AW761" s="31"/>
      <c r="AX761" s="32"/>
      <c r="AY761" s="31"/>
      <c r="AZ761" s="33"/>
      <c r="BA761" s="1967"/>
      <c r="BB761" s="1805"/>
      <c r="BC761" s="91"/>
      <c r="BD761" s="1806"/>
      <c r="BE761" s="6401"/>
      <c r="BF761" s="6402"/>
      <c r="BG761" s="1969"/>
      <c r="BH761" s="6403"/>
      <c r="BI761" s="95"/>
      <c r="BJ761" s="1326"/>
      <c r="BK761" s="6404"/>
      <c r="BL761" s="1737"/>
      <c r="BM761" s="2081"/>
      <c r="BN761" s="2238"/>
      <c r="BO761" s="1809"/>
      <c r="BR761" s="3">
        <v>1</v>
      </c>
    </row>
    <row r="762" spans="2:70" ht="15.75">
      <c r="B762" s="6236"/>
      <c r="C762" s="6358">
        <f t="shared" si="283"/>
        <v>150</v>
      </c>
      <c r="D762" s="6390" t="str" cm="1">
        <f t="array" ref="D762">IF(MOD(ROW()-50,14)=0,INDEX(D750:D763,MOD(ROW()-50,14)+1),E760)</f>
        <v/>
      </c>
      <c r="E762" s="6391" t="str">
        <f t="shared" si="284"/>
        <v/>
      </c>
      <c r="F762" s="6392" t="str">
        <f t="shared" si="285"/>
        <v/>
      </c>
      <c r="G762" s="6321"/>
      <c r="H762" s="6323" t="str">
        <f t="shared" si="286"/>
        <v/>
      </c>
      <c r="I762" s="6373"/>
      <c r="J762" s="6363" t="str">
        <f t="shared" si="287"/>
        <v/>
      </c>
      <c r="K762" s="6364" t="str">
        <f>IF(J762="","",LEFT(J762,IF(LEN(J762)&lt;=I753,LEN(J762),IFERROR(FIND("§",SUBSTITUTE(LEFT(J762,I753+1)," ","§",LEN(LEFT(J762,I753+1))-LEN(SUBSTITUTE(LEFT(J762,I753+1)," ",""))))-1,IFERROR(FIND(" ",J762,I753+1)-1,LEN(J762))))))</f>
        <v/>
      </c>
      <c r="L762" s="6364"/>
      <c r="M762" s="6329"/>
      <c r="N762" t="s">
        <v>21</v>
      </c>
      <c r="AV762" s="103"/>
      <c r="AW762" s="31"/>
      <c r="AX762" s="32"/>
      <c r="AY762" s="31"/>
      <c r="AZ762" s="33"/>
      <c r="BA762" s="1967"/>
      <c r="BB762" s="1805"/>
      <c r="BC762" s="91"/>
      <c r="BD762" s="1806"/>
      <c r="BE762" s="6401"/>
      <c r="BF762" s="6402"/>
      <c r="BG762" s="1969"/>
      <c r="BH762" s="6403"/>
      <c r="BI762" s="95"/>
      <c r="BJ762" s="1326"/>
      <c r="BK762" s="6404"/>
      <c r="BL762" s="1737"/>
      <c r="BM762" s="2081"/>
      <c r="BN762" s="2238"/>
      <c r="BO762" s="1809"/>
      <c r="BR762" s="3">
        <v>1</v>
      </c>
    </row>
    <row r="763" spans="2:70" ht="15.75">
      <c r="B763" s="6236"/>
      <c r="C763" s="6376">
        <f t="shared" si="283"/>
        <v>150</v>
      </c>
      <c r="D763" s="6406" t="str" cm="1">
        <f t="array" ref="D763">IF(MOD(ROW()-50,14)=0,INDEX(D750:D763,MOD(ROW()-50,14)+1),E761)</f>
        <v/>
      </c>
      <c r="E763" s="6407" t="str">
        <f t="shared" si="284"/>
        <v/>
      </c>
      <c r="F763" s="6408" t="str">
        <f t="shared" si="285"/>
        <v/>
      </c>
      <c r="G763" s="6322"/>
      <c r="H763" s="6323" t="str">
        <f t="shared" si="286"/>
        <v/>
      </c>
      <c r="I763" s="6379"/>
      <c r="J763" s="6380" t="str">
        <f t="shared" si="287"/>
        <v/>
      </c>
      <c r="K763" s="6381" t="str">
        <f>IF(J763="","",LEFT(J763,IF(LEN(J763)&lt;=I753,LEN(J763),IFERROR(FIND("§",SUBSTITUTE(LEFT(J763,I753+1)," ","§",LEN(LEFT(J763,I753+1))-LEN(SUBSTITUTE(LEFT(J763,I753+1)," ",""))))-1,IFERROR(FIND(" ",J763,I753+1)-1,LEN(J763))))))</f>
        <v/>
      </c>
      <c r="L763" s="6382"/>
      <c r="M763" s="6330"/>
      <c r="N763" t="s">
        <v>21</v>
      </c>
      <c r="AV763" s="103"/>
      <c r="AW763" s="31"/>
      <c r="AX763" s="32"/>
      <c r="AY763" s="31"/>
      <c r="AZ763" s="33"/>
      <c r="BA763" s="1967"/>
      <c r="BB763" s="1805"/>
      <c r="BC763" s="91"/>
      <c r="BD763" s="1806"/>
      <c r="BE763" s="6401"/>
      <c r="BF763" s="6402"/>
      <c r="BG763" s="1969"/>
      <c r="BH763" s="6403"/>
      <c r="BI763" s="95"/>
      <c r="BJ763" s="1326"/>
      <c r="BK763" s="6404"/>
      <c r="BL763" s="1737"/>
      <c r="BM763" s="2081"/>
      <c r="BN763" s="2238"/>
      <c r="BO763" s="1809"/>
      <c r="BR763" s="3">
        <v>1</v>
      </c>
    </row>
    <row r="764" spans="2:70" ht="15.75">
      <c r="B764" s="6236"/>
      <c r="C764" s="6313">
        <f>AD101</f>
        <v>150</v>
      </c>
      <c r="D764" s="6314" t="str">
        <f>IF(UPPER(TRIM(X45))="X",U101,O101)</f>
        <v>52.TEST LIGNE 19 colonne Q et ligne 20 colonne P. rechercher la cellule qui coupe le texte Dans la cocotte N°3 en fonte, faites chauffer l’huile d’olive à feu moyen. Ajoutez la viande et faites-la dorer de tous les côtés. Retirez-la de la cocotte et réservez-la.</v>
      </c>
      <c r="E764" s="6315" t="str">
        <f>IF(D764="","",IF(F764="","",IF(LEN(F764)&gt;=LEN(D764),"",TRIM(MID(D764,LEN(F764)+1,99999)))))</f>
        <v>d’olive à feu moyen. Ajoutez la viande et faites-la dorer de tous les côtés. Retirez-la de la cocotte et réservez-la.</v>
      </c>
      <c r="F764" s="6316" t="str">
        <f>IF(D764="","",IF(LEN(D764)&lt;=C764,D764,IFERROR(LEFT(D764,FIND("§",SUBSTITUTE(LEFT(D764,C764+1)," ","§",LEN(LEFT(D764,C764+1))-LEN(SUBSTITUTE(LEFT(D764,C764+1)," ",""))))-1),LEFT(D764,C764))))</f>
        <v>52.TEST LIGNE 19 colonne Q et ligne 20 colonne P. rechercher la cellule qui coupe le texte Dans la cocotte N°3 en fonte, faites chauffer l’huile</v>
      </c>
      <c r="G764" s="6317"/>
      <c r="H764" s="6385">
        <f>IF(LEN(TRIM(L764))&gt;0,MAX(H763:H763)+1,"")</f>
        <v>1</v>
      </c>
      <c r="I764" s="6324" t="str">
        <f>D764</f>
        <v>52.TEST LIGNE 19 colonne Q et ligne 20 colonne P. rechercher la cellule qui coupe le texte Dans la cocotte N°3 en fonte, faites chauffer l’huile d’olive à feu moyen. Ajoutez la viande et faites-la dorer de tous les côtés. Retirez-la de la cocotte et réservez-la.</v>
      </c>
      <c r="J764" s="6386" t="str">
        <f>IF(I764=0,"",I764)</f>
        <v>52.TEST LIGNE 19 colonne Q et ligne 20 colonne P. rechercher la cellule qui coupe le texte Dans la cocotte N°3 en fonte, faites chauffer l’huile d’olive à feu moyen. Ajoutez la viande et faites-la dorer de tous les côtés. Retirez-la de la cocotte et réservez-la.</v>
      </c>
      <c r="K764" s="6387" t="str">
        <f>IF(I764="","",LEFT(I764,IF(LEN(I764)&lt;=I767,LEN(I764),IFERROR(FIND("§",SUBSTITUTE(LEFT(I764,I767+1)," ","§",LEN(LEFT(I764,I767+1))-LEN(SUBSTITUTE(LEFT(I764,I767+1)," ",""))))-1,IFERROR(FIND(" ",I764,I767+1)-1,LEN(I764))))))</f>
        <v>52.TEST LIGNE 19 colonne Q et ligne 20 colonne P.</v>
      </c>
      <c r="L764" s="6388" t="str" cm="1">
        <f t="array" ref="L764:L769">_xlfn._xlws.FILTER(TRIM(SUBSTITUTE(SUBSTITUTE(SUBSTITUTE(SUBSTITUTE(SUBSTITUTE(CLEAN(K764:K777),CHAR(160)," "),_xlfn.UNICHAR(8239)," "),CHAR(9)," "),CHAR(10)," "),CHAR(13)," ")),TRIM(SUBSTITUTE(SUBSTITUTE(SUBSTITUTE(SUBSTITUTE(SUBSTITUTE(CLEAN(K764:K777),CHAR(160)," "),_xlfn.UNICHAR(8239)," "),CHAR(9)," "),CHAR(10)," "),CHAR(13)," "))&lt;&gt;"")</f>
        <v>52.TEST LIGNE 19 colonne Q et ligne 20 colonne P.</v>
      </c>
      <c r="M764" s="6331"/>
      <c r="N764" t="s">
        <v>21</v>
      </c>
      <c r="AV764" s="103"/>
      <c r="AW764" s="31"/>
      <c r="AX764" s="32"/>
      <c r="AY764" s="31"/>
      <c r="AZ764" s="33"/>
      <c r="BA764" s="1967"/>
      <c r="BB764" s="1805"/>
      <c r="BC764" s="91"/>
      <c r="BD764" s="1806"/>
      <c r="BE764" s="6401"/>
      <c r="BF764" s="6402"/>
      <c r="BG764" s="1969"/>
      <c r="BH764" s="6403"/>
      <c r="BI764" s="95"/>
      <c r="BJ764" s="1326"/>
      <c r="BK764" s="6404"/>
      <c r="BL764" s="1737"/>
      <c r="BM764" s="2081"/>
      <c r="BN764" s="2238"/>
      <c r="BO764" s="1809"/>
      <c r="BR764" s="3">
        <v>1</v>
      </c>
    </row>
    <row r="765" spans="2:70" ht="15.75">
      <c r="B765" s="6236"/>
      <c r="C765" s="6358">
        <f t="shared" ref="C765:C777" si="288">C764</f>
        <v>150</v>
      </c>
      <c r="D765" s="6359" t="str" cm="1">
        <f t="array" ref="D765">IF(MOD(ROW()-50,14)=0,INDEX(D764:D777,MOD(ROW()-50,14)+1),E763)</f>
        <v/>
      </c>
      <c r="E765" s="6360" t="str">
        <f t="shared" ref="E765:E777" si="289">IF(D765="","",IF(F765="","",IF(LEN(F765)&gt;=LEN(D765),"",TRIM(MID(D765,LEN(F765)+1,99999)))))</f>
        <v/>
      </c>
      <c r="F765" s="6361" t="str">
        <f t="shared" ref="F765:F777" si="290">IF(D765="","",IF(LEN(D765)&lt;=C765,D765,IFERROR(LEFT(D765,FIND("§",SUBSTITUTE(LEFT(D765,C765+1)," ","§",LEN(LEFT(D765,C765+1))-LEN(SUBSTITUTE(LEFT(D765,C765+1)," ",""))))-1),LEFT(D765,C765))))</f>
        <v/>
      </c>
      <c r="G765" s="6318"/>
      <c r="H765" s="6393">
        <f t="shared" ref="H765:H777" si="291">IF(LEN(TRIM(L765))&gt;0,MAX(H764:H764)+1,"")</f>
        <v>2</v>
      </c>
      <c r="I765" s="6394" t="s">
        <v>14355</v>
      </c>
      <c r="J765" s="6395" t="str">
        <f>TRIM(MID(I768,LEN(K764)+1,99999))</f>
        <v>rechercher la cellule qui coupe le texte Dans la cocotte N°3 en fonte, faites chauffer l’huile d’olive à feu moyen. Ajoutez la viande et faites-la dorer de tous les côtés. Retirez-la de la cocotte et réservez-la.</v>
      </c>
      <c r="K765" s="6396" t="str">
        <f>IF(J765="","",LEFT(J765,IF(LEN(J765)&lt;=I767,LEN(J765),IFERROR(FIND("§",SUBSTITUTE(LEFT(J765,I767+1)," ","§",LEN(LEFT(J765,I767+1))-LEN(SUBSTITUTE(LEFT(J765,I767+1)," ",""))))-1,IFERROR(FIND(" ",J765,I767+1)-1,LEN(J765))))))</f>
        <v>rechercher la cellule qui coupe le texte Dans la</v>
      </c>
      <c r="L765" s="6388" t="str">
        <v>rechercher la cellule qui coupe le texte Dans la</v>
      </c>
      <c r="M765" s="6332"/>
      <c r="N765" t="s">
        <v>21</v>
      </c>
      <c r="AV765" s="103"/>
      <c r="AW765" s="31"/>
      <c r="AX765" s="32"/>
      <c r="AY765" s="31"/>
      <c r="AZ765" s="33"/>
      <c r="BA765" s="1967"/>
      <c r="BB765" s="1805"/>
      <c r="BC765" s="91"/>
      <c r="BD765" s="1806"/>
      <c r="BE765" s="6401"/>
      <c r="BF765" s="6402"/>
      <c r="BG765" s="1969"/>
      <c r="BH765" s="6403"/>
      <c r="BI765" s="95"/>
      <c r="BJ765" s="1326"/>
      <c r="BK765" s="6404"/>
      <c r="BL765" s="1737"/>
      <c r="BM765" s="2081"/>
      <c r="BN765" s="2238"/>
      <c r="BO765" s="1809"/>
      <c r="BR765" s="3">
        <v>1</v>
      </c>
    </row>
    <row r="766" spans="2:70" ht="15.75">
      <c r="B766" s="6236"/>
      <c r="C766" s="6358">
        <f t="shared" si="288"/>
        <v>150</v>
      </c>
      <c r="D766" s="6359" t="str" cm="1">
        <f t="array" ref="D766">IF(MOD(ROW()-50,14)=0,INDEX(D764:D777,MOD(ROW()-50,14)+1),E764)</f>
        <v>d’olive à feu moyen. Ajoutez la viande et faites-la dorer de tous les côtés. Retirez-la de la cocotte et réservez-la.</v>
      </c>
      <c r="E766" s="6360" t="str">
        <f t="shared" si="289"/>
        <v/>
      </c>
      <c r="F766" s="6361" t="str">
        <f t="shared" si="290"/>
        <v>d’olive à feu moyen. Ajoutez la viande et faites-la dorer de tous les côtés. Retirez-la de la cocotte et réservez-la.</v>
      </c>
      <c r="G766" s="6318"/>
      <c r="H766" s="6393">
        <f t="shared" si="291"/>
        <v>3</v>
      </c>
      <c r="I766" s="6365">
        <f>Z101</f>
        <v>5</v>
      </c>
      <c r="J766" s="6395" t="str">
        <f t="shared" ref="J766:J777" si="292">TRIM(MID(J765,LEN(K765)+1,99999))</f>
        <v>cocotte N°3 en fonte, faites chauffer l’huile d’olive à feu moyen. Ajoutez la viande et faites-la dorer de tous les côtés. Retirez-la de la cocotte et réservez-la.</v>
      </c>
      <c r="K766" s="6396" t="str">
        <f>IF(J766="","",LEFT(J766,IF(LEN(J766)&lt;=I767,LEN(J766),IFERROR(FIND("§",SUBSTITUTE(LEFT(J766,I767+1)," ","§",LEN(LEFT(J766,I767+1))-LEN(SUBSTITUTE(LEFT(J766,I767+1)," ",""))))-1,IFERROR(FIND(" ",J766,I767+1)-1,LEN(J766))))))</f>
        <v>cocotte N°3 en fonte, faites chauffer l’huile d’olive</v>
      </c>
      <c r="L766" s="6388" t="str">
        <v>cocotte N°3 en fonte, faites chauffer l’huile d’olive</v>
      </c>
      <c r="M766" s="6332"/>
      <c r="N766" t="s">
        <v>21</v>
      </c>
      <c r="AV766" s="103"/>
      <c r="AW766" s="31"/>
      <c r="AX766" s="32"/>
      <c r="AY766" s="31"/>
      <c r="AZ766" s="33"/>
      <c r="BA766" s="1967"/>
      <c r="BB766" s="1805"/>
      <c r="BC766" s="91"/>
      <c r="BD766" s="1806"/>
      <c r="BE766" s="6401"/>
      <c r="BF766" s="6402"/>
      <c r="BG766" s="1969"/>
      <c r="BH766" s="6403"/>
      <c r="BI766" s="95"/>
      <c r="BJ766" s="1326"/>
      <c r="BK766" s="6404"/>
      <c r="BL766" s="1737"/>
      <c r="BM766" s="2081"/>
      <c r="BN766" s="2238"/>
      <c r="BO766" s="1809"/>
      <c r="BR766" s="3">
        <v>1</v>
      </c>
    </row>
    <row r="767" spans="2:70" ht="15.75">
      <c r="B767" s="6236"/>
      <c r="C767" s="6358">
        <f t="shared" si="288"/>
        <v>150</v>
      </c>
      <c r="D767" s="6359" t="str" cm="1">
        <f t="array" ref="D767">IF(MOD(ROW()-50,14)=0,INDEX(D764:D777,MOD(ROW()-50,14)+1),E765)</f>
        <v/>
      </c>
      <c r="E767" s="6360" t="str">
        <f t="shared" si="289"/>
        <v/>
      </c>
      <c r="F767" s="6361" t="str">
        <f t="shared" si="290"/>
        <v/>
      </c>
      <c r="G767" s="6318"/>
      <c r="H767" s="6393">
        <f t="shared" si="291"/>
        <v>4</v>
      </c>
      <c r="I767" s="6398">
        <f>IF(OR(J764="",I766="",I766&lt;=0),"",ROUNDUP(LEN(J764)/I766,0))</f>
        <v>53</v>
      </c>
      <c r="J767" s="6395" t="str">
        <f t="shared" si="292"/>
        <v>à feu moyen. Ajoutez la viande et faites-la dorer de tous les côtés. Retirez-la de la cocotte et réservez-la.</v>
      </c>
      <c r="K767" s="6396" t="str">
        <f>IF(J767="","",LEFT(J767,IF(LEN(J767)&lt;=I767,LEN(J767),IFERROR(FIND("§",SUBSTITUTE(LEFT(J767,I767+1)," ","§",LEN(LEFT(J767,I767+1))-LEN(SUBSTITUTE(LEFT(J767,I767+1)," ",""))))-1,IFERROR(FIND(" ",J767,I767+1)-1,LEN(J767))))))</f>
        <v>à feu moyen. Ajoutez la viande et faites-la dorer de</v>
      </c>
      <c r="L767" s="6388" t="str">
        <v>à feu moyen. Ajoutez la viande et faites-la dorer de</v>
      </c>
      <c r="M767" s="6332"/>
      <c r="N767" t="s">
        <v>21</v>
      </c>
      <c r="AV767" s="103"/>
      <c r="AW767" s="31"/>
      <c r="AX767" s="32"/>
      <c r="AY767" s="31"/>
      <c r="AZ767" s="33"/>
      <c r="BA767" s="1967"/>
      <c r="BB767" s="1805"/>
      <c r="BC767" s="91"/>
      <c r="BD767" s="1806"/>
      <c r="BE767" s="6401"/>
      <c r="BF767" s="6402"/>
      <c r="BG767" s="1969"/>
      <c r="BH767" s="6403"/>
      <c r="BI767" s="95"/>
      <c r="BJ767" s="1326"/>
      <c r="BK767" s="6404"/>
      <c r="BL767" s="1737"/>
      <c r="BM767" s="2081"/>
      <c r="BN767" s="2238"/>
      <c r="BO767" s="1809"/>
      <c r="BR767" s="3">
        <v>1</v>
      </c>
    </row>
    <row r="768" spans="2:70" ht="15.75">
      <c r="B768" s="6236"/>
      <c r="C768" s="6358">
        <f t="shared" si="288"/>
        <v>150</v>
      </c>
      <c r="D768" s="6359" t="str" cm="1">
        <f t="array" ref="D768">IF(MOD(ROW()-50,14)=0,INDEX(D764:D777,MOD(ROW()-50,14)+1),E766)</f>
        <v/>
      </c>
      <c r="E768" s="6360" t="str">
        <f t="shared" si="289"/>
        <v/>
      </c>
      <c r="F768" s="6361" t="str">
        <f t="shared" si="290"/>
        <v/>
      </c>
      <c r="G768" s="6318"/>
      <c r="H768" s="6393">
        <f t="shared" si="291"/>
        <v>5</v>
      </c>
      <c r="I768" s="6400" t="str">
        <f>I764</f>
        <v>52.TEST LIGNE 19 colonne Q et ligne 20 colonne P. rechercher la cellule qui coupe le texte Dans la cocotte N°3 en fonte, faites chauffer l’huile d’olive à feu moyen. Ajoutez la viande et faites-la dorer de tous les côtés. Retirez-la de la cocotte et réservez-la.</v>
      </c>
      <c r="J768" s="6395" t="str">
        <f t="shared" si="292"/>
        <v>tous les côtés. Retirez-la de la cocotte et réservez-la.</v>
      </c>
      <c r="K768" s="6396" t="str">
        <f>IF(J768="","",LEFT(J768,IF(LEN(J768)&lt;=I767,LEN(J768),IFERROR(FIND("§",SUBSTITUTE(LEFT(J768,I767+1)," ","§",LEN(LEFT(J768,I767+1))-LEN(SUBSTITUTE(LEFT(J768,I767+1)," ",""))))-1,IFERROR(FIND(" ",J768,I767+1)-1,LEN(J768))))))</f>
        <v>tous les côtés. Retirez-la de la cocotte et</v>
      </c>
      <c r="L768" s="6388" t="str">
        <v>tous les côtés. Retirez-la de la cocotte et</v>
      </c>
      <c r="M768" s="6332"/>
      <c r="N768" t="s">
        <v>21</v>
      </c>
      <c r="AV768" s="103"/>
      <c r="AW768" s="31"/>
      <c r="AX768" s="32"/>
      <c r="AY768" s="31"/>
      <c r="AZ768" s="33"/>
      <c r="BA768" s="1967"/>
      <c r="BB768" s="1805"/>
      <c r="BC768" s="91"/>
      <c r="BD768" s="1806"/>
      <c r="BE768" s="6401"/>
      <c r="BF768" s="6402"/>
      <c r="BG768" s="1969"/>
      <c r="BH768" s="6403"/>
      <c r="BI768" s="95"/>
      <c r="BJ768" s="1326"/>
      <c r="BK768" s="6404"/>
      <c r="BL768" s="1737"/>
      <c r="BM768" s="2081"/>
      <c r="BN768" s="2238"/>
      <c r="BO768" s="1809"/>
      <c r="BR768" s="3">
        <v>1</v>
      </c>
    </row>
    <row r="769" spans="1:72" ht="15.75">
      <c r="B769" s="6236"/>
      <c r="C769" s="6358">
        <f t="shared" si="288"/>
        <v>150</v>
      </c>
      <c r="D769" s="6359" t="str" cm="1">
        <f t="array" ref="D769">IF(MOD(ROW()-50,14)=0,INDEX(D764:D777,MOD(ROW()-50,14)+1),E767)</f>
        <v/>
      </c>
      <c r="E769" s="6360" t="str">
        <f t="shared" si="289"/>
        <v/>
      </c>
      <c r="F769" s="6361" t="str">
        <f t="shared" si="290"/>
        <v/>
      </c>
      <c r="G769" s="6318"/>
      <c r="H769" s="6393">
        <f t="shared" si="291"/>
        <v>6</v>
      </c>
      <c r="I769" s="6405"/>
      <c r="J769" s="6395" t="str">
        <f t="shared" si="292"/>
        <v>réservez-la.</v>
      </c>
      <c r="K769" s="6396" t="str">
        <f>IF(J769="","",LEFT(J769,IF(LEN(J769)&lt;=I767,LEN(J769),IFERROR(FIND("§",SUBSTITUTE(LEFT(J769,I767+1)," ","§",LEN(LEFT(J769,I767+1))-LEN(SUBSTITUTE(LEFT(J769,I767+1)," ",""))))-1,IFERROR(FIND(" ",J769,I767+1)-1,LEN(J769))))))</f>
        <v>réservez-la.</v>
      </c>
      <c r="L769" s="6388" t="str">
        <v>réservez-la.</v>
      </c>
      <c r="M769" s="6332"/>
      <c r="N769" t="s">
        <v>21</v>
      </c>
      <c r="AV769" s="103"/>
      <c r="AW769" s="31"/>
      <c r="AX769" s="32"/>
      <c r="AY769" s="31"/>
      <c r="AZ769" s="33"/>
      <c r="BA769" s="1967"/>
      <c r="BB769" s="1805"/>
      <c r="BC769" s="91"/>
      <c r="BD769" s="1806"/>
      <c r="BE769" s="6401"/>
      <c r="BF769" s="6402"/>
      <c r="BG769" s="1969"/>
      <c r="BH769" s="6403"/>
      <c r="BI769" s="95"/>
      <c r="BJ769" s="1326"/>
      <c r="BK769" s="6404"/>
      <c r="BL769" s="1737"/>
      <c r="BM769" s="2081"/>
      <c r="BN769" s="2238"/>
      <c r="BO769" s="1809"/>
      <c r="BR769" s="3">
        <v>1</v>
      </c>
    </row>
    <row r="770" spans="1:72" ht="15.75">
      <c r="B770" s="6236"/>
      <c r="C770" s="6358">
        <f t="shared" si="288"/>
        <v>150</v>
      </c>
      <c r="D770" s="6359" t="str" cm="1">
        <f t="array" ref="D770">IF(MOD(ROW()-50,14)=0,INDEX(D764:D777,MOD(ROW()-50,14)+1),E768)</f>
        <v/>
      </c>
      <c r="E770" s="6360" t="str">
        <f t="shared" si="289"/>
        <v/>
      </c>
      <c r="F770" s="6361" t="str">
        <f t="shared" si="290"/>
        <v/>
      </c>
      <c r="G770" s="6318"/>
      <c r="H770" s="6393" t="str">
        <f t="shared" si="291"/>
        <v/>
      </c>
      <c r="I770" s="6405"/>
      <c r="J770" s="6395" t="str">
        <f t="shared" si="292"/>
        <v/>
      </c>
      <c r="K770" s="6396" t="str">
        <f>IF(J770="","",LEFT(J770,IF(LEN(J770)&lt;=I767,LEN(J770),IFERROR(FIND("§",SUBSTITUTE(LEFT(J770,I767+1)," ","§",LEN(LEFT(J770,I767+1))-LEN(SUBSTITUTE(LEFT(J770,I767+1)," ",""))))-1,IFERROR(FIND(" ",J770,I767+1)-1,LEN(J770))))))</f>
        <v/>
      </c>
      <c r="L770" s="6388"/>
      <c r="M770" s="6332"/>
      <c r="N770" t="s">
        <v>21</v>
      </c>
      <c r="AV770" s="103"/>
      <c r="AW770" s="31"/>
      <c r="AX770" s="32"/>
      <c r="AY770" s="31"/>
      <c r="AZ770" s="33"/>
      <c r="BA770" s="1967"/>
      <c r="BB770" s="1805"/>
      <c r="BC770" s="91"/>
      <c r="BD770" s="1806"/>
      <c r="BE770" s="6401"/>
      <c r="BF770" s="6402"/>
      <c r="BG770" s="1969"/>
      <c r="BH770" s="6403"/>
      <c r="BI770" s="95"/>
      <c r="BJ770" s="1326"/>
      <c r="BK770" s="6404"/>
      <c r="BL770" s="1737"/>
      <c r="BM770" s="2081"/>
      <c r="BN770" s="2238"/>
      <c r="BO770" s="1809"/>
      <c r="BR770" s="3">
        <v>1</v>
      </c>
    </row>
    <row r="771" spans="1:72" ht="15.75">
      <c r="B771" s="6236"/>
      <c r="C771" s="6358">
        <f t="shared" si="288"/>
        <v>150</v>
      </c>
      <c r="D771" s="6359" t="str" cm="1">
        <f t="array" ref="D771">IF(MOD(ROW()-50,14)=0,INDEX(D764:D777,MOD(ROW()-50,14)+1),E769)</f>
        <v/>
      </c>
      <c r="E771" s="6360" t="str">
        <f t="shared" si="289"/>
        <v/>
      </c>
      <c r="F771" s="6361" t="str">
        <f t="shared" si="290"/>
        <v/>
      </c>
      <c r="G771" s="6318"/>
      <c r="H771" s="6393" t="str">
        <f t="shared" si="291"/>
        <v/>
      </c>
      <c r="I771" s="6405"/>
      <c r="J771" s="6395" t="str">
        <f t="shared" si="292"/>
        <v/>
      </c>
      <c r="K771" s="6396" t="str">
        <f>IF(J771="","",LEFT(J771,IF(LEN(J771)&lt;=I767,LEN(J771),IFERROR(FIND("§",SUBSTITUTE(LEFT(J771,I767+1)," ","§",LEN(LEFT(J771,I767+1))-LEN(SUBSTITUTE(LEFT(J771,I767+1)," ",""))))-1,IFERROR(FIND(" ",J771,I767+1)-1,LEN(J771))))))</f>
        <v/>
      </c>
      <c r="L771" s="6388"/>
      <c r="M771" s="6332"/>
      <c r="N771" t="s">
        <v>21</v>
      </c>
      <c r="AV771" s="103"/>
      <c r="AW771" s="31"/>
      <c r="AX771" s="32"/>
      <c r="AY771" s="31"/>
      <c r="AZ771" s="33"/>
      <c r="BA771" s="1967"/>
      <c r="BB771" s="1805"/>
      <c r="BC771" s="91"/>
      <c r="BD771" s="1806"/>
      <c r="BE771" s="6401"/>
      <c r="BF771" s="6402"/>
      <c r="BG771" s="1969"/>
      <c r="BH771" s="6403"/>
      <c r="BI771" s="95"/>
      <c r="BJ771" s="1326"/>
      <c r="BK771" s="6404"/>
      <c r="BL771" s="1737"/>
      <c r="BM771" s="2081"/>
      <c r="BN771" s="2238"/>
      <c r="BO771" s="1809"/>
      <c r="BR771" s="3">
        <v>1</v>
      </c>
    </row>
    <row r="772" spans="1:72" ht="15.75">
      <c r="B772" s="6236"/>
      <c r="C772" s="6358">
        <f t="shared" si="288"/>
        <v>150</v>
      </c>
      <c r="D772" s="6359" t="str" cm="1">
        <f t="array" ref="D772">IF(MOD(ROW()-50,14)=0,INDEX(D764:D777,MOD(ROW()-50,14)+1),E770)</f>
        <v/>
      </c>
      <c r="E772" s="6360" t="str">
        <f t="shared" si="289"/>
        <v/>
      </c>
      <c r="F772" s="6361" t="str">
        <f t="shared" si="290"/>
        <v/>
      </c>
      <c r="G772" s="6318"/>
      <c r="H772" s="6393" t="str">
        <f t="shared" si="291"/>
        <v/>
      </c>
      <c r="I772" s="6405"/>
      <c r="J772" s="6395" t="str">
        <f t="shared" si="292"/>
        <v/>
      </c>
      <c r="K772" s="6396" t="str">
        <f>IF(J772="","",LEFT(J772,IF(LEN(J772)&lt;=I767,LEN(J772),IFERROR(FIND("§",SUBSTITUTE(LEFT(J772,I767+1)," ","§",LEN(LEFT(J772,I767+1))-LEN(SUBSTITUTE(LEFT(J772,I767+1)," ",""))))-1,IFERROR(FIND(" ",J772,I767+1)-1,LEN(J772))))))</f>
        <v/>
      </c>
      <c r="L772" s="6388"/>
      <c r="M772" s="6332"/>
      <c r="N772" t="s">
        <v>21</v>
      </c>
      <c r="AV772" s="103"/>
      <c r="AW772" s="31"/>
      <c r="AX772" s="32"/>
      <c r="AY772" s="31"/>
      <c r="AZ772" s="33"/>
      <c r="BA772" s="1967"/>
      <c r="BB772" s="1805"/>
      <c r="BC772" s="91"/>
      <c r="BD772" s="1806"/>
      <c r="BE772" s="6401"/>
      <c r="BF772" s="6402"/>
      <c r="BG772" s="1969"/>
      <c r="BH772" s="6403"/>
      <c r="BI772" s="95"/>
      <c r="BJ772" s="1326"/>
      <c r="BK772" s="6404"/>
      <c r="BL772" s="1737"/>
      <c r="BM772" s="2081"/>
      <c r="BN772" s="2238"/>
      <c r="BO772" s="1809"/>
      <c r="BR772" s="3">
        <v>1</v>
      </c>
    </row>
    <row r="773" spans="1:72" ht="15.75">
      <c r="B773" s="6236"/>
      <c r="C773" s="6358">
        <f t="shared" si="288"/>
        <v>150</v>
      </c>
      <c r="D773" s="6359" t="str" cm="1">
        <f t="array" ref="D773">IF(MOD(ROW()-50,14)=0,INDEX(D764:D777,MOD(ROW()-50,14)+1),E771)</f>
        <v/>
      </c>
      <c r="E773" s="6360" t="str">
        <f t="shared" si="289"/>
        <v/>
      </c>
      <c r="F773" s="6361" t="str">
        <f t="shared" si="290"/>
        <v/>
      </c>
      <c r="G773" s="6318"/>
      <c r="H773" s="6393" t="str">
        <f t="shared" si="291"/>
        <v/>
      </c>
      <c r="I773" s="6405"/>
      <c r="J773" s="6395" t="str">
        <f t="shared" si="292"/>
        <v/>
      </c>
      <c r="K773" s="6396" t="str">
        <f>IF(J773="","",LEFT(J773,IF(LEN(J773)&lt;=I767,LEN(J773),IFERROR(FIND("§",SUBSTITUTE(LEFT(J773,I767+1)," ","§",LEN(LEFT(J773,I767+1))-LEN(SUBSTITUTE(LEFT(J773,I767+1)," ",""))))-1,IFERROR(FIND(" ",J773,I767+1)-1,LEN(J773))))))</f>
        <v/>
      </c>
      <c r="L773" s="6388"/>
      <c r="M773" s="6332"/>
      <c r="N773" t="s">
        <v>21</v>
      </c>
      <c r="AV773" s="103"/>
      <c r="AW773" s="31"/>
      <c r="AX773" s="32"/>
      <c r="AY773" s="31"/>
      <c r="AZ773" s="33"/>
      <c r="BA773" s="1967"/>
      <c r="BB773" s="1805"/>
      <c r="BC773" s="91"/>
      <c r="BD773" s="1806"/>
      <c r="BE773" s="6401"/>
      <c r="BF773" s="6402"/>
      <c r="BG773" s="1969"/>
      <c r="BH773" s="6403"/>
      <c r="BI773" s="95"/>
      <c r="BJ773" s="1326"/>
      <c r="BK773" s="6404"/>
      <c r="BL773" s="1737"/>
      <c r="BM773" s="2081"/>
      <c r="BN773" s="2238"/>
      <c r="BO773" s="1809"/>
      <c r="BR773" s="3">
        <v>1</v>
      </c>
    </row>
    <row r="774" spans="1:72" ht="15.75">
      <c r="B774" s="6236"/>
      <c r="C774" s="6358">
        <f t="shared" si="288"/>
        <v>150</v>
      </c>
      <c r="D774" s="6359" t="str" cm="1">
        <f t="array" ref="D774">IF(MOD(ROW()-50,14)=0,INDEX(D764:D777,MOD(ROW()-50,14)+1),E772)</f>
        <v/>
      </c>
      <c r="E774" s="6360" t="str">
        <f t="shared" si="289"/>
        <v/>
      </c>
      <c r="F774" s="6361" t="str">
        <f t="shared" si="290"/>
        <v/>
      </c>
      <c r="G774" s="6318"/>
      <c r="H774" s="6393" t="str">
        <f t="shared" si="291"/>
        <v/>
      </c>
      <c r="I774" s="6405"/>
      <c r="J774" s="6395" t="str">
        <f t="shared" si="292"/>
        <v/>
      </c>
      <c r="K774" s="6396" t="str">
        <f>IF(J774="","",LEFT(J774,IF(LEN(J774)&lt;=I767,LEN(J774),IFERROR(FIND("§",SUBSTITUTE(LEFT(J774,I767+1)," ","§",LEN(LEFT(J774,I767+1))-LEN(SUBSTITUTE(LEFT(J774,I767+1)," ",""))))-1,IFERROR(FIND(" ",J774,I767+1)-1,LEN(J774))))))</f>
        <v/>
      </c>
      <c r="L774" s="6388"/>
      <c r="M774" s="6332"/>
      <c r="N774" t="s">
        <v>21</v>
      </c>
      <c r="AV774" s="103"/>
      <c r="AW774" s="31"/>
      <c r="AX774" s="32"/>
      <c r="AY774" s="31"/>
      <c r="AZ774" s="33"/>
      <c r="BA774" s="1967"/>
      <c r="BB774" s="1805"/>
      <c r="BC774" s="91"/>
      <c r="BD774" s="1806"/>
      <c r="BE774" s="6401"/>
      <c r="BF774" s="6402"/>
      <c r="BG774" s="1969"/>
      <c r="BH774" s="6403"/>
      <c r="BI774" s="95"/>
      <c r="BJ774" s="1326"/>
      <c r="BK774" s="6404"/>
      <c r="BL774" s="1737"/>
      <c r="BM774" s="2081"/>
      <c r="BN774" s="2238"/>
      <c r="BO774" s="1809"/>
      <c r="BR774" s="3">
        <v>1</v>
      </c>
    </row>
    <row r="775" spans="1:72" ht="15.75">
      <c r="B775" s="6236"/>
      <c r="C775" s="6358">
        <f t="shared" si="288"/>
        <v>150</v>
      </c>
      <c r="D775" s="6359" t="str" cm="1">
        <f t="array" ref="D775">IF(MOD(ROW()-50,14)=0,INDEX(D764:D777,MOD(ROW()-50,14)+1),E773)</f>
        <v/>
      </c>
      <c r="E775" s="6360" t="str">
        <f t="shared" si="289"/>
        <v/>
      </c>
      <c r="F775" s="6361" t="str">
        <f t="shared" si="290"/>
        <v/>
      </c>
      <c r="G775" s="6318"/>
      <c r="H775" s="6393" t="str">
        <f t="shared" si="291"/>
        <v/>
      </c>
      <c r="I775" s="6405"/>
      <c r="J775" s="6395" t="str">
        <f t="shared" si="292"/>
        <v/>
      </c>
      <c r="K775" s="6396" t="str">
        <f>IF(J775="","",LEFT(J775,IF(LEN(J775)&lt;=I767,LEN(J775),IFERROR(FIND("§",SUBSTITUTE(LEFT(J775,I767+1)," ","§",LEN(LEFT(J775,I767+1))-LEN(SUBSTITUTE(LEFT(J775,I767+1)," ",""))))-1,IFERROR(FIND(" ",J775,I767+1)-1,LEN(J775))))))</f>
        <v/>
      </c>
      <c r="L775" s="6388"/>
      <c r="M775" s="6332"/>
      <c r="N775" t="s">
        <v>21</v>
      </c>
      <c r="AV775" s="103"/>
      <c r="AW775" s="31"/>
      <c r="AX775" s="32"/>
      <c r="AY775" s="31"/>
      <c r="AZ775" s="33"/>
      <c r="BA775" s="1967"/>
      <c r="BB775" s="1805"/>
      <c r="BC775" s="91"/>
      <c r="BD775" s="1806"/>
      <c r="BE775" s="6401"/>
      <c r="BF775" s="6402"/>
      <c r="BG775" s="1969"/>
      <c r="BH775" s="6403"/>
      <c r="BI775" s="95"/>
      <c r="BJ775" s="1326"/>
      <c r="BK775" s="6404"/>
      <c r="BL775" s="1737"/>
      <c r="BM775" s="2081"/>
      <c r="BN775" s="2238"/>
      <c r="BO775" s="1809"/>
      <c r="BR775" s="3">
        <v>1</v>
      </c>
    </row>
    <row r="776" spans="1:72" ht="15.75">
      <c r="B776" s="6236"/>
      <c r="C776" s="6358">
        <f t="shared" si="288"/>
        <v>150</v>
      </c>
      <c r="D776" s="6359" t="str" cm="1">
        <f t="array" ref="D776">IF(MOD(ROW()-50,14)=0,INDEX(D764:D777,MOD(ROW()-50,14)+1),E774)</f>
        <v/>
      </c>
      <c r="E776" s="6360" t="str">
        <f t="shared" si="289"/>
        <v/>
      </c>
      <c r="F776" s="6361" t="str">
        <f t="shared" si="290"/>
        <v/>
      </c>
      <c r="G776" s="6318"/>
      <c r="H776" s="6393" t="str">
        <f t="shared" si="291"/>
        <v/>
      </c>
      <c r="I776" s="6405"/>
      <c r="J776" s="6395" t="str">
        <f t="shared" si="292"/>
        <v/>
      </c>
      <c r="K776" s="6396" t="str">
        <f>IF(J776="","",LEFT(J776,IF(LEN(J776)&lt;=I767,LEN(J776),IFERROR(FIND("§",SUBSTITUTE(LEFT(J776,I767+1)," ","§",LEN(LEFT(J776,I767+1))-LEN(SUBSTITUTE(LEFT(J776,I767+1)," ",""))))-1,IFERROR(FIND(" ",J776,I767+1)-1,LEN(J776))))))</f>
        <v/>
      </c>
      <c r="L776" s="6396"/>
      <c r="M776" s="6332"/>
      <c r="N776" t="s">
        <v>21</v>
      </c>
      <c r="AV776" s="103"/>
      <c r="AW776" s="31"/>
      <c r="AX776" s="32"/>
      <c r="AY776" s="31"/>
      <c r="AZ776" s="33"/>
      <c r="BA776" s="1967"/>
      <c r="BB776" s="1805"/>
      <c r="BC776" s="91"/>
      <c r="BD776" s="1806"/>
      <c r="BE776" s="6401"/>
      <c r="BF776" s="6402"/>
      <c r="BG776" s="1969"/>
      <c r="BH776" s="6403"/>
      <c r="BI776" s="95"/>
      <c r="BJ776" s="1326"/>
      <c r="BK776" s="6404"/>
      <c r="BL776" s="1737"/>
      <c r="BM776" s="2081"/>
      <c r="BN776" s="2238"/>
      <c r="BO776" s="1809"/>
      <c r="BR776" s="3">
        <v>1</v>
      </c>
    </row>
    <row r="777" spans="1:72">
      <c r="B777" s="6236"/>
      <c r="C777" s="6376">
        <f t="shared" si="288"/>
        <v>150</v>
      </c>
      <c r="D777" s="6414" t="str" cm="1">
        <f t="array" ref="D777">IF(MOD(ROW()-50,14)=0,INDEX(D764:D777,MOD(ROW()-50,14)+1),E775)</f>
        <v/>
      </c>
      <c r="E777" s="6377" t="str">
        <f t="shared" si="289"/>
        <v/>
      </c>
      <c r="F777" s="6378" t="str">
        <f t="shared" si="290"/>
        <v/>
      </c>
      <c r="G777" s="6319"/>
      <c r="H777" s="6409" t="str">
        <f t="shared" si="291"/>
        <v/>
      </c>
      <c r="I777" s="6410"/>
      <c r="J777" s="6411" t="str">
        <f t="shared" si="292"/>
        <v/>
      </c>
      <c r="K777" s="6412" t="str">
        <f>IF(J777="","",LEFT(J777,IF(LEN(J777)&lt;=I767,LEN(J777),IFERROR(FIND("§",SUBSTITUTE(LEFT(J777,I767+1)," ","§",LEN(LEFT(J777,I767+1))-LEN(SUBSTITUTE(LEFT(J777,I767+1)," ",""))))-1,IFERROR(FIND(" ",J777,I767+1)-1,LEN(J777))))))</f>
        <v/>
      </c>
      <c r="L777" s="6413"/>
      <c r="M777" s="6333"/>
      <c r="N777" t="s">
        <v>21</v>
      </c>
      <c r="BR777" s="3">
        <v>1</v>
      </c>
    </row>
    <row r="778" spans="1:72">
      <c r="BR778" s="1148" t="s">
        <v>793</v>
      </c>
    </row>
    <row r="779" spans="1:72">
      <c r="A779" s="3">
        <v>1</v>
      </c>
      <c r="B779" s="3">
        <v>1</v>
      </c>
      <c r="C779" s="3">
        <v>1</v>
      </c>
      <c r="D779" s="3">
        <v>1</v>
      </c>
      <c r="E779" s="3">
        <v>1</v>
      </c>
      <c r="F779" s="3">
        <v>1</v>
      </c>
      <c r="G779" s="3">
        <v>1</v>
      </c>
      <c r="H779" s="3">
        <v>1</v>
      </c>
      <c r="I779" s="3">
        <v>1</v>
      </c>
      <c r="J779" s="3">
        <v>1</v>
      </c>
      <c r="K779" s="3">
        <v>1</v>
      </c>
      <c r="L779" s="3">
        <v>1</v>
      </c>
      <c r="M779" s="3">
        <v>1</v>
      </c>
      <c r="N779" s="3">
        <v>1</v>
      </c>
      <c r="O779" s="3">
        <v>1</v>
      </c>
      <c r="P779" s="3">
        <v>1</v>
      </c>
      <c r="Q779" s="3">
        <v>1</v>
      </c>
      <c r="R779" s="3">
        <v>1</v>
      </c>
      <c r="S779" s="3">
        <v>1</v>
      </c>
      <c r="T779" s="3">
        <v>1</v>
      </c>
      <c r="U779" s="3">
        <v>1</v>
      </c>
      <c r="V779" s="3">
        <v>1</v>
      </c>
      <c r="W779" s="3">
        <v>1</v>
      </c>
      <c r="X779" s="3">
        <v>1</v>
      </c>
      <c r="Y779" s="3">
        <v>1</v>
      </c>
      <c r="Z779" s="3">
        <v>1</v>
      </c>
      <c r="AA779" s="3">
        <v>1</v>
      </c>
      <c r="AB779" s="3">
        <v>1</v>
      </c>
      <c r="AC779" s="3">
        <v>1</v>
      </c>
      <c r="AD779" s="3">
        <v>1</v>
      </c>
      <c r="AE779" s="3">
        <v>1</v>
      </c>
      <c r="AF779" s="3">
        <v>1</v>
      </c>
      <c r="AG779" s="3">
        <v>1</v>
      </c>
      <c r="AH779" s="3">
        <v>1</v>
      </c>
      <c r="AI779" s="3">
        <v>1</v>
      </c>
      <c r="AJ779" s="3">
        <v>1</v>
      </c>
      <c r="AK779" s="3">
        <v>1</v>
      </c>
      <c r="AL779" s="3">
        <v>1</v>
      </c>
      <c r="AM779" s="3">
        <v>1</v>
      </c>
      <c r="AN779" s="3">
        <v>1</v>
      </c>
      <c r="AO779" s="3">
        <v>1</v>
      </c>
      <c r="AP779" s="3">
        <v>1</v>
      </c>
      <c r="AQ779" s="3">
        <v>1</v>
      </c>
      <c r="AR779" s="3">
        <v>1</v>
      </c>
      <c r="AS779" s="3">
        <v>1</v>
      </c>
      <c r="AT779" s="3">
        <v>1</v>
      </c>
      <c r="AU779" s="3">
        <v>1</v>
      </c>
      <c r="AV779" s="3">
        <v>1</v>
      </c>
      <c r="AW779" s="3">
        <v>1</v>
      </c>
      <c r="AX779" s="3">
        <v>1</v>
      </c>
      <c r="AY779" s="3">
        <v>1</v>
      </c>
      <c r="AZ779" s="3">
        <v>1</v>
      </c>
      <c r="BA779" s="3">
        <v>1</v>
      </c>
      <c r="BB779" s="3">
        <v>1</v>
      </c>
      <c r="BC779" s="3">
        <v>1</v>
      </c>
      <c r="BD779" s="3">
        <v>1</v>
      </c>
      <c r="BE779" s="3">
        <v>1</v>
      </c>
      <c r="BF779" s="3">
        <v>1</v>
      </c>
      <c r="BG779" s="3">
        <v>1</v>
      </c>
      <c r="BH779" s="3">
        <v>1</v>
      </c>
      <c r="BI779" s="3">
        <v>1</v>
      </c>
      <c r="BJ779" s="3">
        <v>1</v>
      </c>
      <c r="BK779" s="3">
        <v>1</v>
      </c>
      <c r="BL779" s="3">
        <v>1</v>
      </c>
      <c r="BM779" s="3">
        <v>1</v>
      </c>
      <c r="BN779" s="3">
        <v>1</v>
      </c>
      <c r="BO779" s="3">
        <v>1</v>
      </c>
      <c r="BP779" s="3">
        <v>1</v>
      </c>
      <c r="BQ779" s="3">
        <v>1</v>
      </c>
      <c r="BR779" s="1" t="str">
        <f>ADDRESS(ROW(),COLUMN(),4)</f>
        <v>BR779</v>
      </c>
      <c r="BS779" s="628"/>
      <c r="BT779" s="629" t="str">
        <f>ADDRESS(ROW(),COLUMN(),4)</f>
        <v>BT779</v>
      </c>
    </row>
  </sheetData>
  <mergeCells count="30">
    <mergeCell ref="O47:O48"/>
    <mergeCell ref="P47:V48"/>
    <mergeCell ref="X47:Z47"/>
    <mergeCell ref="AB47:AD47"/>
    <mergeCell ref="BL48:BL49"/>
    <mergeCell ref="BE20:BH21"/>
    <mergeCell ref="BJ21:BK21"/>
    <mergeCell ref="BC22:BD22"/>
    <mergeCell ref="BC23:BE23"/>
    <mergeCell ref="BD25:BD26"/>
    <mergeCell ref="BE25:BE26"/>
    <mergeCell ref="BF25:BF26"/>
    <mergeCell ref="BG25:BG26"/>
    <mergeCell ref="BI25:BI26"/>
    <mergeCell ref="BJ25:BJ26"/>
    <mergeCell ref="BK25:BK26"/>
    <mergeCell ref="AQ8:AR9"/>
    <mergeCell ref="C9:O10"/>
    <mergeCell ref="AQ10:AR11"/>
    <mergeCell ref="BJ15:BK15"/>
    <mergeCell ref="BN15:BO15"/>
    <mergeCell ref="BB17:BH18"/>
    <mergeCell ref="BI17:BJ18"/>
    <mergeCell ref="BK17:BK18"/>
    <mergeCell ref="BP1:BP2"/>
    <mergeCell ref="AW5:BI6"/>
    <mergeCell ref="BJ5:BK5"/>
    <mergeCell ref="BN5:BO5"/>
    <mergeCell ref="BJ6:BK14"/>
    <mergeCell ref="BN6:BO14"/>
  </mergeCells>
  <conditionalFormatting sqref="BF27:BF41">
    <cfRule type="cellIs" dxfId="57" priority="1" operator="not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802E4-1C7C-443C-A722-F303BA12344E}">
  <dimension ref="A1:DK729"/>
  <sheetViews>
    <sheetView showZeros="0" topLeftCell="Q1" zoomScaleNormal="100" workbookViewId="0">
      <selection activeCell="AK58" sqref="AK58"/>
    </sheetView>
  </sheetViews>
  <sheetFormatPr baseColWidth="10" defaultColWidth="11.42578125" defaultRowHeight="15"/>
  <cols>
    <col min="1" max="1" width="6.85546875" style="227" customWidth="1"/>
    <col min="2" max="2" width="11.7109375" customWidth="1"/>
    <col min="3" max="3" width="9.7109375" customWidth="1"/>
    <col min="4" max="4" width="6.7109375" customWidth="1"/>
    <col min="5" max="5" width="40.7109375" customWidth="1"/>
    <col min="6" max="6" width="10.7109375" customWidth="1"/>
    <col min="7" max="7" width="9.7109375" customWidth="1"/>
    <col min="8" max="8" width="11.7109375" customWidth="1"/>
    <col min="9" max="11" width="13.7109375" customWidth="1"/>
    <col min="12" max="12" width="17.7109375" customWidth="1"/>
    <col min="13" max="13" width="7" customWidth="1"/>
    <col min="14" max="14" width="4.7109375" style="1734" customWidth="1"/>
    <col min="15" max="15" width="49.42578125" style="1734" customWidth="1"/>
    <col min="16" max="16" width="4.140625" customWidth="1"/>
    <col min="17" max="20" width="3.7109375" style="227" customWidth="1"/>
    <col min="21" max="21" width="5.7109375" style="227" customWidth="1"/>
    <col min="22" max="23" width="12.7109375" style="227" customWidth="1"/>
    <col min="24" max="24" width="4" style="227" customWidth="1"/>
    <col min="25" max="25" width="9.7109375" style="227" customWidth="1"/>
    <col min="26" max="26" width="12.7109375" style="227" customWidth="1"/>
    <col min="27" max="27" width="13.7109375" style="227" customWidth="1"/>
    <col min="28" max="28" width="6.7109375" style="227" customWidth="1"/>
    <col min="29" max="29" width="40.7109375" style="227" customWidth="1"/>
    <col min="30" max="30" width="10.7109375" style="227" customWidth="1"/>
    <col min="31" max="31" width="9.7109375" style="227" customWidth="1"/>
    <col min="32" max="32" width="11.7109375" style="881" customWidth="1"/>
    <col min="33" max="35" width="13.7109375" style="881" customWidth="1"/>
    <col min="36" max="36" width="17.7109375" style="881" customWidth="1"/>
    <col min="37" max="37" width="18.85546875" style="700" customWidth="1"/>
    <col min="38" max="38" width="10.7109375" style="227" customWidth="1"/>
    <col min="39" max="39" width="23.85546875" style="227" customWidth="1"/>
    <col min="40" max="43" width="5.7109375" style="227" customWidth="1"/>
    <col min="44" max="44" width="11.7109375" style="227" customWidth="1"/>
    <col min="45" max="45" width="7.140625" style="227" customWidth="1"/>
    <col min="46" max="46" width="15.28515625" style="227" customWidth="1"/>
    <col min="47" max="47" width="12.7109375" style="227" customWidth="1"/>
    <col min="48" max="48" width="14.140625" style="881" customWidth="1"/>
    <col min="49" max="49" width="11.7109375" style="881" customWidth="1"/>
    <col min="50" max="50" width="24.5703125" style="881" customWidth="1"/>
    <col min="51" max="51" width="10.140625" style="881" customWidth="1"/>
    <col min="52" max="52" width="9.7109375" style="881" customWidth="1"/>
    <col min="53" max="53" width="11.7109375" style="881" customWidth="1"/>
    <col min="54" max="54" width="12.85546875" style="881" customWidth="1"/>
    <col min="55" max="55" width="33" style="881" customWidth="1"/>
    <col min="56" max="56" width="12.7109375" style="881" customWidth="1"/>
    <col min="57" max="57" width="10.28515625" style="881" customWidth="1"/>
    <col min="58" max="58" width="9" style="881" customWidth="1"/>
    <col min="59" max="59" width="11.7109375" customWidth="1"/>
    <col min="60" max="61" width="17.7109375" style="227" customWidth="1"/>
    <col min="62" max="62" width="14.140625" style="227" customWidth="1"/>
    <col min="63" max="63" width="45" style="881" customWidth="1"/>
    <col min="64" max="64" width="4.5703125" style="881" customWidth="1"/>
    <col min="65" max="65" width="6.85546875" style="227" customWidth="1"/>
    <col min="66" max="66" width="15.7109375" style="633" customWidth="1"/>
    <col min="67" max="67" width="11.7109375" style="633" customWidth="1"/>
    <col min="68" max="70" width="14.7109375" style="633" customWidth="1"/>
    <col min="71" max="73" width="11.7109375" style="633" customWidth="1"/>
    <col min="74" max="74" width="20.42578125" style="633" customWidth="1"/>
    <col min="75" max="75" width="17.7109375" style="227" customWidth="1"/>
    <col min="76" max="80" width="14.7109375" customWidth="1"/>
    <col min="81" max="81" width="5.5703125" customWidth="1"/>
    <col min="82" max="82" width="11.5703125" customWidth="1"/>
    <col min="83" max="83" width="16.7109375" customWidth="1"/>
    <col min="84" max="84" width="17" bestFit="1" customWidth="1"/>
    <col min="85" max="85" width="11.7109375" customWidth="1"/>
    <col min="86" max="86" width="41" customWidth="1"/>
    <col min="87" max="87" width="11.42578125" style="227"/>
    <col min="88" max="88" width="3.7109375" style="227" customWidth="1"/>
    <col min="89" max="89" width="19.7109375" customWidth="1"/>
    <col min="90" max="90" width="18.7109375" customWidth="1"/>
    <col min="91" max="91" width="10.7109375" customWidth="1"/>
    <col min="92" max="92" width="16.7109375" customWidth="1"/>
    <col min="93" max="93" width="17" bestFit="1" customWidth="1"/>
    <col min="94" max="94" width="11.7109375" customWidth="1"/>
    <col min="95" max="95" width="46.7109375" customWidth="1"/>
    <col min="96" max="96" width="4.85546875" style="227" customWidth="1"/>
    <col min="97" max="97" width="19.7109375" customWidth="1"/>
    <col min="98" max="98" width="18.7109375" customWidth="1"/>
    <col min="99" max="99" width="10.7109375" customWidth="1"/>
    <col min="100" max="100" width="16.7109375" customWidth="1"/>
    <col min="101" max="101" width="17" bestFit="1" customWidth="1"/>
    <col min="102" max="102" width="11.7109375" customWidth="1"/>
    <col min="103" max="103" width="46.7109375" customWidth="1"/>
    <col min="104" max="104" width="4.85546875" style="227" customWidth="1"/>
    <col min="105" max="105" width="19.7109375" customWidth="1"/>
    <col min="106" max="106" width="18.7109375" customWidth="1"/>
    <col min="107" max="107" width="10.7109375" customWidth="1"/>
    <col min="108" max="108" width="16.7109375" customWidth="1"/>
    <col min="109" max="109" width="17" bestFit="1" customWidth="1"/>
    <col min="110" max="110" width="11.7109375" customWidth="1"/>
    <col min="111" max="111" width="46.7109375" customWidth="1"/>
    <col min="112" max="112" width="17.7109375" style="227" customWidth="1"/>
    <col min="113" max="113" width="7.28515625" style="227" customWidth="1"/>
    <col min="114" max="114" width="11.42578125" style="627"/>
    <col min="115" max="115" width="78.42578125" style="627" customWidth="1"/>
    <col min="116" max="16384" width="11.42578125" style="227"/>
  </cols>
  <sheetData>
    <row r="1" spans="1:115" ht="15" customHeight="1" thickTop="1">
      <c r="A1" s="1" t="str">
        <f>ADDRESS(ROW(),COLUMN(),4)</f>
        <v>A1</v>
      </c>
      <c r="B1" s="2" t="str">
        <f t="shared" ref="B1:L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278"/>
      <c r="N1" s="4" t="str">
        <f>SUBSTITUTE(ADDRESS(1,COLUMN(),4),"1","")</f>
        <v>N</v>
      </c>
      <c r="O1" s="4" t="str">
        <f>SUBSTITUTE(ADDRESS(1,COLUMN(),4),"1","")</f>
        <v>O</v>
      </c>
      <c r="P1" s="2278"/>
      <c r="Q1" s="2" t="str">
        <f t="shared" ref="Q1:AJ1" si="1">SUBSTITUTE(ADDRESS(1,COLUMN(),4),"1","")</f>
        <v>Q</v>
      </c>
      <c r="R1" s="2" t="str">
        <f t="shared" si="1"/>
        <v>R</v>
      </c>
      <c r="S1" s="2" t="str">
        <f t="shared" si="1"/>
        <v>S</v>
      </c>
      <c r="T1" s="2" t="str">
        <f t="shared" si="1"/>
        <v>T</v>
      </c>
      <c r="U1" s="2" t="str">
        <f t="shared" si="1"/>
        <v>U</v>
      </c>
      <c r="V1" s="2" t="str">
        <f t="shared" si="1"/>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2" t="str">
        <f t="shared" si="1"/>
        <v>AH</v>
      </c>
      <c r="AI1" s="2" t="str">
        <f t="shared" si="1"/>
        <v>AI</v>
      </c>
      <c r="AJ1" s="2" t="str">
        <f t="shared" si="1"/>
        <v>AJ</v>
      </c>
      <c r="AK1" s="6628" t="s">
        <v>8774</v>
      </c>
      <c r="AL1" s="2" t="str">
        <f t="shared" ref="AL1:BK1" si="2">SUBSTITUTE(ADDRESS(1,COLUMN(),4),"1","")</f>
        <v>AL</v>
      </c>
      <c r="AM1" s="2" t="str">
        <f t="shared" si="2"/>
        <v>AM</v>
      </c>
      <c r="AN1" s="2" t="str">
        <f t="shared" si="2"/>
        <v>AN</v>
      </c>
      <c r="AO1" s="2" t="str">
        <f t="shared" si="2"/>
        <v>AO</v>
      </c>
      <c r="AP1" s="2" t="str">
        <f t="shared" si="2"/>
        <v>AP</v>
      </c>
      <c r="AQ1" s="2" t="str">
        <f t="shared" si="2"/>
        <v>AQ</v>
      </c>
      <c r="AR1" s="2" t="str">
        <f t="shared" si="2"/>
        <v>AR</v>
      </c>
      <c r="AS1" s="2" t="str">
        <f t="shared" si="2"/>
        <v>AS</v>
      </c>
      <c r="AT1" s="2" t="str">
        <f t="shared" si="2"/>
        <v>AT</v>
      </c>
      <c r="AU1" s="2" t="str">
        <f t="shared" si="2"/>
        <v>AU</v>
      </c>
      <c r="AV1" s="2" t="str">
        <f t="shared" si="2"/>
        <v>AV</v>
      </c>
      <c r="AW1" s="2" t="str">
        <f t="shared" si="2"/>
        <v>AW</v>
      </c>
      <c r="AX1" s="2" t="str">
        <f t="shared" si="2"/>
        <v>AX</v>
      </c>
      <c r="AY1" s="2" t="str">
        <f t="shared" si="2"/>
        <v>AY</v>
      </c>
      <c r="AZ1" s="2" t="str">
        <f t="shared" si="2"/>
        <v>AZ</v>
      </c>
      <c r="BA1" s="2" t="str">
        <f t="shared" si="2"/>
        <v>BA</v>
      </c>
      <c r="BB1" s="2" t="str">
        <f t="shared" si="2"/>
        <v>BB</v>
      </c>
      <c r="BC1" s="2" t="str">
        <f t="shared" si="2"/>
        <v>BC</v>
      </c>
      <c r="BD1" s="2" t="str">
        <f t="shared" si="2"/>
        <v>BD</v>
      </c>
      <c r="BE1" s="2" t="str">
        <f t="shared" si="2"/>
        <v>BE</v>
      </c>
      <c r="BF1" s="2" t="str">
        <f t="shared" si="2"/>
        <v>BF</v>
      </c>
      <c r="BG1" s="2" t="str">
        <f t="shared" si="2"/>
        <v>BG</v>
      </c>
      <c r="BH1" s="2" t="str">
        <f t="shared" si="2"/>
        <v>BH</v>
      </c>
      <c r="BI1" s="2" t="str">
        <f t="shared" si="2"/>
        <v>BI</v>
      </c>
      <c r="BJ1" s="2" t="str">
        <f t="shared" si="2"/>
        <v>BJ</v>
      </c>
      <c r="BK1" s="2" t="str">
        <f t="shared" si="2"/>
        <v>BK</v>
      </c>
      <c r="BL1" s="631"/>
      <c r="BM1" s="700"/>
      <c r="BN1" s="4" t="str">
        <f>SUBSTITUTE(ADDRESS(1,COLUMN(),4),"1","")</f>
        <v>BN</v>
      </c>
      <c r="BO1" s="4" t="str">
        <f>SUBSTITUTE(ADDRESS(1,COLUMN(),4),"1","")</f>
        <v>BO</v>
      </c>
      <c r="BP1" s="4" t="str">
        <f>SUBSTITUTE(ADDRESS(1,COLUMN(),4),"1","")</f>
        <v>BP</v>
      </c>
      <c r="BQ1" s="4"/>
      <c r="BR1" s="4"/>
      <c r="BS1" s="4" t="str">
        <f>SUBSTITUTE(ADDRESS(1,COLUMN(),4),"1","")</f>
        <v>BS</v>
      </c>
      <c r="BT1" s="4" t="str">
        <f>SUBSTITUTE(ADDRESS(1,COLUMN(),4),"1","")</f>
        <v>BT</v>
      </c>
      <c r="BU1" s="4" t="str">
        <f>SUBSTITUTE(ADDRESS(1,COLUMN(),4),"1","")</f>
        <v>BU</v>
      </c>
      <c r="BV1" s="4" t="str">
        <f>SUBSTITUTE(ADDRESS(1,COLUMN(),4),"1","")</f>
        <v>BV</v>
      </c>
      <c r="BW1" s="4" t="str">
        <f>SUBSTITUTE(ADDRESS(1,COLUMN(),4),"1","")</f>
        <v>BW</v>
      </c>
      <c r="CD1" s="4" t="str">
        <f t="shared" ref="CD1:CI1" si="3">SUBSTITUTE(ADDRESS(1,COLUMN(),4),"1","")</f>
        <v>CD</v>
      </c>
      <c r="CE1" s="4" t="str">
        <f t="shared" si="3"/>
        <v>CE</v>
      </c>
      <c r="CF1" s="4" t="str">
        <f t="shared" si="3"/>
        <v>CF</v>
      </c>
      <c r="CG1" s="4" t="str">
        <f t="shared" si="3"/>
        <v>CG</v>
      </c>
      <c r="CH1" s="4" t="str">
        <f t="shared" si="3"/>
        <v>CH</v>
      </c>
      <c r="CI1" s="4" t="str">
        <f t="shared" si="3"/>
        <v>CI</v>
      </c>
      <c r="CK1" s="2" t="str">
        <f t="shared" ref="CK1:CQ1" si="4">SUBSTITUTE(ADDRESS(1,COLUMN(),4),"1","")</f>
        <v>CK</v>
      </c>
      <c r="CL1" s="2" t="str">
        <f t="shared" si="4"/>
        <v>CL</v>
      </c>
      <c r="CM1" s="2" t="str">
        <f t="shared" si="4"/>
        <v>CM</v>
      </c>
      <c r="CN1" s="2" t="str">
        <f t="shared" si="4"/>
        <v>CN</v>
      </c>
      <c r="CO1" s="2" t="str">
        <f t="shared" si="4"/>
        <v>CO</v>
      </c>
      <c r="CP1" s="2" t="str">
        <f t="shared" si="4"/>
        <v>CP</v>
      </c>
      <c r="CQ1" s="2" t="str">
        <f t="shared" si="4"/>
        <v>CQ</v>
      </c>
      <c r="CS1" s="2" t="str">
        <f t="shared" ref="CS1:CY1" si="5">SUBSTITUTE(ADDRESS(1,COLUMN(),4),"1","")</f>
        <v>CS</v>
      </c>
      <c r="CT1" s="2" t="str">
        <f t="shared" si="5"/>
        <v>CT</v>
      </c>
      <c r="CU1" s="2" t="str">
        <f t="shared" si="5"/>
        <v>CU</v>
      </c>
      <c r="CV1" s="2" t="str">
        <f t="shared" si="5"/>
        <v>CV</v>
      </c>
      <c r="CW1" s="2" t="str">
        <f t="shared" si="5"/>
        <v>CW</v>
      </c>
      <c r="CX1" s="2" t="str">
        <f t="shared" si="5"/>
        <v>CX</v>
      </c>
      <c r="CY1" s="2" t="str">
        <f t="shared" si="5"/>
        <v>CY</v>
      </c>
      <c r="DA1" s="2" t="str">
        <f t="shared" ref="DA1:DG1" si="6">SUBSTITUTE(ADDRESS(1,COLUMN(),4),"1","")</f>
        <v>DA</v>
      </c>
      <c r="DB1" s="2" t="str">
        <f t="shared" si="6"/>
        <v>DB</v>
      </c>
      <c r="DC1" s="2" t="str">
        <f t="shared" si="6"/>
        <v>DC</v>
      </c>
      <c r="DD1" s="2" t="str">
        <f t="shared" si="6"/>
        <v>DD</v>
      </c>
      <c r="DE1" s="2" t="str">
        <f t="shared" si="6"/>
        <v>DE</v>
      </c>
      <c r="DF1" s="2" t="str">
        <f t="shared" si="6"/>
        <v>DF</v>
      </c>
      <c r="DG1" s="2" t="str">
        <f t="shared" si="6"/>
        <v>DG</v>
      </c>
      <c r="DH1" s="2"/>
      <c r="DI1" s="3">
        <v>1</v>
      </c>
      <c r="DJ1" s="4" t="str">
        <f>SUBSTITUTE(ADDRESS(1,COLUMN(),4),"1","")</f>
        <v>DJ</v>
      </c>
      <c r="DK1" s="5" t="str">
        <f>SUBSTITUTE(ADDRESS(1,COLUMN(),4),"1","")</f>
        <v>DK</v>
      </c>
    </row>
    <row r="2" spans="1:115" ht="23.25" customHeight="1" thickBot="1">
      <c r="B2" s="694">
        <f t="shared" ref="B2:L2" ca="1" si="7">CELL("largeur",B2)</f>
        <v>11</v>
      </c>
      <c r="C2" s="694">
        <f t="shared" ca="1" si="7"/>
        <v>9</v>
      </c>
      <c r="D2" s="694">
        <f t="shared" ca="1" si="7"/>
        <v>6</v>
      </c>
      <c r="E2" s="694">
        <f t="shared" ca="1" si="7"/>
        <v>40</v>
      </c>
      <c r="F2" s="694">
        <f t="shared" ca="1" si="7"/>
        <v>10</v>
      </c>
      <c r="G2" s="694">
        <f t="shared" ca="1" si="7"/>
        <v>9</v>
      </c>
      <c r="H2" s="694">
        <f t="shared" ca="1" si="7"/>
        <v>11</v>
      </c>
      <c r="I2" s="694">
        <f t="shared" ca="1" si="7"/>
        <v>13</v>
      </c>
      <c r="J2" s="694">
        <f t="shared" ca="1" si="7"/>
        <v>13</v>
      </c>
      <c r="K2" s="694">
        <f t="shared" ca="1" si="7"/>
        <v>13</v>
      </c>
      <c r="L2" s="694">
        <f t="shared" ca="1" si="7"/>
        <v>17</v>
      </c>
      <c r="M2" s="2278" t="s">
        <v>8774</v>
      </c>
      <c r="N2" s="632">
        <f ca="1">CELL("largeur",N2)</f>
        <v>4</v>
      </c>
      <c r="O2" s="632">
        <f ca="1">CELL("largeur",O2)</f>
        <v>49</v>
      </c>
      <c r="P2" s="2278"/>
      <c r="Q2" s="694">
        <v>3</v>
      </c>
      <c r="R2" s="694">
        <v>3</v>
      </c>
      <c r="S2" s="694">
        <v>3</v>
      </c>
      <c r="T2" s="694">
        <v>3</v>
      </c>
      <c r="U2" s="694">
        <v>5</v>
      </c>
      <c r="V2" s="694">
        <v>12</v>
      </c>
      <c r="W2" s="694">
        <v>12</v>
      </c>
      <c r="X2" s="694">
        <v>3</v>
      </c>
      <c r="Y2" s="694">
        <v>9</v>
      </c>
      <c r="Z2" s="694">
        <v>12</v>
      </c>
      <c r="AA2" s="694">
        <v>13</v>
      </c>
      <c r="AB2" s="694">
        <v>40</v>
      </c>
      <c r="AC2" s="694">
        <v>10</v>
      </c>
      <c r="AD2" s="694">
        <v>9</v>
      </c>
      <c r="AE2" s="694">
        <v>18</v>
      </c>
      <c r="AF2" s="694">
        <v>13</v>
      </c>
      <c r="AG2" s="694">
        <v>13</v>
      </c>
      <c r="AH2" s="694">
        <v>13</v>
      </c>
      <c r="AI2" s="694">
        <v>17</v>
      </c>
      <c r="AJ2" s="694">
        <v>17</v>
      </c>
      <c r="AK2" s="6628"/>
      <c r="AL2" s="694">
        <f t="shared" ref="AL2:BK2" ca="1" si="8">CELL("largeur",AL2)</f>
        <v>10</v>
      </c>
      <c r="AM2" s="694">
        <f t="shared" ca="1" si="8"/>
        <v>23</v>
      </c>
      <c r="AN2" s="694">
        <f t="shared" ca="1" si="8"/>
        <v>5</v>
      </c>
      <c r="AO2" s="694">
        <f t="shared" ca="1" si="8"/>
        <v>5</v>
      </c>
      <c r="AP2" s="694">
        <f t="shared" ca="1" si="8"/>
        <v>5</v>
      </c>
      <c r="AQ2" s="694">
        <f t="shared" ca="1" si="8"/>
        <v>5</v>
      </c>
      <c r="AR2" s="694">
        <f t="shared" ca="1" si="8"/>
        <v>11</v>
      </c>
      <c r="AS2" s="694">
        <f t="shared" ca="1" si="8"/>
        <v>6</v>
      </c>
      <c r="AT2" s="694">
        <f t="shared" ca="1" si="8"/>
        <v>15</v>
      </c>
      <c r="AU2" s="694">
        <f t="shared" ca="1" si="8"/>
        <v>12</v>
      </c>
      <c r="AV2" s="694">
        <f t="shared" ca="1" si="8"/>
        <v>13</v>
      </c>
      <c r="AW2" s="694">
        <f t="shared" ca="1" si="8"/>
        <v>11</v>
      </c>
      <c r="AX2" s="694">
        <f t="shared" ca="1" si="8"/>
        <v>24</v>
      </c>
      <c r="AY2" s="694">
        <f t="shared" ca="1" si="8"/>
        <v>9</v>
      </c>
      <c r="AZ2" s="694">
        <f t="shared" ca="1" si="8"/>
        <v>9</v>
      </c>
      <c r="BA2" s="694">
        <f t="shared" ca="1" si="8"/>
        <v>11</v>
      </c>
      <c r="BB2" s="694">
        <f t="shared" ca="1" si="8"/>
        <v>12</v>
      </c>
      <c r="BC2" s="694">
        <f t="shared" ca="1" si="8"/>
        <v>32</v>
      </c>
      <c r="BD2" s="694">
        <f t="shared" ca="1" si="8"/>
        <v>12</v>
      </c>
      <c r="BE2" s="694">
        <f t="shared" ca="1" si="8"/>
        <v>10</v>
      </c>
      <c r="BF2" s="694">
        <f t="shared" ca="1" si="8"/>
        <v>8</v>
      </c>
      <c r="BG2" s="694">
        <f t="shared" ca="1" si="8"/>
        <v>11</v>
      </c>
      <c r="BH2" s="694">
        <f t="shared" ca="1" si="8"/>
        <v>17</v>
      </c>
      <c r="BI2" s="694">
        <f t="shared" ca="1" si="8"/>
        <v>17</v>
      </c>
      <c r="BJ2" s="694">
        <f t="shared" ca="1" si="8"/>
        <v>13</v>
      </c>
      <c r="BK2" s="694">
        <f t="shared" ca="1" si="8"/>
        <v>44</v>
      </c>
      <c r="BL2" s="631"/>
      <c r="BM2" s="700"/>
      <c r="BN2" s="632">
        <f ca="1">CELL("largeur",BN2)</f>
        <v>15</v>
      </c>
      <c r="BO2" s="632">
        <f ca="1">CELL("largeur",BO2)</f>
        <v>11</v>
      </c>
      <c r="BP2" s="632">
        <f ca="1">CELL("largeur",BP2)</f>
        <v>14</v>
      </c>
      <c r="BQ2" s="632"/>
      <c r="BR2" s="632"/>
      <c r="BS2" s="632">
        <f ca="1">CELL("largeur",BS2)</f>
        <v>11</v>
      </c>
      <c r="BT2" s="632">
        <f ca="1">CELL("largeur",BT2)</f>
        <v>11</v>
      </c>
      <c r="BU2" s="632">
        <f ca="1">CELL("largeur",BU2)</f>
        <v>11</v>
      </c>
      <c r="BV2" s="632">
        <f ca="1">CELL("largeur",BV2)</f>
        <v>20</v>
      </c>
      <c r="BW2" s="632">
        <f ca="1">CELL("largeur",BW2)</f>
        <v>17</v>
      </c>
      <c r="CD2" s="632">
        <f t="shared" ref="CD2:CI2" ca="1" si="9">CELL("largeur",CD2)</f>
        <v>11</v>
      </c>
      <c r="CE2" s="632">
        <f t="shared" ca="1" si="9"/>
        <v>16</v>
      </c>
      <c r="CF2" s="632">
        <f t="shared" ca="1" si="9"/>
        <v>16</v>
      </c>
      <c r="CG2" s="632">
        <f t="shared" ca="1" si="9"/>
        <v>11</v>
      </c>
      <c r="CH2" s="632">
        <f t="shared" ca="1" si="9"/>
        <v>40</v>
      </c>
      <c r="CI2" s="632">
        <f t="shared" ca="1" si="9"/>
        <v>11</v>
      </c>
      <c r="CK2" s="694">
        <f t="shared" ref="CK2:CQ2" ca="1" si="10">CELL("largeur",CK2)</f>
        <v>19</v>
      </c>
      <c r="CL2" s="694">
        <f t="shared" ca="1" si="10"/>
        <v>18</v>
      </c>
      <c r="CM2" s="694">
        <f t="shared" ca="1" si="10"/>
        <v>10</v>
      </c>
      <c r="CN2" s="694">
        <f t="shared" ca="1" si="10"/>
        <v>16</v>
      </c>
      <c r="CO2" s="694">
        <f t="shared" ca="1" si="10"/>
        <v>16</v>
      </c>
      <c r="CP2" s="694">
        <f t="shared" ca="1" si="10"/>
        <v>11</v>
      </c>
      <c r="CQ2" s="694">
        <f t="shared" ca="1" si="10"/>
        <v>46</v>
      </c>
      <c r="CS2" s="694">
        <f t="shared" ref="CS2:CY2" ca="1" si="11">CELL("largeur",CS2)</f>
        <v>19</v>
      </c>
      <c r="CT2" s="694">
        <f t="shared" ca="1" si="11"/>
        <v>18</v>
      </c>
      <c r="CU2" s="694">
        <f t="shared" ca="1" si="11"/>
        <v>10</v>
      </c>
      <c r="CV2" s="694">
        <f t="shared" ca="1" si="11"/>
        <v>16</v>
      </c>
      <c r="CW2" s="694">
        <f t="shared" ca="1" si="11"/>
        <v>16</v>
      </c>
      <c r="CX2" s="694">
        <f t="shared" ca="1" si="11"/>
        <v>11</v>
      </c>
      <c r="CY2" s="694">
        <f t="shared" ca="1" si="11"/>
        <v>46</v>
      </c>
      <c r="DA2" s="694">
        <f t="shared" ref="DA2:DG2" ca="1" si="12">CELL("largeur",DA2)</f>
        <v>19</v>
      </c>
      <c r="DB2" s="694">
        <f t="shared" ca="1" si="12"/>
        <v>18</v>
      </c>
      <c r="DC2" s="694">
        <f t="shared" ca="1" si="12"/>
        <v>10</v>
      </c>
      <c r="DD2" s="694">
        <f t="shared" ca="1" si="12"/>
        <v>16</v>
      </c>
      <c r="DE2" s="694">
        <f t="shared" ca="1" si="12"/>
        <v>16</v>
      </c>
      <c r="DF2" s="694">
        <f t="shared" ca="1" si="12"/>
        <v>11</v>
      </c>
      <c r="DG2" s="694">
        <f t="shared" ca="1" si="12"/>
        <v>46</v>
      </c>
      <c r="DH2" s="2313" t="s">
        <v>8774</v>
      </c>
      <c r="DI2" s="3">
        <v>1</v>
      </c>
      <c r="DJ2" s="7" t="s">
        <v>3</v>
      </c>
      <c r="DK2" s="8"/>
    </row>
    <row r="3" spans="1:115" ht="23.25" customHeight="1" thickBot="1">
      <c r="B3" s="2069">
        <v>11</v>
      </c>
      <c r="C3" s="2069">
        <v>9</v>
      </c>
      <c r="D3" s="2069">
        <v>6</v>
      </c>
      <c r="E3" s="2069">
        <v>40</v>
      </c>
      <c r="F3" s="2069">
        <v>10</v>
      </c>
      <c r="G3" s="2069">
        <v>9</v>
      </c>
      <c r="H3" s="2069">
        <v>11</v>
      </c>
      <c r="I3" s="2069">
        <v>13</v>
      </c>
      <c r="J3" s="2069">
        <v>13</v>
      </c>
      <c r="K3" s="2069">
        <v>13</v>
      </c>
      <c r="L3" s="2069">
        <v>17</v>
      </c>
      <c r="M3" s="2277" t="s">
        <v>8779</v>
      </c>
      <c r="N3" s="1583"/>
      <c r="O3" s="1583"/>
      <c r="P3" s="2277"/>
      <c r="Q3" s="2069">
        <v>3</v>
      </c>
      <c r="R3" s="2069">
        <v>3</v>
      </c>
      <c r="S3" s="2069">
        <v>3</v>
      </c>
      <c r="T3" s="2069">
        <v>3</v>
      </c>
      <c r="U3" s="2069">
        <v>5</v>
      </c>
      <c r="V3" s="2069">
        <v>12</v>
      </c>
      <c r="W3" s="2069">
        <v>12</v>
      </c>
      <c r="X3" s="2069">
        <v>3</v>
      </c>
      <c r="Y3" s="2069">
        <v>9</v>
      </c>
      <c r="Z3" s="2069">
        <v>12</v>
      </c>
      <c r="AA3" s="2069">
        <v>9</v>
      </c>
      <c r="AB3" s="2069">
        <v>6</v>
      </c>
      <c r="AC3" s="2069">
        <v>40</v>
      </c>
      <c r="AD3" s="2069">
        <v>10</v>
      </c>
      <c r="AE3" s="2069">
        <v>9</v>
      </c>
      <c r="AF3" s="2069">
        <v>11</v>
      </c>
      <c r="AG3" s="2069">
        <v>13</v>
      </c>
      <c r="AH3" s="2069">
        <v>13</v>
      </c>
      <c r="AI3" s="2069">
        <v>13</v>
      </c>
      <c r="AJ3" s="2069">
        <v>17</v>
      </c>
      <c r="AK3" s="2066" t="s">
        <v>8779</v>
      </c>
      <c r="AL3" s="2069">
        <v>10</v>
      </c>
      <c r="AM3" s="2069">
        <v>21</v>
      </c>
      <c r="AN3" s="2069">
        <v>5</v>
      </c>
      <c r="AO3" s="2069">
        <v>5</v>
      </c>
      <c r="AP3" s="2069">
        <v>5</v>
      </c>
      <c r="AQ3" s="2069">
        <v>5</v>
      </c>
      <c r="AR3" s="2069">
        <v>11</v>
      </c>
      <c r="AS3" s="2069">
        <v>6</v>
      </c>
      <c r="AT3" s="2069">
        <v>15</v>
      </c>
      <c r="AU3" s="2069">
        <v>12</v>
      </c>
      <c r="AV3" s="2069">
        <v>13</v>
      </c>
      <c r="AW3" s="2069">
        <v>11</v>
      </c>
      <c r="AX3" s="2069">
        <v>24</v>
      </c>
      <c r="AY3" s="2069">
        <v>9</v>
      </c>
      <c r="AZ3" s="2069">
        <v>9</v>
      </c>
      <c r="BA3" s="2069">
        <v>11</v>
      </c>
      <c r="BB3" s="2069">
        <v>12</v>
      </c>
      <c r="BC3" s="2069">
        <v>32</v>
      </c>
      <c r="BD3" s="2069">
        <v>12</v>
      </c>
      <c r="BE3" s="2069">
        <v>10</v>
      </c>
      <c r="BF3" s="2069">
        <v>8</v>
      </c>
      <c r="BG3" s="2069">
        <v>11</v>
      </c>
      <c r="BH3" s="2069">
        <v>17</v>
      </c>
      <c r="BI3" s="2069">
        <v>17</v>
      </c>
      <c r="BJ3" s="2069">
        <v>13</v>
      </c>
      <c r="BK3" s="2069">
        <v>44</v>
      </c>
      <c r="BL3" s="2069"/>
      <c r="BM3" s="700"/>
      <c r="BN3" s="2069">
        <v>15</v>
      </c>
      <c r="BO3" s="2069">
        <v>11</v>
      </c>
      <c r="BP3" s="2069">
        <v>14</v>
      </c>
      <c r="BQ3" s="2069"/>
      <c r="BR3" s="2069"/>
      <c r="BS3" s="2069">
        <v>11</v>
      </c>
      <c r="BT3" s="2069">
        <v>11</v>
      </c>
      <c r="BU3" s="2069">
        <v>11</v>
      </c>
      <c r="BV3" s="2069">
        <v>20</v>
      </c>
      <c r="BW3" s="2069">
        <v>17</v>
      </c>
      <c r="CD3" s="2069">
        <v>11</v>
      </c>
      <c r="CE3" s="2069">
        <v>16</v>
      </c>
      <c r="CF3" s="2069">
        <v>16</v>
      </c>
      <c r="CG3" s="2069">
        <v>11</v>
      </c>
      <c r="CH3" s="2069">
        <v>40</v>
      </c>
      <c r="CI3" s="2069">
        <v>11</v>
      </c>
      <c r="CJ3"/>
      <c r="CK3" s="695">
        <v>19</v>
      </c>
      <c r="CL3" s="695">
        <v>18</v>
      </c>
      <c r="CM3" s="695">
        <v>10</v>
      </c>
      <c r="CN3" s="695">
        <v>16</v>
      </c>
      <c r="CO3" s="695">
        <v>16</v>
      </c>
      <c r="CP3" s="695">
        <v>11</v>
      </c>
      <c r="CQ3" s="695">
        <v>46</v>
      </c>
      <c r="CS3" s="695">
        <v>19</v>
      </c>
      <c r="CT3" s="695">
        <v>18</v>
      </c>
      <c r="CU3" s="695">
        <v>10</v>
      </c>
      <c r="CV3" s="695">
        <v>16</v>
      </c>
      <c r="CW3" s="695">
        <v>16</v>
      </c>
      <c r="CX3" s="695">
        <v>11</v>
      </c>
      <c r="CY3" s="695">
        <v>46</v>
      </c>
      <c r="DA3" s="695">
        <v>19</v>
      </c>
      <c r="DB3" s="695">
        <v>18</v>
      </c>
      <c r="DC3" s="695">
        <v>10</v>
      </c>
      <c r="DD3" s="695">
        <v>16</v>
      </c>
      <c r="DE3" s="695">
        <v>16</v>
      </c>
      <c r="DF3" s="695">
        <v>11</v>
      </c>
      <c r="DG3" s="695">
        <v>46</v>
      </c>
      <c r="DH3" s="2312" t="s">
        <v>8779</v>
      </c>
      <c r="DI3" s="3">
        <v>1</v>
      </c>
      <c r="DJ3" s="10">
        <f ca="1">COUNTA(A1:DI552) + COUNTBLANK(A1:DI552)</f>
        <v>69993</v>
      </c>
      <c r="DK3" s="11" t="str">
        <f>"cellules entre -cells -celdas  "&amp;" " &amp;A1&amp;" et  "&amp;DI552</f>
        <v>cellules entre -cells -celdas   A1 et  DI552</v>
      </c>
    </row>
    <row r="4" spans="1:115" s="700" customFormat="1" ht="23.25" customHeight="1">
      <c r="A4" s="701" t="s">
        <v>21</v>
      </c>
      <c r="B4" s="9"/>
      <c r="C4" s="9"/>
      <c r="D4" s="9"/>
      <c r="E4" s="9"/>
      <c r="F4" s="9"/>
      <c r="G4" s="2275"/>
      <c r="H4" s="2275"/>
      <c r="I4" s="2275"/>
      <c r="J4" s="2275"/>
      <c r="K4" s="2275"/>
      <c r="L4" s="2275"/>
      <c r="M4" s="2275"/>
      <c r="N4" s="1584"/>
      <c r="O4" s="1584"/>
      <c r="P4" s="2275"/>
      <c r="Q4" s="2275"/>
      <c r="R4" s="1322" t="s">
        <v>8093</v>
      </c>
      <c r="S4" s="703" t="s">
        <v>8092</v>
      </c>
      <c r="T4" s="703"/>
      <c r="U4" s="703"/>
      <c r="V4" s="703"/>
      <c r="W4" s="702"/>
      <c r="X4" s="702"/>
      <c r="Y4" s="702"/>
      <c r="Z4" s="702"/>
      <c r="AA4" s="702" t="s">
        <v>829</v>
      </c>
      <c r="AB4" s="2275"/>
      <c r="AC4" s="2275"/>
      <c r="AD4" s="2275"/>
      <c r="AE4" s="2275"/>
      <c r="AF4" s="2275"/>
      <c r="AG4" s="2275"/>
      <c r="AH4" s="2275"/>
      <c r="AI4" s="2275"/>
      <c r="AJ4" s="2275"/>
      <c r="AK4" s="631"/>
      <c r="AN4" s="5500" t="s">
        <v>13814</v>
      </c>
      <c r="AO4" s="5500"/>
      <c r="AP4" s="5500"/>
      <c r="AQ4" s="5500"/>
      <c r="AR4" s="5500"/>
      <c r="AS4" s="5500"/>
      <c r="AT4" s="5500"/>
      <c r="AU4" s="5500"/>
      <c r="AV4" s="702" t="s">
        <v>829</v>
      </c>
      <c r="AW4" s="704" t="s">
        <v>1490</v>
      </c>
      <c r="AX4" s="631"/>
      <c r="AY4" s="631"/>
      <c r="AZ4" s="631"/>
      <c r="BA4" s="631"/>
      <c r="BB4" s="631"/>
      <c r="BC4" s="631"/>
      <c r="BD4" s="631"/>
      <c r="BE4" s="631"/>
      <c r="BF4" s="6908" t="s">
        <v>3110</v>
      </c>
      <c r="BG4" s="6908"/>
      <c r="BH4" s="6908"/>
      <c r="BI4" s="6908"/>
      <c r="BJ4" s="6908"/>
      <c r="BK4" s="6908"/>
      <c r="BL4" s="631"/>
      <c r="BN4"/>
      <c r="BS4" s="633"/>
      <c r="BT4" s="633"/>
      <c r="BU4" s="633"/>
      <c r="BV4" s="633"/>
      <c r="BW4" s="227"/>
      <c r="BX4"/>
      <c r="BY4"/>
      <c r="BZ4"/>
      <c r="CA4"/>
      <c r="CB4"/>
      <c r="CC4"/>
      <c r="CD4" s="227"/>
      <c r="CE4" s="227"/>
      <c r="CF4" s="227"/>
      <c r="CG4" s="227"/>
      <c r="CH4" s="227"/>
      <c r="CI4" s="227"/>
      <c r="CJ4" s="227"/>
      <c r="CK4"/>
      <c r="CL4"/>
      <c r="CM4"/>
      <c r="CN4"/>
      <c r="CO4"/>
      <c r="CP4"/>
      <c r="CQ4"/>
      <c r="CR4"/>
      <c r="CT4"/>
      <c r="CU4"/>
      <c r="CV4"/>
      <c r="CW4"/>
      <c r="CX4"/>
      <c r="CY4"/>
      <c r="CZ4" s="227"/>
      <c r="DA4"/>
      <c r="DB4"/>
      <c r="DC4"/>
      <c r="DD4" s="705" t="s">
        <v>1491</v>
      </c>
      <c r="DE4" s="706" t="str">
        <f>DI552</f>
        <v>DI552</v>
      </c>
      <c r="DF4"/>
      <c r="DG4" s="707" t="str">
        <f ca="1">"Page "&amp;_xlfn.SHEET()&amp;" sur "&amp;_xlfn.SHEETS()</f>
        <v>Page 14 sur 27</v>
      </c>
      <c r="DH4" s="227"/>
      <c r="DI4" s="3">
        <v>1</v>
      </c>
      <c r="DJ4" s="10">
        <f ca="1">COUNTA(A1:DI552)</f>
        <v>22196</v>
      </c>
      <c r="DK4" s="11" t="s">
        <v>9</v>
      </c>
    </row>
    <row r="5" spans="1:115" ht="24.75" customHeight="1" thickBot="1">
      <c r="A5" s="701" t="s">
        <v>21</v>
      </c>
      <c r="B5" s="2180" t="s">
        <v>1489</v>
      </c>
      <c r="C5" s="2180"/>
      <c r="D5" s="2180"/>
      <c r="E5" s="2180"/>
      <c r="F5" s="2180"/>
      <c r="G5" s="9"/>
      <c r="H5" s="9"/>
      <c r="I5" s="9"/>
      <c r="J5" s="9"/>
      <c r="K5" s="9"/>
      <c r="L5" s="9"/>
      <c r="M5" s="9"/>
      <c r="N5" s="1584"/>
      <c r="O5" s="1584"/>
      <c r="P5" s="9"/>
      <c r="Q5" s="709"/>
      <c r="R5" s="709"/>
      <c r="S5" s="709"/>
      <c r="T5" s="709"/>
      <c r="U5" s="709"/>
      <c r="V5" s="709"/>
      <c r="W5" s="709"/>
      <c r="X5" s="709"/>
      <c r="Y5" s="2301" t="s">
        <v>8971</v>
      </c>
      <c r="Z5" s="709"/>
      <c r="AA5" s="709"/>
      <c r="AB5" s="709"/>
      <c r="AC5" s="709"/>
      <c r="AD5" s="709"/>
      <c r="AE5" s="709"/>
      <c r="AF5" s="709"/>
      <c r="AG5" s="709"/>
      <c r="AH5" s="709"/>
      <c r="AI5" s="709"/>
      <c r="AJ5" s="709"/>
      <c r="AK5" s="406"/>
      <c r="AL5" s="710"/>
      <c r="AM5" s="710"/>
      <c r="AN5" s="710"/>
      <c r="AO5" s="710"/>
      <c r="AP5" s="710"/>
      <c r="AQ5" s="710"/>
      <c r="AR5" s="711"/>
      <c r="AS5" s="711"/>
      <c r="AT5" s="711"/>
      <c r="AV5" s="712" t="s">
        <v>8091</v>
      </c>
      <c r="AW5" s="711" t="s">
        <v>1493</v>
      </c>
      <c r="AX5" s="406"/>
      <c r="AY5" s="406"/>
      <c r="AZ5" s="406"/>
      <c r="BA5" s="406"/>
      <c r="BB5" s="406"/>
      <c r="BC5" s="406"/>
      <c r="BD5" s="406"/>
      <c r="BE5" s="406"/>
      <c r="BF5" s="6909"/>
      <c r="BG5" s="6909"/>
      <c r="BH5" s="6909"/>
      <c r="BI5" s="6909"/>
      <c r="BJ5" s="6909"/>
      <c r="BK5" s="6909"/>
      <c r="BL5" s="406"/>
      <c r="BN5"/>
      <c r="BO5" s="227"/>
      <c r="BW5" s="633"/>
      <c r="BX5" s="633"/>
      <c r="CD5" s="227"/>
      <c r="CE5" s="227"/>
      <c r="CF5" s="227"/>
      <c r="CG5" s="713" t="s">
        <v>1494</v>
      </c>
      <c r="CH5" s="227"/>
      <c r="CR5" s="700"/>
      <c r="CZ5" s="700"/>
      <c r="DD5" s="714" t="s">
        <v>1495</v>
      </c>
      <c r="DH5" s="700"/>
      <c r="DI5" s="3">
        <v>1</v>
      </c>
      <c r="DJ5" s="10">
        <f ca="1">COUNTBLANK(A1:DI552)</f>
        <v>47797</v>
      </c>
      <c r="DK5" s="11" t="s">
        <v>12</v>
      </c>
    </row>
    <row r="6" spans="1:115" ht="21" customHeight="1">
      <c r="A6" s="701" t="s">
        <v>21</v>
      </c>
      <c r="B6" s="2221" t="s">
        <v>1492</v>
      </c>
      <c r="C6" s="14"/>
      <c r="D6" s="14"/>
      <c r="E6" s="14"/>
      <c r="F6" s="14"/>
      <c r="G6" s="9"/>
      <c r="H6" s="9"/>
      <c r="I6" s="9"/>
      <c r="J6" s="9"/>
      <c r="K6" s="9"/>
      <c r="L6" s="9"/>
      <c r="M6" s="9"/>
      <c r="N6" s="1584"/>
      <c r="O6" s="1584"/>
      <c r="P6" s="9"/>
      <c r="Q6" s="15" t="s">
        <v>10</v>
      </c>
      <c r="R6" s="2292" t="s">
        <v>11</v>
      </c>
      <c r="S6" s="2293"/>
      <c r="T6" s="2293"/>
      <c r="U6" s="2293"/>
      <c r="V6" s="2294"/>
      <c r="W6" s="2294"/>
      <c r="X6" s="2294"/>
      <c r="Y6" s="2294"/>
      <c r="Z6" s="2294"/>
      <c r="AA6" s="2294"/>
      <c r="AB6" s="2294"/>
      <c r="AC6" s="2294"/>
      <c r="AD6" s="2294"/>
      <c r="AE6" s="2294"/>
      <c r="AF6" s="2294"/>
      <c r="AG6" s="2294"/>
      <c r="AH6" s="2294"/>
      <c r="AI6" s="2295"/>
      <c r="AJ6" s="1229" t="s">
        <v>3109</v>
      </c>
      <c r="AK6" s="6120" t="str">
        <f t="shared" ref="AK6:AK23" si="13">IF(AND(IFERROR(SEARCH("►",AB6),0)&gt;0,ISNUMBER(IFERROR(VALUE(TRIM(SUBSTITUTE(AB6,"►",""))),NA())),AC6&lt;&gt;""),"A","►")</f>
        <v>►</v>
      </c>
      <c r="AL6" s="715" t="s">
        <v>10</v>
      </c>
      <c r="AM6" s="1321" t="s">
        <v>1496</v>
      </c>
      <c r="AN6" s="1321"/>
      <c r="AO6" s="1321"/>
      <c r="AP6" s="1321"/>
      <c r="AQ6" s="6910" t="s">
        <v>1497</v>
      </c>
      <c r="AR6" s="6910"/>
      <c r="AS6" s="6912" t="s">
        <v>13812</v>
      </c>
      <c r="AT6" s="6912"/>
      <c r="AU6" s="6912"/>
      <c r="AV6" s="6912"/>
      <c r="AW6" s="6912"/>
      <c r="AX6" s="6912"/>
      <c r="AY6" s="6912"/>
      <c r="AZ6" s="6912"/>
      <c r="BA6" s="6912"/>
      <c r="BB6" s="6912"/>
      <c r="BC6" s="6912"/>
      <c r="BD6" s="6912"/>
      <c r="BE6" s="6912"/>
      <c r="BF6" s="6913"/>
      <c r="BG6" s="6913"/>
      <c r="BH6" s="6656" t="s">
        <v>1349</v>
      </c>
      <c r="BI6" s="6656"/>
      <c r="BJ6" s="6914" t="str">
        <f>LEFT(AS6,1)</f>
        <v>M</v>
      </c>
      <c r="BK6" s="6915">
        <v>8</v>
      </c>
      <c r="BL6" s="227"/>
      <c r="BN6"/>
      <c r="BO6" s="227"/>
      <c r="BV6" s="227"/>
      <c r="CD6" s="715" t="str">
        <f t="shared" ref="CD6" si="14">AL6</f>
        <v>A</v>
      </c>
      <c r="CE6" s="716" t="s">
        <v>1496</v>
      </c>
      <c r="CF6" s="717"/>
      <c r="CG6" s="717">
        <f>BK7</f>
        <v>0</v>
      </c>
      <c r="CH6" s="718"/>
      <c r="CI6" s="718"/>
      <c r="CJ6" s="719"/>
      <c r="CK6" s="6562" t="s">
        <v>1498</v>
      </c>
      <c r="CL6" s="6563"/>
      <c r="CM6" s="6563"/>
      <c r="CN6" s="6563"/>
      <c r="CO6" s="6563"/>
      <c r="CP6" s="6563"/>
      <c r="CQ6" s="6564"/>
      <c r="CS6" s="6562" t="s">
        <v>1499</v>
      </c>
      <c r="CT6" s="6563"/>
      <c r="CU6" s="6563"/>
      <c r="CV6" s="6563"/>
      <c r="CW6" s="6563"/>
      <c r="CX6" s="6563"/>
      <c r="CY6" s="6564"/>
      <c r="DA6" s="6562" t="s">
        <v>1500</v>
      </c>
      <c r="DB6" s="6563"/>
      <c r="DC6" s="6563"/>
      <c r="DD6" s="6563"/>
      <c r="DE6" s="6563"/>
      <c r="DF6" s="6563"/>
      <c r="DG6" s="6564"/>
      <c r="DI6" s="3">
        <v>1</v>
      </c>
      <c r="DJ6" s="10">
        <f>SUM(A552:DI552)+2</f>
        <v>112</v>
      </c>
      <c r="DK6" s="11" t="s">
        <v>14</v>
      </c>
    </row>
    <row r="7" spans="1:115" ht="21" customHeight="1" thickBot="1">
      <c r="A7" s="701" t="s">
        <v>21</v>
      </c>
      <c r="B7" s="2227"/>
      <c r="C7" s="2228"/>
      <c r="D7" s="2227"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7" s="2228"/>
      <c r="F7" s="2229"/>
      <c r="G7" s="9"/>
      <c r="H7" s="9"/>
      <c r="I7" s="9"/>
      <c r="J7" s="9"/>
      <c r="K7" s="9"/>
      <c r="L7" s="9"/>
      <c r="M7" s="9"/>
      <c r="N7" s="1584"/>
      <c r="O7" s="1584"/>
      <c r="P7" s="9"/>
      <c r="Q7" s="15" t="s">
        <v>10</v>
      </c>
      <c r="R7" s="16" t="s">
        <v>13</v>
      </c>
      <c r="S7" s="17"/>
      <c r="T7" s="17"/>
      <c r="U7" s="17"/>
      <c r="V7" s="14"/>
      <c r="W7" s="14"/>
      <c r="X7" s="14"/>
      <c r="Y7" s="14"/>
      <c r="Z7" s="14"/>
      <c r="AA7" s="14"/>
      <c r="AB7" s="14"/>
      <c r="AC7" s="14"/>
      <c r="AD7" s="14"/>
      <c r="AE7" s="14"/>
      <c r="AF7" s="14"/>
      <c r="AG7" s="14"/>
      <c r="AH7" s="14"/>
      <c r="AI7" s="14"/>
      <c r="AJ7" s="1228" t="s">
        <v>3108</v>
      </c>
      <c r="AK7" s="6120" t="str">
        <f t="shared" si="13"/>
        <v>►</v>
      </c>
      <c r="AL7" s="720" t="s">
        <v>10</v>
      </c>
      <c r="AM7" s="1320" t="s">
        <v>1501</v>
      </c>
      <c r="AN7" s="1320"/>
      <c r="AO7" s="1320"/>
      <c r="AP7" s="1320"/>
      <c r="AQ7" s="6911"/>
      <c r="AR7" s="6911"/>
      <c r="AS7" s="6913"/>
      <c r="AT7" s="6913"/>
      <c r="AU7" s="6913"/>
      <c r="AV7" s="6913"/>
      <c r="AW7" s="6913"/>
      <c r="AX7" s="6913"/>
      <c r="AY7" s="6913"/>
      <c r="AZ7" s="6913"/>
      <c r="BA7" s="6913"/>
      <c r="BB7" s="6913"/>
      <c r="BC7" s="6913"/>
      <c r="BD7" s="6913"/>
      <c r="BE7" s="6913"/>
      <c r="BF7" s="6913"/>
      <c r="BG7" s="6913"/>
      <c r="BH7" s="6656"/>
      <c r="BI7" s="6656"/>
      <c r="BJ7" s="6914"/>
      <c r="BK7" s="6915"/>
      <c r="BL7" s="227"/>
      <c r="BN7"/>
      <c r="BO7" s="227"/>
      <c r="BP7" s="227"/>
      <c r="BQ7" s="227"/>
      <c r="BR7" s="227"/>
      <c r="BS7" s="227"/>
      <c r="BT7" s="227"/>
      <c r="BU7" s="227"/>
      <c r="BV7" s="227"/>
      <c r="BX7" s="227"/>
      <c r="BY7" s="227"/>
      <c r="BZ7" s="227"/>
      <c r="CA7" s="227"/>
      <c r="CB7" s="227"/>
      <c r="CC7" s="227"/>
      <c r="CD7" s="720" t="str">
        <f t="shared" ref="CD7:CD70" si="15">AL7</f>
        <v>A</v>
      </c>
      <c r="CE7" s="6929" t="s">
        <v>1502</v>
      </c>
      <c r="CF7" s="6929"/>
      <c r="CG7" s="6929"/>
      <c r="CH7" s="6929"/>
      <c r="CI7" s="6929"/>
      <c r="CJ7" s="719"/>
      <c r="CK7" s="6565"/>
      <c r="CL7" s="6566"/>
      <c r="CM7" s="6566"/>
      <c r="CN7" s="6566"/>
      <c r="CO7" s="6566"/>
      <c r="CP7" s="6566"/>
      <c r="CQ7" s="6567"/>
      <c r="CS7" s="6565"/>
      <c r="CT7" s="6566"/>
      <c r="CU7" s="6566"/>
      <c r="CV7" s="6566"/>
      <c r="CW7" s="6566"/>
      <c r="CX7" s="6566"/>
      <c r="CY7" s="6567"/>
      <c r="DA7" s="6565"/>
      <c r="DB7" s="6566"/>
      <c r="DC7" s="6566"/>
      <c r="DD7" s="6566"/>
      <c r="DE7" s="6566"/>
      <c r="DF7" s="6566"/>
      <c r="DG7" s="6567"/>
      <c r="DI7" s="3">
        <v>1</v>
      </c>
      <c r="DJ7" s="10">
        <f>SUM(A552:DI552)+1</f>
        <v>111</v>
      </c>
      <c r="DK7" s="11" t="s">
        <v>17</v>
      </c>
    </row>
    <row r="8" spans="1:115" ht="21" customHeight="1" thickBot="1">
      <c r="A8" s="701" t="s">
        <v>21</v>
      </c>
      <c r="B8" s="6923" t="s">
        <v>8952</v>
      </c>
      <c r="C8" s="6924"/>
      <c r="D8" s="6924"/>
      <c r="E8" s="6924"/>
      <c r="F8" s="6924"/>
      <c r="G8" s="6924"/>
      <c r="H8" s="6924"/>
      <c r="I8" s="6924"/>
      <c r="J8" s="6924"/>
      <c r="K8" s="6924"/>
      <c r="L8" s="6925"/>
      <c r="M8" s="9"/>
      <c r="N8" s="1584"/>
      <c r="O8" s="1584"/>
      <c r="P8" s="9"/>
      <c r="Q8" s="15" t="s">
        <v>10</v>
      </c>
      <c r="R8" s="631" t="s">
        <v>1503</v>
      </c>
      <c r="S8" s="2067"/>
      <c r="T8" s="2067"/>
      <c r="U8" s="2067"/>
      <c r="V8" s="2067"/>
      <c r="W8" s="2067"/>
      <c r="X8" s="2067"/>
      <c r="Y8" s="2067"/>
      <c r="Z8" s="2067"/>
      <c r="AA8" s="2067"/>
      <c r="AB8" s="2067"/>
      <c r="AC8" s="2067"/>
      <c r="AD8" s="2067"/>
      <c r="AE8" s="2067"/>
      <c r="AF8" s="2067"/>
      <c r="AG8" s="2067"/>
      <c r="AH8" s="2067"/>
      <c r="AI8" s="2067"/>
      <c r="AJ8" s="2062" t="str" cm="1">
        <f t="array" ref="AJ8">IF(COUNTIF(Q2:AJ2,"&lt;0.5")=0,"Aucune colonne masquée ",COUNTIF(Q2:AJ2,"&lt;0.5") &amp; " " &amp; IF(COUNTIF(Q2:AJ2,"&lt;0.5")&gt;1,"colonnes masquées","colonne masquée") &amp; " " &amp; _xlfn.TEXTJOIN(" ", TRUE, IF(Q2:AJ2&lt;0.5,Q1:AJ2,"")))&amp;" "</f>
        <v xml:space="preserve">Aucune colonne masquée  </v>
      </c>
      <c r="AK8" s="6120" t="str">
        <f t="shared" si="13"/>
        <v>►</v>
      </c>
      <c r="AL8" s="720" t="s">
        <v>10</v>
      </c>
      <c r="AM8" s="6930" t="s">
        <v>1505</v>
      </c>
      <c r="AN8" s="6930"/>
      <c r="AO8" s="6930"/>
      <c r="AP8" s="6930"/>
      <c r="AQ8" s="6930"/>
      <c r="AR8" s="6931" t="s">
        <v>1504</v>
      </c>
      <c r="AS8" s="6932" t="s">
        <v>13813</v>
      </c>
      <c r="AT8" s="6932"/>
      <c r="AU8" s="6932"/>
      <c r="AV8" s="6932"/>
      <c r="AW8" s="6932"/>
      <c r="AX8" s="6932"/>
      <c r="AY8" s="6932"/>
      <c r="AZ8" s="6932"/>
      <c r="BA8" s="6932"/>
      <c r="BB8" s="6932"/>
      <c r="BC8" s="6932"/>
      <c r="BD8" s="6932"/>
      <c r="BE8" s="6932"/>
      <c r="BF8" s="6932"/>
      <c r="BG8" s="6932"/>
      <c r="BH8" s="6933" t="s">
        <v>1506</v>
      </c>
      <c r="BI8" s="6933"/>
      <c r="BJ8" s="6934" t="s">
        <v>1507</v>
      </c>
      <c r="BK8" s="6915"/>
      <c r="BL8" s="227"/>
      <c r="BN8"/>
      <c r="BO8" s="227"/>
      <c r="BP8" s="1808" t="s">
        <v>14280</v>
      </c>
      <c r="BQ8" s="227"/>
      <c r="BR8" s="227"/>
      <c r="BS8" s="227"/>
      <c r="BT8" s="227"/>
      <c r="BU8" s="227"/>
      <c r="BV8" s="227"/>
      <c r="BX8" s="227"/>
      <c r="BY8" s="227"/>
      <c r="BZ8" s="227"/>
      <c r="CA8" s="227"/>
      <c r="CB8" s="227"/>
      <c r="CC8" s="227"/>
      <c r="CD8" s="720" t="str">
        <f t="shared" si="15"/>
        <v>A</v>
      </c>
      <c r="CE8" s="6929"/>
      <c r="CF8" s="6929"/>
      <c r="CG8" s="6929"/>
      <c r="CH8" s="6929"/>
      <c r="CI8" s="6929"/>
      <c r="CJ8" s="719"/>
      <c r="CK8" s="6917"/>
      <c r="CL8" s="6918"/>
      <c r="CM8" s="6918"/>
      <c r="CN8" s="6918"/>
      <c r="CO8" s="6918"/>
      <c r="CP8" s="6918"/>
      <c r="CQ8" s="6919"/>
      <c r="CS8" s="6917"/>
      <c r="CT8" s="6918"/>
      <c r="CU8" s="6918"/>
      <c r="CV8" s="6918"/>
      <c r="CW8" s="6918"/>
      <c r="CX8" s="6918"/>
      <c r="CY8" s="6919"/>
      <c r="DA8" s="6917"/>
      <c r="DB8" s="6918"/>
      <c r="DC8" s="6918"/>
      <c r="DD8" s="6918"/>
      <c r="DE8" s="6918"/>
      <c r="DF8" s="6918"/>
      <c r="DG8" s="6919"/>
      <c r="DI8" s="3">
        <v>1</v>
      </c>
    </row>
    <row r="9" spans="1:115" ht="21" customHeight="1" thickTop="1">
      <c r="A9" s="701" t="s">
        <v>21</v>
      </c>
      <c r="B9" s="6926" t="s">
        <v>8953</v>
      </c>
      <c r="C9" s="6927"/>
      <c r="D9" s="6927"/>
      <c r="E9" s="6927"/>
      <c r="F9" s="6927"/>
      <c r="G9" s="6927"/>
      <c r="H9" s="6927"/>
      <c r="I9" s="6927"/>
      <c r="J9" s="6927"/>
      <c r="K9" s="6927"/>
      <c r="L9" s="6928"/>
      <c r="M9" s="9"/>
      <c r="N9" s="1808" t="s">
        <v>14280</v>
      </c>
      <c r="O9" s="1584"/>
      <c r="P9" s="9"/>
      <c r="Q9" s="15" t="s">
        <v>10</v>
      </c>
      <c r="R9" s="631" t="s">
        <v>1509</v>
      </c>
      <c r="S9" s="2067"/>
      <c r="T9" s="2067"/>
      <c r="U9" s="2067"/>
      <c r="V9" s="2067"/>
      <c r="W9" s="2067"/>
      <c r="X9" s="2067"/>
      <c r="Y9" s="2067"/>
      <c r="Z9" s="2067"/>
      <c r="AA9" s="2067"/>
      <c r="AB9" s="2067"/>
      <c r="AC9" s="2067"/>
      <c r="AD9" s="2067"/>
      <c r="AE9" s="2067"/>
      <c r="AF9" s="2067"/>
      <c r="AG9" s="2067"/>
      <c r="AH9" s="2067"/>
      <c r="AI9" s="2067"/>
      <c r="AJ9" s="2068"/>
      <c r="AK9" s="6120" t="str">
        <f t="shared" si="13"/>
        <v>►</v>
      </c>
      <c r="AL9" s="720" t="s">
        <v>10</v>
      </c>
      <c r="AM9" s="6930"/>
      <c r="AN9" s="6930"/>
      <c r="AO9" s="6930"/>
      <c r="AP9" s="6930"/>
      <c r="AQ9" s="6930"/>
      <c r="AR9" s="6931"/>
      <c r="AS9" s="6932"/>
      <c r="AT9" s="6932"/>
      <c r="AU9" s="6932"/>
      <c r="AV9" s="6932"/>
      <c r="AW9" s="6932"/>
      <c r="AX9" s="6932"/>
      <c r="AY9" s="6932"/>
      <c r="AZ9" s="6932"/>
      <c r="BA9" s="6932"/>
      <c r="BB9" s="6932"/>
      <c r="BC9" s="6932"/>
      <c r="BD9" s="6932"/>
      <c r="BE9" s="6932"/>
      <c r="BF9" s="6932"/>
      <c r="BG9" s="6932"/>
      <c r="BH9" s="6933"/>
      <c r="BI9" s="6933"/>
      <c r="BJ9" s="6934"/>
      <c r="BK9" s="6916"/>
      <c r="BL9" s="227"/>
      <c r="BN9"/>
      <c r="BO9" s="227"/>
      <c r="BP9" s="227"/>
      <c r="BQ9" s="227"/>
      <c r="BR9" s="227"/>
      <c r="BS9" s="227"/>
      <c r="BT9" s="227"/>
      <c r="BU9" s="227"/>
      <c r="BV9" s="227"/>
      <c r="BX9" s="227"/>
      <c r="BY9" s="227"/>
      <c r="BZ9" s="227"/>
      <c r="CA9" s="227"/>
      <c r="CB9" s="227"/>
      <c r="CC9" s="227"/>
      <c r="CD9" s="720" t="str">
        <f t="shared" si="15"/>
        <v>A</v>
      </c>
      <c r="CE9" s="723" t="s">
        <v>1510</v>
      </c>
      <c r="CF9" s="723"/>
      <c r="CG9" s="634"/>
      <c r="CH9" s="635"/>
      <c r="CI9" s="635"/>
      <c r="CJ9" s="719"/>
      <c r="CK9" s="6508"/>
      <c r="CL9" s="6509"/>
      <c r="CM9" s="6509"/>
      <c r="CN9" s="6509"/>
      <c r="CO9" s="6509"/>
      <c r="CP9" s="6509"/>
      <c r="CQ9" s="6510"/>
      <c r="CS9" s="6508"/>
      <c r="CT9" s="6509"/>
      <c r="CU9" s="6509"/>
      <c r="CV9" s="6509"/>
      <c r="CW9" s="6509"/>
      <c r="CX9" s="6509"/>
      <c r="CY9" s="6510"/>
      <c r="DA9" s="6508"/>
      <c r="DB9" s="6509"/>
      <c r="DC9" s="6509"/>
      <c r="DD9" s="6509"/>
      <c r="DE9" s="6509"/>
      <c r="DF9" s="6509"/>
      <c r="DG9" s="6510"/>
      <c r="DI9" s="3">
        <v>1</v>
      </c>
    </row>
    <row r="10" spans="1:115" s="627" customFormat="1" ht="21" customHeight="1">
      <c r="A10" s="701" t="s">
        <v>21</v>
      </c>
      <c r="B10" s="6903" t="s">
        <v>1508</v>
      </c>
      <c r="C10" s="6904"/>
      <c r="D10" s="6904"/>
      <c r="E10" s="6904"/>
      <c r="F10" s="6904"/>
      <c r="G10" s="6904"/>
      <c r="H10" s="6904"/>
      <c r="I10" s="6904"/>
      <c r="J10" s="6904"/>
      <c r="K10" s="6904"/>
      <c r="L10" s="6905"/>
      <c r="M10" s="9"/>
      <c r="N10" s="1584"/>
      <c r="O10" s="1584"/>
      <c r="P10" s="9"/>
      <c r="Q10" s="15" t="s">
        <v>10</v>
      </c>
      <c r="R10" s="1347"/>
      <c r="S10" s="1340"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T10" s="1347"/>
      <c r="U10" s="1347"/>
      <c r="V10" s="1347"/>
      <c r="W10" s="1347"/>
      <c r="X10" s="1347"/>
      <c r="Y10" s="1347"/>
      <c r="Z10" s="1347"/>
      <c r="AA10" s="1347"/>
      <c r="AB10" s="1347"/>
      <c r="AC10" s="1347"/>
      <c r="AD10" s="1347"/>
      <c r="AE10" s="1347"/>
      <c r="AF10" s="1347"/>
      <c r="AG10" s="1347"/>
      <c r="AH10" s="1347"/>
      <c r="AI10" s="1347"/>
      <c r="AJ10" s="2296"/>
      <c r="AK10" s="6120" t="str">
        <f t="shared" si="13"/>
        <v>►</v>
      </c>
      <c r="AL10" s="720" t="s">
        <v>10</v>
      </c>
      <c r="AM10" s="725"/>
      <c r="AN10" s="725"/>
      <c r="AO10" s="725"/>
      <c r="AP10" s="725"/>
      <c r="AQ10" s="725"/>
      <c r="AR10" s="725"/>
      <c r="AS10" s="724"/>
      <c r="AT10" s="724"/>
      <c r="AU10" s="724"/>
      <c r="AV10" s="6920" t="s">
        <v>1511</v>
      </c>
      <c r="AW10" s="6920"/>
      <c r="AX10" s="6920"/>
      <c r="AY10" s="6921">
        <v>20</v>
      </c>
      <c r="AZ10" s="6922" t="s">
        <v>3107</v>
      </c>
      <c r="BA10" s="6922"/>
      <c r="BB10" s="726" t="s">
        <v>136</v>
      </c>
      <c r="BC10" s="18"/>
      <c r="BD10" s="18"/>
      <c r="BE10" s="18"/>
      <c r="BF10" s="727"/>
      <c r="BG10" s="727"/>
      <c r="BH10" s="727"/>
      <c r="BI10" s="726"/>
      <c r="BJ10" s="726"/>
      <c r="BK10" s="2302" t="s">
        <v>8965</v>
      </c>
      <c r="BL10" s="227"/>
      <c r="BM10" s="227"/>
      <c r="BN10"/>
      <c r="BO10" s="227"/>
      <c r="BP10" s="227"/>
      <c r="BQ10" s="227"/>
      <c r="BR10" s="227"/>
      <c r="BS10" s="227"/>
      <c r="BT10" s="227"/>
      <c r="BU10" s="227"/>
      <c r="BV10" s="227"/>
      <c r="BW10" s="227"/>
      <c r="BX10" s="227"/>
      <c r="BY10" s="227"/>
      <c r="BZ10" s="227"/>
      <c r="CA10" s="227"/>
      <c r="CB10" s="227"/>
      <c r="CC10" s="227"/>
      <c r="CD10" s="720" t="str">
        <f t="shared" si="15"/>
        <v>A</v>
      </c>
      <c r="CE10" s="723" t="s">
        <v>1512</v>
      </c>
      <c r="CF10" s="634"/>
      <c r="CG10" s="634"/>
      <c r="CH10" s="635"/>
      <c r="CI10" s="635"/>
      <c r="CJ10" s="719"/>
      <c r="CK10" s="6514" t="s">
        <v>1513</v>
      </c>
      <c r="CL10" s="6515"/>
      <c r="CM10" s="6515"/>
      <c r="CN10" s="6515"/>
      <c r="CO10" s="6515"/>
      <c r="CP10" s="6515"/>
      <c r="CQ10" s="6516"/>
      <c r="CR10" s="227"/>
      <c r="CS10" s="6514" t="s">
        <v>1514</v>
      </c>
      <c r="CT10" s="6515"/>
      <c r="CU10" s="6515"/>
      <c r="CV10" s="6515"/>
      <c r="CW10" s="6515"/>
      <c r="CX10" s="6515"/>
      <c r="CY10" s="6516"/>
      <c r="CZ10" s="227"/>
      <c r="DA10" s="6514" t="s">
        <v>1515</v>
      </c>
      <c r="DB10" s="6515"/>
      <c r="DC10" s="6515"/>
      <c r="DD10" s="6515"/>
      <c r="DE10" s="6515"/>
      <c r="DF10" s="6515"/>
      <c r="DG10" s="6516"/>
      <c r="DH10" s="227"/>
      <c r="DI10" s="3">
        <v>1</v>
      </c>
      <c r="DK10" s="198" t="s">
        <v>14241</v>
      </c>
    </row>
    <row r="11" spans="1:115" s="627" customFormat="1" ht="21" customHeight="1">
      <c r="A11" s="701" t="s">
        <v>21</v>
      </c>
      <c r="B11" s="2222" t="str">
        <f>IF(ISNUMBER(IFERROR(VALUE("0,5"),"")),"On this computer, type a COMMA as the decimal separator",IF(ISNUMBER(IFERROR(VALUE("0.5"),"")),"On this computer, type a POINT as the decimal separator","Unable to determine the decimal separator"))</f>
        <v>On this computer, type a POINT as the decimal separator</v>
      </c>
      <c r="C11" s="1344"/>
      <c r="D11" s="1344"/>
      <c r="E11" s="14"/>
      <c r="F11" s="9"/>
      <c r="G11" s="9"/>
      <c r="H11" s="9"/>
      <c r="I11" s="9"/>
      <c r="J11" s="9"/>
      <c r="K11" s="9"/>
      <c r="L11" s="222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M11" s="9"/>
      <c r="N11" s="1584"/>
      <c r="O11" s="1584"/>
      <c r="P11" s="9"/>
      <c r="Q11" s="15" t="s">
        <v>10</v>
      </c>
      <c r="R11" s="2280"/>
      <c r="S11" s="2280"/>
      <c r="T11" s="2280"/>
      <c r="U11" s="2280"/>
      <c r="V11" s="2281"/>
      <c r="W11" s="784"/>
      <c r="X11" s="784"/>
      <c r="Y11" s="2282"/>
      <c r="Z11" s="2282"/>
      <c r="AA11" s="2282"/>
      <c r="AB11" s="2282"/>
      <c r="AC11" s="2282"/>
      <c r="AD11" s="2282"/>
      <c r="AE11" s="2282"/>
      <c r="AF11" s="2282"/>
      <c r="AG11" s="2282"/>
      <c r="AH11" s="2283"/>
      <c r="AI11" s="2283"/>
      <c r="AJ11" s="2284"/>
      <c r="AK11" s="6120" t="str">
        <f t="shared" si="13"/>
        <v>►</v>
      </c>
      <c r="AL11" s="720" t="s">
        <v>10</v>
      </c>
      <c r="AM11" s="725"/>
      <c r="AN11" s="725"/>
      <c r="AO11" s="725"/>
      <c r="AP11" s="725"/>
      <c r="AQ11" s="725"/>
      <c r="AR11" s="725"/>
      <c r="AS11" s="18"/>
      <c r="AT11" s="18"/>
      <c r="AU11" s="18"/>
      <c r="AV11" s="6920"/>
      <c r="AW11" s="6920"/>
      <c r="AX11" s="6920"/>
      <c r="AY11" s="6921"/>
      <c r="AZ11" s="6922"/>
      <c r="BA11" s="6922"/>
      <c r="BB11" s="726" t="s">
        <v>139</v>
      </c>
      <c r="BC11" s="18"/>
      <c r="BD11" s="18"/>
      <c r="BE11" s="18"/>
      <c r="BF11" s="18"/>
      <c r="BG11" s="727"/>
      <c r="BH11" s="727"/>
      <c r="BI11" s="726"/>
      <c r="BJ11" s="726"/>
      <c r="BK11" s="2303" t="s">
        <v>8966</v>
      </c>
      <c r="BL11" s="227"/>
      <c r="BM11" s="227"/>
      <c r="BN11" s="227"/>
      <c r="BO11" s="227"/>
      <c r="BP11" s="728" t="s">
        <v>563</v>
      </c>
      <c r="BQ11" s="728"/>
      <c r="BR11" s="728"/>
      <c r="BS11" s="728"/>
      <c r="BT11" s="728"/>
      <c r="BU11" s="728"/>
      <c r="BV11" s="728"/>
      <c r="BW11" s="728"/>
      <c r="BX11" s="227"/>
      <c r="BY11" s="227"/>
      <c r="BZ11" s="227"/>
      <c r="CA11" s="227"/>
      <c r="CB11" s="227"/>
      <c r="CC11" s="227"/>
      <c r="CD11" s="720" t="str">
        <f t="shared" si="15"/>
        <v>A</v>
      </c>
      <c r="CE11" s="636"/>
      <c r="CF11" s="634"/>
      <c r="CG11" s="634"/>
      <c r="CH11" s="635"/>
      <c r="CI11" s="635"/>
      <c r="CJ11" s="719"/>
      <c r="CK11" s="6517"/>
      <c r="CL11" s="6518"/>
      <c r="CM11" s="6518"/>
      <c r="CN11" s="6518"/>
      <c r="CO11" s="6518"/>
      <c r="CP11" s="6518"/>
      <c r="CQ11" s="6519"/>
      <c r="CR11" s="227"/>
      <c r="CS11" s="6517"/>
      <c r="CT11" s="6518"/>
      <c r="CU11" s="6518"/>
      <c r="CV11" s="6518"/>
      <c r="CW11" s="6518"/>
      <c r="CX11" s="6518"/>
      <c r="CY11" s="6519"/>
      <c r="CZ11" s="227"/>
      <c r="DA11" s="6517"/>
      <c r="DB11" s="6518"/>
      <c r="DC11" s="6518"/>
      <c r="DD11" s="6518"/>
      <c r="DE11" s="6518"/>
      <c r="DF11" s="6518"/>
      <c r="DG11" s="6519"/>
      <c r="DH11" s="227"/>
      <c r="DI11" s="3">
        <v>1</v>
      </c>
      <c r="DK11" s="198" t="s">
        <v>14229</v>
      </c>
    </row>
    <row r="12" spans="1:115" s="627" customFormat="1" ht="21" customHeight="1" thickBot="1">
      <c r="A12" s="701" t="s">
        <v>21</v>
      </c>
      <c r="B12" s="227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12" s="2273"/>
      <c r="D12" s="2273"/>
      <c r="E12" s="2273"/>
      <c r="F12" s="2273"/>
      <c r="G12" s="2273"/>
      <c r="H12" s="2273"/>
      <c r="I12" s="2273"/>
      <c r="J12" s="2273"/>
      <c r="K12" s="2273"/>
      <c r="L12" s="2274"/>
      <c r="M12" s="9"/>
      <c r="N12" s="1593"/>
      <c r="O12" s="1594" t="str" cm="1">
        <f t="array" ref="O12">IF(COUNTIF(Q2:AJ2,"&lt;0.5")=0,"Aucune colonne masquée ",COUNTIF(Q2:AJ2,"&lt;0.5") &amp; " " &amp; IF(COUNTIF(Q2:AJ2,"&lt;0.5")&gt;1,"colonnes masquées","colonne masquée") &amp; " " &amp; _xlfn.TEXTJOIN(" ", TRUE, IF(Q2:AJ2&lt;0.5,Q1:AJ1,"")))&amp;" "</f>
        <v xml:space="preserve">Aucune colonne masquée  </v>
      </c>
      <c r="P12" s="9"/>
      <c r="Q12" s="15" t="s">
        <v>10</v>
      </c>
      <c r="R12" s="2280"/>
      <c r="S12" s="2280"/>
      <c r="T12" s="2280"/>
      <c r="U12" s="2280"/>
      <c r="V12" s="2281"/>
      <c r="W12" s="784"/>
      <c r="X12" s="784"/>
      <c r="Y12" s="2282"/>
      <c r="Z12" s="2282"/>
      <c r="AA12" s="2282"/>
      <c r="AB12" s="2282"/>
      <c r="AC12" s="2282"/>
      <c r="AD12" s="2282"/>
      <c r="AE12" s="2282"/>
      <c r="AF12" s="2282"/>
      <c r="AG12" s="2282"/>
      <c r="AH12" s="2283"/>
      <c r="AI12" s="2283"/>
      <c r="AJ12" s="2299"/>
      <c r="AK12" s="6120" t="str">
        <f t="shared" si="13"/>
        <v>►</v>
      </c>
      <c r="AL12" s="720" t="s">
        <v>10</v>
      </c>
      <c r="AM12" s="725"/>
      <c r="AN12" s="725"/>
      <c r="AO12" s="725"/>
      <c r="AP12" s="725"/>
      <c r="AQ12" s="725"/>
      <c r="AR12" s="725"/>
      <c r="AS12" s="18"/>
      <c r="AT12" s="18"/>
      <c r="AU12" s="18"/>
      <c r="AV12" s="18"/>
      <c r="AW12" s="18"/>
      <c r="AX12" s="729" t="s">
        <v>1517</v>
      </c>
      <c r="AY12" s="18"/>
      <c r="AZ12" s="730" t="s">
        <v>1518</v>
      </c>
      <c r="BA12" s="18"/>
      <c r="BB12" s="726"/>
      <c r="BC12" s="18"/>
      <c r="BD12" s="18"/>
      <c r="BE12" s="18"/>
      <c r="BF12" s="18"/>
      <c r="BG12" s="18"/>
      <c r="BH12" s="18"/>
      <c r="BI12" s="726"/>
      <c r="BJ12" s="726"/>
      <c r="BK12" s="2303" t="s">
        <v>8967</v>
      </c>
      <c r="BL12" s="227"/>
      <c r="BM12" s="227"/>
      <c r="BN12" s="227"/>
      <c r="BO12" s="227"/>
      <c r="BP12" s="9" t="s">
        <v>1519</v>
      </c>
      <c r="BQ12" s="9" t="s">
        <v>1519</v>
      </c>
      <c r="BR12" s="9" t="s">
        <v>1519</v>
      </c>
      <c r="BS12" s="9" t="s">
        <v>1519</v>
      </c>
      <c r="BT12" s="9" t="s">
        <v>1520</v>
      </c>
      <c r="BU12" s="9"/>
      <c r="BV12" s="9" t="s">
        <v>1521</v>
      </c>
      <c r="BW12" s="9" t="s">
        <v>1522</v>
      </c>
      <c r="BX12" s="227"/>
      <c r="BY12" s="227"/>
      <c r="BZ12" s="227"/>
      <c r="CA12" s="227"/>
      <c r="CB12" s="227"/>
      <c r="CC12" s="227"/>
      <c r="CD12" s="720" t="str">
        <f t="shared" si="15"/>
        <v>A</v>
      </c>
      <c r="CE12" s="637" t="s">
        <v>1523</v>
      </c>
      <c r="CF12" s="634"/>
      <c r="CG12" s="634"/>
      <c r="CH12" s="635"/>
      <c r="CI12" s="635"/>
      <c r="CJ12" s="719"/>
      <c r="CK12" s="6520" t="s">
        <v>1524</v>
      </c>
      <c r="CL12" s="6521"/>
      <c r="CM12" s="6521"/>
      <c r="CN12" s="6521"/>
      <c r="CO12" s="6521"/>
      <c r="CP12" s="6521"/>
      <c r="CQ12" s="6522"/>
      <c r="CR12" s="227"/>
      <c r="CS12" s="6520" t="s">
        <v>1525</v>
      </c>
      <c r="CT12" s="6521"/>
      <c r="CU12" s="6521"/>
      <c r="CV12" s="6521"/>
      <c r="CW12" s="6521"/>
      <c r="CX12" s="6521"/>
      <c r="CY12" s="6522"/>
      <c r="CZ12" s="227"/>
      <c r="DA12" s="6520" t="s">
        <v>1526</v>
      </c>
      <c r="DB12" s="6521"/>
      <c r="DC12" s="6521"/>
      <c r="DD12" s="6521"/>
      <c r="DE12" s="6521"/>
      <c r="DF12" s="6521"/>
      <c r="DG12" s="6522"/>
      <c r="DH12" s="227"/>
      <c r="DI12" s="3">
        <v>1</v>
      </c>
      <c r="DK12" s="198"/>
    </row>
    <row r="13" spans="1:115" s="627" customFormat="1" ht="21" customHeight="1" thickBot="1">
      <c r="A13" s="701" t="s">
        <v>21</v>
      </c>
      <c r="B13" s="2271">
        <f>SUM(D11:L11)</f>
        <v>0</v>
      </c>
      <c r="C13" s="78">
        <v>0</v>
      </c>
      <c r="D13" s="6906" t="s">
        <v>2397</v>
      </c>
      <c r="E13" s="6906"/>
      <c r="F13" s="6906"/>
      <c r="G13" s="6906"/>
      <c r="H13" s="6906"/>
      <c r="I13" s="6906"/>
      <c r="J13" s="6906"/>
      <c r="K13" s="6906"/>
      <c r="L13" s="6907"/>
      <c r="M13" s="9"/>
      <c r="N13" s="1584"/>
      <c r="O13" s="1584"/>
      <c r="P13" s="9"/>
      <c r="Q13" s="1216" t="s">
        <v>10</v>
      </c>
      <c r="R13" s="1217" t="s">
        <v>10</v>
      </c>
      <c r="S13" s="1217" t="s">
        <v>10</v>
      </c>
      <c r="T13" s="1217" t="s">
        <v>10</v>
      </c>
      <c r="U13" s="1217" t="s">
        <v>10</v>
      </c>
      <c r="V13" s="1218" t="s">
        <v>2394</v>
      </c>
      <c r="W13" s="1219"/>
      <c r="X13" s="1220"/>
      <c r="Y13" s="1221"/>
      <c r="Z13" s="1222"/>
      <c r="AA13" s="1223"/>
      <c r="AB13" s="1221"/>
      <c r="AC13" s="1221"/>
      <c r="AD13" s="1219"/>
      <c r="AE13" s="1219"/>
      <c r="AF13" s="1219"/>
      <c r="AG13" s="1219"/>
      <c r="AH13" s="1219"/>
      <c r="AI13" s="1224" t="s">
        <v>1755</v>
      </c>
      <c r="AJ13" s="2071"/>
      <c r="AK13" s="6120" t="str">
        <f t="shared" si="13"/>
        <v>►</v>
      </c>
      <c r="AL13" s="720" t="s">
        <v>10</v>
      </c>
      <c r="AM13" s="731"/>
      <c r="AN13" s="731"/>
      <c r="AO13" s="731"/>
      <c r="AP13" s="731"/>
      <c r="AQ13" s="731"/>
      <c r="AR13" s="732"/>
      <c r="AS13" s="732"/>
      <c r="AT13" s="732"/>
      <c r="AU13" s="732"/>
      <c r="AV13" s="732"/>
      <c r="AW13" s="732"/>
      <c r="AX13" s="733"/>
      <c r="AY13" s="732"/>
      <c r="AZ13" s="732" t="s">
        <v>1528</v>
      </c>
      <c r="BA13" s="732"/>
      <c r="BB13" s="732"/>
      <c r="BC13" s="732"/>
      <c r="BD13" s="732"/>
      <c r="BE13" s="732"/>
      <c r="BF13" s="732"/>
      <c r="BG13" s="732"/>
      <c r="BH13" s="732"/>
      <c r="BI13" s="732"/>
      <c r="BJ13" s="732"/>
      <c r="BK13" s="734" t="str" cm="1">
        <f t="array" aca="1" ref="BK13" ca="1">IF(COUNTIF(AL2:BK2,"&gt;0.5")=0,"Aucune",COUNTIF(AL2:BK2,"&lt;0.5") &amp; " " &amp; IF(COUNTIF(AL2:BK2,"&lt;0.5")&gt;1,"colonnes masquées","colonne masquée") &amp; " " &amp; _xlfn.TEXTJOIN(" ", TRUE, IF(AL2:BK2&lt;0.5,AL1:BK1,"")))&amp;" "</f>
        <v xml:space="preserve">0 colonne masquée  </v>
      </c>
      <c r="BL13" s="227"/>
      <c r="BM13" s="735" t="s">
        <v>1529</v>
      </c>
      <c r="BN13" s="736"/>
      <c r="BO13" s="227"/>
      <c r="BP13" s="229" t="s">
        <v>1530</v>
      </c>
      <c r="BQ13" s="229" t="s">
        <v>1530</v>
      </c>
      <c r="BR13" s="229" t="s">
        <v>1530</v>
      </c>
      <c r="BS13" s="229" t="s">
        <v>1519</v>
      </c>
      <c r="BT13" s="229" t="s">
        <v>1531</v>
      </c>
      <c r="BU13" s="229"/>
      <c r="BV13" s="229" t="s">
        <v>1532</v>
      </c>
      <c r="BW13" s="229" t="s">
        <v>1533</v>
      </c>
      <c r="BX13" s="227"/>
      <c r="BY13" s="227"/>
      <c r="BZ13" s="227"/>
      <c r="CA13" s="227"/>
      <c r="CB13" s="227"/>
      <c r="CC13" s="227"/>
      <c r="CD13" s="720" t="str">
        <f t="shared" si="15"/>
        <v>A</v>
      </c>
      <c r="CE13" s="638"/>
      <c r="CF13" s="634"/>
      <c r="CG13" s="634"/>
      <c r="CH13" s="635"/>
      <c r="CI13" s="635"/>
      <c r="CJ13" s="719"/>
      <c r="CK13" s="737" t="s">
        <v>1534</v>
      </c>
      <c r="CL13" s="738"/>
      <c r="CM13" s="738"/>
      <c r="CN13" s="738"/>
      <c r="CO13" s="738"/>
      <c r="CP13" s="738"/>
      <c r="CQ13" s="739"/>
      <c r="CR13" s="227"/>
      <c r="CS13" s="737" t="s">
        <v>1535</v>
      </c>
      <c r="CT13" s="738"/>
      <c r="CU13" s="738"/>
      <c r="CV13" s="738"/>
      <c r="CW13" s="738"/>
      <c r="CX13" s="738"/>
      <c r="CY13" s="739"/>
      <c r="CZ13" s="227"/>
      <c r="DA13" s="737" t="s">
        <v>1536</v>
      </c>
      <c r="DB13" s="738"/>
      <c r="DC13" s="738"/>
      <c r="DD13" s="738"/>
      <c r="DE13" s="738"/>
      <c r="DF13" s="738"/>
      <c r="DG13" s="739"/>
      <c r="DH13" s="227"/>
      <c r="DI13" s="3">
        <v>1</v>
      </c>
      <c r="DK13" s="198" t="s">
        <v>14232</v>
      </c>
    </row>
    <row r="14" spans="1:115" s="627" customFormat="1" ht="21" customHeight="1" thickBot="1">
      <c r="A14" s="701" t="s">
        <v>21</v>
      </c>
      <c r="B14" s="2265" t="str" cm="1">
        <f t="array" ref="B14">SUMPRODUCT(--(D14:J14&lt;&gt;""), LEN(TRIM(SUBSTITUTE(D14:J14, CHAR(160), "")))) &amp; " Car."</f>
        <v>0 Car.</v>
      </c>
      <c r="C14" s="1376" t="str">
        <f>IF(ISBLANK(D14),"",LARGE(C13:C13,1)+1)</f>
        <v/>
      </c>
      <c r="D14" s="1833"/>
      <c r="E14" s="1810"/>
      <c r="F14" s="1810"/>
      <c r="G14" s="1810"/>
      <c r="H14" s="1810"/>
      <c r="I14" s="1810"/>
      <c r="J14" s="1810"/>
      <c r="K14" s="1810"/>
      <c r="L14" s="1811"/>
      <c r="M14" s="9"/>
      <c r="N14" s="19" t="str">
        <f t="shared" ref="N14:N77" si="16">Q14</f>
        <v>A</v>
      </c>
      <c r="O14" s="1603" t="s">
        <v>15</v>
      </c>
      <c r="P14" s="9"/>
      <c r="Q14" s="19" t="s">
        <v>10</v>
      </c>
      <c r="R14" s="20" t="str">
        <f>R20</f>
        <v>C CHIBOUST PAMPLEMOUSSE | pâtisserie--ENTREMET| Auteur &gt; recette Béghin Say de Jean-Jacques Borne MOF 1994</v>
      </c>
      <c r="S14" s="21">
        <f>S20</f>
        <v>18</v>
      </c>
      <c r="T14" s="21" t="str">
        <f>T20</f>
        <v>desserts</v>
      </c>
      <c r="U14" s="22" t="str">
        <f>U20</f>
        <v>Recette mère ► MILLE-FEUILLE  aux fraises des bois</v>
      </c>
      <c r="V14" s="23" t="s">
        <v>21</v>
      </c>
      <c r="W14" s="24" t="s">
        <v>22</v>
      </c>
      <c r="X14" s="24"/>
      <c r="Y14" s="6634" t="s">
        <v>23</v>
      </c>
      <c r="Z14" s="6634"/>
      <c r="AA14" s="6634"/>
      <c r="AB14" s="6634"/>
      <c r="AC14" s="6634"/>
      <c r="AD14" s="6634"/>
      <c r="AE14" s="6634"/>
      <c r="AF14" s="6634"/>
      <c r="AG14" s="6634"/>
      <c r="AH14" s="6636" t="s">
        <v>24</v>
      </c>
      <c r="AI14" s="6636"/>
      <c r="AJ14" s="6638" t="str">
        <f>UPPER(LEFT(Y14,1))</f>
        <v>C</v>
      </c>
      <c r="AK14" s="6120" t="str">
        <f t="shared" si="13"/>
        <v>►</v>
      </c>
      <c r="AL14" s="720" t="s">
        <v>10</v>
      </c>
      <c r="AM14" s="731"/>
      <c r="AN14" s="731"/>
      <c r="AO14" s="731"/>
      <c r="AP14" s="731"/>
      <c r="AQ14" s="731"/>
      <c r="AR14" s="740"/>
      <c r="AS14" s="732"/>
      <c r="AT14" s="732"/>
      <c r="AU14" s="732"/>
      <c r="AV14" s="732"/>
      <c r="AW14" s="732"/>
      <c r="AX14" s="732"/>
      <c r="AY14" s="732"/>
      <c r="AZ14" s="732"/>
      <c r="BA14" s="732"/>
      <c r="BB14" s="732"/>
      <c r="BC14" s="732"/>
      <c r="BD14" s="732"/>
      <c r="BE14" s="732" t="s">
        <v>14277</v>
      </c>
      <c r="BF14" s="732"/>
      <c r="BG14" s="732"/>
      <c r="BH14" s="732"/>
      <c r="BI14" s="732"/>
      <c r="BJ14" s="732"/>
      <c r="BK14" s="734" t="str">
        <f>ROWS(Q6:Q551)-SUBTOTAL(103,Q6:Q551)&amp;" "&amp;"Lignes masquées"</f>
        <v>0 Lignes masquées</v>
      </c>
      <c r="BL14" s="227"/>
      <c r="BM14" s="735" t="s">
        <v>1537</v>
      </c>
      <c r="BN14" s="736"/>
      <c r="BO14" s="227"/>
      <c r="BP14" s="741" t="s">
        <v>1538</v>
      </c>
      <c r="BQ14" s="741" t="s">
        <v>1539</v>
      </c>
      <c r="BR14" s="741" t="s">
        <v>1540</v>
      </c>
      <c r="BS14" s="741" t="s">
        <v>1541</v>
      </c>
      <c r="BT14" s="742" t="s">
        <v>1542</v>
      </c>
      <c r="BU14" s="742"/>
      <c r="BV14" s="741" t="s">
        <v>1543</v>
      </c>
      <c r="BW14" s="741" t="s">
        <v>1544</v>
      </c>
      <c r="BX14" s="227"/>
      <c r="BY14" s="227"/>
      <c r="BZ14" s="227"/>
      <c r="CA14" s="227"/>
      <c r="CB14" s="227"/>
      <c r="CC14" s="227"/>
      <c r="CD14" s="720" t="str">
        <f t="shared" si="15"/>
        <v>A</v>
      </c>
      <c r="CE14" s="637" t="s">
        <v>1545</v>
      </c>
      <c r="CF14" s="634"/>
      <c r="CG14" s="634"/>
      <c r="CH14" s="635"/>
      <c r="CI14" s="635"/>
      <c r="CJ14" s="719"/>
      <c r="CK14" s="743" t="s">
        <v>1546</v>
      </c>
      <c r="CL14" s="744"/>
      <c r="CM14" s="744"/>
      <c r="CN14" s="744"/>
      <c r="CO14" s="744"/>
      <c r="CP14" s="744"/>
      <c r="CQ14" s="745"/>
      <c r="CR14" s="227"/>
      <c r="CS14" s="743" t="s">
        <v>1547</v>
      </c>
      <c r="CT14" s="744"/>
      <c r="CU14" s="744"/>
      <c r="CV14" s="744"/>
      <c r="CW14" s="744"/>
      <c r="CX14" s="744"/>
      <c r="CY14" s="745"/>
      <c r="CZ14" s="227"/>
      <c r="DA14" s="743" t="s">
        <v>1548</v>
      </c>
      <c r="DB14" s="744"/>
      <c r="DC14" s="744"/>
      <c r="DD14" s="744"/>
      <c r="DE14" s="744"/>
      <c r="DF14" s="744"/>
      <c r="DG14" s="745"/>
      <c r="DH14" s="227"/>
      <c r="DI14" s="3">
        <v>1</v>
      </c>
      <c r="DK14" s="198" t="s">
        <v>14235</v>
      </c>
    </row>
    <row r="15" spans="1:115" s="627" customFormat="1" ht="21" customHeight="1" thickTop="1" thickBot="1">
      <c r="A15" s="701" t="s">
        <v>21</v>
      </c>
      <c r="B15" s="2265" t="str" cm="1">
        <f t="array" ref="B15">SUMPRODUCT(--(D15:J15&lt;&gt;""), LEN(TRIM(SUBSTITUTE(D15:J15, CHAR(160), "")))) &amp; " Car."</f>
        <v>0 Car.</v>
      </c>
      <c r="C15" s="1376" t="str">
        <f>IF(ISBLANK(D15),"",LARGE(C13:C14,1)+1)</f>
        <v/>
      </c>
      <c r="D15" s="1833"/>
      <c r="E15" s="1810"/>
      <c r="F15" s="1810"/>
      <c r="G15" s="1810"/>
      <c r="H15" s="1810"/>
      <c r="I15" s="1810"/>
      <c r="J15" s="1810"/>
      <c r="K15" s="1810"/>
      <c r="L15" s="1811"/>
      <c r="M15" s="9"/>
      <c r="N15" s="25" t="str">
        <f t="shared" si="16"/>
        <v>A</v>
      </c>
      <c r="O15" s="1609" t="s">
        <v>8233</v>
      </c>
      <c r="P15" s="9"/>
      <c r="Q15" s="25" t="s">
        <v>10</v>
      </c>
      <c r="R15" s="26" t="str">
        <f>R20</f>
        <v>C CHIBOUST PAMPLEMOUSSE | pâtisserie--ENTREMET| Auteur &gt; recette Béghin Say de Jean-Jacques Borne MOF 1994</v>
      </c>
      <c r="S15" s="27">
        <f>S20</f>
        <v>18</v>
      </c>
      <c r="T15" s="27" t="str">
        <f>T20</f>
        <v>desserts</v>
      </c>
      <c r="U15" s="28" t="str">
        <f>U20</f>
        <v>Recette mère ► MILLE-FEUILLE  aux fraises des bois</v>
      </c>
      <c r="V15" s="29" t="s">
        <v>28</v>
      </c>
      <c r="W15" s="30" t="s">
        <v>831</v>
      </c>
      <c r="X15" s="30"/>
      <c r="Y15" s="6635"/>
      <c r="Z15" s="6635"/>
      <c r="AA15" s="6635"/>
      <c r="AB15" s="6635"/>
      <c r="AC15" s="6635"/>
      <c r="AD15" s="6635"/>
      <c r="AE15" s="6635"/>
      <c r="AF15" s="6635"/>
      <c r="AG15" s="6635"/>
      <c r="AH15" s="6637"/>
      <c r="AI15" s="6637"/>
      <c r="AJ15" s="6639"/>
      <c r="AK15" s="6120" t="str">
        <f t="shared" si="13"/>
        <v>►</v>
      </c>
      <c r="AL15" s="720" t="s">
        <v>10</v>
      </c>
      <c r="AM15" s="6866" t="s">
        <v>832</v>
      </c>
      <c r="AN15" s="1225"/>
      <c r="AO15" s="1225"/>
      <c r="AP15" s="1225"/>
      <c r="AQ15" s="746"/>
      <c r="AR15" s="6872" t="s">
        <v>1549</v>
      </c>
      <c r="AS15" s="6873"/>
      <c r="AT15" s="6873"/>
      <c r="AU15" s="6873"/>
      <c r="AV15" s="6873"/>
      <c r="AW15" s="6879" t="s">
        <v>1550</v>
      </c>
      <c r="AX15" s="6879"/>
      <c r="AY15" s="6900" t="s">
        <v>8090</v>
      </c>
      <c r="AZ15" s="6900"/>
      <c r="BA15" s="6883" t="s">
        <v>1551</v>
      </c>
      <c r="BB15" s="6883"/>
      <c r="BC15" s="6486" t="s">
        <v>1552</v>
      </c>
      <c r="BD15" s="6860" t="s">
        <v>1553</v>
      </c>
      <c r="BE15" s="6862" t="s">
        <v>1554</v>
      </c>
      <c r="BF15" s="6863"/>
      <c r="BG15" s="6891" t="s">
        <v>242</v>
      </c>
      <c r="BH15" s="6496" t="s">
        <v>1555</v>
      </c>
      <c r="BI15" s="6894" t="s">
        <v>1556</v>
      </c>
      <c r="BJ15" s="6896" t="s">
        <v>1557</v>
      </c>
      <c r="BK15" s="6889" t="s">
        <v>832</v>
      </c>
      <c r="BL15" s="227"/>
      <c r="BM15" s="735" t="s">
        <v>1558</v>
      </c>
      <c r="BN15" s="736"/>
      <c r="BO15" s="227"/>
      <c r="BP15" s="747" t="str">
        <f t="shared" ref="BP15:BW15" si="17">SUBSTITUTE(ADDRESS(1,COLUMN(),4),"1","")</f>
        <v>BP</v>
      </c>
      <c r="BQ15" s="747" t="str">
        <f t="shared" si="17"/>
        <v>BQ</v>
      </c>
      <c r="BR15" s="747" t="str">
        <f t="shared" si="17"/>
        <v>BR</v>
      </c>
      <c r="BS15" s="747" t="str">
        <f t="shared" si="17"/>
        <v>BS</v>
      </c>
      <c r="BT15" s="747" t="str">
        <f t="shared" si="17"/>
        <v>BT</v>
      </c>
      <c r="BU15" s="747" t="str">
        <f t="shared" si="17"/>
        <v>BU</v>
      </c>
      <c r="BV15" s="747" t="str">
        <f t="shared" si="17"/>
        <v>BV</v>
      </c>
      <c r="BW15" s="747" t="str">
        <f t="shared" si="17"/>
        <v>BW</v>
      </c>
      <c r="BX15" s="227" t="s">
        <v>8089</v>
      </c>
      <c r="BY15" s="227"/>
      <c r="BZ15" s="227"/>
      <c r="CA15" s="227"/>
      <c r="CB15" s="227"/>
      <c r="CC15" s="227"/>
      <c r="CD15" s="720" t="str">
        <f t="shared" si="15"/>
        <v>A</v>
      </c>
      <c r="CE15" s="638"/>
      <c r="CF15" s="638"/>
      <c r="CG15" s="634"/>
      <c r="CH15" s="635"/>
      <c r="CI15" s="635"/>
      <c r="CJ15" s="719"/>
      <c r="CK15" s="639"/>
      <c r="CL15" s="638"/>
      <c r="CM15" s="638"/>
      <c r="CN15" s="638"/>
      <c r="CO15" s="638"/>
      <c r="CP15" s="638"/>
      <c r="CQ15" s="748"/>
      <c r="CR15" s="227"/>
      <c r="CS15" s="639"/>
      <c r="CT15" s="638"/>
      <c r="CU15" s="638"/>
      <c r="CV15" s="638"/>
      <c r="CW15" s="638"/>
      <c r="CX15" s="638"/>
      <c r="CY15" s="748"/>
      <c r="CZ15" s="227"/>
      <c r="DA15" s="639"/>
      <c r="DB15" s="638"/>
      <c r="DC15" s="638"/>
      <c r="DD15" s="638"/>
      <c r="DE15" s="638"/>
      <c r="DF15" s="638"/>
      <c r="DG15" s="748"/>
      <c r="DH15" s="227"/>
      <c r="DI15" s="3">
        <v>1</v>
      </c>
      <c r="DK15"/>
    </row>
    <row r="16" spans="1:115" s="627" customFormat="1" ht="21" customHeight="1" thickBot="1">
      <c r="A16" s="701" t="s">
        <v>21</v>
      </c>
      <c r="B16" s="2265" t="str" cm="1">
        <f t="array" ref="B16">SUMPRODUCT(--(D16:J16&lt;&gt;""), LEN(TRIM(SUBSTITUTE(D16:J16, CHAR(160), "")))) &amp; " Car."</f>
        <v>0 Car.</v>
      </c>
      <c r="C16" s="1376" t="str">
        <f>IF(ISBLANK(D16),"",LARGE(C13:C15,1)+1)</f>
        <v/>
      </c>
      <c r="D16" s="1833"/>
      <c r="E16" s="1810"/>
      <c r="F16" s="1810"/>
      <c r="G16" s="1810"/>
      <c r="H16" s="1810"/>
      <c r="I16" s="1810"/>
      <c r="J16" s="1810"/>
      <c r="K16" s="1810"/>
      <c r="L16" s="1811"/>
      <c r="M16" s="9"/>
      <c r="N16" s="25" t="str">
        <f t="shared" si="16"/>
        <v>A</v>
      </c>
      <c r="O16" s="6840">
        <f>SUBTOTAL(103,N14:N551)</f>
        <v>538</v>
      </c>
      <c r="P16" s="9"/>
      <c r="Q16" s="25" t="s">
        <v>10</v>
      </c>
      <c r="R16" s="31" t="str">
        <f>R20</f>
        <v>C CHIBOUST PAMPLEMOUSSE | pâtisserie--ENTREMET| Auteur &gt; recette Béghin Say de Jean-Jacques Borne MOF 1994</v>
      </c>
      <c r="S16" s="32">
        <f>S20</f>
        <v>18</v>
      </c>
      <c r="T16" s="32" t="str">
        <f>T20</f>
        <v>desserts</v>
      </c>
      <c r="U16" s="33" t="str">
        <f>U20</f>
        <v>Recette mère ► MILLE-FEUILLE  aux fraises des bois</v>
      </c>
      <c r="V16" s="1357"/>
      <c r="W16" s="1358" t="s">
        <v>30</v>
      </c>
      <c r="X16" s="34"/>
      <c r="Y16" s="35" t="s">
        <v>31</v>
      </c>
      <c r="Z16" s="36" t="s">
        <v>3050</v>
      </c>
      <c r="AA16" s="9"/>
      <c r="AB16" s="9"/>
      <c r="AC16" s="36"/>
      <c r="AD16" s="36"/>
      <c r="AE16" s="36"/>
      <c r="AF16" s="37"/>
      <c r="AG16" s="9"/>
      <c r="AH16" s="9"/>
      <c r="AI16" s="9"/>
      <c r="AJ16" s="2062" t="str" cm="1">
        <f t="array" ref="AJ16">IF(COUNTIF(R44:AJ44,"&lt;0.5")=0,"Aucune colonne masquée ",COUNTIF(R44:AJ44,"&lt;0.5") &amp; " " &amp; IF(COUNTIF(R44:AJ44,"&lt;0.5")&gt;1,"colonnes masquées","colonne masquée") &amp; " " &amp; _xlfn.TEXTJOIN(" ", TRUE, IF(R44:AJ44&lt;0.5,R43:AJ43,"")))&amp;" "</f>
        <v xml:space="preserve">Aucune colonne masquée  </v>
      </c>
      <c r="AK16" s="6120" t="str">
        <f t="shared" si="13"/>
        <v>►</v>
      </c>
      <c r="AL16" s="720" t="s">
        <v>10</v>
      </c>
      <c r="AM16" s="6902"/>
      <c r="AN16" s="1227"/>
      <c r="AO16" s="1227"/>
      <c r="AP16" s="1227"/>
      <c r="AQ16" s="749"/>
      <c r="AR16" s="6875"/>
      <c r="AS16" s="6876"/>
      <c r="AT16" s="6876"/>
      <c r="AU16" s="6876"/>
      <c r="AV16" s="6876"/>
      <c r="AW16" s="6881"/>
      <c r="AX16" s="6881"/>
      <c r="AY16" s="6901"/>
      <c r="AZ16" s="6901"/>
      <c r="BA16" s="6884"/>
      <c r="BB16" s="6884"/>
      <c r="BC16" s="6898"/>
      <c r="BD16" s="6861"/>
      <c r="BE16" s="6864"/>
      <c r="BF16" s="6865"/>
      <c r="BG16" s="6892"/>
      <c r="BH16" s="6893"/>
      <c r="BI16" s="6895"/>
      <c r="BJ16" s="6897"/>
      <c r="BK16" s="6890"/>
      <c r="BL16" s="227"/>
      <c r="BM16" s="735" t="s">
        <v>1559</v>
      </c>
      <c r="BN16" s="736"/>
      <c r="BP16" s="750" t="s">
        <v>3106</v>
      </c>
      <c r="BQ16" s="750" t="s">
        <v>3105</v>
      </c>
      <c r="BR16" s="750" t="s">
        <v>3104</v>
      </c>
      <c r="BS16" s="751">
        <v>1</v>
      </c>
      <c r="BT16" s="640" t="s">
        <v>1562</v>
      </c>
      <c r="BU16" s="640"/>
      <c r="BV16" s="752">
        <f t="shared" ref="BV16:BV25" si="18">ROUND(1/BS16,0)</f>
        <v>1</v>
      </c>
      <c r="BW16" s="753"/>
      <c r="BX16" s="750" t="s">
        <v>833</v>
      </c>
      <c r="BY16" s="750" t="s">
        <v>1560</v>
      </c>
      <c r="BZ16" s="750" t="s">
        <v>1561</v>
      </c>
      <c r="CA16" s="1226">
        <v>0.5</v>
      </c>
      <c r="CB16" s="227"/>
      <c r="CC16" s="227"/>
      <c r="CD16" s="720" t="str">
        <f t="shared" si="15"/>
        <v>A</v>
      </c>
      <c r="CE16" s="637" t="s">
        <v>1563</v>
      </c>
      <c r="CF16" s="634"/>
      <c r="CG16" s="634"/>
      <c r="CH16" s="635"/>
      <c r="CI16" s="635"/>
      <c r="CJ16" s="719"/>
      <c r="CK16" s="2309" t="s">
        <v>8975</v>
      </c>
      <c r="CL16" s="2305"/>
      <c r="CM16" s="350"/>
      <c r="CN16" s="350"/>
      <c r="CO16" s="2305" t="s">
        <v>8958</v>
      </c>
      <c r="CP16" s="2308"/>
      <c r="CQ16" s="780"/>
      <c r="CS16" s="2309" t="s">
        <v>8983</v>
      </c>
      <c r="CT16" s="2305"/>
      <c r="CU16" s="350"/>
      <c r="CV16" s="350"/>
      <c r="CW16" s="2305" t="s">
        <v>9002</v>
      </c>
      <c r="CX16" s="2308"/>
      <c r="CY16" s="780"/>
      <c r="DA16" s="2309" t="s">
        <v>8984</v>
      </c>
      <c r="DB16" s="2305"/>
      <c r="DC16" s="350"/>
      <c r="DD16" s="350"/>
      <c r="DE16" s="2305" t="s">
        <v>9008</v>
      </c>
      <c r="DF16" s="2308"/>
      <c r="DG16" s="780"/>
      <c r="DH16" s="227"/>
      <c r="DI16" s="3">
        <v>1</v>
      </c>
      <c r="DK16"/>
    </row>
    <row r="17" spans="1:115" s="627" customFormat="1" ht="21" customHeight="1" thickTop="1">
      <c r="A17" s="701" t="s">
        <v>21</v>
      </c>
      <c r="B17" s="2265" t="str" cm="1">
        <f t="array" ref="B17">SUMPRODUCT(--(D17:J17&lt;&gt;""), LEN(TRIM(SUBSTITUTE(D17:J17, CHAR(160), "")))) &amp; " Car."</f>
        <v>0 Car.</v>
      </c>
      <c r="C17" s="1376" t="str">
        <f>IF(ISBLANK(D17),"",LARGE(C13:C16,1)+1)</f>
        <v/>
      </c>
      <c r="D17" s="1833"/>
      <c r="E17" s="1810"/>
      <c r="F17" s="1810"/>
      <c r="G17" s="1810"/>
      <c r="H17" s="1810"/>
      <c r="I17" s="1810"/>
      <c r="J17" s="1810"/>
      <c r="K17" s="1810"/>
      <c r="L17" s="1811"/>
      <c r="M17" s="9"/>
      <c r="N17" s="25" t="str">
        <f t="shared" si="16"/>
        <v>A</v>
      </c>
      <c r="O17" s="6840"/>
      <c r="P17" s="9"/>
      <c r="Q17" s="25" t="s">
        <v>10</v>
      </c>
      <c r="R17" s="31" t="str">
        <f>R20</f>
        <v>C CHIBOUST PAMPLEMOUSSE | pâtisserie--ENTREMET| Auteur &gt; recette Béghin Say de Jean-Jacques Borne MOF 1994</v>
      </c>
      <c r="S17" s="32">
        <f>S20</f>
        <v>18</v>
      </c>
      <c r="T17" s="32" t="str">
        <f>T20</f>
        <v>desserts</v>
      </c>
      <c r="U17" s="33" t="str">
        <f>U20</f>
        <v>Recette mère ► MILLE-FEUILLE  aux fraises des bois</v>
      </c>
      <c r="V17" s="39" t="s">
        <v>32</v>
      </c>
      <c r="W17" s="40"/>
      <c r="X17" s="40"/>
      <c r="Y17" s="41" t="s">
        <v>33</v>
      </c>
      <c r="Z17" s="6736" t="str">
        <f>AB20&amp;" "&amp;AC20&amp;" ► Famille = "&amp;AH14&amp;" ► "&amp;Y14&amp;" "&amp;AF17&amp;" "&amp;AH17&amp;" "&amp;AI17&amp;" "&amp;AJ17</f>
        <v>Recette mère ► MILLE-FEUILLE  aux fraises des bois ► Famille = pâtisserie--ENTREMET ► CHIBOUST PAMPLEMOUSSE  ⓫  Dupliquée pour 36 desserts</v>
      </c>
      <c r="AA17" s="6736"/>
      <c r="AB17" s="6736"/>
      <c r="AC17" s="6736"/>
      <c r="AD17" s="6736"/>
      <c r="AE17" s="6736"/>
      <c r="AF17" s="6736"/>
      <c r="AG17" s="1359"/>
      <c r="AH17" s="1359" t="s">
        <v>35</v>
      </c>
      <c r="AI17" s="42">
        <v>36</v>
      </c>
      <c r="AJ17" s="43" t="str">
        <f>AJ19</f>
        <v>desserts</v>
      </c>
      <c r="AK17" s="6120" t="str">
        <f t="shared" si="13"/>
        <v>►</v>
      </c>
      <c r="AL17" s="720" t="s">
        <v>10</v>
      </c>
      <c r="AM17" s="6866" t="s">
        <v>834</v>
      </c>
      <c r="AN17" s="1225"/>
      <c r="AO17" s="1225"/>
      <c r="AP17" s="1225"/>
      <c r="AQ17" s="746"/>
      <c r="AR17" s="6872" t="s">
        <v>1567</v>
      </c>
      <c r="AS17" s="6873"/>
      <c r="AT17" s="6873"/>
      <c r="AU17" s="6873"/>
      <c r="AV17" s="6873"/>
      <c r="AW17" s="6879" t="s">
        <v>1568</v>
      </c>
      <c r="AX17" s="6879"/>
      <c r="AY17" s="6900" t="s">
        <v>8088</v>
      </c>
      <c r="AZ17" s="6900"/>
      <c r="BA17" s="6883" t="s">
        <v>1569</v>
      </c>
      <c r="BB17" s="6883"/>
      <c r="BC17" s="6486" t="s">
        <v>1570</v>
      </c>
      <c r="BD17" s="6860" t="s">
        <v>1571</v>
      </c>
      <c r="BE17" s="6862" t="s">
        <v>1572</v>
      </c>
      <c r="BF17" s="6863"/>
      <c r="BG17" s="6891" t="s">
        <v>247</v>
      </c>
      <c r="BH17" s="6496" t="s">
        <v>1573</v>
      </c>
      <c r="BI17" s="6894" t="s">
        <v>1574</v>
      </c>
      <c r="BJ17" s="6896" t="s">
        <v>1575</v>
      </c>
      <c r="BK17" s="6889" t="s">
        <v>834</v>
      </c>
      <c r="BL17" s="227"/>
      <c r="BM17" s="227"/>
      <c r="BN17" s="227"/>
      <c r="BP17" s="750" t="s">
        <v>835</v>
      </c>
      <c r="BQ17" s="750" t="s">
        <v>1576</v>
      </c>
      <c r="BR17" s="750" t="s">
        <v>1577</v>
      </c>
      <c r="BS17" s="756">
        <v>0.25</v>
      </c>
      <c r="BT17" s="641" t="s">
        <v>1562</v>
      </c>
      <c r="BU17" s="641"/>
      <c r="BV17" s="757">
        <f t="shared" si="18"/>
        <v>4</v>
      </c>
      <c r="BW17" s="758"/>
      <c r="BY17" s="630"/>
      <c r="BZ17" s="630"/>
      <c r="CA17" s="630"/>
      <c r="CB17" s="630"/>
      <c r="CC17" s="630"/>
      <c r="CD17" s="720" t="str">
        <f t="shared" si="15"/>
        <v>A</v>
      </c>
      <c r="CE17" s="759"/>
      <c r="CF17" s="759"/>
      <c r="CG17" s="759"/>
      <c r="CH17" s="759"/>
      <c r="CI17" s="759"/>
      <c r="CJ17" s="719"/>
      <c r="CK17" s="2310" t="s">
        <v>8976</v>
      </c>
      <c r="CL17" s="2306"/>
      <c r="CM17" s="350"/>
      <c r="CN17" s="350"/>
      <c r="CO17" s="388" t="s">
        <v>8949</v>
      </c>
      <c r="CP17" s="266"/>
      <c r="CQ17" s="780"/>
      <c r="CS17" s="2310" t="s">
        <v>8992</v>
      </c>
      <c r="CT17" s="2306"/>
      <c r="CU17" s="350"/>
      <c r="CV17" s="350"/>
      <c r="CW17" s="388" t="s">
        <v>9003</v>
      </c>
      <c r="CX17" s="266"/>
      <c r="CY17" s="780"/>
      <c r="DA17" s="2310" t="s">
        <v>8985</v>
      </c>
      <c r="DB17" s="2306"/>
      <c r="DC17" s="350"/>
      <c r="DD17" s="350"/>
      <c r="DE17" s="388" t="s">
        <v>9009</v>
      </c>
      <c r="DF17" s="266"/>
      <c r="DG17" s="780"/>
      <c r="DH17" s="227"/>
      <c r="DI17" s="3">
        <v>1</v>
      </c>
      <c r="DK17" s="198" t="s">
        <v>14242</v>
      </c>
    </row>
    <row r="18" spans="1:115" s="627" customFormat="1" ht="21" customHeight="1" thickBot="1">
      <c r="A18" s="701" t="s">
        <v>21</v>
      </c>
      <c r="B18" s="2265" t="str" cm="1">
        <f t="array" ref="B18">SUMPRODUCT(--(D18:J18&lt;&gt;""), LEN(TRIM(SUBSTITUTE(D18:J18, CHAR(160), "")))) &amp; " Car."</f>
        <v>0 Car.</v>
      </c>
      <c r="C18" s="1376" t="str">
        <f>IF(ISBLANK(D18),"",LARGE(C13:C17,1)+1)</f>
        <v/>
      </c>
      <c r="D18" s="1833"/>
      <c r="E18" s="1810"/>
      <c r="F18" s="1810"/>
      <c r="G18" s="1810"/>
      <c r="H18" s="1810"/>
      <c r="I18" s="1810"/>
      <c r="J18" s="1810"/>
      <c r="K18" s="1810"/>
      <c r="L18" s="1811"/>
      <c r="M18" s="9"/>
      <c r="N18" s="25" t="str">
        <f t="shared" si="16"/>
        <v>A</v>
      </c>
      <c r="O18" s="1611" t="s">
        <v>8238</v>
      </c>
      <c r="P18" s="9"/>
      <c r="Q18" s="25" t="s">
        <v>10</v>
      </c>
      <c r="R18" s="31" t="str">
        <f>R20</f>
        <v>C CHIBOUST PAMPLEMOUSSE | pâtisserie--ENTREMET| Auteur &gt; recette Béghin Say de Jean-Jacques Borne MOF 1994</v>
      </c>
      <c r="S18" s="32">
        <f>S20</f>
        <v>18</v>
      </c>
      <c r="T18" s="32" t="str">
        <f>T20</f>
        <v>desserts</v>
      </c>
      <c r="U18" s="33" t="str">
        <f>U20</f>
        <v>Recette mère ► MILLE-FEUILLE  aux fraises des bois</v>
      </c>
      <c r="V18" s="1360">
        <v>18</v>
      </c>
      <c r="W18" s="1361" t="s">
        <v>3056</v>
      </c>
      <c r="X18" s="39"/>
      <c r="Y18" s="39"/>
      <c r="Z18" s="6736"/>
      <c r="AA18" s="6736"/>
      <c r="AB18" s="6736"/>
      <c r="AC18" s="6736"/>
      <c r="AD18" s="6736"/>
      <c r="AE18" s="6736"/>
      <c r="AF18" s="6736"/>
      <c r="AG18" s="696"/>
      <c r="AH18" s="696"/>
      <c r="AI18" s="47" t="s">
        <v>40</v>
      </c>
      <c r="AJ18" s="48" t="s">
        <v>41</v>
      </c>
      <c r="AK18" s="6120" t="str">
        <f t="shared" si="13"/>
        <v>►</v>
      </c>
      <c r="AL18" s="720" t="s">
        <v>10</v>
      </c>
      <c r="AM18" s="6899"/>
      <c r="AN18" s="731"/>
      <c r="AO18" s="731"/>
      <c r="AP18" s="731"/>
      <c r="AQ18" s="760"/>
      <c r="AR18" s="6875"/>
      <c r="AS18" s="6876"/>
      <c r="AT18" s="6876"/>
      <c r="AU18" s="6876"/>
      <c r="AV18" s="6876"/>
      <c r="AW18" s="6881"/>
      <c r="AX18" s="6881"/>
      <c r="AY18" s="6901"/>
      <c r="AZ18" s="6901"/>
      <c r="BA18" s="6884"/>
      <c r="BB18" s="6884"/>
      <c r="BC18" s="6898"/>
      <c r="BD18" s="6861"/>
      <c r="BE18" s="6864"/>
      <c r="BF18" s="6865"/>
      <c r="BG18" s="6892"/>
      <c r="BH18" s="6893"/>
      <c r="BI18" s="6895"/>
      <c r="BJ18" s="6897"/>
      <c r="BK18" s="6890"/>
      <c r="BL18" s="227"/>
      <c r="BM18" s="227"/>
      <c r="BN18" s="227"/>
      <c r="BP18" s="750" t="s">
        <v>836</v>
      </c>
      <c r="BQ18" s="750" t="s">
        <v>1578</v>
      </c>
      <c r="BR18" s="750" t="s">
        <v>1579</v>
      </c>
      <c r="BS18" s="756">
        <v>0.33</v>
      </c>
      <c r="BT18" s="641" t="s">
        <v>1562</v>
      </c>
      <c r="BU18" s="641"/>
      <c r="BV18" s="757">
        <f t="shared" si="18"/>
        <v>3</v>
      </c>
      <c r="BW18" s="758"/>
      <c r="BY18" s="630"/>
      <c r="BZ18" s="630"/>
      <c r="CA18" s="630"/>
      <c r="CB18" s="630"/>
      <c r="CC18" s="630"/>
      <c r="CD18" s="720" t="str">
        <f t="shared" si="15"/>
        <v>A</v>
      </c>
      <c r="CE18" s="761" t="s">
        <v>1580</v>
      </c>
      <c r="CF18" s="638"/>
      <c r="CG18" s="638"/>
      <c r="CH18" s="638"/>
      <c r="CI18" s="638"/>
      <c r="CJ18" s="719"/>
      <c r="CK18" s="2311" t="s">
        <v>8991</v>
      </c>
      <c r="CL18" s="2307"/>
      <c r="CM18" s="350"/>
      <c r="CN18" s="350"/>
      <c r="CO18" s="2307" t="s">
        <v>8945</v>
      </c>
      <c r="CP18" s="266"/>
      <c r="CQ18" s="780"/>
      <c r="CS18" s="2311" t="s">
        <v>9001</v>
      </c>
      <c r="CT18" s="2307"/>
      <c r="CU18" s="350"/>
      <c r="CV18" s="350"/>
      <c r="CW18" s="2307" t="s">
        <v>9004</v>
      </c>
      <c r="CX18" s="266"/>
      <c r="CY18" s="780"/>
      <c r="DA18" s="2311" t="s">
        <v>8998</v>
      </c>
      <c r="DB18" s="2307"/>
      <c r="DC18" s="350"/>
      <c r="DD18" s="350"/>
      <c r="DE18" s="2307" t="s">
        <v>9010</v>
      </c>
      <c r="DF18" s="266"/>
      <c r="DG18" s="780"/>
      <c r="DH18" s="227"/>
      <c r="DI18" s="3">
        <v>1</v>
      </c>
      <c r="DK18" s="198" t="s">
        <v>14230</v>
      </c>
    </row>
    <row r="19" spans="1:115" s="627" customFormat="1" ht="21" customHeight="1" thickTop="1" thickBot="1">
      <c r="A19" s="701" t="s">
        <v>21</v>
      </c>
      <c r="B19" s="2265" t="str" cm="1">
        <f t="array" ref="B19">SUMPRODUCT(--(D19:J19&lt;&gt;""), LEN(TRIM(SUBSTITUTE(D19:J19, CHAR(160), "")))) &amp; " Car."</f>
        <v>0 Car.</v>
      </c>
      <c r="C19" s="1376" t="str">
        <f>IF(ISBLANK(D19),"",LARGE(C13:C18,1)+1)</f>
        <v/>
      </c>
      <c r="D19" s="1833"/>
      <c r="E19" s="1810"/>
      <c r="F19" s="1810"/>
      <c r="G19" s="1810"/>
      <c r="H19" s="1810"/>
      <c r="I19" s="1810"/>
      <c r="J19" s="1810"/>
      <c r="K19" s="1810"/>
      <c r="L19" s="1811"/>
      <c r="M19" s="9"/>
      <c r="N19" s="25" t="str">
        <f t="shared" si="16"/>
        <v>A</v>
      </c>
      <c r="O19" s="1611" t="str">
        <f>IF(O16=O21,"Aucunes",O21-O16)</f>
        <v>Aucunes</v>
      </c>
      <c r="P19" s="9"/>
      <c r="Q19" s="25" t="s">
        <v>10</v>
      </c>
      <c r="R19" s="31" t="str">
        <f>R20</f>
        <v>C CHIBOUST PAMPLEMOUSSE | pâtisserie--ENTREMET| Auteur &gt; recette Béghin Say de Jean-Jacques Borne MOF 1994</v>
      </c>
      <c r="S19" s="32">
        <f>S20</f>
        <v>18</v>
      </c>
      <c r="T19" s="32" t="str">
        <f>T20</f>
        <v>desserts</v>
      </c>
      <c r="U19" s="33" t="str">
        <f>U20</f>
        <v>Recette mère ► MILLE-FEUILLE  aux fraises des bois</v>
      </c>
      <c r="V19" s="53"/>
      <c r="W19" s="1323" t="s">
        <v>8094</v>
      </c>
      <c r="X19" s="6737">
        <f>AF39</f>
        <v>0.67100000000000004</v>
      </c>
      <c r="Y19" s="6737"/>
      <c r="Z19" s="1324" t="str" cm="1">
        <f t="array" ref="Z19">"1= "&amp;IF(OR(V18&lt;=0,X19=""),"",_xlfn.LET(_xlpm.kg,IF(ISNUMBER(X19),X19,VALEUR(SUBSTITUTE(SUBSTITUTE(SUBSTITUTE(LOWER(X19),"kg",""),",",".")," ",""))),TEXT(ROUND(_xlpm.kg*1000/V18,2),"0.##")&amp;" g"))</f>
        <v>1= 37.28 g</v>
      </c>
      <c r="AA19" s="1325">
        <f>IFERROR(AI17/AI19,0)</f>
        <v>2</v>
      </c>
      <c r="AB19" s="1817" t="s">
        <v>8230</v>
      </c>
      <c r="AC19" s="579"/>
      <c r="AD19" s="55"/>
      <c r="AE19" s="55"/>
      <c r="AF19"/>
      <c r="AG19" s="1362"/>
      <c r="AH19" s="1362" t="s">
        <v>50</v>
      </c>
      <c r="AI19" s="882">
        <v>18</v>
      </c>
      <c r="AJ19" s="56" t="s">
        <v>3056</v>
      </c>
      <c r="AK19" s="6120" t="str">
        <f t="shared" si="13"/>
        <v>►</v>
      </c>
      <c r="AL19" s="720" t="s">
        <v>10</v>
      </c>
      <c r="AM19" s="764" t="str">
        <f t="shared" ref="AM19:BK19" si="19">SUBSTITUTE(ADDRESS(1,COLUMN(),4),"1","")</f>
        <v>AM</v>
      </c>
      <c r="AN19" s="764" t="str">
        <f t="shared" si="19"/>
        <v>AN</v>
      </c>
      <c r="AO19" s="764" t="str">
        <f t="shared" si="19"/>
        <v>AO</v>
      </c>
      <c r="AP19" s="764" t="str">
        <f t="shared" si="19"/>
        <v>AP</v>
      </c>
      <c r="AQ19" s="764" t="str">
        <f t="shared" si="19"/>
        <v>AQ</v>
      </c>
      <c r="AR19" s="764" t="str">
        <f t="shared" si="19"/>
        <v>AR</v>
      </c>
      <c r="AS19" s="764" t="str">
        <f t="shared" si="19"/>
        <v>AS</v>
      </c>
      <c r="AT19" s="764" t="str">
        <f t="shared" si="19"/>
        <v>AT</v>
      </c>
      <c r="AU19" s="765" t="str">
        <f t="shared" si="19"/>
        <v>AU</v>
      </c>
      <c r="AV19" s="765" t="str">
        <f t="shared" si="19"/>
        <v>AV</v>
      </c>
      <c r="AW19" s="765" t="str">
        <f t="shared" si="19"/>
        <v>AW</v>
      </c>
      <c r="AX19" s="765" t="str">
        <f t="shared" si="19"/>
        <v>AX</v>
      </c>
      <c r="AY19" s="765" t="str">
        <f t="shared" si="19"/>
        <v>AY</v>
      </c>
      <c r="AZ19" s="765" t="str">
        <f t="shared" si="19"/>
        <v>AZ</v>
      </c>
      <c r="BA19" s="765" t="str">
        <f t="shared" si="19"/>
        <v>BA</v>
      </c>
      <c r="BB19" s="765" t="str">
        <f t="shared" si="19"/>
        <v>BB</v>
      </c>
      <c r="BC19" s="765" t="str">
        <f t="shared" si="19"/>
        <v>BC</v>
      </c>
      <c r="BD19" s="765" t="str">
        <f t="shared" si="19"/>
        <v>BD</v>
      </c>
      <c r="BE19" s="765" t="str">
        <f t="shared" si="19"/>
        <v>BE</v>
      </c>
      <c r="BF19" s="765" t="str">
        <f t="shared" si="19"/>
        <v>BF</v>
      </c>
      <c r="BG19" s="765" t="str">
        <f t="shared" si="19"/>
        <v>BG</v>
      </c>
      <c r="BH19" s="765" t="str">
        <f t="shared" si="19"/>
        <v>BH</v>
      </c>
      <c r="BI19" s="765" t="str">
        <f t="shared" si="19"/>
        <v>BI</v>
      </c>
      <c r="BJ19" s="765" t="str">
        <f t="shared" si="19"/>
        <v>BJ</v>
      </c>
      <c r="BK19" s="765" t="str">
        <f t="shared" si="19"/>
        <v>BK</v>
      </c>
      <c r="BL19" s="227"/>
      <c r="BM19" s="766" t="str">
        <f>SUBSTITUTE(ADDRESS(1,COLUMN(),4),"1","")</f>
        <v>BM</v>
      </c>
      <c r="BN19" s="766" t="str">
        <f>SUBSTITUTE(ADDRESS(1,COLUMN(),4),"1","")</f>
        <v>BN</v>
      </c>
      <c r="BP19" s="422" t="s">
        <v>140</v>
      </c>
      <c r="BQ19" s="422" t="s">
        <v>140</v>
      </c>
      <c r="BR19" s="422" t="s">
        <v>140</v>
      </c>
      <c r="BS19" s="767">
        <f>BW19 / 1000</f>
        <v>1</v>
      </c>
      <c r="BT19" s="642" t="s">
        <v>837</v>
      </c>
      <c r="BU19" s="642" t="s">
        <v>1584</v>
      </c>
      <c r="BV19" s="757">
        <f t="shared" si="18"/>
        <v>1</v>
      </c>
      <c r="BW19" s="768">
        <v>1000</v>
      </c>
      <c r="BY19" s="630"/>
      <c r="BZ19" s="630"/>
      <c r="CA19" s="630"/>
      <c r="CB19" s="630"/>
      <c r="CC19" s="630"/>
      <c r="CD19" s="720" t="str">
        <f t="shared" si="15"/>
        <v>A</v>
      </c>
      <c r="CE19" s="761"/>
      <c r="CF19" s="634"/>
      <c r="CG19" s="638"/>
      <c r="CH19" s="638"/>
      <c r="CI19" s="638"/>
      <c r="CJ19" s="719"/>
      <c r="CK19" s="2311" t="s">
        <v>8982</v>
      </c>
      <c r="CL19" s="2307"/>
      <c r="CM19" s="350"/>
      <c r="CN19" s="350"/>
      <c r="CO19" s="2307" t="s">
        <v>8946</v>
      </c>
      <c r="CP19" s="266"/>
      <c r="CQ19" s="780"/>
      <c r="CS19" s="2311" t="s">
        <v>9000</v>
      </c>
      <c r="CT19" s="2307"/>
      <c r="CU19" s="350"/>
      <c r="CV19" s="350"/>
      <c r="CW19" s="2307" t="s">
        <v>9005</v>
      </c>
      <c r="CX19" s="266"/>
      <c r="CY19" s="780"/>
      <c r="DA19" s="2311" t="s">
        <v>8986</v>
      </c>
      <c r="DB19" s="2307"/>
      <c r="DC19" s="350"/>
      <c r="DD19" s="350"/>
      <c r="DE19" s="2307" t="s">
        <v>9011</v>
      </c>
      <c r="DF19" s="266"/>
      <c r="DG19" s="780"/>
      <c r="DI19" s="3">
        <v>1</v>
      </c>
      <c r="DK19" s="198"/>
    </row>
    <row r="20" spans="1:115" s="627" customFormat="1" ht="21" customHeight="1" thickTop="1" thickBot="1">
      <c r="A20" s="701" t="s">
        <v>21</v>
      </c>
      <c r="B20" s="2265" t="str" cm="1">
        <f t="array" ref="B20">SUMPRODUCT(--(D20:J20&lt;&gt;""), LEN(TRIM(SUBSTITUTE(D20:J20, CHAR(160), "")))) &amp; " Car."</f>
        <v>0 Car.</v>
      </c>
      <c r="C20" s="1376" t="str">
        <f>IF(ISBLANK(D20),"",LARGE(C13:C19,1)+1)</f>
        <v/>
      </c>
      <c r="D20" s="1833"/>
      <c r="E20" s="1810"/>
      <c r="F20" s="1810"/>
      <c r="G20" s="1810"/>
      <c r="H20" s="1810"/>
      <c r="I20" s="1810"/>
      <c r="J20" s="1810"/>
      <c r="K20" s="1810"/>
      <c r="L20" s="1811"/>
      <c r="M20" s="9"/>
      <c r="N20" s="25" t="str">
        <f t="shared" si="16"/>
        <v>A</v>
      </c>
      <c r="O20" s="1612" t="s">
        <v>8239</v>
      </c>
      <c r="P20" s="9"/>
      <c r="Q20" s="25" t="s">
        <v>10</v>
      </c>
      <c r="R20" s="61" t="str">
        <f>V20</f>
        <v>C CHIBOUST PAMPLEMOUSSE | pâtisserie--ENTREMET| Auteur &gt; recette Béghin Say de Jean-Jacques Borne MOF 1994</v>
      </c>
      <c r="S20" s="62">
        <f>V18</f>
        <v>18</v>
      </c>
      <c r="T20" s="61" t="str">
        <f>W18</f>
        <v>desserts</v>
      </c>
      <c r="U20" s="63" t="str">
        <f>AB20&amp;" "&amp;AC20</f>
        <v>Recette mère ► MILLE-FEUILLE  aux fraises des bois</v>
      </c>
      <c r="V20" s="64" t="str">
        <f>UPPER(LEFT(Y14,1))&amp;" "&amp;Y14&amp;" | "&amp;AH14&amp;"| "&amp;Y16&amp;" "&amp;Z16</f>
        <v>C CHIBOUST PAMPLEMOUSSE | pâtisserie--ENTREMET| Auteur &gt; recette Béghin Say de Jean-Jacques Borne MOF 1994</v>
      </c>
      <c r="W20" s="65" t="s">
        <v>53</v>
      </c>
      <c r="X20" s="6735" t="s">
        <v>54</v>
      </c>
      <c r="Y20" s="6735"/>
      <c r="Z20" s="6735"/>
      <c r="AA20" s="66"/>
      <c r="AB20" s="66" t="str">
        <f>IF(ISTEXT(AC20),"Recette mère ►",W20)</f>
        <v>Recette mère ►</v>
      </c>
      <c r="AC20" s="67" t="s">
        <v>3081</v>
      </c>
      <c r="AD20" s="67"/>
      <c r="AE20" s="67"/>
      <c r="AF20" s="883"/>
      <c r="AG20" s="68"/>
      <c r="AH20" s="68"/>
      <c r="AI20" s="68"/>
      <c r="AJ20"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K20" s="6120" t="str">
        <f t="shared" si="13"/>
        <v>►</v>
      </c>
      <c r="AL20" s="720" t="s">
        <v>10</v>
      </c>
      <c r="AM20" s="769" t="s">
        <v>1585</v>
      </c>
      <c r="AN20" s="769" t="s">
        <v>1586</v>
      </c>
      <c r="AO20" s="769" t="s">
        <v>1587</v>
      </c>
      <c r="AP20" s="769" t="s">
        <v>1588</v>
      </c>
      <c r="AQ20" s="769" t="s">
        <v>1589</v>
      </c>
      <c r="AR20" s="769" t="s">
        <v>1590</v>
      </c>
      <c r="AS20" s="769" t="s">
        <v>1591</v>
      </c>
      <c r="AT20" s="769" t="s">
        <v>1592</v>
      </c>
      <c r="AU20" s="769" t="s">
        <v>1593</v>
      </c>
      <c r="AV20" s="769" t="s">
        <v>1594</v>
      </c>
      <c r="AW20" s="770" t="s">
        <v>1595</v>
      </c>
      <c r="AX20" s="769" t="s">
        <v>1596</v>
      </c>
      <c r="AY20" s="770" t="s">
        <v>1597</v>
      </c>
      <c r="AZ20" s="770" t="s">
        <v>1598</v>
      </c>
      <c r="BA20" s="770" t="s">
        <v>1599</v>
      </c>
      <c r="BB20" s="770" t="s">
        <v>1600</v>
      </c>
      <c r="BC20" s="770" t="s">
        <v>1601</v>
      </c>
      <c r="BD20" s="770" t="s">
        <v>1602</v>
      </c>
      <c r="BE20" s="771" t="s">
        <v>1603</v>
      </c>
      <c r="BF20" s="770" t="s">
        <v>1604</v>
      </c>
      <c r="BG20" s="770" t="s">
        <v>3103</v>
      </c>
      <c r="BH20" s="770" t="s">
        <v>3102</v>
      </c>
      <c r="BI20" s="770" t="s">
        <v>3101</v>
      </c>
      <c r="BJ20" s="770" t="s">
        <v>3100</v>
      </c>
      <c r="BK20" s="772" t="s">
        <v>8087</v>
      </c>
      <c r="BL20" s="227"/>
      <c r="BM20" s="773" t="s">
        <v>84</v>
      </c>
      <c r="BN20" s="774" t="s">
        <v>1605</v>
      </c>
      <c r="BO20" s="630"/>
      <c r="BP20" s="104" t="s">
        <v>100</v>
      </c>
      <c r="BQ20" s="104" t="s">
        <v>100</v>
      </c>
      <c r="BR20" s="104" t="s">
        <v>100</v>
      </c>
      <c r="BS20" s="767">
        <f>BW20 / 1000</f>
        <v>1E-3</v>
      </c>
      <c r="BT20" s="642" t="s">
        <v>837</v>
      </c>
      <c r="BU20" s="642" t="s">
        <v>1584</v>
      </c>
      <c r="BV20" s="757">
        <f t="shared" si="18"/>
        <v>1000</v>
      </c>
      <c r="BW20" s="768">
        <v>1</v>
      </c>
      <c r="BX20" s="630"/>
      <c r="BY20" s="630"/>
      <c r="BZ20" s="630"/>
      <c r="CA20" s="630"/>
      <c r="CB20" s="630"/>
      <c r="CC20" s="630"/>
      <c r="CD20" s="720" t="str">
        <f t="shared" si="15"/>
        <v>A</v>
      </c>
      <c r="CE20" s="761" t="s">
        <v>1606</v>
      </c>
      <c r="CF20" s="638"/>
      <c r="CG20" s="638"/>
      <c r="CH20" s="638"/>
      <c r="CI20" s="638"/>
      <c r="CJ20" s="719"/>
      <c r="CK20" s="2311" t="s">
        <v>8977</v>
      </c>
      <c r="CL20" s="2307"/>
      <c r="CM20" s="350"/>
      <c r="CN20" s="350"/>
      <c r="CO20" s="2307" t="s">
        <v>8950</v>
      </c>
      <c r="CP20" s="266"/>
      <c r="CQ20" s="780"/>
      <c r="CS20" s="2311" t="s">
        <v>8993</v>
      </c>
      <c r="CT20" s="2307"/>
      <c r="CU20" s="350"/>
      <c r="CV20" s="350"/>
      <c r="CW20" s="2307" t="s">
        <v>9006</v>
      </c>
      <c r="CX20" s="266"/>
      <c r="CY20" s="780"/>
      <c r="DA20" s="2311" t="s">
        <v>8999</v>
      </c>
      <c r="DB20" s="2307"/>
      <c r="DC20" s="350"/>
      <c r="DD20" s="350"/>
      <c r="DE20" s="2307" t="s">
        <v>9012</v>
      </c>
      <c r="DF20" s="266"/>
      <c r="DG20" s="780"/>
      <c r="DI20" s="3">
        <v>1</v>
      </c>
      <c r="DK20" s="198" t="s">
        <v>14233</v>
      </c>
    </row>
    <row r="21" spans="1:115" s="627" customFormat="1" ht="21" customHeight="1" thickTop="1">
      <c r="A21" s="701" t="s">
        <v>21</v>
      </c>
      <c r="B21" s="2265" t="str" cm="1">
        <f t="array" ref="B21">SUMPRODUCT(--(D21:J21&lt;&gt;""), LEN(TRIM(SUBSTITUTE(D21:J21, CHAR(160), "")))) &amp; " Car."</f>
        <v>0 Car.</v>
      </c>
      <c r="C21" s="1376" t="str">
        <f>IF(ISBLANK(D21),"",LARGE(C13:C20,1)+1)</f>
        <v/>
      </c>
      <c r="D21" s="1833"/>
      <c r="E21" s="1810"/>
      <c r="F21" s="1810"/>
      <c r="G21" s="1810"/>
      <c r="H21" s="1810"/>
      <c r="I21" s="1810"/>
      <c r="J21" s="1810"/>
      <c r="K21" s="1810"/>
      <c r="L21" s="1811"/>
      <c r="M21" s="9"/>
      <c r="N21" s="25" t="str">
        <f t="shared" si="16"/>
        <v>A</v>
      </c>
      <c r="O21" s="6841">
        <f>ROWS(N14:N551)</f>
        <v>538</v>
      </c>
      <c r="P21" s="9"/>
      <c r="Q21" s="25" t="s">
        <v>10</v>
      </c>
      <c r="R21" s="70" t="str">
        <f>R20</f>
        <v>C CHIBOUST PAMPLEMOUSSE | pâtisserie--ENTREMET| Auteur &gt; recette Béghin Say de Jean-Jacques Borne MOF 1994</v>
      </c>
      <c r="S21" s="70">
        <f>S20</f>
        <v>18</v>
      </c>
      <c r="T21" s="70" t="str">
        <f>T20</f>
        <v>desserts</v>
      </c>
      <c r="U21" s="71" t="str">
        <f>U20</f>
        <v>Recette mère ► MILLE-FEUILLE  aux fraises des bois</v>
      </c>
      <c r="V21" s="12" t="s">
        <v>65</v>
      </c>
      <c r="W21" s="12" t="s">
        <v>66</v>
      </c>
      <c r="X21" s="12" t="s">
        <v>67</v>
      </c>
      <c r="Y21" s="12" t="s">
        <v>68</v>
      </c>
      <c r="Z21" s="72" t="s">
        <v>69</v>
      </c>
      <c r="AA21" s="73" t="s">
        <v>70</v>
      </c>
      <c r="AB21" s="12" t="s">
        <v>71</v>
      </c>
      <c r="AC21" s="12" t="s">
        <v>72</v>
      </c>
      <c r="AD21" s="12" t="s">
        <v>73</v>
      </c>
      <c r="AE21" s="12" t="s">
        <v>74</v>
      </c>
      <c r="AF21" s="12" t="s">
        <v>75</v>
      </c>
      <c r="AG21" s="12" t="s">
        <v>76</v>
      </c>
      <c r="AH21" s="12" t="s">
        <v>77</v>
      </c>
      <c r="AI21" s="12" t="s">
        <v>8143</v>
      </c>
      <c r="AJ21" s="74" t="s">
        <v>8407</v>
      </c>
      <c r="AK21" s="6120" t="str">
        <f t="shared" si="13"/>
        <v>►</v>
      </c>
      <c r="AL21" s="720" t="s">
        <v>10</v>
      </c>
      <c r="AM21" s="6866" t="s">
        <v>1607</v>
      </c>
      <c r="AN21" s="6867"/>
      <c r="AO21" s="6867"/>
      <c r="AP21" s="6867"/>
      <c r="AQ21" s="6868"/>
      <c r="AR21" s="6872" t="s">
        <v>32</v>
      </c>
      <c r="AS21" s="6873"/>
      <c r="AT21" s="6873"/>
      <c r="AU21" s="6873"/>
      <c r="AV21" s="6874"/>
      <c r="AW21" s="6878" t="s">
        <v>1608</v>
      </c>
      <c r="AX21" s="6879"/>
      <c r="AY21" s="6882" t="s">
        <v>8086</v>
      </c>
      <c r="AZ21" s="6882"/>
      <c r="BA21" s="6883" t="s">
        <v>1609</v>
      </c>
      <c r="BB21" s="6883"/>
      <c r="BC21" s="6885" t="s">
        <v>1610</v>
      </c>
      <c r="BD21" s="6860" t="s">
        <v>1611</v>
      </c>
      <c r="BE21" s="6862" t="s">
        <v>1554</v>
      </c>
      <c r="BF21" s="6863"/>
      <c r="BG21" s="6891" t="s">
        <v>84</v>
      </c>
      <c r="BH21" s="6496" t="s">
        <v>1612</v>
      </c>
      <c r="BI21" s="6894" t="s">
        <v>1613</v>
      </c>
      <c r="BJ21" s="6896" t="s">
        <v>1614</v>
      </c>
      <c r="BK21" s="6889" t="s">
        <v>95</v>
      </c>
      <c r="BL21" s="227" t="s">
        <v>21</v>
      </c>
      <c r="BM21" s="773">
        <f>IFERROR(_xlfn.LET(_xlpm.b,(V21*#REF!)/AU15,IF(ISNUMBER(AY15),_xlpm.b*AY15,IF(OR(ISBLANK(AY15),AY15=""),_xlpm.b*AW15,IF(AND(BN21=0,ISNUMBER(V21)),_xlpm.b/AW15,0)))),0)</f>
        <v>0</v>
      </c>
      <c r="BN21" s="774">
        <f>IF(AR15&lt;=0,0,IF(ISBLANK(AY15),IFERROR(AW15/AU15,0),IFERROR(AY15/AU15,0)))</f>
        <v>0</v>
      </c>
      <c r="BO21" s="630"/>
      <c r="BP21" s="118" t="s">
        <v>142</v>
      </c>
      <c r="BQ21" s="118" t="s">
        <v>1320</v>
      </c>
      <c r="BR21" s="118" t="s">
        <v>1301</v>
      </c>
      <c r="BS21" s="767">
        <f>BW21 / 1000</f>
        <v>0.25</v>
      </c>
      <c r="BT21" s="642" t="s">
        <v>837</v>
      </c>
      <c r="BU21" s="642" t="s">
        <v>1584</v>
      </c>
      <c r="BV21" s="757">
        <f t="shared" si="18"/>
        <v>4</v>
      </c>
      <c r="BW21" s="776">
        <v>250</v>
      </c>
      <c r="BX21" s="630"/>
      <c r="BY21" s="630"/>
      <c r="BZ21" s="630"/>
      <c r="CA21" s="630"/>
      <c r="CB21" s="630"/>
      <c r="CC21" s="630"/>
      <c r="CD21" s="720" t="str">
        <f t="shared" si="15"/>
        <v>A</v>
      </c>
      <c r="CE21" s="761"/>
      <c r="CF21" s="634"/>
      <c r="CG21" s="634"/>
      <c r="CH21" s="635"/>
      <c r="CI21" s="635"/>
      <c r="CJ21" s="719"/>
      <c r="CK21" s="2311" t="s">
        <v>8978</v>
      </c>
      <c r="CL21" s="2307"/>
      <c r="CM21" s="350"/>
      <c r="CN21" s="350"/>
      <c r="CO21" s="2307" t="s">
        <v>8947</v>
      </c>
      <c r="CP21" s="266"/>
      <c r="CQ21" s="780"/>
      <c r="CS21" s="2311" t="s">
        <v>8994</v>
      </c>
      <c r="CT21" s="2307"/>
      <c r="CU21" s="350"/>
      <c r="CV21" s="350"/>
      <c r="CW21" s="2307" t="s">
        <v>9007</v>
      </c>
      <c r="CX21" s="266"/>
      <c r="CY21" s="780"/>
      <c r="DA21" s="2311" t="s">
        <v>8987</v>
      </c>
      <c r="DB21" s="2307"/>
      <c r="DC21" s="350"/>
      <c r="DD21" s="350"/>
      <c r="DE21" s="2307" t="s">
        <v>9013</v>
      </c>
      <c r="DF21" s="266"/>
      <c r="DG21" s="780"/>
      <c r="DI21" s="3">
        <v>1</v>
      </c>
      <c r="DK21" s="198" t="s">
        <v>14236</v>
      </c>
    </row>
    <row r="22" spans="1:115" s="627" customFormat="1" ht="21" customHeight="1" thickBot="1">
      <c r="A22" s="701" t="s">
        <v>21</v>
      </c>
      <c r="B22" s="2265" t="str" cm="1">
        <f t="array" ref="B22">SUMPRODUCT(--(D22:J22&lt;&gt;""), LEN(TRIM(SUBSTITUTE(D22:J22, CHAR(160), "")))) &amp; " Car."</f>
        <v>0 Car.</v>
      </c>
      <c r="C22" s="1376" t="str">
        <f>IF(ISBLANK(D22),"",LARGE(C13:C21,1)+1)</f>
        <v/>
      </c>
      <c r="D22" s="1833"/>
      <c r="E22" s="1810"/>
      <c r="F22" s="1810"/>
      <c r="G22" s="1810"/>
      <c r="H22" s="1810"/>
      <c r="I22" s="1810"/>
      <c r="J22" s="1810"/>
      <c r="K22" s="1810"/>
      <c r="L22" s="1811"/>
      <c r="M22" s="9"/>
      <c r="N22" s="25" t="str">
        <f t="shared" si="16"/>
        <v>A</v>
      </c>
      <c r="O22" s="6841"/>
      <c r="P22" s="9"/>
      <c r="Q22" s="25" t="s">
        <v>10</v>
      </c>
      <c r="R22" s="31" t="str">
        <f>R20</f>
        <v>C CHIBOUST PAMPLEMOUSSE | pâtisserie--ENTREMET| Auteur &gt; recette Béghin Say de Jean-Jacques Borne MOF 1994</v>
      </c>
      <c r="S22" s="32">
        <f>S20</f>
        <v>18</v>
      </c>
      <c r="T22" s="31" t="str">
        <f>T20</f>
        <v>desserts</v>
      </c>
      <c r="U22" s="33" t="str">
        <f>U20</f>
        <v>Recette mère ► MILLE-FEUILLE  aux fraises des bois</v>
      </c>
      <c r="V22" s="76" t="s">
        <v>78</v>
      </c>
      <c r="W22" s="77" t="s">
        <v>79</v>
      </c>
      <c r="X22" s="78"/>
      <c r="Y22" s="6612" t="s">
        <v>80</v>
      </c>
      <c r="Z22" s="6730" t="s">
        <v>81</v>
      </c>
      <c r="AA22" s="6732" t="s">
        <v>82</v>
      </c>
      <c r="AB22" s="6738" t="s">
        <v>8575</v>
      </c>
      <c r="AC22" s="79" t="s">
        <v>83</v>
      </c>
      <c r="AD22" s="80" t="s">
        <v>49</v>
      </c>
      <c r="AE22" s="81" t="s">
        <v>84</v>
      </c>
      <c r="AF22" s="6607" t="s">
        <v>85</v>
      </c>
      <c r="AG22" s="6582" t="s">
        <v>84</v>
      </c>
      <c r="AH22" s="6727" t="s">
        <v>8405</v>
      </c>
      <c r="AI22" s="6584" t="s">
        <v>86</v>
      </c>
      <c r="AJ22" s="6728" t="s">
        <v>87</v>
      </c>
      <c r="AK22" s="6120" t="str">
        <f t="shared" si="13"/>
        <v>►</v>
      </c>
      <c r="AL22" s="720" t="s">
        <v>10</v>
      </c>
      <c r="AM22" s="6869"/>
      <c r="AN22" s="6870"/>
      <c r="AO22" s="6870"/>
      <c r="AP22" s="6870"/>
      <c r="AQ22" s="6871"/>
      <c r="AR22" s="6875"/>
      <c r="AS22" s="6876"/>
      <c r="AT22" s="6876"/>
      <c r="AU22" s="6876"/>
      <c r="AV22" s="6877"/>
      <c r="AW22" s="6880"/>
      <c r="AX22" s="6881"/>
      <c r="AY22" s="1319" t="s">
        <v>8085</v>
      </c>
      <c r="AZ22" s="1318" t="s">
        <v>8084</v>
      </c>
      <c r="BA22" s="6884"/>
      <c r="BB22" s="6884"/>
      <c r="BC22" s="6886"/>
      <c r="BD22" s="6861"/>
      <c r="BE22" s="6864"/>
      <c r="BF22" s="6865"/>
      <c r="BG22" s="6892"/>
      <c r="BH22" s="6893"/>
      <c r="BI22" s="6895"/>
      <c r="BJ22" s="6897"/>
      <c r="BK22" s="6890"/>
      <c r="BL22" s="227" t="s">
        <v>21</v>
      </c>
      <c r="BM22" s="773">
        <f>IFERROR(_xlfn.LET(_xlpm.b,(V22*#REF!)/AU16,IF(ISNUMBER(AY16),_xlpm.b*AY16,IF(OR(ISBLANK(AY16),AY16=""),_xlpm.b*AW16,IF(AND(BN22=0,ISNUMBER(V22)),_xlpm.b/AW16,0)))),0)</f>
        <v>0</v>
      </c>
      <c r="BN22" s="774">
        <f>IF(AR16&lt;=0,0,IF(ISBLANK(AY16),IFERROR(AW16/AU16,0),IFERROR(AY16/AU16,0)))</f>
        <v>0</v>
      </c>
      <c r="BO22" s="630"/>
      <c r="BP22" s="118" t="s">
        <v>109</v>
      </c>
      <c r="BQ22" s="118" t="s">
        <v>1322</v>
      </c>
      <c r="BR22" s="118" t="s">
        <v>1303</v>
      </c>
      <c r="BS22" s="767">
        <f>BW22 / 1000</f>
        <v>0.5</v>
      </c>
      <c r="BT22" s="642" t="s">
        <v>837</v>
      </c>
      <c r="BU22" s="642" t="s">
        <v>1584</v>
      </c>
      <c r="BV22" s="757">
        <f t="shared" si="18"/>
        <v>2</v>
      </c>
      <c r="BW22" s="776">
        <v>500</v>
      </c>
      <c r="BX22" s="630"/>
      <c r="BY22" s="630"/>
      <c r="BZ22" s="630"/>
      <c r="CA22" s="630"/>
      <c r="CB22" s="630"/>
      <c r="CC22" s="630"/>
      <c r="CD22" s="720" t="str">
        <f t="shared" si="15"/>
        <v>A</v>
      </c>
      <c r="CE22" s="761" t="s">
        <v>1615</v>
      </c>
      <c r="CF22" s="634"/>
      <c r="CG22" s="634"/>
      <c r="CH22" s="635"/>
      <c r="CI22" s="635"/>
      <c r="CJ22" s="719"/>
      <c r="CK22" s="2311" t="s">
        <v>8979</v>
      </c>
      <c r="CL22" s="2307"/>
      <c r="CM22" s="350"/>
      <c r="CN22" s="350"/>
      <c r="CO22" s="2307"/>
      <c r="CP22" s="350"/>
      <c r="CQ22" s="780"/>
      <c r="CS22" s="2311" t="s">
        <v>8995</v>
      </c>
      <c r="CT22" s="2307"/>
      <c r="CU22" s="350"/>
      <c r="CV22" s="350"/>
      <c r="CW22" s="2307"/>
      <c r="CX22" s="350"/>
      <c r="CY22" s="780"/>
      <c r="DA22" s="2311" t="s">
        <v>8988</v>
      </c>
      <c r="DB22" s="2307"/>
      <c r="DC22" s="350"/>
      <c r="DD22" s="350"/>
      <c r="DE22" s="2307"/>
      <c r="DF22" s="350"/>
      <c r="DG22" s="780"/>
      <c r="DI22" s="3">
        <v>1</v>
      </c>
      <c r="DK22"/>
    </row>
    <row r="23" spans="1:115" s="627" customFormat="1" ht="21" customHeight="1" thickTop="1">
      <c r="A23" s="701" t="s">
        <v>21</v>
      </c>
      <c r="B23" s="2265" t="str" cm="1">
        <f t="array" ref="B23">SUMPRODUCT(--(D23:J23&lt;&gt;""), LEN(TRIM(SUBSTITUTE(D23:J23, CHAR(160), "")))) &amp; " Car."</f>
        <v>0 Car.</v>
      </c>
      <c r="C23" s="1376" t="str">
        <f>IF(ISBLANK(D23),"",LARGE(C13:C22,1)+1)</f>
        <v/>
      </c>
      <c r="D23" s="1833"/>
      <c r="E23" s="1810"/>
      <c r="F23" s="1810"/>
      <c r="G23" s="1810"/>
      <c r="H23" s="1810"/>
      <c r="I23" s="1810"/>
      <c r="J23" s="1810"/>
      <c r="K23" s="1810"/>
      <c r="L23" s="1811"/>
      <c r="M23" s="9"/>
      <c r="N23" s="25" t="str">
        <f t="shared" si="16"/>
        <v>A</v>
      </c>
      <c r="O23" s="6842" t="s">
        <v>8240</v>
      </c>
      <c r="P23" s="9"/>
      <c r="Q23" s="25" t="s">
        <v>10</v>
      </c>
      <c r="R23" s="31" t="str">
        <f>R20</f>
        <v>C CHIBOUST PAMPLEMOUSSE | pâtisserie--ENTREMET| Auteur &gt; recette Béghin Say de Jean-Jacques Borne MOF 1994</v>
      </c>
      <c r="S23" s="32">
        <f>S20</f>
        <v>18</v>
      </c>
      <c r="T23" s="31" t="str">
        <f>T20</f>
        <v>desserts</v>
      </c>
      <c r="U23" s="33" t="str">
        <f>U20</f>
        <v>Recette mère ► MILLE-FEUILLE  aux fraises des bois</v>
      </c>
      <c r="V23" s="83" t="s">
        <v>92</v>
      </c>
      <c r="W23" s="84" t="s">
        <v>93</v>
      </c>
      <c r="X23" s="85" t="s">
        <v>94</v>
      </c>
      <c r="Y23" s="6577"/>
      <c r="Z23" s="6471"/>
      <c r="AA23" s="6606"/>
      <c r="AB23" s="6739"/>
      <c r="AC23" s="86" t="s">
        <v>95</v>
      </c>
      <c r="AD23" s="87" t="s">
        <v>96</v>
      </c>
      <c r="AE23" s="88">
        <v>1</v>
      </c>
      <c r="AF23" s="6608"/>
      <c r="AG23" s="6583"/>
      <c r="AH23" s="6583"/>
      <c r="AI23" s="6585"/>
      <c r="AJ23" s="6786"/>
      <c r="AK23" s="6120" t="str">
        <f t="shared" si="13"/>
        <v>►</v>
      </c>
      <c r="AL23" s="781" t="str">
        <f t="shared" ref="AL23:AL86" si="20">IF(OR(AU23&gt;0,TRIM(AM23)="▼ recette suivante"),"A","►")</f>
        <v>►</v>
      </c>
      <c r="AM23" s="5497" t="str">
        <f t="shared" ref="AM23:AM86" si="21">IF(IFERROR(SEARCH("Adresse PC",TRIM(SUBSTITUTE(W23,CHAR(160)," "))),0)&gt;0,"▼ recette suivante",IF(AK23="A",R23,""))</f>
        <v/>
      </c>
      <c r="AN23" s="783" t="str">
        <f t="shared" ref="AN23:AN86" si="22">IF(AK23="A",S23,"")</f>
        <v/>
      </c>
      <c r="AO23" s="782" t="str">
        <f t="shared" ref="AO23:AO86" si="23">IF(AK23="A",T23,"")</f>
        <v/>
      </c>
      <c r="AP23" s="783" t="str">
        <f t="shared" ref="AP23:AP86" si="24">IF(AK23="A",Z23,"")</f>
        <v/>
      </c>
      <c r="AQ23" s="2083" t="b">
        <f>AND(Q23="A",COUNTIF(BP16:BR63,TRIM(Z23))&gt;0)</f>
        <v>0</v>
      </c>
      <c r="AR23" s="797" t="str">
        <f>IF(AL23&lt;&gt;"A","",IFERROR(IFERROR(_xlfn.XLOOKUP(TRIM(SUBSTITUTE(Z23,CHAR(160)," ")),BP16:BP63,BS16:BS63),IFERROR(_xlfn.XLOOKUP(TRIM(SUBSTITUTE(Z23,CHAR(160)," ")),BQ16:BQ63,BS16:BS63),_xlfn.XLOOKUP(TRIM(SUBSTITUTE(Z23,CHAR(160)," ")),BR16:BR63,BS16:BS63)))*Y23*IF(ISBLANK(V23),1,V23),0))</f>
        <v/>
      </c>
      <c r="AS23" s="784" t="str">
        <f t="shared" ref="AS23:AS86" si="25">IF(AK23="A",IF(AND(AQ23,AR23&gt;0),"Kg",""),"")</f>
        <v/>
      </c>
      <c r="AT23" s="1315" t="str">
        <f t="shared" ref="AT23:AT86" si="26">IF(AK23="A","❾ Author reference &gt;","")</f>
        <v/>
      </c>
      <c r="AU23" s="785">
        <f t="shared" ref="AU23:AU86" si="27">IF(AK23="A",S23,0)</f>
        <v>0</v>
      </c>
      <c r="AV23" s="785">
        <f t="shared" ref="AV23:AV86" si="28">IF(AK23="A",T23,0)</f>
        <v>0</v>
      </c>
      <c r="AW23" s="786">
        <f>IF(AK23="A",AY10,0)</f>
        <v>0</v>
      </c>
      <c r="AX23" s="5495" t="str">
        <f>IF(IFERROR(SEARCH("Adresse PC",TRIM(W23)),0)&gt;0,"▼ receta siguiente",IF(AK23="A",IF(AZ10&lt;&gt;"",AZ10&amp;" - ou.or.o ❾ + or - &gt;",""),""))</f>
        <v/>
      </c>
      <c r="AY23" s="1317"/>
      <c r="AZ23" s="1317"/>
      <c r="BA23" s="788" t="str">
        <f t="shared" ref="BA23:BA82" si="29">IF(AK23="A",IF(UPPER(TRIM(SUBSTITUTE(AS23,CHAR(160),"")))="KG",N(AR23)*N(BN23),0),"")</f>
        <v/>
      </c>
      <c r="BB23" s="789" t="str">
        <f>IF(AK23="A",IF(AQ23,IF(AND(AW23&lt;&gt;"",N(AW23)&gt;0),IFERROR(IFERROR(_xlfn.XLOOKUP(AP23,BP10:BP57,BT10:BT57),IFERROR(_xlfn.XLOOKUP(AP23,BQ10:BQ57,BT10:BT57),_xlfn.XLOOKUP(AP23,BR10:BR57,BT10:BT57,""))),""),""),""),"")</f>
        <v/>
      </c>
      <c r="BC23" s="811" cm="1">
        <f t="array" ref="BC23">IF(NOT(AQ23),0,IF(OR(BA23="",N(BA23)&lt;=0.000000001),"",IF(OR(AU23="",N(AU23)&lt;=0.000000001),0,IF(ISNUMBER(BA23),IFERROR(_xlfn.LET(_xlpm.ai_test,TRIM(AP23),_xlpm.r,IFERROR(_xlfn.XLOOKUP(_xlpm.ai_test,BP16:BP63,ROW(BP16:BP63),0,1),IFERROR(_xlfn.XLOOKUP(_xlpm.ai_test,BQ16:BQ63,ROW(BQ16:BQ63),0,1),_xlfn.XLOOKUP(_xlpm.ai_test,BR16:BR63,ROW(BR16:BR63),0,1))),_xlpm.p,_xlpm.r-MIN(ROW(BP16:BP63))+1,_xlpm.f,INDEX(BS16:BS63,_xlpm.p),_xlpm.u,INDEX(BT16:BT63,_xlpm.p),_xlpm.s,INDEX(BV16:BV63,_xlpm.p),_xlpm.q,N(BA23)/_xlpm.f,IF(_xlpm.q&gt;=_xlpm.s,ROUND(_xlpm.q,1)&amp;" "&amp;_xlpm.ai_test&amp;" = "&amp;ROUND(_xlpm.q*_xlpm.f,1)&amp;" "&amp;_xlpm.u,ROUND(_xlpm.q,1)&amp;" "&amp;_xlpm.ai_test)),""),""))))</f>
        <v>0</v>
      </c>
      <c r="BD23" s="801"/>
      <c r="BE23" s="788" t="str">
        <f t="shared" ref="BE23:BE85" si="30">IF(IFERROR(SEARCH("Adresse PC",TRIM(W23)),0)&gt;0,"▼next ricipe ",IF(BA23="","",IF(AK23="A",IF(ISBLANK(BD23),BA23,ROUND(BA23*(1-MIN(1,MAX(0,IF(BD23&gt;1,BD23/100,BD23)))),3)))))</f>
        <v/>
      </c>
      <c r="BF23" s="789" t="str">
        <f t="shared" ref="BF23:BF30" si="31">IF(AQ23,BB23,"")</f>
        <v/>
      </c>
      <c r="BG23" s="790">
        <f t="shared" ref="BG23:BG30" si="32">IF(AND(ISNUMBER(BM23),ABS(BM23)&gt;0.000000001),BM23,0)</f>
        <v>0</v>
      </c>
      <c r="BH23" s="791" t="str">
        <f t="shared" ref="BH23:BH30" si="33">IF(AND(AQ23, N(BG23)&gt;0.000000001), W23, "")</f>
        <v/>
      </c>
      <c r="BI23" s="792">
        <v>1</v>
      </c>
      <c r="BJ23" s="793">
        <f t="shared" ref="BJ23:BJ30" si="34">IF(OR(AU23=0,ISBLANK(BI23),ISTEXT(BG23)),0,(IF(BA23=0,BG23,BA23)*BI23))</f>
        <v>0</v>
      </c>
      <c r="BK23" s="794" t="str">
        <f>IF(AK23="A",IF(IFERROR(SEARCH("Adresse PC",TRIM(W23)),0)&gt;0,"▼recette suivante ",IF(BE23&gt;0,AC23,"")),"")</f>
        <v/>
      </c>
      <c r="BL23" s="227" t="s">
        <v>21</v>
      </c>
      <c r="BM23" s="773">
        <f t="shared" ref="BM23:BM86" si="35">IFERROR(_xlfn.LET(_xlpm.EPS,0.000000001,_xlpm.b,V23/AU23,IF(ISNUMBER(AY23),_xlpm.b*AY23,IF(OR(ISBLANK(AY23),AY23=""),_xlpm.b*AW23,IF(AND(BN23=0,ISNUMBER(V23)),_xlpm.b/AW23,0)))),0)</f>
        <v>0</v>
      </c>
      <c r="BN23" s="774">
        <f t="shared" ref="BN23:BN86" si="36">IF(AR23&gt;0,IFERROR(IF(OR(ISBLANK(AY23),AY23=""),AW23,AY23)/AU23,0),0)</f>
        <v>0</v>
      </c>
      <c r="BO23" s="630"/>
      <c r="BP23" s="118" t="s">
        <v>143</v>
      </c>
      <c r="BQ23" s="118" t="s">
        <v>1321</v>
      </c>
      <c r="BR23" s="118" t="s">
        <v>1302</v>
      </c>
      <c r="BS23" s="767">
        <f>BW23 / 1000</f>
        <v>0.33300000000000002</v>
      </c>
      <c r="BT23" s="642" t="s">
        <v>837</v>
      </c>
      <c r="BU23" s="642" t="s">
        <v>1584</v>
      </c>
      <c r="BV23" s="757">
        <f t="shared" si="18"/>
        <v>3</v>
      </c>
      <c r="BW23" s="776">
        <v>333</v>
      </c>
      <c r="BX23" s="630"/>
      <c r="BY23" s="630"/>
      <c r="BZ23" s="630"/>
      <c r="CA23" s="630"/>
      <c r="CB23" s="630"/>
      <c r="CC23" s="630"/>
      <c r="CD23" s="781" t="str">
        <f t="shared" si="15"/>
        <v>►</v>
      </c>
      <c r="CE23" s="636"/>
      <c r="CF23" s="634"/>
      <c r="CG23" s="634"/>
      <c r="CH23" s="635"/>
      <c r="CI23" s="635"/>
      <c r="CJ23" s="719"/>
      <c r="CK23" s="2311" t="s">
        <v>8980</v>
      </c>
      <c r="CL23" s="2307"/>
      <c r="CM23" s="350"/>
      <c r="CN23" s="350"/>
      <c r="CO23" s="2307"/>
      <c r="CP23" s="350"/>
      <c r="CQ23" s="780"/>
      <c r="CS23" s="2311" t="s">
        <v>8996</v>
      </c>
      <c r="CT23" s="2307"/>
      <c r="CU23" s="350"/>
      <c r="CV23" s="350"/>
      <c r="CW23" s="2307"/>
      <c r="CX23" s="350"/>
      <c r="CY23" s="780"/>
      <c r="DA23" s="2311" t="s">
        <v>8989</v>
      </c>
      <c r="DB23" s="2307"/>
      <c r="DC23" s="350"/>
      <c r="DD23" s="350"/>
      <c r="DE23" s="2307"/>
      <c r="DF23" s="350"/>
      <c r="DG23" s="780"/>
      <c r="DI23" s="3">
        <v>1</v>
      </c>
      <c r="DK23"/>
    </row>
    <row r="24" spans="1:115" s="627" customFormat="1" ht="21" customHeight="1">
      <c r="A24" s="701" t="s">
        <v>21</v>
      </c>
      <c r="B24" s="2265" t="str" cm="1">
        <f t="array" ref="B24">SUMPRODUCT(--(D24:J24&lt;&gt;""), LEN(TRIM(SUBSTITUTE(D24:J24, CHAR(160), "")))) &amp; " Car."</f>
        <v>0 Car.</v>
      </c>
      <c r="C24" s="1376" t="str">
        <f>IF(ISBLANK(D24),"",LARGE(C13:C23,1)+1)</f>
        <v/>
      </c>
      <c r="D24" s="1833"/>
      <c r="E24" s="1810"/>
      <c r="F24" s="1810"/>
      <c r="G24" s="1810"/>
      <c r="H24" s="1810"/>
      <c r="I24" s="1810"/>
      <c r="J24" s="1810"/>
      <c r="K24" s="1810"/>
      <c r="L24" s="1811"/>
      <c r="M24" s="9"/>
      <c r="N24" s="25" t="str">
        <f t="shared" si="16"/>
        <v>A</v>
      </c>
      <c r="O24" s="6842"/>
      <c r="P24" s="9"/>
      <c r="Q24" s="25" t="s">
        <v>10</v>
      </c>
      <c r="R24" s="31" t="str">
        <f>R20</f>
        <v>C CHIBOUST PAMPLEMOUSSE | pâtisserie--ENTREMET| Auteur &gt; recette Béghin Say de Jean-Jacques Borne MOF 1994</v>
      </c>
      <c r="S24" s="32">
        <f>S20</f>
        <v>18</v>
      </c>
      <c r="T24" s="31" t="str">
        <f>T20</f>
        <v>desserts</v>
      </c>
      <c r="U24" s="33" t="str">
        <f>U20</f>
        <v>Recette mère ► MILLE-FEUILLE  aux fraises des bois</v>
      </c>
      <c r="V24" s="89"/>
      <c r="W24" s="90"/>
      <c r="X24" s="91" t="str">
        <f t="shared" ref="X24:X38" si="37">IF(OR(ISTEXT(V24), V24&lt;=0, Y24&lt;=0), "", "de")</f>
        <v/>
      </c>
      <c r="Y24" s="92">
        <v>150</v>
      </c>
      <c r="Z24" s="104" t="s">
        <v>100</v>
      </c>
      <c r="AA24" s="130">
        <v>1</v>
      </c>
      <c r="AB24" s="1812" t="str">
        <f>ROWS(AB24:AB24)&amp;" ►"</f>
        <v>1 ►</v>
      </c>
      <c r="AC24" s="1580" t="s">
        <v>98</v>
      </c>
      <c r="AD24" s="95">
        <f>IF(AF39=0,0,(AF24/AF39)*AE23*1000)</f>
        <v>223.54694485842026</v>
      </c>
      <c r="AE24" s="96">
        <f>IF(AF39=0, 0, (V24*AA24)/(AF39*AE23))</f>
        <v>0</v>
      </c>
      <c r="AF24" s="97" cm="1">
        <f t="array" ref="AF24">IFERROR(_xlfn.XLOOKUP(UPPER(TRIM(Z24)),UPPER(TRIM(V40:AJ40)),V41:AJ41,_xlfn.XLOOKUP(UPPER(TRIM(Z24)),UPPER(TRIM(V42:AJ42)),V43:AJ43,0))*Y24*IF(V24&gt;0,V24,1),0)</f>
        <v>0.15</v>
      </c>
      <c r="AG24" s="98">
        <f>IF(AI19&lt;&gt;0,V24*AA24*AA19,0)</f>
        <v>0</v>
      </c>
      <c r="AH24" s="1834">
        <f>W24</f>
        <v>0</v>
      </c>
      <c r="AI24" s="99">
        <f>IF(OR(ISBLANK(AI19),AI19=0),0,AF24*AA24*AA19)</f>
        <v>0.3</v>
      </c>
      <c r="AJ24" s="100" t="str">
        <f>IF(Z24="","",IF(COUNTIF(AC40:AJ40,SUBSTITUTE(TRIM(Z24)," (s)",""))+COUNTIF(AC42:AJ42,SUBSTITUTE(TRIM(Z24)," (s)",""))&gt;0,IF(ROUND(AI24,3)&gt;=1,ROUND(AI24,3)&amp;" L",MAX(1,ROUND(AI24*100,0))&amp;" cl"),IF(COUNTIF(V40:AA40,SUBSTITUTE(TRIM(Z24)," (s)",""))+COUNTIF(V42:AA42,SUBSTITUTE(TRIM(Z24)," (s)",""))&gt;0,IF(ROUND(AI24,3)&gt;=1,ROUND(AI24,3)&amp;" Kg",MAX(1,ROUND(AI24*1000,0))&amp;" g"),"")))</f>
        <v>300 g</v>
      </c>
      <c r="AK24" s="6120" t="str">
        <f>IF(AND(IFERROR(SEARCH("►",AB24),0)&gt;0,ISNUMBER(IFERROR(VALUE(TRIM(SUBSTITUTE(AB24,"►",""))),NA())),AC24&lt;&gt;""),"A","►")</f>
        <v>A</v>
      </c>
      <c r="AL24" s="781" t="str">
        <f t="shared" si="20"/>
        <v>A</v>
      </c>
      <c r="AM24" s="5498" t="str">
        <f t="shared" si="21"/>
        <v>C CHIBOUST PAMPLEMOUSSE | pâtisserie--ENTREMET| Auteur &gt; recette Béghin Say de Jean-Jacques Borne MOF 1994</v>
      </c>
      <c r="AN24" s="783">
        <f>IF(AK24="A",S24,"")</f>
        <v>18</v>
      </c>
      <c r="AO24" s="782" t="str">
        <f t="shared" si="23"/>
        <v>desserts</v>
      </c>
      <c r="AP24" s="783" t="str">
        <f t="shared" si="24"/>
        <v>g</v>
      </c>
      <c r="AQ24" s="2083" t="b">
        <f>AND(Q24="A",COUNTIF(BP16:BR63,TRIM(Z24))&gt;0)</f>
        <v>1</v>
      </c>
      <c r="AR24" s="797">
        <f>IF(AL24&lt;&gt;"A","",IFERROR(IFERROR(_xlfn.XLOOKUP(TRIM(SUBSTITUTE(Z24,CHAR(160)," ")),BP16:BP63,BS16:BS63),IFERROR(_xlfn.XLOOKUP(TRIM(SUBSTITUTE(Z24,CHAR(160)," ")),BQ16:BQ63,BS16:BS63),_xlfn.XLOOKUP(TRIM(SUBSTITUTE(Z24,CHAR(160)," ")),BR16:BR63,BS16:BS63)))*Y24*IF(ISBLANK(V24),1,V24),0))</f>
        <v>0.15</v>
      </c>
      <c r="AS24" s="784" t="str">
        <f t="shared" si="25"/>
        <v>Kg</v>
      </c>
      <c r="AT24" s="1315" t="str">
        <f t="shared" si="26"/>
        <v>❾ Author reference &gt;</v>
      </c>
      <c r="AU24" s="785">
        <f t="shared" si="27"/>
        <v>18</v>
      </c>
      <c r="AV24" s="785" t="str">
        <f t="shared" si="28"/>
        <v>desserts</v>
      </c>
      <c r="AW24" s="798">
        <f>IF(AK24="A",AY10,0)</f>
        <v>20</v>
      </c>
      <c r="AX24" s="5496" t="str">
        <f>IF(IFERROR(SEARCH("Adresse PC",TRIM(W24)),0)&gt;0,"▼ receta siguiente",IF(AK24="A",IF(AZ10&lt;&gt;"",AZ10&amp;" - ou.or.o ❾ + or - &gt;",""),""))</f>
        <v>parts - ou.or.o ❾ + or - &gt;</v>
      </c>
      <c r="AY24" s="787"/>
      <c r="AZ24" s="787"/>
      <c r="BA24" s="799">
        <f t="shared" si="29"/>
        <v>0.16666666666666666</v>
      </c>
      <c r="BB24" s="800" t="str">
        <f>IF(AK24="A",IF(AQ24,IF(AND(AW24&lt;&gt;"",N(AW24)&gt;0),IFERROR(IFERROR(_xlfn.XLOOKUP(AP24,BP10:BP57,BT10:BT57),IFERROR(_xlfn.XLOOKUP(AP24,BQ10:BQ57,BT10:BT57),_xlfn.XLOOKUP(AP24,BR10:BR57,BT10:BT57,""))),""),""),""),"")</f>
        <v>Kg</v>
      </c>
      <c r="BC24" s="813" t="str" cm="1">
        <f t="array" ref="BC24">IF(NOT(AQ24),0,IF(OR(BA24="",N(BA24)&lt;=0.000000001),"",IF(OR(AU24="",N(AU24)&lt;=0.000000001),0,IF(ISNUMBER(BA24),IFERROR(_xlfn.LET(_xlpm.ai_test,TRIM(AP24),_xlpm.r,IFERROR(_xlfn.XLOOKUP(_xlpm.ai_test,BP16:BP63,ROW(BP16:BP63),0,1),IFERROR(_xlfn.XLOOKUP(_xlpm.ai_test,BQ16:BQ63,ROW(BQ16:BQ63),0,1),_xlfn.XLOOKUP(_xlpm.ai_test,BR16:BR63,ROW(BR16:BR63),0,1))),_xlpm.p,_xlpm.r-MIN(ROW(BP16:BP63))+1,_xlpm.f,INDEX(BS16:BS63,_xlpm.p),_xlpm.u,INDEX(BT16:BT63,_xlpm.p),_xlpm.s,INDEX(BV16:BV63,_xlpm.p),_xlpm.q,N(BA24)/_xlpm.f,IF(_xlpm.q&gt;=_xlpm.s,ROUND(_xlpm.q,1)&amp;" "&amp;_xlpm.ai_test&amp;" = "&amp;ROUND(_xlpm.q*_xlpm.f,1)&amp;" "&amp;_xlpm.u,ROUND(_xlpm.q,1)&amp;" "&amp;_xlpm.ai_test)),""),""))))</f>
        <v>166.7 g</v>
      </c>
      <c r="BD24" s="801"/>
      <c r="BE24" s="799">
        <f t="shared" si="30"/>
        <v>0.16666666666666666</v>
      </c>
      <c r="BF24" s="800" t="str">
        <f t="shared" si="31"/>
        <v>Kg</v>
      </c>
      <c r="BG24" s="802">
        <f t="shared" si="32"/>
        <v>0</v>
      </c>
      <c r="BH24" s="803" t="str">
        <f t="shared" si="33"/>
        <v/>
      </c>
      <c r="BI24" s="792">
        <v>1</v>
      </c>
      <c r="BJ24" s="804">
        <f t="shared" si="34"/>
        <v>0.16666666666666666</v>
      </c>
      <c r="BK24" s="794" t="str">
        <f t="shared" ref="BK24:BK87" si="38">IF(AK24="A",IF(IFERROR(SEARCH("Adresse PC",TRIM(W24)),0)&gt;0,"▼recette suivante ",IF(BE24&gt;0,AC24,"")),"")</f>
        <v>crème</v>
      </c>
      <c r="BL24" s="227" t="s">
        <v>21</v>
      </c>
      <c r="BM24" s="773">
        <f t="shared" si="35"/>
        <v>0</v>
      </c>
      <c r="BN24" s="774">
        <f t="shared" si="36"/>
        <v>1.1111111111111112</v>
      </c>
      <c r="BO24" s="630"/>
      <c r="BP24" s="643" t="s">
        <v>0</v>
      </c>
      <c r="BQ24" s="643" t="s">
        <v>0</v>
      </c>
      <c r="BR24" s="643" t="s">
        <v>0</v>
      </c>
      <c r="BS24" s="767">
        <v>1</v>
      </c>
      <c r="BT24" s="805" t="s">
        <v>1621</v>
      </c>
      <c r="BU24" s="805" t="s">
        <v>1622</v>
      </c>
      <c r="BV24" s="757">
        <f t="shared" si="18"/>
        <v>1</v>
      </c>
      <c r="BW24" s="806">
        <v>1000</v>
      </c>
      <c r="BX24" s="630"/>
      <c r="BY24" s="630"/>
      <c r="BZ24" s="630"/>
      <c r="CA24" s="630"/>
      <c r="CB24" s="630"/>
      <c r="CC24" s="630"/>
      <c r="CD24" s="781" t="str">
        <f t="shared" si="15"/>
        <v>A</v>
      </c>
      <c r="CE24" s="638"/>
      <c r="CF24" s="638"/>
      <c r="CG24" s="638"/>
      <c r="CH24" s="638"/>
      <c r="CI24" s="638"/>
      <c r="CJ24" s="719"/>
      <c r="CK24" s="2311" t="s">
        <v>8981</v>
      </c>
      <c r="CL24" s="2307"/>
      <c r="CM24" s="350"/>
      <c r="CN24" s="350"/>
      <c r="CO24" s="350"/>
      <c r="CP24" s="350"/>
      <c r="CQ24" s="780"/>
      <c r="CS24" s="2311" t="s">
        <v>8997</v>
      </c>
      <c r="CT24" s="2307"/>
      <c r="CU24" s="350"/>
      <c r="CV24" s="350"/>
      <c r="CW24" s="350"/>
      <c r="CX24" s="350"/>
      <c r="CY24" s="780"/>
      <c r="DA24" s="2311" t="s">
        <v>8990</v>
      </c>
      <c r="DB24" s="2307"/>
      <c r="DC24" s="350"/>
      <c r="DD24" s="350"/>
      <c r="DE24" s="350"/>
      <c r="DF24" s="350"/>
      <c r="DG24" s="780"/>
      <c r="DI24" s="3">
        <v>1</v>
      </c>
      <c r="DK24" s="198" t="s">
        <v>14243</v>
      </c>
    </row>
    <row r="25" spans="1:115" s="627" customFormat="1" ht="21" customHeight="1">
      <c r="A25" s="701" t="s">
        <v>21</v>
      </c>
      <c r="B25" s="2265" t="str" cm="1">
        <f t="array" ref="B25">SUMPRODUCT(--(D25:J25&lt;&gt;""), LEN(TRIM(SUBSTITUTE(D25:J25, CHAR(160), "")))) &amp; " Car."</f>
        <v>0 Car.</v>
      </c>
      <c r="C25" s="1376" t="str">
        <f>IF(ISBLANK(D25),"",LARGE(C13:C24,1)+1)</f>
        <v/>
      </c>
      <c r="D25" s="1833"/>
      <c r="E25" s="1810"/>
      <c r="F25" s="1810"/>
      <c r="G25" s="1810"/>
      <c r="H25" s="1810"/>
      <c r="I25" s="1810"/>
      <c r="J25" s="1810"/>
      <c r="K25" s="1810"/>
      <c r="L25" s="1811"/>
      <c r="M25" s="9"/>
      <c r="N25" s="103" t="str">
        <f t="shared" si="16"/>
        <v>A</v>
      </c>
      <c r="O25" s="6843" t="s">
        <v>8244</v>
      </c>
      <c r="P25" s="9"/>
      <c r="Q25" s="103" t="str">
        <f>IF(AC25&lt;&gt;"","A","►")</f>
        <v>A</v>
      </c>
      <c r="R25" s="31" t="str">
        <f>R20</f>
        <v>C CHIBOUST PAMPLEMOUSSE | pâtisserie--ENTREMET| Auteur &gt; recette Béghin Say de Jean-Jacques Borne MOF 1994</v>
      </c>
      <c r="S25" s="32">
        <f>S20</f>
        <v>18</v>
      </c>
      <c r="T25" s="31" t="str">
        <f>T20</f>
        <v>desserts</v>
      </c>
      <c r="U25" s="33" t="str">
        <f>U20</f>
        <v>Recette mère ► MILLE-FEUILLE  aux fraises des bois</v>
      </c>
      <c r="V25" s="89"/>
      <c r="W25" s="108"/>
      <c r="X25" s="91" t="str">
        <f t="shared" si="37"/>
        <v/>
      </c>
      <c r="Y25" s="92">
        <v>8</v>
      </c>
      <c r="Z25" s="104" t="s">
        <v>100</v>
      </c>
      <c r="AA25" s="130">
        <v>1</v>
      </c>
      <c r="AB25" s="1813" t="str">
        <f>ROWS(AB24:AB25)&amp;" ►"</f>
        <v>2 ►</v>
      </c>
      <c r="AC25" s="1580" t="s">
        <v>101</v>
      </c>
      <c r="AD25" s="95">
        <f>IF(AF39=0,0,(AF25/AF39)*AE23*1000)</f>
        <v>11.922503725782414</v>
      </c>
      <c r="AE25" s="105">
        <f>IF(AF39=0, 0, (V25*AA25)/(AF39*AE23))</f>
        <v>0</v>
      </c>
      <c r="AF25" s="97" cm="1">
        <f t="array" ref="AF25">IFERROR(_xlfn.XLOOKUP(UPPER(TRIM(Z25)),UPPER(TRIM(V40:AJ40)),V41:AJ41,_xlfn.XLOOKUP(UPPER(TRIM(Z25)),UPPER(TRIM(V42:AJ42)),V43:AJ43,0))*Y25*IF(V25&gt;0,V25,1),0)</f>
        <v>8.0000000000000002E-3</v>
      </c>
      <c r="AG25" s="110">
        <f>IF(AI19&lt;&gt;0,V25*AA25*AA19,0)</f>
        <v>0</v>
      </c>
      <c r="AH25" s="1748">
        <f t="shared" ref="AH25:AH38" si="39">W25</f>
        <v>0</v>
      </c>
      <c r="AI25" s="99">
        <f>IF(OR(ISBLANK(AI19),AI19=0),0,AF25*AA25*AA19)</f>
        <v>1.6E-2</v>
      </c>
      <c r="AJ25" s="111" t="str">
        <f>IF(Z25="","",IF(COUNTIF(AC40:AJ40,SUBSTITUTE(TRIM(Z25)," (s)",""))+COUNTIF(AC42:AJ42,SUBSTITUTE(TRIM(Z25)," (s)",""))&gt;0,IF(ROUND(AI25,3)&gt;=1,ROUND(AI25,3)&amp;" L",MAX(1,ROUND(AI25*100,0))&amp;" cl"),IF(COUNTIF(V40:AA40,SUBSTITUTE(TRIM(Z25)," (s)",""))+COUNTIF(V42:AA42,SUBSTITUTE(TRIM(Z25)," (s)",""))&gt;0,IF(ROUND(AI25,3)&gt;=1,ROUND(AI25,3)&amp;" Kg",MAX(1,ROUND(AI25*1000,0))&amp;" g"),"")))</f>
        <v>16 g</v>
      </c>
      <c r="AK25" s="6120" t="str">
        <f t="shared" ref="AK25:AK88" si="40">IF(AND(IFERROR(SEARCH("►",AB25),0)&gt;0,ISNUMBER(IFERROR(VALUE(TRIM(SUBSTITUTE(AB25,"►",""))),NA())),AC25&lt;&gt;""),"A","►")</f>
        <v>A</v>
      </c>
      <c r="AL25" s="781" t="str">
        <f t="shared" si="20"/>
        <v>A</v>
      </c>
      <c r="AM25" s="5499" t="str">
        <f t="shared" si="21"/>
        <v>C CHIBOUST PAMPLEMOUSSE | pâtisserie--ENTREMET| Auteur &gt; recette Béghin Say de Jean-Jacques Borne MOF 1994</v>
      </c>
      <c r="AN25" s="783">
        <f t="shared" si="22"/>
        <v>18</v>
      </c>
      <c r="AO25" s="782" t="str">
        <f t="shared" si="23"/>
        <v>desserts</v>
      </c>
      <c r="AP25" s="783" t="str">
        <f t="shared" si="24"/>
        <v>g</v>
      </c>
      <c r="AQ25" s="2083" t="b">
        <f>AND(Q25="A",COUNTIF(BP16:BR63,TRIM(Z25))&gt;0)</f>
        <v>1</v>
      </c>
      <c r="AR25" s="797">
        <f>IF(AL25&lt;&gt;"A","",IFERROR(IFERROR(_xlfn.XLOOKUP(TRIM(SUBSTITUTE(Z25,CHAR(160)," ")),BP16:BP63,BS16:BS63),IFERROR(_xlfn.XLOOKUP(TRIM(SUBSTITUTE(Z25,CHAR(160)," ")),BQ16:BQ63,BS16:BS63),_xlfn.XLOOKUP(TRIM(SUBSTITUTE(Z25,CHAR(160)," ")),BR16:BR63,BS16:BS63)))*Y25*IF(ISBLANK(V25),1,V25),0))</f>
        <v>8.0000000000000002E-3</v>
      </c>
      <c r="AS25" s="784" t="str">
        <f t="shared" si="25"/>
        <v>Kg</v>
      </c>
      <c r="AT25" s="1315" t="str">
        <f t="shared" si="26"/>
        <v>❾ Author reference &gt;</v>
      </c>
      <c r="AU25" s="785">
        <f t="shared" si="27"/>
        <v>18</v>
      </c>
      <c r="AV25" s="785" t="str">
        <f t="shared" si="28"/>
        <v>desserts</v>
      </c>
      <c r="AW25" s="786">
        <f>IF(AK25="A",AY10,0)</f>
        <v>20</v>
      </c>
      <c r="AX25" s="5495" t="str">
        <f>IF(IFERROR(SEARCH("Adresse PC",TRIM(W25)),0)&gt;0,"▼ receta siguiente",IF(AK25="A",IF(AZ10&lt;&gt;"",AZ10&amp;" - ou.or.o ❾ + or - &gt;",""),""))</f>
        <v>parts - ou.or.o ❾ + or - &gt;</v>
      </c>
      <c r="AY25" s="787"/>
      <c r="AZ25" s="787"/>
      <c r="BA25" s="788">
        <f t="shared" si="29"/>
        <v>8.8888888888888889E-3</v>
      </c>
      <c r="BB25" s="789" t="str">
        <f>IF(AK25="A",IF(AQ25,IF(AND(AW25&lt;&gt;"",N(AW25)&gt;0),IFERROR(IFERROR(_xlfn.XLOOKUP(AP25,BP10:BP57,BT10:BT57),IFERROR(_xlfn.XLOOKUP(AP25,BQ10:BQ57,BT10:BT57),_xlfn.XLOOKUP(AP25,BR10:BR57,BT10:BT57,""))),""),""),""),"")</f>
        <v>Kg</v>
      </c>
      <c r="BC25" s="811" t="str" cm="1">
        <f t="array" ref="BC25">IF(NOT(AQ25),0,IF(OR(BA25="",N(BA25)&lt;=0.000000001),"",IF(OR(AU25="",N(AU25)&lt;=0.000000001),0,IF(ISNUMBER(BA25),IFERROR(_xlfn.LET(_xlpm.ai_test,TRIM(AP25),_xlpm.r,IFERROR(_xlfn.XLOOKUP(_xlpm.ai_test,BP16:BP63,ROW(BP16:BP63),0,1),IFERROR(_xlfn.XLOOKUP(_xlpm.ai_test,BQ16:BQ63,ROW(BQ16:BQ63),0,1),_xlfn.XLOOKUP(_xlpm.ai_test,BR16:BR63,ROW(BR16:BR63),0,1))),_xlpm.p,_xlpm.r-MIN(ROW(BP16:BP63))+1,_xlpm.f,INDEX(BS16:BS63,_xlpm.p),_xlpm.u,INDEX(BT16:BT63,_xlpm.p),_xlpm.s,INDEX(BV16:BV63,_xlpm.p),_xlpm.q,N(BA25)/_xlpm.f,IF(_xlpm.q&gt;=_xlpm.s,ROUND(_xlpm.q,1)&amp;" "&amp;_xlpm.ai_test&amp;" = "&amp;ROUND(_xlpm.q*_xlpm.f,1)&amp;" "&amp;_xlpm.u,ROUND(_xlpm.q,1)&amp;" "&amp;_xlpm.ai_test)),""),""))))</f>
        <v>8.9 g</v>
      </c>
      <c r="BD25" s="801"/>
      <c r="BE25" s="788">
        <f t="shared" si="30"/>
        <v>8.8888888888888889E-3</v>
      </c>
      <c r="BF25" s="789" t="str">
        <f t="shared" si="31"/>
        <v>Kg</v>
      </c>
      <c r="BG25" s="790">
        <f t="shared" si="32"/>
        <v>0</v>
      </c>
      <c r="BH25" s="791" t="str">
        <f t="shared" si="33"/>
        <v/>
      </c>
      <c r="BI25" s="792"/>
      <c r="BJ25" s="793">
        <f t="shared" si="34"/>
        <v>0</v>
      </c>
      <c r="BK25" s="794" t="str">
        <f t="shared" si="38"/>
        <v>zestes de pamplemousse</v>
      </c>
      <c r="BL25" s="227" t="s">
        <v>21</v>
      </c>
      <c r="BM25" s="773">
        <f t="shared" si="35"/>
        <v>0</v>
      </c>
      <c r="BN25" s="774">
        <f t="shared" si="36"/>
        <v>1.1111111111111112</v>
      </c>
      <c r="BO25" s="630"/>
      <c r="BP25" s="93" t="s">
        <v>97</v>
      </c>
      <c r="BQ25" s="93" t="s">
        <v>97</v>
      </c>
      <c r="BR25" s="93" t="s">
        <v>97</v>
      </c>
      <c r="BS25" s="767">
        <v>0.1</v>
      </c>
      <c r="BT25" s="805" t="s">
        <v>1621</v>
      </c>
      <c r="BU25" s="805" t="s">
        <v>1622</v>
      </c>
      <c r="BV25" s="757">
        <f t="shared" si="18"/>
        <v>10</v>
      </c>
      <c r="BW25" s="806">
        <v>100</v>
      </c>
      <c r="BX25" s="630"/>
      <c r="BY25" s="630"/>
      <c r="BZ25" s="630"/>
      <c r="CA25" s="630"/>
      <c r="CB25" s="630"/>
      <c r="CC25" s="630"/>
      <c r="CD25" s="781" t="str">
        <f t="shared" si="15"/>
        <v>A</v>
      </c>
      <c r="CE25" s="638"/>
      <c r="CF25" s="638"/>
      <c r="CG25" s="638"/>
      <c r="CH25" s="638"/>
      <c r="CI25" s="638"/>
      <c r="CJ25" s="719"/>
      <c r="CK25" s="795"/>
      <c r="CL25" s="350"/>
      <c r="CM25" s="350"/>
      <c r="CN25" s="350"/>
      <c r="CO25" s="350"/>
      <c r="CP25" s="350"/>
      <c r="CQ25" s="780"/>
      <c r="CS25" s="795"/>
      <c r="CT25" s="350"/>
      <c r="CU25" s="350"/>
      <c r="CV25" s="350"/>
      <c r="CW25" s="350"/>
      <c r="CX25" s="350"/>
      <c r="CY25" s="780"/>
      <c r="DA25" s="795"/>
      <c r="DB25" s="350"/>
      <c r="DC25" s="350"/>
      <c r="DD25" s="350"/>
      <c r="DE25" s="350"/>
      <c r="DF25" s="350"/>
      <c r="DG25" s="780"/>
      <c r="DI25" s="3">
        <v>1</v>
      </c>
      <c r="DK25" s="198" t="s">
        <v>14231</v>
      </c>
    </row>
    <row r="26" spans="1:115" s="627" customFormat="1" ht="21" customHeight="1">
      <c r="A26" s="701" t="s">
        <v>21</v>
      </c>
      <c r="B26" s="2265" t="str" cm="1">
        <f t="array" ref="B26">SUMPRODUCT(--(D26:J26&lt;&gt;""), LEN(TRIM(SUBSTITUTE(D26:J26, CHAR(160), "")))) &amp; " Car."</f>
        <v>0 Car.</v>
      </c>
      <c r="C26" s="1376" t="str">
        <f>IF(ISBLANK(D26),"",LARGE(C13:C25,1)+1)</f>
        <v/>
      </c>
      <c r="D26" s="1833"/>
      <c r="E26" s="1810"/>
      <c r="F26" s="1810"/>
      <c r="G26" s="1810"/>
      <c r="H26" s="1810"/>
      <c r="I26" s="1810"/>
      <c r="J26" s="1810"/>
      <c r="K26" s="1810"/>
      <c r="L26" s="1811"/>
      <c r="M26" s="9"/>
      <c r="N26" s="103" t="str">
        <f t="shared" si="16"/>
        <v>A</v>
      </c>
      <c r="O26" s="6843"/>
      <c r="P26" s="9"/>
      <c r="Q26" s="103" t="str">
        <f t="shared" ref="Q26:Q37" si="41">IF(AC26&lt;&gt;"","A","►")</f>
        <v>A</v>
      </c>
      <c r="R26" s="31" t="str">
        <f>R20</f>
        <v>C CHIBOUST PAMPLEMOUSSE | pâtisserie--ENTREMET| Auteur &gt; recette Béghin Say de Jean-Jacques Borne MOF 1994</v>
      </c>
      <c r="S26" s="32">
        <f>S20</f>
        <v>18</v>
      </c>
      <c r="T26" s="31" t="str">
        <f>T20</f>
        <v>desserts</v>
      </c>
      <c r="U26" s="33" t="str">
        <f>U20</f>
        <v>Recette mère ► MILLE-FEUILLE  aux fraises des bois</v>
      </c>
      <c r="V26" s="89"/>
      <c r="W26" s="108"/>
      <c r="X26" s="91" t="str">
        <f t="shared" si="37"/>
        <v/>
      </c>
      <c r="Y26" s="92">
        <v>105</v>
      </c>
      <c r="Z26" s="104" t="s">
        <v>100</v>
      </c>
      <c r="AA26" s="130">
        <v>1</v>
      </c>
      <c r="AB26" s="1813" t="str">
        <f>ROWS(AB24:AB26)&amp;" ►"</f>
        <v>3 ►</v>
      </c>
      <c r="AC26" s="1580" t="s">
        <v>3051</v>
      </c>
      <c r="AD26" s="95">
        <f>IF(AF39=0,0,(AF26/AF39)*AE23*1000)</f>
        <v>156.48286140089419</v>
      </c>
      <c r="AE26" s="105">
        <f>IF(AF39=0, 0, (V26*AA26)/(AF39*AE23))</f>
        <v>0</v>
      </c>
      <c r="AF26" s="97" cm="1">
        <f t="array" ref="AF26">IFERROR(_xlfn.XLOOKUP(UPPER(TRIM(Z26)),UPPER(TRIM(V40:AJ40)),V41:AJ41,_xlfn.XLOOKUP(UPPER(TRIM(Z26)),UPPER(TRIM(V42:AJ42)),V43:AJ43,0))*Y26*IF(V26&gt;0,V26,1),0)</f>
        <v>0.105</v>
      </c>
      <c r="AG26" s="106">
        <f>IF(AI19&lt;&gt;0,V26*AA26*AA19,0)</f>
        <v>0</v>
      </c>
      <c r="AH26" s="1747">
        <f t="shared" si="39"/>
        <v>0</v>
      </c>
      <c r="AI26" s="99">
        <f>IF(OR(ISBLANK(AI19),AI19=0),0,AF26*AA26*AA19)</f>
        <v>0.21</v>
      </c>
      <c r="AJ26" s="107" t="str">
        <f>IF(Z26="","",IF(COUNTIF(AC40:AJ40,SUBSTITUTE(TRIM(Z26)," (s)",""))+COUNTIF(AC42:AJ42,SUBSTITUTE(TRIM(Z26)," (s)",""))&gt;0,IF(ROUND(AI26,3)&gt;=1,ROUND(AI26,3)&amp;" L",MAX(1,ROUND(AI26*100,0))&amp;" cl"),IF(COUNTIF(V40:AA40,SUBSTITUTE(TRIM(Z26)," (s)",""))+COUNTIF(V42:AA42,SUBSTITUTE(TRIM(Z26)," (s)",""))&gt;0,IF(ROUND(AI26,3)&gt;=1,ROUND(AI26,3)&amp;" Kg",MAX(1,ROUND(AI26*1000,0))&amp;" g"),"")))</f>
        <v>210 g</v>
      </c>
      <c r="AK26" s="6120" t="str">
        <f t="shared" si="40"/>
        <v>A</v>
      </c>
      <c r="AL26" s="781" t="str">
        <f t="shared" si="20"/>
        <v>A</v>
      </c>
      <c r="AM26" s="5498" t="str">
        <f t="shared" si="21"/>
        <v>C CHIBOUST PAMPLEMOUSSE | pâtisserie--ENTREMET| Auteur &gt; recette Béghin Say de Jean-Jacques Borne MOF 1994</v>
      </c>
      <c r="AN26" s="783">
        <f t="shared" si="22"/>
        <v>18</v>
      </c>
      <c r="AO26" s="782" t="str">
        <f t="shared" si="23"/>
        <v>desserts</v>
      </c>
      <c r="AP26" s="783" t="str">
        <f t="shared" si="24"/>
        <v>g</v>
      </c>
      <c r="AQ26" s="2083" t="b">
        <f>AND(Q26="A",COUNTIF(BP16:BR63,TRIM(Z26))&gt;0)</f>
        <v>1</v>
      </c>
      <c r="AR26" s="797">
        <f>IF(AL26&lt;&gt;"A","",IFERROR(IFERROR(_xlfn.XLOOKUP(TRIM(SUBSTITUTE(Z26,CHAR(160)," ")),BP16:BP63,BS16:BS63),IFERROR(_xlfn.XLOOKUP(TRIM(SUBSTITUTE(Z26,CHAR(160)," ")),BQ16:BQ63,BS16:BS63),_xlfn.XLOOKUP(TRIM(SUBSTITUTE(Z26,CHAR(160)," ")),BR16:BR63,BS16:BS63)))*Y26*IF(ISBLANK(V26),1,V26),0))</f>
        <v>0.105</v>
      </c>
      <c r="AS26" s="784" t="str">
        <f t="shared" si="25"/>
        <v>Kg</v>
      </c>
      <c r="AT26" s="1315" t="str">
        <f t="shared" si="26"/>
        <v>❾ Author reference &gt;</v>
      </c>
      <c r="AU26" s="785">
        <f t="shared" si="27"/>
        <v>18</v>
      </c>
      <c r="AV26" s="785" t="str">
        <f t="shared" si="28"/>
        <v>desserts</v>
      </c>
      <c r="AW26" s="798">
        <f>IF(AK26="A",AY10,0)</f>
        <v>20</v>
      </c>
      <c r="AX26" s="5496" t="str">
        <f>IF(IFERROR(SEARCH("Adresse PC",TRIM(W26)),0)&gt;0,"▼ receta siguiente",IF(AK26="A",IF(AZ10&lt;&gt;"",AZ10&amp;" - ou.or.o ❾ + or - &gt;",""),""))</f>
        <v>parts - ou.or.o ❾ + or - &gt;</v>
      </c>
      <c r="AY26" s="787"/>
      <c r="AZ26" s="787"/>
      <c r="BA26" s="799">
        <f t="shared" si="29"/>
        <v>0.11666666666666667</v>
      </c>
      <c r="BB26" s="800" t="str">
        <f>IF(AK26="A",IF(AQ26,IF(AND(AW26&lt;&gt;"",N(AW26)&gt;0),IFERROR(IFERROR(_xlfn.XLOOKUP(AP26,BP10:BP57,BT10:BT57),IFERROR(_xlfn.XLOOKUP(AP26,BQ10:BQ57,BT10:BT57),_xlfn.XLOOKUP(AP26,BR10:BR57,BT10:BT57,""))),""),""),""),"")</f>
        <v>Kg</v>
      </c>
      <c r="BC26" s="813" t="str" cm="1">
        <f t="array" ref="BC26">IF(NOT(AQ26),0,IF(OR(BA26="",N(BA26)&lt;=0.000000001),"",IF(OR(AU26="",N(AU26)&lt;=0.000000001),0,IF(ISNUMBER(BA26),IFERROR(_xlfn.LET(_xlpm.ai_test,TRIM(AP26),_xlpm.r,IFERROR(_xlfn.XLOOKUP(_xlpm.ai_test,BP16:BP63,ROW(BP16:BP63),0,1),IFERROR(_xlfn.XLOOKUP(_xlpm.ai_test,BQ16:BQ63,ROW(BQ16:BQ63),0,1),_xlfn.XLOOKUP(_xlpm.ai_test,BR16:BR63,ROW(BR16:BR63),0,1))),_xlpm.p,_xlpm.r-MIN(ROW(BP16:BP63))+1,_xlpm.f,INDEX(BS16:BS63,_xlpm.p),_xlpm.u,INDEX(BT16:BT63,_xlpm.p),_xlpm.s,INDEX(BV16:BV63,_xlpm.p),_xlpm.q,N(BA26)/_xlpm.f,IF(_xlpm.q&gt;=_xlpm.s,ROUND(_xlpm.q,1)&amp;" "&amp;_xlpm.ai_test&amp;" = "&amp;ROUND(_xlpm.q*_xlpm.f,1)&amp;" "&amp;_xlpm.u,ROUND(_xlpm.q,1)&amp;" "&amp;_xlpm.ai_test)),""),""))))</f>
        <v>116.7 g</v>
      </c>
      <c r="BD26" s="801"/>
      <c r="BE26" s="799">
        <f t="shared" si="30"/>
        <v>0.11666666666666667</v>
      </c>
      <c r="BF26" s="800" t="str">
        <f t="shared" si="31"/>
        <v>Kg</v>
      </c>
      <c r="BG26" s="802">
        <f t="shared" si="32"/>
        <v>0</v>
      </c>
      <c r="BH26" s="803" t="str">
        <f t="shared" si="33"/>
        <v/>
      </c>
      <c r="BI26" s="792"/>
      <c r="BJ26" s="804">
        <f t="shared" si="34"/>
        <v>0</v>
      </c>
      <c r="BK26" s="794" t="str">
        <f t="shared" si="38"/>
        <v>jaunes d'œufs</v>
      </c>
      <c r="BL26" s="227" t="s">
        <v>21</v>
      </c>
      <c r="BM26" s="773">
        <f t="shared" si="35"/>
        <v>0</v>
      </c>
      <c r="BN26" s="774">
        <f t="shared" si="36"/>
        <v>1.1111111111111112</v>
      </c>
      <c r="BO26" s="630"/>
      <c r="BP26" s="93" t="s">
        <v>144</v>
      </c>
      <c r="BQ26" s="93" t="s">
        <v>144</v>
      </c>
      <c r="BR26" s="93" t="s">
        <v>144</v>
      </c>
      <c r="BS26" s="767">
        <v>0.01</v>
      </c>
      <c r="BT26" s="805" t="s">
        <v>1621</v>
      </c>
      <c r="BU26" s="805" t="s">
        <v>1622</v>
      </c>
      <c r="BV26" s="641">
        <v>100</v>
      </c>
      <c r="BW26" s="806">
        <v>10</v>
      </c>
      <c r="BX26" s="630"/>
      <c r="BZ26" s="630"/>
      <c r="CA26" s="630"/>
      <c r="CB26" s="630"/>
      <c r="CC26" s="630"/>
      <c r="CD26" s="781" t="str">
        <f t="shared" si="15"/>
        <v>A</v>
      </c>
      <c r="CE26" s="638"/>
      <c r="CF26" s="638"/>
      <c r="CG26" s="638"/>
      <c r="CH26" s="638"/>
      <c r="CI26" s="638"/>
      <c r="CJ26" s="719"/>
      <c r="CK26" s="639" t="s">
        <v>1564</v>
      </c>
      <c r="CL26" s="754"/>
      <c r="CM26" s="754"/>
      <c r="CN26" s="754"/>
      <c r="CO26" s="754"/>
      <c r="CP26" s="754"/>
      <c r="CQ26" s="755"/>
      <c r="CR26" s="227"/>
      <c r="CS26" s="639" t="s">
        <v>1565</v>
      </c>
      <c r="CT26" s="754"/>
      <c r="CU26" s="754"/>
      <c r="CV26" s="754"/>
      <c r="CW26" s="754"/>
      <c r="CX26" s="754"/>
      <c r="CY26" s="755"/>
      <c r="CZ26" s="227"/>
      <c r="DA26" s="639" t="s">
        <v>1566</v>
      </c>
      <c r="DB26" s="754"/>
      <c r="DC26" s="754"/>
      <c r="DD26" s="754"/>
      <c r="DE26" s="754"/>
      <c r="DF26" s="754"/>
      <c r="DG26" s="755"/>
      <c r="DI26" s="3">
        <v>1</v>
      </c>
      <c r="DK26" s="198"/>
    </row>
    <row r="27" spans="1:115" s="627" customFormat="1" ht="21" customHeight="1">
      <c r="A27" s="701" t="s">
        <v>21</v>
      </c>
      <c r="B27" s="2265" t="str" cm="1">
        <f t="array" ref="B27">SUMPRODUCT(--(D27:J27&lt;&gt;""), LEN(TRIM(SUBSTITUTE(D27:J27, CHAR(160), "")))) &amp; " Car."</f>
        <v>0 Car.</v>
      </c>
      <c r="C27" s="1376" t="str">
        <f>IF(ISBLANK(D27),"",LARGE(C13:C26,1)+1)</f>
        <v/>
      </c>
      <c r="D27" s="1833"/>
      <c r="E27" s="1810"/>
      <c r="F27" s="1810"/>
      <c r="G27" s="1810"/>
      <c r="H27" s="1810"/>
      <c r="I27" s="1810"/>
      <c r="J27" s="1810"/>
      <c r="K27" s="1810"/>
      <c r="L27" s="1811"/>
      <c r="M27" s="9"/>
      <c r="N27" s="103" t="str">
        <f t="shared" si="16"/>
        <v>A</v>
      </c>
      <c r="O27" s="6843"/>
      <c r="P27" s="9"/>
      <c r="Q27" s="103" t="str">
        <f t="shared" si="41"/>
        <v>A</v>
      </c>
      <c r="R27" s="31" t="str">
        <f>R20</f>
        <v>C CHIBOUST PAMPLEMOUSSE | pâtisserie--ENTREMET| Auteur &gt; recette Béghin Say de Jean-Jacques Borne MOF 1994</v>
      </c>
      <c r="S27" s="32">
        <f>S20</f>
        <v>18</v>
      </c>
      <c r="T27" s="31" t="str">
        <f>T20</f>
        <v>desserts</v>
      </c>
      <c r="U27" s="33" t="str">
        <f>U20</f>
        <v>Recette mère ► MILLE-FEUILLE  aux fraises des bois</v>
      </c>
      <c r="V27" s="89"/>
      <c r="W27" s="108"/>
      <c r="X27" s="91" t="str">
        <f t="shared" si="37"/>
        <v/>
      </c>
      <c r="Y27" s="92">
        <v>35</v>
      </c>
      <c r="Z27" s="104" t="s">
        <v>100</v>
      </c>
      <c r="AA27" s="130">
        <v>1</v>
      </c>
      <c r="AB27" s="1813" t="str">
        <f>ROWS(AB24:AB27)&amp;" ►"</f>
        <v>4 ►</v>
      </c>
      <c r="AC27" s="1580" t="s">
        <v>3052</v>
      </c>
      <c r="AD27" s="95">
        <f>IF(AF39=0,0,(AF27/AF39)*AE23*1000)</f>
        <v>52.160953800298067</v>
      </c>
      <c r="AE27" s="105">
        <f>IF(AF39=0, 0, (V27*AA27)/(AF39*AE23))</f>
        <v>0</v>
      </c>
      <c r="AF27" s="97" cm="1">
        <f t="array" ref="AF27">IFERROR(_xlfn.XLOOKUP(UPPER(TRIM(Z27)),UPPER(TRIM(V40:AJ40)),V41:AJ41,_xlfn.XLOOKUP(UPPER(TRIM(Z27)),UPPER(TRIM(V42:AJ42)),V43:AJ43,0))*Y27*IF(V27&gt;0,V27,1),0)</f>
        <v>3.5000000000000003E-2</v>
      </c>
      <c r="AG27" s="110">
        <f>IF(AI19&lt;&gt;0,V27*AA27*AA19,0)</f>
        <v>0</v>
      </c>
      <c r="AH27" s="1748">
        <f t="shared" si="39"/>
        <v>0</v>
      </c>
      <c r="AI27" s="99">
        <f>IF(OR(ISBLANK(AI19),AI19=0),0,AF27*AA27*AA19)</f>
        <v>7.0000000000000007E-2</v>
      </c>
      <c r="AJ27" s="111" t="str">
        <f>IF(Z27="","",IF(COUNTIF(AC40:AJ40,SUBSTITUTE(TRIM(Z27)," (s)",""))+COUNTIF(AC42:AJ42,SUBSTITUTE(TRIM(Z27)," (s)",""))&gt;0,IF(ROUND(AI27,3)&gt;=1,ROUND(AI27,3)&amp;" L",MAX(1,ROUND(AI27*100,0))&amp;" cl"),IF(COUNTIF(V40:AA40,SUBSTITUTE(TRIM(Z27)," (s)",""))+COUNTIF(V42:AA42,SUBSTITUTE(TRIM(Z27)," (s)",""))&gt;0,IF(ROUND(AI27,3)&gt;=1,ROUND(AI27,3)&amp;" Kg",MAX(1,ROUND(AI27*1000,0))&amp;" g"),"")))</f>
        <v>70 g</v>
      </c>
      <c r="AK27" s="6120" t="str">
        <f t="shared" si="40"/>
        <v>A</v>
      </c>
      <c r="AL27" s="781" t="str">
        <f t="shared" si="20"/>
        <v>A</v>
      </c>
      <c r="AM27" s="5499" t="str">
        <f t="shared" si="21"/>
        <v>C CHIBOUST PAMPLEMOUSSE | pâtisserie--ENTREMET| Auteur &gt; recette Béghin Say de Jean-Jacques Borne MOF 1994</v>
      </c>
      <c r="AN27" s="783">
        <f t="shared" si="22"/>
        <v>18</v>
      </c>
      <c r="AO27" s="782" t="str">
        <f t="shared" si="23"/>
        <v>desserts</v>
      </c>
      <c r="AP27" s="783" t="str">
        <f t="shared" si="24"/>
        <v>g</v>
      </c>
      <c r="AQ27" s="2083" t="b">
        <f>AND(Q27="A",COUNTIF(BP16:BR63,TRIM(Z27))&gt;0)</f>
        <v>1</v>
      </c>
      <c r="AR27" s="797">
        <f>IF(AL27&lt;&gt;"A","",IFERROR(IFERROR(_xlfn.XLOOKUP(TRIM(SUBSTITUTE(Z27,CHAR(160)," ")),BP16:BP63,BS16:BS63),IFERROR(_xlfn.XLOOKUP(TRIM(SUBSTITUTE(Z27,CHAR(160)," ")),BQ16:BQ63,BS16:BS63),_xlfn.XLOOKUP(TRIM(SUBSTITUTE(Z27,CHAR(160)," ")),BR16:BR63,BS16:BS63)))*Y27*IF(ISBLANK(V27),1,V27),0))</f>
        <v>3.5000000000000003E-2</v>
      </c>
      <c r="AS27" s="784" t="str">
        <f t="shared" si="25"/>
        <v>Kg</v>
      </c>
      <c r="AT27" s="1315" t="str">
        <f t="shared" si="26"/>
        <v>❾ Author reference &gt;</v>
      </c>
      <c r="AU27" s="785">
        <f t="shared" si="27"/>
        <v>18</v>
      </c>
      <c r="AV27" s="785" t="str">
        <f t="shared" si="28"/>
        <v>desserts</v>
      </c>
      <c r="AW27" s="786">
        <f>IF(AK27="A",AY10,0)</f>
        <v>20</v>
      </c>
      <c r="AX27" s="5495" t="str">
        <f>IF(IFERROR(SEARCH("Adresse PC",TRIM(W27)),0)&gt;0,"▼ receta siguiente",IF(AK27="A",IF(AZ10&lt;&gt;"",AZ10&amp;" - ou.or.o ❾ + or - &gt;",""),""))</f>
        <v>parts - ou.or.o ❾ + or - &gt;</v>
      </c>
      <c r="AY27" s="787"/>
      <c r="AZ27" s="787"/>
      <c r="BA27" s="788">
        <f t="shared" si="29"/>
        <v>3.8888888888888896E-2</v>
      </c>
      <c r="BB27" s="789" t="str">
        <f>IF(AK27="A",IF(AQ27,IF(AND(AW27&lt;&gt;"",N(AW27)&gt;0),IFERROR(IFERROR(_xlfn.XLOOKUP(AP27,BP10:BP57,BT10:BT57),IFERROR(_xlfn.XLOOKUP(AP27,BQ10:BQ57,BT10:BT57),_xlfn.XLOOKUP(AP27,BR10:BR57,BT10:BT57,""))),""),""),""),"")</f>
        <v>Kg</v>
      </c>
      <c r="BC27" s="811" t="str" cm="1">
        <f t="array" ref="BC27">IF(NOT(AQ27),0,IF(OR(BA27="",N(BA27)&lt;=0.000000001),"",IF(OR(AU27="",N(AU27)&lt;=0.000000001),0,IF(ISNUMBER(BA27),IFERROR(_xlfn.LET(_xlpm.ai_test,TRIM(AP27),_xlpm.r,IFERROR(_xlfn.XLOOKUP(_xlpm.ai_test,BP16:BP63,ROW(BP16:BP63),0,1),IFERROR(_xlfn.XLOOKUP(_xlpm.ai_test,BQ16:BQ63,ROW(BQ16:BQ63),0,1),_xlfn.XLOOKUP(_xlpm.ai_test,BR16:BR63,ROW(BR16:BR63),0,1))),_xlpm.p,_xlpm.r-MIN(ROW(BP16:BP63))+1,_xlpm.f,INDEX(BS16:BS63,_xlpm.p),_xlpm.u,INDEX(BT16:BT63,_xlpm.p),_xlpm.s,INDEX(BV16:BV63,_xlpm.p),_xlpm.q,N(BA27)/_xlpm.f,IF(_xlpm.q&gt;=_xlpm.s,ROUND(_xlpm.q,1)&amp;" "&amp;_xlpm.ai_test&amp;" = "&amp;ROUND(_xlpm.q*_xlpm.f,1)&amp;" "&amp;_xlpm.u,ROUND(_xlpm.q,1)&amp;" "&amp;_xlpm.ai_test)),""),""))))</f>
        <v>38.9 g</v>
      </c>
      <c r="BD27" s="801"/>
      <c r="BE27" s="788">
        <f t="shared" si="30"/>
        <v>3.8888888888888896E-2</v>
      </c>
      <c r="BF27" s="789" t="str">
        <f t="shared" si="31"/>
        <v>Kg</v>
      </c>
      <c r="BG27" s="790">
        <f t="shared" si="32"/>
        <v>0</v>
      </c>
      <c r="BH27" s="791" t="str">
        <f t="shared" si="33"/>
        <v/>
      </c>
      <c r="BI27" s="792"/>
      <c r="BJ27" s="793">
        <f t="shared" si="34"/>
        <v>0</v>
      </c>
      <c r="BK27" s="794" t="str">
        <f t="shared" si="38"/>
        <v>cassonade antillaise</v>
      </c>
      <c r="BL27" s="227" t="s">
        <v>21</v>
      </c>
      <c r="BM27" s="773">
        <f t="shared" si="35"/>
        <v>0</v>
      </c>
      <c r="BN27" s="774">
        <f t="shared" si="36"/>
        <v>1.1111111111111112</v>
      </c>
      <c r="BO27" s="630"/>
      <c r="BP27" s="643" t="s">
        <v>145</v>
      </c>
      <c r="BQ27" s="643" t="s">
        <v>145</v>
      </c>
      <c r="BR27" s="643" t="s">
        <v>145</v>
      </c>
      <c r="BS27" s="767">
        <v>1E-3</v>
      </c>
      <c r="BT27" s="805" t="s">
        <v>1621</v>
      </c>
      <c r="BU27" s="805" t="s">
        <v>1622</v>
      </c>
      <c r="BV27" s="757">
        <f t="shared" ref="BV27:BV63" si="42">ROUND(1/BS27,0)</f>
        <v>1000</v>
      </c>
      <c r="BW27" s="806">
        <v>1</v>
      </c>
      <c r="BX27" s="630"/>
      <c r="BZ27" s="630"/>
      <c r="CA27" s="630"/>
      <c r="CB27" s="630"/>
      <c r="CC27" s="630"/>
      <c r="CD27" s="781" t="str">
        <f t="shared" si="15"/>
        <v>A</v>
      </c>
      <c r="CE27" s="638"/>
      <c r="CF27" s="638"/>
      <c r="CG27" s="638"/>
      <c r="CH27" s="638"/>
      <c r="CI27" s="638"/>
      <c r="CJ27" s="719"/>
      <c r="CK27" s="639"/>
      <c r="CL27" s="754"/>
      <c r="CM27" s="754"/>
      <c r="CN27" s="754"/>
      <c r="CO27" s="754"/>
      <c r="CP27" s="754"/>
      <c r="CQ27" s="755"/>
      <c r="CR27" s="227"/>
      <c r="CS27" s="639"/>
      <c r="CT27" s="754"/>
      <c r="CU27" s="754"/>
      <c r="CV27" s="754"/>
      <c r="CW27" s="754"/>
      <c r="CX27" s="754"/>
      <c r="CY27" s="755"/>
      <c r="CZ27" s="227"/>
      <c r="DA27" s="639"/>
      <c r="DB27" s="754"/>
      <c r="DC27" s="754"/>
      <c r="DD27" s="754"/>
      <c r="DE27" s="754"/>
      <c r="DF27" s="754"/>
      <c r="DG27" s="755"/>
      <c r="DI27" s="3">
        <v>1</v>
      </c>
      <c r="DK27" s="198" t="s">
        <v>14234</v>
      </c>
    </row>
    <row r="28" spans="1:115" s="627" customFormat="1" ht="21" customHeight="1">
      <c r="A28" s="701" t="s">
        <v>21</v>
      </c>
      <c r="B28" s="2265" t="str" cm="1">
        <f t="array" ref="B28">SUMPRODUCT(--(D28:J28&lt;&gt;""), LEN(TRIM(SUBSTITUTE(D28:J28, CHAR(160), "")))) &amp; " Car."</f>
        <v>0 Car.</v>
      </c>
      <c r="C28" s="1376" t="str">
        <f>IF(ISBLANK(D28),"",LARGE(C13:C27,1)+1)</f>
        <v/>
      </c>
      <c r="D28" s="1833"/>
      <c r="E28" s="1810"/>
      <c r="F28" s="1810"/>
      <c r="G28" s="1810"/>
      <c r="H28" s="1810"/>
      <c r="I28" s="1810"/>
      <c r="J28" s="1810"/>
      <c r="K28" s="1810"/>
      <c r="L28" s="1811"/>
      <c r="M28" s="9"/>
      <c r="N28" s="103" t="str">
        <f t="shared" si="16"/>
        <v>A</v>
      </c>
      <c r="O28" s="1613"/>
      <c r="P28" s="9"/>
      <c r="Q28" s="103" t="str">
        <f t="shared" si="41"/>
        <v>A</v>
      </c>
      <c r="R28" s="31" t="str">
        <f>R20</f>
        <v>C CHIBOUST PAMPLEMOUSSE | pâtisserie--ENTREMET| Auteur &gt; recette Béghin Say de Jean-Jacques Borne MOF 1994</v>
      </c>
      <c r="S28" s="32">
        <f>S20</f>
        <v>18</v>
      </c>
      <c r="T28" s="31" t="str">
        <f>T20</f>
        <v>desserts</v>
      </c>
      <c r="U28" s="33" t="str">
        <f>U20</f>
        <v>Recette mère ► MILLE-FEUILLE  aux fraises des bois</v>
      </c>
      <c r="V28" s="89"/>
      <c r="W28" s="108"/>
      <c r="X28" s="91" t="str">
        <f t="shared" si="37"/>
        <v/>
      </c>
      <c r="Y28" s="92">
        <v>15</v>
      </c>
      <c r="Z28" s="104" t="s">
        <v>100</v>
      </c>
      <c r="AA28" s="130">
        <v>1</v>
      </c>
      <c r="AB28" s="1813" t="str">
        <f>ROWS(AB24:AB28)&amp;" ►"</f>
        <v>5 ►</v>
      </c>
      <c r="AC28" s="1580" t="s">
        <v>3053</v>
      </c>
      <c r="AD28" s="95">
        <f>IF(AF39=0,0,(AF28/AF39)*AE23*1000)</f>
        <v>22.354694485842025</v>
      </c>
      <c r="AE28" s="105">
        <f>IF(AF39=0, 0, (V28*AA28)/(AF39*AE23))</f>
        <v>0</v>
      </c>
      <c r="AF28" s="97" cm="1">
        <f t="array" ref="AF28">IFERROR(_xlfn.XLOOKUP(UPPER(TRIM(Z28)),UPPER(TRIM(V40:AJ40)),V41:AJ41,_xlfn.XLOOKUP(UPPER(TRIM(Z28)),UPPER(TRIM(V42:AJ42)),V43:AJ43,0))*Y28*IF(V28&gt;0,V28,1),0)</f>
        <v>1.4999999999999999E-2</v>
      </c>
      <c r="AG28" s="106">
        <f>IF(AI19&lt;&gt;0,V28*AA28*AA19,0)</f>
        <v>0</v>
      </c>
      <c r="AH28" s="1747">
        <f t="shared" si="39"/>
        <v>0</v>
      </c>
      <c r="AI28" s="99">
        <f>IF(OR(ISBLANK(AI19),AI19=0),0,AF28*AA28*AA19)</f>
        <v>0.03</v>
      </c>
      <c r="AJ28" s="107" t="str">
        <f>IF(Z28="","",IF(COUNTIF(AC40:AJ40,SUBSTITUTE(TRIM(Z28)," (s)",""))+COUNTIF(AC42:AJ42,SUBSTITUTE(TRIM(Z28)," (s)",""))&gt;0,IF(ROUND(AI28,3)&gt;=1,ROUND(AI28,3)&amp;" L",MAX(1,ROUND(AI28*100,0))&amp;" cl"),IF(COUNTIF(V40:AA40,SUBSTITUTE(TRIM(Z28)," (s)",""))+COUNTIF(V42:AA42,SUBSTITUTE(TRIM(Z28)," (s)",""))&gt;0,IF(ROUND(AI28,3)&gt;=1,ROUND(AI28,3)&amp;" Kg",MAX(1,ROUND(AI28*1000,0))&amp;" g"),"")))</f>
        <v>30 g</v>
      </c>
      <c r="AK28" s="6120" t="str">
        <f t="shared" si="40"/>
        <v>A</v>
      </c>
      <c r="AL28" s="781" t="str">
        <f t="shared" si="20"/>
        <v>A</v>
      </c>
      <c r="AM28" s="5498" t="str">
        <f t="shared" si="21"/>
        <v>C CHIBOUST PAMPLEMOUSSE | pâtisserie--ENTREMET| Auteur &gt; recette Béghin Say de Jean-Jacques Borne MOF 1994</v>
      </c>
      <c r="AN28" s="783">
        <f t="shared" si="22"/>
        <v>18</v>
      </c>
      <c r="AO28" s="782" t="str">
        <f t="shared" si="23"/>
        <v>desserts</v>
      </c>
      <c r="AP28" s="783" t="str">
        <f t="shared" si="24"/>
        <v>g</v>
      </c>
      <c r="AQ28" s="2083" t="b">
        <f>AND(Q28="A",COUNTIF(BP16:BR63,TRIM(Z28))&gt;0)</f>
        <v>1</v>
      </c>
      <c r="AR28" s="797">
        <f>IF(AL28&lt;&gt;"A","",IFERROR(IFERROR(_xlfn.XLOOKUP(TRIM(SUBSTITUTE(Z28,CHAR(160)," ")),BP16:BP63,BS16:BS63),IFERROR(_xlfn.XLOOKUP(TRIM(SUBSTITUTE(Z28,CHAR(160)," ")),BQ16:BQ63,BS16:BS63),_xlfn.XLOOKUP(TRIM(SUBSTITUTE(Z28,CHAR(160)," ")),BR16:BR63,BS16:BS63)))*Y28*IF(ISBLANK(V28),1,V28),0))</f>
        <v>1.4999999999999999E-2</v>
      </c>
      <c r="AS28" s="784" t="str">
        <f t="shared" si="25"/>
        <v>Kg</v>
      </c>
      <c r="AT28" s="1315" t="str">
        <f t="shared" si="26"/>
        <v>❾ Author reference &gt;</v>
      </c>
      <c r="AU28" s="785">
        <f t="shared" si="27"/>
        <v>18</v>
      </c>
      <c r="AV28" s="785" t="str">
        <f t="shared" si="28"/>
        <v>desserts</v>
      </c>
      <c r="AW28" s="798">
        <f>IF(AK28="A",AY10,0)</f>
        <v>20</v>
      </c>
      <c r="AX28" s="5496" t="str">
        <f>IF(IFERROR(SEARCH("Adresse PC",TRIM(W28)),0)&gt;0,"▼ receta siguiente",IF(AK28="A",IF(AZ10&lt;&gt;"",AZ10&amp;" - ou.or.o ❾ + or - &gt;",""),""))</f>
        <v>parts - ou.or.o ❾ + or - &gt;</v>
      </c>
      <c r="AY28" s="787"/>
      <c r="AZ28" s="787"/>
      <c r="BA28" s="799">
        <f t="shared" si="29"/>
        <v>1.6666666666666666E-2</v>
      </c>
      <c r="BB28" s="800" t="str">
        <f>IF(AK28="A",IF(AQ28,IF(AND(AW28&lt;&gt;"",N(AW28)&gt;0),IFERROR(IFERROR(_xlfn.XLOOKUP(AP28,BP10:BP57,BT10:BT57),IFERROR(_xlfn.XLOOKUP(AP28,BQ10:BQ57,BT10:BT57),_xlfn.XLOOKUP(AP28,BR10:BR57,BT10:BT57,""))),""),""),""),"")</f>
        <v>Kg</v>
      </c>
      <c r="BC28" s="813" t="str" cm="1">
        <f t="array" ref="BC28">IF(NOT(AQ28),0,IF(OR(BA28="",N(BA28)&lt;=0.000000001),"",IF(OR(AU28="",N(AU28)&lt;=0.000000001),0,IF(ISNUMBER(BA28),IFERROR(_xlfn.LET(_xlpm.ai_test,TRIM(AP28),_xlpm.r,IFERROR(_xlfn.XLOOKUP(_xlpm.ai_test,BP16:BP63,ROW(BP16:BP63),0,1),IFERROR(_xlfn.XLOOKUP(_xlpm.ai_test,BQ16:BQ63,ROW(BQ16:BQ63),0,1),_xlfn.XLOOKUP(_xlpm.ai_test,BR16:BR63,ROW(BR16:BR63),0,1))),_xlpm.p,_xlpm.r-MIN(ROW(BP16:BP63))+1,_xlpm.f,INDEX(BS16:BS63,_xlpm.p),_xlpm.u,INDEX(BT16:BT63,_xlpm.p),_xlpm.s,INDEX(BV16:BV63,_xlpm.p),_xlpm.q,N(BA28)/_xlpm.f,IF(_xlpm.q&gt;=_xlpm.s,ROUND(_xlpm.q,1)&amp;" "&amp;_xlpm.ai_test&amp;" = "&amp;ROUND(_xlpm.q*_xlpm.f,1)&amp;" "&amp;_xlpm.u,ROUND(_xlpm.q,1)&amp;" "&amp;_xlpm.ai_test)),""),""))))</f>
        <v>16.7 g</v>
      </c>
      <c r="BD28" s="801"/>
      <c r="BE28" s="799">
        <f t="shared" si="30"/>
        <v>1.6666666666666666E-2</v>
      </c>
      <c r="BF28" s="800" t="str">
        <f t="shared" si="31"/>
        <v>Kg</v>
      </c>
      <c r="BG28" s="802">
        <f t="shared" si="32"/>
        <v>0</v>
      </c>
      <c r="BH28" s="803" t="str">
        <f t="shared" si="33"/>
        <v/>
      </c>
      <c r="BI28" s="792"/>
      <c r="BJ28" s="804">
        <f t="shared" si="34"/>
        <v>0</v>
      </c>
      <c r="BK28" s="794" t="str">
        <f t="shared" si="38"/>
        <v>maïzena</v>
      </c>
      <c r="BL28" s="227" t="s">
        <v>21</v>
      </c>
      <c r="BM28" s="773">
        <f t="shared" si="35"/>
        <v>0</v>
      </c>
      <c r="BN28" s="774">
        <f t="shared" si="36"/>
        <v>1.1111111111111112</v>
      </c>
      <c r="BO28" s="630"/>
      <c r="BP28" s="109" t="s">
        <v>359</v>
      </c>
      <c r="BQ28" s="109" t="s">
        <v>1341</v>
      </c>
      <c r="BR28" s="109" t="s">
        <v>1342</v>
      </c>
      <c r="BS28" s="767">
        <f t="shared" ref="BS28:BS63" si="43">BW28 / 1000</f>
        <v>0.25</v>
      </c>
      <c r="BT28" s="805" t="s">
        <v>1621</v>
      </c>
      <c r="BU28" s="805" t="s">
        <v>1622</v>
      </c>
      <c r="BV28" s="757">
        <f t="shared" si="42"/>
        <v>4</v>
      </c>
      <c r="BW28" s="806">
        <v>250</v>
      </c>
      <c r="BX28" s="630"/>
      <c r="BZ28" s="630"/>
      <c r="CA28" s="630"/>
      <c r="CB28" s="630"/>
      <c r="CC28" s="630"/>
      <c r="CD28" s="781" t="str">
        <f t="shared" si="15"/>
        <v>A</v>
      </c>
      <c r="CE28" s="638"/>
      <c r="CF28" s="638"/>
      <c r="CG28" s="638"/>
      <c r="CH28" s="638"/>
      <c r="CI28" s="638"/>
      <c r="CJ28" s="719"/>
      <c r="CK28" s="762" t="s">
        <v>1581</v>
      </c>
      <c r="CL28" s="763"/>
      <c r="CM28" s="754"/>
      <c r="CN28" s="754"/>
      <c r="CO28" s="754"/>
      <c r="CP28" s="754"/>
      <c r="CQ28" s="755"/>
      <c r="CR28" s="227"/>
      <c r="CS28" s="762" t="s">
        <v>1582</v>
      </c>
      <c r="CT28" s="763"/>
      <c r="CU28" s="754"/>
      <c r="CV28" s="754"/>
      <c r="CW28" s="754"/>
      <c r="CX28" s="754"/>
      <c r="CY28" s="755"/>
      <c r="CZ28" s="227"/>
      <c r="DA28" s="762" t="s">
        <v>1583</v>
      </c>
      <c r="DB28" s="763"/>
      <c r="DC28" s="754"/>
      <c r="DD28" s="754"/>
      <c r="DE28" s="754"/>
      <c r="DF28" s="754"/>
      <c r="DG28" s="755"/>
      <c r="DI28" s="3">
        <v>1</v>
      </c>
      <c r="DK28" s="198" t="s">
        <v>14237</v>
      </c>
    </row>
    <row r="29" spans="1:115" s="627" customFormat="1" ht="21" customHeight="1">
      <c r="A29" s="701" t="s">
        <v>21</v>
      </c>
      <c r="B29" s="2265" t="str" cm="1">
        <f t="array" ref="B29">SUMPRODUCT(--(D29:J29&lt;&gt;""), LEN(TRIM(SUBSTITUTE(D29:J29, CHAR(160), "")))) &amp; " Car."</f>
        <v>0 Car.</v>
      </c>
      <c r="C29" s="1376" t="str">
        <f>IF(ISBLANK(D29),"",LARGE(C13:C28,1)+1)</f>
        <v/>
      </c>
      <c r="D29" s="1833"/>
      <c r="E29" s="1810"/>
      <c r="F29" s="1810"/>
      <c r="G29" s="1810"/>
      <c r="H29" s="1810"/>
      <c r="I29" s="1810"/>
      <c r="J29" s="1810"/>
      <c r="K29" s="1810"/>
      <c r="L29" s="1811"/>
      <c r="M29" s="9"/>
      <c r="N29" s="103" t="str">
        <f t="shared" si="16"/>
        <v>A</v>
      </c>
      <c r="O29" s="1614" t="s">
        <v>8250</v>
      </c>
      <c r="P29" s="9"/>
      <c r="Q29" s="103" t="str">
        <f t="shared" si="41"/>
        <v>A</v>
      </c>
      <c r="R29" s="31" t="str">
        <f>R20</f>
        <v>C CHIBOUST PAMPLEMOUSSE | pâtisserie--ENTREMET| Auteur &gt; recette Béghin Say de Jean-Jacques Borne MOF 1994</v>
      </c>
      <c r="S29" s="32">
        <f>S20</f>
        <v>18</v>
      </c>
      <c r="T29" s="31" t="str">
        <f>T20</f>
        <v>desserts</v>
      </c>
      <c r="U29" s="33" t="str">
        <f>U20</f>
        <v>Recette mère ► MILLE-FEUILLE  aux fraises des bois</v>
      </c>
      <c r="V29" s="89"/>
      <c r="W29" s="108"/>
      <c r="X29" s="91" t="str">
        <f t="shared" si="37"/>
        <v/>
      </c>
      <c r="Y29" s="92">
        <v>8</v>
      </c>
      <c r="Z29" s="104" t="s">
        <v>100</v>
      </c>
      <c r="AA29" s="130">
        <v>1</v>
      </c>
      <c r="AB29" s="1813" t="str">
        <f>ROWS(AB24:AB29)&amp;" ►"</f>
        <v>6 ►</v>
      </c>
      <c r="AC29" s="1580" t="s">
        <v>3054</v>
      </c>
      <c r="AD29" s="95">
        <f>IF(AF39=0,0,(AF29/AF39)*AE23*1000)</f>
        <v>11.922503725782414</v>
      </c>
      <c r="AE29" s="105">
        <f>IF(AF39=0, 0, (V29*AA29)/(AF39*AE23))</f>
        <v>0</v>
      </c>
      <c r="AF29" s="97" cm="1">
        <f t="array" ref="AF29">IFERROR(_xlfn.XLOOKUP(UPPER(TRIM(Z29)),UPPER(TRIM(V40:AJ40)),V41:AJ41,_xlfn.XLOOKUP(UPPER(TRIM(Z29)),UPPER(TRIM(V42:AJ42)),V43:AJ43,0))*Y29*IF(V29&gt;0,V29,1),0)</f>
        <v>8.0000000000000002E-3</v>
      </c>
      <c r="AG29" s="110">
        <f>IF(AI19&lt;&gt;0,V29*AA29*AA19,0)</f>
        <v>0</v>
      </c>
      <c r="AH29" s="1748">
        <f t="shared" si="39"/>
        <v>0</v>
      </c>
      <c r="AI29" s="99">
        <f>IF(OR(ISBLANK(AI19),AI19=0),0,AF29*AA29*AA19)</f>
        <v>1.6E-2</v>
      </c>
      <c r="AJ29" s="129" t="str">
        <f>IF(Z29="","",IF(COUNTIF(AC40:AJ40,SUBSTITUTE(TRIM(Z29)," (s)",""))+COUNTIF(AC42:AJ42,SUBSTITUTE(TRIM(Z29)," (s)",""))&gt;0,IF(ROUND(AI29,3)&gt;=1,ROUND(AI29,3)&amp;" L",MAX(1,ROUND(AI29*100,0))&amp;" cl"),IF(COUNTIF(V40:AA40,SUBSTITUTE(TRIM(Z29)," (s)",""))+COUNTIF(V42:AA42,SUBSTITUTE(TRIM(Z29)," (s)",""))&gt;0,IF(ROUND(AI29,3)&gt;=1,ROUND(AI29,3)&amp;" Kg",MAX(1,ROUND(AI29*1000,0))&amp;" g"),"")))</f>
        <v>16 g</v>
      </c>
      <c r="AK29" s="6120" t="str">
        <f t="shared" si="40"/>
        <v>A</v>
      </c>
      <c r="AL29" s="781" t="str">
        <f t="shared" si="20"/>
        <v>A</v>
      </c>
      <c r="AM29" s="5499" t="str">
        <f t="shared" si="21"/>
        <v>C CHIBOUST PAMPLEMOUSSE | pâtisserie--ENTREMET| Auteur &gt; recette Béghin Say de Jean-Jacques Borne MOF 1994</v>
      </c>
      <c r="AN29" s="783">
        <f t="shared" si="22"/>
        <v>18</v>
      </c>
      <c r="AO29" s="782" t="str">
        <f t="shared" si="23"/>
        <v>desserts</v>
      </c>
      <c r="AP29" s="783" t="str">
        <f t="shared" si="24"/>
        <v>g</v>
      </c>
      <c r="AQ29" s="2083" t="b">
        <f>AND(Q29="A",COUNTIF(BP16:BR63,TRIM(Z29))&gt;0)</f>
        <v>1</v>
      </c>
      <c r="AR29" s="797">
        <f>IF(AL29&lt;&gt;"A","",IFERROR(IFERROR(_xlfn.XLOOKUP(TRIM(SUBSTITUTE(Z29,CHAR(160)," ")),BP16:BP63,BS16:BS63),IFERROR(_xlfn.XLOOKUP(TRIM(SUBSTITUTE(Z29,CHAR(160)," ")),BQ16:BQ63,BS16:BS63),_xlfn.XLOOKUP(TRIM(SUBSTITUTE(Z29,CHAR(160)," ")),BR16:BR63,BS16:BS63)))*Y29*IF(ISBLANK(V29),1,V29),0))</f>
        <v>8.0000000000000002E-3</v>
      </c>
      <c r="AS29" s="784" t="str">
        <f t="shared" si="25"/>
        <v>Kg</v>
      </c>
      <c r="AT29" s="1315" t="str">
        <f t="shared" si="26"/>
        <v>❾ Author reference &gt;</v>
      </c>
      <c r="AU29" s="785">
        <f t="shared" si="27"/>
        <v>18</v>
      </c>
      <c r="AV29" s="785" t="str">
        <f t="shared" si="28"/>
        <v>desserts</v>
      </c>
      <c r="AW29" s="786">
        <f>IF(AK29="A",AY10,0)</f>
        <v>20</v>
      </c>
      <c r="AX29" s="5495" t="str">
        <f>IF(IFERROR(SEARCH("Adresse PC",TRIM(W29)),0)&gt;0,"▼ receta siguiente",IF(AK29="A",IF(AZ10&lt;&gt;"",AZ10&amp;" - ou.or.o ❾ + or - &gt;",""),""))</f>
        <v>parts - ou.or.o ❾ + or - &gt;</v>
      </c>
      <c r="AY29" s="787"/>
      <c r="AZ29" s="787"/>
      <c r="BA29" s="788">
        <f t="shared" si="29"/>
        <v>8.8888888888888889E-3</v>
      </c>
      <c r="BB29" s="789" t="str">
        <f>IF(AK29="A",IF(AQ29,IF(AND(AW29&lt;&gt;"",N(AW29)&gt;0),IFERROR(IFERROR(_xlfn.XLOOKUP(AP29,BP10:BP57,BT10:BT57),IFERROR(_xlfn.XLOOKUP(AP29,BQ10:BQ57,BT10:BT57),_xlfn.XLOOKUP(AP29,BR10:BR57,BT10:BT57,""))),""),""),""),"")</f>
        <v>Kg</v>
      </c>
      <c r="BC29" s="811" t="str" cm="1">
        <f t="array" ref="BC29">IF(NOT(AQ29),0,IF(OR(BA29="",N(BA29)&lt;=0.000000001),"",IF(OR(AU29="",N(AU29)&lt;=0.000000001),0,IF(ISNUMBER(BA29),IFERROR(_xlfn.LET(_xlpm.ai_test,TRIM(AP29),_xlpm.r,IFERROR(_xlfn.XLOOKUP(_xlpm.ai_test,BP16:BP63,ROW(BP16:BP63),0,1),IFERROR(_xlfn.XLOOKUP(_xlpm.ai_test,BQ16:BQ63,ROW(BQ16:BQ63),0,1),_xlfn.XLOOKUP(_xlpm.ai_test,BR16:BR63,ROW(BR16:BR63),0,1))),_xlpm.p,_xlpm.r-MIN(ROW(BP16:BP63))+1,_xlpm.f,INDEX(BS16:BS63,_xlpm.p),_xlpm.u,INDEX(BT16:BT63,_xlpm.p),_xlpm.s,INDEX(BV16:BV63,_xlpm.p),_xlpm.q,N(BA29)/_xlpm.f,IF(_xlpm.q&gt;=_xlpm.s,ROUND(_xlpm.q,1)&amp;" "&amp;_xlpm.ai_test&amp;" = "&amp;ROUND(_xlpm.q*_xlpm.f,1)&amp;" "&amp;_xlpm.u,ROUND(_xlpm.q,1)&amp;" "&amp;_xlpm.ai_test)),""),""))))</f>
        <v>8.9 g</v>
      </c>
      <c r="BD29" s="801"/>
      <c r="BE29" s="788">
        <f t="shared" si="30"/>
        <v>8.8888888888888889E-3</v>
      </c>
      <c r="BF29" s="789" t="str">
        <f t="shared" si="31"/>
        <v>Kg</v>
      </c>
      <c r="BG29" s="790">
        <f t="shared" si="32"/>
        <v>0</v>
      </c>
      <c r="BH29" s="791" t="str">
        <f t="shared" si="33"/>
        <v/>
      </c>
      <c r="BI29" s="792"/>
      <c r="BJ29" s="793">
        <f t="shared" si="34"/>
        <v>0</v>
      </c>
      <c r="BK29" s="794" t="str">
        <f t="shared" si="38"/>
        <v>gélatine</v>
      </c>
      <c r="BL29" s="227" t="s">
        <v>21</v>
      </c>
      <c r="BM29" s="773">
        <f t="shared" si="35"/>
        <v>0</v>
      </c>
      <c r="BN29" s="774">
        <f t="shared" si="36"/>
        <v>1.1111111111111112</v>
      </c>
      <c r="BO29" s="630"/>
      <c r="BP29" s="109" t="s">
        <v>104</v>
      </c>
      <c r="BQ29" s="109" t="s">
        <v>1323</v>
      </c>
      <c r="BR29" s="109" t="s">
        <v>1304</v>
      </c>
      <c r="BS29" s="767">
        <f t="shared" si="43"/>
        <v>0.5</v>
      </c>
      <c r="BT29" s="805" t="s">
        <v>1621</v>
      </c>
      <c r="BU29" s="805" t="s">
        <v>1622</v>
      </c>
      <c r="BV29" s="757">
        <f t="shared" si="42"/>
        <v>2</v>
      </c>
      <c r="BW29" s="806">
        <v>500</v>
      </c>
      <c r="BX29" s="630"/>
      <c r="BY29" s="630"/>
      <c r="BZ29" s="630"/>
      <c r="CA29" s="630"/>
      <c r="CB29" s="630"/>
      <c r="CC29" s="630"/>
      <c r="CD29" s="781" t="str">
        <f t="shared" si="15"/>
        <v>A</v>
      </c>
      <c r="CE29" s="761"/>
      <c r="CF29" s="634"/>
      <c r="CG29" s="634"/>
      <c r="CH29" s="635"/>
      <c r="CI29" s="635"/>
      <c r="CJ29" s="719"/>
      <c r="CK29" s="762"/>
      <c r="CL29" s="763"/>
      <c r="CM29" s="754"/>
      <c r="CN29" s="754"/>
      <c r="CO29" s="754"/>
      <c r="CP29" s="754"/>
      <c r="CQ29" s="755"/>
      <c r="CS29" s="762"/>
      <c r="CT29" s="763"/>
      <c r="CU29" s="754"/>
      <c r="CV29" s="754"/>
      <c r="CW29" s="754"/>
      <c r="CX29" s="754"/>
      <c r="CY29" s="755"/>
      <c r="DA29" s="762"/>
      <c r="DB29" s="763"/>
      <c r="DC29" s="754"/>
      <c r="DD29" s="754"/>
      <c r="DE29" s="754"/>
      <c r="DF29" s="754"/>
      <c r="DG29" s="755"/>
      <c r="DI29" s="3">
        <v>1</v>
      </c>
    </row>
    <row r="30" spans="1:115" s="627" customFormat="1" ht="21" customHeight="1">
      <c r="A30" s="701" t="s">
        <v>21</v>
      </c>
      <c r="B30" s="2265" t="str" cm="1">
        <f t="array" ref="B30">SUMPRODUCT(--(D30:J30&lt;&gt;""), LEN(TRIM(SUBSTITUTE(D30:J30, CHAR(160), "")))) &amp; " Car."</f>
        <v>0 Car.</v>
      </c>
      <c r="C30" s="1376" t="str">
        <f>IF(ISBLANK(D30),"",LARGE(C13:C29,1)+1)</f>
        <v/>
      </c>
      <c r="D30" s="1833"/>
      <c r="E30" s="1810"/>
      <c r="F30" s="1810"/>
      <c r="G30" s="1810"/>
      <c r="H30" s="1810"/>
      <c r="I30" s="1810"/>
      <c r="J30" s="1810"/>
      <c r="K30" s="1810"/>
      <c r="L30" s="1811"/>
      <c r="M30" s="9"/>
      <c r="N30" s="103" t="str">
        <f t="shared" si="16"/>
        <v>A</v>
      </c>
      <c r="O30" s="6844" t="s">
        <v>8251</v>
      </c>
      <c r="P30" s="9"/>
      <c r="Q30" s="103" t="str">
        <f t="shared" si="41"/>
        <v>A</v>
      </c>
      <c r="R30" s="31" t="str">
        <f>R20</f>
        <v>C CHIBOUST PAMPLEMOUSSE | pâtisserie--ENTREMET| Auteur &gt; recette Béghin Say de Jean-Jacques Borne MOF 1994</v>
      </c>
      <c r="S30" s="32">
        <f>S20</f>
        <v>18</v>
      </c>
      <c r="T30" s="31" t="str">
        <f>T20</f>
        <v>desserts</v>
      </c>
      <c r="U30" s="33" t="str">
        <f>U20</f>
        <v>Recette mère ► MILLE-FEUILLE  aux fraises des bois</v>
      </c>
      <c r="V30" s="89"/>
      <c r="W30" s="108"/>
      <c r="X30" s="91" t="str">
        <f t="shared" si="37"/>
        <v/>
      </c>
      <c r="Y30" s="92">
        <v>160</v>
      </c>
      <c r="Z30" s="104" t="s">
        <v>100</v>
      </c>
      <c r="AA30" s="130">
        <v>1</v>
      </c>
      <c r="AB30" s="1813" t="str">
        <f>ROWS(AB24:AB30)&amp;" ►"</f>
        <v>7 ►</v>
      </c>
      <c r="AC30" s="1580" t="s">
        <v>3055</v>
      </c>
      <c r="AD30" s="95">
        <f>IF(AF39=0,0,(AF30/AF39)*AE23*1000)</f>
        <v>238.45007451564828</v>
      </c>
      <c r="AE30" s="105">
        <f>IF(AF39=0, 0, (V30*AA30)/(AF39*AE23))</f>
        <v>0</v>
      </c>
      <c r="AF30" s="97" cm="1">
        <f t="array" ref="AF30">IFERROR(_xlfn.XLOOKUP(UPPER(TRIM(Z30)),UPPER(TRIM(V40:AJ40)),V41:AJ41,_xlfn.XLOOKUP(UPPER(TRIM(Z30)),UPPER(TRIM(V42:AJ42)),V43:AJ43,0))*Y30*IF(V30&gt;0,V30,1),0)</f>
        <v>0.16</v>
      </c>
      <c r="AG30" s="106">
        <f>IF(AI19&lt;&gt;0,V30*AA30*AA19,0)</f>
        <v>0</v>
      </c>
      <c r="AH30" s="1747">
        <f t="shared" si="39"/>
        <v>0</v>
      </c>
      <c r="AI30" s="99">
        <f>IF(OR(ISBLANK(AI19),AI19=0),0,AF30*AA30*AA19)</f>
        <v>0.32</v>
      </c>
      <c r="AJ30" s="107" t="str">
        <f>IF(Z30="","",IF(COUNTIF(AC40:AJ40,SUBSTITUTE(TRIM(Z30)," (s)",""))+COUNTIF(AC42:AJ42,SUBSTITUTE(TRIM(Z30)," (s)",""))&gt;0,IF(ROUND(AI30,3)&gt;=1,ROUND(AI30,3)&amp;" L",MAX(1,ROUND(AI30*100,0))&amp;" cl"),IF(COUNTIF(V40:AA40,SUBSTITUTE(TRIM(Z30)," (s)",""))+COUNTIF(V42:AA42,SUBSTITUTE(TRIM(Z30)," (s)",""))&gt;0,IF(ROUND(AI30,3)&gt;=1,ROUND(AI30,3)&amp;" Kg",MAX(1,ROUND(AI30*1000,0))&amp;" g"),"")))</f>
        <v>320 g</v>
      </c>
      <c r="AK30" s="6120" t="str">
        <f t="shared" si="40"/>
        <v>A</v>
      </c>
      <c r="AL30" s="781" t="str">
        <f t="shared" si="20"/>
        <v>A</v>
      </c>
      <c r="AM30" s="5498" t="str">
        <f t="shared" si="21"/>
        <v>C CHIBOUST PAMPLEMOUSSE | pâtisserie--ENTREMET| Auteur &gt; recette Béghin Say de Jean-Jacques Borne MOF 1994</v>
      </c>
      <c r="AN30" s="783">
        <f t="shared" si="22"/>
        <v>18</v>
      </c>
      <c r="AO30" s="782" t="str">
        <f t="shared" si="23"/>
        <v>desserts</v>
      </c>
      <c r="AP30" s="783" t="str">
        <f t="shared" si="24"/>
        <v>g</v>
      </c>
      <c r="AQ30" s="2083" t="b">
        <f>AND(Q30="A",COUNTIF(BP16:BR63,TRIM(Z30))&gt;0)</f>
        <v>1</v>
      </c>
      <c r="AR30" s="797">
        <f>IF(AL30&lt;&gt;"A","",IFERROR(IFERROR(_xlfn.XLOOKUP(TRIM(SUBSTITUTE(Z30,CHAR(160)," ")),BP16:BP63,BS16:BS63),IFERROR(_xlfn.XLOOKUP(TRIM(SUBSTITUTE(Z30,CHAR(160)," ")),BQ16:BQ63,BS16:BS63),_xlfn.XLOOKUP(TRIM(SUBSTITUTE(Z30,CHAR(160)," ")),BR16:BR63,BS16:BS63)))*Y30*IF(ISBLANK(V30),1,V30),0))</f>
        <v>0.16</v>
      </c>
      <c r="AS30" s="784" t="str">
        <f t="shared" si="25"/>
        <v>Kg</v>
      </c>
      <c r="AT30" s="1315" t="str">
        <f t="shared" si="26"/>
        <v>❾ Author reference &gt;</v>
      </c>
      <c r="AU30" s="785">
        <f t="shared" si="27"/>
        <v>18</v>
      </c>
      <c r="AV30" s="785" t="str">
        <f t="shared" si="28"/>
        <v>desserts</v>
      </c>
      <c r="AW30" s="798">
        <f>IF(AK30="A",AY10,0)</f>
        <v>20</v>
      </c>
      <c r="AX30" s="5496" t="str">
        <f>IF(IFERROR(SEARCH("Adresse PC",TRIM(W30)),0)&gt;0,"▼ receta siguiente",IF(AK30="A",IF(AZ10&lt;&gt;"",AZ10&amp;" - ou.or.o ❾ + or - &gt;",""),""))</f>
        <v>parts - ou.or.o ❾ + or - &gt;</v>
      </c>
      <c r="AY30" s="787"/>
      <c r="AZ30" s="787"/>
      <c r="BA30" s="799">
        <f t="shared" si="29"/>
        <v>0.17777777777777778</v>
      </c>
      <c r="BB30" s="800" t="str">
        <f>IF(AK30="A",IF(AQ30,IF(AND(AW30&lt;&gt;"",N(AW30)&gt;0),IFERROR(IFERROR(_xlfn.XLOOKUP(AP30,BP10:BP57,BT10:BT57),IFERROR(_xlfn.XLOOKUP(AP30,BQ10:BQ57,BT10:BT57),_xlfn.XLOOKUP(AP30,BR10:BR57,BT10:BT57,""))),""),""),""),"")</f>
        <v>Kg</v>
      </c>
      <c r="BC30" s="813" t="str" cm="1">
        <f t="array" ref="BC30">IF(NOT(AQ30),0,IF(OR(BA30="",N(BA30)&lt;=0.000000001),"",IF(OR(AU30="",N(AU30)&lt;=0.000000001),0,IF(ISNUMBER(BA30),IFERROR(_xlfn.LET(_xlpm.ai_test,TRIM(AP30),_xlpm.r,IFERROR(_xlfn.XLOOKUP(_xlpm.ai_test,BP16:BP63,ROW(BP16:BP63),0,1),IFERROR(_xlfn.XLOOKUP(_xlpm.ai_test,BQ16:BQ63,ROW(BQ16:BQ63),0,1),_xlfn.XLOOKUP(_xlpm.ai_test,BR16:BR63,ROW(BR16:BR63),0,1))),_xlpm.p,_xlpm.r-MIN(ROW(BP16:BP63))+1,_xlpm.f,INDEX(BS16:BS63,_xlpm.p),_xlpm.u,INDEX(BT16:BT63,_xlpm.p),_xlpm.s,INDEX(BV16:BV63,_xlpm.p),_xlpm.q,N(BA30)/_xlpm.f,IF(_xlpm.q&gt;=_xlpm.s,ROUND(_xlpm.q,1)&amp;" "&amp;_xlpm.ai_test&amp;" = "&amp;ROUND(_xlpm.q*_xlpm.f,1)&amp;" "&amp;_xlpm.u,ROUND(_xlpm.q,1)&amp;" "&amp;_xlpm.ai_test)),""),""))))</f>
        <v>177.8 g</v>
      </c>
      <c r="BD30" s="801"/>
      <c r="BE30" s="799">
        <f t="shared" si="30"/>
        <v>0.17777777777777778</v>
      </c>
      <c r="BF30" s="800" t="str">
        <f t="shared" si="31"/>
        <v>Kg</v>
      </c>
      <c r="BG30" s="802">
        <f t="shared" si="32"/>
        <v>0</v>
      </c>
      <c r="BH30" s="803" t="str">
        <f t="shared" si="33"/>
        <v/>
      </c>
      <c r="BI30" s="792">
        <v>1</v>
      </c>
      <c r="BJ30" s="804">
        <f t="shared" si="34"/>
        <v>0.17777777777777778</v>
      </c>
      <c r="BK30" s="794" t="str">
        <f t="shared" si="38"/>
        <v>blancs</v>
      </c>
      <c r="BL30" s="227" t="s">
        <v>21</v>
      </c>
      <c r="BM30" s="773">
        <f t="shared" si="35"/>
        <v>0</v>
      </c>
      <c r="BN30" s="774">
        <f t="shared" si="36"/>
        <v>1.1111111111111112</v>
      </c>
      <c r="BO30" s="630"/>
      <c r="BP30" s="109" t="s">
        <v>162</v>
      </c>
      <c r="BQ30" s="109" t="s">
        <v>1334</v>
      </c>
      <c r="BR30" s="109" t="s">
        <v>1317</v>
      </c>
      <c r="BS30" s="767">
        <f t="shared" si="43"/>
        <v>0.1</v>
      </c>
      <c r="BT30" s="805" t="s">
        <v>1621</v>
      </c>
      <c r="BU30" s="805" t="s">
        <v>1622</v>
      </c>
      <c r="BV30" s="757">
        <f t="shared" si="42"/>
        <v>10</v>
      </c>
      <c r="BW30" s="806">
        <v>100</v>
      </c>
      <c r="BX30" s="630"/>
      <c r="BY30" s="630"/>
      <c r="BZ30" s="630"/>
      <c r="CA30" s="630"/>
      <c r="CB30" s="630"/>
      <c r="CC30" s="630"/>
      <c r="CD30" s="781" t="str">
        <f t="shared" si="15"/>
        <v>A</v>
      </c>
      <c r="CE30" s="761" t="s">
        <v>1626</v>
      </c>
      <c r="CF30" s="634"/>
      <c r="CG30" s="634"/>
      <c r="CH30" s="635"/>
      <c r="CI30" s="635"/>
      <c r="CJ30" s="719"/>
      <c r="CK30" s="775" t="s">
        <v>8960</v>
      </c>
      <c r="CL30" s="763"/>
      <c r="CM30" s="754"/>
      <c r="CN30" s="754"/>
      <c r="CO30" s="754"/>
      <c r="CP30" s="754"/>
      <c r="CQ30" s="755"/>
      <c r="CS30" s="775" t="s">
        <v>8959</v>
      </c>
      <c r="CT30" s="763"/>
      <c r="CU30" s="754"/>
      <c r="CV30" s="754"/>
      <c r="CW30" s="754"/>
      <c r="CX30" s="754"/>
      <c r="CY30" s="755"/>
      <c r="DA30" s="775" t="s">
        <v>8961</v>
      </c>
      <c r="DB30" s="763"/>
      <c r="DC30" s="754"/>
      <c r="DD30" s="754"/>
      <c r="DE30" s="754"/>
      <c r="DF30" s="754"/>
      <c r="DG30" s="755"/>
      <c r="DI30" s="3">
        <v>1</v>
      </c>
    </row>
    <row r="31" spans="1:115" s="627" customFormat="1" ht="21" customHeight="1">
      <c r="A31" s="701" t="s">
        <v>21</v>
      </c>
      <c r="B31" s="2265" t="str" cm="1">
        <f t="array" ref="B31">SUMPRODUCT(--(D31:J31&lt;&gt;""), LEN(TRIM(SUBSTITUTE(D31:J31, CHAR(160), "")))) &amp; " Car."</f>
        <v>0 Car.</v>
      </c>
      <c r="C31" s="1376" t="str">
        <f>IF(ISBLANK(D31),"",LARGE(C13:C30,1)+1)</f>
        <v/>
      </c>
      <c r="D31" s="1833"/>
      <c r="E31" s="1810"/>
      <c r="F31" s="1810"/>
      <c r="G31" s="1810"/>
      <c r="H31" s="1810"/>
      <c r="I31" s="1810"/>
      <c r="J31" s="1810"/>
      <c r="K31" s="1810"/>
      <c r="L31" s="1811"/>
      <c r="M31" s="9"/>
      <c r="N31" s="2082" t="str">
        <f t="shared" si="16"/>
        <v>A</v>
      </c>
      <c r="O31" s="6844"/>
      <c r="P31" s="9"/>
      <c r="Q31" s="103" t="str">
        <f t="shared" si="41"/>
        <v>A</v>
      </c>
      <c r="R31" s="31" t="str">
        <f>R20</f>
        <v>C CHIBOUST PAMPLEMOUSSE | pâtisserie--ENTREMET| Auteur &gt; recette Béghin Say de Jean-Jacques Borne MOF 1994</v>
      </c>
      <c r="S31" s="32">
        <f>S20</f>
        <v>18</v>
      </c>
      <c r="T31" s="31" t="str">
        <f>T20</f>
        <v>desserts</v>
      </c>
      <c r="U31" s="33" t="str">
        <f>U20</f>
        <v>Recette mère ► MILLE-FEUILLE  aux fraises des bois</v>
      </c>
      <c r="V31" s="89">
        <v>2</v>
      </c>
      <c r="W31" s="108"/>
      <c r="X31" s="91" t="str">
        <f t="shared" si="37"/>
        <v>de</v>
      </c>
      <c r="Y31" s="92">
        <v>95</v>
      </c>
      <c r="Z31" s="104" t="s">
        <v>100</v>
      </c>
      <c r="AA31" s="130">
        <v>1</v>
      </c>
      <c r="AB31" s="1813" t="str">
        <f>ROWS(AB24:AB31)&amp;" ►"</f>
        <v>8 ►</v>
      </c>
      <c r="AC31" s="1580" t="s">
        <v>3052</v>
      </c>
      <c r="AD31" s="95">
        <f>IF(AF39=0,0,(AF31/AF39)*AE23*1000)</f>
        <v>283.15946348733235</v>
      </c>
      <c r="AE31" s="105">
        <f>IF(AF39=0, 0, (V31*AA31)/(AF39*AE23))</f>
        <v>2.9806259314456036</v>
      </c>
      <c r="AF31" s="97" cm="1">
        <f t="array" ref="AF31">IFERROR(_xlfn.XLOOKUP(UPPER(TRIM(Z31)),UPPER(TRIM(V40:AJ40)),V41:AJ41,_xlfn.XLOOKUP(UPPER(TRIM(Z31)),UPPER(TRIM(V42:AJ42)),V43:AJ43,0))*Y31*IF(V31&gt;0,V31,1),0)</f>
        <v>0.19</v>
      </c>
      <c r="AG31" s="110">
        <f>IF(AI19&lt;&gt;0,V31*AA31*AA19,0)</f>
        <v>4</v>
      </c>
      <c r="AH31" s="1748">
        <f t="shared" si="39"/>
        <v>0</v>
      </c>
      <c r="AI31" s="99">
        <f>IF(OR(ISBLANK(AI19),AI19=0),0,AF31*AA31*AA19)</f>
        <v>0.38</v>
      </c>
      <c r="AJ31" s="129" t="str">
        <f>IF(Z31="","",IF(COUNTIF(AC40:AJ40,SUBSTITUTE(TRIM(Z31)," (s)",""))+COUNTIF(AC42:AJ42,SUBSTITUTE(TRIM(Z31)," (s)",""))&gt;0,IF(ROUND(AI31,3)&gt;=1,ROUND(AI31,3)&amp;" L",MAX(1,ROUND(AI31*100,0))&amp;" cl"),IF(COUNTIF(V40:AA40,SUBSTITUTE(TRIM(Z31)," (s)",""))+COUNTIF(V42:AA42,SUBSTITUTE(TRIM(Z31)," (s)",""))&gt;0,IF(ROUND(AI31,3)&gt;=1,ROUND(AI31,3)&amp;" Kg",MAX(1,ROUND(AI31*1000,0))&amp;" g"),"")))</f>
        <v>380 g</v>
      </c>
      <c r="AK31" s="6120" t="str">
        <f t="shared" si="40"/>
        <v>A</v>
      </c>
      <c r="AL31" s="781" t="str">
        <f t="shared" si="20"/>
        <v>A</v>
      </c>
      <c r="AM31" s="5499" t="str">
        <f t="shared" si="21"/>
        <v>C CHIBOUST PAMPLEMOUSSE | pâtisserie--ENTREMET| Auteur &gt; recette Béghin Say de Jean-Jacques Borne MOF 1994</v>
      </c>
      <c r="AN31" s="783">
        <f t="shared" si="22"/>
        <v>18</v>
      </c>
      <c r="AO31" s="782" t="str">
        <f t="shared" si="23"/>
        <v>desserts</v>
      </c>
      <c r="AP31" s="783" t="str">
        <f t="shared" si="24"/>
        <v>g</v>
      </c>
      <c r="AQ31" s="2083" t="b">
        <f>AND(Q31="A",COUNTIF(BP16:BR63,TRIM(Z31))&gt;0)</f>
        <v>1</v>
      </c>
      <c r="AR31" s="797">
        <f>IF(AL31&lt;&gt;"A","",IFERROR(IFERROR(_xlfn.XLOOKUP(TRIM(SUBSTITUTE(Z31,CHAR(160)," ")),BP16:BP63,BS16:BS63),IFERROR(_xlfn.XLOOKUP(TRIM(SUBSTITUTE(Z31,CHAR(160)," ")),BQ16:BQ63,BS16:BS63),_xlfn.XLOOKUP(TRIM(SUBSTITUTE(Z31,CHAR(160)," ")),BR16:BR63,BS16:BS63)))*Y31*IF(ISBLANK(V31),1,V31),0))</f>
        <v>0.19</v>
      </c>
      <c r="AS31" s="784" t="str">
        <f t="shared" si="25"/>
        <v>Kg</v>
      </c>
      <c r="AT31" s="1315" t="str">
        <f t="shared" si="26"/>
        <v>❾ Author reference &gt;</v>
      </c>
      <c r="AU31" s="785">
        <f t="shared" si="27"/>
        <v>18</v>
      </c>
      <c r="AV31" s="785" t="str">
        <f t="shared" si="28"/>
        <v>desserts</v>
      </c>
      <c r="AW31" s="786">
        <f>IF(AK31="A",AY10,0)</f>
        <v>20</v>
      </c>
      <c r="AX31" s="5495" t="str">
        <f>IF(IFERROR(SEARCH("Adresse PC",TRIM(W31)),0)&gt;0,"▼ receta siguiente",IF(AK31="A",IF(AZ10&lt;&gt;"",AZ10&amp;" - ou.or.o ❾ + or - &gt;",""),""))</f>
        <v>parts - ou.or.o ❾ + or - &gt;</v>
      </c>
      <c r="AY31" s="787"/>
      <c r="AZ31" s="787"/>
      <c r="BA31" s="788">
        <f t="shared" si="29"/>
        <v>0.21111111111111111</v>
      </c>
      <c r="BB31" s="789" t="str">
        <f>IF(AK31="A",IF(AQ31,IF(AND(AW31&lt;&gt;"",N(AW31)&gt;0),IFERROR(IFERROR(_xlfn.XLOOKUP(AP31,BP10:BP57,BT10:BT57),IFERROR(_xlfn.XLOOKUP(AP31,BQ10:BQ57,BT10:BT57),_xlfn.XLOOKUP(AP31,BR10:BR57,BT10:BT57,""))),""),""),""),"")</f>
        <v>Kg</v>
      </c>
      <c r="BC31" s="811" t="str" cm="1">
        <f t="array" ref="BC31">IF(NOT(AQ31),0,IF(OR(BA31="",N(BA31)&lt;=0.000000001),"",IF(OR(AU31="",N(AU31)&lt;=0.000000001),0,IF(ISNUMBER(BA31),IFERROR(_xlfn.LET(_xlpm.ai_test,TRIM(AP31),_xlpm.r,IFERROR(_xlfn.XLOOKUP(_xlpm.ai_test,BP16:BP63,ROW(BP16:BP63),0,1),IFERROR(_xlfn.XLOOKUP(_xlpm.ai_test,BQ16:BQ63,ROW(BQ16:BQ63),0,1),_xlfn.XLOOKUP(_xlpm.ai_test,BR16:BR63,ROW(BR16:BR63),0,1))),_xlpm.p,_xlpm.r-MIN(ROW(BP16:BP63))+1,_xlpm.f,INDEX(BS16:BS63,_xlpm.p),_xlpm.u,INDEX(BT16:BT63,_xlpm.p),_xlpm.s,INDEX(BV16:BV63,_xlpm.p),_xlpm.q,N(BA31)/_xlpm.f,IF(_xlpm.q&gt;=_xlpm.s,ROUND(_xlpm.q,1)&amp;" "&amp;_xlpm.ai_test&amp;" = "&amp;ROUND(_xlpm.q*_xlpm.f,1)&amp;" "&amp;_xlpm.u,ROUND(_xlpm.q,1)&amp;" "&amp;_xlpm.ai_test)),""),""))))</f>
        <v>211.1 g</v>
      </c>
      <c r="BD31" s="801"/>
      <c r="BE31" s="788">
        <f t="shared" si="30"/>
        <v>0.21111111111111111</v>
      </c>
      <c r="BF31" s="789" t="str">
        <f>IF(AQ31,BB31,"")</f>
        <v>Kg</v>
      </c>
      <c r="BG31" s="790">
        <f>IF(AND(ISNUMBER(BM31),ABS(BM31)&gt;0.000000001),BM31,0)</f>
        <v>2.2222222222222223</v>
      </c>
      <c r="BH31" s="791">
        <f>IF(AND(AQ31, N(BG31)&gt;0.000000001), W31, "")</f>
        <v>0</v>
      </c>
      <c r="BI31" s="792">
        <v>1</v>
      </c>
      <c r="BJ31" s="793">
        <f>IF(OR(AU31=0,ISBLANK(BI31),ISTEXT(BG31)),0,(IF(BA31=0,BG31,BA31)*BI31))</f>
        <v>0.21111111111111111</v>
      </c>
      <c r="BK31" s="794" t="str">
        <f t="shared" si="38"/>
        <v>cassonade antillaise</v>
      </c>
      <c r="BL31" s="227" t="s">
        <v>21</v>
      </c>
      <c r="BM31" s="773">
        <f t="shared" si="35"/>
        <v>2.2222222222222223</v>
      </c>
      <c r="BN31" s="774">
        <f t="shared" si="36"/>
        <v>1.1111111111111112</v>
      </c>
      <c r="BO31" s="630"/>
      <c r="BP31" s="109" t="s">
        <v>146</v>
      </c>
      <c r="BQ31" s="109" t="s">
        <v>1324</v>
      </c>
      <c r="BR31" s="109" t="s">
        <v>1305</v>
      </c>
      <c r="BS31" s="767">
        <f t="shared" si="43"/>
        <v>0.33300000000000002</v>
      </c>
      <c r="BT31" s="805" t="s">
        <v>1621</v>
      </c>
      <c r="BU31" s="805" t="s">
        <v>1622</v>
      </c>
      <c r="BV31" s="757">
        <f t="shared" si="42"/>
        <v>3</v>
      </c>
      <c r="BW31" s="812">
        <v>333</v>
      </c>
      <c r="BX31" s="630"/>
      <c r="BY31" s="630"/>
      <c r="BZ31" s="630"/>
      <c r="CA31" s="630"/>
      <c r="CB31" s="630"/>
      <c r="CC31" s="630"/>
      <c r="CD31" s="781" t="str">
        <f t="shared" si="15"/>
        <v>A</v>
      </c>
      <c r="CE31" s="6858" t="s">
        <v>1627</v>
      </c>
      <c r="CF31" s="6858"/>
      <c r="CG31" s="6858"/>
      <c r="CH31" s="6858"/>
      <c r="CI31" s="6858"/>
      <c r="CJ31" s="719"/>
      <c r="CK31" s="775"/>
      <c r="CL31" s="763"/>
      <c r="CM31" s="754"/>
      <c r="CN31" s="754"/>
      <c r="CO31" s="754"/>
      <c r="CP31" s="754"/>
      <c r="CQ31" s="755"/>
      <c r="CS31" s="775"/>
      <c r="CT31" s="763"/>
      <c r="CU31" s="754"/>
      <c r="CV31" s="754"/>
      <c r="CW31" s="754"/>
      <c r="CX31" s="754"/>
      <c r="CY31" s="755"/>
      <c r="DA31" s="775"/>
      <c r="DB31" s="763"/>
      <c r="DC31" s="754"/>
      <c r="DD31" s="754"/>
      <c r="DE31" s="754"/>
      <c r="DF31" s="754"/>
      <c r="DG31" s="755"/>
      <c r="DI31" s="3">
        <v>1</v>
      </c>
    </row>
    <row r="32" spans="1:115" s="627" customFormat="1" ht="21" customHeight="1">
      <c r="A32" s="701" t="s">
        <v>21</v>
      </c>
      <c r="B32" s="2265" t="str" cm="1">
        <f t="array" ref="B32">SUMPRODUCT(--(D32:J32&lt;&gt;""), LEN(TRIM(SUBSTITUTE(D32:J32, CHAR(160), "")))) &amp; " Car."</f>
        <v>0 Car.</v>
      </c>
      <c r="C32" s="1376" t="str">
        <f>IF(ISBLANK(D32),"",LARGE(C13:C31,1)+1)</f>
        <v/>
      </c>
      <c r="D32" s="1833"/>
      <c r="E32" s="1810"/>
      <c r="F32" s="1810"/>
      <c r="G32" s="1810"/>
      <c r="H32" s="1810"/>
      <c r="I32" s="1810"/>
      <c r="J32" s="1810"/>
      <c r="K32" s="1810"/>
      <c r="L32" s="1811"/>
      <c r="M32" s="9"/>
      <c r="N32" s="103" t="str">
        <f t="shared" si="16"/>
        <v>►</v>
      </c>
      <c r="O32" s="6844"/>
      <c r="P32" s="9"/>
      <c r="Q32" s="103" t="str">
        <f t="shared" si="41"/>
        <v>►</v>
      </c>
      <c r="R32" s="31" t="str">
        <f>R20</f>
        <v>C CHIBOUST PAMPLEMOUSSE | pâtisserie--ENTREMET| Auteur &gt; recette Béghin Say de Jean-Jacques Borne MOF 1994</v>
      </c>
      <c r="S32" s="32">
        <f>S20</f>
        <v>18</v>
      </c>
      <c r="T32" s="31" t="str">
        <f>T20</f>
        <v>desserts</v>
      </c>
      <c r="U32" s="33" t="str">
        <f>U20</f>
        <v>Recette mère ► MILLE-FEUILLE  aux fraises des bois</v>
      </c>
      <c r="V32" s="89"/>
      <c r="W32" s="108"/>
      <c r="X32" s="91" t="str">
        <f t="shared" si="37"/>
        <v/>
      </c>
      <c r="Y32" s="92"/>
      <c r="Z32" s="128"/>
      <c r="AA32" s="130">
        <v>1</v>
      </c>
      <c r="AB32" s="1813" t="str">
        <f>ROWS(AB24:AB32)&amp;" ►"</f>
        <v>9 ►</v>
      </c>
      <c r="AC32" s="1580"/>
      <c r="AD32" s="95">
        <f>IF(AF39=0,0,(AF32/AF39)*AE23*1000)</f>
        <v>0</v>
      </c>
      <c r="AE32" s="105">
        <f>IF(AF39=0, 0, (V32*AA32)/(AF39*AE23))</f>
        <v>0</v>
      </c>
      <c r="AF32" s="97" cm="1">
        <f t="array" ref="AF32">IFERROR(_xlfn.XLOOKUP(UPPER(TRIM(Z32)),UPPER(TRIM(V40:AJ40)),V41:AJ41,_xlfn.XLOOKUP(UPPER(TRIM(Z32)),UPPER(TRIM(V42:AJ42)),V43:AJ43,0))*Y32*IF(V32&gt;0,V32,1),0)</f>
        <v>0</v>
      </c>
      <c r="AG32" s="106">
        <f>IF(AI19&lt;&gt;0,V32*AA32*AA19,0)</f>
        <v>0</v>
      </c>
      <c r="AH32" s="1747">
        <f t="shared" si="39"/>
        <v>0</v>
      </c>
      <c r="AI32" s="99">
        <f>IF(OR(ISBLANK(AI19),AI19=0),0,AF32*AA32*AA19)</f>
        <v>0</v>
      </c>
      <c r="AJ32" s="107" t="str">
        <f>IF(Z32="","",IF(COUNTIF(AC40:AJ40,SUBSTITUTE(TRIM(Z32)," (s)",""))+COUNTIF(AC42:AJ42,SUBSTITUTE(TRIM(Z32)," (s)",""))&gt;0,IF(ROUND(AI32,3)&gt;=1,ROUND(AI32,3)&amp;" L",MAX(1,ROUND(AI32*100,0))&amp;" cl"),IF(COUNTIF(V40:AA40,SUBSTITUTE(TRIM(Z32)," (s)",""))+COUNTIF(V42:AA42,SUBSTITUTE(TRIM(Z32)," (s)",""))&gt;0,IF(ROUND(AI32,3)&gt;=1,ROUND(AI32,3)&amp;" Kg",MAX(1,ROUND(AI32*1000,0))&amp;" g"),"")))</f>
        <v/>
      </c>
      <c r="AK32" s="6120" t="str">
        <f t="shared" si="40"/>
        <v>►</v>
      </c>
      <c r="AL32" s="781" t="str">
        <f t="shared" si="20"/>
        <v>►</v>
      </c>
      <c r="AM32" s="5498" t="str">
        <f t="shared" si="21"/>
        <v/>
      </c>
      <c r="AN32" s="783" t="str">
        <f t="shared" si="22"/>
        <v/>
      </c>
      <c r="AO32" s="782" t="str">
        <f t="shared" si="23"/>
        <v/>
      </c>
      <c r="AP32" s="783" t="str">
        <f t="shared" si="24"/>
        <v/>
      </c>
      <c r="AQ32" s="2083" t="b">
        <f>AND(Q32="A",COUNTIF(BP16:BR63,TRIM(Z32))&gt;0)</f>
        <v>0</v>
      </c>
      <c r="AR32" s="797" t="str">
        <f>IF(AL32&lt;&gt;"A","",IFERROR(IFERROR(_xlfn.XLOOKUP(TRIM(SUBSTITUTE(Z32,CHAR(160)," ")),BP16:BP63,BS16:BS63),IFERROR(_xlfn.XLOOKUP(TRIM(SUBSTITUTE(Z32,CHAR(160)," ")),BQ16:BQ63,BS16:BS63),_xlfn.XLOOKUP(TRIM(SUBSTITUTE(Z32,CHAR(160)," ")),BR16:BR63,BS16:BS63)))*Y32*IF(ISBLANK(V32),1,V32),0))</f>
        <v/>
      </c>
      <c r="AS32" s="784" t="str">
        <f t="shared" si="25"/>
        <v/>
      </c>
      <c r="AT32" s="1315" t="str">
        <f t="shared" si="26"/>
        <v/>
      </c>
      <c r="AU32" s="785">
        <f t="shared" si="27"/>
        <v>0</v>
      </c>
      <c r="AV32" s="785">
        <f t="shared" si="28"/>
        <v>0</v>
      </c>
      <c r="AW32" s="798">
        <f>IF(AK32="A",AY10,0)</f>
        <v>0</v>
      </c>
      <c r="AX32" s="5496" t="str">
        <f>IF(IFERROR(SEARCH("Adresse PC",TRIM(W32)),0)&gt;0,"▼ receta siguiente",IF(AK32="A",IF(AZ10&lt;&gt;"",AZ10&amp;" - ou.or.o ❾ + or - &gt;",""),""))</f>
        <v/>
      </c>
      <c r="AY32" s="810"/>
      <c r="AZ32" s="810"/>
      <c r="BA32" s="799" t="str">
        <f t="shared" si="29"/>
        <v/>
      </c>
      <c r="BB32" s="800" t="str">
        <f>IF(AK32="A",IF(AQ32,IF(AND(AW32&lt;&gt;"",N(AW32)&gt;0),IFERROR(IFERROR(_xlfn.XLOOKUP(AP32,BP10:BP57,BT10:BT57),IFERROR(_xlfn.XLOOKUP(AP32,BQ10:BQ57,BT10:BT57),_xlfn.XLOOKUP(AP32,BR10:BR57,BT10:BT57,""))),""),""),""),"")</f>
        <v/>
      </c>
      <c r="BC32" s="813" cm="1">
        <f t="array" ref="BC32">IF(NOT(AQ32),0,IF(OR(BA32="",N(BA32)&lt;=0.000000001),"",IF(OR(AU32="",N(AU32)&lt;=0.000000001),0,IF(ISNUMBER(BA32),IFERROR(_xlfn.LET(_xlpm.ai_test,TRIM(AP32),_xlpm.r,IFERROR(_xlfn.XLOOKUP(_xlpm.ai_test,BP16:BP63,ROW(BP16:BP63),0,1),IFERROR(_xlfn.XLOOKUP(_xlpm.ai_test,BQ16:BQ63,ROW(BQ16:BQ63),0,1),_xlfn.XLOOKUP(_xlpm.ai_test,BR16:BR63,ROW(BR16:BR63),0,1))),_xlpm.p,_xlpm.r-MIN(ROW(BP16:BP63))+1,_xlpm.f,INDEX(BS16:BS63,_xlpm.p),_xlpm.u,INDEX(BT16:BT63,_xlpm.p),_xlpm.s,INDEX(BV16:BV63,_xlpm.p),_xlpm.q,N(BA32)/_xlpm.f,IF(_xlpm.q&gt;=_xlpm.s,ROUND(_xlpm.q,1)&amp;" "&amp;_xlpm.ai_test&amp;" = "&amp;ROUND(_xlpm.q*_xlpm.f,1)&amp;" "&amp;_xlpm.u,ROUND(_xlpm.q,1)&amp;" "&amp;_xlpm.ai_test)),""),""))))</f>
        <v>0</v>
      </c>
      <c r="BD32" s="801"/>
      <c r="BE32" s="799" t="str">
        <f t="shared" si="30"/>
        <v/>
      </c>
      <c r="BF32" s="800" t="str">
        <f t="shared" ref="BF32:BF95" si="44">IF(AQ32,BB32,"")</f>
        <v/>
      </c>
      <c r="BG32" s="802">
        <f t="shared" ref="BG32:BG95" si="45">IF(AND(ISNUMBER(BM32),ABS(BM32)&gt;0.000000001),BM32,0)</f>
        <v>0</v>
      </c>
      <c r="BH32" s="803" t="str">
        <f t="shared" ref="BH32:BH95" si="46">IF(AND(AQ32, N(BG32)&gt;0.000000001), W32, "")</f>
        <v/>
      </c>
      <c r="BI32" s="792"/>
      <c r="BJ32" s="804">
        <f t="shared" ref="BJ32:BJ95" si="47">IF(OR(AU32=0,ISBLANK(BI32),ISTEXT(BG32)),0,(IF(BA32=0,BG32,BA32)*BI32))</f>
        <v>0</v>
      </c>
      <c r="BK32" s="794" t="str">
        <f t="shared" si="38"/>
        <v/>
      </c>
      <c r="BL32" s="227" t="s">
        <v>21</v>
      </c>
      <c r="BM32" s="773">
        <f t="shared" si="35"/>
        <v>0</v>
      </c>
      <c r="BN32" s="774">
        <f t="shared" si="36"/>
        <v>0</v>
      </c>
      <c r="BO32" s="630"/>
      <c r="BP32" s="109" t="s">
        <v>161</v>
      </c>
      <c r="BQ32" s="109" t="s">
        <v>1333</v>
      </c>
      <c r="BR32" s="109" t="s">
        <v>1316</v>
      </c>
      <c r="BS32" s="767">
        <f t="shared" si="43"/>
        <v>1.4999999999999999E-2</v>
      </c>
      <c r="BT32" s="805" t="s">
        <v>1621</v>
      </c>
      <c r="BU32" s="805" t="s">
        <v>1622</v>
      </c>
      <c r="BV32" s="757">
        <f t="shared" si="42"/>
        <v>67</v>
      </c>
      <c r="BW32" s="806">
        <v>15</v>
      </c>
      <c r="BX32" s="630"/>
      <c r="BY32" s="630"/>
      <c r="BZ32" s="630"/>
      <c r="CA32" s="630"/>
      <c r="CB32" s="630"/>
      <c r="CC32" s="630"/>
      <c r="CD32" s="781" t="str">
        <f t="shared" si="15"/>
        <v>►</v>
      </c>
      <c r="CE32" s="6858"/>
      <c r="CF32" s="6858"/>
      <c r="CG32" s="6858"/>
      <c r="CH32" s="6858"/>
      <c r="CI32" s="6858"/>
      <c r="CJ32" s="719"/>
      <c r="CK32" s="777" t="s">
        <v>1511</v>
      </c>
      <c r="CL32" s="754"/>
      <c r="CM32" s="754"/>
      <c r="CN32" s="778">
        <v>45</v>
      </c>
      <c r="CO32" s="779" t="s">
        <v>19</v>
      </c>
      <c r="CP32" s="350"/>
      <c r="CQ32" s="780"/>
      <c r="CS32" s="777" t="s">
        <v>1616</v>
      </c>
      <c r="CT32" s="754"/>
      <c r="CU32" s="754"/>
      <c r="CV32" s="778">
        <v>45</v>
      </c>
      <c r="CW32" s="779" t="s">
        <v>136</v>
      </c>
      <c r="CX32" s="350"/>
      <c r="CY32" s="780"/>
      <c r="DA32" s="777" t="s">
        <v>1617</v>
      </c>
      <c r="DB32" s="754"/>
      <c r="DC32" s="754"/>
      <c r="DD32" s="778">
        <v>45</v>
      </c>
      <c r="DE32" s="779" t="s">
        <v>139</v>
      </c>
      <c r="DF32" s="350"/>
      <c r="DG32" s="780"/>
      <c r="DI32" s="3">
        <v>1</v>
      </c>
    </row>
    <row r="33" spans="1:113" s="627" customFormat="1" ht="21" customHeight="1">
      <c r="A33" s="701" t="s">
        <v>21</v>
      </c>
      <c r="B33" s="2265" t="str" cm="1">
        <f t="array" ref="B33">SUMPRODUCT(--(D33:J33&lt;&gt;""), LEN(TRIM(SUBSTITUTE(D33:J33, CHAR(160), "")))) &amp; " Car."</f>
        <v>0 Car.</v>
      </c>
      <c r="C33" s="1376" t="str">
        <f>IF(ISBLANK(D33),"",LARGE(C13:C32,1)+1)</f>
        <v/>
      </c>
      <c r="D33" s="1833"/>
      <c r="E33" s="1810"/>
      <c r="F33" s="1810"/>
      <c r="G33" s="1810"/>
      <c r="H33" s="1810"/>
      <c r="I33" s="1810"/>
      <c r="J33" s="1810"/>
      <c r="K33" s="1810"/>
      <c r="L33" s="1811"/>
      <c r="M33" s="9"/>
      <c r="N33" s="103" t="str">
        <f t="shared" si="16"/>
        <v>►</v>
      </c>
      <c r="O33" s="1616">
        <v>1</v>
      </c>
      <c r="P33" s="9"/>
      <c r="Q33" s="103" t="str">
        <f t="shared" si="41"/>
        <v>►</v>
      </c>
      <c r="R33" s="31" t="str">
        <f>R20</f>
        <v>C CHIBOUST PAMPLEMOUSSE | pâtisserie--ENTREMET| Auteur &gt; recette Béghin Say de Jean-Jacques Borne MOF 1994</v>
      </c>
      <c r="S33" s="32">
        <f>S20</f>
        <v>18</v>
      </c>
      <c r="T33" s="31" t="str">
        <f>T20</f>
        <v>desserts</v>
      </c>
      <c r="U33" s="33" t="str">
        <f>U20</f>
        <v>Recette mère ► MILLE-FEUILLE  aux fraises des bois</v>
      </c>
      <c r="V33" s="89"/>
      <c r="W33" s="108"/>
      <c r="X33" s="91" t="str">
        <f t="shared" si="37"/>
        <v/>
      </c>
      <c r="Y33" s="92"/>
      <c r="Z33" s="128"/>
      <c r="AA33" s="130">
        <v>1</v>
      </c>
      <c r="AB33" s="1813" t="str">
        <f>ROWS(AB24:AB33)&amp;" ►"</f>
        <v>10 ►</v>
      </c>
      <c r="AC33" s="1580"/>
      <c r="AD33" s="95">
        <f>IF(AF39=0,0,(AF33/AF39)*AE23*1000)</f>
        <v>0</v>
      </c>
      <c r="AE33" s="105">
        <f>IF(AF39=0, 0, (V33*AA33)/(AF39*AE23))</f>
        <v>0</v>
      </c>
      <c r="AF33" s="97" cm="1">
        <f t="array" ref="AF33">IFERROR(_xlfn.XLOOKUP(UPPER(TRIM(Z33)),UPPER(TRIM(V40:AJ40)),V41:AJ41,_xlfn.XLOOKUP(UPPER(TRIM(Z33)),UPPER(TRIM(V42:AJ42)),V43:AJ43,0))*Y33*IF(V33&gt;0,V33,1),0)</f>
        <v>0</v>
      </c>
      <c r="AG33" s="110">
        <f>IF(AI19&lt;&gt;0,V33*AA33*AA19,0)</f>
        <v>0</v>
      </c>
      <c r="AH33" s="1748">
        <f t="shared" si="39"/>
        <v>0</v>
      </c>
      <c r="AI33" s="99">
        <f>IF(OR(ISBLANK(AI19),AI19=0),0,AF33*AA33*AA19)</f>
        <v>0</v>
      </c>
      <c r="AJ33" s="129" t="str">
        <f>IF(Z33="","",IF(COUNTIF(AC40:AJ40,SUBSTITUTE(TRIM(Z33)," (s)",""))+COUNTIF(AC42:AJ42,SUBSTITUTE(TRIM(Z33)," (s)",""))&gt;0,IF(ROUND(AI33,3)&gt;=1,ROUND(AI33,3)&amp;" L",MAX(1,ROUND(AI33*100,0))&amp;" cl"),IF(COUNTIF(V40:AA40,SUBSTITUTE(TRIM(Z33)," (s)",""))+COUNTIF(V42:AA42,SUBSTITUTE(TRIM(Z33)," (s)",""))&gt;0,IF(ROUND(AI33,3)&gt;=1,ROUND(AI33,3)&amp;" Kg",MAX(1,ROUND(AI33*1000,0))&amp;" g"),"")))</f>
        <v/>
      </c>
      <c r="AK33" s="6120" t="str">
        <f t="shared" si="40"/>
        <v>►</v>
      </c>
      <c r="AL33" s="781" t="str">
        <f t="shared" si="20"/>
        <v>►</v>
      </c>
      <c r="AM33" s="5499" t="str">
        <f t="shared" si="21"/>
        <v/>
      </c>
      <c r="AN33" s="783" t="str">
        <f t="shared" si="22"/>
        <v/>
      </c>
      <c r="AO33" s="782" t="str">
        <f t="shared" si="23"/>
        <v/>
      </c>
      <c r="AP33" s="783" t="str">
        <f t="shared" si="24"/>
        <v/>
      </c>
      <c r="AQ33" s="2083" t="b">
        <f>AND(Q33="A",COUNTIF(BP16:BR63,TRIM(Z33))&gt;0)</f>
        <v>0</v>
      </c>
      <c r="AR33" s="797" t="str">
        <f>IF(AL33&lt;&gt;"A","",IFERROR(IFERROR(_xlfn.XLOOKUP(TRIM(SUBSTITUTE(Z33,CHAR(160)," ")),BP16:BP63,BS16:BS63),IFERROR(_xlfn.XLOOKUP(TRIM(SUBSTITUTE(Z33,CHAR(160)," ")),BQ16:BQ63,BS16:BS63),_xlfn.XLOOKUP(TRIM(SUBSTITUTE(Z33,CHAR(160)," ")),BR16:BR63,BS16:BS63)))*Y33*IF(ISBLANK(V33),1,V33),0))</f>
        <v/>
      </c>
      <c r="AS33" s="784" t="str">
        <f t="shared" si="25"/>
        <v/>
      </c>
      <c r="AT33" s="1315" t="str">
        <f t="shared" si="26"/>
        <v/>
      </c>
      <c r="AU33" s="785">
        <f t="shared" si="27"/>
        <v>0</v>
      </c>
      <c r="AV33" s="785">
        <f t="shared" si="28"/>
        <v>0</v>
      </c>
      <c r="AW33" s="786">
        <f>IF(AK33="A",AY10,0)</f>
        <v>0</v>
      </c>
      <c r="AX33" s="5495" t="str">
        <f>IF(IFERROR(SEARCH("Adresse PC",TRIM(W33)),0)&gt;0,"▼ receta siguiente",IF(AK33="A",IF(AZ10&lt;&gt;"",AZ10&amp;" - ou.or.o ❾ + or - &gt;",""),""))</f>
        <v/>
      </c>
      <c r="AY33" s="810"/>
      <c r="AZ33" s="810"/>
      <c r="BA33" s="788" t="str">
        <f t="shared" si="29"/>
        <v/>
      </c>
      <c r="BB33" s="789" t="str">
        <f>IF(AK33="A",IF(AQ33,IF(AND(AW33&lt;&gt;"",N(AW33)&gt;0),IFERROR(IFERROR(_xlfn.XLOOKUP(AP33,BP10:BP57,BT10:BT57),IFERROR(_xlfn.XLOOKUP(AP33,BQ10:BQ57,BT10:BT57),_xlfn.XLOOKUP(AP33,BR10:BR57,BT10:BT57,""))),""),""),""),"")</f>
        <v/>
      </c>
      <c r="BC33" s="811" cm="1">
        <f t="array" ref="BC33">IF(NOT(AQ33),0,IF(OR(BA33="",N(BA33)&lt;=0.000000001),"",IF(OR(AU33="",N(AU33)&lt;=0.000000001),0,IF(ISNUMBER(BA33),IFERROR(_xlfn.LET(_xlpm.ai_test,TRIM(AP33),_xlpm.r,IFERROR(_xlfn.XLOOKUP(_xlpm.ai_test,BP16:BP63,ROW(BP16:BP63),0,1),IFERROR(_xlfn.XLOOKUP(_xlpm.ai_test,BQ16:BQ63,ROW(BQ16:BQ63),0,1),_xlfn.XLOOKUP(_xlpm.ai_test,BR16:BR63,ROW(BR16:BR63),0,1))),_xlpm.p,_xlpm.r-MIN(ROW(BP16:BP63))+1,_xlpm.f,INDEX(BS16:BS63,_xlpm.p),_xlpm.u,INDEX(BT16:BT63,_xlpm.p),_xlpm.s,INDEX(BV16:BV63,_xlpm.p),_xlpm.q,N(BA33)/_xlpm.f,IF(_xlpm.q&gt;=_xlpm.s,ROUND(_xlpm.q,1)&amp;" "&amp;_xlpm.ai_test&amp;" = "&amp;ROUND(_xlpm.q*_xlpm.f,1)&amp;" "&amp;_xlpm.u,ROUND(_xlpm.q,1)&amp;" "&amp;_xlpm.ai_test)),""),""))))</f>
        <v>0</v>
      </c>
      <c r="BD33" s="801"/>
      <c r="BE33" s="788" t="str">
        <f t="shared" si="30"/>
        <v/>
      </c>
      <c r="BF33" s="789" t="str">
        <f t="shared" si="44"/>
        <v/>
      </c>
      <c r="BG33" s="790">
        <f t="shared" si="45"/>
        <v>0</v>
      </c>
      <c r="BH33" s="791" t="str">
        <f t="shared" si="46"/>
        <v/>
      </c>
      <c r="BI33" s="792"/>
      <c r="BJ33" s="793">
        <f t="shared" si="47"/>
        <v>0</v>
      </c>
      <c r="BK33" s="794" t="str">
        <f t="shared" si="38"/>
        <v/>
      </c>
      <c r="BL33" s="227" t="s">
        <v>21</v>
      </c>
      <c r="BM33" s="773">
        <f t="shared" si="35"/>
        <v>0</v>
      </c>
      <c r="BN33" s="774">
        <f t="shared" si="36"/>
        <v>0</v>
      </c>
      <c r="BO33" s="630"/>
      <c r="BP33" s="109" t="s">
        <v>147</v>
      </c>
      <c r="BQ33" s="109" t="s">
        <v>1325</v>
      </c>
      <c r="BR33" s="145" t="s">
        <v>1306</v>
      </c>
      <c r="BS33" s="767">
        <f t="shared" si="43"/>
        <v>0.2</v>
      </c>
      <c r="BT33" s="805" t="s">
        <v>1621</v>
      </c>
      <c r="BU33" s="805" t="s">
        <v>1622</v>
      </c>
      <c r="BV33" s="757">
        <f t="shared" si="42"/>
        <v>5</v>
      </c>
      <c r="BW33" s="806">
        <v>200</v>
      </c>
      <c r="BX33" s="630"/>
      <c r="BY33" s="630"/>
      <c r="BZ33" s="630"/>
      <c r="CA33" s="630"/>
      <c r="CB33" s="630"/>
      <c r="CC33" s="630"/>
      <c r="CD33" s="781" t="str">
        <f t="shared" si="15"/>
        <v>►</v>
      </c>
      <c r="CE33" s="814"/>
      <c r="CF33" s="814"/>
      <c r="CG33" s="814"/>
      <c r="CH33" s="814"/>
      <c r="CI33" s="814"/>
      <c r="CJ33" s="719"/>
      <c r="CK33" s="795"/>
      <c r="CL33" s="350"/>
      <c r="CM33" s="350"/>
      <c r="CN33" s="350"/>
      <c r="CO33" s="796" t="s">
        <v>1618</v>
      </c>
      <c r="CP33" s="350"/>
      <c r="CQ33" s="780"/>
      <c r="CS33" s="795"/>
      <c r="CT33" s="350"/>
      <c r="CU33" s="350"/>
      <c r="CV33" s="350"/>
      <c r="CW33" s="796" t="s">
        <v>1619</v>
      </c>
      <c r="CX33" s="350"/>
      <c r="CY33" s="780"/>
      <c r="DA33" s="795"/>
      <c r="DB33" s="350"/>
      <c r="DC33" s="350"/>
      <c r="DD33" s="350"/>
      <c r="DE33" s="796" t="s">
        <v>1620</v>
      </c>
      <c r="DF33" s="350"/>
      <c r="DG33" s="780"/>
      <c r="DI33" s="3">
        <v>1</v>
      </c>
    </row>
    <row r="34" spans="1:113" s="627" customFormat="1" ht="21" customHeight="1">
      <c r="A34" s="701" t="s">
        <v>21</v>
      </c>
      <c r="B34" s="2265" t="str" cm="1">
        <f t="array" ref="B34">SUMPRODUCT(--(D34:J34&lt;&gt;""), LEN(TRIM(SUBSTITUTE(D34:J34, CHAR(160), "")))) &amp; " Car."</f>
        <v>0 Car.</v>
      </c>
      <c r="C34" s="1376" t="str">
        <f>IF(ISBLANK(D34),"",LARGE(C13:C33,1)+1)</f>
        <v/>
      </c>
      <c r="D34" s="1833"/>
      <c r="E34" s="1810"/>
      <c r="F34" s="1810"/>
      <c r="G34" s="1810"/>
      <c r="H34" s="1810"/>
      <c r="I34" s="1810"/>
      <c r="J34" s="1810"/>
      <c r="K34" s="1810"/>
      <c r="L34" s="1811"/>
      <c r="M34" s="9"/>
      <c r="N34" s="103" t="str">
        <f t="shared" si="16"/>
        <v>►</v>
      </c>
      <c r="O34" s="1616"/>
      <c r="P34" s="9"/>
      <c r="Q34" s="103" t="str">
        <f t="shared" si="41"/>
        <v>►</v>
      </c>
      <c r="R34" s="31" t="str">
        <f>R20</f>
        <v>C CHIBOUST PAMPLEMOUSSE | pâtisserie--ENTREMET| Auteur &gt; recette Béghin Say de Jean-Jacques Borne MOF 1994</v>
      </c>
      <c r="S34" s="32">
        <f>S20</f>
        <v>18</v>
      </c>
      <c r="T34" s="31" t="str">
        <f>T20</f>
        <v>desserts</v>
      </c>
      <c r="U34" s="33" t="str">
        <f>U20</f>
        <v>Recette mère ► MILLE-FEUILLE  aux fraises des bois</v>
      </c>
      <c r="V34" s="89"/>
      <c r="W34" s="108"/>
      <c r="X34" s="91" t="str">
        <f t="shared" si="37"/>
        <v/>
      </c>
      <c r="Y34" s="92"/>
      <c r="Z34" s="128"/>
      <c r="AA34" s="130">
        <v>1</v>
      </c>
      <c r="AB34" s="1813" t="str">
        <f>ROWS(AB24:AB34)&amp;" ►"</f>
        <v>11 ►</v>
      </c>
      <c r="AC34" s="1580"/>
      <c r="AD34" s="95">
        <f>IF(AF39=0,0,(AF34/AF39)*AE23*1000)</f>
        <v>0</v>
      </c>
      <c r="AE34" s="105">
        <f>IF(AF39=0, 0, (V34*AA34)/(AF39*AE23))</f>
        <v>0</v>
      </c>
      <c r="AF34" s="97" cm="1">
        <f t="array" ref="AF34">IFERROR(_xlfn.XLOOKUP(UPPER(TRIM(Z34)),UPPER(TRIM(V40:AJ40)),V41:AJ41,_xlfn.XLOOKUP(UPPER(TRIM(Z34)),UPPER(TRIM(V42:AJ42)),V43:AJ43,0))*Y34*IF(V34&gt;0,V34,1),0)</f>
        <v>0</v>
      </c>
      <c r="AG34" s="106">
        <f>IF(AI19&lt;&gt;0,V34*AA34*AA19,0)</f>
        <v>0</v>
      </c>
      <c r="AH34" s="1747">
        <f t="shared" si="39"/>
        <v>0</v>
      </c>
      <c r="AI34" s="99">
        <f>IF(OR(ISBLANK(AI19),AI19=0),0,AF34*AA34*AA19)</f>
        <v>0</v>
      </c>
      <c r="AJ34" s="107" t="str">
        <f>IF(Z34="","",IF(COUNTIF(AC40:AJ40,SUBSTITUTE(TRIM(Z34)," (s)",""))+COUNTIF(AC42:AJ42,SUBSTITUTE(TRIM(Z34)," (s)",""))&gt;0,IF(ROUND(AI34,3)&gt;=1,ROUND(AI34,3)&amp;" L",MAX(1,ROUND(AI34*100,0))&amp;" cl"),IF(COUNTIF(V40:AA40,SUBSTITUTE(TRIM(Z34)," (s)",""))+COUNTIF(V42:AA42,SUBSTITUTE(TRIM(Z34)," (s)",""))&gt;0,IF(ROUND(AI34,3)&gt;=1,ROUND(AI34,3)&amp;" Kg",MAX(1,ROUND(AI34*1000,0))&amp;" g"),"")))</f>
        <v/>
      </c>
      <c r="AK34" s="6120" t="str">
        <f t="shared" si="40"/>
        <v>►</v>
      </c>
      <c r="AL34" s="781" t="str">
        <f t="shared" si="20"/>
        <v>►</v>
      </c>
      <c r="AM34" s="5498" t="str">
        <f t="shared" si="21"/>
        <v/>
      </c>
      <c r="AN34" s="783" t="str">
        <f t="shared" si="22"/>
        <v/>
      </c>
      <c r="AO34" s="782" t="str">
        <f t="shared" si="23"/>
        <v/>
      </c>
      <c r="AP34" s="783" t="str">
        <f t="shared" si="24"/>
        <v/>
      </c>
      <c r="AQ34" s="2083" t="b">
        <f>AND(Q34="A",COUNTIF(BP16:BR63,TRIM(Z34))&gt;0)</f>
        <v>0</v>
      </c>
      <c r="AR34" s="797" t="str">
        <f>IF(AL34&lt;&gt;"A","",IFERROR(IFERROR(_xlfn.XLOOKUP(TRIM(SUBSTITUTE(Z34,CHAR(160)," ")),BP16:BP63,BS16:BS63),IFERROR(_xlfn.XLOOKUP(TRIM(SUBSTITUTE(Z34,CHAR(160)," ")),BQ16:BQ63,BS16:BS63),_xlfn.XLOOKUP(TRIM(SUBSTITUTE(Z34,CHAR(160)," ")),BR16:BR63,BS16:BS63)))*Y34*IF(ISBLANK(V34),1,V34),0))</f>
        <v/>
      </c>
      <c r="AS34" s="784" t="str">
        <f t="shared" si="25"/>
        <v/>
      </c>
      <c r="AT34" s="1315" t="str">
        <f t="shared" si="26"/>
        <v/>
      </c>
      <c r="AU34" s="785">
        <f t="shared" si="27"/>
        <v>0</v>
      </c>
      <c r="AV34" s="785">
        <f t="shared" si="28"/>
        <v>0</v>
      </c>
      <c r="AW34" s="798">
        <f>IF(AK34="A",AY10,0)</f>
        <v>0</v>
      </c>
      <c r="AX34" s="5496" t="str">
        <f>IF(IFERROR(SEARCH("Adresse PC",TRIM(W34)),0)&gt;0,"▼ receta siguiente",IF(AK34="A",IF(AZ10&lt;&gt;"",AZ10&amp;" - ou.or.o ❾ + or - &gt;",""),""))</f>
        <v/>
      </c>
      <c r="AY34" s="810"/>
      <c r="AZ34" s="810"/>
      <c r="BA34" s="799" t="str">
        <f t="shared" si="29"/>
        <v/>
      </c>
      <c r="BB34" s="800" t="str">
        <f>IF(AK34="A",IF(AQ34,IF(AND(AW34&lt;&gt;"",N(AW34)&gt;0),IFERROR(IFERROR(_xlfn.XLOOKUP(AP34,BP10:BP57,BT10:BT57),IFERROR(_xlfn.XLOOKUP(AP34,BQ10:BQ57,BT10:BT57),_xlfn.XLOOKUP(AP34,BR10:BR57,BT10:BT57,""))),""),""),""),"")</f>
        <v/>
      </c>
      <c r="BC34" s="813" cm="1">
        <f t="array" ref="BC34">IF(NOT(AQ34),0,IF(OR(BA34="",N(BA34)&lt;=0.000000001),"",IF(OR(AU34="",N(AU34)&lt;=0.000000001),0,IF(ISNUMBER(BA34),IFERROR(_xlfn.LET(_xlpm.ai_test,TRIM(AP34),_xlpm.r,IFERROR(_xlfn.XLOOKUP(_xlpm.ai_test,BP16:BP63,ROW(BP16:BP63),0,1),IFERROR(_xlfn.XLOOKUP(_xlpm.ai_test,BQ16:BQ63,ROW(BQ16:BQ63),0,1),_xlfn.XLOOKUP(_xlpm.ai_test,BR16:BR63,ROW(BR16:BR63),0,1))),_xlpm.p,_xlpm.r-MIN(ROW(BP16:BP63))+1,_xlpm.f,INDEX(BS16:BS63,_xlpm.p),_xlpm.u,INDEX(BT16:BT63,_xlpm.p),_xlpm.s,INDEX(BV16:BV63,_xlpm.p),_xlpm.q,N(BA34)/_xlpm.f,IF(_xlpm.q&gt;=_xlpm.s,ROUND(_xlpm.q,1)&amp;" "&amp;_xlpm.ai_test&amp;" = "&amp;ROUND(_xlpm.q*_xlpm.f,1)&amp;" "&amp;_xlpm.u,ROUND(_xlpm.q,1)&amp;" "&amp;_xlpm.ai_test)),""),""))))</f>
        <v>0</v>
      </c>
      <c r="BD34" s="801"/>
      <c r="BE34" s="799" t="str">
        <f t="shared" si="30"/>
        <v/>
      </c>
      <c r="BF34" s="800" t="str">
        <f t="shared" si="44"/>
        <v/>
      </c>
      <c r="BG34" s="802">
        <f t="shared" si="45"/>
        <v>0</v>
      </c>
      <c r="BH34" s="803" t="str">
        <f t="shared" si="46"/>
        <v/>
      </c>
      <c r="BI34" s="792"/>
      <c r="BJ34" s="804">
        <f t="shared" si="47"/>
        <v>0</v>
      </c>
      <c r="BK34" s="794" t="str">
        <f t="shared" si="38"/>
        <v/>
      </c>
      <c r="BL34" s="227" t="s">
        <v>21</v>
      </c>
      <c r="BM34" s="773">
        <f t="shared" si="35"/>
        <v>0</v>
      </c>
      <c r="BN34" s="774">
        <f t="shared" si="36"/>
        <v>0</v>
      </c>
      <c r="BO34" s="630"/>
      <c r="BP34" s="109" t="s">
        <v>105</v>
      </c>
      <c r="BQ34" s="109" t="s">
        <v>1335</v>
      </c>
      <c r="BR34" s="109" t="s">
        <v>1318</v>
      </c>
      <c r="BS34" s="767">
        <f t="shared" si="43"/>
        <v>0.22500000000000001</v>
      </c>
      <c r="BT34" s="805" t="s">
        <v>1621</v>
      </c>
      <c r="BU34" s="805" t="s">
        <v>1622</v>
      </c>
      <c r="BV34" s="757">
        <f t="shared" si="42"/>
        <v>4</v>
      </c>
      <c r="BW34" s="806">
        <v>225</v>
      </c>
      <c r="BX34" s="630"/>
      <c r="BY34" s="630"/>
      <c r="BZ34" s="630"/>
      <c r="CA34" s="630"/>
      <c r="CB34" s="630"/>
      <c r="CC34" s="630"/>
      <c r="CD34" s="781" t="str">
        <f t="shared" si="15"/>
        <v>►</v>
      </c>
      <c r="CE34" s="6887" t="s">
        <v>1629</v>
      </c>
      <c r="CF34" s="6887"/>
      <c r="CG34" s="6887"/>
      <c r="CH34" s="6887"/>
      <c r="CI34" s="6887"/>
      <c r="CJ34" s="719"/>
      <c r="CK34" s="795"/>
      <c r="CL34" s="350"/>
      <c r="CM34" s="350"/>
      <c r="CN34" s="350"/>
      <c r="CO34" s="807" t="s">
        <v>1623</v>
      </c>
      <c r="CP34" s="350"/>
      <c r="CQ34" s="780"/>
      <c r="CS34" s="795"/>
      <c r="CT34" s="350"/>
      <c r="CU34" s="350"/>
      <c r="CV34" s="350"/>
      <c r="CW34" s="796" t="s">
        <v>1624</v>
      </c>
      <c r="CX34" s="350"/>
      <c r="CY34" s="780"/>
      <c r="DA34" s="795"/>
      <c r="DB34" s="350"/>
      <c r="DC34" s="350"/>
      <c r="DD34" s="350"/>
      <c r="DE34" s="807" t="s">
        <v>1625</v>
      </c>
      <c r="DF34" s="350"/>
      <c r="DG34" s="780"/>
      <c r="DI34" s="3">
        <v>1</v>
      </c>
    </row>
    <row r="35" spans="1:113" s="627" customFormat="1" ht="21" customHeight="1">
      <c r="A35" s="701" t="s">
        <v>21</v>
      </c>
      <c r="B35" s="2265" t="str" cm="1">
        <f t="array" ref="B35">SUMPRODUCT(--(D35:J35&lt;&gt;""), LEN(TRIM(SUBSTITUTE(D35:J35, CHAR(160), "")))) &amp; " Car."</f>
        <v>0 Car.</v>
      </c>
      <c r="C35" s="1376" t="str">
        <f>IF(ISBLANK(D35),"",LARGE(C13:C34,1)+1)</f>
        <v/>
      </c>
      <c r="D35" s="1833"/>
      <c r="E35" s="1810"/>
      <c r="F35" s="1810"/>
      <c r="G35" s="1810"/>
      <c r="H35" s="1810"/>
      <c r="I35" s="1810"/>
      <c r="J35" s="1810"/>
      <c r="K35" s="1810"/>
      <c r="L35" s="1811"/>
      <c r="M35" s="9"/>
      <c r="N35" s="103" t="str">
        <f t="shared" si="16"/>
        <v>►</v>
      </c>
      <c r="O35" s="1616"/>
      <c r="P35" s="9"/>
      <c r="Q35" s="103" t="str">
        <f t="shared" si="41"/>
        <v>►</v>
      </c>
      <c r="R35" s="31" t="str">
        <f>R20</f>
        <v>C CHIBOUST PAMPLEMOUSSE | pâtisserie--ENTREMET| Auteur &gt; recette Béghin Say de Jean-Jacques Borne MOF 1994</v>
      </c>
      <c r="S35" s="32">
        <f>S20</f>
        <v>18</v>
      </c>
      <c r="T35" s="31" t="str">
        <f>T20</f>
        <v>desserts</v>
      </c>
      <c r="U35" s="33" t="str">
        <f>U20</f>
        <v>Recette mère ► MILLE-FEUILLE  aux fraises des bois</v>
      </c>
      <c r="V35" s="89"/>
      <c r="W35" s="108"/>
      <c r="X35" s="91" t="str">
        <f t="shared" si="37"/>
        <v/>
      </c>
      <c r="Y35" s="92"/>
      <c r="Z35" s="128"/>
      <c r="AA35" s="130">
        <v>1</v>
      </c>
      <c r="AB35" s="1813" t="str">
        <f>ROWS(AB24:AB35)&amp;" ►"</f>
        <v>12 ►</v>
      </c>
      <c r="AC35" s="1580"/>
      <c r="AD35" s="95">
        <f>IF(AF39=0,0,(AF35/AF39)*AE23*1000)</f>
        <v>0</v>
      </c>
      <c r="AE35" s="105">
        <f>IF(AF39=0, 0, (V35*AA35)/(AF39*AE23))</f>
        <v>0</v>
      </c>
      <c r="AF35" s="97" cm="1">
        <f t="array" ref="AF35">IFERROR(_xlfn.XLOOKUP(UPPER(TRIM(Z35)),UPPER(TRIM(V40:AJ40)),V41:AJ41,_xlfn.XLOOKUP(UPPER(TRIM(Z35)),UPPER(TRIM(V42:AJ42)),V43:AJ43,0))*Y35*IF(V35&gt;0,V35,1),0)</f>
        <v>0</v>
      </c>
      <c r="AG35" s="110">
        <f>IF(AI19&lt;&gt;0,V35*AA35*AA19,0)</f>
        <v>0</v>
      </c>
      <c r="AH35" s="1748">
        <f t="shared" si="39"/>
        <v>0</v>
      </c>
      <c r="AI35" s="99">
        <f>IF(OR(ISBLANK(AI19),AI19=0),0,AF35*AA35*AA19)</f>
        <v>0</v>
      </c>
      <c r="AJ35" s="129" t="str">
        <f>IF(Z35="","",IF(COUNTIF(AC40:AJ40,SUBSTITUTE(TRIM(Z35)," (s)",""))+COUNTIF(AC42:AJ42,SUBSTITUTE(TRIM(Z35)," (s)",""))&gt;0,IF(ROUND(AI35,3)&gt;=1,ROUND(AI35,3)&amp;" L",MAX(1,ROUND(AI35*100,0))&amp;" cl"),IF(COUNTIF(V40:AA40,SUBSTITUTE(TRIM(Z35)," (s)",""))+COUNTIF(V42:AA42,SUBSTITUTE(TRIM(Z35)," (s)",""))&gt;0,IF(ROUND(AI35,3)&gt;=1,ROUND(AI35,3)&amp;" Kg",MAX(1,ROUND(AI35*1000,0))&amp;" g"),"")))</f>
        <v/>
      </c>
      <c r="AK35" s="6120" t="str">
        <f t="shared" si="40"/>
        <v>►</v>
      </c>
      <c r="AL35" s="781" t="str">
        <f t="shared" si="20"/>
        <v>►</v>
      </c>
      <c r="AM35" s="5499" t="str">
        <f t="shared" si="21"/>
        <v/>
      </c>
      <c r="AN35" s="783" t="str">
        <f t="shared" si="22"/>
        <v/>
      </c>
      <c r="AO35" s="782" t="str">
        <f t="shared" si="23"/>
        <v/>
      </c>
      <c r="AP35" s="783" t="str">
        <f t="shared" si="24"/>
        <v/>
      </c>
      <c r="AQ35" s="2083" t="b">
        <f>AND(Q35="A",COUNTIF(BP16:BR63,TRIM(Z35))&gt;0)</f>
        <v>0</v>
      </c>
      <c r="AR35" s="797" t="str">
        <f>IF(AL35&lt;&gt;"A","",IFERROR(IFERROR(_xlfn.XLOOKUP(TRIM(SUBSTITUTE(Z35,CHAR(160)," ")),BP16:BP63,BS16:BS63),IFERROR(_xlfn.XLOOKUP(TRIM(SUBSTITUTE(Z35,CHAR(160)," ")),BQ16:BQ63,BS16:BS63),_xlfn.XLOOKUP(TRIM(SUBSTITUTE(Z35,CHAR(160)," ")),BR16:BR63,BS16:BS63)))*Y35*IF(ISBLANK(V35),1,V35),0))</f>
        <v/>
      </c>
      <c r="AS35" s="784" t="str">
        <f t="shared" si="25"/>
        <v/>
      </c>
      <c r="AT35" s="1315" t="str">
        <f t="shared" si="26"/>
        <v/>
      </c>
      <c r="AU35" s="785">
        <f t="shared" si="27"/>
        <v>0</v>
      </c>
      <c r="AV35" s="785">
        <f t="shared" si="28"/>
        <v>0</v>
      </c>
      <c r="AW35" s="786">
        <f>IF(AK35="A",AY10,0)</f>
        <v>0</v>
      </c>
      <c r="AX35" s="5495" t="str">
        <f>IF(IFERROR(SEARCH("Adresse PC",TRIM(W35)),0)&gt;0,"▼ receta siguiente",IF(AK35="A",IF(AZ10&lt;&gt;"",AZ10&amp;" - ou.or.o ❾ + or - &gt;",""),""))</f>
        <v/>
      </c>
      <c r="AY35" s="810"/>
      <c r="AZ35" s="810"/>
      <c r="BA35" s="788" t="str">
        <f t="shared" si="29"/>
        <v/>
      </c>
      <c r="BB35" s="789" t="str">
        <f>IF(AK35="A",IF(AQ35,IF(AND(AW35&lt;&gt;"",N(AW35)&gt;0),IFERROR(IFERROR(_xlfn.XLOOKUP(AP35,BP10:BP57,BT10:BT57),IFERROR(_xlfn.XLOOKUP(AP35,BQ10:BQ57,BT10:BT57),_xlfn.XLOOKUP(AP35,BR10:BR57,BT10:BT57,""))),""),""),""),"")</f>
        <v/>
      </c>
      <c r="BC35" s="811" cm="1">
        <f t="array" ref="BC35">IF(NOT(AQ35),0,IF(OR(BA35="",N(BA35)&lt;=0.000000001),"",IF(OR(AU35="",N(AU35)&lt;=0.000000001),0,IF(ISNUMBER(BA35),IFERROR(_xlfn.LET(_xlpm.ai_test,TRIM(AP35),_xlpm.r,IFERROR(_xlfn.XLOOKUP(_xlpm.ai_test,BP16:BP63,ROW(BP16:BP63),0,1),IFERROR(_xlfn.XLOOKUP(_xlpm.ai_test,BQ16:BQ63,ROW(BQ16:BQ63),0,1),_xlfn.XLOOKUP(_xlpm.ai_test,BR16:BR63,ROW(BR16:BR63),0,1))),_xlpm.p,_xlpm.r-MIN(ROW(BP16:BP63))+1,_xlpm.f,INDEX(BS16:BS63,_xlpm.p),_xlpm.u,INDEX(BT16:BT63,_xlpm.p),_xlpm.s,INDEX(BV16:BV63,_xlpm.p),_xlpm.q,N(BA35)/_xlpm.f,IF(_xlpm.q&gt;=_xlpm.s,ROUND(_xlpm.q,1)&amp;" "&amp;_xlpm.ai_test&amp;" = "&amp;ROUND(_xlpm.q*_xlpm.f,1)&amp;" "&amp;_xlpm.u,ROUND(_xlpm.q,1)&amp;" "&amp;_xlpm.ai_test)),""),""))))</f>
        <v>0</v>
      </c>
      <c r="BD35" s="801"/>
      <c r="BE35" s="788" t="str">
        <f t="shared" si="30"/>
        <v/>
      </c>
      <c r="BF35" s="789" t="str">
        <f t="shared" si="44"/>
        <v/>
      </c>
      <c r="BG35" s="790">
        <f t="shared" si="45"/>
        <v>0</v>
      </c>
      <c r="BH35" s="791" t="str">
        <f t="shared" si="46"/>
        <v/>
      </c>
      <c r="BI35" s="792"/>
      <c r="BJ35" s="793">
        <f t="shared" si="47"/>
        <v>0</v>
      </c>
      <c r="BK35" s="794" t="str">
        <f t="shared" si="38"/>
        <v/>
      </c>
      <c r="BL35" s="227" t="s">
        <v>21</v>
      </c>
      <c r="BM35" s="773">
        <f t="shared" si="35"/>
        <v>0</v>
      </c>
      <c r="BN35" s="774">
        <f t="shared" si="36"/>
        <v>0</v>
      </c>
      <c r="BO35" s="630"/>
      <c r="BP35" s="815" t="s">
        <v>1635</v>
      </c>
      <c r="BQ35" s="815" t="s">
        <v>1636</v>
      </c>
      <c r="BR35" s="815" t="s">
        <v>1637</v>
      </c>
      <c r="BS35" s="767">
        <f t="shared" si="43"/>
        <v>0.11799999999999999</v>
      </c>
      <c r="BT35" s="805" t="s">
        <v>1621</v>
      </c>
      <c r="BU35" s="805" t="s">
        <v>1622</v>
      </c>
      <c r="BV35" s="757">
        <f t="shared" si="42"/>
        <v>8</v>
      </c>
      <c r="BW35" s="806">
        <v>118</v>
      </c>
      <c r="BX35" s="630"/>
      <c r="BY35" s="630"/>
      <c r="BZ35" s="630"/>
      <c r="CA35" s="630"/>
      <c r="CB35" s="630"/>
      <c r="CC35" s="630"/>
      <c r="CD35" s="781" t="str">
        <f t="shared" si="15"/>
        <v>►</v>
      </c>
      <c r="CE35" s="6887"/>
      <c r="CF35" s="6887"/>
      <c r="CG35" s="6887"/>
      <c r="CH35" s="6887"/>
      <c r="CI35" s="6887"/>
      <c r="CJ35" s="719"/>
      <c r="CK35" s="762"/>
      <c r="CL35" s="808"/>
      <c r="CM35" s="754"/>
      <c r="CN35" s="809" t="s">
        <v>8962</v>
      </c>
      <c r="CO35" s="754"/>
      <c r="CP35" s="754"/>
      <c r="CQ35" s="755"/>
      <c r="CS35" s="762"/>
      <c r="CT35" s="808"/>
      <c r="CU35" s="754"/>
      <c r="CV35" s="809" t="s">
        <v>8963</v>
      </c>
      <c r="CW35" s="754"/>
      <c r="CX35" s="754"/>
      <c r="CY35" s="755"/>
      <c r="DA35" s="762"/>
      <c r="DB35" s="808"/>
      <c r="DC35" s="754"/>
      <c r="DD35" s="809" t="s">
        <v>8964</v>
      </c>
      <c r="DE35" s="754"/>
      <c r="DF35" s="754"/>
      <c r="DG35" s="755"/>
      <c r="DI35" s="3">
        <v>1</v>
      </c>
    </row>
    <row r="36" spans="1:113" s="627" customFormat="1" ht="21" customHeight="1">
      <c r="A36" s="701" t="s">
        <v>21</v>
      </c>
      <c r="B36" s="2265" t="str" cm="1">
        <f t="array" ref="B36">SUMPRODUCT(--(D36:J36&lt;&gt;""), LEN(TRIM(SUBSTITUTE(D36:J36, CHAR(160), "")))) &amp; " Car."</f>
        <v>0 Car.</v>
      </c>
      <c r="C36" s="1376" t="str">
        <f>IF(ISBLANK(D36),"",LARGE(C13:C35,1)+1)</f>
        <v/>
      </c>
      <c r="D36" s="1833"/>
      <c r="E36" s="1810"/>
      <c r="F36" s="1810"/>
      <c r="G36" s="1810"/>
      <c r="H36" s="1810"/>
      <c r="I36" s="1810"/>
      <c r="J36" s="1810"/>
      <c r="K36" s="1810"/>
      <c r="L36" s="1811"/>
      <c r="M36" s="9"/>
      <c r="N36" s="103" t="str">
        <f t="shared" si="16"/>
        <v>►</v>
      </c>
      <c r="O36" s="1616"/>
      <c r="P36" s="9"/>
      <c r="Q36" s="103" t="str">
        <f t="shared" si="41"/>
        <v>►</v>
      </c>
      <c r="R36" s="31" t="str">
        <f>R20</f>
        <v>C CHIBOUST PAMPLEMOUSSE | pâtisserie--ENTREMET| Auteur &gt; recette Béghin Say de Jean-Jacques Borne MOF 1994</v>
      </c>
      <c r="S36" s="32">
        <f>S20</f>
        <v>18</v>
      </c>
      <c r="T36" s="31" t="str">
        <f>T20</f>
        <v>desserts</v>
      </c>
      <c r="U36" s="33" t="str">
        <f>U20</f>
        <v>Recette mère ► MILLE-FEUILLE  aux fraises des bois</v>
      </c>
      <c r="V36" s="89"/>
      <c r="W36" s="108"/>
      <c r="X36" s="91" t="str">
        <f t="shared" si="37"/>
        <v/>
      </c>
      <c r="Y36" s="92"/>
      <c r="Z36" s="128"/>
      <c r="AA36" s="130">
        <v>1</v>
      </c>
      <c r="AB36" s="1813" t="str">
        <f>ROWS(AB24:AB36)&amp;" ►"</f>
        <v>13 ►</v>
      </c>
      <c r="AC36" s="1580"/>
      <c r="AD36" s="95">
        <f>IF(AF39=0,0,(AF36/AF39)*AE23*1000)</f>
        <v>0</v>
      </c>
      <c r="AE36" s="105">
        <f>IF(AF39=0, 0, (V36*AA36)/(AF39*AE23))</f>
        <v>0</v>
      </c>
      <c r="AF36" s="97" cm="1">
        <f t="array" ref="AF36">IFERROR(_xlfn.XLOOKUP(UPPER(TRIM(Z36)),UPPER(TRIM(V40:AJ40)),V41:AJ41,_xlfn.XLOOKUP(UPPER(TRIM(Z36)),UPPER(TRIM(V42:AJ42)),V43:AJ43,0))*Y36*IF(V36&gt;0,V36,1),0)</f>
        <v>0</v>
      </c>
      <c r="AG36" s="106">
        <f>IF(AI19&lt;&gt;0,V36*AA36*AA19,0)</f>
        <v>0</v>
      </c>
      <c r="AH36" s="1747">
        <f t="shared" si="39"/>
        <v>0</v>
      </c>
      <c r="AI36" s="99">
        <f>IF(OR(ISBLANK(AI19),AI19=0),0,AF36*AA36*AA19)</f>
        <v>0</v>
      </c>
      <c r="AJ36" s="107" t="str">
        <f>IF(Z36="","",IF(COUNTIF(AC40:AJ40,SUBSTITUTE(TRIM(Z36)," (s)",""))+COUNTIF(AC42:AJ42,SUBSTITUTE(TRIM(Z36)," (s)",""))&gt;0,IF(ROUND(AI36,3)&gt;=1,ROUND(AI36,3)&amp;" L",MAX(1,ROUND(AI36*100,0))&amp;" cl"),IF(COUNTIF(V40:AA40,SUBSTITUTE(TRIM(Z36)," (s)",""))+COUNTIF(V42:AA42,SUBSTITUTE(TRIM(Z36)," (s)",""))&gt;0,IF(ROUND(AI36,3)&gt;=1,ROUND(AI36,3)&amp;" Kg",MAX(1,ROUND(AI36*1000,0))&amp;" g"),"")))</f>
        <v/>
      </c>
      <c r="AK36" s="6120" t="str">
        <f t="shared" si="40"/>
        <v>►</v>
      </c>
      <c r="AL36" s="781" t="str">
        <f t="shared" si="20"/>
        <v>►</v>
      </c>
      <c r="AM36" s="5498" t="str">
        <f t="shared" si="21"/>
        <v/>
      </c>
      <c r="AN36" s="783" t="str">
        <f t="shared" si="22"/>
        <v/>
      </c>
      <c r="AO36" s="782" t="str">
        <f t="shared" si="23"/>
        <v/>
      </c>
      <c r="AP36" s="783" t="str">
        <f t="shared" si="24"/>
        <v/>
      </c>
      <c r="AQ36" s="2083" t="b">
        <f>AND(Q36="A",COUNTIF(BP16:BR63,TRIM(Z36))&gt;0)</f>
        <v>0</v>
      </c>
      <c r="AR36" s="797" t="str">
        <f>IF(AL36&lt;&gt;"A","",IFERROR(IFERROR(_xlfn.XLOOKUP(TRIM(SUBSTITUTE(Z36,CHAR(160)," ")),BP16:BP63,BS16:BS63),IFERROR(_xlfn.XLOOKUP(TRIM(SUBSTITUTE(Z36,CHAR(160)," ")),BQ16:BQ63,BS16:BS63),_xlfn.XLOOKUP(TRIM(SUBSTITUTE(Z36,CHAR(160)," ")),BR16:BR63,BS16:BS63)))*Y36*IF(ISBLANK(V36),1,V36),0))</f>
        <v/>
      </c>
      <c r="AS36" s="784" t="str">
        <f t="shared" si="25"/>
        <v/>
      </c>
      <c r="AT36" s="1315" t="str">
        <f t="shared" si="26"/>
        <v/>
      </c>
      <c r="AU36" s="785">
        <f t="shared" si="27"/>
        <v>0</v>
      </c>
      <c r="AV36" s="785">
        <f t="shared" si="28"/>
        <v>0</v>
      </c>
      <c r="AW36" s="798">
        <f>IF(AK36="A",AY10,0)</f>
        <v>0</v>
      </c>
      <c r="AX36" s="5496" t="str">
        <f>IF(IFERROR(SEARCH("Adresse PC",TRIM(W36)),0)&gt;0,"▼ receta siguiente",IF(AK36="A",IF(AZ10&lt;&gt;"",AZ10&amp;" - ou.or.o ❾ + or - &gt;",""),""))</f>
        <v/>
      </c>
      <c r="AY36" s="810"/>
      <c r="AZ36" s="810"/>
      <c r="BA36" s="799" t="str">
        <f t="shared" si="29"/>
        <v/>
      </c>
      <c r="BB36" s="800" t="str">
        <f>IF(AK36="A",IF(AQ36,IF(AND(AW36&lt;&gt;"",N(AW36)&gt;0),IFERROR(IFERROR(_xlfn.XLOOKUP(AP36,BP10:BP57,BT10:BT57),IFERROR(_xlfn.XLOOKUP(AP36,BQ10:BQ57,BT10:BT57),_xlfn.XLOOKUP(AP36,BR10:BR57,BT10:BT57,""))),""),""),""),"")</f>
        <v/>
      </c>
      <c r="BC36" s="813" cm="1">
        <f t="array" ref="BC36">IF(NOT(AQ36),0,IF(OR(BA36="",N(BA36)&lt;=0.000000001),"",IF(OR(AU36="",N(AU36)&lt;=0.000000001),0,IF(ISNUMBER(BA36),IFERROR(_xlfn.LET(_xlpm.ai_test,TRIM(AP36),_xlpm.r,IFERROR(_xlfn.XLOOKUP(_xlpm.ai_test,BP16:BP63,ROW(BP16:BP63),0,1),IFERROR(_xlfn.XLOOKUP(_xlpm.ai_test,BQ16:BQ63,ROW(BQ16:BQ63),0,1),_xlfn.XLOOKUP(_xlpm.ai_test,BR16:BR63,ROW(BR16:BR63),0,1))),_xlpm.p,_xlpm.r-MIN(ROW(BP16:BP63))+1,_xlpm.f,INDEX(BS16:BS63,_xlpm.p),_xlpm.u,INDEX(BT16:BT63,_xlpm.p),_xlpm.s,INDEX(BV16:BV63,_xlpm.p),_xlpm.q,N(BA36)/_xlpm.f,IF(_xlpm.q&gt;=_xlpm.s,ROUND(_xlpm.q,1)&amp;" "&amp;_xlpm.ai_test&amp;" = "&amp;ROUND(_xlpm.q*_xlpm.f,1)&amp;" "&amp;_xlpm.u,ROUND(_xlpm.q,1)&amp;" "&amp;_xlpm.ai_test)),""),""))))</f>
        <v>0</v>
      </c>
      <c r="BD36" s="801"/>
      <c r="BE36" s="799" t="str">
        <f t="shared" si="30"/>
        <v/>
      </c>
      <c r="BF36" s="800" t="str">
        <f t="shared" si="44"/>
        <v/>
      </c>
      <c r="BG36" s="802">
        <f t="shared" si="45"/>
        <v>0</v>
      </c>
      <c r="BH36" s="803" t="str">
        <f t="shared" si="46"/>
        <v/>
      </c>
      <c r="BI36" s="792"/>
      <c r="BJ36" s="804">
        <f t="shared" si="47"/>
        <v>0</v>
      </c>
      <c r="BK36" s="794" t="str">
        <f t="shared" si="38"/>
        <v/>
      </c>
      <c r="BL36" s="227" t="s">
        <v>21</v>
      </c>
      <c r="BM36" s="773">
        <f t="shared" si="35"/>
        <v>0</v>
      </c>
      <c r="BN36" s="774">
        <f t="shared" si="36"/>
        <v>0</v>
      </c>
      <c r="BO36" s="630"/>
      <c r="BP36" s="815" t="s">
        <v>1638</v>
      </c>
      <c r="BQ36" s="815" t="s">
        <v>1639</v>
      </c>
      <c r="BR36" s="815" t="s">
        <v>1640</v>
      </c>
      <c r="BS36" s="767">
        <f t="shared" si="43"/>
        <v>0.25</v>
      </c>
      <c r="BT36" s="805" t="s">
        <v>1621</v>
      </c>
      <c r="BU36" s="805" t="s">
        <v>1622</v>
      </c>
      <c r="BV36" s="757">
        <f t="shared" si="42"/>
        <v>4</v>
      </c>
      <c r="BW36" s="806">
        <v>250</v>
      </c>
      <c r="BX36" s="630"/>
      <c r="BY36" s="630"/>
      <c r="BZ36" s="630"/>
      <c r="CA36" s="630"/>
      <c r="CB36" s="630"/>
      <c r="CC36" s="630"/>
      <c r="CD36" s="781" t="str">
        <f t="shared" si="15"/>
        <v>►</v>
      </c>
      <c r="CE36" s="761"/>
      <c r="CF36" s="634"/>
      <c r="CG36" s="634"/>
      <c r="CH36" s="635"/>
      <c r="CI36" s="635"/>
      <c r="CJ36" s="719"/>
      <c r="CK36" s="775"/>
      <c r="CL36" s="763"/>
      <c r="CM36" s="754"/>
      <c r="CN36" s="754"/>
      <c r="CO36" s="754"/>
      <c r="CP36" s="754"/>
      <c r="CQ36" s="755"/>
      <c r="CS36" s="775"/>
      <c r="CT36" s="763"/>
      <c r="CU36" s="754"/>
      <c r="CV36" s="754"/>
      <c r="CW36" s="754"/>
      <c r="CX36" s="754"/>
      <c r="CY36" s="755"/>
      <c r="DA36" s="775"/>
      <c r="DB36" s="763"/>
      <c r="DC36" s="754"/>
      <c r="DD36" s="754"/>
      <c r="DE36" s="754"/>
      <c r="DF36" s="754"/>
      <c r="DG36" s="755"/>
      <c r="DI36" s="3">
        <v>1</v>
      </c>
    </row>
    <row r="37" spans="1:113" s="627" customFormat="1" ht="21" customHeight="1">
      <c r="A37" s="701" t="s">
        <v>21</v>
      </c>
      <c r="B37" s="2265" t="str" cm="1">
        <f t="array" ref="B37">SUMPRODUCT(--(D37:J37&lt;&gt;""), LEN(TRIM(SUBSTITUTE(D37:J37, CHAR(160), "")))) &amp; " Car."</f>
        <v>0 Car.</v>
      </c>
      <c r="C37" s="1376" t="str">
        <f>IF(ISBLANK(D37),"",LARGE(C13:C36,1)+1)</f>
        <v/>
      </c>
      <c r="D37" s="1833"/>
      <c r="E37" s="1810"/>
      <c r="F37" s="1810"/>
      <c r="G37" s="1810"/>
      <c r="H37" s="1810"/>
      <c r="I37" s="1810"/>
      <c r="J37" s="1810"/>
      <c r="K37" s="1810"/>
      <c r="L37" s="1811"/>
      <c r="M37" s="9"/>
      <c r="N37" s="103" t="str">
        <f t="shared" si="16"/>
        <v>►</v>
      </c>
      <c r="O37" s="1616"/>
      <c r="P37" s="9"/>
      <c r="Q37" s="103" t="str">
        <f t="shared" si="41"/>
        <v>►</v>
      </c>
      <c r="R37" s="31" t="str">
        <f>R20</f>
        <v>C CHIBOUST PAMPLEMOUSSE | pâtisserie--ENTREMET| Auteur &gt; recette Béghin Say de Jean-Jacques Borne MOF 1994</v>
      </c>
      <c r="S37" s="32">
        <f>S20</f>
        <v>18</v>
      </c>
      <c r="T37" s="31" t="str">
        <f>T20</f>
        <v>desserts</v>
      </c>
      <c r="U37" s="33" t="str">
        <f>U20</f>
        <v>Recette mère ► MILLE-FEUILLE  aux fraises des bois</v>
      </c>
      <c r="V37" s="89"/>
      <c r="W37" s="108"/>
      <c r="X37" s="91" t="str">
        <f t="shared" si="37"/>
        <v/>
      </c>
      <c r="Y37" s="92"/>
      <c r="Z37" s="128"/>
      <c r="AA37" s="130">
        <v>1</v>
      </c>
      <c r="AB37" s="1813" t="str">
        <f>ROWS(AB24:AB37)&amp;" ►"</f>
        <v>14 ►</v>
      </c>
      <c r="AC37" s="1580"/>
      <c r="AD37" s="95">
        <f>IF(AF39=0,0,(AF37/AF39)*AE23*1000)</f>
        <v>0</v>
      </c>
      <c r="AE37" s="105">
        <f>IF(AF39=0, 0, (V37*AA37)/(AF39*AE23))</f>
        <v>0</v>
      </c>
      <c r="AF37" s="97" cm="1">
        <f t="array" ref="AF37">IFERROR(_xlfn.XLOOKUP(UPPER(TRIM(Z37)),UPPER(TRIM(V40:AJ40)),V41:AJ41,_xlfn.XLOOKUP(UPPER(TRIM(Z37)),UPPER(TRIM(V42:AJ42)),V43:AJ43,0))*Y37*IF(V37&gt;0,V37,1),0)</f>
        <v>0</v>
      </c>
      <c r="AG37" s="110">
        <f>IF(AI19&lt;&gt;0,V37*AA37*AA19,0)</f>
        <v>0</v>
      </c>
      <c r="AH37" s="1748">
        <f t="shared" si="39"/>
        <v>0</v>
      </c>
      <c r="AI37" s="99">
        <f>IF(OR(ISBLANK(AI19),AI19=0),0,AF37*AA37*AA19)</f>
        <v>0</v>
      </c>
      <c r="AJ37" s="129" t="str">
        <f>IF(Z37="","",IF(COUNTIF(AC40:AJ40,SUBSTITUTE(TRIM(Z37)," (s)",""))+COUNTIF(AC42:AJ42,SUBSTITUTE(TRIM(Z37)," (s)",""))&gt;0,IF(ROUND(AI37,3)&gt;=1,ROUND(AI37,3)&amp;" L",MAX(1,ROUND(AI37*100,0))&amp;" cl"),IF(COUNTIF(V40:AA40,SUBSTITUTE(TRIM(Z37)," (s)",""))+COUNTIF(V42:AA42,SUBSTITUTE(TRIM(Z37)," (s)",""))&gt;0,IF(ROUND(AI37,3)&gt;=1,ROUND(AI37,3)&amp;" Kg",MAX(1,ROUND(AI37*1000,0))&amp;" g"),"")))</f>
        <v/>
      </c>
      <c r="AK37" s="6120" t="str">
        <f t="shared" si="40"/>
        <v>►</v>
      </c>
      <c r="AL37" s="781" t="str">
        <f t="shared" si="20"/>
        <v>►</v>
      </c>
      <c r="AM37" s="5499" t="str">
        <f t="shared" si="21"/>
        <v/>
      </c>
      <c r="AN37" s="783" t="str">
        <f t="shared" si="22"/>
        <v/>
      </c>
      <c r="AO37" s="782" t="str">
        <f t="shared" si="23"/>
        <v/>
      </c>
      <c r="AP37" s="783" t="str">
        <f t="shared" si="24"/>
        <v/>
      </c>
      <c r="AQ37" s="2083" t="b">
        <f>AND(Q37="A",COUNTIF(BP16:BR63,TRIM(Z37))&gt;0)</f>
        <v>0</v>
      </c>
      <c r="AR37" s="797" t="str">
        <f>IF(AL37&lt;&gt;"A","",IFERROR(IFERROR(_xlfn.XLOOKUP(TRIM(SUBSTITUTE(Z37,CHAR(160)," ")),BP16:BP63,BS16:BS63),IFERROR(_xlfn.XLOOKUP(TRIM(SUBSTITUTE(Z37,CHAR(160)," ")),BQ16:BQ63,BS16:BS63),_xlfn.XLOOKUP(TRIM(SUBSTITUTE(Z37,CHAR(160)," ")),BR16:BR63,BS16:BS63)))*Y37*IF(ISBLANK(V37),1,V37),0))</f>
        <v/>
      </c>
      <c r="AS37" s="784" t="str">
        <f t="shared" si="25"/>
        <v/>
      </c>
      <c r="AT37" s="1315" t="str">
        <f t="shared" si="26"/>
        <v/>
      </c>
      <c r="AU37" s="785">
        <f t="shared" si="27"/>
        <v>0</v>
      </c>
      <c r="AV37" s="785">
        <f t="shared" si="28"/>
        <v>0</v>
      </c>
      <c r="AW37" s="786">
        <f>IF(AK37="A",AY10,0)</f>
        <v>0</v>
      </c>
      <c r="AX37" s="5495" t="str">
        <f>IF(IFERROR(SEARCH("Adresse PC",TRIM(W37)),0)&gt;0,"▼ receta siguiente",IF(AK37="A",IF(AZ10&lt;&gt;"",AZ10&amp;" - ou.or.o ❾ + or - &gt;",""),""))</f>
        <v/>
      </c>
      <c r="AY37" s="810"/>
      <c r="AZ37" s="810"/>
      <c r="BA37" s="788" t="str">
        <f t="shared" si="29"/>
        <v/>
      </c>
      <c r="BB37" s="789" t="str">
        <f>IF(AK37="A",IF(AQ37,IF(AND(AW37&lt;&gt;"",N(AW37)&gt;0),IFERROR(IFERROR(_xlfn.XLOOKUP(AP37,BP10:BP57,BT10:BT57),IFERROR(_xlfn.XLOOKUP(AP37,BQ10:BQ57,BT10:BT57),_xlfn.XLOOKUP(AP37,BR10:BR57,BT10:BT57,""))),""),""),""),"")</f>
        <v/>
      </c>
      <c r="BC37" s="811" cm="1">
        <f t="array" ref="BC37">IF(NOT(AQ37),0,IF(OR(BA37="",N(BA37)&lt;=0.000000001),"",IF(OR(AU37="",N(AU37)&lt;=0.000000001),0,IF(ISNUMBER(BA37),IFERROR(_xlfn.LET(_xlpm.ai_test,TRIM(AP37),_xlpm.r,IFERROR(_xlfn.XLOOKUP(_xlpm.ai_test,BP16:BP63,ROW(BP16:BP63),0,1),IFERROR(_xlfn.XLOOKUP(_xlpm.ai_test,BQ16:BQ63,ROW(BQ16:BQ63),0,1),_xlfn.XLOOKUP(_xlpm.ai_test,BR16:BR63,ROW(BR16:BR63),0,1))),_xlpm.p,_xlpm.r-MIN(ROW(BP16:BP63))+1,_xlpm.f,INDEX(BS16:BS63,_xlpm.p),_xlpm.u,INDEX(BT16:BT63,_xlpm.p),_xlpm.s,INDEX(BV16:BV63,_xlpm.p),_xlpm.q,N(BA37)/_xlpm.f,IF(_xlpm.q&gt;=_xlpm.s,ROUND(_xlpm.q,1)&amp;" "&amp;_xlpm.ai_test&amp;" = "&amp;ROUND(_xlpm.q*_xlpm.f,1)&amp;" "&amp;_xlpm.u,ROUND(_xlpm.q,1)&amp;" "&amp;_xlpm.ai_test)),""),""))))</f>
        <v>0</v>
      </c>
      <c r="BD37" s="801"/>
      <c r="BE37" s="788" t="str">
        <f t="shared" si="30"/>
        <v/>
      </c>
      <c r="BF37" s="789" t="str">
        <f t="shared" si="44"/>
        <v/>
      </c>
      <c r="BG37" s="790">
        <f t="shared" si="45"/>
        <v>0</v>
      </c>
      <c r="BH37" s="791" t="str">
        <f t="shared" si="46"/>
        <v/>
      </c>
      <c r="BI37" s="792"/>
      <c r="BJ37" s="793">
        <f t="shared" si="47"/>
        <v>0</v>
      </c>
      <c r="BK37" s="794" t="str">
        <f t="shared" si="38"/>
        <v/>
      </c>
      <c r="BL37" s="227" t="s">
        <v>21</v>
      </c>
      <c r="BM37" s="773">
        <f t="shared" si="35"/>
        <v>0</v>
      </c>
      <c r="BN37" s="774">
        <f t="shared" si="36"/>
        <v>0</v>
      </c>
      <c r="BO37" s="630"/>
      <c r="BP37" s="815" t="s">
        <v>1644</v>
      </c>
      <c r="BQ37" s="815" t="s">
        <v>1645</v>
      </c>
      <c r="BR37" s="815" t="s">
        <v>1646</v>
      </c>
      <c r="BS37" s="767">
        <f t="shared" si="43"/>
        <v>0.15</v>
      </c>
      <c r="BT37" s="805" t="s">
        <v>1621</v>
      </c>
      <c r="BU37" s="805" t="s">
        <v>1622</v>
      </c>
      <c r="BV37" s="757">
        <f t="shared" si="42"/>
        <v>7</v>
      </c>
      <c r="BW37" s="806">
        <v>150</v>
      </c>
      <c r="BX37" s="630"/>
      <c r="BY37" s="630"/>
      <c r="BZ37" s="630"/>
      <c r="CA37" s="630"/>
      <c r="CB37" s="630"/>
      <c r="CC37" s="630"/>
      <c r="CD37" s="781" t="str">
        <f t="shared" si="15"/>
        <v>►</v>
      </c>
      <c r="CE37" s="6888" t="s">
        <v>1647</v>
      </c>
      <c r="CF37" s="6888"/>
      <c r="CG37" s="6888"/>
      <c r="CH37" s="6888"/>
      <c r="CI37" s="6888"/>
      <c r="CJ37" s="719"/>
      <c r="CK37" s="6511" t="s">
        <v>8965</v>
      </c>
      <c r="CL37" s="6512"/>
      <c r="CM37" s="6512"/>
      <c r="CN37" s="6512"/>
      <c r="CO37" s="6512"/>
      <c r="CP37" s="6512"/>
      <c r="CQ37" s="6513"/>
      <c r="CS37" s="6511" t="s">
        <v>8966</v>
      </c>
      <c r="CT37" s="6512"/>
      <c r="CU37" s="6512"/>
      <c r="CV37" s="6512"/>
      <c r="CW37" s="6512"/>
      <c r="CX37" s="6512"/>
      <c r="CY37" s="6513"/>
      <c r="DA37" s="6511" t="s">
        <v>8967</v>
      </c>
      <c r="DB37" s="6512"/>
      <c r="DC37" s="6512"/>
      <c r="DD37" s="6512"/>
      <c r="DE37" s="6512"/>
      <c r="DF37" s="6512"/>
      <c r="DG37" s="6513"/>
      <c r="DI37" s="3">
        <v>1</v>
      </c>
    </row>
    <row r="38" spans="1:113" s="627" customFormat="1" ht="21" customHeight="1">
      <c r="A38" s="701" t="s">
        <v>21</v>
      </c>
      <c r="B38" s="2265" t="str" cm="1">
        <f t="array" ref="B38">SUMPRODUCT(--(D38:J38&lt;&gt;""), LEN(TRIM(SUBSTITUTE(D38:J38, CHAR(160), "")))) &amp; " Car."</f>
        <v>0 Car.</v>
      </c>
      <c r="C38" s="1376" t="str">
        <f>IF(ISBLANK(D38),"",LARGE(C13:C37,1)+1)</f>
        <v/>
      </c>
      <c r="D38" s="1833"/>
      <c r="E38" s="1810"/>
      <c r="F38" s="1810"/>
      <c r="G38" s="1810"/>
      <c r="H38" s="1810"/>
      <c r="I38" s="1810"/>
      <c r="J38" s="1810"/>
      <c r="K38" s="1810"/>
      <c r="L38" s="1811"/>
      <c r="M38" s="9"/>
      <c r="N38" s="25" t="str">
        <f t="shared" si="16"/>
        <v>A</v>
      </c>
      <c r="O38" s="6845" t="s">
        <v>8255</v>
      </c>
      <c r="P38" s="9"/>
      <c r="Q38" s="25" t="s">
        <v>10</v>
      </c>
      <c r="R38" s="31" t="str">
        <f>R20</f>
        <v>C CHIBOUST PAMPLEMOUSSE | pâtisserie--ENTREMET| Auteur &gt; recette Béghin Say de Jean-Jacques Borne MOF 1994</v>
      </c>
      <c r="S38" s="32">
        <f>S20</f>
        <v>18</v>
      </c>
      <c r="T38" s="31" t="str">
        <f>T20</f>
        <v>desserts</v>
      </c>
      <c r="U38" s="33" t="str">
        <f>U20</f>
        <v>Recette mère ► MILLE-FEUILLE  aux fraises des bois</v>
      </c>
      <c r="V38" s="1198"/>
      <c r="W38" s="1199"/>
      <c r="X38" s="91" t="str">
        <f t="shared" si="37"/>
        <v/>
      </c>
      <c r="Y38" s="1200"/>
      <c r="Z38" s="128"/>
      <c r="AA38" s="1201">
        <v>1</v>
      </c>
      <c r="AB38" s="1813" t="str">
        <f>ROWS(AB24:AB38)&amp;" ►"</f>
        <v>15 ►</v>
      </c>
      <c r="AC38" s="1580"/>
      <c r="AD38" s="95">
        <f>IF(AF39=0,0,(AF38/AF39)*AE23*1000)</f>
        <v>0</v>
      </c>
      <c r="AE38" s="105">
        <f>IF(AF39=0, 0, (V38*AA38)/(AF39*AE23))</f>
        <v>0</v>
      </c>
      <c r="AF38" s="97" cm="1">
        <f t="array" ref="AF38">IFERROR(_xlfn.XLOOKUP(UPPER(TRIM(Z38)),UPPER(TRIM(V40:AJ40)),V41:AJ41,_xlfn.XLOOKUP(UPPER(TRIM(Z38)),UPPER(TRIM(V42:AJ42)),V43:AJ43,0))*Y38*IF(V38&gt;0,V38,1),0)</f>
        <v>0</v>
      </c>
      <c r="AG38" s="110">
        <f>IF(AI19&lt;&gt;0,V38*AA38*AA19,0)</f>
        <v>0</v>
      </c>
      <c r="AH38" s="1748">
        <f t="shared" si="39"/>
        <v>0</v>
      </c>
      <c r="AI38" s="99">
        <f>IF(OR(ISBLANK(AI19),AI19=0),0,AF38*AA38*AA19)</f>
        <v>0</v>
      </c>
      <c r="AJ38" s="129" t="str">
        <f>IF(Z38="","",IF(COUNTIF(AC40:AJ40,SUBSTITUTE(TRIM(Z38)," (s)",""))+COUNTIF(AC42:AJ42,SUBSTITUTE(TRIM(Z38)," (s)",""))&gt;0,IF(ROUND(AI38,3)&gt;=1,ROUND(AI38,3)&amp;" L",MAX(1,ROUND(AI38*100,0))&amp;" cl"),IF(COUNTIF(V40:AA40,SUBSTITUTE(TRIM(Z38)," (s)",""))+COUNTIF(V42:AA42,SUBSTITUTE(TRIM(Z38)," (s)",""))&gt;0,IF(ROUND(AI38,3)&gt;=1,ROUND(AI38,3)&amp;" Kg",MAX(1,ROUND(AI38*1000,0))&amp;" g"),"")))</f>
        <v/>
      </c>
      <c r="AK38" s="6120" t="str">
        <f t="shared" si="40"/>
        <v>►</v>
      </c>
      <c r="AL38" s="781" t="str">
        <f t="shared" si="20"/>
        <v>►</v>
      </c>
      <c r="AM38" s="5498" t="str">
        <f t="shared" si="21"/>
        <v/>
      </c>
      <c r="AN38" s="783" t="str">
        <f t="shared" si="22"/>
        <v/>
      </c>
      <c r="AO38" s="782" t="str">
        <f t="shared" si="23"/>
        <v/>
      </c>
      <c r="AP38" s="783" t="str">
        <f t="shared" si="24"/>
        <v/>
      </c>
      <c r="AQ38" s="2083" t="b">
        <f>AND(Q38="A",COUNTIF(BP16:BR63,TRIM(Z38))&gt;0)</f>
        <v>0</v>
      </c>
      <c r="AR38" s="797" t="str">
        <f>IF(AL38&lt;&gt;"A","",IFERROR(IFERROR(_xlfn.XLOOKUP(TRIM(SUBSTITUTE(Z38,CHAR(160)," ")),BP16:BP63,BS16:BS63),IFERROR(_xlfn.XLOOKUP(TRIM(SUBSTITUTE(Z38,CHAR(160)," ")),BQ16:BQ63,BS16:BS63),_xlfn.XLOOKUP(TRIM(SUBSTITUTE(Z38,CHAR(160)," ")),BR16:BR63,BS16:BS63)))*Y38*IF(ISBLANK(V38),1,V38),0))</f>
        <v/>
      </c>
      <c r="AS38" s="784" t="str">
        <f t="shared" si="25"/>
        <v/>
      </c>
      <c r="AT38" s="1315" t="str">
        <f t="shared" si="26"/>
        <v/>
      </c>
      <c r="AU38" s="785">
        <f t="shared" si="27"/>
        <v>0</v>
      </c>
      <c r="AV38" s="785">
        <f t="shared" si="28"/>
        <v>0</v>
      </c>
      <c r="AW38" s="798">
        <f>IF(AK38="A",AY10,0)</f>
        <v>0</v>
      </c>
      <c r="AX38" s="5496" t="str">
        <f>IF(IFERROR(SEARCH("Adresse PC",TRIM(W38)),0)&gt;0,"▼ receta siguiente",IF(AK38="A",IF(AZ10&lt;&gt;"",AZ10&amp;" - ou.or.o ❾ + or - &gt;",""),""))</f>
        <v/>
      </c>
      <c r="AY38" s="810"/>
      <c r="AZ38" s="810"/>
      <c r="BA38" s="799" t="str">
        <f t="shared" si="29"/>
        <v/>
      </c>
      <c r="BB38" s="800" t="str">
        <f>IF(AK38="A",IF(AQ38,IF(AND(AW38&lt;&gt;"",N(AW38)&gt;0),IFERROR(IFERROR(_xlfn.XLOOKUP(AP38,BP10:BP57,BT10:BT57),IFERROR(_xlfn.XLOOKUP(AP38,BQ10:BQ57,BT10:BT57),_xlfn.XLOOKUP(AP38,BR10:BR57,BT10:BT57,""))),""),""),""),"")</f>
        <v/>
      </c>
      <c r="BC38" s="813" cm="1">
        <f t="array" ref="BC38">IF(NOT(AQ38),0,IF(OR(BA38="",N(BA38)&lt;=0.000000001),"",IF(OR(AU38="",N(AU38)&lt;=0.000000001),0,IF(ISNUMBER(BA38),IFERROR(_xlfn.LET(_xlpm.ai_test,TRIM(AP38),_xlpm.r,IFERROR(_xlfn.XLOOKUP(_xlpm.ai_test,BP16:BP63,ROW(BP16:BP63),0,1),IFERROR(_xlfn.XLOOKUP(_xlpm.ai_test,BQ16:BQ63,ROW(BQ16:BQ63),0,1),_xlfn.XLOOKUP(_xlpm.ai_test,BR16:BR63,ROW(BR16:BR63),0,1))),_xlpm.p,_xlpm.r-MIN(ROW(BP16:BP63))+1,_xlpm.f,INDEX(BS16:BS63,_xlpm.p),_xlpm.u,INDEX(BT16:BT63,_xlpm.p),_xlpm.s,INDEX(BV16:BV63,_xlpm.p),_xlpm.q,N(BA38)/_xlpm.f,IF(_xlpm.q&gt;=_xlpm.s,ROUND(_xlpm.q,1)&amp;" "&amp;_xlpm.ai_test&amp;" = "&amp;ROUND(_xlpm.q*_xlpm.f,1)&amp;" "&amp;_xlpm.u,ROUND(_xlpm.q,1)&amp;" "&amp;_xlpm.ai_test)),""),""))))</f>
        <v>0</v>
      </c>
      <c r="BD38" s="801"/>
      <c r="BE38" s="799" t="str">
        <f t="shared" si="30"/>
        <v/>
      </c>
      <c r="BF38" s="800" t="str">
        <f t="shared" si="44"/>
        <v/>
      </c>
      <c r="BG38" s="802">
        <f t="shared" si="45"/>
        <v>0</v>
      </c>
      <c r="BH38" s="803" t="str">
        <f t="shared" si="46"/>
        <v/>
      </c>
      <c r="BI38" s="792"/>
      <c r="BJ38" s="804">
        <f t="shared" si="47"/>
        <v>0</v>
      </c>
      <c r="BK38" s="794" t="str">
        <f t="shared" si="38"/>
        <v/>
      </c>
      <c r="BL38" s="227" t="s">
        <v>21</v>
      </c>
      <c r="BM38" s="773">
        <f t="shared" si="35"/>
        <v>0</v>
      </c>
      <c r="BN38" s="774">
        <f t="shared" si="36"/>
        <v>0</v>
      </c>
      <c r="BO38" s="630"/>
      <c r="BP38" s="815" t="s">
        <v>115</v>
      </c>
      <c r="BQ38" s="155" t="s">
        <v>1330</v>
      </c>
      <c r="BR38" s="125" t="s">
        <v>1313</v>
      </c>
      <c r="BS38" s="767">
        <f t="shared" si="43"/>
        <v>0.35</v>
      </c>
      <c r="BT38" s="805" t="s">
        <v>1621</v>
      </c>
      <c r="BU38" s="805" t="s">
        <v>1622</v>
      </c>
      <c r="BV38" s="757">
        <f t="shared" si="42"/>
        <v>3</v>
      </c>
      <c r="BW38" s="806">
        <v>350</v>
      </c>
      <c r="BX38" s="630"/>
      <c r="BY38" s="630"/>
      <c r="BZ38" s="630"/>
      <c r="CA38" s="630"/>
      <c r="CB38" s="630"/>
      <c r="CC38" s="630"/>
      <c r="CD38" s="781" t="str">
        <f t="shared" si="15"/>
        <v>►</v>
      </c>
      <c r="CE38" s="6888"/>
      <c r="CF38" s="6888"/>
      <c r="CG38" s="6888"/>
      <c r="CH38" s="6888"/>
      <c r="CI38" s="6888"/>
      <c r="CJ38" s="719"/>
      <c r="CK38" s="6511"/>
      <c r="CL38" s="6512"/>
      <c r="CM38" s="6512"/>
      <c r="CN38" s="6512"/>
      <c r="CO38" s="6512"/>
      <c r="CP38" s="6512"/>
      <c r="CQ38" s="6513"/>
      <c r="CS38" s="6511"/>
      <c r="CT38" s="6512"/>
      <c r="CU38" s="6512"/>
      <c r="CV38" s="6512"/>
      <c r="CW38" s="6512"/>
      <c r="CX38" s="6512"/>
      <c r="CY38" s="6513"/>
      <c r="DA38" s="6511"/>
      <c r="DB38" s="6512"/>
      <c r="DC38" s="6512"/>
      <c r="DD38" s="6512"/>
      <c r="DE38" s="6512"/>
      <c r="DF38" s="6512"/>
      <c r="DG38" s="6513"/>
      <c r="DI38" s="3">
        <v>1</v>
      </c>
    </row>
    <row r="39" spans="1:113" s="627" customFormat="1" ht="21" customHeight="1">
      <c r="A39" s="701" t="s">
        <v>21</v>
      </c>
      <c r="B39" s="2265" t="str" cm="1">
        <f t="array" ref="B39">SUMPRODUCT(--(D39:J39&lt;&gt;""), LEN(TRIM(SUBSTITUTE(D39:J39, CHAR(160), "")))) &amp; " Car."</f>
        <v>0 Car.</v>
      </c>
      <c r="C39" s="1376" t="str">
        <f>IF(ISBLANK(D39),"",LARGE(C13:C38,1)+1)</f>
        <v/>
      </c>
      <c r="D39" s="1833"/>
      <c r="E39" s="1810"/>
      <c r="F39" s="1810"/>
      <c r="G39" s="1810"/>
      <c r="H39" s="1810"/>
      <c r="I39" s="1810"/>
      <c r="J39" s="1810"/>
      <c r="K39" s="1810"/>
      <c r="L39" s="1811"/>
      <c r="M39" s="9"/>
      <c r="N39" s="25" t="str">
        <f t="shared" si="16"/>
        <v>A</v>
      </c>
      <c r="O39" s="6845"/>
      <c r="P39" s="9"/>
      <c r="Q39" s="25" t="s">
        <v>10</v>
      </c>
      <c r="R39" s="31" t="str">
        <f>R20</f>
        <v>C CHIBOUST PAMPLEMOUSSE | pâtisserie--ENTREMET| Auteur &gt; recette Béghin Say de Jean-Jacques Borne MOF 1994</v>
      </c>
      <c r="S39" s="32">
        <f>S20</f>
        <v>18</v>
      </c>
      <c r="T39" s="31" t="str">
        <f>T20</f>
        <v>desserts</v>
      </c>
      <c r="U39" s="33" t="str">
        <f>U20</f>
        <v>Recette mère ► MILLE-FEUILLE  aux fraises des bois</v>
      </c>
      <c r="V39" s="680" t="s">
        <v>8411</v>
      </c>
      <c r="W39" s="474"/>
      <c r="X39" s="474"/>
      <c r="Y39" s="474"/>
      <c r="Z39" s="474"/>
      <c r="AA39" s="681"/>
      <c r="AB39" s="681"/>
      <c r="AC39" s="1984" t="s">
        <v>8652</v>
      </c>
      <c r="AD39" s="682"/>
      <c r="AE39" s="682"/>
      <c r="AF39" s="1197">
        <f>SUM(AF24:AF38)</f>
        <v>0.67100000000000004</v>
      </c>
      <c r="AG39" s="683"/>
      <c r="AH39" s="683" t="str">
        <f>"Total " &amp; AI21&amp;" &gt;"</f>
        <v>Total Col.19 &gt;</v>
      </c>
      <c r="AI39" s="1835">
        <f>SUM(AI24:AI38)</f>
        <v>1.3420000000000001</v>
      </c>
      <c r="AJ39" s="684"/>
      <c r="AK39" s="6120" t="str">
        <f t="shared" si="40"/>
        <v>►</v>
      </c>
      <c r="AL39" s="781" t="str">
        <f t="shared" si="20"/>
        <v>►</v>
      </c>
      <c r="AM39" s="5499" t="str">
        <f t="shared" si="21"/>
        <v/>
      </c>
      <c r="AN39" s="783" t="str">
        <f t="shared" si="22"/>
        <v/>
      </c>
      <c r="AO39" s="782" t="str">
        <f t="shared" si="23"/>
        <v/>
      </c>
      <c r="AP39" s="783" t="str">
        <f t="shared" si="24"/>
        <v/>
      </c>
      <c r="AQ39" s="2083" t="b">
        <f>AND(Q39="A",COUNTIF(BP16:BR63,TRIM(Z39))&gt;0)</f>
        <v>0</v>
      </c>
      <c r="AR39" s="797" t="str">
        <f>IF(AL39&lt;&gt;"A","",IFERROR(IFERROR(_xlfn.XLOOKUP(TRIM(SUBSTITUTE(Z39,CHAR(160)," ")),BP16:BP63,BS16:BS63),IFERROR(_xlfn.XLOOKUP(TRIM(SUBSTITUTE(Z39,CHAR(160)," ")),BQ16:BQ63,BS16:BS63),_xlfn.XLOOKUP(TRIM(SUBSTITUTE(Z39,CHAR(160)," ")),BR16:BR63,BS16:BS63)))*Y39*IF(ISBLANK(V39),1,V39),0))</f>
        <v/>
      </c>
      <c r="AS39" s="784" t="str">
        <f t="shared" si="25"/>
        <v/>
      </c>
      <c r="AT39" s="1315" t="str">
        <f t="shared" si="26"/>
        <v/>
      </c>
      <c r="AU39" s="785">
        <f t="shared" si="27"/>
        <v>0</v>
      </c>
      <c r="AV39" s="785">
        <f t="shared" si="28"/>
        <v>0</v>
      </c>
      <c r="AW39" s="786">
        <f>IF(AK39="A",AY10,0)</f>
        <v>0</v>
      </c>
      <c r="AX39" s="5495" t="str">
        <f>IF(IFERROR(SEARCH("Adresse PC",TRIM(W39)),0)&gt;0,"▼ receta siguiente",IF(AK39="A",IF(AZ10&lt;&gt;"",AZ10&amp;" - ou.or.o ❾ + or - &gt;",""),""))</f>
        <v/>
      </c>
      <c r="AY39" s="810"/>
      <c r="AZ39" s="810"/>
      <c r="BA39" s="788" t="str">
        <f t="shared" si="29"/>
        <v/>
      </c>
      <c r="BB39" s="789" t="str">
        <f>IF(AK39="A",IF(AQ39,IF(AND(AW39&lt;&gt;"",N(AW39)&gt;0),IFERROR(IFERROR(_xlfn.XLOOKUP(AP39,BP10:BP57,BT10:BT57),IFERROR(_xlfn.XLOOKUP(AP39,BQ10:BQ57,BT10:BT57),_xlfn.XLOOKUP(AP39,BR10:BR57,BT10:BT57,""))),""),""),""),"")</f>
        <v/>
      </c>
      <c r="BC39" s="811" cm="1">
        <f t="array" ref="BC39">IF(NOT(AQ39),0,IF(OR(BA39="",N(BA39)&lt;=0.000000001),"",IF(OR(AU39="",N(AU39)&lt;=0.000000001),0,IF(ISNUMBER(BA39),IFERROR(_xlfn.LET(_xlpm.ai_test,TRIM(AP39),_xlpm.r,IFERROR(_xlfn.XLOOKUP(_xlpm.ai_test,BP16:BP63,ROW(BP16:BP63),0,1),IFERROR(_xlfn.XLOOKUP(_xlpm.ai_test,BQ16:BQ63,ROW(BQ16:BQ63),0,1),_xlfn.XLOOKUP(_xlpm.ai_test,BR16:BR63,ROW(BR16:BR63),0,1))),_xlpm.p,_xlpm.r-MIN(ROW(BP16:BP63))+1,_xlpm.f,INDEX(BS16:BS63,_xlpm.p),_xlpm.u,INDEX(BT16:BT63,_xlpm.p),_xlpm.s,INDEX(BV16:BV63,_xlpm.p),_xlpm.q,N(BA39)/_xlpm.f,IF(_xlpm.q&gt;=_xlpm.s,ROUND(_xlpm.q,1)&amp;" "&amp;_xlpm.ai_test&amp;" = "&amp;ROUND(_xlpm.q*_xlpm.f,1)&amp;" "&amp;_xlpm.u,ROUND(_xlpm.q,1)&amp;" "&amp;_xlpm.ai_test)),""),""))))</f>
        <v>0</v>
      </c>
      <c r="BD39" s="801"/>
      <c r="BE39" s="788" t="str">
        <f t="shared" si="30"/>
        <v/>
      </c>
      <c r="BF39" s="789" t="str">
        <f t="shared" si="44"/>
        <v/>
      </c>
      <c r="BG39" s="790">
        <f t="shared" si="45"/>
        <v>0</v>
      </c>
      <c r="BH39" s="791" t="str">
        <f t="shared" si="46"/>
        <v/>
      </c>
      <c r="BI39" s="792"/>
      <c r="BJ39" s="793">
        <f t="shared" si="47"/>
        <v>0</v>
      </c>
      <c r="BK39" s="794" t="str">
        <f t="shared" si="38"/>
        <v/>
      </c>
      <c r="BL39" s="227" t="s">
        <v>21</v>
      </c>
      <c r="BM39" s="773">
        <f t="shared" si="35"/>
        <v>0</v>
      </c>
      <c r="BN39" s="774">
        <f t="shared" si="36"/>
        <v>0</v>
      </c>
      <c r="BO39" s="630"/>
      <c r="BP39" s="815" t="s">
        <v>159</v>
      </c>
      <c r="BQ39" s="155" t="s">
        <v>1331</v>
      </c>
      <c r="BR39" s="155" t="s">
        <v>1314</v>
      </c>
      <c r="BS39" s="767">
        <f t="shared" si="43"/>
        <v>4.9299999999999995E-3</v>
      </c>
      <c r="BT39" s="805" t="s">
        <v>1621</v>
      </c>
      <c r="BU39" s="805" t="s">
        <v>1622</v>
      </c>
      <c r="BV39" s="757">
        <f t="shared" si="42"/>
        <v>203</v>
      </c>
      <c r="BW39" s="812">
        <v>4.93</v>
      </c>
      <c r="BX39" s="630"/>
      <c r="BY39" s="630"/>
      <c r="BZ39" s="630"/>
      <c r="CA39" s="630"/>
      <c r="CB39" s="630"/>
      <c r="CC39" s="630"/>
      <c r="CD39" s="781" t="str">
        <f t="shared" si="15"/>
        <v>►</v>
      </c>
      <c r="CE39" s="818"/>
      <c r="CF39" s="634"/>
      <c r="CG39" s="634"/>
      <c r="CH39" s="635"/>
      <c r="CI39" s="635"/>
      <c r="CJ39" s="719"/>
      <c r="CK39" s="6511"/>
      <c r="CL39" s="6512"/>
      <c r="CM39" s="6512"/>
      <c r="CN39" s="6512"/>
      <c r="CO39" s="6512"/>
      <c r="CP39" s="6512"/>
      <c r="CQ39" s="6513"/>
      <c r="CS39" s="6511"/>
      <c r="CT39" s="6512"/>
      <c r="CU39" s="6512"/>
      <c r="CV39" s="6512"/>
      <c r="CW39" s="6512"/>
      <c r="CX39" s="6512"/>
      <c r="CY39" s="6513"/>
      <c r="DA39" s="6511"/>
      <c r="DB39" s="6512"/>
      <c r="DC39" s="6512"/>
      <c r="DD39" s="6512"/>
      <c r="DE39" s="6512"/>
      <c r="DF39" s="6512"/>
      <c r="DG39" s="6513"/>
      <c r="DI39" s="3">
        <v>1</v>
      </c>
    </row>
    <row r="40" spans="1:113" s="627" customFormat="1" ht="21" customHeight="1">
      <c r="A40" s="701" t="s">
        <v>21</v>
      </c>
      <c r="B40" s="2265" t="str" cm="1">
        <f t="array" ref="B40">SUMPRODUCT(--(D40:J40&lt;&gt;""), LEN(TRIM(SUBSTITUTE(D40:J40, CHAR(160), "")))) &amp; " Car."</f>
        <v>0 Car.</v>
      </c>
      <c r="C40" s="1376" t="str">
        <f>IF(ISBLANK(D40),"",LARGE(C13:C39,1)+1)</f>
        <v/>
      </c>
      <c r="D40" s="1833"/>
      <c r="E40" s="1810"/>
      <c r="F40" s="1810"/>
      <c r="G40" s="1810"/>
      <c r="H40" s="1810"/>
      <c r="I40" s="1810"/>
      <c r="J40" s="1810"/>
      <c r="K40" s="1810"/>
      <c r="L40" s="1811"/>
      <c r="M40" s="9"/>
      <c r="N40" s="25" t="str">
        <f t="shared" si="16"/>
        <v>A</v>
      </c>
      <c r="O40" s="6845"/>
      <c r="P40" s="9"/>
      <c r="Q40" s="25" t="s">
        <v>10</v>
      </c>
      <c r="R40" s="31" t="str">
        <f>R20</f>
        <v>C CHIBOUST PAMPLEMOUSSE | pâtisserie--ENTREMET| Auteur &gt; recette Béghin Say de Jean-Jacques Borne MOF 1994</v>
      </c>
      <c r="S40" s="32">
        <f>S20</f>
        <v>18</v>
      </c>
      <c r="T40" s="31" t="str">
        <f>T20</f>
        <v>desserts</v>
      </c>
      <c r="U40" s="33" t="str">
        <f>U20</f>
        <v>Recette mère ► MILLE-FEUILLE  aux fraises des bois</v>
      </c>
      <c r="V40" s="142" t="s">
        <v>140</v>
      </c>
      <c r="W40" s="104" t="s">
        <v>100</v>
      </c>
      <c r="X40" s="143" t="s">
        <v>141</v>
      </c>
      <c r="Y40" s="144" t="s">
        <v>142</v>
      </c>
      <c r="Z40" s="118" t="s">
        <v>143</v>
      </c>
      <c r="AA40" s="118" t="s">
        <v>109</v>
      </c>
      <c r="AB40" s="143" t="s">
        <v>141</v>
      </c>
      <c r="AC40" s="93" t="s">
        <v>0</v>
      </c>
      <c r="AD40" s="93" t="s">
        <v>97</v>
      </c>
      <c r="AE40" s="93" t="s">
        <v>144</v>
      </c>
      <c r="AF40" s="93" t="s">
        <v>145</v>
      </c>
      <c r="AG40" s="109" t="s">
        <v>104</v>
      </c>
      <c r="AH40" s="109" t="s">
        <v>359</v>
      </c>
      <c r="AI40" s="335" t="s">
        <v>146</v>
      </c>
      <c r="AJ40" s="109" t="s">
        <v>147</v>
      </c>
      <c r="AK40" s="6120" t="str">
        <f t="shared" si="40"/>
        <v>►</v>
      </c>
      <c r="AL40" s="781" t="str">
        <f t="shared" si="20"/>
        <v>►</v>
      </c>
      <c r="AM40" s="5498" t="str">
        <f t="shared" si="21"/>
        <v/>
      </c>
      <c r="AN40" s="783" t="str">
        <f t="shared" si="22"/>
        <v/>
      </c>
      <c r="AO40" s="782" t="str">
        <f t="shared" si="23"/>
        <v/>
      </c>
      <c r="AP40" s="783" t="str">
        <f t="shared" si="24"/>
        <v/>
      </c>
      <c r="AQ40" s="2083" t="b">
        <f>AND(Q40="A",COUNTIF(BP16:BR63,TRIM(Z40))&gt;0)</f>
        <v>1</v>
      </c>
      <c r="AR40" s="797" t="str">
        <f>IF(AL40&lt;&gt;"A","",IFERROR(IFERROR(_xlfn.XLOOKUP(TRIM(SUBSTITUTE(Z40,CHAR(160)," ")),BP16:BP63,BS16:BS63),IFERROR(_xlfn.XLOOKUP(TRIM(SUBSTITUTE(Z40,CHAR(160)," ")),BQ16:BQ63,BS16:BS63),_xlfn.XLOOKUP(TRIM(SUBSTITUTE(Z40,CHAR(160)," ")),BR16:BR63,BS16:BS63)))*Y40*IF(ISBLANK(V40),1,V40),0))</f>
        <v/>
      </c>
      <c r="AS40" s="784" t="str">
        <f t="shared" si="25"/>
        <v/>
      </c>
      <c r="AT40" s="1315" t="str">
        <f t="shared" si="26"/>
        <v/>
      </c>
      <c r="AU40" s="785">
        <f t="shared" si="27"/>
        <v>0</v>
      </c>
      <c r="AV40" s="785">
        <f t="shared" si="28"/>
        <v>0</v>
      </c>
      <c r="AW40" s="798">
        <f>IF(AK40="A",AY10,0)</f>
        <v>0</v>
      </c>
      <c r="AX40" s="5496" t="str">
        <f>IF(IFERROR(SEARCH("Adresse PC",TRIM(W40)),0)&gt;0,"▼ receta siguiente",IF(AK40="A",IF(AZ10&lt;&gt;"",AZ10&amp;" - ou.or.o ❾ + or - &gt;",""),""))</f>
        <v/>
      </c>
      <c r="AY40" s="810"/>
      <c r="AZ40" s="810"/>
      <c r="BA40" s="799" t="str">
        <f t="shared" si="29"/>
        <v/>
      </c>
      <c r="BB40" s="800" t="str">
        <f>IF(AK40="A",IF(AQ40,IF(AND(AW40&lt;&gt;"",N(AW40)&gt;0),IFERROR(IFERROR(_xlfn.XLOOKUP(AP40,BP10:BP57,BT10:BT57),IFERROR(_xlfn.XLOOKUP(AP40,BQ10:BQ57,BT10:BT57),_xlfn.XLOOKUP(AP40,BR10:BR57,BT10:BT57,""))),""),""),""),"")</f>
        <v/>
      </c>
      <c r="BC40" s="813" t="str" cm="1">
        <f t="array" ref="BC40">IF(NOT(AQ40),0,IF(OR(BA40="",N(BA40)&lt;=0.000000001),"",IF(OR(AU40="",N(AU40)&lt;=0.000000001),0,IF(ISNUMBER(BA40),IFERROR(_xlfn.LET(_xlpm.ai_test,TRIM(AP40),_xlpm.r,IFERROR(_xlfn.XLOOKUP(_xlpm.ai_test,BP16:BP63,ROW(BP16:BP63),0,1),IFERROR(_xlfn.XLOOKUP(_xlpm.ai_test,BQ16:BQ63,ROW(BQ16:BQ63),0,1),_xlfn.XLOOKUP(_xlpm.ai_test,BR16:BR63,ROW(BR16:BR63),0,1))),_xlpm.p,_xlpm.r-MIN(ROW(BP16:BP63))+1,_xlpm.f,INDEX(BS16:BS63,_xlpm.p),_xlpm.u,INDEX(BT16:BT63,_xlpm.p),_xlpm.s,INDEX(BV16:BV63,_xlpm.p),_xlpm.q,N(BA40)/_xlpm.f,IF(_xlpm.q&gt;=_xlpm.s,ROUND(_xlpm.q,1)&amp;" "&amp;_xlpm.ai_test&amp;" = "&amp;ROUND(_xlpm.q*_xlpm.f,1)&amp;" "&amp;_xlpm.u,ROUND(_xlpm.q,1)&amp;" "&amp;_xlpm.ai_test)),""),""))))</f>
        <v/>
      </c>
      <c r="BD40" s="801"/>
      <c r="BE40" s="799" t="str">
        <f t="shared" si="30"/>
        <v/>
      </c>
      <c r="BF40" s="800" t="str">
        <f t="shared" si="44"/>
        <v/>
      </c>
      <c r="BG40" s="802">
        <f t="shared" si="45"/>
        <v>0</v>
      </c>
      <c r="BH40" s="803" t="str">
        <f t="shared" si="46"/>
        <v/>
      </c>
      <c r="BI40" s="792"/>
      <c r="BJ40" s="804">
        <f t="shared" si="47"/>
        <v>0</v>
      </c>
      <c r="BK40" s="794" t="str">
        <f t="shared" si="38"/>
        <v/>
      </c>
      <c r="BL40" s="227" t="s">
        <v>21</v>
      </c>
      <c r="BM40" s="773">
        <f t="shared" si="35"/>
        <v>0</v>
      </c>
      <c r="BN40" s="774">
        <f t="shared" si="36"/>
        <v>0</v>
      </c>
      <c r="BO40" s="630"/>
      <c r="BP40" s="815" t="s">
        <v>160</v>
      </c>
      <c r="BQ40" s="155" t="s">
        <v>1332</v>
      </c>
      <c r="BR40" s="155" t="s">
        <v>1315</v>
      </c>
      <c r="BS40" s="767">
        <f t="shared" si="43"/>
        <v>5.0000000000000001E-3</v>
      </c>
      <c r="BT40" s="805" t="s">
        <v>1621</v>
      </c>
      <c r="BU40" s="805" t="s">
        <v>1622</v>
      </c>
      <c r="BV40" s="757">
        <f t="shared" si="42"/>
        <v>200</v>
      </c>
      <c r="BW40" s="806">
        <v>5</v>
      </c>
      <c r="BX40" s="630"/>
      <c r="BY40" s="630"/>
      <c r="BZ40" s="630"/>
      <c r="CA40" s="630"/>
      <c r="CB40" s="630"/>
      <c r="CC40" s="630"/>
      <c r="CD40" s="781" t="str">
        <f t="shared" si="15"/>
        <v>►</v>
      </c>
      <c r="CE40" s="818"/>
      <c r="CF40" s="634"/>
      <c r="CG40" s="634"/>
      <c r="CH40" s="635"/>
      <c r="CI40" s="635"/>
      <c r="CJ40" s="719"/>
      <c r="CK40" s="762"/>
      <c r="CL40" s="808" t="s">
        <v>8968</v>
      </c>
      <c r="CM40" s="754"/>
      <c r="CN40" s="754"/>
      <c r="CO40" s="754"/>
      <c r="CP40" s="754"/>
      <c r="CQ40" s="755"/>
      <c r="CS40" s="762"/>
      <c r="CT40" s="808" t="s">
        <v>8969</v>
      </c>
      <c r="CU40" s="754"/>
      <c r="CV40" s="754"/>
      <c r="CW40" s="754"/>
      <c r="CX40" s="754"/>
      <c r="CY40" s="755"/>
      <c r="DA40" s="762"/>
      <c r="DB40" s="808" t="s">
        <v>8970</v>
      </c>
      <c r="DC40" s="754"/>
      <c r="DD40" s="754"/>
      <c r="DE40" s="754"/>
      <c r="DF40" s="754"/>
      <c r="DG40" s="755"/>
      <c r="DI40" s="3">
        <v>1</v>
      </c>
    </row>
    <row r="41" spans="1:113" s="627" customFormat="1" ht="21" customHeight="1">
      <c r="A41" s="701" t="s">
        <v>21</v>
      </c>
      <c r="B41" s="2265" t="str" cm="1">
        <f t="array" ref="B41">SUMPRODUCT(--(D41:J41&lt;&gt;""), LEN(TRIM(SUBSTITUTE(D41:J41, CHAR(160), "")))) &amp; " Car."</f>
        <v>0 Car.</v>
      </c>
      <c r="C41" s="1376" t="str">
        <f>IF(ISBLANK(D41),"",LARGE(C13:C40,1)+1)</f>
        <v/>
      </c>
      <c r="D41" s="1833"/>
      <c r="E41" s="1810"/>
      <c r="F41" s="1810"/>
      <c r="G41" s="1810"/>
      <c r="H41" s="1810"/>
      <c r="I41" s="1810"/>
      <c r="J41" s="1810"/>
      <c r="K41" s="1810"/>
      <c r="L41" s="1811"/>
      <c r="M41" s="9"/>
      <c r="N41" s="25" t="str">
        <f t="shared" si="16"/>
        <v>A</v>
      </c>
      <c r="O41" s="6845"/>
      <c r="P41" s="9"/>
      <c r="Q41" s="25" t="s">
        <v>10</v>
      </c>
      <c r="R41" s="31" t="str">
        <f>R20</f>
        <v>C CHIBOUST PAMPLEMOUSSE | pâtisserie--ENTREMET| Auteur &gt; recette Béghin Say de Jean-Jacques Borne MOF 1994</v>
      </c>
      <c r="S41" s="32">
        <f>S20</f>
        <v>18</v>
      </c>
      <c r="T41" s="31" t="str">
        <f>T20</f>
        <v>desserts</v>
      </c>
      <c r="U41" s="33" t="str">
        <f>U20</f>
        <v>Recette mère ► MILLE-FEUILLE  aux fraises des bois</v>
      </c>
      <c r="V41" s="685">
        <v>1</v>
      </c>
      <c r="W41" s="686">
        <v>1E-3</v>
      </c>
      <c r="X41" s="687">
        <v>0</v>
      </c>
      <c r="Y41" s="686">
        <v>0.25</v>
      </c>
      <c r="Z41" s="686">
        <v>0.33332999999999996</v>
      </c>
      <c r="AA41" s="686">
        <v>0.5</v>
      </c>
      <c r="AB41" s="687">
        <v>0</v>
      </c>
      <c r="AC41" s="688">
        <v>1</v>
      </c>
      <c r="AD41" s="688">
        <v>0.1</v>
      </c>
      <c r="AE41" s="688">
        <v>0.01</v>
      </c>
      <c r="AF41" s="688">
        <v>1E-3</v>
      </c>
      <c r="AG41" s="688">
        <v>0.5</v>
      </c>
      <c r="AH41" s="688">
        <v>0.25</v>
      </c>
      <c r="AI41" s="688">
        <v>0.33300000000000002</v>
      </c>
      <c r="AJ41" s="1756">
        <v>0.2</v>
      </c>
      <c r="AK41" s="6120" t="str">
        <f t="shared" si="40"/>
        <v>►</v>
      </c>
      <c r="AL41" s="781" t="str">
        <f t="shared" si="20"/>
        <v>►</v>
      </c>
      <c r="AM41" s="5499" t="str">
        <f t="shared" si="21"/>
        <v/>
      </c>
      <c r="AN41" s="783" t="str">
        <f t="shared" si="22"/>
        <v/>
      </c>
      <c r="AO41" s="782" t="str">
        <f t="shared" si="23"/>
        <v/>
      </c>
      <c r="AP41" s="783" t="str">
        <f t="shared" si="24"/>
        <v/>
      </c>
      <c r="AQ41" s="2083" t="b">
        <f>AND(Q41="A",COUNTIF(BP16:BR63,TRIM(Z41))&gt;0)</f>
        <v>0</v>
      </c>
      <c r="AR41" s="797" t="str">
        <f>IF(AL41&lt;&gt;"A","",IFERROR(IFERROR(_xlfn.XLOOKUP(TRIM(SUBSTITUTE(Z41,CHAR(160)," ")),BP16:BP63,BS16:BS63),IFERROR(_xlfn.XLOOKUP(TRIM(SUBSTITUTE(Z41,CHAR(160)," ")),BQ16:BQ63,BS16:BS63),_xlfn.XLOOKUP(TRIM(SUBSTITUTE(Z41,CHAR(160)," ")),BR16:BR63,BS16:BS63)))*Y41*IF(ISBLANK(V41),1,V41),0))</f>
        <v/>
      </c>
      <c r="AS41" s="784" t="str">
        <f t="shared" si="25"/>
        <v/>
      </c>
      <c r="AT41" s="1315" t="str">
        <f t="shared" si="26"/>
        <v/>
      </c>
      <c r="AU41" s="785">
        <f t="shared" si="27"/>
        <v>0</v>
      </c>
      <c r="AV41" s="785">
        <f t="shared" si="28"/>
        <v>0</v>
      </c>
      <c r="AW41" s="786">
        <f>IF(AK41="A",AY10,0)</f>
        <v>0</v>
      </c>
      <c r="AX41" s="5495" t="str">
        <f>IF(IFERROR(SEARCH("Adresse PC",TRIM(W41)),0)&gt;0,"▼ receta siguiente",IF(AK41="A",IF(AZ10&lt;&gt;"",AZ10&amp;" - ou.or.o ❾ + or - &gt;",""),""))</f>
        <v/>
      </c>
      <c r="AY41" s="810"/>
      <c r="AZ41" s="810"/>
      <c r="BA41" s="788" t="str">
        <f t="shared" si="29"/>
        <v/>
      </c>
      <c r="BB41" s="789" t="str">
        <f>IF(AK41="A",IF(AQ41,IF(AND(AW41&lt;&gt;"",N(AW41)&gt;0),IFERROR(IFERROR(_xlfn.XLOOKUP(AP41,BP10:BP57,BT10:BT57),IFERROR(_xlfn.XLOOKUP(AP41,BQ10:BQ57,BT10:BT57),_xlfn.XLOOKUP(AP41,BR10:BR57,BT10:BT57,""))),""),""),""),"")</f>
        <v/>
      </c>
      <c r="BC41" s="811" cm="1">
        <f t="array" ref="BC41">IF(NOT(AQ41),0,IF(OR(BA41="",N(BA41)&lt;=0.000000001),"",IF(OR(AU41="",N(AU41)&lt;=0.000000001),0,IF(ISNUMBER(BA41),IFERROR(_xlfn.LET(_xlpm.ai_test,TRIM(AP41),_xlpm.r,IFERROR(_xlfn.XLOOKUP(_xlpm.ai_test,BP16:BP63,ROW(BP16:BP63),0,1),IFERROR(_xlfn.XLOOKUP(_xlpm.ai_test,BQ16:BQ63,ROW(BQ16:BQ63),0,1),_xlfn.XLOOKUP(_xlpm.ai_test,BR16:BR63,ROW(BR16:BR63),0,1))),_xlpm.p,_xlpm.r-MIN(ROW(BP16:BP63))+1,_xlpm.f,INDEX(BS16:BS63,_xlpm.p),_xlpm.u,INDEX(BT16:BT63,_xlpm.p),_xlpm.s,INDEX(BV16:BV63,_xlpm.p),_xlpm.q,N(BA41)/_xlpm.f,IF(_xlpm.q&gt;=_xlpm.s,ROUND(_xlpm.q,1)&amp;" "&amp;_xlpm.ai_test&amp;" = "&amp;ROUND(_xlpm.q*_xlpm.f,1)&amp;" "&amp;_xlpm.u,ROUND(_xlpm.q,1)&amp;" "&amp;_xlpm.ai_test)),""),""))))</f>
        <v>0</v>
      </c>
      <c r="BD41" s="801"/>
      <c r="BE41" s="788" t="str">
        <f t="shared" si="30"/>
        <v/>
      </c>
      <c r="BF41" s="789" t="str">
        <f t="shared" si="44"/>
        <v/>
      </c>
      <c r="BG41" s="790">
        <f t="shared" si="45"/>
        <v>0</v>
      </c>
      <c r="BH41" s="791" t="str">
        <f t="shared" si="46"/>
        <v/>
      </c>
      <c r="BI41" s="792"/>
      <c r="BJ41" s="793">
        <f t="shared" si="47"/>
        <v>0</v>
      </c>
      <c r="BK41" s="794" t="str">
        <f t="shared" si="38"/>
        <v/>
      </c>
      <c r="BL41" s="227" t="s">
        <v>21</v>
      </c>
      <c r="BM41" s="773">
        <f t="shared" si="35"/>
        <v>0</v>
      </c>
      <c r="BN41" s="774">
        <f t="shared" si="36"/>
        <v>0</v>
      </c>
      <c r="BO41" s="630"/>
      <c r="BP41" s="121" t="s">
        <v>155</v>
      </c>
      <c r="BQ41" s="121" t="s">
        <v>155</v>
      </c>
      <c r="BR41" s="121" t="s">
        <v>1307</v>
      </c>
      <c r="BS41" s="767">
        <f t="shared" si="43"/>
        <v>2.835E-2</v>
      </c>
      <c r="BT41" s="642" t="s">
        <v>837</v>
      </c>
      <c r="BU41" s="642" t="s">
        <v>1584</v>
      </c>
      <c r="BV41" s="757">
        <f t="shared" si="42"/>
        <v>35</v>
      </c>
      <c r="BW41" s="820">
        <v>28.35</v>
      </c>
      <c r="BX41" s="630"/>
      <c r="BY41" s="630"/>
      <c r="BZ41" s="630"/>
      <c r="CA41" s="630"/>
      <c r="CB41" s="630"/>
      <c r="CC41" s="630"/>
      <c r="CD41" s="781" t="str">
        <f t="shared" si="15"/>
        <v>►</v>
      </c>
      <c r="CE41" s="818"/>
      <c r="CF41" s="634"/>
      <c r="CG41" s="634"/>
      <c r="CH41" s="635"/>
      <c r="CI41" s="635"/>
      <c r="CJ41" s="719"/>
      <c r="CK41" s="762"/>
      <c r="CL41" s="808" t="s">
        <v>8083</v>
      </c>
      <c r="CM41" s="754"/>
      <c r="CN41" s="754"/>
      <c r="CO41" s="754"/>
      <c r="CP41" s="754"/>
      <c r="CQ41" s="755"/>
      <c r="CS41" s="762"/>
      <c r="CT41" s="808" t="s">
        <v>1628</v>
      </c>
      <c r="CU41" s="754"/>
      <c r="CV41" s="754"/>
      <c r="CW41" s="754"/>
      <c r="CX41" s="754"/>
      <c r="CY41" s="755"/>
      <c r="DA41" s="762"/>
      <c r="DB41" s="808" t="s">
        <v>8082</v>
      </c>
      <c r="DC41" s="754"/>
      <c r="DD41" s="754"/>
      <c r="DE41" s="754"/>
      <c r="DF41" s="754"/>
      <c r="DG41" s="755"/>
      <c r="DI41" s="3">
        <v>1</v>
      </c>
    </row>
    <row r="42" spans="1:113" s="627" customFormat="1" ht="21" customHeight="1">
      <c r="A42" s="701" t="s">
        <v>21</v>
      </c>
      <c r="B42" s="2265" t="str" cm="1">
        <f t="array" ref="B42">SUMPRODUCT(--(D42:J42&lt;&gt;""), LEN(TRIM(SUBSTITUTE(D42:J42, CHAR(160), "")))) &amp; " Car."</f>
        <v>0 Car.</v>
      </c>
      <c r="C42" s="1376" t="str">
        <f>IF(ISBLANK(D42),"",LARGE(C13:C41,1)+1)</f>
        <v/>
      </c>
      <c r="D42" s="1833"/>
      <c r="E42" s="1810"/>
      <c r="F42" s="1810"/>
      <c r="G42" s="1810"/>
      <c r="H42" s="1810"/>
      <c r="I42" s="1810"/>
      <c r="J42" s="1810"/>
      <c r="K42" s="1810"/>
      <c r="L42" s="1811"/>
      <c r="M42" s="9"/>
      <c r="N42" s="25" t="str">
        <f t="shared" si="16"/>
        <v>A</v>
      </c>
      <c r="O42" s="1616">
        <v>1</v>
      </c>
      <c r="P42" s="9"/>
      <c r="Q42" s="25" t="s">
        <v>10</v>
      </c>
      <c r="R42" s="31" t="str">
        <f>R20</f>
        <v>C CHIBOUST PAMPLEMOUSSE | pâtisserie--ENTREMET| Auteur &gt; recette Béghin Say de Jean-Jacques Borne MOF 1994</v>
      </c>
      <c r="S42" s="32">
        <f>S20</f>
        <v>18</v>
      </c>
      <c r="T42" s="31" t="str">
        <f>T20</f>
        <v>desserts</v>
      </c>
      <c r="U42" s="33" t="str">
        <f>U20</f>
        <v>Recette mère ► MILLE-FEUILLE  aux fraises des bois</v>
      </c>
      <c r="V42" s="121" t="s">
        <v>155</v>
      </c>
      <c r="W42" s="121" t="s">
        <v>156</v>
      </c>
      <c r="X42" s="143" t="s">
        <v>141</v>
      </c>
      <c r="Y42" s="121" t="s">
        <v>110</v>
      </c>
      <c r="Z42" s="121" t="s">
        <v>157</v>
      </c>
      <c r="AA42" s="121" t="s">
        <v>158</v>
      </c>
      <c r="AB42" s="143" t="s">
        <v>141</v>
      </c>
      <c r="AC42" s="125" t="s">
        <v>115</v>
      </c>
      <c r="AD42" s="155" t="s">
        <v>159</v>
      </c>
      <c r="AE42" s="155" t="s">
        <v>160</v>
      </c>
      <c r="AF42" s="109" t="s">
        <v>161</v>
      </c>
      <c r="AG42" s="109" t="s">
        <v>162</v>
      </c>
      <c r="AH42" s="109" t="s">
        <v>105</v>
      </c>
      <c r="AI42" s="1758" t="s">
        <v>1689</v>
      </c>
      <c r="AJ42" s="697" t="s">
        <v>163</v>
      </c>
      <c r="AK42" s="6120" t="str">
        <f t="shared" si="40"/>
        <v>►</v>
      </c>
      <c r="AL42" s="781" t="str">
        <f t="shared" si="20"/>
        <v>►</v>
      </c>
      <c r="AM42" s="5498" t="str">
        <f t="shared" si="21"/>
        <v/>
      </c>
      <c r="AN42" s="783" t="str">
        <f t="shared" si="22"/>
        <v/>
      </c>
      <c r="AO42" s="782" t="str">
        <f t="shared" si="23"/>
        <v/>
      </c>
      <c r="AP42" s="783" t="str">
        <f t="shared" si="24"/>
        <v/>
      </c>
      <c r="AQ42" s="2083" t="b">
        <f>AND(Q42="A",COUNTIF(BP16:BR63,TRIM(Z42))&gt;0)</f>
        <v>1</v>
      </c>
      <c r="AR42" s="797" t="str">
        <f>IF(AL42&lt;&gt;"A","",IFERROR(IFERROR(_xlfn.XLOOKUP(TRIM(SUBSTITUTE(Z42,CHAR(160)," ")),BP16:BP63,BS16:BS63),IFERROR(_xlfn.XLOOKUP(TRIM(SUBSTITUTE(Z42,CHAR(160)," ")),BQ16:BQ63,BS16:BS63),_xlfn.XLOOKUP(TRIM(SUBSTITUTE(Z42,CHAR(160)," ")),BR16:BR63,BS16:BS63)))*Y42*IF(ISBLANK(V42),1,V42),0))</f>
        <v/>
      </c>
      <c r="AS42" s="784" t="str">
        <f t="shared" si="25"/>
        <v/>
      </c>
      <c r="AT42" s="1315" t="str">
        <f t="shared" si="26"/>
        <v/>
      </c>
      <c r="AU42" s="785">
        <f t="shared" si="27"/>
        <v>0</v>
      </c>
      <c r="AV42" s="785">
        <f t="shared" si="28"/>
        <v>0</v>
      </c>
      <c r="AW42" s="798">
        <f>IF(AK42="A",AY10,0)</f>
        <v>0</v>
      </c>
      <c r="AX42" s="5496" t="str">
        <f>IF(IFERROR(SEARCH("Adresse PC",TRIM(W42)),0)&gt;0,"▼ receta siguiente",IF(AK42="A",IF(AZ10&lt;&gt;"",AZ10&amp;" - ou.or.o ❾ + or - &gt;",""),""))</f>
        <v/>
      </c>
      <c r="AY42" s="810"/>
      <c r="AZ42" s="810"/>
      <c r="BA42" s="799" t="str">
        <f t="shared" si="29"/>
        <v/>
      </c>
      <c r="BB42" s="800" t="str">
        <f>IF(AK42="A",IF(AQ42,IF(AND(AW42&lt;&gt;"",N(AW42)&gt;0),IFERROR(IFERROR(_xlfn.XLOOKUP(AP42,BP10:BP57,BT10:BT57),IFERROR(_xlfn.XLOOKUP(AP42,BQ10:BQ57,BT10:BT57),_xlfn.XLOOKUP(AP42,BR10:BR57,BT10:BT57,""))),""),""),""),"")</f>
        <v/>
      </c>
      <c r="BC42" s="813" t="str" cm="1">
        <f t="array" ref="BC42">IF(NOT(AQ42),0,IF(OR(BA42="",N(BA42)&lt;=0.000000001),"",IF(OR(AU42="",N(AU42)&lt;=0.000000001),0,IF(ISNUMBER(BA42),IFERROR(_xlfn.LET(_xlpm.ai_test,TRIM(AP42),_xlpm.r,IFERROR(_xlfn.XLOOKUP(_xlpm.ai_test,BP16:BP63,ROW(BP16:BP63),0,1),IFERROR(_xlfn.XLOOKUP(_xlpm.ai_test,BQ16:BQ63,ROW(BQ16:BQ63),0,1),_xlfn.XLOOKUP(_xlpm.ai_test,BR16:BR63,ROW(BR16:BR63),0,1))),_xlpm.p,_xlpm.r-MIN(ROW(BP16:BP63))+1,_xlpm.f,INDEX(BS16:BS63,_xlpm.p),_xlpm.u,INDEX(BT16:BT63,_xlpm.p),_xlpm.s,INDEX(BV16:BV63,_xlpm.p),_xlpm.q,N(BA42)/_xlpm.f,IF(_xlpm.q&gt;=_xlpm.s,ROUND(_xlpm.q,1)&amp;" "&amp;_xlpm.ai_test&amp;" = "&amp;ROUND(_xlpm.q*_xlpm.f,1)&amp;" "&amp;_xlpm.u,ROUND(_xlpm.q,1)&amp;" "&amp;_xlpm.ai_test)),""),""))))</f>
        <v/>
      </c>
      <c r="BD42" s="801"/>
      <c r="BE42" s="799" t="str">
        <f t="shared" si="30"/>
        <v/>
      </c>
      <c r="BF42" s="800" t="str">
        <f t="shared" si="44"/>
        <v/>
      </c>
      <c r="BG42" s="802">
        <f t="shared" si="45"/>
        <v>0</v>
      </c>
      <c r="BH42" s="803" t="str">
        <f t="shared" si="46"/>
        <v/>
      </c>
      <c r="BI42" s="792"/>
      <c r="BJ42" s="804">
        <f t="shared" si="47"/>
        <v>0</v>
      </c>
      <c r="BK42" s="794" t="str">
        <f t="shared" si="38"/>
        <v/>
      </c>
      <c r="BL42" s="227" t="s">
        <v>21</v>
      </c>
      <c r="BM42" s="773">
        <f t="shared" si="35"/>
        <v>0</v>
      </c>
      <c r="BN42" s="774">
        <f t="shared" si="36"/>
        <v>0</v>
      </c>
      <c r="BO42" s="630"/>
      <c r="BP42" s="822" t="s">
        <v>1653</v>
      </c>
      <c r="BQ42" s="822" t="s">
        <v>1654</v>
      </c>
      <c r="BR42" s="822" t="s">
        <v>1655</v>
      </c>
      <c r="BS42" s="767">
        <f t="shared" si="43"/>
        <v>1.4E-2</v>
      </c>
      <c r="BT42" s="805" t="s">
        <v>1621</v>
      </c>
      <c r="BU42" s="805" t="s">
        <v>1622</v>
      </c>
      <c r="BV42" s="757">
        <f t="shared" si="42"/>
        <v>71</v>
      </c>
      <c r="BW42" s="806">
        <v>14</v>
      </c>
      <c r="BX42" s="630"/>
      <c r="BY42" s="630"/>
      <c r="BZ42" s="630"/>
      <c r="CA42" s="630"/>
      <c r="CB42" s="630"/>
      <c r="CC42" s="630"/>
      <c r="CD42" s="781" t="str">
        <f t="shared" si="15"/>
        <v>►</v>
      </c>
      <c r="CE42" s="818"/>
      <c r="CF42" s="634"/>
      <c r="CG42" s="634"/>
      <c r="CH42" s="635"/>
      <c r="CI42" s="635"/>
      <c r="CJ42" s="719"/>
      <c r="CK42" s="762"/>
      <c r="CL42" s="808" t="s">
        <v>8081</v>
      </c>
      <c r="CM42" s="754"/>
      <c r="CN42" s="754"/>
      <c r="CO42" s="754"/>
      <c r="CP42" s="754"/>
      <c r="CQ42" s="755"/>
      <c r="CS42" s="762"/>
      <c r="CT42" s="808" t="s">
        <v>8080</v>
      </c>
      <c r="CU42" s="754"/>
      <c r="CV42" s="754"/>
      <c r="CW42" s="754"/>
      <c r="CX42" s="754"/>
      <c r="CY42" s="755"/>
      <c r="DA42" s="762"/>
      <c r="DB42" s="808" t="s">
        <v>8079</v>
      </c>
      <c r="DC42" s="754"/>
      <c r="DD42" s="754"/>
      <c r="DE42" s="754"/>
      <c r="DF42" s="754"/>
      <c r="DG42" s="755"/>
      <c r="DI42" s="3">
        <v>1</v>
      </c>
    </row>
    <row r="43" spans="1:113" s="627" customFormat="1" ht="21" customHeight="1">
      <c r="A43" s="701" t="s">
        <v>21</v>
      </c>
      <c r="B43" s="2265" t="str" cm="1">
        <f t="array" ref="B43">SUMPRODUCT(--(D43:J43&lt;&gt;""), LEN(TRIM(SUBSTITUTE(D43:J43, CHAR(160), "")))) &amp; " Car."</f>
        <v>0 Car.</v>
      </c>
      <c r="C43" s="1376" t="str">
        <f>IF(ISBLANK(D43),"",LARGE(C13:C42,1)+1)</f>
        <v/>
      </c>
      <c r="D43" s="1833"/>
      <c r="E43" s="1810"/>
      <c r="F43" s="1810"/>
      <c r="G43" s="1810"/>
      <c r="H43" s="1810"/>
      <c r="I43" s="1810"/>
      <c r="J43" s="1810"/>
      <c r="K43" s="1810"/>
      <c r="L43" s="1811"/>
      <c r="M43" s="9"/>
      <c r="N43" s="25" t="str">
        <f t="shared" si="16"/>
        <v>A</v>
      </c>
      <c r="O43" s="1616">
        <v>1</v>
      </c>
      <c r="P43" s="9"/>
      <c r="Q43" s="25" t="s">
        <v>10</v>
      </c>
      <c r="R43" s="31" t="str">
        <f>R20</f>
        <v>C CHIBOUST PAMPLEMOUSSE | pâtisserie--ENTREMET| Auteur &gt; recette Béghin Say de Jean-Jacques Borne MOF 1994</v>
      </c>
      <c r="S43" s="32">
        <f>S20</f>
        <v>18</v>
      </c>
      <c r="T43" s="31" t="str">
        <f>T20</f>
        <v>desserts</v>
      </c>
      <c r="U43" s="33" t="str">
        <f>U20</f>
        <v>Recette mère ► MILLE-FEUILLE  aux fraises des bois</v>
      </c>
      <c r="V43" s="685">
        <v>2.835E-2</v>
      </c>
      <c r="W43" s="686">
        <v>0.13</v>
      </c>
      <c r="X43" s="687">
        <v>0</v>
      </c>
      <c r="Y43" s="686">
        <v>0.2</v>
      </c>
      <c r="Z43" s="686">
        <v>0.23</v>
      </c>
      <c r="AA43" s="686">
        <v>0.22500000000000001</v>
      </c>
      <c r="AB43" s="687">
        <v>0</v>
      </c>
      <c r="AC43" s="688">
        <v>0.35</v>
      </c>
      <c r="AD43" s="688">
        <v>5.0000000000000001E-3</v>
      </c>
      <c r="AE43" s="688">
        <v>5.0000000000000001E-3</v>
      </c>
      <c r="AF43" s="688">
        <v>1.4999999999999999E-2</v>
      </c>
      <c r="AG43" s="688">
        <v>0.1</v>
      </c>
      <c r="AH43" s="688">
        <v>0.22500000000000001</v>
      </c>
      <c r="AI43" s="688">
        <v>4.0000000000000001E-3</v>
      </c>
      <c r="AJ43" s="1757">
        <v>1E-3</v>
      </c>
      <c r="AK43" s="6120" t="str">
        <f t="shared" si="40"/>
        <v>►</v>
      </c>
      <c r="AL43" s="781" t="str">
        <f t="shared" si="20"/>
        <v>►</v>
      </c>
      <c r="AM43" s="5499" t="str">
        <f t="shared" si="21"/>
        <v/>
      </c>
      <c r="AN43" s="783" t="str">
        <f t="shared" si="22"/>
        <v/>
      </c>
      <c r="AO43" s="782" t="str">
        <f t="shared" si="23"/>
        <v/>
      </c>
      <c r="AP43" s="783" t="str">
        <f t="shared" si="24"/>
        <v/>
      </c>
      <c r="AQ43" s="2083" t="b">
        <f>AND(Q43="A",COUNTIF(BP16:BR63,TRIM(Z43))&gt;0)</f>
        <v>0</v>
      </c>
      <c r="AR43" s="797" t="str">
        <f>IF(AL43&lt;&gt;"A","",IFERROR(IFERROR(_xlfn.XLOOKUP(TRIM(SUBSTITUTE(Z43,CHAR(160)," ")),BP16:BP63,BS16:BS63),IFERROR(_xlfn.XLOOKUP(TRIM(SUBSTITUTE(Z43,CHAR(160)," ")),BQ16:BQ63,BS16:BS63),_xlfn.XLOOKUP(TRIM(SUBSTITUTE(Z43,CHAR(160)," ")),BR16:BR63,BS16:BS63)))*Y43*IF(ISBLANK(V43),1,V43),0))</f>
        <v/>
      </c>
      <c r="AS43" s="784" t="str">
        <f t="shared" si="25"/>
        <v/>
      </c>
      <c r="AT43" s="1315" t="str">
        <f t="shared" si="26"/>
        <v/>
      </c>
      <c r="AU43" s="785">
        <f t="shared" si="27"/>
        <v>0</v>
      </c>
      <c r="AV43" s="785">
        <f t="shared" si="28"/>
        <v>0</v>
      </c>
      <c r="AW43" s="786">
        <f>IF(AK43="A",AY10,0)</f>
        <v>0</v>
      </c>
      <c r="AX43" s="5495" t="str">
        <f>IF(IFERROR(SEARCH("Adresse PC",TRIM(W43)),0)&gt;0,"▼ receta siguiente",IF(AK43="A",IF(AZ10&lt;&gt;"",AZ10&amp;" - ou.or.o ❾ + or - &gt;",""),""))</f>
        <v/>
      </c>
      <c r="AY43" s="810"/>
      <c r="AZ43" s="810"/>
      <c r="BA43" s="788" t="str">
        <f t="shared" si="29"/>
        <v/>
      </c>
      <c r="BB43" s="789" t="str">
        <f>IF(AK43="A",IF(AQ43,IF(AND(AW43&lt;&gt;"",N(AW43)&gt;0),IFERROR(IFERROR(_xlfn.XLOOKUP(AP43,BP10:BP57,BT10:BT57),IFERROR(_xlfn.XLOOKUP(AP43,BQ10:BQ57,BT10:BT57),_xlfn.XLOOKUP(AP43,BR10:BR57,BT10:BT57,""))),""),""),""),"")</f>
        <v/>
      </c>
      <c r="BC43" s="811" cm="1">
        <f t="array" ref="BC43">IF(NOT(AQ43),0,IF(OR(BA43="",N(BA43)&lt;=0.000000001),"",IF(OR(AU43="",N(AU43)&lt;=0.000000001),0,IF(ISNUMBER(BA43),IFERROR(_xlfn.LET(_xlpm.ai_test,TRIM(AP43),_xlpm.r,IFERROR(_xlfn.XLOOKUP(_xlpm.ai_test,BP16:BP63,ROW(BP16:BP63),0,1),IFERROR(_xlfn.XLOOKUP(_xlpm.ai_test,BQ16:BQ63,ROW(BQ16:BQ63),0,1),_xlfn.XLOOKUP(_xlpm.ai_test,BR16:BR63,ROW(BR16:BR63),0,1))),_xlpm.p,_xlpm.r-MIN(ROW(BP16:BP63))+1,_xlpm.f,INDEX(BS16:BS63,_xlpm.p),_xlpm.u,INDEX(BT16:BT63,_xlpm.p),_xlpm.s,INDEX(BV16:BV63,_xlpm.p),_xlpm.q,N(BA43)/_xlpm.f,IF(_xlpm.q&gt;=_xlpm.s,ROUND(_xlpm.q,1)&amp;" "&amp;_xlpm.ai_test&amp;" = "&amp;ROUND(_xlpm.q*_xlpm.f,1)&amp;" "&amp;_xlpm.u,ROUND(_xlpm.q,1)&amp;" "&amp;_xlpm.ai_test)),""),""))))</f>
        <v>0</v>
      </c>
      <c r="BD43" s="801"/>
      <c r="BE43" s="788" t="str">
        <f t="shared" si="30"/>
        <v/>
      </c>
      <c r="BF43" s="789" t="str">
        <f t="shared" si="44"/>
        <v/>
      </c>
      <c r="BG43" s="790">
        <f t="shared" si="45"/>
        <v>0</v>
      </c>
      <c r="BH43" s="791" t="str">
        <f t="shared" si="46"/>
        <v/>
      </c>
      <c r="BI43" s="792"/>
      <c r="BJ43" s="793">
        <f t="shared" si="47"/>
        <v>0</v>
      </c>
      <c r="BK43" s="794" t="str">
        <f t="shared" si="38"/>
        <v/>
      </c>
      <c r="BL43" s="227" t="s">
        <v>21</v>
      </c>
      <c r="BM43" s="773">
        <f t="shared" si="35"/>
        <v>0</v>
      </c>
      <c r="BN43" s="774">
        <f t="shared" si="36"/>
        <v>0</v>
      </c>
      <c r="BO43" s="630"/>
      <c r="BP43" s="822" t="s">
        <v>158</v>
      </c>
      <c r="BQ43" s="121" t="s">
        <v>1343</v>
      </c>
      <c r="BR43" s="121" t="s">
        <v>1312</v>
      </c>
      <c r="BS43" s="767">
        <f t="shared" si="43"/>
        <v>0.22500000000000001</v>
      </c>
      <c r="BT43" s="805" t="s">
        <v>1621</v>
      </c>
      <c r="BU43" s="805" t="s">
        <v>1622</v>
      </c>
      <c r="BV43" s="757">
        <f t="shared" si="42"/>
        <v>4</v>
      </c>
      <c r="BW43" s="806">
        <v>225</v>
      </c>
      <c r="BX43" s="630"/>
      <c r="BY43" s="630"/>
      <c r="BZ43" s="630"/>
      <c r="CA43" s="630"/>
      <c r="CB43" s="630"/>
      <c r="CC43" s="630"/>
      <c r="CD43" s="781" t="str">
        <f t="shared" si="15"/>
        <v>►</v>
      </c>
      <c r="CE43" s="818"/>
      <c r="CF43" s="634"/>
      <c r="CG43" s="634"/>
      <c r="CH43" s="635"/>
      <c r="CI43" s="635"/>
      <c r="CJ43" s="719"/>
      <c r="CK43" s="762"/>
      <c r="CL43" s="808" t="s">
        <v>8078</v>
      </c>
      <c r="CM43" s="754"/>
      <c r="CN43" s="754"/>
      <c r="CO43" s="754"/>
      <c r="CP43" s="754"/>
      <c r="CQ43" s="755"/>
      <c r="CS43" s="762"/>
      <c r="CT43" s="808" t="s">
        <v>8077</v>
      </c>
      <c r="CU43" s="754"/>
      <c r="CV43" s="754"/>
      <c r="CW43" s="754"/>
      <c r="CX43" s="754"/>
      <c r="CY43" s="755"/>
      <c r="DA43" s="762"/>
      <c r="DB43" s="754" t="s">
        <v>8076</v>
      </c>
      <c r="DC43" s="754"/>
      <c r="DD43" s="754"/>
      <c r="DE43" s="754"/>
      <c r="DF43" s="754"/>
      <c r="DG43" s="755"/>
      <c r="DI43" s="3">
        <v>1</v>
      </c>
    </row>
    <row r="44" spans="1:113" s="627" customFormat="1" ht="21" customHeight="1">
      <c r="A44" s="701" t="s">
        <v>21</v>
      </c>
      <c r="B44" s="2265" t="str" cm="1">
        <f t="array" ref="B44">SUMPRODUCT(--(D44:J44&lt;&gt;""), LEN(TRIM(SUBSTITUTE(D44:J44, CHAR(160), "")))) &amp; " Car."</f>
        <v>0 Car.</v>
      </c>
      <c r="C44" s="1376" t="str">
        <f>IF(ISBLANK(D44),"",LARGE(C13:C43,1)+1)</f>
        <v/>
      </c>
      <c r="D44" s="1833"/>
      <c r="E44" s="1810"/>
      <c r="F44" s="1810"/>
      <c r="G44" s="1810"/>
      <c r="H44" s="1810"/>
      <c r="I44" s="1810"/>
      <c r="J44" s="1810"/>
      <c r="K44" s="1810"/>
      <c r="L44" s="1811"/>
      <c r="M44" s="9"/>
      <c r="N44" s="25" t="str">
        <f t="shared" si="16"/>
        <v>►</v>
      </c>
      <c r="O44" s="1616">
        <v>1</v>
      </c>
      <c r="P44" s="9"/>
      <c r="Q44" s="25" t="s">
        <v>15</v>
      </c>
      <c r="R44" s="5563" t="str">
        <f t="shared" ref="R44:AJ44" si="48">SUBSTITUTE(ADDRESS(1,COLUMN(),4),"1","")</f>
        <v>R</v>
      </c>
      <c r="S44" s="5563" t="str">
        <f t="shared" si="48"/>
        <v>S</v>
      </c>
      <c r="T44" s="5563" t="str">
        <f t="shared" si="48"/>
        <v>T</v>
      </c>
      <c r="U44" s="5563" t="str">
        <f t="shared" si="48"/>
        <v>U</v>
      </c>
      <c r="V44" s="5563" t="str">
        <f t="shared" si="48"/>
        <v>V</v>
      </c>
      <c r="W44" s="5563" t="str">
        <f t="shared" si="48"/>
        <v>W</v>
      </c>
      <c r="X44" s="5563" t="str">
        <f t="shared" si="48"/>
        <v>X</v>
      </c>
      <c r="Y44" s="5563" t="str">
        <f t="shared" si="48"/>
        <v>Y</v>
      </c>
      <c r="Z44" s="5563" t="str">
        <f t="shared" si="48"/>
        <v>Z</v>
      </c>
      <c r="AA44" s="5563" t="str">
        <f t="shared" si="48"/>
        <v>AA</v>
      </c>
      <c r="AB44" s="5603" t="str">
        <f t="shared" si="48"/>
        <v>AB</v>
      </c>
      <c r="AC44" s="5563" t="str">
        <f t="shared" si="48"/>
        <v>AC</v>
      </c>
      <c r="AD44" s="5563" t="str">
        <f t="shared" si="48"/>
        <v>AD</v>
      </c>
      <c r="AE44" s="5563" t="str">
        <f t="shared" si="48"/>
        <v>AE</v>
      </c>
      <c r="AF44" s="5563" t="str">
        <f t="shared" si="48"/>
        <v>AF</v>
      </c>
      <c r="AG44" s="6003" t="str">
        <f t="shared" si="48"/>
        <v>AG</v>
      </c>
      <c r="AH44" s="5563" t="str">
        <f t="shared" si="48"/>
        <v>AH</v>
      </c>
      <c r="AI44" s="5563" t="str">
        <f t="shared" si="48"/>
        <v>AI</v>
      </c>
      <c r="AJ44" s="6002" t="str">
        <f t="shared" si="48"/>
        <v>AJ</v>
      </c>
      <c r="AK44" s="6120" t="str">
        <f t="shared" si="40"/>
        <v>►</v>
      </c>
      <c r="AL44" s="781" t="str">
        <f t="shared" si="20"/>
        <v>►</v>
      </c>
      <c r="AM44" s="5498" t="str">
        <f t="shared" si="21"/>
        <v/>
      </c>
      <c r="AN44" s="783" t="str">
        <f t="shared" si="22"/>
        <v/>
      </c>
      <c r="AO44" s="782" t="str">
        <f t="shared" si="23"/>
        <v/>
      </c>
      <c r="AP44" s="783" t="str">
        <f t="shared" si="24"/>
        <v/>
      </c>
      <c r="AQ44" s="2083" t="b">
        <f>AND(Q44="A",COUNTIF(BP16:BR63,TRIM(Z44))&gt;0)</f>
        <v>0</v>
      </c>
      <c r="AR44" s="797" t="str">
        <f>IF(AL44&lt;&gt;"A","",IFERROR(IFERROR(_xlfn.XLOOKUP(TRIM(SUBSTITUTE(Z44,CHAR(160)," ")),BP16:BP63,BS16:BS63),IFERROR(_xlfn.XLOOKUP(TRIM(SUBSTITUTE(Z44,CHAR(160)," ")),BQ16:BQ63,BS16:BS63),_xlfn.XLOOKUP(TRIM(SUBSTITUTE(Z44,CHAR(160)," ")),BR16:BR63,BS16:BS63)))*Y44*IF(ISBLANK(V44),1,V44),0))</f>
        <v/>
      </c>
      <c r="AS44" s="784" t="str">
        <f t="shared" si="25"/>
        <v/>
      </c>
      <c r="AT44" s="1315" t="str">
        <f t="shared" si="26"/>
        <v/>
      </c>
      <c r="AU44" s="785">
        <f t="shared" si="27"/>
        <v>0</v>
      </c>
      <c r="AV44" s="785">
        <f t="shared" si="28"/>
        <v>0</v>
      </c>
      <c r="AW44" s="798">
        <f>IF(AK44="A",AY10,0)</f>
        <v>0</v>
      </c>
      <c r="AX44" s="5496" t="str">
        <f>IF(IFERROR(SEARCH("Adresse PC",TRIM(W44)),0)&gt;0,"▼ receta siguiente",IF(AK44="A",IF(AZ10&lt;&gt;"",AZ10&amp;" - ou.or.o ❾ + or - &gt;",""),""))</f>
        <v/>
      </c>
      <c r="AY44" s="810"/>
      <c r="AZ44" s="810"/>
      <c r="BA44" s="799" t="str">
        <f t="shared" si="29"/>
        <v/>
      </c>
      <c r="BB44" s="800" t="str">
        <f>IF(AK44="A",IF(AQ44,IF(AND(AW44&lt;&gt;"",N(AW44)&gt;0),IFERROR(IFERROR(_xlfn.XLOOKUP(AP44,BP10:BP57,BT10:BT57),IFERROR(_xlfn.XLOOKUP(AP44,BQ10:BQ57,BT10:BT57),_xlfn.XLOOKUP(AP44,BR10:BR57,BT10:BT57,""))),""),""),""),"")</f>
        <v/>
      </c>
      <c r="BC44" s="813" cm="1">
        <f t="array" ref="BC44">IF(NOT(AQ44),0,IF(OR(BA44="",N(BA44)&lt;=0.000000001),"",IF(OR(AU44="",N(AU44)&lt;=0.000000001),0,IF(ISNUMBER(BA44),IFERROR(_xlfn.LET(_xlpm.ai_test,TRIM(AP44),_xlpm.r,IFERROR(_xlfn.XLOOKUP(_xlpm.ai_test,BP16:BP63,ROW(BP16:BP63),0,1),IFERROR(_xlfn.XLOOKUP(_xlpm.ai_test,BQ16:BQ63,ROW(BQ16:BQ63),0,1),_xlfn.XLOOKUP(_xlpm.ai_test,BR16:BR63,ROW(BR16:BR63),0,1))),_xlpm.p,_xlpm.r-MIN(ROW(BP16:BP63))+1,_xlpm.f,INDEX(BS16:BS63,_xlpm.p),_xlpm.u,INDEX(BT16:BT63,_xlpm.p),_xlpm.s,INDEX(BV16:BV63,_xlpm.p),_xlpm.q,N(BA44)/_xlpm.f,IF(_xlpm.q&gt;=_xlpm.s,ROUND(_xlpm.q,1)&amp;" "&amp;_xlpm.ai_test&amp;" = "&amp;ROUND(_xlpm.q*_xlpm.f,1)&amp;" "&amp;_xlpm.u,ROUND(_xlpm.q,1)&amp;" "&amp;_xlpm.ai_test)),""),""))))</f>
        <v>0</v>
      </c>
      <c r="BD44" s="801"/>
      <c r="BE44" s="799" t="str">
        <f t="shared" si="30"/>
        <v/>
      </c>
      <c r="BF44" s="800" t="str">
        <f t="shared" si="44"/>
        <v/>
      </c>
      <c r="BG44" s="802">
        <f t="shared" si="45"/>
        <v>0</v>
      </c>
      <c r="BH44" s="803" t="str">
        <f t="shared" si="46"/>
        <v/>
      </c>
      <c r="BI44" s="792"/>
      <c r="BJ44" s="804">
        <f t="shared" si="47"/>
        <v>0</v>
      </c>
      <c r="BK44" s="794" t="str">
        <f t="shared" si="38"/>
        <v/>
      </c>
      <c r="BL44" s="227" t="s">
        <v>21</v>
      </c>
      <c r="BM44" s="773">
        <f t="shared" si="35"/>
        <v>0</v>
      </c>
      <c r="BN44" s="774">
        <f t="shared" si="36"/>
        <v>0</v>
      </c>
      <c r="BO44" s="630"/>
      <c r="BP44" s="822" t="s">
        <v>1661</v>
      </c>
      <c r="BQ44" s="822" t="s">
        <v>1661</v>
      </c>
      <c r="BR44" s="822" t="s">
        <v>1662</v>
      </c>
      <c r="BS44" s="767">
        <f t="shared" si="43"/>
        <v>0.11799999999999999</v>
      </c>
      <c r="BT44" s="805" t="s">
        <v>1621</v>
      </c>
      <c r="BU44" s="805" t="s">
        <v>1622</v>
      </c>
      <c r="BV44" s="757">
        <f t="shared" si="42"/>
        <v>8</v>
      </c>
      <c r="BW44" s="806">
        <v>118</v>
      </c>
      <c r="BX44" s="630"/>
      <c r="BY44" s="630"/>
      <c r="BZ44" s="630"/>
      <c r="CA44" s="630"/>
      <c r="CB44" s="630"/>
      <c r="CC44" s="630"/>
      <c r="CD44" s="781" t="str">
        <f t="shared" si="15"/>
        <v>►</v>
      </c>
      <c r="CE44" s="818"/>
      <c r="CF44" s="634"/>
      <c r="CG44" s="634"/>
      <c r="CH44" s="635"/>
      <c r="CI44" s="635"/>
      <c r="CJ44" s="719"/>
      <c r="CK44" s="762" t="s">
        <v>1611</v>
      </c>
      <c r="CL44" s="808" t="s">
        <v>1630</v>
      </c>
      <c r="CM44" s="754"/>
      <c r="CN44" s="754"/>
      <c r="CO44" s="754"/>
      <c r="CP44" s="754"/>
      <c r="CQ44" s="755"/>
      <c r="CS44" s="762" t="s">
        <v>1631</v>
      </c>
      <c r="CT44" s="808" t="s">
        <v>1632</v>
      </c>
      <c r="CU44" s="754"/>
      <c r="CV44" s="754"/>
      <c r="CW44" s="754"/>
      <c r="CX44" s="754"/>
      <c r="CY44" s="755"/>
      <c r="DA44" s="762" t="s">
        <v>1633</v>
      </c>
      <c r="DB44" s="808" t="s">
        <v>1634</v>
      </c>
      <c r="DC44" s="754"/>
      <c r="DD44" s="754"/>
      <c r="DE44" s="754"/>
      <c r="DF44" s="754"/>
      <c r="DG44" s="755"/>
      <c r="DI44" s="3">
        <v>1</v>
      </c>
    </row>
    <row r="45" spans="1:113" s="627" customFormat="1" ht="21" customHeight="1">
      <c r="A45" s="701" t="s">
        <v>21</v>
      </c>
      <c r="B45" s="2265" t="str" cm="1">
        <f t="array" ref="B45">SUMPRODUCT(--(D45:J45&lt;&gt;""), LEN(TRIM(SUBSTITUTE(D45:J45, CHAR(160), "")))) &amp; " Car."</f>
        <v>0 Car.</v>
      </c>
      <c r="C45" s="1376" t="str">
        <f>IF(ISBLANK(D45),"",LARGE(C13:C44,1)+1)</f>
        <v/>
      </c>
      <c r="D45" s="1833"/>
      <c r="E45" s="1810"/>
      <c r="F45" s="1810"/>
      <c r="G45" s="1810"/>
      <c r="H45" s="1810"/>
      <c r="I45" s="1810"/>
      <c r="J45" s="1810"/>
      <c r="K45" s="1810"/>
      <c r="L45" s="1811"/>
      <c r="M45" s="9"/>
      <c r="N45" s="25" t="str">
        <f t="shared" si="16"/>
        <v>A</v>
      </c>
      <c r="O45" s="1616">
        <v>1</v>
      </c>
      <c r="P45" s="9"/>
      <c r="Q45" s="25" t="s">
        <v>10</v>
      </c>
      <c r="R45" s="5601">
        <f t="shared" ref="R45:AJ45" ca="1" si="49">CELL("largeur",R45)</f>
        <v>3</v>
      </c>
      <c r="S45" s="5601">
        <f t="shared" ca="1" si="49"/>
        <v>3</v>
      </c>
      <c r="T45" s="5601">
        <f t="shared" ca="1" si="49"/>
        <v>3</v>
      </c>
      <c r="U45" s="5601">
        <f t="shared" ca="1" si="49"/>
        <v>5</v>
      </c>
      <c r="V45" s="5601">
        <f t="shared" ca="1" si="49"/>
        <v>12</v>
      </c>
      <c r="W45" s="5601">
        <f t="shared" ca="1" si="49"/>
        <v>12</v>
      </c>
      <c r="X45" s="5601">
        <f t="shared" ca="1" si="49"/>
        <v>3</v>
      </c>
      <c r="Y45" s="5601">
        <f t="shared" ca="1" si="49"/>
        <v>9</v>
      </c>
      <c r="Z45" s="5601">
        <f t="shared" ca="1" si="49"/>
        <v>12</v>
      </c>
      <c r="AA45" s="5601">
        <f t="shared" ca="1" si="49"/>
        <v>13</v>
      </c>
      <c r="AB45" s="5604">
        <f t="shared" ca="1" si="49"/>
        <v>6</v>
      </c>
      <c r="AC45" s="5602">
        <f t="shared" ca="1" si="49"/>
        <v>40</v>
      </c>
      <c r="AD45" s="5602">
        <f t="shared" ca="1" si="49"/>
        <v>10</v>
      </c>
      <c r="AE45" s="5602">
        <f t="shared" ca="1" si="49"/>
        <v>9</v>
      </c>
      <c r="AF45" s="5602">
        <f t="shared" ca="1" si="49"/>
        <v>11</v>
      </c>
      <c r="AG45" s="5604">
        <f t="shared" ca="1" si="49"/>
        <v>13</v>
      </c>
      <c r="AH45" s="5602">
        <f t="shared" ca="1" si="49"/>
        <v>13</v>
      </c>
      <c r="AI45" s="5602">
        <f t="shared" ca="1" si="49"/>
        <v>13</v>
      </c>
      <c r="AJ45" s="6001">
        <f t="shared" ca="1" si="49"/>
        <v>17</v>
      </c>
      <c r="AK45" s="6120" t="str">
        <f t="shared" ca="1" si="40"/>
        <v>►</v>
      </c>
      <c r="AL45" s="781" t="str">
        <f t="shared" ca="1" si="20"/>
        <v>►</v>
      </c>
      <c r="AM45" s="5499" t="str">
        <f t="shared" ca="1" si="21"/>
        <v/>
      </c>
      <c r="AN45" s="783" t="str">
        <f t="shared" ca="1" si="22"/>
        <v/>
      </c>
      <c r="AO45" s="782" t="str">
        <f t="shared" ca="1" si="23"/>
        <v/>
      </c>
      <c r="AP45" s="783" t="str">
        <f t="shared" ca="1" si="24"/>
        <v/>
      </c>
      <c r="AQ45" s="2083" t="b">
        <f ca="1">AND(Q45="A",COUNTIF(BP16:BR63,TRIM(Z45))&gt;0)</f>
        <v>0</v>
      </c>
      <c r="AR45" s="797" t="str">
        <f ca="1">IF(AL45&lt;&gt;"A","",IFERROR(IFERROR(_xlfn.XLOOKUP(TRIM(SUBSTITUTE(Z45,CHAR(160)," ")),BP16:BP63,BS16:BS63),IFERROR(_xlfn.XLOOKUP(TRIM(SUBSTITUTE(Z45,CHAR(160)," ")),BQ16:BQ63,BS16:BS63),_xlfn.XLOOKUP(TRIM(SUBSTITUTE(Z45,CHAR(160)," ")),BR16:BR63,BS16:BS63)))*Y45*IF(ISBLANK(V45),1,V45),0))</f>
        <v/>
      </c>
      <c r="AS45" s="784" t="str">
        <f t="shared" ca="1" si="25"/>
        <v/>
      </c>
      <c r="AT45" s="1315" t="str">
        <f t="shared" ca="1" si="26"/>
        <v/>
      </c>
      <c r="AU45" s="785">
        <f t="shared" ca="1" si="27"/>
        <v>0</v>
      </c>
      <c r="AV45" s="785">
        <f t="shared" ca="1" si="28"/>
        <v>0</v>
      </c>
      <c r="AW45" s="786">
        <f ca="1">IF(AK45="A",AY10,0)</f>
        <v>0</v>
      </c>
      <c r="AX45" s="5495" t="str">
        <f ca="1">IF(IFERROR(SEARCH("Adresse PC",TRIM(W45)),0)&gt;0,"▼ receta siguiente",IF(AK45="A",IF(AZ10&lt;&gt;"",AZ10&amp;" - ou.or.o ❾ + or - &gt;",""),""))</f>
        <v/>
      </c>
      <c r="AY45" s="810"/>
      <c r="AZ45" s="810"/>
      <c r="BA45" s="788" t="str">
        <f t="shared" ca="1" si="29"/>
        <v/>
      </c>
      <c r="BB45" s="789" t="str">
        <f ca="1">IF(AK45="A",IF(AQ45,IF(AND(AW45&lt;&gt;"",N(AW45)&gt;0),IFERROR(IFERROR(_xlfn.XLOOKUP(AP45,BP10:BP57,BT10:BT57),IFERROR(_xlfn.XLOOKUP(AP45,BQ10:BQ57,BT10:BT57),_xlfn.XLOOKUP(AP45,BR10:BR57,BT10:BT57,""))),""),""),""),"")</f>
        <v/>
      </c>
      <c r="BC45" s="811" cm="1">
        <f t="array" aca="1" ref="BC45" ca="1">IF(NOT(AQ45),0,IF(OR(BA45="",N(BA45)&lt;=0.000000001),"",IF(OR(AU45="",N(AU45)&lt;=0.000000001),0,IF(ISNUMBER(BA45),IFERROR(_xlfn.LET(_xlpm.ai_test,TRIM(AP45),_xlpm.r,IFERROR(_xlfn.XLOOKUP(_xlpm.ai_test,BP16:BP63,ROW(BP16:BP63),0,1),IFERROR(_xlfn.XLOOKUP(_xlpm.ai_test,BQ16:BQ63,ROW(BQ16:BQ63),0,1),_xlfn.XLOOKUP(_xlpm.ai_test,BR16:BR63,ROW(BR16:BR63),0,1))),_xlpm.p,_xlpm.r-MIN(ROW(BP16:BP63))+1,_xlpm.f,INDEX(BS16:BS63,_xlpm.p),_xlpm.u,INDEX(BT16:BT63,_xlpm.p),_xlpm.s,INDEX(BV16:BV63,_xlpm.p),_xlpm.q,N(BA45)/_xlpm.f,IF(_xlpm.q&gt;=_xlpm.s,ROUND(_xlpm.q,1)&amp;" "&amp;_xlpm.ai_test&amp;" = "&amp;ROUND(_xlpm.q*_xlpm.f,1)&amp;" "&amp;_xlpm.u,ROUND(_xlpm.q,1)&amp;" "&amp;_xlpm.ai_test)),""),""))))</f>
        <v>0</v>
      </c>
      <c r="BD45" s="801"/>
      <c r="BE45" s="788" t="str">
        <f t="shared" ca="1" si="30"/>
        <v/>
      </c>
      <c r="BF45" s="789" t="str">
        <f t="shared" ca="1" si="44"/>
        <v/>
      </c>
      <c r="BG45" s="790">
        <f t="shared" ca="1" si="45"/>
        <v>0</v>
      </c>
      <c r="BH45" s="791" t="str">
        <f t="shared" ca="1" si="46"/>
        <v/>
      </c>
      <c r="BI45" s="792"/>
      <c r="BJ45" s="793">
        <f t="shared" ca="1" si="47"/>
        <v>0</v>
      </c>
      <c r="BK45" s="794" t="str">
        <f t="shared" ca="1" si="38"/>
        <v/>
      </c>
      <c r="BL45" s="227" t="s">
        <v>21</v>
      </c>
      <c r="BM45" s="773">
        <f t="shared" ca="1" si="35"/>
        <v>0</v>
      </c>
      <c r="BN45" s="774">
        <f t="shared" ca="1" si="36"/>
        <v>0</v>
      </c>
      <c r="BO45" s="630"/>
      <c r="BP45" s="822" t="s">
        <v>1663</v>
      </c>
      <c r="BQ45" s="822" t="s">
        <v>1663</v>
      </c>
      <c r="BR45" s="822" t="s">
        <v>1664</v>
      </c>
      <c r="BS45" s="767">
        <f t="shared" si="43"/>
        <v>5.8999999999999997E-2</v>
      </c>
      <c r="BT45" s="805" t="s">
        <v>1621</v>
      </c>
      <c r="BU45" s="805" t="s">
        <v>1622</v>
      </c>
      <c r="BV45" s="757">
        <f t="shared" si="42"/>
        <v>17</v>
      </c>
      <c r="BW45" s="806">
        <v>59</v>
      </c>
      <c r="BX45" s="630"/>
      <c r="BY45" s="630"/>
      <c r="BZ45" s="630"/>
      <c r="CA45" s="630"/>
      <c r="CB45" s="630"/>
      <c r="CC45" s="630"/>
      <c r="CD45" s="781" t="str">
        <f t="shared" ca="1" si="15"/>
        <v>►</v>
      </c>
      <c r="CE45" s="818"/>
      <c r="CF45" s="634"/>
      <c r="CG45" s="634"/>
      <c r="CH45" s="635"/>
      <c r="CI45" s="635"/>
      <c r="CJ45" s="719"/>
      <c r="CK45" s="762"/>
      <c r="CL45" s="808"/>
      <c r="CM45" s="754"/>
      <c r="CN45" s="754"/>
      <c r="CO45" s="754"/>
      <c r="CP45" s="754"/>
      <c r="CQ45" s="755"/>
      <c r="CS45" s="762"/>
      <c r="CT45" s="808"/>
      <c r="CU45" s="754"/>
      <c r="CV45" s="754"/>
      <c r="CW45" s="754"/>
      <c r="CX45" s="754"/>
      <c r="CY45" s="755"/>
      <c r="DA45" s="762"/>
      <c r="DB45" s="808"/>
      <c r="DC45" s="754"/>
      <c r="DD45" s="754"/>
      <c r="DE45" s="754"/>
      <c r="DF45" s="754"/>
      <c r="DG45" s="755"/>
      <c r="DI45" s="3">
        <v>1</v>
      </c>
    </row>
    <row r="46" spans="1:113" s="627" customFormat="1" ht="21" customHeight="1">
      <c r="A46" s="701" t="s">
        <v>21</v>
      </c>
      <c r="B46" s="2265" t="str" cm="1">
        <f t="array" ref="B46">SUMPRODUCT(--(D46:J46&lt;&gt;""), LEN(TRIM(SUBSTITUTE(D46:J46, CHAR(160), "")))) &amp; " Car."</f>
        <v>0 Car.</v>
      </c>
      <c r="C46" s="1376" t="str">
        <f>IF(ISBLANK(D46),"",LARGE(C13:C45,1)+1)</f>
        <v/>
      </c>
      <c r="D46" s="1833"/>
      <c r="E46" s="1810"/>
      <c r="F46" s="1810"/>
      <c r="G46" s="1810"/>
      <c r="H46" s="1810"/>
      <c r="I46" s="1810"/>
      <c r="J46" s="1810"/>
      <c r="K46" s="1810"/>
      <c r="L46" s="1811"/>
      <c r="M46" s="9"/>
      <c r="N46" s="162" t="str">
        <f t="shared" si="16"/>
        <v>A</v>
      </c>
      <c r="O46" s="6845" t="s">
        <v>8260</v>
      </c>
      <c r="P46" s="9"/>
      <c r="Q46" s="162" t="s">
        <v>10</v>
      </c>
      <c r="R46" s="1370" t="str">
        <f>R20</f>
        <v>C CHIBOUST PAMPLEMOUSSE | pâtisserie--ENTREMET| Auteur &gt; recette Béghin Say de Jean-Jacques Borne MOF 1994</v>
      </c>
      <c r="S46" s="1348">
        <f>S20</f>
        <v>18</v>
      </c>
      <c r="T46" s="1349" t="str">
        <f>T20</f>
        <v>desserts</v>
      </c>
      <c r="U46" s="1350" t="str">
        <f>U20</f>
        <v>Recette mère ► MILLE-FEUILLE  aux fraises des bois</v>
      </c>
      <c r="V46" s="5997" t="str">
        <f ca="1">"largeur de "&amp;AB44&amp;" à "&amp;AJ44&amp;" = "&amp;SUM(AB45:AJ45)</f>
        <v>largeur de AB à AJ = 132</v>
      </c>
      <c r="W46" s="5998"/>
      <c r="X46" s="1986"/>
      <c r="Y46" s="1986"/>
      <c r="Z46" s="1986"/>
      <c r="AA46" s="1987" t="s">
        <v>8145</v>
      </c>
      <c r="AB46" s="1988" t="s">
        <v>821</v>
      </c>
      <c r="AC46" s="1941"/>
      <c r="AD46" s="5999" t="str">
        <f ca="1">"largeur mini  = "&amp;SUM(AB45:AG45)</f>
        <v>largeur mini  = 89</v>
      </c>
      <c r="AE46" s="6000" t="str">
        <f ca="1">"largeur maxi  = "&amp;SUM(AB45:AJ45)</f>
        <v>largeur maxi  = 132</v>
      </c>
      <c r="AF46" s="1942"/>
      <c r="AG46" s="1942"/>
      <c r="AH46" s="1989"/>
      <c r="AI46" s="1989"/>
      <c r="AJ46" s="1990" t="s">
        <v>218</v>
      </c>
      <c r="AK46" s="6120" t="str">
        <f t="shared" si="40"/>
        <v>►</v>
      </c>
      <c r="AL46" s="781" t="str">
        <f t="shared" si="20"/>
        <v>►</v>
      </c>
      <c r="AM46" s="5498" t="str">
        <f t="shared" si="21"/>
        <v/>
      </c>
      <c r="AN46" s="783" t="str">
        <f t="shared" si="22"/>
        <v/>
      </c>
      <c r="AO46" s="782" t="str">
        <f t="shared" si="23"/>
        <v/>
      </c>
      <c r="AP46" s="783" t="str">
        <f t="shared" si="24"/>
        <v/>
      </c>
      <c r="AQ46" s="2083" t="b">
        <f>AND(Q46="A",COUNTIF(BP16:BR63,TRIM(Z46))&gt;0)</f>
        <v>0</v>
      </c>
      <c r="AR46" s="797" t="str">
        <f>IF(AL46&lt;&gt;"A","",IFERROR(IFERROR(_xlfn.XLOOKUP(TRIM(SUBSTITUTE(Z46,CHAR(160)," ")),BP16:BP63,BS16:BS63),IFERROR(_xlfn.XLOOKUP(TRIM(SUBSTITUTE(Z46,CHAR(160)," ")),BQ16:BQ63,BS16:BS63),_xlfn.XLOOKUP(TRIM(SUBSTITUTE(Z46,CHAR(160)," ")),BR16:BR63,BS16:BS63)))*Y46*IF(ISBLANK(V46),1,V46),0))</f>
        <v/>
      </c>
      <c r="AS46" s="784" t="str">
        <f t="shared" si="25"/>
        <v/>
      </c>
      <c r="AT46" s="1315" t="str">
        <f t="shared" si="26"/>
        <v/>
      </c>
      <c r="AU46" s="785">
        <f t="shared" si="27"/>
        <v>0</v>
      </c>
      <c r="AV46" s="785">
        <f t="shared" si="28"/>
        <v>0</v>
      </c>
      <c r="AW46" s="798">
        <f>IF(AK46="A",AY10,0)</f>
        <v>0</v>
      </c>
      <c r="AX46" s="5496" t="str">
        <f>IF(IFERROR(SEARCH("Adresse PC",TRIM(W46)),0)&gt;0,"▼ receta siguiente",IF(AK46="A",IF(AZ10&lt;&gt;"",AZ10&amp;" - ou.or.o ❾ + or - &gt;",""),""))</f>
        <v/>
      </c>
      <c r="AY46" s="810"/>
      <c r="AZ46" s="810"/>
      <c r="BA46" s="799" t="str">
        <f t="shared" si="29"/>
        <v/>
      </c>
      <c r="BB46" s="800" t="str">
        <f>IF(AK46="A",IF(AQ46,IF(AND(AW46&lt;&gt;"",N(AW46)&gt;0),IFERROR(IFERROR(_xlfn.XLOOKUP(AP46,BP10:BP57,BT10:BT57),IFERROR(_xlfn.XLOOKUP(AP46,BQ10:BQ57,BT10:BT57),_xlfn.XLOOKUP(AP46,BR10:BR57,BT10:BT57,""))),""),""),""),"")</f>
        <v/>
      </c>
      <c r="BC46" s="813" cm="1">
        <f t="array" ref="BC46">IF(NOT(AQ46),0,IF(OR(BA46="",N(BA46)&lt;=0.000000001),"",IF(OR(AU46="",N(AU46)&lt;=0.000000001),0,IF(ISNUMBER(BA46),IFERROR(_xlfn.LET(_xlpm.ai_test,TRIM(AP46),_xlpm.r,IFERROR(_xlfn.XLOOKUP(_xlpm.ai_test,BP16:BP63,ROW(BP16:BP63),0,1),IFERROR(_xlfn.XLOOKUP(_xlpm.ai_test,BQ16:BQ63,ROW(BQ16:BQ63),0,1),_xlfn.XLOOKUP(_xlpm.ai_test,BR16:BR63,ROW(BR16:BR63),0,1))),_xlpm.p,_xlpm.r-MIN(ROW(BP16:BP63))+1,_xlpm.f,INDEX(BS16:BS63,_xlpm.p),_xlpm.u,INDEX(BT16:BT63,_xlpm.p),_xlpm.s,INDEX(BV16:BV63,_xlpm.p),_xlpm.q,N(BA46)/_xlpm.f,IF(_xlpm.q&gt;=_xlpm.s,ROUND(_xlpm.q,1)&amp;" "&amp;_xlpm.ai_test&amp;" = "&amp;ROUND(_xlpm.q*_xlpm.f,1)&amp;" "&amp;_xlpm.u,ROUND(_xlpm.q,1)&amp;" "&amp;_xlpm.ai_test)),""),""))))</f>
        <v>0</v>
      </c>
      <c r="BD46" s="801"/>
      <c r="BE46" s="799" t="str">
        <f t="shared" si="30"/>
        <v/>
      </c>
      <c r="BF46" s="800" t="str">
        <f t="shared" si="44"/>
        <v/>
      </c>
      <c r="BG46" s="802">
        <f t="shared" ca="1" si="45"/>
        <v>0</v>
      </c>
      <c r="BH46" s="803" t="str">
        <f t="shared" ca="1" si="46"/>
        <v/>
      </c>
      <c r="BI46" s="792"/>
      <c r="BJ46" s="804">
        <f t="shared" ca="1" si="47"/>
        <v>0</v>
      </c>
      <c r="BK46" s="794" t="str">
        <f t="shared" si="38"/>
        <v/>
      </c>
      <c r="BL46" s="227" t="s">
        <v>21</v>
      </c>
      <c r="BM46" s="773">
        <f t="shared" ca="1" si="35"/>
        <v>0</v>
      </c>
      <c r="BN46" s="774">
        <f t="shared" si="36"/>
        <v>0</v>
      </c>
      <c r="BO46" s="630"/>
      <c r="BP46" s="121" t="s">
        <v>157</v>
      </c>
      <c r="BQ46" s="121" t="s">
        <v>1329</v>
      </c>
      <c r="BR46" s="121" t="s">
        <v>1311</v>
      </c>
      <c r="BS46" s="767">
        <f t="shared" si="43"/>
        <v>0.23</v>
      </c>
      <c r="BT46" s="642" t="s">
        <v>837</v>
      </c>
      <c r="BU46" s="642" t="s">
        <v>1584</v>
      </c>
      <c r="BV46" s="757">
        <f t="shared" si="42"/>
        <v>4</v>
      </c>
      <c r="BW46" s="776">
        <v>230</v>
      </c>
      <c r="BX46" s="630"/>
      <c r="BY46" s="630"/>
      <c r="BZ46" s="630"/>
      <c r="CA46" s="630"/>
      <c r="CB46" s="630"/>
      <c r="CC46" s="630"/>
      <c r="CD46" s="781" t="str">
        <f t="shared" si="15"/>
        <v>►</v>
      </c>
      <c r="CE46" s="6858" t="s">
        <v>1668</v>
      </c>
      <c r="CF46" s="6858"/>
      <c r="CG46" s="6858"/>
      <c r="CH46" s="6858"/>
      <c r="CI46" s="6858"/>
      <c r="CJ46" s="719"/>
      <c r="CK46" s="777" t="s">
        <v>1613</v>
      </c>
      <c r="CL46" s="808" t="s">
        <v>1641</v>
      </c>
      <c r="CM46" s="754"/>
      <c r="CN46" s="754"/>
      <c r="CO46" s="754"/>
      <c r="CP46" s="754"/>
      <c r="CQ46" s="755"/>
      <c r="CS46" s="777" t="s">
        <v>1556</v>
      </c>
      <c r="CT46" s="808" t="s">
        <v>1642</v>
      </c>
      <c r="CU46" s="754"/>
      <c r="CV46" s="754"/>
      <c r="CW46" s="754"/>
      <c r="CX46" s="754"/>
      <c r="CY46" s="755"/>
      <c r="DA46" s="777" t="s">
        <v>1574</v>
      </c>
      <c r="DB46" s="808" t="s">
        <v>1643</v>
      </c>
      <c r="DC46" s="754"/>
      <c r="DD46" s="754"/>
      <c r="DE46" s="754"/>
      <c r="DF46" s="754"/>
      <c r="DG46" s="755"/>
      <c r="DI46" s="3">
        <v>1</v>
      </c>
    </row>
    <row r="47" spans="1:113" s="627" customFormat="1" ht="21" customHeight="1">
      <c r="A47" s="701" t="s">
        <v>21</v>
      </c>
      <c r="B47" s="2265" t="str" cm="1">
        <f t="array" ref="B47">SUMPRODUCT(--(D47:J47&lt;&gt;""), LEN(TRIM(SUBSTITUTE(D47:J47, CHAR(160), "")))) &amp; " Car."</f>
        <v>0 Car.</v>
      </c>
      <c r="C47" s="1376" t="str">
        <f>IF(ISBLANK(D47),"",LARGE(C13:C46,1)+1)</f>
        <v/>
      </c>
      <c r="D47" s="1833"/>
      <c r="E47" s="1810"/>
      <c r="F47" s="1810"/>
      <c r="G47" s="1810"/>
      <c r="H47" s="1810"/>
      <c r="I47" s="1810"/>
      <c r="J47" s="1810"/>
      <c r="K47" s="1810"/>
      <c r="L47" s="1811"/>
      <c r="M47" s="9"/>
      <c r="N47" s="162" t="str">
        <f t="shared" si="16"/>
        <v>A</v>
      </c>
      <c r="O47" s="6845"/>
      <c r="P47" s="9"/>
      <c r="Q47" s="162" t="s">
        <v>10</v>
      </c>
      <c r="R47" s="163" t="str">
        <f>R20</f>
        <v>C CHIBOUST PAMPLEMOUSSE | pâtisserie--ENTREMET| Auteur &gt; recette Béghin Say de Jean-Jacques Borne MOF 1994</v>
      </c>
      <c r="S47" s="163">
        <f>S20</f>
        <v>18</v>
      </c>
      <c r="T47" s="164" t="str">
        <f>T20</f>
        <v>desserts</v>
      </c>
      <c r="U47" s="165" t="str">
        <f>U20</f>
        <v>Recette mère ► MILLE-FEUILLE  aux fraises des bois</v>
      </c>
      <c r="V47" s="508"/>
      <c r="W47" s="508"/>
      <c r="X47" s="2063"/>
      <c r="Y47" s="2127" t="s">
        <v>8860</v>
      </c>
      <c r="Z47" s="2065">
        <f ca="1">SUM(AB45:AJ45)</f>
        <v>132</v>
      </c>
      <c r="AA47" s="1374">
        <v>0</v>
      </c>
      <c r="AB47" s="1375" t="s">
        <v>8146</v>
      </c>
      <c r="AC47" s="1810"/>
      <c r="AD47" s="1810"/>
      <c r="AE47" s="1810"/>
      <c r="AF47" s="1810"/>
      <c r="AG47" s="1810"/>
      <c r="AH47" s="9"/>
      <c r="AI47" s="5993" t="s">
        <v>164</v>
      </c>
      <c r="AJ47" s="1330" t="s">
        <v>165</v>
      </c>
      <c r="AK47" s="6120" t="str">
        <f t="shared" si="40"/>
        <v>►</v>
      </c>
      <c r="AL47" s="781" t="str">
        <f t="shared" si="20"/>
        <v>►</v>
      </c>
      <c r="AM47" s="5499" t="str">
        <f t="shared" si="21"/>
        <v/>
      </c>
      <c r="AN47" s="783" t="str">
        <f t="shared" si="22"/>
        <v/>
      </c>
      <c r="AO47" s="782" t="str">
        <f t="shared" si="23"/>
        <v/>
      </c>
      <c r="AP47" s="783" t="str">
        <f t="shared" si="24"/>
        <v/>
      </c>
      <c r="AQ47" s="2083" t="b">
        <f ca="1">AND(Q47="A",COUNTIF(BP16:BR63,TRIM(Z47))&gt;0)</f>
        <v>0</v>
      </c>
      <c r="AR47" s="797" t="str">
        <f>IF(AL47&lt;&gt;"A","",IFERROR(IFERROR(_xlfn.XLOOKUP(TRIM(SUBSTITUTE(Z47,CHAR(160)," ")),BP16:BP63,BS16:BS63),IFERROR(_xlfn.XLOOKUP(TRIM(SUBSTITUTE(Z47,CHAR(160)," ")),BQ16:BQ63,BS16:BS63),_xlfn.XLOOKUP(TRIM(SUBSTITUTE(Z47,CHAR(160)," ")),BR16:BR63,BS16:BS63)))*Y47*IF(ISBLANK(V47),1,V47),0))</f>
        <v/>
      </c>
      <c r="AS47" s="784" t="str">
        <f t="shared" si="25"/>
        <v/>
      </c>
      <c r="AT47" s="1315" t="str">
        <f t="shared" si="26"/>
        <v/>
      </c>
      <c r="AU47" s="785">
        <f t="shared" si="27"/>
        <v>0</v>
      </c>
      <c r="AV47" s="785">
        <f t="shared" si="28"/>
        <v>0</v>
      </c>
      <c r="AW47" s="786">
        <f>IF(AK47="A",AY10,0)</f>
        <v>0</v>
      </c>
      <c r="AX47" s="5495" t="str">
        <f>IF(IFERROR(SEARCH("Adresse PC",TRIM(W47)),0)&gt;0,"▼ receta siguiente",IF(AK47="A",IF(AZ10&lt;&gt;"",AZ10&amp;" - ou.or.o ❾ + or - &gt;",""),""))</f>
        <v/>
      </c>
      <c r="AY47" s="810"/>
      <c r="AZ47" s="810"/>
      <c r="BA47" s="788" t="str">
        <f t="shared" si="29"/>
        <v/>
      </c>
      <c r="BB47" s="789" t="str">
        <f>IF(AK47="A",IF(AQ47,IF(AND(AW47&lt;&gt;"",N(AW47)&gt;0),IFERROR(IFERROR(_xlfn.XLOOKUP(AP47,BP10:BP57,BT10:BT57),IFERROR(_xlfn.XLOOKUP(AP47,BQ10:BQ57,BT10:BT57),_xlfn.XLOOKUP(AP47,BR10:BR57,BT10:BT57,""))),""),""),""),"")</f>
        <v/>
      </c>
      <c r="BC47" s="811" cm="1">
        <f t="array" aca="1" ref="BC47" ca="1">IF(NOT(AQ47),0,IF(OR(BA47="",N(BA47)&lt;=0.000000001),"",IF(OR(AU47="",N(AU47)&lt;=0.000000001),0,IF(ISNUMBER(BA47),IFERROR(_xlfn.LET(_xlpm.ai_test,TRIM(AP47),_xlpm.r,IFERROR(_xlfn.XLOOKUP(_xlpm.ai_test,BP16:BP63,ROW(BP16:BP63),0,1),IFERROR(_xlfn.XLOOKUP(_xlpm.ai_test,BQ16:BQ63,ROW(BQ16:BQ63),0,1),_xlfn.XLOOKUP(_xlpm.ai_test,BR16:BR63,ROW(BR16:BR63),0,1))),_xlpm.p,_xlpm.r-MIN(ROW(BP16:BP63))+1,_xlpm.f,INDEX(BS16:BS63,_xlpm.p),_xlpm.u,INDEX(BT16:BT63,_xlpm.p),_xlpm.s,INDEX(BV16:BV63,_xlpm.p),_xlpm.q,N(BA47)/_xlpm.f,IF(_xlpm.q&gt;=_xlpm.s,ROUND(_xlpm.q,1)&amp;" "&amp;_xlpm.ai_test&amp;" = "&amp;ROUND(_xlpm.q*_xlpm.f,1)&amp;" "&amp;_xlpm.u,ROUND(_xlpm.q,1)&amp;" "&amp;_xlpm.ai_test)),""),""))))</f>
        <v>0</v>
      </c>
      <c r="BD47" s="801"/>
      <c r="BE47" s="788" t="str">
        <f t="shared" si="30"/>
        <v/>
      </c>
      <c r="BF47" s="789" t="str">
        <f t="shared" ca="1" si="44"/>
        <v/>
      </c>
      <c r="BG47" s="790">
        <f t="shared" si="45"/>
        <v>0</v>
      </c>
      <c r="BH47" s="791" t="str">
        <f t="shared" ca="1" si="46"/>
        <v/>
      </c>
      <c r="BI47" s="792"/>
      <c r="BJ47" s="793">
        <f t="shared" si="47"/>
        <v>0</v>
      </c>
      <c r="BK47" s="794" t="str">
        <f t="shared" si="38"/>
        <v/>
      </c>
      <c r="BL47" s="227" t="s">
        <v>21</v>
      </c>
      <c r="BM47" s="773">
        <f t="shared" si="35"/>
        <v>0</v>
      </c>
      <c r="BN47" s="774">
        <f t="shared" si="36"/>
        <v>0</v>
      </c>
      <c r="BO47" s="630"/>
      <c r="BP47" s="121" t="s">
        <v>156</v>
      </c>
      <c r="BQ47" s="121" t="s">
        <v>1326</v>
      </c>
      <c r="BR47" s="121" t="s">
        <v>1308</v>
      </c>
      <c r="BS47" s="767">
        <f t="shared" si="43"/>
        <v>0.13</v>
      </c>
      <c r="BT47" s="642" t="s">
        <v>837</v>
      </c>
      <c r="BU47" s="642" t="s">
        <v>1584</v>
      </c>
      <c r="BV47" s="757">
        <f t="shared" si="42"/>
        <v>8</v>
      </c>
      <c r="BW47" s="768">
        <v>130</v>
      </c>
      <c r="BX47" s="630"/>
      <c r="BY47" s="630"/>
      <c r="BZ47" s="630"/>
      <c r="CA47" s="630"/>
      <c r="CB47" s="630"/>
      <c r="CC47" s="630"/>
      <c r="CD47" s="781" t="str">
        <f t="shared" si="15"/>
        <v>►</v>
      </c>
      <c r="CE47" s="6858"/>
      <c r="CF47" s="6858"/>
      <c r="CG47" s="6858"/>
      <c r="CH47" s="6858"/>
      <c r="CI47" s="6858"/>
      <c r="CJ47" s="719"/>
      <c r="CK47" s="762"/>
      <c r="CL47" s="808"/>
      <c r="CM47" s="754"/>
      <c r="CN47" s="754"/>
      <c r="CO47" s="754"/>
      <c r="CP47" s="754"/>
      <c r="CQ47" s="755"/>
      <c r="CS47" s="762"/>
      <c r="CT47" s="808"/>
      <c r="CU47" s="754"/>
      <c r="CV47" s="754"/>
      <c r="CW47" s="754"/>
      <c r="CX47" s="754"/>
      <c r="CY47" s="755"/>
      <c r="DA47" s="762"/>
      <c r="DB47" s="808"/>
      <c r="DC47" s="754"/>
      <c r="DD47" s="754"/>
      <c r="DE47" s="754"/>
      <c r="DF47" s="754"/>
      <c r="DG47" s="755"/>
      <c r="DI47" s="3">
        <v>1</v>
      </c>
    </row>
    <row r="48" spans="1:113" s="627" customFormat="1" ht="21" customHeight="1">
      <c r="A48" s="701" t="s">
        <v>21</v>
      </c>
      <c r="B48" s="2265" t="str" cm="1">
        <f t="array" ref="B48">SUMPRODUCT(--(D48:J48&lt;&gt;""), LEN(TRIM(SUBSTITUTE(D48:J48, CHAR(160), "")))) &amp; " Car."</f>
        <v>0 Car.</v>
      </c>
      <c r="C48" s="1376" t="str">
        <f>IF(ISBLANK(D48),"",LARGE(C13:C47,1)+1)</f>
        <v/>
      </c>
      <c r="D48" s="1833"/>
      <c r="E48" s="1810"/>
      <c r="F48" s="1810"/>
      <c r="G48" s="1810"/>
      <c r="H48" s="1810"/>
      <c r="I48" s="1810"/>
      <c r="J48" s="1810"/>
      <c r="K48" s="1810"/>
      <c r="L48" s="1811"/>
      <c r="M48" s="9"/>
      <c r="N48" s="162" t="str">
        <f t="shared" si="16"/>
        <v>A</v>
      </c>
      <c r="O48" s="6845"/>
      <c r="P48" s="9"/>
      <c r="Q48" s="162" t="s">
        <v>10</v>
      </c>
      <c r="R48" s="163" t="str">
        <f>R20</f>
        <v>C CHIBOUST PAMPLEMOUSSE | pâtisserie--ENTREMET| Auteur &gt; recette Béghin Say de Jean-Jacques Borne MOF 1994</v>
      </c>
      <c r="S48" s="163">
        <f>S20</f>
        <v>18</v>
      </c>
      <c r="T48" s="164" t="str">
        <f>T20</f>
        <v>desserts</v>
      </c>
      <c r="U48" s="165" t="str">
        <f>U20</f>
        <v>Recette mère ► MILLE-FEUILLE  aux fraises des bois</v>
      </c>
      <c r="V48" s="1548"/>
      <c r="W48" s="2189" t="s">
        <v>8771</v>
      </c>
      <c r="X48" s="2190">
        <f>ROWS(AB48:AB48)</f>
        <v>1</v>
      </c>
      <c r="Y48" s="5549" t="str" cm="1">
        <f t="array" ref="Y48">IF(SUMPRODUCT((AB48:AG48&lt;&gt;"")*1)=0,"",SUMPRODUCT((AB48:AG48&lt;&gt;"")*(LEN(TRIM(SUBSTITUTE(AB48:AG48,CHAR(160)," "))) - LEN(SUBSTITUTE(TRIM(SUBSTITUTE(AB48:AG48,CHAR(160)," "))," ","")) + 1)) &amp; " mot" &amp; IF(SUMPRODUCT((AB48:AG48&lt;&gt;"")*(LEN(TRIM(SUBSTITUTE(AB48:AG48,CHAR(160)," "))) - LEN(SUBSTITUTE(TRIM(SUBSTITUTE(AB48:AG48,CHAR(160)," "))," ","")) + 1))&gt;1,"s",""))</f>
        <v>7 mots</v>
      </c>
      <c r="Z48" s="5550" t="str" cm="1">
        <f t="array" ref="Z48">SUMPRODUCT(--(AB48:AG48&lt;&gt;""), LEN(TRIM(SUBSTITUTE(AB48:AG48, CHAR(160), "")))) &amp; " Car."</f>
        <v>39 Car.</v>
      </c>
      <c r="AA48" s="1376">
        <f>IF(ISBLANK(AB48),"",LARGE(AA47:AA47,1)+1)</f>
        <v>1</v>
      </c>
      <c r="AB48" s="1810" t="s">
        <v>172</v>
      </c>
      <c r="AC48" s="1810"/>
      <c r="AD48" s="1810"/>
      <c r="AE48" s="1810"/>
      <c r="AF48" s="1810"/>
      <c r="AG48" s="1810"/>
      <c r="AH48" s="9"/>
      <c r="AI48" s="5993" t="s">
        <v>167</v>
      </c>
      <c r="AJ48" s="1330" t="s">
        <v>165</v>
      </c>
      <c r="AK48" s="6120" t="str">
        <f t="shared" si="40"/>
        <v>►</v>
      </c>
      <c r="AL48" s="781" t="str">
        <f t="shared" si="20"/>
        <v>►</v>
      </c>
      <c r="AM48" s="5498" t="str">
        <f t="shared" si="21"/>
        <v/>
      </c>
      <c r="AN48" s="783" t="str">
        <f t="shared" si="22"/>
        <v/>
      </c>
      <c r="AO48" s="782" t="str">
        <f t="shared" si="23"/>
        <v/>
      </c>
      <c r="AP48" s="783" t="str">
        <f t="shared" si="24"/>
        <v/>
      </c>
      <c r="AQ48" s="2083" t="b">
        <f>AND(Q48="A",COUNTIF(BP16:BR63,TRIM(Z48))&gt;0)</f>
        <v>0</v>
      </c>
      <c r="AR48" s="797" t="str">
        <f>IF(AL48&lt;&gt;"A","",IFERROR(IFERROR(_xlfn.XLOOKUP(TRIM(SUBSTITUTE(Z48,CHAR(160)," ")),BP16:BP63,BS16:BS63),IFERROR(_xlfn.XLOOKUP(TRIM(SUBSTITUTE(Z48,CHAR(160)," ")),BQ16:BQ63,BS16:BS63),_xlfn.XLOOKUP(TRIM(SUBSTITUTE(Z48,CHAR(160)," ")),BR16:BR63,BS16:BS63)))*Y48*IF(ISBLANK(V48),1,V48),0))</f>
        <v/>
      </c>
      <c r="AS48" s="784" t="str">
        <f t="shared" si="25"/>
        <v/>
      </c>
      <c r="AT48" s="1315" t="str">
        <f t="shared" si="26"/>
        <v/>
      </c>
      <c r="AU48" s="785">
        <f t="shared" si="27"/>
        <v>0</v>
      </c>
      <c r="AV48" s="785">
        <f t="shared" si="28"/>
        <v>0</v>
      </c>
      <c r="AW48" s="798">
        <f>IF(AK48="A",AY10,0)</f>
        <v>0</v>
      </c>
      <c r="AX48" s="5496" t="str">
        <f>IF(IFERROR(SEARCH("Adresse PC",TRIM(W48)),0)&gt;0,"▼ receta siguiente",IF(AK48="A",IF(AZ10&lt;&gt;"",AZ10&amp;" - ou.or.o ❾ + or - &gt;",""),""))</f>
        <v/>
      </c>
      <c r="AY48" s="810"/>
      <c r="AZ48" s="810"/>
      <c r="BA48" s="799" t="str">
        <f t="shared" si="29"/>
        <v/>
      </c>
      <c r="BB48" s="800" t="str">
        <f>IF(AK48="A",IF(AQ48,IF(AND(AW48&lt;&gt;"",N(AW48)&gt;0),IFERROR(IFERROR(_xlfn.XLOOKUP(AP48,BP10:BP57,BT10:BT57),IFERROR(_xlfn.XLOOKUP(AP48,BQ10:BQ57,BT10:BT57),_xlfn.XLOOKUP(AP48,BR10:BR57,BT10:BT57,""))),""),""),""),"")</f>
        <v/>
      </c>
      <c r="BC48" s="813" cm="1">
        <f t="array" ref="BC48">IF(NOT(AQ48),0,IF(OR(BA48="",N(BA48)&lt;=0.000000001),"",IF(OR(AU48="",N(AU48)&lt;=0.000000001),0,IF(ISNUMBER(BA48),IFERROR(_xlfn.LET(_xlpm.ai_test,TRIM(AP48),_xlpm.r,IFERROR(_xlfn.XLOOKUP(_xlpm.ai_test,BP16:BP63,ROW(BP16:BP63),0,1),IFERROR(_xlfn.XLOOKUP(_xlpm.ai_test,BQ16:BQ63,ROW(BQ16:BQ63),0,1),_xlfn.XLOOKUP(_xlpm.ai_test,BR16:BR63,ROW(BR16:BR63),0,1))),_xlpm.p,_xlpm.r-MIN(ROW(BP16:BP63))+1,_xlpm.f,INDEX(BS16:BS63,_xlpm.p),_xlpm.u,INDEX(BT16:BT63,_xlpm.p),_xlpm.s,INDEX(BV16:BV63,_xlpm.p),_xlpm.q,N(BA48)/_xlpm.f,IF(_xlpm.q&gt;=_xlpm.s,ROUND(_xlpm.q,1)&amp;" "&amp;_xlpm.ai_test&amp;" = "&amp;ROUND(_xlpm.q*_xlpm.f,1)&amp;" "&amp;_xlpm.u,ROUND(_xlpm.q,1)&amp;" "&amp;_xlpm.ai_test)),""),""))))</f>
        <v>0</v>
      </c>
      <c r="BD48" s="801"/>
      <c r="BE48" s="799" t="str">
        <f t="shared" si="30"/>
        <v/>
      </c>
      <c r="BF48" s="800" t="str">
        <f t="shared" si="44"/>
        <v/>
      </c>
      <c r="BG48" s="802">
        <f t="shared" si="45"/>
        <v>0</v>
      </c>
      <c r="BH48" s="803" t="str">
        <f t="shared" si="46"/>
        <v/>
      </c>
      <c r="BI48" s="792"/>
      <c r="BJ48" s="804">
        <f t="shared" si="47"/>
        <v>0</v>
      </c>
      <c r="BK48" s="794" t="str">
        <f t="shared" si="38"/>
        <v/>
      </c>
      <c r="BL48" s="227" t="s">
        <v>21</v>
      </c>
      <c r="BM48" s="773">
        <f t="shared" si="35"/>
        <v>0</v>
      </c>
      <c r="BN48" s="774">
        <f t="shared" si="36"/>
        <v>0</v>
      </c>
      <c r="BO48" s="630"/>
      <c r="BP48" s="121" t="s">
        <v>110</v>
      </c>
      <c r="BQ48" s="121" t="s">
        <v>1328</v>
      </c>
      <c r="BR48" s="121" t="s">
        <v>1310</v>
      </c>
      <c r="BS48" s="767">
        <f t="shared" si="43"/>
        <v>0.2</v>
      </c>
      <c r="BT48" s="642" t="s">
        <v>837</v>
      </c>
      <c r="BU48" s="642" t="s">
        <v>1584</v>
      </c>
      <c r="BV48" s="757">
        <f t="shared" si="42"/>
        <v>5</v>
      </c>
      <c r="BW48" s="768">
        <v>200</v>
      </c>
      <c r="BX48" s="630"/>
      <c r="BY48" s="630"/>
      <c r="BZ48" s="630"/>
      <c r="CA48" s="630"/>
      <c r="CB48" s="630"/>
      <c r="CC48" s="630"/>
      <c r="CD48" s="781" t="str">
        <f t="shared" si="15"/>
        <v>►</v>
      </c>
      <c r="CE48" s="818"/>
      <c r="CF48" s="634"/>
      <c r="CG48" s="634"/>
      <c r="CH48" s="635"/>
      <c r="CI48" s="635"/>
      <c r="CJ48" s="719"/>
      <c r="CK48" s="816" t="s">
        <v>1648</v>
      </c>
      <c r="CL48" s="817"/>
      <c r="CM48" s="817"/>
      <c r="CN48" s="117"/>
      <c r="CO48" s="117"/>
      <c r="CP48" s="117"/>
      <c r="CQ48" s="644"/>
      <c r="CS48" s="816" t="s">
        <v>1649</v>
      </c>
      <c r="CT48" s="817"/>
      <c r="CU48" s="817"/>
      <c r="CV48" s="117"/>
      <c r="CW48" s="117"/>
      <c r="CX48" s="117"/>
      <c r="CY48" s="644"/>
      <c r="DA48" s="816" t="s">
        <v>1650</v>
      </c>
      <c r="DB48" s="817"/>
      <c r="DC48" s="817"/>
      <c r="DD48" s="117"/>
      <c r="DE48" s="117"/>
      <c r="DF48" s="117"/>
      <c r="DG48" s="644"/>
      <c r="DI48" s="3">
        <v>1</v>
      </c>
    </row>
    <row r="49" spans="1:113" s="627" customFormat="1" ht="21" customHeight="1">
      <c r="A49" s="701" t="s">
        <v>21</v>
      </c>
      <c r="B49" s="2265" t="str" cm="1">
        <f t="array" ref="B49">SUMPRODUCT(--(D49:J49&lt;&gt;""), LEN(TRIM(SUBSTITUTE(D49:J49, CHAR(160), "")))) &amp; " Car."</f>
        <v>0 Car.</v>
      </c>
      <c r="C49" s="1376" t="str">
        <f>IF(ISBLANK(D49),"",LARGE(C13:C48,1)+1)</f>
        <v/>
      </c>
      <c r="D49" s="1833"/>
      <c r="E49" s="1810"/>
      <c r="F49" s="1810"/>
      <c r="G49" s="1810"/>
      <c r="H49" s="1810"/>
      <c r="I49" s="1810"/>
      <c r="J49" s="1810"/>
      <c r="K49" s="1810"/>
      <c r="L49" s="1811"/>
      <c r="M49" s="9"/>
      <c r="N49" s="162" t="str">
        <f t="shared" si="16"/>
        <v>A</v>
      </c>
      <c r="O49" s="6845"/>
      <c r="P49" s="9"/>
      <c r="Q49" s="162" t="s">
        <v>10</v>
      </c>
      <c r="R49" s="163" t="str">
        <f>R20</f>
        <v>C CHIBOUST PAMPLEMOUSSE | pâtisserie--ENTREMET| Auteur &gt; recette Béghin Say de Jean-Jacques Borne MOF 1994</v>
      </c>
      <c r="S49" s="163">
        <f>S20</f>
        <v>18</v>
      </c>
      <c r="T49" s="164" t="str">
        <f>T20</f>
        <v>desserts</v>
      </c>
      <c r="U49" s="165" t="str">
        <f>U20</f>
        <v>Recette mère ► MILLE-FEUILLE  aux fraises des bois</v>
      </c>
      <c r="V49" s="1548"/>
      <c r="W49" s="1548"/>
      <c r="X49" s="2190">
        <f>ROWS(AB48:AB49)</f>
        <v>2</v>
      </c>
      <c r="Y49" s="5549" t="str" cm="1">
        <f t="array" ref="Y49">IF(SUMPRODUCT((AB49:AG49&lt;&gt;"")*1)=0,"",SUMPRODUCT((AB49:AG49&lt;&gt;"")*(LEN(TRIM(SUBSTITUTE(AB49:AG49,CHAR(160)," "))) - LEN(SUBSTITUTE(TRIM(SUBSTITUTE(AB49:AG49,CHAR(160)," "))," ","")) + 1)) &amp; " mot" &amp; IF(SUMPRODUCT((AB49:AG49&lt;&gt;"")*(LEN(TRIM(SUBSTITUTE(AB49:AG49,CHAR(160)," "))) - LEN(SUBSTITUTE(TRIM(SUBSTITUTE(AB49:AG49,CHAR(160)," "))," ","")) + 1))&gt;1,"s",""))</f>
        <v>13 mots</v>
      </c>
      <c r="Z49" s="5550" t="str" cm="1">
        <f t="array" ref="Z49">SUMPRODUCT(--(AB49:AG49&lt;&gt;""), LEN(TRIM(SUBSTITUTE(AB49:AG49, CHAR(160), "")))) &amp; " Car."</f>
        <v>73 Car.</v>
      </c>
      <c r="AA49" s="1376">
        <f>IF(ISBLANK(AB49),"",LARGE(AA47:AA48,1)+1)</f>
        <v>2</v>
      </c>
      <c r="AB49" s="1810" t="s">
        <v>180</v>
      </c>
      <c r="AC49" s="1810"/>
      <c r="AD49" s="1810"/>
      <c r="AE49" s="1810"/>
      <c r="AF49" s="1810"/>
      <c r="AG49" s="1810"/>
      <c r="AH49" s="1810"/>
      <c r="AI49" s="5994" t="s">
        <v>171</v>
      </c>
      <c r="AJ49" s="5564">
        <v>3.472222222222222E-3</v>
      </c>
      <c r="AK49" s="6120" t="str">
        <f t="shared" si="40"/>
        <v>►</v>
      </c>
      <c r="AL49" s="781" t="str">
        <f t="shared" si="20"/>
        <v>►</v>
      </c>
      <c r="AM49" s="5499" t="str">
        <f t="shared" si="21"/>
        <v/>
      </c>
      <c r="AN49" s="783" t="str">
        <f t="shared" si="22"/>
        <v/>
      </c>
      <c r="AO49" s="782" t="str">
        <f t="shared" si="23"/>
        <v/>
      </c>
      <c r="AP49" s="783" t="str">
        <f t="shared" si="24"/>
        <v/>
      </c>
      <c r="AQ49" s="2083" t="b">
        <f>AND(Q49="A",COUNTIF(BP16:BR63,TRIM(Z49))&gt;0)</f>
        <v>0</v>
      </c>
      <c r="AR49" s="797" t="str">
        <f>IF(AL49&lt;&gt;"A","",IFERROR(IFERROR(_xlfn.XLOOKUP(TRIM(SUBSTITUTE(Z49,CHAR(160)," ")),BP16:BP63,BS16:BS63),IFERROR(_xlfn.XLOOKUP(TRIM(SUBSTITUTE(Z49,CHAR(160)," ")),BQ16:BQ63,BS16:BS63),_xlfn.XLOOKUP(TRIM(SUBSTITUTE(Z49,CHAR(160)," ")),BR16:BR63,BS16:BS63)))*Y49*IF(ISBLANK(V49),1,V49),0))</f>
        <v/>
      </c>
      <c r="AS49" s="784" t="str">
        <f t="shared" si="25"/>
        <v/>
      </c>
      <c r="AT49" s="1315" t="str">
        <f t="shared" si="26"/>
        <v/>
      </c>
      <c r="AU49" s="785">
        <f t="shared" si="27"/>
        <v>0</v>
      </c>
      <c r="AV49" s="785">
        <f t="shared" si="28"/>
        <v>0</v>
      </c>
      <c r="AW49" s="786">
        <f>IF(AK49="A",AY10,0)</f>
        <v>0</v>
      </c>
      <c r="AX49" s="5495" t="str">
        <f>IF(IFERROR(SEARCH("Adresse PC",TRIM(W49)),0)&gt;0,"▼ receta siguiente",IF(AK49="A",IF(AZ10&lt;&gt;"",AZ10&amp;" - ou.or.o ❾ + or - &gt;",""),""))</f>
        <v/>
      </c>
      <c r="AY49" s="810"/>
      <c r="AZ49" s="810"/>
      <c r="BA49" s="788" t="str">
        <f t="shared" si="29"/>
        <v/>
      </c>
      <c r="BB49" s="789" t="str">
        <f>IF(AK49="A",IF(AQ49,IF(AND(AW49&lt;&gt;"",N(AW49)&gt;0),IFERROR(IFERROR(_xlfn.XLOOKUP(AP49,BP10:BP57,BT10:BT57),IFERROR(_xlfn.XLOOKUP(AP49,BQ10:BQ57,BT10:BT57),_xlfn.XLOOKUP(AP49,BR10:BR57,BT10:BT57,""))),""),""),""),"")</f>
        <v/>
      </c>
      <c r="BC49" s="811" cm="1">
        <f t="array" ref="BC49">IF(NOT(AQ49),0,IF(OR(BA49="",N(BA49)&lt;=0.000000001),"",IF(OR(AU49="",N(AU49)&lt;=0.000000001),0,IF(ISNUMBER(BA49),IFERROR(_xlfn.LET(_xlpm.ai_test,TRIM(AP49),_xlpm.r,IFERROR(_xlfn.XLOOKUP(_xlpm.ai_test,BP16:BP63,ROW(BP16:BP63),0,1),IFERROR(_xlfn.XLOOKUP(_xlpm.ai_test,BQ16:BQ63,ROW(BQ16:BQ63),0,1),_xlfn.XLOOKUP(_xlpm.ai_test,BR16:BR63,ROW(BR16:BR63),0,1))),_xlpm.p,_xlpm.r-MIN(ROW(BP16:BP63))+1,_xlpm.f,INDEX(BS16:BS63,_xlpm.p),_xlpm.u,INDEX(BT16:BT63,_xlpm.p),_xlpm.s,INDEX(BV16:BV63,_xlpm.p),_xlpm.q,N(BA49)/_xlpm.f,IF(_xlpm.q&gt;=_xlpm.s,ROUND(_xlpm.q,1)&amp;" "&amp;_xlpm.ai_test&amp;" = "&amp;ROUND(_xlpm.q*_xlpm.f,1)&amp;" "&amp;_xlpm.u,ROUND(_xlpm.q,1)&amp;" "&amp;_xlpm.ai_test)),""),""))))</f>
        <v>0</v>
      </c>
      <c r="BD49" s="801"/>
      <c r="BE49" s="788" t="str">
        <f t="shared" si="30"/>
        <v/>
      </c>
      <c r="BF49" s="789" t="str">
        <f t="shared" si="44"/>
        <v/>
      </c>
      <c r="BG49" s="790">
        <f t="shared" si="45"/>
        <v>0</v>
      </c>
      <c r="BH49" s="791" t="str">
        <f t="shared" si="46"/>
        <v/>
      </c>
      <c r="BI49" s="792"/>
      <c r="BJ49" s="793">
        <f t="shared" si="47"/>
        <v>0</v>
      </c>
      <c r="BK49" s="794" t="str">
        <f t="shared" si="38"/>
        <v/>
      </c>
      <c r="BL49" s="227" t="s">
        <v>21</v>
      </c>
      <c r="BM49" s="773">
        <f t="shared" si="35"/>
        <v>0</v>
      </c>
      <c r="BN49" s="774">
        <f t="shared" si="36"/>
        <v>0</v>
      </c>
      <c r="BO49" s="630"/>
      <c r="BP49" s="829" t="s">
        <v>163</v>
      </c>
      <c r="BQ49" s="697" t="s">
        <v>1336</v>
      </c>
      <c r="BR49" s="697" t="s">
        <v>1319</v>
      </c>
      <c r="BS49" s="767">
        <f t="shared" si="43"/>
        <v>1E-3</v>
      </c>
      <c r="BT49" s="805" t="s">
        <v>1621</v>
      </c>
      <c r="BU49" s="805" t="s">
        <v>1622</v>
      </c>
      <c r="BV49" s="757">
        <f t="shared" si="42"/>
        <v>1000</v>
      </c>
      <c r="BW49" s="806">
        <v>1</v>
      </c>
      <c r="BX49" s="630"/>
      <c r="BY49" s="630"/>
      <c r="BZ49" s="630"/>
      <c r="CA49" s="630"/>
      <c r="CB49" s="630"/>
      <c r="CC49" s="630"/>
      <c r="CD49" s="781" t="str">
        <f t="shared" si="15"/>
        <v>►</v>
      </c>
      <c r="CE49" s="6858" t="s">
        <v>1678</v>
      </c>
      <c r="CF49" s="6858"/>
      <c r="CG49" s="6858"/>
      <c r="CH49" s="6858"/>
      <c r="CI49" s="6858"/>
      <c r="CJ49" s="719"/>
      <c r="CK49" s="6465" t="s">
        <v>13815</v>
      </c>
      <c r="CL49" s="6466"/>
      <c r="CM49" s="6466"/>
      <c r="CN49" s="6466"/>
      <c r="CO49" s="6466"/>
      <c r="CP49" s="6466"/>
      <c r="CQ49" s="6467"/>
      <c r="CS49" s="6465" t="s">
        <v>13816</v>
      </c>
      <c r="CT49" s="6466"/>
      <c r="CU49" s="6466"/>
      <c r="CV49" s="6466"/>
      <c r="CW49" s="6466"/>
      <c r="CX49" s="6466"/>
      <c r="CY49" s="6467"/>
      <c r="DA49" s="6465" t="s">
        <v>13817</v>
      </c>
      <c r="DB49" s="6466"/>
      <c r="DC49" s="6466"/>
      <c r="DD49" s="6466"/>
      <c r="DE49" s="6466"/>
      <c r="DF49" s="6466"/>
      <c r="DG49" s="6467"/>
      <c r="DI49" s="3">
        <v>1</v>
      </c>
    </row>
    <row r="50" spans="1:113" s="627" customFormat="1" ht="21" customHeight="1">
      <c r="A50" s="701" t="s">
        <v>21</v>
      </c>
      <c r="B50" s="2265" t="str" cm="1">
        <f t="array" ref="B50">SUMPRODUCT(--(D50:J50&lt;&gt;""), LEN(TRIM(SUBSTITUTE(D50:J50, CHAR(160), "")))) &amp; " Car."</f>
        <v>0 Car.</v>
      </c>
      <c r="C50" s="1376" t="str">
        <f>IF(ISBLANK(D50),"",LARGE(C13:C49,1)+1)</f>
        <v/>
      </c>
      <c r="D50" s="1833"/>
      <c r="E50" s="1810"/>
      <c r="F50" s="1810"/>
      <c r="G50" s="1810"/>
      <c r="H50" s="1810"/>
      <c r="I50" s="1810"/>
      <c r="J50" s="1810"/>
      <c r="K50" s="1810"/>
      <c r="L50" s="1811"/>
      <c r="M50" s="9"/>
      <c r="N50" s="162" t="str">
        <f t="shared" si="16"/>
        <v>A</v>
      </c>
      <c r="O50" s="1616">
        <v>1</v>
      </c>
      <c r="P50" s="9"/>
      <c r="Q50" s="162" t="s">
        <v>10</v>
      </c>
      <c r="R50" s="163" t="str">
        <f>R20</f>
        <v>C CHIBOUST PAMPLEMOUSSE | pâtisserie--ENTREMET| Auteur &gt; recette Béghin Say de Jean-Jacques Borne MOF 1994</v>
      </c>
      <c r="S50" s="163">
        <f>S20</f>
        <v>18</v>
      </c>
      <c r="T50" s="164" t="str">
        <f>T20</f>
        <v>desserts</v>
      </c>
      <c r="U50" s="165" t="str">
        <f>U20</f>
        <v>Recette mère ► MILLE-FEUILLE  aux fraises des bois</v>
      </c>
      <c r="V50" s="1548"/>
      <c r="W50" s="1548"/>
      <c r="X50" s="2190">
        <f>ROWS(AB48:AB50)</f>
        <v>3</v>
      </c>
      <c r="Y50" s="5549" t="str" cm="1">
        <f t="array" ref="Y50">IF(SUMPRODUCT((AB50:AG50&lt;&gt;"")*1)=0,"",SUMPRODUCT((AB50:AG50&lt;&gt;"")*(LEN(TRIM(SUBSTITUTE(AB50:AG50,CHAR(160)," "))) - LEN(SUBSTITUTE(TRIM(SUBSTITUTE(AB50:AG50,CHAR(160)," "))," ","")) + 1)) &amp; " mot" &amp; IF(SUMPRODUCT((AB50:AG50&lt;&gt;"")*(LEN(TRIM(SUBSTITUTE(AB50:AG50,CHAR(160)," "))) - LEN(SUBSTITUTE(TRIM(SUBSTITUTE(AB50:AG50,CHAR(160)," "))," ","")) + 1))&gt;1,"s",""))</f>
        <v>9 mots</v>
      </c>
      <c r="Z50" s="5550" t="str" cm="1">
        <f t="array" ref="Z50">SUMPRODUCT(--(AB50:AG50&lt;&gt;""), LEN(TRIM(SUBSTITUTE(AB50:AG50, CHAR(160), "")))) &amp; " Car."</f>
        <v>56 Car.</v>
      </c>
      <c r="AA50" s="1376">
        <f>IF(ISBLANK(AB50),"",LARGE(AA47:AA49,1)+1)</f>
        <v>3</v>
      </c>
      <c r="AB50" s="1810" t="s">
        <v>3057</v>
      </c>
      <c r="AC50" s="1810"/>
      <c r="AD50" s="1810"/>
      <c r="AE50" s="1810"/>
      <c r="AF50" s="1810"/>
      <c r="AG50" s="1810"/>
      <c r="AH50" s="1810"/>
      <c r="AI50" s="5994" t="s">
        <v>173</v>
      </c>
      <c r="AJ50" s="5565">
        <v>1.0416666666666666E-2</v>
      </c>
      <c r="AK50" s="6120" t="str">
        <f t="shared" si="40"/>
        <v>►</v>
      </c>
      <c r="AL50" s="781" t="str">
        <f t="shared" si="20"/>
        <v>►</v>
      </c>
      <c r="AM50" s="5498" t="str">
        <f t="shared" si="21"/>
        <v/>
      </c>
      <c r="AN50" s="783" t="str">
        <f t="shared" si="22"/>
        <v/>
      </c>
      <c r="AO50" s="782" t="str">
        <f t="shared" si="23"/>
        <v/>
      </c>
      <c r="AP50" s="783" t="str">
        <f t="shared" si="24"/>
        <v/>
      </c>
      <c r="AQ50" s="2083" t="b">
        <f>AND(Q50="A",COUNTIF(BP16:BR63,TRIM(Z50))&gt;0)</f>
        <v>0</v>
      </c>
      <c r="AR50" s="797" t="str">
        <f>IF(AL50&lt;&gt;"A","",IFERROR(IFERROR(_xlfn.XLOOKUP(TRIM(SUBSTITUTE(Z50,CHAR(160)," ")),BP16:BP63,BS16:BS63),IFERROR(_xlfn.XLOOKUP(TRIM(SUBSTITUTE(Z50,CHAR(160)," ")),BQ16:BQ63,BS16:BS63),_xlfn.XLOOKUP(TRIM(SUBSTITUTE(Z50,CHAR(160)," ")),BR16:BR63,BS16:BS63)))*Y50*IF(ISBLANK(V50),1,V50),0))</f>
        <v/>
      </c>
      <c r="AS50" s="784" t="str">
        <f t="shared" si="25"/>
        <v/>
      </c>
      <c r="AT50" s="1315" t="str">
        <f t="shared" si="26"/>
        <v/>
      </c>
      <c r="AU50" s="785">
        <f t="shared" si="27"/>
        <v>0</v>
      </c>
      <c r="AV50" s="785">
        <f t="shared" si="28"/>
        <v>0</v>
      </c>
      <c r="AW50" s="798">
        <f>IF(AK50="A",AY10,0)</f>
        <v>0</v>
      </c>
      <c r="AX50" s="5496" t="str">
        <f>IF(IFERROR(SEARCH("Adresse PC",TRIM(W50)),0)&gt;0,"▼ receta siguiente",IF(AK50="A",IF(AZ10&lt;&gt;"",AZ10&amp;" - ou.or.o ❾ + or - &gt;",""),""))</f>
        <v/>
      </c>
      <c r="AY50" s="810"/>
      <c r="AZ50" s="810"/>
      <c r="BA50" s="799" t="str">
        <f t="shared" si="29"/>
        <v/>
      </c>
      <c r="BB50" s="800" t="str">
        <f>IF(AK50="A",IF(AQ50,IF(AND(AW50&lt;&gt;"",N(AW50)&gt;0),IFERROR(IFERROR(_xlfn.XLOOKUP(AP50,BP10:BP57,BT10:BT57),IFERROR(_xlfn.XLOOKUP(AP50,BQ10:BQ57,BT10:BT57),_xlfn.XLOOKUP(AP50,BR10:BR57,BT10:BT57,""))),""),""),""),"")</f>
        <v/>
      </c>
      <c r="BC50" s="813" cm="1">
        <f t="array" ref="BC50">IF(NOT(AQ50),0,IF(OR(BA50="",N(BA50)&lt;=0.000000001),"",IF(OR(AU50="",N(AU50)&lt;=0.000000001),0,IF(ISNUMBER(BA50),IFERROR(_xlfn.LET(_xlpm.ai_test,TRIM(AP50),_xlpm.r,IFERROR(_xlfn.XLOOKUP(_xlpm.ai_test,BP16:BP63,ROW(BP16:BP63),0,1),IFERROR(_xlfn.XLOOKUP(_xlpm.ai_test,BQ16:BQ63,ROW(BQ16:BQ63),0,1),_xlfn.XLOOKUP(_xlpm.ai_test,BR16:BR63,ROW(BR16:BR63),0,1))),_xlpm.p,_xlpm.r-MIN(ROW(BP16:BP63))+1,_xlpm.f,INDEX(BS16:BS63,_xlpm.p),_xlpm.u,INDEX(BT16:BT63,_xlpm.p),_xlpm.s,INDEX(BV16:BV63,_xlpm.p),_xlpm.q,N(BA50)/_xlpm.f,IF(_xlpm.q&gt;=_xlpm.s,ROUND(_xlpm.q,1)&amp;" "&amp;_xlpm.ai_test&amp;" = "&amp;ROUND(_xlpm.q*_xlpm.f,1)&amp;" "&amp;_xlpm.u,ROUND(_xlpm.q,1)&amp;" "&amp;_xlpm.ai_test)),""),""))))</f>
        <v>0</v>
      </c>
      <c r="BD50" s="801"/>
      <c r="BE50" s="799" t="str">
        <f t="shared" si="30"/>
        <v/>
      </c>
      <c r="BF50" s="800" t="str">
        <f t="shared" si="44"/>
        <v/>
      </c>
      <c r="BG50" s="802">
        <f t="shared" si="45"/>
        <v>0</v>
      </c>
      <c r="BH50" s="803" t="str">
        <f t="shared" si="46"/>
        <v/>
      </c>
      <c r="BI50" s="792"/>
      <c r="BJ50" s="804">
        <f t="shared" si="47"/>
        <v>0</v>
      </c>
      <c r="BK50" s="794" t="str">
        <f t="shared" si="38"/>
        <v/>
      </c>
      <c r="BL50" s="227" t="s">
        <v>21</v>
      </c>
      <c r="BM50" s="773">
        <f t="shared" si="35"/>
        <v>0</v>
      </c>
      <c r="BN50" s="774">
        <f t="shared" si="36"/>
        <v>0</v>
      </c>
      <c r="BO50" s="630"/>
      <c r="BP50" s="829" t="s">
        <v>1682</v>
      </c>
      <c r="BQ50" s="697" t="s">
        <v>1336</v>
      </c>
      <c r="BR50" s="697" t="s">
        <v>1319</v>
      </c>
      <c r="BS50" s="767">
        <f t="shared" si="43"/>
        <v>2.5000000000000001E-3</v>
      </c>
      <c r="BT50" s="805" t="s">
        <v>1621</v>
      </c>
      <c r="BU50" s="805" t="s">
        <v>1622</v>
      </c>
      <c r="BV50" s="757">
        <f t="shared" si="42"/>
        <v>400</v>
      </c>
      <c r="BW50" s="812">
        <v>2.5</v>
      </c>
      <c r="BX50" s="630"/>
      <c r="BY50" s="630"/>
      <c r="BZ50" s="630"/>
      <c r="CA50" s="630"/>
      <c r="CB50" s="630"/>
      <c r="CC50" s="630"/>
      <c r="CD50" s="781" t="str">
        <f t="shared" si="15"/>
        <v>►</v>
      </c>
      <c r="CE50" s="6858"/>
      <c r="CF50" s="6858"/>
      <c r="CG50" s="6858"/>
      <c r="CH50" s="6858"/>
      <c r="CI50" s="6858"/>
      <c r="CJ50" s="719"/>
      <c r="CK50" s="6465"/>
      <c r="CL50" s="6466"/>
      <c r="CM50" s="6466"/>
      <c r="CN50" s="6466"/>
      <c r="CO50" s="6466"/>
      <c r="CP50" s="6466"/>
      <c r="CQ50" s="6467"/>
      <c r="CS50" s="6465"/>
      <c r="CT50" s="6466"/>
      <c r="CU50" s="6466"/>
      <c r="CV50" s="6466"/>
      <c r="CW50" s="6466"/>
      <c r="CX50" s="6466"/>
      <c r="CY50" s="6467"/>
      <c r="DA50" s="6465"/>
      <c r="DB50" s="6466"/>
      <c r="DC50" s="6466"/>
      <c r="DD50" s="6466"/>
      <c r="DE50" s="6466"/>
      <c r="DF50" s="6466"/>
      <c r="DG50" s="6467"/>
      <c r="DI50" s="3">
        <v>1</v>
      </c>
    </row>
    <row r="51" spans="1:113" s="627" customFormat="1" ht="21" customHeight="1">
      <c r="A51" s="701" t="s">
        <v>21</v>
      </c>
      <c r="B51" s="2265" t="str" cm="1">
        <f t="array" ref="B51">SUMPRODUCT(--(D51:J51&lt;&gt;""), LEN(TRIM(SUBSTITUTE(D51:J51, CHAR(160), "")))) &amp; " Car."</f>
        <v>0 Car.</v>
      </c>
      <c r="C51" s="1376" t="str">
        <f>IF(ISBLANK(D51),"",LARGE(C13:C50,1)+1)</f>
        <v/>
      </c>
      <c r="D51" s="1833"/>
      <c r="E51" s="1810"/>
      <c r="F51" s="1810"/>
      <c r="G51" s="1810"/>
      <c r="H51" s="1810"/>
      <c r="I51" s="1810"/>
      <c r="J51" s="1810"/>
      <c r="K51" s="1810"/>
      <c r="L51" s="1811"/>
      <c r="M51" s="9"/>
      <c r="N51" s="162" t="str">
        <f t="shared" si="16"/>
        <v>A</v>
      </c>
      <c r="O51" s="1616">
        <v>1</v>
      </c>
      <c r="P51" s="9"/>
      <c r="Q51" s="162" t="s">
        <v>10</v>
      </c>
      <c r="R51" s="163" t="str">
        <f>R20</f>
        <v>C CHIBOUST PAMPLEMOUSSE | pâtisserie--ENTREMET| Auteur &gt; recette Béghin Say de Jean-Jacques Borne MOF 1994</v>
      </c>
      <c r="S51" s="163">
        <f>S20</f>
        <v>18</v>
      </c>
      <c r="T51" s="164" t="str">
        <f>T20</f>
        <v>desserts</v>
      </c>
      <c r="U51" s="165" t="str">
        <f>U20</f>
        <v>Recette mère ► MILLE-FEUILLE  aux fraises des bois</v>
      </c>
      <c r="V51" s="1548"/>
      <c r="W51" s="1548"/>
      <c r="X51" s="2190">
        <f>ROWS(AB48:AB51)</f>
        <v>4</v>
      </c>
      <c r="Y51" s="5549" t="str" cm="1">
        <f t="array" ref="Y51">IF(SUMPRODUCT((AB51:AG51&lt;&gt;"")*1)=0,"",SUMPRODUCT((AB51:AG51&lt;&gt;"")*(LEN(TRIM(SUBSTITUTE(AB51:AG51,CHAR(160)," "))) - LEN(SUBSTITUTE(TRIM(SUBSTITUTE(AB51:AG51,CHAR(160)," "))," ","")) + 1)) &amp; " mot" &amp; IF(SUMPRODUCT((AB51:AG51&lt;&gt;"")*(LEN(TRIM(SUBSTITUTE(AB51:AG51,CHAR(160)," "))) - LEN(SUBSTITUTE(TRIM(SUBSTITUTE(AB51:AG51,CHAR(160)," "))," ","")) + 1))&gt;1,"s",""))</f>
        <v>9 mots</v>
      </c>
      <c r="Z51" s="5550" t="str" cm="1">
        <f t="array" ref="Z51">SUMPRODUCT(--(AB51:AG51&lt;&gt;""), LEN(TRIM(SUBSTITUTE(AB51:AG51, CHAR(160), "")))) &amp; " Car."</f>
        <v>58 Car.</v>
      </c>
      <c r="AA51" s="1376">
        <f>IF(ISBLANK(AB51),"",LARGE(AA47:AA50,1)+1)</f>
        <v>4</v>
      </c>
      <c r="AB51" s="1810" t="s">
        <v>3058</v>
      </c>
      <c r="AC51" s="1833"/>
      <c r="AD51" s="1810"/>
      <c r="AE51" s="1810"/>
      <c r="AF51" s="1810"/>
      <c r="AG51" s="1810"/>
      <c r="AH51" s="1810"/>
      <c r="AI51" s="5994" t="s">
        <v>181</v>
      </c>
      <c r="AJ51" s="178">
        <v>2.0833333333333332E-2</v>
      </c>
      <c r="AK51" s="6120" t="str">
        <f t="shared" si="40"/>
        <v>►</v>
      </c>
      <c r="AL51" s="781" t="str">
        <f t="shared" si="20"/>
        <v>►</v>
      </c>
      <c r="AM51" s="5499" t="str">
        <f t="shared" si="21"/>
        <v/>
      </c>
      <c r="AN51" s="783" t="str">
        <f t="shared" si="22"/>
        <v/>
      </c>
      <c r="AO51" s="782" t="str">
        <f t="shared" si="23"/>
        <v/>
      </c>
      <c r="AP51" s="783" t="str">
        <f t="shared" si="24"/>
        <v/>
      </c>
      <c r="AQ51" s="2083" t="b">
        <f>AND(Q51="A",COUNTIF(BP16:BR63,TRIM(Z51))&gt;0)</f>
        <v>0</v>
      </c>
      <c r="AR51" s="797" t="str">
        <f>IF(AL51&lt;&gt;"A","",IFERROR(IFERROR(_xlfn.XLOOKUP(TRIM(SUBSTITUTE(Z51,CHAR(160)," ")),BP16:BP63,BS16:BS63),IFERROR(_xlfn.XLOOKUP(TRIM(SUBSTITUTE(Z51,CHAR(160)," ")),BQ16:BQ63,BS16:BS63),_xlfn.XLOOKUP(TRIM(SUBSTITUTE(Z51,CHAR(160)," ")),BR16:BR63,BS16:BS63)))*Y51*IF(ISBLANK(V51),1,V51),0))</f>
        <v/>
      </c>
      <c r="AS51" s="784" t="str">
        <f t="shared" si="25"/>
        <v/>
      </c>
      <c r="AT51" s="1315" t="str">
        <f t="shared" si="26"/>
        <v/>
      </c>
      <c r="AU51" s="785">
        <f t="shared" si="27"/>
        <v>0</v>
      </c>
      <c r="AV51" s="785">
        <f t="shared" si="28"/>
        <v>0</v>
      </c>
      <c r="AW51" s="786">
        <f>IF(AK51="A",AY10,0)</f>
        <v>0</v>
      </c>
      <c r="AX51" s="5495" t="str">
        <f>IF(IFERROR(SEARCH("Adresse PC",TRIM(W51)),0)&gt;0,"▼ receta siguiente",IF(AK51="A",IF(AZ10&lt;&gt;"",AZ10&amp;" - ou.or.o ❾ + or - &gt;",""),""))</f>
        <v/>
      </c>
      <c r="AY51" s="810"/>
      <c r="AZ51" s="810"/>
      <c r="BA51" s="788" t="str">
        <f t="shared" si="29"/>
        <v/>
      </c>
      <c r="BB51" s="789" t="str">
        <f>IF(AK51="A",IF(AQ51,IF(AND(AW51&lt;&gt;"",N(AW51)&gt;0),IFERROR(IFERROR(_xlfn.XLOOKUP(AP51,BP10:BP57,BT10:BT57),IFERROR(_xlfn.XLOOKUP(AP51,BQ10:BQ57,BT10:BT57),_xlfn.XLOOKUP(AP51,BR10:BR57,BT10:BT57,""))),""),""),""),"")</f>
        <v/>
      </c>
      <c r="BC51" s="811" cm="1">
        <f t="array" ref="BC51">IF(NOT(AQ51),0,IF(OR(BA51="",N(BA51)&lt;=0.000000001),"",IF(OR(AU51="",N(AU51)&lt;=0.000000001),0,IF(ISNUMBER(BA51),IFERROR(_xlfn.LET(_xlpm.ai_test,TRIM(AP51),_xlpm.r,IFERROR(_xlfn.XLOOKUP(_xlpm.ai_test,BP16:BP63,ROW(BP16:BP63),0,1),IFERROR(_xlfn.XLOOKUP(_xlpm.ai_test,BQ16:BQ63,ROW(BQ16:BQ63),0,1),_xlfn.XLOOKUP(_xlpm.ai_test,BR16:BR63,ROW(BR16:BR63),0,1))),_xlpm.p,_xlpm.r-MIN(ROW(BP16:BP63))+1,_xlpm.f,INDEX(BS16:BS63,_xlpm.p),_xlpm.u,INDEX(BT16:BT63,_xlpm.p),_xlpm.s,INDEX(BV16:BV63,_xlpm.p),_xlpm.q,N(BA51)/_xlpm.f,IF(_xlpm.q&gt;=_xlpm.s,ROUND(_xlpm.q,1)&amp;" "&amp;_xlpm.ai_test&amp;" = "&amp;ROUND(_xlpm.q*_xlpm.f,1)&amp;" "&amp;_xlpm.u,ROUND(_xlpm.q,1)&amp;" "&amp;_xlpm.ai_test)),""),""))))</f>
        <v>0</v>
      </c>
      <c r="BD51" s="801"/>
      <c r="BE51" s="788" t="str">
        <f t="shared" si="30"/>
        <v/>
      </c>
      <c r="BF51" s="789" t="str">
        <f t="shared" si="44"/>
        <v/>
      </c>
      <c r="BG51" s="790">
        <f t="shared" si="45"/>
        <v>0</v>
      </c>
      <c r="BH51" s="791" t="str">
        <f t="shared" si="46"/>
        <v/>
      </c>
      <c r="BI51" s="792"/>
      <c r="BJ51" s="793">
        <f t="shared" si="47"/>
        <v>0</v>
      </c>
      <c r="BK51" s="794" t="str">
        <f t="shared" si="38"/>
        <v/>
      </c>
      <c r="BL51" s="227" t="s">
        <v>21</v>
      </c>
      <c r="BM51" s="773">
        <f t="shared" si="35"/>
        <v>0</v>
      </c>
      <c r="BN51" s="774">
        <f t="shared" si="36"/>
        <v>0</v>
      </c>
      <c r="BO51" s="630"/>
      <c r="BP51" s="829" t="s">
        <v>1683</v>
      </c>
      <c r="BQ51" s="829" t="s">
        <v>1684</v>
      </c>
      <c r="BR51" s="829" t="s">
        <v>1685</v>
      </c>
      <c r="BS51" s="767">
        <f t="shared" si="43"/>
        <v>4.4999999999999997E-3</v>
      </c>
      <c r="BT51" s="805" t="s">
        <v>1621</v>
      </c>
      <c r="BU51" s="805" t="s">
        <v>1622</v>
      </c>
      <c r="BV51" s="757">
        <f t="shared" si="42"/>
        <v>222</v>
      </c>
      <c r="BW51" s="831">
        <v>4.5</v>
      </c>
      <c r="BX51" s="630"/>
      <c r="BY51" s="630"/>
      <c r="BZ51" s="630"/>
      <c r="CA51" s="630"/>
      <c r="CB51" s="630"/>
      <c r="CC51" s="630"/>
      <c r="CD51" s="781" t="str">
        <f t="shared" si="15"/>
        <v>►</v>
      </c>
      <c r="CE51" s="818"/>
      <c r="CF51" s="634"/>
      <c r="CG51" s="634"/>
      <c r="CH51" s="635"/>
      <c r="CI51" s="635"/>
      <c r="CJ51" s="719"/>
      <c r="CK51" s="459"/>
      <c r="CL51" s="9"/>
      <c r="CM51" s="9"/>
      <c r="CN51" s="9"/>
      <c r="CO51" s="9"/>
      <c r="CP51" s="9"/>
      <c r="CQ51" s="38"/>
      <c r="CS51" s="459"/>
      <c r="CT51" s="9"/>
      <c r="CU51" s="9"/>
      <c r="CV51" s="9"/>
      <c r="CW51" s="9"/>
      <c r="CX51" s="9"/>
      <c r="CY51" s="38"/>
      <c r="DA51" s="459"/>
      <c r="DB51" s="9"/>
      <c r="DC51" s="9"/>
      <c r="DD51" s="9"/>
      <c r="DE51" s="9"/>
      <c r="DF51" s="9"/>
      <c r="DG51" s="38"/>
      <c r="DI51" s="3">
        <v>1</v>
      </c>
    </row>
    <row r="52" spans="1:113" s="627" customFormat="1" ht="21" customHeight="1">
      <c r="A52" s="701" t="s">
        <v>21</v>
      </c>
      <c r="B52" s="2265" t="str" cm="1">
        <f t="array" ref="B52">SUMPRODUCT(--(D52:J52&lt;&gt;""), LEN(TRIM(SUBSTITUTE(D52:J52, CHAR(160), "")))) &amp; " Car."</f>
        <v>0 Car.</v>
      </c>
      <c r="C52" s="1376" t="str">
        <f>IF(ISBLANK(D52),"",LARGE(C13:C51,1)+1)</f>
        <v/>
      </c>
      <c r="D52" s="1833"/>
      <c r="E52" s="1810"/>
      <c r="F52" s="1810"/>
      <c r="G52" s="1810"/>
      <c r="H52" s="1810"/>
      <c r="I52" s="1810"/>
      <c r="J52" s="1810"/>
      <c r="K52" s="1810"/>
      <c r="L52" s="1811"/>
      <c r="M52" s="9"/>
      <c r="N52" s="162" t="str">
        <f t="shared" si="16"/>
        <v>A</v>
      </c>
      <c r="O52" s="1616">
        <v>1</v>
      </c>
      <c r="P52" s="9"/>
      <c r="Q52" s="162" t="s">
        <v>10</v>
      </c>
      <c r="R52" s="163" t="str">
        <f>R20</f>
        <v>C CHIBOUST PAMPLEMOUSSE | pâtisserie--ENTREMET| Auteur &gt; recette Béghin Say de Jean-Jacques Borne MOF 1994</v>
      </c>
      <c r="S52" s="163">
        <f>S20</f>
        <v>18</v>
      </c>
      <c r="T52" s="164" t="str">
        <f>T20</f>
        <v>desserts</v>
      </c>
      <c r="U52" s="165" t="str">
        <f>U20</f>
        <v>Recette mère ► MILLE-FEUILLE  aux fraises des bois</v>
      </c>
      <c r="V52" s="1548"/>
      <c r="W52" s="1548"/>
      <c r="X52" s="2190">
        <f>ROWS(AB48:AB52)</f>
        <v>5</v>
      </c>
      <c r="Y52" s="5549" t="str" cm="1">
        <f t="array" ref="Y52">IF(SUMPRODUCT((AB52:AG52&lt;&gt;"")*1)=0,"",SUMPRODUCT((AB52:AG52&lt;&gt;"")*(LEN(TRIM(SUBSTITUTE(AB52:AG52,CHAR(160)," "))) - LEN(SUBSTITUTE(TRIM(SUBSTITUTE(AB52:AG52,CHAR(160)," "))," ","")) + 1)) &amp; " mot" &amp; IF(SUMPRODUCT((AB52:AG52&lt;&gt;"")*(LEN(TRIM(SUBSTITUTE(AB52:AG52,CHAR(160)," "))) - LEN(SUBSTITUTE(TRIM(SUBSTITUTE(AB52:AG52,CHAR(160)," "))," ","")) + 1))&gt;1,"s",""))</f>
        <v>6 mots</v>
      </c>
      <c r="Z52" s="5550" t="str" cm="1">
        <f t="array" ref="Z52">SUMPRODUCT(--(AB52:AG52&lt;&gt;""), LEN(TRIM(SUBSTITUTE(AB52:AG52, CHAR(160), "")))) &amp; " Car."</f>
        <v>38 Car.</v>
      </c>
      <c r="AA52" s="1376">
        <f>IF(ISBLANK(AB52),"",LARGE(AA47:AA51,1)+1)</f>
        <v>5</v>
      </c>
      <c r="AB52" s="1810" t="s">
        <v>3059</v>
      </c>
      <c r="AC52" s="1810"/>
      <c r="AD52" s="1810"/>
      <c r="AE52" s="1810"/>
      <c r="AF52" s="1810"/>
      <c r="AG52" s="1810"/>
      <c r="AH52" s="1810"/>
      <c r="AI52" s="179" t="s">
        <v>182</v>
      </c>
      <c r="AJ52" s="180">
        <f>AJ49+AJ50+AJ51</f>
        <v>3.4722222222222224E-2</v>
      </c>
      <c r="AK52" s="6120" t="str">
        <f t="shared" si="40"/>
        <v>►</v>
      </c>
      <c r="AL52" s="781" t="str">
        <f t="shared" si="20"/>
        <v>►</v>
      </c>
      <c r="AM52" s="5498" t="str">
        <f t="shared" si="21"/>
        <v/>
      </c>
      <c r="AN52" s="783" t="str">
        <f t="shared" si="22"/>
        <v/>
      </c>
      <c r="AO52" s="782" t="str">
        <f t="shared" si="23"/>
        <v/>
      </c>
      <c r="AP52" s="783" t="str">
        <f t="shared" si="24"/>
        <v/>
      </c>
      <c r="AQ52" s="2083" t="b">
        <f>AND(Q52="A",COUNTIF(BP16:BR63,TRIM(Z52))&gt;0)</f>
        <v>0</v>
      </c>
      <c r="AR52" s="797" t="str">
        <f>IF(AL52&lt;&gt;"A","",IFERROR(IFERROR(_xlfn.XLOOKUP(TRIM(SUBSTITUTE(Z52,CHAR(160)," ")),BP16:BP63,BS16:BS63),IFERROR(_xlfn.XLOOKUP(TRIM(SUBSTITUTE(Z52,CHAR(160)," ")),BQ16:BQ63,BS16:BS63),_xlfn.XLOOKUP(TRIM(SUBSTITUTE(Z52,CHAR(160)," ")),BR16:BR63,BS16:BS63)))*Y52*IF(ISBLANK(V52),1,V52),0))</f>
        <v/>
      </c>
      <c r="AS52" s="784" t="str">
        <f t="shared" si="25"/>
        <v/>
      </c>
      <c r="AT52" s="1315" t="str">
        <f t="shared" si="26"/>
        <v/>
      </c>
      <c r="AU52" s="785">
        <f t="shared" si="27"/>
        <v>0</v>
      </c>
      <c r="AV52" s="785">
        <f t="shared" si="28"/>
        <v>0</v>
      </c>
      <c r="AW52" s="798">
        <f>IF(AK52="A",AY10,0)</f>
        <v>0</v>
      </c>
      <c r="AX52" s="5496" t="str">
        <f>IF(IFERROR(SEARCH("Adresse PC",TRIM(W52)),0)&gt;0,"▼ receta siguiente",IF(AK52="A",IF(AZ10&lt;&gt;"",AZ10&amp;" - ou.or.o ❾ + or - &gt;",""),""))</f>
        <v/>
      </c>
      <c r="AY52" s="810"/>
      <c r="AZ52" s="810"/>
      <c r="BA52" s="799" t="str">
        <f t="shared" si="29"/>
        <v/>
      </c>
      <c r="BB52" s="800" t="str">
        <f>IF(AK52="A",IF(AQ52,IF(AND(AW52&lt;&gt;"",N(AW52)&gt;0),IFERROR(IFERROR(_xlfn.XLOOKUP(AP52,BP10:BP57,BT10:BT57),IFERROR(_xlfn.XLOOKUP(AP52,BQ10:BQ57,BT10:BT57),_xlfn.XLOOKUP(AP52,BR10:BR57,BT10:BT57,""))),""),""),""),"")</f>
        <v/>
      </c>
      <c r="BC52" s="813" cm="1">
        <f t="array" ref="BC52">IF(NOT(AQ52),0,IF(OR(BA52="",N(BA52)&lt;=0.000000001),"",IF(OR(AU52="",N(AU52)&lt;=0.000000001),0,IF(ISNUMBER(BA52),IFERROR(_xlfn.LET(_xlpm.ai_test,TRIM(AP52),_xlpm.r,IFERROR(_xlfn.XLOOKUP(_xlpm.ai_test,BP16:BP63,ROW(BP16:BP63),0,1),IFERROR(_xlfn.XLOOKUP(_xlpm.ai_test,BQ16:BQ63,ROW(BQ16:BQ63),0,1),_xlfn.XLOOKUP(_xlpm.ai_test,BR16:BR63,ROW(BR16:BR63),0,1))),_xlpm.p,_xlpm.r-MIN(ROW(BP16:BP63))+1,_xlpm.f,INDEX(BS16:BS63,_xlpm.p),_xlpm.u,INDEX(BT16:BT63,_xlpm.p),_xlpm.s,INDEX(BV16:BV63,_xlpm.p),_xlpm.q,N(BA52)/_xlpm.f,IF(_xlpm.q&gt;=_xlpm.s,ROUND(_xlpm.q,1)&amp;" "&amp;_xlpm.ai_test&amp;" = "&amp;ROUND(_xlpm.q*_xlpm.f,1)&amp;" "&amp;_xlpm.u,ROUND(_xlpm.q,1)&amp;" "&amp;_xlpm.ai_test)),""),""))))</f>
        <v>0</v>
      </c>
      <c r="BD52" s="801"/>
      <c r="BE52" s="799" t="str">
        <f t="shared" si="30"/>
        <v/>
      </c>
      <c r="BF52" s="800" t="str">
        <f t="shared" si="44"/>
        <v/>
      </c>
      <c r="BG52" s="802">
        <f t="shared" si="45"/>
        <v>0</v>
      </c>
      <c r="BH52" s="803" t="str">
        <f t="shared" si="46"/>
        <v/>
      </c>
      <c r="BI52" s="792"/>
      <c r="BJ52" s="804">
        <f t="shared" si="47"/>
        <v>0</v>
      </c>
      <c r="BK52" s="794" t="str">
        <f t="shared" si="38"/>
        <v/>
      </c>
      <c r="BL52" s="227" t="s">
        <v>21</v>
      </c>
      <c r="BM52" s="773">
        <f t="shared" si="35"/>
        <v>0</v>
      </c>
      <c r="BN52" s="774">
        <f t="shared" si="36"/>
        <v>0</v>
      </c>
      <c r="BO52" s="630"/>
      <c r="BP52" s="829" t="s">
        <v>1689</v>
      </c>
      <c r="BQ52" s="829" t="s">
        <v>1690</v>
      </c>
      <c r="BR52" s="829" t="s">
        <v>1691</v>
      </c>
      <c r="BS52" s="767">
        <f t="shared" si="43"/>
        <v>5.9000000000000007E-3</v>
      </c>
      <c r="BT52" s="805" t="s">
        <v>1621</v>
      </c>
      <c r="BU52" s="805" t="s">
        <v>1622</v>
      </c>
      <c r="BV52" s="757">
        <f t="shared" si="42"/>
        <v>169</v>
      </c>
      <c r="BW52" s="812">
        <v>5.9</v>
      </c>
      <c r="BX52" s="630"/>
      <c r="BY52" s="630"/>
      <c r="BZ52" s="630"/>
      <c r="CA52" s="630"/>
      <c r="CB52" s="630"/>
      <c r="CC52" s="630"/>
      <c r="CD52" s="781" t="str">
        <f t="shared" si="15"/>
        <v>►</v>
      </c>
      <c r="CE52" s="761" t="s">
        <v>1692</v>
      </c>
      <c r="CF52" s="634"/>
      <c r="CG52" s="634"/>
      <c r="CH52" s="635"/>
      <c r="CI52" s="635"/>
      <c r="CJ52" s="719"/>
      <c r="CK52" s="823" t="s">
        <v>1656</v>
      </c>
      <c r="CL52" s="9"/>
      <c r="CM52" s="9"/>
      <c r="CN52" s="9"/>
      <c r="CO52" s="9"/>
      <c r="CP52" s="9"/>
      <c r="CQ52" s="38"/>
      <c r="CS52" s="823" t="s">
        <v>1657</v>
      </c>
      <c r="CT52" s="9"/>
      <c r="CU52" s="9"/>
      <c r="CV52" s="9"/>
      <c r="CW52" s="9"/>
      <c r="CX52" s="9"/>
      <c r="CY52" s="38"/>
      <c r="DA52" s="823" t="s">
        <v>1658</v>
      </c>
      <c r="DB52" s="9"/>
      <c r="DC52" s="9"/>
      <c r="DD52" s="9"/>
      <c r="DE52" s="9"/>
      <c r="DF52" s="9"/>
      <c r="DG52" s="38"/>
      <c r="DI52" s="3">
        <v>1</v>
      </c>
    </row>
    <row r="53" spans="1:113" s="627" customFormat="1" ht="21" customHeight="1">
      <c r="A53" s="701" t="s">
        <v>21</v>
      </c>
      <c r="B53" s="2265" t="str" cm="1">
        <f t="array" ref="B53">SUMPRODUCT(--(D53:J53&lt;&gt;""), LEN(TRIM(SUBSTITUTE(D53:J53, CHAR(160), "")))) &amp; " Car."</f>
        <v>0 Car.</v>
      </c>
      <c r="C53" s="1376" t="str">
        <f>IF(ISBLANK(D53),"",LARGE(C13:C52,1)+1)</f>
        <v/>
      </c>
      <c r="D53" s="1833"/>
      <c r="E53" s="1810"/>
      <c r="F53" s="1810"/>
      <c r="G53" s="1810"/>
      <c r="H53" s="1810"/>
      <c r="I53" s="1810"/>
      <c r="J53" s="1810"/>
      <c r="K53" s="1810"/>
      <c r="L53" s="1811"/>
      <c r="M53" s="9"/>
      <c r="N53" s="162" t="str">
        <f t="shared" si="16"/>
        <v>A</v>
      </c>
      <c r="O53" s="1616">
        <v>1</v>
      </c>
      <c r="P53" s="9"/>
      <c r="Q53" s="162" t="s">
        <v>10</v>
      </c>
      <c r="R53" s="163" t="str">
        <f>R20</f>
        <v>C CHIBOUST PAMPLEMOUSSE | pâtisserie--ENTREMET| Auteur &gt; recette Béghin Say de Jean-Jacques Borne MOF 1994</v>
      </c>
      <c r="S53" s="163">
        <f>S20</f>
        <v>18</v>
      </c>
      <c r="T53" s="164" t="str">
        <f>T20</f>
        <v>desserts</v>
      </c>
      <c r="U53" s="165" t="str">
        <f>U20</f>
        <v>Recette mère ► MILLE-FEUILLE  aux fraises des bois</v>
      </c>
      <c r="V53" s="1548"/>
      <c r="W53" s="1548"/>
      <c r="X53" s="2190">
        <f>ROWS(AB48:AB53)</f>
        <v>6</v>
      </c>
      <c r="Y53" s="5549" t="str" cm="1">
        <f t="array" ref="Y53">IF(SUMPRODUCT((AB53:AG53&lt;&gt;"")*1)=0,"",SUMPRODUCT((AB53:AG53&lt;&gt;"")*(LEN(TRIM(SUBSTITUTE(AB53:AG53,CHAR(160)," "))) - LEN(SUBSTITUTE(TRIM(SUBSTITUTE(AB53:AG53,CHAR(160)," "))," ","")) + 1)) &amp; " mot" &amp; IF(SUMPRODUCT((AB53:AG53&lt;&gt;"")*(LEN(TRIM(SUBSTITUTE(AB53:AG53,CHAR(160)," "))) - LEN(SUBSTITUTE(TRIM(SUBSTITUTE(AB53:AG53,CHAR(160)," "))," ","")) + 1))&gt;1,"s",""))</f>
        <v/>
      </c>
      <c r="Z53" s="5550" t="str" cm="1">
        <f t="array" ref="Z53">SUMPRODUCT(--(AB53:AG53&lt;&gt;""), LEN(TRIM(SUBSTITUTE(AB53:AG53, CHAR(160), "")))) &amp; " Car."</f>
        <v>0 Car.</v>
      </c>
      <c r="AA53" s="1376" t="str">
        <f>IF(ISBLANK(AB53),"",LARGE(AA47:AA52,1)+1)</f>
        <v/>
      </c>
      <c r="AB53" s="1810"/>
      <c r="AC53" s="1833"/>
      <c r="AD53" s="1810"/>
      <c r="AE53" s="1810"/>
      <c r="AF53" s="1810"/>
      <c r="AG53" s="1810"/>
      <c r="AH53" s="1810"/>
      <c r="AI53" s="1810"/>
      <c r="AJ53" s="1811"/>
      <c r="AK53" s="6120" t="str">
        <f t="shared" si="40"/>
        <v>►</v>
      </c>
      <c r="AL53" s="781" t="str">
        <f t="shared" si="20"/>
        <v>►</v>
      </c>
      <c r="AM53" s="5499" t="str">
        <f t="shared" si="21"/>
        <v/>
      </c>
      <c r="AN53" s="783" t="str">
        <f t="shared" si="22"/>
        <v/>
      </c>
      <c r="AO53" s="782" t="str">
        <f t="shared" si="23"/>
        <v/>
      </c>
      <c r="AP53" s="783" t="str">
        <f t="shared" si="24"/>
        <v/>
      </c>
      <c r="AQ53" s="2083" t="b">
        <f>AND(Q53="A",COUNTIF(BP16:BR63,TRIM(Z53))&gt;0)</f>
        <v>0</v>
      </c>
      <c r="AR53" s="797" t="str">
        <f>IF(AL53&lt;&gt;"A","",IFERROR(IFERROR(_xlfn.XLOOKUP(TRIM(SUBSTITUTE(Z53,CHAR(160)," ")),BP16:BP63,BS16:BS63),IFERROR(_xlfn.XLOOKUP(TRIM(SUBSTITUTE(Z53,CHAR(160)," ")),BQ16:BQ63,BS16:BS63),_xlfn.XLOOKUP(TRIM(SUBSTITUTE(Z53,CHAR(160)," ")),BR16:BR63,BS16:BS63)))*Y53*IF(ISBLANK(V53),1,V53),0))</f>
        <v/>
      </c>
      <c r="AS53" s="784" t="str">
        <f t="shared" si="25"/>
        <v/>
      </c>
      <c r="AT53" s="1315" t="str">
        <f t="shared" si="26"/>
        <v/>
      </c>
      <c r="AU53" s="785">
        <f t="shared" si="27"/>
        <v>0</v>
      </c>
      <c r="AV53" s="785">
        <f t="shared" si="28"/>
        <v>0</v>
      </c>
      <c r="AW53" s="786">
        <f>IF(AK53="A",AY10,0)</f>
        <v>0</v>
      </c>
      <c r="AX53" s="5495" t="str">
        <f>IF(IFERROR(SEARCH("Adresse PC",TRIM(W53)),0)&gt;0,"▼ receta siguiente",IF(AK53="A",IF(AZ10&lt;&gt;"",AZ10&amp;" - ou.or.o ❾ + or - &gt;",""),""))</f>
        <v/>
      </c>
      <c r="AY53" s="810"/>
      <c r="AZ53" s="810"/>
      <c r="BA53" s="788" t="str">
        <f t="shared" si="29"/>
        <v/>
      </c>
      <c r="BB53" s="789" t="str">
        <f>IF(AK53="A",IF(AQ53,IF(AND(AW53&lt;&gt;"",N(AW53)&gt;0),IFERROR(IFERROR(_xlfn.XLOOKUP(AP53,BP10:BP57,BT10:BT57),IFERROR(_xlfn.XLOOKUP(AP53,BQ10:BQ57,BT10:BT57),_xlfn.XLOOKUP(AP53,BR10:BR57,BT10:BT57,""))),""),""),""),"")</f>
        <v/>
      </c>
      <c r="BC53" s="811" cm="1">
        <f t="array" ref="BC53">IF(NOT(AQ53),0,IF(OR(BA53="",N(BA53)&lt;=0.000000001),"",IF(OR(AU53="",N(AU53)&lt;=0.000000001),0,IF(ISNUMBER(BA53),IFERROR(_xlfn.LET(_xlpm.ai_test,TRIM(AP53),_xlpm.r,IFERROR(_xlfn.XLOOKUP(_xlpm.ai_test,BP16:BP63,ROW(BP16:BP63),0,1),IFERROR(_xlfn.XLOOKUP(_xlpm.ai_test,BQ16:BQ63,ROW(BQ16:BQ63),0,1),_xlfn.XLOOKUP(_xlpm.ai_test,BR16:BR63,ROW(BR16:BR63),0,1))),_xlpm.p,_xlpm.r-MIN(ROW(BP16:BP63))+1,_xlpm.f,INDEX(BS16:BS63,_xlpm.p),_xlpm.u,INDEX(BT16:BT63,_xlpm.p),_xlpm.s,INDEX(BV16:BV63,_xlpm.p),_xlpm.q,N(BA53)/_xlpm.f,IF(_xlpm.q&gt;=_xlpm.s,ROUND(_xlpm.q,1)&amp;" "&amp;_xlpm.ai_test&amp;" = "&amp;ROUND(_xlpm.q*_xlpm.f,1)&amp;" "&amp;_xlpm.u,ROUND(_xlpm.q,1)&amp;" "&amp;_xlpm.ai_test)),""),""))))</f>
        <v>0</v>
      </c>
      <c r="BD53" s="801"/>
      <c r="BE53" s="788" t="str">
        <f t="shared" si="30"/>
        <v/>
      </c>
      <c r="BF53" s="789" t="str">
        <f t="shared" si="44"/>
        <v/>
      </c>
      <c r="BG53" s="790">
        <f t="shared" si="45"/>
        <v>0</v>
      </c>
      <c r="BH53" s="791" t="str">
        <f t="shared" si="46"/>
        <v/>
      </c>
      <c r="BI53" s="792"/>
      <c r="BJ53" s="793">
        <f t="shared" si="47"/>
        <v>0</v>
      </c>
      <c r="BK53" s="794" t="str">
        <f t="shared" si="38"/>
        <v/>
      </c>
      <c r="BL53" s="227" t="s">
        <v>21</v>
      </c>
      <c r="BM53" s="773">
        <f t="shared" si="35"/>
        <v>0</v>
      </c>
      <c r="BN53" s="774">
        <f t="shared" si="36"/>
        <v>0</v>
      </c>
      <c r="BO53" s="630"/>
      <c r="BP53" s="829" t="s">
        <v>1697</v>
      </c>
      <c r="BQ53" s="829" t="s">
        <v>1697</v>
      </c>
      <c r="BR53" s="829" t="s">
        <v>1698</v>
      </c>
      <c r="BS53" s="767">
        <f t="shared" si="43"/>
        <v>0.04</v>
      </c>
      <c r="BT53" s="805" t="s">
        <v>1621</v>
      </c>
      <c r="BU53" s="805" t="s">
        <v>1622</v>
      </c>
      <c r="BV53" s="757">
        <f t="shared" si="42"/>
        <v>25</v>
      </c>
      <c r="BW53" s="806">
        <v>40</v>
      </c>
      <c r="BX53" s="630"/>
      <c r="BY53" s="630"/>
      <c r="BZ53" s="630"/>
      <c r="CA53" s="630"/>
      <c r="CB53" s="630"/>
      <c r="CC53" s="630"/>
      <c r="CD53" s="781" t="str">
        <f t="shared" si="15"/>
        <v>►</v>
      </c>
      <c r="CE53" s="818"/>
      <c r="CF53" s="634"/>
      <c r="CG53" s="634"/>
      <c r="CH53" s="635"/>
      <c r="CI53" s="635"/>
      <c r="CJ53" s="719"/>
      <c r="CK53" s="824" t="s">
        <v>1493</v>
      </c>
      <c r="CL53" s="9"/>
      <c r="CM53" s="9"/>
      <c r="CN53" s="9"/>
      <c r="CO53" s="9"/>
      <c r="CP53" s="9"/>
      <c r="CQ53" s="38"/>
      <c r="CS53" s="824" t="s">
        <v>1659</v>
      </c>
      <c r="CT53" s="9"/>
      <c r="CU53" s="9"/>
      <c r="CV53" s="9"/>
      <c r="CW53" s="9"/>
      <c r="CX53" s="9"/>
      <c r="CY53" s="38"/>
      <c r="DA53" s="824" t="s">
        <v>1660</v>
      </c>
      <c r="DB53" s="9"/>
      <c r="DC53" s="9"/>
      <c r="DD53" s="9"/>
      <c r="DE53" s="9"/>
      <c r="DF53" s="9"/>
      <c r="DG53" s="38"/>
      <c r="DI53" s="3">
        <v>1</v>
      </c>
    </row>
    <row r="54" spans="1:113" s="627" customFormat="1" ht="21" customHeight="1">
      <c r="A54" s="701" t="s">
        <v>21</v>
      </c>
      <c r="B54" s="2265" t="str" cm="1">
        <f t="array" ref="B54">SUMPRODUCT(--(D54:J54&lt;&gt;""), LEN(TRIM(SUBSTITUTE(D54:J54, CHAR(160), "")))) &amp; " Car."</f>
        <v>0 Car.</v>
      </c>
      <c r="C54" s="1376" t="str">
        <f>IF(ISBLANK(D54),"",LARGE(C13:C53,1)+1)</f>
        <v/>
      </c>
      <c r="D54" s="1833"/>
      <c r="E54" s="1810"/>
      <c r="F54" s="1810"/>
      <c r="G54" s="1810"/>
      <c r="H54" s="1810"/>
      <c r="I54" s="1810"/>
      <c r="J54" s="1810"/>
      <c r="K54" s="1810"/>
      <c r="L54" s="1811"/>
      <c r="M54" s="9"/>
      <c r="N54" s="162" t="str">
        <f t="shared" si="16"/>
        <v>A</v>
      </c>
      <c r="O54" s="1616"/>
      <c r="P54" s="9"/>
      <c r="Q54" s="162" t="s">
        <v>10</v>
      </c>
      <c r="R54" s="163" t="str">
        <f>R20</f>
        <v>C CHIBOUST PAMPLEMOUSSE | pâtisserie--ENTREMET| Auteur &gt; recette Béghin Say de Jean-Jacques Borne MOF 1994</v>
      </c>
      <c r="S54" s="163">
        <f>S20</f>
        <v>18</v>
      </c>
      <c r="T54" s="164" t="str">
        <f>T20</f>
        <v>desserts</v>
      </c>
      <c r="U54" s="165" t="str">
        <f>U20</f>
        <v>Recette mère ► MILLE-FEUILLE  aux fraises des bois</v>
      </c>
      <c r="V54" s="1548"/>
      <c r="W54" s="1548"/>
      <c r="X54" s="2190">
        <f>ROWS(AB48:AB54)</f>
        <v>7</v>
      </c>
      <c r="Y54" s="5549" t="str" cm="1">
        <f t="array" ref="Y54">IF(SUMPRODUCT((AB54:AG54&lt;&gt;"")*1)=0,"",SUMPRODUCT((AB54:AG54&lt;&gt;"")*(LEN(TRIM(SUBSTITUTE(AB54:AG54,CHAR(160)," "))) - LEN(SUBSTITUTE(TRIM(SUBSTITUTE(AB54:AG54,CHAR(160)," "))," ","")) + 1)) &amp; " mot" &amp; IF(SUMPRODUCT((AB54:AG54&lt;&gt;"")*(LEN(TRIM(SUBSTITUTE(AB54:AG54,CHAR(160)," "))) - LEN(SUBSTITUTE(TRIM(SUBSTITUTE(AB54:AG54,CHAR(160)," "))," ","")) + 1))&gt;1,"s",""))</f>
        <v/>
      </c>
      <c r="Z54" s="5550" t="str" cm="1">
        <f t="array" ref="Z54">SUMPRODUCT(--(AB54:AG54&lt;&gt;""), LEN(TRIM(SUBSTITUTE(AB54:AG54, CHAR(160), "")))) &amp; " Car."</f>
        <v>0 Car.</v>
      </c>
      <c r="AA54" s="1376" t="str">
        <f>IF(ISBLANK(AB54),"",LARGE(AA47:AA53,1)+1)</f>
        <v/>
      </c>
      <c r="AB54" s="1810"/>
      <c r="AC54" s="1810"/>
      <c r="AD54" s="1810"/>
      <c r="AE54" s="1810"/>
      <c r="AF54" s="1810"/>
      <c r="AG54" s="1810"/>
      <c r="AH54" s="1810"/>
      <c r="AI54" s="1810"/>
      <c r="AJ54" s="1811"/>
      <c r="AK54" s="6120" t="str">
        <f t="shared" si="40"/>
        <v>►</v>
      </c>
      <c r="AL54" s="781" t="str">
        <f t="shared" si="20"/>
        <v>►</v>
      </c>
      <c r="AM54" s="5498" t="str">
        <f t="shared" si="21"/>
        <v/>
      </c>
      <c r="AN54" s="783" t="str">
        <f t="shared" si="22"/>
        <v/>
      </c>
      <c r="AO54" s="782" t="str">
        <f t="shared" si="23"/>
        <v/>
      </c>
      <c r="AP54" s="783" t="str">
        <f t="shared" si="24"/>
        <v/>
      </c>
      <c r="AQ54" s="2083" t="b">
        <f>AND(Q54="A",COUNTIF(BP16:BR63,TRIM(Z54))&gt;0)</f>
        <v>0</v>
      </c>
      <c r="AR54" s="797" t="str">
        <f>IF(AL54&lt;&gt;"A","",IFERROR(IFERROR(_xlfn.XLOOKUP(TRIM(SUBSTITUTE(Z54,CHAR(160)," ")),BP16:BP63,BS16:BS63),IFERROR(_xlfn.XLOOKUP(TRIM(SUBSTITUTE(Z54,CHAR(160)," ")),BQ16:BQ63,BS16:BS63),_xlfn.XLOOKUP(TRIM(SUBSTITUTE(Z54,CHAR(160)," ")),BR16:BR63,BS16:BS63)))*Y54*IF(ISBLANK(V54),1,V54),0))</f>
        <v/>
      </c>
      <c r="AS54" s="784" t="str">
        <f t="shared" si="25"/>
        <v/>
      </c>
      <c r="AT54" s="1315" t="str">
        <f t="shared" si="26"/>
        <v/>
      </c>
      <c r="AU54" s="785">
        <f t="shared" si="27"/>
        <v>0</v>
      </c>
      <c r="AV54" s="785">
        <f t="shared" si="28"/>
        <v>0</v>
      </c>
      <c r="AW54" s="798">
        <f>IF(AK54="A",AY10,0)</f>
        <v>0</v>
      </c>
      <c r="AX54" s="5496" t="str">
        <f>IF(IFERROR(SEARCH("Adresse PC",TRIM(W54)),0)&gt;0,"▼ receta siguiente",IF(AK54="A",IF(AZ10&lt;&gt;"",AZ10&amp;" - ou.or.o ❾ + or - &gt;",""),""))</f>
        <v/>
      </c>
      <c r="AY54" s="810"/>
      <c r="AZ54" s="810"/>
      <c r="BA54" s="799" t="str">
        <f t="shared" si="29"/>
        <v/>
      </c>
      <c r="BB54" s="800" t="str">
        <f>IF(AK54="A",IF(AQ54,IF(AND(AW54&lt;&gt;"",N(AW54)&gt;0),IFERROR(IFERROR(_xlfn.XLOOKUP(AP54,BP10:BP57,BT10:BT57),IFERROR(_xlfn.XLOOKUP(AP54,BQ10:BQ57,BT10:BT57),_xlfn.XLOOKUP(AP54,BR10:BR57,BT10:BT57,""))),""),""),""),"")</f>
        <v/>
      </c>
      <c r="BC54" s="813" cm="1">
        <f t="array" ref="BC54">IF(NOT(AQ54),0,IF(OR(BA54="",N(BA54)&lt;=0.000000001),"",IF(OR(AU54="",N(AU54)&lt;=0.000000001),0,IF(ISNUMBER(BA54),IFERROR(_xlfn.LET(_xlpm.ai_test,TRIM(AP54),_xlpm.r,IFERROR(_xlfn.XLOOKUP(_xlpm.ai_test,BP16:BP63,ROW(BP16:BP63),0,1),IFERROR(_xlfn.XLOOKUP(_xlpm.ai_test,BQ16:BQ63,ROW(BQ16:BQ63),0,1),_xlfn.XLOOKUP(_xlpm.ai_test,BR16:BR63,ROW(BR16:BR63),0,1))),_xlpm.p,_xlpm.r-MIN(ROW(BP16:BP63))+1,_xlpm.f,INDEX(BS16:BS63,_xlpm.p),_xlpm.u,INDEX(BT16:BT63,_xlpm.p),_xlpm.s,INDEX(BV16:BV63,_xlpm.p),_xlpm.q,N(BA54)/_xlpm.f,IF(_xlpm.q&gt;=_xlpm.s,ROUND(_xlpm.q,1)&amp;" "&amp;_xlpm.ai_test&amp;" = "&amp;ROUND(_xlpm.q*_xlpm.f,1)&amp;" "&amp;_xlpm.u,ROUND(_xlpm.q,1)&amp;" "&amp;_xlpm.ai_test)),""),""))))</f>
        <v>0</v>
      </c>
      <c r="BD54" s="801"/>
      <c r="BE54" s="799" t="str">
        <f t="shared" si="30"/>
        <v/>
      </c>
      <c r="BF54" s="800" t="str">
        <f t="shared" si="44"/>
        <v/>
      </c>
      <c r="BG54" s="802">
        <f t="shared" si="45"/>
        <v>0</v>
      </c>
      <c r="BH54" s="803" t="str">
        <f t="shared" si="46"/>
        <v/>
      </c>
      <c r="BI54" s="792"/>
      <c r="BJ54" s="804">
        <f t="shared" si="47"/>
        <v>0</v>
      </c>
      <c r="BK54" s="794" t="str">
        <f t="shared" si="38"/>
        <v/>
      </c>
      <c r="BL54" s="227" t="s">
        <v>21</v>
      </c>
      <c r="BM54" s="773">
        <f t="shared" si="35"/>
        <v>0</v>
      </c>
      <c r="BN54" s="774">
        <f t="shared" si="36"/>
        <v>0</v>
      </c>
      <c r="BO54" s="630"/>
      <c r="BP54" s="829" t="s">
        <v>1699</v>
      </c>
      <c r="BQ54" s="829" t="s">
        <v>1699</v>
      </c>
      <c r="BR54" s="829" t="s">
        <v>1699</v>
      </c>
      <c r="BS54" s="767">
        <f t="shared" si="43"/>
        <v>4.4999999999999998E-2</v>
      </c>
      <c r="BT54" s="805" t="s">
        <v>1621</v>
      </c>
      <c r="BU54" s="805" t="s">
        <v>1622</v>
      </c>
      <c r="BV54" s="757">
        <f t="shared" si="42"/>
        <v>22</v>
      </c>
      <c r="BW54" s="806">
        <v>45</v>
      </c>
      <c r="BX54" s="630"/>
      <c r="BY54" s="630"/>
      <c r="BZ54" s="630"/>
      <c r="CA54" s="630"/>
      <c r="CB54" s="630"/>
      <c r="CC54" s="630"/>
      <c r="CD54" s="781" t="str">
        <f t="shared" si="15"/>
        <v>►</v>
      </c>
      <c r="CE54" s="818"/>
      <c r="CF54" s="634"/>
      <c r="CG54" s="634"/>
      <c r="CH54" s="635"/>
      <c r="CI54" s="635"/>
      <c r="CJ54" s="719"/>
      <c r="CK54" s="459"/>
      <c r="CL54" s="9"/>
      <c r="CM54" s="9"/>
      <c r="CN54" s="9"/>
      <c r="CO54" s="9"/>
      <c r="CP54" s="9"/>
      <c r="CQ54" s="38"/>
      <c r="CS54" s="459"/>
      <c r="CT54" s="9"/>
      <c r="CU54" s="9"/>
      <c r="CV54" s="9"/>
      <c r="CW54" s="9"/>
      <c r="CX54" s="9"/>
      <c r="CY54" s="38"/>
      <c r="DA54" s="459"/>
      <c r="DB54" s="9"/>
      <c r="DC54" s="9"/>
      <c r="DD54" s="9"/>
      <c r="DE54" s="9"/>
      <c r="DF54" s="9"/>
      <c r="DG54" s="38"/>
      <c r="DI54" s="3">
        <v>1</v>
      </c>
    </row>
    <row r="55" spans="1:113" s="627" customFormat="1" ht="21" customHeight="1">
      <c r="A55" s="701" t="s">
        <v>21</v>
      </c>
      <c r="B55" s="2265" t="str" cm="1">
        <f t="array" ref="B55">SUMPRODUCT(--(D55:J55&lt;&gt;""), LEN(TRIM(SUBSTITUTE(D55:J55, CHAR(160), "")))) &amp; " Car."</f>
        <v>0 Car.</v>
      </c>
      <c r="C55" s="1376" t="str">
        <f>IF(ISBLANK(D55),"",LARGE(C13:C54,1)+1)</f>
        <v/>
      </c>
      <c r="D55" s="1833"/>
      <c r="E55" s="1810"/>
      <c r="F55" s="1810"/>
      <c r="G55" s="1810"/>
      <c r="H55" s="1810"/>
      <c r="I55" s="1810"/>
      <c r="J55" s="1810"/>
      <c r="K55" s="1810"/>
      <c r="L55" s="1811"/>
      <c r="M55" s="9"/>
      <c r="N55" s="162" t="str">
        <f t="shared" si="16"/>
        <v>A</v>
      </c>
      <c r="O55" s="6839" t="s">
        <v>8264</v>
      </c>
      <c r="P55" s="9"/>
      <c r="Q55" s="162" t="s">
        <v>10</v>
      </c>
      <c r="R55" s="163" t="str">
        <f>R20</f>
        <v>C CHIBOUST PAMPLEMOUSSE | pâtisserie--ENTREMET| Auteur &gt; recette Béghin Say de Jean-Jacques Borne MOF 1994</v>
      </c>
      <c r="S55" s="163">
        <f>S20</f>
        <v>18</v>
      </c>
      <c r="T55" s="164" t="str">
        <f>T20</f>
        <v>desserts</v>
      </c>
      <c r="U55" s="165" t="str">
        <f>U20</f>
        <v>Recette mère ► MILLE-FEUILLE  aux fraises des bois</v>
      </c>
      <c r="V55" s="1548"/>
      <c r="W55" s="1548"/>
      <c r="X55" s="2190">
        <f>ROWS(AB48:AB55)</f>
        <v>8</v>
      </c>
      <c r="Y55" s="5549" t="str" cm="1">
        <f t="array" ref="Y55">IF(SUMPRODUCT((AB55:AG55&lt;&gt;"")*1)=0,"",SUMPRODUCT((AB55:AG55&lt;&gt;"")*(LEN(TRIM(SUBSTITUTE(AB55:AG55,CHAR(160)," "))) - LEN(SUBSTITUTE(TRIM(SUBSTITUTE(AB55:AG55,CHAR(160)," "))," ","")) + 1)) &amp; " mot" &amp; IF(SUMPRODUCT((AB55:AG55&lt;&gt;"")*(LEN(TRIM(SUBSTITUTE(AB55:AG55,CHAR(160)," "))) - LEN(SUBSTITUTE(TRIM(SUBSTITUTE(AB55:AG55,CHAR(160)," "))," ","")) + 1))&gt;1,"s",""))</f>
        <v/>
      </c>
      <c r="Z55" s="5550" t="str" cm="1">
        <f t="array" ref="Z55">SUMPRODUCT(--(AB55:AG55&lt;&gt;""), LEN(TRIM(SUBSTITUTE(AB55:AG55, CHAR(160), "")))) &amp; " Car."</f>
        <v>0 Car.</v>
      </c>
      <c r="AA55" s="1376" t="str">
        <f>IF(ISBLANK(AB55),"",LARGE(AA47:AA54,1)+1)</f>
        <v/>
      </c>
      <c r="AB55" s="1810"/>
      <c r="AC55" s="1810"/>
      <c r="AD55" s="1810"/>
      <c r="AE55" s="1810"/>
      <c r="AF55" s="1810"/>
      <c r="AG55" s="1810"/>
      <c r="AH55" s="1810"/>
      <c r="AI55" s="1810"/>
      <c r="AJ55" s="1811"/>
      <c r="AK55" s="6120" t="str">
        <f t="shared" si="40"/>
        <v>►</v>
      </c>
      <c r="AL55" s="781" t="str">
        <f t="shared" si="20"/>
        <v>►</v>
      </c>
      <c r="AM55" s="5499" t="str">
        <f t="shared" si="21"/>
        <v/>
      </c>
      <c r="AN55" s="783" t="str">
        <f t="shared" si="22"/>
        <v/>
      </c>
      <c r="AO55" s="782" t="str">
        <f t="shared" si="23"/>
        <v/>
      </c>
      <c r="AP55" s="783" t="str">
        <f t="shared" si="24"/>
        <v/>
      </c>
      <c r="AQ55" s="2083" t="b">
        <f>AND(Q55="A",COUNTIF(BP16:BR63,TRIM(Z55))&gt;0)</f>
        <v>0</v>
      </c>
      <c r="AR55" s="797" t="str">
        <f>IF(AL55&lt;&gt;"A","",IFERROR(IFERROR(_xlfn.XLOOKUP(TRIM(SUBSTITUTE(Z55,CHAR(160)," ")),BP16:BP63,BS16:BS63),IFERROR(_xlfn.XLOOKUP(TRIM(SUBSTITUTE(Z55,CHAR(160)," ")),BQ16:BQ63,BS16:BS63),_xlfn.XLOOKUP(TRIM(SUBSTITUTE(Z55,CHAR(160)," ")),BR16:BR63,BS16:BS63)))*Y55*IF(ISBLANK(V55),1,V55),0))</f>
        <v/>
      </c>
      <c r="AS55" s="784" t="str">
        <f t="shared" si="25"/>
        <v/>
      </c>
      <c r="AT55" s="1315" t="str">
        <f t="shared" si="26"/>
        <v/>
      </c>
      <c r="AU55" s="785">
        <f t="shared" si="27"/>
        <v>0</v>
      </c>
      <c r="AV55" s="785">
        <f t="shared" si="28"/>
        <v>0</v>
      </c>
      <c r="AW55" s="786">
        <f>IF(AK55="A",AY10,0)</f>
        <v>0</v>
      </c>
      <c r="AX55" s="5495" t="str">
        <f>IF(IFERROR(SEARCH("Adresse PC",TRIM(W55)),0)&gt;0,"▼ receta siguiente",IF(AK55="A",IF(AZ10&lt;&gt;"",AZ10&amp;" - ou.or.o ❾ + or - &gt;",""),""))</f>
        <v/>
      </c>
      <c r="AY55" s="810"/>
      <c r="AZ55" s="810"/>
      <c r="BA55" s="788" t="str">
        <f t="shared" si="29"/>
        <v/>
      </c>
      <c r="BB55" s="789" t="str">
        <f>IF(AK55="A",IF(AQ55,IF(AND(AW55&lt;&gt;"",N(AW55)&gt;0),IFERROR(IFERROR(_xlfn.XLOOKUP(AP55,BP10:BP57,BT10:BT57),IFERROR(_xlfn.XLOOKUP(AP55,BQ10:BQ57,BT10:BT57),_xlfn.XLOOKUP(AP55,BR10:BR57,BT10:BT57,""))),""),""),""),"")</f>
        <v/>
      </c>
      <c r="BC55" s="811" cm="1">
        <f t="array" ref="BC55">IF(NOT(AQ55),0,IF(OR(BA55="",N(BA55)&lt;=0.000000001),"",IF(OR(AU55="",N(AU55)&lt;=0.000000001),0,IF(ISNUMBER(BA55),IFERROR(_xlfn.LET(_xlpm.ai_test,TRIM(AP55),_xlpm.r,IFERROR(_xlfn.XLOOKUP(_xlpm.ai_test,BP16:BP63,ROW(BP16:BP63),0,1),IFERROR(_xlfn.XLOOKUP(_xlpm.ai_test,BQ16:BQ63,ROW(BQ16:BQ63),0,1),_xlfn.XLOOKUP(_xlpm.ai_test,BR16:BR63,ROW(BR16:BR63),0,1))),_xlpm.p,_xlpm.r-MIN(ROW(BP16:BP63))+1,_xlpm.f,INDEX(BS16:BS63,_xlpm.p),_xlpm.u,INDEX(BT16:BT63,_xlpm.p),_xlpm.s,INDEX(BV16:BV63,_xlpm.p),_xlpm.q,N(BA55)/_xlpm.f,IF(_xlpm.q&gt;=_xlpm.s,ROUND(_xlpm.q,1)&amp;" "&amp;_xlpm.ai_test&amp;" = "&amp;ROUND(_xlpm.q*_xlpm.f,1)&amp;" "&amp;_xlpm.u,ROUND(_xlpm.q,1)&amp;" "&amp;_xlpm.ai_test)),""),""))))</f>
        <v>0</v>
      </c>
      <c r="BD55" s="801"/>
      <c r="BE55" s="788" t="str">
        <f t="shared" si="30"/>
        <v/>
      </c>
      <c r="BF55" s="789" t="str">
        <f t="shared" si="44"/>
        <v/>
      </c>
      <c r="BG55" s="790">
        <f t="shared" si="45"/>
        <v>0</v>
      </c>
      <c r="BH55" s="791" t="str">
        <f t="shared" si="46"/>
        <v/>
      </c>
      <c r="BI55" s="792"/>
      <c r="BJ55" s="793">
        <f t="shared" si="47"/>
        <v>0</v>
      </c>
      <c r="BK55" s="794" t="str">
        <f t="shared" si="38"/>
        <v/>
      </c>
      <c r="BL55" s="227" t="s">
        <v>21</v>
      </c>
      <c r="BM55" s="773">
        <f t="shared" si="35"/>
        <v>0</v>
      </c>
      <c r="BN55" s="774">
        <f t="shared" si="36"/>
        <v>0</v>
      </c>
      <c r="BO55" s="630"/>
      <c r="BP55" s="829" t="s">
        <v>1703</v>
      </c>
      <c r="BQ55" s="829" t="s">
        <v>1703</v>
      </c>
      <c r="BR55" s="829" t="s">
        <v>1703</v>
      </c>
      <c r="BS55" s="767">
        <f t="shared" si="43"/>
        <v>0.15</v>
      </c>
      <c r="BT55" s="805" t="s">
        <v>1621</v>
      </c>
      <c r="BU55" s="805" t="s">
        <v>1622</v>
      </c>
      <c r="BV55" s="757">
        <f t="shared" si="42"/>
        <v>7</v>
      </c>
      <c r="BW55" s="806">
        <v>150</v>
      </c>
      <c r="BX55" s="630"/>
      <c r="BY55" s="630"/>
      <c r="BZ55" s="630"/>
      <c r="CA55" s="630"/>
      <c r="CB55" s="630"/>
      <c r="CC55" s="630"/>
      <c r="CD55" s="781" t="str">
        <f t="shared" si="15"/>
        <v>►</v>
      </c>
      <c r="CE55" s="818"/>
      <c r="CF55" s="634"/>
      <c r="CG55" s="634"/>
      <c r="CH55" s="635"/>
      <c r="CI55" s="635"/>
      <c r="CJ55" s="719"/>
      <c r="CK55" s="825" t="s">
        <v>1665</v>
      </c>
      <c r="CL55" s="9"/>
      <c r="CM55" s="9"/>
      <c r="CN55" s="9"/>
      <c r="CO55" s="9"/>
      <c r="CP55" s="9"/>
      <c r="CQ55" s="38"/>
      <c r="CS55" s="825" t="s">
        <v>1666</v>
      </c>
      <c r="CT55" s="9"/>
      <c r="CU55" s="9"/>
      <c r="CV55" s="9"/>
      <c r="CW55" s="9"/>
      <c r="CX55" s="9"/>
      <c r="CY55" s="38"/>
      <c r="DA55" s="825" t="s">
        <v>1667</v>
      </c>
      <c r="DB55" s="9"/>
      <c r="DC55" s="9"/>
      <c r="DD55" s="9"/>
      <c r="DE55" s="9"/>
      <c r="DF55" s="9"/>
      <c r="DG55" s="38"/>
      <c r="DI55" s="3">
        <v>1</v>
      </c>
    </row>
    <row r="56" spans="1:113" s="627" customFormat="1" ht="21" customHeight="1">
      <c r="A56" s="701" t="s">
        <v>21</v>
      </c>
      <c r="B56" s="2265" t="str" cm="1">
        <f t="array" ref="B56">SUMPRODUCT(--(D56:J56&lt;&gt;""), LEN(TRIM(SUBSTITUTE(D56:J56, CHAR(160), "")))) &amp; " Car."</f>
        <v>0 Car.</v>
      </c>
      <c r="C56" s="1376" t="str">
        <f>IF(ISBLANK(D56),"",LARGE(C13:C55,1)+1)</f>
        <v/>
      </c>
      <c r="D56" s="1833"/>
      <c r="E56" s="1810"/>
      <c r="F56" s="1810"/>
      <c r="G56" s="1810"/>
      <c r="H56" s="1810"/>
      <c r="I56" s="1810"/>
      <c r="J56" s="1810"/>
      <c r="K56" s="1810"/>
      <c r="L56" s="1811"/>
      <c r="M56" s="9"/>
      <c r="N56" s="162" t="str">
        <f t="shared" si="16"/>
        <v>A</v>
      </c>
      <c r="O56" s="6839"/>
      <c r="P56" s="9"/>
      <c r="Q56" s="162" t="s">
        <v>10</v>
      </c>
      <c r="R56" s="163" t="str">
        <f>R20</f>
        <v>C CHIBOUST PAMPLEMOUSSE | pâtisserie--ENTREMET| Auteur &gt; recette Béghin Say de Jean-Jacques Borne MOF 1994</v>
      </c>
      <c r="S56" s="163">
        <f>S20</f>
        <v>18</v>
      </c>
      <c r="T56" s="164" t="str">
        <f>T20</f>
        <v>desserts</v>
      </c>
      <c r="U56" s="165" t="str">
        <f>U20</f>
        <v>Recette mère ► MILLE-FEUILLE  aux fraises des bois</v>
      </c>
      <c r="V56" s="1548"/>
      <c r="W56" s="1548"/>
      <c r="X56" s="2190">
        <f>ROWS(AB48:AB56)</f>
        <v>9</v>
      </c>
      <c r="Y56" s="5549" t="str" cm="1">
        <f t="array" ref="Y56">IF(SUMPRODUCT((AB56:AG56&lt;&gt;"")*1)=0,"",SUMPRODUCT((AB56:AG56&lt;&gt;"")*(LEN(TRIM(SUBSTITUTE(AB56:AG56,CHAR(160)," "))) - LEN(SUBSTITUTE(TRIM(SUBSTITUTE(AB56:AG56,CHAR(160)," "))," ","")) + 1)) &amp; " mot" &amp; IF(SUMPRODUCT((AB56:AG56&lt;&gt;"")*(LEN(TRIM(SUBSTITUTE(AB56:AG56,CHAR(160)," "))) - LEN(SUBSTITUTE(TRIM(SUBSTITUTE(AB56:AG56,CHAR(160)," "))," ","")) + 1))&gt;1,"s",""))</f>
        <v/>
      </c>
      <c r="Z56" s="5550" t="str" cm="1">
        <f t="array" ref="Z56">SUMPRODUCT(--(AB56:AG56&lt;&gt;""), LEN(TRIM(SUBSTITUTE(AB56:AG56, CHAR(160), "")))) &amp; " Car."</f>
        <v>0 Car.</v>
      </c>
      <c r="AA56" s="1376" t="str">
        <f>IF(ISBLANK(AB56),"",LARGE(AA47:AA55,1)+1)</f>
        <v/>
      </c>
      <c r="AB56" s="1810"/>
      <c r="AC56" s="1810"/>
      <c r="AD56" s="1810"/>
      <c r="AE56" s="1810"/>
      <c r="AF56" s="1810"/>
      <c r="AG56" s="1810"/>
      <c r="AH56" s="1810"/>
      <c r="AI56" s="1810"/>
      <c r="AJ56" s="1811"/>
      <c r="AK56" s="6120" t="str">
        <f t="shared" si="40"/>
        <v>►</v>
      </c>
      <c r="AL56" s="781" t="str">
        <f t="shared" si="20"/>
        <v>►</v>
      </c>
      <c r="AM56" s="5498" t="str">
        <f t="shared" si="21"/>
        <v/>
      </c>
      <c r="AN56" s="783" t="str">
        <f t="shared" si="22"/>
        <v/>
      </c>
      <c r="AO56" s="782" t="str">
        <f t="shared" si="23"/>
        <v/>
      </c>
      <c r="AP56" s="783" t="str">
        <f t="shared" si="24"/>
        <v/>
      </c>
      <c r="AQ56" s="2083" t="b">
        <f>AND(Q56="A",COUNTIF(BP16:BR63,TRIM(Z56))&gt;0)</f>
        <v>0</v>
      </c>
      <c r="AR56" s="797" t="str">
        <f>IF(AL56&lt;&gt;"A","",IFERROR(IFERROR(_xlfn.XLOOKUP(TRIM(SUBSTITUTE(Z56,CHAR(160)," ")),BP16:BP63,BS16:BS63),IFERROR(_xlfn.XLOOKUP(TRIM(SUBSTITUTE(Z56,CHAR(160)," ")),BQ16:BQ63,BS16:BS63),_xlfn.XLOOKUP(TRIM(SUBSTITUTE(Z56,CHAR(160)," ")),BR16:BR63,BS16:BS63)))*Y56*IF(ISBLANK(V56),1,V56),0))</f>
        <v/>
      </c>
      <c r="AS56" s="784" t="str">
        <f t="shared" si="25"/>
        <v/>
      </c>
      <c r="AT56" s="1315" t="str">
        <f t="shared" si="26"/>
        <v/>
      </c>
      <c r="AU56" s="785">
        <f t="shared" si="27"/>
        <v>0</v>
      </c>
      <c r="AV56" s="785">
        <f t="shared" si="28"/>
        <v>0</v>
      </c>
      <c r="AW56" s="798">
        <f>IF(AK56="A",AY10,0)</f>
        <v>0</v>
      </c>
      <c r="AX56" s="5496" t="str">
        <f>IF(IFERROR(SEARCH("Adresse PC",TRIM(W56)),0)&gt;0,"▼ receta siguiente",IF(AK56="A",IF(AZ10&lt;&gt;"",AZ10&amp;" - ou.or.o ❾ + or - &gt;",""),""))</f>
        <v/>
      </c>
      <c r="AY56" s="810"/>
      <c r="AZ56" s="810"/>
      <c r="BA56" s="799" t="str">
        <f t="shared" si="29"/>
        <v/>
      </c>
      <c r="BB56" s="800" t="str">
        <f>IF(AK56="A",IF(AQ56,IF(AND(AW56&lt;&gt;"",N(AW56)&gt;0),IFERROR(IFERROR(_xlfn.XLOOKUP(AP56,BP10:BP57,BT10:BT57),IFERROR(_xlfn.XLOOKUP(AP56,BQ10:BQ57,BT10:BT57),_xlfn.XLOOKUP(AP56,BR10:BR57,BT10:BT57,""))),""),""),""),"")</f>
        <v/>
      </c>
      <c r="BC56" s="813" cm="1">
        <f t="array" ref="BC56">IF(NOT(AQ56),0,IF(OR(BA56="",N(BA56)&lt;=0.000000001),"",IF(OR(AU56="",N(AU56)&lt;=0.000000001),0,IF(ISNUMBER(BA56),IFERROR(_xlfn.LET(_xlpm.ai_test,TRIM(AP56),_xlpm.r,IFERROR(_xlfn.XLOOKUP(_xlpm.ai_test,BP16:BP63,ROW(BP16:BP63),0,1),IFERROR(_xlfn.XLOOKUP(_xlpm.ai_test,BQ16:BQ63,ROW(BQ16:BQ63),0,1),_xlfn.XLOOKUP(_xlpm.ai_test,BR16:BR63,ROW(BR16:BR63),0,1))),_xlpm.p,_xlpm.r-MIN(ROW(BP16:BP63))+1,_xlpm.f,INDEX(BS16:BS63,_xlpm.p),_xlpm.u,INDEX(BT16:BT63,_xlpm.p),_xlpm.s,INDEX(BV16:BV63,_xlpm.p),_xlpm.q,N(BA56)/_xlpm.f,IF(_xlpm.q&gt;=_xlpm.s,ROUND(_xlpm.q,1)&amp;" "&amp;_xlpm.ai_test&amp;" = "&amp;ROUND(_xlpm.q*_xlpm.f,1)&amp;" "&amp;_xlpm.u,ROUND(_xlpm.q,1)&amp;" "&amp;_xlpm.ai_test)),""),""))))</f>
        <v>0</v>
      </c>
      <c r="BD56" s="801"/>
      <c r="BE56" s="799" t="str">
        <f t="shared" si="30"/>
        <v/>
      </c>
      <c r="BF56" s="800" t="str">
        <f t="shared" si="44"/>
        <v/>
      </c>
      <c r="BG56" s="802">
        <f t="shared" si="45"/>
        <v>0</v>
      </c>
      <c r="BH56" s="803" t="str">
        <f t="shared" si="46"/>
        <v/>
      </c>
      <c r="BI56" s="792"/>
      <c r="BJ56" s="804">
        <f t="shared" si="47"/>
        <v>0</v>
      </c>
      <c r="BK56" s="794" t="str">
        <f t="shared" si="38"/>
        <v/>
      </c>
      <c r="BL56" s="227" t="s">
        <v>21</v>
      </c>
      <c r="BM56" s="773">
        <f t="shared" si="35"/>
        <v>0</v>
      </c>
      <c r="BN56" s="774">
        <f t="shared" si="36"/>
        <v>0</v>
      </c>
      <c r="BO56" s="630"/>
      <c r="BP56" s="829" t="s">
        <v>1710</v>
      </c>
      <c r="BQ56" s="829" t="s">
        <v>1710</v>
      </c>
      <c r="BR56" s="829" t="s">
        <v>1711</v>
      </c>
      <c r="BS56" s="767">
        <f t="shared" si="43"/>
        <v>0.25</v>
      </c>
      <c r="BT56" s="805" t="s">
        <v>1621</v>
      </c>
      <c r="BU56" s="805" t="s">
        <v>1622</v>
      </c>
      <c r="BV56" s="757">
        <f t="shared" si="42"/>
        <v>4</v>
      </c>
      <c r="BW56" s="806">
        <v>250</v>
      </c>
      <c r="BX56" s="630"/>
      <c r="BY56" s="630"/>
      <c r="BZ56" s="630"/>
      <c r="CA56" s="630"/>
      <c r="CB56" s="630"/>
      <c r="CC56" s="630"/>
      <c r="CD56" s="781" t="str">
        <f t="shared" si="15"/>
        <v>►</v>
      </c>
      <c r="CE56" s="818"/>
      <c r="CF56" s="634"/>
      <c r="CG56" s="634"/>
      <c r="CH56" s="635"/>
      <c r="CI56" s="635"/>
      <c r="CJ56" s="719"/>
      <c r="CK56" s="826" t="s">
        <v>1669</v>
      </c>
      <c r="CL56" s="9"/>
      <c r="CM56" s="9"/>
      <c r="CN56" s="9"/>
      <c r="CO56" s="9"/>
      <c r="CP56" s="9"/>
      <c r="CQ56" s="38"/>
      <c r="CS56" s="826" t="s">
        <v>1670</v>
      </c>
      <c r="CT56" s="9"/>
      <c r="CU56" s="9"/>
      <c r="CV56" s="9"/>
      <c r="CW56" s="9"/>
      <c r="CX56" s="9"/>
      <c r="CY56" s="38"/>
      <c r="DA56" s="826" t="s">
        <v>1671</v>
      </c>
      <c r="DB56" s="9"/>
      <c r="DC56" s="9"/>
      <c r="DD56" s="9"/>
      <c r="DE56" s="9"/>
      <c r="DF56" s="9"/>
      <c r="DG56" s="38"/>
      <c r="DI56" s="3">
        <v>1</v>
      </c>
    </row>
    <row r="57" spans="1:113" s="627" customFormat="1" ht="21" customHeight="1">
      <c r="A57" s="701" t="s">
        <v>21</v>
      </c>
      <c r="B57" s="2265" t="str" cm="1">
        <f t="array" ref="B57">SUMPRODUCT(--(D57:J57&lt;&gt;""), LEN(TRIM(SUBSTITUTE(D57:J57, CHAR(160), "")))) &amp; " Car."</f>
        <v>0 Car.</v>
      </c>
      <c r="C57" s="1376" t="str">
        <f>IF(ISBLANK(D57),"",LARGE(C13:C56,1)+1)</f>
        <v/>
      </c>
      <c r="D57" s="1833"/>
      <c r="E57" s="1810"/>
      <c r="F57" s="1810"/>
      <c r="G57" s="1810"/>
      <c r="H57" s="1810"/>
      <c r="I57" s="1810"/>
      <c r="J57" s="1810"/>
      <c r="K57" s="1810"/>
      <c r="L57" s="1811"/>
      <c r="M57" s="9"/>
      <c r="N57" s="162" t="str">
        <f t="shared" si="16"/>
        <v>A</v>
      </c>
      <c r="O57" s="6839"/>
      <c r="P57" s="9"/>
      <c r="Q57" s="162" t="s">
        <v>10</v>
      </c>
      <c r="R57" s="163" t="str">
        <f>R20</f>
        <v>C CHIBOUST PAMPLEMOUSSE | pâtisserie--ENTREMET| Auteur &gt; recette Béghin Say de Jean-Jacques Borne MOF 1994</v>
      </c>
      <c r="S57" s="163">
        <f>S20</f>
        <v>18</v>
      </c>
      <c r="T57" s="164" t="str">
        <f>T20</f>
        <v>desserts</v>
      </c>
      <c r="U57" s="165" t="str">
        <f>U20</f>
        <v>Recette mère ► MILLE-FEUILLE  aux fraises des bois</v>
      </c>
      <c r="V57" s="1548"/>
      <c r="W57" s="1548"/>
      <c r="X57" s="2190">
        <f>ROWS(AB48:AB57)</f>
        <v>10</v>
      </c>
      <c r="Y57" s="5549" t="str" cm="1">
        <f t="array" ref="Y57">IF(SUMPRODUCT((AB57:AG57&lt;&gt;"")*1)=0,"",SUMPRODUCT((AB57:AG57&lt;&gt;"")*(LEN(TRIM(SUBSTITUTE(AB57:AG57,CHAR(160)," "))) - LEN(SUBSTITUTE(TRIM(SUBSTITUTE(AB57:AG57,CHAR(160)," "))," ","")) + 1)) &amp; " mot" &amp; IF(SUMPRODUCT((AB57:AG57&lt;&gt;"")*(LEN(TRIM(SUBSTITUTE(AB57:AG57,CHAR(160)," "))) - LEN(SUBSTITUTE(TRIM(SUBSTITUTE(AB57:AG57,CHAR(160)," "))," ","")) + 1))&gt;1,"s",""))</f>
        <v/>
      </c>
      <c r="Z57" s="5550" t="str" cm="1">
        <f t="array" ref="Z57">SUMPRODUCT(--(AB57:AG57&lt;&gt;""), LEN(TRIM(SUBSTITUTE(AB57:AG57, CHAR(160), "")))) &amp; " Car."</f>
        <v>0 Car.</v>
      </c>
      <c r="AA57" s="1376" t="str">
        <f>IF(ISBLANK(AB57),"",LARGE(AA47:AA56,1)+1)</f>
        <v/>
      </c>
      <c r="AB57" s="1810"/>
      <c r="AC57" s="1810"/>
      <c r="AD57" s="1810"/>
      <c r="AE57" s="1810"/>
      <c r="AF57" s="1810"/>
      <c r="AG57" s="1810"/>
      <c r="AH57" s="1810"/>
      <c r="AI57" s="1810"/>
      <c r="AJ57" s="1811"/>
      <c r="AK57" s="6120" t="str">
        <f t="shared" si="40"/>
        <v>►</v>
      </c>
      <c r="AL57" s="781" t="str">
        <f t="shared" si="20"/>
        <v>►</v>
      </c>
      <c r="AM57" s="5499" t="str">
        <f t="shared" si="21"/>
        <v/>
      </c>
      <c r="AN57" s="783" t="str">
        <f t="shared" si="22"/>
        <v/>
      </c>
      <c r="AO57" s="782" t="str">
        <f t="shared" si="23"/>
        <v/>
      </c>
      <c r="AP57" s="783" t="str">
        <f t="shared" si="24"/>
        <v/>
      </c>
      <c r="AQ57" s="2083" t="b">
        <f>AND(Q57="A",COUNTIF(BP16:BR63,TRIM(Z57))&gt;0)</f>
        <v>0</v>
      </c>
      <c r="AR57" s="797" t="str">
        <f>IF(AL57&lt;&gt;"A","",IFERROR(IFERROR(_xlfn.XLOOKUP(TRIM(SUBSTITUTE(Z57,CHAR(160)," ")),BP16:BP63,BS16:BS63),IFERROR(_xlfn.XLOOKUP(TRIM(SUBSTITUTE(Z57,CHAR(160)," ")),BQ16:BQ63,BS16:BS63),_xlfn.XLOOKUP(TRIM(SUBSTITUTE(Z57,CHAR(160)," ")),BR16:BR63,BS16:BS63)))*Y57*IF(ISBLANK(V57),1,V57),0))</f>
        <v/>
      </c>
      <c r="AS57" s="784" t="str">
        <f t="shared" si="25"/>
        <v/>
      </c>
      <c r="AT57" s="1315" t="str">
        <f t="shared" si="26"/>
        <v/>
      </c>
      <c r="AU57" s="785">
        <f t="shared" si="27"/>
        <v>0</v>
      </c>
      <c r="AV57" s="785">
        <f t="shared" si="28"/>
        <v>0</v>
      </c>
      <c r="AW57" s="786">
        <f>IF(AK57="A",AY10,0)</f>
        <v>0</v>
      </c>
      <c r="AX57" s="5495" t="str">
        <f>IF(IFERROR(SEARCH("Adresse PC",TRIM(W57)),0)&gt;0,"▼ receta siguiente",IF(AK57="A",IF(AZ10&lt;&gt;"",AZ10&amp;" - ou.or.o ❾ + or - &gt;",""),""))</f>
        <v/>
      </c>
      <c r="AY57" s="810"/>
      <c r="AZ57" s="810"/>
      <c r="BA57" s="788" t="str">
        <f t="shared" si="29"/>
        <v/>
      </c>
      <c r="BB57" s="789" t="str">
        <f>IF(AK57="A",IF(AQ57,IF(AND(AW57&lt;&gt;"",N(AW57)&gt;0),IFERROR(IFERROR(_xlfn.XLOOKUP(AP57,BP10:BP57,BT10:BT57),IFERROR(_xlfn.XLOOKUP(AP57,BQ10:BQ57,BT10:BT57),_xlfn.XLOOKUP(AP57,BR10:BR57,BT10:BT57,""))),""),""),""),"")</f>
        <v/>
      </c>
      <c r="BC57" s="811" cm="1">
        <f t="array" ref="BC57">IF(NOT(AQ57),0,IF(OR(BA57="",N(BA57)&lt;=0.000000001),"",IF(OR(AU57="",N(AU57)&lt;=0.000000001),0,IF(ISNUMBER(BA57),IFERROR(_xlfn.LET(_xlpm.ai_test,TRIM(AP57),_xlpm.r,IFERROR(_xlfn.XLOOKUP(_xlpm.ai_test,BP16:BP63,ROW(BP16:BP63),0,1),IFERROR(_xlfn.XLOOKUP(_xlpm.ai_test,BQ16:BQ63,ROW(BQ16:BQ63),0,1),_xlfn.XLOOKUP(_xlpm.ai_test,BR16:BR63,ROW(BR16:BR63),0,1))),_xlpm.p,_xlpm.r-MIN(ROW(BP16:BP63))+1,_xlpm.f,INDEX(BS16:BS63,_xlpm.p),_xlpm.u,INDEX(BT16:BT63,_xlpm.p),_xlpm.s,INDEX(BV16:BV63,_xlpm.p),_xlpm.q,N(BA57)/_xlpm.f,IF(_xlpm.q&gt;=_xlpm.s,ROUND(_xlpm.q,1)&amp;" "&amp;_xlpm.ai_test&amp;" = "&amp;ROUND(_xlpm.q*_xlpm.f,1)&amp;" "&amp;_xlpm.u,ROUND(_xlpm.q,1)&amp;" "&amp;_xlpm.ai_test)),""),""))))</f>
        <v>0</v>
      </c>
      <c r="BD57" s="801"/>
      <c r="BE57" s="788" t="str">
        <f t="shared" si="30"/>
        <v/>
      </c>
      <c r="BF57" s="789" t="str">
        <f t="shared" si="44"/>
        <v/>
      </c>
      <c r="BG57" s="790">
        <f t="shared" si="45"/>
        <v>0</v>
      </c>
      <c r="BH57" s="791" t="str">
        <f t="shared" si="46"/>
        <v/>
      </c>
      <c r="BI57" s="792"/>
      <c r="BJ57" s="793">
        <f t="shared" si="47"/>
        <v>0</v>
      </c>
      <c r="BK57" s="794" t="str">
        <f t="shared" si="38"/>
        <v/>
      </c>
      <c r="BL57" s="227" t="s">
        <v>21</v>
      </c>
      <c r="BM57" s="773">
        <f t="shared" si="35"/>
        <v>0</v>
      </c>
      <c r="BN57" s="774">
        <f t="shared" si="36"/>
        <v>0</v>
      </c>
      <c r="BO57" s="630"/>
      <c r="BP57" s="829" t="s">
        <v>1718</v>
      </c>
      <c r="BQ57" s="829" t="s">
        <v>1719</v>
      </c>
      <c r="BR57" s="829" t="s">
        <v>1720</v>
      </c>
      <c r="BS57" s="767">
        <f t="shared" si="43"/>
        <v>0.23699999999999999</v>
      </c>
      <c r="BT57" s="805" t="s">
        <v>1621</v>
      </c>
      <c r="BU57" s="805" t="s">
        <v>1622</v>
      </c>
      <c r="BV57" s="757">
        <f t="shared" si="42"/>
        <v>4</v>
      </c>
      <c r="BW57" s="806">
        <v>237</v>
      </c>
      <c r="BX57" s="630"/>
      <c r="BY57" s="630"/>
      <c r="BZ57" s="630"/>
      <c r="CA57" s="630"/>
      <c r="CB57" s="630"/>
      <c r="CC57" s="630"/>
      <c r="CD57" s="781" t="str">
        <f t="shared" si="15"/>
        <v>►</v>
      </c>
      <c r="CE57" s="818"/>
      <c r="CF57" s="634"/>
      <c r="CG57" s="634"/>
      <c r="CH57" s="635"/>
      <c r="CI57" s="635"/>
      <c r="CJ57" s="719"/>
      <c r="CK57" s="826" t="s">
        <v>1672</v>
      </c>
      <c r="CL57" s="9"/>
      <c r="CM57" s="9"/>
      <c r="CN57" s="9"/>
      <c r="CO57" s="9"/>
      <c r="CP57" s="9"/>
      <c r="CQ57" s="38"/>
      <c r="CS57" s="826" t="s">
        <v>1673</v>
      </c>
      <c r="CT57" s="9"/>
      <c r="CU57" s="9"/>
      <c r="CV57" s="9"/>
      <c r="CW57" s="9"/>
      <c r="CX57" s="9"/>
      <c r="CY57" s="38"/>
      <c r="DA57" s="826" t="s">
        <v>1674</v>
      </c>
      <c r="DB57" s="9"/>
      <c r="DC57" s="9"/>
      <c r="DD57" s="9"/>
      <c r="DE57" s="9"/>
      <c r="DF57" s="9"/>
      <c r="DG57" s="38"/>
      <c r="DI57" s="3">
        <v>1</v>
      </c>
    </row>
    <row r="58" spans="1:113" s="627" customFormat="1" ht="21" customHeight="1">
      <c r="A58" s="701" t="s">
        <v>21</v>
      </c>
      <c r="B58" s="2265" t="str" cm="1">
        <f t="array" ref="B58">SUMPRODUCT(--(D58:J58&lt;&gt;""), LEN(TRIM(SUBSTITUTE(D58:J58, CHAR(160), "")))) &amp; " Car."</f>
        <v>0 Car.</v>
      </c>
      <c r="C58" s="1376" t="str">
        <f>IF(ISBLANK(D58),"",LARGE(C13:C57,1)+1)</f>
        <v/>
      </c>
      <c r="D58" s="1833"/>
      <c r="E58" s="1810"/>
      <c r="F58" s="1810"/>
      <c r="G58" s="1810"/>
      <c r="H58" s="1810"/>
      <c r="I58" s="1810"/>
      <c r="J58" s="1810"/>
      <c r="K58" s="1810"/>
      <c r="L58" s="1811"/>
      <c r="M58" s="9"/>
      <c r="N58" s="162" t="str">
        <f t="shared" si="16"/>
        <v>A</v>
      </c>
      <c r="O58" s="6839" t="s">
        <v>8265</v>
      </c>
      <c r="P58" s="9"/>
      <c r="Q58" s="162" t="s">
        <v>10</v>
      </c>
      <c r="R58" s="163" t="str">
        <f>R20</f>
        <v>C CHIBOUST PAMPLEMOUSSE | pâtisserie--ENTREMET| Auteur &gt; recette Béghin Say de Jean-Jacques Borne MOF 1994</v>
      </c>
      <c r="S58" s="1943">
        <f>S20</f>
        <v>18</v>
      </c>
      <c r="T58" s="164" t="str">
        <f>T20</f>
        <v>desserts</v>
      </c>
      <c r="U58" s="165" t="str">
        <f>U20</f>
        <v>Recette mère ► MILLE-FEUILLE  aux fraises des bois</v>
      </c>
      <c r="V58" s="1548"/>
      <c r="W58" s="1548"/>
      <c r="X58" s="2190">
        <f>ROWS(AB48:AB58)</f>
        <v>11</v>
      </c>
      <c r="Y58" s="5549" t="str" cm="1">
        <f t="array" ref="Y58">IF(SUMPRODUCT((AB58:AG58&lt;&gt;"")*1)=0,"",SUMPRODUCT((AB58:AG58&lt;&gt;"")*(LEN(TRIM(SUBSTITUTE(AB58:AG58,CHAR(160)," "))) - LEN(SUBSTITUTE(TRIM(SUBSTITUTE(AB58:AG58,CHAR(160)," "))," ","")) + 1)) &amp; " mot" &amp; IF(SUMPRODUCT((AB58:AG58&lt;&gt;"")*(LEN(TRIM(SUBSTITUTE(AB58:AG58,CHAR(160)," "))) - LEN(SUBSTITUTE(TRIM(SUBSTITUTE(AB58:AG58,CHAR(160)," "))," ","")) + 1))&gt;1,"s",""))</f>
        <v/>
      </c>
      <c r="Z58" s="5550" t="str" cm="1">
        <f t="array" ref="Z58">SUMPRODUCT(--(AB58:AG58&lt;&gt;""), LEN(TRIM(SUBSTITUTE(AB58:AG58, CHAR(160), "")))) &amp; " Car."</f>
        <v>0 Car.</v>
      </c>
      <c r="AA58" s="1376" t="str">
        <f>IF(ISBLANK(AB58),"",LARGE(AA47:AA57,1)+1)</f>
        <v/>
      </c>
      <c r="AB58" s="1810"/>
      <c r="AC58" s="1810"/>
      <c r="AD58" s="1810"/>
      <c r="AE58" s="1810"/>
      <c r="AF58" s="1810"/>
      <c r="AG58" s="1810"/>
      <c r="AH58" s="1810"/>
      <c r="AI58" s="1810"/>
      <c r="AJ58" s="1811"/>
      <c r="AK58" s="6120" t="str">
        <f t="shared" si="40"/>
        <v>►</v>
      </c>
      <c r="AL58" s="781" t="str">
        <f t="shared" si="20"/>
        <v>►</v>
      </c>
      <c r="AM58" s="5498" t="str">
        <f t="shared" si="21"/>
        <v/>
      </c>
      <c r="AN58" s="783" t="str">
        <f t="shared" si="22"/>
        <v/>
      </c>
      <c r="AO58" s="782" t="str">
        <f t="shared" si="23"/>
        <v/>
      </c>
      <c r="AP58" s="783" t="str">
        <f t="shared" si="24"/>
        <v/>
      </c>
      <c r="AQ58" s="2083" t="b">
        <f>AND(Q58="A",COUNTIF(BP16:BR63,TRIM(Z58))&gt;0)</f>
        <v>0</v>
      </c>
      <c r="AR58" s="797" t="str">
        <f>IF(AL58&lt;&gt;"A","",IFERROR(IFERROR(_xlfn.XLOOKUP(TRIM(SUBSTITUTE(Z58,CHAR(160)," ")),BP16:BP63,BS16:BS63),IFERROR(_xlfn.XLOOKUP(TRIM(SUBSTITUTE(Z58,CHAR(160)," ")),BQ16:BQ63,BS16:BS63),_xlfn.XLOOKUP(TRIM(SUBSTITUTE(Z58,CHAR(160)," ")),BR16:BR63,BS16:BS63)))*Y58*IF(ISBLANK(V58),1,V58),0))</f>
        <v/>
      </c>
      <c r="AS58" s="784" t="str">
        <f t="shared" si="25"/>
        <v/>
      </c>
      <c r="AT58" s="1315" t="str">
        <f t="shared" si="26"/>
        <v/>
      </c>
      <c r="AU58" s="785">
        <f t="shared" si="27"/>
        <v>0</v>
      </c>
      <c r="AV58" s="785">
        <f t="shared" si="28"/>
        <v>0</v>
      </c>
      <c r="AW58" s="798">
        <f>IF(AK58="A",AY10,0)</f>
        <v>0</v>
      </c>
      <c r="AX58" s="5496" t="str">
        <f>IF(IFERROR(SEARCH("Adresse PC",TRIM(W58)),0)&gt;0,"▼ receta siguiente",IF(AK58="A",IF(AZ10&lt;&gt;"",AZ10&amp;" - ou.or.o ❾ + or - &gt;",""),""))</f>
        <v/>
      </c>
      <c r="AY58" s="810"/>
      <c r="AZ58" s="810"/>
      <c r="BA58" s="799" t="str">
        <f t="shared" si="29"/>
        <v/>
      </c>
      <c r="BB58" s="800" t="str">
        <f>IF(AK58="A",IF(AQ58,IF(AND(AW58&lt;&gt;"",N(AW58)&gt;0),IFERROR(IFERROR(_xlfn.XLOOKUP(AP58,BP10:BP57,BT10:BT57),IFERROR(_xlfn.XLOOKUP(AP58,BQ10:BQ57,BT10:BT57),_xlfn.XLOOKUP(AP58,BR10:BR57,BT10:BT57,""))),""),""),""),"")</f>
        <v/>
      </c>
      <c r="BC58" s="813" cm="1">
        <f t="array" ref="BC58">IF(NOT(AQ58),0,IF(OR(BA58="",N(BA58)&lt;=0.000000001),"",IF(OR(AU58="",N(AU58)&lt;=0.000000001),0,IF(ISNUMBER(BA58),IFERROR(_xlfn.LET(_xlpm.ai_test,TRIM(AP58),_xlpm.r,IFERROR(_xlfn.XLOOKUP(_xlpm.ai_test,BP16:BP63,ROW(BP16:BP63),0,1),IFERROR(_xlfn.XLOOKUP(_xlpm.ai_test,BQ16:BQ63,ROW(BQ16:BQ63),0,1),_xlfn.XLOOKUP(_xlpm.ai_test,BR16:BR63,ROW(BR16:BR63),0,1))),_xlpm.p,_xlpm.r-MIN(ROW(BP16:BP63))+1,_xlpm.f,INDEX(BS16:BS63,_xlpm.p),_xlpm.u,INDEX(BT16:BT63,_xlpm.p),_xlpm.s,INDEX(BV16:BV63,_xlpm.p),_xlpm.q,N(BA58)/_xlpm.f,IF(_xlpm.q&gt;=_xlpm.s,ROUND(_xlpm.q,1)&amp;" "&amp;_xlpm.ai_test&amp;" = "&amp;ROUND(_xlpm.q*_xlpm.f,1)&amp;" "&amp;_xlpm.u,ROUND(_xlpm.q,1)&amp;" "&amp;_xlpm.ai_test)),""),""))))</f>
        <v>0</v>
      </c>
      <c r="BD58" s="801"/>
      <c r="BE58" s="799" t="str">
        <f t="shared" si="30"/>
        <v/>
      </c>
      <c r="BF58" s="800" t="str">
        <f t="shared" si="44"/>
        <v/>
      </c>
      <c r="BG58" s="802">
        <f t="shared" si="45"/>
        <v>0</v>
      </c>
      <c r="BH58" s="803" t="str">
        <f t="shared" si="46"/>
        <v/>
      </c>
      <c r="BI58" s="792"/>
      <c r="BJ58" s="804">
        <f t="shared" si="47"/>
        <v>0</v>
      </c>
      <c r="BK58" s="794" t="str">
        <f t="shared" si="38"/>
        <v/>
      </c>
      <c r="BL58" s="227" t="s">
        <v>21</v>
      </c>
      <c r="BM58" s="773">
        <f t="shared" si="35"/>
        <v>0</v>
      </c>
      <c r="BN58" s="774">
        <f t="shared" si="36"/>
        <v>0</v>
      </c>
      <c r="BO58" s="630"/>
      <c r="BP58" s="829" t="s">
        <v>1725</v>
      </c>
      <c r="BQ58" s="829" t="s">
        <v>1725</v>
      </c>
      <c r="BR58" s="829" t="s">
        <v>1726</v>
      </c>
      <c r="BS58" s="767">
        <f t="shared" si="43"/>
        <v>0.47299999999999998</v>
      </c>
      <c r="BT58" s="805" t="s">
        <v>1621</v>
      </c>
      <c r="BU58" s="805" t="s">
        <v>1622</v>
      </c>
      <c r="BV58" s="757">
        <f t="shared" si="42"/>
        <v>2</v>
      </c>
      <c r="BW58" s="806">
        <v>473</v>
      </c>
      <c r="BX58"/>
      <c r="BY58"/>
      <c r="BZ58"/>
      <c r="CA58"/>
      <c r="CB58"/>
      <c r="CC58"/>
      <c r="CD58" s="781" t="str">
        <f t="shared" si="15"/>
        <v>►</v>
      </c>
      <c r="CE58" s="818"/>
      <c r="CF58" s="634"/>
      <c r="CG58" s="634"/>
      <c r="CH58" s="635"/>
      <c r="CI58" s="635"/>
      <c r="CJ58" s="719"/>
      <c r="CK58" s="828" t="s">
        <v>1675</v>
      </c>
      <c r="CL58" s="9"/>
      <c r="CM58" s="9"/>
      <c r="CN58" s="9"/>
      <c r="CO58" s="9"/>
      <c r="CP58" s="9"/>
      <c r="CQ58" s="38"/>
      <c r="CS58" s="828" t="s">
        <v>1676</v>
      </c>
      <c r="CT58" s="9"/>
      <c r="CU58" s="9"/>
      <c r="CV58" s="9"/>
      <c r="CW58" s="9"/>
      <c r="CX58" s="9"/>
      <c r="CY58" s="38"/>
      <c r="DA58" s="828" t="s">
        <v>1677</v>
      </c>
      <c r="DB58" s="9"/>
      <c r="DC58" s="9"/>
      <c r="DD58" s="9"/>
      <c r="DE58" s="9"/>
      <c r="DF58" s="9"/>
      <c r="DG58" s="38"/>
      <c r="DI58" s="3">
        <v>1</v>
      </c>
    </row>
    <row r="59" spans="1:113" s="627" customFormat="1" ht="21" customHeight="1">
      <c r="A59" s="701" t="s">
        <v>21</v>
      </c>
      <c r="B59" s="2265" t="str" cm="1">
        <f t="array" ref="B59">SUMPRODUCT(--(D59:J59&lt;&gt;""), LEN(TRIM(SUBSTITUTE(D59:J59, CHAR(160), "")))) &amp; " Car."</f>
        <v>0 Car.</v>
      </c>
      <c r="C59" s="1376" t="str">
        <f>IF(ISBLANK(D59),"",LARGE(C13:C58,1)+1)</f>
        <v/>
      </c>
      <c r="D59" s="1833"/>
      <c r="E59" s="1810"/>
      <c r="F59" s="1810"/>
      <c r="G59" s="1810"/>
      <c r="H59" s="1810"/>
      <c r="I59" s="1810"/>
      <c r="J59" s="1810"/>
      <c r="K59" s="1810"/>
      <c r="L59" s="1811"/>
      <c r="M59" s="9"/>
      <c r="N59" s="162" t="str">
        <f t="shared" si="16"/>
        <v>A</v>
      </c>
      <c r="O59" s="6839"/>
      <c r="P59" s="9"/>
      <c r="Q59" s="162" t="s">
        <v>10</v>
      </c>
      <c r="R59" s="163" t="str">
        <f>R20</f>
        <v>C CHIBOUST PAMPLEMOUSSE | pâtisserie--ENTREMET| Auteur &gt; recette Béghin Say de Jean-Jacques Borne MOF 1994</v>
      </c>
      <c r="S59" s="163">
        <f>S20</f>
        <v>18</v>
      </c>
      <c r="T59" s="164" t="str">
        <f>T20</f>
        <v>desserts</v>
      </c>
      <c r="U59" s="165" t="str">
        <f>U20</f>
        <v>Recette mère ► MILLE-FEUILLE  aux fraises des bois</v>
      </c>
      <c r="V59" s="1548"/>
      <c r="W59" s="1548"/>
      <c r="X59" s="2190">
        <f>ROWS(AB48:AB59)</f>
        <v>12</v>
      </c>
      <c r="Y59" s="5549" t="str" cm="1">
        <f t="array" ref="Y59">IF(SUMPRODUCT((AB59:AG59&lt;&gt;"")*1)=0,"",SUMPRODUCT((AB59:AG59&lt;&gt;"")*(LEN(TRIM(SUBSTITUTE(AB59:AG59,CHAR(160)," "))) - LEN(SUBSTITUTE(TRIM(SUBSTITUTE(AB59:AG59,CHAR(160)," "))," ","")) + 1)) &amp; " mot" &amp; IF(SUMPRODUCT((AB59:AG59&lt;&gt;"")*(LEN(TRIM(SUBSTITUTE(AB59:AG59,CHAR(160)," "))) - LEN(SUBSTITUTE(TRIM(SUBSTITUTE(AB59:AG59,CHAR(160)," "))," ","")) + 1))&gt;1,"s",""))</f>
        <v/>
      </c>
      <c r="Z59" s="5550" t="str" cm="1">
        <f t="array" ref="Z59">SUMPRODUCT(--(AB59:AG59&lt;&gt;""), LEN(TRIM(SUBSTITUTE(AB59:AG59, CHAR(160), "")))) &amp; " Car."</f>
        <v>0 Car.</v>
      </c>
      <c r="AA59" s="1376" t="str">
        <f>IF(ISBLANK(AB59),"",LARGE(AA47:AA58,1)+1)</f>
        <v/>
      </c>
      <c r="AB59" s="1810"/>
      <c r="AC59" s="1810"/>
      <c r="AD59" s="1810"/>
      <c r="AE59" s="1810"/>
      <c r="AF59" s="1810"/>
      <c r="AG59" s="1810"/>
      <c r="AH59" s="1810"/>
      <c r="AI59" s="1810"/>
      <c r="AJ59" s="1811"/>
      <c r="AK59" s="6120" t="str">
        <f t="shared" si="40"/>
        <v>►</v>
      </c>
      <c r="AL59" s="781" t="str">
        <f t="shared" si="20"/>
        <v>►</v>
      </c>
      <c r="AM59" s="5499" t="str">
        <f t="shared" si="21"/>
        <v/>
      </c>
      <c r="AN59" s="783" t="str">
        <f t="shared" si="22"/>
        <v/>
      </c>
      <c r="AO59" s="782" t="str">
        <f t="shared" si="23"/>
        <v/>
      </c>
      <c r="AP59" s="783" t="str">
        <f t="shared" si="24"/>
        <v/>
      </c>
      <c r="AQ59" s="2083" t="b">
        <f>AND(Q59="A",COUNTIF(BP16:BR63,TRIM(Z59))&gt;0)</f>
        <v>0</v>
      </c>
      <c r="AR59" s="797" t="str">
        <f>IF(AL59&lt;&gt;"A","",IFERROR(IFERROR(_xlfn.XLOOKUP(TRIM(SUBSTITUTE(Z59,CHAR(160)," ")),BP16:BP63,BS16:BS63),IFERROR(_xlfn.XLOOKUP(TRIM(SUBSTITUTE(Z59,CHAR(160)," ")),BQ16:BQ63,BS16:BS63),_xlfn.XLOOKUP(TRIM(SUBSTITUTE(Z59,CHAR(160)," ")),BR16:BR63,BS16:BS63)))*Y59*IF(ISBLANK(V59),1,V59),0))</f>
        <v/>
      </c>
      <c r="AS59" s="784" t="str">
        <f t="shared" si="25"/>
        <v/>
      </c>
      <c r="AT59" s="1315" t="str">
        <f t="shared" si="26"/>
        <v/>
      </c>
      <c r="AU59" s="785">
        <f t="shared" si="27"/>
        <v>0</v>
      </c>
      <c r="AV59" s="785">
        <f t="shared" si="28"/>
        <v>0</v>
      </c>
      <c r="AW59" s="786">
        <f>IF(AK59="A",AY10,0)</f>
        <v>0</v>
      </c>
      <c r="AX59" s="5495" t="str">
        <f>IF(IFERROR(SEARCH("Adresse PC",TRIM(W59)),0)&gt;0,"▼ receta siguiente",IF(AK59="A",IF(AZ10&lt;&gt;"",AZ10&amp;" - ou.or.o ❾ + or - &gt;",""),""))</f>
        <v/>
      </c>
      <c r="AY59" s="810"/>
      <c r="AZ59" s="810"/>
      <c r="BA59" s="788" t="str">
        <f t="shared" si="29"/>
        <v/>
      </c>
      <c r="BB59" s="789" t="str">
        <f>IF(AK59="A",IF(AQ59,IF(AND(AW59&lt;&gt;"",N(AW59)&gt;0),IFERROR(IFERROR(_xlfn.XLOOKUP(AP59,BP10:BP57,BT10:BT57),IFERROR(_xlfn.XLOOKUP(AP59,BQ10:BQ57,BT10:BT57),_xlfn.XLOOKUP(AP59,BR10:BR57,BT10:BT57,""))),""),""),""),"")</f>
        <v/>
      </c>
      <c r="BC59" s="811" cm="1">
        <f t="array" ref="BC59">IF(NOT(AQ59),0,IF(OR(BA59="",N(BA59)&lt;=0.000000001),"",IF(OR(AU59="",N(AU59)&lt;=0.000000001),0,IF(ISNUMBER(BA59),IFERROR(_xlfn.LET(_xlpm.ai_test,TRIM(AP59),_xlpm.r,IFERROR(_xlfn.XLOOKUP(_xlpm.ai_test,BP16:BP63,ROW(BP16:BP63),0,1),IFERROR(_xlfn.XLOOKUP(_xlpm.ai_test,BQ16:BQ63,ROW(BQ16:BQ63),0,1),_xlfn.XLOOKUP(_xlpm.ai_test,BR16:BR63,ROW(BR16:BR63),0,1))),_xlpm.p,_xlpm.r-MIN(ROW(BP16:BP63))+1,_xlpm.f,INDEX(BS16:BS63,_xlpm.p),_xlpm.u,INDEX(BT16:BT63,_xlpm.p),_xlpm.s,INDEX(BV16:BV63,_xlpm.p),_xlpm.q,N(BA59)/_xlpm.f,IF(_xlpm.q&gt;=_xlpm.s,ROUND(_xlpm.q,1)&amp;" "&amp;_xlpm.ai_test&amp;" = "&amp;ROUND(_xlpm.q*_xlpm.f,1)&amp;" "&amp;_xlpm.u,ROUND(_xlpm.q,1)&amp;" "&amp;_xlpm.ai_test)),""),""))))</f>
        <v>0</v>
      </c>
      <c r="BD59" s="801"/>
      <c r="BE59" s="788" t="str">
        <f t="shared" si="30"/>
        <v/>
      </c>
      <c r="BF59" s="789" t="str">
        <f t="shared" si="44"/>
        <v/>
      </c>
      <c r="BG59" s="790">
        <f t="shared" si="45"/>
        <v>0</v>
      </c>
      <c r="BH59" s="791" t="str">
        <f t="shared" si="46"/>
        <v/>
      </c>
      <c r="BI59" s="792"/>
      <c r="BJ59" s="793">
        <f t="shared" si="47"/>
        <v>0</v>
      </c>
      <c r="BK59" s="794" t="str">
        <f t="shared" si="38"/>
        <v/>
      </c>
      <c r="BL59" s="227" t="s">
        <v>21</v>
      </c>
      <c r="BM59" s="773">
        <f t="shared" si="35"/>
        <v>0</v>
      </c>
      <c r="BN59" s="774">
        <f t="shared" si="36"/>
        <v>0</v>
      </c>
      <c r="BO59" s="630"/>
      <c r="BP59" s="829" t="s">
        <v>1728</v>
      </c>
      <c r="BQ59" s="829" t="s">
        <v>1729</v>
      </c>
      <c r="BR59" s="829" t="s">
        <v>1730</v>
      </c>
      <c r="BS59" s="767">
        <f t="shared" si="43"/>
        <v>0.47299999999999998</v>
      </c>
      <c r="BT59" s="805" t="s">
        <v>1621</v>
      </c>
      <c r="BU59" s="805" t="s">
        <v>1622</v>
      </c>
      <c r="BV59" s="757">
        <f t="shared" si="42"/>
        <v>2</v>
      </c>
      <c r="BW59" s="806">
        <v>473</v>
      </c>
      <c r="BX59"/>
      <c r="BY59"/>
      <c r="BZ59"/>
      <c r="CA59"/>
      <c r="CB59"/>
      <c r="CC59"/>
      <c r="CD59" s="781" t="str">
        <f t="shared" si="15"/>
        <v>►</v>
      </c>
      <c r="CE59" s="6859" t="s">
        <v>1731</v>
      </c>
      <c r="CF59" s="6859"/>
      <c r="CG59" s="6859"/>
      <c r="CH59" s="6859"/>
      <c r="CI59" s="6859"/>
      <c r="CJ59" s="719"/>
      <c r="CK59" s="828" t="s">
        <v>1679</v>
      </c>
      <c r="CL59" s="9"/>
      <c r="CM59" s="9"/>
      <c r="CN59" s="9"/>
      <c r="CO59" s="9"/>
      <c r="CP59" s="9"/>
      <c r="CQ59" s="38"/>
      <c r="CS59" s="828" t="s">
        <v>1680</v>
      </c>
      <c r="CT59" s="9"/>
      <c r="CU59" s="9"/>
      <c r="CV59" s="9"/>
      <c r="CW59" s="9"/>
      <c r="CX59" s="9"/>
      <c r="CY59" s="38"/>
      <c r="DA59" s="828" t="s">
        <v>1681</v>
      </c>
      <c r="DB59" s="9"/>
      <c r="DC59" s="9"/>
      <c r="DD59" s="9"/>
      <c r="DE59" s="9"/>
      <c r="DF59" s="9"/>
      <c r="DG59" s="38"/>
      <c r="DI59" s="3">
        <v>1</v>
      </c>
    </row>
    <row r="60" spans="1:113" s="627" customFormat="1" ht="21" customHeight="1">
      <c r="A60" s="701" t="s">
        <v>21</v>
      </c>
      <c r="B60" s="2265" t="str" cm="1">
        <f t="array" ref="B60">SUMPRODUCT(--(D60:J60&lt;&gt;""), LEN(TRIM(SUBSTITUTE(D60:J60, CHAR(160), "")))) &amp; " Car."</f>
        <v>0 Car.</v>
      </c>
      <c r="C60" s="1376" t="str">
        <f>IF(ISBLANK(D60),"",LARGE(C13:C59,1)+1)</f>
        <v/>
      </c>
      <c r="D60" s="1833"/>
      <c r="E60" s="1810"/>
      <c r="F60" s="1810"/>
      <c r="G60" s="1810"/>
      <c r="H60" s="1810"/>
      <c r="I60" s="1810"/>
      <c r="J60" s="1810"/>
      <c r="K60" s="1810"/>
      <c r="L60" s="1811"/>
      <c r="M60" s="9"/>
      <c r="N60" s="162" t="str">
        <f t="shared" si="16"/>
        <v>A</v>
      </c>
      <c r="O60" s="6839"/>
      <c r="P60" s="9"/>
      <c r="Q60" s="162" t="s">
        <v>10</v>
      </c>
      <c r="R60" s="163" t="str">
        <f>R20</f>
        <v>C CHIBOUST PAMPLEMOUSSE | pâtisserie--ENTREMET| Auteur &gt; recette Béghin Say de Jean-Jacques Borne MOF 1994</v>
      </c>
      <c r="S60" s="163">
        <f>S20</f>
        <v>18</v>
      </c>
      <c r="T60" s="164" t="str">
        <f>T20</f>
        <v>desserts</v>
      </c>
      <c r="U60" s="165" t="str">
        <f>U20</f>
        <v>Recette mère ► MILLE-FEUILLE  aux fraises des bois</v>
      </c>
      <c r="V60" s="1548"/>
      <c r="W60" s="1548"/>
      <c r="X60" s="2190">
        <f>ROWS(AB48:AB60)</f>
        <v>13</v>
      </c>
      <c r="Y60" s="5549" t="str" cm="1">
        <f t="array" ref="Y60">IF(SUMPRODUCT((AB60:AG60&lt;&gt;"")*1)=0,"",SUMPRODUCT((AB60:AG60&lt;&gt;"")*(LEN(TRIM(SUBSTITUTE(AB60:AG60,CHAR(160)," "))) - LEN(SUBSTITUTE(TRIM(SUBSTITUTE(AB60:AG60,CHAR(160)," "))," ","")) + 1)) &amp; " mot" &amp; IF(SUMPRODUCT((AB60:AG60&lt;&gt;"")*(LEN(TRIM(SUBSTITUTE(AB60:AG60,CHAR(160)," "))) - LEN(SUBSTITUTE(TRIM(SUBSTITUTE(AB60:AG60,CHAR(160)," "))," ","")) + 1))&gt;1,"s",""))</f>
        <v/>
      </c>
      <c r="Z60" s="5550" t="str" cm="1">
        <f t="array" ref="Z60">SUMPRODUCT(--(AB60:AG60&lt;&gt;""), LEN(TRIM(SUBSTITUTE(AB60:AG60, CHAR(160), "")))) &amp; " Car."</f>
        <v>0 Car.</v>
      </c>
      <c r="AA60" s="1376" t="str">
        <f>IF(ISBLANK(AB60),"",LARGE(AA47:AA59,1)+1)</f>
        <v/>
      </c>
      <c r="AB60" s="1810"/>
      <c r="AC60" s="1810"/>
      <c r="AD60" s="1810"/>
      <c r="AE60" s="1810"/>
      <c r="AF60" s="1810"/>
      <c r="AG60" s="1810"/>
      <c r="AH60" s="1810"/>
      <c r="AI60" s="1810"/>
      <c r="AJ60" s="1811"/>
      <c r="AK60" s="6120" t="str">
        <f t="shared" si="40"/>
        <v>►</v>
      </c>
      <c r="AL60" s="781" t="str">
        <f t="shared" si="20"/>
        <v>►</v>
      </c>
      <c r="AM60" s="5498" t="str">
        <f t="shared" si="21"/>
        <v/>
      </c>
      <c r="AN60" s="783" t="str">
        <f t="shared" si="22"/>
        <v/>
      </c>
      <c r="AO60" s="782" t="str">
        <f t="shared" si="23"/>
        <v/>
      </c>
      <c r="AP60" s="783" t="str">
        <f t="shared" si="24"/>
        <v/>
      </c>
      <c r="AQ60" s="2083" t="b">
        <f>AND(Q60="A",COUNTIF(BP16:BR63,TRIM(Z60))&gt;0)</f>
        <v>0</v>
      </c>
      <c r="AR60" s="797" t="str">
        <f>IF(AL60&lt;&gt;"A","",IFERROR(IFERROR(_xlfn.XLOOKUP(TRIM(SUBSTITUTE(Z60,CHAR(160)," ")),BP16:BP63,BS16:BS63),IFERROR(_xlfn.XLOOKUP(TRIM(SUBSTITUTE(Z60,CHAR(160)," ")),BQ16:BQ63,BS16:BS63),_xlfn.XLOOKUP(TRIM(SUBSTITUTE(Z60,CHAR(160)," ")),BR16:BR63,BS16:BS63)))*Y60*IF(ISBLANK(V60),1,V60),0))</f>
        <v/>
      </c>
      <c r="AS60" s="784" t="str">
        <f t="shared" si="25"/>
        <v/>
      </c>
      <c r="AT60" s="1315" t="str">
        <f t="shared" si="26"/>
        <v/>
      </c>
      <c r="AU60" s="785">
        <f t="shared" si="27"/>
        <v>0</v>
      </c>
      <c r="AV60" s="785">
        <f t="shared" si="28"/>
        <v>0</v>
      </c>
      <c r="AW60" s="798">
        <f>IF(AK60="A",AY10,0)</f>
        <v>0</v>
      </c>
      <c r="AX60" s="5496" t="str">
        <f>IF(IFERROR(SEARCH("Adresse PC",TRIM(W60)),0)&gt;0,"▼ receta siguiente",IF(AK60="A",IF(AZ10&lt;&gt;"",AZ10&amp;" - ou.or.o ❾ + or - &gt;",""),""))</f>
        <v/>
      </c>
      <c r="AY60" s="810"/>
      <c r="AZ60" s="810"/>
      <c r="BA60" s="799" t="str">
        <f t="shared" si="29"/>
        <v/>
      </c>
      <c r="BB60" s="800" t="str">
        <f>IF(AK60="A",IF(AQ60,IF(AND(AW60&lt;&gt;"",N(AW60)&gt;0),IFERROR(IFERROR(_xlfn.XLOOKUP(AP60,BP10:BP57,BT10:BT57),IFERROR(_xlfn.XLOOKUP(AP60,BQ10:BQ57,BT10:BT57),_xlfn.XLOOKUP(AP60,BR10:BR57,BT10:BT57,""))),""),""),""),"")</f>
        <v/>
      </c>
      <c r="BC60" s="813" cm="1">
        <f t="array" ref="BC60">IF(NOT(AQ60),0,IF(OR(BA60="",N(BA60)&lt;=0.000000001),"",IF(OR(AU60="",N(AU60)&lt;=0.000000001),0,IF(ISNUMBER(BA60),IFERROR(_xlfn.LET(_xlpm.ai_test,TRIM(AP60),_xlpm.r,IFERROR(_xlfn.XLOOKUP(_xlpm.ai_test,BP16:BP63,ROW(BP16:BP63),0,1),IFERROR(_xlfn.XLOOKUP(_xlpm.ai_test,BQ16:BQ63,ROW(BQ16:BQ63),0,1),_xlfn.XLOOKUP(_xlpm.ai_test,BR16:BR63,ROW(BR16:BR63),0,1))),_xlpm.p,_xlpm.r-MIN(ROW(BP16:BP63))+1,_xlpm.f,INDEX(BS16:BS63,_xlpm.p),_xlpm.u,INDEX(BT16:BT63,_xlpm.p),_xlpm.s,INDEX(BV16:BV63,_xlpm.p),_xlpm.q,N(BA60)/_xlpm.f,IF(_xlpm.q&gt;=_xlpm.s,ROUND(_xlpm.q,1)&amp;" "&amp;_xlpm.ai_test&amp;" = "&amp;ROUND(_xlpm.q*_xlpm.f,1)&amp;" "&amp;_xlpm.u,ROUND(_xlpm.q,1)&amp;" "&amp;_xlpm.ai_test)),""),""))))</f>
        <v>0</v>
      </c>
      <c r="BD60" s="801"/>
      <c r="BE60" s="799" t="str">
        <f t="shared" si="30"/>
        <v/>
      </c>
      <c r="BF60" s="800" t="str">
        <f t="shared" si="44"/>
        <v/>
      </c>
      <c r="BG60" s="802">
        <f t="shared" si="45"/>
        <v>0</v>
      </c>
      <c r="BH60" s="803" t="str">
        <f t="shared" si="46"/>
        <v/>
      </c>
      <c r="BI60" s="792"/>
      <c r="BJ60" s="804">
        <f t="shared" si="47"/>
        <v>0</v>
      </c>
      <c r="BK60" s="794" t="str">
        <f t="shared" si="38"/>
        <v/>
      </c>
      <c r="BL60" s="227" t="s">
        <v>21</v>
      </c>
      <c r="BM60" s="773">
        <f t="shared" si="35"/>
        <v>0</v>
      </c>
      <c r="BN60" s="774">
        <f t="shared" si="36"/>
        <v>0</v>
      </c>
      <c r="BO60" s="630"/>
      <c r="BP60" s="829" t="s">
        <v>1732</v>
      </c>
      <c r="BQ60" s="829" t="s">
        <v>1733</v>
      </c>
      <c r="BR60" s="829" t="s">
        <v>1734</v>
      </c>
      <c r="BS60" s="767">
        <f t="shared" si="43"/>
        <v>0.56799999999999995</v>
      </c>
      <c r="BT60" s="805" t="s">
        <v>1621</v>
      </c>
      <c r="BU60" s="805" t="s">
        <v>1622</v>
      </c>
      <c r="BV60" s="757">
        <f t="shared" si="42"/>
        <v>2</v>
      </c>
      <c r="BW60" s="806">
        <v>568</v>
      </c>
      <c r="BX60"/>
      <c r="BY60"/>
      <c r="BZ60"/>
      <c r="CA60"/>
      <c r="CB60"/>
      <c r="CC60"/>
      <c r="CD60" s="781" t="str">
        <f t="shared" si="15"/>
        <v>►</v>
      </c>
      <c r="CE60" s="6859"/>
      <c r="CF60" s="6859"/>
      <c r="CG60" s="6859"/>
      <c r="CH60" s="6859"/>
      <c r="CI60" s="6859"/>
      <c r="CJ60" s="719"/>
      <c r="CK60" s="830"/>
      <c r="CL60" s="9"/>
      <c r="CM60" s="9"/>
      <c r="CN60" s="9"/>
      <c r="CO60" s="9"/>
      <c r="CP60" s="9"/>
      <c r="CQ60" s="38"/>
      <c r="CS60" s="830"/>
      <c r="CT60" s="9"/>
      <c r="CU60" s="9"/>
      <c r="CV60" s="9"/>
      <c r="CW60" s="9"/>
      <c r="CX60" s="9"/>
      <c r="CY60" s="38"/>
      <c r="DA60" s="830"/>
      <c r="DB60" s="9"/>
      <c r="DC60" s="9"/>
      <c r="DD60" s="9"/>
      <c r="DE60" s="9"/>
      <c r="DF60" s="9"/>
      <c r="DG60" s="38"/>
      <c r="DI60" s="3">
        <v>1</v>
      </c>
    </row>
    <row r="61" spans="1:113" s="627" customFormat="1" ht="21" customHeight="1">
      <c r="A61" s="701" t="s">
        <v>21</v>
      </c>
      <c r="B61" s="2265" t="str" cm="1">
        <f t="array" ref="B61">SUMPRODUCT(--(D61:J61&lt;&gt;""), LEN(TRIM(SUBSTITUTE(D61:J61, CHAR(160), "")))) &amp; " Car."</f>
        <v>0 Car.</v>
      </c>
      <c r="C61" s="1376" t="str">
        <f>IF(ISBLANK(D61),"",LARGE(C13:C60,1)+1)</f>
        <v/>
      </c>
      <c r="D61" s="1833"/>
      <c r="E61" s="1810"/>
      <c r="F61" s="1810"/>
      <c r="G61" s="1810"/>
      <c r="H61" s="1810"/>
      <c r="I61" s="1810"/>
      <c r="J61" s="1810"/>
      <c r="K61" s="1810"/>
      <c r="L61" s="1811"/>
      <c r="M61" s="9"/>
      <c r="N61" s="162" t="str">
        <f t="shared" si="16"/>
        <v>A</v>
      </c>
      <c r="O61" s="2220" t="s">
        <v>8411</v>
      </c>
      <c r="P61" s="9"/>
      <c r="Q61" s="162" t="s">
        <v>10</v>
      </c>
      <c r="R61" s="163" t="str">
        <f>R20</f>
        <v>C CHIBOUST PAMPLEMOUSSE | pâtisserie--ENTREMET| Auteur &gt; recette Béghin Say de Jean-Jacques Borne MOF 1994</v>
      </c>
      <c r="S61" s="163">
        <f>S20</f>
        <v>18</v>
      </c>
      <c r="T61" s="164" t="str">
        <f>T20</f>
        <v>desserts</v>
      </c>
      <c r="U61" s="165" t="str">
        <f>U20</f>
        <v>Recette mère ► MILLE-FEUILLE  aux fraises des bois</v>
      </c>
      <c r="V61" s="1548"/>
      <c r="W61" s="1548"/>
      <c r="X61" s="2190">
        <f>ROWS(AB48:AB61)</f>
        <v>14</v>
      </c>
      <c r="Y61" s="5549" t="str" cm="1">
        <f t="array" ref="Y61">IF(SUMPRODUCT((AB61:AG61&lt;&gt;"")*1)=0,"",SUMPRODUCT((AB61:AG61&lt;&gt;"")*(LEN(TRIM(SUBSTITUTE(AB61:AG61,CHAR(160)," "))) - LEN(SUBSTITUTE(TRIM(SUBSTITUTE(AB61:AG61,CHAR(160)," "))," ","")) + 1)) &amp; " mot" &amp; IF(SUMPRODUCT((AB61:AG61&lt;&gt;"")*(LEN(TRIM(SUBSTITUTE(AB61:AG61,CHAR(160)," "))) - LEN(SUBSTITUTE(TRIM(SUBSTITUTE(AB61:AG61,CHAR(160)," "))," ","")) + 1))&gt;1,"s",""))</f>
        <v/>
      </c>
      <c r="Z61" s="5550" t="str" cm="1">
        <f t="array" ref="Z61">SUMPRODUCT(--(AB61:AG61&lt;&gt;""), LEN(TRIM(SUBSTITUTE(AB61:AG61, CHAR(160), "")))) &amp; " Car."</f>
        <v>0 Car.</v>
      </c>
      <c r="AA61" s="1376" t="str">
        <f>IF(ISBLANK(AB61),"",LARGE(AA47:AA60,1)+1)</f>
        <v/>
      </c>
      <c r="AB61" s="1810"/>
      <c r="AC61" s="1810"/>
      <c r="AD61" s="1810"/>
      <c r="AE61" s="1810"/>
      <c r="AF61" s="1810"/>
      <c r="AG61" s="1810"/>
      <c r="AH61" s="1810"/>
      <c r="AI61" s="1810"/>
      <c r="AJ61" s="1811"/>
      <c r="AK61" s="6120" t="str">
        <f t="shared" si="40"/>
        <v>►</v>
      </c>
      <c r="AL61" s="781" t="str">
        <f t="shared" si="20"/>
        <v>►</v>
      </c>
      <c r="AM61" s="5499" t="str">
        <f t="shared" si="21"/>
        <v/>
      </c>
      <c r="AN61" s="783" t="str">
        <f t="shared" si="22"/>
        <v/>
      </c>
      <c r="AO61" s="782" t="str">
        <f t="shared" si="23"/>
        <v/>
      </c>
      <c r="AP61" s="783" t="str">
        <f t="shared" si="24"/>
        <v/>
      </c>
      <c r="AQ61" s="2083" t="b">
        <f>AND(Q61="A",COUNTIF(BP16:BR63,TRIM(Z61))&gt;0)</f>
        <v>0</v>
      </c>
      <c r="AR61" s="797" t="str">
        <f>IF(AL61&lt;&gt;"A","",IFERROR(IFERROR(_xlfn.XLOOKUP(TRIM(SUBSTITUTE(Z61,CHAR(160)," ")),BP16:BP63,BS16:BS63),IFERROR(_xlfn.XLOOKUP(TRIM(SUBSTITUTE(Z61,CHAR(160)," ")),BQ16:BQ63,BS16:BS63),_xlfn.XLOOKUP(TRIM(SUBSTITUTE(Z61,CHAR(160)," ")),BR16:BR63,BS16:BS63)))*Y61*IF(ISBLANK(V61),1,V61),0))</f>
        <v/>
      </c>
      <c r="AS61" s="784" t="str">
        <f t="shared" si="25"/>
        <v/>
      </c>
      <c r="AT61" s="1315" t="str">
        <f t="shared" si="26"/>
        <v/>
      </c>
      <c r="AU61" s="785">
        <f t="shared" si="27"/>
        <v>0</v>
      </c>
      <c r="AV61" s="785">
        <f t="shared" si="28"/>
        <v>0</v>
      </c>
      <c r="AW61" s="786">
        <f>IF(AK61="A",AY10,0)</f>
        <v>0</v>
      </c>
      <c r="AX61" s="5495" t="str">
        <f>IF(IFERROR(SEARCH("Adresse PC",TRIM(W61)),0)&gt;0,"▼ receta siguiente",IF(AK61="A",IF(AZ10&lt;&gt;"",AZ10&amp;" - ou.or.o ❾ + or - &gt;",""),""))</f>
        <v/>
      </c>
      <c r="AY61" s="810"/>
      <c r="AZ61" s="810"/>
      <c r="BA61" s="788" t="str">
        <f t="shared" si="29"/>
        <v/>
      </c>
      <c r="BB61" s="789" t="str">
        <f>IF(AK61="A",IF(AQ61,IF(AND(AW61&lt;&gt;"",N(AW61)&gt;0),IFERROR(IFERROR(_xlfn.XLOOKUP(AP61,BP10:BP57,BT10:BT57),IFERROR(_xlfn.XLOOKUP(AP61,BQ10:BQ57,BT10:BT57),_xlfn.XLOOKUP(AP61,BR10:BR57,BT10:BT57,""))),""),""),""),"")</f>
        <v/>
      </c>
      <c r="BC61" s="811" cm="1">
        <f t="array" ref="BC61">IF(NOT(AQ61),0,IF(OR(BA61="",N(BA61)&lt;=0.000000001),"",IF(OR(AU61="",N(AU61)&lt;=0.000000001),0,IF(ISNUMBER(BA61),IFERROR(_xlfn.LET(_xlpm.ai_test,TRIM(AP61),_xlpm.r,IFERROR(_xlfn.XLOOKUP(_xlpm.ai_test,BP16:BP63,ROW(BP16:BP63),0,1),IFERROR(_xlfn.XLOOKUP(_xlpm.ai_test,BQ16:BQ63,ROW(BQ16:BQ63),0,1),_xlfn.XLOOKUP(_xlpm.ai_test,BR16:BR63,ROW(BR16:BR63),0,1))),_xlpm.p,_xlpm.r-MIN(ROW(BP16:BP63))+1,_xlpm.f,INDEX(BS16:BS63,_xlpm.p),_xlpm.u,INDEX(BT16:BT63,_xlpm.p),_xlpm.s,INDEX(BV16:BV63,_xlpm.p),_xlpm.q,N(BA61)/_xlpm.f,IF(_xlpm.q&gt;=_xlpm.s,ROUND(_xlpm.q,1)&amp;" "&amp;_xlpm.ai_test&amp;" = "&amp;ROUND(_xlpm.q*_xlpm.f,1)&amp;" "&amp;_xlpm.u,ROUND(_xlpm.q,1)&amp;" "&amp;_xlpm.ai_test)),""),""))))</f>
        <v>0</v>
      </c>
      <c r="BD61" s="801"/>
      <c r="BE61" s="788" t="str">
        <f t="shared" si="30"/>
        <v/>
      </c>
      <c r="BF61" s="789" t="str">
        <f t="shared" si="44"/>
        <v/>
      </c>
      <c r="BG61" s="790">
        <f t="shared" si="45"/>
        <v>0</v>
      </c>
      <c r="BH61" s="791" t="str">
        <f t="shared" si="46"/>
        <v/>
      </c>
      <c r="BI61" s="792"/>
      <c r="BJ61" s="793">
        <f t="shared" si="47"/>
        <v>0</v>
      </c>
      <c r="BK61" s="794" t="str">
        <f t="shared" si="38"/>
        <v/>
      </c>
      <c r="BL61" s="227" t="s">
        <v>21</v>
      </c>
      <c r="BM61" s="773">
        <f t="shared" si="35"/>
        <v>0</v>
      </c>
      <c r="BN61" s="774">
        <f t="shared" si="36"/>
        <v>0</v>
      </c>
      <c r="BO61" s="630"/>
      <c r="BP61" s="829" t="s">
        <v>1738</v>
      </c>
      <c r="BQ61" s="829" t="s">
        <v>1738</v>
      </c>
      <c r="BR61" s="829" t="s">
        <v>1739</v>
      </c>
      <c r="BS61" s="767">
        <f t="shared" si="43"/>
        <v>0.94599999999999995</v>
      </c>
      <c r="BT61" s="805" t="s">
        <v>1621</v>
      </c>
      <c r="BU61" s="805" t="s">
        <v>1622</v>
      </c>
      <c r="BV61" s="757">
        <f t="shared" si="42"/>
        <v>1</v>
      </c>
      <c r="BW61" s="806">
        <v>946</v>
      </c>
      <c r="BX61"/>
      <c r="BY61"/>
      <c r="BZ61"/>
      <c r="CA61"/>
      <c r="CB61"/>
      <c r="CC61"/>
      <c r="CD61" s="781" t="str">
        <f t="shared" si="15"/>
        <v>►</v>
      </c>
      <c r="CE61" s="818"/>
      <c r="CF61" s="634"/>
      <c r="CG61" s="634"/>
      <c r="CH61" s="635"/>
      <c r="CI61" s="635"/>
      <c r="CJ61" s="719"/>
      <c r="CK61" s="825" t="s">
        <v>1686</v>
      </c>
      <c r="CL61" s="9"/>
      <c r="CM61" s="9"/>
      <c r="CN61" s="9"/>
      <c r="CO61" s="9"/>
      <c r="CP61" s="9"/>
      <c r="CQ61" s="38"/>
      <c r="CS61" s="825" t="s">
        <v>1687</v>
      </c>
      <c r="CT61" s="9"/>
      <c r="CU61" s="9"/>
      <c r="CV61" s="9"/>
      <c r="CW61" s="9"/>
      <c r="CX61" s="9"/>
      <c r="CY61" s="38"/>
      <c r="DA61" s="825" t="s">
        <v>1688</v>
      </c>
      <c r="DB61" s="9"/>
      <c r="DC61" s="9"/>
      <c r="DD61" s="9"/>
      <c r="DE61" s="9"/>
      <c r="DF61" s="9"/>
      <c r="DG61" s="38"/>
      <c r="DI61" s="3">
        <v>1</v>
      </c>
    </row>
    <row r="62" spans="1:113" s="627" customFormat="1" ht="21" customHeight="1">
      <c r="A62" s="701" t="s">
        <v>21</v>
      </c>
      <c r="B62" s="2265" t="str" cm="1">
        <f t="array" ref="B62">SUMPRODUCT(--(D62:J62&lt;&gt;""), LEN(TRIM(SUBSTITUTE(D62:J62, CHAR(160), "")))) &amp; " Car."</f>
        <v>0 Car.</v>
      </c>
      <c r="C62" s="1376" t="str">
        <f>IF(ISBLANK(D62),"",LARGE(C13:C61,1)+1)</f>
        <v/>
      </c>
      <c r="D62" s="1833"/>
      <c r="E62" s="1810"/>
      <c r="F62" s="1810"/>
      <c r="G62" s="1810"/>
      <c r="H62" s="1810"/>
      <c r="I62" s="1810"/>
      <c r="J62" s="1810"/>
      <c r="K62" s="1810"/>
      <c r="L62" s="1811"/>
      <c r="M62" s="9"/>
      <c r="N62" s="162" t="str">
        <f t="shared" si="16"/>
        <v>A</v>
      </c>
      <c r="O62" s="1616">
        <v>1</v>
      </c>
      <c r="P62" s="9"/>
      <c r="Q62" s="162" t="s">
        <v>10</v>
      </c>
      <c r="R62" s="163" t="str">
        <f>R20</f>
        <v>C CHIBOUST PAMPLEMOUSSE | pâtisserie--ENTREMET| Auteur &gt; recette Béghin Say de Jean-Jacques Borne MOF 1994</v>
      </c>
      <c r="S62" s="163">
        <f>S20</f>
        <v>18</v>
      </c>
      <c r="T62" s="164" t="str">
        <f>T20</f>
        <v>desserts</v>
      </c>
      <c r="U62" s="165" t="str">
        <f>U20</f>
        <v>Recette mère ► MILLE-FEUILLE  aux fraises des bois</v>
      </c>
      <c r="V62" s="1548"/>
      <c r="W62" s="1548"/>
      <c r="X62" s="2190">
        <f>ROWS(AB48:AB62)</f>
        <v>15</v>
      </c>
      <c r="Y62" s="5549" t="str" cm="1">
        <f t="array" ref="Y62">IF(SUMPRODUCT((AB62:AG62&lt;&gt;"")*1)=0,"",SUMPRODUCT((AB62:AG62&lt;&gt;"")*(LEN(TRIM(SUBSTITUTE(AB62:AG62,CHAR(160)," "))) - LEN(SUBSTITUTE(TRIM(SUBSTITUTE(AB62:AG62,CHAR(160)," "))," ","")) + 1)) &amp; " mot" &amp; IF(SUMPRODUCT((AB62:AG62&lt;&gt;"")*(LEN(TRIM(SUBSTITUTE(AB62:AG62,CHAR(160)," "))) - LEN(SUBSTITUTE(TRIM(SUBSTITUTE(AB62:AG62,CHAR(160)," "))," ","")) + 1))&gt;1,"s",""))</f>
        <v/>
      </c>
      <c r="Z62" s="5550" t="str" cm="1">
        <f t="array" ref="Z62">SUMPRODUCT(--(AB62:AG62&lt;&gt;""), LEN(TRIM(SUBSTITUTE(AB62:AG62, CHAR(160), "")))) &amp; " Car."</f>
        <v>0 Car.</v>
      </c>
      <c r="AA62" s="1376" t="str">
        <f>IF(ISBLANK(AB62),"",LARGE(AA47:AA61,1)+1)</f>
        <v/>
      </c>
      <c r="AB62" s="1810"/>
      <c r="AC62" s="1810"/>
      <c r="AD62" s="1810"/>
      <c r="AE62" s="1810"/>
      <c r="AF62" s="1810"/>
      <c r="AG62" s="1810"/>
      <c r="AH62" s="1810"/>
      <c r="AI62" s="1810"/>
      <c r="AJ62" s="1811"/>
      <c r="AK62" s="6120" t="str">
        <f t="shared" si="40"/>
        <v>►</v>
      </c>
      <c r="AL62" s="781" t="str">
        <f t="shared" si="20"/>
        <v>►</v>
      </c>
      <c r="AM62" s="5498" t="str">
        <f t="shared" si="21"/>
        <v/>
      </c>
      <c r="AN62" s="783" t="str">
        <f t="shared" si="22"/>
        <v/>
      </c>
      <c r="AO62" s="782" t="str">
        <f t="shared" si="23"/>
        <v/>
      </c>
      <c r="AP62" s="783" t="str">
        <f t="shared" si="24"/>
        <v/>
      </c>
      <c r="AQ62" s="2083" t="b">
        <f>AND(Q62="A",COUNTIF(BP16:BR63,TRIM(Z62))&gt;0)</f>
        <v>0</v>
      </c>
      <c r="AR62" s="797" t="str">
        <f>IF(AL62&lt;&gt;"A","",IFERROR(IFERROR(_xlfn.XLOOKUP(TRIM(SUBSTITUTE(Z62,CHAR(160)," ")),BP16:BP63,BS16:BS63),IFERROR(_xlfn.XLOOKUP(TRIM(SUBSTITUTE(Z62,CHAR(160)," ")),BQ16:BQ63,BS16:BS63),_xlfn.XLOOKUP(TRIM(SUBSTITUTE(Z62,CHAR(160)," ")),BR16:BR63,BS16:BS63)))*Y62*IF(ISBLANK(V62),1,V62),0))</f>
        <v/>
      </c>
      <c r="AS62" s="784" t="str">
        <f t="shared" si="25"/>
        <v/>
      </c>
      <c r="AT62" s="1315" t="str">
        <f t="shared" si="26"/>
        <v/>
      </c>
      <c r="AU62" s="785">
        <f t="shared" si="27"/>
        <v>0</v>
      </c>
      <c r="AV62" s="785">
        <f t="shared" si="28"/>
        <v>0</v>
      </c>
      <c r="AW62" s="798">
        <f>IF(AK62="A",AY10,0)</f>
        <v>0</v>
      </c>
      <c r="AX62" s="5496" t="str">
        <f>IF(IFERROR(SEARCH("Adresse PC",TRIM(W62)),0)&gt;0,"▼ receta siguiente",IF(AK62="A",IF(AZ10&lt;&gt;"",AZ10&amp;" - ou.or.o ❾ + or - &gt;",""),""))</f>
        <v/>
      </c>
      <c r="AY62" s="810"/>
      <c r="AZ62" s="810"/>
      <c r="BA62" s="799" t="str">
        <f t="shared" si="29"/>
        <v/>
      </c>
      <c r="BB62" s="800" t="str">
        <f>IF(AK62="A",IF(AQ62,IF(AND(AW62&lt;&gt;"",N(AW62)&gt;0),IFERROR(IFERROR(_xlfn.XLOOKUP(AP62,BP10:BP57,BT10:BT57),IFERROR(_xlfn.XLOOKUP(AP62,BQ10:BQ57,BT10:BT57),_xlfn.XLOOKUP(AP62,BR10:BR57,BT10:BT57,""))),""),""),""),"")</f>
        <v/>
      </c>
      <c r="BC62" s="813" cm="1">
        <f t="array" ref="BC62">IF(NOT(AQ62),0,IF(OR(BA62="",N(BA62)&lt;=0.000000001),"",IF(OR(AU62="",N(AU62)&lt;=0.000000001),0,IF(ISNUMBER(BA62),IFERROR(_xlfn.LET(_xlpm.ai_test,TRIM(AP62),_xlpm.r,IFERROR(_xlfn.XLOOKUP(_xlpm.ai_test,BP16:BP63,ROW(BP16:BP63),0,1),IFERROR(_xlfn.XLOOKUP(_xlpm.ai_test,BQ16:BQ63,ROW(BQ16:BQ63),0,1),_xlfn.XLOOKUP(_xlpm.ai_test,BR16:BR63,ROW(BR16:BR63),0,1))),_xlpm.p,_xlpm.r-MIN(ROW(BP16:BP63))+1,_xlpm.f,INDEX(BS16:BS63,_xlpm.p),_xlpm.u,INDEX(BT16:BT63,_xlpm.p),_xlpm.s,INDEX(BV16:BV63,_xlpm.p),_xlpm.q,N(BA62)/_xlpm.f,IF(_xlpm.q&gt;=_xlpm.s,ROUND(_xlpm.q,1)&amp;" "&amp;_xlpm.ai_test&amp;" = "&amp;ROUND(_xlpm.q*_xlpm.f,1)&amp;" "&amp;_xlpm.u,ROUND(_xlpm.q,1)&amp;" "&amp;_xlpm.ai_test)),""),""))))</f>
        <v>0</v>
      </c>
      <c r="BD62" s="801"/>
      <c r="BE62" s="799" t="str">
        <f t="shared" si="30"/>
        <v/>
      </c>
      <c r="BF62" s="800" t="str">
        <f t="shared" si="44"/>
        <v/>
      </c>
      <c r="BG62" s="802">
        <f t="shared" si="45"/>
        <v>0</v>
      </c>
      <c r="BH62" s="803" t="str">
        <f t="shared" si="46"/>
        <v/>
      </c>
      <c r="BI62" s="792"/>
      <c r="BJ62" s="804">
        <f t="shared" si="47"/>
        <v>0</v>
      </c>
      <c r="BK62" s="794" t="str">
        <f t="shared" si="38"/>
        <v/>
      </c>
      <c r="BL62" s="227" t="s">
        <v>21</v>
      </c>
      <c r="BM62" s="773">
        <f t="shared" si="35"/>
        <v>0</v>
      </c>
      <c r="BN62" s="774">
        <f t="shared" si="36"/>
        <v>0</v>
      </c>
      <c r="BO62" s="630"/>
      <c r="BP62" s="829" t="s">
        <v>1740</v>
      </c>
      <c r="BQ62" s="829" t="s">
        <v>1740</v>
      </c>
      <c r="BR62" s="829" t="s">
        <v>1741</v>
      </c>
      <c r="BS62" s="767">
        <f t="shared" si="43"/>
        <v>3.7850000000000001</v>
      </c>
      <c r="BT62" s="805" t="s">
        <v>1621</v>
      </c>
      <c r="BU62" s="805" t="s">
        <v>1622</v>
      </c>
      <c r="BV62" s="757">
        <f t="shared" si="42"/>
        <v>0</v>
      </c>
      <c r="BW62" s="806">
        <v>3785</v>
      </c>
      <c r="BX62"/>
      <c r="BY62"/>
      <c r="BZ62"/>
      <c r="CA62"/>
      <c r="CB62"/>
      <c r="CC62"/>
      <c r="CD62" s="781" t="str">
        <f t="shared" si="15"/>
        <v>►</v>
      </c>
      <c r="CE62" s="6855" t="s">
        <v>8075</v>
      </c>
      <c r="CF62" s="6855"/>
      <c r="CG62" s="6855"/>
      <c r="CH62" s="6855"/>
      <c r="CI62" s="6855"/>
      <c r="CJ62" s="719"/>
      <c r="CK62" s="832" t="s">
        <v>1693</v>
      </c>
      <c r="CL62" s="833" t="s">
        <v>1694</v>
      </c>
      <c r="CM62" s="834"/>
      <c r="CN62" s="834"/>
      <c r="CO62" s="834"/>
      <c r="CP62"/>
      <c r="CQ62" s="592"/>
      <c r="CS62" s="832" t="s">
        <v>1695</v>
      </c>
      <c r="CT62" s="833" t="s">
        <v>1694</v>
      </c>
      <c r="CU62" s="834"/>
      <c r="CV62" s="834"/>
      <c r="CW62" s="834"/>
      <c r="CX62"/>
      <c r="CY62" s="592"/>
      <c r="DA62" s="832" t="s">
        <v>1696</v>
      </c>
      <c r="DB62" s="833" t="s">
        <v>1694</v>
      </c>
      <c r="DC62" s="834"/>
      <c r="DD62" s="834"/>
      <c r="DE62" s="834"/>
      <c r="DF62"/>
      <c r="DG62" s="592"/>
      <c r="DI62" s="3">
        <v>1</v>
      </c>
    </row>
    <row r="63" spans="1:113" s="627" customFormat="1" ht="21" customHeight="1" thickBot="1">
      <c r="A63" s="701" t="s">
        <v>21</v>
      </c>
      <c r="B63" s="2265" t="str" cm="1">
        <f t="array" ref="B63">SUMPRODUCT(--(D63:J63&lt;&gt;""), LEN(TRIM(SUBSTITUTE(D63:J63, CHAR(160), "")))) &amp; " Car."</f>
        <v>0 Car.</v>
      </c>
      <c r="C63" s="1376" t="str">
        <f>IF(ISBLANK(D63),"",LARGE(C13:C62,1)+1)</f>
        <v/>
      </c>
      <c r="D63" s="1833"/>
      <c r="E63" s="1810"/>
      <c r="F63" s="1810"/>
      <c r="G63" s="1810"/>
      <c r="H63" s="1810"/>
      <c r="I63" s="1810"/>
      <c r="J63" s="1810"/>
      <c r="K63" s="1810"/>
      <c r="L63" s="1811"/>
      <c r="M63" s="9"/>
      <c r="N63" s="162" t="str">
        <f t="shared" si="16"/>
        <v>A</v>
      </c>
      <c r="O63" s="1616">
        <v>1</v>
      </c>
      <c r="P63" s="9"/>
      <c r="Q63" s="162" t="s">
        <v>10</v>
      </c>
      <c r="R63" s="163" t="str">
        <f>R20</f>
        <v>C CHIBOUST PAMPLEMOUSSE | pâtisserie--ENTREMET| Auteur &gt; recette Béghin Say de Jean-Jacques Borne MOF 1994</v>
      </c>
      <c r="S63" s="163">
        <f>S20</f>
        <v>18</v>
      </c>
      <c r="T63" s="164" t="str">
        <f>T20</f>
        <v>desserts</v>
      </c>
      <c r="U63" s="165" t="str">
        <f>U20</f>
        <v>Recette mère ► MILLE-FEUILLE  aux fraises des bois</v>
      </c>
      <c r="V63" s="1548"/>
      <c r="W63" s="1548"/>
      <c r="X63" s="2190">
        <f>ROWS(AB48:AB63)</f>
        <v>16</v>
      </c>
      <c r="Y63" s="5549" t="str" cm="1">
        <f t="array" ref="Y63">IF(SUMPRODUCT((AB63:AG63&lt;&gt;"")*1)=0,"",SUMPRODUCT((AB63:AG63&lt;&gt;"")*(LEN(TRIM(SUBSTITUTE(AB63:AG63,CHAR(160)," "))) - LEN(SUBSTITUTE(TRIM(SUBSTITUTE(AB63:AG63,CHAR(160)," "))," ","")) + 1)) &amp; " mot" &amp; IF(SUMPRODUCT((AB63:AG63&lt;&gt;"")*(LEN(TRIM(SUBSTITUTE(AB63:AG63,CHAR(160)," "))) - LEN(SUBSTITUTE(TRIM(SUBSTITUTE(AB63:AG63,CHAR(160)," "))," ","")) + 1))&gt;1,"s",""))</f>
        <v/>
      </c>
      <c r="Z63" s="5550" t="str" cm="1">
        <f t="array" ref="Z63">SUMPRODUCT(--(AB63:AG63&lt;&gt;""), LEN(TRIM(SUBSTITUTE(AB63:AG63, CHAR(160), "")))) &amp; " Car."</f>
        <v>0 Car.</v>
      </c>
      <c r="AA63" s="1376" t="str">
        <f>IF(ISBLANK(AB63),"",LARGE(AA47:AA62,1)+1)</f>
        <v/>
      </c>
      <c r="AB63" s="1810"/>
      <c r="AC63" s="1810"/>
      <c r="AD63" s="1810"/>
      <c r="AE63" s="1810"/>
      <c r="AF63" s="1810"/>
      <c r="AG63" s="1810"/>
      <c r="AH63" s="1810"/>
      <c r="AI63" s="1810"/>
      <c r="AJ63" s="1811"/>
      <c r="AK63" s="6120" t="str">
        <f t="shared" si="40"/>
        <v>►</v>
      </c>
      <c r="AL63" s="781" t="str">
        <f t="shared" si="20"/>
        <v>►</v>
      </c>
      <c r="AM63" s="5499" t="str">
        <f t="shared" si="21"/>
        <v/>
      </c>
      <c r="AN63" s="783" t="str">
        <f t="shared" si="22"/>
        <v/>
      </c>
      <c r="AO63" s="782" t="str">
        <f t="shared" si="23"/>
        <v/>
      </c>
      <c r="AP63" s="783" t="str">
        <f t="shared" si="24"/>
        <v/>
      </c>
      <c r="AQ63" s="2083" t="b">
        <f>AND(Q63="A",COUNTIF(BP16:BR63,TRIM(Z63))&gt;0)</f>
        <v>0</v>
      </c>
      <c r="AR63" s="797" t="str">
        <f>IF(AL63&lt;&gt;"A","",IFERROR(IFERROR(_xlfn.XLOOKUP(TRIM(SUBSTITUTE(Z63,CHAR(160)," ")),BP16:BP63,BS16:BS63),IFERROR(_xlfn.XLOOKUP(TRIM(SUBSTITUTE(Z63,CHAR(160)," ")),BQ16:BQ63,BS16:BS63),_xlfn.XLOOKUP(TRIM(SUBSTITUTE(Z63,CHAR(160)," ")),BR16:BR63,BS16:BS63)))*Y63*IF(ISBLANK(V63),1,V63),0))</f>
        <v/>
      </c>
      <c r="AS63" s="784" t="str">
        <f t="shared" si="25"/>
        <v/>
      </c>
      <c r="AT63" s="1315" t="str">
        <f t="shared" si="26"/>
        <v/>
      </c>
      <c r="AU63" s="785">
        <f t="shared" si="27"/>
        <v>0</v>
      </c>
      <c r="AV63" s="785">
        <f t="shared" si="28"/>
        <v>0</v>
      </c>
      <c r="AW63" s="786">
        <f>IF(AK63="A",AY10,0)</f>
        <v>0</v>
      </c>
      <c r="AX63" s="5495" t="str">
        <f>IF(IFERROR(SEARCH("Adresse PC",TRIM(W63)),0)&gt;0,"▼ receta siguiente",IF(AK63="A",IF(AZ10&lt;&gt;"",AZ10&amp;" - ou.or.o ❾ + or - &gt;",""),""))</f>
        <v/>
      </c>
      <c r="AY63" s="810"/>
      <c r="AZ63" s="810"/>
      <c r="BA63" s="788" t="str">
        <f t="shared" si="29"/>
        <v/>
      </c>
      <c r="BB63" s="789" t="str">
        <f>IF(AK63="A",IF(AQ63,IF(AND(AW63&lt;&gt;"",N(AW63)&gt;0),IFERROR(IFERROR(_xlfn.XLOOKUP(AP63,BP10:BP57,BT10:BT57),IFERROR(_xlfn.XLOOKUP(AP63,BQ10:BQ57,BT10:BT57),_xlfn.XLOOKUP(AP63,BR10:BR57,BT10:BT57,""))),""),""),""),"")</f>
        <v/>
      </c>
      <c r="BC63" s="811" cm="1">
        <f t="array" ref="BC63">IF(NOT(AQ63),0,IF(OR(BA63="",N(BA63)&lt;=0.000000001),"",IF(OR(AU63="",N(AU63)&lt;=0.000000001),0,IF(ISNUMBER(BA63),IFERROR(_xlfn.LET(_xlpm.ai_test,TRIM(AP63),_xlpm.r,IFERROR(_xlfn.XLOOKUP(_xlpm.ai_test,BP16:BP63,ROW(BP16:BP63),0,1),IFERROR(_xlfn.XLOOKUP(_xlpm.ai_test,BQ16:BQ63,ROW(BQ16:BQ63),0,1),_xlfn.XLOOKUP(_xlpm.ai_test,BR16:BR63,ROW(BR16:BR63),0,1))),_xlpm.p,_xlpm.r-MIN(ROW(BP16:BP63))+1,_xlpm.f,INDEX(BS16:BS63,_xlpm.p),_xlpm.u,INDEX(BT16:BT63,_xlpm.p),_xlpm.s,INDEX(BV16:BV63,_xlpm.p),_xlpm.q,N(BA63)/_xlpm.f,IF(_xlpm.q&gt;=_xlpm.s,ROUND(_xlpm.q,1)&amp;" "&amp;_xlpm.ai_test&amp;" = "&amp;ROUND(_xlpm.q*_xlpm.f,1)&amp;" "&amp;_xlpm.u,ROUND(_xlpm.q,1)&amp;" "&amp;_xlpm.ai_test)),""),""))))</f>
        <v>0</v>
      </c>
      <c r="BD63" s="801"/>
      <c r="BE63" s="788" t="str">
        <f t="shared" si="30"/>
        <v/>
      </c>
      <c r="BF63" s="789" t="str">
        <f t="shared" si="44"/>
        <v/>
      </c>
      <c r="BG63" s="790">
        <f t="shared" si="45"/>
        <v>0</v>
      </c>
      <c r="BH63" s="791" t="str">
        <f t="shared" si="46"/>
        <v/>
      </c>
      <c r="BI63" s="792"/>
      <c r="BJ63" s="793">
        <f t="shared" si="47"/>
        <v>0</v>
      </c>
      <c r="BK63" s="794" t="str">
        <f t="shared" si="38"/>
        <v/>
      </c>
      <c r="BL63" s="227" t="s">
        <v>21</v>
      </c>
      <c r="BM63" s="773">
        <f t="shared" si="35"/>
        <v>0</v>
      </c>
      <c r="BN63" s="774">
        <f t="shared" si="36"/>
        <v>0</v>
      </c>
      <c r="BO63" s="630"/>
      <c r="BP63" s="829" t="s">
        <v>1742</v>
      </c>
      <c r="BQ63" s="829" t="s">
        <v>1742</v>
      </c>
      <c r="BR63" s="829" t="s">
        <v>1743</v>
      </c>
      <c r="BS63" s="847">
        <f t="shared" si="43"/>
        <v>2.9569999999999999E-2</v>
      </c>
      <c r="BT63" s="848" t="s">
        <v>1621</v>
      </c>
      <c r="BU63" s="848" t="s">
        <v>1622</v>
      </c>
      <c r="BV63" s="849">
        <f t="shared" si="42"/>
        <v>34</v>
      </c>
      <c r="BW63" s="850">
        <v>29.57</v>
      </c>
      <c r="BX63"/>
      <c r="BY63"/>
      <c r="BZ63"/>
      <c r="CA63"/>
      <c r="CB63"/>
      <c r="CC63"/>
      <c r="CD63" s="781" t="str">
        <f t="shared" si="15"/>
        <v>►</v>
      </c>
      <c r="CE63" s="6855"/>
      <c r="CF63" s="6855"/>
      <c r="CG63" s="6855"/>
      <c r="CH63" s="6855"/>
      <c r="CI63" s="6855"/>
      <c r="CJ63" s="719"/>
      <c r="CK63" s="645"/>
      <c r="CL63" s="117"/>
      <c r="CM63" s="117"/>
      <c r="CN63" s="117"/>
      <c r="CO63" s="117"/>
      <c r="CP63" s="117"/>
      <c r="CQ63" s="644"/>
      <c r="CS63" s="645"/>
      <c r="CT63" s="117"/>
      <c r="CU63" s="117"/>
      <c r="CV63" s="117"/>
      <c r="CW63" s="117"/>
      <c r="CX63" s="117"/>
      <c r="CY63" s="644"/>
      <c r="DA63" s="645"/>
      <c r="DB63" s="117"/>
      <c r="DC63" s="117"/>
      <c r="DD63" s="117"/>
      <c r="DE63" s="117"/>
      <c r="DF63" s="117"/>
      <c r="DG63" s="644"/>
      <c r="DI63" s="3">
        <v>1</v>
      </c>
    </row>
    <row r="64" spans="1:113" s="627" customFormat="1" ht="21" customHeight="1">
      <c r="A64" s="701" t="s">
        <v>21</v>
      </c>
      <c r="B64" s="2265" t="str" cm="1">
        <f t="array" ref="B64">SUMPRODUCT(--(D64:J64&lt;&gt;""), LEN(TRIM(SUBSTITUTE(D64:J64, CHAR(160), "")))) &amp; " Car."</f>
        <v>0 Car.</v>
      </c>
      <c r="C64" s="1376" t="str">
        <f>IF(ISBLANK(D64),"",LARGE(C13:C63,1)+1)</f>
        <v/>
      </c>
      <c r="D64" s="1833"/>
      <c r="E64" s="1810"/>
      <c r="F64" s="1810"/>
      <c r="G64" s="1810"/>
      <c r="H64" s="1810"/>
      <c r="I64" s="1810"/>
      <c r="J64" s="1810"/>
      <c r="K64" s="1810"/>
      <c r="L64" s="1811"/>
      <c r="M64" s="9"/>
      <c r="N64" s="162" t="str">
        <f t="shared" si="16"/>
        <v>A</v>
      </c>
      <c r="O64" s="2188"/>
      <c r="P64" s="9"/>
      <c r="Q64" s="162" t="s">
        <v>10</v>
      </c>
      <c r="R64" s="163" t="str">
        <f>R20</f>
        <v>C CHIBOUST PAMPLEMOUSSE | pâtisserie--ENTREMET| Auteur &gt; recette Béghin Say de Jean-Jacques Borne MOF 1994</v>
      </c>
      <c r="S64" s="163">
        <f>S20</f>
        <v>18</v>
      </c>
      <c r="T64" s="164" t="str">
        <f>T20</f>
        <v>desserts</v>
      </c>
      <c r="U64" s="165" t="str">
        <f>U20</f>
        <v>Recette mère ► MILLE-FEUILLE  aux fraises des bois</v>
      </c>
      <c r="V64" s="1548"/>
      <c r="W64" s="1548"/>
      <c r="X64" s="2190">
        <f>ROWS(AB48:AB64)</f>
        <v>17</v>
      </c>
      <c r="Y64" s="5549" t="str" cm="1">
        <f t="array" ref="Y64">IF(SUMPRODUCT((AB64:AG64&lt;&gt;"")*1)=0,"",SUMPRODUCT((AB64:AG64&lt;&gt;"")*(LEN(TRIM(SUBSTITUTE(AB64:AG64,CHAR(160)," "))) - LEN(SUBSTITUTE(TRIM(SUBSTITUTE(AB64:AG64,CHAR(160)," "))," ","")) + 1)) &amp; " mot" &amp; IF(SUMPRODUCT((AB64:AG64&lt;&gt;"")*(LEN(TRIM(SUBSTITUTE(AB64:AG64,CHAR(160)," "))) - LEN(SUBSTITUTE(TRIM(SUBSTITUTE(AB64:AG64,CHAR(160)," "))," ","")) + 1))&gt;1,"s",""))</f>
        <v/>
      </c>
      <c r="Z64" s="5550" t="str" cm="1">
        <f t="array" ref="Z64">SUMPRODUCT(--(AB64:AG64&lt;&gt;""), LEN(TRIM(SUBSTITUTE(AB64:AG64, CHAR(160), "")))) &amp; " Car."</f>
        <v>0 Car.</v>
      </c>
      <c r="AA64" s="1376"/>
      <c r="AB64" s="1810"/>
      <c r="AC64" s="1810"/>
      <c r="AD64" s="1810"/>
      <c r="AE64" s="1810"/>
      <c r="AF64" s="1810"/>
      <c r="AG64" s="1810"/>
      <c r="AH64" s="1810"/>
      <c r="AI64" s="1810"/>
      <c r="AJ64" s="1811"/>
      <c r="AK64" s="6120" t="str">
        <f t="shared" si="40"/>
        <v>►</v>
      </c>
      <c r="AL64" s="781" t="str">
        <f t="shared" si="20"/>
        <v>►</v>
      </c>
      <c r="AM64" s="5498" t="str">
        <f t="shared" si="21"/>
        <v/>
      </c>
      <c r="AN64" s="783" t="str">
        <f t="shared" si="22"/>
        <v/>
      </c>
      <c r="AO64" s="782" t="str">
        <f t="shared" si="23"/>
        <v/>
      </c>
      <c r="AP64" s="783" t="str">
        <f t="shared" si="24"/>
        <v/>
      </c>
      <c r="AQ64" s="2083" t="b">
        <f>AND(Q64="A",COUNTIF(BP16:BR63,TRIM(Z64))&gt;0)</f>
        <v>0</v>
      </c>
      <c r="AR64" s="797" t="str">
        <f>IF(AL64&lt;&gt;"A","",IFERROR(IFERROR(_xlfn.XLOOKUP(TRIM(SUBSTITUTE(Z64,CHAR(160)," ")),BP16:BP63,BS16:BS63),IFERROR(_xlfn.XLOOKUP(TRIM(SUBSTITUTE(Z64,CHAR(160)," ")),BQ16:BQ63,BS16:BS63),_xlfn.XLOOKUP(TRIM(SUBSTITUTE(Z64,CHAR(160)," ")),BR16:BR63,BS16:BS63)))*Y64*IF(ISBLANK(V64),1,V64),0))</f>
        <v/>
      </c>
      <c r="AS64" s="784" t="str">
        <f t="shared" si="25"/>
        <v/>
      </c>
      <c r="AT64" s="1315" t="str">
        <f t="shared" si="26"/>
        <v/>
      </c>
      <c r="AU64" s="785">
        <f t="shared" si="27"/>
        <v>0</v>
      </c>
      <c r="AV64" s="785">
        <f t="shared" si="28"/>
        <v>0</v>
      </c>
      <c r="AW64" s="798">
        <f>IF(AK64="A",AY10,0)</f>
        <v>0</v>
      </c>
      <c r="AX64" s="5496" t="str">
        <f>IF(IFERROR(SEARCH("Adresse PC",TRIM(W64)),0)&gt;0,"▼ receta siguiente",IF(AK64="A",IF(AZ10&lt;&gt;"",AZ10&amp;" - ou.or.o ❾ + or - &gt;",""),""))</f>
        <v/>
      </c>
      <c r="AY64" s="810"/>
      <c r="AZ64" s="810"/>
      <c r="BA64" s="799" t="str">
        <f t="shared" si="29"/>
        <v/>
      </c>
      <c r="BB64" s="800" t="str">
        <f>IF(AK64="A",IF(AQ64,IF(AND(AW64&lt;&gt;"",N(AW64)&gt;0),IFERROR(IFERROR(_xlfn.XLOOKUP(AP64,BP10:BP57,BT10:BT57),IFERROR(_xlfn.XLOOKUP(AP64,BQ10:BQ57,BT10:BT57),_xlfn.XLOOKUP(AP64,BR10:BR57,BT10:BT57,""))),""),""),""),"")</f>
        <v/>
      </c>
      <c r="BC64" s="813" cm="1">
        <f t="array" ref="BC64">IF(NOT(AQ64),0,IF(OR(BA64="",N(BA64)&lt;=0.000000001),"",IF(OR(AU64="",N(AU64)&lt;=0.000000001),0,IF(ISNUMBER(BA64),IFERROR(_xlfn.LET(_xlpm.ai_test,TRIM(AP64),_xlpm.r,IFERROR(_xlfn.XLOOKUP(_xlpm.ai_test,BP16:BP63,ROW(BP16:BP63),0,1),IFERROR(_xlfn.XLOOKUP(_xlpm.ai_test,BQ16:BQ63,ROW(BQ16:BQ63),0,1),_xlfn.XLOOKUP(_xlpm.ai_test,BR16:BR63,ROW(BR16:BR63),0,1))),_xlpm.p,_xlpm.r-MIN(ROW(BP16:BP63))+1,_xlpm.f,INDEX(BS16:BS63,_xlpm.p),_xlpm.u,INDEX(BT16:BT63,_xlpm.p),_xlpm.s,INDEX(BV16:BV63,_xlpm.p),_xlpm.q,N(BA64)/_xlpm.f,IF(_xlpm.q&gt;=_xlpm.s,ROUND(_xlpm.q,1)&amp;" "&amp;_xlpm.ai_test&amp;" = "&amp;ROUND(_xlpm.q*_xlpm.f,1)&amp;" "&amp;_xlpm.u,ROUND(_xlpm.q,1)&amp;" "&amp;_xlpm.ai_test)),""),""))))</f>
        <v>0</v>
      </c>
      <c r="BD64" s="801"/>
      <c r="BE64" s="799" t="str">
        <f t="shared" si="30"/>
        <v/>
      </c>
      <c r="BF64" s="800" t="str">
        <f t="shared" si="44"/>
        <v/>
      </c>
      <c r="BG64" s="802">
        <f t="shared" si="45"/>
        <v>0</v>
      </c>
      <c r="BH64" s="803" t="str">
        <f t="shared" si="46"/>
        <v/>
      </c>
      <c r="BI64" s="792"/>
      <c r="BJ64" s="804">
        <f t="shared" si="47"/>
        <v>0</v>
      </c>
      <c r="BK64" s="794" t="str">
        <f t="shared" si="38"/>
        <v/>
      </c>
      <c r="BL64" s="227" t="s">
        <v>21</v>
      </c>
      <c r="BM64" s="773">
        <f t="shared" si="35"/>
        <v>0</v>
      </c>
      <c r="BN64" s="774">
        <f t="shared" si="36"/>
        <v>0</v>
      </c>
      <c r="BO64" s="630"/>
      <c r="BP64" s="6856" t="s">
        <v>1751</v>
      </c>
      <c r="BQ64" s="6856"/>
      <c r="BR64" s="6856"/>
      <c r="BS64" s="6856"/>
      <c r="BT64" s="6856"/>
      <c r="BU64" s="6856"/>
      <c r="BV64" s="6856"/>
      <c r="BW64" s="6856"/>
      <c r="BX64"/>
      <c r="BY64"/>
      <c r="BZ64"/>
      <c r="CA64"/>
      <c r="CB64"/>
      <c r="CC64"/>
      <c r="CD64" s="781" t="str">
        <f t="shared" si="15"/>
        <v>►</v>
      </c>
      <c r="CE64" s="818"/>
      <c r="CF64" s="634"/>
      <c r="CG64" s="634"/>
      <c r="CH64" s="635"/>
      <c r="CI64" s="635"/>
      <c r="CJ64" s="719"/>
      <c r="CK64" s="835" t="s">
        <v>1700</v>
      </c>
      <c r="CL64" s="836"/>
      <c r="CM64" s="836"/>
      <c r="CN64" s="836"/>
      <c r="CO64" s="836"/>
      <c r="CP64" s="836"/>
      <c r="CQ64" s="837"/>
      <c r="CS64" s="835" t="s">
        <v>1701</v>
      </c>
      <c r="CT64" s="836"/>
      <c r="CU64" s="836"/>
      <c r="CV64" s="836"/>
      <c r="CW64" s="836"/>
      <c r="CX64" s="836"/>
      <c r="CY64" s="837"/>
      <c r="DA64" s="835" t="s">
        <v>1702</v>
      </c>
      <c r="DB64" s="836"/>
      <c r="DC64" s="836"/>
      <c r="DD64" s="836"/>
      <c r="DE64" s="836"/>
      <c r="DF64" s="836"/>
      <c r="DG64" s="837"/>
      <c r="DI64" s="3">
        <v>1</v>
      </c>
    </row>
    <row r="65" spans="1:113" s="627" customFormat="1" ht="21" customHeight="1">
      <c r="A65" s="701" t="s">
        <v>21</v>
      </c>
      <c r="B65" s="2265" t="str" cm="1">
        <f t="array" ref="B65">SUMPRODUCT(--(D65:J65&lt;&gt;""), LEN(TRIM(SUBSTITUTE(D65:J65, CHAR(160), "")))) &amp; " Car."</f>
        <v>0 Car.</v>
      </c>
      <c r="C65" s="1376" t="str">
        <f>IF(ISBLANK(D65),"",LARGE(C13:C64,1)+1)</f>
        <v/>
      </c>
      <c r="D65" s="1833"/>
      <c r="E65" s="1810"/>
      <c r="F65" s="1810"/>
      <c r="G65" s="1810"/>
      <c r="H65" s="1810"/>
      <c r="I65" s="1810"/>
      <c r="J65" s="1810"/>
      <c r="K65" s="1810"/>
      <c r="L65" s="1811"/>
      <c r="M65" s="9"/>
      <c r="N65" s="162" t="str">
        <f t="shared" si="16"/>
        <v>A</v>
      </c>
      <c r="O65" s="2188"/>
      <c r="P65" s="9"/>
      <c r="Q65" s="162" t="s">
        <v>10</v>
      </c>
      <c r="R65" s="163" t="str">
        <f>R20</f>
        <v>C CHIBOUST PAMPLEMOUSSE | pâtisserie--ENTREMET| Auteur &gt; recette Béghin Say de Jean-Jacques Borne MOF 1994</v>
      </c>
      <c r="S65" s="163">
        <f>S20</f>
        <v>18</v>
      </c>
      <c r="T65" s="164" t="str">
        <f>T20</f>
        <v>desserts</v>
      </c>
      <c r="U65" s="165" t="str">
        <f>U20</f>
        <v>Recette mère ► MILLE-FEUILLE  aux fraises des bois</v>
      </c>
      <c r="V65" s="1548"/>
      <c r="W65" s="1548"/>
      <c r="X65" s="2190">
        <f>ROWS(AB48:AB65)</f>
        <v>18</v>
      </c>
      <c r="Y65" s="5549" t="str" cm="1">
        <f t="array" ref="Y65">IF(SUMPRODUCT((AB65:AG65&lt;&gt;"")*1)=0,"",SUMPRODUCT((AB65:AG65&lt;&gt;"")*(LEN(TRIM(SUBSTITUTE(AB65:AG65,CHAR(160)," "))) - LEN(SUBSTITUTE(TRIM(SUBSTITUTE(AB65:AG65,CHAR(160)," "))," ","")) + 1)) &amp; " mot" &amp; IF(SUMPRODUCT((AB65:AG65&lt;&gt;"")*(LEN(TRIM(SUBSTITUTE(AB65:AG65,CHAR(160)," "))) - LEN(SUBSTITUTE(TRIM(SUBSTITUTE(AB65:AG65,CHAR(160)," "))," ","")) + 1))&gt;1,"s",""))</f>
        <v/>
      </c>
      <c r="Z65" s="5550" t="str" cm="1">
        <f t="array" ref="Z65">SUMPRODUCT(--(AB65:AG65&lt;&gt;""), LEN(TRIM(SUBSTITUTE(AB65:AG65, CHAR(160), "")))) &amp; " Car."</f>
        <v>0 Car.</v>
      </c>
      <c r="AA65" s="1376"/>
      <c r="AB65" s="1810"/>
      <c r="AC65" s="1810"/>
      <c r="AD65" s="1810"/>
      <c r="AE65" s="1810"/>
      <c r="AF65" s="1810"/>
      <c r="AG65" s="1810"/>
      <c r="AH65" s="1810"/>
      <c r="AI65" s="1810"/>
      <c r="AJ65" s="1811"/>
      <c r="AK65" s="6120" t="str">
        <f t="shared" si="40"/>
        <v>►</v>
      </c>
      <c r="AL65" s="781" t="str">
        <f t="shared" si="20"/>
        <v>►</v>
      </c>
      <c r="AM65" s="5499" t="str">
        <f t="shared" si="21"/>
        <v/>
      </c>
      <c r="AN65" s="783" t="str">
        <f t="shared" si="22"/>
        <v/>
      </c>
      <c r="AO65" s="782" t="str">
        <f t="shared" si="23"/>
        <v/>
      </c>
      <c r="AP65" s="783" t="str">
        <f t="shared" si="24"/>
        <v/>
      </c>
      <c r="AQ65" s="2083" t="b">
        <f>AND(Q65="A",COUNTIF(BP16:BR63,TRIM(Z65))&gt;0)</f>
        <v>0</v>
      </c>
      <c r="AR65" s="797" t="str">
        <f>IF(AL65&lt;&gt;"A","",IFERROR(IFERROR(_xlfn.XLOOKUP(TRIM(SUBSTITUTE(Z65,CHAR(160)," ")),BP16:BP63,BS16:BS63),IFERROR(_xlfn.XLOOKUP(TRIM(SUBSTITUTE(Z65,CHAR(160)," ")),BQ16:BQ63,BS16:BS63),_xlfn.XLOOKUP(TRIM(SUBSTITUTE(Z65,CHAR(160)," ")),BR16:BR63,BS16:BS63)))*Y65*IF(ISBLANK(V65),1,V65),0))</f>
        <v/>
      </c>
      <c r="AS65" s="784" t="str">
        <f t="shared" si="25"/>
        <v/>
      </c>
      <c r="AT65" s="1315" t="str">
        <f t="shared" si="26"/>
        <v/>
      </c>
      <c r="AU65" s="785">
        <f t="shared" si="27"/>
        <v>0</v>
      </c>
      <c r="AV65" s="785">
        <f t="shared" si="28"/>
        <v>0</v>
      </c>
      <c r="AW65" s="786">
        <f>IF(AK65="A",AY10,0)</f>
        <v>0</v>
      </c>
      <c r="AX65" s="5495" t="str">
        <f>IF(IFERROR(SEARCH("Adresse PC",TRIM(W65)),0)&gt;0,"▼ receta siguiente",IF(AK65="A",IF(AZ10&lt;&gt;"",AZ10&amp;" - ou.or.o ❾ + or - &gt;",""),""))</f>
        <v/>
      </c>
      <c r="AY65" s="810"/>
      <c r="AZ65" s="810"/>
      <c r="BA65" s="788" t="str">
        <f t="shared" si="29"/>
        <v/>
      </c>
      <c r="BB65" s="789" t="str">
        <f>IF(AK65="A",IF(AQ65,IF(AND(AW65&lt;&gt;"",N(AW65)&gt;0),IFERROR(IFERROR(_xlfn.XLOOKUP(AP65,BP10:BP57,BT10:BT57),IFERROR(_xlfn.XLOOKUP(AP65,BQ10:BQ57,BT10:BT57),_xlfn.XLOOKUP(AP65,BR10:BR57,BT10:BT57,""))),""),""),""),"")</f>
        <v/>
      </c>
      <c r="BC65" s="811" cm="1">
        <f t="array" ref="BC65">IF(NOT(AQ65),0,IF(OR(BA65="",N(BA65)&lt;=0.000000001),"",IF(OR(AU65="",N(AU65)&lt;=0.000000001),0,IF(ISNUMBER(BA65),IFERROR(_xlfn.LET(_xlpm.ai_test,TRIM(AP65),_xlpm.r,IFERROR(_xlfn.XLOOKUP(_xlpm.ai_test,BP16:BP63,ROW(BP16:BP63),0,1),IFERROR(_xlfn.XLOOKUP(_xlpm.ai_test,BQ16:BQ63,ROW(BQ16:BQ63),0,1),_xlfn.XLOOKUP(_xlpm.ai_test,BR16:BR63,ROW(BR16:BR63),0,1))),_xlpm.p,_xlpm.r-MIN(ROW(BP16:BP63))+1,_xlpm.f,INDEX(BS16:BS63,_xlpm.p),_xlpm.u,INDEX(BT16:BT63,_xlpm.p),_xlpm.s,INDEX(BV16:BV63,_xlpm.p),_xlpm.q,N(BA65)/_xlpm.f,IF(_xlpm.q&gt;=_xlpm.s,ROUND(_xlpm.q,1)&amp;" "&amp;_xlpm.ai_test&amp;" = "&amp;ROUND(_xlpm.q*_xlpm.f,1)&amp;" "&amp;_xlpm.u,ROUND(_xlpm.q,1)&amp;" "&amp;_xlpm.ai_test)),""),""))))</f>
        <v>0</v>
      </c>
      <c r="BD65" s="801"/>
      <c r="BE65" s="788" t="str">
        <f t="shared" si="30"/>
        <v/>
      </c>
      <c r="BF65" s="789" t="str">
        <f t="shared" si="44"/>
        <v/>
      </c>
      <c r="BG65" s="790">
        <f t="shared" si="45"/>
        <v>0</v>
      </c>
      <c r="BH65" s="791" t="str">
        <f t="shared" si="46"/>
        <v/>
      </c>
      <c r="BI65" s="792"/>
      <c r="BJ65" s="793">
        <f t="shared" si="47"/>
        <v>0</v>
      </c>
      <c r="BK65" s="794" t="str">
        <f t="shared" si="38"/>
        <v/>
      </c>
      <c r="BL65" s="227" t="s">
        <v>21</v>
      </c>
      <c r="BM65" s="773">
        <f t="shared" si="35"/>
        <v>0</v>
      </c>
      <c r="BN65" s="774">
        <f t="shared" si="36"/>
        <v>0</v>
      </c>
      <c r="BO65" s="630"/>
      <c r="BP65" s="6856"/>
      <c r="BQ65" s="6856"/>
      <c r="BR65" s="6856"/>
      <c r="BS65" s="6856"/>
      <c r="BT65" s="6856"/>
      <c r="BU65" s="6856"/>
      <c r="BV65" s="6856"/>
      <c r="BW65" s="6856"/>
      <c r="BX65"/>
      <c r="BY65"/>
      <c r="BZ65"/>
      <c r="CA65"/>
      <c r="CB65"/>
      <c r="CC65"/>
      <c r="CD65" s="781" t="str">
        <f t="shared" si="15"/>
        <v>►</v>
      </c>
      <c r="CE65" s="6857" t="s">
        <v>8074</v>
      </c>
      <c r="CF65" s="6857"/>
      <c r="CG65" s="6857"/>
      <c r="CH65" s="6857"/>
      <c r="CI65" s="6857"/>
      <c r="CJ65" s="719"/>
      <c r="CK65" s="838" t="s">
        <v>1704</v>
      </c>
      <c r="CL65" s="836"/>
      <c r="CM65" s="836"/>
      <c r="CN65" s="836"/>
      <c r="CO65" s="836"/>
      <c r="CP65" s="836"/>
      <c r="CQ65" s="839" t="s">
        <v>1705</v>
      </c>
      <c r="CS65" s="838" t="s">
        <v>1706</v>
      </c>
      <c r="CT65" s="836"/>
      <c r="CU65" s="836"/>
      <c r="CV65" s="836"/>
      <c r="CW65" s="836"/>
      <c r="CX65" s="836"/>
      <c r="CY65" s="839" t="s">
        <v>1707</v>
      </c>
      <c r="DA65" s="838" t="s">
        <v>1708</v>
      </c>
      <c r="DB65" s="836"/>
      <c r="DC65" s="836"/>
      <c r="DD65" s="836"/>
      <c r="DE65" s="836"/>
      <c r="DF65" s="836"/>
      <c r="DG65" s="839" t="s">
        <v>1709</v>
      </c>
      <c r="DI65" s="3">
        <v>1</v>
      </c>
    </row>
    <row r="66" spans="1:113" s="627" customFormat="1" ht="21" customHeight="1">
      <c r="A66" s="701" t="s">
        <v>21</v>
      </c>
      <c r="B66" s="2265" t="str" cm="1">
        <f t="array" ref="B66">SUMPRODUCT(--(D66:J66&lt;&gt;""), LEN(TRIM(SUBSTITUTE(D66:J66, CHAR(160), "")))) &amp; " Car."</f>
        <v>0 Car.</v>
      </c>
      <c r="C66" s="1376" t="str">
        <f>IF(ISBLANK(D66),"",LARGE(C13:C65,1)+1)</f>
        <v/>
      </c>
      <c r="D66" s="1833"/>
      <c r="E66" s="1810"/>
      <c r="F66" s="1810"/>
      <c r="G66" s="1810"/>
      <c r="H66" s="1810"/>
      <c r="I66" s="1810"/>
      <c r="J66" s="1810"/>
      <c r="K66" s="1810"/>
      <c r="L66" s="1811"/>
      <c r="M66" s="9"/>
      <c r="N66" s="162" t="str">
        <f t="shared" si="16"/>
        <v>A</v>
      </c>
      <c r="O66" s="2188"/>
      <c r="P66" s="9"/>
      <c r="Q66" s="162" t="s">
        <v>10</v>
      </c>
      <c r="R66" s="163" t="str">
        <f>R20</f>
        <v>C CHIBOUST PAMPLEMOUSSE | pâtisserie--ENTREMET| Auteur &gt; recette Béghin Say de Jean-Jacques Borne MOF 1994</v>
      </c>
      <c r="S66" s="163">
        <f>S20</f>
        <v>18</v>
      </c>
      <c r="T66" s="164" t="str">
        <f>T20</f>
        <v>desserts</v>
      </c>
      <c r="U66" s="165" t="str">
        <f>U20</f>
        <v>Recette mère ► MILLE-FEUILLE  aux fraises des bois</v>
      </c>
      <c r="V66" s="1548"/>
      <c r="W66" s="1548"/>
      <c r="X66" s="2190">
        <f>ROWS(AB48:AB66)</f>
        <v>19</v>
      </c>
      <c r="Y66" s="5549" t="str" cm="1">
        <f t="array" ref="Y66">IF(SUMPRODUCT((AB66:AG66&lt;&gt;"")*1)=0,"",SUMPRODUCT((AB66:AG66&lt;&gt;"")*(LEN(TRIM(SUBSTITUTE(AB66:AG66,CHAR(160)," "))) - LEN(SUBSTITUTE(TRIM(SUBSTITUTE(AB66:AG66,CHAR(160)," "))," ","")) + 1)) &amp; " mot" &amp; IF(SUMPRODUCT((AB66:AG66&lt;&gt;"")*(LEN(TRIM(SUBSTITUTE(AB66:AG66,CHAR(160)," "))) - LEN(SUBSTITUTE(TRIM(SUBSTITUTE(AB66:AG66,CHAR(160)," "))," ","")) + 1))&gt;1,"s",""))</f>
        <v/>
      </c>
      <c r="Z66" s="5550" t="str" cm="1">
        <f t="array" ref="Z66">SUMPRODUCT(--(AB66:AG66&lt;&gt;""), LEN(TRIM(SUBSTITUTE(AB66:AG66, CHAR(160), "")))) &amp; " Car."</f>
        <v>0 Car.</v>
      </c>
      <c r="AA66" s="1376" t="str">
        <f>IF(ISBLANK(AB66),"",LARGE(AA47:AA65,1)+1)</f>
        <v/>
      </c>
      <c r="AB66" s="1810"/>
      <c r="AC66" s="1810"/>
      <c r="AD66" s="1810"/>
      <c r="AE66" s="1810"/>
      <c r="AF66" s="1810"/>
      <c r="AG66" s="1810"/>
      <c r="AH66" s="1810"/>
      <c r="AI66" s="1810"/>
      <c r="AJ66" s="1811"/>
      <c r="AK66" s="6120" t="str">
        <f t="shared" si="40"/>
        <v>►</v>
      </c>
      <c r="AL66" s="781" t="str">
        <f t="shared" si="20"/>
        <v>►</v>
      </c>
      <c r="AM66" s="5498" t="str">
        <f t="shared" si="21"/>
        <v/>
      </c>
      <c r="AN66" s="783" t="str">
        <f t="shared" si="22"/>
        <v/>
      </c>
      <c r="AO66" s="782" t="str">
        <f t="shared" si="23"/>
        <v/>
      </c>
      <c r="AP66" s="783" t="str">
        <f t="shared" si="24"/>
        <v/>
      </c>
      <c r="AQ66" s="2083" t="b">
        <f>AND(Q66="A",COUNTIF(BP16:BR63,TRIM(Z66))&gt;0)</f>
        <v>0</v>
      </c>
      <c r="AR66" s="797" t="str">
        <f>IF(AL66&lt;&gt;"A","",IFERROR(IFERROR(_xlfn.XLOOKUP(TRIM(SUBSTITUTE(Z66,CHAR(160)," ")),BP16:BP63,BS16:BS63),IFERROR(_xlfn.XLOOKUP(TRIM(SUBSTITUTE(Z66,CHAR(160)," ")),BQ16:BQ63,BS16:BS63),_xlfn.XLOOKUP(TRIM(SUBSTITUTE(Z66,CHAR(160)," ")),BR16:BR63,BS16:BS63)))*Y66*IF(ISBLANK(V66),1,V66),0))</f>
        <v/>
      </c>
      <c r="AS66" s="784" t="str">
        <f t="shared" si="25"/>
        <v/>
      </c>
      <c r="AT66" s="1315" t="str">
        <f t="shared" si="26"/>
        <v/>
      </c>
      <c r="AU66" s="785">
        <f t="shared" si="27"/>
        <v>0</v>
      </c>
      <c r="AV66" s="785">
        <f t="shared" si="28"/>
        <v>0</v>
      </c>
      <c r="AW66" s="798">
        <f>IF(AK66="A",AY10,0)</f>
        <v>0</v>
      </c>
      <c r="AX66" s="5496" t="str">
        <f>IF(IFERROR(SEARCH("Adresse PC",TRIM(W66)),0)&gt;0,"▼ receta siguiente",IF(AK66="A",IF(AZ10&lt;&gt;"",AZ10&amp;" - ou.or.o ❾ + or - &gt;",""),""))</f>
        <v/>
      </c>
      <c r="AY66" s="810"/>
      <c r="AZ66" s="810"/>
      <c r="BA66" s="799" t="str">
        <f t="shared" si="29"/>
        <v/>
      </c>
      <c r="BB66" s="800" t="str">
        <f>IF(AK66="A",IF(AQ66,IF(AND(AW66&lt;&gt;"",N(AW66)&gt;0),IFERROR(IFERROR(_xlfn.XLOOKUP(AP66,BP10:BP57,BT10:BT57),IFERROR(_xlfn.XLOOKUP(AP66,BQ10:BQ57,BT10:BT57),_xlfn.XLOOKUP(AP66,BR10:BR57,BT10:BT57,""))),""),""),""),"")</f>
        <v/>
      </c>
      <c r="BC66" s="813" cm="1">
        <f t="array" ref="BC66">IF(NOT(AQ66),0,IF(OR(BA66="",N(BA66)&lt;=0.000000001),"",IF(OR(AU66="",N(AU66)&lt;=0.000000001),0,IF(ISNUMBER(BA66),IFERROR(_xlfn.LET(_xlpm.ai_test,TRIM(AP66),_xlpm.r,IFERROR(_xlfn.XLOOKUP(_xlpm.ai_test,BP16:BP63,ROW(BP16:BP63),0,1),IFERROR(_xlfn.XLOOKUP(_xlpm.ai_test,BQ16:BQ63,ROW(BQ16:BQ63),0,1),_xlfn.XLOOKUP(_xlpm.ai_test,BR16:BR63,ROW(BR16:BR63),0,1))),_xlpm.p,_xlpm.r-MIN(ROW(BP16:BP63))+1,_xlpm.f,INDEX(BS16:BS63,_xlpm.p),_xlpm.u,INDEX(BT16:BT63,_xlpm.p),_xlpm.s,INDEX(BV16:BV63,_xlpm.p),_xlpm.q,N(BA66)/_xlpm.f,IF(_xlpm.q&gt;=_xlpm.s,ROUND(_xlpm.q,1)&amp;" "&amp;_xlpm.ai_test&amp;" = "&amp;ROUND(_xlpm.q*_xlpm.f,1)&amp;" "&amp;_xlpm.u,ROUND(_xlpm.q,1)&amp;" "&amp;_xlpm.ai_test)),""),""))))</f>
        <v>0</v>
      </c>
      <c r="BD66" s="801"/>
      <c r="BE66" s="799" t="str">
        <f t="shared" si="30"/>
        <v/>
      </c>
      <c r="BF66" s="800" t="str">
        <f t="shared" si="44"/>
        <v/>
      </c>
      <c r="BG66" s="802">
        <f t="shared" si="45"/>
        <v>0</v>
      </c>
      <c r="BH66" s="803" t="str">
        <f t="shared" si="46"/>
        <v/>
      </c>
      <c r="BI66" s="792"/>
      <c r="BJ66" s="804">
        <f t="shared" si="47"/>
        <v>0</v>
      </c>
      <c r="BK66" s="794" t="str">
        <f t="shared" si="38"/>
        <v/>
      </c>
      <c r="BL66" s="227" t="s">
        <v>21</v>
      </c>
      <c r="BM66" s="773">
        <f t="shared" si="35"/>
        <v>0</v>
      </c>
      <c r="BN66" s="774">
        <f t="shared" si="36"/>
        <v>0</v>
      </c>
      <c r="BO66" s="855"/>
      <c r="BP66" s="856" t="s">
        <v>1758</v>
      </c>
      <c r="BQ66" s="856"/>
      <c r="BR66" s="856"/>
      <c r="BS66" s="857"/>
      <c r="BT66" s="858"/>
      <c r="BU66" s="858"/>
      <c r="BV66" s="858"/>
      <c r="BX66"/>
      <c r="BY66"/>
      <c r="BZ66"/>
      <c r="CA66"/>
      <c r="CB66"/>
      <c r="CC66"/>
      <c r="CD66" s="781" t="str">
        <f t="shared" si="15"/>
        <v>►</v>
      </c>
      <c r="CE66" s="6857"/>
      <c r="CF66" s="6857"/>
      <c r="CG66" s="6857"/>
      <c r="CH66" s="6857"/>
      <c r="CI66" s="6857"/>
      <c r="CJ66" s="719"/>
      <c r="CK66" s="838" t="s">
        <v>1712</v>
      </c>
      <c r="CL66" s="836"/>
      <c r="CM66" s="836"/>
      <c r="CN66" s="836"/>
      <c r="CO66" s="836"/>
      <c r="CP66" s="836"/>
      <c r="CQ66" s="839" t="s">
        <v>1713</v>
      </c>
      <c r="CS66" s="838" t="s">
        <v>1714</v>
      </c>
      <c r="CT66" s="836"/>
      <c r="CU66" s="836"/>
      <c r="CV66" s="836"/>
      <c r="CW66" s="836"/>
      <c r="CX66" s="836"/>
      <c r="CY66" s="839" t="s">
        <v>1715</v>
      </c>
      <c r="DA66" s="838" t="s">
        <v>1716</v>
      </c>
      <c r="DB66" s="836"/>
      <c r="DC66" s="836"/>
      <c r="DD66" s="836"/>
      <c r="DE66" s="836"/>
      <c r="DF66" s="836"/>
      <c r="DG66" s="839" t="s">
        <v>1717</v>
      </c>
      <c r="DI66" s="3">
        <v>1</v>
      </c>
    </row>
    <row r="67" spans="1:113" s="627" customFormat="1" ht="21" customHeight="1">
      <c r="A67" s="701" t="s">
        <v>21</v>
      </c>
      <c r="B67" s="2265" t="str" cm="1">
        <f t="array" ref="B67">SUMPRODUCT(--(D67:J67&lt;&gt;""), LEN(TRIM(SUBSTITUTE(D67:J67, CHAR(160), "")))) &amp; " Car."</f>
        <v>0 Car.</v>
      </c>
      <c r="C67" s="1376" t="str">
        <f>IF(ISBLANK(D67),"",LARGE(C13:C66,1)+1)</f>
        <v/>
      </c>
      <c r="D67" s="1833"/>
      <c r="E67" s="1810"/>
      <c r="F67" s="1810"/>
      <c r="G67" s="1810"/>
      <c r="H67" s="1810"/>
      <c r="I67" s="1810"/>
      <c r="J67" s="1810"/>
      <c r="K67" s="1810"/>
      <c r="L67" s="1811"/>
      <c r="M67" s="9"/>
      <c r="N67" s="162" t="str">
        <f t="shared" si="16"/>
        <v>A</v>
      </c>
      <c r="O67" s="2188"/>
      <c r="P67" s="9"/>
      <c r="Q67" s="162" t="s">
        <v>10</v>
      </c>
      <c r="R67" s="163" t="str">
        <f>R20</f>
        <v>C CHIBOUST PAMPLEMOUSSE | pâtisserie--ENTREMET| Auteur &gt; recette Béghin Say de Jean-Jacques Borne MOF 1994</v>
      </c>
      <c r="S67" s="163">
        <f>S20</f>
        <v>18</v>
      </c>
      <c r="T67" s="164" t="str">
        <f>T20</f>
        <v>desserts</v>
      </c>
      <c r="U67" s="165" t="str">
        <f>U20</f>
        <v>Recette mère ► MILLE-FEUILLE  aux fraises des bois</v>
      </c>
      <c r="V67" s="1548"/>
      <c r="W67" s="1548"/>
      <c r="X67" s="2190">
        <f>ROWS(AB48:AB67)</f>
        <v>20</v>
      </c>
      <c r="Y67" s="5549" t="str" cm="1">
        <f t="array" ref="Y67">IF(SUMPRODUCT((AB67:AG67&lt;&gt;"")*1)=0,"",SUMPRODUCT((AB67:AG67&lt;&gt;"")*(LEN(TRIM(SUBSTITUTE(AB67:AG67,CHAR(160)," "))) - LEN(SUBSTITUTE(TRIM(SUBSTITUTE(AB67:AG67,CHAR(160)," "))," ","")) + 1)) &amp; " mot" &amp; IF(SUMPRODUCT((AB67:AG67&lt;&gt;"")*(LEN(TRIM(SUBSTITUTE(AB67:AG67,CHAR(160)," "))) - LEN(SUBSTITUTE(TRIM(SUBSTITUTE(AB67:AG67,CHAR(160)," "))," ","")) + 1))&gt;1,"s",""))</f>
        <v>13 mots</v>
      </c>
      <c r="Z67" s="5550" t="str" cm="1">
        <f t="array" ref="Z67">SUMPRODUCT(--(AB67:AG67&lt;&gt;""), LEN(TRIM(SUBSTITUTE(AB67:AG67, CHAR(160), "")))) &amp; " Car."</f>
        <v>80 Car.</v>
      </c>
      <c r="AA67" s="1376" t="str">
        <f>IF(ISBLANK(AB67),"",LARGE(AA47:AA66,1)+1)</f>
        <v/>
      </c>
      <c r="AB67" s="1810"/>
      <c r="AC67" s="1810" t="s">
        <v>14252</v>
      </c>
      <c r="AD67" s="1810"/>
      <c r="AE67" s="1810"/>
      <c r="AF67" s="1810"/>
      <c r="AG67" s="1810"/>
      <c r="AH67" s="1810"/>
      <c r="AI67" s="1810"/>
      <c r="AJ67" s="1811"/>
      <c r="AK67" s="6120" t="str">
        <f t="shared" si="40"/>
        <v>►</v>
      </c>
      <c r="AL67" s="781" t="str">
        <f t="shared" si="20"/>
        <v>►</v>
      </c>
      <c r="AM67" s="5499" t="str">
        <f t="shared" si="21"/>
        <v/>
      </c>
      <c r="AN67" s="783" t="str">
        <f t="shared" si="22"/>
        <v/>
      </c>
      <c r="AO67" s="782" t="str">
        <f t="shared" si="23"/>
        <v/>
      </c>
      <c r="AP67" s="783" t="str">
        <f t="shared" si="24"/>
        <v/>
      </c>
      <c r="AQ67" s="2083" t="b">
        <f>AND(Q67="A",COUNTIF(BP16:BR63,TRIM(Z67))&gt;0)</f>
        <v>0</v>
      </c>
      <c r="AR67" s="797" t="str">
        <f>IF(AL67&lt;&gt;"A","",IFERROR(IFERROR(_xlfn.XLOOKUP(TRIM(SUBSTITUTE(Z67,CHAR(160)," ")),BP16:BP63,BS16:BS63),IFERROR(_xlfn.XLOOKUP(TRIM(SUBSTITUTE(Z67,CHAR(160)," ")),BQ16:BQ63,BS16:BS63),_xlfn.XLOOKUP(TRIM(SUBSTITUTE(Z67,CHAR(160)," ")),BR16:BR63,BS16:BS63)))*Y67*IF(ISBLANK(V67),1,V67),0))</f>
        <v/>
      </c>
      <c r="AS67" s="784" t="str">
        <f t="shared" si="25"/>
        <v/>
      </c>
      <c r="AT67" s="1315" t="str">
        <f t="shared" si="26"/>
        <v/>
      </c>
      <c r="AU67" s="785">
        <f t="shared" si="27"/>
        <v>0</v>
      </c>
      <c r="AV67" s="785">
        <f t="shared" si="28"/>
        <v>0</v>
      </c>
      <c r="AW67" s="786">
        <f>IF(AK67="A",AY10,0)</f>
        <v>0</v>
      </c>
      <c r="AX67" s="5495" t="str">
        <f>IF(IFERROR(SEARCH("Adresse PC",TRIM(W67)),0)&gt;0,"▼ receta siguiente",IF(AK67="A",IF(AZ10&lt;&gt;"",AZ10&amp;" - ou.or.o ❾ + or - &gt;",""),""))</f>
        <v/>
      </c>
      <c r="AY67" s="810"/>
      <c r="AZ67" s="810"/>
      <c r="BA67" s="788" t="str">
        <f t="shared" si="29"/>
        <v/>
      </c>
      <c r="BB67" s="789" t="str">
        <f>IF(AK67="A",IF(AQ67,IF(AND(AW67&lt;&gt;"",N(AW67)&gt;0),IFERROR(IFERROR(_xlfn.XLOOKUP(AP67,BP10:BP57,BT10:BT57),IFERROR(_xlfn.XLOOKUP(AP67,BQ10:BQ57,BT10:BT57),_xlfn.XLOOKUP(AP67,BR10:BR57,BT10:BT57,""))),""),""),""),"")</f>
        <v/>
      </c>
      <c r="BC67" s="811" cm="1">
        <f t="array" ref="BC67">IF(NOT(AQ67),0,IF(OR(BA67="",N(BA67)&lt;=0.000000001),"",IF(OR(AU67="",N(AU67)&lt;=0.000000001),0,IF(ISNUMBER(BA67),IFERROR(_xlfn.LET(_xlpm.ai_test,TRIM(AP67),_xlpm.r,IFERROR(_xlfn.XLOOKUP(_xlpm.ai_test,BP16:BP63,ROW(BP16:BP63),0,1),IFERROR(_xlfn.XLOOKUP(_xlpm.ai_test,BQ16:BQ63,ROW(BQ16:BQ63),0,1),_xlfn.XLOOKUP(_xlpm.ai_test,BR16:BR63,ROW(BR16:BR63),0,1))),_xlpm.p,_xlpm.r-MIN(ROW(BP16:BP63))+1,_xlpm.f,INDEX(BS16:BS63,_xlpm.p),_xlpm.u,INDEX(BT16:BT63,_xlpm.p),_xlpm.s,INDEX(BV16:BV63,_xlpm.p),_xlpm.q,N(BA67)/_xlpm.f,IF(_xlpm.q&gt;=_xlpm.s,ROUND(_xlpm.q,1)&amp;" "&amp;_xlpm.ai_test&amp;" = "&amp;ROUND(_xlpm.q*_xlpm.f,1)&amp;" "&amp;_xlpm.u,ROUND(_xlpm.q,1)&amp;" "&amp;_xlpm.ai_test)),""),""))))</f>
        <v>0</v>
      </c>
      <c r="BD67" s="801"/>
      <c r="BE67" s="788" t="str">
        <f t="shared" si="30"/>
        <v/>
      </c>
      <c r="BF67" s="789" t="str">
        <f t="shared" si="44"/>
        <v/>
      </c>
      <c r="BG67" s="790">
        <f t="shared" si="45"/>
        <v>0</v>
      </c>
      <c r="BH67" s="791" t="str">
        <f t="shared" si="46"/>
        <v/>
      </c>
      <c r="BI67" s="792"/>
      <c r="BJ67" s="793">
        <f t="shared" si="47"/>
        <v>0</v>
      </c>
      <c r="BK67" s="794" t="str">
        <f t="shared" si="38"/>
        <v/>
      </c>
      <c r="BL67" s="227" t="s">
        <v>21</v>
      </c>
      <c r="BM67" s="773">
        <f t="shared" si="35"/>
        <v>0</v>
      </c>
      <c r="BN67" s="774">
        <f t="shared" si="36"/>
        <v>0</v>
      </c>
      <c r="BO67" s="855"/>
      <c r="BP67" s="229"/>
      <c r="BQ67" s="229"/>
      <c r="BR67" s="229"/>
      <c r="BS67" s="229"/>
      <c r="BT67" s="229"/>
      <c r="BU67" s="229"/>
      <c r="BV67" s="229"/>
      <c r="BW67" s="229"/>
      <c r="BX67"/>
      <c r="BY67"/>
      <c r="BZ67"/>
      <c r="CA67"/>
      <c r="CB67"/>
      <c r="CC67"/>
      <c r="CD67" s="781" t="str">
        <f t="shared" si="15"/>
        <v>►</v>
      </c>
      <c r="CE67" s="818"/>
      <c r="CF67" s="634"/>
      <c r="CG67" s="634"/>
      <c r="CH67" s="635"/>
      <c r="CI67" s="635"/>
      <c r="CJ67" s="719"/>
      <c r="CK67" s="838" t="s">
        <v>1721</v>
      </c>
      <c r="CL67" s="836"/>
      <c r="CM67" s="836"/>
      <c r="CN67" s="836"/>
      <c r="CO67" s="836"/>
      <c r="CP67" s="836"/>
      <c r="CQ67" s="837"/>
      <c r="CS67" s="838" t="s">
        <v>1722</v>
      </c>
      <c r="CT67" s="836"/>
      <c r="CU67" s="836"/>
      <c r="CV67" s="836"/>
      <c r="CW67" s="836"/>
      <c r="CX67" s="836"/>
      <c r="CY67" s="839" t="s">
        <v>1723</v>
      </c>
      <c r="DA67" s="838" t="s">
        <v>1724</v>
      </c>
      <c r="DB67" s="836"/>
      <c r="DC67" s="836"/>
      <c r="DD67" s="836"/>
      <c r="DE67" s="836"/>
      <c r="DF67" s="836"/>
      <c r="DG67" s="839"/>
      <c r="DI67" s="3">
        <v>1</v>
      </c>
    </row>
    <row r="68" spans="1:113" s="627" customFormat="1" ht="21" customHeight="1" thickBot="1">
      <c r="A68" s="701" t="s">
        <v>21</v>
      </c>
      <c r="B68" s="2265" t="str" cm="1">
        <f t="array" ref="B68">SUMPRODUCT(--(D68:J68&lt;&gt;""), LEN(TRIM(SUBSTITUTE(D68:J68, CHAR(160), "")))) &amp; " Car."</f>
        <v>0 Car.</v>
      </c>
      <c r="C68" s="1376" t="str">
        <f>IF(ISBLANK(D68),"",LARGE(C13:C67,1)+1)</f>
        <v/>
      </c>
      <c r="D68" s="1833"/>
      <c r="E68" s="1810"/>
      <c r="F68" s="1810"/>
      <c r="G68" s="1810"/>
      <c r="H68" s="1810"/>
      <c r="I68" s="1810"/>
      <c r="J68" s="1810"/>
      <c r="K68" s="1810"/>
      <c r="L68" s="1811"/>
      <c r="M68" s="9"/>
      <c r="N68" s="162" t="str">
        <f t="shared" si="16"/>
        <v>A</v>
      </c>
      <c r="O68" s="2188"/>
      <c r="P68" s="9"/>
      <c r="Q68" s="162" t="s">
        <v>10</v>
      </c>
      <c r="R68" s="163" t="str">
        <f>R20</f>
        <v>C CHIBOUST PAMPLEMOUSSE | pâtisserie--ENTREMET| Auteur &gt; recette Béghin Say de Jean-Jacques Borne MOF 1994</v>
      </c>
      <c r="S68" s="163">
        <f>S20</f>
        <v>18</v>
      </c>
      <c r="T68" s="164" t="str">
        <f>T20</f>
        <v>desserts</v>
      </c>
      <c r="U68" s="165" t="str">
        <f>U20</f>
        <v>Recette mère ► MILLE-FEUILLE  aux fraises des bois</v>
      </c>
      <c r="V68" s="172"/>
      <c r="W68" s="1378" t="s">
        <v>207</v>
      </c>
      <c r="X68" s="1712" t="s">
        <v>8475</v>
      </c>
      <c r="Y68" s="176"/>
      <c r="Z68" s="176"/>
      <c r="AA68" s="176"/>
      <c r="AB68" s="176"/>
      <c r="AC68" s="176"/>
      <c r="AD68" s="176"/>
      <c r="AE68" s="176"/>
      <c r="AF68" s="176"/>
      <c r="AG68" s="176"/>
      <c r="AH68" s="176"/>
      <c r="AI68" s="176"/>
      <c r="AJ68" s="884"/>
      <c r="AK68" s="6120" t="str">
        <f t="shared" si="40"/>
        <v>►</v>
      </c>
      <c r="AL68" s="781" t="str">
        <f t="shared" si="20"/>
        <v>A</v>
      </c>
      <c r="AM68" s="5498" t="str">
        <f t="shared" si="21"/>
        <v>▼ recette suivante</v>
      </c>
      <c r="AN68" s="783" t="str">
        <f t="shared" si="22"/>
        <v/>
      </c>
      <c r="AO68" s="782" t="str">
        <f t="shared" si="23"/>
        <v/>
      </c>
      <c r="AP68" s="783" t="str">
        <f t="shared" si="24"/>
        <v/>
      </c>
      <c r="AQ68" s="2083" t="b">
        <f>AND(Q68="A",COUNTIF(BP16:BR63,TRIM(Z68))&gt;0)</f>
        <v>0</v>
      </c>
      <c r="AR68" s="797">
        <f>IF(AL68&lt;&gt;"A","",IFERROR(IFERROR(_xlfn.XLOOKUP(TRIM(SUBSTITUTE(Z68,CHAR(160)," ")),BP16:BP63,BS16:BS63),IFERROR(_xlfn.XLOOKUP(TRIM(SUBSTITUTE(Z68,CHAR(160)," ")),BQ16:BQ63,BS16:BS63),_xlfn.XLOOKUP(TRIM(SUBSTITUTE(Z68,CHAR(160)," ")),BR16:BR63,BS16:BS63)))*Y68*IF(ISBLANK(V68),1,V68),0))</f>
        <v>0</v>
      </c>
      <c r="AS68" s="784" t="str">
        <f t="shared" si="25"/>
        <v/>
      </c>
      <c r="AT68" s="1315" t="str">
        <f t="shared" si="26"/>
        <v/>
      </c>
      <c r="AU68" s="785">
        <f t="shared" si="27"/>
        <v>0</v>
      </c>
      <c r="AV68" s="785">
        <f t="shared" si="28"/>
        <v>0</v>
      </c>
      <c r="AW68" s="798">
        <f>IF(AK68="A",AY10,0)</f>
        <v>0</v>
      </c>
      <c r="AX68" s="5496" t="str">
        <f>IF(IFERROR(SEARCH("Adresse PC",TRIM(W68)),0)&gt;0,"▼ receta siguiente",IF(AK68="A",IF(AZ10&lt;&gt;"",AZ10&amp;" - ou.or.o ❾ + or - &gt;",""),""))</f>
        <v>▼ receta siguiente</v>
      </c>
      <c r="AY68" s="810"/>
      <c r="AZ68" s="810"/>
      <c r="BA68" s="799" t="str">
        <f t="shared" si="29"/>
        <v/>
      </c>
      <c r="BB68" s="800" t="str">
        <f>IF(AK68="A",IF(AQ68,IF(AND(AW68&lt;&gt;"",N(AW68)&gt;0),IFERROR(IFERROR(_xlfn.XLOOKUP(AP68,BP10:BP57,BT10:BT57),IFERROR(_xlfn.XLOOKUP(AP68,BQ10:BQ57,BT10:BT57),_xlfn.XLOOKUP(AP68,BR10:BR57,BT10:BT57,""))),""),""),""),"")</f>
        <v/>
      </c>
      <c r="BC68" s="813" cm="1">
        <f t="array" ref="BC68">IF(NOT(AQ68),0,IF(OR(BA68="",N(BA68)&lt;=0.000000001),"",IF(OR(AU68="",N(AU68)&lt;=0.000000001),0,IF(ISNUMBER(BA68),IFERROR(_xlfn.LET(_xlpm.ai_test,TRIM(AP68),_xlpm.r,IFERROR(_xlfn.XLOOKUP(_xlpm.ai_test,BP16:BP63,ROW(BP16:BP63),0,1),IFERROR(_xlfn.XLOOKUP(_xlpm.ai_test,BQ16:BQ63,ROW(BQ16:BQ63),0,1),_xlfn.XLOOKUP(_xlpm.ai_test,BR16:BR63,ROW(BR16:BR63),0,1))),_xlpm.p,_xlpm.r-MIN(ROW(BP16:BP63))+1,_xlpm.f,INDEX(BS16:BS63,_xlpm.p),_xlpm.u,INDEX(BT16:BT63,_xlpm.p),_xlpm.s,INDEX(BV16:BV63,_xlpm.p),_xlpm.q,N(BA68)/_xlpm.f,IF(_xlpm.q&gt;=_xlpm.s,ROUND(_xlpm.q,1)&amp;" "&amp;_xlpm.ai_test&amp;" = "&amp;ROUND(_xlpm.q*_xlpm.f,1)&amp;" "&amp;_xlpm.u,ROUND(_xlpm.q,1)&amp;" "&amp;_xlpm.ai_test)),""),""))))</f>
        <v>0</v>
      </c>
      <c r="BD68" s="801"/>
      <c r="BE68" s="799" t="str">
        <f t="shared" si="30"/>
        <v xml:space="preserve">▼next ricipe </v>
      </c>
      <c r="BF68" s="800" t="str">
        <f t="shared" si="44"/>
        <v/>
      </c>
      <c r="BG68" s="802">
        <f t="shared" si="45"/>
        <v>0</v>
      </c>
      <c r="BH68" s="803" t="str">
        <f t="shared" si="46"/>
        <v/>
      </c>
      <c r="BI68" s="792"/>
      <c r="BJ68" s="804">
        <f t="shared" si="47"/>
        <v>0</v>
      </c>
      <c r="BK68" s="794" t="str">
        <f t="shared" si="38"/>
        <v/>
      </c>
      <c r="BL68" s="227" t="s">
        <v>21</v>
      </c>
      <c r="BM68" s="773">
        <f t="shared" si="35"/>
        <v>0</v>
      </c>
      <c r="BN68" s="774">
        <f t="shared" si="36"/>
        <v>0</v>
      </c>
      <c r="BO68"/>
      <c r="BP68" s="6846" t="s">
        <v>1759</v>
      </c>
      <c r="BQ68" s="6846"/>
      <c r="BR68" s="6846"/>
      <c r="BS68" s="6846"/>
      <c r="BT68" s="6846"/>
      <c r="BU68" s="6846"/>
      <c r="BV68" s="6846"/>
      <c r="BW68" s="6846"/>
      <c r="BX68"/>
      <c r="BY68"/>
      <c r="BZ68"/>
      <c r="CA68"/>
      <c r="CB68"/>
      <c r="CC68"/>
      <c r="CD68" s="781" t="str">
        <f t="shared" si="15"/>
        <v>A</v>
      </c>
      <c r="CE68" s="6847" t="s">
        <v>8073</v>
      </c>
      <c r="CF68" s="6847"/>
      <c r="CG68" s="6847"/>
      <c r="CH68" s="6847"/>
      <c r="CI68" s="6847"/>
      <c r="CJ68" s="719"/>
      <c r="CK68" s="645"/>
      <c r="CL68" s="117"/>
      <c r="CM68" s="117"/>
      <c r="CN68" s="117"/>
      <c r="CO68" s="117"/>
      <c r="CP68" s="117"/>
      <c r="CQ68" s="644"/>
      <c r="CS68" s="645"/>
      <c r="CT68" s="117"/>
      <c r="CU68" s="117"/>
      <c r="CV68" s="117"/>
      <c r="CW68" s="117"/>
      <c r="CX68" s="117"/>
      <c r="CY68" s="644"/>
      <c r="DA68" s="645"/>
      <c r="DB68" s="117"/>
      <c r="DC68" s="117"/>
      <c r="DD68" s="117"/>
      <c r="DE68" s="117"/>
      <c r="DF68" s="117"/>
      <c r="DG68" s="840" t="s">
        <v>1727</v>
      </c>
      <c r="DI68" s="3">
        <v>1</v>
      </c>
    </row>
    <row r="69" spans="1:113" s="627" customFormat="1" ht="21" customHeight="1">
      <c r="A69" s="701" t="s">
        <v>21</v>
      </c>
      <c r="B69" s="2265" t="str" cm="1">
        <f t="array" ref="B69">SUMPRODUCT(--(D69:J69&lt;&gt;""), LEN(TRIM(SUBSTITUTE(D69:J69, CHAR(160), "")))) &amp; " Car."</f>
        <v>0 Car.</v>
      </c>
      <c r="C69" s="1376" t="str">
        <f>IF(ISBLANK(D69),"",LARGE(C13:C68,1)+1)</f>
        <v/>
      </c>
      <c r="D69" s="1833"/>
      <c r="E69" s="1810"/>
      <c r="F69" s="1810"/>
      <c r="G69" s="1810"/>
      <c r="H69" s="1810"/>
      <c r="I69" s="1810"/>
      <c r="J69" s="1810"/>
      <c r="K69" s="1810"/>
      <c r="L69" s="1811"/>
      <c r="M69" s="9"/>
      <c r="N69" s="162" t="str">
        <f t="shared" si="16"/>
        <v>A</v>
      </c>
      <c r="O69" s="2188"/>
      <c r="P69" s="9"/>
      <c r="Q69" s="162" t="s">
        <v>10</v>
      </c>
      <c r="R69" s="163" t="str">
        <f>R20</f>
        <v>C CHIBOUST PAMPLEMOUSSE | pâtisserie--ENTREMET| Auteur &gt; recette Béghin Say de Jean-Jacques Borne MOF 1994</v>
      </c>
      <c r="S69" s="163">
        <f>S20</f>
        <v>18</v>
      </c>
      <c r="T69" s="164" t="str">
        <f>T20</f>
        <v>desserts</v>
      </c>
      <c r="U69" s="165" t="str">
        <f>U20</f>
        <v>Recette mère ► MILLE-FEUILLE  aux fraises des bois</v>
      </c>
      <c r="V69" s="1379"/>
      <c r="W69" s="1380"/>
      <c r="X69" s="1380"/>
      <c r="Y69" s="1380"/>
      <c r="Z69" s="1380"/>
      <c r="AA69" s="1380"/>
      <c r="AB69" s="1380"/>
      <c r="AC69" s="1381" t="s">
        <v>196</v>
      </c>
      <c r="AD69" s="202"/>
      <c r="AE69" s="202"/>
      <c r="AF69" s="202"/>
      <c r="AG69" s="202"/>
      <c r="AH69" s="202"/>
      <c r="AI69" s="202"/>
      <c r="AJ69" s="885"/>
      <c r="AK69" s="6120" t="str">
        <f t="shared" si="40"/>
        <v>►</v>
      </c>
      <c r="AL69" s="781" t="str">
        <f t="shared" si="20"/>
        <v>►</v>
      </c>
      <c r="AM69" s="5499" t="str">
        <f t="shared" si="21"/>
        <v/>
      </c>
      <c r="AN69" s="783" t="str">
        <f t="shared" si="22"/>
        <v/>
      </c>
      <c r="AO69" s="782" t="str">
        <f t="shared" si="23"/>
        <v/>
      </c>
      <c r="AP69" s="783" t="str">
        <f t="shared" si="24"/>
        <v/>
      </c>
      <c r="AQ69" s="2083" t="b">
        <f>AND(Q69="A",COUNTIF(BP16:BR63,TRIM(Z69))&gt;0)</f>
        <v>0</v>
      </c>
      <c r="AR69" s="797" t="str">
        <f>IF(AL69&lt;&gt;"A","",IFERROR(IFERROR(_xlfn.XLOOKUP(TRIM(SUBSTITUTE(Z69,CHAR(160)," ")),BP16:BP63,BS16:BS63),IFERROR(_xlfn.XLOOKUP(TRIM(SUBSTITUTE(Z69,CHAR(160)," ")),BQ16:BQ63,BS16:BS63),_xlfn.XLOOKUP(TRIM(SUBSTITUTE(Z69,CHAR(160)," ")),BR16:BR63,BS16:BS63)))*Y69*IF(ISBLANK(V69),1,V69),0))</f>
        <v/>
      </c>
      <c r="AS69" s="784" t="str">
        <f t="shared" si="25"/>
        <v/>
      </c>
      <c r="AT69" s="1315" t="str">
        <f t="shared" si="26"/>
        <v/>
      </c>
      <c r="AU69" s="785">
        <f t="shared" si="27"/>
        <v>0</v>
      </c>
      <c r="AV69" s="785">
        <f t="shared" si="28"/>
        <v>0</v>
      </c>
      <c r="AW69" s="786">
        <f>IF(AK69="A",AY10,0)</f>
        <v>0</v>
      </c>
      <c r="AX69" s="5495" t="str">
        <f>IF(IFERROR(SEARCH("Adresse PC",TRIM(W69)),0)&gt;0,"▼ receta siguiente",IF(AK69="A",IF(AZ10&lt;&gt;"",AZ10&amp;" - ou.or.o ❾ + or - &gt;",""),""))</f>
        <v/>
      </c>
      <c r="AY69" s="810"/>
      <c r="AZ69" s="810"/>
      <c r="BA69" s="788" t="str">
        <f t="shared" si="29"/>
        <v/>
      </c>
      <c r="BB69" s="789" t="str">
        <f>IF(AK69="A",IF(AQ69,IF(AND(AW69&lt;&gt;"",N(AW69)&gt;0),IFERROR(IFERROR(_xlfn.XLOOKUP(AP69,BP10:BP57,BT10:BT57),IFERROR(_xlfn.XLOOKUP(AP69,BQ10:BQ57,BT10:BT57),_xlfn.XLOOKUP(AP69,BR10:BR57,BT10:BT57,""))),""),""),""),"")</f>
        <v/>
      </c>
      <c r="BC69" s="811" cm="1">
        <f t="array" ref="BC69">IF(NOT(AQ69),0,IF(OR(BA69="",N(BA69)&lt;=0.000000001),"",IF(OR(AU69="",N(AU69)&lt;=0.000000001),0,IF(ISNUMBER(BA69),IFERROR(_xlfn.LET(_xlpm.ai_test,TRIM(AP69),_xlpm.r,IFERROR(_xlfn.XLOOKUP(_xlpm.ai_test,BP16:BP63,ROW(BP16:BP63),0,1),IFERROR(_xlfn.XLOOKUP(_xlpm.ai_test,BQ16:BQ63,ROW(BQ16:BQ63),0,1),_xlfn.XLOOKUP(_xlpm.ai_test,BR16:BR63,ROW(BR16:BR63),0,1))),_xlpm.p,_xlpm.r-MIN(ROW(BP16:BP63))+1,_xlpm.f,INDEX(BS16:BS63,_xlpm.p),_xlpm.u,INDEX(BT16:BT63,_xlpm.p),_xlpm.s,INDEX(BV16:BV63,_xlpm.p),_xlpm.q,N(BA69)/_xlpm.f,IF(_xlpm.q&gt;=_xlpm.s,ROUND(_xlpm.q,1)&amp;" "&amp;_xlpm.ai_test&amp;" = "&amp;ROUND(_xlpm.q*_xlpm.f,1)&amp;" "&amp;_xlpm.u,ROUND(_xlpm.q,1)&amp;" "&amp;_xlpm.ai_test)),""),""))))</f>
        <v>0</v>
      </c>
      <c r="BD69" s="801"/>
      <c r="BE69" s="788" t="str">
        <f t="shared" si="30"/>
        <v/>
      </c>
      <c r="BF69" s="789" t="str">
        <f t="shared" si="44"/>
        <v/>
      </c>
      <c r="BG69" s="790">
        <f t="shared" si="45"/>
        <v>0</v>
      </c>
      <c r="BH69" s="791" t="str">
        <f t="shared" si="46"/>
        <v/>
      </c>
      <c r="BI69" s="792"/>
      <c r="BJ69" s="793">
        <f t="shared" si="47"/>
        <v>0</v>
      </c>
      <c r="BK69" s="794" t="str">
        <f t="shared" si="38"/>
        <v/>
      </c>
      <c r="BL69" s="227" t="s">
        <v>21</v>
      </c>
      <c r="BM69" s="773">
        <f t="shared" si="35"/>
        <v>0</v>
      </c>
      <c r="BN69" s="774">
        <f t="shared" si="36"/>
        <v>0</v>
      </c>
      <c r="BO69"/>
      <c r="BP69" s="6846"/>
      <c r="BQ69" s="6846"/>
      <c r="BR69" s="6846"/>
      <c r="BS69" s="6846"/>
      <c r="BT69" s="6846"/>
      <c r="BU69" s="6846"/>
      <c r="BV69" s="6846"/>
      <c r="BW69" s="6846"/>
      <c r="BX69"/>
      <c r="BY69"/>
      <c r="BZ69"/>
      <c r="CA69"/>
      <c r="CB69"/>
      <c r="CC69"/>
      <c r="CD69" s="781" t="str">
        <f t="shared" si="15"/>
        <v>►</v>
      </c>
      <c r="CE69" s="6847"/>
      <c r="CF69" s="6847"/>
      <c r="CG69" s="6847"/>
      <c r="CH69" s="6847"/>
      <c r="CI69" s="6847"/>
      <c r="CJ69" s="719"/>
      <c r="CK69" s="841" t="s">
        <v>838</v>
      </c>
      <c r="CL69" s="842"/>
      <c r="CM69" s="842"/>
      <c r="CN69" s="842"/>
      <c r="CO69" s="842"/>
      <c r="CP69" s="842"/>
      <c r="CQ69" s="843"/>
      <c r="CS69" s="841" t="s">
        <v>838</v>
      </c>
      <c r="CT69" s="842"/>
      <c r="CU69" s="842"/>
      <c r="CV69" s="842"/>
      <c r="CW69" s="842"/>
      <c r="CX69" s="842"/>
      <c r="CY69" s="843"/>
      <c r="DA69" s="841" t="s">
        <v>838</v>
      </c>
      <c r="DB69" s="842"/>
      <c r="DC69" s="842"/>
      <c r="DD69" s="842"/>
      <c r="DE69" s="842"/>
      <c r="DF69" s="842"/>
      <c r="DG69" s="843"/>
      <c r="DI69" s="3">
        <v>1</v>
      </c>
    </row>
    <row r="70" spans="1:113" s="627" customFormat="1" ht="21" customHeight="1" thickBot="1">
      <c r="A70" s="701" t="s">
        <v>21</v>
      </c>
      <c r="B70" s="2265" t="str" cm="1">
        <f t="array" ref="B70">SUMPRODUCT(--(D70:J70&lt;&gt;""), LEN(TRIM(SUBSTITUTE(D70:J70, CHAR(160), "")))) &amp; " Car."</f>
        <v>0 Car.</v>
      </c>
      <c r="C70" s="1376" t="str">
        <f>IF(ISBLANK(D70),"",LARGE(C13:C69,1)+1)</f>
        <v/>
      </c>
      <c r="D70" s="1833"/>
      <c r="E70" s="1810"/>
      <c r="F70" s="1810"/>
      <c r="G70" s="1810"/>
      <c r="H70" s="1810"/>
      <c r="I70" s="1810"/>
      <c r="J70" s="1810"/>
      <c r="K70" s="1810"/>
      <c r="L70" s="1811"/>
      <c r="M70" s="9"/>
      <c r="N70" s="162" t="str">
        <f t="shared" si="16"/>
        <v>A</v>
      </c>
      <c r="O70" s="1621" t="s">
        <v>8266</v>
      </c>
      <c r="P70" s="9"/>
      <c r="Q70" s="162" t="s">
        <v>10</v>
      </c>
      <c r="R70" s="163" t="str">
        <f>R20</f>
        <v>C CHIBOUST PAMPLEMOUSSE | pâtisserie--ENTREMET| Auteur &gt; recette Béghin Say de Jean-Jacques Borne MOF 1994</v>
      </c>
      <c r="S70" s="163">
        <f>S20</f>
        <v>18</v>
      </c>
      <c r="T70" s="164" t="str">
        <f>T20</f>
        <v>desserts</v>
      </c>
      <c r="U70" s="165" t="str">
        <f>U20</f>
        <v>Recette mère ► MILLE-FEUILLE  aux fraises des bois</v>
      </c>
      <c r="V70" s="2139"/>
      <c r="W70" s="2124"/>
      <c r="X70" s="2138"/>
      <c r="Y70" s="2140" t="s">
        <v>8860</v>
      </c>
      <c r="Z70" s="2065">
        <f ca="1">Z47</f>
        <v>132</v>
      </c>
      <c r="AA70" s="886" t="s">
        <v>200</v>
      </c>
      <c r="AB70" s="2137"/>
      <c r="AC70" s="2137"/>
      <c r="AD70" s="2137"/>
      <c r="AE70" s="472"/>
      <c r="AF70" s="472"/>
      <c r="AG70" s="472"/>
      <c r="AH70" s="2260" t="str">
        <f>IF(AB71="","",(LEN(TRIM(SUBSTITUTE(AB71,CHAR(160)," ")))-LEN(SUBSTITUTE(TRIM(SUBSTITUTE(AB71,CHAR(160)," "))," ",""))+1)&amp;" mot"&amp;IF((LEN(TRIM(SUBSTITUTE(AB71,CHAR(160)," ")))-LEN(SUBSTITUTE(TRIM(SUBSTITUTE(AB71,CHAR(160)," "))," ",""))+1)&gt;1,"s",""))</f>
        <v>17 mots</v>
      </c>
      <c r="AI70" s="2259" t="str">
        <f>IF(AB71="","",LEN(TRIM(SUBSTITUTE(AB71,CHAR(160),""))))&amp;" Car."</f>
        <v>123 Car.</v>
      </c>
      <c r="AJ70" s="2261" t="s">
        <v>8863</v>
      </c>
      <c r="AK70" s="6120" t="str">
        <f t="shared" si="40"/>
        <v>►</v>
      </c>
      <c r="AL70" s="781" t="str">
        <f t="shared" si="20"/>
        <v>►</v>
      </c>
      <c r="AM70" s="5498" t="str">
        <f t="shared" si="21"/>
        <v/>
      </c>
      <c r="AN70" s="783" t="str">
        <f t="shared" si="22"/>
        <v/>
      </c>
      <c r="AO70" s="782" t="str">
        <f t="shared" si="23"/>
        <v/>
      </c>
      <c r="AP70" s="783" t="str">
        <f t="shared" si="24"/>
        <v/>
      </c>
      <c r="AQ70" s="2083" t="b">
        <f ca="1">AND(Q70="A",COUNTIF(BP16:BR63,TRIM(Z70))&gt;0)</f>
        <v>0</v>
      </c>
      <c r="AR70" s="797" t="str">
        <f>IF(AL70&lt;&gt;"A","",IFERROR(IFERROR(_xlfn.XLOOKUP(TRIM(SUBSTITUTE(Z70,CHAR(160)," ")),BP16:BP63,BS16:BS63),IFERROR(_xlfn.XLOOKUP(TRIM(SUBSTITUTE(Z70,CHAR(160)," ")),BQ16:BQ63,BS16:BS63),_xlfn.XLOOKUP(TRIM(SUBSTITUTE(Z70,CHAR(160)," ")),BR16:BR63,BS16:BS63)))*Y70*IF(ISBLANK(V70),1,V70),0))</f>
        <v/>
      </c>
      <c r="AS70" s="784" t="str">
        <f t="shared" si="25"/>
        <v/>
      </c>
      <c r="AT70" s="1315" t="str">
        <f t="shared" si="26"/>
        <v/>
      </c>
      <c r="AU70" s="785">
        <f t="shared" si="27"/>
        <v>0</v>
      </c>
      <c r="AV70" s="785">
        <f t="shared" si="28"/>
        <v>0</v>
      </c>
      <c r="AW70" s="798">
        <f>IF(AK70="A",AY10,0)</f>
        <v>0</v>
      </c>
      <c r="AX70" s="5496" t="str">
        <f>IF(IFERROR(SEARCH("Adresse PC",TRIM(W70)),0)&gt;0,"▼ receta siguiente",IF(AK70="A",IF(AZ10&lt;&gt;"",AZ10&amp;" - ou.or.o ❾ + or - &gt;",""),""))</f>
        <v/>
      </c>
      <c r="AY70" s="810"/>
      <c r="AZ70" s="810"/>
      <c r="BA70" s="799" t="str">
        <f t="shared" si="29"/>
        <v/>
      </c>
      <c r="BB70" s="800" t="str">
        <f>IF(AK70="A",IF(AQ70,IF(AND(AW70&lt;&gt;"",N(AW70)&gt;0),IFERROR(IFERROR(_xlfn.XLOOKUP(AP70,BP10:BP57,BT10:BT57),IFERROR(_xlfn.XLOOKUP(AP70,BQ10:BQ57,BT10:BT57),_xlfn.XLOOKUP(AP70,BR10:BR57,BT10:BT57,""))),""),""),""),"")</f>
        <v/>
      </c>
      <c r="BC70" s="813" cm="1">
        <f t="array" aca="1" ref="BC70" ca="1">IF(NOT(AQ70),0,IF(OR(BA70="",N(BA70)&lt;=0.000000001),"",IF(OR(AU70="",N(AU70)&lt;=0.000000001),0,IF(ISNUMBER(BA70),IFERROR(_xlfn.LET(_xlpm.ai_test,TRIM(AP70),_xlpm.r,IFERROR(_xlfn.XLOOKUP(_xlpm.ai_test,BP16:BP63,ROW(BP16:BP63),0,1),IFERROR(_xlfn.XLOOKUP(_xlpm.ai_test,BQ16:BQ63,ROW(BQ16:BQ63),0,1),_xlfn.XLOOKUP(_xlpm.ai_test,BR16:BR63,ROW(BR16:BR63),0,1))),_xlpm.p,_xlpm.r-MIN(ROW(BP16:BP63))+1,_xlpm.f,INDEX(BS16:BS63,_xlpm.p),_xlpm.u,INDEX(BT16:BT63,_xlpm.p),_xlpm.s,INDEX(BV16:BV63,_xlpm.p),_xlpm.q,N(BA70)/_xlpm.f,IF(_xlpm.q&gt;=_xlpm.s,ROUND(_xlpm.q,1)&amp;" "&amp;_xlpm.ai_test&amp;" = "&amp;ROUND(_xlpm.q*_xlpm.f,1)&amp;" "&amp;_xlpm.u,ROUND(_xlpm.q,1)&amp;" "&amp;_xlpm.ai_test)),""),""))))</f>
        <v>0</v>
      </c>
      <c r="BD70" s="801"/>
      <c r="BE70" s="799" t="str">
        <f t="shared" si="30"/>
        <v/>
      </c>
      <c r="BF70" s="800" t="str">
        <f t="shared" ca="1" si="44"/>
        <v/>
      </c>
      <c r="BG70" s="802">
        <f t="shared" si="45"/>
        <v>0</v>
      </c>
      <c r="BH70" s="803" t="str">
        <f t="shared" ca="1" si="46"/>
        <v/>
      </c>
      <c r="BI70" s="792"/>
      <c r="BJ70" s="804">
        <f t="shared" si="47"/>
        <v>0</v>
      </c>
      <c r="BK70" s="794" t="str">
        <f t="shared" si="38"/>
        <v/>
      </c>
      <c r="BL70" s="227" t="s">
        <v>21</v>
      </c>
      <c r="BM70" s="773">
        <f t="shared" si="35"/>
        <v>0</v>
      </c>
      <c r="BN70" s="774">
        <f t="shared" si="36"/>
        <v>0</v>
      </c>
      <c r="BP70" s="6846" t="s">
        <v>1760</v>
      </c>
      <c r="BQ70" s="6846"/>
      <c r="BR70" s="6846"/>
      <c r="BS70" s="6846"/>
      <c r="BT70" s="6846"/>
      <c r="BU70" s="6846"/>
      <c r="BV70" s="6846"/>
      <c r="BW70" s="6846"/>
      <c r="BX70"/>
      <c r="BY70"/>
      <c r="BZ70"/>
      <c r="CA70"/>
      <c r="CB70"/>
      <c r="CC70"/>
      <c r="CD70" s="781" t="str">
        <f t="shared" si="15"/>
        <v>►</v>
      </c>
      <c r="CE70" s="6847"/>
      <c r="CF70" s="6847"/>
      <c r="CG70" s="6847"/>
      <c r="CH70" s="6847"/>
      <c r="CI70" s="6847"/>
      <c r="CJ70" s="719"/>
      <c r="CK70" s="6472" t="s">
        <v>1735</v>
      </c>
      <c r="CL70" s="6473"/>
      <c r="CM70" s="6473"/>
      <c r="CN70" s="6473"/>
      <c r="CO70" s="6473"/>
      <c r="CP70" s="6473"/>
      <c r="CQ70" s="6474"/>
      <c r="CS70" s="6472" t="s">
        <v>1736</v>
      </c>
      <c r="CT70" s="6473"/>
      <c r="CU70" s="6473"/>
      <c r="CV70" s="6473"/>
      <c r="CW70" s="6473"/>
      <c r="CX70" s="6473"/>
      <c r="CY70" s="6474"/>
      <c r="DA70" s="6472" t="s">
        <v>1737</v>
      </c>
      <c r="DB70" s="6473"/>
      <c r="DC70" s="6473"/>
      <c r="DD70" s="6473"/>
      <c r="DE70" s="6473"/>
      <c r="DF70" s="6473"/>
      <c r="DG70" s="6474"/>
      <c r="DI70" s="3">
        <v>1</v>
      </c>
    </row>
    <row r="71" spans="1:113" s="627" customFormat="1" ht="21" customHeight="1" thickBot="1">
      <c r="A71" s="701" t="s">
        <v>21</v>
      </c>
      <c r="B71" s="2265" t="str" cm="1">
        <f t="array" ref="B71">SUMPRODUCT(--(D71:J71&lt;&gt;""), LEN(TRIM(SUBSTITUTE(D71:J71, CHAR(160), "")))) &amp; " Car."</f>
        <v>0 Car.</v>
      </c>
      <c r="C71" s="1376" t="str">
        <f>IF(ISBLANK(D71),"",LARGE(C13:C70,1)+1)</f>
        <v/>
      </c>
      <c r="D71" s="1833"/>
      <c r="E71" s="1810"/>
      <c r="F71" s="1810"/>
      <c r="G71" s="1810"/>
      <c r="H71" s="1810"/>
      <c r="I71" s="1810"/>
      <c r="J71" s="1810"/>
      <c r="K71" s="1810"/>
      <c r="L71" s="1811"/>
      <c r="M71" s="9"/>
      <c r="N71" s="1814" t="str">
        <f t="shared" si="16"/>
        <v>A</v>
      </c>
      <c r="O71" s="1622" t="s">
        <v>8267</v>
      </c>
      <c r="P71" s="9"/>
      <c r="Q71" s="1814" t="s">
        <v>10</v>
      </c>
      <c r="R71" s="209" t="str">
        <f>R20</f>
        <v>C CHIBOUST PAMPLEMOUSSE | pâtisserie--ENTREMET| Auteur &gt; recette Béghin Say de Jean-Jacques Borne MOF 1994</v>
      </c>
      <c r="S71" s="209">
        <f>S20</f>
        <v>18</v>
      </c>
      <c r="T71" s="210" t="str">
        <f>T20</f>
        <v>desserts</v>
      </c>
      <c r="U71" s="211" t="str">
        <f>U20</f>
        <v>Recette mère ► MILLE-FEUILLE  aux fraises des bois</v>
      </c>
      <c r="V71" s="2129"/>
      <c r="W71" s="2130"/>
      <c r="X71" s="2131"/>
      <c r="Y71" s="2132"/>
      <c r="Z71" s="2133"/>
      <c r="AA71" s="2133" t="s">
        <v>8864</v>
      </c>
      <c r="AB71" s="5545" t="s">
        <v>8866</v>
      </c>
      <c r="AC71" s="2136"/>
      <c r="AD71" s="2134"/>
      <c r="AE71" s="2134"/>
      <c r="AF71" s="2134"/>
      <c r="AG71" s="2134"/>
      <c r="AH71" s="2134"/>
      <c r="AI71" s="2134"/>
      <c r="AJ71" s="2135"/>
      <c r="AK71" s="6120" t="str">
        <f t="shared" si="40"/>
        <v>►</v>
      </c>
      <c r="AL71" s="781" t="str">
        <f t="shared" si="20"/>
        <v>►</v>
      </c>
      <c r="AM71" s="5499" t="str">
        <f t="shared" si="21"/>
        <v/>
      </c>
      <c r="AN71" s="783" t="str">
        <f t="shared" si="22"/>
        <v/>
      </c>
      <c r="AO71" s="782" t="str">
        <f t="shared" si="23"/>
        <v/>
      </c>
      <c r="AP71" s="783" t="str">
        <f t="shared" si="24"/>
        <v/>
      </c>
      <c r="AQ71" s="2083" t="b">
        <f>AND(Q71="A",COUNTIF(BP16:BR63,TRIM(Z71))&gt;0)</f>
        <v>0</v>
      </c>
      <c r="AR71" s="797" t="str">
        <f>IF(AL71&lt;&gt;"A","",IFERROR(IFERROR(_xlfn.XLOOKUP(TRIM(SUBSTITUTE(Z71,CHAR(160)," ")),BP16:BP63,BS16:BS63),IFERROR(_xlfn.XLOOKUP(TRIM(SUBSTITUTE(Z71,CHAR(160)," ")),BQ16:BQ63,BS16:BS63),_xlfn.XLOOKUP(TRIM(SUBSTITUTE(Z71,CHAR(160)," ")),BR16:BR63,BS16:BS63)))*Y71*IF(ISBLANK(V71),1,V71),0))</f>
        <v/>
      </c>
      <c r="AS71" s="784" t="str">
        <f t="shared" si="25"/>
        <v/>
      </c>
      <c r="AT71" s="1315" t="str">
        <f t="shared" si="26"/>
        <v/>
      </c>
      <c r="AU71" s="785">
        <f t="shared" si="27"/>
        <v>0</v>
      </c>
      <c r="AV71" s="785">
        <f t="shared" si="28"/>
        <v>0</v>
      </c>
      <c r="AW71" s="786">
        <f>IF(AK71="A",AY10,0)</f>
        <v>0</v>
      </c>
      <c r="AX71" s="5495" t="str">
        <f>IF(IFERROR(SEARCH("Adresse PC",TRIM(W71)),0)&gt;0,"▼ receta siguiente",IF(AK71="A",IF(AZ10&lt;&gt;"",AZ10&amp;" - ou.or.o ❾ + or - &gt;",""),""))</f>
        <v/>
      </c>
      <c r="AY71" s="810"/>
      <c r="AZ71" s="810"/>
      <c r="BA71" s="788" t="str">
        <f t="shared" si="29"/>
        <v/>
      </c>
      <c r="BB71" s="789" t="str">
        <f>IF(AK71="A",IF(AQ71,IF(AND(AW71&lt;&gt;"",N(AW71)&gt;0),IFERROR(IFERROR(_xlfn.XLOOKUP(AP71,BP10:BP57,BT10:BT57),IFERROR(_xlfn.XLOOKUP(AP71,BQ10:BQ57,BT10:BT57),_xlfn.XLOOKUP(AP71,BR10:BR57,BT10:BT57,""))),""),""),""),"")</f>
        <v/>
      </c>
      <c r="BC71" s="811" cm="1">
        <f t="array" ref="BC71">IF(NOT(AQ71),0,IF(OR(BA71="",N(BA71)&lt;=0.000000001),"",IF(OR(AU71="",N(AU71)&lt;=0.000000001),0,IF(ISNUMBER(BA71),IFERROR(_xlfn.LET(_xlpm.ai_test,TRIM(AP71),_xlpm.r,IFERROR(_xlfn.XLOOKUP(_xlpm.ai_test,BP16:BP63,ROW(BP16:BP63),0,1),IFERROR(_xlfn.XLOOKUP(_xlpm.ai_test,BQ16:BQ63,ROW(BQ16:BQ63),0,1),_xlfn.XLOOKUP(_xlpm.ai_test,BR16:BR63,ROW(BR16:BR63),0,1))),_xlpm.p,_xlpm.r-MIN(ROW(BP16:BP63))+1,_xlpm.f,INDEX(BS16:BS63,_xlpm.p),_xlpm.u,INDEX(BT16:BT63,_xlpm.p),_xlpm.s,INDEX(BV16:BV63,_xlpm.p),_xlpm.q,N(BA71)/_xlpm.f,IF(_xlpm.q&gt;=_xlpm.s,ROUND(_xlpm.q,1)&amp;" "&amp;_xlpm.ai_test&amp;" = "&amp;ROUND(_xlpm.q*_xlpm.f,1)&amp;" "&amp;_xlpm.u,ROUND(_xlpm.q,1)&amp;" "&amp;_xlpm.ai_test)),""),""))))</f>
        <v>0</v>
      </c>
      <c r="BD71" s="801"/>
      <c r="BE71" s="788" t="str">
        <f t="shared" si="30"/>
        <v/>
      </c>
      <c r="BF71" s="789" t="str">
        <f t="shared" si="44"/>
        <v/>
      </c>
      <c r="BG71" s="790">
        <f t="shared" si="45"/>
        <v>0</v>
      </c>
      <c r="BH71" s="791" t="str">
        <f t="shared" si="46"/>
        <v/>
      </c>
      <c r="BI71" s="792"/>
      <c r="BJ71" s="793">
        <f t="shared" si="47"/>
        <v>0</v>
      </c>
      <c r="BK71" s="794" t="str">
        <f t="shared" si="38"/>
        <v/>
      </c>
      <c r="BL71" s="227" t="s">
        <v>21</v>
      </c>
      <c r="BM71" s="773">
        <f t="shared" si="35"/>
        <v>0</v>
      </c>
      <c r="BN71" s="774">
        <f t="shared" si="36"/>
        <v>0</v>
      </c>
      <c r="BP71" s="6846"/>
      <c r="BQ71" s="6846"/>
      <c r="BR71" s="6846"/>
      <c r="BS71" s="6846"/>
      <c r="BT71" s="6846"/>
      <c r="BU71" s="6846"/>
      <c r="BV71" s="6846"/>
      <c r="BW71" s="6846"/>
      <c r="BX71"/>
      <c r="BY71"/>
      <c r="BZ71"/>
      <c r="CA71"/>
      <c r="CB71"/>
      <c r="CC71"/>
      <c r="CD71" s="781" t="str">
        <f t="shared" ref="CD71:CD134" si="50">AL71</f>
        <v>►</v>
      </c>
      <c r="CE71" s="818"/>
      <c r="CF71" s="634"/>
      <c r="CG71" s="634"/>
      <c r="CH71" s="635"/>
      <c r="CI71" s="635"/>
      <c r="CJ71" s="719"/>
      <c r="CK71" s="6472"/>
      <c r="CL71" s="6473"/>
      <c r="CM71" s="6473"/>
      <c r="CN71" s="6473"/>
      <c r="CO71" s="6473"/>
      <c r="CP71" s="6473"/>
      <c r="CQ71" s="6474"/>
      <c r="CS71" s="6472"/>
      <c r="CT71" s="6473"/>
      <c r="CU71" s="6473"/>
      <c r="CV71" s="6473"/>
      <c r="CW71" s="6473"/>
      <c r="CX71" s="6473"/>
      <c r="CY71" s="6474"/>
      <c r="DA71" s="6472"/>
      <c r="DB71" s="6473"/>
      <c r="DC71" s="6473"/>
      <c r="DD71" s="6473"/>
      <c r="DE71" s="6473"/>
      <c r="DF71" s="6473"/>
      <c r="DG71" s="6474"/>
      <c r="DI71" s="3">
        <v>1</v>
      </c>
    </row>
    <row r="72" spans="1:113" s="627" customFormat="1" ht="21" customHeight="1" thickBot="1">
      <c r="A72" s="701" t="s">
        <v>21</v>
      </c>
      <c r="B72" s="2265" t="str" cm="1">
        <f t="array" ref="B72">SUMPRODUCT(--(D72:J72&lt;&gt;""), LEN(TRIM(SUBSTITUTE(D72:J72, CHAR(160), "")))) &amp; " Car."</f>
        <v>0 Car.</v>
      </c>
      <c r="C72" s="1376" t="str">
        <f>IF(ISBLANK(D72),"",LARGE(C13:C71,1)+1)</f>
        <v/>
      </c>
      <c r="D72" s="1833"/>
      <c r="E72" s="1810"/>
      <c r="F72" s="1810"/>
      <c r="G72" s="1810"/>
      <c r="H72" s="1810"/>
      <c r="I72" s="1810"/>
      <c r="J72" s="1810"/>
      <c r="K72" s="1810"/>
      <c r="L72" s="1811"/>
      <c r="M72" s="9"/>
      <c r="N72" s="215" t="str">
        <f t="shared" si="16"/>
        <v>A</v>
      </c>
      <c r="O72" s="1616"/>
      <c r="P72" s="9"/>
      <c r="Q72" s="215" t="s">
        <v>10</v>
      </c>
      <c r="R72" s="216"/>
      <c r="S72" s="216"/>
      <c r="T72" s="216"/>
      <c r="U72" s="217"/>
      <c r="V72" s="218" t="s">
        <v>207</v>
      </c>
      <c r="W72" s="219" t="str">
        <f ca="1">CELL("nomfichier")</f>
        <v>D:\Données\1.UPRT\0-UPRT.fait\1-UPRT.FR-SITE-WEB\ff-fiches-fabrications\ff.fiches.fabrication.2023\ffr.restaurant.2023\[ff.FICHE.TRILINGUE.20.COLONNES.05.01.2026.xlsx]Couleurs.pour.vos.documents</v>
      </c>
      <c r="X72" s="220"/>
      <c r="Y72" s="220"/>
      <c r="Z72" s="220"/>
      <c r="AA72" s="220"/>
      <c r="AB72" s="220"/>
      <c r="AC72" s="220"/>
      <c r="AD72" s="220"/>
      <c r="AE72" s="220"/>
      <c r="AF72" s="220"/>
      <c r="AG72" s="220"/>
      <c r="AH72" s="220"/>
      <c r="AI72" s="220"/>
      <c r="AJ72" s="221"/>
      <c r="AK72" s="6120" t="str">
        <f t="shared" si="40"/>
        <v>►</v>
      </c>
      <c r="AL72" s="781" t="str">
        <f t="shared" ca="1" si="20"/>
        <v>►</v>
      </c>
      <c r="AM72" s="5498" t="str">
        <f t="shared" ca="1" si="21"/>
        <v/>
      </c>
      <c r="AN72" s="783" t="str">
        <f t="shared" si="22"/>
        <v/>
      </c>
      <c r="AO72" s="782" t="str">
        <f t="shared" si="23"/>
        <v/>
      </c>
      <c r="AP72" s="783" t="str">
        <f t="shared" si="24"/>
        <v/>
      </c>
      <c r="AQ72" s="2083" t="b">
        <f>AND(Q72="A",COUNTIF(BP16:BR63,TRIM(Z72))&gt;0)</f>
        <v>0</v>
      </c>
      <c r="AR72" s="797" t="str">
        <f ca="1">IF(AL72&lt;&gt;"A","",IFERROR(IFERROR(_xlfn.XLOOKUP(TRIM(SUBSTITUTE(Z72,CHAR(160)," ")),BP16:BP63,BS16:BS63),IFERROR(_xlfn.XLOOKUP(TRIM(SUBSTITUTE(Z72,CHAR(160)," ")),BQ16:BQ63,BS16:BS63),_xlfn.XLOOKUP(TRIM(SUBSTITUTE(Z72,CHAR(160)," ")),BR16:BR63,BS16:BS63)))*Y72*IF(ISBLANK(V72),1,V72),0))</f>
        <v/>
      </c>
      <c r="AS72" s="784" t="str">
        <f t="shared" si="25"/>
        <v/>
      </c>
      <c r="AT72" s="1315" t="str">
        <f t="shared" si="26"/>
        <v/>
      </c>
      <c r="AU72" s="785">
        <f t="shared" si="27"/>
        <v>0</v>
      </c>
      <c r="AV72" s="785">
        <f t="shared" si="28"/>
        <v>0</v>
      </c>
      <c r="AW72" s="798">
        <f>IF(AK72="A",AY10,0)</f>
        <v>0</v>
      </c>
      <c r="AX72" s="5496" t="str">
        <f ca="1">IF(IFERROR(SEARCH("Adresse PC",TRIM(W72)),0)&gt;0,"▼ receta siguiente",IF(AK72="A",IF(AZ10&lt;&gt;"",AZ10&amp;" - ou.or.o ❾ + or - &gt;",""),""))</f>
        <v/>
      </c>
      <c r="AY72" s="1316"/>
      <c r="AZ72" s="787"/>
      <c r="BA72" s="799" t="str">
        <f t="shared" si="29"/>
        <v/>
      </c>
      <c r="BB72" s="800" t="str">
        <f>IF(AK72="A",IF(AQ72,IF(AND(AW72&lt;&gt;"",N(AW72)&gt;0),IFERROR(IFERROR(_xlfn.XLOOKUP(AP72,BP10:BP57,BT10:BT57),IFERROR(_xlfn.XLOOKUP(AP72,BQ10:BQ57,BT10:BT57),_xlfn.XLOOKUP(AP72,BR10:BR57,BT10:BT57,""))),""),""),""),"")</f>
        <v/>
      </c>
      <c r="BC72" s="813" cm="1">
        <f t="array" ref="BC72">IF(NOT(AQ72),0,IF(OR(BA72="",N(BA72)&lt;=0.000000001),"",IF(OR(AU72="",N(AU72)&lt;=0.000000001),0,IF(ISNUMBER(BA72),IFERROR(_xlfn.LET(_xlpm.ai_test,TRIM(AP72),_xlpm.r,IFERROR(_xlfn.XLOOKUP(_xlpm.ai_test,BP16:BP63,ROW(BP16:BP63),0,1),IFERROR(_xlfn.XLOOKUP(_xlpm.ai_test,BQ16:BQ63,ROW(BQ16:BQ63),0,1),_xlfn.XLOOKUP(_xlpm.ai_test,BR16:BR63,ROW(BR16:BR63),0,1))),_xlpm.p,_xlpm.r-MIN(ROW(BP16:BP63))+1,_xlpm.f,INDEX(BS16:BS63,_xlpm.p),_xlpm.u,INDEX(BT16:BT63,_xlpm.p),_xlpm.s,INDEX(BV16:BV63,_xlpm.p),_xlpm.q,N(BA72)/_xlpm.f,IF(_xlpm.q&gt;=_xlpm.s,ROUND(_xlpm.q,1)&amp;" "&amp;_xlpm.ai_test&amp;" = "&amp;ROUND(_xlpm.q*_xlpm.f,1)&amp;" "&amp;_xlpm.u,ROUND(_xlpm.q,1)&amp;" "&amp;_xlpm.ai_test)),""),""))))</f>
        <v>0</v>
      </c>
      <c r="BD72" s="801"/>
      <c r="BE72" s="799" t="str">
        <f t="shared" ca="1" si="30"/>
        <v/>
      </c>
      <c r="BF72" s="800" t="str">
        <f t="shared" si="44"/>
        <v/>
      </c>
      <c r="BG72" s="802">
        <f t="shared" si="45"/>
        <v>0</v>
      </c>
      <c r="BH72" s="803" t="str">
        <f t="shared" si="46"/>
        <v/>
      </c>
      <c r="BI72" s="792"/>
      <c r="BJ72" s="804">
        <f t="shared" si="47"/>
        <v>0</v>
      </c>
      <c r="BK72" s="794" t="str">
        <f t="shared" si="38"/>
        <v/>
      </c>
      <c r="BL72" s="227" t="s">
        <v>21</v>
      </c>
      <c r="BM72" s="773">
        <f t="shared" si="35"/>
        <v>0</v>
      </c>
      <c r="BN72" s="774">
        <f t="shared" ca="1" si="36"/>
        <v>0</v>
      </c>
      <c r="BP72" s="229" t="s">
        <v>1761</v>
      </c>
      <c r="BQ72" s="229"/>
      <c r="BR72" s="229"/>
      <c r="BS72" s="229"/>
      <c r="BT72" s="229"/>
      <c r="BU72" s="229"/>
      <c r="BV72" s="229"/>
      <c r="BW72" s="229"/>
      <c r="BX72"/>
      <c r="BY72"/>
      <c r="BZ72"/>
      <c r="CA72"/>
      <c r="CB72"/>
      <c r="CC72"/>
      <c r="CD72" s="781" t="str">
        <f t="shared" ca="1" si="50"/>
        <v>►</v>
      </c>
      <c r="CE72" s="646" t="s">
        <v>840</v>
      </c>
      <c r="CF72" s="634"/>
      <c r="CG72" s="638"/>
      <c r="CH72" s="638"/>
      <c r="CI72" s="638"/>
      <c r="CJ72" s="719"/>
      <c r="CK72" s="844" t="s">
        <v>839</v>
      </c>
      <c r="CL72" s="845"/>
      <c r="CM72" s="845"/>
      <c r="CN72" s="845"/>
      <c r="CO72" s="845"/>
      <c r="CP72" s="845"/>
      <c r="CQ72" s="846"/>
      <c r="CS72" s="844" t="s">
        <v>839</v>
      </c>
      <c r="CT72" s="845"/>
      <c r="CU72" s="845"/>
      <c r="CV72" s="845"/>
      <c r="CW72" s="845"/>
      <c r="CX72" s="845"/>
      <c r="CY72" s="846"/>
      <c r="DA72" s="844" t="s">
        <v>839</v>
      </c>
      <c r="DB72" s="845"/>
      <c r="DC72" s="845"/>
      <c r="DD72" s="845"/>
      <c r="DE72" s="845"/>
      <c r="DF72" s="845"/>
      <c r="DG72" s="899" t="s">
        <v>2398</v>
      </c>
      <c r="DI72" s="3">
        <v>1</v>
      </c>
    </row>
    <row r="73" spans="1:113" s="627" customFormat="1" ht="21" customHeight="1" thickBot="1">
      <c r="A73" s="701" t="s">
        <v>21</v>
      </c>
      <c r="B73" s="2265" t="str" cm="1">
        <f t="array" ref="B73">SUMPRODUCT(--(D73:J73&lt;&gt;""), LEN(TRIM(SUBSTITUTE(D73:J73, CHAR(160), "")))) &amp; " Car."</f>
        <v>0 Car.</v>
      </c>
      <c r="C73" s="1376" t="str">
        <f>IF(ISBLANK(D73),"",LARGE(C13:C72,1)+1)</f>
        <v/>
      </c>
      <c r="D73" s="1833"/>
      <c r="E73" s="1810"/>
      <c r="F73" s="1810"/>
      <c r="G73" s="1810"/>
      <c r="H73" s="1810"/>
      <c r="I73" s="1810"/>
      <c r="J73" s="1810"/>
      <c r="K73" s="1810"/>
      <c r="L73" s="1811"/>
      <c r="M73" s="9"/>
      <c r="N73" s="1216" t="str">
        <f t="shared" si="16"/>
        <v>A</v>
      </c>
      <c r="O73" s="1628" t="s">
        <v>8268</v>
      </c>
      <c r="P73" s="9"/>
      <c r="Q73" s="1216" t="s">
        <v>10</v>
      </c>
      <c r="R73" s="1217" t="s">
        <v>10</v>
      </c>
      <c r="S73" s="1217" t="s">
        <v>10</v>
      </c>
      <c r="T73" s="1217" t="s">
        <v>10</v>
      </c>
      <c r="U73" s="1217" t="s">
        <v>10</v>
      </c>
      <c r="V73" s="1218" t="s">
        <v>2394</v>
      </c>
      <c r="W73" s="1219"/>
      <c r="X73" s="1220"/>
      <c r="Y73" s="1221"/>
      <c r="Z73" s="1222"/>
      <c r="AA73" s="1223"/>
      <c r="AB73" s="1223"/>
      <c r="AC73" s="1221"/>
      <c r="AD73" s="1221"/>
      <c r="AE73" s="1219"/>
      <c r="AF73" s="1219"/>
      <c r="AG73" s="1219"/>
      <c r="AH73" s="1219"/>
      <c r="AI73" s="1219"/>
      <c r="AJ73" s="1224" t="s">
        <v>1755</v>
      </c>
      <c r="AK73" s="6120" t="str">
        <f t="shared" si="40"/>
        <v>►</v>
      </c>
      <c r="AL73" s="781" t="str">
        <f t="shared" si="20"/>
        <v>►</v>
      </c>
      <c r="AM73" s="5499" t="str">
        <f t="shared" si="21"/>
        <v/>
      </c>
      <c r="AN73" s="783" t="str">
        <f t="shared" si="22"/>
        <v/>
      </c>
      <c r="AO73" s="782" t="str">
        <f t="shared" si="23"/>
        <v/>
      </c>
      <c r="AP73" s="783" t="str">
        <f t="shared" si="24"/>
        <v/>
      </c>
      <c r="AQ73" s="2083" t="b">
        <f>AND(Q73="A",COUNTIF(BP16:BR63,TRIM(Z73))&gt;0)</f>
        <v>0</v>
      </c>
      <c r="AR73" s="797" t="str">
        <f>IF(AL73&lt;&gt;"A","",IFERROR(IFERROR(_xlfn.XLOOKUP(TRIM(SUBSTITUTE(Z73,CHAR(160)," ")),BP16:BP63,BS16:BS63),IFERROR(_xlfn.XLOOKUP(TRIM(SUBSTITUTE(Z73,CHAR(160)," ")),BQ16:BQ63,BS16:BS63),_xlfn.XLOOKUP(TRIM(SUBSTITUTE(Z73,CHAR(160)," ")),BR16:BR63,BS16:BS63)))*Y73*IF(ISBLANK(V73),1,V73),0))</f>
        <v/>
      </c>
      <c r="AS73" s="784" t="str">
        <f t="shared" si="25"/>
        <v/>
      </c>
      <c r="AT73" s="1315" t="str">
        <f t="shared" si="26"/>
        <v/>
      </c>
      <c r="AU73" s="785">
        <f t="shared" si="27"/>
        <v>0</v>
      </c>
      <c r="AV73" s="785">
        <f t="shared" si="28"/>
        <v>0</v>
      </c>
      <c r="AW73" s="786">
        <f>IF(AK73="A",AY10,0)</f>
        <v>0</v>
      </c>
      <c r="AX73" s="5495" t="str">
        <f>IF(IFERROR(SEARCH("Adresse PC",TRIM(W73)),0)&gt;0,"▼ receta siguiente",IF(AK73="A",IF(AZ10&lt;&gt;"",AZ10&amp;" - ou.or.o ❾ + or - &gt;",""),""))</f>
        <v/>
      </c>
      <c r="AY73" s="1316"/>
      <c r="AZ73" s="787"/>
      <c r="BA73" s="788" t="str">
        <f t="shared" si="29"/>
        <v/>
      </c>
      <c r="BB73" s="789" t="str">
        <f>IF(AK73="A",IF(AQ73,IF(AND(AW73&lt;&gt;"",N(AW73)&gt;0),IFERROR(IFERROR(_xlfn.XLOOKUP(AP73,BP10:BP57,BT10:BT57),IFERROR(_xlfn.XLOOKUP(AP73,BQ10:BQ57,BT10:BT57),_xlfn.XLOOKUP(AP73,BR10:BR57,BT10:BT57,""))),""),""),""),"")</f>
        <v/>
      </c>
      <c r="BC73" s="811" cm="1">
        <f t="array" ref="BC73">IF(NOT(AQ73),0,IF(OR(BA73="",N(BA73)&lt;=0.000000001),"",IF(OR(AU73="",N(AU73)&lt;=0.000000001),0,IF(ISNUMBER(BA73),IFERROR(_xlfn.LET(_xlpm.ai_test,TRIM(AP73),_xlpm.r,IFERROR(_xlfn.XLOOKUP(_xlpm.ai_test,BP16:BP63,ROW(BP16:BP63),0,1),IFERROR(_xlfn.XLOOKUP(_xlpm.ai_test,BQ16:BQ63,ROW(BQ16:BQ63),0,1),_xlfn.XLOOKUP(_xlpm.ai_test,BR16:BR63,ROW(BR16:BR63),0,1))),_xlpm.p,_xlpm.r-MIN(ROW(BP16:BP63))+1,_xlpm.f,INDEX(BS16:BS63,_xlpm.p),_xlpm.u,INDEX(BT16:BT63,_xlpm.p),_xlpm.s,INDEX(BV16:BV63,_xlpm.p),_xlpm.q,N(BA73)/_xlpm.f,IF(_xlpm.q&gt;=_xlpm.s,ROUND(_xlpm.q,1)&amp;" "&amp;_xlpm.ai_test&amp;" = "&amp;ROUND(_xlpm.q*_xlpm.f,1)&amp;" "&amp;_xlpm.u,ROUND(_xlpm.q,1)&amp;" "&amp;_xlpm.ai_test)),""),""))))</f>
        <v>0</v>
      </c>
      <c r="BD73" s="801"/>
      <c r="BE73" s="788" t="str">
        <f t="shared" si="30"/>
        <v/>
      </c>
      <c r="BF73" s="789" t="str">
        <f t="shared" si="44"/>
        <v/>
      </c>
      <c r="BG73" s="790">
        <f t="shared" si="45"/>
        <v>0</v>
      </c>
      <c r="BH73" s="791" t="str">
        <f t="shared" si="46"/>
        <v/>
      </c>
      <c r="BI73" s="792">
        <v>1.5</v>
      </c>
      <c r="BJ73" s="793">
        <f t="shared" si="47"/>
        <v>0</v>
      </c>
      <c r="BK73" s="794" t="str">
        <f t="shared" si="38"/>
        <v/>
      </c>
      <c r="BL73" s="227" t="s">
        <v>21</v>
      </c>
      <c r="BM73" s="773">
        <f t="shared" si="35"/>
        <v>0</v>
      </c>
      <c r="BN73" s="774">
        <f t="shared" si="36"/>
        <v>0</v>
      </c>
      <c r="BP73" s="229" t="s">
        <v>1762</v>
      </c>
      <c r="BQ73" s="229"/>
      <c r="BR73" s="229"/>
      <c r="BS73" s="229"/>
      <c r="BT73" s="229"/>
      <c r="BU73" s="229"/>
      <c r="BV73" s="229"/>
      <c r="BW73" s="229"/>
      <c r="BX73"/>
      <c r="BY73"/>
      <c r="BZ73"/>
      <c r="CA73"/>
      <c r="CB73"/>
      <c r="CC73"/>
      <c r="CD73" s="781" t="str">
        <f t="shared" si="50"/>
        <v>►</v>
      </c>
      <c r="CE73" s="646"/>
      <c r="CF73" s="634"/>
      <c r="CG73" s="638"/>
      <c r="CH73" s="638"/>
      <c r="CI73" s="638"/>
      <c r="CJ73" s="719"/>
      <c r="CK73" s="851" t="s">
        <v>1744</v>
      </c>
      <c r="CL73" s="852" t="s">
        <v>1745</v>
      </c>
      <c r="CM73" s="853" t="s">
        <v>1746</v>
      </c>
      <c r="CN73" s="852" t="s">
        <v>1747</v>
      </c>
      <c r="CO73" s="852" t="s">
        <v>1748</v>
      </c>
      <c r="CP73" s="852" t="s">
        <v>1749</v>
      </c>
      <c r="CQ73" s="854" t="s">
        <v>1750</v>
      </c>
      <c r="CS73" s="851" t="s">
        <v>1744</v>
      </c>
      <c r="CT73" s="852" t="s">
        <v>1745</v>
      </c>
      <c r="CU73" s="853" t="s">
        <v>1746</v>
      </c>
      <c r="CV73" s="852" t="s">
        <v>1747</v>
      </c>
      <c r="CW73" s="852" t="s">
        <v>1748</v>
      </c>
      <c r="CX73" s="852" t="s">
        <v>1749</v>
      </c>
      <c r="CY73" s="854" t="s">
        <v>1750</v>
      </c>
      <c r="DA73" s="851" t="s">
        <v>1744</v>
      </c>
      <c r="DB73" s="852" t="s">
        <v>1745</v>
      </c>
      <c r="DC73" s="853" t="s">
        <v>1746</v>
      </c>
      <c r="DD73" s="852" t="s">
        <v>1747</v>
      </c>
      <c r="DE73" s="852" t="s">
        <v>1748</v>
      </c>
      <c r="DF73" s="852" t="s">
        <v>1749</v>
      </c>
      <c r="DG73" s="854" t="s">
        <v>1750</v>
      </c>
      <c r="DI73" s="3">
        <v>1</v>
      </c>
    </row>
    <row r="74" spans="1:113" s="627" customFormat="1" ht="21" customHeight="1" thickBot="1">
      <c r="A74" s="701" t="s">
        <v>21</v>
      </c>
      <c r="B74" s="2265" t="str" cm="1">
        <f t="array" ref="B74">SUMPRODUCT(--(D74:J74&lt;&gt;""), LEN(TRIM(SUBSTITUTE(D74:J74, CHAR(160), "")))) &amp; " Car."</f>
        <v>0 Car.</v>
      </c>
      <c r="C74" s="1376" t="str">
        <f>IF(ISBLANK(D74),"",LARGE(C13:C73,1)+1)</f>
        <v/>
      </c>
      <c r="D74" s="1833"/>
      <c r="E74" s="1810"/>
      <c r="F74" s="1810"/>
      <c r="G74" s="1810"/>
      <c r="H74" s="1810"/>
      <c r="I74" s="1810"/>
      <c r="J74" s="1810"/>
      <c r="K74" s="1810"/>
      <c r="L74" s="1811"/>
      <c r="M74" s="9"/>
      <c r="N74" s="19" t="str">
        <f t="shared" si="16"/>
        <v>A</v>
      </c>
      <c r="O74" s="1634" t="s">
        <v>8269</v>
      </c>
      <c r="P74" s="9"/>
      <c r="Q74" s="19" t="s">
        <v>10</v>
      </c>
      <c r="R74" s="20" t="str">
        <f>R80</f>
        <v>F FEUILLES DE MERINGUE | pâtisserie--ENTREMET| Auteur &gt; recette Béghin Say de Jean-Jacques Borne MOF 1994</v>
      </c>
      <c r="S74" s="21">
        <f>S80</f>
        <v>18</v>
      </c>
      <c r="T74" s="21" t="str">
        <f>T80</f>
        <v>desserts</v>
      </c>
      <c r="U74" s="22" t="str">
        <f>U80</f>
        <v>Recette mère ► MILLE-FEUILLE  aux fraises des bois</v>
      </c>
      <c r="V74" s="23" t="s">
        <v>21</v>
      </c>
      <c r="W74" s="24" t="s">
        <v>22</v>
      </c>
      <c r="X74" s="24"/>
      <c r="Y74" s="6634" t="s">
        <v>3060</v>
      </c>
      <c r="Z74" s="6634"/>
      <c r="AA74" s="6634"/>
      <c r="AB74" s="6634"/>
      <c r="AC74" s="6634"/>
      <c r="AD74" s="6634"/>
      <c r="AE74" s="6634"/>
      <c r="AF74" s="6634"/>
      <c r="AG74" s="6634"/>
      <c r="AH74" s="6636" t="s">
        <v>24</v>
      </c>
      <c r="AI74" s="6636"/>
      <c r="AJ74" s="6638" t="str">
        <f>UPPER(LEFT(Y74,1))</f>
        <v>F</v>
      </c>
      <c r="AK74" s="6120" t="str">
        <f t="shared" si="40"/>
        <v>►</v>
      </c>
      <c r="AL74" s="781" t="str">
        <f t="shared" si="20"/>
        <v>►</v>
      </c>
      <c r="AM74" s="5498" t="str">
        <f t="shared" si="21"/>
        <v/>
      </c>
      <c r="AN74" s="783" t="str">
        <f t="shared" si="22"/>
        <v/>
      </c>
      <c r="AO74" s="782" t="str">
        <f t="shared" si="23"/>
        <v/>
      </c>
      <c r="AP74" s="783" t="str">
        <f t="shared" si="24"/>
        <v/>
      </c>
      <c r="AQ74" s="2083" t="b">
        <f>AND(Q74="A",COUNTIF(BP16:BR63,TRIM(Z74))&gt;0)</f>
        <v>0</v>
      </c>
      <c r="AR74" s="797" t="str">
        <f>IF(AL74&lt;&gt;"A","",IFERROR(IFERROR(_xlfn.XLOOKUP(TRIM(SUBSTITUTE(Z74,CHAR(160)," ")),BP16:BP63,BS16:BS63),IFERROR(_xlfn.XLOOKUP(TRIM(SUBSTITUTE(Z74,CHAR(160)," ")),BQ16:BQ63,BS16:BS63),_xlfn.XLOOKUP(TRIM(SUBSTITUTE(Z74,CHAR(160)," ")),BR16:BR63,BS16:BS63)))*Y74*IF(ISBLANK(V74),1,V74),0))</f>
        <v/>
      </c>
      <c r="AS74" s="784" t="str">
        <f t="shared" si="25"/>
        <v/>
      </c>
      <c r="AT74" s="1315" t="str">
        <f t="shared" si="26"/>
        <v/>
      </c>
      <c r="AU74" s="785">
        <f t="shared" si="27"/>
        <v>0</v>
      </c>
      <c r="AV74" s="785">
        <f t="shared" si="28"/>
        <v>0</v>
      </c>
      <c r="AW74" s="798">
        <f>IF(AK74="A",AY10,0)</f>
        <v>0</v>
      </c>
      <c r="AX74" s="5496" t="str">
        <f>IF(IFERROR(SEARCH("Adresse PC",TRIM(W74)),0)&gt;0,"▼ receta siguiente",IF(AK74="A",IF(AZ10&lt;&gt;"",AZ10&amp;" - ou.or.o ❾ + or - &gt;",""),""))</f>
        <v/>
      </c>
      <c r="AY74" s="1316"/>
      <c r="AZ74" s="787"/>
      <c r="BA74" s="799" t="str">
        <f t="shared" si="29"/>
        <v/>
      </c>
      <c r="BB74" s="800" t="str">
        <f>IF(AK74="A",IF(AQ74,IF(AND(AW74&lt;&gt;"",N(AW74)&gt;0),IFERROR(IFERROR(_xlfn.XLOOKUP(AP74,BP10:BP57,BT10:BT57),IFERROR(_xlfn.XLOOKUP(AP74,BQ10:BQ57,BT10:BT57),_xlfn.XLOOKUP(AP74,BR10:BR57,BT10:BT57,""))),""),""),""),"")</f>
        <v/>
      </c>
      <c r="BC74" s="813" cm="1">
        <f t="array" ref="BC74">IF(NOT(AQ74),0,IF(OR(BA74="",N(BA74)&lt;=0.000000001),"",IF(OR(AU74="",N(AU74)&lt;=0.000000001),0,IF(ISNUMBER(BA74),IFERROR(_xlfn.LET(_xlpm.ai_test,TRIM(AP74),_xlpm.r,IFERROR(_xlfn.XLOOKUP(_xlpm.ai_test,BP16:BP63,ROW(BP16:BP63),0,1),IFERROR(_xlfn.XLOOKUP(_xlpm.ai_test,BQ16:BQ63,ROW(BQ16:BQ63),0,1),_xlfn.XLOOKUP(_xlpm.ai_test,BR16:BR63,ROW(BR16:BR63),0,1))),_xlpm.p,_xlpm.r-MIN(ROW(BP16:BP63))+1,_xlpm.f,INDEX(BS16:BS63,_xlpm.p),_xlpm.u,INDEX(BT16:BT63,_xlpm.p),_xlpm.s,INDEX(BV16:BV63,_xlpm.p),_xlpm.q,N(BA74)/_xlpm.f,IF(_xlpm.q&gt;=_xlpm.s,ROUND(_xlpm.q,1)&amp;" "&amp;_xlpm.ai_test&amp;" = "&amp;ROUND(_xlpm.q*_xlpm.f,1)&amp;" "&amp;_xlpm.u,ROUND(_xlpm.q,1)&amp;" "&amp;_xlpm.ai_test)),""),""))))</f>
        <v>0</v>
      </c>
      <c r="BD74" s="801"/>
      <c r="BE74" s="799" t="str">
        <f t="shared" si="30"/>
        <v/>
      </c>
      <c r="BF74" s="800" t="str">
        <f t="shared" si="44"/>
        <v/>
      </c>
      <c r="BG74" s="802">
        <f t="shared" si="45"/>
        <v>0</v>
      </c>
      <c r="BH74" s="803" t="str">
        <f t="shared" si="46"/>
        <v/>
      </c>
      <c r="BI74" s="792">
        <v>1.5</v>
      </c>
      <c r="BJ74" s="804">
        <f t="shared" si="47"/>
        <v>0</v>
      </c>
      <c r="BK74" s="794" t="str">
        <f t="shared" si="38"/>
        <v/>
      </c>
      <c r="BL74" s="227" t="s">
        <v>21</v>
      </c>
      <c r="BM74" s="773">
        <f t="shared" si="35"/>
        <v>0</v>
      </c>
      <c r="BN74" s="774">
        <f t="shared" si="36"/>
        <v>0</v>
      </c>
      <c r="BX74"/>
      <c r="BY74"/>
      <c r="BZ74"/>
      <c r="CA74"/>
      <c r="CB74"/>
      <c r="CC74"/>
      <c r="CD74" s="781" t="str">
        <f t="shared" si="50"/>
        <v>►</v>
      </c>
      <c r="CE74" s="865" t="s">
        <v>841</v>
      </c>
      <c r="CF74" s="638"/>
      <c r="CG74" s="638"/>
      <c r="CH74" s="638"/>
      <c r="CI74" s="638"/>
      <c r="CJ74" s="719"/>
      <c r="CK74" s="851" t="s">
        <v>1752</v>
      </c>
      <c r="CL74" s="852" t="s">
        <v>1753</v>
      </c>
      <c r="CM74" s="852" t="s">
        <v>1754</v>
      </c>
      <c r="CN74" s="852" t="s">
        <v>15</v>
      </c>
      <c r="CO74" s="852" t="s">
        <v>1755</v>
      </c>
      <c r="CP74" s="852" t="s">
        <v>829</v>
      </c>
      <c r="CQ74" s="854" t="s">
        <v>1756</v>
      </c>
      <c r="CS74" s="851" t="s">
        <v>1752</v>
      </c>
      <c r="CT74" s="852" t="s">
        <v>1753</v>
      </c>
      <c r="CU74" s="852" t="s">
        <v>1754</v>
      </c>
      <c r="CV74" s="852" t="s">
        <v>15</v>
      </c>
      <c r="CW74" s="852" t="s">
        <v>1755</v>
      </c>
      <c r="CX74" s="852" t="s">
        <v>829</v>
      </c>
      <c r="CY74" s="854" t="s">
        <v>1756</v>
      </c>
      <c r="DA74" s="851" t="s">
        <v>1752</v>
      </c>
      <c r="DB74" s="852" t="s">
        <v>1753</v>
      </c>
      <c r="DC74" s="852" t="s">
        <v>1754</v>
      </c>
      <c r="DD74" s="852" t="s">
        <v>15</v>
      </c>
      <c r="DE74" s="852" t="s">
        <v>1755</v>
      </c>
      <c r="DF74" s="852" t="s">
        <v>829</v>
      </c>
      <c r="DG74" s="854" t="s">
        <v>1756</v>
      </c>
      <c r="DI74" s="3">
        <v>1</v>
      </c>
    </row>
    <row r="75" spans="1:113" s="627" customFormat="1" ht="21" customHeight="1">
      <c r="A75" s="701" t="s">
        <v>21</v>
      </c>
      <c r="B75" s="2265" t="str" cm="1">
        <f t="array" ref="B75">SUMPRODUCT(--(D75:J75&lt;&gt;""), LEN(TRIM(SUBSTITUTE(D75:J75, CHAR(160), "")))) &amp; " Car."</f>
        <v>0 Car.</v>
      </c>
      <c r="C75" s="1376" t="str">
        <f>IF(ISBLANK(D75),"",LARGE(C13:C74,1)+1)</f>
        <v/>
      </c>
      <c r="D75" s="1833"/>
      <c r="E75" s="1810"/>
      <c r="F75" s="1810"/>
      <c r="G75" s="1810"/>
      <c r="H75" s="1810"/>
      <c r="I75" s="1810"/>
      <c r="J75" s="1810"/>
      <c r="K75" s="1810"/>
      <c r="L75" s="1811"/>
      <c r="M75" s="9"/>
      <c r="N75" s="25" t="str">
        <f t="shared" si="16"/>
        <v>A</v>
      </c>
      <c r="O75" s="1616"/>
      <c r="P75" s="9"/>
      <c r="Q75" s="25" t="s">
        <v>10</v>
      </c>
      <c r="R75" s="26" t="str">
        <f>R80</f>
        <v>F FEUILLES DE MERINGUE | pâtisserie--ENTREMET| Auteur &gt; recette Béghin Say de Jean-Jacques Borne MOF 1994</v>
      </c>
      <c r="S75" s="27">
        <f>S80</f>
        <v>18</v>
      </c>
      <c r="T75" s="27" t="str">
        <f>T80</f>
        <v>desserts</v>
      </c>
      <c r="U75" s="28" t="str">
        <f>U80</f>
        <v>Recette mère ► MILLE-FEUILLE  aux fraises des bois</v>
      </c>
      <c r="V75" s="29" t="s">
        <v>28</v>
      </c>
      <c r="W75" s="30" t="s">
        <v>831</v>
      </c>
      <c r="X75" s="30"/>
      <c r="Y75" s="6635"/>
      <c r="Z75" s="6635"/>
      <c r="AA75" s="6635"/>
      <c r="AB75" s="6635"/>
      <c r="AC75" s="6635"/>
      <c r="AD75" s="6635"/>
      <c r="AE75" s="6635"/>
      <c r="AF75" s="6635"/>
      <c r="AG75" s="6635"/>
      <c r="AH75" s="6637"/>
      <c r="AI75" s="6637"/>
      <c r="AJ75" s="6639"/>
      <c r="AK75" s="6120" t="str">
        <f t="shared" si="40"/>
        <v>►</v>
      </c>
      <c r="AL75" s="781" t="str">
        <f t="shared" si="20"/>
        <v>►</v>
      </c>
      <c r="AM75" s="5499" t="str">
        <f t="shared" si="21"/>
        <v/>
      </c>
      <c r="AN75" s="783" t="str">
        <f t="shared" si="22"/>
        <v/>
      </c>
      <c r="AO75" s="782" t="str">
        <f t="shared" si="23"/>
        <v/>
      </c>
      <c r="AP75" s="783" t="str">
        <f t="shared" si="24"/>
        <v/>
      </c>
      <c r="AQ75" s="2083" t="b">
        <f>AND(Q75="A",COUNTIF(BP16:BR63,TRIM(Z75))&gt;0)</f>
        <v>0</v>
      </c>
      <c r="AR75" s="797" t="str">
        <f>IF(AL75&lt;&gt;"A","",IFERROR(IFERROR(_xlfn.XLOOKUP(TRIM(SUBSTITUTE(Z75,CHAR(160)," ")),BP16:BP63,BS16:BS63),IFERROR(_xlfn.XLOOKUP(TRIM(SUBSTITUTE(Z75,CHAR(160)," ")),BQ16:BQ63,BS16:BS63),_xlfn.XLOOKUP(TRIM(SUBSTITUTE(Z75,CHAR(160)," ")),BR16:BR63,BS16:BS63)))*Y75*IF(ISBLANK(V75),1,V75),0))</f>
        <v/>
      </c>
      <c r="AS75" s="784" t="str">
        <f t="shared" si="25"/>
        <v/>
      </c>
      <c r="AT75" s="1315" t="str">
        <f t="shared" si="26"/>
        <v/>
      </c>
      <c r="AU75" s="785">
        <f t="shared" si="27"/>
        <v>0</v>
      </c>
      <c r="AV75" s="785">
        <f t="shared" si="28"/>
        <v>0</v>
      </c>
      <c r="AW75" s="786">
        <f>IF(AK75="A",AY10,0)</f>
        <v>0</v>
      </c>
      <c r="AX75" s="5495" t="str">
        <f>IF(IFERROR(SEARCH("Adresse PC",TRIM(W75)),0)&gt;0,"▼ receta siguiente",IF(AK75="A",IF(AZ10&lt;&gt;"",AZ10&amp;" - ou.or.o ❾ + or - &gt;",""),""))</f>
        <v/>
      </c>
      <c r="AY75" s="1316"/>
      <c r="AZ75" s="787"/>
      <c r="BA75" s="788" t="str">
        <f t="shared" si="29"/>
        <v/>
      </c>
      <c r="BB75" s="789" t="str">
        <f>IF(AK75="A",IF(AQ75,IF(AND(AW75&lt;&gt;"",N(AW75)&gt;0),IFERROR(IFERROR(_xlfn.XLOOKUP(AP75,BP10:BP57,BT10:BT57),IFERROR(_xlfn.XLOOKUP(AP75,BQ10:BQ57,BT10:BT57),_xlfn.XLOOKUP(AP75,BR10:BR57,BT10:BT57,""))),""),""),""),"")</f>
        <v/>
      </c>
      <c r="BC75" s="811" cm="1">
        <f t="array" ref="BC75">IF(NOT(AQ75),0,IF(OR(BA75="",N(BA75)&lt;=0.000000001),"",IF(OR(AU75="",N(AU75)&lt;=0.000000001),0,IF(ISNUMBER(BA75),IFERROR(_xlfn.LET(_xlpm.ai_test,TRIM(AP75),_xlpm.r,IFERROR(_xlfn.XLOOKUP(_xlpm.ai_test,BP16:BP63,ROW(BP16:BP63),0,1),IFERROR(_xlfn.XLOOKUP(_xlpm.ai_test,BQ16:BQ63,ROW(BQ16:BQ63),0,1),_xlfn.XLOOKUP(_xlpm.ai_test,BR16:BR63,ROW(BR16:BR63),0,1))),_xlpm.p,_xlpm.r-MIN(ROW(BP16:BP63))+1,_xlpm.f,INDEX(BS16:BS63,_xlpm.p),_xlpm.u,INDEX(BT16:BT63,_xlpm.p),_xlpm.s,INDEX(BV16:BV63,_xlpm.p),_xlpm.q,N(BA75)/_xlpm.f,IF(_xlpm.q&gt;=_xlpm.s,ROUND(_xlpm.q,1)&amp;" "&amp;_xlpm.ai_test&amp;" = "&amp;ROUND(_xlpm.q*_xlpm.f,1)&amp;" "&amp;_xlpm.u,ROUND(_xlpm.q,1)&amp;" "&amp;_xlpm.ai_test)),""),""))))</f>
        <v>0</v>
      </c>
      <c r="BD75" s="801"/>
      <c r="BE75" s="788" t="str">
        <f t="shared" si="30"/>
        <v/>
      </c>
      <c r="BF75" s="789" t="str">
        <f t="shared" si="44"/>
        <v/>
      </c>
      <c r="BG75" s="790">
        <f t="shared" si="45"/>
        <v>0</v>
      </c>
      <c r="BH75" s="791" t="str">
        <f t="shared" si="46"/>
        <v/>
      </c>
      <c r="BI75" s="792">
        <v>1.5</v>
      </c>
      <c r="BJ75" s="793">
        <f t="shared" si="47"/>
        <v>0</v>
      </c>
      <c r="BK75" s="794" t="str">
        <f t="shared" si="38"/>
        <v/>
      </c>
      <c r="BL75" s="227" t="s">
        <v>21</v>
      </c>
      <c r="BM75" s="773">
        <f t="shared" si="35"/>
        <v>0</v>
      </c>
      <c r="BN75" s="774">
        <f t="shared" si="36"/>
        <v>0</v>
      </c>
      <c r="BP75" s="6848" t="s">
        <v>1763</v>
      </c>
      <c r="BQ75" s="6849"/>
      <c r="BR75" s="6849"/>
      <c r="BS75" s="6849"/>
      <c r="BT75" s="6849"/>
      <c r="BU75" s="6849"/>
      <c r="BV75" s="6849"/>
      <c r="BW75" s="6849"/>
      <c r="BX75" s="6849"/>
      <c r="BY75" s="6849"/>
      <c r="BZ75" s="6849"/>
      <c r="CA75" s="6849"/>
      <c r="CB75" s="6850"/>
      <c r="CC75"/>
      <c r="CD75" s="781" t="str">
        <f t="shared" si="50"/>
        <v>►</v>
      </c>
      <c r="CE75" s="866">
        <v>1</v>
      </c>
      <c r="CF75" s="638"/>
      <c r="CG75" s="638"/>
      <c r="CH75" s="638"/>
      <c r="CI75" s="638"/>
      <c r="CJ75" s="719"/>
      <c r="CK75" s="645"/>
      <c r="CL75" s="117"/>
      <c r="CM75" s="117"/>
      <c r="CN75" s="117"/>
      <c r="CO75" s="117"/>
      <c r="CP75" s="117"/>
      <c r="CQ75" s="840" t="s">
        <v>2398</v>
      </c>
      <c r="CS75" s="645"/>
      <c r="CT75" s="117"/>
      <c r="CU75" s="117"/>
      <c r="CV75" s="117"/>
      <c r="CW75" s="117"/>
      <c r="CX75" s="117"/>
      <c r="CY75" s="840" t="s">
        <v>2398</v>
      </c>
      <c r="DA75" s="6475" t="s">
        <v>1757</v>
      </c>
      <c r="DB75" s="6476"/>
      <c r="DC75" s="6476"/>
      <c r="DD75" s="6476"/>
      <c r="DE75" s="6476"/>
      <c r="DF75" s="6476"/>
      <c r="DG75" s="6477"/>
      <c r="DI75" s="3">
        <v>1</v>
      </c>
    </row>
    <row r="76" spans="1:113" s="627" customFormat="1" ht="21" customHeight="1">
      <c r="A76" s="701" t="s">
        <v>21</v>
      </c>
      <c r="B76" s="2265" t="str" cm="1">
        <f t="array" ref="B76">SUMPRODUCT(--(D76:J76&lt;&gt;""), LEN(TRIM(SUBSTITUTE(D76:J76, CHAR(160), "")))) &amp; " Car."</f>
        <v>0 Car.</v>
      </c>
      <c r="C76" s="1376" t="str">
        <f>IF(ISBLANK(D76),"",LARGE(C13:C75,1)+1)</f>
        <v/>
      </c>
      <c r="D76" s="1833"/>
      <c r="E76" s="1810"/>
      <c r="F76" s="1810"/>
      <c r="G76" s="1810"/>
      <c r="H76" s="1810"/>
      <c r="I76" s="1810"/>
      <c r="J76" s="1810"/>
      <c r="K76" s="1810"/>
      <c r="L76" s="1811"/>
      <c r="M76" s="9"/>
      <c r="N76" s="25" t="str">
        <f t="shared" si="16"/>
        <v>A</v>
      </c>
      <c r="O76" s="1613"/>
      <c r="P76" s="9"/>
      <c r="Q76" s="25" t="s">
        <v>10</v>
      </c>
      <c r="R76" s="31" t="str">
        <f>R80</f>
        <v>F FEUILLES DE MERINGUE | pâtisserie--ENTREMET| Auteur &gt; recette Béghin Say de Jean-Jacques Borne MOF 1994</v>
      </c>
      <c r="S76" s="32">
        <f>S80</f>
        <v>18</v>
      </c>
      <c r="T76" s="32" t="str">
        <f>T80</f>
        <v>desserts</v>
      </c>
      <c r="U76" s="33" t="str">
        <f>U80</f>
        <v>Recette mère ► MILLE-FEUILLE  aux fraises des bois</v>
      </c>
      <c r="V76" s="1357"/>
      <c r="W76" s="1358" t="s">
        <v>30</v>
      </c>
      <c r="X76" s="34"/>
      <c r="Y76" s="35" t="s">
        <v>31</v>
      </c>
      <c r="Z76" s="36" t="s">
        <v>3050</v>
      </c>
      <c r="AA76" s="9"/>
      <c r="AB76" s="9"/>
      <c r="AC76" s="36"/>
      <c r="AD76" s="36"/>
      <c r="AE76" s="36"/>
      <c r="AF76" s="37"/>
      <c r="AG76" s="9"/>
      <c r="AH76" s="9"/>
      <c r="AI76" s="9"/>
      <c r="AJ76" s="2062" t="str" cm="1">
        <f t="array" ref="AJ76">IF(COUNTIF(R104:AJ104,"&lt;0.5")=0,"Aucune colonne masquée ",COUNTIF(R104:AJ104,"&lt;0.5") &amp; " " &amp; IF(COUNTIF(R104:AJ104,"&lt;0.5")&gt;1,"colonnes masquées","colonne masquée") &amp; " " &amp; _xlfn.TEXTJOIN(" ", TRUE, IF(R104:AJ104&lt;0.5,R103:AJ103,"")))&amp;" "</f>
        <v xml:space="preserve">Aucune colonne masquée  </v>
      </c>
      <c r="AK76" s="6120" t="str">
        <f t="shared" si="40"/>
        <v>►</v>
      </c>
      <c r="AL76" s="781" t="str">
        <f t="shared" si="20"/>
        <v>►</v>
      </c>
      <c r="AM76" s="5498" t="str">
        <f t="shared" si="21"/>
        <v/>
      </c>
      <c r="AN76" s="783" t="str">
        <f t="shared" si="22"/>
        <v/>
      </c>
      <c r="AO76" s="782" t="str">
        <f t="shared" si="23"/>
        <v/>
      </c>
      <c r="AP76" s="783" t="str">
        <f t="shared" si="24"/>
        <v/>
      </c>
      <c r="AQ76" s="2083" t="b">
        <f>AND(Q76="A",COUNTIF(BP16:BR63,TRIM(Z76))&gt;0)</f>
        <v>0</v>
      </c>
      <c r="AR76" s="797" t="str">
        <f>IF(AL76&lt;&gt;"A","",IFERROR(IFERROR(_xlfn.XLOOKUP(TRIM(SUBSTITUTE(Z76,CHAR(160)," ")),BP16:BP63,BS16:BS63),IFERROR(_xlfn.XLOOKUP(TRIM(SUBSTITUTE(Z76,CHAR(160)," ")),BQ16:BQ63,BS16:BS63),_xlfn.XLOOKUP(TRIM(SUBSTITUTE(Z76,CHAR(160)," ")),BR16:BR63,BS16:BS63)))*Y76*IF(ISBLANK(V76),1,V76),0))</f>
        <v/>
      </c>
      <c r="AS76" s="784" t="str">
        <f t="shared" si="25"/>
        <v/>
      </c>
      <c r="AT76" s="1315" t="str">
        <f t="shared" si="26"/>
        <v/>
      </c>
      <c r="AU76" s="785">
        <f t="shared" si="27"/>
        <v>0</v>
      </c>
      <c r="AV76" s="785">
        <f t="shared" si="28"/>
        <v>0</v>
      </c>
      <c r="AW76" s="798">
        <f>IF(AK76="A",AY10,0)</f>
        <v>0</v>
      </c>
      <c r="AX76" s="5496" t="str">
        <f>IF(IFERROR(SEARCH("Adresse PC",TRIM(W76)),0)&gt;0,"▼ receta siguiente",IF(AK76="A",IF(AZ10&lt;&gt;"",AZ10&amp;" - ou.or.o ❾ + or - &gt;",""),""))</f>
        <v/>
      </c>
      <c r="AY76" s="1316"/>
      <c r="AZ76" s="787"/>
      <c r="BA76" s="799" t="str">
        <f t="shared" si="29"/>
        <v/>
      </c>
      <c r="BB76" s="800" t="str">
        <f>IF(AK76="A",IF(AQ76,IF(AND(AW76&lt;&gt;"",N(AW76)&gt;0),IFERROR(IFERROR(_xlfn.XLOOKUP(AP76,BP10:BP57,BT10:BT57),IFERROR(_xlfn.XLOOKUP(AP76,BQ10:BQ57,BT10:BT57),_xlfn.XLOOKUP(AP76,BR10:BR57,BT10:BT57,""))),""),""),""),"")</f>
        <v/>
      </c>
      <c r="BC76" s="813" cm="1">
        <f t="array" ref="BC76">IF(NOT(AQ76),0,IF(OR(BA76="",N(BA76)&lt;=0.000000001),"",IF(OR(AU76="",N(AU76)&lt;=0.000000001),0,IF(ISNUMBER(BA76),IFERROR(_xlfn.LET(_xlpm.ai_test,TRIM(AP76),_xlpm.r,IFERROR(_xlfn.XLOOKUP(_xlpm.ai_test,BP16:BP63,ROW(BP16:BP63),0,1),IFERROR(_xlfn.XLOOKUP(_xlpm.ai_test,BQ16:BQ63,ROW(BQ16:BQ63),0,1),_xlfn.XLOOKUP(_xlpm.ai_test,BR16:BR63,ROW(BR16:BR63),0,1))),_xlpm.p,_xlpm.r-MIN(ROW(BP16:BP63))+1,_xlpm.f,INDEX(BS16:BS63,_xlpm.p),_xlpm.u,INDEX(BT16:BT63,_xlpm.p),_xlpm.s,INDEX(BV16:BV63,_xlpm.p),_xlpm.q,N(BA76)/_xlpm.f,IF(_xlpm.q&gt;=_xlpm.s,ROUND(_xlpm.q,1)&amp;" "&amp;_xlpm.ai_test&amp;" = "&amp;ROUND(_xlpm.q*_xlpm.f,1)&amp;" "&amp;_xlpm.u,ROUND(_xlpm.q,1)&amp;" "&amp;_xlpm.ai_test)),""),""))))</f>
        <v>0</v>
      </c>
      <c r="BD76" s="801"/>
      <c r="BE76" s="799" t="str">
        <f t="shared" si="30"/>
        <v/>
      </c>
      <c r="BF76" s="800" t="str">
        <f t="shared" si="44"/>
        <v/>
      </c>
      <c r="BG76" s="802">
        <f t="shared" si="45"/>
        <v>0</v>
      </c>
      <c r="BH76" s="803" t="str">
        <f t="shared" si="46"/>
        <v/>
      </c>
      <c r="BI76" s="792">
        <v>1.5</v>
      </c>
      <c r="BJ76" s="804">
        <f t="shared" si="47"/>
        <v>0</v>
      </c>
      <c r="BK76" s="794" t="str">
        <f t="shared" si="38"/>
        <v/>
      </c>
      <c r="BL76" s="227" t="s">
        <v>21</v>
      </c>
      <c r="BM76" s="773">
        <f t="shared" si="35"/>
        <v>0</v>
      </c>
      <c r="BN76" s="774">
        <f t="shared" si="36"/>
        <v>0</v>
      </c>
      <c r="BP76" s="6851"/>
      <c r="BQ76" s="6852"/>
      <c r="BR76" s="6852"/>
      <c r="BS76" s="6852"/>
      <c r="BT76" s="6852"/>
      <c r="BU76" s="6852"/>
      <c r="BV76" s="6852"/>
      <c r="BW76" s="6852"/>
      <c r="BX76" s="6852"/>
      <c r="BY76" s="6852"/>
      <c r="BZ76" s="6852"/>
      <c r="CA76" s="6852"/>
      <c r="CB76" s="6853"/>
      <c r="CC76"/>
      <c r="CD76" s="781" t="str">
        <f t="shared" si="50"/>
        <v>►</v>
      </c>
      <c r="CE76" s="646" t="s">
        <v>842</v>
      </c>
      <c r="CF76" s="638"/>
      <c r="CG76" s="638"/>
      <c r="CH76" s="638"/>
      <c r="CI76" s="638"/>
      <c r="CJ76" s="719"/>
      <c r="CK76" s="645"/>
      <c r="CL76" s="117"/>
      <c r="CM76" s="117"/>
      <c r="CN76" s="117"/>
      <c r="CO76" s="117"/>
      <c r="CP76" s="117"/>
      <c r="CQ76" s="840"/>
      <c r="CS76" s="645"/>
      <c r="CT76" s="117"/>
      <c r="CU76" s="117"/>
      <c r="CV76" s="117"/>
      <c r="CW76" s="117"/>
      <c r="CX76" s="117"/>
      <c r="CY76" s="840"/>
      <c r="DA76" s="6475"/>
      <c r="DB76" s="6476"/>
      <c r="DC76" s="6476"/>
      <c r="DD76" s="6476"/>
      <c r="DE76" s="6476"/>
      <c r="DF76" s="6476"/>
      <c r="DG76" s="6477"/>
      <c r="DI76" s="3">
        <v>1</v>
      </c>
    </row>
    <row r="77" spans="1:113" s="627" customFormat="1" ht="21" customHeight="1">
      <c r="A77" s="701" t="s">
        <v>21</v>
      </c>
      <c r="B77" s="2265" t="str" cm="1">
        <f t="array" ref="B77">SUMPRODUCT(--(D77:J77&lt;&gt;""), LEN(TRIM(SUBSTITUTE(D77:J77, CHAR(160), "")))) &amp; " Car."</f>
        <v>0 Car.</v>
      </c>
      <c r="C77" s="1376" t="str">
        <f>IF(ISBLANK(D77),"",LARGE(C13:C76,1)+1)</f>
        <v/>
      </c>
      <c r="D77" s="1833"/>
      <c r="E77" s="1810"/>
      <c r="F77" s="1810"/>
      <c r="G77" s="1810"/>
      <c r="H77" s="1810"/>
      <c r="I77" s="1810"/>
      <c r="J77" s="1810"/>
      <c r="K77" s="1810"/>
      <c r="L77" s="1811"/>
      <c r="M77" s="9"/>
      <c r="N77" s="25" t="str">
        <f t="shared" si="16"/>
        <v>A</v>
      </c>
      <c r="O77" s="1621" t="s">
        <v>8271</v>
      </c>
      <c r="P77" s="9"/>
      <c r="Q77" s="25" t="s">
        <v>10</v>
      </c>
      <c r="R77" s="31" t="str">
        <f>R80</f>
        <v>F FEUILLES DE MERINGUE | pâtisserie--ENTREMET| Auteur &gt; recette Béghin Say de Jean-Jacques Borne MOF 1994</v>
      </c>
      <c r="S77" s="32">
        <f>S80</f>
        <v>18</v>
      </c>
      <c r="T77" s="32" t="str">
        <f>T80</f>
        <v>desserts</v>
      </c>
      <c r="U77" s="33" t="str">
        <f>U80</f>
        <v>Recette mère ► MILLE-FEUILLE  aux fraises des bois</v>
      </c>
      <c r="V77" s="39" t="s">
        <v>32</v>
      </c>
      <c r="W77" s="40"/>
      <c r="X77" s="40"/>
      <c r="Y77" s="41" t="s">
        <v>33</v>
      </c>
      <c r="Z77" s="6736" t="str">
        <f>AB80&amp;" "&amp;AC80&amp;" ► Famille = "&amp;AH74&amp;" ► "&amp;Y74&amp;" "&amp;AF77&amp;" "&amp;AH77&amp;" "&amp;AI77&amp;" "&amp;AJ77</f>
        <v>Recette mère ► MILLE-FEUILLE  aux fraises des bois ► Famille = pâtisserie--ENTREMET ► FEUILLES DE MERINGUE  ⓫  Dupliquée pour 36 desserts</v>
      </c>
      <c r="AA77" s="6736"/>
      <c r="AB77" s="6736"/>
      <c r="AC77" s="6736"/>
      <c r="AD77" s="6736"/>
      <c r="AE77" s="6736"/>
      <c r="AF77" s="6736"/>
      <c r="AG77" s="1359"/>
      <c r="AH77" s="1359" t="s">
        <v>35</v>
      </c>
      <c r="AI77" s="42">
        <v>36</v>
      </c>
      <c r="AJ77" s="43" t="str">
        <f>AJ79</f>
        <v>desserts</v>
      </c>
      <c r="AK77" s="6120" t="str">
        <f t="shared" si="40"/>
        <v>►</v>
      </c>
      <c r="AL77" s="781" t="str">
        <f t="shared" si="20"/>
        <v>►</v>
      </c>
      <c r="AM77" s="5499" t="str">
        <f t="shared" si="21"/>
        <v/>
      </c>
      <c r="AN77" s="783" t="str">
        <f t="shared" si="22"/>
        <v/>
      </c>
      <c r="AO77" s="782" t="str">
        <f t="shared" si="23"/>
        <v/>
      </c>
      <c r="AP77" s="783" t="str">
        <f t="shared" si="24"/>
        <v/>
      </c>
      <c r="AQ77" s="2083" t="b">
        <f>AND(Q77="A",COUNTIF(BP16:BR63,TRIM(Z77))&gt;0)</f>
        <v>0</v>
      </c>
      <c r="AR77" s="797" t="str">
        <f>IF(AL77&lt;&gt;"A","",IFERROR(IFERROR(_xlfn.XLOOKUP(TRIM(SUBSTITUTE(Z77,CHAR(160)," ")),BP16:BP63,BS16:BS63),IFERROR(_xlfn.XLOOKUP(TRIM(SUBSTITUTE(Z77,CHAR(160)," ")),BQ16:BQ63,BS16:BS63),_xlfn.XLOOKUP(TRIM(SUBSTITUTE(Z77,CHAR(160)," ")),BR16:BR63,BS16:BS63)))*Y77*IF(ISBLANK(V77),1,V77),0))</f>
        <v/>
      </c>
      <c r="AS77" s="784" t="str">
        <f t="shared" si="25"/>
        <v/>
      </c>
      <c r="AT77" s="1315" t="str">
        <f t="shared" si="26"/>
        <v/>
      </c>
      <c r="AU77" s="785">
        <f t="shared" si="27"/>
        <v>0</v>
      </c>
      <c r="AV77" s="785">
        <f t="shared" si="28"/>
        <v>0</v>
      </c>
      <c r="AW77" s="786">
        <f>IF(AK77="A",AY10,0)</f>
        <v>0</v>
      </c>
      <c r="AX77" s="5495" t="str">
        <f>IF(IFERROR(SEARCH("Adresse PC",TRIM(W77)),0)&gt;0,"▼ receta siguiente",IF(AK77="A",IF(AZ10&lt;&gt;"",AZ10&amp;" - ou.or.o ❾ + or - &gt;",""),""))</f>
        <v/>
      </c>
      <c r="AY77" s="1316"/>
      <c r="AZ77" s="787"/>
      <c r="BA77" s="788" t="str">
        <f t="shared" si="29"/>
        <v/>
      </c>
      <c r="BB77" s="789" t="str">
        <f>IF(AK77="A",IF(AQ77,IF(AND(AW77&lt;&gt;"",N(AW77)&gt;0),IFERROR(IFERROR(_xlfn.XLOOKUP(AP77,BP10:BP57,BT10:BT57),IFERROR(_xlfn.XLOOKUP(AP77,BQ10:BQ57,BT10:BT57),_xlfn.XLOOKUP(AP77,BR10:BR57,BT10:BT57,""))),""),""),""),"")</f>
        <v/>
      </c>
      <c r="BC77" s="811" cm="1">
        <f t="array" ref="BC77">IF(NOT(AQ77),0,IF(OR(BA77="",N(BA77)&lt;=0.000000001),"",IF(OR(AU77="",N(AU77)&lt;=0.000000001),0,IF(ISNUMBER(BA77),IFERROR(_xlfn.LET(_xlpm.ai_test,TRIM(AP77),_xlpm.r,IFERROR(_xlfn.XLOOKUP(_xlpm.ai_test,BP16:BP63,ROW(BP16:BP63),0,1),IFERROR(_xlfn.XLOOKUP(_xlpm.ai_test,BQ16:BQ63,ROW(BQ16:BQ63),0,1),_xlfn.XLOOKUP(_xlpm.ai_test,BR16:BR63,ROW(BR16:BR63),0,1))),_xlpm.p,_xlpm.r-MIN(ROW(BP16:BP63))+1,_xlpm.f,INDEX(BS16:BS63,_xlpm.p),_xlpm.u,INDEX(BT16:BT63,_xlpm.p),_xlpm.s,INDEX(BV16:BV63,_xlpm.p),_xlpm.q,N(BA77)/_xlpm.f,IF(_xlpm.q&gt;=_xlpm.s,ROUND(_xlpm.q,1)&amp;" "&amp;_xlpm.ai_test&amp;" = "&amp;ROUND(_xlpm.q*_xlpm.f,1)&amp;" "&amp;_xlpm.u,ROUND(_xlpm.q,1)&amp;" "&amp;_xlpm.ai_test)),""),""))))</f>
        <v>0</v>
      </c>
      <c r="BD77" s="801"/>
      <c r="BE77" s="788" t="str">
        <f t="shared" si="30"/>
        <v/>
      </c>
      <c r="BF77" s="789" t="str">
        <f t="shared" si="44"/>
        <v/>
      </c>
      <c r="BG77" s="790">
        <f t="shared" si="45"/>
        <v>0</v>
      </c>
      <c r="BH77" s="791" t="str">
        <f t="shared" si="46"/>
        <v/>
      </c>
      <c r="BI77" s="792">
        <v>1.5</v>
      </c>
      <c r="BJ77" s="793">
        <f t="shared" si="47"/>
        <v>0</v>
      </c>
      <c r="BK77" s="794" t="str">
        <f t="shared" si="38"/>
        <v/>
      </c>
      <c r="BL77" s="227" t="s">
        <v>21</v>
      </c>
      <c r="BM77" s="773">
        <f t="shared" si="35"/>
        <v>0</v>
      </c>
      <c r="BN77" s="774">
        <f t="shared" si="36"/>
        <v>0</v>
      </c>
      <c r="BP77" s="627" t="s">
        <v>2400</v>
      </c>
      <c r="CC77"/>
      <c r="CD77" s="781" t="str">
        <f t="shared" si="50"/>
        <v>►</v>
      </c>
      <c r="CE77" s="647" t="s">
        <v>843</v>
      </c>
      <c r="CF77" s="638"/>
      <c r="CG77" s="638"/>
      <c r="CH77" s="638"/>
      <c r="CI77" s="638"/>
      <c r="CJ77" s="719"/>
      <c r="CK77" s="859">
        <v>19</v>
      </c>
      <c r="CL77" s="860">
        <v>18</v>
      </c>
      <c r="CM77" s="860">
        <v>10</v>
      </c>
      <c r="CN77" s="860">
        <v>16</v>
      </c>
      <c r="CO77" s="860">
        <v>16</v>
      </c>
      <c r="CP77" s="860">
        <v>11</v>
      </c>
      <c r="CQ77" s="861">
        <v>40</v>
      </c>
      <c r="CS77" s="859">
        <v>19</v>
      </c>
      <c r="CT77" s="860">
        <v>18</v>
      </c>
      <c r="CU77" s="860">
        <v>10</v>
      </c>
      <c r="CV77" s="860">
        <v>16</v>
      </c>
      <c r="CW77" s="860">
        <v>16</v>
      </c>
      <c r="CX77" s="860">
        <v>11</v>
      </c>
      <c r="CY77" s="861">
        <v>40</v>
      </c>
      <c r="DA77" s="859">
        <v>19</v>
      </c>
      <c r="DB77" s="860">
        <v>18</v>
      </c>
      <c r="DC77" s="860">
        <v>10</v>
      </c>
      <c r="DD77" s="860">
        <v>16</v>
      </c>
      <c r="DE77" s="860">
        <v>16</v>
      </c>
      <c r="DF77" s="860">
        <v>11</v>
      </c>
      <c r="DG77" s="861">
        <v>40</v>
      </c>
      <c r="DI77" s="3">
        <v>1</v>
      </c>
    </row>
    <row r="78" spans="1:113" s="627" customFormat="1" ht="21" customHeight="1" thickBot="1">
      <c r="A78" s="701" t="s">
        <v>21</v>
      </c>
      <c r="B78" s="2265" t="str" cm="1">
        <f t="array" ref="B78">SUMPRODUCT(--(D78:J78&lt;&gt;""), LEN(TRIM(SUBSTITUTE(D78:J78, CHAR(160), "")))) &amp; " Car."</f>
        <v>0 Car.</v>
      </c>
      <c r="C78" s="1376" t="str">
        <f>IF(ISBLANK(D78),"",LARGE(C13:C77,1)+1)</f>
        <v/>
      </c>
      <c r="D78" s="1833"/>
      <c r="E78" s="1810"/>
      <c r="F78" s="1810"/>
      <c r="G78" s="1810"/>
      <c r="H78" s="1810"/>
      <c r="I78" s="1810"/>
      <c r="J78" s="1810"/>
      <c r="K78" s="1810"/>
      <c r="L78" s="1811"/>
      <c r="M78" s="9"/>
      <c r="N78" s="25" t="str">
        <f t="shared" ref="N78:N141" si="51">Q78</f>
        <v>A</v>
      </c>
      <c r="O78" s="1621" t="s">
        <v>840</v>
      </c>
      <c r="P78" s="9"/>
      <c r="Q78" s="25" t="s">
        <v>10</v>
      </c>
      <c r="R78" s="31" t="str">
        <f>R80</f>
        <v>F FEUILLES DE MERINGUE | pâtisserie--ENTREMET| Auteur &gt; recette Béghin Say de Jean-Jacques Borne MOF 1994</v>
      </c>
      <c r="S78" s="32">
        <f>S80</f>
        <v>18</v>
      </c>
      <c r="T78" s="32" t="str">
        <f>T80</f>
        <v>desserts</v>
      </c>
      <c r="U78" s="33" t="str">
        <f>U80</f>
        <v>Recette mère ► MILLE-FEUILLE  aux fraises des bois</v>
      </c>
      <c r="V78" s="1360">
        <v>18</v>
      </c>
      <c r="W78" s="1361" t="s">
        <v>3056</v>
      </c>
      <c r="X78" s="39"/>
      <c r="Y78" s="39"/>
      <c r="Z78" s="6736"/>
      <c r="AA78" s="6736"/>
      <c r="AB78" s="6736"/>
      <c r="AC78" s="6736"/>
      <c r="AD78" s="6736"/>
      <c r="AE78" s="6736"/>
      <c r="AF78" s="6736"/>
      <c r="AG78" s="696"/>
      <c r="AH78" s="696"/>
      <c r="AI78" s="47" t="s">
        <v>40</v>
      </c>
      <c r="AJ78" s="48" t="s">
        <v>41</v>
      </c>
      <c r="AK78" s="6120" t="str">
        <f t="shared" si="40"/>
        <v>►</v>
      </c>
      <c r="AL78" s="781" t="str">
        <f t="shared" si="20"/>
        <v>►</v>
      </c>
      <c r="AM78" s="5498" t="str">
        <f t="shared" si="21"/>
        <v/>
      </c>
      <c r="AN78" s="783" t="str">
        <f t="shared" si="22"/>
        <v/>
      </c>
      <c r="AO78" s="782" t="str">
        <f t="shared" si="23"/>
        <v/>
      </c>
      <c r="AP78" s="783" t="str">
        <f t="shared" si="24"/>
        <v/>
      </c>
      <c r="AQ78" s="2083" t="b">
        <f>AND(Q78="A",COUNTIF(BP16:BR63,TRIM(Z78))&gt;0)</f>
        <v>0</v>
      </c>
      <c r="AR78" s="797" t="str">
        <f>IF(AL78&lt;&gt;"A","",IFERROR(IFERROR(_xlfn.XLOOKUP(TRIM(SUBSTITUTE(Z78,CHAR(160)," ")),BP16:BP63,BS16:BS63),IFERROR(_xlfn.XLOOKUP(TRIM(SUBSTITUTE(Z78,CHAR(160)," ")),BQ16:BQ63,BS16:BS63),_xlfn.XLOOKUP(TRIM(SUBSTITUTE(Z78,CHAR(160)," ")),BR16:BR63,BS16:BS63)))*Y78*IF(ISBLANK(V78),1,V78),0))</f>
        <v/>
      </c>
      <c r="AS78" s="784" t="str">
        <f t="shared" si="25"/>
        <v/>
      </c>
      <c r="AT78" s="1315" t="str">
        <f t="shared" si="26"/>
        <v/>
      </c>
      <c r="AU78" s="785">
        <f t="shared" si="27"/>
        <v>0</v>
      </c>
      <c r="AV78" s="785">
        <f t="shared" si="28"/>
        <v>0</v>
      </c>
      <c r="AW78" s="798">
        <f>IF(AK78="A",AY10,0)</f>
        <v>0</v>
      </c>
      <c r="AX78" s="5496" t="str">
        <f>IF(IFERROR(SEARCH("Adresse PC",TRIM(W78)),0)&gt;0,"▼ receta siguiente",IF(AK78="A",IF(AZ10&lt;&gt;"",AZ10&amp;" - ou.or.o ❾ + or - &gt;",""),""))</f>
        <v/>
      </c>
      <c r="AY78" s="1316"/>
      <c r="AZ78" s="787"/>
      <c r="BA78" s="799" t="str">
        <f t="shared" si="29"/>
        <v/>
      </c>
      <c r="BB78" s="800" t="str">
        <f>IF(AK78="A",IF(AQ78,IF(AND(AW78&lt;&gt;"",N(AW78)&gt;0),IFERROR(IFERROR(_xlfn.XLOOKUP(AP78,BP10:BP57,BT10:BT57),IFERROR(_xlfn.XLOOKUP(AP78,BQ10:BQ57,BT10:BT57),_xlfn.XLOOKUP(AP78,BR10:BR57,BT10:BT57,""))),""),""),""),"")</f>
        <v/>
      </c>
      <c r="BC78" s="813" cm="1">
        <f t="array" ref="BC78">IF(NOT(AQ78),0,IF(OR(BA78="",N(BA78)&lt;=0.000000001),"",IF(OR(AU78="",N(AU78)&lt;=0.000000001),0,IF(ISNUMBER(BA78),IFERROR(_xlfn.LET(_xlpm.ai_test,TRIM(AP78),_xlpm.r,IFERROR(_xlfn.XLOOKUP(_xlpm.ai_test,BP16:BP63,ROW(BP16:BP63),0,1),IFERROR(_xlfn.XLOOKUP(_xlpm.ai_test,BQ16:BQ63,ROW(BQ16:BQ63),0,1),_xlfn.XLOOKUP(_xlpm.ai_test,BR16:BR63,ROW(BR16:BR63),0,1))),_xlpm.p,_xlpm.r-MIN(ROW(BP16:BP63))+1,_xlpm.f,INDEX(BS16:BS63,_xlpm.p),_xlpm.u,INDEX(BT16:BT63,_xlpm.p),_xlpm.s,INDEX(BV16:BV63,_xlpm.p),_xlpm.q,N(BA78)/_xlpm.f,IF(_xlpm.q&gt;=_xlpm.s,ROUND(_xlpm.q,1)&amp;" "&amp;_xlpm.ai_test&amp;" = "&amp;ROUND(_xlpm.q*_xlpm.f,1)&amp;" "&amp;_xlpm.u,ROUND(_xlpm.q,1)&amp;" "&amp;_xlpm.ai_test)),""),""))))</f>
        <v>0</v>
      </c>
      <c r="BD78" s="801"/>
      <c r="BE78" s="799" t="str">
        <f t="shared" si="30"/>
        <v/>
      </c>
      <c r="BF78" s="800" t="str">
        <f t="shared" si="44"/>
        <v/>
      </c>
      <c r="BG78" s="802">
        <f t="shared" si="45"/>
        <v>0</v>
      </c>
      <c r="BH78" s="803" t="str">
        <f t="shared" si="46"/>
        <v/>
      </c>
      <c r="BI78" s="792">
        <v>1.5</v>
      </c>
      <c r="BJ78" s="804">
        <f t="shared" si="47"/>
        <v>0</v>
      </c>
      <c r="BK78" s="794" t="str">
        <f t="shared" si="38"/>
        <v/>
      </c>
      <c r="BL78" s="227" t="s">
        <v>21</v>
      </c>
      <c r="BM78" s="773">
        <f t="shared" si="35"/>
        <v>0</v>
      </c>
      <c r="BN78" s="774">
        <f t="shared" si="36"/>
        <v>0</v>
      </c>
      <c r="BP78" s="142" t="s">
        <v>140</v>
      </c>
      <c r="BQ78" s="104" t="s">
        <v>100</v>
      </c>
      <c r="BR78" s="143" t="s">
        <v>141</v>
      </c>
      <c r="BS78" s="144" t="s">
        <v>142</v>
      </c>
      <c r="BT78" s="118" t="s">
        <v>143</v>
      </c>
      <c r="BU78" s="118" t="s">
        <v>109</v>
      </c>
      <c r="BV78" s="93" t="s">
        <v>0</v>
      </c>
      <c r="BW78" s="93" t="s">
        <v>97</v>
      </c>
      <c r="BX78" s="93" t="s">
        <v>144</v>
      </c>
      <c r="BY78" s="93" t="s">
        <v>145</v>
      </c>
      <c r="BZ78" s="109" t="s">
        <v>104</v>
      </c>
      <c r="CA78" s="109" t="s">
        <v>146</v>
      </c>
      <c r="CB78" s="145" t="s">
        <v>147</v>
      </c>
      <c r="CC78"/>
      <c r="CD78" s="781" t="str">
        <f t="shared" si="50"/>
        <v>►</v>
      </c>
      <c r="CE78" s="866">
        <v>1</v>
      </c>
      <c r="CF78" s="638"/>
      <c r="CG78" s="638"/>
      <c r="CH78" s="638"/>
      <c r="CI78" s="638"/>
      <c r="CJ78" s="719"/>
      <c r="CK78" s="862">
        <f t="shared" ref="CK78:CQ78" ca="1" si="52">CELL("largeur",CK78)</f>
        <v>19</v>
      </c>
      <c r="CL78" s="863">
        <f t="shared" ca="1" si="52"/>
        <v>18</v>
      </c>
      <c r="CM78" s="863">
        <f t="shared" ca="1" si="52"/>
        <v>10</v>
      </c>
      <c r="CN78" s="863">
        <f t="shared" ca="1" si="52"/>
        <v>16</v>
      </c>
      <c r="CO78" s="863">
        <f t="shared" ca="1" si="52"/>
        <v>16</v>
      </c>
      <c r="CP78" s="863">
        <f t="shared" ca="1" si="52"/>
        <v>11</v>
      </c>
      <c r="CQ78" s="864">
        <f t="shared" ca="1" si="52"/>
        <v>46</v>
      </c>
      <c r="CS78" s="862">
        <f t="shared" ref="CS78:CY78" ca="1" si="53">CELL("largeur",CS78)</f>
        <v>19</v>
      </c>
      <c r="CT78" s="863">
        <f t="shared" ca="1" si="53"/>
        <v>18</v>
      </c>
      <c r="CU78" s="863">
        <f t="shared" ca="1" si="53"/>
        <v>10</v>
      </c>
      <c r="CV78" s="863">
        <f t="shared" ca="1" si="53"/>
        <v>16</v>
      </c>
      <c r="CW78" s="863">
        <f t="shared" ca="1" si="53"/>
        <v>16</v>
      </c>
      <c r="CX78" s="863">
        <f t="shared" ca="1" si="53"/>
        <v>11</v>
      </c>
      <c r="CY78" s="864">
        <f t="shared" ca="1" si="53"/>
        <v>46</v>
      </c>
      <c r="DA78" s="862">
        <f t="shared" ref="DA78:DG78" ca="1" si="54">CELL("largeur",DA78)</f>
        <v>19</v>
      </c>
      <c r="DB78" s="863">
        <f t="shared" ca="1" si="54"/>
        <v>18</v>
      </c>
      <c r="DC78" s="863">
        <f t="shared" ca="1" si="54"/>
        <v>10</v>
      </c>
      <c r="DD78" s="863">
        <f t="shared" ca="1" si="54"/>
        <v>16</v>
      </c>
      <c r="DE78" s="863">
        <f t="shared" ca="1" si="54"/>
        <v>16</v>
      </c>
      <c r="DF78" s="863">
        <f t="shared" ca="1" si="54"/>
        <v>11</v>
      </c>
      <c r="DG78" s="864">
        <f t="shared" ca="1" si="54"/>
        <v>46</v>
      </c>
      <c r="DI78" s="3">
        <v>1</v>
      </c>
    </row>
    <row r="79" spans="1:113" s="627" customFormat="1" ht="21" customHeight="1">
      <c r="A79" s="701" t="s">
        <v>21</v>
      </c>
      <c r="B79" s="2265" t="str" cm="1">
        <f t="array" ref="B79">SUMPRODUCT(--(D79:J79&lt;&gt;""), LEN(TRIM(SUBSTITUTE(D79:J79, CHAR(160), "")))) &amp; " Car."</f>
        <v>0 Car.</v>
      </c>
      <c r="C79" s="1376" t="str">
        <f>IF(ISBLANK(D79),"",LARGE(C13:C78,1)+1)</f>
        <v/>
      </c>
      <c r="D79" s="1833"/>
      <c r="E79" s="1810"/>
      <c r="F79" s="1810"/>
      <c r="G79" s="1810"/>
      <c r="H79" s="1810"/>
      <c r="I79" s="1810"/>
      <c r="J79" s="1810"/>
      <c r="K79" s="1810"/>
      <c r="L79" s="1811"/>
      <c r="M79" s="9"/>
      <c r="N79" s="25" t="str">
        <f t="shared" si="51"/>
        <v>A</v>
      </c>
      <c r="O79" s="1622" t="s">
        <v>841</v>
      </c>
      <c r="P79" s="9"/>
      <c r="Q79" s="25" t="s">
        <v>10</v>
      </c>
      <c r="R79" s="31" t="str">
        <f>R80</f>
        <v>F FEUILLES DE MERINGUE | pâtisserie--ENTREMET| Auteur &gt; recette Béghin Say de Jean-Jacques Borne MOF 1994</v>
      </c>
      <c r="S79" s="32">
        <f>S80</f>
        <v>18</v>
      </c>
      <c r="T79" s="32" t="str">
        <f>T80</f>
        <v>desserts</v>
      </c>
      <c r="U79" s="33" t="str">
        <f>U80</f>
        <v>Recette mère ► MILLE-FEUILLE  aux fraises des bois</v>
      </c>
      <c r="V79" s="53"/>
      <c r="W79" s="1323" t="s">
        <v>8094</v>
      </c>
      <c r="X79" s="6737">
        <f>AF99</f>
        <v>0</v>
      </c>
      <c r="Y79" s="6737"/>
      <c r="Z79" s="1324" t="str" cm="1">
        <f t="array" ref="Z79">"1= "&amp;IF(OR(V78&lt;=0,X79=""),"",_xlfn.LET(_xlpm.kg,IF(ISNUMBER(X79),X79,VALEUR(SUBSTITUTE(SUBSTITUTE(SUBSTITUTE(LOWER(X79),"kg",""),",",".")," ",""))),TEXT(ROUND(_xlpm.kg*1000/V78,2),"0.##")&amp;" g"))</f>
        <v>1= 0. g</v>
      </c>
      <c r="AA79" s="1325">
        <f>IFERROR(AI77/AI79,0)</f>
        <v>2</v>
      </c>
      <c r="AB79" s="1817" t="s">
        <v>8230</v>
      </c>
      <c r="AC79" s="579"/>
      <c r="AD79" s="55"/>
      <c r="AE79" s="55"/>
      <c r="AF79"/>
      <c r="AG79" s="1362"/>
      <c r="AH79" s="1362" t="s">
        <v>50</v>
      </c>
      <c r="AI79" s="882">
        <v>18</v>
      </c>
      <c r="AJ79" s="56" t="s">
        <v>3056</v>
      </c>
      <c r="AK79" s="6120" t="str">
        <f t="shared" si="40"/>
        <v>►</v>
      </c>
      <c r="AL79" s="781" t="str">
        <f t="shared" si="20"/>
        <v>►</v>
      </c>
      <c r="AM79" s="5499" t="str">
        <f t="shared" si="21"/>
        <v/>
      </c>
      <c r="AN79" s="783" t="str">
        <f t="shared" si="22"/>
        <v/>
      </c>
      <c r="AO79" s="782" t="str">
        <f t="shared" si="23"/>
        <v/>
      </c>
      <c r="AP79" s="783" t="str">
        <f t="shared" si="24"/>
        <v/>
      </c>
      <c r="AQ79" s="2083" t="b">
        <f>AND(Q79="A",COUNTIF(BP16:BR63,TRIM(Z79))&gt;0)</f>
        <v>0</v>
      </c>
      <c r="AR79" s="797" t="str">
        <f>IF(AL79&lt;&gt;"A","",IFERROR(IFERROR(_xlfn.XLOOKUP(TRIM(SUBSTITUTE(Z79,CHAR(160)," ")),BP16:BP63,BS16:BS63),IFERROR(_xlfn.XLOOKUP(TRIM(SUBSTITUTE(Z79,CHAR(160)," ")),BQ16:BQ63,BS16:BS63),_xlfn.XLOOKUP(TRIM(SUBSTITUTE(Z79,CHAR(160)," ")),BR16:BR63,BS16:BS63)))*Y79*IF(ISBLANK(V79),1,V79),0))</f>
        <v/>
      </c>
      <c r="AS79" s="784" t="str">
        <f t="shared" si="25"/>
        <v/>
      </c>
      <c r="AT79" s="1315" t="str">
        <f t="shared" si="26"/>
        <v/>
      </c>
      <c r="AU79" s="785">
        <f t="shared" si="27"/>
        <v>0</v>
      </c>
      <c r="AV79" s="785">
        <f t="shared" si="28"/>
        <v>0</v>
      </c>
      <c r="AW79" s="786">
        <f>IF(AK79="A",AY10,0)</f>
        <v>0</v>
      </c>
      <c r="AX79" s="5495" t="str">
        <f>IF(IFERROR(SEARCH("Adresse PC",TRIM(W79)),0)&gt;0,"▼ receta siguiente",IF(AK79="A",IF(AZ10&lt;&gt;"",AZ10&amp;" - ou.or.o ❾ + or - &gt;",""),""))</f>
        <v/>
      </c>
      <c r="AY79" s="1316"/>
      <c r="AZ79" s="787"/>
      <c r="BA79" s="788" t="str">
        <f t="shared" si="29"/>
        <v/>
      </c>
      <c r="BB79" s="789" t="str">
        <f>IF(AK79="A",IF(AQ79,IF(AND(AW79&lt;&gt;"",N(AW79)&gt;0),IFERROR(IFERROR(_xlfn.XLOOKUP(AP79,BP10:BP57,BT10:BT57),IFERROR(_xlfn.XLOOKUP(AP79,BQ10:BQ57,BT10:BT57),_xlfn.XLOOKUP(AP79,BR10:BR57,BT10:BT57,""))),""),""),""),"")</f>
        <v/>
      </c>
      <c r="BC79" s="811" cm="1">
        <f t="array" ref="BC79">IF(NOT(AQ79),0,IF(OR(BA79="",N(BA79)&lt;=0.000000001),"",IF(OR(AU79="",N(AU79)&lt;=0.000000001),0,IF(ISNUMBER(BA79),IFERROR(_xlfn.LET(_xlpm.ai_test,TRIM(AP79),_xlpm.r,IFERROR(_xlfn.XLOOKUP(_xlpm.ai_test,BP16:BP63,ROW(BP16:BP63),0,1),IFERROR(_xlfn.XLOOKUP(_xlpm.ai_test,BQ16:BQ63,ROW(BQ16:BQ63),0,1),_xlfn.XLOOKUP(_xlpm.ai_test,BR16:BR63,ROW(BR16:BR63),0,1))),_xlpm.p,_xlpm.r-MIN(ROW(BP16:BP63))+1,_xlpm.f,INDEX(BS16:BS63,_xlpm.p),_xlpm.u,INDEX(BT16:BT63,_xlpm.p),_xlpm.s,INDEX(BV16:BV63,_xlpm.p),_xlpm.q,N(BA79)/_xlpm.f,IF(_xlpm.q&gt;=_xlpm.s,ROUND(_xlpm.q,1)&amp;" "&amp;_xlpm.ai_test&amp;" = "&amp;ROUND(_xlpm.q*_xlpm.f,1)&amp;" "&amp;_xlpm.u,ROUND(_xlpm.q,1)&amp;" "&amp;_xlpm.ai_test)),""),""))))</f>
        <v>0</v>
      </c>
      <c r="BD79" s="801"/>
      <c r="BE79" s="788" t="str">
        <f t="shared" si="30"/>
        <v/>
      </c>
      <c r="BF79" s="789" t="str">
        <f t="shared" si="44"/>
        <v/>
      </c>
      <c r="BG79" s="790">
        <f t="shared" si="45"/>
        <v>0</v>
      </c>
      <c r="BH79" s="791" t="str">
        <f t="shared" si="46"/>
        <v/>
      </c>
      <c r="BI79" s="792">
        <v>1.5</v>
      </c>
      <c r="BJ79" s="793">
        <f t="shared" si="47"/>
        <v>0</v>
      </c>
      <c r="BK79" s="794" t="str">
        <f t="shared" si="38"/>
        <v/>
      </c>
      <c r="BL79" s="227" t="s">
        <v>21</v>
      </c>
      <c r="BM79" s="773">
        <f t="shared" si="35"/>
        <v>0</v>
      </c>
      <c r="BN79" s="774">
        <f t="shared" si="36"/>
        <v>0</v>
      </c>
      <c r="BP79" s="685">
        <v>1</v>
      </c>
      <c r="BQ79" s="686">
        <v>1E-3</v>
      </c>
      <c r="BR79" s="687">
        <v>0</v>
      </c>
      <c r="BS79" s="686">
        <v>0.25</v>
      </c>
      <c r="BT79" s="686">
        <v>0.33332999999999996</v>
      </c>
      <c r="BU79" s="686">
        <v>0.5</v>
      </c>
      <c r="BV79" s="688">
        <v>1</v>
      </c>
      <c r="BW79" s="688">
        <v>0.1</v>
      </c>
      <c r="BX79" s="688">
        <v>0.01</v>
      </c>
      <c r="BY79" s="688">
        <v>1E-3</v>
      </c>
      <c r="BZ79" s="688">
        <v>0.5</v>
      </c>
      <c r="CA79" s="688">
        <v>0.33300000000000002</v>
      </c>
      <c r="CB79" s="689">
        <v>0.2</v>
      </c>
      <c r="CC79"/>
      <c r="CD79" s="781" t="str">
        <f t="shared" si="50"/>
        <v>►</v>
      </c>
      <c r="CE79" s="646" t="s">
        <v>844</v>
      </c>
      <c r="CF79" s="638"/>
      <c r="CG79" s="638"/>
      <c r="CH79" s="638"/>
      <c r="CI79" s="638"/>
      <c r="CJ79" s="719"/>
      <c r="DI79" s="3">
        <v>1</v>
      </c>
    </row>
    <row r="80" spans="1:113" s="627" customFormat="1" ht="21" customHeight="1">
      <c r="A80" s="701" t="s">
        <v>21</v>
      </c>
      <c r="B80" s="2265" t="str" cm="1">
        <f t="array" ref="B80">SUMPRODUCT(--(D80:J80&lt;&gt;""), LEN(TRIM(SUBSTITUTE(D80:J80, CHAR(160), "")))) &amp; " Car."</f>
        <v>0 Car.</v>
      </c>
      <c r="C80" s="1376" t="str">
        <f>IF(ISBLANK(D80),"",LARGE(C13:C79,1)+1)</f>
        <v/>
      </c>
      <c r="D80" s="1833"/>
      <c r="E80" s="1810"/>
      <c r="F80" s="1810"/>
      <c r="G80" s="1810"/>
      <c r="H80" s="1810"/>
      <c r="I80" s="1810"/>
      <c r="J80" s="1810"/>
      <c r="K80" s="1810"/>
      <c r="L80" s="1811"/>
      <c r="M80" s="9"/>
      <c r="N80" s="25" t="str">
        <f t="shared" si="51"/>
        <v>A</v>
      </c>
      <c r="O80" s="1616">
        <v>1</v>
      </c>
      <c r="P80" s="9"/>
      <c r="Q80" s="25" t="s">
        <v>10</v>
      </c>
      <c r="R80" s="61" t="str">
        <f>V80</f>
        <v>F FEUILLES DE MERINGUE | pâtisserie--ENTREMET| Auteur &gt; recette Béghin Say de Jean-Jacques Borne MOF 1994</v>
      </c>
      <c r="S80" s="62">
        <f>V78</f>
        <v>18</v>
      </c>
      <c r="T80" s="61" t="str">
        <f>W78</f>
        <v>desserts</v>
      </c>
      <c r="U80" s="63" t="str">
        <f>AB80&amp;" "&amp;AC80</f>
        <v>Recette mère ► MILLE-FEUILLE  aux fraises des bois</v>
      </c>
      <c r="V80" s="64" t="str">
        <f>UPPER(LEFT(Y74,1))&amp;" "&amp;Y74&amp;" | "&amp;AH74&amp;"| "&amp;Y76&amp;" "&amp;Z76</f>
        <v>F FEUILLES DE MERINGUE | pâtisserie--ENTREMET| Auteur &gt; recette Béghin Say de Jean-Jacques Borne MOF 1994</v>
      </c>
      <c r="W80" s="65" t="s">
        <v>53</v>
      </c>
      <c r="X80" s="6735" t="s">
        <v>54</v>
      </c>
      <c r="Y80" s="6735"/>
      <c r="Z80" s="6735"/>
      <c r="AA80" s="66"/>
      <c r="AB80" s="66" t="str">
        <f>IF(ISTEXT(AC80),"Recette mère ►",W80)</f>
        <v>Recette mère ►</v>
      </c>
      <c r="AC80" s="67" t="s">
        <v>3081</v>
      </c>
      <c r="AD80" s="67"/>
      <c r="AE80" s="67"/>
      <c r="AF80" s="883"/>
      <c r="AG80" s="68"/>
      <c r="AH80" s="68"/>
      <c r="AI80" s="68"/>
      <c r="AJ80"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K80" s="6120" t="str">
        <f t="shared" si="40"/>
        <v>►</v>
      </c>
      <c r="AL80" s="781" t="str">
        <f t="shared" si="20"/>
        <v>►</v>
      </c>
      <c r="AM80" s="5498" t="str">
        <f t="shared" si="21"/>
        <v/>
      </c>
      <c r="AN80" s="783" t="str">
        <f t="shared" si="22"/>
        <v/>
      </c>
      <c r="AO80" s="782" t="str">
        <f t="shared" si="23"/>
        <v/>
      </c>
      <c r="AP80" s="783" t="str">
        <f t="shared" si="24"/>
        <v/>
      </c>
      <c r="AQ80" s="2083" t="b">
        <f>AND(Q80="A",COUNTIF(BP16:BR63,TRIM(Z80))&gt;0)</f>
        <v>0</v>
      </c>
      <c r="AR80" s="797" t="str">
        <f>IF(AL80&lt;&gt;"A","",IFERROR(IFERROR(_xlfn.XLOOKUP(TRIM(SUBSTITUTE(Z80,CHAR(160)," ")),BP16:BP63,BS16:BS63),IFERROR(_xlfn.XLOOKUP(TRIM(SUBSTITUTE(Z80,CHAR(160)," ")),BQ16:BQ63,BS16:BS63),_xlfn.XLOOKUP(TRIM(SUBSTITUTE(Z80,CHAR(160)," ")),BR16:BR63,BS16:BS63)))*Y80*IF(ISBLANK(V80),1,V80),0))</f>
        <v/>
      </c>
      <c r="AS80" s="784" t="str">
        <f t="shared" si="25"/>
        <v/>
      </c>
      <c r="AT80" s="1315" t="str">
        <f t="shared" si="26"/>
        <v/>
      </c>
      <c r="AU80" s="785">
        <f t="shared" si="27"/>
        <v>0</v>
      </c>
      <c r="AV80" s="785">
        <f t="shared" si="28"/>
        <v>0</v>
      </c>
      <c r="AW80" s="798">
        <f>IF(AK80="A",AY10,0)</f>
        <v>0</v>
      </c>
      <c r="AX80" s="5496" t="str">
        <f>IF(IFERROR(SEARCH("Adresse PC",TRIM(W80)),0)&gt;0,"▼ receta siguiente",IF(AK80="A",IF(AZ10&lt;&gt;"",AZ10&amp;" - ou.or.o ❾ + or - &gt;",""),""))</f>
        <v/>
      </c>
      <c r="AY80" s="1316"/>
      <c r="AZ80" s="787"/>
      <c r="BA80" s="799" t="str">
        <f t="shared" si="29"/>
        <v/>
      </c>
      <c r="BB80" s="800" t="str">
        <f>IF(AK80="A",IF(AQ80,IF(AND(AW80&lt;&gt;"",N(AW80)&gt;0),IFERROR(IFERROR(_xlfn.XLOOKUP(AP80,BP10:BP57,BT10:BT57),IFERROR(_xlfn.XLOOKUP(AP80,BQ10:BQ57,BT10:BT57),_xlfn.XLOOKUP(AP80,BR10:BR57,BT10:BT57,""))),""),""),""),"")</f>
        <v/>
      </c>
      <c r="BC80" s="813" cm="1">
        <f t="array" ref="BC80">IF(NOT(AQ80),0,IF(OR(BA80="",N(BA80)&lt;=0.000000001),"",IF(OR(AU80="",N(AU80)&lt;=0.000000001),0,IF(ISNUMBER(BA80),IFERROR(_xlfn.LET(_xlpm.ai_test,TRIM(AP80),_xlpm.r,IFERROR(_xlfn.XLOOKUP(_xlpm.ai_test,BP16:BP63,ROW(BP16:BP63),0,1),IFERROR(_xlfn.XLOOKUP(_xlpm.ai_test,BQ16:BQ63,ROW(BQ16:BQ63),0,1),_xlfn.XLOOKUP(_xlpm.ai_test,BR16:BR63,ROW(BR16:BR63),0,1))),_xlpm.p,_xlpm.r-MIN(ROW(BP16:BP63))+1,_xlpm.f,INDEX(BS16:BS63,_xlpm.p),_xlpm.u,INDEX(BT16:BT63,_xlpm.p),_xlpm.s,INDEX(BV16:BV63,_xlpm.p),_xlpm.q,N(BA80)/_xlpm.f,IF(_xlpm.q&gt;=_xlpm.s,ROUND(_xlpm.q,1)&amp;" "&amp;_xlpm.ai_test&amp;" = "&amp;ROUND(_xlpm.q*_xlpm.f,1)&amp;" "&amp;_xlpm.u,ROUND(_xlpm.q,1)&amp;" "&amp;_xlpm.ai_test)),""),""))))</f>
        <v>0</v>
      </c>
      <c r="BD80" s="801"/>
      <c r="BE80" s="799" t="str">
        <f t="shared" si="30"/>
        <v/>
      </c>
      <c r="BF80" s="800" t="str">
        <f t="shared" si="44"/>
        <v/>
      </c>
      <c r="BG80" s="802">
        <f t="shared" si="45"/>
        <v>0</v>
      </c>
      <c r="BH80" s="803" t="str">
        <f t="shared" si="46"/>
        <v/>
      </c>
      <c r="BI80" s="792">
        <v>1.5</v>
      </c>
      <c r="BJ80" s="804">
        <f t="shared" si="47"/>
        <v>0</v>
      </c>
      <c r="BK80" s="794" t="str">
        <f t="shared" si="38"/>
        <v/>
      </c>
      <c r="BL80" s="227" t="s">
        <v>21</v>
      </c>
      <c r="BM80" s="773">
        <f t="shared" si="35"/>
        <v>0</v>
      </c>
      <c r="BN80" s="774">
        <f t="shared" si="36"/>
        <v>0</v>
      </c>
      <c r="BP80" s="121" t="s">
        <v>155</v>
      </c>
      <c r="BQ80" s="121" t="s">
        <v>156</v>
      </c>
      <c r="BR80" s="143" t="s">
        <v>141</v>
      </c>
      <c r="BS80" s="121" t="s">
        <v>110</v>
      </c>
      <c r="BT80" s="121" t="s">
        <v>157</v>
      </c>
      <c r="BU80" s="121" t="s">
        <v>158</v>
      </c>
      <c r="BV80" s="125" t="s">
        <v>115</v>
      </c>
      <c r="BW80" s="155" t="s">
        <v>159</v>
      </c>
      <c r="BX80" s="155" t="s">
        <v>160</v>
      </c>
      <c r="BY80" s="109" t="s">
        <v>161</v>
      </c>
      <c r="BZ80" s="109" t="s">
        <v>162</v>
      </c>
      <c r="CA80" s="109" t="s">
        <v>105</v>
      </c>
      <c r="CB80" s="156" t="s">
        <v>163</v>
      </c>
      <c r="CC80"/>
      <c r="CD80" s="781" t="str">
        <f t="shared" si="50"/>
        <v>►</v>
      </c>
      <c r="CE80" s="647" t="s">
        <v>845</v>
      </c>
      <c r="CF80" s="638"/>
      <c r="CG80" s="638"/>
      <c r="CH80" s="638"/>
      <c r="CI80" s="638"/>
      <c r="CJ80" s="719"/>
      <c r="DA80"/>
      <c r="DB80"/>
      <c r="DC80"/>
      <c r="DD80"/>
      <c r="DE80"/>
      <c r="DF80"/>
      <c r="DG80"/>
      <c r="DI80" s="3">
        <v>1</v>
      </c>
    </row>
    <row r="81" spans="1:113" s="627" customFormat="1" ht="21" customHeight="1">
      <c r="A81" s="701" t="s">
        <v>21</v>
      </c>
      <c r="B81" s="2265" t="str" cm="1">
        <f t="array" ref="B81">SUMPRODUCT(--(D81:J81&lt;&gt;""), LEN(TRIM(SUBSTITUTE(D81:J81, CHAR(160), "")))) &amp; " Car."</f>
        <v>0 Car.</v>
      </c>
      <c r="C81" s="1376" t="str">
        <f>IF(ISBLANK(D81),"",LARGE(C13:C80,1)+1)</f>
        <v/>
      </c>
      <c r="D81" s="1833"/>
      <c r="E81" s="1810"/>
      <c r="F81" s="1810"/>
      <c r="G81" s="1810"/>
      <c r="H81" s="1810"/>
      <c r="I81" s="1810"/>
      <c r="J81" s="1810"/>
      <c r="K81" s="1810"/>
      <c r="L81" s="1811"/>
      <c r="M81" s="9"/>
      <c r="N81" s="25" t="str">
        <f t="shared" si="51"/>
        <v>A</v>
      </c>
      <c r="O81" s="1641" t="s">
        <v>842</v>
      </c>
      <c r="P81" s="9"/>
      <c r="Q81" s="25" t="s">
        <v>10</v>
      </c>
      <c r="R81" s="70" t="str">
        <f>R80</f>
        <v>F FEUILLES DE MERINGUE | pâtisserie--ENTREMET| Auteur &gt; recette Béghin Say de Jean-Jacques Borne MOF 1994</v>
      </c>
      <c r="S81" s="70">
        <f>S80</f>
        <v>18</v>
      </c>
      <c r="T81" s="70" t="str">
        <f>T80</f>
        <v>desserts</v>
      </c>
      <c r="U81" s="71" t="str">
        <f>U80</f>
        <v>Recette mère ► MILLE-FEUILLE  aux fraises des bois</v>
      </c>
      <c r="V81" s="12" t="s">
        <v>65</v>
      </c>
      <c r="W81" s="12" t="s">
        <v>66</v>
      </c>
      <c r="X81" s="12" t="s">
        <v>67</v>
      </c>
      <c r="Y81" s="12" t="s">
        <v>68</v>
      </c>
      <c r="Z81" s="72" t="s">
        <v>69</v>
      </c>
      <c r="AA81" s="73" t="s">
        <v>70</v>
      </c>
      <c r="AB81" s="12" t="s">
        <v>71</v>
      </c>
      <c r="AC81" s="12" t="s">
        <v>72</v>
      </c>
      <c r="AD81" s="12" t="s">
        <v>73</v>
      </c>
      <c r="AE81" s="12" t="s">
        <v>74</v>
      </c>
      <c r="AF81" s="12" t="s">
        <v>75</v>
      </c>
      <c r="AG81" s="12" t="s">
        <v>76</v>
      </c>
      <c r="AH81" s="12" t="s">
        <v>77</v>
      </c>
      <c r="AI81" s="12" t="s">
        <v>8143</v>
      </c>
      <c r="AJ81" s="74" t="s">
        <v>8407</v>
      </c>
      <c r="AK81" s="6120" t="str">
        <f t="shared" si="40"/>
        <v>►</v>
      </c>
      <c r="AL81" s="781" t="str">
        <f t="shared" si="20"/>
        <v>►</v>
      </c>
      <c r="AM81" s="5499" t="str">
        <f t="shared" si="21"/>
        <v/>
      </c>
      <c r="AN81" s="783" t="str">
        <f t="shared" si="22"/>
        <v/>
      </c>
      <c r="AO81" s="782" t="str">
        <f t="shared" si="23"/>
        <v/>
      </c>
      <c r="AP81" s="783" t="str">
        <f t="shared" si="24"/>
        <v/>
      </c>
      <c r="AQ81" s="2083" t="b">
        <f>AND(Q81="A",COUNTIF(BP16:BR63,TRIM(Z81))&gt;0)</f>
        <v>0</v>
      </c>
      <c r="AR81" s="797" t="str">
        <f>IF(AL81&lt;&gt;"A","",IFERROR(IFERROR(_xlfn.XLOOKUP(TRIM(SUBSTITUTE(Z81,CHAR(160)," ")),BP16:BP63,BS16:BS63),IFERROR(_xlfn.XLOOKUP(TRIM(SUBSTITUTE(Z81,CHAR(160)," ")),BQ16:BQ63,BS16:BS63),_xlfn.XLOOKUP(TRIM(SUBSTITUTE(Z81,CHAR(160)," ")),BR16:BR63,BS16:BS63)))*Y81*IF(ISBLANK(V81),1,V81),0))</f>
        <v/>
      </c>
      <c r="AS81" s="784" t="str">
        <f t="shared" si="25"/>
        <v/>
      </c>
      <c r="AT81" s="1315" t="str">
        <f t="shared" si="26"/>
        <v/>
      </c>
      <c r="AU81" s="785">
        <f t="shared" si="27"/>
        <v>0</v>
      </c>
      <c r="AV81" s="785">
        <f t="shared" si="28"/>
        <v>0</v>
      </c>
      <c r="AW81" s="786">
        <f>IF(AK81="A",AY10,0)</f>
        <v>0</v>
      </c>
      <c r="AX81" s="5495" t="str">
        <f>IF(IFERROR(SEARCH("Adresse PC",TRIM(W81)),0)&gt;0,"▼ receta siguiente",IF(AK81="A",IF(AZ10&lt;&gt;"",AZ10&amp;" - ou.or.o ❾ + or - &gt;",""),""))</f>
        <v/>
      </c>
      <c r="AY81" s="1316"/>
      <c r="AZ81" s="787"/>
      <c r="BA81" s="788" t="str">
        <f t="shared" si="29"/>
        <v/>
      </c>
      <c r="BB81" s="789" t="str">
        <f>IF(AK81="A",IF(AQ81,IF(AND(AW81&lt;&gt;"",N(AW81)&gt;0),IFERROR(IFERROR(_xlfn.XLOOKUP(AP81,BP10:BP57,BT10:BT57),IFERROR(_xlfn.XLOOKUP(AP81,BQ10:BQ57,BT10:BT57),_xlfn.XLOOKUP(AP81,BR10:BR57,BT10:BT57,""))),""),""),""),"")</f>
        <v/>
      </c>
      <c r="BC81" s="811" cm="1">
        <f t="array" ref="BC81">IF(NOT(AQ81),0,IF(OR(BA81="",N(BA81)&lt;=0.000000001),"",IF(OR(AU81="",N(AU81)&lt;=0.000000001),0,IF(ISNUMBER(BA81),IFERROR(_xlfn.LET(_xlpm.ai_test,TRIM(AP81),_xlpm.r,IFERROR(_xlfn.XLOOKUP(_xlpm.ai_test,BP16:BP63,ROW(BP16:BP63),0,1),IFERROR(_xlfn.XLOOKUP(_xlpm.ai_test,BQ16:BQ63,ROW(BQ16:BQ63),0,1),_xlfn.XLOOKUP(_xlpm.ai_test,BR16:BR63,ROW(BR16:BR63),0,1))),_xlpm.p,_xlpm.r-MIN(ROW(BP16:BP63))+1,_xlpm.f,INDEX(BS16:BS63,_xlpm.p),_xlpm.u,INDEX(BT16:BT63,_xlpm.p),_xlpm.s,INDEX(BV16:BV63,_xlpm.p),_xlpm.q,N(BA81)/_xlpm.f,IF(_xlpm.q&gt;=_xlpm.s,ROUND(_xlpm.q,1)&amp;" "&amp;_xlpm.ai_test&amp;" = "&amp;ROUND(_xlpm.q*_xlpm.f,1)&amp;" "&amp;_xlpm.u,ROUND(_xlpm.q,1)&amp;" "&amp;_xlpm.ai_test)),""),""))))</f>
        <v>0</v>
      </c>
      <c r="BD81" s="801"/>
      <c r="BE81" s="788" t="str">
        <f t="shared" si="30"/>
        <v/>
      </c>
      <c r="BF81" s="789" t="str">
        <f t="shared" si="44"/>
        <v/>
      </c>
      <c r="BG81" s="790">
        <f t="shared" si="45"/>
        <v>0</v>
      </c>
      <c r="BH81" s="791" t="str">
        <f t="shared" si="46"/>
        <v/>
      </c>
      <c r="BI81" s="792">
        <v>1.5</v>
      </c>
      <c r="BJ81" s="793">
        <f t="shared" si="47"/>
        <v>0</v>
      </c>
      <c r="BK81" s="794" t="str">
        <f t="shared" si="38"/>
        <v/>
      </c>
      <c r="BL81" s="227" t="s">
        <v>21</v>
      </c>
      <c r="BM81" s="773">
        <f t="shared" si="35"/>
        <v>0</v>
      </c>
      <c r="BN81" s="774">
        <f t="shared" si="36"/>
        <v>0</v>
      </c>
      <c r="BP81" s="685">
        <v>2.835E-2</v>
      </c>
      <c r="BQ81" s="686">
        <v>0.13</v>
      </c>
      <c r="BR81" s="687">
        <v>0</v>
      </c>
      <c r="BS81" s="686">
        <v>0.2</v>
      </c>
      <c r="BT81" s="686">
        <v>0.23</v>
      </c>
      <c r="BU81" s="686">
        <v>0.22500000000000001</v>
      </c>
      <c r="BV81" s="688">
        <v>0.35</v>
      </c>
      <c r="BW81" s="688">
        <v>5.0000000000000001E-3</v>
      </c>
      <c r="BX81" s="688">
        <v>5.0000000000000001E-3</v>
      </c>
      <c r="BY81" s="688">
        <v>1.4999999999999999E-2</v>
      </c>
      <c r="BZ81" s="688">
        <v>0.1</v>
      </c>
      <c r="CA81" s="688">
        <v>0.22500000000000001</v>
      </c>
      <c r="CB81" s="689">
        <v>1E-3</v>
      </c>
      <c r="CC81"/>
      <c r="CD81" s="781" t="str">
        <f t="shared" si="50"/>
        <v>►</v>
      </c>
      <c r="CE81" s="350"/>
      <c r="CF81" s="350"/>
      <c r="CG81" s="350"/>
      <c r="CH81" s="350"/>
      <c r="CI81" s="350"/>
      <c r="CJ81" s="719"/>
      <c r="DA81"/>
      <c r="DB81"/>
      <c r="DC81"/>
      <c r="DD81"/>
      <c r="DE81"/>
      <c r="DF81"/>
      <c r="DG81"/>
      <c r="DI81" s="3">
        <v>1</v>
      </c>
    </row>
    <row r="82" spans="1:113" s="627" customFormat="1" ht="21" customHeight="1" thickBot="1">
      <c r="A82" s="701" t="s">
        <v>21</v>
      </c>
      <c r="B82" s="2265" t="str" cm="1">
        <f t="array" ref="B82">SUMPRODUCT(--(D82:J82&lt;&gt;""), LEN(TRIM(SUBSTITUTE(D82:J82, CHAR(160), "")))) &amp; " Car."</f>
        <v>0 Car.</v>
      </c>
      <c r="C82" s="1376" t="str">
        <f>IF(ISBLANK(D82),"",LARGE(C13:C81,1)+1)</f>
        <v/>
      </c>
      <c r="D82" s="1833"/>
      <c r="E82" s="1810"/>
      <c r="F82" s="1810"/>
      <c r="G82" s="1810"/>
      <c r="H82" s="1810"/>
      <c r="I82" s="1810"/>
      <c r="J82" s="1810"/>
      <c r="K82" s="1810"/>
      <c r="L82" s="1811"/>
      <c r="M82" s="9"/>
      <c r="N82" s="25" t="str">
        <f t="shared" si="51"/>
        <v>A</v>
      </c>
      <c r="O82" s="1622" t="s">
        <v>843</v>
      </c>
      <c r="P82" s="9"/>
      <c r="Q82" s="25" t="s">
        <v>10</v>
      </c>
      <c r="R82" s="31" t="str">
        <f>R80</f>
        <v>F FEUILLES DE MERINGUE | pâtisserie--ENTREMET| Auteur &gt; recette Béghin Say de Jean-Jacques Borne MOF 1994</v>
      </c>
      <c r="S82" s="32">
        <f>S80</f>
        <v>18</v>
      </c>
      <c r="T82" s="31" t="str">
        <f>T80</f>
        <v>desserts</v>
      </c>
      <c r="U82" s="33" t="str">
        <f>U80</f>
        <v>Recette mère ► MILLE-FEUILLE  aux fraises des bois</v>
      </c>
      <c r="V82" s="76" t="s">
        <v>78</v>
      </c>
      <c r="W82" s="77" t="s">
        <v>79</v>
      </c>
      <c r="X82" s="78"/>
      <c r="Y82" s="6612" t="s">
        <v>80</v>
      </c>
      <c r="Z82" s="6730" t="s">
        <v>81</v>
      </c>
      <c r="AA82" s="6732" t="s">
        <v>82</v>
      </c>
      <c r="AB82" s="6738" t="s">
        <v>8575</v>
      </c>
      <c r="AC82" s="79" t="s">
        <v>83</v>
      </c>
      <c r="AD82" s="80" t="s">
        <v>49</v>
      </c>
      <c r="AE82" s="81" t="s">
        <v>84</v>
      </c>
      <c r="AF82" s="6607" t="s">
        <v>85</v>
      </c>
      <c r="AG82" s="6582" t="s">
        <v>84</v>
      </c>
      <c r="AH82" s="6727" t="s">
        <v>8405</v>
      </c>
      <c r="AI82" s="6584" t="s">
        <v>86</v>
      </c>
      <c r="AJ82" s="6728" t="s">
        <v>87</v>
      </c>
      <c r="AK82" s="6120" t="str">
        <f t="shared" si="40"/>
        <v>►</v>
      </c>
      <c r="AL82" s="781" t="str">
        <f t="shared" si="20"/>
        <v>►</v>
      </c>
      <c r="AM82" s="5498" t="str">
        <f t="shared" si="21"/>
        <v/>
      </c>
      <c r="AN82" s="783" t="str">
        <f t="shared" si="22"/>
        <v/>
      </c>
      <c r="AO82" s="782" t="str">
        <f t="shared" si="23"/>
        <v/>
      </c>
      <c r="AP82" s="783" t="str">
        <f t="shared" si="24"/>
        <v/>
      </c>
      <c r="AQ82" s="2083" t="b">
        <f>AND(Q82="A",COUNTIF(BP16:BR63,TRIM(Z82))&gt;0)</f>
        <v>0</v>
      </c>
      <c r="AR82" s="797" t="str">
        <f>IF(AL82&lt;&gt;"A","",IFERROR(IFERROR(_xlfn.XLOOKUP(TRIM(SUBSTITUTE(Z82,CHAR(160)," ")),BP16:BP63,BS16:BS63),IFERROR(_xlfn.XLOOKUP(TRIM(SUBSTITUTE(Z82,CHAR(160)," ")),BQ16:BQ63,BS16:BS63),_xlfn.XLOOKUP(TRIM(SUBSTITUTE(Z82,CHAR(160)," ")),BR16:BR63,BS16:BS63)))*Y82*IF(ISBLANK(V82),1,V82),0))</f>
        <v/>
      </c>
      <c r="AS82" s="784" t="str">
        <f t="shared" si="25"/>
        <v/>
      </c>
      <c r="AT82" s="1315" t="str">
        <f t="shared" si="26"/>
        <v/>
      </c>
      <c r="AU82" s="785">
        <f t="shared" si="27"/>
        <v>0</v>
      </c>
      <c r="AV82" s="785">
        <f t="shared" si="28"/>
        <v>0</v>
      </c>
      <c r="AW82" s="798">
        <f>IF(AK82="A",AY10,0)</f>
        <v>0</v>
      </c>
      <c r="AX82" s="5496" t="str">
        <f>IF(IFERROR(SEARCH("Adresse PC",TRIM(W82)),0)&gt;0,"▼ receta siguiente",IF(AK82="A",IF(AZ10&lt;&gt;"",AZ10&amp;" - ou.or.o ❾ + or - &gt;",""),""))</f>
        <v/>
      </c>
      <c r="AY82" s="1316"/>
      <c r="AZ82" s="787"/>
      <c r="BA82" s="799" t="str">
        <f t="shared" si="29"/>
        <v/>
      </c>
      <c r="BB82" s="800" t="str">
        <f>IF(AK82="A",IF(AQ82,IF(AND(AW82&lt;&gt;"",N(AW82)&gt;0),IFERROR(IFERROR(_xlfn.XLOOKUP(AP82,BP10:BP57,BT10:BT57),IFERROR(_xlfn.XLOOKUP(AP82,BQ10:BQ57,BT10:BT57),_xlfn.XLOOKUP(AP82,BR10:BR57,BT10:BT57,""))),""),""),""),"")</f>
        <v/>
      </c>
      <c r="BC82" s="813" cm="1">
        <f t="array" ref="BC82">IF(NOT(AQ82),0,IF(OR(BA82="",N(BA82)&lt;=0.000000001),"",IF(OR(AU82="",N(AU82)&lt;=0.000000001),0,IF(ISNUMBER(BA82),IFERROR(_xlfn.LET(_xlpm.ai_test,TRIM(AP82),_xlpm.r,IFERROR(_xlfn.XLOOKUP(_xlpm.ai_test,BP16:BP63,ROW(BP16:BP63),0,1),IFERROR(_xlfn.XLOOKUP(_xlpm.ai_test,BQ16:BQ63,ROW(BQ16:BQ63),0,1),_xlfn.XLOOKUP(_xlpm.ai_test,BR16:BR63,ROW(BR16:BR63),0,1))),_xlpm.p,_xlpm.r-MIN(ROW(BP16:BP63))+1,_xlpm.f,INDEX(BS16:BS63,_xlpm.p),_xlpm.u,INDEX(BT16:BT63,_xlpm.p),_xlpm.s,INDEX(BV16:BV63,_xlpm.p),_xlpm.q,N(BA82)/_xlpm.f,IF(_xlpm.q&gt;=_xlpm.s,ROUND(_xlpm.q,1)&amp;" "&amp;_xlpm.ai_test&amp;" = "&amp;ROUND(_xlpm.q*_xlpm.f,1)&amp;" "&amp;_xlpm.u,ROUND(_xlpm.q,1)&amp;" "&amp;_xlpm.ai_test)),""),""))))</f>
        <v>0</v>
      </c>
      <c r="BD82" s="801"/>
      <c r="BE82" s="799" t="str">
        <f t="shared" si="30"/>
        <v/>
      </c>
      <c r="BF82" s="800" t="str">
        <f t="shared" si="44"/>
        <v/>
      </c>
      <c r="BG82" s="802">
        <f t="shared" si="45"/>
        <v>0</v>
      </c>
      <c r="BH82" s="803" t="str">
        <f t="shared" si="46"/>
        <v/>
      </c>
      <c r="BI82" s="792">
        <v>1.5</v>
      </c>
      <c r="BJ82" s="804">
        <f t="shared" si="47"/>
        <v>0</v>
      </c>
      <c r="BK82" s="794" t="str">
        <f t="shared" si="38"/>
        <v/>
      </c>
      <c r="BL82" s="227" t="s">
        <v>21</v>
      </c>
      <c r="BM82" s="773">
        <f t="shared" si="35"/>
        <v>0</v>
      </c>
      <c r="BN82" s="774">
        <f t="shared" si="36"/>
        <v>0</v>
      </c>
      <c r="BP82"/>
      <c r="BQ82"/>
      <c r="BR82"/>
      <c r="BS82"/>
      <c r="BT82"/>
      <c r="BU82"/>
      <c r="BV82"/>
      <c r="BW82"/>
      <c r="BX82"/>
      <c r="BY82"/>
      <c r="BZ82"/>
      <c r="CA82"/>
      <c r="CB82"/>
      <c r="CC82"/>
      <c r="CD82" s="781" t="str">
        <f t="shared" si="50"/>
        <v>►</v>
      </c>
      <c r="CE82" s="350"/>
      <c r="CF82" s="350"/>
      <c r="CG82" s="350"/>
      <c r="CH82" s="350"/>
      <c r="CI82" s="350"/>
      <c r="CJ82" s="719"/>
      <c r="CK82"/>
      <c r="CL82"/>
      <c r="CM82"/>
      <c r="CN82"/>
      <c r="CO82"/>
      <c r="CP82"/>
      <c r="CQ82"/>
      <c r="CS82"/>
      <c r="CT82"/>
      <c r="CU82"/>
      <c r="CV82"/>
      <c r="CW82"/>
      <c r="CX82"/>
      <c r="CY82"/>
      <c r="DA82"/>
      <c r="DB82"/>
      <c r="DC82"/>
      <c r="DD82"/>
      <c r="DE82"/>
      <c r="DF82"/>
      <c r="DG82"/>
      <c r="DI82" s="3">
        <v>1</v>
      </c>
    </row>
    <row r="83" spans="1:113" s="627" customFormat="1" ht="21" customHeight="1">
      <c r="A83" s="701" t="s">
        <v>21</v>
      </c>
      <c r="B83" s="2265" t="str" cm="1">
        <f t="array" ref="B83">SUMPRODUCT(--(D83:J83&lt;&gt;""), LEN(TRIM(SUBSTITUTE(D83:J83, CHAR(160), "")))) &amp; " Car."</f>
        <v>0 Car.</v>
      </c>
      <c r="C83" s="1376" t="str">
        <f>IF(ISBLANK(D83),"",LARGE(C13:C82,1)+1)</f>
        <v/>
      </c>
      <c r="D83" s="1833"/>
      <c r="E83" s="1810"/>
      <c r="F83" s="1810"/>
      <c r="G83" s="1810"/>
      <c r="H83" s="1810"/>
      <c r="I83" s="1810"/>
      <c r="J83" s="1810"/>
      <c r="K83" s="1810"/>
      <c r="L83" s="1811"/>
      <c r="M83" s="9"/>
      <c r="N83" s="25" t="str">
        <f t="shared" si="51"/>
        <v>A</v>
      </c>
      <c r="O83" s="1616"/>
      <c r="P83" s="9"/>
      <c r="Q83" s="25" t="s">
        <v>10</v>
      </c>
      <c r="R83" s="31" t="str">
        <f>R80</f>
        <v>F FEUILLES DE MERINGUE | pâtisserie--ENTREMET| Auteur &gt; recette Béghin Say de Jean-Jacques Borne MOF 1994</v>
      </c>
      <c r="S83" s="32">
        <f>S80</f>
        <v>18</v>
      </c>
      <c r="T83" s="31" t="str">
        <f>T80</f>
        <v>desserts</v>
      </c>
      <c r="U83" s="33" t="str">
        <f>U80</f>
        <v>Recette mère ► MILLE-FEUILLE  aux fraises des bois</v>
      </c>
      <c r="V83" s="83" t="s">
        <v>92</v>
      </c>
      <c r="W83" s="84" t="s">
        <v>93</v>
      </c>
      <c r="X83" s="85" t="s">
        <v>94</v>
      </c>
      <c r="Y83" s="6577"/>
      <c r="Z83" s="6471"/>
      <c r="AA83" s="6606"/>
      <c r="AB83" s="6739"/>
      <c r="AC83" s="86" t="s">
        <v>95</v>
      </c>
      <c r="AD83" s="87" t="s">
        <v>96</v>
      </c>
      <c r="AE83" s="88">
        <v>1</v>
      </c>
      <c r="AF83" s="6608"/>
      <c r="AG83" s="6583"/>
      <c r="AH83" s="6583"/>
      <c r="AI83" s="6585"/>
      <c r="AJ83" s="6786"/>
      <c r="AK83" s="6120" t="str">
        <f t="shared" si="40"/>
        <v>►</v>
      </c>
      <c r="AL83" s="781" t="str">
        <f t="shared" si="20"/>
        <v>►</v>
      </c>
      <c r="AM83" s="5499" t="str">
        <f t="shared" si="21"/>
        <v/>
      </c>
      <c r="AN83" s="783" t="str">
        <f t="shared" si="22"/>
        <v/>
      </c>
      <c r="AO83" s="782" t="str">
        <f t="shared" si="23"/>
        <v/>
      </c>
      <c r="AP83" s="783" t="str">
        <f t="shared" si="24"/>
        <v/>
      </c>
      <c r="AQ83" s="2083" t="b">
        <f>AND(Q83="A",COUNTIF(BP16:BR63,TRIM(Z83))&gt;0)</f>
        <v>0</v>
      </c>
      <c r="AR83" s="797" t="str">
        <f>IF(AL83&lt;&gt;"A","",IFERROR(IFERROR(_xlfn.XLOOKUP(TRIM(SUBSTITUTE(Z83,CHAR(160)," ")),BP16:BP63,BS16:BS63),IFERROR(_xlfn.XLOOKUP(TRIM(SUBSTITUTE(Z83,CHAR(160)," ")),BQ16:BQ63,BS16:BS63),_xlfn.XLOOKUP(TRIM(SUBSTITUTE(Z83,CHAR(160)," ")),BR16:BR63,BS16:BS63)))*Y83*IF(ISBLANK(V83),1,V83),0))</f>
        <v/>
      </c>
      <c r="AS83" s="784" t="str">
        <f t="shared" si="25"/>
        <v/>
      </c>
      <c r="AT83" s="1315" t="str">
        <f t="shared" si="26"/>
        <v/>
      </c>
      <c r="AU83" s="785">
        <f t="shared" si="27"/>
        <v>0</v>
      </c>
      <c r="AV83" s="785">
        <f t="shared" si="28"/>
        <v>0</v>
      </c>
      <c r="AW83" s="786">
        <f>IF(AK83="A",AY10,0)</f>
        <v>0</v>
      </c>
      <c r="AX83" s="5495" t="str">
        <f>IF(IFERROR(SEARCH("Adresse PC",TRIM(W83)),0)&gt;0,"▼ receta siguiente",IF(AK83="A",IF(AZ10&lt;&gt;"",AZ10&amp;" - ou.or.o ❾ + or - &gt;",""),""))</f>
        <v/>
      </c>
      <c r="AY83" s="1316"/>
      <c r="AZ83" s="787"/>
      <c r="BA83" s="788" t="str">
        <f>IF(AK83="A",IF(UPPER(TRIM(SUBSTITUTE(AS83,CHAR(160),"")))="KG",N(AR83)*N(BN83),0),"")</f>
        <v/>
      </c>
      <c r="BB83" s="789" t="str">
        <f>IF(AK83="A",IF(AQ83,IF(AND(AW83&lt;&gt;"",N(AW83)&gt;0),IFERROR(IFERROR(_xlfn.XLOOKUP(AP83,BP10:BP57,BT10:BT57),IFERROR(_xlfn.XLOOKUP(AP83,BQ10:BQ57,BT10:BT57),_xlfn.XLOOKUP(AP83,BR10:BR57,BT10:BT57,""))),""),""),""),"")</f>
        <v/>
      </c>
      <c r="BC83" s="811" cm="1">
        <f t="array" ref="BC83">IF(NOT(AQ83),0,IF(OR(BA83="",N(BA83)&lt;=0.000000001),"",IF(OR(AU83="",N(AU83)&lt;=0.000000001),0,IF(ISNUMBER(BA83),IFERROR(_xlfn.LET(_xlpm.ai_test,TRIM(AP83),_xlpm.r,IFERROR(_xlfn.XLOOKUP(_xlpm.ai_test,BP16:BP63,ROW(BP16:BP63),0,1),IFERROR(_xlfn.XLOOKUP(_xlpm.ai_test,BQ16:BQ63,ROW(BQ16:BQ63),0,1),_xlfn.XLOOKUP(_xlpm.ai_test,BR16:BR63,ROW(BR16:BR63),0,1))),_xlpm.p,_xlpm.r-MIN(ROW(BP16:BP63))+1,_xlpm.f,INDEX(BS16:BS63,_xlpm.p),_xlpm.u,INDEX(BT16:BT63,_xlpm.p),_xlpm.s,INDEX(BV16:BV63,_xlpm.p),_xlpm.q,N(BA83)/_xlpm.f,IF(_xlpm.q&gt;=_xlpm.s,ROUND(_xlpm.q,1)&amp;" "&amp;_xlpm.ai_test&amp;" = "&amp;ROUND(_xlpm.q*_xlpm.f,1)&amp;" "&amp;_xlpm.u,ROUND(_xlpm.q,1)&amp;" "&amp;_xlpm.ai_test)),""),""))))</f>
        <v>0</v>
      </c>
      <c r="BD83" s="801"/>
      <c r="BE83" s="788" t="str">
        <f t="shared" si="30"/>
        <v/>
      </c>
      <c r="BF83" s="789" t="str">
        <f t="shared" si="44"/>
        <v/>
      </c>
      <c r="BG83" s="790">
        <f t="shared" si="45"/>
        <v>0</v>
      </c>
      <c r="BH83" s="791" t="str">
        <f t="shared" si="46"/>
        <v/>
      </c>
      <c r="BI83" s="792">
        <v>1.5</v>
      </c>
      <c r="BJ83" s="793">
        <f t="shared" si="47"/>
        <v>0</v>
      </c>
      <c r="BK83" s="794" t="str">
        <f t="shared" si="38"/>
        <v/>
      </c>
      <c r="BL83" s="227" t="s">
        <v>21</v>
      </c>
      <c r="BM83" s="773">
        <f t="shared" si="35"/>
        <v>0</v>
      </c>
      <c r="BN83" s="774">
        <f t="shared" si="36"/>
        <v>0</v>
      </c>
      <c r="BP83" s="6848" t="s">
        <v>1764</v>
      </c>
      <c r="BQ83" s="6849"/>
      <c r="BR83" s="6849"/>
      <c r="BS83" s="6849"/>
      <c r="BT83" s="6849"/>
      <c r="BU83" s="6849"/>
      <c r="BV83" s="6849"/>
      <c r="BW83" s="6849"/>
      <c r="BX83" s="6849"/>
      <c r="BY83" s="6849"/>
      <c r="BZ83" s="6849"/>
      <c r="CA83" s="6849"/>
      <c r="CB83" s="6850"/>
      <c r="CC83"/>
      <c r="CD83" s="781" t="str">
        <f t="shared" si="50"/>
        <v>►</v>
      </c>
      <c r="CE83" s="350"/>
      <c r="CF83" s="350"/>
      <c r="CG83" s="350"/>
      <c r="CH83" s="350"/>
      <c r="CI83" s="350"/>
      <c r="CJ83" s="719"/>
      <c r="CK83"/>
      <c r="CL83"/>
      <c r="CM83"/>
      <c r="CN83"/>
      <c r="CO83"/>
      <c r="CP83"/>
      <c r="CQ83"/>
      <c r="CS83"/>
      <c r="CT83"/>
      <c r="CU83"/>
      <c r="CV83"/>
      <c r="CW83"/>
      <c r="CX83"/>
      <c r="CY83"/>
      <c r="DA83"/>
      <c r="DB83"/>
      <c r="DC83"/>
      <c r="DD83"/>
      <c r="DE83"/>
      <c r="DF83"/>
      <c r="DG83"/>
      <c r="DI83" s="3">
        <v>1</v>
      </c>
    </row>
    <row r="84" spans="1:113" s="627" customFormat="1" ht="21" customHeight="1">
      <c r="A84" s="701" t="s">
        <v>21</v>
      </c>
      <c r="B84" s="2265" t="str" cm="1">
        <f t="array" ref="B84">SUMPRODUCT(--(D84:J84&lt;&gt;""), LEN(TRIM(SUBSTITUTE(D84:J84, CHAR(160), "")))) &amp; " Car."</f>
        <v>0 Car.</v>
      </c>
      <c r="C84" s="1376" t="str">
        <f>IF(ISBLANK(D84),"",LARGE(C13:C83,1)+1)</f>
        <v/>
      </c>
      <c r="D84" s="1833"/>
      <c r="E84" s="1810"/>
      <c r="F84" s="1810"/>
      <c r="G84" s="1810"/>
      <c r="H84" s="1810"/>
      <c r="I84" s="1810"/>
      <c r="J84" s="1810"/>
      <c r="K84" s="1810"/>
      <c r="L84" s="1811"/>
      <c r="M84" s="9"/>
      <c r="N84" s="25" t="str">
        <f t="shared" si="51"/>
        <v>A</v>
      </c>
      <c r="O84" s="1616"/>
      <c r="P84" s="9"/>
      <c r="Q84" s="25" t="s">
        <v>10</v>
      </c>
      <c r="R84" s="31" t="str">
        <f>R80</f>
        <v>F FEUILLES DE MERINGUE | pâtisserie--ENTREMET| Auteur &gt; recette Béghin Say de Jean-Jacques Borne MOF 1994</v>
      </c>
      <c r="S84" s="32">
        <f>S80</f>
        <v>18</v>
      </c>
      <c r="T84" s="31" t="str">
        <f>T80</f>
        <v>desserts</v>
      </c>
      <c r="U84" s="33" t="str">
        <f>U80</f>
        <v>Recette mère ► MILLE-FEUILLE  aux fraises des bois</v>
      </c>
      <c r="V84" s="89"/>
      <c r="W84" s="90"/>
      <c r="X84" s="91" t="str">
        <f t="shared" ref="X84:X89" si="55">IF(OR(ISTEXT(V84), V84&lt;=0, Y84&lt;=0), "", "de")</f>
        <v/>
      </c>
      <c r="Y84" s="92">
        <v>100</v>
      </c>
      <c r="Z84" s="104" t="s">
        <v>100</v>
      </c>
      <c r="AA84" s="130">
        <v>1</v>
      </c>
      <c r="AB84" s="1812" t="str">
        <f>ROWS(AB84:AB84)&amp;" ►"</f>
        <v>1 ►</v>
      </c>
      <c r="AC84" s="1580" t="s">
        <v>3061</v>
      </c>
      <c r="AD84" s="95">
        <f>IF(AF90=0,0,(AF84/AF90)*AE83*1000)</f>
        <v>303.030303030303</v>
      </c>
      <c r="AE84" s="96">
        <f>IF(AF90=0, 0, (V84*AA84)/(AF90*AE83))</f>
        <v>0</v>
      </c>
      <c r="AF84" s="97" cm="1">
        <f t="array" ref="AF84">IFERROR(_xlfn.XLOOKUP(UPPER(TRIM(Z84)),UPPER(TRIM(V91:AJ91)),V92:AJ92,_xlfn.XLOOKUP(UPPER(TRIM(Z84)),UPPER(TRIM(V93:AJ93)),V94:AJ94,0))*Y84*IF(V84&gt;0,V84,1),0)</f>
        <v>0.1</v>
      </c>
      <c r="AG84" s="98">
        <f>IF(AI79&lt;&gt;0,V84*AA84*AA79,0)</f>
        <v>0</v>
      </c>
      <c r="AH84" s="1834">
        <f>W84</f>
        <v>0</v>
      </c>
      <c r="AI84" s="99">
        <f>IF(OR(ISBLANK(AI79),AI79=0),0,AF84*AA84*AA79)</f>
        <v>0.2</v>
      </c>
      <c r="AJ84" s="100" t="str">
        <f>IF(Z84="","",IF(COUNTIF(AC91:AJ91,SUBSTITUTE(TRIM(Z84)," (s)",""))+COUNTIF(AC93:AJ93,SUBSTITUTE(TRIM(Z84)," (s)",""))&gt;0,IF(ROUND(AI84,3)&gt;=1,ROUND(AI84,3)&amp;" L",MAX(1,ROUND(AI84*100,0))&amp;" cl"),IF(COUNTIF(V91:AA91,SUBSTITUTE(TRIM(Z84)," (s)",""))+COUNTIF(V93:AA93,SUBSTITUTE(TRIM(Z84)," (s)",""))&gt;0,IF(ROUND(AI84,3)&gt;=1,ROUND(AI84,3)&amp;" Kg",MAX(1,ROUND(AI84*1000,0))&amp;" g"),"")))</f>
        <v>200 g</v>
      </c>
      <c r="AK84" s="6120" t="str">
        <f t="shared" si="40"/>
        <v>A</v>
      </c>
      <c r="AL84" s="781" t="str">
        <f t="shared" si="20"/>
        <v>A</v>
      </c>
      <c r="AM84" s="5498" t="str">
        <f t="shared" si="21"/>
        <v>F FEUILLES DE MERINGUE | pâtisserie--ENTREMET| Auteur &gt; recette Béghin Say de Jean-Jacques Borne MOF 1994</v>
      </c>
      <c r="AN84" s="783">
        <f t="shared" si="22"/>
        <v>18</v>
      </c>
      <c r="AO84" s="782" t="str">
        <f t="shared" si="23"/>
        <v>desserts</v>
      </c>
      <c r="AP84" s="783" t="str">
        <f t="shared" si="24"/>
        <v>g</v>
      </c>
      <c r="AQ84" s="2083" t="b">
        <f>AND(Q84="A",COUNTIF(BP16:BR63,TRIM(Z84))&gt;0)</f>
        <v>1</v>
      </c>
      <c r="AR84" s="797">
        <f>IF(AL84&lt;&gt;"A","",IFERROR(IFERROR(_xlfn.XLOOKUP(TRIM(SUBSTITUTE(Z84,CHAR(160)," ")),BP16:BP63,BS16:BS63),IFERROR(_xlfn.XLOOKUP(TRIM(SUBSTITUTE(Z84,CHAR(160)," ")),BQ16:BQ63,BS16:BS63),_xlfn.XLOOKUP(TRIM(SUBSTITUTE(Z84,CHAR(160)," ")),BR16:BR63,BS16:BS63)))*Y84*IF(ISBLANK(V84),1,V84),0))</f>
        <v>0.1</v>
      </c>
      <c r="AS84" s="784" t="str">
        <f t="shared" si="25"/>
        <v>Kg</v>
      </c>
      <c r="AT84" s="1315" t="str">
        <f t="shared" si="26"/>
        <v>❾ Author reference &gt;</v>
      </c>
      <c r="AU84" s="785">
        <f t="shared" si="27"/>
        <v>18</v>
      </c>
      <c r="AV84" s="785" t="str">
        <f t="shared" si="28"/>
        <v>desserts</v>
      </c>
      <c r="AW84" s="798">
        <f>IF(AK84="A",AY10,0)</f>
        <v>20</v>
      </c>
      <c r="AX84" s="5496" t="str">
        <f>IF(IFERROR(SEARCH("Adresse PC",TRIM(W84)),0)&gt;0,"▼ receta siguiente",IF(AK84="A",IF(AZ10&lt;&gt;"",AZ10&amp;" - ou.or.o ❾ + or - &gt;",""),""))</f>
        <v>parts - ou.or.o ❾ + or - &gt;</v>
      </c>
      <c r="AY84" s="810"/>
      <c r="AZ84" s="810"/>
      <c r="BA84" s="799">
        <f t="shared" ref="BA84:BA147" si="56">IF(AK84="A",IF(UPPER(TRIM(SUBSTITUTE(AS84,CHAR(160),"")))="KG",N(AR84)*N(BN84),0),"")</f>
        <v>0.11111111111111112</v>
      </c>
      <c r="BB84" s="800" t="str">
        <f>IF(AK84="A",IF(AQ84,IF(AND(AW84&lt;&gt;"",N(AW84)&gt;0),IFERROR(IFERROR(_xlfn.XLOOKUP(AP84,BP10:BP57,BT10:BT57),IFERROR(_xlfn.XLOOKUP(AP84,BQ10:BQ57,BT10:BT57),_xlfn.XLOOKUP(AP84,BR10:BR57,BT10:BT57,""))),""),""),""),"")</f>
        <v>Kg</v>
      </c>
      <c r="BC84" s="813" t="str" cm="1">
        <f t="array" ref="BC84">IF(NOT(AQ84),0,IF(OR(BA84="",N(BA84)&lt;=0.000000001),"",IF(OR(AU84="",N(AU84)&lt;=0.000000001),0,IF(ISNUMBER(BA84),IFERROR(_xlfn.LET(_xlpm.ai_test,TRIM(AP84),_xlpm.r,IFERROR(_xlfn.XLOOKUP(_xlpm.ai_test,BP16:BP63,ROW(BP16:BP63),0,1),IFERROR(_xlfn.XLOOKUP(_xlpm.ai_test,BQ16:BQ63,ROW(BQ16:BQ63),0,1),_xlfn.XLOOKUP(_xlpm.ai_test,BR16:BR63,ROW(BR16:BR63),0,1))),_xlpm.p,_xlpm.r-MIN(ROW(BP16:BP63))+1,_xlpm.f,INDEX(BS16:BS63,_xlpm.p),_xlpm.u,INDEX(BT16:BT63,_xlpm.p),_xlpm.s,INDEX(BV16:BV63,_xlpm.p),_xlpm.q,N(BA84)/_xlpm.f,IF(_xlpm.q&gt;=_xlpm.s,ROUND(_xlpm.q,1)&amp;" "&amp;_xlpm.ai_test&amp;" = "&amp;ROUND(_xlpm.q*_xlpm.f,1)&amp;" "&amp;_xlpm.u,ROUND(_xlpm.q,1)&amp;" "&amp;_xlpm.ai_test)),""),""))))</f>
        <v>111.1 g</v>
      </c>
      <c r="BD84" s="801"/>
      <c r="BE84" s="799">
        <f t="shared" si="30"/>
        <v>0.11111111111111112</v>
      </c>
      <c r="BF84" s="800" t="str">
        <f t="shared" si="44"/>
        <v>Kg</v>
      </c>
      <c r="BG84" s="802">
        <f t="shared" si="45"/>
        <v>0</v>
      </c>
      <c r="BH84" s="803" t="str">
        <f t="shared" si="46"/>
        <v/>
      </c>
      <c r="BI84" s="792">
        <v>1.5</v>
      </c>
      <c r="BJ84" s="804">
        <f t="shared" si="47"/>
        <v>0.16666666666666669</v>
      </c>
      <c r="BK84" s="794" t="str">
        <f t="shared" si="38"/>
        <v>blancs d'œufs</v>
      </c>
      <c r="BL84" s="227" t="s">
        <v>21</v>
      </c>
      <c r="BM84" s="773">
        <f t="shared" si="35"/>
        <v>0</v>
      </c>
      <c r="BN84" s="774">
        <f t="shared" si="36"/>
        <v>1.1111111111111112</v>
      </c>
      <c r="BP84" s="6851"/>
      <c r="BQ84" s="6852"/>
      <c r="BR84" s="6852"/>
      <c r="BS84" s="6852"/>
      <c r="BT84" s="6852"/>
      <c r="BU84" s="6852"/>
      <c r="BV84" s="6852"/>
      <c r="BW84" s="6852"/>
      <c r="BX84" s="6852"/>
      <c r="BY84" s="6852"/>
      <c r="BZ84" s="6852"/>
      <c r="CA84" s="6852"/>
      <c r="CB84" s="6853"/>
      <c r="CC84"/>
      <c r="CD84" s="781" t="str">
        <f t="shared" si="50"/>
        <v>A</v>
      </c>
      <c r="CE84" s="350"/>
      <c r="CF84" s="350"/>
      <c r="CG84" s="350"/>
      <c r="CH84" s="350"/>
      <c r="CI84" s="350"/>
      <c r="CJ84" s="719"/>
      <c r="CK84"/>
      <c r="CL84"/>
      <c r="CM84"/>
      <c r="CN84"/>
      <c r="CO84"/>
      <c r="CP84"/>
      <c r="CQ84"/>
      <c r="CS84"/>
      <c r="CT84"/>
      <c r="CU84"/>
      <c r="CV84"/>
      <c r="CW84"/>
      <c r="CX84"/>
      <c r="CY84"/>
      <c r="DA84"/>
      <c r="DB84"/>
      <c r="DC84"/>
      <c r="DD84"/>
      <c r="DE84"/>
      <c r="DF84"/>
      <c r="DG84"/>
      <c r="DI84" s="3">
        <v>1</v>
      </c>
    </row>
    <row r="85" spans="1:113" s="627" customFormat="1" ht="21" customHeight="1">
      <c r="A85" s="701" t="s">
        <v>21</v>
      </c>
      <c r="B85" s="2265" t="str" cm="1">
        <f t="array" ref="B85">SUMPRODUCT(--(D85:J85&lt;&gt;""), LEN(TRIM(SUBSTITUTE(D85:J85, CHAR(160), "")))) &amp; " Car."</f>
        <v>0 Car.</v>
      </c>
      <c r="C85" s="1376" t="str">
        <f>IF(ISBLANK(D85),"",LARGE(C13:C84,1)+1)</f>
        <v/>
      </c>
      <c r="D85" s="1833"/>
      <c r="E85" s="1810"/>
      <c r="F85" s="1810"/>
      <c r="G85" s="1810"/>
      <c r="H85" s="1810"/>
      <c r="I85" s="1810"/>
      <c r="J85" s="1810"/>
      <c r="K85" s="1810"/>
      <c r="L85" s="1811"/>
      <c r="M85" s="9"/>
      <c r="N85" s="103" t="str">
        <f t="shared" si="51"/>
        <v>A</v>
      </c>
      <c r="O85" s="1616"/>
      <c r="P85" s="9"/>
      <c r="Q85" s="103" t="str">
        <f>IF(AC85&lt;&gt;"","A","►")</f>
        <v>A</v>
      </c>
      <c r="R85" s="31" t="str">
        <f>R80</f>
        <v>F FEUILLES DE MERINGUE | pâtisserie--ENTREMET| Auteur &gt; recette Béghin Say de Jean-Jacques Borne MOF 1994</v>
      </c>
      <c r="S85" s="32">
        <f>S80</f>
        <v>18</v>
      </c>
      <c r="T85" s="31" t="str">
        <f>T80</f>
        <v>desserts</v>
      </c>
      <c r="U85" s="33" t="str">
        <f>U80</f>
        <v>Recette mère ► MILLE-FEUILLE  aux fraises des bois</v>
      </c>
      <c r="V85" s="89"/>
      <c r="W85" s="108"/>
      <c r="X85" s="91" t="str">
        <f t="shared" si="55"/>
        <v/>
      </c>
      <c r="Y85" s="92">
        <v>100</v>
      </c>
      <c r="Z85" s="104" t="s">
        <v>100</v>
      </c>
      <c r="AA85" s="130">
        <v>1</v>
      </c>
      <c r="AB85" s="1813" t="str">
        <f>ROWS(AB84:AB85)&amp;" ►"</f>
        <v>2 ►</v>
      </c>
      <c r="AC85" s="1580" t="s">
        <v>3062</v>
      </c>
      <c r="AD85" s="95">
        <f>IF(AF90=0,0,(AF85/AF90)*AE83*1000)</f>
        <v>303.030303030303</v>
      </c>
      <c r="AE85" s="105">
        <f>IF(AF90=0, 0, (V85*AA85)/(AF90*AE83))</f>
        <v>0</v>
      </c>
      <c r="AF85" s="97" cm="1">
        <f t="array" ref="AF85">IFERROR(_xlfn.XLOOKUP(UPPER(TRIM(Z85)),UPPER(TRIM(V91:AJ91)),V92:AJ92,_xlfn.XLOOKUP(UPPER(TRIM(Z85)),UPPER(TRIM(V93:AJ93)),V94:AJ94,0))*Y85*IF(V85&gt;0,V85,1),0)</f>
        <v>0.1</v>
      </c>
      <c r="AG85" s="110">
        <f>IF(AI79&lt;&gt;0,V85*AA85*AA79,0)</f>
        <v>0</v>
      </c>
      <c r="AH85" s="1748">
        <f t="shared" ref="AH85:AH89" si="57">W85</f>
        <v>0</v>
      </c>
      <c r="AI85" s="99">
        <f>IF(OR(ISBLANK(AI79),AI79=0),0,AF85*AA85*AA79)</f>
        <v>0.2</v>
      </c>
      <c r="AJ85" s="111" t="str">
        <f>IF(Z85="","",IF(COUNTIF(AC91:AJ91,SUBSTITUTE(TRIM(Z85)," (s)",""))+COUNTIF(AC93:AJ93,SUBSTITUTE(TRIM(Z85)," (s)",""))&gt;0,IF(ROUND(AI85,3)&gt;=1,ROUND(AI85,3)&amp;" L",MAX(1,ROUND(AI85*100,0))&amp;" cl"),IF(COUNTIF(V91:AA91,SUBSTITUTE(TRIM(Z85)," (s)",""))+COUNTIF(V93:AA93,SUBSTITUTE(TRIM(Z85)," (s)",""))&gt;0,IF(ROUND(AI85,3)&gt;=1,ROUND(AI85,3)&amp;" Kg",MAX(1,ROUND(AI85*1000,0))&amp;" g"),"")))</f>
        <v>200 g</v>
      </c>
      <c r="AK85" s="6120" t="str">
        <f t="shared" si="40"/>
        <v>A</v>
      </c>
      <c r="AL85" s="781" t="str">
        <f t="shared" si="20"/>
        <v>A</v>
      </c>
      <c r="AM85" s="5499" t="str">
        <f t="shared" si="21"/>
        <v>F FEUILLES DE MERINGUE | pâtisserie--ENTREMET| Auteur &gt; recette Béghin Say de Jean-Jacques Borne MOF 1994</v>
      </c>
      <c r="AN85" s="783">
        <f t="shared" si="22"/>
        <v>18</v>
      </c>
      <c r="AO85" s="782" t="str">
        <f t="shared" si="23"/>
        <v>desserts</v>
      </c>
      <c r="AP85" s="783" t="str">
        <f t="shared" si="24"/>
        <v>g</v>
      </c>
      <c r="AQ85" s="2083" t="b">
        <f>AND(Q85="A",COUNTIF(BP16:BR63,TRIM(Z85))&gt;0)</f>
        <v>1</v>
      </c>
      <c r="AR85" s="797">
        <f>IF(AL85&lt;&gt;"A","",IFERROR(IFERROR(_xlfn.XLOOKUP(TRIM(SUBSTITUTE(Z85,CHAR(160)," ")),BP16:BP63,BS16:BS63),IFERROR(_xlfn.XLOOKUP(TRIM(SUBSTITUTE(Z85,CHAR(160)," ")),BQ16:BQ63,BS16:BS63),_xlfn.XLOOKUP(TRIM(SUBSTITUTE(Z85,CHAR(160)," ")),BR16:BR63,BS16:BS63)))*Y85*IF(ISBLANK(V85),1,V85),0))</f>
        <v>0.1</v>
      </c>
      <c r="AS85" s="784" t="str">
        <f t="shared" si="25"/>
        <v>Kg</v>
      </c>
      <c r="AT85" s="1315" t="str">
        <f t="shared" si="26"/>
        <v>❾ Author reference &gt;</v>
      </c>
      <c r="AU85" s="785">
        <f t="shared" si="27"/>
        <v>18</v>
      </c>
      <c r="AV85" s="785" t="str">
        <f t="shared" si="28"/>
        <v>desserts</v>
      </c>
      <c r="AW85" s="786">
        <f>IF(AK85="A",AY10,0)</f>
        <v>20</v>
      </c>
      <c r="AX85" s="5495" t="str">
        <f>IF(IFERROR(SEARCH("Adresse PC",TRIM(W85)),0)&gt;0,"▼ receta siguiente",IF(AK85="A",IF(AZ10&lt;&gt;"",AZ10&amp;" - ou.or.o ❾ + or - &gt;",""),""))</f>
        <v>parts - ou.or.o ❾ + or - &gt;</v>
      </c>
      <c r="AY85" s="810"/>
      <c r="AZ85" s="810"/>
      <c r="BA85" s="788">
        <f t="shared" si="56"/>
        <v>0.11111111111111112</v>
      </c>
      <c r="BB85" s="789" t="str">
        <f>IF(AK85="A",IF(AQ85,IF(AND(AW85&lt;&gt;"",N(AW85)&gt;0),IFERROR(IFERROR(_xlfn.XLOOKUP(AP85,BP10:BP57,BT10:BT57),IFERROR(_xlfn.XLOOKUP(AP85,BQ10:BQ57,BT10:BT57),_xlfn.XLOOKUP(AP85,BR10:BR57,BT10:BT57,""))),""),""),""),"")</f>
        <v>Kg</v>
      </c>
      <c r="BC85" s="811" t="str" cm="1">
        <f t="array" ref="BC85">IF(NOT(AQ85),0,IF(OR(BA85="",N(BA85)&lt;=0.000000001),"",IF(OR(AU85="",N(AU85)&lt;=0.000000001),0,IF(ISNUMBER(BA85),IFERROR(_xlfn.LET(_xlpm.ai_test,TRIM(AP85),_xlpm.r,IFERROR(_xlfn.XLOOKUP(_xlpm.ai_test,BP16:BP63,ROW(BP16:BP63),0,1),IFERROR(_xlfn.XLOOKUP(_xlpm.ai_test,BQ16:BQ63,ROW(BQ16:BQ63),0,1),_xlfn.XLOOKUP(_xlpm.ai_test,BR16:BR63,ROW(BR16:BR63),0,1))),_xlpm.p,_xlpm.r-MIN(ROW(BP16:BP63))+1,_xlpm.f,INDEX(BS16:BS63,_xlpm.p),_xlpm.u,INDEX(BT16:BT63,_xlpm.p),_xlpm.s,INDEX(BV16:BV63,_xlpm.p),_xlpm.q,N(BA85)/_xlpm.f,IF(_xlpm.q&gt;=_xlpm.s,ROUND(_xlpm.q,1)&amp;" "&amp;_xlpm.ai_test&amp;" = "&amp;ROUND(_xlpm.q*_xlpm.f,1)&amp;" "&amp;_xlpm.u,ROUND(_xlpm.q,1)&amp;" "&amp;_xlpm.ai_test)),""),""))))</f>
        <v>111.1 g</v>
      </c>
      <c r="BD85" s="801"/>
      <c r="BE85" s="788">
        <f t="shared" si="30"/>
        <v>0.11111111111111112</v>
      </c>
      <c r="BF85" s="789" t="str">
        <f t="shared" si="44"/>
        <v>Kg</v>
      </c>
      <c r="BG85" s="790">
        <f t="shared" si="45"/>
        <v>0</v>
      </c>
      <c r="BH85" s="791" t="str">
        <f t="shared" si="46"/>
        <v/>
      </c>
      <c r="BI85" s="792">
        <v>1.5</v>
      </c>
      <c r="BJ85" s="793">
        <f t="shared" si="47"/>
        <v>0.16666666666666669</v>
      </c>
      <c r="BK85" s="794" t="str">
        <f t="shared" si="38"/>
        <v>sucre cristalisé</v>
      </c>
      <c r="BL85" s="227" t="s">
        <v>21</v>
      </c>
      <c r="BM85" s="773">
        <f t="shared" si="35"/>
        <v>0</v>
      </c>
      <c r="BN85" s="774">
        <f t="shared" si="36"/>
        <v>1.1111111111111112</v>
      </c>
      <c r="BP85" s="627" t="s">
        <v>2399</v>
      </c>
      <c r="CC85"/>
      <c r="CD85" s="781" t="str">
        <f t="shared" si="50"/>
        <v>A</v>
      </c>
      <c r="CE85" s="867" t="s">
        <v>1765</v>
      </c>
      <c r="CF85" s="268"/>
      <c r="CG85" s="268"/>
      <c r="CH85" s="268"/>
      <c r="CI85" s="268"/>
      <c r="CJ85" s="719"/>
      <c r="CK85"/>
      <c r="CL85"/>
      <c r="CM85"/>
      <c r="CN85"/>
      <c r="CO85"/>
      <c r="CP85"/>
      <c r="CQ85"/>
      <c r="CS85"/>
      <c r="CT85"/>
      <c r="CU85"/>
      <c r="CV85"/>
      <c r="CW85"/>
      <c r="CX85"/>
      <c r="CY85"/>
      <c r="DA85"/>
      <c r="DB85"/>
      <c r="DC85"/>
      <c r="DD85"/>
      <c r="DE85"/>
      <c r="DF85"/>
      <c r="DG85"/>
      <c r="DI85" s="3">
        <v>1</v>
      </c>
    </row>
    <row r="86" spans="1:113" s="627" customFormat="1" ht="21" customHeight="1">
      <c r="A86" s="701" t="s">
        <v>21</v>
      </c>
      <c r="B86" s="2265" t="str" cm="1">
        <f t="array" ref="B86">SUMPRODUCT(--(D86:J86&lt;&gt;""), LEN(TRIM(SUBSTITUTE(D86:J86, CHAR(160), "")))) &amp; " Car."</f>
        <v>0 Car.</v>
      </c>
      <c r="C86" s="1376" t="str">
        <f>IF(ISBLANK(D86),"",LARGE(C13:C85,1)+1)</f>
        <v/>
      </c>
      <c r="D86" s="1833"/>
      <c r="E86" s="1810"/>
      <c r="F86" s="1810"/>
      <c r="G86" s="1810"/>
      <c r="H86" s="1810"/>
      <c r="I86" s="1810"/>
      <c r="J86" s="1810"/>
      <c r="K86" s="1810"/>
      <c r="L86" s="1811"/>
      <c r="M86" s="9"/>
      <c r="N86" s="103" t="str">
        <f t="shared" si="51"/>
        <v>A</v>
      </c>
      <c r="O86" s="1616"/>
      <c r="P86" s="9"/>
      <c r="Q86" s="103" t="str">
        <f t="shared" ref="Q86:Q88" si="58">IF(AC86&lt;&gt;"","A","►")</f>
        <v>A</v>
      </c>
      <c r="R86" s="31" t="str">
        <f>R80</f>
        <v>F FEUILLES DE MERINGUE | pâtisserie--ENTREMET| Auteur &gt; recette Béghin Say de Jean-Jacques Borne MOF 1994</v>
      </c>
      <c r="S86" s="32">
        <f>S80</f>
        <v>18</v>
      </c>
      <c r="T86" s="31" t="str">
        <f>T80</f>
        <v>desserts</v>
      </c>
      <c r="U86" s="33" t="str">
        <f>U80</f>
        <v>Recette mère ► MILLE-FEUILLE  aux fraises des bois</v>
      </c>
      <c r="V86" s="89"/>
      <c r="W86" s="108"/>
      <c r="X86" s="91" t="str">
        <f t="shared" si="55"/>
        <v/>
      </c>
      <c r="Y86" s="92">
        <v>100</v>
      </c>
      <c r="Z86" s="104" t="s">
        <v>100</v>
      </c>
      <c r="AA86" s="130">
        <v>1</v>
      </c>
      <c r="AB86" s="1813" t="str">
        <f>ROWS(AB84:AB86)&amp;" ►"</f>
        <v>3 ►</v>
      </c>
      <c r="AC86" s="1580" t="s">
        <v>3063</v>
      </c>
      <c r="AD86" s="95">
        <f>IF(AF90=0,0,(AF86/AF90)*AE83*1000)</f>
        <v>303.030303030303</v>
      </c>
      <c r="AE86" s="105">
        <f>IF(AF90=0, 0, (V86*AA86)/(AF90*AE83))</f>
        <v>0</v>
      </c>
      <c r="AF86" s="97" cm="1">
        <f t="array" ref="AF86">IFERROR(_xlfn.XLOOKUP(UPPER(TRIM(Z86)),UPPER(TRIM(V91:AJ91)),V92:AJ92,_xlfn.XLOOKUP(UPPER(TRIM(Z86)),UPPER(TRIM(V93:AJ93)),V94:AJ94,0))*Y86*IF(V86&gt;0,V86,1),0)</f>
        <v>0.1</v>
      </c>
      <c r="AG86" s="106">
        <f>IF(AI79&lt;&gt;0,V86*AA86*AA79,0)</f>
        <v>0</v>
      </c>
      <c r="AH86" s="1747">
        <f t="shared" si="57"/>
        <v>0</v>
      </c>
      <c r="AI86" s="99">
        <f>IF(OR(ISBLANK(AI79),AI79=0),0,AF86*AA86*AA79)</f>
        <v>0.2</v>
      </c>
      <c r="AJ86" s="107" t="str">
        <f>IF(Z86="","",IF(COUNTIF(AC91:AJ91,SUBSTITUTE(TRIM(Z86)," (s)",""))+COUNTIF(AC93:AJ93,SUBSTITUTE(TRIM(Z86)," (s)",""))&gt;0,IF(ROUND(AI86,3)&gt;=1,ROUND(AI86,3)&amp;" L",MAX(1,ROUND(AI86*100,0))&amp;" cl"),IF(COUNTIF(V91:AA91,SUBSTITUTE(TRIM(Z86)," (s)",""))+COUNTIF(V93:AA93,SUBSTITUTE(TRIM(Z86)," (s)",""))&gt;0,IF(ROUND(AI86,3)&gt;=1,ROUND(AI86,3)&amp;" Kg",MAX(1,ROUND(AI86*1000,0))&amp;" g"),"")))</f>
        <v>200 g</v>
      </c>
      <c r="AK86" s="6120" t="str">
        <f t="shared" si="40"/>
        <v>A</v>
      </c>
      <c r="AL86" s="781" t="str">
        <f t="shared" si="20"/>
        <v>A</v>
      </c>
      <c r="AM86" s="5498" t="str">
        <f t="shared" si="21"/>
        <v>F FEUILLES DE MERINGUE | pâtisserie--ENTREMET| Auteur &gt; recette Béghin Say de Jean-Jacques Borne MOF 1994</v>
      </c>
      <c r="AN86" s="783">
        <f t="shared" si="22"/>
        <v>18</v>
      </c>
      <c r="AO86" s="782" t="str">
        <f t="shared" si="23"/>
        <v>desserts</v>
      </c>
      <c r="AP86" s="783" t="str">
        <f t="shared" si="24"/>
        <v>g</v>
      </c>
      <c r="AQ86" s="2083" t="b">
        <f>AND(Q86="A",COUNTIF(BP16:BR63,TRIM(Z86))&gt;0)</f>
        <v>1</v>
      </c>
      <c r="AR86" s="797">
        <f>IF(AL86&lt;&gt;"A","",IFERROR(IFERROR(_xlfn.XLOOKUP(TRIM(SUBSTITUTE(Z86,CHAR(160)," ")),BP16:BP63,BS16:BS63),IFERROR(_xlfn.XLOOKUP(TRIM(SUBSTITUTE(Z86,CHAR(160)," ")),BQ16:BQ63,BS16:BS63),_xlfn.XLOOKUP(TRIM(SUBSTITUTE(Z86,CHAR(160)," ")),BR16:BR63,BS16:BS63)))*Y86*IF(ISBLANK(V86),1,V86),0))</f>
        <v>0.1</v>
      </c>
      <c r="AS86" s="784" t="str">
        <f t="shared" si="25"/>
        <v>Kg</v>
      </c>
      <c r="AT86" s="1315" t="str">
        <f t="shared" si="26"/>
        <v>❾ Author reference &gt;</v>
      </c>
      <c r="AU86" s="785">
        <f t="shared" si="27"/>
        <v>18</v>
      </c>
      <c r="AV86" s="785" t="str">
        <f t="shared" si="28"/>
        <v>desserts</v>
      </c>
      <c r="AW86" s="798">
        <f>IF(AK86="A",AY10,0)</f>
        <v>20</v>
      </c>
      <c r="AX86" s="5496" t="str">
        <f>IF(IFERROR(SEARCH("Adresse PC",TRIM(W86)),0)&gt;0,"▼ receta siguiente",IF(AK86="A",IF(AZ10&lt;&gt;"",AZ10&amp;" - ou.or.o ❾ + or - &gt;",""),""))</f>
        <v>parts - ou.or.o ❾ + or - &gt;</v>
      </c>
      <c r="AY86" s="1316"/>
      <c r="AZ86" s="787"/>
      <c r="BA86" s="799">
        <f t="shared" si="56"/>
        <v>0.11111111111111112</v>
      </c>
      <c r="BB86" s="800" t="str">
        <f>IF(AK86="A",IF(AQ86,IF(AND(AW86&lt;&gt;"",N(AW86)&gt;0),IFERROR(IFERROR(_xlfn.XLOOKUP(AP86,BP10:BP57,BT10:BT57),IFERROR(_xlfn.XLOOKUP(AP86,BQ10:BQ57,BT10:BT57),_xlfn.XLOOKUP(AP86,BR10:BR57,BT10:BT57,""))),""),""),""),"")</f>
        <v>Kg</v>
      </c>
      <c r="BC86" s="813" t="str" cm="1">
        <f t="array" ref="BC86">IF(NOT(AQ86),0,IF(OR(BA86="",N(BA86)&lt;=0.000000001),"",IF(OR(AU86="",N(AU86)&lt;=0.000000001),0,IF(ISNUMBER(BA86),IFERROR(_xlfn.LET(_xlpm.ai_test,TRIM(AP86),_xlpm.r,IFERROR(_xlfn.XLOOKUP(_xlpm.ai_test,BP16:BP63,ROW(BP16:BP63),0,1),IFERROR(_xlfn.XLOOKUP(_xlpm.ai_test,BQ16:BQ63,ROW(BQ16:BQ63),0,1),_xlfn.XLOOKUP(_xlpm.ai_test,BR16:BR63,ROW(BR16:BR63),0,1))),_xlpm.p,_xlpm.r-MIN(ROW(BP16:BP63))+1,_xlpm.f,INDEX(BS16:BS63,_xlpm.p),_xlpm.u,INDEX(BT16:BT63,_xlpm.p),_xlpm.s,INDEX(BV16:BV63,_xlpm.p),_xlpm.q,N(BA86)/_xlpm.f,IF(_xlpm.q&gt;=_xlpm.s,ROUND(_xlpm.q,1)&amp;" "&amp;_xlpm.ai_test&amp;" = "&amp;ROUND(_xlpm.q*_xlpm.f,1)&amp;" "&amp;_xlpm.u,ROUND(_xlpm.q,1)&amp;" "&amp;_xlpm.ai_test)),""),""))))</f>
        <v>111.1 g</v>
      </c>
      <c r="BD86" s="801"/>
      <c r="BE86" s="799">
        <f>IF(IFERROR(SEARCH("Adresse PC",TRIM(W86)),0)&gt;0,"▼next ricipe ",IF(BA86="","",IF(AK86="A",IF(ISBLANK(BD86),BA86,ROUND(BA86*(1-MIN(1,MAX(0,IF(BD86&gt;1,BD86/100,BD86)))),3)))))</f>
        <v>0.11111111111111112</v>
      </c>
      <c r="BF86" s="800" t="str">
        <f t="shared" si="44"/>
        <v>Kg</v>
      </c>
      <c r="BG86" s="802">
        <f t="shared" si="45"/>
        <v>0</v>
      </c>
      <c r="BH86" s="803" t="str">
        <f t="shared" si="46"/>
        <v/>
      </c>
      <c r="BI86" s="792">
        <v>1.5</v>
      </c>
      <c r="BJ86" s="804">
        <f t="shared" si="47"/>
        <v>0.16666666666666669</v>
      </c>
      <c r="BK86" s="794" t="str">
        <f t="shared" si="38"/>
        <v>sucre glace silice</v>
      </c>
      <c r="BL86" s="227" t="s">
        <v>21</v>
      </c>
      <c r="BM86" s="773">
        <f t="shared" si="35"/>
        <v>0</v>
      </c>
      <c r="BN86" s="774">
        <f t="shared" si="36"/>
        <v>1.1111111111111112</v>
      </c>
      <c r="BP86" s="422" t="s">
        <v>140</v>
      </c>
      <c r="BQ86" s="104" t="s">
        <v>100</v>
      </c>
      <c r="BR86" s="143" t="s">
        <v>1327</v>
      </c>
      <c r="BS86" s="118" t="s">
        <v>1320</v>
      </c>
      <c r="BT86" s="118" t="s">
        <v>1321</v>
      </c>
      <c r="BU86" s="118" t="s">
        <v>1322</v>
      </c>
      <c r="BV86" s="643" t="s">
        <v>0</v>
      </c>
      <c r="BW86" s="93" t="s">
        <v>97</v>
      </c>
      <c r="BX86" s="93" t="s">
        <v>144</v>
      </c>
      <c r="BY86" s="643" t="s">
        <v>145</v>
      </c>
      <c r="BZ86" s="109" t="s">
        <v>1323</v>
      </c>
      <c r="CA86" s="109" t="s">
        <v>1324</v>
      </c>
      <c r="CB86" s="109" t="s">
        <v>1325</v>
      </c>
      <c r="CC86"/>
      <c r="CD86" s="781" t="str">
        <f t="shared" si="50"/>
        <v>A</v>
      </c>
      <c r="CE86" s="868" t="s">
        <v>1766</v>
      </c>
      <c r="CF86" s="268"/>
      <c r="CG86" s="268"/>
      <c r="CH86" s="268"/>
      <c r="CI86" s="268"/>
      <c r="CJ86" s="719"/>
      <c r="CK86"/>
      <c r="CL86"/>
      <c r="CM86"/>
      <c r="CN86"/>
      <c r="CO86"/>
      <c r="CP86"/>
      <c r="CQ86"/>
      <c r="CS86"/>
      <c r="CT86"/>
      <c r="CU86"/>
      <c r="CV86"/>
      <c r="CW86"/>
      <c r="CX86"/>
      <c r="CY86"/>
      <c r="DA86"/>
      <c r="DB86"/>
      <c r="DC86"/>
      <c r="DD86"/>
      <c r="DE86"/>
      <c r="DF86"/>
      <c r="DG86"/>
      <c r="DI86" s="3">
        <v>1</v>
      </c>
    </row>
    <row r="87" spans="1:113" s="627" customFormat="1" ht="21" customHeight="1">
      <c r="A87" s="701" t="s">
        <v>21</v>
      </c>
      <c r="B87" s="2265" t="str" cm="1">
        <f t="array" ref="B87">SUMPRODUCT(--(D87:J87&lt;&gt;""), LEN(TRIM(SUBSTITUTE(D87:J87, CHAR(160), "")))) &amp; " Car."</f>
        <v>0 Car.</v>
      </c>
      <c r="C87" s="1376" t="str">
        <f>IF(ISBLANK(D87),"",LARGE(C13:C86,1)+1)</f>
        <v/>
      </c>
      <c r="D87" s="1833"/>
      <c r="E87" s="1810"/>
      <c r="F87" s="1810"/>
      <c r="G87" s="1810"/>
      <c r="H87" s="1810"/>
      <c r="I87" s="1810"/>
      <c r="J87" s="1810"/>
      <c r="K87" s="1810"/>
      <c r="L87" s="1811"/>
      <c r="M87" s="9"/>
      <c r="N87" s="103" t="str">
        <f t="shared" si="51"/>
        <v>A</v>
      </c>
      <c r="O87" s="6118" t="str">
        <f>R87</f>
        <v>F FEUILLES DE MERINGUE | pâtisserie--ENTREMET| Auteur &gt; recette Béghin Say de Jean-Jacques Borne MOF 1994</v>
      </c>
      <c r="P87" s="9"/>
      <c r="Q87" s="103" t="str">
        <f t="shared" si="58"/>
        <v>A</v>
      </c>
      <c r="R87" s="31" t="str">
        <f>R80</f>
        <v>F FEUILLES DE MERINGUE | pâtisserie--ENTREMET| Auteur &gt; recette Béghin Say de Jean-Jacques Borne MOF 1994</v>
      </c>
      <c r="S87" s="32">
        <f>S80</f>
        <v>18</v>
      </c>
      <c r="T87" s="31" t="str">
        <f>T80</f>
        <v>desserts</v>
      </c>
      <c r="U87" s="33" t="str">
        <f>U80</f>
        <v>Recette mère ► MILLE-FEUILLE  aux fraises des bois</v>
      </c>
      <c r="V87" s="89"/>
      <c r="W87" s="108"/>
      <c r="X87" s="91" t="str">
        <f t="shared" si="55"/>
        <v/>
      </c>
      <c r="Y87" s="92">
        <v>30</v>
      </c>
      <c r="Z87" s="104" t="s">
        <v>100</v>
      </c>
      <c r="AA87" s="130">
        <v>1</v>
      </c>
      <c r="AB87" s="1813" t="str">
        <f>ROWS(AB84:AB87)&amp;" ►"</f>
        <v>4 ►</v>
      </c>
      <c r="AC87" s="1580" t="s">
        <v>3064</v>
      </c>
      <c r="AD87" s="95">
        <f>IF(AF90=0,0,(AF87/AF90)*AE83*1000)</f>
        <v>90.909090909090878</v>
      </c>
      <c r="AE87" s="105">
        <f>IF(AF90=0, 0, (V87*AA87)/(AF90*AE83))</f>
        <v>0</v>
      </c>
      <c r="AF87" s="97" cm="1">
        <f t="array" ref="AF87">IFERROR(_xlfn.XLOOKUP(UPPER(TRIM(Z87)),UPPER(TRIM(V91:AJ91)),V92:AJ92,_xlfn.XLOOKUP(UPPER(TRIM(Z87)),UPPER(TRIM(V93:AJ93)),V94:AJ94,0))*Y87*IF(V87&gt;0,V87,1),0)</f>
        <v>0.03</v>
      </c>
      <c r="AG87" s="110">
        <f>IF(AI79&lt;&gt;0,V87*AA87*AA79,0)</f>
        <v>0</v>
      </c>
      <c r="AH87" s="1748">
        <f t="shared" si="57"/>
        <v>0</v>
      </c>
      <c r="AI87" s="99">
        <f>IF(OR(ISBLANK(AI79),AI79=0),0,AF87*AA87*AA79)</f>
        <v>0.06</v>
      </c>
      <c r="AJ87" s="111" t="str">
        <f>IF(Z87="","",IF(COUNTIF(AC91:AJ91,SUBSTITUTE(TRIM(Z87)," (s)",""))+COUNTIF(AC93:AJ93,SUBSTITUTE(TRIM(Z87)," (s)",""))&gt;0,IF(ROUND(AI87,3)&gt;=1,ROUND(AI87,3)&amp;" L",MAX(1,ROUND(AI87*100,0))&amp;" cl"),IF(COUNTIF(V91:AA91,SUBSTITUTE(TRIM(Z87)," (s)",""))+COUNTIF(V93:AA93,SUBSTITUTE(TRIM(Z87)," (s)",""))&gt;0,IF(ROUND(AI87,3)&gt;=1,ROUND(AI87,3)&amp;" Kg",MAX(1,ROUND(AI87*1000,0))&amp;" g"),"")))</f>
        <v>60 g</v>
      </c>
      <c r="AK87" s="6120" t="str">
        <f t="shared" si="40"/>
        <v>A</v>
      </c>
      <c r="AL87" s="781" t="str">
        <f t="shared" ref="AL87:AL150" si="59">IF(OR(AU87&gt;0,TRIM(AM87)="▼ recette suivante"),"A","►")</f>
        <v>A</v>
      </c>
      <c r="AM87" s="5499" t="str">
        <f>IF(IFERROR(SEARCH("Adresse PC",TRIM(SUBSTITUTE(W87,CHAR(160)," "))),0)&gt;0,"▼ recette suivante",IF(AK87="A",R87,""))</f>
        <v>F FEUILLES DE MERINGUE | pâtisserie--ENTREMET| Auteur &gt; recette Béghin Say de Jean-Jacques Borne MOF 1994</v>
      </c>
      <c r="AN87" s="783">
        <f>IF(AK87="A",S87,"")</f>
        <v>18</v>
      </c>
      <c r="AO87" s="782" t="str">
        <f>IF(AK87="A",T87,"")</f>
        <v>desserts</v>
      </c>
      <c r="AP87" s="783" t="str">
        <f>IF(AK87="A",Z87,"")</f>
        <v>g</v>
      </c>
      <c r="AQ87" s="2083" t="b">
        <f>AND(Q87="A",COUNTIF(BP16:BR63,TRIM(Z87))&gt;0)</f>
        <v>1</v>
      </c>
      <c r="AR87" s="797">
        <f>IF(AL87&lt;&gt;"A","",IFERROR(IFERROR(_xlfn.XLOOKUP(TRIM(SUBSTITUTE(Z87,CHAR(160)," ")),BP16:BP63,BS16:BS63),IFERROR(_xlfn.XLOOKUP(TRIM(SUBSTITUTE(Z87,CHAR(160)," ")),BQ16:BQ63,BS16:BS63),_xlfn.XLOOKUP(TRIM(SUBSTITUTE(Z87,CHAR(160)," ")),BR16:BR63,BS16:BS63)))*Y87*IF(ISBLANK(V87),1,V87),0))</f>
        <v>0.03</v>
      </c>
      <c r="AS87" s="784" t="str">
        <f t="shared" ref="AS87:AS133" si="60">IF(AK87="A",IF(AND(AQ87,AR87&gt;0),"Kg",""),"")</f>
        <v>Kg</v>
      </c>
      <c r="AT87" s="1315" t="str">
        <f>IF(AK87="A","❾ Author reference &gt;","")</f>
        <v>❾ Author reference &gt;</v>
      </c>
      <c r="AU87" s="785">
        <f>IF(AK87="A",S87,0)</f>
        <v>18</v>
      </c>
      <c r="AV87" s="785" t="str">
        <f>IF(AK87="A",T87,0)</f>
        <v>desserts</v>
      </c>
      <c r="AW87" s="786">
        <f>IF(AK87="A",AY10,0)</f>
        <v>20</v>
      </c>
      <c r="AX87" s="5495" t="str">
        <f>IF(IFERROR(SEARCH("Adresse PC",TRIM(W87)),0)&gt;0,"▼ receta siguiente",IF(AK87="A",IF(AZ10&lt;&gt;"",AZ10&amp;" - ou.or.o ❾ + or - &gt;",""),""))</f>
        <v>parts - ou.or.o ❾ + or - &gt;</v>
      </c>
      <c r="AY87" s="1316"/>
      <c r="AZ87" s="787"/>
      <c r="BA87" s="788">
        <f t="shared" si="56"/>
        <v>3.3333333333333333E-2</v>
      </c>
      <c r="BB87" s="789" t="str">
        <f>IF(AK87="A",IF(AQ87,IF(AND(AW87&lt;&gt;"",N(AW87)&gt;0),IFERROR(IFERROR(_xlfn.XLOOKUP(AP87,BP10:BP57,BT10:BT57),IFERROR(_xlfn.XLOOKUP(AP87,BQ10:BQ57,BT10:BT57),_xlfn.XLOOKUP(AP87,BR10:BR57,BT10:BT57,""))),""),""),""),"")</f>
        <v>Kg</v>
      </c>
      <c r="BC87" s="811" t="str" cm="1">
        <f t="array" ref="BC87">IF(NOT(AQ87),0,IF(OR(BA87="",N(BA87)&lt;=0.000000001),"",IF(OR(AU87="",N(AU87)&lt;=0.000000001),0,IF(ISNUMBER(BA87),IFERROR(_xlfn.LET(_xlpm.ai_test,TRIM(AP87),_xlpm.r,IFERROR(_xlfn.XLOOKUP(_xlpm.ai_test,BP17:BP64,ROW(BP17:BP64),0,1),IFERROR(_xlfn.XLOOKUP(_xlpm.ai_test,BQ17:BQ64,ROW(BQ17:BQ64),0,1),_xlfn.XLOOKUP(_xlpm.ai_test,BR17:BR64,ROW(BR17:BR64),0,1))),_xlpm.p,_xlpm.r-MIN(ROW(BP17:BP64))+1,_xlpm.f,INDEX(BS17:BS64,_xlpm.p),_xlpm.u,INDEX(BT17:BT64,_xlpm.p),_xlpm.s,INDEX(BV17:BV64,_xlpm.p),_xlpm.q,N(BA87)/_xlpm.f,IF(_xlpm.q&gt;=_xlpm.s,ROUND(_xlpm.q,1)&amp;" "&amp;_xlpm.ai_test&amp;" = "&amp;ROUND(_xlpm.q*_xlpm.f,1)&amp;" "&amp;_xlpm.u,ROUND(_xlpm.q,1)&amp;" "&amp;_xlpm.ai_test)),""),""))))</f>
        <v>33.3 g</v>
      </c>
      <c r="BD87" s="801"/>
      <c r="BE87" s="788">
        <f>IF(IFERROR(SEARCH("Adresse PC",TRIM(W87)),0)&gt;0,"▼next ricipe ",IF(BA87="","",IF(AK87="A",IF(ISBLANK(BD87),BA87,ROUND(BA87*(1-MIN(1,MAX(0,IF(BD87&gt;1,BD87/100,BD87)))),3)))))</f>
        <v>3.3333333333333333E-2</v>
      </c>
      <c r="BF87" s="789" t="str">
        <f>IF(AK87="A",BB87,"")</f>
        <v>Kg</v>
      </c>
      <c r="BG87" s="790">
        <f t="shared" si="45"/>
        <v>0</v>
      </c>
      <c r="BH87" s="791" t="str">
        <f t="shared" si="46"/>
        <v/>
      </c>
      <c r="BI87" s="792"/>
      <c r="BJ87" s="793">
        <f t="shared" si="47"/>
        <v>0</v>
      </c>
      <c r="BK87" s="794" t="str">
        <f t="shared" si="38"/>
        <v>noix de coco rapée</v>
      </c>
      <c r="BL87" s="227" t="s">
        <v>21</v>
      </c>
      <c r="BM87" s="773">
        <f t="shared" ref="BM87:BM150" si="61">IFERROR(_xlfn.LET(_xlpm.EPS,0.000000001,_xlpm.b,V87/AU87,IF(ISNUMBER(AY87),_xlpm.b*AY87,IF(OR(ISBLANK(AY87),AY87=""),_xlpm.b*AW87,IF(AND(BN87=0,ISNUMBER(V87)),_xlpm.b/AW87,0)))),0)</f>
        <v>0</v>
      </c>
      <c r="BN87" s="774">
        <f t="shared" ref="BN87:BN150" si="62">IF(AR87&gt;0,IFERROR(IF(OR(ISBLANK(AY87),AY87=""),AW87,AY87)/AU87,0),0)</f>
        <v>1.1111111111111112</v>
      </c>
      <c r="BP87" s="685">
        <v>1</v>
      </c>
      <c r="BQ87" s="686">
        <v>1E-3</v>
      </c>
      <c r="BR87" s="687">
        <v>0</v>
      </c>
      <c r="BS87" s="686">
        <v>0.25</v>
      </c>
      <c r="BT87" s="686">
        <v>0.33332999999999996</v>
      </c>
      <c r="BU87" s="686">
        <v>0.5</v>
      </c>
      <c r="BV87" s="688">
        <v>1</v>
      </c>
      <c r="BW87" s="688">
        <v>0.1</v>
      </c>
      <c r="BX87" s="688">
        <v>0.01</v>
      </c>
      <c r="BY87" s="688">
        <v>1E-3</v>
      </c>
      <c r="BZ87" s="688">
        <v>0.5</v>
      </c>
      <c r="CA87" s="688">
        <v>0.33300000000000002</v>
      </c>
      <c r="CB87" s="689">
        <v>0.2</v>
      </c>
      <c r="CC87"/>
      <c r="CD87" s="781" t="str">
        <f t="shared" si="50"/>
        <v>A</v>
      </c>
      <c r="CE87" s="869" t="s">
        <v>1767</v>
      </c>
      <c r="CF87" s="268"/>
      <c r="CG87" s="268"/>
      <c r="CH87" s="268"/>
      <c r="CI87" s="268"/>
      <c r="CJ87" s="719"/>
      <c r="CK87"/>
      <c r="CL87"/>
      <c r="CM87"/>
      <c r="CN87"/>
      <c r="CO87"/>
      <c r="CP87"/>
      <c r="CQ87"/>
      <c r="CS87"/>
      <c r="CT87"/>
      <c r="CU87"/>
      <c r="CV87"/>
      <c r="CW87"/>
      <c r="CX87"/>
      <c r="CY87"/>
      <c r="DA87"/>
      <c r="DB87"/>
      <c r="DC87"/>
      <c r="DD87"/>
      <c r="DE87"/>
      <c r="DF87"/>
      <c r="DG87"/>
      <c r="DI87" s="3">
        <v>1</v>
      </c>
    </row>
    <row r="88" spans="1:113" s="627" customFormat="1" ht="21" customHeight="1">
      <c r="A88" s="701" t="s">
        <v>21</v>
      </c>
      <c r="B88" s="2265" t="str" cm="1">
        <f t="array" ref="B88">SUMPRODUCT(--(D88:J88&lt;&gt;""), LEN(TRIM(SUBSTITUTE(D88:J88, CHAR(160), "")))) &amp; " Car."</f>
        <v>0 Car.</v>
      </c>
      <c r="C88" s="1376" t="str">
        <f>IF(ISBLANK(D88),"",LARGE(C13:C87,1)+1)</f>
        <v/>
      </c>
      <c r="D88" s="1833"/>
      <c r="E88" s="1810"/>
      <c r="F88" s="1810"/>
      <c r="G88" s="1810"/>
      <c r="H88" s="1810"/>
      <c r="I88" s="1810"/>
      <c r="J88" s="1810"/>
      <c r="K88" s="1810"/>
      <c r="L88" s="1811"/>
      <c r="M88" s="9"/>
      <c r="N88" s="103" t="str">
        <f t="shared" si="51"/>
        <v>A</v>
      </c>
      <c r="O88" s="1616"/>
      <c r="P88" s="9"/>
      <c r="Q88" s="103" t="str">
        <f t="shared" si="58"/>
        <v>A</v>
      </c>
      <c r="R88" s="31" t="str">
        <f>R80</f>
        <v>F FEUILLES DE MERINGUE | pâtisserie--ENTREMET| Auteur &gt; recette Béghin Say de Jean-Jacques Borne MOF 1994</v>
      </c>
      <c r="S88" s="32">
        <f>S80</f>
        <v>18</v>
      </c>
      <c r="T88" s="31" t="str">
        <f>T80</f>
        <v>desserts</v>
      </c>
      <c r="U88" s="33" t="str">
        <f>U80</f>
        <v>Recette mère ► MILLE-FEUILLE  aux fraises des bois</v>
      </c>
      <c r="V88" s="89"/>
      <c r="W88" s="108"/>
      <c r="X88" s="91" t="str">
        <f t="shared" si="55"/>
        <v/>
      </c>
      <c r="Y88" s="92"/>
      <c r="Z88" s="128"/>
      <c r="AA88" s="130">
        <v>1</v>
      </c>
      <c r="AB88" s="1813" t="str">
        <f>ROWS(AB84:AB88)&amp;" ►"</f>
        <v>5 ►</v>
      </c>
      <c r="AC88" s="1580" t="s">
        <v>3065</v>
      </c>
      <c r="AD88" s="95">
        <f>IF(AF90=0,0,(AF88/AF90)*AE83*1000)</f>
        <v>0</v>
      </c>
      <c r="AE88" s="105">
        <f>IF(AF90=0, 0, (V88*AA88)/(AF90*AE83))</f>
        <v>0</v>
      </c>
      <c r="AF88" s="97" cm="1">
        <f t="array" ref="AF88">IFERROR(_xlfn.XLOOKUP(UPPER(TRIM(Z88)),UPPER(TRIM(V91:AJ91)),V92:AJ92,_xlfn.XLOOKUP(UPPER(TRIM(Z88)),UPPER(TRIM(V93:AJ93)),V94:AJ94,0))*Y88*IF(V88&gt;0,V88,1),0)</f>
        <v>0</v>
      </c>
      <c r="AG88" s="106">
        <f>IF(AI79&lt;&gt;0,V88*AA88*AA79,0)</f>
        <v>0</v>
      </c>
      <c r="AH88" s="1747">
        <f t="shared" si="57"/>
        <v>0</v>
      </c>
      <c r="AI88" s="99">
        <f>IF(OR(ISBLANK(AI79),AI79=0),0,AF88*AA88*AA79)</f>
        <v>0</v>
      </c>
      <c r="AJ88" s="107" t="str">
        <f>IF(Z88="","",IF(COUNTIF(AC91:AJ91,SUBSTITUTE(TRIM(Z88)," (s)",""))+COUNTIF(AC93:AJ93,SUBSTITUTE(TRIM(Z88)," (s)",""))&gt;0,IF(ROUND(AI88,3)&gt;=1,ROUND(AI88,3)&amp;" L",MAX(1,ROUND(AI88*100,0))&amp;" cl"),IF(COUNTIF(V91:AA91,SUBSTITUTE(TRIM(Z88)," (s)",""))+COUNTIF(V93:AA93,SUBSTITUTE(TRIM(Z88)," (s)",""))&gt;0,IF(ROUND(AI88,3)&gt;=1,ROUND(AI88,3)&amp;" Kg",MAX(1,ROUND(AI88*1000,0))&amp;" g"),"")))</f>
        <v/>
      </c>
      <c r="AK88" s="6120" t="str">
        <f t="shared" si="40"/>
        <v>A</v>
      </c>
      <c r="AL88" s="781" t="str">
        <f t="shared" si="59"/>
        <v>A</v>
      </c>
      <c r="AM88" s="5498" t="str">
        <f t="shared" ref="AM88:AM151" si="63">IF(IFERROR(SEARCH("Adresse PC",TRIM(SUBSTITUTE(W88,CHAR(160)," "))),0)&gt;0,"▼ recette suivante",IF(AK88="A",R88,""))</f>
        <v>F FEUILLES DE MERINGUE | pâtisserie--ENTREMET| Auteur &gt; recette Béghin Say de Jean-Jacques Borne MOF 1994</v>
      </c>
      <c r="AN88" s="783">
        <f t="shared" ref="AN88:AN151" si="64">IF(AK88="A",S88,"")</f>
        <v>18</v>
      </c>
      <c r="AO88" s="782" t="str">
        <f t="shared" ref="AO88:AO151" si="65">IF(AK88="A",T88,"")</f>
        <v>desserts</v>
      </c>
      <c r="AP88" s="783">
        <f t="shared" ref="AP88:AP151" si="66">IF(AK88="A",Z88,"")</f>
        <v>0</v>
      </c>
      <c r="AQ88" s="2083" t="b">
        <f>AND(Q88="A",COUNTIF(BP16:BR63,TRIM(Z88))&gt;0)</f>
        <v>0</v>
      </c>
      <c r="AR88" s="797">
        <f>IF(AL88&lt;&gt;"A","",IFERROR(IFERROR(_xlfn.XLOOKUP(TRIM(SUBSTITUTE(Z88,CHAR(160)," ")),BP16:BP63,BS16:BS63),IFERROR(_xlfn.XLOOKUP(TRIM(SUBSTITUTE(Z88,CHAR(160)," ")),BQ16:BQ63,BS16:BS63),_xlfn.XLOOKUP(TRIM(SUBSTITUTE(Z88,CHAR(160)," ")),BR16:BR63,BS16:BS63)))*Y88*IF(ISBLANK(V88),1,V88),0))</f>
        <v>0</v>
      </c>
      <c r="AS88" s="784" t="str">
        <f t="shared" si="60"/>
        <v/>
      </c>
      <c r="AT88" s="1315" t="str">
        <f t="shared" ref="AT88:AT151" si="67">IF(AK88="A","❾ Author reference &gt;","")</f>
        <v>❾ Author reference &gt;</v>
      </c>
      <c r="AU88" s="785">
        <f t="shared" ref="AU88:AU151" si="68">IF(AK88="A",S88,0)</f>
        <v>18</v>
      </c>
      <c r="AV88" s="785" t="str">
        <f t="shared" ref="AV88:AV151" si="69">IF(AK88="A",T88,0)</f>
        <v>desserts</v>
      </c>
      <c r="AW88" s="798">
        <f>IF(AK88="A",AY10,0)</f>
        <v>20</v>
      </c>
      <c r="AX88" s="5496" t="str">
        <f>IF(IFERROR(SEARCH("Adresse PC",TRIM(W88)),0)&gt;0,"▼ receta siguiente",IF(AK88="A",IF(AZ10&lt;&gt;"",AZ10&amp;" - ou.or.o ❾ + or - &gt;",""),""))</f>
        <v>parts - ou.or.o ❾ + or - &gt;</v>
      </c>
      <c r="AY88" s="1316"/>
      <c r="AZ88" s="787"/>
      <c r="BA88" s="799">
        <f t="shared" si="56"/>
        <v>0</v>
      </c>
      <c r="BB88" s="800" t="str">
        <f>IF(AK88="A",IF(AQ88,IF(AND(AW88&lt;&gt;"",N(AW88)&gt;0),IFERROR(IFERROR(_xlfn.XLOOKUP(AP88,BP10:BP57,BT10:BT57),IFERROR(_xlfn.XLOOKUP(AP88,BQ10:BQ57,BT10:BT57),_xlfn.XLOOKUP(AP88,BR10:BR57,BT10:BT57,""))),""),""),""),"")</f>
        <v/>
      </c>
      <c r="BC88" s="813" cm="1">
        <f t="array" ref="BC88">IF(NOT(AQ88),0,IF(OR(BA88="",N(BA88)&lt;=0.000000001),"",IF(OR(AU88="",N(AU88)&lt;=0.000000001),0,IF(ISNUMBER(BA88),IFERROR(_xlfn.LET(_xlpm.ai_test,TRIM(AP88),_xlpm.r,IFERROR(_xlfn.XLOOKUP(_xlpm.ai_test,BP16:BP63,ROW(BP16:BP63),0,1),IFERROR(_xlfn.XLOOKUP(_xlpm.ai_test,BQ16:BQ63,ROW(BQ16:BQ63),0,1),_xlfn.XLOOKUP(_xlpm.ai_test,BR16:BR63,ROW(BR16:BR63),0,1))),_xlpm.p,_xlpm.r-MIN(ROW(BP16:BP63))+1,_xlpm.f,INDEX(BS16:BS63,_xlpm.p),_xlpm.u,INDEX(BT16:BT63,_xlpm.p),_xlpm.s,INDEX(BV16:BV63,_xlpm.p),_xlpm.q,N(BA88)/_xlpm.f,IF(_xlpm.q&gt;=_xlpm.s,ROUND(_xlpm.q,1)&amp;" "&amp;_xlpm.ai_test&amp;" = "&amp;ROUND(_xlpm.q*_xlpm.f,1)&amp;" "&amp;_xlpm.u,ROUND(_xlpm.q,1)&amp;" "&amp;_xlpm.ai_test)),""),""))))</f>
        <v>0</v>
      </c>
      <c r="BD88" s="801"/>
      <c r="BE88" s="799">
        <f t="shared" ref="BE88:BE151" si="70">IF(IFERROR(SEARCH("Adresse PC",TRIM(W88)),0)&gt;0,"▼next ricipe ",IF(BA88="","",IF(AK88="A",IF(ISBLANK(BD88),BA88,ROUND(BA88*(1-MIN(1,MAX(0,IF(BD88&gt;1,BD88/100,BD88)))),3)))))</f>
        <v>0</v>
      </c>
      <c r="BF88" s="800" t="str">
        <f t="shared" si="44"/>
        <v/>
      </c>
      <c r="BG88" s="802">
        <f t="shared" si="45"/>
        <v>0</v>
      </c>
      <c r="BH88" s="803" t="str">
        <f t="shared" si="46"/>
        <v/>
      </c>
      <c r="BI88" s="792"/>
      <c r="BJ88" s="804">
        <f t="shared" si="47"/>
        <v>0</v>
      </c>
      <c r="BK88" s="794" t="str">
        <f t="shared" ref="BK88:BK151" si="71">IF(AK88="A",IF(IFERROR(SEARCH("Adresse PC",TRIM(W88)),0)&gt;0,"▼recette suivante ",IF(BE88&gt;0,AC88,"")),"")</f>
        <v/>
      </c>
      <c r="BL88" s="227" t="s">
        <v>21</v>
      </c>
      <c r="BM88" s="773">
        <f t="shared" si="61"/>
        <v>0</v>
      </c>
      <c r="BN88" s="774">
        <f t="shared" si="62"/>
        <v>0</v>
      </c>
      <c r="BP88" s="121" t="s">
        <v>155</v>
      </c>
      <c r="BQ88" s="121" t="s">
        <v>1326</v>
      </c>
      <c r="BR88" s="143" t="s">
        <v>1327</v>
      </c>
      <c r="BS88" s="121" t="s">
        <v>1328</v>
      </c>
      <c r="BT88" s="121" t="s">
        <v>1329</v>
      </c>
      <c r="BU88" s="121" t="s">
        <v>1343</v>
      </c>
      <c r="BV88" s="155" t="s">
        <v>1330</v>
      </c>
      <c r="BW88" s="155" t="s">
        <v>1331</v>
      </c>
      <c r="BX88" s="155" t="s">
        <v>1332</v>
      </c>
      <c r="BY88" s="109" t="s">
        <v>1333</v>
      </c>
      <c r="BZ88" s="109" t="s">
        <v>1334</v>
      </c>
      <c r="CA88" s="109" t="s">
        <v>1335</v>
      </c>
      <c r="CB88" s="697" t="s">
        <v>1336</v>
      </c>
      <c r="CC88"/>
      <c r="CD88" s="781" t="str">
        <f t="shared" si="50"/>
        <v>A</v>
      </c>
      <c r="CE88" s="868" t="s">
        <v>1768</v>
      </c>
      <c r="CF88" s="268"/>
      <c r="CG88" s="268"/>
      <c r="CH88" s="268"/>
      <c r="CI88" s="268"/>
      <c r="CJ88" s="719"/>
      <c r="CK88"/>
      <c r="CL88"/>
      <c r="CM88"/>
      <c r="CN88"/>
      <c r="CO88"/>
      <c r="CP88"/>
      <c r="CQ88"/>
      <c r="CS88"/>
      <c r="CT88"/>
      <c r="CU88"/>
      <c r="CV88"/>
      <c r="CW88"/>
      <c r="CX88"/>
      <c r="CY88"/>
      <c r="DA88"/>
      <c r="DB88"/>
      <c r="DC88"/>
      <c r="DD88"/>
      <c r="DE88"/>
      <c r="DF88"/>
      <c r="DG88"/>
      <c r="DI88" s="3">
        <v>1</v>
      </c>
    </row>
    <row r="89" spans="1:113" s="627" customFormat="1" ht="21" customHeight="1">
      <c r="A89" s="701" t="s">
        <v>21</v>
      </c>
      <c r="B89" s="2265" t="str" cm="1">
        <f t="array" ref="B89">SUMPRODUCT(--(D89:J89&lt;&gt;""), LEN(TRIM(SUBSTITUTE(D89:J89, CHAR(160), "")))) &amp; " Car."</f>
        <v>0 Car.</v>
      </c>
      <c r="C89" s="1376" t="str">
        <f>IF(ISBLANK(D89),"",LARGE(C13:C88,1)+1)</f>
        <v/>
      </c>
      <c r="D89" s="1833"/>
      <c r="E89" s="1810"/>
      <c r="F89" s="1810"/>
      <c r="G89" s="1810"/>
      <c r="H89" s="1810"/>
      <c r="I89" s="1810"/>
      <c r="J89" s="1810"/>
      <c r="K89" s="1810"/>
      <c r="L89" s="1811"/>
      <c r="M89" s="9"/>
      <c r="N89" s="25" t="str">
        <f t="shared" si="51"/>
        <v>A</v>
      </c>
      <c r="O89" s="1616"/>
      <c r="P89" s="9"/>
      <c r="Q89" s="25" t="s">
        <v>10</v>
      </c>
      <c r="R89" s="31" t="str">
        <f>R80</f>
        <v>F FEUILLES DE MERINGUE | pâtisserie--ENTREMET| Auteur &gt; recette Béghin Say de Jean-Jacques Borne MOF 1994</v>
      </c>
      <c r="S89" s="32">
        <f>S80</f>
        <v>18</v>
      </c>
      <c r="T89" s="31" t="str">
        <f>T80</f>
        <v>desserts</v>
      </c>
      <c r="U89" s="33" t="str">
        <f>U80</f>
        <v>Recette mère ► MILLE-FEUILLE  aux fraises des bois</v>
      </c>
      <c r="V89" s="1198"/>
      <c r="W89" s="1199"/>
      <c r="X89" s="91" t="str">
        <f t="shared" si="55"/>
        <v/>
      </c>
      <c r="Y89" s="1200"/>
      <c r="Z89" s="128"/>
      <c r="AA89" s="1201">
        <v>1</v>
      </c>
      <c r="AB89" s="1813" t="str">
        <f>ROWS(AB84:AB89)&amp;" ►"</f>
        <v>6 ►</v>
      </c>
      <c r="AC89" s="1580"/>
      <c r="AD89" s="95">
        <f>IF(AF90=0,0,(AF89/AF90)*AE83*1000)</f>
        <v>0</v>
      </c>
      <c r="AE89" s="105">
        <f>IF(AF90=0, 0, (V89*AA89)/(AF90*AE83))</f>
        <v>0</v>
      </c>
      <c r="AF89" s="97" cm="1">
        <f t="array" ref="AF89">IFERROR(_xlfn.XLOOKUP(UPPER(TRIM(Z89)),UPPER(TRIM(V91:AJ91)),V92:AJ92,_xlfn.XLOOKUP(UPPER(TRIM(Z89)),UPPER(TRIM(V93:AJ93)),V94:AJ94,0))*Y89*IF(V89&gt;0,V89,1),0)</f>
        <v>0</v>
      </c>
      <c r="AG89" s="110">
        <f>IF(AI79&lt;&gt;0,V89*AA89*AA79,0)</f>
        <v>0</v>
      </c>
      <c r="AH89" s="1748">
        <f t="shared" si="57"/>
        <v>0</v>
      </c>
      <c r="AI89" s="99">
        <f>IF(OR(ISBLANK(AI79),AI79=0),0,AF89*AA89*AA79)</f>
        <v>0</v>
      </c>
      <c r="AJ89" s="129" t="str">
        <f>IF(Z89="","",IF(COUNTIF(AC91:AJ91,SUBSTITUTE(TRIM(Z89)," (s)",""))+COUNTIF(AC93:AJ93,SUBSTITUTE(TRIM(Z89)," (s)",""))&gt;0,IF(ROUND(AI89,3)&gt;=1,ROUND(AI89,3)&amp;" L",MAX(1,ROUND(AI89*100,0))&amp;" cl"),IF(COUNTIF(V91:AA91,SUBSTITUTE(TRIM(Z89)," (s)",""))+COUNTIF(V93:AA93,SUBSTITUTE(TRIM(Z89)," (s)",""))&gt;0,IF(ROUND(AI89,3)&gt;=1,ROUND(AI89,3)&amp;" Kg",MAX(1,ROUND(AI89*1000,0))&amp;" g"),"")))</f>
        <v/>
      </c>
      <c r="AK89" s="6120" t="str">
        <f t="shared" ref="AK89:AK152" si="72">IF(AND(IFERROR(SEARCH("►",AB89),0)&gt;0,ISNUMBER(IFERROR(VALUE(TRIM(SUBSTITUTE(AB89,"►",""))),NA())),AC89&lt;&gt;""),"A","►")</f>
        <v>►</v>
      </c>
      <c r="AL89" s="781" t="str">
        <f t="shared" si="59"/>
        <v>►</v>
      </c>
      <c r="AM89" s="5499" t="str">
        <f t="shared" si="63"/>
        <v/>
      </c>
      <c r="AN89" s="783" t="str">
        <f t="shared" si="64"/>
        <v/>
      </c>
      <c r="AO89" s="782" t="str">
        <f t="shared" si="65"/>
        <v/>
      </c>
      <c r="AP89" s="783" t="str">
        <f t="shared" si="66"/>
        <v/>
      </c>
      <c r="AQ89" s="2083" t="b">
        <f>AND(Q89="A",COUNTIF(BP16:BR63,TRIM(Z89))&gt;0)</f>
        <v>0</v>
      </c>
      <c r="AR89" s="797" t="str">
        <f>IF(AL89&lt;&gt;"A","",IFERROR(IFERROR(_xlfn.XLOOKUP(TRIM(SUBSTITUTE(Z89,CHAR(160)," ")),BP16:BP63,BS16:BS63),IFERROR(_xlfn.XLOOKUP(TRIM(SUBSTITUTE(Z89,CHAR(160)," ")),BQ16:BQ63,BS16:BS63),_xlfn.XLOOKUP(TRIM(SUBSTITUTE(Z89,CHAR(160)," ")),BR16:BR63,BS16:BS63)))*Y89*IF(ISBLANK(V89),1,V89),0))</f>
        <v/>
      </c>
      <c r="AS89" s="784" t="str">
        <f t="shared" si="60"/>
        <v/>
      </c>
      <c r="AT89" s="1315" t="str">
        <f t="shared" si="67"/>
        <v/>
      </c>
      <c r="AU89" s="785">
        <f t="shared" si="68"/>
        <v>0</v>
      </c>
      <c r="AV89" s="785">
        <f t="shared" si="69"/>
        <v>0</v>
      </c>
      <c r="AW89" s="786">
        <f>IF(AK89="A",AY10,0)</f>
        <v>0</v>
      </c>
      <c r="AX89" s="5495" t="str">
        <f>IF(IFERROR(SEARCH("Adresse PC",TRIM(W89)),0)&gt;0,"▼ receta siguiente",IF(AK89="A",IF(AZ10&lt;&gt;"",AZ10&amp;" - ou.or.o ❾ + or - &gt;",""),""))</f>
        <v/>
      </c>
      <c r="AY89" s="1316"/>
      <c r="AZ89" s="787"/>
      <c r="BA89" s="788" t="str">
        <f t="shared" si="56"/>
        <v/>
      </c>
      <c r="BB89" s="789" t="str">
        <f>IF(AK89="A",IF(AQ89,IF(AND(AW89&lt;&gt;"",N(AW89)&gt;0),IFERROR(IFERROR(_xlfn.XLOOKUP(AP89,BP10:BP57,BT10:BT57),IFERROR(_xlfn.XLOOKUP(AP89,BQ10:BQ57,BT10:BT57),_xlfn.XLOOKUP(AP89,BR10:BR57,BT10:BT57,""))),""),""),""),"")</f>
        <v/>
      </c>
      <c r="BC89" s="811" cm="1">
        <f t="array" ref="BC89">IF(NOT(AQ89),0,IF(OR(BA89="",N(BA89)&lt;=0.000000001),"",IF(OR(AU89="",N(AU89)&lt;=0.000000001),0,IF(ISNUMBER(BA89),IFERROR(_xlfn.LET(_xlpm.ai_test,TRIM(AP89),_xlpm.r,IFERROR(_xlfn.XLOOKUP(_xlpm.ai_test,BP16:BP63,ROW(BP16:BP63),0,1),IFERROR(_xlfn.XLOOKUP(_xlpm.ai_test,BQ16:BQ63,ROW(BQ16:BQ63),0,1),_xlfn.XLOOKUP(_xlpm.ai_test,BR16:BR63,ROW(BR16:BR63),0,1))),_xlpm.p,_xlpm.r-MIN(ROW(BP16:BP63))+1,_xlpm.f,INDEX(BS16:BS63,_xlpm.p),_xlpm.u,INDEX(BT16:BT63,_xlpm.p),_xlpm.s,INDEX(BV16:BV63,_xlpm.p),_xlpm.q,N(BA89)/_xlpm.f,IF(_xlpm.q&gt;=_xlpm.s,ROUND(_xlpm.q,1)&amp;" "&amp;_xlpm.ai_test&amp;" = "&amp;ROUND(_xlpm.q*_xlpm.f,1)&amp;" "&amp;_xlpm.u,ROUND(_xlpm.q,1)&amp;" "&amp;_xlpm.ai_test)),""),""))))</f>
        <v>0</v>
      </c>
      <c r="BD89" s="801"/>
      <c r="BE89" s="788" t="str">
        <f t="shared" si="70"/>
        <v/>
      </c>
      <c r="BF89" s="789" t="str">
        <f t="shared" si="44"/>
        <v/>
      </c>
      <c r="BG89" s="790">
        <f t="shared" si="45"/>
        <v>0</v>
      </c>
      <c r="BH89" s="791" t="str">
        <f t="shared" si="46"/>
        <v/>
      </c>
      <c r="BI89" s="792"/>
      <c r="BJ89" s="793">
        <f t="shared" si="47"/>
        <v>0</v>
      </c>
      <c r="BK89" s="794" t="str">
        <f t="shared" si="71"/>
        <v/>
      </c>
      <c r="BL89" s="227" t="s">
        <v>21</v>
      </c>
      <c r="BM89" s="773">
        <f t="shared" si="61"/>
        <v>0</v>
      </c>
      <c r="BN89" s="774">
        <f t="shared" si="62"/>
        <v>0</v>
      </c>
      <c r="BP89" s="690">
        <v>2.835E-2</v>
      </c>
      <c r="BQ89" s="691">
        <v>0.13</v>
      </c>
      <c r="BR89" s="692">
        <v>0</v>
      </c>
      <c r="BS89" s="691">
        <v>0.2</v>
      </c>
      <c r="BT89" s="691">
        <v>0.23</v>
      </c>
      <c r="BU89" s="691">
        <v>0.22500000000000001</v>
      </c>
      <c r="BV89" s="688">
        <v>0.35</v>
      </c>
      <c r="BW89" s="688">
        <v>5.0000000000000001E-3</v>
      </c>
      <c r="BX89" s="688">
        <v>5.0000000000000001E-3</v>
      </c>
      <c r="BY89" s="688">
        <v>1.4999999999999999E-2</v>
      </c>
      <c r="BZ89" s="688">
        <v>0.1</v>
      </c>
      <c r="CA89" s="688">
        <v>0.22500000000000001</v>
      </c>
      <c r="CB89" s="689">
        <v>1E-3</v>
      </c>
      <c r="CC89"/>
      <c r="CD89" s="781" t="str">
        <f t="shared" si="50"/>
        <v>►</v>
      </c>
      <c r="CE89" s="870" t="s">
        <v>1769</v>
      </c>
      <c r="CF89" s="268"/>
      <c r="CG89" s="268"/>
      <c r="CH89" s="268"/>
      <c r="CI89" s="268"/>
      <c r="CJ89" s="719"/>
      <c r="CK89"/>
      <c r="CL89"/>
      <c r="CM89"/>
      <c r="CN89"/>
      <c r="CO89"/>
      <c r="CP89"/>
      <c r="CQ89"/>
      <c r="CS89"/>
      <c r="CT89"/>
      <c r="CU89"/>
      <c r="CV89"/>
      <c r="CW89"/>
      <c r="CX89"/>
      <c r="CY89"/>
      <c r="DA89"/>
      <c r="DB89"/>
      <c r="DC89"/>
      <c r="DD89"/>
      <c r="DE89"/>
      <c r="DF89"/>
      <c r="DG89"/>
      <c r="DI89" s="3">
        <v>1</v>
      </c>
    </row>
    <row r="90" spans="1:113" s="627" customFormat="1" ht="21" customHeight="1" thickBot="1">
      <c r="A90" s="701" t="s">
        <v>21</v>
      </c>
      <c r="B90" s="2265" t="str" cm="1">
        <f t="array" ref="B90">SUMPRODUCT(--(D90:J90&lt;&gt;""), LEN(TRIM(SUBSTITUTE(D90:J90, CHAR(160), "")))) &amp; " Car."</f>
        <v>0 Car.</v>
      </c>
      <c r="C90" s="1376" t="str">
        <f>IF(ISBLANK(D90),"",LARGE(C13:C89,1)+1)</f>
        <v/>
      </c>
      <c r="D90" s="1833"/>
      <c r="E90" s="1810"/>
      <c r="F90" s="1810"/>
      <c r="G90" s="1810"/>
      <c r="H90" s="1810"/>
      <c r="I90" s="1810"/>
      <c r="J90" s="1810"/>
      <c r="K90" s="1810"/>
      <c r="L90" s="1811"/>
      <c r="M90" s="9"/>
      <c r="N90" s="25" t="str">
        <f t="shared" si="51"/>
        <v>A</v>
      </c>
      <c r="O90" s="1616"/>
      <c r="P90" s="9"/>
      <c r="Q90" s="25" t="s">
        <v>10</v>
      </c>
      <c r="R90" s="31" t="str">
        <f>R80</f>
        <v>F FEUILLES DE MERINGUE | pâtisserie--ENTREMET| Auteur &gt; recette Béghin Say de Jean-Jacques Borne MOF 1994</v>
      </c>
      <c r="S90" s="32">
        <f>S80</f>
        <v>18</v>
      </c>
      <c r="T90" s="31" t="str">
        <f>T80</f>
        <v>desserts</v>
      </c>
      <c r="U90" s="33" t="str">
        <f>U80</f>
        <v>Recette mère ► MILLE-FEUILLE  aux fraises des bois</v>
      </c>
      <c r="V90" s="680" t="s">
        <v>8411</v>
      </c>
      <c r="W90" s="474"/>
      <c r="X90" s="474"/>
      <c r="Y90" s="474"/>
      <c r="Z90" s="474"/>
      <c r="AA90" s="681"/>
      <c r="AB90" s="681"/>
      <c r="AC90" s="1984" t="s">
        <v>8652</v>
      </c>
      <c r="AD90" s="682"/>
      <c r="AE90" s="682"/>
      <c r="AF90" s="1197">
        <f>SUM(AF84:AF89)</f>
        <v>0.33000000000000007</v>
      </c>
      <c r="AG90" s="683"/>
      <c r="AH90" s="683" t="str">
        <f>"Total " &amp; AI81&amp;" &gt;"</f>
        <v>Total Col.19 &gt;</v>
      </c>
      <c r="AI90" s="1835">
        <f>SUM(AI84:AI89)</f>
        <v>0.66000000000000014</v>
      </c>
      <c r="AJ90" s="684"/>
      <c r="AK90" s="6120" t="str">
        <f t="shared" si="72"/>
        <v>►</v>
      </c>
      <c r="AL90" s="781" t="str">
        <f t="shared" si="59"/>
        <v>►</v>
      </c>
      <c r="AM90" s="5498" t="str">
        <f t="shared" si="63"/>
        <v/>
      </c>
      <c r="AN90" s="783" t="str">
        <f t="shared" si="64"/>
        <v/>
      </c>
      <c r="AO90" s="782" t="str">
        <f t="shared" si="65"/>
        <v/>
      </c>
      <c r="AP90" s="783" t="str">
        <f t="shared" si="66"/>
        <v/>
      </c>
      <c r="AQ90" s="2083" t="b">
        <f>AND(Q90="A",COUNTIF(BP16:BR63,TRIM(Z90))&gt;0)</f>
        <v>0</v>
      </c>
      <c r="AR90" s="797" t="str">
        <f>IF(AL90&lt;&gt;"A","",IFERROR(IFERROR(_xlfn.XLOOKUP(TRIM(SUBSTITUTE(Z90,CHAR(160)," ")),BP16:BP63,BS16:BS63),IFERROR(_xlfn.XLOOKUP(TRIM(SUBSTITUTE(Z90,CHAR(160)," ")),BQ16:BQ63,BS16:BS63),_xlfn.XLOOKUP(TRIM(SUBSTITUTE(Z90,CHAR(160)," ")),BR16:BR63,BS16:BS63)))*Y90*IF(ISBLANK(V90),1,V90),0))</f>
        <v/>
      </c>
      <c r="AS90" s="784" t="str">
        <f t="shared" si="60"/>
        <v/>
      </c>
      <c r="AT90" s="1315" t="str">
        <f t="shared" si="67"/>
        <v/>
      </c>
      <c r="AU90" s="785">
        <f t="shared" si="68"/>
        <v>0</v>
      </c>
      <c r="AV90" s="785">
        <f t="shared" si="69"/>
        <v>0</v>
      </c>
      <c r="AW90" s="798">
        <f>IF(AK90="A",AY10,0)</f>
        <v>0</v>
      </c>
      <c r="AX90" s="5496" t="str">
        <f>IF(IFERROR(SEARCH("Adresse PC",TRIM(W90)),0)&gt;0,"▼ receta siguiente",IF(AK90="A",IF(AZ10&lt;&gt;"",AZ10&amp;" - ou.or.o ❾ + or - &gt;",""),""))</f>
        <v/>
      </c>
      <c r="AY90" s="1316"/>
      <c r="AZ90" s="787"/>
      <c r="BA90" s="799" t="str">
        <f t="shared" si="56"/>
        <v/>
      </c>
      <c r="BB90" s="800" t="str">
        <f>IF(AK90="A",IF(AQ90,IF(AND(AW90&lt;&gt;"",N(AW90)&gt;0),IFERROR(IFERROR(_xlfn.XLOOKUP(AP90,BP10:BP57,BT10:BT57),IFERROR(_xlfn.XLOOKUP(AP90,BQ10:BQ57,BT10:BT57),_xlfn.XLOOKUP(AP90,BR10:BR57,BT10:BT57,""))),""),""),""),"")</f>
        <v/>
      </c>
      <c r="BC90" s="813" cm="1">
        <f t="array" ref="BC90">IF(NOT(AQ90),0,IF(OR(BA90="",N(BA90)&lt;=0.000000001),"",IF(OR(AU90="",N(AU90)&lt;=0.000000001),0,IF(ISNUMBER(BA90),IFERROR(_xlfn.LET(_xlpm.ai_test,TRIM(AP90),_xlpm.r,IFERROR(_xlfn.XLOOKUP(_xlpm.ai_test,BP16:BP63,ROW(BP16:BP63),0,1),IFERROR(_xlfn.XLOOKUP(_xlpm.ai_test,BQ16:BQ63,ROW(BQ16:BQ63),0,1),_xlfn.XLOOKUP(_xlpm.ai_test,BR16:BR63,ROW(BR16:BR63),0,1))),_xlpm.p,_xlpm.r-MIN(ROW(BP16:BP63))+1,_xlpm.f,INDEX(BS16:BS63,_xlpm.p),_xlpm.u,INDEX(BT16:BT63,_xlpm.p),_xlpm.s,INDEX(BV16:BV63,_xlpm.p),_xlpm.q,N(BA90)/_xlpm.f,IF(_xlpm.q&gt;=_xlpm.s,ROUND(_xlpm.q,1)&amp;" "&amp;_xlpm.ai_test&amp;" = "&amp;ROUND(_xlpm.q*_xlpm.f,1)&amp;" "&amp;_xlpm.u,ROUND(_xlpm.q,1)&amp;" "&amp;_xlpm.ai_test)),""),""))))</f>
        <v>0</v>
      </c>
      <c r="BD90" s="801"/>
      <c r="BE90" s="799" t="str">
        <f t="shared" si="70"/>
        <v/>
      </c>
      <c r="BF90" s="800" t="str">
        <f t="shared" si="44"/>
        <v/>
      </c>
      <c r="BG90" s="802">
        <f t="shared" si="45"/>
        <v>0</v>
      </c>
      <c r="BH90" s="803" t="str">
        <f t="shared" si="46"/>
        <v/>
      </c>
      <c r="BI90" s="792"/>
      <c r="BJ90" s="804">
        <f t="shared" si="47"/>
        <v>0</v>
      </c>
      <c r="BK90" s="794" t="str">
        <f t="shared" si="71"/>
        <v/>
      </c>
      <c r="BL90" s="227" t="s">
        <v>21</v>
      </c>
      <c r="BM90" s="773">
        <f t="shared" si="61"/>
        <v>0</v>
      </c>
      <c r="BN90" s="774">
        <f t="shared" si="62"/>
        <v>0</v>
      </c>
      <c r="CC90"/>
      <c r="CD90" s="781" t="str">
        <f t="shared" si="50"/>
        <v>►</v>
      </c>
      <c r="CE90" s="871"/>
      <c r="CF90" s="268"/>
      <c r="CG90" s="268"/>
      <c r="CH90" s="268"/>
      <c r="CI90" s="268"/>
      <c r="CJ90" s="719"/>
      <c r="CK90"/>
      <c r="CL90"/>
      <c r="CM90"/>
      <c r="CN90"/>
      <c r="CO90"/>
      <c r="CP90"/>
      <c r="CQ90"/>
      <c r="CS90"/>
      <c r="CT90"/>
      <c r="CU90"/>
      <c r="CV90"/>
      <c r="CW90"/>
      <c r="CX90"/>
      <c r="CY90"/>
      <c r="DA90"/>
      <c r="DB90"/>
      <c r="DC90"/>
      <c r="DD90"/>
      <c r="DE90"/>
      <c r="DF90"/>
      <c r="DG90"/>
      <c r="DI90" s="3">
        <v>1</v>
      </c>
    </row>
    <row r="91" spans="1:113" s="627" customFormat="1" ht="21" customHeight="1">
      <c r="A91" s="701" t="s">
        <v>21</v>
      </c>
      <c r="B91" s="2265" t="str" cm="1">
        <f t="array" ref="B91">SUMPRODUCT(--(D91:J91&lt;&gt;""), LEN(TRIM(SUBSTITUTE(D91:J91, CHAR(160), "")))) &amp; " Car."</f>
        <v>0 Car.</v>
      </c>
      <c r="C91" s="1376" t="str">
        <f>IF(ISBLANK(D91),"",LARGE(C13:C90,1)+1)</f>
        <v/>
      </c>
      <c r="D91" s="1833"/>
      <c r="E91" s="1810"/>
      <c r="F91" s="1810"/>
      <c r="G91" s="1810"/>
      <c r="H91" s="1810"/>
      <c r="I91" s="1810"/>
      <c r="J91" s="1810"/>
      <c r="K91" s="1810"/>
      <c r="L91" s="1811"/>
      <c r="M91" s="9"/>
      <c r="N91" s="25" t="str">
        <f t="shared" si="51"/>
        <v>A</v>
      </c>
      <c r="O91" s="1616"/>
      <c r="P91" s="9"/>
      <c r="Q91" s="25" t="s">
        <v>10</v>
      </c>
      <c r="R91" s="31" t="str">
        <f>R80</f>
        <v>F FEUILLES DE MERINGUE | pâtisserie--ENTREMET| Auteur &gt; recette Béghin Say de Jean-Jacques Borne MOF 1994</v>
      </c>
      <c r="S91" s="32">
        <f>S80</f>
        <v>18</v>
      </c>
      <c r="T91" s="31" t="str">
        <f>T80</f>
        <v>desserts</v>
      </c>
      <c r="U91" s="33" t="str">
        <f>U80</f>
        <v>Recette mère ► MILLE-FEUILLE  aux fraises des bois</v>
      </c>
      <c r="V91" s="142" t="s">
        <v>140</v>
      </c>
      <c r="W91" s="104" t="s">
        <v>100</v>
      </c>
      <c r="X91" s="143" t="s">
        <v>141</v>
      </c>
      <c r="Y91" s="144" t="s">
        <v>142</v>
      </c>
      <c r="Z91" s="118" t="s">
        <v>143</v>
      </c>
      <c r="AA91" s="118" t="s">
        <v>109</v>
      </c>
      <c r="AB91" s="143" t="s">
        <v>141</v>
      </c>
      <c r="AC91" s="93" t="s">
        <v>0</v>
      </c>
      <c r="AD91" s="93" t="s">
        <v>97</v>
      </c>
      <c r="AE91" s="93" t="s">
        <v>144</v>
      </c>
      <c r="AF91" s="93" t="s">
        <v>145</v>
      </c>
      <c r="AG91" s="109" t="s">
        <v>104</v>
      </c>
      <c r="AH91" s="109" t="s">
        <v>359</v>
      </c>
      <c r="AI91" s="335" t="s">
        <v>146</v>
      </c>
      <c r="AJ91" s="109" t="s">
        <v>147</v>
      </c>
      <c r="AK91" s="6120" t="str">
        <f t="shared" si="72"/>
        <v>►</v>
      </c>
      <c r="AL91" s="781" t="str">
        <f t="shared" si="59"/>
        <v>►</v>
      </c>
      <c r="AM91" s="5499" t="str">
        <f t="shared" si="63"/>
        <v/>
      </c>
      <c r="AN91" s="783" t="str">
        <f t="shared" si="64"/>
        <v/>
      </c>
      <c r="AO91" s="782" t="str">
        <f t="shared" si="65"/>
        <v/>
      </c>
      <c r="AP91" s="783" t="str">
        <f t="shared" si="66"/>
        <v/>
      </c>
      <c r="AQ91" s="2083" t="b">
        <f t="shared" ref="AQ91:AQ97" si="73">AND(Q91="A",COUNTIF(BP20:BR67,TRIM(Z91))&gt;0)</f>
        <v>1</v>
      </c>
      <c r="AR91" s="797" t="str">
        <f t="shared" ref="AR91:AR97" si="74">IF(AL91&lt;&gt;"A","",IFERROR(IFERROR(_xlfn.XLOOKUP(TRIM(SUBSTITUTE(Z91,CHAR(160)," ")),BP20:BP67,BS20:BS67),IFERROR(_xlfn.XLOOKUP(TRIM(SUBSTITUTE(Z91,CHAR(160)," ")),BQ20:BQ67,BS20:BS67),_xlfn.XLOOKUP(TRIM(SUBSTITUTE(Z91,CHAR(160)," ")),BR20:BR67,BS20:BS67)))*Y91*IF(ISBLANK(V91),1,V91),0))</f>
        <v/>
      </c>
      <c r="AS91" s="784" t="str">
        <f t="shared" si="60"/>
        <v/>
      </c>
      <c r="AT91" s="1315" t="str">
        <f t="shared" si="67"/>
        <v/>
      </c>
      <c r="AU91" s="785">
        <f t="shared" si="68"/>
        <v>0</v>
      </c>
      <c r="AV91" s="785">
        <f t="shared" si="69"/>
        <v>0</v>
      </c>
      <c r="AW91" s="786">
        <f>IF(AK91="A",AY10,0)</f>
        <v>0</v>
      </c>
      <c r="AX91" s="5495" t="str">
        <f>IF(IFERROR(SEARCH("Adresse PC",TRIM(W91)),0)&gt;0,"▼ receta siguiente",IF(AK91="A",IF(AZ10&lt;&gt;"",AZ10&amp;" - ou.or.o ❾ + or - &gt;",""),""))</f>
        <v/>
      </c>
      <c r="AY91" s="1316"/>
      <c r="AZ91" s="787"/>
      <c r="BA91" s="788" t="str">
        <f t="shared" si="56"/>
        <v/>
      </c>
      <c r="BB91" s="789" t="str">
        <f>IF(AK91="A",IF(AQ91,IF(AND(AW91&lt;&gt;"",N(AW91)&gt;0),IFERROR(IFERROR(_xlfn.XLOOKUP(AP91,BP10:BP57,BT10:BT57),IFERROR(_xlfn.XLOOKUP(AP91,BQ10:BQ57,BT10:BT57),_xlfn.XLOOKUP(AP91,BR10:BR57,BT10:BT57,""))),""),""),""),"")</f>
        <v/>
      </c>
      <c r="BC91" s="811" t="str" cm="1">
        <f t="array" ref="BC91">IF(NOT(AQ91),0,IF(OR(BA91="",N(BA91)&lt;=0.000000001),"",IF(OR(AU91="",N(AU91)&lt;=0.000000001),0,IF(ISNUMBER(BA91),IFERROR(_xlfn.LET(_xlpm.ai_test,TRIM(AP91),_xlpm.r,IFERROR(_xlfn.XLOOKUP(_xlpm.ai_test,BP21:BP68,ROW(BP21:BP68),0,1),IFERROR(_xlfn.XLOOKUP(_xlpm.ai_test,BQ21:BQ68,ROW(BQ21:BQ68),0,1),_xlfn.XLOOKUP(_xlpm.ai_test,BR21:BR68,ROW(BR21:BR68),0,1))),_xlpm.p,_xlpm.r-MIN(ROW(BP21:BP68))+1,_xlpm.f,INDEX(BS21:BS68,_xlpm.p),_xlpm.u,INDEX(BT21:BT68,_xlpm.p),_xlpm.s,INDEX(BV21:BV68,_xlpm.p),_xlpm.q,N(BA91)/_xlpm.f,IF(_xlpm.q&gt;=_xlpm.s,ROUND(_xlpm.q,1)&amp;" "&amp;_xlpm.ai_test&amp;" = "&amp;ROUND(_xlpm.q*_xlpm.f,1)&amp;" "&amp;_xlpm.u,ROUND(_xlpm.q,1)&amp;" "&amp;_xlpm.ai_test)),""),""))))</f>
        <v/>
      </c>
      <c r="BD91" s="801"/>
      <c r="BE91" s="788" t="str">
        <f t="shared" si="70"/>
        <v/>
      </c>
      <c r="BF91" s="789" t="str">
        <f t="shared" si="44"/>
        <v/>
      </c>
      <c r="BG91" s="790">
        <f t="shared" si="45"/>
        <v>0</v>
      </c>
      <c r="BH91" s="791" t="str">
        <f t="shared" si="46"/>
        <v/>
      </c>
      <c r="BI91" s="792"/>
      <c r="BJ91" s="793">
        <f t="shared" si="47"/>
        <v>0</v>
      </c>
      <c r="BK91" s="794" t="str">
        <f t="shared" si="71"/>
        <v/>
      </c>
      <c r="BL91" s="227" t="s">
        <v>21</v>
      </c>
      <c r="BM91" s="773">
        <f t="shared" si="61"/>
        <v>0</v>
      </c>
      <c r="BN91" s="774">
        <f t="shared" si="62"/>
        <v>0</v>
      </c>
      <c r="BP91" s="6848" t="s">
        <v>1770</v>
      </c>
      <c r="BQ91" s="6849"/>
      <c r="BR91" s="6849"/>
      <c r="BS91" s="6849"/>
      <c r="BT91" s="6849"/>
      <c r="BU91" s="6849"/>
      <c r="BV91" s="6849"/>
      <c r="BW91" s="6849"/>
      <c r="BX91" s="6849"/>
      <c r="BY91" s="6849"/>
      <c r="BZ91" s="6849"/>
      <c r="CA91" s="6849"/>
      <c r="CB91" s="6850"/>
      <c r="CC91"/>
      <c r="CD91" s="781" t="str">
        <f t="shared" si="50"/>
        <v>►</v>
      </c>
      <c r="CE91" s="867" t="s">
        <v>1771</v>
      </c>
      <c r="CF91" s="268"/>
      <c r="CG91" s="268"/>
      <c r="CH91" s="268"/>
      <c r="CI91" s="268"/>
      <c r="CJ91" s="719"/>
      <c r="CK91"/>
      <c r="CL91"/>
      <c r="CM91"/>
      <c r="CN91"/>
      <c r="CO91"/>
      <c r="CP91"/>
      <c r="CQ91"/>
      <c r="CS91"/>
      <c r="CT91"/>
      <c r="CU91"/>
      <c r="CV91"/>
      <c r="CW91"/>
      <c r="CX91"/>
      <c r="CY91"/>
      <c r="DA91"/>
      <c r="DB91"/>
      <c r="DC91"/>
      <c r="DD91"/>
      <c r="DE91"/>
      <c r="DF91"/>
      <c r="DG91"/>
      <c r="DI91" s="3">
        <v>1</v>
      </c>
    </row>
    <row r="92" spans="1:113" s="627" customFormat="1" ht="21" customHeight="1">
      <c r="A92" s="701" t="s">
        <v>21</v>
      </c>
      <c r="B92" s="2265" t="str" cm="1">
        <f t="array" ref="B92">SUMPRODUCT(--(D92:J92&lt;&gt;""), LEN(TRIM(SUBSTITUTE(D92:J92, CHAR(160), "")))) &amp; " Car."</f>
        <v>0 Car.</v>
      </c>
      <c r="C92" s="1376" t="str">
        <f>IF(ISBLANK(D92),"",LARGE(C13:C91,1)+1)</f>
        <v/>
      </c>
      <c r="D92" s="1833"/>
      <c r="E92" s="1810"/>
      <c r="F92" s="1810"/>
      <c r="G92" s="1810"/>
      <c r="H92" s="1810"/>
      <c r="I92" s="1810"/>
      <c r="J92" s="1810"/>
      <c r="K92" s="1810"/>
      <c r="L92" s="1811"/>
      <c r="M92" s="9"/>
      <c r="N92" s="25" t="str">
        <f t="shared" si="51"/>
        <v>A</v>
      </c>
      <c r="O92" s="1616"/>
      <c r="P92" s="9"/>
      <c r="Q92" s="25" t="s">
        <v>10</v>
      </c>
      <c r="R92" s="31" t="str">
        <f>R80</f>
        <v>F FEUILLES DE MERINGUE | pâtisserie--ENTREMET| Auteur &gt; recette Béghin Say de Jean-Jacques Borne MOF 1994</v>
      </c>
      <c r="S92" s="32">
        <f>S80</f>
        <v>18</v>
      </c>
      <c r="T92" s="31" t="str">
        <f>T80</f>
        <v>desserts</v>
      </c>
      <c r="U92" s="33" t="str">
        <f>U80</f>
        <v>Recette mère ► MILLE-FEUILLE  aux fraises des bois</v>
      </c>
      <c r="V92" s="685">
        <v>1</v>
      </c>
      <c r="W92" s="686">
        <v>1E-3</v>
      </c>
      <c r="X92" s="687">
        <v>0</v>
      </c>
      <c r="Y92" s="686">
        <v>0.25</v>
      </c>
      <c r="Z92" s="686">
        <v>0.33332999999999996</v>
      </c>
      <c r="AA92" s="686">
        <v>0.5</v>
      </c>
      <c r="AB92" s="687">
        <v>0</v>
      </c>
      <c r="AC92" s="688">
        <v>1</v>
      </c>
      <c r="AD92" s="688">
        <v>0.1</v>
      </c>
      <c r="AE92" s="688">
        <v>0.01</v>
      </c>
      <c r="AF92" s="688">
        <v>1E-3</v>
      </c>
      <c r="AG92" s="688">
        <v>0.5</v>
      </c>
      <c r="AH92" s="688">
        <v>0.25</v>
      </c>
      <c r="AI92" s="688">
        <v>0.33300000000000002</v>
      </c>
      <c r="AJ92" s="1756">
        <v>0.2</v>
      </c>
      <c r="AK92" s="6120" t="str">
        <f t="shared" si="72"/>
        <v>►</v>
      </c>
      <c r="AL92" s="781" t="str">
        <f t="shared" si="59"/>
        <v>►</v>
      </c>
      <c r="AM92" s="5498" t="str">
        <f t="shared" si="63"/>
        <v/>
      </c>
      <c r="AN92" s="783" t="str">
        <f t="shared" si="64"/>
        <v/>
      </c>
      <c r="AO92" s="782" t="str">
        <f t="shared" si="65"/>
        <v/>
      </c>
      <c r="AP92" s="783" t="str">
        <f t="shared" si="66"/>
        <v/>
      </c>
      <c r="AQ92" s="2083" t="b">
        <f t="shared" si="73"/>
        <v>0</v>
      </c>
      <c r="AR92" s="797" t="str">
        <f t="shared" si="74"/>
        <v/>
      </c>
      <c r="AS92" s="784" t="str">
        <f t="shared" si="60"/>
        <v/>
      </c>
      <c r="AT92" s="1315" t="str">
        <f t="shared" si="67"/>
        <v/>
      </c>
      <c r="AU92" s="785">
        <f t="shared" si="68"/>
        <v>0</v>
      </c>
      <c r="AV92" s="785">
        <f t="shared" si="69"/>
        <v>0</v>
      </c>
      <c r="AW92" s="798">
        <f>IF(AK92="A",AY10,0)</f>
        <v>0</v>
      </c>
      <c r="AX92" s="5496" t="str">
        <f>IF(IFERROR(SEARCH("Adresse PC",TRIM(W92)),0)&gt;0,"▼ receta siguiente",IF(AK92="A",IF(AZ10&lt;&gt;"",AZ10&amp;" - ou.or.o ❾ + or - &gt;",""),""))</f>
        <v/>
      </c>
      <c r="AY92" s="1316"/>
      <c r="AZ92" s="787"/>
      <c r="BA92" s="799" t="str">
        <f t="shared" si="56"/>
        <v/>
      </c>
      <c r="BB92" s="800" t="str">
        <f>IF(AK92="A",IF(AQ92,IF(AND(AW92&lt;&gt;"",N(AW92)&gt;0),IFERROR(IFERROR(_xlfn.XLOOKUP(AP92,BP10:BP57,BT10:BT57),IFERROR(_xlfn.XLOOKUP(AP92,BQ10:BQ57,BT10:BT57),_xlfn.XLOOKUP(AP92,BR10:BR57,BT10:BT57,""))),""),""),""),"")</f>
        <v/>
      </c>
      <c r="BC92" s="813" cm="1">
        <f t="array" ref="BC92">IF(NOT(AQ92),0,IF(OR(BA92="",N(BA92)&lt;=0.000000001),"",IF(OR(AU92="",N(AU92)&lt;=0.000000001),0,IF(ISNUMBER(BA92),IFERROR(_xlfn.LET(_xlpm.ai_test,TRIM(AP92),_xlpm.r,IFERROR(_xlfn.XLOOKUP(_xlpm.ai_test,BP22:BP69,ROW(BP22:BP69),0,1),IFERROR(_xlfn.XLOOKUP(_xlpm.ai_test,BQ22:BQ69,ROW(BQ22:BQ69),0,1),_xlfn.XLOOKUP(_xlpm.ai_test,BR22:BR69,ROW(BR22:BR69),0,1))),_xlpm.p,_xlpm.r-MIN(ROW(BP22:BP69))+1,_xlpm.f,INDEX(BS22:BS69,_xlpm.p),_xlpm.u,INDEX(BT22:BT69,_xlpm.p),_xlpm.s,INDEX(BV22:BV69,_xlpm.p),_xlpm.q,N(BA92)/_xlpm.f,IF(_xlpm.q&gt;=_xlpm.s,ROUND(_xlpm.q,1)&amp;" "&amp;_xlpm.ai_test&amp;" = "&amp;ROUND(_xlpm.q*_xlpm.f,1)&amp;" "&amp;_xlpm.u,ROUND(_xlpm.q,1)&amp;" "&amp;_xlpm.ai_test)),""),""))))</f>
        <v>0</v>
      </c>
      <c r="BD92" s="801"/>
      <c r="BE92" s="799" t="str">
        <f t="shared" si="70"/>
        <v/>
      </c>
      <c r="BF92" s="800" t="str">
        <f t="shared" si="44"/>
        <v/>
      </c>
      <c r="BG92" s="802">
        <f t="shared" si="45"/>
        <v>0</v>
      </c>
      <c r="BH92" s="803" t="str">
        <f t="shared" si="46"/>
        <v/>
      </c>
      <c r="BI92" s="792"/>
      <c r="BJ92" s="804">
        <f t="shared" si="47"/>
        <v>0</v>
      </c>
      <c r="BK92" s="794" t="str">
        <f t="shared" si="71"/>
        <v/>
      </c>
      <c r="BL92" s="227" t="s">
        <v>21</v>
      </c>
      <c r="BM92" s="773">
        <f t="shared" si="61"/>
        <v>0</v>
      </c>
      <c r="BN92" s="774">
        <f t="shared" si="62"/>
        <v>0</v>
      </c>
      <c r="BP92" s="6851"/>
      <c r="BQ92" s="6852"/>
      <c r="BR92" s="6852"/>
      <c r="BS92" s="6852"/>
      <c r="BT92" s="6852"/>
      <c r="BU92" s="6852"/>
      <c r="BV92" s="6852"/>
      <c r="BW92" s="6852"/>
      <c r="BX92" s="6852"/>
      <c r="BY92" s="6852"/>
      <c r="BZ92" s="6852"/>
      <c r="CA92" s="6852"/>
      <c r="CB92" s="6853"/>
      <c r="CC92"/>
      <c r="CD92" s="781" t="str">
        <f t="shared" si="50"/>
        <v>►</v>
      </c>
      <c r="CE92" s="868" t="s">
        <v>1772</v>
      </c>
      <c r="CF92" s="268"/>
      <c r="CG92" s="268"/>
      <c r="CH92" s="268"/>
      <c r="CI92" s="268"/>
      <c r="CJ92" s="719"/>
      <c r="CK92"/>
      <c r="CL92"/>
      <c r="CM92"/>
      <c r="CN92"/>
      <c r="CO92"/>
      <c r="CP92"/>
      <c r="CQ92"/>
      <c r="CS92"/>
      <c r="CT92"/>
      <c r="CU92"/>
      <c r="CV92"/>
      <c r="CW92"/>
      <c r="CX92"/>
      <c r="CY92"/>
      <c r="DA92"/>
      <c r="DB92"/>
      <c r="DC92"/>
      <c r="DD92"/>
      <c r="DE92"/>
      <c r="DF92"/>
      <c r="DG92"/>
      <c r="DI92" s="3">
        <v>1</v>
      </c>
    </row>
    <row r="93" spans="1:113" s="627" customFormat="1" ht="21" customHeight="1">
      <c r="A93" s="701" t="s">
        <v>21</v>
      </c>
      <c r="B93" s="2265" t="str" cm="1">
        <f t="array" ref="B93">SUMPRODUCT(--(D93:J93&lt;&gt;""), LEN(TRIM(SUBSTITUTE(D93:J93, CHAR(160), "")))) &amp; " Car."</f>
        <v>0 Car.</v>
      </c>
      <c r="C93" s="1376" t="str">
        <f>IF(ISBLANK(D93),"",LARGE(C13:C92,1)+1)</f>
        <v/>
      </c>
      <c r="D93" s="1833"/>
      <c r="E93" s="1810"/>
      <c r="F93" s="1810"/>
      <c r="G93" s="1810"/>
      <c r="H93" s="1810"/>
      <c r="I93" s="1810"/>
      <c r="J93" s="1810"/>
      <c r="K93" s="1810"/>
      <c r="L93" s="1811"/>
      <c r="M93" s="9"/>
      <c r="N93" s="25" t="str">
        <f t="shared" si="51"/>
        <v>A</v>
      </c>
      <c r="O93" s="1616"/>
      <c r="P93" s="9"/>
      <c r="Q93" s="25" t="s">
        <v>10</v>
      </c>
      <c r="R93" s="31" t="str">
        <f>R80</f>
        <v>F FEUILLES DE MERINGUE | pâtisserie--ENTREMET| Auteur &gt; recette Béghin Say de Jean-Jacques Borne MOF 1994</v>
      </c>
      <c r="S93" s="32">
        <f>S80</f>
        <v>18</v>
      </c>
      <c r="T93" s="31" t="str">
        <f>T80</f>
        <v>desserts</v>
      </c>
      <c r="U93" s="33" t="str">
        <f>U80</f>
        <v>Recette mère ► MILLE-FEUILLE  aux fraises des bois</v>
      </c>
      <c r="V93" s="121" t="s">
        <v>155</v>
      </c>
      <c r="W93" s="121" t="s">
        <v>156</v>
      </c>
      <c r="X93" s="143" t="s">
        <v>141</v>
      </c>
      <c r="Y93" s="121" t="s">
        <v>110</v>
      </c>
      <c r="Z93" s="121" t="s">
        <v>157</v>
      </c>
      <c r="AA93" s="121" t="s">
        <v>158</v>
      </c>
      <c r="AB93" s="143" t="s">
        <v>141</v>
      </c>
      <c r="AC93" s="125" t="s">
        <v>115</v>
      </c>
      <c r="AD93" s="155" t="s">
        <v>159</v>
      </c>
      <c r="AE93" s="155" t="s">
        <v>160</v>
      </c>
      <c r="AF93" s="109" t="s">
        <v>161</v>
      </c>
      <c r="AG93" s="109" t="s">
        <v>162</v>
      </c>
      <c r="AH93" s="109" t="s">
        <v>105</v>
      </c>
      <c r="AI93" s="1758" t="s">
        <v>1689</v>
      </c>
      <c r="AJ93" s="697" t="s">
        <v>163</v>
      </c>
      <c r="AK93" s="6120" t="str">
        <f t="shared" si="72"/>
        <v>►</v>
      </c>
      <c r="AL93" s="781" t="str">
        <f t="shared" si="59"/>
        <v>►</v>
      </c>
      <c r="AM93" s="5499" t="str">
        <f t="shared" si="63"/>
        <v/>
      </c>
      <c r="AN93" s="783" t="str">
        <f t="shared" si="64"/>
        <v/>
      </c>
      <c r="AO93" s="782" t="str">
        <f t="shared" si="65"/>
        <v/>
      </c>
      <c r="AP93" s="783" t="str">
        <f t="shared" si="66"/>
        <v/>
      </c>
      <c r="AQ93" s="2083" t="b">
        <f t="shared" si="73"/>
        <v>1</v>
      </c>
      <c r="AR93" s="797" t="str">
        <f t="shared" si="74"/>
        <v/>
      </c>
      <c r="AS93" s="784" t="str">
        <f t="shared" si="60"/>
        <v/>
      </c>
      <c r="AT93" s="1315" t="str">
        <f t="shared" si="67"/>
        <v/>
      </c>
      <c r="AU93" s="785">
        <f t="shared" si="68"/>
        <v>0</v>
      </c>
      <c r="AV93" s="785">
        <f t="shared" si="69"/>
        <v>0</v>
      </c>
      <c r="AW93" s="786">
        <f>IF(AK93="A",AY10,0)</f>
        <v>0</v>
      </c>
      <c r="AX93" s="5495" t="str">
        <f>IF(IFERROR(SEARCH("Adresse PC",TRIM(W93)),0)&gt;0,"▼ receta siguiente",IF(AK93="A",IF(AZ10&lt;&gt;"",AZ10&amp;" - ou.or.o ❾ + or - &gt;",""),""))</f>
        <v/>
      </c>
      <c r="AY93" s="1316"/>
      <c r="AZ93" s="787"/>
      <c r="BA93" s="788" t="str">
        <f t="shared" si="56"/>
        <v/>
      </c>
      <c r="BB93" s="789" t="str">
        <f>IF(AK93="A",IF(AQ93,IF(AND(AW93&lt;&gt;"",N(AW93)&gt;0),IFERROR(IFERROR(_xlfn.XLOOKUP(AP93,BP10:BP57,BT10:BT57),IFERROR(_xlfn.XLOOKUP(AP93,BQ10:BQ57,BT10:BT57),_xlfn.XLOOKUP(AP93,BR10:BR57,BT10:BT57,""))),""),""),""),"")</f>
        <v/>
      </c>
      <c r="BC93" s="811" t="str" cm="1">
        <f t="array" ref="BC93">IF(NOT(AQ93),0,IF(OR(BA93="",N(BA93)&lt;=0.000000001),"",IF(OR(AU93="",N(AU93)&lt;=0.000000001),0,IF(ISNUMBER(BA93),IFERROR(_xlfn.LET(_xlpm.ai_test,TRIM(AP93),_xlpm.r,IFERROR(_xlfn.XLOOKUP(_xlpm.ai_test,BP23:BP70,ROW(BP23:BP70),0,1),IFERROR(_xlfn.XLOOKUP(_xlpm.ai_test,BQ23:BQ70,ROW(BQ23:BQ70),0,1),_xlfn.XLOOKUP(_xlpm.ai_test,BR23:BR70,ROW(BR23:BR70),0,1))),_xlpm.p,_xlpm.r-MIN(ROW(BP23:BP70))+1,_xlpm.f,INDEX(BS23:BS70,_xlpm.p),_xlpm.u,INDEX(BT23:BT70,_xlpm.p),_xlpm.s,INDEX(BV23:BV70,_xlpm.p),_xlpm.q,N(BA93)/_xlpm.f,IF(_xlpm.q&gt;=_xlpm.s,ROUND(_xlpm.q,1)&amp;" "&amp;_xlpm.ai_test&amp;" = "&amp;ROUND(_xlpm.q*_xlpm.f,1)&amp;" "&amp;_xlpm.u,ROUND(_xlpm.q,1)&amp;" "&amp;_xlpm.ai_test)),""),""))))</f>
        <v/>
      </c>
      <c r="BD93" s="801"/>
      <c r="BE93" s="788" t="str">
        <f t="shared" si="70"/>
        <v/>
      </c>
      <c r="BF93" s="789" t="str">
        <f t="shared" si="44"/>
        <v/>
      </c>
      <c r="BG93" s="790">
        <f t="shared" si="45"/>
        <v>0</v>
      </c>
      <c r="BH93" s="791" t="str">
        <f t="shared" si="46"/>
        <v/>
      </c>
      <c r="BI93" s="792"/>
      <c r="BJ93" s="793">
        <f>IF(OR(AU93=0,ISBLANK(BI93),ISTEXT(BG93)),0,(IF(AW93=0,BG93,BA93)*BI93))</f>
        <v>0</v>
      </c>
      <c r="BK93" s="794" t="str">
        <f t="shared" si="71"/>
        <v/>
      </c>
      <c r="BL93" s="227" t="s">
        <v>21</v>
      </c>
      <c r="BM93" s="773">
        <f t="shared" si="61"/>
        <v>0</v>
      </c>
      <c r="BN93" s="774">
        <f t="shared" si="62"/>
        <v>0</v>
      </c>
      <c r="BP93" s="627" t="s">
        <v>2401</v>
      </c>
      <c r="CC93"/>
      <c r="CD93" s="781" t="str">
        <f t="shared" si="50"/>
        <v>►</v>
      </c>
      <c r="CE93" s="869" t="s">
        <v>1773</v>
      </c>
      <c r="CF93" s="268"/>
      <c r="CG93" s="268"/>
      <c r="CH93" s="268"/>
      <c r="CI93" s="268"/>
      <c r="CJ93" s="719"/>
      <c r="CK93"/>
      <c r="CL93"/>
      <c r="CM93"/>
      <c r="CN93"/>
      <c r="CO93"/>
      <c r="CP93"/>
      <c r="CQ93"/>
      <c r="CS93"/>
      <c r="CT93"/>
      <c r="CU93"/>
      <c r="CV93"/>
      <c r="CW93"/>
      <c r="CX93"/>
      <c r="CY93"/>
      <c r="DA93"/>
      <c r="DB93"/>
      <c r="DC93"/>
      <c r="DD93"/>
      <c r="DE93"/>
      <c r="DF93"/>
      <c r="DG93"/>
      <c r="DI93" s="3">
        <v>1</v>
      </c>
    </row>
    <row r="94" spans="1:113" s="627" customFormat="1" ht="21" customHeight="1">
      <c r="A94" s="701" t="s">
        <v>21</v>
      </c>
      <c r="B94" s="2265" t="str" cm="1">
        <f t="array" ref="B94">SUMPRODUCT(--(D94:J94&lt;&gt;""), LEN(TRIM(SUBSTITUTE(D94:J94, CHAR(160), "")))) &amp; " Car."</f>
        <v>0 Car.</v>
      </c>
      <c r="C94" s="1376" t="str">
        <f>IF(ISBLANK(D94),"",LARGE(C13:C93,1)+1)</f>
        <v/>
      </c>
      <c r="D94" s="1833"/>
      <c r="E94" s="1810"/>
      <c r="F94" s="1810"/>
      <c r="G94" s="1810"/>
      <c r="H94" s="1810"/>
      <c r="I94" s="1810"/>
      <c r="J94" s="1810"/>
      <c r="K94" s="1810"/>
      <c r="L94" s="1811"/>
      <c r="M94" s="9"/>
      <c r="N94" s="25" t="str">
        <f t="shared" si="51"/>
        <v>A</v>
      </c>
      <c r="O94" s="1616"/>
      <c r="P94" s="9"/>
      <c r="Q94" s="25" t="s">
        <v>10</v>
      </c>
      <c r="R94" s="31" t="str">
        <f>R80</f>
        <v>F FEUILLES DE MERINGUE | pâtisserie--ENTREMET| Auteur &gt; recette Béghin Say de Jean-Jacques Borne MOF 1994</v>
      </c>
      <c r="S94" s="32">
        <f>S80</f>
        <v>18</v>
      </c>
      <c r="T94" s="31" t="str">
        <f>T80</f>
        <v>desserts</v>
      </c>
      <c r="U94" s="33" t="str">
        <f>U80</f>
        <v>Recette mère ► MILLE-FEUILLE  aux fraises des bois</v>
      </c>
      <c r="V94" s="685">
        <v>2.835E-2</v>
      </c>
      <c r="W94" s="686">
        <v>0.13</v>
      </c>
      <c r="X94" s="687">
        <v>0</v>
      </c>
      <c r="Y94" s="686">
        <v>0.2</v>
      </c>
      <c r="Z94" s="686">
        <v>0.23</v>
      </c>
      <c r="AA94" s="686">
        <v>0.22500000000000001</v>
      </c>
      <c r="AB94" s="687">
        <v>0</v>
      </c>
      <c r="AC94" s="688">
        <v>0.35</v>
      </c>
      <c r="AD94" s="688">
        <v>5.0000000000000001E-3</v>
      </c>
      <c r="AE94" s="688">
        <v>5.0000000000000001E-3</v>
      </c>
      <c r="AF94" s="688">
        <v>1.4999999999999999E-2</v>
      </c>
      <c r="AG94" s="688">
        <v>0.1</v>
      </c>
      <c r="AH94" s="688">
        <v>0.22500000000000001</v>
      </c>
      <c r="AI94" s="688">
        <v>4.0000000000000001E-3</v>
      </c>
      <c r="AJ94" s="1757">
        <v>1E-3</v>
      </c>
      <c r="AK94" s="6120" t="str">
        <f t="shared" si="72"/>
        <v>►</v>
      </c>
      <c r="AL94" s="781" t="str">
        <f t="shared" si="59"/>
        <v>►</v>
      </c>
      <c r="AM94" s="5498" t="str">
        <f t="shared" si="63"/>
        <v/>
      </c>
      <c r="AN94" s="783" t="str">
        <f t="shared" si="64"/>
        <v/>
      </c>
      <c r="AO94" s="782" t="str">
        <f t="shared" si="65"/>
        <v/>
      </c>
      <c r="AP94" s="783" t="str">
        <f t="shared" si="66"/>
        <v/>
      </c>
      <c r="AQ94" s="2083" t="b">
        <f t="shared" si="73"/>
        <v>0</v>
      </c>
      <c r="AR94" s="797" t="str">
        <f t="shared" si="74"/>
        <v/>
      </c>
      <c r="AS94" s="784" t="str">
        <f t="shared" si="60"/>
        <v/>
      </c>
      <c r="AT94" s="1315" t="str">
        <f t="shared" si="67"/>
        <v/>
      </c>
      <c r="AU94" s="785">
        <f t="shared" si="68"/>
        <v>0</v>
      </c>
      <c r="AV94" s="785">
        <f t="shared" si="69"/>
        <v>0</v>
      </c>
      <c r="AW94" s="798">
        <f>IF(AK94="A",AY10,0)</f>
        <v>0</v>
      </c>
      <c r="AX94" s="5496" t="str">
        <f>IF(IFERROR(SEARCH("Adresse PC",TRIM(W94)),0)&gt;0,"▼ receta siguiente",IF(AK94="A",IF(AZ10&lt;&gt;"",AZ10&amp;" - ou.or.o ❾ + or - &gt;",""),""))</f>
        <v/>
      </c>
      <c r="AY94" s="1316"/>
      <c r="AZ94" s="787"/>
      <c r="BA94" s="799" t="str">
        <f t="shared" si="56"/>
        <v/>
      </c>
      <c r="BB94" s="800" t="str">
        <f>IF(AK94="A",IF(AQ94,IF(AND(AW94&lt;&gt;"",N(AW94)&gt;0),IFERROR(IFERROR(_xlfn.XLOOKUP(AP94,BP10:BP57,BT10:BT57),IFERROR(_xlfn.XLOOKUP(AP94,BQ10:BQ57,BT10:BT57),_xlfn.XLOOKUP(AP94,BR10:BR57,BT10:BT57,""))),""),""),""),"")</f>
        <v/>
      </c>
      <c r="BC94" s="813" cm="1">
        <f t="array" ref="BC94">IF(NOT(AQ94),0,IF(OR(BA94="",N(BA94)&lt;=0.000000001),"",IF(OR(AU94="",N(AU94)&lt;=0.000000001),0,IF(ISNUMBER(BA94),IFERROR(_xlfn.LET(_xlpm.ai_test,TRIM(AP94),_xlpm.r,IFERROR(_xlfn.XLOOKUP(_xlpm.ai_test,BP24:BP71,ROW(BP24:BP71),0,1),IFERROR(_xlfn.XLOOKUP(_xlpm.ai_test,BQ24:BQ71,ROW(BQ24:BQ71),0,1),_xlfn.XLOOKUP(_xlpm.ai_test,BR24:BR71,ROW(BR24:BR71),0,1))),_xlpm.p,_xlpm.r-MIN(ROW(BP24:BP71))+1,_xlpm.f,INDEX(BS24:BS71,_xlpm.p),_xlpm.u,INDEX(BT24:BT71,_xlpm.p),_xlpm.s,INDEX(BV24:BV71,_xlpm.p),_xlpm.q,N(BA94)/_xlpm.f,IF(_xlpm.q&gt;=_xlpm.s,ROUND(_xlpm.q,1)&amp;" "&amp;_xlpm.ai_test&amp;" = "&amp;ROUND(_xlpm.q*_xlpm.f,1)&amp;" "&amp;_xlpm.u,ROUND(_xlpm.q,1)&amp;" "&amp;_xlpm.ai_test)),""),""))))</f>
        <v>0</v>
      </c>
      <c r="BD94" s="801"/>
      <c r="BE94" s="799" t="str">
        <f t="shared" si="70"/>
        <v/>
      </c>
      <c r="BF94" s="800" t="str">
        <f t="shared" si="44"/>
        <v/>
      </c>
      <c r="BG94" s="802">
        <f t="shared" si="45"/>
        <v>0</v>
      </c>
      <c r="BH94" s="803" t="str">
        <f t="shared" si="46"/>
        <v/>
      </c>
      <c r="BI94" s="792"/>
      <c r="BJ94" s="804">
        <f t="shared" si="47"/>
        <v>0</v>
      </c>
      <c r="BK94" s="794" t="str">
        <f t="shared" si="71"/>
        <v/>
      </c>
      <c r="BL94" s="227" t="s">
        <v>21</v>
      </c>
      <c r="BM94" s="773">
        <f t="shared" si="61"/>
        <v>0</v>
      </c>
      <c r="BN94" s="774">
        <f t="shared" si="62"/>
        <v>0</v>
      </c>
      <c r="BP94" s="422" t="s">
        <v>140</v>
      </c>
      <c r="BQ94" s="104" t="s">
        <v>100</v>
      </c>
      <c r="BR94" s="143" t="s">
        <v>1309</v>
      </c>
      <c r="BS94" s="118" t="s">
        <v>1301</v>
      </c>
      <c r="BT94" s="118" t="s">
        <v>1302</v>
      </c>
      <c r="BU94" s="118" t="s">
        <v>1303</v>
      </c>
      <c r="BV94" s="643" t="s">
        <v>0</v>
      </c>
      <c r="BW94" s="93" t="s">
        <v>97</v>
      </c>
      <c r="BX94" s="93" t="s">
        <v>144</v>
      </c>
      <c r="BY94" s="643" t="s">
        <v>145</v>
      </c>
      <c r="BZ94" s="109" t="s">
        <v>1304</v>
      </c>
      <c r="CA94" s="109" t="s">
        <v>1305</v>
      </c>
      <c r="CB94" s="145" t="s">
        <v>1306</v>
      </c>
      <c r="CC94"/>
      <c r="CD94" s="781" t="str">
        <f t="shared" si="50"/>
        <v>►</v>
      </c>
      <c r="CE94" s="868" t="s">
        <v>1774</v>
      </c>
      <c r="CF94" s="268"/>
      <c r="CG94" s="268"/>
      <c r="CH94" s="268"/>
      <c r="CI94" s="268"/>
      <c r="CJ94" s="719"/>
      <c r="CK94"/>
      <c r="CL94"/>
      <c r="CM94"/>
      <c r="CN94"/>
      <c r="CO94"/>
      <c r="CP94"/>
      <c r="CQ94"/>
      <c r="CS94"/>
      <c r="CT94"/>
      <c r="CU94"/>
      <c r="CV94"/>
      <c r="CW94"/>
      <c r="CX94"/>
      <c r="CY94"/>
      <c r="DA94"/>
      <c r="DB94"/>
      <c r="DC94"/>
      <c r="DD94"/>
      <c r="DE94"/>
      <c r="DF94"/>
      <c r="DG94"/>
      <c r="DI94" s="3">
        <v>1</v>
      </c>
    </row>
    <row r="95" spans="1:113" s="627" customFormat="1" ht="21" customHeight="1">
      <c r="A95" s="701" t="s">
        <v>21</v>
      </c>
      <c r="B95" s="2265" t="str" cm="1">
        <f t="array" ref="B95">SUMPRODUCT(--(D95:J95&lt;&gt;""), LEN(TRIM(SUBSTITUTE(D95:J95, CHAR(160), "")))) &amp; " Car."</f>
        <v>0 Car.</v>
      </c>
      <c r="C95" s="1376" t="str">
        <f>IF(ISBLANK(D95),"",LARGE(C13:C94,1)+1)</f>
        <v/>
      </c>
      <c r="D95" s="1833"/>
      <c r="E95" s="1810"/>
      <c r="F95" s="1810"/>
      <c r="G95" s="1810"/>
      <c r="H95" s="1810"/>
      <c r="I95" s="1810"/>
      <c r="J95" s="1810"/>
      <c r="K95" s="1810"/>
      <c r="L95" s="1811"/>
      <c r="M95" s="9"/>
      <c r="N95" s="25" t="str">
        <f t="shared" si="51"/>
        <v>►</v>
      </c>
      <c r="O95" s="1616"/>
      <c r="P95" s="9"/>
      <c r="Q95" s="25" t="s">
        <v>15</v>
      </c>
      <c r="R95" s="5563" t="str">
        <f t="shared" ref="R95:AJ95" si="75">SUBSTITUTE(ADDRESS(1,COLUMN(),4),"1","")</f>
        <v>R</v>
      </c>
      <c r="S95" s="5563" t="str">
        <f t="shared" si="75"/>
        <v>S</v>
      </c>
      <c r="T95" s="5563" t="str">
        <f t="shared" si="75"/>
        <v>T</v>
      </c>
      <c r="U95" s="5563" t="str">
        <f t="shared" si="75"/>
        <v>U</v>
      </c>
      <c r="V95" s="5563" t="str">
        <f t="shared" si="75"/>
        <v>V</v>
      </c>
      <c r="W95" s="5563" t="str">
        <f t="shared" si="75"/>
        <v>W</v>
      </c>
      <c r="X95" s="5563" t="str">
        <f t="shared" si="75"/>
        <v>X</v>
      </c>
      <c r="Y95" s="5563" t="str">
        <f t="shared" si="75"/>
        <v>Y</v>
      </c>
      <c r="Z95" s="5563" t="str">
        <f t="shared" si="75"/>
        <v>Z</v>
      </c>
      <c r="AA95" s="5563" t="str">
        <f t="shared" si="75"/>
        <v>AA</v>
      </c>
      <c r="AB95" s="5603" t="str">
        <f t="shared" si="75"/>
        <v>AB</v>
      </c>
      <c r="AC95" s="5563" t="str">
        <f t="shared" si="75"/>
        <v>AC</v>
      </c>
      <c r="AD95" s="5563" t="str">
        <f t="shared" si="75"/>
        <v>AD</v>
      </c>
      <c r="AE95" s="5563" t="str">
        <f t="shared" si="75"/>
        <v>AE</v>
      </c>
      <c r="AF95" s="5563" t="str">
        <f t="shared" si="75"/>
        <v>AF</v>
      </c>
      <c r="AG95" s="6003" t="str">
        <f t="shared" si="75"/>
        <v>AG</v>
      </c>
      <c r="AH95" s="5563" t="str">
        <f t="shared" si="75"/>
        <v>AH</v>
      </c>
      <c r="AI95" s="5563" t="str">
        <f t="shared" si="75"/>
        <v>AI</v>
      </c>
      <c r="AJ95" s="6002" t="str">
        <f t="shared" si="75"/>
        <v>AJ</v>
      </c>
      <c r="AK95" s="6120" t="str">
        <f t="shared" si="72"/>
        <v>►</v>
      </c>
      <c r="AL95" s="781" t="str">
        <f t="shared" si="59"/>
        <v>►</v>
      </c>
      <c r="AM95" s="5499" t="str">
        <f t="shared" si="63"/>
        <v/>
      </c>
      <c r="AN95" s="783" t="str">
        <f t="shared" si="64"/>
        <v/>
      </c>
      <c r="AO95" s="782" t="str">
        <f t="shared" si="65"/>
        <v/>
      </c>
      <c r="AP95" s="783" t="str">
        <f t="shared" si="66"/>
        <v/>
      </c>
      <c r="AQ95" s="2083" t="b">
        <f t="shared" si="73"/>
        <v>0</v>
      </c>
      <c r="AR95" s="797" t="str">
        <f t="shared" si="74"/>
        <v/>
      </c>
      <c r="AS95" s="784" t="str">
        <f t="shared" si="60"/>
        <v/>
      </c>
      <c r="AT95" s="1315" t="str">
        <f t="shared" si="67"/>
        <v/>
      </c>
      <c r="AU95" s="785">
        <f t="shared" si="68"/>
        <v>0</v>
      </c>
      <c r="AV95" s="785">
        <f t="shared" si="69"/>
        <v>0</v>
      </c>
      <c r="AW95" s="786">
        <f>IF(AK95="A",AY10,0)</f>
        <v>0</v>
      </c>
      <c r="AX95" s="5495" t="str">
        <f>IF(IFERROR(SEARCH("Adresse PC",TRIM(W95)),0)&gt;0,"▼ receta siguiente",IF(AK95="A",IF(AZ10&lt;&gt;"",AZ10&amp;" - ou.or.o ❾ + or - &gt;",""),""))</f>
        <v/>
      </c>
      <c r="AY95" s="1316"/>
      <c r="AZ95" s="787"/>
      <c r="BA95" s="788" t="str">
        <f t="shared" si="56"/>
        <v/>
      </c>
      <c r="BB95" s="789" t="str">
        <f>IF(AK95="A",IF(AQ95,IF(AND(AW95&lt;&gt;"",N(AW95)&gt;0),IFERROR(IFERROR(_xlfn.XLOOKUP(AP95,BP10:BP57,BT10:BT57),IFERROR(_xlfn.XLOOKUP(AP95,BQ10:BQ57,BT10:BT57),_xlfn.XLOOKUP(AP95,BR10:BR57,BT10:BT57,""))),""),""),""),"")</f>
        <v/>
      </c>
      <c r="BC95" s="811" cm="1">
        <f t="array" ref="BC95">IF(NOT(AQ95),0,IF(OR(BA95="",N(BA95)&lt;=0.000000001),"",IF(OR(AU95="",N(AU95)&lt;=0.000000001),0,IF(ISNUMBER(BA95),IFERROR(_xlfn.LET(_xlpm.ai_test,TRIM(AP95),_xlpm.r,IFERROR(_xlfn.XLOOKUP(_xlpm.ai_test,BP25:BP72,ROW(BP25:BP72),0,1),IFERROR(_xlfn.XLOOKUP(_xlpm.ai_test,BQ25:BQ72,ROW(BQ25:BQ72),0,1),_xlfn.XLOOKUP(_xlpm.ai_test,BR25:BR72,ROW(BR25:BR72),0,1))),_xlpm.p,_xlpm.r-MIN(ROW(BP25:BP72))+1,_xlpm.f,INDEX(BS25:BS72,_xlpm.p),_xlpm.u,INDEX(BT25:BT72,_xlpm.p),_xlpm.s,INDEX(BV25:BV72,_xlpm.p),_xlpm.q,N(BA95)/_xlpm.f,IF(_xlpm.q&gt;=_xlpm.s,ROUND(_xlpm.q,1)&amp;" "&amp;_xlpm.ai_test&amp;" = "&amp;ROUND(_xlpm.q*_xlpm.f,1)&amp;" "&amp;_xlpm.u,ROUND(_xlpm.q,1)&amp;" "&amp;_xlpm.ai_test)),""),""))))</f>
        <v>0</v>
      </c>
      <c r="BD95" s="801"/>
      <c r="BE95" s="788" t="str">
        <f t="shared" si="70"/>
        <v/>
      </c>
      <c r="BF95" s="789" t="str">
        <f t="shared" si="44"/>
        <v/>
      </c>
      <c r="BG95" s="790">
        <f t="shared" si="45"/>
        <v>0</v>
      </c>
      <c r="BH95" s="791" t="str">
        <f t="shared" si="46"/>
        <v/>
      </c>
      <c r="BI95" s="792"/>
      <c r="BJ95" s="793">
        <f t="shared" si="47"/>
        <v>0</v>
      </c>
      <c r="BK95" s="794" t="str">
        <f t="shared" si="71"/>
        <v/>
      </c>
      <c r="BL95" s="227" t="s">
        <v>21</v>
      </c>
      <c r="BM95" s="773">
        <f t="shared" si="61"/>
        <v>0</v>
      </c>
      <c r="BN95" s="774">
        <f t="shared" si="62"/>
        <v>0</v>
      </c>
      <c r="BP95" s="685">
        <v>1</v>
      </c>
      <c r="BQ95" s="686">
        <v>1E-3</v>
      </c>
      <c r="BR95" s="687">
        <v>0</v>
      </c>
      <c r="BS95" s="686">
        <v>0.25</v>
      </c>
      <c r="BT95" s="686">
        <v>0.33332999999999996</v>
      </c>
      <c r="BU95" s="686">
        <v>0.5</v>
      </c>
      <c r="BV95" s="688">
        <v>1</v>
      </c>
      <c r="BW95" s="688">
        <v>0.1</v>
      </c>
      <c r="BX95" s="688">
        <v>0.01</v>
      </c>
      <c r="BY95" s="688">
        <v>1E-3</v>
      </c>
      <c r="BZ95" s="688">
        <v>0.5</v>
      </c>
      <c r="CA95" s="688">
        <v>0.33300000000000002</v>
      </c>
      <c r="CB95" s="689">
        <v>0.2</v>
      </c>
      <c r="CC95"/>
      <c r="CD95" s="781" t="str">
        <f t="shared" si="50"/>
        <v>►</v>
      </c>
      <c r="CE95" s="872" t="s">
        <v>1775</v>
      </c>
      <c r="CF95" s="45"/>
      <c r="CG95" s="45"/>
      <c r="CH95" s="45"/>
      <c r="CI95" s="45"/>
      <c r="CJ95" s="719"/>
      <c r="CK95"/>
      <c r="CL95"/>
      <c r="CM95"/>
      <c r="CN95"/>
      <c r="CO95"/>
      <c r="CP95"/>
      <c r="CQ95"/>
      <c r="CR95"/>
      <c r="CS95"/>
      <c r="CT95"/>
      <c r="CU95"/>
      <c r="CV95"/>
      <c r="CW95"/>
      <c r="CX95"/>
      <c r="CY95"/>
      <c r="CZ95"/>
      <c r="DA95"/>
      <c r="DB95"/>
      <c r="DC95"/>
      <c r="DD95"/>
      <c r="DE95"/>
      <c r="DF95"/>
      <c r="DG95"/>
      <c r="DI95" s="3">
        <v>1</v>
      </c>
    </row>
    <row r="96" spans="1:113" s="627" customFormat="1" ht="21" customHeight="1">
      <c r="A96" s="701" t="s">
        <v>21</v>
      </c>
      <c r="B96" s="2265" t="str" cm="1">
        <f t="array" ref="B96">SUMPRODUCT(--(D96:J96&lt;&gt;""), LEN(TRIM(SUBSTITUTE(D96:J96, CHAR(160), "")))) &amp; " Car."</f>
        <v>0 Car.</v>
      </c>
      <c r="C96" s="1376" t="str">
        <f>IF(ISBLANK(D96),"",LARGE(C13:C95,1)+1)</f>
        <v/>
      </c>
      <c r="D96" s="1833"/>
      <c r="E96" s="1810"/>
      <c r="F96" s="1810"/>
      <c r="G96" s="1810"/>
      <c r="H96" s="1810"/>
      <c r="I96" s="1810"/>
      <c r="J96" s="1810"/>
      <c r="K96" s="1810"/>
      <c r="L96" s="1811"/>
      <c r="M96" s="9"/>
      <c r="N96" s="25" t="str">
        <f t="shared" si="51"/>
        <v>A</v>
      </c>
      <c r="O96" s="1616"/>
      <c r="P96" s="9"/>
      <c r="Q96" s="25" t="s">
        <v>10</v>
      </c>
      <c r="R96" s="5601">
        <f t="shared" ref="R96:AJ96" ca="1" si="76">CELL("largeur",R96)</f>
        <v>3</v>
      </c>
      <c r="S96" s="5601">
        <f t="shared" ca="1" si="76"/>
        <v>3</v>
      </c>
      <c r="T96" s="5601">
        <f t="shared" ca="1" si="76"/>
        <v>3</v>
      </c>
      <c r="U96" s="5601">
        <f t="shared" ca="1" si="76"/>
        <v>5</v>
      </c>
      <c r="V96" s="5601">
        <f t="shared" ca="1" si="76"/>
        <v>12</v>
      </c>
      <c r="W96" s="5601">
        <f t="shared" ca="1" si="76"/>
        <v>12</v>
      </c>
      <c r="X96" s="5601">
        <f t="shared" ca="1" si="76"/>
        <v>3</v>
      </c>
      <c r="Y96" s="5601">
        <f t="shared" ca="1" si="76"/>
        <v>9</v>
      </c>
      <c r="Z96" s="5601">
        <f t="shared" ca="1" si="76"/>
        <v>12</v>
      </c>
      <c r="AA96" s="5601">
        <f t="shared" ca="1" si="76"/>
        <v>13</v>
      </c>
      <c r="AB96" s="5604">
        <f t="shared" ca="1" si="76"/>
        <v>6</v>
      </c>
      <c r="AC96" s="5602">
        <f t="shared" ca="1" si="76"/>
        <v>40</v>
      </c>
      <c r="AD96" s="5602">
        <f t="shared" ca="1" si="76"/>
        <v>10</v>
      </c>
      <c r="AE96" s="5602">
        <f t="shared" ca="1" si="76"/>
        <v>9</v>
      </c>
      <c r="AF96" s="5602">
        <f t="shared" ca="1" si="76"/>
        <v>11</v>
      </c>
      <c r="AG96" s="5604">
        <f t="shared" ca="1" si="76"/>
        <v>13</v>
      </c>
      <c r="AH96" s="5602">
        <f t="shared" ca="1" si="76"/>
        <v>13</v>
      </c>
      <c r="AI96" s="5602">
        <f t="shared" ca="1" si="76"/>
        <v>13</v>
      </c>
      <c r="AJ96" s="6001">
        <f t="shared" ca="1" si="76"/>
        <v>17</v>
      </c>
      <c r="AK96" s="6120" t="str">
        <f t="shared" ca="1" si="72"/>
        <v>►</v>
      </c>
      <c r="AL96" s="781" t="str">
        <f t="shared" ca="1" si="59"/>
        <v>►</v>
      </c>
      <c r="AM96" s="5498" t="str">
        <f t="shared" ca="1" si="63"/>
        <v/>
      </c>
      <c r="AN96" s="783" t="str">
        <f t="shared" ca="1" si="64"/>
        <v/>
      </c>
      <c r="AO96" s="782" t="str">
        <f t="shared" ca="1" si="65"/>
        <v/>
      </c>
      <c r="AP96" s="783" t="str">
        <f t="shared" ca="1" si="66"/>
        <v/>
      </c>
      <c r="AQ96" s="2083" t="b">
        <f t="shared" ca="1" si="73"/>
        <v>0</v>
      </c>
      <c r="AR96" s="797" t="str">
        <f t="shared" ca="1" si="74"/>
        <v/>
      </c>
      <c r="AS96" s="784" t="str">
        <f t="shared" ca="1" si="60"/>
        <v/>
      </c>
      <c r="AT96" s="1315" t="str">
        <f t="shared" ca="1" si="67"/>
        <v/>
      </c>
      <c r="AU96" s="785">
        <f t="shared" ca="1" si="68"/>
        <v>0</v>
      </c>
      <c r="AV96" s="785">
        <f t="shared" ca="1" si="69"/>
        <v>0</v>
      </c>
      <c r="AW96" s="798">
        <f ca="1">IF(AK96="A",AY10,0)</f>
        <v>0</v>
      </c>
      <c r="AX96" s="5496" t="str">
        <f ca="1">IF(IFERROR(SEARCH("Adresse PC",TRIM(W96)),0)&gt;0,"▼ receta siguiente",IF(AK96="A",IF(AZ10&lt;&gt;"",AZ10&amp;" - ou.or.o ❾ + or - &gt;",""),""))</f>
        <v/>
      </c>
      <c r="AY96" s="1316"/>
      <c r="AZ96" s="787"/>
      <c r="BA96" s="799" t="str">
        <f t="shared" ca="1" si="56"/>
        <v/>
      </c>
      <c r="BB96" s="800" t="str">
        <f ca="1">IF(AK96="A",IF(AQ96,IF(AND(AW96&lt;&gt;"",N(AW96)&gt;0),IFERROR(IFERROR(_xlfn.XLOOKUP(AP96,BP10:BP57,BT10:BT57),IFERROR(_xlfn.XLOOKUP(AP96,BQ10:BQ57,BT10:BT57),_xlfn.XLOOKUP(AP96,BR10:BR57,BT10:BT57,""))),""),""),""),"")</f>
        <v/>
      </c>
      <c r="BC96" s="813" cm="1">
        <f t="array" aca="1" ref="BC96" ca="1">IF(NOT(AQ96),0,IF(OR(BA96="",N(BA96)&lt;=0.000000001),"",IF(OR(AU96="",N(AU96)&lt;=0.000000001),0,IF(ISNUMBER(BA96),IFERROR(_xlfn.LET(_xlpm.ai_test,TRIM(AP96),_xlpm.r,IFERROR(_xlfn.XLOOKUP(_xlpm.ai_test,BP26:BP73,ROW(BP26:BP73),0,1),IFERROR(_xlfn.XLOOKUP(_xlpm.ai_test,BQ26:BQ73,ROW(BQ26:BQ73),0,1),_xlfn.XLOOKUP(_xlpm.ai_test,BR26:BR73,ROW(BR26:BR73),0,1))),_xlpm.p,_xlpm.r-MIN(ROW(BP26:BP73))+1,_xlpm.f,INDEX(BS26:BS73,_xlpm.p),_xlpm.u,INDEX(BT26:BT73,_xlpm.p),_xlpm.s,INDEX(BV26:BV73,_xlpm.p),_xlpm.q,N(BA96)/_xlpm.f,IF(_xlpm.q&gt;=_xlpm.s,ROUND(_xlpm.q,1)&amp;" "&amp;_xlpm.ai_test&amp;" = "&amp;ROUND(_xlpm.q*_xlpm.f,1)&amp;" "&amp;_xlpm.u,ROUND(_xlpm.q,1)&amp;" "&amp;_xlpm.ai_test)),""),""))))</f>
        <v>0</v>
      </c>
      <c r="BD96" s="801"/>
      <c r="BE96" s="799" t="str">
        <f t="shared" ca="1" si="70"/>
        <v/>
      </c>
      <c r="BF96" s="800" t="str">
        <f t="shared" ref="BF96:BF159" ca="1" si="77">IF(AQ96,BB96,"")</f>
        <v/>
      </c>
      <c r="BG96" s="802">
        <f t="shared" ref="BG96:BG159" ca="1" si="78">IF(AND(ISNUMBER(BM96),ABS(BM96)&gt;0.000000001),BM96,0)</f>
        <v>0</v>
      </c>
      <c r="BH96" s="803" t="str">
        <f t="shared" ref="BH96:BH159" ca="1" si="79">IF(AND(AQ96, N(BG96)&gt;0.000000001), W96, "")</f>
        <v/>
      </c>
      <c r="BI96" s="792"/>
      <c r="BJ96" s="804">
        <f t="shared" ref="BJ96:BJ159" ca="1" si="80">IF(OR(AU96=0,ISBLANK(BI96),ISTEXT(BG96)),0,(IF(BA96=0,BG96,BA96)*BI96))</f>
        <v>0</v>
      </c>
      <c r="BK96" s="794" t="str">
        <f t="shared" ca="1" si="71"/>
        <v/>
      </c>
      <c r="BL96" s="227" t="s">
        <v>21</v>
      </c>
      <c r="BM96" s="773">
        <f t="shared" ca="1" si="61"/>
        <v>0</v>
      </c>
      <c r="BN96" s="774">
        <f t="shared" ca="1" si="62"/>
        <v>0</v>
      </c>
      <c r="BP96" s="121" t="s">
        <v>1307</v>
      </c>
      <c r="BQ96" s="121" t="s">
        <v>1308</v>
      </c>
      <c r="BR96" s="143" t="s">
        <v>1309</v>
      </c>
      <c r="BS96" s="121" t="s">
        <v>1310</v>
      </c>
      <c r="BT96" s="121" t="s">
        <v>1311</v>
      </c>
      <c r="BU96" s="121" t="s">
        <v>1312</v>
      </c>
      <c r="BV96" s="125" t="s">
        <v>1313</v>
      </c>
      <c r="BW96" s="155" t="s">
        <v>1314</v>
      </c>
      <c r="BX96" s="155" t="s">
        <v>1315</v>
      </c>
      <c r="BY96" s="109" t="s">
        <v>1316</v>
      </c>
      <c r="BZ96" s="109" t="s">
        <v>1317</v>
      </c>
      <c r="CA96" s="109" t="s">
        <v>1318</v>
      </c>
      <c r="CB96" s="697" t="s">
        <v>1319</v>
      </c>
      <c r="CC96"/>
      <c r="CD96" s="781" t="str">
        <f t="shared" ca="1" si="50"/>
        <v>►</v>
      </c>
      <c r="CE96" s="873" t="s">
        <v>1769</v>
      </c>
      <c r="CF96" s="268"/>
      <c r="CG96" s="268"/>
      <c r="CH96" s="45"/>
      <c r="CI96" s="45"/>
      <c r="CJ96" s="719"/>
      <c r="CK96"/>
      <c r="CL96"/>
      <c r="CM96"/>
      <c r="CN96"/>
      <c r="CO96"/>
      <c r="CP96"/>
      <c r="CQ96"/>
      <c r="CR96"/>
      <c r="CS96"/>
      <c r="CT96"/>
      <c r="CU96"/>
      <c r="CV96"/>
      <c r="CW96"/>
      <c r="CX96"/>
      <c r="CY96"/>
      <c r="CZ96"/>
      <c r="DA96"/>
      <c r="DB96"/>
      <c r="DC96"/>
      <c r="DD96"/>
      <c r="DE96"/>
      <c r="DF96"/>
      <c r="DG96"/>
      <c r="DI96" s="3">
        <v>1</v>
      </c>
    </row>
    <row r="97" spans="1:113" s="627" customFormat="1" ht="21" customHeight="1">
      <c r="A97" s="701" t="s">
        <v>21</v>
      </c>
      <c r="B97" s="2265" t="str" cm="1">
        <f t="array" ref="B97">SUMPRODUCT(--(D97:J97&lt;&gt;""), LEN(TRIM(SUBSTITUTE(D97:J97, CHAR(160), "")))) &amp; " Car."</f>
        <v>0 Car.</v>
      </c>
      <c r="C97" s="1376" t="str">
        <f>IF(ISBLANK(D97),"",LARGE(C13:C96,1)+1)</f>
        <v/>
      </c>
      <c r="D97" s="1833"/>
      <c r="E97" s="1810"/>
      <c r="F97" s="1810"/>
      <c r="G97" s="1810"/>
      <c r="H97" s="1810"/>
      <c r="I97" s="1810"/>
      <c r="J97" s="1810"/>
      <c r="K97" s="1810"/>
      <c r="L97" s="1811"/>
      <c r="M97" s="9"/>
      <c r="N97" s="162" t="str">
        <f t="shared" si="51"/>
        <v>A</v>
      </c>
      <c r="O97" s="1616"/>
      <c r="P97" s="9"/>
      <c r="Q97" s="162" t="s">
        <v>10</v>
      </c>
      <c r="R97" s="1370" t="str">
        <f>R80</f>
        <v>F FEUILLES DE MERINGUE | pâtisserie--ENTREMET| Auteur &gt; recette Béghin Say de Jean-Jacques Borne MOF 1994</v>
      </c>
      <c r="S97" s="1348">
        <f>S80</f>
        <v>18</v>
      </c>
      <c r="T97" s="1349" t="str">
        <f>T80</f>
        <v>desserts</v>
      </c>
      <c r="U97" s="1350" t="str">
        <f>U80</f>
        <v>Recette mère ► MILLE-FEUILLE  aux fraises des bois</v>
      </c>
      <c r="V97" s="5997" t="str">
        <f ca="1">"largeur de "&amp;AB95&amp;" à "&amp;AJ95&amp;" = "&amp;SUM(AB96:AJ96)</f>
        <v>largeur de AB à AJ = 132</v>
      </c>
      <c r="W97" s="5998"/>
      <c r="X97" s="1986"/>
      <c r="Y97" s="1986"/>
      <c r="Z97" s="1986"/>
      <c r="AA97" s="1987" t="s">
        <v>8145</v>
      </c>
      <c r="AB97" s="1988" t="s">
        <v>821</v>
      </c>
      <c r="AC97" s="1941"/>
      <c r="AD97" s="5999" t="str">
        <f ca="1">"largeur mini  = "&amp;SUM(AB96:AG96)</f>
        <v>largeur mini  = 89</v>
      </c>
      <c r="AE97" s="6000" t="str">
        <f ca="1">"largeur maxi  = "&amp;SUM(AB96:AJ96)</f>
        <v>largeur maxi  = 132</v>
      </c>
      <c r="AF97" s="1942"/>
      <c r="AG97" s="1942"/>
      <c r="AH97" s="1989"/>
      <c r="AI97" s="1989"/>
      <c r="AJ97" s="1990" t="s">
        <v>218</v>
      </c>
      <c r="AK97" s="6120" t="str">
        <f t="shared" si="72"/>
        <v>►</v>
      </c>
      <c r="AL97" s="781" t="str">
        <f t="shared" si="59"/>
        <v>►</v>
      </c>
      <c r="AM97" s="5499" t="str">
        <f t="shared" si="63"/>
        <v/>
      </c>
      <c r="AN97" s="783" t="str">
        <f t="shared" si="64"/>
        <v/>
      </c>
      <c r="AO97" s="782" t="str">
        <f t="shared" si="65"/>
        <v/>
      </c>
      <c r="AP97" s="783" t="str">
        <f t="shared" si="66"/>
        <v/>
      </c>
      <c r="AQ97" s="2083" t="b">
        <f t="shared" si="73"/>
        <v>1</v>
      </c>
      <c r="AR97" s="797" t="str">
        <f t="shared" si="74"/>
        <v/>
      </c>
      <c r="AS97" s="784" t="str">
        <f t="shared" si="60"/>
        <v/>
      </c>
      <c r="AT97" s="1315" t="str">
        <f t="shared" si="67"/>
        <v/>
      </c>
      <c r="AU97" s="785">
        <f t="shared" si="68"/>
        <v>0</v>
      </c>
      <c r="AV97" s="785">
        <f t="shared" si="69"/>
        <v>0</v>
      </c>
      <c r="AW97" s="786">
        <f>IF(AK97="A",AY10,0)</f>
        <v>0</v>
      </c>
      <c r="AX97" s="5495" t="str">
        <f>IF(IFERROR(SEARCH("Adresse PC",TRIM(W97)),0)&gt;0,"▼ receta siguiente",IF(AK97="A",IF(AZ10&lt;&gt;"",AZ10&amp;" - ou.or.o ❾ + or - &gt;",""),""))</f>
        <v/>
      </c>
      <c r="AY97" s="1316"/>
      <c r="AZ97" s="787"/>
      <c r="BA97" s="788" t="str">
        <f t="shared" si="56"/>
        <v/>
      </c>
      <c r="BB97" s="789" t="str">
        <f>IF(AK97="A",IF(AQ97,IF(AND(AW97&lt;&gt;"",N(AW97)&gt;0),IFERROR(IFERROR(_xlfn.XLOOKUP(AP97,BP10:BP57,BT10:BT57),IFERROR(_xlfn.XLOOKUP(AP97,BQ10:BQ57,BT10:BT57),_xlfn.XLOOKUP(AP97,BR10:BR57,BT10:BT57,""))),""),""),""),"")</f>
        <v/>
      </c>
      <c r="BC97" s="811" t="str" cm="1">
        <f t="array" ref="BC97">IF(NOT(AQ97),0,IF(OR(BA97="",N(BA97)&lt;=0.000000001),"",IF(OR(AU97="",N(AU97)&lt;=0.000000001),0,IF(ISNUMBER(BA97),IFERROR(_xlfn.LET(_xlpm.ai_test,TRIM(AP97),_xlpm.r,IFERROR(_xlfn.XLOOKUP(_xlpm.ai_test,BP27:BP74,ROW(BP27:BP74),0,1),IFERROR(_xlfn.XLOOKUP(_xlpm.ai_test,BQ27:BQ74,ROW(BQ27:BQ74),0,1),_xlfn.XLOOKUP(_xlpm.ai_test,BR27:BR74,ROW(BR27:BR74),0,1))),_xlpm.p,_xlpm.r-MIN(ROW(BP27:BP74))+1,_xlpm.f,INDEX(BS27:BS74,_xlpm.p),_xlpm.u,INDEX(BT27:BT74,_xlpm.p),_xlpm.s,INDEX(BV27:BV74,_xlpm.p),_xlpm.q,N(BA97)/_xlpm.f,IF(_xlpm.q&gt;=_xlpm.s,ROUND(_xlpm.q,1)&amp;" "&amp;_xlpm.ai_test&amp;" = "&amp;ROUND(_xlpm.q*_xlpm.f,1)&amp;" "&amp;_xlpm.u,ROUND(_xlpm.q,1)&amp;" "&amp;_xlpm.ai_test)),""),""))))</f>
        <v/>
      </c>
      <c r="BD97" s="801"/>
      <c r="BE97" s="788" t="str">
        <f t="shared" si="70"/>
        <v/>
      </c>
      <c r="BF97" s="789" t="str">
        <f t="shared" si="77"/>
        <v/>
      </c>
      <c r="BG97" s="790">
        <f t="shared" ca="1" si="78"/>
        <v>0</v>
      </c>
      <c r="BH97" s="791" t="str">
        <f t="shared" ca="1" si="79"/>
        <v/>
      </c>
      <c r="BI97" s="792"/>
      <c r="BJ97" s="793">
        <f t="shared" ca="1" si="80"/>
        <v>0</v>
      </c>
      <c r="BK97" s="794" t="str">
        <f t="shared" si="71"/>
        <v/>
      </c>
      <c r="BL97" s="227" t="s">
        <v>21</v>
      </c>
      <c r="BM97" s="773">
        <f t="shared" ca="1" si="61"/>
        <v>0</v>
      </c>
      <c r="BN97" s="774">
        <f t="shared" si="62"/>
        <v>0</v>
      </c>
      <c r="BP97" s="685">
        <v>2.835E-2</v>
      </c>
      <c r="BQ97" s="686">
        <v>0.13</v>
      </c>
      <c r="BR97" s="687">
        <v>0</v>
      </c>
      <c r="BS97" s="686">
        <v>0.2</v>
      </c>
      <c r="BT97" s="686">
        <v>0.23</v>
      </c>
      <c r="BU97" s="686">
        <v>0.22500000000000001</v>
      </c>
      <c r="BV97" s="688">
        <v>0.35</v>
      </c>
      <c r="BW97" s="688">
        <v>5.0000000000000001E-3</v>
      </c>
      <c r="BX97" s="688">
        <v>5.0000000000000001E-3</v>
      </c>
      <c r="BY97" s="688">
        <v>1.4999999999999999E-2</v>
      </c>
      <c r="BZ97" s="688">
        <v>0.1</v>
      </c>
      <c r="CA97" s="688">
        <v>0.22500000000000001</v>
      </c>
      <c r="CB97" s="689">
        <v>1E-3</v>
      </c>
      <c r="CC97"/>
      <c r="CD97" s="781" t="str">
        <f t="shared" si="50"/>
        <v>►</v>
      </c>
      <c r="CE97" s="45"/>
      <c r="CF97" s="45"/>
      <c r="CG97" s="45"/>
      <c r="CH97" s="45"/>
      <c r="CI97" s="45"/>
      <c r="CJ97" s="719"/>
      <c r="DI97" s="3">
        <v>1</v>
      </c>
    </row>
    <row r="98" spans="1:113" s="627" customFormat="1" ht="21" customHeight="1">
      <c r="A98" s="701" t="s">
        <v>21</v>
      </c>
      <c r="B98" s="2265" t="str" cm="1">
        <f t="array" ref="B98">SUMPRODUCT(--(D98:J98&lt;&gt;""), LEN(TRIM(SUBSTITUTE(D98:J98, CHAR(160), "")))) &amp; " Car."</f>
        <v>0 Car.</v>
      </c>
      <c r="C98" s="1376" t="str">
        <f>IF(ISBLANK(D98),"",LARGE(C13:C97,1)+1)</f>
        <v/>
      </c>
      <c r="D98" s="1833"/>
      <c r="E98" s="1810"/>
      <c r="F98" s="1810"/>
      <c r="G98" s="1810"/>
      <c r="H98" s="1810"/>
      <c r="I98" s="1810"/>
      <c r="J98" s="1810"/>
      <c r="K98" s="1810"/>
      <c r="L98" s="1811"/>
      <c r="M98" s="9"/>
      <c r="N98" s="162" t="str">
        <f t="shared" si="51"/>
        <v>A</v>
      </c>
      <c r="O98" s="1616"/>
      <c r="P98" s="9"/>
      <c r="Q98" s="162" t="s">
        <v>10</v>
      </c>
      <c r="R98" s="163" t="str">
        <f>R80</f>
        <v>F FEUILLES DE MERINGUE | pâtisserie--ENTREMET| Auteur &gt; recette Béghin Say de Jean-Jacques Borne MOF 1994</v>
      </c>
      <c r="S98" s="163">
        <f>S80</f>
        <v>18</v>
      </c>
      <c r="T98" s="164" t="str">
        <f>T80</f>
        <v>desserts</v>
      </c>
      <c r="U98" s="165" t="str">
        <f>U80</f>
        <v>Recette mère ► MILLE-FEUILLE  aux fraises des bois</v>
      </c>
      <c r="V98" s="508"/>
      <c r="W98" s="508"/>
      <c r="X98" s="2063"/>
      <c r="Y98" s="2127" t="s">
        <v>8860</v>
      </c>
      <c r="Z98" s="2065">
        <f ca="1">SUM(AB96:AJ96)</f>
        <v>132</v>
      </c>
      <c r="AA98" s="1374">
        <v>0</v>
      </c>
      <c r="AB98" s="1375" t="s">
        <v>8146</v>
      </c>
      <c r="AC98" s="1810"/>
      <c r="AD98" s="1810"/>
      <c r="AE98" s="1810"/>
      <c r="AF98" s="1810"/>
      <c r="AG98" s="1810"/>
      <c r="AH98" s="9"/>
      <c r="AI98" s="5993" t="s">
        <v>164</v>
      </c>
      <c r="AJ98" s="1330" t="s">
        <v>165</v>
      </c>
      <c r="AK98" s="6120" t="str">
        <f t="shared" si="72"/>
        <v>►</v>
      </c>
      <c r="AL98" s="781" t="str">
        <f t="shared" si="59"/>
        <v>►</v>
      </c>
      <c r="AM98" s="5498" t="str">
        <f t="shared" si="63"/>
        <v/>
      </c>
      <c r="AN98" s="783" t="str">
        <f t="shared" si="64"/>
        <v/>
      </c>
      <c r="AO98" s="782" t="str">
        <f t="shared" si="65"/>
        <v/>
      </c>
      <c r="AP98" s="783" t="str">
        <f t="shared" si="66"/>
        <v/>
      </c>
      <c r="AQ98" s="2083" t="b">
        <f ca="1">AND(Q98="A",COUNTIF(BP16:BR63,TRIM(Z98))&gt;0)</f>
        <v>0</v>
      </c>
      <c r="AR98" s="797" t="str">
        <f>IF(AL98&lt;&gt;"A","",IFERROR(IFERROR(_xlfn.XLOOKUP(TRIM(SUBSTITUTE(Z98,CHAR(160)," ")),BP16:BP63,BS16:BS63),IFERROR(_xlfn.XLOOKUP(TRIM(SUBSTITUTE(Z98,CHAR(160)," ")),BQ16:BQ63,BS16:BS63),_xlfn.XLOOKUP(TRIM(SUBSTITUTE(Z98,CHAR(160)," ")),BR16:BR63,BS16:BS63)))*Y98*IF(ISBLANK(V98),1,V98),0))</f>
        <v/>
      </c>
      <c r="AS98" s="784" t="str">
        <f t="shared" si="60"/>
        <v/>
      </c>
      <c r="AT98" s="1315" t="str">
        <f t="shared" si="67"/>
        <v/>
      </c>
      <c r="AU98" s="785">
        <f t="shared" si="68"/>
        <v>0</v>
      </c>
      <c r="AV98" s="785">
        <f t="shared" si="69"/>
        <v>0</v>
      </c>
      <c r="AW98" s="798">
        <f>IF(AK98="A",AY10,0)</f>
        <v>0</v>
      </c>
      <c r="AX98" s="5496" t="str">
        <f>IF(IFERROR(SEARCH("Adresse PC",TRIM(W98)),0)&gt;0,"▼ receta siguiente",IF(AK98="A",IF(AZ10&lt;&gt;"",AZ10&amp;" - ou.or.o ❾ + or - &gt;",""),""))</f>
        <v/>
      </c>
      <c r="AY98" s="810"/>
      <c r="AZ98" s="810"/>
      <c r="BA98" s="799" t="str">
        <f t="shared" si="56"/>
        <v/>
      </c>
      <c r="BB98" s="800" t="str">
        <f>IF(AK98="A",IF(AQ98,IF(AND(AW98&lt;&gt;"",N(AW98)&gt;0),IFERROR(IFERROR(_xlfn.XLOOKUP(AP98,BP10:BP57,BT10:BT57),IFERROR(_xlfn.XLOOKUP(AP98,BQ10:BQ57,BT10:BT57),_xlfn.XLOOKUP(AP98,BR10:BR57,BT10:BT57,""))),""),""),""),"")</f>
        <v/>
      </c>
      <c r="BC98" s="813" cm="1">
        <f t="array" aca="1" ref="BC98" ca="1">IF(NOT(AQ98),0,IF(OR(BA98="",N(BA98)&lt;=0.000000001),"",IF(OR(AU98="",N(AU98)&lt;=0.000000001),0,IF(ISNUMBER(BA98),IFERROR(_xlfn.LET(_xlpm.ai_test,TRIM(AP98),_xlpm.r,IFERROR(_xlfn.XLOOKUP(_xlpm.ai_test,BP16:BP63,ROW(BP16:BP63),0,1),IFERROR(_xlfn.XLOOKUP(_xlpm.ai_test,BQ16:BQ63,ROW(BQ16:BQ63),0,1),_xlfn.XLOOKUP(_xlpm.ai_test,BR16:BR63,ROW(BR16:BR63),0,1))),_xlpm.p,_xlpm.r-MIN(ROW(BP16:BP63))+1,_xlpm.f,INDEX(BS16:BS63,_xlpm.p),_xlpm.u,INDEX(BT16:BT63,_xlpm.p),_xlpm.s,INDEX(BV16:BV63,_xlpm.p),_xlpm.q,N(BA98)/_xlpm.f,IF(_xlpm.q&gt;=_xlpm.s,ROUND(_xlpm.q,1)&amp;" "&amp;_xlpm.ai_test&amp;" = "&amp;ROUND(_xlpm.q*_xlpm.f,1)&amp;" "&amp;_xlpm.u,ROUND(_xlpm.q,1)&amp;" "&amp;_xlpm.ai_test)),""),""))))</f>
        <v>0</v>
      </c>
      <c r="BD98" s="801"/>
      <c r="BE98" s="799" t="str">
        <f t="shared" si="70"/>
        <v/>
      </c>
      <c r="BF98" s="800" t="str">
        <f t="shared" ca="1" si="77"/>
        <v/>
      </c>
      <c r="BG98" s="802">
        <f t="shared" si="78"/>
        <v>0</v>
      </c>
      <c r="BH98" s="803" t="str">
        <f t="shared" ca="1" si="79"/>
        <v/>
      </c>
      <c r="BI98" s="792"/>
      <c r="BJ98" s="804">
        <f t="shared" si="80"/>
        <v>0</v>
      </c>
      <c r="BK98" s="794" t="str">
        <f t="shared" si="71"/>
        <v/>
      </c>
      <c r="BL98" s="227" t="s">
        <v>21</v>
      </c>
      <c r="BM98" s="773">
        <f t="shared" si="61"/>
        <v>0</v>
      </c>
      <c r="BN98" s="774">
        <f t="shared" si="62"/>
        <v>0</v>
      </c>
      <c r="BP98" s="874" t="s">
        <v>794</v>
      </c>
      <c r="BQ98" s="651"/>
      <c r="BR98" s="651"/>
      <c r="BS98" s="651"/>
      <c r="BT98" s="651"/>
      <c r="BU98" s="651"/>
      <c r="BV98" s="651"/>
      <c r="BW98" s="651"/>
      <c r="BX98" s="651"/>
      <c r="BY98" s="651"/>
      <c r="BZ98" s="651"/>
      <c r="CA98" s="651"/>
      <c r="CB98" s="651"/>
      <c r="CC98"/>
      <c r="CD98" s="781" t="str">
        <f t="shared" si="50"/>
        <v>►</v>
      </c>
      <c r="CE98" s="875"/>
      <c r="CF98" s="876"/>
      <c r="CG98" s="876"/>
      <c r="CH98" s="876"/>
      <c r="CI98" s="45"/>
      <c r="CJ98" s="719"/>
      <c r="DI98" s="3">
        <v>1</v>
      </c>
    </row>
    <row r="99" spans="1:113" s="627" customFormat="1" ht="21" customHeight="1">
      <c r="A99" s="701" t="s">
        <v>21</v>
      </c>
      <c r="B99" s="2265" t="str" cm="1">
        <f t="array" ref="B99">SUMPRODUCT(--(D99:J99&lt;&gt;""), LEN(TRIM(SUBSTITUTE(D99:J99, CHAR(160), "")))) &amp; " Car."</f>
        <v>0 Car.</v>
      </c>
      <c r="C99" s="1376" t="str">
        <f>IF(ISBLANK(D99),"",LARGE(C13:C98,1)+1)</f>
        <v/>
      </c>
      <c r="D99" s="1833"/>
      <c r="E99" s="1810"/>
      <c r="F99" s="1810"/>
      <c r="G99" s="1810"/>
      <c r="H99" s="1810"/>
      <c r="I99" s="1810"/>
      <c r="J99" s="1810"/>
      <c r="K99" s="1810"/>
      <c r="L99" s="1811"/>
      <c r="M99" s="9"/>
      <c r="N99" s="162" t="str">
        <f t="shared" si="51"/>
        <v>A</v>
      </c>
      <c r="O99" s="1616"/>
      <c r="P99" s="9"/>
      <c r="Q99" s="162" t="s">
        <v>10</v>
      </c>
      <c r="R99" s="163" t="str">
        <f>R80</f>
        <v>F FEUILLES DE MERINGUE | pâtisserie--ENTREMET| Auteur &gt; recette Béghin Say de Jean-Jacques Borne MOF 1994</v>
      </c>
      <c r="S99" s="163">
        <f>S80</f>
        <v>18</v>
      </c>
      <c r="T99" s="164" t="str">
        <f>T80</f>
        <v>desserts</v>
      </c>
      <c r="U99" s="165" t="str">
        <f>U80</f>
        <v>Recette mère ► MILLE-FEUILLE  aux fraises des bois</v>
      </c>
      <c r="V99" s="1548"/>
      <c r="W99" s="2189" t="s">
        <v>8771</v>
      </c>
      <c r="X99" s="2190">
        <f>ROWS(AB99:AB99)</f>
        <v>1</v>
      </c>
      <c r="Y99" s="5549" t="str" cm="1">
        <f t="array" ref="Y99">IF(SUMPRODUCT((AB99:AG99&lt;&gt;"")*1)=0,"",SUMPRODUCT((AB99:AG99&lt;&gt;"")*(LEN(TRIM(SUBSTITUTE(AB99:AG99,CHAR(160)," "))) - LEN(SUBSTITUTE(TRIM(SUBSTITUTE(AB99:AG99,CHAR(160)," "))," ","")) + 1)) &amp; " mot" &amp; IF(SUMPRODUCT((AB99:AG99&lt;&gt;"")*(LEN(TRIM(SUBSTITUTE(AB99:AG99,CHAR(160)," "))) - LEN(SUBSTITUTE(TRIM(SUBSTITUTE(AB99:AG99,CHAR(160)," "))," ","")) + 1))&gt;1,"s",""))</f>
        <v>8 mots</v>
      </c>
      <c r="Z99" s="5550" t="str" cm="1">
        <f t="array" ref="Z99">SUMPRODUCT(--(AB99:AG99&lt;&gt;""), LEN(TRIM(SUBSTITUTE(AB99:AG99, CHAR(160), "")))) &amp; " Car."</f>
        <v>45 Car.</v>
      </c>
      <c r="AA99" s="1376">
        <f>IF(ISBLANK(AB99),"",LARGE(AA98:AA98,1)+1)</f>
        <v>1</v>
      </c>
      <c r="AB99" s="1810" t="s">
        <v>3066</v>
      </c>
      <c r="AC99" s="1810"/>
      <c r="AD99" s="1810"/>
      <c r="AE99" s="1810"/>
      <c r="AF99" s="1810"/>
      <c r="AG99" s="1810"/>
      <c r="AH99" s="9"/>
      <c r="AI99" s="5993" t="s">
        <v>167</v>
      </c>
      <c r="AJ99" s="1330" t="s">
        <v>165</v>
      </c>
      <c r="AK99" s="6120" t="str">
        <f t="shared" si="72"/>
        <v>►</v>
      </c>
      <c r="AL99" s="781" t="str">
        <f t="shared" si="59"/>
        <v>►</v>
      </c>
      <c r="AM99" s="5499" t="str">
        <f t="shared" si="63"/>
        <v/>
      </c>
      <c r="AN99" s="783" t="str">
        <f t="shared" si="64"/>
        <v/>
      </c>
      <c r="AO99" s="782" t="str">
        <f t="shared" si="65"/>
        <v/>
      </c>
      <c r="AP99" s="783" t="str">
        <f t="shared" si="66"/>
        <v/>
      </c>
      <c r="AQ99" s="2083" t="b">
        <f>AND(Q99="A",COUNTIF(BP16:BR63,TRIM(Z99))&gt;0)</f>
        <v>0</v>
      </c>
      <c r="AR99" s="797" t="str">
        <f>IF(AL99&lt;&gt;"A","",IFERROR(IFERROR(_xlfn.XLOOKUP(TRIM(SUBSTITUTE(Z99,CHAR(160)," ")),BP16:BP63,BS16:BS63),IFERROR(_xlfn.XLOOKUP(TRIM(SUBSTITUTE(Z99,CHAR(160)," ")),BQ16:BQ63,BS16:BS63),_xlfn.XLOOKUP(TRIM(SUBSTITUTE(Z99,CHAR(160)," ")),BR16:BR63,BS16:BS63)))*Y99*IF(ISBLANK(V99),1,V99),0))</f>
        <v/>
      </c>
      <c r="AS99" s="784" t="str">
        <f t="shared" si="60"/>
        <v/>
      </c>
      <c r="AT99" s="1315" t="str">
        <f t="shared" si="67"/>
        <v/>
      </c>
      <c r="AU99" s="785">
        <f t="shared" si="68"/>
        <v>0</v>
      </c>
      <c r="AV99" s="785">
        <f t="shared" si="69"/>
        <v>0</v>
      </c>
      <c r="AW99" s="786">
        <f>IF(AK99="A",AY10,0)</f>
        <v>0</v>
      </c>
      <c r="AX99" s="5495" t="str">
        <f>IF(IFERROR(SEARCH("Adresse PC",TRIM(W99)),0)&gt;0,"▼ receta siguiente",IF(AK99="A",IF(AZ10&lt;&gt;"",AZ10&amp;" - ou.or.o ❾ + or - &gt;",""),""))</f>
        <v/>
      </c>
      <c r="AY99" s="810"/>
      <c r="AZ99" s="810"/>
      <c r="BA99" s="788" t="str">
        <f t="shared" si="56"/>
        <v/>
      </c>
      <c r="BB99" s="789" t="str">
        <f>IF(AK99="A",IF(AQ99,IF(AND(AW99&lt;&gt;"",N(AW99)&gt;0),IFERROR(IFERROR(_xlfn.XLOOKUP(AP99,BP10:BP57,BT10:BT57),IFERROR(_xlfn.XLOOKUP(AP99,BQ10:BQ57,BT10:BT57),_xlfn.XLOOKUP(AP99,BR10:BR57,BT10:BT57,""))),""),""),""),"")</f>
        <v/>
      </c>
      <c r="BC99" s="811" cm="1">
        <f t="array" ref="BC99">IF(NOT(AQ99),0,IF(OR(BA99="",N(BA99)&lt;=0.000000001),"",IF(OR(AU99="",N(AU99)&lt;=0.000000001),0,IF(ISNUMBER(BA99),IFERROR(_xlfn.LET(_xlpm.ai_test,TRIM(AP99),_xlpm.r,IFERROR(_xlfn.XLOOKUP(_xlpm.ai_test,BP16:BP63,ROW(BP16:BP63),0,1),IFERROR(_xlfn.XLOOKUP(_xlpm.ai_test,BQ16:BQ63,ROW(BQ16:BQ63),0,1),_xlfn.XLOOKUP(_xlpm.ai_test,BR16:BR63,ROW(BR16:BR63),0,1))),_xlpm.p,_xlpm.r-MIN(ROW(BP16:BP63))+1,_xlpm.f,INDEX(BS16:BS63,_xlpm.p),_xlpm.u,INDEX(BT16:BT63,_xlpm.p),_xlpm.s,INDEX(BV16:BV63,_xlpm.p),_xlpm.q,N(BA99)/_xlpm.f,IF(_xlpm.q&gt;=_xlpm.s,ROUND(_xlpm.q,1)&amp;" "&amp;_xlpm.ai_test&amp;" = "&amp;ROUND(_xlpm.q*_xlpm.f,1)&amp;" "&amp;_xlpm.u,ROUND(_xlpm.q,1)&amp;" "&amp;_xlpm.ai_test)),""),""))))</f>
        <v>0</v>
      </c>
      <c r="BD99" s="801"/>
      <c r="BE99" s="788" t="str">
        <f t="shared" si="70"/>
        <v/>
      </c>
      <c r="BF99" s="789" t="str">
        <f t="shared" si="77"/>
        <v/>
      </c>
      <c r="BG99" s="790">
        <f t="shared" si="78"/>
        <v>0</v>
      </c>
      <c r="BH99" s="791" t="str">
        <f t="shared" si="79"/>
        <v/>
      </c>
      <c r="BI99" s="792"/>
      <c r="BJ99" s="793">
        <f t="shared" si="80"/>
        <v>0</v>
      </c>
      <c r="BK99" s="794" t="str">
        <f t="shared" si="71"/>
        <v/>
      </c>
      <c r="BL99" s="227" t="s">
        <v>21</v>
      </c>
      <c r="BM99" s="773">
        <f t="shared" si="61"/>
        <v>0</v>
      </c>
      <c r="BN99" s="774">
        <f t="shared" si="62"/>
        <v>0</v>
      </c>
      <c r="BP99" s="877" t="s">
        <v>1776</v>
      </c>
      <c r="BQ99" s="878"/>
      <c r="BR99" s="878"/>
      <c r="BS99" s="878"/>
      <c r="BT99" s="878"/>
      <c r="BU99" s="878"/>
      <c r="BV99" s="878"/>
      <c r="BW99" s="878"/>
      <c r="BX99" s="878"/>
      <c r="BY99" s="878"/>
      <c r="BZ99" s="878"/>
      <c r="CA99" s="878"/>
      <c r="CB99" s="878"/>
      <c r="CC99"/>
      <c r="CD99" s="781" t="str">
        <f t="shared" si="50"/>
        <v>►</v>
      </c>
      <c r="CE99" s="875"/>
      <c r="CF99" s="876"/>
      <c r="CG99" s="876"/>
      <c r="CH99" s="876"/>
      <c r="CI99" s="45"/>
      <c r="CJ99" s="719"/>
      <c r="DI99" s="3">
        <v>1</v>
      </c>
    </row>
    <row r="100" spans="1:113" s="627" customFormat="1" ht="21" customHeight="1">
      <c r="A100" s="701" t="s">
        <v>21</v>
      </c>
      <c r="B100" s="2265" t="str" cm="1">
        <f t="array" ref="B100">SUMPRODUCT(--(D100:J100&lt;&gt;""), LEN(TRIM(SUBSTITUTE(D100:J100, CHAR(160), "")))) &amp; " Car."</f>
        <v>0 Car.</v>
      </c>
      <c r="C100" s="1376" t="str">
        <f>IF(ISBLANK(D100),"",LARGE(C13:C99,1)+1)</f>
        <v/>
      </c>
      <c r="D100" s="1833"/>
      <c r="E100" s="1810"/>
      <c r="F100" s="1810"/>
      <c r="G100" s="1810"/>
      <c r="H100" s="1810"/>
      <c r="I100" s="1810"/>
      <c r="J100" s="1810"/>
      <c r="K100" s="1810"/>
      <c r="L100" s="1811"/>
      <c r="M100" s="9"/>
      <c r="N100" s="162" t="str">
        <f t="shared" si="51"/>
        <v>A</v>
      </c>
      <c r="O100" s="1616"/>
      <c r="P100" s="9"/>
      <c r="Q100" s="162" t="s">
        <v>10</v>
      </c>
      <c r="R100" s="163" t="str">
        <f>R80</f>
        <v>F FEUILLES DE MERINGUE | pâtisserie--ENTREMET| Auteur &gt; recette Béghin Say de Jean-Jacques Borne MOF 1994</v>
      </c>
      <c r="S100" s="163">
        <f>S80</f>
        <v>18</v>
      </c>
      <c r="T100" s="164" t="str">
        <f>T80</f>
        <v>desserts</v>
      </c>
      <c r="U100" s="165" t="str">
        <f>U80</f>
        <v>Recette mère ► MILLE-FEUILLE  aux fraises des bois</v>
      </c>
      <c r="V100" s="1548"/>
      <c r="W100" s="1548"/>
      <c r="X100" s="2190">
        <f>ROWS(AB99:AB100)</f>
        <v>2</v>
      </c>
      <c r="Y100" s="5549" t="str" cm="1">
        <f t="array" ref="Y100">IF(SUMPRODUCT((AB100:AG100&lt;&gt;"")*1)=0,"",SUMPRODUCT((AB100:AG100&lt;&gt;"")*(LEN(TRIM(SUBSTITUTE(AB100:AG100,CHAR(160)," "))) - LEN(SUBSTITUTE(TRIM(SUBSTITUTE(AB100:AG100,CHAR(160)," "))," ","")) + 1)) &amp; " mot" &amp; IF(SUMPRODUCT((AB100:AG100&lt;&gt;"")*(LEN(TRIM(SUBSTITUTE(AB100:AG100,CHAR(160)," "))) - LEN(SUBSTITUTE(TRIM(SUBSTITUTE(AB100:AG100,CHAR(160)," "))," ","")) + 1))&gt;1,"s",""))</f>
        <v>10 mots</v>
      </c>
      <c r="Z100" s="5550" t="str" cm="1">
        <f t="array" ref="Z100">SUMPRODUCT(--(AB100:AG100&lt;&gt;""), LEN(TRIM(SUBSTITUTE(AB100:AG100, CHAR(160), "")))) &amp; " Car."</f>
        <v>52 Car.</v>
      </c>
      <c r="AA100" s="1376">
        <f>IF(ISBLANK(AB100),"",LARGE(AA98:AA99,1)+1)</f>
        <v>2</v>
      </c>
      <c r="AB100" s="1810" t="s">
        <v>3067</v>
      </c>
      <c r="AC100" s="1810"/>
      <c r="AD100" s="1810"/>
      <c r="AE100" s="1810"/>
      <c r="AF100" s="1810"/>
      <c r="AG100" s="1810"/>
      <c r="AH100" s="1810"/>
      <c r="AI100" s="5994" t="s">
        <v>171</v>
      </c>
      <c r="AJ100" s="5564">
        <v>3.472222222222222E-3</v>
      </c>
      <c r="AK100" s="6120" t="str">
        <f t="shared" si="72"/>
        <v>►</v>
      </c>
      <c r="AL100" s="781" t="str">
        <f t="shared" si="59"/>
        <v>►</v>
      </c>
      <c r="AM100" s="5498" t="str">
        <f t="shared" si="63"/>
        <v/>
      </c>
      <c r="AN100" s="783" t="str">
        <f t="shared" si="64"/>
        <v/>
      </c>
      <c r="AO100" s="782" t="str">
        <f t="shared" si="65"/>
        <v/>
      </c>
      <c r="AP100" s="783" t="str">
        <f t="shared" si="66"/>
        <v/>
      </c>
      <c r="AQ100" s="2083" t="b">
        <f>AND(Q100="A",COUNTIF(BP16:BR63,TRIM(Z100))&gt;0)</f>
        <v>0</v>
      </c>
      <c r="AR100" s="797" t="str">
        <f>IF(AL100&lt;&gt;"A","",IFERROR(IFERROR(_xlfn.XLOOKUP(TRIM(SUBSTITUTE(Z100,CHAR(160)," ")),BP16:BP63,BS16:BS63),IFERROR(_xlfn.XLOOKUP(TRIM(SUBSTITUTE(Z100,CHAR(160)," ")),BQ16:BQ63,BS16:BS63),_xlfn.XLOOKUP(TRIM(SUBSTITUTE(Z100,CHAR(160)," ")),BR16:BR63,BS16:BS63)))*Y100*IF(ISBLANK(V100),1,V100),0))</f>
        <v/>
      </c>
      <c r="AS100" s="784" t="str">
        <f t="shared" si="60"/>
        <v/>
      </c>
      <c r="AT100" s="1315" t="str">
        <f t="shared" si="67"/>
        <v/>
      </c>
      <c r="AU100" s="785">
        <f t="shared" si="68"/>
        <v>0</v>
      </c>
      <c r="AV100" s="785">
        <f t="shared" si="69"/>
        <v>0</v>
      </c>
      <c r="AW100" s="798">
        <f>IF(AK100="A",AY10,0)</f>
        <v>0</v>
      </c>
      <c r="AX100" s="5496" t="str">
        <f>IF(IFERROR(SEARCH("Adresse PC",TRIM(W100)),0)&gt;0,"▼ receta siguiente",IF(AK100="A",IF(AZ10&lt;&gt;"",AZ10&amp;" - ou.or.o ❾ + or - &gt;",""),""))</f>
        <v/>
      </c>
      <c r="AY100" s="810"/>
      <c r="AZ100" s="810"/>
      <c r="BA100" s="799" t="str">
        <f t="shared" si="56"/>
        <v/>
      </c>
      <c r="BB100" s="800" t="str">
        <f>IF(AK100="A",IF(AQ100,IF(AND(AW100&lt;&gt;"",N(AW100)&gt;0),IFERROR(IFERROR(_xlfn.XLOOKUP(AP100,BP10:BP57,BT10:BT57),IFERROR(_xlfn.XLOOKUP(AP100,BQ10:BQ57,BT10:BT57),_xlfn.XLOOKUP(AP100,BR10:BR57,BT10:BT57,""))),""),""),""),"")</f>
        <v/>
      </c>
      <c r="BC100" s="813" cm="1">
        <f t="array" ref="BC100">IF(NOT(AQ100),0,IF(OR(BA100="",N(BA100)&lt;=0.000000001),"",IF(OR(AU100="",N(AU100)&lt;=0.000000001),0,IF(ISNUMBER(BA100),IFERROR(_xlfn.LET(_xlpm.ai_test,TRIM(AP100),_xlpm.r,IFERROR(_xlfn.XLOOKUP(_xlpm.ai_test,BP16:BP63,ROW(BP16:BP63),0,1),IFERROR(_xlfn.XLOOKUP(_xlpm.ai_test,BQ16:BQ63,ROW(BQ16:BQ63),0,1),_xlfn.XLOOKUP(_xlpm.ai_test,BR16:BR63,ROW(BR16:BR63),0,1))),_xlpm.p,_xlpm.r-MIN(ROW(BP16:BP63))+1,_xlpm.f,INDEX(BS16:BS63,_xlpm.p),_xlpm.u,INDEX(BT16:BT63,_xlpm.p),_xlpm.s,INDEX(BV16:BV63,_xlpm.p),_xlpm.q,N(BA100)/_xlpm.f,IF(_xlpm.q&gt;=_xlpm.s,ROUND(_xlpm.q,1)&amp;" "&amp;_xlpm.ai_test&amp;" = "&amp;ROUND(_xlpm.q*_xlpm.f,1)&amp;" "&amp;_xlpm.u,ROUND(_xlpm.q,1)&amp;" "&amp;_xlpm.ai_test)),""),""))))</f>
        <v>0</v>
      </c>
      <c r="BD100" s="801"/>
      <c r="BE100" s="799" t="str">
        <f t="shared" si="70"/>
        <v/>
      </c>
      <c r="BF100" s="800" t="str">
        <f t="shared" si="77"/>
        <v/>
      </c>
      <c r="BG100" s="802">
        <f t="shared" si="78"/>
        <v>0</v>
      </c>
      <c r="BH100" s="803" t="str">
        <f t="shared" si="79"/>
        <v/>
      </c>
      <c r="BI100" s="792"/>
      <c r="BJ100" s="804">
        <f t="shared" si="80"/>
        <v>0</v>
      </c>
      <c r="BK100" s="794" t="str">
        <f t="shared" si="71"/>
        <v/>
      </c>
      <c r="BL100" s="227" t="s">
        <v>21</v>
      </c>
      <c r="BM100" s="773">
        <f t="shared" si="61"/>
        <v>0</v>
      </c>
      <c r="BN100" s="774">
        <f t="shared" si="62"/>
        <v>0</v>
      </c>
      <c r="BP100" s="6854" t="s">
        <v>1777</v>
      </c>
      <c r="BQ100" s="6854"/>
      <c r="BR100" s="6854"/>
      <c r="BS100" s="6854"/>
      <c r="BT100" s="6854"/>
      <c r="BU100" s="6854"/>
      <c r="BV100" s="6854"/>
      <c r="BW100" s="6854"/>
      <c r="BX100" s="6854"/>
      <c r="BY100" s="6854"/>
      <c r="BZ100" s="6854"/>
      <c r="CA100" s="6854"/>
      <c r="CB100" s="6854"/>
      <c r="CC100"/>
      <c r="CD100" s="781" t="str">
        <f t="shared" si="50"/>
        <v>►</v>
      </c>
      <c r="CE100" s="875" t="s">
        <v>2398</v>
      </c>
      <c r="CF100" s="876"/>
      <c r="CG100" s="876"/>
      <c r="CH100" s="876"/>
      <c r="CI100" s="45"/>
      <c r="CJ100" s="719"/>
      <c r="DI100" s="3">
        <v>1</v>
      </c>
    </row>
    <row r="101" spans="1:113" s="627" customFormat="1" ht="21" customHeight="1">
      <c r="A101" s="701" t="s">
        <v>21</v>
      </c>
      <c r="B101" s="2265" t="str" cm="1">
        <f t="array" ref="B101">SUMPRODUCT(--(D101:J101&lt;&gt;""), LEN(TRIM(SUBSTITUTE(D101:J101, CHAR(160), "")))) &amp; " Car."</f>
        <v>0 Car.</v>
      </c>
      <c r="C101" s="1376" t="str">
        <f>IF(ISBLANK(D101),"",LARGE(C13:C100,1)+1)</f>
        <v/>
      </c>
      <c r="D101" s="1833"/>
      <c r="E101" s="1810"/>
      <c r="F101" s="1810"/>
      <c r="G101" s="1810"/>
      <c r="H101" s="1810"/>
      <c r="I101" s="1810"/>
      <c r="J101" s="1810"/>
      <c r="K101" s="1810"/>
      <c r="L101" s="1811"/>
      <c r="M101" s="9"/>
      <c r="N101" s="162" t="str">
        <f t="shared" si="51"/>
        <v>A</v>
      </c>
      <c r="O101" s="1616"/>
      <c r="P101" s="9"/>
      <c r="Q101" s="162" t="s">
        <v>10</v>
      </c>
      <c r="R101" s="163" t="str">
        <f>R80</f>
        <v>F FEUILLES DE MERINGUE | pâtisserie--ENTREMET| Auteur &gt; recette Béghin Say de Jean-Jacques Borne MOF 1994</v>
      </c>
      <c r="S101" s="163">
        <f>S80</f>
        <v>18</v>
      </c>
      <c r="T101" s="164" t="str">
        <f>T80</f>
        <v>desserts</v>
      </c>
      <c r="U101" s="165" t="str">
        <f>U80</f>
        <v>Recette mère ► MILLE-FEUILLE  aux fraises des bois</v>
      </c>
      <c r="V101" s="1548"/>
      <c r="W101" s="1548"/>
      <c r="X101" s="2190">
        <f>ROWS(AB99:AB101)</f>
        <v>3</v>
      </c>
      <c r="Y101" s="5549" t="str" cm="1">
        <f t="array" ref="Y101">IF(SUMPRODUCT((AB101:AG101&lt;&gt;"")*1)=0,"",SUMPRODUCT((AB101:AG101&lt;&gt;"")*(LEN(TRIM(SUBSTITUTE(AB101:AG101,CHAR(160)," "))) - LEN(SUBSTITUTE(TRIM(SUBSTITUTE(AB101:AG101,CHAR(160)," "))," ","")) + 1)) &amp; " mot" &amp; IF(SUMPRODUCT((AB101:AG101&lt;&gt;"")*(LEN(TRIM(SUBSTITUTE(AB101:AG101,CHAR(160)," "))) - LEN(SUBSTITUTE(TRIM(SUBSTITUTE(AB101:AG101,CHAR(160)," "))," ","")) + 1))&gt;1,"s",""))</f>
        <v>10 mots</v>
      </c>
      <c r="Z101" s="5550" t="str" cm="1">
        <f t="array" ref="Z101">SUMPRODUCT(--(AB101:AG101&lt;&gt;""), LEN(TRIM(SUBSTITUTE(AB101:AG101, CHAR(160), "")))) &amp; " Car."</f>
        <v>64 Car.</v>
      </c>
      <c r="AA101" s="1376">
        <f>IF(ISBLANK(AB101),"",LARGE(AA98:AA100,1)+1)</f>
        <v>3</v>
      </c>
      <c r="AB101" s="1810" t="s">
        <v>3068</v>
      </c>
      <c r="AC101" s="1810"/>
      <c r="AD101" s="1810"/>
      <c r="AE101" s="1810"/>
      <c r="AF101" s="1810"/>
      <c r="AG101" s="1810"/>
      <c r="AH101" s="1810"/>
      <c r="AI101" s="5994" t="s">
        <v>173</v>
      </c>
      <c r="AJ101" s="5565">
        <v>1.0416666666666666E-2</v>
      </c>
      <c r="AK101" s="6120" t="str">
        <f t="shared" si="72"/>
        <v>►</v>
      </c>
      <c r="AL101" s="781" t="str">
        <f t="shared" si="59"/>
        <v>►</v>
      </c>
      <c r="AM101" s="5499" t="str">
        <f t="shared" si="63"/>
        <v/>
      </c>
      <c r="AN101" s="783" t="str">
        <f t="shared" si="64"/>
        <v/>
      </c>
      <c r="AO101" s="782" t="str">
        <f t="shared" si="65"/>
        <v/>
      </c>
      <c r="AP101" s="783" t="str">
        <f t="shared" si="66"/>
        <v/>
      </c>
      <c r="AQ101" s="2083" t="b">
        <f>AND(Q101="A",COUNTIF(BP16:BR63,TRIM(Z101))&gt;0)</f>
        <v>0</v>
      </c>
      <c r="AR101" s="797" t="str">
        <f>IF(AL101&lt;&gt;"A","",IFERROR(IFERROR(_xlfn.XLOOKUP(TRIM(SUBSTITUTE(Z101,CHAR(160)," ")),BP16:BP63,BS16:BS63),IFERROR(_xlfn.XLOOKUP(TRIM(SUBSTITUTE(Z101,CHAR(160)," ")),BQ16:BQ63,BS16:BS63),_xlfn.XLOOKUP(TRIM(SUBSTITUTE(Z101,CHAR(160)," ")),BR16:BR63,BS16:BS63)))*Y101*IF(ISBLANK(V101),1,V101),0))</f>
        <v/>
      </c>
      <c r="AS101" s="784" t="str">
        <f t="shared" si="60"/>
        <v/>
      </c>
      <c r="AT101" s="1315" t="str">
        <f t="shared" si="67"/>
        <v/>
      </c>
      <c r="AU101" s="785">
        <f t="shared" si="68"/>
        <v>0</v>
      </c>
      <c r="AV101" s="785">
        <f t="shared" si="69"/>
        <v>0</v>
      </c>
      <c r="AW101" s="786">
        <f>IF(AK101="A",AY10,0)</f>
        <v>0</v>
      </c>
      <c r="AX101" s="5495" t="str">
        <f>IF(IFERROR(SEARCH("Adresse PC",TRIM(W101)),0)&gt;0,"▼ receta siguiente",IF(AK101="A",IF(AZ10&lt;&gt;"",AZ10&amp;" - ou.or.o ❾ + or - &gt;",""),""))</f>
        <v/>
      </c>
      <c r="AY101" s="810"/>
      <c r="AZ101" s="810"/>
      <c r="BA101" s="788" t="str">
        <f t="shared" si="56"/>
        <v/>
      </c>
      <c r="BB101" s="789" t="str">
        <f>IF(AK101="A",IF(AQ101,IF(AND(AW101&lt;&gt;"",N(AW101)&gt;0),IFERROR(IFERROR(_xlfn.XLOOKUP(AP101,BP10:BP57,BT10:BT57),IFERROR(_xlfn.XLOOKUP(AP101,BQ10:BQ57,BT10:BT57),_xlfn.XLOOKUP(AP101,BR10:BR57,BT10:BT57,""))),""),""),""),"")</f>
        <v/>
      </c>
      <c r="BC101" s="811" cm="1">
        <f t="array" ref="BC101">IF(NOT(AQ101),0,IF(OR(BA101="",N(BA101)&lt;=0.000000001),"",IF(OR(AU101="",N(AU101)&lt;=0.000000001),0,IF(ISNUMBER(BA101),IFERROR(_xlfn.LET(_xlpm.ai_test,TRIM(AP101),_xlpm.r,IFERROR(_xlfn.XLOOKUP(_xlpm.ai_test,BP16:BP63,ROW(BP16:BP63),0,1),IFERROR(_xlfn.XLOOKUP(_xlpm.ai_test,BQ16:BQ63,ROW(BQ16:BQ63),0,1),_xlfn.XLOOKUP(_xlpm.ai_test,BR16:BR63,ROW(BR16:BR63),0,1))),_xlpm.p,_xlpm.r-MIN(ROW(BP16:BP63))+1,_xlpm.f,INDEX(BS16:BS63,_xlpm.p),_xlpm.u,INDEX(BT16:BT63,_xlpm.p),_xlpm.s,INDEX(BV16:BV63,_xlpm.p),_xlpm.q,N(BA101)/_xlpm.f,IF(_xlpm.q&gt;=_xlpm.s,ROUND(_xlpm.q,1)&amp;" "&amp;_xlpm.ai_test&amp;" = "&amp;ROUND(_xlpm.q*_xlpm.f,1)&amp;" "&amp;_xlpm.u,ROUND(_xlpm.q,1)&amp;" "&amp;_xlpm.ai_test)),""),""))))</f>
        <v>0</v>
      </c>
      <c r="BD101" s="801"/>
      <c r="BE101" s="788" t="str">
        <f t="shared" si="70"/>
        <v/>
      </c>
      <c r="BF101" s="789" t="str">
        <f t="shared" si="77"/>
        <v/>
      </c>
      <c r="BG101" s="790">
        <f t="shared" si="78"/>
        <v>0</v>
      </c>
      <c r="BH101" s="791" t="str">
        <f t="shared" si="79"/>
        <v/>
      </c>
      <c r="BI101" s="792"/>
      <c r="BJ101" s="793">
        <f t="shared" si="80"/>
        <v>0</v>
      </c>
      <c r="BK101" s="794" t="str">
        <f t="shared" si="71"/>
        <v/>
      </c>
      <c r="BL101" s="227" t="s">
        <v>21</v>
      </c>
      <c r="BM101" s="773">
        <f t="shared" si="61"/>
        <v>0</v>
      </c>
      <c r="BN101" s="774">
        <f t="shared" si="62"/>
        <v>0</v>
      </c>
      <c r="BP101" s="6854"/>
      <c r="BQ101" s="6854"/>
      <c r="BR101" s="6854"/>
      <c r="BS101" s="6854"/>
      <c r="BT101" s="6854"/>
      <c r="BU101" s="6854"/>
      <c r="BV101" s="6854"/>
      <c r="BW101" s="6854"/>
      <c r="BX101" s="6854"/>
      <c r="BY101" s="6854"/>
      <c r="BZ101" s="6854"/>
      <c r="CA101" s="6854"/>
      <c r="CB101" s="6854"/>
      <c r="CC101"/>
      <c r="CD101" s="781" t="str">
        <f t="shared" si="50"/>
        <v>►</v>
      </c>
      <c r="CE101" s="875"/>
      <c r="CF101" s="876"/>
      <c r="CG101" s="876"/>
      <c r="CH101" s="876"/>
      <c r="CI101" s="45"/>
      <c r="CJ101" s="719"/>
      <c r="DI101" s="3">
        <v>1</v>
      </c>
    </row>
    <row r="102" spans="1:113" s="627" customFormat="1" ht="21" customHeight="1">
      <c r="A102" s="701" t="s">
        <v>21</v>
      </c>
      <c r="B102" s="2265" t="str" cm="1">
        <f t="array" ref="B102">SUMPRODUCT(--(D102:J102&lt;&gt;""), LEN(TRIM(SUBSTITUTE(D102:J102, CHAR(160), "")))) &amp; " Car."</f>
        <v>0 Car.</v>
      </c>
      <c r="C102" s="1376" t="str">
        <f>IF(ISBLANK(D102),"",LARGE(C13:C101,1)+1)</f>
        <v/>
      </c>
      <c r="D102" s="1833"/>
      <c r="E102" s="1810"/>
      <c r="F102" s="1810"/>
      <c r="G102" s="1810"/>
      <c r="H102" s="1810"/>
      <c r="I102" s="1810"/>
      <c r="J102" s="1810"/>
      <c r="K102" s="1810"/>
      <c r="L102" s="1811"/>
      <c r="M102" s="9"/>
      <c r="N102" s="162" t="str">
        <f t="shared" si="51"/>
        <v>A</v>
      </c>
      <c r="O102" s="1616"/>
      <c r="P102" s="9"/>
      <c r="Q102" s="162" t="s">
        <v>10</v>
      </c>
      <c r="R102" s="163" t="str">
        <f>R80</f>
        <v>F FEUILLES DE MERINGUE | pâtisserie--ENTREMET| Auteur &gt; recette Béghin Say de Jean-Jacques Borne MOF 1994</v>
      </c>
      <c r="S102" s="163">
        <f>S80</f>
        <v>18</v>
      </c>
      <c r="T102" s="164" t="str">
        <f>T80</f>
        <v>desserts</v>
      </c>
      <c r="U102" s="165" t="str">
        <f>U80</f>
        <v>Recette mère ► MILLE-FEUILLE  aux fraises des bois</v>
      </c>
      <c r="V102" s="1548"/>
      <c r="W102" s="1548"/>
      <c r="X102" s="2190">
        <f>ROWS(AB99:AB102)</f>
        <v>4</v>
      </c>
      <c r="Y102" s="5549" t="str" cm="1">
        <f t="array" ref="Y102">IF(SUMPRODUCT((AB102:AG102&lt;&gt;"")*1)=0,"",SUMPRODUCT((AB102:AG102&lt;&gt;"")*(LEN(TRIM(SUBSTITUTE(AB102:AG102,CHAR(160)," "))) - LEN(SUBSTITUTE(TRIM(SUBSTITUTE(AB102:AG102,CHAR(160)," "))," ","")) + 1)) &amp; " mot" &amp; IF(SUMPRODUCT((AB102:AG102&lt;&gt;"")*(LEN(TRIM(SUBSTITUTE(AB102:AG102,CHAR(160)," "))) - LEN(SUBSTITUTE(TRIM(SUBSTITUTE(AB102:AG102,CHAR(160)," "))," ","")) + 1))&gt;1,"s",""))</f>
        <v>4 mots</v>
      </c>
      <c r="Z102" s="5550" t="str" cm="1">
        <f t="array" ref="Z102">SUMPRODUCT(--(AB102:AG102&lt;&gt;""), LEN(TRIM(SUBSTITUTE(AB102:AG102, CHAR(160), "")))) &amp; " Car."</f>
        <v>18 Car.</v>
      </c>
      <c r="AA102" s="1376">
        <f>IF(ISBLANK(AB102),"",LARGE(AA98:AA101,1)+1)</f>
        <v>4</v>
      </c>
      <c r="AB102" s="1810" t="s">
        <v>3069</v>
      </c>
      <c r="AC102" s="1833"/>
      <c r="AD102" s="1810"/>
      <c r="AE102" s="1810"/>
      <c r="AF102" s="1810"/>
      <c r="AG102" s="1810"/>
      <c r="AH102" s="1810"/>
      <c r="AI102" s="5994" t="s">
        <v>181</v>
      </c>
      <c r="AJ102" s="178">
        <v>2.0833333333333332E-2</v>
      </c>
      <c r="AK102" s="6120" t="str">
        <f t="shared" si="72"/>
        <v>►</v>
      </c>
      <c r="AL102" s="781" t="str">
        <f t="shared" si="59"/>
        <v>►</v>
      </c>
      <c r="AM102" s="5498" t="str">
        <f t="shared" si="63"/>
        <v/>
      </c>
      <c r="AN102" s="783" t="str">
        <f t="shared" si="64"/>
        <v/>
      </c>
      <c r="AO102" s="782" t="str">
        <f t="shared" si="65"/>
        <v/>
      </c>
      <c r="AP102" s="783" t="str">
        <f t="shared" si="66"/>
        <v/>
      </c>
      <c r="AQ102" s="2083" t="b">
        <f>AND(Q102="A",COUNTIF(BP16:BR63,TRIM(Z102))&gt;0)</f>
        <v>0</v>
      </c>
      <c r="AR102" s="797" t="str">
        <f>IF(AL102&lt;&gt;"A","",IFERROR(IFERROR(_xlfn.XLOOKUP(TRIM(SUBSTITUTE(Z102,CHAR(160)," ")),BP16:BP63,BS16:BS63),IFERROR(_xlfn.XLOOKUP(TRIM(SUBSTITUTE(Z102,CHAR(160)," ")),BQ16:BQ63,BS16:BS63),_xlfn.XLOOKUP(TRIM(SUBSTITUTE(Z102,CHAR(160)," ")),BR16:BR63,BS16:BS63)))*Y102*IF(ISBLANK(V102),1,V102),0))</f>
        <v/>
      </c>
      <c r="AS102" s="784" t="str">
        <f t="shared" si="60"/>
        <v/>
      </c>
      <c r="AT102" s="1315" t="str">
        <f t="shared" si="67"/>
        <v/>
      </c>
      <c r="AU102" s="785">
        <f t="shared" si="68"/>
        <v>0</v>
      </c>
      <c r="AV102" s="785">
        <f t="shared" si="69"/>
        <v>0</v>
      </c>
      <c r="AW102" s="798">
        <f>IF(AK102="A",AY10,0)</f>
        <v>0</v>
      </c>
      <c r="AX102" s="5496" t="str">
        <f>IF(IFERROR(SEARCH("Adresse PC",TRIM(W102)),0)&gt;0,"▼ receta siguiente",IF(AK102="A",IF(AZ10&lt;&gt;"",AZ10&amp;" - ou.or.o ❾ + or - &gt;",""),""))</f>
        <v/>
      </c>
      <c r="AY102" s="810"/>
      <c r="AZ102" s="810"/>
      <c r="BA102" s="799" t="str">
        <f t="shared" si="56"/>
        <v/>
      </c>
      <c r="BB102" s="800" t="str">
        <f>IF(AK102="A",IF(AQ102,IF(AND(AW102&lt;&gt;"",N(AW102)&gt;0),IFERROR(IFERROR(_xlfn.XLOOKUP(AP102,BP10:BP57,BT10:BT57),IFERROR(_xlfn.XLOOKUP(AP102,BQ10:BQ57,BT10:BT57),_xlfn.XLOOKUP(AP102,BR10:BR57,BT10:BT57,""))),""),""),""),"")</f>
        <v/>
      </c>
      <c r="BC102" s="813" cm="1">
        <f t="array" ref="BC102">IF(NOT(AQ102),0,IF(OR(BA102="",N(BA102)&lt;=0.000000001),"",IF(OR(AU102="",N(AU102)&lt;=0.000000001),0,IF(ISNUMBER(BA102),IFERROR(_xlfn.LET(_xlpm.ai_test,TRIM(AP102),_xlpm.r,IFERROR(_xlfn.XLOOKUP(_xlpm.ai_test,BP16:BP63,ROW(BP16:BP63),0,1),IFERROR(_xlfn.XLOOKUP(_xlpm.ai_test,BQ16:BQ63,ROW(BQ16:BQ63),0,1),_xlfn.XLOOKUP(_xlpm.ai_test,BR16:BR63,ROW(BR16:BR63),0,1))),_xlpm.p,_xlpm.r-MIN(ROW(BP16:BP63))+1,_xlpm.f,INDEX(BS16:BS63,_xlpm.p),_xlpm.u,INDEX(BT16:BT63,_xlpm.p),_xlpm.s,INDEX(BV16:BV63,_xlpm.p),_xlpm.q,N(BA102)/_xlpm.f,IF(_xlpm.q&gt;=_xlpm.s,ROUND(_xlpm.q,1)&amp;" "&amp;_xlpm.ai_test&amp;" = "&amp;ROUND(_xlpm.q*_xlpm.f,1)&amp;" "&amp;_xlpm.u,ROUND(_xlpm.q,1)&amp;" "&amp;_xlpm.ai_test)),""),""))))</f>
        <v>0</v>
      </c>
      <c r="BD102" s="801"/>
      <c r="BE102" s="799" t="str">
        <f t="shared" si="70"/>
        <v/>
      </c>
      <c r="BF102" s="800" t="str">
        <f t="shared" si="77"/>
        <v/>
      </c>
      <c r="BG102" s="802">
        <f t="shared" si="78"/>
        <v>0</v>
      </c>
      <c r="BH102" s="803" t="str">
        <f t="shared" si="79"/>
        <v/>
      </c>
      <c r="BI102" s="792"/>
      <c r="BJ102" s="804">
        <f t="shared" si="80"/>
        <v>0</v>
      </c>
      <c r="BK102" s="794" t="str">
        <f t="shared" si="71"/>
        <v/>
      </c>
      <c r="BL102" s="227" t="s">
        <v>21</v>
      </c>
      <c r="BM102" s="773">
        <f t="shared" si="61"/>
        <v>0</v>
      </c>
      <c r="BN102" s="774">
        <f t="shared" si="62"/>
        <v>0</v>
      </c>
      <c r="BP102" s="874" t="s">
        <v>795</v>
      </c>
      <c r="BQ102" s="651"/>
      <c r="BR102" s="651"/>
      <c r="BS102" s="651"/>
      <c r="BT102" s="651"/>
      <c r="BU102" s="651"/>
      <c r="BV102" s="651"/>
      <c r="BW102" s="651"/>
      <c r="BX102" s="651"/>
      <c r="BY102" s="651"/>
      <c r="BZ102" s="651"/>
      <c r="CA102" s="651"/>
      <c r="CB102" s="651"/>
      <c r="CC102"/>
      <c r="CD102" s="781" t="str">
        <f t="shared" si="50"/>
        <v>►</v>
      </c>
      <c r="CE102"/>
      <c r="CF102"/>
      <c r="CG102"/>
      <c r="CH102"/>
      <c r="CI102"/>
      <c r="CJ102" s="719"/>
      <c r="DI102" s="3">
        <v>1</v>
      </c>
    </row>
    <row r="103" spans="1:113" s="627" customFormat="1" ht="21" customHeight="1">
      <c r="A103" s="701" t="s">
        <v>21</v>
      </c>
      <c r="B103" s="2265" t="str" cm="1">
        <f t="array" ref="B103">SUMPRODUCT(--(D103:J103&lt;&gt;""), LEN(TRIM(SUBSTITUTE(D103:J103, CHAR(160), "")))) &amp; " Car."</f>
        <v>0 Car.</v>
      </c>
      <c r="C103" s="1376" t="str">
        <f>IF(ISBLANK(D103),"",LARGE(C13:C102,1)+1)</f>
        <v/>
      </c>
      <c r="D103" s="1833"/>
      <c r="E103" s="1810"/>
      <c r="F103" s="1810"/>
      <c r="G103" s="1810"/>
      <c r="H103" s="1810"/>
      <c r="I103" s="1810"/>
      <c r="J103" s="1810"/>
      <c r="K103" s="1810"/>
      <c r="L103" s="1811"/>
      <c r="M103" s="9"/>
      <c r="N103" s="162" t="str">
        <f t="shared" si="51"/>
        <v>A</v>
      </c>
      <c r="O103" s="1616"/>
      <c r="P103" s="9"/>
      <c r="Q103" s="162" t="s">
        <v>10</v>
      </c>
      <c r="R103" s="163" t="str">
        <f>R80</f>
        <v>F FEUILLES DE MERINGUE | pâtisserie--ENTREMET| Auteur &gt; recette Béghin Say de Jean-Jacques Borne MOF 1994</v>
      </c>
      <c r="S103" s="163">
        <f>S80</f>
        <v>18</v>
      </c>
      <c r="T103" s="164" t="str">
        <f>T80</f>
        <v>desserts</v>
      </c>
      <c r="U103" s="165" t="str">
        <f>U80</f>
        <v>Recette mère ► MILLE-FEUILLE  aux fraises des bois</v>
      </c>
      <c r="V103" s="1548"/>
      <c r="W103" s="1548"/>
      <c r="X103" s="2190">
        <f>ROWS(AB99:AB103)</f>
        <v>5</v>
      </c>
      <c r="Y103" s="5549" t="str" cm="1">
        <f t="array" ref="Y103">IF(SUMPRODUCT((AB103:AG103&lt;&gt;"")*1)=0,"",SUMPRODUCT((AB103:AG103&lt;&gt;"")*(LEN(TRIM(SUBSTITUTE(AB103:AG103,CHAR(160)," "))) - LEN(SUBSTITUTE(TRIM(SUBSTITUTE(AB103:AG103,CHAR(160)," "))," ","")) + 1)) &amp; " mot" &amp; IF(SUMPRODUCT((AB103:AG103&lt;&gt;"")*(LEN(TRIM(SUBSTITUTE(AB103:AG103,CHAR(160)," "))) - LEN(SUBSTITUTE(TRIM(SUBSTITUTE(AB103:AG103,CHAR(160)," "))," ","")) + 1))&gt;1,"s",""))</f>
        <v/>
      </c>
      <c r="Z103" s="5550" t="str" cm="1">
        <f t="array" ref="Z103">SUMPRODUCT(--(AB103:AG103&lt;&gt;""), LEN(TRIM(SUBSTITUTE(AB103:AG103, CHAR(160), "")))) &amp; " Car."</f>
        <v>0 Car.</v>
      </c>
      <c r="AA103" s="1376" t="str">
        <f>IF(ISBLANK(AB103),"",LARGE(AA98:AA102,1)+1)</f>
        <v/>
      </c>
      <c r="AB103" s="1810"/>
      <c r="AC103" s="1810"/>
      <c r="AD103" s="1810"/>
      <c r="AE103" s="1810"/>
      <c r="AF103" s="1810"/>
      <c r="AG103" s="1810"/>
      <c r="AH103" s="1810"/>
      <c r="AI103" s="179" t="s">
        <v>182</v>
      </c>
      <c r="AJ103" s="180">
        <f>AJ100+AJ101+AJ102</f>
        <v>3.4722222222222224E-2</v>
      </c>
      <c r="AK103" s="6120" t="str">
        <f t="shared" si="72"/>
        <v>►</v>
      </c>
      <c r="AL103" s="781" t="str">
        <f t="shared" si="59"/>
        <v>►</v>
      </c>
      <c r="AM103" s="5499" t="str">
        <f t="shared" si="63"/>
        <v/>
      </c>
      <c r="AN103" s="783" t="str">
        <f t="shared" si="64"/>
        <v/>
      </c>
      <c r="AO103" s="782" t="str">
        <f t="shared" si="65"/>
        <v/>
      </c>
      <c r="AP103" s="783" t="str">
        <f t="shared" si="66"/>
        <v/>
      </c>
      <c r="AQ103" s="2083" t="b">
        <f>AND(Q103="A",COUNTIF(BP16:BR63,TRIM(Z103))&gt;0)</f>
        <v>0</v>
      </c>
      <c r="AR103" s="797" t="str">
        <f>IF(AL103&lt;&gt;"A","",IFERROR(IFERROR(_xlfn.XLOOKUP(TRIM(SUBSTITUTE(Z103,CHAR(160)," ")),BP16:BP63,BS16:BS63),IFERROR(_xlfn.XLOOKUP(TRIM(SUBSTITUTE(Z103,CHAR(160)," ")),BQ16:BQ63,BS16:BS63),_xlfn.XLOOKUP(TRIM(SUBSTITUTE(Z103,CHAR(160)," ")),BR16:BR63,BS16:BS63)))*Y103*IF(ISBLANK(V103),1,V103),0))</f>
        <v/>
      </c>
      <c r="AS103" s="784" t="str">
        <f t="shared" si="60"/>
        <v/>
      </c>
      <c r="AT103" s="1315" t="str">
        <f t="shared" si="67"/>
        <v/>
      </c>
      <c r="AU103" s="785">
        <f t="shared" si="68"/>
        <v>0</v>
      </c>
      <c r="AV103" s="785">
        <f t="shared" si="69"/>
        <v>0</v>
      </c>
      <c r="AW103" s="786">
        <f>IF(AK103="A",AY10,0)</f>
        <v>0</v>
      </c>
      <c r="AX103" s="5495" t="str">
        <f>IF(IFERROR(SEARCH("Adresse PC",TRIM(W103)),0)&gt;0,"▼ receta siguiente",IF(AK103="A",IF(AZ10&lt;&gt;"",AZ10&amp;" - ou.or.o ❾ + or - &gt;",""),""))</f>
        <v/>
      </c>
      <c r="AY103" s="810"/>
      <c r="AZ103" s="810"/>
      <c r="BA103" s="788" t="str">
        <f t="shared" si="56"/>
        <v/>
      </c>
      <c r="BB103" s="789" t="str">
        <f>IF(AK103="A",IF(AQ103,IF(AND(AW103&lt;&gt;"",N(AW103)&gt;0),IFERROR(IFERROR(_xlfn.XLOOKUP(AP103,BP10:BP57,BT10:BT57),IFERROR(_xlfn.XLOOKUP(AP103,BQ10:BQ57,BT10:BT57),_xlfn.XLOOKUP(AP103,BR10:BR57,BT10:BT57,""))),""),""),""),"")</f>
        <v/>
      </c>
      <c r="BC103" s="811" cm="1">
        <f t="array" ref="BC103">IF(NOT(AQ103),0,IF(OR(BA103="",N(BA103)&lt;=0.000000001),"",IF(OR(AU103="",N(AU103)&lt;=0.000000001),0,IF(ISNUMBER(BA103),IFERROR(_xlfn.LET(_xlpm.ai_test,TRIM(AP103),_xlpm.r,IFERROR(_xlfn.XLOOKUP(_xlpm.ai_test,BP16:BP63,ROW(BP16:BP63),0,1),IFERROR(_xlfn.XLOOKUP(_xlpm.ai_test,BQ16:BQ63,ROW(BQ16:BQ63),0,1),_xlfn.XLOOKUP(_xlpm.ai_test,BR16:BR63,ROW(BR16:BR63),0,1))),_xlpm.p,_xlpm.r-MIN(ROW(BP16:BP63))+1,_xlpm.f,INDEX(BS16:BS63,_xlpm.p),_xlpm.u,INDEX(BT16:BT63,_xlpm.p),_xlpm.s,INDEX(BV16:BV63,_xlpm.p),_xlpm.q,N(BA103)/_xlpm.f,IF(_xlpm.q&gt;=_xlpm.s,ROUND(_xlpm.q,1)&amp;" "&amp;_xlpm.ai_test&amp;" = "&amp;ROUND(_xlpm.q*_xlpm.f,1)&amp;" "&amp;_xlpm.u,ROUND(_xlpm.q,1)&amp;" "&amp;_xlpm.ai_test)),""),""))))</f>
        <v>0</v>
      </c>
      <c r="BD103" s="801"/>
      <c r="BE103" s="788" t="str">
        <f t="shared" si="70"/>
        <v/>
      </c>
      <c r="BF103" s="789" t="str">
        <f t="shared" si="77"/>
        <v/>
      </c>
      <c r="BG103" s="790">
        <f t="shared" si="78"/>
        <v>0</v>
      </c>
      <c r="BH103" s="791" t="str">
        <f t="shared" si="79"/>
        <v/>
      </c>
      <c r="BI103" s="792"/>
      <c r="BJ103" s="793">
        <f t="shared" si="80"/>
        <v>0</v>
      </c>
      <c r="BK103" s="794" t="str">
        <f t="shared" si="71"/>
        <v/>
      </c>
      <c r="BL103" s="227" t="s">
        <v>21</v>
      </c>
      <c r="BM103" s="773">
        <f t="shared" si="61"/>
        <v>0</v>
      </c>
      <c r="BN103" s="774">
        <f t="shared" si="62"/>
        <v>0</v>
      </c>
      <c r="BP103" s="879" t="s">
        <v>1778</v>
      </c>
      <c r="BQ103" s="651"/>
      <c r="BR103" s="651"/>
      <c r="BS103" s="651"/>
      <c r="BT103" s="651"/>
      <c r="BU103" s="651"/>
      <c r="BV103" s="651"/>
      <c r="BW103" s="651"/>
      <c r="BX103" s="651"/>
      <c r="BY103" s="651"/>
      <c r="BZ103" s="651"/>
      <c r="CA103" s="651"/>
      <c r="CB103" s="651"/>
      <c r="CC103"/>
      <c r="CD103" s="781" t="str">
        <f t="shared" si="50"/>
        <v>►</v>
      </c>
      <c r="CE103"/>
      <c r="CF103"/>
      <c r="CG103"/>
      <c r="CH103"/>
      <c r="CI103"/>
      <c r="CJ103" s="719"/>
      <c r="DI103" s="3">
        <v>1</v>
      </c>
    </row>
    <row r="104" spans="1:113" s="627" customFormat="1" ht="21" customHeight="1">
      <c r="A104" s="701" t="s">
        <v>21</v>
      </c>
      <c r="B104" s="2265" t="str" cm="1">
        <f t="array" ref="B104">SUMPRODUCT(--(D104:J104&lt;&gt;""), LEN(TRIM(SUBSTITUTE(D104:J104, CHAR(160), "")))) &amp; " Car."</f>
        <v>0 Car.</v>
      </c>
      <c r="C104" s="1376" t="str">
        <f>IF(ISBLANK(D104),"",LARGE(C13:C103,1)+1)</f>
        <v/>
      </c>
      <c r="D104" s="1833"/>
      <c r="E104" s="1810"/>
      <c r="F104" s="1810"/>
      <c r="G104" s="1810"/>
      <c r="H104" s="1810"/>
      <c r="I104" s="1810"/>
      <c r="J104" s="1810"/>
      <c r="K104" s="1810"/>
      <c r="L104" s="1811"/>
      <c r="M104" s="9"/>
      <c r="N104" s="162" t="str">
        <f t="shared" si="51"/>
        <v>A</v>
      </c>
      <c r="O104" s="1616"/>
      <c r="P104" s="9"/>
      <c r="Q104" s="162" t="s">
        <v>10</v>
      </c>
      <c r="R104" s="163" t="str">
        <f>R80</f>
        <v>F FEUILLES DE MERINGUE | pâtisserie--ENTREMET| Auteur &gt; recette Béghin Say de Jean-Jacques Borne MOF 1994</v>
      </c>
      <c r="S104" s="163">
        <f>S80</f>
        <v>18</v>
      </c>
      <c r="T104" s="164" t="str">
        <f>T80</f>
        <v>desserts</v>
      </c>
      <c r="U104" s="165" t="str">
        <f>U80</f>
        <v>Recette mère ► MILLE-FEUILLE  aux fraises des bois</v>
      </c>
      <c r="V104" s="1548"/>
      <c r="W104" s="1548"/>
      <c r="X104" s="2190">
        <f>ROWS(AB99:AB104)</f>
        <v>6</v>
      </c>
      <c r="Y104" s="5549" t="str" cm="1">
        <f t="array" ref="Y104">IF(SUMPRODUCT((AB104:AG104&lt;&gt;"")*1)=0,"",SUMPRODUCT((AB104:AG104&lt;&gt;"")*(LEN(TRIM(SUBSTITUTE(AB104:AG104,CHAR(160)," "))) - LEN(SUBSTITUTE(TRIM(SUBSTITUTE(AB104:AG104,CHAR(160)," "))," ","")) + 1)) &amp; " mot" &amp; IF(SUMPRODUCT((AB104:AG104&lt;&gt;"")*(LEN(TRIM(SUBSTITUTE(AB104:AG104,CHAR(160)," "))) - LEN(SUBSTITUTE(TRIM(SUBSTITUTE(AB104:AG104,CHAR(160)," "))," ","")) + 1))&gt;1,"s",""))</f>
        <v>12 mots</v>
      </c>
      <c r="Z104" s="5550" t="str" cm="1">
        <f t="array" ref="Z104">SUMPRODUCT(--(AB104:AG104&lt;&gt;""), LEN(TRIM(SUBSTITUTE(AB104:AG104, CHAR(160), "")))) &amp; " Car."</f>
        <v>65 Car.</v>
      </c>
      <c r="AA104" s="1376">
        <f>IF(ISBLANK(AB104),"",LARGE(AA98:AA103,1)+1)</f>
        <v>5</v>
      </c>
      <c r="AB104" s="1810" t="s">
        <v>3070</v>
      </c>
      <c r="AC104" s="1833"/>
      <c r="AD104" s="1810"/>
      <c r="AE104" s="1810"/>
      <c r="AF104" s="1810"/>
      <c r="AG104" s="1810"/>
      <c r="AH104" s="1810"/>
      <c r="AI104" s="1810"/>
      <c r="AJ104" s="1811"/>
      <c r="AK104" s="6120" t="str">
        <f t="shared" si="72"/>
        <v>►</v>
      </c>
      <c r="AL104" s="781" t="str">
        <f t="shared" si="59"/>
        <v>►</v>
      </c>
      <c r="AM104" s="5498" t="str">
        <f t="shared" si="63"/>
        <v/>
      </c>
      <c r="AN104" s="783" t="str">
        <f t="shared" si="64"/>
        <v/>
      </c>
      <c r="AO104" s="782" t="str">
        <f t="shared" si="65"/>
        <v/>
      </c>
      <c r="AP104" s="783" t="str">
        <f t="shared" si="66"/>
        <v/>
      </c>
      <c r="AQ104" s="2083" t="b">
        <f>AND(Q104="A",COUNTIF(BP16:BR63,TRIM(Z104))&gt;0)</f>
        <v>0</v>
      </c>
      <c r="AR104" s="797" t="str">
        <f>IF(AL104&lt;&gt;"A","",IFERROR(IFERROR(_xlfn.XLOOKUP(TRIM(SUBSTITUTE(Z104,CHAR(160)," ")),BP16:BP63,BS16:BS63),IFERROR(_xlfn.XLOOKUP(TRIM(SUBSTITUTE(Z104,CHAR(160)," ")),BQ16:BQ63,BS16:BS63),_xlfn.XLOOKUP(TRIM(SUBSTITUTE(Z104,CHAR(160)," ")),BR16:BR63,BS16:BS63)))*Y104*IF(ISBLANK(V104),1,V104),0))</f>
        <v/>
      </c>
      <c r="AS104" s="784" t="str">
        <f t="shared" si="60"/>
        <v/>
      </c>
      <c r="AT104" s="1315" t="str">
        <f t="shared" si="67"/>
        <v/>
      </c>
      <c r="AU104" s="785">
        <f t="shared" si="68"/>
        <v>0</v>
      </c>
      <c r="AV104" s="785">
        <f t="shared" si="69"/>
        <v>0</v>
      </c>
      <c r="AW104" s="798">
        <f>IF(AK104="A",AY10,0)</f>
        <v>0</v>
      </c>
      <c r="AX104" s="5496" t="str">
        <f>IF(IFERROR(SEARCH("Adresse PC",TRIM(W104)),0)&gt;0,"▼ receta siguiente",IF(AK104="A",IF(AZ10&lt;&gt;"",AZ10&amp;" - ou.or.o ❾ + or - &gt;",""),""))</f>
        <v/>
      </c>
      <c r="AY104" s="810"/>
      <c r="AZ104" s="810"/>
      <c r="BA104" s="799" t="str">
        <f t="shared" si="56"/>
        <v/>
      </c>
      <c r="BB104" s="800" t="str">
        <f>IF(AK104="A",IF(AQ104,IF(AND(AW104&lt;&gt;"",N(AW104)&gt;0),IFERROR(IFERROR(_xlfn.XLOOKUP(AP104,BP10:BP57,BT10:BT57),IFERROR(_xlfn.XLOOKUP(AP104,BQ10:BQ57,BT10:BT57),_xlfn.XLOOKUP(AP104,BR10:BR57,BT10:BT57,""))),""),""),""),"")</f>
        <v/>
      </c>
      <c r="BC104" s="813" cm="1">
        <f t="array" ref="BC104">IF(NOT(AQ104),0,IF(OR(BA104="",N(BA104)&lt;=0.000000001),"",IF(OR(AU104="",N(AU104)&lt;=0.000000001),0,IF(ISNUMBER(BA104),IFERROR(_xlfn.LET(_xlpm.ai_test,TRIM(AP104),_xlpm.r,IFERROR(_xlfn.XLOOKUP(_xlpm.ai_test,BP16:BP63,ROW(BP16:BP63),0,1),IFERROR(_xlfn.XLOOKUP(_xlpm.ai_test,BQ16:BQ63,ROW(BQ16:BQ63),0,1),_xlfn.XLOOKUP(_xlpm.ai_test,BR16:BR63,ROW(BR16:BR63),0,1))),_xlpm.p,_xlpm.r-MIN(ROW(BP16:BP63))+1,_xlpm.f,INDEX(BS16:BS63,_xlpm.p),_xlpm.u,INDEX(BT16:BT63,_xlpm.p),_xlpm.s,INDEX(BV16:BV63,_xlpm.p),_xlpm.q,N(BA104)/_xlpm.f,IF(_xlpm.q&gt;=_xlpm.s,ROUND(_xlpm.q,1)&amp;" "&amp;_xlpm.ai_test&amp;" = "&amp;ROUND(_xlpm.q*_xlpm.f,1)&amp;" "&amp;_xlpm.u,ROUND(_xlpm.q,1)&amp;" "&amp;_xlpm.ai_test)),""),""))))</f>
        <v>0</v>
      </c>
      <c r="BD104" s="801"/>
      <c r="BE104" s="799" t="str">
        <f t="shared" si="70"/>
        <v/>
      </c>
      <c r="BF104" s="800" t="str">
        <f t="shared" si="77"/>
        <v/>
      </c>
      <c r="BG104" s="802">
        <f t="shared" si="78"/>
        <v>0</v>
      </c>
      <c r="BH104" s="803" t="str">
        <f t="shared" si="79"/>
        <v/>
      </c>
      <c r="BI104" s="792"/>
      <c r="BJ104" s="804">
        <f t="shared" si="80"/>
        <v>0</v>
      </c>
      <c r="BK104" s="794" t="str">
        <f t="shared" si="71"/>
        <v/>
      </c>
      <c r="BL104" s="227" t="s">
        <v>21</v>
      </c>
      <c r="BM104" s="773">
        <f t="shared" si="61"/>
        <v>0</v>
      </c>
      <c r="BN104" s="774">
        <f t="shared" si="62"/>
        <v>0</v>
      </c>
      <c r="BP104" s="879" t="s">
        <v>1779</v>
      </c>
      <c r="BQ104" s="651"/>
      <c r="BR104" s="651"/>
      <c r="BS104" s="651"/>
      <c r="BT104" s="651"/>
      <c r="BU104" s="651"/>
      <c r="BV104" s="651"/>
      <c r="BW104" s="651"/>
      <c r="BX104" s="651"/>
      <c r="BY104" s="651"/>
      <c r="BZ104" s="651"/>
      <c r="CA104" s="651"/>
      <c r="CB104" s="651"/>
      <c r="CC104"/>
      <c r="CD104" s="781" t="str">
        <f t="shared" si="50"/>
        <v>►</v>
      </c>
      <c r="CE104"/>
      <c r="CF104"/>
      <c r="CG104"/>
      <c r="CH104"/>
      <c r="CI104"/>
      <c r="CJ104" s="719"/>
      <c r="DI104" s="3">
        <v>1</v>
      </c>
    </row>
    <row r="105" spans="1:113" s="627" customFormat="1" ht="21" customHeight="1">
      <c r="A105" s="701" t="s">
        <v>21</v>
      </c>
      <c r="B105" s="2265" t="str" cm="1">
        <f t="array" ref="B105">SUMPRODUCT(--(D105:J105&lt;&gt;""), LEN(TRIM(SUBSTITUTE(D105:J105, CHAR(160), "")))) &amp; " Car."</f>
        <v>0 Car.</v>
      </c>
      <c r="C105" s="1376" t="str">
        <f>IF(ISBLANK(D105),"",LARGE(C13:C104,1)+1)</f>
        <v/>
      </c>
      <c r="D105" s="1833"/>
      <c r="E105" s="1810"/>
      <c r="F105" s="1810"/>
      <c r="G105" s="1810"/>
      <c r="H105" s="1810"/>
      <c r="I105" s="1810"/>
      <c r="J105" s="1810"/>
      <c r="K105" s="1810"/>
      <c r="L105" s="1811"/>
      <c r="M105" s="9"/>
      <c r="N105" s="162" t="str">
        <f t="shared" si="51"/>
        <v>A</v>
      </c>
      <c r="O105" s="1616"/>
      <c r="P105" s="9"/>
      <c r="Q105" s="162" t="s">
        <v>10</v>
      </c>
      <c r="R105" s="163" t="str">
        <f>R80</f>
        <v>F FEUILLES DE MERINGUE | pâtisserie--ENTREMET| Auteur &gt; recette Béghin Say de Jean-Jacques Borne MOF 1994</v>
      </c>
      <c r="S105" s="163">
        <f>S80</f>
        <v>18</v>
      </c>
      <c r="T105" s="164" t="str">
        <f>T80</f>
        <v>desserts</v>
      </c>
      <c r="U105" s="165" t="str">
        <f>U80</f>
        <v>Recette mère ► MILLE-FEUILLE  aux fraises des bois</v>
      </c>
      <c r="V105" s="1548"/>
      <c r="W105" s="1548"/>
      <c r="X105" s="2190">
        <f>ROWS(AB99:AB105)</f>
        <v>7</v>
      </c>
      <c r="Y105" s="5549" t="str" cm="1">
        <f t="array" ref="Y105">IF(SUMPRODUCT((AB105:AG105&lt;&gt;"")*1)=0,"",SUMPRODUCT((AB105:AG105&lt;&gt;"")*(LEN(TRIM(SUBSTITUTE(AB105:AG105,CHAR(160)," "))) - LEN(SUBSTITUTE(TRIM(SUBSTITUTE(AB105:AG105,CHAR(160)," "))," ","")) + 1)) &amp; " mot" &amp; IF(SUMPRODUCT((AB105:AG105&lt;&gt;"")*(LEN(TRIM(SUBSTITUTE(AB105:AG105,CHAR(160)," "))) - LEN(SUBSTITUTE(TRIM(SUBSTITUTE(AB105:AG105,CHAR(160)," "))," ","")) + 1))&gt;1,"s",""))</f>
        <v/>
      </c>
      <c r="Z105" s="5550" t="str" cm="1">
        <f t="array" ref="Z105">SUMPRODUCT(--(AB105:AG105&lt;&gt;""), LEN(TRIM(SUBSTITUTE(AB105:AG105, CHAR(160), "")))) &amp; " Car."</f>
        <v>0 Car.</v>
      </c>
      <c r="AA105" s="1376" t="str">
        <f>IF(ISBLANK(AB105),"",LARGE(AA98:AA104,1)+1)</f>
        <v/>
      </c>
      <c r="AB105" s="1810"/>
      <c r="AC105" s="1810"/>
      <c r="AD105" s="1810"/>
      <c r="AE105" s="1810"/>
      <c r="AF105" s="1810"/>
      <c r="AG105" s="1810"/>
      <c r="AH105" s="1810"/>
      <c r="AI105" s="1810"/>
      <c r="AJ105" s="1811"/>
      <c r="AK105" s="6120" t="str">
        <f t="shared" si="72"/>
        <v>►</v>
      </c>
      <c r="AL105" s="781" t="str">
        <f t="shared" si="59"/>
        <v>►</v>
      </c>
      <c r="AM105" s="5499" t="str">
        <f t="shared" si="63"/>
        <v/>
      </c>
      <c r="AN105" s="783" t="str">
        <f t="shared" si="64"/>
        <v/>
      </c>
      <c r="AO105" s="782" t="str">
        <f t="shared" si="65"/>
        <v/>
      </c>
      <c r="AP105" s="783" t="str">
        <f t="shared" si="66"/>
        <v/>
      </c>
      <c r="AQ105" s="2083" t="b">
        <f>AND(Q105="A",COUNTIF(BP16:BR63,TRIM(Z105))&gt;0)</f>
        <v>0</v>
      </c>
      <c r="AR105" s="797" t="str">
        <f>IF(AL105&lt;&gt;"A","",IFERROR(IFERROR(_xlfn.XLOOKUP(TRIM(SUBSTITUTE(Z105,CHAR(160)," ")),BP16:BP63,BS16:BS63),IFERROR(_xlfn.XLOOKUP(TRIM(SUBSTITUTE(Z105,CHAR(160)," ")),BQ16:BQ63,BS16:BS63),_xlfn.XLOOKUP(TRIM(SUBSTITUTE(Z105,CHAR(160)," ")),BR16:BR63,BS16:BS63)))*Y105*IF(ISBLANK(V105),1,V105),0))</f>
        <v/>
      </c>
      <c r="AS105" s="784" t="str">
        <f t="shared" si="60"/>
        <v/>
      </c>
      <c r="AT105" s="1315" t="str">
        <f t="shared" si="67"/>
        <v/>
      </c>
      <c r="AU105" s="785">
        <f t="shared" si="68"/>
        <v>0</v>
      </c>
      <c r="AV105" s="785">
        <f t="shared" si="69"/>
        <v>0</v>
      </c>
      <c r="AW105" s="786">
        <f>IF(AK105="A",AY10,0)</f>
        <v>0</v>
      </c>
      <c r="AX105" s="5495" t="str">
        <f>IF(IFERROR(SEARCH("Adresse PC",TRIM(W105)),0)&gt;0,"▼ receta siguiente",IF(AK105="A",IF(AZ10&lt;&gt;"",AZ10&amp;" - ou.or.o ❾ + or - &gt;",""),""))</f>
        <v/>
      </c>
      <c r="AY105" s="810"/>
      <c r="AZ105" s="810"/>
      <c r="BA105" s="788" t="str">
        <f t="shared" si="56"/>
        <v/>
      </c>
      <c r="BB105" s="789" t="str">
        <f>IF(AK105="A",IF(AQ105,IF(AND(AW105&lt;&gt;"",N(AW105)&gt;0),IFERROR(IFERROR(_xlfn.XLOOKUP(AP105,BP10:BP57,BT10:BT57),IFERROR(_xlfn.XLOOKUP(AP105,BQ10:BQ57,BT10:BT57),_xlfn.XLOOKUP(AP105,BR10:BR57,BT10:BT57,""))),""),""),""),"")</f>
        <v/>
      </c>
      <c r="BC105" s="811" cm="1">
        <f t="array" ref="BC105">IF(NOT(AQ105),0,IF(OR(BA105="",N(BA105)&lt;=0.000000001),"",IF(OR(AU105="",N(AU105)&lt;=0.000000001),0,IF(ISNUMBER(BA105),IFERROR(_xlfn.LET(_xlpm.ai_test,TRIM(AP105),_xlpm.r,IFERROR(_xlfn.XLOOKUP(_xlpm.ai_test,BP16:BP63,ROW(BP16:BP63),0,1),IFERROR(_xlfn.XLOOKUP(_xlpm.ai_test,BQ16:BQ63,ROW(BQ16:BQ63),0,1),_xlfn.XLOOKUP(_xlpm.ai_test,BR16:BR63,ROW(BR16:BR63),0,1))),_xlpm.p,_xlpm.r-MIN(ROW(BP16:BP63))+1,_xlpm.f,INDEX(BS16:BS63,_xlpm.p),_xlpm.u,INDEX(BT16:BT63,_xlpm.p),_xlpm.s,INDEX(BV16:BV63,_xlpm.p),_xlpm.q,N(BA105)/_xlpm.f,IF(_xlpm.q&gt;=_xlpm.s,ROUND(_xlpm.q,1)&amp;" "&amp;_xlpm.ai_test&amp;" = "&amp;ROUND(_xlpm.q*_xlpm.f,1)&amp;" "&amp;_xlpm.u,ROUND(_xlpm.q,1)&amp;" "&amp;_xlpm.ai_test)),""),""))))</f>
        <v>0</v>
      </c>
      <c r="BD105" s="801"/>
      <c r="BE105" s="788" t="str">
        <f t="shared" si="70"/>
        <v/>
      </c>
      <c r="BF105" s="789" t="str">
        <f t="shared" si="77"/>
        <v/>
      </c>
      <c r="BG105" s="790">
        <f t="shared" si="78"/>
        <v>0</v>
      </c>
      <c r="BH105" s="791" t="str">
        <f t="shared" si="79"/>
        <v/>
      </c>
      <c r="BI105" s="792"/>
      <c r="BJ105" s="793">
        <f t="shared" si="80"/>
        <v>0</v>
      </c>
      <c r="BK105" s="794" t="str">
        <f t="shared" si="71"/>
        <v/>
      </c>
      <c r="BL105" s="227" t="s">
        <v>21</v>
      </c>
      <c r="BM105" s="773">
        <f t="shared" si="61"/>
        <v>0</v>
      </c>
      <c r="BN105" s="774">
        <f t="shared" si="62"/>
        <v>0</v>
      </c>
      <c r="BP105" s="229"/>
      <c r="BQ105" s="229"/>
      <c r="BR105" s="229"/>
      <c r="BS105" s="229"/>
      <c r="BT105" s="229"/>
      <c r="BU105" s="229"/>
      <c r="BV105" s="229"/>
      <c r="BW105" s="229"/>
      <c r="BX105" s="229"/>
      <c r="BY105" s="229"/>
      <c r="BZ105" s="229"/>
      <c r="CA105" s="229"/>
      <c r="CB105" s="229"/>
      <c r="CC105"/>
      <c r="CD105" s="781" t="str">
        <f t="shared" si="50"/>
        <v>►</v>
      </c>
      <c r="CE105"/>
      <c r="CF105"/>
      <c r="CG105"/>
      <c r="CH105"/>
      <c r="CI105"/>
      <c r="CJ105" s="719"/>
      <c r="DI105" s="3">
        <v>1</v>
      </c>
    </row>
    <row r="106" spans="1:113" s="627" customFormat="1" ht="21" customHeight="1">
      <c r="A106" s="701" t="s">
        <v>21</v>
      </c>
      <c r="B106" s="2265" t="str" cm="1">
        <f t="array" ref="B106">SUMPRODUCT(--(D106:J106&lt;&gt;""), LEN(TRIM(SUBSTITUTE(D106:J106, CHAR(160), "")))) &amp; " Car."</f>
        <v>0 Car.</v>
      </c>
      <c r="C106" s="1376" t="str">
        <f>IF(ISBLANK(D106),"",LARGE(C13:C105,1)+1)</f>
        <v/>
      </c>
      <c r="D106" s="1833"/>
      <c r="E106" s="1810"/>
      <c r="F106" s="1810"/>
      <c r="G106" s="1810"/>
      <c r="H106" s="1810"/>
      <c r="I106" s="1810"/>
      <c r="J106" s="1810"/>
      <c r="K106" s="1810"/>
      <c r="L106" s="1811"/>
      <c r="M106" s="9"/>
      <c r="N106" s="162" t="str">
        <f t="shared" si="51"/>
        <v>A</v>
      </c>
      <c r="O106" s="1616"/>
      <c r="P106" s="9"/>
      <c r="Q106" s="162" t="s">
        <v>10</v>
      </c>
      <c r="R106" s="163" t="str">
        <f>R80</f>
        <v>F FEUILLES DE MERINGUE | pâtisserie--ENTREMET| Auteur &gt; recette Béghin Say de Jean-Jacques Borne MOF 1994</v>
      </c>
      <c r="S106" s="163">
        <f>S80</f>
        <v>18</v>
      </c>
      <c r="T106" s="164" t="str">
        <f>T80</f>
        <v>desserts</v>
      </c>
      <c r="U106" s="165" t="str">
        <f>U80</f>
        <v>Recette mère ► MILLE-FEUILLE  aux fraises des bois</v>
      </c>
      <c r="V106" s="1548"/>
      <c r="W106" s="1548"/>
      <c r="X106" s="2190">
        <f>ROWS(AB99:AB106)</f>
        <v>8</v>
      </c>
      <c r="Y106" s="5549" t="str" cm="1">
        <f t="array" ref="Y106">IF(SUMPRODUCT((AB106:AG106&lt;&gt;"")*1)=0,"",SUMPRODUCT((AB106:AG106&lt;&gt;"")*(LEN(TRIM(SUBSTITUTE(AB106:AG106,CHAR(160)," "))) - LEN(SUBSTITUTE(TRIM(SUBSTITUTE(AB106:AG106,CHAR(160)," "))," ","")) + 1)) &amp; " mot" &amp; IF(SUMPRODUCT((AB106:AG106&lt;&gt;"")*(LEN(TRIM(SUBSTITUTE(AB106:AG106,CHAR(160)," "))) - LEN(SUBSTITUTE(TRIM(SUBSTITUTE(AB106:AG106,CHAR(160)," "))," ","")) + 1))&gt;1,"s",""))</f>
        <v/>
      </c>
      <c r="Z106" s="5550" t="str" cm="1">
        <f t="array" ref="Z106">SUMPRODUCT(--(AB106:AG106&lt;&gt;""), LEN(TRIM(SUBSTITUTE(AB106:AG106, CHAR(160), "")))) &amp; " Car."</f>
        <v>0 Car.</v>
      </c>
      <c r="AA106" s="1376" t="str">
        <f>IF(ISBLANK(AB106),"",LARGE(AA98:AA105,1)+1)</f>
        <v/>
      </c>
      <c r="AB106" s="1810"/>
      <c r="AC106" s="1810"/>
      <c r="AD106" s="1810"/>
      <c r="AE106" s="1810"/>
      <c r="AF106" s="1810"/>
      <c r="AG106" s="1810"/>
      <c r="AH106" s="1810"/>
      <c r="AI106" s="1810"/>
      <c r="AJ106" s="1811"/>
      <c r="AK106" s="6120" t="str">
        <f t="shared" si="72"/>
        <v>►</v>
      </c>
      <c r="AL106" s="781" t="str">
        <f t="shared" si="59"/>
        <v>►</v>
      </c>
      <c r="AM106" s="5498" t="str">
        <f t="shared" si="63"/>
        <v/>
      </c>
      <c r="AN106" s="783" t="str">
        <f t="shared" si="64"/>
        <v/>
      </c>
      <c r="AO106" s="782" t="str">
        <f t="shared" si="65"/>
        <v/>
      </c>
      <c r="AP106" s="783" t="str">
        <f t="shared" si="66"/>
        <v/>
      </c>
      <c r="AQ106" s="2083" t="b">
        <f>AND(Q106="A",COUNTIF(BP16:BR63,TRIM(Z106))&gt;0)</f>
        <v>0</v>
      </c>
      <c r="AR106" s="797" t="str">
        <f>IF(AL106&lt;&gt;"A","",IFERROR(IFERROR(_xlfn.XLOOKUP(TRIM(SUBSTITUTE(Z106,CHAR(160)," ")),BP16:BP63,BS16:BS63),IFERROR(_xlfn.XLOOKUP(TRIM(SUBSTITUTE(Z106,CHAR(160)," ")),BQ16:BQ63,BS16:BS63),_xlfn.XLOOKUP(TRIM(SUBSTITUTE(Z106,CHAR(160)," ")),BR16:BR63,BS16:BS63)))*Y106*IF(ISBLANK(V106),1,V106),0))</f>
        <v/>
      </c>
      <c r="AS106" s="784" t="str">
        <f t="shared" si="60"/>
        <v/>
      </c>
      <c r="AT106" s="1315" t="str">
        <f t="shared" si="67"/>
        <v/>
      </c>
      <c r="AU106" s="785">
        <f t="shared" si="68"/>
        <v>0</v>
      </c>
      <c r="AV106" s="785">
        <f t="shared" si="69"/>
        <v>0</v>
      </c>
      <c r="AW106" s="798">
        <f>IF(AK106="A",AY10,0)</f>
        <v>0</v>
      </c>
      <c r="AX106" s="5496" t="str">
        <f>IF(IFERROR(SEARCH("Adresse PC",TRIM(W106)),0)&gt;0,"▼ receta siguiente",IF(AK106="A",IF(AZ10&lt;&gt;"",AZ10&amp;" - ou.or.o ❾ + or - &gt;",""),""))</f>
        <v/>
      </c>
      <c r="AY106" s="810"/>
      <c r="AZ106" s="810"/>
      <c r="BA106" s="799" t="str">
        <f t="shared" si="56"/>
        <v/>
      </c>
      <c r="BB106" s="800" t="str">
        <f>IF(AK106="A",IF(AQ106,IF(AND(AW106&lt;&gt;"",N(AW106)&gt;0),IFERROR(IFERROR(_xlfn.XLOOKUP(AP106,BP10:BP57,BT10:BT57),IFERROR(_xlfn.XLOOKUP(AP106,BQ10:BQ57,BT10:BT57),_xlfn.XLOOKUP(AP106,BR10:BR57,BT10:BT57,""))),""),""),""),"")</f>
        <v/>
      </c>
      <c r="BC106" s="813" cm="1">
        <f t="array" ref="BC106">IF(NOT(AQ106),0,IF(OR(BA106="",N(BA106)&lt;=0.000000001),"",IF(OR(AU106="",N(AU106)&lt;=0.000000001),0,IF(ISNUMBER(BA106),IFERROR(_xlfn.LET(_xlpm.ai_test,TRIM(AP106),_xlpm.r,IFERROR(_xlfn.XLOOKUP(_xlpm.ai_test,BP16:BP63,ROW(BP16:BP63),0,1),IFERROR(_xlfn.XLOOKUP(_xlpm.ai_test,BQ16:BQ63,ROW(BQ16:BQ63),0,1),_xlfn.XLOOKUP(_xlpm.ai_test,BR16:BR63,ROW(BR16:BR63),0,1))),_xlpm.p,_xlpm.r-MIN(ROW(BP16:BP63))+1,_xlpm.f,INDEX(BS16:BS63,_xlpm.p),_xlpm.u,INDEX(BT16:BT63,_xlpm.p),_xlpm.s,INDEX(BV16:BV63,_xlpm.p),_xlpm.q,N(BA106)/_xlpm.f,IF(_xlpm.q&gt;=_xlpm.s,ROUND(_xlpm.q,1)&amp;" "&amp;_xlpm.ai_test&amp;" = "&amp;ROUND(_xlpm.q*_xlpm.f,1)&amp;" "&amp;_xlpm.u,ROUND(_xlpm.q,1)&amp;" "&amp;_xlpm.ai_test)),""),""))))</f>
        <v>0</v>
      </c>
      <c r="BD106" s="801"/>
      <c r="BE106" s="799" t="str">
        <f t="shared" si="70"/>
        <v/>
      </c>
      <c r="BF106" s="800" t="str">
        <f t="shared" si="77"/>
        <v/>
      </c>
      <c r="BG106" s="802">
        <f t="shared" si="78"/>
        <v>0</v>
      </c>
      <c r="BH106" s="803" t="str">
        <f t="shared" si="79"/>
        <v/>
      </c>
      <c r="BI106" s="792"/>
      <c r="BJ106" s="804">
        <f t="shared" si="80"/>
        <v>0</v>
      </c>
      <c r="BK106" s="794" t="str">
        <f t="shared" si="71"/>
        <v/>
      </c>
      <c r="BL106" s="227" t="s">
        <v>21</v>
      </c>
      <c r="BM106" s="773">
        <f t="shared" si="61"/>
        <v>0</v>
      </c>
      <c r="BN106" s="774">
        <f t="shared" si="62"/>
        <v>0</v>
      </c>
      <c r="BP106" s="874" t="s">
        <v>796</v>
      </c>
      <c r="BQ106" s="229"/>
      <c r="BR106" s="229"/>
      <c r="BS106" s="229"/>
      <c r="BT106" s="229"/>
      <c r="BU106" s="229"/>
      <c r="BV106" s="229"/>
      <c r="BW106" s="229"/>
      <c r="BX106" s="229"/>
      <c r="BY106" s="229"/>
      <c r="BZ106" s="229"/>
      <c r="CA106" s="229"/>
      <c r="CB106" s="229"/>
      <c r="CC106"/>
      <c r="CD106" s="781" t="str">
        <f t="shared" si="50"/>
        <v>►</v>
      </c>
      <c r="CE106"/>
      <c r="CF106"/>
      <c r="CG106"/>
      <c r="CH106"/>
      <c r="CI106"/>
      <c r="CJ106" s="719"/>
      <c r="DI106" s="3">
        <v>1</v>
      </c>
    </row>
    <row r="107" spans="1:113" s="627" customFormat="1" ht="21" customHeight="1">
      <c r="A107" s="701" t="s">
        <v>21</v>
      </c>
      <c r="B107" s="2265" t="str" cm="1">
        <f t="array" ref="B107">SUMPRODUCT(--(D107:J107&lt;&gt;""), LEN(TRIM(SUBSTITUTE(D107:J107, CHAR(160), "")))) &amp; " Car."</f>
        <v>0 Car.</v>
      </c>
      <c r="C107" s="1376" t="str">
        <f>IF(ISBLANK(D107),"",LARGE(C13:C106,1)+1)</f>
        <v/>
      </c>
      <c r="D107" s="1833"/>
      <c r="E107" s="1810"/>
      <c r="F107" s="1810"/>
      <c r="G107" s="1810"/>
      <c r="H107" s="1810"/>
      <c r="I107" s="1810"/>
      <c r="J107" s="1810"/>
      <c r="K107" s="1810"/>
      <c r="L107" s="1811"/>
      <c r="M107" s="9"/>
      <c r="N107" s="162" t="str">
        <f t="shared" si="51"/>
        <v>A</v>
      </c>
      <c r="O107" s="1616"/>
      <c r="P107" s="9"/>
      <c r="Q107" s="162" t="s">
        <v>10</v>
      </c>
      <c r="R107" s="163" t="str">
        <f>R80</f>
        <v>F FEUILLES DE MERINGUE | pâtisserie--ENTREMET| Auteur &gt; recette Béghin Say de Jean-Jacques Borne MOF 1994</v>
      </c>
      <c r="S107" s="163">
        <f>S80</f>
        <v>18</v>
      </c>
      <c r="T107" s="164" t="str">
        <f>T80</f>
        <v>desserts</v>
      </c>
      <c r="U107" s="165" t="str">
        <f>U80</f>
        <v>Recette mère ► MILLE-FEUILLE  aux fraises des bois</v>
      </c>
      <c r="V107" s="1548"/>
      <c r="W107" s="1548"/>
      <c r="X107" s="2190">
        <f>ROWS(AB99:AB107)</f>
        <v>9</v>
      </c>
      <c r="Y107" s="5549" t="str" cm="1">
        <f t="array" ref="Y107">IF(SUMPRODUCT((AB107:AG107&lt;&gt;"")*1)=0,"",SUMPRODUCT((AB107:AG107&lt;&gt;"")*(LEN(TRIM(SUBSTITUTE(AB107:AG107,CHAR(160)," "))) - LEN(SUBSTITUTE(TRIM(SUBSTITUTE(AB107:AG107,CHAR(160)," "))," ","")) + 1)) &amp; " mot" &amp; IF(SUMPRODUCT((AB107:AG107&lt;&gt;"")*(LEN(TRIM(SUBSTITUTE(AB107:AG107,CHAR(160)," "))) - LEN(SUBSTITUTE(TRIM(SUBSTITUTE(AB107:AG107,CHAR(160)," "))," ","")) + 1))&gt;1,"s",""))</f>
        <v/>
      </c>
      <c r="Z107" s="5550" t="str" cm="1">
        <f t="array" ref="Z107">SUMPRODUCT(--(AB107:AG107&lt;&gt;""), LEN(TRIM(SUBSTITUTE(AB107:AG107, CHAR(160), "")))) &amp; " Car."</f>
        <v>0 Car.</v>
      </c>
      <c r="AA107" s="1376" t="str">
        <f>IF(ISBLANK(AB107),"",LARGE(AA98:AA106,1)+1)</f>
        <v/>
      </c>
      <c r="AB107" s="1810"/>
      <c r="AC107" s="1810"/>
      <c r="AD107" s="1810"/>
      <c r="AE107" s="1810"/>
      <c r="AF107" s="1810"/>
      <c r="AG107" s="1810"/>
      <c r="AH107" s="1810"/>
      <c r="AI107" s="1810"/>
      <c r="AJ107" s="1811"/>
      <c r="AK107" s="6120" t="str">
        <f t="shared" si="72"/>
        <v>►</v>
      </c>
      <c r="AL107" s="781" t="str">
        <f t="shared" si="59"/>
        <v>►</v>
      </c>
      <c r="AM107" s="5499" t="str">
        <f t="shared" si="63"/>
        <v/>
      </c>
      <c r="AN107" s="783" t="str">
        <f t="shared" si="64"/>
        <v/>
      </c>
      <c r="AO107" s="782" t="str">
        <f t="shared" si="65"/>
        <v/>
      </c>
      <c r="AP107" s="783" t="str">
        <f t="shared" si="66"/>
        <v/>
      </c>
      <c r="AQ107" s="2083" t="b">
        <f>AND(Q107="A",COUNTIF(BP16:BR63,TRIM(Z107))&gt;0)</f>
        <v>0</v>
      </c>
      <c r="AR107" s="797" t="str">
        <f>IF(AL107&lt;&gt;"A","",IFERROR(IFERROR(_xlfn.XLOOKUP(TRIM(SUBSTITUTE(Z107,CHAR(160)," ")),BP16:BP63,BS16:BS63),IFERROR(_xlfn.XLOOKUP(TRIM(SUBSTITUTE(Z107,CHAR(160)," ")),BQ16:BQ63,BS16:BS63),_xlfn.XLOOKUP(TRIM(SUBSTITUTE(Z107,CHAR(160)," ")),BR16:BR63,BS16:BS63)))*Y107*IF(ISBLANK(V107),1,V107),0))</f>
        <v/>
      </c>
      <c r="AS107" s="784" t="str">
        <f t="shared" si="60"/>
        <v/>
      </c>
      <c r="AT107" s="1315" t="str">
        <f t="shared" si="67"/>
        <v/>
      </c>
      <c r="AU107" s="785">
        <f t="shared" si="68"/>
        <v>0</v>
      </c>
      <c r="AV107" s="785">
        <f t="shared" si="69"/>
        <v>0</v>
      </c>
      <c r="AW107" s="786">
        <f>IF(AK107="A",AY10,0)</f>
        <v>0</v>
      </c>
      <c r="AX107" s="5495" t="str">
        <f>IF(IFERROR(SEARCH("Adresse PC",TRIM(W107)),0)&gt;0,"▼ receta siguiente",IF(AK107="A",IF(AZ10&lt;&gt;"",AZ10&amp;" - ou.or.o ❾ + or - &gt;",""),""))</f>
        <v/>
      </c>
      <c r="AY107" s="810"/>
      <c r="AZ107" s="810"/>
      <c r="BA107" s="788" t="str">
        <f t="shared" si="56"/>
        <v/>
      </c>
      <c r="BB107" s="789" t="str">
        <f>IF(AK107="A",IF(AQ107,IF(AND(AW107&lt;&gt;"",N(AW107)&gt;0),IFERROR(IFERROR(_xlfn.XLOOKUP(AP107,BP10:BP57,BT10:BT57),IFERROR(_xlfn.XLOOKUP(AP107,BQ10:BQ57,BT10:BT57),_xlfn.XLOOKUP(AP107,BR10:BR57,BT10:BT57,""))),""),""),""),"")</f>
        <v/>
      </c>
      <c r="BC107" s="811" cm="1">
        <f t="array" ref="BC107">IF(NOT(AQ107),0,IF(OR(BA107="",N(BA107)&lt;=0.000000001),"",IF(OR(AU107="",N(AU107)&lt;=0.000000001),0,IF(ISNUMBER(BA107),IFERROR(_xlfn.LET(_xlpm.ai_test,TRIM(AP107),_xlpm.r,IFERROR(_xlfn.XLOOKUP(_xlpm.ai_test,BP16:BP63,ROW(BP16:BP63),0,1),IFERROR(_xlfn.XLOOKUP(_xlpm.ai_test,BQ16:BQ63,ROW(BQ16:BQ63),0,1),_xlfn.XLOOKUP(_xlpm.ai_test,BR16:BR63,ROW(BR16:BR63),0,1))),_xlpm.p,_xlpm.r-MIN(ROW(BP16:BP63))+1,_xlpm.f,INDEX(BS16:BS63,_xlpm.p),_xlpm.u,INDEX(BT16:BT63,_xlpm.p),_xlpm.s,INDEX(BV16:BV63,_xlpm.p),_xlpm.q,N(BA107)/_xlpm.f,IF(_xlpm.q&gt;=_xlpm.s,ROUND(_xlpm.q,1)&amp;" "&amp;_xlpm.ai_test&amp;" = "&amp;ROUND(_xlpm.q*_xlpm.f,1)&amp;" "&amp;_xlpm.u,ROUND(_xlpm.q,1)&amp;" "&amp;_xlpm.ai_test)),""),""))))</f>
        <v>0</v>
      </c>
      <c r="BD107" s="801"/>
      <c r="BE107" s="788" t="str">
        <f t="shared" si="70"/>
        <v/>
      </c>
      <c r="BF107" s="789" t="str">
        <f t="shared" si="77"/>
        <v/>
      </c>
      <c r="BG107" s="790">
        <f t="shared" si="78"/>
        <v>0</v>
      </c>
      <c r="BH107" s="791" t="str">
        <f t="shared" si="79"/>
        <v/>
      </c>
      <c r="BI107" s="792"/>
      <c r="BJ107" s="793">
        <f t="shared" si="80"/>
        <v>0</v>
      </c>
      <c r="BK107" s="794" t="str">
        <f t="shared" si="71"/>
        <v/>
      </c>
      <c r="BL107" s="227" t="s">
        <v>21</v>
      </c>
      <c r="BM107" s="773">
        <f t="shared" si="61"/>
        <v>0</v>
      </c>
      <c r="BN107" s="774">
        <f t="shared" si="62"/>
        <v>0</v>
      </c>
      <c r="BP107" s="879" t="s">
        <v>1780</v>
      </c>
      <c r="BQ107" s="229"/>
      <c r="BR107" s="229"/>
      <c r="BS107" s="229"/>
      <c r="BT107" s="229"/>
      <c r="BU107" s="229"/>
      <c r="BV107" s="229"/>
      <c r="BW107" s="229"/>
      <c r="BX107" s="229"/>
      <c r="BY107" s="229"/>
      <c r="BZ107" s="229"/>
      <c r="CA107" s="229"/>
      <c r="CB107" s="229"/>
      <c r="CC107"/>
      <c r="CD107" s="781" t="str">
        <f t="shared" si="50"/>
        <v>►</v>
      </c>
      <c r="CE107"/>
      <c r="CF107"/>
      <c r="CG107"/>
      <c r="CH107"/>
      <c r="CI107"/>
      <c r="CJ107" s="719"/>
      <c r="DI107" s="3">
        <v>1</v>
      </c>
    </row>
    <row r="108" spans="1:113" s="627" customFormat="1" ht="21" customHeight="1">
      <c r="A108" s="701" t="s">
        <v>21</v>
      </c>
      <c r="B108" s="2265" t="str" cm="1">
        <f t="array" ref="B108">SUMPRODUCT(--(D108:J108&lt;&gt;""), LEN(TRIM(SUBSTITUTE(D108:J108, CHAR(160), "")))) &amp; " Car."</f>
        <v>0 Car.</v>
      </c>
      <c r="C108" s="1376" t="str">
        <f>IF(ISBLANK(D108),"",LARGE(C13:C107,1)+1)</f>
        <v/>
      </c>
      <c r="D108" s="1833"/>
      <c r="E108" s="1810"/>
      <c r="F108" s="1810"/>
      <c r="G108" s="1810"/>
      <c r="H108" s="1810"/>
      <c r="I108" s="1810"/>
      <c r="J108" s="1810"/>
      <c r="K108" s="1810"/>
      <c r="L108" s="1811"/>
      <c r="M108" s="9"/>
      <c r="N108" s="162" t="str">
        <f t="shared" si="51"/>
        <v>A</v>
      </c>
      <c r="O108" s="1616"/>
      <c r="P108" s="9"/>
      <c r="Q108" s="162" t="s">
        <v>10</v>
      </c>
      <c r="R108" s="163" t="str">
        <f>R80</f>
        <v>F FEUILLES DE MERINGUE | pâtisserie--ENTREMET| Auteur &gt; recette Béghin Say de Jean-Jacques Borne MOF 1994</v>
      </c>
      <c r="S108" s="163">
        <f>S80</f>
        <v>18</v>
      </c>
      <c r="T108" s="164" t="str">
        <f>T80</f>
        <v>desserts</v>
      </c>
      <c r="U108" s="165" t="str">
        <f>U80</f>
        <v>Recette mère ► MILLE-FEUILLE  aux fraises des bois</v>
      </c>
      <c r="V108" s="1548"/>
      <c r="W108" s="1548"/>
      <c r="X108" s="2190">
        <f>ROWS(AB99:AB108)</f>
        <v>10</v>
      </c>
      <c r="Y108" s="5549" t="str" cm="1">
        <f t="array" ref="Y108">IF(SUMPRODUCT((AB108:AG108&lt;&gt;"")*1)=0,"",SUMPRODUCT((AB108:AG108&lt;&gt;"")*(LEN(TRIM(SUBSTITUTE(AB108:AG108,CHAR(160)," "))) - LEN(SUBSTITUTE(TRIM(SUBSTITUTE(AB108:AG108,CHAR(160)," "))," ","")) + 1)) &amp; " mot" &amp; IF(SUMPRODUCT((AB108:AG108&lt;&gt;"")*(LEN(TRIM(SUBSTITUTE(AB108:AG108,CHAR(160)," "))) - LEN(SUBSTITUTE(TRIM(SUBSTITUTE(AB108:AG108,CHAR(160)," "))," ","")) + 1))&gt;1,"s",""))</f>
        <v/>
      </c>
      <c r="Z108" s="5550" t="str" cm="1">
        <f t="array" ref="Z108">SUMPRODUCT(--(AB108:AG108&lt;&gt;""), LEN(TRIM(SUBSTITUTE(AB108:AG108, CHAR(160), "")))) &amp; " Car."</f>
        <v>0 Car.</v>
      </c>
      <c r="AA108" s="1376" t="str">
        <f>IF(ISBLANK(AB108),"",LARGE(AA98:AA107,1)+1)</f>
        <v/>
      </c>
      <c r="AB108" s="1810"/>
      <c r="AC108" s="1810"/>
      <c r="AD108" s="1810"/>
      <c r="AE108" s="1810"/>
      <c r="AF108" s="1810"/>
      <c r="AG108" s="1810"/>
      <c r="AH108" s="1810"/>
      <c r="AI108" s="1810"/>
      <c r="AJ108" s="1811"/>
      <c r="AK108" s="6120" t="str">
        <f t="shared" si="72"/>
        <v>►</v>
      </c>
      <c r="AL108" s="781" t="str">
        <f t="shared" si="59"/>
        <v>►</v>
      </c>
      <c r="AM108" s="5498" t="str">
        <f t="shared" si="63"/>
        <v/>
      </c>
      <c r="AN108" s="783" t="str">
        <f t="shared" si="64"/>
        <v/>
      </c>
      <c r="AO108" s="782" t="str">
        <f t="shared" si="65"/>
        <v/>
      </c>
      <c r="AP108" s="783" t="str">
        <f t="shared" si="66"/>
        <v/>
      </c>
      <c r="AQ108" s="2083" t="b">
        <f>AND(Q108="A",COUNTIF(BP16:BR63,TRIM(Z108))&gt;0)</f>
        <v>0</v>
      </c>
      <c r="AR108" s="797" t="str">
        <f>IF(AL108&lt;&gt;"A","",IFERROR(IFERROR(_xlfn.XLOOKUP(TRIM(SUBSTITUTE(Z108,CHAR(160)," ")),BP16:BP63,BS16:BS63),IFERROR(_xlfn.XLOOKUP(TRIM(SUBSTITUTE(Z108,CHAR(160)," ")),BQ16:BQ63,BS16:BS63),_xlfn.XLOOKUP(TRIM(SUBSTITUTE(Z108,CHAR(160)," ")),BR16:BR63,BS16:BS63)))*Y108*IF(ISBLANK(V108),1,V108),0))</f>
        <v/>
      </c>
      <c r="AS108" s="784" t="str">
        <f t="shared" si="60"/>
        <v/>
      </c>
      <c r="AT108" s="1315" t="str">
        <f t="shared" si="67"/>
        <v/>
      </c>
      <c r="AU108" s="785">
        <f t="shared" si="68"/>
        <v>0</v>
      </c>
      <c r="AV108" s="785">
        <f t="shared" si="69"/>
        <v>0</v>
      </c>
      <c r="AW108" s="798">
        <f>IF(AK108="A",AY10,0)</f>
        <v>0</v>
      </c>
      <c r="AX108" s="5496" t="str">
        <f>IF(IFERROR(SEARCH("Adresse PC",TRIM(W108)),0)&gt;0,"▼ receta siguiente",IF(AK108="A",IF(AZ10&lt;&gt;"",AZ10&amp;" - ou.or.o ❾ + or - &gt;",""),""))</f>
        <v/>
      </c>
      <c r="AY108" s="810"/>
      <c r="AZ108" s="810"/>
      <c r="BA108" s="799" t="str">
        <f t="shared" si="56"/>
        <v/>
      </c>
      <c r="BB108" s="800" t="str">
        <f>IF(AK108="A",IF(AQ108,IF(AND(AW108&lt;&gt;"",N(AW108)&gt;0),IFERROR(IFERROR(_xlfn.XLOOKUP(AP108,BP10:BP57,BT10:BT57),IFERROR(_xlfn.XLOOKUP(AP108,BQ10:BQ57,BT10:BT57),_xlfn.XLOOKUP(AP108,BR10:BR57,BT10:BT57,""))),""),""),""),"")</f>
        <v/>
      </c>
      <c r="BC108" s="813" cm="1">
        <f t="array" ref="BC108">IF(NOT(AQ108),0,IF(OR(BA108="",N(BA108)&lt;=0.000000001),"",IF(OR(AU108="",N(AU108)&lt;=0.000000001),0,IF(ISNUMBER(BA108),IFERROR(_xlfn.LET(_xlpm.ai_test,TRIM(AP108),_xlpm.r,IFERROR(_xlfn.XLOOKUP(_xlpm.ai_test,BP16:BP63,ROW(BP16:BP63),0,1),IFERROR(_xlfn.XLOOKUP(_xlpm.ai_test,BQ16:BQ63,ROW(BQ16:BQ63),0,1),_xlfn.XLOOKUP(_xlpm.ai_test,BR16:BR63,ROW(BR16:BR63),0,1))),_xlpm.p,_xlpm.r-MIN(ROW(BP16:BP63))+1,_xlpm.f,INDEX(BS16:BS63,_xlpm.p),_xlpm.u,INDEX(BT16:BT63,_xlpm.p),_xlpm.s,INDEX(BV16:BV63,_xlpm.p),_xlpm.q,N(BA108)/_xlpm.f,IF(_xlpm.q&gt;=_xlpm.s,ROUND(_xlpm.q,1)&amp;" "&amp;_xlpm.ai_test&amp;" = "&amp;ROUND(_xlpm.q*_xlpm.f,1)&amp;" "&amp;_xlpm.u,ROUND(_xlpm.q,1)&amp;" "&amp;_xlpm.ai_test)),""),""))))</f>
        <v>0</v>
      </c>
      <c r="BD108" s="801"/>
      <c r="BE108" s="799" t="str">
        <f t="shared" si="70"/>
        <v/>
      </c>
      <c r="BF108" s="800" t="str">
        <f t="shared" si="77"/>
        <v/>
      </c>
      <c r="BG108" s="802">
        <f t="shared" si="78"/>
        <v>0</v>
      </c>
      <c r="BH108" s="803" t="str">
        <f t="shared" si="79"/>
        <v/>
      </c>
      <c r="BI108" s="792"/>
      <c r="BJ108" s="804">
        <f t="shared" si="80"/>
        <v>0</v>
      </c>
      <c r="BK108" s="794" t="str">
        <f t="shared" si="71"/>
        <v/>
      </c>
      <c r="BL108" s="227" t="s">
        <v>21</v>
      </c>
      <c r="BM108" s="773">
        <f t="shared" si="61"/>
        <v>0</v>
      </c>
      <c r="BN108" s="774">
        <f t="shared" si="62"/>
        <v>0</v>
      </c>
      <c r="BP108" s="6854" t="s">
        <v>1781</v>
      </c>
      <c r="BQ108" s="6854"/>
      <c r="BR108" s="6854"/>
      <c r="BS108" s="6854"/>
      <c r="BT108" s="6854"/>
      <c r="BU108" s="6854"/>
      <c r="BV108" s="6854"/>
      <c r="BW108" s="6854"/>
      <c r="BX108" s="6854"/>
      <c r="BY108" s="6854"/>
      <c r="BZ108" s="6854"/>
      <c r="CA108" s="6854"/>
      <c r="CB108" s="6854"/>
      <c r="CC108"/>
      <c r="CD108" s="781" t="str">
        <f t="shared" si="50"/>
        <v>►</v>
      </c>
      <c r="CE108"/>
      <c r="CF108"/>
      <c r="CG108"/>
      <c r="CH108"/>
      <c r="CI108"/>
      <c r="CJ108" s="719"/>
      <c r="DI108" s="3">
        <v>1</v>
      </c>
    </row>
    <row r="109" spans="1:113" s="627" customFormat="1" ht="21" customHeight="1">
      <c r="A109" s="701" t="s">
        <v>21</v>
      </c>
      <c r="B109" s="2265" t="str" cm="1">
        <f t="array" ref="B109">SUMPRODUCT(--(D109:J109&lt;&gt;""), LEN(TRIM(SUBSTITUTE(D109:J109, CHAR(160), "")))) &amp; " Car."</f>
        <v>0 Car.</v>
      </c>
      <c r="C109" s="1376" t="str">
        <f>IF(ISBLANK(D109),"",LARGE(C13:C108,1)+1)</f>
        <v/>
      </c>
      <c r="D109" s="1833"/>
      <c r="E109" s="1810"/>
      <c r="F109" s="1810"/>
      <c r="G109" s="1810"/>
      <c r="H109" s="1810"/>
      <c r="I109" s="1810"/>
      <c r="J109" s="1810"/>
      <c r="K109" s="1810"/>
      <c r="L109" s="1811"/>
      <c r="M109" s="9"/>
      <c r="N109" s="162" t="str">
        <f t="shared" si="51"/>
        <v>A</v>
      </c>
      <c r="O109" s="1616"/>
      <c r="P109" s="9"/>
      <c r="Q109" s="162" t="s">
        <v>10</v>
      </c>
      <c r="R109" s="163" t="str">
        <f>R80</f>
        <v>F FEUILLES DE MERINGUE | pâtisserie--ENTREMET| Auteur &gt; recette Béghin Say de Jean-Jacques Borne MOF 1994</v>
      </c>
      <c r="S109" s="1943">
        <f>S80</f>
        <v>18</v>
      </c>
      <c r="T109" s="164" t="str">
        <f>T80</f>
        <v>desserts</v>
      </c>
      <c r="U109" s="165" t="str">
        <f>U80</f>
        <v>Recette mère ► MILLE-FEUILLE  aux fraises des bois</v>
      </c>
      <c r="V109" s="1548"/>
      <c r="W109" s="1548"/>
      <c r="X109" s="2190">
        <f>ROWS(AB99:AB109)</f>
        <v>11</v>
      </c>
      <c r="Y109" s="5549" t="str" cm="1">
        <f t="array" ref="Y109">IF(SUMPRODUCT((AB109:AG109&lt;&gt;"")*1)=0,"",SUMPRODUCT((AB109:AG109&lt;&gt;"")*(LEN(TRIM(SUBSTITUTE(AB109:AG109,CHAR(160)," "))) - LEN(SUBSTITUTE(TRIM(SUBSTITUTE(AB109:AG109,CHAR(160)," "))," ","")) + 1)) &amp; " mot" &amp; IF(SUMPRODUCT((AB109:AG109&lt;&gt;"")*(LEN(TRIM(SUBSTITUTE(AB109:AG109,CHAR(160)," "))) - LEN(SUBSTITUTE(TRIM(SUBSTITUTE(AB109:AG109,CHAR(160)," "))," ","")) + 1))&gt;1,"s",""))</f>
        <v/>
      </c>
      <c r="Z109" s="5550" t="str" cm="1">
        <f t="array" ref="Z109">SUMPRODUCT(--(AB109:AG109&lt;&gt;""), LEN(TRIM(SUBSTITUTE(AB109:AG109, CHAR(160), "")))) &amp; " Car."</f>
        <v>0 Car.</v>
      </c>
      <c r="AA109" s="1376" t="str">
        <f>IF(ISBLANK(AB109),"",LARGE(AA98:AA108,1)+1)</f>
        <v/>
      </c>
      <c r="AB109" s="1810"/>
      <c r="AC109" s="1810"/>
      <c r="AD109" s="1810"/>
      <c r="AE109" s="1810"/>
      <c r="AF109" s="1810"/>
      <c r="AG109" s="1810"/>
      <c r="AH109" s="1810"/>
      <c r="AI109" s="1810"/>
      <c r="AJ109" s="1811"/>
      <c r="AK109" s="6120" t="str">
        <f t="shared" si="72"/>
        <v>►</v>
      </c>
      <c r="AL109" s="781" t="str">
        <f t="shared" si="59"/>
        <v>►</v>
      </c>
      <c r="AM109" s="5499" t="str">
        <f t="shared" si="63"/>
        <v/>
      </c>
      <c r="AN109" s="783" t="str">
        <f t="shared" si="64"/>
        <v/>
      </c>
      <c r="AO109" s="782" t="str">
        <f t="shared" si="65"/>
        <v/>
      </c>
      <c r="AP109" s="783" t="str">
        <f t="shared" si="66"/>
        <v/>
      </c>
      <c r="AQ109" s="2083" t="b">
        <f>AND(Q109="A",COUNTIF(BP16:BR63,TRIM(Z109))&gt;0)</f>
        <v>0</v>
      </c>
      <c r="AR109" s="797" t="str">
        <f>IF(AL109&lt;&gt;"A","",IFERROR(IFERROR(_xlfn.XLOOKUP(TRIM(SUBSTITUTE(Z109,CHAR(160)," ")),BP16:BP63,BS16:BS63),IFERROR(_xlfn.XLOOKUP(TRIM(SUBSTITUTE(Z109,CHAR(160)," ")),BQ16:BQ63,BS16:BS63),_xlfn.XLOOKUP(TRIM(SUBSTITUTE(Z109,CHAR(160)," ")),BR16:BR63,BS16:BS63)))*Y109*IF(ISBLANK(V109),1,V109),0))</f>
        <v/>
      </c>
      <c r="AS109" s="784" t="str">
        <f t="shared" si="60"/>
        <v/>
      </c>
      <c r="AT109" s="1315" t="str">
        <f t="shared" si="67"/>
        <v/>
      </c>
      <c r="AU109" s="785">
        <f t="shared" si="68"/>
        <v>0</v>
      </c>
      <c r="AV109" s="785">
        <f t="shared" si="69"/>
        <v>0</v>
      </c>
      <c r="AW109" s="786">
        <f>IF(AK109="A",AY10,0)</f>
        <v>0</v>
      </c>
      <c r="AX109" s="5495" t="str">
        <f>IF(IFERROR(SEARCH("Adresse PC",TRIM(W109)),0)&gt;0,"▼ receta siguiente",IF(AK109="A",IF(AZ10&lt;&gt;"",AZ10&amp;" - ou.or.o ❾ + or - &gt;",""),""))</f>
        <v/>
      </c>
      <c r="AY109" s="810"/>
      <c r="AZ109" s="810"/>
      <c r="BA109" s="788" t="str">
        <f t="shared" si="56"/>
        <v/>
      </c>
      <c r="BB109" s="789" t="str">
        <f>IF(AK109="A",IF(AQ109,IF(AND(AW109&lt;&gt;"",N(AW109)&gt;0),IFERROR(IFERROR(_xlfn.XLOOKUP(AP109,BP10:BP57,BT10:BT57),IFERROR(_xlfn.XLOOKUP(AP109,BQ10:BQ57,BT10:BT57),_xlfn.XLOOKUP(AP109,BR10:BR57,BT10:BT57,""))),""),""),""),"")</f>
        <v/>
      </c>
      <c r="BC109" s="811" cm="1">
        <f t="array" ref="BC109">IF(NOT(AQ109),0,IF(OR(BA109="",N(BA109)&lt;=0.000000001),"",IF(OR(AU109="",N(AU109)&lt;=0.000000001),0,IF(ISNUMBER(BA109),IFERROR(_xlfn.LET(_xlpm.ai_test,TRIM(AP109),_xlpm.r,IFERROR(_xlfn.XLOOKUP(_xlpm.ai_test,BP16:BP63,ROW(BP16:BP63),0,1),IFERROR(_xlfn.XLOOKUP(_xlpm.ai_test,BQ16:BQ63,ROW(BQ16:BQ63),0,1),_xlfn.XLOOKUP(_xlpm.ai_test,BR16:BR63,ROW(BR16:BR63),0,1))),_xlpm.p,_xlpm.r-MIN(ROW(BP16:BP63))+1,_xlpm.f,INDEX(BS16:BS63,_xlpm.p),_xlpm.u,INDEX(BT16:BT63,_xlpm.p),_xlpm.s,INDEX(BV16:BV63,_xlpm.p),_xlpm.q,N(BA109)/_xlpm.f,IF(_xlpm.q&gt;=_xlpm.s,ROUND(_xlpm.q,1)&amp;" "&amp;_xlpm.ai_test&amp;" = "&amp;ROUND(_xlpm.q*_xlpm.f,1)&amp;" "&amp;_xlpm.u,ROUND(_xlpm.q,1)&amp;" "&amp;_xlpm.ai_test)),""),""))))</f>
        <v>0</v>
      </c>
      <c r="BD109" s="801"/>
      <c r="BE109" s="788" t="str">
        <f t="shared" si="70"/>
        <v/>
      </c>
      <c r="BF109" s="789" t="str">
        <f t="shared" si="77"/>
        <v/>
      </c>
      <c r="BG109" s="790">
        <f t="shared" si="78"/>
        <v>0</v>
      </c>
      <c r="BH109" s="791" t="str">
        <f t="shared" si="79"/>
        <v/>
      </c>
      <c r="BI109" s="792"/>
      <c r="BJ109" s="793">
        <f t="shared" si="80"/>
        <v>0</v>
      </c>
      <c r="BK109" s="794" t="str">
        <f t="shared" si="71"/>
        <v/>
      </c>
      <c r="BL109" s="227" t="s">
        <v>21</v>
      </c>
      <c r="BM109" s="773">
        <f t="shared" si="61"/>
        <v>0</v>
      </c>
      <c r="BN109" s="774">
        <f t="shared" si="62"/>
        <v>0</v>
      </c>
      <c r="BP109" s="6854"/>
      <c r="BQ109" s="6854"/>
      <c r="BR109" s="6854"/>
      <c r="BS109" s="6854"/>
      <c r="BT109" s="6854"/>
      <c r="BU109" s="6854"/>
      <c r="BV109" s="6854"/>
      <c r="BW109" s="6854"/>
      <c r="BX109" s="6854"/>
      <c r="BY109" s="6854"/>
      <c r="BZ109" s="6854"/>
      <c r="CA109" s="6854"/>
      <c r="CB109" s="6854"/>
      <c r="CC109"/>
      <c r="CD109" s="781" t="str">
        <f t="shared" si="50"/>
        <v>►</v>
      </c>
      <c r="CE109"/>
      <c r="CF109"/>
      <c r="CG109"/>
      <c r="CH109"/>
      <c r="CI109"/>
      <c r="CJ109" s="719"/>
      <c r="DI109" s="3">
        <v>1</v>
      </c>
    </row>
    <row r="110" spans="1:113" s="627" customFormat="1" ht="21" customHeight="1">
      <c r="A110" s="701" t="s">
        <v>21</v>
      </c>
      <c r="B110" s="2265" t="str" cm="1">
        <f t="array" ref="B110">SUMPRODUCT(--(D110:J110&lt;&gt;""), LEN(TRIM(SUBSTITUTE(D110:J110, CHAR(160), "")))) &amp; " Car."</f>
        <v>0 Car.</v>
      </c>
      <c r="C110" s="1376" t="str">
        <f>IF(ISBLANK(D110),"",LARGE(C13:C109,1)+1)</f>
        <v/>
      </c>
      <c r="D110" s="1833"/>
      <c r="E110" s="1810"/>
      <c r="F110" s="1810"/>
      <c r="G110" s="1810"/>
      <c r="H110" s="1810"/>
      <c r="I110" s="1810"/>
      <c r="J110" s="1810"/>
      <c r="K110" s="1810"/>
      <c r="L110" s="1811"/>
      <c r="M110" s="9"/>
      <c r="N110" s="162" t="str">
        <f t="shared" si="51"/>
        <v>A</v>
      </c>
      <c r="O110" s="1616"/>
      <c r="P110" s="9"/>
      <c r="Q110" s="162" t="s">
        <v>10</v>
      </c>
      <c r="R110" s="163" t="str">
        <f>R80</f>
        <v>F FEUILLES DE MERINGUE | pâtisserie--ENTREMET| Auteur &gt; recette Béghin Say de Jean-Jacques Borne MOF 1994</v>
      </c>
      <c r="S110" s="163">
        <f>S80</f>
        <v>18</v>
      </c>
      <c r="T110" s="164" t="str">
        <f>T80</f>
        <v>desserts</v>
      </c>
      <c r="U110" s="165" t="str">
        <f>U80</f>
        <v>Recette mère ► MILLE-FEUILLE  aux fraises des bois</v>
      </c>
      <c r="V110" s="1548"/>
      <c r="W110" s="1548"/>
      <c r="X110" s="2190">
        <f>ROWS(AB99:AB110)</f>
        <v>12</v>
      </c>
      <c r="Y110" s="5549" t="str" cm="1">
        <f t="array" ref="Y110">IF(SUMPRODUCT((AB110:AG110&lt;&gt;"")*1)=0,"",SUMPRODUCT((AB110:AG110&lt;&gt;"")*(LEN(TRIM(SUBSTITUTE(AB110:AG110,CHAR(160)," "))) - LEN(SUBSTITUTE(TRIM(SUBSTITUTE(AB110:AG110,CHAR(160)," "))," ","")) + 1)) &amp; " mot" &amp; IF(SUMPRODUCT((AB110:AG110&lt;&gt;"")*(LEN(TRIM(SUBSTITUTE(AB110:AG110,CHAR(160)," "))) - LEN(SUBSTITUTE(TRIM(SUBSTITUTE(AB110:AG110,CHAR(160)," "))," ","")) + 1))&gt;1,"s",""))</f>
        <v>13 mots</v>
      </c>
      <c r="Z110" s="5550" t="str" cm="1">
        <f t="array" ref="Z110">SUMPRODUCT(--(AB110:AG110&lt;&gt;""), LEN(TRIM(SUBSTITUTE(AB110:AG110, CHAR(160), "")))) &amp; " Car."</f>
        <v>80 Car.</v>
      </c>
      <c r="AA110" s="1376" t="str">
        <f>IF(ISBLANK(AB110),"",LARGE(AA98:AA109,1)+1)</f>
        <v/>
      </c>
      <c r="AB110" s="1810"/>
      <c r="AC110" s="1810" t="s">
        <v>14252</v>
      </c>
      <c r="AD110" s="1810"/>
      <c r="AE110" s="1810"/>
      <c r="AF110" s="1810"/>
      <c r="AG110" s="1810"/>
      <c r="AH110" s="1810"/>
      <c r="AI110" s="1810"/>
      <c r="AJ110" s="1811"/>
      <c r="AK110" s="6120" t="str">
        <f t="shared" si="72"/>
        <v>►</v>
      </c>
      <c r="AL110" s="781" t="str">
        <f t="shared" si="59"/>
        <v>►</v>
      </c>
      <c r="AM110" s="5498" t="str">
        <f t="shared" si="63"/>
        <v/>
      </c>
      <c r="AN110" s="783" t="str">
        <f t="shared" si="64"/>
        <v/>
      </c>
      <c r="AO110" s="782" t="str">
        <f t="shared" si="65"/>
        <v/>
      </c>
      <c r="AP110" s="783" t="str">
        <f t="shared" si="66"/>
        <v/>
      </c>
      <c r="AQ110" s="2083" t="b">
        <f>AND(Q110="A",COUNTIF(BP16:BR63,TRIM(Z110))&gt;0)</f>
        <v>0</v>
      </c>
      <c r="AR110" s="797" t="str">
        <f>IF(AL110&lt;&gt;"A","",IFERROR(IFERROR(_xlfn.XLOOKUP(TRIM(SUBSTITUTE(Z110,CHAR(160)," ")),BP16:BP63,BS16:BS63),IFERROR(_xlfn.XLOOKUP(TRIM(SUBSTITUTE(Z110,CHAR(160)," ")),BQ16:BQ63,BS16:BS63),_xlfn.XLOOKUP(TRIM(SUBSTITUTE(Z110,CHAR(160)," ")),BR16:BR63,BS16:BS63)))*Y110*IF(ISBLANK(V110),1,V110),0))</f>
        <v/>
      </c>
      <c r="AS110" s="784" t="str">
        <f t="shared" si="60"/>
        <v/>
      </c>
      <c r="AT110" s="1315" t="str">
        <f t="shared" si="67"/>
        <v/>
      </c>
      <c r="AU110" s="785">
        <f t="shared" si="68"/>
        <v>0</v>
      </c>
      <c r="AV110" s="785">
        <f t="shared" si="69"/>
        <v>0</v>
      </c>
      <c r="AW110" s="798">
        <f>IF(AK110="A",AY10,0)</f>
        <v>0</v>
      </c>
      <c r="AX110" s="5496" t="str">
        <f>IF(IFERROR(SEARCH("Adresse PC",TRIM(W110)),0)&gt;0,"▼ receta siguiente",IF(AK110="A",IF(AZ10&lt;&gt;"",AZ10&amp;" - ou.or.o ❾ + or - &gt;",""),""))</f>
        <v/>
      </c>
      <c r="AY110" s="810"/>
      <c r="AZ110" s="810"/>
      <c r="BA110" s="799" t="str">
        <f t="shared" si="56"/>
        <v/>
      </c>
      <c r="BB110" s="800" t="str">
        <f>IF(AK110="A",IF(AQ110,IF(AND(AW110&lt;&gt;"",N(AW110)&gt;0),IFERROR(IFERROR(_xlfn.XLOOKUP(AP110,BP10:BP57,BT10:BT57),IFERROR(_xlfn.XLOOKUP(AP110,BQ10:BQ57,BT10:BT57),_xlfn.XLOOKUP(AP110,BR10:BR57,BT10:BT57,""))),""),""),""),"")</f>
        <v/>
      </c>
      <c r="BC110" s="813" cm="1">
        <f t="array" ref="BC110">IF(NOT(AQ110),0,IF(OR(BA110="",N(BA110)&lt;=0.000000001),"",IF(OR(AU110="",N(AU110)&lt;=0.000000001),0,IF(ISNUMBER(BA110),IFERROR(_xlfn.LET(_xlpm.ai_test,TRIM(AP110),_xlpm.r,IFERROR(_xlfn.XLOOKUP(_xlpm.ai_test,BP16:BP63,ROW(BP16:BP63),0,1),IFERROR(_xlfn.XLOOKUP(_xlpm.ai_test,BQ16:BQ63,ROW(BQ16:BQ63),0,1),_xlfn.XLOOKUP(_xlpm.ai_test,BR16:BR63,ROW(BR16:BR63),0,1))),_xlpm.p,_xlpm.r-MIN(ROW(BP16:BP63))+1,_xlpm.f,INDEX(BS16:BS63,_xlpm.p),_xlpm.u,INDEX(BT16:BT63,_xlpm.p),_xlpm.s,INDEX(BV16:BV63,_xlpm.p),_xlpm.q,N(BA110)/_xlpm.f,IF(_xlpm.q&gt;=_xlpm.s,ROUND(_xlpm.q,1)&amp;" "&amp;_xlpm.ai_test&amp;" = "&amp;ROUND(_xlpm.q*_xlpm.f,1)&amp;" "&amp;_xlpm.u,ROUND(_xlpm.q,1)&amp;" "&amp;_xlpm.ai_test)),""),""))))</f>
        <v>0</v>
      </c>
      <c r="BD110" s="801"/>
      <c r="BE110" s="799" t="str">
        <f t="shared" si="70"/>
        <v/>
      </c>
      <c r="BF110" s="800" t="str">
        <f t="shared" si="77"/>
        <v/>
      </c>
      <c r="BG110" s="802">
        <f t="shared" si="78"/>
        <v>0</v>
      </c>
      <c r="BH110" s="803" t="str">
        <f t="shared" si="79"/>
        <v/>
      </c>
      <c r="BI110" s="792"/>
      <c r="BJ110" s="804">
        <f t="shared" si="80"/>
        <v>0</v>
      </c>
      <c r="BK110" s="794" t="str">
        <f t="shared" si="71"/>
        <v/>
      </c>
      <c r="BL110" s="227" t="s">
        <v>21</v>
      </c>
      <c r="BM110" s="773">
        <f t="shared" si="61"/>
        <v>0</v>
      </c>
      <c r="BN110" s="774">
        <f t="shared" si="62"/>
        <v>0</v>
      </c>
      <c r="CC110"/>
      <c r="CD110" s="781" t="str">
        <f t="shared" si="50"/>
        <v>►</v>
      </c>
      <c r="CE110"/>
      <c r="CF110"/>
      <c r="CG110"/>
      <c r="CH110"/>
      <c r="CI110"/>
      <c r="CJ110" s="719"/>
      <c r="DI110" s="3">
        <v>1</v>
      </c>
    </row>
    <row r="111" spans="1:113" s="627" customFormat="1" ht="21" customHeight="1" thickBot="1">
      <c r="A111" s="701" t="s">
        <v>21</v>
      </c>
      <c r="B111" s="2265" t="str" cm="1">
        <f t="array" ref="B111">SUMPRODUCT(--(D111:J111&lt;&gt;""), LEN(TRIM(SUBSTITUTE(D111:J111, CHAR(160), "")))) &amp; " Car."</f>
        <v>0 Car.</v>
      </c>
      <c r="C111" s="1376" t="str">
        <f>IF(ISBLANK(D111),"",LARGE(C13:C110,1)+1)</f>
        <v/>
      </c>
      <c r="D111" s="1833"/>
      <c r="E111" s="1810"/>
      <c r="F111" s="1810"/>
      <c r="G111" s="1810"/>
      <c r="H111" s="1810"/>
      <c r="I111" s="1810"/>
      <c r="J111" s="1810"/>
      <c r="K111" s="1810"/>
      <c r="L111" s="1811"/>
      <c r="M111" s="9"/>
      <c r="N111" s="162" t="str">
        <f t="shared" si="51"/>
        <v>A</v>
      </c>
      <c r="O111" s="1616"/>
      <c r="P111" s="9"/>
      <c r="Q111" s="162" t="s">
        <v>10</v>
      </c>
      <c r="R111" s="163" t="str">
        <f>R80</f>
        <v>F FEUILLES DE MERINGUE | pâtisserie--ENTREMET| Auteur &gt; recette Béghin Say de Jean-Jacques Borne MOF 1994</v>
      </c>
      <c r="S111" s="163">
        <f>S80</f>
        <v>18</v>
      </c>
      <c r="T111" s="164" t="str">
        <f>T80</f>
        <v>desserts</v>
      </c>
      <c r="U111" s="165" t="str">
        <f>U80</f>
        <v>Recette mère ► MILLE-FEUILLE  aux fraises des bois</v>
      </c>
      <c r="V111" s="172"/>
      <c r="W111" s="1378" t="s">
        <v>207</v>
      </c>
      <c r="X111" s="1712" t="s">
        <v>8475</v>
      </c>
      <c r="Y111" s="176"/>
      <c r="Z111" s="176"/>
      <c r="AA111" s="176"/>
      <c r="AB111" s="176"/>
      <c r="AC111" s="176"/>
      <c r="AD111" s="176"/>
      <c r="AE111" s="176"/>
      <c r="AF111" s="176"/>
      <c r="AG111" s="176"/>
      <c r="AH111" s="176"/>
      <c r="AI111" s="176"/>
      <c r="AJ111" s="884"/>
      <c r="AK111" s="6120" t="str">
        <f t="shared" si="72"/>
        <v>►</v>
      </c>
      <c r="AL111" s="781" t="str">
        <f t="shared" si="59"/>
        <v>A</v>
      </c>
      <c r="AM111" s="5499" t="str">
        <f t="shared" si="63"/>
        <v>▼ recette suivante</v>
      </c>
      <c r="AN111" s="783" t="str">
        <f t="shared" si="64"/>
        <v/>
      </c>
      <c r="AO111" s="782" t="str">
        <f t="shared" si="65"/>
        <v/>
      </c>
      <c r="AP111" s="783" t="str">
        <f t="shared" si="66"/>
        <v/>
      </c>
      <c r="AQ111" s="2083" t="b">
        <f>AND(Q111="A",COUNTIF(BP16:BR63,TRIM(Z111))&gt;0)</f>
        <v>0</v>
      </c>
      <c r="AR111" s="797">
        <f>IF(AL111&lt;&gt;"A","",IFERROR(IFERROR(_xlfn.XLOOKUP(TRIM(SUBSTITUTE(Z111,CHAR(160)," ")),BP16:BP63,BS16:BS63),IFERROR(_xlfn.XLOOKUP(TRIM(SUBSTITUTE(Z111,CHAR(160)," ")),BQ16:BQ63,BS16:BS63),_xlfn.XLOOKUP(TRIM(SUBSTITUTE(Z111,CHAR(160)," ")),BR16:BR63,BS16:BS63)))*Y111*IF(ISBLANK(V111),1,V111),0))</f>
        <v>0</v>
      </c>
      <c r="AS111" s="784" t="str">
        <f t="shared" si="60"/>
        <v/>
      </c>
      <c r="AT111" s="1315" t="str">
        <f t="shared" si="67"/>
        <v/>
      </c>
      <c r="AU111" s="785">
        <f t="shared" si="68"/>
        <v>0</v>
      </c>
      <c r="AV111" s="785">
        <f t="shared" si="69"/>
        <v>0</v>
      </c>
      <c r="AW111" s="786">
        <f>IF(AK111="A",AY10,0)</f>
        <v>0</v>
      </c>
      <c r="AX111" s="5495" t="str">
        <f>IF(IFERROR(SEARCH("Adresse PC",TRIM(W111)),0)&gt;0,"▼ receta siguiente",IF(AK111="A",IF(AZ10&lt;&gt;"",AZ10&amp;" - ou.or.o ❾ + or - &gt;",""),""))</f>
        <v>▼ receta siguiente</v>
      </c>
      <c r="AY111" s="810"/>
      <c r="AZ111" s="810"/>
      <c r="BA111" s="788" t="str">
        <f t="shared" si="56"/>
        <v/>
      </c>
      <c r="BB111" s="789" t="str">
        <f>IF(AK111="A",IF(AQ111,IF(AND(AW111&lt;&gt;"",N(AW111)&gt;0),IFERROR(IFERROR(_xlfn.XLOOKUP(AP111,BP10:BP57,BT10:BT57),IFERROR(_xlfn.XLOOKUP(AP111,BQ10:BQ57,BT10:BT57),_xlfn.XLOOKUP(AP111,BR10:BR57,BT10:BT57,""))),""),""),""),"")</f>
        <v/>
      </c>
      <c r="BC111" s="811" cm="1">
        <f t="array" ref="BC111">IF(NOT(AQ111),0,IF(OR(BA111="",N(BA111)&lt;=0.000000001),"",IF(OR(AU111="",N(AU111)&lt;=0.000000001),0,IF(ISNUMBER(BA111),IFERROR(_xlfn.LET(_xlpm.ai_test,TRIM(AP111),_xlpm.r,IFERROR(_xlfn.XLOOKUP(_xlpm.ai_test,BP16:BP63,ROW(BP16:BP63),0,1),IFERROR(_xlfn.XLOOKUP(_xlpm.ai_test,BQ16:BQ63,ROW(BQ16:BQ63),0,1),_xlfn.XLOOKUP(_xlpm.ai_test,BR16:BR63,ROW(BR16:BR63),0,1))),_xlpm.p,_xlpm.r-MIN(ROW(BP16:BP63))+1,_xlpm.f,INDEX(BS16:BS63,_xlpm.p),_xlpm.u,INDEX(BT16:BT63,_xlpm.p),_xlpm.s,INDEX(BV16:BV63,_xlpm.p),_xlpm.q,N(BA111)/_xlpm.f,IF(_xlpm.q&gt;=_xlpm.s,ROUND(_xlpm.q,1)&amp;" "&amp;_xlpm.ai_test&amp;" = "&amp;ROUND(_xlpm.q*_xlpm.f,1)&amp;" "&amp;_xlpm.u,ROUND(_xlpm.q,1)&amp;" "&amp;_xlpm.ai_test)),""),""))))</f>
        <v>0</v>
      </c>
      <c r="BD111" s="801"/>
      <c r="BE111" s="788" t="str">
        <f t="shared" si="70"/>
        <v xml:space="preserve">▼next ricipe </v>
      </c>
      <c r="BF111" s="789" t="str">
        <f t="shared" si="77"/>
        <v/>
      </c>
      <c r="BG111" s="790">
        <f t="shared" si="78"/>
        <v>0</v>
      </c>
      <c r="BH111" s="791" t="str">
        <f t="shared" si="79"/>
        <v/>
      </c>
      <c r="BI111" s="792"/>
      <c r="BJ111" s="793">
        <f t="shared" si="80"/>
        <v>0</v>
      </c>
      <c r="BK111" s="794" t="str">
        <f t="shared" si="71"/>
        <v/>
      </c>
      <c r="BL111" s="227" t="s">
        <v>21</v>
      </c>
      <c r="BM111" s="773">
        <f t="shared" si="61"/>
        <v>0</v>
      </c>
      <c r="BN111" s="774">
        <f t="shared" si="62"/>
        <v>0</v>
      </c>
      <c r="CC111"/>
      <c r="CD111" s="781" t="str">
        <f t="shared" si="50"/>
        <v>A</v>
      </c>
      <c r="CE111"/>
      <c r="CF111"/>
      <c r="CG111"/>
      <c r="CH111"/>
      <c r="CI111"/>
      <c r="CJ111" s="719"/>
      <c r="DI111" s="3">
        <v>1</v>
      </c>
    </row>
    <row r="112" spans="1:113" s="627" customFormat="1" ht="21" customHeight="1">
      <c r="A112" s="701" t="s">
        <v>21</v>
      </c>
      <c r="B112" s="2265" t="str" cm="1">
        <f t="array" ref="B112">SUMPRODUCT(--(D112:J112&lt;&gt;""), LEN(TRIM(SUBSTITUTE(D112:J112, CHAR(160), "")))) &amp; " Car."</f>
        <v>0 Car.</v>
      </c>
      <c r="C112" s="1376" t="str">
        <f>IF(ISBLANK(D112),"",LARGE(C13:C111,1)+1)</f>
        <v/>
      </c>
      <c r="D112" s="1833"/>
      <c r="E112" s="1810"/>
      <c r="F112" s="1810"/>
      <c r="G112" s="1810"/>
      <c r="H112" s="1810"/>
      <c r="I112" s="1810"/>
      <c r="J112" s="1810"/>
      <c r="K112" s="1810"/>
      <c r="L112" s="1811"/>
      <c r="M112" s="9"/>
      <c r="N112" s="162" t="str">
        <f t="shared" si="51"/>
        <v>A</v>
      </c>
      <c r="O112" s="1616"/>
      <c r="P112" s="9"/>
      <c r="Q112" s="162" t="s">
        <v>10</v>
      </c>
      <c r="R112" s="163" t="str">
        <f>R80</f>
        <v>F FEUILLES DE MERINGUE | pâtisserie--ENTREMET| Auteur &gt; recette Béghin Say de Jean-Jacques Borne MOF 1994</v>
      </c>
      <c r="S112" s="163">
        <f>S80</f>
        <v>18</v>
      </c>
      <c r="T112" s="164" t="str">
        <f>T80</f>
        <v>desserts</v>
      </c>
      <c r="U112" s="165" t="str">
        <f>U80</f>
        <v>Recette mère ► MILLE-FEUILLE  aux fraises des bois</v>
      </c>
      <c r="V112" s="1379"/>
      <c r="W112" s="1380"/>
      <c r="X112" s="1380"/>
      <c r="Y112" s="1380"/>
      <c r="Z112" s="1380"/>
      <c r="AA112" s="1380"/>
      <c r="AB112" s="1380"/>
      <c r="AC112" s="1381" t="s">
        <v>196</v>
      </c>
      <c r="AD112" s="202"/>
      <c r="AE112" s="202"/>
      <c r="AF112" s="202"/>
      <c r="AG112" s="202"/>
      <c r="AH112" s="202"/>
      <c r="AI112" s="202"/>
      <c r="AJ112" s="885"/>
      <c r="AK112" s="6120" t="str">
        <f t="shared" si="72"/>
        <v>►</v>
      </c>
      <c r="AL112" s="781" t="str">
        <f t="shared" si="59"/>
        <v>►</v>
      </c>
      <c r="AM112" s="5498" t="str">
        <f t="shared" si="63"/>
        <v/>
      </c>
      <c r="AN112" s="783" t="str">
        <f t="shared" si="64"/>
        <v/>
      </c>
      <c r="AO112" s="782" t="str">
        <f t="shared" si="65"/>
        <v/>
      </c>
      <c r="AP112" s="783" t="str">
        <f t="shared" si="66"/>
        <v/>
      </c>
      <c r="AQ112" s="2083" t="b">
        <f>AND(Q112="A",COUNTIF(BP16:BR63,TRIM(Z112))&gt;0)</f>
        <v>0</v>
      </c>
      <c r="AR112" s="797" t="str">
        <f>IF(AL112&lt;&gt;"A","",IFERROR(IFERROR(_xlfn.XLOOKUP(TRIM(SUBSTITUTE(Z112,CHAR(160)," ")),BP16:BP63,BS16:BS63),IFERROR(_xlfn.XLOOKUP(TRIM(SUBSTITUTE(Z112,CHAR(160)," ")),BQ16:BQ63,BS16:BS63),_xlfn.XLOOKUP(TRIM(SUBSTITUTE(Z112,CHAR(160)," ")),BR16:BR63,BS16:BS63)))*Y112*IF(ISBLANK(V112),1,V112),0))</f>
        <v/>
      </c>
      <c r="AS112" s="784" t="str">
        <f t="shared" si="60"/>
        <v/>
      </c>
      <c r="AT112" s="1315" t="str">
        <f t="shared" si="67"/>
        <v/>
      </c>
      <c r="AU112" s="785">
        <f t="shared" si="68"/>
        <v>0</v>
      </c>
      <c r="AV112" s="785">
        <f t="shared" si="69"/>
        <v>0</v>
      </c>
      <c r="AW112" s="798">
        <f>IF(AK112="A",AY10,0)</f>
        <v>0</v>
      </c>
      <c r="AX112" s="5496" t="str">
        <f>IF(IFERROR(SEARCH("Adresse PC",TRIM(W112)),0)&gt;0,"▼ receta siguiente",IF(AK112="A",IF(AZ10&lt;&gt;"",AZ10&amp;" - ou.or.o ❾ + or - &gt;",""),""))</f>
        <v/>
      </c>
      <c r="AY112" s="810"/>
      <c r="AZ112" s="810"/>
      <c r="BA112" s="799" t="str">
        <f t="shared" si="56"/>
        <v/>
      </c>
      <c r="BB112" s="800" t="str">
        <f>IF(AK112="A",IF(AQ112,IF(AND(AW112&lt;&gt;"",N(AW112)&gt;0),IFERROR(IFERROR(_xlfn.XLOOKUP(AP112,BP10:BP57,BT10:BT57),IFERROR(_xlfn.XLOOKUP(AP112,BQ10:BQ57,BT10:BT57),_xlfn.XLOOKUP(AP112,BR10:BR57,BT10:BT57,""))),""),""),""),"")</f>
        <v/>
      </c>
      <c r="BC112" s="813" cm="1">
        <f t="array" ref="BC112">IF(NOT(AQ112),0,IF(OR(BA112="",N(BA112)&lt;=0.000000001),"",IF(OR(AU112="",N(AU112)&lt;=0.000000001),0,IF(ISNUMBER(BA112),IFERROR(_xlfn.LET(_xlpm.ai_test,TRIM(AP112),_xlpm.r,IFERROR(_xlfn.XLOOKUP(_xlpm.ai_test,BP16:BP63,ROW(BP16:BP63),0,1),IFERROR(_xlfn.XLOOKUP(_xlpm.ai_test,BQ16:BQ63,ROW(BQ16:BQ63),0,1),_xlfn.XLOOKUP(_xlpm.ai_test,BR16:BR63,ROW(BR16:BR63),0,1))),_xlpm.p,_xlpm.r-MIN(ROW(BP16:BP63))+1,_xlpm.f,INDEX(BS16:BS63,_xlpm.p),_xlpm.u,INDEX(BT16:BT63,_xlpm.p),_xlpm.s,INDEX(BV16:BV63,_xlpm.p),_xlpm.q,N(BA112)/_xlpm.f,IF(_xlpm.q&gt;=_xlpm.s,ROUND(_xlpm.q,1)&amp;" "&amp;_xlpm.ai_test&amp;" = "&amp;ROUND(_xlpm.q*_xlpm.f,1)&amp;" "&amp;_xlpm.u,ROUND(_xlpm.q,1)&amp;" "&amp;_xlpm.ai_test)),""),""))))</f>
        <v>0</v>
      </c>
      <c r="BD112" s="801"/>
      <c r="BE112" s="799" t="str">
        <f t="shared" si="70"/>
        <v/>
      </c>
      <c r="BF112" s="800" t="str">
        <f t="shared" si="77"/>
        <v/>
      </c>
      <c r="BG112" s="802">
        <f t="shared" si="78"/>
        <v>0</v>
      </c>
      <c r="BH112" s="803" t="str">
        <f t="shared" si="79"/>
        <v/>
      </c>
      <c r="BI112" s="792"/>
      <c r="BJ112" s="804">
        <f t="shared" si="80"/>
        <v>0</v>
      </c>
      <c r="BK112" s="794" t="str">
        <f t="shared" si="71"/>
        <v/>
      </c>
      <c r="BL112" s="227" t="s">
        <v>21</v>
      </c>
      <c r="BM112" s="773">
        <f t="shared" si="61"/>
        <v>0</v>
      </c>
      <c r="BN112" s="774">
        <f t="shared" si="62"/>
        <v>0</v>
      </c>
      <c r="CC112"/>
      <c r="CD112" s="781" t="str">
        <f t="shared" si="50"/>
        <v>►</v>
      </c>
      <c r="CE112"/>
      <c r="CF112"/>
      <c r="CG112"/>
      <c r="CH112"/>
      <c r="CI112"/>
      <c r="CJ112" s="719"/>
      <c r="DI112" s="3">
        <v>1</v>
      </c>
    </row>
    <row r="113" spans="1:113" s="627" customFormat="1" ht="21" customHeight="1" thickBot="1">
      <c r="A113" s="701" t="s">
        <v>21</v>
      </c>
      <c r="B113" s="2265" t="str" cm="1">
        <f t="array" ref="B113">SUMPRODUCT(--(D113:J113&lt;&gt;""), LEN(TRIM(SUBSTITUTE(D113:J113, CHAR(160), "")))) &amp; " Car."</f>
        <v>0 Car.</v>
      </c>
      <c r="C113" s="1376" t="str">
        <f>IF(ISBLANK(D113),"",LARGE(C13:C112,1)+1)</f>
        <v/>
      </c>
      <c r="D113" s="1833"/>
      <c r="E113" s="1810"/>
      <c r="F113" s="1810"/>
      <c r="G113" s="1810"/>
      <c r="H113" s="1810"/>
      <c r="I113" s="1810"/>
      <c r="J113" s="1810"/>
      <c r="K113" s="1810"/>
      <c r="L113" s="1811"/>
      <c r="M113" s="9"/>
      <c r="N113" s="162" t="str">
        <f t="shared" si="51"/>
        <v>A</v>
      </c>
      <c r="O113" s="1616"/>
      <c r="P113" s="9"/>
      <c r="Q113" s="162" t="s">
        <v>10</v>
      </c>
      <c r="R113" s="163" t="str">
        <f>R80</f>
        <v>F FEUILLES DE MERINGUE | pâtisserie--ENTREMET| Auteur &gt; recette Béghin Say de Jean-Jacques Borne MOF 1994</v>
      </c>
      <c r="S113" s="163">
        <f>S80</f>
        <v>18</v>
      </c>
      <c r="T113" s="164" t="str">
        <f>T80</f>
        <v>desserts</v>
      </c>
      <c r="U113" s="165" t="str">
        <f>U80</f>
        <v>Recette mère ► MILLE-FEUILLE  aux fraises des bois</v>
      </c>
      <c r="V113" s="2139"/>
      <c r="W113" s="2124"/>
      <c r="X113" s="2138"/>
      <c r="Y113" s="2140" t="s">
        <v>8860</v>
      </c>
      <c r="Z113" s="2065">
        <f ca="1">Z98</f>
        <v>132</v>
      </c>
      <c r="AA113" s="886" t="s">
        <v>200</v>
      </c>
      <c r="AB113" s="2137"/>
      <c r="AC113" s="2137"/>
      <c r="AD113" s="2137"/>
      <c r="AE113" s="472"/>
      <c r="AF113" s="472"/>
      <c r="AG113" s="472"/>
      <c r="AH113" s="2260" t="str">
        <f>IF(AB114="","",(LEN(TRIM(SUBSTITUTE(AB114,CHAR(160)," ")))-LEN(SUBSTITUTE(TRIM(SUBSTITUTE(AB114,CHAR(160)," "))," ",""))+1)&amp;" mot"&amp;IF((LEN(TRIM(SUBSTITUTE(AB114,CHAR(160)," ")))-LEN(SUBSTITUTE(TRIM(SUBSTITUTE(AB114,CHAR(160)," "))," ",""))+1)&gt;1,"s",""))</f>
        <v>17 mots</v>
      </c>
      <c r="AI113" s="2259" t="str">
        <f>IF(AB114="","",LEN(TRIM(SUBSTITUTE(AB114,CHAR(160),""))))&amp;" Car."</f>
        <v>123 Car.</v>
      </c>
      <c r="AJ113" s="2261" t="s">
        <v>8863</v>
      </c>
      <c r="AK113" s="6120" t="str">
        <f t="shared" si="72"/>
        <v>►</v>
      </c>
      <c r="AL113" s="781" t="str">
        <f t="shared" si="59"/>
        <v>►</v>
      </c>
      <c r="AM113" s="5499" t="str">
        <f t="shared" si="63"/>
        <v/>
      </c>
      <c r="AN113" s="783" t="str">
        <f t="shared" si="64"/>
        <v/>
      </c>
      <c r="AO113" s="782" t="str">
        <f t="shared" si="65"/>
        <v/>
      </c>
      <c r="AP113" s="783" t="str">
        <f t="shared" si="66"/>
        <v/>
      </c>
      <c r="AQ113" s="2083" t="b">
        <f ca="1">AND(Q113="A",COUNTIF(BP16:BR63,TRIM(Z113))&gt;0)</f>
        <v>0</v>
      </c>
      <c r="AR113" s="797" t="str">
        <f>IF(AL113&lt;&gt;"A","",IFERROR(IFERROR(_xlfn.XLOOKUP(TRIM(SUBSTITUTE(Z113,CHAR(160)," ")),BP16:BP63,BS16:BS63),IFERROR(_xlfn.XLOOKUP(TRIM(SUBSTITUTE(Z113,CHAR(160)," ")),BQ16:BQ63,BS16:BS63),_xlfn.XLOOKUP(TRIM(SUBSTITUTE(Z113,CHAR(160)," ")),BR16:BR63,BS16:BS63)))*Y113*IF(ISBLANK(V113),1,V113),0))</f>
        <v/>
      </c>
      <c r="AS113" s="784" t="str">
        <f t="shared" si="60"/>
        <v/>
      </c>
      <c r="AT113" s="1315" t="str">
        <f t="shared" si="67"/>
        <v/>
      </c>
      <c r="AU113" s="785">
        <f t="shared" si="68"/>
        <v>0</v>
      </c>
      <c r="AV113" s="785">
        <f t="shared" si="69"/>
        <v>0</v>
      </c>
      <c r="AW113" s="786">
        <f>IF(AK113="A",AY10,0)</f>
        <v>0</v>
      </c>
      <c r="AX113" s="5495" t="str">
        <f>IF(IFERROR(SEARCH("Adresse PC",TRIM(W113)),0)&gt;0,"▼ receta siguiente",IF(AK113="A",IF(AZ10&lt;&gt;"",AZ10&amp;" - ou.or.o ❾ + or - &gt;",""),""))</f>
        <v/>
      </c>
      <c r="AY113" s="810"/>
      <c r="AZ113" s="810"/>
      <c r="BA113" s="788" t="str">
        <f t="shared" si="56"/>
        <v/>
      </c>
      <c r="BB113" s="789" t="str">
        <f>IF(AK113="A",IF(AQ113,IF(AND(AW113&lt;&gt;"",N(AW113)&gt;0),IFERROR(IFERROR(_xlfn.XLOOKUP(AP113,BP10:BP57,BT10:BT57),IFERROR(_xlfn.XLOOKUP(AP113,BQ10:BQ57,BT10:BT57),_xlfn.XLOOKUP(AP113,BR10:BR57,BT10:BT57,""))),""),""),""),"")</f>
        <v/>
      </c>
      <c r="BC113" s="811" cm="1">
        <f t="array" aca="1" ref="BC113" ca="1">IF(NOT(AQ113),0,IF(OR(BA113="",N(BA113)&lt;=0.000000001),"",IF(OR(AU113="",N(AU113)&lt;=0.000000001),0,IF(ISNUMBER(BA113),IFERROR(_xlfn.LET(_xlpm.ai_test,TRIM(AP113),_xlpm.r,IFERROR(_xlfn.XLOOKUP(_xlpm.ai_test,BP16:BP63,ROW(BP16:BP63),0,1),IFERROR(_xlfn.XLOOKUP(_xlpm.ai_test,BQ16:BQ63,ROW(BQ16:BQ63),0,1),_xlfn.XLOOKUP(_xlpm.ai_test,BR16:BR63,ROW(BR16:BR63),0,1))),_xlpm.p,_xlpm.r-MIN(ROW(BP16:BP63))+1,_xlpm.f,INDEX(BS16:BS63,_xlpm.p),_xlpm.u,INDEX(BT16:BT63,_xlpm.p),_xlpm.s,INDEX(BV16:BV63,_xlpm.p),_xlpm.q,N(BA113)/_xlpm.f,IF(_xlpm.q&gt;=_xlpm.s,ROUND(_xlpm.q,1)&amp;" "&amp;_xlpm.ai_test&amp;" = "&amp;ROUND(_xlpm.q*_xlpm.f,1)&amp;" "&amp;_xlpm.u,ROUND(_xlpm.q,1)&amp;" "&amp;_xlpm.ai_test)),""),""))))</f>
        <v>0</v>
      </c>
      <c r="BD113" s="801"/>
      <c r="BE113" s="788" t="str">
        <f t="shared" si="70"/>
        <v/>
      </c>
      <c r="BF113" s="789" t="str">
        <f t="shared" ca="1" si="77"/>
        <v/>
      </c>
      <c r="BG113" s="790">
        <f t="shared" si="78"/>
        <v>0</v>
      </c>
      <c r="BH113" s="791" t="str">
        <f t="shared" ca="1" si="79"/>
        <v/>
      </c>
      <c r="BI113" s="792"/>
      <c r="BJ113" s="793">
        <f t="shared" si="80"/>
        <v>0</v>
      </c>
      <c r="BK113" s="794" t="str">
        <f t="shared" si="71"/>
        <v/>
      </c>
      <c r="BL113" s="227" t="s">
        <v>21</v>
      </c>
      <c r="BM113" s="773">
        <f t="shared" si="61"/>
        <v>0</v>
      </c>
      <c r="BN113" s="774">
        <f t="shared" si="62"/>
        <v>0</v>
      </c>
      <c r="CC113"/>
      <c r="CD113" s="781" t="str">
        <f t="shared" si="50"/>
        <v>►</v>
      </c>
      <c r="CE113"/>
      <c r="CF113"/>
      <c r="CG113"/>
      <c r="CH113"/>
      <c r="CI113"/>
      <c r="CJ113" s="719"/>
      <c r="DI113" s="3">
        <v>1</v>
      </c>
    </row>
    <row r="114" spans="1:113" s="627" customFormat="1" ht="21" customHeight="1" thickBot="1">
      <c r="A114" s="701" t="s">
        <v>21</v>
      </c>
      <c r="B114" s="2265" t="str" cm="1">
        <f t="array" ref="B114">SUMPRODUCT(--(D114:J114&lt;&gt;""), LEN(TRIM(SUBSTITUTE(D114:J114, CHAR(160), "")))) &amp; " Car."</f>
        <v>0 Car.</v>
      </c>
      <c r="C114" s="1376" t="str">
        <f>IF(ISBLANK(D114),"",LARGE(C13:C113,1)+1)</f>
        <v/>
      </c>
      <c r="D114" s="1833"/>
      <c r="E114" s="1810"/>
      <c r="F114" s="1810"/>
      <c r="G114" s="1810"/>
      <c r="H114" s="1810"/>
      <c r="I114" s="1810"/>
      <c r="J114" s="1810"/>
      <c r="K114" s="1810"/>
      <c r="L114" s="1811"/>
      <c r="M114" s="9"/>
      <c r="N114" s="1814" t="str">
        <f t="shared" si="51"/>
        <v>A</v>
      </c>
      <c r="O114" s="1616"/>
      <c r="P114" s="9"/>
      <c r="Q114" s="1814" t="s">
        <v>10</v>
      </c>
      <c r="R114" s="209" t="str">
        <f>R80</f>
        <v>F FEUILLES DE MERINGUE | pâtisserie--ENTREMET| Auteur &gt; recette Béghin Say de Jean-Jacques Borne MOF 1994</v>
      </c>
      <c r="S114" s="209">
        <f>S80</f>
        <v>18</v>
      </c>
      <c r="T114" s="210" t="str">
        <f>T80</f>
        <v>desserts</v>
      </c>
      <c r="U114" s="211" t="str">
        <f>U80</f>
        <v>Recette mère ► MILLE-FEUILLE  aux fraises des bois</v>
      </c>
      <c r="V114" s="2129"/>
      <c r="W114" s="2130"/>
      <c r="X114" s="2131"/>
      <c r="Y114" s="2132"/>
      <c r="Z114" s="2133"/>
      <c r="AA114" s="2133" t="s">
        <v>8864</v>
      </c>
      <c r="AB114" s="5545" t="s">
        <v>8866</v>
      </c>
      <c r="AC114" s="2136"/>
      <c r="AD114" s="2136"/>
      <c r="AE114" s="2134"/>
      <c r="AF114" s="2134"/>
      <c r="AG114" s="2134"/>
      <c r="AH114" s="2134"/>
      <c r="AI114" s="2134"/>
      <c r="AJ114" s="2135"/>
      <c r="AK114" s="6120" t="str">
        <f t="shared" si="72"/>
        <v>►</v>
      </c>
      <c r="AL114" s="781" t="str">
        <f t="shared" si="59"/>
        <v>►</v>
      </c>
      <c r="AM114" s="5498" t="str">
        <f t="shared" si="63"/>
        <v/>
      </c>
      <c r="AN114" s="783" t="str">
        <f t="shared" si="64"/>
        <v/>
      </c>
      <c r="AO114" s="782" t="str">
        <f t="shared" si="65"/>
        <v/>
      </c>
      <c r="AP114" s="783" t="str">
        <f t="shared" si="66"/>
        <v/>
      </c>
      <c r="AQ114" s="2083" t="b">
        <f>AND(Q114="A",COUNTIF(BP16:BR63,TRIM(Z114))&gt;0)</f>
        <v>0</v>
      </c>
      <c r="AR114" s="797" t="str">
        <f>IF(AL114&lt;&gt;"A","",IFERROR(IFERROR(_xlfn.XLOOKUP(TRIM(SUBSTITUTE(Z114,CHAR(160)," ")),BP16:BP63,BS16:BS63),IFERROR(_xlfn.XLOOKUP(TRIM(SUBSTITUTE(Z114,CHAR(160)," ")),BQ16:BQ63,BS16:BS63),_xlfn.XLOOKUP(TRIM(SUBSTITUTE(Z114,CHAR(160)," ")),BR16:BR63,BS16:BS63)))*Y114*IF(ISBLANK(V114),1,V114),0))</f>
        <v/>
      </c>
      <c r="AS114" s="784" t="str">
        <f t="shared" si="60"/>
        <v/>
      </c>
      <c r="AT114" s="1315" t="str">
        <f t="shared" si="67"/>
        <v/>
      </c>
      <c r="AU114" s="785">
        <f t="shared" si="68"/>
        <v>0</v>
      </c>
      <c r="AV114" s="785">
        <f t="shared" si="69"/>
        <v>0</v>
      </c>
      <c r="AW114" s="798">
        <f>IF(AK114="A",AY10,0)</f>
        <v>0</v>
      </c>
      <c r="AX114" s="5496" t="str">
        <f>IF(IFERROR(SEARCH("Adresse PC",TRIM(W114)),0)&gt;0,"▼ receta siguiente",IF(AK114="A",IF(AZ10&lt;&gt;"",AZ10&amp;" - ou.or.o ❾ + or - &gt;",""),""))</f>
        <v/>
      </c>
      <c r="AY114" s="810"/>
      <c r="AZ114" s="810"/>
      <c r="BA114" s="799" t="str">
        <f t="shared" si="56"/>
        <v/>
      </c>
      <c r="BB114" s="800" t="str">
        <f>IF(AK114="A",IF(AQ114,IF(AND(AW114&lt;&gt;"",N(AW114)&gt;0),IFERROR(IFERROR(_xlfn.XLOOKUP(AP114,BP10:BP57,BT10:BT57),IFERROR(_xlfn.XLOOKUP(AP114,BQ10:BQ57,BT10:BT57),_xlfn.XLOOKUP(AP114,BR10:BR57,BT10:BT57,""))),""),""),""),"")</f>
        <v/>
      </c>
      <c r="BC114" s="813" cm="1">
        <f t="array" ref="BC114">IF(NOT(AQ114),0,IF(OR(BA114="",N(BA114)&lt;=0.000000001),"",IF(OR(AU114="",N(AU114)&lt;=0.000000001),0,IF(ISNUMBER(BA114),IFERROR(_xlfn.LET(_xlpm.ai_test,TRIM(AP114),_xlpm.r,IFERROR(_xlfn.XLOOKUP(_xlpm.ai_test,BP16:BP63,ROW(BP16:BP63),0,1),IFERROR(_xlfn.XLOOKUP(_xlpm.ai_test,BQ16:BQ63,ROW(BQ16:BQ63),0,1),_xlfn.XLOOKUP(_xlpm.ai_test,BR16:BR63,ROW(BR16:BR63),0,1))),_xlpm.p,_xlpm.r-MIN(ROW(BP16:BP63))+1,_xlpm.f,INDEX(BS16:BS63,_xlpm.p),_xlpm.u,INDEX(BT16:BT63,_xlpm.p),_xlpm.s,INDEX(BV16:BV63,_xlpm.p),_xlpm.q,N(BA114)/_xlpm.f,IF(_xlpm.q&gt;=_xlpm.s,ROUND(_xlpm.q,1)&amp;" "&amp;_xlpm.ai_test&amp;" = "&amp;ROUND(_xlpm.q*_xlpm.f,1)&amp;" "&amp;_xlpm.u,ROUND(_xlpm.q,1)&amp;" "&amp;_xlpm.ai_test)),""),""))))</f>
        <v>0</v>
      </c>
      <c r="BD114" s="801"/>
      <c r="BE114" s="799" t="str">
        <f t="shared" si="70"/>
        <v/>
      </c>
      <c r="BF114" s="800" t="str">
        <f t="shared" si="77"/>
        <v/>
      </c>
      <c r="BG114" s="802">
        <f t="shared" si="78"/>
        <v>0</v>
      </c>
      <c r="BH114" s="803" t="str">
        <f t="shared" si="79"/>
        <v/>
      </c>
      <c r="BI114" s="792"/>
      <c r="BJ114" s="804">
        <f t="shared" si="80"/>
        <v>0</v>
      </c>
      <c r="BK114" s="794" t="str">
        <f t="shared" si="71"/>
        <v/>
      </c>
      <c r="BL114" s="227" t="s">
        <v>21</v>
      </c>
      <c r="BM114" s="773">
        <f t="shared" si="61"/>
        <v>0</v>
      </c>
      <c r="BN114" s="774">
        <f t="shared" si="62"/>
        <v>0</v>
      </c>
      <c r="CC114"/>
      <c r="CD114" s="781" t="str">
        <f t="shared" si="50"/>
        <v>►</v>
      </c>
      <c r="CE114"/>
      <c r="CF114"/>
      <c r="CG114"/>
      <c r="CH114"/>
      <c r="CI114"/>
      <c r="CJ114" s="719"/>
      <c r="DI114" s="3">
        <v>1</v>
      </c>
    </row>
    <row r="115" spans="1:113" s="627" customFormat="1" ht="21" customHeight="1" thickBot="1">
      <c r="A115" s="701" t="s">
        <v>21</v>
      </c>
      <c r="B115" s="2265" t="str" cm="1">
        <f t="array" ref="B115">SUMPRODUCT(--(D115:J115&lt;&gt;""), LEN(TRIM(SUBSTITUTE(D115:J115, CHAR(160), "")))) &amp; " Car."</f>
        <v>0 Car.</v>
      </c>
      <c r="C115" s="1376" t="str">
        <f>IF(ISBLANK(D115),"",LARGE(C13:C114,1)+1)</f>
        <v/>
      </c>
      <c r="D115" s="1833"/>
      <c r="E115" s="1810"/>
      <c r="F115" s="1810"/>
      <c r="G115" s="1810"/>
      <c r="H115" s="1810"/>
      <c r="I115" s="1810"/>
      <c r="J115" s="1810"/>
      <c r="K115" s="1810"/>
      <c r="L115" s="1811"/>
      <c r="M115" s="9"/>
      <c r="N115" s="215" t="str">
        <f t="shared" si="51"/>
        <v>A</v>
      </c>
      <c r="O115" s="1616"/>
      <c r="P115" s="9"/>
      <c r="Q115" s="215" t="s">
        <v>10</v>
      </c>
      <c r="R115" s="216"/>
      <c r="S115" s="216"/>
      <c r="T115" s="216"/>
      <c r="U115" s="217"/>
      <c r="V115" s="218" t="s">
        <v>207</v>
      </c>
      <c r="W115" s="219" t="str">
        <f ca="1">CELL("nomfichier")</f>
        <v>D:\Données\1.UPRT\0-UPRT.fait\1-UPRT.FR-SITE-WEB\ff-fiches-fabrications\ff.fiches.fabrication.2023\ffr.restaurant.2023\[ff.FICHE.TRILINGUE.20.COLONNES.05.01.2026.xlsx]Couleurs.pour.vos.documents</v>
      </c>
      <c r="X115" s="220"/>
      <c r="Y115" s="220"/>
      <c r="Z115" s="220"/>
      <c r="AA115" s="220"/>
      <c r="AB115" s="220"/>
      <c r="AC115" s="220"/>
      <c r="AD115" s="220"/>
      <c r="AE115" s="220"/>
      <c r="AF115" s="220"/>
      <c r="AG115" s="220"/>
      <c r="AH115" s="220"/>
      <c r="AI115" s="220"/>
      <c r="AJ115" s="221"/>
      <c r="AK115" s="6120" t="str">
        <f t="shared" si="72"/>
        <v>►</v>
      </c>
      <c r="AL115" s="781" t="str">
        <f t="shared" ca="1" si="59"/>
        <v>►</v>
      </c>
      <c r="AM115" s="5499" t="str">
        <f t="shared" ca="1" si="63"/>
        <v/>
      </c>
      <c r="AN115" s="783" t="str">
        <f t="shared" si="64"/>
        <v/>
      </c>
      <c r="AO115" s="782" t="str">
        <f t="shared" si="65"/>
        <v/>
      </c>
      <c r="AP115" s="783" t="str">
        <f t="shared" si="66"/>
        <v/>
      </c>
      <c r="AQ115" s="2083" t="b">
        <f>AND(Q115="A",COUNTIF(BP16:BR63,TRIM(Z115))&gt;0)</f>
        <v>0</v>
      </c>
      <c r="AR115" s="797" t="str">
        <f ca="1">IF(AL115&lt;&gt;"A","",IFERROR(IFERROR(_xlfn.XLOOKUP(TRIM(SUBSTITUTE(Z115,CHAR(160)," ")),BP16:BP63,BS16:BS63),IFERROR(_xlfn.XLOOKUP(TRIM(SUBSTITUTE(Z115,CHAR(160)," ")),BQ16:BQ63,BS16:BS63),_xlfn.XLOOKUP(TRIM(SUBSTITUTE(Z115,CHAR(160)," ")),BR16:BR63,BS16:BS63)))*Y115*IF(ISBLANK(V115),1,V115),0))</f>
        <v/>
      </c>
      <c r="AS115" s="784" t="str">
        <f t="shared" si="60"/>
        <v/>
      </c>
      <c r="AT115" s="1315" t="str">
        <f t="shared" si="67"/>
        <v/>
      </c>
      <c r="AU115" s="785">
        <f t="shared" si="68"/>
        <v>0</v>
      </c>
      <c r="AV115" s="785">
        <f t="shared" si="69"/>
        <v>0</v>
      </c>
      <c r="AW115" s="786">
        <f>IF(AK115="A",AY10,0)</f>
        <v>0</v>
      </c>
      <c r="AX115" s="5495" t="str">
        <f ca="1">IF(IFERROR(SEARCH("Adresse PC",TRIM(W115)),0)&gt;0,"▼ receta siguiente",IF(AK115="A",IF(AZ10&lt;&gt;"",AZ10&amp;" - ou.or.o ❾ + or - &gt;",""),""))</f>
        <v/>
      </c>
      <c r="AY115" s="810"/>
      <c r="AZ115" s="810"/>
      <c r="BA115" s="788" t="str">
        <f t="shared" si="56"/>
        <v/>
      </c>
      <c r="BB115" s="789" t="str">
        <f>IF(AK115="A",IF(AQ115,IF(AND(AW115&lt;&gt;"",N(AW115)&gt;0),IFERROR(IFERROR(_xlfn.XLOOKUP(AP115,BP10:BP57,BT10:BT57),IFERROR(_xlfn.XLOOKUP(AP115,BQ10:BQ57,BT10:BT57),_xlfn.XLOOKUP(AP115,BR10:BR57,BT10:BT57,""))),""),""),""),"")</f>
        <v/>
      </c>
      <c r="BC115" s="811" cm="1">
        <f t="array" ref="BC115">IF(NOT(AQ115),0,IF(OR(BA115="",N(BA115)&lt;=0.000000001),"",IF(OR(AU115="",N(AU115)&lt;=0.000000001),0,IF(ISNUMBER(BA115),IFERROR(_xlfn.LET(_xlpm.ai_test,TRIM(AP115),_xlpm.r,IFERROR(_xlfn.XLOOKUP(_xlpm.ai_test,BP16:BP63,ROW(BP16:BP63),0,1),IFERROR(_xlfn.XLOOKUP(_xlpm.ai_test,BQ16:BQ63,ROW(BQ16:BQ63),0,1),_xlfn.XLOOKUP(_xlpm.ai_test,BR16:BR63,ROW(BR16:BR63),0,1))),_xlpm.p,_xlpm.r-MIN(ROW(BP16:BP63))+1,_xlpm.f,INDEX(BS16:BS63,_xlpm.p),_xlpm.u,INDEX(BT16:BT63,_xlpm.p),_xlpm.s,INDEX(BV16:BV63,_xlpm.p),_xlpm.q,N(BA115)/_xlpm.f,IF(_xlpm.q&gt;=_xlpm.s,ROUND(_xlpm.q,1)&amp;" "&amp;_xlpm.ai_test&amp;" = "&amp;ROUND(_xlpm.q*_xlpm.f,1)&amp;" "&amp;_xlpm.u,ROUND(_xlpm.q,1)&amp;" "&amp;_xlpm.ai_test)),""),""))))</f>
        <v>0</v>
      </c>
      <c r="BD115" s="801"/>
      <c r="BE115" s="788" t="str">
        <f t="shared" ca="1" si="70"/>
        <v/>
      </c>
      <c r="BF115" s="789" t="str">
        <f t="shared" si="77"/>
        <v/>
      </c>
      <c r="BG115" s="790">
        <f t="shared" si="78"/>
        <v>0</v>
      </c>
      <c r="BH115" s="791" t="str">
        <f t="shared" si="79"/>
        <v/>
      </c>
      <c r="BI115" s="792"/>
      <c r="BJ115" s="793">
        <f t="shared" si="80"/>
        <v>0</v>
      </c>
      <c r="BK115" s="794" t="str">
        <f t="shared" si="71"/>
        <v/>
      </c>
      <c r="BL115" s="227" t="s">
        <v>21</v>
      </c>
      <c r="BM115" s="773">
        <f t="shared" si="61"/>
        <v>0</v>
      </c>
      <c r="BN115" s="774">
        <f t="shared" ca="1" si="62"/>
        <v>0</v>
      </c>
      <c r="CC115"/>
      <c r="CD115" s="781" t="str">
        <f t="shared" ca="1" si="50"/>
        <v>►</v>
      </c>
      <c r="CE115"/>
      <c r="CF115"/>
      <c r="CG115"/>
      <c r="CH115"/>
      <c r="CI115"/>
      <c r="CJ115" s="719"/>
      <c r="DI115" s="3">
        <v>1</v>
      </c>
    </row>
    <row r="116" spans="1:113" s="627" customFormat="1" ht="21" customHeight="1" thickBot="1">
      <c r="A116" s="701" t="s">
        <v>21</v>
      </c>
      <c r="B116" s="2265" t="str" cm="1">
        <f t="array" ref="B116">SUMPRODUCT(--(D116:J116&lt;&gt;""), LEN(TRIM(SUBSTITUTE(D116:J116, CHAR(160), "")))) &amp; " Car."</f>
        <v>0 Car.</v>
      </c>
      <c r="C116" s="1376" t="str">
        <f>IF(ISBLANK(D116),"",LARGE(C13:C115,1)+1)</f>
        <v/>
      </c>
      <c r="D116" s="1833"/>
      <c r="E116" s="1810"/>
      <c r="F116" s="1810"/>
      <c r="G116" s="1810"/>
      <c r="H116" s="1810"/>
      <c r="I116" s="1810"/>
      <c r="J116" s="1810"/>
      <c r="K116" s="1810"/>
      <c r="L116" s="1811"/>
      <c r="M116" s="9"/>
      <c r="N116" s="1216" t="str">
        <f t="shared" si="51"/>
        <v>A</v>
      </c>
      <c r="O116" s="1616"/>
      <c r="P116" s="9"/>
      <c r="Q116" s="1216" t="s">
        <v>10</v>
      </c>
      <c r="R116" s="1217" t="s">
        <v>10</v>
      </c>
      <c r="S116" s="1217" t="s">
        <v>10</v>
      </c>
      <c r="T116" s="1217" t="s">
        <v>10</v>
      </c>
      <c r="U116" s="1217" t="s">
        <v>10</v>
      </c>
      <c r="V116" s="1218" t="s">
        <v>2394</v>
      </c>
      <c r="W116" s="1219"/>
      <c r="X116" s="1220"/>
      <c r="Y116" s="1221"/>
      <c r="Z116" s="1222"/>
      <c r="AA116" s="1223"/>
      <c r="AB116" s="1223"/>
      <c r="AC116" s="1221"/>
      <c r="AD116" s="1221"/>
      <c r="AE116" s="1219"/>
      <c r="AF116" s="1219"/>
      <c r="AG116" s="1219"/>
      <c r="AH116" s="1219"/>
      <c r="AI116" s="1219"/>
      <c r="AJ116" s="1224" t="s">
        <v>1755</v>
      </c>
      <c r="AK116" s="6120" t="str">
        <f t="shared" si="72"/>
        <v>►</v>
      </c>
      <c r="AL116" s="781" t="str">
        <f t="shared" si="59"/>
        <v>►</v>
      </c>
      <c r="AM116" s="5498" t="str">
        <f t="shared" si="63"/>
        <v/>
      </c>
      <c r="AN116" s="783" t="str">
        <f t="shared" si="64"/>
        <v/>
      </c>
      <c r="AO116" s="782" t="str">
        <f t="shared" si="65"/>
        <v/>
      </c>
      <c r="AP116" s="783" t="str">
        <f t="shared" si="66"/>
        <v/>
      </c>
      <c r="AQ116" s="2083" t="b">
        <f>AND(Q116="A",COUNTIF(BP16:BR63,TRIM(Z116))&gt;0)</f>
        <v>0</v>
      </c>
      <c r="AR116" s="797" t="str">
        <f>IF(AL116&lt;&gt;"A","",IFERROR(IFERROR(_xlfn.XLOOKUP(TRIM(SUBSTITUTE(Z116,CHAR(160)," ")),BP16:BP63,BS16:BS63),IFERROR(_xlfn.XLOOKUP(TRIM(SUBSTITUTE(Z116,CHAR(160)," ")),BQ16:BQ63,BS16:BS63),_xlfn.XLOOKUP(TRIM(SUBSTITUTE(Z116,CHAR(160)," ")),BR16:BR63,BS16:BS63)))*Y116*IF(ISBLANK(V116),1,V116),0))</f>
        <v/>
      </c>
      <c r="AS116" s="784" t="str">
        <f t="shared" si="60"/>
        <v/>
      </c>
      <c r="AT116" s="1315" t="str">
        <f t="shared" si="67"/>
        <v/>
      </c>
      <c r="AU116" s="785">
        <f t="shared" si="68"/>
        <v>0</v>
      </c>
      <c r="AV116" s="785">
        <f t="shared" si="69"/>
        <v>0</v>
      </c>
      <c r="AW116" s="798">
        <f>IF(AK116="A",AY10,0)</f>
        <v>0</v>
      </c>
      <c r="AX116" s="5496" t="str">
        <f>IF(IFERROR(SEARCH("Adresse PC",TRIM(W116)),0)&gt;0,"▼ receta siguiente",IF(AK116="A",IF(AZ10&lt;&gt;"",AZ10&amp;" - ou.or.o ❾ + or - &gt;",""),""))</f>
        <v/>
      </c>
      <c r="AY116" s="810"/>
      <c r="AZ116" s="810"/>
      <c r="BA116" s="799" t="str">
        <f t="shared" si="56"/>
        <v/>
      </c>
      <c r="BB116" s="800" t="str">
        <f>IF(AK116="A",IF(AQ116,IF(AND(AW116&lt;&gt;"",N(AW116)&gt;0),IFERROR(IFERROR(_xlfn.XLOOKUP(AP116,BP10:BP57,BT10:BT57),IFERROR(_xlfn.XLOOKUP(AP116,BQ10:BQ57,BT10:BT57),_xlfn.XLOOKUP(AP116,BR10:BR57,BT10:BT57,""))),""),""),""),"")</f>
        <v/>
      </c>
      <c r="BC116" s="813" cm="1">
        <f t="array" ref="BC116">IF(NOT(AQ116),0,IF(OR(BA116="",N(BA116)&lt;=0.000000001),"",IF(OR(AU116="",N(AU116)&lt;=0.000000001),0,IF(ISNUMBER(BA116),IFERROR(_xlfn.LET(_xlpm.ai_test,TRIM(AP116),_xlpm.r,IFERROR(_xlfn.XLOOKUP(_xlpm.ai_test,BP16:BP63,ROW(BP16:BP63),0,1),IFERROR(_xlfn.XLOOKUP(_xlpm.ai_test,BQ16:BQ63,ROW(BQ16:BQ63),0,1),_xlfn.XLOOKUP(_xlpm.ai_test,BR16:BR63,ROW(BR16:BR63),0,1))),_xlpm.p,_xlpm.r-MIN(ROW(BP16:BP63))+1,_xlpm.f,INDEX(BS16:BS63,_xlpm.p),_xlpm.u,INDEX(BT16:BT63,_xlpm.p),_xlpm.s,INDEX(BV16:BV63,_xlpm.p),_xlpm.q,N(BA116)/_xlpm.f,IF(_xlpm.q&gt;=_xlpm.s,ROUND(_xlpm.q,1)&amp;" "&amp;_xlpm.ai_test&amp;" = "&amp;ROUND(_xlpm.q*_xlpm.f,1)&amp;" "&amp;_xlpm.u,ROUND(_xlpm.q,1)&amp;" "&amp;_xlpm.ai_test)),""),""))))</f>
        <v>0</v>
      </c>
      <c r="BD116" s="801"/>
      <c r="BE116" s="799" t="str">
        <f t="shared" si="70"/>
        <v/>
      </c>
      <c r="BF116" s="800" t="str">
        <f t="shared" si="77"/>
        <v/>
      </c>
      <c r="BG116" s="802">
        <f t="shared" si="78"/>
        <v>0</v>
      </c>
      <c r="BH116" s="803" t="str">
        <f t="shared" si="79"/>
        <v/>
      </c>
      <c r="BI116" s="792"/>
      <c r="BJ116" s="804">
        <f t="shared" si="80"/>
        <v>0</v>
      </c>
      <c r="BK116" s="794" t="str">
        <f t="shared" si="71"/>
        <v/>
      </c>
      <c r="BL116" s="227" t="s">
        <v>21</v>
      </c>
      <c r="BM116" s="773">
        <f t="shared" si="61"/>
        <v>0</v>
      </c>
      <c r="BN116" s="774">
        <f t="shared" si="62"/>
        <v>0</v>
      </c>
      <c r="CC116"/>
      <c r="CD116" s="781" t="str">
        <f t="shared" si="50"/>
        <v>►</v>
      </c>
      <c r="CE116"/>
      <c r="CF116"/>
      <c r="CG116"/>
      <c r="CH116"/>
      <c r="CI116"/>
      <c r="CJ116" s="719"/>
      <c r="DI116" s="3">
        <v>1</v>
      </c>
    </row>
    <row r="117" spans="1:113" s="627" customFormat="1" ht="21" customHeight="1">
      <c r="A117" s="701" t="s">
        <v>21</v>
      </c>
      <c r="B117" s="2265" t="str" cm="1">
        <f t="array" ref="B117">SUMPRODUCT(--(D117:J117&lt;&gt;""), LEN(TRIM(SUBSTITUTE(D117:J117, CHAR(160), "")))) &amp; " Car."</f>
        <v>0 Car.</v>
      </c>
      <c r="C117" s="1376" t="str">
        <f>IF(ISBLANK(D117),"",LARGE(C13:C116,1)+1)</f>
        <v/>
      </c>
      <c r="D117" s="1833"/>
      <c r="E117" s="1810"/>
      <c r="F117" s="1810"/>
      <c r="G117" s="1810"/>
      <c r="H117" s="1810"/>
      <c r="I117" s="1810"/>
      <c r="J117" s="1810"/>
      <c r="K117" s="1810"/>
      <c r="L117" s="1811"/>
      <c r="M117" s="9"/>
      <c r="N117" s="19" t="str">
        <f t="shared" si="51"/>
        <v>A</v>
      </c>
      <c r="O117" s="1616"/>
      <c r="P117" s="9"/>
      <c r="Q117" s="19" t="s">
        <v>10</v>
      </c>
      <c r="R117" s="20" t="str">
        <f>R123</f>
        <v>C COULIS DE MANGUE | pâtisserie--ENTREMET| Auteur &gt; recette Béghin Say de Jean-Jacques Borne MOF 1994</v>
      </c>
      <c r="S117" s="21">
        <f>S123</f>
        <v>18</v>
      </c>
      <c r="T117" s="21" t="str">
        <f>T123</f>
        <v>desserts</v>
      </c>
      <c r="U117" s="22" t="str">
        <f>U123</f>
        <v>Recette mère ► MILLE-FEUILLE  aux fraises des bois</v>
      </c>
      <c r="V117" s="23" t="s">
        <v>21</v>
      </c>
      <c r="W117" s="24" t="s">
        <v>22</v>
      </c>
      <c r="X117" s="24"/>
      <c r="Y117" s="6634" t="s">
        <v>3071</v>
      </c>
      <c r="Z117" s="6634"/>
      <c r="AA117" s="6634"/>
      <c r="AB117" s="6634"/>
      <c r="AC117" s="6634"/>
      <c r="AD117" s="6634"/>
      <c r="AE117" s="6634"/>
      <c r="AF117" s="6634"/>
      <c r="AG117" s="6634"/>
      <c r="AH117" s="6636" t="s">
        <v>24</v>
      </c>
      <c r="AI117" s="6636"/>
      <c r="AJ117" s="6638" t="str">
        <f>UPPER(LEFT(Y117,1))</f>
        <v>C</v>
      </c>
      <c r="AK117" s="6120" t="str">
        <f t="shared" si="72"/>
        <v>►</v>
      </c>
      <c r="AL117" s="781" t="str">
        <f t="shared" si="59"/>
        <v>►</v>
      </c>
      <c r="AM117" s="5499" t="str">
        <f t="shared" si="63"/>
        <v/>
      </c>
      <c r="AN117" s="783" t="str">
        <f t="shared" si="64"/>
        <v/>
      </c>
      <c r="AO117" s="782" t="str">
        <f t="shared" si="65"/>
        <v/>
      </c>
      <c r="AP117" s="783" t="str">
        <f t="shared" si="66"/>
        <v/>
      </c>
      <c r="AQ117" s="2083" t="b">
        <f>AND(Q117="A",COUNTIF(BP16:BR63,TRIM(Z117))&gt;0)</f>
        <v>0</v>
      </c>
      <c r="AR117" s="797" t="str">
        <f>IF(AL117&lt;&gt;"A","",IFERROR(IFERROR(_xlfn.XLOOKUP(TRIM(SUBSTITUTE(Z117,CHAR(160)," ")),BP16:BP63,BS16:BS63),IFERROR(_xlfn.XLOOKUP(TRIM(SUBSTITUTE(Z117,CHAR(160)," ")),BQ16:BQ63,BS16:BS63),_xlfn.XLOOKUP(TRIM(SUBSTITUTE(Z117,CHAR(160)," ")),BR16:BR63,BS16:BS63)))*Y117*IF(ISBLANK(V117),1,V117),0))</f>
        <v/>
      </c>
      <c r="AS117" s="784" t="str">
        <f t="shared" si="60"/>
        <v/>
      </c>
      <c r="AT117" s="1315" t="str">
        <f t="shared" si="67"/>
        <v/>
      </c>
      <c r="AU117" s="785">
        <f t="shared" si="68"/>
        <v>0</v>
      </c>
      <c r="AV117" s="785">
        <f t="shared" si="69"/>
        <v>0</v>
      </c>
      <c r="AW117" s="786">
        <f>IF(AK117="A",AY10,0)</f>
        <v>0</v>
      </c>
      <c r="AX117" s="5495" t="str">
        <f>IF(IFERROR(SEARCH("Adresse PC",TRIM(W117)),0)&gt;0,"▼ receta siguiente",IF(AK117="A",IF(AZ10&lt;&gt;"",AZ10&amp;" - ou.or.o ❾ + or - &gt;",""),""))</f>
        <v/>
      </c>
      <c r="AY117" s="810"/>
      <c r="AZ117" s="810"/>
      <c r="BA117" s="788" t="str">
        <f t="shared" si="56"/>
        <v/>
      </c>
      <c r="BB117" s="789" t="str">
        <f>IF(AK117="A",IF(AQ117,IF(AND(AW117&lt;&gt;"",N(AW117)&gt;0),IFERROR(IFERROR(_xlfn.XLOOKUP(AP117,BP10:BP57,BT10:BT57),IFERROR(_xlfn.XLOOKUP(AP117,BQ10:BQ57,BT10:BT57),_xlfn.XLOOKUP(AP117,BR10:BR57,BT10:BT57,""))),""),""),""),"")</f>
        <v/>
      </c>
      <c r="BC117" s="811" cm="1">
        <f t="array" ref="BC117">IF(NOT(AQ117),0,IF(OR(BA117="",N(BA117)&lt;=0.000000001),"",IF(OR(AU117="",N(AU117)&lt;=0.000000001),0,IF(ISNUMBER(BA117),IFERROR(_xlfn.LET(_xlpm.ai_test,TRIM(AP117),_xlpm.r,IFERROR(_xlfn.XLOOKUP(_xlpm.ai_test,BP16:BP63,ROW(BP16:BP63),0,1),IFERROR(_xlfn.XLOOKUP(_xlpm.ai_test,BQ16:BQ63,ROW(BQ16:BQ63),0,1),_xlfn.XLOOKUP(_xlpm.ai_test,BR16:BR63,ROW(BR16:BR63),0,1))),_xlpm.p,_xlpm.r-MIN(ROW(BP16:BP63))+1,_xlpm.f,INDEX(BS16:BS63,_xlpm.p),_xlpm.u,INDEX(BT16:BT63,_xlpm.p),_xlpm.s,INDEX(BV16:BV63,_xlpm.p),_xlpm.q,N(BA117)/_xlpm.f,IF(_xlpm.q&gt;=_xlpm.s,ROUND(_xlpm.q,1)&amp;" "&amp;_xlpm.ai_test&amp;" = "&amp;ROUND(_xlpm.q*_xlpm.f,1)&amp;" "&amp;_xlpm.u,ROUND(_xlpm.q,1)&amp;" "&amp;_xlpm.ai_test)),""),""))))</f>
        <v>0</v>
      </c>
      <c r="BD117" s="801"/>
      <c r="BE117" s="788" t="str">
        <f t="shared" si="70"/>
        <v/>
      </c>
      <c r="BF117" s="789" t="str">
        <f t="shared" si="77"/>
        <v/>
      </c>
      <c r="BG117" s="790">
        <f t="shared" si="78"/>
        <v>0</v>
      </c>
      <c r="BH117" s="791" t="str">
        <f t="shared" si="79"/>
        <v/>
      </c>
      <c r="BI117" s="792"/>
      <c r="BJ117" s="793">
        <f t="shared" si="80"/>
        <v>0</v>
      </c>
      <c r="BK117" s="794" t="str">
        <f t="shared" si="71"/>
        <v/>
      </c>
      <c r="BL117" s="227" t="s">
        <v>21</v>
      </c>
      <c r="BM117" s="773">
        <f t="shared" si="61"/>
        <v>0</v>
      </c>
      <c r="BN117" s="774">
        <f t="shared" si="62"/>
        <v>0</v>
      </c>
      <c r="CC117"/>
      <c r="CD117" s="781" t="str">
        <f t="shared" si="50"/>
        <v>►</v>
      </c>
      <c r="CJ117" s="719"/>
      <c r="DI117" s="3">
        <v>1</v>
      </c>
    </row>
    <row r="118" spans="1:113" s="627" customFormat="1" ht="21" customHeight="1">
      <c r="A118" s="701" t="s">
        <v>21</v>
      </c>
      <c r="B118" s="2265" t="str" cm="1">
        <f t="array" ref="B118">SUMPRODUCT(--(D118:J118&lt;&gt;""), LEN(TRIM(SUBSTITUTE(D118:J118, CHAR(160), "")))) &amp; " Car."</f>
        <v>0 Car.</v>
      </c>
      <c r="C118" s="1376" t="str">
        <f>IF(ISBLANK(D118),"",LARGE(C13:C117,1)+1)</f>
        <v/>
      </c>
      <c r="D118" s="1833"/>
      <c r="E118" s="1810"/>
      <c r="F118" s="1810"/>
      <c r="G118" s="1810"/>
      <c r="H118" s="1810"/>
      <c r="I118" s="1810"/>
      <c r="J118" s="1810"/>
      <c r="K118" s="1810"/>
      <c r="L118" s="1811"/>
      <c r="M118" s="9"/>
      <c r="N118" s="25" t="str">
        <f t="shared" si="51"/>
        <v>A</v>
      </c>
      <c r="O118" s="1616"/>
      <c r="P118" s="9"/>
      <c r="Q118" s="25" t="s">
        <v>10</v>
      </c>
      <c r="R118" s="26" t="str">
        <f>R123</f>
        <v>C COULIS DE MANGUE | pâtisserie--ENTREMET| Auteur &gt; recette Béghin Say de Jean-Jacques Borne MOF 1994</v>
      </c>
      <c r="S118" s="27">
        <f>S123</f>
        <v>18</v>
      </c>
      <c r="T118" s="27" t="str">
        <f>T123</f>
        <v>desserts</v>
      </c>
      <c r="U118" s="28" t="str">
        <f>U123</f>
        <v>Recette mère ► MILLE-FEUILLE  aux fraises des bois</v>
      </c>
      <c r="V118" s="29" t="s">
        <v>28</v>
      </c>
      <c r="W118" s="30" t="s">
        <v>831</v>
      </c>
      <c r="X118" s="30"/>
      <c r="Y118" s="6635"/>
      <c r="Z118" s="6635"/>
      <c r="AA118" s="6635"/>
      <c r="AB118" s="6635"/>
      <c r="AC118" s="6635"/>
      <c r="AD118" s="6635"/>
      <c r="AE118" s="6635"/>
      <c r="AF118" s="6635"/>
      <c r="AG118" s="6635"/>
      <c r="AH118" s="6637"/>
      <c r="AI118" s="6637"/>
      <c r="AJ118" s="6639"/>
      <c r="AK118" s="6120" t="str">
        <f t="shared" si="72"/>
        <v>►</v>
      </c>
      <c r="AL118" s="781" t="str">
        <f t="shared" si="59"/>
        <v>►</v>
      </c>
      <c r="AM118" s="5498" t="str">
        <f t="shared" si="63"/>
        <v/>
      </c>
      <c r="AN118" s="783" t="str">
        <f t="shared" si="64"/>
        <v/>
      </c>
      <c r="AO118" s="782" t="str">
        <f t="shared" si="65"/>
        <v/>
      </c>
      <c r="AP118" s="783" t="str">
        <f t="shared" si="66"/>
        <v/>
      </c>
      <c r="AQ118" s="2083" t="b">
        <f>AND(Q118="A",COUNTIF(BP16:BR63,TRIM(Z118))&gt;0)</f>
        <v>0</v>
      </c>
      <c r="AR118" s="797" t="str">
        <f>IF(AL118&lt;&gt;"A","",IFERROR(IFERROR(_xlfn.XLOOKUP(TRIM(SUBSTITUTE(Z118,CHAR(160)," ")),BP16:BP63,BS16:BS63),IFERROR(_xlfn.XLOOKUP(TRIM(SUBSTITUTE(Z118,CHAR(160)," ")),BQ16:BQ63,BS16:BS63),_xlfn.XLOOKUP(TRIM(SUBSTITUTE(Z118,CHAR(160)," ")),BR16:BR63,BS16:BS63)))*Y118*IF(ISBLANK(V118),1,V118),0))</f>
        <v/>
      </c>
      <c r="AS118" s="784" t="str">
        <f t="shared" si="60"/>
        <v/>
      </c>
      <c r="AT118" s="1315" t="str">
        <f t="shared" si="67"/>
        <v/>
      </c>
      <c r="AU118" s="785">
        <f t="shared" si="68"/>
        <v>0</v>
      </c>
      <c r="AV118" s="785">
        <f t="shared" si="69"/>
        <v>0</v>
      </c>
      <c r="AW118" s="798">
        <f>IF(AK118="A",AY10,0)</f>
        <v>0</v>
      </c>
      <c r="AX118" s="5496" t="str">
        <f>IF(IFERROR(SEARCH("Adresse PC",TRIM(W118)),0)&gt;0,"▼ receta siguiente",IF(AK118="A",IF(AZ10&lt;&gt;"",AZ10&amp;" - ou.or.o ❾ + or - &gt;",""),""))</f>
        <v/>
      </c>
      <c r="AY118" s="810"/>
      <c r="AZ118" s="810"/>
      <c r="BA118" s="799" t="str">
        <f t="shared" si="56"/>
        <v/>
      </c>
      <c r="BB118" s="800" t="str">
        <f>IF(AK118="A",IF(AQ118,IF(AND(AW118&lt;&gt;"",N(AW118)&gt;0),IFERROR(IFERROR(_xlfn.XLOOKUP(AP118,BP10:BP57,BT10:BT57),IFERROR(_xlfn.XLOOKUP(AP118,BQ10:BQ57,BT10:BT57),_xlfn.XLOOKUP(AP118,BR10:BR57,BT10:BT57,""))),""),""),""),"")</f>
        <v/>
      </c>
      <c r="BC118" s="813" cm="1">
        <f t="array" ref="BC118">IF(NOT(AQ118),0,IF(OR(BA118="",N(BA118)&lt;=0.000000001),"",IF(OR(AU118="",N(AU118)&lt;=0.000000001),0,IF(ISNUMBER(BA118),IFERROR(_xlfn.LET(_xlpm.ai_test,TRIM(AP118),_xlpm.r,IFERROR(_xlfn.XLOOKUP(_xlpm.ai_test,BP16:BP63,ROW(BP16:BP63),0,1),IFERROR(_xlfn.XLOOKUP(_xlpm.ai_test,BQ16:BQ63,ROW(BQ16:BQ63),0,1),_xlfn.XLOOKUP(_xlpm.ai_test,BR16:BR63,ROW(BR16:BR63),0,1))),_xlpm.p,_xlpm.r-MIN(ROW(BP16:BP63))+1,_xlpm.f,INDEX(BS16:BS63,_xlpm.p),_xlpm.u,INDEX(BT16:BT63,_xlpm.p),_xlpm.s,INDEX(BV16:BV63,_xlpm.p),_xlpm.q,N(BA118)/_xlpm.f,IF(_xlpm.q&gt;=_xlpm.s,ROUND(_xlpm.q,1)&amp;" "&amp;_xlpm.ai_test&amp;" = "&amp;ROUND(_xlpm.q*_xlpm.f,1)&amp;" "&amp;_xlpm.u,ROUND(_xlpm.q,1)&amp;" "&amp;_xlpm.ai_test)),""),""))))</f>
        <v>0</v>
      </c>
      <c r="BD118" s="801"/>
      <c r="BE118" s="799" t="str">
        <f t="shared" si="70"/>
        <v/>
      </c>
      <c r="BF118" s="800" t="str">
        <f t="shared" si="77"/>
        <v/>
      </c>
      <c r="BG118" s="802">
        <f t="shared" si="78"/>
        <v>0</v>
      </c>
      <c r="BH118" s="803" t="str">
        <f t="shared" si="79"/>
        <v/>
      </c>
      <c r="BI118" s="792"/>
      <c r="BJ118" s="804">
        <f t="shared" si="80"/>
        <v>0</v>
      </c>
      <c r="BK118" s="794" t="str">
        <f t="shared" si="71"/>
        <v/>
      </c>
      <c r="BL118" s="227" t="s">
        <v>21</v>
      </c>
      <c r="BM118" s="773">
        <f t="shared" si="61"/>
        <v>0</v>
      </c>
      <c r="BN118" s="774">
        <f t="shared" si="62"/>
        <v>0</v>
      </c>
      <c r="CC118"/>
      <c r="CD118" s="781" t="str">
        <f t="shared" si="50"/>
        <v>►</v>
      </c>
      <c r="CJ118" s="719"/>
      <c r="DI118" s="3">
        <v>1</v>
      </c>
    </row>
    <row r="119" spans="1:113" s="627" customFormat="1" ht="21" customHeight="1">
      <c r="A119" s="701" t="s">
        <v>21</v>
      </c>
      <c r="B119" s="2265" t="str" cm="1">
        <f t="array" ref="B119">SUMPRODUCT(--(D119:J119&lt;&gt;""), LEN(TRIM(SUBSTITUTE(D119:J119, CHAR(160), "")))) &amp; " Car."</f>
        <v>0 Car.</v>
      </c>
      <c r="C119" s="1376" t="str">
        <f>IF(ISBLANK(D119),"",LARGE(C13:C118,1)+1)</f>
        <v/>
      </c>
      <c r="D119" s="1833"/>
      <c r="E119" s="1810"/>
      <c r="F119" s="1810"/>
      <c r="G119" s="1810"/>
      <c r="H119" s="1810"/>
      <c r="I119" s="1810"/>
      <c r="J119" s="1810"/>
      <c r="K119" s="1810"/>
      <c r="L119" s="1811"/>
      <c r="M119" s="9"/>
      <c r="N119" s="25" t="str">
        <f t="shared" si="51"/>
        <v>A</v>
      </c>
      <c r="O119" s="1616"/>
      <c r="P119" s="9"/>
      <c r="Q119" s="25" t="s">
        <v>10</v>
      </c>
      <c r="R119" s="31" t="str">
        <f>R123</f>
        <v>C COULIS DE MANGUE | pâtisserie--ENTREMET| Auteur &gt; recette Béghin Say de Jean-Jacques Borne MOF 1994</v>
      </c>
      <c r="S119" s="32">
        <f>S123</f>
        <v>18</v>
      </c>
      <c r="T119" s="32" t="str">
        <f>T123</f>
        <v>desserts</v>
      </c>
      <c r="U119" s="33" t="str">
        <f>U123</f>
        <v>Recette mère ► MILLE-FEUILLE  aux fraises des bois</v>
      </c>
      <c r="V119" s="1357"/>
      <c r="W119" s="1358" t="s">
        <v>30</v>
      </c>
      <c r="X119" s="34"/>
      <c r="Y119" s="35" t="s">
        <v>31</v>
      </c>
      <c r="Z119" s="36" t="s">
        <v>3050</v>
      </c>
      <c r="AA119" s="9"/>
      <c r="AB119" s="9"/>
      <c r="AC119" s="36"/>
      <c r="AD119" s="36"/>
      <c r="AE119" s="36"/>
      <c r="AF119" s="37"/>
      <c r="AG119" s="9"/>
      <c r="AH119" s="9"/>
      <c r="AI119" s="9"/>
      <c r="AJ119" s="2062" t="str" cm="1">
        <f t="array" ref="AJ119">IF(COUNTIF(R147:AJ147,"&lt;0.5")=0,"Aucune colonne masquée ",COUNTIF(R147:AJ147,"&lt;0.5") &amp; " " &amp; IF(COUNTIF(R147:AJ147,"&lt;0.5")&gt;1,"colonnes masquées","colonne masquée") &amp; " " &amp; _xlfn.TEXTJOIN(" ", TRUE, IF(R147:AJ147&lt;0.5,R146:AJ146,"")))&amp;" "</f>
        <v xml:space="preserve">Aucune colonne masquée  </v>
      </c>
      <c r="AK119" s="6120" t="str">
        <f t="shared" si="72"/>
        <v>►</v>
      </c>
      <c r="AL119" s="781" t="str">
        <f t="shared" si="59"/>
        <v>►</v>
      </c>
      <c r="AM119" s="5499" t="str">
        <f t="shared" si="63"/>
        <v/>
      </c>
      <c r="AN119" s="783" t="str">
        <f t="shared" si="64"/>
        <v/>
      </c>
      <c r="AO119" s="782" t="str">
        <f t="shared" si="65"/>
        <v/>
      </c>
      <c r="AP119" s="783" t="str">
        <f t="shared" si="66"/>
        <v/>
      </c>
      <c r="AQ119" s="2083" t="b">
        <f>AND(Q119="A",COUNTIF(BP16:BR63,TRIM(Z119))&gt;0)</f>
        <v>0</v>
      </c>
      <c r="AR119" s="797" t="str">
        <f>IF(AL119&lt;&gt;"A","",IFERROR(IFERROR(_xlfn.XLOOKUP(TRIM(SUBSTITUTE(Z119,CHAR(160)," ")),BP16:BP63,BS16:BS63),IFERROR(_xlfn.XLOOKUP(TRIM(SUBSTITUTE(Z119,CHAR(160)," ")),BQ16:BQ63,BS16:BS63),_xlfn.XLOOKUP(TRIM(SUBSTITUTE(Z119,CHAR(160)," ")),BR16:BR63,BS16:BS63)))*Y119*IF(ISBLANK(V119),1,V119),0))</f>
        <v/>
      </c>
      <c r="AS119" s="784" t="str">
        <f t="shared" si="60"/>
        <v/>
      </c>
      <c r="AT119" s="1315" t="str">
        <f t="shared" si="67"/>
        <v/>
      </c>
      <c r="AU119" s="785">
        <f t="shared" si="68"/>
        <v>0</v>
      </c>
      <c r="AV119" s="785">
        <f t="shared" si="69"/>
        <v>0</v>
      </c>
      <c r="AW119" s="786">
        <f>IF(AK119="A",AY10,0)</f>
        <v>0</v>
      </c>
      <c r="AX119" s="5495" t="str">
        <f>IF(IFERROR(SEARCH("Adresse PC",TRIM(W119)),0)&gt;0,"▼ receta siguiente",IF(AK119="A",IF(AZ10&lt;&gt;"",AZ10&amp;" - ou.or.o ❾ + or - &gt;",""),""))</f>
        <v/>
      </c>
      <c r="AY119" s="810"/>
      <c r="AZ119" s="810"/>
      <c r="BA119" s="788" t="str">
        <f t="shared" si="56"/>
        <v/>
      </c>
      <c r="BB119" s="789" t="str">
        <f>IF(AK119="A",IF(AQ119,IF(AND(AW119&lt;&gt;"",N(AW119)&gt;0),IFERROR(IFERROR(_xlfn.XLOOKUP(AP119,BP10:BP57,BT10:BT57),IFERROR(_xlfn.XLOOKUP(AP119,BQ10:BQ57,BT10:BT57),_xlfn.XLOOKUP(AP119,BR10:BR57,BT10:BT57,""))),""),""),""),"")</f>
        <v/>
      </c>
      <c r="BC119" s="811" cm="1">
        <f t="array" ref="BC119">IF(NOT(AQ119),0,IF(OR(BA119="",N(BA119)&lt;=0.000000001),"",IF(OR(AU119="",N(AU119)&lt;=0.000000001),0,IF(ISNUMBER(BA119),IFERROR(_xlfn.LET(_xlpm.ai_test,TRIM(AP119),_xlpm.r,IFERROR(_xlfn.XLOOKUP(_xlpm.ai_test,BP16:BP63,ROW(BP16:BP63),0,1),IFERROR(_xlfn.XLOOKUP(_xlpm.ai_test,BQ16:BQ63,ROW(BQ16:BQ63),0,1),_xlfn.XLOOKUP(_xlpm.ai_test,BR16:BR63,ROW(BR16:BR63),0,1))),_xlpm.p,_xlpm.r-MIN(ROW(BP16:BP63))+1,_xlpm.f,INDEX(BS16:BS63,_xlpm.p),_xlpm.u,INDEX(BT16:BT63,_xlpm.p),_xlpm.s,INDEX(BV16:BV63,_xlpm.p),_xlpm.q,N(BA119)/_xlpm.f,IF(_xlpm.q&gt;=_xlpm.s,ROUND(_xlpm.q,1)&amp;" "&amp;_xlpm.ai_test&amp;" = "&amp;ROUND(_xlpm.q*_xlpm.f,1)&amp;" "&amp;_xlpm.u,ROUND(_xlpm.q,1)&amp;" "&amp;_xlpm.ai_test)),""),""))))</f>
        <v>0</v>
      </c>
      <c r="BD119" s="801"/>
      <c r="BE119" s="788" t="str">
        <f t="shared" si="70"/>
        <v/>
      </c>
      <c r="BF119" s="789" t="str">
        <f t="shared" si="77"/>
        <v/>
      </c>
      <c r="BG119" s="790">
        <f t="shared" si="78"/>
        <v>0</v>
      </c>
      <c r="BH119" s="791" t="str">
        <f t="shared" si="79"/>
        <v/>
      </c>
      <c r="BI119" s="792"/>
      <c r="BJ119" s="793">
        <f t="shared" si="80"/>
        <v>0</v>
      </c>
      <c r="BK119" s="794" t="str">
        <f t="shared" si="71"/>
        <v/>
      </c>
      <c r="BL119" s="227" t="s">
        <v>21</v>
      </c>
      <c r="BM119" s="773">
        <f t="shared" si="61"/>
        <v>0</v>
      </c>
      <c r="BN119" s="774">
        <f t="shared" si="62"/>
        <v>0</v>
      </c>
      <c r="CC119"/>
      <c r="CD119" s="781" t="str">
        <f t="shared" si="50"/>
        <v>►</v>
      </c>
      <c r="CJ119" s="719"/>
      <c r="DI119" s="3">
        <v>1</v>
      </c>
    </row>
    <row r="120" spans="1:113" s="627" customFormat="1" ht="21" customHeight="1">
      <c r="A120" s="701" t="s">
        <v>21</v>
      </c>
      <c r="B120" s="2265" t="str" cm="1">
        <f t="array" ref="B120">SUMPRODUCT(--(D120:J120&lt;&gt;""), LEN(TRIM(SUBSTITUTE(D120:J120, CHAR(160), "")))) &amp; " Car."</f>
        <v>0 Car.</v>
      </c>
      <c r="C120" s="1376" t="str">
        <f>IF(ISBLANK(D120),"",LARGE(C13:C119,1)+1)</f>
        <v/>
      </c>
      <c r="D120" s="1833"/>
      <c r="E120" s="1810"/>
      <c r="F120" s="1810"/>
      <c r="G120" s="1810"/>
      <c r="H120" s="1810"/>
      <c r="I120" s="1810"/>
      <c r="J120" s="1810"/>
      <c r="K120" s="1810"/>
      <c r="L120" s="1811"/>
      <c r="M120" s="9"/>
      <c r="N120" s="25" t="str">
        <f t="shared" si="51"/>
        <v>A</v>
      </c>
      <c r="O120" s="1616"/>
      <c r="P120" s="9"/>
      <c r="Q120" s="25" t="s">
        <v>10</v>
      </c>
      <c r="R120" s="31" t="str">
        <f>R123</f>
        <v>C COULIS DE MANGUE | pâtisserie--ENTREMET| Auteur &gt; recette Béghin Say de Jean-Jacques Borne MOF 1994</v>
      </c>
      <c r="S120" s="32">
        <f>S123</f>
        <v>18</v>
      </c>
      <c r="T120" s="32" t="str">
        <f>T123</f>
        <v>desserts</v>
      </c>
      <c r="U120" s="33" t="str">
        <f>U123</f>
        <v>Recette mère ► MILLE-FEUILLE  aux fraises des bois</v>
      </c>
      <c r="V120" s="39" t="s">
        <v>32</v>
      </c>
      <c r="W120" s="40"/>
      <c r="X120" s="40"/>
      <c r="Y120" s="41" t="s">
        <v>33</v>
      </c>
      <c r="Z120" s="6736" t="str">
        <f>AB123&amp;" "&amp;AC123&amp;" ► Famille = "&amp;AH117&amp;" ► "&amp;Y117&amp;" "&amp;AF120&amp;" "&amp;AH120&amp;" "&amp;AI120&amp;" "&amp;AJ120</f>
        <v>Recette mère ► MILLE-FEUILLE  aux fraises des bois ► Famille = pâtisserie--ENTREMET ► COULIS DE MANGUE  ⓫  Dupliquée pour 36 desserts</v>
      </c>
      <c r="AA120" s="6736"/>
      <c r="AB120" s="6736"/>
      <c r="AC120" s="6736"/>
      <c r="AD120" s="6736"/>
      <c r="AE120" s="6736"/>
      <c r="AF120" s="6736"/>
      <c r="AG120" s="1359"/>
      <c r="AH120" s="1359" t="s">
        <v>35</v>
      </c>
      <c r="AI120" s="42">
        <v>36</v>
      </c>
      <c r="AJ120" s="43" t="str">
        <f>AJ122</f>
        <v>desserts</v>
      </c>
      <c r="AK120" s="6120" t="str">
        <f t="shared" si="72"/>
        <v>►</v>
      </c>
      <c r="AL120" s="781" t="str">
        <f t="shared" si="59"/>
        <v>►</v>
      </c>
      <c r="AM120" s="5498" t="str">
        <f t="shared" si="63"/>
        <v/>
      </c>
      <c r="AN120" s="783" t="str">
        <f t="shared" si="64"/>
        <v/>
      </c>
      <c r="AO120" s="782" t="str">
        <f t="shared" si="65"/>
        <v/>
      </c>
      <c r="AP120" s="783" t="str">
        <f t="shared" si="66"/>
        <v/>
      </c>
      <c r="AQ120" s="2083" t="b">
        <f>AND(Q120="A",COUNTIF(BP16:BR63,TRIM(Z120))&gt;0)</f>
        <v>0</v>
      </c>
      <c r="AR120" s="797" t="str">
        <f>IF(AL120&lt;&gt;"A","",IFERROR(IFERROR(_xlfn.XLOOKUP(TRIM(SUBSTITUTE(Z120,CHAR(160)," ")),BP16:BP63,BS16:BS63),IFERROR(_xlfn.XLOOKUP(TRIM(SUBSTITUTE(Z120,CHAR(160)," ")),BQ16:BQ63,BS16:BS63),_xlfn.XLOOKUP(TRIM(SUBSTITUTE(Z120,CHAR(160)," ")),BR16:BR63,BS16:BS63)))*Y120*IF(ISBLANK(V120),1,V120),0))</f>
        <v/>
      </c>
      <c r="AS120" s="784" t="str">
        <f t="shared" si="60"/>
        <v/>
      </c>
      <c r="AT120" s="1315" t="str">
        <f t="shared" si="67"/>
        <v/>
      </c>
      <c r="AU120" s="785">
        <f t="shared" si="68"/>
        <v>0</v>
      </c>
      <c r="AV120" s="785">
        <f t="shared" si="69"/>
        <v>0</v>
      </c>
      <c r="AW120" s="798">
        <f>IF(AK120="A",AY10,0)</f>
        <v>0</v>
      </c>
      <c r="AX120" s="5496" t="str">
        <f>IF(IFERROR(SEARCH("Adresse PC",TRIM(W120)),0)&gt;0,"▼ receta siguiente",IF(AK120="A",IF(AZ10&lt;&gt;"",AZ10&amp;" - ou.or.o ❾ + or - &gt;",""),""))</f>
        <v/>
      </c>
      <c r="AY120" s="810"/>
      <c r="AZ120" s="810"/>
      <c r="BA120" s="799" t="str">
        <f t="shared" si="56"/>
        <v/>
      </c>
      <c r="BB120" s="800" t="str">
        <f>IF(AK120="A",IF(AQ120,IF(AND(AW120&lt;&gt;"",N(AW120)&gt;0),IFERROR(IFERROR(_xlfn.XLOOKUP(AP120,BP10:BP57,BT10:BT57),IFERROR(_xlfn.XLOOKUP(AP120,BQ10:BQ57,BT10:BT57),_xlfn.XLOOKUP(AP120,BR10:BR57,BT10:BT57,""))),""),""),""),"")</f>
        <v/>
      </c>
      <c r="BC120" s="813" cm="1">
        <f t="array" ref="BC120">IF(NOT(AQ120),0,IF(OR(BA120="",N(BA120)&lt;=0.000000001),"",IF(OR(AU120="",N(AU120)&lt;=0.000000001),0,IF(ISNUMBER(BA120),IFERROR(_xlfn.LET(_xlpm.ai_test,TRIM(AP120),_xlpm.r,IFERROR(_xlfn.XLOOKUP(_xlpm.ai_test,BP16:BP63,ROW(BP16:BP63),0,1),IFERROR(_xlfn.XLOOKUP(_xlpm.ai_test,BQ16:BQ63,ROW(BQ16:BQ63),0,1),_xlfn.XLOOKUP(_xlpm.ai_test,BR16:BR63,ROW(BR16:BR63),0,1))),_xlpm.p,_xlpm.r-MIN(ROW(BP16:BP63))+1,_xlpm.f,INDEX(BS16:BS63,_xlpm.p),_xlpm.u,INDEX(BT16:BT63,_xlpm.p),_xlpm.s,INDEX(BV16:BV63,_xlpm.p),_xlpm.q,N(BA120)/_xlpm.f,IF(_xlpm.q&gt;=_xlpm.s,ROUND(_xlpm.q,1)&amp;" "&amp;_xlpm.ai_test&amp;" = "&amp;ROUND(_xlpm.q*_xlpm.f,1)&amp;" "&amp;_xlpm.u,ROUND(_xlpm.q,1)&amp;" "&amp;_xlpm.ai_test)),""),""))))</f>
        <v>0</v>
      </c>
      <c r="BD120" s="801"/>
      <c r="BE120" s="799" t="str">
        <f t="shared" si="70"/>
        <v/>
      </c>
      <c r="BF120" s="800" t="str">
        <f t="shared" si="77"/>
        <v/>
      </c>
      <c r="BG120" s="802">
        <f t="shared" si="78"/>
        <v>0</v>
      </c>
      <c r="BH120" s="803" t="str">
        <f t="shared" si="79"/>
        <v/>
      </c>
      <c r="BI120" s="792"/>
      <c r="BJ120" s="804">
        <f t="shared" si="80"/>
        <v>0</v>
      </c>
      <c r="BK120" s="794" t="str">
        <f t="shared" si="71"/>
        <v/>
      </c>
      <c r="BL120" s="227" t="s">
        <v>21</v>
      </c>
      <c r="BM120" s="773">
        <f t="shared" si="61"/>
        <v>0</v>
      </c>
      <c r="BN120" s="774">
        <f t="shared" si="62"/>
        <v>0</v>
      </c>
      <c r="CC120"/>
      <c r="CD120" s="781" t="str">
        <f t="shared" si="50"/>
        <v>►</v>
      </c>
      <c r="CJ120" s="719"/>
      <c r="DI120" s="3">
        <v>1</v>
      </c>
    </row>
    <row r="121" spans="1:113" s="627" customFormat="1" ht="21" customHeight="1">
      <c r="A121" s="701" t="s">
        <v>21</v>
      </c>
      <c r="B121" s="2265" t="str" cm="1">
        <f t="array" ref="B121">SUMPRODUCT(--(D121:J121&lt;&gt;""), LEN(TRIM(SUBSTITUTE(D121:J121, CHAR(160), "")))) &amp; " Car."</f>
        <v>0 Car.</v>
      </c>
      <c r="C121" s="1376" t="str">
        <f>IF(ISBLANK(D121),"",LARGE(C13:C120,1)+1)</f>
        <v/>
      </c>
      <c r="D121" s="1833"/>
      <c r="E121" s="1810"/>
      <c r="F121" s="1810"/>
      <c r="G121" s="1810"/>
      <c r="H121" s="1810"/>
      <c r="I121" s="1810"/>
      <c r="J121" s="1810"/>
      <c r="K121" s="1810"/>
      <c r="L121" s="1811"/>
      <c r="M121" s="9"/>
      <c r="N121" s="25" t="str">
        <f t="shared" si="51"/>
        <v>A</v>
      </c>
      <c r="O121" s="1616"/>
      <c r="P121" s="9"/>
      <c r="Q121" s="25" t="s">
        <v>10</v>
      </c>
      <c r="R121" s="31" t="str">
        <f>R123</f>
        <v>C COULIS DE MANGUE | pâtisserie--ENTREMET| Auteur &gt; recette Béghin Say de Jean-Jacques Borne MOF 1994</v>
      </c>
      <c r="S121" s="32">
        <f>S123</f>
        <v>18</v>
      </c>
      <c r="T121" s="32" t="str">
        <f>T123</f>
        <v>desserts</v>
      </c>
      <c r="U121" s="33" t="str">
        <f>U123</f>
        <v>Recette mère ► MILLE-FEUILLE  aux fraises des bois</v>
      </c>
      <c r="V121" s="1360">
        <v>18</v>
      </c>
      <c r="W121" s="1361" t="s">
        <v>3056</v>
      </c>
      <c r="X121" s="39"/>
      <c r="Y121" s="39"/>
      <c r="Z121" s="6736"/>
      <c r="AA121" s="6736"/>
      <c r="AB121" s="6736"/>
      <c r="AC121" s="6736"/>
      <c r="AD121" s="6736"/>
      <c r="AE121" s="6736"/>
      <c r="AF121" s="6736"/>
      <c r="AG121" s="696"/>
      <c r="AH121" s="696"/>
      <c r="AI121" s="47" t="s">
        <v>40</v>
      </c>
      <c r="AJ121" s="48" t="s">
        <v>41</v>
      </c>
      <c r="AK121" s="6120" t="str">
        <f t="shared" si="72"/>
        <v>►</v>
      </c>
      <c r="AL121" s="781" t="str">
        <f t="shared" si="59"/>
        <v>►</v>
      </c>
      <c r="AM121" s="5499" t="str">
        <f t="shared" si="63"/>
        <v/>
      </c>
      <c r="AN121" s="783" t="str">
        <f t="shared" si="64"/>
        <v/>
      </c>
      <c r="AO121" s="782" t="str">
        <f t="shared" si="65"/>
        <v/>
      </c>
      <c r="AP121" s="783" t="str">
        <f t="shared" si="66"/>
        <v/>
      </c>
      <c r="AQ121" s="2083" t="b">
        <f>AND(Q121="A",COUNTIF(BP16:BR63,TRIM(Z121))&gt;0)</f>
        <v>0</v>
      </c>
      <c r="AR121" s="797" t="str">
        <f>IF(AL121&lt;&gt;"A","",IFERROR(IFERROR(_xlfn.XLOOKUP(TRIM(SUBSTITUTE(Z121,CHAR(160)," ")),BP16:BP63,BS16:BS63),IFERROR(_xlfn.XLOOKUP(TRIM(SUBSTITUTE(Z121,CHAR(160)," ")),BQ16:BQ63,BS16:BS63),_xlfn.XLOOKUP(TRIM(SUBSTITUTE(Z121,CHAR(160)," ")),BR16:BR63,BS16:BS63)))*Y121*IF(ISBLANK(V121),1,V121),0))</f>
        <v/>
      </c>
      <c r="AS121" s="784" t="str">
        <f t="shared" si="60"/>
        <v/>
      </c>
      <c r="AT121" s="1315" t="str">
        <f t="shared" si="67"/>
        <v/>
      </c>
      <c r="AU121" s="785">
        <f t="shared" si="68"/>
        <v>0</v>
      </c>
      <c r="AV121" s="785">
        <f t="shared" si="69"/>
        <v>0</v>
      </c>
      <c r="AW121" s="786">
        <f>IF(AK121="A",AY10,0)</f>
        <v>0</v>
      </c>
      <c r="AX121" s="5495" t="str">
        <f>IF(IFERROR(SEARCH("Adresse PC",TRIM(W121)),0)&gt;0,"▼ receta siguiente",IF(AK121="A",IF(AZ10&lt;&gt;"",AZ10&amp;" - ou.or.o ❾ + or - &gt;",""),""))</f>
        <v/>
      </c>
      <c r="AY121" s="1316"/>
      <c r="AZ121" s="787"/>
      <c r="BA121" s="788" t="str">
        <f t="shared" si="56"/>
        <v/>
      </c>
      <c r="BB121" s="789" t="str">
        <f>IF(AK121="A",IF(AQ121,IF(AND(AW121&lt;&gt;"",N(AW121)&gt;0),IFERROR(IFERROR(_xlfn.XLOOKUP(AP121,BP10:BP57,BT10:BT57),IFERROR(_xlfn.XLOOKUP(AP121,BQ10:BQ57,BT10:BT57),_xlfn.XLOOKUP(AP121,BR10:BR57,BT10:BT57,""))),""),""),""),"")</f>
        <v/>
      </c>
      <c r="BC121" s="811" cm="1">
        <f t="array" ref="BC121">IF(NOT(AQ121),0,IF(OR(BA121="",N(BA121)&lt;=0.000000001),"",IF(OR(AU121="",N(AU121)&lt;=0.000000001),0,IF(ISNUMBER(BA121),IFERROR(_xlfn.LET(_xlpm.ai_test,TRIM(AP121),_xlpm.r,IFERROR(_xlfn.XLOOKUP(_xlpm.ai_test,BP16:BP63,ROW(BP16:BP63),0,1),IFERROR(_xlfn.XLOOKUP(_xlpm.ai_test,BQ16:BQ63,ROW(BQ16:BQ63),0,1),_xlfn.XLOOKUP(_xlpm.ai_test,BR16:BR63,ROW(BR16:BR63),0,1))),_xlpm.p,_xlpm.r-MIN(ROW(BP16:BP63))+1,_xlpm.f,INDEX(BS16:BS63,_xlpm.p),_xlpm.u,INDEX(BT16:BT63,_xlpm.p),_xlpm.s,INDEX(BV16:BV63,_xlpm.p),_xlpm.q,N(BA121)/_xlpm.f,IF(_xlpm.q&gt;=_xlpm.s,ROUND(_xlpm.q,1)&amp;" "&amp;_xlpm.ai_test&amp;" = "&amp;ROUND(_xlpm.q*_xlpm.f,1)&amp;" "&amp;_xlpm.u,ROUND(_xlpm.q,1)&amp;" "&amp;_xlpm.ai_test)),""),""))))</f>
        <v>0</v>
      </c>
      <c r="BD121" s="801"/>
      <c r="BE121" s="788" t="str">
        <f t="shared" si="70"/>
        <v/>
      </c>
      <c r="BF121" s="789" t="str">
        <f t="shared" si="77"/>
        <v/>
      </c>
      <c r="BG121" s="790">
        <f t="shared" si="78"/>
        <v>0</v>
      </c>
      <c r="BH121" s="791" t="str">
        <f t="shared" si="79"/>
        <v/>
      </c>
      <c r="BI121" s="792"/>
      <c r="BJ121" s="793">
        <f t="shared" si="80"/>
        <v>0</v>
      </c>
      <c r="BK121" s="794" t="str">
        <f t="shared" si="71"/>
        <v/>
      </c>
      <c r="BL121" s="227" t="s">
        <v>21</v>
      </c>
      <c r="BM121" s="773">
        <f t="shared" si="61"/>
        <v>0</v>
      </c>
      <c r="BN121" s="774">
        <f t="shared" si="62"/>
        <v>0</v>
      </c>
      <c r="CC121"/>
      <c r="CD121" s="781" t="str">
        <f t="shared" si="50"/>
        <v>►</v>
      </c>
      <c r="CJ121" s="719"/>
      <c r="DI121" s="3">
        <v>1</v>
      </c>
    </row>
    <row r="122" spans="1:113" s="627" customFormat="1" ht="21" customHeight="1">
      <c r="A122" s="701" t="s">
        <v>21</v>
      </c>
      <c r="B122" s="2265" t="str" cm="1">
        <f t="array" ref="B122">SUMPRODUCT(--(D122:J122&lt;&gt;""), LEN(TRIM(SUBSTITUTE(D122:J122, CHAR(160), "")))) &amp; " Car."</f>
        <v>0 Car.</v>
      </c>
      <c r="C122" s="1376" t="str">
        <f>IF(ISBLANK(D122),"",LARGE(C13:C121,1)+1)</f>
        <v/>
      </c>
      <c r="D122" s="1833"/>
      <c r="E122" s="1810"/>
      <c r="F122" s="1810"/>
      <c r="G122" s="1810"/>
      <c r="H122" s="1810"/>
      <c r="I122" s="1810"/>
      <c r="J122" s="1810"/>
      <c r="K122" s="1810"/>
      <c r="L122" s="1811"/>
      <c r="M122" s="9"/>
      <c r="N122" s="25" t="str">
        <f t="shared" si="51"/>
        <v>A</v>
      </c>
      <c r="O122" s="1616"/>
      <c r="P122" s="9"/>
      <c r="Q122" s="25" t="s">
        <v>10</v>
      </c>
      <c r="R122" s="31" t="str">
        <f>R123</f>
        <v>C COULIS DE MANGUE | pâtisserie--ENTREMET| Auteur &gt; recette Béghin Say de Jean-Jacques Borne MOF 1994</v>
      </c>
      <c r="S122" s="32">
        <f>S123</f>
        <v>18</v>
      </c>
      <c r="T122" s="32" t="str">
        <f>T123</f>
        <v>desserts</v>
      </c>
      <c r="U122" s="33" t="str">
        <f>U123</f>
        <v>Recette mère ► MILLE-FEUILLE  aux fraises des bois</v>
      </c>
      <c r="V122" s="53"/>
      <c r="W122" s="1323" t="s">
        <v>8094</v>
      </c>
      <c r="X122" s="6737">
        <f>AF142</f>
        <v>0</v>
      </c>
      <c r="Y122" s="6737"/>
      <c r="Z122" s="1324" t="str" cm="1">
        <f t="array" ref="Z122">"1= "&amp;IF(OR(V121&lt;=0,X122=""),"",_xlfn.LET(_xlpm.kg,IF(ISNUMBER(X122),X122,VALEUR(SUBSTITUTE(SUBSTITUTE(SUBSTITUTE(LOWER(X122),"kg",""),",",".")," ",""))),TEXT(ROUND(_xlpm.kg*1000/V121,2),"0.##")&amp;" g"))</f>
        <v>1= 0. g</v>
      </c>
      <c r="AA122" s="1325">
        <f>IFERROR(AI120/AI122,0)</f>
        <v>2</v>
      </c>
      <c r="AB122" s="1817" t="s">
        <v>8230</v>
      </c>
      <c r="AC122" s="579"/>
      <c r="AD122" s="55"/>
      <c r="AE122" s="55"/>
      <c r="AF122"/>
      <c r="AG122" s="1362"/>
      <c r="AH122" s="1362" t="s">
        <v>50</v>
      </c>
      <c r="AI122" s="882">
        <v>18</v>
      </c>
      <c r="AJ122" s="56" t="s">
        <v>3056</v>
      </c>
      <c r="AK122" s="6120" t="str">
        <f t="shared" si="72"/>
        <v>►</v>
      </c>
      <c r="AL122" s="781" t="str">
        <f t="shared" si="59"/>
        <v>►</v>
      </c>
      <c r="AM122" s="5498" t="str">
        <f t="shared" si="63"/>
        <v/>
      </c>
      <c r="AN122" s="783" t="str">
        <f t="shared" si="64"/>
        <v/>
      </c>
      <c r="AO122" s="782" t="str">
        <f t="shared" si="65"/>
        <v/>
      </c>
      <c r="AP122" s="783" t="str">
        <f t="shared" si="66"/>
        <v/>
      </c>
      <c r="AQ122" s="2083" t="b">
        <f>AND(Q122="A",COUNTIF(BP16:BR63,TRIM(Z122))&gt;0)</f>
        <v>0</v>
      </c>
      <c r="AR122" s="797" t="str">
        <f>IF(AL122&lt;&gt;"A","",IFERROR(IFERROR(_xlfn.XLOOKUP(TRIM(SUBSTITUTE(Z122,CHAR(160)," ")),BP16:BP63,BS16:BS63),IFERROR(_xlfn.XLOOKUP(TRIM(SUBSTITUTE(Z122,CHAR(160)," ")),BQ16:BQ63,BS16:BS63),_xlfn.XLOOKUP(TRIM(SUBSTITUTE(Z122,CHAR(160)," ")),BR16:BR63,BS16:BS63)))*Y122*IF(ISBLANK(V122),1,V122),0))</f>
        <v/>
      </c>
      <c r="AS122" s="784" t="str">
        <f t="shared" si="60"/>
        <v/>
      </c>
      <c r="AT122" s="1315" t="str">
        <f t="shared" si="67"/>
        <v/>
      </c>
      <c r="AU122" s="785">
        <f t="shared" si="68"/>
        <v>0</v>
      </c>
      <c r="AV122" s="785">
        <f t="shared" si="69"/>
        <v>0</v>
      </c>
      <c r="AW122" s="798">
        <f>IF(AK122="A",AY10,0)</f>
        <v>0</v>
      </c>
      <c r="AX122" s="5496" t="str">
        <f>IF(IFERROR(SEARCH("Adresse PC",TRIM(W122)),0)&gt;0,"▼ receta siguiente",IF(AK122="A",IF(AZ10&lt;&gt;"",AZ10&amp;" - ou.or.o ❾ + or - &gt;",""),""))</f>
        <v/>
      </c>
      <c r="AY122" s="1316"/>
      <c r="AZ122" s="787"/>
      <c r="BA122" s="799" t="str">
        <f t="shared" si="56"/>
        <v/>
      </c>
      <c r="BB122" s="800" t="str">
        <f>IF(AK122="A",IF(AQ122,IF(AND(AW122&lt;&gt;"",N(AW122)&gt;0),IFERROR(IFERROR(_xlfn.XLOOKUP(AP122,BP10:BP57,BT10:BT57),IFERROR(_xlfn.XLOOKUP(AP122,BQ10:BQ57,BT10:BT57),_xlfn.XLOOKUP(AP122,BR10:BR57,BT10:BT57,""))),""),""),""),"")</f>
        <v/>
      </c>
      <c r="BC122" s="813" cm="1">
        <f t="array" ref="BC122">IF(NOT(AQ122),0,IF(OR(BA122="",N(BA122)&lt;=0.000000001),"",IF(OR(AU122="",N(AU122)&lt;=0.000000001),0,IF(ISNUMBER(BA122),IFERROR(_xlfn.LET(_xlpm.ai_test,TRIM(AP122),_xlpm.r,IFERROR(_xlfn.XLOOKUP(_xlpm.ai_test,BP16:BP63,ROW(BP16:BP63),0,1),IFERROR(_xlfn.XLOOKUP(_xlpm.ai_test,BQ16:BQ63,ROW(BQ16:BQ63),0,1),_xlfn.XLOOKUP(_xlpm.ai_test,BR16:BR63,ROW(BR16:BR63),0,1))),_xlpm.p,_xlpm.r-MIN(ROW(BP16:BP63))+1,_xlpm.f,INDEX(BS16:BS63,_xlpm.p),_xlpm.u,INDEX(BT16:BT63,_xlpm.p),_xlpm.s,INDEX(BV16:BV63,_xlpm.p),_xlpm.q,N(BA122)/_xlpm.f,IF(_xlpm.q&gt;=_xlpm.s,ROUND(_xlpm.q,1)&amp;" "&amp;_xlpm.ai_test&amp;" = "&amp;ROUND(_xlpm.q*_xlpm.f,1)&amp;" "&amp;_xlpm.u,ROUND(_xlpm.q,1)&amp;" "&amp;_xlpm.ai_test)),""),""))))</f>
        <v>0</v>
      </c>
      <c r="BD122" s="801"/>
      <c r="BE122" s="799" t="str">
        <f t="shared" si="70"/>
        <v/>
      </c>
      <c r="BF122" s="800" t="str">
        <f t="shared" si="77"/>
        <v/>
      </c>
      <c r="BG122" s="802">
        <f t="shared" si="78"/>
        <v>0</v>
      </c>
      <c r="BH122" s="803" t="str">
        <f t="shared" si="79"/>
        <v/>
      </c>
      <c r="BI122" s="792"/>
      <c r="BJ122" s="804">
        <f t="shared" si="80"/>
        <v>0</v>
      </c>
      <c r="BK122" s="794" t="str">
        <f t="shared" si="71"/>
        <v/>
      </c>
      <c r="BL122" s="227" t="s">
        <v>21</v>
      </c>
      <c r="BM122" s="773">
        <f t="shared" si="61"/>
        <v>0</v>
      </c>
      <c r="BN122" s="774">
        <f t="shared" si="62"/>
        <v>0</v>
      </c>
      <c r="CC122"/>
      <c r="CD122" s="781" t="str">
        <f t="shared" si="50"/>
        <v>►</v>
      </c>
      <c r="CJ122" s="719"/>
      <c r="DI122" s="3">
        <v>1</v>
      </c>
    </row>
    <row r="123" spans="1:113" s="627" customFormat="1" ht="21" customHeight="1">
      <c r="A123" s="701" t="s">
        <v>21</v>
      </c>
      <c r="B123" s="2265" t="str" cm="1">
        <f t="array" ref="B123">SUMPRODUCT(--(D123:J123&lt;&gt;""), LEN(TRIM(SUBSTITUTE(D123:J123, CHAR(160), "")))) &amp; " Car."</f>
        <v>0 Car.</v>
      </c>
      <c r="C123" s="1376" t="str">
        <f>IF(ISBLANK(D123),"",LARGE(C13:C122,1)+1)</f>
        <v/>
      </c>
      <c r="D123" s="1833"/>
      <c r="E123" s="1810"/>
      <c r="F123" s="1810"/>
      <c r="G123" s="1810"/>
      <c r="H123" s="1810"/>
      <c r="I123" s="1810"/>
      <c r="J123" s="1810"/>
      <c r="K123" s="1810"/>
      <c r="L123" s="1811"/>
      <c r="M123" s="9"/>
      <c r="N123" s="25" t="str">
        <f t="shared" si="51"/>
        <v>A</v>
      </c>
      <c r="O123" s="1616"/>
      <c r="P123" s="9"/>
      <c r="Q123" s="25" t="s">
        <v>10</v>
      </c>
      <c r="R123" s="61" t="str">
        <f>V123</f>
        <v>C COULIS DE MANGUE | pâtisserie--ENTREMET| Auteur &gt; recette Béghin Say de Jean-Jacques Borne MOF 1994</v>
      </c>
      <c r="S123" s="62">
        <f>V121</f>
        <v>18</v>
      </c>
      <c r="T123" s="61" t="str">
        <f>W121</f>
        <v>desserts</v>
      </c>
      <c r="U123" s="63" t="str">
        <f>AB123&amp;" "&amp;AC123</f>
        <v>Recette mère ► MILLE-FEUILLE  aux fraises des bois</v>
      </c>
      <c r="V123" s="64" t="str">
        <f>UPPER(LEFT(Y117,1))&amp;" "&amp;Y117&amp;" | "&amp;AH117&amp;"| "&amp;Y119&amp;" "&amp;Z119</f>
        <v>C COULIS DE MANGUE | pâtisserie--ENTREMET| Auteur &gt; recette Béghin Say de Jean-Jacques Borne MOF 1994</v>
      </c>
      <c r="W123" s="65" t="s">
        <v>53</v>
      </c>
      <c r="X123" s="6735" t="s">
        <v>54</v>
      </c>
      <c r="Y123" s="6735"/>
      <c r="Z123" s="6735"/>
      <c r="AA123" s="66"/>
      <c r="AB123" s="66" t="str">
        <f>IF(ISTEXT(AC123),"Recette mère ►",W123)</f>
        <v>Recette mère ►</v>
      </c>
      <c r="AC123" s="67" t="s">
        <v>3081</v>
      </c>
      <c r="AD123" s="67"/>
      <c r="AE123" s="67"/>
      <c r="AF123" s="883"/>
      <c r="AG123" s="68"/>
      <c r="AH123" s="68"/>
      <c r="AI123" s="68"/>
      <c r="AJ123"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K123" s="6120" t="str">
        <f t="shared" si="72"/>
        <v>►</v>
      </c>
      <c r="AL123" s="781" t="str">
        <f t="shared" si="59"/>
        <v>►</v>
      </c>
      <c r="AM123" s="5499" t="str">
        <f t="shared" si="63"/>
        <v/>
      </c>
      <c r="AN123" s="783" t="str">
        <f t="shared" si="64"/>
        <v/>
      </c>
      <c r="AO123" s="782" t="str">
        <f t="shared" si="65"/>
        <v/>
      </c>
      <c r="AP123" s="783" t="str">
        <f t="shared" si="66"/>
        <v/>
      </c>
      <c r="AQ123" s="2083" t="b">
        <f>AND(Q123="A",COUNTIF(BP16:BR63,TRIM(Z123))&gt;0)</f>
        <v>0</v>
      </c>
      <c r="AR123" s="797" t="str">
        <f>IF(AL123&lt;&gt;"A","",IFERROR(IFERROR(_xlfn.XLOOKUP(TRIM(SUBSTITUTE(Z123,CHAR(160)," ")),BP16:BP63,BS16:BS63),IFERROR(_xlfn.XLOOKUP(TRIM(SUBSTITUTE(Z123,CHAR(160)," ")),BQ16:BQ63,BS16:BS63),_xlfn.XLOOKUP(TRIM(SUBSTITUTE(Z123,CHAR(160)," ")),BR16:BR63,BS16:BS63)))*Y123*IF(ISBLANK(V123),1,V123),0))</f>
        <v/>
      </c>
      <c r="AS123" s="784" t="str">
        <f t="shared" si="60"/>
        <v/>
      </c>
      <c r="AT123" s="1315" t="str">
        <f t="shared" si="67"/>
        <v/>
      </c>
      <c r="AU123" s="785">
        <f t="shared" si="68"/>
        <v>0</v>
      </c>
      <c r="AV123" s="785">
        <f t="shared" si="69"/>
        <v>0</v>
      </c>
      <c r="AW123" s="786">
        <f>IF(AK123="A",AY10,0)</f>
        <v>0</v>
      </c>
      <c r="AX123" s="5495" t="str">
        <f>IF(IFERROR(SEARCH("Adresse PC",TRIM(W123)),0)&gt;0,"▼ receta siguiente",IF(AK123="A",IF(AZ10&lt;&gt;"",AZ10&amp;" - ou.or.o ❾ + or - &gt;",""),""))</f>
        <v/>
      </c>
      <c r="AY123" s="1316"/>
      <c r="AZ123" s="787"/>
      <c r="BA123" s="788" t="str">
        <f t="shared" si="56"/>
        <v/>
      </c>
      <c r="BB123" s="789" t="str">
        <f>IF(AK123="A",IF(AQ123,IF(AND(AW123&lt;&gt;"",N(AW123)&gt;0),IFERROR(IFERROR(_xlfn.XLOOKUP(AP123,BP10:BP57,BT10:BT57),IFERROR(_xlfn.XLOOKUP(AP123,BQ10:BQ57,BT10:BT57),_xlfn.XLOOKUP(AP123,BR10:BR57,BT10:BT57,""))),""),""),""),"")</f>
        <v/>
      </c>
      <c r="BC123" s="811" cm="1">
        <f t="array" ref="BC123">IF(NOT(AQ123),0,IF(OR(BA123="",N(BA123)&lt;=0.000000001),"",IF(OR(AU123="",N(AU123)&lt;=0.000000001),0,IF(ISNUMBER(BA123),IFERROR(_xlfn.LET(_xlpm.ai_test,TRIM(AP123),_xlpm.r,IFERROR(_xlfn.XLOOKUP(_xlpm.ai_test,BP16:BP63,ROW(BP16:BP63),0,1),IFERROR(_xlfn.XLOOKUP(_xlpm.ai_test,BQ16:BQ63,ROW(BQ16:BQ63),0,1),_xlfn.XLOOKUP(_xlpm.ai_test,BR16:BR63,ROW(BR16:BR63),0,1))),_xlpm.p,_xlpm.r-MIN(ROW(BP16:BP63))+1,_xlpm.f,INDEX(BS16:BS63,_xlpm.p),_xlpm.u,INDEX(BT16:BT63,_xlpm.p),_xlpm.s,INDEX(BV16:BV63,_xlpm.p),_xlpm.q,N(BA123)/_xlpm.f,IF(_xlpm.q&gt;=_xlpm.s,ROUND(_xlpm.q,1)&amp;" "&amp;_xlpm.ai_test&amp;" = "&amp;ROUND(_xlpm.q*_xlpm.f,1)&amp;" "&amp;_xlpm.u,ROUND(_xlpm.q,1)&amp;" "&amp;_xlpm.ai_test)),""),""))))</f>
        <v>0</v>
      </c>
      <c r="BD123" s="801"/>
      <c r="BE123" s="788" t="str">
        <f t="shared" si="70"/>
        <v/>
      </c>
      <c r="BF123" s="789" t="str">
        <f t="shared" si="77"/>
        <v/>
      </c>
      <c r="BG123" s="790">
        <f t="shared" si="78"/>
        <v>0</v>
      </c>
      <c r="BH123" s="791" t="str">
        <f t="shared" si="79"/>
        <v/>
      </c>
      <c r="BI123" s="792"/>
      <c r="BJ123" s="793">
        <f t="shared" si="80"/>
        <v>0</v>
      </c>
      <c r="BK123" s="794" t="str">
        <f t="shared" si="71"/>
        <v/>
      </c>
      <c r="BL123" s="227" t="s">
        <v>21</v>
      </c>
      <c r="BM123" s="773">
        <f t="shared" si="61"/>
        <v>0</v>
      </c>
      <c r="BN123" s="774">
        <f t="shared" si="62"/>
        <v>0</v>
      </c>
      <c r="CC123"/>
      <c r="CD123" s="781" t="str">
        <f t="shared" si="50"/>
        <v>►</v>
      </c>
      <c r="CJ123" s="719"/>
      <c r="DI123" s="3">
        <v>1</v>
      </c>
    </row>
    <row r="124" spans="1:113" s="627" customFormat="1" ht="21" customHeight="1">
      <c r="A124" s="701" t="s">
        <v>21</v>
      </c>
      <c r="B124" s="2265" t="str" cm="1">
        <f t="array" ref="B124">SUMPRODUCT(--(D124:J124&lt;&gt;""), LEN(TRIM(SUBSTITUTE(D124:J124, CHAR(160), "")))) &amp; " Car."</f>
        <v>0 Car.</v>
      </c>
      <c r="C124" s="1376" t="str">
        <f>IF(ISBLANK(D124),"",LARGE(C13:C123,1)+1)</f>
        <v/>
      </c>
      <c r="D124" s="1833"/>
      <c r="E124" s="1810"/>
      <c r="F124" s="1810"/>
      <c r="G124" s="1810"/>
      <c r="H124" s="1810"/>
      <c r="I124" s="1810"/>
      <c r="J124" s="1810"/>
      <c r="K124" s="1810"/>
      <c r="L124" s="1811"/>
      <c r="M124" s="9"/>
      <c r="N124" s="25" t="str">
        <f t="shared" si="51"/>
        <v>A</v>
      </c>
      <c r="O124" s="1616"/>
      <c r="P124" s="9"/>
      <c r="Q124" s="25" t="s">
        <v>10</v>
      </c>
      <c r="R124" s="70" t="str">
        <f>R123</f>
        <v>C COULIS DE MANGUE | pâtisserie--ENTREMET| Auteur &gt; recette Béghin Say de Jean-Jacques Borne MOF 1994</v>
      </c>
      <c r="S124" s="70">
        <f>S123</f>
        <v>18</v>
      </c>
      <c r="T124" s="70" t="str">
        <f>T123</f>
        <v>desserts</v>
      </c>
      <c r="U124" s="71" t="str">
        <f>U123</f>
        <v>Recette mère ► MILLE-FEUILLE  aux fraises des bois</v>
      </c>
      <c r="V124" s="12" t="s">
        <v>65</v>
      </c>
      <c r="W124" s="12" t="s">
        <v>66</v>
      </c>
      <c r="X124" s="12" t="s">
        <v>67</v>
      </c>
      <c r="Y124" s="12" t="s">
        <v>68</v>
      </c>
      <c r="Z124" s="72" t="s">
        <v>69</v>
      </c>
      <c r="AA124" s="73" t="s">
        <v>70</v>
      </c>
      <c r="AB124" s="12" t="s">
        <v>71</v>
      </c>
      <c r="AC124" s="12" t="s">
        <v>72</v>
      </c>
      <c r="AD124" s="12" t="s">
        <v>73</v>
      </c>
      <c r="AE124" s="12" t="s">
        <v>74</v>
      </c>
      <c r="AF124" s="12" t="s">
        <v>75</v>
      </c>
      <c r="AG124" s="12" t="s">
        <v>76</v>
      </c>
      <c r="AH124" s="12" t="s">
        <v>77</v>
      </c>
      <c r="AI124" s="12" t="s">
        <v>8143</v>
      </c>
      <c r="AJ124" s="74" t="s">
        <v>8407</v>
      </c>
      <c r="AK124" s="6120" t="str">
        <f t="shared" si="72"/>
        <v>►</v>
      </c>
      <c r="AL124" s="781" t="str">
        <f t="shared" si="59"/>
        <v>►</v>
      </c>
      <c r="AM124" s="5498" t="str">
        <f t="shared" si="63"/>
        <v/>
      </c>
      <c r="AN124" s="783" t="str">
        <f t="shared" si="64"/>
        <v/>
      </c>
      <c r="AO124" s="782" t="str">
        <f t="shared" si="65"/>
        <v/>
      </c>
      <c r="AP124" s="783" t="str">
        <f t="shared" si="66"/>
        <v/>
      </c>
      <c r="AQ124" s="2083" t="b">
        <f>AND(Q124="A",COUNTIF(BP16:BR63,TRIM(Z124))&gt;0)</f>
        <v>0</v>
      </c>
      <c r="AR124" s="797" t="str">
        <f>IF(AL124&lt;&gt;"A","",IFERROR(IFERROR(_xlfn.XLOOKUP(TRIM(SUBSTITUTE(Z124,CHAR(160)," ")),BP16:BP63,BS16:BS63),IFERROR(_xlfn.XLOOKUP(TRIM(SUBSTITUTE(Z124,CHAR(160)," ")),BQ16:BQ63,BS16:BS63),_xlfn.XLOOKUP(TRIM(SUBSTITUTE(Z124,CHAR(160)," ")),BR16:BR63,BS16:BS63)))*Y124*IF(ISBLANK(V124),1,V124),0))</f>
        <v/>
      </c>
      <c r="AS124" s="784" t="str">
        <f t="shared" si="60"/>
        <v/>
      </c>
      <c r="AT124" s="1315" t="str">
        <f t="shared" si="67"/>
        <v/>
      </c>
      <c r="AU124" s="785">
        <f t="shared" si="68"/>
        <v>0</v>
      </c>
      <c r="AV124" s="785">
        <f t="shared" si="69"/>
        <v>0</v>
      </c>
      <c r="AW124" s="798">
        <f>IF(AK124="A",AY10,0)</f>
        <v>0</v>
      </c>
      <c r="AX124" s="5496" t="str">
        <f>IF(IFERROR(SEARCH("Adresse PC",TRIM(W124)),0)&gt;0,"▼ receta siguiente",IF(AK124="A",IF(AZ10&lt;&gt;"",AZ10&amp;" - ou.or.o ❾ + or - &gt;",""),""))</f>
        <v/>
      </c>
      <c r="AY124" s="1316"/>
      <c r="AZ124" s="787"/>
      <c r="BA124" s="799" t="str">
        <f t="shared" si="56"/>
        <v/>
      </c>
      <c r="BB124" s="800" t="str">
        <f>IF(AK124="A",IF(AQ124,IF(AND(AW124&lt;&gt;"",N(AW124)&gt;0),IFERROR(IFERROR(_xlfn.XLOOKUP(AP124,BP10:BP57,BT10:BT57),IFERROR(_xlfn.XLOOKUP(AP124,BQ10:BQ57,BT10:BT57),_xlfn.XLOOKUP(AP124,BR10:BR57,BT10:BT57,""))),""),""),""),"")</f>
        <v/>
      </c>
      <c r="BC124" s="813" cm="1">
        <f t="array" ref="BC124">IF(NOT(AQ124),0,IF(OR(BA124="",N(BA124)&lt;=0.000000001),"",IF(OR(AU124="",N(AU124)&lt;=0.000000001),0,IF(ISNUMBER(BA124),IFERROR(_xlfn.LET(_xlpm.ai_test,TRIM(AP124),_xlpm.r,IFERROR(_xlfn.XLOOKUP(_xlpm.ai_test,BP16:BP63,ROW(BP16:BP63),0,1),IFERROR(_xlfn.XLOOKUP(_xlpm.ai_test,BQ16:BQ63,ROW(BQ16:BQ63),0,1),_xlfn.XLOOKUP(_xlpm.ai_test,BR16:BR63,ROW(BR16:BR63),0,1))),_xlpm.p,_xlpm.r-MIN(ROW(BP16:BP63))+1,_xlpm.f,INDEX(BS16:BS63,_xlpm.p),_xlpm.u,INDEX(BT16:BT63,_xlpm.p),_xlpm.s,INDEX(BV16:BV63,_xlpm.p),_xlpm.q,N(BA124)/_xlpm.f,IF(_xlpm.q&gt;=_xlpm.s,ROUND(_xlpm.q,1)&amp;" "&amp;_xlpm.ai_test&amp;" = "&amp;ROUND(_xlpm.q*_xlpm.f,1)&amp;" "&amp;_xlpm.u,ROUND(_xlpm.q,1)&amp;" "&amp;_xlpm.ai_test)),""),""))))</f>
        <v>0</v>
      </c>
      <c r="BD124" s="801"/>
      <c r="BE124" s="799" t="str">
        <f t="shared" si="70"/>
        <v/>
      </c>
      <c r="BF124" s="800" t="str">
        <f t="shared" si="77"/>
        <v/>
      </c>
      <c r="BG124" s="802">
        <f t="shared" si="78"/>
        <v>0</v>
      </c>
      <c r="BH124" s="803" t="str">
        <f t="shared" si="79"/>
        <v/>
      </c>
      <c r="BI124" s="792"/>
      <c r="BJ124" s="804">
        <f t="shared" si="80"/>
        <v>0</v>
      </c>
      <c r="BK124" s="794" t="str">
        <f t="shared" si="71"/>
        <v/>
      </c>
      <c r="BL124" s="227" t="s">
        <v>21</v>
      </c>
      <c r="BM124" s="773">
        <f t="shared" si="61"/>
        <v>0</v>
      </c>
      <c r="BN124" s="774">
        <f t="shared" si="62"/>
        <v>0</v>
      </c>
      <c r="CC124"/>
      <c r="CD124" s="781" t="str">
        <f t="shared" si="50"/>
        <v>►</v>
      </c>
      <c r="CJ124" s="719"/>
      <c r="DI124" s="3">
        <v>1</v>
      </c>
    </row>
    <row r="125" spans="1:113" s="627" customFormat="1" ht="21" customHeight="1">
      <c r="A125" s="701" t="s">
        <v>21</v>
      </c>
      <c r="B125" s="2265" t="str" cm="1">
        <f t="array" ref="B125">SUMPRODUCT(--(D125:J125&lt;&gt;""), LEN(TRIM(SUBSTITUTE(D125:J125, CHAR(160), "")))) &amp; " Car."</f>
        <v>0 Car.</v>
      </c>
      <c r="C125" s="1376" t="str">
        <f>IF(ISBLANK(D125),"",LARGE(C13:C124,1)+1)</f>
        <v/>
      </c>
      <c r="D125" s="1833"/>
      <c r="E125" s="1810"/>
      <c r="F125" s="1810"/>
      <c r="G125" s="1810"/>
      <c r="H125" s="1810"/>
      <c r="I125" s="1810"/>
      <c r="J125" s="1810"/>
      <c r="K125" s="1810"/>
      <c r="L125" s="1811"/>
      <c r="M125" s="9"/>
      <c r="N125" s="25" t="str">
        <f t="shared" si="51"/>
        <v>A</v>
      </c>
      <c r="O125" s="1616"/>
      <c r="P125" s="9"/>
      <c r="Q125" s="25" t="s">
        <v>10</v>
      </c>
      <c r="R125" s="31" t="str">
        <f>R123</f>
        <v>C COULIS DE MANGUE | pâtisserie--ENTREMET| Auteur &gt; recette Béghin Say de Jean-Jacques Borne MOF 1994</v>
      </c>
      <c r="S125" s="32">
        <f>S123</f>
        <v>18</v>
      </c>
      <c r="T125" s="31" t="str">
        <f>T123</f>
        <v>desserts</v>
      </c>
      <c r="U125" s="33" t="str">
        <f>U123</f>
        <v>Recette mère ► MILLE-FEUILLE  aux fraises des bois</v>
      </c>
      <c r="V125" s="76" t="s">
        <v>78</v>
      </c>
      <c r="W125" s="77" t="s">
        <v>79</v>
      </c>
      <c r="X125" s="78"/>
      <c r="Y125" s="6612" t="s">
        <v>80</v>
      </c>
      <c r="Z125" s="6730" t="s">
        <v>81</v>
      </c>
      <c r="AA125" s="6732" t="s">
        <v>82</v>
      </c>
      <c r="AB125" s="6738" t="s">
        <v>8575</v>
      </c>
      <c r="AC125" s="79" t="s">
        <v>83</v>
      </c>
      <c r="AD125" s="80" t="s">
        <v>49</v>
      </c>
      <c r="AE125" s="81" t="s">
        <v>84</v>
      </c>
      <c r="AF125" s="6607" t="s">
        <v>85</v>
      </c>
      <c r="AG125" s="6582" t="s">
        <v>84</v>
      </c>
      <c r="AH125" s="6727" t="s">
        <v>8405</v>
      </c>
      <c r="AI125" s="6584" t="s">
        <v>86</v>
      </c>
      <c r="AJ125" s="6728" t="s">
        <v>87</v>
      </c>
      <c r="AK125" s="6120" t="str">
        <f t="shared" si="72"/>
        <v>►</v>
      </c>
      <c r="AL125" s="781" t="str">
        <f t="shared" si="59"/>
        <v>►</v>
      </c>
      <c r="AM125" s="5499" t="str">
        <f t="shared" si="63"/>
        <v/>
      </c>
      <c r="AN125" s="783" t="str">
        <f t="shared" si="64"/>
        <v/>
      </c>
      <c r="AO125" s="782" t="str">
        <f t="shared" si="65"/>
        <v/>
      </c>
      <c r="AP125" s="783" t="str">
        <f t="shared" si="66"/>
        <v/>
      </c>
      <c r="AQ125" s="2083" t="b">
        <f>AND(Q125="A",COUNTIF(BP16:BR63,TRIM(Z125))&gt;0)</f>
        <v>0</v>
      </c>
      <c r="AR125" s="797" t="str">
        <f>IF(AL125&lt;&gt;"A","",IFERROR(IFERROR(_xlfn.XLOOKUP(TRIM(SUBSTITUTE(Z125,CHAR(160)," ")),BP16:BP63,BS16:BS63),IFERROR(_xlfn.XLOOKUP(TRIM(SUBSTITUTE(Z125,CHAR(160)," ")),BQ16:BQ63,BS16:BS63),_xlfn.XLOOKUP(TRIM(SUBSTITUTE(Z125,CHAR(160)," ")),BR16:BR63,BS16:BS63)))*Y125*IF(ISBLANK(V125),1,V125),0))</f>
        <v/>
      </c>
      <c r="AS125" s="784" t="str">
        <f t="shared" si="60"/>
        <v/>
      </c>
      <c r="AT125" s="1315" t="str">
        <f t="shared" si="67"/>
        <v/>
      </c>
      <c r="AU125" s="785">
        <f t="shared" si="68"/>
        <v>0</v>
      </c>
      <c r="AV125" s="785">
        <f t="shared" si="69"/>
        <v>0</v>
      </c>
      <c r="AW125" s="786">
        <f>IF(AK125="A",AY10,0)</f>
        <v>0</v>
      </c>
      <c r="AX125" s="5495" t="str">
        <f>IF(IFERROR(SEARCH("Adresse PC",TRIM(W125)),0)&gt;0,"▼ receta siguiente",IF(AK125="A",IF(AZ10&lt;&gt;"",AZ10&amp;" - ou.or.o ❾ + or - &gt;",""),""))</f>
        <v/>
      </c>
      <c r="AY125" s="1316"/>
      <c r="AZ125" s="787"/>
      <c r="BA125" s="788" t="str">
        <f t="shared" si="56"/>
        <v/>
      </c>
      <c r="BB125" s="789" t="str">
        <f>IF(AK125="A",IF(AQ125,IF(AND(AW125&lt;&gt;"",N(AW125)&gt;0),IFERROR(IFERROR(_xlfn.XLOOKUP(AP125,BP10:BP57,BT10:BT57),IFERROR(_xlfn.XLOOKUP(AP125,BQ10:BQ57,BT10:BT57),_xlfn.XLOOKUP(AP125,BR10:BR57,BT10:BT57,""))),""),""),""),"")</f>
        <v/>
      </c>
      <c r="BC125" s="811" cm="1">
        <f t="array" ref="BC125">IF(NOT(AQ125),0,IF(OR(BA125="",N(BA125)&lt;=0.000000001),"",IF(OR(AU125="",N(AU125)&lt;=0.000000001),0,IF(ISNUMBER(BA125),IFERROR(_xlfn.LET(_xlpm.ai_test,TRIM(AP125),_xlpm.r,IFERROR(_xlfn.XLOOKUP(_xlpm.ai_test,BP16:BP63,ROW(BP16:BP63),0,1),IFERROR(_xlfn.XLOOKUP(_xlpm.ai_test,BQ16:BQ63,ROW(BQ16:BQ63),0,1),_xlfn.XLOOKUP(_xlpm.ai_test,BR16:BR63,ROW(BR16:BR63),0,1))),_xlpm.p,_xlpm.r-MIN(ROW(BP16:BP63))+1,_xlpm.f,INDEX(BS16:BS63,_xlpm.p),_xlpm.u,INDEX(BT16:BT63,_xlpm.p),_xlpm.s,INDEX(BV16:BV63,_xlpm.p),_xlpm.q,N(BA125)/_xlpm.f,IF(_xlpm.q&gt;=_xlpm.s,ROUND(_xlpm.q,1)&amp;" "&amp;_xlpm.ai_test&amp;" = "&amp;ROUND(_xlpm.q*_xlpm.f,1)&amp;" "&amp;_xlpm.u,ROUND(_xlpm.q,1)&amp;" "&amp;_xlpm.ai_test)),""),""))))</f>
        <v>0</v>
      </c>
      <c r="BD125" s="801"/>
      <c r="BE125" s="788" t="str">
        <f t="shared" si="70"/>
        <v/>
      </c>
      <c r="BF125" s="789" t="str">
        <f t="shared" si="77"/>
        <v/>
      </c>
      <c r="BG125" s="790">
        <f t="shared" si="78"/>
        <v>0</v>
      </c>
      <c r="BH125" s="791" t="str">
        <f t="shared" si="79"/>
        <v/>
      </c>
      <c r="BI125" s="792"/>
      <c r="BJ125" s="793">
        <f t="shared" si="80"/>
        <v>0</v>
      </c>
      <c r="BK125" s="794" t="str">
        <f t="shared" si="71"/>
        <v/>
      </c>
      <c r="BL125" s="227" t="s">
        <v>21</v>
      </c>
      <c r="BM125" s="773">
        <f t="shared" si="61"/>
        <v>0</v>
      </c>
      <c r="BN125" s="774">
        <f t="shared" si="62"/>
        <v>0</v>
      </c>
      <c r="CC125"/>
      <c r="CD125" s="781" t="str">
        <f t="shared" si="50"/>
        <v>►</v>
      </c>
      <c r="CJ125" s="719"/>
      <c r="DI125" s="3">
        <v>1</v>
      </c>
    </row>
    <row r="126" spans="1:113" s="627" customFormat="1" ht="21" customHeight="1">
      <c r="A126" s="701" t="s">
        <v>21</v>
      </c>
      <c r="B126" s="2265" t="str" cm="1">
        <f t="array" ref="B126">SUMPRODUCT(--(D126:J126&lt;&gt;""), LEN(TRIM(SUBSTITUTE(D126:J126, CHAR(160), "")))) &amp; " Car."</f>
        <v>0 Car.</v>
      </c>
      <c r="C126" s="1376" t="str">
        <f>IF(ISBLANK(D126),"",LARGE(C13:C125,1)+1)</f>
        <v/>
      </c>
      <c r="D126" s="1833"/>
      <c r="E126" s="1810"/>
      <c r="F126" s="1810"/>
      <c r="G126" s="1810"/>
      <c r="H126" s="1810"/>
      <c r="I126" s="1810"/>
      <c r="J126" s="1810"/>
      <c r="K126" s="1810"/>
      <c r="L126" s="1811"/>
      <c r="M126" s="9"/>
      <c r="N126" s="25" t="str">
        <f t="shared" si="51"/>
        <v>A</v>
      </c>
      <c r="O126" s="1616"/>
      <c r="P126" s="9"/>
      <c r="Q126" s="25" t="s">
        <v>10</v>
      </c>
      <c r="R126" s="31" t="str">
        <f>R123</f>
        <v>C COULIS DE MANGUE | pâtisserie--ENTREMET| Auteur &gt; recette Béghin Say de Jean-Jacques Borne MOF 1994</v>
      </c>
      <c r="S126" s="32">
        <f>S123</f>
        <v>18</v>
      </c>
      <c r="T126" s="31" t="str">
        <f>T123</f>
        <v>desserts</v>
      </c>
      <c r="U126" s="33" t="str">
        <f>U123</f>
        <v>Recette mère ► MILLE-FEUILLE  aux fraises des bois</v>
      </c>
      <c r="V126" s="83" t="s">
        <v>92</v>
      </c>
      <c r="W126" s="84" t="s">
        <v>93</v>
      </c>
      <c r="X126" s="85" t="s">
        <v>94</v>
      </c>
      <c r="Y126" s="6577"/>
      <c r="Z126" s="6471"/>
      <c r="AA126" s="6606"/>
      <c r="AB126" s="6739"/>
      <c r="AC126" s="86" t="s">
        <v>95</v>
      </c>
      <c r="AD126" s="87" t="s">
        <v>96</v>
      </c>
      <c r="AE126" s="88">
        <v>1</v>
      </c>
      <c r="AF126" s="6608"/>
      <c r="AG126" s="6583"/>
      <c r="AH126" s="6583"/>
      <c r="AI126" s="6585"/>
      <c r="AJ126" s="6786"/>
      <c r="AK126" s="6120" t="str">
        <f t="shared" si="72"/>
        <v>►</v>
      </c>
      <c r="AL126" s="781" t="str">
        <f t="shared" si="59"/>
        <v>►</v>
      </c>
      <c r="AM126" s="5498" t="str">
        <f t="shared" si="63"/>
        <v/>
      </c>
      <c r="AN126" s="783" t="str">
        <f t="shared" si="64"/>
        <v/>
      </c>
      <c r="AO126" s="782" t="str">
        <f t="shared" si="65"/>
        <v/>
      </c>
      <c r="AP126" s="783" t="str">
        <f t="shared" si="66"/>
        <v/>
      </c>
      <c r="AQ126" s="2083" t="b">
        <f>AND(Q126="A",COUNTIF(BP16:BR63,TRIM(Z126))&gt;0)</f>
        <v>0</v>
      </c>
      <c r="AR126" s="797" t="str">
        <f>IF(AL126&lt;&gt;"A","",IFERROR(IFERROR(_xlfn.XLOOKUP(TRIM(SUBSTITUTE(Z126,CHAR(160)," ")),BP16:BP63,BS16:BS63),IFERROR(_xlfn.XLOOKUP(TRIM(SUBSTITUTE(Z126,CHAR(160)," ")),BQ16:BQ63,BS16:BS63),_xlfn.XLOOKUP(TRIM(SUBSTITUTE(Z126,CHAR(160)," ")),BR16:BR63,BS16:BS63)))*Y126*IF(ISBLANK(V126),1,V126),0))</f>
        <v/>
      </c>
      <c r="AS126" s="784" t="str">
        <f t="shared" si="60"/>
        <v/>
      </c>
      <c r="AT126" s="1315" t="str">
        <f t="shared" si="67"/>
        <v/>
      </c>
      <c r="AU126" s="785">
        <f t="shared" si="68"/>
        <v>0</v>
      </c>
      <c r="AV126" s="785">
        <f t="shared" si="69"/>
        <v>0</v>
      </c>
      <c r="AW126" s="798">
        <f>IF(AK126="A",AY10,0)</f>
        <v>0</v>
      </c>
      <c r="AX126" s="5496" t="str">
        <f>IF(IFERROR(SEARCH("Adresse PC",TRIM(W126)),0)&gt;0,"▼ receta siguiente",IF(AK126="A",IF(AZ10&lt;&gt;"",AZ10&amp;" - ou.or.o ❾ + or - &gt;",""),""))</f>
        <v/>
      </c>
      <c r="AY126" s="1316"/>
      <c r="AZ126" s="787"/>
      <c r="BA126" s="799" t="str">
        <f t="shared" si="56"/>
        <v/>
      </c>
      <c r="BB126" s="800" t="str">
        <f>IF(AK126="A",IF(AQ126,IF(AND(AW126&lt;&gt;"",N(AW126)&gt;0),IFERROR(IFERROR(_xlfn.XLOOKUP(AP126,BP10:BP57,BT10:BT57),IFERROR(_xlfn.XLOOKUP(AP126,BQ10:BQ57,BT10:BT57),_xlfn.XLOOKUP(AP126,BR10:BR57,BT10:BT57,""))),""),""),""),"")</f>
        <v/>
      </c>
      <c r="BC126" s="813" cm="1">
        <f t="array" ref="BC126">IF(NOT(AQ126),0,IF(OR(BA126="",N(BA126)&lt;=0.000000001),"",IF(OR(AU126="",N(AU126)&lt;=0.000000001),0,IF(ISNUMBER(BA126),IFERROR(_xlfn.LET(_xlpm.ai_test,TRIM(AP126),_xlpm.r,IFERROR(_xlfn.XLOOKUP(_xlpm.ai_test,BP16:BP63,ROW(BP16:BP63),0,1),IFERROR(_xlfn.XLOOKUP(_xlpm.ai_test,BQ16:BQ63,ROW(BQ16:BQ63),0,1),_xlfn.XLOOKUP(_xlpm.ai_test,BR16:BR63,ROW(BR16:BR63),0,1))),_xlpm.p,_xlpm.r-MIN(ROW(BP16:BP63))+1,_xlpm.f,INDEX(BS16:BS63,_xlpm.p),_xlpm.u,INDEX(BT16:BT63,_xlpm.p),_xlpm.s,INDEX(BV16:BV63,_xlpm.p),_xlpm.q,N(BA126)/_xlpm.f,IF(_xlpm.q&gt;=_xlpm.s,ROUND(_xlpm.q,1)&amp;" "&amp;_xlpm.ai_test&amp;" = "&amp;ROUND(_xlpm.q*_xlpm.f,1)&amp;" "&amp;_xlpm.u,ROUND(_xlpm.q,1)&amp;" "&amp;_xlpm.ai_test)),""),""))))</f>
        <v>0</v>
      </c>
      <c r="BD126" s="801"/>
      <c r="BE126" s="799" t="str">
        <f t="shared" si="70"/>
        <v/>
      </c>
      <c r="BF126" s="800" t="str">
        <f t="shared" si="77"/>
        <v/>
      </c>
      <c r="BG126" s="802">
        <f t="shared" si="78"/>
        <v>0</v>
      </c>
      <c r="BH126" s="803" t="str">
        <f t="shared" si="79"/>
        <v/>
      </c>
      <c r="BI126" s="792"/>
      <c r="BJ126" s="804">
        <f t="shared" si="80"/>
        <v>0</v>
      </c>
      <c r="BK126" s="794" t="str">
        <f t="shared" si="71"/>
        <v/>
      </c>
      <c r="BL126" s="227" t="s">
        <v>21</v>
      </c>
      <c r="BM126" s="773">
        <f t="shared" si="61"/>
        <v>0</v>
      </c>
      <c r="BN126" s="774">
        <f t="shared" si="62"/>
        <v>0</v>
      </c>
      <c r="CC126"/>
      <c r="CD126" s="781" t="str">
        <f t="shared" si="50"/>
        <v>►</v>
      </c>
      <c r="CJ126" s="719"/>
      <c r="DI126" s="3">
        <v>1</v>
      </c>
    </row>
    <row r="127" spans="1:113" s="627" customFormat="1" ht="21" customHeight="1">
      <c r="A127" s="701" t="s">
        <v>21</v>
      </c>
      <c r="B127" s="2265" t="str" cm="1">
        <f t="array" ref="B127">SUMPRODUCT(--(D127:J127&lt;&gt;""), LEN(TRIM(SUBSTITUTE(D127:J127, CHAR(160), "")))) &amp; " Car."</f>
        <v>0 Car.</v>
      </c>
      <c r="C127" s="1376" t="str">
        <f>IF(ISBLANK(D127),"",LARGE(C13:C126,1)+1)</f>
        <v/>
      </c>
      <c r="D127" s="1833"/>
      <c r="E127" s="1810"/>
      <c r="F127" s="1810"/>
      <c r="G127" s="1810"/>
      <c r="H127" s="1810"/>
      <c r="I127" s="1810"/>
      <c r="J127" s="1810"/>
      <c r="K127" s="1810"/>
      <c r="L127" s="1811"/>
      <c r="M127" s="9"/>
      <c r="N127" s="25" t="str">
        <f t="shared" si="51"/>
        <v>A</v>
      </c>
      <c r="O127" s="1616"/>
      <c r="P127" s="9"/>
      <c r="Q127" s="25" t="s">
        <v>10</v>
      </c>
      <c r="R127" s="31" t="str">
        <f>R123</f>
        <v>C COULIS DE MANGUE | pâtisserie--ENTREMET| Auteur &gt; recette Béghin Say de Jean-Jacques Borne MOF 1994</v>
      </c>
      <c r="S127" s="32">
        <f>S123</f>
        <v>18</v>
      </c>
      <c r="T127" s="31" t="str">
        <f>T123</f>
        <v>desserts</v>
      </c>
      <c r="U127" s="33" t="str">
        <f>U123</f>
        <v>Recette mère ► MILLE-FEUILLE  aux fraises des bois</v>
      </c>
      <c r="V127" s="89"/>
      <c r="W127" s="90"/>
      <c r="X127" s="91" t="str">
        <f t="shared" ref="X127:X132" si="81">IF(OR(ISTEXT(V127), V127&lt;=0, Y127&lt;=0), "", "de")</f>
        <v/>
      </c>
      <c r="Y127" s="92">
        <v>250</v>
      </c>
      <c r="Z127" s="104" t="s">
        <v>100</v>
      </c>
      <c r="AA127" s="130">
        <v>1</v>
      </c>
      <c r="AB127" s="1812" t="str">
        <f>ROWS(AB127:AB127)&amp;" ►"</f>
        <v>1 ►</v>
      </c>
      <c r="AC127" s="1580" t="s">
        <v>3072</v>
      </c>
      <c r="AD127" s="95">
        <f>IF(AF133=0,0,(AF127/AF133)*AE126*1000)</f>
        <v>793.65079365079362</v>
      </c>
      <c r="AE127" s="96">
        <f>IF(AF133=0, 0, (V127*AA127)/(AF133*AE126))</f>
        <v>0</v>
      </c>
      <c r="AF127" s="97" cm="1">
        <f t="array" ref="AF127">IFERROR(_xlfn.XLOOKUP(UPPER(TRIM(Z127)),UPPER(TRIM(V134:AJ134)),V135:AJ135,_xlfn.XLOOKUP(UPPER(TRIM(Z127)),UPPER(TRIM(V136:AJ136)),V137:AJ137,0))*Y127*IF(V127&gt;0,V127,1),0)</f>
        <v>0.25</v>
      </c>
      <c r="AG127" s="98">
        <f>IF(AI122&lt;&gt;0,V127*AA127*AA122,0)</f>
        <v>0</v>
      </c>
      <c r="AH127" s="1834">
        <f>W127</f>
        <v>0</v>
      </c>
      <c r="AI127" s="99">
        <f>IF(OR(ISBLANK(AI122),AI122=0),0,AF127*AA127*AA122)</f>
        <v>0.5</v>
      </c>
      <c r="AJ127" s="100" t="str">
        <f>IF(Z127="","",IF(COUNTIF(AC134:AJ134,SUBSTITUTE(TRIM(Z127)," (s)",""))+COUNTIF(AC136:AJ136,SUBSTITUTE(TRIM(Z127)," (s)",""))&gt;0,IF(ROUND(AI127,3)&gt;=1,ROUND(AI127,3)&amp;" L",MAX(1,ROUND(AI127*100,0))&amp;" cl"),IF(COUNTIF(V134:AA134,SUBSTITUTE(TRIM(Z127)," (s)",""))+COUNTIF(V136:AA136,SUBSTITUTE(TRIM(Z127)," (s)",""))&gt;0,IF(ROUND(AI127,3)&gt;=1,ROUND(AI127,3)&amp;" Kg",MAX(1,ROUND(AI127*1000,0))&amp;" g"),"")))</f>
        <v>500 g</v>
      </c>
      <c r="AK127" s="6120" t="str">
        <f t="shared" si="72"/>
        <v>A</v>
      </c>
      <c r="AL127" s="781" t="str">
        <f t="shared" si="59"/>
        <v>A</v>
      </c>
      <c r="AM127" s="5499" t="str">
        <f t="shared" si="63"/>
        <v>C COULIS DE MANGUE | pâtisserie--ENTREMET| Auteur &gt; recette Béghin Say de Jean-Jacques Borne MOF 1994</v>
      </c>
      <c r="AN127" s="783">
        <f t="shared" si="64"/>
        <v>18</v>
      </c>
      <c r="AO127" s="782" t="str">
        <f t="shared" si="65"/>
        <v>desserts</v>
      </c>
      <c r="AP127" s="783" t="str">
        <f t="shared" si="66"/>
        <v>g</v>
      </c>
      <c r="AQ127" s="2083" t="b">
        <f>AND(Q127="A",COUNTIF(BP16:BR63,TRIM(Z127))&gt;0)</f>
        <v>1</v>
      </c>
      <c r="AR127" s="797">
        <f>IF(AL127&lt;&gt;"A","",IFERROR(IFERROR(_xlfn.XLOOKUP(TRIM(SUBSTITUTE(Z127,CHAR(160)," ")),BP16:BP63,BS16:BS63),IFERROR(_xlfn.XLOOKUP(TRIM(SUBSTITUTE(Z127,CHAR(160)," ")),BQ16:BQ63,BS16:BS63),_xlfn.XLOOKUP(TRIM(SUBSTITUTE(Z127,CHAR(160)," ")),BR16:BR63,BS16:BS63)))*Y127*IF(ISBLANK(V127),1,V127),0))</f>
        <v>0.25</v>
      </c>
      <c r="AS127" s="784" t="str">
        <f t="shared" si="60"/>
        <v>Kg</v>
      </c>
      <c r="AT127" s="1315" t="str">
        <f t="shared" si="67"/>
        <v>❾ Author reference &gt;</v>
      </c>
      <c r="AU127" s="785">
        <f t="shared" si="68"/>
        <v>18</v>
      </c>
      <c r="AV127" s="785" t="str">
        <f t="shared" si="69"/>
        <v>desserts</v>
      </c>
      <c r="AW127" s="786">
        <f>IF(AK127="A",AY10,0)</f>
        <v>20</v>
      </c>
      <c r="AX127" s="5495" t="str">
        <f>IF(IFERROR(SEARCH("Adresse PC",TRIM(W127)),0)&gt;0,"▼ receta siguiente",IF(AK127="A",IF(AZ10&lt;&gt;"",AZ10&amp;" - ou.or.o ❾ + or - &gt;",""),""))</f>
        <v>parts - ou.or.o ❾ + or - &gt;</v>
      </c>
      <c r="AY127" s="1316"/>
      <c r="AZ127" s="787"/>
      <c r="BA127" s="788">
        <f t="shared" si="56"/>
        <v>0.27777777777777779</v>
      </c>
      <c r="BB127" s="789" t="str">
        <f>IF(AK127="A",IF(AQ127,IF(AND(AW127&lt;&gt;"",N(AW127)&gt;0),IFERROR(IFERROR(_xlfn.XLOOKUP(AP127,BP10:BP57,BT10:BT57),IFERROR(_xlfn.XLOOKUP(AP127,BQ10:BQ57,BT10:BT57),_xlfn.XLOOKUP(AP127,BR10:BR57,BT10:BT57,""))),""),""),""),"")</f>
        <v>Kg</v>
      </c>
      <c r="BC127" s="811" t="str" cm="1">
        <f t="array" ref="BC127">IF(NOT(AQ127),0,IF(OR(BA127="",N(BA127)&lt;=0.000000001),"",IF(OR(AU127="",N(AU127)&lt;=0.000000001),0,IF(ISNUMBER(BA127),IFERROR(_xlfn.LET(_xlpm.ai_test,TRIM(AP127),_xlpm.r,IFERROR(_xlfn.XLOOKUP(_xlpm.ai_test,BP16:BP63,ROW(BP16:BP63),0,1),IFERROR(_xlfn.XLOOKUP(_xlpm.ai_test,BQ16:BQ63,ROW(BQ16:BQ63),0,1),_xlfn.XLOOKUP(_xlpm.ai_test,BR16:BR63,ROW(BR16:BR63),0,1))),_xlpm.p,_xlpm.r-MIN(ROW(BP16:BP63))+1,_xlpm.f,INDEX(BS16:BS63,_xlpm.p),_xlpm.u,INDEX(BT16:BT63,_xlpm.p),_xlpm.s,INDEX(BV16:BV63,_xlpm.p),_xlpm.q,N(BA127)/_xlpm.f,IF(_xlpm.q&gt;=_xlpm.s,ROUND(_xlpm.q,1)&amp;" "&amp;_xlpm.ai_test&amp;" = "&amp;ROUND(_xlpm.q*_xlpm.f,1)&amp;" "&amp;_xlpm.u,ROUND(_xlpm.q,1)&amp;" "&amp;_xlpm.ai_test)),""),""))))</f>
        <v>277.8 g</v>
      </c>
      <c r="BD127" s="801"/>
      <c r="BE127" s="788">
        <f t="shared" si="70"/>
        <v>0.27777777777777779</v>
      </c>
      <c r="BF127" s="789" t="str">
        <f t="shared" si="77"/>
        <v>Kg</v>
      </c>
      <c r="BG127" s="790">
        <f t="shared" si="78"/>
        <v>0</v>
      </c>
      <c r="BH127" s="791" t="str">
        <f t="shared" si="79"/>
        <v/>
      </c>
      <c r="BI127" s="792"/>
      <c r="BJ127" s="793">
        <f t="shared" si="80"/>
        <v>0</v>
      </c>
      <c r="BK127" s="794" t="str">
        <f t="shared" si="71"/>
        <v>pulpe</v>
      </c>
      <c r="BL127" s="227" t="s">
        <v>21</v>
      </c>
      <c r="BM127" s="773">
        <f t="shared" si="61"/>
        <v>0</v>
      </c>
      <c r="BN127" s="774">
        <f t="shared" si="62"/>
        <v>1.1111111111111112</v>
      </c>
      <c r="CC127"/>
      <c r="CD127" s="781" t="str">
        <f t="shared" si="50"/>
        <v>A</v>
      </c>
      <c r="CJ127" s="719"/>
      <c r="DI127" s="3">
        <v>1</v>
      </c>
    </row>
    <row r="128" spans="1:113" s="627" customFormat="1" ht="21" customHeight="1">
      <c r="A128" s="701" t="s">
        <v>21</v>
      </c>
      <c r="B128" s="2265" t="str" cm="1">
        <f t="array" ref="B128">SUMPRODUCT(--(D128:J128&lt;&gt;""), LEN(TRIM(SUBSTITUTE(D128:J128, CHAR(160), "")))) &amp; " Car."</f>
        <v>0 Car.</v>
      </c>
      <c r="C128" s="1376" t="str">
        <f>IF(ISBLANK(D128),"",LARGE(C13:C127,1)+1)</f>
        <v/>
      </c>
      <c r="D128" s="1833"/>
      <c r="E128" s="1810"/>
      <c r="F128" s="1810"/>
      <c r="G128" s="1810"/>
      <c r="H128" s="1810"/>
      <c r="I128" s="1810"/>
      <c r="J128" s="1810"/>
      <c r="K128" s="1810"/>
      <c r="L128" s="1811"/>
      <c r="M128" s="9"/>
      <c r="N128" s="103" t="str">
        <f t="shared" si="51"/>
        <v>A</v>
      </c>
      <c r="O128" s="1616"/>
      <c r="P128" s="9"/>
      <c r="Q128" s="103" t="str">
        <f>IF(AC128&lt;&gt;"","A","►")</f>
        <v>A</v>
      </c>
      <c r="R128" s="31" t="str">
        <f>R123</f>
        <v>C COULIS DE MANGUE | pâtisserie--ENTREMET| Auteur &gt; recette Béghin Say de Jean-Jacques Borne MOF 1994</v>
      </c>
      <c r="S128" s="32">
        <f>S123</f>
        <v>18</v>
      </c>
      <c r="T128" s="31" t="str">
        <f>T123</f>
        <v>desserts</v>
      </c>
      <c r="U128" s="33" t="str">
        <f>U123</f>
        <v>Recette mère ► MILLE-FEUILLE  aux fraises des bois</v>
      </c>
      <c r="V128" s="89"/>
      <c r="W128" s="108"/>
      <c r="X128" s="91" t="str">
        <f t="shared" si="81"/>
        <v/>
      </c>
      <c r="Y128" s="92">
        <v>55</v>
      </c>
      <c r="Z128" s="104" t="s">
        <v>100</v>
      </c>
      <c r="AA128" s="130">
        <v>1</v>
      </c>
      <c r="AB128" s="1813" t="str">
        <f>ROWS(AB127:AB128)&amp;" ►"</f>
        <v>2 ►</v>
      </c>
      <c r="AC128" s="1580" t="s">
        <v>3073</v>
      </c>
      <c r="AD128" s="95">
        <f>IF(AF133=0,0,(AF128/AF133)*AE126*1000)</f>
        <v>174.60317460317458</v>
      </c>
      <c r="AE128" s="105">
        <f>IF(AF133=0, 0, (V128*AA128)/(AF133*AE126))</f>
        <v>0</v>
      </c>
      <c r="AF128" s="97" cm="1">
        <f t="array" ref="AF128">IFERROR(_xlfn.XLOOKUP(UPPER(TRIM(Z128)),UPPER(TRIM(V134:AJ134)),V135:AJ135,_xlfn.XLOOKUP(UPPER(TRIM(Z128)),UPPER(TRIM(V136:AJ136)),V137:AJ137,0))*Y128*IF(V128&gt;0,V128,1),0)</f>
        <v>5.5E-2</v>
      </c>
      <c r="AG128" s="110">
        <f>IF(AI122&lt;&gt;0,V128*AA128*AA122,0)</f>
        <v>0</v>
      </c>
      <c r="AH128" s="1748">
        <f t="shared" ref="AH128:AH132" si="82">W128</f>
        <v>0</v>
      </c>
      <c r="AI128" s="99">
        <f>IF(OR(ISBLANK(AI122),AI122=0),0,AF128*AA128*AA122)</f>
        <v>0.11</v>
      </c>
      <c r="AJ128" s="111" t="str">
        <f>IF(Z128="","",IF(COUNTIF(AC134:AJ134,SUBSTITUTE(TRIM(Z128)," (s)",""))+COUNTIF(AC136:AJ136,SUBSTITUTE(TRIM(Z128)," (s)",""))&gt;0,IF(ROUND(AI128,3)&gt;=1,ROUND(AI128,3)&amp;" L",MAX(1,ROUND(AI128*100,0))&amp;" cl"),IF(COUNTIF(V134:AA134,SUBSTITUTE(TRIM(Z128)," (s)",""))+COUNTIF(V136:AA136,SUBSTITUTE(TRIM(Z128)," (s)",""))&gt;0,IF(ROUND(AI128,3)&gt;=1,ROUND(AI128,3)&amp;" Kg",MAX(1,ROUND(AI128*1000,0))&amp;" g"),"")))</f>
        <v>110 g</v>
      </c>
      <c r="AK128" s="6120" t="str">
        <f t="shared" si="72"/>
        <v>A</v>
      </c>
      <c r="AL128" s="781" t="str">
        <f t="shared" si="59"/>
        <v>A</v>
      </c>
      <c r="AM128" s="5498" t="str">
        <f t="shared" si="63"/>
        <v>C COULIS DE MANGUE | pâtisserie--ENTREMET| Auteur &gt; recette Béghin Say de Jean-Jacques Borne MOF 1994</v>
      </c>
      <c r="AN128" s="783">
        <f t="shared" si="64"/>
        <v>18</v>
      </c>
      <c r="AO128" s="782" t="str">
        <f t="shared" si="65"/>
        <v>desserts</v>
      </c>
      <c r="AP128" s="783" t="str">
        <f t="shared" si="66"/>
        <v>g</v>
      </c>
      <c r="AQ128" s="2083" t="b">
        <f>AND(Q128="A",COUNTIF(BP16:BR63,TRIM(Z128))&gt;0)</f>
        <v>1</v>
      </c>
      <c r="AR128" s="797">
        <f>IF(AL128&lt;&gt;"A","",IFERROR(IFERROR(_xlfn.XLOOKUP(TRIM(SUBSTITUTE(Z128,CHAR(160)," ")),BP16:BP63,BS16:BS63),IFERROR(_xlfn.XLOOKUP(TRIM(SUBSTITUTE(Z128,CHAR(160)," ")),BQ16:BQ63,BS16:BS63),_xlfn.XLOOKUP(TRIM(SUBSTITUTE(Z128,CHAR(160)," ")),BR16:BR63,BS16:BS63)))*Y128*IF(ISBLANK(V128),1,V128),0))</f>
        <v>5.5E-2</v>
      </c>
      <c r="AS128" s="784" t="str">
        <f t="shared" si="60"/>
        <v>Kg</v>
      </c>
      <c r="AT128" s="1315" t="str">
        <f t="shared" si="67"/>
        <v>❾ Author reference &gt;</v>
      </c>
      <c r="AU128" s="785">
        <f t="shared" si="68"/>
        <v>18</v>
      </c>
      <c r="AV128" s="785" t="str">
        <f t="shared" si="69"/>
        <v>desserts</v>
      </c>
      <c r="AW128" s="798">
        <f>IF(AK128="A",AY10,0)</f>
        <v>20</v>
      </c>
      <c r="AX128" s="5496" t="str">
        <f>IF(IFERROR(SEARCH("Adresse PC",TRIM(W128)),0)&gt;0,"▼ receta siguiente",IF(AK128="A",IF(AZ10&lt;&gt;"",AZ10&amp;" - ou.or.o ❾ + or - &gt;",""),""))</f>
        <v>parts - ou.or.o ❾ + or - &gt;</v>
      </c>
      <c r="AY128" s="1316"/>
      <c r="AZ128" s="787"/>
      <c r="BA128" s="799">
        <f t="shared" si="56"/>
        <v>6.1111111111111116E-2</v>
      </c>
      <c r="BB128" s="800" t="str">
        <f>IF(AK128="A",IF(AQ128,IF(AND(AW128&lt;&gt;"",N(AW128)&gt;0),IFERROR(IFERROR(_xlfn.XLOOKUP(AP128,BP10:BP57,BT10:BT57),IFERROR(_xlfn.XLOOKUP(AP128,BQ10:BQ57,BT10:BT57),_xlfn.XLOOKUP(AP128,BR10:BR57,BT10:BT57,""))),""),""),""),"")</f>
        <v>Kg</v>
      </c>
      <c r="BC128" s="813" t="str" cm="1">
        <f t="array" ref="BC128">IF(NOT(AQ128),0,IF(OR(BA128="",N(BA128)&lt;=0.000000001),"",IF(OR(AU128="",N(AU128)&lt;=0.000000001),0,IF(ISNUMBER(BA128),IFERROR(_xlfn.LET(_xlpm.ai_test,TRIM(AP128),_xlpm.r,IFERROR(_xlfn.XLOOKUP(_xlpm.ai_test,BP16:BP63,ROW(BP16:BP63),0,1),IFERROR(_xlfn.XLOOKUP(_xlpm.ai_test,BQ16:BQ63,ROW(BQ16:BQ63),0,1),_xlfn.XLOOKUP(_xlpm.ai_test,BR16:BR63,ROW(BR16:BR63),0,1))),_xlpm.p,_xlpm.r-MIN(ROW(BP16:BP63))+1,_xlpm.f,INDEX(BS16:BS63,_xlpm.p),_xlpm.u,INDEX(BT16:BT63,_xlpm.p),_xlpm.s,INDEX(BV16:BV63,_xlpm.p),_xlpm.q,N(BA128)/_xlpm.f,IF(_xlpm.q&gt;=_xlpm.s,ROUND(_xlpm.q,1)&amp;" "&amp;_xlpm.ai_test&amp;" = "&amp;ROUND(_xlpm.q*_xlpm.f,1)&amp;" "&amp;_xlpm.u,ROUND(_xlpm.q,1)&amp;" "&amp;_xlpm.ai_test)),""),""))))</f>
        <v>61.1 g</v>
      </c>
      <c r="BD128" s="801"/>
      <c r="BE128" s="799">
        <f t="shared" si="70"/>
        <v>6.1111111111111116E-2</v>
      </c>
      <c r="BF128" s="800" t="str">
        <f t="shared" si="77"/>
        <v>Kg</v>
      </c>
      <c r="BG128" s="802">
        <f t="shared" si="78"/>
        <v>0</v>
      </c>
      <c r="BH128" s="803" t="str">
        <f t="shared" si="79"/>
        <v/>
      </c>
      <c r="BI128" s="792"/>
      <c r="BJ128" s="804">
        <f t="shared" si="80"/>
        <v>0</v>
      </c>
      <c r="BK128" s="794" t="str">
        <f t="shared" si="71"/>
        <v>sucre semoule pâtissière</v>
      </c>
      <c r="BL128" s="227" t="s">
        <v>21</v>
      </c>
      <c r="BM128" s="773">
        <f t="shared" si="61"/>
        <v>0</v>
      </c>
      <c r="BN128" s="774">
        <f t="shared" si="62"/>
        <v>1.1111111111111112</v>
      </c>
      <c r="BX128"/>
      <c r="BY128"/>
      <c r="BZ128"/>
      <c r="CA128"/>
      <c r="CB128"/>
      <c r="CC128"/>
      <c r="CD128" s="781" t="str">
        <f t="shared" si="50"/>
        <v>A</v>
      </c>
      <c r="CJ128" s="719"/>
      <c r="DI128" s="3">
        <v>1</v>
      </c>
    </row>
    <row r="129" spans="1:113" s="627" customFormat="1" ht="21" customHeight="1">
      <c r="A129" s="701" t="s">
        <v>21</v>
      </c>
      <c r="B129" s="2265" t="str" cm="1">
        <f t="array" ref="B129">SUMPRODUCT(--(D129:J129&lt;&gt;""), LEN(TRIM(SUBSTITUTE(D129:J129, CHAR(160), "")))) &amp; " Car."</f>
        <v>0 Car.</v>
      </c>
      <c r="C129" s="1376" t="str">
        <f>IF(ISBLANK(D129),"",LARGE(C13:C128,1)+1)</f>
        <v/>
      </c>
      <c r="D129" s="1833"/>
      <c r="E129" s="1810"/>
      <c r="F129" s="1810"/>
      <c r="G129" s="1810"/>
      <c r="H129" s="1810"/>
      <c r="I129" s="1810"/>
      <c r="J129" s="1810"/>
      <c r="K129" s="1810"/>
      <c r="L129" s="1811"/>
      <c r="M129" s="9"/>
      <c r="N129" s="103" t="str">
        <f t="shared" si="51"/>
        <v>A</v>
      </c>
      <c r="O129" s="1616"/>
      <c r="P129" s="9"/>
      <c r="Q129" s="103" t="str">
        <f t="shared" ref="Q129:Q131" si="83">IF(AC129&lt;&gt;"","A","►")</f>
        <v>A</v>
      </c>
      <c r="R129" s="31" t="str">
        <f>R123</f>
        <v>C COULIS DE MANGUE | pâtisserie--ENTREMET| Auteur &gt; recette Béghin Say de Jean-Jacques Borne MOF 1994</v>
      </c>
      <c r="S129" s="32">
        <f>S123</f>
        <v>18</v>
      </c>
      <c r="T129" s="31" t="str">
        <f>T123</f>
        <v>desserts</v>
      </c>
      <c r="U129" s="33" t="str">
        <f>U123</f>
        <v>Recette mère ► MILLE-FEUILLE  aux fraises des bois</v>
      </c>
      <c r="V129" s="89"/>
      <c r="W129" s="108"/>
      <c r="X129" s="91" t="str">
        <f t="shared" si="81"/>
        <v/>
      </c>
      <c r="Y129" s="92">
        <v>10</v>
      </c>
      <c r="Z129" s="104" t="s">
        <v>100</v>
      </c>
      <c r="AA129" s="130">
        <v>1</v>
      </c>
      <c r="AB129" s="1813" t="str">
        <f>ROWS(AB127:AB129)&amp;" ►"</f>
        <v>3 ►</v>
      </c>
      <c r="AC129" s="1580" t="s">
        <v>3074</v>
      </c>
      <c r="AD129" s="95">
        <f>IF(AF133=0,0,(AF129/AF133)*AE126*1000)</f>
        <v>31.746031746031743</v>
      </c>
      <c r="AE129" s="105">
        <f>IF(AF133=0, 0, (V129*AA129)/(AF133*AE126))</f>
        <v>0</v>
      </c>
      <c r="AF129" s="97" cm="1">
        <f t="array" ref="AF129">IFERROR(_xlfn.XLOOKUP(UPPER(TRIM(Z129)),UPPER(TRIM(V134:AJ134)),V135:AJ135,_xlfn.XLOOKUP(UPPER(TRIM(Z129)),UPPER(TRIM(V136:AJ136)),V137:AJ137,0))*Y129*IF(V129&gt;0,V129,1),0)</f>
        <v>0.01</v>
      </c>
      <c r="AG129" s="106">
        <f>IF(AI122&lt;&gt;0,V129*AA129*AA122,0)</f>
        <v>0</v>
      </c>
      <c r="AH129" s="1747">
        <f t="shared" si="82"/>
        <v>0</v>
      </c>
      <c r="AI129" s="99">
        <f>IF(OR(ISBLANK(AI122),AI122=0),0,AF129*AA129*AA122)</f>
        <v>0.02</v>
      </c>
      <c r="AJ129" s="107" t="str">
        <f>IF(Z129="","",IF(COUNTIF(AC134:AJ134,SUBSTITUTE(TRIM(Z129)," (s)",""))+COUNTIF(AC136:AJ136,SUBSTITUTE(TRIM(Z129)," (s)",""))&gt;0,IF(ROUND(AI129,3)&gt;=1,ROUND(AI129,3)&amp;" L",MAX(1,ROUND(AI129*100,0))&amp;" cl"),IF(COUNTIF(V134:AA134,SUBSTITUTE(TRIM(Z129)," (s)",""))+COUNTIF(V136:AA136,SUBSTITUTE(TRIM(Z129)," (s)",""))&gt;0,IF(ROUND(AI129,3)&gt;=1,ROUND(AI129,3)&amp;" Kg",MAX(1,ROUND(AI129*1000,0))&amp;" g"),"")))</f>
        <v>20 g</v>
      </c>
      <c r="AK129" s="6120" t="str">
        <f t="shared" si="72"/>
        <v>A</v>
      </c>
      <c r="AL129" s="781" t="str">
        <f t="shared" si="59"/>
        <v>A</v>
      </c>
      <c r="AM129" s="5499" t="str">
        <f t="shared" si="63"/>
        <v>C COULIS DE MANGUE | pâtisserie--ENTREMET| Auteur &gt; recette Béghin Say de Jean-Jacques Borne MOF 1994</v>
      </c>
      <c r="AN129" s="783">
        <f t="shared" si="64"/>
        <v>18</v>
      </c>
      <c r="AO129" s="782" t="str">
        <f t="shared" si="65"/>
        <v>desserts</v>
      </c>
      <c r="AP129" s="783" t="str">
        <f t="shared" si="66"/>
        <v>g</v>
      </c>
      <c r="AQ129" s="2083" t="b">
        <f>AND(Q129="A",COUNTIF(BP16:BR63,TRIM(Z129))&gt;0)</f>
        <v>1</v>
      </c>
      <c r="AR129" s="797">
        <f>IF(AL129&lt;&gt;"A","",IFERROR(IFERROR(_xlfn.XLOOKUP(TRIM(SUBSTITUTE(Z129,CHAR(160)," ")),BP16:BP63,BS16:BS63),IFERROR(_xlfn.XLOOKUP(TRIM(SUBSTITUTE(Z129,CHAR(160)," ")),BQ16:BQ63,BS16:BS63),_xlfn.XLOOKUP(TRIM(SUBSTITUTE(Z129,CHAR(160)," ")),BR16:BR63,BS16:BS63)))*Y129*IF(ISBLANK(V129),1,V129),0))</f>
        <v>0.01</v>
      </c>
      <c r="AS129" s="784" t="str">
        <f t="shared" si="60"/>
        <v>Kg</v>
      </c>
      <c r="AT129" s="1315" t="str">
        <f t="shared" si="67"/>
        <v>❾ Author reference &gt;</v>
      </c>
      <c r="AU129" s="785">
        <f t="shared" si="68"/>
        <v>18</v>
      </c>
      <c r="AV129" s="785" t="str">
        <f t="shared" si="69"/>
        <v>desserts</v>
      </c>
      <c r="AW129" s="786">
        <f>IF(AK129="A",AY10,0)</f>
        <v>20</v>
      </c>
      <c r="AX129" s="5495" t="str">
        <f>IF(IFERROR(SEARCH("Adresse PC",TRIM(W129)),0)&gt;0,"▼ receta siguiente",IF(AK129="A",IF(AZ10&lt;&gt;"",AZ10&amp;" - ou.or.o ❾ + or - &gt;",""),""))</f>
        <v>parts - ou.or.o ❾ + or - &gt;</v>
      </c>
      <c r="AY129" s="1316"/>
      <c r="AZ129" s="787"/>
      <c r="BA129" s="788">
        <f t="shared" si="56"/>
        <v>1.1111111111111112E-2</v>
      </c>
      <c r="BB129" s="789" t="str">
        <f>IF(AK129="A",IF(AQ129,IF(AND(AW129&lt;&gt;"",N(AW129)&gt;0),IFERROR(IFERROR(_xlfn.XLOOKUP(AP129,BP10:BP57,BT10:BT57),IFERROR(_xlfn.XLOOKUP(AP129,BQ10:BQ57,BT10:BT57),_xlfn.XLOOKUP(AP129,BR10:BR57,BT10:BT57,""))),""),""),""),"")</f>
        <v>Kg</v>
      </c>
      <c r="BC129" s="811" t="str" cm="1">
        <f t="array" ref="BC129">IF(NOT(AQ129),0,IF(OR(BA129="",N(BA129)&lt;=0.000000001),"",IF(OR(AU129="",N(AU129)&lt;=0.000000001),0,IF(ISNUMBER(BA129),IFERROR(_xlfn.LET(_xlpm.ai_test,TRIM(AP129),_xlpm.r,IFERROR(_xlfn.XLOOKUP(_xlpm.ai_test,BP16:BP63,ROW(BP16:BP63),0,1),IFERROR(_xlfn.XLOOKUP(_xlpm.ai_test,BQ16:BQ63,ROW(BQ16:BQ63),0,1),_xlfn.XLOOKUP(_xlpm.ai_test,BR16:BR63,ROW(BR16:BR63),0,1))),_xlpm.p,_xlpm.r-MIN(ROW(BP16:BP63))+1,_xlpm.f,INDEX(BS16:BS63,_xlpm.p),_xlpm.u,INDEX(BT16:BT63,_xlpm.p),_xlpm.s,INDEX(BV16:BV63,_xlpm.p),_xlpm.q,N(BA129)/_xlpm.f,IF(_xlpm.q&gt;=_xlpm.s,ROUND(_xlpm.q,1)&amp;" "&amp;_xlpm.ai_test&amp;" = "&amp;ROUND(_xlpm.q*_xlpm.f,1)&amp;" "&amp;_xlpm.u,ROUND(_xlpm.q,1)&amp;" "&amp;_xlpm.ai_test)),""),""))))</f>
        <v>11.1 g</v>
      </c>
      <c r="BD129" s="801"/>
      <c r="BE129" s="788">
        <f t="shared" si="70"/>
        <v>1.1111111111111112E-2</v>
      </c>
      <c r="BF129" s="789" t="str">
        <f t="shared" si="77"/>
        <v>Kg</v>
      </c>
      <c r="BG129" s="790">
        <f t="shared" si="78"/>
        <v>0</v>
      </c>
      <c r="BH129" s="791" t="str">
        <f t="shared" si="79"/>
        <v/>
      </c>
      <c r="BI129" s="792"/>
      <c r="BJ129" s="793">
        <f t="shared" si="80"/>
        <v>0</v>
      </c>
      <c r="BK129" s="794" t="str">
        <f t="shared" si="71"/>
        <v>jus de citron</v>
      </c>
      <c r="BL129" s="227" t="s">
        <v>21</v>
      </c>
      <c r="BM129" s="773">
        <f t="shared" si="61"/>
        <v>0</v>
      </c>
      <c r="BN129" s="774">
        <f t="shared" si="62"/>
        <v>1.1111111111111112</v>
      </c>
      <c r="BO129"/>
      <c r="BX129"/>
      <c r="BY129"/>
      <c r="BZ129"/>
      <c r="CA129"/>
      <c r="CB129"/>
      <c r="CC129"/>
      <c r="CD129" s="781" t="str">
        <f t="shared" si="50"/>
        <v>A</v>
      </c>
      <c r="CJ129" s="719"/>
      <c r="DI129" s="3">
        <v>1</v>
      </c>
    </row>
    <row r="130" spans="1:113" s="627" customFormat="1" ht="21" customHeight="1">
      <c r="A130" s="701" t="s">
        <v>21</v>
      </c>
      <c r="B130" s="2265" t="str" cm="1">
        <f t="array" ref="B130">SUMPRODUCT(--(D130:J130&lt;&gt;""), LEN(TRIM(SUBSTITUTE(D130:J130, CHAR(160), "")))) &amp; " Car."</f>
        <v>0 Car.</v>
      </c>
      <c r="C130" s="1376" t="str">
        <f>IF(ISBLANK(D130),"",LARGE(C13:C129,1)+1)</f>
        <v/>
      </c>
      <c r="D130" s="1833"/>
      <c r="E130" s="1810"/>
      <c r="F130" s="1810"/>
      <c r="G130" s="1810"/>
      <c r="H130" s="1810"/>
      <c r="I130" s="1810"/>
      <c r="J130" s="1810"/>
      <c r="K130" s="1810"/>
      <c r="L130" s="1811"/>
      <c r="M130" s="9"/>
      <c r="N130" s="103" t="str">
        <f t="shared" si="51"/>
        <v>►</v>
      </c>
      <c r="O130" s="1616"/>
      <c r="P130" s="9"/>
      <c r="Q130" s="103" t="str">
        <f t="shared" si="83"/>
        <v>►</v>
      </c>
      <c r="R130" s="31" t="str">
        <f>R123</f>
        <v>C COULIS DE MANGUE | pâtisserie--ENTREMET| Auteur &gt; recette Béghin Say de Jean-Jacques Borne MOF 1994</v>
      </c>
      <c r="S130" s="32">
        <f>S123</f>
        <v>18</v>
      </c>
      <c r="T130" s="31" t="str">
        <f>T123</f>
        <v>desserts</v>
      </c>
      <c r="U130" s="33" t="str">
        <f>U123</f>
        <v>Recette mère ► MILLE-FEUILLE  aux fraises des bois</v>
      </c>
      <c r="V130" s="89"/>
      <c r="W130" s="108"/>
      <c r="X130" s="91" t="str">
        <f t="shared" si="81"/>
        <v/>
      </c>
      <c r="Y130" s="92"/>
      <c r="Z130" s="128"/>
      <c r="AA130" s="130">
        <v>1</v>
      </c>
      <c r="AB130" s="1813" t="str">
        <f>ROWS(AB127:AB130)&amp;" ►"</f>
        <v>4 ►</v>
      </c>
      <c r="AC130" s="1580"/>
      <c r="AD130" s="95">
        <f>IF(AF133=0,0,(AF130/AF133)*AE126*1000)</f>
        <v>0</v>
      </c>
      <c r="AE130" s="105">
        <f>IF(AF133=0, 0, (V130*AA130)/(AF133*AE126))</f>
        <v>0</v>
      </c>
      <c r="AF130" s="97" cm="1">
        <f t="array" ref="AF130">IFERROR(_xlfn.XLOOKUP(UPPER(TRIM(Z130)),UPPER(TRIM(V134:AJ134)),V135:AJ135,_xlfn.XLOOKUP(UPPER(TRIM(Z130)),UPPER(TRIM(V136:AJ136)),V137:AJ137,0))*Y130*IF(V130&gt;0,V130,1),0)</f>
        <v>0</v>
      </c>
      <c r="AG130" s="110">
        <f>IF(AI122&lt;&gt;0,V130*AA130*AA122,0)</f>
        <v>0</v>
      </c>
      <c r="AH130" s="1748">
        <f t="shared" si="82"/>
        <v>0</v>
      </c>
      <c r="AI130" s="99">
        <f>IF(OR(ISBLANK(AI122),AI122=0),0,AF130*AA130*AA122)</f>
        <v>0</v>
      </c>
      <c r="AJ130" s="111" t="str">
        <f>IF(Z130="","",IF(COUNTIF(AC134:AJ134,SUBSTITUTE(TRIM(Z130)," (s)",""))+COUNTIF(AC136:AJ136,SUBSTITUTE(TRIM(Z130)," (s)",""))&gt;0,IF(ROUND(AI130,3)&gt;=1,ROUND(AI130,3)&amp;" L",MAX(1,ROUND(AI130*100,0))&amp;" cl"),IF(COUNTIF(V134:AA134,SUBSTITUTE(TRIM(Z130)," (s)",""))+COUNTIF(V136:AA136,SUBSTITUTE(TRIM(Z130)," (s)",""))&gt;0,IF(ROUND(AI130,3)&gt;=1,ROUND(AI130,3)&amp;" Kg",MAX(1,ROUND(AI130*1000,0))&amp;" g"),"")))</f>
        <v/>
      </c>
      <c r="AK130" s="6120" t="str">
        <f t="shared" si="72"/>
        <v>►</v>
      </c>
      <c r="AL130" s="781" t="str">
        <f t="shared" si="59"/>
        <v>►</v>
      </c>
      <c r="AM130" s="5498" t="str">
        <f t="shared" si="63"/>
        <v/>
      </c>
      <c r="AN130" s="783" t="str">
        <f t="shared" si="64"/>
        <v/>
      </c>
      <c r="AO130" s="782" t="str">
        <f t="shared" si="65"/>
        <v/>
      </c>
      <c r="AP130" s="783" t="str">
        <f t="shared" si="66"/>
        <v/>
      </c>
      <c r="AQ130" s="2083" t="b">
        <f>AND(Q130="A",COUNTIF(BP16:BR63,TRIM(Z130))&gt;0)</f>
        <v>0</v>
      </c>
      <c r="AR130" s="797" t="str">
        <f>IF(AL130&lt;&gt;"A","",IFERROR(IFERROR(_xlfn.XLOOKUP(TRIM(SUBSTITUTE(Z130,CHAR(160)," ")),BP16:BP63,BS16:BS63),IFERROR(_xlfn.XLOOKUP(TRIM(SUBSTITUTE(Z130,CHAR(160)," ")),BQ16:BQ63,BS16:BS63),_xlfn.XLOOKUP(TRIM(SUBSTITUTE(Z130,CHAR(160)," ")),BR16:BR63,BS16:BS63)))*Y130*IF(ISBLANK(V130),1,V130),0))</f>
        <v/>
      </c>
      <c r="AS130" s="784" t="str">
        <f t="shared" si="60"/>
        <v/>
      </c>
      <c r="AT130" s="1315" t="str">
        <f t="shared" si="67"/>
        <v/>
      </c>
      <c r="AU130" s="785">
        <f t="shared" si="68"/>
        <v>0</v>
      </c>
      <c r="AV130" s="785">
        <f t="shared" si="69"/>
        <v>0</v>
      </c>
      <c r="AW130" s="798">
        <f>IF(AK130="A",AY10,0)</f>
        <v>0</v>
      </c>
      <c r="AX130" s="5496" t="str">
        <f>IF(IFERROR(SEARCH("Adresse PC",TRIM(W130)),0)&gt;0,"▼ receta siguiente",IF(AK130="A",IF(AZ10&lt;&gt;"",AZ10&amp;" - ou.or.o ❾ + or - &gt;",""),""))</f>
        <v/>
      </c>
      <c r="AY130" s="1316"/>
      <c r="AZ130" s="787"/>
      <c r="BA130" s="799" t="str">
        <f t="shared" si="56"/>
        <v/>
      </c>
      <c r="BB130" s="800" t="str">
        <f>IF(AK130="A",IF(AQ130,IF(AND(AW130&lt;&gt;"",N(AW130)&gt;0),IFERROR(IFERROR(_xlfn.XLOOKUP(AP130,BP10:BP57,BT10:BT57),IFERROR(_xlfn.XLOOKUP(AP130,BQ10:BQ57,BT10:BT57),_xlfn.XLOOKUP(AP130,BR10:BR57,BT10:BT57,""))),""),""),""),"")</f>
        <v/>
      </c>
      <c r="BC130" s="813" cm="1">
        <f t="array" ref="BC130">IF(NOT(AQ130),0,IF(OR(BA130="",N(BA130)&lt;=0.000000001),"",IF(OR(AU130="",N(AU130)&lt;=0.000000001),0,IF(ISNUMBER(BA130),IFERROR(_xlfn.LET(_xlpm.ai_test,TRIM(AP130),_xlpm.r,IFERROR(_xlfn.XLOOKUP(_xlpm.ai_test,BP16:BP63,ROW(BP16:BP63),0,1),IFERROR(_xlfn.XLOOKUP(_xlpm.ai_test,BQ16:BQ63,ROW(BQ16:BQ63),0,1),_xlfn.XLOOKUP(_xlpm.ai_test,BR16:BR63,ROW(BR16:BR63),0,1))),_xlpm.p,_xlpm.r-MIN(ROW(BP16:BP63))+1,_xlpm.f,INDEX(BS16:BS63,_xlpm.p),_xlpm.u,INDEX(BT16:BT63,_xlpm.p),_xlpm.s,INDEX(BV16:BV63,_xlpm.p),_xlpm.q,N(BA130)/_xlpm.f,IF(_xlpm.q&gt;=_xlpm.s,ROUND(_xlpm.q,1)&amp;" "&amp;_xlpm.ai_test&amp;" = "&amp;ROUND(_xlpm.q*_xlpm.f,1)&amp;" "&amp;_xlpm.u,ROUND(_xlpm.q,1)&amp;" "&amp;_xlpm.ai_test)),""),""))))</f>
        <v>0</v>
      </c>
      <c r="BD130" s="801"/>
      <c r="BE130" s="799" t="str">
        <f t="shared" si="70"/>
        <v/>
      </c>
      <c r="BF130" s="800" t="str">
        <f t="shared" si="77"/>
        <v/>
      </c>
      <c r="BG130" s="802">
        <f t="shared" si="78"/>
        <v>0</v>
      </c>
      <c r="BH130" s="803" t="str">
        <f t="shared" si="79"/>
        <v/>
      </c>
      <c r="BI130" s="792"/>
      <c r="BJ130" s="804">
        <f t="shared" si="80"/>
        <v>0</v>
      </c>
      <c r="BK130" s="794" t="str">
        <f t="shared" si="71"/>
        <v/>
      </c>
      <c r="BL130" s="227" t="s">
        <v>21</v>
      </c>
      <c r="BM130" s="773">
        <f t="shared" si="61"/>
        <v>0</v>
      </c>
      <c r="BN130" s="774">
        <f t="shared" si="62"/>
        <v>0</v>
      </c>
      <c r="BO130"/>
      <c r="BX130"/>
      <c r="BY130"/>
      <c r="BZ130"/>
      <c r="CA130"/>
      <c r="CB130"/>
      <c r="CC130"/>
      <c r="CD130" s="781" t="str">
        <f t="shared" si="50"/>
        <v>►</v>
      </c>
      <c r="CJ130" s="719"/>
      <c r="DI130" s="3">
        <v>1</v>
      </c>
    </row>
    <row r="131" spans="1:113" s="627" customFormat="1" ht="21" customHeight="1">
      <c r="A131" s="701" t="s">
        <v>21</v>
      </c>
      <c r="B131" s="2265" t="str" cm="1">
        <f t="array" ref="B131">SUMPRODUCT(--(D131:J131&lt;&gt;""), LEN(TRIM(SUBSTITUTE(D131:J131, CHAR(160), "")))) &amp; " Car."</f>
        <v>0 Car.</v>
      </c>
      <c r="C131" s="1376" t="str">
        <f>IF(ISBLANK(D131),"",LARGE(C13:C130,1)+1)</f>
        <v/>
      </c>
      <c r="D131" s="1833"/>
      <c r="E131" s="1810"/>
      <c r="F131" s="1810"/>
      <c r="G131" s="1810"/>
      <c r="H131" s="1810"/>
      <c r="I131" s="1810"/>
      <c r="J131" s="1810"/>
      <c r="K131" s="1810"/>
      <c r="L131" s="1811"/>
      <c r="M131" s="9"/>
      <c r="N131" s="103" t="str">
        <f t="shared" si="51"/>
        <v>►</v>
      </c>
      <c r="O131" s="1616"/>
      <c r="P131" s="9"/>
      <c r="Q131" s="103" t="str">
        <f t="shared" si="83"/>
        <v>►</v>
      </c>
      <c r="R131" s="31" t="str">
        <f>R123</f>
        <v>C COULIS DE MANGUE | pâtisserie--ENTREMET| Auteur &gt; recette Béghin Say de Jean-Jacques Borne MOF 1994</v>
      </c>
      <c r="S131" s="32">
        <f>S123</f>
        <v>18</v>
      </c>
      <c r="T131" s="31" t="str">
        <f>T123</f>
        <v>desserts</v>
      </c>
      <c r="U131" s="33" t="str">
        <f>U123</f>
        <v>Recette mère ► MILLE-FEUILLE  aux fraises des bois</v>
      </c>
      <c r="V131" s="89"/>
      <c r="W131" s="108"/>
      <c r="X131" s="91" t="str">
        <f t="shared" si="81"/>
        <v/>
      </c>
      <c r="Y131" s="92"/>
      <c r="Z131" s="128"/>
      <c r="AA131" s="130">
        <v>1</v>
      </c>
      <c r="AB131" s="1813" t="str">
        <f>ROWS(AB127:AB131)&amp;" ►"</f>
        <v>5 ►</v>
      </c>
      <c r="AC131" s="1580"/>
      <c r="AD131" s="95">
        <f>IF(AF133=0,0,(AF131/AF133)*AE126*1000)</f>
        <v>0</v>
      </c>
      <c r="AE131" s="105">
        <f>IF(AF133=0, 0, (V131*AA131)/(AF133*AE126))</f>
        <v>0</v>
      </c>
      <c r="AF131" s="97" cm="1">
        <f t="array" ref="AF131">IFERROR(_xlfn.XLOOKUP(UPPER(TRIM(Z131)),UPPER(TRIM(V134:AJ134)),V135:AJ135,_xlfn.XLOOKUP(UPPER(TRIM(Z131)),UPPER(TRIM(V136:AJ136)),V137:AJ137,0))*Y131*IF(V131&gt;0,V131,1),0)</f>
        <v>0</v>
      </c>
      <c r="AG131" s="106">
        <f>IF(AI122&lt;&gt;0,V131*AA131*AA122,0)</f>
        <v>0</v>
      </c>
      <c r="AH131" s="1747">
        <f t="shared" si="82"/>
        <v>0</v>
      </c>
      <c r="AI131" s="99">
        <f>IF(OR(ISBLANK(AI122),AI122=0),0,AF131*AA131*AA122)</f>
        <v>0</v>
      </c>
      <c r="AJ131" s="107" t="str">
        <f>IF(Z131="","",IF(COUNTIF(AC134:AJ134,SUBSTITUTE(TRIM(Z131)," (s)",""))+COUNTIF(AC136:AJ136,SUBSTITUTE(TRIM(Z131)," (s)",""))&gt;0,IF(ROUND(AI131,3)&gt;=1,ROUND(AI131,3)&amp;" L",MAX(1,ROUND(AI131*100,0))&amp;" cl"),IF(COUNTIF(V134:AA134,SUBSTITUTE(TRIM(Z131)," (s)",""))+COUNTIF(V136:AA136,SUBSTITUTE(TRIM(Z131)," (s)",""))&gt;0,IF(ROUND(AI131,3)&gt;=1,ROUND(AI131,3)&amp;" Kg",MAX(1,ROUND(AI131*1000,0))&amp;" g"),"")))</f>
        <v/>
      </c>
      <c r="AK131" s="6120" t="str">
        <f t="shared" si="72"/>
        <v>►</v>
      </c>
      <c r="AL131" s="781" t="str">
        <f t="shared" si="59"/>
        <v>►</v>
      </c>
      <c r="AM131" s="5499" t="str">
        <f t="shared" si="63"/>
        <v/>
      </c>
      <c r="AN131" s="783" t="str">
        <f t="shared" si="64"/>
        <v/>
      </c>
      <c r="AO131" s="782" t="str">
        <f t="shared" si="65"/>
        <v/>
      </c>
      <c r="AP131" s="783" t="str">
        <f t="shared" si="66"/>
        <v/>
      </c>
      <c r="AQ131" s="2083" t="b">
        <f>AND(Q131="A",COUNTIF(BP16:BR63,TRIM(Z131))&gt;0)</f>
        <v>0</v>
      </c>
      <c r="AR131" s="797" t="str">
        <f>IF(AL131&lt;&gt;"A","",IFERROR(IFERROR(_xlfn.XLOOKUP(TRIM(SUBSTITUTE(Z131,CHAR(160)," ")),BP16:BP63,BS16:BS63),IFERROR(_xlfn.XLOOKUP(TRIM(SUBSTITUTE(Z131,CHAR(160)," ")),BQ16:BQ63,BS16:BS63),_xlfn.XLOOKUP(TRIM(SUBSTITUTE(Z131,CHAR(160)," ")),BR16:BR63,BS16:BS63)))*Y131*IF(ISBLANK(V131),1,V131),0))</f>
        <v/>
      </c>
      <c r="AS131" s="784" t="str">
        <f t="shared" si="60"/>
        <v/>
      </c>
      <c r="AT131" s="1315" t="str">
        <f t="shared" si="67"/>
        <v/>
      </c>
      <c r="AU131" s="785">
        <f t="shared" si="68"/>
        <v>0</v>
      </c>
      <c r="AV131" s="785">
        <f t="shared" si="69"/>
        <v>0</v>
      </c>
      <c r="AW131" s="786">
        <f>IF(AK131="A",AY10,0)</f>
        <v>0</v>
      </c>
      <c r="AX131" s="5495" t="str">
        <f>IF(IFERROR(SEARCH("Adresse PC",TRIM(W131)),0)&gt;0,"▼ receta siguiente",IF(AK131="A",IF(AZ10&lt;&gt;"",AZ10&amp;" - ou.or.o ❾ + or - &gt;",""),""))</f>
        <v/>
      </c>
      <c r="AY131" s="1316"/>
      <c r="AZ131" s="787"/>
      <c r="BA131" s="788" t="str">
        <f t="shared" si="56"/>
        <v/>
      </c>
      <c r="BB131" s="789" t="str">
        <f>IF(AK131="A",IF(AQ131,IF(AND(AW131&lt;&gt;"",N(AW131)&gt;0),IFERROR(IFERROR(_xlfn.XLOOKUP(AP131,BP10:BP57,BT10:BT57),IFERROR(_xlfn.XLOOKUP(AP131,BQ10:BQ57,BT10:BT57),_xlfn.XLOOKUP(AP131,BR10:BR57,BT10:BT57,""))),""),""),""),"")</f>
        <v/>
      </c>
      <c r="BC131" s="811" cm="1">
        <f t="array" ref="BC131">IF(NOT(AQ131),0,IF(OR(BA131="",N(BA131)&lt;=0.000000001),"",IF(OR(AU131="",N(AU131)&lt;=0.000000001),0,IF(ISNUMBER(BA131),IFERROR(_xlfn.LET(_xlpm.ai_test,TRIM(AP131),_xlpm.r,IFERROR(_xlfn.XLOOKUP(_xlpm.ai_test,BP16:BP63,ROW(BP16:BP63),0,1),IFERROR(_xlfn.XLOOKUP(_xlpm.ai_test,BQ16:BQ63,ROW(BQ16:BQ63),0,1),_xlfn.XLOOKUP(_xlpm.ai_test,BR16:BR63,ROW(BR16:BR63),0,1))),_xlpm.p,_xlpm.r-MIN(ROW(BP16:BP63))+1,_xlpm.f,INDEX(BS16:BS63,_xlpm.p),_xlpm.u,INDEX(BT16:BT63,_xlpm.p),_xlpm.s,INDEX(BV16:BV63,_xlpm.p),_xlpm.q,N(BA131)/_xlpm.f,IF(_xlpm.q&gt;=_xlpm.s,ROUND(_xlpm.q,1)&amp;" "&amp;_xlpm.ai_test&amp;" = "&amp;ROUND(_xlpm.q*_xlpm.f,1)&amp;" "&amp;_xlpm.u,ROUND(_xlpm.q,1)&amp;" "&amp;_xlpm.ai_test)),""),""))))</f>
        <v>0</v>
      </c>
      <c r="BD131" s="801"/>
      <c r="BE131" s="788" t="str">
        <f t="shared" si="70"/>
        <v/>
      </c>
      <c r="BF131" s="789" t="str">
        <f t="shared" si="77"/>
        <v/>
      </c>
      <c r="BG131" s="790">
        <f t="shared" si="78"/>
        <v>0</v>
      </c>
      <c r="BH131" s="791" t="str">
        <f t="shared" si="79"/>
        <v/>
      </c>
      <c r="BI131" s="792"/>
      <c r="BJ131" s="793">
        <f t="shared" si="80"/>
        <v>0</v>
      </c>
      <c r="BK131" s="794" t="str">
        <f t="shared" si="71"/>
        <v/>
      </c>
      <c r="BL131" s="227" t="s">
        <v>21</v>
      </c>
      <c r="BM131" s="773">
        <f t="shared" si="61"/>
        <v>0</v>
      </c>
      <c r="BN131" s="774">
        <f t="shared" si="62"/>
        <v>0</v>
      </c>
      <c r="BO131"/>
      <c r="BX131"/>
      <c r="BY131"/>
      <c r="BZ131"/>
      <c r="CA131"/>
      <c r="CB131"/>
      <c r="CC131"/>
      <c r="CD131" s="781" t="str">
        <f t="shared" si="50"/>
        <v>►</v>
      </c>
      <c r="CJ131" s="719"/>
      <c r="DI131" s="3">
        <v>1</v>
      </c>
    </row>
    <row r="132" spans="1:113" s="627" customFormat="1" ht="21" customHeight="1">
      <c r="A132" s="701" t="s">
        <v>21</v>
      </c>
      <c r="B132" s="2265" t="str" cm="1">
        <f t="array" ref="B132">SUMPRODUCT(--(D132:J132&lt;&gt;""), LEN(TRIM(SUBSTITUTE(D132:J132, CHAR(160), "")))) &amp; " Car."</f>
        <v>0 Car.</v>
      </c>
      <c r="C132" s="1376" t="str">
        <f>IF(ISBLANK(D132),"",LARGE(C13:C131,1)+1)</f>
        <v/>
      </c>
      <c r="D132" s="1833"/>
      <c r="E132" s="1810"/>
      <c r="F132" s="1810"/>
      <c r="G132" s="1810"/>
      <c r="H132" s="1810"/>
      <c r="I132" s="1810"/>
      <c r="J132" s="1810"/>
      <c r="K132" s="1810"/>
      <c r="L132" s="1811"/>
      <c r="M132" s="9"/>
      <c r="N132" s="25" t="str">
        <f t="shared" si="51"/>
        <v>A</v>
      </c>
      <c r="O132" s="1616"/>
      <c r="P132" s="9"/>
      <c r="Q132" s="25" t="s">
        <v>10</v>
      </c>
      <c r="R132" s="31" t="str">
        <f>R123</f>
        <v>C COULIS DE MANGUE | pâtisserie--ENTREMET| Auteur &gt; recette Béghin Say de Jean-Jacques Borne MOF 1994</v>
      </c>
      <c r="S132" s="32">
        <f>S123</f>
        <v>18</v>
      </c>
      <c r="T132" s="31" t="str">
        <f>T123</f>
        <v>desserts</v>
      </c>
      <c r="U132" s="33" t="str">
        <f>U123</f>
        <v>Recette mère ► MILLE-FEUILLE  aux fraises des bois</v>
      </c>
      <c r="V132" s="1198"/>
      <c r="W132" s="1199"/>
      <c r="X132" s="91" t="str">
        <f t="shared" si="81"/>
        <v/>
      </c>
      <c r="Y132" s="1200"/>
      <c r="Z132" s="128"/>
      <c r="AA132" s="1201">
        <v>1</v>
      </c>
      <c r="AB132" s="1813" t="str">
        <f>ROWS(AB127:AB132)&amp;" ►"</f>
        <v>6 ►</v>
      </c>
      <c r="AC132" s="1580"/>
      <c r="AD132" s="95">
        <f>IF(AF133=0,0,(AF132/AF133)*AE126*1000)</f>
        <v>0</v>
      </c>
      <c r="AE132" s="105">
        <f>IF(AF133=0, 0, (V132*AA132)/(AF133*AE126))</f>
        <v>0</v>
      </c>
      <c r="AF132" s="97" cm="1">
        <f t="array" ref="AF132">IFERROR(_xlfn.XLOOKUP(UPPER(TRIM(Z132)),UPPER(TRIM(V134:AJ134)),V135:AJ135,_xlfn.XLOOKUP(UPPER(TRIM(Z132)),UPPER(TRIM(V136:AJ136)),V137:AJ137,0))*Y132*IF(V132&gt;0,V132,1),0)</f>
        <v>0</v>
      </c>
      <c r="AG132" s="110">
        <f>IF(AI122&lt;&gt;0,V132*AA132*AA122,0)</f>
        <v>0</v>
      </c>
      <c r="AH132" s="1748">
        <f t="shared" si="82"/>
        <v>0</v>
      </c>
      <c r="AI132" s="99">
        <f>IF(OR(ISBLANK(AI122),AI122=0),0,AF132*AA132*AA122)</f>
        <v>0</v>
      </c>
      <c r="AJ132" s="129" t="str">
        <f>IF(Z132="","",IF(COUNTIF(AC134:AJ134,SUBSTITUTE(TRIM(Z132)," (s)",""))+COUNTIF(AC136:AJ136,SUBSTITUTE(TRIM(Z132)," (s)",""))&gt;0,IF(ROUND(AI132,3)&gt;=1,ROUND(AI132,3)&amp;" L",MAX(1,ROUND(AI132*100,0))&amp;" cl"),IF(COUNTIF(V134:AA134,SUBSTITUTE(TRIM(Z132)," (s)",""))+COUNTIF(V136:AA136,SUBSTITUTE(TRIM(Z132)," (s)",""))&gt;0,IF(ROUND(AI132,3)&gt;=1,ROUND(AI132,3)&amp;" Kg",MAX(1,ROUND(AI132*1000,0))&amp;" g"),"")))</f>
        <v/>
      </c>
      <c r="AK132" s="6120" t="str">
        <f t="shared" si="72"/>
        <v>►</v>
      </c>
      <c r="AL132" s="781" t="str">
        <f t="shared" si="59"/>
        <v>►</v>
      </c>
      <c r="AM132" s="5498" t="str">
        <f t="shared" si="63"/>
        <v/>
      </c>
      <c r="AN132" s="783" t="str">
        <f t="shared" si="64"/>
        <v/>
      </c>
      <c r="AO132" s="782" t="str">
        <f t="shared" si="65"/>
        <v/>
      </c>
      <c r="AP132" s="783" t="str">
        <f t="shared" si="66"/>
        <v/>
      </c>
      <c r="AQ132" s="2083" t="b">
        <f>AND(Q132="A",COUNTIF(BP16:BR63,TRIM(Z132))&gt;0)</f>
        <v>0</v>
      </c>
      <c r="AR132" s="797" t="str">
        <f>IF(AL132&lt;&gt;"A","",IFERROR(IFERROR(_xlfn.XLOOKUP(TRIM(SUBSTITUTE(Z132,CHAR(160)," ")),BP16:BP63,BS16:BS63),IFERROR(_xlfn.XLOOKUP(TRIM(SUBSTITUTE(Z132,CHAR(160)," ")),BQ16:BQ63,BS16:BS63),_xlfn.XLOOKUP(TRIM(SUBSTITUTE(Z132,CHAR(160)," ")),BR16:BR63,BS16:BS63)))*Y132*IF(ISBLANK(V132),1,V132),0))</f>
        <v/>
      </c>
      <c r="AS132" s="784" t="str">
        <f t="shared" si="60"/>
        <v/>
      </c>
      <c r="AT132" s="1315" t="str">
        <f t="shared" si="67"/>
        <v/>
      </c>
      <c r="AU132" s="785">
        <f t="shared" si="68"/>
        <v>0</v>
      </c>
      <c r="AV132" s="785">
        <f t="shared" si="69"/>
        <v>0</v>
      </c>
      <c r="AW132" s="798">
        <f>IF(AK132="A",AY10,0)</f>
        <v>0</v>
      </c>
      <c r="AX132" s="5496" t="str">
        <f>IF(IFERROR(SEARCH("Adresse PC",TRIM(W132)),0)&gt;0,"▼ receta siguiente",IF(AK132="A",IF(AZ10&lt;&gt;"",AZ10&amp;" - ou.or.o ❾ + or - &gt;",""),""))</f>
        <v/>
      </c>
      <c r="AY132" s="1316"/>
      <c r="AZ132" s="787"/>
      <c r="BA132" s="799" t="str">
        <f t="shared" si="56"/>
        <v/>
      </c>
      <c r="BB132" s="800" t="str">
        <f>IF(AK132="A",IF(AQ132,IF(AND(AW132&lt;&gt;"",N(AW132)&gt;0),IFERROR(IFERROR(_xlfn.XLOOKUP(AP132,BP10:BP57,BT10:BT57),IFERROR(_xlfn.XLOOKUP(AP132,BQ10:BQ57,BT10:BT57),_xlfn.XLOOKUP(AP132,BR10:BR57,BT10:BT57,""))),""),""),""),"")</f>
        <v/>
      </c>
      <c r="BC132" s="813" cm="1">
        <f t="array" ref="BC132">IF(NOT(AQ132),0,IF(OR(BA132="",N(BA132)&lt;=0.000000001),"",IF(OR(AU132="",N(AU132)&lt;=0.000000001),0,IF(ISNUMBER(BA132),IFERROR(_xlfn.LET(_xlpm.ai_test,TRIM(AP132),_xlpm.r,IFERROR(_xlfn.XLOOKUP(_xlpm.ai_test,BP16:BP63,ROW(BP16:BP63),0,1),IFERROR(_xlfn.XLOOKUP(_xlpm.ai_test,BQ16:BQ63,ROW(BQ16:BQ63),0,1),_xlfn.XLOOKUP(_xlpm.ai_test,BR16:BR63,ROW(BR16:BR63),0,1))),_xlpm.p,_xlpm.r-MIN(ROW(BP16:BP63))+1,_xlpm.f,INDEX(BS16:BS63,_xlpm.p),_xlpm.u,INDEX(BT16:BT63,_xlpm.p),_xlpm.s,INDEX(BV16:BV63,_xlpm.p),_xlpm.q,N(BA132)/_xlpm.f,IF(_xlpm.q&gt;=_xlpm.s,ROUND(_xlpm.q,1)&amp;" "&amp;_xlpm.ai_test&amp;" = "&amp;ROUND(_xlpm.q*_xlpm.f,1)&amp;" "&amp;_xlpm.u,ROUND(_xlpm.q,1)&amp;" "&amp;_xlpm.ai_test)),""),""))))</f>
        <v>0</v>
      </c>
      <c r="BD132" s="801"/>
      <c r="BE132" s="799" t="str">
        <f t="shared" si="70"/>
        <v/>
      </c>
      <c r="BF132" s="800" t="str">
        <f t="shared" si="77"/>
        <v/>
      </c>
      <c r="BG132" s="802">
        <f t="shared" si="78"/>
        <v>0</v>
      </c>
      <c r="BH132" s="803" t="str">
        <f t="shared" si="79"/>
        <v/>
      </c>
      <c r="BI132" s="792"/>
      <c r="BJ132" s="804">
        <f t="shared" si="80"/>
        <v>0</v>
      </c>
      <c r="BK132" s="794" t="str">
        <f t="shared" si="71"/>
        <v/>
      </c>
      <c r="BL132" s="227" t="s">
        <v>21</v>
      </c>
      <c r="BM132" s="773">
        <f t="shared" si="61"/>
        <v>0</v>
      </c>
      <c r="BN132" s="774">
        <f t="shared" si="62"/>
        <v>0</v>
      </c>
      <c r="BO132"/>
      <c r="BX132"/>
      <c r="BY132"/>
      <c r="BZ132"/>
      <c r="CA132"/>
      <c r="CB132"/>
      <c r="CC132"/>
      <c r="CD132" s="781" t="str">
        <f t="shared" si="50"/>
        <v>►</v>
      </c>
      <c r="CJ132" s="719"/>
      <c r="DI132" s="3">
        <v>1</v>
      </c>
    </row>
    <row r="133" spans="1:113" s="627" customFormat="1" ht="21" customHeight="1">
      <c r="A133" s="701" t="s">
        <v>21</v>
      </c>
      <c r="B133" s="2265" t="str" cm="1">
        <f t="array" ref="B133">SUMPRODUCT(--(D133:J133&lt;&gt;""), LEN(TRIM(SUBSTITUTE(D133:J133, CHAR(160), "")))) &amp; " Car."</f>
        <v>0 Car.</v>
      </c>
      <c r="C133" s="1376" t="str">
        <f>IF(ISBLANK(D133),"",LARGE(C13:C132,1)+1)</f>
        <v/>
      </c>
      <c r="D133" s="1833"/>
      <c r="E133" s="1810"/>
      <c r="F133" s="1810"/>
      <c r="G133" s="1810"/>
      <c r="H133" s="1810"/>
      <c r="I133" s="1810"/>
      <c r="J133" s="1810"/>
      <c r="K133" s="1810"/>
      <c r="L133" s="1811"/>
      <c r="M133" s="9"/>
      <c r="N133" s="25" t="str">
        <f t="shared" si="51"/>
        <v>A</v>
      </c>
      <c r="O133" s="1616"/>
      <c r="P133" s="9"/>
      <c r="Q133" s="25" t="s">
        <v>10</v>
      </c>
      <c r="R133" s="31" t="str">
        <f>R123</f>
        <v>C COULIS DE MANGUE | pâtisserie--ENTREMET| Auteur &gt; recette Béghin Say de Jean-Jacques Borne MOF 1994</v>
      </c>
      <c r="S133" s="32">
        <f>S123</f>
        <v>18</v>
      </c>
      <c r="T133" s="31" t="str">
        <f>T123</f>
        <v>desserts</v>
      </c>
      <c r="U133" s="33" t="str">
        <f>U123</f>
        <v>Recette mère ► MILLE-FEUILLE  aux fraises des bois</v>
      </c>
      <c r="V133" s="680" t="s">
        <v>8411</v>
      </c>
      <c r="W133" s="474"/>
      <c r="X133" s="474"/>
      <c r="Y133" s="474"/>
      <c r="Z133" s="474"/>
      <c r="AA133" s="681"/>
      <c r="AB133" s="681"/>
      <c r="AC133" s="1984" t="s">
        <v>8652</v>
      </c>
      <c r="AD133" s="682"/>
      <c r="AE133" s="682"/>
      <c r="AF133" s="1197">
        <f>SUM(AF127:AF132)</f>
        <v>0.315</v>
      </c>
      <c r="AG133" s="683"/>
      <c r="AH133" s="683" t="str">
        <f>"Total " &amp; AI124&amp;" &gt;"</f>
        <v>Total Col.19 &gt;</v>
      </c>
      <c r="AI133" s="1835">
        <f>SUM(AI127:AI132)</f>
        <v>0.63</v>
      </c>
      <c r="AJ133" s="684"/>
      <c r="AK133" s="6120" t="str">
        <f t="shared" si="72"/>
        <v>►</v>
      </c>
      <c r="AL133" s="781" t="str">
        <f t="shared" si="59"/>
        <v>►</v>
      </c>
      <c r="AM133" s="5499" t="str">
        <f t="shared" si="63"/>
        <v/>
      </c>
      <c r="AN133" s="783" t="str">
        <f t="shared" si="64"/>
        <v/>
      </c>
      <c r="AO133" s="782" t="str">
        <f t="shared" si="65"/>
        <v/>
      </c>
      <c r="AP133" s="783" t="str">
        <f t="shared" si="66"/>
        <v/>
      </c>
      <c r="AQ133" s="2083" t="b">
        <f>AND(Q133="A",COUNTIF(BP16:BR63,TRIM(Z133))&gt;0)</f>
        <v>0</v>
      </c>
      <c r="AR133" s="797" t="str">
        <f>IF(AL133&lt;&gt;"A","",IFERROR(IFERROR(_xlfn.XLOOKUP(TRIM(SUBSTITUTE(Z133,CHAR(160)," ")),BP16:BP63,BS16:BS63),IFERROR(_xlfn.XLOOKUP(TRIM(SUBSTITUTE(Z133,CHAR(160)," ")),BQ16:BQ63,BS16:BS63),_xlfn.XLOOKUP(TRIM(SUBSTITUTE(Z133,CHAR(160)," ")),BR16:BR63,BS16:BS63)))*Y133*IF(ISBLANK(V133),1,V133),0))</f>
        <v/>
      </c>
      <c r="AS133" s="784" t="str">
        <f t="shared" si="60"/>
        <v/>
      </c>
      <c r="AT133" s="1315" t="str">
        <f t="shared" si="67"/>
        <v/>
      </c>
      <c r="AU133" s="785">
        <f t="shared" si="68"/>
        <v>0</v>
      </c>
      <c r="AV133" s="785">
        <f t="shared" si="69"/>
        <v>0</v>
      </c>
      <c r="AW133" s="786">
        <f>IF(AK133="A",AY10,0)</f>
        <v>0</v>
      </c>
      <c r="AX133" s="5495" t="str">
        <f>IF(IFERROR(SEARCH("Adresse PC",TRIM(W133)),0)&gt;0,"▼ receta siguiente",IF(AK133="A",IF(AZ10&lt;&gt;"",AZ10&amp;" - ou.or.o ❾ + or - &gt;",""),""))</f>
        <v/>
      </c>
      <c r="AY133" s="1316"/>
      <c r="AZ133" s="787"/>
      <c r="BA133" s="788" t="str">
        <f t="shared" si="56"/>
        <v/>
      </c>
      <c r="BB133" s="789" t="str">
        <f>IF(AK133="A",IF(AQ133,IF(AND(AW133&lt;&gt;"",N(AW133)&gt;0),IFERROR(IFERROR(_xlfn.XLOOKUP(AP133,BP10:BP57,BT10:BT57),IFERROR(_xlfn.XLOOKUP(AP133,BQ10:BQ57,BT10:BT57),_xlfn.XLOOKUP(AP133,BR10:BR57,BT10:BT57,""))),""),""),""),"")</f>
        <v/>
      </c>
      <c r="BC133" s="811" cm="1">
        <f t="array" ref="BC133">IF(NOT(AQ133),0,IF(OR(BA133="",N(BA133)&lt;=0.000000001),"",IF(OR(AU133="",N(AU133)&lt;=0.000000001),0,IF(ISNUMBER(BA133),IFERROR(_xlfn.LET(_xlpm.ai_test,TRIM(AP133),_xlpm.r,IFERROR(_xlfn.XLOOKUP(_xlpm.ai_test,BP16:BP63,ROW(BP16:BP63),0,1),IFERROR(_xlfn.XLOOKUP(_xlpm.ai_test,BQ16:BQ63,ROW(BQ16:BQ63),0,1),_xlfn.XLOOKUP(_xlpm.ai_test,BR16:BR63,ROW(BR16:BR63),0,1))),_xlpm.p,_xlpm.r-MIN(ROW(BP16:BP63))+1,_xlpm.f,INDEX(BS16:BS63,_xlpm.p),_xlpm.u,INDEX(BT16:BT63,_xlpm.p),_xlpm.s,INDEX(BV16:BV63,_xlpm.p),_xlpm.q,N(BA133)/_xlpm.f,IF(_xlpm.q&gt;=_xlpm.s,ROUND(_xlpm.q,1)&amp;" "&amp;_xlpm.ai_test&amp;" = "&amp;ROUND(_xlpm.q*_xlpm.f,1)&amp;" "&amp;_xlpm.u,ROUND(_xlpm.q,1)&amp;" "&amp;_xlpm.ai_test)),""),""))))</f>
        <v>0</v>
      </c>
      <c r="BD133" s="801"/>
      <c r="BE133" s="788" t="str">
        <f t="shared" si="70"/>
        <v/>
      </c>
      <c r="BF133" s="789" t="str">
        <f t="shared" si="77"/>
        <v/>
      </c>
      <c r="BG133" s="790">
        <f t="shared" si="78"/>
        <v>0</v>
      </c>
      <c r="BH133" s="791" t="str">
        <f t="shared" si="79"/>
        <v/>
      </c>
      <c r="BI133" s="792"/>
      <c r="BJ133" s="793">
        <f t="shared" si="80"/>
        <v>0</v>
      </c>
      <c r="BK133" s="794" t="str">
        <f t="shared" si="71"/>
        <v/>
      </c>
      <c r="BL133" s="227" t="s">
        <v>21</v>
      </c>
      <c r="BM133" s="773">
        <f t="shared" si="61"/>
        <v>0</v>
      </c>
      <c r="BN133" s="774">
        <f t="shared" si="62"/>
        <v>0</v>
      </c>
      <c r="BO133"/>
      <c r="BX133"/>
      <c r="BY133"/>
      <c r="BZ133"/>
      <c r="CA133"/>
      <c r="CB133"/>
      <c r="CC133"/>
      <c r="CD133" s="781" t="str">
        <f t="shared" si="50"/>
        <v>►</v>
      </c>
      <c r="CJ133" s="719"/>
      <c r="DI133" s="3">
        <v>1</v>
      </c>
    </row>
    <row r="134" spans="1:113" s="627" customFormat="1" ht="21" customHeight="1">
      <c r="A134" s="701" t="s">
        <v>21</v>
      </c>
      <c r="B134" s="2265" t="str" cm="1">
        <f t="array" ref="B134">SUMPRODUCT(--(D134:J134&lt;&gt;""), LEN(TRIM(SUBSTITUTE(D134:J134, CHAR(160), "")))) &amp; " Car."</f>
        <v>0 Car.</v>
      </c>
      <c r="C134" s="1376" t="str">
        <f>IF(ISBLANK(D134),"",LARGE(C13:C133,1)+1)</f>
        <v/>
      </c>
      <c r="D134" s="1833"/>
      <c r="E134" s="1810"/>
      <c r="F134" s="1810"/>
      <c r="G134" s="1810"/>
      <c r="H134" s="1810"/>
      <c r="I134" s="1810"/>
      <c r="J134" s="1810"/>
      <c r="K134" s="1810"/>
      <c r="L134" s="1811"/>
      <c r="M134" s="9"/>
      <c r="N134" s="25" t="str">
        <f t="shared" si="51"/>
        <v>A</v>
      </c>
      <c r="O134" s="1616"/>
      <c r="P134" s="9"/>
      <c r="Q134" s="25" t="s">
        <v>10</v>
      </c>
      <c r="R134" s="31" t="str">
        <f>R123</f>
        <v>C COULIS DE MANGUE | pâtisserie--ENTREMET| Auteur &gt; recette Béghin Say de Jean-Jacques Borne MOF 1994</v>
      </c>
      <c r="S134" s="32">
        <f>S123</f>
        <v>18</v>
      </c>
      <c r="T134" s="31" t="str">
        <f>T123</f>
        <v>desserts</v>
      </c>
      <c r="U134" s="33" t="str">
        <f>U123</f>
        <v>Recette mère ► MILLE-FEUILLE  aux fraises des bois</v>
      </c>
      <c r="V134" s="142" t="s">
        <v>140</v>
      </c>
      <c r="W134" s="104" t="s">
        <v>100</v>
      </c>
      <c r="X134" s="143" t="s">
        <v>141</v>
      </c>
      <c r="Y134" s="144" t="s">
        <v>142</v>
      </c>
      <c r="Z134" s="118" t="s">
        <v>143</v>
      </c>
      <c r="AA134" s="118" t="s">
        <v>109</v>
      </c>
      <c r="AB134" s="143" t="s">
        <v>141</v>
      </c>
      <c r="AC134" s="93" t="s">
        <v>0</v>
      </c>
      <c r="AD134" s="93" t="s">
        <v>97</v>
      </c>
      <c r="AE134" s="93" t="s">
        <v>144</v>
      </c>
      <c r="AF134" s="93" t="s">
        <v>145</v>
      </c>
      <c r="AG134" s="109" t="s">
        <v>104</v>
      </c>
      <c r="AH134" s="109" t="s">
        <v>359</v>
      </c>
      <c r="AI134" s="335" t="s">
        <v>146</v>
      </c>
      <c r="AJ134" s="109" t="s">
        <v>147</v>
      </c>
      <c r="AK134" s="6120" t="str">
        <f t="shared" si="72"/>
        <v>►</v>
      </c>
      <c r="AL134" s="781" t="str">
        <f t="shared" si="59"/>
        <v>►</v>
      </c>
      <c r="AM134" s="5498" t="str">
        <f t="shared" si="63"/>
        <v/>
      </c>
      <c r="AN134" s="783" t="str">
        <f t="shared" si="64"/>
        <v/>
      </c>
      <c r="AO134" s="782" t="str">
        <f t="shared" si="65"/>
        <v/>
      </c>
      <c r="AP134" s="783" t="str">
        <f t="shared" si="66"/>
        <v/>
      </c>
      <c r="AQ134" s="2083" t="b">
        <f>AND(Q134="A",COUNTIF(BP16:BR63,TRIM(Z134))&gt;0)</f>
        <v>1</v>
      </c>
      <c r="AR134" s="797" t="str">
        <f>IF(AL134&lt;&gt;"A","",IFERROR(IFERROR(_xlfn.XLOOKUP(TRIM(SUBSTITUTE(Z134,CHAR(160)," ")),BP16:BP63,BS16:BS63),IFERROR(_xlfn.XLOOKUP(TRIM(SUBSTITUTE(Z134,CHAR(160)," ")),BQ16:BQ63,BS16:BS63),_xlfn.XLOOKUP(TRIM(SUBSTITUTE(Z134,CHAR(160)," ")),BR16:BR63,BS16:BS63)))*Y134*IF(ISBLANK(V134),1,V134),0))</f>
        <v/>
      </c>
      <c r="AS134" s="784" t="str">
        <f>IF(AK134="A",IF(AND(AQ134,AR134&gt;0),"Kg",""),"")</f>
        <v/>
      </c>
      <c r="AT134" s="1315" t="str">
        <f t="shared" si="67"/>
        <v/>
      </c>
      <c r="AU134" s="785">
        <f t="shared" si="68"/>
        <v>0</v>
      </c>
      <c r="AV134" s="785">
        <f t="shared" si="69"/>
        <v>0</v>
      </c>
      <c r="AW134" s="798">
        <f>IF(AK134="A",AY10,0)</f>
        <v>0</v>
      </c>
      <c r="AX134" s="5496" t="str">
        <f>IF(IFERROR(SEARCH("Adresse PC",TRIM(W134)),0)&gt;0,"▼ receta siguiente",IF(AK134="A",IF(AZ10&lt;&gt;"",AZ10&amp;" - ou.or.o ❾ + or - &gt;",""),""))</f>
        <v/>
      </c>
      <c r="AY134" s="1316"/>
      <c r="AZ134" s="787"/>
      <c r="BA134" s="799" t="str">
        <f t="shared" si="56"/>
        <v/>
      </c>
      <c r="BB134" s="800" t="str">
        <f>IF(AK134="A",IF(AQ134,IF(AND(AW134&lt;&gt;"",N(AW134)&gt;0),IFERROR(IFERROR(_xlfn.XLOOKUP(AP134,BP10:BP57,BT10:BT57),IFERROR(_xlfn.XLOOKUP(AP134,BQ10:BQ57,BT10:BT57),_xlfn.XLOOKUP(AP134,BR10:BR57,BT10:BT57,""))),""),""),""),"")</f>
        <v/>
      </c>
      <c r="BC134" s="813" t="str" cm="1">
        <f t="array" ref="BC134">IF(NOT(AQ134),0,IF(OR(BA134="",N(BA134)&lt;=0.000000001),"",IF(OR(AU134="",N(AU134)&lt;=0.000000001),0,IF(ISNUMBER(BA134),IFERROR(_xlfn.LET(_xlpm.ai_test,TRIM(AP134),_xlpm.r,IFERROR(_xlfn.XLOOKUP(_xlpm.ai_test,BP16:BP63,ROW(BP16:BP63),0,1),IFERROR(_xlfn.XLOOKUP(_xlpm.ai_test,BQ16:BQ63,ROW(BQ16:BQ63),0,1),_xlfn.XLOOKUP(_xlpm.ai_test,BR16:BR63,ROW(BR16:BR63),0,1))),_xlpm.p,_xlpm.r-MIN(ROW(BP16:BP63))+1,_xlpm.f,INDEX(BS16:BS63,_xlpm.p),_xlpm.u,INDEX(BT16:BT63,_xlpm.p),_xlpm.s,INDEX(BV16:BV63,_xlpm.p),_xlpm.q,N(BA134)/_xlpm.f,IF(_xlpm.q&gt;=_xlpm.s,ROUND(_xlpm.q,1)&amp;" "&amp;_xlpm.ai_test&amp;" = "&amp;ROUND(_xlpm.q*_xlpm.f,1)&amp;" "&amp;_xlpm.u,ROUND(_xlpm.q,1)&amp;" "&amp;_xlpm.ai_test)),""),""))))</f>
        <v/>
      </c>
      <c r="BD134" s="801"/>
      <c r="BE134" s="799" t="str">
        <f t="shared" si="70"/>
        <v/>
      </c>
      <c r="BF134" s="800" t="str">
        <f t="shared" si="77"/>
        <v/>
      </c>
      <c r="BG134" s="802">
        <f t="shared" si="78"/>
        <v>0</v>
      </c>
      <c r="BH134" s="803" t="str">
        <f t="shared" si="79"/>
        <v/>
      </c>
      <c r="BI134" s="792"/>
      <c r="BJ134" s="804">
        <f t="shared" si="80"/>
        <v>0</v>
      </c>
      <c r="BK134" s="794" t="str">
        <f t="shared" si="71"/>
        <v/>
      </c>
      <c r="BL134" s="227" t="s">
        <v>21</v>
      </c>
      <c r="BM134" s="773">
        <f t="shared" si="61"/>
        <v>0</v>
      </c>
      <c r="BN134" s="774">
        <f t="shared" si="62"/>
        <v>0</v>
      </c>
      <c r="BO134"/>
      <c r="BX134"/>
      <c r="BY134"/>
      <c r="BZ134"/>
      <c r="CA134"/>
      <c r="CB134"/>
      <c r="CC134"/>
      <c r="CD134" s="781" t="str">
        <f t="shared" si="50"/>
        <v>►</v>
      </c>
      <c r="CJ134" s="719"/>
      <c r="DI134" s="3">
        <v>1</v>
      </c>
    </row>
    <row r="135" spans="1:113" s="627" customFormat="1" ht="21" customHeight="1">
      <c r="A135" s="701" t="s">
        <v>21</v>
      </c>
      <c r="B135" s="2265" t="str" cm="1">
        <f t="array" ref="B135">SUMPRODUCT(--(D135:J135&lt;&gt;""), LEN(TRIM(SUBSTITUTE(D135:J135, CHAR(160), "")))) &amp; " Car."</f>
        <v>0 Car.</v>
      </c>
      <c r="C135" s="1376" t="str">
        <f>IF(ISBLANK(D135),"",LARGE(C13:C134,1)+1)</f>
        <v/>
      </c>
      <c r="D135" s="1833"/>
      <c r="E135" s="1810"/>
      <c r="F135" s="1810"/>
      <c r="G135" s="1810"/>
      <c r="H135" s="1810"/>
      <c r="I135" s="1810"/>
      <c r="J135" s="1810"/>
      <c r="K135" s="1810"/>
      <c r="L135" s="1811"/>
      <c r="M135" s="9"/>
      <c r="N135" s="25" t="str">
        <f t="shared" si="51"/>
        <v>A</v>
      </c>
      <c r="O135" s="1616"/>
      <c r="P135" s="9"/>
      <c r="Q135" s="25" t="s">
        <v>10</v>
      </c>
      <c r="R135" s="31" t="str">
        <f>R123</f>
        <v>C COULIS DE MANGUE | pâtisserie--ENTREMET| Auteur &gt; recette Béghin Say de Jean-Jacques Borne MOF 1994</v>
      </c>
      <c r="S135" s="32">
        <f>S123</f>
        <v>18</v>
      </c>
      <c r="T135" s="31" t="str">
        <f>T123</f>
        <v>desserts</v>
      </c>
      <c r="U135" s="33" t="str">
        <f>U123</f>
        <v>Recette mère ► MILLE-FEUILLE  aux fraises des bois</v>
      </c>
      <c r="V135" s="685">
        <v>1</v>
      </c>
      <c r="W135" s="686">
        <v>1E-3</v>
      </c>
      <c r="X135" s="687">
        <v>0</v>
      </c>
      <c r="Y135" s="686">
        <v>0.25</v>
      </c>
      <c r="Z135" s="686">
        <v>0.33332999999999996</v>
      </c>
      <c r="AA135" s="686">
        <v>0.5</v>
      </c>
      <c r="AB135" s="687">
        <v>0</v>
      </c>
      <c r="AC135" s="688">
        <v>1</v>
      </c>
      <c r="AD135" s="688">
        <v>0.1</v>
      </c>
      <c r="AE135" s="688">
        <v>0.01</v>
      </c>
      <c r="AF135" s="688">
        <v>1E-3</v>
      </c>
      <c r="AG135" s="688">
        <v>0.5</v>
      </c>
      <c r="AH135" s="688">
        <v>0.25</v>
      </c>
      <c r="AI135" s="688">
        <v>0.33300000000000002</v>
      </c>
      <c r="AJ135" s="1756">
        <v>0.2</v>
      </c>
      <c r="AK135" s="6120" t="str">
        <f t="shared" si="72"/>
        <v>►</v>
      </c>
      <c r="AL135" s="781" t="str">
        <f t="shared" si="59"/>
        <v>►</v>
      </c>
      <c r="AM135" s="5499" t="str">
        <f t="shared" si="63"/>
        <v/>
      </c>
      <c r="AN135" s="783" t="str">
        <f t="shared" si="64"/>
        <v/>
      </c>
      <c r="AO135" s="782" t="str">
        <f t="shared" si="65"/>
        <v/>
      </c>
      <c r="AP135" s="783" t="str">
        <f t="shared" si="66"/>
        <v/>
      </c>
      <c r="AQ135" s="2083" t="b">
        <f>AND(Q135="A",COUNTIF(BP16:BR63,TRIM(Z135))&gt;0)</f>
        <v>0</v>
      </c>
      <c r="AR135" s="797" t="str">
        <f>IF(AL135&lt;&gt;"A","",IFERROR(IFERROR(_xlfn.XLOOKUP(TRIM(SUBSTITUTE(Z135,CHAR(160)," ")),BP16:BP63,BS16:BS63),IFERROR(_xlfn.XLOOKUP(TRIM(SUBSTITUTE(Z135,CHAR(160)," ")),BQ16:BQ63,BS16:BS63),_xlfn.XLOOKUP(TRIM(SUBSTITUTE(Z135,CHAR(160)," ")),BR16:BR63,BS16:BS63)))*Y135*IF(ISBLANK(V135),1,V135),0))</f>
        <v/>
      </c>
      <c r="AS135" s="784" t="str">
        <f t="shared" ref="AS135:AS198" si="84">IF(AK135="A",IF(AND(AQ135,AR135&gt;0),"Kg",""),"")</f>
        <v/>
      </c>
      <c r="AT135" s="1315" t="str">
        <f t="shared" si="67"/>
        <v/>
      </c>
      <c r="AU135" s="785">
        <f t="shared" si="68"/>
        <v>0</v>
      </c>
      <c r="AV135" s="785">
        <f t="shared" si="69"/>
        <v>0</v>
      </c>
      <c r="AW135" s="786">
        <f>IF(AK135="A",AY10,0)</f>
        <v>0</v>
      </c>
      <c r="AX135" s="5495" t="str">
        <f>IF(IFERROR(SEARCH("Adresse PC",TRIM(W135)),0)&gt;0,"▼ receta siguiente",IF(AK135="A",IF(AZ10&lt;&gt;"",AZ10&amp;" - ou.or.o ❾ + or - &gt;",""),""))</f>
        <v/>
      </c>
      <c r="AY135" s="810"/>
      <c r="AZ135" s="810"/>
      <c r="BA135" s="788" t="str">
        <f t="shared" si="56"/>
        <v/>
      </c>
      <c r="BB135" s="789" t="str">
        <f>IF(AK135="A",IF(AQ135,IF(AND(AW135&lt;&gt;"",N(AW135)&gt;0),IFERROR(IFERROR(_xlfn.XLOOKUP(AP135,BP10:BP57,BT10:BT57),IFERROR(_xlfn.XLOOKUP(AP135,BQ10:BQ57,BT10:BT57),_xlfn.XLOOKUP(AP135,BR10:BR57,BT10:BT57,""))),""),""),""),"")</f>
        <v/>
      </c>
      <c r="BC135" s="811" cm="1">
        <f t="array" ref="BC135">IF(NOT(AQ135),0,IF(OR(BA135="",N(BA135)&lt;=0.000000001),"",IF(OR(AU135="",N(AU135)&lt;=0.000000001),0,IF(ISNUMBER(BA135),IFERROR(_xlfn.LET(_xlpm.ai_test,TRIM(AP135),_xlpm.r,IFERROR(_xlfn.XLOOKUP(_xlpm.ai_test,BP16:BP63,ROW(BP16:BP63),0,1),IFERROR(_xlfn.XLOOKUP(_xlpm.ai_test,BQ16:BQ63,ROW(BQ16:BQ63),0,1),_xlfn.XLOOKUP(_xlpm.ai_test,BR16:BR63,ROW(BR16:BR63),0,1))),_xlpm.p,_xlpm.r-MIN(ROW(BP16:BP63))+1,_xlpm.f,INDEX(BS16:BS63,_xlpm.p),_xlpm.u,INDEX(BT16:BT63,_xlpm.p),_xlpm.s,INDEX(BV16:BV63,_xlpm.p),_xlpm.q,N(BA135)/_xlpm.f,IF(_xlpm.q&gt;=_xlpm.s,ROUND(_xlpm.q,1)&amp;" "&amp;_xlpm.ai_test&amp;" = "&amp;ROUND(_xlpm.q*_xlpm.f,1)&amp;" "&amp;_xlpm.u,ROUND(_xlpm.q,1)&amp;" "&amp;_xlpm.ai_test)),""),""))))</f>
        <v>0</v>
      </c>
      <c r="BD135" s="801"/>
      <c r="BE135" s="788" t="str">
        <f t="shared" si="70"/>
        <v/>
      </c>
      <c r="BF135" s="789" t="str">
        <f t="shared" si="77"/>
        <v/>
      </c>
      <c r="BG135" s="790">
        <f t="shared" si="78"/>
        <v>0</v>
      </c>
      <c r="BH135" s="791" t="str">
        <f t="shared" si="79"/>
        <v/>
      </c>
      <c r="BI135" s="792"/>
      <c r="BJ135" s="793">
        <f t="shared" si="80"/>
        <v>0</v>
      </c>
      <c r="BK135" s="794" t="str">
        <f t="shared" si="71"/>
        <v/>
      </c>
      <c r="BL135" s="227" t="s">
        <v>21</v>
      </c>
      <c r="BM135" s="773">
        <f t="shared" si="61"/>
        <v>0</v>
      </c>
      <c r="BN135" s="774">
        <f t="shared" si="62"/>
        <v>0</v>
      </c>
      <c r="BO135"/>
      <c r="BX135"/>
      <c r="BY135"/>
      <c r="BZ135"/>
      <c r="CA135"/>
      <c r="CB135"/>
      <c r="CC135"/>
      <c r="CD135" s="781" t="str">
        <f t="shared" ref="CD135:CD198" si="85">AL135</f>
        <v>►</v>
      </c>
      <c r="CJ135" s="719"/>
      <c r="DI135" s="3">
        <v>1</v>
      </c>
    </row>
    <row r="136" spans="1:113" s="627" customFormat="1" ht="21" customHeight="1">
      <c r="A136" s="701" t="s">
        <v>21</v>
      </c>
      <c r="B136" s="2265" t="str" cm="1">
        <f t="array" ref="B136">SUMPRODUCT(--(D136:J136&lt;&gt;""), LEN(TRIM(SUBSTITUTE(D136:J136, CHAR(160), "")))) &amp; " Car."</f>
        <v>0 Car.</v>
      </c>
      <c r="C136" s="1376" t="str">
        <f>IF(ISBLANK(D136),"",LARGE(C13:C135,1)+1)</f>
        <v/>
      </c>
      <c r="D136" s="1833"/>
      <c r="E136" s="1810"/>
      <c r="F136" s="1810"/>
      <c r="G136" s="1810"/>
      <c r="H136" s="1810"/>
      <c r="I136" s="1810"/>
      <c r="J136" s="1810"/>
      <c r="K136" s="1810"/>
      <c r="L136" s="1811"/>
      <c r="M136" s="9"/>
      <c r="N136" s="25" t="str">
        <f t="shared" si="51"/>
        <v>A</v>
      </c>
      <c r="O136" s="1616"/>
      <c r="P136" s="9"/>
      <c r="Q136" s="25" t="s">
        <v>10</v>
      </c>
      <c r="R136" s="31" t="str">
        <f>R123</f>
        <v>C COULIS DE MANGUE | pâtisserie--ENTREMET| Auteur &gt; recette Béghin Say de Jean-Jacques Borne MOF 1994</v>
      </c>
      <c r="S136" s="32">
        <f>S123</f>
        <v>18</v>
      </c>
      <c r="T136" s="31" t="str">
        <f>T123</f>
        <v>desserts</v>
      </c>
      <c r="U136" s="33" t="str">
        <f>U123</f>
        <v>Recette mère ► MILLE-FEUILLE  aux fraises des bois</v>
      </c>
      <c r="V136" s="121" t="s">
        <v>155</v>
      </c>
      <c r="W136" s="121" t="s">
        <v>156</v>
      </c>
      <c r="X136" s="143" t="s">
        <v>141</v>
      </c>
      <c r="Y136" s="121" t="s">
        <v>110</v>
      </c>
      <c r="Z136" s="121" t="s">
        <v>157</v>
      </c>
      <c r="AA136" s="121" t="s">
        <v>158</v>
      </c>
      <c r="AB136" s="143" t="s">
        <v>141</v>
      </c>
      <c r="AC136" s="125" t="s">
        <v>115</v>
      </c>
      <c r="AD136" s="155" t="s">
        <v>159</v>
      </c>
      <c r="AE136" s="155" t="s">
        <v>160</v>
      </c>
      <c r="AF136" s="109" t="s">
        <v>161</v>
      </c>
      <c r="AG136" s="109" t="s">
        <v>162</v>
      </c>
      <c r="AH136" s="109" t="s">
        <v>105</v>
      </c>
      <c r="AI136" s="1758" t="s">
        <v>1689</v>
      </c>
      <c r="AJ136" s="697" t="s">
        <v>163</v>
      </c>
      <c r="AK136" s="6120" t="str">
        <f t="shared" si="72"/>
        <v>►</v>
      </c>
      <c r="AL136" s="781" t="str">
        <f t="shared" si="59"/>
        <v>►</v>
      </c>
      <c r="AM136" s="5498" t="str">
        <f t="shared" si="63"/>
        <v/>
      </c>
      <c r="AN136" s="783" t="str">
        <f t="shared" si="64"/>
        <v/>
      </c>
      <c r="AO136" s="782" t="str">
        <f t="shared" si="65"/>
        <v/>
      </c>
      <c r="AP136" s="783" t="str">
        <f t="shared" si="66"/>
        <v/>
      </c>
      <c r="AQ136" s="2083" t="b">
        <f>AND(Q136="A",COUNTIF(BP16:BR63,TRIM(Z136))&gt;0)</f>
        <v>1</v>
      </c>
      <c r="AR136" s="797" t="str">
        <f>IF(AL136&lt;&gt;"A","",IFERROR(IFERROR(_xlfn.XLOOKUP(TRIM(SUBSTITUTE(Z136,CHAR(160)," ")),BP16:BP63,BS16:BS63),IFERROR(_xlfn.XLOOKUP(TRIM(SUBSTITUTE(Z136,CHAR(160)," ")),BQ16:BQ63,BS16:BS63),_xlfn.XLOOKUP(TRIM(SUBSTITUTE(Z136,CHAR(160)," ")),BR16:BR63,BS16:BS63)))*Y136*IF(ISBLANK(V136),1,V136),0))</f>
        <v/>
      </c>
      <c r="AS136" s="784" t="str">
        <f t="shared" si="84"/>
        <v/>
      </c>
      <c r="AT136" s="1315" t="str">
        <f t="shared" si="67"/>
        <v/>
      </c>
      <c r="AU136" s="785">
        <f t="shared" si="68"/>
        <v>0</v>
      </c>
      <c r="AV136" s="785">
        <f t="shared" si="69"/>
        <v>0</v>
      </c>
      <c r="AW136" s="798">
        <f>IF(AK136="A",AY10,0)</f>
        <v>0</v>
      </c>
      <c r="AX136" s="5496" t="str">
        <f>IF(IFERROR(SEARCH("Adresse PC",TRIM(W136)),0)&gt;0,"▼ receta siguiente",IF(AK136="A",IF(AZ10&lt;&gt;"",AZ10&amp;" - ou.or.o ❾ + or - &gt;",""),""))</f>
        <v/>
      </c>
      <c r="AY136" s="810"/>
      <c r="AZ136" s="810"/>
      <c r="BA136" s="799" t="str">
        <f t="shared" si="56"/>
        <v/>
      </c>
      <c r="BB136" s="800" t="str">
        <f>IF(AK136="A",IF(AQ136,IF(AND(AW136&lt;&gt;"",N(AW136)&gt;0),IFERROR(IFERROR(_xlfn.XLOOKUP(AP136,BP10:BP57,BT10:BT57),IFERROR(_xlfn.XLOOKUP(AP136,BQ10:BQ57,BT10:BT57),_xlfn.XLOOKUP(AP136,BR10:BR57,BT10:BT57,""))),""),""),""),"")</f>
        <v/>
      </c>
      <c r="BC136" s="813" t="str" cm="1">
        <f t="array" ref="BC136">IF(NOT(AQ136),0,IF(OR(BA136="",N(BA136)&lt;=0.000000001),"",IF(OR(AU136="",N(AU136)&lt;=0.000000001),0,IF(ISNUMBER(BA136),IFERROR(_xlfn.LET(_xlpm.ai_test,TRIM(AP136),_xlpm.r,IFERROR(_xlfn.XLOOKUP(_xlpm.ai_test,BP16:BP63,ROW(BP16:BP63),0,1),IFERROR(_xlfn.XLOOKUP(_xlpm.ai_test,BQ16:BQ63,ROW(BQ16:BQ63),0,1),_xlfn.XLOOKUP(_xlpm.ai_test,BR16:BR63,ROW(BR16:BR63),0,1))),_xlpm.p,_xlpm.r-MIN(ROW(BP16:BP63))+1,_xlpm.f,INDEX(BS16:BS63,_xlpm.p),_xlpm.u,INDEX(BT16:BT63,_xlpm.p),_xlpm.s,INDEX(BV16:BV63,_xlpm.p),_xlpm.q,N(BA136)/_xlpm.f,IF(_xlpm.q&gt;=_xlpm.s,ROUND(_xlpm.q,1)&amp;" "&amp;_xlpm.ai_test&amp;" = "&amp;ROUND(_xlpm.q*_xlpm.f,1)&amp;" "&amp;_xlpm.u,ROUND(_xlpm.q,1)&amp;" "&amp;_xlpm.ai_test)),""),""))))</f>
        <v/>
      </c>
      <c r="BD136" s="801"/>
      <c r="BE136" s="799" t="str">
        <f t="shared" si="70"/>
        <v/>
      </c>
      <c r="BF136" s="800" t="str">
        <f t="shared" si="77"/>
        <v/>
      </c>
      <c r="BG136" s="802">
        <f t="shared" si="78"/>
        <v>0</v>
      </c>
      <c r="BH136" s="803" t="str">
        <f t="shared" si="79"/>
        <v/>
      </c>
      <c r="BI136" s="792"/>
      <c r="BJ136" s="804">
        <f t="shared" si="80"/>
        <v>0</v>
      </c>
      <c r="BK136" s="794" t="str">
        <f t="shared" si="71"/>
        <v/>
      </c>
      <c r="BL136" s="227" t="s">
        <v>21</v>
      </c>
      <c r="BM136" s="773">
        <f t="shared" si="61"/>
        <v>0</v>
      </c>
      <c r="BN136" s="774">
        <f t="shared" si="62"/>
        <v>0</v>
      </c>
      <c r="BO136"/>
      <c r="BX136"/>
      <c r="BY136"/>
      <c r="BZ136"/>
      <c r="CA136"/>
      <c r="CB136"/>
      <c r="CC136"/>
      <c r="CD136" s="781" t="str">
        <f t="shared" si="85"/>
        <v>►</v>
      </c>
      <c r="CJ136" s="719"/>
      <c r="DI136" s="3">
        <v>1</v>
      </c>
    </row>
    <row r="137" spans="1:113" s="627" customFormat="1" ht="21" customHeight="1">
      <c r="A137" s="701" t="s">
        <v>21</v>
      </c>
      <c r="B137" s="2265" t="str" cm="1">
        <f t="array" ref="B137">SUMPRODUCT(--(D137:J137&lt;&gt;""), LEN(TRIM(SUBSTITUTE(D137:J137, CHAR(160), "")))) &amp; " Car."</f>
        <v>0 Car.</v>
      </c>
      <c r="C137" s="1376" t="str">
        <f>IF(ISBLANK(D137),"",LARGE(C13:C136,1)+1)</f>
        <v/>
      </c>
      <c r="D137" s="1833"/>
      <c r="E137" s="1810"/>
      <c r="F137" s="1810"/>
      <c r="G137" s="1810"/>
      <c r="H137" s="1810"/>
      <c r="I137" s="1810"/>
      <c r="J137" s="1810"/>
      <c r="K137" s="1810"/>
      <c r="L137" s="1811"/>
      <c r="M137" s="9"/>
      <c r="N137" s="25" t="str">
        <f t="shared" si="51"/>
        <v>A</v>
      </c>
      <c r="O137" s="1616"/>
      <c r="P137" s="9"/>
      <c r="Q137" s="25" t="s">
        <v>10</v>
      </c>
      <c r="R137" s="31" t="str">
        <f>R123</f>
        <v>C COULIS DE MANGUE | pâtisserie--ENTREMET| Auteur &gt; recette Béghin Say de Jean-Jacques Borne MOF 1994</v>
      </c>
      <c r="S137" s="32">
        <f>S123</f>
        <v>18</v>
      </c>
      <c r="T137" s="31" t="str">
        <f>T123</f>
        <v>desserts</v>
      </c>
      <c r="U137" s="33" t="str">
        <f>U123</f>
        <v>Recette mère ► MILLE-FEUILLE  aux fraises des bois</v>
      </c>
      <c r="V137" s="685">
        <v>2.835E-2</v>
      </c>
      <c r="W137" s="686">
        <v>0.13</v>
      </c>
      <c r="X137" s="687">
        <v>0</v>
      </c>
      <c r="Y137" s="686">
        <v>0.2</v>
      </c>
      <c r="Z137" s="686">
        <v>0.23</v>
      </c>
      <c r="AA137" s="686">
        <v>0.22500000000000001</v>
      </c>
      <c r="AB137" s="687">
        <v>0</v>
      </c>
      <c r="AC137" s="688">
        <v>0.35</v>
      </c>
      <c r="AD137" s="688">
        <v>5.0000000000000001E-3</v>
      </c>
      <c r="AE137" s="688">
        <v>5.0000000000000001E-3</v>
      </c>
      <c r="AF137" s="688">
        <v>1.4999999999999999E-2</v>
      </c>
      <c r="AG137" s="688">
        <v>0.1</v>
      </c>
      <c r="AH137" s="688">
        <v>0.22500000000000001</v>
      </c>
      <c r="AI137" s="688">
        <v>4.0000000000000001E-3</v>
      </c>
      <c r="AJ137" s="1757">
        <v>1E-3</v>
      </c>
      <c r="AK137" s="6120" t="str">
        <f t="shared" si="72"/>
        <v>►</v>
      </c>
      <c r="AL137" s="781" t="str">
        <f t="shared" si="59"/>
        <v>►</v>
      </c>
      <c r="AM137" s="5499" t="str">
        <f t="shared" si="63"/>
        <v/>
      </c>
      <c r="AN137" s="783" t="str">
        <f t="shared" si="64"/>
        <v/>
      </c>
      <c r="AO137" s="782" t="str">
        <f t="shared" si="65"/>
        <v/>
      </c>
      <c r="AP137" s="783" t="str">
        <f t="shared" si="66"/>
        <v/>
      </c>
      <c r="AQ137" s="2083" t="b">
        <f>AND(Q137="A",COUNTIF(BP16:BR63,TRIM(Z137))&gt;0)</f>
        <v>0</v>
      </c>
      <c r="AR137" s="797" t="str">
        <f>IF(AL137&lt;&gt;"A","",IFERROR(IFERROR(_xlfn.XLOOKUP(TRIM(SUBSTITUTE(Z137,CHAR(160)," ")),BP16:BP63,BS16:BS63),IFERROR(_xlfn.XLOOKUP(TRIM(SUBSTITUTE(Z137,CHAR(160)," ")),BQ16:BQ63,BS16:BS63),_xlfn.XLOOKUP(TRIM(SUBSTITUTE(Z137,CHAR(160)," ")),BR16:BR63,BS16:BS63)))*Y137*IF(ISBLANK(V137),1,V137),0))</f>
        <v/>
      </c>
      <c r="AS137" s="784" t="str">
        <f t="shared" si="84"/>
        <v/>
      </c>
      <c r="AT137" s="1315" t="str">
        <f t="shared" si="67"/>
        <v/>
      </c>
      <c r="AU137" s="785">
        <f t="shared" si="68"/>
        <v>0</v>
      </c>
      <c r="AV137" s="785">
        <f t="shared" si="69"/>
        <v>0</v>
      </c>
      <c r="AW137" s="786">
        <f>IF(AK137="A",AY10,0)</f>
        <v>0</v>
      </c>
      <c r="AX137" s="5495" t="str">
        <f>IF(IFERROR(SEARCH("Adresse PC",TRIM(W137)),0)&gt;0,"▼ receta siguiente",IF(AK137="A",IF(AZ10&lt;&gt;"",AZ10&amp;" - ou.or.o ❾ + or - &gt;",""),""))</f>
        <v/>
      </c>
      <c r="AY137" s="810"/>
      <c r="AZ137" s="810"/>
      <c r="BA137" s="788" t="str">
        <f t="shared" si="56"/>
        <v/>
      </c>
      <c r="BB137" s="789" t="str">
        <f>IF(AK137="A",IF(AQ137,IF(AND(AW137&lt;&gt;"",N(AW137)&gt;0),IFERROR(IFERROR(_xlfn.XLOOKUP(AP137,BP10:BP57,BT10:BT57),IFERROR(_xlfn.XLOOKUP(AP137,BQ10:BQ57,BT10:BT57),_xlfn.XLOOKUP(AP137,BR10:BR57,BT10:BT57,""))),""),""),""),"")</f>
        <v/>
      </c>
      <c r="BC137" s="811" cm="1">
        <f t="array" ref="BC137">IF(NOT(AQ137),0,IF(OR(BA137="",N(BA137)&lt;=0.000000001),"",IF(OR(AU137="",N(AU137)&lt;=0.000000001),0,IF(ISNUMBER(BA137),IFERROR(_xlfn.LET(_xlpm.ai_test,TRIM(AP137),_xlpm.r,IFERROR(_xlfn.XLOOKUP(_xlpm.ai_test,BP16:BP63,ROW(BP16:BP63),0,1),IFERROR(_xlfn.XLOOKUP(_xlpm.ai_test,BQ16:BQ63,ROW(BQ16:BQ63),0,1),_xlfn.XLOOKUP(_xlpm.ai_test,BR16:BR63,ROW(BR16:BR63),0,1))),_xlpm.p,_xlpm.r-MIN(ROW(BP16:BP63))+1,_xlpm.f,INDEX(BS16:BS63,_xlpm.p),_xlpm.u,INDEX(BT16:BT63,_xlpm.p),_xlpm.s,INDEX(BV16:BV63,_xlpm.p),_xlpm.q,N(BA137)/_xlpm.f,IF(_xlpm.q&gt;=_xlpm.s,ROUND(_xlpm.q,1)&amp;" "&amp;_xlpm.ai_test&amp;" = "&amp;ROUND(_xlpm.q*_xlpm.f,1)&amp;" "&amp;_xlpm.u,ROUND(_xlpm.q,1)&amp;" "&amp;_xlpm.ai_test)),""),""))))</f>
        <v>0</v>
      </c>
      <c r="BD137" s="801"/>
      <c r="BE137" s="788" t="str">
        <f t="shared" si="70"/>
        <v/>
      </c>
      <c r="BF137" s="789" t="str">
        <f t="shared" si="77"/>
        <v/>
      </c>
      <c r="BG137" s="790">
        <f t="shared" si="78"/>
        <v>0</v>
      </c>
      <c r="BH137" s="791" t="str">
        <f t="shared" si="79"/>
        <v/>
      </c>
      <c r="BI137" s="792"/>
      <c r="BJ137" s="793">
        <f t="shared" si="80"/>
        <v>0</v>
      </c>
      <c r="BK137" s="794" t="str">
        <f t="shared" si="71"/>
        <v/>
      </c>
      <c r="BL137" s="227" t="s">
        <v>21</v>
      </c>
      <c r="BM137" s="773">
        <f t="shared" si="61"/>
        <v>0</v>
      </c>
      <c r="BN137" s="774">
        <f t="shared" si="62"/>
        <v>0</v>
      </c>
      <c r="BO137"/>
      <c r="BX137"/>
      <c r="BY137"/>
      <c r="BZ137"/>
      <c r="CA137"/>
      <c r="CB137"/>
      <c r="CC137"/>
      <c r="CD137" s="781" t="str">
        <f t="shared" si="85"/>
        <v>►</v>
      </c>
      <c r="CJ137" s="719"/>
      <c r="DI137" s="3">
        <v>1</v>
      </c>
    </row>
    <row r="138" spans="1:113" s="627" customFormat="1" ht="21" customHeight="1">
      <c r="A138" s="701" t="s">
        <v>21</v>
      </c>
      <c r="B138" s="2265" t="str" cm="1">
        <f t="array" ref="B138">SUMPRODUCT(--(D138:J138&lt;&gt;""), LEN(TRIM(SUBSTITUTE(D138:J138, CHAR(160), "")))) &amp; " Car."</f>
        <v>0 Car.</v>
      </c>
      <c r="C138" s="1376" t="str">
        <f>IF(ISBLANK(D138),"",LARGE(C13:C137,1)+1)</f>
        <v/>
      </c>
      <c r="D138" s="1833"/>
      <c r="E138" s="1810"/>
      <c r="F138" s="1810"/>
      <c r="G138" s="1810"/>
      <c r="H138" s="1810"/>
      <c r="I138" s="1810"/>
      <c r="J138" s="1810"/>
      <c r="K138" s="1810"/>
      <c r="L138" s="1811"/>
      <c r="M138" s="9"/>
      <c r="N138" s="25" t="str">
        <f t="shared" si="51"/>
        <v>►</v>
      </c>
      <c r="O138" s="1616"/>
      <c r="P138" s="9"/>
      <c r="Q138" s="25" t="s">
        <v>15</v>
      </c>
      <c r="R138" s="5563" t="str">
        <f t="shared" ref="R138:AJ138" si="86">SUBSTITUTE(ADDRESS(1,COLUMN(),4),"1","")</f>
        <v>R</v>
      </c>
      <c r="S138" s="5563" t="str">
        <f t="shared" si="86"/>
        <v>S</v>
      </c>
      <c r="T138" s="5563" t="str">
        <f t="shared" si="86"/>
        <v>T</v>
      </c>
      <c r="U138" s="5563" t="str">
        <f t="shared" si="86"/>
        <v>U</v>
      </c>
      <c r="V138" s="5563" t="str">
        <f t="shared" si="86"/>
        <v>V</v>
      </c>
      <c r="W138" s="5563" t="str">
        <f t="shared" si="86"/>
        <v>W</v>
      </c>
      <c r="X138" s="5563" t="str">
        <f t="shared" si="86"/>
        <v>X</v>
      </c>
      <c r="Y138" s="5563" t="str">
        <f t="shared" si="86"/>
        <v>Y</v>
      </c>
      <c r="Z138" s="5563" t="str">
        <f t="shared" si="86"/>
        <v>Z</v>
      </c>
      <c r="AA138" s="5563" t="str">
        <f t="shared" si="86"/>
        <v>AA</v>
      </c>
      <c r="AB138" s="5603" t="str">
        <f t="shared" si="86"/>
        <v>AB</v>
      </c>
      <c r="AC138" s="5563" t="str">
        <f t="shared" si="86"/>
        <v>AC</v>
      </c>
      <c r="AD138" s="5563" t="str">
        <f t="shared" si="86"/>
        <v>AD</v>
      </c>
      <c r="AE138" s="5563" t="str">
        <f t="shared" si="86"/>
        <v>AE</v>
      </c>
      <c r="AF138" s="5563" t="str">
        <f t="shared" si="86"/>
        <v>AF</v>
      </c>
      <c r="AG138" s="6003" t="str">
        <f t="shared" si="86"/>
        <v>AG</v>
      </c>
      <c r="AH138" s="5563" t="str">
        <f t="shared" si="86"/>
        <v>AH</v>
      </c>
      <c r="AI138" s="5563" t="str">
        <f t="shared" si="86"/>
        <v>AI</v>
      </c>
      <c r="AJ138" s="6002" t="str">
        <f t="shared" si="86"/>
        <v>AJ</v>
      </c>
      <c r="AK138" s="6120" t="str">
        <f t="shared" si="72"/>
        <v>►</v>
      </c>
      <c r="AL138" s="781" t="str">
        <f t="shared" si="59"/>
        <v>►</v>
      </c>
      <c r="AM138" s="5498" t="str">
        <f t="shared" si="63"/>
        <v/>
      </c>
      <c r="AN138" s="783" t="str">
        <f t="shared" si="64"/>
        <v/>
      </c>
      <c r="AO138" s="782" t="str">
        <f t="shared" si="65"/>
        <v/>
      </c>
      <c r="AP138" s="783" t="str">
        <f t="shared" si="66"/>
        <v/>
      </c>
      <c r="AQ138" s="2083" t="b">
        <f>AND(Q138="A",COUNTIF(BP16:BR63,TRIM(Z138))&gt;0)</f>
        <v>0</v>
      </c>
      <c r="AR138" s="797" t="str">
        <f>IF(AL138&lt;&gt;"A","",IFERROR(IFERROR(_xlfn.XLOOKUP(TRIM(SUBSTITUTE(Z138,CHAR(160)," ")),BP16:BP63,BS16:BS63),IFERROR(_xlfn.XLOOKUP(TRIM(SUBSTITUTE(Z138,CHAR(160)," ")),BQ16:BQ63,BS16:BS63),_xlfn.XLOOKUP(TRIM(SUBSTITUTE(Z138,CHAR(160)," ")),BR16:BR63,BS16:BS63)))*Y138*IF(ISBLANK(V138),1,V138),0))</f>
        <v/>
      </c>
      <c r="AS138" s="784" t="str">
        <f t="shared" si="84"/>
        <v/>
      </c>
      <c r="AT138" s="1315" t="str">
        <f t="shared" si="67"/>
        <v/>
      </c>
      <c r="AU138" s="785">
        <f t="shared" si="68"/>
        <v>0</v>
      </c>
      <c r="AV138" s="785">
        <f t="shared" si="69"/>
        <v>0</v>
      </c>
      <c r="AW138" s="798">
        <f>IF(AK138="A",AY10,0)</f>
        <v>0</v>
      </c>
      <c r="AX138" s="5496" t="str">
        <f>IF(IFERROR(SEARCH("Adresse PC",TRIM(W138)),0)&gt;0,"▼ receta siguiente",IF(AK138="A",IF(AZ10&lt;&gt;"",AZ10&amp;" - ou.or.o ❾ + or - &gt;",""),""))</f>
        <v/>
      </c>
      <c r="AY138" s="810"/>
      <c r="AZ138" s="810"/>
      <c r="BA138" s="799" t="str">
        <f t="shared" si="56"/>
        <v/>
      </c>
      <c r="BB138" s="800" t="str">
        <f>IF(AK138="A",IF(AQ138,IF(AND(AW138&lt;&gt;"",N(AW138)&gt;0),IFERROR(IFERROR(_xlfn.XLOOKUP(AP138,BP10:BP57,BT10:BT57),IFERROR(_xlfn.XLOOKUP(AP138,BQ10:BQ57,BT10:BT57),_xlfn.XLOOKUP(AP138,BR10:BR57,BT10:BT57,""))),""),""),""),"")</f>
        <v/>
      </c>
      <c r="BC138" s="813" cm="1">
        <f t="array" ref="BC138">IF(NOT(AQ138),0,IF(OR(BA138="",N(BA138)&lt;=0.000000001),"",IF(OR(AU138="",N(AU138)&lt;=0.000000001),0,IF(ISNUMBER(BA138),IFERROR(_xlfn.LET(_xlpm.ai_test,TRIM(AP138),_xlpm.r,IFERROR(_xlfn.XLOOKUP(_xlpm.ai_test,BP16:BP63,ROW(BP16:BP63),0,1),IFERROR(_xlfn.XLOOKUP(_xlpm.ai_test,BQ16:BQ63,ROW(BQ16:BQ63),0,1),_xlfn.XLOOKUP(_xlpm.ai_test,BR16:BR63,ROW(BR16:BR63),0,1))),_xlpm.p,_xlpm.r-MIN(ROW(BP16:BP63))+1,_xlpm.f,INDEX(BS16:BS63,_xlpm.p),_xlpm.u,INDEX(BT16:BT63,_xlpm.p),_xlpm.s,INDEX(BV16:BV63,_xlpm.p),_xlpm.q,N(BA138)/_xlpm.f,IF(_xlpm.q&gt;=_xlpm.s,ROUND(_xlpm.q,1)&amp;" "&amp;_xlpm.ai_test&amp;" = "&amp;ROUND(_xlpm.q*_xlpm.f,1)&amp;" "&amp;_xlpm.u,ROUND(_xlpm.q,1)&amp;" "&amp;_xlpm.ai_test)),""),""))))</f>
        <v>0</v>
      </c>
      <c r="BD138" s="801"/>
      <c r="BE138" s="799" t="str">
        <f t="shared" si="70"/>
        <v/>
      </c>
      <c r="BF138" s="800" t="str">
        <f t="shared" si="77"/>
        <v/>
      </c>
      <c r="BG138" s="802">
        <f t="shared" si="78"/>
        <v>0</v>
      </c>
      <c r="BH138" s="803" t="str">
        <f t="shared" si="79"/>
        <v/>
      </c>
      <c r="BI138" s="792"/>
      <c r="BJ138" s="804">
        <f t="shared" si="80"/>
        <v>0</v>
      </c>
      <c r="BK138" s="794" t="str">
        <f t="shared" si="71"/>
        <v/>
      </c>
      <c r="BL138" s="227" t="s">
        <v>21</v>
      </c>
      <c r="BM138" s="773">
        <f t="shared" si="61"/>
        <v>0</v>
      </c>
      <c r="BN138" s="774">
        <f t="shared" si="62"/>
        <v>0</v>
      </c>
      <c r="BO138"/>
      <c r="BX138"/>
      <c r="BY138"/>
      <c r="BZ138"/>
      <c r="CA138"/>
      <c r="CB138"/>
      <c r="CC138"/>
      <c r="CD138" s="781" t="str">
        <f t="shared" si="85"/>
        <v>►</v>
      </c>
      <c r="CJ138" s="719"/>
      <c r="DI138" s="3">
        <v>1</v>
      </c>
    </row>
    <row r="139" spans="1:113" s="627" customFormat="1" ht="21" customHeight="1">
      <c r="A139" s="701" t="s">
        <v>21</v>
      </c>
      <c r="B139" s="2265" t="str" cm="1">
        <f t="array" ref="B139">SUMPRODUCT(--(D139:J139&lt;&gt;""), LEN(TRIM(SUBSTITUTE(D139:J139, CHAR(160), "")))) &amp; " Car."</f>
        <v>0 Car.</v>
      </c>
      <c r="C139" s="1376" t="str">
        <f>IF(ISBLANK(D139),"",LARGE(C13:C138,1)+1)</f>
        <v/>
      </c>
      <c r="D139" s="1833"/>
      <c r="E139" s="1810"/>
      <c r="F139" s="1810"/>
      <c r="G139" s="1810"/>
      <c r="H139" s="1810"/>
      <c r="I139" s="1810"/>
      <c r="J139" s="1810"/>
      <c r="K139" s="1810"/>
      <c r="L139" s="1811"/>
      <c r="M139" s="9"/>
      <c r="N139" s="25" t="str">
        <f t="shared" si="51"/>
        <v>A</v>
      </c>
      <c r="O139" s="1616"/>
      <c r="P139" s="9"/>
      <c r="Q139" s="25" t="s">
        <v>10</v>
      </c>
      <c r="R139" s="5601">
        <f t="shared" ref="R139:AJ139" ca="1" si="87">CELL("largeur",R139)</f>
        <v>3</v>
      </c>
      <c r="S139" s="5601">
        <f t="shared" ca="1" si="87"/>
        <v>3</v>
      </c>
      <c r="T139" s="5601">
        <f t="shared" ca="1" si="87"/>
        <v>3</v>
      </c>
      <c r="U139" s="5601">
        <f t="shared" ca="1" si="87"/>
        <v>5</v>
      </c>
      <c r="V139" s="5601">
        <f t="shared" ca="1" si="87"/>
        <v>12</v>
      </c>
      <c r="W139" s="5601">
        <f t="shared" ca="1" si="87"/>
        <v>12</v>
      </c>
      <c r="X139" s="5601">
        <f t="shared" ca="1" si="87"/>
        <v>3</v>
      </c>
      <c r="Y139" s="5601">
        <f t="shared" ca="1" si="87"/>
        <v>9</v>
      </c>
      <c r="Z139" s="5601">
        <f t="shared" ca="1" si="87"/>
        <v>12</v>
      </c>
      <c r="AA139" s="5601">
        <f t="shared" ca="1" si="87"/>
        <v>13</v>
      </c>
      <c r="AB139" s="5604">
        <f t="shared" ca="1" si="87"/>
        <v>6</v>
      </c>
      <c r="AC139" s="5602">
        <f t="shared" ca="1" si="87"/>
        <v>40</v>
      </c>
      <c r="AD139" s="5602">
        <f t="shared" ca="1" si="87"/>
        <v>10</v>
      </c>
      <c r="AE139" s="5602">
        <f t="shared" ca="1" si="87"/>
        <v>9</v>
      </c>
      <c r="AF139" s="5602">
        <f t="shared" ca="1" si="87"/>
        <v>11</v>
      </c>
      <c r="AG139" s="5604">
        <f t="shared" ca="1" si="87"/>
        <v>13</v>
      </c>
      <c r="AH139" s="5602">
        <f t="shared" ca="1" si="87"/>
        <v>13</v>
      </c>
      <c r="AI139" s="5602">
        <f t="shared" ca="1" si="87"/>
        <v>13</v>
      </c>
      <c r="AJ139" s="6001">
        <f t="shared" ca="1" si="87"/>
        <v>17</v>
      </c>
      <c r="AK139" s="6120" t="str">
        <f t="shared" ca="1" si="72"/>
        <v>►</v>
      </c>
      <c r="AL139" s="781" t="str">
        <f t="shared" ca="1" si="59"/>
        <v>►</v>
      </c>
      <c r="AM139" s="5499" t="str">
        <f t="shared" ca="1" si="63"/>
        <v/>
      </c>
      <c r="AN139" s="783" t="str">
        <f t="shared" ca="1" si="64"/>
        <v/>
      </c>
      <c r="AO139" s="782" t="str">
        <f t="shared" ca="1" si="65"/>
        <v/>
      </c>
      <c r="AP139" s="783" t="str">
        <f t="shared" ca="1" si="66"/>
        <v/>
      </c>
      <c r="AQ139" s="2083" t="b">
        <f ca="1">AND(Q139="A",COUNTIF(BP16:BR63,TRIM(Z139))&gt;0)</f>
        <v>0</v>
      </c>
      <c r="AR139" s="797" t="str">
        <f ca="1">IF(AL139&lt;&gt;"A","",IFERROR(IFERROR(_xlfn.XLOOKUP(TRIM(SUBSTITUTE(Z139,CHAR(160)," ")),BP16:BP63,BS16:BS63),IFERROR(_xlfn.XLOOKUP(TRIM(SUBSTITUTE(Z139,CHAR(160)," ")),BQ16:BQ63,BS16:BS63),_xlfn.XLOOKUP(TRIM(SUBSTITUTE(Z139,CHAR(160)," ")),BR16:BR63,BS16:BS63)))*Y139*IF(ISBLANK(V139),1,V139),0))</f>
        <v/>
      </c>
      <c r="AS139" s="784" t="str">
        <f t="shared" ca="1" si="84"/>
        <v/>
      </c>
      <c r="AT139" s="1315" t="str">
        <f t="shared" ca="1" si="67"/>
        <v/>
      </c>
      <c r="AU139" s="785">
        <f t="shared" ca="1" si="68"/>
        <v>0</v>
      </c>
      <c r="AV139" s="785">
        <f t="shared" ca="1" si="69"/>
        <v>0</v>
      </c>
      <c r="AW139" s="786">
        <f ca="1">IF(AK139="A",AY10,0)</f>
        <v>0</v>
      </c>
      <c r="AX139" s="5495" t="str">
        <f ca="1">IF(IFERROR(SEARCH("Adresse PC",TRIM(W139)),0)&gt;0,"▼ receta siguiente",IF(AK139="A",IF(AZ10&lt;&gt;"",AZ10&amp;" - ou.or.o ❾ + or - &gt;",""),""))</f>
        <v/>
      </c>
      <c r="AY139" s="810"/>
      <c r="AZ139" s="810"/>
      <c r="BA139" s="788" t="str">
        <f t="shared" ca="1" si="56"/>
        <v/>
      </c>
      <c r="BB139" s="789" t="str">
        <f ca="1">IF(AK139="A",IF(AQ139,IF(AND(AW139&lt;&gt;"",N(AW139)&gt;0),IFERROR(IFERROR(_xlfn.XLOOKUP(AP139,BP10:BP57,BT10:BT57),IFERROR(_xlfn.XLOOKUP(AP139,BQ10:BQ57,BT10:BT57),_xlfn.XLOOKUP(AP139,BR10:BR57,BT10:BT57,""))),""),""),""),"")</f>
        <v/>
      </c>
      <c r="BC139" s="811" cm="1">
        <f t="array" aca="1" ref="BC139" ca="1">IF(NOT(AQ139),0,IF(OR(BA139="",N(BA139)&lt;=0.000000001),"",IF(OR(AU139="",N(AU139)&lt;=0.000000001),0,IF(ISNUMBER(BA139),IFERROR(_xlfn.LET(_xlpm.ai_test,TRIM(AP139),_xlpm.r,IFERROR(_xlfn.XLOOKUP(_xlpm.ai_test,BP16:BP63,ROW(BP16:BP63),0,1),IFERROR(_xlfn.XLOOKUP(_xlpm.ai_test,BQ16:BQ63,ROW(BQ16:BQ63),0,1),_xlfn.XLOOKUP(_xlpm.ai_test,BR16:BR63,ROW(BR16:BR63),0,1))),_xlpm.p,_xlpm.r-MIN(ROW(BP16:BP63))+1,_xlpm.f,INDEX(BS16:BS63,_xlpm.p),_xlpm.u,INDEX(BT16:BT63,_xlpm.p),_xlpm.s,INDEX(BV16:BV63,_xlpm.p),_xlpm.q,N(BA139)/_xlpm.f,IF(_xlpm.q&gt;=_xlpm.s,ROUND(_xlpm.q,1)&amp;" "&amp;_xlpm.ai_test&amp;" = "&amp;ROUND(_xlpm.q*_xlpm.f,1)&amp;" "&amp;_xlpm.u,ROUND(_xlpm.q,1)&amp;" "&amp;_xlpm.ai_test)),""),""))))</f>
        <v>0</v>
      </c>
      <c r="BD139" s="801"/>
      <c r="BE139" s="788" t="str">
        <f t="shared" ca="1" si="70"/>
        <v/>
      </c>
      <c r="BF139" s="789" t="str">
        <f t="shared" ca="1" si="77"/>
        <v/>
      </c>
      <c r="BG139" s="790">
        <f t="shared" ca="1" si="78"/>
        <v>0</v>
      </c>
      <c r="BH139" s="791" t="str">
        <f t="shared" ca="1" si="79"/>
        <v/>
      </c>
      <c r="BI139" s="792"/>
      <c r="BJ139" s="793">
        <f t="shared" ca="1" si="80"/>
        <v>0</v>
      </c>
      <c r="BK139" s="794" t="str">
        <f t="shared" ca="1" si="71"/>
        <v/>
      </c>
      <c r="BL139" s="227" t="s">
        <v>21</v>
      </c>
      <c r="BM139" s="773">
        <f t="shared" ca="1" si="61"/>
        <v>0</v>
      </c>
      <c r="BN139" s="774">
        <f t="shared" ca="1" si="62"/>
        <v>0</v>
      </c>
      <c r="BO139"/>
      <c r="BX139"/>
      <c r="BY139"/>
      <c r="BZ139"/>
      <c r="CA139"/>
      <c r="CB139"/>
      <c r="CC139"/>
      <c r="CD139" s="781" t="str">
        <f t="shared" ca="1" si="85"/>
        <v>►</v>
      </c>
      <c r="CJ139" s="719"/>
      <c r="DI139" s="3">
        <v>1</v>
      </c>
    </row>
    <row r="140" spans="1:113" s="627" customFormat="1" ht="21" customHeight="1">
      <c r="A140" s="701" t="s">
        <v>21</v>
      </c>
      <c r="B140" s="2265" t="str" cm="1">
        <f t="array" ref="B140">SUMPRODUCT(--(D140:J140&lt;&gt;""), LEN(TRIM(SUBSTITUTE(D140:J140, CHAR(160), "")))) &amp; " Car."</f>
        <v>0 Car.</v>
      </c>
      <c r="C140" s="1376" t="str">
        <f>IF(ISBLANK(D140),"",LARGE(C13:C139,1)+1)</f>
        <v/>
      </c>
      <c r="D140" s="1833"/>
      <c r="E140" s="1810"/>
      <c r="F140" s="1810"/>
      <c r="G140" s="1810"/>
      <c r="H140" s="1810"/>
      <c r="I140" s="1810"/>
      <c r="J140" s="1810"/>
      <c r="K140" s="1810"/>
      <c r="L140" s="1811"/>
      <c r="M140" s="9"/>
      <c r="N140" s="162" t="str">
        <f t="shared" si="51"/>
        <v>A</v>
      </c>
      <c r="O140" s="1616"/>
      <c r="P140" s="9"/>
      <c r="Q140" s="162" t="s">
        <v>10</v>
      </c>
      <c r="R140" s="1370" t="str">
        <f>R123</f>
        <v>C COULIS DE MANGUE | pâtisserie--ENTREMET| Auteur &gt; recette Béghin Say de Jean-Jacques Borne MOF 1994</v>
      </c>
      <c r="S140" s="1348">
        <f>S123</f>
        <v>18</v>
      </c>
      <c r="T140" s="1349" t="str">
        <f>T123</f>
        <v>desserts</v>
      </c>
      <c r="U140" s="1350" t="str">
        <f>U123</f>
        <v>Recette mère ► MILLE-FEUILLE  aux fraises des bois</v>
      </c>
      <c r="V140" s="5997" t="str">
        <f ca="1">"largeur de "&amp;AB138&amp;" à "&amp;AJ138&amp;" = "&amp;SUM(AB139:AJ139)</f>
        <v>largeur de AB à AJ = 132</v>
      </c>
      <c r="W140" s="5998"/>
      <c r="X140" s="1986"/>
      <c r="Y140" s="1986"/>
      <c r="Z140" s="1986"/>
      <c r="AA140" s="1987" t="s">
        <v>8145</v>
      </c>
      <c r="AB140" s="1988" t="s">
        <v>821</v>
      </c>
      <c r="AC140" s="1941"/>
      <c r="AD140" s="5999" t="str">
        <f ca="1">"largeur mini  = "&amp;SUM(AB139:AG139)</f>
        <v>largeur mini  = 89</v>
      </c>
      <c r="AE140" s="6000" t="str">
        <f ca="1">"largeur maxi  = "&amp;SUM(AB139:AJ139)</f>
        <v>largeur maxi  = 132</v>
      </c>
      <c r="AF140" s="1942"/>
      <c r="AG140" s="1942"/>
      <c r="AH140" s="1989"/>
      <c r="AI140" s="1989"/>
      <c r="AJ140" s="1990" t="s">
        <v>218</v>
      </c>
      <c r="AK140" s="6120" t="str">
        <f t="shared" si="72"/>
        <v>►</v>
      </c>
      <c r="AL140" s="781" t="str">
        <f t="shared" si="59"/>
        <v>►</v>
      </c>
      <c r="AM140" s="5498" t="str">
        <f t="shared" si="63"/>
        <v/>
      </c>
      <c r="AN140" s="783" t="str">
        <f t="shared" si="64"/>
        <v/>
      </c>
      <c r="AO140" s="782" t="str">
        <f t="shared" si="65"/>
        <v/>
      </c>
      <c r="AP140" s="783" t="str">
        <f t="shared" si="66"/>
        <v/>
      </c>
      <c r="AQ140" s="2083" t="b">
        <f>AND(Q140="A",COUNTIF(BP16:BR63,TRIM(Z140))&gt;0)</f>
        <v>0</v>
      </c>
      <c r="AR140" s="797" t="str">
        <f>IF(AL140&lt;&gt;"A","",IFERROR(IFERROR(_xlfn.XLOOKUP(TRIM(SUBSTITUTE(Z140,CHAR(160)," ")),BP16:BP63,BS16:BS63),IFERROR(_xlfn.XLOOKUP(TRIM(SUBSTITUTE(Z140,CHAR(160)," ")),BQ16:BQ63,BS16:BS63),_xlfn.XLOOKUP(TRIM(SUBSTITUTE(Z140,CHAR(160)," ")),BR16:BR63,BS16:BS63)))*Y140*IF(ISBLANK(V140),1,V140),0))</f>
        <v/>
      </c>
      <c r="AS140" s="784" t="str">
        <f t="shared" si="84"/>
        <v/>
      </c>
      <c r="AT140" s="1315" t="str">
        <f t="shared" si="67"/>
        <v/>
      </c>
      <c r="AU140" s="785">
        <f t="shared" si="68"/>
        <v>0</v>
      </c>
      <c r="AV140" s="785">
        <f t="shared" si="69"/>
        <v>0</v>
      </c>
      <c r="AW140" s="798">
        <f>IF(AK140="A",AY10,0)</f>
        <v>0</v>
      </c>
      <c r="AX140" s="5496" t="str">
        <f>IF(IFERROR(SEARCH("Adresse PC",TRIM(W140)),0)&gt;0,"▼ receta siguiente",IF(AK140="A",IF(AZ10&lt;&gt;"",AZ10&amp;" - ou.or.o ❾ + or - &gt;",""),""))</f>
        <v/>
      </c>
      <c r="AY140" s="810"/>
      <c r="AZ140" s="810"/>
      <c r="BA140" s="799" t="str">
        <f t="shared" si="56"/>
        <v/>
      </c>
      <c r="BB140" s="800" t="str">
        <f>IF(AK140="A",IF(AQ140,IF(AND(AW140&lt;&gt;"",N(AW140)&gt;0),IFERROR(IFERROR(_xlfn.XLOOKUP(AP140,BP10:BP57,BT10:BT57),IFERROR(_xlfn.XLOOKUP(AP140,BQ10:BQ57,BT10:BT57),_xlfn.XLOOKUP(AP140,BR10:BR57,BT10:BT57,""))),""),""),""),"")</f>
        <v/>
      </c>
      <c r="BC140" s="813" cm="1">
        <f t="array" ref="BC140">IF(NOT(AQ140),0,IF(OR(BA140="",N(BA140)&lt;=0.000000001),"",IF(OR(AU140="",N(AU140)&lt;=0.000000001),0,IF(ISNUMBER(BA140),IFERROR(_xlfn.LET(_xlpm.ai_test,TRIM(AP140),_xlpm.r,IFERROR(_xlfn.XLOOKUP(_xlpm.ai_test,BP16:BP63,ROW(BP16:BP63),0,1),IFERROR(_xlfn.XLOOKUP(_xlpm.ai_test,BQ16:BQ63,ROW(BQ16:BQ63),0,1),_xlfn.XLOOKUP(_xlpm.ai_test,BR16:BR63,ROW(BR16:BR63),0,1))),_xlpm.p,_xlpm.r-MIN(ROW(BP16:BP63))+1,_xlpm.f,INDEX(BS16:BS63,_xlpm.p),_xlpm.u,INDEX(BT16:BT63,_xlpm.p),_xlpm.s,INDEX(BV16:BV63,_xlpm.p),_xlpm.q,N(BA140)/_xlpm.f,IF(_xlpm.q&gt;=_xlpm.s,ROUND(_xlpm.q,1)&amp;" "&amp;_xlpm.ai_test&amp;" = "&amp;ROUND(_xlpm.q*_xlpm.f,1)&amp;" "&amp;_xlpm.u,ROUND(_xlpm.q,1)&amp;" "&amp;_xlpm.ai_test)),""),""))))</f>
        <v>0</v>
      </c>
      <c r="BD140" s="801"/>
      <c r="BE140" s="799" t="str">
        <f t="shared" si="70"/>
        <v/>
      </c>
      <c r="BF140" s="800" t="str">
        <f t="shared" si="77"/>
        <v/>
      </c>
      <c r="BG140" s="802">
        <f t="shared" ca="1" si="78"/>
        <v>0</v>
      </c>
      <c r="BH140" s="803" t="str">
        <f t="shared" ca="1" si="79"/>
        <v/>
      </c>
      <c r="BI140" s="792"/>
      <c r="BJ140" s="804">
        <f t="shared" ca="1" si="80"/>
        <v>0</v>
      </c>
      <c r="BK140" s="794" t="str">
        <f t="shared" si="71"/>
        <v/>
      </c>
      <c r="BL140" s="227" t="s">
        <v>21</v>
      </c>
      <c r="BM140" s="773">
        <f t="shared" ca="1" si="61"/>
        <v>0</v>
      </c>
      <c r="BN140" s="774">
        <f t="shared" si="62"/>
        <v>0</v>
      </c>
      <c r="BO140"/>
      <c r="BX140"/>
      <c r="BY140"/>
      <c r="BZ140"/>
      <c r="CA140"/>
      <c r="CB140"/>
      <c r="CC140"/>
      <c r="CD140" s="781" t="str">
        <f t="shared" si="85"/>
        <v>►</v>
      </c>
      <c r="CJ140" s="633"/>
      <c r="DI140" s="3">
        <v>1</v>
      </c>
    </row>
    <row r="141" spans="1:113" s="627" customFormat="1" ht="21" customHeight="1">
      <c r="A141" s="701" t="s">
        <v>21</v>
      </c>
      <c r="B141" s="2265" t="str" cm="1">
        <f t="array" ref="B141">SUMPRODUCT(--(D141:J141&lt;&gt;""), LEN(TRIM(SUBSTITUTE(D141:J141, CHAR(160), "")))) &amp; " Car."</f>
        <v>0 Car.</v>
      </c>
      <c r="C141" s="1376" t="str">
        <f>IF(ISBLANK(D141),"",LARGE(C13:C140,1)+1)</f>
        <v/>
      </c>
      <c r="D141" s="1833"/>
      <c r="E141" s="1810"/>
      <c r="F141" s="1810"/>
      <c r="G141" s="1810"/>
      <c r="H141" s="1810"/>
      <c r="I141" s="1810"/>
      <c r="J141" s="1810"/>
      <c r="K141" s="1810"/>
      <c r="L141" s="1811"/>
      <c r="M141" s="9"/>
      <c r="N141" s="162" t="str">
        <f t="shared" si="51"/>
        <v>A</v>
      </c>
      <c r="O141" s="1616"/>
      <c r="P141" s="9"/>
      <c r="Q141" s="162" t="s">
        <v>10</v>
      </c>
      <c r="R141" s="163" t="str">
        <f>R123</f>
        <v>C COULIS DE MANGUE | pâtisserie--ENTREMET| Auteur &gt; recette Béghin Say de Jean-Jacques Borne MOF 1994</v>
      </c>
      <c r="S141" s="163">
        <f>S123</f>
        <v>18</v>
      </c>
      <c r="T141" s="164" t="str">
        <f>T123</f>
        <v>desserts</v>
      </c>
      <c r="U141" s="165" t="str">
        <f>U123</f>
        <v>Recette mère ► MILLE-FEUILLE  aux fraises des bois</v>
      </c>
      <c r="V141" s="508"/>
      <c r="W141" s="508"/>
      <c r="X141" s="2063"/>
      <c r="Y141" s="2127" t="s">
        <v>8860</v>
      </c>
      <c r="Z141" s="2065">
        <f ca="1">SUM(AB139:AJ139)</f>
        <v>132</v>
      </c>
      <c r="AA141" s="1374">
        <v>0</v>
      </c>
      <c r="AB141" s="1375" t="s">
        <v>8146</v>
      </c>
      <c r="AC141" s="1810"/>
      <c r="AD141" s="1810"/>
      <c r="AE141" s="1810"/>
      <c r="AF141" s="1810"/>
      <c r="AG141" s="1810"/>
      <c r="AH141" s="9"/>
      <c r="AI141" s="5993" t="s">
        <v>164</v>
      </c>
      <c r="AJ141" s="1330" t="s">
        <v>165</v>
      </c>
      <c r="AK141" s="6120" t="str">
        <f t="shared" si="72"/>
        <v>►</v>
      </c>
      <c r="AL141" s="781" t="str">
        <f t="shared" si="59"/>
        <v>►</v>
      </c>
      <c r="AM141" s="5499" t="str">
        <f t="shared" si="63"/>
        <v/>
      </c>
      <c r="AN141" s="783" t="str">
        <f t="shared" si="64"/>
        <v/>
      </c>
      <c r="AO141" s="782" t="str">
        <f t="shared" si="65"/>
        <v/>
      </c>
      <c r="AP141" s="783" t="str">
        <f t="shared" si="66"/>
        <v/>
      </c>
      <c r="AQ141" s="2083" t="b">
        <f ca="1">AND(Q141="A",COUNTIF(BP16:BR63,TRIM(Z141))&gt;0)</f>
        <v>0</v>
      </c>
      <c r="AR141" s="797" t="str">
        <f>IF(AL141&lt;&gt;"A","",IFERROR(IFERROR(_xlfn.XLOOKUP(TRIM(SUBSTITUTE(Z141,CHAR(160)," ")),BP16:BP63,BS16:BS63),IFERROR(_xlfn.XLOOKUP(TRIM(SUBSTITUTE(Z141,CHAR(160)," ")),BQ16:BQ63,BS16:BS63),_xlfn.XLOOKUP(TRIM(SUBSTITUTE(Z141,CHAR(160)," ")),BR16:BR63,BS16:BS63)))*Y141*IF(ISBLANK(V141),1,V141),0))</f>
        <v/>
      </c>
      <c r="AS141" s="784" t="str">
        <f t="shared" si="84"/>
        <v/>
      </c>
      <c r="AT141" s="1315" t="str">
        <f t="shared" si="67"/>
        <v/>
      </c>
      <c r="AU141" s="785">
        <f t="shared" si="68"/>
        <v>0</v>
      </c>
      <c r="AV141" s="785">
        <f t="shared" si="69"/>
        <v>0</v>
      </c>
      <c r="AW141" s="786">
        <f>IF(AK141="A",AY10,0)</f>
        <v>0</v>
      </c>
      <c r="AX141" s="5495" t="str">
        <f>IF(IFERROR(SEARCH("Adresse PC",TRIM(W141)),0)&gt;0,"▼ receta siguiente",IF(AK141="A",IF(AZ10&lt;&gt;"",AZ10&amp;" - ou.or.o ❾ + or - &gt;",""),""))</f>
        <v/>
      </c>
      <c r="AY141" s="810"/>
      <c r="AZ141" s="810"/>
      <c r="BA141" s="788" t="str">
        <f t="shared" si="56"/>
        <v/>
      </c>
      <c r="BB141" s="789" t="str">
        <f>IF(AK141="A",IF(AQ141,IF(AND(AW141&lt;&gt;"",N(AW141)&gt;0),IFERROR(IFERROR(_xlfn.XLOOKUP(AP141,BP10:BP57,BT10:BT57),IFERROR(_xlfn.XLOOKUP(AP141,BQ10:BQ57,BT10:BT57),_xlfn.XLOOKUP(AP141,BR10:BR57,BT10:BT57,""))),""),""),""),"")</f>
        <v/>
      </c>
      <c r="BC141" s="811" cm="1">
        <f t="array" aca="1" ref="BC141" ca="1">IF(NOT(AQ141),0,IF(OR(BA141="",N(BA141)&lt;=0.000000001),"",IF(OR(AU141="",N(AU141)&lt;=0.000000001),0,IF(ISNUMBER(BA141),IFERROR(_xlfn.LET(_xlpm.ai_test,TRIM(AP141),_xlpm.r,IFERROR(_xlfn.XLOOKUP(_xlpm.ai_test,BP16:BP63,ROW(BP16:BP63),0,1),IFERROR(_xlfn.XLOOKUP(_xlpm.ai_test,BQ16:BQ63,ROW(BQ16:BQ63),0,1),_xlfn.XLOOKUP(_xlpm.ai_test,BR16:BR63,ROW(BR16:BR63),0,1))),_xlpm.p,_xlpm.r-MIN(ROW(BP16:BP63))+1,_xlpm.f,INDEX(BS16:BS63,_xlpm.p),_xlpm.u,INDEX(BT16:BT63,_xlpm.p),_xlpm.s,INDEX(BV16:BV63,_xlpm.p),_xlpm.q,N(BA141)/_xlpm.f,IF(_xlpm.q&gt;=_xlpm.s,ROUND(_xlpm.q,1)&amp;" "&amp;_xlpm.ai_test&amp;" = "&amp;ROUND(_xlpm.q*_xlpm.f,1)&amp;" "&amp;_xlpm.u,ROUND(_xlpm.q,1)&amp;" "&amp;_xlpm.ai_test)),""),""))))</f>
        <v>0</v>
      </c>
      <c r="BD141" s="801"/>
      <c r="BE141" s="788" t="str">
        <f t="shared" si="70"/>
        <v/>
      </c>
      <c r="BF141" s="789" t="str">
        <f t="shared" ca="1" si="77"/>
        <v/>
      </c>
      <c r="BG141" s="790">
        <f t="shared" si="78"/>
        <v>0</v>
      </c>
      <c r="BH141" s="791" t="str">
        <f t="shared" ca="1" si="79"/>
        <v/>
      </c>
      <c r="BI141" s="792"/>
      <c r="BJ141" s="793">
        <f t="shared" si="80"/>
        <v>0</v>
      </c>
      <c r="BK141" s="794" t="str">
        <f t="shared" si="71"/>
        <v/>
      </c>
      <c r="BL141" s="227" t="s">
        <v>21</v>
      </c>
      <c r="BM141" s="773">
        <f t="shared" si="61"/>
        <v>0</v>
      </c>
      <c r="BN141" s="774">
        <f t="shared" si="62"/>
        <v>0</v>
      </c>
      <c r="BO141"/>
      <c r="BX141"/>
      <c r="BY141"/>
      <c r="BZ141"/>
      <c r="CA141"/>
      <c r="CB141"/>
      <c r="CC141"/>
      <c r="CD141" s="781" t="str">
        <f t="shared" si="85"/>
        <v>►</v>
      </c>
      <c r="CJ141" s="633"/>
      <c r="DI141" s="3">
        <v>1</v>
      </c>
    </row>
    <row r="142" spans="1:113" s="627" customFormat="1" ht="21" customHeight="1">
      <c r="A142" s="701" t="s">
        <v>21</v>
      </c>
      <c r="B142" s="2265" t="str" cm="1">
        <f t="array" ref="B142">SUMPRODUCT(--(D142:J142&lt;&gt;""), LEN(TRIM(SUBSTITUTE(D142:J142, CHAR(160), "")))) &amp; " Car."</f>
        <v>0 Car.</v>
      </c>
      <c r="C142" s="1376" t="str">
        <f>IF(ISBLANK(D142),"",LARGE(C13:C141,1)+1)</f>
        <v/>
      </c>
      <c r="D142" s="1833"/>
      <c r="E142" s="1810"/>
      <c r="F142" s="1810"/>
      <c r="G142" s="1810"/>
      <c r="H142" s="1810"/>
      <c r="I142" s="1810"/>
      <c r="J142" s="1810"/>
      <c r="K142" s="1810"/>
      <c r="L142" s="1811"/>
      <c r="M142" s="9"/>
      <c r="N142" s="162" t="str">
        <f t="shared" ref="N142:N205" si="88">Q142</f>
        <v>A</v>
      </c>
      <c r="O142" s="1616"/>
      <c r="P142" s="9"/>
      <c r="Q142" s="162" t="s">
        <v>10</v>
      </c>
      <c r="R142" s="163" t="str">
        <f>R123</f>
        <v>C COULIS DE MANGUE | pâtisserie--ENTREMET| Auteur &gt; recette Béghin Say de Jean-Jacques Borne MOF 1994</v>
      </c>
      <c r="S142" s="163">
        <f>S123</f>
        <v>18</v>
      </c>
      <c r="T142" s="164" t="str">
        <f>T123</f>
        <v>desserts</v>
      </c>
      <c r="U142" s="165" t="str">
        <f>U123</f>
        <v>Recette mère ► MILLE-FEUILLE  aux fraises des bois</v>
      </c>
      <c r="V142" s="1548"/>
      <c r="W142" s="2189" t="s">
        <v>8771</v>
      </c>
      <c r="X142" s="2190">
        <f>ROWS(AB142:AB142)</f>
        <v>1</v>
      </c>
      <c r="Y142" s="5549" t="str" cm="1">
        <f t="array" ref="Y142">IF(SUMPRODUCT((AB142:AG142&lt;&gt;"")*1)=0,"",SUMPRODUCT((AB142:AG142&lt;&gt;"")*(LEN(TRIM(SUBSTITUTE(AB142:AG142,CHAR(160)," "))) - LEN(SUBSTITUTE(TRIM(SUBSTITUTE(AB142:AG142,CHAR(160)," "))," ","")) + 1)) &amp; " mot" &amp; IF(SUMPRODUCT((AB142:AG142&lt;&gt;"")*(LEN(TRIM(SUBSTITUTE(AB142:AG142,CHAR(160)," "))) - LEN(SUBSTITUTE(TRIM(SUBSTITUTE(AB142:AG142,CHAR(160)," "))," ","")) + 1))&gt;1,"s",""))</f>
        <v>8 mots</v>
      </c>
      <c r="Z142" s="5550" t="str" cm="1">
        <f t="array" ref="Z142">SUMPRODUCT(--(AB142:AG142&lt;&gt;""), LEN(TRIM(SUBSTITUTE(AB142:AG142, CHAR(160), "")))) &amp; " Car."</f>
        <v>45 Car.</v>
      </c>
      <c r="AA142" s="1376">
        <f>IF(ISBLANK(AB142),"",LARGE(AA141:AA141,1)+1)</f>
        <v>1</v>
      </c>
      <c r="AB142" s="1810" t="s">
        <v>3066</v>
      </c>
      <c r="AC142" s="1810"/>
      <c r="AD142" s="1810"/>
      <c r="AE142" s="1810"/>
      <c r="AF142" s="1810"/>
      <c r="AG142" s="1810"/>
      <c r="AH142" s="9"/>
      <c r="AI142" s="5993" t="s">
        <v>167</v>
      </c>
      <c r="AJ142" s="1330" t="s">
        <v>165</v>
      </c>
      <c r="AK142" s="6120" t="str">
        <f t="shared" si="72"/>
        <v>►</v>
      </c>
      <c r="AL142" s="781" t="str">
        <f t="shared" si="59"/>
        <v>►</v>
      </c>
      <c r="AM142" s="5498" t="str">
        <f t="shared" si="63"/>
        <v/>
      </c>
      <c r="AN142" s="783" t="str">
        <f t="shared" si="64"/>
        <v/>
      </c>
      <c r="AO142" s="782" t="str">
        <f t="shared" si="65"/>
        <v/>
      </c>
      <c r="AP142" s="783" t="str">
        <f t="shared" si="66"/>
        <v/>
      </c>
      <c r="AQ142" s="2083" t="b">
        <f>AND(Q142="A",COUNTIF(BP16:BR63,TRIM(Z142))&gt;0)</f>
        <v>0</v>
      </c>
      <c r="AR142" s="797" t="str">
        <f>IF(AL142&lt;&gt;"A","",IFERROR(IFERROR(_xlfn.XLOOKUP(TRIM(SUBSTITUTE(Z142,CHAR(160)," ")),BP16:BP63,BS16:BS63),IFERROR(_xlfn.XLOOKUP(TRIM(SUBSTITUTE(Z142,CHAR(160)," ")),BQ16:BQ63,BS16:BS63),_xlfn.XLOOKUP(TRIM(SUBSTITUTE(Z142,CHAR(160)," ")),BR16:BR63,BS16:BS63)))*Y142*IF(ISBLANK(V142),1,V142),0))</f>
        <v/>
      </c>
      <c r="AS142" s="784" t="str">
        <f t="shared" si="84"/>
        <v/>
      </c>
      <c r="AT142" s="1315" t="str">
        <f t="shared" si="67"/>
        <v/>
      </c>
      <c r="AU142" s="785">
        <f t="shared" si="68"/>
        <v>0</v>
      </c>
      <c r="AV142" s="785">
        <f t="shared" si="69"/>
        <v>0</v>
      </c>
      <c r="AW142" s="798">
        <f>IF(AK142="A",AY10,0)</f>
        <v>0</v>
      </c>
      <c r="AX142" s="5496" t="str">
        <f>IF(IFERROR(SEARCH("Adresse PC",TRIM(W142)),0)&gt;0,"▼ receta siguiente",IF(AK142="A",IF(AZ10&lt;&gt;"",AZ10&amp;" - ou.or.o ❾ + or - &gt;",""),""))</f>
        <v/>
      </c>
      <c r="AY142" s="810"/>
      <c r="AZ142" s="810"/>
      <c r="BA142" s="799" t="str">
        <f t="shared" si="56"/>
        <v/>
      </c>
      <c r="BB142" s="800" t="str">
        <f>IF(AK142="A",IF(AQ142,IF(AND(AW142&lt;&gt;"",N(AW142)&gt;0),IFERROR(IFERROR(_xlfn.XLOOKUP(AP142,BP10:BP57,BT10:BT57),IFERROR(_xlfn.XLOOKUP(AP142,BQ10:BQ57,BT10:BT57),_xlfn.XLOOKUP(AP142,BR10:BR57,BT10:BT57,""))),""),""),""),"")</f>
        <v/>
      </c>
      <c r="BC142" s="813" cm="1">
        <f t="array" ref="BC142">IF(NOT(AQ142),0,IF(OR(BA142="",N(BA142)&lt;=0.000000001),"",IF(OR(AU142="",N(AU142)&lt;=0.000000001),0,IF(ISNUMBER(BA142),IFERROR(_xlfn.LET(_xlpm.ai_test,TRIM(AP142),_xlpm.r,IFERROR(_xlfn.XLOOKUP(_xlpm.ai_test,BP16:BP63,ROW(BP16:BP63),0,1),IFERROR(_xlfn.XLOOKUP(_xlpm.ai_test,BQ16:BQ63,ROW(BQ16:BQ63),0,1),_xlfn.XLOOKUP(_xlpm.ai_test,BR16:BR63,ROW(BR16:BR63),0,1))),_xlpm.p,_xlpm.r-MIN(ROW(BP16:BP63))+1,_xlpm.f,INDEX(BS16:BS63,_xlpm.p),_xlpm.u,INDEX(BT16:BT63,_xlpm.p),_xlpm.s,INDEX(BV16:BV63,_xlpm.p),_xlpm.q,N(BA142)/_xlpm.f,IF(_xlpm.q&gt;=_xlpm.s,ROUND(_xlpm.q,1)&amp;" "&amp;_xlpm.ai_test&amp;" = "&amp;ROUND(_xlpm.q*_xlpm.f,1)&amp;" "&amp;_xlpm.u,ROUND(_xlpm.q,1)&amp;" "&amp;_xlpm.ai_test)),""),""))))</f>
        <v>0</v>
      </c>
      <c r="BD142" s="801"/>
      <c r="BE142" s="799" t="str">
        <f t="shared" si="70"/>
        <v/>
      </c>
      <c r="BF142" s="800" t="str">
        <f t="shared" si="77"/>
        <v/>
      </c>
      <c r="BG142" s="802">
        <f t="shared" si="78"/>
        <v>0</v>
      </c>
      <c r="BH142" s="803" t="str">
        <f t="shared" si="79"/>
        <v/>
      </c>
      <c r="BI142" s="792"/>
      <c r="BJ142" s="804">
        <f t="shared" si="80"/>
        <v>0</v>
      </c>
      <c r="BK142" s="794" t="str">
        <f t="shared" si="71"/>
        <v/>
      </c>
      <c r="BL142" s="227" t="s">
        <v>21</v>
      </c>
      <c r="BM142" s="773">
        <f t="shared" si="61"/>
        <v>0</v>
      </c>
      <c r="BN142" s="774">
        <f t="shared" si="62"/>
        <v>0</v>
      </c>
      <c r="BO142"/>
      <c r="BX142"/>
      <c r="BY142"/>
      <c r="BZ142"/>
      <c r="CA142"/>
      <c r="CB142"/>
      <c r="CC142"/>
      <c r="CD142" s="781" t="str">
        <f t="shared" si="85"/>
        <v>►</v>
      </c>
      <c r="CJ142" s="633"/>
      <c r="DI142" s="3">
        <v>1</v>
      </c>
    </row>
    <row r="143" spans="1:113" s="627" customFormat="1" ht="21" customHeight="1">
      <c r="A143" s="701" t="s">
        <v>21</v>
      </c>
      <c r="B143" s="2265" t="str" cm="1">
        <f t="array" ref="B143">SUMPRODUCT(--(D143:J143&lt;&gt;""), LEN(TRIM(SUBSTITUTE(D143:J143, CHAR(160), "")))) &amp; " Car."</f>
        <v>0 Car.</v>
      </c>
      <c r="C143" s="1376" t="str">
        <f>IF(ISBLANK(D143),"",LARGE(C13:C142,1)+1)</f>
        <v/>
      </c>
      <c r="D143" s="1833"/>
      <c r="E143" s="1810"/>
      <c r="F143" s="1810"/>
      <c r="G143" s="1810"/>
      <c r="H143" s="1810"/>
      <c r="I143" s="1810"/>
      <c r="J143" s="1810"/>
      <c r="K143" s="1810"/>
      <c r="L143" s="1811"/>
      <c r="M143" s="9"/>
      <c r="N143" s="162" t="str">
        <f t="shared" si="88"/>
        <v>A</v>
      </c>
      <c r="O143" s="1616"/>
      <c r="P143" s="9"/>
      <c r="Q143" s="162" t="s">
        <v>10</v>
      </c>
      <c r="R143" s="163" t="str">
        <f>R123</f>
        <v>C COULIS DE MANGUE | pâtisserie--ENTREMET| Auteur &gt; recette Béghin Say de Jean-Jacques Borne MOF 1994</v>
      </c>
      <c r="S143" s="163">
        <f>S123</f>
        <v>18</v>
      </c>
      <c r="T143" s="164" t="str">
        <f>T123</f>
        <v>desserts</v>
      </c>
      <c r="U143" s="165" t="str">
        <f>U123</f>
        <v>Recette mère ► MILLE-FEUILLE  aux fraises des bois</v>
      </c>
      <c r="V143" s="1548"/>
      <c r="W143" s="1548"/>
      <c r="X143" s="2190">
        <f>ROWS(AB142:AB143)</f>
        <v>2</v>
      </c>
      <c r="Y143" s="5549" t="str" cm="1">
        <f t="array" ref="Y143">IF(SUMPRODUCT((AB143:AG143&lt;&gt;"")*1)=0,"",SUMPRODUCT((AB143:AG143&lt;&gt;"")*(LEN(TRIM(SUBSTITUTE(AB143:AG143,CHAR(160)," "))) - LEN(SUBSTITUTE(TRIM(SUBSTITUTE(AB143:AG143,CHAR(160)," "))," ","")) + 1)) &amp; " mot" &amp; IF(SUMPRODUCT((AB143:AG143&lt;&gt;"")*(LEN(TRIM(SUBSTITUTE(AB143:AG143,CHAR(160)," "))) - LEN(SUBSTITUTE(TRIM(SUBSTITUTE(AB143:AG143,CHAR(160)," "))," ","")) + 1))&gt;1,"s",""))</f>
        <v>10 mots</v>
      </c>
      <c r="Z143" s="5550" t="str" cm="1">
        <f t="array" ref="Z143">SUMPRODUCT(--(AB143:AG143&lt;&gt;""), LEN(TRIM(SUBSTITUTE(AB143:AG143, CHAR(160), "")))) &amp; " Car."</f>
        <v>52 Car.</v>
      </c>
      <c r="AA143" s="1376">
        <f>IF(ISBLANK(AB143),"",LARGE(AA141:AA142,1)+1)</f>
        <v>2</v>
      </c>
      <c r="AB143" s="1810" t="s">
        <v>3067</v>
      </c>
      <c r="AC143" s="1810"/>
      <c r="AD143" s="1810"/>
      <c r="AE143" s="1810"/>
      <c r="AF143" s="1810"/>
      <c r="AG143" s="1810"/>
      <c r="AH143" s="1810"/>
      <c r="AI143" s="5994" t="s">
        <v>171</v>
      </c>
      <c r="AJ143" s="5564">
        <v>3.472222222222222E-3</v>
      </c>
      <c r="AK143" s="6120" t="str">
        <f t="shared" si="72"/>
        <v>►</v>
      </c>
      <c r="AL143" s="781" t="str">
        <f t="shared" si="59"/>
        <v>►</v>
      </c>
      <c r="AM143" s="5499" t="str">
        <f t="shared" si="63"/>
        <v/>
      </c>
      <c r="AN143" s="783" t="str">
        <f t="shared" si="64"/>
        <v/>
      </c>
      <c r="AO143" s="782" t="str">
        <f t="shared" si="65"/>
        <v/>
      </c>
      <c r="AP143" s="783" t="str">
        <f t="shared" si="66"/>
        <v/>
      </c>
      <c r="AQ143" s="2083" t="b">
        <f>AND(Q143="A",COUNTIF(BP16:BR63,TRIM(Z143))&gt;0)</f>
        <v>0</v>
      </c>
      <c r="AR143" s="797" t="str">
        <f>IF(AL143&lt;&gt;"A","",IFERROR(IFERROR(_xlfn.XLOOKUP(TRIM(SUBSTITUTE(Z143,CHAR(160)," ")),BP16:BP63,BS16:BS63),IFERROR(_xlfn.XLOOKUP(TRIM(SUBSTITUTE(Z143,CHAR(160)," ")),BQ16:BQ63,BS16:BS63),_xlfn.XLOOKUP(TRIM(SUBSTITUTE(Z143,CHAR(160)," ")),BR16:BR63,BS16:BS63)))*Y143*IF(ISBLANK(V143),1,V143),0))</f>
        <v/>
      </c>
      <c r="AS143" s="784" t="str">
        <f t="shared" si="84"/>
        <v/>
      </c>
      <c r="AT143" s="1315" t="str">
        <f t="shared" si="67"/>
        <v/>
      </c>
      <c r="AU143" s="785">
        <f t="shared" si="68"/>
        <v>0</v>
      </c>
      <c r="AV143" s="785">
        <f t="shared" si="69"/>
        <v>0</v>
      </c>
      <c r="AW143" s="786">
        <f>IF(AK143="A",AY10,0)</f>
        <v>0</v>
      </c>
      <c r="AX143" s="5495" t="str">
        <f>IF(IFERROR(SEARCH("Adresse PC",TRIM(W143)),0)&gt;0,"▼ receta siguiente",IF(AK143="A",IF(AZ10&lt;&gt;"",AZ10&amp;" - ou.or.o ❾ + or - &gt;",""),""))</f>
        <v/>
      </c>
      <c r="AY143" s="810"/>
      <c r="AZ143" s="810"/>
      <c r="BA143" s="788" t="str">
        <f t="shared" si="56"/>
        <v/>
      </c>
      <c r="BB143" s="789" t="str">
        <f>IF(AK143="A",IF(AQ143,IF(AND(AW143&lt;&gt;"",N(AW143)&gt;0),IFERROR(IFERROR(_xlfn.XLOOKUP(AP143,BP10:BP57,BT10:BT57),IFERROR(_xlfn.XLOOKUP(AP143,BQ10:BQ57,BT10:BT57),_xlfn.XLOOKUP(AP143,BR10:BR57,BT10:BT57,""))),""),""),""),"")</f>
        <v/>
      </c>
      <c r="BC143" s="811" cm="1">
        <f t="array" ref="BC143">IF(NOT(AQ143),0,IF(OR(BA143="",N(BA143)&lt;=0.000000001),"",IF(OR(AU143="",N(AU143)&lt;=0.000000001),0,IF(ISNUMBER(BA143),IFERROR(_xlfn.LET(_xlpm.ai_test,TRIM(AP143),_xlpm.r,IFERROR(_xlfn.XLOOKUP(_xlpm.ai_test,BP16:BP63,ROW(BP16:BP63),0,1),IFERROR(_xlfn.XLOOKUP(_xlpm.ai_test,BQ16:BQ63,ROW(BQ16:BQ63),0,1),_xlfn.XLOOKUP(_xlpm.ai_test,BR16:BR63,ROW(BR16:BR63),0,1))),_xlpm.p,_xlpm.r-MIN(ROW(BP16:BP63))+1,_xlpm.f,INDEX(BS16:BS63,_xlpm.p),_xlpm.u,INDEX(BT16:BT63,_xlpm.p),_xlpm.s,INDEX(BV16:BV63,_xlpm.p),_xlpm.q,N(BA143)/_xlpm.f,IF(_xlpm.q&gt;=_xlpm.s,ROUND(_xlpm.q,1)&amp;" "&amp;_xlpm.ai_test&amp;" = "&amp;ROUND(_xlpm.q*_xlpm.f,1)&amp;" "&amp;_xlpm.u,ROUND(_xlpm.q,1)&amp;" "&amp;_xlpm.ai_test)),""),""))))</f>
        <v>0</v>
      </c>
      <c r="BD143" s="801"/>
      <c r="BE143" s="788" t="str">
        <f t="shared" si="70"/>
        <v/>
      </c>
      <c r="BF143" s="789" t="str">
        <f t="shared" si="77"/>
        <v/>
      </c>
      <c r="BG143" s="790">
        <f t="shared" si="78"/>
        <v>0</v>
      </c>
      <c r="BH143" s="791" t="str">
        <f t="shared" si="79"/>
        <v/>
      </c>
      <c r="BI143" s="792"/>
      <c r="BJ143" s="793">
        <f t="shared" si="80"/>
        <v>0</v>
      </c>
      <c r="BK143" s="794" t="str">
        <f t="shared" si="71"/>
        <v/>
      </c>
      <c r="BL143" s="227" t="s">
        <v>21</v>
      </c>
      <c r="BM143" s="773">
        <f t="shared" si="61"/>
        <v>0</v>
      </c>
      <c r="BN143" s="774">
        <f t="shared" si="62"/>
        <v>0</v>
      </c>
      <c r="BO143"/>
      <c r="BX143"/>
      <c r="BY143"/>
      <c r="BZ143"/>
      <c r="CA143"/>
      <c r="CB143"/>
      <c r="CC143"/>
      <c r="CD143" s="781" t="str">
        <f t="shared" si="85"/>
        <v>►</v>
      </c>
      <c r="CJ143" s="633"/>
      <c r="DI143" s="3">
        <v>1</v>
      </c>
    </row>
    <row r="144" spans="1:113" s="627" customFormat="1" ht="21" customHeight="1">
      <c r="A144" s="701" t="s">
        <v>21</v>
      </c>
      <c r="B144" s="2265" t="str" cm="1">
        <f t="array" ref="B144">SUMPRODUCT(--(D144:J144&lt;&gt;""), LEN(TRIM(SUBSTITUTE(D144:J144, CHAR(160), "")))) &amp; " Car."</f>
        <v>0 Car.</v>
      </c>
      <c r="C144" s="1376" t="str">
        <f>IF(ISBLANK(D144),"",LARGE(C13:C143,1)+1)</f>
        <v/>
      </c>
      <c r="D144" s="1833"/>
      <c r="E144" s="1810"/>
      <c r="F144" s="1810"/>
      <c r="G144" s="1810"/>
      <c r="H144" s="1810"/>
      <c r="I144" s="1810"/>
      <c r="J144" s="1810"/>
      <c r="K144" s="1810"/>
      <c r="L144" s="1811"/>
      <c r="M144" s="9"/>
      <c r="N144" s="162" t="str">
        <f t="shared" si="88"/>
        <v>A</v>
      </c>
      <c r="O144" s="1616"/>
      <c r="P144" s="9"/>
      <c r="Q144" s="162" t="s">
        <v>10</v>
      </c>
      <c r="R144" s="163" t="str">
        <f>R123</f>
        <v>C COULIS DE MANGUE | pâtisserie--ENTREMET| Auteur &gt; recette Béghin Say de Jean-Jacques Borne MOF 1994</v>
      </c>
      <c r="S144" s="163">
        <f>S123</f>
        <v>18</v>
      </c>
      <c r="T144" s="164" t="str">
        <f>T123</f>
        <v>desserts</v>
      </c>
      <c r="U144" s="165" t="str">
        <f>U123</f>
        <v>Recette mère ► MILLE-FEUILLE  aux fraises des bois</v>
      </c>
      <c r="V144" s="1548"/>
      <c r="W144" s="1548"/>
      <c r="X144" s="2190">
        <f>ROWS(AB142:AB144)</f>
        <v>3</v>
      </c>
      <c r="Y144" s="5549" t="str" cm="1">
        <f t="array" ref="Y144">IF(SUMPRODUCT((AB144:AG144&lt;&gt;"")*1)=0,"",SUMPRODUCT((AB144:AG144&lt;&gt;"")*(LEN(TRIM(SUBSTITUTE(AB144:AG144,CHAR(160)," "))) - LEN(SUBSTITUTE(TRIM(SUBSTITUTE(AB144:AG144,CHAR(160)," "))," ","")) + 1)) &amp; " mot" &amp; IF(SUMPRODUCT((AB144:AG144&lt;&gt;"")*(LEN(TRIM(SUBSTITUTE(AB144:AG144,CHAR(160)," "))) - LEN(SUBSTITUTE(TRIM(SUBSTITUTE(AB144:AG144,CHAR(160)," "))," ","")) + 1))&gt;1,"s",""))</f>
        <v>10 mots</v>
      </c>
      <c r="Z144" s="5550" t="str" cm="1">
        <f t="array" ref="Z144">SUMPRODUCT(--(AB144:AG144&lt;&gt;""), LEN(TRIM(SUBSTITUTE(AB144:AG144, CHAR(160), "")))) &amp; " Car."</f>
        <v>64 Car.</v>
      </c>
      <c r="AA144" s="1376">
        <f>IF(ISBLANK(AB144),"",LARGE(AA141:AA143,1)+1)</f>
        <v>3</v>
      </c>
      <c r="AB144" s="1810" t="s">
        <v>3068</v>
      </c>
      <c r="AC144" s="1810"/>
      <c r="AD144" s="1810"/>
      <c r="AE144" s="1810"/>
      <c r="AF144" s="1810"/>
      <c r="AG144" s="1810"/>
      <c r="AH144" s="1810"/>
      <c r="AI144" s="5994" t="s">
        <v>173</v>
      </c>
      <c r="AJ144" s="5565">
        <v>1.0416666666666666E-2</v>
      </c>
      <c r="AK144" s="6120" t="str">
        <f t="shared" si="72"/>
        <v>►</v>
      </c>
      <c r="AL144" s="781" t="str">
        <f t="shared" si="59"/>
        <v>►</v>
      </c>
      <c r="AM144" s="5498" t="str">
        <f t="shared" si="63"/>
        <v/>
      </c>
      <c r="AN144" s="783" t="str">
        <f t="shared" si="64"/>
        <v/>
      </c>
      <c r="AO144" s="782" t="str">
        <f t="shared" si="65"/>
        <v/>
      </c>
      <c r="AP144" s="783" t="str">
        <f t="shared" si="66"/>
        <v/>
      </c>
      <c r="AQ144" s="2083" t="b">
        <f>AND(Q144="A",COUNTIF(BP16:BR63,TRIM(Z144))&gt;0)</f>
        <v>0</v>
      </c>
      <c r="AR144" s="797" t="str">
        <f>IF(AL144&lt;&gt;"A","",IFERROR(IFERROR(_xlfn.XLOOKUP(TRIM(SUBSTITUTE(Z144,CHAR(160)," ")),BP16:BP63,BS16:BS63),IFERROR(_xlfn.XLOOKUP(TRIM(SUBSTITUTE(Z144,CHAR(160)," ")),BQ16:BQ63,BS16:BS63),_xlfn.XLOOKUP(TRIM(SUBSTITUTE(Z144,CHAR(160)," ")),BR16:BR63,BS16:BS63)))*Y144*IF(ISBLANK(V144),1,V144),0))</f>
        <v/>
      </c>
      <c r="AS144" s="784" t="str">
        <f t="shared" si="84"/>
        <v/>
      </c>
      <c r="AT144" s="1315" t="str">
        <f t="shared" si="67"/>
        <v/>
      </c>
      <c r="AU144" s="785">
        <f t="shared" si="68"/>
        <v>0</v>
      </c>
      <c r="AV144" s="785">
        <f t="shared" si="69"/>
        <v>0</v>
      </c>
      <c r="AW144" s="798">
        <f>IF(AK144="A",AY10,0)</f>
        <v>0</v>
      </c>
      <c r="AX144" s="5496" t="str">
        <f>IF(IFERROR(SEARCH("Adresse PC",TRIM(W144)),0)&gt;0,"▼ receta siguiente",IF(AK144="A",IF(AZ10&lt;&gt;"",AZ10&amp;" - ou.or.o ❾ + or - &gt;",""),""))</f>
        <v/>
      </c>
      <c r="AY144" s="810"/>
      <c r="AZ144" s="810"/>
      <c r="BA144" s="799" t="str">
        <f t="shared" si="56"/>
        <v/>
      </c>
      <c r="BB144" s="800" t="str">
        <f>IF(AK144="A",IF(AQ144,IF(AND(AW144&lt;&gt;"",N(AW144)&gt;0),IFERROR(IFERROR(_xlfn.XLOOKUP(AP144,BP10:BP57,BT10:BT57),IFERROR(_xlfn.XLOOKUP(AP144,BQ10:BQ57,BT10:BT57),_xlfn.XLOOKUP(AP144,BR10:BR57,BT10:BT57,""))),""),""),""),"")</f>
        <v/>
      </c>
      <c r="BC144" s="813" cm="1">
        <f t="array" ref="BC144">IF(NOT(AQ144),0,IF(OR(BA144="",N(BA144)&lt;=0.000000001),"",IF(OR(AU144="",N(AU144)&lt;=0.000000001),0,IF(ISNUMBER(BA144),IFERROR(_xlfn.LET(_xlpm.ai_test,TRIM(AP144),_xlpm.r,IFERROR(_xlfn.XLOOKUP(_xlpm.ai_test,BP16:BP63,ROW(BP16:BP63),0,1),IFERROR(_xlfn.XLOOKUP(_xlpm.ai_test,BQ16:BQ63,ROW(BQ16:BQ63),0,1),_xlfn.XLOOKUP(_xlpm.ai_test,BR16:BR63,ROW(BR16:BR63),0,1))),_xlpm.p,_xlpm.r-MIN(ROW(BP16:BP63))+1,_xlpm.f,INDEX(BS16:BS63,_xlpm.p),_xlpm.u,INDEX(BT16:BT63,_xlpm.p),_xlpm.s,INDEX(BV16:BV63,_xlpm.p),_xlpm.q,N(BA144)/_xlpm.f,IF(_xlpm.q&gt;=_xlpm.s,ROUND(_xlpm.q,1)&amp;" "&amp;_xlpm.ai_test&amp;" = "&amp;ROUND(_xlpm.q*_xlpm.f,1)&amp;" "&amp;_xlpm.u,ROUND(_xlpm.q,1)&amp;" "&amp;_xlpm.ai_test)),""),""))))</f>
        <v>0</v>
      </c>
      <c r="BD144" s="801"/>
      <c r="BE144" s="799" t="str">
        <f t="shared" si="70"/>
        <v/>
      </c>
      <c r="BF144" s="800" t="str">
        <f t="shared" si="77"/>
        <v/>
      </c>
      <c r="BG144" s="802">
        <f t="shared" si="78"/>
        <v>0</v>
      </c>
      <c r="BH144" s="803" t="str">
        <f t="shared" si="79"/>
        <v/>
      </c>
      <c r="BI144" s="792"/>
      <c r="BJ144" s="804">
        <f t="shared" si="80"/>
        <v>0</v>
      </c>
      <c r="BK144" s="794" t="str">
        <f t="shared" si="71"/>
        <v/>
      </c>
      <c r="BL144" s="227" t="s">
        <v>21</v>
      </c>
      <c r="BM144" s="773">
        <f t="shared" si="61"/>
        <v>0</v>
      </c>
      <c r="BN144" s="774">
        <f t="shared" si="62"/>
        <v>0</v>
      </c>
      <c r="BO144"/>
      <c r="BX144"/>
      <c r="BY144"/>
      <c r="BZ144"/>
      <c r="CA144"/>
      <c r="CB144"/>
      <c r="CC144"/>
      <c r="CD144" s="781" t="str">
        <f t="shared" si="85"/>
        <v>►</v>
      </c>
      <c r="CJ144" s="633"/>
      <c r="DI144" s="3">
        <v>1</v>
      </c>
    </row>
    <row r="145" spans="1:113" s="627" customFormat="1" ht="21" customHeight="1">
      <c r="A145" s="701" t="s">
        <v>21</v>
      </c>
      <c r="B145" s="2265" t="str" cm="1">
        <f t="array" ref="B145">SUMPRODUCT(--(D145:J145&lt;&gt;""), LEN(TRIM(SUBSTITUTE(D145:J145, CHAR(160), "")))) &amp; " Car."</f>
        <v>0 Car.</v>
      </c>
      <c r="C145" s="1376" t="str">
        <f>IF(ISBLANK(D145),"",LARGE(C13:C144,1)+1)</f>
        <v/>
      </c>
      <c r="D145" s="1833"/>
      <c r="E145" s="1810"/>
      <c r="F145" s="1810"/>
      <c r="G145" s="1810"/>
      <c r="H145" s="1810"/>
      <c r="I145" s="1810"/>
      <c r="J145" s="1810"/>
      <c r="K145" s="1810"/>
      <c r="L145" s="1811"/>
      <c r="M145" s="9"/>
      <c r="N145" s="162" t="str">
        <f t="shared" si="88"/>
        <v>A</v>
      </c>
      <c r="O145" s="1616"/>
      <c r="P145" s="9"/>
      <c r="Q145" s="162" t="s">
        <v>10</v>
      </c>
      <c r="R145" s="163" t="str">
        <f>R123</f>
        <v>C COULIS DE MANGUE | pâtisserie--ENTREMET| Auteur &gt; recette Béghin Say de Jean-Jacques Borne MOF 1994</v>
      </c>
      <c r="S145" s="163">
        <f>S123</f>
        <v>18</v>
      </c>
      <c r="T145" s="164" t="str">
        <f>T123</f>
        <v>desserts</v>
      </c>
      <c r="U145" s="165" t="str">
        <f>U123</f>
        <v>Recette mère ► MILLE-FEUILLE  aux fraises des bois</v>
      </c>
      <c r="V145" s="1548"/>
      <c r="W145" s="1548"/>
      <c r="X145" s="2190">
        <f>ROWS(AB142:AB145)</f>
        <v>4</v>
      </c>
      <c r="Y145" s="5549" t="str" cm="1">
        <f t="array" ref="Y145">IF(SUMPRODUCT((AB145:AG145&lt;&gt;"")*1)=0,"",SUMPRODUCT((AB145:AG145&lt;&gt;"")*(LEN(TRIM(SUBSTITUTE(AB145:AG145,CHAR(160)," "))) - LEN(SUBSTITUTE(TRIM(SUBSTITUTE(AB145:AG145,CHAR(160)," "))," ","")) + 1)) &amp; " mot" &amp; IF(SUMPRODUCT((AB145:AG145&lt;&gt;"")*(LEN(TRIM(SUBSTITUTE(AB145:AG145,CHAR(160)," "))) - LEN(SUBSTITUTE(TRIM(SUBSTITUTE(AB145:AG145,CHAR(160)," "))," ","")) + 1))&gt;1,"s",""))</f>
        <v>4 mots</v>
      </c>
      <c r="Z145" s="5550" t="str" cm="1">
        <f t="array" ref="Z145">SUMPRODUCT(--(AB145:AG145&lt;&gt;""), LEN(TRIM(SUBSTITUTE(AB145:AG145, CHAR(160), "")))) &amp; " Car."</f>
        <v>18 Car.</v>
      </c>
      <c r="AA145" s="1376">
        <f>IF(ISBLANK(AB145),"",LARGE(AA141:AA144,1)+1)</f>
        <v>4</v>
      </c>
      <c r="AB145" s="1810" t="s">
        <v>3069</v>
      </c>
      <c r="AC145" s="1833"/>
      <c r="AD145" s="1810"/>
      <c r="AE145" s="1810"/>
      <c r="AF145" s="1810"/>
      <c r="AG145" s="1810"/>
      <c r="AH145" s="1810"/>
      <c r="AI145" s="5994" t="s">
        <v>181</v>
      </c>
      <c r="AJ145" s="178">
        <v>2.0833333333333332E-2</v>
      </c>
      <c r="AK145" s="6120" t="str">
        <f t="shared" si="72"/>
        <v>►</v>
      </c>
      <c r="AL145" s="781" t="str">
        <f t="shared" si="59"/>
        <v>►</v>
      </c>
      <c r="AM145" s="5499" t="str">
        <f t="shared" si="63"/>
        <v/>
      </c>
      <c r="AN145" s="783" t="str">
        <f t="shared" si="64"/>
        <v/>
      </c>
      <c r="AO145" s="782" t="str">
        <f t="shared" si="65"/>
        <v/>
      </c>
      <c r="AP145" s="783" t="str">
        <f t="shared" si="66"/>
        <v/>
      </c>
      <c r="AQ145" s="2083" t="b">
        <f>AND(Q145="A",COUNTIF(BP16:BR63,TRIM(Z145))&gt;0)</f>
        <v>0</v>
      </c>
      <c r="AR145" s="797" t="str">
        <f>IF(AL145&lt;&gt;"A","",IFERROR(IFERROR(_xlfn.XLOOKUP(TRIM(SUBSTITUTE(Z145,CHAR(160)," ")),BP16:BP63,BS16:BS63),IFERROR(_xlfn.XLOOKUP(TRIM(SUBSTITUTE(Z145,CHAR(160)," ")),BQ16:BQ63,BS16:BS63),_xlfn.XLOOKUP(TRIM(SUBSTITUTE(Z145,CHAR(160)," ")),BR16:BR63,BS16:BS63)))*Y145*IF(ISBLANK(V145),1,V145),0))</f>
        <v/>
      </c>
      <c r="AS145" s="784" t="str">
        <f t="shared" si="84"/>
        <v/>
      </c>
      <c r="AT145" s="1315" t="str">
        <f t="shared" si="67"/>
        <v/>
      </c>
      <c r="AU145" s="785">
        <f t="shared" si="68"/>
        <v>0</v>
      </c>
      <c r="AV145" s="785">
        <f t="shared" si="69"/>
        <v>0</v>
      </c>
      <c r="AW145" s="786">
        <f>IF(AK145="A",AY10,0)</f>
        <v>0</v>
      </c>
      <c r="AX145" s="5495" t="str">
        <f>IF(IFERROR(SEARCH("Adresse PC",TRIM(W145)),0)&gt;0,"▼ receta siguiente",IF(AK145="A",IF(AZ10&lt;&gt;"",AZ10&amp;" - ou.or.o ❾ + or - &gt;",""),""))</f>
        <v/>
      </c>
      <c r="AY145" s="810"/>
      <c r="AZ145" s="810"/>
      <c r="BA145" s="788" t="str">
        <f t="shared" si="56"/>
        <v/>
      </c>
      <c r="BB145" s="789" t="str">
        <f>IF(AK145="A",IF(AQ145,IF(AND(AW145&lt;&gt;"",N(AW145)&gt;0),IFERROR(IFERROR(_xlfn.XLOOKUP(AP145,BP10:BP57,BT10:BT57),IFERROR(_xlfn.XLOOKUP(AP145,BQ10:BQ57,BT10:BT57),_xlfn.XLOOKUP(AP145,BR10:BR57,BT10:BT57,""))),""),""),""),"")</f>
        <v/>
      </c>
      <c r="BC145" s="811" cm="1">
        <f t="array" ref="BC145">IF(NOT(AQ145),0,IF(OR(BA145="",N(BA145)&lt;=0.000000001),"",IF(OR(AU145="",N(AU145)&lt;=0.000000001),0,IF(ISNUMBER(BA145),IFERROR(_xlfn.LET(_xlpm.ai_test,TRIM(AP145),_xlpm.r,IFERROR(_xlfn.XLOOKUP(_xlpm.ai_test,BP16:BP63,ROW(BP16:BP63),0,1),IFERROR(_xlfn.XLOOKUP(_xlpm.ai_test,BQ16:BQ63,ROW(BQ16:BQ63),0,1),_xlfn.XLOOKUP(_xlpm.ai_test,BR16:BR63,ROW(BR16:BR63),0,1))),_xlpm.p,_xlpm.r-MIN(ROW(BP16:BP63))+1,_xlpm.f,INDEX(BS16:BS63,_xlpm.p),_xlpm.u,INDEX(BT16:BT63,_xlpm.p),_xlpm.s,INDEX(BV16:BV63,_xlpm.p),_xlpm.q,N(BA145)/_xlpm.f,IF(_xlpm.q&gt;=_xlpm.s,ROUND(_xlpm.q,1)&amp;" "&amp;_xlpm.ai_test&amp;" = "&amp;ROUND(_xlpm.q*_xlpm.f,1)&amp;" "&amp;_xlpm.u,ROUND(_xlpm.q,1)&amp;" "&amp;_xlpm.ai_test)),""),""))))</f>
        <v>0</v>
      </c>
      <c r="BD145" s="801"/>
      <c r="BE145" s="788" t="str">
        <f t="shared" si="70"/>
        <v/>
      </c>
      <c r="BF145" s="789" t="str">
        <f t="shared" si="77"/>
        <v/>
      </c>
      <c r="BG145" s="790">
        <f t="shared" si="78"/>
        <v>0</v>
      </c>
      <c r="BH145" s="791" t="str">
        <f t="shared" si="79"/>
        <v/>
      </c>
      <c r="BI145" s="792"/>
      <c r="BJ145" s="793">
        <f t="shared" si="80"/>
        <v>0</v>
      </c>
      <c r="BK145" s="794" t="str">
        <f t="shared" si="71"/>
        <v/>
      </c>
      <c r="BL145" s="227" t="s">
        <v>21</v>
      </c>
      <c r="BM145" s="773">
        <f t="shared" si="61"/>
        <v>0</v>
      </c>
      <c r="BN145" s="774">
        <f t="shared" si="62"/>
        <v>0</v>
      </c>
      <c r="BO145"/>
      <c r="BX145"/>
      <c r="BY145"/>
      <c r="BZ145"/>
      <c r="CA145"/>
      <c r="CB145"/>
      <c r="CC145"/>
      <c r="CD145" s="781" t="str">
        <f t="shared" si="85"/>
        <v>►</v>
      </c>
      <c r="CJ145" s="633"/>
      <c r="DI145" s="3">
        <v>1</v>
      </c>
    </row>
    <row r="146" spans="1:113" s="627" customFormat="1" ht="21" customHeight="1">
      <c r="A146" s="701" t="s">
        <v>21</v>
      </c>
      <c r="B146" s="2265" t="str" cm="1">
        <f t="array" ref="B146">SUMPRODUCT(--(D146:J146&lt;&gt;""), LEN(TRIM(SUBSTITUTE(D146:J146, CHAR(160), "")))) &amp; " Car."</f>
        <v>0 Car.</v>
      </c>
      <c r="C146" s="1376" t="str">
        <f>IF(ISBLANK(D146),"",LARGE(C13:C145,1)+1)</f>
        <v/>
      </c>
      <c r="D146" s="1833"/>
      <c r="E146" s="1810"/>
      <c r="F146" s="1810"/>
      <c r="G146" s="1810"/>
      <c r="H146" s="1810"/>
      <c r="I146" s="1810"/>
      <c r="J146" s="1810"/>
      <c r="K146" s="1810"/>
      <c r="L146" s="1811"/>
      <c r="M146" s="9"/>
      <c r="N146" s="162" t="str">
        <f t="shared" si="88"/>
        <v>A</v>
      </c>
      <c r="O146" s="1616"/>
      <c r="P146" s="9"/>
      <c r="Q146" s="162" t="s">
        <v>10</v>
      </c>
      <c r="R146" s="163" t="str">
        <f>R123</f>
        <v>C COULIS DE MANGUE | pâtisserie--ENTREMET| Auteur &gt; recette Béghin Say de Jean-Jacques Borne MOF 1994</v>
      </c>
      <c r="S146" s="163">
        <f>S123</f>
        <v>18</v>
      </c>
      <c r="T146" s="164" t="str">
        <f>T123</f>
        <v>desserts</v>
      </c>
      <c r="U146" s="165" t="str">
        <f>U123</f>
        <v>Recette mère ► MILLE-FEUILLE  aux fraises des bois</v>
      </c>
      <c r="V146" s="1548"/>
      <c r="W146" s="1548"/>
      <c r="X146" s="2190">
        <f>ROWS(AB142:AB146)</f>
        <v>5</v>
      </c>
      <c r="Y146" s="5549" t="str" cm="1">
        <f t="array" ref="Y146">IF(SUMPRODUCT((AB146:AG146&lt;&gt;"")*1)=0,"",SUMPRODUCT((AB146:AG146&lt;&gt;"")*(LEN(TRIM(SUBSTITUTE(AB146:AG146,CHAR(160)," "))) - LEN(SUBSTITUTE(TRIM(SUBSTITUTE(AB146:AG146,CHAR(160)," "))," ","")) + 1)) &amp; " mot" &amp; IF(SUMPRODUCT((AB146:AG146&lt;&gt;"")*(LEN(TRIM(SUBSTITUTE(AB146:AG146,CHAR(160)," "))) - LEN(SUBSTITUTE(TRIM(SUBSTITUTE(AB146:AG146,CHAR(160)," "))," ","")) + 1))&gt;1,"s",""))</f>
        <v/>
      </c>
      <c r="Z146" s="5550" t="str" cm="1">
        <f t="array" ref="Z146">SUMPRODUCT(--(AB146:AG146&lt;&gt;""), LEN(TRIM(SUBSTITUTE(AB146:AG146, CHAR(160), "")))) &amp; " Car."</f>
        <v>0 Car.</v>
      </c>
      <c r="AA146" s="1376" t="str">
        <f>IF(ISBLANK(AB146),"",LARGE(AA141:AA145,1)+1)</f>
        <v/>
      </c>
      <c r="AB146" s="1810"/>
      <c r="AC146" s="1810"/>
      <c r="AD146" s="1810"/>
      <c r="AE146" s="1810"/>
      <c r="AF146" s="1810"/>
      <c r="AG146" s="1810"/>
      <c r="AH146" s="1810"/>
      <c r="AI146" s="179" t="s">
        <v>182</v>
      </c>
      <c r="AJ146" s="180">
        <f>AJ143+AJ144+AJ145</f>
        <v>3.4722222222222224E-2</v>
      </c>
      <c r="AK146" s="6120" t="str">
        <f t="shared" si="72"/>
        <v>►</v>
      </c>
      <c r="AL146" s="781" t="str">
        <f t="shared" si="59"/>
        <v>►</v>
      </c>
      <c r="AM146" s="5498" t="str">
        <f t="shared" si="63"/>
        <v/>
      </c>
      <c r="AN146" s="783" t="str">
        <f t="shared" si="64"/>
        <v/>
      </c>
      <c r="AO146" s="782" t="str">
        <f t="shared" si="65"/>
        <v/>
      </c>
      <c r="AP146" s="783" t="str">
        <f t="shared" si="66"/>
        <v/>
      </c>
      <c r="AQ146" s="2083" t="b">
        <f>AND(Q146="A",COUNTIF(BP16:BR63,TRIM(Z146))&gt;0)</f>
        <v>0</v>
      </c>
      <c r="AR146" s="797" t="str">
        <f>IF(AL146&lt;&gt;"A","",IFERROR(IFERROR(_xlfn.XLOOKUP(TRIM(SUBSTITUTE(Z146,CHAR(160)," ")),BP16:BP63,BS16:BS63),IFERROR(_xlfn.XLOOKUP(TRIM(SUBSTITUTE(Z146,CHAR(160)," ")),BQ16:BQ63,BS16:BS63),_xlfn.XLOOKUP(TRIM(SUBSTITUTE(Z146,CHAR(160)," ")),BR16:BR63,BS16:BS63)))*Y146*IF(ISBLANK(V146),1,V146),0))</f>
        <v/>
      </c>
      <c r="AS146" s="784" t="str">
        <f t="shared" si="84"/>
        <v/>
      </c>
      <c r="AT146" s="1315" t="str">
        <f t="shared" si="67"/>
        <v/>
      </c>
      <c r="AU146" s="785">
        <f t="shared" si="68"/>
        <v>0</v>
      </c>
      <c r="AV146" s="785">
        <f t="shared" si="69"/>
        <v>0</v>
      </c>
      <c r="AW146" s="798">
        <f>IF(AK146="A",AY10,0)</f>
        <v>0</v>
      </c>
      <c r="AX146" s="5496" t="str">
        <f>IF(IFERROR(SEARCH("Adresse PC",TRIM(W146)),0)&gt;0,"▼ receta siguiente",IF(AK146="A",IF(AZ10&lt;&gt;"",AZ10&amp;" - ou.or.o ❾ + or - &gt;",""),""))</f>
        <v/>
      </c>
      <c r="AY146" s="810"/>
      <c r="AZ146" s="810"/>
      <c r="BA146" s="799" t="str">
        <f t="shared" si="56"/>
        <v/>
      </c>
      <c r="BB146" s="800" t="str">
        <f>IF(AK146="A",IF(AQ146,IF(AND(AW146&lt;&gt;"",N(AW146)&gt;0),IFERROR(IFERROR(_xlfn.XLOOKUP(AP146,BP10:BP57,BT10:BT57),IFERROR(_xlfn.XLOOKUP(AP146,BQ10:BQ57,BT10:BT57),_xlfn.XLOOKUP(AP146,BR10:BR57,BT10:BT57,""))),""),""),""),"")</f>
        <v/>
      </c>
      <c r="BC146" s="813" cm="1">
        <f t="array" ref="BC146">IF(NOT(AQ146),0,IF(OR(BA146="",N(BA146)&lt;=0.000000001),"",IF(OR(AU146="",N(AU146)&lt;=0.000000001),0,IF(ISNUMBER(BA146),IFERROR(_xlfn.LET(_xlpm.ai_test,TRIM(AP146),_xlpm.r,IFERROR(_xlfn.XLOOKUP(_xlpm.ai_test,BP16:BP63,ROW(BP16:BP63),0,1),IFERROR(_xlfn.XLOOKUP(_xlpm.ai_test,BQ16:BQ63,ROW(BQ16:BQ63),0,1),_xlfn.XLOOKUP(_xlpm.ai_test,BR16:BR63,ROW(BR16:BR63),0,1))),_xlpm.p,_xlpm.r-MIN(ROW(BP16:BP63))+1,_xlpm.f,INDEX(BS16:BS63,_xlpm.p),_xlpm.u,INDEX(BT16:BT63,_xlpm.p),_xlpm.s,INDEX(BV16:BV63,_xlpm.p),_xlpm.q,N(BA146)/_xlpm.f,IF(_xlpm.q&gt;=_xlpm.s,ROUND(_xlpm.q,1)&amp;" "&amp;_xlpm.ai_test&amp;" = "&amp;ROUND(_xlpm.q*_xlpm.f,1)&amp;" "&amp;_xlpm.u,ROUND(_xlpm.q,1)&amp;" "&amp;_xlpm.ai_test)),""),""))))</f>
        <v>0</v>
      </c>
      <c r="BD146" s="801"/>
      <c r="BE146" s="799" t="str">
        <f t="shared" si="70"/>
        <v/>
      </c>
      <c r="BF146" s="800" t="str">
        <f t="shared" si="77"/>
        <v/>
      </c>
      <c r="BG146" s="802">
        <f t="shared" si="78"/>
        <v>0</v>
      </c>
      <c r="BH146" s="803" t="str">
        <f t="shared" si="79"/>
        <v/>
      </c>
      <c r="BI146" s="792"/>
      <c r="BJ146" s="804">
        <f t="shared" si="80"/>
        <v>0</v>
      </c>
      <c r="BK146" s="794" t="str">
        <f t="shared" si="71"/>
        <v/>
      </c>
      <c r="BL146" s="227" t="s">
        <v>21</v>
      </c>
      <c r="BM146" s="773">
        <f t="shared" si="61"/>
        <v>0</v>
      </c>
      <c r="BN146" s="774">
        <f t="shared" si="62"/>
        <v>0</v>
      </c>
      <c r="BO146"/>
      <c r="BX146"/>
      <c r="BY146"/>
      <c r="BZ146"/>
      <c r="CA146"/>
      <c r="CB146"/>
      <c r="CC146"/>
      <c r="CD146" s="781" t="str">
        <f t="shared" si="85"/>
        <v>►</v>
      </c>
      <c r="CJ146" s="633"/>
      <c r="DI146" s="3">
        <v>1</v>
      </c>
    </row>
    <row r="147" spans="1:113" s="627" customFormat="1" ht="21" customHeight="1">
      <c r="A147" s="701" t="s">
        <v>21</v>
      </c>
      <c r="B147" s="2265" t="str" cm="1">
        <f t="array" ref="B147">SUMPRODUCT(--(D147:J147&lt;&gt;""), LEN(TRIM(SUBSTITUTE(D147:J147, CHAR(160), "")))) &amp; " Car."</f>
        <v>0 Car.</v>
      </c>
      <c r="C147" s="1376" t="str">
        <f>IF(ISBLANK(D147),"",LARGE(C13:C146,1)+1)</f>
        <v/>
      </c>
      <c r="D147" s="1833"/>
      <c r="E147" s="1810"/>
      <c r="F147" s="1810"/>
      <c r="G147" s="1810"/>
      <c r="H147" s="1810"/>
      <c r="I147" s="1810"/>
      <c r="J147" s="1810"/>
      <c r="K147" s="1810"/>
      <c r="L147" s="1811"/>
      <c r="M147" s="9"/>
      <c r="N147" s="162" t="str">
        <f t="shared" si="88"/>
        <v>A</v>
      </c>
      <c r="O147" s="1616"/>
      <c r="P147" s="9"/>
      <c r="Q147" s="162" t="s">
        <v>10</v>
      </c>
      <c r="R147" s="163" t="str">
        <f>R123</f>
        <v>C COULIS DE MANGUE | pâtisserie--ENTREMET| Auteur &gt; recette Béghin Say de Jean-Jacques Borne MOF 1994</v>
      </c>
      <c r="S147" s="163">
        <f>S123</f>
        <v>18</v>
      </c>
      <c r="T147" s="164" t="str">
        <f>T123</f>
        <v>desserts</v>
      </c>
      <c r="U147" s="165" t="str">
        <f>U123</f>
        <v>Recette mère ► MILLE-FEUILLE  aux fraises des bois</v>
      </c>
      <c r="V147" s="1548"/>
      <c r="W147" s="1548"/>
      <c r="X147" s="2190">
        <f>ROWS(AB142:AB147)</f>
        <v>6</v>
      </c>
      <c r="Y147" s="5549" t="str" cm="1">
        <f t="array" ref="Y147">IF(SUMPRODUCT((AB147:AG147&lt;&gt;"")*1)=0,"",SUMPRODUCT((AB147:AG147&lt;&gt;"")*(LEN(TRIM(SUBSTITUTE(AB147:AG147,CHAR(160)," "))) - LEN(SUBSTITUTE(TRIM(SUBSTITUTE(AB147:AG147,CHAR(160)," "))," ","")) + 1)) &amp; " mot" &amp; IF(SUMPRODUCT((AB147:AG147&lt;&gt;"")*(LEN(TRIM(SUBSTITUTE(AB147:AG147,CHAR(160)," "))) - LEN(SUBSTITUTE(TRIM(SUBSTITUTE(AB147:AG147,CHAR(160)," "))," ","")) + 1))&gt;1,"s",""))</f>
        <v>12 mots</v>
      </c>
      <c r="Z147" s="5550" t="str" cm="1">
        <f t="array" ref="Z147">SUMPRODUCT(--(AB147:AG147&lt;&gt;""), LEN(TRIM(SUBSTITUTE(AB147:AG147, CHAR(160), "")))) &amp; " Car."</f>
        <v>65 Car.</v>
      </c>
      <c r="AA147" s="1376">
        <f>IF(ISBLANK(AB147),"",LARGE(AA141:AA146,1)+1)</f>
        <v>5</v>
      </c>
      <c r="AB147" s="1810" t="s">
        <v>3070</v>
      </c>
      <c r="AC147" s="1833"/>
      <c r="AD147" s="1810"/>
      <c r="AE147" s="1810"/>
      <c r="AF147" s="1810"/>
      <c r="AG147" s="1810"/>
      <c r="AH147" s="1810"/>
      <c r="AI147" s="1810"/>
      <c r="AJ147" s="1811"/>
      <c r="AK147" s="6120" t="str">
        <f t="shared" si="72"/>
        <v>►</v>
      </c>
      <c r="AL147" s="781" t="str">
        <f t="shared" si="59"/>
        <v>►</v>
      </c>
      <c r="AM147" s="5499" t="str">
        <f t="shared" si="63"/>
        <v/>
      </c>
      <c r="AN147" s="783" t="str">
        <f t="shared" si="64"/>
        <v/>
      </c>
      <c r="AO147" s="782" t="str">
        <f t="shared" si="65"/>
        <v/>
      </c>
      <c r="AP147" s="783" t="str">
        <f t="shared" si="66"/>
        <v/>
      </c>
      <c r="AQ147" s="2083" t="b">
        <f>AND(Q147="A",COUNTIF(BP16:BR63,TRIM(Z147))&gt;0)</f>
        <v>0</v>
      </c>
      <c r="AR147" s="797" t="str">
        <f>IF(AL147&lt;&gt;"A","",IFERROR(IFERROR(_xlfn.XLOOKUP(TRIM(SUBSTITUTE(Z147,CHAR(160)," ")),BP16:BP63,BS16:BS63),IFERROR(_xlfn.XLOOKUP(TRIM(SUBSTITUTE(Z147,CHAR(160)," ")),BQ16:BQ63,BS16:BS63),_xlfn.XLOOKUP(TRIM(SUBSTITUTE(Z147,CHAR(160)," ")),BR16:BR63,BS16:BS63)))*Y147*IF(ISBLANK(V147),1,V147),0))</f>
        <v/>
      </c>
      <c r="AS147" s="784" t="str">
        <f t="shared" si="84"/>
        <v/>
      </c>
      <c r="AT147" s="1315" t="str">
        <f t="shared" si="67"/>
        <v/>
      </c>
      <c r="AU147" s="785">
        <f t="shared" si="68"/>
        <v>0</v>
      </c>
      <c r="AV147" s="785">
        <f t="shared" si="69"/>
        <v>0</v>
      </c>
      <c r="AW147" s="786">
        <f>IF(AK147="A",AY10,0)</f>
        <v>0</v>
      </c>
      <c r="AX147" s="5495" t="str">
        <f>IF(IFERROR(SEARCH("Adresse PC",TRIM(W147)),0)&gt;0,"▼ receta siguiente",IF(AK147="A",IF(AZ10&lt;&gt;"",AZ10&amp;" - ou.or.o ❾ + or - &gt;",""),""))</f>
        <v/>
      </c>
      <c r="AY147" s="810"/>
      <c r="AZ147" s="810"/>
      <c r="BA147" s="788" t="str">
        <f t="shared" si="56"/>
        <v/>
      </c>
      <c r="BB147" s="789" t="str">
        <f>IF(AK147="A",IF(AQ147,IF(AND(AW147&lt;&gt;"",N(AW147)&gt;0),IFERROR(IFERROR(_xlfn.XLOOKUP(AP147,BP10:BP57,BT10:BT57),IFERROR(_xlfn.XLOOKUP(AP147,BQ10:BQ57,BT10:BT57),_xlfn.XLOOKUP(AP147,BR10:BR57,BT10:BT57,""))),""),""),""),"")</f>
        <v/>
      </c>
      <c r="BC147" s="811" cm="1">
        <f t="array" ref="BC147">IF(NOT(AQ147),0,IF(OR(BA147="",N(BA147)&lt;=0.000000001),"",IF(OR(AU147="",N(AU147)&lt;=0.000000001),0,IF(ISNUMBER(BA147),IFERROR(_xlfn.LET(_xlpm.ai_test,TRIM(AP147),_xlpm.r,IFERROR(_xlfn.XLOOKUP(_xlpm.ai_test,BP16:BP63,ROW(BP16:BP63),0,1),IFERROR(_xlfn.XLOOKUP(_xlpm.ai_test,BQ16:BQ63,ROW(BQ16:BQ63),0,1),_xlfn.XLOOKUP(_xlpm.ai_test,BR16:BR63,ROW(BR16:BR63),0,1))),_xlpm.p,_xlpm.r-MIN(ROW(BP16:BP63))+1,_xlpm.f,INDEX(BS16:BS63,_xlpm.p),_xlpm.u,INDEX(BT16:BT63,_xlpm.p),_xlpm.s,INDEX(BV16:BV63,_xlpm.p),_xlpm.q,N(BA147)/_xlpm.f,IF(_xlpm.q&gt;=_xlpm.s,ROUND(_xlpm.q,1)&amp;" "&amp;_xlpm.ai_test&amp;" = "&amp;ROUND(_xlpm.q*_xlpm.f,1)&amp;" "&amp;_xlpm.u,ROUND(_xlpm.q,1)&amp;" "&amp;_xlpm.ai_test)),""),""))))</f>
        <v>0</v>
      </c>
      <c r="BD147" s="801"/>
      <c r="BE147" s="788" t="str">
        <f t="shared" si="70"/>
        <v/>
      </c>
      <c r="BF147" s="789" t="str">
        <f t="shared" si="77"/>
        <v/>
      </c>
      <c r="BG147" s="790">
        <f t="shared" si="78"/>
        <v>0</v>
      </c>
      <c r="BH147" s="791" t="str">
        <f t="shared" si="79"/>
        <v/>
      </c>
      <c r="BI147" s="792"/>
      <c r="BJ147" s="793">
        <f t="shared" si="80"/>
        <v>0</v>
      </c>
      <c r="BK147" s="794" t="str">
        <f t="shared" si="71"/>
        <v/>
      </c>
      <c r="BL147" s="227" t="s">
        <v>21</v>
      </c>
      <c r="BM147" s="773">
        <f t="shared" si="61"/>
        <v>0</v>
      </c>
      <c r="BN147" s="774">
        <f t="shared" si="62"/>
        <v>0</v>
      </c>
      <c r="BO147"/>
      <c r="BX147"/>
      <c r="BY147"/>
      <c r="BZ147"/>
      <c r="CA147"/>
      <c r="CB147"/>
      <c r="CC147"/>
      <c r="CD147" s="781" t="str">
        <f t="shared" si="85"/>
        <v>►</v>
      </c>
      <c r="CE147"/>
      <c r="CF147"/>
      <c r="CG147"/>
      <c r="CH147"/>
      <c r="CI147"/>
      <c r="CJ147" s="633"/>
      <c r="DI147" s="3">
        <v>1</v>
      </c>
    </row>
    <row r="148" spans="1:113" s="627" customFormat="1" ht="21" customHeight="1">
      <c r="A148" s="701" t="s">
        <v>21</v>
      </c>
      <c r="B148" s="2265" t="str" cm="1">
        <f t="array" ref="B148">SUMPRODUCT(--(D148:J148&lt;&gt;""), LEN(TRIM(SUBSTITUTE(D148:J148, CHAR(160), "")))) &amp; " Car."</f>
        <v>0 Car.</v>
      </c>
      <c r="C148" s="1376" t="str">
        <f>IF(ISBLANK(D148),"",LARGE(C13:C147,1)+1)</f>
        <v/>
      </c>
      <c r="D148" s="1833"/>
      <c r="E148" s="1810"/>
      <c r="F148" s="1810"/>
      <c r="G148" s="1810"/>
      <c r="H148" s="1810"/>
      <c r="I148" s="1810"/>
      <c r="J148" s="1810"/>
      <c r="K148" s="1810"/>
      <c r="L148" s="1811"/>
      <c r="M148" s="9"/>
      <c r="N148" s="162" t="str">
        <f t="shared" si="88"/>
        <v>A</v>
      </c>
      <c r="O148" s="1616"/>
      <c r="P148" s="9"/>
      <c r="Q148" s="162" t="s">
        <v>10</v>
      </c>
      <c r="R148" s="163" t="str">
        <f>R123</f>
        <v>C COULIS DE MANGUE | pâtisserie--ENTREMET| Auteur &gt; recette Béghin Say de Jean-Jacques Borne MOF 1994</v>
      </c>
      <c r="S148" s="163">
        <f>S123</f>
        <v>18</v>
      </c>
      <c r="T148" s="164" t="str">
        <f>T123</f>
        <v>desserts</v>
      </c>
      <c r="U148" s="165" t="str">
        <f>U123</f>
        <v>Recette mère ► MILLE-FEUILLE  aux fraises des bois</v>
      </c>
      <c r="V148" s="1548"/>
      <c r="W148" s="1548"/>
      <c r="X148" s="2190">
        <f>ROWS(AB142:AB148)</f>
        <v>7</v>
      </c>
      <c r="Y148" s="5549" t="str" cm="1">
        <f t="array" ref="Y148">IF(SUMPRODUCT((AB148:AG148&lt;&gt;"")*1)=0,"",SUMPRODUCT((AB148:AG148&lt;&gt;"")*(LEN(TRIM(SUBSTITUTE(AB148:AG148,CHAR(160)," "))) - LEN(SUBSTITUTE(TRIM(SUBSTITUTE(AB148:AG148,CHAR(160)," "))," ","")) + 1)) &amp; " mot" &amp; IF(SUMPRODUCT((AB148:AG148&lt;&gt;"")*(LEN(TRIM(SUBSTITUTE(AB148:AG148,CHAR(160)," "))) - LEN(SUBSTITUTE(TRIM(SUBSTITUTE(AB148:AG148,CHAR(160)," "))," ","")) + 1))&gt;1,"s",""))</f>
        <v/>
      </c>
      <c r="Z148" s="5550" t="str" cm="1">
        <f t="array" ref="Z148">SUMPRODUCT(--(AB148:AG148&lt;&gt;""), LEN(TRIM(SUBSTITUTE(AB148:AG148, CHAR(160), "")))) &amp; " Car."</f>
        <v>0 Car.</v>
      </c>
      <c r="AA148" s="1376" t="str">
        <f>IF(ISBLANK(AB148),"",LARGE(AA141:AA147,1)+1)</f>
        <v/>
      </c>
      <c r="AB148" s="1810"/>
      <c r="AC148" s="1810"/>
      <c r="AD148" s="1810"/>
      <c r="AE148" s="1810"/>
      <c r="AF148" s="1810"/>
      <c r="AG148" s="1810"/>
      <c r="AH148" s="1810"/>
      <c r="AI148" s="1810"/>
      <c r="AJ148" s="1811"/>
      <c r="AK148" s="6120" t="str">
        <f t="shared" si="72"/>
        <v>►</v>
      </c>
      <c r="AL148" s="781" t="str">
        <f t="shared" si="59"/>
        <v>►</v>
      </c>
      <c r="AM148" s="5498" t="str">
        <f t="shared" si="63"/>
        <v/>
      </c>
      <c r="AN148" s="783" t="str">
        <f t="shared" si="64"/>
        <v/>
      </c>
      <c r="AO148" s="782" t="str">
        <f t="shared" si="65"/>
        <v/>
      </c>
      <c r="AP148" s="783" t="str">
        <f t="shared" si="66"/>
        <v/>
      </c>
      <c r="AQ148" s="2083" t="b">
        <f>AND(Q148="A",COUNTIF(BP16:BR63,TRIM(Z148))&gt;0)</f>
        <v>0</v>
      </c>
      <c r="AR148" s="797" t="str">
        <f>IF(AL148&lt;&gt;"A","",IFERROR(IFERROR(_xlfn.XLOOKUP(TRIM(SUBSTITUTE(Z148,CHAR(160)," ")),BP16:BP63,BS16:BS63),IFERROR(_xlfn.XLOOKUP(TRIM(SUBSTITUTE(Z148,CHAR(160)," ")),BQ16:BQ63,BS16:BS63),_xlfn.XLOOKUP(TRIM(SUBSTITUTE(Z148,CHAR(160)," ")),BR16:BR63,BS16:BS63)))*Y148*IF(ISBLANK(V148),1,V148),0))</f>
        <v/>
      </c>
      <c r="AS148" s="784" t="str">
        <f t="shared" si="84"/>
        <v/>
      </c>
      <c r="AT148" s="1315" t="str">
        <f t="shared" si="67"/>
        <v/>
      </c>
      <c r="AU148" s="785">
        <f t="shared" si="68"/>
        <v>0</v>
      </c>
      <c r="AV148" s="785">
        <f t="shared" si="69"/>
        <v>0</v>
      </c>
      <c r="AW148" s="798">
        <f>IF(AK148="A",AY10,0)</f>
        <v>0</v>
      </c>
      <c r="AX148" s="5496" t="str">
        <f>IF(IFERROR(SEARCH("Adresse PC",TRIM(W148)),0)&gt;0,"▼ receta siguiente",IF(AK148="A",IF(AZ10&lt;&gt;"",AZ10&amp;" - ou.or.o ❾ + or - &gt;",""),""))</f>
        <v/>
      </c>
      <c r="AY148" s="810"/>
      <c r="AZ148" s="810"/>
      <c r="BA148" s="799" t="str">
        <f t="shared" ref="BA148:BA211" si="89">IF(AK148="A",IF(UPPER(TRIM(SUBSTITUTE(AS148,CHAR(160),"")))="KG",N(AR148)*N(BN148),0),"")</f>
        <v/>
      </c>
      <c r="BB148" s="800" t="str">
        <f>IF(AK148="A",IF(AQ148,IF(AND(AW148&lt;&gt;"",N(AW148)&gt;0),IFERROR(IFERROR(_xlfn.XLOOKUP(AP148,BP10:BP57,BT10:BT57),IFERROR(_xlfn.XLOOKUP(AP148,BQ10:BQ57,BT10:BT57),_xlfn.XLOOKUP(AP148,BR10:BR57,BT10:BT57,""))),""),""),""),"")</f>
        <v/>
      </c>
      <c r="BC148" s="813" cm="1">
        <f t="array" ref="BC148">IF(NOT(AQ148),0,IF(OR(BA148="",N(BA148)&lt;=0.000000001),"",IF(OR(AU148="",N(AU148)&lt;=0.000000001),0,IF(ISNUMBER(BA148),IFERROR(_xlfn.LET(_xlpm.ai_test,TRIM(AP148),_xlpm.r,IFERROR(_xlfn.XLOOKUP(_xlpm.ai_test,BP16:BP63,ROW(BP16:BP63),0,1),IFERROR(_xlfn.XLOOKUP(_xlpm.ai_test,BQ16:BQ63,ROW(BQ16:BQ63),0,1),_xlfn.XLOOKUP(_xlpm.ai_test,BR16:BR63,ROW(BR16:BR63),0,1))),_xlpm.p,_xlpm.r-MIN(ROW(BP16:BP63))+1,_xlpm.f,INDEX(BS16:BS63,_xlpm.p),_xlpm.u,INDEX(BT16:BT63,_xlpm.p),_xlpm.s,INDEX(BV16:BV63,_xlpm.p),_xlpm.q,N(BA148)/_xlpm.f,IF(_xlpm.q&gt;=_xlpm.s,ROUND(_xlpm.q,1)&amp;" "&amp;_xlpm.ai_test&amp;" = "&amp;ROUND(_xlpm.q*_xlpm.f,1)&amp;" "&amp;_xlpm.u,ROUND(_xlpm.q,1)&amp;" "&amp;_xlpm.ai_test)),""),""))))</f>
        <v>0</v>
      </c>
      <c r="BD148" s="801"/>
      <c r="BE148" s="799" t="str">
        <f t="shared" si="70"/>
        <v/>
      </c>
      <c r="BF148" s="800" t="str">
        <f t="shared" si="77"/>
        <v/>
      </c>
      <c r="BG148" s="802">
        <f t="shared" si="78"/>
        <v>0</v>
      </c>
      <c r="BH148" s="803" t="str">
        <f t="shared" si="79"/>
        <v/>
      </c>
      <c r="BI148" s="792"/>
      <c r="BJ148" s="804">
        <f t="shared" si="80"/>
        <v>0</v>
      </c>
      <c r="BK148" s="794" t="str">
        <f t="shared" si="71"/>
        <v/>
      </c>
      <c r="BL148" s="227" t="s">
        <v>21</v>
      </c>
      <c r="BM148" s="773">
        <f t="shared" si="61"/>
        <v>0</v>
      </c>
      <c r="BN148" s="774">
        <f t="shared" si="62"/>
        <v>0</v>
      </c>
      <c r="BO148"/>
      <c r="BX148"/>
      <c r="BY148"/>
      <c r="BZ148"/>
      <c r="CA148"/>
      <c r="CB148"/>
      <c r="CC148"/>
      <c r="CD148" s="781" t="str">
        <f t="shared" si="85"/>
        <v>►</v>
      </c>
      <c r="CE148"/>
      <c r="CF148"/>
      <c r="CG148"/>
      <c r="CH148"/>
      <c r="CI148"/>
      <c r="CJ148" s="633"/>
      <c r="DI148" s="3">
        <v>1</v>
      </c>
    </row>
    <row r="149" spans="1:113" s="627" customFormat="1" ht="21" customHeight="1">
      <c r="A149" s="701" t="s">
        <v>21</v>
      </c>
      <c r="B149" s="2265" t="str" cm="1">
        <f t="array" ref="B149">SUMPRODUCT(--(D149:J149&lt;&gt;""), LEN(TRIM(SUBSTITUTE(D149:J149, CHAR(160), "")))) &amp; " Car."</f>
        <v>0 Car.</v>
      </c>
      <c r="C149" s="1376" t="str">
        <f>IF(ISBLANK(D149),"",LARGE(C13:C148,1)+1)</f>
        <v/>
      </c>
      <c r="D149" s="1833"/>
      <c r="E149" s="1810"/>
      <c r="F149" s="1810"/>
      <c r="G149" s="1810"/>
      <c r="H149" s="1810"/>
      <c r="I149" s="1810"/>
      <c r="J149" s="1810"/>
      <c r="K149" s="1810"/>
      <c r="L149" s="1811"/>
      <c r="M149" s="9"/>
      <c r="N149" s="162" t="str">
        <f t="shared" si="88"/>
        <v>A</v>
      </c>
      <c r="O149" s="1616"/>
      <c r="P149" s="9"/>
      <c r="Q149" s="162" t="s">
        <v>10</v>
      </c>
      <c r="R149" s="163" t="str">
        <f>R123</f>
        <v>C COULIS DE MANGUE | pâtisserie--ENTREMET| Auteur &gt; recette Béghin Say de Jean-Jacques Borne MOF 1994</v>
      </c>
      <c r="S149" s="163">
        <f>S123</f>
        <v>18</v>
      </c>
      <c r="T149" s="164" t="str">
        <f>T123</f>
        <v>desserts</v>
      </c>
      <c r="U149" s="165" t="str">
        <f>U123</f>
        <v>Recette mère ► MILLE-FEUILLE  aux fraises des bois</v>
      </c>
      <c r="V149" s="1548"/>
      <c r="W149" s="1548"/>
      <c r="X149" s="2190">
        <f>ROWS(AB142:AB149)</f>
        <v>8</v>
      </c>
      <c r="Y149" s="5549" t="str" cm="1">
        <f t="array" ref="Y149">IF(SUMPRODUCT((AB149:AG149&lt;&gt;"")*1)=0,"",SUMPRODUCT((AB149:AG149&lt;&gt;"")*(LEN(TRIM(SUBSTITUTE(AB149:AG149,CHAR(160)," "))) - LEN(SUBSTITUTE(TRIM(SUBSTITUTE(AB149:AG149,CHAR(160)," "))," ","")) + 1)) &amp; " mot" &amp; IF(SUMPRODUCT((AB149:AG149&lt;&gt;"")*(LEN(TRIM(SUBSTITUTE(AB149:AG149,CHAR(160)," "))) - LEN(SUBSTITUTE(TRIM(SUBSTITUTE(AB149:AG149,CHAR(160)," "))," ","")) + 1))&gt;1,"s",""))</f>
        <v/>
      </c>
      <c r="Z149" s="5550" t="str" cm="1">
        <f t="array" ref="Z149">SUMPRODUCT(--(AB149:AG149&lt;&gt;""), LEN(TRIM(SUBSTITUTE(AB149:AG149, CHAR(160), "")))) &amp; " Car."</f>
        <v>0 Car.</v>
      </c>
      <c r="AA149" s="1376" t="str">
        <f>IF(ISBLANK(AB149),"",LARGE(AA141:AA148,1)+1)</f>
        <v/>
      </c>
      <c r="AB149" s="1810"/>
      <c r="AC149" s="1810"/>
      <c r="AD149" s="1810"/>
      <c r="AE149" s="1810"/>
      <c r="AF149" s="1810"/>
      <c r="AG149" s="1810"/>
      <c r="AH149" s="1810"/>
      <c r="AI149" s="1810"/>
      <c r="AJ149" s="1811"/>
      <c r="AK149" s="6120" t="str">
        <f t="shared" si="72"/>
        <v>►</v>
      </c>
      <c r="AL149" s="781" t="str">
        <f t="shared" si="59"/>
        <v>►</v>
      </c>
      <c r="AM149" s="5499" t="str">
        <f t="shared" si="63"/>
        <v/>
      </c>
      <c r="AN149" s="783" t="str">
        <f t="shared" si="64"/>
        <v/>
      </c>
      <c r="AO149" s="782" t="str">
        <f t="shared" si="65"/>
        <v/>
      </c>
      <c r="AP149" s="783" t="str">
        <f t="shared" si="66"/>
        <v/>
      </c>
      <c r="AQ149" s="2083" t="b">
        <f>AND(Q149="A",COUNTIF(BP16:BR63,TRIM(Z149))&gt;0)</f>
        <v>0</v>
      </c>
      <c r="AR149" s="797" t="str">
        <f>IF(AL149&lt;&gt;"A","",IFERROR(IFERROR(_xlfn.XLOOKUP(TRIM(SUBSTITUTE(Z149,CHAR(160)," ")),BP16:BP63,BS16:BS63),IFERROR(_xlfn.XLOOKUP(TRIM(SUBSTITUTE(Z149,CHAR(160)," ")),BQ16:BQ63,BS16:BS63),_xlfn.XLOOKUP(TRIM(SUBSTITUTE(Z149,CHAR(160)," ")),BR16:BR63,BS16:BS63)))*Y149*IF(ISBLANK(V149),1,V149),0))</f>
        <v/>
      </c>
      <c r="AS149" s="784" t="str">
        <f t="shared" si="84"/>
        <v/>
      </c>
      <c r="AT149" s="1315" t="str">
        <f t="shared" si="67"/>
        <v/>
      </c>
      <c r="AU149" s="785">
        <f t="shared" si="68"/>
        <v>0</v>
      </c>
      <c r="AV149" s="785">
        <f t="shared" si="69"/>
        <v>0</v>
      </c>
      <c r="AW149" s="786">
        <f>IF(AK149="A",AY10,0)</f>
        <v>0</v>
      </c>
      <c r="AX149" s="5495" t="str">
        <f>IF(IFERROR(SEARCH("Adresse PC",TRIM(W149)),0)&gt;0,"▼ receta siguiente",IF(AK149="A",IF(AZ10&lt;&gt;"",AZ10&amp;" - ou.or.o ❾ + or - &gt;",""),""))</f>
        <v/>
      </c>
      <c r="AY149" s="810"/>
      <c r="AZ149" s="810"/>
      <c r="BA149" s="788" t="str">
        <f t="shared" si="89"/>
        <v/>
      </c>
      <c r="BB149" s="789" t="str">
        <f>IF(AK149="A",IF(AQ149,IF(AND(AW149&lt;&gt;"",N(AW149)&gt;0),IFERROR(IFERROR(_xlfn.XLOOKUP(AP149,BP10:BP57,BT10:BT57),IFERROR(_xlfn.XLOOKUP(AP149,BQ10:BQ57,BT10:BT57),_xlfn.XLOOKUP(AP149,BR10:BR57,BT10:BT57,""))),""),""),""),"")</f>
        <v/>
      </c>
      <c r="BC149" s="811" cm="1">
        <f t="array" ref="BC149">IF(NOT(AQ149),0,IF(OR(BA149="",N(BA149)&lt;=0.000000001),"",IF(OR(AU149="",N(AU149)&lt;=0.000000001),0,IF(ISNUMBER(BA149),IFERROR(_xlfn.LET(_xlpm.ai_test,TRIM(AP149),_xlpm.r,IFERROR(_xlfn.XLOOKUP(_xlpm.ai_test,BP16:BP63,ROW(BP16:BP63),0,1),IFERROR(_xlfn.XLOOKUP(_xlpm.ai_test,BQ16:BQ63,ROW(BQ16:BQ63),0,1),_xlfn.XLOOKUP(_xlpm.ai_test,BR16:BR63,ROW(BR16:BR63),0,1))),_xlpm.p,_xlpm.r-MIN(ROW(BP16:BP63))+1,_xlpm.f,INDEX(BS16:BS63,_xlpm.p),_xlpm.u,INDEX(BT16:BT63,_xlpm.p),_xlpm.s,INDEX(BV16:BV63,_xlpm.p),_xlpm.q,N(BA149)/_xlpm.f,IF(_xlpm.q&gt;=_xlpm.s,ROUND(_xlpm.q,1)&amp;" "&amp;_xlpm.ai_test&amp;" = "&amp;ROUND(_xlpm.q*_xlpm.f,1)&amp;" "&amp;_xlpm.u,ROUND(_xlpm.q,1)&amp;" "&amp;_xlpm.ai_test)),""),""))))</f>
        <v>0</v>
      </c>
      <c r="BD149" s="801"/>
      <c r="BE149" s="788" t="str">
        <f t="shared" si="70"/>
        <v/>
      </c>
      <c r="BF149" s="789" t="str">
        <f t="shared" si="77"/>
        <v/>
      </c>
      <c r="BG149" s="790">
        <f t="shared" si="78"/>
        <v>0</v>
      </c>
      <c r="BH149" s="791" t="str">
        <f t="shared" si="79"/>
        <v/>
      </c>
      <c r="BI149" s="792"/>
      <c r="BJ149" s="793">
        <f t="shared" si="80"/>
        <v>0</v>
      </c>
      <c r="BK149" s="794" t="str">
        <f t="shared" si="71"/>
        <v/>
      </c>
      <c r="BL149" s="227" t="s">
        <v>21</v>
      </c>
      <c r="BM149" s="773">
        <f t="shared" si="61"/>
        <v>0</v>
      </c>
      <c r="BN149" s="774">
        <f t="shared" si="62"/>
        <v>0</v>
      </c>
      <c r="BO149"/>
      <c r="BX149"/>
      <c r="BY149"/>
      <c r="BZ149"/>
      <c r="CA149"/>
      <c r="CB149"/>
      <c r="CC149"/>
      <c r="CD149" s="781" t="str">
        <f t="shared" si="85"/>
        <v>►</v>
      </c>
      <c r="CE149"/>
      <c r="CF149"/>
      <c r="CG149"/>
      <c r="CH149"/>
      <c r="CI149"/>
      <c r="CJ149" s="633"/>
      <c r="DI149" s="3">
        <v>1</v>
      </c>
    </row>
    <row r="150" spans="1:113" s="627" customFormat="1" ht="21" customHeight="1">
      <c r="A150" s="701" t="s">
        <v>21</v>
      </c>
      <c r="B150" s="2265" t="str" cm="1">
        <f t="array" ref="B150">SUMPRODUCT(--(D150:J150&lt;&gt;""), LEN(TRIM(SUBSTITUTE(D150:J150, CHAR(160), "")))) &amp; " Car."</f>
        <v>0 Car.</v>
      </c>
      <c r="C150" s="1376" t="str">
        <f>IF(ISBLANK(D150),"",LARGE(C13:C149,1)+1)</f>
        <v/>
      </c>
      <c r="D150" s="1833"/>
      <c r="E150" s="1810"/>
      <c r="F150" s="1810"/>
      <c r="G150" s="1810"/>
      <c r="H150" s="1810"/>
      <c r="I150" s="1810"/>
      <c r="J150" s="1810"/>
      <c r="K150" s="1810"/>
      <c r="L150" s="1811"/>
      <c r="M150" s="9"/>
      <c r="N150" s="162" t="str">
        <f t="shared" si="88"/>
        <v>A</v>
      </c>
      <c r="O150" s="1616"/>
      <c r="P150" s="9"/>
      <c r="Q150" s="162" t="s">
        <v>10</v>
      </c>
      <c r="R150" s="163" t="str">
        <f>R123</f>
        <v>C COULIS DE MANGUE | pâtisserie--ENTREMET| Auteur &gt; recette Béghin Say de Jean-Jacques Borne MOF 1994</v>
      </c>
      <c r="S150" s="163">
        <f>S123</f>
        <v>18</v>
      </c>
      <c r="T150" s="164" t="str">
        <f>T123</f>
        <v>desserts</v>
      </c>
      <c r="U150" s="165" t="str">
        <f>U123</f>
        <v>Recette mère ► MILLE-FEUILLE  aux fraises des bois</v>
      </c>
      <c r="V150" s="1548"/>
      <c r="W150" s="1548"/>
      <c r="X150" s="2190">
        <f>ROWS(AB142:AB150)</f>
        <v>9</v>
      </c>
      <c r="Y150" s="5549" t="str" cm="1">
        <f t="array" ref="Y150">IF(SUMPRODUCT((AB150:AG150&lt;&gt;"")*1)=0,"",SUMPRODUCT((AB150:AG150&lt;&gt;"")*(LEN(TRIM(SUBSTITUTE(AB150:AG150,CHAR(160)," "))) - LEN(SUBSTITUTE(TRIM(SUBSTITUTE(AB150:AG150,CHAR(160)," "))," ","")) + 1)) &amp; " mot" &amp; IF(SUMPRODUCT((AB150:AG150&lt;&gt;"")*(LEN(TRIM(SUBSTITUTE(AB150:AG150,CHAR(160)," "))) - LEN(SUBSTITUTE(TRIM(SUBSTITUTE(AB150:AG150,CHAR(160)," "))," ","")) + 1))&gt;1,"s",""))</f>
        <v/>
      </c>
      <c r="Z150" s="5550" t="str" cm="1">
        <f t="array" ref="Z150">SUMPRODUCT(--(AB150:AG150&lt;&gt;""), LEN(TRIM(SUBSTITUTE(AB150:AG150, CHAR(160), "")))) &amp; " Car."</f>
        <v>0 Car.</v>
      </c>
      <c r="AA150" s="1376" t="str">
        <f>IF(ISBLANK(AB150),"",LARGE(AA141:AA149,1)+1)</f>
        <v/>
      </c>
      <c r="AB150" s="1810"/>
      <c r="AC150" s="1810"/>
      <c r="AD150" s="1810"/>
      <c r="AE150" s="1810"/>
      <c r="AF150" s="1810"/>
      <c r="AG150" s="1810"/>
      <c r="AH150" s="1810"/>
      <c r="AI150" s="1810"/>
      <c r="AJ150" s="1811"/>
      <c r="AK150" s="6120" t="str">
        <f t="shared" si="72"/>
        <v>►</v>
      </c>
      <c r="AL150" s="781" t="str">
        <f t="shared" si="59"/>
        <v>►</v>
      </c>
      <c r="AM150" s="5498" t="str">
        <f t="shared" si="63"/>
        <v/>
      </c>
      <c r="AN150" s="783" t="str">
        <f t="shared" si="64"/>
        <v/>
      </c>
      <c r="AO150" s="782" t="str">
        <f t="shared" si="65"/>
        <v/>
      </c>
      <c r="AP150" s="783" t="str">
        <f t="shared" si="66"/>
        <v/>
      </c>
      <c r="AQ150" s="2083" t="b">
        <f>AND(Q150="A",COUNTIF(BP16:BR63,TRIM(Z150))&gt;0)</f>
        <v>0</v>
      </c>
      <c r="AR150" s="797" t="str">
        <f>IF(AL150&lt;&gt;"A","",IFERROR(IFERROR(_xlfn.XLOOKUP(TRIM(SUBSTITUTE(Z150,CHAR(160)," ")),BP16:BP63,BS16:BS63),IFERROR(_xlfn.XLOOKUP(TRIM(SUBSTITUTE(Z150,CHAR(160)," ")),BQ16:BQ63,BS16:BS63),_xlfn.XLOOKUP(TRIM(SUBSTITUTE(Z150,CHAR(160)," ")),BR16:BR63,BS16:BS63)))*Y150*IF(ISBLANK(V150),1,V150),0))</f>
        <v/>
      </c>
      <c r="AS150" s="784" t="str">
        <f t="shared" si="84"/>
        <v/>
      </c>
      <c r="AT150" s="1315" t="str">
        <f t="shared" si="67"/>
        <v/>
      </c>
      <c r="AU150" s="785">
        <f t="shared" si="68"/>
        <v>0</v>
      </c>
      <c r="AV150" s="785">
        <f t="shared" si="69"/>
        <v>0</v>
      </c>
      <c r="AW150" s="798">
        <f>IF(AK150="A",AY10,0)</f>
        <v>0</v>
      </c>
      <c r="AX150" s="5496" t="str">
        <f>IF(IFERROR(SEARCH("Adresse PC",TRIM(W150)),0)&gt;0,"▼ receta siguiente",IF(AK150="A",IF(AZ10&lt;&gt;"",AZ10&amp;" - ou.or.o ❾ + or - &gt;",""),""))</f>
        <v/>
      </c>
      <c r="AY150" s="810"/>
      <c r="AZ150" s="810"/>
      <c r="BA150" s="799" t="str">
        <f t="shared" si="89"/>
        <v/>
      </c>
      <c r="BB150" s="800" t="str">
        <f>IF(AK150="A",IF(AQ150,IF(AND(AW150&lt;&gt;"",N(AW150)&gt;0),IFERROR(IFERROR(_xlfn.XLOOKUP(AP150,BP10:BP57,BT10:BT57),IFERROR(_xlfn.XLOOKUP(AP150,BQ10:BQ57,BT10:BT57),_xlfn.XLOOKUP(AP150,BR10:BR57,BT10:BT57,""))),""),""),""),"")</f>
        <v/>
      </c>
      <c r="BC150" s="813" cm="1">
        <f t="array" ref="BC150">IF(NOT(AQ150),0,IF(OR(BA150="",N(BA150)&lt;=0.000000001),"",IF(OR(AU150="",N(AU150)&lt;=0.000000001),0,IF(ISNUMBER(BA150),IFERROR(_xlfn.LET(_xlpm.ai_test,TRIM(AP150),_xlpm.r,IFERROR(_xlfn.XLOOKUP(_xlpm.ai_test,BP16:BP63,ROW(BP16:BP63),0,1),IFERROR(_xlfn.XLOOKUP(_xlpm.ai_test,BQ16:BQ63,ROW(BQ16:BQ63),0,1),_xlfn.XLOOKUP(_xlpm.ai_test,BR16:BR63,ROW(BR16:BR63),0,1))),_xlpm.p,_xlpm.r-MIN(ROW(BP16:BP63))+1,_xlpm.f,INDEX(BS16:BS63,_xlpm.p),_xlpm.u,INDEX(BT16:BT63,_xlpm.p),_xlpm.s,INDEX(BV16:BV63,_xlpm.p),_xlpm.q,N(BA150)/_xlpm.f,IF(_xlpm.q&gt;=_xlpm.s,ROUND(_xlpm.q,1)&amp;" "&amp;_xlpm.ai_test&amp;" = "&amp;ROUND(_xlpm.q*_xlpm.f,1)&amp;" "&amp;_xlpm.u,ROUND(_xlpm.q,1)&amp;" "&amp;_xlpm.ai_test)),""),""))))</f>
        <v>0</v>
      </c>
      <c r="BD150" s="801"/>
      <c r="BE150" s="799" t="str">
        <f t="shared" si="70"/>
        <v/>
      </c>
      <c r="BF150" s="800" t="str">
        <f t="shared" si="77"/>
        <v/>
      </c>
      <c r="BG150" s="802">
        <f t="shared" si="78"/>
        <v>0</v>
      </c>
      <c r="BH150" s="803" t="str">
        <f t="shared" si="79"/>
        <v/>
      </c>
      <c r="BI150" s="792"/>
      <c r="BJ150" s="804">
        <f t="shared" si="80"/>
        <v>0</v>
      </c>
      <c r="BK150" s="794" t="str">
        <f t="shared" si="71"/>
        <v/>
      </c>
      <c r="BL150" s="227" t="s">
        <v>21</v>
      </c>
      <c r="BM150" s="773">
        <f t="shared" si="61"/>
        <v>0</v>
      </c>
      <c r="BN150" s="774">
        <f t="shared" si="62"/>
        <v>0</v>
      </c>
      <c r="BO150"/>
      <c r="BX150"/>
      <c r="BY150"/>
      <c r="BZ150"/>
      <c r="CA150"/>
      <c r="CB150"/>
      <c r="CC150"/>
      <c r="CD150" s="781" t="str">
        <f t="shared" si="85"/>
        <v>►</v>
      </c>
      <c r="CE150"/>
      <c r="CF150"/>
      <c r="CG150"/>
      <c r="CH150"/>
      <c r="CI150"/>
      <c r="CJ150" s="633"/>
      <c r="DI150" s="3">
        <v>1</v>
      </c>
    </row>
    <row r="151" spans="1:113" s="627" customFormat="1" ht="21" customHeight="1">
      <c r="A151" s="701" t="s">
        <v>21</v>
      </c>
      <c r="B151" s="2265" t="str" cm="1">
        <f t="array" ref="B151">SUMPRODUCT(--(D151:J151&lt;&gt;""), LEN(TRIM(SUBSTITUTE(D151:J151, CHAR(160), "")))) &amp; " Car."</f>
        <v>0 Car.</v>
      </c>
      <c r="C151" s="1376" t="str">
        <f>IF(ISBLANK(D151),"",LARGE(C13:C150,1)+1)</f>
        <v/>
      </c>
      <c r="D151" s="1833"/>
      <c r="E151" s="1810"/>
      <c r="F151" s="1810"/>
      <c r="G151" s="1810"/>
      <c r="H151" s="1810"/>
      <c r="I151" s="1810"/>
      <c r="J151" s="1810"/>
      <c r="K151" s="1810"/>
      <c r="L151" s="1811"/>
      <c r="M151" s="9"/>
      <c r="N151" s="162" t="str">
        <f t="shared" si="88"/>
        <v>A</v>
      </c>
      <c r="O151" s="1616"/>
      <c r="P151" s="9"/>
      <c r="Q151" s="162" t="s">
        <v>10</v>
      </c>
      <c r="R151" s="163" t="str">
        <f>R123</f>
        <v>C COULIS DE MANGUE | pâtisserie--ENTREMET| Auteur &gt; recette Béghin Say de Jean-Jacques Borne MOF 1994</v>
      </c>
      <c r="S151" s="163">
        <f>S123</f>
        <v>18</v>
      </c>
      <c r="T151" s="164" t="str">
        <f>T123</f>
        <v>desserts</v>
      </c>
      <c r="U151" s="165" t="str">
        <f>U123</f>
        <v>Recette mère ► MILLE-FEUILLE  aux fraises des bois</v>
      </c>
      <c r="V151" s="1548"/>
      <c r="W151" s="1548"/>
      <c r="X151" s="2190">
        <f>ROWS(AB142:AB151)</f>
        <v>10</v>
      </c>
      <c r="Y151" s="5549" t="str" cm="1">
        <f t="array" ref="Y151">IF(SUMPRODUCT((AB151:AG151&lt;&gt;"")*1)=0,"",SUMPRODUCT((AB151:AG151&lt;&gt;"")*(LEN(TRIM(SUBSTITUTE(AB151:AG151,CHAR(160)," "))) - LEN(SUBSTITUTE(TRIM(SUBSTITUTE(AB151:AG151,CHAR(160)," "))," ","")) + 1)) &amp; " mot" &amp; IF(SUMPRODUCT((AB151:AG151&lt;&gt;"")*(LEN(TRIM(SUBSTITUTE(AB151:AG151,CHAR(160)," "))) - LEN(SUBSTITUTE(TRIM(SUBSTITUTE(AB151:AG151,CHAR(160)," "))," ","")) + 1))&gt;1,"s",""))</f>
        <v/>
      </c>
      <c r="Z151" s="5550" t="str" cm="1">
        <f t="array" ref="Z151">SUMPRODUCT(--(AB151:AG151&lt;&gt;""), LEN(TRIM(SUBSTITUTE(AB151:AG151, CHAR(160), "")))) &amp; " Car."</f>
        <v>0 Car.</v>
      </c>
      <c r="AA151" s="1376" t="str">
        <f>IF(ISBLANK(AB151),"",LARGE(AA141:AA150,1)+1)</f>
        <v/>
      </c>
      <c r="AB151" s="1810"/>
      <c r="AC151" s="1810"/>
      <c r="AD151" s="1810"/>
      <c r="AE151" s="1810"/>
      <c r="AF151" s="1810"/>
      <c r="AG151" s="1810"/>
      <c r="AH151" s="1810"/>
      <c r="AI151" s="1810"/>
      <c r="AJ151" s="1811"/>
      <c r="AK151" s="6120" t="str">
        <f t="shared" si="72"/>
        <v>►</v>
      </c>
      <c r="AL151" s="781" t="str">
        <f t="shared" ref="AL151:AL214" si="90">IF(OR(AU151&gt;0,TRIM(AM151)="▼ recette suivante"),"A","►")</f>
        <v>►</v>
      </c>
      <c r="AM151" s="5499" t="str">
        <f t="shared" si="63"/>
        <v/>
      </c>
      <c r="AN151" s="783" t="str">
        <f t="shared" si="64"/>
        <v/>
      </c>
      <c r="AO151" s="782" t="str">
        <f t="shared" si="65"/>
        <v/>
      </c>
      <c r="AP151" s="783" t="str">
        <f t="shared" si="66"/>
        <v/>
      </c>
      <c r="AQ151" s="2083" t="b">
        <f>AND(Q151="A",COUNTIF(BP16:BR63,TRIM(Z151))&gt;0)</f>
        <v>0</v>
      </c>
      <c r="AR151" s="797" t="str">
        <f>IF(AL151&lt;&gt;"A","",IFERROR(IFERROR(_xlfn.XLOOKUP(TRIM(SUBSTITUTE(Z151,CHAR(160)," ")),BP16:BP63,BS16:BS63),IFERROR(_xlfn.XLOOKUP(TRIM(SUBSTITUTE(Z151,CHAR(160)," ")),BQ16:BQ63,BS16:BS63),_xlfn.XLOOKUP(TRIM(SUBSTITUTE(Z151,CHAR(160)," ")),BR16:BR63,BS16:BS63)))*Y151*IF(ISBLANK(V151),1,V151),0))</f>
        <v/>
      </c>
      <c r="AS151" s="784" t="str">
        <f t="shared" si="84"/>
        <v/>
      </c>
      <c r="AT151" s="1315" t="str">
        <f t="shared" si="67"/>
        <v/>
      </c>
      <c r="AU151" s="785">
        <f t="shared" si="68"/>
        <v>0</v>
      </c>
      <c r="AV151" s="785">
        <f t="shared" si="69"/>
        <v>0</v>
      </c>
      <c r="AW151" s="786">
        <f>IF(AK151="A",AY10,0)</f>
        <v>0</v>
      </c>
      <c r="AX151" s="5495" t="str">
        <f>IF(IFERROR(SEARCH("Adresse PC",TRIM(W151)),0)&gt;0,"▼ receta siguiente",IF(AK151="A",IF(AZ10&lt;&gt;"",AZ10&amp;" - ou.or.o ❾ + or - &gt;",""),""))</f>
        <v/>
      </c>
      <c r="AY151" s="810"/>
      <c r="AZ151" s="810"/>
      <c r="BA151" s="788" t="str">
        <f t="shared" si="89"/>
        <v/>
      </c>
      <c r="BB151" s="789" t="str">
        <f>IF(AK151="A",IF(AQ151,IF(AND(AW151&lt;&gt;"",N(AW151)&gt;0),IFERROR(IFERROR(_xlfn.XLOOKUP(AP151,BP10:BP57,BT10:BT57),IFERROR(_xlfn.XLOOKUP(AP151,BQ10:BQ57,BT10:BT57),_xlfn.XLOOKUP(AP151,BR10:BR57,BT10:BT57,""))),""),""),""),"")</f>
        <v/>
      </c>
      <c r="BC151" s="811" cm="1">
        <f t="array" ref="BC151">IF(NOT(AQ151),0,IF(OR(BA151="",N(BA151)&lt;=0.000000001),"",IF(OR(AU151="",N(AU151)&lt;=0.000000001),0,IF(ISNUMBER(BA151),IFERROR(_xlfn.LET(_xlpm.ai_test,TRIM(AP151),_xlpm.r,IFERROR(_xlfn.XLOOKUP(_xlpm.ai_test,BP16:BP63,ROW(BP16:BP63),0,1),IFERROR(_xlfn.XLOOKUP(_xlpm.ai_test,BQ16:BQ63,ROW(BQ16:BQ63),0,1),_xlfn.XLOOKUP(_xlpm.ai_test,BR16:BR63,ROW(BR16:BR63),0,1))),_xlpm.p,_xlpm.r-MIN(ROW(BP16:BP63))+1,_xlpm.f,INDEX(BS16:BS63,_xlpm.p),_xlpm.u,INDEX(BT16:BT63,_xlpm.p),_xlpm.s,INDEX(BV16:BV63,_xlpm.p),_xlpm.q,N(BA151)/_xlpm.f,IF(_xlpm.q&gt;=_xlpm.s,ROUND(_xlpm.q,1)&amp;" "&amp;_xlpm.ai_test&amp;" = "&amp;ROUND(_xlpm.q*_xlpm.f,1)&amp;" "&amp;_xlpm.u,ROUND(_xlpm.q,1)&amp;" "&amp;_xlpm.ai_test)),""),""))))</f>
        <v>0</v>
      </c>
      <c r="BD151" s="801"/>
      <c r="BE151" s="788" t="str">
        <f t="shared" si="70"/>
        <v/>
      </c>
      <c r="BF151" s="789" t="str">
        <f t="shared" si="77"/>
        <v/>
      </c>
      <c r="BG151" s="790">
        <f t="shared" si="78"/>
        <v>0</v>
      </c>
      <c r="BH151" s="791" t="str">
        <f t="shared" si="79"/>
        <v/>
      </c>
      <c r="BI151" s="792"/>
      <c r="BJ151" s="793">
        <f t="shared" si="80"/>
        <v>0</v>
      </c>
      <c r="BK151" s="794" t="str">
        <f t="shared" si="71"/>
        <v/>
      </c>
      <c r="BL151" s="227" t="s">
        <v>21</v>
      </c>
      <c r="BM151" s="773">
        <f t="shared" ref="BM151:BM214" si="91">IFERROR(_xlfn.LET(_xlpm.EPS,0.000000001,_xlpm.b,V151/AU151,IF(ISNUMBER(AY151),_xlpm.b*AY151,IF(OR(ISBLANK(AY151),AY151=""),_xlpm.b*AW151,IF(AND(BN151=0,ISNUMBER(V151)),_xlpm.b/AW151,0)))),0)</f>
        <v>0</v>
      </c>
      <c r="BN151" s="774">
        <f t="shared" ref="BN151:BN214" si="92">IF(AR151&gt;0,IFERROR(IF(OR(ISBLANK(AY151),AY151=""),AW151,AY151)/AU151,0),0)</f>
        <v>0</v>
      </c>
      <c r="BO151"/>
      <c r="BX151"/>
      <c r="BY151"/>
      <c r="BZ151"/>
      <c r="CA151"/>
      <c r="CB151"/>
      <c r="CC151"/>
      <c r="CD151" s="781" t="str">
        <f t="shared" si="85"/>
        <v>►</v>
      </c>
      <c r="CE151"/>
      <c r="CF151"/>
      <c r="CG151"/>
      <c r="CH151"/>
      <c r="CI151"/>
      <c r="CJ151" s="633"/>
      <c r="DI151" s="3">
        <v>1</v>
      </c>
    </row>
    <row r="152" spans="1:113" s="627" customFormat="1" ht="21" customHeight="1">
      <c r="A152" s="701" t="s">
        <v>21</v>
      </c>
      <c r="B152" s="2265" t="str" cm="1">
        <f t="array" ref="B152">SUMPRODUCT(--(D152:J152&lt;&gt;""), LEN(TRIM(SUBSTITUTE(D152:J152, CHAR(160), "")))) &amp; " Car."</f>
        <v>0 Car.</v>
      </c>
      <c r="C152" s="1376" t="str">
        <f>IF(ISBLANK(D152),"",LARGE(C13:C151,1)+1)</f>
        <v/>
      </c>
      <c r="D152" s="1833"/>
      <c r="E152" s="1810"/>
      <c r="F152" s="1810"/>
      <c r="G152" s="1810"/>
      <c r="H152" s="1810"/>
      <c r="I152" s="1810"/>
      <c r="J152" s="1810"/>
      <c r="K152" s="1810"/>
      <c r="L152" s="1811"/>
      <c r="M152" s="9"/>
      <c r="N152" s="162" t="str">
        <f t="shared" si="88"/>
        <v>A</v>
      </c>
      <c r="O152" s="1616"/>
      <c r="P152" s="9"/>
      <c r="Q152" s="162" t="s">
        <v>10</v>
      </c>
      <c r="R152" s="163" t="str">
        <f>R123</f>
        <v>C COULIS DE MANGUE | pâtisserie--ENTREMET| Auteur &gt; recette Béghin Say de Jean-Jacques Borne MOF 1994</v>
      </c>
      <c r="S152" s="1943">
        <f>S123</f>
        <v>18</v>
      </c>
      <c r="T152" s="164" t="str">
        <f>T123</f>
        <v>desserts</v>
      </c>
      <c r="U152" s="165" t="str">
        <f>U123</f>
        <v>Recette mère ► MILLE-FEUILLE  aux fraises des bois</v>
      </c>
      <c r="V152" s="1548"/>
      <c r="W152" s="1548"/>
      <c r="X152" s="2190">
        <f>ROWS(AB142:AB152)</f>
        <v>11</v>
      </c>
      <c r="Y152" s="5549" t="str" cm="1">
        <f t="array" ref="Y152">IF(SUMPRODUCT((AB152:AG152&lt;&gt;"")*1)=0,"",SUMPRODUCT((AB152:AG152&lt;&gt;"")*(LEN(TRIM(SUBSTITUTE(AB152:AG152,CHAR(160)," "))) - LEN(SUBSTITUTE(TRIM(SUBSTITUTE(AB152:AG152,CHAR(160)," "))," ","")) + 1)) &amp; " mot" &amp; IF(SUMPRODUCT((AB152:AG152&lt;&gt;"")*(LEN(TRIM(SUBSTITUTE(AB152:AG152,CHAR(160)," "))) - LEN(SUBSTITUTE(TRIM(SUBSTITUTE(AB152:AG152,CHAR(160)," "))," ","")) + 1))&gt;1,"s",""))</f>
        <v/>
      </c>
      <c r="Z152" s="5550" t="str" cm="1">
        <f t="array" ref="Z152">SUMPRODUCT(--(AB152:AG152&lt;&gt;""), LEN(TRIM(SUBSTITUTE(AB152:AG152, CHAR(160), "")))) &amp; " Car."</f>
        <v>0 Car.</v>
      </c>
      <c r="AA152" s="1376" t="str">
        <f>IF(ISBLANK(AB152),"",LARGE(AA141:AA151,1)+1)</f>
        <v/>
      </c>
      <c r="AB152" s="1810"/>
      <c r="AC152" s="1810"/>
      <c r="AD152" s="1810"/>
      <c r="AE152" s="1810"/>
      <c r="AF152" s="1810"/>
      <c r="AG152" s="1810"/>
      <c r="AH152" s="1810"/>
      <c r="AI152" s="1810"/>
      <c r="AJ152" s="1811"/>
      <c r="AK152" s="6120" t="str">
        <f t="shared" si="72"/>
        <v>►</v>
      </c>
      <c r="AL152" s="781" t="str">
        <f t="shared" si="90"/>
        <v>►</v>
      </c>
      <c r="AM152" s="5498" t="str">
        <f t="shared" ref="AM152:AM215" si="93">IF(IFERROR(SEARCH("Adresse PC",TRIM(SUBSTITUTE(W152,CHAR(160)," "))),0)&gt;0,"▼ recette suivante",IF(AK152="A",R152,""))</f>
        <v/>
      </c>
      <c r="AN152" s="783" t="str">
        <f t="shared" ref="AN152:AN215" si="94">IF(AK152="A",S152,"")</f>
        <v/>
      </c>
      <c r="AO152" s="782" t="str">
        <f t="shared" ref="AO152:AO215" si="95">IF(AK152="A",T152,"")</f>
        <v/>
      </c>
      <c r="AP152" s="783" t="str">
        <f t="shared" ref="AP152:AP215" si="96">IF(AK152="A",Z152,"")</f>
        <v/>
      </c>
      <c r="AQ152" s="2083" t="b">
        <f>AND(Q152="A",COUNTIF(BP16:BR63,TRIM(Z152))&gt;0)</f>
        <v>0</v>
      </c>
      <c r="AR152" s="797" t="str">
        <f>IF(AL152&lt;&gt;"A","",IFERROR(IFERROR(_xlfn.XLOOKUP(TRIM(SUBSTITUTE(Z152,CHAR(160)," ")),BP16:BP63,BS16:BS63),IFERROR(_xlfn.XLOOKUP(TRIM(SUBSTITUTE(Z152,CHAR(160)," ")),BQ16:BQ63,BS16:BS63),_xlfn.XLOOKUP(TRIM(SUBSTITUTE(Z152,CHAR(160)," ")),BR16:BR63,BS16:BS63)))*Y152*IF(ISBLANK(V152),1,V152),0))</f>
        <v/>
      </c>
      <c r="AS152" s="784" t="str">
        <f t="shared" si="84"/>
        <v/>
      </c>
      <c r="AT152" s="1315" t="str">
        <f t="shared" ref="AT152:AT215" si="97">IF(AK152="A","❾ Author reference &gt;","")</f>
        <v/>
      </c>
      <c r="AU152" s="785">
        <f t="shared" ref="AU152:AU215" si="98">IF(AK152="A",S152,0)</f>
        <v>0</v>
      </c>
      <c r="AV152" s="785">
        <f t="shared" ref="AV152:AV215" si="99">IF(AK152="A",T152,0)</f>
        <v>0</v>
      </c>
      <c r="AW152" s="798">
        <f>IF(AK152="A",AY10,0)</f>
        <v>0</v>
      </c>
      <c r="AX152" s="5496" t="str">
        <f>IF(IFERROR(SEARCH("Adresse PC",TRIM(W152)),0)&gt;0,"▼ receta siguiente",IF(AK152="A",IF(AZ10&lt;&gt;"",AZ10&amp;" - ou.or.o ❾ + or - &gt;",""),""))</f>
        <v/>
      </c>
      <c r="AY152" s="810"/>
      <c r="AZ152" s="810"/>
      <c r="BA152" s="799" t="str">
        <f t="shared" si="89"/>
        <v/>
      </c>
      <c r="BB152" s="800" t="str">
        <f>IF(AK152="A",IF(AQ152,IF(AND(AW152&lt;&gt;"",N(AW152)&gt;0),IFERROR(IFERROR(_xlfn.XLOOKUP(AP152,BP10:BP57,BT10:BT57),IFERROR(_xlfn.XLOOKUP(AP152,BQ10:BQ57,BT10:BT57),_xlfn.XLOOKUP(AP152,BR10:BR57,BT10:BT57,""))),""),""),""),"")</f>
        <v/>
      </c>
      <c r="BC152" s="813" cm="1">
        <f t="array" ref="BC152">IF(NOT(AQ152),0,IF(OR(BA152="",N(BA152)&lt;=0.000000001),"",IF(OR(AU152="",N(AU152)&lt;=0.000000001),0,IF(ISNUMBER(BA152),IFERROR(_xlfn.LET(_xlpm.ai_test,TRIM(AP152),_xlpm.r,IFERROR(_xlfn.XLOOKUP(_xlpm.ai_test,BP16:BP63,ROW(BP16:BP63),0,1),IFERROR(_xlfn.XLOOKUP(_xlpm.ai_test,BQ16:BQ63,ROW(BQ16:BQ63),0,1),_xlfn.XLOOKUP(_xlpm.ai_test,BR16:BR63,ROW(BR16:BR63),0,1))),_xlpm.p,_xlpm.r-MIN(ROW(BP16:BP63))+1,_xlpm.f,INDEX(BS16:BS63,_xlpm.p),_xlpm.u,INDEX(BT16:BT63,_xlpm.p),_xlpm.s,INDEX(BV16:BV63,_xlpm.p),_xlpm.q,N(BA152)/_xlpm.f,IF(_xlpm.q&gt;=_xlpm.s,ROUND(_xlpm.q,1)&amp;" "&amp;_xlpm.ai_test&amp;" = "&amp;ROUND(_xlpm.q*_xlpm.f,1)&amp;" "&amp;_xlpm.u,ROUND(_xlpm.q,1)&amp;" "&amp;_xlpm.ai_test)),""),""))))</f>
        <v>0</v>
      </c>
      <c r="BD152" s="801"/>
      <c r="BE152" s="799" t="str">
        <f t="shared" ref="BE152:BE215" si="100">IF(IFERROR(SEARCH("Adresse PC",TRIM(W152)),0)&gt;0,"▼next ricipe ",IF(BA152="","",IF(AK152="A",IF(ISBLANK(BD152),BA152,ROUND(BA152*(1-MIN(1,MAX(0,IF(BD152&gt;1,BD152/100,BD152)))),3)))))</f>
        <v/>
      </c>
      <c r="BF152" s="800" t="str">
        <f t="shared" si="77"/>
        <v/>
      </c>
      <c r="BG152" s="802">
        <f t="shared" si="78"/>
        <v>0</v>
      </c>
      <c r="BH152" s="803" t="str">
        <f t="shared" si="79"/>
        <v/>
      </c>
      <c r="BI152" s="792"/>
      <c r="BJ152" s="804">
        <f t="shared" si="80"/>
        <v>0</v>
      </c>
      <c r="BK152" s="794" t="str">
        <f t="shared" ref="BK152:BK215" si="101">IF(AK152="A",IF(IFERROR(SEARCH("Adresse PC",TRIM(W152)),0)&gt;0,"▼recette suivante ",IF(BE152&gt;0,AC152,"")),"")</f>
        <v/>
      </c>
      <c r="BL152" s="227" t="s">
        <v>21</v>
      </c>
      <c r="BM152" s="773">
        <f t="shared" si="91"/>
        <v>0</v>
      </c>
      <c r="BN152" s="774">
        <f t="shared" si="92"/>
        <v>0</v>
      </c>
      <c r="BO152"/>
      <c r="BX152"/>
      <c r="BY152"/>
      <c r="BZ152"/>
      <c r="CA152"/>
      <c r="CB152"/>
      <c r="CC152"/>
      <c r="CD152" s="781" t="str">
        <f t="shared" si="85"/>
        <v>►</v>
      </c>
      <c r="CE152"/>
      <c r="CF152"/>
      <c r="CG152"/>
      <c r="CH152"/>
      <c r="CI152"/>
      <c r="CJ152" s="633"/>
      <c r="DI152" s="3">
        <v>1</v>
      </c>
    </row>
    <row r="153" spans="1:113" s="627" customFormat="1" ht="21" customHeight="1">
      <c r="A153" s="701" t="s">
        <v>21</v>
      </c>
      <c r="B153" s="2265" t="str" cm="1">
        <f t="array" ref="B153">SUMPRODUCT(--(D153:J153&lt;&gt;""), LEN(TRIM(SUBSTITUTE(D153:J153, CHAR(160), "")))) &amp; " Car."</f>
        <v>0 Car.</v>
      </c>
      <c r="C153" s="1376" t="str">
        <f>IF(ISBLANK(D153),"",LARGE(C13:C152,1)+1)</f>
        <v/>
      </c>
      <c r="D153" s="1833"/>
      <c r="E153" s="1810"/>
      <c r="F153" s="1810"/>
      <c r="G153" s="1810"/>
      <c r="H153" s="1810"/>
      <c r="I153" s="1810"/>
      <c r="J153" s="1810"/>
      <c r="K153" s="1810"/>
      <c r="L153" s="1811"/>
      <c r="M153" s="9"/>
      <c r="N153" s="162" t="str">
        <f t="shared" si="88"/>
        <v>A</v>
      </c>
      <c r="O153" s="1616"/>
      <c r="P153" s="9"/>
      <c r="Q153" s="162" t="s">
        <v>10</v>
      </c>
      <c r="R153" s="163" t="str">
        <f>R123</f>
        <v>C COULIS DE MANGUE | pâtisserie--ENTREMET| Auteur &gt; recette Béghin Say de Jean-Jacques Borne MOF 1994</v>
      </c>
      <c r="S153" s="163">
        <f>S123</f>
        <v>18</v>
      </c>
      <c r="T153" s="164" t="str">
        <f>T123</f>
        <v>desserts</v>
      </c>
      <c r="U153" s="165" t="str">
        <f>U123</f>
        <v>Recette mère ► MILLE-FEUILLE  aux fraises des bois</v>
      </c>
      <c r="V153" s="1548"/>
      <c r="W153" s="1548"/>
      <c r="X153" s="2190">
        <f>ROWS(AB142:AB153)</f>
        <v>12</v>
      </c>
      <c r="Y153" s="5549" t="str" cm="1">
        <f t="array" ref="Y153">IF(SUMPRODUCT((AB153:AG153&lt;&gt;"")*1)=0,"",SUMPRODUCT((AB153:AG153&lt;&gt;"")*(LEN(TRIM(SUBSTITUTE(AB153:AG153,CHAR(160)," "))) - LEN(SUBSTITUTE(TRIM(SUBSTITUTE(AB153:AG153,CHAR(160)," "))," ","")) + 1)) &amp; " mot" &amp; IF(SUMPRODUCT((AB153:AG153&lt;&gt;"")*(LEN(TRIM(SUBSTITUTE(AB153:AG153,CHAR(160)," "))) - LEN(SUBSTITUTE(TRIM(SUBSTITUTE(AB153:AG153,CHAR(160)," "))," ","")) + 1))&gt;1,"s",""))</f>
        <v>13 mots</v>
      </c>
      <c r="Z153" s="5550" t="str" cm="1">
        <f t="array" ref="Z153">SUMPRODUCT(--(AB153:AG153&lt;&gt;""), LEN(TRIM(SUBSTITUTE(AB153:AG153, CHAR(160), "")))) &amp; " Car."</f>
        <v>80 Car.</v>
      </c>
      <c r="AA153" s="1376" t="str">
        <f>IF(ISBLANK(AB153),"",LARGE(AA141:AA152,1)+1)</f>
        <v/>
      </c>
      <c r="AB153" s="1810"/>
      <c r="AC153" s="1810" t="s">
        <v>14252</v>
      </c>
      <c r="AD153" s="1810"/>
      <c r="AE153" s="1810"/>
      <c r="AF153" s="1810"/>
      <c r="AG153" s="1810"/>
      <c r="AH153" s="1810"/>
      <c r="AI153" s="1810"/>
      <c r="AJ153" s="1811"/>
      <c r="AK153" s="6120" t="str">
        <f t="shared" ref="AK153:AK216" si="102">IF(AND(IFERROR(SEARCH("►",AB153),0)&gt;0,ISNUMBER(IFERROR(VALUE(TRIM(SUBSTITUTE(AB153,"►",""))),NA())),AC153&lt;&gt;""),"A","►")</f>
        <v>►</v>
      </c>
      <c r="AL153" s="781" t="str">
        <f t="shared" si="90"/>
        <v>►</v>
      </c>
      <c r="AM153" s="5499" t="str">
        <f t="shared" si="93"/>
        <v/>
      </c>
      <c r="AN153" s="783" t="str">
        <f t="shared" si="94"/>
        <v/>
      </c>
      <c r="AO153" s="782" t="str">
        <f t="shared" si="95"/>
        <v/>
      </c>
      <c r="AP153" s="783" t="str">
        <f t="shared" si="96"/>
        <v/>
      </c>
      <c r="AQ153" s="2083" t="b">
        <f>AND(Q153="A",COUNTIF(BP16:BR63,TRIM(Z153))&gt;0)</f>
        <v>0</v>
      </c>
      <c r="AR153" s="797" t="str">
        <f>IF(AL153&lt;&gt;"A","",IFERROR(IFERROR(_xlfn.XLOOKUP(TRIM(SUBSTITUTE(Z153,CHAR(160)," ")),BP16:BP63,BS16:BS63),IFERROR(_xlfn.XLOOKUP(TRIM(SUBSTITUTE(Z153,CHAR(160)," ")),BQ16:BQ63,BS16:BS63),_xlfn.XLOOKUP(TRIM(SUBSTITUTE(Z153,CHAR(160)," ")),BR16:BR63,BS16:BS63)))*Y153*IF(ISBLANK(V153),1,V153),0))</f>
        <v/>
      </c>
      <c r="AS153" s="784" t="str">
        <f t="shared" si="84"/>
        <v/>
      </c>
      <c r="AT153" s="1315" t="str">
        <f t="shared" si="97"/>
        <v/>
      </c>
      <c r="AU153" s="785">
        <f t="shared" si="98"/>
        <v>0</v>
      </c>
      <c r="AV153" s="785">
        <f t="shared" si="99"/>
        <v>0</v>
      </c>
      <c r="AW153" s="786">
        <f>IF(AK153="A",AY10,0)</f>
        <v>0</v>
      </c>
      <c r="AX153" s="5495" t="str">
        <f>IF(IFERROR(SEARCH("Adresse PC",TRIM(W153)),0)&gt;0,"▼ receta siguiente",IF(AK153="A",IF(AZ10&lt;&gt;"",AZ10&amp;" - ou.or.o ❾ + or - &gt;",""),""))</f>
        <v/>
      </c>
      <c r="AY153" s="810"/>
      <c r="AZ153" s="810"/>
      <c r="BA153" s="788" t="str">
        <f t="shared" si="89"/>
        <v/>
      </c>
      <c r="BB153" s="789" t="str">
        <f>IF(AK153="A",IF(AQ153,IF(AND(AW153&lt;&gt;"",N(AW153)&gt;0),IFERROR(IFERROR(_xlfn.XLOOKUP(AP153,BP10:BP57,BT10:BT57),IFERROR(_xlfn.XLOOKUP(AP153,BQ10:BQ57,BT10:BT57),_xlfn.XLOOKUP(AP153,BR10:BR57,BT10:BT57,""))),""),""),""),"")</f>
        <v/>
      </c>
      <c r="BC153" s="811" cm="1">
        <f t="array" ref="BC153">IF(NOT(AQ153),0,IF(OR(BA153="",N(BA153)&lt;=0.000000001),"",IF(OR(AU153="",N(AU153)&lt;=0.000000001),0,IF(ISNUMBER(BA153),IFERROR(_xlfn.LET(_xlpm.ai_test,TRIM(AP153),_xlpm.r,IFERROR(_xlfn.XLOOKUP(_xlpm.ai_test,BP16:BP63,ROW(BP16:BP63),0,1),IFERROR(_xlfn.XLOOKUP(_xlpm.ai_test,BQ16:BQ63,ROW(BQ16:BQ63),0,1),_xlfn.XLOOKUP(_xlpm.ai_test,BR16:BR63,ROW(BR16:BR63),0,1))),_xlpm.p,_xlpm.r-MIN(ROW(BP16:BP63))+1,_xlpm.f,INDEX(BS16:BS63,_xlpm.p),_xlpm.u,INDEX(BT16:BT63,_xlpm.p),_xlpm.s,INDEX(BV16:BV63,_xlpm.p),_xlpm.q,N(BA153)/_xlpm.f,IF(_xlpm.q&gt;=_xlpm.s,ROUND(_xlpm.q,1)&amp;" "&amp;_xlpm.ai_test&amp;" = "&amp;ROUND(_xlpm.q*_xlpm.f,1)&amp;" "&amp;_xlpm.u,ROUND(_xlpm.q,1)&amp;" "&amp;_xlpm.ai_test)),""),""))))</f>
        <v>0</v>
      </c>
      <c r="BD153" s="801"/>
      <c r="BE153" s="788" t="str">
        <f t="shared" si="100"/>
        <v/>
      </c>
      <c r="BF153" s="789" t="str">
        <f t="shared" si="77"/>
        <v/>
      </c>
      <c r="BG153" s="790">
        <f t="shared" si="78"/>
        <v>0</v>
      </c>
      <c r="BH153" s="791" t="str">
        <f t="shared" si="79"/>
        <v/>
      </c>
      <c r="BI153" s="792"/>
      <c r="BJ153" s="793">
        <f t="shared" si="80"/>
        <v>0</v>
      </c>
      <c r="BK153" s="794" t="str">
        <f t="shared" si="101"/>
        <v/>
      </c>
      <c r="BL153" s="227" t="s">
        <v>21</v>
      </c>
      <c r="BM153" s="773">
        <f t="shared" si="91"/>
        <v>0</v>
      </c>
      <c r="BN153" s="774">
        <f t="shared" si="92"/>
        <v>0</v>
      </c>
      <c r="BO153"/>
      <c r="BX153"/>
      <c r="BY153"/>
      <c r="BZ153"/>
      <c r="CA153"/>
      <c r="CB153"/>
      <c r="CC153"/>
      <c r="CD153" s="781" t="str">
        <f t="shared" si="85"/>
        <v>►</v>
      </c>
      <c r="CE153"/>
      <c r="CF153"/>
      <c r="CG153"/>
      <c r="CH153"/>
      <c r="CI153"/>
      <c r="CJ153" s="633"/>
      <c r="DI153" s="3">
        <v>1</v>
      </c>
    </row>
    <row r="154" spans="1:113" s="627" customFormat="1" ht="21" customHeight="1" thickBot="1">
      <c r="A154" s="701" t="s">
        <v>21</v>
      </c>
      <c r="B154" s="2265" t="str" cm="1">
        <f t="array" ref="B154">SUMPRODUCT(--(D154:J154&lt;&gt;""), LEN(TRIM(SUBSTITUTE(D154:J154, CHAR(160), "")))) &amp; " Car."</f>
        <v>0 Car.</v>
      </c>
      <c r="C154" s="1376" t="str">
        <f>IF(ISBLANK(D154),"",LARGE(C13:C153,1)+1)</f>
        <v/>
      </c>
      <c r="D154" s="1833"/>
      <c r="E154" s="1810"/>
      <c r="F154" s="1810"/>
      <c r="G154" s="1810"/>
      <c r="H154" s="1810"/>
      <c r="I154" s="1810"/>
      <c r="J154" s="1810"/>
      <c r="K154" s="1810"/>
      <c r="L154" s="1811"/>
      <c r="M154" s="9"/>
      <c r="N154" s="162" t="str">
        <f t="shared" si="88"/>
        <v>A</v>
      </c>
      <c r="O154" s="1616"/>
      <c r="P154" s="9"/>
      <c r="Q154" s="162" t="s">
        <v>10</v>
      </c>
      <c r="R154" s="163" t="str">
        <f>R123</f>
        <v>C COULIS DE MANGUE | pâtisserie--ENTREMET| Auteur &gt; recette Béghin Say de Jean-Jacques Borne MOF 1994</v>
      </c>
      <c r="S154" s="163">
        <f>S123</f>
        <v>18</v>
      </c>
      <c r="T154" s="164" t="str">
        <f>T123</f>
        <v>desserts</v>
      </c>
      <c r="U154" s="165" t="str">
        <f>U123</f>
        <v>Recette mère ► MILLE-FEUILLE  aux fraises des bois</v>
      </c>
      <c r="V154" s="172"/>
      <c r="W154" s="1378" t="s">
        <v>207</v>
      </c>
      <c r="X154" s="1712" t="s">
        <v>8475</v>
      </c>
      <c r="Y154" s="176"/>
      <c r="Z154" s="176"/>
      <c r="AA154" s="176"/>
      <c r="AB154" s="176"/>
      <c r="AC154" s="176"/>
      <c r="AD154" s="176"/>
      <c r="AE154" s="176"/>
      <c r="AF154" s="176"/>
      <c r="AG154" s="176"/>
      <c r="AH154" s="176"/>
      <c r="AI154" s="176"/>
      <c r="AJ154" s="884"/>
      <c r="AK154" s="6120" t="str">
        <f t="shared" si="102"/>
        <v>►</v>
      </c>
      <c r="AL154" s="781" t="str">
        <f t="shared" si="90"/>
        <v>A</v>
      </c>
      <c r="AM154" s="5498" t="str">
        <f t="shared" si="93"/>
        <v>▼ recette suivante</v>
      </c>
      <c r="AN154" s="783" t="str">
        <f t="shared" si="94"/>
        <v/>
      </c>
      <c r="AO154" s="782" t="str">
        <f t="shared" si="95"/>
        <v/>
      </c>
      <c r="AP154" s="783" t="str">
        <f t="shared" si="96"/>
        <v/>
      </c>
      <c r="AQ154" s="2083" t="b">
        <f>AND(Q154="A",COUNTIF(BP16:BR63,TRIM(Z154))&gt;0)</f>
        <v>0</v>
      </c>
      <c r="AR154" s="797">
        <f>IF(AL154&lt;&gt;"A","",IFERROR(IFERROR(_xlfn.XLOOKUP(TRIM(SUBSTITUTE(Z154,CHAR(160)," ")),BP16:BP63,BS16:BS63),IFERROR(_xlfn.XLOOKUP(TRIM(SUBSTITUTE(Z154,CHAR(160)," ")),BQ16:BQ63,BS16:BS63),_xlfn.XLOOKUP(TRIM(SUBSTITUTE(Z154,CHAR(160)," ")),BR16:BR63,BS16:BS63)))*Y154*IF(ISBLANK(V154),1,V154),0))</f>
        <v>0</v>
      </c>
      <c r="AS154" s="784" t="str">
        <f t="shared" si="84"/>
        <v/>
      </c>
      <c r="AT154" s="1315" t="str">
        <f t="shared" si="97"/>
        <v/>
      </c>
      <c r="AU154" s="785">
        <f t="shared" si="98"/>
        <v>0</v>
      </c>
      <c r="AV154" s="785">
        <f t="shared" si="99"/>
        <v>0</v>
      </c>
      <c r="AW154" s="798">
        <f>IF(AK154="A",AY10,0)</f>
        <v>0</v>
      </c>
      <c r="AX154" s="5496" t="str">
        <f>IF(IFERROR(SEARCH("Adresse PC",TRIM(W154)),0)&gt;0,"▼ receta siguiente",IF(AK154="A",IF(AZ10&lt;&gt;"",AZ10&amp;" - ou.or.o ❾ + or - &gt;",""),""))</f>
        <v>▼ receta siguiente</v>
      </c>
      <c r="AY154" s="810"/>
      <c r="AZ154" s="810"/>
      <c r="BA154" s="799" t="str">
        <f t="shared" si="89"/>
        <v/>
      </c>
      <c r="BB154" s="800" t="str">
        <f>IF(AK154="A",IF(AQ154,IF(AND(AW154&lt;&gt;"",N(AW154)&gt;0),IFERROR(IFERROR(_xlfn.XLOOKUP(AP154,BP10:BP57,BT10:BT57),IFERROR(_xlfn.XLOOKUP(AP154,BQ10:BQ57,BT10:BT57),_xlfn.XLOOKUP(AP154,BR10:BR57,BT10:BT57,""))),""),""),""),"")</f>
        <v/>
      </c>
      <c r="BC154" s="813" cm="1">
        <f t="array" ref="BC154">IF(NOT(AQ154),0,IF(OR(BA154="",N(BA154)&lt;=0.000000001),"",IF(OR(AU154="",N(AU154)&lt;=0.000000001),0,IF(ISNUMBER(BA154),IFERROR(_xlfn.LET(_xlpm.ai_test,TRIM(AP154),_xlpm.r,IFERROR(_xlfn.XLOOKUP(_xlpm.ai_test,BP16:BP63,ROW(BP16:BP63),0,1),IFERROR(_xlfn.XLOOKUP(_xlpm.ai_test,BQ16:BQ63,ROW(BQ16:BQ63),0,1),_xlfn.XLOOKUP(_xlpm.ai_test,BR16:BR63,ROW(BR16:BR63),0,1))),_xlpm.p,_xlpm.r-MIN(ROW(BP16:BP63))+1,_xlpm.f,INDEX(BS16:BS63,_xlpm.p),_xlpm.u,INDEX(BT16:BT63,_xlpm.p),_xlpm.s,INDEX(BV16:BV63,_xlpm.p),_xlpm.q,N(BA154)/_xlpm.f,IF(_xlpm.q&gt;=_xlpm.s,ROUND(_xlpm.q,1)&amp;" "&amp;_xlpm.ai_test&amp;" = "&amp;ROUND(_xlpm.q*_xlpm.f,1)&amp;" "&amp;_xlpm.u,ROUND(_xlpm.q,1)&amp;" "&amp;_xlpm.ai_test)),""),""))))</f>
        <v>0</v>
      </c>
      <c r="BD154" s="801"/>
      <c r="BE154" s="799" t="str">
        <f t="shared" si="100"/>
        <v xml:space="preserve">▼next ricipe </v>
      </c>
      <c r="BF154" s="800" t="str">
        <f t="shared" si="77"/>
        <v/>
      </c>
      <c r="BG154" s="802">
        <f t="shared" si="78"/>
        <v>0</v>
      </c>
      <c r="BH154" s="803" t="str">
        <f t="shared" si="79"/>
        <v/>
      </c>
      <c r="BI154" s="792"/>
      <c r="BJ154" s="804">
        <f t="shared" si="80"/>
        <v>0</v>
      </c>
      <c r="BK154" s="794" t="str">
        <f t="shared" si="101"/>
        <v/>
      </c>
      <c r="BL154" s="227" t="s">
        <v>21</v>
      </c>
      <c r="BM154" s="773">
        <f t="shared" si="91"/>
        <v>0</v>
      </c>
      <c r="BN154" s="774">
        <f t="shared" si="92"/>
        <v>0</v>
      </c>
      <c r="BO154"/>
      <c r="BX154"/>
      <c r="BY154"/>
      <c r="BZ154"/>
      <c r="CA154"/>
      <c r="CB154"/>
      <c r="CC154"/>
      <c r="CD154" s="781" t="str">
        <f t="shared" si="85"/>
        <v>A</v>
      </c>
      <c r="CE154"/>
      <c r="CF154"/>
      <c r="CG154"/>
      <c r="CH154"/>
      <c r="CI154"/>
      <c r="CJ154" s="633"/>
      <c r="DI154" s="3">
        <v>1</v>
      </c>
    </row>
    <row r="155" spans="1:113" s="627" customFormat="1" ht="21" customHeight="1">
      <c r="A155" s="701" t="s">
        <v>21</v>
      </c>
      <c r="B155" s="2265" t="str" cm="1">
        <f t="array" ref="B155">SUMPRODUCT(--(D155:J155&lt;&gt;""), LEN(TRIM(SUBSTITUTE(D155:J155, CHAR(160), "")))) &amp; " Car."</f>
        <v>0 Car.</v>
      </c>
      <c r="C155" s="1376" t="str">
        <f>IF(ISBLANK(D155),"",LARGE(C13:C154,1)+1)</f>
        <v/>
      </c>
      <c r="D155" s="1833"/>
      <c r="E155" s="1810"/>
      <c r="F155" s="1810"/>
      <c r="G155" s="1810"/>
      <c r="H155" s="1810"/>
      <c r="I155" s="1810"/>
      <c r="J155" s="1810"/>
      <c r="K155" s="1810"/>
      <c r="L155" s="1811"/>
      <c r="M155" s="9"/>
      <c r="N155" s="162" t="str">
        <f t="shared" si="88"/>
        <v>A</v>
      </c>
      <c r="O155" s="1616"/>
      <c r="P155" s="9"/>
      <c r="Q155" s="162" t="s">
        <v>10</v>
      </c>
      <c r="R155" s="163" t="str">
        <f>R123</f>
        <v>C COULIS DE MANGUE | pâtisserie--ENTREMET| Auteur &gt; recette Béghin Say de Jean-Jacques Borne MOF 1994</v>
      </c>
      <c r="S155" s="163">
        <f>S123</f>
        <v>18</v>
      </c>
      <c r="T155" s="164" t="str">
        <f>T123</f>
        <v>desserts</v>
      </c>
      <c r="U155" s="165" t="str">
        <f>U123</f>
        <v>Recette mère ► MILLE-FEUILLE  aux fraises des bois</v>
      </c>
      <c r="V155" s="1379"/>
      <c r="W155" s="1380"/>
      <c r="X155" s="1380"/>
      <c r="Y155" s="1380"/>
      <c r="Z155" s="1380"/>
      <c r="AA155" s="1380"/>
      <c r="AB155" s="1380"/>
      <c r="AC155" s="1381" t="s">
        <v>196</v>
      </c>
      <c r="AD155" s="202"/>
      <c r="AE155" s="202"/>
      <c r="AF155" s="202"/>
      <c r="AG155" s="202"/>
      <c r="AH155" s="202"/>
      <c r="AI155" s="202"/>
      <c r="AJ155" s="885"/>
      <c r="AK155" s="6120" t="str">
        <f t="shared" si="102"/>
        <v>►</v>
      </c>
      <c r="AL155" s="781" t="str">
        <f t="shared" si="90"/>
        <v>►</v>
      </c>
      <c r="AM155" s="5499" t="str">
        <f t="shared" si="93"/>
        <v/>
      </c>
      <c r="AN155" s="783" t="str">
        <f t="shared" si="94"/>
        <v/>
      </c>
      <c r="AO155" s="782" t="str">
        <f t="shared" si="95"/>
        <v/>
      </c>
      <c r="AP155" s="783" t="str">
        <f t="shared" si="96"/>
        <v/>
      </c>
      <c r="AQ155" s="2083" t="b">
        <f>AND(Q155="A",COUNTIF(BP16:BR63,TRIM(Z155))&gt;0)</f>
        <v>0</v>
      </c>
      <c r="AR155" s="797" t="str">
        <f>IF(AL155&lt;&gt;"A","",IFERROR(IFERROR(_xlfn.XLOOKUP(TRIM(SUBSTITUTE(Z155,CHAR(160)," ")),BP16:BP63,BS16:BS63),IFERROR(_xlfn.XLOOKUP(TRIM(SUBSTITUTE(Z155,CHAR(160)," ")),BQ16:BQ63,BS16:BS63),_xlfn.XLOOKUP(TRIM(SUBSTITUTE(Z155,CHAR(160)," ")),BR16:BR63,BS16:BS63)))*Y155*IF(ISBLANK(V155),1,V155),0))</f>
        <v/>
      </c>
      <c r="AS155" s="784" t="str">
        <f t="shared" si="84"/>
        <v/>
      </c>
      <c r="AT155" s="1315" t="str">
        <f t="shared" si="97"/>
        <v/>
      </c>
      <c r="AU155" s="785">
        <f t="shared" si="98"/>
        <v>0</v>
      </c>
      <c r="AV155" s="785">
        <f t="shared" si="99"/>
        <v>0</v>
      </c>
      <c r="AW155" s="786">
        <f>IF(AK155="A",AY10,0)</f>
        <v>0</v>
      </c>
      <c r="AX155" s="5495" t="str">
        <f>IF(IFERROR(SEARCH("Adresse PC",TRIM(W155)),0)&gt;0,"▼ receta siguiente",IF(AK155="A",IF(AZ10&lt;&gt;"",AZ10&amp;" - ou.or.o ❾ + or - &gt;",""),""))</f>
        <v/>
      </c>
      <c r="AY155" s="810"/>
      <c r="AZ155" s="810"/>
      <c r="BA155" s="788" t="str">
        <f t="shared" si="89"/>
        <v/>
      </c>
      <c r="BB155" s="789" t="str">
        <f>IF(AK155="A",IF(AQ155,IF(AND(AW155&lt;&gt;"",N(AW155)&gt;0),IFERROR(IFERROR(_xlfn.XLOOKUP(AP155,BP10:BP57,BT10:BT57),IFERROR(_xlfn.XLOOKUP(AP155,BQ10:BQ57,BT10:BT57),_xlfn.XLOOKUP(AP155,BR10:BR57,BT10:BT57,""))),""),""),""),"")</f>
        <v/>
      </c>
      <c r="BC155" s="811" cm="1">
        <f t="array" ref="BC155">IF(NOT(AQ155),0,IF(OR(BA155="",N(BA155)&lt;=0.000000001),"",IF(OR(AU155="",N(AU155)&lt;=0.000000001),0,IF(ISNUMBER(BA155),IFERROR(_xlfn.LET(_xlpm.ai_test,TRIM(AP155),_xlpm.r,IFERROR(_xlfn.XLOOKUP(_xlpm.ai_test,BP16:BP63,ROW(BP16:BP63),0,1),IFERROR(_xlfn.XLOOKUP(_xlpm.ai_test,BQ16:BQ63,ROW(BQ16:BQ63),0,1),_xlfn.XLOOKUP(_xlpm.ai_test,BR16:BR63,ROW(BR16:BR63),0,1))),_xlpm.p,_xlpm.r-MIN(ROW(BP16:BP63))+1,_xlpm.f,INDEX(BS16:BS63,_xlpm.p),_xlpm.u,INDEX(BT16:BT63,_xlpm.p),_xlpm.s,INDEX(BV16:BV63,_xlpm.p),_xlpm.q,N(BA155)/_xlpm.f,IF(_xlpm.q&gt;=_xlpm.s,ROUND(_xlpm.q,1)&amp;" "&amp;_xlpm.ai_test&amp;" = "&amp;ROUND(_xlpm.q*_xlpm.f,1)&amp;" "&amp;_xlpm.u,ROUND(_xlpm.q,1)&amp;" "&amp;_xlpm.ai_test)),""),""))))</f>
        <v>0</v>
      </c>
      <c r="BD155" s="801"/>
      <c r="BE155" s="788" t="str">
        <f t="shared" si="100"/>
        <v/>
      </c>
      <c r="BF155" s="789" t="str">
        <f t="shared" si="77"/>
        <v/>
      </c>
      <c r="BG155" s="790">
        <f t="shared" si="78"/>
        <v>0</v>
      </c>
      <c r="BH155" s="791" t="str">
        <f t="shared" si="79"/>
        <v/>
      </c>
      <c r="BI155" s="792"/>
      <c r="BJ155" s="793">
        <f t="shared" si="80"/>
        <v>0</v>
      </c>
      <c r="BK155" s="794" t="str">
        <f t="shared" si="101"/>
        <v/>
      </c>
      <c r="BL155" s="227" t="s">
        <v>21</v>
      </c>
      <c r="BM155" s="773">
        <f t="shared" si="91"/>
        <v>0</v>
      </c>
      <c r="BN155" s="774">
        <f t="shared" si="92"/>
        <v>0</v>
      </c>
      <c r="BO155"/>
      <c r="BX155"/>
      <c r="BY155"/>
      <c r="BZ155"/>
      <c r="CA155"/>
      <c r="CB155"/>
      <c r="CC155"/>
      <c r="CD155" s="781" t="str">
        <f t="shared" si="85"/>
        <v>►</v>
      </c>
      <c r="CE155"/>
      <c r="CF155"/>
      <c r="CG155"/>
      <c r="CH155"/>
      <c r="CI155"/>
      <c r="CJ155" s="633"/>
      <c r="CK155"/>
      <c r="CL155"/>
      <c r="CM155"/>
      <c r="CN155"/>
      <c r="CO155"/>
      <c r="CP155"/>
      <c r="CQ155"/>
      <c r="CS155"/>
      <c r="CT155"/>
      <c r="CU155"/>
      <c r="CV155"/>
      <c r="CW155"/>
      <c r="CX155"/>
      <c r="CY155"/>
      <c r="DA155"/>
      <c r="DB155"/>
      <c r="DC155"/>
      <c r="DD155"/>
      <c r="DE155"/>
      <c r="DF155"/>
      <c r="DG155"/>
      <c r="DI155" s="3">
        <v>1</v>
      </c>
    </row>
    <row r="156" spans="1:113" s="627" customFormat="1" ht="21" customHeight="1" thickBot="1">
      <c r="A156" s="701" t="s">
        <v>21</v>
      </c>
      <c r="B156" s="2265" t="str" cm="1">
        <f t="array" ref="B156">SUMPRODUCT(--(D156:J156&lt;&gt;""), LEN(TRIM(SUBSTITUTE(D156:J156, CHAR(160), "")))) &amp; " Car."</f>
        <v>0 Car.</v>
      </c>
      <c r="C156" s="1376" t="str">
        <f>IF(ISBLANK(D156),"",LARGE(C13:C155,1)+1)</f>
        <v/>
      </c>
      <c r="D156" s="1833"/>
      <c r="E156" s="1810"/>
      <c r="F156" s="1810"/>
      <c r="G156" s="1810"/>
      <c r="H156" s="1810"/>
      <c r="I156" s="1810"/>
      <c r="J156" s="1810"/>
      <c r="K156" s="1810"/>
      <c r="L156" s="1811"/>
      <c r="M156" s="9"/>
      <c r="N156" s="162" t="str">
        <f t="shared" si="88"/>
        <v>A</v>
      </c>
      <c r="O156" s="1616"/>
      <c r="P156" s="9"/>
      <c r="Q156" s="162" t="s">
        <v>10</v>
      </c>
      <c r="R156" s="163" t="str">
        <f>R123</f>
        <v>C COULIS DE MANGUE | pâtisserie--ENTREMET| Auteur &gt; recette Béghin Say de Jean-Jacques Borne MOF 1994</v>
      </c>
      <c r="S156" s="163">
        <f>S123</f>
        <v>18</v>
      </c>
      <c r="T156" s="164" t="str">
        <f>T123</f>
        <v>desserts</v>
      </c>
      <c r="U156" s="165" t="str">
        <f>U123</f>
        <v>Recette mère ► MILLE-FEUILLE  aux fraises des bois</v>
      </c>
      <c r="V156" s="2139"/>
      <c r="W156" s="2124"/>
      <c r="X156" s="2138"/>
      <c r="Y156" s="2140" t="s">
        <v>8860</v>
      </c>
      <c r="Z156" s="2065">
        <f ca="1">Z98</f>
        <v>132</v>
      </c>
      <c r="AA156" s="886" t="s">
        <v>200</v>
      </c>
      <c r="AB156" s="2137"/>
      <c r="AC156" s="2137"/>
      <c r="AD156" s="2137"/>
      <c r="AE156" s="472"/>
      <c r="AF156" s="472"/>
      <c r="AG156" s="472"/>
      <c r="AH156" s="2260" t="str">
        <f>IF(AB157="","",(LEN(TRIM(SUBSTITUTE(AB157,CHAR(160)," ")))-LEN(SUBSTITUTE(TRIM(SUBSTITUTE(AB157,CHAR(160)," "))," ",""))+1)&amp;" mot"&amp;IF((LEN(TRIM(SUBSTITUTE(AB157,CHAR(160)," ")))-LEN(SUBSTITUTE(TRIM(SUBSTITUTE(AB157,CHAR(160)," "))," ",""))+1)&gt;1,"s",""))</f>
        <v>17 mots</v>
      </c>
      <c r="AI156" s="2259" t="str">
        <f>IF(AB157="","",LEN(TRIM(SUBSTITUTE(AB157,CHAR(160),""))))&amp;" Car."</f>
        <v>123 Car.</v>
      </c>
      <c r="AJ156" s="2261" t="s">
        <v>8863</v>
      </c>
      <c r="AK156" s="6120" t="str">
        <f t="shared" si="102"/>
        <v>►</v>
      </c>
      <c r="AL156" s="781" t="str">
        <f t="shared" si="90"/>
        <v>►</v>
      </c>
      <c r="AM156" s="5498" t="str">
        <f t="shared" si="93"/>
        <v/>
      </c>
      <c r="AN156" s="783" t="str">
        <f t="shared" si="94"/>
        <v/>
      </c>
      <c r="AO156" s="782" t="str">
        <f t="shared" si="95"/>
        <v/>
      </c>
      <c r="AP156" s="783" t="str">
        <f t="shared" si="96"/>
        <v/>
      </c>
      <c r="AQ156" s="2083" t="b">
        <f ca="1">AND(Q156="A",COUNTIF(BP16:BR63,TRIM(Z156))&gt;0)</f>
        <v>0</v>
      </c>
      <c r="AR156" s="797" t="str">
        <f>IF(AL156&lt;&gt;"A","",IFERROR(IFERROR(_xlfn.XLOOKUP(TRIM(SUBSTITUTE(Z156,CHAR(160)," ")),BP16:BP63,BS16:BS63),IFERROR(_xlfn.XLOOKUP(TRIM(SUBSTITUTE(Z156,CHAR(160)," ")),BQ16:BQ63,BS16:BS63),_xlfn.XLOOKUP(TRIM(SUBSTITUTE(Z156,CHAR(160)," ")),BR16:BR63,BS16:BS63)))*Y156*IF(ISBLANK(V156),1,V156),0))</f>
        <v/>
      </c>
      <c r="AS156" s="784" t="str">
        <f t="shared" si="84"/>
        <v/>
      </c>
      <c r="AT156" s="1315" t="str">
        <f t="shared" si="97"/>
        <v/>
      </c>
      <c r="AU156" s="785">
        <f t="shared" si="98"/>
        <v>0</v>
      </c>
      <c r="AV156" s="785">
        <f t="shared" si="99"/>
        <v>0</v>
      </c>
      <c r="AW156" s="798">
        <f>IF(AK156="A",AY10,0)</f>
        <v>0</v>
      </c>
      <c r="AX156" s="5496" t="str">
        <f>IF(IFERROR(SEARCH("Adresse PC",TRIM(W156)),0)&gt;0,"▼ receta siguiente",IF(AK156="A",IF(AZ10&lt;&gt;"",AZ10&amp;" - ou.or.o ❾ + or - &gt;",""),""))</f>
        <v/>
      </c>
      <c r="AY156" s="810"/>
      <c r="AZ156" s="810"/>
      <c r="BA156" s="799" t="str">
        <f t="shared" si="89"/>
        <v/>
      </c>
      <c r="BB156" s="800" t="str">
        <f>IF(AK156="A",IF(AQ156,IF(AND(AW156&lt;&gt;"",N(AW156)&gt;0),IFERROR(IFERROR(_xlfn.XLOOKUP(AP156,BP10:BP57,BT10:BT57),IFERROR(_xlfn.XLOOKUP(AP156,BQ10:BQ57,BT10:BT57),_xlfn.XLOOKUP(AP156,BR10:BR57,BT10:BT57,""))),""),""),""),"")</f>
        <v/>
      </c>
      <c r="BC156" s="813" cm="1">
        <f t="array" aca="1" ref="BC156" ca="1">IF(NOT(AQ156),0,IF(OR(BA156="",N(BA156)&lt;=0.000000001),"",IF(OR(AU156="",N(AU156)&lt;=0.000000001),0,IF(ISNUMBER(BA156),IFERROR(_xlfn.LET(_xlpm.ai_test,TRIM(AP156),_xlpm.r,IFERROR(_xlfn.XLOOKUP(_xlpm.ai_test,BP16:BP63,ROW(BP16:BP63),0,1),IFERROR(_xlfn.XLOOKUP(_xlpm.ai_test,BQ16:BQ63,ROW(BQ16:BQ63),0,1),_xlfn.XLOOKUP(_xlpm.ai_test,BR16:BR63,ROW(BR16:BR63),0,1))),_xlpm.p,_xlpm.r-MIN(ROW(BP16:BP63))+1,_xlpm.f,INDEX(BS16:BS63,_xlpm.p),_xlpm.u,INDEX(BT16:BT63,_xlpm.p),_xlpm.s,INDEX(BV16:BV63,_xlpm.p),_xlpm.q,N(BA156)/_xlpm.f,IF(_xlpm.q&gt;=_xlpm.s,ROUND(_xlpm.q,1)&amp;" "&amp;_xlpm.ai_test&amp;" = "&amp;ROUND(_xlpm.q*_xlpm.f,1)&amp;" "&amp;_xlpm.u,ROUND(_xlpm.q,1)&amp;" "&amp;_xlpm.ai_test)),""),""))))</f>
        <v>0</v>
      </c>
      <c r="BD156" s="801"/>
      <c r="BE156" s="799" t="str">
        <f t="shared" si="100"/>
        <v/>
      </c>
      <c r="BF156" s="800" t="str">
        <f t="shared" ca="1" si="77"/>
        <v/>
      </c>
      <c r="BG156" s="802">
        <f t="shared" si="78"/>
        <v>0</v>
      </c>
      <c r="BH156" s="803" t="str">
        <f t="shared" ca="1" si="79"/>
        <v/>
      </c>
      <c r="BI156" s="792"/>
      <c r="BJ156" s="804">
        <f t="shared" si="80"/>
        <v>0</v>
      </c>
      <c r="BK156" s="794" t="str">
        <f t="shared" si="101"/>
        <v/>
      </c>
      <c r="BL156" s="227" t="s">
        <v>21</v>
      </c>
      <c r="BM156" s="773">
        <f t="shared" si="91"/>
        <v>0</v>
      </c>
      <c r="BN156" s="774">
        <f t="shared" si="92"/>
        <v>0</v>
      </c>
      <c r="BO156"/>
      <c r="BX156"/>
      <c r="BY156"/>
      <c r="BZ156"/>
      <c r="CA156"/>
      <c r="CB156"/>
      <c r="CC156"/>
      <c r="CD156" s="781" t="str">
        <f t="shared" si="85"/>
        <v>►</v>
      </c>
      <c r="CE156"/>
      <c r="CF156"/>
      <c r="CG156"/>
      <c r="CH156"/>
      <c r="CI156"/>
      <c r="CJ156" s="633"/>
      <c r="CK156"/>
      <c r="CL156"/>
      <c r="CM156"/>
      <c r="CN156"/>
      <c r="CO156"/>
      <c r="CP156"/>
      <c r="CQ156"/>
      <c r="CS156"/>
      <c r="CT156"/>
      <c r="CU156"/>
      <c r="CV156"/>
      <c r="CW156"/>
      <c r="CX156"/>
      <c r="CY156"/>
      <c r="DA156"/>
      <c r="DB156"/>
      <c r="DC156"/>
      <c r="DD156"/>
      <c r="DE156"/>
      <c r="DF156"/>
      <c r="DG156"/>
      <c r="DI156" s="3">
        <v>1</v>
      </c>
    </row>
    <row r="157" spans="1:113" s="627" customFormat="1" ht="21" customHeight="1" thickBot="1">
      <c r="A157" s="701" t="s">
        <v>21</v>
      </c>
      <c r="B157" s="2265" t="str" cm="1">
        <f t="array" ref="B157">SUMPRODUCT(--(D157:J157&lt;&gt;""), LEN(TRIM(SUBSTITUTE(D157:J157, CHAR(160), "")))) &amp; " Car."</f>
        <v>0 Car.</v>
      </c>
      <c r="C157" s="1376" t="str">
        <f>IF(ISBLANK(D157),"",LARGE(C13:C156,1)+1)</f>
        <v/>
      </c>
      <c r="D157" s="1833"/>
      <c r="E157" s="1810"/>
      <c r="F157" s="1810"/>
      <c r="G157" s="1810"/>
      <c r="H157" s="1810"/>
      <c r="I157" s="1810"/>
      <c r="J157" s="1810"/>
      <c r="K157" s="1810"/>
      <c r="L157" s="1811"/>
      <c r="M157" s="9"/>
      <c r="N157" s="1814" t="str">
        <f t="shared" si="88"/>
        <v>A</v>
      </c>
      <c r="O157" s="1616"/>
      <c r="P157" s="9"/>
      <c r="Q157" s="1814" t="s">
        <v>10</v>
      </c>
      <c r="R157" s="209" t="str">
        <f>R123</f>
        <v>C COULIS DE MANGUE | pâtisserie--ENTREMET| Auteur &gt; recette Béghin Say de Jean-Jacques Borne MOF 1994</v>
      </c>
      <c r="S157" s="209">
        <f>S123</f>
        <v>18</v>
      </c>
      <c r="T157" s="210" t="str">
        <f>T123</f>
        <v>desserts</v>
      </c>
      <c r="U157" s="211" t="str">
        <f>U123</f>
        <v>Recette mère ► MILLE-FEUILLE  aux fraises des bois</v>
      </c>
      <c r="V157" s="2129"/>
      <c r="W157" s="2130"/>
      <c r="X157" s="2131"/>
      <c r="Y157" s="2132"/>
      <c r="Z157" s="2133"/>
      <c r="AA157" s="2133" t="s">
        <v>8864</v>
      </c>
      <c r="AB157" s="5545" t="s">
        <v>8866</v>
      </c>
      <c r="AC157" s="2136"/>
      <c r="AD157" s="2136"/>
      <c r="AE157" s="2134"/>
      <c r="AF157" s="2134"/>
      <c r="AG157" s="2134"/>
      <c r="AH157" s="2134"/>
      <c r="AI157" s="2134"/>
      <c r="AJ157" s="2135"/>
      <c r="AK157" s="6120" t="str">
        <f t="shared" si="102"/>
        <v>►</v>
      </c>
      <c r="AL157" s="781" t="str">
        <f t="shared" si="90"/>
        <v>►</v>
      </c>
      <c r="AM157" s="5499" t="str">
        <f t="shared" si="93"/>
        <v/>
      </c>
      <c r="AN157" s="783" t="str">
        <f t="shared" si="94"/>
        <v/>
      </c>
      <c r="AO157" s="782" t="str">
        <f t="shared" si="95"/>
        <v/>
      </c>
      <c r="AP157" s="783" t="str">
        <f t="shared" si="96"/>
        <v/>
      </c>
      <c r="AQ157" s="2083" t="b">
        <f>AND(Q157="A",COUNTIF(BP16:BR63,TRIM(Z157))&gt;0)</f>
        <v>0</v>
      </c>
      <c r="AR157" s="797" t="str">
        <f>IF(AL157&lt;&gt;"A","",IFERROR(IFERROR(_xlfn.XLOOKUP(TRIM(SUBSTITUTE(Z157,CHAR(160)," ")),BP16:BP63,BS16:BS63),IFERROR(_xlfn.XLOOKUP(TRIM(SUBSTITUTE(Z157,CHAR(160)," ")),BQ16:BQ63,BS16:BS63),_xlfn.XLOOKUP(TRIM(SUBSTITUTE(Z157,CHAR(160)," ")),BR16:BR63,BS16:BS63)))*Y157*IF(ISBLANK(V157),1,V157),0))</f>
        <v/>
      </c>
      <c r="AS157" s="784" t="str">
        <f t="shared" si="84"/>
        <v/>
      </c>
      <c r="AT157" s="1315" t="str">
        <f t="shared" si="97"/>
        <v/>
      </c>
      <c r="AU157" s="785">
        <f t="shared" si="98"/>
        <v>0</v>
      </c>
      <c r="AV157" s="785">
        <f t="shared" si="99"/>
        <v>0</v>
      </c>
      <c r="AW157" s="786">
        <f>IF(AK157="A",AY10,0)</f>
        <v>0</v>
      </c>
      <c r="AX157" s="5495" t="str">
        <f>IF(IFERROR(SEARCH("Adresse PC",TRIM(W157)),0)&gt;0,"▼ receta siguiente",IF(AK157="A",IF(AZ10&lt;&gt;"",AZ10&amp;" - ou.or.o ❾ + or - &gt;",""),""))</f>
        <v/>
      </c>
      <c r="AY157" s="810"/>
      <c r="AZ157" s="810"/>
      <c r="BA157" s="788" t="str">
        <f t="shared" si="89"/>
        <v/>
      </c>
      <c r="BB157" s="789" t="str">
        <f>IF(AK157="A",IF(AQ157,IF(AND(AW157&lt;&gt;"",N(AW157)&gt;0),IFERROR(IFERROR(_xlfn.XLOOKUP(AP157,BP10:BP57,BT10:BT57),IFERROR(_xlfn.XLOOKUP(AP157,BQ10:BQ57,BT10:BT57),_xlfn.XLOOKUP(AP157,BR10:BR57,BT10:BT57,""))),""),""),""),"")</f>
        <v/>
      </c>
      <c r="BC157" s="811" cm="1">
        <f t="array" ref="BC157">IF(NOT(AQ157),0,IF(OR(BA157="",N(BA157)&lt;=0.000000001),"",IF(OR(AU157="",N(AU157)&lt;=0.000000001),0,IF(ISNUMBER(BA157),IFERROR(_xlfn.LET(_xlpm.ai_test,TRIM(AP157),_xlpm.r,IFERROR(_xlfn.XLOOKUP(_xlpm.ai_test,BP16:BP63,ROW(BP16:BP63),0,1),IFERROR(_xlfn.XLOOKUP(_xlpm.ai_test,BQ16:BQ63,ROW(BQ16:BQ63),0,1),_xlfn.XLOOKUP(_xlpm.ai_test,BR16:BR63,ROW(BR16:BR63),0,1))),_xlpm.p,_xlpm.r-MIN(ROW(BP16:BP63))+1,_xlpm.f,INDEX(BS16:BS63,_xlpm.p),_xlpm.u,INDEX(BT16:BT63,_xlpm.p),_xlpm.s,INDEX(BV16:BV63,_xlpm.p),_xlpm.q,N(BA157)/_xlpm.f,IF(_xlpm.q&gt;=_xlpm.s,ROUND(_xlpm.q,1)&amp;" "&amp;_xlpm.ai_test&amp;" = "&amp;ROUND(_xlpm.q*_xlpm.f,1)&amp;" "&amp;_xlpm.u,ROUND(_xlpm.q,1)&amp;" "&amp;_xlpm.ai_test)),""),""))))</f>
        <v>0</v>
      </c>
      <c r="BD157" s="801"/>
      <c r="BE157" s="788" t="str">
        <f t="shared" si="100"/>
        <v/>
      </c>
      <c r="BF157" s="789" t="str">
        <f t="shared" si="77"/>
        <v/>
      </c>
      <c r="BG157" s="790">
        <f t="shared" si="78"/>
        <v>0</v>
      </c>
      <c r="BH157" s="791" t="str">
        <f t="shared" si="79"/>
        <v/>
      </c>
      <c r="BI157" s="792"/>
      <c r="BJ157" s="793">
        <f t="shared" si="80"/>
        <v>0</v>
      </c>
      <c r="BK157" s="794" t="str">
        <f t="shared" si="101"/>
        <v/>
      </c>
      <c r="BL157" s="227" t="s">
        <v>21</v>
      </c>
      <c r="BM157" s="773">
        <f t="shared" si="91"/>
        <v>0</v>
      </c>
      <c r="BN157" s="774">
        <f t="shared" si="92"/>
        <v>0</v>
      </c>
      <c r="BO157"/>
      <c r="BX157"/>
      <c r="BY157"/>
      <c r="BZ157"/>
      <c r="CA157"/>
      <c r="CB157"/>
      <c r="CC157"/>
      <c r="CD157" s="781" t="str">
        <f t="shared" si="85"/>
        <v>►</v>
      </c>
      <c r="CE157"/>
      <c r="CF157"/>
      <c r="CG157"/>
      <c r="CH157"/>
      <c r="CI157"/>
      <c r="CJ157" s="633"/>
      <c r="CK157"/>
      <c r="CL157"/>
      <c r="CM157"/>
      <c r="CN157"/>
      <c r="CO157"/>
      <c r="CP157"/>
      <c r="CQ157"/>
      <c r="CS157"/>
      <c r="CT157"/>
      <c r="CU157"/>
      <c r="CV157"/>
      <c r="CW157"/>
      <c r="CX157"/>
      <c r="CY157"/>
      <c r="DA157"/>
      <c r="DB157"/>
      <c r="DC157"/>
      <c r="DD157"/>
      <c r="DE157"/>
      <c r="DF157"/>
      <c r="DG157"/>
      <c r="DI157" s="3">
        <v>1</v>
      </c>
    </row>
    <row r="158" spans="1:113" s="627" customFormat="1" ht="21" customHeight="1" thickBot="1">
      <c r="A158" s="701" t="s">
        <v>21</v>
      </c>
      <c r="B158" s="2265" t="str" cm="1">
        <f t="array" ref="B158">SUMPRODUCT(--(D158:J158&lt;&gt;""), LEN(TRIM(SUBSTITUTE(D158:J158, CHAR(160), "")))) &amp; " Car."</f>
        <v>0 Car.</v>
      </c>
      <c r="C158" s="1376" t="str">
        <f>IF(ISBLANK(D158),"",LARGE(C13:C157,1)+1)</f>
        <v/>
      </c>
      <c r="D158" s="1833"/>
      <c r="E158" s="1810"/>
      <c r="F158" s="1810"/>
      <c r="G158" s="1810"/>
      <c r="H158" s="1810"/>
      <c r="I158" s="1810"/>
      <c r="J158" s="1810"/>
      <c r="K158" s="1810"/>
      <c r="L158" s="1811"/>
      <c r="M158" s="9"/>
      <c r="N158" s="215" t="str">
        <f t="shared" si="88"/>
        <v>A</v>
      </c>
      <c r="O158" s="1616"/>
      <c r="P158" s="9"/>
      <c r="Q158" s="215" t="s">
        <v>10</v>
      </c>
      <c r="R158" s="216"/>
      <c r="S158" s="216"/>
      <c r="T158" s="216"/>
      <c r="U158" s="217"/>
      <c r="V158" s="218" t="s">
        <v>207</v>
      </c>
      <c r="W158" s="219" t="str">
        <f ca="1">CELL("nomfichier")</f>
        <v>D:\Données\1.UPRT\0-UPRT.fait\1-UPRT.FR-SITE-WEB\ff-fiches-fabrications\ff.fiches.fabrication.2023\ffr.restaurant.2023\[ff.FICHE.TRILINGUE.20.COLONNES.05.01.2026.xlsx]Couleurs.pour.vos.documents</v>
      </c>
      <c r="X158" s="220"/>
      <c r="Y158" s="220"/>
      <c r="Z158" s="220"/>
      <c r="AA158" s="220"/>
      <c r="AB158" s="220"/>
      <c r="AC158" s="220"/>
      <c r="AD158" s="220"/>
      <c r="AE158" s="220"/>
      <c r="AF158" s="220"/>
      <c r="AG158" s="220"/>
      <c r="AH158" s="220"/>
      <c r="AI158" s="220"/>
      <c r="AJ158" s="221"/>
      <c r="AK158" s="6120" t="str">
        <f t="shared" si="102"/>
        <v>►</v>
      </c>
      <c r="AL158" s="781" t="str">
        <f t="shared" ca="1" si="90"/>
        <v>►</v>
      </c>
      <c r="AM158" s="5498" t="str">
        <f t="shared" ca="1" si="93"/>
        <v/>
      </c>
      <c r="AN158" s="783" t="str">
        <f t="shared" si="94"/>
        <v/>
      </c>
      <c r="AO158" s="782" t="str">
        <f t="shared" si="95"/>
        <v/>
      </c>
      <c r="AP158" s="783" t="str">
        <f t="shared" si="96"/>
        <v/>
      </c>
      <c r="AQ158" s="2083" t="b">
        <f>AND(Q158="A",COUNTIF(BP16:BR63,TRIM(Z158))&gt;0)</f>
        <v>0</v>
      </c>
      <c r="AR158" s="797" t="str">
        <f ca="1">IF(AL158&lt;&gt;"A","",IFERROR(IFERROR(_xlfn.XLOOKUP(TRIM(SUBSTITUTE(Z158,CHAR(160)," ")),BP16:BP63,BS16:BS63),IFERROR(_xlfn.XLOOKUP(TRIM(SUBSTITUTE(Z158,CHAR(160)," ")),BQ16:BQ63,BS16:BS63),_xlfn.XLOOKUP(TRIM(SUBSTITUTE(Z158,CHAR(160)," ")),BR16:BR63,BS16:BS63)))*Y158*IF(ISBLANK(V158),1,V158),0))</f>
        <v/>
      </c>
      <c r="AS158" s="784" t="str">
        <f t="shared" si="84"/>
        <v/>
      </c>
      <c r="AT158" s="1315" t="str">
        <f t="shared" si="97"/>
        <v/>
      </c>
      <c r="AU158" s="785">
        <f t="shared" si="98"/>
        <v>0</v>
      </c>
      <c r="AV158" s="785">
        <f t="shared" si="99"/>
        <v>0</v>
      </c>
      <c r="AW158" s="798">
        <f>IF(AK158="A",AY10,0)</f>
        <v>0</v>
      </c>
      <c r="AX158" s="5496" t="str">
        <f ca="1">IF(IFERROR(SEARCH("Adresse PC",TRIM(W158)),0)&gt;0,"▼ receta siguiente",IF(AK158="A",IF(AZ10&lt;&gt;"",AZ10&amp;" - ou.or.o ❾ + or - &gt;",""),""))</f>
        <v/>
      </c>
      <c r="AY158" s="810"/>
      <c r="AZ158" s="810"/>
      <c r="BA158" s="799" t="str">
        <f t="shared" si="89"/>
        <v/>
      </c>
      <c r="BB158" s="800" t="str">
        <f>IF(AK158="A",IF(AQ158,IF(AND(AW158&lt;&gt;"",N(AW158)&gt;0),IFERROR(IFERROR(_xlfn.XLOOKUP(AP158,BP10:BP57,BT10:BT57),IFERROR(_xlfn.XLOOKUP(AP158,BQ10:BQ57,BT10:BT57),_xlfn.XLOOKUP(AP158,BR10:BR57,BT10:BT57,""))),""),""),""),"")</f>
        <v/>
      </c>
      <c r="BC158" s="813" cm="1">
        <f t="array" ref="BC158">IF(NOT(AQ158),0,IF(OR(BA158="",N(BA158)&lt;=0.000000001),"",IF(OR(AU158="",N(AU158)&lt;=0.000000001),0,IF(ISNUMBER(BA158),IFERROR(_xlfn.LET(_xlpm.ai_test,TRIM(AP158),_xlpm.r,IFERROR(_xlfn.XLOOKUP(_xlpm.ai_test,BP16:BP63,ROW(BP16:BP63),0,1),IFERROR(_xlfn.XLOOKUP(_xlpm.ai_test,BQ16:BQ63,ROW(BQ16:BQ63),0,1),_xlfn.XLOOKUP(_xlpm.ai_test,BR16:BR63,ROW(BR16:BR63),0,1))),_xlpm.p,_xlpm.r-MIN(ROW(BP16:BP63))+1,_xlpm.f,INDEX(BS16:BS63,_xlpm.p),_xlpm.u,INDEX(BT16:BT63,_xlpm.p),_xlpm.s,INDEX(BV16:BV63,_xlpm.p),_xlpm.q,N(BA158)/_xlpm.f,IF(_xlpm.q&gt;=_xlpm.s,ROUND(_xlpm.q,1)&amp;" "&amp;_xlpm.ai_test&amp;" = "&amp;ROUND(_xlpm.q*_xlpm.f,1)&amp;" "&amp;_xlpm.u,ROUND(_xlpm.q,1)&amp;" "&amp;_xlpm.ai_test)),""),""))))</f>
        <v>0</v>
      </c>
      <c r="BD158" s="801"/>
      <c r="BE158" s="799" t="str">
        <f t="shared" ca="1" si="100"/>
        <v/>
      </c>
      <c r="BF158" s="800" t="str">
        <f t="shared" si="77"/>
        <v/>
      </c>
      <c r="BG158" s="802">
        <f t="shared" si="78"/>
        <v>0</v>
      </c>
      <c r="BH158" s="803" t="str">
        <f t="shared" si="79"/>
        <v/>
      </c>
      <c r="BI158" s="792"/>
      <c r="BJ158" s="804">
        <f t="shared" si="80"/>
        <v>0</v>
      </c>
      <c r="BK158" s="794" t="str">
        <f t="shared" si="101"/>
        <v/>
      </c>
      <c r="BL158" s="227" t="s">
        <v>21</v>
      </c>
      <c r="BM158" s="773">
        <f t="shared" si="91"/>
        <v>0</v>
      </c>
      <c r="BN158" s="774">
        <f t="shared" ca="1" si="92"/>
        <v>0</v>
      </c>
      <c r="BO158"/>
      <c r="BX158"/>
      <c r="BY158"/>
      <c r="BZ158"/>
      <c r="CA158"/>
      <c r="CB158"/>
      <c r="CC158"/>
      <c r="CD158" s="781" t="str">
        <f t="shared" ca="1" si="85"/>
        <v>►</v>
      </c>
      <c r="CE158"/>
      <c r="CF158"/>
      <c r="CG158"/>
      <c r="CH158"/>
      <c r="CI158"/>
      <c r="CJ158" s="633"/>
      <c r="CK158"/>
      <c r="CL158"/>
      <c r="CM158"/>
      <c r="CN158"/>
      <c r="CO158"/>
      <c r="CP158"/>
      <c r="CQ158"/>
      <c r="CS158"/>
      <c r="CT158"/>
      <c r="CU158"/>
      <c r="CV158"/>
      <c r="CW158"/>
      <c r="CX158"/>
      <c r="CY158"/>
      <c r="DA158"/>
      <c r="DB158"/>
      <c r="DC158"/>
      <c r="DD158"/>
      <c r="DE158"/>
      <c r="DF158"/>
      <c r="DG158"/>
      <c r="DI158" s="3">
        <v>1</v>
      </c>
    </row>
    <row r="159" spans="1:113" s="627" customFormat="1" ht="21" customHeight="1" thickBot="1">
      <c r="A159" s="701" t="s">
        <v>21</v>
      </c>
      <c r="B159" s="2265" t="str" cm="1">
        <f t="array" ref="B159">SUMPRODUCT(--(D159:J159&lt;&gt;""), LEN(TRIM(SUBSTITUTE(D159:J159, CHAR(160), "")))) &amp; " Car."</f>
        <v>0 Car.</v>
      </c>
      <c r="C159" s="1376" t="str">
        <f>IF(ISBLANK(D159),"",LARGE(C13:C158,1)+1)</f>
        <v/>
      </c>
      <c r="D159" s="1833"/>
      <c r="E159" s="1810"/>
      <c r="F159" s="1810"/>
      <c r="G159" s="1810"/>
      <c r="H159" s="1810"/>
      <c r="I159" s="1810"/>
      <c r="J159" s="1810"/>
      <c r="K159" s="1810"/>
      <c r="L159" s="1811"/>
      <c r="M159" s="9"/>
      <c r="N159" s="1216" t="str">
        <f t="shared" si="88"/>
        <v>A</v>
      </c>
      <c r="O159" s="1616"/>
      <c r="P159" s="9"/>
      <c r="Q159" s="1216" t="s">
        <v>10</v>
      </c>
      <c r="R159" s="1217" t="s">
        <v>10</v>
      </c>
      <c r="S159" s="1217" t="s">
        <v>10</v>
      </c>
      <c r="T159" s="1217" t="s">
        <v>10</v>
      </c>
      <c r="U159" s="1217" t="s">
        <v>10</v>
      </c>
      <c r="V159" s="1218" t="s">
        <v>2394</v>
      </c>
      <c r="W159" s="1219"/>
      <c r="X159" s="1220"/>
      <c r="Y159" s="1221"/>
      <c r="Z159" s="1222"/>
      <c r="AA159" s="1223"/>
      <c r="AB159" s="1223"/>
      <c r="AC159" s="1221"/>
      <c r="AD159" s="1221"/>
      <c r="AE159" s="1219"/>
      <c r="AF159" s="1219"/>
      <c r="AG159" s="1219"/>
      <c r="AH159" s="1219"/>
      <c r="AI159" s="1219"/>
      <c r="AJ159" s="1224" t="s">
        <v>1755</v>
      </c>
      <c r="AK159" s="6120" t="str">
        <f t="shared" si="102"/>
        <v>►</v>
      </c>
      <c r="AL159" s="781" t="str">
        <f t="shared" si="90"/>
        <v>►</v>
      </c>
      <c r="AM159" s="5499" t="str">
        <f t="shared" si="93"/>
        <v/>
      </c>
      <c r="AN159" s="783" t="str">
        <f t="shared" si="94"/>
        <v/>
      </c>
      <c r="AO159" s="782" t="str">
        <f t="shared" si="95"/>
        <v/>
      </c>
      <c r="AP159" s="783" t="str">
        <f t="shared" si="96"/>
        <v/>
      </c>
      <c r="AQ159" s="2083" t="b">
        <f>AND(Q159="A",COUNTIF(BP16:BR63,TRIM(Z159))&gt;0)</f>
        <v>0</v>
      </c>
      <c r="AR159" s="797" t="str">
        <f>IF(AL159&lt;&gt;"A","",IFERROR(IFERROR(_xlfn.XLOOKUP(TRIM(SUBSTITUTE(Z159,CHAR(160)," ")),BP16:BP63,BS16:BS63),IFERROR(_xlfn.XLOOKUP(TRIM(SUBSTITUTE(Z159,CHAR(160)," ")),BQ16:BQ63,BS16:BS63),_xlfn.XLOOKUP(TRIM(SUBSTITUTE(Z159,CHAR(160)," ")),BR16:BR63,BS16:BS63)))*Y159*IF(ISBLANK(V159),1,V159),0))</f>
        <v/>
      </c>
      <c r="AS159" s="784" t="str">
        <f t="shared" si="84"/>
        <v/>
      </c>
      <c r="AT159" s="1315" t="str">
        <f t="shared" si="97"/>
        <v/>
      </c>
      <c r="AU159" s="785">
        <f t="shared" si="98"/>
        <v>0</v>
      </c>
      <c r="AV159" s="785">
        <f t="shared" si="99"/>
        <v>0</v>
      </c>
      <c r="AW159" s="786">
        <f>IF(AK159="A",AY10,0)</f>
        <v>0</v>
      </c>
      <c r="AX159" s="5495" t="str">
        <f>IF(IFERROR(SEARCH("Adresse PC",TRIM(W159)),0)&gt;0,"▼ receta siguiente",IF(AK159="A",IF(AZ10&lt;&gt;"",AZ10&amp;" - ou.or.o ❾ + or - &gt;",""),""))</f>
        <v/>
      </c>
      <c r="AY159" s="810"/>
      <c r="AZ159" s="810"/>
      <c r="BA159" s="788" t="str">
        <f t="shared" si="89"/>
        <v/>
      </c>
      <c r="BB159" s="789" t="str">
        <f>IF(AK159="A",IF(AQ159,IF(AND(AW159&lt;&gt;"",N(AW159)&gt;0),IFERROR(IFERROR(_xlfn.XLOOKUP(AP159,BP10:BP57,BT10:BT57),IFERROR(_xlfn.XLOOKUP(AP159,BQ10:BQ57,BT10:BT57),_xlfn.XLOOKUP(AP159,BR10:BR57,BT10:BT57,""))),""),""),""),"")</f>
        <v/>
      </c>
      <c r="BC159" s="811" cm="1">
        <f t="array" ref="BC159">IF(NOT(AQ159),0,IF(OR(BA159="",N(BA159)&lt;=0.000000001),"",IF(OR(AU159="",N(AU159)&lt;=0.000000001),0,IF(ISNUMBER(BA159),IFERROR(_xlfn.LET(_xlpm.ai_test,TRIM(AP159),_xlpm.r,IFERROR(_xlfn.XLOOKUP(_xlpm.ai_test,BP16:BP63,ROW(BP16:BP63),0,1),IFERROR(_xlfn.XLOOKUP(_xlpm.ai_test,BQ16:BQ63,ROW(BQ16:BQ63),0,1),_xlfn.XLOOKUP(_xlpm.ai_test,BR16:BR63,ROW(BR16:BR63),0,1))),_xlpm.p,_xlpm.r-MIN(ROW(BP16:BP63))+1,_xlpm.f,INDEX(BS16:BS63,_xlpm.p),_xlpm.u,INDEX(BT16:BT63,_xlpm.p),_xlpm.s,INDEX(BV16:BV63,_xlpm.p),_xlpm.q,N(BA159)/_xlpm.f,IF(_xlpm.q&gt;=_xlpm.s,ROUND(_xlpm.q,1)&amp;" "&amp;_xlpm.ai_test&amp;" = "&amp;ROUND(_xlpm.q*_xlpm.f,1)&amp;" "&amp;_xlpm.u,ROUND(_xlpm.q,1)&amp;" "&amp;_xlpm.ai_test)),""),""))))</f>
        <v>0</v>
      </c>
      <c r="BD159" s="801"/>
      <c r="BE159" s="788" t="str">
        <f t="shared" si="100"/>
        <v/>
      </c>
      <c r="BF159" s="789" t="str">
        <f t="shared" si="77"/>
        <v/>
      </c>
      <c r="BG159" s="790">
        <f t="shared" si="78"/>
        <v>0</v>
      </c>
      <c r="BH159" s="791" t="str">
        <f t="shared" si="79"/>
        <v/>
      </c>
      <c r="BI159" s="792"/>
      <c r="BJ159" s="793">
        <f t="shared" si="80"/>
        <v>0</v>
      </c>
      <c r="BK159" s="794" t="str">
        <f t="shared" si="101"/>
        <v/>
      </c>
      <c r="BL159" s="227" t="s">
        <v>21</v>
      </c>
      <c r="BM159" s="773">
        <f t="shared" si="91"/>
        <v>0</v>
      </c>
      <c r="BN159" s="774">
        <f t="shared" si="92"/>
        <v>0</v>
      </c>
      <c r="BO159"/>
      <c r="BX159"/>
      <c r="BY159"/>
      <c r="BZ159"/>
      <c r="CA159"/>
      <c r="CB159"/>
      <c r="CC159"/>
      <c r="CD159" s="781" t="str">
        <f t="shared" si="85"/>
        <v>►</v>
      </c>
      <c r="CE159"/>
      <c r="CF159"/>
      <c r="CG159"/>
      <c r="CH159"/>
      <c r="CI159"/>
      <c r="CJ159" s="633"/>
      <c r="CK159"/>
      <c r="CL159"/>
      <c r="CM159"/>
      <c r="CN159"/>
      <c r="CO159"/>
      <c r="CP159"/>
      <c r="CQ159"/>
      <c r="CS159"/>
      <c r="CT159"/>
      <c r="CU159"/>
      <c r="CV159"/>
      <c r="CW159"/>
      <c r="CX159"/>
      <c r="CY159"/>
      <c r="DA159"/>
      <c r="DB159"/>
      <c r="DC159"/>
      <c r="DD159"/>
      <c r="DE159"/>
      <c r="DF159"/>
      <c r="DG159"/>
      <c r="DI159" s="3">
        <v>1</v>
      </c>
    </row>
    <row r="160" spans="1:113" s="627" customFormat="1" ht="21" customHeight="1">
      <c r="A160" s="701" t="s">
        <v>21</v>
      </c>
      <c r="B160" s="2265" t="str" cm="1">
        <f t="array" ref="B160">SUMPRODUCT(--(D160:J160&lt;&gt;""), LEN(TRIM(SUBSTITUTE(D160:J160, CHAR(160), "")))) &amp; " Car."</f>
        <v>0 Car.</v>
      </c>
      <c r="C160" s="1376" t="str">
        <f>IF(ISBLANK(D160),"",LARGE(C13:C159,1)+1)</f>
        <v/>
      </c>
      <c r="D160" s="1833"/>
      <c r="E160" s="1810"/>
      <c r="F160" s="1810"/>
      <c r="G160" s="1810"/>
      <c r="H160" s="1810"/>
      <c r="I160" s="1810"/>
      <c r="J160" s="1810"/>
      <c r="K160" s="1810"/>
      <c r="L160" s="1811"/>
      <c r="M160" s="9"/>
      <c r="N160" s="19" t="str">
        <f t="shared" si="88"/>
        <v>A</v>
      </c>
      <c r="O160" s="1616"/>
      <c r="P160" s="9"/>
      <c r="Q160" s="19" t="s">
        <v>10</v>
      </c>
      <c r="R160" s="20" t="str">
        <f>R166</f>
        <v>J JUS DE FRAISES DES BOIS | pâtisserie--ENTREMET| Auteur &gt; recette Béghin Say de Jean-Jacques Borne MOF 1994</v>
      </c>
      <c r="S160" s="21">
        <f>S166</f>
        <v>18</v>
      </c>
      <c r="T160" s="21" t="str">
        <f>T166</f>
        <v>desserts</v>
      </c>
      <c r="U160" s="22" t="str">
        <f>U166</f>
        <v>Recette mère ► MILLE-FEUILLE  aux fraises des bois</v>
      </c>
      <c r="V160" s="23" t="s">
        <v>21</v>
      </c>
      <c r="W160" s="24" t="s">
        <v>22</v>
      </c>
      <c r="X160" s="24"/>
      <c r="Y160" s="6634" t="s">
        <v>3075</v>
      </c>
      <c r="Z160" s="6634"/>
      <c r="AA160" s="6634"/>
      <c r="AB160" s="6634"/>
      <c r="AC160" s="6634"/>
      <c r="AD160" s="6634"/>
      <c r="AE160" s="6634"/>
      <c r="AF160" s="6634"/>
      <c r="AG160" s="6634"/>
      <c r="AH160" s="6636" t="s">
        <v>24</v>
      </c>
      <c r="AI160" s="6636"/>
      <c r="AJ160" s="6638" t="str">
        <f>UPPER(LEFT(Y160,1))</f>
        <v>J</v>
      </c>
      <c r="AK160" s="6120" t="str">
        <f t="shared" si="102"/>
        <v>►</v>
      </c>
      <c r="AL160" s="781" t="str">
        <f t="shared" si="90"/>
        <v>►</v>
      </c>
      <c r="AM160" s="5498" t="str">
        <f t="shared" si="93"/>
        <v/>
      </c>
      <c r="AN160" s="783" t="str">
        <f t="shared" si="94"/>
        <v/>
      </c>
      <c r="AO160" s="782" t="str">
        <f t="shared" si="95"/>
        <v/>
      </c>
      <c r="AP160" s="783" t="str">
        <f t="shared" si="96"/>
        <v/>
      </c>
      <c r="AQ160" s="2083" t="b">
        <f>AND(Q160="A",COUNTIF(BP16:BR63,TRIM(Z160))&gt;0)</f>
        <v>0</v>
      </c>
      <c r="AR160" s="797" t="str">
        <f>IF(AL160&lt;&gt;"A","",IFERROR(IFERROR(_xlfn.XLOOKUP(TRIM(SUBSTITUTE(Z160,CHAR(160)," ")),BP16:BP63,BS16:BS63),IFERROR(_xlfn.XLOOKUP(TRIM(SUBSTITUTE(Z160,CHAR(160)," ")),BQ16:BQ63,BS16:BS63),_xlfn.XLOOKUP(TRIM(SUBSTITUTE(Z160,CHAR(160)," ")),BR16:BR63,BS16:BS63)))*Y160*IF(ISBLANK(V160),1,V160),0))</f>
        <v/>
      </c>
      <c r="AS160" s="784" t="str">
        <f t="shared" si="84"/>
        <v/>
      </c>
      <c r="AT160" s="1315" t="str">
        <f t="shared" si="97"/>
        <v/>
      </c>
      <c r="AU160" s="785">
        <f t="shared" si="98"/>
        <v>0</v>
      </c>
      <c r="AV160" s="785">
        <f t="shared" si="99"/>
        <v>0</v>
      </c>
      <c r="AW160" s="798">
        <f>IF(AK160="A",AY10,0)</f>
        <v>0</v>
      </c>
      <c r="AX160" s="5496" t="str">
        <f>IF(IFERROR(SEARCH("Adresse PC",TRIM(W160)),0)&gt;0,"▼ receta siguiente",IF(AK160="A",IF(AZ10&lt;&gt;"",AZ10&amp;" - ou.or.o ❾ + or - &gt;",""),""))</f>
        <v/>
      </c>
      <c r="AY160" s="810"/>
      <c r="AZ160" s="810"/>
      <c r="BA160" s="799" t="str">
        <f t="shared" si="89"/>
        <v/>
      </c>
      <c r="BB160" s="800" t="str">
        <f>IF(AK160="A",IF(AQ160,IF(AND(AW160&lt;&gt;"",N(AW160)&gt;0),IFERROR(IFERROR(_xlfn.XLOOKUP(AP160,BP10:BP57,BT10:BT57),IFERROR(_xlfn.XLOOKUP(AP160,BQ10:BQ57,BT10:BT57),_xlfn.XLOOKUP(AP160,BR10:BR57,BT10:BT57,""))),""),""),""),"")</f>
        <v/>
      </c>
      <c r="BC160" s="813" cm="1">
        <f t="array" ref="BC160">IF(NOT(AQ160),0,IF(OR(BA160="",N(BA160)&lt;=0.000000001),"",IF(OR(AU160="",N(AU160)&lt;=0.000000001),0,IF(ISNUMBER(BA160),IFERROR(_xlfn.LET(_xlpm.ai_test,TRIM(AP160),_xlpm.r,IFERROR(_xlfn.XLOOKUP(_xlpm.ai_test,BP16:BP63,ROW(BP16:BP63),0,1),IFERROR(_xlfn.XLOOKUP(_xlpm.ai_test,BQ16:BQ63,ROW(BQ16:BQ63),0,1),_xlfn.XLOOKUP(_xlpm.ai_test,BR16:BR63,ROW(BR16:BR63),0,1))),_xlpm.p,_xlpm.r-MIN(ROW(BP16:BP63))+1,_xlpm.f,INDEX(BS16:BS63,_xlpm.p),_xlpm.u,INDEX(BT16:BT63,_xlpm.p),_xlpm.s,INDEX(BV16:BV63,_xlpm.p),_xlpm.q,N(BA160)/_xlpm.f,IF(_xlpm.q&gt;=_xlpm.s,ROUND(_xlpm.q,1)&amp;" "&amp;_xlpm.ai_test&amp;" = "&amp;ROUND(_xlpm.q*_xlpm.f,1)&amp;" "&amp;_xlpm.u,ROUND(_xlpm.q,1)&amp;" "&amp;_xlpm.ai_test)),""),""))))</f>
        <v>0</v>
      </c>
      <c r="BD160" s="801"/>
      <c r="BE160" s="799" t="str">
        <f t="shared" si="100"/>
        <v/>
      </c>
      <c r="BF160" s="800" t="str">
        <f t="shared" ref="BF160:BF223" si="103">IF(AQ160,BB160,"")</f>
        <v/>
      </c>
      <c r="BG160" s="802">
        <f t="shared" ref="BG160:BG223" si="104">IF(AND(ISNUMBER(BM160),ABS(BM160)&gt;0.000000001),BM160,0)</f>
        <v>0</v>
      </c>
      <c r="BH160" s="803" t="str">
        <f t="shared" ref="BH160:BH223" si="105">IF(AND(AQ160, N(BG160)&gt;0.000000001), W160, "")</f>
        <v/>
      </c>
      <c r="BI160" s="792"/>
      <c r="BJ160" s="804">
        <f t="shared" ref="BJ160:BJ223" si="106">IF(OR(AU160=0,ISBLANK(BI160),ISTEXT(BG160)),0,(IF(BA160=0,BG160,BA160)*BI160))</f>
        <v>0</v>
      </c>
      <c r="BK160" s="794" t="str">
        <f t="shared" si="101"/>
        <v/>
      </c>
      <c r="BL160" s="227" t="s">
        <v>21</v>
      </c>
      <c r="BM160" s="773">
        <f t="shared" si="91"/>
        <v>0</v>
      </c>
      <c r="BN160" s="774">
        <f t="shared" si="92"/>
        <v>0</v>
      </c>
      <c r="BO160"/>
      <c r="BX160"/>
      <c r="BY160"/>
      <c r="BZ160"/>
      <c r="CA160"/>
      <c r="CB160"/>
      <c r="CC160"/>
      <c r="CD160" s="781" t="str">
        <f t="shared" si="85"/>
        <v>►</v>
      </c>
      <c r="CE160"/>
      <c r="CF160"/>
      <c r="CG160"/>
      <c r="CH160"/>
      <c r="CI160"/>
      <c r="CJ160" s="633"/>
      <c r="CK160"/>
      <c r="CL160"/>
      <c r="CM160"/>
      <c r="CN160"/>
      <c r="CO160"/>
      <c r="CP160"/>
      <c r="CQ160"/>
      <c r="CS160"/>
      <c r="CT160"/>
      <c r="CU160"/>
      <c r="CV160"/>
      <c r="CW160"/>
      <c r="CX160"/>
      <c r="CY160"/>
      <c r="DA160"/>
      <c r="DB160"/>
      <c r="DC160"/>
      <c r="DD160"/>
      <c r="DE160"/>
      <c r="DF160"/>
      <c r="DG160"/>
      <c r="DI160" s="3">
        <v>1</v>
      </c>
    </row>
    <row r="161" spans="1:113" s="627" customFormat="1" ht="21" customHeight="1">
      <c r="A161" s="701" t="s">
        <v>21</v>
      </c>
      <c r="B161" s="2265" t="str" cm="1">
        <f t="array" ref="B161">SUMPRODUCT(--(D161:J161&lt;&gt;""), LEN(TRIM(SUBSTITUTE(D161:J161, CHAR(160), "")))) &amp; " Car."</f>
        <v>0 Car.</v>
      </c>
      <c r="C161" s="1376" t="str">
        <f>IF(ISBLANK(D161),"",LARGE(C13:C160,1)+1)</f>
        <v/>
      </c>
      <c r="D161" s="1833"/>
      <c r="E161" s="1810"/>
      <c r="F161" s="1810"/>
      <c r="G161" s="1810"/>
      <c r="H161" s="1810"/>
      <c r="I161" s="1810"/>
      <c r="J161" s="1810"/>
      <c r="K161" s="1810"/>
      <c r="L161" s="1811"/>
      <c r="M161" s="9"/>
      <c r="N161" s="25" t="str">
        <f t="shared" si="88"/>
        <v>A</v>
      </c>
      <c r="O161" s="1616"/>
      <c r="P161" s="9"/>
      <c r="Q161" s="25" t="s">
        <v>10</v>
      </c>
      <c r="R161" s="26" t="str">
        <f>R166</f>
        <v>J JUS DE FRAISES DES BOIS | pâtisserie--ENTREMET| Auteur &gt; recette Béghin Say de Jean-Jacques Borne MOF 1994</v>
      </c>
      <c r="S161" s="27">
        <f>S166</f>
        <v>18</v>
      </c>
      <c r="T161" s="27" t="str">
        <f>T166</f>
        <v>desserts</v>
      </c>
      <c r="U161" s="28" t="str">
        <f>U166</f>
        <v>Recette mère ► MILLE-FEUILLE  aux fraises des bois</v>
      </c>
      <c r="V161" s="29" t="s">
        <v>28</v>
      </c>
      <c r="W161" s="30" t="s">
        <v>831</v>
      </c>
      <c r="X161" s="30"/>
      <c r="Y161" s="6635"/>
      <c r="Z161" s="6635"/>
      <c r="AA161" s="6635"/>
      <c r="AB161" s="6635"/>
      <c r="AC161" s="6635"/>
      <c r="AD161" s="6635"/>
      <c r="AE161" s="6635"/>
      <c r="AF161" s="6635"/>
      <c r="AG161" s="6635"/>
      <c r="AH161" s="6637"/>
      <c r="AI161" s="6637"/>
      <c r="AJ161" s="6639"/>
      <c r="AK161" s="6120" t="str">
        <f t="shared" si="102"/>
        <v>►</v>
      </c>
      <c r="AL161" s="781" t="str">
        <f t="shared" si="90"/>
        <v>►</v>
      </c>
      <c r="AM161" s="5499" t="str">
        <f t="shared" si="93"/>
        <v/>
      </c>
      <c r="AN161" s="783" t="str">
        <f t="shared" si="94"/>
        <v/>
      </c>
      <c r="AO161" s="782" t="str">
        <f t="shared" si="95"/>
        <v/>
      </c>
      <c r="AP161" s="783" t="str">
        <f t="shared" si="96"/>
        <v/>
      </c>
      <c r="AQ161" s="2083" t="b">
        <f>AND(Q161="A",COUNTIF(BP16:BR63,TRIM(Z161))&gt;0)</f>
        <v>0</v>
      </c>
      <c r="AR161" s="797" t="str">
        <f>IF(AL161&lt;&gt;"A","",IFERROR(IFERROR(_xlfn.XLOOKUP(TRIM(SUBSTITUTE(Z161,CHAR(160)," ")),BP16:BP63,BS16:BS63),IFERROR(_xlfn.XLOOKUP(TRIM(SUBSTITUTE(Z161,CHAR(160)," ")),BQ16:BQ63,BS16:BS63),_xlfn.XLOOKUP(TRIM(SUBSTITUTE(Z161,CHAR(160)," ")),BR16:BR63,BS16:BS63)))*Y161*IF(ISBLANK(V161),1,V161),0))</f>
        <v/>
      </c>
      <c r="AS161" s="784" t="str">
        <f t="shared" si="84"/>
        <v/>
      </c>
      <c r="AT161" s="1315" t="str">
        <f t="shared" si="97"/>
        <v/>
      </c>
      <c r="AU161" s="785">
        <f t="shared" si="98"/>
        <v>0</v>
      </c>
      <c r="AV161" s="785">
        <f t="shared" si="99"/>
        <v>0</v>
      </c>
      <c r="AW161" s="786">
        <f>IF(AK161="A",AY10,0)</f>
        <v>0</v>
      </c>
      <c r="AX161" s="5495" t="str">
        <f>IF(IFERROR(SEARCH("Adresse PC",TRIM(W161)),0)&gt;0,"▼ receta siguiente",IF(AK161="A",IF(AZ10&lt;&gt;"",AZ10&amp;" - ou.or.o ❾ + or - &gt;",""),""))</f>
        <v/>
      </c>
      <c r="AY161" s="810"/>
      <c r="AZ161" s="810"/>
      <c r="BA161" s="788" t="str">
        <f t="shared" si="89"/>
        <v/>
      </c>
      <c r="BB161" s="789" t="str">
        <f>IF(AK161="A",IF(AQ161,IF(AND(AW161&lt;&gt;"",N(AW161)&gt;0),IFERROR(IFERROR(_xlfn.XLOOKUP(AP161,BP10:BP57,BT10:BT57),IFERROR(_xlfn.XLOOKUP(AP161,BQ10:BQ57,BT10:BT57),_xlfn.XLOOKUP(AP161,BR10:BR57,BT10:BT57,""))),""),""),""),"")</f>
        <v/>
      </c>
      <c r="BC161" s="811" cm="1">
        <f t="array" ref="BC161">IF(NOT(AQ161),0,IF(OR(BA161="",N(BA161)&lt;=0.000000001),"",IF(OR(AU161="",N(AU161)&lt;=0.000000001),0,IF(ISNUMBER(BA161),IFERROR(_xlfn.LET(_xlpm.ai_test,TRIM(AP161),_xlpm.r,IFERROR(_xlfn.XLOOKUP(_xlpm.ai_test,BP16:BP63,ROW(BP16:BP63),0,1),IFERROR(_xlfn.XLOOKUP(_xlpm.ai_test,BQ16:BQ63,ROW(BQ16:BQ63),0,1),_xlfn.XLOOKUP(_xlpm.ai_test,BR16:BR63,ROW(BR16:BR63),0,1))),_xlpm.p,_xlpm.r-MIN(ROW(BP16:BP63))+1,_xlpm.f,INDEX(BS16:BS63,_xlpm.p),_xlpm.u,INDEX(BT16:BT63,_xlpm.p),_xlpm.s,INDEX(BV16:BV63,_xlpm.p),_xlpm.q,N(BA161)/_xlpm.f,IF(_xlpm.q&gt;=_xlpm.s,ROUND(_xlpm.q,1)&amp;" "&amp;_xlpm.ai_test&amp;" = "&amp;ROUND(_xlpm.q*_xlpm.f,1)&amp;" "&amp;_xlpm.u,ROUND(_xlpm.q,1)&amp;" "&amp;_xlpm.ai_test)),""),""))))</f>
        <v>0</v>
      </c>
      <c r="BD161" s="801"/>
      <c r="BE161" s="788" t="str">
        <f t="shared" si="100"/>
        <v/>
      </c>
      <c r="BF161" s="789" t="str">
        <f t="shared" si="103"/>
        <v/>
      </c>
      <c r="BG161" s="790">
        <f t="shared" si="104"/>
        <v>0</v>
      </c>
      <c r="BH161" s="791" t="str">
        <f t="shared" si="105"/>
        <v/>
      </c>
      <c r="BI161" s="792"/>
      <c r="BJ161" s="793">
        <f t="shared" si="106"/>
        <v>0</v>
      </c>
      <c r="BK161" s="794" t="str">
        <f t="shared" si="101"/>
        <v/>
      </c>
      <c r="BL161" s="227" t="s">
        <v>21</v>
      </c>
      <c r="BM161" s="773">
        <f t="shared" si="91"/>
        <v>0</v>
      </c>
      <c r="BN161" s="774">
        <f t="shared" si="92"/>
        <v>0</v>
      </c>
      <c r="BO161"/>
      <c r="BX161"/>
      <c r="BY161"/>
      <c r="BZ161"/>
      <c r="CA161"/>
      <c r="CB161"/>
      <c r="CC161"/>
      <c r="CD161" s="781" t="str">
        <f t="shared" si="85"/>
        <v>►</v>
      </c>
      <c r="CE161"/>
      <c r="CF161"/>
      <c r="CG161"/>
      <c r="CH161"/>
      <c r="CI161"/>
      <c r="CJ161" s="633"/>
      <c r="CK161"/>
      <c r="CL161"/>
      <c r="CM161"/>
      <c r="CN161"/>
      <c r="CO161"/>
      <c r="CP161"/>
      <c r="CQ161"/>
      <c r="CS161"/>
      <c r="CT161"/>
      <c r="CU161"/>
      <c r="CV161"/>
      <c r="CW161"/>
      <c r="CX161"/>
      <c r="CY161"/>
      <c r="DA161"/>
      <c r="DB161"/>
      <c r="DC161"/>
      <c r="DD161"/>
      <c r="DE161"/>
      <c r="DF161"/>
      <c r="DG161"/>
      <c r="DI161" s="3">
        <v>1</v>
      </c>
    </row>
    <row r="162" spans="1:113" s="627" customFormat="1" ht="21" customHeight="1">
      <c r="A162" s="701" t="s">
        <v>21</v>
      </c>
      <c r="B162" s="2265" t="str" cm="1">
        <f t="array" ref="B162">SUMPRODUCT(--(D162:J162&lt;&gt;""), LEN(TRIM(SUBSTITUTE(D162:J162, CHAR(160), "")))) &amp; " Car."</f>
        <v>0 Car.</v>
      </c>
      <c r="C162" s="1376" t="str">
        <f>IF(ISBLANK(D162),"",LARGE(C13:C161,1)+1)</f>
        <v/>
      </c>
      <c r="D162" s="1833"/>
      <c r="E162" s="1810"/>
      <c r="F162" s="1810"/>
      <c r="G162" s="1810"/>
      <c r="H162" s="1810"/>
      <c r="I162" s="1810"/>
      <c r="J162" s="1810"/>
      <c r="K162" s="1810"/>
      <c r="L162" s="1811"/>
      <c r="M162" s="9"/>
      <c r="N162" s="25" t="str">
        <f t="shared" si="88"/>
        <v>A</v>
      </c>
      <c r="O162" s="1616"/>
      <c r="P162" s="9"/>
      <c r="Q162" s="25" t="s">
        <v>10</v>
      </c>
      <c r="R162" s="31" t="str">
        <f>R166</f>
        <v>J JUS DE FRAISES DES BOIS | pâtisserie--ENTREMET| Auteur &gt; recette Béghin Say de Jean-Jacques Borne MOF 1994</v>
      </c>
      <c r="S162" s="32">
        <f>S166</f>
        <v>18</v>
      </c>
      <c r="T162" s="32" t="str">
        <f>T166</f>
        <v>desserts</v>
      </c>
      <c r="U162" s="33" t="str">
        <f>U166</f>
        <v>Recette mère ► MILLE-FEUILLE  aux fraises des bois</v>
      </c>
      <c r="V162" s="1357"/>
      <c r="W162" s="1358" t="s">
        <v>30</v>
      </c>
      <c r="X162" s="34"/>
      <c r="Y162" s="35" t="s">
        <v>31</v>
      </c>
      <c r="Z162" s="36" t="s">
        <v>3050</v>
      </c>
      <c r="AA162" s="9"/>
      <c r="AB162" s="9"/>
      <c r="AC162" s="36"/>
      <c r="AD162" s="36"/>
      <c r="AE162" s="36"/>
      <c r="AF162" s="37"/>
      <c r="AG162" s="9"/>
      <c r="AH162" s="9"/>
      <c r="AI162" s="9"/>
      <c r="AJ162" s="2062" t="str" cm="1">
        <f t="array" ref="AJ162">IF(COUNTIF(R190:AJ190,"&lt;0.5")=0,"Aucune colonne masquée ",COUNTIF(R190:AJ190,"&lt;0.5") &amp; " " &amp; IF(COUNTIF(R190:AJ190,"&lt;0.5")&gt;1,"colonnes masquées","colonne masquée") &amp; " " &amp; _xlfn.TEXTJOIN(" ", TRUE, IF(R190:AJ190&lt;0.5,R189:AJ189,"")))&amp;" "</f>
        <v xml:space="preserve">Aucune colonne masquée  </v>
      </c>
      <c r="AK162" s="6120" t="str">
        <f t="shared" si="102"/>
        <v>►</v>
      </c>
      <c r="AL162" s="781" t="str">
        <f t="shared" si="90"/>
        <v>►</v>
      </c>
      <c r="AM162" s="5498" t="str">
        <f t="shared" si="93"/>
        <v/>
      </c>
      <c r="AN162" s="783" t="str">
        <f t="shared" si="94"/>
        <v/>
      </c>
      <c r="AO162" s="782" t="str">
        <f t="shared" si="95"/>
        <v/>
      </c>
      <c r="AP162" s="783" t="str">
        <f t="shared" si="96"/>
        <v/>
      </c>
      <c r="AQ162" s="2083" t="b">
        <f>AND(Q162="A",COUNTIF(BP16:BR63,TRIM(Z162))&gt;0)</f>
        <v>0</v>
      </c>
      <c r="AR162" s="797" t="str">
        <f>IF(AL162&lt;&gt;"A","",IFERROR(IFERROR(_xlfn.XLOOKUP(TRIM(SUBSTITUTE(Z162,CHAR(160)," ")),BP16:BP63,BS16:BS63),IFERROR(_xlfn.XLOOKUP(TRIM(SUBSTITUTE(Z162,CHAR(160)," ")),BQ16:BQ63,BS16:BS63),_xlfn.XLOOKUP(TRIM(SUBSTITUTE(Z162,CHAR(160)," ")),BR16:BR63,BS16:BS63)))*Y162*IF(ISBLANK(V162),1,V162),0))</f>
        <v/>
      </c>
      <c r="AS162" s="784" t="str">
        <f t="shared" si="84"/>
        <v/>
      </c>
      <c r="AT162" s="1315" t="str">
        <f t="shared" si="97"/>
        <v/>
      </c>
      <c r="AU162" s="785">
        <f t="shared" si="98"/>
        <v>0</v>
      </c>
      <c r="AV162" s="785">
        <f t="shared" si="99"/>
        <v>0</v>
      </c>
      <c r="AW162" s="798">
        <f>IF(AK162="A",AY10,0)</f>
        <v>0</v>
      </c>
      <c r="AX162" s="5496" t="str">
        <f>IF(IFERROR(SEARCH("Adresse PC",TRIM(W162)),0)&gt;0,"▼ receta siguiente",IF(AK162="A",IF(AZ10&lt;&gt;"",AZ10&amp;" - ou.or.o ❾ + or - &gt;",""),""))</f>
        <v/>
      </c>
      <c r="AY162" s="810"/>
      <c r="AZ162" s="810"/>
      <c r="BA162" s="799" t="str">
        <f t="shared" si="89"/>
        <v/>
      </c>
      <c r="BB162" s="800" t="str">
        <f>IF(AK162="A",IF(AQ162,IF(AND(AW162&lt;&gt;"",N(AW162)&gt;0),IFERROR(IFERROR(_xlfn.XLOOKUP(AP162,BP10:BP57,BT10:BT57),IFERROR(_xlfn.XLOOKUP(AP162,BQ10:BQ57,BT10:BT57),_xlfn.XLOOKUP(AP162,BR10:BR57,BT10:BT57,""))),""),""),""),"")</f>
        <v/>
      </c>
      <c r="BC162" s="813" cm="1">
        <f t="array" ref="BC162">IF(NOT(AQ162),0,IF(OR(BA162="",N(BA162)&lt;=0.000000001),"",IF(OR(AU162="",N(AU162)&lt;=0.000000001),0,IF(ISNUMBER(BA162),IFERROR(_xlfn.LET(_xlpm.ai_test,TRIM(AP162),_xlpm.r,IFERROR(_xlfn.XLOOKUP(_xlpm.ai_test,BP16:BP63,ROW(BP16:BP63),0,1),IFERROR(_xlfn.XLOOKUP(_xlpm.ai_test,BQ16:BQ63,ROW(BQ16:BQ63),0,1),_xlfn.XLOOKUP(_xlpm.ai_test,BR16:BR63,ROW(BR16:BR63),0,1))),_xlpm.p,_xlpm.r-MIN(ROW(BP16:BP63))+1,_xlpm.f,INDEX(BS16:BS63,_xlpm.p),_xlpm.u,INDEX(BT16:BT63,_xlpm.p),_xlpm.s,INDEX(BV16:BV63,_xlpm.p),_xlpm.q,N(BA162)/_xlpm.f,IF(_xlpm.q&gt;=_xlpm.s,ROUND(_xlpm.q,1)&amp;" "&amp;_xlpm.ai_test&amp;" = "&amp;ROUND(_xlpm.q*_xlpm.f,1)&amp;" "&amp;_xlpm.u,ROUND(_xlpm.q,1)&amp;" "&amp;_xlpm.ai_test)),""),""))))</f>
        <v>0</v>
      </c>
      <c r="BD162" s="801"/>
      <c r="BE162" s="799" t="str">
        <f t="shared" si="100"/>
        <v/>
      </c>
      <c r="BF162" s="800" t="str">
        <f t="shared" si="103"/>
        <v/>
      </c>
      <c r="BG162" s="802">
        <f t="shared" si="104"/>
        <v>0</v>
      </c>
      <c r="BH162" s="803" t="str">
        <f t="shared" si="105"/>
        <v/>
      </c>
      <c r="BI162" s="792"/>
      <c r="BJ162" s="804">
        <f t="shared" si="106"/>
        <v>0</v>
      </c>
      <c r="BK162" s="794" t="str">
        <f t="shared" si="101"/>
        <v/>
      </c>
      <c r="BL162" s="227" t="s">
        <v>21</v>
      </c>
      <c r="BM162" s="773">
        <f t="shared" si="91"/>
        <v>0</v>
      </c>
      <c r="BN162" s="774">
        <f t="shared" si="92"/>
        <v>0</v>
      </c>
      <c r="BO162"/>
      <c r="BX162"/>
      <c r="BY162"/>
      <c r="BZ162"/>
      <c r="CA162"/>
      <c r="CB162"/>
      <c r="CC162"/>
      <c r="CD162" s="781" t="str">
        <f t="shared" si="85"/>
        <v>►</v>
      </c>
      <c r="CE162"/>
      <c r="CF162"/>
      <c r="CG162"/>
      <c r="CH162"/>
      <c r="CI162"/>
      <c r="CJ162" s="633"/>
      <c r="CK162"/>
      <c r="CL162"/>
      <c r="CM162"/>
      <c r="CN162"/>
      <c r="CO162"/>
      <c r="CP162"/>
      <c r="CQ162"/>
      <c r="CS162"/>
      <c r="CT162"/>
      <c r="CU162"/>
      <c r="CV162"/>
      <c r="CW162"/>
      <c r="CX162"/>
      <c r="CY162"/>
      <c r="DA162"/>
      <c r="DB162"/>
      <c r="DC162"/>
      <c r="DD162"/>
      <c r="DE162"/>
      <c r="DF162"/>
      <c r="DG162"/>
      <c r="DI162" s="3">
        <v>1</v>
      </c>
    </row>
    <row r="163" spans="1:113" s="627" customFormat="1" ht="21" customHeight="1">
      <c r="A163" s="701" t="s">
        <v>21</v>
      </c>
      <c r="B163" s="2265" t="str" cm="1">
        <f t="array" ref="B163">SUMPRODUCT(--(D163:J163&lt;&gt;""), LEN(TRIM(SUBSTITUTE(D163:J163, CHAR(160), "")))) &amp; " Car."</f>
        <v>0 Car.</v>
      </c>
      <c r="C163" s="1376" t="str">
        <f>IF(ISBLANK(D163),"",LARGE(C13:C162,1)+1)</f>
        <v/>
      </c>
      <c r="D163" s="1833"/>
      <c r="E163" s="1810"/>
      <c r="F163" s="1810"/>
      <c r="G163" s="1810"/>
      <c r="H163" s="1810"/>
      <c r="I163" s="1810"/>
      <c r="J163" s="1810"/>
      <c r="K163" s="1810"/>
      <c r="L163" s="1811"/>
      <c r="M163" s="9"/>
      <c r="N163" s="25" t="str">
        <f t="shared" si="88"/>
        <v>A</v>
      </c>
      <c r="O163" s="1616"/>
      <c r="P163" s="9"/>
      <c r="Q163" s="25" t="s">
        <v>10</v>
      </c>
      <c r="R163" s="31" t="str">
        <f>R166</f>
        <v>J JUS DE FRAISES DES BOIS | pâtisserie--ENTREMET| Auteur &gt; recette Béghin Say de Jean-Jacques Borne MOF 1994</v>
      </c>
      <c r="S163" s="32">
        <f>S166</f>
        <v>18</v>
      </c>
      <c r="T163" s="32" t="str">
        <f>T166</f>
        <v>desserts</v>
      </c>
      <c r="U163" s="33" t="str">
        <f>U166</f>
        <v>Recette mère ► MILLE-FEUILLE  aux fraises des bois</v>
      </c>
      <c r="V163" s="39" t="s">
        <v>32</v>
      </c>
      <c r="W163" s="40"/>
      <c r="X163" s="40"/>
      <c r="Y163" s="41" t="s">
        <v>33</v>
      </c>
      <c r="Z163" s="6736" t="str">
        <f>AB166&amp;" "&amp;AC166&amp;" ► Famille = "&amp;AH160&amp;" ► "&amp;Y160&amp;" "&amp;AF163&amp;" "&amp;AH163&amp;" "&amp;AI163&amp;" "&amp;AJ163</f>
        <v>Recette mère ► MILLE-FEUILLE  aux fraises des bois ► Famille = pâtisserie--ENTREMET ► JUS DE FRAISES DES BOIS  ⓫  Dupliquée pour 36 desserts</v>
      </c>
      <c r="AA163" s="6736"/>
      <c r="AB163" s="6736"/>
      <c r="AC163" s="6736"/>
      <c r="AD163" s="6736"/>
      <c r="AE163" s="6736"/>
      <c r="AF163" s="6736"/>
      <c r="AG163" s="1359"/>
      <c r="AH163" s="1359" t="s">
        <v>35</v>
      </c>
      <c r="AI163" s="42">
        <v>36</v>
      </c>
      <c r="AJ163" s="43" t="str">
        <f>AJ165</f>
        <v>desserts</v>
      </c>
      <c r="AK163" s="6120" t="str">
        <f t="shared" si="102"/>
        <v>►</v>
      </c>
      <c r="AL163" s="781" t="str">
        <f t="shared" si="90"/>
        <v>►</v>
      </c>
      <c r="AM163" s="5499" t="str">
        <f t="shared" si="93"/>
        <v/>
      </c>
      <c r="AN163" s="783" t="str">
        <f t="shared" si="94"/>
        <v/>
      </c>
      <c r="AO163" s="782" t="str">
        <f t="shared" si="95"/>
        <v/>
      </c>
      <c r="AP163" s="783" t="str">
        <f t="shared" si="96"/>
        <v/>
      </c>
      <c r="AQ163" s="2083" t="b">
        <f>AND(Q163="A",COUNTIF(BP16:BR63,TRIM(Z163))&gt;0)</f>
        <v>0</v>
      </c>
      <c r="AR163" s="797" t="str">
        <f>IF(AL163&lt;&gt;"A","",IFERROR(IFERROR(_xlfn.XLOOKUP(TRIM(SUBSTITUTE(Z163,CHAR(160)," ")),BP16:BP63,BS16:BS63),IFERROR(_xlfn.XLOOKUP(TRIM(SUBSTITUTE(Z163,CHAR(160)," ")),BQ16:BQ63,BS16:BS63),_xlfn.XLOOKUP(TRIM(SUBSTITUTE(Z163,CHAR(160)," ")),BR16:BR63,BS16:BS63)))*Y163*IF(ISBLANK(V163),1,V163),0))</f>
        <v/>
      </c>
      <c r="AS163" s="784" t="str">
        <f t="shared" si="84"/>
        <v/>
      </c>
      <c r="AT163" s="1315" t="str">
        <f t="shared" si="97"/>
        <v/>
      </c>
      <c r="AU163" s="785">
        <f t="shared" si="98"/>
        <v>0</v>
      </c>
      <c r="AV163" s="785">
        <f t="shared" si="99"/>
        <v>0</v>
      </c>
      <c r="AW163" s="786">
        <f>IF(AK163="A",AY10,0)</f>
        <v>0</v>
      </c>
      <c r="AX163" s="5495" t="str">
        <f>IF(IFERROR(SEARCH("Adresse PC",TRIM(W163)),0)&gt;0,"▼ receta siguiente",IF(AK163="A",IF(AZ10&lt;&gt;"",AZ10&amp;" - ou.or.o ❾ + or - &gt;",""),""))</f>
        <v/>
      </c>
      <c r="AY163" s="810"/>
      <c r="AZ163" s="810"/>
      <c r="BA163" s="788" t="str">
        <f t="shared" si="89"/>
        <v/>
      </c>
      <c r="BB163" s="789" t="str">
        <f>IF(AK163="A",IF(AQ163,IF(AND(AW163&lt;&gt;"",N(AW163)&gt;0),IFERROR(IFERROR(_xlfn.XLOOKUP(AP163,BP10:BP57,BT10:BT57),IFERROR(_xlfn.XLOOKUP(AP163,BQ10:BQ57,BT10:BT57),_xlfn.XLOOKUP(AP163,BR10:BR57,BT10:BT57,""))),""),""),""),"")</f>
        <v/>
      </c>
      <c r="BC163" s="811" cm="1">
        <f t="array" ref="BC163">IF(NOT(AQ163),0,IF(OR(BA163="",N(BA163)&lt;=0.000000001),"",IF(OR(AU163="",N(AU163)&lt;=0.000000001),0,IF(ISNUMBER(BA163),IFERROR(_xlfn.LET(_xlpm.ai_test,TRIM(AP163),_xlpm.r,IFERROR(_xlfn.XLOOKUP(_xlpm.ai_test,BP16:BP63,ROW(BP16:BP63),0,1),IFERROR(_xlfn.XLOOKUP(_xlpm.ai_test,BQ16:BQ63,ROW(BQ16:BQ63),0,1),_xlfn.XLOOKUP(_xlpm.ai_test,BR16:BR63,ROW(BR16:BR63),0,1))),_xlpm.p,_xlpm.r-MIN(ROW(BP16:BP63))+1,_xlpm.f,INDEX(BS16:BS63,_xlpm.p),_xlpm.u,INDEX(BT16:BT63,_xlpm.p),_xlpm.s,INDEX(BV16:BV63,_xlpm.p),_xlpm.q,N(BA163)/_xlpm.f,IF(_xlpm.q&gt;=_xlpm.s,ROUND(_xlpm.q,1)&amp;" "&amp;_xlpm.ai_test&amp;" = "&amp;ROUND(_xlpm.q*_xlpm.f,1)&amp;" "&amp;_xlpm.u,ROUND(_xlpm.q,1)&amp;" "&amp;_xlpm.ai_test)),""),""))))</f>
        <v>0</v>
      </c>
      <c r="BD163" s="801"/>
      <c r="BE163" s="788" t="str">
        <f t="shared" si="100"/>
        <v/>
      </c>
      <c r="BF163" s="789" t="str">
        <f t="shared" si="103"/>
        <v/>
      </c>
      <c r="BG163" s="790">
        <f t="shared" si="104"/>
        <v>0</v>
      </c>
      <c r="BH163" s="791" t="str">
        <f t="shared" si="105"/>
        <v/>
      </c>
      <c r="BI163" s="792"/>
      <c r="BJ163" s="793">
        <f t="shared" si="106"/>
        <v>0</v>
      </c>
      <c r="BK163" s="794" t="str">
        <f t="shared" si="101"/>
        <v/>
      </c>
      <c r="BL163" s="227" t="s">
        <v>21</v>
      </c>
      <c r="BM163" s="773">
        <f t="shared" si="91"/>
        <v>0</v>
      </c>
      <c r="BN163" s="774">
        <f t="shared" si="92"/>
        <v>0</v>
      </c>
      <c r="BO163"/>
      <c r="BX163"/>
      <c r="BY163"/>
      <c r="BZ163"/>
      <c r="CA163"/>
      <c r="CB163"/>
      <c r="CC163"/>
      <c r="CD163" s="781" t="str">
        <f t="shared" si="85"/>
        <v>►</v>
      </c>
      <c r="CE163"/>
      <c r="CF163"/>
      <c r="CG163"/>
      <c r="CH163"/>
      <c r="CI163"/>
      <c r="CJ163" s="633"/>
      <c r="CK163"/>
      <c r="CL163"/>
      <c r="CM163"/>
      <c r="CN163"/>
      <c r="CO163"/>
      <c r="CP163"/>
      <c r="CQ163"/>
      <c r="CS163"/>
      <c r="CT163"/>
      <c r="CU163"/>
      <c r="CV163"/>
      <c r="CW163"/>
      <c r="CX163"/>
      <c r="CY163"/>
      <c r="DA163"/>
      <c r="DB163"/>
      <c r="DC163"/>
      <c r="DD163"/>
      <c r="DE163"/>
      <c r="DF163"/>
      <c r="DG163"/>
      <c r="DI163" s="3">
        <v>1</v>
      </c>
    </row>
    <row r="164" spans="1:113" s="627" customFormat="1" ht="21" customHeight="1">
      <c r="A164" s="701" t="s">
        <v>21</v>
      </c>
      <c r="B164" s="2265" t="str" cm="1">
        <f t="array" ref="B164">SUMPRODUCT(--(D164:J164&lt;&gt;""), LEN(TRIM(SUBSTITUTE(D164:J164, CHAR(160), "")))) &amp; " Car."</f>
        <v>0 Car.</v>
      </c>
      <c r="C164" s="1376" t="str">
        <f>IF(ISBLANK(D164),"",LARGE(C13:C163,1)+1)</f>
        <v/>
      </c>
      <c r="D164" s="1833"/>
      <c r="E164" s="1810"/>
      <c r="F164" s="1810"/>
      <c r="G164" s="1810"/>
      <c r="H164" s="1810"/>
      <c r="I164" s="1810"/>
      <c r="J164" s="1810"/>
      <c r="K164" s="1810"/>
      <c r="L164" s="1811"/>
      <c r="M164" s="9"/>
      <c r="N164" s="25" t="str">
        <f t="shared" si="88"/>
        <v>A</v>
      </c>
      <c r="O164" s="1616"/>
      <c r="P164" s="9"/>
      <c r="Q164" s="25" t="s">
        <v>10</v>
      </c>
      <c r="R164" s="31" t="str">
        <f>R166</f>
        <v>J JUS DE FRAISES DES BOIS | pâtisserie--ENTREMET| Auteur &gt; recette Béghin Say de Jean-Jacques Borne MOF 1994</v>
      </c>
      <c r="S164" s="32">
        <f>S166</f>
        <v>18</v>
      </c>
      <c r="T164" s="32" t="str">
        <f>T166</f>
        <v>desserts</v>
      </c>
      <c r="U164" s="33" t="str">
        <f>U166</f>
        <v>Recette mère ► MILLE-FEUILLE  aux fraises des bois</v>
      </c>
      <c r="V164" s="1360">
        <v>18</v>
      </c>
      <c r="W164" s="1361" t="s">
        <v>3056</v>
      </c>
      <c r="X164" s="39"/>
      <c r="Y164" s="39"/>
      <c r="Z164" s="6736"/>
      <c r="AA164" s="6736"/>
      <c r="AB164" s="6736"/>
      <c r="AC164" s="6736"/>
      <c r="AD164" s="6736"/>
      <c r="AE164" s="6736"/>
      <c r="AF164" s="6736"/>
      <c r="AG164" s="696"/>
      <c r="AH164" s="696"/>
      <c r="AI164" s="47" t="s">
        <v>40</v>
      </c>
      <c r="AJ164" s="48" t="s">
        <v>41</v>
      </c>
      <c r="AK164" s="6120" t="str">
        <f t="shared" si="102"/>
        <v>►</v>
      </c>
      <c r="AL164" s="781" t="str">
        <f t="shared" si="90"/>
        <v>►</v>
      </c>
      <c r="AM164" s="5498" t="str">
        <f t="shared" si="93"/>
        <v/>
      </c>
      <c r="AN164" s="783" t="str">
        <f t="shared" si="94"/>
        <v/>
      </c>
      <c r="AO164" s="782" t="str">
        <f t="shared" si="95"/>
        <v/>
      </c>
      <c r="AP164" s="783" t="str">
        <f t="shared" si="96"/>
        <v/>
      </c>
      <c r="AQ164" s="2083" t="b">
        <f>AND(Q164="A",COUNTIF(BP16:BR63,TRIM(Z164))&gt;0)</f>
        <v>0</v>
      </c>
      <c r="AR164" s="797" t="str">
        <f>IF(AL164&lt;&gt;"A","",IFERROR(IFERROR(_xlfn.XLOOKUP(TRIM(SUBSTITUTE(Z164,CHAR(160)," ")),BP16:BP63,BS16:BS63),IFERROR(_xlfn.XLOOKUP(TRIM(SUBSTITUTE(Z164,CHAR(160)," ")),BQ16:BQ63,BS16:BS63),_xlfn.XLOOKUP(TRIM(SUBSTITUTE(Z164,CHAR(160)," ")),BR16:BR63,BS16:BS63)))*Y164*IF(ISBLANK(V164),1,V164),0))</f>
        <v/>
      </c>
      <c r="AS164" s="784" t="str">
        <f t="shared" si="84"/>
        <v/>
      </c>
      <c r="AT164" s="1315" t="str">
        <f t="shared" si="97"/>
        <v/>
      </c>
      <c r="AU164" s="785">
        <f t="shared" si="98"/>
        <v>0</v>
      </c>
      <c r="AV164" s="785">
        <f t="shared" si="99"/>
        <v>0</v>
      </c>
      <c r="AW164" s="798">
        <f>IF(AK164="A",AY10,0)</f>
        <v>0</v>
      </c>
      <c r="AX164" s="5496" t="str">
        <f>IF(IFERROR(SEARCH("Adresse PC",TRIM(W164)),0)&gt;0,"▼ receta siguiente",IF(AK164="A",IF(AZ10&lt;&gt;"",AZ10&amp;" - ou.or.o ❾ + or - &gt;",""),""))</f>
        <v/>
      </c>
      <c r="AY164" s="810"/>
      <c r="AZ164" s="810"/>
      <c r="BA164" s="799" t="str">
        <f t="shared" si="89"/>
        <v/>
      </c>
      <c r="BB164" s="800" t="str">
        <f>IF(AK164="A",IF(AQ164,IF(AND(AW164&lt;&gt;"",N(AW164)&gt;0),IFERROR(IFERROR(_xlfn.XLOOKUP(AP164,BP10:BP57,BT10:BT57),IFERROR(_xlfn.XLOOKUP(AP164,BQ10:BQ57,BT10:BT57),_xlfn.XLOOKUP(AP164,BR10:BR57,BT10:BT57,""))),""),""),""),"")</f>
        <v/>
      </c>
      <c r="BC164" s="813" cm="1">
        <f t="array" ref="BC164">IF(NOT(AQ164),0,IF(OR(BA164="",N(BA164)&lt;=0.000000001),"",IF(OR(AU164="",N(AU164)&lt;=0.000000001),0,IF(ISNUMBER(BA164),IFERROR(_xlfn.LET(_xlpm.ai_test,TRIM(AP164),_xlpm.r,IFERROR(_xlfn.XLOOKUP(_xlpm.ai_test,BP16:BP63,ROW(BP16:BP63),0,1),IFERROR(_xlfn.XLOOKUP(_xlpm.ai_test,BQ16:BQ63,ROW(BQ16:BQ63),0,1),_xlfn.XLOOKUP(_xlpm.ai_test,BR16:BR63,ROW(BR16:BR63),0,1))),_xlpm.p,_xlpm.r-MIN(ROW(BP16:BP63))+1,_xlpm.f,INDEX(BS16:BS63,_xlpm.p),_xlpm.u,INDEX(BT16:BT63,_xlpm.p),_xlpm.s,INDEX(BV16:BV63,_xlpm.p),_xlpm.q,N(BA164)/_xlpm.f,IF(_xlpm.q&gt;=_xlpm.s,ROUND(_xlpm.q,1)&amp;" "&amp;_xlpm.ai_test&amp;" = "&amp;ROUND(_xlpm.q*_xlpm.f,1)&amp;" "&amp;_xlpm.u,ROUND(_xlpm.q,1)&amp;" "&amp;_xlpm.ai_test)),""),""))))</f>
        <v>0</v>
      </c>
      <c r="BD164" s="801"/>
      <c r="BE164" s="799" t="str">
        <f t="shared" si="100"/>
        <v/>
      </c>
      <c r="BF164" s="800" t="str">
        <f t="shared" si="103"/>
        <v/>
      </c>
      <c r="BG164" s="802">
        <f t="shared" si="104"/>
        <v>0</v>
      </c>
      <c r="BH164" s="803" t="str">
        <f t="shared" si="105"/>
        <v/>
      </c>
      <c r="BI164" s="792"/>
      <c r="BJ164" s="804">
        <f t="shared" si="106"/>
        <v>0</v>
      </c>
      <c r="BK164" s="794" t="str">
        <f t="shared" si="101"/>
        <v/>
      </c>
      <c r="BL164" s="227" t="s">
        <v>21</v>
      </c>
      <c r="BM164" s="773">
        <f t="shared" si="91"/>
        <v>0</v>
      </c>
      <c r="BN164" s="774">
        <f t="shared" si="92"/>
        <v>0</v>
      </c>
      <c r="BO164"/>
      <c r="BX164"/>
      <c r="BY164"/>
      <c r="BZ164"/>
      <c r="CA164"/>
      <c r="CB164"/>
      <c r="CC164"/>
      <c r="CD164" s="781" t="str">
        <f t="shared" si="85"/>
        <v>►</v>
      </c>
      <c r="CE164"/>
      <c r="CF164"/>
      <c r="CG164"/>
      <c r="CH164"/>
      <c r="CI164"/>
      <c r="CJ164" s="633"/>
      <c r="CK164"/>
      <c r="CL164"/>
      <c r="CM164"/>
      <c r="CN164"/>
      <c r="CO164"/>
      <c r="CP164"/>
      <c r="CQ164"/>
      <c r="CS164"/>
      <c r="CT164"/>
      <c r="CU164"/>
      <c r="CV164"/>
      <c r="CW164"/>
      <c r="CX164"/>
      <c r="CY164"/>
      <c r="DA164"/>
      <c r="DB164"/>
      <c r="DC164"/>
      <c r="DD164"/>
      <c r="DE164"/>
      <c r="DF164"/>
      <c r="DG164"/>
      <c r="DI164" s="3">
        <v>1</v>
      </c>
    </row>
    <row r="165" spans="1:113" s="627" customFormat="1" ht="21" customHeight="1">
      <c r="A165" s="701" t="s">
        <v>21</v>
      </c>
      <c r="B165" s="2265" t="str" cm="1">
        <f t="array" ref="B165">SUMPRODUCT(--(D165:J165&lt;&gt;""), LEN(TRIM(SUBSTITUTE(D165:J165, CHAR(160), "")))) &amp; " Car."</f>
        <v>0 Car.</v>
      </c>
      <c r="C165" s="1376" t="str">
        <f>IF(ISBLANK(D165),"",LARGE(C13:C164,1)+1)</f>
        <v/>
      </c>
      <c r="D165" s="1833"/>
      <c r="E165" s="1810"/>
      <c r="F165" s="1810"/>
      <c r="G165" s="1810"/>
      <c r="H165" s="1810"/>
      <c r="I165" s="1810"/>
      <c r="J165" s="1810"/>
      <c r="K165" s="1810"/>
      <c r="L165" s="1811"/>
      <c r="M165" s="9"/>
      <c r="N165" s="25" t="str">
        <f t="shared" si="88"/>
        <v>A</v>
      </c>
      <c r="O165" s="1616"/>
      <c r="P165" s="9"/>
      <c r="Q165" s="25" t="s">
        <v>10</v>
      </c>
      <c r="R165" s="31" t="str">
        <f>R166</f>
        <v>J JUS DE FRAISES DES BOIS | pâtisserie--ENTREMET| Auteur &gt; recette Béghin Say de Jean-Jacques Borne MOF 1994</v>
      </c>
      <c r="S165" s="32">
        <f>S166</f>
        <v>18</v>
      </c>
      <c r="T165" s="32" t="str">
        <f>T166</f>
        <v>desserts</v>
      </c>
      <c r="U165" s="33" t="str">
        <f>U166</f>
        <v>Recette mère ► MILLE-FEUILLE  aux fraises des bois</v>
      </c>
      <c r="V165" s="53"/>
      <c r="W165" s="1323" t="s">
        <v>8094</v>
      </c>
      <c r="X165" s="6737">
        <f>AF185</f>
        <v>0</v>
      </c>
      <c r="Y165" s="6737"/>
      <c r="Z165" s="1324" t="str" cm="1">
        <f t="array" ref="Z165">"1= "&amp;IF(OR(V164&lt;=0,X165=""),"",_xlfn.LET(_xlpm.kg,IF(ISNUMBER(X165),X165,VALEUR(SUBSTITUTE(SUBSTITUTE(SUBSTITUTE(LOWER(X165),"kg",""),",",".")," ",""))),TEXT(ROUND(_xlpm.kg*1000/V164,2),"0.##")&amp;" g"))</f>
        <v>1= 0. g</v>
      </c>
      <c r="AA165" s="1325">
        <f>IFERROR(AI163/AI165,0)</f>
        <v>2</v>
      </c>
      <c r="AB165" s="1817" t="s">
        <v>8230</v>
      </c>
      <c r="AC165" s="579"/>
      <c r="AD165" s="55"/>
      <c r="AE165" s="55"/>
      <c r="AF165"/>
      <c r="AG165" s="1362"/>
      <c r="AH165" s="1362" t="s">
        <v>50</v>
      </c>
      <c r="AI165" s="882">
        <v>18</v>
      </c>
      <c r="AJ165" s="56" t="s">
        <v>3056</v>
      </c>
      <c r="AK165" s="6120" t="str">
        <f t="shared" si="102"/>
        <v>►</v>
      </c>
      <c r="AL165" s="781" t="str">
        <f t="shared" si="90"/>
        <v>►</v>
      </c>
      <c r="AM165" s="5499" t="str">
        <f t="shared" si="93"/>
        <v/>
      </c>
      <c r="AN165" s="783" t="str">
        <f t="shared" si="94"/>
        <v/>
      </c>
      <c r="AO165" s="782" t="str">
        <f t="shared" si="95"/>
        <v/>
      </c>
      <c r="AP165" s="783" t="str">
        <f t="shared" si="96"/>
        <v/>
      </c>
      <c r="AQ165" s="2083" t="b">
        <f>AND(Q165="A",COUNTIF(BP16:BR63,TRIM(Z165))&gt;0)</f>
        <v>0</v>
      </c>
      <c r="AR165" s="797" t="str">
        <f>IF(AL165&lt;&gt;"A","",IFERROR(IFERROR(_xlfn.XLOOKUP(TRIM(SUBSTITUTE(Z165,CHAR(160)," ")),BP16:BP63,BS16:BS63),IFERROR(_xlfn.XLOOKUP(TRIM(SUBSTITUTE(Z165,CHAR(160)," ")),BQ16:BQ63,BS16:BS63),_xlfn.XLOOKUP(TRIM(SUBSTITUTE(Z165,CHAR(160)," ")),BR16:BR63,BS16:BS63)))*Y165*IF(ISBLANK(V165),1,V165),0))</f>
        <v/>
      </c>
      <c r="AS165" s="784" t="str">
        <f t="shared" si="84"/>
        <v/>
      </c>
      <c r="AT165" s="1315" t="str">
        <f t="shared" si="97"/>
        <v/>
      </c>
      <c r="AU165" s="785">
        <f t="shared" si="98"/>
        <v>0</v>
      </c>
      <c r="AV165" s="785">
        <f t="shared" si="99"/>
        <v>0</v>
      </c>
      <c r="AW165" s="786">
        <f>IF(AK165="A",AY10,0)</f>
        <v>0</v>
      </c>
      <c r="AX165" s="5495" t="str">
        <f>IF(IFERROR(SEARCH("Adresse PC",TRIM(W165)),0)&gt;0,"▼ receta siguiente",IF(AK165="A",IF(AZ10&lt;&gt;"",AZ10&amp;" - ou.or.o ❾ + or - &gt;",""),""))</f>
        <v/>
      </c>
      <c r="AY165" s="810"/>
      <c r="AZ165" s="810"/>
      <c r="BA165" s="788" t="str">
        <f t="shared" si="89"/>
        <v/>
      </c>
      <c r="BB165" s="789" t="str">
        <f>IF(AK165="A",IF(AQ165,IF(AND(AW165&lt;&gt;"",N(AW165)&gt;0),IFERROR(IFERROR(_xlfn.XLOOKUP(AP165,BP10:BP57,BT10:BT57),IFERROR(_xlfn.XLOOKUP(AP165,BQ10:BQ57,BT10:BT57),_xlfn.XLOOKUP(AP165,BR10:BR57,BT10:BT57,""))),""),""),""),"")</f>
        <v/>
      </c>
      <c r="BC165" s="811" cm="1">
        <f t="array" ref="BC165">IF(NOT(AQ165),0,IF(OR(BA165="",N(BA165)&lt;=0.000000001),"",IF(OR(AU165="",N(AU165)&lt;=0.000000001),0,IF(ISNUMBER(BA165),IFERROR(_xlfn.LET(_xlpm.ai_test,TRIM(AP165),_xlpm.r,IFERROR(_xlfn.XLOOKUP(_xlpm.ai_test,BP16:BP63,ROW(BP16:BP63),0,1),IFERROR(_xlfn.XLOOKUP(_xlpm.ai_test,BQ16:BQ63,ROW(BQ16:BQ63),0,1),_xlfn.XLOOKUP(_xlpm.ai_test,BR16:BR63,ROW(BR16:BR63),0,1))),_xlpm.p,_xlpm.r-MIN(ROW(BP16:BP63))+1,_xlpm.f,INDEX(BS16:BS63,_xlpm.p),_xlpm.u,INDEX(BT16:BT63,_xlpm.p),_xlpm.s,INDEX(BV16:BV63,_xlpm.p),_xlpm.q,N(BA165)/_xlpm.f,IF(_xlpm.q&gt;=_xlpm.s,ROUND(_xlpm.q,1)&amp;" "&amp;_xlpm.ai_test&amp;" = "&amp;ROUND(_xlpm.q*_xlpm.f,1)&amp;" "&amp;_xlpm.u,ROUND(_xlpm.q,1)&amp;" "&amp;_xlpm.ai_test)),""),""))))</f>
        <v>0</v>
      </c>
      <c r="BD165" s="801"/>
      <c r="BE165" s="788" t="str">
        <f t="shared" si="100"/>
        <v/>
      </c>
      <c r="BF165" s="789" t="str">
        <f t="shared" si="103"/>
        <v/>
      </c>
      <c r="BG165" s="790">
        <f t="shared" si="104"/>
        <v>0</v>
      </c>
      <c r="BH165" s="791" t="str">
        <f t="shared" si="105"/>
        <v/>
      </c>
      <c r="BI165" s="792"/>
      <c r="BJ165" s="793">
        <f t="shared" si="106"/>
        <v>0</v>
      </c>
      <c r="BK165" s="794" t="str">
        <f t="shared" si="101"/>
        <v/>
      </c>
      <c r="BL165" s="227" t="s">
        <v>21</v>
      </c>
      <c r="BM165" s="773">
        <f t="shared" si="91"/>
        <v>0</v>
      </c>
      <c r="BN165" s="774">
        <f t="shared" si="92"/>
        <v>0</v>
      </c>
      <c r="BO165"/>
      <c r="BX165"/>
      <c r="BY165"/>
      <c r="BZ165"/>
      <c r="CA165"/>
      <c r="CB165"/>
      <c r="CC165"/>
      <c r="CD165" s="781" t="str">
        <f t="shared" si="85"/>
        <v>►</v>
      </c>
      <c r="CE165"/>
      <c r="CF165"/>
      <c r="CG165"/>
      <c r="CH165"/>
      <c r="CI165"/>
      <c r="CJ165" s="633"/>
      <c r="CK165"/>
      <c r="CL165"/>
      <c r="CM165"/>
      <c r="CN165"/>
      <c r="CO165"/>
      <c r="CP165"/>
      <c r="CQ165"/>
      <c r="CS165"/>
      <c r="CT165"/>
      <c r="CU165"/>
      <c r="CV165"/>
      <c r="CW165"/>
      <c r="CX165"/>
      <c r="CY165"/>
      <c r="DA165"/>
      <c r="DB165"/>
      <c r="DC165"/>
      <c r="DD165"/>
      <c r="DE165"/>
      <c r="DF165"/>
      <c r="DG165"/>
      <c r="DI165" s="3">
        <v>1</v>
      </c>
    </row>
    <row r="166" spans="1:113" s="627" customFormat="1" ht="21" customHeight="1">
      <c r="A166" s="701" t="s">
        <v>21</v>
      </c>
      <c r="B166" s="2265" t="str" cm="1">
        <f t="array" ref="B166">SUMPRODUCT(--(D166:J166&lt;&gt;""), LEN(TRIM(SUBSTITUTE(D166:J166, CHAR(160), "")))) &amp; " Car."</f>
        <v>0 Car.</v>
      </c>
      <c r="C166" s="1376" t="str">
        <f>IF(ISBLANK(D166),"",LARGE(C13:C165,1)+1)</f>
        <v/>
      </c>
      <c r="D166" s="1833"/>
      <c r="E166" s="1810"/>
      <c r="F166" s="1810"/>
      <c r="G166" s="1810"/>
      <c r="H166" s="1810"/>
      <c r="I166" s="1810"/>
      <c r="J166" s="1810"/>
      <c r="K166" s="1810"/>
      <c r="L166" s="1811"/>
      <c r="M166" s="9"/>
      <c r="N166" s="25" t="str">
        <f t="shared" si="88"/>
        <v>A</v>
      </c>
      <c r="O166" s="1616"/>
      <c r="P166" s="9"/>
      <c r="Q166" s="25" t="s">
        <v>10</v>
      </c>
      <c r="R166" s="61" t="str">
        <f>V166</f>
        <v>J JUS DE FRAISES DES BOIS | pâtisserie--ENTREMET| Auteur &gt; recette Béghin Say de Jean-Jacques Borne MOF 1994</v>
      </c>
      <c r="S166" s="62">
        <f>V164</f>
        <v>18</v>
      </c>
      <c r="T166" s="61" t="str">
        <f>W164</f>
        <v>desserts</v>
      </c>
      <c r="U166" s="63" t="str">
        <f>AB166&amp;" "&amp;AC166</f>
        <v>Recette mère ► MILLE-FEUILLE  aux fraises des bois</v>
      </c>
      <c r="V166" s="64" t="str">
        <f>UPPER(LEFT(Y160,1))&amp;" "&amp;Y160&amp;" | "&amp;AH160&amp;"| "&amp;Y162&amp;" "&amp;Z162</f>
        <v>J JUS DE FRAISES DES BOIS | pâtisserie--ENTREMET| Auteur &gt; recette Béghin Say de Jean-Jacques Borne MOF 1994</v>
      </c>
      <c r="W166" s="65" t="s">
        <v>53</v>
      </c>
      <c r="X166" s="6735" t="s">
        <v>54</v>
      </c>
      <c r="Y166" s="6735"/>
      <c r="Z166" s="6735"/>
      <c r="AA166" s="66"/>
      <c r="AB166" s="66" t="str">
        <f>IF(ISTEXT(AC166),"Recette mère ►",W166)</f>
        <v>Recette mère ►</v>
      </c>
      <c r="AC166" s="67" t="s">
        <v>3081</v>
      </c>
      <c r="AD166" s="67"/>
      <c r="AE166" s="67"/>
      <c r="AF166" s="883"/>
      <c r="AG166" s="68"/>
      <c r="AH166" s="68"/>
      <c r="AI166" s="68"/>
      <c r="AJ166"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K166" s="6120" t="str">
        <f t="shared" si="102"/>
        <v>►</v>
      </c>
      <c r="AL166" s="781" t="str">
        <f t="shared" si="90"/>
        <v>►</v>
      </c>
      <c r="AM166" s="5498" t="str">
        <f t="shared" si="93"/>
        <v/>
      </c>
      <c r="AN166" s="783" t="str">
        <f t="shared" si="94"/>
        <v/>
      </c>
      <c r="AO166" s="782" t="str">
        <f t="shared" si="95"/>
        <v/>
      </c>
      <c r="AP166" s="783" t="str">
        <f t="shared" si="96"/>
        <v/>
      </c>
      <c r="AQ166" s="2083" t="b">
        <f>AND(Q166="A",COUNTIF(BP16:BR63,TRIM(Z166))&gt;0)</f>
        <v>0</v>
      </c>
      <c r="AR166" s="797" t="str">
        <f>IF(AL166&lt;&gt;"A","",IFERROR(IFERROR(_xlfn.XLOOKUP(TRIM(SUBSTITUTE(Z166,CHAR(160)," ")),BP16:BP63,BS16:BS63),IFERROR(_xlfn.XLOOKUP(TRIM(SUBSTITUTE(Z166,CHAR(160)," ")),BQ16:BQ63,BS16:BS63),_xlfn.XLOOKUP(TRIM(SUBSTITUTE(Z166,CHAR(160)," ")),BR16:BR63,BS16:BS63)))*Y166*IF(ISBLANK(V166),1,V166),0))</f>
        <v/>
      </c>
      <c r="AS166" s="784" t="str">
        <f t="shared" si="84"/>
        <v/>
      </c>
      <c r="AT166" s="1315" t="str">
        <f t="shared" si="97"/>
        <v/>
      </c>
      <c r="AU166" s="785">
        <f t="shared" si="98"/>
        <v>0</v>
      </c>
      <c r="AV166" s="785">
        <f t="shared" si="99"/>
        <v>0</v>
      </c>
      <c r="AW166" s="798">
        <f>IF(AK166="A",AY10,0)</f>
        <v>0</v>
      </c>
      <c r="AX166" s="5496" t="str">
        <f>IF(IFERROR(SEARCH("Adresse PC",TRIM(W166)),0)&gt;0,"▼ receta siguiente",IF(AK166="A",IF(AZ10&lt;&gt;"",AZ10&amp;" - ou.or.o ❾ + or - &gt;",""),""))</f>
        <v/>
      </c>
      <c r="AY166" s="810"/>
      <c r="AZ166" s="810"/>
      <c r="BA166" s="799" t="str">
        <f t="shared" si="89"/>
        <v/>
      </c>
      <c r="BB166" s="800" t="str">
        <f>IF(AK166="A",IF(AQ166,IF(AND(AW166&lt;&gt;"",N(AW166)&gt;0),IFERROR(IFERROR(_xlfn.XLOOKUP(AP166,BP10:BP57,BT10:BT57),IFERROR(_xlfn.XLOOKUP(AP166,BQ10:BQ57,BT10:BT57),_xlfn.XLOOKUP(AP166,BR10:BR57,BT10:BT57,""))),""),""),""),"")</f>
        <v/>
      </c>
      <c r="BC166" s="813" cm="1">
        <f t="array" ref="BC166">IF(NOT(AQ166),0,IF(OR(BA166="",N(BA166)&lt;=0.000000001),"",IF(OR(AU166="",N(AU166)&lt;=0.000000001),0,IF(ISNUMBER(BA166),IFERROR(_xlfn.LET(_xlpm.ai_test,TRIM(AP166),_xlpm.r,IFERROR(_xlfn.XLOOKUP(_xlpm.ai_test,BP16:BP63,ROW(BP16:BP63),0,1),IFERROR(_xlfn.XLOOKUP(_xlpm.ai_test,BQ16:BQ63,ROW(BQ16:BQ63),0,1),_xlfn.XLOOKUP(_xlpm.ai_test,BR16:BR63,ROW(BR16:BR63),0,1))),_xlpm.p,_xlpm.r-MIN(ROW(BP16:BP63))+1,_xlpm.f,INDEX(BS16:BS63,_xlpm.p),_xlpm.u,INDEX(BT16:BT63,_xlpm.p),_xlpm.s,INDEX(BV16:BV63,_xlpm.p),_xlpm.q,N(BA166)/_xlpm.f,IF(_xlpm.q&gt;=_xlpm.s,ROUND(_xlpm.q,1)&amp;" "&amp;_xlpm.ai_test&amp;" = "&amp;ROUND(_xlpm.q*_xlpm.f,1)&amp;" "&amp;_xlpm.u,ROUND(_xlpm.q,1)&amp;" "&amp;_xlpm.ai_test)),""),""))))</f>
        <v>0</v>
      </c>
      <c r="BD166" s="801"/>
      <c r="BE166" s="799" t="str">
        <f t="shared" si="100"/>
        <v/>
      </c>
      <c r="BF166" s="800" t="str">
        <f t="shared" si="103"/>
        <v/>
      </c>
      <c r="BG166" s="802">
        <f t="shared" si="104"/>
        <v>0</v>
      </c>
      <c r="BH166" s="803" t="str">
        <f t="shared" si="105"/>
        <v/>
      </c>
      <c r="BI166" s="792"/>
      <c r="BJ166" s="804">
        <f t="shared" si="106"/>
        <v>0</v>
      </c>
      <c r="BK166" s="794" t="str">
        <f t="shared" si="101"/>
        <v/>
      </c>
      <c r="BL166" s="227" t="s">
        <v>21</v>
      </c>
      <c r="BM166" s="773">
        <f t="shared" si="91"/>
        <v>0</v>
      </c>
      <c r="BN166" s="774">
        <f t="shared" si="92"/>
        <v>0</v>
      </c>
      <c r="BO166"/>
      <c r="BX166"/>
      <c r="BY166"/>
      <c r="BZ166"/>
      <c r="CA166"/>
      <c r="CB166"/>
      <c r="CC166"/>
      <c r="CD166" s="781" t="str">
        <f t="shared" si="85"/>
        <v>►</v>
      </c>
      <c r="CE166"/>
      <c r="CF166"/>
      <c r="CG166"/>
      <c r="CH166"/>
      <c r="CI166"/>
      <c r="CJ166" s="633"/>
      <c r="CK166"/>
      <c r="CL166"/>
      <c r="CM166"/>
      <c r="CN166"/>
      <c r="CO166"/>
      <c r="CP166"/>
      <c r="CQ166"/>
      <c r="CS166"/>
      <c r="CT166"/>
      <c r="CU166"/>
      <c r="CV166"/>
      <c r="CW166"/>
      <c r="CX166"/>
      <c r="CY166"/>
      <c r="DA166"/>
      <c r="DB166"/>
      <c r="DC166"/>
      <c r="DD166"/>
      <c r="DE166"/>
      <c r="DF166"/>
      <c r="DG166"/>
      <c r="DI166" s="3">
        <v>1</v>
      </c>
    </row>
    <row r="167" spans="1:113" s="627" customFormat="1" ht="21" customHeight="1">
      <c r="A167" s="701" t="s">
        <v>21</v>
      </c>
      <c r="B167" s="2265" t="str" cm="1">
        <f t="array" ref="B167">SUMPRODUCT(--(D167:J167&lt;&gt;""), LEN(TRIM(SUBSTITUTE(D167:J167, CHAR(160), "")))) &amp; " Car."</f>
        <v>0 Car.</v>
      </c>
      <c r="C167" s="1376" t="str">
        <f>IF(ISBLANK(D167),"",LARGE(C13:C166,1)+1)</f>
        <v/>
      </c>
      <c r="D167" s="1833"/>
      <c r="E167" s="1810"/>
      <c r="F167" s="1810"/>
      <c r="G167" s="1810"/>
      <c r="H167" s="1810"/>
      <c r="I167" s="1810"/>
      <c r="J167" s="1810"/>
      <c r="K167" s="1810"/>
      <c r="L167" s="1811"/>
      <c r="M167" s="9"/>
      <c r="N167" s="25" t="str">
        <f t="shared" si="88"/>
        <v>A</v>
      </c>
      <c r="O167" s="1616"/>
      <c r="P167" s="9"/>
      <c r="Q167" s="25" t="s">
        <v>10</v>
      </c>
      <c r="R167" s="70" t="str">
        <f>R166</f>
        <v>J JUS DE FRAISES DES BOIS | pâtisserie--ENTREMET| Auteur &gt; recette Béghin Say de Jean-Jacques Borne MOF 1994</v>
      </c>
      <c r="S167" s="70">
        <f>S166</f>
        <v>18</v>
      </c>
      <c r="T167" s="70" t="str">
        <f>T166</f>
        <v>desserts</v>
      </c>
      <c r="U167" s="71" t="str">
        <f>U166</f>
        <v>Recette mère ► MILLE-FEUILLE  aux fraises des bois</v>
      </c>
      <c r="V167" s="12" t="s">
        <v>65</v>
      </c>
      <c r="W167" s="12" t="s">
        <v>66</v>
      </c>
      <c r="X167" s="12" t="s">
        <v>67</v>
      </c>
      <c r="Y167" s="12" t="s">
        <v>68</v>
      </c>
      <c r="Z167" s="72" t="s">
        <v>69</v>
      </c>
      <c r="AA167" s="73" t="s">
        <v>70</v>
      </c>
      <c r="AB167" s="12" t="s">
        <v>71</v>
      </c>
      <c r="AC167" s="12" t="s">
        <v>72</v>
      </c>
      <c r="AD167" s="12" t="s">
        <v>73</v>
      </c>
      <c r="AE167" s="12" t="s">
        <v>74</v>
      </c>
      <c r="AF167" s="12" t="s">
        <v>75</v>
      </c>
      <c r="AG167" s="12" t="s">
        <v>76</v>
      </c>
      <c r="AH167" s="12" t="s">
        <v>77</v>
      </c>
      <c r="AI167" s="12" t="s">
        <v>8143</v>
      </c>
      <c r="AJ167" s="74" t="s">
        <v>8407</v>
      </c>
      <c r="AK167" s="6120" t="str">
        <f t="shared" si="102"/>
        <v>►</v>
      </c>
      <c r="AL167" s="781" t="str">
        <f t="shared" si="90"/>
        <v>►</v>
      </c>
      <c r="AM167" s="5499" t="str">
        <f t="shared" si="93"/>
        <v/>
      </c>
      <c r="AN167" s="783" t="str">
        <f t="shared" si="94"/>
        <v/>
      </c>
      <c r="AO167" s="782" t="str">
        <f t="shared" si="95"/>
        <v/>
      </c>
      <c r="AP167" s="783" t="str">
        <f t="shared" si="96"/>
        <v/>
      </c>
      <c r="AQ167" s="2083" t="b">
        <f>AND(Q167="A",COUNTIF(BP16:BR63,TRIM(Z167))&gt;0)</f>
        <v>0</v>
      </c>
      <c r="AR167" s="797" t="str">
        <f>IF(AL167&lt;&gt;"A","",IFERROR(IFERROR(_xlfn.XLOOKUP(TRIM(SUBSTITUTE(Z167,CHAR(160)," ")),BP16:BP63,BS16:BS63),IFERROR(_xlfn.XLOOKUP(TRIM(SUBSTITUTE(Z167,CHAR(160)," ")),BQ16:BQ63,BS16:BS63),_xlfn.XLOOKUP(TRIM(SUBSTITUTE(Z167,CHAR(160)," ")),BR16:BR63,BS16:BS63)))*Y167*IF(ISBLANK(V167),1,V167),0))</f>
        <v/>
      </c>
      <c r="AS167" s="784" t="str">
        <f t="shared" si="84"/>
        <v/>
      </c>
      <c r="AT167" s="1315" t="str">
        <f t="shared" si="97"/>
        <v/>
      </c>
      <c r="AU167" s="785">
        <f t="shared" si="98"/>
        <v>0</v>
      </c>
      <c r="AV167" s="785">
        <f t="shared" si="99"/>
        <v>0</v>
      </c>
      <c r="AW167" s="786">
        <f>IF(AK167="A",AY10,0)</f>
        <v>0</v>
      </c>
      <c r="AX167" s="5495" t="str">
        <f>IF(IFERROR(SEARCH("Adresse PC",TRIM(W167)),0)&gt;0,"▼ receta siguiente",IF(AK167="A",IF(AZ10&lt;&gt;"",AZ10&amp;" - ou.or.o ❾ + or - &gt;",""),""))</f>
        <v/>
      </c>
      <c r="AY167" s="810"/>
      <c r="AZ167" s="810"/>
      <c r="BA167" s="788" t="str">
        <f t="shared" si="89"/>
        <v/>
      </c>
      <c r="BB167" s="789" t="str">
        <f>IF(AK167="A",IF(AQ167,IF(AND(AW167&lt;&gt;"",N(AW167)&gt;0),IFERROR(IFERROR(_xlfn.XLOOKUP(AP167,BP10:BP57,BT10:BT57),IFERROR(_xlfn.XLOOKUP(AP167,BQ10:BQ57,BT10:BT57),_xlfn.XLOOKUP(AP167,BR10:BR57,BT10:BT57,""))),""),""),""),"")</f>
        <v/>
      </c>
      <c r="BC167" s="811" cm="1">
        <f t="array" ref="BC167">IF(NOT(AQ167),0,IF(OR(BA167="",N(BA167)&lt;=0.000000001),"",IF(OR(AU167="",N(AU167)&lt;=0.000000001),0,IF(ISNUMBER(BA167),IFERROR(_xlfn.LET(_xlpm.ai_test,TRIM(AP167),_xlpm.r,IFERROR(_xlfn.XLOOKUP(_xlpm.ai_test,BP16:BP63,ROW(BP16:BP63),0,1),IFERROR(_xlfn.XLOOKUP(_xlpm.ai_test,BQ16:BQ63,ROW(BQ16:BQ63),0,1),_xlfn.XLOOKUP(_xlpm.ai_test,BR16:BR63,ROW(BR16:BR63),0,1))),_xlpm.p,_xlpm.r-MIN(ROW(BP16:BP63))+1,_xlpm.f,INDEX(BS16:BS63,_xlpm.p),_xlpm.u,INDEX(BT16:BT63,_xlpm.p),_xlpm.s,INDEX(BV16:BV63,_xlpm.p),_xlpm.q,N(BA167)/_xlpm.f,IF(_xlpm.q&gt;=_xlpm.s,ROUND(_xlpm.q,1)&amp;" "&amp;_xlpm.ai_test&amp;" = "&amp;ROUND(_xlpm.q*_xlpm.f,1)&amp;" "&amp;_xlpm.u,ROUND(_xlpm.q,1)&amp;" "&amp;_xlpm.ai_test)),""),""))))</f>
        <v>0</v>
      </c>
      <c r="BD167" s="801"/>
      <c r="BE167" s="788" t="str">
        <f t="shared" si="100"/>
        <v/>
      </c>
      <c r="BF167" s="789" t="str">
        <f t="shared" si="103"/>
        <v/>
      </c>
      <c r="BG167" s="790">
        <f t="shared" si="104"/>
        <v>0</v>
      </c>
      <c r="BH167" s="791" t="str">
        <f t="shared" si="105"/>
        <v/>
      </c>
      <c r="BI167" s="792"/>
      <c r="BJ167" s="793">
        <f t="shared" si="106"/>
        <v>0</v>
      </c>
      <c r="BK167" s="794" t="str">
        <f t="shared" si="101"/>
        <v/>
      </c>
      <c r="BL167" s="227" t="s">
        <v>21</v>
      </c>
      <c r="BM167" s="773">
        <f t="shared" si="91"/>
        <v>0</v>
      </c>
      <c r="BN167" s="774">
        <f t="shared" si="92"/>
        <v>0</v>
      </c>
      <c r="BO167"/>
      <c r="BX167"/>
      <c r="BY167"/>
      <c r="BZ167"/>
      <c r="CA167"/>
      <c r="CB167"/>
      <c r="CC167"/>
      <c r="CD167" s="781" t="str">
        <f t="shared" si="85"/>
        <v>►</v>
      </c>
      <c r="CE167"/>
      <c r="CF167"/>
      <c r="CG167"/>
      <c r="CH167"/>
      <c r="CI167"/>
      <c r="CJ167" s="633"/>
      <c r="CK167"/>
      <c r="CL167"/>
      <c r="CM167"/>
      <c r="CN167"/>
      <c r="CO167"/>
      <c r="CP167"/>
      <c r="CQ167"/>
      <c r="CS167"/>
      <c r="CT167"/>
      <c r="CU167"/>
      <c r="CV167"/>
      <c r="CW167"/>
      <c r="CX167"/>
      <c r="CY167"/>
      <c r="DA167"/>
      <c r="DB167"/>
      <c r="DC167"/>
      <c r="DD167"/>
      <c r="DE167"/>
      <c r="DF167"/>
      <c r="DG167"/>
      <c r="DI167" s="3">
        <v>1</v>
      </c>
    </row>
    <row r="168" spans="1:113" s="627" customFormat="1" ht="21" customHeight="1">
      <c r="A168" s="701" t="s">
        <v>21</v>
      </c>
      <c r="B168" s="2265" t="str" cm="1">
        <f t="array" ref="B168">SUMPRODUCT(--(D168:J168&lt;&gt;""), LEN(TRIM(SUBSTITUTE(D168:J168, CHAR(160), "")))) &amp; " Car."</f>
        <v>0 Car.</v>
      </c>
      <c r="C168" s="1376" t="str">
        <f>IF(ISBLANK(D168),"",LARGE(C13:C167,1)+1)</f>
        <v/>
      </c>
      <c r="D168" s="1833"/>
      <c r="E168" s="1810"/>
      <c r="F168" s="1810"/>
      <c r="G168" s="1810"/>
      <c r="H168" s="1810"/>
      <c r="I168" s="1810"/>
      <c r="J168" s="1810"/>
      <c r="K168" s="1810"/>
      <c r="L168" s="1811"/>
      <c r="M168" s="9"/>
      <c r="N168" s="25" t="str">
        <f t="shared" si="88"/>
        <v>A</v>
      </c>
      <c r="O168" s="1616"/>
      <c r="P168" s="9"/>
      <c r="Q168" s="25" t="s">
        <v>10</v>
      </c>
      <c r="R168" s="31" t="str">
        <f>R166</f>
        <v>J JUS DE FRAISES DES BOIS | pâtisserie--ENTREMET| Auteur &gt; recette Béghin Say de Jean-Jacques Borne MOF 1994</v>
      </c>
      <c r="S168" s="32">
        <f>S166</f>
        <v>18</v>
      </c>
      <c r="T168" s="31" t="str">
        <f>T166</f>
        <v>desserts</v>
      </c>
      <c r="U168" s="33" t="str">
        <f>U166</f>
        <v>Recette mère ► MILLE-FEUILLE  aux fraises des bois</v>
      </c>
      <c r="V168" s="76" t="s">
        <v>78</v>
      </c>
      <c r="W168" s="77" t="s">
        <v>79</v>
      </c>
      <c r="X168" s="78"/>
      <c r="Y168" s="6612" t="s">
        <v>80</v>
      </c>
      <c r="Z168" s="6730" t="s">
        <v>81</v>
      </c>
      <c r="AA168" s="6732" t="s">
        <v>82</v>
      </c>
      <c r="AB168" s="6738" t="s">
        <v>8575</v>
      </c>
      <c r="AC168" s="79" t="s">
        <v>83</v>
      </c>
      <c r="AD168" s="80" t="s">
        <v>49</v>
      </c>
      <c r="AE168" s="81" t="s">
        <v>84</v>
      </c>
      <c r="AF168" s="6607" t="s">
        <v>85</v>
      </c>
      <c r="AG168" s="6582" t="s">
        <v>84</v>
      </c>
      <c r="AH168" s="6727" t="s">
        <v>8405</v>
      </c>
      <c r="AI168" s="6584" t="s">
        <v>86</v>
      </c>
      <c r="AJ168" s="6728" t="s">
        <v>87</v>
      </c>
      <c r="AK168" s="6120" t="str">
        <f t="shared" si="102"/>
        <v>►</v>
      </c>
      <c r="AL168" s="781" t="str">
        <f t="shared" si="90"/>
        <v>►</v>
      </c>
      <c r="AM168" s="5498" t="str">
        <f t="shared" si="93"/>
        <v/>
      </c>
      <c r="AN168" s="783" t="str">
        <f t="shared" si="94"/>
        <v/>
      </c>
      <c r="AO168" s="782" t="str">
        <f t="shared" si="95"/>
        <v/>
      </c>
      <c r="AP168" s="783" t="str">
        <f t="shared" si="96"/>
        <v/>
      </c>
      <c r="AQ168" s="2083" t="b">
        <f>AND(Q168="A",COUNTIF(BP16:BR63,TRIM(Z168))&gt;0)</f>
        <v>0</v>
      </c>
      <c r="AR168" s="797" t="str">
        <f>IF(AL168&lt;&gt;"A","",IFERROR(IFERROR(_xlfn.XLOOKUP(TRIM(SUBSTITUTE(Z168,CHAR(160)," ")),BP16:BP63,BS16:BS63),IFERROR(_xlfn.XLOOKUP(TRIM(SUBSTITUTE(Z168,CHAR(160)," ")),BQ16:BQ63,BS16:BS63),_xlfn.XLOOKUP(TRIM(SUBSTITUTE(Z168,CHAR(160)," ")),BR16:BR63,BS16:BS63)))*Y168*IF(ISBLANK(V168),1,V168),0))</f>
        <v/>
      </c>
      <c r="AS168" s="784" t="str">
        <f t="shared" si="84"/>
        <v/>
      </c>
      <c r="AT168" s="1315" t="str">
        <f t="shared" si="97"/>
        <v/>
      </c>
      <c r="AU168" s="785">
        <f t="shared" si="98"/>
        <v>0</v>
      </c>
      <c r="AV168" s="785">
        <f t="shared" si="99"/>
        <v>0</v>
      </c>
      <c r="AW168" s="798">
        <f>IF(AK168="A",AY10,0)</f>
        <v>0</v>
      </c>
      <c r="AX168" s="5496" t="str">
        <f>IF(IFERROR(SEARCH("Adresse PC",TRIM(W168)),0)&gt;0,"▼ receta siguiente",IF(AK168="A",IF(AZ10&lt;&gt;"",AZ10&amp;" - ou.or.o ❾ + or - &gt;",""),""))</f>
        <v/>
      </c>
      <c r="AY168" s="810"/>
      <c r="AZ168" s="810"/>
      <c r="BA168" s="799" t="str">
        <f t="shared" si="89"/>
        <v/>
      </c>
      <c r="BB168" s="800" t="str">
        <f>IF(AK168="A",IF(AQ168,IF(AND(AW168&lt;&gt;"",N(AW168)&gt;0),IFERROR(IFERROR(_xlfn.XLOOKUP(AP168,BP10:BP57,BT10:BT57),IFERROR(_xlfn.XLOOKUP(AP168,BQ10:BQ57,BT10:BT57),_xlfn.XLOOKUP(AP168,BR10:BR57,BT10:BT57,""))),""),""),""),"")</f>
        <v/>
      </c>
      <c r="BC168" s="813" cm="1">
        <f t="array" ref="BC168">IF(NOT(AQ168),0,IF(OR(BA168="",N(BA168)&lt;=0.000000001),"",IF(OR(AU168="",N(AU168)&lt;=0.000000001),0,IF(ISNUMBER(BA168),IFERROR(_xlfn.LET(_xlpm.ai_test,TRIM(AP168),_xlpm.r,IFERROR(_xlfn.XLOOKUP(_xlpm.ai_test,BP16:BP63,ROW(BP16:BP63),0,1),IFERROR(_xlfn.XLOOKUP(_xlpm.ai_test,BQ16:BQ63,ROW(BQ16:BQ63),0,1),_xlfn.XLOOKUP(_xlpm.ai_test,BR16:BR63,ROW(BR16:BR63),0,1))),_xlpm.p,_xlpm.r-MIN(ROW(BP16:BP63))+1,_xlpm.f,INDEX(BS16:BS63,_xlpm.p),_xlpm.u,INDEX(BT16:BT63,_xlpm.p),_xlpm.s,INDEX(BV16:BV63,_xlpm.p),_xlpm.q,N(BA168)/_xlpm.f,IF(_xlpm.q&gt;=_xlpm.s,ROUND(_xlpm.q,1)&amp;" "&amp;_xlpm.ai_test&amp;" = "&amp;ROUND(_xlpm.q*_xlpm.f,1)&amp;" "&amp;_xlpm.u,ROUND(_xlpm.q,1)&amp;" "&amp;_xlpm.ai_test)),""),""))))</f>
        <v>0</v>
      </c>
      <c r="BD168" s="801"/>
      <c r="BE168" s="799" t="str">
        <f t="shared" si="100"/>
        <v/>
      </c>
      <c r="BF168" s="800" t="str">
        <f t="shared" si="103"/>
        <v/>
      </c>
      <c r="BG168" s="802">
        <f t="shared" si="104"/>
        <v>0</v>
      </c>
      <c r="BH168" s="803" t="str">
        <f t="shared" si="105"/>
        <v/>
      </c>
      <c r="BI168" s="792"/>
      <c r="BJ168" s="804">
        <f t="shared" si="106"/>
        <v>0</v>
      </c>
      <c r="BK168" s="794" t="str">
        <f t="shared" si="101"/>
        <v/>
      </c>
      <c r="BL168" s="227" t="s">
        <v>21</v>
      </c>
      <c r="BM168" s="773">
        <f t="shared" si="91"/>
        <v>0</v>
      </c>
      <c r="BN168" s="774">
        <f t="shared" si="92"/>
        <v>0</v>
      </c>
      <c r="BO168"/>
      <c r="BX168"/>
      <c r="BY168"/>
      <c r="BZ168"/>
      <c r="CA168"/>
      <c r="CB168"/>
      <c r="CC168"/>
      <c r="CD168" s="781" t="str">
        <f t="shared" si="85"/>
        <v>►</v>
      </c>
      <c r="CE168"/>
      <c r="CF168"/>
      <c r="CG168"/>
      <c r="CH168"/>
      <c r="CI168"/>
      <c r="CJ168" s="633"/>
      <c r="CK168"/>
      <c r="CL168"/>
      <c r="CM168"/>
      <c r="CN168"/>
      <c r="CO168"/>
      <c r="CP168"/>
      <c r="CQ168"/>
      <c r="CS168"/>
      <c r="CT168"/>
      <c r="CU168"/>
      <c r="CV168"/>
      <c r="CW168"/>
      <c r="CX168"/>
      <c r="CY168"/>
      <c r="DA168"/>
      <c r="DB168"/>
      <c r="DC168"/>
      <c r="DD168"/>
      <c r="DE168"/>
      <c r="DF168"/>
      <c r="DG168"/>
      <c r="DI168" s="3">
        <v>1</v>
      </c>
    </row>
    <row r="169" spans="1:113" s="627" customFormat="1" ht="21" customHeight="1">
      <c r="A169" s="701" t="s">
        <v>21</v>
      </c>
      <c r="B169" s="2265" t="str" cm="1">
        <f t="array" ref="B169">SUMPRODUCT(--(D169:J169&lt;&gt;""), LEN(TRIM(SUBSTITUTE(D169:J169, CHAR(160), "")))) &amp; " Car."</f>
        <v>0 Car.</v>
      </c>
      <c r="C169" s="1376" t="str">
        <f>IF(ISBLANK(D169),"",LARGE(C13:C168,1)+1)</f>
        <v/>
      </c>
      <c r="D169" s="1833"/>
      <c r="E169" s="1810"/>
      <c r="F169" s="1810"/>
      <c r="G169" s="1810"/>
      <c r="H169" s="1810"/>
      <c r="I169" s="1810"/>
      <c r="J169" s="1810"/>
      <c r="K169" s="1810"/>
      <c r="L169" s="1811"/>
      <c r="M169" s="9"/>
      <c r="N169" s="25" t="str">
        <f t="shared" si="88"/>
        <v>A</v>
      </c>
      <c r="O169" s="1616"/>
      <c r="P169" s="9"/>
      <c r="Q169" s="25" t="s">
        <v>10</v>
      </c>
      <c r="R169" s="31" t="str">
        <f>R166</f>
        <v>J JUS DE FRAISES DES BOIS | pâtisserie--ENTREMET| Auteur &gt; recette Béghin Say de Jean-Jacques Borne MOF 1994</v>
      </c>
      <c r="S169" s="32">
        <f>S166</f>
        <v>18</v>
      </c>
      <c r="T169" s="31" t="str">
        <f>T166</f>
        <v>desserts</v>
      </c>
      <c r="U169" s="33" t="str">
        <f>U166</f>
        <v>Recette mère ► MILLE-FEUILLE  aux fraises des bois</v>
      </c>
      <c r="V169" s="83" t="s">
        <v>92</v>
      </c>
      <c r="W169" s="84" t="s">
        <v>93</v>
      </c>
      <c r="X169" s="85" t="s">
        <v>94</v>
      </c>
      <c r="Y169" s="6577"/>
      <c r="Z169" s="6471"/>
      <c r="AA169" s="6606"/>
      <c r="AB169" s="6739"/>
      <c r="AC169" s="86" t="s">
        <v>95</v>
      </c>
      <c r="AD169" s="87" t="s">
        <v>96</v>
      </c>
      <c r="AE169" s="88">
        <v>1</v>
      </c>
      <c r="AF169" s="6608"/>
      <c r="AG169" s="6583"/>
      <c r="AH169" s="6583"/>
      <c r="AI169" s="6585"/>
      <c r="AJ169" s="6786"/>
      <c r="AK169" s="6120" t="str">
        <f t="shared" si="102"/>
        <v>►</v>
      </c>
      <c r="AL169" s="781" t="str">
        <f t="shared" si="90"/>
        <v>►</v>
      </c>
      <c r="AM169" s="5499" t="str">
        <f t="shared" si="93"/>
        <v/>
      </c>
      <c r="AN169" s="783" t="str">
        <f t="shared" si="94"/>
        <v/>
      </c>
      <c r="AO169" s="782" t="str">
        <f t="shared" si="95"/>
        <v/>
      </c>
      <c r="AP169" s="783" t="str">
        <f t="shared" si="96"/>
        <v/>
      </c>
      <c r="AQ169" s="2083" t="b">
        <f>AND(Q169="A",COUNTIF(BP16:BR63,TRIM(Z169))&gt;0)</f>
        <v>0</v>
      </c>
      <c r="AR169" s="797" t="str">
        <f>IF(AL169&lt;&gt;"A","",IFERROR(IFERROR(_xlfn.XLOOKUP(TRIM(SUBSTITUTE(Z169,CHAR(160)," ")),BP16:BP63,BS16:BS63),IFERROR(_xlfn.XLOOKUP(TRIM(SUBSTITUTE(Z169,CHAR(160)," ")),BQ16:BQ63,BS16:BS63),_xlfn.XLOOKUP(TRIM(SUBSTITUTE(Z169,CHAR(160)," ")),BR16:BR63,BS16:BS63)))*Y169*IF(ISBLANK(V169),1,V169),0))</f>
        <v/>
      </c>
      <c r="AS169" s="784" t="str">
        <f t="shared" si="84"/>
        <v/>
      </c>
      <c r="AT169" s="1315" t="str">
        <f t="shared" si="97"/>
        <v/>
      </c>
      <c r="AU169" s="785">
        <f t="shared" si="98"/>
        <v>0</v>
      </c>
      <c r="AV169" s="785">
        <f t="shared" si="99"/>
        <v>0</v>
      </c>
      <c r="AW169" s="786">
        <f>IF(AK169="A",AY10,0)</f>
        <v>0</v>
      </c>
      <c r="AX169" s="5495" t="str">
        <f>IF(IFERROR(SEARCH("Adresse PC",TRIM(W169)),0)&gt;0,"▼ receta siguiente",IF(AK169="A",IF(AZ10&lt;&gt;"",AZ10&amp;" - ou.or.o ❾ + or - &gt;",""),""))</f>
        <v/>
      </c>
      <c r="AY169" s="810"/>
      <c r="AZ169" s="810"/>
      <c r="BA169" s="788" t="str">
        <f t="shared" si="89"/>
        <v/>
      </c>
      <c r="BB169" s="789" t="str">
        <f>IF(AK169="A",IF(AQ169,IF(AND(AW169&lt;&gt;"",N(AW169)&gt;0),IFERROR(IFERROR(_xlfn.XLOOKUP(AP169,BP10:BP57,BT10:BT57),IFERROR(_xlfn.XLOOKUP(AP169,BQ10:BQ57,BT10:BT57),_xlfn.XLOOKUP(AP169,BR10:BR57,BT10:BT57,""))),""),""),""),"")</f>
        <v/>
      </c>
      <c r="BC169" s="811" cm="1">
        <f t="array" ref="BC169">IF(NOT(AQ169),0,IF(OR(BA169="",N(BA169)&lt;=0.000000001),"",IF(OR(AU169="",N(AU169)&lt;=0.000000001),0,IF(ISNUMBER(BA169),IFERROR(_xlfn.LET(_xlpm.ai_test,TRIM(AP169),_xlpm.r,IFERROR(_xlfn.XLOOKUP(_xlpm.ai_test,BP16:BP63,ROW(BP16:BP63),0,1),IFERROR(_xlfn.XLOOKUP(_xlpm.ai_test,BQ16:BQ63,ROW(BQ16:BQ63),0,1),_xlfn.XLOOKUP(_xlpm.ai_test,BR16:BR63,ROW(BR16:BR63),0,1))),_xlpm.p,_xlpm.r-MIN(ROW(BP16:BP63))+1,_xlpm.f,INDEX(BS16:BS63,_xlpm.p),_xlpm.u,INDEX(BT16:BT63,_xlpm.p),_xlpm.s,INDEX(BV16:BV63,_xlpm.p),_xlpm.q,N(BA169)/_xlpm.f,IF(_xlpm.q&gt;=_xlpm.s,ROUND(_xlpm.q,1)&amp;" "&amp;_xlpm.ai_test&amp;" = "&amp;ROUND(_xlpm.q*_xlpm.f,1)&amp;" "&amp;_xlpm.u,ROUND(_xlpm.q,1)&amp;" "&amp;_xlpm.ai_test)),""),""))))</f>
        <v>0</v>
      </c>
      <c r="BD169" s="801"/>
      <c r="BE169" s="788" t="str">
        <f t="shared" si="100"/>
        <v/>
      </c>
      <c r="BF169" s="789" t="str">
        <f t="shared" si="103"/>
        <v/>
      </c>
      <c r="BG169" s="790">
        <f t="shared" si="104"/>
        <v>0</v>
      </c>
      <c r="BH169" s="791" t="str">
        <f t="shared" si="105"/>
        <v/>
      </c>
      <c r="BI169" s="792"/>
      <c r="BJ169" s="793">
        <f t="shared" si="106"/>
        <v>0</v>
      </c>
      <c r="BK169" s="794" t="str">
        <f t="shared" si="101"/>
        <v/>
      </c>
      <c r="BL169" s="227" t="s">
        <v>21</v>
      </c>
      <c r="BM169" s="773">
        <f t="shared" si="91"/>
        <v>0</v>
      </c>
      <c r="BN169" s="774">
        <f t="shared" si="92"/>
        <v>0</v>
      </c>
      <c r="BO169"/>
      <c r="BX169"/>
      <c r="BY169"/>
      <c r="BZ169"/>
      <c r="CA169"/>
      <c r="CB169"/>
      <c r="CC169"/>
      <c r="CD169" s="781" t="str">
        <f t="shared" si="85"/>
        <v>►</v>
      </c>
      <c r="CE169"/>
      <c r="CF169"/>
      <c r="CG169"/>
      <c r="CH169"/>
      <c r="CI169"/>
      <c r="CJ169" s="633"/>
      <c r="CK169"/>
      <c r="CL169"/>
      <c r="CM169"/>
      <c r="CN169"/>
      <c r="CO169"/>
      <c r="CP169"/>
      <c r="CQ169"/>
      <c r="CS169"/>
      <c r="CT169"/>
      <c r="CU169"/>
      <c r="CV169"/>
      <c r="CW169"/>
      <c r="CX169"/>
      <c r="CY169"/>
      <c r="DA169"/>
      <c r="DB169"/>
      <c r="DC169"/>
      <c r="DD169"/>
      <c r="DE169"/>
      <c r="DF169"/>
      <c r="DG169"/>
      <c r="DI169" s="3">
        <v>1</v>
      </c>
    </row>
    <row r="170" spans="1:113" s="627" customFormat="1" ht="21" customHeight="1">
      <c r="A170" s="701" t="s">
        <v>21</v>
      </c>
      <c r="B170" s="2265" t="str" cm="1">
        <f t="array" ref="B170">SUMPRODUCT(--(D170:J170&lt;&gt;""), LEN(TRIM(SUBSTITUTE(D170:J170, CHAR(160), "")))) &amp; " Car."</f>
        <v>0 Car.</v>
      </c>
      <c r="C170" s="1376" t="str">
        <f>IF(ISBLANK(D170),"",LARGE(C13:C169,1)+1)</f>
        <v/>
      </c>
      <c r="D170" s="1833"/>
      <c r="E170" s="1810"/>
      <c r="F170" s="1810"/>
      <c r="G170" s="1810"/>
      <c r="H170" s="1810"/>
      <c r="I170" s="1810"/>
      <c r="J170" s="1810"/>
      <c r="K170" s="1810"/>
      <c r="L170" s="1811"/>
      <c r="M170" s="9"/>
      <c r="N170" s="25" t="str">
        <f t="shared" si="88"/>
        <v>A</v>
      </c>
      <c r="O170" s="1616"/>
      <c r="P170" s="9"/>
      <c r="Q170" s="25" t="s">
        <v>10</v>
      </c>
      <c r="R170" s="31" t="str">
        <f>R166</f>
        <v>J JUS DE FRAISES DES BOIS | pâtisserie--ENTREMET| Auteur &gt; recette Béghin Say de Jean-Jacques Borne MOF 1994</v>
      </c>
      <c r="S170" s="32">
        <f>S166</f>
        <v>18</v>
      </c>
      <c r="T170" s="31" t="str">
        <f>T166</f>
        <v>desserts</v>
      </c>
      <c r="U170" s="33" t="str">
        <f>U166</f>
        <v>Recette mère ► MILLE-FEUILLE  aux fraises des bois</v>
      </c>
      <c r="V170" s="89"/>
      <c r="W170" s="90"/>
      <c r="X170" s="91" t="str">
        <f t="shared" ref="X170:X175" si="107">IF(OR(ISTEXT(V170), V170&lt;=0, Y170&lt;=0), "", "de")</f>
        <v/>
      </c>
      <c r="Y170" s="92">
        <v>250</v>
      </c>
      <c r="Z170" s="104" t="s">
        <v>100</v>
      </c>
      <c r="AA170" s="130">
        <v>1</v>
      </c>
      <c r="AB170" s="1812" t="str">
        <f>ROWS(AB170:AB170)&amp;" ►"</f>
        <v>1 ►</v>
      </c>
      <c r="AC170" s="1580" t="s">
        <v>3076</v>
      </c>
      <c r="AD170" s="95">
        <f>IF(AF176=0,0,(AF170/AF176)*AE169*1000)</f>
        <v>714.28571428571433</v>
      </c>
      <c r="AE170" s="96">
        <f>IF(AF176=0, 0, (V170*AA170)/(AF176*AE169))</f>
        <v>0</v>
      </c>
      <c r="AF170" s="97" cm="1">
        <f t="array" ref="AF170">IFERROR(_xlfn.XLOOKUP(UPPER(TRIM(Z170)),UPPER(TRIM(V177:AJ177)),V178:AJ178,_xlfn.XLOOKUP(UPPER(TRIM(Z170)),UPPER(TRIM(V179:AJ179)),V180:AJ180,0))*Y170*IF(V170&gt;0,V170,1),0)</f>
        <v>0.25</v>
      </c>
      <c r="AG170" s="98">
        <f>IF(AI165&lt;&gt;0,V170*AA170*AA165,0)</f>
        <v>0</v>
      </c>
      <c r="AH170" s="1834">
        <f>W170</f>
        <v>0</v>
      </c>
      <c r="AI170" s="99">
        <f>IF(OR(ISBLANK(AI165),AI165=0),0,AF170*AA170*AA165)</f>
        <v>0.5</v>
      </c>
      <c r="AJ170" s="100" t="str">
        <f>IF(Z170="","",IF(COUNTIF(AC177:AJ177,SUBSTITUTE(TRIM(Z170)," (s)",""))+COUNTIF(AC179:AJ179,SUBSTITUTE(TRIM(Z170)," (s)",""))&gt;0,IF(ROUND(AI170,3)&gt;=1,ROUND(AI170,3)&amp;" L",MAX(1,ROUND(AI170*100,0))&amp;" cl"),IF(COUNTIF(V177:AA177,SUBSTITUTE(TRIM(Z170)," (s)",""))+COUNTIF(V179:AA179,SUBSTITUTE(TRIM(Z170)," (s)",""))&gt;0,IF(ROUND(AI170,3)&gt;=1,ROUND(AI170,3)&amp;" Kg",MAX(1,ROUND(AI170*1000,0))&amp;" g"),"")))</f>
        <v>500 g</v>
      </c>
      <c r="AK170" s="6120" t="str">
        <f t="shared" si="102"/>
        <v>A</v>
      </c>
      <c r="AL170" s="781" t="str">
        <f t="shared" si="90"/>
        <v>A</v>
      </c>
      <c r="AM170" s="5498" t="str">
        <f t="shared" si="93"/>
        <v>J JUS DE FRAISES DES BOIS | pâtisserie--ENTREMET| Auteur &gt; recette Béghin Say de Jean-Jacques Borne MOF 1994</v>
      </c>
      <c r="AN170" s="783">
        <f t="shared" si="94"/>
        <v>18</v>
      </c>
      <c r="AO170" s="782" t="str">
        <f t="shared" si="95"/>
        <v>desserts</v>
      </c>
      <c r="AP170" s="783" t="str">
        <f t="shared" si="96"/>
        <v>g</v>
      </c>
      <c r="AQ170" s="2083" t="b">
        <f>AND(Q170="A",COUNTIF(BP16:BR63,TRIM(Z170))&gt;0)</f>
        <v>1</v>
      </c>
      <c r="AR170" s="797">
        <f>IF(AL170&lt;&gt;"A","",IFERROR(IFERROR(_xlfn.XLOOKUP(TRIM(SUBSTITUTE(Z170,CHAR(160)," ")),BP16:BP63,BS16:BS63),IFERROR(_xlfn.XLOOKUP(TRIM(SUBSTITUTE(Z170,CHAR(160)," ")),BQ16:BQ63,BS16:BS63),_xlfn.XLOOKUP(TRIM(SUBSTITUTE(Z170,CHAR(160)," ")),BR16:BR63,BS16:BS63)))*Y170*IF(ISBLANK(V170),1,V170),0))</f>
        <v>0.25</v>
      </c>
      <c r="AS170" s="784" t="str">
        <f t="shared" si="84"/>
        <v>Kg</v>
      </c>
      <c r="AT170" s="1315" t="str">
        <f t="shared" si="97"/>
        <v>❾ Author reference &gt;</v>
      </c>
      <c r="AU170" s="785">
        <f t="shared" si="98"/>
        <v>18</v>
      </c>
      <c r="AV170" s="785" t="str">
        <f t="shared" si="99"/>
        <v>desserts</v>
      </c>
      <c r="AW170" s="798">
        <f>IF(AK170="A",AY10,0)</f>
        <v>20</v>
      </c>
      <c r="AX170" s="5496" t="str">
        <f>IF(IFERROR(SEARCH("Adresse PC",TRIM(W170)),0)&gt;0,"▼ receta siguiente",IF(AK170="A",IF(AZ10&lt;&gt;"",AZ10&amp;" - ou.or.o ❾ + or - &gt;",""),""))</f>
        <v>parts - ou.or.o ❾ + or - &gt;</v>
      </c>
      <c r="AY170" s="810"/>
      <c r="AZ170" s="810"/>
      <c r="BA170" s="799">
        <f t="shared" si="89"/>
        <v>0.27777777777777779</v>
      </c>
      <c r="BB170" s="800" t="str">
        <f>IF(AK170="A",IF(AQ170,IF(AND(AW170&lt;&gt;"",N(AW170)&gt;0),IFERROR(IFERROR(_xlfn.XLOOKUP(AP170,BP10:BP57,BT10:BT57),IFERROR(_xlfn.XLOOKUP(AP170,BQ10:BQ57,BT10:BT57),_xlfn.XLOOKUP(AP170,BR10:BR57,BT10:BT57,""))),""),""),""),"")</f>
        <v>Kg</v>
      </c>
      <c r="BC170" s="813" t="str" cm="1">
        <f t="array" ref="BC170">IF(NOT(AQ170),0,IF(OR(BA170="",N(BA170)&lt;=0.000000001),"",IF(OR(AU170="",N(AU170)&lt;=0.000000001),0,IF(ISNUMBER(BA170),IFERROR(_xlfn.LET(_xlpm.ai_test,TRIM(AP170),_xlpm.r,IFERROR(_xlfn.XLOOKUP(_xlpm.ai_test,BP16:BP63,ROW(BP16:BP63),0,1),IFERROR(_xlfn.XLOOKUP(_xlpm.ai_test,BQ16:BQ63,ROW(BQ16:BQ63),0,1),_xlfn.XLOOKUP(_xlpm.ai_test,BR16:BR63,ROW(BR16:BR63),0,1))),_xlpm.p,_xlpm.r-MIN(ROW(BP16:BP63))+1,_xlpm.f,INDEX(BS16:BS63,_xlpm.p),_xlpm.u,INDEX(BT16:BT63,_xlpm.p),_xlpm.s,INDEX(BV16:BV63,_xlpm.p),_xlpm.q,N(BA170)/_xlpm.f,IF(_xlpm.q&gt;=_xlpm.s,ROUND(_xlpm.q,1)&amp;" "&amp;_xlpm.ai_test&amp;" = "&amp;ROUND(_xlpm.q*_xlpm.f,1)&amp;" "&amp;_xlpm.u,ROUND(_xlpm.q,1)&amp;" "&amp;_xlpm.ai_test)),""),""))))</f>
        <v>277.8 g</v>
      </c>
      <c r="BD170" s="801"/>
      <c r="BE170" s="799">
        <f t="shared" si="100"/>
        <v>0.27777777777777779</v>
      </c>
      <c r="BF170" s="800" t="str">
        <f t="shared" si="103"/>
        <v>Kg</v>
      </c>
      <c r="BG170" s="802">
        <f t="shared" si="104"/>
        <v>0</v>
      </c>
      <c r="BH170" s="803" t="str">
        <f t="shared" si="105"/>
        <v/>
      </c>
      <c r="BI170" s="792"/>
      <c r="BJ170" s="804">
        <f t="shared" si="106"/>
        <v>0</v>
      </c>
      <c r="BK170" s="794" t="str">
        <f t="shared" si="101"/>
        <v>fraises</v>
      </c>
      <c r="BL170" s="227" t="s">
        <v>21</v>
      </c>
      <c r="BM170" s="773">
        <f t="shared" si="91"/>
        <v>0</v>
      </c>
      <c r="BN170" s="774">
        <f t="shared" si="92"/>
        <v>1.1111111111111112</v>
      </c>
      <c r="BO170"/>
      <c r="BX170"/>
      <c r="BY170"/>
      <c r="BZ170"/>
      <c r="CA170"/>
      <c r="CB170"/>
      <c r="CC170"/>
      <c r="CD170" s="781" t="str">
        <f t="shared" si="85"/>
        <v>A</v>
      </c>
      <c r="CE170"/>
      <c r="CF170"/>
      <c r="CG170"/>
      <c r="CH170"/>
      <c r="CI170"/>
      <c r="CJ170" s="633"/>
      <c r="CK170"/>
      <c r="CL170"/>
      <c r="CM170"/>
      <c r="CN170"/>
      <c r="CO170"/>
      <c r="CP170"/>
      <c r="CQ170"/>
      <c r="CS170"/>
      <c r="CT170"/>
      <c r="CU170"/>
      <c r="CV170"/>
      <c r="CW170"/>
      <c r="CX170"/>
      <c r="CY170"/>
      <c r="DA170"/>
      <c r="DB170"/>
      <c r="DC170"/>
      <c r="DD170"/>
      <c r="DE170"/>
      <c r="DF170"/>
      <c r="DG170"/>
      <c r="DI170" s="3">
        <v>1</v>
      </c>
    </row>
    <row r="171" spans="1:113" s="627" customFormat="1" ht="21" customHeight="1">
      <c r="A171" s="701" t="s">
        <v>21</v>
      </c>
      <c r="B171" s="2265" t="str" cm="1">
        <f t="array" ref="B171">SUMPRODUCT(--(D171:J171&lt;&gt;""), LEN(TRIM(SUBSTITUTE(D171:J171, CHAR(160), "")))) &amp; " Car."</f>
        <v>0 Car.</v>
      </c>
      <c r="C171" s="1376" t="str">
        <f>IF(ISBLANK(D171),"",LARGE(C13:C170,1)+1)</f>
        <v/>
      </c>
      <c r="D171" s="1833"/>
      <c r="E171" s="1810"/>
      <c r="F171" s="1810"/>
      <c r="G171" s="1810"/>
      <c r="H171" s="1810"/>
      <c r="I171" s="1810"/>
      <c r="J171" s="1810"/>
      <c r="K171" s="1810"/>
      <c r="L171" s="1811"/>
      <c r="M171" s="9"/>
      <c r="N171" s="103" t="str">
        <f t="shared" si="88"/>
        <v>A</v>
      </c>
      <c r="O171" s="1616"/>
      <c r="P171" s="9"/>
      <c r="Q171" s="103" t="str">
        <f>IF(AC171&lt;&gt;"","A","►")</f>
        <v>A</v>
      </c>
      <c r="R171" s="31" t="str">
        <f>R166</f>
        <v>J JUS DE FRAISES DES BOIS | pâtisserie--ENTREMET| Auteur &gt; recette Béghin Say de Jean-Jacques Borne MOF 1994</v>
      </c>
      <c r="S171" s="32">
        <f>S166</f>
        <v>18</v>
      </c>
      <c r="T171" s="31" t="str">
        <f>T166</f>
        <v>desserts</v>
      </c>
      <c r="U171" s="33" t="str">
        <f>U166</f>
        <v>Recette mère ► MILLE-FEUILLE  aux fraises des bois</v>
      </c>
      <c r="V171" s="89"/>
      <c r="W171" s="108"/>
      <c r="X171" s="91" t="str">
        <f t="shared" si="107"/>
        <v/>
      </c>
      <c r="Y171" s="92">
        <v>50</v>
      </c>
      <c r="Z171" s="104" t="s">
        <v>100</v>
      </c>
      <c r="AA171" s="130">
        <v>1</v>
      </c>
      <c r="AB171" s="1813" t="str">
        <f>ROWS(AB170:AB171)&amp;" ►"</f>
        <v>2 ►</v>
      </c>
      <c r="AC171" s="1580" t="s">
        <v>3077</v>
      </c>
      <c r="AD171" s="95">
        <f>IF(AF176=0,0,(AF171/AF176)*AE169*1000)</f>
        <v>142.85714285714289</v>
      </c>
      <c r="AE171" s="105">
        <f>IF(AF176=0, 0, (V171*AA171)/(AF176*AE169))</f>
        <v>0</v>
      </c>
      <c r="AF171" s="97" cm="1">
        <f t="array" ref="AF171">IFERROR(_xlfn.XLOOKUP(UPPER(TRIM(Z171)),UPPER(TRIM(V177:AJ177)),V178:AJ178,_xlfn.XLOOKUP(UPPER(TRIM(Z171)),UPPER(TRIM(V179:AJ179)),V180:AJ180,0))*Y171*IF(V171&gt;0,V171,1),0)</f>
        <v>0.05</v>
      </c>
      <c r="AG171" s="110">
        <f>IF(AI165&lt;&gt;0,V171*AA171*AA165,0)</f>
        <v>0</v>
      </c>
      <c r="AH171" s="1748">
        <f t="shared" ref="AH171:AH175" si="108">W171</f>
        <v>0</v>
      </c>
      <c r="AI171" s="99">
        <f>IF(OR(ISBLANK(AI165),AI165=0),0,AF171*AA171*AA165)</f>
        <v>0.1</v>
      </c>
      <c r="AJ171" s="111" t="str">
        <f>IF(Z171="","",IF(COUNTIF(AC177:AJ177,SUBSTITUTE(TRIM(Z171)," (s)",""))+COUNTIF(AC179:AJ179,SUBSTITUTE(TRIM(Z171)," (s)",""))&gt;0,IF(ROUND(AI171,3)&gt;=1,ROUND(AI171,3)&amp;" L",MAX(1,ROUND(AI171*100,0))&amp;" cl"),IF(COUNTIF(V177:AA177,SUBSTITUTE(TRIM(Z171)," (s)",""))+COUNTIF(V179:AA179,SUBSTITUTE(TRIM(Z171)," (s)",""))&gt;0,IF(ROUND(AI171,3)&gt;=1,ROUND(AI171,3)&amp;" Kg",MAX(1,ROUND(AI171*1000,0))&amp;" g"),"")))</f>
        <v>100 g</v>
      </c>
      <c r="AK171" s="6120" t="str">
        <f t="shared" si="102"/>
        <v>A</v>
      </c>
      <c r="AL171" s="781" t="str">
        <f t="shared" si="90"/>
        <v>A</v>
      </c>
      <c r="AM171" s="5499" t="str">
        <f t="shared" si="93"/>
        <v>J JUS DE FRAISES DES BOIS | pâtisserie--ENTREMET| Auteur &gt; recette Béghin Say de Jean-Jacques Borne MOF 1994</v>
      </c>
      <c r="AN171" s="783">
        <f t="shared" si="94"/>
        <v>18</v>
      </c>
      <c r="AO171" s="782" t="str">
        <f t="shared" si="95"/>
        <v>desserts</v>
      </c>
      <c r="AP171" s="783" t="str">
        <f t="shared" si="96"/>
        <v>g</v>
      </c>
      <c r="AQ171" s="2083" t="b">
        <f>AND(Q171="A",COUNTIF(BP16:BR63,TRIM(Z171))&gt;0)</f>
        <v>1</v>
      </c>
      <c r="AR171" s="797">
        <f>IF(AL171&lt;&gt;"A","",IFERROR(IFERROR(_xlfn.XLOOKUP(TRIM(SUBSTITUTE(Z171,CHAR(160)," ")),BP16:BP63,BS16:BS63),IFERROR(_xlfn.XLOOKUP(TRIM(SUBSTITUTE(Z171,CHAR(160)," ")),BQ16:BQ63,BS16:BS63),_xlfn.XLOOKUP(TRIM(SUBSTITUTE(Z171,CHAR(160)," ")),BR16:BR63,BS16:BS63)))*Y171*IF(ISBLANK(V171),1,V171),0))</f>
        <v>0.05</v>
      </c>
      <c r="AS171" s="784" t="str">
        <f t="shared" si="84"/>
        <v>Kg</v>
      </c>
      <c r="AT171" s="1315" t="str">
        <f t="shared" si="97"/>
        <v>❾ Author reference &gt;</v>
      </c>
      <c r="AU171" s="785">
        <f t="shared" si="98"/>
        <v>18</v>
      </c>
      <c r="AV171" s="785" t="str">
        <f t="shared" si="99"/>
        <v>desserts</v>
      </c>
      <c r="AW171" s="786">
        <f>IF(AK171="A",AY10,0)</f>
        <v>20</v>
      </c>
      <c r="AX171" s="5495" t="str">
        <f>IF(IFERROR(SEARCH("Adresse PC",TRIM(W171)),0)&gt;0,"▼ receta siguiente",IF(AK171="A",IF(AZ10&lt;&gt;"",AZ10&amp;" - ou.or.o ❾ + or - &gt;",""),""))</f>
        <v>parts - ou.or.o ❾ + or - &gt;</v>
      </c>
      <c r="AY171" s="810"/>
      <c r="AZ171" s="810"/>
      <c r="BA171" s="788">
        <f t="shared" si="89"/>
        <v>5.5555555555555559E-2</v>
      </c>
      <c r="BB171" s="789" t="str">
        <f>IF(AK171="A",IF(AQ171,IF(AND(AW171&lt;&gt;"",N(AW171)&gt;0),IFERROR(IFERROR(_xlfn.XLOOKUP(AP171,BP10:BP57,BT10:BT57),IFERROR(_xlfn.XLOOKUP(AP171,BQ10:BQ57,BT10:BT57),_xlfn.XLOOKUP(AP171,BR10:BR57,BT10:BT57,""))),""),""),""),"")</f>
        <v>Kg</v>
      </c>
      <c r="BC171" s="811" t="str" cm="1">
        <f t="array" ref="BC171">IF(NOT(AQ171),0,IF(OR(BA171="",N(BA171)&lt;=0.000000001),"",IF(OR(AU171="",N(AU171)&lt;=0.000000001),0,IF(ISNUMBER(BA171),IFERROR(_xlfn.LET(_xlpm.ai_test,TRIM(AP171),_xlpm.r,IFERROR(_xlfn.XLOOKUP(_xlpm.ai_test,BP16:BP63,ROW(BP16:BP63),0,1),IFERROR(_xlfn.XLOOKUP(_xlpm.ai_test,BQ16:BQ63,ROW(BQ16:BQ63),0,1),_xlfn.XLOOKUP(_xlpm.ai_test,BR16:BR63,ROW(BR16:BR63),0,1))),_xlpm.p,_xlpm.r-MIN(ROW(BP16:BP63))+1,_xlpm.f,INDEX(BS16:BS63,_xlpm.p),_xlpm.u,INDEX(BT16:BT63,_xlpm.p),_xlpm.s,INDEX(BV16:BV63,_xlpm.p),_xlpm.q,N(BA171)/_xlpm.f,IF(_xlpm.q&gt;=_xlpm.s,ROUND(_xlpm.q,1)&amp;" "&amp;_xlpm.ai_test&amp;" = "&amp;ROUND(_xlpm.q*_xlpm.f,1)&amp;" "&amp;_xlpm.u,ROUND(_xlpm.q,1)&amp;" "&amp;_xlpm.ai_test)),""),""))))</f>
        <v>55.6 g</v>
      </c>
      <c r="BD171" s="801"/>
      <c r="BE171" s="788">
        <f t="shared" si="100"/>
        <v>5.5555555555555559E-2</v>
      </c>
      <c r="BF171" s="789" t="str">
        <f t="shared" si="103"/>
        <v>Kg</v>
      </c>
      <c r="BG171" s="790">
        <f t="shared" si="104"/>
        <v>0</v>
      </c>
      <c r="BH171" s="791" t="str">
        <f t="shared" si="105"/>
        <v/>
      </c>
      <c r="BI171" s="792"/>
      <c r="BJ171" s="793">
        <f t="shared" si="106"/>
        <v>0</v>
      </c>
      <c r="BK171" s="794" t="str">
        <f t="shared" si="101"/>
        <v>framboises</v>
      </c>
      <c r="BL171" s="227" t="s">
        <v>21</v>
      </c>
      <c r="BM171" s="773">
        <f t="shared" si="91"/>
        <v>0</v>
      </c>
      <c r="BN171" s="774">
        <f t="shared" si="92"/>
        <v>1.1111111111111112</v>
      </c>
      <c r="BO171"/>
      <c r="BX171"/>
      <c r="BY171"/>
      <c r="BZ171"/>
      <c r="CA171"/>
      <c r="CB171"/>
      <c r="CC171"/>
      <c r="CD171" s="781" t="str">
        <f t="shared" si="85"/>
        <v>A</v>
      </c>
      <c r="CE171"/>
      <c r="CF171"/>
      <c r="CG171"/>
      <c r="CH171"/>
      <c r="CI171"/>
      <c r="CJ171" s="633"/>
      <c r="CK171"/>
      <c r="CL171"/>
      <c r="CM171"/>
      <c r="CN171"/>
      <c r="CO171"/>
      <c r="CP171"/>
      <c r="CQ171"/>
      <c r="CS171"/>
      <c r="CT171"/>
      <c r="CU171"/>
      <c r="CV171"/>
      <c r="CW171"/>
      <c r="CX171"/>
      <c r="CY171"/>
      <c r="DA171"/>
      <c r="DB171"/>
      <c r="DC171"/>
      <c r="DD171"/>
      <c r="DE171"/>
      <c r="DF171"/>
      <c r="DG171"/>
      <c r="DI171" s="3">
        <v>1</v>
      </c>
    </row>
    <row r="172" spans="1:113" s="627" customFormat="1" ht="21" customHeight="1">
      <c r="A172" s="701" t="s">
        <v>21</v>
      </c>
      <c r="B172" s="2265" t="str" cm="1">
        <f t="array" ref="B172">SUMPRODUCT(--(D172:J172&lt;&gt;""), LEN(TRIM(SUBSTITUTE(D172:J172, CHAR(160), "")))) &amp; " Car."</f>
        <v>0 Car.</v>
      </c>
      <c r="C172" s="1376" t="str">
        <f>IF(ISBLANK(D172),"",LARGE(C13:C171,1)+1)</f>
        <v/>
      </c>
      <c r="D172" s="1833"/>
      <c r="E172" s="1810"/>
      <c r="F172" s="1810"/>
      <c r="G172" s="1810"/>
      <c r="H172" s="1810"/>
      <c r="I172" s="1810"/>
      <c r="J172" s="1810"/>
      <c r="K172" s="1810"/>
      <c r="L172" s="1811"/>
      <c r="M172" s="9"/>
      <c r="N172" s="103" t="str">
        <f t="shared" si="88"/>
        <v>A</v>
      </c>
      <c r="O172" s="1616"/>
      <c r="P172" s="9"/>
      <c r="Q172" s="103" t="str">
        <f t="shared" ref="Q172:Q174" si="109">IF(AC172&lt;&gt;"","A","►")</f>
        <v>A</v>
      </c>
      <c r="R172" s="31" t="str">
        <f>R166</f>
        <v>J JUS DE FRAISES DES BOIS | pâtisserie--ENTREMET| Auteur &gt; recette Béghin Say de Jean-Jacques Borne MOF 1994</v>
      </c>
      <c r="S172" s="32">
        <f>S166</f>
        <v>18</v>
      </c>
      <c r="T172" s="31" t="str">
        <f>T166</f>
        <v>desserts</v>
      </c>
      <c r="U172" s="33" t="str">
        <f>U166</f>
        <v>Recette mère ► MILLE-FEUILLE  aux fraises des bois</v>
      </c>
      <c r="V172" s="89"/>
      <c r="W172" s="108"/>
      <c r="X172" s="91" t="str">
        <f t="shared" si="107"/>
        <v/>
      </c>
      <c r="Y172" s="92">
        <v>50</v>
      </c>
      <c r="Z172" s="104" t="s">
        <v>100</v>
      </c>
      <c r="AA172" s="130">
        <v>1</v>
      </c>
      <c r="AB172" s="1813" t="str">
        <f>ROWS(AB170:AB172)&amp;" ►"</f>
        <v>3 ►</v>
      </c>
      <c r="AC172" s="1580" t="s">
        <v>3073</v>
      </c>
      <c r="AD172" s="95">
        <f>IF(AF176=0,0,(AF172/AF176)*AE169*1000)</f>
        <v>142.85714285714289</v>
      </c>
      <c r="AE172" s="105">
        <f>IF(AF176=0, 0, (V172*AA172)/(AF176*AE169))</f>
        <v>0</v>
      </c>
      <c r="AF172" s="97" cm="1">
        <f t="array" ref="AF172">IFERROR(_xlfn.XLOOKUP(UPPER(TRIM(Z172)),UPPER(TRIM(V177:AJ177)),V178:AJ178,_xlfn.XLOOKUP(UPPER(TRIM(Z172)),UPPER(TRIM(V179:AJ179)),V180:AJ180,0))*Y172*IF(V172&gt;0,V172,1),0)</f>
        <v>0.05</v>
      </c>
      <c r="AG172" s="106">
        <f>IF(AI165&lt;&gt;0,V172*AA172*AA165,0)</f>
        <v>0</v>
      </c>
      <c r="AH172" s="1747">
        <f t="shared" si="108"/>
        <v>0</v>
      </c>
      <c r="AI172" s="99">
        <f>IF(OR(ISBLANK(AI165),AI165=0),0,AF172*AA172*AA165)</f>
        <v>0.1</v>
      </c>
      <c r="AJ172" s="107" t="str">
        <f>IF(Z172="","",IF(COUNTIF(AC177:AJ177,SUBSTITUTE(TRIM(Z172)," (s)",""))+COUNTIF(AC179:AJ179,SUBSTITUTE(TRIM(Z172)," (s)",""))&gt;0,IF(ROUND(AI172,3)&gt;=1,ROUND(AI172,3)&amp;" L",MAX(1,ROUND(AI172*100,0))&amp;" cl"),IF(COUNTIF(V177:AA177,SUBSTITUTE(TRIM(Z172)," (s)",""))+COUNTIF(V179:AA179,SUBSTITUTE(TRIM(Z172)," (s)",""))&gt;0,IF(ROUND(AI172,3)&gt;=1,ROUND(AI172,3)&amp;" Kg",MAX(1,ROUND(AI172*1000,0))&amp;" g"),"")))</f>
        <v>100 g</v>
      </c>
      <c r="AK172" s="6120" t="str">
        <f t="shared" si="102"/>
        <v>A</v>
      </c>
      <c r="AL172" s="781" t="str">
        <f t="shared" si="90"/>
        <v>A</v>
      </c>
      <c r="AM172" s="5498" t="str">
        <f t="shared" si="93"/>
        <v>J JUS DE FRAISES DES BOIS | pâtisserie--ENTREMET| Auteur &gt; recette Béghin Say de Jean-Jacques Borne MOF 1994</v>
      </c>
      <c r="AN172" s="783">
        <f t="shared" si="94"/>
        <v>18</v>
      </c>
      <c r="AO172" s="782" t="str">
        <f t="shared" si="95"/>
        <v>desserts</v>
      </c>
      <c r="AP172" s="783" t="str">
        <f t="shared" si="96"/>
        <v>g</v>
      </c>
      <c r="AQ172" s="2083" t="b">
        <f>AND(Q172="A",COUNTIF(BP16:BR63,TRIM(Z172))&gt;0)</f>
        <v>1</v>
      </c>
      <c r="AR172" s="797">
        <f>IF(AL172&lt;&gt;"A","",IFERROR(IFERROR(_xlfn.XLOOKUP(TRIM(SUBSTITUTE(Z172,CHAR(160)," ")),BP16:BP63,BS16:BS63),IFERROR(_xlfn.XLOOKUP(TRIM(SUBSTITUTE(Z172,CHAR(160)," ")),BQ16:BQ63,BS16:BS63),_xlfn.XLOOKUP(TRIM(SUBSTITUTE(Z172,CHAR(160)," ")),BR16:BR63,BS16:BS63)))*Y172*IF(ISBLANK(V172),1,V172),0))</f>
        <v>0.05</v>
      </c>
      <c r="AS172" s="784" t="str">
        <f t="shared" si="84"/>
        <v>Kg</v>
      </c>
      <c r="AT172" s="1315" t="str">
        <f t="shared" si="97"/>
        <v>❾ Author reference &gt;</v>
      </c>
      <c r="AU172" s="785">
        <f t="shared" si="98"/>
        <v>18</v>
      </c>
      <c r="AV172" s="785" t="str">
        <f t="shared" si="99"/>
        <v>desserts</v>
      </c>
      <c r="AW172" s="798">
        <f>IF(AK172="A",AY10,0)</f>
        <v>20</v>
      </c>
      <c r="AX172" s="5496" t="str">
        <f>IF(IFERROR(SEARCH("Adresse PC",TRIM(W172)),0)&gt;0,"▼ receta siguiente",IF(AK172="A",IF(AZ10&lt;&gt;"",AZ10&amp;" - ou.or.o ❾ + or - &gt;",""),""))</f>
        <v>parts - ou.or.o ❾ + or - &gt;</v>
      </c>
      <c r="AY172" s="810"/>
      <c r="AZ172" s="810"/>
      <c r="BA172" s="799">
        <f t="shared" si="89"/>
        <v>5.5555555555555559E-2</v>
      </c>
      <c r="BB172" s="800" t="str">
        <f>IF(AK172="A",IF(AQ172,IF(AND(AW172&lt;&gt;"",N(AW172)&gt;0),IFERROR(IFERROR(_xlfn.XLOOKUP(AP172,BP10:BP57,BT10:BT57),IFERROR(_xlfn.XLOOKUP(AP172,BQ10:BQ57,BT10:BT57),_xlfn.XLOOKUP(AP172,BR10:BR57,BT10:BT57,""))),""),""),""),"")</f>
        <v>Kg</v>
      </c>
      <c r="BC172" s="813" t="str" cm="1">
        <f t="array" ref="BC172">IF(NOT(AQ172),0,IF(OR(BA172="",N(BA172)&lt;=0.000000001),"",IF(OR(AU172="",N(AU172)&lt;=0.000000001),0,IF(ISNUMBER(BA172),IFERROR(_xlfn.LET(_xlpm.ai_test,TRIM(AP172),_xlpm.r,IFERROR(_xlfn.XLOOKUP(_xlpm.ai_test,BP16:BP63,ROW(BP16:BP63),0,1),IFERROR(_xlfn.XLOOKUP(_xlpm.ai_test,BQ16:BQ63,ROW(BQ16:BQ63),0,1),_xlfn.XLOOKUP(_xlpm.ai_test,BR16:BR63,ROW(BR16:BR63),0,1))),_xlpm.p,_xlpm.r-MIN(ROW(BP16:BP63))+1,_xlpm.f,INDEX(BS16:BS63,_xlpm.p),_xlpm.u,INDEX(BT16:BT63,_xlpm.p),_xlpm.s,INDEX(BV16:BV63,_xlpm.p),_xlpm.q,N(BA172)/_xlpm.f,IF(_xlpm.q&gt;=_xlpm.s,ROUND(_xlpm.q,1)&amp;" "&amp;_xlpm.ai_test&amp;" = "&amp;ROUND(_xlpm.q*_xlpm.f,1)&amp;" "&amp;_xlpm.u,ROUND(_xlpm.q,1)&amp;" "&amp;_xlpm.ai_test)),""),""))))</f>
        <v>55.6 g</v>
      </c>
      <c r="BD172" s="801"/>
      <c r="BE172" s="799">
        <f t="shared" si="100"/>
        <v>5.5555555555555559E-2</v>
      </c>
      <c r="BF172" s="800" t="str">
        <f t="shared" si="103"/>
        <v>Kg</v>
      </c>
      <c r="BG172" s="802">
        <f t="shared" si="104"/>
        <v>0</v>
      </c>
      <c r="BH172" s="803" t="str">
        <f t="shared" si="105"/>
        <v/>
      </c>
      <c r="BI172" s="792"/>
      <c r="BJ172" s="804">
        <f t="shared" si="106"/>
        <v>0</v>
      </c>
      <c r="BK172" s="794" t="str">
        <f t="shared" si="101"/>
        <v>sucre semoule pâtissière</v>
      </c>
      <c r="BL172" s="227" t="s">
        <v>21</v>
      </c>
      <c r="BM172" s="773">
        <f t="shared" si="91"/>
        <v>0</v>
      </c>
      <c r="BN172" s="774">
        <f t="shared" si="92"/>
        <v>1.1111111111111112</v>
      </c>
      <c r="BO172"/>
      <c r="BX172"/>
      <c r="BY172"/>
      <c r="BZ172"/>
      <c r="CA172"/>
      <c r="CB172"/>
      <c r="CC172"/>
      <c r="CD172" s="781" t="str">
        <f t="shared" si="85"/>
        <v>A</v>
      </c>
      <c r="CE172"/>
      <c r="CF172"/>
      <c r="CG172"/>
      <c r="CH172"/>
      <c r="CI172"/>
      <c r="CJ172" s="633"/>
      <c r="CK172"/>
      <c r="CL172"/>
      <c r="CM172"/>
      <c r="CN172"/>
      <c r="CO172"/>
      <c r="CP172"/>
      <c r="CQ172"/>
      <c r="CS172"/>
      <c r="CT172"/>
      <c r="CU172"/>
      <c r="CV172"/>
      <c r="CW172"/>
      <c r="CX172"/>
      <c r="CY172"/>
      <c r="DA172"/>
      <c r="DB172"/>
      <c r="DC172"/>
      <c r="DD172"/>
      <c r="DE172"/>
      <c r="DF172"/>
      <c r="DG172"/>
      <c r="DI172" s="3">
        <v>1</v>
      </c>
    </row>
    <row r="173" spans="1:113" s="627" customFormat="1" ht="21" customHeight="1">
      <c r="A173" s="701" t="s">
        <v>21</v>
      </c>
      <c r="B173" s="2265" t="str" cm="1">
        <f t="array" ref="B173">SUMPRODUCT(--(D173:J173&lt;&gt;""), LEN(TRIM(SUBSTITUTE(D173:J173, CHAR(160), "")))) &amp; " Car."</f>
        <v>0 Car.</v>
      </c>
      <c r="C173" s="1376" t="str">
        <f>IF(ISBLANK(D173),"",LARGE(C13:C172,1)+1)</f>
        <v/>
      </c>
      <c r="D173" s="1833"/>
      <c r="E173" s="1810"/>
      <c r="F173" s="1810"/>
      <c r="G173" s="1810"/>
      <c r="H173" s="1810"/>
      <c r="I173" s="1810"/>
      <c r="J173" s="1810"/>
      <c r="K173" s="1810"/>
      <c r="L173" s="1811"/>
      <c r="M173" s="9"/>
      <c r="N173" s="103" t="str">
        <f t="shared" si="88"/>
        <v>►</v>
      </c>
      <c r="O173" s="1616"/>
      <c r="P173" s="9"/>
      <c r="Q173" s="103" t="str">
        <f t="shared" si="109"/>
        <v>►</v>
      </c>
      <c r="R173" s="31" t="str">
        <f>R166</f>
        <v>J JUS DE FRAISES DES BOIS | pâtisserie--ENTREMET| Auteur &gt; recette Béghin Say de Jean-Jacques Borne MOF 1994</v>
      </c>
      <c r="S173" s="32">
        <f>S166</f>
        <v>18</v>
      </c>
      <c r="T173" s="31" t="str">
        <f>T166</f>
        <v>desserts</v>
      </c>
      <c r="U173" s="33" t="str">
        <f>U166</f>
        <v>Recette mère ► MILLE-FEUILLE  aux fraises des bois</v>
      </c>
      <c r="V173" s="89"/>
      <c r="W173" s="108"/>
      <c r="X173" s="91" t="str">
        <f t="shared" si="107"/>
        <v/>
      </c>
      <c r="Y173" s="92"/>
      <c r="Z173" s="128"/>
      <c r="AA173" s="130">
        <v>1</v>
      </c>
      <c r="AB173" s="1813" t="str">
        <f>ROWS(AB170:AB173)&amp;" ►"</f>
        <v>4 ►</v>
      </c>
      <c r="AC173" s="1580"/>
      <c r="AD173" s="95">
        <f>IF(AF176=0,0,(AF173/AF176)*AE169*1000)</f>
        <v>0</v>
      </c>
      <c r="AE173" s="105">
        <f>IF(AF176=0, 0, (V173*AA173)/(AF176*AE169))</f>
        <v>0</v>
      </c>
      <c r="AF173" s="97" cm="1">
        <f t="array" ref="AF173">IFERROR(_xlfn.XLOOKUP(UPPER(TRIM(Z173)),UPPER(TRIM(V177:AJ177)),V178:AJ178,_xlfn.XLOOKUP(UPPER(TRIM(Z173)),UPPER(TRIM(V179:AJ179)),V180:AJ180,0))*Y173*IF(V173&gt;0,V173,1),0)</f>
        <v>0</v>
      </c>
      <c r="AG173" s="110">
        <f>IF(AI165&lt;&gt;0,V173*AA173*AA165,0)</f>
        <v>0</v>
      </c>
      <c r="AH173" s="1748">
        <f t="shared" si="108"/>
        <v>0</v>
      </c>
      <c r="AI173" s="99">
        <f>IF(OR(ISBLANK(AI165),AI165=0),0,AF173*AA173*AA165)</f>
        <v>0</v>
      </c>
      <c r="AJ173" s="111" t="str">
        <f>IF(Z173="","",IF(COUNTIF(AC177:AJ177,SUBSTITUTE(TRIM(Z173)," (s)",""))+COUNTIF(AC179:AJ179,SUBSTITUTE(TRIM(Z173)," (s)",""))&gt;0,IF(ROUND(AI173,3)&gt;=1,ROUND(AI173,3)&amp;" L",MAX(1,ROUND(AI173*100,0))&amp;" cl"),IF(COUNTIF(V177:AA177,SUBSTITUTE(TRIM(Z173)," (s)",""))+COUNTIF(V179:AA179,SUBSTITUTE(TRIM(Z173)," (s)",""))&gt;0,IF(ROUND(AI173,3)&gt;=1,ROUND(AI173,3)&amp;" Kg",MAX(1,ROUND(AI173*1000,0))&amp;" g"),"")))</f>
        <v/>
      </c>
      <c r="AK173" s="6120" t="str">
        <f t="shared" si="102"/>
        <v>►</v>
      </c>
      <c r="AL173" s="781" t="str">
        <f t="shared" si="90"/>
        <v>►</v>
      </c>
      <c r="AM173" s="5499" t="str">
        <f t="shared" si="93"/>
        <v/>
      </c>
      <c r="AN173" s="783" t="str">
        <f t="shared" si="94"/>
        <v/>
      </c>
      <c r="AO173" s="782" t="str">
        <f t="shared" si="95"/>
        <v/>
      </c>
      <c r="AP173" s="783" t="str">
        <f t="shared" si="96"/>
        <v/>
      </c>
      <c r="AQ173" s="2083" t="b">
        <f>AND(Q173="A",COUNTIF(BP16:BR63,TRIM(Z173))&gt;0)</f>
        <v>0</v>
      </c>
      <c r="AR173" s="797" t="str">
        <f>IF(AL173&lt;&gt;"A","",IFERROR(IFERROR(_xlfn.XLOOKUP(TRIM(SUBSTITUTE(Z173,CHAR(160)," ")),BP16:BP63,BS16:BS63),IFERROR(_xlfn.XLOOKUP(TRIM(SUBSTITUTE(Z173,CHAR(160)," ")),BQ16:BQ63,BS16:BS63),_xlfn.XLOOKUP(TRIM(SUBSTITUTE(Z173,CHAR(160)," ")),BR16:BR63,BS16:BS63)))*Y173*IF(ISBLANK(V173),1,V173),0))</f>
        <v/>
      </c>
      <c r="AS173" s="784" t="str">
        <f t="shared" si="84"/>
        <v/>
      </c>
      <c r="AT173" s="1315" t="str">
        <f t="shared" si="97"/>
        <v/>
      </c>
      <c r="AU173" s="785">
        <f t="shared" si="98"/>
        <v>0</v>
      </c>
      <c r="AV173" s="785">
        <f t="shared" si="99"/>
        <v>0</v>
      </c>
      <c r="AW173" s="786">
        <f>IF(AK173="A",AY10,0)</f>
        <v>0</v>
      </c>
      <c r="AX173" s="5495" t="str">
        <f>IF(IFERROR(SEARCH("Adresse PC",TRIM(W173)),0)&gt;0,"▼ receta siguiente",IF(AK173="A",IF(AZ10&lt;&gt;"",AZ10&amp;" - ou.or.o ❾ + or - &gt;",""),""))</f>
        <v/>
      </c>
      <c r="AY173" s="810"/>
      <c r="AZ173" s="810"/>
      <c r="BA173" s="788" t="str">
        <f t="shared" si="89"/>
        <v/>
      </c>
      <c r="BB173" s="789" t="str">
        <f>IF(AK173="A",IF(AQ173,IF(AND(AW173&lt;&gt;"",N(AW173)&gt;0),IFERROR(IFERROR(_xlfn.XLOOKUP(AP173,BP10:BP57,BT10:BT57),IFERROR(_xlfn.XLOOKUP(AP173,BQ10:BQ57,BT10:BT57),_xlfn.XLOOKUP(AP173,BR10:BR57,BT10:BT57,""))),""),""),""),"")</f>
        <v/>
      </c>
      <c r="BC173" s="811" cm="1">
        <f t="array" ref="BC173">IF(NOT(AQ173),0,IF(OR(BA173="",N(BA173)&lt;=0.000000001),"",IF(OR(AU173="",N(AU173)&lt;=0.000000001),0,IF(ISNUMBER(BA173),IFERROR(_xlfn.LET(_xlpm.ai_test,TRIM(AP173),_xlpm.r,IFERROR(_xlfn.XLOOKUP(_xlpm.ai_test,BP16:BP63,ROW(BP16:BP63),0,1),IFERROR(_xlfn.XLOOKUP(_xlpm.ai_test,BQ16:BQ63,ROW(BQ16:BQ63),0,1),_xlfn.XLOOKUP(_xlpm.ai_test,BR16:BR63,ROW(BR16:BR63),0,1))),_xlpm.p,_xlpm.r-MIN(ROW(BP16:BP63))+1,_xlpm.f,INDEX(BS16:BS63,_xlpm.p),_xlpm.u,INDEX(BT16:BT63,_xlpm.p),_xlpm.s,INDEX(BV16:BV63,_xlpm.p),_xlpm.q,N(BA173)/_xlpm.f,IF(_xlpm.q&gt;=_xlpm.s,ROUND(_xlpm.q,1)&amp;" "&amp;_xlpm.ai_test&amp;" = "&amp;ROUND(_xlpm.q*_xlpm.f,1)&amp;" "&amp;_xlpm.u,ROUND(_xlpm.q,1)&amp;" "&amp;_xlpm.ai_test)),""),""))))</f>
        <v>0</v>
      </c>
      <c r="BD173" s="801"/>
      <c r="BE173" s="788" t="str">
        <f t="shared" si="100"/>
        <v/>
      </c>
      <c r="BF173" s="789" t="str">
        <f t="shared" si="103"/>
        <v/>
      </c>
      <c r="BG173" s="790">
        <f t="shared" si="104"/>
        <v>0</v>
      </c>
      <c r="BH173" s="791" t="str">
        <f t="shared" si="105"/>
        <v/>
      </c>
      <c r="BI173" s="792"/>
      <c r="BJ173" s="793">
        <f t="shared" si="106"/>
        <v>0</v>
      </c>
      <c r="BK173" s="794" t="str">
        <f t="shared" si="101"/>
        <v/>
      </c>
      <c r="BL173" s="227" t="s">
        <v>21</v>
      </c>
      <c r="BM173" s="773">
        <f t="shared" si="91"/>
        <v>0</v>
      </c>
      <c r="BN173" s="774">
        <f t="shared" si="92"/>
        <v>0</v>
      </c>
      <c r="BO173"/>
      <c r="BX173"/>
      <c r="BY173"/>
      <c r="BZ173"/>
      <c r="CA173"/>
      <c r="CB173"/>
      <c r="CC173"/>
      <c r="CD173" s="781" t="str">
        <f t="shared" si="85"/>
        <v>►</v>
      </c>
      <c r="CE173"/>
      <c r="CF173"/>
      <c r="CG173"/>
      <c r="CH173"/>
      <c r="CI173"/>
      <c r="CJ173" s="633"/>
      <c r="CK173"/>
      <c r="CL173"/>
      <c r="CM173"/>
      <c r="CN173"/>
      <c r="CO173"/>
      <c r="CP173"/>
      <c r="CQ173"/>
      <c r="CS173"/>
      <c r="CT173"/>
      <c r="CU173"/>
      <c r="CV173"/>
      <c r="CW173"/>
      <c r="CX173"/>
      <c r="CY173"/>
      <c r="DA173"/>
      <c r="DB173"/>
      <c r="DC173"/>
      <c r="DD173"/>
      <c r="DE173"/>
      <c r="DF173"/>
      <c r="DG173"/>
      <c r="DI173" s="3">
        <v>1</v>
      </c>
    </row>
    <row r="174" spans="1:113" s="627" customFormat="1" ht="21" customHeight="1">
      <c r="A174" s="701" t="s">
        <v>21</v>
      </c>
      <c r="B174" s="2265" t="str" cm="1">
        <f t="array" ref="B174">SUMPRODUCT(--(D174:J174&lt;&gt;""), LEN(TRIM(SUBSTITUTE(D174:J174, CHAR(160), "")))) &amp; " Car."</f>
        <v>0 Car.</v>
      </c>
      <c r="C174" s="1376" t="str">
        <f>IF(ISBLANK(D174),"",LARGE(C13:C173,1)+1)</f>
        <v/>
      </c>
      <c r="D174" s="1833"/>
      <c r="E174" s="1810"/>
      <c r="F174" s="1810"/>
      <c r="G174" s="1810"/>
      <c r="H174" s="1810"/>
      <c r="I174" s="1810"/>
      <c r="J174" s="1810"/>
      <c r="K174" s="1810"/>
      <c r="L174" s="1811"/>
      <c r="M174" s="9"/>
      <c r="N174" s="103" t="str">
        <f t="shared" si="88"/>
        <v>►</v>
      </c>
      <c r="O174" s="1616"/>
      <c r="P174" s="9"/>
      <c r="Q174" s="103" t="str">
        <f t="shared" si="109"/>
        <v>►</v>
      </c>
      <c r="R174" s="31" t="str">
        <f>R166</f>
        <v>J JUS DE FRAISES DES BOIS | pâtisserie--ENTREMET| Auteur &gt; recette Béghin Say de Jean-Jacques Borne MOF 1994</v>
      </c>
      <c r="S174" s="32">
        <f>S166</f>
        <v>18</v>
      </c>
      <c r="T174" s="31" t="str">
        <f>T166</f>
        <v>desserts</v>
      </c>
      <c r="U174" s="33" t="str">
        <f>U166</f>
        <v>Recette mère ► MILLE-FEUILLE  aux fraises des bois</v>
      </c>
      <c r="V174" s="89"/>
      <c r="W174" s="108"/>
      <c r="X174" s="91" t="str">
        <f t="shared" si="107"/>
        <v/>
      </c>
      <c r="Y174" s="92"/>
      <c r="Z174" s="128"/>
      <c r="AA174" s="130">
        <v>1</v>
      </c>
      <c r="AB174" s="1813" t="str">
        <f>ROWS(AB170:AB174)&amp;" ►"</f>
        <v>5 ►</v>
      </c>
      <c r="AC174" s="1580"/>
      <c r="AD174" s="95">
        <f>IF(AF176=0,0,(AF174/AF176)*AE169*1000)</f>
        <v>0</v>
      </c>
      <c r="AE174" s="105">
        <f>IF(AF176=0, 0, (V174*AA174)/(AF176*AE169))</f>
        <v>0</v>
      </c>
      <c r="AF174" s="97" cm="1">
        <f t="array" ref="AF174">IFERROR(_xlfn.XLOOKUP(UPPER(TRIM(Z174)),UPPER(TRIM(V177:AJ177)),V178:AJ178,_xlfn.XLOOKUP(UPPER(TRIM(Z174)),UPPER(TRIM(V179:AJ179)),V180:AJ180,0))*Y174*IF(V174&gt;0,V174,1),0)</f>
        <v>0</v>
      </c>
      <c r="AG174" s="106">
        <f>IF(AI165&lt;&gt;0,V174*AA174*AA165,0)</f>
        <v>0</v>
      </c>
      <c r="AH174" s="1747">
        <f t="shared" si="108"/>
        <v>0</v>
      </c>
      <c r="AI174" s="99">
        <f>IF(OR(ISBLANK(AI165),AI165=0),0,AF174*AA174*AA165)</f>
        <v>0</v>
      </c>
      <c r="AJ174" s="107" t="str">
        <f>IF(Z174="","",IF(COUNTIF(AC177:AJ177,SUBSTITUTE(TRIM(Z174)," (s)",""))+COUNTIF(AC179:AJ179,SUBSTITUTE(TRIM(Z174)," (s)",""))&gt;0,IF(ROUND(AI174,3)&gt;=1,ROUND(AI174,3)&amp;" L",MAX(1,ROUND(AI174*100,0))&amp;" cl"),IF(COUNTIF(V177:AA177,SUBSTITUTE(TRIM(Z174)," (s)",""))+COUNTIF(V179:AA179,SUBSTITUTE(TRIM(Z174)," (s)",""))&gt;0,IF(ROUND(AI174,3)&gt;=1,ROUND(AI174,3)&amp;" Kg",MAX(1,ROUND(AI174*1000,0))&amp;" g"),"")))</f>
        <v/>
      </c>
      <c r="AK174" s="6120" t="str">
        <f t="shared" si="102"/>
        <v>►</v>
      </c>
      <c r="AL174" s="781" t="str">
        <f t="shared" si="90"/>
        <v>►</v>
      </c>
      <c r="AM174" s="5498" t="str">
        <f t="shared" si="93"/>
        <v/>
      </c>
      <c r="AN174" s="783" t="str">
        <f t="shared" si="94"/>
        <v/>
      </c>
      <c r="AO174" s="782" t="str">
        <f t="shared" si="95"/>
        <v/>
      </c>
      <c r="AP174" s="783" t="str">
        <f t="shared" si="96"/>
        <v/>
      </c>
      <c r="AQ174" s="2083" t="b">
        <f>AND(Q174="A",COUNTIF(BP16:BR63,TRIM(Z174))&gt;0)</f>
        <v>0</v>
      </c>
      <c r="AR174" s="797" t="str">
        <f>IF(AL174&lt;&gt;"A","",IFERROR(IFERROR(_xlfn.XLOOKUP(TRIM(SUBSTITUTE(Z174,CHAR(160)," ")),BP16:BP63,BS16:BS63),IFERROR(_xlfn.XLOOKUP(TRIM(SUBSTITUTE(Z174,CHAR(160)," ")),BQ16:BQ63,BS16:BS63),_xlfn.XLOOKUP(TRIM(SUBSTITUTE(Z174,CHAR(160)," ")),BR16:BR63,BS16:BS63)))*Y174*IF(ISBLANK(V174),1,V174),0))</f>
        <v/>
      </c>
      <c r="AS174" s="784" t="str">
        <f t="shared" si="84"/>
        <v/>
      </c>
      <c r="AT174" s="1315" t="str">
        <f t="shared" si="97"/>
        <v/>
      </c>
      <c r="AU174" s="785">
        <f t="shared" si="98"/>
        <v>0</v>
      </c>
      <c r="AV174" s="785">
        <f t="shared" si="99"/>
        <v>0</v>
      </c>
      <c r="AW174" s="798">
        <f>IF(AK174="A",AY10,0)</f>
        <v>0</v>
      </c>
      <c r="AX174" s="5496" t="str">
        <f>IF(IFERROR(SEARCH("Adresse PC",TRIM(W174)),0)&gt;0,"▼ receta siguiente",IF(AK174="A",IF(AZ10&lt;&gt;"",AZ10&amp;" - ou.or.o ❾ + or - &gt;",""),""))</f>
        <v/>
      </c>
      <c r="AY174" s="810"/>
      <c r="AZ174" s="810"/>
      <c r="BA174" s="799" t="str">
        <f t="shared" si="89"/>
        <v/>
      </c>
      <c r="BB174" s="800" t="str">
        <f>IF(AK174="A",IF(AQ174,IF(AND(AW174&lt;&gt;"",N(AW174)&gt;0),IFERROR(IFERROR(_xlfn.XLOOKUP(AP174,BP10:BP57,BT10:BT57),IFERROR(_xlfn.XLOOKUP(AP174,BQ10:BQ57,BT10:BT57),_xlfn.XLOOKUP(AP174,BR10:BR57,BT10:BT57,""))),""),""),""),"")</f>
        <v/>
      </c>
      <c r="BC174" s="813" cm="1">
        <f t="array" ref="BC174">IF(NOT(AQ174),0,IF(OR(BA174="",N(BA174)&lt;=0.000000001),"",IF(OR(AU174="",N(AU174)&lt;=0.000000001),0,IF(ISNUMBER(BA174),IFERROR(_xlfn.LET(_xlpm.ai_test,TRIM(AP174),_xlpm.r,IFERROR(_xlfn.XLOOKUP(_xlpm.ai_test,BP16:BP63,ROW(BP16:BP63),0,1),IFERROR(_xlfn.XLOOKUP(_xlpm.ai_test,BQ16:BQ63,ROW(BQ16:BQ63),0,1),_xlfn.XLOOKUP(_xlpm.ai_test,BR16:BR63,ROW(BR16:BR63),0,1))),_xlpm.p,_xlpm.r-MIN(ROW(BP16:BP63))+1,_xlpm.f,INDEX(BS16:BS63,_xlpm.p),_xlpm.u,INDEX(BT16:BT63,_xlpm.p),_xlpm.s,INDEX(BV16:BV63,_xlpm.p),_xlpm.q,N(BA174)/_xlpm.f,IF(_xlpm.q&gt;=_xlpm.s,ROUND(_xlpm.q,1)&amp;" "&amp;_xlpm.ai_test&amp;" = "&amp;ROUND(_xlpm.q*_xlpm.f,1)&amp;" "&amp;_xlpm.u,ROUND(_xlpm.q,1)&amp;" "&amp;_xlpm.ai_test)),""),""))))</f>
        <v>0</v>
      </c>
      <c r="BD174" s="801"/>
      <c r="BE174" s="799" t="str">
        <f t="shared" si="100"/>
        <v/>
      </c>
      <c r="BF174" s="800" t="str">
        <f t="shared" si="103"/>
        <v/>
      </c>
      <c r="BG174" s="802">
        <f t="shared" si="104"/>
        <v>0</v>
      </c>
      <c r="BH174" s="803" t="str">
        <f t="shared" si="105"/>
        <v/>
      </c>
      <c r="BI174" s="792"/>
      <c r="BJ174" s="804">
        <f t="shared" si="106"/>
        <v>0</v>
      </c>
      <c r="BK174" s="794" t="str">
        <f t="shared" si="101"/>
        <v/>
      </c>
      <c r="BL174" s="227" t="s">
        <v>21</v>
      </c>
      <c r="BM174" s="773">
        <f t="shared" si="91"/>
        <v>0</v>
      </c>
      <c r="BN174" s="774">
        <f t="shared" si="92"/>
        <v>0</v>
      </c>
      <c r="BO174"/>
      <c r="BX174"/>
      <c r="BY174"/>
      <c r="BZ174"/>
      <c r="CA174"/>
      <c r="CB174"/>
      <c r="CC174"/>
      <c r="CD174" s="781" t="str">
        <f t="shared" si="85"/>
        <v>►</v>
      </c>
      <c r="CE174"/>
      <c r="CF174"/>
      <c r="CG174"/>
      <c r="CH174"/>
      <c r="CI174"/>
      <c r="CJ174" s="633"/>
      <c r="CK174"/>
      <c r="CL174"/>
      <c r="CM174"/>
      <c r="CN174"/>
      <c r="CO174"/>
      <c r="CP174"/>
      <c r="CQ174"/>
      <c r="CS174"/>
      <c r="CT174"/>
      <c r="CU174"/>
      <c r="CV174"/>
      <c r="CW174"/>
      <c r="CX174"/>
      <c r="CY174"/>
      <c r="DA174"/>
      <c r="DB174"/>
      <c r="DC174"/>
      <c r="DD174"/>
      <c r="DE174"/>
      <c r="DF174"/>
      <c r="DG174"/>
      <c r="DI174" s="3">
        <v>1</v>
      </c>
    </row>
    <row r="175" spans="1:113" s="627" customFormat="1" ht="21" customHeight="1">
      <c r="A175" s="701" t="s">
        <v>21</v>
      </c>
      <c r="B175" s="2265" t="str" cm="1">
        <f t="array" ref="B175">SUMPRODUCT(--(D175:J175&lt;&gt;""), LEN(TRIM(SUBSTITUTE(D175:J175, CHAR(160), "")))) &amp; " Car."</f>
        <v>0 Car.</v>
      </c>
      <c r="C175" s="1376" t="str">
        <f>IF(ISBLANK(D175),"",LARGE(C13:C174,1)+1)</f>
        <v/>
      </c>
      <c r="D175" s="1833"/>
      <c r="E175" s="1810"/>
      <c r="F175" s="1810"/>
      <c r="G175" s="1810"/>
      <c r="H175" s="1810"/>
      <c r="I175" s="1810"/>
      <c r="J175" s="1810"/>
      <c r="K175" s="1810"/>
      <c r="L175" s="1811"/>
      <c r="M175" s="9"/>
      <c r="N175" s="25" t="str">
        <f t="shared" si="88"/>
        <v>A</v>
      </c>
      <c r="O175" s="1616"/>
      <c r="P175" s="9"/>
      <c r="Q175" s="25" t="s">
        <v>10</v>
      </c>
      <c r="R175" s="31" t="str">
        <f>R166</f>
        <v>J JUS DE FRAISES DES BOIS | pâtisserie--ENTREMET| Auteur &gt; recette Béghin Say de Jean-Jacques Borne MOF 1994</v>
      </c>
      <c r="S175" s="32">
        <f>S166</f>
        <v>18</v>
      </c>
      <c r="T175" s="31" t="str">
        <f>T166</f>
        <v>desserts</v>
      </c>
      <c r="U175" s="33" t="str">
        <f>U166</f>
        <v>Recette mère ► MILLE-FEUILLE  aux fraises des bois</v>
      </c>
      <c r="V175" s="1198"/>
      <c r="W175" s="1199"/>
      <c r="X175" s="91" t="str">
        <f t="shared" si="107"/>
        <v/>
      </c>
      <c r="Y175" s="1200"/>
      <c r="Z175" s="128"/>
      <c r="AA175" s="1201">
        <v>1</v>
      </c>
      <c r="AB175" s="1813" t="str">
        <f>ROWS(AB170:AB175)&amp;" ►"</f>
        <v>6 ►</v>
      </c>
      <c r="AC175" s="1580"/>
      <c r="AD175" s="95">
        <f>IF(AF176=0,0,(AF175/AF176)*AE169*1000)</f>
        <v>0</v>
      </c>
      <c r="AE175" s="105">
        <f>IF(AF176=0, 0, (V175*AA175)/(AF176*AE169))</f>
        <v>0</v>
      </c>
      <c r="AF175" s="97" cm="1">
        <f t="array" ref="AF175">IFERROR(_xlfn.XLOOKUP(UPPER(TRIM(Z175)),UPPER(TRIM(V177:AJ177)),V178:AJ178,_xlfn.XLOOKUP(UPPER(TRIM(Z175)),UPPER(TRIM(V179:AJ179)),V180:AJ180,0))*Y175*IF(V175&gt;0,V175,1),0)</f>
        <v>0</v>
      </c>
      <c r="AG175" s="110">
        <f>IF(AI165&lt;&gt;0,V175*AA175*AA165,0)</f>
        <v>0</v>
      </c>
      <c r="AH175" s="1748">
        <f t="shared" si="108"/>
        <v>0</v>
      </c>
      <c r="AI175" s="99">
        <f>IF(OR(ISBLANK(AI165),AI165=0),0,AF175*AA175*AA165)</f>
        <v>0</v>
      </c>
      <c r="AJ175" s="129" t="str">
        <f>IF(Z175="","",IF(COUNTIF(AC177:AJ177,SUBSTITUTE(TRIM(Z175)," (s)",""))+COUNTIF(AC179:AJ179,SUBSTITUTE(TRIM(Z175)," (s)",""))&gt;0,IF(ROUND(AI175,3)&gt;=1,ROUND(AI175,3)&amp;" L",MAX(1,ROUND(AI175*100,0))&amp;" cl"),IF(COUNTIF(V177:AA177,SUBSTITUTE(TRIM(Z175)," (s)",""))+COUNTIF(V179:AA179,SUBSTITUTE(TRIM(Z175)," (s)",""))&gt;0,IF(ROUND(AI175,3)&gt;=1,ROUND(AI175,3)&amp;" Kg",MAX(1,ROUND(AI175*1000,0))&amp;" g"),"")))</f>
        <v/>
      </c>
      <c r="AK175" s="6120" t="str">
        <f t="shared" si="102"/>
        <v>►</v>
      </c>
      <c r="AL175" s="781" t="str">
        <f t="shared" si="90"/>
        <v>►</v>
      </c>
      <c r="AM175" s="5499" t="str">
        <f t="shared" si="93"/>
        <v/>
      </c>
      <c r="AN175" s="783" t="str">
        <f t="shared" si="94"/>
        <v/>
      </c>
      <c r="AO175" s="782" t="str">
        <f t="shared" si="95"/>
        <v/>
      </c>
      <c r="AP175" s="783" t="str">
        <f t="shared" si="96"/>
        <v/>
      </c>
      <c r="AQ175" s="2083" t="b">
        <f>AND(Q175="A",COUNTIF(BP16:BR63,TRIM(Z175))&gt;0)</f>
        <v>0</v>
      </c>
      <c r="AR175" s="797" t="str">
        <f>IF(AL175&lt;&gt;"A","",IFERROR(IFERROR(_xlfn.XLOOKUP(TRIM(SUBSTITUTE(Z175,CHAR(160)," ")),BP16:BP63,BS16:BS63),IFERROR(_xlfn.XLOOKUP(TRIM(SUBSTITUTE(Z175,CHAR(160)," ")),BQ16:BQ63,BS16:BS63),_xlfn.XLOOKUP(TRIM(SUBSTITUTE(Z175,CHAR(160)," ")),BR16:BR63,BS16:BS63)))*Y175*IF(ISBLANK(V175),1,V175),0))</f>
        <v/>
      </c>
      <c r="AS175" s="784" t="str">
        <f t="shared" si="84"/>
        <v/>
      </c>
      <c r="AT175" s="1315" t="str">
        <f t="shared" si="97"/>
        <v/>
      </c>
      <c r="AU175" s="785">
        <f t="shared" si="98"/>
        <v>0</v>
      </c>
      <c r="AV175" s="785">
        <f t="shared" si="99"/>
        <v>0</v>
      </c>
      <c r="AW175" s="786">
        <f>IF(AK175="A",AY10,0)</f>
        <v>0</v>
      </c>
      <c r="AX175" s="5495" t="str">
        <f>IF(IFERROR(SEARCH("Adresse PC",TRIM(W175)),0)&gt;0,"▼ receta siguiente",IF(AK175="A",IF(AZ10&lt;&gt;"",AZ10&amp;" - ou.or.o ❾ + or - &gt;",""),""))</f>
        <v/>
      </c>
      <c r="AY175" s="810"/>
      <c r="AZ175" s="810"/>
      <c r="BA175" s="788" t="str">
        <f t="shared" si="89"/>
        <v/>
      </c>
      <c r="BB175" s="789" t="str">
        <f>IF(AK175="A",IF(AQ175,IF(AND(AW175&lt;&gt;"",N(AW175)&gt;0),IFERROR(IFERROR(_xlfn.XLOOKUP(AP175,BP10:BP57,BT10:BT57),IFERROR(_xlfn.XLOOKUP(AP175,BQ10:BQ57,BT10:BT57),_xlfn.XLOOKUP(AP175,BR10:BR57,BT10:BT57,""))),""),""),""),"")</f>
        <v/>
      </c>
      <c r="BC175" s="811" cm="1">
        <f t="array" ref="BC175">IF(NOT(AQ175),0,IF(OR(BA175="",N(BA175)&lt;=0.000000001),"",IF(OR(AU175="",N(AU175)&lt;=0.000000001),0,IF(ISNUMBER(BA175),IFERROR(_xlfn.LET(_xlpm.ai_test,TRIM(AP175),_xlpm.r,IFERROR(_xlfn.XLOOKUP(_xlpm.ai_test,BP16:BP63,ROW(BP16:BP63),0,1),IFERROR(_xlfn.XLOOKUP(_xlpm.ai_test,BQ16:BQ63,ROW(BQ16:BQ63),0,1),_xlfn.XLOOKUP(_xlpm.ai_test,BR16:BR63,ROW(BR16:BR63),0,1))),_xlpm.p,_xlpm.r-MIN(ROW(BP16:BP63))+1,_xlpm.f,INDEX(BS16:BS63,_xlpm.p),_xlpm.u,INDEX(BT16:BT63,_xlpm.p),_xlpm.s,INDEX(BV16:BV63,_xlpm.p),_xlpm.q,N(BA175)/_xlpm.f,IF(_xlpm.q&gt;=_xlpm.s,ROUND(_xlpm.q,1)&amp;" "&amp;_xlpm.ai_test&amp;" = "&amp;ROUND(_xlpm.q*_xlpm.f,1)&amp;" "&amp;_xlpm.u,ROUND(_xlpm.q,1)&amp;" "&amp;_xlpm.ai_test)),""),""))))</f>
        <v>0</v>
      </c>
      <c r="BD175" s="801"/>
      <c r="BE175" s="788" t="str">
        <f t="shared" si="100"/>
        <v/>
      </c>
      <c r="BF175" s="789" t="str">
        <f t="shared" si="103"/>
        <v/>
      </c>
      <c r="BG175" s="790">
        <f t="shared" si="104"/>
        <v>0</v>
      </c>
      <c r="BH175" s="791" t="str">
        <f t="shared" si="105"/>
        <v/>
      </c>
      <c r="BI175" s="792"/>
      <c r="BJ175" s="793">
        <f t="shared" si="106"/>
        <v>0</v>
      </c>
      <c r="BK175" s="794" t="str">
        <f t="shared" si="101"/>
        <v/>
      </c>
      <c r="BL175" s="227" t="s">
        <v>21</v>
      </c>
      <c r="BM175" s="773">
        <f t="shared" si="91"/>
        <v>0</v>
      </c>
      <c r="BN175" s="774">
        <f t="shared" si="92"/>
        <v>0</v>
      </c>
      <c r="BO175"/>
      <c r="BX175"/>
      <c r="BY175"/>
      <c r="BZ175"/>
      <c r="CA175"/>
      <c r="CB175"/>
      <c r="CC175"/>
      <c r="CD175" s="781" t="str">
        <f t="shared" si="85"/>
        <v>►</v>
      </c>
      <c r="CE175"/>
      <c r="CF175"/>
      <c r="CG175"/>
      <c r="CH175"/>
      <c r="CI175"/>
      <c r="CJ175" s="633"/>
      <c r="CK175"/>
      <c r="CL175"/>
      <c r="CM175"/>
      <c r="CN175"/>
      <c r="CO175"/>
      <c r="CP175"/>
      <c r="CQ175"/>
      <c r="CS175"/>
      <c r="CT175"/>
      <c r="CU175"/>
      <c r="CV175"/>
      <c r="CW175"/>
      <c r="CX175"/>
      <c r="CY175"/>
      <c r="DA175"/>
      <c r="DB175"/>
      <c r="DC175"/>
      <c r="DD175"/>
      <c r="DE175"/>
      <c r="DF175"/>
      <c r="DG175"/>
      <c r="DI175" s="3">
        <v>1</v>
      </c>
    </row>
    <row r="176" spans="1:113" s="627" customFormat="1" ht="21" customHeight="1">
      <c r="A176" s="701" t="s">
        <v>21</v>
      </c>
      <c r="B176" s="2265" t="str" cm="1">
        <f t="array" ref="B176">SUMPRODUCT(--(D176:J176&lt;&gt;""), LEN(TRIM(SUBSTITUTE(D176:J176, CHAR(160), "")))) &amp; " Car."</f>
        <v>0 Car.</v>
      </c>
      <c r="C176" s="1376" t="str">
        <f>IF(ISBLANK(D176),"",LARGE(C13:C175,1)+1)</f>
        <v/>
      </c>
      <c r="D176" s="1833"/>
      <c r="E176" s="1810"/>
      <c r="F176" s="1810"/>
      <c r="G176" s="1810"/>
      <c r="H176" s="1810"/>
      <c r="I176" s="1810"/>
      <c r="J176" s="1810"/>
      <c r="K176" s="1810"/>
      <c r="L176" s="1811"/>
      <c r="M176" s="9"/>
      <c r="N176" s="25" t="str">
        <f t="shared" si="88"/>
        <v>A</v>
      </c>
      <c r="O176" s="1616"/>
      <c r="P176" s="9"/>
      <c r="Q176" s="25" t="s">
        <v>10</v>
      </c>
      <c r="R176" s="31" t="str">
        <f>R166</f>
        <v>J JUS DE FRAISES DES BOIS | pâtisserie--ENTREMET| Auteur &gt; recette Béghin Say de Jean-Jacques Borne MOF 1994</v>
      </c>
      <c r="S176" s="32">
        <f>S166</f>
        <v>18</v>
      </c>
      <c r="T176" s="31" t="str">
        <f>T166</f>
        <v>desserts</v>
      </c>
      <c r="U176" s="33" t="str">
        <f>U166</f>
        <v>Recette mère ► MILLE-FEUILLE  aux fraises des bois</v>
      </c>
      <c r="V176" s="680" t="s">
        <v>8411</v>
      </c>
      <c r="W176" s="474"/>
      <c r="X176" s="474"/>
      <c r="Y176" s="474"/>
      <c r="Z176" s="474"/>
      <c r="AA176" s="681"/>
      <c r="AB176" s="681"/>
      <c r="AC176" s="1984" t="s">
        <v>8652</v>
      </c>
      <c r="AD176" s="682"/>
      <c r="AE176" s="682"/>
      <c r="AF176" s="1197">
        <f>SUM(AF170:AF175)</f>
        <v>0.35</v>
      </c>
      <c r="AG176" s="683"/>
      <c r="AH176" s="683" t="str">
        <f>"Total " &amp; AI167&amp;" &gt;"</f>
        <v>Total Col.19 &gt;</v>
      </c>
      <c r="AI176" s="1835">
        <f>SUM(AI170:AI175)</f>
        <v>0.7</v>
      </c>
      <c r="AJ176" s="684"/>
      <c r="AK176" s="6120" t="str">
        <f t="shared" si="102"/>
        <v>►</v>
      </c>
      <c r="AL176" s="781" t="str">
        <f t="shared" si="90"/>
        <v>►</v>
      </c>
      <c r="AM176" s="5498" t="str">
        <f t="shared" si="93"/>
        <v/>
      </c>
      <c r="AN176" s="783" t="str">
        <f t="shared" si="94"/>
        <v/>
      </c>
      <c r="AO176" s="782" t="str">
        <f t="shared" si="95"/>
        <v/>
      </c>
      <c r="AP176" s="783" t="str">
        <f t="shared" si="96"/>
        <v/>
      </c>
      <c r="AQ176" s="2083" t="b">
        <f>AND(Q176="A",COUNTIF(BP16:BR63,TRIM(Z176))&gt;0)</f>
        <v>0</v>
      </c>
      <c r="AR176" s="797" t="str">
        <f>IF(AL176&lt;&gt;"A","",IFERROR(IFERROR(_xlfn.XLOOKUP(TRIM(SUBSTITUTE(Z176,CHAR(160)," ")),BP16:BP63,BS16:BS63),IFERROR(_xlfn.XLOOKUP(TRIM(SUBSTITUTE(Z176,CHAR(160)," ")),BQ16:BQ63,BS16:BS63),_xlfn.XLOOKUP(TRIM(SUBSTITUTE(Z176,CHAR(160)," ")),BR16:BR63,BS16:BS63)))*Y176*IF(ISBLANK(V176),1,V176),0))</f>
        <v/>
      </c>
      <c r="AS176" s="784" t="str">
        <f t="shared" si="84"/>
        <v/>
      </c>
      <c r="AT176" s="1315" t="str">
        <f t="shared" si="97"/>
        <v/>
      </c>
      <c r="AU176" s="785">
        <f t="shared" si="98"/>
        <v>0</v>
      </c>
      <c r="AV176" s="785">
        <f t="shared" si="99"/>
        <v>0</v>
      </c>
      <c r="AW176" s="798">
        <f>IF(AK176="A",AY10,0)</f>
        <v>0</v>
      </c>
      <c r="AX176" s="5496" t="str">
        <f>IF(IFERROR(SEARCH("Adresse PC",TRIM(W176)),0)&gt;0,"▼ receta siguiente",IF(AK176="A",IF(AZ10&lt;&gt;"",AZ10&amp;" - ou.or.o ❾ + or - &gt;",""),""))</f>
        <v/>
      </c>
      <c r="AY176" s="810"/>
      <c r="AZ176" s="810"/>
      <c r="BA176" s="799" t="str">
        <f t="shared" si="89"/>
        <v/>
      </c>
      <c r="BB176" s="800" t="str">
        <f>IF(AK176="A",IF(AQ176,IF(AND(AW176&lt;&gt;"",N(AW176)&gt;0),IFERROR(IFERROR(_xlfn.XLOOKUP(AP176,BP10:BP57,BT10:BT57),IFERROR(_xlfn.XLOOKUP(AP176,BQ10:BQ57,BT10:BT57),_xlfn.XLOOKUP(AP176,BR10:BR57,BT10:BT57,""))),""),""),""),"")</f>
        <v/>
      </c>
      <c r="BC176" s="813" cm="1">
        <f t="array" ref="BC176">IF(NOT(AQ176),0,IF(OR(BA176="",N(BA176)&lt;=0.000000001),"",IF(OR(AU176="",N(AU176)&lt;=0.000000001),0,IF(ISNUMBER(BA176),IFERROR(_xlfn.LET(_xlpm.ai_test,TRIM(AP176),_xlpm.r,IFERROR(_xlfn.XLOOKUP(_xlpm.ai_test,BP16:BP63,ROW(BP16:BP63),0,1),IFERROR(_xlfn.XLOOKUP(_xlpm.ai_test,BQ16:BQ63,ROW(BQ16:BQ63),0,1),_xlfn.XLOOKUP(_xlpm.ai_test,BR16:BR63,ROW(BR16:BR63),0,1))),_xlpm.p,_xlpm.r-MIN(ROW(BP16:BP63))+1,_xlpm.f,INDEX(BS16:BS63,_xlpm.p),_xlpm.u,INDEX(BT16:BT63,_xlpm.p),_xlpm.s,INDEX(BV16:BV63,_xlpm.p),_xlpm.q,N(BA176)/_xlpm.f,IF(_xlpm.q&gt;=_xlpm.s,ROUND(_xlpm.q,1)&amp;" "&amp;_xlpm.ai_test&amp;" = "&amp;ROUND(_xlpm.q*_xlpm.f,1)&amp;" "&amp;_xlpm.u,ROUND(_xlpm.q,1)&amp;" "&amp;_xlpm.ai_test)),""),""))))</f>
        <v>0</v>
      </c>
      <c r="BD176" s="801"/>
      <c r="BE176" s="799" t="str">
        <f t="shared" si="100"/>
        <v/>
      </c>
      <c r="BF176" s="800" t="str">
        <f t="shared" si="103"/>
        <v/>
      </c>
      <c r="BG176" s="802">
        <f t="shared" si="104"/>
        <v>0</v>
      </c>
      <c r="BH176" s="803" t="str">
        <f t="shared" si="105"/>
        <v/>
      </c>
      <c r="BI176" s="792"/>
      <c r="BJ176" s="804">
        <f t="shared" si="106"/>
        <v>0</v>
      </c>
      <c r="BK176" s="794" t="str">
        <f t="shared" si="101"/>
        <v/>
      </c>
      <c r="BL176" s="227" t="s">
        <v>21</v>
      </c>
      <c r="BM176" s="773">
        <f t="shared" si="91"/>
        <v>0</v>
      </c>
      <c r="BN176" s="774">
        <f t="shared" si="92"/>
        <v>0</v>
      </c>
      <c r="BO176"/>
      <c r="BX176"/>
      <c r="BY176"/>
      <c r="BZ176"/>
      <c r="CA176"/>
      <c r="CB176"/>
      <c r="CC176"/>
      <c r="CD176" s="781" t="str">
        <f t="shared" si="85"/>
        <v>►</v>
      </c>
      <c r="CE176"/>
      <c r="CF176"/>
      <c r="CG176"/>
      <c r="CH176"/>
      <c r="CI176"/>
      <c r="CJ176" s="633"/>
      <c r="CK176"/>
      <c r="CL176"/>
      <c r="CM176"/>
      <c r="CN176"/>
      <c r="CO176"/>
      <c r="CP176"/>
      <c r="CQ176"/>
      <c r="CS176"/>
      <c r="CT176"/>
      <c r="CU176"/>
      <c r="CV176"/>
      <c r="CW176"/>
      <c r="CX176"/>
      <c r="CY176"/>
      <c r="DA176"/>
      <c r="DB176"/>
      <c r="DC176"/>
      <c r="DD176"/>
      <c r="DE176"/>
      <c r="DF176"/>
      <c r="DG176"/>
      <c r="DI176" s="3">
        <v>1</v>
      </c>
    </row>
    <row r="177" spans="1:113" s="627" customFormat="1" ht="21" customHeight="1">
      <c r="A177" s="701" t="s">
        <v>21</v>
      </c>
      <c r="B177" s="2265" t="str" cm="1">
        <f t="array" ref="B177">SUMPRODUCT(--(D177:J177&lt;&gt;""), LEN(TRIM(SUBSTITUTE(D177:J177, CHAR(160), "")))) &amp; " Car."</f>
        <v>0 Car.</v>
      </c>
      <c r="C177" s="1376" t="str">
        <f>IF(ISBLANK(D177),"",LARGE(C13:C176,1)+1)</f>
        <v/>
      </c>
      <c r="D177" s="1833"/>
      <c r="E177" s="1810"/>
      <c r="F177" s="1810"/>
      <c r="G177" s="1810"/>
      <c r="H177" s="1810"/>
      <c r="I177" s="1810"/>
      <c r="J177" s="1810"/>
      <c r="K177" s="1810"/>
      <c r="L177" s="1811"/>
      <c r="M177" s="9"/>
      <c r="N177" s="25" t="str">
        <f t="shared" si="88"/>
        <v>A</v>
      </c>
      <c r="O177" s="1616"/>
      <c r="P177" s="9"/>
      <c r="Q177" s="25" t="s">
        <v>10</v>
      </c>
      <c r="R177" s="31" t="str">
        <f>R166</f>
        <v>J JUS DE FRAISES DES BOIS | pâtisserie--ENTREMET| Auteur &gt; recette Béghin Say de Jean-Jacques Borne MOF 1994</v>
      </c>
      <c r="S177" s="32">
        <f>S166</f>
        <v>18</v>
      </c>
      <c r="T177" s="31" t="str">
        <f>T166</f>
        <v>desserts</v>
      </c>
      <c r="U177" s="33" t="str">
        <f>U166</f>
        <v>Recette mère ► MILLE-FEUILLE  aux fraises des bois</v>
      </c>
      <c r="V177" s="142" t="s">
        <v>140</v>
      </c>
      <c r="W177" s="104" t="s">
        <v>100</v>
      </c>
      <c r="X177" s="143" t="s">
        <v>141</v>
      </c>
      <c r="Y177" s="144" t="s">
        <v>142</v>
      </c>
      <c r="Z177" s="118" t="s">
        <v>143</v>
      </c>
      <c r="AA177" s="118" t="s">
        <v>109</v>
      </c>
      <c r="AB177" s="143" t="s">
        <v>141</v>
      </c>
      <c r="AC177" s="93" t="s">
        <v>0</v>
      </c>
      <c r="AD177" s="93" t="s">
        <v>97</v>
      </c>
      <c r="AE177" s="93" t="s">
        <v>144</v>
      </c>
      <c r="AF177" s="93" t="s">
        <v>145</v>
      </c>
      <c r="AG177" s="109" t="s">
        <v>104</v>
      </c>
      <c r="AH177" s="109" t="s">
        <v>359</v>
      </c>
      <c r="AI177" s="335" t="s">
        <v>146</v>
      </c>
      <c r="AJ177" s="109" t="s">
        <v>147</v>
      </c>
      <c r="AK177" s="6120" t="str">
        <f t="shared" si="102"/>
        <v>►</v>
      </c>
      <c r="AL177" s="781" t="str">
        <f t="shared" si="90"/>
        <v>►</v>
      </c>
      <c r="AM177" s="5499" t="str">
        <f t="shared" si="93"/>
        <v/>
      </c>
      <c r="AN177" s="783" t="str">
        <f t="shared" si="94"/>
        <v/>
      </c>
      <c r="AO177" s="782" t="str">
        <f t="shared" si="95"/>
        <v/>
      </c>
      <c r="AP177" s="783" t="str">
        <f t="shared" si="96"/>
        <v/>
      </c>
      <c r="AQ177" s="2083" t="b">
        <f>AND(Q177="A",COUNTIF(BP16:BR63,TRIM(Z177))&gt;0)</f>
        <v>1</v>
      </c>
      <c r="AR177" s="797" t="str">
        <f>IF(AL177&lt;&gt;"A","",IFERROR(IFERROR(_xlfn.XLOOKUP(TRIM(SUBSTITUTE(Z177,CHAR(160)," ")),BP16:BP63,BS16:BS63),IFERROR(_xlfn.XLOOKUP(TRIM(SUBSTITUTE(Z177,CHAR(160)," ")),BQ16:BQ63,BS16:BS63),_xlfn.XLOOKUP(TRIM(SUBSTITUTE(Z177,CHAR(160)," ")),BR16:BR63,BS16:BS63)))*Y177*IF(ISBLANK(V177),1,V177),0))</f>
        <v/>
      </c>
      <c r="AS177" s="784" t="str">
        <f t="shared" si="84"/>
        <v/>
      </c>
      <c r="AT177" s="1315" t="str">
        <f t="shared" si="97"/>
        <v/>
      </c>
      <c r="AU177" s="785">
        <f t="shared" si="98"/>
        <v>0</v>
      </c>
      <c r="AV177" s="785">
        <f t="shared" si="99"/>
        <v>0</v>
      </c>
      <c r="AW177" s="786">
        <f>IF(AK177="A",AY10,0)</f>
        <v>0</v>
      </c>
      <c r="AX177" s="5495" t="str">
        <f>IF(IFERROR(SEARCH("Adresse PC",TRIM(W177)),0)&gt;0,"▼ receta siguiente",IF(AK177="A",IF(AZ10&lt;&gt;"",AZ10&amp;" - ou.or.o ❾ + or - &gt;",""),""))</f>
        <v/>
      </c>
      <c r="AY177" s="810"/>
      <c r="AZ177" s="810"/>
      <c r="BA177" s="788" t="str">
        <f t="shared" si="89"/>
        <v/>
      </c>
      <c r="BB177" s="789" t="str">
        <f>IF(AK177="A",IF(AQ177,IF(AND(AW177&lt;&gt;"",N(AW177)&gt;0),IFERROR(IFERROR(_xlfn.XLOOKUP(AP177,BP10:BP57,BT10:BT57),IFERROR(_xlfn.XLOOKUP(AP177,BQ10:BQ57,BT10:BT57),_xlfn.XLOOKUP(AP177,BR10:BR57,BT10:BT57,""))),""),""),""),"")</f>
        <v/>
      </c>
      <c r="BC177" s="811" t="str" cm="1">
        <f t="array" ref="BC177">IF(NOT(AQ177),0,IF(OR(BA177="",N(BA177)&lt;=0.000000001),"",IF(OR(AU177="",N(AU177)&lt;=0.000000001),0,IF(ISNUMBER(BA177),IFERROR(_xlfn.LET(_xlpm.ai_test,TRIM(AP177),_xlpm.r,IFERROR(_xlfn.XLOOKUP(_xlpm.ai_test,BP16:BP63,ROW(BP16:BP63),0,1),IFERROR(_xlfn.XLOOKUP(_xlpm.ai_test,BQ16:BQ63,ROW(BQ16:BQ63),0,1),_xlfn.XLOOKUP(_xlpm.ai_test,BR16:BR63,ROW(BR16:BR63),0,1))),_xlpm.p,_xlpm.r-MIN(ROW(BP16:BP63))+1,_xlpm.f,INDEX(BS16:BS63,_xlpm.p),_xlpm.u,INDEX(BT16:BT63,_xlpm.p),_xlpm.s,INDEX(BV16:BV63,_xlpm.p),_xlpm.q,N(BA177)/_xlpm.f,IF(_xlpm.q&gt;=_xlpm.s,ROUND(_xlpm.q,1)&amp;" "&amp;_xlpm.ai_test&amp;" = "&amp;ROUND(_xlpm.q*_xlpm.f,1)&amp;" "&amp;_xlpm.u,ROUND(_xlpm.q,1)&amp;" "&amp;_xlpm.ai_test)),""),""))))</f>
        <v/>
      </c>
      <c r="BD177" s="801"/>
      <c r="BE177" s="788" t="str">
        <f t="shared" si="100"/>
        <v/>
      </c>
      <c r="BF177" s="789" t="str">
        <f t="shared" si="103"/>
        <v/>
      </c>
      <c r="BG177" s="790">
        <f t="shared" si="104"/>
        <v>0</v>
      </c>
      <c r="BH177" s="791" t="str">
        <f t="shared" si="105"/>
        <v/>
      </c>
      <c r="BI177" s="792"/>
      <c r="BJ177" s="793">
        <f t="shared" si="106"/>
        <v>0</v>
      </c>
      <c r="BK177" s="794" t="str">
        <f t="shared" si="101"/>
        <v/>
      </c>
      <c r="BL177" s="227" t="s">
        <v>21</v>
      </c>
      <c r="BM177" s="773">
        <f t="shared" si="91"/>
        <v>0</v>
      </c>
      <c r="BN177" s="774">
        <f t="shared" si="92"/>
        <v>0</v>
      </c>
      <c r="BO177"/>
      <c r="BX177"/>
      <c r="BY177"/>
      <c r="BZ177"/>
      <c r="CA177"/>
      <c r="CB177"/>
      <c r="CC177"/>
      <c r="CD177" s="781" t="str">
        <f t="shared" si="85"/>
        <v>►</v>
      </c>
      <c r="CE177"/>
      <c r="CF177"/>
      <c r="CG177"/>
      <c r="CH177"/>
      <c r="CI177"/>
      <c r="CJ177" s="633"/>
      <c r="CK177"/>
      <c r="CL177"/>
      <c r="CM177"/>
      <c r="CN177"/>
      <c r="CO177"/>
      <c r="CP177"/>
      <c r="CQ177"/>
      <c r="CS177"/>
      <c r="CT177"/>
      <c r="CU177"/>
      <c r="CV177"/>
      <c r="CW177"/>
      <c r="CX177"/>
      <c r="CY177"/>
      <c r="DA177"/>
      <c r="DB177"/>
      <c r="DC177"/>
      <c r="DD177"/>
      <c r="DE177"/>
      <c r="DF177"/>
      <c r="DG177"/>
      <c r="DI177" s="3">
        <v>1</v>
      </c>
    </row>
    <row r="178" spans="1:113" s="627" customFormat="1" ht="21" customHeight="1">
      <c r="A178" s="701" t="s">
        <v>21</v>
      </c>
      <c r="B178" s="2265" t="str" cm="1">
        <f t="array" ref="B178">SUMPRODUCT(--(D178:J178&lt;&gt;""), LEN(TRIM(SUBSTITUTE(D178:J178, CHAR(160), "")))) &amp; " Car."</f>
        <v>0 Car.</v>
      </c>
      <c r="C178" s="1376" t="str">
        <f>IF(ISBLANK(D178),"",LARGE(C13:C177,1)+1)</f>
        <v/>
      </c>
      <c r="D178" s="1833"/>
      <c r="E178" s="1810"/>
      <c r="F178" s="1810"/>
      <c r="G178" s="1810"/>
      <c r="H178" s="1810"/>
      <c r="I178" s="1810"/>
      <c r="J178" s="1810"/>
      <c r="K178" s="1810"/>
      <c r="L178" s="1811"/>
      <c r="M178" s="9"/>
      <c r="N178" s="25" t="str">
        <f t="shared" si="88"/>
        <v>A</v>
      </c>
      <c r="O178" s="1616"/>
      <c r="P178" s="9"/>
      <c r="Q178" s="25" t="s">
        <v>10</v>
      </c>
      <c r="R178" s="31" t="str">
        <f>R166</f>
        <v>J JUS DE FRAISES DES BOIS | pâtisserie--ENTREMET| Auteur &gt; recette Béghin Say de Jean-Jacques Borne MOF 1994</v>
      </c>
      <c r="S178" s="32">
        <f>S166</f>
        <v>18</v>
      </c>
      <c r="T178" s="31" t="str">
        <f>T166</f>
        <v>desserts</v>
      </c>
      <c r="U178" s="33" t="str">
        <f>U166</f>
        <v>Recette mère ► MILLE-FEUILLE  aux fraises des bois</v>
      </c>
      <c r="V178" s="685">
        <v>1</v>
      </c>
      <c r="W178" s="686">
        <v>1E-3</v>
      </c>
      <c r="X178" s="687">
        <v>0</v>
      </c>
      <c r="Y178" s="686">
        <v>0.25</v>
      </c>
      <c r="Z178" s="686">
        <v>0.33332999999999996</v>
      </c>
      <c r="AA178" s="686">
        <v>0.5</v>
      </c>
      <c r="AB178" s="687">
        <v>0</v>
      </c>
      <c r="AC178" s="688">
        <v>1</v>
      </c>
      <c r="AD178" s="688">
        <v>0.1</v>
      </c>
      <c r="AE178" s="688">
        <v>0.01</v>
      </c>
      <c r="AF178" s="688">
        <v>1E-3</v>
      </c>
      <c r="AG178" s="688">
        <v>0.5</v>
      </c>
      <c r="AH178" s="688">
        <v>0.25</v>
      </c>
      <c r="AI178" s="688">
        <v>0.33300000000000002</v>
      </c>
      <c r="AJ178" s="1756">
        <v>0.2</v>
      </c>
      <c r="AK178" s="6120" t="str">
        <f t="shared" si="102"/>
        <v>►</v>
      </c>
      <c r="AL178" s="781" t="str">
        <f t="shared" si="90"/>
        <v>►</v>
      </c>
      <c r="AM178" s="5498" t="str">
        <f t="shared" si="93"/>
        <v/>
      </c>
      <c r="AN178" s="783" t="str">
        <f t="shared" si="94"/>
        <v/>
      </c>
      <c r="AO178" s="782" t="str">
        <f t="shared" si="95"/>
        <v/>
      </c>
      <c r="AP178" s="783" t="str">
        <f t="shared" si="96"/>
        <v/>
      </c>
      <c r="AQ178" s="2083" t="b">
        <f>AND(Q178="A",COUNTIF(BP16:BR63,TRIM(Z178))&gt;0)</f>
        <v>0</v>
      </c>
      <c r="AR178" s="797" t="str">
        <f>IF(AL178&lt;&gt;"A","",IFERROR(IFERROR(_xlfn.XLOOKUP(TRIM(SUBSTITUTE(Z178,CHAR(160)," ")),BP16:BP63,BS16:BS63),IFERROR(_xlfn.XLOOKUP(TRIM(SUBSTITUTE(Z178,CHAR(160)," ")),BQ16:BQ63,BS16:BS63),_xlfn.XLOOKUP(TRIM(SUBSTITUTE(Z178,CHAR(160)," ")),BR16:BR63,BS16:BS63)))*Y178*IF(ISBLANK(V178),1,V178),0))</f>
        <v/>
      </c>
      <c r="AS178" s="784" t="str">
        <f t="shared" si="84"/>
        <v/>
      </c>
      <c r="AT178" s="1315" t="str">
        <f t="shared" si="97"/>
        <v/>
      </c>
      <c r="AU178" s="785">
        <f t="shared" si="98"/>
        <v>0</v>
      </c>
      <c r="AV178" s="785">
        <f t="shared" si="99"/>
        <v>0</v>
      </c>
      <c r="AW178" s="798">
        <f>IF(AK178="A",AY10,0)</f>
        <v>0</v>
      </c>
      <c r="AX178" s="5496" t="str">
        <f>IF(IFERROR(SEARCH("Adresse PC",TRIM(W178)),0)&gt;0,"▼ receta siguiente",IF(AK178="A",IF(AZ10&lt;&gt;"",AZ10&amp;" - ou.or.o ❾ + or - &gt;",""),""))</f>
        <v/>
      </c>
      <c r="AY178" s="810"/>
      <c r="AZ178" s="810"/>
      <c r="BA178" s="799" t="str">
        <f t="shared" si="89"/>
        <v/>
      </c>
      <c r="BB178" s="800" t="str">
        <f>IF(AK178="A",IF(AQ178,IF(AND(AW178&lt;&gt;"",N(AW178)&gt;0),IFERROR(IFERROR(_xlfn.XLOOKUP(AP178,BP10:BP57,BT10:BT57),IFERROR(_xlfn.XLOOKUP(AP178,BQ10:BQ57,BT10:BT57),_xlfn.XLOOKUP(AP178,BR10:BR57,BT10:BT57,""))),""),""),""),"")</f>
        <v/>
      </c>
      <c r="BC178" s="813" cm="1">
        <f t="array" ref="BC178">IF(NOT(AQ178),0,IF(OR(BA178="",N(BA178)&lt;=0.000000001),"",IF(OR(AU178="",N(AU178)&lt;=0.000000001),0,IF(ISNUMBER(BA178),IFERROR(_xlfn.LET(_xlpm.ai_test,TRIM(AP178),_xlpm.r,IFERROR(_xlfn.XLOOKUP(_xlpm.ai_test,BP16:BP63,ROW(BP16:BP63),0,1),IFERROR(_xlfn.XLOOKUP(_xlpm.ai_test,BQ16:BQ63,ROW(BQ16:BQ63),0,1),_xlfn.XLOOKUP(_xlpm.ai_test,BR16:BR63,ROW(BR16:BR63),0,1))),_xlpm.p,_xlpm.r-MIN(ROW(BP16:BP63))+1,_xlpm.f,INDEX(BS16:BS63,_xlpm.p),_xlpm.u,INDEX(BT16:BT63,_xlpm.p),_xlpm.s,INDEX(BV16:BV63,_xlpm.p),_xlpm.q,N(BA178)/_xlpm.f,IF(_xlpm.q&gt;=_xlpm.s,ROUND(_xlpm.q,1)&amp;" "&amp;_xlpm.ai_test&amp;" = "&amp;ROUND(_xlpm.q*_xlpm.f,1)&amp;" "&amp;_xlpm.u,ROUND(_xlpm.q,1)&amp;" "&amp;_xlpm.ai_test)),""),""))))</f>
        <v>0</v>
      </c>
      <c r="BD178" s="801"/>
      <c r="BE178" s="799" t="str">
        <f t="shared" si="100"/>
        <v/>
      </c>
      <c r="BF178" s="800" t="str">
        <f t="shared" si="103"/>
        <v/>
      </c>
      <c r="BG178" s="802">
        <f t="shared" si="104"/>
        <v>0</v>
      </c>
      <c r="BH178" s="803" t="str">
        <f t="shared" si="105"/>
        <v/>
      </c>
      <c r="BI178" s="792"/>
      <c r="BJ178" s="804">
        <f t="shared" si="106"/>
        <v>0</v>
      </c>
      <c r="BK178" s="794" t="str">
        <f t="shared" si="101"/>
        <v/>
      </c>
      <c r="BL178" s="227" t="s">
        <v>21</v>
      </c>
      <c r="BM178" s="773">
        <f t="shared" si="91"/>
        <v>0</v>
      </c>
      <c r="BN178" s="774">
        <f t="shared" si="92"/>
        <v>0</v>
      </c>
      <c r="BO178"/>
      <c r="BX178"/>
      <c r="BY178"/>
      <c r="BZ178"/>
      <c r="CA178"/>
      <c r="CB178"/>
      <c r="CC178"/>
      <c r="CD178" s="781" t="str">
        <f t="shared" si="85"/>
        <v>►</v>
      </c>
      <c r="CE178"/>
      <c r="CF178"/>
      <c r="CG178"/>
      <c r="CH178"/>
      <c r="CI178"/>
      <c r="CJ178" s="633"/>
      <c r="CK178"/>
      <c r="CL178"/>
      <c r="CM178"/>
      <c r="CN178"/>
      <c r="CO178"/>
      <c r="CP178"/>
      <c r="CQ178"/>
      <c r="CS178"/>
      <c r="CT178"/>
      <c r="CU178"/>
      <c r="CV178"/>
      <c r="CW178"/>
      <c r="CX178"/>
      <c r="CY178"/>
      <c r="DA178"/>
      <c r="DB178"/>
      <c r="DC178"/>
      <c r="DD178"/>
      <c r="DE178"/>
      <c r="DF178"/>
      <c r="DG178"/>
      <c r="DI178" s="3">
        <v>1</v>
      </c>
    </row>
    <row r="179" spans="1:113" s="627" customFormat="1" ht="21" customHeight="1">
      <c r="A179" s="701" t="s">
        <v>21</v>
      </c>
      <c r="B179" s="2265" t="str" cm="1">
        <f t="array" ref="B179">SUMPRODUCT(--(D179:J179&lt;&gt;""), LEN(TRIM(SUBSTITUTE(D179:J179, CHAR(160), "")))) &amp; " Car."</f>
        <v>0 Car.</v>
      </c>
      <c r="C179" s="1376" t="str">
        <f>IF(ISBLANK(D179),"",LARGE(C13:C178,1)+1)</f>
        <v/>
      </c>
      <c r="D179" s="1833"/>
      <c r="E179" s="1810"/>
      <c r="F179" s="1810"/>
      <c r="G179" s="1810"/>
      <c r="H179" s="1810"/>
      <c r="I179" s="1810"/>
      <c r="J179" s="1810"/>
      <c r="K179" s="1810"/>
      <c r="L179" s="1811"/>
      <c r="M179" s="9"/>
      <c r="N179" s="25" t="str">
        <f t="shared" si="88"/>
        <v>A</v>
      </c>
      <c r="O179" s="1616"/>
      <c r="P179" s="9"/>
      <c r="Q179" s="25" t="s">
        <v>10</v>
      </c>
      <c r="R179" s="31" t="str">
        <f>R166</f>
        <v>J JUS DE FRAISES DES BOIS | pâtisserie--ENTREMET| Auteur &gt; recette Béghin Say de Jean-Jacques Borne MOF 1994</v>
      </c>
      <c r="S179" s="32">
        <f>S166</f>
        <v>18</v>
      </c>
      <c r="T179" s="31" t="str">
        <f>T166</f>
        <v>desserts</v>
      </c>
      <c r="U179" s="33" t="str">
        <f>U166</f>
        <v>Recette mère ► MILLE-FEUILLE  aux fraises des bois</v>
      </c>
      <c r="V179" s="121" t="s">
        <v>155</v>
      </c>
      <c r="W179" s="121" t="s">
        <v>156</v>
      </c>
      <c r="X179" s="143" t="s">
        <v>141</v>
      </c>
      <c r="Y179" s="121" t="s">
        <v>110</v>
      </c>
      <c r="Z179" s="121" t="s">
        <v>157</v>
      </c>
      <c r="AA179" s="121" t="s">
        <v>158</v>
      </c>
      <c r="AB179" s="143" t="s">
        <v>141</v>
      </c>
      <c r="AC179" s="125" t="s">
        <v>115</v>
      </c>
      <c r="AD179" s="155" t="s">
        <v>159</v>
      </c>
      <c r="AE179" s="155" t="s">
        <v>160</v>
      </c>
      <c r="AF179" s="109" t="s">
        <v>161</v>
      </c>
      <c r="AG179" s="109" t="s">
        <v>162</v>
      </c>
      <c r="AH179" s="109" t="s">
        <v>105</v>
      </c>
      <c r="AI179" s="1758" t="s">
        <v>1689</v>
      </c>
      <c r="AJ179" s="697" t="s">
        <v>163</v>
      </c>
      <c r="AK179" s="6120" t="str">
        <f t="shared" si="102"/>
        <v>►</v>
      </c>
      <c r="AL179" s="781" t="str">
        <f t="shared" si="90"/>
        <v>►</v>
      </c>
      <c r="AM179" s="5499" t="str">
        <f t="shared" si="93"/>
        <v/>
      </c>
      <c r="AN179" s="783" t="str">
        <f t="shared" si="94"/>
        <v/>
      </c>
      <c r="AO179" s="782" t="str">
        <f t="shared" si="95"/>
        <v/>
      </c>
      <c r="AP179" s="783" t="str">
        <f t="shared" si="96"/>
        <v/>
      </c>
      <c r="AQ179" s="2083" t="b">
        <f>AND(Q179="A",COUNTIF(BP16:BR63,TRIM(Z179))&gt;0)</f>
        <v>1</v>
      </c>
      <c r="AR179" s="797" t="str">
        <f>IF(AL179&lt;&gt;"A","",IFERROR(IFERROR(_xlfn.XLOOKUP(TRIM(SUBSTITUTE(Z179,CHAR(160)," ")),BP16:BP63,BS16:BS63),IFERROR(_xlfn.XLOOKUP(TRIM(SUBSTITUTE(Z179,CHAR(160)," ")),BQ16:BQ63,BS16:BS63),_xlfn.XLOOKUP(TRIM(SUBSTITUTE(Z179,CHAR(160)," ")),BR16:BR63,BS16:BS63)))*Y179*IF(ISBLANK(V179),1,V179),0))</f>
        <v/>
      </c>
      <c r="AS179" s="784" t="str">
        <f t="shared" si="84"/>
        <v/>
      </c>
      <c r="AT179" s="1315" t="str">
        <f t="shared" si="97"/>
        <v/>
      </c>
      <c r="AU179" s="785">
        <f t="shared" si="98"/>
        <v>0</v>
      </c>
      <c r="AV179" s="785">
        <f t="shared" si="99"/>
        <v>0</v>
      </c>
      <c r="AW179" s="786">
        <f>IF(AK179="A",AY10,0)</f>
        <v>0</v>
      </c>
      <c r="AX179" s="5495" t="str">
        <f>IF(IFERROR(SEARCH("Adresse PC",TRIM(W179)),0)&gt;0,"▼ receta siguiente",IF(AK179="A",IF(AZ10&lt;&gt;"",AZ10&amp;" - ou.or.o ❾ + or - &gt;",""),""))</f>
        <v/>
      </c>
      <c r="AY179" s="810"/>
      <c r="AZ179" s="810"/>
      <c r="BA179" s="788" t="str">
        <f t="shared" si="89"/>
        <v/>
      </c>
      <c r="BB179" s="789" t="str">
        <f>IF(AK179="A",IF(AQ179,IF(AND(AW179&lt;&gt;"",N(AW179)&gt;0),IFERROR(IFERROR(_xlfn.XLOOKUP(AP179,BP10:BP57,BT10:BT57),IFERROR(_xlfn.XLOOKUP(AP179,BQ10:BQ57,BT10:BT57),_xlfn.XLOOKUP(AP179,BR10:BR57,BT10:BT57,""))),""),""),""),"")</f>
        <v/>
      </c>
      <c r="BC179" s="811" t="str" cm="1">
        <f t="array" ref="BC179">IF(NOT(AQ179),0,IF(OR(BA179="",N(BA179)&lt;=0.000000001),"",IF(OR(AU179="",N(AU179)&lt;=0.000000001),0,IF(ISNUMBER(BA179),IFERROR(_xlfn.LET(_xlpm.ai_test,TRIM(AP179),_xlpm.r,IFERROR(_xlfn.XLOOKUP(_xlpm.ai_test,BP16:BP63,ROW(BP16:BP63),0,1),IFERROR(_xlfn.XLOOKUP(_xlpm.ai_test,BQ16:BQ63,ROW(BQ16:BQ63),0,1),_xlfn.XLOOKUP(_xlpm.ai_test,BR16:BR63,ROW(BR16:BR63),0,1))),_xlpm.p,_xlpm.r-MIN(ROW(BP16:BP63))+1,_xlpm.f,INDEX(BS16:BS63,_xlpm.p),_xlpm.u,INDEX(BT16:BT63,_xlpm.p),_xlpm.s,INDEX(BV16:BV63,_xlpm.p),_xlpm.q,N(BA179)/_xlpm.f,IF(_xlpm.q&gt;=_xlpm.s,ROUND(_xlpm.q,1)&amp;" "&amp;_xlpm.ai_test&amp;" = "&amp;ROUND(_xlpm.q*_xlpm.f,1)&amp;" "&amp;_xlpm.u,ROUND(_xlpm.q,1)&amp;" "&amp;_xlpm.ai_test)),""),""))))</f>
        <v/>
      </c>
      <c r="BD179" s="801"/>
      <c r="BE179" s="788" t="str">
        <f t="shared" si="100"/>
        <v/>
      </c>
      <c r="BF179" s="789" t="str">
        <f t="shared" si="103"/>
        <v/>
      </c>
      <c r="BG179" s="790">
        <f t="shared" si="104"/>
        <v>0</v>
      </c>
      <c r="BH179" s="791" t="str">
        <f t="shared" si="105"/>
        <v/>
      </c>
      <c r="BI179" s="792"/>
      <c r="BJ179" s="793">
        <f t="shared" si="106"/>
        <v>0</v>
      </c>
      <c r="BK179" s="794" t="str">
        <f t="shared" si="101"/>
        <v/>
      </c>
      <c r="BL179" s="227" t="s">
        <v>21</v>
      </c>
      <c r="BM179" s="773">
        <f t="shared" si="91"/>
        <v>0</v>
      </c>
      <c r="BN179" s="774">
        <f t="shared" si="92"/>
        <v>0</v>
      </c>
      <c r="BO179"/>
      <c r="BX179"/>
      <c r="BY179"/>
      <c r="BZ179"/>
      <c r="CA179"/>
      <c r="CB179"/>
      <c r="CC179"/>
      <c r="CD179" s="781" t="str">
        <f t="shared" si="85"/>
        <v>►</v>
      </c>
      <c r="CE179"/>
      <c r="CF179"/>
      <c r="CG179"/>
      <c r="CH179"/>
      <c r="CI179"/>
      <c r="CJ179" s="633"/>
      <c r="CK179"/>
      <c r="CL179"/>
      <c r="CM179"/>
      <c r="CN179"/>
      <c r="CO179"/>
      <c r="CP179"/>
      <c r="CQ179"/>
      <c r="CS179"/>
      <c r="CT179"/>
      <c r="CU179"/>
      <c r="CV179"/>
      <c r="CW179"/>
      <c r="CX179"/>
      <c r="CY179"/>
      <c r="DA179"/>
      <c r="DB179"/>
      <c r="DC179"/>
      <c r="DD179"/>
      <c r="DE179"/>
      <c r="DF179"/>
      <c r="DG179"/>
      <c r="DI179" s="3">
        <v>1</v>
      </c>
    </row>
    <row r="180" spans="1:113" s="627" customFormat="1" ht="21" customHeight="1">
      <c r="A180" s="701" t="s">
        <v>21</v>
      </c>
      <c r="B180" s="2265" t="str" cm="1">
        <f t="array" ref="B180">SUMPRODUCT(--(D180:J180&lt;&gt;""), LEN(TRIM(SUBSTITUTE(D180:J180, CHAR(160), "")))) &amp; " Car."</f>
        <v>0 Car.</v>
      </c>
      <c r="C180" s="1376" t="str">
        <f>IF(ISBLANK(D180),"",LARGE(C13:C179,1)+1)</f>
        <v/>
      </c>
      <c r="D180" s="1833"/>
      <c r="E180" s="1810"/>
      <c r="F180" s="1810"/>
      <c r="G180" s="1810"/>
      <c r="H180" s="1810"/>
      <c r="I180" s="1810"/>
      <c r="J180" s="1810"/>
      <c r="K180" s="1810"/>
      <c r="L180" s="1811"/>
      <c r="M180" s="9"/>
      <c r="N180" s="25" t="str">
        <f t="shared" si="88"/>
        <v>A</v>
      </c>
      <c r="O180" s="1616"/>
      <c r="P180" s="9"/>
      <c r="Q180" s="25" t="s">
        <v>10</v>
      </c>
      <c r="R180" s="31" t="str">
        <f>R166</f>
        <v>J JUS DE FRAISES DES BOIS | pâtisserie--ENTREMET| Auteur &gt; recette Béghin Say de Jean-Jacques Borne MOF 1994</v>
      </c>
      <c r="S180" s="32">
        <f>S166</f>
        <v>18</v>
      </c>
      <c r="T180" s="31" t="str">
        <f>T166</f>
        <v>desserts</v>
      </c>
      <c r="U180" s="33" t="str">
        <f>U166</f>
        <v>Recette mère ► MILLE-FEUILLE  aux fraises des bois</v>
      </c>
      <c r="V180" s="685">
        <v>2.835E-2</v>
      </c>
      <c r="W180" s="686">
        <v>0.13</v>
      </c>
      <c r="X180" s="687">
        <v>0</v>
      </c>
      <c r="Y180" s="686">
        <v>0.2</v>
      </c>
      <c r="Z180" s="686">
        <v>0.23</v>
      </c>
      <c r="AA180" s="686">
        <v>0.22500000000000001</v>
      </c>
      <c r="AB180" s="687">
        <v>0</v>
      </c>
      <c r="AC180" s="688">
        <v>0.35</v>
      </c>
      <c r="AD180" s="688">
        <v>5.0000000000000001E-3</v>
      </c>
      <c r="AE180" s="688">
        <v>5.0000000000000001E-3</v>
      </c>
      <c r="AF180" s="688">
        <v>1.4999999999999999E-2</v>
      </c>
      <c r="AG180" s="688">
        <v>0.1</v>
      </c>
      <c r="AH180" s="688">
        <v>0.22500000000000001</v>
      </c>
      <c r="AI180" s="688">
        <v>4.0000000000000001E-3</v>
      </c>
      <c r="AJ180" s="1757">
        <v>1E-3</v>
      </c>
      <c r="AK180" s="6120" t="str">
        <f t="shared" si="102"/>
        <v>►</v>
      </c>
      <c r="AL180" s="781" t="str">
        <f t="shared" si="90"/>
        <v>►</v>
      </c>
      <c r="AM180" s="5498" t="str">
        <f t="shared" si="93"/>
        <v/>
      </c>
      <c r="AN180" s="783" t="str">
        <f t="shared" si="94"/>
        <v/>
      </c>
      <c r="AO180" s="782" t="str">
        <f t="shared" si="95"/>
        <v/>
      </c>
      <c r="AP180" s="783" t="str">
        <f t="shared" si="96"/>
        <v/>
      </c>
      <c r="AQ180" s="2083" t="b">
        <f>AND(Q180="A",COUNTIF(BP16:BR63,TRIM(Z180))&gt;0)</f>
        <v>0</v>
      </c>
      <c r="AR180" s="797" t="str">
        <f>IF(AL180&lt;&gt;"A","",IFERROR(IFERROR(_xlfn.XLOOKUP(TRIM(SUBSTITUTE(Z180,CHAR(160)," ")),BP16:BP63,BS16:BS63),IFERROR(_xlfn.XLOOKUP(TRIM(SUBSTITUTE(Z180,CHAR(160)," ")),BQ16:BQ63,BS16:BS63),_xlfn.XLOOKUP(TRIM(SUBSTITUTE(Z180,CHAR(160)," ")),BR16:BR63,BS16:BS63)))*Y180*IF(ISBLANK(V180),1,V180),0))</f>
        <v/>
      </c>
      <c r="AS180" s="784" t="str">
        <f t="shared" si="84"/>
        <v/>
      </c>
      <c r="AT180" s="1315" t="str">
        <f t="shared" si="97"/>
        <v/>
      </c>
      <c r="AU180" s="785">
        <f t="shared" si="98"/>
        <v>0</v>
      </c>
      <c r="AV180" s="785">
        <f t="shared" si="99"/>
        <v>0</v>
      </c>
      <c r="AW180" s="798">
        <f>IF(AK180="A",AY10,0)</f>
        <v>0</v>
      </c>
      <c r="AX180" s="5496" t="str">
        <f>IF(IFERROR(SEARCH("Adresse PC",TRIM(W180)),0)&gt;0,"▼ receta siguiente",IF(AK180="A",IF(AZ10&lt;&gt;"",AZ10&amp;" - ou.or.o ❾ + or - &gt;",""),""))</f>
        <v/>
      </c>
      <c r="AY180" s="810"/>
      <c r="AZ180" s="810"/>
      <c r="BA180" s="799" t="str">
        <f t="shared" si="89"/>
        <v/>
      </c>
      <c r="BB180" s="800" t="str">
        <f>IF(AK180="A",IF(AQ180,IF(AND(AW180&lt;&gt;"",N(AW180)&gt;0),IFERROR(IFERROR(_xlfn.XLOOKUP(AP180,BP10:BP57,BT10:BT57),IFERROR(_xlfn.XLOOKUP(AP180,BQ10:BQ57,BT10:BT57),_xlfn.XLOOKUP(AP180,BR10:BR57,BT10:BT57,""))),""),""),""),"")</f>
        <v/>
      </c>
      <c r="BC180" s="813" cm="1">
        <f t="array" ref="BC180">IF(NOT(AQ180),0,IF(OR(BA180="",N(BA180)&lt;=0.000000001),"",IF(OR(AU180="",N(AU180)&lt;=0.000000001),0,IF(ISNUMBER(BA180),IFERROR(_xlfn.LET(_xlpm.ai_test,TRIM(AP180),_xlpm.r,IFERROR(_xlfn.XLOOKUP(_xlpm.ai_test,BP16:BP63,ROW(BP16:BP63),0,1),IFERROR(_xlfn.XLOOKUP(_xlpm.ai_test,BQ16:BQ63,ROW(BQ16:BQ63),0,1),_xlfn.XLOOKUP(_xlpm.ai_test,BR16:BR63,ROW(BR16:BR63),0,1))),_xlpm.p,_xlpm.r-MIN(ROW(BP16:BP63))+1,_xlpm.f,INDEX(BS16:BS63,_xlpm.p),_xlpm.u,INDEX(BT16:BT63,_xlpm.p),_xlpm.s,INDEX(BV16:BV63,_xlpm.p),_xlpm.q,N(BA180)/_xlpm.f,IF(_xlpm.q&gt;=_xlpm.s,ROUND(_xlpm.q,1)&amp;" "&amp;_xlpm.ai_test&amp;" = "&amp;ROUND(_xlpm.q*_xlpm.f,1)&amp;" "&amp;_xlpm.u,ROUND(_xlpm.q,1)&amp;" "&amp;_xlpm.ai_test)),""),""))))</f>
        <v>0</v>
      </c>
      <c r="BD180" s="801"/>
      <c r="BE180" s="799" t="str">
        <f t="shared" si="100"/>
        <v/>
      </c>
      <c r="BF180" s="800" t="str">
        <f t="shared" si="103"/>
        <v/>
      </c>
      <c r="BG180" s="802">
        <f t="shared" si="104"/>
        <v>0</v>
      </c>
      <c r="BH180" s="803" t="str">
        <f t="shared" si="105"/>
        <v/>
      </c>
      <c r="BI180" s="792"/>
      <c r="BJ180" s="804">
        <f t="shared" si="106"/>
        <v>0</v>
      </c>
      <c r="BK180" s="794" t="str">
        <f t="shared" si="101"/>
        <v/>
      </c>
      <c r="BL180" s="227" t="s">
        <v>21</v>
      </c>
      <c r="BM180" s="773">
        <f t="shared" si="91"/>
        <v>0</v>
      </c>
      <c r="BN180" s="774">
        <f t="shared" si="92"/>
        <v>0</v>
      </c>
      <c r="BO180"/>
      <c r="BX180"/>
      <c r="BY180"/>
      <c r="BZ180"/>
      <c r="CA180"/>
      <c r="CB180"/>
      <c r="CC180"/>
      <c r="CD180" s="781" t="str">
        <f t="shared" si="85"/>
        <v>►</v>
      </c>
      <c r="CE180"/>
      <c r="CF180"/>
      <c r="CG180"/>
      <c r="CH180"/>
      <c r="CI180"/>
      <c r="CJ180" s="633"/>
      <c r="CK180"/>
      <c r="CL180"/>
      <c r="CM180"/>
      <c r="CN180"/>
      <c r="CO180"/>
      <c r="CP180"/>
      <c r="CQ180"/>
      <c r="CS180"/>
      <c r="CT180"/>
      <c r="CU180"/>
      <c r="CV180"/>
      <c r="CW180"/>
      <c r="CX180"/>
      <c r="CY180"/>
      <c r="DA180"/>
      <c r="DB180"/>
      <c r="DC180"/>
      <c r="DD180"/>
      <c r="DE180"/>
      <c r="DF180"/>
      <c r="DG180"/>
      <c r="DI180" s="3">
        <v>1</v>
      </c>
    </row>
    <row r="181" spans="1:113" s="627" customFormat="1" ht="21" customHeight="1">
      <c r="A181" s="701" t="s">
        <v>21</v>
      </c>
      <c r="B181" s="2265" t="str" cm="1">
        <f t="array" ref="B181">SUMPRODUCT(--(D181:J181&lt;&gt;""), LEN(TRIM(SUBSTITUTE(D181:J181, CHAR(160), "")))) &amp; " Car."</f>
        <v>0 Car.</v>
      </c>
      <c r="C181" s="1376" t="str">
        <f>IF(ISBLANK(D181),"",LARGE(C13:C180,1)+1)</f>
        <v/>
      </c>
      <c r="D181" s="1833"/>
      <c r="E181" s="1810"/>
      <c r="F181" s="1810"/>
      <c r="G181" s="1810"/>
      <c r="H181" s="1810"/>
      <c r="I181" s="1810"/>
      <c r="J181" s="1810"/>
      <c r="K181" s="1810"/>
      <c r="L181" s="1811"/>
      <c r="M181" s="9"/>
      <c r="N181" s="25" t="str">
        <f t="shared" si="88"/>
        <v>►</v>
      </c>
      <c r="O181" s="1616"/>
      <c r="P181" s="9"/>
      <c r="Q181" s="25" t="s">
        <v>15</v>
      </c>
      <c r="R181" s="5563" t="str">
        <f t="shared" ref="R181:AJ181" si="110">SUBSTITUTE(ADDRESS(1,COLUMN(),4),"1","")</f>
        <v>R</v>
      </c>
      <c r="S181" s="5563" t="str">
        <f t="shared" si="110"/>
        <v>S</v>
      </c>
      <c r="T181" s="5563" t="str">
        <f t="shared" si="110"/>
        <v>T</v>
      </c>
      <c r="U181" s="5563" t="str">
        <f t="shared" si="110"/>
        <v>U</v>
      </c>
      <c r="V181" s="5563" t="str">
        <f t="shared" si="110"/>
        <v>V</v>
      </c>
      <c r="W181" s="5563" t="str">
        <f t="shared" si="110"/>
        <v>W</v>
      </c>
      <c r="X181" s="5563" t="str">
        <f t="shared" si="110"/>
        <v>X</v>
      </c>
      <c r="Y181" s="5563" t="str">
        <f t="shared" si="110"/>
        <v>Y</v>
      </c>
      <c r="Z181" s="5563" t="str">
        <f t="shared" si="110"/>
        <v>Z</v>
      </c>
      <c r="AA181" s="5563" t="str">
        <f t="shared" si="110"/>
        <v>AA</v>
      </c>
      <c r="AB181" s="5603" t="str">
        <f t="shared" si="110"/>
        <v>AB</v>
      </c>
      <c r="AC181" s="5563" t="str">
        <f t="shared" si="110"/>
        <v>AC</v>
      </c>
      <c r="AD181" s="5563" t="str">
        <f t="shared" si="110"/>
        <v>AD</v>
      </c>
      <c r="AE181" s="5563" t="str">
        <f t="shared" si="110"/>
        <v>AE</v>
      </c>
      <c r="AF181" s="5563" t="str">
        <f t="shared" si="110"/>
        <v>AF</v>
      </c>
      <c r="AG181" s="6003" t="str">
        <f t="shared" si="110"/>
        <v>AG</v>
      </c>
      <c r="AH181" s="5563" t="str">
        <f t="shared" si="110"/>
        <v>AH</v>
      </c>
      <c r="AI181" s="5563" t="str">
        <f t="shared" si="110"/>
        <v>AI</v>
      </c>
      <c r="AJ181" s="6002" t="str">
        <f t="shared" si="110"/>
        <v>AJ</v>
      </c>
      <c r="AK181" s="6120" t="str">
        <f t="shared" si="102"/>
        <v>►</v>
      </c>
      <c r="AL181" s="781" t="str">
        <f t="shared" si="90"/>
        <v>►</v>
      </c>
      <c r="AM181" s="5499" t="str">
        <f t="shared" si="93"/>
        <v/>
      </c>
      <c r="AN181" s="783" t="str">
        <f t="shared" si="94"/>
        <v/>
      </c>
      <c r="AO181" s="782" t="str">
        <f t="shared" si="95"/>
        <v/>
      </c>
      <c r="AP181" s="783" t="str">
        <f t="shared" si="96"/>
        <v/>
      </c>
      <c r="AQ181" s="2083" t="b">
        <f>AND(Q181="A",COUNTIF(BP16:BR63,TRIM(Z181))&gt;0)</f>
        <v>0</v>
      </c>
      <c r="AR181" s="797" t="str">
        <f>IF(AL181&lt;&gt;"A","",IFERROR(IFERROR(_xlfn.XLOOKUP(TRIM(SUBSTITUTE(Z181,CHAR(160)," ")),BP16:BP63,BS16:BS63),IFERROR(_xlfn.XLOOKUP(TRIM(SUBSTITUTE(Z181,CHAR(160)," ")),BQ16:BQ63,BS16:BS63),_xlfn.XLOOKUP(TRIM(SUBSTITUTE(Z181,CHAR(160)," ")),BR16:BR63,BS16:BS63)))*Y181*IF(ISBLANK(V181),1,V181),0))</f>
        <v/>
      </c>
      <c r="AS181" s="784" t="str">
        <f t="shared" si="84"/>
        <v/>
      </c>
      <c r="AT181" s="1315" t="str">
        <f t="shared" si="97"/>
        <v/>
      </c>
      <c r="AU181" s="785">
        <f t="shared" si="98"/>
        <v>0</v>
      </c>
      <c r="AV181" s="785">
        <f t="shared" si="99"/>
        <v>0</v>
      </c>
      <c r="AW181" s="786">
        <f>IF(AK181="A",AY10,0)</f>
        <v>0</v>
      </c>
      <c r="AX181" s="5495" t="str">
        <f>IF(IFERROR(SEARCH("Adresse PC",TRIM(W181)),0)&gt;0,"▼ receta siguiente",IF(AK181="A",IF(AZ10&lt;&gt;"",AZ10&amp;" - ou.or.o ❾ + or - &gt;",""),""))</f>
        <v/>
      </c>
      <c r="AY181" s="810"/>
      <c r="AZ181" s="810"/>
      <c r="BA181" s="788" t="str">
        <f t="shared" si="89"/>
        <v/>
      </c>
      <c r="BB181" s="789" t="str">
        <f>IF(AK181="A",IF(AQ181,IF(AND(AW181&lt;&gt;"",N(AW181)&gt;0),IFERROR(IFERROR(_xlfn.XLOOKUP(AP181,BP10:BP57,BT10:BT57),IFERROR(_xlfn.XLOOKUP(AP181,BQ10:BQ57,BT10:BT57),_xlfn.XLOOKUP(AP181,BR10:BR57,BT10:BT57,""))),""),""),""),"")</f>
        <v/>
      </c>
      <c r="BC181" s="811" cm="1">
        <f t="array" ref="BC181">IF(NOT(AQ181),0,IF(OR(BA181="",N(BA181)&lt;=0.000000001),"",IF(OR(AU181="",N(AU181)&lt;=0.000000001),0,IF(ISNUMBER(BA181),IFERROR(_xlfn.LET(_xlpm.ai_test,TRIM(AP181),_xlpm.r,IFERROR(_xlfn.XLOOKUP(_xlpm.ai_test,BP16:BP63,ROW(BP16:BP63),0,1),IFERROR(_xlfn.XLOOKUP(_xlpm.ai_test,BQ16:BQ63,ROW(BQ16:BQ63),0,1),_xlfn.XLOOKUP(_xlpm.ai_test,BR16:BR63,ROW(BR16:BR63),0,1))),_xlpm.p,_xlpm.r-MIN(ROW(BP16:BP63))+1,_xlpm.f,INDEX(BS16:BS63,_xlpm.p),_xlpm.u,INDEX(BT16:BT63,_xlpm.p),_xlpm.s,INDEX(BV16:BV63,_xlpm.p),_xlpm.q,N(BA181)/_xlpm.f,IF(_xlpm.q&gt;=_xlpm.s,ROUND(_xlpm.q,1)&amp;" "&amp;_xlpm.ai_test&amp;" = "&amp;ROUND(_xlpm.q*_xlpm.f,1)&amp;" "&amp;_xlpm.u,ROUND(_xlpm.q,1)&amp;" "&amp;_xlpm.ai_test)),""),""))))</f>
        <v>0</v>
      </c>
      <c r="BD181" s="801"/>
      <c r="BE181" s="788" t="str">
        <f t="shared" si="100"/>
        <v/>
      </c>
      <c r="BF181" s="789" t="str">
        <f t="shared" si="103"/>
        <v/>
      </c>
      <c r="BG181" s="790">
        <f t="shared" si="104"/>
        <v>0</v>
      </c>
      <c r="BH181" s="791" t="str">
        <f t="shared" si="105"/>
        <v/>
      </c>
      <c r="BI181" s="792"/>
      <c r="BJ181" s="793">
        <f t="shared" si="106"/>
        <v>0</v>
      </c>
      <c r="BK181" s="794" t="str">
        <f t="shared" si="101"/>
        <v/>
      </c>
      <c r="BL181" s="227" t="s">
        <v>21</v>
      </c>
      <c r="BM181" s="773">
        <f t="shared" si="91"/>
        <v>0</v>
      </c>
      <c r="BN181" s="774">
        <f t="shared" si="92"/>
        <v>0</v>
      </c>
      <c r="BO181"/>
      <c r="BX181"/>
      <c r="BY181"/>
      <c r="BZ181"/>
      <c r="CA181"/>
      <c r="CB181"/>
      <c r="CC181"/>
      <c r="CD181" s="781" t="str">
        <f t="shared" si="85"/>
        <v>►</v>
      </c>
      <c r="CE181"/>
      <c r="CF181"/>
      <c r="CG181"/>
      <c r="CH181"/>
      <c r="CI181"/>
      <c r="CJ181" s="633"/>
      <c r="CK181"/>
      <c r="CL181"/>
      <c r="CM181"/>
      <c r="CN181"/>
      <c r="CO181"/>
      <c r="CP181"/>
      <c r="CQ181"/>
      <c r="CS181"/>
      <c r="CT181"/>
      <c r="CU181"/>
      <c r="CV181"/>
      <c r="CW181"/>
      <c r="CX181"/>
      <c r="CY181"/>
      <c r="DA181"/>
      <c r="DB181"/>
      <c r="DC181"/>
      <c r="DD181"/>
      <c r="DE181"/>
      <c r="DF181"/>
      <c r="DG181"/>
      <c r="DI181" s="3">
        <v>1</v>
      </c>
    </row>
    <row r="182" spans="1:113" s="627" customFormat="1" ht="21" customHeight="1">
      <c r="A182" s="701" t="s">
        <v>21</v>
      </c>
      <c r="B182" s="2265" t="str" cm="1">
        <f t="array" ref="B182">SUMPRODUCT(--(D182:J182&lt;&gt;""), LEN(TRIM(SUBSTITUTE(D182:J182, CHAR(160), "")))) &amp; " Car."</f>
        <v>0 Car.</v>
      </c>
      <c r="C182" s="1376" t="str">
        <f>IF(ISBLANK(D182),"",LARGE(C13:C181,1)+1)</f>
        <v/>
      </c>
      <c r="D182" s="1833"/>
      <c r="E182" s="1810"/>
      <c r="F182" s="1810"/>
      <c r="G182" s="1810"/>
      <c r="H182" s="1810"/>
      <c r="I182" s="1810"/>
      <c r="J182" s="1810"/>
      <c r="K182" s="1810"/>
      <c r="L182" s="1811"/>
      <c r="M182" s="9"/>
      <c r="N182" s="25" t="str">
        <f t="shared" si="88"/>
        <v>A</v>
      </c>
      <c r="O182" s="1616"/>
      <c r="P182" s="9"/>
      <c r="Q182" s="25" t="s">
        <v>10</v>
      </c>
      <c r="R182" s="5601">
        <f t="shared" ref="R182:AJ182" ca="1" si="111">CELL("largeur",R182)</f>
        <v>3</v>
      </c>
      <c r="S182" s="5601">
        <f t="shared" ca="1" si="111"/>
        <v>3</v>
      </c>
      <c r="T182" s="5601">
        <f t="shared" ca="1" si="111"/>
        <v>3</v>
      </c>
      <c r="U182" s="5601">
        <f t="shared" ca="1" si="111"/>
        <v>5</v>
      </c>
      <c r="V182" s="5601">
        <f t="shared" ca="1" si="111"/>
        <v>12</v>
      </c>
      <c r="W182" s="5601">
        <f t="shared" ca="1" si="111"/>
        <v>12</v>
      </c>
      <c r="X182" s="5601">
        <f t="shared" ca="1" si="111"/>
        <v>3</v>
      </c>
      <c r="Y182" s="5601">
        <f t="shared" ca="1" si="111"/>
        <v>9</v>
      </c>
      <c r="Z182" s="5601">
        <f t="shared" ca="1" si="111"/>
        <v>12</v>
      </c>
      <c r="AA182" s="5601">
        <f t="shared" ca="1" si="111"/>
        <v>13</v>
      </c>
      <c r="AB182" s="5604">
        <f t="shared" ca="1" si="111"/>
        <v>6</v>
      </c>
      <c r="AC182" s="5602">
        <f t="shared" ca="1" si="111"/>
        <v>40</v>
      </c>
      <c r="AD182" s="5602">
        <f t="shared" ca="1" si="111"/>
        <v>10</v>
      </c>
      <c r="AE182" s="5602">
        <f t="shared" ca="1" si="111"/>
        <v>9</v>
      </c>
      <c r="AF182" s="5602">
        <f t="shared" ca="1" si="111"/>
        <v>11</v>
      </c>
      <c r="AG182" s="5604">
        <f t="shared" ca="1" si="111"/>
        <v>13</v>
      </c>
      <c r="AH182" s="5602">
        <f t="shared" ca="1" si="111"/>
        <v>13</v>
      </c>
      <c r="AI182" s="5602">
        <f t="shared" ca="1" si="111"/>
        <v>13</v>
      </c>
      <c r="AJ182" s="6001">
        <f t="shared" ca="1" si="111"/>
        <v>17</v>
      </c>
      <c r="AK182" s="6120" t="str">
        <f t="shared" ca="1" si="102"/>
        <v>►</v>
      </c>
      <c r="AL182" s="781" t="str">
        <f t="shared" ca="1" si="90"/>
        <v>►</v>
      </c>
      <c r="AM182" s="5498" t="str">
        <f t="shared" ca="1" si="93"/>
        <v/>
      </c>
      <c r="AN182" s="783" t="str">
        <f t="shared" ca="1" si="94"/>
        <v/>
      </c>
      <c r="AO182" s="782" t="str">
        <f t="shared" ca="1" si="95"/>
        <v/>
      </c>
      <c r="AP182" s="783" t="str">
        <f t="shared" ca="1" si="96"/>
        <v/>
      </c>
      <c r="AQ182" s="2083" t="b">
        <f ca="1">AND(Q182="A",COUNTIF(BP16:BR63,TRIM(Z182))&gt;0)</f>
        <v>0</v>
      </c>
      <c r="AR182" s="797" t="str">
        <f ca="1">IF(AL182&lt;&gt;"A","",IFERROR(IFERROR(_xlfn.XLOOKUP(TRIM(SUBSTITUTE(Z182,CHAR(160)," ")),BP16:BP63,BS16:BS63),IFERROR(_xlfn.XLOOKUP(TRIM(SUBSTITUTE(Z182,CHAR(160)," ")),BQ16:BQ63,BS16:BS63),_xlfn.XLOOKUP(TRIM(SUBSTITUTE(Z182,CHAR(160)," ")),BR16:BR63,BS16:BS63)))*Y182*IF(ISBLANK(V182),1,V182),0))</f>
        <v/>
      </c>
      <c r="AS182" s="784" t="str">
        <f t="shared" ca="1" si="84"/>
        <v/>
      </c>
      <c r="AT182" s="1315" t="str">
        <f t="shared" ca="1" si="97"/>
        <v/>
      </c>
      <c r="AU182" s="785">
        <f t="shared" ca="1" si="98"/>
        <v>0</v>
      </c>
      <c r="AV182" s="785">
        <f t="shared" ca="1" si="99"/>
        <v>0</v>
      </c>
      <c r="AW182" s="798">
        <f ca="1">IF(AK182="A",AY10,0)</f>
        <v>0</v>
      </c>
      <c r="AX182" s="5496" t="str">
        <f ca="1">IF(IFERROR(SEARCH("Adresse PC",TRIM(W182)),0)&gt;0,"▼ receta siguiente",IF(AK182="A",IF(AZ10&lt;&gt;"",AZ10&amp;" - ou.or.o ❾ + or - &gt;",""),""))</f>
        <v/>
      </c>
      <c r="AY182" s="810"/>
      <c r="AZ182" s="810"/>
      <c r="BA182" s="799" t="str">
        <f t="shared" ca="1" si="89"/>
        <v/>
      </c>
      <c r="BB182" s="800" t="str">
        <f ca="1">IF(AK182="A",IF(AQ182,IF(AND(AW182&lt;&gt;"",N(AW182)&gt;0),IFERROR(IFERROR(_xlfn.XLOOKUP(AP182,BP10:BP57,BT10:BT57),IFERROR(_xlfn.XLOOKUP(AP182,BQ10:BQ57,BT10:BT57),_xlfn.XLOOKUP(AP182,BR10:BR57,BT10:BT57,""))),""),""),""),"")</f>
        <v/>
      </c>
      <c r="BC182" s="813" cm="1">
        <f t="array" aca="1" ref="BC182" ca="1">IF(NOT(AQ182),0,IF(OR(BA182="",N(BA182)&lt;=0.000000001),"",IF(OR(AU182="",N(AU182)&lt;=0.000000001),0,IF(ISNUMBER(BA182),IFERROR(_xlfn.LET(_xlpm.ai_test,TRIM(AP182),_xlpm.r,IFERROR(_xlfn.XLOOKUP(_xlpm.ai_test,BP16:BP63,ROW(BP16:BP63),0,1),IFERROR(_xlfn.XLOOKUP(_xlpm.ai_test,BQ16:BQ63,ROW(BQ16:BQ63),0,1),_xlfn.XLOOKUP(_xlpm.ai_test,BR16:BR63,ROW(BR16:BR63),0,1))),_xlpm.p,_xlpm.r-MIN(ROW(BP16:BP63))+1,_xlpm.f,INDEX(BS16:BS63,_xlpm.p),_xlpm.u,INDEX(BT16:BT63,_xlpm.p),_xlpm.s,INDEX(BV16:BV63,_xlpm.p),_xlpm.q,N(BA182)/_xlpm.f,IF(_xlpm.q&gt;=_xlpm.s,ROUND(_xlpm.q,1)&amp;" "&amp;_xlpm.ai_test&amp;" = "&amp;ROUND(_xlpm.q*_xlpm.f,1)&amp;" "&amp;_xlpm.u,ROUND(_xlpm.q,1)&amp;" "&amp;_xlpm.ai_test)),""),""))))</f>
        <v>0</v>
      </c>
      <c r="BD182" s="801"/>
      <c r="BE182" s="799" t="str">
        <f t="shared" ca="1" si="100"/>
        <v/>
      </c>
      <c r="BF182" s="800" t="str">
        <f t="shared" ca="1" si="103"/>
        <v/>
      </c>
      <c r="BG182" s="802">
        <f t="shared" ca="1" si="104"/>
        <v>0</v>
      </c>
      <c r="BH182" s="803" t="str">
        <f t="shared" ca="1" si="105"/>
        <v/>
      </c>
      <c r="BI182" s="792"/>
      <c r="BJ182" s="804">
        <f t="shared" ca="1" si="106"/>
        <v>0</v>
      </c>
      <c r="BK182" s="794" t="str">
        <f t="shared" ca="1" si="101"/>
        <v/>
      </c>
      <c r="BL182" s="227" t="s">
        <v>21</v>
      </c>
      <c r="BM182" s="773">
        <f t="shared" ca="1" si="91"/>
        <v>0</v>
      </c>
      <c r="BN182" s="774">
        <f t="shared" ca="1" si="92"/>
        <v>0</v>
      </c>
      <c r="BO182"/>
      <c r="BX182"/>
      <c r="BY182"/>
      <c r="BZ182"/>
      <c r="CA182"/>
      <c r="CB182"/>
      <c r="CC182"/>
      <c r="CD182" s="781" t="str">
        <f t="shared" ca="1" si="85"/>
        <v>►</v>
      </c>
      <c r="CE182"/>
      <c r="CF182"/>
      <c r="CG182"/>
      <c r="CH182"/>
      <c r="CI182"/>
      <c r="CJ182" s="633"/>
      <c r="CK182"/>
      <c r="CL182"/>
      <c r="CM182"/>
      <c r="CN182"/>
      <c r="CO182"/>
      <c r="CP182"/>
      <c r="CQ182"/>
      <c r="CS182"/>
      <c r="CT182"/>
      <c r="CU182"/>
      <c r="CV182"/>
      <c r="CW182"/>
      <c r="CX182"/>
      <c r="CY182"/>
      <c r="DA182"/>
      <c r="DB182"/>
      <c r="DC182"/>
      <c r="DD182"/>
      <c r="DE182"/>
      <c r="DF182"/>
      <c r="DG182"/>
      <c r="DI182" s="3">
        <v>1</v>
      </c>
    </row>
    <row r="183" spans="1:113" s="627" customFormat="1" ht="21" customHeight="1">
      <c r="A183" s="701" t="s">
        <v>21</v>
      </c>
      <c r="B183" s="2265" t="str" cm="1">
        <f t="array" ref="B183">SUMPRODUCT(--(D183:J183&lt;&gt;""), LEN(TRIM(SUBSTITUTE(D183:J183, CHAR(160), "")))) &amp; " Car."</f>
        <v>0 Car.</v>
      </c>
      <c r="C183" s="1376" t="str">
        <f>IF(ISBLANK(D183),"",LARGE(C13:C182,1)+1)</f>
        <v/>
      </c>
      <c r="D183" s="1833"/>
      <c r="E183" s="1810"/>
      <c r="F183" s="1810"/>
      <c r="G183" s="1810"/>
      <c r="H183" s="1810"/>
      <c r="I183" s="1810"/>
      <c r="J183" s="1810"/>
      <c r="K183" s="1810"/>
      <c r="L183" s="1811"/>
      <c r="M183" s="9"/>
      <c r="N183" s="162" t="str">
        <f t="shared" si="88"/>
        <v>A</v>
      </c>
      <c r="O183" s="1616"/>
      <c r="P183" s="9"/>
      <c r="Q183" s="162" t="s">
        <v>10</v>
      </c>
      <c r="R183" s="1370" t="str">
        <f>R166</f>
        <v>J JUS DE FRAISES DES BOIS | pâtisserie--ENTREMET| Auteur &gt; recette Béghin Say de Jean-Jacques Borne MOF 1994</v>
      </c>
      <c r="S183" s="1348">
        <f>S166</f>
        <v>18</v>
      </c>
      <c r="T183" s="1349" t="str">
        <f>T166</f>
        <v>desserts</v>
      </c>
      <c r="U183" s="1350" t="str">
        <f>U166</f>
        <v>Recette mère ► MILLE-FEUILLE  aux fraises des bois</v>
      </c>
      <c r="V183" s="5997" t="str">
        <f ca="1">"largeur de "&amp;AB181&amp;" à "&amp;AJ181&amp;" = "&amp;SUM(AB182:AJ182)</f>
        <v>largeur de AB à AJ = 132</v>
      </c>
      <c r="W183" s="5998"/>
      <c r="X183" s="1986"/>
      <c r="Y183" s="1986"/>
      <c r="Z183" s="1986"/>
      <c r="AA183" s="1987" t="s">
        <v>8145</v>
      </c>
      <c r="AB183" s="1988" t="s">
        <v>821</v>
      </c>
      <c r="AC183" s="1941"/>
      <c r="AD183" s="5999" t="str">
        <f ca="1">"largeur mini  = "&amp;SUM(AB182:AG182)</f>
        <v>largeur mini  = 89</v>
      </c>
      <c r="AE183" s="6000" t="str">
        <f ca="1">"largeur maxi  = "&amp;SUM(AB182:AJ182)</f>
        <v>largeur maxi  = 132</v>
      </c>
      <c r="AF183" s="1942"/>
      <c r="AG183" s="1942"/>
      <c r="AH183" s="1989"/>
      <c r="AI183" s="1989"/>
      <c r="AJ183" s="1990" t="s">
        <v>218</v>
      </c>
      <c r="AK183" s="6120" t="str">
        <f t="shared" si="102"/>
        <v>►</v>
      </c>
      <c r="AL183" s="781" t="str">
        <f t="shared" si="90"/>
        <v>►</v>
      </c>
      <c r="AM183" s="5499" t="str">
        <f t="shared" si="93"/>
        <v/>
      </c>
      <c r="AN183" s="783" t="str">
        <f t="shared" si="94"/>
        <v/>
      </c>
      <c r="AO183" s="782" t="str">
        <f t="shared" si="95"/>
        <v/>
      </c>
      <c r="AP183" s="783" t="str">
        <f t="shared" si="96"/>
        <v/>
      </c>
      <c r="AQ183" s="2083" t="b">
        <f>AND(Q183="A",COUNTIF(BP16:BR63,TRIM(Z183))&gt;0)</f>
        <v>0</v>
      </c>
      <c r="AR183" s="797" t="str">
        <f>IF(AL183&lt;&gt;"A","",IFERROR(IFERROR(_xlfn.XLOOKUP(TRIM(SUBSTITUTE(Z183,CHAR(160)," ")),BP16:BP63,BS16:BS63),IFERROR(_xlfn.XLOOKUP(TRIM(SUBSTITUTE(Z183,CHAR(160)," ")),BQ16:BQ63,BS16:BS63),_xlfn.XLOOKUP(TRIM(SUBSTITUTE(Z183,CHAR(160)," ")),BR16:BR63,BS16:BS63)))*Y183*IF(ISBLANK(V183),1,V183),0))</f>
        <v/>
      </c>
      <c r="AS183" s="784" t="str">
        <f t="shared" si="84"/>
        <v/>
      </c>
      <c r="AT183" s="1315" t="str">
        <f t="shared" si="97"/>
        <v/>
      </c>
      <c r="AU183" s="785">
        <f t="shared" si="98"/>
        <v>0</v>
      </c>
      <c r="AV183" s="785">
        <f t="shared" si="99"/>
        <v>0</v>
      </c>
      <c r="AW183" s="786">
        <f>IF(AK183="A",AY10,0)</f>
        <v>0</v>
      </c>
      <c r="AX183" s="5495" t="str">
        <f>IF(IFERROR(SEARCH("Adresse PC",TRIM(W183)),0)&gt;0,"▼ receta siguiente",IF(AK183="A",IF(AZ10&lt;&gt;"",AZ10&amp;" - ou.or.o ❾ + or - &gt;",""),""))</f>
        <v/>
      </c>
      <c r="AY183" s="810"/>
      <c r="AZ183" s="810"/>
      <c r="BA183" s="788" t="str">
        <f t="shared" si="89"/>
        <v/>
      </c>
      <c r="BB183" s="789" t="str">
        <f>IF(AK183="A",IF(AQ183,IF(AND(AW183&lt;&gt;"",N(AW183)&gt;0),IFERROR(IFERROR(_xlfn.XLOOKUP(AP183,BP10:BP57,BT10:BT57),IFERROR(_xlfn.XLOOKUP(AP183,BQ10:BQ57,BT10:BT57),_xlfn.XLOOKUP(AP183,BR10:BR57,BT10:BT57,""))),""),""),""),"")</f>
        <v/>
      </c>
      <c r="BC183" s="811" cm="1">
        <f t="array" ref="BC183">IF(NOT(AQ183),0,IF(OR(BA183="",N(BA183)&lt;=0.000000001),"",IF(OR(AU183="",N(AU183)&lt;=0.000000001),0,IF(ISNUMBER(BA183),IFERROR(_xlfn.LET(_xlpm.ai_test,TRIM(AP183),_xlpm.r,IFERROR(_xlfn.XLOOKUP(_xlpm.ai_test,BP16:BP63,ROW(BP16:BP63),0,1),IFERROR(_xlfn.XLOOKUP(_xlpm.ai_test,BQ16:BQ63,ROW(BQ16:BQ63),0,1),_xlfn.XLOOKUP(_xlpm.ai_test,BR16:BR63,ROW(BR16:BR63),0,1))),_xlpm.p,_xlpm.r-MIN(ROW(BP16:BP63))+1,_xlpm.f,INDEX(BS16:BS63,_xlpm.p),_xlpm.u,INDEX(BT16:BT63,_xlpm.p),_xlpm.s,INDEX(BV16:BV63,_xlpm.p),_xlpm.q,N(BA183)/_xlpm.f,IF(_xlpm.q&gt;=_xlpm.s,ROUND(_xlpm.q,1)&amp;" "&amp;_xlpm.ai_test&amp;" = "&amp;ROUND(_xlpm.q*_xlpm.f,1)&amp;" "&amp;_xlpm.u,ROUND(_xlpm.q,1)&amp;" "&amp;_xlpm.ai_test)),""),""))))</f>
        <v>0</v>
      </c>
      <c r="BD183" s="801"/>
      <c r="BE183" s="788" t="str">
        <f t="shared" si="100"/>
        <v/>
      </c>
      <c r="BF183" s="789" t="str">
        <f t="shared" si="103"/>
        <v/>
      </c>
      <c r="BG183" s="790">
        <f t="shared" ca="1" si="104"/>
        <v>0</v>
      </c>
      <c r="BH183" s="791" t="str">
        <f t="shared" ca="1" si="105"/>
        <v/>
      </c>
      <c r="BI183" s="792"/>
      <c r="BJ183" s="793">
        <f t="shared" ca="1" si="106"/>
        <v>0</v>
      </c>
      <c r="BK183" s="794" t="str">
        <f t="shared" si="101"/>
        <v/>
      </c>
      <c r="BL183" s="227" t="s">
        <v>21</v>
      </c>
      <c r="BM183" s="773">
        <f t="shared" ca="1" si="91"/>
        <v>0</v>
      </c>
      <c r="BN183" s="774">
        <f t="shared" si="92"/>
        <v>0</v>
      </c>
      <c r="BO183"/>
      <c r="BX183"/>
      <c r="BY183"/>
      <c r="BZ183"/>
      <c r="CA183"/>
      <c r="CB183"/>
      <c r="CC183"/>
      <c r="CD183" s="781" t="str">
        <f t="shared" si="85"/>
        <v>►</v>
      </c>
      <c r="CE183"/>
      <c r="CF183"/>
      <c r="CG183"/>
      <c r="CH183"/>
      <c r="CI183"/>
      <c r="CJ183" s="633"/>
      <c r="CK183"/>
      <c r="CL183"/>
      <c r="CM183"/>
      <c r="CN183"/>
      <c r="CO183"/>
      <c r="CP183"/>
      <c r="CQ183"/>
      <c r="CS183"/>
      <c r="CT183"/>
      <c r="CU183"/>
      <c r="CV183"/>
      <c r="CW183"/>
      <c r="CX183"/>
      <c r="CY183"/>
      <c r="DA183"/>
      <c r="DB183"/>
      <c r="DC183"/>
      <c r="DD183"/>
      <c r="DE183"/>
      <c r="DF183"/>
      <c r="DG183"/>
      <c r="DI183" s="3">
        <v>1</v>
      </c>
    </row>
    <row r="184" spans="1:113" s="627" customFormat="1" ht="21" customHeight="1">
      <c r="A184" s="701" t="s">
        <v>21</v>
      </c>
      <c r="B184" s="2265" t="str" cm="1">
        <f t="array" ref="B184">SUMPRODUCT(--(D184:J184&lt;&gt;""), LEN(TRIM(SUBSTITUTE(D184:J184, CHAR(160), "")))) &amp; " Car."</f>
        <v>0 Car.</v>
      </c>
      <c r="C184" s="1376" t="str">
        <f>IF(ISBLANK(D184),"",LARGE(C13:C183,1)+1)</f>
        <v/>
      </c>
      <c r="D184" s="1833"/>
      <c r="E184" s="1810"/>
      <c r="F184" s="1810"/>
      <c r="G184" s="1810"/>
      <c r="H184" s="1810"/>
      <c r="I184" s="1810"/>
      <c r="J184" s="1810"/>
      <c r="K184" s="1810"/>
      <c r="L184" s="1811"/>
      <c r="M184" s="9"/>
      <c r="N184" s="162" t="str">
        <f t="shared" si="88"/>
        <v>A</v>
      </c>
      <c r="O184" s="1616"/>
      <c r="P184" s="9"/>
      <c r="Q184" s="162" t="s">
        <v>10</v>
      </c>
      <c r="R184" s="163" t="str">
        <f>R166</f>
        <v>J JUS DE FRAISES DES BOIS | pâtisserie--ENTREMET| Auteur &gt; recette Béghin Say de Jean-Jacques Borne MOF 1994</v>
      </c>
      <c r="S184" s="163">
        <f>S166</f>
        <v>18</v>
      </c>
      <c r="T184" s="164" t="str">
        <f>T166</f>
        <v>desserts</v>
      </c>
      <c r="U184" s="165" t="str">
        <f>U166</f>
        <v>Recette mère ► MILLE-FEUILLE  aux fraises des bois</v>
      </c>
      <c r="V184" s="508"/>
      <c r="W184" s="508"/>
      <c r="X184" s="2063"/>
      <c r="Y184" s="2127" t="s">
        <v>8860</v>
      </c>
      <c r="Z184" s="2065">
        <f ca="1">SUM(AB182:AJ182)</f>
        <v>132</v>
      </c>
      <c r="AA184" s="1374">
        <v>0</v>
      </c>
      <c r="AB184" s="1375" t="s">
        <v>8146</v>
      </c>
      <c r="AC184" s="1810"/>
      <c r="AD184" s="1810"/>
      <c r="AE184" s="1810"/>
      <c r="AF184" s="1810"/>
      <c r="AG184" s="1810"/>
      <c r="AH184" s="9"/>
      <c r="AI184" s="5993" t="s">
        <v>164</v>
      </c>
      <c r="AJ184" s="1330" t="s">
        <v>165</v>
      </c>
      <c r="AK184" s="6120" t="str">
        <f t="shared" si="102"/>
        <v>►</v>
      </c>
      <c r="AL184" s="781" t="str">
        <f t="shared" si="90"/>
        <v>►</v>
      </c>
      <c r="AM184" s="5498" t="str">
        <f t="shared" si="93"/>
        <v/>
      </c>
      <c r="AN184" s="783" t="str">
        <f t="shared" si="94"/>
        <v/>
      </c>
      <c r="AO184" s="782" t="str">
        <f t="shared" si="95"/>
        <v/>
      </c>
      <c r="AP184" s="783" t="str">
        <f t="shared" si="96"/>
        <v/>
      </c>
      <c r="AQ184" s="2083" t="b">
        <f ca="1">AND(Q184="A",COUNTIF(BP16:BR63,TRIM(Z184))&gt;0)</f>
        <v>0</v>
      </c>
      <c r="AR184" s="797" t="str">
        <f>IF(AL184&lt;&gt;"A","",IFERROR(IFERROR(_xlfn.XLOOKUP(TRIM(SUBSTITUTE(Z184,CHAR(160)," ")),BP16:BP63,BS16:BS63),IFERROR(_xlfn.XLOOKUP(TRIM(SUBSTITUTE(Z184,CHAR(160)," ")),BQ16:BQ63,BS16:BS63),_xlfn.XLOOKUP(TRIM(SUBSTITUTE(Z184,CHAR(160)," ")),BR16:BR63,BS16:BS63)))*Y184*IF(ISBLANK(V184),1,V184),0))</f>
        <v/>
      </c>
      <c r="AS184" s="784" t="str">
        <f t="shared" si="84"/>
        <v/>
      </c>
      <c r="AT184" s="1315" t="str">
        <f t="shared" si="97"/>
        <v/>
      </c>
      <c r="AU184" s="785">
        <f t="shared" si="98"/>
        <v>0</v>
      </c>
      <c r="AV184" s="785">
        <f t="shared" si="99"/>
        <v>0</v>
      </c>
      <c r="AW184" s="798">
        <f>IF(AK184="A",AY10,0)</f>
        <v>0</v>
      </c>
      <c r="AX184" s="5496" t="str">
        <f>IF(IFERROR(SEARCH("Adresse PC",TRIM(W184)),0)&gt;0,"▼ receta siguiente",IF(AK184="A",IF(AZ10&lt;&gt;"",AZ10&amp;" - ou.or.o ❾ + or - &gt;",""),""))</f>
        <v/>
      </c>
      <c r="AY184" s="810"/>
      <c r="AZ184" s="810"/>
      <c r="BA184" s="799" t="str">
        <f t="shared" si="89"/>
        <v/>
      </c>
      <c r="BB184" s="800" t="str">
        <f>IF(AK184="A",IF(AQ184,IF(AND(AW184&lt;&gt;"",N(AW184)&gt;0),IFERROR(IFERROR(_xlfn.XLOOKUP(AP184,BP10:BP57,BT10:BT57),IFERROR(_xlfn.XLOOKUP(AP184,BQ10:BQ57,BT10:BT57),_xlfn.XLOOKUP(AP184,BR10:BR57,BT10:BT57,""))),""),""),""),"")</f>
        <v/>
      </c>
      <c r="BC184" s="813" cm="1">
        <f t="array" aca="1" ref="BC184" ca="1">IF(NOT(AQ184),0,IF(OR(BA184="",N(BA184)&lt;=0.000000001),"",IF(OR(AU184="",N(AU184)&lt;=0.000000001),0,IF(ISNUMBER(BA184),IFERROR(_xlfn.LET(_xlpm.ai_test,TRIM(AP184),_xlpm.r,IFERROR(_xlfn.XLOOKUP(_xlpm.ai_test,BP16:BP63,ROW(BP16:BP63),0,1),IFERROR(_xlfn.XLOOKUP(_xlpm.ai_test,BQ16:BQ63,ROW(BQ16:BQ63),0,1),_xlfn.XLOOKUP(_xlpm.ai_test,BR16:BR63,ROW(BR16:BR63),0,1))),_xlpm.p,_xlpm.r-MIN(ROW(BP16:BP63))+1,_xlpm.f,INDEX(BS16:BS63,_xlpm.p),_xlpm.u,INDEX(BT16:BT63,_xlpm.p),_xlpm.s,INDEX(BV16:BV63,_xlpm.p),_xlpm.q,N(BA184)/_xlpm.f,IF(_xlpm.q&gt;=_xlpm.s,ROUND(_xlpm.q,1)&amp;" "&amp;_xlpm.ai_test&amp;" = "&amp;ROUND(_xlpm.q*_xlpm.f,1)&amp;" "&amp;_xlpm.u,ROUND(_xlpm.q,1)&amp;" "&amp;_xlpm.ai_test)),""),""))))</f>
        <v>0</v>
      </c>
      <c r="BD184" s="801"/>
      <c r="BE184" s="799" t="str">
        <f t="shared" si="100"/>
        <v/>
      </c>
      <c r="BF184" s="800" t="str">
        <f t="shared" ca="1" si="103"/>
        <v/>
      </c>
      <c r="BG184" s="802">
        <f t="shared" si="104"/>
        <v>0</v>
      </c>
      <c r="BH184" s="803" t="str">
        <f t="shared" ca="1" si="105"/>
        <v/>
      </c>
      <c r="BI184" s="792"/>
      <c r="BJ184" s="804">
        <f t="shared" si="106"/>
        <v>0</v>
      </c>
      <c r="BK184" s="794" t="str">
        <f t="shared" si="101"/>
        <v/>
      </c>
      <c r="BL184" s="227" t="s">
        <v>21</v>
      </c>
      <c r="BM184" s="773">
        <f t="shared" si="91"/>
        <v>0</v>
      </c>
      <c r="BN184" s="774">
        <f t="shared" si="92"/>
        <v>0</v>
      </c>
      <c r="BO184"/>
      <c r="BX184"/>
      <c r="BY184"/>
      <c r="BZ184"/>
      <c r="CA184"/>
      <c r="CB184"/>
      <c r="CC184"/>
      <c r="CD184" s="781" t="str">
        <f t="shared" si="85"/>
        <v>►</v>
      </c>
      <c r="CE184"/>
      <c r="CF184"/>
      <c r="CG184"/>
      <c r="CH184"/>
      <c r="CI184"/>
      <c r="CJ184" s="633"/>
      <c r="CK184"/>
      <c r="CL184"/>
      <c r="CM184"/>
      <c r="CN184"/>
      <c r="CO184"/>
      <c r="CP184"/>
      <c r="CQ184"/>
      <c r="CS184"/>
      <c r="CT184"/>
      <c r="CU184"/>
      <c r="CV184"/>
      <c r="CW184"/>
      <c r="CX184"/>
      <c r="CY184"/>
      <c r="DA184"/>
      <c r="DB184"/>
      <c r="DC184"/>
      <c r="DD184"/>
      <c r="DE184"/>
      <c r="DF184"/>
      <c r="DG184"/>
      <c r="DI184" s="3">
        <v>1</v>
      </c>
    </row>
    <row r="185" spans="1:113" s="627" customFormat="1" ht="21" customHeight="1">
      <c r="A185" s="701" t="s">
        <v>21</v>
      </c>
      <c r="B185" s="2265" t="str" cm="1">
        <f t="array" ref="B185">SUMPRODUCT(--(D185:J185&lt;&gt;""), LEN(TRIM(SUBSTITUTE(D185:J185, CHAR(160), "")))) &amp; " Car."</f>
        <v>0 Car.</v>
      </c>
      <c r="C185" s="1376" t="str">
        <f>IF(ISBLANK(D185),"",LARGE(C13:C184,1)+1)</f>
        <v/>
      </c>
      <c r="D185" s="1833"/>
      <c r="E185" s="1810"/>
      <c r="F185" s="1810"/>
      <c r="G185" s="1810"/>
      <c r="H185" s="1810"/>
      <c r="I185" s="1810"/>
      <c r="J185" s="1810"/>
      <c r="K185" s="1810"/>
      <c r="L185" s="1811"/>
      <c r="M185" s="9"/>
      <c r="N185" s="162" t="str">
        <f t="shared" si="88"/>
        <v>A</v>
      </c>
      <c r="O185" s="1616"/>
      <c r="P185" s="9"/>
      <c r="Q185" s="162" t="s">
        <v>10</v>
      </c>
      <c r="R185" s="163" t="str">
        <f>R166</f>
        <v>J JUS DE FRAISES DES BOIS | pâtisserie--ENTREMET| Auteur &gt; recette Béghin Say de Jean-Jacques Borne MOF 1994</v>
      </c>
      <c r="S185" s="163">
        <f>S166</f>
        <v>18</v>
      </c>
      <c r="T185" s="164" t="str">
        <f>T166</f>
        <v>desserts</v>
      </c>
      <c r="U185" s="165" t="str">
        <f>U166</f>
        <v>Recette mère ► MILLE-FEUILLE  aux fraises des bois</v>
      </c>
      <c r="V185" s="1548"/>
      <c r="W185" s="2189" t="s">
        <v>8771</v>
      </c>
      <c r="X185" s="2190">
        <f>ROWS(AB185:AB185)</f>
        <v>1</v>
      </c>
      <c r="Y185" s="5549" t="str" cm="1">
        <f t="array" ref="Y185">IF(SUMPRODUCT((AB185:AG185&lt;&gt;"")*1)=0,"",SUMPRODUCT((AB185:AG185&lt;&gt;"")*(LEN(TRIM(SUBSTITUTE(AB185:AG185,CHAR(160)," "))) - LEN(SUBSTITUTE(TRIM(SUBSTITUTE(AB185:AG185,CHAR(160)," "))," ","")) + 1)) &amp; " mot" &amp; IF(SUMPRODUCT((AB185:AG185&lt;&gt;"")*(LEN(TRIM(SUBSTITUTE(AB185:AG185,CHAR(160)," "))) - LEN(SUBSTITUTE(TRIM(SUBSTITUTE(AB185:AG185,CHAR(160)," "))," ","")) + 1))&gt;1,"s",""))</f>
        <v>6 mots</v>
      </c>
      <c r="Z185" s="5550" t="str" cm="1">
        <f t="array" ref="Z185">SUMPRODUCT(--(AB185:AG185&lt;&gt;""), LEN(TRIM(SUBSTITUTE(AB185:AG185, CHAR(160), "")))) &amp; " Car."</f>
        <v>36 Car.</v>
      </c>
      <c r="AA185" s="1376">
        <f>IF(ISBLANK(AB185),"",LARGE(AA184:AA184,1)+1)</f>
        <v>1</v>
      </c>
      <c r="AB185" s="1810" t="s">
        <v>3078</v>
      </c>
      <c r="AC185" s="1810"/>
      <c r="AD185" s="1810"/>
      <c r="AE185" s="1810"/>
      <c r="AF185" s="1810"/>
      <c r="AG185" s="1810"/>
      <c r="AH185" s="9"/>
      <c r="AI185" s="5993" t="s">
        <v>167</v>
      </c>
      <c r="AJ185" s="1330" t="s">
        <v>165</v>
      </c>
      <c r="AK185" s="6120" t="str">
        <f t="shared" si="102"/>
        <v>►</v>
      </c>
      <c r="AL185" s="781" t="str">
        <f t="shared" si="90"/>
        <v>►</v>
      </c>
      <c r="AM185" s="5499" t="str">
        <f t="shared" si="93"/>
        <v/>
      </c>
      <c r="AN185" s="783" t="str">
        <f t="shared" si="94"/>
        <v/>
      </c>
      <c r="AO185" s="782" t="str">
        <f t="shared" si="95"/>
        <v/>
      </c>
      <c r="AP185" s="783" t="str">
        <f t="shared" si="96"/>
        <v/>
      </c>
      <c r="AQ185" s="2083" t="b">
        <f>AND(Q185="A",COUNTIF(BP16:BR63,TRIM(Z185))&gt;0)</f>
        <v>0</v>
      </c>
      <c r="AR185" s="797" t="str">
        <f>IF(AL185&lt;&gt;"A","",IFERROR(IFERROR(_xlfn.XLOOKUP(TRIM(SUBSTITUTE(Z185,CHAR(160)," ")),BP16:BP63,BS16:BS63),IFERROR(_xlfn.XLOOKUP(TRIM(SUBSTITUTE(Z185,CHAR(160)," ")),BQ16:BQ63,BS16:BS63),_xlfn.XLOOKUP(TRIM(SUBSTITUTE(Z185,CHAR(160)," ")),BR16:BR63,BS16:BS63)))*Y185*IF(ISBLANK(V185),1,V185),0))</f>
        <v/>
      </c>
      <c r="AS185" s="784" t="str">
        <f t="shared" si="84"/>
        <v/>
      </c>
      <c r="AT185" s="1315" t="str">
        <f t="shared" si="97"/>
        <v/>
      </c>
      <c r="AU185" s="785">
        <f t="shared" si="98"/>
        <v>0</v>
      </c>
      <c r="AV185" s="785">
        <f t="shared" si="99"/>
        <v>0</v>
      </c>
      <c r="AW185" s="786">
        <f>IF(AK185="A",AY10,0)</f>
        <v>0</v>
      </c>
      <c r="AX185" s="5495" t="str">
        <f>IF(IFERROR(SEARCH("Adresse PC",TRIM(W185)),0)&gt;0,"▼ receta siguiente",IF(AK185="A",IF(AZ10&lt;&gt;"",AZ10&amp;" - ou.or.o ❾ + or - &gt;",""),""))</f>
        <v/>
      </c>
      <c r="AY185" s="810"/>
      <c r="AZ185" s="810"/>
      <c r="BA185" s="788" t="str">
        <f t="shared" si="89"/>
        <v/>
      </c>
      <c r="BB185" s="789" t="str">
        <f>IF(AK185="A",IF(AQ185,IF(AND(AW185&lt;&gt;"",N(AW185)&gt;0),IFERROR(IFERROR(_xlfn.XLOOKUP(AP185,BP10:BP57,BT10:BT57),IFERROR(_xlfn.XLOOKUP(AP185,BQ10:BQ57,BT10:BT57),_xlfn.XLOOKUP(AP185,BR10:BR57,BT10:BT57,""))),""),""),""),"")</f>
        <v/>
      </c>
      <c r="BC185" s="811" cm="1">
        <f t="array" ref="BC185">IF(NOT(AQ185),0,IF(OR(BA185="",N(BA185)&lt;=0.000000001),"",IF(OR(AU185="",N(AU185)&lt;=0.000000001),0,IF(ISNUMBER(BA185),IFERROR(_xlfn.LET(_xlpm.ai_test,TRIM(AP185),_xlpm.r,IFERROR(_xlfn.XLOOKUP(_xlpm.ai_test,BP16:BP63,ROW(BP16:BP63),0,1),IFERROR(_xlfn.XLOOKUP(_xlpm.ai_test,BQ16:BQ63,ROW(BQ16:BQ63),0,1),_xlfn.XLOOKUP(_xlpm.ai_test,BR16:BR63,ROW(BR16:BR63),0,1))),_xlpm.p,_xlpm.r-MIN(ROW(BP16:BP63))+1,_xlpm.f,INDEX(BS16:BS63,_xlpm.p),_xlpm.u,INDEX(BT16:BT63,_xlpm.p),_xlpm.s,INDEX(BV16:BV63,_xlpm.p),_xlpm.q,N(BA185)/_xlpm.f,IF(_xlpm.q&gt;=_xlpm.s,ROUND(_xlpm.q,1)&amp;" "&amp;_xlpm.ai_test&amp;" = "&amp;ROUND(_xlpm.q*_xlpm.f,1)&amp;" "&amp;_xlpm.u,ROUND(_xlpm.q,1)&amp;" "&amp;_xlpm.ai_test)),""),""))))</f>
        <v>0</v>
      </c>
      <c r="BD185" s="801"/>
      <c r="BE185" s="788" t="str">
        <f t="shared" si="100"/>
        <v/>
      </c>
      <c r="BF185" s="789" t="str">
        <f t="shared" si="103"/>
        <v/>
      </c>
      <c r="BG185" s="790">
        <f t="shared" si="104"/>
        <v>0</v>
      </c>
      <c r="BH185" s="791" t="str">
        <f t="shared" si="105"/>
        <v/>
      </c>
      <c r="BI185" s="792"/>
      <c r="BJ185" s="793">
        <f t="shared" si="106"/>
        <v>0</v>
      </c>
      <c r="BK185" s="794" t="str">
        <f t="shared" si="101"/>
        <v/>
      </c>
      <c r="BL185" s="227" t="s">
        <v>21</v>
      </c>
      <c r="BM185" s="773">
        <f t="shared" si="91"/>
        <v>0</v>
      </c>
      <c r="BN185" s="774">
        <f t="shared" si="92"/>
        <v>0</v>
      </c>
      <c r="BO185"/>
      <c r="BX185"/>
      <c r="BY185"/>
      <c r="BZ185"/>
      <c r="CA185"/>
      <c r="CB185"/>
      <c r="CC185"/>
      <c r="CD185" s="781" t="str">
        <f t="shared" si="85"/>
        <v>►</v>
      </c>
      <c r="CE185"/>
      <c r="CF185"/>
      <c r="CG185"/>
      <c r="CH185"/>
      <c r="CI185"/>
      <c r="CJ185" s="633"/>
      <c r="CK185"/>
      <c r="CL185"/>
      <c r="CM185"/>
      <c r="CN185"/>
      <c r="CO185"/>
      <c r="CP185"/>
      <c r="CQ185"/>
      <c r="CS185"/>
      <c r="CT185"/>
      <c r="CU185"/>
      <c r="CV185"/>
      <c r="CW185"/>
      <c r="CX185"/>
      <c r="CY185"/>
      <c r="DA185"/>
      <c r="DB185"/>
      <c r="DC185"/>
      <c r="DD185"/>
      <c r="DE185"/>
      <c r="DF185"/>
      <c r="DG185"/>
      <c r="DI185" s="3">
        <v>1</v>
      </c>
    </row>
    <row r="186" spans="1:113" s="627" customFormat="1" ht="21" customHeight="1">
      <c r="A186" s="701" t="s">
        <v>21</v>
      </c>
      <c r="B186" s="2265" t="str" cm="1">
        <f t="array" ref="B186">SUMPRODUCT(--(D186:J186&lt;&gt;""), LEN(TRIM(SUBSTITUTE(D186:J186, CHAR(160), "")))) &amp; " Car."</f>
        <v>0 Car.</v>
      </c>
      <c r="C186" s="1376" t="str">
        <f>IF(ISBLANK(D186),"",LARGE(C13:C185,1)+1)</f>
        <v/>
      </c>
      <c r="D186" s="1833"/>
      <c r="E186" s="1810"/>
      <c r="F186" s="1810"/>
      <c r="G186" s="1810"/>
      <c r="H186" s="1810"/>
      <c r="I186" s="1810"/>
      <c r="J186" s="1810"/>
      <c r="K186" s="1810"/>
      <c r="L186" s="1811"/>
      <c r="M186" s="9"/>
      <c r="N186" s="162" t="str">
        <f t="shared" si="88"/>
        <v>A</v>
      </c>
      <c r="O186" s="1616"/>
      <c r="P186" s="9"/>
      <c r="Q186" s="162" t="s">
        <v>10</v>
      </c>
      <c r="R186" s="163" t="str">
        <f>R166</f>
        <v>J JUS DE FRAISES DES BOIS | pâtisserie--ENTREMET| Auteur &gt; recette Béghin Say de Jean-Jacques Borne MOF 1994</v>
      </c>
      <c r="S186" s="163">
        <f>S166</f>
        <v>18</v>
      </c>
      <c r="T186" s="164" t="str">
        <f>T166</f>
        <v>desserts</v>
      </c>
      <c r="U186" s="165" t="str">
        <f>U166</f>
        <v>Recette mère ► MILLE-FEUILLE  aux fraises des bois</v>
      </c>
      <c r="V186" s="1548"/>
      <c r="W186" s="1548"/>
      <c r="X186" s="2190">
        <f>ROWS(AB185:AB186)</f>
        <v>2</v>
      </c>
      <c r="Y186" s="5549" t="str" cm="1">
        <f t="array" ref="Y186">IF(SUMPRODUCT((AB186:AG186&lt;&gt;"")*1)=0,"",SUMPRODUCT((AB186:AG186&lt;&gt;"")*(LEN(TRIM(SUBSTITUTE(AB186:AG186,CHAR(160)," "))) - LEN(SUBSTITUTE(TRIM(SUBSTITUTE(AB186:AG186,CHAR(160)," "))," ","")) + 1)) &amp; " mot" &amp; IF(SUMPRODUCT((AB186:AG186&lt;&gt;"")*(LEN(TRIM(SUBSTITUTE(AB186:AG186,CHAR(160)," "))) - LEN(SUBSTITUTE(TRIM(SUBSTITUTE(AB186:AG186,CHAR(160)," "))," ","")) + 1))&gt;1,"s",""))</f>
        <v>2 mots</v>
      </c>
      <c r="Z186" s="5550" t="str" cm="1">
        <f t="array" ref="Z186">SUMPRODUCT(--(AB186:AG186&lt;&gt;""), LEN(TRIM(SUBSTITUTE(AB186:AG186, CHAR(160), "")))) &amp; " Car."</f>
        <v>21 Car.</v>
      </c>
      <c r="AA186" s="1376">
        <f>IF(ISBLANK(AB186),"",LARGE(AA184:AA185,1)+1)</f>
        <v>2</v>
      </c>
      <c r="AB186" s="1810" t="s">
        <v>3079</v>
      </c>
      <c r="AC186" s="1810"/>
      <c r="AD186" s="1810"/>
      <c r="AE186" s="1810"/>
      <c r="AF186" s="1810"/>
      <c r="AG186" s="1810"/>
      <c r="AH186" s="1810"/>
      <c r="AI186" s="5994" t="s">
        <v>171</v>
      </c>
      <c r="AJ186" s="5564">
        <v>3.472222222222222E-3</v>
      </c>
      <c r="AK186" s="6120" t="str">
        <f t="shared" si="102"/>
        <v>►</v>
      </c>
      <c r="AL186" s="781" t="str">
        <f t="shared" si="90"/>
        <v>►</v>
      </c>
      <c r="AM186" s="5498" t="str">
        <f t="shared" si="93"/>
        <v/>
      </c>
      <c r="AN186" s="783" t="str">
        <f t="shared" si="94"/>
        <v/>
      </c>
      <c r="AO186" s="782" t="str">
        <f t="shared" si="95"/>
        <v/>
      </c>
      <c r="AP186" s="783" t="str">
        <f t="shared" si="96"/>
        <v/>
      </c>
      <c r="AQ186" s="2083" t="b">
        <f>AND(Q186="A",COUNTIF(BP16:BR63,TRIM(Z186))&gt;0)</f>
        <v>0</v>
      </c>
      <c r="AR186" s="797" t="str">
        <f>IF(AL186&lt;&gt;"A","",IFERROR(IFERROR(_xlfn.XLOOKUP(TRIM(SUBSTITUTE(Z186,CHAR(160)," ")),BP16:BP63,BS16:BS63),IFERROR(_xlfn.XLOOKUP(TRIM(SUBSTITUTE(Z186,CHAR(160)," ")),BQ16:BQ63,BS16:BS63),_xlfn.XLOOKUP(TRIM(SUBSTITUTE(Z186,CHAR(160)," ")),BR16:BR63,BS16:BS63)))*Y186*IF(ISBLANK(V186),1,V186),0))</f>
        <v/>
      </c>
      <c r="AS186" s="784" t="str">
        <f t="shared" si="84"/>
        <v/>
      </c>
      <c r="AT186" s="1315" t="str">
        <f t="shared" si="97"/>
        <v/>
      </c>
      <c r="AU186" s="785">
        <f t="shared" si="98"/>
        <v>0</v>
      </c>
      <c r="AV186" s="785">
        <f t="shared" si="99"/>
        <v>0</v>
      </c>
      <c r="AW186" s="798">
        <f>IF(AK186="A",AY10,0)</f>
        <v>0</v>
      </c>
      <c r="AX186" s="5496" t="str">
        <f>IF(IFERROR(SEARCH("Adresse PC",TRIM(W186)),0)&gt;0,"▼ receta siguiente",IF(AK186="A",IF(AZ10&lt;&gt;"",AZ10&amp;" - ou.or.o ❾ + or - &gt;",""),""))</f>
        <v/>
      </c>
      <c r="AY186" s="810"/>
      <c r="AZ186" s="810"/>
      <c r="BA186" s="799" t="str">
        <f t="shared" si="89"/>
        <v/>
      </c>
      <c r="BB186" s="800" t="str">
        <f>IF(AK186="A",IF(AQ186,IF(AND(AW186&lt;&gt;"",N(AW186)&gt;0),IFERROR(IFERROR(_xlfn.XLOOKUP(AP186,BP10:BP57,BT10:BT57),IFERROR(_xlfn.XLOOKUP(AP186,BQ10:BQ57,BT10:BT57),_xlfn.XLOOKUP(AP186,BR10:BR57,BT10:BT57,""))),""),""),""),"")</f>
        <v/>
      </c>
      <c r="BC186" s="813" cm="1">
        <f t="array" ref="BC186">IF(NOT(AQ186),0,IF(OR(BA186="",N(BA186)&lt;=0.000000001),"",IF(OR(AU186="",N(AU186)&lt;=0.000000001),0,IF(ISNUMBER(BA186),IFERROR(_xlfn.LET(_xlpm.ai_test,TRIM(AP186),_xlpm.r,IFERROR(_xlfn.XLOOKUP(_xlpm.ai_test,BP16:BP63,ROW(BP16:BP63),0,1),IFERROR(_xlfn.XLOOKUP(_xlpm.ai_test,BQ16:BQ63,ROW(BQ16:BQ63),0,1),_xlfn.XLOOKUP(_xlpm.ai_test,BR16:BR63,ROW(BR16:BR63),0,1))),_xlpm.p,_xlpm.r-MIN(ROW(BP16:BP63))+1,_xlpm.f,INDEX(BS16:BS63,_xlpm.p),_xlpm.u,INDEX(BT16:BT63,_xlpm.p),_xlpm.s,INDEX(BV16:BV63,_xlpm.p),_xlpm.q,N(BA186)/_xlpm.f,IF(_xlpm.q&gt;=_xlpm.s,ROUND(_xlpm.q,1)&amp;" "&amp;_xlpm.ai_test&amp;" = "&amp;ROUND(_xlpm.q*_xlpm.f,1)&amp;" "&amp;_xlpm.u,ROUND(_xlpm.q,1)&amp;" "&amp;_xlpm.ai_test)),""),""))))</f>
        <v>0</v>
      </c>
      <c r="BD186" s="801"/>
      <c r="BE186" s="799" t="str">
        <f t="shared" si="100"/>
        <v/>
      </c>
      <c r="BF186" s="800" t="str">
        <f t="shared" si="103"/>
        <v/>
      </c>
      <c r="BG186" s="802">
        <f t="shared" si="104"/>
        <v>0</v>
      </c>
      <c r="BH186" s="803" t="str">
        <f t="shared" si="105"/>
        <v/>
      </c>
      <c r="BI186" s="792"/>
      <c r="BJ186" s="804">
        <f t="shared" si="106"/>
        <v>0</v>
      </c>
      <c r="BK186" s="794" t="str">
        <f t="shared" si="101"/>
        <v/>
      </c>
      <c r="BL186" s="227" t="s">
        <v>21</v>
      </c>
      <c r="BM186" s="773">
        <f t="shared" si="91"/>
        <v>0</v>
      </c>
      <c r="BN186" s="774">
        <f t="shared" si="92"/>
        <v>0</v>
      </c>
      <c r="BO186"/>
      <c r="BX186"/>
      <c r="BY186"/>
      <c r="BZ186"/>
      <c r="CA186"/>
      <c r="CB186"/>
      <c r="CC186"/>
      <c r="CD186" s="781" t="str">
        <f t="shared" si="85"/>
        <v>►</v>
      </c>
      <c r="CE186"/>
      <c r="CF186"/>
      <c r="CG186"/>
      <c r="CH186"/>
      <c r="CI186"/>
      <c r="CJ186" s="633"/>
      <c r="CK186"/>
      <c r="CL186"/>
      <c r="CM186"/>
      <c r="CN186"/>
      <c r="CO186"/>
      <c r="CP186"/>
      <c r="CQ186"/>
      <c r="CS186"/>
      <c r="CT186"/>
      <c r="CU186"/>
      <c r="CV186"/>
      <c r="CW186"/>
      <c r="CX186"/>
      <c r="CY186"/>
      <c r="DA186"/>
      <c r="DB186"/>
      <c r="DC186"/>
      <c r="DD186"/>
      <c r="DE186"/>
      <c r="DF186"/>
      <c r="DG186"/>
      <c r="DI186" s="3">
        <v>1</v>
      </c>
    </row>
    <row r="187" spans="1:113" s="627" customFormat="1" ht="21" customHeight="1">
      <c r="A187" s="701" t="s">
        <v>21</v>
      </c>
      <c r="B187" s="2265" t="str" cm="1">
        <f t="array" ref="B187">SUMPRODUCT(--(D187:J187&lt;&gt;""), LEN(TRIM(SUBSTITUTE(D187:J187, CHAR(160), "")))) &amp; " Car."</f>
        <v>0 Car.</v>
      </c>
      <c r="C187" s="1376" t="str">
        <f>IF(ISBLANK(D187),"",LARGE(C13:C186,1)+1)</f>
        <v/>
      </c>
      <c r="D187" s="1833"/>
      <c r="E187" s="1810"/>
      <c r="F187" s="1810"/>
      <c r="G187" s="1810"/>
      <c r="H187" s="1810"/>
      <c r="I187" s="1810"/>
      <c r="J187" s="1810"/>
      <c r="K187" s="1810"/>
      <c r="L187" s="1811"/>
      <c r="M187" s="9"/>
      <c r="N187" s="162" t="str">
        <f t="shared" si="88"/>
        <v>A</v>
      </c>
      <c r="O187" s="1616"/>
      <c r="P187" s="9"/>
      <c r="Q187" s="162" t="s">
        <v>10</v>
      </c>
      <c r="R187" s="163" t="str">
        <f>R166</f>
        <v>J JUS DE FRAISES DES BOIS | pâtisserie--ENTREMET| Auteur &gt; recette Béghin Say de Jean-Jacques Borne MOF 1994</v>
      </c>
      <c r="S187" s="163">
        <f>S166</f>
        <v>18</v>
      </c>
      <c r="T187" s="164" t="str">
        <f>T166</f>
        <v>desserts</v>
      </c>
      <c r="U187" s="165" t="str">
        <f>U166</f>
        <v>Recette mère ► MILLE-FEUILLE  aux fraises des bois</v>
      </c>
      <c r="V187" s="1548"/>
      <c r="W187" s="1548"/>
      <c r="X187" s="2190">
        <f>ROWS(AB185:AB187)</f>
        <v>3</v>
      </c>
      <c r="Y187" s="5549" t="str" cm="1">
        <f t="array" ref="Y187">IF(SUMPRODUCT((AB187:AG187&lt;&gt;"")*1)=0,"",SUMPRODUCT((AB187:AG187&lt;&gt;"")*(LEN(TRIM(SUBSTITUTE(AB187:AG187,CHAR(160)," "))) - LEN(SUBSTITUTE(TRIM(SUBSTITUTE(AB187:AG187,CHAR(160)," "))," ","")) + 1)) &amp; " mot" &amp; IF(SUMPRODUCT((AB187:AG187&lt;&gt;"")*(LEN(TRIM(SUBSTITUTE(AB187:AG187,CHAR(160)," "))) - LEN(SUBSTITUTE(TRIM(SUBSTITUTE(AB187:AG187,CHAR(160)," "))," ","")) + 1))&gt;1,"s",""))</f>
        <v>12 mots</v>
      </c>
      <c r="Z187" s="5550" t="str" cm="1">
        <f t="array" ref="Z187">SUMPRODUCT(--(AB187:AG187&lt;&gt;""), LEN(TRIM(SUBSTITUTE(AB187:AG187, CHAR(160), "")))) &amp; " Car."</f>
        <v>63 Car.</v>
      </c>
      <c r="AA187" s="1376">
        <f>IF(ISBLANK(AB187),"",LARGE(AA184:AA186,1)+1)</f>
        <v>3</v>
      </c>
      <c r="AB187" s="1810" t="s">
        <v>3080</v>
      </c>
      <c r="AC187" s="1810"/>
      <c r="AD187" s="1810"/>
      <c r="AE187" s="1810"/>
      <c r="AF187" s="1810"/>
      <c r="AG187" s="1810"/>
      <c r="AH187" s="1810"/>
      <c r="AI187" s="5994" t="s">
        <v>173</v>
      </c>
      <c r="AJ187" s="5565">
        <v>1.0416666666666666E-2</v>
      </c>
      <c r="AK187" s="6120" t="str">
        <f t="shared" si="102"/>
        <v>►</v>
      </c>
      <c r="AL187" s="781" t="str">
        <f t="shared" si="90"/>
        <v>►</v>
      </c>
      <c r="AM187" s="5499" t="str">
        <f t="shared" si="93"/>
        <v/>
      </c>
      <c r="AN187" s="783" t="str">
        <f t="shared" si="94"/>
        <v/>
      </c>
      <c r="AO187" s="782" t="str">
        <f t="shared" si="95"/>
        <v/>
      </c>
      <c r="AP187" s="783" t="str">
        <f t="shared" si="96"/>
        <v/>
      </c>
      <c r="AQ187" s="2083" t="b">
        <f>AND(Q187="A",COUNTIF(BP16:BR63,TRIM(Z187))&gt;0)</f>
        <v>0</v>
      </c>
      <c r="AR187" s="797" t="str">
        <f>IF(AL187&lt;&gt;"A","",IFERROR(IFERROR(_xlfn.XLOOKUP(TRIM(SUBSTITUTE(Z187,CHAR(160)," ")),BP16:BP63,BS16:BS63),IFERROR(_xlfn.XLOOKUP(TRIM(SUBSTITUTE(Z187,CHAR(160)," ")),BQ16:BQ63,BS16:BS63),_xlfn.XLOOKUP(TRIM(SUBSTITUTE(Z187,CHAR(160)," ")),BR16:BR63,BS16:BS63)))*Y187*IF(ISBLANK(V187),1,V187),0))</f>
        <v/>
      </c>
      <c r="AS187" s="784" t="str">
        <f t="shared" si="84"/>
        <v/>
      </c>
      <c r="AT187" s="1315" t="str">
        <f t="shared" si="97"/>
        <v/>
      </c>
      <c r="AU187" s="785">
        <f t="shared" si="98"/>
        <v>0</v>
      </c>
      <c r="AV187" s="785">
        <f t="shared" si="99"/>
        <v>0</v>
      </c>
      <c r="AW187" s="786">
        <f>IF(AK187="A",AY10,0)</f>
        <v>0</v>
      </c>
      <c r="AX187" s="5495" t="str">
        <f>IF(IFERROR(SEARCH("Adresse PC",TRIM(W187)),0)&gt;0,"▼ receta siguiente",IF(AK187="A",IF(AZ10&lt;&gt;"",AZ10&amp;" - ou.or.o ❾ + or - &gt;",""),""))</f>
        <v/>
      </c>
      <c r="AY187" s="810"/>
      <c r="AZ187" s="810"/>
      <c r="BA187" s="788" t="str">
        <f t="shared" si="89"/>
        <v/>
      </c>
      <c r="BB187" s="789" t="str">
        <f>IF(AK187="A",IF(AQ187,IF(AND(AW187&lt;&gt;"",N(AW187)&gt;0),IFERROR(IFERROR(_xlfn.XLOOKUP(AP187,BP10:BP57,BT10:BT57),IFERROR(_xlfn.XLOOKUP(AP187,BQ10:BQ57,BT10:BT57),_xlfn.XLOOKUP(AP187,BR10:BR57,BT10:BT57,""))),""),""),""),"")</f>
        <v/>
      </c>
      <c r="BC187" s="811" cm="1">
        <f t="array" ref="BC187">IF(NOT(AQ187),0,IF(OR(BA187="",N(BA187)&lt;=0.000000001),"",IF(OR(AU187="",N(AU187)&lt;=0.000000001),0,IF(ISNUMBER(BA187),IFERROR(_xlfn.LET(_xlpm.ai_test,TRIM(AP187),_xlpm.r,IFERROR(_xlfn.XLOOKUP(_xlpm.ai_test,BP16:BP63,ROW(BP16:BP63),0,1),IFERROR(_xlfn.XLOOKUP(_xlpm.ai_test,BQ16:BQ63,ROW(BQ16:BQ63),0,1),_xlfn.XLOOKUP(_xlpm.ai_test,BR16:BR63,ROW(BR16:BR63),0,1))),_xlpm.p,_xlpm.r-MIN(ROW(BP16:BP63))+1,_xlpm.f,INDEX(BS16:BS63,_xlpm.p),_xlpm.u,INDEX(BT16:BT63,_xlpm.p),_xlpm.s,INDEX(BV16:BV63,_xlpm.p),_xlpm.q,N(BA187)/_xlpm.f,IF(_xlpm.q&gt;=_xlpm.s,ROUND(_xlpm.q,1)&amp;" "&amp;_xlpm.ai_test&amp;" = "&amp;ROUND(_xlpm.q*_xlpm.f,1)&amp;" "&amp;_xlpm.u,ROUND(_xlpm.q,1)&amp;" "&amp;_xlpm.ai_test)),""),""))))</f>
        <v>0</v>
      </c>
      <c r="BD187" s="801"/>
      <c r="BE187" s="788" t="str">
        <f t="shared" si="100"/>
        <v/>
      </c>
      <c r="BF187" s="789" t="str">
        <f t="shared" si="103"/>
        <v/>
      </c>
      <c r="BG187" s="790">
        <f t="shared" si="104"/>
        <v>0</v>
      </c>
      <c r="BH187" s="791" t="str">
        <f t="shared" si="105"/>
        <v/>
      </c>
      <c r="BI187" s="792"/>
      <c r="BJ187" s="793">
        <f t="shared" si="106"/>
        <v>0</v>
      </c>
      <c r="BK187" s="794" t="str">
        <f t="shared" si="101"/>
        <v/>
      </c>
      <c r="BL187" s="227" t="s">
        <v>21</v>
      </c>
      <c r="BM187" s="773">
        <f t="shared" si="91"/>
        <v>0</v>
      </c>
      <c r="BN187" s="774">
        <f t="shared" si="92"/>
        <v>0</v>
      </c>
      <c r="BO187"/>
      <c r="BX187"/>
      <c r="BY187"/>
      <c r="BZ187"/>
      <c r="CA187"/>
      <c r="CB187"/>
      <c r="CC187"/>
      <c r="CD187" s="781" t="str">
        <f t="shared" si="85"/>
        <v>►</v>
      </c>
      <c r="CE187"/>
      <c r="CF187"/>
      <c r="CG187"/>
      <c r="CH187"/>
      <c r="CI187"/>
      <c r="CJ187" s="633"/>
      <c r="CK187"/>
      <c r="CL187"/>
      <c r="CM187"/>
      <c r="CN187"/>
      <c r="CO187"/>
      <c r="CP187"/>
      <c r="CQ187"/>
      <c r="CS187"/>
      <c r="CT187"/>
      <c r="CU187"/>
      <c r="CV187"/>
      <c r="CW187"/>
      <c r="CX187"/>
      <c r="CY187"/>
      <c r="DA187"/>
      <c r="DB187"/>
      <c r="DC187"/>
      <c r="DD187"/>
      <c r="DE187"/>
      <c r="DF187"/>
      <c r="DG187"/>
      <c r="DI187" s="3">
        <v>1</v>
      </c>
    </row>
    <row r="188" spans="1:113" s="627" customFormat="1" ht="21" customHeight="1">
      <c r="A188" s="701" t="s">
        <v>21</v>
      </c>
      <c r="B188" s="2265" t="str" cm="1">
        <f t="array" ref="B188">SUMPRODUCT(--(D188:J188&lt;&gt;""), LEN(TRIM(SUBSTITUTE(D188:J188, CHAR(160), "")))) &amp; " Car."</f>
        <v>0 Car.</v>
      </c>
      <c r="C188" s="1376" t="str">
        <f>IF(ISBLANK(D188),"",LARGE(C13:C187,1)+1)</f>
        <v/>
      </c>
      <c r="D188" s="1833"/>
      <c r="E188" s="1810"/>
      <c r="F188" s="1810"/>
      <c r="G188" s="1810"/>
      <c r="H188" s="1810"/>
      <c r="I188" s="1810"/>
      <c r="J188" s="1810"/>
      <c r="K188" s="1810"/>
      <c r="L188" s="1811"/>
      <c r="M188" s="9"/>
      <c r="N188" s="162" t="str">
        <f t="shared" si="88"/>
        <v>A</v>
      </c>
      <c r="O188" s="1616"/>
      <c r="P188" s="9"/>
      <c r="Q188" s="162" t="s">
        <v>10</v>
      </c>
      <c r="R188" s="163" t="str">
        <f>R166</f>
        <v>J JUS DE FRAISES DES BOIS | pâtisserie--ENTREMET| Auteur &gt; recette Béghin Say de Jean-Jacques Borne MOF 1994</v>
      </c>
      <c r="S188" s="163">
        <f>S166</f>
        <v>18</v>
      </c>
      <c r="T188" s="164" t="str">
        <f>T166</f>
        <v>desserts</v>
      </c>
      <c r="U188" s="165" t="str">
        <f>U166</f>
        <v>Recette mère ► MILLE-FEUILLE  aux fraises des bois</v>
      </c>
      <c r="V188" s="1548"/>
      <c r="W188" s="1548"/>
      <c r="X188" s="2190">
        <f>ROWS(AB185:AB188)</f>
        <v>4</v>
      </c>
      <c r="Y188" s="5549" t="str" cm="1">
        <f t="array" ref="Y188">IF(SUMPRODUCT((AB188:AG188&lt;&gt;"")*1)=0,"",SUMPRODUCT((AB188:AG188&lt;&gt;"")*(LEN(TRIM(SUBSTITUTE(AB188:AG188,CHAR(160)," "))) - LEN(SUBSTITUTE(TRIM(SUBSTITUTE(AB188:AG188,CHAR(160)," "))," ","")) + 1)) &amp; " mot" &amp; IF(SUMPRODUCT((AB188:AG188&lt;&gt;"")*(LEN(TRIM(SUBSTITUTE(AB188:AG188,CHAR(160)," "))) - LEN(SUBSTITUTE(TRIM(SUBSTITUTE(AB188:AG188,CHAR(160)," "))," ","")) + 1))&gt;1,"s",""))</f>
        <v/>
      </c>
      <c r="Z188" s="5550" t="str" cm="1">
        <f t="array" ref="Z188">SUMPRODUCT(--(AB188:AG188&lt;&gt;""), LEN(TRIM(SUBSTITUTE(AB188:AG188, CHAR(160), "")))) &amp; " Car."</f>
        <v>0 Car.</v>
      </c>
      <c r="AA188" s="1376" t="str">
        <f>IF(ISBLANK(AB188),"",LARGE(AA184:AA187,1)+1)</f>
        <v/>
      </c>
      <c r="AB188" s="1810"/>
      <c r="AC188" s="1833"/>
      <c r="AD188" s="1810"/>
      <c r="AE188" s="1810"/>
      <c r="AF188" s="1810"/>
      <c r="AG188" s="1810"/>
      <c r="AH188" s="1810"/>
      <c r="AI188" s="5994" t="s">
        <v>181</v>
      </c>
      <c r="AJ188" s="178">
        <v>2.0833333333333332E-2</v>
      </c>
      <c r="AK188" s="6120" t="str">
        <f t="shared" si="102"/>
        <v>►</v>
      </c>
      <c r="AL188" s="781" t="str">
        <f t="shared" si="90"/>
        <v>►</v>
      </c>
      <c r="AM188" s="5498" t="str">
        <f t="shared" si="93"/>
        <v/>
      </c>
      <c r="AN188" s="783" t="str">
        <f t="shared" si="94"/>
        <v/>
      </c>
      <c r="AO188" s="782" t="str">
        <f t="shared" si="95"/>
        <v/>
      </c>
      <c r="AP188" s="783" t="str">
        <f t="shared" si="96"/>
        <v/>
      </c>
      <c r="AQ188" s="2083" t="b">
        <f>AND(Q188="A",COUNTIF(BP16:BR63,TRIM(Z188))&gt;0)</f>
        <v>0</v>
      </c>
      <c r="AR188" s="797" t="str">
        <f>IF(AL188&lt;&gt;"A","",IFERROR(IFERROR(_xlfn.XLOOKUP(TRIM(SUBSTITUTE(Z188,CHAR(160)," ")),BP16:BP63,BS16:BS63),IFERROR(_xlfn.XLOOKUP(TRIM(SUBSTITUTE(Z188,CHAR(160)," ")),BQ16:BQ63,BS16:BS63),_xlfn.XLOOKUP(TRIM(SUBSTITUTE(Z188,CHAR(160)," ")),BR16:BR63,BS16:BS63)))*Y188*IF(ISBLANK(V188),1,V188),0))</f>
        <v/>
      </c>
      <c r="AS188" s="784" t="str">
        <f t="shared" si="84"/>
        <v/>
      </c>
      <c r="AT188" s="1315" t="str">
        <f t="shared" si="97"/>
        <v/>
      </c>
      <c r="AU188" s="785">
        <f t="shared" si="98"/>
        <v>0</v>
      </c>
      <c r="AV188" s="785">
        <f t="shared" si="99"/>
        <v>0</v>
      </c>
      <c r="AW188" s="798">
        <f>IF(AK188="A",AY10,0)</f>
        <v>0</v>
      </c>
      <c r="AX188" s="5496" t="str">
        <f>IF(IFERROR(SEARCH("Adresse PC",TRIM(W188)),0)&gt;0,"▼ receta siguiente",IF(AK188="A",IF(AZ10&lt;&gt;"",AZ10&amp;" - ou.or.o ❾ + or - &gt;",""),""))</f>
        <v/>
      </c>
      <c r="AY188" s="810"/>
      <c r="AZ188" s="810"/>
      <c r="BA188" s="799" t="str">
        <f t="shared" si="89"/>
        <v/>
      </c>
      <c r="BB188" s="800" t="str">
        <f>IF(AK188="A",IF(AQ188,IF(AND(AW188&lt;&gt;"",N(AW188)&gt;0),IFERROR(IFERROR(_xlfn.XLOOKUP(AP188,BP10:BP57,BT10:BT57),IFERROR(_xlfn.XLOOKUP(AP188,BQ10:BQ57,BT10:BT57),_xlfn.XLOOKUP(AP188,BR10:BR57,BT10:BT57,""))),""),""),""),"")</f>
        <v/>
      </c>
      <c r="BC188" s="813" cm="1">
        <f t="array" ref="BC188">IF(NOT(AQ188),0,IF(OR(BA188="",N(BA188)&lt;=0.000000001),"",IF(OR(AU188="",N(AU188)&lt;=0.000000001),0,IF(ISNUMBER(BA188),IFERROR(_xlfn.LET(_xlpm.ai_test,TRIM(AP188),_xlpm.r,IFERROR(_xlfn.XLOOKUP(_xlpm.ai_test,BP16:BP63,ROW(BP16:BP63),0,1),IFERROR(_xlfn.XLOOKUP(_xlpm.ai_test,BQ16:BQ63,ROW(BQ16:BQ63),0,1),_xlfn.XLOOKUP(_xlpm.ai_test,BR16:BR63,ROW(BR16:BR63),0,1))),_xlpm.p,_xlpm.r-MIN(ROW(BP16:BP63))+1,_xlpm.f,INDEX(BS16:BS63,_xlpm.p),_xlpm.u,INDEX(BT16:BT63,_xlpm.p),_xlpm.s,INDEX(BV16:BV63,_xlpm.p),_xlpm.q,N(BA188)/_xlpm.f,IF(_xlpm.q&gt;=_xlpm.s,ROUND(_xlpm.q,1)&amp;" "&amp;_xlpm.ai_test&amp;" = "&amp;ROUND(_xlpm.q*_xlpm.f,1)&amp;" "&amp;_xlpm.u,ROUND(_xlpm.q,1)&amp;" "&amp;_xlpm.ai_test)),""),""))))</f>
        <v>0</v>
      </c>
      <c r="BD188" s="801"/>
      <c r="BE188" s="799" t="str">
        <f t="shared" si="100"/>
        <v/>
      </c>
      <c r="BF188" s="800" t="str">
        <f t="shared" si="103"/>
        <v/>
      </c>
      <c r="BG188" s="802">
        <f t="shared" si="104"/>
        <v>0</v>
      </c>
      <c r="BH188" s="803" t="str">
        <f t="shared" si="105"/>
        <v/>
      </c>
      <c r="BI188" s="792"/>
      <c r="BJ188" s="804">
        <f t="shared" si="106"/>
        <v>0</v>
      </c>
      <c r="BK188" s="794" t="str">
        <f t="shared" si="101"/>
        <v/>
      </c>
      <c r="BL188" s="227" t="s">
        <v>21</v>
      </c>
      <c r="BM188" s="773">
        <f t="shared" si="91"/>
        <v>0</v>
      </c>
      <c r="BN188" s="774">
        <f t="shared" si="92"/>
        <v>0</v>
      </c>
      <c r="BO188"/>
      <c r="BX188"/>
      <c r="BY188"/>
      <c r="BZ188"/>
      <c r="CA188"/>
      <c r="CB188"/>
      <c r="CC188"/>
      <c r="CD188" s="781" t="str">
        <f t="shared" si="85"/>
        <v>►</v>
      </c>
      <c r="CE188"/>
      <c r="CF188"/>
      <c r="CG188"/>
      <c r="CH188"/>
      <c r="CI188"/>
      <c r="CJ188" s="633"/>
      <c r="CK188"/>
      <c r="CL188"/>
      <c r="CM188"/>
      <c r="CN188"/>
      <c r="CO188"/>
      <c r="CP188"/>
      <c r="CQ188"/>
      <c r="CS188"/>
      <c r="CT188"/>
      <c r="CU188"/>
      <c r="CV188"/>
      <c r="CW188"/>
      <c r="CX188"/>
      <c r="CY188"/>
      <c r="DA188"/>
      <c r="DB188"/>
      <c r="DC188"/>
      <c r="DD188"/>
      <c r="DE188"/>
      <c r="DF188"/>
      <c r="DG188"/>
      <c r="DI188" s="3">
        <v>1</v>
      </c>
    </row>
    <row r="189" spans="1:113" s="627" customFormat="1" ht="21" customHeight="1">
      <c r="A189" s="701" t="s">
        <v>21</v>
      </c>
      <c r="B189" s="2265" t="str" cm="1">
        <f t="array" ref="B189">SUMPRODUCT(--(D189:J189&lt;&gt;""), LEN(TRIM(SUBSTITUTE(D189:J189, CHAR(160), "")))) &amp; " Car."</f>
        <v>0 Car.</v>
      </c>
      <c r="C189" s="1376" t="str">
        <f>IF(ISBLANK(D189),"",LARGE(C13:C188,1)+1)</f>
        <v/>
      </c>
      <c r="D189" s="1833"/>
      <c r="E189" s="1810"/>
      <c r="F189" s="1810"/>
      <c r="G189" s="1810"/>
      <c r="H189" s="1810"/>
      <c r="I189" s="1810"/>
      <c r="J189" s="1810"/>
      <c r="K189" s="1810"/>
      <c r="L189" s="1811"/>
      <c r="M189" s="9"/>
      <c r="N189" s="162" t="str">
        <f t="shared" si="88"/>
        <v>A</v>
      </c>
      <c r="O189" s="1616"/>
      <c r="P189" s="9"/>
      <c r="Q189" s="162" t="s">
        <v>10</v>
      </c>
      <c r="R189" s="163" t="str">
        <f>R166</f>
        <v>J JUS DE FRAISES DES BOIS | pâtisserie--ENTREMET| Auteur &gt; recette Béghin Say de Jean-Jacques Borne MOF 1994</v>
      </c>
      <c r="S189" s="163">
        <f>S166</f>
        <v>18</v>
      </c>
      <c r="T189" s="164" t="str">
        <f>T166</f>
        <v>desserts</v>
      </c>
      <c r="U189" s="165" t="str">
        <f>U166</f>
        <v>Recette mère ► MILLE-FEUILLE  aux fraises des bois</v>
      </c>
      <c r="V189" s="1548"/>
      <c r="W189" s="1548"/>
      <c r="X189" s="2190">
        <f>ROWS(AB185:AB189)</f>
        <v>5</v>
      </c>
      <c r="Y189" s="5549" t="str" cm="1">
        <f t="array" ref="Y189">IF(SUMPRODUCT((AB189:AG189&lt;&gt;"")*1)=0,"",SUMPRODUCT((AB189:AG189&lt;&gt;"")*(LEN(TRIM(SUBSTITUTE(AB189:AG189,CHAR(160)," "))) - LEN(SUBSTITUTE(TRIM(SUBSTITUTE(AB189:AG189,CHAR(160)," "))," ","")) + 1)) &amp; " mot" &amp; IF(SUMPRODUCT((AB189:AG189&lt;&gt;"")*(LEN(TRIM(SUBSTITUTE(AB189:AG189,CHAR(160)," "))) - LEN(SUBSTITUTE(TRIM(SUBSTITUTE(AB189:AG189,CHAR(160)," "))," ","")) + 1))&gt;1,"s",""))</f>
        <v/>
      </c>
      <c r="Z189" s="5550" t="str" cm="1">
        <f t="array" ref="Z189">SUMPRODUCT(--(AB189:AG189&lt;&gt;""), LEN(TRIM(SUBSTITUTE(AB189:AG189, CHAR(160), "")))) &amp; " Car."</f>
        <v>0 Car.</v>
      </c>
      <c r="AA189" s="1376" t="str">
        <f>IF(ISBLANK(AB189),"",LARGE(AA184:AA188,1)+1)</f>
        <v/>
      </c>
      <c r="AB189" s="1810"/>
      <c r="AC189" s="1810"/>
      <c r="AD189" s="1810"/>
      <c r="AE189" s="1810"/>
      <c r="AF189" s="1810"/>
      <c r="AG189" s="1810"/>
      <c r="AH189" s="1810"/>
      <c r="AI189" s="179" t="s">
        <v>182</v>
      </c>
      <c r="AJ189" s="180">
        <f>AJ186+AJ187+AJ188</f>
        <v>3.4722222222222224E-2</v>
      </c>
      <c r="AK189" s="6120" t="str">
        <f t="shared" si="102"/>
        <v>►</v>
      </c>
      <c r="AL189" s="781" t="str">
        <f t="shared" si="90"/>
        <v>►</v>
      </c>
      <c r="AM189" s="5499" t="str">
        <f t="shared" si="93"/>
        <v/>
      </c>
      <c r="AN189" s="783" t="str">
        <f t="shared" si="94"/>
        <v/>
      </c>
      <c r="AO189" s="782" t="str">
        <f t="shared" si="95"/>
        <v/>
      </c>
      <c r="AP189" s="783" t="str">
        <f t="shared" si="96"/>
        <v/>
      </c>
      <c r="AQ189" s="2083" t="b">
        <f>AND(Q189="A",COUNTIF(BP16:BR63,TRIM(Z189))&gt;0)</f>
        <v>0</v>
      </c>
      <c r="AR189" s="797" t="str">
        <f>IF(AL189&lt;&gt;"A","",IFERROR(IFERROR(_xlfn.XLOOKUP(TRIM(SUBSTITUTE(Z189,CHAR(160)," ")),BP16:BP63,BS16:BS63),IFERROR(_xlfn.XLOOKUP(TRIM(SUBSTITUTE(Z189,CHAR(160)," ")),BQ16:BQ63,BS16:BS63),_xlfn.XLOOKUP(TRIM(SUBSTITUTE(Z189,CHAR(160)," ")),BR16:BR63,BS16:BS63)))*Y189*IF(ISBLANK(V189),1,V189),0))</f>
        <v/>
      </c>
      <c r="AS189" s="784" t="str">
        <f t="shared" si="84"/>
        <v/>
      </c>
      <c r="AT189" s="1315" t="str">
        <f t="shared" si="97"/>
        <v/>
      </c>
      <c r="AU189" s="785">
        <f t="shared" si="98"/>
        <v>0</v>
      </c>
      <c r="AV189" s="785">
        <f t="shared" si="99"/>
        <v>0</v>
      </c>
      <c r="AW189" s="786">
        <f>IF(AK189="A",AY10,0)</f>
        <v>0</v>
      </c>
      <c r="AX189" s="5495" t="str">
        <f>IF(IFERROR(SEARCH("Adresse PC",TRIM(W189)),0)&gt;0,"▼ receta siguiente",IF(AK189="A",IF(AZ10&lt;&gt;"",AZ10&amp;" - ou.or.o ❾ + or - &gt;",""),""))</f>
        <v/>
      </c>
      <c r="AY189" s="810"/>
      <c r="AZ189" s="810"/>
      <c r="BA189" s="788" t="str">
        <f t="shared" si="89"/>
        <v/>
      </c>
      <c r="BB189" s="789" t="str">
        <f>IF(AK189="A",IF(AQ189,IF(AND(AW189&lt;&gt;"",N(AW189)&gt;0),IFERROR(IFERROR(_xlfn.XLOOKUP(AP189,BP10:BP57,BT10:BT57),IFERROR(_xlfn.XLOOKUP(AP189,BQ10:BQ57,BT10:BT57),_xlfn.XLOOKUP(AP189,BR10:BR57,BT10:BT57,""))),""),""),""),"")</f>
        <v/>
      </c>
      <c r="BC189" s="811" cm="1">
        <f t="array" ref="BC189">IF(NOT(AQ189),0,IF(OR(BA189="",N(BA189)&lt;=0.000000001),"",IF(OR(AU189="",N(AU189)&lt;=0.000000001),0,IF(ISNUMBER(BA189),IFERROR(_xlfn.LET(_xlpm.ai_test,TRIM(AP189),_xlpm.r,IFERROR(_xlfn.XLOOKUP(_xlpm.ai_test,BP16:BP63,ROW(BP16:BP63),0,1),IFERROR(_xlfn.XLOOKUP(_xlpm.ai_test,BQ16:BQ63,ROW(BQ16:BQ63),0,1),_xlfn.XLOOKUP(_xlpm.ai_test,BR16:BR63,ROW(BR16:BR63),0,1))),_xlpm.p,_xlpm.r-MIN(ROW(BP16:BP63))+1,_xlpm.f,INDEX(BS16:BS63,_xlpm.p),_xlpm.u,INDEX(BT16:BT63,_xlpm.p),_xlpm.s,INDEX(BV16:BV63,_xlpm.p),_xlpm.q,N(BA189)/_xlpm.f,IF(_xlpm.q&gt;=_xlpm.s,ROUND(_xlpm.q,1)&amp;" "&amp;_xlpm.ai_test&amp;" = "&amp;ROUND(_xlpm.q*_xlpm.f,1)&amp;" "&amp;_xlpm.u,ROUND(_xlpm.q,1)&amp;" "&amp;_xlpm.ai_test)),""),""))))</f>
        <v>0</v>
      </c>
      <c r="BD189" s="801"/>
      <c r="BE189" s="788" t="str">
        <f t="shared" si="100"/>
        <v/>
      </c>
      <c r="BF189" s="789" t="str">
        <f t="shared" si="103"/>
        <v/>
      </c>
      <c r="BG189" s="790">
        <f t="shared" si="104"/>
        <v>0</v>
      </c>
      <c r="BH189" s="791" t="str">
        <f t="shared" si="105"/>
        <v/>
      </c>
      <c r="BI189" s="792"/>
      <c r="BJ189" s="793">
        <f t="shared" si="106"/>
        <v>0</v>
      </c>
      <c r="BK189" s="794" t="str">
        <f t="shared" si="101"/>
        <v/>
      </c>
      <c r="BL189" s="227" t="s">
        <v>21</v>
      </c>
      <c r="BM189" s="773">
        <f t="shared" si="91"/>
        <v>0</v>
      </c>
      <c r="BN189" s="774">
        <f t="shared" si="92"/>
        <v>0</v>
      </c>
      <c r="BO189"/>
      <c r="BX189"/>
      <c r="BY189"/>
      <c r="BZ189"/>
      <c r="CA189"/>
      <c r="CB189"/>
      <c r="CC189"/>
      <c r="CD189" s="781" t="str">
        <f t="shared" si="85"/>
        <v>►</v>
      </c>
      <c r="CE189"/>
      <c r="CF189"/>
      <c r="CG189"/>
      <c r="CH189"/>
      <c r="CI189"/>
      <c r="CJ189" s="633"/>
      <c r="CK189"/>
      <c r="CL189"/>
      <c r="CM189"/>
      <c r="CN189"/>
      <c r="CO189"/>
      <c r="CP189"/>
      <c r="CQ189"/>
      <c r="CS189"/>
      <c r="CT189"/>
      <c r="CU189"/>
      <c r="CV189"/>
      <c r="CW189"/>
      <c r="CX189"/>
      <c r="CY189"/>
      <c r="DA189"/>
      <c r="DB189"/>
      <c r="DC189"/>
      <c r="DD189"/>
      <c r="DE189"/>
      <c r="DF189"/>
      <c r="DG189"/>
      <c r="DI189" s="3">
        <v>1</v>
      </c>
    </row>
    <row r="190" spans="1:113" s="627" customFormat="1" ht="21" customHeight="1">
      <c r="A190" s="701" t="s">
        <v>21</v>
      </c>
      <c r="B190" s="2265" t="str" cm="1">
        <f t="array" ref="B190">SUMPRODUCT(--(D190:J190&lt;&gt;""), LEN(TRIM(SUBSTITUTE(D190:J190, CHAR(160), "")))) &amp; " Car."</f>
        <v>0 Car.</v>
      </c>
      <c r="C190" s="1376" t="str">
        <f>IF(ISBLANK(D190),"",LARGE(C13:C189,1)+1)</f>
        <v/>
      </c>
      <c r="D190" s="1833"/>
      <c r="E190" s="1810"/>
      <c r="F190" s="1810"/>
      <c r="G190" s="1810"/>
      <c r="H190" s="1810"/>
      <c r="I190" s="1810"/>
      <c r="J190" s="1810"/>
      <c r="K190" s="1810"/>
      <c r="L190" s="1811"/>
      <c r="M190" s="9"/>
      <c r="N190" s="162" t="str">
        <f t="shared" si="88"/>
        <v>A</v>
      </c>
      <c r="O190" s="1616"/>
      <c r="P190" s="9"/>
      <c r="Q190" s="162" t="s">
        <v>10</v>
      </c>
      <c r="R190" s="163" t="str">
        <f>R166</f>
        <v>J JUS DE FRAISES DES BOIS | pâtisserie--ENTREMET| Auteur &gt; recette Béghin Say de Jean-Jacques Borne MOF 1994</v>
      </c>
      <c r="S190" s="163">
        <f>S166</f>
        <v>18</v>
      </c>
      <c r="T190" s="164" t="str">
        <f>T166</f>
        <v>desserts</v>
      </c>
      <c r="U190" s="165" t="str">
        <f>U166</f>
        <v>Recette mère ► MILLE-FEUILLE  aux fraises des bois</v>
      </c>
      <c r="V190" s="1548"/>
      <c r="W190" s="1548"/>
      <c r="X190" s="2190">
        <f>ROWS(AB185:AB190)</f>
        <v>6</v>
      </c>
      <c r="Y190" s="5549" t="str" cm="1">
        <f t="array" ref="Y190">IF(SUMPRODUCT((AB190:AG190&lt;&gt;"")*1)=0,"",SUMPRODUCT((AB190:AG190&lt;&gt;"")*(LEN(TRIM(SUBSTITUTE(AB190:AG190,CHAR(160)," "))) - LEN(SUBSTITUTE(TRIM(SUBSTITUTE(AB190:AG190,CHAR(160)," "))," ","")) + 1)) &amp; " mot" &amp; IF(SUMPRODUCT((AB190:AG190&lt;&gt;"")*(LEN(TRIM(SUBSTITUTE(AB190:AG190,CHAR(160)," "))) - LEN(SUBSTITUTE(TRIM(SUBSTITUTE(AB190:AG190,CHAR(160)," "))," ","")) + 1))&gt;1,"s",""))</f>
        <v/>
      </c>
      <c r="Z190" s="5550" t="str" cm="1">
        <f t="array" ref="Z190">SUMPRODUCT(--(AB190:AG190&lt;&gt;""), LEN(TRIM(SUBSTITUTE(AB190:AG190, CHAR(160), "")))) &amp; " Car."</f>
        <v>0 Car.</v>
      </c>
      <c r="AA190" s="1376" t="str">
        <f>IF(ISBLANK(AB190),"",LARGE(AA184:AA189,1)+1)</f>
        <v/>
      </c>
      <c r="AB190" s="1810"/>
      <c r="AC190" s="1833"/>
      <c r="AD190" s="1810"/>
      <c r="AE190" s="1810"/>
      <c r="AF190" s="1810"/>
      <c r="AG190" s="1810"/>
      <c r="AH190" s="1810"/>
      <c r="AI190" s="1810"/>
      <c r="AJ190" s="1811"/>
      <c r="AK190" s="6120" t="str">
        <f t="shared" si="102"/>
        <v>►</v>
      </c>
      <c r="AL190" s="781" t="str">
        <f t="shared" si="90"/>
        <v>►</v>
      </c>
      <c r="AM190" s="5498" t="str">
        <f t="shared" si="93"/>
        <v/>
      </c>
      <c r="AN190" s="783" t="str">
        <f t="shared" si="94"/>
        <v/>
      </c>
      <c r="AO190" s="782" t="str">
        <f t="shared" si="95"/>
        <v/>
      </c>
      <c r="AP190" s="783" t="str">
        <f t="shared" si="96"/>
        <v/>
      </c>
      <c r="AQ190" s="2083" t="b">
        <f>AND(Q190="A",COUNTIF(BP16:BR63,TRIM(Z190))&gt;0)</f>
        <v>0</v>
      </c>
      <c r="AR190" s="797" t="str">
        <f>IF(AL190&lt;&gt;"A","",IFERROR(IFERROR(_xlfn.XLOOKUP(TRIM(SUBSTITUTE(Z190,CHAR(160)," ")),BP16:BP63,BS16:BS63),IFERROR(_xlfn.XLOOKUP(TRIM(SUBSTITUTE(Z190,CHAR(160)," ")),BQ16:BQ63,BS16:BS63),_xlfn.XLOOKUP(TRIM(SUBSTITUTE(Z190,CHAR(160)," ")),BR16:BR63,BS16:BS63)))*Y190*IF(ISBLANK(V190),1,V190),0))</f>
        <v/>
      </c>
      <c r="AS190" s="784" t="str">
        <f t="shared" si="84"/>
        <v/>
      </c>
      <c r="AT190" s="1315" t="str">
        <f t="shared" si="97"/>
        <v/>
      </c>
      <c r="AU190" s="785">
        <f t="shared" si="98"/>
        <v>0</v>
      </c>
      <c r="AV190" s="785">
        <f t="shared" si="99"/>
        <v>0</v>
      </c>
      <c r="AW190" s="798">
        <f>IF(AK190="A",AY10,0)</f>
        <v>0</v>
      </c>
      <c r="AX190" s="5496" t="str">
        <f>IF(IFERROR(SEARCH("Adresse PC",TRIM(W190)),0)&gt;0,"▼ receta siguiente",IF(AK190="A",IF(AZ10&lt;&gt;"",AZ10&amp;" - ou.or.o ❾ + or - &gt;",""),""))</f>
        <v/>
      </c>
      <c r="AY190" s="810"/>
      <c r="AZ190" s="810"/>
      <c r="BA190" s="799" t="str">
        <f t="shared" si="89"/>
        <v/>
      </c>
      <c r="BB190" s="800" t="str">
        <f>IF(AK190="A",IF(AQ190,IF(AND(AW190&lt;&gt;"",N(AW190)&gt;0),IFERROR(IFERROR(_xlfn.XLOOKUP(AP190,BP10:BP57,BT10:BT57),IFERROR(_xlfn.XLOOKUP(AP190,BQ10:BQ57,BT10:BT57),_xlfn.XLOOKUP(AP190,BR10:BR57,BT10:BT57,""))),""),""),""),"")</f>
        <v/>
      </c>
      <c r="BC190" s="813" cm="1">
        <f t="array" ref="BC190">IF(NOT(AQ190),0,IF(OR(BA190="",N(BA190)&lt;=0.000000001),"",IF(OR(AU190="",N(AU190)&lt;=0.000000001),0,IF(ISNUMBER(BA190),IFERROR(_xlfn.LET(_xlpm.ai_test,TRIM(AP190),_xlpm.r,IFERROR(_xlfn.XLOOKUP(_xlpm.ai_test,BP16:BP63,ROW(BP16:BP63),0,1),IFERROR(_xlfn.XLOOKUP(_xlpm.ai_test,BQ16:BQ63,ROW(BQ16:BQ63),0,1),_xlfn.XLOOKUP(_xlpm.ai_test,BR16:BR63,ROW(BR16:BR63),0,1))),_xlpm.p,_xlpm.r-MIN(ROW(BP16:BP63))+1,_xlpm.f,INDEX(BS16:BS63,_xlpm.p),_xlpm.u,INDEX(BT16:BT63,_xlpm.p),_xlpm.s,INDEX(BV16:BV63,_xlpm.p),_xlpm.q,N(BA190)/_xlpm.f,IF(_xlpm.q&gt;=_xlpm.s,ROUND(_xlpm.q,1)&amp;" "&amp;_xlpm.ai_test&amp;" = "&amp;ROUND(_xlpm.q*_xlpm.f,1)&amp;" "&amp;_xlpm.u,ROUND(_xlpm.q,1)&amp;" "&amp;_xlpm.ai_test)),""),""))))</f>
        <v>0</v>
      </c>
      <c r="BD190" s="801"/>
      <c r="BE190" s="799" t="str">
        <f t="shared" si="100"/>
        <v/>
      </c>
      <c r="BF190" s="800" t="str">
        <f t="shared" si="103"/>
        <v/>
      </c>
      <c r="BG190" s="802">
        <f t="shared" si="104"/>
        <v>0</v>
      </c>
      <c r="BH190" s="803" t="str">
        <f t="shared" si="105"/>
        <v/>
      </c>
      <c r="BI190" s="792"/>
      <c r="BJ190" s="804">
        <f t="shared" si="106"/>
        <v>0</v>
      </c>
      <c r="BK190" s="794" t="str">
        <f t="shared" si="101"/>
        <v/>
      </c>
      <c r="BL190" s="227" t="s">
        <v>21</v>
      </c>
      <c r="BM190" s="773">
        <f t="shared" si="91"/>
        <v>0</v>
      </c>
      <c r="BN190" s="774">
        <f t="shared" si="92"/>
        <v>0</v>
      </c>
      <c r="BO190"/>
      <c r="BX190"/>
      <c r="BY190"/>
      <c r="BZ190"/>
      <c r="CA190"/>
      <c r="CB190"/>
      <c r="CC190"/>
      <c r="CD190" s="781" t="str">
        <f t="shared" si="85"/>
        <v>►</v>
      </c>
      <c r="CE190"/>
      <c r="CF190"/>
      <c r="CG190"/>
      <c r="CH190"/>
      <c r="CI190"/>
      <c r="CJ190" s="633"/>
      <c r="CK190"/>
      <c r="CL190"/>
      <c r="CM190"/>
      <c r="CN190"/>
      <c r="CO190"/>
      <c r="CP190"/>
      <c r="CQ190"/>
      <c r="CS190"/>
      <c r="CT190"/>
      <c r="CU190"/>
      <c r="CV190"/>
      <c r="CW190"/>
      <c r="CX190"/>
      <c r="CY190"/>
      <c r="DA190"/>
      <c r="DB190"/>
      <c r="DC190"/>
      <c r="DD190"/>
      <c r="DE190"/>
      <c r="DF190"/>
      <c r="DG190"/>
      <c r="DI190" s="3">
        <v>1</v>
      </c>
    </row>
    <row r="191" spans="1:113" s="627" customFormat="1" ht="21" customHeight="1">
      <c r="A191" s="701" t="s">
        <v>21</v>
      </c>
      <c r="B191" s="2265" t="str" cm="1">
        <f t="array" ref="B191">SUMPRODUCT(--(D191:J191&lt;&gt;""), LEN(TRIM(SUBSTITUTE(D191:J191, CHAR(160), "")))) &amp; " Car."</f>
        <v>0 Car.</v>
      </c>
      <c r="C191" s="1376" t="str">
        <f>IF(ISBLANK(D191),"",LARGE(C13:C190,1)+1)</f>
        <v/>
      </c>
      <c r="D191" s="1833"/>
      <c r="E191" s="1810"/>
      <c r="F191" s="1810"/>
      <c r="G191" s="1810"/>
      <c r="H191" s="1810"/>
      <c r="I191" s="1810"/>
      <c r="J191" s="1810"/>
      <c r="K191" s="1810"/>
      <c r="L191" s="1811"/>
      <c r="M191" s="9"/>
      <c r="N191" s="162" t="str">
        <f t="shared" si="88"/>
        <v>A</v>
      </c>
      <c r="O191" s="1616"/>
      <c r="P191" s="9"/>
      <c r="Q191" s="162" t="s">
        <v>10</v>
      </c>
      <c r="R191" s="163" t="str">
        <f>R166</f>
        <v>J JUS DE FRAISES DES BOIS | pâtisserie--ENTREMET| Auteur &gt; recette Béghin Say de Jean-Jacques Borne MOF 1994</v>
      </c>
      <c r="S191" s="163">
        <f>S166</f>
        <v>18</v>
      </c>
      <c r="T191" s="164" t="str">
        <f>T166</f>
        <v>desserts</v>
      </c>
      <c r="U191" s="165" t="str">
        <f>U166</f>
        <v>Recette mère ► MILLE-FEUILLE  aux fraises des bois</v>
      </c>
      <c r="V191" s="1548"/>
      <c r="W191" s="1548"/>
      <c r="X191" s="2190">
        <f>ROWS(AB185:AB191)</f>
        <v>7</v>
      </c>
      <c r="Y191" s="5549" t="str" cm="1">
        <f t="array" ref="Y191">IF(SUMPRODUCT((AB191:AG191&lt;&gt;"")*1)=0,"",SUMPRODUCT((AB191:AG191&lt;&gt;"")*(LEN(TRIM(SUBSTITUTE(AB191:AG191,CHAR(160)," "))) - LEN(SUBSTITUTE(TRIM(SUBSTITUTE(AB191:AG191,CHAR(160)," "))," ","")) + 1)) &amp; " mot" &amp; IF(SUMPRODUCT((AB191:AG191&lt;&gt;"")*(LEN(TRIM(SUBSTITUTE(AB191:AG191,CHAR(160)," "))) - LEN(SUBSTITUTE(TRIM(SUBSTITUTE(AB191:AG191,CHAR(160)," "))," ","")) + 1))&gt;1,"s",""))</f>
        <v/>
      </c>
      <c r="Z191" s="5550" t="str" cm="1">
        <f t="array" ref="Z191">SUMPRODUCT(--(AB191:AG191&lt;&gt;""), LEN(TRIM(SUBSTITUTE(AB191:AG191, CHAR(160), "")))) &amp; " Car."</f>
        <v>0 Car.</v>
      </c>
      <c r="AA191" s="1376" t="str">
        <f>IF(ISBLANK(AB191),"",LARGE(AA184:AA190,1)+1)</f>
        <v/>
      </c>
      <c r="AB191" s="1810"/>
      <c r="AC191" s="1810"/>
      <c r="AD191" s="1810"/>
      <c r="AE191" s="1810"/>
      <c r="AF191" s="1810"/>
      <c r="AG191" s="1810"/>
      <c r="AH191" s="1810"/>
      <c r="AI191" s="1810"/>
      <c r="AJ191" s="1811"/>
      <c r="AK191" s="6120" t="str">
        <f t="shared" si="102"/>
        <v>►</v>
      </c>
      <c r="AL191" s="781" t="str">
        <f t="shared" si="90"/>
        <v>►</v>
      </c>
      <c r="AM191" s="5499" t="str">
        <f t="shared" si="93"/>
        <v/>
      </c>
      <c r="AN191" s="783" t="str">
        <f t="shared" si="94"/>
        <v/>
      </c>
      <c r="AO191" s="782" t="str">
        <f t="shared" si="95"/>
        <v/>
      </c>
      <c r="AP191" s="783" t="str">
        <f t="shared" si="96"/>
        <v/>
      </c>
      <c r="AQ191" s="2083" t="b">
        <f>AND(Q191="A",COUNTIF(BP16:BR63,TRIM(Z191))&gt;0)</f>
        <v>0</v>
      </c>
      <c r="AR191" s="797" t="str">
        <f>IF(AL191&lt;&gt;"A","",IFERROR(IFERROR(_xlfn.XLOOKUP(TRIM(SUBSTITUTE(Z191,CHAR(160)," ")),BP16:BP63,BS16:BS63),IFERROR(_xlfn.XLOOKUP(TRIM(SUBSTITUTE(Z191,CHAR(160)," ")),BQ16:BQ63,BS16:BS63),_xlfn.XLOOKUP(TRIM(SUBSTITUTE(Z191,CHAR(160)," ")),BR16:BR63,BS16:BS63)))*Y191*IF(ISBLANK(V191),1,V191),0))</f>
        <v/>
      </c>
      <c r="AS191" s="784" t="str">
        <f t="shared" si="84"/>
        <v/>
      </c>
      <c r="AT191" s="1315" t="str">
        <f t="shared" si="97"/>
        <v/>
      </c>
      <c r="AU191" s="785">
        <f t="shared" si="98"/>
        <v>0</v>
      </c>
      <c r="AV191" s="785">
        <f t="shared" si="99"/>
        <v>0</v>
      </c>
      <c r="AW191" s="786">
        <f>IF(AK191="A",AY10,0)</f>
        <v>0</v>
      </c>
      <c r="AX191" s="5495" t="str">
        <f>IF(IFERROR(SEARCH("Adresse PC",TRIM(W191)),0)&gt;0,"▼ receta siguiente",IF(AK191="A",IF(AZ10&lt;&gt;"",AZ10&amp;" - ou.or.o ❾ + or - &gt;",""),""))</f>
        <v/>
      </c>
      <c r="AY191" s="810"/>
      <c r="AZ191" s="810"/>
      <c r="BA191" s="788" t="str">
        <f t="shared" si="89"/>
        <v/>
      </c>
      <c r="BB191" s="789" t="str">
        <f>IF(AK191="A",IF(AQ191,IF(AND(AW191&lt;&gt;"",N(AW191)&gt;0),IFERROR(IFERROR(_xlfn.XLOOKUP(AP191,BP10:BP57,BT10:BT57),IFERROR(_xlfn.XLOOKUP(AP191,BQ10:BQ57,BT10:BT57),_xlfn.XLOOKUP(AP191,BR10:BR57,BT10:BT57,""))),""),""),""),"")</f>
        <v/>
      </c>
      <c r="BC191" s="811" cm="1">
        <f t="array" ref="BC191">IF(NOT(AQ191),0,IF(OR(BA191="",N(BA191)&lt;=0.000000001),"",IF(OR(AU191="",N(AU191)&lt;=0.000000001),0,IF(ISNUMBER(BA191),IFERROR(_xlfn.LET(_xlpm.ai_test,TRIM(AP191),_xlpm.r,IFERROR(_xlfn.XLOOKUP(_xlpm.ai_test,BP16:BP63,ROW(BP16:BP63),0,1),IFERROR(_xlfn.XLOOKUP(_xlpm.ai_test,BQ16:BQ63,ROW(BQ16:BQ63),0,1),_xlfn.XLOOKUP(_xlpm.ai_test,BR16:BR63,ROW(BR16:BR63),0,1))),_xlpm.p,_xlpm.r-MIN(ROW(BP16:BP63))+1,_xlpm.f,INDEX(BS16:BS63,_xlpm.p),_xlpm.u,INDEX(BT16:BT63,_xlpm.p),_xlpm.s,INDEX(BV16:BV63,_xlpm.p),_xlpm.q,N(BA191)/_xlpm.f,IF(_xlpm.q&gt;=_xlpm.s,ROUND(_xlpm.q,1)&amp;" "&amp;_xlpm.ai_test&amp;" = "&amp;ROUND(_xlpm.q*_xlpm.f,1)&amp;" "&amp;_xlpm.u,ROUND(_xlpm.q,1)&amp;" "&amp;_xlpm.ai_test)),""),""))))</f>
        <v>0</v>
      </c>
      <c r="BD191" s="801"/>
      <c r="BE191" s="788" t="str">
        <f t="shared" si="100"/>
        <v/>
      </c>
      <c r="BF191" s="789" t="str">
        <f t="shared" si="103"/>
        <v/>
      </c>
      <c r="BG191" s="790">
        <f t="shared" si="104"/>
        <v>0</v>
      </c>
      <c r="BH191" s="791" t="str">
        <f t="shared" si="105"/>
        <v/>
      </c>
      <c r="BI191" s="792"/>
      <c r="BJ191" s="793">
        <f t="shared" si="106"/>
        <v>0</v>
      </c>
      <c r="BK191" s="794" t="str">
        <f t="shared" si="101"/>
        <v/>
      </c>
      <c r="BL191" s="227" t="s">
        <v>21</v>
      </c>
      <c r="BM191" s="773">
        <f t="shared" si="91"/>
        <v>0</v>
      </c>
      <c r="BN191" s="774">
        <f t="shared" si="92"/>
        <v>0</v>
      </c>
      <c r="BO191"/>
      <c r="BX191"/>
      <c r="BY191"/>
      <c r="BZ191"/>
      <c r="CA191"/>
      <c r="CB191"/>
      <c r="CC191"/>
      <c r="CD191" s="781" t="str">
        <f t="shared" si="85"/>
        <v>►</v>
      </c>
      <c r="CE191"/>
      <c r="CF191"/>
      <c r="CG191"/>
      <c r="CH191"/>
      <c r="CI191"/>
      <c r="CJ191" s="633"/>
      <c r="CK191"/>
      <c r="CL191"/>
      <c r="CM191"/>
      <c r="CN191"/>
      <c r="CO191"/>
      <c r="CP191"/>
      <c r="CQ191"/>
      <c r="CS191"/>
      <c r="CT191"/>
      <c r="CU191"/>
      <c r="CV191"/>
      <c r="CW191"/>
      <c r="CX191"/>
      <c r="CY191"/>
      <c r="DA191"/>
      <c r="DB191"/>
      <c r="DC191"/>
      <c r="DD191"/>
      <c r="DE191"/>
      <c r="DF191"/>
      <c r="DG191"/>
      <c r="DI191" s="3">
        <v>1</v>
      </c>
    </row>
    <row r="192" spans="1:113" s="627" customFormat="1" ht="21" customHeight="1">
      <c r="A192" s="701" t="s">
        <v>21</v>
      </c>
      <c r="B192" s="2265" t="str" cm="1">
        <f t="array" ref="B192">SUMPRODUCT(--(D192:J192&lt;&gt;""), LEN(TRIM(SUBSTITUTE(D192:J192, CHAR(160), "")))) &amp; " Car."</f>
        <v>0 Car.</v>
      </c>
      <c r="C192" s="1376" t="str">
        <f>IF(ISBLANK(D192),"",LARGE(C13:C191,1)+1)</f>
        <v/>
      </c>
      <c r="D192" s="1833"/>
      <c r="E192" s="1810"/>
      <c r="F192" s="1810"/>
      <c r="G192" s="1810"/>
      <c r="H192" s="1810"/>
      <c r="I192" s="1810"/>
      <c r="J192" s="1810"/>
      <c r="K192" s="1810"/>
      <c r="L192" s="1811"/>
      <c r="M192" s="9"/>
      <c r="N192" s="162" t="str">
        <f t="shared" si="88"/>
        <v>A</v>
      </c>
      <c r="O192" s="1616"/>
      <c r="P192" s="9"/>
      <c r="Q192" s="162" t="s">
        <v>10</v>
      </c>
      <c r="R192" s="163" t="str">
        <f>R166</f>
        <v>J JUS DE FRAISES DES BOIS | pâtisserie--ENTREMET| Auteur &gt; recette Béghin Say de Jean-Jacques Borne MOF 1994</v>
      </c>
      <c r="S192" s="163">
        <f>S166</f>
        <v>18</v>
      </c>
      <c r="T192" s="164" t="str">
        <f>T166</f>
        <v>desserts</v>
      </c>
      <c r="U192" s="165" t="str">
        <f>U166</f>
        <v>Recette mère ► MILLE-FEUILLE  aux fraises des bois</v>
      </c>
      <c r="V192" s="1548"/>
      <c r="W192" s="1548"/>
      <c r="X192" s="2190">
        <f>ROWS(AB185:AB192)</f>
        <v>8</v>
      </c>
      <c r="Y192" s="5549" t="str" cm="1">
        <f t="array" ref="Y192">IF(SUMPRODUCT((AB192:AG192&lt;&gt;"")*1)=0,"",SUMPRODUCT((AB192:AG192&lt;&gt;"")*(LEN(TRIM(SUBSTITUTE(AB192:AG192,CHAR(160)," "))) - LEN(SUBSTITUTE(TRIM(SUBSTITUTE(AB192:AG192,CHAR(160)," "))," ","")) + 1)) &amp; " mot" &amp; IF(SUMPRODUCT((AB192:AG192&lt;&gt;"")*(LEN(TRIM(SUBSTITUTE(AB192:AG192,CHAR(160)," "))) - LEN(SUBSTITUTE(TRIM(SUBSTITUTE(AB192:AG192,CHAR(160)," "))," ","")) + 1))&gt;1,"s",""))</f>
        <v/>
      </c>
      <c r="Z192" s="5550" t="str" cm="1">
        <f t="array" ref="Z192">SUMPRODUCT(--(AB192:AG192&lt;&gt;""), LEN(TRIM(SUBSTITUTE(AB192:AG192, CHAR(160), "")))) &amp; " Car."</f>
        <v>0 Car.</v>
      </c>
      <c r="AA192" s="1376" t="str">
        <f>IF(ISBLANK(AB192),"",LARGE(AA184:AA191,1)+1)</f>
        <v/>
      </c>
      <c r="AB192" s="1810"/>
      <c r="AC192" s="1810"/>
      <c r="AD192" s="1810"/>
      <c r="AE192" s="1810"/>
      <c r="AF192" s="1810"/>
      <c r="AG192" s="1810"/>
      <c r="AH192" s="1810"/>
      <c r="AI192" s="1810"/>
      <c r="AJ192" s="1811"/>
      <c r="AK192" s="6120" t="str">
        <f t="shared" si="102"/>
        <v>►</v>
      </c>
      <c r="AL192" s="781" t="str">
        <f t="shared" si="90"/>
        <v>►</v>
      </c>
      <c r="AM192" s="5498" t="str">
        <f t="shared" si="93"/>
        <v/>
      </c>
      <c r="AN192" s="783" t="str">
        <f t="shared" si="94"/>
        <v/>
      </c>
      <c r="AO192" s="782" t="str">
        <f t="shared" si="95"/>
        <v/>
      </c>
      <c r="AP192" s="783" t="str">
        <f t="shared" si="96"/>
        <v/>
      </c>
      <c r="AQ192" s="2083" t="b">
        <f>AND(Q192="A",COUNTIF(BP16:BR63,TRIM(Z192))&gt;0)</f>
        <v>0</v>
      </c>
      <c r="AR192" s="797" t="str">
        <f>IF(AL192&lt;&gt;"A","",IFERROR(IFERROR(_xlfn.XLOOKUP(TRIM(SUBSTITUTE(Z192,CHAR(160)," ")),BP16:BP63,BS16:BS63),IFERROR(_xlfn.XLOOKUP(TRIM(SUBSTITUTE(Z192,CHAR(160)," ")),BQ16:BQ63,BS16:BS63),_xlfn.XLOOKUP(TRIM(SUBSTITUTE(Z192,CHAR(160)," ")),BR16:BR63,BS16:BS63)))*Y192*IF(ISBLANK(V192),1,V192),0))</f>
        <v/>
      </c>
      <c r="AS192" s="784" t="str">
        <f t="shared" si="84"/>
        <v/>
      </c>
      <c r="AT192" s="1315" t="str">
        <f t="shared" si="97"/>
        <v/>
      </c>
      <c r="AU192" s="785">
        <f t="shared" si="98"/>
        <v>0</v>
      </c>
      <c r="AV192" s="785">
        <f t="shared" si="99"/>
        <v>0</v>
      </c>
      <c r="AW192" s="798">
        <f>IF(AK192="A",AY10,0)</f>
        <v>0</v>
      </c>
      <c r="AX192" s="5496" t="str">
        <f>IF(IFERROR(SEARCH("Adresse PC",TRIM(W192)),0)&gt;0,"▼ receta siguiente",IF(AK192="A",IF(AZ10&lt;&gt;"",AZ10&amp;" - ou.or.o ❾ + or - &gt;",""),""))</f>
        <v/>
      </c>
      <c r="AY192" s="810"/>
      <c r="AZ192" s="810"/>
      <c r="BA192" s="799" t="str">
        <f t="shared" si="89"/>
        <v/>
      </c>
      <c r="BB192" s="800" t="str">
        <f>IF(AK192="A",IF(AQ192,IF(AND(AW192&lt;&gt;"",N(AW192)&gt;0),IFERROR(IFERROR(_xlfn.XLOOKUP(AP192,BP10:BP57,BT10:BT57),IFERROR(_xlfn.XLOOKUP(AP192,BQ10:BQ57,BT10:BT57),_xlfn.XLOOKUP(AP192,BR10:BR57,BT10:BT57,""))),""),""),""),"")</f>
        <v/>
      </c>
      <c r="BC192" s="813" cm="1">
        <f t="array" ref="BC192">IF(NOT(AQ192),0,IF(OR(BA192="",N(BA192)&lt;=0.000000001),"",IF(OR(AU192="",N(AU192)&lt;=0.000000001),0,IF(ISNUMBER(BA192),IFERROR(_xlfn.LET(_xlpm.ai_test,TRIM(AP192),_xlpm.r,IFERROR(_xlfn.XLOOKUP(_xlpm.ai_test,BP16:BP63,ROW(BP16:BP63),0,1),IFERROR(_xlfn.XLOOKUP(_xlpm.ai_test,BQ16:BQ63,ROW(BQ16:BQ63),0,1),_xlfn.XLOOKUP(_xlpm.ai_test,BR16:BR63,ROW(BR16:BR63),0,1))),_xlpm.p,_xlpm.r-MIN(ROW(BP16:BP63))+1,_xlpm.f,INDEX(BS16:BS63,_xlpm.p),_xlpm.u,INDEX(BT16:BT63,_xlpm.p),_xlpm.s,INDEX(BV16:BV63,_xlpm.p),_xlpm.q,N(BA192)/_xlpm.f,IF(_xlpm.q&gt;=_xlpm.s,ROUND(_xlpm.q,1)&amp;" "&amp;_xlpm.ai_test&amp;" = "&amp;ROUND(_xlpm.q*_xlpm.f,1)&amp;" "&amp;_xlpm.u,ROUND(_xlpm.q,1)&amp;" "&amp;_xlpm.ai_test)),""),""))))</f>
        <v>0</v>
      </c>
      <c r="BD192" s="801"/>
      <c r="BE192" s="799" t="str">
        <f t="shared" si="100"/>
        <v/>
      </c>
      <c r="BF192" s="800" t="str">
        <f t="shared" si="103"/>
        <v/>
      </c>
      <c r="BG192" s="802">
        <f t="shared" si="104"/>
        <v>0</v>
      </c>
      <c r="BH192" s="803" t="str">
        <f t="shared" si="105"/>
        <v/>
      </c>
      <c r="BI192" s="792"/>
      <c r="BJ192" s="804">
        <f t="shared" si="106"/>
        <v>0</v>
      </c>
      <c r="BK192" s="794" t="str">
        <f t="shared" si="101"/>
        <v/>
      </c>
      <c r="BL192" s="227" t="s">
        <v>21</v>
      </c>
      <c r="BM192" s="773">
        <f t="shared" si="91"/>
        <v>0</v>
      </c>
      <c r="BN192" s="774">
        <f t="shared" si="92"/>
        <v>0</v>
      </c>
      <c r="BO192"/>
      <c r="BX192"/>
      <c r="BY192"/>
      <c r="BZ192"/>
      <c r="CA192"/>
      <c r="CB192"/>
      <c r="CC192"/>
      <c r="CD192" s="781" t="str">
        <f t="shared" si="85"/>
        <v>►</v>
      </c>
      <c r="CE192"/>
      <c r="CF192"/>
      <c r="CG192"/>
      <c r="CH192"/>
      <c r="CI192"/>
      <c r="CJ192" s="633"/>
      <c r="CK192"/>
      <c r="CL192"/>
      <c r="CM192"/>
      <c r="CN192"/>
      <c r="CO192"/>
      <c r="CP192"/>
      <c r="CQ192"/>
      <c r="CS192"/>
      <c r="CT192"/>
      <c r="CU192"/>
      <c r="CV192"/>
      <c r="CW192"/>
      <c r="CX192"/>
      <c r="CY192"/>
      <c r="DA192"/>
      <c r="DB192"/>
      <c r="DC192"/>
      <c r="DD192"/>
      <c r="DE192"/>
      <c r="DF192"/>
      <c r="DG192"/>
      <c r="DI192" s="3">
        <v>1</v>
      </c>
    </row>
    <row r="193" spans="1:113" s="627" customFormat="1" ht="21" customHeight="1">
      <c r="A193" s="701" t="s">
        <v>21</v>
      </c>
      <c r="B193" s="2265" t="str" cm="1">
        <f t="array" ref="B193">SUMPRODUCT(--(D193:J193&lt;&gt;""), LEN(TRIM(SUBSTITUTE(D193:J193, CHAR(160), "")))) &amp; " Car."</f>
        <v>0 Car.</v>
      </c>
      <c r="C193" s="1376" t="str">
        <f>IF(ISBLANK(D193),"",LARGE(C13:C192,1)+1)</f>
        <v/>
      </c>
      <c r="D193" s="1833"/>
      <c r="E193" s="1810"/>
      <c r="F193" s="1810"/>
      <c r="G193" s="1810"/>
      <c r="H193" s="1810"/>
      <c r="I193" s="1810"/>
      <c r="J193" s="1810"/>
      <c r="K193" s="1810"/>
      <c r="L193" s="1811"/>
      <c r="M193" s="9"/>
      <c r="N193" s="162" t="str">
        <f t="shared" si="88"/>
        <v>A</v>
      </c>
      <c r="O193" s="1616"/>
      <c r="P193" s="9"/>
      <c r="Q193" s="162" t="s">
        <v>10</v>
      </c>
      <c r="R193" s="163" t="str">
        <f>R166</f>
        <v>J JUS DE FRAISES DES BOIS | pâtisserie--ENTREMET| Auteur &gt; recette Béghin Say de Jean-Jacques Borne MOF 1994</v>
      </c>
      <c r="S193" s="163">
        <f>S166</f>
        <v>18</v>
      </c>
      <c r="T193" s="164" t="str">
        <f>T166</f>
        <v>desserts</v>
      </c>
      <c r="U193" s="165" t="str">
        <f>U166</f>
        <v>Recette mère ► MILLE-FEUILLE  aux fraises des bois</v>
      </c>
      <c r="V193" s="1548"/>
      <c r="W193" s="1548"/>
      <c r="X193" s="2190">
        <f>ROWS(AB185:AB193)</f>
        <v>9</v>
      </c>
      <c r="Y193" s="5549" t="str" cm="1">
        <f t="array" ref="Y193">IF(SUMPRODUCT((AB193:AG193&lt;&gt;"")*1)=0,"",SUMPRODUCT((AB193:AG193&lt;&gt;"")*(LEN(TRIM(SUBSTITUTE(AB193:AG193,CHAR(160)," "))) - LEN(SUBSTITUTE(TRIM(SUBSTITUTE(AB193:AG193,CHAR(160)," "))," ","")) + 1)) &amp; " mot" &amp; IF(SUMPRODUCT((AB193:AG193&lt;&gt;"")*(LEN(TRIM(SUBSTITUTE(AB193:AG193,CHAR(160)," "))) - LEN(SUBSTITUTE(TRIM(SUBSTITUTE(AB193:AG193,CHAR(160)," "))," ","")) + 1))&gt;1,"s",""))</f>
        <v/>
      </c>
      <c r="Z193" s="5550" t="str" cm="1">
        <f t="array" ref="Z193">SUMPRODUCT(--(AB193:AG193&lt;&gt;""), LEN(TRIM(SUBSTITUTE(AB193:AG193, CHAR(160), "")))) &amp; " Car."</f>
        <v>0 Car.</v>
      </c>
      <c r="AA193" s="1376" t="str">
        <f>IF(ISBLANK(AB193),"",LARGE(AA184:AA192,1)+1)</f>
        <v/>
      </c>
      <c r="AB193" s="1810"/>
      <c r="AC193" s="1810"/>
      <c r="AD193" s="1810"/>
      <c r="AE193" s="1810"/>
      <c r="AF193" s="1810"/>
      <c r="AG193" s="1810"/>
      <c r="AH193" s="1810"/>
      <c r="AI193" s="1810"/>
      <c r="AJ193" s="1811"/>
      <c r="AK193" s="6120" t="str">
        <f t="shared" si="102"/>
        <v>►</v>
      </c>
      <c r="AL193" s="781" t="str">
        <f t="shared" si="90"/>
        <v>►</v>
      </c>
      <c r="AM193" s="5499" t="str">
        <f t="shared" si="93"/>
        <v/>
      </c>
      <c r="AN193" s="783" t="str">
        <f t="shared" si="94"/>
        <v/>
      </c>
      <c r="AO193" s="782" t="str">
        <f t="shared" si="95"/>
        <v/>
      </c>
      <c r="AP193" s="783" t="str">
        <f t="shared" si="96"/>
        <v/>
      </c>
      <c r="AQ193" s="2083" t="b">
        <f>AND(Q193="A",COUNTIF(BP16:BR63,TRIM(Z193))&gt;0)</f>
        <v>0</v>
      </c>
      <c r="AR193" s="797" t="str">
        <f>IF(AL193&lt;&gt;"A","",IFERROR(IFERROR(_xlfn.XLOOKUP(TRIM(SUBSTITUTE(Z193,CHAR(160)," ")),BP16:BP63,BS16:BS63),IFERROR(_xlfn.XLOOKUP(TRIM(SUBSTITUTE(Z193,CHAR(160)," ")),BQ16:BQ63,BS16:BS63),_xlfn.XLOOKUP(TRIM(SUBSTITUTE(Z193,CHAR(160)," ")),BR16:BR63,BS16:BS63)))*Y193*IF(ISBLANK(V193),1,V193),0))</f>
        <v/>
      </c>
      <c r="AS193" s="784" t="str">
        <f t="shared" si="84"/>
        <v/>
      </c>
      <c r="AT193" s="1315" t="str">
        <f t="shared" si="97"/>
        <v/>
      </c>
      <c r="AU193" s="785">
        <f t="shared" si="98"/>
        <v>0</v>
      </c>
      <c r="AV193" s="785">
        <f t="shared" si="99"/>
        <v>0</v>
      </c>
      <c r="AW193" s="786">
        <f>IF(AK193="A",AY10,0)</f>
        <v>0</v>
      </c>
      <c r="AX193" s="5495" t="str">
        <f>IF(IFERROR(SEARCH("Adresse PC",TRIM(W193)),0)&gt;0,"▼ receta siguiente",IF(AK193="A",IF(AZ10&lt;&gt;"",AZ10&amp;" - ou.or.o ❾ + or - &gt;",""),""))</f>
        <v/>
      </c>
      <c r="AY193" s="810"/>
      <c r="AZ193" s="810"/>
      <c r="BA193" s="788" t="str">
        <f t="shared" si="89"/>
        <v/>
      </c>
      <c r="BB193" s="789" t="str">
        <f>IF(AK193="A",IF(AQ193,IF(AND(AW193&lt;&gt;"",N(AW193)&gt;0),IFERROR(IFERROR(_xlfn.XLOOKUP(AP193,BP10:BP57,BT10:BT57),IFERROR(_xlfn.XLOOKUP(AP193,BQ10:BQ57,BT10:BT57),_xlfn.XLOOKUP(AP193,BR10:BR57,BT10:BT57,""))),""),""),""),"")</f>
        <v/>
      </c>
      <c r="BC193" s="811" cm="1">
        <f t="array" ref="BC193">IF(NOT(AQ193),0,IF(OR(BA193="",N(BA193)&lt;=0.000000001),"",IF(OR(AU193="",N(AU193)&lt;=0.000000001),0,IF(ISNUMBER(BA193),IFERROR(_xlfn.LET(_xlpm.ai_test,TRIM(AP193),_xlpm.r,IFERROR(_xlfn.XLOOKUP(_xlpm.ai_test,BP16:BP63,ROW(BP16:BP63),0,1),IFERROR(_xlfn.XLOOKUP(_xlpm.ai_test,BQ16:BQ63,ROW(BQ16:BQ63),0,1),_xlfn.XLOOKUP(_xlpm.ai_test,BR16:BR63,ROW(BR16:BR63),0,1))),_xlpm.p,_xlpm.r-MIN(ROW(BP16:BP63))+1,_xlpm.f,INDEX(BS16:BS63,_xlpm.p),_xlpm.u,INDEX(BT16:BT63,_xlpm.p),_xlpm.s,INDEX(BV16:BV63,_xlpm.p),_xlpm.q,N(BA193)/_xlpm.f,IF(_xlpm.q&gt;=_xlpm.s,ROUND(_xlpm.q,1)&amp;" "&amp;_xlpm.ai_test&amp;" = "&amp;ROUND(_xlpm.q*_xlpm.f,1)&amp;" "&amp;_xlpm.u,ROUND(_xlpm.q,1)&amp;" "&amp;_xlpm.ai_test)),""),""))))</f>
        <v>0</v>
      </c>
      <c r="BD193" s="801"/>
      <c r="BE193" s="788" t="str">
        <f t="shared" si="100"/>
        <v/>
      </c>
      <c r="BF193" s="789" t="str">
        <f t="shared" si="103"/>
        <v/>
      </c>
      <c r="BG193" s="790">
        <f t="shared" si="104"/>
        <v>0</v>
      </c>
      <c r="BH193" s="791" t="str">
        <f t="shared" si="105"/>
        <v/>
      </c>
      <c r="BI193" s="792"/>
      <c r="BJ193" s="793">
        <f t="shared" si="106"/>
        <v>0</v>
      </c>
      <c r="BK193" s="794" t="str">
        <f t="shared" si="101"/>
        <v/>
      </c>
      <c r="BL193" s="227" t="s">
        <v>21</v>
      </c>
      <c r="BM193" s="773">
        <f t="shared" si="91"/>
        <v>0</v>
      </c>
      <c r="BN193" s="774">
        <f t="shared" si="92"/>
        <v>0</v>
      </c>
      <c r="BO193"/>
      <c r="BX193"/>
      <c r="BY193"/>
      <c r="BZ193"/>
      <c r="CA193"/>
      <c r="CB193"/>
      <c r="CC193"/>
      <c r="CD193" s="781" t="str">
        <f t="shared" si="85"/>
        <v>►</v>
      </c>
      <c r="CE193"/>
      <c r="CF193"/>
      <c r="CG193"/>
      <c r="CH193"/>
      <c r="CI193"/>
      <c r="CJ193" s="633"/>
      <c r="CK193"/>
      <c r="CL193"/>
      <c r="CM193"/>
      <c r="CN193"/>
      <c r="CO193"/>
      <c r="CP193"/>
      <c r="CQ193"/>
      <c r="CS193"/>
      <c r="CT193"/>
      <c r="CU193"/>
      <c r="CV193"/>
      <c r="CW193"/>
      <c r="CX193"/>
      <c r="CY193"/>
      <c r="DA193"/>
      <c r="DB193"/>
      <c r="DC193"/>
      <c r="DD193"/>
      <c r="DE193"/>
      <c r="DF193"/>
      <c r="DG193"/>
      <c r="DI193" s="3">
        <v>1</v>
      </c>
    </row>
    <row r="194" spans="1:113" s="627" customFormat="1" ht="21" customHeight="1">
      <c r="A194" s="701" t="s">
        <v>21</v>
      </c>
      <c r="B194" s="2265" t="str" cm="1">
        <f t="array" ref="B194">SUMPRODUCT(--(D194:J194&lt;&gt;""), LEN(TRIM(SUBSTITUTE(D194:J194, CHAR(160), "")))) &amp; " Car."</f>
        <v>0 Car.</v>
      </c>
      <c r="C194" s="1376" t="str">
        <f>IF(ISBLANK(D194),"",LARGE(C13:C193,1)+1)</f>
        <v/>
      </c>
      <c r="D194" s="1833"/>
      <c r="E194" s="1810"/>
      <c r="F194" s="1810"/>
      <c r="G194" s="1810"/>
      <c r="H194" s="1810"/>
      <c r="I194" s="1810"/>
      <c r="J194" s="1810"/>
      <c r="K194" s="1810"/>
      <c r="L194" s="1811"/>
      <c r="M194" s="9"/>
      <c r="N194" s="162" t="str">
        <f t="shared" si="88"/>
        <v>A</v>
      </c>
      <c r="O194" s="1616"/>
      <c r="P194" s="9"/>
      <c r="Q194" s="162" t="s">
        <v>10</v>
      </c>
      <c r="R194" s="163" t="str">
        <f>R166</f>
        <v>J JUS DE FRAISES DES BOIS | pâtisserie--ENTREMET| Auteur &gt; recette Béghin Say de Jean-Jacques Borne MOF 1994</v>
      </c>
      <c r="S194" s="163">
        <f>S166</f>
        <v>18</v>
      </c>
      <c r="T194" s="164" t="str">
        <f>T166</f>
        <v>desserts</v>
      </c>
      <c r="U194" s="165" t="str">
        <f>U166</f>
        <v>Recette mère ► MILLE-FEUILLE  aux fraises des bois</v>
      </c>
      <c r="V194" s="1548"/>
      <c r="W194" s="1548"/>
      <c r="X194" s="2190">
        <f>ROWS(AB185:AB194)</f>
        <v>10</v>
      </c>
      <c r="Y194" s="5549" t="str" cm="1">
        <f t="array" ref="Y194">IF(SUMPRODUCT((AB194:AG194&lt;&gt;"")*1)=0,"",SUMPRODUCT((AB194:AG194&lt;&gt;"")*(LEN(TRIM(SUBSTITUTE(AB194:AG194,CHAR(160)," "))) - LEN(SUBSTITUTE(TRIM(SUBSTITUTE(AB194:AG194,CHAR(160)," "))," ","")) + 1)) &amp; " mot" &amp; IF(SUMPRODUCT((AB194:AG194&lt;&gt;"")*(LEN(TRIM(SUBSTITUTE(AB194:AG194,CHAR(160)," "))) - LEN(SUBSTITUTE(TRIM(SUBSTITUTE(AB194:AG194,CHAR(160)," "))," ","")) + 1))&gt;1,"s",""))</f>
        <v/>
      </c>
      <c r="Z194" s="5550" t="str" cm="1">
        <f t="array" ref="Z194">SUMPRODUCT(--(AB194:AG194&lt;&gt;""), LEN(TRIM(SUBSTITUTE(AB194:AG194, CHAR(160), "")))) &amp; " Car."</f>
        <v>0 Car.</v>
      </c>
      <c r="AA194" s="1376" t="str">
        <f>IF(ISBLANK(AB194),"",LARGE(AA184:AA193,1)+1)</f>
        <v/>
      </c>
      <c r="AB194" s="1810"/>
      <c r="AC194" s="1810"/>
      <c r="AD194" s="1810"/>
      <c r="AE194" s="1810"/>
      <c r="AF194" s="1810"/>
      <c r="AG194" s="1810"/>
      <c r="AH194" s="1810"/>
      <c r="AI194" s="1810"/>
      <c r="AJ194" s="1811"/>
      <c r="AK194" s="6120" t="str">
        <f t="shared" si="102"/>
        <v>►</v>
      </c>
      <c r="AL194" s="781" t="str">
        <f t="shared" si="90"/>
        <v>►</v>
      </c>
      <c r="AM194" s="5498" t="str">
        <f t="shared" si="93"/>
        <v/>
      </c>
      <c r="AN194" s="783" t="str">
        <f t="shared" si="94"/>
        <v/>
      </c>
      <c r="AO194" s="782" t="str">
        <f t="shared" si="95"/>
        <v/>
      </c>
      <c r="AP194" s="783" t="str">
        <f t="shared" si="96"/>
        <v/>
      </c>
      <c r="AQ194" s="2083" t="b">
        <f>AND(Q194="A",COUNTIF(BP16:BR63,TRIM(Z194))&gt;0)</f>
        <v>0</v>
      </c>
      <c r="AR194" s="797" t="str">
        <f>IF(AL194&lt;&gt;"A","",IFERROR(IFERROR(_xlfn.XLOOKUP(TRIM(SUBSTITUTE(Z194,CHAR(160)," ")),BP16:BP63,BS16:BS63),IFERROR(_xlfn.XLOOKUP(TRIM(SUBSTITUTE(Z194,CHAR(160)," ")),BQ16:BQ63,BS16:BS63),_xlfn.XLOOKUP(TRIM(SUBSTITUTE(Z194,CHAR(160)," ")),BR16:BR63,BS16:BS63)))*Y194*IF(ISBLANK(V194),1,V194),0))</f>
        <v/>
      </c>
      <c r="AS194" s="784" t="str">
        <f t="shared" si="84"/>
        <v/>
      </c>
      <c r="AT194" s="1315" t="str">
        <f t="shared" si="97"/>
        <v/>
      </c>
      <c r="AU194" s="785">
        <f t="shared" si="98"/>
        <v>0</v>
      </c>
      <c r="AV194" s="785">
        <f t="shared" si="99"/>
        <v>0</v>
      </c>
      <c r="AW194" s="798">
        <f>IF(AK194="A",AY10,0)</f>
        <v>0</v>
      </c>
      <c r="AX194" s="5496" t="str">
        <f>IF(IFERROR(SEARCH("Adresse PC",TRIM(W194)),0)&gt;0,"▼ receta siguiente",IF(AK194="A",IF(AZ10&lt;&gt;"",AZ10&amp;" - ou.or.o ❾ + or - &gt;",""),""))</f>
        <v/>
      </c>
      <c r="AY194" s="810"/>
      <c r="AZ194" s="810"/>
      <c r="BA194" s="799" t="str">
        <f t="shared" si="89"/>
        <v/>
      </c>
      <c r="BB194" s="800" t="str">
        <f>IF(AK194="A",IF(AQ194,IF(AND(AW194&lt;&gt;"",N(AW194)&gt;0),IFERROR(IFERROR(_xlfn.XLOOKUP(AP194,BP10:BP57,BT10:BT57),IFERROR(_xlfn.XLOOKUP(AP194,BQ10:BQ57,BT10:BT57),_xlfn.XLOOKUP(AP194,BR10:BR57,BT10:BT57,""))),""),""),""),"")</f>
        <v/>
      </c>
      <c r="BC194" s="813" cm="1">
        <f t="array" ref="BC194">IF(NOT(AQ194),0,IF(OR(BA194="",N(BA194)&lt;=0.000000001),"",IF(OR(AU194="",N(AU194)&lt;=0.000000001),0,IF(ISNUMBER(BA194),IFERROR(_xlfn.LET(_xlpm.ai_test,TRIM(AP194),_xlpm.r,IFERROR(_xlfn.XLOOKUP(_xlpm.ai_test,BP16:BP63,ROW(BP16:BP63),0,1),IFERROR(_xlfn.XLOOKUP(_xlpm.ai_test,BQ16:BQ63,ROW(BQ16:BQ63),0,1),_xlfn.XLOOKUP(_xlpm.ai_test,BR16:BR63,ROW(BR16:BR63),0,1))),_xlpm.p,_xlpm.r-MIN(ROW(BP16:BP63))+1,_xlpm.f,INDEX(BS16:BS63,_xlpm.p),_xlpm.u,INDEX(BT16:BT63,_xlpm.p),_xlpm.s,INDEX(BV16:BV63,_xlpm.p),_xlpm.q,N(BA194)/_xlpm.f,IF(_xlpm.q&gt;=_xlpm.s,ROUND(_xlpm.q,1)&amp;" "&amp;_xlpm.ai_test&amp;" = "&amp;ROUND(_xlpm.q*_xlpm.f,1)&amp;" "&amp;_xlpm.u,ROUND(_xlpm.q,1)&amp;" "&amp;_xlpm.ai_test)),""),""))))</f>
        <v>0</v>
      </c>
      <c r="BD194" s="801"/>
      <c r="BE194" s="799" t="str">
        <f t="shared" si="100"/>
        <v/>
      </c>
      <c r="BF194" s="800" t="str">
        <f t="shared" si="103"/>
        <v/>
      </c>
      <c r="BG194" s="802">
        <f t="shared" si="104"/>
        <v>0</v>
      </c>
      <c r="BH194" s="803" t="str">
        <f t="shared" si="105"/>
        <v/>
      </c>
      <c r="BI194" s="792"/>
      <c r="BJ194" s="804">
        <f t="shared" si="106"/>
        <v>0</v>
      </c>
      <c r="BK194" s="794" t="str">
        <f t="shared" si="101"/>
        <v/>
      </c>
      <c r="BL194" s="227" t="s">
        <v>21</v>
      </c>
      <c r="BM194" s="773">
        <f t="shared" si="91"/>
        <v>0</v>
      </c>
      <c r="BN194" s="774">
        <f t="shared" si="92"/>
        <v>0</v>
      </c>
      <c r="BO194"/>
      <c r="BX194"/>
      <c r="BY194"/>
      <c r="BZ194"/>
      <c r="CA194"/>
      <c r="CB194"/>
      <c r="CC194"/>
      <c r="CD194" s="781" t="str">
        <f t="shared" si="85"/>
        <v>►</v>
      </c>
      <c r="CE194"/>
      <c r="CF194"/>
      <c r="CG194"/>
      <c r="CH194"/>
      <c r="CI194"/>
      <c r="CJ194" s="633"/>
      <c r="CK194"/>
      <c r="CL194"/>
      <c r="CM194"/>
      <c r="CN194"/>
      <c r="CO194"/>
      <c r="CP194"/>
      <c r="CQ194"/>
      <c r="CS194"/>
      <c r="CT194"/>
      <c r="CU194"/>
      <c r="CV194"/>
      <c r="CW194"/>
      <c r="CX194"/>
      <c r="CY194"/>
      <c r="DA194"/>
      <c r="DB194"/>
      <c r="DC194"/>
      <c r="DD194"/>
      <c r="DE194"/>
      <c r="DF194"/>
      <c r="DG194"/>
      <c r="DI194" s="3">
        <v>1</v>
      </c>
    </row>
    <row r="195" spans="1:113" s="627" customFormat="1" ht="21" customHeight="1">
      <c r="A195" s="701" t="s">
        <v>21</v>
      </c>
      <c r="B195" s="2265" t="str" cm="1">
        <f t="array" ref="B195">SUMPRODUCT(--(D195:J195&lt;&gt;""), LEN(TRIM(SUBSTITUTE(D195:J195, CHAR(160), "")))) &amp; " Car."</f>
        <v>0 Car.</v>
      </c>
      <c r="C195" s="1376" t="str">
        <f>IF(ISBLANK(D195),"",LARGE(C13:C194,1)+1)</f>
        <v/>
      </c>
      <c r="D195" s="1833"/>
      <c r="E195" s="1810"/>
      <c r="F195" s="1810"/>
      <c r="G195" s="1810"/>
      <c r="H195" s="1810"/>
      <c r="I195" s="1810"/>
      <c r="J195" s="1810"/>
      <c r="K195" s="1810"/>
      <c r="L195" s="1811"/>
      <c r="M195" s="9"/>
      <c r="N195" s="162" t="str">
        <f t="shared" si="88"/>
        <v>A</v>
      </c>
      <c r="O195" s="1616"/>
      <c r="P195" s="9"/>
      <c r="Q195" s="162" t="s">
        <v>10</v>
      </c>
      <c r="R195" s="163" t="str">
        <f>R166</f>
        <v>J JUS DE FRAISES DES BOIS | pâtisserie--ENTREMET| Auteur &gt; recette Béghin Say de Jean-Jacques Borne MOF 1994</v>
      </c>
      <c r="S195" s="163">
        <f>S166</f>
        <v>18</v>
      </c>
      <c r="T195" s="164" t="str">
        <f>T166</f>
        <v>desserts</v>
      </c>
      <c r="U195" s="165" t="str">
        <f>U166</f>
        <v>Recette mère ► MILLE-FEUILLE  aux fraises des bois</v>
      </c>
      <c r="V195" s="1548"/>
      <c r="W195" s="1548"/>
      <c r="X195" s="2190">
        <f>ROWS(AB185:AB195)</f>
        <v>11</v>
      </c>
      <c r="Y195" s="5549" t="str" cm="1">
        <f t="array" ref="Y195">IF(SUMPRODUCT((AB195:AG195&lt;&gt;"")*1)=0,"",SUMPRODUCT((AB195:AG195&lt;&gt;"")*(LEN(TRIM(SUBSTITUTE(AB195:AG195,CHAR(160)," "))) - LEN(SUBSTITUTE(TRIM(SUBSTITUTE(AB195:AG195,CHAR(160)," "))," ","")) + 1)) &amp; " mot" &amp; IF(SUMPRODUCT((AB195:AG195&lt;&gt;"")*(LEN(TRIM(SUBSTITUTE(AB195:AG195,CHAR(160)," "))) - LEN(SUBSTITUTE(TRIM(SUBSTITUTE(AB195:AG195,CHAR(160)," "))," ","")) + 1))&gt;1,"s",""))</f>
        <v/>
      </c>
      <c r="Z195" s="5550" t="str" cm="1">
        <f t="array" ref="Z195">SUMPRODUCT(--(AB195:AG195&lt;&gt;""), LEN(TRIM(SUBSTITUTE(AB195:AG195, CHAR(160), "")))) &amp; " Car."</f>
        <v>0 Car.</v>
      </c>
      <c r="AA195" s="1376" t="str">
        <f>IF(ISBLANK(AB195),"",LARGE(AA184:AA194,1)+1)</f>
        <v/>
      </c>
      <c r="AB195" s="1810"/>
      <c r="AC195" s="1810"/>
      <c r="AD195" s="1810"/>
      <c r="AE195" s="1810"/>
      <c r="AF195" s="1810"/>
      <c r="AG195" s="1810"/>
      <c r="AH195" s="1810"/>
      <c r="AI195" s="1810"/>
      <c r="AJ195" s="1811"/>
      <c r="AK195" s="6120" t="str">
        <f t="shared" si="102"/>
        <v>►</v>
      </c>
      <c r="AL195" s="781" t="str">
        <f t="shared" si="90"/>
        <v>►</v>
      </c>
      <c r="AM195" s="5499" t="str">
        <f t="shared" si="93"/>
        <v/>
      </c>
      <c r="AN195" s="783" t="str">
        <f t="shared" si="94"/>
        <v/>
      </c>
      <c r="AO195" s="782" t="str">
        <f t="shared" si="95"/>
        <v/>
      </c>
      <c r="AP195" s="783" t="str">
        <f t="shared" si="96"/>
        <v/>
      </c>
      <c r="AQ195" s="2083" t="b">
        <f>AND(Q195="A",COUNTIF(BP16:BR63,TRIM(Z195))&gt;0)</f>
        <v>0</v>
      </c>
      <c r="AR195" s="797" t="str">
        <f>IF(AL195&lt;&gt;"A","",IFERROR(IFERROR(_xlfn.XLOOKUP(TRIM(SUBSTITUTE(Z195,CHAR(160)," ")),BP16:BP63,BS16:BS63),IFERROR(_xlfn.XLOOKUP(TRIM(SUBSTITUTE(Z195,CHAR(160)," ")),BQ16:BQ63,BS16:BS63),_xlfn.XLOOKUP(TRIM(SUBSTITUTE(Z195,CHAR(160)," ")),BR16:BR63,BS16:BS63)))*Y195*IF(ISBLANK(V195),1,V195),0))</f>
        <v/>
      </c>
      <c r="AS195" s="784" t="str">
        <f t="shared" si="84"/>
        <v/>
      </c>
      <c r="AT195" s="1315" t="str">
        <f t="shared" si="97"/>
        <v/>
      </c>
      <c r="AU195" s="785">
        <f t="shared" si="98"/>
        <v>0</v>
      </c>
      <c r="AV195" s="785">
        <f t="shared" si="99"/>
        <v>0</v>
      </c>
      <c r="AW195" s="786">
        <f>IF(AK195="A",AY10,0)</f>
        <v>0</v>
      </c>
      <c r="AX195" s="5495" t="str">
        <f>IF(IFERROR(SEARCH("Adresse PC",TRIM(W195)),0)&gt;0,"▼ receta siguiente",IF(AK195="A",IF(AZ10&lt;&gt;"",AZ10&amp;" - ou.or.o ❾ + or - &gt;",""),""))</f>
        <v/>
      </c>
      <c r="AY195" s="810"/>
      <c r="AZ195" s="810"/>
      <c r="BA195" s="788" t="str">
        <f t="shared" si="89"/>
        <v/>
      </c>
      <c r="BB195" s="789" t="str">
        <f>IF(AK195="A",IF(AQ195,IF(AND(AW195&lt;&gt;"",N(AW195)&gt;0),IFERROR(IFERROR(_xlfn.XLOOKUP(AP195,BP10:BP57,BT10:BT57),IFERROR(_xlfn.XLOOKUP(AP195,BQ10:BQ57,BT10:BT57),_xlfn.XLOOKUP(AP195,BR10:BR57,BT10:BT57,""))),""),""),""),"")</f>
        <v/>
      </c>
      <c r="BC195" s="811" cm="1">
        <f t="array" ref="BC195">IF(NOT(AQ195),0,IF(OR(BA195="",N(BA195)&lt;=0.000000001),"",IF(OR(AU195="",N(AU195)&lt;=0.000000001),0,IF(ISNUMBER(BA195),IFERROR(_xlfn.LET(_xlpm.ai_test,TRIM(AP195),_xlpm.r,IFERROR(_xlfn.XLOOKUP(_xlpm.ai_test,BP16:BP63,ROW(BP16:BP63),0,1),IFERROR(_xlfn.XLOOKUP(_xlpm.ai_test,BQ16:BQ63,ROW(BQ16:BQ63),0,1),_xlfn.XLOOKUP(_xlpm.ai_test,BR16:BR63,ROW(BR16:BR63),0,1))),_xlpm.p,_xlpm.r-MIN(ROW(BP16:BP63))+1,_xlpm.f,INDEX(BS16:BS63,_xlpm.p),_xlpm.u,INDEX(BT16:BT63,_xlpm.p),_xlpm.s,INDEX(BV16:BV63,_xlpm.p),_xlpm.q,N(BA195)/_xlpm.f,IF(_xlpm.q&gt;=_xlpm.s,ROUND(_xlpm.q,1)&amp;" "&amp;_xlpm.ai_test&amp;" = "&amp;ROUND(_xlpm.q*_xlpm.f,1)&amp;" "&amp;_xlpm.u,ROUND(_xlpm.q,1)&amp;" "&amp;_xlpm.ai_test)),""),""))))</f>
        <v>0</v>
      </c>
      <c r="BD195" s="801"/>
      <c r="BE195" s="788" t="str">
        <f t="shared" si="100"/>
        <v/>
      </c>
      <c r="BF195" s="789" t="str">
        <f t="shared" si="103"/>
        <v/>
      </c>
      <c r="BG195" s="790">
        <f t="shared" si="104"/>
        <v>0</v>
      </c>
      <c r="BH195" s="791" t="str">
        <f t="shared" si="105"/>
        <v/>
      </c>
      <c r="BI195" s="792"/>
      <c r="BJ195" s="793">
        <f t="shared" si="106"/>
        <v>0</v>
      </c>
      <c r="BK195" s="794" t="str">
        <f t="shared" si="101"/>
        <v/>
      </c>
      <c r="BL195" s="227" t="s">
        <v>21</v>
      </c>
      <c r="BM195" s="773">
        <f t="shared" si="91"/>
        <v>0</v>
      </c>
      <c r="BN195" s="774">
        <f t="shared" si="92"/>
        <v>0</v>
      </c>
      <c r="BO195"/>
      <c r="BX195"/>
      <c r="BY195"/>
      <c r="BZ195"/>
      <c r="CA195"/>
      <c r="CB195"/>
      <c r="CC195"/>
      <c r="CD195" s="781" t="str">
        <f t="shared" si="85"/>
        <v>►</v>
      </c>
      <c r="CE195"/>
      <c r="CF195"/>
      <c r="CG195"/>
      <c r="CH195"/>
      <c r="CI195"/>
      <c r="CJ195" s="633"/>
      <c r="CK195"/>
      <c r="CL195"/>
      <c r="CM195"/>
      <c r="CN195"/>
      <c r="CO195"/>
      <c r="CP195"/>
      <c r="CQ195"/>
      <c r="CS195"/>
      <c r="CT195"/>
      <c r="CU195"/>
      <c r="CV195"/>
      <c r="CW195"/>
      <c r="CX195"/>
      <c r="CY195"/>
      <c r="DA195"/>
      <c r="DB195"/>
      <c r="DC195"/>
      <c r="DD195"/>
      <c r="DE195"/>
      <c r="DF195"/>
      <c r="DG195"/>
      <c r="DI195" s="3">
        <v>1</v>
      </c>
    </row>
    <row r="196" spans="1:113" s="627" customFormat="1" ht="21" customHeight="1">
      <c r="A196" s="701" t="s">
        <v>21</v>
      </c>
      <c r="B196" s="2265" t="str" cm="1">
        <f t="array" ref="B196">SUMPRODUCT(--(D196:J196&lt;&gt;""), LEN(TRIM(SUBSTITUTE(D196:J196, CHAR(160), "")))) &amp; " Car."</f>
        <v>0 Car.</v>
      </c>
      <c r="C196" s="1376" t="str">
        <f>IF(ISBLANK(D196),"",LARGE(C13:C195,1)+1)</f>
        <v/>
      </c>
      <c r="D196" s="1833"/>
      <c r="E196" s="1810"/>
      <c r="F196" s="1810"/>
      <c r="G196" s="1810"/>
      <c r="H196" s="1810"/>
      <c r="I196" s="1810"/>
      <c r="J196" s="1810"/>
      <c r="K196" s="1810"/>
      <c r="L196" s="1811"/>
      <c r="M196" s="9"/>
      <c r="N196" s="162" t="str">
        <f t="shared" si="88"/>
        <v>A</v>
      </c>
      <c r="O196" s="1616"/>
      <c r="P196" s="9"/>
      <c r="Q196" s="162" t="s">
        <v>10</v>
      </c>
      <c r="R196" s="163" t="str">
        <f>R166</f>
        <v>J JUS DE FRAISES DES BOIS | pâtisserie--ENTREMET| Auteur &gt; recette Béghin Say de Jean-Jacques Borne MOF 1994</v>
      </c>
      <c r="S196" s="163">
        <f>S166</f>
        <v>18</v>
      </c>
      <c r="T196" s="164" t="str">
        <f>T166</f>
        <v>desserts</v>
      </c>
      <c r="U196" s="165" t="str">
        <f>U166</f>
        <v>Recette mère ► MILLE-FEUILLE  aux fraises des bois</v>
      </c>
      <c r="V196" s="1548"/>
      <c r="W196" s="1548"/>
      <c r="X196" s="2190">
        <f>ROWS(AB185:AB196)</f>
        <v>12</v>
      </c>
      <c r="Y196" s="5549" t="str" cm="1">
        <f t="array" ref="Y196">IF(SUMPRODUCT((AB196:AG196&lt;&gt;"")*1)=0,"",SUMPRODUCT((AB196:AG196&lt;&gt;"")*(LEN(TRIM(SUBSTITUTE(AB196:AG196,CHAR(160)," "))) - LEN(SUBSTITUTE(TRIM(SUBSTITUTE(AB196:AG196,CHAR(160)," "))," ","")) + 1)) &amp; " mot" &amp; IF(SUMPRODUCT((AB196:AG196&lt;&gt;"")*(LEN(TRIM(SUBSTITUTE(AB196:AG196,CHAR(160)," "))) - LEN(SUBSTITUTE(TRIM(SUBSTITUTE(AB196:AG196,CHAR(160)," "))," ","")) + 1))&gt;1,"s",""))</f>
        <v/>
      </c>
      <c r="Z196" s="5550" t="str" cm="1">
        <f t="array" ref="Z196">SUMPRODUCT(--(AB196:AG196&lt;&gt;""), LEN(TRIM(SUBSTITUTE(AB196:AG196, CHAR(160), "")))) &amp; " Car."</f>
        <v>0 Car.</v>
      </c>
      <c r="AA196" s="1376" t="str">
        <f>IF(ISBLANK(AB196),"",LARGE(AA184:AA195,1)+1)</f>
        <v/>
      </c>
      <c r="AB196" s="1810"/>
      <c r="AC196" s="1810"/>
      <c r="AD196" s="1810"/>
      <c r="AE196" s="1810"/>
      <c r="AF196" s="1810"/>
      <c r="AG196" s="1810"/>
      <c r="AH196" s="1810"/>
      <c r="AI196" s="1810"/>
      <c r="AJ196" s="1811"/>
      <c r="AK196" s="6120" t="str">
        <f t="shared" si="102"/>
        <v>►</v>
      </c>
      <c r="AL196" s="781" t="str">
        <f t="shared" si="90"/>
        <v>►</v>
      </c>
      <c r="AM196" s="5498" t="str">
        <f t="shared" si="93"/>
        <v/>
      </c>
      <c r="AN196" s="783" t="str">
        <f t="shared" si="94"/>
        <v/>
      </c>
      <c r="AO196" s="782" t="str">
        <f t="shared" si="95"/>
        <v/>
      </c>
      <c r="AP196" s="783" t="str">
        <f t="shared" si="96"/>
        <v/>
      </c>
      <c r="AQ196" s="2083" t="b">
        <f>AND(Q196="A",COUNTIF(BP16:BR63,TRIM(Z196))&gt;0)</f>
        <v>0</v>
      </c>
      <c r="AR196" s="797" t="str">
        <f>IF(AL196&lt;&gt;"A","",IFERROR(IFERROR(_xlfn.XLOOKUP(TRIM(SUBSTITUTE(Z196,CHAR(160)," ")),BP16:BP63,BS16:BS63),IFERROR(_xlfn.XLOOKUP(TRIM(SUBSTITUTE(Z196,CHAR(160)," ")),BQ16:BQ63,BS16:BS63),_xlfn.XLOOKUP(TRIM(SUBSTITUTE(Z196,CHAR(160)," ")),BR16:BR63,BS16:BS63)))*Y196*IF(ISBLANK(V196),1,V196),0))</f>
        <v/>
      </c>
      <c r="AS196" s="784" t="str">
        <f t="shared" si="84"/>
        <v/>
      </c>
      <c r="AT196" s="1315" t="str">
        <f t="shared" si="97"/>
        <v/>
      </c>
      <c r="AU196" s="785">
        <f t="shared" si="98"/>
        <v>0</v>
      </c>
      <c r="AV196" s="785">
        <f t="shared" si="99"/>
        <v>0</v>
      </c>
      <c r="AW196" s="798">
        <f>IF(AK196="A",AY10,0)</f>
        <v>0</v>
      </c>
      <c r="AX196" s="5496" t="str">
        <f>IF(IFERROR(SEARCH("Adresse PC",TRIM(W196)),0)&gt;0,"▼ receta siguiente",IF(AK196="A",IF(AZ10&lt;&gt;"",AZ10&amp;" - ou.or.o ❾ + or - &gt;",""),""))</f>
        <v/>
      </c>
      <c r="AY196" s="810"/>
      <c r="AZ196" s="810"/>
      <c r="BA196" s="799" t="str">
        <f t="shared" si="89"/>
        <v/>
      </c>
      <c r="BB196" s="800" t="str">
        <f>IF(AK196="A",IF(AQ196,IF(AND(AW196&lt;&gt;"",N(AW196)&gt;0),IFERROR(IFERROR(_xlfn.XLOOKUP(AP196,BP10:BP57,BT10:BT57),IFERROR(_xlfn.XLOOKUP(AP196,BQ10:BQ57,BT10:BT57),_xlfn.XLOOKUP(AP196,BR10:BR57,BT10:BT57,""))),""),""),""),"")</f>
        <v/>
      </c>
      <c r="BC196" s="813" cm="1">
        <f t="array" ref="BC196">IF(NOT(AQ196),0,IF(OR(BA196="",N(BA196)&lt;=0.000000001),"",IF(OR(AU196="",N(AU196)&lt;=0.000000001),0,IF(ISNUMBER(BA196),IFERROR(_xlfn.LET(_xlpm.ai_test,TRIM(AP196),_xlpm.r,IFERROR(_xlfn.XLOOKUP(_xlpm.ai_test,BP16:BP63,ROW(BP16:BP63),0,1),IFERROR(_xlfn.XLOOKUP(_xlpm.ai_test,BQ16:BQ63,ROW(BQ16:BQ63),0,1),_xlfn.XLOOKUP(_xlpm.ai_test,BR16:BR63,ROW(BR16:BR63),0,1))),_xlpm.p,_xlpm.r-MIN(ROW(BP16:BP63))+1,_xlpm.f,INDEX(BS16:BS63,_xlpm.p),_xlpm.u,INDEX(BT16:BT63,_xlpm.p),_xlpm.s,INDEX(BV16:BV63,_xlpm.p),_xlpm.q,N(BA196)/_xlpm.f,IF(_xlpm.q&gt;=_xlpm.s,ROUND(_xlpm.q,1)&amp;" "&amp;_xlpm.ai_test&amp;" = "&amp;ROUND(_xlpm.q*_xlpm.f,1)&amp;" "&amp;_xlpm.u,ROUND(_xlpm.q,1)&amp;" "&amp;_xlpm.ai_test)),""),""))))</f>
        <v>0</v>
      </c>
      <c r="BD196" s="801"/>
      <c r="BE196" s="799" t="str">
        <f t="shared" si="100"/>
        <v/>
      </c>
      <c r="BF196" s="800" t="str">
        <f t="shared" si="103"/>
        <v/>
      </c>
      <c r="BG196" s="802">
        <f t="shared" si="104"/>
        <v>0</v>
      </c>
      <c r="BH196" s="803" t="str">
        <f t="shared" si="105"/>
        <v/>
      </c>
      <c r="BI196" s="792"/>
      <c r="BJ196" s="804">
        <f t="shared" si="106"/>
        <v>0</v>
      </c>
      <c r="BK196" s="794" t="str">
        <f t="shared" si="101"/>
        <v/>
      </c>
      <c r="BL196" s="227" t="s">
        <v>21</v>
      </c>
      <c r="BM196" s="773">
        <f t="shared" si="91"/>
        <v>0</v>
      </c>
      <c r="BN196" s="774">
        <f t="shared" si="92"/>
        <v>0</v>
      </c>
      <c r="BO196"/>
      <c r="BX196"/>
      <c r="BY196"/>
      <c r="BZ196"/>
      <c r="CA196"/>
      <c r="CB196"/>
      <c r="CC196"/>
      <c r="CD196" s="781" t="str">
        <f t="shared" si="85"/>
        <v>►</v>
      </c>
      <c r="CE196"/>
      <c r="CF196"/>
      <c r="CG196"/>
      <c r="CH196"/>
      <c r="CI196"/>
      <c r="CJ196" s="633"/>
      <c r="CK196"/>
      <c r="CL196"/>
      <c r="CM196"/>
      <c r="CN196"/>
      <c r="CO196"/>
      <c r="CP196"/>
      <c r="CQ196"/>
      <c r="CS196"/>
      <c r="CT196"/>
      <c r="CU196"/>
      <c r="CV196"/>
      <c r="CW196"/>
      <c r="CX196"/>
      <c r="CY196"/>
      <c r="DA196"/>
      <c r="DB196"/>
      <c r="DC196"/>
      <c r="DD196"/>
      <c r="DE196"/>
      <c r="DF196"/>
      <c r="DG196"/>
      <c r="DI196" s="3">
        <v>1</v>
      </c>
    </row>
    <row r="197" spans="1:113" s="627" customFormat="1" ht="21" customHeight="1">
      <c r="A197" s="701" t="s">
        <v>21</v>
      </c>
      <c r="B197" s="2265" t="str" cm="1">
        <f t="array" ref="B197">SUMPRODUCT(--(D197:J197&lt;&gt;""), LEN(TRIM(SUBSTITUTE(D197:J197, CHAR(160), "")))) &amp; " Car."</f>
        <v>0 Car.</v>
      </c>
      <c r="C197" s="1376" t="str">
        <f>IF(ISBLANK(D197),"",LARGE(C13:C196,1)+1)</f>
        <v/>
      </c>
      <c r="D197" s="1833"/>
      <c r="E197" s="1810"/>
      <c r="F197" s="1810"/>
      <c r="G197" s="1810"/>
      <c r="H197" s="1810"/>
      <c r="I197" s="1810"/>
      <c r="J197" s="1810"/>
      <c r="K197" s="1810"/>
      <c r="L197" s="1811"/>
      <c r="M197" s="9"/>
      <c r="N197" s="162" t="str">
        <f t="shared" si="88"/>
        <v>A</v>
      </c>
      <c r="O197" s="1616"/>
      <c r="P197" s="9"/>
      <c r="Q197" s="162" t="s">
        <v>10</v>
      </c>
      <c r="R197" s="163" t="str">
        <f>R166</f>
        <v>J JUS DE FRAISES DES BOIS | pâtisserie--ENTREMET| Auteur &gt; recette Béghin Say de Jean-Jacques Borne MOF 1994</v>
      </c>
      <c r="S197" s="163">
        <f>S166</f>
        <v>18</v>
      </c>
      <c r="T197" s="164" t="str">
        <f>T166</f>
        <v>desserts</v>
      </c>
      <c r="U197" s="165" t="str">
        <f>U166</f>
        <v>Recette mère ► MILLE-FEUILLE  aux fraises des bois</v>
      </c>
      <c r="V197" s="1548"/>
      <c r="W197" s="1548"/>
      <c r="X197" s="2190">
        <f>ROWS(AB185:AB197)</f>
        <v>13</v>
      </c>
      <c r="Y197" s="5549" t="str" cm="1">
        <f t="array" ref="Y197">IF(SUMPRODUCT((AB197:AG197&lt;&gt;"")*1)=0,"",SUMPRODUCT((AB197:AG197&lt;&gt;"")*(LEN(TRIM(SUBSTITUTE(AB197:AG197,CHAR(160)," "))) - LEN(SUBSTITUTE(TRIM(SUBSTITUTE(AB197:AG197,CHAR(160)," "))," ","")) + 1)) &amp; " mot" &amp; IF(SUMPRODUCT((AB197:AG197&lt;&gt;"")*(LEN(TRIM(SUBSTITUTE(AB197:AG197,CHAR(160)," "))) - LEN(SUBSTITUTE(TRIM(SUBSTITUTE(AB197:AG197,CHAR(160)," "))," ","")) + 1))&gt;1,"s",""))</f>
        <v/>
      </c>
      <c r="Z197" s="5550" t="str" cm="1">
        <f t="array" ref="Z197">SUMPRODUCT(--(AB197:AG197&lt;&gt;""), LEN(TRIM(SUBSTITUTE(AB197:AG197, CHAR(160), "")))) &amp; " Car."</f>
        <v>0 Car.</v>
      </c>
      <c r="AA197" s="1376" t="str">
        <f>IF(ISBLANK(AB197),"",LARGE(AA184:AA196,1)+1)</f>
        <v/>
      </c>
      <c r="AB197" s="1810"/>
      <c r="AC197" s="1810"/>
      <c r="AD197" s="1810"/>
      <c r="AE197" s="1810"/>
      <c r="AF197" s="1810"/>
      <c r="AG197" s="1810"/>
      <c r="AH197" s="1810"/>
      <c r="AI197" s="1810"/>
      <c r="AJ197" s="1811"/>
      <c r="AK197" s="6120" t="str">
        <f t="shared" si="102"/>
        <v>►</v>
      </c>
      <c r="AL197" s="781" t="str">
        <f t="shared" si="90"/>
        <v>►</v>
      </c>
      <c r="AM197" s="5499" t="str">
        <f t="shared" si="93"/>
        <v/>
      </c>
      <c r="AN197" s="783" t="str">
        <f t="shared" si="94"/>
        <v/>
      </c>
      <c r="AO197" s="782" t="str">
        <f t="shared" si="95"/>
        <v/>
      </c>
      <c r="AP197" s="783" t="str">
        <f t="shared" si="96"/>
        <v/>
      </c>
      <c r="AQ197" s="2083" t="b">
        <f>AND(Q197="A",COUNTIF(BP16:BR63,TRIM(Z197))&gt;0)</f>
        <v>0</v>
      </c>
      <c r="AR197" s="797" t="str">
        <f>IF(AL197&lt;&gt;"A","",IFERROR(IFERROR(_xlfn.XLOOKUP(TRIM(SUBSTITUTE(Z197,CHAR(160)," ")),BP16:BP63,BS16:BS63),IFERROR(_xlfn.XLOOKUP(TRIM(SUBSTITUTE(Z197,CHAR(160)," ")),BQ16:BQ63,BS16:BS63),_xlfn.XLOOKUP(TRIM(SUBSTITUTE(Z197,CHAR(160)," ")),BR16:BR63,BS16:BS63)))*Y197*IF(ISBLANK(V197),1,V197),0))</f>
        <v/>
      </c>
      <c r="AS197" s="784" t="str">
        <f t="shared" si="84"/>
        <v/>
      </c>
      <c r="AT197" s="1315" t="str">
        <f t="shared" si="97"/>
        <v/>
      </c>
      <c r="AU197" s="785">
        <f t="shared" si="98"/>
        <v>0</v>
      </c>
      <c r="AV197" s="785">
        <f t="shared" si="99"/>
        <v>0</v>
      </c>
      <c r="AW197" s="786">
        <f>IF(AK197="A",AY10,0)</f>
        <v>0</v>
      </c>
      <c r="AX197" s="5495" t="str">
        <f>IF(IFERROR(SEARCH("Adresse PC",TRIM(W197)),0)&gt;0,"▼ receta siguiente",IF(AK197="A",IF(AZ10&lt;&gt;"",AZ10&amp;" - ou.or.o ❾ + or - &gt;",""),""))</f>
        <v/>
      </c>
      <c r="AY197" s="810"/>
      <c r="AZ197" s="810"/>
      <c r="BA197" s="788" t="str">
        <f t="shared" si="89"/>
        <v/>
      </c>
      <c r="BB197" s="789" t="str">
        <f>IF(AK197="A",IF(AQ197,IF(AND(AW197&lt;&gt;"",N(AW197)&gt;0),IFERROR(IFERROR(_xlfn.XLOOKUP(AP197,BP10:BP57,BT10:BT57),IFERROR(_xlfn.XLOOKUP(AP197,BQ10:BQ57,BT10:BT57),_xlfn.XLOOKUP(AP197,BR10:BR57,BT10:BT57,""))),""),""),""),"")</f>
        <v/>
      </c>
      <c r="BC197" s="811" cm="1">
        <f t="array" ref="BC197">IF(NOT(AQ197),0,IF(OR(BA197="",N(BA197)&lt;=0.000000001),"",IF(OR(AU197="",N(AU197)&lt;=0.000000001),0,IF(ISNUMBER(BA197),IFERROR(_xlfn.LET(_xlpm.ai_test,TRIM(AP197),_xlpm.r,IFERROR(_xlfn.XLOOKUP(_xlpm.ai_test,BP16:BP63,ROW(BP16:BP63),0,1),IFERROR(_xlfn.XLOOKUP(_xlpm.ai_test,BQ16:BQ63,ROW(BQ16:BQ63),0,1),_xlfn.XLOOKUP(_xlpm.ai_test,BR16:BR63,ROW(BR16:BR63),0,1))),_xlpm.p,_xlpm.r-MIN(ROW(BP16:BP63))+1,_xlpm.f,INDEX(BS16:BS63,_xlpm.p),_xlpm.u,INDEX(BT16:BT63,_xlpm.p),_xlpm.s,INDEX(BV16:BV63,_xlpm.p),_xlpm.q,N(BA197)/_xlpm.f,IF(_xlpm.q&gt;=_xlpm.s,ROUND(_xlpm.q,1)&amp;" "&amp;_xlpm.ai_test&amp;" = "&amp;ROUND(_xlpm.q*_xlpm.f,1)&amp;" "&amp;_xlpm.u,ROUND(_xlpm.q,1)&amp;" "&amp;_xlpm.ai_test)),""),""))))</f>
        <v>0</v>
      </c>
      <c r="BD197" s="801"/>
      <c r="BE197" s="788" t="str">
        <f t="shared" si="100"/>
        <v/>
      </c>
      <c r="BF197" s="789" t="str">
        <f t="shared" si="103"/>
        <v/>
      </c>
      <c r="BG197" s="790">
        <f t="shared" si="104"/>
        <v>0</v>
      </c>
      <c r="BH197" s="791" t="str">
        <f t="shared" si="105"/>
        <v/>
      </c>
      <c r="BI197" s="792"/>
      <c r="BJ197" s="793">
        <f t="shared" si="106"/>
        <v>0</v>
      </c>
      <c r="BK197" s="794" t="str">
        <f t="shared" si="101"/>
        <v/>
      </c>
      <c r="BL197" s="227" t="s">
        <v>21</v>
      </c>
      <c r="BM197" s="773">
        <f t="shared" si="91"/>
        <v>0</v>
      </c>
      <c r="BN197" s="774">
        <f t="shared" si="92"/>
        <v>0</v>
      </c>
      <c r="BO197"/>
      <c r="BX197"/>
      <c r="BY197"/>
      <c r="BZ197"/>
      <c r="CA197"/>
      <c r="CB197"/>
      <c r="CC197"/>
      <c r="CD197" s="781" t="str">
        <f t="shared" si="85"/>
        <v>►</v>
      </c>
      <c r="CE197"/>
      <c r="CF197"/>
      <c r="CG197"/>
      <c r="CH197"/>
      <c r="CI197"/>
      <c r="CJ197" s="633"/>
      <c r="CK197"/>
      <c r="CL197"/>
      <c r="CM197"/>
      <c r="CN197"/>
      <c r="CO197"/>
      <c r="CP197"/>
      <c r="CQ197"/>
      <c r="CS197"/>
      <c r="CT197"/>
      <c r="CU197"/>
      <c r="CV197"/>
      <c r="CW197"/>
      <c r="CX197"/>
      <c r="CY197"/>
      <c r="DA197"/>
      <c r="DB197"/>
      <c r="DC197"/>
      <c r="DD197"/>
      <c r="DE197"/>
      <c r="DF197"/>
      <c r="DG197"/>
      <c r="DI197" s="3">
        <v>1</v>
      </c>
    </row>
    <row r="198" spans="1:113" s="627" customFormat="1" ht="21" customHeight="1">
      <c r="A198" s="701" t="s">
        <v>21</v>
      </c>
      <c r="B198" s="2265" t="str" cm="1">
        <f t="array" ref="B198">SUMPRODUCT(--(D198:J198&lt;&gt;""), LEN(TRIM(SUBSTITUTE(D198:J198, CHAR(160), "")))) &amp; " Car."</f>
        <v>0 Car.</v>
      </c>
      <c r="C198" s="1376" t="str">
        <f>IF(ISBLANK(D198),"",LARGE(C13:C197,1)+1)</f>
        <v/>
      </c>
      <c r="D198" s="1833"/>
      <c r="E198" s="1810"/>
      <c r="F198" s="1810"/>
      <c r="G198" s="1810"/>
      <c r="H198" s="1810"/>
      <c r="I198" s="1810"/>
      <c r="J198" s="1810"/>
      <c r="K198" s="1810"/>
      <c r="L198" s="1811"/>
      <c r="M198" s="9"/>
      <c r="N198" s="162" t="str">
        <f t="shared" si="88"/>
        <v>A</v>
      </c>
      <c r="O198" s="1616"/>
      <c r="P198" s="9"/>
      <c r="Q198" s="162" t="s">
        <v>10</v>
      </c>
      <c r="R198" s="163" t="str">
        <f>R166</f>
        <v>J JUS DE FRAISES DES BOIS | pâtisserie--ENTREMET| Auteur &gt; recette Béghin Say de Jean-Jacques Borne MOF 1994</v>
      </c>
      <c r="S198" s="163">
        <f>S166</f>
        <v>18</v>
      </c>
      <c r="T198" s="164" t="str">
        <f>T166</f>
        <v>desserts</v>
      </c>
      <c r="U198" s="165" t="str">
        <f>U166</f>
        <v>Recette mère ► MILLE-FEUILLE  aux fraises des bois</v>
      </c>
      <c r="V198" s="1548"/>
      <c r="W198" s="1548"/>
      <c r="X198" s="2190">
        <f>ROWS(AB185:AB198)</f>
        <v>14</v>
      </c>
      <c r="Y198" s="5549" t="str" cm="1">
        <f t="array" ref="Y198">IF(SUMPRODUCT((AB198:AG198&lt;&gt;"")*1)=0,"",SUMPRODUCT((AB198:AG198&lt;&gt;"")*(LEN(TRIM(SUBSTITUTE(AB198:AG198,CHAR(160)," "))) - LEN(SUBSTITUTE(TRIM(SUBSTITUTE(AB198:AG198,CHAR(160)," "))," ","")) + 1)) &amp; " mot" &amp; IF(SUMPRODUCT((AB198:AG198&lt;&gt;"")*(LEN(TRIM(SUBSTITUTE(AB198:AG198,CHAR(160)," "))) - LEN(SUBSTITUTE(TRIM(SUBSTITUTE(AB198:AG198,CHAR(160)," "))," ","")) + 1))&gt;1,"s",""))</f>
        <v/>
      </c>
      <c r="Z198" s="5550" t="str" cm="1">
        <f t="array" ref="Z198">SUMPRODUCT(--(AB198:AG198&lt;&gt;""), LEN(TRIM(SUBSTITUTE(AB198:AG198, CHAR(160), "")))) &amp; " Car."</f>
        <v>0 Car.</v>
      </c>
      <c r="AA198" s="1376" t="str">
        <f>IF(ISBLANK(AB198),"",LARGE(AA184:AA197,1)+1)</f>
        <v/>
      </c>
      <c r="AB198" s="1810"/>
      <c r="AC198" s="1810"/>
      <c r="AD198" s="1810"/>
      <c r="AE198" s="1810"/>
      <c r="AF198" s="1810"/>
      <c r="AG198" s="1810"/>
      <c r="AH198" s="1810"/>
      <c r="AI198" s="1810"/>
      <c r="AJ198" s="1811"/>
      <c r="AK198" s="6120" t="str">
        <f t="shared" si="102"/>
        <v>►</v>
      </c>
      <c r="AL198" s="781" t="str">
        <f t="shared" si="90"/>
        <v>►</v>
      </c>
      <c r="AM198" s="5498" t="str">
        <f t="shared" si="93"/>
        <v/>
      </c>
      <c r="AN198" s="783" t="str">
        <f t="shared" si="94"/>
        <v/>
      </c>
      <c r="AO198" s="782" t="str">
        <f t="shared" si="95"/>
        <v/>
      </c>
      <c r="AP198" s="783" t="str">
        <f t="shared" si="96"/>
        <v/>
      </c>
      <c r="AQ198" s="2083" t="b">
        <f>AND(Q198="A",COUNTIF(BP16:BR63,TRIM(Z198))&gt;0)</f>
        <v>0</v>
      </c>
      <c r="AR198" s="797" t="str">
        <f>IF(AL198&lt;&gt;"A","",IFERROR(IFERROR(_xlfn.XLOOKUP(TRIM(SUBSTITUTE(Z198,CHAR(160)," ")),BP16:BP63,BS16:BS63),IFERROR(_xlfn.XLOOKUP(TRIM(SUBSTITUTE(Z198,CHAR(160)," ")),BQ16:BQ63,BS16:BS63),_xlfn.XLOOKUP(TRIM(SUBSTITUTE(Z198,CHAR(160)," ")),BR16:BR63,BS16:BS63)))*Y198*IF(ISBLANK(V198),1,V198),0))</f>
        <v/>
      </c>
      <c r="AS198" s="784" t="str">
        <f t="shared" si="84"/>
        <v/>
      </c>
      <c r="AT198" s="1315" t="str">
        <f t="shared" si="97"/>
        <v/>
      </c>
      <c r="AU198" s="785">
        <f t="shared" si="98"/>
        <v>0</v>
      </c>
      <c r="AV198" s="785">
        <f t="shared" si="99"/>
        <v>0</v>
      </c>
      <c r="AW198" s="798">
        <f>IF(AK198="A",AY10,0)</f>
        <v>0</v>
      </c>
      <c r="AX198" s="5496" t="str">
        <f>IF(IFERROR(SEARCH("Adresse PC",TRIM(W198)),0)&gt;0,"▼ receta siguiente",IF(AK198="A",IF(AZ10&lt;&gt;"",AZ10&amp;" - ou.or.o ❾ + or - &gt;",""),""))</f>
        <v/>
      </c>
      <c r="AY198" s="810"/>
      <c r="AZ198" s="810"/>
      <c r="BA198" s="799" t="str">
        <f t="shared" si="89"/>
        <v/>
      </c>
      <c r="BB198" s="800" t="str">
        <f>IF(AK198="A",IF(AQ198,IF(AND(AW198&lt;&gt;"",N(AW198)&gt;0),IFERROR(IFERROR(_xlfn.XLOOKUP(AP198,BP10:BP57,BT10:BT57),IFERROR(_xlfn.XLOOKUP(AP198,BQ10:BQ57,BT10:BT57),_xlfn.XLOOKUP(AP198,BR10:BR57,BT10:BT57,""))),""),""),""),"")</f>
        <v/>
      </c>
      <c r="BC198" s="813" cm="1">
        <f t="array" ref="BC198">IF(NOT(AQ198),0,IF(OR(BA198="",N(BA198)&lt;=0.000000001),"",IF(OR(AU198="",N(AU198)&lt;=0.000000001),0,IF(ISNUMBER(BA198),IFERROR(_xlfn.LET(_xlpm.ai_test,TRIM(AP198),_xlpm.r,IFERROR(_xlfn.XLOOKUP(_xlpm.ai_test,BP16:BP63,ROW(BP16:BP63),0,1),IFERROR(_xlfn.XLOOKUP(_xlpm.ai_test,BQ16:BQ63,ROW(BQ16:BQ63),0,1),_xlfn.XLOOKUP(_xlpm.ai_test,BR16:BR63,ROW(BR16:BR63),0,1))),_xlpm.p,_xlpm.r-MIN(ROW(BP16:BP63))+1,_xlpm.f,INDEX(BS16:BS63,_xlpm.p),_xlpm.u,INDEX(BT16:BT63,_xlpm.p),_xlpm.s,INDEX(BV16:BV63,_xlpm.p),_xlpm.q,N(BA198)/_xlpm.f,IF(_xlpm.q&gt;=_xlpm.s,ROUND(_xlpm.q,1)&amp;" "&amp;_xlpm.ai_test&amp;" = "&amp;ROUND(_xlpm.q*_xlpm.f,1)&amp;" "&amp;_xlpm.u,ROUND(_xlpm.q,1)&amp;" "&amp;_xlpm.ai_test)),""),""))))</f>
        <v>0</v>
      </c>
      <c r="BD198" s="801"/>
      <c r="BE198" s="799" t="str">
        <f t="shared" si="100"/>
        <v/>
      </c>
      <c r="BF198" s="800" t="str">
        <f t="shared" si="103"/>
        <v/>
      </c>
      <c r="BG198" s="802">
        <f t="shared" si="104"/>
        <v>0</v>
      </c>
      <c r="BH198" s="803" t="str">
        <f t="shared" si="105"/>
        <v/>
      </c>
      <c r="BI198" s="792"/>
      <c r="BJ198" s="804">
        <f t="shared" si="106"/>
        <v>0</v>
      </c>
      <c r="BK198" s="794" t="str">
        <f t="shared" si="101"/>
        <v/>
      </c>
      <c r="BL198" s="227" t="s">
        <v>21</v>
      </c>
      <c r="BM198" s="773">
        <f t="shared" si="91"/>
        <v>0</v>
      </c>
      <c r="BN198" s="774">
        <f t="shared" si="92"/>
        <v>0</v>
      </c>
      <c r="BO198"/>
      <c r="BX198"/>
      <c r="BY198"/>
      <c r="BZ198"/>
      <c r="CA198"/>
      <c r="CB198"/>
      <c r="CC198"/>
      <c r="CD198" s="781" t="str">
        <f t="shared" si="85"/>
        <v>►</v>
      </c>
      <c r="CE198"/>
      <c r="CF198"/>
      <c r="CG198"/>
      <c r="CH198"/>
      <c r="CI198"/>
      <c r="CJ198" s="633"/>
      <c r="CK198"/>
      <c r="CL198"/>
      <c r="CM198"/>
      <c r="CN198"/>
      <c r="CO198"/>
      <c r="CP198"/>
      <c r="CQ198"/>
      <c r="CS198"/>
      <c r="CT198"/>
      <c r="CU198"/>
      <c r="CV198"/>
      <c r="CW198"/>
      <c r="CX198"/>
      <c r="CY198"/>
      <c r="DA198"/>
      <c r="DB198"/>
      <c r="DC198"/>
      <c r="DD198"/>
      <c r="DE198"/>
      <c r="DF198"/>
      <c r="DG198"/>
      <c r="DI198" s="3">
        <v>1</v>
      </c>
    </row>
    <row r="199" spans="1:113" s="627" customFormat="1" ht="21" customHeight="1">
      <c r="A199" s="701" t="s">
        <v>21</v>
      </c>
      <c r="B199" s="2265" t="str" cm="1">
        <f t="array" ref="B199">SUMPRODUCT(--(D199:J199&lt;&gt;""), LEN(TRIM(SUBSTITUTE(D199:J199, CHAR(160), "")))) &amp; " Car."</f>
        <v>0 Car.</v>
      </c>
      <c r="C199" s="1376" t="str">
        <f>IF(ISBLANK(D199),"",LARGE(C13:C198,1)+1)</f>
        <v/>
      </c>
      <c r="D199" s="1833"/>
      <c r="E199" s="1810"/>
      <c r="F199" s="1810"/>
      <c r="G199" s="1810"/>
      <c r="H199" s="1810"/>
      <c r="I199" s="1810"/>
      <c r="J199" s="1810"/>
      <c r="K199" s="1810"/>
      <c r="L199" s="1811"/>
      <c r="M199" s="9"/>
      <c r="N199" s="162" t="str">
        <f t="shared" si="88"/>
        <v>A</v>
      </c>
      <c r="O199" s="1616"/>
      <c r="P199" s="9"/>
      <c r="Q199" s="162" t="s">
        <v>10</v>
      </c>
      <c r="R199" s="163" t="str">
        <f>R166</f>
        <v>J JUS DE FRAISES DES BOIS | pâtisserie--ENTREMET| Auteur &gt; recette Béghin Say de Jean-Jacques Borne MOF 1994</v>
      </c>
      <c r="S199" s="163">
        <f>S166</f>
        <v>18</v>
      </c>
      <c r="T199" s="164" t="str">
        <f>T166</f>
        <v>desserts</v>
      </c>
      <c r="U199" s="165" t="str">
        <f>U166</f>
        <v>Recette mère ► MILLE-FEUILLE  aux fraises des bois</v>
      </c>
      <c r="V199" s="1548"/>
      <c r="W199" s="1548"/>
      <c r="X199" s="2190">
        <f>ROWS(AB185:AB199)</f>
        <v>15</v>
      </c>
      <c r="Y199" s="5549" t="str" cm="1">
        <f t="array" ref="Y199">IF(SUMPRODUCT((AB199:AG199&lt;&gt;"")*1)=0,"",SUMPRODUCT((AB199:AG199&lt;&gt;"")*(LEN(TRIM(SUBSTITUTE(AB199:AG199,CHAR(160)," "))) - LEN(SUBSTITUTE(TRIM(SUBSTITUTE(AB199:AG199,CHAR(160)," "))," ","")) + 1)) &amp; " mot" &amp; IF(SUMPRODUCT((AB199:AG199&lt;&gt;"")*(LEN(TRIM(SUBSTITUTE(AB199:AG199,CHAR(160)," "))) - LEN(SUBSTITUTE(TRIM(SUBSTITUTE(AB199:AG199,CHAR(160)," "))," ","")) + 1))&gt;1,"s",""))</f>
        <v/>
      </c>
      <c r="Z199" s="5550" t="str" cm="1">
        <f t="array" ref="Z199">SUMPRODUCT(--(AB199:AG199&lt;&gt;""), LEN(TRIM(SUBSTITUTE(AB199:AG199, CHAR(160), "")))) &amp; " Car."</f>
        <v>0 Car.</v>
      </c>
      <c r="AA199" s="1376" t="str">
        <f>IF(ISBLANK(AB199),"",LARGE(AA184:AA198,1)+1)</f>
        <v/>
      </c>
      <c r="AB199" s="1810"/>
      <c r="AC199" s="1810"/>
      <c r="AD199" s="1810"/>
      <c r="AE199" s="1810"/>
      <c r="AF199" s="1810"/>
      <c r="AG199" s="1810"/>
      <c r="AH199" s="1810"/>
      <c r="AI199" s="1810"/>
      <c r="AJ199" s="1811"/>
      <c r="AK199" s="6120" t="str">
        <f t="shared" si="102"/>
        <v>►</v>
      </c>
      <c r="AL199" s="781" t="str">
        <f t="shared" si="90"/>
        <v>►</v>
      </c>
      <c r="AM199" s="5499" t="str">
        <f t="shared" si="93"/>
        <v/>
      </c>
      <c r="AN199" s="783" t="str">
        <f t="shared" si="94"/>
        <v/>
      </c>
      <c r="AO199" s="782" t="str">
        <f t="shared" si="95"/>
        <v/>
      </c>
      <c r="AP199" s="783" t="str">
        <f t="shared" si="96"/>
        <v/>
      </c>
      <c r="AQ199" s="2083" t="b">
        <f>AND(Q199="A",COUNTIF(BP16:BR63,TRIM(Z199))&gt;0)</f>
        <v>0</v>
      </c>
      <c r="AR199" s="797" t="str">
        <f>IF(AL199&lt;&gt;"A","",IFERROR(IFERROR(_xlfn.XLOOKUP(TRIM(SUBSTITUTE(Z199,CHAR(160)," ")),BP16:BP63,BS16:BS63),IFERROR(_xlfn.XLOOKUP(TRIM(SUBSTITUTE(Z199,CHAR(160)," ")),BQ16:BQ63,BS16:BS63),_xlfn.XLOOKUP(TRIM(SUBSTITUTE(Z199,CHAR(160)," ")),BR16:BR63,BS16:BS63)))*Y199*IF(ISBLANK(V199),1,V199),0))</f>
        <v/>
      </c>
      <c r="AS199" s="784" t="str">
        <f t="shared" ref="AS199:AS262" si="112">IF(AK199="A",IF(AND(AQ199,AR199&gt;0),"Kg",""),"")</f>
        <v/>
      </c>
      <c r="AT199" s="1315" t="str">
        <f t="shared" si="97"/>
        <v/>
      </c>
      <c r="AU199" s="785">
        <f t="shared" si="98"/>
        <v>0</v>
      </c>
      <c r="AV199" s="785">
        <f t="shared" si="99"/>
        <v>0</v>
      </c>
      <c r="AW199" s="786">
        <f>IF(AK199="A",AY10,0)</f>
        <v>0</v>
      </c>
      <c r="AX199" s="5495" t="str">
        <f>IF(IFERROR(SEARCH("Adresse PC",TRIM(W199)),0)&gt;0,"▼ receta siguiente",IF(AK199="A",IF(AZ10&lt;&gt;"",AZ10&amp;" - ou.or.o ❾ + or - &gt;",""),""))</f>
        <v/>
      </c>
      <c r="AY199" s="810"/>
      <c r="AZ199" s="810"/>
      <c r="BA199" s="788" t="str">
        <f t="shared" si="89"/>
        <v/>
      </c>
      <c r="BB199" s="789" t="str">
        <f>IF(AK199="A",IF(AQ199,IF(AND(AW199&lt;&gt;"",N(AW199)&gt;0),IFERROR(IFERROR(_xlfn.XLOOKUP(AP199,BP10:BP57,BT10:BT57),IFERROR(_xlfn.XLOOKUP(AP199,BQ10:BQ57,BT10:BT57),_xlfn.XLOOKUP(AP199,BR10:BR57,BT10:BT57,""))),""),""),""),"")</f>
        <v/>
      </c>
      <c r="BC199" s="811" cm="1">
        <f t="array" ref="BC199">IF(NOT(AQ199),0,IF(OR(BA199="",N(BA199)&lt;=0.000000001),"",IF(OR(AU199="",N(AU199)&lt;=0.000000001),0,IF(ISNUMBER(BA199),IFERROR(_xlfn.LET(_xlpm.ai_test,TRIM(AP199),_xlpm.r,IFERROR(_xlfn.XLOOKUP(_xlpm.ai_test,BP16:BP63,ROW(BP16:BP63),0,1),IFERROR(_xlfn.XLOOKUP(_xlpm.ai_test,BQ16:BQ63,ROW(BQ16:BQ63),0,1),_xlfn.XLOOKUP(_xlpm.ai_test,BR16:BR63,ROW(BR16:BR63),0,1))),_xlpm.p,_xlpm.r-MIN(ROW(BP16:BP63))+1,_xlpm.f,INDEX(BS16:BS63,_xlpm.p),_xlpm.u,INDEX(BT16:BT63,_xlpm.p),_xlpm.s,INDEX(BV16:BV63,_xlpm.p),_xlpm.q,N(BA199)/_xlpm.f,IF(_xlpm.q&gt;=_xlpm.s,ROUND(_xlpm.q,1)&amp;" "&amp;_xlpm.ai_test&amp;" = "&amp;ROUND(_xlpm.q*_xlpm.f,1)&amp;" "&amp;_xlpm.u,ROUND(_xlpm.q,1)&amp;" "&amp;_xlpm.ai_test)),""),""))))</f>
        <v>0</v>
      </c>
      <c r="BD199" s="801"/>
      <c r="BE199" s="788" t="str">
        <f t="shared" si="100"/>
        <v/>
      </c>
      <c r="BF199" s="789" t="str">
        <f t="shared" si="103"/>
        <v/>
      </c>
      <c r="BG199" s="790">
        <f t="shared" si="104"/>
        <v>0</v>
      </c>
      <c r="BH199" s="791" t="str">
        <f t="shared" si="105"/>
        <v/>
      </c>
      <c r="BI199" s="792"/>
      <c r="BJ199" s="793">
        <f t="shared" si="106"/>
        <v>0</v>
      </c>
      <c r="BK199" s="794" t="str">
        <f t="shared" si="101"/>
        <v/>
      </c>
      <c r="BL199" s="227" t="s">
        <v>21</v>
      </c>
      <c r="BM199" s="773">
        <f t="shared" si="91"/>
        <v>0</v>
      </c>
      <c r="BN199" s="774">
        <f t="shared" si="92"/>
        <v>0</v>
      </c>
      <c r="BO199"/>
      <c r="BX199"/>
      <c r="BY199"/>
      <c r="BZ199"/>
      <c r="CA199"/>
      <c r="CB199"/>
      <c r="CC199"/>
      <c r="CD199" s="781" t="str">
        <f t="shared" ref="CD199:CD262" si="113">AL199</f>
        <v>►</v>
      </c>
      <c r="CE199"/>
      <c r="CF199"/>
      <c r="CG199"/>
      <c r="CH199"/>
      <c r="CI199"/>
      <c r="CJ199" s="633"/>
      <c r="CK199"/>
      <c r="CL199"/>
      <c r="CM199"/>
      <c r="CN199"/>
      <c r="CO199"/>
      <c r="CP199"/>
      <c r="CQ199"/>
      <c r="CS199"/>
      <c r="CT199"/>
      <c r="CU199"/>
      <c r="CV199"/>
      <c r="CW199"/>
      <c r="CX199"/>
      <c r="CY199"/>
      <c r="DA199"/>
      <c r="DB199"/>
      <c r="DC199"/>
      <c r="DD199"/>
      <c r="DE199"/>
      <c r="DF199"/>
      <c r="DG199"/>
      <c r="DI199" s="3">
        <v>1</v>
      </c>
    </row>
    <row r="200" spans="1:113" s="627" customFormat="1" ht="21" customHeight="1">
      <c r="A200" s="701" t="s">
        <v>21</v>
      </c>
      <c r="B200" s="2265" t="str" cm="1">
        <f t="array" ref="B200">SUMPRODUCT(--(D200:J200&lt;&gt;""), LEN(TRIM(SUBSTITUTE(D200:J200, CHAR(160), "")))) &amp; " Car."</f>
        <v>0 Car.</v>
      </c>
      <c r="C200" s="1376" t="str">
        <f>IF(ISBLANK(D200),"",LARGE(C13:C199,1)+1)</f>
        <v/>
      </c>
      <c r="D200" s="1833"/>
      <c r="E200" s="1810"/>
      <c r="F200" s="1810"/>
      <c r="G200" s="1810"/>
      <c r="H200" s="1810"/>
      <c r="I200" s="1810"/>
      <c r="J200" s="1810"/>
      <c r="K200" s="1810"/>
      <c r="L200" s="1811"/>
      <c r="M200" s="9"/>
      <c r="N200" s="162" t="str">
        <f t="shared" si="88"/>
        <v>A</v>
      </c>
      <c r="O200" s="1616"/>
      <c r="P200" s="9"/>
      <c r="Q200" s="162" t="s">
        <v>10</v>
      </c>
      <c r="R200" s="163" t="str">
        <f>R166</f>
        <v>J JUS DE FRAISES DES BOIS | pâtisserie--ENTREMET| Auteur &gt; recette Béghin Say de Jean-Jacques Borne MOF 1994</v>
      </c>
      <c r="S200" s="163">
        <f>S166</f>
        <v>18</v>
      </c>
      <c r="T200" s="164" t="str">
        <f>T166</f>
        <v>desserts</v>
      </c>
      <c r="U200" s="165" t="str">
        <f>U166</f>
        <v>Recette mère ► MILLE-FEUILLE  aux fraises des bois</v>
      </c>
      <c r="V200" s="1548"/>
      <c r="W200" s="1548"/>
      <c r="X200" s="2190">
        <f>ROWS(AB185:AB200)</f>
        <v>16</v>
      </c>
      <c r="Y200" s="5549" t="str" cm="1">
        <f t="array" ref="Y200">IF(SUMPRODUCT((AB200:AG200&lt;&gt;"")*1)=0,"",SUMPRODUCT((AB200:AG200&lt;&gt;"")*(LEN(TRIM(SUBSTITUTE(AB200:AG200,CHAR(160)," "))) - LEN(SUBSTITUTE(TRIM(SUBSTITUTE(AB200:AG200,CHAR(160)," "))," ","")) + 1)) &amp; " mot" &amp; IF(SUMPRODUCT((AB200:AG200&lt;&gt;"")*(LEN(TRIM(SUBSTITUTE(AB200:AG200,CHAR(160)," "))) - LEN(SUBSTITUTE(TRIM(SUBSTITUTE(AB200:AG200,CHAR(160)," "))," ","")) + 1))&gt;1,"s",""))</f>
        <v/>
      </c>
      <c r="Z200" s="5550" t="str" cm="1">
        <f t="array" ref="Z200">SUMPRODUCT(--(AB200:AG200&lt;&gt;""), LEN(TRIM(SUBSTITUTE(AB200:AG200, CHAR(160), "")))) &amp; " Car."</f>
        <v>0 Car.</v>
      </c>
      <c r="AA200" s="1376" t="str">
        <f>IF(ISBLANK(AB200),"",LARGE(AA184:AA199,1)+1)</f>
        <v/>
      </c>
      <c r="AB200" s="1810"/>
      <c r="AC200" s="1810"/>
      <c r="AD200" s="1810"/>
      <c r="AE200" s="1810"/>
      <c r="AF200" s="1810"/>
      <c r="AG200" s="1810"/>
      <c r="AH200" s="1810"/>
      <c r="AI200" s="1810"/>
      <c r="AJ200" s="1811"/>
      <c r="AK200" s="6120" t="str">
        <f t="shared" si="102"/>
        <v>►</v>
      </c>
      <c r="AL200" s="781" t="str">
        <f t="shared" si="90"/>
        <v>►</v>
      </c>
      <c r="AM200" s="5498" t="str">
        <f t="shared" si="93"/>
        <v/>
      </c>
      <c r="AN200" s="783" t="str">
        <f t="shared" si="94"/>
        <v/>
      </c>
      <c r="AO200" s="782" t="str">
        <f t="shared" si="95"/>
        <v/>
      </c>
      <c r="AP200" s="783" t="str">
        <f t="shared" si="96"/>
        <v/>
      </c>
      <c r="AQ200" s="2083" t="b">
        <f>AND(Q200="A",COUNTIF(BP16:BR63,TRIM(Z200))&gt;0)</f>
        <v>0</v>
      </c>
      <c r="AR200" s="797" t="str">
        <f>IF(AL200&lt;&gt;"A","",IFERROR(IFERROR(_xlfn.XLOOKUP(TRIM(SUBSTITUTE(Z200,CHAR(160)," ")),BP16:BP63,BS16:BS63),IFERROR(_xlfn.XLOOKUP(TRIM(SUBSTITUTE(Z200,CHAR(160)," ")),BQ16:BQ63,BS16:BS63),_xlfn.XLOOKUP(TRIM(SUBSTITUTE(Z200,CHAR(160)," ")),BR16:BR63,BS16:BS63)))*Y200*IF(ISBLANK(V200),1,V200),0))</f>
        <v/>
      </c>
      <c r="AS200" s="784" t="str">
        <f t="shared" si="112"/>
        <v/>
      </c>
      <c r="AT200" s="1315" t="str">
        <f t="shared" si="97"/>
        <v/>
      </c>
      <c r="AU200" s="785">
        <f t="shared" si="98"/>
        <v>0</v>
      </c>
      <c r="AV200" s="785">
        <f t="shared" si="99"/>
        <v>0</v>
      </c>
      <c r="AW200" s="798">
        <f>IF(AK200="A",AY10,0)</f>
        <v>0</v>
      </c>
      <c r="AX200" s="5496" t="str">
        <f>IF(IFERROR(SEARCH("Adresse PC",TRIM(W200)),0)&gt;0,"▼ receta siguiente",IF(AK200="A",IF(AZ10&lt;&gt;"",AZ10&amp;" - ou.or.o ❾ + or - &gt;",""),""))</f>
        <v/>
      </c>
      <c r="AY200" s="810"/>
      <c r="AZ200" s="810"/>
      <c r="BA200" s="799" t="str">
        <f t="shared" si="89"/>
        <v/>
      </c>
      <c r="BB200" s="800" t="str">
        <f>IF(AK200="A",IF(AQ200,IF(AND(AW200&lt;&gt;"",N(AW200)&gt;0),IFERROR(IFERROR(_xlfn.XLOOKUP(AP200,BP10:BP57,BT10:BT57),IFERROR(_xlfn.XLOOKUP(AP200,BQ10:BQ57,BT10:BT57),_xlfn.XLOOKUP(AP200,BR10:BR57,BT10:BT57,""))),""),""),""),"")</f>
        <v/>
      </c>
      <c r="BC200" s="813" cm="1">
        <f t="array" ref="BC200">IF(NOT(AQ200),0,IF(OR(BA200="",N(BA200)&lt;=0.000000001),"",IF(OR(AU200="",N(AU200)&lt;=0.000000001),0,IF(ISNUMBER(BA200),IFERROR(_xlfn.LET(_xlpm.ai_test,TRIM(AP200),_xlpm.r,IFERROR(_xlfn.XLOOKUP(_xlpm.ai_test,BP16:BP63,ROW(BP16:BP63),0,1),IFERROR(_xlfn.XLOOKUP(_xlpm.ai_test,BQ16:BQ63,ROW(BQ16:BQ63),0,1),_xlfn.XLOOKUP(_xlpm.ai_test,BR16:BR63,ROW(BR16:BR63),0,1))),_xlpm.p,_xlpm.r-MIN(ROW(BP16:BP63))+1,_xlpm.f,INDEX(BS16:BS63,_xlpm.p),_xlpm.u,INDEX(BT16:BT63,_xlpm.p),_xlpm.s,INDEX(BV16:BV63,_xlpm.p),_xlpm.q,N(BA200)/_xlpm.f,IF(_xlpm.q&gt;=_xlpm.s,ROUND(_xlpm.q,1)&amp;" "&amp;_xlpm.ai_test&amp;" = "&amp;ROUND(_xlpm.q*_xlpm.f,1)&amp;" "&amp;_xlpm.u,ROUND(_xlpm.q,1)&amp;" "&amp;_xlpm.ai_test)),""),""))))</f>
        <v>0</v>
      </c>
      <c r="BD200" s="801"/>
      <c r="BE200" s="799" t="str">
        <f t="shared" si="100"/>
        <v/>
      </c>
      <c r="BF200" s="800" t="str">
        <f t="shared" si="103"/>
        <v/>
      </c>
      <c r="BG200" s="802">
        <f t="shared" si="104"/>
        <v>0</v>
      </c>
      <c r="BH200" s="803" t="str">
        <f t="shared" si="105"/>
        <v/>
      </c>
      <c r="BI200" s="792"/>
      <c r="BJ200" s="804">
        <f t="shared" si="106"/>
        <v>0</v>
      </c>
      <c r="BK200" s="794" t="str">
        <f t="shared" si="101"/>
        <v/>
      </c>
      <c r="BL200" s="227" t="s">
        <v>21</v>
      </c>
      <c r="BM200" s="773">
        <f t="shared" si="91"/>
        <v>0</v>
      </c>
      <c r="BN200" s="774">
        <f t="shared" si="92"/>
        <v>0</v>
      </c>
      <c r="BO200"/>
      <c r="BX200"/>
      <c r="BY200"/>
      <c r="BZ200"/>
      <c r="CA200"/>
      <c r="CB200"/>
      <c r="CC200"/>
      <c r="CD200" s="781" t="str">
        <f t="shared" si="113"/>
        <v>►</v>
      </c>
      <c r="CE200"/>
      <c r="CF200"/>
      <c r="CG200"/>
      <c r="CH200"/>
      <c r="CI200"/>
      <c r="CJ200" s="633"/>
      <c r="CK200"/>
      <c r="CL200"/>
      <c r="CM200"/>
      <c r="CN200"/>
      <c r="CO200"/>
      <c r="CP200"/>
      <c r="CQ200"/>
      <c r="CS200"/>
      <c r="CT200"/>
      <c r="CU200"/>
      <c r="CV200"/>
      <c r="CW200"/>
      <c r="CX200"/>
      <c r="CY200"/>
      <c r="DA200"/>
      <c r="DB200"/>
      <c r="DC200"/>
      <c r="DD200"/>
      <c r="DE200"/>
      <c r="DF200"/>
      <c r="DG200"/>
      <c r="DI200" s="3">
        <v>1</v>
      </c>
    </row>
    <row r="201" spans="1:113" s="627" customFormat="1" ht="21" customHeight="1">
      <c r="A201" s="701" t="s">
        <v>21</v>
      </c>
      <c r="B201" s="2265" t="str" cm="1">
        <f t="array" ref="B201">SUMPRODUCT(--(D201:J201&lt;&gt;""), LEN(TRIM(SUBSTITUTE(D201:J201, CHAR(160), "")))) &amp; " Car."</f>
        <v>0 Car.</v>
      </c>
      <c r="C201" s="1376" t="str">
        <f>IF(ISBLANK(D201),"",LARGE(C13:C200,1)+1)</f>
        <v/>
      </c>
      <c r="D201" s="1833"/>
      <c r="E201" s="1810"/>
      <c r="F201" s="1810"/>
      <c r="G201" s="1810"/>
      <c r="H201" s="1810"/>
      <c r="I201" s="1810"/>
      <c r="J201" s="1810"/>
      <c r="K201" s="1810"/>
      <c r="L201" s="1811"/>
      <c r="M201" s="9"/>
      <c r="N201" s="162" t="str">
        <f t="shared" si="88"/>
        <v>A</v>
      </c>
      <c r="O201" s="1616"/>
      <c r="P201" s="9"/>
      <c r="Q201" s="162" t="s">
        <v>10</v>
      </c>
      <c r="R201" s="163" t="str">
        <f>R166</f>
        <v>J JUS DE FRAISES DES BOIS | pâtisserie--ENTREMET| Auteur &gt; recette Béghin Say de Jean-Jacques Borne MOF 1994</v>
      </c>
      <c r="S201" s="1943">
        <f>S166</f>
        <v>18</v>
      </c>
      <c r="T201" s="164" t="str">
        <f>T166</f>
        <v>desserts</v>
      </c>
      <c r="U201" s="165" t="str">
        <f>U166</f>
        <v>Recette mère ► MILLE-FEUILLE  aux fraises des bois</v>
      </c>
      <c r="V201" s="1548"/>
      <c r="W201" s="1548"/>
      <c r="X201" s="2190">
        <f>ROWS(AB185:AB201)</f>
        <v>17</v>
      </c>
      <c r="Y201" s="5549" t="str" cm="1">
        <f t="array" ref="Y201">IF(SUMPRODUCT((AB201:AG201&lt;&gt;"")*1)=0,"",SUMPRODUCT((AB201:AG201&lt;&gt;"")*(LEN(TRIM(SUBSTITUTE(AB201:AG201,CHAR(160)," "))) - LEN(SUBSTITUTE(TRIM(SUBSTITUTE(AB201:AG201,CHAR(160)," "))," ","")) + 1)) &amp; " mot" &amp; IF(SUMPRODUCT((AB201:AG201&lt;&gt;"")*(LEN(TRIM(SUBSTITUTE(AB201:AG201,CHAR(160)," "))) - LEN(SUBSTITUTE(TRIM(SUBSTITUTE(AB201:AG201,CHAR(160)," "))," ","")) + 1))&gt;1,"s",""))</f>
        <v/>
      </c>
      <c r="Z201" s="5550" t="str" cm="1">
        <f t="array" ref="Z201">SUMPRODUCT(--(AB201:AG201&lt;&gt;""), LEN(TRIM(SUBSTITUTE(AB201:AG201, CHAR(160), "")))) &amp; " Car."</f>
        <v>0 Car.</v>
      </c>
      <c r="AA201" s="1376" t="str">
        <f>IF(ISBLANK(AB201),"",LARGE(AA184:AA200,1)+1)</f>
        <v/>
      </c>
      <c r="AB201" s="1810"/>
      <c r="AC201" s="1810"/>
      <c r="AD201" s="1810"/>
      <c r="AE201" s="1810"/>
      <c r="AF201" s="1810"/>
      <c r="AG201" s="1810"/>
      <c r="AH201" s="1810"/>
      <c r="AI201" s="1810"/>
      <c r="AJ201" s="1811"/>
      <c r="AK201" s="6120" t="str">
        <f t="shared" si="102"/>
        <v>►</v>
      </c>
      <c r="AL201" s="781" t="str">
        <f t="shared" si="90"/>
        <v>►</v>
      </c>
      <c r="AM201" s="5499" t="str">
        <f t="shared" si="93"/>
        <v/>
      </c>
      <c r="AN201" s="783" t="str">
        <f t="shared" si="94"/>
        <v/>
      </c>
      <c r="AO201" s="782" t="str">
        <f t="shared" si="95"/>
        <v/>
      </c>
      <c r="AP201" s="783" t="str">
        <f t="shared" si="96"/>
        <v/>
      </c>
      <c r="AQ201" s="2083" t="b">
        <f>AND(Q201="A",COUNTIF(BP16:BR63,TRIM(Z201))&gt;0)</f>
        <v>0</v>
      </c>
      <c r="AR201" s="797" t="str">
        <f>IF(AL201&lt;&gt;"A","",IFERROR(IFERROR(_xlfn.XLOOKUP(TRIM(SUBSTITUTE(Z201,CHAR(160)," ")),BP16:BP63,BS16:BS63),IFERROR(_xlfn.XLOOKUP(TRIM(SUBSTITUTE(Z201,CHAR(160)," ")),BQ16:BQ63,BS16:BS63),_xlfn.XLOOKUP(TRIM(SUBSTITUTE(Z201,CHAR(160)," ")),BR16:BR63,BS16:BS63)))*Y201*IF(ISBLANK(V201),1,V201),0))</f>
        <v/>
      </c>
      <c r="AS201" s="784" t="str">
        <f t="shared" si="112"/>
        <v/>
      </c>
      <c r="AT201" s="1315" t="str">
        <f t="shared" si="97"/>
        <v/>
      </c>
      <c r="AU201" s="785">
        <f t="shared" si="98"/>
        <v>0</v>
      </c>
      <c r="AV201" s="785">
        <f t="shared" si="99"/>
        <v>0</v>
      </c>
      <c r="AW201" s="786">
        <f>IF(AK201="A",AY10,0)</f>
        <v>0</v>
      </c>
      <c r="AX201" s="5495" t="str">
        <f>IF(IFERROR(SEARCH("Adresse PC",TRIM(W201)),0)&gt;0,"▼ receta siguiente",IF(AK201="A",IF(AZ10&lt;&gt;"",AZ10&amp;" - ou.or.o ❾ + or - &gt;",""),""))</f>
        <v/>
      </c>
      <c r="AY201" s="810"/>
      <c r="AZ201" s="810"/>
      <c r="BA201" s="788" t="str">
        <f t="shared" si="89"/>
        <v/>
      </c>
      <c r="BB201" s="789" t="str">
        <f>IF(AK201="A",IF(AQ201,IF(AND(AW201&lt;&gt;"",N(AW201)&gt;0),IFERROR(IFERROR(_xlfn.XLOOKUP(AP201,BP10:BP57,BT10:BT57),IFERROR(_xlfn.XLOOKUP(AP201,BQ10:BQ57,BT10:BT57),_xlfn.XLOOKUP(AP201,BR10:BR57,BT10:BT57,""))),""),""),""),"")</f>
        <v/>
      </c>
      <c r="BC201" s="811" cm="1">
        <f t="array" ref="BC201">IF(NOT(AQ201),0,IF(OR(BA201="",N(BA201)&lt;=0.000000001),"",IF(OR(AU201="",N(AU201)&lt;=0.000000001),0,IF(ISNUMBER(BA201),IFERROR(_xlfn.LET(_xlpm.ai_test,TRIM(AP201),_xlpm.r,IFERROR(_xlfn.XLOOKUP(_xlpm.ai_test,BP16:BP63,ROW(BP16:BP63),0,1),IFERROR(_xlfn.XLOOKUP(_xlpm.ai_test,BQ16:BQ63,ROW(BQ16:BQ63),0,1),_xlfn.XLOOKUP(_xlpm.ai_test,BR16:BR63,ROW(BR16:BR63),0,1))),_xlpm.p,_xlpm.r-MIN(ROW(BP16:BP63))+1,_xlpm.f,INDEX(BS16:BS63,_xlpm.p),_xlpm.u,INDEX(BT16:BT63,_xlpm.p),_xlpm.s,INDEX(BV16:BV63,_xlpm.p),_xlpm.q,N(BA201)/_xlpm.f,IF(_xlpm.q&gt;=_xlpm.s,ROUND(_xlpm.q,1)&amp;" "&amp;_xlpm.ai_test&amp;" = "&amp;ROUND(_xlpm.q*_xlpm.f,1)&amp;" "&amp;_xlpm.u,ROUND(_xlpm.q,1)&amp;" "&amp;_xlpm.ai_test)),""),""))))</f>
        <v>0</v>
      </c>
      <c r="BD201" s="801"/>
      <c r="BE201" s="788" t="str">
        <f t="shared" si="100"/>
        <v/>
      </c>
      <c r="BF201" s="789" t="str">
        <f t="shared" si="103"/>
        <v/>
      </c>
      <c r="BG201" s="790">
        <f t="shared" si="104"/>
        <v>0</v>
      </c>
      <c r="BH201" s="791" t="str">
        <f t="shared" si="105"/>
        <v/>
      </c>
      <c r="BI201" s="792"/>
      <c r="BJ201" s="793">
        <f t="shared" si="106"/>
        <v>0</v>
      </c>
      <c r="BK201" s="794" t="str">
        <f t="shared" si="101"/>
        <v/>
      </c>
      <c r="BL201" s="227" t="s">
        <v>21</v>
      </c>
      <c r="BM201" s="773">
        <f t="shared" si="91"/>
        <v>0</v>
      </c>
      <c r="BN201" s="774">
        <f t="shared" si="92"/>
        <v>0</v>
      </c>
      <c r="BO201"/>
      <c r="BX201"/>
      <c r="BY201"/>
      <c r="BZ201"/>
      <c r="CA201"/>
      <c r="CB201"/>
      <c r="CC201"/>
      <c r="CD201" s="781" t="str">
        <f t="shared" si="113"/>
        <v>►</v>
      </c>
      <c r="CE201"/>
      <c r="CF201"/>
      <c r="CG201"/>
      <c r="CH201"/>
      <c r="CI201"/>
      <c r="CJ201" s="633"/>
      <c r="CK201"/>
      <c r="CL201"/>
      <c r="CM201"/>
      <c r="CN201"/>
      <c r="CO201"/>
      <c r="CP201"/>
      <c r="CQ201"/>
      <c r="CS201"/>
      <c r="CT201"/>
      <c r="CU201"/>
      <c r="CV201"/>
      <c r="CW201"/>
      <c r="CX201"/>
      <c r="CY201"/>
      <c r="DA201"/>
      <c r="DB201"/>
      <c r="DC201"/>
      <c r="DD201"/>
      <c r="DE201"/>
      <c r="DF201"/>
      <c r="DG201"/>
      <c r="DI201" s="3">
        <v>1</v>
      </c>
    </row>
    <row r="202" spans="1:113" s="627" customFormat="1" ht="21" customHeight="1">
      <c r="A202" s="701" t="s">
        <v>21</v>
      </c>
      <c r="B202" s="2265" t="str" cm="1">
        <f t="array" ref="B202">SUMPRODUCT(--(D202:J202&lt;&gt;""), LEN(TRIM(SUBSTITUTE(D202:J202, CHAR(160), "")))) &amp; " Car."</f>
        <v>0 Car.</v>
      </c>
      <c r="C202" s="1376" t="str">
        <f>IF(ISBLANK(D202),"",LARGE(C13:C201,1)+1)</f>
        <v/>
      </c>
      <c r="D202" s="1833"/>
      <c r="E202" s="1810"/>
      <c r="F202" s="1810"/>
      <c r="G202" s="1810"/>
      <c r="H202" s="1810"/>
      <c r="I202" s="1810"/>
      <c r="J202" s="1810"/>
      <c r="K202" s="1810"/>
      <c r="L202" s="1811"/>
      <c r="M202" s="9"/>
      <c r="N202" s="162" t="str">
        <f t="shared" si="88"/>
        <v>A</v>
      </c>
      <c r="O202" s="1616"/>
      <c r="P202" s="9"/>
      <c r="Q202" s="162" t="s">
        <v>10</v>
      </c>
      <c r="R202" s="163" t="str">
        <f>R166</f>
        <v>J JUS DE FRAISES DES BOIS | pâtisserie--ENTREMET| Auteur &gt; recette Béghin Say de Jean-Jacques Borne MOF 1994</v>
      </c>
      <c r="S202" s="163">
        <f>S166</f>
        <v>18</v>
      </c>
      <c r="T202" s="164" t="str">
        <f>T166</f>
        <v>desserts</v>
      </c>
      <c r="U202" s="165" t="str">
        <f>U166</f>
        <v>Recette mère ► MILLE-FEUILLE  aux fraises des bois</v>
      </c>
      <c r="V202" s="1548"/>
      <c r="W202" s="1548"/>
      <c r="X202" s="2190">
        <f>ROWS(AB185:AB202)</f>
        <v>18</v>
      </c>
      <c r="Y202" s="5549" t="str" cm="1">
        <f t="array" ref="Y202">IF(SUMPRODUCT((AB202:AG202&lt;&gt;"")*1)=0,"",SUMPRODUCT((AB202:AG202&lt;&gt;"")*(LEN(TRIM(SUBSTITUTE(AB202:AG202,CHAR(160)," "))) - LEN(SUBSTITUTE(TRIM(SUBSTITUTE(AB202:AG202,CHAR(160)," "))," ","")) + 1)) &amp; " mot" &amp; IF(SUMPRODUCT((AB202:AG202&lt;&gt;"")*(LEN(TRIM(SUBSTITUTE(AB202:AG202,CHAR(160)," "))) - LEN(SUBSTITUTE(TRIM(SUBSTITUTE(AB202:AG202,CHAR(160)," "))," ","")) + 1))&gt;1,"s",""))</f>
        <v>13 mots</v>
      </c>
      <c r="Z202" s="5550" t="str" cm="1">
        <f t="array" ref="Z202">SUMPRODUCT(--(AB202:AG202&lt;&gt;""), LEN(TRIM(SUBSTITUTE(AB202:AG202, CHAR(160), "")))) &amp; " Car."</f>
        <v>80 Car.</v>
      </c>
      <c r="AA202" s="1376" t="str">
        <f>IF(ISBLANK(AB202),"",LARGE(AA184:AA201,1)+1)</f>
        <v/>
      </c>
      <c r="AB202" s="1810"/>
      <c r="AC202" s="1810" t="s">
        <v>14252</v>
      </c>
      <c r="AD202" s="1810"/>
      <c r="AE202" s="1810"/>
      <c r="AF202" s="1810"/>
      <c r="AG202" s="1810"/>
      <c r="AH202" s="1810"/>
      <c r="AI202" s="1810"/>
      <c r="AJ202" s="1811"/>
      <c r="AK202" s="6120" t="str">
        <f t="shared" si="102"/>
        <v>►</v>
      </c>
      <c r="AL202" s="781" t="str">
        <f t="shared" si="90"/>
        <v>►</v>
      </c>
      <c r="AM202" s="5498" t="str">
        <f t="shared" si="93"/>
        <v/>
      </c>
      <c r="AN202" s="783" t="str">
        <f t="shared" si="94"/>
        <v/>
      </c>
      <c r="AO202" s="782" t="str">
        <f t="shared" si="95"/>
        <v/>
      </c>
      <c r="AP202" s="783" t="str">
        <f t="shared" si="96"/>
        <v/>
      </c>
      <c r="AQ202" s="2083" t="b">
        <f>AND(Q202="A",COUNTIF(BP16:BR63,TRIM(Z202))&gt;0)</f>
        <v>0</v>
      </c>
      <c r="AR202" s="797" t="str">
        <f>IF(AL202&lt;&gt;"A","",IFERROR(IFERROR(_xlfn.XLOOKUP(TRIM(SUBSTITUTE(Z202,CHAR(160)," ")),BP16:BP63,BS16:BS63),IFERROR(_xlfn.XLOOKUP(TRIM(SUBSTITUTE(Z202,CHAR(160)," ")),BQ16:BQ63,BS16:BS63),_xlfn.XLOOKUP(TRIM(SUBSTITUTE(Z202,CHAR(160)," ")),BR16:BR63,BS16:BS63)))*Y202*IF(ISBLANK(V202),1,V202),0))</f>
        <v/>
      </c>
      <c r="AS202" s="784" t="str">
        <f t="shared" si="112"/>
        <v/>
      </c>
      <c r="AT202" s="1315" t="str">
        <f t="shared" si="97"/>
        <v/>
      </c>
      <c r="AU202" s="785">
        <f t="shared" si="98"/>
        <v>0</v>
      </c>
      <c r="AV202" s="785">
        <f t="shared" si="99"/>
        <v>0</v>
      </c>
      <c r="AW202" s="798">
        <f>IF(AK202="A",AY10,0)</f>
        <v>0</v>
      </c>
      <c r="AX202" s="5496" t="str">
        <f>IF(IFERROR(SEARCH("Adresse PC",TRIM(W202)),0)&gt;0,"▼ receta siguiente",IF(AK202="A",IF(AZ10&lt;&gt;"",AZ10&amp;" - ou.or.o ❾ + or - &gt;",""),""))</f>
        <v/>
      </c>
      <c r="AY202" s="810"/>
      <c r="AZ202" s="810"/>
      <c r="BA202" s="799" t="str">
        <f t="shared" si="89"/>
        <v/>
      </c>
      <c r="BB202" s="800" t="str">
        <f>IF(AK202="A",IF(AQ202,IF(AND(AW202&lt;&gt;"",N(AW202)&gt;0),IFERROR(IFERROR(_xlfn.XLOOKUP(AP202,BP10:BP57,BT10:BT57),IFERROR(_xlfn.XLOOKUP(AP202,BQ10:BQ57,BT10:BT57),_xlfn.XLOOKUP(AP202,BR10:BR57,BT10:BT57,""))),""),""),""),"")</f>
        <v/>
      </c>
      <c r="BC202" s="813" cm="1">
        <f t="array" ref="BC202">IF(NOT(AQ202),0,IF(OR(BA202="",N(BA202)&lt;=0.000000001),"",IF(OR(AU202="",N(AU202)&lt;=0.000000001),0,IF(ISNUMBER(BA202),IFERROR(_xlfn.LET(_xlpm.ai_test,TRIM(AP202),_xlpm.r,IFERROR(_xlfn.XLOOKUP(_xlpm.ai_test,BP16:BP63,ROW(BP16:BP63),0,1),IFERROR(_xlfn.XLOOKUP(_xlpm.ai_test,BQ16:BQ63,ROW(BQ16:BQ63),0,1),_xlfn.XLOOKUP(_xlpm.ai_test,BR16:BR63,ROW(BR16:BR63),0,1))),_xlpm.p,_xlpm.r-MIN(ROW(BP16:BP63))+1,_xlpm.f,INDEX(BS16:BS63,_xlpm.p),_xlpm.u,INDEX(BT16:BT63,_xlpm.p),_xlpm.s,INDEX(BV16:BV63,_xlpm.p),_xlpm.q,N(BA202)/_xlpm.f,IF(_xlpm.q&gt;=_xlpm.s,ROUND(_xlpm.q,1)&amp;" "&amp;_xlpm.ai_test&amp;" = "&amp;ROUND(_xlpm.q*_xlpm.f,1)&amp;" "&amp;_xlpm.u,ROUND(_xlpm.q,1)&amp;" "&amp;_xlpm.ai_test)),""),""))))</f>
        <v>0</v>
      </c>
      <c r="BD202" s="801"/>
      <c r="BE202" s="799" t="str">
        <f t="shared" si="100"/>
        <v/>
      </c>
      <c r="BF202" s="800" t="str">
        <f t="shared" si="103"/>
        <v/>
      </c>
      <c r="BG202" s="802">
        <f t="shared" si="104"/>
        <v>0</v>
      </c>
      <c r="BH202" s="803" t="str">
        <f t="shared" si="105"/>
        <v/>
      </c>
      <c r="BI202" s="792"/>
      <c r="BJ202" s="804">
        <f t="shared" si="106"/>
        <v>0</v>
      </c>
      <c r="BK202" s="794" t="str">
        <f t="shared" si="101"/>
        <v/>
      </c>
      <c r="BL202" s="227" t="s">
        <v>21</v>
      </c>
      <c r="BM202" s="773">
        <f t="shared" si="91"/>
        <v>0</v>
      </c>
      <c r="BN202" s="774">
        <f t="shared" si="92"/>
        <v>0</v>
      </c>
      <c r="BO202"/>
      <c r="BX202"/>
      <c r="BY202"/>
      <c r="BZ202"/>
      <c r="CA202"/>
      <c r="CB202"/>
      <c r="CC202"/>
      <c r="CD202" s="781" t="str">
        <f t="shared" si="113"/>
        <v>►</v>
      </c>
      <c r="CE202"/>
      <c r="CF202"/>
      <c r="CG202"/>
      <c r="CH202"/>
      <c r="CI202"/>
      <c r="CJ202" s="633"/>
      <c r="CK202"/>
      <c r="CL202"/>
      <c r="CM202"/>
      <c r="CN202"/>
      <c r="CO202"/>
      <c r="CP202"/>
      <c r="CQ202"/>
      <c r="CS202"/>
      <c r="CT202"/>
      <c r="CU202"/>
      <c r="CV202"/>
      <c r="CW202"/>
      <c r="CX202"/>
      <c r="CY202"/>
      <c r="DA202"/>
      <c r="DB202"/>
      <c r="DC202"/>
      <c r="DD202"/>
      <c r="DE202"/>
      <c r="DF202"/>
      <c r="DG202"/>
      <c r="DI202" s="3">
        <v>1</v>
      </c>
    </row>
    <row r="203" spans="1:113" s="627" customFormat="1" ht="21" customHeight="1" thickBot="1">
      <c r="A203" s="701" t="s">
        <v>21</v>
      </c>
      <c r="B203" s="2265" t="str" cm="1">
        <f t="array" ref="B203">SUMPRODUCT(--(D203:J203&lt;&gt;""), LEN(TRIM(SUBSTITUTE(D203:J203, CHAR(160), "")))) &amp; " Car."</f>
        <v>0 Car.</v>
      </c>
      <c r="C203" s="1376" t="str">
        <f>IF(ISBLANK(D203),"",LARGE(C13:C202,1)+1)</f>
        <v/>
      </c>
      <c r="D203" s="1833"/>
      <c r="E203" s="1810"/>
      <c r="F203" s="1810"/>
      <c r="G203" s="1810"/>
      <c r="H203" s="1810"/>
      <c r="I203" s="1810"/>
      <c r="J203" s="1810"/>
      <c r="K203" s="1810"/>
      <c r="L203" s="1811"/>
      <c r="M203" s="9"/>
      <c r="N203" s="162" t="str">
        <f t="shared" si="88"/>
        <v>A</v>
      </c>
      <c r="O203" s="1616"/>
      <c r="P203" s="9"/>
      <c r="Q203" s="162" t="s">
        <v>10</v>
      </c>
      <c r="R203" s="163" t="str">
        <f>R166</f>
        <v>J JUS DE FRAISES DES BOIS | pâtisserie--ENTREMET| Auteur &gt; recette Béghin Say de Jean-Jacques Borne MOF 1994</v>
      </c>
      <c r="S203" s="163">
        <f>S166</f>
        <v>18</v>
      </c>
      <c r="T203" s="164" t="str">
        <f>T166</f>
        <v>desserts</v>
      </c>
      <c r="U203" s="165" t="str">
        <f>U166</f>
        <v>Recette mère ► MILLE-FEUILLE  aux fraises des bois</v>
      </c>
      <c r="V203" s="172"/>
      <c r="W203" s="1378" t="s">
        <v>207</v>
      </c>
      <c r="X203" s="1712" t="s">
        <v>8475</v>
      </c>
      <c r="Y203" s="176"/>
      <c r="Z203" s="176"/>
      <c r="AA203" s="176"/>
      <c r="AB203" s="176"/>
      <c r="AC203" s="176"/>
      <c r="AD203" s="176"/>
      <c r="AE203" s="176"/>
      <c r="AF203" s="176"/>
      <c r="AG203" s="176"/>
      <c r="AH203" s="176"/>
      <c r="AI203" s="176"/>
      <c r="AJ203" s="884"/>
      <c r="AK203" s="6120" t="str">
        <f t="shared" si="102"/>
        <v>►</v>
      </c>
      <c r="AL203" s="781" t="str">
        <f t="shared" si="90"/>
        <v>A</v>
      </c>
      <c r="AM203" s="5499" t="str">
        <f t="shared" si="93"/>
        <v>▼ recette suivante</v>
      </c>
      <c r="AN203" s="783" t="str">
        <f t="shared" si="94"/>
        <v/>
      </c>
      <c r="AO203" s="782" t="str">
        <f t="shared" si="95"/>
        <v/>
      </c>
      <c r="AP203" s="783" t="str">
        <f t="shared" si="96"/>
        <v/>
      </c>
      <c r="AQ203" s="2083" t="b">
        <f>AND(Q203="A",COUNTIF(BP16:BR63,TRIM(Z203))&gt;0)</f>
        <v>0</v>
      </c>
      <c r="AR203" s="797">
        <f>IF(AL203&lt;&gt;"A","",IFERROR(IFERROR(_xlfn.XLOOKUP(TRIM(SUBSTITUTE(Z203,CHAR(160)," ")),BP16:BP63,BS16:BS63),IFERROR(_xlfn.XLOOKUP(TRIM(SUBSTITUTE(Z203,CHAR(160)," ")),BQ16:BQ63,BS16:BS63),_xlfn.XLOOKUP(TRIM(SUBSTITUTE(Z203,CHAR(160)," ")),BR16:BR63,BS16:BS63)))*Y203*IF(ISBLANK(V203),1,V203),0))</f>
        <v>0</v>
      </c>
      <c r="AS203" s="784" t="str">
        <f t="shared" si="112"/>
        <v/>
      </c>
      <c r="AT203" s="1315" t="str">
        <f t="shared" si="97"/>
        <v/>
      </c>
      <c r="AU203" s="785">
        <f t="shared" si="98"/>
        <v>0</v>
      </c>
      <c r="AV203" s="785">
        <f t="shared" si="99"/>
        <v>0</v>
      </c>
      <c r="AW203" s="786">
        <f>IF(AK203="A",AY10,0)</f>
        <v>0</v>
      </c>
      <c r="AX203" s="5495" t="str">
        <f>IF(IFERROR(SEARCH("Adresse PC",TRIM(W203)),0)&gt;0,"▼ receta siguiente",IF(AK203="A",IF(AZ10&lt;&gt;"",AZ10&amp;" - ou.or.o ❾ + or - &gt;",""),""))</f>
        <v>▼ receta siguiente</v>
      </c>
      <c r="AY203" s="810"/>
      <c r="AZ203" s="810"/>
      <c r="BA203" s="788" t="str">
        <f t="shared" si="89"/>
        <v/>
      </c>
      <c r="BB203" s="789" t="str">
        <f>IF(AK203="A",IF(AQ203,IF(AND(AW203&lt;&gt;"",N(AW203)&gt;0),IFERROR(IFERROR(_xlfn.XLOOKUP(AP203,BP10:BP57,BT10:BT57),IFERROR(_xlfn.XLOOKUP(AP203,BQ10:BQ57,BT10:BT57),_xlfn.XLOOKUP(AP203,BR10:BR57,BT10:BT57,""))),""),""),""),"")</f>
        <v/>
      </c>
      <c r="BC203" s="811" cm="1">
        <f t="array" ref="BC203">IF(NOT(AQ203),0,IF(OR(BA203="",N(BA203)&lt;=0.000000001),"",IF(OR(AU203="",N(AU203)&lt;=0.000000001),0,IF(ISNUMBER(BA203),IFERROR(_xlfn.LET(_xlpm.ai_test,TRIM(AP203),_xlpm.r,IFERROR(_xlfn.XLOOKUP(_xlpm.ai_test,BP16:BP63,ROW(BP16:BP63),0,1),IFERROR(_xlfn.XLOOKUP(_xlpm.ai_test,BQ16:BQ63,ROW(BQ16:BQ63),0,1),_xlfn.XLOOKUP(_xlpm.ai_test,BR16:BR63,ROW(BR16:BR63),0,1))),_xlpm.p,_xlpm.r-MIN(ROW(BP16:BP63))+1,_xlpm.f,INDEX(BS16:BS63,_xlpm.p),_xlpm.u,INDEX(BT16:BT63,_xlpm.p),_xlpm.s,INDEX(BV16:BV63,_xlpm.p),_xlpm.q,N(BA203)/_xlpm.f,IF(_xlpm.q&gt;=_xlpm.s,ROUND(_xlpm.q,1)&amp;" "&amp;_xlpm.ai_test&amp;" = "&amp;ROUND(_xlpm.q*_xlpm.f,1)&amp;" "&amp;_xlpm.u,ROUND(_xlpm.q,1)&amp;" "&amp;_xlpm.ai_test)),""),""))))</f>
        <v>0</v>
      </c>
      <c r="BD203" s="801"/>
      <c r="BE203" s="788" t="str">
        <f t="shared" si="100"/>
        <v xml:space="preserve">▼next ricipe </v>
      </c>
      <c r="BF203" s="789" t="str">
        <f t="shared" si="103"/>
        <v/>
      </c>
      <c r="BG203" s="790">
        <f t="shared" si="104"/>
        <v>0</v>
      </c>
      <c r="BH203" s="791" t="str">
        <f t="shared" si="105"/>
        <v/>
      </c>
      <c r="BI203" s="792"/>
      <c r="BJ203" s="793">
        <f t="shared" si="106"/>
        <v>0</v>
      </c>
      <c r="BK203" s="794" t="str">
        <f t="shared" si="101"/>
        <v/>
      </c>
      <c r="BL203" s="227" t="s">
        <v>21</v>
      </c>
      <c r="BM203" s="773">
        <f t="shared" si="91"/>
        <v>0</v>
      </c>
      <c r="BN203" s="774">
        <f t="shared" si="92"/>
        <v>0</v>
      </c>
      <c r="BO203"/>
      <c r="BX203"/>
      <c r="BY203"/>
      <c r="BZ203"/>
      <c r="CA203"/>
      <c r="CB203"/>
      <c r="CC203"/>
      <c r="CD203" s="781" t="str">
        <f t="shared" si="113"/>
        <v>A</v>
      </c>
      <c r="CE203"/>
      <c r="CF203"/>
      <c r="CG203"/>
      <c r="CH203"/>
      <c r="CI203"/>
      <c r="CJ203" s="633"/>
      <c r="CK203"/>
      <c r="CL203"/>
      <c r="CM203"/>
      <c r="CN203"/>
      <c r="CO203"/>
      <c r="CP203"/>
      <c r="CQ203"/>
      <c r="CS203"/>
      <c r="CT203"/>
      <c r="CU203"/>
      <c r="CV203"/>
      <c r="CW203"/>
      <c r="CX203"/>
      <c r="CY203"/>
      <c r="DA203"/>
      <c r="DB203"/>
      <c r="DC203"/>
      <c r="DD203"/>
      <c r="DE203"/>
      <c r="DF203"/>
      <c r="DG203"/>
      <c r="DI203" s="3">
        <v>1</v>
      </c>
    </row>
    <row r="204" spans="1:113" s="627" customFormat="1" ht="21" customHeight="1">
      <c r="A204" s="701" t="s">
        <v>21</v>
      </c>
      <c r="B204" s="2265" t="str" cm="1">
        <f t="array" ref="B204">SUMPRODUCT(--(D204:J204&lt;&gt;""), LEN(TRIM(SUBSTITUTE(D204:J204, CHAR(160), "")))) &amp; " Car."</f>
        <v>0 Car.</v>
      </c>
      <c r="C204" s="1376" t="str">
        <f>IF(ISBLANK(D204),"",LARGE(C13:C203,1)+1)</f>
        <v/>
      </c>
      <c r="D204" s="1833"/>
      <c r="E204" s="1810"/>
      <c r="F204" s="1810"/>
      <c r="G204" s="1810"/>
      <c r="H204" s="1810"/>
      <c r="I204" s="1810"/>
      <c r="J204" s="1810"/>
      <c r="K204" s="1810"/>
      <c r="L204" s="1811"/>
      <c r="M204" s="9"/>
      <c r="N204" s="162" t="str">
        <f t="shared" si="88"/>
        <v>A</v>
      </c>
      <c r="O204" s="1616"/>
      <c r="P204" s="9"/>
      <c r="Q204" s="162" t="s">
        <v>10</v>
      </c>
      <c r="R204" s="163" t="str">
        <f>R166</f>
        <v>J JUS DE FRAISES DES BOIS | pâtisserie--ENTREMET| Auteur &gt; recette Béghin Say de Jean-Jacques Borne MOF 1994</v>
      </c>
      <c r="S204" s="163">
        <f>S166</f>
        <v>18</v>
      </c>
      <c r="T204" s="164" t="str">
        <f>T166</f>
        <v>desserts</v>
      </c>
      <c r="U204" s="165" t="str">
        <f>U166</f>
        <v>Recette mère ► MILLE-FEUILLE  aux fraises des bois</v>
      </c>
      <c r="V204" s="1379"/>
      <c r="W204" s="1380"/>
      <c r="X204" s="1380"/>
      <c r="Y204" s="1380"/>
      <c r="Z204" s="1380"/>
      <c r="AA204" s="1380"/>
      <c r="AB204" s="1380"/>
      <c r="AC204" s="1381" t="s">
        <v>196</v>
      </c>
      <c r="AD204" s="202"/>
      <c r="AE204" s="202"/>
      <c r="AF204" s="202"/>
      <c r="AG204" s="202"/>
      <c r="AH204" s="202"/>
      <c r="AI204" s="202"/>
      <c r="AJ204" s="885"/>
      <c r="AK204" s="6120" t="str">
        <f t="shared" si="102"/>
        <v>►</v>
      </c>
      <c r="AL204" s="781" t="str">
        <f t="shared" si="90"/>
        <v>►</v>
      </c>
      <c r="AM204" s="5498" t="str">
        <f t="shared" si="93"/>
        <v/>
      </c>
      <c r="AN204" s="783" t="str">
        <f t="shared" si="94"/>
        <v/>
      </c>
      <c r="AO204" s="782" t="str">
        <f t="shared" si="95"/>
        <v/>
      </c>
      <c r="AP204" s="783" t="str">
        <f t="shared" si="96"/>
        <v/>
      </c>
      <c r="AQ204" s="2083" t="b">
        <f>AND(Q204="A",COUNTIF(BP16:BR63,TRIM(Z204))&gt;0)</f>
        <v>0</v>
      </c>
      <c r="AR204" s="797" t="str">
        <f>IF(AL204&lt;&gt;"A","",IFERROR(IFERROR(_xlfn.XLOOKUP(TRIM(SUBSTITUTE(Z204,CHAR(160)," ")),BP16:BP63,BS16:BS63),IFERROR(_xlfn.XLOOKUP(TRIM(SUBSTITUTE(Z204,CHAR(160)," ")),BQ16:BQ63,BS16:BS63),_xlfn.XLOOKUP(TRIM(SUBSTITUTE(Z204,CHAR(160)," ")),BR16:BR63,BS16:BS63)))*Y204*IF(ISBLANK(V204),1,V204),0))</f>
        <v/>
      </c>
      <c r="AS204" s="784" t="str">
        <f t="shared" si="112"/>
        <v/>
      </c>
      <c r="AT204" s="1315" t="str">
        <f t="shared" si="97"/>
        <v/>
      </c>
      <c r="AU204" s="785">
        <f t="shared" si="98"/>
        <v>0</v>
      </c>
      <c r="AV204" s="785">
        <f t="shared" si="99"/>
        <v>0</v>
      </c>
      <c r="AW204" s="798">
        <f>IF(AK204="A",AY10,0)</f>
        <v>0</v>
      </c>
      <c r="AX204" s="5496" t="str">
        <f>IF(IFERROR(SEARCH("Adresse PC",TRIM(W204)),0)&gt;0,"▼ receta siguiente",IF(AK204="A",IF(AZ10&lt;&gt;"",AZ10&amp;" - ou.or.o ❾ + or - &gt;",""),""))</f>
        <v/>
      </c>
      <c r="AY204" s="810"/>
      <c r="AZ204" s="810"/>
      <c r="BA204" s="799" t="str">
        <f t="shared" si="89"/>
        <v/>
      </c>
      <c r="BB204" s="800" t="str">
        <f>IF(AK204="A",IF(AQ204,IF(AND(AW204&lt;&gt;"",N(AW204)&gt;0),IFERROR(IFERROR(_xlfn.XLOOKUP(AP204,BP10:BP57,BT10:BT57),IFERROR(_xlfn.XLOOKUP(AP204,BQ10:BQ57,BT10:BT57),_xlfn.XLOOKUP(AP204,BR10:BR57,BT10:BT57,""))),""),""),""),"")</f>
        <v/>
      </c>
      <c r="BC204" s="813" cm="1">
        <f t="array" ref="BC204">IF(NOT(AQ204),0,IF(OR(BA204="",N(BA204)&lt;=0.000000001),"",IF(OR(AU204="",N(AU204)&lt;=0.000000001),0,IF(ISNUMBER(BA204),IFERROR(_xlfn.LET(_xlpm.ai_test,TRIM(AP204),_xlpm.r,IFERROR(_xlfn.XLOOKUP(_xlpm.ai_test,BP16:BP63,ROW(BP16:BP63),0,1),IFERROR(_xlfn.XLOOKUP(_xlpm.ai_test,BQ16:BQ63,ROW(BQ16:BQ63),0,1),_xlfn.XLOOKUP(_xlpm.ai_test,BR16:BR63,ROW(BR16:BR63),0,1))),_xlpm.p,_xlpm.r-MIN(ROW(BP16:BP63))+1,_xlpm.f,INDEX(BS16:BS63,_xlpm.p),_xlpm.u,INDEX(BT16:BT63,_xlpm.p),_xlpm.s,INDEX(BV16:BV63,_xlpm.p),_xlpm.q,N(BA204)/_xlpm.f,IF(_xlpm.q&gt;=_xlpm.s,ROUND(_xlpm.q,1)&amp;" "&amp;_xlpm.ai_test&amp;" = "&amp;ROUND(_xlpm.q*_xlpm.f,1)&amp;" "&amp;_xlpm.u,ROUND(_xlpm.q,1)&amp;" "&amp;_xlpm.ai_test)),""),""))))</f>
        <v>0</v>
      </c>
      <c r="BD204" s="801"/>
      <c r="BE204" s="799" t="str">
        <f t="shared" si="100"/>
        <v/>
      </c>
      <c r="BF204" s="800" t="str">
        <f t="shared" si="103"/>
        <v/>
      </c>
      <c r="BG204" s="802">
        <f t="shared" si="104"/>
        <v>0</v>
      </c>
      <c r="BH204" s="803" t="str">
        <f t="shared" si="105"/>
        <v/>
      </c>
      <c r="BI204" s="792"/>
      <c r="BJ204" s="804">
        <f t="shared" si="106"/>
        <v>0</v>
      </c>
      <c r="BK204" s="794" t="str">
        <f t="shared" si="101"/>
        <v/>
      </c>
      <c r="BL204" s="227" t="s">
        <v>21</v>
      </c>
      <c r="BM204" s="773">
        <f t="shared" si="91"/>
        <v>0</v>
      </c>
      <c r="BN204" s="774">
        <f t="shared" si="92"/>
        <v>0</v>
      </c>
      <c r="BO204"/>
      <c r="BX204"/>
      <c r="BY204"/>
      <c r="BZ204"/>
      <c r="CA204"/>
      <c r="CB204"/>
      <c r="CC204"/>
      <c r="CD204" s="781" t="str">
        <f t="shared" si="113"/>
        <v>►</v>
      </c>
      <c r="CE204"/>
      <c r="CF204"/>
      <c r="CG204"/>
      <c r="CH204"/>
      <c r="CI204"/>
      <c r="CJ204" s="633"/>
      <c r="CK204"/>
      <c r="CL204"/>
      <c r="CM204"/>
      <c r="CN204"/>
      <c r="CO204"/>
      <c r="CP204"/>
      <c r="CQ204"/>
      <c r="CS204"/>
      <c r="CT204"/>
      <c r="CU204"/>
      <c r="CV204"/>
      <c r="CW204"/>
      <c r="CX204"/>
      <c r="CY204"/>
      <c r="DA204"/>
      <c r="DB204"/>
      <c r="DC204"/>
      <c r="DD204"/>
      <c r="DE204"/>
      <c r="DF204"/>
      <c r="DG204"/>
      <c r="DI204" s="3">
        <v>1</v>
      </c>
    </row>
    <row r="205" spans="1:113" s="627" customFormat="1" ht="21" customHeight="1" thickBot="1">
      <c r="A205" s="701" t="s">
        <v>21</v>
      </c>
      <c r="B205" s="2265" t="str" cm="1">
        <f t="array" ref="B205">SUMPRODUCT(--(D205:J205&lt;&gt;""), LEN(TRIM(SUBSTITUTE(D205:J205, CHAR(160), "")))) &amp; " Car."</f>
        <v>0 Car.</v>
      </c>
      <c r="C205" s="1376" t="str">
        <f>IF(ISBLANK(D205),"",LARGE(C13:C204,1)+1)</f>
        <v/>
      </c>
      <c r="D205" s="1833"/>
      <c r="E205" s="1810"/>
      <c r="F205" s="1810"/>
      <c r="G205" s="1810"/>
      <c r="H205" s="1810"/>
      <c r="I205" s="1810"/>
      <c r="J205" s="1810"/>
      <c r="K205" s="1810"/>
      <c r="L205" s="1811"/>
      <c r="M205" s="9"/>
      <c r="N205" s="162" t="str">
        <f t="shared" si="88"/>
        <v>A</v>
      </c>
      <c r="O205" s="1616"/>
      <c r="P205" s="9"/>
      <c r="Q205" s="162" t="s">
        <v>10</v>
      </c>
      <c r="R205" s="163" t="str">
        <f>R166</f>
        <v>J JUS DE FRAISES DES BOIS | pâtisserie--ENTREMET| Auteur &gt; recette Béghin Say de Jean-Jacques Borne MOF 1994</v>
      </c>
      <c r="S205" s="163">
        <f>S166</f>
        <v>18</v>
      </c>
      <c r="T205" s="164" t="str">
        <f>T166</f>
        <v>desserts</v>
      </c>
      <c r="U205" s="165" t="str">
        <f>U166</f>
        <v>Recette mère ► MILLE-FEUILLE  aux fraises des bois</v>
      </c>
      <c r="V205" s="2139"/>
      <c r="W205" s="2124"/>
      <c r="X205" s="2138"/>
      <c r="Y205" s="2140" t="s">
        <v>8860</v>
      </c>
      <c r="Z205" s="2065">
        <f ca="1">Z184</f>
        <v>132</v>
      </c>
      <c r="AA205" s="886" t="s">
        <v>200</v>
      </c>
      <c r="AB205" s="2137"/>
      <c r="AC205" s="2137"/>
      <c r="AD205" s="2137"/>
      <c r="AE205" s="472"/>
      <c r="AF205" s="472"/>
      <c r="AG205" s="472"/>
      <c r="AH205" s="2260" t="str">
        <f>IF(AB206="","",(LEN(TRIM(SUBSTITUTE(AB206,CHAR(160)," ")))-LEN(SUBSTITUTE(TRIM(SUBSTITUTE(AB206,CHAR(160)," "))," ",""))+1)&amp;" mot"&amp;IF((LEN(TRIM(SUBSTITUTE(AB206,CHAR(160)," ")))-LEN(SUBSTITUTE(TRIM(SUBSTITUTE(AB206,CHAR(160)," "))," ",""))+1)&gt;1,"s",""))</f>
        <v>17 mots</v>
      </c>
      <c r="AI205" s="2259" t="str">
        <f>IF(AB206="","",LEN(TRIM(SUBSTITUTE(AB206,CHAR(160),""))))&amp;" Car."</f>
        <v>123 Car.</v>
      </c>
      <c r="AJ205" s="2261" t="s">
        <v>8863</v>
      </c>
      <c r="AK205" s="6120" t="str">
        <f t="shared" si="102"/>
        <v>►</v>
      </c>
      <c r="AL205" s="781" t="str">
        <f t="shared" si="90"/>
        <v>►</v>
      </c>
      <c r="AM205" s="5499" t="str">
        <f t="shared" si="93"/>
        <v/>
      </c>
      <c r="AN205" s="783" t="str">
        <f t="shared" si="94"/>
        <v/>
      </c>
      <c r="AO205" s="782" t="str">
        <f t="shared" si="95"/>
        <v/>
      </c>
      <c r="AP205" s="783" t="str">
        <f t="shared" si="96"/>
        <v/>
      </c>
      <c r="AQ205" s="2083" t="b">
        <f ca="1">AND(Q205="A",COUNTIF(BP16:BR63,TRIM(Z205))&gt;0)</f>
        <v>0</v>
      </c>
      <c r="AR205" s="797" t="str">
        <f>IF(AL205&lt;&gt;"A","",IFERROR(IFERROR(_xlfn.XLOOKUP(TRIM(SUBSTITUTE(Z205,CHAR(160)," ")),BP16:BP63,BS16:BS63),IFERROR(_xlfn.XLOOKUP(TRIM(SUBSTITUTE(Z205,CHAR(160)," ")),BQ16:BQ63,BS16:BS63),_xlfn.XLOOKUP(TRIM(SUBSTITUTE(Z205,CHAR(160)," ")),BR16:BR63,BS16:BS63)))*Y205*IF(ISBLANK(V205),1,V205),0))</f>
        <v/>
      </c>
      <c r="AS205" s="784" t="str">
        <f t="shared" si="112"/>
        <v/>
      </c>
      <c r="AT205" s="1315" t="str">
        <f t="shared" si="97"/>
        <v/>
      </c>
      <c r="AU205" s="785">
        <f t="shared" si="98"/>
        <v>0</v>
      </c>
      <c r="AV205" s="785">
        <f t="shared" si="99"/>
        <v>0</v>
      </c>
      <c r="AW205" s="786">
        <f>IF(AK205="A",AY10,0)</f>
        <v>0</v>
      </c>
      <c r="AX205" s="5495" t="str">
        <f>IF(IFERROR(SEARCH("Adresse PC",TRIM(W205)),0)&gt;0,"▼ receta siguiente",IF(AK205="A",IF(AZ10&lt;&gt;"",AZ10&amp;" - ou.or.o ❾ + or - &gt;",""),""))</f>
        <v/>
      </c>
      <c r="AY205" s="810"/>
      <c r="AZ205" s="810"/>
      <c r="BA205" s="788" t="str">
        <f t="shared" si="89"/>
        <v/>
      </c>
      <c r="BB205" s="789" t="str">
        <f>IF(AK205="A",IF(AQ205,IF(AND(AW205&lt;&gt;"",N(AW205)&gt;0),IFERROR(IFERROR(_xlfn.XLOOKUP(AP205,BP10:BP57,BT10:BT57),IFERROR(_xlfn.XLOOKUP(AP205,BQ10:BQ57,BT10:BT57),_xlfn.XLOOKUP(AP205,BR10:BR57,BT10:BT57,""))),""),""),""),"")</f>
        <v/>
      </c>
      <c r="BC205" s="811" cm="1">
        <f t="array" aca="1" ref="BC205" ca="1">IF(NOT(AQ205),0,IF(OR(BA205="",N(BA205)&lt;=0.000000001),"",IF(OR(AU205="",N(AU205)&lt;=0.000000001),0,IF(ISNUMBER(BA205),IFERROR(_xlfn.LET(_xlpm.ai_test,TRIM(AP205),_xlpm.r,IFERROR(_xlfn.XLOOKUP(_xlpm.ai_test,BP16:BP63,ROW(BP16:BP63),0,1),IFERROR(_xlfn.XLOOKUP(_xlpm.ai_test,BQ16:BQ63,ROW(BQ16:BQ63),0,1),_xlfn.XLOOKUP(_xlpm.ai_test,BR16:BR63,ROW(BR16:BR63),0,1))),_xlpm.p,_xlpm.r-MIN(ROW(BP16:BP63))+1,_xlpm.f,INDEX(BS16:BS63,_xlpm.p),_xlpm.u,INDEX(BT16:BT63,_xlpm.p),_xlpm.s,INDEX(BV16:BV63,_xlpm.p),_xlpm.q,N(BA205)/_xlpm.f,IF(_xlpm.q&gt;=_xlpm.s,ROUND(_xlpm.q,1)&amp;" "&amp;_xlpm.ai_test&amp;" = "&amp;ROUND(_xlpm.q*_xlpm.f,1)&amp;" "&amp;_xlpm.u,ROUND(_xlpm.q,1)&amp;" "&amp;_xlpm.ai_test)),""),""))))</f>
        <v>0</v>
      </c>
      <c r="BD205" s="801"/>
      <c r="BE205" s="788" t="str">
        <f t="shared" si="100"/>
        <v/>
      </c>
      <c r="BF205" s="789" t="str">
        <f t="shared" ca="1" si="103"/>
        <v/>
      </c>
      <c r="BG205" s="790">
        <f t="shared" si="104"/>
        <v>0</v>
      </c>
      <c r="BH205" s="791" t="str">
        <f t="shared" ca="1" si="105"/>
        <v/>
      </c>
      <c r="BI205" s="792"/>
      <c r="BJ205" s="793">
        <f t="shared" si="106"/>
        <v>0</v>
      </c>
      <c r="BK205" s="794" t="str">
        <f t="shared" si="101"/>
        <v/>
      </c>
      <c r="BL205" s="227" t="s">
        <v>21</v>
      </c>
      <c r="BM205" s="773">
        <f t="shared" si="91"/>
        <v>0</v>
      </c>
      <c r="BN205" s="774">
        <f t="shared" si="92"/>
        <v>0</v>
      </c>
      <c r="BO205"/>
      <c r="BX205"/>
      <c r="BY205"/>
      <c r="BZ205"/>
      <c r="CA205"/>
      <c r="CB205"/>
      <c r="CC205"/>
      <c r="CD205" s="781" t="str">
        <f t="shared" si="113"/>
        <v>►</v>
      </c>
      <c r="CE205"/>
      <c r="CF205"/>
      <c r="CG205"/>
      <c r="CH205"/>
      <c r="CI205"/>
      <c r="CJ205" s="633"/>
      <c r="CK205"/>
      <c r="CL205"/>
      <c r="CM205"/>
      <c r="CN205"/>
      <c r="CO205"/>
      <c r="CP205"/>
      <c r="CQ205"/>
      <c r="CS205"/>
      <c r="CT205"/>
      <c r="CU205"/>
      <c r="CV205"/>
      <c r="CW205"/>
      <c r="CX205"/>
      <c r="CY205"/>
      <c r="DA205"/>
      <c r="DB205"/>
      <c r="DC205"/>
      <c r="DD205"/>
      <c r="DE205"/>
      <c r="DF205"/>
      <c r="DG205"/>
      <c r="DI205" s="3">
        <v>1</v>
      </c>
    </row>
    <row r="206" spans="1:113" s="627" customFormat="1" ht="21" customHeight="1" thickBot="1">
      <c r="A206" s="701" t="s">
        <v>21</v>
      </c>
      <c r="B206" s="2265" t="str" cm="1">
        <f t="array" ref="B206">SUMPRODUCT(--(D206:J206&lt;&gt;""), LEN(TRIM(SUBSTITUTE(D206:J206, CHAR(160), "")))) &amp; " Car."</f>
        <v>0 Car.</v>
      </c>
      <c r="C206" s="1376" t="str">
        <f>IF(ISBLANK(D206),"",LARGE(C13:C205,1)+1)</f>
        <v/>
      </c>
      <c r="D206" s="1833"/>
      <c r="E206" s="1810"/>
      <c r="F206" s="1810"/>
      <c r="G206" s="1810"/>
      <c r="H206" s="1810"/>
      <c r="I206" s="1810"/>
      <c r="J206" s="1810"/>
      <c r="K206" s="1810"/>
      <c r="L206" s="1811"/>
      <c r="M206" s="9"/>
      <c r="N206" s="1814" t="str">
        <f t="shared" ref="N206:N269" si="114">Q206</f>
        <v>A</v>
      </c>
      <c r="O206" s="1616"/>
      <c r="P206" s="9"/>
      <c r="Q206" s="1814" t="s">
        <v>10</v>
      </c>
      <c r="R206" s="209" t="str">
        <f>R166</f>
        <v>J JUS DE FRAISES DES BOIS | pâtisserie--ENTREMET| Auteur &gt; recette Béghin Say de Jean-Jacques Borne MOF 1994</v>
      </c>
      <c r="S206" s="209">
        <f>S166</f>
        <v>18</v>
      </c>
      <c r="T206" s="210" t="str">
        <f>T166</f>
        <v>desserts</v>
      </c>
      <c r="U206" s="211" t="str">
        <f>U166</f>
        <v>Recette mère ► MILLE-FEUILLE  aux fraises des bois</v>
      </c>
      <c r="V206" s="2129"/>
      <c r="W206" s="2130"/>
      <c r="X206" s="2131"/>
      <c r="Y206" s="2132"/>
      <c r="Z206" s="2133"/>
      <c r="AA206" s="2133" t="s">
        <v>8864</v>
      </c>
      <c r="AB206" s="5545" t="s">
        <v>8866</v>
      </c>
      <c r="AC206" s="2136"/>
      <c r="AD206" s="2134"/>
      <c r="AE206" s="2134"/>
      <c r="AF206" s="2134"/>
      <c r="AG206" s="2134"/>
      <c r="AH206" s="2134"/>
      <c r="AI206" s="2134"/>
      <c r="AJ206" s="2135"/>
      <c r="AK206" s="6120" t="str">
        <f t="shared" si="102"/>
        <v>►</v>
      </c>
      <c r="AL206" s="781" t="str">
        <f t="shared" si="90"/>
        <v>►</v>
      </c>
      <c r="AM206" s="5498" t="str">
        <f t="shared" si="93"/>
        <v/>
      </c>
      <c r="AN206" s="783" t="str">
        <f t="shared" si="94"/>
        <v/>
      </c>
      <c r="AO206" s="782" t="str">
        <f t="shared" si="95"/>
        <v/>
      </c>
      <c r="AP206" s="783" t="str">
        <f t="shared" si="96"/>
        <v/>
      </c>
      <c r="AQ206" s="2083" t="b">
        <f>AND(Q206="A",COUNTIF(BP16:BR63,TRIM(Z206))&gt;0)</f>
        <v>0</v>
      </c>
      <c r="AR206" s="797" t="str">
        <f>IF(AL206&lt;&gt;"A","",IFERROR(IFERROR(_xlfn.XLOOKUP(TRIM(SUBSTITUTE(Z206,CHAR(160)," ")),BP16:BP63,BS16:BS63),IFERROR(_xlfn.XLOOKUP(TRIM(SUBSTITUTE(Z206,CHAR(160)," ")),BQ16:BQ63,BS16:BS63),_xlfn.XLOOKUP(TRIM(SUBSTITUTE(Z206,CHAR(160)," ")),BR16:BR63,BS16:BS63)))*Y206*IF(ISBLANK(V206),1,V206),0))</f>
        <v/>
      </c>
      <c r="AS206" s="784" t="str">
        <f t="shared" si="112"/>
        <v/>
      </c>
      <c r="AT206" s="1315" t="str">
        <f t="shared" si="97"/>
        <v/>
      </c>
      <c r="AU206" s="785">
        <f t="shared" si="98"/>
        <v>0</v>
      </c>
      <c r="AV206" s="785">
        <f t="shared" si="99"/>
        <v>0</v>
      </c>
      <c r="AW206" s="798">
        <f>IF(AK206="A",AY10,0)</f>
        <v>0</v>
      </c>
      <c r="AX206" s="5496" t="str">
        <f>IF(IFERROR(SEARCH("Adresse PC",TRIM(W206)),0)&gt;0,"▼ receta siguiente",IF(AK206="A",IF(AZ10&lt;&gt;"",AZ10&amp;" - ou.or.o ❾ + or - &gt;",""),""))</f>
        <v/>
      </c>
      <c r="AY206" s="810"/>
      <c r="AZ206" s="810"/>
      <c r="BA206" s="799" t="str">
        <f t="shared" si="89"/>
        <v/>
      </c>
      <c r="BB206" s="800" t="str">
        <f>IF(AK206="A",IF(AQ206,IF(AND(AW206&lt;&gt;"",N(AW206)&gt;0),IFERROR(IFERROR(_xlfn.XLOOKUP(AP206,BP10:BP57,BT10:BT57),IFERROR(_xlfn.XLOOKUP(AP206,BQ10:BQ57,BT10:BT57),_xlfn.XLOOKUP(AP206,BR10:BR57,BT10:BT57,""))),""),""),""),"")</f>
        <v/>
      </c>
      <c r="BC206" s="813" cm="1">
        <f t="array" ref="BC206">IF(NOT(AQ206),0,IF(OR(BA206="",N(BA206)&lt;=0.000000001),"",IF(OR(AU206="",N(AU206)&lt;=0.000000001),0,IF(ISNUMBER(BA206),IFERROR(_xlfn.LET(_xlpm.ai_test,TRIM(AP206),_xlpm.r,IFERROR(_xlfn.XLOOKUP(_xlpm.ai_test,BP16:BP63,ROW(BP16:BP63),0,1),IFERROR(_xlfn.XLOOKUP(_xlpm.ai_test,BQ16:BQ63,ROW(BQ16:BQ63),0,1),_xlfn.XLOOKUP(_xlpm.ai_test,BR16:BR63,ROW(BR16:BR63),0,1))),_xlpm.p,_xlpm.r-MIN(ROW(BP16:BP63))+1,_xlpm.f,INDEX(BS16:BS63,_xlpm.p),_xlpm.u,INDEX(BT16:BT63,_xlpm.p),_xlpm.s,INDEX(BV16:BV63,_xlpm.p),_xlpm.q,N(BA206)/_xlpm.f,IF(_xlpm.q&gt;=_xlpm.s,ROUND(_xlpm.q,1)&amp;" "&amp;_xlpm.ai_test&amp;" = "&amp;ROUND(_xlpm.q*_xlpm.f,1)&amp;" "&amp;_xlpm.u,ROUND(_xlpm.q,1)&amp;" "&amp;_xlpm.ai_test)),""),""))))</f>
        <v>0</v>
      </c>
      <c r="BD206" s="801"/>
      <c r="BE206" s="799" t="str">
        <f t="shared" si="100"/>
        <v/>
      </c>
      <c r="BF206" s="800" t="str">
        <f t="shared" si="103"/>
        <v/>
      </c>
      <c r="BG206" s="802">
        <f t="shared" si="104"/>
        <v>0</v>
      </c>
      <c r="BH206" s="803" t="str">
        <f t="shared" si="105"/>
        <v/>
      </c>
      <c r="BI206" s="792"/>
      <c r="BJ206" s="804">
        <f t="shared" si="106"/>
        <v>0</v>
      </c>
      <c r="BK206" s="794" t="str">
        <f t="shared" si="101"/>
        <v/>
      </c>
      <c r="BL206" s="227" t="s">
        <v>21</v>
      </c>
      <c r="BM206" s="773">
        <f t="shared" si="91"/>
        <v>0</v>
      </c>
      <c r="BN206" s="774">
        <f t="shared" si="92"/>
        <v>0</v>
      </c>
      <c r="BO206"/>
      <c r="BX206"/>
      <c r="BY206"/>
      <c r="BZ206"/>
      <c r="CA206"/>
      <c r="CB206"/>
      <c r="CC206"/>
      <c r="CD206" s="781" t="str">
        <f t="shared" si="113"/>
        <v>►</v>
      </c>
      <c r="CE206"/>
      <c r="CF206"/>
      <c r="CG206"/>
      <c r="CH206"/>
      <c r="CI206"/>
      <c r="CJ206" s="633"/>
      <c r="CK206"/>
      <c r="CL206"/>
      <c r="CM206"/>
      <c r="CN206"/>
      <c r="CO206"/>
      <c r="CP206"/>
      <c r="CQ206"/>
      <c r="CS206"/>
      <c r="CT206"/>
      <c r="CU206"/>
      <c r="CV206"/>
      <c r="CW206"/>
      <c r="CX206"/>
      <c r="CY206"/>
      <c r="DA206"/>
      <c r="DB206"/>
      <c r="DC206"/>
      <c r="DD206"/>
      <c r="DE206"/>
      <c r="DF206"/>
      <c r="DG206"/>
      <c r="DI206" s="3">
        <v>1</v>
      </c>
    </row>
    <row r="207" spans="1:113" s="627" customFormat="1" ht="21" customHeight="1" thickBot="1">
      <c r="A207" s="701" t="s">
        <v>21</v>
      </c>
      <c r="B207" s="2265" t="str" cm="1">
        <f t="array" ref="B207">SUMPRODUCT(--(D207:J207&lt;&gt;""), LEN(TRIM(SUBSTITUTE(D207:J207, CHAR(160), "")))) &amp; " Car."</f>
        <v>0 Car.</v>
      </c>
      <c r="C207" s="1376" t="str">
        <f>IF(ISBLANK(D207),"",LARGE(C13:C206,1)+1)</f>
        <v/>
      </c>
      <c r="D207" s="1833"/>
      <c r="E207" s="1810"/>
      <c r="F207" s="1810"/>
      <c r="G207" s="1810"/>
      <c r="H207" s="1810"/>
      <c r="I207" s="1810"/>
      <c r="J207" s="1810"/>
      <c r="K207" s="1810"/>
      <c r="L207" s="1811"/>
      <c r="M207" s="9"/>
      <c r="N207" s="215" t="str">
        <f t="shared" si="114"/>
        <v>A</v>
      </c>
      <c r="O207" s="1616"/>
      <c r="P207" s="9"/>
      <c r="Q207" s="215" t="s">
        <v>10</v>
      </c>
      <c r="R207" s="216"/>
      <c r="S207" s="216"/>
      <c r="T207" s="216"/>
      <c r="U207" s="217"/>
      <c r="V207" s="218" t="s">
        <v>207</v>
      </c>
      <c r="W207" s="219" t="str">
        <f ca="1">CELL("nomfichier")</f>
        <v>D:\Données\1.UPRT\0-UPRT.fait\1-UPRT.FR-SITE-WEB\ff-fiches-fabrications\ff.fiches.fabrication.2023\ffr.restaurant.2023\[ff.FICHE.TRILINGUE.20.COLONNES.05.01.2026.xlsx]Couleurs.pour.vos.documents</v>
      </c>
      <c r="X207" s="220"/>
      <c r="Y207" s="220"/>
      <c r="Z207" s="220"/>
      <c r="AA207" s="220"/>
      <c r="AB207" s="220"/>
      <c r="AC207" s="220"/>
      <c r="AD207" s="220"/>
      <c r="AE207" s="220"/>
      <c r="AF207" s="220"/>
      <c r="AG207" s="220"/>
      <c r="AH207" s="220"/>
      <c r="AI207" s="220"/>
      <c r="AJ207" s="221"/>
      <c r="AK207" s="6120" t="str">
        <f t="shared" si="102"/>
        <v>►</v>
      </c>
      <c r="AL207" s="781" t="str">
        <f t="shared" ca="1" si="90"/>
        <v>►</v>
      </c>
      <c r="AM207" s="5499" t="str">
        <f t="shared" ca="1" si="93"/>
        <v/>
      </c>
      <c r="AN207" s="783" t="str">
        <f t="shared" si="94"/>
        <v/>
      </c>
      <c r="AO207" s="782" t="str">
        <f t="shared" si="95"/>
        <v/>
      </c>
      <c r="AP207" s="783" t="str">
        <f t="shared" si="96"/>
        <v/>
      </c>
      <c r="AQ207" s="2083" t="b">
        <f>AND(Q207="A",COUNTIF(BP16:BR63,TRIM(Z207))&gt;0)</f>
        <v>0</v>
      </c>
      <c r="AR207" s="797" t="str">
        <f ca="1">IF(AL207&lt;&gt;"A","",IFERROR(IFERROR(_xlfn.XLOOKUP(TRIM(SUBSTITUTE(Z207,CHAR(160)," ")),BP16:BP63,BS16:BS63),IFERROR(_xlfn.XLOOKUP(TRIM(SUBSTITUTE(Z207,CHAR(160)," ")),BQ16:BQ63,BS16:BS63),_xlfn.XLOOKUP(TRIM(SUBSTITUTE(Z207,CHAR(160)," ")),BR16:BR63,BS16:BS63)))*Y207*IF(ISBLANK(V207),1,V207),0))</f>
        <v/>
      </c>
      <c r="AS207" s="784" t="str">
        <f t="shared" si="112"/>
        <v/>
      </c>
      <c r="AT207" s="1315" t="str">
        <f t="shared" si="97"/>
        <v/>
      </c>
      <c r="AU207" s="785">
        <f t="shared" si="98"/>
        <v>0</v>
      </c>
      <c r="AV207" s="785">
        <f t="shared" si="99"/>
        <v>0</v>
      </c>
      <c r="AW207" s="786">
        <f>IF(AK207="A",AY10,0)</f>
        <v>0</v>
      </c>
      <c r="AX207" s="5495" t="str">
        <f ca="1">IF(IFERROR(SEARCH("Adresse PC",TRIM(W207)),0)&gt;0,"▼ receta siguiente",IF(AK207="A",IF(AZ10&lt;&gt;"",AZ10&amp;" - ou.or.o ❾ + or - &gt;",""),""))</f>
        <v/>
      </c>
      <c r="AY207" s="810"/>
      <c r="AZ207" s="810"/>
      <c r="BA207" s="788" t="str">
        <f t="shared" si="89"/>
        <v/>
      </c>
      <c r="BB207" s="789" t="str">
        <f>IF(AK207="A",IF(AQ207,IF(AND(AW207&lt;&gt;"",N(AW207)&gt;0),IFERROR(IFERROR(_xlfn.XLOOKUP(AP207,BP10:BP57,BT10:BT57),IFERROR(_xlfn.XLOOKUP(AP207,BQ10:BQ57,BT10:BT57),_xlfn.XLOOKUP(AP207,BR10:BR57,BT10:BT57,""))),""),""),""),"")</f>
        <v/>
      </c>
      <c r="BC207" s="811" cm="1">
        <f t="array" ref="BC207">IF(NOT(AQ207),0,IF(OR(BA207="",N(BA207)&lt;=0.000000001),"",IF(OR(AU207="",N(AU207)&lt;=0.000000001),0,IF(ISNUMBER(BA207),IFERROR(_xlfn.LET(_xlpm.ai_test,TRIM(AP207),_xlpm.r,IFERROR(_xlfn.XLOOKUP(_xlpm.ai_test,BP16:BP63,ROW(BP16:BP63),0,1),IFERROR(_xlfn.XLOOKUP(_xlpm.ai_test,BQ16:BQ63,ROW(BQ16:BQ63),0,1),_xlfn.XLOOKUP(_xlpm.ai_test,BR16:BR63,ROW(BR16:BR63),0,1))),_xlpm.p,_xlpm.r-MIN(ROW(BP16:BP63))+1,_xlpm.f,INDEX(BS16:BS63,_xlpm.p),_xlpm.u,INDEX(BT16:BT63,_xlpm.p),_xlpm.s,INDEX(BV16:BV63,_xlpm.p),_xlpm.q,N(BA207)/_xlpm.f,IF(_xlpm.q&gt;=_xlpm.s,ROUND(_xlpm.q,1)&amp;" "&amp;_xlpm.ai_test&amp;" = "&amp;ROUND(_xlpm.q*_xlpm.f,1)&amp;" "&amp;_xlpm.u,ROUND(_xlpm.q,1)&amp;" "&amp;_xlpm.ai_test)),""),""))))</f>
        <v>0</v>
      </c>
      <c r="BD207" s="801"/>
      <c r="BE207" s="788" t="str">
        <f t="shared" ca="1" si="100"/>
        <v/>
      </c>
      <c r="BF207" s="789" t="str">
        <f t="shared" si="103"/>
        <v/>
      </c>
      <c r="BG207" s="790">
        <f t="shared" si="104"/>
        <v>0</v>
      </c>
      <c r="BH207" s="791" t="str">
        <f t="shared" si="105"/>
        <v/>
      </c>
      <c r="BI207" s="792"/>
      <c r="BJ207" s="793">
        <f t="shared" si="106"/>
        <v>0</v>
      </c>
      <c r="BK207" s="794" t="str">
        <f t="shared" si="101"/>
        <v/>
      </c>
      <c r="BL207" s="227" t="s">
        <v>21</v>
      </c>
      <c r="BM207" s="773">
        <f t="shared" si="91"/>
        <v>0</v>
      </c>
      <c r="BN207" s="774">
        <f t="shared" ca="1" si="92"/>
        <v>0</v>
      </c>
      <c r="BO207"/>
      <c r="BX207"/>
      <c r="BY207"/>
      <c r="BZ207"/>
      <c r="CA207"/>
      <c r="CB207"/>
      <c r="CC207"/>
      <c r="CD207" s="781" t="str">
        <f t="shared" ca="1" si="113"/>
        <v>►</v>
      </c>
      <c r="CE207"/>
      <c r="CF207"/>
      <c r="CG207"/>
      <c r="CH207"/>
      <c r="CI207"/>
      <c r="CJ207" s="633"/>
      <c r="CK207"/>
      <c r="CL207"/>
      <c r="CM207"/>
      <c r="CN207"/>
      <c r="CO207"/>
      <c r="CP207"/>
      <c r="CQ207"/>
      <c r="CS207"/>
      <c r="CT207"/>
      <c r="CU207"/>
      <c r="CV207"/>
      <c r="CW207"/>
      <c r="CX207"/>
      <c r="CY207"/>
      <c r="DA207"/>
      <c r="DB207"/>
      <c r="DC207"/>
      <c r="DD207"/>
      <c r="DE207"/>
      <c r="DF207"/>
      <c r="DG207"/>
      <c r="DI207" s="3">
        <v>1</v>
      </c>
    </row>
    <row r="208" spans="1:113" s="627" customFormat="1" ht="21" customHeight="1" thickBot="1">
      <c r="A208" s="701" t="s">
        <v>21</v>
      </c>
      <c r="B208" s="2265" t="str" cm="1">
        <f t="array" ref="B208">SUMPRODUCT(--(D208:J208&lt;&gt;""), LEN(TRIM(SUBSTITUTE(D208:J208, CHAR(160), "")))) &amp; " Car."</f>
        <v>0 Car.</v>
      </c>
      <c r="C208" s="1376" t="str">
        <f>IF(ISBLANK(D208),"",LARGE(C13:C207,1)+1)</f>
        <v/>
      </c>
      <c r="D208" s="1833"/>
      <c r="E208" s="1810"/>
      <c r="F208" s="1810"/>
      <c r="G208" s="1810"/>
      <c r="H208" s="1810"/>
      <c r="I208" s="1810"/>
      <c r="J208" s="1810"/>
      <c r="K208" s="1810"/>
      <c r="L208" s="1811"/>
      <c r="M208" s="9"/>
      <c r="N208" s="1216" t="str">
        <f t="shared" si="114"/>
        <v>A</v>
      </c>
      <c r="O208" s="1616"/>
      <c r="P208" s="9"/>
      <c r="Q208" s="1216" t="s">
        <v>10</v>
      </c>
      <c r="R208" s="1217" t="s">
        <v>10</v>
      </c>
      <c r="S208" s="1217" t="s">
        <v>10</v>
      </c>
      <c r="T208" s="1217" t="s">
        <v>10</v>
      </c>
      <c r="U208" s="1217" t="s">
        <v>10</v>
      </c>
      <c r="V208" s="1218" t="s">
        <v>2394</v>
      </c>
      <c r="W208" s="1219"/>
      <c r="X208" s="1220"/>
      <c r="Y208" s="1221"/>
      <c r="Z208" s="1222"/>
      <c r="AA208" s="1223"/>
      <c r="AB208" s="1223"/>
      <c r="AC208" s="1221"/>
      <c r="AD208" s="1221"/>
      <c r="AE208" s="1219"/>
      <c r="AF208" s="1219"/>
      <c r="AG208" s="1219"/>
      <c r="AH208" s="1219"/>
      <c r="AI208" s="1219"/>
      <c r="AJ208" s="1224" t="s">
        <v>1755</v>
      </c>
      <c r="AK208" s="6120" t="str">
        <f t="shared" si="102"/>
        <v>►</v>
      </c>
      <c r="AL208" s="781" t="str">
        <f t="shared" si="90"/>
        <v>►</v>
      </c>
      <c r="AM208" s="5498" t="str">
        <f t="shared" si="93"/>
        <v/>
      </c>
      <c r="AN208" s="783" t="str">
        <f t="shared" si="94"/>
        <v/>
      </c>
      <c r="AO208" s="782" t="str">
        <f t="shared" si="95"/>
        <v/>
      </c>
      <c r="AP208" s="783" t="str">
        <f t="shared" si="96"/>
        <v/>
      </c>
      <c r="AQ208" s="2083" t="b">
        <f>AND(Q208="A",COUNTIF(BP16:BR63,TRIM(Z208))&gt;0)</f>
        <v>0</v>
      </c>
      <c r="AR208" s="797" t="str">
        <f>IF(AL208&lt;&gt;"A","",IFERROR(IFERROR(_xlfn.XLOOKUP(TRIM(SUBSTITUTE(Z208,CHAR(160)," ")),BP16:BP63,BS16:BS63),IFERROR(_xlfn.XLOOKUP(TRIM(SUBSTITUTE(Z208,CHAR(160)," ")),BQ16:BQ63,BS16:BS63),_xlfn.XLOOKUP(TRIM(SUBSTITUTE(Z208,CHAR(160)," ")),BR16:BR63,BS16:BS63)))*Y208*IF(ISBLANK(V208),1,V208),0))</f>
        <v/>
      </c>
      <c r="AS208" s="784" t="str">
        <f t="shared" si="112"/>
        <v/>
      </c>
      <c r="AT208" s="1315" t="str">
        <f t="shared" si="97"/>
        <v/>
      </c>
      <c r="AU208" s="785">
        <f t="shared" si="98"/>
        <v>0</v>
      </c>
      <c r="AV208" s="785">
        <f t="shared" si="99"/>
        <v>0</v>
      </c>
      <c r="AW208" s="798">
        <f>IF(AK208="A",AY10,0)</f>
        <v>0</v>
      </c>
      <c r="AX208" s="5496" t="str">
        <f>IF(IFERROR(SEARCH("Adresse PC",TRIM(W208)),0)&gt;0,"▼ receta siguiente",IF(AK208="A",IF(AZ10&lt;&gt;"",AZ10&amp;" - ou.or.o ❾ + or - &gt;",""),""))</f>
        <v/>
      </c>
      <c r="AY208" s="810"/>
      <c r="AZ208" s="810"/>
      <c r="BA208" s="799" t="str">
        <f t="shared" si="89"/>
        <v/>
      </c>
      <c r="BB208" s="800" t="str">
        <f>IF(AK208="A",IF(AQ208,IF(AND(AW208&lt;&gt;"",N(AW208)&gt;0),IFERROR(IFERROR(_xlfn.XLOOKUP(AP208,BP10:BP57,BT10:BT57),IFERROR(_xlfn.XLOOKUP(AP208,BQ10:BQ57,BT10:BT57),_xlfn.XLOOKUP(AP208,BR10:BR57,BT10:BT57,""))),""),""),""),"")</f>
        <v/>
      </c>
      <c r="BC208" s="813" cm="1">
        <f t="array" ref="BC208">IF(NOT(AQ208),0,IF(OR(BA208="",N(BA208)&lt;=0.000000001),"",IF(OR(AU208="",N(AU208)&lt;=0.000000001),0,IF(ISNUMBER(BA208),IFERROR(_xlfn.LET(_xlpm.ai_test,TRIM(AP208),_xlpm.r,IFERROR(_xlfn.XLOOKUP(_xlpm.ai_test,BP16:BP63,ROW(BP16:BP63),0,1),IFERROR(_xlfn.XLOOKUP(_xlpm.ai_test,BQ16:BQ63,ROW(BQ16:BQ63),0,1),_xlfn.XLOOKUP(_xlpm.ai_test,BR16:BR63,ROW(BR16:BR63),0,1))),_xlpm.p,_xlpm.r-MIN(ROW(BP16:BP63))+1,_xlpm.f,INDEX(BS16:BS63,_xlpm.p),_xlpm.u,INDEX(BT16:BT63,_xlpm.p),_xlpm.s,INDEX(BV16:BV63,_xlpm.p),_xlpm.q,N(BA208)/_xlpm.f,IF(_xlpm.q&gt;=_xlpm.s,ROUND(_xlpm.q,1)&amp;" "&amp;_xlpm.ai_test&amp;" = "&amp;ROUND(_xlpm.q*_xlpm.f,1)&amp;" "&amp;_xlpm.u,ROUND(_xlpm.q,1)&amp;" "&amp;_xlpm.ai_test)),""),""))))</f>
        <v>0</v>
      </c>
      <c r="BD208" s="801"/>
      <c r="BE208" s="799" t="str">
        <f t="shared" si="100"/>
        <v/>
      </c>
      <c r="BF208" s="800" t="str">
        <f t="shared" si="103"/>
        <v/>
      </c>
      <c r="BG208" s="802">
        <f t="shared" si="104"/>
        <v>0</v>
      </c>
      <c r="BH208" s="803" t="str">
        <f t="shared" si="105"/>
        <v/>
      </c>
      <c r="BI208" s="792"/>
      <c r="BJ208" s="804">
        <f t="shared" si="106"/>
        <v>0</v>
      </c>
      <c r="BK208" s="794" t="str">
        <f t="shared" si="101"/>
        <v/>
      </c>
      <c r="BL208" s="227" t="s">
        <v>21</v>
      </c>
      <c r="BM208" s="773">
        <f t="shared" si="91"/>
        <v>0</v>
      </c>
      <c r="BN208" s="774">
        <f t="shared" si="92"/>
        <v>0</v>
      </c>
      <c r="BO208"/>
      <c r="BX208"/>
      <c r="BY208"/>
      <c r="BZ208"/>
      <c r="CA208"/>
      <c r="CB208"/>
      <c r="CC208"/>
      <c r="CD208" s="781" t="str">
        <f t="shared" si="113"/>
        <v>►</v>
      </c>
      <c r="CE208"/>
      <c r="CF208"/>
      <c r="CG208"/>
      <c r="CH208"/>
      <c r="CI208"/>
      <c r="CJ208" s="633"/>
      <c r="CK208"/>
      <c r="CL208"/>
      <c r="CM208"/>
      <c r="CN208"/>
      <c r="CO208"/>
      <c r="CP208"/>
      <c r="CQ208"/>
      <c r="CS208"/>
      <c r="CT208"/>
      <c r="CU208"/>
      <c r="CV208"/>
      <c r="CW208"/>
      <c r="CX208"/>
      <c r="CY208"/>
      <c r="DA208"/>
      <c r="DB208"/>
      <c r="DC208"/>
      <c r="DD208"/>
      <c r="DE208"/>
      <c r="DF208"/>
      <c r="DG208"/>
      <c r="DI208" s="3">
        <v>1</v>
      </c>
    </row>
    <row r="209" spans="1:113" s="627" customFormat="1" ht="21" customHeight="1">
      <c r="A209" s="701" t="s">
        <v>21</v>
      </c>
      <c r="B209" s="2265" t="str" cm="1">
        <f t="array" ref="B209">SUMPRODUCT(--(D209:J209&lt;&gt;""), LEN(TRIM(SUBSTITUTE(D209:J209, CHAR(160), "")))) &amp; " Car."</f>
        <v>0 Car.</v>
      </c>
      <c r="C209" s="1376" t="str">
        <f>IF(ISBLANK(D209),"",LARGE(C13:C208,1)+1)</f>
        <v/>
      </c>
      <c r="D209" s="1833"/>
      <c r="E209" s="1810"/>
      <c r="F209" s="1810"/>
      <c r="G209" s="1810"/>
      <c r="H209" s="1810"/>
      <c r="I209" s="1810"/>
      <c r="J209" s="1810"/>
      <c r="K209" s="1810"/>
      <c r="L209" s="1811"/>
      <c r="M209" s="9"/>
      <c r="N209" s="19" t="str">
        <f t="shared" si="114"/>
        <v>A</v>
      </c>
      <c r="O209" s="1616"/>
      <c r="P209" s="9"/>
      <c r="Q209" s="19" t="s">
        <v>10</v>
      </c>
      <c r="R209" s="20" t="str">
        <f>R215</f>
        <v>M MILLE-FEUILLE meringue et chiboust pamplemousse aux fraises des bois | collez la--FAMILLE| Auteur &gt; recette Béghin Say de Jean-Jacques Borne MOF 1994</v>
      </c>
      <c r="S209" s="21">
        <f>S215</f>
        <v>18</v>
      </c>
      <c r="T209" s="21" t="str">
        <f>T215</f>
        <v>desserts</v>
      </c>
      <c r="U209" s="22" t="str">
        <f>U215</f>
        <v>Recette mère ► MILLE-FEUILLE  aux fraises des bois</v>
      </c>
      <c r="V209" s="23" t="s">
        <v>21</v>
      </c>
      <c r="W209" s="24" t="s">
        <v>22</v>
      </c>
      <c r="X209" s="24"/>
      <c r="Y209" s="6634" t="s">
        <v>55</v>
      </c>
      <c r="Z209" s="6634"/>
      <c r="AA209" s="6634"/>
      <c r="AB209" s="6634"/>
      <c r="AC209" s="6634"/>
      <c r="AD209" s="6634"/>
      <c r="AE209" s="6634"/>
      <c r="AF209" s="6634"/>
      <c r="AG209" s="6634"/>
      <c r="AH209" s="6636" t="s">
        <v>1348</v>
      </c>
      <c r="AI209" s="6636"/>
      <c r="AJ209" s="6638" t="str">
        <f>UPPER(LEFT(Y209,1))</f>
        <v>M</v>
      </c>
      <c r="AK209" s="6120" t="str">
        <f t="shared" si="102"/>
        <v>►</v>
      </c>
      <c r="AL209" s="781" t="str">
        <f t="shared" si="90"/>
        <v>►</v>
      </c>
      <c r="AM209" s="5499" t="str">
        <f t="shared" si="93"/>
        <v/>
      </c>
      <c r="AN209" s="783" t="str">
        <f t="shared" si="94"/>
        <v/>
      </c>
      <c r="AO209" s="782" t="str">
        <f t="shared" si="95"/>
        <v/>
      </c>
      <c r="AP209" s="783" t="str">
        <f t="shared" si="96"/>
        <v/>
      </c>
      <c r="AQ209" s="2083" t="b">
        <f>AND(Q209="A",COUNTIF(BP16:BR63,TRIM(Z209))&gt;0)</f>
        <v>0</v>
      </c>
      <c r="AR209" s="797" t="str">
        <f>IF(AL209&lt;&gt;"A","",IFERROR(IFERROR(_xlfn.XLOOKUP(TRIM(SUBSTITUTE(Z209,CHAR(160)," ")),BP16:BP63,BS16:BS63),IFERROR(_xlfn.XLOOKUP(TRIM(SUBSTITUTE(Z209,CHAR(160)," ")),BQ16:BQ63,BS16:BS63),_xlfn.XLOOKUP(TRIM(SUBSTITUTE(Z209,CHAR(160)," ")),BR16:BR63,BS16:BS63)))*Y209*IF(ISBLANK(V209),1,V209),0))</f>
        <v/>
      </c>
      <c r="AS209" s="784" t="str">
        <f t="shared" si="112"/>
        <v/>
      </c>
      <c r="AT209" s="1315" t="str">
        <f t="shared" si="97"/>
        <v/>
      </c>
      <c r="AU209" s="785">
        <f t="shared" si="98"/>
        <v>0</v>
      </c>
      <c r="AV209" s="785">
        <f t="shared" si="99"/>
        <v>0</v>
      </c>
      <c r="AW209" s="786">
        <f>IF(AK209="A",AY10,0)</f>
        <v>0</v>
      </c>
      <c r="AX209" s="5495" t="str">
        <f>IF(IFERROR(SEARCH("Adresse PC",TRIM(W209)),0)&gt;0,"▼ receta siguiente",IF(AK209="A",IF(AZ10&lt;&gt;"",AZ10&amp;" - ou.or.o ❾ + or - &gt;",""),""))</f>
        <v/>
      </c>
      <c r="AY209" s="810"/>
      <c r="AZ209" s="810"/>
      <c r="BA209" s="788" t="str">
        <f t="shared" si="89"/>
        <v/>
      </c>
      <c r="BB209" s="789" t="str">
        <f>IF(AK209="A",IF(AQ209,IF(AND(AW209&lt;&gt;"",N(AW209)&gt;0),IFERROR(IFERROR(_xlfn.XLOOKUP(AP209,BP10:BP57,BT10:BT57),IFERROR(_xlfn.XLOOKUP(AP209,BQ10:BQ57,BT10:BT57),_xlfn.XLOOKUP(AP209,BR10:BR57,BT10:BT57,""))),""),""),""),"")</f>
        <v/>
      </c>
      <c r="BC209" s="811" cm="1">
        <f t="array" ref="BC209">IF(NOT(AQ209),0,IF(OR(BA209="",N(BA209)&lt;=0.000000001),"",IF(OR(AU209="",N(AU209)&lt;=0.000000001),0,IF(ISNUMBER(BA209),IFERROR(_xlfn.LET(_xlpm.ai_test,TRIM(AP209),_xlpm.r,IFERROR(_xlfn.XLOOKUP(_xlpm.ai_test,BP16:BP63,ROW(BP16:BP63),0,1),IFERROR(_xlfn.XLOOKUP(_xlpm.ai_test,BQ16:BQ63,ROW(BQ16:BQ63),0,1),_xlfn.XLOOKUP(_xlpm.ai_test,BR16:BR63,ROW(BR16:BR63),0,1))),_xlpm.p,_xlpm.r-MIN(ROW(BP16:BP63))+1,_xlpm.f,INDEX(BS16:BS63,_xlpm.p),_xlpm.u,INDEX(BT16:BT63,_xlpm.p),_xlpm.s,INDEX(BV16:BV63,_xlpm.p),_xlpm.q,N(BA209)/_xlpm.f,IF(_xlpm.q&gt;=_xlpm.s,ROUND(_xlpm.q,1)&amp;" "&amp;_xlpm.ai_test&amp;" = "&amp;ROUND(_xlpm.q*_xlpm.f,1)&amp;" "&amp;_xlpm.u,ROUND(_xlpm.q,1)&amp;" "&amp;_xlpm.ai_test)),""),""))))</f>
        <v>0</v>
      </c>
      <c r="BD209" s="801"/>
      <c r="BE209" s="788" t="str">
        <f t="shared" si="100"/>
        <v/>
      </c>
      <c r="BF209" s="789" t="str">
        <f t="shared" si="103"/>
        <v/>
      </c>
      <c r="BG209" s="790">
        <f t="shared" si="104"/>
        <v>0</v>
      </c>
      <c r="BH209" s="791" t="str">
        <f t="shared" si="105"/>
        <v/>
      </c>
      <c r="BI209" s="792"/>
      <c r="BJ209" s="793">
        <f t="shared" si="106"/>
        <v>0</v>
      </c>
      <c r="BK209" s="794" t="str">
        <f t="shared" si="101"/>
        <v/>
      </c>
      <c r="BL209" s="227" t="s">
        <v>21</v>
      </c>
      <c r="BM209" s="773">
        <f t="shared" si="91"/>
        <v>0</v>
      </c>
      <c r="BN209" s="774">
        <f t="shared" si="92"/>
        <v>0</v>
      </c>
      <c r="BO209"/>
      <c r="BX209"/>
      <c r="BY209"/>
      <c r="BZ209"/>
      <c r="CA209"/>
      <c r="CB209"/>
      <c r="CC209"/>
      <c r="CD209" s="781" t="str">
        <f t="shared" si="113"/>
        <v>►</v>
      </c>
      <c r="CE209"/>
      <c r="CF209"/>
      <c r="CG209"/>
      <c r="CH209"/>
      <c r="CI209"/>
      <c r="CJ209" s="633"/>
      <c r="CK209"/>
      <c r="CL209"/>
      <c r="CM209"/>
      <c r="CN209"/>
      <c r="CO209"/>
      <c r="CP209"/>
      <c r="CQ209"/>
      <c r="CS209"/>
      <c r="CT209"/>
      <c r="CU209"/>
      <c r="CV209"/>
      <c r="CW209"/>
      <c r="CX209"/>
      <c r="CY209"/>
      <c r="DA209"/>
      <c r="DB209"/>
      <c r="DC209"/>
      <c r="DD209"/>
      <c r="DE209"/>
      <c r="DF209"/>
      <c r="DG209"/>
      <c r="DI209" s="3">
        <v>1</v>
      </c>
    </row>
    <row r="210" spans="1:113" s="627" customFormat="1" ht="21" customHeight="1">
      <c r="A210" s="701" t="s">
        <v>21</v>
      </c>
      <c r="B210" s="2265" t="str" cm="1">
        <f t="array" ref="B210">SUMPRODUCT(--(D210:J210&lt;&gt;""), LEN(TRIM(SUBSTITUTE(D210:J210, CHAR(160), "")))) &amp; " Car."</f>
        <v>0 Car.</v>
      </c>
      <c r="C210" s="1376" t="str">
        <f>IF(ISBLANK(D210),"",LARGE(C13:C209,1)+1)</f>
        <v/>
      </c>
      <c r="D210" s="1833"/>
      <c r="E210" s="1810"/>
      <c r="F210" s="1810"/>
      <c r="G210" s="1810"/>
      <c r="H210" s="1810"/>
      <c r="I210" s="1810"/>
      <c r="J210" s="1810"/>
      <c r="K210" s="1810"/>
      <c r="L210" s="1811"/>
      <c r="M210" s="9"/>
      <c r="N210" s="25" t="str">
        <f t="shared" si="114"/>
        <v>A</v>
      </c>
      <c r="O210" s="1616"/>
      <c r="P210" s="9"/>
      <c r="Q210" s="25" t="s">
        <v>10</v>
      </c>
      <c r="R210" s="26" t="str">
        <f>R215</f>
        <v>M MILLE-FEUILLE meringue et chiboust pamplemousse aux fraises des bois | collez la--FAMILLE| Auteur &gt; recette Béghin Say de Jean-Jacques Borne MOF 1994</v>
      </c>
      <c r="S210" s="27">
        <f>S215</f>
        <v>18</v>
      </c>
      <c r="T210" s="27" t="str">
        <f>T215</f>
        <v>desserts</v>
      </c>
      <c r="U210" s="28" t="str">
        <f>U215</f>
        <v>Recette mère ► MILLE-FEUILLE  aux fraises des bois</v>
      </c>
      <c r="V210" s="29" t="s">
        <v>28</v>
      </c>
      <c r="W210" s="30" t="s">
        <v>831</v>
      </c>
      <c r="X210" s="30"/>
      <c r="Y210" s="6635"/>
      <c r="Z210" s="6635"/>
      <c r="AA210" s="6635"/>
      <c r="AB210" s="6635"/>
      <c r="AC210" s="6635"/>
      <c r="AD210" s="6635"/>
      <c r="AE210" s="6635"/>
      <c r="AF210" s="6635"/>
      <c r="AG210" s="6635"/>
      <c r="AH210" s="6637"/>
      <c r="AI210" s="6637"/>
      <c r="AJ210" s="6639"/>
      <c r="AK210" s="6120" t="str">
        <f t="shared" si="102"/>
        <v>►</v>
      </c>
      <c r="AL210" s="781" t="str">
        <f t="shared" si="90"/>
        <v>►</v>
      </c>
      <c r="AM210" s="5498" t="str">
        <f t="shared" si="93"/>
        <v/>
      </c>
      <c r="AN210" s="783" t="str">
        <f t="shared" si="94"/>
        <v/>
      </c>
      <c r="AO210" s="782" t="str">
        <f t="shared" si="95"/>
        <v/>
      </c>
      <c r="AP210" s="783" t="str">
        <f t="shared" si="96"/>
        <v/>
      </c>
      <c r="AQ210" s="2083" t="b">
        <f>AND(Q210="A",COUNTIF(BP16:BR63,TRIM(Z210))&gt;0)</f>
        <v>0</v>
      </c>
      <c r="AR210" s="797" t="str">
        <f>IF(AL210&lt;&gt;"A","",IFERROR(IFERROR(_xlfn.XLOOKUP(TRIM(SUBSTITUTE(Z210,CHAR(160)," ")),BP16:BP63,BS16:BS63),IFERROR(_xlfn.XLOOKUP(TRIM(SUBSTITUTE(Z210,CHAR(160)," ")),BQ16:BQ63,BS16:BS63),_xlfn.XLOOKUP(TRIM(SUBSTITUTE(Z210,CHAR(160)," ")),BR16:BR63,BS16:BS63)))*Y210*IF(ISBLANK(V210),1,V210),0))</f>
        <v/>
      </c>
      <c r="AS210" s="784" t="str">
        <f t="shared" si="112"/>
        <v/>
      </c>
      <c r="AT210" s="1315" t="str">
        <f t="shared" si="97"/>
        <v/>
      </c>
      <c r="AU210" s="785">
        <f t="shared" si="98"/>
        <v>0</v>
      </c>
      <c r="AV210" s="785">
        <f t="shared" si="99"/>
        <v>0</v>
      </c>
      <c r="AW210" s="798">
        <f>IF(AK210="A",AY10,0)</f>
        <v>0</v>
      </c>
      <c r="AX210" s="5496" t="str">
        <f>IF(IFERROR(SEARCH("Adresse PC",TRIM(W210)),0)&gt;0,"▼ receta siguiente",IF(AK210="A",IF(AZ10&lt;&gt;"",AZ10&amp;" - ou.or.o ❾ + or - &gt;",""),""))</f>
        <v/>
      </c>
      <c r="AY210" s="810"/>
      <c r="AZ210" s="810"/>
      <c r="BA210" s="799" t="str">
        <f t="shared" si="89"/>
        <v/>
      </c>
      <c r="BB210" s="800" t="str">
        <f>IF(AK210="A",IF(AQ210,IF(AND(AW210&lt;&gt;"",N(AW210)&gt;0),IFERROR(IFERROR(_xlfn.XLOOKUP(AP210,BP10:BP57,BT10:BT57),IFERROR(_xlfn.XLOOKUP(AP210,BQ10:BQ57,BT10:BT57),_xlfn.XLOOKUP(AP210,BR10:BR57,BT10:BT57,""))),""),""),""),"")</f>
        <v/>
      </c>
      <c r="BC210" s="813" cm="1">
        <f t="array" ref="BC210">IF(NOT(AQ210),0,IF(OR(BA210="",N(BA210)&lt;=0.000000001),"",IF(OR(AU210="",N(AU210)&lt;=0.000000001),0,IF(ISNUMBER(BA210),IFERROR(_xlfn.LET(_xlpm.ai_test,TRIM(AP210),_xlpm.r,IFERROR(_xlfn.XLOOKUP(_xlpm.ai_test,BP16:BP63,ROW(BP16:BP63),0,1),IFERROR(_xlfn.XLOOKUP(_xlpm.ai_test,BQ16:BQ63,ROW(BQ16:BQ63),0,1),_xlfn.XLOOKUP(_xlpm.ai_test,BR16:BR63,ROW(BR16:BR63),0,1))),_xlpm.p,_xlpm.r-MIN(ROW(BP16:BP63))+1,_xlpm.f,INDEX(BS16:BS63,_xlpm.p),_xlpm.u,INDEX(BT16:BT63,_xlpm.p),_xlpm.s,INDEX(BV16:BV63,_xlpm.p),_xlpm.q,N(BA210)/_xlpm.f,IF(_xlpm.q&gt;=_xlpm.s,ROUND(_xlpm.q,1)&amp;" "&amp;_xlpm.ai_test&amp;" = "&amp;ROUND(_xlpm.q*_xlpm.f,1)&amp;" "&amp;_xlpm.u,ROUND(_xlpm.q,1)&amp;" "&amp;_xlpm.ai_test)),""),""))))</f>
        <v>0</v>
      </c>
      <c r="BD210" s="801"/>
      <c r="BE210" s="799" t="str">
        <f t="shared" si="100"/>
        <v/>
      </c>
      <c r="BF210" s="800" t="str">
        <f t="shared" si="103"/>
        <v/>
      </c>
      <c r="BG210" s="802">
        <f t="shared" si="104"/>
        <v>0</v>
      </c>
      <c r="BH210" s="803" t="str">
        <f t="shared" si="105"/>
        <v/>
      </c>
      <c r="BI210" s="792"/>
      <c r="BJ210" s="804">
        <f t="shared" si="106"/>
        <v>0</v>
      </c>
      <c r="BK210" s="794" t="str">
        <f t="shared" si="101"/>
        <v/>
      </c>
      <c r="BL210" s="227" t="s">
        <v>21</v>
      </c>
      <c r="BM210" s="773">
        <f t="shared" si="91"/>
        <v>0</v>
      </c>
      <c r="BN210" s="774">
        <f t="shared" si="92"/>
        <v>0</v>
      </c>
      <c r="BO210"/>
      <c r="BX210"/>
      <c r="BY210"/>
      <c r="BZ210"/>
      <c r="CA210"/>
      <c r="CB210"/>
      <c r="CC210"/>
      <c r="CD210" s="781" t="str">
        <f t="shared" si="113"/>
        <v>►</v>
      </c>
      <c r="CE210"/>
      <c r="CF210"/>
      <c r="CG210"/>
      <c r="CH210"/>
      <c r="CI210"/>
      <c r="CJ210" s="633"/>
      <c r="CK210"/>
      <c r="CL210"/>
      <c r="CM210"/>
      <c r="CN210"/>
      <c r="CO210"/>
      <c r="CP210"/>
      <c r="CQ210"/>
      <c r="CS210"/>
      <c r="CT210"/>
      <c r="CU210"/>
      <c r="CV210"/>
      <c r="CW210"/>
      <c r="CX210"/>
      <c r="CY210"/>
      <c r="DA210"/>
      <c r="DB210"/>
      <c r="DC210"/>
      <c r="DD210"/>
      <c r="DE210"/>
      <c r="DF210"/>
      <c r="DG210"/>
      <c r="DI210" s="3">
        <v>1</v>
      </c>
    </row>
    <row r="211" spans="1:113" s="627" customFormat="1" ht="21" customHeight="1">
      <c r="A211" s="701" t="s">
        <v>21</v>
      </c>
      <c r="B211" s="2265" t="str" cm="1">
        <f t="array" ref="B211">SUMPRODUCT(--(D211:J211&lt;&gt;""), LEN(TRIM(SUBSTITUTE(D211:J211, CHAR(160), "")))) &amp; " Car."</f>
        <v>0 Car.</v>
      </c>
      <c r="C211" s="1376" t="str">
        <f>IF(ISBLANK(D211),"",LARGE(C13:C210,1)+1)</f>
        <v/>
      </c>
      <c r="D211" s="1833"/>
      <c r="E211" s="1810"/>
      <c r="F211" s="1810"/>
      <c r="G211" s="1810"/>
      <c r="H211" s="1810"/>
      <c r="I211" s="1810"/>
      <c r="J211" s="1810"/>
      <c r="K211" s="1810"/>
      <c r="L211" s="1811"/>
      <c r="M211" s="9"/>
      <c r="N211" s="25" t="str">
        <f t="shared" si="114"/>
        <v>A</v>
      </c>
      <c r="O211" s="1616"/>
      <c r="P211" s="9"/>
      <c r="Q211" s="25" t="s">
        <v>10</v>
      </c>
      <c r="R211" s="31" t="str">
        <f>R215</f>
        <v>M MILLE-FEUILLE meringue et chiboust pamplemousse aux fraises des bois | collez la--FAMILLE| Auteur &gt; recette Béghin Say de Jean-Jacques Borne MOF 1994</v>
      </c>
      <c r="S211" s="32">
        <f>S215</f>
        <v>18</v>
      </c>
      <c r="T211" s="32" t="str">
        <f>T215</f>
        <v>desserts</v>
      </c>
      <c r="U211" s="33" t="str">
        <f>U215</f>
        <v>Recette mère ► MILLE-FEUILLE  aux fraises des bois</v>
      </c>
      <c r="V211" s="1357"/>
      <c r="W211" s="1358" t="s">
        <v>30</v>
      </c>
      <c r="X211" s="34"/>
      <c r="Y211" s="35" t="s">
        <v>31</v>
      </c>
      <c r="Z211" s="36" t="s">
        <v>3050</v>
      </c>
      <c r="AA211" s="9"/>
      <c r="AB211" s="9"/>
      <c r="AC211" s="36"/>
      <c r="AD211" s="36"/>
      <c r="AE211" s="36"/>
      <c r="AF211" s="37"/>
      <c r="AG211" s="9"/>
      <c r="AH211" s="9"/>
      <c r="AI211" s="9"/>
      <c r="AJ211" s="2062" t="str" cm="1">
        <f t="array" aca="1" ref="AJ211" ca="1">IF(COUNTIF(R255:AJ255,"&lt;0.5")=0,"Aucune colonne masquée ",COUNTIF(R255:AJ255,"&lt;0.5") &amp; " " &amp; IF(COUNTIF(R255:AJ255,"&lt;0.5")&gt;1,"colonnes masquées","colonne masquée") &amp; " " &amp; _xlfn.TEXTJOIN(" ", TRUE, IF(R255:AJ255&lt;0.5,R254:AJ254,"")))&amp;" "</f>
        <v xml:space="preserve">Aucune colonne masquée  </v>
      </c>
      <c r="AK211" s="6120" t="str">
        <f t="shared" si="102"/>
        <v>►</v>
      </c>
      <c r="AL211" s="781" t="str">
        <f t="shared" si="90"/>
        <v>►</v>
      </c>
      <c r="AM211" s="5499" t="str">
        <f t="shared" si="93"/>
        <v/>
      </c>
      <c r="AN211" s="783" t="str">
        <f t="shared" si="94"/>
        <v/>
      </c>
      <c r="AO211" s="782" t="str">
        <f t="shared" si="95"/>
        <v/>
      </c>
      <c r="AP211" s="783" t="str">
        <f t="shared" si="96"/>
        <v/>
      </c>
      <c r="AQ211" s="2083" t="b">
        <f>AND(Q211="A",COUNTIF(BP16:BR63,TRIM(Z211))&gt;0)</f>
        <v>0</v>
      </c>
      <c r="AR211" s="797" t="str">
        <f>IF(AL211&lt;&gt;"A","",IFERROR(IFERROR(_xlfn.XLOOKUP(TRIM(SUBSTITUTE(Z211,CHAR(160)," ")),BP16:BP63,BS16:BS63),IFERROR(_xlfn.XLOOKUP(TRIM(SUBSTITUTE(Z211,CHAR(160)," ")),BQ16:BQ63,BS16:BS63),_xlfn.XLOOKUP(TRIM(SUBSTITUTE(Z211,CHAR(160)," ")),BR16:BR63,BS16:BS63)))*Y211*IF(ISBLANK(V211),1,V211),0))</f>
        <v/>
      </c>
      <c r="AS211" s="784" t="str">
        <f t="shared" si="112"/>
        <v/>
      </c>
      <c r="AT211" s="1315" t="str">
        <f t="shared" si="97"/>
        <v/>
      </c>
      <c r="AU211" s="785">
        <f t="shared" si="98"/>
        <v>0</v>
      </c>
      <c r="AV211" s="785">
        <f t="shared" si="99"/>
        <v>0</v>
      </c>
      <c r="AW211" s="786">
        <f>IF(AK211="A",AY10,0)</f>
        <v>0</v>
      </c>
      <c r="AX211" s="5495" t="str">
        <f>IF(IFERROR(SEARCH("Adresse PC",TRIM(W211)),0)&gt;0,"▼ receta siguiente",IF(AK211="A",IF(AZ10&lt;&gt;"",AZ10&amp;" - ou.or.o ❾ + or - &gt;",""),""))</f>
        <v/>
      </c>
      <c r="AY211" s="810"/>
      <c r="AZ211" s="810"/>
      <c r="BA211" s="788" t="str">
        <f t="shared" si="89"/>
        <v/>
      </c>
      <c r="BB211" s="789" t="str">
        <f>IF(AK211="A",IF(AQ211,IF(AND(AW211&lt;&gt;"",N(AW211)&gt;0),IFERROR(IFERROR(_xlfn.XLOOKUP(AP211,BP10:BP57,BT10:BT57),IFERROR(_xlfn.XLOOKUP(AP211,BQ10:BQ57,BT10:BT57),_xlfn.XLOOKUP(AP211,BR10:BR57,BT10:BT57,""))),""),""),""),"")</f>
        <v/>
      </c>
      <c r="BC211" s="811" cm="1">
        <f t="array" ref="BC211">IF(NOT(AQ211),0,IF(OR(BA211="",N(BA211)&lt;=0.000000001),"",IF(OR(AU211="",N(AU211)&lt;=0.000000001),0,IF(ISNUMBER(BA211),IFERROR(_xlfn.LET(_xlpm.ai_test,TRIM(AP211),_xlpm.r,IFERROR(_xlfn.XLOOKUP(_xlpm.ai_test,BP16:BP63,ROW(BP16:BP63),0,1),IFERROR(_xlfn.XLOOKUP(_xlpm.ai_test,BQ16:BQ63,ROW(BQ16:BQ63),0,1),_xlfn.XLOOKUP(_xlpm.ai_test,BR16:BR63,ROW(BR16:BR63),0,1))),_xlpm.p,_xlpm.r-MIN(ROW(BP16:BP63))+1,_xlpm.f,INDEX(BS16:BS63,_xlpm.p),_xlpm.u,INDEX(BT16:BT63,_xlpm.p),_xlpm.s,INDEX(BV16:BV63,_xlpm.p),_xlpm.q,N(BA211)/_xlpm.f,IF(_xlpm.q&gt;=_xlpm.s,ROUND(_xlpm.q,1)&amp;" "&amp;_xlpm.ai_test&amp;" = "&amp;ROUND(_xlpm.q*_xlpm.f,1)&amp;" "&amp;_xlpm.u,ROUND(_xlpm.q,1)&amp;" "&amp;_xlpm.ai_test)),""),""))))</f>
        <v>0</v>
      </c>
      <c r="BD211" s="801"/>
      <c r="BE211" s="788" t="str">
        <f t="shared" si="100"/>
        <v/>
      </c>
      <c r="BF211" s="789" t="str">
        <f t="shared" si="103"/>
        <v/>
      </c>
      <c r="BG211" s="790">
        <f t="shared" si="104"/>
        <v>0</v>
      </c>
      <c r="BH211" s="791" t="str">
        <f t="shared" si="105"/>
        <v/>
      </c>
      <c r="BI211" s="792"/>
      <c r="BJ211" s="793">
        <f t="shared" si="106"/>
        <v>0</v>
      </c>
      <c r="BK211" s="794" t="str">
        <f t="shared" si="101"/>
        <v/>
      </c>
      <c r="BL211" s="227" t="s">
        <v>21</v>
      </c>
      <c r="BM211" s="773">
        <f t="shared" si="91"/>
        <v>0</v>
      </c>
      <c r="BN211" s="774">
        <f t="shared" si="92"/>
        <v>0</v>
      </c>
      <c r="BO211"/>
      <c r="BX211"/>
      <c r="BY211"/>
      <c r="BZ211"/>
      <c r="CA211"/>
      <c r="CB211"/>
      <c r="CC211"/>
      <c r="CD211" s="781" t="str">
        <f t="shared" si="113"/>
        <v>►</v>
      </c>
      <c r="CE211"/>
      <c r="CF211"/>
      <c r="CG211"/>
      <c r="CH211"/>
      <c r="CI211"/>
      <c r="CJ211" s="633"/>
      <c r="CK211"/>
      <c r="CL211"/>
      <c r="CM211"/>
      <c r="CN211"/>
      <c r="CO211"/>
      <c r="CP211"/>
      <c r="CQ211"/>
      <c r="CS211"/>
      <c r="CT211"/>
      <c r="CU211"/>
      <c r="CV211"/>
      <c r="CW211"/>
      <c r="CX211"/>
      <c r="CY211"/>
      <c r="DA211"/>
      <c r="DB211"/>
      <c r="DC211"/>
      <c r="DD211"/>
      <c r="DE211"/>
      <c r="DF211"/>
      <c r="DG211"/>
      <c r="DI211" s="3">
        <v>1</v>
      </c>
    </row>
    <row r="212" spans="1:113" s="627" customFormat="1" ht="21" customHeight="1">
      <c r="A212" s="701" t="s">
        <v>21</v>
      </c>
      <c r="B212" s="2265" t="str" cm="1">
        <f t="array" ref="B212">SUMPRODUCT(--(D212:J212&lt;&gt;""), LEN(TRIM(SUBSTITUTE(D212:J212, CHAR(160), "")))) &amp; " Car."</f>
        <v>0 Car.</v>
      </c>
      <c r="C212" s="1376" t="str">
        <f>IF(ISBLANK(D212),"",LARGE(C13:C211,1)+1)</f>
        <v/>
      </c>
      <c r="D212" s="1833"/>
      <c r="E212" s="1810"/>
      <c r="F212" s="1810"/>
      <c r="G212" s="1810"/>
      <c r="H212" s="1810"/>
      <c r="I212" s="1810"/>
      <c r="J212" s="1810"/>
      <c r="K212" s="1810"/>
      <c r="L212" s="1811"/>
      <c r="M212" s="9"/>
      <c r="N212" s="25" t="str">
        <f t="shared" si="114"/>
        <v>A</v>
      </c>
      <c r="O212" s="1616"/>
      <c r="P212" s="9"/>
      <c r="Q212" s="25" t="s">
        <v>10</v>
      </c>
      <c r="R212" s="31" t="str">
        <f>R215</f>
        <v>M MILLE-FEUILLE meringue et chiboust pamplemousse aux fraises des bois | collez la--FAMILLE| Auteur &gt; recette Béghin Say de Jean-Jacques Borne MOF 1994</v>
      </c>
      <c r="S212" s="32">
        <f>S215</f>
        <v>18</v>
      </c>
      <c r="T212" s="32" t="str">
        <f>T215</f>
        <v>desserts</v>
      </c>
      <c r="U212" s="33" t="str">
        <f>U215</f>
        <v>Recette mère ► MILLE-FEUILLE  aux fraises des bois</v>
      </c>
      <c r="V212" s="39" t="s">
        <v>32</v>
      </c>
      <c r="W212" s="40"/>
      <c r="X212" s="40"/>
      <c r="Y212" s="41" t="s">
        <v>33</v>
      </c>
      <c r="Z212" s="6736" t="str">
        <f>AB215&amp;" "&amp;AC215&amp;" ► Famille = "&amp;AH209&amp;" ► "&amp;Y209&amp;" "&amp;AF212&amp;" "&amp;AH212&amp;" "&amp;AI212&amp;" "&amp;AJ212</f>
        <v>Recette mère ► MILLE-FEUILLE  aux fraises des bois ► Famille = collez la--FAMILLE ► MILLE-FEUILLE meringue et chiboust pamplemousse aux fraises des bois  ⓫  Dupliquée pour 36 desserts</v>
      </c>
      <c r="AA212" s="6736"/>
      <c r="AB212" s="6736"/>
      <c r="AC212" s="6736"/>
      <c r="AD212" s="6736"/>
      <c r="AE212" s="6736"/>
      <c r="AF212" s="6736"/>
      <c r="AG212" s="1359"/>
      <c r="AH212" s="1359" t="s">
        <v>35</v>
      </c>
      <c r="AI212" s="42">
        <v>36</v>
      </c>
      <c r="AJ212" s="43" t="str">
        <f>AJ214</f>
        <v>desserts</v>
      </c>
      <c r="AK212" s="6120" t="str">
        <f t="shared" si="102"/>
        <v>►</v>
      </c>
      <c r="AL212" s="781" t="str">
        <f t="shared" si="90"/>
        <v>►</v>
      </c>
      <c r="AM212" s="5498" t="str">
        <f t="shared" si="93"/>
        <v/>
      </c>
      <c r="AN212" s="783" t="str">
        <f t="shared" si="94"/>
        <v/>
      </c>
      <c r="AO212" s="782" t="str">
        <f t="shared" si="95"/>
        <v/>
      </c>
      <c r="AP212" s="783" t="str">
        <f t="shared" si="96"/>
        <v/>
      </c>
      <c r="AQ212" s="2083" t="b">
        <f>AND(Q212="A",COUNTIF(BP16:BR63,TRIM(Z212))&gt;0)</f>
        <v>0</v>
      </c>
      <c r="AR212" s="797" t="str">
        <f>IF(AL212&lt;&gt;"A","",IFERROR(IFERROR(_xlfn.XLOOKUP(TRIM(SUBSTITUTE(Z212,CHAR(160)," ")),BP16:BP63,BS16:BS63),IFERROR(_xlfn.XLOOKUP(TRIM(SUBSTITUTE(Z212,CHAR(160)," ")),BQ16:BQ63,BS16:BS63),_xlfn.XLOOKUP(TRIM(SUBSTITUTE(Z212,CHAR(160)," ")),BR16:BR63,BS16:BS63)))*Y212*IF(ISBLANK(V212),1,V212),0))</f>
        <v/>
      </c>
      <c r="AS212" s="784" t="str">
        <f t="shared" si="112"/>
        <v/>
      </c>
      <c r="AT212" s="1315" t="str">
        <f t="shared" si="97"/>
        <v/>
      </c>
      <c r="AU212" s="785">
        <f t="shared" si="98"/>
        <v>0</v>
      </c>
      <c r="AV212" s="785">
        <f t="shared" si="99"/>
        <v>0</v>
      </c>
      <c r="AW212" s="798">
        <f>IF(AK212="A",AY10,0)</f>
        <v>0</v>
      </c>
      <c r="AX212" s="5496" t="str">
        <f>IF(IFERROR(SEARCH("Adresse PC",TRIM(W212)),0)&gt;0,"▼ receta siguiente",IF(AK212="A",IF(AZ10&lt;&gt;"",AZ10&amp;" - ou.or.o ❾ + or - &gt;",""),""))</f>
        <v/>
      </c>
      <c r="AY212" s="810"/>
      <c r="AZ212" s="810"/>
      <c r="BA212" s="799" t="str">
        <f t="shared" ref="BA212:BA275" si="115">IF(AK212="A",IF(UPPER(TRIM(SUBSTITUTE(AS212,CHAR(160),"")))="KG",N(AR212)*N(BN212),0),"")</f>
        <v/>
      </c>
      <c r="BB212" s="800" t="str">
        <f>IF(AK212="A",IF(AQ212,IF(AND(AW212&lt;&gt;"",N(AW212)&gt;0),IFERROR(IFERROR(_xlfn.XLOOKUP(AP212,BP10:BP57,BT10:BT57),IFERROR(_xlfn.XLOOKUP(AP212,BQ10:BQ57,BT10:BT57),_xlfn.XLOOKUP(AP212,BR10:BR57,BT10:BT57,""))),""),""),""),"")</f>
        <v/>
      </c>
      <c r="BC212" s="813" cm="1">
        <f t="array" ref="BC212">IF(NOT(AQ212),0,IF(OR(BA212="",N(BA212)&lt;=0.000000001),"",IF(OR(AU212="",N(AU212)&lt;=0.000000001),0,IF(ISNUMBER(BA212),IFERROR(_xlfn.LET(_xlpm.ai_test,TRIM(AP212),_xlpm.r,IFERROR(_xlfn.XLOOKUP(_xlpm.ai_test,BP16:BP63,ROW(BP16:BP63),0,1),IFERROR(_xlfn.XLOOKUP(_xlpm.ai_test,BQ16:BQ63,ROW(BQ16:BQ63),0,1),_xlfn.XLOOKUP(_xlpm.ai_test,BR16:BR63,ROW(BR16:BR63),0,1))),_xlpm.p,_xlpm.r-MIN(ROW(BP16:BP63))+1,_xlpm.f,INDEX(BS16:BS63,_xlpm.p),_xlpm.u,INDEX(BT16:BT63,_xlpm.p),_xlpm.s,INDEX(BV16:BV63,_xlpm.p),_xlpm.q,N(BA212)/_xlpm.f,IF(_xlpm.q&gt;=_xlpm.s,ROUND(_xlpm.q,1)&amp;" "&amp;_xlpm.ai_test&amp;" = "&amp;ROUND(_xlpm.q*_xlpm.f,1)&amp;" "&amp;_xlpm.u,ROUND(_xlpm.q,1)&amp;" "&amp;_xlpm.ai_test)),""),""))))</f>
        <v>0</v>
      </c>
      <c r="BD212" s="801"/>
      <c r="BE212" s="799" t="str">
        <f t="shared" si="100"/>
        <v/>
      </c>
      <c r="BF212" s="800" t="str">
        <f t="shared" si="103"/>
        <v/>
      </c>
      <c r="BG212" s="802">
        <f t="shared" si="104"/>
        <v>0</v>
      </c>
      <c r="BH212" s="803" t="str">
        <f t="shared" si="105"/>
        <v/>
      </c>
      <c r="BI212" s="792"/>
      <c r="BJ212" s="804">
        <f t="shared" si="106"/>
        <v>0</v>
      </c>
      <c r="BK212" s="794" t="str">
        <f t="shared" si="101"/>
        <v/>
      </c>
      <c r="BL212" s="227" t="s">
        <v>21</v>
      </c>
      <c r="BM212" s="773">
        <f t="shared" si="91"/>
        <v>0</v>
      </c>
      <c r="BN212" s="774">
        <f t="shared" si="92"/>
        <v>0</v>
      </c>
      <c r="BO212"/>
      <c r="BX212"/>
      <c r="BY212"/>
      <c r="BZ212"/>
      <c r="CA212"/>
      <c r="CB212"/>
      <c r="CC212"/>
      <c r="CD212" s="781" t="str">
        <f t="shared" si="113"/>
        <v>►</v>
      </c>
      <c r="CE212"/>
      <c r="CF212"/>
      <c r="CG212"/>
      <c r="CH212"/>
      <c r="CI212"/>
      <c r="CJ212" s="633"/>
      <c r="CK212"/>
      <c r="CL212"/>
      <c r="CM212"/>
      <c r="CN212"/>
      <c r="CO212"/>
      <c r="CP212"/>
      <c r="CQ212"/>
      <c r="CS212"/>
      <c r="CT212"/>
      <c r="CU212"/>
      <c r="CV212"/>
      <c r="CW212"/>
      <c r="CX212"/>
      <c r="CY212"/>
      <c r="DA212"/>
      <c r="DB212"/>
      <c r="DC212"/>
      <c r="DD212"/>
      <c r="DE212"/>
      <c r="DF212"/>
      <c r="DG212"/>
      <c r="DI212" s="3">
        <v>1</v>
      </c>
    </row>
    <row r="213" spans="1:113" s="627" customFormat="1" ht="21" customHeight="1">
      <c r="A213" s="701" t="s">
        <v>21</v>
      </c>
      <c r="B213" s="2265" t="str" cm="1">
        <f t="array" ref="B213">SUMPRODUCT(--(D213:J213&lt;&gt;""), LEN(TRIM(SUBSTITUTE(D213:J213, CHAR(160), "")))) &amp; " Car."</f>
        <v>0 Car.</v>
      </c>
      <c r="C213" s="1376" t="str">
        <f>IF(ISBLANK(D213),"",LARGE(C13:C212,1)+1)</f>
        <v/>
      </c>
      <c r="D213" s="1833"/>
      <c r="E213" s="1810"/>
      <c r="F213" s="1810"/>
      <c r="G213" s="1810"/>
      <c r="H213" s="1810"/>
      <c r="I213" s="1810"/>
      <c r="J213" s="1810"/>
      <c r="K213" s="1810"/>
      <c r="L213" s="1811"/>
      <c r="M213" s="9"/>
      <c r="N213" s="25" t="str">
        <f t="shared" si="114"/>
        <v>A</v>
      </c>
      <c r="O213" s="1616"/>
      <c r="P213" s="9"/>
      <c r="Q213" s="25" t="s">
        <v>10</v>
      </c>
      <c r="R213" s="31" t="str">
        <f>R215</f>
        <v>M MILLE-FEUILLE meringue et chiboust pamplemousse aux fraises des bois | collez la--FAMILLE| Auteur &gt; recette Béghin Say de Jean-Jacques Borne MOF 1994</v>
      </c>
      <c r="S213" s="32">
        <f>S215</f>
        <v>18</v>
      </c>
      <c r="T213" s="32" t="str">
        <f>T215</f>
        <v>desserts</v>
      </c>
      <c r="U213" s="33" t="str">
        <f>U215</f>
        <v>Recette mère ► MILLE-FEUILLE  aux fraises des bois</v>
      </c>
      <c r="V213" s="1360">
        <v>18</v>
      </c>
      <c r="W213" s="1361" t="s">
        <v>3056</v>
      </c>
      <c r="X213" s="39"/>
      <c r="Y213" s="39"/>
      <c r="Z213" s="6736"/>
      <c r="AA213" s="6736"/>
      <c r="AB213" s="6736"/>
      <c r="AC213" s="6736"/>
      <c r="AD213" s="6736"/>
      <c r="AE213" s="6736"/>
      <c r="AF213" s="6736"/>
      <c r="AG213" s="696"/>
      <c r="AH213" s="696"/>
      <c r="AI213" s="47" t="s">
        <v>40</v>
      </c>
      <c r="AJ213" s="48" t="s">
        <v>41</v>
      </c>
      <c r="AK213" s="6120" t="str">
        <f t="shared" si="102"/>
        <v>►</v>
      </c>
      <c r="AL213" s="781" t="str">
        <f t="shared" si="90"/>
        <v>►</v>
      </c>
      <c r="AM213" s="5499" t="str">
        <f t="shared" si="93"/>
        <v/>
      </c>
      <c r="AN213" s="783" t="str">
        <f t="shared" si="94"/>
        <v/>
      </c>
      <c r="AO213" s="782" t="str">
        <f t="shared" si="95"/>
        <v/>
      </c>
      <c r="AP213" s="783" t="str">
        <f t="shared" si="96"/>
        <v/>
      </c>
      <c r="AQ213" s="2083" t="b">
        <f>AND(Q213="A",COUNTIF(BP16:BR63,TRIM(Z213))&gt;0)</f>
        <v>0</v>
      </c>
      <c r="AR213" s="797" t="str">
        <f>IF(AL213&lt;&gt;"A","",IFERROR(IFERROR(_xlfn.XLOOKUP(TRIM(SUBSTITUTE(Z213,CHAR(160)," ")),BP16:BP63,BS16:BS63),IFERROR(_xlfn.XLOOKUP(TRIM(SUBSTITUTE(Z213,CHAR(160)," ")),BQ16:BQ63,BS16:BS63),_xlfn.XLOOKUP(TRIM(SUBSTITUTE(Z213,CHAR(160)," ")),BR16:BR63,BS16:BS63)))*Y213*IF(ISBLANK(V213),1,V213),0))</f>
        <v/>
      </c>
      <c r="AS213" s="784" t="str">
        <f t="shared" si="112"/>
        <v/>
      </c>
      <c r="AT213" s="1315" t="str">
        <f t="shared" si="97"/>
        <v/>
      </c>
      <c r="AU213" s="785">
        <f t="shared" si="98"/>
        <v>0</v>
      </c>
      <c r="AV213" s="785">
        <f t="shared" si="99"/>
        <v>0</v>
      </c>
      <c r="AW213" s="786">
        <f>IF(AK213="A",AY10,0)</f>
        <v>0</v>
      </c>
      <c r="AX213" s="5495" t="str">
        <f>IF(IFERROR(SEARCH("Adresse PC",TRIM(W213)),0)&gt;0,"▼ receta siguiente",IF(AK213="A",IF(AZ10&lt;&gt;"",AZ10&amp;" - ou.or.o ❾ + or - &gt;",""),""))</f>
        <v/>
      </c>
      <c r="AY213" s="810"/>
      <c r="AZ213" s="810"/>
      <c r="BA213" s="788" t="str">
        <f t="shared" si="115"/>
        <v/>
      </c>
      <c r="BB213" s="789" t="str">
        <f>IF(AK213="A",IF(AQ213,IF(AND(AW213&lt;&gt;"",N(AW213)&gt;0),IFERROR(IFERROR(_xlfn.XLOOKUP(AP213,BP10:BP57,BT10:BT57),IFERROR(_xlfn.XLOOKUP(AP213,BQ10:BQ57,BT10:BT57),_xlfn.XLOOKUP(AP213,BR10:BR57,BT10:BT57,""))),""),""),""),"")</f>
        <v/>
      </c>
      <c r="BC213" s="811" cm="1">
        <f t="array" ref="BC213">IF(NOT(AQ213),0,IF(OR(BA213="",N(BA213)&lt;=0.000000001),"",IF(OR(AU213="",N(AU213)&lt;=0.000000001),0,IF(ISNUMBER(BA213),IFERROR(_xlfn.LET(_xlpm.ai_test,TRIM(AP213),_xlpm.r,IFERROR(_xlfn.XLOOKUP(_xlpm.ai_test,BP16:BP63,ROW(BP16:BP63),0,1),IFERROR(_xlfn.XLOOKUP(_xlpm.ai_test,BQ16:BQ63,ROW(BQ16:BQ63),0,1),_xlfn.XLOOKUP(_xlpm.ai_test,BR16:BR63,ROW(BR16:BR63),0,1))),_xlpm.p,_xlpm.r-MIN(ROW(BP16:BP63))+1,_xlpm.f,INDEX(BS16:BS63,_xlpm.p),_xlpm.u,INDEX(BT16:BT63,_xlpm.p),_xlpm.s,INDEX(BV16:BV63,_xlpm.p),_xlpm.q,N(BA213)/_xlpm.f,IF(_xlpm.q&gt;=_xlpm.s,ROUND(_xlpm.q,1)&amp;" "&amp;_xlpm.ai_test&amp;" = "&amp;ROUND(_xlpm.q*_xlpm.f,1)&amp;" "&amp;_xlpm.u,ROUND(_xlpm.q,1)&amp;" "&amp;_xlpm.ai_test)),""),""))))</f>
        <v>0</v>
      </c>
      <c r="BD213" s="801"/>
      <c r="BE213" s="788" t="str">
        <f t="shared" si="100"/>
        <v/>
      </c>
      <c r="BF213" s="789" t="str">
        <f t="shared" si="103"/>
        <v/>
      </c>
      <c r="BG213" s="790">
        <f t="shared" si="104"/>
        <v>0</v>
      </c>
      <c r="BH213" s="791" t="str">
        <f t="shared" si="105"/>
        <v/>
      </c>
      <c r="BI213" s="792"/>
      <c r="BJ213" s="793">
        <f t="shared" si="106"/>
        <v>0</v>
      </c>
      <c r="BK213" s="794" t="str">
        <f t="shared" si="101"/>
        <v/>
      </c>
      <c r="BL213" s="227" t="s">
        <v>21</v>
      </c>
      <c r="BM213" s="773">
        <f t="shared" si="91"/>
        <v>0</v>
      </c>
      <c r="BN213" s="774">
        <f t="shared" si="92"/>
        <v>0</v>
      </c>
      <c r="BO213"/>
      <c r="BX213"/>
      <c r="BY213"/>
      <c r="BZ213"/>
      <c r="CA213"/>
      <c r="CB213"/>
      <c r="CC213"/>
      <c r="CD213" s="781" t="str">
        <f t="shared" si="113"/>
        <v>►</v>
      </c>
      <c r="CE213"/>
      <c r="CF213"/>
      <c r="CG213"/>
      <c r="CH213"/>
      <c r="CI213"/>
      <c r="CJ213" s="633"/>
      <c r="CK213"/>
      <c r="CL213"/>
      <c r="CM213"/>
      <c r="CN213"/>
      <c r="CO213"/>
      <c r="CP213"/>
      <c r="CQ213"/>
      <c r="CS213"/>
      <c r="CT213"/>
      <c r="CU213"/>
      <c r="CV213"/>
      <c r="CW213"/>
      <c r="CX213"/>
      <c r="CY213"/>
      <c r="DA213"/>
      <c r="DB213"/>
      <c r="DC213"/>
      <c r="DD213"/>
      <c r="DE213"/>
      <c r="DF213"/>
      <c r="DG213"/>
      <c r="DI213" s="3">
        <v>1</v>
      </c>
    </row>
    <row r="214" spans="1:113" s="627" customFormat="1" ht="21" customHeight="1">
      <c r="A214" s="701" t="s">
        <v>21</v>
      </c>
      <c r="B214" s="2265" t="str" cm="1">
        <f t="array" ref="B214">SUMPRODUCT(--(D214:J214&lt;&gt;""), LEN(TRIM(SUBSTITUTE(D214:J214, CHAR(160), "")))) &amp; " Car."</f>
        <v>0 Car.</v>
      </c>
      <c r="C214" s="1376" t="str">
        <f>IF(ISBLANK(D214),"",LARGE(C13:C213,1)+1)</f>
        <v/>
      </c>
      <c r="D214" s="1833"/>
      <c r="E214" s="1810"/>
      <c r="F214" s="1810"/>
      <c r="G214" s="1810"/>
      <c r="H214" s="1810"/>
      <c r="I214" s="1810"/>
      <c r="J214" s="1810"/>
      <c r="K214" s="1810"/>
      <c r="L214" s="1811"/>
      <c r="M214" s="9"/>
      <c r="N214" s="25" t="str">
        <f t="shared" si="114"/>
        <v>A</v>
      </c>
      <c r="O214" s="1616"/>
      <c r="P214" s="9"/>
      <c r="Q214" s="25" t="s">
        <v>10</v>
      </c>
      <c r="R214" s="31" t="str">
        <f>R215</f>
        <v>M MILLE-FEUILLE meringue et chiboust pamplemousse aux fraises des bois | collez la--FAMILLE| Auteur &gt; recette Béghin Say de Jean-Jacques Borne MOF 1994</v>
      </c>
      <c r="S214" s="32">
        <f>S215</f>
        <v>18</v>
      </c>
      <c r="T214" s="32" t="str">
        <f>T215</f>
        <v>desserts</v>
      </c>
      <c r="U214" s="33" t="str">
        <f>U215</f>
        <v>Recette mère ► MILLE-FEUILLE  aux fraises des bois</v>
      </c>
      <c r="V214" s="53"/>
      <c r="W214" s="1323" t="s">
        <v>8094</v>
      </c>
      <c r="X214" s="6737">
        <f>AF249</f>
        <v>1.5710000000000002</v>
      </c>
      <c r="Y214" s="6737"/>
      <c r="Z214" s="1324" t="str" cm="1">
        <f t="array" ref="Z214">"1= "&amp;IF(OR(V213&lt;=0,X214=""),"",_xlfn.LET(_xlpm.kg,IF(ISNUMBER(X214),X214,VALEUR(SUBSTITUTE(SUBSTITUTE(SUBSTITUTE(LOWER(X214),"kg",""),",",".")," ",""))),TEXT(ROUND(_xlpm.kg*1000/V213,2),"0.##")&amp;" g"))</f>
        <v>1= 87.28 g</v>
      </c>
      <c r="AA214" s="1325">
        <f>IFERROR(AI212/AI214,0)</f>
        <v>2</v>
      </c>
      <c r="AB214" s="1817" t="s">
        <v>8230</v>
      </c>
      <c r="AC214" s="579"/>
      <c r="AD214" s="55"/>
      <c r="AE214" s="55"/>
      <c r="AF214"/>
      <c r="AG214" s="1362"/>
      <c r="AH214" s="1362" t="s">
        <v>50</v>
      </c>
      <c r="AI214" s="882">
        <v>18</v>
      </c>
      <c r="AJ214" s="56" t="s">
        <v>3056</v>
      </c>
      <c r="AK214" s="6120" t="str">
        <f t="shared" si="102"/>
        <v>►</v>
      </c>
      <c r="AL214" s="781" t="str">
        <f t="shared" si="90"/>
        <v>►</v>
      </c>
      <c r="AM214" s="5498" t="str">
        <f t="shared" si="93"/>
        <v/>
      </c>
      <c r="AN214" s="783" t="str">
        <f t="shared" si="94"/>
        <v/>
      </c>
      <c r="AO214" s="782" t="str">
        <f t="shared" si="95"/>
        <v/>
      </c>
      <c r="AP214" s="783" t="str">
        <f t="shared" si="96"/>
        <v/>
      </c>
      <c r="AQ214" s="2083" t="b">
        <f>AND(Q214="A",COUNTIF(BP16:BR63,TRIM(Z214))&gt;0)</f>
        <v>0</v>
      </c>
      <c r="AR214" s="797" t="str">
        <f>IF(AL214&lt;&gt;"A","",IFERROR(IFERROR(_xlfn.XLOOKUP(TRIM(SUBSTITUTE(Z214,CHAR(160)," ")),BP16:BP63,BS16:BS63),IFERROR(_xlfn.XLOOKUP(TRIM(SUBSTITUTE(Z214,CHAR(160)," ")),BQ16:BQ63,BS16:BS63),_xlfn.XLOOKUP(TRIM(SUBSTITUTE(Z214,CHAR(160)," ")),BR16:BR63,BS16:BS63)))*Y214*IF(ISBLANK(V214),1,V214),0))</f>
        <v/>
      </c>
      <c r="AS214" s="784" t="str">
        <f t="shared" si="112"/>
        <v/>
      </c>
      <c r="AT214" s="1315" t="str">
        <f t="shared" si="97"/>
        <v/>
      </c>
      <c r="AU214" s="785">
        <f t="shared" si="98"/>
        <v>0</v>
      </c>
      <c r="AV214" s="785">
        <f t="shared" si="99"/>
        <v>0</v>
      </c>
      <c r="AW214" s="798">
        <f>IF(AK214="A",AY10,0)</f>
        <v>0</v>
      </c>
      <c r="AX214" s="5496" t="str">
        <f>IF(IFERROR(SEARCH("Adresse PC",TRIM(W214)),0)&gt;0,"▼ receta siguiente",IF(AK214="A",IF(AZ10&lt;&gt;"",AZ10&amp;" - ou.or.o ❾ + or - &gt;",""),""))</f>
        <v/>
      </c>
      <c r="AY214" s="810"/>
      <c r="AZ214" s="810"/>
      <c r="BA214" s="799" t="str">
        <f t="shared" si="115"/>
        <v/>
      </c>
      <c r="BB214" s="800" t="str">
        <f>IF(AK214="A",IF(AQ214,IF(AND(AW214&lt;&gt;"",N(AW214)&gt;0),IFERROR(IFERROR(_xlfn.XLOOKUP(AP214,BP10:BP57,BT10:BT57),IFERROR(_xlfn.XLOOKUP(AP214,BQ10:BQ57,BT10:BT57),_xlfn.XLOOKUP(AP214,BR10:BR57,BT10:BT57,""))),""),""),""),"")</f>
        <v/>
      </c>
      <c r="BC214" s="813" cm="1">
        <f t="array" ref="BC214">IF(NOT(AQ214),0,IF(OR(BA214="",N(BA214)&lt;=0.000000001),"",IF(OR(AU214="",N(AU214)&lt;=0.000000001),0,IF(ISNUMBER(BA214),IFERROR(_xlfn.LET(_xlpm.ai_test,TRIM(AP214),_xlpm.r,IFERROR(_xlfn.XLOOKUP(_xlpm.ai_test,BP16:BP63,ROW(BP16:BP63),0,1),IFERROR(_xlfn.XLOOKUP(_xlpm.ai_test,BQ16:BQ63,ROW(BQ16:BQ63),0,1),_xlfn.XLOOKUP(_xlpm.ai_test,BR16:BR63,ROW(BR16:BR63),0,1))),_xlpm.p,_xlpm.r-MIN(ROW(BP16:BP63))+1,_xlpm.f,INDEX(BS16:BS63,_xlpm.p),_xlpm.u,INDEX(BT16:BT63,_xlpm.p),_xlpm.s,INDEX(BV16:BV63,_xlpm.p),_xlpm.q,N(BA214)/_xlpm.f,IF(_xlpm.q&gt;=_xlpm.s,ROUND(_xlpm.q,1)&amp;" "&amp;_xlpm.ai_test&amp;" = "&amp;ROUND(_xlpm.q*_xlpm.f,1)&amp;" "&amp;_xlpm.u,ROUND(_xlpm.q,1)&amp;" "&amp;_xlpm.ai_test)),""),""))))</f>
        <v>0</v>
      </c>
      <c r="BD214" s="801"/>
      <c r="BE214" s="799" t="str">
        <f t="shared" si="100"/>
        <v/>
      </c>
      <c r="BF214" s="800" t="str">
        <f t="shared" si="103"/>
        <v/>
      </c>
      <c r="BG214" s="802">
        <f t="shared" si="104"/>
        <v>0</v>
      </c>
      <c r="BH214" s="803" t="str">
        <f t="shared" si="105"/>
        <v/>
      </c>
      <c r="BI214" s="792"/>
      <c r="BJ214" s="804">
        <f t="shared" si="106"/>
        <v>0</v>
      </c>
      <c r="BK214" s="794" t="str">
        <f t="shared" si="101"/>
        <v/>
      </c>
      <c r="BL214" s="227" t="s">
        <v>21</v>
      </c>
      <c r="BM214" s="773">
        <f t="shared" si="91"/>
        <v>0</v>
      </c>
      <c r="BN214" s="774">
        <f t="shared" si="92"/>
        <v>0</v>
      </c>
      <c r="BO214"/>
      <c r="BX214"/>
      <c r="BY214"/>
      <c r="BZ214"/>
      <c r="CA214"/>
      <c r="CB214"/>
      <c r="CC214"/>
      <c r="CD214" s="781" t="str">
        <f t="shared" si="113"/>
        <v>►</v>
      </c>
      <c r="CE214"/>
      <c r="CF214"/>
      <c r="CG214"/>
      <c r="CH214"/>
      <c r="CI214"/>
      <c r="CJ214" s="633"/>
      <c r="CK214"/>
      <c r="CL214"/>
      <c r="CM214"/>
      <c r="CN214"/>
      <c r="CO214"/>
      <c r="CP214"/>
      <c r="CQ214"/>
      <c r="CS214"/>
      <c r="CT214"/>
      <c r="CU214"/>
      <c r="CV214"/>
      <c r="CW214"/>
      <c r="CX214"/>
      <c r="CY214"/>
      <c r="DA214"/>
      <c r="DB214"/>
      <c r="DC214"/>
      <c r="DD214"/>
      <c r="DE214"/>
      <c r="DF214"/>
      <c r="DG214"/>
      <c r="DI214" s="3">
        <v>1</v>
      </c>
    </row>
    <row r="215" spans="1:113" s="627" customFormat="1" ht="21" customHeight="1">
      <c r="A215" s="701" t="s">
        <v>21</v>
      </c>
      <c r="B215" s="2265" t="str" cm="1">
        <f t="array" ref="B215">SUMPRODUCT(--(D215:J215&lt;&gt;""), LEN(TRIM(SUBSTITUTE(D215:J215, CHAR(160), "")))) &amp; " Car."</f>
        <v>0 Car.</v>
      </c>
      <c r="C215" s="1376" t="str">
        <f>IF(ISBLANK(D215),"",LARGE(C13:C214,1)+1)</f>
        <v/>
      </c>
      <c r="D215" s="1833"/>
      <c r="E215" s="1810"/>
      <c r="F215" s="1810"/>
      <c r="G215" s="1810"/>
      <c r="H215" s="1810"/>
      <c r="I215" s="1810"/>
      <c r="J215" s="1810"/>
      <c r="K215" s="1810"/>
      <c r="L215" s="1811"/>
      <c r="M215" s="9"/>
      <c r="N215" s="25" t="str">
        <f t="shared" si="114"/>
        <v>A</v>
      </c>
      <c r="O215" s="1616"/>
      <c r="P215" s="9"/>
      <c r="Q215" s="25" t="s">
        <v>10</v>
      </c>
      <c r="R215" s="61" t="str">
        <f>V215</f>
        <v>M MILLE-FEUILLE meringue et chiboust pamplemousse aux fraises des bois | collez la--FAMILLE| Auteur &gt; recette Béghin Say de Jean-Jacques Borne MOF 1994</v>
      </c>
      <c r="S215" s="62">
        <f>V213</f>
        <v>18</v>
      </c>
      <c r="T215" s="61" t="str">
        <f>W213</f>
        <v>desserts</v>
      </c>
      <c r="U215" s="63" t="str">
        <f>AB215&amp;" "&amp;AC215</f>
        <v>Recette mère ► MILLE-FEUILLE  aux fraises des bois</v>
      </c>
      <c r="V215" s="64" t="str">
        <f>UPPER(LEFT(Y209,1))&amp;" "&amp;Y209&amp;" | "&amp;AH209&amp;"| "&amp;Y211&amp;" "&amp;Z211</f>
        <v>M MILLE-FEUILLE meringue et chiboust pamplemousse aux fraises des bois | collez la--FAMILLE| Auteur &gt; recette Béghin Say de Jean-Jacques Borne MOF 1994</v>
      </c>
      <c r="W215" s="65" t="s">
        <v>53</v>
      </c>
      <c r="X215" s="6735" t="s">
        <v>54</v>
      </c>
      <c r="Y215" s="6735"/>
      <c r="Z215" s="6735"/>
      <c r="AA215" s="66"/>
      <c r="AB215" s="66" t="str">
        <f>IF(ISTEXT(AC215),"Recette mère ►",W215)</f>
        <v>Recette mère ►</v>
      </c>
      <c r="AC215" s="67" t="s">
        <v>3081</v>
      </c>
      <c r="AD215" s="67"/>
      <c r="AE215" s="67"/>
      <c r="AF215" s="883"/>
      <c r="AG215" s="68"/>
      <c r="AH215" s="68"/>
      <c r="AI215" s="68"/>
      <c r="AJ215"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K215" s="6120" t="str">
        <f t="shared" si="102"/>
        <v>►</v>
      </c>
      <c r="AL215" s="781" t="str">
        <f t="shared" ref="AL215:AL278" si="116">IF(OR(AU215&gt;0,TRIM(AM215)="▼ recette suivante"),"A","►")</f>
        <v>►</v>
      </c>
      <c r="AM215" s="5499" t="str">
        <f t="shared" si="93"/>
        <v/>
      </c>
      <c r="AN215" s="783" t="str">
        <f t="shared" si="94"/>
        <v/>
      </c>
      <c r="AO215" s="782" t="str">
        <f t="shared" si="95"/>
        <v/>
      </c>
      <c r="AP215" s="783" t="str">
        <f t="shared" si="96"/>
        <v/>
      </c>
      <c r="AQ215" s="2083" t="b">
        <f>AND(Q215="A",COUNTIF(BP16:BR63,TRIM(Z215))&gt;0)</f>
        <v>0</v>
      </c>
      <c r="AR215" s="797" t="str">
        <f>IF(AL215&lt;&gt;"A","",IFERROR(IFERROR(_xlfn.XLOOKUP(TRIM(SUBSTITUTE(Z215,CHAR(160)," ")),BP16:BP63,BS16:BS63),IFERROR(_xlfn.XLOOKUP(TRIM(SUBSTITUTE(Z215,CHAR(160)," ")),BQ16:BQ63,BS16:BS63),_xlfn.XLOOKUP(TRIM(SUBSTITUTE(Z215,CHAR(160)," ")),BR16:BR63,BS16:BS63)))*Y215*IF(ISBLANK(V215),1,V215),0))</f>
        <v/>
      </c>
      <c r="AS215" s="784" t="str">
        <f t="shared" si="112"/>
        <v/>
      </c>
      <c r="AT215" s="1315" t="str">
        <f t="shared" si="97"/>
        <v/>
      </c>
      <c r="AU215" s="785">
        <f t="shared" si="98"/>
        <v>0</v>
      </c>
      <c r="AV215" s="785">
        <f t="shared" si="99"/>
        <v>0</v>
      </c>
      <c r="AW215" s="786">
        <f>IF(AK215="A",AY10,0)</f>
        <v>0</v>
      </c>
      <c r="AX215" s="5495" t="str">
        <f>IF(IFERROR(SEARCH("Adresse PC",TRIM(W215)),0)&gt;0,"▼ receta siguiente",IF(AK215="A",IF(AZ10&lt;&gt;"",AZ10&amp;" - ou.or.o ❾ + or - &gt;",""),""))</f>
        <v/>
      </c>
      <c r="AY215" s="810"/>
      <c r="AZ215" s="810"/>
      <c r="BA215" s="788" t="str">
        <f t="shared" si="115"/>
        <v/>
      </c>
      <c r="BB215" s="789" t="str">
        <f>IF(AK215="A",IF(AQ215,IF(AND(AW215&lt;&gt;"",N(AW215)&gt;0),IFERROR(IFERROR(_xlfn.XLOOKUP(AP215,BP10:BP57,BT10:BT57),IFERROR(_xlfn.XLOOKUP(AP215,BQ10:BQ57,BT10:BT57),_xlfn.XLOOKUP(AP215,BR10:BR57,BT10:BT57,""))),""),""),""),"")</f>
        <v/>
      </c>
      <c r="BC215" s="811" cm="1">
        <f t="array" ref="BC215">IF(NOT(AQ215),0,IF(OR(BA215="",N(BA215)&lt;=0.000000001),"",IF(OR(AU215="",N(AU215)&lt;=0.000000001),0,IF(ISNUMBER(BA215),IFERROR(_xlfn.LET(_xlpm.ai_test,TRIM(AP215),_xlpm.r,IFERROR(_xlfn.XLOOKUP(_xlpm.ai_test,BP16:BP63,ROW(BP16:BP63),0,1),IFERROR(_xlfn.XLOOKUP(_xlpm.ai_test,BQ16:BQ63,ROW(BQ16:BQ63),0,1),_xlfn.XLOOKUP(_xlpm.ai_test,BR16:BR63,ROW(BR16:BR63),0,1))),_xlpm.p,_xlpm.r-MIN(ROW(BP16:BP63))+1,_xlpm.f,INDEX(BS16:BS63,_xlpm.p),_xlpm.u,INDEX(BT16:BT63,_xlpm.p),_xlpm.s,INDEX(BV16:BV63,_xlpm.p),_xlpm.q,N(BA215)/_xlpm.f,IF(_xlpm.q&gt;=_xlpm.s,ROUND(_xlpm.q,1)&amp;" "&amp;_xlpm.ai_test&amp;" = "&amp;ROUND(_xlpm.q*_xlpm.f,1)&amp;" "&amp;_xlpm.u,ROUND(_xlpm.q,1)&amp;" "&amp;_xlpm.ai_test)),""),""))))</f>
        <v>0</v>
      </c>
      <c r="BD215" s="801"/>
      <c r="BE215" s="788" t="str">
        <f t="shared" si="100"/>
        <v/>
      </c>
      <c r="BF215" s="789" t="str">
        <f t="shared" si="103"/>
        <v/>
      </c>
      <c r="BG215" s="790">
        <f t="shared" si="104"/>
        <v>0</v>
      </c>
      <c r="BH215" s="791" t="str">
        <f t="shared" si="105"/>
        <v/>
      </c>
      <c r="BI215" s="792"/>
      <c r="BJ215" s="793">
        <f t="shared" si="106"/>
        <v>0</v>
      </c>
      <c r="BK215" s="794" t="str">
        <f t="shared" si="101"/>
        <v/>
      </c>
      <c r="BL215" s="227" t="s">
        <v>21</v>
      </c>
      <c r="BM215" s="773">
        <f t="shared" ref="BM215:BM278" si="117">IFERROR(_xlfn.LET(_xlpm.EPS,0.000000001,_xlpm.b,V215/AU215,IF(ISNUMBER(AY215),_xlpm.b*AY215,IF(OR(ISBLANK(AY215),AY215=""),_xlpm.b*AW215,IF(AND(BN215=0,ISNUMBER(V215)),_xlpm.b/AW215,0)))),0)</f>
        <v>0</v>
      </c>
      <c r="BN215" s="774">
        <f t="shared" ref="BN215:BN278" si="118">IF(AR215&gt;0,IFERROR(IF(OR(ISBLANK(AY215),AY215=""),AW215,AY215)/AU215,0),0)</f>
        <v>0</v>
      </c>
      <c r="BO215"/>
      <c r="BX215"/>
      <c r="BY215"/>
      <c r="BZ215"/>
      <c r="CA215"/>
      <c r="CB215"/>
      <c r="CC215"/>
      <c r="CD215" s="781" t="str">
        <f t="shared" si="113"/>
        <v>►</v>
      </c>
      <c r="CE215"/>
      <c r="CF215"/>
      <c r="CG215"/>
      <c r="CH215"/>
      <c r="CI215"/>
      <c r="CJ215" s="633"/>
      <c r="CK215"/>
      <c r="CL215"/>
      <c r="CM215"/>
      <c r="CN215"/>
      <c r="CO215"/>
      <c r="CP215"/>
      <c r="CQ215"/>
      <c r="CS215"/>
      <c r="CT215"/>
      <c r="CU215"/>
      <c r="CV215"/>
      <c r="CW215"/>
      <c r="CX215"/>
      <c r="CY215"/>
      <c r="DA215"/>
      <c r="DB215"/>
      <c r="DC215"/>
      <c r="DD215"/>
      <c r="DE215"/>
      <c r="DF215"/>
      <c r="DG215"/>
      <c r="DI215" s="3">
        <v>1</v>
      </c>
    </row>
    <row r="216" spans="1:113" s="627" customFormat="1" ht="21" customHeight="1">
      <c r="A216" s="701" t="s">
        <v>21</v>
      </c>
      <c r="B216" s="2265" t="str" cm="1">
        <f t="array" ref="B216">SUMPRODUCT(--(D216:J216&lt;&gt;""), LEN(TRIM(SUBSTITUTE(D216:J216, CHAR(160), "")))) &amp; " Car."</f>
        <v>0 Car.</v>
      </c>
      <c r="C216" s="1376" t="str">
        <f>IF(ISBLANK(D216),"",LARGE(C13:C215,1)+1)</f>
        <v/>
      </c>
      <c r="D216" s="1833"/>
      <c r="E216" s="1810"/>
      <c r="F216" s="1810"/>
      <c r="G216" s="1810"/>
      <c r="H216" s="1810"/>
      <c r="I216" s="1810"/>
      <c r="J216" s="1810"/>
      <c r="K216" s="1810"/>
      <c r="L216" s="1811"/>
      <c r="M216" s="9"/>
      <c r="N216" s="25" t="str">
        <f t="shared" si="114"/>
        <v>A</v>
      </c>
      <c r="O216" s="1616"/>
      <c r="P216" s="9"/>
      <c r="Q216" s="25" t="s">
        <v>10</v>
      </c>
      <c r="R216" s="70" t="str">
        <f>R215</f>
        <v>M MILLE-FEUILLE meringue et chiboust pamplemousse aux fraises des bois | collez la--FAMILLE| Auteur &gt; recette Béghin Say de Jean-Jacques Borne MOF 1994</v>
      </c>
      <c r="S216" s="70">
        <f>S215</f>
        <v>18</v>
      </c>
      <c r="T216" s="70" t="str">
        <f>T215</f>
        <v>desserts</v>
      </c>
      <c r="U216" s="71" t="str">
        <f>U215</f>
        <v>Recette mère ► MILLE-FEUILLE  aux fraises des bois</v>
      </c>
      <c r="V216" s="12" t="s">
        <v>65</v>
      </c>
      <c r="W216" s="12" t="s">
        <v>66</v>
      </c>
      <c r="X216" s="12" t="s">
        <v>67</v>
      </c>
      <c r="Y216" s="12" t="s">
        <v>68</v>
      </c>
      <c r="Z216" s="72" t="s">
        <v>69</v>
      </c>
      <c r="AA216" s="73" t="s">
        <v>70</v>
      </c>
      <c r="AB216" s="12" t="s">
        <v>71</v>
      </c>
      <c r="AC216" s="12" t="s">
        <v>72</v>
      </c>
      <c r="AD216" s="12" t="s">
        <v>73</v>
      </c>
      <c r="AE216" s="12" t="s">
        <v>74</v>
      </c>
      <c r="AF216" s="12" t="s">
        <v>75</v>
      </c>
      <c r="AG216" s="12" t="s">
        <v>76</v>
      </c>
      <c r="AH216" s="12" t="s">
        <v>77</v>
      </c>
      <c r="AI216" s="12" t="s">
        <v>8143</v>
      </c>
      <c r="AJ216" s="74" t="s">
        <v>8407</v>
      </c>
      <c r="AK216" s="6120" t="str">
        <f t="shared" si="102"/>
        <v>►</v>
      </c>
      <c r="AL216" s="781" t="str">
        <f t="shared" si="116"/>
        <v>►</v>
      </c>
      <c r="AM216" s="5498" t="str">
        <f t="shared" ref="AM216:AM279" si="119">IF(IFERROR(SEARCH("Adresse PC",TRIM(SUBSTITUTE(W216,CHAR(160)," "))),0)&gt;0,"▼ recette suivante",IF(AK216="A",R216,""))</f>
        <v/>
      </c>
      <c r="AN216" s="783" t="str">
        <f t="shared" ref="AN216:AN279" si="120">IF(AK216="A",S216,"")</f>
        <v/>
      </c>
      <c r="AO216" s="782" t="str">
        <f t="shared" ref="AO216:AO279" si="121">IF(AK216="A",T216,"")</f>
        <v/>
      </c>
      <c r="AP216" s="783" t="str">
        <f t="shared" ref="AP216:AP279" si="122">IF(AK216="A",Z216,"")</f>
        <v/>
      </c>
      <c r="AQ216" s="2083" t="b">
        <f>AND(Q216="A",COUNTIF(BP16:BR63,TRIM(Z216))&gt;0)</f>
        <v>0</v>
      </c>
      <c r="AR216" s="797" t="str">
        <f>IF(AL216&lt;&gt;"A","",IFERROR(IFERROR(_xlfn.XLOOKUP(TRIM(SUBSTITUTE(Z216,CHAR(160)," ")),BP16:BP63,BS16:BS63),IFERROR(_xlfn.XLOOKUP(TRIM(SUBSTITUTE(Z216,CHAR(160)," ")),BQ16:BQ63,BS16:BS63),_xlfn.XLOOKUP(TRIM(SUBSTITUTE(Z216,CHAR(160)," ")),BR16:BR63,BS16:BS63)))*Y216*IF(ISBLANK(V216),1,V216),0))</f>
        <v/>
      </c>
      <c r="AS216" s="784" t="str">
        <f t="shared" si="112"/>
        <v/>
      </c>
      <c r="AT216" s="1315" t="str">
        <f t="shared" ref="AT216:AT279" si="123">IF(AK216="A","❾ Author reference &gt;","")</f>
        <v/>
      </c>
      <c r="AU216" s="785">
        <f t="shared" ref="AU216:AU279" si="124">IF(AK216="A",S216,0)</f>
        <v>0</v>
      </c>
      <c r="AV216" s="785">
        <f t="shared" ref="AV216:AV279" si="125">IF(AK216="A",T216,0)</f>
        <v>0</v>
      </c>
      <c r="AW216" s="798">
        <f>IF(AK216="A",AY10,0)</f>
        <v>0</v>
      </c>
      <c r="AX216" s="5496" t="str">
        <f>IF(IFERROR(SEARCH("Adresse PC",TRIM(W216)),0)&gt;0,"▼ receta siguiente",IF(AK216="A",IF(AZ10&lt;&gt;"",AZ10&amp;" - ou.or.o ❾ + or - &gt;",""),""))</f>
        <v/>
      </c>
      <c r="AY216" s="810"/>
      <c r="AZ216" s="810"/>
      <c r="BA216" s="799" t="str">
        <f t="shared" si="115"/>
        <v/>
      </c>
      <c r="BB216" s="800" t="str">
        <f>IF(AK216="A",IF(AQ216,IF(AND(AW216&lt;&gt;"",N(AW216)&gt;0),IFERROR(IFERROR(_xlfn.XLOOKUP(AP216,BP10:BP57,BT10:BT57),IFERROR(_xlfn.XLOOKUP(AP216,BQ10:BQ57,BT10:BT57),_xlfn.XLOOKUP(AP216,BR10:BR57,BT10:BT57,""))),""),""),""),"")</f>
        <v/>
      </c>
      <c r="BC216" s="813" cm="1">
        <f t="array" ref="BC216">IF(NOT(AQ216),0,IF(OR(BA216="",N(BA216)&lt;=0.000000001),"",IF(OR(AU216="",N(AU216)&lt;=0.000000001),0,IF(ISNUMBER(BA216),IFERROR(_xlfn.LET(_xlpm.ai_test,TRIM(AP216),_xlpm.r,IFERROR(_xlfn.XLOOKUP(_xlpm.ai_test,BP16:BP63,ROW(BP16:BP63),0,1),IFERROR(_xlfn.XLOOKUP(_xlpm.ai_test,BQ16:BQ63,ROW(BQ16:BQ63),0,1),_xlfn.XLOOKUP(_xlpm.ai_test,BR16:BR63,ROW(BR16:BR63),0,1))),_xlpm.p,_xlpm.r-MIN(ROW(BP16:BP63))+1,_xlpm.f,INDEX(BS16:BS63,_xlpm.p),_xlpm.u,INDEX(BT16:BT63,_xlpm.p),_xlpm.s,INDEX(BV16:BV63,_xlpm.p),_xlpm.q,N(BA216)/_xlpm.f,IF(_xlpm.q&gt;=_xlpm.s,ROUND(_xlpm.q,1)&amp;" "&amp;_xlpm.ai_test&amp;" = "&amp;ROUND(_xlpm.q*_xlpm.f,1)&amp;" "&amp;_xlpm.u,ROUND(_xlpm.q,1)&amp;" "&amp;_xlpm.ai_test)),""),""))))</f>
        <v>0</v>
      </c>
      <c r="BD216" s="801"/>
      <c r="BE216" s="799" t="str">
        <f t="shared" ref="BE216:BE279" si="126">IF(IFERROR(SEARCH("Adresse PC",TRIM(W216)),0)&gt;0,"▼next ricipe ",IF(BA216="","",IF(AK216="A",IF(ISBLANK(BD216),BA216,ROUND(BA216*(1-MIN(1,MAX(0,IF(BD216&gt;1,BD216/100,BD216)))),3)))))</f>
        <v/>
      </c>
      <c r="BF216" s="800" t="str">
        <f t="shared" si="103"/>
        <v/>
      </c>
      <c r="BG216" s="802">
        <f t="shared" si="104"/>
        <v>0</v>
      </c>
      <c r="BH216" s="803" t="str">
        <f t="shared" si="105"/>
        <v/>
      </c>
      <c r="BI216" s="792"/>
      <c r="BJ216" s="804">
        <f t="shared" si="106"/>
        <v>0</v>
      </c>
      <c r="BK216" s="794" t="str">
        <f t="shared" ref="BK216:BK279" si="127">IF(AK216="A",IF(IFERROR(SEARCH("Adresse PC",TRIM(W216)),0)&gt;0,"▼recette suivante ",IF(BE216&gt;0,AC216,"")),"")</f>
        <v/>
      </c>
      <c r="BL216" s="227" t="s">
        <v>21</v>
      </c>
      <c r="BM216" s="773">
        <f t="shared" si="117"/>
        <v>0</v>
      </c>
      <c r="BN216" s="774">
        <f t="shared" si="118"/>
        <v>0</v>
      </c>
      <c r="BO216"/>
      <c r="BX216"/>
      <c r="BY216"/>
      <c r="BZ216"/>
      <c r="CA216"/>
      <c r="CB216"/>
      <c r="CC216"/>
      <c r="CD216" s="781" t="str">
        <f t="shared" si="113"/>
        <v>►</v>
      </c>
      <c r="CE216"/>
      <c r="CF216"/>
      <c r="CG216"/>
      <c r="CH216"/>
      <c r="CI216"/>
      <c r="CJ216" s="633"/>
      <c r="CK216"/>
      <c r="CL216"/>
      <c r="CM216"/>
      <c r="CN216"/>
      <c r="CO216"/>
      <c r="CP216"/>
      <c r="CQ216"/>
      <c r="CS216"/>
      <c r="CT216"/>
      <c r="CU216"/>
      <c r="CV216"/>
      <c r="CW216"/>
      <c r="CX216"/>
      <c r="CY216"/>
      <c r="DA216"/>
      <c r="DB216"/>
      <c r="DC216"/>
      <c r="DD216"/>
      <c r="DE216"/>
      <c r="DF216"/>
      <c r="DG216"/>
      <c r="DI216" s="3">
        <v>1</v>
      </c>
    </row>
    <row r="217" spans="1:113" s="627" customFormat="1" ht="21" customHeight="1">
      <c r="A217" s="701" t="s">
        <v>21</v>
      </c>
      <c r="B217" s="2265" t="str" cm="1">
        <f t="array" ref="B217">SUMPRODUCT(--(D217:J217&lt;&gt;""), LEN(TRIM(SUBSTITUTE(D217:J217, CHAR(160), "")))) &amp; " Car."</f>
        <v>0 Car.</v>
      </c>
      <c r="C217" s="1376" t="str">
        <f>IF(ISBLANK(D217),"",LARGE(C13:C216,1)+1)</f>
        <v/>
      </c>
      <c r="D217" s="1833"/>
      <c r="E217" s="1810"/>
      <c r="F217" s="1810"/>
      <c r="G217" s="1810"/>
      <c r="H217" s="1810"/>
      <c r="I217" s="1810"/>
      <c r="J217" s="1810"/>
      <c r="K217" s="1810"/>
      <c r="L217" s="1811"/>
      <c r="M217" s="9"/>
      <c r="N217" s="25" t="str">
        <f t="shared" si="114"/>
        <v>A</v>
      </c>
      <c r="O217" s="1616"/>
      <c r="P217" s="9"/>
      <c r="Q217" s="25" t="s">
        <v>10</v>
      </c>
      <c r="R217" s="31" t="str">
        <f>R215</f>
        <v>M MILLE-FEUILLE meringue et chiboust pamplemousse aux fraises des bois | collez la--FAMILLE| Auteur &gt; recette Béghin Say de Jean-Jacques Borne MOF 1994</v>
      </c>
      <c r="S217" s="32">
        <f>S215</f>
        <v>18</v>
      </c>
      <c r="T217" s="31" t="str">
        <f>T215</f>
        <v>desserts</v>
      </c>
      <c r="U217" s="33" t="str">
        <f>U215</f>
        <v>Recette mère ► MILLE-FEUILLE  aux fraises des bois</v>
      </c>
      <c r="V217" s="76" t="s">
        <v>78</v>
      </c>
      <c r="W217" s="77" t="s">
        <v>79</v>
      </c>
      <c r="X217" s="78"/>
      <c r="Y217" s="6612" t="s">
        <v>80</v>
      </c>
      <c r="Z217" s="6730" t="s">
        <v>81</v>
      </c>
      <c r="AA217" s="6732" t="s">
        <v>82</v>
      </c>
      <c r="AB217" s="6738" t="s">
        <v>8575</v>
      </c>
      <c r="AC217" s="79" t="s">
        <v>83</v>
      </c>
      <c r="AD217" s="80" t="s">
        <v>49</v>
      </c>
      <c r="AE217" s="81" t="s">
        <v>84</v>
      </c>
      <c r="AF217" s="6607" t="s">
        <v>85</v>
      </c>
      <c r="AG217" s="6582" t="s">
        <v>84</v>
      </c>
      <c r="AH217" s="6727" t="s">
        <v>8405</v>
      </c>
      <c r="AI217" s="6584" t="s">
        <v>86</v>
      </c>
      <c r="AJ217" s="6728" t="s">
        <v>87</v>
      </c>
      <c r="AK217" s="6120" t="str">
        <f t="shared" ref="AK217:AK280" si="128">IF(AND(IFERROR(SEARCH("►",AB217),0)&gt;0,ISNUMBER(IFERROR(VALUE(TRIM(SUBSTITUTE(AB217,"►",""))),NA())),AC217&lt;&gt;""),"A","►")</f>
        <v>►</v>
      </c>
      <c r="AL217" s="781" t="str">
        <f t="shared" si="116"/>
        <v>►</v>
      </c>
      <c r="AM217" s="5499" t="str">
        <f t="shared" si="119"/>
        <v/>
      </c>
      <c r="AN217" s="783" t="str">
        <f t="shared" si="120"/>
        <v/>
      </c>
      <c r="AO217" s="782" t="str">
        <f t="shared" si="121"/>
        <v/>
      </c>
      <c r="AP217" s="783" t="str">
        <f t="shared" si="122"/>
        <v/>
      </c>
      <c r="AQ217" s="2083" t="b">
        <f>AND(Q217="A",COUNTIF(BP16:BR63,TRIM(Z217))&gt;0)</f>
        <v>0</v>
      </c>
      <c r="AR217" s="797" t="str">
        <f>IF(AL217&lt;&gt;"A","",IFERROR(IFERROR(_xlfn.XLOOKUP(TRIM(SUBSTITUTE(Z217,CHAR(160)," ")),BP16:BP63,BS16:BS63),IFERROR(_xlfn.XLOOKUP(TRIM(SUBSTITUTE(Z217,CHAR(160)," ")),BQ16:BQ63,BS16:BS63),_xlfn.XLOOKUP(TRIM(SUBSTITUTE(Z217,CHAR(160)," ")),BR16:BR63,BS16:BS63)))*Y217*IF(ISBLANK(V217),1,V217),0))</f>
        <v/>
      </c>
      <c r="AS217" s="784" t="str">
        <f t="shared" si="112"/>
        <v/>
      </c>
      <c r="AT217" s="1315" t="str">
        <f t="shared" si="123"/>
        <v/>
      </c>
      <c r="AU217" s="785">
        <f t="shared" si="124"/>
        <v>0</v>
      </c>
      <c r="AV217" s="785">
        <f t="shared" si="125"/>
        <v>0</v>
      </c>
      <c r="AW217" s="786">
        <f>IF(AK217="A",AY10,0)</f>
        <v>0</v>
      </c>
      <c r="AX217" s="5495" t="str">
        <f>IF(IFERROR(SEARCH("Adresse PC",TRIM(W217)),0)&gt;0,"▼ receta siguiente",IF(AK217="A",IF(AZ10&lt;&gt;"",AZ10&amp;" - ou.or.o ❾ + or - &gt;",""),""))</f>
        <v/>
      </c>
      <c r="AY217" s="810"/>
      <c r="AZ217" s="810"/>
      <c r="BA217" s="788" t="str">
        <f t="shared" si="115"/>
        <v/>
      </c>
      <c r="BB217" s="789" t="str">
        <f>IF(AK217="A",IF(AQ217,IF(AND(AW217&lt;&gt;"",N(AW217)&gt;0),IFERROR(IFERROR(_xlfn.XLOOKUP(AP217,BP10:BP57,BT10:BT57),IFERROR(_xlfn.XLOOKUP(AP217,BQ10:BQ57,BT10:BT57),_xlfn.XLOOKUP(AP217,BR10:BR57,BT10:BT57,""))),""),""),""),"")</f>
        <v/>
      </c>
      <c r="BC217" s="811" cm="1">
        <f t="array" ref="BC217">IF(NOT(AQ217),0,IF(OR(BA217="",N(BA217)&lt;=0.000000001),"",IF(OR(AU217="",N(AU217)&lt;=0.000000001),0,IF(ISNUMBER(BA217),IFERROR(_xlfn.LET(_xlpm.ai_test,TRIM(AP217),_xlpm.r,IFERROR(_xlfn.XLOOKUP(_xlpm.ai_test,BP16:BP63,ROW(BP16:BP63),0,1),IFERROR(_xlfn.XLOOKUP(_xlpm.ai_test,BQ16:BQ63,ROW(BQ16:BQ63),0,1),_xlfn.XLOOKUP(_xlpm.ai_test,BR16:BR63,ROW(BR16:BR63),0,1))),_xlpm.p,_xlpm.r-MIN(ROW(BP16:BP63))+1,_xlpm.f,INDEX(BS16:BS63,_xlpm.p),_xlpm.u,INDEX(BT16:BT63,_xlpm.p),_xlpm.s,INDEX(BV16:BV63,_xlpm.p),_xlpm.q,N(BA217)/_xlpm.f,IF(_xlpm.q&gt;=_xlpm.s,ROUND(_xlpm.q,1)&amp;" "&amp;_xlpm.ai_test&amp;" = "&amp;ROUND(_xlpm.q*_xlpm.f,1)&amp;" "&amp;_xlpm.u,ROUND(_xlpm.q,1)&amp;" "&amp;_xlpm.ai_test)),""),""))))</f>
        <v>0</v>
      </c>
      <c r="BD217" s="801"/>
      <c r="BE217" s="788" t="str">
        <f t="shared" si="126"/>
        <v/>
      </c>
      <c r="BF217" s="789" t="str">
        <f t="shared" si="103"/>
        <v/>
      </c>
      <c r="BG217" s="790">
        <f t="shared" si="104"/>
        <v>0</v>
      </c>
      <c r="BH217" s="791" t="str">
        <f t="shared" si="105"/>
        <v/>
      </c>
      <c r="BI217" s="792"/>
      <c r="BJ217" s="793">
        <f t="shared" si="106"/>
        <v>0</v>
      </c>
      <c r="BK217" s="794" t="str">
        <f t="shared" si="127"/>
        <v/>
      </c>
      <c r="BL217" s="227" t="s">
        <v>21</v>
      </c>
      <c r="BM217" s="773">
        <f t="shared" si="117"/>
        <v>0</v>
      </c>
      <c r="BN217" s="774">
        <f t="shared" si="118"/>
        <v>0</v>
      </c>
      <c r="BO217"/>
      <c r="BX217"/>
      <c r="BY217"/>
      <c r="BZ217"/>
      <c r="CA217"/>
      <c r="CB217"/>
      <c r="CC217"/>
      <c r="CD217" s="781" t="str">
        <f t="shared" si="113"/>
        <v>►</v>
      </c>
      <c r="CE217"/>
      <c r="CF217"/>
      <c r="CG217"/>
      <c r="CH217"/>
      <c r="CI217"/>
      <c r="CJ217" s="633"/>
      <c r="CK217"/>
      <c r="CL217"/>
      <c r="CM217"/>
      <c r="CN217"/>
      <c r="CO217"/>
      <c r="CP217"/>
      <c r="CQ217"/>
      <c r="CS217"/>
      <c r="CT217"/>
      <c r="CU217"/>
      <c r="CV217"/>
      <c r="CW217"/>
      <c r="CX217"/>
      <c r="CY217"/>
      <c r="DA217"/>
      <c r="DB217"/>
      <c r="DC217"/>
      <c r="DD217"/>
      <c r="DE217"/>
      <c r="DF217"/>
      <c r="DG217"/>
      <c r="DI217" s="3">
        <v>1</v>
      </c>
    </row>
    <row r="218" spans="1:113" s="627" customFormat="1" ht="21" customHeight="1">
      <c r="A218" s="701" t="s">
        <v>21</v>
      </c>
      <c r="B218" s="2265" t="str" cm="1">
        <f t="array" ref="B218">SUMPRODUCT(--(D218:J218&lt;&gt;""), LEN(TRIM(SUBSTITUTE(D218:J218, CHAR(160), "")))) &amp; " Car."</f>
        <v>0 Car.</v>
      </c>
      <c r="C218" s="1376" t="str">
        <f>IF(ISBLANK(D218),"",LARGE(C13:C217,1)+1)</f>
        <v/>
      </c>
      <c r="D218" s="1833"/>
      <c r="E218" s="1810"/>
      <c r="F218" s="1810"/>
      <c r="G218" s="1810"/>
      <c r="H218" s="1810"/>
      <c r="I218" s="1810"/>
      <c r="J218" s="1810"/>
      <c r="K218" s="1810"/>
      <c r="L218" s="1811"/>
      <c r="M218" s="9"/>
      <c r="N218" s="25" t="str">
        <f t="shared" si="114"/>
        <v>A</v>
      </c>
      <c r="O218" s="1616"/>
      <c r="P218" s="9"/>
      <c r="Q218" s="25" t="s">
        <v>10</v>
      </c>
      <c r="R218" s="31" t="str">
        <f>R215</f>
        <v>M MILLE-FEUILLE meringue et chiboust pamplemousse aux fraises des bois | collez la--FAMILLE| Auteur &gt; recette Béghin Say de Jean-Jacques Borne MOF 1994</v>
      </c>
      <c r="S218" s="32">
        <f>S215</f>
        <v>18</v>
      </c>
      <c r="T218" s="31" t="str">
        <f>T215</f>
        <v>desserts</v>
      </c>
      <c r="U218" s="33" t="str">
        <f>U215</f>
        <v>Recette mère ► MILLE-FEUILLE  aux fraises des bois</v>
      </c>
      <c r="V218" s="83" t="s">
        <v>92</v>
      </c>
      <c r="W218" s="84" t="s">
        <v>93</v>
      </c>
      <c r="X218" s="85" t="s">
        <v>94</v>
      </c>
      <c r="Y218" s="6577"/>
      <c r="Z218" s="6471"/>
      <c r="AA218" s="6606"/>
      <c r="AB218" s="6739"/>
      <c r="AC218" s="86" t="s">
        <v>95</v>
      </c>
      <c r="AD218" s="87" t="s">
        <v>96</v>
      </c>
      <c r="AE218" s="88">
        <v>1</v>
      </c>
      <c r="AF218" s="6608"/>
      <c r="AG218" s="6583"/>
      <c r="AH218" s="6583"/>
      <c r="AI218" s="6585"/>
      <c r="AJ218" s="6786"/>
      <c r="AK218" s="6120" t="str">
        <f t="shared" si="128"/>
        <v>►</v>
      </c>
      <c r="AL218" s="781" t="str">
        <f t="shared" si="116"/>
        <v>►</v>
      </c>
      <c r="AM218" s="5498" t="str">
        <f t="shared" si="119"/>
        <v/>
      </c>
      <c r="AN218" s="783" t="str">
        <f t="shared" si="120"/>
        <v/>
      </c>
      <c r="AO218" s="782" t="str">
        <f t="shared" si="121"/>
        <v/>
      </c>
      <c r="AP218" s="783" t="str">
        <f t="shared" si="122"/>
        <v/>
      </c>
      <c r="AQ218" s="2083" t="b">
        <f>AND(Q218="A",COUNTIF(BP16:BR63,TRIM(Z218))&gt;0)</f>
        <v>0</v>
      </c>
      <c r="AR218" s="797" t="str">
        <f>IF(AL218&lt;&gt;"A","",IFERROR(IFERROR(_xlfn.XLOOKUP(TRIM(SUBSTITUTE(Z218,CHAR(160)," ")),BP16:BP63,BS16:BS63),IFERROR(_xlfn.XLOOKUP(TRIM(SUBSTITUTE(Z218,CHAR(160)," ")),BQ16:BQ63,BS16:BS63),_xlfn.XLOOKUP(TRIM(SUBSTITUTE(Z218,CHAR(160)," ")),BR16:BR63,BS16:BS63)))*Y218*IF(ISBLANK(V218),1,V218),0))</f>
        <v/>
      </c>
      <c r="AS218" s="784" t="str">
        <f t="shared" si="112"/>
        <v/>
      </c>
      <c r="AT218" s="1315" t="str">
        <f t="shared" si="123"/>
        <v/>
      </c>
      <c r="AU218" s="785">
        <f t="shared" si="124"/>
        <v>0</v>
      </c>
      <c r="AV218" s="785">
        <f t="shared" si="125"/>
        <v>0</v>
      </c>
      <c r="AW218" s="798">
        <f>IF(AK218="A",AY10,0)</f>
        <v>0</v>
      </c>
      <c r="AX218" s="5496" t="str">
        <f>IF(IFERROR(SEARCH("Adresse PC",TRIM(W218)),0)&gt;0,"▼ receta siguiente",IF(AK218="A",IF(AZ10&lt;&gt;"",AZ10&amp;" - ou.or.o ❾ + or - &gt;",""),""))</f>
        <v/>
      </c>
      <c r="AY218" s="810"/>
      <c r="AZ218" s="810"/>
      <c r="BA218" s="799" t="str">
        <f t="shared" si="115"/>
        <v/>
      </c>
      <c r="BB218" s="800" t="str">
        <f>IF(AK218="A",IF(AQ218,IF(AND(AW218&lt;&gt;"",N(AW218)&gt;0),IFERROR(IFERROR(_xlfn.XLOOKUP(AP218,BP10:BP57,BT10:BT57),IFERROR(_xlfn.XLOOKUP(AP218,BQ10:BQ57,BT10:BT57),_xlfn.XLOOKUP(AP218,BR10:BR57,BT10:BT57,""))),""),""),""),"")</f>
        <v/>
      </c>
      <c r="BC218" s="813" cm="1">
        <f t="array" ref="BC218">IF(NOT(AQ218),0,IF(OR(BA218="",N(BA218)&lt;=0.000000001),"",IF(OR(AU218="",N(AU218)&lt;=0.000000001),0,IF(ISNUMBER(BA218),IFERROR(_xlfn.LET(_xlpm.ai_test,TRIM(AP218),_xlpm.r,IFERROR(_xlfn.XLOOKUP(_xlpm.ai_test,BP16:BP63,ROW(BP16:BP63),0,1),IFERROR(_xlfn.XLOOKUP(_xlpm.ai_test,BQ16:BQ63,ROW(BQ16:BQ63),0,1),_xlfn.XLOOKUP(_xlpm.ai_test,BR16:BR63,ROW(BR16:BR63),0,1))),_xlpm.p,_xlpm.r-MIN(ROW(BP16:BP63))+1,_xlpm.f,INDEX(BS16:BS63,_xlpm.p),_xlpm.u,INDEX(BT16:BT63,_xlpm.p),_xlpm.s,INDEX(BV16:BV63,_xlpm.p),_xlpm.q,N(BA218)/_xlpm.f,IF(_xlpm.q&gt;=_xlpm.s,ROUND(_xlpm.q,1)&amp;" "&amp;_xlpm.ai_test&amp;" = "&amp;ROUND(_xlpm.q*_xlpm.f,1)&amp;" "&amp;_xlpm.u,ROUND(_xlpm.q,1)&amp;" "&amp;_xlpm.ai_test)),""),""))))</f>
        <v>0</v>
      </c>
      <c r="BD218" s="801"/>
      <c r="BE218" s="799" t="str">
        <f t="shared" si="126"/>
        <v/>
      </c>
      <c r="BF218" s="800" t="str">
        <f t="shared" si="103"/>
        <v/>
      </c>
      <c r="BG218" s="802">
        <f t="shared" si="104"/>
        <v>0</v>
      </c>
      <c r="BH218" s="803" t="str">
        <f t="shared" si="105"/>
        <v/>
      </c>
      <c r="BI218" s="792"/>
      <c r="BJ218" s="804">
        <f t="shared" si="106"/>
        <v>0</v>
      </c>
      <c r="BK218" s="794" t="str">
        <f t="shared" si="127"/>
        <v/>
      </c>
      <c r="BL218" s="227" t="s">
        <v>21</v>
      </c>
      <c r="BM218" s="773">
        <f t="shared" si="117"/>
        <v>0</v>
      </c>
      <c r="BN218" s="774">
        <f t="shared" si="118"/>
        <v>0</v>
      </c>
      <c r="BO218"/>
      <c r="BX218"/>
      <c r="BY218"/>
      <c r="BZ218"/>
      <c r="CA218"/>
      <c r="CB218"/>
      <c r="CC218"/>
      <c r="CD218" s="781" t="str">
        <f t="shared" si="113"/>
        <v>►</v>
      </c>
      <c r="CE218"/>
      <c r="CF218"/>
      <c r="CG218"/>
      <c r="CH218"/>
      <c r="CI218"/>
      <c r="CJ218" s="633"/>
      <c r="CK218"/>
      <c r="CL218"/>
      <c r="CM218"/>
      <c r="CN218"/>
      <c r="CO218"/>
      <c r="CP218"/>
      <c r="CQ218"/>
      <c r="CS218"/>
      <c r="CT218"/>
      <c r="CU218"/>
      <c r="CV218"/>
      <c r="CW218"/>
      <c r="CX218"/>
      <c r="CY218"/>
      <c r="DA218"/>
      <c r="DB218"/>
      <c r="DC218"/>
      <c r="DD218"/>
      <c r="DE218"/>
      <c r="DF218"/>
      <c r="DG218"/>
      <c r="DI218" s="3">
        <v>1</v>
      </c>
    </row>
    <row r="219" spans="1:113" s="627" customFormat="1" ht="21" customHeight="1">
      <c r="A219" s="701" t="s">
        <v>21</v>
      </c>
      <c r="B219" s="2265" t="str" cm="1">
        <f t="array" ref="B219">SUMPRODUCT(--(D219:J219&lt;&gt;""), LEN(TRIM(SUBSTITUTE(D219:J219, CHAR(160), "")))) &amp; " Car."</f>
        <v>0 Car.</v>
      </c>
      <c r="C219" s="1376" t="str">
        <f>IF(ISBLANK(D219),"",LARGE(C13:C218,1)+1)</f>
        <v/>
      </c>
      <c r="D219" s="1833"/>
      <c r="E219" s="1810"/>
      <c r="F219" s="1810"/>
      <c r="G219" s="1810"/>
      <c r="H219" s="1810"/>
      <c r="I219" s="1810"/>
      <c r="J219" s="1810"/>
      <c r="K219" s="1810"/>
      <c r="L219" s="1811"/>
      <c r="M219" s="9"/>
      <c r="N219" s="25" t="str">
        <f t="shared" si="114"/>
        <v>A</v>
      </c>
      <c r="O219" s="1616"/>
      <c r="P219" s="9"/>
      <c r="Q219" s="25" t="s">
        <v>10</v>
      </c>
      <c r="R219" s="31" t="str">
        <f>R215</f>
        <v>M MILLE-FEUILLE meringue et chiboust pamplemousse aux fraises des bois | collez la--FAMILLE| Auteur &gt; recette Béghin Say de Jean-Jacques Borne MOF 1994</v>
      </c>
      <c r="S219" s="32">
        <f>S215</f>
        <v>18</v>
      </c>
      <c r="T219" s="31" t="str">
        <f>T215</f>
        <v>desserts</v>
      </c>
      <c r="U219" s="33" t="str">
        <f>U215</f>
        <v>Recette mère ► MILLE-FEUILLE  aux fraises des bois</v>
      </c>
      <c r="V219" s="89"/>
      <c r="W219" s="90"/>
      <c r="X219" s="91" t="str">
        <f t="shared" ref="X219:X248" si="129">IF(OR(ISTEXT(V219), V219&lt;=0, Y219&lt;=0), "", "de")</f>
        <v/>
      </c>
      <c r="Y219" s="92"/>
      <c r="Z219" s="128"/>
      <c r="AA219" s="130">
        <v>1</v>
      </c>
      <c r="AB219" s="1812" t="str">
        <f>ROWS(AB219:AB219)&amp;" ►"</f>
        <v>1 ►</v>
      </c>
      <c r="AC219" s="1580" t="s">
        <v>23</v>
      </c>
      <c r="AD219" s="95">
        <f>IF(AF249=0,0,(AF219/AF249)*AE218*1000)</f>
        <v>0</v>
      </c>
      <c r="AE219" s="96">
        <f>IF(AF249=0, 0, (V219*AA219)/(AF249*AE218))</f>
        <v>0</v>
      </c>
      <c r="AF219" s="97" cm="1">
        <f t="array" ref="AF219">IFERROR(_xlfn.XLOOKUP(UPPER(TRIM(Z219)),UPPER(TRIM(V250:AJ250)),V251:AJ251,_xlfn.XLOOKUP(UPPER(TRIM(Z219)),UPPER(TRIM(V252:AJ252)),V253:AJ253,0))*Y219*IF(V219&gt;0,V219,1),0)</f>
        <v>0</v>
      </c>
      <c r="AG219" s="98">
        <f>IF(AI214&lt;&gt;0,V219*AA219*AA214,0)</f>
        <v>0</v>
      </c>
      <c r="AH219" s="1834">
        <f>W219</f>
        <v>0</v>
      </c>
      <c r="AI219" s="99">
        <f>IF(OR(ISBLANK(AI214),AI214=0),0,AF219*AA219*AA214)</f>
        <v>0</v>
      </c>
      <c r="AJ219" s="100" t="str">
        <f>IF(Z219="","",IF(COUNTIF(AC250:AJ250,SUBSTITUTE(TRIM(Z219)," (s)",""))+COUNTIF(AC252:AJ252,SUBSTITUTE(TRIM(Z219)," (s)",""))&gt;0,IF(ROUND(AI219,3)&gt;=1,ROUND(AI219,3)&amp;" L",MAX(1,ROUND(AI219*100,0))&amp;" cl"),IF(COUNTIF(V250:AA250,SUBSTITUTE(TRIM(Z219)," (s)",""))+COUNTIF(V252:AA252,SUBSTITUTE(TRIM(Z219)," (s)",""))&gt;0,IF(ROUND(AI219,3)&gt;=1,ROUND(AI219,3)&amp;" Kg",MAX(1,ROUND(AI219*1000,0))&amp;" g"),"")))</f>
        <v/>
      </c>
      <c r="AK219" s="6120" t="str">
        <f t="shared" si="128"/>
        <v>A</v>
      </c>
      <c r="AL219" s="781" t="str">
        <f t="shared" si="116"/>
        <v>A</v>
      </c>
      <c r="AM219" s="5499" t="str">
        <f t="shared" si="119"/>
        <v>M MILLE-FEUILLE meringue et chiboust pamplemousse aux fraises des bois | collez la--FAMILLE| Auteur &gt; recette Béghin Say de Jean-Jacques Borne MOF 1994</v>
      </c>
      <c r="AN219" s="783">
        <f t="shared" si="120"/>
        <v>18</v>
      </c>
      <c r="AO219" s="782" t="str">
        <f t="shared" si="121"/>
        <v>desserts</v>
      </c>
      <c r="AP219" s="783">
        <f t="shared" si="122"/>
        <v>0</v>
      </c>
      <c r="AQ219" s="2083" t="b">
        <f>AND(Q219="A",COUNTIF(BP16:BR63,TRIM(Z219))&gt;0)</f>
        <v>0</v>
      </c>
      <c r="AR219" s="797">
        <f>IF(AL219&lt;&gt;"A","",IFERROR(IFERROR(_xlfn.XLOOKUP(TRIM(SUBSTITUTE(Z219,CHAR(160)," ")),BP16:BP63,BS16:BS63),IFERROR(_xlfn.XLOOKUP(TRIM(SUBSTITUTE(Z219,CHAR(160)," ")),BQ16:BQ63,BS16:BS63),_xlfn.XLOOKUP(TRIM(SUBSTITUTE(Z219,CHAR(160)," ")),BR16:BR63,BS16:BS63)))*Y219*IF(ISBLANK(V219),1,V219),0))</f>
        <v>0</v>
      </c>
      <c r="AS219" s="784" t="str">
        <f t="shared" si="112"/>
        <v/>
      </c>
      <c r="AT219" s="1315" t="str">
        <f t="shared" si="123"/>
        <v>❾ Author reference &gt;</v>
      </c>
      <c r="AU219" s="785">
        <f t="shared" si="124"/>
        <v>18</v>
      </c>
      <c r="AV219" s="785" t="str">
        <f t="shared" si="125"/>
        <v>desserts</v>
      </c>
      <c r="AW219" s="786">
        <f>IF(AK219="A",AY10,0)</f>
        <v>20</v>
      </c>
      <c r="AX219" s="5495" t="str">
        <f>IF(IFERROR(SEARCH("Adresse PC",TRIM(W219)),0)&gt;0,"▼ receta siguiente",IF(AK219="A",IF(AZ10&lt;&gt;"",AZ10&amp;" - ou.or.o ❾ + or - &gt;",""),""))</f>
        <v>parts - ou.or.o ❾ + or - &gt;</v>
      </c>
      <c r="AY219" s="810"/>
      <c r="AZ219" s="810"/>
      <c r="BA219" s="788">
        <f t="shared" si="115"/>
        <v>0</v>
      </c>
      <c r="BB219" s="789" t="str">
        <f>IF(AK219="A",IF(AQ219,IF(AND(AW219&lt;&gt;"",N(AW219)&gt;0),IFERROR(IFERROR(_xlfn.XLOOKUP(AP219,BP10:BP57,BT10:BT57),IFERROR(_xlfn.XLOOKUP(AP219,BQ10:BQ57,BT10:BT57),_xlfn.XLOOKUP(AP219,BR10:BR57,BT10:BT57,""))),""),""),""),"")</f>
        <v/>
      </c>
      <c r="BC219" s="811" cm="1">
        <f t="array" ref="BC219">IF(NOT(AQ219),0,IF(OR(BA219="",N(BA219)&lt;=0.000000001),"",IF(OR(AU219="",N(AU219)&lt;=0.000000001),0,IF(ISNUMBER(BA219),IFERROR(_xlfn.LET(_xlpm.ai_test,TRIM(AP219),_xlpm.r,IFERROR(_xlfn.XLOOKUP(_xlpm.ai_test,BP16:BP63,ROW(BP16:BP63),0,1),IFERROR(_xlfn.XLOOKUP(_xlpm.ai_test,BQ16:BQ63,ROW(BQ16:BQ63),0,1),_xlfn.XLOOKUP(_xlpm.ai_test,BR16:BR63,ROW(BR16:BR63),0,1))),_xlpm.p,_xlpm.r-MIN(ROW(BP16:BP63))+1,_xlpm.f,INDEX(BS16:BS63,_xlpm.p),_xlpm.u,INDEX(BT16:BT63,_xlpm.p),_xlpm.s,INDEX(BV16:BV63,_xlpm.p),_xlpm.q,N(BA219)/_xlpm.f,IF(_xlpm.q&gt;=_xlpm.s,ROUND(_xlpm.q,1)&amp;" "&amp;_xlpm.ai_test&amp;" = "&amp;ROUND(_xlpm.q*_xlpm.f,1)&amp;" "&amp;_xlpm.u,ROUND(_xlpm.q,1)&amp;" "&amp;_xlpm.ai_test)),""),""))))</f>
        <v>0</v>
      </c>
      <c r="BD219" s="801"/>
      <c r="BE219" s="788">
        <f t="shared" si="126"/>
        <v>0</v>
      </c>
      <c r="BF219" s="789" t="str">
        <f t="shared" si="103"/>
        <v/>
      </c>
      <c r="BG219" s="790">
        <f t="shared" si="104"/>
        <v>0</v>
      </c>
      <c r="BH219" s="791" t="str">
        <f t="shared" si="105"/>
        <v/>
      </c>
      <c r="BI219" s="792"/>
      <c r="BJ219" s="793">
        <f t="shared" si="106"/>
        <v>0</v>
      </c>
      <c r="BK219" s="794" t="str">
        <f t="shared" si="127"/>
        <v/>
      </c>
      <c r="BL219" s="227" t="s">
        <v>21</v>
      </c>
      <c r="BM219" s="773">
        <f t="shared" si="117"/>
        <v>0</v>
      </c>
      <c r="BN219" s="774">
        <f t="shared" si="118"/>
        <v>0</v>
      </c>
      <c r="BO219"/>
      <c r="BX219"/>
      <c r="BY219"/>
      <c r="BZ219"/>
      <c r="CA219"/>
      <c r="CB219"/>
      <c r="CC219"/>
      <c r="CD219" s="781" t="str">
        <f t="shared" si="113"/>
        <v>A</v>
      </c>
      <c r="CE219"/>
      <c r="CF219"/>
      <c r="CG219"/>
      <c r="CH219"/>
      <c r="CI219"/>
      <c r="CJ219" s="633"/>
      <c r="CK219"/>
      <c r="CL219"/>
      <c r="CM219"/>
      <c r="CN219"/>
      <c r="CO219"/>
      <c r="CP219"/>
      <c r="CQ219"/>
      <c r="CS219"/>
      <c r="CT219"/>
      <c r="CU219"/>
      <c r="CV219"/>
      <c r="CW219"/>
      <c r="CX219"/>
      <c r="CY219"/>
      <c r="DA219"/>
      <c r="DB219"/>
      <c r="DC219"/>
      <c r="DD219"/>
      <c r="DE219"/>
      <c r="DF219"/>
      <c r="DG219"/>
      <c r="DI219" s="3">
        <v>1</v>
      </c>
    </row>
    <row r="220" spans="1:113" s="627" customFormat="1" ht="21" customHeight="1">
      <c r="A220" s="701" t="s">
        <v>21</v>
      </c>
      <c r="B220" s="2265" t="str" cm="1">
        <f t="array" ref="B220">SUMPRODUCT(--(D220:J220&lt;&gt;""), LEN(TRIM(SUBSTITUTE(D220:J220, CHAR(160), "")))) &amp; " Car."</f>
        <v>0 Car.</v>
      </c>
      <c r="C220" s="1376" t="str">
        <f>IF(ISBLANK(D220),"",LARGE(C13:C219,1)+1)</f>
        <v/>
      </c>
      <c r="D220" s="1833"/>
      <c r="E220" s="1810"/>
      <c r="F220" s="1810"/>
      <c r="G220" s="1810"/>
      <c r="H220" s="1810"/>
      <c r="I220" s="1810"/>
      <c r="J220" s="1810"/>
      <c r="K220" s="1810"/>
      <c r="L220" s="1811"/>
      <c r="M220" s="9"/>
      <c r="N220" s="103" t="str">
        <f t="shared" si="114"/>
        <v>A</v>
      </c>
      <c r="O220" s="1616"/>
      <c r="P220" s="9"/>
      <c r="Q220" s="103" t="str">
        <f t="shared" ref="Q220:Q247" si="130">IF(AC220&lt;&gt;"","A","►")</f>
        <v>A</v>
      </c>
      <c r="R220" s="31" t="str">
        <f>R215</f>
        <v>M MILLE-FEUILLE meringue et chiboust pamplemousse aux fraises des bois | collez la--FAMILLE| Auteur &gt; recette Béghin Say de Jean-Jacques Borne MOF 1994</v>
      </c>
      <c r="S220" s="32">
        <f>S215</f>
        <v>18</v>
      </c>
      <c r="T220" s="31" t="str">
        <f>T215</f>
        <v>desserts</v>
      </c>
      <c r="U220" s="33" t="str">
        <f>U215</f>
        <v>Recette mère ► MILLE-FEUILLE  aux fraises des bois</v>
      </c>
      <c r="V220" s="89"/>
      <c r="W220" s="108"/>
      <c r="X220" s="91" t="str">
        <f t="shared" si="129"/>
        <v/>
      </c>
      <c r="Y220" s="92">
        <v>150</v>
      </c>
      <c r="Z220" s="104" t="s">
        <v>100</v>
      </c>
      <c r="AA220" s="130">
        <v>1</v>
      </c>
      <c r="AB220" s="1813" t="str">
        <f>ROWS(AB219:AB220)&amp;" ►"</f>
        <v>2 ►</v>
      </c>
      <c r="AC220" s="1580" t="s">
        <v>98</v>
      </c>
      <c r="AD220" s="95">
        <f>IF(AF249=0,0,(AF220/AF249)*AE218*1000)</f>
        <v>95.480585614258416</v>
      </c>
      <c r="AE220" s="105">
        <f>IF(AF249=0, 0, (V220*AA220)/(AF249*AE218))</f>
        <v>0</v>
      </c>
      <c r="AF220" s="97" cm="1">
        <f t="array" ref="AF220">IFERROR(_xlfn.XLOOKUP(UPPER(TRIM(Z220)),UPPER(TRIM(V250:AJ250)),V251:AJ251,_xlfn.XLOOKUP(UPPER(TRIM(Z220)),UPPER(TRIM(V252:AJ252)),V253:AJ253,0))*Y220*IF(V220&gt;0,V220,1),0)</f>
        <v>0.15</v>
      </c>
      <c r="AG220" s="110">
        <f>IF(AI214&lt;&gt;0,V220*AA220*AA214,0)</f>
        <v>0</v>
      </c>
      <c r="AH220" s="1748">
        <f t="shared" ref="AH220:AH248" si="131">W220</f>
        <v>0</v>
      </c>
      <c r="AI220" s="99">
        <f>IF(OR(ISBLANK(AI214),AI214=0),0,AF220*AA220*AA214)</f>
        <v>0.3</v>
      </c>
      <c r="AJ220" s="129" t="str">
        <f>IF(Z220="","",IF(COUNTIF(AC250:AJ250,SUBSTITUTE(TRIM(Z220)," (s)",""))+COUNTIF(AC252:AJ252,SUBSTITUTE(TRIM(Z220)," (s)",""))&gt;0,IF(ROUND(AI220,3)&gt;=1,ROUND(AI220,3)&amp;" L",MAX(1,ROUND(AI220*100,0))&amp;" cl"),IF(COUNTIF(V250:AA250,SUBSTITUTE(TRIM(Z220)," (s)",""))+COUNTIF(V252:AA252,SUBSTITUTE(TRIM(Z220)," (s)",""))&gt;0,IF(ROUND(AI220,3)&gt;=1,ROUND(AI220,3)&amp;" Kg",MAX(1,ROUND(AI220*1000,0))&amp;" g"),"")))</f>
        <v>300 g</v>
      </c>
      <c r="AK220" s="6120" t="str">
        <f t="shared" si="128"/>
        <v>A</v>
      </c>
      <c r="AL220" s="781" t="str">
        <f t="shared" si="116"/>
        <v>A</v>
      </c>
      <c r="AM220" s="5498" t="str">
        <f t="shared" si="119"/>
        <v>M MILLE-FEUILLE meringue et chiboust pamplemousse aux fraises des bois | collez la--FAMILLE| Auteur &gt; recette Béghin Say de Jean-Jacques Borne MOF 1994</v>
      </c>
      <c r="AN220" s="783">
        <f t="shared" si="120"/>
        <v>18</v>
      </c>
      <c r="AO220" s="782" t="str">
        <f t="shared" si="121"/>
        <v>desserts</v>
      </c>
      <c r="AP220" s="783" t="str">
        <f t="shared" si="122"/>
        <v>g</v>
      </c>
      <c r="AQ220" s="2083" t="b">
        <f>AND(Q220="A",COUNTIF(BP16:BR63,TRIM(Z220))&gt;0)</f>
        <v>1</v>
      </c>
      <c r="AR220" s="797">
        <f>IF(AL220&lt;&gt;"A","",IFERROR(IFERROR(_xlfn.XLOOKUP(TRIM(SUBSTITUTE(Z220,CHAR(160)," ")),BP16:BP63,BS16:BS63),IFERROR(_xlfn.XLOOKUP(TRIM(SUBSTITUTE(Z220,CHAR(160)," ")),BQ16:BQ63,BS16:BS63),_xlfn.XLOOKUP(TRIM(SUBSTITUTE(Z220,CHAR(160)," ")),BR16:BR63,BS16:BS63)))*Y220*IF(ISBLANK(V220),1,V220),0))</f>
        <v>0.15</v>
      </c>
      <c r="AS220" s="784" t="str">
        <f t="shared" si="112"/>
        <v>Kg</v>
      </c>
      <c r="AT220" s="1315" t="str">
        <f t="shared" si="123"/>
        <v>❾ Author reference &gt;</v>
      </c>
      <c r="AU220" s="785">
        <f t="shared" si="124"/>
        <v>18</v>
      </c>
      <c r="AV220" s="785" t="str">
        <f t="shared" si="125"/>
        <v>desserts</v>
      </c>
      <c r="AW220" s="798">
        <f>IF(AK220="A",AY10,0)</f>
        <v>20</v>
      </c>
      <c r="AX220" s="5496" t="str">
        <f>IF(IFERROR(SEARCH("Adresse PC",TRIM(W220)),0)&gt;0,"▼ receta siguiente",IF(AK220="A",IF(AZ10&lt;&gt;"",AZ10&amp;" - ou.or.o ❾ + or - &gt;",""),""))</f>
        <v>parts - ou.or.o ❾ + or - &gt;</v>
      </c>
      <c r="AY220" s="810"/>
      <c r="AZ220" s="810"/>
      <c r="BA220" s="799">
        <f t="shared" si="115"/>
        <v>0.16666666666666666</v>
      </c>
      <c r="BB220" s="800" t="str">
        <f>IF(AK220="A",IF(AQ220,IF(AND(AW220&lt;&gt;"",N(AW220)&gt;0),IFERROR(IFERROR(_xlfn.XLOOKUP(AP220,BP10:BP57,BT10:BT57),IFERROR(_xlfn.XLOOKUP(AP220,BQ10:BQ57,BT10:BT57),_xlfn.XLOOKUP(AP220,BR10:BR57,BT10:BT57,""))),""),""),""),"")</f>
        <v>Kg</v>
      </c>
      <c r="BC220" s="813" t="str" cm="1">
        <f t="array" ref="BC220">IF(NOT(AQ220),0,IF(OR(BA220="",N(BA220)&lt;=0.000000001),"",IF(OR(AU220="",N(AU220)&lt;=0.000000001),0,IF(ISNUMBER(BA220),IFERROR(_xlfn.LET(_xlpm.ai_test,TRIM(AP220),_xlpm.r,IFERROR(_xlfn.XLOOKUP(_xlpm.ai_test,BP16:BP63,ROW(BP16:BP63),0,1),IFERROR(_xlfn.XLOOKUP(_xlpm.ai_test,BQ16:BQ63,ROW(BQ16:BQ63),0,1),_xlfn.XLOOKUP(_xlpm.ai_test,BR16:BR63,ROW(BR16:BR63),0,1))),_xlpm.p,_xlpm.r-MIN(ROW(BP16:BP63))+1,_xlpm.f,INDEX(BS16:BS63,_xlpm.p),_xlpm.u,INDEX(BT16:BT63,_xlpm.p),_xlpm.s,INDEX(BV16:BV63,_xlpm.p),_xlpm.q,N(BA220)/_xlpm.f,IF(_xlpm.q&gt;=_xlpm.s,ROUND(_xlpm.q,1)&amp;" "&amp;_xlpm.ai_test&amp;" = "&amp;ROUND(_xlpm.q*_xlpm.f,1)&amp;" "&amp;_xlpm.u,ROUND(_xlpm.q,1)&amp;" "&amp;_xlpm.ai_test)),""),""))))</f>
        <v>166.7 g</v>
      </c>
      <c r="BD220" s="801"/>
      <c r="BE220" s="799">
        <f t="shared" si="126"/>
        <v>0.16666666666666666</v>
      </c>
      <c r="BF220" s="800" t="str">
        <f t="shared" si="103"/>
        <v>Kg</v>
      </c>
      <c r="BG220" s="802">
        <f t="shared" si="104"/>
        <v>0</v>
      </c>
      <c r="BH220" s="803" t="str">
        <f t="shared" si="105"/>
        <v/>
      </c>
      <c r="BI220" s="792"/>
      <c r="BJ220" s="804">
        <f t="shared" si="106"/>
        <v>0</v>
      </c>
      <c r="BK220" s="794" t="str">
        <f t="shared" si="127"/>
        <v>crème</v>
      </c>
      <c r="BL220" s="227" t="s">
        <v>21</v>
      </c>
      <c r="BM220" s="773">
        <f t="shared" si="117"/>
        <v>0</v>
      </c>
      <c r="BN220" s="774">
        <f t="shared" si="118"/>
        <v>1.1111111111111112</v>
      </c>
      <c r="BO220"/>
      <c r="BX220"/>
      <c r="BY220"/>
      <c r="BZ220"/>
      <c r="CA220"/>
      <c r="CB220"/>
      <c r="CC220"/>
      <c r="CD220" s="781" t="str">
        <f t="shared" si="113"/>
        <v>A</v>
      </c>
      <c r="CE220"/>
      <c r="CF220"/>
      <c r="CG220"/>
      <c r="CH220"/>
      <c r="CI220"/>
      <c r="CJ220" s="633"/>
      <c r="CK220"/>
      <c r="CL220"/>
      <c r="CM220"/>
      <c r="CN220"/>
      <c r="CO220"/>
      <c r="CP220"/>
      <c r="CQ220"/>
      <c r="CS220"/>
      <c r="CT220"/>
      <c r="CU220"/>
      <c r="CV220"/>
      <c r="CW220"/>
      <c r="CX220"/>
      <c r="CY220"/>
      <c r="DA220"/>
      <c r="DB220"/>
      <c r="DC220"/>
      <c r="DD220"/>
      <c r="DE220"/>
      <c r="DF220"/>
      <c r="DG220"/>
      <c r="DI220" s="3">
        <v>1</v>
      </c>
    </row>
    <row r="221" spans="1:113" s="627" customFormat="1" ht="21" customHeight="1">
      <c r="A221" s="701" t="s">
        <v>21</v>
      </c>
      <c r="B221" s="2265" t="str" cm="1">
        <f t="array" ref="B221">SUMPRODUCT(--(D221:J221&lt;&gt;""), LEN(TRIM(SUBSTITUTE(D221:J221, CHAR(160), "")))) &amp; " Car."</f>
        <v>0 Car.</v>
      </c>
      <c r="C221" s="1376" t="str">
        <f>IF(ISBLANK(D221),"",LARGE(C13:C220,1)+1)</f>
        <v/>
      </c>
      <c r="D221" s="1833"/>
      <c r="E221" s="1810"/>
      <c r="F221" s="1810"/>
      <c r="G221" s="1810"/>
      <c r="H221" s="1810"/>
      <c r="I221" s="1810"/>
      <c r="J221" s="1810"/>
      <c r="K221" s="1810"/>
      <c r="L221" s="1811"/>
      <c r="M221" s="9"/>
      <c r="N221" s="103" t="str">
        <f t="shared" si="114"/>
        <v>A</v>
      </c>
      <c r="O221" s="1616"/>
      <c r="P221" s="9"/>
      <c r="Q221" s="103" t="str">
        <f t="shared" si="130"/>
        <v>A</v>
      </c>
      <c r="R221" s="31" t="str">
        <f>R215</f>
        <v>M MILLE-FEUILLE meringue et chiboust pamplemousse aux fraises des bois | collez la--FAMILLE| Auteur &gt; recette Béghin Say de Jean-Jacques Borne MOF 1994</v>
      </c>
      <c r="S221" s="32">
        <f>S215</f>
        <v>18</v>
      </c>
      <c r="T221" s="31" t="str">
        <f>T215</f>
        <v>desserts</v>
      </c>
      <c r="U221" s="33" t="str">
        <f>U215</f>
        <v>Recette mère ► MILLE-FEUILLE  aux fraises des bois</v>
      </c>
      <c r="V221" s="89"/>
      <c r="W221" s="108"/>
      <c r="X221" s="91" t="str">
        <f t="shared" si="129"/>
        <v/>
      </c>
      <c r="Y221" s="92">
        <v>8</v>
      </c>
      <c r="Z221" s="104" t="s">
        <v>100</v>
      </c>
      <c r="AA221" s="130">
        <v>1</v>
      </c>
      <c r="AB221" s="1813" t="str">
        <f>ROWS(AB219:AB221)&amp;" ►"</f>
        <v>3 ►</v>
      </c>
      <c r="AC221" s="1580" t="s">
        <v>101</v>
      </c>
      <c r="AD221" s="95">
        <f>IF(AF249=0,0,(AF221/AF249)*AE218*1000)</f>
        <v>5.0922978994271162</v>
      </c>
      <c r="AE221" s="105">
        <f>IF(AF249=0, 0, (V221*AA221)/(AF249*AE218))</f>
        <v>0</v>
      </c>
      <c r="AF221" s="97" cm="1">
        <f t="array" ref="AF221">IFERROR(_xlfn.XLOOKUP(UPPER(TRIM(Z221)),UPPER(TRIM(V250:AJ250)),V251:AJ251,_xlfn.XLOOKUP(UPPER(TRIM(Z221)),UPPER(TRIM(V252:AJ252)),V253:AJ253,0))*Y221*IF(V221&gt;0,V221,1),0)</f>
        <v>8.0000000000000002E-3</v>
      </c>
      <c r="AG221" s="106">
        <f>IF(AI214&lt;&gt;0,V221*AA221*AA214,0)</f>
        <v>0</v>
      </c>
      <c r="AH221" s="1747">
        <f t="shared" si="131"/>
        <v>0</v>
      </c>
      <c r="AI221" s="99">
        <f>IF(OR(ISBLANK(AI214),AI214=0),0,AF221*AA221*AA214)</f>
        <v>1.6E-2</v>
      </c>
      <c r="AJ221" s="107" t="str">
        <f>IF(Z221="","",IF(COUNTIF(AC250:AJ250,SUBSTITUTE(TRIM(Z221)," (s)",""))+COUNTIF(AC252:AJ252,SUBSTITUTE(TRIM(Z221)," (s)",""))&gt;0,IF(ROUND(AI221,3)&gt;=1,ROUND(AI221,3)&amp;" L",MAX(1,ROUND(AI221*100,0))&amp;" cl"),IF(COUNTIF(V250:AA250,SUBSTITUTE(TRIM(Z221)," (s)",""))+COUNTIF(V252:AA252,SUBSTITUTE(TRIM(Z221)," (s)",""))&gt;0,IF(ROUND(AI221,3)&gt;=1,ROUND(AI221,3)&amp;" Kg",MAX(1,ROUND(AI221*1000,0))&amp;" g"),"")))</f>
        <v>16 g</v>
      </c>
      <c r="AK221" s="6120" t="str">
        <f t="shared" si="128"/>
        <v>A</v>
      </c>
      <c r="AL221" s="781" t="str">
        <f t="shared" si="116"/>
        <v>A</v>
      </c>
      <c r="AM221" s="5499" t="str">
        <f t="shared" si="119"/>
        <v>M MILLE-FEUILLE meringue et chiboust pamplemousse aux fraises des bois | collez la--FAMILLE| Auteur &gt; recette Béghin Say de Jean-Jacques Borne MOF 1994</v>
      </c>
      <c r="AN221" s="783">
        <f t="shared" si="120"/>
        <v>18</v>
      </c>
      <c r="AO221" s="782" t="str">
        <f t="shared" si="121"/>
        <v>desserts</v>
      </c>
      <c r="AP221" s="783" t="str">
        <f t="shared" si="122"/>
        <v>g</v>
      </c>
      <c r="AQ221" s="2083" t="b">
        <f>AND(Q221="A",COUNTIF(BP16:BR63,TRIM(Z221))&gt;0)</f>
        <v>1</v>
      </c>
      <c r="AR221" s="797">
        <f>IF(AL221&lt;&gt;"A","",IFERROR(IFERROR(_xlfn.XLOOKUP(TRIM(SUBSTITUTE(Z221,CHAR(160)," ")),BP16:BP63,BS16:BS63),IFERROR(_xlfn.XLOOKUP(TRIM(SUBSTITUTE(Z221,CHAR(160)," ")),BQ16:BQ63,BS16:BS63),_xlfn.XLOOKUP(TRIM(SUBSTITUTE(Z221,CHAR(160)," ")),BR16:BR63,BS16:BS63)))*Y221*IF(ISBLANK(V221),1,V221),0))</f>
        <v>8.0000000000000002E-3</v>
      </c>
      <c r="AS221" s="784" t="str">
        <f t="shared" si="112"/>
        <v>Kg</v>
      </c>
      <c r="AT221" s="1315" t="str">
        <f t="shared" si="123"/>
        <v>❾ Author reference &gt;</v>
      </c>
      <c r="AU221" s="785">
        <f t="shared" si="124"/>
        <v>18</v>
      </c>
      <c r="AV221" s="785" t="str">
        <f t="shared" si="125"/>
        <v>desserts</v>
      </c>
      <c r="AW221" s="786">
        <f>IF(AK221="A",AY10,0)</f>
        <v>20</v>
      </c>
      <c r="AX221" s="5495" t="str">
        <f>IF(IFERROR(SEARCH("Adresse PC",TRIM(W221)),0)&gt;0,"▼ receta siguiente",IF(AK221="A",IF(AZ10&lt;&gt;"",AZ10&amp;" - ou.or.o ❾ + or - &gt;",""),""))</f>
        <v>parts - ou.or.o ❾ + or - &gt;</v>
      </c>
      <c r="AY221" s="810"/>
      <c r="AZ221" s="810"/>
      <c r="BA221" s="788">
        <f t="shared" si="115"/>
        <v>8.8888888888888889E-3</v>
      </c>
      <c r="BB221" s="789" t="str">
        <f>IF(AK221="A",IF(AQ221,IF(AND(AW221&lt;&gt;"",N(AW221)&gt;0),IFERROR(IFERROR(_xlfn.XLOOKUP(AP221,BP10:BP57,BT10:BT57),IFERROR(_xlfn.XLOOKUP(AP221,BQ10:BQ57,BT10:BT57),_xlfn.XLOOKUP(AP221,BR10:BR57,BT10:BT57,""))),""),""),""),"")</f>
        <v>Kg</v>
      </c>
      <c r="BC221" s="811" t="str" cm="1">
        <f t="array" ref="BC221">IF(NOT(AQ221),0,IF(OR(BA221="",N(BA221)&lt;=0.000000001),"",IF(OR(AU221="",N(AU221)&lt;=0.000000001),0,IF(ISNUMBER(BA221),IFERROR(_xlfn.LET(_xlpm.ai_test,TRIM(AP221),_xlpm.r,IFERROR(_xlfn.XLOOKUP(_xlpm.ai_test,BP16:BP63,ROW(BP16:BP63),0,1),IFERROR(_xlfn.XLOOKUP(_xlpm.ai_test,BQ16:BQ63,ROW(BQ16:BQ63),0,1),_xlfn.XLOOKUP(_xlpm.ai_test,BR16:BR63,ROW(BR16:BR63),0,1))),_xlpm.p,_xlpm.r-MIN(ROW(BP16:BP63))+1,_xlpm.f,INDEX(BS16:BS63,_xlpm.p),_xlpm.u,INDEX(BT16:BT63,_xlpm.p),_xlpm.s,INDEX(BV16:BV63,_xlpm.p),_xlpm.q,N(BA221)/_xlpm.f,IF(_xlpm.q&gt;=_xlpm.s,ROUND(_xlpm.q,1)&amp;" "&amp;_xlpm.ai_test&amp;" = "&amp;ROUND(_xlpm.q*_xlpm.f,1)&amp;" "&amp;_xlpm.u,ROUND(_xlpm.q,1)&amp;" "&amp;_xlpm.ai_test)),""),""))))</f>
        <v>8.9 g</v>
      </c>
      <c r="BD221" s="801"/>
      <c r="BE221" s="788">
        <f t="shared" si="126"/>
        <v>8.8888888888888889E-3</v>
      </c>
      <c r="BF221" s="789" t="str">
        <f t="shared" si="103"/>
        <v>Kg</v>
      </c>
      <c r="BG221" s="790">
        <f t="shared" si="104"/>
        <v>0</v>
      </c>
      <c r="BH221" s="791" t="str">
        <f t="shared" si="105"/>
        <v/>
      </c>
      <c r="BI221" s="792"/>
      <c r="BJ221" s="793">
        <f t="shared" si="106"/>
        <v>0</v>
      </c>
      <c r="BK221" s="794" t="str">
        <f t="shared" si="127"/>
        <v>zestes de pamplemousse</v>
      </c>
      <c r="BL221" s="227" t="s">
        <v>21</v>
      </c>
      <c r="BM221" s="773">
        <f t="shared" si="117"/>
        <v>0</v>
      </c>
      <c r="BN221" s="774">
        <f t="shared" si="118"/>
        <v>1.1111111111111112</v>
      </c>
      <c r="BO221"/>
      <c r="BX221"/>
      <c r="BY221"/>
      <c r="BZ221"/>
      <c r="CA221"/>
      <c r="CB221"/>
      <c r="CC221"/>
      <c r="CD221" s="781" t="str">
        <f t="shared" si="113"/>
        <v>A</v>
      </c>
      <c r="CE221"/>
      <c r="CF221"/>
      <c r="CG221"/>
      <c r="CH221"/>
      <c r="CI221"/>
      <c r="CJ221" s="633"/>
      <c r="CK221"/>
      <c r="CL221"/>
      <c r="CM221"/>
      <c r="CN221"/>
      <c r="CO221"/>
      <c r="CP221"/>
      <c r="CQ221"/>
      <c r="CS221"/>
      <c r="CT221"/>
      <c r="CU221"/>
      <c r="CV221"/>
      <c r="CW221"/>
      <c r="CX221"/>
      <c r="CY221"/>
      <c r="DA221"/>
      <c r="DB221"/>
      <c r="DC221"/>
      <c r="DD221"/>
      <c r="DE221"/>
      <c r="DF221"/>
      <c r="DG221"/>
      <c r="DI221" s="3">
        <v>1</v>
      </c>
    </row>
    <row r="222" spans="1:113" s="627" customFormat="1" ht="21" customHeight="1">
      <c r="A222" s="701" t="s">
        <v>21</v>
      </c>
      <c r="B222" s="2265" t="str" cm="1">
        <f t="array" ref="B222">SUMPRODUCT(--(D222:J222&lt;&gt;""), LEN(TRIM(SUBSTITUTE(D222:J222, CHAR(160), "")))) &amp; " Car."</f>
        <v>0 Car.</v>
      </c>
      <c r="C222" s="1376" t="str">
        <f>IF(ISBLANK(D222),"",LARGE(C13:C221,1)+1)</f>
        <v/>
      </c>
      <c r="D222" s="1833"/>
      <c r="E222" s="1810"/>
      <c r="F222" s="1810"/>
      <c r="G222" s="1810"/>
      <c r="H222" s="1810"/>
      <c r="I222" s="1810"/>
      <c r="J222" s="1810"/>
      <c r="K222" s="1810"/>
      <c r="L222" s="1811"/>
      <c r="M222" s="9"/>
      <c r="N222" s="103" t="str">
        <f t="shared" si="114"/>
        <v>A</v>
      </c>
      <c r="O222" s="1616"/>
      <c r="P222" s="9"/>
      <c r="Q222" s="103" t="str">
        <f t="shared" si="130"/>
        <v>A</v>
      </c>
      <c r="R222" s="31" t="str">
        <f>R215</f>
        <v>M MILLE-FEUILLE meringue et chiboust pamplemousse aux fraises des bois | collez la--FAMILLE| Auteur &gt; recette Béghin Say de Jean-Jacques Borne MOF 1994</v>
      </c>
      <c r="S222" s="32">
        <f>S215</f>
        <v>18</v>
      </c>
      <c r="T222" s="31" t="str">
        <f>T215</f>
        <v>desserts</v>
      </c>
      <c r="U222" s="33" t="str">
        <f>U215</f>
        <v>Recette mère ► MILLE-FEUILLE  aux fraises des bois</v>
      </c>
      <c r="V222" s="89"/>
      <c r="W222" s="108"/>
      <c r="X222" s="91" t="str">
        <f t="shared" si="129"/>
        <v/>
      </c>
      <c r="Y222" s="92">
        <v>105</v>
      </c>
      <c r="Z222" s="104" t="s">
        <v>100</v>
      </c>
      <c r="AA222" s="130">
        <v>1</v>
      </c>
      <c r="AB222" s="1813" t="str">
        <f>ROWS(AB219:AB222)&amp;" ►"</f>
        <v>4 ►</v>
      </c>
      <c r="AC222" s="1580" t="s">
        <v>3051</v>
      </c>
      <c r="AD222" s="95">
        <f>IF(AF249=0,0,(AF222/AF249)*AE218*1000)</f>
        <v>66.836409929980903</v>
      </c>
      <c r="AE222" s="105">
        <f>IF(AF249=0, 0, (V222*AA222)/(AF249*AE218))</f>
        <v>0</v>
      </c>
      <c r="AF222" s="97" cm="1">
        <f t="array" ref="AF222">IFERROR(_xlfn.XLOOKUP(UPPER(TRIM(Z222)),UPPER(TRIM(V250:AJ250)),V251:AJ251,_xlfn.XLOOKUP(UPPER(TRIM(Z222)),UPPER(TRIM(V252:AJ252)),V253:AJ253,0))*Y222*IF(V222&gt;0,V222,1),0)</f>
        <v>0.105</v>
      </c>
      <c r="AG222" s="110">
        <f>IF(AI214&lt;&gt;0,V222*AA222*AA214,0)</f>
        <v>0</v>
      </c>
      <c r="AH222" s="1748">
        <f t="shared" si="131"/>
        <v>0</v>
      </c>
      <c r="AI222" s="99">
        <f>IF(OR(ISBLANK(AI214),AI214=0),0,AF222*AA222*AA214)</f>
        <v>0.21</v>
      </c>
      <c r="AJ222" s="129" t="str">
        <f>IF(Z222="","",IF(COUNTIF(AC250:AJ250,SUBSTITUTE(TRIM(Z222)," (s)",""))+COUNTIF(AC252:AJ252,SUBSTITUTE(TRIM(Z222)," (s)",""))&gt;0,IF(ROUND(AI222,3)&gt;=1,ROUND(AI222,3)&amp;" L",MAX(1,ROUND(AI222*100,0))&amp;" cl"),IF(COUNTIF(V250:AA250,SUBSTITUTE(TRIM(Z222)," (s)",""))+COUNTIF(V252:AA252,SUBSTITUTE(TRIM(Z222)," (s)",""))&gt;0,IF(ROUND(AI222,3)&gt;=1,ROUND(AI222,3)&amp;" Kg",MAX(1,ROUND(AI222*1000,0))&amp;" g"),"")))</f>
        <v>210 g</v>
      </c>
      <c r="AK222" s="6120" t="str">
        <f t="shared" si="128"/>
        <v>A</v>
      </c>
      <c r="AL222" s="781" t="str">
        <f t="shared" si="116"/>
        <v>A</v>
      </c>
      <c r="AM222" s="5498" t="str">
        <f t="shared" si="119"/>
        <v>M MILLE-FEUILLE meringue et chiboust pamplemousse aux fraises des bois | collez la--FAMILLE| Auteur &gt; recette Béghin Say de Jean-Jacques Borne MOF 1994</v>
      </c>
      <c r="AN222" s="783">
        <f t="shared" si="120"/>
        <v>18</v>
      </c>
      <c r="AO222" s="782" t="str">
        <f t="shared" si="121"/>
        <v>desserts</v>
      </c>
      <c r="AP222" s="783" t="str">
        <f t="shared" si="122"/>
        <v>g</v>
      </c>
      <c r="AQ222" s="2083" t="b">
        <f>AND(Q222="A",COUNTIF(BP16:BR63,TRIM(Z222))&gt;0)</f>
        <v>1</v>
      </c>
      <c r="AR222" s="797">
        <f>IF(AL222&lt;&gt;"A","",IFERROR(IFERROR(_xlfn.XLOOKUP(TRIM(SUBSTITUTE(Z222,CHAR(160)," ")),BP16:BP63,BS16:BS63),IFERROR(_xlfn.XLOOKUP(TRIM(SUBSTITUTE(Z222,CHAR(160)," ")),BQ16:BQ63,BS16:BS63),_xlfn.XLOOKUP(TRIM(SUBSTITUTE(Z222,CHAR(160)," ")),BR16:BR63,BS16:BS63)))*Y222*IF(ISBLANK(V222),1,V222),0))</f>
        <v>0.105</v>
      </c>
      <c r="AS222" s="784" t="str">
        <f t="shared" si="112"/>
        <v>Kg</v>
      </c>
      <c r="AT222" s="1315" t="str">
        <f t="shared" si="123"/>
        <v>❾ Author reference &gt;</v>
      </c>
      <c r="AU222" s="785">
        <f t="shared" si="124"/>
        <v>18</v>
      </c>
      <c r="AV222" s="785" t="str">
        <f t="shared" si="125"/>
        <v>desserts</v>
      </c>
      <c r="AW222" s="798">
        <f>IF(AK222="A",AY10,0)</f>
        <v>20</v>
      </c>
      <c r="AX222" s="5496" t="str">
        <f>IF(IFERROR(SEARCH("Adresse PC",TRIM(W222)),0)&gt;0,"▼ receta siguiente",IF(AK222="A",IF(AZ10&lt;&gt;"",AZ10&amp;" - ou.or.o ❾ + or - &gt;",""),""))</f>
        <v>parts - ou.or.o ❾ + or - &gt;</v>
      </c>
      <c r="AY222" s="810"/>
      <c r="AZ222" s="810"/>
      <c r="BA222" s="799">
        <f t="shared" si="115"/>
        <v>0.11666666666666667</v>
      </c>
      <c r="BB222" s="800" t="str">
        <f>IF(AK222="A",IF(AQ222,IF(AND(AW222&lt;&gt;"",N(AW222)&gt;0),IFERROR(IFERROR(_xlfn.XLOOKUP(AP222,BP10:BP57,BT10:BT57),IFERROR(_xlfn.XLOOKUP(AP222,BQ10:BQ57,BT10:BT57),_xlfn.XLOOKUP(AP222,BR10:BR57,BT10:BT57,""))),""),""),""),"")</f>
        <v>Kg</v>
      </c>
      <c r="BC222" s="813" t="str" cm="1">
        <f t="array" ref="BC222">IF(NOT(AQ222),0,IF(OR(BA222="",N(BA222)&lt;=0.000000001),"",IF(OR(AU222="",N(AU222)&lt;=0.000000001),0,IF(ISNUMBER(BA222),IFERROR(_xlfn.LET(_xlpm.ai_test,TRIM(AP222),_xlpm.r,IFERROR(_xlfn.XLOOKUP(_xlpm.ai_test,BP16:BP63,ROW(BP16:BP63),0,1),IFERROR(_xlfn.XLOOKUP(_xlpm.ai_test,BQ16:BQ63,ROW(BQ16:BQ63),0,1),_xlfn.XLOOKUP(_xlpm.ai_test,BR16:BR63,ROW(BR16:BR63),0,1))),_xlpm.p,_xlpm.r-MIN(ROW(BP16:BP63))+1,_xlpm.f,INDEX(BS16:BS63,_xlpm.p),_xlpm.u,INDEX(BT16:BT63,_xlpm.p),_xlpm.s,INDEX(BV16:BV63,_xlpm.p),_xlpm.q,N(BA222)/_xlpm.f,IF(_xlpm.q&gt;=_xlpm.s,ROUND(_xlpm.q,1)&amp;" "&amp;_xlpm.ai_test&amp;" = "&amp;ROUND(_xlpm.q*_xlpm.f,1)&amp;" "&amp;_xlpm.u,ROUND(_xlpm.q,1)&amp;" "&amp;_xlpm.ai_test)),""),""))))</f>
        <v>116.7 g</v>
      </c>
      <c r="BD222" s="801"/>
      <c r="BE222" s="799">
        <f t="shared" si="126"/>
        <v>0.11666666666666667</v>
      </c>
      <c r="BF222" s="800" t="str">
        <f t="shared" si="103"/>
        <v>Kg</v>
      </c>
      <c r="BG222" s="802">
        <f t="shared" si="104"/>
        <v>0</v>
      </c>
      <c r="BH222" s="803" t="str">
        <f t="shared" si="105"/>
        <v/>
      </c>
      <c r="BI222" s="792"/>
      <c r="BJ222" s="804">
        <f t="shared" si="106"/>
        <v>0</v>
      </c>
      <c r="BK222" s="794" t="str">
        <f t="shared" si="127"/>
        <v>jaunes d'œufs</v>
      </c>
      <c r="BL222" s="227" t="s">
        <v>21</v>
      </c>
      <c r="BM222" s="773">
        <f t="shared" si="117"/>
        <v>0</v>
      </c>
      <c r="BN222" s="774">
        <f t="shared" si="118"/>
        <v>1.1111111111111112</v>
      </c>
      <c r="BO222"/>
      <c r="BX222"/>
      <c r="BY222"/>
      <c r="BZ222"/>
      <c r="CA222"/>
      <c r="CB222"/>
      <c r="CC222"/>
      <c r="CD222" s="781" t="str">
        <f t="shared" si="113"/>
        <v>A</v>
      </c>
      <c r="CE222"/>
      <c r="CF222"/>
      <c r="CG222"/>
      <c r="CH222"/>
      <c r="CI222"/>
      <c r="CJ222" s="633"/>
      <c r="CK222"/>
      <c r="CL222"/>
      <c r="CM222"/>
      <c r="CN222"/>
      <c r="CO222"/>
      <c r="CP222"/>
      <c r="CQ222"/>
      <c r="CS222"/>
      <c r="CT222"/>
      <c r="CU222"/>
      <c r="CV222"/>
      <c r="CW222"/>
      <c r="CX222"/>
      <c r="CY222"/>
      <c r="DA222"/>
      <c r="DB222"/>
      <c r="DC222"/>
      <c r="DD222"/>
      <c r="DE222"/>
      <c r="DF222"/>
      <c r="DG222"/>
      <c r="DI222" s="3">
        <v>1</v>
      </c>
    </row>
    <row r="223" spans="1:113" s="627" customFormat="1" ht="21" customHeight="1">
      <c r="A223" s="701" t="s">
        <v>21</v>
      </c>
      <c r="B223" s="2265" t="str" cm="1">
        <f t="array" ref="B223">SUMPRODUCT(--(D223:J223&lt;&gt;""), LEN(TRIM(SUBSTITUTE(D223:J223, CHAR(160), "")))) &amp; " Car."</f>
        <v>0 Car.</v>
      </c>
      <c r="C223" s="1376" t="str">
        <f>IF(ISBLANK(D223),"",LARGE(C13:C222,1)+1)</f>
        <v/>
      </c>
      <c r="D223" s="1833"/>
      <c r="E223" s="1810"/>
      <c r="F223" s="1810"/>
      <c r="G223" s="1810"/>
      <c r="H223" s="1810"/>
      <c r="I223" s="1810"/>
      <c r="J223" s="1810"/>
      <c r="K223" s="1810"/>
      <c r="L223" s="1811"/>
      <c r="M223" s="9"/>
      <c r="N223" s="103" t="str">
        <f t="shared" si="114"/>
        <v>A</v>
      </c>
      <c r="O223" s="1616"/>
      <c r="P223" s="9"/>
      <c r="Q223" s="103" t="str">
        <f t="shared" si="130"/>
        <v>A</v>
      </c>
      <c r="R223" s="31" t="str">
        <f>R215</f>
        <v>M MILLE-FEUILLE meringue et chiboust pamplemousse aux fraises des bois | collez la--FAMILLE| Auteur &gt; recette Béghin Say de Jean-Jacques Borne MOF 1994</v>
      </c>
      <c r="S223" s="32">
        <f>S215</f>
        <v>18</v>
      </c>
      <c r="T223" s="31" t="str">
        <f>T215</f>
        <v>desserts</v>
      </c>
      <c r="U223" s="33" t="str">
        <f>U215</f>
        <v>Recette mère ► MILLE-FEUILLE  aux fraises des bois</v>
      </c>
      <c r="V223" s="89"/>
      <c r="W223" s="108"/>
      <c r="X223" s="91" t="str">
        <f t="shared" si="129"/>
        <v/>
      </c>
      <c r="Y223" s="92">
        <v>35</v>
      </c>
      <c r="Z223" s="104" t="s">
        <v>100</v>
      </c>
      <c r="AA223" s="130">
        <v>1</v>
      </c>
      <c r="AB223" s="1813" t="str">
        <f>ROWS(AB219:AB223)&amp;" ►"</f>
        <v>5 ►</v>
      </c>
      <c r="AC223" s="1580" t="s">
        <v>3052</v>
      </c>
      <c r="AD223" s="95">
        <f>IF(AF249=0,0,(AF223/AF249)*AE218*1000)</f>
        <v>22.278803309993634</v>
      </c>
      <c r="AE223" s="105">
        <f>IF(AF249=0, 0, (V223*AA223)/(AF249*AE218))</f>
        <v>0</v>
      </c>
      <c r="AF223" s="97" cm="1">
        <f t="array" ref="AF223">IFERROR(_xlfn.XLOOKUP(UPPER(TRIM(Z223)),UPPER(TRIM(V250:AJ250)),V251:AJ251,_xlfn.XLOOKUP(UPPER(TRIM(Z223)),UPPER(TRIM(V252:AJ252)),V253:AJ253,0))*Y223*IF(V223&gt;0,V223,1),0)</f>
        <v>3.5000000000000003E-2</v>
      </c>
      <c r="AG223" s="106">
        <f>IF(AI214&lt;&gt;0,V223*AA223*AA214,0)</f>
        <v>0</v>
      </c>
      <c r="AH223" s="1747">
        <f t="shared" si="131"/>
        <v>0</v>
      </c>
      <c r="AI223" s="99">
        <f>IF(OR(ISBLANK(AI214),AI214=0),0,AF223*AA223*AA214)</f>
        <v>7.0000000000000007E-2</v>
      </c>
      <c r="AJ223" s="107" t="str">
        <f>IF(Z223="","",IF(COUNTIF(AC250:AJ250,SUBSTITUTE(TRIM(Z223)," (s)",""))+COUNTIF(AC252:AJ252,SUBSTITUTE(TRIM(Z223)," (s)",""))&gt;0,IF(ROUND(AI223,3)&gt;=1,ROUND(AI223,3)&amp;" L",MAX(1,ROUND(AI223*100,0))&amp;" cl"),IF(COUNTIF(V250:AA250,SUBSTITUTE(TRIM(Z223)," (s)",""))+COUNTIF(V252:AA252,SUBSTITUTE(TRIM(Z223)," (s)",""))&gt;0,IF(ROUND(AI223,3)&gt;=1,ROUND(AI223,3)&amp;" Kg",MAX(1,ROUND(AI223*1000,0))&amp;" g"),"")))</f>
        <v>70 g</v>
      </c>
      <c r="AK223" s="6120" t="str">
        <f t="shared" si="128"/>
        <v>A</v>
      </c>
      <c r="AL223" s="781" t="str">
        <f t="shared" si="116"/>
        <v>A</v>
      </c>
      <c r="AM223" s="5499" t="str">
        <f t="shared" si="119"/>
        <v>M MILLE-FEUILLE meringue et chiboust pamplemousse aux fraises des bois | collez la--FAMILLE| Auteur &gt; recette Béghin Say de Jean-Jacques Borne MOF 1994</v>
      </c>
      <c r="AN223" s="783">
        <f t="shared" si="120"/>
        <v>18</v>
      </c>
      <c r="AO223" s="782" t="str">
        <f t="shared" si="121"/>
        <v>desserts</v>
      </c>
      <c r="AP223" s="783" t="str">
        <f t="shared" si="122"/>
        <v>g</v>
      </c>
      <c r="AQ223" s="2083" t="b">
        <f>AND(Q223="A",COUNTIF(BP16:BR63,TRIM(Z223))&gt;0)</f>
        <v>1</v>
      </c>
      <c r="AR223" s="797">
        <f>IF(AL223&lt;&gt;"A","",IFERROR(IFERROR(_xlfn.XLOOKUP(TRIM(SUBSTITUTE(Z223,CHAR(160)," ")),BP16:BP63,BS16:BS63),IFERROR(_xlfn.XLOOKUP(TRIM(SUBSTITUTE(Z223,CHAR(160)," ")),BQ16:BQ63,BS16:BS63),_xlfn.XLOOKUP(TRIM(SUBSTITUTE(Z223,CHAR(160)," ")),BR16:BR63,BS16:BS63)))*Y223*IF(ISBLANK(V223),1,V223),0))</f>
        <v>3.5000000000000003E-2</v>
      </c>
      <c r="AS223" s="784" t="str">
        <f t="shared" si="112"/>
        <v>Kg</v>
      </c>
      <c r="AT223" s="1315" t="str">
        <f t="shared" si="123"/>
        <v>❾ Author reference &gt;</v>
      </c>
      <c r="AU223" s="785">
        <f t="shared" si="124"/>
        <v>18</v>
      </c>
      <c r="AV223" s="785" t="str">
        <f t="shared" si="125"/>
        <v>desserts</v>
      </c>
      <c r="AW223" s="786">
        <f>IF(AK223="A",AY10,0)</f>
        <v>20</v>
      </c>
      <c r="AX223" s="5495" t="str">
        <f>IF(IFERROR(SEARCH("Adresse PC",TRIM(W223)),0)&gt;0,"▼ receta siguiente",IF(AK223="A",IF(AZ10&lt;&gt;"",AZ10&amp;" - ou.or.o ❾ + or - &gt;",""),""))</f>
        <v>parts - ou.or.o ❾ + or - &gt;</v>
      </c>
      <c r="AY223" s="810"/>
      <c r="AZ223" s="810"/>
      <c r="BA223" s="788">
        <f t="shared" si="115"/>
        <v>3.8888888888888896E-2</v>
      </c>
      <c r="BB223" s="789" t="str">
        <f>IF(AK223="A",IF(AQ223,IF(AND(AW223&lt;&gt;"",N(AW223)&gt;0),IFERROR(IFERROR(_xlfn.XLOOKUP(AP223,BP10:BP57,BT10:BT57),IFERROR(_xlfn.XLOOKUP(AP223,BQ10:BQ57,BT10:BT57),_xlfn.XLOOKUP(AP223,BR10:BR57,BT10:BT57,""))),""),""),""),"")</f>
        <v>Kg</v>
      </c>
      <c r="BC223" s="811" t="str" cm="1">
        <f t="array" ref="BC223">IF(NOT(AQ223),0,IF(OR(BA223="",N(BA223)&lt;=0.000000001),"",IF(OR(AU223="",N(AU223)&lt;=0.000000001),0,IF(ISNUMBER(BA223),IFERROR(_xlfn.LET(_xlpm.ai_test,TRIM(AP223),_xlpm.r,IFERROR(_xlfn.XLOOKUP(_xlpm.ai_test,BP16:BP63,ROW(BP16:BP63),0,1),IFERROR(_xlfn.XLOOKUP(_xlpm.ai_test,BQ16:BQ63,ROW(BQ16:BQ63),0,1),_xlfn.XLOOKUP(_xlpm.ai_test,BR16:BR63,ROW(BR16:BR63),0,1))),_xlpm.p,_xlpm.r-MIN(ROW(BP16:BP63))+1,_xlpm.f,INDEX(BS16:BS63,_xlpm.p),_xlpm.u,INDEX(BT16:BT63,_xlpm.p),_xlpm.s,INDEX(BV16:BV63,_xlpm.p),_xlpm.q,N(BA223)/_xlpm.f,IF(_xlpm.q&gt;=_xlpm.s,ROUND(_xlpm.q,1)&amp;" "&amp;_xlpm.ai_test&amp;" = "&amp;ROUND(_xlpm.q*_xlpm.f,1)&amp;" "&amp;_xlpm.u,ROUND(_xlpm.q,1)&amp;" "&amp;_xlpm.ai_test)),""),""))))</f>
        <v>38.9 g</v>
      </c>
      <c r="BD223" s="801"/>
      <c r="BE223" s="788">
        <f t="shared" si="126"/>
        <v>3.8888888888888896E-2</v>
      </c>
      <c r="BF223" s="789" t="str">
        <f t="shared" si="103"/>
        <v>Kg</v>
      </c>
      <c r="BG223" s="790">
        <f t="shared" si="104"/>
        <v>0</v>
      </c>
      <c r="BH223" s="791" t="str">
        <f t="shared" si="105"/>
        <v/>
      </c>
      <c r="BI223" s="792"/>
      <c r="BJ223" s="793">
        <f t="shared" si="106"/>
        <v>0</v>
      </c>
      <c r="BK223" s="794" t="str">
        <f t="shared" si="127"/>
        <v>cassonade antillaise</v>
      </c>
      <c r="BL223" s="227" t="s">
        <v>21</v>
      </c>
      <c r="BM223" s="773">
        <f t="shared" si="117"/>
        <v>0</v>
      </c>
      <c r="BN223" s="774">
        <f t="shared" si="118"/>
        <v>1.1111111111111112</v>
      </c>
      <c r="BO223"/>
      <c r="BX223"/>
      <c r="BY223"/>
      <c r="BZ223"/>
      <c r="CA223"/>
      <c r="CB223"/>
      <c r="CC223"/>
      <c r="CD223" s="781" t="str">
        <f t="shared" si="113"/>
        <v>A</v>
      </c>
      <c r="CE223"/>
      <c r="CF223"/>
      <c r="CG223"/>
      <c r="CH223"/>
      <c r="CI223"/>
      <c r="CJ223" s="633"/>
      <c r="CK223"/>
      <c r="CL223"/>
      <c r="CM223"/>
      <c r="CN223"/>
      <c r="CO223"/>
      <c r="CP223"/>
      <c r="CQ223"/>
      <c r="CS223"/>
      <c r="CT223"/>
      <c r="CU223"/>
      <c r="CV223"/>
      <c r="CW223"/>
      <c r="CX223"/>
      <c r="CY223"/>
      <c r="DA223"/>
      <c r="DB223"/>
      <c r="DC223"/>
      <c r="DD223"/>
      <c r="DE223"/>
      <c r="DF223"/>
      <c r="DG223"/>
      <c r="DI223" s="3">
        <v>1</v>
      </c>
    </row>
    <row r="224" spans="1:113" s="627" customFormat="1" ht="21" customHeight="1">
      <c r="A224" s="701" t="s">
        <v>21</v>
      </c>
      <c r="B224" s="2265" t="str" cm="1">
        <f t="array" ref="B224">SUMPRODUCT(--(D224:J224&lt;&gt;""), LEN(TRIM(SUBSTITUTE(D224:J224, CHAR(160), "")))) &amp; " Car."</f>
        <v>0 Car.</v>
      </c>
      <c r="C224" s="1376" t="str">
        <f>IF(ISBLANK(D224),"",LARGE(C13:C223,1)+1)</f>
        <v/>
      </c>
      <c r="D224" s="1833"/>
      <c r="E224" s="1810"/>
      <c r="F224" s="1810"/>
      <c r="G224" s="1810"/>
      <c r="H224" s="1810"/>
      <c r="I224" s="1810"/>
      <c r="J224" s="1810"/>
      <c r="K224" s="1810"/>
      <c r="L224" s="1811"/>
      <c r="M224" s="9"/>
      <c r="N224" s="103" t="str">
        <f t="shared" si="114"/>
        <v>A</v>
      </c>
      <c r="O224" s="1616"/>
      <c r="P224" s="9"/>
      <c r="Q224" s="103" t="str">
        <f t="shared" si="130"/>
        <v>A</v>
      </c>
      <c r="R224" s="31" t="str">
        <f>R215</f>
        <v>M MILLE-FEUILLE meringue et chiboust pamplemousse aux fraises des bois | collez la--FAMILLE| Auteur &gt; recette Béghin Say de Jean-Jacques Borne MOF 1994</v>
      </c>
      <c r="S224" s="32">
        <f>S215</f>
        <v>18</v>
      </c>
      <c r="T224" s="31" t="str">
        <f>T215</f>
        <v>desserts</v>
      </c>
      <c r="U224" s="33" t="str">
        <f>U215</f>
        <v>Recette mère ► MILLE-FEUILLE  aux fraises des bois</v>
      </c>
      <c r="V224" s="89"/>
      <c r="W224" s="108"/>
      <c r="X224" s="91" t="str">
        <f t="shared" si="129"/>
        <v/>
      </c>
      <c r="Y224" s="92">
        <v>15</v>
      </c>
      <c r="Z224" s="104" t="s">
        <v>100</v>
      </c>
      <c r="AA224" s="130">
        <v>1</v>
      </c>
      <c r="AB224" s="1813" t="str">
        <f>ROWS(AB219:AB224)&amp;" ►"</f>
        <v>6 ►</v>
      </c>
      <c r="AC224" s="1580" t="s">
        <v>3053</v>
      </c>
      <c r="AD224" s="95">
        <f>IF(AF249=0,0,(AF224/AF249)*AE218*1000)</f>
        <v>9.548058561425842</v>
      </c>
      <c r="AE224" s="105">
        <f>IF(AF249=0, 0, (V224*AA224)/(AF249*AE218))</f>
        <v>0</v>
      </c>
      <c r="AF224" s="97" cm="1">
        <f t="array" ref="AF224">IFERROR(_xlfn.XLOOKUP(UPPER(TRIM(Z224)),UPPER(TRIM(V250:AJ250)),V251:AJ251,_xlfn.XLOOKUP(UPPER(TRIM(Z224)),UPPER(TRIM(V252:AJ252)),V253:AJ253,0))*Y224*IF(V224&gt;0,V224,1),0)</f>
        <v>1.4999999999999999E-2</v>
      </c>
      <c r="AG224" s="110">
        <f>IF(AI214&lt;&gt;0,V224*AA224*AA214,0)</f>
        <v>0</v>
      </c>
      <c r="AH224" s="1748">
        <f t="shared" si="131"/>
        <v>0</v>
      </c>
      <c r="AI224" s="99">
        <f>IF(OR(ISBLANK(AI214),AI214=0),0,AF224*AA224*AA214)</f>
        <v>0.03</v>
      </c>
      <c r="AJ224" s="129" t="str">
        <f>IF(Z224="","",IF(COUNTIF(AC250:AJ250,SUBSTITUTE(TRIM(Z224)," (s)",""))+COUNTIF(AC252:AJ252,SUBSTITUTE(TRIM(Z224)," (s)",""))&gt;0,IF(ROUND(AI224,3)&gt;=1,ROUND(AI224,3)&amp;" L",MAX(1,ROUND(AI224*100,0))&amp;" cl"),IF(COUNTIF(V250:AA250,SUBSTITUTE(TRIM(Z224)," (s)",""))+COUNTIF(V252:AA252,SUBSTITUTE(TRIM(Z224)," (s)",""))&gt;0,IF(ROUND(AI224,3)&gt;=1,ROUND(AI224,3)&amp;" Kg",MAX(1,ROUND(AI224*1000,0))&amp;" g"),"")))</f>
        <v>30 g</v>
      </c>
      <c r="AK224" s="6120" t="str">
        <f t="shared" si="128"/>
        <v>A</v>
      </c>
      <c r="AL224" s="781" t="str">
        <f t="shared" si="116"/>
        <v>A</v>
      </c>
      <c r="AM224" s="5498" t="str">
        <f t="shared" si="119"/>
        <v>M MILLE-FEUILLE meringue et chiboust pamplemousse aux fraises des bois | collez la--FAMILLE| Auteur &gt; recette Béghin Say de Jean-Jacques Borne MOF 1994</v>
      </c>
      <c r="AN224" s="783">
        <f t="shared" si="120"/>
        <v>18</v>
      </c>
      <c r="AO224" s="782" t="str">
        <f t="shared" si="121"/>
        <v>desserts</v>
      </c>
      <c r="AP224" s="783" t="str">
        <f t="shared" si="122"/>
        <v>g</v>
      </c>
      <c r="AQ224" s="2083" t="b">
        <f>AND(Q224="A",COUNTIF(BP16:BR63,TRIM(Z224))&gt;0)</f>
        <v>1</v>
      </c>
      <c r="AR224" s="797">
        <f>IF(AL224&lt;&gt;"A","",IFERROR(IFERROR(_xlfn.XLOOKUP(TRIM(SUBSTITUTE(Z224,CHAR(160)," ")),BP16:BP63,BS16:BS63),IFERROR(_xlfn.XLOOKUP(TRIM(SUBSTITUTE(Z224,CHAR(160)," ")),BQ16:BQ63,BS16:BS63),_xlfn.XLOOKUP(TRIM(SUBSTITUTE(Z224,CHAR(160)," ")),BR16:BR63,BS16:BS63)))*Y224*IF(ISBLANK(V224),1,V224),0))</f>
        <v>1.4999999999999999E-2</v>
      </c>
      <c r="AS224" s="784" t="str">
        <f t="shared" si="112"/>
        <v>Kg</v>
      </c>
      <c r="AT224" s="1315" t="str">
        <f t="shared" si="123"/>
        <v>❾ Author reference &gt;</v>
      </c>
      <c r="AU224" s="785">
        <f t="shared" si="124"/>
        <v>18</v>
      </c>
      <c r="AV224" s="785" t="str">
        <f t="shared" si="125"/>
        <v>desserts</v>
      </c>
      <c r="AW224" s="798">
        <f>IF(AK224="A",AY10,0)</f>
        <v>20</v>
      </c>
      <c r="AX224" s="5496" t="str">
        <f>IF(IFERROR(SEARCH("Adresse PC",TRIM(W224)),0)&gt;0,"▼ receta siguiente",IF(AK224="A",IF(AZ10&lt;&gt;"",AZ10&amp;" - ou.or.o ❾ + or - &gt;",""),""))</f>
        <v>parts - ou.or.o ❾ + or - &gt;</v>
      </c>
      <c r="AY224" s="810"/>
      <c r="AZ224" s="810"/>
      <c r="BA224" s="799">
        <f t="shared" si="115"/>
        <v>1.6666666666666666E-2</v>
      </c>
      <c r="BB224" s="800" t="str">
        <f>IF(AK224="A",IF(AQ224,IF(AND(AW224&lt;&gt;"",N(AW224)&gt;0),IFERROR(IFERROR(_xlfn.XLOOKUP(AP224,BP10:BP57,BT10:BT57),IFERROR(_xlfn.XLOOKUP(AP224,BQ10:BQ57,BT10:BT57),_xlfn.XLOOKUP(AP224,BR10:BR57,BT10:BT57,""))),""),""),""),"")</f>
        <v>Kg</v>
      </c>
      <c r="BC224" s="813" t="str" cm="1">
        <f t="array" ref="BC224">IF(NOT(AQ224),0,IF(OR(BA224="",N(BA224)&lt;=0.000000001),"",IF(OR(AU224="",N(AU224)&lt;=0.000000001),0,IF(ISNUMBER(BA224),IFERROR(_xlfn.LET(_xlpm.ai_test,TRIM(AP224),_xlpm.r,IFERROR(_xlfn.XLOOKUP(_xlpm.ai_test,BP16:BP63,ROW(BP16:BP63),0,1),IFERROR(_xlfn.XLOOKUP(_xlpm.ai_test,BQ16:BQ63,ROW(BQ16:BQ63),0,1),_xlfn.XLOOKUP(_xlpm.ai_test,BR16:BR63,ROW(BR16:BR63),0,1))),_xlpm.p,_xlpm.r-MIN(ROW(BP16:BP63))+1,_xlpm.f,INDEX(BS16:BS63,_xlpm.p),_xlpm.u,INDEX(BT16:BT63,_xlpm.p),_xlpm.s,INDEX(BV16:BV63,_xlpm.p),_xlpm.q,N(BA224)/_xlpm.f,IF(_xlpm.q&gt;=_xlpm.s,ROUND(_xlpm.q,1)&amp;" "&amp;_xlpm.ai_test&amp;" = "&amp;ROUND(_xlpm.q*_xlpm.f,1)&amp;" "&amp;_xlpm.u,ROUND(_xlpm.q,1)&amp;" "&amp;_xlpm.ai_test)),""),""))))</f>
        <v>16.7 g</v>
      </c>
      <c r="BD224" s="801"/>
      <c r="BE224" s="799">
        <f t="shared" si="126"/>
        <v>1.6666666666666666E-2</v>
      </c>
      <c r="BF224" s="800" t="str">
        <f t="shared" ref="BF224:BF287" si="132">IF(AQ224,BB224,"")</f>
        <v>Kg</v>
      </c>
      <c r="BG224" s="802">
        <f t="shared" ref="BG224:BG287" si="133">IF(AND(ISNUMBER(BM224),ABS(BM224)&gt;0.000000001),BM224,0)</f>
        <v>0</v>
      </c>
      <c r="BH224" s="803" t="str">
        <f t="shared" ref="BH224:BH287" si="134">IF(AND(AQ224, N(BG224)&gt;0.000000001), W224, "")</f>
        <v/>
      </c>
      <c r="BI224" s="792"/>
      <c r="BJ224" s="804">
        <f t="shared" ref="BJ224:BJ287" si="135">IF(OR(AU224=0,ISBLANK(BI224),ISTEXT(BG224)),0,(IF(BA224=0,BG224,BA224)*BI224))</f>
        <v>0</v>
      </c>
      <c r="BK224" s="794" t="str">
        <f t="shared" si="127"/>
        <v>maïzena</v>
      </c>
      <c r="BL224" s="227" t="s">
        <v>21</v>
      </c>
      <c r="BM224" s="773">
        <f t="shared" si="117"/>
        <v>0</v>
      </c>
      <c r="BN224" s="774">
        <f t="shared" si="118"/>
        <v>1.1111111111111112</v>
      </c>
      <c r="BO224"/>
      <c r="BX224"/>
      <c r="BY224"/>
      <c r="BZ224"/>
      <c r="CA224"/>
      <c r="CB224"/>
      <c r="CC224"/>
      <c r="CD224" s="781" t="str">
        <f t="shared" si="113"/>
        <v>A</v>
      </c>
      <c r="CE224"/>
      <c r="CF224"/>
      <c r="CG224"/>
      <c r="CH224"/>
      <c r="CI224"/>
      <c r="CJ224" s="633"/>
      <c r="CK224"/>
      <c r="CL224"/>
      <c r="CM224"/>
      <c r="CN224"/>
      <c r="CO224"/>
      <c r="CP224"/>
      <c r="CQ224"/>
      <c r="CS224"/>
      <c r="CT224"/>
      <c r="CU224"/>
      <c r="CV224"/>
      <c r="CW224"/>
      <c r="CX224"/>
      <c r="CY224"/>
      <c r="DA224"/>
      <c r="DB224"/>
      <c r="DC224"/>
      <c r="DD224"/>
      <c r="DE224"/>
      <c r="DF224"/>
      <c r="DG224"/>
      <c r="DI224" s="3">
        <v>1</v>
      </c>
    </row>
    <row r="225" spans="1:113" s="627" customFormat="1" ht="21" customHeight="1">
      <c r="A225" s="701" t="s">
        <v>21</v>
      </c>
      <c r="B225" s="2265" t="str" cm="1">
        <f t="array" ref="B225">SUMPRODUCT(--(D225:J225&lt;&gt;""), LEN(TRIM(SUBSTITUTE(D225:J225, CHAR(160), "")))) &amp; " Car."</f>
        <v>0 Car.</v>
      </c>
      <c r="C225" s="1376" t="str">
        <f>IF(ISBLANK(D225),"",LARGE(C13:C224,1)+1)</f>
        <v/>
      </c>
      <c r="D225" s="1833"/>
      <c r="E225" s="1810"/>
      <c r="F225" s="1810"/>
      <c r="G225" s="1810"/>
      <c r="H225" s="1810"/>
      <c r="I225" s="1810"/>
      <c r="J225" s="1810"/>
      <c r="K225" s="1810"/>
      <c r="L225" s="1811"/>
      <c r="M225" s="9"/>
      <c r="N225" s="103" t="str">
        <f t="shared" si="114"/>
        <v>A</v>
      </c>
      <c r="O225" s="1616"/>
      <c r="P225" s="9"/>
      <c r="Q225" s="103" t="str">
        <f t="shared" si="130"/>
        <v>A</v>
      </c>
      <c r="R225" s="31" t="str">
        <f>R215</f>
        <v>M MILLE-FEUILLE meringue et chiboust pamplemousse aux fraises des bois | collez la--FAMILLE| Auteur &gt; recette Béghin Say de Jean-Jacques Borne MOF 1994</v>
      </c>
      <c r="S225" s="32">
        <f>S215</f>
        <v>18</v>
      </c>
      <c r="T225" s="31" t="str">
        <f>T215</f>
        <v>desserts</v>
      </c>
      <c r="U225" s="33" t="str">
        <f>U215</f>
        <v>Recette mère ► MILLE-FEUILLE  aux fraises des bois</v>
      </c>
      <c r="V225" s="89"/>
      <c r="W225" s="108"/>
      <c r="X225" s="91" t="str">
        <f t="shared" si="129"/>
        <v/>
      </c>
      <c r="Y225" s="92">
        <v>8</v>
      </c>
      <c r="Z225" s="104" t="s">
        <v>100</v>
      </c>
      <c r="AA225" s="130">
        <v>1</v>
      </c>
      <c r="AB225" s="1813" t="str">
        <f>ROWS(AB219:AB225)&amp;" ►"</f>
        <v>7 ►</v>
      </c>
      <c r="AC225" s="1580" t="s">
        <v>3054</v>
      </c>
      <c r="AD225" s="95">
        <f>IF(AF249=0,0,(AF225/AF249)*AE218*1000)</f>
        <v>5.0922978994271162</v>
      </c>
      <c r="AE225" s="105">
        <f>IF(AF249=0, 0, (V225*AA225)/(AF249*AE218))</f>
        <v>0</v>
      </c>
      <c r="AF225" s="97" cm="1">
        <f t="array" ref="AF225">IFERROR(_xlfn.XLOOKUP(UPPER(TRIM(Z225)),UPPER(TRIM(V250:AJ250)),V251:AJ251,_xlfn.XLOOKUP(UPPER(TRIM(Z225)),UPPER(TRIM(V252:AJ252)),V253:AJ253,0))*Y225*IF(V225&gt;0,V225,1),0)</f>
        <v>8.0000000000000002E-3</v>
      </c>
      <c r="AG225" s="106">
        <f>IF(AI214&lt;&gt;0,V225*AA225*AA214,0)</f>
        <v>0</v>
      </c>
      <c r="AH225" s="1747">
        <f t="shared" si="131"/>
        <v>0</v>
      </c>
      <c r="AI225" s="99">
        <f>IF(OR(ISBLANK(AI214),AI214=0),0,AF225*AA225*AA214)</f>
        <v>1.6E-2</v>
      </c>
      <c r="AJ225" s="107" t="str">
        <f>IF(Z225="","",IF(COUNTIF(AC250:AJ250,SUBSTITUTE(TRIM(Z225)," (s)",""))+COUNTIF(AC252:AJ252,SUBSTITUTE(TRIM(Z225)," (s)",""))&gt;0,IF(ROUND(AI225,3)&gt;=1,ROUND(AI225,3)&amp;" L",MAX(1,ROUND(AI225*100,0))&amp;" cl"),IF(COUNTIF(V250:AA250,SUBSTITUTE(TRIM(Z225)," (s)",""))+COUNTIF(V252:AA252,SUBSTITUTE(TRIM(Z225)," (s)",""))&gt;0,IF(ROUND(AI225,3)&gt;=1,ROUND(AI225,3)&amp;" Kg",MAX(1,ROUND(AI225*1000,0))&amp;" g"),"")))</f>
        <v>16 g</v>
      </c>
      <c r="AK225" s="6120" t="str">
        <f t="shared" si="128"/>
        <v>A</v>
      </c>
      <c r="AL225" s="781" t="str">
        <f t="shared" si="116"/>
        <v>A</v>
      </c>
      <c r="AM225" s="5499" t="str">
        <f t="shared" si="119"/>
        <v>M MILLE-FEUILLE meringue et chiboust pamplemousse aux fraises des bois | collez la--FAMILLE| Auteur &gt; recette Béghin Say de Jean-Jacques Borne MOF 1994</v>
      </c>
      <c r="AN225" s="783">
        <f t="shared" si="120"/>
        <v>18</v>
      </c>
      <c r="AO225" s="782" t="str">
        <f t="shared" si="121"/>
        <v>desserts</v>
      </c>
      <c r="AP225" s="783" t="str">
        <f t="shared" si="122"/>
        <v>g</v>
      </c>
      <c r="AQ225" s="2083" t="b">
        <f>AND(Q225="A",COUNTIF(BP16:BR63,TRIM(Z225))&gt;0)</f>
        <v>1</v>
      </c>
      <c r="AR225" s="797">
        <f>IF(AL225&lt;&gt;"A","",IFERROR(IFERROR(_xlfn.XLOOKUP(TRIM(SUBSTITUTE(Z225,CHAR(160)," ")),BP16:BP63,BS16:BS63),IFERROR(_xlfn.XLOOKUP(TRIM(SUBSTITUTE(Z225,CHAR(160)," ")),BQ16:BQ63,BS16:BS63),_xlfn.XLOOKUP(TRIM(SUBSTITUTE(Z225,CHAR(160)," ")),BR16:BR63,BS16:BS63)))*Y225*IF(ISBLANK(V225),1,V225),0))</f>
        <v>8.0000000000000002E-3</v>
      </c>
      <c r="AS225" s="784" t="str">
        <f t="shared" si="112"/>
        <v>Kg</v>
      </c>
      <c r="AT225" s="1315" t="str">
        <f t="shared" si="123"/>
        <v>❾ Author reference &gt;</v>
      </c>
      <c r="AU225" s="785">
        <f t="shared" si="124"/>
        <v>18</v>
      </c>
      <c r="AV225" s="785" t="str">
        <f t="shared" si="125"/>
        <v>desserts</v>
      </c>
      <c r="AW225" s="786">
        <f>IF(AK225="A",AY10,0)</f>
        <v>20</v>
      </c>
      <c r="AX225" s="5495" t="str">
        <f>IF(IFERROR(SEARCH("Adresse PC",TRIM(W225)),0)&gt;0,"▼ receta siguiente",IF(AK225="A",IF(AZ10&lt;&gt;"",AZ10&amp;" - ou.or.o ❾ + or - &gt;",""),""))</f>
        <v>parts - ou.or.o ❾ + or - &gt;</v>
      </c>
      <c r="AY225" s="810"/>
      <c r="AZ225" s="810"/>
      <c r="BA225" s="788">
        <f t="shared" si="115"/>
        <v>8.8888888888888889E-3</v>
      </c>
      <c r="BB225" s="789" t="str">
        <f>IF(AK225="A",IF(AQ225,IF(AND(AW225&lt;&gt;"",N(AW225)&gt;0),IFERROR(IFERROR(_xlfn.XLOOKUP(AP225,BP10:BP57,BT10:BT57),IFERROR(_xlfn.XLOOKUP(AP225,BQ10:BQ57,BT10:BT57),_xlfn.XLOOKUP(AP225,BR10:BR57,BT10:BT57,""))),""),""),""),"")</f>
        <v>Kg</v>
      </c>
      <c r="BC225" s="811" t="str" cm="1">
        <f t="array" ref="BC225">IF(NOT(AQ225),0,IF(OR(BA225="",N(BA225)&lt;=0.000000001),"",IF(OR(AU225="",N(AU225)&lt;=0.000000001),0,IF(ISNUMBER(BA225),IFERROR(_xlfn.LET(_xlpm.ai_test,TRIM(AP225),_xlpm.r,IFERROR(_xlfn.XLOOKUP(_xlpm.ai_test,BP16:BP63,ROW(BP16:BP63),0,1),IFERROR(_xlfn.XLOOKUP(_xlpm.ai_test,BQ16:BQ63,ROW(BQ16:BQ63),0,1),_xlfn.XLOOKUP(_xlpm.ai_test,BR16:BR63,ROW(BR16:BR63),0,1))),_xlpm.p,_xlpm.r-MIN(ROW(BP16:BP63))+1,_xlpm.f,INDEX(BS16:BS63,_xlpm.p),_xlpm.u,INDEX(BT16:BT63,_xlpm.p),_xlpm.s,INDEX(BV16:BV63,_xlpm.p),_xlpm.q,N(BA225)/_xlpm.f,IF(_xlpm.q&gt;=_xlpm.s,ROUND(_xlpm.q,1)&amp;" "&amp;_xlpm.ai_test&amp;" = "&amp;ROUND(_xlpm.q*_xlpm.f,1)&amp;" "&amp;_xlpm.u,ROUND(_xlpm.q,1)&amp;" "&amp;_xlpm.ai_test)),""),""))))</f>
        <v>8.9 g</v>
      </c>
      <c r="BD225" s="801"/>
      <c r="BE225" s="788">
        <f t="shared" si="126"/>
        <v>8.8888888888888889E-3</v>
      </c>
      <c r="BF225" s="789" t="str">
        <f t="shared" si="132"/>
        <v>Kg</v>
      </c>
      <c r="BG225" s="790">
        <f t="shared" si="133"/>
        <v>0</v>
      </c>
      <c r="BH225" s="791" t="str">
        <f t="shared" si="134"/>
        <v/>
      </c>
      <c r="BI225" s="792"/>
      <c r="BJ225" s="793">
        <f t="shared" si="135"/>
        <v>0</v>
      </c>
      <c r="BK225" s="794" t="str">
        <f t="shared" si="127"/>
        <v>gélatine</v>
      </c>
      <c r="BL225" s="227" t="s">
        <v>21</v>
      </c>
      <c r="BM225" s="773">
        <f t="shared" si="117"/>
        <v>0</v>
      </c>
      <c r="BN225" s="774">
        <f t="shared" si="118"/>
        <v>1.1111111111111112</v>
      </c>
      <c r="BO225"/>
      <c r="BX225"/>
      <c r="BY225"/>
      <c r="BZ225"/>
      <c r="CA225"/>
      <c r="CB225"/>
      <c r="CC225"/>
      <c r="CD225" s="781" t="str">
        <f t="shared" si="113"/>
        <v>A</v>
      </c>
      <c r="CE225"/>
      <c r="CF225"/>
      <c r="CG225"/>
      <c r="CH225"/>
      <c r="CI225"/>
      <c r="CJ225" s="633"/>
      <c r="CK225"/>
      <c r="CL225"/>
      <c r="CM225"/>
      <c r="CN225"/>
      <c r="CO225"/>
      <c r="CP225"/>
      <c r="CQ225"/>
      <c r="CS225"/>
      <c r="CT225"/>
      <c r="CU225"/>
      <c r="CV225"/>
      <c r="CW225"/>
      <c r="CX225"/>
      <c r="CY225"/>
      <c r="DA225"/>
      <c r="DB225"/>
      <c r="DC225"/>
      <c r="DD225"/>
      <c r="DE225"/>
      <c r="DF225"/>
      <c r="DG225"/>
      <c r="DI225" s="3">
        <v>1</v>
      </c>
    </row>
    <row r="226" spans="1:113" s="627" customFormat="1" ht="21" customHeight="1">
      <c r="A226" s="701" t="s">
        <v>21</v>
      </c>
      <c r="B226" s="2265" t="str" cm="1">
        <f t="array" ref="B226">SUMPRODUCT(--(D226:J226&lt;&gt;""), LEN(TRIM(SUBSTITUTE(D226:J226, CHAR(160), "")))) &amp; " Car."</f>
        <v>0 Car.</v>
      </c>
      <c r="C226" s="1376" t="str">
        <f>IF(ISBLANK(D226),"",LARGE(C13:C225,1)+1)</f>
        <v/>
      </c>
      <c r="D226" s="1833"/>
      <c r="E226" s="1810"/>
      <c r="F226" s="1810"/>
      <c r="G226" s="1810"/>
      <c r="H226" s="1810"/>
      <c r="I226" s="1810"/>
      <c r="J226" s="1810"/>
      <c r="K226" s="1810"/>
      <c r="L226" s="1811"/>
      <c r="M226" s="9"/>
      <c r="N226" s="103" t="str">
        <f t="shared" si="114"/>
        <v>A</v>
      </c>
      <c r="O226" s="1616"/>
      <c r="P226" s="9"/>
      <c r="Q226" s="103" t="str">
        <f t="shared" si="130"/>
        <v>A</v>
      </c>
      <c r="R226" s="31" t="str">
        <f>R215</f>
        <v>M MILLE-FEUILLE meringue et chiboust pamplemousse aux fraises des bois | collez la--FAMILLE| Auteur &gt; recette Béghin Say de Jean-Jacques Borne MOF 1994</v>
      </c>
      <c r="S226" s="32">
        <f>S215</f>
        <v>18</v>
      </c>
      <c r="T226" s="31" t="str">
        <f>T215</f>
        <v>desserts</v>
      </c>
      <c r="U226" s="33" t="str">
        <f>U215</f>
        <v>Recette mère ► MILLE-FEUILLE  aux fraises des bois</v>
      </c>
      <c r="V226" s="89"/>
      <c r="W226" s="108"/>
      <c r="X226" s="91" t="str">
        <f t="shared" si="129"/>
        <v/>
      </c>
      <c r="Y226" s="92">
        <v>160</v>
      </c>
      <c r="Z226" s="104" t="s">
        <v>100</v>
      </c>
      <c r="AA226" s="130">
        <v>1</v>
      </c>
      <c r="AB226" s="1813" t="str">
        <f>ROWS(AB219:AB226)&amp;" ►"</f>
        <v>8 ►</v>
      </c>
      <c r="AC226" s="1580" t="s">
        <v>3055</v>
      </c>
      <c r="AD226" s="95">
        <f>IF(AF249=0,0,(AF226/AF249)*AE218*1000)</f>
        <v>101.84595798854232</v>
      </c>
      <c r="AE226" s="105">
        <f>IF(AF249=0, 0, (V226*AA226)/(AF249*AE218))</f>
        <v>0</v>
      </c>
      <c r="AF226" s="97" cm="1">
        <f t="array" ref="AF226">IFERROR(_xlfn.XLOOKUP(UPPER(TRIM(Z226)),UPPER(TRIM(V250:AJ250)),V251:AJ251,_xlfn.XLOOKUP(UPPER(TRIM(Z226)),UPPER(TRIM(V252:AJ252)),V253:AJ253,0))*Y226*IF(V226&gt;0,V226,1),0)</f>
        <v>0.16</v>
      </c>
      <c r="AG226" s="110">
        <f>IF(AI214&lt;&gt;0,V226*AA226*AA214,0)</f>
        <v>0</v>
      </c>
      <c r="AH226" s="1748">
        <f t="shared" si="131"/>
        <v>0</v>
      </c>
      <c r="AI226" s="99">
        <f>IF(OR(ISBLANK(AI214),AI214=0),0,AF226*AA226*AA214)</f>
        <v>0.32</v>
      </c>
      <c r="AJ226" s="129" t="str">
        <f>IF(Z226="","",IF(COUNTIF(AC250:AJ250,SUBSTITUTE(TRIM(Z226)," (s)",""))+COUNTIF(AC252:AJ252,SUBSTITUTE(TRIM(Z226)," (s)",""))&gt;0,IF(ROUND(AI226,3)&gt;=1,ROUND(AI226,3)&amp;" L",MAX(1,ROUND(AI226*100,0))&amp;" cl"),IF(COUNTIF(V250:AA250,SUBSTITUTE(TRIM(Z226)," (s)",""))+COUNTIF(V252:AA252,SUBSTITUTE(TRIM(Z226)," (s)",""))&gt;0,IF(ROUND(AI226,3)&gt;=1,ROUND(AI226,3)&amp;" Kg",MAX(1,ROUND(AI226*1000,0))&amp;" g"),"")))</f>
        <v>320 g</v>
      </c>
      <c r="AK226" s="6120" t="str">
        <f t="shared" si="128"/>
        <v>A</v>
      </c>
      <c r="AL226" s="781" t="str">
        <f t="shared" si="116"/>
        <v>A</v>
      </c>
      <c r="AM226" s="5498" t="str">
        <f t="shared" si="119"/>
        <v>M MILLE-FEUILLE meringue et chiboust pamplemousse aux fraises des bois | collez la--FAMILLE| Auteur &gt; recette Béghin Say de Jean-Jacques Borne MOF 1994</v>
      </c>
      <c r="AN226" s="783">
        <f t="shared" si="120"/>
        <v>18</v>
      </c>
      <c r="AO226" s="782" t="str">
        <f t="shared" si="121"/>
        <v>desserts</v>
      </c>
      <c r="AP226" s="783" t="str">
        <f t="shared" si="122"/>
        <v>g</v>
      </c>
      <c r="AQ226" s="2083" t="b">
        <f>AND(Q226="A",COUNTIF(BP16:BR63,TRIM(Z226))&gt;0)</f>
        <v>1</v>
      </c>
      <c r="AR226" s="797">
        <f>IF(AL226&lt;&gt;"A","",IFERROR(IFERROR(_xlfn.XLOOKUP(TRIM(SUBSTITUTE(Z226,CHAR(160)," ")),BP16:BP63,BS16:BS63),IFERROR(_xlfn.XLOOKUP(TRIM(SUBSTITUTE(Z226,CHAR(160)," ")),BQ16:BQ63,BS16:BS63),_xlfn.XLOOKUP(TRIM(SUBSTITUTE(Z226,CHAR(160)," ")),BR16:BR63,BS16:BS63)))*Y226*IF(ISBLANK(V226),1,V226),0))</f>
        <v>0.16</v>
      </c>
      <c r="AS226" s="784" t="str">
        <f t="shared" si="112"/>
        <v>Kg</v>
      </c>
      <c r="AT226" s="1315" t="str">
        <f t="shared" si="123"/>
        <v>❾ Author reference &gt;</v>
      </c>
      <c r="AU226" s="785">
        <f t="shared" si="124"/>
        <v>18</v>
      </c>
      <c r="AV226" s="785" t="str">
        <f t="shared" si="125"/>
        <v>desserts</v>
      </c>
      <c r="AW226" s="798">
        <f>IF(AK226="A",AY10,0)</f>
        <v>20</v>
      </c>
      <c r="AX226" s="5496" t="str">
        <f>IF(IFERROR(SEARCH("Adresse PC",TRIM(W226)),0)&gt;0,"▼ receta siguiente",IF(AK226="A",IF(AZ10&lt;&gt;"",AZ10&amp;" - ou.or.o ❾ + or - &gt;",""),""))</f>
        <v>parts - ou.or.o ❾ + or - &gt;</v>
      </c>
      <c r="AY226" s="810"/>
      <c r="AZ226" s="810"/>
      <c r="BA226" s="799">
        <f t="shared" si="115"/>
        <v>0.17777777777777778</v>
      </c>
      <c r="BB226" s="800" t="str">
        <f>IF(AK226="A",IF(AQ226,IF(AND(AW226&lt;&gt;"",N(AW226)&gt;0),IFERROR(IFERROR(_xlfn.XLOOKUP(AP226,BP10:BP57,BT10:BT57),IFERROR(_xlfn.XLOOKUP(AP226,BQ10:BQ57,BT10:BT57),_xlfn.XLOOKUP(AP226,BR10:BR57,BT10:BT57,""))),""),""),""),"")</f>
        <v>Kg</v>
      </c>
      <c r="BC226" s="813" t="str" cm="1">
        <f t="array" ref="BC226">IF(NOT(AQ226),0,IF(OR(BA226="",N(BA226)&lt;=0.000000001),"",IF(OR(AU226="",N(AU226)&lt;=0.000000001),0,IF(ISNUMBER(BA226),IFERROR(_xlfn.LET(_xlpm.ai_test,TRIM(AP226),_xlpm.r,IFERROR(_xlfn.XLOOKUP(_xlpm.ai_test,BP16:BP63,ROW(BP16:BP63),0,1),IFERROR(_xlfn.XLOOKUP(_xlpm.ai_test,BQ16:BQ63,ROW(BQ16:BQ63),0,1),_xlfn.XLOOKUP(_xlpm.ai_test,BR16:BR63,ROW(BR16:BR63),0,1))),_xlpm.p,_xlpm.r-MIN(ROW(BP16:BP63))+1,_xlpm.f,INDEX(BS16:BS63,_xlpm.p),_xlpm.u,INDEX(BT16:BT63,_xlpm.p),_xlpm.s,INDEX(BV16:BV63,_xlpm.p),_xlpm.q,N(BA226)/_xlpm.f,IF(_xlpm.q&gt;=_xlpm.s,ROUND(_xlpm.q,1)&amp;" "&amp;_xlpm.ai_test&amp;" = "&amp;ROUND(_xlpm.q*_xlpm.f,1)&amp;" "&amp;_xlpm.u,ROUND(_xlpm.q,1)&amp;" "&amp;_xlpm.ai_test)),""),""))))</f>
        <v>177.8 g</v>
      </c>
      <c r="BD226" s="801"/>
      <c r="BE226" s="799">
        <f t="shared" si="126"/>
        <v>0.17777777777777778</v>
      </c>
      <c r="BF226" s="800" t="str">
        <f t="shared" si="132"/>
        <v>Kg</v>
      </c>
      <c r="BG226" s="802">
        <f t="shared" si="133"/>
        <v>0</v>
      </c>
      <c r="BH226" s="803" t="str">
        <f t="shared" si="134"/>
        <v/>
      </c>
      <c r="BI226" s="792"/>
      <c r="BJ226" s="804">
        <f t="shared" si="135"/>
        <v>0</v>
      </c>
      <c r="BK226" s="794" t="str">
        <f t="shared" si="127"/>
        <v>blancs</v>
      </c>
      <c r="BL226" s="227" t="s">
        <v>21</v>
      </c>
      <c r="BM226" s="773">
        <f t="shared" si="117"/>
        <v>0</v>
      </c>
      <c r="BN226" s="774">
        <f t="shared" si="118"/>
        <v>1.1111111111111112</v>
      </c>
      <c r="BO226"/>
      <c r="BX226"/>
      <c r="BY226"/>
      <c r="BZ226"/>
      <c r="CA226"/>
      <c r="CB226"/>
      <c r="CC226"/>
      <c r="CD226" s="781" t="str">
        <f t="shared" si="113"/>
        <v>A</v>
      </c>
      <c r="CE226"/>
      <c r="CF226"/>
      <c r="CG226"/>
      <c r="CH226"/>
      <c r="CI226"/>
      <c r="CJ226" s="633"/>
      <c r="CK226"/>
      <c r="CL226"/>
      <c r="CM226"/>
      <c r="CN226"/>
      <c r="CO226"/>
      <c r="CP226"/>
      <c r="CQ226"/>
      <c r="CS226"/>
      <c r="CT226"/>
      <c r="CU226"/>
      <c r="CV226"/>
      <c r="CW226"/>
      <c r="CX226"/>
      <c r="CY226"/>
      <c r="DA226"/>
      <c r="DB226"/>
      <c r="DC226"/>
      <c r="DD226"/>
      <c r="DE226"/>
      <c r="DF226"/>
      <c r="DG226"/>
      <c r="DI226" s="3">
        <v>1</v>
      </c>
    </row>
    <row r="227" spans="1:113" s="627" customFormat="1" ht="21" customHeight="1">
      <c r="A227" s="701" t="s">
        <v>21</v>
      </c>
      <c r="B227" s="2265" t="str" cm="1">
        <f t="array" ref="B227">SUMPRODUCT(--(D227:J227&lt;&gt;""), LEN(TRIM(SUBSTITUTE(D227:J227, CHAR(160), "")))) &amp; " Car."</f>
        <v>0 Car.</v>
      </c>
      <c r="C227" s="1376" t="str">
        <f>IF(ISBLANK(D227),"",LARGE(C13:C226,1)+1)</f>
        <v/>
      </c>
      <c r="D227" s="1833"/>
      <c r="E227" s="1810"/>
      <c r="F227" s="1810"/>
      <c r="G227" s="1810"/>
      <c r="H227" s="1810"/>
      <c r="I227" s="1810"/>
      <c r="J227" s="1810"/>
      <c r="K227" s="1810"/>
      <c r="L227" s="1811"/>
      <c r="M227" s="9"/>
      <c r="N227" s="103" t="str">
        <f t="shared" si="114"/>
        <v>A</v>
      </c>
      <c r="O227" s="1616"/>
      <c r="P227" s="9"/>
      <c r="Q227" s="103" t="str">
        <f t="shared" si="130"/>
        <v>A</v>
      </c>
      <c r="R227" s="31" t="str">
        <f>R215</f>
        <v>M MILLE-FEUILLE meringue et chiboust pamplemousse aux fraises des bois | collez la--FAMILLE| Auteur &gt; recette Béghin Say de Jean-Jacques Borne MOF 1994</v>
      </c>
      <c r="S227" s="32">
        <f>S215</f>
        <v>18</v>
      </c>
      <c r="T227" s="31" t="str">
        <f>T215</f>
        <v>desserts</v>
      </c>
      <c r="U227" s="33" t="str">
        <f>U215</f>
        <v>Recette mère ► MILLE-FEUILLE  aux fraises des bois</v>
      </c>
      <c r="V227" s="89"/>
      <c r="W227" s="108"/>
      <c r="X227" s="91" t="str">
        <f t="shared" si="129"/>
        <v/>
      </c>
      <c r="Y227" s="92">
        <v>95</v>
      </c>
      <c r="Z227" s="104" t="s">
        <v>100</v>
      </c>
      <c r="AA227" s="130">
        <v>1</v>
      </c>
      <c r="AB227" s="1813" t="str">
        <f>ROWS(AB219:AB227)&amp;" ►"</f>
        <v>9 ►</v>
      </c>
      <c r="AC227" s="1580" t="s">
        <v>3052</v>
      </c>
      <c r="AD227" s="95">
        <f>IF(AF249=0,0,(AF227/AF249)*AE218*1000)</f>
        <v>60.471037555697002</v>
      </c>
      <c r="AE227" s="105">
        <f>IF(AF249=0, 0, (V227*AA227)/(AF249*AE218))</f>
        <v>0</v>
      </c>
      <c r="AF227" s="97" cm="1">
        <f t="array" ref="AF227">IFERROR(_xlfn.XLOOKUP(UPPER(TRIM(Z227)),UPPER(TRIM(V250:AJ250)),V251:AJ251,_xlfn.XLOOKUP(UPPER(TRIM(Z227)),UPPER(TRIM(V252:AJ252)),V253:AJ253,0))*Y227*IF(V227&gt;0,V227,1),0)</f>
        <v>9.5000000000000001E-2</v>
      </c>
      <c r="AG227" s="106">
        <f>IF(AI214&lt;&gt;0,V227*AA227*AA214,0)</f>
        <v>0</v>
      </c>
      <c r="AH227" s="1747">
        <f t="shared" si="131"/>
        <v>0</v>
      </c>
      <c r="AI227" s="99">
        <f>IF(OR(ISBLANK(AI214),AI214=0),0,AF227*AA227*AA214)</f>
        <v>0.19</v>
      </c>
      <c r="AJ227" s="107" t="str">
        <f>IF(Z227="","",IF(COUNTIF(AC250:AJ250,SUBSTITUTE(TRIM(Z227)," (s)",""))+COUNTIF(AC252:AJ252,SUBSTITUTE(TRIM(Z227)," (s)",""))&gt;0,IF(ROUND(AI227,3)&gt;=1,ROUND(AI227,3)&amp;" L",MAX(1,ROUND(AI227*100,0))&amp;" cl"),IF(COUNTIF(V250:AA250,SUBSTITUTE(TRIM(Z227)," (s)",""))+COUNTIF(V252:AA252,SUBSTITUTE(TRIM(Z227)," (s)",""))&gt;0,IF(ROUND(AI227,3)&gt;=1,ROUND(AI227,3)&amp;" Kg",MAX(1,ROUND(AI227*1000,0))&amp;" g"),"")))</f>
        <v>190 g</v>
      </c>
      <c r="AK227" s="6120" t="str">
        <f t="shared" si="128"/>
        <v>A</v>
      </c>
      <c r="AL227" s="781" t="str">
        <f t="shared" si="116"/>
        <v>A</v>
      </c>
      <c r="AM227" s="5499" t="str">
        <f t="shared" si="119"/>
        <v>M MILLE-FEUILLE meringue et chiboust pamplemousse aux fraises des bois | collez la--FAMILLE| Auteur &gt; recette Béghin Say de Jean-Jacques Borne MOF 1994</v>
      </c>
      <c r="AN227" s="783">
        <f t="shared" si="120"/>
        <v>18</v>
      </c>
      <c r="AO227" s="782" t="str">
        <f t="shared" si="121"/>
        <v>desserts</v>
      </c>
      <c r="AP227" s="783" t="str">
        <f t="shared" si="122"/>
        <v>g</v>
      </c>
      <c r="AQ227" s="2083" t="b">
        <f>AND(Q227="A",COUNTIF(BP16:BR63,TRIM(Z227))&gt;0)</f>
        <v>1</v>
      </c>
      <c r="AR227" s="797">
        <f>IF(AL227&lt;&gt;"A","",IFERROR(IFERROR(_xlfn.XLOOKUP(TRIM(SUBSTITUTE(Z227,CHAR(160)," ")),BP16:BP63,BS16:BS63),IFERROR(_xlfn.XLOOKUP(TRIM(SUBSTITUTE(Z227,CHAR(160)," ")),BQ16:BQ63,BS16:BS63),_xlfn.XLOOKUP(TRIM(SUBSTITUTE(Z227,CHAR(160)," ")),BR16:BR63,BS16:BS63)))*Y227*IF(ISBLANK(V227),1,V227),0))</f>
        <v>9.5000000000000001E-2</v>
      </c>
      <c r="AS227" s="784" t="str">
        <f t="shared" si="112"/>
        <v>Kg</v>
      </c>
      <c r="AT227" s="1315" t="str">
        <f t="shared" si="123"/>
        <v>❾ Author reference &gt;</v>
      </c>
      <c r="AU227" s="785">
        <f t="shared" si="124"/>
        <v>18</v>
      </c>
      <c r="AV227" s="785" t="str">
        <f t="shared" si="125"/>
        <v>desserts</v>
      </c>
      <c r="AW227" s="786">
        <f>IF(AK227="A",AY10,0)</f>
        <v>20</v>
      </c>
      <c r="AX227" s="5495" t="str">
        <f>IF(IFERROR(SEARCH("Adresse PC",TRIM(W227)),0)&gt;0,"▼ receta siguiente",IF(AK227="A",IF(AZ10&lt;&gt;"",AZ10&amp;" - ou.or.o ❾ + or - &gt;",""),""))</f>
        <v>parts - ou.or.o ❾ + or - &gt;</v>
      </c>
      <c r="AY227" s="810"/>
      <c r="AZ227" s="810"/>
      <c r="BA227" s="788">
        <f t="shared" si="115"/>
        <v>0.10555555555555556</v>
      </c>
      <c r="BB227" s="789" t="str">
        <f>IF(AK227="A",IF(AQ227,IF(AND(AW227&lt;&gt;"",N(AW227)&gt;0),IFERROR(IFERROR(_xlfn.XLOOKUP(AP227,BP10:BP57,BT10:BT57),IFERROR(_xlfn.XLOOKUP(AP227,BQ10:BQ57,BT10:BT57),_xlfn.XLOOKUP(AP227,BR10:BR57,BT10:BT57,""))),""),""),""),"")</f>
        <v>Kg</v>
      </c>
      <c r="BC227" s="811" t="str" cm="1">
        <f t="array" ref="BC227">IF(NOT(AQ227),0,IF(OR(BA227="",N(BA227)&lt;=0.000000001),"",IF(OR(AU227="",N(AU227)&lt;=0.000000001),0,IF(ISNUMBER(BA227),IFERROR(_xlfn.LET(_xlpm.ai_test,TRIM(AP227),_xlpm.r,IFERROR(_xlfn.XLOOKUP(_xlpm.ai_test,BP16:BP63,ROW(BP16:BP63),0,1),IFERROR(_xlfn.XLOOKUP(_xlpm.ai_test,BQ16:BQ63,ROW(BQ16:BQ63),0,1),_xlfn.XLOOKUP(_xlpm.ai_test,BR16:BR63,ROW(BR16:BR63),0,1))),_xlpm.p,_xlpm.r-MIN(ROW(BP16:BP63))+1,_xlpm.f,INDEX(BS16:BS63,_xlpm.p),_xlpm.u,INDEX(BT16:BT63,_xlpm.p),_xlpm.s,INDEX(BV16:BV63,_xlpm.p),_xlpm.q,N(BA227)/_xlpm.f,IF(_xlpm.q&gt;=_xlpm.s,ROUND(_xlpm.q,1)&amp;" "&amp;_xlpm.ai_test&amp;" = "&amp;ROUND(_xlpm.q*_xlpm.f,1)&amp;" "&amp;_xlpm.u,ROUND(_xlpm.q,1)&amp;" "&amp;_xlpm.ai_test)),""),""))))</f>
        <v>105.6 g</v>
      </c>
      <c r="BD227" s="801"/>
      <c r="BE227" s="788">
        <f t="shared" si="126"/>
        <v>0.10555555555555556</v>
      </c>
      <c r="BF227" s="789" t="str">
        <f t="shared" si="132"/>
        <v>Kg</v>
      </c>
      <c r="BG227" s="790">
        <f t="shared" si="133"/>
        <v>0</v>
      </c>
      <c r="BH227" s="791" t="str">
        <f t="shared" si="134"/>
        <v/>
      </c>
      <c r="BI227" s="792"/>
      <c r="BJ227" s="793">
        <f t="shared" si="135"/>
        <v>0</v>
      </c>
      <c r="BK227" s="794" t="str">
        <f t="shared" si="127"/>
        <v>cassonade antillaise</v>
      </c>
      <c r="BL227" s="227" t="s">
        <v>21</v>
      </c>
      <c r="BM227" s="773">
        <f t="shared" si="117"/>
        <v>0</v>
      </c>
      <c r="BN227" s="774">
        <f t="shared" si="118"/>
        <v>1.1111111111111112</v>
      </c>
      <c r="BO227"/>
      <c r="BX227"/>
      <c r="BY227"/>
      <c r="BZ227"/>
      <c r="CA227"/>
      <c r="CB227"/>
      <c r="CC227"/>
      <c r="CD227" s="781" t="str">
        <f t="shared" si="113"/>
        <v>A</v>
      </c>
      <c r="CE227"/>
      <c r="CF227"/>
      <c r="CG227"/>
      <c r="CH227"/>
      <c r="CI227"/>
      <c r="CJ227" s="633"/>
      <c r="CK227"/>
      <c r="CL227"/>
      <c r="CM227"/>
      <c r="CN227"/>
      <c r="CO227"/>
      <c r="CP227"/>
      <c r="CQ227"/>
      <c r="CS227"/>
      <c r="CT227"/>
      <c r="CU227"/>
      <c r="CV227"/>
      <c r="CW227"/>
      <c r="CX227"/>
      <c r="CY227"/>
      <c r="DA227"/>
      <c r="DB227"/>
      <c r="DC227"/>
      <c r="DD227"/>
      <c r="DE227"/>
      <c r="DF227"/>
      <c r="DG227"/>
      <c r="DI227" s="3">
        <v>1</v>
      </c>
    </row>
    <row r="228" spans="1:113" s="627" customFormat="1" ht="21" customHeight="1">
      <c r="A228" s="701" t="s">
        <v>21</v>
      </c>
      <c r="B228" s="2265" t="str" cm="1">
        <f t="array" ref="B228">SUMPRODUCT(--(D228:J228&lt;&gt;""), LEN(TRIM(SUBSTITUTE(D228:J228, CHAR(160), "")))) &amp; " Car."</f>
        <v>0 Car.</v>
      </c>
      <c r="C228" s="1376" t="str">
        <f>IF(ISBLANK(D228),"",LARGE(C13:C227,1)+1)</f>
        <v/>
      </c>
      <c r="D228" s="1833"/>
      <c r="E228" s="1810"/>
      <c r="F228" s="1810"/>
      <c r="G228" s="1810"/>
      <c r="H228" s="1810"/>
      <c r="I228" s="1810"/>
      <c r="J228" s="1810"/>
      <c r="K228" s="1810"/>
      <c r="L228" s="1811"/>
      <c r="M228" s="9"/>
      <c r="N228" s="103" t="str">
        <f t="shared" si="114"/>
        <v>►</v>
      </c>
      <c r="O228" s="1616"/>
      <c r="P228" s="9"/>
      <c r="Q228" s="103" t="str">
        <f t="shared" si="130"/>
        <v>►</v>
      </c>
      <c r="R228" s="31" t="str">
        <f>R215</f>
        <v>M MILLE-FEUILLE meringue et chiboust pamplemousse aux fraises des bois | collez la--FAMILLE| Auteur &gt; recette Béghin Say de Jean-Jacques Borne MOF 1994</v>
      </c>
      <c r="S228" s="32">
        <f>S215</f>
        <v>18</v>
      </c>
      <c r="T228" s="31" t="str">
        <f>T215</f>
        <v>desserts</v>
      </c>
      <c r="U228" s="33" t="str">
        <f>U215</f>
        <v>Recette mère ► MILLE-FEUILLE  aux fraises des bois</v>
      </c>
      <c r="V228" s="89"/>
      <c r="W228" s="108"/>
      <c r="X228" s="91" t="str">
        <f t="shared" si="129"/>
        <v/>
      </c>
      <c r="Y228" s="92"/>
      <c r="Z228" s="128"/>
      <c r="AA228" s="130">
        <v>1</v>
      </c>
      <c r="AB228" s="1813" t="str">
        <f>ROWS(AB219:AB228)&amp;" ►"</f>
        <v>10 ►</v>
      </c>
      <c r="AC228" s="1580"/>
      <c r="AD228" s="95">
        <f>IF(AF249=0,0,(AF228/AF249)*AE218*1000)</f>
        <v>0</v>
      </c>
      <c r="AE228" s="105">
        <f>IF(AF249=0, 0, (V228*AA228)/(AF249*AE218))</f>
        <v>0</v>
      </c>
      <c r="AF228" s="97" cm="1">
        <f t="array" ref="AF228">IFERROR(_xlfn.XLOOKUP(UPPER(TRIM(Z228)),UPPER(TRIM(V250:AJ250)),V251:AJ251,_xlfn.XLOOKUP(UPPER(TRIM(Z228)),UPPER(TRIM(V252:AJ252)),V253:AJ253,0))*Y228*IF(V228&gt;0,V228,1),0)</f>
        <v>0</v>
      </c>
      <c r="AG228" s="110">
        <f>IF(AI214&lt;&gt;0,V228*AA228*AA214,0)</f>
        <v>0</v>
      </c>
      <c r="AH228" s="1748">
        <f t="shared" si="131"/>
        <v>0</v>
      </c>
      <c r="AI228" s="99">
        <f>IF(OR(ISBLANK(AI214),AI214=0),0,AF228*AA228*AA214)</f>
        <v>0</v>
      </c>
      <c r="AJ228" s="129" t="str">
        <f>IF(Z228="","",IF(COUNTIF(AC250:AJ250,SUBSTITUTE(TRIM(Z228)," (s)",""))+COUNTIF(AC252:AJ252,SUBSTITUTE(TRIM(Z228)," (s)",""))&gt;0,IF(ROUND(AI228,3)&gt;=1,ROUND(AI228,3)&amp;" L",MAX(1,ROUND(AI228*100,0))&amp;" cl"),IF(COUNTIF(V250:AA250,SUBSTITUTE(TRIM(Z228)," (s)",""))+COUNTIF(V252:AA252,SUBSTITUTE(TRIM(Z228)," (s)",""))&gt;0,IF(ROUND(AI228,3)&gt;=1,ROUND(AI228,3)&amp;" Kg",MAX(1,ROUND(AI228*1000,0))&amp;" g"),"")))</f>
        <v/>
      </c>
      <c r="AK228" s="6120" t="str">
        <f t="shared" si="128"/>
        <v>►</v>
      </c>
      <c r="AL228" s="781" t="str">
        <f t="shared" si="116"/>
        <v>►</v>
      </c>
      <c r="AM228" s="5498" t="str">
        <f t="shared" si="119"/>
        <v/>
      </c>
      <c r="AN228" s="783" t="str">
        <f t="shared" si="120"/>
        <v/>
      </c>
      <c r="AO228" s="782" t="str">
        <f t="shared" si="121"/>
        <v/>
      </c>
      <c r="AP228" s="783" t="str">
        <f t="shared" si="122"/>
        <v/>
      </c>
      <c r="AQ228" s="2083" t="b">
        <f>AND(Q228="A",COUNTIF(BP16:BR63,TRIM(Z228))&gt;0)</f>
        <v>0</v>
      </c>
      <c r="AR228" s="797" t="str">
        <f>IF(AL228&lt;&gt;"A","",IFERROR(IFERROR(_xlfn.XLOOKUP(TRIM(SUBSTITUTE(Z228,CHAR(160)," ")),BP16:BP63,BS16:BS63),IFERROR(_xlfn.XLOOKUP(TRIM(SUBSTITUTE(Z228,CHAR(160)," ")),BQ16:BQ63,BS16:BS63),_xlfn.XLOOKUP(TRIM(SUBSTITUTE(Z228,CHAR(160)," ")),BR16:BR63,BS16:BS63)))*Y228*IF(ISBLANK(V228),1,V228),0))</f>
        <v/>
      </c>
      <c r="AS228" s="784" t="str">
        <f t="shared" si="112"/>
        <v/>
      </c>
      <c r="AT228" s="1315" t="str">
        <f t="shared" si="123"/>
        <v/>
      </c>
      <c r="AU228" s="785">
        <f t="shared" si="124"/>
        <v>0</v>
      </c>
      <c r="AV228" s="785">
        <f t="shared" si="125"/>
        <v>0</v>
      </c>
      <c r="AW228" s="798">
        <f>IF(AK228="A",AY10,0)</f>
        <v>0</v>
      </c>
      <c r="AX228" s="5496" t="str">
        <f>IF(IFERROR(SEARCH("Adresse PC",TRIM(W228)),0)&gt;0,"▼ receta siguiente",IF(AK228="A",IF(AZ10&lt;&gt;"",AZ10&amp;" - ou.or.o ❾ + or - &gt;",""),""))</f>
        <v/>
      </c>
      <c r="AY228" s="810"/>
      <c r="AZ228" s="810"/>
      <c r="BA228" s="799" t="str">
        <f t="shared" si="115"/>
        <v/>
      </c>
      <c r="BB228" s="800" t="str">
        <f>IF(AK228="A",IF(AQ228,IF(AND(AW228&lt;&gt;"",N(AW228)&gt;0),IFERROR(IFERROR(_xlfn.XLOOKUP(AP228,BP10:BP57,BT10:BT57),IFERROR(_xlfn.XLOOKUP(AP228,BQ10:BQ57,BT10:BT57),_xlfn.XLOOKUP(AP228,BR10:BR57,BT10:BT57,""))),""),""),""),"")</f>
        <v/>
      </c>
      <c r="BC228" s="813" cm="1">
        <f t="array" ref="BC228">IF(NOT(AQ228),0,IF(OR(BA228="",N(BA228)&lt;=0.000000001),"",IF(OR(AU228="",N(AU228)&lt;=0.000000001),0,IF(ISNUMBER(BA228),IFERROR(_xlfn.LET(_xlpm.ai_test,TRIM(AP228),_xlpm.r,IFERROR(_xlfn.XLOOKUP(_xlpm.ai_test,BP16:BP63,ROW(BP16:BP63),0,1),IFERROR(_xlfn.XLOOKUP(_xlpm.ai_test,BQ16:BQ63,ROW(BQ16:BQ63),0,1),_xlfn.XLOOKUP(_xlpm.ai_test,BR16:BR63,ROW(BR16:BR63),0,1))),_xlpm.p,_xlpm.r-MIN(ROW(BP16:BP63))+1,_xlpm.f,INDEX(BS16:BS63,_xlpm.p),_xlpm.u,INDEX(BT16:BT63,_xlpm.p),_xlpm.s,INDEX(BV16:BV63,_xlpm.p),_xlpm.q,N(BA228)/_xlpm.f,IF(_xlpm.q&gt;=_xlpm.s,ROUND(_xlpm.q,1)&amp;" "&amp;_xlpm.ai_test&amp;" = "&amp;ROUND(_xlpm.q*_xlpm.f,1)&amp;" "&amp;_xlpm.u,ROUND(_xlpm.q,1)&amp;" "&amp;_xlpm.ai_test)),""),""))))</f>
        <v>0</v>
      </c>
      <c r="BD228" s="801"/>
      <c r="BE228" s="799" t="str">
        <f t="shared" si="126"/>
        <v/>
      </c>
      <c r="BF228" s="800" t="str">
        <f t="shared" si="132"/>
        <v/>
      </c>
      <c r="BG228" s="802">
        <f t="shared" si="133"/>
        <v>0</v>
      </c>
      <c r="BH228" s="803" t="str">
        <f t="shared" si="134"/>
        <v/>
      </c>
      <c r="BI228" s="792"/>
      <c r="BJ228" s="804">
        <f t="shared" si="135"/>
        <v>0</v>
      </c>
      <c r="BK228" s="794" t="str">
        <f t="shared" si="127"/>
        <v/>
      </c>
      <c r="BL228" s="227" t="s">
        <v>21</v>
      </c>
      <c r="BM228" s="773">
        <f t="shared" si="117"/>
        <v>0</v>
      </c>
      <c r="BN228" s="774">
        <f t="shared" si="118"/>
        <v>0</v>
      </c>
      <c r="BO228"/>
      <c r="BX228"/>
      <c r="BY228"/>
      <c r="BZ228"/>
      <c r="CA228"/>
      <c r="CB228"/>
      <c r="CC228"/>
      <c r="CD228" s="781" t="str">
        <f t="shared" si="113"/>
        <v>►</v>
      </c>
      <c r="CE228"/>
      <c r="CF228"/>
      <c r="CG228"/>
      <c r="CH228"/>
      <c r="CI228"/>
      <c r="CJ228" s="633"/>
      <c r="CK228"/>
      <c r="CL228"/>
      <c r="CM228"/>
      <c r="CN228"/>
      <c r="CO228"/>
      <c r="CP228"/>
      <c r="CQ228"/>
      <c r="CS228"/>
      <c r="CT228"/>
      <c r="CU228"/>
      <c r="CV228"/>
      <c r="CW228"/>
      <c r="CX228"/>
      <c r="CY228"/>
      <c r="DA228"/>
      <c r="DB228"/>
      <c r="DC228"/>
      <c r="DD228"/>
      <c r="DE228"/>
      <c r="DF228"/>
      <c r="DG228"/>
      <c r="DI228" s="3">
        <v>1</v>
      </c>
    </row>
    <row r="229" spans="1:113" s="627" customFormat="1" ht="21" customHeight="1">
      <c r="A229" s="701" t="s">
        <v>21</v>
      </c>
      <c r="B229" s="2265" t="str" cm="1">
        <f t="array" ref="B229">SUMPRODUCT(--(D229:J229&lt;&gt;""), LEN(TRIM(SUBSTITUTE(D229:J229, CHAR(160), "")))) &amp; " Car."</f>
        <v>0 Car.</v>
      </c>
      <c r="C229" s="1376" t="str">
        <f>IF(ISBLANK(D229),"",LARGE(C13:C228,1)+1)</f>
        <v/>
      </c>
      <c r="D229" s="1833"/>
      <c r="E229" s="1810"/>
      <c r="F229" s="1810"/>
      <c r="G229" s="1810"/>
      <c r="H229" s="1810"/>
      <c r="I229" s="1810"/>
      <c r="J229" s="1810"/>
      <c r="K229" s="1810"/>
      <c r="L229" s="1811"/>
      <c r="M229" s="9"/>
      <c r="N229" s="103" t="str">
        <f t="shared" si="114"/>
        <v>A</v>
      </c>
      <c r="O229" s="1616"/>
      <c r="P229" s="9"/>
      <c r="Q229" s="103" t="str">
        <f t="shared" si="130"/>
        <v>A</v>
      </c>
      <c r="R229" s="31" t="str">
        <f>R215</f>
        <v>M MILLE-FEUILLE meringue et chiboust pamplemousse aux fraises des bois | collez la--FAMILLE| Auteur &gt; recette Béghin Say de Jean-Jacques Borne MOF 1994</v>
      </c>
      <c r="S229" s="32">
        <f>S215</f>
        <v>18</v>
      </c>
      <c r="T229" s="31" t="str">
        <f>T215</f>
        <v>desserts</v>
      </c>
      <c r="U229" s="33" t="str">
        <f>U215</f>
        <v>Recette mère ► MILLE-FEUILLE  aux fraises des bois</v>
      </c>
      <c r="V229" s="89"/>
      <c r="W229" s="108"/>
      <c r="X229" s="91" t="str">
        <f t="shared" si="129"/>
        <v/>
      </c>
      <c r="Y229" s="92"/>
      <c r="Z229" s="128"/>
      <c r="AA229" s="130">
        <v>1</v>
      </c>
      <c r="AB229" s="1813" t="str">
        <f>ROWS(AB219:AB229)&amp;" ►"</f>
        <v>11 ►</v>
      </c>
      <c r="AC229" s="1580" t="s">
        <v>3060</v>
      </c>
      <c r="AD229" s="95">
        <f>IF(AF249=0,0,(AF229/AF249)*AE218*1000)</f>
        <v>0</v>
      </c>
      <c r="AE229" s="105">
        <f>IF(AF249=0, 0, (V229*AA229)/(AF249*AE218))</f>
        <v>0</v>
      </c>
      <c r="AF229" s="97" cm="1">
        <f t="array" ref="AF229">IFERROR(_xlfn.XLOOKUP(UPPER(TRIM(Z229)),UPPER(TRIM(V250:AJ250)),V251:AJ251,_xlfn.XLOOKUP(UPPER(TRIM(Z229)),UPPER(TRIM(V252:AJ252)),V253:AJ253,0))*Y229*IF(V229&gt;0,V229,1),0)</f>
        <v>0</v>
      </c>
      <c r="AG229" s="106">
        <f>IF(AI214&lt;&gt;0,V229*AA229*AA214,0)</f>
        <v>0</v>
      </c>
      <c r="AH229" s="1747">
        <f t="shared" si="131"/>
        <v>0</v>
      </c>
      <c r="AI229" s="99">
        <f>IF(OR(ISBLANK(AI214),AI214=0),0,AF229*AA229*AA214)</f>
        <v>0</v>
      </c>
      <c r="AJ229" s="107" t="str">
        <f>IF(Z229="","",IF(COUNTIF(AC250:AJ250,SUBSTITUTE(TRIM(Z229)," (s)",""))+COUNTIF(AC252:AJ252,SUBSTITUTE(TRIM(Z229)," (s)",""))&gt;0,IF(ROUND(AI229,3)&gt;=1,ROUND(AI229,3)&amp;" L",MAX(1,ROUND(AI229*100,0))&amp;" cl"),IF(COUNTIF(V250:AA250,SUBSTITUTE(TRIM(Z229)," (s)",""))+COUNTIF(V252:AA252,SUBSTITUTE(TRIM(Z229)," (s)",""))&gt;0,IF(ROUND(AI229,3)&gt;=1,ROUND(AI229,3)&amp;" Kg",MAX(1,ROUND(AI229*1000,0))&amp;" g"),"")))</f>
        <v/>
      </c>
      <c r="AK229" s="6120" t="str">
        <f t="shared" si="128"/>
        <v>A</v>
      </c>
      <c r="AL229" s="781" t="str">
        <f t="shared" si="116"/>
        <v>A</v>
      </c>
      <c r="AM229" s="5499" t="str">
        <f t="shared" si="119"/>
        <v>M MILLE-FEUILLE meringue et chiboust pamplemousse aux fraises des bois | collez la--FAMILLE| Auteur &gt; recette Béghin Say de Jean-Jacques Borne MOF 1994</v>
      </c>
      <c r="AN229" s="783">
        <f t="shared" si="120"/>
        <v>18</v>
      </c>
      <c r="AO229" s="782" t="str">
        <f t="shared" si="121"/>
        <v>desserts</v>
      </c>
      <c r="AP229" s="783">
        <f t="shared" si="122"/>
        <v>0</v>
      </c>
      <c r="AQ229" s="2083" t="b">
        <f>AND(Q229="A",COUNTIF(BP16:BR63,TRIM(Z229))&gt;0)</f>
        <v>0</v>
      </c>
      <c r="AR229" s="797">
        <f>IF(AL229&lt;&gt;"A","",IFERROR(IFERROR(_xlfn.XLOOKUP(TRIM(SUBSTITUTE(Z229,CHAR(160)," ")),BP16:BP63,BS16:BS63),IFERROR(_xlfn.XLOOKUP(TRIM(SUBSTITUTE(Z229,CHAR(160)," ")),BQ16:BQ63,BS16:BS63),_xlfn.XLOOKUP(TRIM(SUBSTITUTE(Z229,CHAR(160)," ")),BR16:BR63,BS16:BS63)))*Y229*IF(ISBLANK(V229),1,V229),0))</f>
        <v>0</v>
      </c>
      <c r="AS229" s="784" t="str">
        <f t="shared" si="112"/>
        <v/>
      </c>
      <c r="AT229" s="1315" t="str">
        <f t="shared" si="123"/>
        <v>❾ Author reference &gt;</v>
      </c>
      <c r="AU229" s="785">
        <f t="shared" si="124"/>
        <v>18</v>
      </c>
      <c r="AV229" s="785" t="str">
        <f t="shared" si="125"/>
        <v>desserts</v>
      </c>
      <c r="AW229" s="786">
        <f>IF(AK229="A",AY10,0)</f>
        <v>20</v>
      </c>
      <c r="AX229" s="5495" t="str">
        <f>IF(IFERROR(SEARCH("Adresse PC",TRIM(W229)),0)&gt;0,"▼ receta siguiente",IF(AK229="A",IF(AZ10&lt;&gt;"",AZ10&amp;" - ou.or.o ❾ + or - &gt;",""),""))</f>
        <v>parts - ou.or.o ❾ + or - &gt;</v>
      </c>
      <c r="AY229" s="810"/>
      <c r="AZ229" s="810"/>
      <c r="BA229" s="788">
        <f t="shared" si="115"/>
        <v>0</v>
      </c>
      <c r="BB229" s="789" t="str">
        <f>IF(AK229="A",IF(AQ229,IF(AND(AW229&lt;&gt;"",N(AW229)&gt;0),IFERROR(IFERROR(_xlfn.XLOOKUP(AP229,BP10:BP57,BT10:BT57),IFERROR(_xlfn.XLOOKUP(AP229,BQ10:BQ57,BT10:BT57),_xlfn.XLOOKUP(AP229,BR10:BR57,BT10:BT57,""))),""),""),""),"")</f>
        <v/>
      </c>
      <c r="BC229" s="811" cm="1">
        <f t="array" ref="BC229">IF(NOT(AQ229),0,IF(OR(BA229="",N(BA229)&lt;=0.000000001),"",IF(OR(AU229="",N(AU229)&lt;=0.000000001),0,IF(ISNUMBER(BA229),IFERROR(_xlfn.LET(_xlpm.ai_test,TRIM(AP229),_xlpm.r,IFERROR(_xlfn.XLOOKUP(_xlpm.ai_test,BP16:BP63,ROW(BP16:BP63),0,1),IFERROR(_xlfn.XLOOKUP(_xlpm.ai_test,BQ16:BQ63,ROW(BQ16:BQ63),0,1),_xlfn.XLOOKUP(_xlpm.ai_test,BR16:BR63,ROW(BR16:BR63),0,1))),_xlpm.p,_xlpm.r-MIN(ROW(BP16:BP63))+1,_xlpm.f,INDEX(BS16:BS63,_xlpm.p),_xlpm.u,INDEX(BT16:BT63,_xlpm.p),_xlpm.s,INDEX(BV16:BV63,_xlpm.p),_xlpm.q,N(BA229)/_xlpm.f,IF(_xlpm.q&gt;=_xlpm.s,ROUND(_xlpm.q,1)&amp;" "&amp;_xlpm.ai_test&amp;" = "&amp;ROUND(_xlpm.q*_xlpm.f,1)&amp;" "&amp;_xlpm.u,ROUND(_xlpm.q,1)&amp;" "&amp;_xlpm.ai_test)),""),""))))</f>
        <v>0</v>
      </c>
      <c r="BD229" s="801"/>
      <c r="BE229" s="788">
        <f t="shared" si="126"/>
        <v>0</v>
      </c>
      <c r="BF229" s="789" t="str">
        <f t="shared" si="132"/>
        <v/>
      </c>
      <c r="BG229" s="790">
        <f t="shared" si="133"/>
        <v>0</v>
      </c>
      <c r="BH229" s="791" t="str">
        <f t="shared" si="134"/>
        <v/>
      </c>
      <c r="BI229" s="792"/>
      <c r="BJ229" s="793">
        <f t="shared" si="135"/>
        <v>0</v>
      </c>
      <c r="BK229" s="794" t="str">
        <f t="shared" si="127"/>
        <v/>
      </c>
      <c r="BL229" s="227" t="s">
        <v>21</v>
      </c>
      <c r="BM229" s="773">
        <f t="shared" si="117"/>
        <v>0</v>
      </c>
      <c r="BN229" s="774">
        <f t="shared" si="118"/>
        <v>0</v>
      </c>
      <c r="BO229"/>
      <c r="BX229"/>
      <c r="BY229"/>
      <c r="BZ229"/>
      <c r="CA229"/>
      <c r="CB229"/>
      <c r="CC229"/>
      <c r="CD229" s="781" t="str">
        <f t="shared" si="113"/>
        <v>A</v>
      </c>
      <c r="CE229"/>
      <c r="CF229"/>
      <c r="CG229"/>
      <c r="CH229"/>
      <c r="CI229"/>
      <c r="CJ229" s="633"/>
      <c r="CK229"/>
      <c r="CL229"/>
      <c r="CM229"/>
      <c r="CN229"/>
      <c r="CO229"/>
      <c r="CP229"/>
      <c r="CQ229"/>
      <c r="CS229"/>
      <c r="CT229"/>
      <c r="CU229"/>
      <c r="CV229"/>
      <c r="CW229"/>
      <c r="CX229"/>
      <c r="CY229"/>
      <c r="DA229"/>
      <c r="DB229"/>
      <c r="DC229"/>
      <c r="DD229"/>
      <c r="DE229"/>
      <c r="DF229"/>
      <c r="DG229"/>
      <c r="DI229" s="3">
        <v>1</v>
      </c>
    </row>
    <row r="230" spans="1:113" s="627" customFormat="1" ht="21" customHeight="1">
      <c r="A230" s="701" t="s">
        <v>21</v>
      </c>
      <c r="B230" s="2265" t="str" cm="1">
        <f t="array" ref="B230">SUMPRODUCT(--(D230:J230&lt;&gt;""), LEN(TRIM(SUBSTITUTE(D230:J230, CHAR(160), "")))) &amp; " Car."</f>
        <v>0 Car.</v>
      </c>
      <c r="C230" s="1376" t="str">
        <f>IF(ISBLANK(D230),"",LARGE(C13:C229,1)+1)</f>
        <v/>
      </c>
      <c r="D230" s="1833"/>
      <c r="E230" s="1810"/>
      <c r="F230" s="1810"/>
      <c r="G230" s="1810"/>
      <c r="H230" s="1810"/>
      <c r="I230" s="1810"/>
      <c r="J230" s="1810"/>
      <c r="K230" s="1810"/>
      <c r="L230" s="1811"/>
      <c r="M230" s="9"/>
      <c r="N230" s="103" t="str">
        <f t="shared" si="114"/>
        <v>A</v>
      </c>
      <c r="O230" s="1616"/>
      <c r="P230" s="9"/>
      <c r="Q230" s="103" t="str">
        <f t="shared" si="130"/>
        <v>A</v>
      </c>
      <c r="R230" s="31" t="str">
        <f>R215</f>
        <v>M MILLE-FEUILLE meringue et chiboust pamplemousse aux fraises des bois | collez la--FAMILLE| Auteur &gt; recette Béghin Say de Jean-Jacques Borne MOF 1994</v>
      </c>
      <c r="S230" s="32">
        <f>S215</f>
        <v>18</v>
      </c>
      <c r="T230" s="31" t="str">
        <f>T215</f>
        <v>desserts</v>
      </c>
      <c r="U230" s="33" t="str">
        <f>U215</f>
        <v>Recette mère ► MILLE-FEUILLE  aux fraises des bois</v>
      </c>
      <c r="V230" s="89"/>
      <c r="W230" s="108"/>
      <c r="X230" s="91" t="str">
        <f t="shared" si="129"/>
        <v/>
      </c>
      <c r="Y230" s="92">
        <v>100</v>
      </c>
      <c r="Z230" s="104" t="s">
        <v>100</v>
      </c>
      <c r="AA230" s="130">
        <v>1</v>
      </c>
      <c r="AB230" s="1813" t="str">
        <f>ROWS(AB219:AB230)&amp;" ►"</f>
        <v>12 ►</v>
      </c>
      <c r="AC230" s="1580" t="s">
        <v>3061</v>
      </c>
      <c r="AD230" s="95">
        <f>IF(AF249=0,0,(AF230/AF249)*AE218*1000)</f>
        <v>63.653723742838949</v>
      </c>
      <c r="AE230" s="105">
        <f>IF(AF249=0, 0, (V230*AA230)/(AF249*AE218))</f>
        <v>0</v>
      </c>
      <c r="AF230" s="97" cm="1">
        <f t="array" ref="AF230">IFERROR(_xlfn.XLOOKUP(UPPER(TRIM(Z230)),UPPER(TRIM(V250:AJ250)),V251:AJ251,_xlfn.XLOOKUP(UPPER(TRIM(Z230)),UPPER(TRIM(V252:AJ252)),V253:AJ253,0))*Y230*IF(V230&gt;0,V230,1),0)</f>
        <v>0.1</v>
      </c>
      <c r="AG230" s="110">
        <f>IF(AI214&lt;&gt;0,V230*AA230*AA214,0)</f>
        <v>0</v>
      </c>
      <c r="AH230" s="1748">
        <f t="shared" si="131"/>
        <v>0</v>
      </c>
      <c r="AI230" s="99">
        <f>IF(OR(ISBLANK(AI214),AI214=0),0,AF230*AA230*AA214)</f>
        <v>0.2</v>
      </c>
      <c r="AJ230" s="129" t="str">
        <f>IF(Z230="","",IF(COUNTIF(AC250:AJ250,SUBSTITUTE(TRIM(Z230)," (s)",""))+COUNTIF(AC252:AJ252,SUBSTITUTE(TRIM(Z230)," (s)",""))&gt;0,IF(ROUND(AI230,3)&gt;=1,ROUND(AI230,3)&amp;" L",MAX(1,ROUND(AI230*100,0))&amp;" cl"),IF(COUNTIF(V250:AA250,SUBSTITUTE(TRIM(Z230)," (s)",""))+COUNTIF(V252:AA252,SUBSTITUTE(TRIM(Z230)," (s)",""))&gt;0,IF(ROUND(AI230,3)&gt;=1,ROUND(AI230,3)&amp;" Kg",MAX(1,ROUND(AI230*1000,0))&amp;" g"),"")))</f>
        <v>200 g</v>
      </c>
      <c r="AK230" s="6120" t="str">
        <f t="shared" si="128"/>
        <v>A</v>
      </c>
      <c r="AL230" s="781" t="str">
        <f t="shared" si="116"/>
        <v>A</v>
      </c>
      <c r="AM230" s="5498" t="str">
        <f t="shared" si="119"/>
        <v>M MILLE-FEUILLE meringue et chiboust pamplemousse aux fraises des bois | collez la--FAMILLE| Auteur &gt; recette Béghin Say de Jean-Jacques Borne MOF 1994</v>
      </c>
      <c r="AN230" s="783">
        <f t="shared" si="120"/>
        <v>18</v>
      </c>
      <c r="AO230" s="782" t="str">
        <f t="shared" si="121"/>
        <v>desserts</v>
      </c>
      <c r="AP230" s="783" t="str">
        <f t="shared" si="122"/>
        <v>g</v>
      </c>
      <c r="AQ230" s="2083" t="b">
        <f>AND(Q230="A",COUNTIF(BP16:BR63,TRIM(Z230))&gt;0)</f>
        <v>1</v>
      </c>
      <c r="AR230" s="797">
        <f>IF(AL230&lt;&gt;"A","",IFERROR(IFERROR(_xlfn.XLOOKUP(TRIM(SUBSTITUTE(Z230,CHAR(160)," ")),BP16:BP63,BS16:BS63),IFERROR(_xlfn.XLOOKUP(TRIM(SUBSTITUTE(Z230,CHAR(160)," ")),BQ16:BQ63,BS16:BS63),_xlfn.XLOOKUP(TRIM(SUBSTITUTE(Z230,CHAR(160)," ")),BR16:BR63,BS16:BS63)))*Y230*IF(ISBLANK(V230),1,V230),0))</f>
        <v>0.1</v>
      </c>
      <c r="AS230" s="784" t="str">
        <f t="shared" si="112"/>
        <v>Kg</v>
      </c>
      <c r="AT230" s="1315" t="str">
        <f t="shared" si="123"/>
        <v>❾ Author reference &gt;</v>
      </c>
      <c r="AU230" s="785">
        <f t="shared" si="124"/>
        <v>18</v>
      </c>
      <c r="AV230" s="785" t="str">
        <f t="shared" si="125"/>
        <v>desserts</v>
      </c>
      <c r="AW230" s="798">
        <f>IF(AK230="A",AY10,0)</f>
        <v>20</v>
      </c>
      <c r="AX230" s="5496" t="str">
        <f>IF(IFERROR(SEARCH("Adresse PC",TRIM(W230)),0)&gt;0,"▼ receta siguiente",IF(AK230="A",IF(AZ10&lt;&gt;"",AZ10&amp;" - ou.or.o ❾ + or - &gt;",""),""))</f>
        <v>parts - ou.or.o ❾ + or - &gt;</v>
      </c>
      <c r="AY230" s="810"/>
      <c r="AZ230" s="810"/>
      <c r="BA230" s="799">
        <f t="shared" si="115"/>
        <v>0.11111111111111112</v>
      </c>
      <c r="BB230" s="800" t="str">
        <f>IF(AK230="A",IF(AQ230,IF(AND(AW230&lt;&gt;"",N(AW230)&gt;0),IFERROR(IFERROR(_xlfn.XLOOKUP(AP230,BP10:BP57,BT10:BT57),IFERROR(_xlfn.XLOOKUP(AP230,BQ10:BQ57,BT10:BT57),_xlfn.XLOOKUP(AP230,BR10:BR57,BT10:BT57,""))),""),""),""),"")</f>
        <v>Kg</v>
      </c>
      <c r="BC230" s="813" t="str" cm="1">
        <f t="array" ref="BC230">IF(NOT(AQ230),0,IF(OR(BA230="",N(BA230)&lt;=0.000000001),"",IF(OR(AU230="",N(AU230)&lt;=0.000000001),0,IF(ISNUMBER(BA230),IFERROR(_xlfn.LET(_xlpm.ai_test,TRIM(AP230),_xlpm.r,IFERROR(_xlfn.XLOOKUP(_xlpm.ai_test,BP16:BP63,ROW(BP16:BP63),0,1),IFERROR(_xlfn.XLOOKUP(_xlpm.ai_test,BQ16:BQ63,ROW(BQ16:BQ63),0,1),_xlfn.XLOOKUP(_xlpm.ai_test,BR16:BR63,ROW(BR16:BR63),0,1))),_xlpm.p,_xlpm.r-MIN(ROW(BP16:BP63))+1,_xlpm.f,INDEX(BS16:BS63,_xlpm.p),_xlpm.u,INDEX(BT16:BT63,_xlpm.p),_xlpm.s,INDEX(BV16:BV63,_xlpm.p),_xlpm.q,N(BA230)/_xlpm.f,IF(_xlpm.q&gt;=_xlpm.s,ROUND(_xlpm.q,1)&amp;" "&amp;_xlpm.ai_test&amp;" = "&amp;ROUND(_xlpm.q*_xlpm.f,1)&amp;" "&amp;_xlpm.u,ROUND(_xlpm.q,1)&amp;" "&amp;_xlpm.ai_test)),""),""))))</f>
        <v>111.1 g</v>
      </c>
      <c r="BD230" s="801"/>
      <c r="BE230" s="799">
        <f t="shared" si="126"/>
        <v>0.11111111111111112</v>
      </c>
      <c r="BF230" s="800" t="str">
        <f t="shared" si="132"/>
        <v>Kg</v>
      </c>
      <c r="BG230" s="802">
        <f t="shared" si="133"/>
        <v>0</v>
      </c>
      <c r="BH230" s="803" t="str">
        <f t="shared" si="134"/>
        <v/>
      </c>
      <c r="BI230" s="792"/>
      <c r="BJ230" s="804">
        <f t="shared" si="135"/>
        <v>0</v>
      </c>
      <c r="BK230" s="794" t="str">
        <f t="shared" si="127"/>
        <v>blancs d'œufs</v>
      </c>
      <c r="BL230" s="227" t="s">
        <v>21</v>
      </c>
      <c r="BM230" s="773">
        <f t="shared" si="117"/>
        <v>0</v>
      </c>
      <c r="BN230" s="774">
        <f t="shared" si="118"/>
        <v>1.1111111111111112</v>
      </c>
      <c r="BO230"/>
      <c r="BX230"/>
      <c r="BY230"/>
      <c r="BZ230"/>
      <c r="CA230"/>
      <c r="CB230"/>
      <c r="CC230"/>
      <c r="CD230" s="781" t="str">
        <f t="shared" si="113"/>
        <v>A</v>
      </c>
      <c r="CE230"/>
      <c r="CF230"/>
      <c r="CG230"/>
      <c r="CH230"/>
      <c r="CI230"/>
      <c r="CJ230" s="633"/>
      <c r="CK230"/>
      <c r="CL230"/>
      <c r="CM230"/>
      <c r="CN230"/>
      <c r="CO230"/>
      <c r="CP230"/>
      <c r="CQ230"/>
      <c r="CS230"/>
      <c r="CT230"/>
      <c r="CU230"/>
      <c r="CV230"/>
      <c r="CW230"/>
      <c r="CX230"/>
      <c r="CY230"/>
      <c r="DA230"/>
      <c r="DB230"/>
      <c r="DC230"/>
      <c r="DD230"/>
      <c r="DE230"/>
      <c r="DF230"/>
      <c r="DG230"/>
      <c r="DI230" s="3">
        <v>1</v>
      </c>
    </row>
    <row r="231" spans="1:113" s="627" customFormat="1" ht="21" customHeight="1">
      <c r="A231" s="701" t="s">
        <v>21</v>
      </c>
      <c r="B231" s="2265" t="str" cm="1">
        <f t="array" ref="B231">SUMPRODUCT(--(D231:J231&lt;&gt;""), LEN(TRIM(SUBSTITUTE(D231:J231, CHAR(160), "")))) &amp; " Car."</f>
        <v>0 Car.</v>
      </c>
      <c r="C231" s="1376" t="str">
        <f>IF(ISBLANK(D231),"",LARGE(C13:C230,1)+1)</f>
        <v/>
      </c>
      <c r="D231" s="1833"/>
      <c r="E231" s="1810"/>
      <c r="F231" s="1810"/>
      <c r="G231" s="1810"/>
      <c r="H231" s="1810"/>
      <c r="I231" s="1810"/>
      <c r="J231" s="1810"/>
      <c r="K231" s="1810"/>
      <c r="L231" s="1811"/>
      <c r="M231" s="9"/>
      <c r="N231" s="103" t="str">
        <f t="shared" si="114"/>
        <v>A</v>
      </c>
      <c r="O231" s="1616"/>
      <c r="P231" s="9"/>
      <c r="Q231" s="103" t="str">
        <f t="shared" si="130"/>
        <v>A</v>
      </c>
      <c r="R231" s="31" t="str">
        <f>R215</f>
        <v>M MILLE-FEUILLE meringue et chiboust pamplemousse aux fraises des bois | collez la--FAMILLE| Auteur &gt; recette Béghin Say de Jean-Jacques Borne MOF 1994</v>
      </c>
      <c r="S231" s="32">
        <f>S215</f>
        <v>18</v>
      </c>
      <c r="T231" s="31" t="str">
        <f>T215</f>
        <v>desserts</v>
      </c>
      <c r="U231" s="33" t="str">
        <f>U215</f>
        <v>Recette mère ► MILLE-FEUILLE  aux fraises des bois</v>
      </c>
      <c r="V231" s="89"/>
      <c r="W231" s="108"/>
      <c r="X231" s="91" t="str">
        <f t="shared" si="129"/>
        <v/>
      </c>
      <c r="Y231" s="92">
        <v>100</v>
      </c>
      <c r="Z231" s="104" t="s">
        <v>100</v>
      </c>
      <c r="AA231" s="130">
        <v>1</v>
      </c>
      <c r="AB231" s="1813" t="str">
        <f>ROWS(AB219:AB231)&amp;" ►"</f>
        <v>13 ►</v>
      </c>
      <c r="AC231" s="1580" t="s">
        <v>3062</v>
      </c>
      <c r="AD231" s="95">
        <f>IF(AF249=0,0,(AF231/AF249)*AE218*1000)</f>
        <v>63.653723742838949</v>
      </c>
      <c r="AE231" s="105">
        <f>IF(AF249=0, 0, (V231*AA231)/(AF249*AE218))</f>
        <v>0</v>
      </c>
      <c r="AF231" s="97" cm="1">
        <f t="array" ref="AF231">IFERROR(_xlfn.XLOOKUP(UPPER(TRIM(Z231)),UPPER(TRIM(V250:AJ250)),V251:AJ251,_xlfn.XLOOKUP(UPPER(TRIM(Z231)),UPPER(TRIM(V252:AJ252)),V253:AJ253,0))*Y231*IF(V231&gt;0,V231,1),0)</f>
        <v>0.1</v>
      </c>
      <c r="AG231" s="106">
        <f>IF(AI214&lt;&gt;0,V231*AA231*AA214,0)</f>
        <v>0</v>
      </c>
      <c r="AH231" s="1747">
        <f t="shared" si="131"/>
        <v>0</v>
      </c>
      <c r="AI231" s="99">
        <f>IF(OR(ISBLANK(AI214),AI214=0),0,AF231*AA231*AA214)</f>
        <v>0.2</v>
      </c>
      <c r="AJ231" s="107" t="str">
        <f>IF(Z231="","",IF(COUNTIF(AC250:AJ250,SUBSTITUTE(TRIM(Z231)," (s)",""))+COUNTIF(AC252:AJ252,SUBSTITUTE(TRIM(Z231)," (s)",""))&gt;0,IF(ROUND(AI231,3)&gt;=1,ROUND(AI231,3)&amp;" L",MAX(1,ROUND(AI231*100,0))&amp;" cl"),IF(COUNTIF(V250:AA250,SUBSTITUTE(TRIM(Z231)," (s)",""))+COUNTIF(V252:AA252,SUBSTITUTE(TRIM(Z231)," (s)",""))&gt;0,IF(ROUND(AI231,3)&gt;=1,ROUND(AI231,3)&amp;" Kg",MAX(1,ROUND(AI231*1000,0))&amp;" g"),"")))</f>
        <v>200 g</v>
      </c>
      <c r="AK231" s="6120" t="str">
        <f t="shared" si="128"/>
        <v>A</v>
      </c>
      <c r="AL231" s="781" t="str">
        <f t="shared" si="116"/>
        <v>A</v>
      </c>
      <c r="AM231" s="5499" t="str">
        <f t="shared" si="119"/>
        <v>M MILLE-FEUILLE meringue et chiboust pamplemousse aux fraises des bois | collez la--FAMILLE| Auteur &gt; recette Béghin Say de Jean-Jacques Borne MOF 1994</v>
      </c>
      <c r="AN231" s="783">
        <f t="shared" si="120"/>
        <v>18</v>
      </c>
      <c r="AO231" s="782" t="str">
        <f t="shared" si="121"/>
        <v>desserts</v>
      </c>
      <c r="AP231" s="783" t="str">
        <f t="shared" si="122"/>
        <v>g</v>
      </c>
      <c r="AQ231" s="2083" t="b">
        <f>AND(Q231="A",COUNTIF(BP16:BR63,TRIM(Z231))&gt;0)</f>
        <v>1</v>
      </c>
      <c r="AR231" s="797">
        <f>IF(AL231&lt;&gt;"A","",IFERROR(IFERROR(_xlfn.XLOOKUP(TRIM(SUBSTITUTE(Z231,CHAR(160)," ")),BP16:BP63,BS16:BS63),IFERROR(_xlfn.XLOOKUP(TRIM(SUBSTITUTE(Z231,CHAR(160)," ")),BQ16:BQ63,BS16:BS63),_xlfn.XLOOKUP(TRIM(SUBSTITUTE(Z231,CHAR(160)," ")),BR16:BR63,BS16:BS63)))*Y231*IF(ISBLANK(V231),1,V231),0))</f>
        <v>0.1</v>
      </c>
      <c r="AS231" s="784" t="str">
        <f t="shared" si="112"/>
        <v>Kg</v>
      </c>
      <c r="AT231" s="1315" t="str">
        <f t="shared" si="123"/>
        <v>❾ Author reference &gt;</v>
      </c>
      <c r="AU231" s="785">
        <f t="shared" si="124"/>
        <v>18</v>
      </c>
      <c r="AV231" s="785" t="str">
        <f t="shared" si="125"/>
        <v>desserts</v>
      </c>
      <c r="AW231" s="786">
        <f>IF(AK231="A",AY10,0)</f>
        <v>20</v>
      </c>
      <c r="AX231" s="5495" t="str">
        <f>IF(IFERROR(SEARCH("Adresse PC",TRIM(W231)),0)&gt;0,"▼ receta siguiente",IF(AK231="A",IF(AZ10&lt;&gt;"",AZ10&amp;" - ou.or.o ❾ + or - &gt;",""),""))</f>
        <v>parts - ou.or.o ❾ + or - &gt;</v>
      </c>
      <c r="AY231" s="810"/>
      <c r="AZ231" s="810"/>
      <c r="BA231" s="788">
        <f t="shared" si="115"/>
        <v>0.11111111111111112</v>
      </c>
      <c r="BB231" s="789" t="str">
        <f>IF(AK231="A",IF(AQ231,IF(AND(AW231&lt;&gt;"",N(AW231)&gt;0),IFERROR(IFERROR(_xlfn.XLOOKUP(AP231,BP10:BP57,BT10:BT57),IFERROR(_xlfn.XLOOKUP(AP231,BQ10:BQ57,BT10:BT57),_xlfn.XLOOKUP(AP231,BR10:BR57,BT10:BT57,""))),""),""),""),"")</f>
        <v>Kg</v>
      </c>
      <c r="BC231" s="811" t="str" cm="1">
        <f t="array" ref="BC231">IF(NOT(AQ231),0,IF(OR(BA231="",N(BA231)&lt;=0.000000001),"",IF(OR(AU231="",N(AU231)&lt;=0.000000001),0,IF(ISNUMBER(BA231),IFERROR(_xlfn.LET(_xlpm.ai_test,TRIM(AP231),_xlpm.r,IFERROR(_xlfn.XLOOKUP(_xlpm.ai_test,BP16:BP63,ROW(BP16:BP63),0,1),IFERROR(_xlfn.XLOOKUP(_xlpm.ai_test,BQ16:BQ63,ROW(BQ16:BQ63),0,1),_xlfn.XLOOKUP(_xlpm.ai_test,BR16:BR63,ROW(BR16:BR63),0,1))),_xlpm.p,_xlpm.r-MIN(ROW(BP16:BP63))+1,_xlpm.f,INDEX(BS16:BS63,_xlpm.p),_xlpm.u,INDEX(BT16:BT63,_xlpm.p),_xlpm.s,INDEX(BV16:BV63,_xlpm.p),_xlpm.q,N(BA231)/_xlpm.f,IF(_xlpm.q&gt;=_xlpm.s,ROUND(_xlpm.q,1)&amp;" "&amp;_xlpm.ai_test&amp;" = "&amp;ROUND(_xlpm.q*_xlpm.f,1)&amp;" "&amp;_xlpm.u,ROUND(_xlpm.q,1)&amp;" "&amp;_xlpm.ai_test)),""),""))))</f>
        <v>111.1 g</v>
      </c>
      <c r="BD231" s="801"/>
      <c r="BE231" s="788">
        <f t="shared" si="126"/>
        <v>0.11111111111111112</v>
      </c>
      <c r="BF231" s="789" t="str">
        <f t="shared" si="132"/>
        <v>Kg</v>
      </c>
      <c r="BG231" s="790">
        <f t="shared" si="133"/>
        <v>0</v>
      </c>
      <c r="BH231" s="791" t="str">
        <f t="shared" si="134"/>
        <v/>
      </c>
      <c r="BI231" s="792"/>
      <c r="BJ231" s="793">
        <f t="shared" si="135"/>
        <v>0</v>
      </c>
      <c r="BK231" s="794" t="str">
        <f t="shared" si="127"/>
        <v>sucre cristalisé</v>
      </c>
      <c r="BL231" s="227" t="s">
        <v>21</v>
      </c>
      <c r="BM231" s="773">
        <f t="shared" si="117"/>
        <v>0</v>
      </c>
      <c r="BN231" s="774">
        <f t="shared" si="118"/>
        <v>1.1111111111111112</v>
      </c>
      <c r="BO231"/>
      <c r="BX231"/>
      <c r="BY231"/>
      <c r="BZ231"/>
      <c r="CA231"/>
      <c r="CB231"/>
      <c r="CC231"/>
      <c r="CD231" s="781" t="str">
        <f t="shared" si="113"/>
        <v>A</v>
      </c>
      <c r="CE231"/>
      <c r="CF231"/>
      <c r="CG231"/>
      <c r="CH231"/>
      <c r="CI231"/>
      <c r="CJ231" s="633"/>
      <c r="CK231"/>
      <c r="CL231"/>
      <c r="CM231"/>
      <c r="CN231"/>
      <c r="CO231"/>
      <c r="CP231"/>
      <c r="CQ231"/>
      <c r="CS231"/>
      <c r="CT231"/>
      <c r="CU231"/>
      <c r="CV231"/>
      <c r="CW231"/>
      <c r="CX231"/>
      <c r="CY231"/>
      <c r="DA231"/>
      <c r="DB231"/>
      <c r="DC231"/>
      <c r="DD231"/>
      <c r="DE231"/>
      <c r="DF231"/>
      <c r="DG231"/>
      <c r="DI231" s="3">
        <v>1</v>
      </c>
    </row>
    <row r="232" spans="1:113" s="627" customFormat="1" ht="21" customHeight="1">
      <c r="A232" s="701" t="s">
        <v>21</v>
      </c>
      <c r="B232" s="2265" t="str" cm="1">
        <f t="array" ref="B232">SUMPRODUCT(--(D232:J232&lt;&gt;""), LEN(TRIM(SUBSTITUTE(D232:J232, CHAR(160), "")))) &amp; " Car."</f>
        <v>0 Car.</v>
      </c>
      <c r="C232" s="1376" t="str">
        <f>IF(ISBLANK(D232),"",LARGE(C13:C231,1)+1)</f>
        <v/>
      </c>
      <c r="D232" s="1833"/>
      <c r="E232" s="1810"/>
      <c r="F232" s="1810"/>
      <c r="G232" s="1810"/>
      <c r="H232" s="1810"/>
      <c r="I232" s="1810"/>
      <c r="J232" s="1810"/>
      <c r="K232" s="1810"/>
      <c r="L232" s="1811"/>
      <c r="M232" s="9"/>
      <c r="N232" s="103" t="str">
        <f t="shared" si="114"/>
        <v>A</v>
      </c>
      <c r="O232" s="1616"/>
      <c r="P232" s="9"/>
      <c r="Q232" s="103" t="str">
        <f t="shared" si="130"/>
        <v>A</v>
      </c>
      <c r="R232" s="31" t="str">
        <f>R215</f>
        <v>M MILLE-FEUILLE meringue et chiboust pamplemousse aux fraises des bois | collez la--FAMILLE| Auteur &gt; recette Béghin Say de Jean-Jacques Borne MOF 1994</v>
      </c>
      <c r="S232" s="32">
        <f>S215</f>
        <v>18</v>
      </c>
      <c r="T232" s="31" t="str">
        <f>T215</f>
        <v>desserts</v>
      </c>
      <c r="U232" s="33" t="str">
        <f>U215</f>
        <v>Recette mère ► MILLE-FEUILLE  aux fraises des bois</v>
      </c>
      <c r="V232" s="89"/>
      <c r="W232" s="108"/>
      <c r="X232" s="91" t="str">
        <f t="shared" si="129"/>
        <v/>
      </c>
      <c r="Y232" s="92">
        <v>100</v>
      </c>
      <c r="Z232" s="104" t="s">
        <v>100</v>
      </c>
      <c r="AA232" s="130">
        <v>1</v>
      </c>
      <c r="AB232" s="1813" t="str">
        <f>ROWS(AB219:AB232)&amp;" ►"</f>
        <v>14 ►</v>
      </c>
      <c r="AC232" s="1580" t="s">
        <v>3063</v>
      </c>
      <c r="AD232" s="95">
        <f>IF(AF249=0,0,(AF232/AF249)*AE218*1000)</f>
        <v>63.653723742838949</v>
      </c>
      <c r="AE232" s="105">
        <f>IF(AF249=0, 0, (V232*AA232)/(AF249*AE218))</f>
        <v>0</v>
      </c>
      <c r="AF232" s="97" cm="1">
        <f t="array" ref="AF232">IFERROR(_xlfn.XLOOKUP(UPPER(TRIM(Z232)),UPPER(TRIM(V250:AJ250)),V251:AJ251,_xlfn.XLOOKUP(UPPER(TRIM(Z232)),UPPER(TRIM(V252:AJ252)),V253:AJ253,0))*Y232*IF(V232&gt;0,V232,1),0)</f>
        <v>0.1</v>
      </c>
      <c r="AG232" s="110">
        <f>IF(AI214&lt;&gt;0,V232*AA232*AA214,0)</f>
        <v>0</v>
      </c>
      <c r="AH232" s="1748">
        <f t="shared" si="131"/>
        <v>0</v>
      </c>
      <c r="AI232" s="99">
        <f>IF(OR(ISBLANK(AI214),AI214=0),0,AF232*AA232*AA214)</f>
        <v>0.2</v>
      </c>
      <c r="AJ232" s="129" t="str">
        <f>IF(Z232="","",IF(COUNTIF(AC250:AJ250,SUBSTITUTE(TRIM(Z232)," (s)",""))+COUNTIF(AC252:AJ252,SUBSTITUTE(TRIM(Z232)," (s)",""))&gt;0,IF(ROUND(AI232,3)&gt;=1,ROUND(AI232,3)&amp;" L",MAX(1,ROUND(AI232*100,0))&amp;" cl"),IF(COUNTIF(V250:AA250,SUBSTITUTE(TRIM(Z232)," (s)",""))+COUNTIF(V252:AA252,SUBSTITUTE(TRIM(Z232)," (s)",""))&gt;0,IF(ROUND(AI232,3)&gt;=1,ROUND(AI232,3)&amp;" Kg",MAX(1,ROUND(AI232*1000,0))&amp;" g"),"")))</f>
        <v>200 g</v>
      </c>
      <c r="AK232" s="6120" t="str">
        <f t="shared" si="128"/>
        <v>A</v>
      </c>
      <c r="AL232" s="781" t="str">
        <f t="shared" si="116"/>
        <v>A</v>
      </c>
      <c r="AM232" s="5498" t="str">
        <f t="shared" si="119"/>
        <v>M MILLE-FEUILLE meringue et chiboust pamplemousse aux fraises des bois | collez la--FAMILLE| Auteur &gt; recette Béghin Say de Jean-Jacques Borne MOF 1994</v>
      </c>
      <c r="AN232" s="783">
        <f t="shared" si="120"/>
        <v>18</v>
      </c>
      <c r="AO232" s="782" t="str">
        <f t="shared" si="121"/>
        <v>desserts</v>
      </c>
      <c r="AP232" s="783" t="str">
        <f t="shared" si="122"/>
        <v>g</v>
      </c>
      <c r="AQ232" s="2083" t="b">
        <f>AND(Q232="A",COUNTIF(BP16:BR63,TRIM(Z232))&gt;0)</f>
        <v>1</v>
      </c>
      <c r="AR232" s="797">
        <f>IF(AL232&lt;&gt;"A","",IFERROR(IFERROR(_xlfn.XLOOKUP(TRIM(SUBSTITUTE(Z232,CHAR(160)," ")),BP16:BP63,BS16:BS63),IFERROR(_xlfn.XLOOKUP(TRIM(SUBSTITUTE(Z232,CHAR(160)," ")),BQ16:BQ63,BS16:BS63),_xlfn.XLOOKUP(TRIM(SUBSTITUTE(Z232,CHAR(160)," ")),BR16:BR63,BS16:BS63)))*Y232*IF(ISBLANK(V232),1,V232),0))</f>
        <v>0.1</v>
      </c>
      <c r="AS232" s="784" t="str">
        <f t="shared" si="112"/>
        <v>Kg</v>
      </c>
      <c r="AT232" s="1315" t="str">
        <f t="shared" si="123"/>
        <v>❾ Author reference &gt;</v>
      </c>
      <c r="AU232" s="785">
        <f t="shared" si="124"/>
        <v>18</v>
      </c>
      <c r="AV232" s="785" t="str">
        <f t="shared" si="125"/>
        <v>desserts</v>
      </c>
      <c r="AW232" s="798">
        <f>IF(AK232="A",AY10,0)</f>
        <v>20</v>
      </c>
      <c r="AX232" s="5496" t="str">
        <f>IF(IFERROR(SEARCH("Adresse PC",TRIM(W232)),0)&gt;0,"▼ receta siguiente",IF(AK232="A",IF(AZ10&lt;&gt;"",AZ10&amp;" - ou.or.o ❾ + or - &gt;",""),""))</f>
        <v>parts - ou.or.o ❾ + or - &gt;</v>
      </c>
      <c r="AY232" s="810"/>
      <c r="AZ232" s="810"/>
      <c r="BA232" s="799">
        <f t="shared" si="115"/>
        <v>0.11111111111111112</v>
      </c>
      <c r="BB232" s="800" t="str">
        <f>IF(AK232="A",IF(AQ232,IF(AND(AW232&lt;&gt;"",N(AW232)&gt;0),IFERROR(IFERROR(_xlfn.XLOOKUP(AP232,BP10:BP57,BT10:BT57),IFERROR(_xlfn.XLOOKUP(AP232,BQ10:BQ57,BT10:BT57),_xlfn.XLOOKUP(AP232,BR10:BR57,BT10:BT57,""))),""),""),""),"")</f>
        <v>Kg</v>
      </c>
      <c r="BC232" s="813" t="str" cm="1">
        <f t="array" ref="BC232">IF(NOT(AQ232),0,IF(OR(BA232="",N(BA232)&lt;=0.000000001),"",IF(OR(AU232="",N(AU232)&lt;=0.000000001),0,IF(ISNUMBER(BA232),IFERROR(_xlfn.LET(_xlpm.ai_test,TRIM(AP232),_xlpm.r,IFERROR(_xlfn.XLOOKUP(_xlpm.ai_test,BP16:BP63,ROW(BP16:BP63),0,1),IFERROR(_xlfn.XLOOKUP(_xlpm.ai_test,BQ16:BQ63,ROW(BQ16:BQ63),0,1),_xlfn.XLOOKUP(_xlpm.ai_test,BR16:BR63,ROW(BR16:BR63),0,1))),_xlpm.p,_xlpm.r-MIN(ROW(BP16:BP63))+1,_xlpm.f,INDEX(BS16:BS63,_xlpm.p),_xlpm.u,INDEX(BT16:BT63,_xlpm.p),_xlpm.s,INDEX(BV16:BV63,_xlpm.p),_xlpm.q,N(BA232)/_xlpm.f,IF(_xlpm.q&gt;=_xlpm.s,ROUND(_xlpm.q,1)&amp;" "&amp;_xlpm.ai_test&amp;" = "&amp;ROUND(_xlpm.q*_xlpm.f,1)&amp;" "&amp;_xlpm.u,ROUND(_xlpm.q,1)&amp;" "&amp;_xlpm.ai_test)),""),""))))</f>
        <v>111.1 g</v>
      </c>
      <c r="BD232" s="801"/>
      <c r="BE232" s="799">
        <f t="shared" si="126"/>
        <v>0.11111111111111112</v>
      </c>
      <c r="BF232" s="800" t="str">
        <f t="shared" si="132"/>
        <v>Kg</v>
      </c>
      <c r="BG232" s="802">
        <f t="shared" si="133"/>
        <v>0</v>
      </c>
      <c r="BH232" s="803" t="str">
        <f t="shared" si="134"/>
        <v/>
      </c>
      <c r="BI232" s="792"/>
      <c r="BJ232" s="804">
        <f t="shared" si="135"/>
        <v>0</v>
      </c>
      <c r="BK232" s="794" t="str">
        <f t="shared" si="127"/>
        <v>sucre glace silice</v>
      </c>
      <c r="BL232" s="227" t="s">
        <v>21</v>
      </c>
      <c r="BM232" s="773">
        <f t="shared" si="117"/>
        <v>0</v>
      </c>
      <c r="BN232" s="774">
        <f t="shared" si="118"/>
        <v>1.1111111111111112</v>
      </c>
      <c r="BO232"/>
      <c r="BX232"/>
      <c r="BY232"/>
      <c r="BZ232"/>
      <c r="CA232"/>
      <c r="CB232"/>
      <c r="CC232"/>
      <c r="CD232" s="781" t="str">
        <f t="shared" si="113"/>
        <v>A</v>
      </c>
      <c r="CE232"/>
      <c r="CF232"/>
      <c r="CG232"/>
      <c r="CH232"/>
      <c r="CI232"/>
      <c r="CJ232" s="633"/>
      <c r="CK232"/>
      <c r="CL232"/>
      <c r="CM232"/>
      <c r="CN232"/>
      <c r="CO232"/>
      <c r="CP232"/>
      <c r="CQ232"/>
      <c r="CS232"/>
      <c r="CT232"/>
      <c r="CU232"/>
      <c r="CV232"/>
      <c r="CW232"/>
      <c r="CX232"/>
      <c r="CY232"/>
      <c r="DA232"/>
      <c r="DB232"/>
      <c r="DC232"/>
      <c r="DD232"/>
      <c r="DE232"/>
      <c r="DF232"/>
      <c r="DG232"/>
      <c r="DI232" s="3">
        <v>1</v>
      </c>
    </row>
    <row r="233" spans="1:113" s="627" customFormat="1" ht="21" customHeight="1">
      <c r="A233" s="701" t="s">
        <v>21</v>
      </c>
      <c r="B233" s="2265" t="str" cm="1">
        <f t="array" ref="B233">SUMPRODUCT(--(D233:J233&lt;&gt;""), LEN(TRIM(SUBSTITUTE(D233:J233, CHAR(160), "")))) &amp; " Car."</f>
        <v>0 Car.</v>
      </c>
      <c r="C233" s="1376" t="str">
        <f>IF(ISBLANK(D233),"",LARGE(C13:C232,1)+1)</f>
        <v/>
      </c>
      <c r="D233" s="1833"/>
      <c r="E233" s="1810"/>
      <c r="F233" s="1810"/>
      <c r="G233" s="1810"/>
      <c r="H233" s="1810"/>
      <c r="I233" s="1810"/>
      <c r="J233" s="1810"/>
      <c r="K233" s="1810"/>
      <c r="L233" s="1811"/>
      <c r="M233" s="9"/>
      <c r="N233" s="103" t="str">
        <f t="shared" si="114"/>
        <v>A</v>
      </c>
      <c r="O233" s="1616"/>
      <c r="P233" s="9"/>
      <c r="Q233" s="103" t="str">
        <f t="shared" si="130"/>
        <v>A</v>
      </c>
      <c r="R233" s="31" t="str">
        <f>R215</f>
        <v>M MILLE-FEUILLE meringue et chiboust pamplemousse aux fraises des bois | collez la--FAMILLE| Auteur &gt; recette Béghin Say de Jean-Jacques Borne MOF 1994</v>
      </c>
      <c r="S233" s="32">
        <f>S215</f>
        <v>18</v>
      </c>
      <c r="T233" s="31" t="str">
        <f>T215</f>
        <v>desserts</v>
      </c>
      <c r="U233" s="33" t="str">
        <f>U215</f>
        <v>Recette mère ► MILLE-FEUILLE  aux fraises des bois</v>
      </c>
      <c r="V233" s="89"/>
      <c r="W233" s="108"/>
      <c r="X233" s="91" t="str">
        <f t="shared" si="129"/>
        <v/>
      </c>
      <c r="Y233" s="92">
        <v>30</v>
      </c>
      <c r="Z233" s="104" t="s">
        <v>100</v>
      </c>
      <c r="AA233" s="130">
        <v>1</v>
      </c>
      <c r="AB233" s="1813" t="str">
        <f>ROWS(AB219:AB233)&amp;" ►"</f>
        <v>15 ►</v>
      </c>
      <c r="AC233" s="1580" t="s">
        <v>3064</v>
      </c>
      <c r="AD233" s="95">
        <f>IF(AF249=0,0,(AF233/AF249)*AE218*1000)</f>
        <v>19.096117122851684</v>
      </c>
      <c r="AE233" s="105">
        <f>IF(AF249=0, 0, (V233*AA233)/(AF249*AE218))</f>
        <v>0</v>
      </c>
      <c r="AF233" s="97" cm="1">
        <f t="array" ref="AF233">IFERROR(_xlfn.XLOOKUP(UPPER(TRIM(Z233)),UPPER(TRIM(V250:AJ250)),V251:AJ251,_xlfn.XLOOKUP(UPPER(TRIM(Z233)),UPPER(TRIM(V252:AJ252)),V253:AJ253,0))*Y233*IF(V233&gt;0,V233,1),0)</f>
        <v>0.03</v>
      </c>
      <c r="AG233" s="106">
        <f>IF(AI214&lt;&gt;0,V233*AA233*AA214,0)</f>
        <v>0</v>
      </c>
      <c r="AH233" s="1747">
        <f t="shared" si="131"/>
        <v>0</v>
      </c>
      <c r="AI233" s="99">
        <f>IF(OR(ISBLANK(AI214),AI214=0),0,AF233*AA233*AA214)</f>
        <v>0.06</v>
      </c>
      <c r="AJ233" s="107" t="str">
        <f>IF(Z233="","",IF(COUNTIF(AC250:AJ250,SUBSTITUTE(TRIM(Z233)," (s)",""))+COUNTIF(AC252:AJ252,SUBSTITUTE(TRIM(Z233)," (s)",""))&gt;0,IF(ROUND(AI233,3)&gt;=1,ROUND(AI233,3)&amp;" L",MAX(1,ROUND(AI233*100,0))&amp;" cl"),IF(COUNTIF(V250:AA250,SUBSTITUTE(TRIM(Z233)," (s)",""))+COUNTIF(V252:AA252,SUBSTITUTE(TRIM(Z233)," (s)",""))&gt;0,IF(ROUND(AI233,3)&gt;=1,ROUND(AI233,3)&amp;" Kg",MAX(1,ROUND(AI233*1000,0))&amp;" g"),"")))</f>
        <v>60 g</v>
      </c>
      <c r="AK233" s="6120" t="str">
        <f t="shared" si="128"/>
        <v>A</v>
      </c>
      <c r="AL233" s="781" t="str">
        <f t="shared" si="116"/>
        <v>A</v>
      </c>
      <c r="AM233" s="5499" t="str">
        <f t="shared" si="119"/>
        <v>M MILLE-FEUILLE meringue et chiboust pamplemousse aux fraises des bois | collez la--FAMILLE| Auteur &gt; recette Béghin Say de Jean-Jacques Borne MOF 1994</v>
      </c>
      <c r="AN233" s="783">
        <f t="shared" si="120"/>
        <v>18</v>
      </c>
      <c r="AO233" s="782" t="str">
        <f t="shared" si="121"/>
        <v>desserts</v>
      </c>
      <c r="AP233" s="783" t="str">
        <f t="shared" si="122"/>
        <v>g</v>
      </c>
      <c r="AQ233" s="2083" t="b">
        <f>AND(Q233="A",COUNTIF(BP16:BR63,TRIM(Z233))&gt;0)</f>
        <v>1</v>
      </c>
      <c r="AR233" s="797">
        <f>IF(AL233&lt;&gt;"A","",IFERROR(IFERROR(_xlfn.XLOOKUP(TRIM(SUBSTITUTE(Z233,CHAR(160)," ")),BP16:BP63,BS16:BS63),IFERROR(_xlfn.XLOOKUP(TRIM(SUBSTITUTE(Z233,CHAR(160)," ")),BQ16:BQ63,BS16:BS63),_xlfn.XLOOKUP(TRIM(SUBSTITUTE(Z233,CHAR(160)," ")),BR16:BR63,BS16:BS63)))*Y233*IF(ISBLANK(V233),1,V233),0))</f>
        <v>0.03</v>
      </c>
      <c r="AS233" s="784" t="str">
        <f t="shared" si="112"/>
        <v>Kg</v>
      </c>
      <c r="AT233" s="1315" t="str">
        <f t="shared" si="123"/>
        <v>❾ Author reference &gt;</v>
      </c>
      <c r="AU233" s="785">
        <f t="shared" si="124"/>
        <v>18</v>
      </c>
      <c r="AV233" s="785" t="str">
        <f t="shared" si="125"/>
        <v>desserts</v>
      </c>
      <c r="AW233" s="786">
        <f>IF(AK233="A",AY10,0)</f>
        <v>20</v>
      </c>
      <c r="AX233" s="5495" t="str">
        <f>IF(IFERROR(SEARCH("Adresse PC",TRIM(W233)),0)&gt;0,"▼ receta siguiente",IF(AK233="A",IF(AZ10&lt;&gt;"",AZ10&amp;" - ou.or.o ❾ + or - &gt;",""),""))</f>
        <v>parts - ou.or.o ❾ + or - &gt;</v>
      </c>
      <c r="AY233" s="810"/>
      <c r="AZ233" s="810"/>
      <c r="BA233" s="788">
        <f t="shared" si="115"/>
        <v>3.3333333333333333E-2</v>
      </c>
      <c r="BB233" s="789" t="str">
        <f>IF(AK233="A",IF(AQ233,IF(AND(AW233&lt;&gt;"",N(AW233)&gt;0),IFERROR(IFERROR(_xlfn.XLOOKUP(AP233,BP10:BP57,BT10:BT57),IFERROR(_xlfn.XLOOKUP(AP233,BQ10:BQ57,BT10:BT57),_xlfn.XLOOKUP(AP233,BR10:BR57,BT10:BT57,""))),""),""),""),"")</f>
        <v>Kg</v>
      </c>
      <c r="BC233" s="811" t="str" cm="1">
        <f t="array" ref="BC233">IF(NOT(AQ233),0,IF(OR(BA233="",N(BA233)&lt;=0.000000001),"",IF(OR(AU233="",N(AU233)&lt;=0.000000001),0,IF(ISNUMBER(BA233),IFERROR(_xlfn.LET(_xlpm.ai_test,TRIM(AP233),_xlpm.r,IFERROR(_xlfn.XLOOKUP(_xlpm.ai_test,BP16:BP63,ROW(BP16:BP63),0,1),IFERROR(_xlfn.XLOOKUP(_xlpm.ai_test,BQ16:BQ63,ROW(BQ16:BQ63),0,1),_xlfn.XLOOKUP(_xlpm.ai_test,BR16:BR63,ROW(BR16:BR63),0,1))),_xlpm.p,_xlpm.r-MIN(ROW(BP16:BP63))+1,_xlpm.f,INDEX(BS16:BS63,_xlpm.p),_xlpm.u,INDEX(BT16:BT63,_xlpm.p),_xlpm.s,INDEX(BV16:BV63,_xlpm.p),_xlpm.q,N(BA233)/_xlpm.f,IF(_xlpm.q&gt;=_xlpm.s,ROUND(_xlpm.q,1)&amp;" "&amp;_xlpm.ai_test&amp;" = "&amp;ROUND(_xlpm.q*_xlpm.f,1)&amp;" "&amp;_xlpm.u,ROUND(_xlpm.q,1)&amp;" "&amp;_xlpm.ai_test)),""),""))))</f>
        <v>33.3 g</v>
      </c>
      <c r="BD233" s="801"/>
      <c r="BE233" s="788">
        <f t="shared" si="126"/>
        <v>3.3333333333333333E-2</v>
      </c>
      <c r="BF233" s="789" t="str">
        <f t="shared" si="132"/>
        <v>Kg</v>
      </c>
      <c r="BG233" s="790">
        <f t="shared" si="133"/>
        <v>0</v>
      </c>
      <c r="BH233" s="791" t="str">
        <f t="shared" si="134"/>
        <v/>
      </c>
      <c r="BI233" s="792"/>
      <c r="BJ233" s="793">
        <f t="shared" si="135"/>
        <v>0</v>
      </c>
      <c r="BK233" s="794" t="str">
        <f t="shared" si="127"/>
        <v>noix de coco rapée</v>
      </c>
      <c r="BL233" s="227" t="s">
        <v>21</v>
      </c>
      <c r="BM233" s="773">
        <f t="shared" si="117"/>
        <v>0</v>
      </c>
      <c r="BN233" s="774">
        <f t="shared" si="118"/>
        <v>1.1111111111111112</v>
      </c>
      <c r="BO233"/>
      <c r="BX233"/>
      <c r="BY233"/>
      <c r="BZ233"/>
      <c r="CA233"/>
      <c r="CB233"/>
      <c r="CC233"/>
      <c r="CD233" s="781" t="str">
        <f t="shared" si="113"/>
        <v>A</v>
      </c>
      <c r="CE233"/>
      <c r="CF233"/>
      <c r="CG233"/>
      <c r="CH233"/>
      <c r="CI233"/>
      <c r="CJ233" s="633"/>
      <c r="CK233"/>
      <c r="CL233"/>
      <c r="CM233"/>
      <c r="CN233"/>
      <c r="CO233"/>
      <c r="CP233"/>
      <c r="CQ233"/>
      <c r="CS233"/>
      <c r="CT233"/>
      <c r="CU233"/>
      <c r="CV233"/>
      <c r="CW233"/>
      <c r="CX233"/>
      <c r="CY233"/>
      <c r="DA233"/>
      <c r="DB233"/>
      <c r="DC233"/>
      <c r="DD233"/>
      <c r="DE233"/>
      <c r="DF233"/>
      <c r="DG233"/>
      <c r="DI233" s="3">
        <v>1</v>
      </c>
    </row>
    <row r="234" spans="1:113" s="627" customFormat="1" ht="21" customHeight="1">
      <c r="A234" s="701" t="s">
        <v>21</v>
      </c>
      <c r="B234" s="2265" t="str" cm="1">
        <f t="array" ref="B234">SUMPRODUCT(--(D234:J234&lt;&gt;""), LEN(TRIM(SUBSTITUTE(D234:J234, CHAR(160), "")))) &amp; " Car."</f>
        <v>0 Car.</v>
      </c>
      <c r="C234" s="1376" t="str">
        <f>IF(ISBLANK(D234),"",LARGE(C13:C233,1)+1)</f>
        <v/>
      </c>
      <c r="D234" s="1833"/>
      <c r="E234" s="1810"/>
      <c r="F234" s="1810"/>
      <c r="G234" s="1810"/>
      <c r="H234" s="1810"/>
      <c r="I234" s="1810"/>
      <c r="J234" s="1810"/>
      <c r="K234" s="1810"/>
      <c r="L234" s="1811"/>
      <c r="M234" s="9"/>
      <c r="N234" s="103" t="str">
        <f t="shared" si="114"/>
        <v>A</v>
      </c>
      <c r="O234" s="1616"/>
      <c r="P234" s="9"/>
      <c r="Q234" s="103" t="str">
        <f t="shared" si="130"/>
        <v>A</v>
      </c>
      <c r="R234" s="31" t="str">
        <f>R215</f>
        <v>M MILLE-FEUILLE meringue et chiboust pamplemousse aux fraises des bois | collez la--FAMILLE| Auteur &gt; recette Béghin Say de Jean-Jacques Borne MOF 1994</v>
      </c>
      <c r="S234" s="32">
        <f>S215</f>
        <v>18</v>
      </c>
      <c r="T234" s="31" t="str">
        <f>T215</f>
        <v>desserts</v>
      </c>
      <c r="U234" s="33" t="str">
        <f>U215</f>
        <v>Recette mère ► MILLE-FEUILLE  aux fraises des bois</v>
      </c>
      <c r="V234" s="89"/>
      <c r="W234" s="108"/>
      <c r="X234" s="91" t="str">
        <f t="shared" si="129"/>
        <v/>
      </c>
      <c r="Y234" s="92"/>
      <c r="Z234" s="128"/>
      <c r="AA234" s="130">
        <v>1</v>
      </c>
      <c r="AB234" s="1813" t="str">
        <f>ROWS(AB219:AB234)&amp;" ►"</f>
        <v>16 ►</v>
      </c>
      <c r="AC234" s="1580" t="s">
        <v>3065</v>
      </c>
      <c r="AD234" s="95">
        <f>IF(AF249=0,0,(AF234/AF249)*AE218*1000)</f>
        <v>0</v>
      </c>
      <c r="AE234" s="105">
        <f>IF(AF249=0, 0, (V234*AA234)/(AF249*AE218))</f>
        <v>0</v>
      </c>
      <c r="AF234" s="97" cm="1">
        <f t="array" ref="AF234">IFERROR(_xlfn.XLOOKUP(UPPER(TRIM(Z234)),UPPER(TRIM(V250:AJ250)),V251:AJ251,_xlfn.XLOOKUP(UPPER(TRIM(Z234)),UPPER(TRIM(V252:AJ252)),V253:AJ253,0))*Y234*IF(V234&gt;0,V234,1),0)</f>
        <v>0</v>
      </c>
      <c r="AG234" s="110">
        <f>IF(AI214&lt;&gt;0,V234*AA234*AA214,0)</f>
        <v>0</v>
      </c>
      <c r="AH234" s="1748">
        <f t="shared" si="131"/>
        <v>0</v>
      </c>
      <c r="AI234" s="99">
        <f>IF(OR(ISBLANK(AI214),AI214=0),0,AF234*AA234*AA214)</f>
        <v>0</v>
      </c>
      <c r="AJ234" s="129" t="str">
        <f>IF(Z234="","",IF(COUNTIF(AC250:AJ250,SUBSTITUTE(TRIM(Z234)," (s)",""))+COUNTIF(AC252:AJ252,SUBSTITUTE(TRIM(Z234)," (s)",""))&gt;0,IF(ROUND(AI234,3)&gt;=1,ROUND(AI234,3)&amp;" L",MAX(1,ROUND(AI234*100,0))&amp;" cl"),IF(COUNTIF(V250:AA250,SUBSTITUTE(TRIM(Z234)," (s)",""))+COUNTIF(V252:AA252,SUBSTITUTE(TRIM(Z234)," (s)",""))&gt;0,IF(ROUND(AI234,3)&gt;=1,ROUND(AI234,3)&amp;" Kg",MAX(1,ROUND(AI234*1000,0))&amp;" g"),"")))</f>
        <v/>
      </c>
      <c r="AK234" s="6120" t="str">
        <f t="shared" si="128"/>
        <v>A</v>
      </c>
      <c r="AL234" s="781" t="str">
        <f t="shared" si="116"/>
        <v>A</v>
      </c>
      <c r="AM234" s="5498" t="str">
        <f t="shared" si="119"/>
        <v>M MILLE-FEUILLE meringue et chiboust pamplemousse aux fraises des bois | collez la--FAMILLE| Auteur &gt; recette Béghin Say de Jean-Jacques Borne MOF 1994</v>
      </c>
      <c r="AN234" s="783">
        <f t="shared" si="120"/>
        <v>18</v>
      </c>
      <c r="AO234" s="782" t="str">
        <f t="shared" si="121"/>
        <v>desserts</v>
      </c>
      <c r="AP234" s="783">
        <f t="shared" si="122"/>
        <v>0</v>
      </c>
      <c r="AQ234" s="2083" t="b">
        <f>AND(Q234="A",COUNTIF(BP16:BR63,TRIM(Z234))&gt;0)</f>
        <v>0</v>
      </c>
      <c r="AR234" s="797">
        <f>IF(AL234&lt;&gt;"A","",IFERROR(IFERROR(_xlfn.XLOOKUP(TRIM(SUBSTITUTE(Z234,CHAR(160)," ")),BP16:BP63,BS16:BS63),IFERROR(_xlfn.XLOOKUP(TRIM(SUBSTITUTE(Z234,CHAR(160)," ")),BQ16:BQ63,BS16:BS63),_xlfn.XLOOKUP(TRIM(SUBSTITUTE(Z234,CHAR(160)," ")),BR16:BR63,BS16:BS63)))*Y234*IF(ISBLANK(V234),1,V234),0))</f>
        <v>0</v>
      </c>
      <c r="AS234" s="784" t="str">
        <f t="shared" si="112"/>
        <v/>
      </c>
      <c r="AT234" s="1315" t="str">
        <f t="shared" si="123"/>
        <v>❾ Author reference &gt;</v>
      </c>
      <c r="AU234" s="785">
        <f t="shared" si="124"/>
        <v>18</v>
      </c>
      <c r="AV234" s="785" t="str">
        <f t="shared" si="125"/>
        <v>desserts</v>
      </c>
      <c r="AW234" s="798">
        <f>IF(AK234="A",AY10,0)</f>
        <v>20</v>
      </c>
      <c r="AX234" s="5496" t="str">
        <f>IF(IFERROR(SEARCH("Adresse PC",TRIM(W234)),0)&gt;0,"▼ receta siguiente",IF(AK234="A",IF(AZ10&lt;&gt;"",AZ10&amp;" - ou.or.o ❾ + or - &gt;",""),""))</f>
        <v>parts - ou.or.o ❾ + or - &gt;</v>
      </c>
      <c r="AY234" s="810"/>
      <c r="AZ234" s="810"/>
      <c r="BA234" s="799">
        <f t="shared" si="115"/>
        <v>0</v>
      </c>
      <c r="BB234" s="800" t="str">
        <f>IF(AK234="A",IF(AQ234,IF(AND(AW234&lt;&gt;"",N(AW234)&gt;0),IFERROR(IFERROR(_xlfn.XLOOKUP(AP234,BP10:BP57,BT10:BT57),IFERROR(_xlfn.XLOOKUP(AP234,BQ10:BQ57,BT10:BT57),_xlfn.XLOOKUP(AP234,BR10:BR57,BT10:BT57,""))),""),""),""),"")</f>
        <v/>
      </c>
      <c r="BC234" s="813" cm="1">
        <f t="array" ref="BC234">IF(NOT(AQ234),0,IF(OR(BA234="",N(BA234)&lt;=0.000000001),"",IF(OR(AU234="",N(AU234)&lt;=0.000000001),0,IF(ISNUMBER(BA234),IFERROR(_xlfn.LET(_xlpm.ai_test,TRIM(AP234),_xlpm.r,IFERROR(_xlfn.XLOOKUP(_xlpm.ai_test,BP16:BP63,ROW(BP16:BP63),0,1),IFERROR(_xlfn.XLOOKUP(_xlpm.ai_test,BQ16:BQ63,ROW(BQ16:BQ63),0,1),_xlfn.XLOOKUP(_xlpm.ai_test,BR16:BR63,ROW(BR16:BR63),0,1))),_xlpm.p,_xlpm.r-MIN(ROW(BP16:BP63))+1,_xlpm.f,INDEX(BS16:BS63,_xlpm.p),_xlpm.u,INDEX(BT16:BT63,_xlpm.p),_xlpm.s,INDEX(BV16:BV63,_xlpm.p),_xlpm.q,N(BA234)/_xlpm.f,IF(_xlpm.q&gt;=_xlpm.s,ROUND(_xlpm.q,1)&amp;" "&amp;_xlpm.ai_test&amp;" = "&amp;ROUND(_xlpm.q*_xlpm.f,1)&amp;" "&amp;_xlpm.u,ROUND(_xlpm.q,1)&amp;" "&amp;_xlpm.ai_test)),""),""))))</f>
        <v>0</v>
      </c>
      <c r="BD234" s="801"/>
      <c r="BE234" s="799">
        <f t="shared" si="126"/>
        <v>0</v>
      </c>
      <c r="BF234" s="800" t="str">
        <f t="shared" si="132"/>
        <v/>
      </c>
      <c r="BG234" s="802">
        <f t="shared" si="133"/>
        <v>0</v>
      </c>
      <c r="BH234" s="803" t="str">
        <f t="shared" si="134"/>
        <v/>
      </c>
      <c r="BI234" s="792"/>
      <c r="BJ234" s="804">
        <f t="shared" si="135"/>
        <v>0</v>
      </c>
      <c r="BK234" s="794" t="str">
        <f t="shared" si="127"/>
        <v/>
      </c>
      <c r="BL234" s="227" t="s">
        <v>21</v>
      </c>
      <c r="BM234" s="773">
        <f t="shared" si="117"/>
        <v>0</v>
      </c>
      <c r="BN234" s="774">
        <f t="shared" si="118"/>
        <v>0</v>
      </c>
      <c r="BO234"/>
      <c r="BX234"/>
      <c r="BY234"/>
      <c r="BZ234"/>
      <c r="CA234"/>
      <c r="CB234"/>
      <c r="CC234"/>
      <c r="CD234" s="781" t="str">
        <f t="shared" si="113"/>
        <v>A</v>
      </c>
      <c r="CE234"/>
      <c r="CF234"/>
      <c r="CG234"/>
      <c r="CH234"/>
      <c r="CI234"/>
      <c r="CJ234" s="633"/>
      <c r="CK234"/>
      <c r="CL234"/>
      <c r="CM234"/>
      <c r="CN234"/>
      <c r="CO234"/>
      <c r="CP234"/>
      <c r="CQ234"/>
      <c r="CS234"/>
      <c r="CT234"/>
      <c r="CU234"/>
      <c r="CV234"/>
      <c r="CW234"/>
      <c r="CX234"/>
      <c r="CY234"/>
      <c r="DA234"/>
      <c r="DB234"/>
      <c r="DC234"/>
      <c r="DD234"/>
      <c r="DE234"/>
      <c r="DF234"/>
      <c r="DG234"/>
      <c r="DI234" s="3">
        <v>1</v>
      </c>
    </row>
    <row r="235" spans="1:113" s="627" customFormat="1" ht="21" customHeight="1">
      <c r="A235" s="701" t="s">
        <v>21</v>
      </c>
      <c r="B235" s="2265" t="str" cm="1">
        <f t="array" ref="B235">SUMPRODUCT(--(D235:J235&lt;&gt;""), LEN(TRIM(SUBSTITUTE(D235:J235, CHAR(160), "")))) &amp; " Car."</f>
        <v>0 Car.</v>
      </c>
      <c r="C235" s="1376" t="str">
        <f>IF(ISBLANK(D235),"",LARGE(C13:C234,1)+1)</f>
        <v/>
      </c>
      <c r="D235" s="1833"/>
      <c r="E235" s="1810"/>
      <c r="F235" s="1810"/>
      <c r="G235" s="1810"/>
      <c r="H235" s="1810"/>
      <c r="I235" s="1810"/>
      <c r="J235" s="1810"/>
      <c r="K235" s="1810"/>
      <c r="L235" s="1811"/>
      <c r="M235" s="9"/>
      <c r="N235" s="103" t="str">
        <f t="shared" si="114"/>
        <v>►</v>
      </c>
      <c r="O235" s="1616"/>
      <c r="P235" s="9"/>
      <c r="Q235" s="103" t="str">
        <f t="shared" si="130"/>
        <v>►</v>
      </c>
      <c r="R235" s="31" t="str">
        <f>R215</f>
        <v>M MILLE-FEUILLE meringue et chiboust pamplemousse aux fraises des bois | collez la--FAMILLE| Auteur &gt; recette Béghin Say de Jean-Jacques Borne MOF 1994</v>
      </c>
      <c r="S235" s="32">
        <f>S215</f>
        <v>18</v>
      </c>
      <c r="T235" s="31" t="str">
        <f>T215</f>
        <v>desserts</v>
      </c>
      <c r="U235" s="33" t="str">
        <f>U215</f>
        <v>Recette mère ► MILLE-FEUILLE  aux fraises des bois</v>
      </c>
      <c r="V235" s="89"/>
      <c r="W235" s="108"/>
      <c r="X235" s="91" t="str">
        <f t="shared" si="129"/>
        <v/>
      </c>
      <c r="Y235" s="92"/>
      <c r="Z235" s="128"/>
      <c r="AA235" s="130">
        <v>1</v>
      </c>
      <c r="AB235" s="1813" t="str">
        <f>ROWS(AB219:AB235)&amp;" ►"</f>
        <v>17 ►</v>
      </c>
      <c r="AC235" s="1580"/>
      <c r="AD235" s="95">
        <f>IF(AF249=0,0,(AF235/AF249)*AE218*1000)</f>
        <v>0</v>
      </c>
      <c r="AE235" s="105">
        <f>IF(AF249=0, 0, (V235*AA235)/(AF249*AE218))</f>
        <v>0</v>
      </c>
      <c r="AF235" s="97" cm="1">
        <f t="array" ref="AF235">IFERROR(_xlfn.XLOOKUP(UPPER(TRIM(Z235)),UPPER(TRIM(V250:AJ250)),V251:AJ251,_xlfn.XLOOKUP(UPPER(TRIM(Z235)),UPPER(TRIM(V252:AJ252)),V253:AJ253,0))*Y235*IF(V235&gt;0,V235,1),0)</f>
        <v>0</v>
      </c>
      <c r="AG235" s="106">
        <f>IF(AI214&lt;&gt;0,V235*AA235*AA214,0)</f>
        <v>0</v>
      </c>
      <c r="AH235" s="1747">
        <f t="shared" si="131"/>
        <v>0</v>
      </c>
      <c r="AI235" s="99">
        <f>IF(OR(ISBLANK(AI214),AI214=0),0,AF235*AA235*AA214)</f>
        <v>0</v>
      </c>
      <c r="AJ235" s="107" t="str">
        <f>IF(Z235="","",IF(COUNTIF(AC250:AJ250,SUBSTITUTE(TRIM(Z235)," (s)",""))+COUNTIF(AC252:AJ252,SUBSTITUTE(TRIM(Z235)," (s)",""))&gt;0,IF(ROUND(AI235,3)&gt;=1,ROUND(AI235,3)&amp;" L",MAX(1,ROUND(AI235*100,0))&amp;" cl"),IF(COUNTIF(V250:AA250,SUBSTITUTE(TRIM(Z235)," (s)",""))+COUNTIF(V252:AA252,SUBSTITUTE(TRIM(Z235)," (s)",""))&gt;0,IF(ROUND(AI235,3)&gt;=1,ROUND(AI235,3)&amp;" Kg",MAX(1,ROUND(AI235*1000,0))&amp;" g"),"")))</f>
        <v/>
      </c>
      <c r="AK235" s="6120" t="str">
        <f t="shared" si="128"/>
        <v>►</v>
      </c>
      <c r="AL235" s="781" t="str">
        <f t="shared" si="116"/>
        <v>►</v>
      </c>
      <c r="AM235" s="5499" t="str">
        <f t="shared" si="119"/>
        <v/>
      </c>
      <c r="AN235" s="783" t="str">
        <f t="shared" si="120"/>
        <v/>
      </c>
      <c r="AO235" s="782" t="str">
        <f t="shared" si="121"/>
        <v/>
      </c>
      <c r="AP235" s="783" t="str">
        <f t="shared" si="122"/>
        <v/>
      </c>
      <c r="AQ235" s="2083" t="b">
        <f>AND(Q235="A",COUNTIF(BP16:BR63,TRIM(Z235))&gt;0)</f>
        <v>0</v>
      </c>
      <c r="AR235" s="797" t="str">
        <f>IF(AL235&lt;&gt;"A","",IFERROR(IFERROR(_xlfn.XLOOKUP(TRIM(SUBSTITUTE(Z235,CHAR(160)," ")),BP16:BP63,BS16:BS63),IFERROR(_xlfn.XLOOKUP(TRIM(SUBSTITUTE(Z235,CHAR(160)," ")),BQ16:BQ63,BS16:BS63),_xlfn.XLOOKUP(TRIM(SUBSTITUTE(Z235,CHAR(160)," ")),BR16:BR63,BS16:BS63)))*Y235*IF(ISBLANK(V235),1,V235),0))</f>
        <v/>
      </c>
      <c r="AS235" s="784" t="str">
        <f t="shared" si="112"/>
        <v/>
      </c>
      <c r="AT235" s="1315" t="str">
        <f t="shared" si="123"/>
        <v/>
      </c>
      <c r="AU235" s="785">
        <f t="shared" si="124"/>
        <v>0</v>
      </c>
      <c r="AV235" s="785">
        <f t="shared" si="125"/>
        <v>0</v>
      </c>
      <c r="AW235" s="786">
        <f>IF(AK235="A",AY10,0)</f>
        <v>0</v>
      </c>
      <c r="AX235" s="5495" t="str">
        <f>IF(IFERROR(SEARCH("Adresse PC",TRIM(W235)),0)&gt;0,"▼ receta siguiente",IF(AK235="A",IF(AZ10&lt;&gt;"",AZ10&amp;" - ou.or.o ❾ + or - &gt;",""),""))</f>
        <v/>
      </c>
      <c r="AY235" s="810"/>
      <c r="AZ235" s="810"/>
      <c r="BA235" s="788" t="str">
        <f t="shared" si="115"/>
        <v/>
      </c>
      <c r="BB235" s="789" t="str">
        <f>IF(AK235="A",IF(AQ235,IF(AND(AW235&lt;&gt;"",N(AW235)&gt;0),IFERROR(IFERROR(_xlfn.XLOOKUP(AP235,BP10:BP57,BT10:BT57),IFERROR(_xlfn.XLOOKUP(AP235,BQ10:BQ57,BT10:BT57),_xlfn.XLOOKUP(AP235,BR10:BR57,BT10:BT57,""))),""),""),""),"")</f>
        <v/>
      </c>
      <c r="BC235" s="811" cm="1">
        <f t="array" ref="BC235">IF(NOT(AQ235),0,IF(OR(BA235="",N(BA235)&lt;=0.000000001),"",IF(OR(AU235="",N(AU235)&lt;=0.000000001),0,IF(ISNUMBER(BA235),IFERROR(_xlfn.LET(_xlpm.ai_test,TRIM(AP235),_xlpm.r,IFERROR(_xlfn.XLOOKUP(_xlpm.ai_test,BP16:BP63,ROW(BP16:BP63),0,1),IFERROR(_xlfn.XLOOKUP(_xlpm.ai_test,BQ16:BQ63,ROW(BQ16:BQ63),0,1),_xlfn.XLOOKUP(_xlpm.ai_test,BR16:BR63,ROW(BR16:BR63),0,1))),_xlpm.p,_xlpm.r-MIN(ROW(BP16:BP63))+1,_xlpm.f,INDEX(BS16:BS63,_xlpm.p),_xlpm.u,INDEX(BT16:BT63,_xlpm.p),_xlpm.s,INDEX(BV16:BV63,_xlpm.p),_xlpm.q,N(BA235)/_xlpm.f,IF(_xlpm.q&gt;=_xlpm.s,ROUND(_xlpm.q,1)&amp;" "&amp;_xlpm.ai_test&amp;" = "&amp;ROUND(_xlpm.q*_xlpm.f,1)&amp;" "&amp;_xlpm.u,ROUND(_xlpm.q,1)&amp;" "&amp;_xlpm.ai_test)),""),""))))</f>
        <v>0</v>
      </c>
      <c r="BD235" s="801"/>
      <c r="BE235" s="788" t="str">
        <f t="shared" si="126"/>
        <v/>
      </c>
      <c r="BF235" s="789" t="str">
        <f t="shared" si="132"/>
        <v/>
      </c>
      <c r="BG235" s="790">
        <f t="shared" si="133"/>
        <v>0</v>
      </c>
      <c r="BH235" s="791" t="str">
        <f t="shared" si="134"/>
        <v/>
      </c>
      <c r="BI235" s="792"/>
      <c r="BJ235" s="793">
        <f t="shared" si="135"/>
        <v>0</v>
      </c>
      <c r="BK235" s="794" t="str">
        <f t="shared" si="127"/>
        <v/>
      </c>
      <c r="BL235" s="227" t="s">
        <v>21</v>
      </c>
      <c r="BM235" s="773">
        <f t="shared" si="117"/>
        <v>0</v>
      </c>
      <c r="BN235" s="774">
        <f t="shared" si="118"/>
        <v>0</v>
      </c>
      <c r="BO235"/>
      <c r="BX235"/>
      <c r="BY235"/>
      <c r="BZ235"/>
      <c r="CA235"/>
      <c r="CB235"/>
      <c r="CC235"/>
      <c r="CD235" s="781" t="str">
        <f t="shared" si="113"/>
        <v>►</v>
      </c>
      <c r="CE235"/>
      <c r="CF235"/>
      <c r="CG235"/>
      <c r="CH235"/>
      <c r="CI235"/>
      <c r="CJ235" s="633"/>
      <c r="CK235"/>
      <c r="CL235"/>
      <c r="CM235"/>
      <c r="CN235"/>
      <c r="CO235"/>
      <c r="CP235"/>
      <c r="CQ235"/>
      <c r="CS235"/>
      <c r="CT235"/>
      <c r="CU235"/>
      <c r="CV235"/>
      <c r="CW235"/>
      <c r="CX235"/>
      <c r="CY235"/>
      <c r="DA235"/>
      <c r="DB235"/>
      <c r="DC235"/>
      <c r="DD235"/>
      <c r="DE235"/>
      <c r="DF235"/>
      <c r="DG235"/>
      <c r="DI235" s="3">
        <v>1</v>
      </c>
    </row>
    <row r="236" spans="1:113" s="627" customFormat="1" ht="21" customHeight="1">
      <c r="A236" s="701" t="s">
        <v>21</v>
      </c>
      <c r="B236" s="2265" t="str" cm="1">
        <f t="array" ref="B236">SUMPRODUCT(--(D236:J236&lt;&gt;""), LEN(TRIM(SUBSTITUTE(D236:J236, CHAR(160), "")))) &amp; " Car."</f>
        <v>0 Car.</v>
      </c>
      <c r="C236" s="1376" t="str">
        <f>IF(ISBLANK(D236),"",LARGE(C13:C235,1)+1)</f>
        <v/>
      </c>
      <c r="D236" s="1833"/>
      <c r="E236" s="1810"/>
      <c r="F236" s="1810"/>
      <c r="G236" s="1810"/>
      <c r="H236" s="1810"/>
      <c r="I236" s="1810"/>
      <c r="J236" s="1810"/>
      <c r="K236" s="1810"/>
      <c r="L236" s="1811"/>
      <c r="M236" s="9"/>
      <c r="N236" s="103" t="str">
        <f t="shared" si="114"/>
        <v>A</v>
      </c>
      <c r="O236" s="1616"/>
      <c r="P236" s="9"/>
      <c r="Q236" s="103" t="str">
        <f t="shared" si="130"/>
        <v>A</v>
      </c>
      <c r="R236" s="31" t="str">
        <f>R215</f>
        <v>M MILLE-FEUILLE meringue et chiboust pamplemousse aux fraises des bois | collez la--FAMILLE| Auteur &gt; recette Béghin Say de Jean-Jacques Borne MOF 1994</v>
      </c>
      <c r="S236" s="32">
        <f>S215</f>
        <v>18</v>
      </c>
      <c r="T236" s="31" t="str">
        <f>T215</f>
        <v>desserts</v>
      </c>
      <c r="U236" s="33" t="str">
        <f>U215</f>
        <v>Recette mère ► MILLE-FEUILLE  aux fraises des bois</v>
      </c>
      <c r="V236" s="89"/>
      <c r="W236" s="108"/>
      <c r="X236" s="91" t="str">
        <f t="shared" si="129"/>
        <v/>
      </c>
      <c r="Y236" s="92"/>
      <c r="Z236" s="128"/>
      <c r="AA236" s="130">
        <v>1</v>
      </c>
      <c r="AB236" s="1813" t="str">
        <f>ROWS(AB219:AB236)&amp;" ►"</f>
        <v>18 ►</v>
      </c>
      <c r="AC236" s="1580" t="s">
        <v>3071</v>
      </c>
      <c r="AD236" s="95">
        <f>IF(AF249=0,0,(AF236/AF249)*AE218*1000)</f>
        <v>0</v>
      </c>
      <c r="AE236" s="105">
        <f>IF(AF249=0, 0, (V236*AA236)/(AF249*AE218))</f>
        <v>0</v>
      </c>
      <c r="AF236" s="97" cm="1">
        <f t="array" ref="AF236">IFERROR(_xlfn.XLOOKUP(UPPER(TRIM(Z236)),UPPER(TRIM(V250:AJ250)),V251:AJ251,_xlfn.XLOOKUP(UPPER(TRIM(Z236)),UPPER(TRIM(V252:AJ252)),V253:AJ253,0))*Y236*IF(V236&gt;0,V236,1),0)</f>
        <v>0</v>
      </c>
      <c r="AG236" s="110">
        <f>IF(AI214&lt;&gt;0,V236*AA236*AA214,0)</f>
        <v>0</v>
      </c>
      <c r="AH236" s="1748">
        <f t="shared" si="131"/>
        <v>0</v>
      </c>
      <c r="AI236" s="99">
        <f>IF(OR(ISBLANK(AI214),AI214=0),0,AF236*AA236*AA214)</f>
        <v>0</v>
      </c>
      <c r="AJ236" s="129" t="str">
        <f>IF(Z236="","",IF(COUNTIF(AC250:AJ250,SUBSTITUTE(TRIM(Z236)," (s)",""))+COUNTIF(AC252:AJ252,SUBSTITUTE(TRIM(Z236)," (s)",""))&gt;0,IF(ROUND(AI236,3)&gt;=1,ROUND(AI236,3)&amp;" L",MAX(1,ROUND(AI236*100,0))&amp;" cl"),IF(COUNTIF(V250:AA250,SUBSTITUTE(TRIM(Z236)," (s)",""))+COUNTIF(V252:AA252,SUBSTITUTE(TRIM(Z236)," (s)",""))&gt;0,IF(ROUND(AI236,3)&gt;=1,ROUND(AI236,3)&amp;" Kg",MAX(1,ROUND(AI236*1000,0))&amp;" g"),"")))</f>
        <v/>
      </c>
      <c r="AK236" s="6120" t="str">
        <f t="shared" si="128"/>
        <v>A</v>
      </c>
      <c r="AL236" s="781" t="str">
        <f t="shared" si="116"/>
        <v>A</v>
      </c>
      <c r="AM236" s="5498" t="str">
        <f t="shared" si="119"/>
        <v>M MILLE-FEUILLE meringue et chiboust pamplemousse aux fraises des bois | collez la--FAMILLE| Auteur &gt; recette Béghin Say de Jean-Jacques Borne MOF 1994</v>
      </c>
      <c r="AN236" s="783">
        <f t="shared" si="120"/>
        <v>18</v>
      </c>
      <c r="AO236" s="782" t="str">
        <f t="shared" si="121"/>
        <v>desserts</v>
      </c>
      <c r="AP236" s="783">
        <f t="shared" si="122"/>
        <v>0</v>
      </c>
      <c r="AQ236" s="2083" t="b">
        <f>AND(Q236="A",COUNTIF(BP16:BR63,TRIM(Z236))&gt;0)</f>
        <v>0</v>
      </c>
      <c r="AR236" s="797">
        <f>IF(AL236&lt;&gt;"A","",IFERROR(IFERROR(_xlfn.XLOOKUP(TRIM(SUBSTITUTE(Z236,CHAR(160)," ")),BP16:BP63,BS16:BS63),IFERROR(_xlfn.XLOOKUP(TRIM(SUBSTITUTE(Z236,CHAR(160)," ")),BQ16:BQ63,BS16:BS63),_xlfn.XLOOKUP(TRIM(SUBSTITUTE(Z236,CHAR(160)," ")),BR16:BR63,BS16:BS63)))*Y236*IF(ISBLANK(V236),1,V236),0))</f>
        <v>0</v>
      </c>
      <c r="AS236" s="784" t="str">
        <f t="shared" si="112"/>
        <v/>
      </c>
      <c r="AT236" s="1315" t="str">
        <f t="shared" si="123"/>
        <v>❾ Author reference &gt;</v>
      </c>
      <c r="AU236" s="785">
        <f t="shared" si="124"/>
        <v>18</v>
      </c>
      <c r="AV236" s="785" t="str">
        <f t="shared" si="125"/>
        <v>desserts</v>
      </c>
      <c r="AW236" s="798">
        <f>IF(AK236="A",AY10,0)</f>
        <v>20</v>
      </c>
      <c r="AX236" s="5496" t="str">
        <f>IF(IFERROR(SEARCH("Adresse PC",TRIM(W236)),0)&gt;0,"▼ receta siguiente",IF(AK236="A",IF(AZ10&lt;&gt;"",AZ10&amp;" - ou.or.o ❾ + or - &gt;",""),""))</f>
        <v>parts - ou.or.o ❾ + or - &gt;</v>
      </c>
      <c r="AY236" s="810"/>
      <c r="AZ236" s="810"/>
      <c r="BA236" s="799">
        <f t="shared" si="115"/>
        <v>0</v>
      </c>
      <c r="BB236" s="800" t="str">
        <f>IF(AK236="A",IF(AQ236,IF(AND(AW236&lt;&gt;"",N(AW236)&gt;0),IFERROR(IFERROR(_xlfn.XLOOKUP(AP236,BP10:BP57,BT10:BT57),IFERROR(_xlfn.XLOOKUP(AP236,BQ10:BQ57,BT10:BT57),_xlfn.XLOOKUP(AP236,BR10:BR57,BT10:BT57,""))),""),""),""),"")</f>
        <v/>
      </c>
      <c r="BC236" s="813" cm="1">
        <f t="array" ref="BC236">IF(NOT(AQ236),0,IF(OR(BA236="",N(BA236)&lt;=0.000000001),"",IF(OR(AU236="",N(AU236)&lt;=0.000000001),0,IF(ISNUMBER(BA236),IFERROR(_xlfn.LET(_xlpm.ai_test,TRIM(AP236),_xlpm.r,IFERROR(_xlfn.XLOOKUP(_xlpm.ai_test,BP16:BP63,ROW(BP16:BP63),0,1),IFERROR(_xlfn.XLOOKUP(_xlpm.ai_test,BQ16:BQ63,ROW(BQ16:BQ63),0,1),_xlfn.XLOOKUP(_xlpm.ai_test,BR16:BR63,ROW(BR16:BR63),0,1))),_xlpm.p,_xlpm.r-MIN(ROW(BP16:BP63))+1,_xlpm.f,INDEX(BS16:BS63,_xlpm.p),_xlpm.u,INDEX(BT16:BT63,_xlpm.p),_xlpm.s,INDEX(BV16:BV63,_xlpm.p),_xlpm.q,N(BA236)/_xlpm.f,IF(_xlpm.q&gt;=_xlpm.s,ROUND(_xlpm.q,1)&amp;" "&amp;_xlpm.ai_test&amp;" = "&amp;ROUND(_xlpm.q*_xlpm.f,1)&amp;" "&amp;_xlpm.u,ROUND(_xlpm.q,1)&amp;" "&amp;_xlpm.ai_test)),""),""))))</f>
        <v>0</v>
      </c>
      <c r="BD236" s="801"/>
      <c r="BE236" s="799">
        <f t="shared" si="126"/>
        <v>0</v>
      </c>
      <c r="BF236" s="800" t="str">
        <f t="shared" si="132"/>
        <v/>
      </c>
      <c r="BG236" s="802">
        <f t="shared" si="133"/>
        <v>0</v>
      </c>
      <c r="BH236" s="803" t="str">
        <f t="shared" si="134"/>
        <v/>
      </c>
      <c r="BI236" s="792"/>
      <c r="BJ236" s="804">
        <f t="shared" si="135"/>
        <v>0</v>
      </c>
      <c r="BK236" s="794" t="str">
        <f t="shared" si="127"/>
        <v/>
      </c>
      <c r="BL236" s="227" t="s">
        <v>21</v>
      </c>
      <c r="BM236" s="773">
        <f t="shared" si="117"/>
        <v>0</v>
      </c>
      <c r="BN236" s="774">
        <f t="shared" si="118"/>
        <v>0</v>
      </c>
      <c r="BO236"/>
      <c r="BX236"/>
      <c r="BY236"/>
      <c r="BZ236"/>
      <c r="CA236"/>
      <c r="CB236"/>
      <c r="CC236"/>
      <c r="CD236" s="781" t="str">
        <f t="shared" si="113"/>
        <v>A</v>
      </c>
      <c r="CE236"/>
      <c r="CF236"/>
      <c r="CG236"/>
      <c r="CH236"/>
      <c r="CI236"/>
      <c r="CJ236" s="633"/>
      <c r="CK236"/>
      <c r="CL236"/>
      <c r="CM236"/>
      <c r="CN236"/>
      <c r="CO236"/>
      <c r="CP236"/>
      <c r="CQ236"/>
      <c r="CS236"/>
      <c r="CT236"/>
      <c r="CU236"/>
      <c r="CV236"/>
      <c r="CW236"/>
      <c r="CX236"/>
      <c r="CY236"/>
      <c r="DA236"/>
      <c r="DB236"/>
      <c r="DC236"/>
      <c r="DD236"/>
      <c r="DE236"/>
      <c r="DF236"/>
      <c r="DG236"/>
      <c r="DI236" s="3">
        <v>1</v>
      </c>
    </row>
    <row r="237" spans="1:113" s="627" customFormat="1" ht="21" customHeight="1">
      <c r="A237" s="701" t="s">
        <v>21</v>
      </c>
      <c r="B237" s="2265" t="str" cm="1">
        <f t="array" ref="B237">SUMPRODUCT(--(D237:J237&lt;&gt;""), LEN(TRIM(SUBSTITUTE(D237:J237, CHAR(160), "")))) &amp; " Car."</f>
        <v>0 Car.</v>
      </c>
      <c r="C237" s="1376" t="str">
        <f>IF(ISBLANK(D237),"",LARGE(C13:C236,1)+1)</f>
        <v/>
      </c>
      <c r="D237" s="1833"/>
      <c r="E237" s="1810"/>
      <c r="F237" s="1810"/>
      <c r="G237" s="1810"/>
      <c r="H237" s="1810"/>
      <c r="I237" s="1810"/>
      <c r="J237" s="1810"/>
      <c r="K237" s="1810"/>
      <c r="L237" s="1811"/>
      <c r="M237" s="9"/>
      <c r="N237" s="103" t="str">
        <f t="shared" si="114"/>
        <v>A</v>
      </c>
      <c r="O237" s="1616"/>
      <c r="P237" s="9"/>
      <c r="Q237" s="103" t="str">
        <f t="shared" si="130"/>
        <v>A</v>
      </c>
      <c r="R237" s="31" t="str">
        <f>R215</f>
        <v>M MILLE-FEUILLE meringue et chiboust pamplemousse aux fraises des bois | collez la--FAMILLE| Auteur &gt; recette Béghin Say de Jean-Jacques Borne MOF 1994</v>
      </c>
      <c r="S237" s="32">
        <f>S215</f>
        <v>18</v>
      </c>
      <c r="T237" s="31" t="str">
        <f>T215</f>
        <v>desserts</v>
      </c>
      <c r="U237" s="33" t="str">
        <f>U215</f>
        <v>Recette mère ► MILLE-FEUILLE  aux fraises des bois</v>
      </c>
      <c r="V237" s="89"/>
      <c r="W237" s="108"/>
      <c r="X237" s="91" t="str">
        <f t="shared" si="129"/>
        <v/>
      </c>
      <c r="Y237" s="92">
        <v>250</v>
      </c>
      <c r="Z237" s="104" t="s">
        <v>100</v>
      </c>
      <c r="AA237" s="130">
        <v>1</v>
      </c>
      <c r="AB237" s="1813" t="str">
        <f>ROWS(AB219:AB237)&amp;" ►"</f>
        <v>19 ►</v>
      </c>
      <c r="AC237" s="1580" t="s">
        <v>3072</v>
      </c>
      <c r="AD237" s="95">
        <f>IF(AF249=0,0,(AF237/AF249)*AE218*1000)</f>
        <v>159.13430935709738</v>
      </c>
      <c r="AE237" s="105">
        <f>IF(AF249=0, 0, (V237*AA237)/(AF249*AE218))</f>
        <v>0</v>
      </c>
      <c r="AF237" s="97" cm="1">
        <f t="array" ref="AF237">IFERROR(_xlfn.XLOOKUP(UPPER(TRIM(Z237)),UPPER(TRIM(V250:AJ250)),V251:AJ251,_xlfn.XLOOKUP(UPPER(TRIM(Z237)),UPPER(TRIM(V252:AJ252)),V253:AJ253,0))*Y237*IF(V237&gt;0,V237,1),0)</f>
        <v>0.25</v>
      </c>
      <c r="AG237" s="106">
        <f>IF(AI214&lt;&gt;0,V237*AA237*AA214,0)</f>
        <v>0</v>
      </c>
      <c r="AH237" s="1747">
        <f t="shared" si="131"/>
        <v>0</v>
      </c>
      <c r="AI237" s="99">
        <f>IF(OR(ISBLANK(AI214),AI214=0),0,AF237*AA237*AA214)</f>
        <v>0.5</v>
      </c>
      <c r="AJ237" s="107" t="str">
        <f>IF(Z237="","",IF(COUNTIF(AC250:AJ250,SUBSTITUTE(TRIM(Z237)," (s)",""))+COUNTIF(AC252:AJ252,SUBSTITUTE(TRIM(Z237)," (s)",""))&gt;0,IF(ROUND(AI237,3)&gt;=1,ROUND(AI237,3)&amp;" L",MAX(1,ROUND(AI237*100,0))&amp;" cl"),IF(COUNTIF(V250:AA250,SUBSTITUTE(TRIM(Z237)," (s)",""))+COUNTIF(V252:AA252,SUBSTITUTE(TRIM(Z237)," (s)",""))&gt;0,IF(ROUND(AI237,3)&gt;=1,ROUND(AI237,3)&amp;" Kg",MAX(1,ROUND(AI237*1000,0))&amp;" g"),"")))</f>
        <v>500 g</v>
      </c>
      <c r="AK237" s="6120" t="str">
        <f t="shared" si="128"/>
        <v>A</v>
      </c>
      <c r="AL237" s="781" t="str">
        <f t="shared" si="116"/>
        <v>A</v>
      </c>
      <c r="AM237" s="5499" t="str">
        <f t="shared" si="119"/>
        <v>M MILLE-FEUILLE meringue et chiboust pamplemousse aux fraises des bois | collez la--FAMILLE| Auteur &gt; recette Béghin Say de Jean-Jacques Borne MOF 1994</v>
      </c>
      <c r="AN237" s="783">
        <f t="shared" si="120"/>
        <v>18</v>
      </c>
      <c r="AO237" s="782" t="str">
        <f t="shared" si="121"/>
        <v>desserts</v>
      </c>
      <c r="AP237" s="783" t="str">
        <f t="shared" si="122"/>
        <v>g</v>
      </c>
      <c r="AQ237" s="2083" t="b">
        <f>AND(Q237="A",COUNTIF(BP16:BR63,TRIM(Z237))&gt;0)</f>
        <v>1</v>
      </c>
      <c r="AR237" s="797">
        <f>IF(AL237&lt;&gt;"A","",IFERROR(IFERROR(_xlfn.XLOOKUP(TRIM(SUBSTITUTE(Z237,CHAR(160)," ")),BP16:BP63,BS16:BS63),IFERROR(_xlfn.XLOOKUP(TRIM(SUBSTITUTE(Z237,CHAR(160)," ")),BQ16:BQ63,BS16:BS63),_xlfn.XLOOKUP(TRIM(SUBSTITUTE(Z237,CHAR(160)," ")),BR16:BR63,BS16:BS63)))*Y237*IF(ISBLANK(V237),1,V237),0))</f>
        <v>0.25</v>
      </c>
      <c r="AS237" s="784" t="str">
        <f t="shared" si="112"/>
        <v>Kg</v>
      </c>
      <c r="AT237" s="1315" t="str">
        <f t="shared" si="123"/>
        <v>❾ Author reference &gt;</v>
      </c>
      <c r="AU237" s="785">
        <f t="shared" si="124"/>
        <v>18</v>
      </c>
      <c r="AV237" s="785" t="str">
        <f t="shared" si="125"/>
        <v>desserts</v>
      </c>
      <c r="AW237" s="786">
        <f>IF(AK237="A",AY10,0)</f>
        <v>20</v>
      </c>
      <c r="AX237" s="5495" t="str">
        <f>IF(IFERROR(SEARCH("Adresse PC",TRIM(W237)),0)&gt;0,"▼ receta siguiente",IF(AK237="A",IF(AZ10&lt;&gt;"",AZ10&amp;" - ou.or.o ❾ + or - &gt;",""),""))</f>
        <v>parts - ou.or.o ❾ + or - &gt;</v>
      </c>
      <c r="AY237" s="810"/>
      <c r="AZ237" s="810"/>
      <c r="BA237" s="788">
        <f t="shared" si="115"/>
        <v>0.27777777777777779</v>
      </c>
      <c r="BB237" s="789" t="str">
        <f>IF(AK237="A",IF(AQ237,IF(AND(AW237&lt;&gt;"",N(AW237)&gt;0),IFERROR(IFERROR(_xlfn.XLOOKUP(AP237,BP10:BP57,BT10:BT57),IFERROR(_xlfn.XLOOKUP(AP237,BQ10:BQ57,BT10:BT57),_xlfn.XLOOKUP(AP237,BR10:BR57,BT10:BT57,""))),""),""),""),"")</f>
        <v>Kg</v>
      </c>
      <c r="BC237" s="811" t="str" cm="1">
        <f t="array" ref="BC237">IF(NOT(AQ237),0,IF(OR(BA237="",N(BA237)&lt;=0.000000001),"",IF(OR(AU237="",N(AU237)&lt;=0.000000001),0,IF(ISNUMBER(BA237),IFERROR(_xlfn.LET(_xlpm.ai_test,TRIM(AP237),_xlpm.r,IFERROR(_xlfn.XLOOKUP(_xlpm.ai_test,BP16:BP63,ROW(BP16:BP63),0,1),IFERROR(_xlfn.XLOOKUP(_xlpm.ai_test,BQ16:BQ63,ROW(BQ16:BQ63),0,1),_xlfn.XLOOKUP(_xlpm.ai_test,BR16:BR63,ROW(BR16:BR63),0,1))),_xlpm.p,_xlpm.r-MIN(ROW(BP16:BP63))+1,_xlpm.f,INDEX(BS16:BS63,_xlpm.p),_xlpm.u,INDEX(BT16:BT63,_xlpm.p),_xlpm.s,INDEX(BV16:BV63,_xlpm.p),_xlpm.q,N(BA237)/_xlpm.f,IF(_xlpm.q&gt;=_xlpm.s,ROUND(_xlpm.q,1)&amp;" "&amp;_xlpm.ai_test&amp;" = "&amp;ROUND(_xlpm.q*_xlpm.f,1)&amp;" "&amp;_xlpm.u,ROUND(_xlpm.q,1)&amp;" "&amp;_xlpm.ai_test)),""),""))))</f>
        <v>277.8 g</v>
      </c>
      <c r="BD237" s="801"/>
      <c r="BE237" s="788">
        <f t="shared" si="126"/>
        <v>0.27777777777777779</v>
      </c>
      <c r="BF237" s="789" t="str">
        <f t="shared" si="132"/>
        <v>Kg</v>
      </c>
      <c r="BG237" s="790">
        <f t="shared" si="133"/>
        <v>0</v>
      </c>
      <c r="BH237" s="791" t="str">
        <f t="shared" si="134"/>
        <v/>
      </c>
      <c r="BI237" s="792"/>
      <c r="BJ237" s="793">
        <f t="shared" si="135"/>
        <v>0</v>
      </c>
      <c r="BK237" s="794" t="str">
        <f t="shared" si="127"/>
        <v>pulpe</v>
      </c>
      <c r="BL237" s="227" t="s">
        <v>21</v>
      </c>
      <c r="BM237" s="773">
        <f t="shared" si="117"/>
        <v>0</v>
      </c>
      <c r="BN237" s="774">
        <f t="shared" si="118"/>
        <v>1.1111111111111112</v>
      </c>
      <c r="BO237"/>
      <c r="BX237"/>
      <c r="BY237"/>
      <c r="BZ237"/>
      <c r="CA237"/>
      <c r="CB237"/>
      <c r="CC237"/>
      <c r="CD237" s="781" t="str">
        <f t="shared" si="113"/>
        <v>A</v>
      </c>
      <c r="CE237"/>
      <c r="CF237"/>
      <c r="CG237"/>
      <c r="CH237"/>
      <c r="CI237"/>
      <c r="CJ237" s="633"/>
      <c r="CK237"/>
      <c r="CL237"/>
      <c r="CM237"/>
      <c r="CN237"/>
      <c r="CO237"/>
      <c r="CP237"/>
      <c r="CQ237"/>
      <c r="CS237"/>
      <c r="CT237"/>
      <c r="CU237"/>
      <c r="CV237"/>
      <c r="CW237"/>
      <c r="CX237"/>
      <c r="CY237"/>
      <c r="DA237"/>
      <c r="DB237"/>
      <c r="DC237"/>
      <c r="DD237"/>
      <c r="DE237"/>
      <c r="DF237"/>
      <c r="DG237"/>
      <c r="DI237" s="3">
        <v>1</v>
      </c>
    </row>
    <row r="238" spans="1:113" s="627" customFormat="1" ht="21" customHeight="1">
      <c r="A238" s="701" t="s">
        <v>21</v>
      </c>
      <c r="B238" s="2265" t="str" cm="1">
        <f t="array" ref="B238">SUMPRODUCT(--(D238:J238&lt;&gt;""), LEN(TRIM(SUBSTITUTE(D238:J238, CHAR(160), "")))) &amp; " Car."</f>
        <v>0 Car.</v>
      </c>
      <c r="C238" s="1376" t="str">
        <f>IF(ISBLANK(D238),"",LARGE(C13:C237,1)+1)</f>
        <v/>
      </c>
      <c r="D238" s="1833"/>
      <c r="E238" s="1810"/>
      <c r="F238" s="1810"/>
      <c r="G238" s="1810"/>
      <c r="H238" s="1810"/>
      <c r="I238" s="1810"/>
      <c r="J238" s="1810"/>
      <c r="K238" s="1810"/>
      <c r="L238" s="1811"/>
      <c r="M238" s="9"/>
      <c r="N238" s="103" t="str">
        <f t="shared" si="114"/>
        <v>A</v>
      </c>
      <c r="O238" s="1616"/>
      <c r="P238" s="9"/>
      <c r="Q238" s="103" t="str">
        <f t="shared" si="130"/>
        <v>A</v>
      </c>
      <c r="R238" s="31" t="str">
        <f>R215</f>
        <v>M MILLE-FEUILLE meringue et chiboust pamplemousse aux fraises des bois | collez la--FAMILLE| Auteur &gt; recette Béghin Say de Jean-Jacques Borne MOF 1994</v>
      </c>
      <c r="S238" s="32">
        <f>S215</f>
        <v>18</v>
      </c>
      <c r="T238" s="31" t="str">
        <f>T215</f>
        <v>desserts</v>
      </c>
      <c r="U238" s="33" t="str">
        <f>U215</f>
        <v>Recette mère ► MILLE-FEUILLE  aux fraises des bois</v>
      </c>
      <c r="V238" s="89"/>
      <c r="W238" s="108"/>
      <c r="X238" s="91" t="str">
        <f t="shared" si="129"/>
        <v/>
      </c>
      <c r="Y238" s="92">
        <v>55</v>
      </c>
      <c r="Z238" s="104" t="s">
        <v>100</v>
      </c>
      <c r="AA238" s="130">
        <v>1</v>
      </c>
      <c r="AB238" s="1813" t="str">
        <f>ROWS(AB219:AB238)&amp;" ►"</f>
        <v>20 ►</v>
      </c>
      <c r="AC238" s="1580" t="s">
        <v>3073</v>
      </c>
      <c r="AD238" s="95">
        <f>IF(AF249=0,0,(AF238/AF249)*AE218*1000)</f>
        <v>35.009548058561421</v>
      </c>
      <c r="AE238" s="105">
        <f>IF(AF249=0, 0, (V238*AA238)/(AF249*AE218))</f>
        <v>0</v>
      </c>
      <c r="AF238" s="97" cm="1">
        <f t="array" ref="AF238">IFERROR(_xlfn.XLOOKUP(UPPER(TRIM(Z238)),UPPER(TRIM(V250:AJ250)),V251:AJ251,_xlfn.XLOOKUP(UPPER(TRIM(Z238)),UPPER(TRIM(V252:AJ252)),V253:AJ253,0))*Y238*IF(V238&gt;0,V238,1),0)</f>
        <v>5.5E-2</v>
      </c>
      <c r="AG238" s="110">
        <f>IF(AI214&lt;&gt;0,V238*AA238*AA214,0)</f>
        <v>0</v>
      </c>
      <c r="AH238" s="1748">
        <f t="shared" si="131"/>
        <v>0</v>
      </c>
      <c r="AI238" s="99">
        <f>IF(OR(ISBLANK(AI214),AI214=0),0,AF238*AA238*AA214)</f>
        <v>0.11</v>
      </c>
      <c r="AJ238" s="129" t="str">
        <f>IF(Z238="","",IF(COUNTIF(AC250:AJ250,SUBSTITUTE(TRIM(Z238)," (s)",""))+COUNTIF(AC252:AJ252,SUBSTITUTE(TRIM(Z238)," (s)",""))&gt;0,IF(ROUND(AI238,3)&gt;=1,ROUND(AI238,3)&amp;" L",MAX(1,ROUND(AI238*100,0))&amp;" cl"),IF(COUNTIF(V250:AA250,SUBSTITUTE(TRIM(Z238)," (s)",""))+COUNTIF(V252:AA252,SUBSTITUTE(TRIM(Z238)," (s)",""))&gt;0,IF(ROUND(AI238,3)&gt;=1,ROUND(AI238,3)&amp;" Kg",MAX(1,ROUND(AI238*1000,0))&amp;" g"),"")))</f>
        <v>110 g</v>
      </c>
      <c r="AK238" s="6120" t="str">
        <f t="shared" si="128"/>
        <v>A</v>
      </c>
      <c r="AL238" s="781" t="str">
        <f t="shared" si="116"/>
        <v>A</v>
      </c>
      <c r="AM238" s="5498" t="str">
        <f t="shared" si="119"/>
        <v>M MILLE-FEUILLE meringue et chiboust pamplemousse aux fraises des bois | collez la--FAMILLE| Auteur &gt; recette Béghin Say de Jean-Jacques Borne MOF 1994</v>
      </c>
      <c r="AN238" s="783">
        <f t="shared" si="120"/>
        <v>18</v>
      </c>
      <c r="AO238" s="782" t="str">
        <f t="shared" si="121"/>
        <v>desserts</v>
      </c>
      <c r="AP238" s="783" t="str">
        <f t="shared" si="122"/>
        <v>g</v>
      </c>
      <c r="AQ238" s="2083" t="b">
        <f>AND(Q238="A",COUNTIF(BP16:BR63,TRIM(Z238))&gt;0)</f>
        <v>1</v>
      </c>
      <c r="AR238" s="797">
        <f>IF(AL238&lt;&gt;"A","",IFERROR(IFERROR(_xlfn.XLOOKUP(TRIM(SUBSTITUTE(Z238,CHAR(160)," ")),BP16:BP63,BS16:BS63),IFERROR(_xlfn.XLOOKUP(TRIM(SUBSTITUTE(Z238,CHAR(160)," ")),BQ16:BQ63,BS16:BS63),_xlfn.XLOOKUP(TRIM(SUBSTITUTE(Z238,CHAR(160)," ")),BR16:BR63,BS16:BS63)))*Y238*IF(ISBLANK(V238),1,V238),0))</f>
        <v>5.5E-2</v>
      </c>
      <c r="AS238" s="784" t="str">
        <f t="shared" si="112"/>
        <v>Kg</v>
      </c>
      <c r="AT238" s="1315" t="str">
        <f t="shared" si="123"/>
        <v>❾ Author reference &gt;</v>
      </c>
      <c r="AU238" s="785">
        <f t="shared" si="124"/>
        <v>18</v>
      </c>
      <c r="AV238" s="785" t="str">
        <f t="shared" si="125"/>
        <v>desserts</v>
      </c>
      <c r="AW238" s="798">
        <f>IF(AK238="A",AY10,0)</f>
        <v>20</v>
      </c>
      <c r="AX238" s="5496" t="str">
        <f>IF(IFERROR(SEARCH("Adresse PC",TRIM(W238)),0)&gt;0,"▼ receta siguiente",IF(AK238="A",IF(AZ10&lt;&gt;"",AZ10&amp;" - ou.or.o ❾ + or - &gt;",""),""))</f>
        <v>parts - ou.or.o ❾ + or - &gt;</v>
      </c>
      <c r="AY238" s="810"/>
      <c r="AZ238" s="810"/>
      <c r="BA238" s="799">
        <f t="shared" si="115"/>
        <v>6.1111111111111116E-2</v>
      </c>
      <c r="BB238" s="800" t="str">
        <f>IF(AK238="A",IF(AQ238,IF(AND(AW238&lt;&gt;"",N(AW238)&gt;0),IFERROR(IFERROR(_xlfn.XLOOKUP(AP238,BP10:BP57,BT10:BT57),IFERROR(_xlfn.XLOOKUP(AP238,BQ10:BQ57,BT10:BT57),_xlfn.XLOOKUP(AP238,BR10:BR57,BT10:BT57,""))),""),""),""),"")</f>
        <v>Kg</v>
      </c>
      <c r="BC238" s="813" t="str" cm="1">
        <f t="array" ref="BC238">IF(NOT(AQ238),0,IF(OR(BA238="",N(BA238)&lt;=0.000000001),"",IF(OR(AU238="",N(AU238)&lt;=0.000000001),0,IF(ISNUMBER(BA238),IFERROR(_xlfn.LET(_xlpm.ai_test,TRIM(AP238),_xlpm.r,IFERROR(_xlfn.XLOOKUP(_xlpm.ai_test,BP16:BP63,ROW(BP16:BP63),0,1),IFERROR(_xlfn.XLOOKUP(_xlpm.ai_test,BQ16:BQ63,ROW(BQ16:BQ63),0,1),_xlfn.XLOOKUP(_xlpm.ai_test,BR16:BR63,ROW(BR16:BR63),0,1))),_xlpm.p,_xlpm.r-MIN(ROW(BP16:BP63))+1,_xlpm.f,INDEX(BS16:BS63,_xlpm.p),_xlpm.u,INDEX(BT16:BT63,_xlpm.p),_xlpm.s,INDEX(BV16:BV63,_xlpm.p),_xlpm.q,N(BA238)/_xlpm.f,IF(_xlpm.q&gt;=_xlpm.s,ROUND(_xlpm.q,1)&amp;" "&amp;_xlpm.ai_test&amp;" = "&amp;ROUND(_xlpm.q*_xlpm.f,1)&amp;" "&amp;_xlpm.u,ROUND(_xlpm.q,1)&amp;" "&amp;_xlpm.ai_test)),""),""))))</f>
        <v>61.1 g</v>
      </c>
      <c r="BD238" s="801"/>
      <c r="BE238" s="799">
        <f t="shared" si="126"/>
        <v>6.1111111111111116E-2</v>
      </c>
      <c r="BF238" s="800" t="str">
        <f t="shared" si="132"/>
        <v>Kg</v>
      </c>
      <c r="BG238" s="802">
        <f t="shared" si="133"/>
        <v>0</v>
      </c>
      <c r="BH238" s="803" t="str">
        <f t="shared" si="134"/>
        <v/>
      </c>
      <c r="BI238" s="792"/>
      <c r="BJ238" s="804">
        <f t="shared" si="135"/>
        <v>0</v>
      </c>
      <c r="BK238" s="794" t="str">
        <f t="shared" si="127"/>
        <v>sucre semoule pâtissière</v>
      </c>
      <c r="BL238" s="227" t="s">
        <v>21</v>
      </c>
      <c r="BM238" s="773">
        <f t="shared" si="117"/>
        <v>0</v>
      </c>
      <c r="BN238" s="774">
        <f t="shared" si="118"/>
        <v>1.1111111111111112</v>
      </c>
      <c r="BO238"/>
      <c r="BX238"/>
      <c r="BY238"/>
      <c r="BZ238"/>
      <c r="CA238"/>
      <c r="CB238"/>
      <c r="CC238"/>
      <c r="CD238" s="781" t="str">
        <f t="shared" si="113"/>
        <v>A</v>
      </c>
      <c r="CE238"/>
      <c r="CF238"/>
      <c r="CG238"/>
      <c r="CH238"/>
      <c r="CI238"/>
      <c r="CJ238" s="633"/>
      <c r="CK238"/>
      <c r="CL238"/>
      <c r="CM238"/>
      <c r="CN238"/>
      <c r="CO238"/>
      <c r="CP238"/>
      <c r="CQ238"/>
      <c r="CS238"/>
      <c r="CT238"/>
      <c r="CU238"/>
      <c r="CV238"/>
      <c r="CW238"/>
      <c r="CX238"/>
      <c r="CY238"/>
      <c r="DA238"/>
      <c r="DB238"/>
      <c r="DC238"/>
      <c r="DD238"/>
      <c r="DE238"/>
      <c r="DF238"/>
      <c r="DG238"/>
      <c r="DI238" s="3">
        <v>1</v>
      </c>
    </row>
    <row r="239" spans="1:113" s="627" customFormat="1" ht="21" customHeight="1">
      <c r="A239" s="701" t="s">
        <v>21</v>
      </c>
      <c r="B239" s="2265" t="str" cm="1">
        <f t="array" ref="B239">SUMPRODUCT(--(D239:J239&lt;&gt;""), LEN(TRIM(SUBSTITUTE(D239:J239, CHAR(160), "")))) &amp; " Car."</f>
        <v>0 Car.</v>
      </c>
      <c r="C239" s="1376" t="str">
        <f>IF(ISBLANK(D239),"",LARGE(C13:C238,1)+1)</f>
        <v/>
      </c>
      <c r="D239" s="1833"/>
      <c r="E239" s="1810"/>
      <c r="F239" s="1810"/>
      <c r="G239" s="1810"/>
      <c r="H239" s="1810"/>
      <c r="I239" s="1810"/>
      <c r="J239" s="1810"/>
      <c r="K239" s="1810"/>
      <c r="L239" s="1811"/>
      <c r="M239" s="9"/>
      <c r="N239" s="103" t="str">
        <f t="shared" si="114"/>
        <v>A</v>
      </c>
      <c r="O239" s="1616"/>
      <c r="P239" s="9"/>
      <c r="Q239" s="103" t="str">
        <f t="shared" si="130"/>
        <v>A</v>
      </c>
      <c r="R239" s="31" t="str">
        <f>R215</f>
        <v>M MILLE-FEUILLE meringue et chiboust pamplemousse aux fraises des bois | collez la--FAMILLE| Auteur &gt; recette Béghin Say de Jean-Jacques Borne MOF 1994</v>
      </c>
      <c r="S239" s="32">
        <f>S215</f>
        <v>18</v>
      </c>
      <c r="T239" s="31" t="str">
        <f>T215</f>
        <v>desserts</v>
      </c>
      <c r="U239" s="33" t="str">
        <f>U215</f>
        <v>Recette mère ► MILLE-FEUILLE  aux fraises des bois</v>
      </c>
      <c r="V239" s="89"/>
      <c r="W239" s="108"/>
      <c r="X239" s="91" t="str">
        <f t="shared" si="129"/>
        <v/>
      </c>
      <c r="Y239" s="92">
        <v>10</v>
      </c>
      <c r="Z239" s="104" t="s">
        <v>100</v>
      </c>
      <c r="AA239" s="130">
        <v>1</v>
      </c>
      <c r="AB239" s="1813" t="str">
        <f>ROWS(AB219:AB239)&amp;" ►"</f>
        <v>21 ►</v>
      </c>
      <c r="AC239" s="1580" t="s">
        <v>3074</v>
      </c>
      <c r="AD239" s="95">
        <f>IF(AF249=0,0,(AF239/AF249)*AE218*1000)</f>
        <v>6.3653723742838952</v>
      </c>
      <c r="AE239" s="105">
        <f>IF(AF249=0, 0, (V239*AA239)/(AF249*AE218))</f>
        <v>0</v>
      </c>
      <c r="AF239" s="97" cm="1">
        <f t="array" ref="AF239">IFERROR(_xlfn.XLOOKUP(UPPER(TRIM(Z239)),UPPER(TRIM(V250:AJ250)),V251:AJ251,_xlfn.XLOOKUP(UPPER(TRIM(Z239)),UPPER(TRIM(V252:AJ252)),V253:AJ253,0))*Y239*IF(V239&gt;0,V239,1),0)</f>
        <v>0.01</v>
      </c>
      <c r="AG239" s="106">
        <f>IF(AI214&lt;&gt;0,V239*AA239*AA214,0)</f>
        <v>0</v>
      </c>
      <c r="AH239" s="1747">
        <f t="shared" si="131"/>
        <v>0</v>
      </c>
      <c r="AI239" s="99">
        <f>IF(OR(ISBLANK(AI214),AI214=0),0,AF239*AA239*AA214)</f>
        <v>0.02</v>
      </c>
      <c r="AJ239" s="107" t="str">
        <f>IF(Z239="","",IF(COUNTIF(AC250:AJ250,SUBSTITUTE(TRIM(Z239)," (s)",""))+COUNTIF(AC252:AJ252,SUBSTITUTE(TRIM(Z239)," (s)",""))&gt;0,IF(ROUND(AI239,3)&gt;=1,ROUND(AI239,3)&amp;" L",MAX(1,ROUND(AI239*100,0))&amp;" cl"),IF(COUNTIF(V250:AA250,SUBSTITUTE(TRIM(Z239)," (s)",""))+COUNTIF(V252:AA252,SUBSTITUTE(TRIM(Z239)," (s)",""))&gt;0,IF(ROUND(AI239,3)&gt;=1,ROUND(AI239,3)&amp;" Kg",MAX(1,ROUND(AI239*1000,0))&amp;" g"),"")))</f>
        <v>20 g</v>
      </c>
      <c r="AK239" s="6120" t="str">
        <f t="shared" si="128"/>
        <v>A</v>
      </c>
      <c r="AL239" s="781" t="str">
        <f t="shared" si="116"/>
        <v>A</v>
      </c>
      <c r="AM239" s="5499" t="str">
        <f t="shared" si="119"/>
        <v>M MILLE-FEUILLE meringue et chiboust pamplemousse aux fraises des bois | collez la--FAMILLE| Auteur &gt; recette Béghin Say de Jean-Jacques Borne MOF 1994</v>
      </c>
      <c r="AN239" s="783">
        <f t="shared" si="120"/>
        <v>18</v>
      </c>
      <c r="AO239" s="782" t="str">
        <f t="shared" si="121"/>
        <v>desserts</v>
      </c>
      <c r="AP239" s="783" t="str">
        <f t="shared" si="122"/>
        <v>g</v>
      </c>
      <c r="AQ239" s="2083" t="b">
        <f>AND(Q239="A",COUNTIF(BP16:BR63,TRIM(Z239))&gt;0)</f>
        <v>1</v>
      </c>
      <c r="AR239" s="797">
        <f>IF(AL239&lt;&gt;"A","",IFERROR(IFERROR(_xlfn.XLOOKUP(TRIM(SUBSTITUTE(Z239,CHAR(160)," ")),BP16:BP63,BS16:BS63),IFERROR(_xlfn.XLOOKUP(TRIM(SUBSTITUTE(Z239,CHAR(160)," ")),BQ16:BQ63,BS16:BS63),_xlfn.XLOOKUP(TRIM(SUBSTITUTE(Z239,CHAR(160)," ")),BR16:BR63,BS16:BS63)))*Y239*IF(ISBLANK(V239),1,V239),0))</f>
        <v>0.01</v>
      </c>
      <c r="AS239" s="784" t="str">
        <f t="shared" si="112"/>
        <v>Kg</v>
      </c>
      <c r="AT239" s="1315" t="str">
        <f t="shared" si="123"/>
        <v>❾ Author reference &gt;</v>
      </c>
      <c r="AU239" s="785">
        <f t="shared" si="124"/>
        <v>18</v>
      </c>
      <c r="AV239" s="785" t="str">
        <f t="shared" si="125"/>
        <v>desserts</v>
      </c>
      <c r="AW239" s="786">
        <f>IF(AK239="A",AY10,0)</f>
        <v>20</v>
      </c>
      <c r="AX239" s="5495" t="str">
        <f>IF(IFERROR(SEARCH("Adresse PC",TRIM(W239)),0)&gt;0,"▼ receta siguiente",IF(AK239="A",IF(AZ10&lt;&gt;"",AZ10&amp;" - ou.or.o ❾ + or - &gt;",""),""))</f>
        <v>parts - ou.or.o ❾ + or - &gt;</v>
      </c>
      <c r="AY239" s="810"/>
      <c r="AZ239" s="810"/>
      <c r="BA239" s="788">
        <f t="shared" si="115"/>
        <v>1.1111111111111112E-2</v>
      </c>
      <c r="BB239" s="789" t="str">
        <f>IF(AK239="A",IF(AQ239,IF(AND(AW239&lt;&gt;"",N(AW239)&gt;0),IFERROR(IFERROR(_xlfn.XLOOKUP(AP239,BP10:BP57,BT10:BT57),IFERROR(_xlfn.XLOOKUP(AP239,BQ10:BQ57,BT10:BT57),_xlfn.XLOOKUP(AP239,BR10:BR57,BT10:BT57,""))),""),""),""),"")</f>
        <v>Kg</v>
      </c>
      <c r="BC239" s="811" t="str" cm="1">
        <f t="array" ref="BC239">IF(NOT(AQ239),0,IF(OR(BA239="",N(BA239)&lt;=0.000000001),"",IF(OR(AU239="",N(AU239)&lt;=0.000000001),0,IF(ISNUMBER(BA239),IFERROR(_xlfn.LET(_xlpm.ai_test,TRIM(AP239),_xlpm.r,IFERROR(_xlfn.XLOOKUP(_xlpm.ai_test,BP16:BP63,ROW(BP16:BP63),0,1),IFERROR(_xlfn.XLOOKUP(_xlpm.ai_test,BQ16:BQ63,ROW(BQ16:BQ63),0,1),_xlfn.XLOOKUP(_xlpm.ai_test,BR16:BR63,ROW(BR16:BR63),0,1))),_xlpm.p,_xlpm.r-MIN(ROW(BP16:BP63))+1,_xlpm.f,INDEX(BS16:BS63,_xlpm.p),_xlpm.u,INDEX(BT16:BT63,_xlpm.p),_xlpm.s,INDEX(BV16:BV63,_xlpm.p),_xlpm.q,N(BA239)/_xlpm.f,IF(_xlpm.q&gt;=_xlpm.s,ROUND(_xlpm.q,1)&amp;" "&amp;_xlpm.ai_test&amp;" = "&amp;ROUND(_xlpm.q*_xlpm.f,1)&amp;" "&amp;_xlpm.u,ROUND(_xlpm.q,1)&amp;" "&amp;_xlpm.ai_test)),""),""))))</f>
        <v>11.1 g</v>
      </c>
      <c r="BD239" s="801"/>
      <c r="BE239" s="788">
        <f t="shared" si="126"/>
        <v>1.1111111111111112E-2</v>
      </c>
      <c r="BF239" s="789" t="str">
        <f t="shared" si="132"/>
        <v>Kg</v>
      </c>
      <c r="BG239" s="790">
        <f t="shared" si="133"/>
        <v>0</v>
      </c>
      <c r="BH239" s="791" t="str">
        <f t="shared" si="134"/>
        <v/>
      </c>
      <c r="BI239" s="792"/>
      <c r="BJ239" s="793">
        <f t="shared" si="135"/>
        <v>0</v>
      </c>
      <c r="BK239" s="794" t="str">
        <f t="shared" si="127"/>
        <v>jus de citron</v>
      </c>
      <c r="BL239" s="227" t="s">
        <v>21</v>
      </c>
      <c r="BM239" s="773">
        <f t="shared" si="117"/>
        <v>0</v>
      </c>
      <c r="BN239" s="774">
        <f t="shared" si="118"/>
        <v>1.1111111111111112</v>
      </c>
      <c r="BO239"/>
      <c r="BX239"/>
      <c r="BY239"/>
      <c r="BZ239"/>
      <c r="CA239"/>
      <c r="CB239"/>
      <c r="CC239"/>
      <c r="CD239" s="781" t="str">
        <f t="shared" si="113"/>
        <v>A</v>
      </c>
      <c r="CE239"/>
      <c r="CF239"/>
      <c r="CG239"/>
      <c r="CH239"/>
      <c r="CI239"/>
      <c r="CJ239" s="633"/>
      <c r="CK239"/>
      <c r="CL239"/>
      <c r="CM239"/>
      <c r="CN239"/>
      <c r="CO239"/>
      <c r="CP239"/>
      <c r="CQ239"/>
      <c r="CS239"/>
      <c r="CT239"/>
      <c r="CU239"/>
      <c r="CV239"/>
      <c r="CW239"/>
      <c r="CX239"/>
      <c r="CY239"/>
      <c r="DA239"/>
      <c r="DB239"/>
      <c r="DC239"/>
      <c r="DD239"/>
      <c r="DE239"/>
      <c r="DF239"/>
      <c r="DG239"/>
      <c r="DI239" s="3">
        <v>1</v>
      </c>
    </row>
    <row r="240" spans="1:113" s="627" customFormat="1" ht="21" customHeight="1">
      <c r="A240" s="701" t="s">
        <v>21</v>
      </c>
      <c r="B240" s="2265" t="str" cm="1">
        <f t="array" ref="B240">SUMPRODUCT(--(D240:J240&lt;&gt;""), LEN(TRIM(SUBSTITUTE(D240:J240, CHAR(160), "")))) &amp; " Car."</f>
        <v>0 Car.</v>
      </c>
      <c r="C240" s="1376" t="str">
        <f>IF(ISBLANK(D240),"",LARGE(C13:C239,1)+1)</f>
        <v/>
      </c>
      <c r="D240" s="1833"/>
      <c r="E240" s="1810"/>
      <c r="F240" s="1810"/>
      <c r="G240" s="1810"/>
      <c r="H240" s="1810"/>
      <c r="I240" s="1810"/>
      <c r="J240" s="1810"/>
      <c r="K240" s="1810"/>
      <c r="L240" s="1811"/>
      <c r="M240" s="9"/>
      <c r="N240" s="103" t="str">
        <f t="shared" si="114"/>
        <v>►</v>
      </c>
      <c r="O240" s="1616"/>
      <c r="P240" s="9"/>
      <c r="Q240" s="103" t="str">
        <f t="shared" si="130"/>
        <v>►</v>
      </c>
      <c r="R240" s="31" t="str">
        <f>R215</f>
        <v>M MILLE-FEUILLE meringue et chiboust pamplemousse aux fraises des bois | collez la--FAMILLE| Auteur &gt; recette Béghin Say de Jean-Jacques Borne MOF 1994</v>
      </c>
      <c r="S240" s="32">
        <f>S215</f>
        <v>18</v>
      </c>
      <c r="T240" s="31" t="str">
        <f>T215</f>
        <v>desserts</v>
      </c>
      <c r="U240" s="33" t="str">
        <f>U215</f>
        <v>Recette mère ► MILLE-FEUILLE  aux fraises des bois</v>
      </c>
      <c r="V240" s="89"/>
      <c r="W240" s="108"/>
      <c r="X240" s="91" t="str">
        <f t="shared" si="129"/>
        <v/>
      </c>
      <c r="Y240" s="92"/>
      <c r="Z240" s="128"/>
      <c r="AA240" s="130">
        <v>1</v>
      </c>
      <c r="AB240" s="1813" t="str">
        <f>ROWS(AB219:AB240)&amp;" ►"</f>
        <v>22 ►</v>
      </c>
      <c r="AC240" s="1580"/>
      <c r="AD240" s="95">
        <f>IF(AF249=0,0,(AF240/AF249)*AE218*1000)</f>
        <v>0</v>
      </c>
      <c r="AE240" s="105">
        <f>IF(AF249=0, 0, (V240*AA240)/(AF249*AE218))</f>
        <v>0</v>
      </c>
      <c r="AF240" s="97" cm="1">
        <f t="array" ref="AF240">IFERROR(_xlfn.XLOOKUP(UPPER(TRIM(Z240)),UPPER(TRIM(V250:AJ250)),V251:AJ251,_xlfn.XLOOKUP(UPPER(TRIM(Z240)),UPPER(TRIM(V252:AJ252)),V253:AJ253,0))*Y240*IF(V240&gt;0,V240,1),0)</f>
        <v>0</v>
      </c>
      <c r="AG240" s="110">
        <f>IF(AI214&lt;&gt;0,V240*AA240*AA214,0)</f>
        <v>0</v>
      </c>
      <c r="AH240" s="1748">
        <f t="shared" si="131"/>
        <v>0</v>
      </c>
      <c r="AI240" s="99">
        <f>IF(OR(ISBLANK(AI214),AI214=0),0,AF240*AA240*AA214)</f>
        <v>0</v>
      </c>
      <c r="AJ240" s="129" t="str">
        <f>IF(Z240="","",IF(COUNTIF(AC250:AJ250,SUBSTITUTE(TRIM(Z240)," (s)",""))+COUNTIF(AC252:AJ252,SUBSTITUTE(TRIM(Z240)," (s)",""))&gt;0,IF(ROUND(AI240,3)&gt;=1,ROUND(AI240,3)&amp;" L",MAX(1,ROUND(AI240*100,0))&amp;" cl"),IF(COUNTIF(V250:AA250,SUBSTITUTE(TRIM(Z240)," (s)",""))+COUNTIF(V252:AA252,SUBSTITUTE(TRIM(Z240)," (s)",""))&gt;0,IF(ROUND(AI240,3)&gt;=1,ROUND(AI240,3)&amp;" Kg",MAX(1,ROUND(AI240*1000,0))&amp;" g"),"")))</f>
        <v/>
      </c>
      <c r="AK240" s="6120" t="str">
        <f t="shared" si="128"/>
        <v>►</v>
      </c>
      <c r="AL240" s="781" t="str">
        <f t="shared" si="116"/>
        <v>►</v>
      </c>
      <c r="AM240" s="5498" t="str">
        <f t="shared" si="119"/>
        <v/>
      </c>
      <c r="AN240" s="783" t="str">
        <f t="shared" si="120"/>
        <v/>
      </c>
      <c r="AO240" s="782" t="str">
        <f t="shared" si="121"/>
        <v/>
      </c>
      <c r="AP240" s="783" t="str">
        <f t="shared" si="122"/>
        <v/>
      </c>
      <c r="AQ240" s="2083" t="b">
        <f>AND(Q240="A",COUNTIF(BP16:BR63,TRIM(Z240))&gt;0)</f>
        <v>0</v>
      </c>
      <c r="AR240" s="797" t="str">
        <f>IF(AL240&lt;&gt;"A","",IFERROR(IFERROR(_xlfn.XLOOKUP(TRIM(SUBSTITUTE(Z240,CHAR(160)," ")),BP16:BP63,BS16:BS63),IFERROR(_xlfn.XLOOKUP(TRIM(SUBSTITUTE(Z240,CHAR(160)," ")),BQ16:BQ63,BS16:BS63),_xlfn.XLOOKUP(TRIM(SUBSTITUTE(Z240,CHAR(160)," ")),BR16:BR63,BS16:BS63)))*Y240*IF(ISBLANK(V240),1,V240),0))</f>
        <v/>
      </c>
      <c r="AS240" s="784" t="str">
        <f t="shared" si="112"/>
        <v/>
      </c>
      <c r="AT240" s="1315" t="str">
        <f t="shared" si="123"/>
        <v/>
      </c>
      <c r="AU240" s="785">
        <f t="shared" si="124"/>
        <v>0</v>
      </c>
      <c r="AV240" s="785">
        <f t="shared" si="125"/>
        <v>0</v>
      </c>
      <c r="AW240" s="798">
        <f>IF(AK240="A",AY10,0)</f>
        <v>0</v>
      </c>
      <c r="AX240" s="5496" t="str">
        <f>IF(IFERROR(SEARCH("Adresse PC",TRIM(W240)),0)&gt;0,"▼ receta siguiente",IF(AK240="A",IF(AZ10&lt;&gt;"",AZ10&amp;" - ou.or.o ❾ + or - &gt;",""),""))</f>
        <v/>
      </c>
      <c r="AY240" s="810"/>
      <c r="AZ240" s="810"/>
      <c r="BA240" s="799" t="str">
        <f t="shared" si="115"/>
        <v/>
      </c>
      <c r="BB240" s="800" t="str">
        <f>IF(AK240="A",IF(AQ240,IF(AND(AW240&lt;&gt;"",N(AW240)&gt;0),IFERROR(IFERROR(_xlfn.XLOOKUP(AP240,BP10:BP57,BT10:BT57),IFERROR(_xlfn.XLOOKUP(AP240,BQ10:BQ57,BT10:BT57),_xlfn.XLOOKUP(AP240,BR10:BR57,BT10:BT57,""))),""),""),""),"")</f>
        <v/>
      </c>
      <c r="BC240" s="813" cm="1">
        <f t="array" ref="BC240">IF(NOT(AQ240),0,IF(OR(BA240="",N(BA240)&lt;=0.000000001),"",IF(OR(AU240="",N(AU240)&lt;=0.000000001),0,IF(ISNUMBER(BA240),IFERROR(_xlfn.LET(_xlpm.ai_test,TRIM(AP240),_xlpm.r,IFERROR(_xlfn.XLOOKUP(_xlpm.ai_test,BP16:BP63,ROW(BP16:BP63),0,1),IFERROR(_xlfn.XLOOKUP(_xlpm.ai_test,BQ16:BQ63,ROW(BQ16:BQ63),0,1),_xlfn.XLOOKUP(_xlpm.ai_test,BR16:BR63,ROW(BR16:BR63),0,1))),_xlpm.p,_xlpm.r-MIN(ROW(BP16:BP63))+1,_xlpm.f,INDEX(BS16:BS63,_xlpm.p),_xlpm.u,INDEX(BT16:BT63,_xlpm.p),_xlpm.s,INDEX(BV16:BV63,_xlpm.p),_xlpm.q,N(BA240)/_xlpm.f,IF(_xlpm.q&gt;=_xlpm.s,ROUND(_xlpm.q,1)&amp;" "&amp;_xlpm.ai_test&amp;" = "&amp;ROUND(_xlpm.q*_xlpm.f,1)&amp;" "&amp;_xlpm.u,ROUND(_xlpm.q,1)&amp;" "&amp;_xlpm.ai_test)),""),""))))</f>
        <v>0</v>
      </c>
      <c r="BD240" s="801"/>
      <c r="BE240" s="799" t="str">
        <f t="shared" si="126"/>
        <v/>
      </c>
      <c r="BF240" s="800" t="str">
        <f t="shared" si="132"/>
        <v/>
      </c>
      <c r="BG240" s="802">
        <f t="shared" si="133"/>
        <v>0</v>
      </c>
      <c r="BH240" s="803" t="str">
        <f t="shared" si="134"/>
        <v/>
      </c>
      <c r="BI240" s="792"/>
      <c r="BJ240" s="804">
        <f t="shared" si="135"/>
        <v>0</v>
      </c>
      <c r="BK240" s="794" t="str">
        <f t="shared" si="127"/>
        <v/>
      </c>
      <c r="BL240" s="227" t="s">
        <v>21</v>
      </c>
      <c r="BM240" s="773">
        <f t="shared" si="117"/>
        <v>0</v>
      </c>
      <c r="BN240" s="774">
        <f t="shared" si="118"/>
        <v>0</v>
      </c>
      <c r="BO240"/>
      <c r="BX240"/>
      <c r="BY240"/>
      <c r="BZ240"/>
      <c r="CA240"/>
      <c r="CB240"/>
      <c r="CC240"/>
      <c r="CD240" s="781" t="str">
        <f t="shared" si="113"/>
        <v>►</v>
      </c>
      <c r="CE240"/>
      <c r="CF240"/>
      <c r="CG240"/>
      <c r="CH240"/>
      <c r="CI240"/>
      <c r="CJ240" s="633"/>
      <c r="CK240"/>
      <c r="CL240"/>
      <c r="CM240"/>
      <c r="CN240"/>
      <c r="CO240"/>
      <c r="CP240"/>
      <c r="CQ240"/>
      <c r="CS240"/>
      <c r="CT240"/>
      <c r="CU240"/>
      <c r="CV240"/>
      <c r="CW240"/>
      <c r="CX240"/>
      <c r="CY240"/>
      <c r="DA240"/>
      <c r="DB240"/>
      <c r="DC240"/>
      <c r="DD240"/>
      <c r="DE240"/>
      <c r="DF240"/>
      <c r="DG240"/>
      <c r="DI240" s="3">
        <v>1</v>
      </c>
    </row>
    <row r="241" spans="1:113" s="627" customFormat="1" ht="21" customHeight="1">
      <c r="A241" s="701" t="s">
        <v>21</v>
      </c>
      <c r="B241" s="2265" t="str" cm="1">
        <f t="array" ref="B241">SUMPRODUCT(--(D241:J241&lt;&gt;""), LEN(TRIM(SUBSTITUTE(D241:J241, CHAR(160), "")))) &amp; " Car."</f>
        <v>0 Car.</v>
      </c>
      <c r="C241" s="1376" t="str">
        <f>IF(ISBLANK(D241),"",LARGE(C13:C240,1)+1)</f>
        <v/>
      </c>
      <c r="D241" s="1833"/>
      <c r="E241" s="1810"/>
      <c r="F241" s="1810"/>
      <c r="G241" s="1810"/>
      <c r="H241" s="1810"/>
      <c r="I241" s="1810"/>
      <c r="J241" s="1810"/>
      <c r="K241" s="1810"/>
      <c r="L241" s="1811"/>
      <c r="M241" s="9"/>
      <c r="N241" s="103" t="str">
        <f t="shared" si="114"/>
        <v>A</v>
      </c>
      <c r="O241" s="1616"/>
      <c r="P241" s="9"/>
      <c r="Q241" s="103" t="str">
        <f t="shared" si="130"/>
        <v>A</v>
      </c>
      <c r="R241" s="31" t="str">
        <f>R215</f>
        <v>M MILLE-FEUILLE meringue et chiboust pamplemousse aux fraises des bois | collez la--FAMILLE| Auteur &gt; recette Béghin Say de Jean-Jacques Borne MOF 1994</v>
      </c>
      <c r="S241" s="32">
        <f>S215</f>
        <v>18</v>
      </c>
      <c r="T241" s="31" t="str">
        <f>T215</f>
        <v>desserts</v>
      </c>
      <c r="U241" s="33" t="str">
        <f>U215</f>
        <v>Recette mère ► MILLE-FEUILLE  aux fraises des bois</v>
      </c>
      <c r="V241" s="89"/>
      <c r="W241" s="108"/>
      <c r="X241" s="91" t="str">
        <f t="shared" si="129"/>
        <v/>
      </c>
      <c r="Y241" s="92"/>
      <c r="Z241" s="128"/>
      <c r="AA241" s="130">
        <v>1</v>
      </c>
      <c r="AB241" s="1813" t="str">
        <f>ROWS(AB219:AB241)&amp;" ►"</f>
        <v>23 ►</v>
      </c>
      <c r="AC241" s="1580" t="s">
        <v>3075</v>
      </c>
      <c r="AD241" s="95">
        <f>IF(AF249=0,0,(AF241/AF249)*AE218*1000)</f>
        <v>0</v>
      </c>
      <c r="AE241" s="105">
        <f>IF(AF249=0, 0, (V241*AA241)/(AF249*AE218))</f>
        <v>0</v>
      </c>
      <c r="AF241" s="97" cm="1">
        <f t="array" ref="AF241">IFERROR(_xlfn.XLOOKUP(UPPER(TRIM(Z241)),UPPER(TRIM(V250:AJ250)),V251:AJ251,_xlfn.XLOOKUP(UPPER(TRIM(Z241)),UPPER(TRIM(V252:AJ252)),V253:AJ253,0))*Y241*IF(V241&gt;0,V241,1),0)</f>
        <v>0</v>
      </c>
      <c r="AG241" s="106">
        <f>IF(AI214&lt;&gt;0,V241*AA241*AA214,0)</f>
        <v>0</v>
      </c>
      <c r="AH241" s="1747">
        <f t="shared" si="131"/>
        <v>0</v>
      </c>
      <c r="AI241" s="99">
        <f>IF(OR(ISBLANK(AI214),AI214=0),0,AF241*AA241*AA214)</f>
        <v>0</v>
      </c>
      <c r="AJ241" s="107" t="str">
        <f>IF(Z241="","",IF(COUNTIF(AC250:AJ250,SUBSTITUTE(TRIM(Z241)," (s)",""))+COUNTIF(AC252:AJ252,SUBSTITUTE(TRIM(Z241)," (s)",""))&gt;0,IF(ROUND(AI241,3)&gt;=1,ROUND(AI241,3)&amp;" L",MAX(1,ROUND(AI241*100,0))&amp;" cl"),IF(COUNTIF(V250:AA250,SUBSTITUTE(TRIM(Z241)," (s)",""))+COUNTIF(V252:AA252,SUBSTITUTE(TRIM(Z241)," (s)",""))&gt;0,IF(ROUND(AI241,3)&gt;=1,ROUND(AI241,3)&amp;" Kg",MAX(1,ROUND(AI241*1000,0))&amp;" g"),"")))</f>
        <v/>
      </c>
      <c r="AK241" s="6120" t="str">
        <f t="shared" si="128"/>
        <v>A</v>
      </c>
      <c r="AL241" s="781" t="str">
        <f t="shared" si="116"/>
        <v>A</v>
      </c>
      <c r="AM241" s="5499" t="str">
        <f t="shared" si="119"/>
        <v>M MILLE-FEUILLE meringue et chiboust pamplemousse aux fraises des bois | collez la--FAMILLE| Auteur &gt; recette Béghin Say de Jean-Jacques Borne MOF 1994</v>
      </c>
      <c r="AN241" s="783">
        <f t="shared" si="120"/>
        <v>18</v>
      </c>
      <c r="AO241" s="782" t="str">
        <f t="shared" si="121"/>
        <v>desserts</v>
      </c>
      <c r="AP241" s="783">
        <f t="shared" si="122"/>
        <v>0</v>
      </c>
      <c r="AQ241" s="2083" t="b">
        <f>AND(Q241="A",COUNTIF(BP16:BR63,TRIM(Z241))&gt;0)</f>
        <v>0</v>
      </c>
      <c r="AR241" s="797">
        <f>IF(AL241&lt;&gt;"A","",IFERROR(IFERROR(_xlfn.XLOOKUP(TRIM(SUBSTITUTE(Z241,CHAR(160)," ")),BP16:BP63,BS16:BS63),IFERROR(_xlfn.XLOOKUP(TRIM(SUBSTITUTE(Z241,CHAR(160)," ")),BQ16:BQ63,BS16:BS63),_xlfn.XLOOKUP(TRIM(SUBSTITUTE(Z241,CHAR(160)," ")),BR16:BR63,BS16:BS63)))*Y241*IF(ISBLANK(V241),1,V241),0))</f>
        <v>0</v>
      </c>
      <c r="AS241" s="784" t="str">
        <f t="shared" si="112"/>
        <v/>
      </c>
      <c r="AT241" s="1315" t="str">
        <f t="shared" si="123"/>
        <v>❾ Author reference &gt;</v>
      </c>
      <c r="AU241" s="785">
        <f t="shared" si="124"/>
        <v>18</v>
      </c>
      <c r="AV241" s="785" t="str">
        <f t="shared" si="125"/>
        <v>desserts</v>
      </c>
      <c r="AW241" s="786">
        <f>IF(AK241="A",AY10,0)</f>
        <v>20</v>
      </c>
      <c r="AX241" s="5495" t="str">
        <f>IF(IFERROR(SEARCH("Adresse PC",TRIM(W241)),0)&gt;0,"▼ receta siguiente",IF(AK241="A",IF(AZ10&lt;&gt;"",AZ10&amp;" - ou.or.o ❾ + or - &gt;",""),""))</f>
        <v>parts - ou.or.o ❾ + or - &gt;</v>
      </c>
      <c r="AY241" s="810"/>
      <c r="AZ241" s="810"/>
      <c r="BA241" s="788">
        <f t="shared" si="115"/>
        <v>0</v>
      </c>
      <c r="BB241" s="789" t="str">
        <f>IF(AK241="A",IF(AQ241,IF(AND(AW241&lt;&gt;"",N(AW241)&gt;0),IFERROR(IFERROR(_xlfn.XLOOKUP(AP241,BP10:BP57,BT10:BT57),IFERROR(_xlfn.XLOOKUP(AP241,BQ10:BQ57,BT10:BT57),_xlfn.XLOOKUP(AP241,BR10:BR57,BT10:BT57,""))),""),""),""),"")</f>
        <v/>
      </c>
      <c r="BC241" s="811" cm="1">
        <f t="array" ref="BC241">IF(NOT(AQ241),0,IF(OR(BA241="",N(BA241)&lt;=0.000000001),"",IF(OR(AU241="",N(AU241)&lt;=0.000000001),0,IF(ISNUMBER(BA241),IFERROR(_xlfn.LET(_xlpm.ai_test,TRIM(AP241),_xlpm.r,IFERROR(_xlfn.XLOOKUP(_xlpm.ai_test,BP16:BP63,ROW(BP16:BP63),0,1),IFERROR(_xlfn.XLOOKUP(_xlpm.ai_test,BQ16:BQ63,ROW(BQ16:BQ63),0,1),_xlfn.XLOOKUP(_xlpm.ai_test,BR16:BR63,ROW(BR16:BR63),0,1))),_xlpm.p,_xlpm.r-MIN(ROW(BP16:BP63))+1,_xlpm.f,INDEX(BS16:BS63,_xlpm.p),_xlpm.u,INDEX(BT16:BT63,_xlpm.p),_xlpm.s,INDEX(BV16:BV63,_xlpm.p),_xlpm.q,N(BA241)/_xlpm.f,IF(_xlpm.q&gt;=_xlpm.s,ROUND(_xlpm.q,1)&amp;" "&amp;_xlpm.ai_test&amp;" = "&amp;ROUND(_xlpm.q*_xlpm.f,1)&amp;" "&amp;_xlpm.u,ROUND(_xlpm.q,1)&amp;" "&amp;_xlpm.ai_test)),""),""))))</f>
        <v>0</v>
      </c>
      <c r="BD241" s="801"/>
      <c r="BE241" s="788">
        <f t="shared" si="126"/>
        <v>0</v>
      </c>
      <c r="BF241" s="789" t="str">
        <f t="shared" si="132"/>
        <v/>
      </c>
      <c r="BG241" s="790">
        <f t="shared" si="133"/>
        <v>0</v>
      </c>
      <c r="BH241" s="791" t="str">
        <f t="shared" si="134"/>
        <v/>
      </c>
      <c r="BI241" s="792"/>
      <c r="BJ241" s="793">
        <f t="shared" si="135"/>
        <v>0</v>
      </c>
      <c r="BK241" s="794" t="str">
        <f t="shared" si="127"/>
        <v/>
      </c>
      <c r="BL241" s="227" t="s">
        <v>21</v>
      </c>
      <c r="BM241" s="773">
        <f t="shared" si="117"/>
        <v>0</v>
      </c>
      <c r="BN241" s="774">
        <f t="shared" si="118"/>
        <v>0</v>
      </c>
      <c r="BO241"/>
      <c r="BX241"/>
      <c r="BY241"/>
      <c r="BZ241"/>
      <c r="CA241"/>
      <c r="CB241"/>
      <c r="CC241"/>
      <c r="CD241" s="781" t="str">
        <f t="shared" si="113"/>
        <v>A</v>
      </c>
      <c r="CE241"/>
      <c r="CF241"/>
      <c r="CG241"/>
      <c r="CH241"/>
      <c r="CI241"/>
      <c r="CJ241" s="633"/>
      <c r="CK241"/>
      <c r="CL241"/>
      <c r="CM241"/>
      <c r="CN241"/>
      <c r="CO241"/>
      <c r="CP241"/>
      <c r="CQ241"/>
      <c r="CS241"/>
      <c r="CT241"/>
      <c r="CU241"/>
      <c r="CV241"/>
      <c r="CW241"/>
      <c r="CX241"/>
      <c r="CY241"/>
      <c r="DA241"/>
      <c r="DB241"/>
      <c r="DC241"/>
      <c r="DD241"/>
      <c r="DE241"/>
      <c r="DF241"/>
      <c r="DG241"/>
      <c r="DI241" s="3">
        <v>1</v>
      </c>
    </row>
    <row r="242" spans="1:113" s="627" customFormat="1" ht="21" customHeight="1">
      <c r="A242" s="701" t="s">
        <v>21</v>
      </c>
      <c r="B242" s="2265" t="str" cm="1">
        <f t="array" ref="B242">SUMPRODUCT(--(D242:J242&lt;&gt;""), LEN(TRIM(SUBSTITUTE(D242:J242, CHAR(160), "")))) &amp; " Car."</f>
        <v>0 Car.</v>
      </c>
      <c r="C242" s="1376" t="str">
        <f>IF(ISBLANK(D242),"",LARGE(C13:C241,1)+1)</f>
        <v/>
      </c>
      <c r="D242" s="1833"/>
      <c r="E242" s="1810"/>
      <c r="F242" s="1810"/>
      <c r="G242" s="1810"/>
      <c r="H242" s="1810"/>
      <c r="I242" s="1810"/>
      <c r="J242" s="1810"/>
      <c r="K242" s="1810"/>
      <c r="L242" s="1811"/>
      <c r="M242" s="9"/>
      <c r="N242" s="103" t="str">
        <f t="shared" si="114"/>
        <v>A</v>
      </c>
      <c r="O242" s="1616"/>
      <c r="P242" s="9"/>
      <c r="Q242" s="103" t="str">
        <f t="shared" si="130"/>
        <v>A</v>
      </c>
      <c r="R242" s="31" t="str">
        <f>R215</f>
        <v>M MILLE-FEUILLE meringue et chiboust pamplemousse aux fraises des bois | collez la--FAMILLE| Auteur &gt; recette Béghin Say de Jean-Jacques Borne MOF 1994</v>
      </c>
      <c r="S242" s="32">
        <f>S215</f>
        <v>18</v>
      </c>
      <c r="T242" s="31" t="str">
        <f>T215</f>
        <v>desserts</v>
      </c>
      <c r="U242" s="33" t="str">
        <f>U215</f>
        <v>Recette mère ► MILLE-FEUILLE  aux fraises des bois</v>
      </c>
      <c r="V242" s="89"/>
      <c r="W242" s="108"/>
      <c r="X242" s="91" t="str">
        <f t="shared" si="129"/>
        <v/>
      </c>
      <c r="Y242" s="92">
        <v>250</v>
      </c>
      <c r="Z242" s="104" t="s">
        <v>100</v>
      </c>
      <c r="AA242" s="130">
        <v>1</v>
      </c>
      <c r="AB242" s="1813" t="str">
        <f>ROWS(AB219:AB242)&amp;" ►"</f>
        <v>24 ►</v>
      </c>
      <c r="AC242" s="1580" t="s">
        <v>3076</v>
      </c>
      <c r="AD242" s="95">
        <f>IF(AF249=0,0,(AF242/AF249)*AE218*1000)</f>
        <v>159.13430935709738</v>
      </c>
      <c r="AE242" s="105">
        <f>IF(AF249=0, 0, (V242*AA242)/(AF249*AE218))</f>
        <v>0</v>
      </c>
      <c r="AF242" s="97" cm="1">
        <f t="array" ref="AF242">IFERROR(_xlfn.XLOOKUP(UPPER(TRIM(Z242)),UPPER(TRIM(V250:AJ250)),V251:AJ251,_xlfn.XLOOKUP(UPPER(TRIM(Z242)),UPPER(TRIM(V252:AJ252)),V253:AJ253,0))*Y242*IF(V242&gt;0,V242,1),0)</f>
        <v>0.25</v>
      </c>
      <c r="AG242" s="106">
        <f>IF(AI214&lt;&gt;0,V242*AA242*AA214,0)</f>
        <v>0</v>
      </c>
      <c r="AH242" s="1747">
        <f t="shared" si="131"/>
        <v>0</v>
      </c>
      <c r="AI242" s="99">
        <f>IF(OR(ISBLANK(AI214),AI214=0),0,AF242*AA242*AA214)</f>
        <v>0.5</v>
      </c>
      <c r="AJ242" s="107" t="str">
        <f>IF(Z242="","",IF(COUNTIF(AC250:AJ250,SUBSTITUTE(TRIM(Z242)," (s)",""))+COUNTIF(AC252:AJ252,SUBSTITUTE(TRIM(Z242)," (s)",""))&gt;0,IF(ROUND(AI242,3)&gt;=1,ROUND(AI242,3)&amp;" L",MAX(1,ROUND(AI242*100,0))&amp;" cl"),IF(COUNTIF(V250:AA250,SUBSTITUTE(TRIM(Z242)," (s)",""))+COUNTIF(V252:AA252,SUBSTITUTE(TRIM(Z242)," (s)",""))&gt;0,IF(ROUND(AI242,3)&gt;=1,ROUND(AI242,3)&amp;" Kg",MAX(1,ROUND(AI242*1000,0))&amp;" g"),"")))</f>
        <v>500 g</v>
      </c>
      <c r="AK242" s="6120" t="str">
        <f t="shared" si="128"/>
        <v>A</v>
      </c>
      <c r="AL242" s="781" t="str">
        <f t="shared" si="116"/>
        <v>A</v>
      </c>
      <c r="AM242" s="5498" t="str">
        <f t="shared" si="119"/>
        <v>M MILLE-FEUILLE meringue et chiboust pamplemousse aux fraises des bois | collez la--FAMILLE| Auteur &gt; recette Béghin Say de Jean-Jacques Borne MOF 1994</v>
      </c>
      <c r="AN242" s="783">
        <f t="shared" si="120"/>
        <v>18</v>
      </c>
      <c r="AO242" s="782" t="str">
        <f t="shared" si="121"/>
        <v>desserts</v>
      </c>
      <c r="AP242" s="783" t="str">
        <f t="shared" si="122"/>
        <v>g</v>
      </c>
      <c r="AQ242" s="2083" t="b">
        <f>AND(Q242="A",COUNTIF(BP16:BR63,TRIM(Z242))&gt;0)</f>
        <v>1</v>
      </c>
      <c r="AR242" s="797">
        <f>IF(AL242&lt;&gt;"A","",IFERROR(IFERROR(_xlfn.XLOOKUP(TRIM(SUBSTITUTE(Z242,CHAR(160)," ")),BP16:BP63,BS16:BS63),IFERROR(_xlfn.XLOOKUP(TRIM(SUBSTITUTE(Z242,CHAR(160)," ")),BQ16:BQ63,BS16:BS63),_xlfn.XLOOKUP(TRIM(SUBSTITUTE(Z242,CHAR(160)," ")),BR16:BR63,BS16:BS63)))*Y242*IF(ISBLANK(V242),1,V242),0))</f>
        <v>0.25</v>
      </c>
      <c r="AS242" s="784" t="str">
        <f t="shared" si="112"/>
        <v>Kg</v>
      </c>
      <c r="AT242" s="1315" t="str">
        <f t="shared" si="123"/>
        <v>❾ Author reference &gt;</v>
      </c>
      <c r="AU242" s="785">
        <f t="shared" si="124"/>
        <v>18</v>
      </c>
      <c r="AV242" s="785" t="str">
        <f t="shared" si="125"/>
        <v>desserts</v>
      </c>
      <c r="AW242" s="798">
        <f>IF(AK242="A",AY10,0)</f>
        <v>20</v>
      </c>
      <c r="AX242" s="5496" t="str">
        <f>IF(IFERROR(SEARCH("Adresse PC",TRIM(W242)),0)&gt;0,"▼ receta siguiente",IF(AK242="A",IF(AZ10&lt;&gt;"",AZ10&amp;" - ou.or.o ❾ + or - &gt;",""),""))</f>
        <v>parts - ou.or.o ❾ + or - &gt;</v>
      </c>
      <c r="AY242" s="810"/>
      <c r="AZ242" s="810"/>
      <c r="BA242" s="799">
        <f t="shared" si="115"/>
        <v>0.27777777777777779</v>
      </c>
      <c r="BB242" s="800" t="str">
        <f>IF(AK242="A",IF(AQ242,IF(AND(AW242&lt;&gt;"",N(AW242)&gt;0),IFERROR(IFERROR(_xlfn.XLOOKUP(AP242,BP10:BP57,BT10:BT57),IFERROR(_xlfn.XLOOKUP(AP242,BQ10:BQ57,BT10:BT57),_xlfn.XLOOKUP(AP242,BR10:BR57,BT10:BT57,""))),""),""),""),"")</f>
        <v>Kg</v>
      </c>
      <c r="BC242" s="813" t="str" cm="1">
        <f t="array" ref="BC242">IF(NOT(AQ242),0,IF(OR(BA242="",N(BA242)&lt;=0.000000001),"",IF(OR(AU242="",N(AU242)&lt;=0.000000001),0,IF(ISNUMBER(BA242),IFERROR(_xlfn.LET(_xlpm.ai_test,TRIM(AP242),_xlpm.r,IFERROR(_xlfn.XLOOKUP(_xlpm.ai_test,BP16:BP63,ROW(BP16:BP63),0,1),IFERROR(_xlfn.XLOOKUP(_xlpm.ai_test,BQ16:BQ63,ROW(BQ16:BQ63),0,1),_xlfn.XLOOKUP(_xlpm.ai_test,BR16:BR63,ROW(BR16:BR63),0,1))),_xlpm.p,_xlpm.r-MIN(ROW(BP16:BP63))+1,_xlpm.f,INDEX(BS16:BS63,_xlpm.p),_xlpm.u,INDEX(BT16:BT63,_xlpm.p),_xlpm.s,INDEX(BV16:BV63,_xlpm.p),_xlpm.q,N(BA242)/_xlpm.f,IF(_xlpm.q&gt;=_xlpm.s,ROUND(_xlpm.q,1)&amp;" "&amp;_xlpm.ai_test&amp;" = "&amp;ROUND(_xlpm.q*_xlpm.f,1)&amp;" "&amp;_xlpm.u,ROUND(_xlpm.q,1)&amp;" "&amp;_xlpm.ai_test)),""),""))))</f>
        <v>277.8 g</v>
      </c>
      <c r="BD242" s="801"/>
      <c r="BE242" s="799">
        <f t="shared" si="126"/>
        <v>0.27777777777777779</v>
      </c>
      <c r="BF242" s="800" t="str">
        <f t="shared" si="132"/>
        <v>Kg</v>
      </c>
      <c r="BG242" s="802">
        <f t="shared" si="133"/>
        <v>0</v>
      </c>
      <c r="BH242" s="803" t="str">
        <f t="shared" si="134"/>
        <v/>
      </c>
      <c r="BI242" s="792"/>
      <c r="BJ242" s="804">
        <f t="shared" si="135"/>
        <v>0</v>
      </c>
      <c r="BK242" s="794" t="str">
        <f t="shared" si="127"/>
        <v>fraises</v>
      </c>
      <c r="BL242" s="227" t="s">
        <v>21</v>
      </c>
      <c r="BM242" s="773">
        <f t="shared" si="117"/>
        <v>0</v>
      </c>
      <c r="BN242" s="774">
        <f t="shared" si="118"/>
        <v>1.1111111111111112</v>
      </c>
      <c r="BO242"/>
      <c r="BX242"/>
      <c r="BY242"/>
      <c r="BZ242"/>
      <c r="CA242"/>
      <c r="CB242"/>
      <c r="CC242"/>
      <c r="CD242" s="781" t="str">
        <f t="shared" si="113"/>
        <v>A</v>
      </c>
      <c r="CE242"/>
      <c r="CF242"/>
      <c r="CG242"/>
      <c r="CH242"/>
      <c r="CI242"/>
      <c r="CJ242" s="633"/>
      <c r="CK242"/>
      <c r="CL242"/>
      <c r="CM242"/>
      <c r="CN242"/>
      <c r="CO242"/>
      <c r="CP242"/>
      <c r="CQ242"/>
      <c r="CS242"/>
      <c r="CT242"/>
      <c r="CU242"/>
      <c r="CV242"/>
      <c r="CW242"/>
      <c r="CX242"/>
      <c r="CY242"/>
      <c r="DA242"/>
      <c r="DB242"/>
      <c r="DC242"/>
      <c r="DD242"/>
      <c r="DE242"/>
      <c r="DF242"/>
      <c r="DG242"/>
      <c r="DI242" s="3">
        <v>1</v>
      </c>
    </row>
    <row r="243" spans="1:113" s="627" customFormat="1" ht="21" customHeight="1">
      <c r="A243" s="701" t="s">
        <v>21</v>
      </c>
      <c r="B243" s="2265" t="str" cm="1">
        <f t="array" ref="B243">SUMPRODUCT(--(D243:J243&lt;&gt;""), LEN(TRIM(SUBSTITUTE(D243:J243, CHAR(160), "")))) &amp; " Car."</f>
        <v>0 Car.</v>
      </c>
      <c r="C243" s="1376" t="str">
        <f>IF(ISBLANK(D243),"",LARGE(C13:C242,1)+1)</f>
        <v/>
      </c>
      <c r="D243" s="1833"/>
      <c r="E243" s="1810"/>
      <c r="F243" s="1810"/>
      <c r="G243" s="1810"/>
      <c r="H243" s="1810"/>
      <c r="I243" s="1810"/>
      <c r="J243" s="1810"/>
      <c r="K243" s="1810"/>
      <c r="L243" s="1811"/>
      <c r="M243" s="9"/>
      <c r="N243" s="103" t="str">
        <f t="shared" si="114"/>
        <v>A</v>
      </c>
      <c r="O243" s="1616"/>
      <c r="P243" s="9"/>
      <c r="Q243" s="103" t="str">
        <f t="shared" si="130"/>
        <v>A</v>
      </c>
      <c r="R243" s="31" t="str">
        <f>R215</f>
        <v>M MILLE-FEUILLE meringue et chiboust pamplemousse aux fraises des bois | collez la--FAMILLE| Auteur &gt; recette Béghin Say de Jean-Jacques Borne MOF 1994</v>
      </c>
      <c r="S243" s="32">
        <f>S215</f>
        <v>18</v>
      </c>
      <c r="T243" s="31" t="str">
        <f>T215</f>
        <v>desserts</v>
      </c>
      <c r="U243" s="33" t="str">
        <f>U215</f>
        <v>Recette mère ► MILLE-FEUILLE  aux fraises des bois</v>
      </c>
      <c r="V243" s="89"/>
      <c r="W243" s="108"/>
      <c r="X243" s="91" t="str">
        <f t="shared" si="129"/>
        <v/>
      </c>
      <c r="Y243" s="92">
        <v>50</v>
      </c>
      <c r="Z243" s="104" t="s">
        <v>100</v>
      </c>
      <c r="AA243" s="130">
        <v>1</v>
      </c>
      <c r="AB243" s="1813" t="str">
        <f>ROWS(AB219:AB243)&amp;" ►"</f>
        <v>25 ►</v>
      </c>
      <c r="AC243" s="1580" t="s">
        <v>3077</v>
      </c>
      <c r="AD243" s="95">
        <f>IF(AF249=0,0,(AF243/AF249)*AE218*1000)</f>
        <v>31.826861871419474</v>
      </c>
      <c r="AE243" s="105">
        <f>IF(AF249=0, 0, (V243*AA243)/(AF249*AE218))</f>
        <v>0</v>
      </c>
      <c r="AF243" s="97" cm="1">
        <f t="array" ref="AF243">IFERROR(_xlfn.XLOOKUP(UPPER(TRIM(Z243)),UPPER(TRIM(V250:AJ250)),V251:AJ251,_xlfn.XLOOKUP(UPPER(TRIM(Z243)),UPPER(TRIM(V252:AJ252)),V253:AJ253,0))*Y243*IF(V243&gt;0,V243,1),0)</f>
        <v>0.05</v>
      </c>
      <c r="AG243" s="110">
        <f>IF(AI214&lt;&gt;0,V243*AA243*AA214,0)</f>
        <v>0</v>
      </c>
      <c r="AH243" s="1748">
        <f t="shared" si="131"/>
        <v>0</v>
      </c>
      <c r="AI243" s="99">
        <f>IF(OR(ISBLANK(AI214),AI214=0),0,AF243*AA243*AA214)</f>
        <v>0.1</v>
      </c>
      <c r="AJ243" s="129" t="str">
        <f>IF(Z243="","",IF(COUNTIF(AC250:AJ250,SUBSTITUTE(TRIM(Z243)," (s)",""))+COUNTIF(AC252:AJ252,SUBSTITUTE(TRIM(Z243)," (s)",""))&gt;0,IF(ROUND(AI243,3)&gt;=1,ROUND(AI243,3)&amp;" L",MAX(1,ROUND(AI243*100,0))&amp;" cl"),IF(COUNTIF(V250:AA250,SUBSTITUTE(TRIM(Z243)," (s)",""))+COUNTIF(V252:AA252,SUBSTITUTE(TRIM(Z243)," (s)",""))&gt;0,IF(ROUND(AI243,3)&gt;=1,ROUND(AI243,3)&amp;" Kg",MAX(1,ROUND(AI243*1000,0))&amp;" g"),"")))</f>
        <v>100 g</v>
      </c>
      <c r="AK243" s="6120" t="str">
        <f t="shared" si="128"/>
        <v>A</v>
      </c>
      <c r="AL243" s="781" t="str">
        <f t="shared" si="116"/>
        <v>A</v>
      </c>
      <c r="AM243" s="5499" t="str">
        <f t="shared" si="119"/>
        <v>M MILLE-FEUILLE meringue et chiboust pamplemousse aux fraises des bois | collez la--FAMILLE| Auteur &gt; recette Béghin Say de Jean-Jacques Borne MOF 1994</v>
      </c>
      <c r="AN243" s="783">
        <f t="shared" si="120"/>
        <v>18</v>
      </c>
      <c r="AO243" s="782" t="str">
        <f t="shared" si="121"/>
        <v>desserts</v>
      </c>
      <c r="AP243" s="783" t="str">
        <f t="shared" si="122"/>
        <v>g</v>
      </c>
      <c r="AQ243" s="2083" t="b">
        <f>AND(Q243="A",COUNTIF(BP16:BR63,TRIM(Z243))&gt;0)</f>
        <v>1</v>
      </c>
      <c r="AR243" s="797">
        <f>IF(AL243&lt;&gt;"A","",IFERROR(IFERROR(_xlfn.XLOOKUP(TRIM(SUBSTITUTE(Z243,CHAR(160)," ")),BP16:BP63,BS16:BS63),IFERROR(_xlfn.XLOOKUP(TRIM(SUBSTITUTE(Z243,CHAR(160)," ")),BQ16:BQ63,BS16:BS63),_xlfn.XLOOKUP(TRIM(SUBSTITUTE(Z243,CHAR(160)," ")),BR16:BR63,BS16:BS63)))*Y243*IF(ISBLANK(V243),1,V243),0))</f>
        <v>0.05</v>
      </c>
      <c r="AS243" s="784" t="str">
        <f t="shared" si="112"/>
        <v>Kg</v>
      </c>
      <c r="AT243" s="1315" t="str">
        <f t="shared" si="123"/>
        <v>❾ Author reference &gt;</v>
      </c>
      <c r="AU243" s="785">
        <f t="shared" si="124"/>
        <v>18</v>
      </c>
      <c r="AV243" s="785" t="str">
        <f t="shared" si="125"/>
        <v>desserts</v>
      </c>
      <c r="AW243" s="786">
        <f>IF(AK243="A",AY10,0)</f>
        <v>20</v>
      </c>
      <c r="AX243" s="5495" t="str">
        <f>IF(IFERROR(SEARCH("Adresse PC",TRIM(W243)),0)&gt;0,"▼ receta siguiente",IF(AK243="A",IF(AZ10&lt;&gt;"",AZ10&amp;" - ou.or.o ❾ + or - &gt;",""),""))</f>
        <v>parts - ou.or.o ❾ + or - &gt;</v>
      </c>
      <c r="AY243" s="810"/>
      <c r="AZ243" s="810"/>
      <c r="BA243" s="788">
        <f t="shared" si="115"/>
        <v>5.5555555555555559E-2</v>
      </c>
      <c r="BB243" s="789" t="str">
        <f>IF(AK243="A",IF(AQ243,IF(AND(AW243&lt;&gt;"",N(AW243)&gt;0),IFERROR(IFERROR(_xlfn.XLOOKUP(AP243,BP10:BP57,BT10:BT57),IFERROR(_xlfn.XLOOKUP(AP243,BQ10:BQ57,BT10:BT57),_xlfn.XLOOKUP(AP243,BR10:BR57,BT10:BT57,""))),""),""),""),"")</f>
        <v>Kg</v>
      </c>
      <c r="BC243" s="811" t="str" cm="1">
        <f t="array" ref="BC243">IF(NOT(AQ243),0,IF(OR(BA243="",N(BA243)&lt;=0.000000001),"",IF(OR(AU243="",N(AU243)&lt;=0.000000001),0,IF(ISNUMBER(BA243),IFERROR(_xlfn.LET(_xlpm.ai_test,TRIM(AP243),_xlpm.r,IFERROR(_xlfn.XLOOKUP(_xlpm.ai_test,BP16:BP63,ROW(BP16:BP63),0,1),IFERROR(_xlfn.XLOOKUP(_xlpm.ai_test,BQ16:BQ63,ROW(BQ16:BQ63),0,1),_xlfn.XLOOKUP(_xlpm.ai_test,BR16:BR63,ROW(BR16:BR63),0,1))),_xlpm.p,_xlpm.r-MIN(ROW(BP16:BP63))+1,_xlpm.f,INDEX(BS16:BS63,_xlpm.p),_xlpm.u,INDEX(BT16:BT63,_xlpm.p),_xlpm.s,INDEX(BV16:BV63,_xlpm.p),_xlpm.q,N(BA243)/_xlpm.f,IF(_xlpm.q&gt;=_xlpm.s,ROUND(_xlpm.q,1)&amp;" "&amp;_xlpm.ai_test&amp;" = "&amp;ROUND(_xlpm.q*_xlpm.f,1)&amp;" "&amp;_xlpm.u,ROUND(_xlpm.q,1)&amp;" "&amp;_xlpm.ai_test)),""),""))))</f>
        <v>55.6 g</v>
      </c>
      <c r="BD243" s="801"/>
      <c r="BE243" s="788">
        <f t="shared" si="126"/>
        <v>5.5555555555555559E-2</v>
      </c>
      <c r="BF243" s="789" t="str">
        <f t="shared" si="132"/>
        <v>Kg</v>
      </c>
      <c r="BG243" s="790">
        <f t="shared" si="133"/>
        <v>0</v>
      </c>
      <c r="BH243" s="791" t="str">
        <f t="shared" si="134"/>
        <v/>
      </c>
      <c r="BI243" s="792"/>
      <c r="BJ243" s="793">
        <f t="shared" si="135"/>
        <v>0</v>
      </c>
      <c r="BK243" s="794" t="str">
        <f t="shared" si="127"/>
        <v>framboises</v>
      </c>
      <c r="BL243" s="227" t="s">
        <v>21</v>
      </c>
      <c r="BM243" s="773">
        <f t="shared" si="117"/>
        <v>0</v>
      </c>
      <c r="BN243" s="774">
        <f t="shared" si="118"/>
        <v>1.1111111111111112</v>
      </c>
      <c r="BO243"/>
      <c r="BX243"/>
      <c r="BY243"/>
      <c r="BZ243"/>
      <c r="CA243"/>
      <c r="CB243"/>
      <c r="CC243"/>
      <c r="CD243" s="781" t="str">
        <f t="shared" si="113"/>
        <v>A</v>
      </c>
      <c r="CE243"/>
      <c r="CF243"/>
      <c r="CG243"/>
      <c r="CH243"/>
      <c r="CI243"/>
      <c r="CJ243" s="633"/>
      <c r="CK243"/>
      <c r="CL243"/>
      <c r="CM243"/>
      <c r="CN243"/>
      <c r="CO243"/>
      <c r="CP243"/>
      <c r="CQ243"/>
      <c r="CS243"/>
      <c r="CT243"/>
      <c r="CU243"/>
      <c r="CV243"/>
      <c r="CW243"/>
      <c r="CX243"/>
      <c r="CY243"/>
      <c r="DA243"/>
      <c r="DB243"/>
      <c r="DC243"/>
      <c r="DD243"/>
      <c r="DE243"/>
      <c r="DF243"/>
      <c r="DG243"/>
      <c r="DI243" s="3">
        <v>1</v>
      </c>
    </row>
    <row r="244" spans="1:113" s="627" customFormat="1" ht="21" customHeight="1">
      <c r="A244" s="701" t="s">
        <v>21</v>
      </c>
      <c r="B244" s="2265" t="str" cm="1">
        <f t="array" ref="B244">SUMPRODUCT(--(D244:J244&lt;&gt;""), LEN(TRIM(SUBSTITUTE(D244:J244, CHAR(160), "")))) &amp; " Car."</f>
        <v>0 Car.</v>
      </c>
      <c r="C244" s="1376" t="str">
        <f>IF(ISBLANK(D244),"",LARGE(C13:C243,1)+1)</f>
        <v/>
      </c>
      <c r="D244" s="1833"/>
      <c r="E244" s="1810"/>
      <c r="F244" s="1810"/>
      <c r="G244" s="1810"/>
      <c r="H244" s="1810"/>
      <c r="I244" s="1810"/>
      <c r="J244" s="1810"/>
      <c r="K244" s="1810"/>
      <c r="L244" s="1811"/>
      <c r="M244" s="9"/>
      <c r="N244" s="103" t="str">
        <f t="shared" si="114"/>
        <v>A</v>
      </c>
      <c r="O244" s="1616"/>
      <c r="P244" s="9"/>
      <c r="Q244" s="103" t="str">
        <f t="shared" si="130"/>
        <v>A</v>
      </c>
      <c r="R244" s="31" t="str">
        <f>R215</f>
        <v>M MILLE-FEUILLE meringue et chiboust pamplemousse aux fraises des bois | collez la--FAMILLE| Auteur &gt; recette Béghin Say de Jean-Jacques Borne MOF 1994</v>
      </c>
      <c r="S244" s="32">
        <f>S215</f>
        <v>18</v>
      </c>
      <c r="T244" s="31" t="str">
        <f>T215</f>
        <v>desserts</v>
      </c>
      <c r="U244" s="33" t="str">
        <f>U215</f>
        <v>Recette mère ► MILLE-FEUILLE  aux fraises des bois</v>
      </c>
      <c r="V244" s="89"/>
      <c r="W244" s="108"/>
      <c r="X244" s="91" t="str">
        <f t="shared" si="129"/>
        <v/>
      </c>
      <c r="Y244" s="92">
        <v>50</v>
      </c>
      <c r="Z244" s="104" t="s">
        <v>100</v>
      </c>
      <c r="AA244" s="130">
        <v>1</v>
      </c>
      <c r="AB244" s="1813" t="str">
        <f>ROWS(AB219:AB244)&amp;" ►"</f>
        <v>26 ►</v>
      </c>
      <c r="AC244" s="1580" t="s">
        <v>3073</v>
      </c>
      <c r="AD244" s="95">
        <f>IF(AF249=0,0,(AF244/AF249)*AE218*1000)</f>
        <v>31.826861871419474</v>
      </c>
      <c r="AE244" s="105">
        <f>IF(AF249=0, 0, (V244*AA244)/(AF249*AE218))</f>
        <v>0</v>
      </c>
      <c r="AF244" s="97" cm="1">
        <f t="array" ref="AF244">IFERROR(_xlfn.XLOOKUP(UPPER(TRIM(Z244)),UPPER(TRIM(V250:AJ250)),V251:AJ251,_xlfn.XLOOKUP(UPPER(TRIM(Z244)),UPPER(TRIM(V252:AJ252)),V253:AJ253,0))*Y244*IF(V244&gt;0,V244,1),0)</f>
        <v>0.05</v>
      </c>
      <c r="AG244" s="106">
        <f>IF(AI214&lt;&gt;0,V244*AA244*AA214,0)</f>
        <v>0</v>
      </c>
      <c r="AH244" s="1747">
        <f t="shared" si="131"/>
        <v>0</v>
      </c>
      <c r="AI244" s="99">
        <f>IF(OR(ISBLANK(AI214),AI214=0),0,AF244*AA244*AA214)</f>
        <v>0.1</v>
      </c>
      <c r="AJ244" s="107" t="str">
        <f>IF(Z244="","",IF(COUNTIF(AC250:AJ250,SUBSTITUTE(TRIM(Z244)," (s)",""))+COUNTIF(AC252:AJ252,SUBSTITUTE(TRIM(Z244)," (s)",""))&gt;0,IF(ROUND(AI244,3)&gt;=1,ROUND(AI244,3)&amp;" L",MAX(1,ROUND(AI244*100,0))&amp;" cl"),IF(COUNTIF(V250:AA250,SUBSTITUTE(TRIM(Z244)," (s)",""))+COUNTIF(V252:AA252,SUBSTITUTE(TRIM(Z244)," (s)",""))&gt;0,IF(ROUND(AI244,3)&gt;=1,ROUND(AI244,3)&amp;" Kg",MAX(1,ROUND(AI244*1000,0))&amp;" g"),"")))</f>
        <v>100 g</v>
      </c>
      <c r="AK244" s="6120" t="str">
        <f t="shared" si="128"/>
        <v>A</v>
      </c>
      <c r="AL244" s="781" t="str">
        <f t="shared" si="116"/>
        <v>A</v>
      </c>
      <c r="AM244" s="5498" t="str">
        <f t="shared" si="119"/>
        <v>M MILLE-FEUILLE meringue et chiboust pamplemousse aux fraises des bois | collez la--FAMILLE| Auteur &gt; recette Béghin Say de Jean-Jacques Borne MOF 1994</v>
      </c>
      <c r="AN244" s="783">
        <f t="shared" si="120"/>
        <v>18</v>
      </c>
      <c r="AO244" s="782" t="str">
        <f t="shared" si="121"/>
        <v>desserts</v>
      </c>
      <c r="AP244" s="783" t="str">
        <f t="shared" si="122"/>
        <v>g</v>
      </c>
      <c r="AQ244" s="2083" t="b">
        <f>AND(Q244="A",COUNTIF(BP16:BR63,TRIM(Z244))&gt;0)</f>
        <v>1</v>
      </c>
      <c r="AR244" s="797">
        <f>IF(AL244&lt;&gt;"A","",IFERROR(IFERROR(_xlfn.XLOOKUP(TRIM(SUBSTITUTE(Z244,CHAR(160)," ")),BP16:BP63,BS16:BS63),IFERROR(_xlfn.XLOOKUP(TRIM(SUBSTITUTE(Z244,CHAR(160)," ")),BQ16:BQ63,BS16:BS63),_xlfn.XLOOKUP(TRIM(SUBSTITUTE(Z244,CHAR(160)," ")),BR16:BR63,BS16:BS63)))*Y244*IF(ISBLANK(V244),1,V244),0))</f>
        <v>0.05</v>
      </c>
      <c r="AS244" s="784" t="str">
        <f t="shared" si="112"/>
        <v>Kg</v>
      </c>
      <c r="AT244" s="1315" t="str">
        <f t="shared" si="123"/>
        <v>❾ Author reference &gt;</v>
      </c>
      <c r="AU244" s="785">
        <f t="shared" si="124"/>
        <v>18</v>
      </c>
      <c r="AV244" s="785" t="str">
        <f t="shared" si="125"/>
        <v>desserts</v>
      </c>
      <c r="AW244" s="798">
        <f>IF(AK244="A",AY10,0)</f>
        <v>20</v>
      </c>
      <c r="AX244" s="5496" t="str">
        <f>IF(IFERROR(SEARCH("Adresse PC",TRIM(W244)),0)&gt;0,"▼ receta siguiente",IF(AK244="A",IF(AZ10&lt;&gt;"",AZ10&amp;" - ou.or.o ❾ + or - &gt;",""),""))</f>
        <v>parts - ou.or.o ❾ + or - &gt;</v>
      </c>
      <c r="AY244" s="810"/>
      <c r="AZ244" s="810"/>
      <c r="BA244" s="799">
        <f t="shared" si="115"/>
        <v>5.5555555555555559E-2</v>
      </c>
      <c r="BB244" s="800" t="str">
        <f>IF(AK244="A",IF(AQ244,IF(AND(AW244&lt;&gt;"",N(AW244)&gt;0),IFERROR(IFERROR(_xlfn.XLOOKUP(AP244,BP10:BP57,BT10:BT57),IFERROR(_xlfn.XLOOKUP(AP244,BQ10:BQ57,BT10:BT57),_xlfn.XLOOKUP(AP244,BR10:BR57,BT10:BT57,""))),""),""),""),"")</f>
        <v>Kg</v>
      </c>
      <c r="BC244" s="813" t="str" cm="1">
        <f t="array" ref="BC244">IF(NOT(AQ244),0,IF(OR(BA244="",N(BA244)&lt;=0.000000001),"",IF(OR(AU244="",N(AU244)&lt;=0.000000001),0,IF(ISNUMBER(BA244),IFERROR(_xlfn.LET(_xlpm.ai_test,TRIM(AP244),_xlpm.r,IFERROR(_xlfn.XLOOKUP(_xlpm.ai_test,BP16:BP63,ROW(BP16:BP63),0,1),IFERROR(_xlfn.XLOOKUP(_xlpm.ai_test,BQ16:BQ63,ROW(BQ16:BQ63),0,1),_xlfn.XLOOKUP(_xlpm.ai_test,BR16:BR63,ROW(BR16:BR63),0,1))),_xlpm.p,_xlpm.r-MIN(ROW(BP16:BP63))+1,_xlpm.f,INDEX(BS16:BS63,_xlpm.p),_xlpm.u,INDEX(BT16:BT63,_xlpm.p),_xlpm.s,INDEX(BV16:BV63,_xlpm.p),_xlpm.q,N(BA244)/_xlpm.f,IF(_xlpm.q&gt;=_xlpm.s,ROUND(_xlpm.q,1)&amp;" "&amp;_xlpm.ai_test&amp;" = "&amp;ROUND(_xlpm.q*_xlpm.f,1)&amp;" "&amp;_xlpm.u,ROUND(_xlpm.q,1)&amp;" "&amp;_xlpm.ai_test)),""),""))))</f>
        <v>55.6 g</v>
      </c>
      <c r="BD244" s="801"/>
      <c r="BE244" s="799">
        <f t="shared" si="126"/>
        <v>5.5555555555555559E-2</v>
      </c>
      <c r="BF244" s="800" t="str">
        <f t="shared" si="132"/>
        <v>Kg</v>
      </c>
      <c r="BG244" s="802">
        <f t="shared" si="133"/>
        <v>0</v>
      </c>
      <c r="BH244" s="803" t="str">
        <f t="shared" si="134"/>
        <v/>
      </c>
      <c r="BI244" s="792"/>
      <c r="BJ244" s="804">
        <f t="shared" si="135"/>
        <v>0</v>
      </c>
      <c r="BK244" s="794" t="str">
        <f t="shared" si="127"/>
        <v>sucre semoule pâtissière</v>
      </c>
      <c r="BL244" s="227" t="s">
        <v>21</v>
      </c>
      <c r="BM244" s="773">
        <f t="shared" si="117"/>
        <v>0</v>
      </c>
      <c r="BN244" s="774">
        <f t="shared" si="118"/>
        <v>1.1111111111111112</v>
      </c>
      <c r="BO244"/>
      <c r="BX244"/>
      <c r="BY244"/>
      <c r="BZ244"/>
      <c r="CA244"/>
      <c r="CB244"/>
      <c r="CC244"/>
      <c r="CD244" s="781" t="str">
        <f t="shared" si="113"/>
        <v>A</v>
      </c>
      <c r="CE244"/>
      <c r="CF244"/>
      <c r="CG244"/>
      <c r="CH244"/>
      <c r="CI244"/>
      <c r="CJ244" s="633"/>
      <c r="CK244"/>
      <c r="CL244"/>
      <c r="CM244"/>
      <c r="CN244"/>
      <c r="CO244"/>
      <c r="CP244"/>
      <c r="CQ244"/>
      <c r="CS244"/>
      <c r="CT244"/>
      <c r="CU244"/>
      <c r="CV244"/>
      <c r="CW244"/>
      <c r="CX244"/>
      <c r="CY244"/>
      <c r="DA244"/>
      <c r="DB244"/>
      <c r="DC244"/>
      <c r="DD244"/>
      <c r="DE244"/>
      <c r="DF244"/>
      <c r="DG244"/>
      <c r="DI244" s="3">
        <v>1</v>
      </c>
    </row>
    <row r="245" spans="1:113" s="627" customFormat="1" ht="21" customHeight="1">
      <c r="A245" s="701" t="s">
        <v>21</v>
      </c>
      <c r="B245" s="2265" t="str" cm="1">
        <f t="array" ref="B245">SUMPRODUCT(--(D245:J245&lt;&gt;""), LEN(TRIM(SUBSTITUTE(D245:J245, CHAR(160), "")))) &amp; " Car."</f>
        <v>0 Car.</v>
      </c>
      <c r="C245" s="1376" t="str">
        <f>IF(ISBLANK(D245),"",LARGE(C13:C244,1)+1)</f>
        <v/>
      </c>
      <c r="D245" s="1833"/>
      <c r="E245" s="1810"/>
      <c r="F245" s="1810"/>
      <c r="G245" s="1810"/>
      <c r="H245" s="1810"/>
      <c r="I245" s="1810"/>
      <c r="J245" s="1810"/>
      <c r="K245" s="1810"/>
      <c r="L245" s="1811"/>
      <c r="M245" s="9"/>
      <c r="N245" s="103" t="str">
        <f t="shared" si="114"/>
        <v>►</v>
      </c>
      <c r="O245" s="1616"/>
      <c r="P245" s="9"/>
      <c r="Q245" s="103" t="str">
        <f t="shared" si="130"/>
        <v>►</v>
      </c>
      <c r="R245" s="31" t="str">
        <f>R215</f>
        <v>M MILLE-FEUILLE meringue et chiboust pamplemousse aux fraises des bois | collez la--FAMILLE| Auteur &gt; recette Béghin Say de Jean-Jacques Borne MOF 1994</v>
      </c>
      <c r="S245" s="32">
        <f>S215</f>
        <v>18</v>
      </c>
      <c r="T245" s="31" t="str">
        <f>T215</f>
        <v>desserts</v>
      </c>
      <c r="U245" s="33" t="str">
        <f>U215</f>
        <v>Recette mère ► MILLE-FEUILLE  aux fraises des bois</v>
      </c>
      <c r="V245" s="89"/>
      <c r="W245" s="108"/>
      <c r="X245" s="91" t="str">
        <f t="shared" si="129"/>
        <v/>
      </c>
      <c r="Y245" s="92"/>
      <c r="Z245" s="128"/>
      <c r="AA245" s="130">
        <v>1</v>
      </c>
      <c r="AB245" s="1813" t="str">
        <f>ROWS(AB219:AB245)&amp;" ►"</f>
        <v>27 ►</v>
      </c>
      <c r="AC245" s="1580"/>
      <c r="AD245" s="95">
        <f>IF(AF249=0,0,(AF245/AF249)*AE218*1000)</f>
        <v>0</v>
      </c>
      <c r="AE245" s="105">
        <f>IF(AF249=0, 0, (V245*AA245)/(AF249*AE218))</f>
        <v>0</v>
      </c>
      <c r="AF245" s="97" cm="1">
        <f t="array" ref="AF245">IFERROR(_xlfn.XLOOKUP(UPPER(TRIM(Z245)),UPPER(TRIM(V250:AJ250)),V251:AJ251,_xlfn.XLOOKUP(UPPER(TRIM(Z245)),UPPER(TRIM(V252:AJ252)),V253:AJ253,0))*Y245*IF(V245&gt;0,V245,1),0)</f>
        <v>0</v>
      </c>
      <c r="AG245" s="110">
        <f>IF(AI214&lt;&gt;0,V245*AA245*AA214,0)</f>
        <v>0</v>
      </c>
      <c r="AH245" s="1748">
        <f t="shared" si="131"/>
        <v>0</v>
      </c>
      <c r="AI245" s="99">
        <f>IF(OR(ISBLANK(AI214),AI214=0),0,AF245*AA245*AA214)</f>
        <v>0</v>
      </c>
      <c r="AJ245" s="129" t="str">
        <f>IF(Z245="","",IF(COUNTIF(AC250:AJ250,SUBSTITUTE(TRIM(Z245)," (s)",""))+COUNTIF(AC252:AJ252,SUBSTITUTE(TRIM(Z245)," (s)",""))&gt;0,IF(ROUND(AI245,3)&gt;=1,ROUND(AI245,3)&amp;" L",MAX(1,ROUND(AI245*100,0))&amp;" cl"),IF(COUNTIF(V250:AA250,SUBSTITUTE(TRIM(Z245)," (s)",""))+COUNTIF(V252:AA252,SUBSTITUTE(TRIM(Z245)," (s)",""))&gt;0,IF(ROUND(AI245,3)&gt;=1,ROUND(AI245,3)&amp;" Kg",MAX(1,ROUND(AI245*1000,0))&amp;" g"),"")))</f>
        <v/>
      </c>
      <c r="AK245" s="6120" t="str">
        <f t="shared" si="128"/>
        <v>►</v>
      </c>
      <c r="AL245" s="781" t="str">
        <f t="shared" si="116"/>
        <v>►</v>
      </c>
      <c r="AM245" s="5499" t="str">
        <f t="shared" si="119"/>
        <v/>
      </c>
      <c r="AN245" s="783" t="str">
        <f t="shared" si="120"/>
        <v/>
      </c>
      <c r="AO245" s="782" t="str">
        <f t="shared" si="121"/>
        <v/>
      </c>
      <c r="AP245" s="783" t="str">
        <f t="shared" si="122"/>
        <v/>
      </c>
      <c r="AQ245" s="2083" t="b">
        <f>AND(Q245="A",COUNTIF(BP16:BR63,TRIM(Z245))&gt;0)</f>
        <v>0</v>
      </c>
      <c r="AR245" s="797" t="str">
        <f>IF(AL245&lt;&gt;"A","",IFERROR(IFERROR(_xlfn.XLOOKUP(TRIM(SUBSTITUTE(Z245,CHAR(160)," ")),BP16:BP63,BS16:BS63),IFERROR(_xlfn.XLOOKUP(TRIM(SUBSTITUTE(Z245,CHAR(160)," ")),BQ16:BQ63,BS16:BS63),_xlfn.XLOOKUP(TRIM(SUBSTITUTE(Z245,CHAR(160)," ")),BR16:BR63,BS16:BS63)))*Y245*IF(ISBLANK(V245),1,V245),0))</f>
        <v/>
      </c>
      <c r="AS245" s="784" t="str">
        <f t="shared" si="112"/>
        <v/>
      </c>
      <c r="AT245" s="1315" t="str">
        <f t="shared" si="123"/>
        <v/>
      </c>
      <c r="AU245" s="785">
        <f t="shared" si="124"/>
        <v>0</v>
      </c>
      <c r="AV245" s="785">
        <f t="shared" si="125"/>
        <v>0</v>
      </c>
      <c r="AW245" s="786">
        <f>IF(AK245="A",AY10,0)</f>
        <v>0</v>
      </c>
      <c r="AX245" s="5495" t="str">
        <f>IF(IFERROR(SEARCH("Adresse PC",TRIM(W245)),0)&gt;0,"▼ receta siguiente",IF(AK245="A",IF(AZ10&lt;&gt;"",AZ10&amp;" - ou.or.o ❾ + or - &gt;",""),""))</f>
        <v/>
      </c>
      <c r="AY245" s="810"/>
      <c r="AZ245" s="810"/>
      <c r="BA245" s="788" t="str">
        <f t="shared" si="115"/>
        <v/>
      </c>
      <c r="BB245" s="789" t="str">
        <f>IF(AK245="A",IF(AQ245,IF(AND(AW245&lt;&gt;"",N(AW245)&gt;0),IFERROR(IFERROR(_xlfn.XLOOKUP(AP245,BP10:BP57,BT10:BT57),IFERROR(_xlfn.XLOOKUP(AP245,BQ10:BQ57,BT10:BT57),_xlfn.XLOOKUP(AP245,BR10:BR57,BT10:BT57,""))),""),""),""),"")</f>
        <v/>
      </c>
      <c r="BC245" s="811" cm="1">
        <f t="array" ref="BC245">IF(NOT(AQ245),0,IF(OR(BA245="",N(BA245)&lt;=0.000000001),"",IF(OR(AU245="",N(AU245)&lt;=0.000000001),0,IF(ISNUMBER(BA245),IFERROR(_xlfn.LET(_xlpm.ai_test,TRIM(AP245),_xlpm.r,IFERROR(_xlfn.XLOOKUP(_xlpm.ai_test,BP16:BP63,ROW(BP16:BP63),0,1),IFERROR(_xlfn.XLOOKUP(_xlpm.ai_test,BQ16:BQ63,ROW(BQ16:BQ63),0,1),_xlfn.XLOOKUP(_xlpm.ai_test,BR16:BR63,ROW(BR16:BR63),0,1))),_xlpm.p,_xlpm.r-MIN(ROW(BP16:BP63))+1,_xlpm.f,INDEX(BS16:BS63,_xlpm.p),_xlpm.u,INDEX(BT16:BT63,_xlpm.p),_xlpm.s,INDEX(BV16:BV63,_xlpm.p),_xlpm.q,N(BA245)/_xlpm.f,IF(_xlpm.q&gt;=_xlpm.s,ROUND(_xlpm.q,1)&amp;" "&amp;_xlpm.ai_test&amp;" = "&amp;ROUND(_xlpm.q*_xlpm.f,1)&amp;" "&amp;_xlpm.u,ROUND(_xlpm.q,1)&amp;" "&amp;_xlpm.ai_test)),""),""))))</f>
        <v>0</v>
      </c>
      <c r="BD245" s="801"/>
      <c r="BE245" s="788" t="str">
        <f t="shared" si="126"/>
        <v/>
      </c>
      <c r="BF245" s="789" t="str">
        <f t="shared" si="132"/>
        <v/>
      </c>
      <c r="BG245" s="790">
        <f t="shared" si="133"/>
        <v>0</v>
      </c>
      <c r="BH245" s="791" t="str">
        <f t="shared" si="134"/>
        <v/>
      </c>
      <c r="BI245" s="792"/>
      <c r="BJ245" s="793">
        <f t="shared" si="135"/>
        <v>0</v>
      </c>
      <c r="BK245" s="794" t="str">
        <f t="shared" si="127"/>
        <v/>
      </c>
      <c r="BL245" s="227" t="s">
        <v>21</v>
      </c>
      <c r="BM245" s="773">
        <f t="shared" si="117"/>
        <v>0</v>
      </c>
      <c r="BN245" s="774">
        <f t="shared" si="118"/>
        <v>0</v>
      </c>
      <c r="BO245"/>
      <c r="BX245"/>
      <c r="BY245"/>
      <c r="BZ245"/>
      <c r="CA245"/>
      <c r="CB245"/>
      <c r="CC245"/>
      <c r="CD245" s="781" t="str">
        <f t="shared" si="113"/>
        <v>►</v>
      </c>
      <c r="CE245"/>
      <c r="CF245"/>
      <c r="CG245"/>
      <c r="CH245"/>
      <c r="CI245"/>
      <c r="CJ245" s="633"/>
      <c r="CK245"/>
      <c r="CL245"/>
      <c r="CM245"/>
      <c r="CN245"/>
      <c r="CO245"/>
      <c r="CP245"/>
      <c r="CQ245"/>
      <c r="CS245"/>
      <c r="CT245"/>
      <c r="CU245"/>
      <c r="CV245"/>
      <c r="CW245"/>
      <c r="CX245"/>
      <c r="CY245"/>
      <c r="DA245"/>
      <c r="DB245"/>
      <c r="DC245"/>
      <c r="DD245"/>
      <c r="DE245"/>
      <c r="DF245"/>
      <c r="DG245"/>
      <c r="DI245" s="3">
        <v>1</v>
      </c>
    </row>
    <row r="246" spans="1:113" s="627" customFormat="1" ht="21" customHeight="1">
      <c r="A246" s="701" t="s">
        <v>21</v>
      </c>
      <c r="B246" s="2265" t="str" cm="1">
        <f t="array" ref="B246">SUMPRODUCT(--(D246:J246&lt;&gt;""), LEN(TRIM(SUBSTITUTE(D246:J246, CHAR(160), "")))) &amp; " Car."</f>
        <v>0 Car.</v>
      </c>
      <c r="C246" s="1376" t="str">
        <f>IF(ISBLANK(D246),"",LARGE(C13:C245,1)+1)</f>
        <v/>
      </c>
      <c r="D246" s="1833"/>
      <c r="E246" s="1810"/>
      <c r="F246" s="1810"/>
      <c r="G246" s="1810"/>
      <c r="H246" s="1810"/>
      <c r="I246" s="1810"/>
      <c r="J246" s="1810"/>
      <c r="K246" s="1810"/>
      <c r="L246" s="1811"/>
      <c r="M246" s="9"/>
      <c r="N246" s="103" t="str">
        <f t="shared" si="114"/>
        <v>►</v>
      </c>
      <c r="O246" s="1616"/>
      <c r="P246" s="9"/>
      <c r="Q246" s="103" t="str">
        <f t="shared" si="130"/>
        <v>►</v>
      </c>
      <c r="R246" s="31" t="str">
        <f>R215</f>
        <v>M MILLE-FEUILLE meringue et chiboust pamplemousse aux fraises des bois | collez la--FAMILLE| Auteur &gt; recette Béghin Say de Jean-Jacques Borne MOF 1994</v>
      </c>
      <c r="S246" s="32">
        <f>S215</f>
        <v>18</v>
      </c>
      <c r="T246" s="31" t="str">
        <f>T215</f>
        <v>desserts</v>
      </c>
      <c r="U246" s="33" t="str">
        <f>U215</f>
        <v>Recette mère ► MILLE-FEUILLE  aux fraises des bois</v>
      </c>
      <c r="V246" s="89"/>
      <c r="W246" s="108"/>
      <c r="X246" s="91" t="str">
        <f t="shared" si="129"/>
        <v/>
      </c>
      <c r="Y246" s="92"/>
      <c r="Z246" s="128"/>
      <c r="AA246" s="130">
        <v>1</v>
      </c>
      <c r="AB246" s="1813" t="str">
        <f>ROWS(AB219:AB246)&amp;" ►"</f>
        <v>28 ►</v>
      </c>
      <c r="AC246" s="1580"/>
      <c r="AD246" s="95">
        <f>IF(AF249=0,0,(AF246/AF249)*AE218*1000)</f>
        <v>0</v>
      </c>
      <c r="AE246" s="105">
        <f>IF(AF249=0, 0, (V246*AA246)/(AF249*AE218))</f>
        <v>0</v>
      </c>
      <c r="AF246" s="97" cm="1">
        <f t="array" ref="AF246">IFERROR(_xlfn.XLOOKUP(UPPER(TRIM(Z246)),UPPER(TRIM(V250:AJ250)),V251:AJ251,_xlfn.XLOOKUP(UPPER(TRIM(Z246)),UPPER(TRIM(V252:AJ252)),V253:AJ253,0))*Y246*IF(V246&gt;0,V246,1),0)</f>
        <v>0</v>
      </c>
      <c r="AG246" s="106">
        <f>IF(AI214&lt;&gt;0,V246*AA246*AA214,0)</f>
        <v>0</v>
      </c>
      <c r="AH246" s="1747">
        <f t="shared" si="131"/>
        <v>0</v>
      </c>
      <c r="AI246" s="99">
        <f>IF(OR(ISBLANK(AI214),AI214=0),0,AF246*AA246*AA214)</f>
        <v>0</v>
      </c>
      <c r="AJ246" s="107" t="str">
        <f>IF(Z246="","",IF(COUNTIF(AC250:AJ250,SUBSTITUTE(TRIM(Z246)," (s)",""))+COUNTIF(AC252:AJ252,SUBSTITUTE(TRIM(Z246)," (s)",""))&gt;0,IF(ROUND(AI246,3)&gt;=1,ROUND(AI246,3)&amp;" L",MAX(1,ROUND(AI246*100,0))&amp;" cl"),IF(COUNTIF(V250:AA250,SUBSTITUTE(TRIM(Z246)," (s)",""))+COUNTIF(V252:AA252,SUBSTITUTE(TRIM(Z246)," (s)",""))&gt;0,IF(ROUND(AI246,3)&gt;=1,ROUND(AI246,3)&amp;" Kg",MAX(1,ROUND(AI246*1000,0))&amp;" g"),"")))</f>
        <v/>
      </c>
      <c r="AK246" s="6120" t="str">
        <f t="shared" si="128"/>
        <v>►</v>
      </c>
      <c r="AL246" s="781" t="str">
        <f t="shared" si="116"/>
        <v>►</v>
      </c>
      <c r="AM246" s="5498" t="str">
        <f t="shared" si="119"/>
        <v/>
      </c>
      <c r="AN246" s="783" t="str">
        <f t="shared" si="120"/>
        <v/>
      </c>
      <c r="AO246" s="782" t="str">
        <f t="shared" si="121"/>
        <v/>
      </c>
      <c r="AP246" s="783" t="str">
        <f t="shared" si="122"/>
        <v/>
      </c>
      <c r="AQ246" s="2083" t="b">
        <f>AND(Q246="A",COUNTIF(BP16:BR63,TRIM(Z246))&gt;0)</f>
        <v>0</v>
      </c>
      <c r="AR246" s="797" t="str">
        <f>IF(AL246&lt;&gt;"A","",IFERROR(IFERROR(_xlfn.XLOOKUP(TRIM(SUBSTITUTE(Z246,CHAR(160)," ")),BP16:BP63,BS16:BS63),IFERROR(_xlfn.XLOOKUP(TRIM(SUBSTITUTE(Z246,CHAR(160)," ")),BQ16:BQ63,BS16:BS63),_xlfn.XLOOKUP(TRIM(SUBSTITUTE(Z246,CHAR(160)," ")),BR16:BR63,BS16:BS63)))*Y246*IF(ISBLANK(V246),1,V246),0))</f>
        <v/>
      </c>
      <c r="AS246" s="784" t="str">
        <f t="shared" si="112"/>
        <v/>
      </c>
      <c r="AT246" s="1315" t="str">
        <f t="shared" si="123"/>
        <v/>
      </c>
      <c r="AU246" s="785">
        <f t="shared" si="124"/>
        <v>0</v>
      </c>
      <c r="AV246" s="785">
        <f t="shared" si="125"/>
        <v>0</v>
      </c>
      <c r="AW246" s="798">
        <f>IF(AK246="A",AY10,0)</f>
        <v>0</v>
      </c>
      <c r="AX246" s="5496" t="str">
        <f>IF(IFERROR(SEARCH("Adresse PC",TRIM(W246)),0)&gt;0,"▼ receta siguiente",IF(AK246="A",IF(AZ10&lt;&gt;"",AZ10&amp;" - ou.or.o ❾ + or - &gt;",""),""))</f>
        <v/>
      </c>
      <c r="AY246" s="810"/>
      <c r="AZ246" s="810"/>
      <c r="BA246" s="799" t="str">
        <f t="shared" si="115"/>
        <v/>
      </c>
      <c r="BB246" s="800" t="str">
        <f>IF(AK246="A",IF(AQ246,IF(AND(AW246&lt;&gt;"",N(AW246)&gt;0),IFERROR(IFERROR(_xlfn.XLOOKUP(AP246,BP10:BP57,BT10:BT57),IFERROR(_xlfn.XLOOKUP(AP246,BQ10:BQ57,BT10:BT57),_xlfn.XLOOKUP(AP246,BR10:BR57,BT10:BT57,""))),""),""),""),"")</f>
        <v/>
      </c>
      <c r="BC246" s="813" cm="1">
        <f t="array" ref="BC246">IF(NOT(AQ246),0,IF(OR(BA246="",N(BA246)&lt;=0.000000001),"",IF(OR(AU246="",N(AU246)&lt;=0.000000001),0,IF(ISNUMBER(BA246),IFERROR(_xlfn.LET(_xlpm.ai_test,TRIM(AP246),_xlpm.r,IFERROR(_xlfn.XLOOKUP(_xlpm.ai_test,BP16:BP63,ROW(BP16:BP63),0,1),IFERROR(_xlfn.XLOOKUP(_xlpm.ai_test,BQ16:BQ63,ROW(BQ16:BQ63),0,1),_xlfn.XLOOKUP(_xlpm.ai_test,BR16:BR63,ROW(BR16:BR63),0,1))),_xlpm.p,_xlpm.r-MIN(ROW(BP16:BP63))+1,_xlpm.f,INDEX(BS16:BS63,_xlpm.p),_xlpm.u,INDEX(BT16:BT63,_xlpm.p),_xlpm.s,INDEX(BV16:BV63,_xlpm.p),_xlpm.q,N(BA246)/_xlpm.f,IF(_xlpm.q&gt;=_xlpm.s,ROUND(_xlpm.q,1)&amp;" "&amp;_xlpm.ai_test&amp;" = "&amp;ROUND(_xlpm.q*_xlpm.f,1)&amp;" "&amp;_xlpm.u,ROUND(_xlpm.q,1)&amp;" "&amp;_xlpm.ai_test)),""),""))))</f>
        <v>0</v>
      </c>
      <c r="BD246" s="801"/>
      <c r="BE246" s="799" t="str">
        <f t="shared" si="126"/>
        <v/>
      </c>
      <c r="BF246" s="800" t="str">
        <f t="shared" si="132"/>
        <v/>
      </c>
      <c r="BG246" s="802">
        <f t="shared" si="133"/>
        <v>0</v>
      </c>
      <c r="BH246" s="803" t="str">
        <f t="shared" si="134"/>
        <v/>
      </c>
      <c r="BI246" s="792"/>
      <c r="BJ246" s="804">
        <f t="shared" si="135"/>
        <v>0</v>
      </c>
      <c r="BK246" s="794" t="str">
        <f t="shared" si="127"/>
        <v/>
      </c>
      <c r="BL246" s="227" t="s">
        <v>21</v>
      </c>
      <c r="BM246" s="773">
        <f t="shared" si="117"/>
        <v>0</v>
      </c>
      <c r="BN246" s="774">
        <f t="shared" si="118"/>
        <v>0</v>
      </c>
      <c r="BO246"/>
      <c r="BX246"/>
      <c r="BY246"/>
      <c r="BZ246"/>
      <c r="CA246"/>
      <c r="CB246"/>
      <c r="CC246"/>
      <c r="CD246" s="781" t="str">
        <f t="shared" si="113"/>
        <v>►</v>
      </c>
      <c r="CE246"/>
      <c r="CF246"/>
      <c r="CG246"/>
      <c r="CH246"/>
      <c r="CI246"/>
      <c r="CJ246" s="633"/>
      <c r="CK246"/>
      <c r="CL246"/>
      <c r="CM246"/>
      <c r="CN246"/>
      <c r="CO246"/>
      <c r="CP246"/>
      <c r="CQ246"/>
      <c r="CS246"/>
      <c r="CT246"/>
      <c r="CU246"/>
      <c r="CV246"/>
      <c r="CW246"/>
      <c r="CX246"/>
      <c r="CY246"/>
      <c r="DA246"/>
      <c r="DB246"/>
      <c r="DC246"/>
      <c r="DD246"/>
      <c r="DE246"/>
      <c r="DF246"/>
      <c r="DG246"/>
      <c r="DI246" s="3">
        <v>1</v>
      </c>
    </row>
    <row r="247" spans="1:113" s="627" customFormat="1" ht="21" customHeight="1">
      <c r="A247" s="701" t="s">
        <v>21</v>
      </c>
      <c r="B247" s="2265" t="str" cm="1">
        <f t="array" ref="B247">SUMPRODUCT(--(D247:J247&lt;&gt;""), LEN(TRIM(SUBSTITUTE(D247:J247, CHAR(160), "")))) &amp; " Car."</f>
        <v>0 Car.</v>
      </c>
      <c r="C247" s="1376" t="str">
        <f>IF(ISBLANK(D247),"",LARGE(C13:C246,1)+1)</f>
        <v/>
      </c>
      <c r="D247" s="1833"/>
      <c r="E247" s="1810"/>
      <c r="F247" s="1810"/>
      <c r="G247" s="1810"/>
      <c r="H247" s="1810"/>
      <c r="I247" s="1810"/>
      <c r="J247" s="1810"/>
      <c r="K247" s="1810"/>
      <c r="L247" s="1811"/>
      <c r="M247" s="9"/>
      <c r="N247" s="103" t="str">
        <f t="shared" si="114"/>
        <v>►</v>
      </c>
      <c r="O247" s="1616"/>
      <c r="P247" s="9"/>
      <c r="Q247" s="103" t="str">
        <f t="shared" si="130"/>
        <v>►</v>
      </c>
      <c r="R247" s="31" t="str">
        <f>R215</f>
        <v>M MILLE-FEUILLE meringue et chiboust pamplemousse aux fraises des bois | collez la--FAMILLE| Auteur &gt; recette Béghin Say de Jean-Jacques Borne MOF 1994</v>
      </c>
      <c r="S247" s="32">
        <f>S215</f>
        <v>18</v>
      </c>
      <c r="T247" s="31" t="str">
        <f>T215</f>
        <v>desserts</v>
      </c>
      <c r="U247" s="33" t="str">
        <f>U215</f>
        <v>Recette mère ► MILLE-FEUILLE  aux fraises des bois</v>
      </c>
      <c r="V247" s="89"/>
      <c r="W247" s="108"/>
      <c r="X247" s="91" t="str">
        <f t="shared" si="129"/>
        <v/>
      </c>
      <c r="Y247" s="92"/>
      <c r="Z247" s="128"/>
      <c r="AA247" s="130">
        <v>1</v>
      </c>
      <c r="AB247" s="1813" t="str">
        <f>ROWS(AB219:AB247)&amp;" ►"</f>
        <v>29 ►</v>
      </c>
      <c r="AC247" s="1580"/>
      <c r="AD247" s="95">
        <f>IF(AF249=0,0,(AF247/AF249)*AE218*1000)</f>
        <v>0</v>
      </c>
      <c r="AE247" s="105">
        <f>IF(AF249=0, 0, (V247*AA247)/(AF249*AE218))</f>
        <v>0</v>
      </c>
      <c r="AF247" s="97" cm="1">
        <f t="array" ref="AF247">IFERROR(_xlfn.XLOOKUP(UPPER(TRIM(Z247)),UPPER(TRIM(V250:AJ250)),V251:AJ251,_xlfn.XLOOKUP(UPPER(TRIM(Z247)),UPPER(TRIM(V252:AJ252)),V253:AJ253,0))*Y247*IF(V247&gt;0,V247,1),0)</f>
        <v>0</v>
      </c>
      <c r="AG247" s="110">
        <f>IF(AI214&lt;&gt;0,V247*AA247*AA214,0)</f>
        <v>0</v>
      </c>
      <c r="AH247" s="1748">
        <f t="shared" si="131"/>
        <v>0</v>
      </c>
      <c r="AI247" s="99">
        <f>IF(OR(ISBLANK(AI214),AI214=0),0,AF247*AA247*AA214)</f>
        <v>0</v>
      </c>
      <c r="AJ247" s="129" t="str">
        <f>IF(Z247="","",IF(COUNTIF(AC250:AJ250,SUBSTITUTE(TRIM(Z247)," (s)",""))+COUNTIF(AC252:AJ252,SUBSTITUTE(TRIM(Z247)," (s)",""))&gt;0,IF(ROUND(AI247,3)&gt;=1,ROUND(AI247,3)&amp;" L",MAX(1,ROUND(AI247*100,0))&amp;" cl"),IF(COUNTIF(V250:AA250,SUBSTITUTE(TRIM(Z247)," (s)",""))+COUNTIF(V252:AA252,SUBSTITUTE(TRIM(Z247)," (s)",""))&gt;0,IF(ROUND(AI247,3)&gt;=1,ROUND(AI247,3)&amp;" Kg",MAX(1,ROUND(AI247*1000,0))&amp;" g"),"")))</f>
        <v/>
      </c>
      <c r="AK247" s="6120" t="str">
        <f t="shared" si="128"/>
        <v>►</v>
      </c>
      <c r="AL247" s="781" t="str">
        <f t="shared" si="116"/>
        <v>►</v>
      </c>
      <c r="AM247" s="5499" t="str">
        <f t="shared" si="119"/>
        <v/>
      </c>
      <c r="AN247" s="783" t="str">
        <f t="shared" si="120"/>
        <v/>
      </c>
      <c r="AO247" s="782" t="str">
        <f t="shared" si="121"/>
        <v/>
      </c>
      <c r="AP247" s="783" t="str">
        <f t="shared" si="122"/>
        <v/>
      </c>
      <c r="AQ247" s="2083" t="b">
        <f>AND(Q247="A",COUNTIF(BP16:BR63,TRIM(Z247))&gt;0)</f>
        <v>0</v>
      </c>
      <c r="AR247" s="797" t="str">
        <f>IF(AL247&lt;&gt;"A","",IFERROR(IFERROR(_xlfn.XLOOKUP(TRIM(SUBSTITUTE(Z247,CHAR(160)," ")),BP16:BP63,BS16:BS63),IFERROR(_xlfn.XLOOKUP(TRIM(SUBSTITUTE(Z247,CHAR(160)," ")),BQ16:BQ63,BS16:BS63),_xlfn.XLOOKUP(TRIM(SUBSTITUTE(Z247,CHAR(160)," ")),BR16:BR63,BS16:BS63)))*Y247*IF(ISBLANK(V247),1,V247),0))</f>
        <v/>
      </c>
      <c r="AS247" s="784" t="str">
        <f t="shared" si="112"/>
        <v/>
      </c>
      <c r="AT247" s="1315" t="str">
        <f t="shared" si="123"/>
        <v/>
      </c>
      <c r="AU247" s="785">
        <f t="shared" si="124"/>
        <v>0</v>
      </c>
      <c r="AV247" s="785">
        <f t="shared" si="125"/>
        <v>0</v>
      </c>
      <c r="AW247" s="786">
        <f>IF(AK247="A",AY10,0)</f>
        <v>0</v>
      </c>
      <c r="AX247" s="5495" t="str">
        <f>IF(IFERROR(SEARCH("Adresse PC",TRIM(W247)),0)&gt;0,"▼ receta siguiente",IF(AK247="A",IF(AZ10&lt;&gt;"",AZ10&amp;" - ou.or.o ❾ + or - &gt;",""),""))</f>
        <v/>
      </c>
      <c r="AY247" s="810"/>
      <c r="AZ247" s="810"/>
      <c r="BA247" s="788" t="str">
        <f t="shared" si="115"/>
        <v/>
      </c>
      <c r="BB247" s="789" t="str">
        <f>IF(AK247="A",IF(AQ247,IF(AND(AW247&lt;&gt;"",N(AW247)&gt;0),IFERROR(IFERROR(_xlfn.XLOOKUP(AP247,BP10:BP57,BT10:BT57),IFERROR(_xlfn.XLOOKUP(AP247,BQ10:BQ57,BT10:BT57),_xlfn.XLOOKUP(AP247,BR10:BR57,BT10:BT57,""))),""),""),""),"")</f>
        <v/>
      </c>
      <c r="BC247" s="811" cm="1">
        <f t="array" ref="BC247">IF(NOT(AQ247),0,IF(OR(BA247="",N(BA247)&lt;=0.000000001),"",IF(OR(AU247="",N(AU247)&lt;=0.000000001),0,IF(ISNUMBER(BA247),IFERROR(_xlfn.LET(_xlpm.ai_test,TRIM(AP247),_xlpm.r,IFERROR(_xlfn.XLOOKUP(_xlpm.ai_test,BP16:BP63,ROW(BP16:BP63),0,1),IFERROR(_xlfn.XLOOKUP(_xlpm.ai_test,BQ16:BQ63,ROW(BQ16:BQ63),0,1),_xlfn.XLOOKUP(_xlpm.ai_test,BR16:BR63,ROW(BR16:BR63),0,1))),_xlpm.p,_xlpm.r-MIN(ROW(BP16:BP63))+1,_xlpm.f,INDEX(BS16:BS63,_xlpm.p),_xlpm.u,INDEX(BT16:BT63,_xlpm.p),_xlpm.s,INDEX(BV16:BV63,_xlpm.p),_xlpm.q,N(BA247)/_xlpm.f,IF(_xlpm.q&gt;=_xlpm.s,ROUND(_xlpm.q,1)&amp;" "&amp;_xlpm.ai_test&amp;" = "&amp;ROUND(_xlpm.q*_xlpm.f,1)&amp;" "&amp;_xlpm.u,ROUND(_xlpm.q,1)&amp;" "&amp;_xlpm.ai_test)),""),""))))</f>
        <v>0</v>
      </c>
      <c r="BD247" s="801"/>
      <c r="BE247" s="788" t="str">
        <f t="shared" si="126"/>
        <v/>
      </c>
      <c r="BF247" s="789" t="str">
        <f t="shared" si="132"/>
        <v/>
      </c>
      <c r="BG247" s="790">
        <f t="shared" si="133"/>
        <v>0</v>
      </c>
      <c r="BH247" s="791" t="str">
        <f t="shared" si="134"/>
        <v/>
      </c>
      <c r="BI247" s="792"/>
      <c r="BJ247" s="793">
        <f t="shared" si="135"/>
        <v>0</v>
      </c>
      <c r="BK247" s="794" t="str">
        <f t="shared" si="127"/>
        <v/>
      </c>
      <c r="BL247" s="227" t="s">
        <v>21</v>
      </c>
      <c r="BM247" s="773">
        <f t="shared" si="117"/>
        <v>0</v>
      </c>
      <c r="BN247" s="774">
        <f t="shared" si="118"/>
        <v>0</v>
      </c>
      <c r="BO247"/>
      <c r="BX247"/>
      <c r="BY247"/>
      <c r="BZ247"/>
      <c r="CA247"/>
      <c r="CB247"/>
      <c r="CC247"/>
      <c r="CD247" s="781" t="str">
        <f t="shared" si="113"/>
        <v>►</v>
      </c>
      <c r="CE247"/>
      <c r="CF247"/>
      <c r="CG247"/>
      <c r="CH247"/>
      <c r="CI247"/>
      <c r="CJ247" s="633"/>
      <c r="CK247"/>
      <c r="CL247"/>
      <c r="CM247"/>
      <c r="CN247"/>
      <c r="CO247"/>
      <c r="CP247"/>
      <c r="CQ247"/>
      <c r="CS247"/>
      <c r="CT247"/>
      <c r="CU247"/>
      <c r="CV247"/>
      <c r="CW247"/>
      <c r="CX247"/>
      <c r="CY247"/>
      <c r="DA247"/>
      <c r="DB247"/>
      <c r="DC247"/>
      <c r="DD247"/>
      <c r="DE247"/>
      <c r="DF247"/>
      <c r="DG247"/>
      <c r="DI247" s="3">
        <v>1</v>
      </c>
    </row>
    <row r="248" spans="1:113" s="627" customFormat="1" ht="21" customHeight="1">
      <c r="A248" s="701" t="s">
        <v>21</v>
      </c>
      <c r="B248" s="2265" t="str" cm="1">
        <f t="array" ref="B248">SUMPRODUCT(--(D248:J248&lt;&gt;""), LEN(TRIM(SUBSTITUTE(D248:J248, CHAR(160), "")))) &amp; " Car."</f>
        <v>0 Car.</v>
      </c>
      <c r="C248" s="1376" t="str">
        <f>IF(ISBLANK(D248),"",LARGE(C13:C247,1)+1)</f>
        <v/>
      </c>
      <c r="D248" s="1833"/>
      <c r="E248" s="1810"/>
      <c r="F248" s="1810"/>
      <c r="G248" s="1810"/>
      <c r="H248" s="1810"/>
      <c r="I248" s="1810"/>
      <c r="J248" s="1810"/>
      <c r="K248" s="1810"/>
      <c r="L248" s="1811"/>
      <c r="M248" s="9"/>
      <c r="N248" s="25" t="str">
        <f t="shared" si="114"/>
        <v>A</v>
      </c>
      <c r="O248" s="1616"/>
      <c r="P248" s="9"/>
      <c r="Q248" s="25" t="s">
        <v>10</v>
      </c>
      <c r="R248" s="31" t="str">
        <f>R215</f>
        <v>M MILLE-FEUILLE meringue et chiboust pamplemousse aux fraises des bois | collez la--FAMILLE| Auteur &gt; recette Béghin Say de Jean-Jacques Borne MOF 1994</v>
      </c>
      <c r="S248" s="32">
        <f>S215</f>
        <v>18</v>
      </c>
      <c r="T248" s="31" t="str">
        <f>T215</f>
        <v>desserts</v>
      </c>
      <c r="U248" s="33" t="str">
        <f>U215</f>
        <v>Recette mère ► MILLE-FEUILLE  aux fraises des bois</v>
      </c>
      <c r="V248" s="1198"/>
      <c r="W248" s="1199"/>
      <c r="X248" s="91" t="str">
        <f t="shared" si="129"/>
        <v/>
      </c>
      <c r="Y248" s="1200"/>
      <c r="Z248" s="128"/>
      <c r="AA248" s="1201">
        <v>1</v>
      </c>
      <c r="AB248" s="1813" t="str">
        <f>ROWS(AB219:AB248)&amp;" ►"</f>
        <v>30 ►</v>
      </c>
      <c r="AC248" s="1580"/>
      <c r="AD248" s="95">
        <f>IF(AF249=0,0,(AF248/AF249)*AE218*1000)</f>
        <v>0</v>
      </c>
      <c r="AE248" s="105">
        <f>IF(AF249=0, 0, (V248*AA248)/(AF249*AE218))</f>
        <v>0</v>
      </c>
      <c r="AF248" s="97" cm="1">
        <f t="array" ref="AF248">IFERROR(_xlfn.XLOOKUP(UPPER(TRIM(Z248)),UPPER(TRIM(V250:AJ250)),V251:AJ251,_xlfn.XLOOKUP(UPPER(TRIM(Z248)),UPPER(TRIM(V252:AJ252)),V253:AJ253,0))*Y248*IF(V248&gt;0,V248,1),0)</f>
        <v>0</v>
      </c>
      <c r="AG248" s="110">
        <f>IF(AI214&lt;&gt;0,V248*AA248*AA214,0)</f>
        <v>0</v>
      </c>
      <c r="AH248" s="1748">
        <f t="shared" si="131"/>
        <v>0</v>
      </c>
      <c r="AI248" s="99">
        <f>IF(OR(ISBLANK(AI214),AI214=0),0,AF248*AA248*AA214)</f>
        <v>0</v>
      </c>
      <c r="AJ248" s="129" t="str">
        <f>IF(Z248="","",IF(COUNTIF(AC250:AJ250,SUBSTITUTE(TRIM(Z248)," (s)",""))+COUNTIF(AC252:AJ252,SUBSTITUTE(TRIM(Z248)," (s)",""))&gt;0,IF(ROUND(AI248,3)&gt;=1,ROUND(AI248,3)&amp;" L",MAX(1,ROUND(AI248*100,0))&amp;" cl"),IF(COUNTIF(V250:AA250,SUBSTITUTE(TRIM(Z248)," (s)",""))+COUNTIF(V252:AA252,SUBSTITUTE(TRIM(Z248)," (s)",""))&gt;0,IF(ROUND(AI248,3)&gt;=1,ROUND(AI248,3)&amp;" Kg",MAX(1,ROUND(AI248*1000,0))&amp;" g"),"")))</f>
        <v/>
      </c>
      <c r="AK248" s="6120" t="str">
        <f t="shared" si="128"/>
        <v>►</v>
      </c>
      <c r="AL248" s="781" t="str">
        <f t="shared" si="116"/>
        <v>►</v>
      </c>
      <c r="AM248" s="5498" t="str">
        <f t="shared" si="119"/>
        <v/>
      </c>
      <c r="AN248" s="783" t="str">
        <f t="shared" si="120"/>
        <v/>
      </c>
      <c r="AO248" s="782" t="str">
        <f t="shared" si="121"/>
        <v/>
      </c>
      <c r="AP248" s="783" t="str">
        <f t="shared" si="122"/>
        <v/>
      </c>
      <c r="AQ248" s="2083" t="b">
        <f>AND(Q248="A",COUNTIF(BP16:BR63,TRIM(Z248))&gt;0)</f>
        <v>0</v>
      </c>
      <c r="AR248" s="797" t="str">
        <f>IF(AL248&lt;&gt;"A","",IFERROR(IFERROR(_xlfn.XLOOKUP(TRIM(SUBSTITUTE(Z248,CHAR(160)," ")),BP16:BP63,BS16:BS63),IFERROR(_xlfn.XLOOKUP(TRIM(SUBSTITUTE(Z248,CHAR(160)," ")),BQ16:BQ63,BS16:BS63),_xlfn.XLOOKUP(TRIM(SUBSTITUTE(Z248,CHAR(160)," ")),BR16:BR63,BS16:BS63)))*Y248*IF(ISBLANK(V248),1,V248),0))</f>
        <v/>
      </c>
      <c r="AS248" s="784" t="str">
        <f t="shared" si="112"/>
        <v/>
      </c>
      <c r="AT248" s="1315" t="str">
        <f t="shared" si="123"/>
        <v/>
      </c>
      <c r="AU248" s="785">
        <f t="shared" si="124"/>
        <v>0</v>
      </c>
      <c r="AV248" s="785">
        <f t="shared" si="125"/>
        <v>0</v>
      </c>
      <c r="AW248" s="798">
        <f>IF(AK248="A",AY10,0)</f>
        <v>0</v>
      </c>
      <c r="AX248" s="5496" t="str">
        <f>IF(IFERROR(SEARCH("Adresse PC",TRIM(W248)),0)&gt;0,"▼ receta siguiente",IF(AK248="A",IF(AZ10&lt;&gt;"",AZ10&amp;" - ou.or.o ❾ + or - &gt;",""),""))</f>
        <v/>
      </c>
      <c r="AY248" s="810"/>
      <c r="AZ248" s="810"/>
      <c r="BA248" s="799" t="str">
        <f t="shared" si="115"/>
        <v/>
      </c>
      <c r="BB248" s="800" t="str">
        <f>IF(AK248="A",IF(AQ248,IF(AND(AW248&lt;&gt;"",N(AW248)&gt;0),IFERROR(IFERROR(_xlfn.XLOOKUP(AP248,BP10:BP57,BT10:BT57),IFERROR(_xlfn.XLOOKUP(AP248,BQ10:BQ57,BT10:BT57),_xlfn.XLOOKUP(AP248,BR10:BR57,BT10:BT57,""))),""),""),""),"")</f>
        <v/>
      </c>
      <c r="BC248" s="813" cm="1">
        <f t="array" ref="BC248">IF(NOT(AQ248),0,IF(OR(BA248="",N(BA248)&lt;=0.000000001),"",IF(OR(AU248="",N(AU248)&lt;=0.000000001),0,IF(ISNUMBER(BA248),IFERROR(_xlfn.LET(_xlpm.ai_test,TRIM(AP248),_xlpm.r,IFERROR(_xlfn.XLOOKUP(_xlpm.ai_test,BP16:BP63,ROW(BP16:BP63),0,1),IFERROR(_xlfn.XLOOKUP(_xlpm.ai_test,BQ16:BQ63,ROW(BQ16:BQ63),0,1),_xlfn.XLOOKUP(_xlpm.ai_test,BR16:BR63,ROW(BR16:BR63),0,1))),_xlpm.p,_xlpm.r-MIN(ROW(BP16:BP63))+1,_xlpm.f,INDEX(BS16:BS63,_xlpm.p),_xlpm.u,INDEX(BT16:BT63,_xlpm.p),_xlpm.s,INDEX(BV16:BV63,_xlpm.p),_xlpm.q,N(BA248)/_xlpm.f,IF(_xlpm.q&gt;=_xlpm.s,ROUND(_xlpm.q,1)&amp;" "&amp;_xlpm.ai_test&amp;" = "&amp;ROUND(_xlpm.q*_xlpm.f,1)&amp;" "&amp;_xlpm.u,ROUND(_xlpm.q,1)&amp;" "&amp;_xlpm.ai_test)),""),""))))</f>
        <v>0</v>
      </c>
      <c r="BD248" s="801"/>
      <c r="BE248" s="799" t="str">
        <f t="shared" si="126"/>
        <v/>
      </c>
      <c r="BF248" s="800" t="str">
        <f t="shared" si="132"/>
        <v/>
      </c>
      <c r="BG248" s="802">
        <f t="shared" si="133"/>
        <v>0</v>
      </c>
      <c r="BH248" s="803" t="str">
        <f t="shared" si="134"/>
        <v/>
      </c>
      <c r="BI248" s="792"/>
      <c r="BJ248" s="804">
        <f t="shared" si="135"/>
        <v>0</v>
      </c>
      <c r="BK248" s="794" t="str">
        <f t="shared" si="127"/>
        <v/>
      </c>
      <c r="BL248" s="227" t="s">
        <v>21</v>
      </c>
      <c r="BM248" s="773">
        <f t="shared" si="117"/>
        <v>0</v>
      </c>
      <c r="BN248" s="774">
        <f t="shared" si="118"/>
        <v>0</v>
      </c>
      <c r="BO248"/>
      <c r="BX248"/>
      <c r="BY248"/>
      <c r="BZ248"/>
      <c r="CA248"/>
      <c r="CB248"/>
      <c r="CC248"/>
      <c r="CD248" s="781" t="str">
        <f t="shared" si="113"/>
        <v>►</v>
      </c>
      <c r="CE248"/>
      <c r="CF248"/>
      <c r="CG248"/>
      <c r="CH248"/>
      <c r="CI248"/>
      <c r="CJ248" s="633"/>
      <c r="CK248"/>
      <c r="CL248"/>
      <c r="CM248"/>
      <c r="CN248"/>
      <c r="CO248"/>
      <c r="CP248"/>
      <c r="CQ248"/>
      <c r="CS248"/>
      <c r="CT248"/>
      <c r="CU248"/>
      <c r="CV248"/>
      <c r="CW248"/>
      <c r="CX248"/>
      <c r="CY248"/>
      <c r="DA248"/>
      <c r="DB248"/>
      <c r="DC248"/>
      <c r="DD248"/>
      <c r="DE248"/>
      <c r="DF248"/>
      <c r="DG248"/>
      <c r="DI248" s="3">
        <v>1</v>
      </c>
    </row>
    <row r="249" spans="1:113" s="627" customFormat="1" ht="21" customHeight="1">
      <c r="A249" s="701" t="s">
        <v>21</v>
      </c>
      <c r="B249" s="2265" t="str" cm="1">
        <f t="array" ref="B249">SUMPRODUCT(--(D249:J249&lt;&gt;""), LEN(TRIM(SUBSTITUTE(D249:J249, CHAR(160), "")))) &amp; " Car."</f>
        <v>0 Car.</v>
      </c>
      <c r="C249" s="1376" t="str">
        <f>IF(ISBLANK(D249),"",LARGE(C13:C248,1)+1)</f>
        <v/>
      </c>
      <c r="D249" s="1833"/>
      <c r="E249" s="1810"/>
      <c r="F249" s="1810"/>
      <c r="G249" s="1810"/>
      <c r="H249" s="1810"/>
      <c r="I249" s="1810"/>
      <c r="J249" s="1810"/>
      <c r="K249" s="1810"/>
      <c r="L249" s="1811"/>
      <c r="M249" s="9"/>
      <c r="N249" s="25" t="str">
        <f t="shared" si="114"/>
        <v>A</v>
      </c>
      <c r="O249" s="1616"/>
      <c r="P249" s="9"/>
      <c r="Q249" s="25" t="s">
        <v>10</v>
      </c>
      <c r="R249" s="31" t="str">
        <f>R215</f>
        <v>M MILLE-FEUILLE meringue et chiboust pamplemousse aux fraises des bois | collez la--FAMILLE| Auteur &gt; recette Béghin Say de Jean-Jacques Borne MOF 1994</v>
      </c>
      <c r="S249" s="32">
        <f>S215</f>
        <v>18</v>
      </c>
      <c r="T249" s="31" t="str">
        <f>T215</f>
        <v>desserts</v>
      </c>
      <c r="U249" s="33" t="str">
        <f>U215</f>
        <v>Recette mère ► MILLE-FEUILLE  aux fraises des bois</v>
      </c>
      <c r="V249" s="680" t="s">
        <v>8411</v>
      </c>
      <c r="W249" s="474"/>
      <c r="X249" s="474"/>
      <c r="Y249" s="474"/>
      <c r="Z249" s="474"/>
      <c r="AA249" s="681"/>
      <c r="AB249" s="681"/>
      <c r="AC249" s="1984" t="s">
        <v>8652</v>
      </c>
      <c r="AD249" s="682"/>
      <c r="AE249" s="682"/>
      <c r="AF249" s="1197">
        <f>SUM(AF219:AF248)</f>
        <v>1.5710000000000002</v>
      </c>
      <c r="AG249" s="683"/>
      <c r="AH249" s="683" t="str">
        <f>"Total " &amp; AI216&amp;" &gt;"</f>
        <v>Total Col.19 &gt;</v>
      </c>
      <c r="AI249" s="1835">
        <f>SUM(AI219:AI248)</f>
        <v>3.1420000000000003</v>
      </c>
      <c r="AJ249" s="684"/>
      <c r="AK249" s="6120" t="str">
        <f t="shared" si="128"/>
        <v>►</v>
      </c>
      <c r="AL249" s="781" t="str">
        <f t="shared" si="116"/>
        <v>►</v>
      </c>
      <c r="AM249" s="5499" t="str">
        <f t="shared" si="119"/>
        <v/>
      </c>
      <c r="AN249" s="783" t="str">
        <f t="shared" si="120"/>
        <v/>
      </c>
      <c r="AO249" s="782" t="str">
        <f t="shared" si="121"/>
        <v/>
      </c>
      <c r="AP249" s="783" t="str">
        <f t="shared" si="122"/>
        <v/>
      </c>
      <c r="AQ249" s="2083" t="b">
        <f>AND(Q249="A",COUNTIF(BP16:BR63,TRIM(Z249))&gt;0)</f>
        <v>0</v>
      </c>
      <c r="AR249" s="797" t="str">
        <f>IF(AL249&lt;&gt;"A","",IFERROR(IFERROR(_xlfn.XLOOKUP(TRIM(SUBSTITUTE(Z249,CHAR(160)," ")),BP16:BP63,BS16:BS63),IFERROR(_xlfn.XLOOKUP(TRIM(SUBSTITUTE(Z249,CHAR(160)," ")),BQ16:BQ63,BS16:BS63),_xlfn.XLOOKUP(TRIM(SUBSTITUTE(Z249,CHAR(160)," ")),BR16:BR63,BS16:BS63)))*Y249*IF(ISBLANK(V249),1,V249),0))</f>
        <v/>
      </c>
      <c r="AS249" s="784" t="str">
        <f t="shared" si="112"/>
        <v/>
      </c>
      <c r="AT249" s="1315" t="str">
        <f t="shared" si="123"/>
        <v/>
      </c>
      <c r="AU249" s="785">
        <f t="shared" si="124"/>
        <v>0</v>
      </c>
      <c r="AV249" s="785">
        <f t="shared" si="125"/>
        <v>0</v>
      </c>
      <c r="AW249" s="786">
        <f>IF(AK249="A",AY10,0)</f>
        <v>0</v>
      </c>
      <c r="AX249" s="5495" t="str">
        <f>IF(IFERROR(SEARCH("Adresse PC",TRIM(W249)),0)&gt;0,"▼ receta siguiente",IF(AK249="A",IF(AZ10&lt;&gt;"",AZ10&amp;" - ou.or.o ❾ + or - &gt;",""),""))</f>
        <v/>
      </c>
      <c r="AY249" s="810"/>
      <c r="AZ249" s="810"/>
      <c r="BA249" s="788" t="str">
        <f t="shared" si="115"/>
        <v/>
      </c>
      <c r="BB249" s="789" t="str">
        <f>IF(AK249="A",IF(AQ249,IF(AND(AW249&lt;&gt;"",N(AW249)&gt;0),IFERROR(IFERROR(_xlfn.XLOOKUP(AP249,BP10:BP57,BT10:BT57),IFERROR(_xlfn.XLOOKUP(AP249,BQ10:BQ57,BT10:BT57),_xlfn.XLOOKUP(AP249,BR10:BR57,BT10:BT57,""))),""),""),""),"")</f>
        <v/>
      </c>
      <c r="BC249" s="811" cm="1">
        <f t="array" ref="BC249">IF(NOT(AQ249),0,IF(OR(BA249="",N(BA249)&lt;=0.000000001),"",IF(OR(AU249="",N(AU249)&lt;=0.000000001),0,IF(ISNUMBER(BA249),IFERROR(_xlfn.LET(_xlpm.ai_test,TRIM(AP249),_xlpm.r,IFERROR(_xlfn.XLOOKUP(_xlpm.ai_test,BP16:BP63,ROW(BP16:BP63),0,1),IFERROR(_xlfn.XLOOKUP(_xlpm.ai_test,BQ16:BQ63,ROW(BQ16:BQ63),0,1),_xlfn.XLOOKUP(_xlpm.ai_test,BR16:BR63,ROW(BR16:BR63),0,1))),_xlpm.p,_xlpm.r-MIN(ROW(BP16:BP63))+1,_xlpm.f,INDEX(BS16:BS63,_xlpm.p),_xlpm.u,INDEX(BT16:BT63,_xlpm.p),_xlpm.s,INDEX(BV16:BV63,_xlpm.p),_xlpm.q,N(BA249)/_xlpm.f,IF(_xlpm.q&gt;=_xlpm.s,ROUND(_xlpm.q,1)&amp;" "&amp;_xlpm.ai_test&amp;" = "&amp;ROUND(_xlpm.q*_xlpm.f,1)&amp;" "&amp;_xlpm.u,ROUND(_xlpm.q,1)&amp;" "&amp;_xlpm.ai_test)),""),""))))</f>
        <v>0</v>
      </c>
      <c r="BD249" s="801"/>
      <c r="BE249" s="788" t="str">
        <f t="shared" si="126"/>
        <v/>
      </c>
      <c r="BF249" s="789" t="str">
        <f t="shared" si="132"/>
        <v/>
      </c>
      <c r="BG249" s="790">
        <f t="shared" si="133"/>
        <v>0</v>
      </c>
      <c r="BH249" s="791" t="str">
        <f t="shared" si="134"/>
        <v/>
      </c>
      <c r="BI249" s="792"/>
      <c r="BJ249" s="793">
        <f t="shared" si="135"/>
        <v>0</v>
      </c>
      <c r="BK249" s="794" t="str">
        <f t="shared" si="127"/>
        <v/>
      </c>
      <c r="BL249" s="227" t="s">
        <v>21</v>
      </c>
      <c r="BM249" s="773">
        <f t="shared" si="117"/>
        <v>0</v>
      </c>
      <c r="BN249" s="774">
        <f t="shared" si="118"/>
        <v>0</v>
      </c>
      <c r="BO249"/>
      <c r="BX249"/>
      <c r="BY249"/>
      <c r="BZ249"/>
      <c r="CA249"/>
      <c r="CB249"/>
      <c r="CC249"/>
      <c r="CD249" s="781" t="str">
        <f t="shared" si="113"/>
        <v>►</v>
      </c>
      <c r="CE249"/>
      <c r="CF249"/>
      <c r="CG249"/>
      <c r="CH249"/>
      <c r="CI249"/>
      <c r="CJ249" s="633"/>
      <c r="CK249"/>
      <c r="CL249"/>
      <c r="CM249"/>
      <c r="CN249"/>
      <c r="CO249"/>
      <c r="CP249"/>
      <c r="CQ249"/>
      <c r="CS249"/>
      <c r="CT249"/>
      <c r="CU249"/>
      <c r="CV249"/>
      <c r="CW249"/>
      <c r="CX249"/>
      <c r="CY249"/>
      <c r="DA249"/>
      <c r="DB249"/>
      <c r="DC249"/>
      <c r="DD249"/>
      <c r="DE249"/>
      <c r="DF249"/>
      <c r="DG249"/>
      <c r="DI249" s="3">
        <v>1</v>
      </c>
    </row>
    <row r="250" spans="1:113" s="627" customFormat="1" ht="21" customHeight="1">
      <c r="A250" s="701" t="s">
        <v>21</v>
      </c>
      <c r="B250" s="2265" t="str" cm="1">
        <f t="array" ref="B250">SUMPRODUCT(--(D250:J250&lt;&gt;""), LEN(TRIM(SUBSTITUTE(D250:J250, CHAR(160), "")))) &amp; " Car."</f>
        <v>0 Car.</v>
      </c>
      <c r="C250" s="1376" t="str">
        <f>IF(ISBLANK(D250),"",LARGE(C13:C249,1)+1)</f>
        <v/>
      </c>
      <c r="D250" s="1833"/>
      <c r="E250" s="1810"/>
      <c r="F250" s="1810"/>
      <c r="G250" s="1810"/>
      <c r="H250" s="1810"/>
      <c r="I250" s="1810"/>
      <c r="J250" s="1810"/>
      <c r="K250" s="1810"/>
      <c r="L250" s="1811"/>
      <c r="M250" s="9"/>
      <c r="N250" s="25" t="str">
        <f t="shared" si="114"/>
        <v>A</v>
      </c>
      <c r="O250" s="1616"/>
      <c r="P250" s="9"/>
      <c r="Q250" s="25" t="s">
        <v>10</v>
      </c>
      <c r="R250" s="31" t="str">
        <f>R215</f>
        <v>M MILLE-FEUILLE meringue et chiboust pamplemousse aux fraises des bois | collez la--FAMILLE| Auteur &gt; recette Béghin Say de Jean-Jacques Borne MOF 1994</v>
      </c>
      <c r="S250" s="32">
        <f>S215</f>
        <v>18</v>
      </c>
      <c r="T250" s="31" t="str">
        <f>T215</f>
        <v>desserts</v>
      </c>
      <c r="U250" s="33" t="str">
        <f>U215</f>
        <v>Recette mère ► MILLE-FEUILLE  aux fraises des bois</v>
      </c>
      <c r="V250" s="142" t="s">
        <v>140</v>
      </c>
      <c r="W250" s="104" t="s">
        <v>100</v>
      </c>
      <c r="X250" s="143" t="s">
        <v>141</v>
      </c>
      <c r="Y250" s="144" t="s">
        <v>142</v>
      </c>
      <c r="Z250" s="118" t="s">
        <v>143</v>
      </c>
      <c r="AA250" s="118" t="s">
        <v>109</v>
      </c>
      <c r="AB250" s="143" t="s">
        <v>141</v>
      </c>
      <c r="AC250" s="93" t="s">
        <v>0</v>
      </c>
      <c r="AD250" s="93" t="s">
        <v>97</v>
      </c>
      <c r="AE250" s="93" t="s">
        <v>144</v>
      </c>
      <c r="AF250" s="93" t="s">
        <v>145</v>
      </c>
      <c r="AG250" s="109" t="s">
        <v>104</v>
      </c>
      <c r="AH250" s="109" t="s">
        <v>359</v>
      </c>
      <c r="AI250" s="335" t="s">
        <v>146</v>
      </c>
      <c r="AJ250" s="109" t="s">
        <v>147</v>
      </c>
      <c r="AK250" s="6120" t="str">
        <f t="shared" si="128"/>
        <v>►</v>
      </c>
      <c r="AL250" s="781" t="str">
        <f t="shared" si="116"/>
        <v>►</v>
      </c>
      <c r="AM250" s="5498" t="str">
        <f t="shared" si="119"/>
        <v/>
      </c>
      <c r="AN250" s="783" t="str">
        <f t="shared" si="120"/>
        <v/>
      </c>
      <c r="AO250" s="782" t="str">
        <f t="shared" si="121"/>
        <v/>
      </c>
      <c r="AP250" s="783" t="str">
        <f t="shared" si="122"/>
        <v/>
      </c>
      <c r="AQ250" s="2083" t="b">
        <f>AND(Q250="A",COUNTIF(BP16:BR63,TRIM(Z250))&gt;0)</f>
        <v>1</v>
      </c>
      <c r="AR250" s="797" t="str">
        <f>IF(AL250&lt;&gt;"A","",IFERROR(IFERROR(_xlfn.XLOOKUP(TRIM(SUBSTITUTE(Z250,CHAR(160)," ")),BP16:BP63,BS16:BS63),IFERROR(_xlfn.XLOOKUP(TRIM(SUBSTITUTE(Z250,CHAR(160)," ")),BQ16:BQ63,BS16:BS63),_xlfn.XLOOKUP(TRIM(SUBSTITUTE(Z250,CHAR(160)," ")),BR16:BR63,BS16:BS63)))*Y250*IF(ISBLANK(V250),1,V250),0))</f>
        <v/>
      </c>
      <c r="AS250" s="784" t="str">
        <f t="shared" si="112"/>
        <v/>
      </c>
      <c r="AT250" s="1315" t="str">
        <f t="shared" si="123"/>
        <v/>
      </c>
      <c r="AU250" s="785">
        <f t="shared" si="124"/>
        <v>0</v>
      </c>
      <c r="AV250" s="785">
        <f t="shared" si="125"/>
        <v>0</v>
      </c>
      <c r="AW250" s="798">
        <f>IF(AK250="A",AY10,0)</f>
        <v>0</v>
      </c>
      <c r="AX250" s="5496" t="str">
        <f>IF(IFERROR(SEARCH("Adresse PC",TRIM(W250)),0)&gt;0,"▼ receta siguiente",IF(AK250="A",IF(AZ10&lt;&gt;"",AZ10&amp;" - ou.or.o ❾ + or - &gt;",""),""))</f>
        <v/>
      </c>
      <c r="AY250" s="810"/>
      <c r="AZ250" s="810"/>
      <c r="BA250" s="799" t="str">
        <f t="shared" si="115"/>
        <v/>
      </c>
      <c r="BB250" s="800" t="str">
        <f>IF(AK250="A",IF(AQ250,IF(AND(AW250&lt;&gt;"",N(AW250)&gt;0),IFERROR(IFERROR(_xlfn.XLOOKUP(AP250,BP10:BP57,BT10:BT57),IFERROR(_xlfn.XLOOKUP(AP250,BQ10:BQ57,BT10:BT57),_xlfn.XLOOKUP(AP250,BR10:BR57,BT10:BT57,""))),""),""),""),"")</f>
        <v/>
      </c>
      <c r="BC250" s="813" t="str" cm="1">
        <f t="array" ref="BC250">IF(NOT(AQ250),0,IF(OR(BA250="",N(BA250)&lt;=0.000000001),"",IF(OR(AU250="",N(AU250)&lt;=0.000000001),0,IF(ISNUMBER(BA250),IFERROR(_xlfn.LET(_xlpm.ai_test,TRIM(AP250),_xlpm.r,IFERROR(_xlfn.XLOOKUP(_xlpm.ai_test,BP16:BP63,ROW(BP16:BP63),0,1),IFERROR(_xlfn.XLOOKUP(_xlpm.ai_test,BQ16:BQ63,ROW(BQ16:BQ63),0,1),_xlfn.XLOOKUP(_xlpm.ai_test,BR16:BR63,ROW(BR16:BR63),0,1))),_xlpm.p,_xlpm.r-MIN(ROW(BP16:BP63))+1,_xlpm.f,INDEX(BS16:BS63,_xlpm.p),_xlpm.u,INDEX(BT16:BT63,_xlpm.p),_xlpm.s,INDEX(BV16:BV63,_xlpm.p),_xlpm.q,N(BA250)/_xlpm.f,IF(_xlpm.q&gt;=_xlpm.s,ROUND(_xlpm.q,1)&amp;" "&amp;_xlpm.ai_test&amp;" = "&amp;ROUND(_xlpm.q*_xlpm.f,1)&amp;" "&amp;_xlpm.u,ROUND(_xlpm.q,1)&amp;" "&amp;_xlpm.ai_test)),""),""))))</f>
        <v/>
      </c>
      <c r="BD250" s="801"/>
      <c r="BE250" s="799" t="str">
        <f t="shared" si="126"/>
        <v/>
      </c>
      <c r="BF250" s="800" t="str">
        <f t="shared" si="132"/>
        <v/>
      </c>
      <c r="BG250" s="802">
        <f t="shared" si="133"/>
        <v>0</v>
      </c>
      <c r="BH250" s="803" t="str">
        <f t="shared" si="134"/>
        <v/>
      </c>
      <c r="BI250" s="792"/>
      <c r="BJ250" s="804">
        <f t="shared" si="135"/>
        <v>0</v>
      </c>
      <c r="BK250" s="794" t="str">
        <f t="shared" si="127"/>
        <v/>
      </c>
      <c r="BL250" s="227" t="s">
        <v>21</v>
      </c>
      <c r="BM250" s="773">
        <f t="shared" si="117"/>
        <v>0</v>
      </c>
      <c r="BN250" s="774">
        <f t="shared" si="118"/>
        <v>0</v>
      </c>
      <c r="BO250"/>
      <c r="BX250"/>
      <c r="BY250"/>
      <c r="BZ250"/>
      <c r="CA250"/>
      <c r="CB250"/>
      <c r="CC250"/>
      <c r="CD250" s="781" t="str">
        <f t="shared" si="113"/>
        <v>►</v>
      </c>
      <c r="CE250"/>
      <c r="CF250"/>
      <c r="CG250"/>
      <c r="CH250"/>
      <c r="CI250"/>
      <c r="CJ250" s="633"/>
      <c r="CK250"/>
      <c r="CL250"/>
      <c r="CM250"/>
      <c r="CN250"/>
      <c r="CO250"/>
      <c r="CP250"/>
      <c r="CQ250"/>
      <c r="CS250"/>
      <c r="CT250"/>
      <c r="CU250"/>
      <c r="CV250"/>
      <c r="CW250"/>
      <c r="CX250"/>
      <c r="CY250"/>
      <c r="DA250"/>
      <c r="DB250"/>
      <c r="DC250"/>
      <c r="DD250"/>
      <c r="DE250"/>
      <c r="DF250"/>
      <c r="DG250"/>
      <c r="DI250" s="3">
        <v>1</v>
      </c>
    </row>
    <row r="251" spans="1:113" s="627" customFormat="1" ht="21" customHeight="1">
      <c r="A251" s="701" t="s">
        <v>21</v>
      </c>
      <c r="B251" s="2265" t="str" cm="1">
        <f t="array" ref="B251">SUMPRODUCT(--(D251:J251&lt;&gt;""), LEN(TRIM(SUBSTITUTE(D251:J251, CHAR(160), "")))) &amp; " Car."</f>
        <v>0 Car.</v>
      </c>
      <c r="C251" s="1376" t="str">
        <f>IF(ISBLANK(D251),"",LARGE(C13:C250,1)+1)</f>
        <v/>
      </c>
      <c r="D251" s="1833"/>
      <c r="E251" s="1810"/>
      <c r="F251" s="1810"/>
      <c r="G251" s="1810"/>
      <c r="H251" s="1810"/>
      <c r="I251" s="1810"/>
      <c r="J251" s="1810"/>
      <c r="K251" s="1810"/>
      <c r="L251" s="1811"/>
      <c r="M251" s="9"/>
      <c r="N251" s="25" t="str">
        <f t="shared" si="114"/>
        <v>A</v>
      </c>
      <c r="O251" s="1616"/>
      <c r="P251" s="9"/>
      <c r="Q251" s="25" t="s">
        <v>10</v>
      </c>
      <c r="R251" s="31" t="str">
        <f>R215</f>
        <v>M MILLE-FEUILLE meringue et chiboust pamplemousse aux fraises des bois | collez la--FAMILLE| Auteur &gt; recette Béghin Say de Jean-Jacques Borne MOF 1994</v>
      </c>
      <c r="S251" s="32">
        <f>S215</f>
        <v>18</v>
      </c>
      <c r="T251" s="31" t="str">
        <f>T215</f>
        <v>desserts</v>
      </c>
      <c r="U251" s="33" t="str">
        <f>U215</f>
        <v>Recette mère ► MILLE-FEUILLE  aux fraises des bois</v>
      </c>
      <c r="V251" s="685">
        <v>1</v>
      </c>
      <c r="W251" s="686">
        <v>1E-3</v>
      </c>
      <c r="X251" s="687">
        <v>0</v>
      </c>
      <c r="Y251" s="686">
        <v>0.25</v>
      </c>
      <c r="Z251" s="686">
        <v>0.33332999999999996</v>
      </c>
      <c r="AA251" s="686">
        <v>0.5</v>
      </c>
      <c r="AB251" s="687">
        <v>0</v>
      </c>
      <c r="AC251" s="688">
        <v>1</v>
      </c>
      <c r="AD251" s="688">
        <v>0.1</v>
      </c>
      <c r="AE251" s="688">
        <v>0.01</v>
      </c>
      <c r="AF251" s="688">
        <v>1E-3</v>
      </c>
      <c r="AG251" s="688">
        <v>0.5</v>
      </c>
      <c r="AH251" s="688">
        <v>0.25</v>
      </c>
      <c r="AI251" s="688">
        <v>0.33300000000000002</v>
      </c>
      <c r="AJ251" s="1756">
        <v>0.2</v>
      </c>
      <c r="AK251" s="6120" t="str">
        <f t="shared" si="128"/>
        <v>►</v>
      </c>
      <c r="AL251" s="781" t="str">
        <f t="shared" si="116"/>
        <v>►</v>
      </c>
      <c r="AM251" s="5499" t="str">
        <f t="shared" si="119"/>
        <v/>
      </c>
      <c r="AN251" s="783" t="str">
        <f t="shared" si="120"/>
        <v/>
      </c>
      <c r="AO251" s="782" t="str">
        <f t="shared" si="121"/>
        <v/>
      </c>
      <c r="AP251" s="783" t="str">
        <f t="shared" si="122"/>
        <v/>
      </c>
      <c r="AQ251" s="2083" t="b">
        <f>AND(Q251="A",COUNTIF(BP16:BR63,TRIM(Z251))&gt;0)</f>
        <v>0</v>
      </c>
      <c r="AR251" s="797" t="str">
        <f>IF(AL251&lt;&gt;"A","",IFERROR(IFERROR(_xlfn.XLOOKUP(TRIM(SUBSTITUTE(Z251,CHAR(160)," ")),BP16:BP63,BS16:BS63),IFERROR(_xlfn.XLOOKUP(TRIM(SUBSTITUTE(Z251,CHAR(160)," ")),BQ16:BQ63,BS16:BS63),_xlfn.XLOOKUP(TRIM(SUBSTITUTE(Z251,CHAR(160)," ")),BR16:BR63,BS16:BS63)))*Y251*IF(ISBLANK(V251),1,V251),0))</f>
        <v/>
      </c>
      <c r="AS251" s="784" t="str">
        <f t="shared" si="112"/>
        <v/>
      </c>
      <c r="AT251" s="1315" t="str">
        <f t="shared" si="123"/>
        <v/>
      </c>
      <c r="AU251" s="785">
        <f t="shared" si="124"/>
        <v>0</v>
      </c>
      <c r="AV251" s="785">
        <f t="shared" si="125"/>
        <v>0</v>
      </c>
      <c r="AW251" s="786">
        <f>IF(AK251="A",AY10,0)</f>
        <v>0</v>
      </c>
      <c r="AX251" s="5495" t="str">
        <f>IF(IFERROR(SEARCH("Adresse PC",TRIM(W251)),0)&gt;0,"▼ receta siguiente",IF(AK251="A",IF(AZ10&lt;&gt;"",AZ10&amp;" - ou.or.o ❾ + or - &gt;",""),""))</f>
        <v/>
      </c>
      <c r="AY251" s="810"/>
      <c r="AZ251" s="810"/>
      <c r="BA251" s="788" t="str">
        <f t="shared" si="115"/>
        <v/>
      </c>
      <c r="BB251" s="789" t="str">
        <f>IF(AK251="A",IF(AQ251,IF(AND(AW251&lt;&gt;"",N(AW251)&gt;0),IFERROR(IFERROR(_xlfn.XLOOKUP(AP251,BP10:BP57,BT10:BT57),IFERROR(_xlfn.XLOOKUP(AP251,BQ10:BQ57,BT10:BT57),_xlfn.XLOOKUP(AP251,BR10:BR57,BT10:BT57,""))),""),""),""),"")</f>
        <v/>
      </c>
      <c r="BC251" s="811" cm="1">
        <f t="array" ref="BC251">IF(NOT(AQ251),0,IF(OR(BA251="",N(BA251)&lt;=0.000000001),"",IF(OR(AU251="",N(AU251)&lt;=0.000000001),0,IF(ISNUMBER(BA251),IFERROR(_xlfn.LET(_xlpm.ai_test,TRIM(AP251),_xlpm.r,IFERROR(_xlfn.XLOOKUP(_xlpm.ai_test,BP16:BP63,ROW(BP16:BP63),0,1),IFERROR(_xlfn.XLOOKUP(_xlpm.ai_test,BQ16:BQ63,ROW(BQ16:BQ63),0,1),_xlfn.XLOOKUP(_xlpm.ai_test,BR16:BR63,ROW(BR16:BR63),0,1))),_xlpm.p,_xlpm.r-MIN(ROW(BP16:BP63))+1,_xlpm.f,INDEX(BS16:BS63,_xlpm.p),_xlpm.u,INDEX(BT16:BT63,_xlpm.p),_xlpm.s,INDEX(BV16:BV63,_xlpm.p),_xlpm.q,N(BA251)/_xlpm.f,IF(_xlpm.q&gt;=_xlpm.s,ROUND(_xlpm.q,1)&amp;" "&amp;_xlpm.ai_test&amp;" = "&amp;ROUND(_xlpm.q*_xlpm.f,1)&amp;" "&amp;_xlpm.u,ROUND(_xlpm.q,1)&amp;" "&amp;_xlpm.ai_test)),""),""))))</f>
        <v>0</v>
      </c>
      <c r="BD251" s="801"/>
      <c r="BE251" s="788" t="str">
        <f t="shared" si="126"/>
        <v/>
      </c>
      <c r="BF251" s="789" t="str">
        <f t="shared" si="132"/>
        <v/>
      </c>
      <c r="BG251" s="790">
        <f t="shared" si="133"/>
        <v>0</v>
      </c>
      <c r="BH251" s="791" t="str">
        <f t="shared" si="134"/>
        <v/>
      </c>
      <c r="BI251" s="792"/>
      <c r="BJ251" s="793">
        <f t="shared" si="135"/>
        <v>0</v>
      </c>
      <c r="BK251" s="794" t="str">
        <f t="shared" si="127"/>
        <v/>
      </c>
      <c r="BL251" s="227" t="s">
        <v>21</v>
      </c>
      <c r="BM251" s="773">
        <f t="shared" si="117"/>
        <v>0</v>
      </c>
      <c r="BN251" s="774">
        <f t="shared" si="118"/>
        <v>0</v>
      </c>
      <c r="BO251"/>
      <c r="BX251"/>
      <c r="BY251"/>
      <c r="BZ251"/>
      <c r="CA251"/>
      <c r="CB251"/>
      <c r="CC251"/>
      <c r="CD251" s="781" t="str">
        <f t="shared" si="113"/>
        <v>►</v>
      </c>
      <c r="CE251"/>
      <c r="CF251"/>
      <c r="CG251"/>
      <c r="CH251"/>
      <c r="CI251"/>
      <c r="CJ251" s="633"/>
      <c r="CK251"/>
      <c r="CL251"/>
      <c r="CM251"/>
      <c r="CN251"/>
      <c r="CO251"/>
      <c r="CP251"/>
      <c r="CQ251"/>
      <c r="CS251"/>
      <c r="CT251"/>
      <c r="CU251"/>
      <c r="CV251"/>
      <c r="CW251"/>
      <c r="CX251"/>
      <c r="CY251"/>
      <c r="DA251"/>
      <c r="DB251"/>
      <c r="DC251"/>
      <c r="DD251"/>
      <c r="DE251"/>
      <c r="DF251"/>
      <c r="DG251"/>
      <c r="DI251" s="3">
        <v>1</v>
      </c>
    </row>
    <row r="252" spans="1:113" s="627" customFormat="1" ht="21" customHeight="1">
      <c r="A252" s="701" t="s">
        <v>21</v>
      </c>
      <c r="B252" s="2265" t="str" cm="1">
        <f t="array" ref="B252">SUMPRODUCT(--(D252:J252&lt;&gt;""), LEN(TRIM(SUBSTITUTE(D252:J252, CHAR(160), "")))) &amp; " Car."</f>
        <v>0 Car.</v>
      </c>
      <c r="C252" s="1376" t="str">
        <f>IF(ISBLANK(D252),"",LARGE(C13:C251,1)+1)</f>
        <v/>
      </c>
      <c r="D252" s="1833"/>
      <c r="E252" s="1810"/>
      <c r="F252" s="1810"/>
      <c r="G252" s="1810"/>
      <c r="H252" s="1810"/>
      <c r="I252" s="1810"/>
      <c r="J252" s="1810"/>
      <c r="K252" s="1810"/>
      <c r="L252" s="1811"/>
      <c r="M252" s="9"/>
      <c r="N252" s="25" t="str">
        <f t="shared" si="114"/>
        <v>A</v>
      </c>
      <c r="O252" s="1616"/>
      <c r="P252" s="9"/>
      <c r="Q252" s="25" t="s">
        <v>10</v>
      </c>
      <c r="R252" s="31" t="str">
        <f>R215</f>
        <v>M MILLE-FEUILLE meringue et chiboust pamplemousse aux fraises des bois | collez la--FAMILLE| Auteur &gt; recette Béghin Say de Jean-Jacques Borne MOF 1994</v>
      </c>
      <c r="S252" s="32">
        <f>S215</f>
        <v>18</v>
      </c>
      <c r="T252" s="31" t="str">
        <f>T215</f>
        <v>desserts</v>
      </c>
      <c r="U252" s="33" t="str">
        <f>U215</f>
        <v>Recette mère ► MILLE-FEUILLE  aux fraises des bois</v>
      </c>
      <c r="V252" s="121" t="s">
        <v>155</v>
      </c>
      <c r="W252" s="121" t="s">
        <v>156</v>
      </c>
      <c r="X252" s="143" t="s">
        <v>141</v>
      </c>
      <c r="Y252" s="121" t="s">
        <v>110</v>
      </c>
      <c r="Z252" s="121" t="s">
        <v>157</v>
      </c>
      <c r="AA252" s="121" t="s">
        <v>158</v>
      </c>
      <c r="AB252" s="143" t="s">
        <v>141</v>
      </c>
      <c r="AC252" s="125" t="s">
        <v>115</v>
      </c>
      <c r="AD252" s="155" t="s">
        <v>159</v>
      </c>
      <c r="AE252" s="155" t="s">
        <v>160</v>
      </c>
      <c r="AF252" s="109" t="s">
        <v>161</v>
      </c>
      <c r="AG252" s="109" t="s">
        <v>162</v>
      </c>
      <c r="AH252" s="109" t="s">
        <v>105</v>
      </c>
      <c r="AI252" s="1758" t="s">
        <v>1689</v>
      </c>
      <c r="AJ252" s="697" t="s">
        <v>163</v>
      </c>
      <c r="AK252" s="6120" t="str">
        <f t="shared" si="128"/>
        <v>►</v>
      </c>
      <c r="AL252" s="781" t="str">
        <f t="shared" si="116"/>
        <v>►</v>
      </c>
      <c r="AM252" s="5498" t="str">
        <f t="shared" si="119"/>
        <v/>
      </c>
      <c r="AN252" s="783" t="str">
        <f t="shared" si="120"/>
        <v/>
      </c>
      <c r="AO252" s="782" t="str">
        <f t="shared" si="121"/>
        <v/>
      </c>
      <c r="AP252" s="783" t="str">
        <f t="shared" si="122"/>
        <v/>
      </c>
      <c r="AQ252" s="2083" t="b">
        <f>AND(Q252="A",COUNTIF(BP16:BR63,TRIM(Z252))&gt;0)</f>
        <v>1</v>
      </c>
      <c r="AR252" s="797" t="str">
        <f>IF(AL252&lt;&gt;"A","",IFERROR(IFERROR(_xlfn.XLOOKUP(TRIM(SUBSTITUTE(Z252,CHAR(160)," ")),BP16:BP63,BS16:BS63),IFERROR(_xlfn.XLOOKUP(TRIM(SUBSTITUTE(Z252,CHAR(160)," ")),BQ16:BQ63,BS16:BS63),_xlfn.XLOOKUP(TRIM(SUBSTITUTE(Z252,CHAR(160)," ")),BR16:BR63,BS16:BS63)))*Y252*IF(ISBLANK(V252),1,V252),0))</f>
        <v/>
      </c>
      <c r="AS252" s="784" t="str">
        <f t="shared" si="112"/>
        <v/>
      </c>
      <c r="AT252" s="1315" t="str">
        <f t="shared" si="123"/>
        <v/>
      </c>
      <c r="AU252" s="785">
        <f t="shared" si="124"/>
        <v>0</v>
      </c>
      <c r="AV252" s="785">
        <f t="shared" si="125"/>
        <v>0</v>
      </c>
      <c r="AW252" s="798">
        <f>IF(AK252="A",AY10,0)</f>
        <v>0</v>
      </c>
      <c r="AX252" s="5496" t="str">
        <f>IF(IFERROR(SEARCH("Adresse PC",TRIM(W252)),0)&gt;0,"▼ receta siguiente",IF(AK252="A",IF(AZ10&lt;&gt;"",AZ10&amp;" - ou.or.o ❾ + or - &gt;",""),""))</f>
        <v/>
      </c>
      <c r="AY252" s="810"/>
      <c r="AZ252" s="810"/>
      <c r="BA252" s="799" t="str">
        <f t="shared" si="115"/>
        <v/>
      </c>
      <c r="BB252" s="800" t="str">
        <f>IF(AK252="A",IF(AQ252,IF(AND(AW252&lt;&gt;"",N(AW252)&gt;0),IFERROR(IFERROR(_xlfn.XLOOKUP(AP252,BP10:BP57,BT10:BT57),IFERROR(_xlfn.XLOOKUP(AP252,BQ10:BQ57,BT10:BT57),_xlfn.XLOOKUP(AP252,BR10:BR57,BT10:BT57,""))),""),""),""),"")</f>
        <v/>
      </c>
      <c r="BC252" s="813" t="str" cm="1">
        <f t="array" ref="BC252">IF(NOT(AQ252),0,IF(OR(BA252="",N(BA252)&lt;=0.000000001),"",IF(OR(AU252="",N(AU252)&lt;=0.000000001),0,IF(ISNUMBER(BA252),IFERROR(_xlfn.LET(_xlpm.ai_test,TRIM(AP252),_xlpm.r,IFERROR(_xlfn.XLOOKUP(_xlpm.ai_test,BP16:BP63,ROW(BP16:BP63),0,1),IFERROR(_xlfn.XLOOKUP(_xlpm.ai_test,BQ16:BQ63,ROW(BQ16:BQ63),0,1),_xlfn.XLOOKUP(_xlpm.ai_test,BR16:BR63,ROW(BR16:BR63),0,1))),_xlpm.p,_xlpm.r-MIN(ROW(BP16:BP63))+1,_xlpm.f,INDEX(BS16:BS63,_xlpm.p),_xlpm.u,INDEX(BT16:BT63,_xlpm.p),_xlpm.s,INDEX(BV16:BV63,_xlpm.p),_xlpm.q,N(BA252)/_xlpm.f,IF(_xlpm.q&gt;=_xlpm.s,ROUND(_xlpm.q,1)&amp;" "&amp;_xlpm.ai_test&amp;" = "&amp;ROUND(_xlpm.q*_xlpm.f,1)&amp;" "&amp;_xlpm.u,ROUND(_xlpm.q,1)&amp;" "&amp;_xlpm.ai_test)),""),""))))</f>
        <v/>
      </c>
      <c r="BD252" s="801"/>
      <c r="BE252" s="799" t="str">
        <f t="shared" si="126"/>
        <v/>
      </c>
      <c r="BF252" s="800" t="str">
        <f t="shared" si="132"/>
        <v/>
      </c>
      <c r="BG252" s="802">
        <f t="shared" si="133"/>
        <v>0</v>
      </c>
      <c r="BH252" s="803" t="str">
        <f t="shared" si="134"/>
        <v/>
      </c>
      <c r="BI252" s="792"/>
      <c r="BJ252" s="804">
        <f t="shared" si="135"/>
        <v>0</v>
      </c>
      <c r="BK252" s="794" t="str">
        <f t="shared" si="127"/>
        <v/>
      </c>
      <c r="BL252" s="227" t="s">
        <v>21</v>
      </c>
      <c r="BM252" s="773">
        <f t="shared" si="117"/>
        <v>0</v>
      </c>
      <c r="BN252" s="774">
        <f t="shared" si="118"/>
        <v>0</v>
      </c>
      <c r="BO252"/>
      <c r="BX252"/>
      <c r="BY252"/>
      <c r="BZ252"/>
      <c r="CA252"/>
      <c r="CB252"/>
      <c r="CC252"/>
      <c r="CD252" s="781" t="str">
        <f t="shared" si="113"/>
        <v>►</v>
      </c>
      <c r="CE252"/>
      <c r="CF252"/>
      <c r="CG252"/>
      <c r="CH252"/>
      <c r="CI252"/>
      <c r="CJ252" s="633"/>
      <c r="CK252"/>
      <c r="CL252"/>
      <c r="CM252"/>
      <c r="CN252"/>
      <c r="CO252"/>
      <c r="CP252"/>
      <c r="CQ252"/>
      <c r="CS252"/>
      <c r="CT252"/>
      <c r="CU252"/>
      <c r="CV252"/>
      <c r="CW252"/>
      <c r="CX252"/>
      <c r="CY252"/>
      <c r="DA252"/>
      <c r="DB252"/>
      <c r="DC252"/>
      <c r="DD252"/>
      <c r="DE252"/>
      <c r="DF252"/>
      <c r="DG252"/>
      <c r="DI252" s="3">
        <v>1</v>
      </c>
    </row>
    <row r="253" spans="1:113" s="627" customFormat="1" ht="21" customHeight="1">
      <c r="A253" s="701" t="s">
        <v>21</v>
      </c>
      <c r="B253" s="2265" t="str" cm="1">
        <f t="array" ref="B253">SUMPRODUCT(--(D253:J253&lt;&gt;""), LEN(TRIM(SUBSTITUTE(D253:J253, CHAR(160), "")))) &amp; " Car."</f>
        <v>0 Car.</v>
      </c>
      <c r="C253" s="1376" t="str">
        <f>IF(ISBLANK(D253),"",LARGE(C13:C252,1)+1)</f>
        <v/>
      </c>
      <c r="D253" s="1833"/>
      <c r="E253" s="1810"/>
      <c r="F253" s="1810"/>
      <c r="G253" s="1810"/>
      <c r="H253" s="1810"/>
      <c r="I253" s="1810"/>
      <c r="J253" s="1810"/>
      <c r="K253" s="1810"/>
      <c r="L253" s="1811"/>
      <c r="M253" s="9"/>
      <c r="N253" s="25" t="str">
        <f t="shared" si="114"/>
        <v>A</v>
      </c>
      <c r="O253" s="1616"/>
      <c r="P253" s="9"/>
      <c r="Q253" s="25" t="s">
        <v>10</v>
      </c>
      <c r="R253" s="31" t="str">
        <f>R215</f>
        <v>M MILLE-FEUILLE meringue et chiboust pamplemousse aux fraises des bois | collez la--FAMILLE| Auteur &gt; recette Béghin Say de Jean-Jacques Borne MOF 1994</v>
      </c>
      <c r="S253" s="32">
        <f>S215</f>
        <v>18</v>
      </c>
      <c r="T253" s="31" t="str">
        <f>T215</f>
        <v>desserts</v>
      </c>
      <c r="U253" s="33" t="str">
        <f>U215</f>
        <v>Recette mère ► MILLE-FEUILLE  aux fraises des bois</v>
      </c>
      <c r="V253" s="690">
        <v>2.835E-2</v>
      </c>
      <c r="W253" s="691">
        <v>0.13</v>
      </c>
      <c r="X253" s="692">
        <v>0</v>
      </c>
      <c r="Y253" s="691">
        <v>0.2</v>
      </c>
      <c r="Z253" s="691">
        <v>0.23</v>
      </c>
      <c r="AA253" s="691">
        <v>0.22500000000000001</v>
      </c>
      <c r="AB253" s="692">
        <v>0</v>
      </c>
      <c r="AC253" s="1882">
        <v>0.35</v>
      </c>
      <c r="AD253" s="1882">
        <v>5.0000000000000001E-3</v>
      </c>
      <c r="AE253" s="1882">
        <v>5.0000000000000001E-3</v>
      </c>
      <c r="AF253" s="1882">
        <v>1.4999999999999999E-2</v>
      </c>
      <c r="AG253" s="1882">
        <v>0.1</v>
      </c>
      <c r="AH253" s="1882">
        <v>0.22500000000000001</v>
      </c>
      <c r="AI253" s="1882">
        <v>4.0000000000000001E-3</v>
      </c>
      <c r="AJ253" s="1985">
        <v>1E-3</v>
      </c>
      <c r="AK253" s="6120" t="str">
        <f t="shared" si="128"/>
        <v>►</v>
      </c>
      <c r="AL253" s="781" t="str">
        <f t="shared" si="116"/>
        <v>►</v>
      </c>
      <c r="AM253" s="5499" t="str">
        <f t="shared" si="119"/>
        <v/>
      </c>
      <c r="AN253" s="783" t="str">
        <f t="shared" si="120"/>
        <v/>
      </c>
      <c r="AO253" s="782" t="str">
        <f t="shared" si="121"/>
        <v/>
      </c>
      <c r="AP253" s="783" t="str">
        <f t="shared" si="122"/>
        <v/>
      </c>
      <c r="AQ253" s="2083" t="b">
        <f>AND(Q253="A",COUNTIF(BP16:BR63,TRIM(Z253))&gt;0)</f>
        <v>0</v>
      </c>
      <c r="AR253" s="797" t="str">
        <f>IF(AL253&lt;&gt;"A","",IFERROR(IFERROR(_xlfn.XLOOKUP(TRIM(SUBSTITUTE(Z253,CHAR(160)," ")),BP16:BP63,BS16:BS63),IFERROR(_xlfn.XLOOKUP(TRIM(SUBSTITUTE(Z253,CHAR(160)," ")),BQ16:BQ63,BS16:BS63),_xlfn.XLOOKUP(TRIM(SUBSTITUTE(Z253,CHAR(160)," ")),BR16:BR63,BS16:BS63)))*Y253*IF(ISBLANK(V253),1,V253),0))</f>
        <v/>
      </c>
      <c r="AS253" s="784" t="str">
        <f t="shared" si="112"/>
        <v/>
      </c>
      <c r="AT253" s="1315" t="str">
        <f t="shared" si="123"/>
        <v/>
      </c>
      <c r="AU253" s="785">
        <f t="shared" si="124"/>
        <v>0</v>
      </c>
      <c r="AV253" s="785">
        <f t="shared" si="125"/>
        <v>0</v>
      </c>
      <c r="AW253" s="786">
        <f>IF(AK253="A",AY10,0)</f>
        <v>0</v>
      </c>
      <c r="AX253" s="5495" t="str">
        <f>IF(IFERROR(SEARCH("Adresse PC",TRIM(W253)),0)&gt;0,"▼ receta siguiente",IF(AK253="A",IF(AZ10&lt;&gt;"",AZ10&amp;" - ou.or.o ❾ + or - &gt;",""),""))</f>
        <v/>
      </c>
      <c r="AY253" s="810"/>
      <c r="AZ253" s="810"/>
      <c r="BA253" s="788" t="str">
        <f t="shared" si="115"/>
        <v/>
      </c>
      <c r="BB253" s="789" t="str">
        <f>IF(AK253="A",IF(AQ253,IF(AND(AW253&lt;&gt;"",N(AW253)&gt;0),IFERROR(IFERROR(_xlfn.XLOOKUP(AP253,BP10:BP57,BT10:BT57),IFERROR(_xlfn.XLOOKUP(AP253,BQ10:BQ57,BT10:BT57),_xlfn.XLOOKUP(AP253,BR10:BR57,BT10:BT57,""))),""),""),""),"")</f>
        <v/>
      </c>
      <c r="BC253" s="811" cm="1">
        <f t="array" ref="BC253">IF(NOT(AQ253),0,IF(OR(BA253="",N(BA253)&lt;=0.000000001),"",IF(OR(AU253="",N(AU253)&lt;=0.000000001),0,IF(ISNUMBER(BA253),IFERROR(_xlfn.LET(_xlpm.ai_test,TRIM(AP253),_xlpm.r,IFERROR(_xlfn.XLOOKUP(_xlpm.ai_test,BP16:BP63,ROW(BP16:BP63),0,1),IFERROR(_xlfn.XLOOKUP(_xlpm.ai_test,BQ16:BQ63,ROW(BQ16:BQ63),0,1),_xlfn.XLOOKUP(_xlpm.ai_test,BR16:BR63,ROW(BR16:BR63),0,1))),_xlpm.p,_xlpm.r-MIN(ROW(BP16:BP63))+1,_xlpm.f,INDEX(BS16:BS63,_xlpm.p),_xlpm.u,INDEX(BT16:BT63,_xlpm.p),_xlpm.s,INDEX(BV16:BV63,_xlpm.p),_xlpm.q,N(BA253)/_xlpm.f,IF(_xlpm.q&gt;=_xlpm.s,ROUND(_xlpm.q,1)&amp;" "&amp;_xlpm.ai_test&amp;" = "&amp;ROUND(_xlpm.q*_xlpm.f,1)&amp;" "&amp;_xlpm.u,ROUND(_xlpm.q,1)&amp;" "&amp;_xlpm.ai_test)),""),""))))</f>
        <v>0</v>
      </c>
      <c r="BD253" s="801"/>
      <c r="BE253" s="788" t="str">
        <f t="shared" si="126"/>
        <v/>
      </c>
      <c r="BF253" s="789" t="str">
        <f t="shared" si="132"/>
        <v/>
      </c>
      <c r="BG253" s="790">
        <f t="shared" si="133"/>
        <v>0</v>
      </c>
      <c r="BH253" s="791" t="str">
        <f t="shared" si="134"/>
        <v/>
      </c>
      <c r="BI253" s="792"/>
      <c r="BJ253" s="793">
        <f t="shared" si="135"/>
        <v>0</v>
      </c>
      <c r="BK253" s="794" t="str">
        <f t="shared" si="127"/>
        <v/>
      </c>
      <c r="BL253" s="227" t="s">
        <v>21</v>
      </c>
      <c r="BM253" s="773">
        <f t="shared" si="117"/>
        <v>0</v>
      </c>
      <c r="BN253" s="774">
        <f t="shared" si="118"/>
        <v>0</v>
      </c>
      <c r="BO253"/>
      <c r="BX253"/>
      <c r="BY253"/>
      <c r="BZ253"/>
      <c r="CA253"/>
      <c r="CB253"/>
      <c r="CC253"/>
      <c r="CD253" s="781" t="str">
        <f t="shared" si="113"/>
        <v>►</v>
      </c>
      <c r="CE253"/>
      <c r="CF253"/>
      <c r="CG253"/>
      <c r="CH253"/>
      <c r="CI253"/>
      <c r="CJ253" s="633"/>
      <c r="CK253"/>
      <c r="CL253"/>
      <c r="CM253"/>
      <c r="CN253"/>
      <c r="CO253"/>
      <c r="CP253"/>
      <c r="CQ253"/>
      <c r="CS253"/>
      <c r="CT253"/>
      <c r="CU253"/>
      <c r="CV253"/>
      <c r="CW253"/>
      <c r="CX253"/>
      <c r="CY253"/>
      <c r="DA253"/>
      <c r="DB253"/>
      <c r="DC253"/>
      <c r="DD253"/>
      <c r="DE253"/>
      <c r="DF253"/>
      <c r="DG253"/>
      <c r="DI253" s="3">
        <v>1</v>
      </c>
    </row>
    <row r="254" spans="1:113" s="627" customFormat="1" ht="21" customHeight="1">
      <c r="A254" s="701" t="s">
        <v>21</v>
      </c>
      <c r="B254" s="2265" t="str" cm="1">
        <f t="array" ref="B254">SUMPRODUCT(--(D254:J254&lt;&gt;""), LEN(TRIM(SUBSTITUTE(D254:J254, CHAR(160), "")))) &amp; " Car."</f>
        <v>0 Car.</v>
      </c>
      <c r="C254" s="1376" t="str">
        <f>IF(ISBLANK(D254),"",LARGE(C13:C253,1)+1)</f>
        <v/>
      </c>
      <c r="D254" s="1833"/>
      <c r="E254" s="1810"/>
      <c r="F254" s="1810"/>
      <c r="G254" s="1810"/>
      <c r="H254" s="1810"/>
      <c r="I254" s="1810"/>
      <c r="J254" s="1810"/>
      <c r="K254" s="1810"/>
      <c r="L254" s="1811"/>
      <c r="M254" s="9"/>
      <c r="N254" s="25" t="str">
        <f t="shared" si="114"/>
        <v>►</v>
      </c>
      <c r="O254" s="1616"/>
      <c r="P254" s="9"/>
      <c r="Q254" s="25" t="s">
        <v>15</v>
      </c>
      <c r="R254" s="5563" t="str">
        <f t="shared" ref="R254:AJ254" si="136">SUBSTITUTE(ADDRESS(1,COLUMN(),4),"1","")</f>
        <v>R</v>
      </c>
      <c r="S254" s="5563" t="str">
        <f t="shared" si="136"/>
        <v>S</v>
      </c>
      <c r="T254" s="5563" t="str">
        <f t="shared" si="136"/>
        <v>T</v>
      </c>
      <c r="U254" s="5563" t="str">
        <f t="shared" si="136"/>
        <v>U</v>
      </c>
      <c r="V254" s="5563" t="str">
        <f t="shared" si="136"/>
        <v>V</v>
      </c>
      <c r="W254" s="5563" t="str">
        <f t="shared" si="136"/>
        <v>W</v>
      </c>
      <c r="X254" s="5563" t="str">
        <f t="shared" si="136"/>
        <v>X</v>
      </c>
      <c r="Y254" s="5563" t="str">
        <f t="shared" si="136"/>
        <v>Y</v>
      </c>
      <c r="Z254" s="5563" t="str">
        <f t="shared" si="136"/>
        <v>Z</v>
      </c>
      <c r="AA254" s="5563" t="str">
        <f t="shared" si="136"/>
        <v>AA</v>
      </c>
      <c r="AB254" s="5603" t="str">
        <f t="shared" si="136"/>
        <v>AB</v>
      </c>
      <c r="AC254" s="5563" t="str">
        <f t="shared" si="136"/>
        <v>AC</v>
      </c>
      <c r="AD254" s="5563" t="str">
        <f t="shared" si="136"/>
        <v>AD</v>
      </c>
      <c r="AE254" s="5563" t="str">
        <f t="shared" si="136"/>
        <v>AE</v>
      </c>
      <c r="AF254" s="5563" t="str">
        <f t="shared" si="136"/>
        <v>AF</v>
      </c>
      <c r="AG254" s="6003" t="str">
        <f t="shared" si="136"/>
        <v>AG</v>
      </c>
      <c r="AH254" s="5563" t="str">
        <f t="shared" si="136"/>
        <v>AH</v>
      </c>
      <c r="AI254" s="5563" t="str">
        <f t="shared" si="136"/>
        <v>AI</v>
      </c>
      <c r="AJ254" s="6002" t="str">
        <f t="shared" si="136"/>
        <v>AJ</v>
      </c>
      <c r="AK254" s="6120" t="str">
        <f t="shared" si="128"/>
        <v>►</v>
      </c>
      <c r="AL254" s="781" t="str">
        <f t="shared" si="116"/>
        <v>►</v>
      </c>
      <c r="AM254" s="5498" t="str">
        <f t="shared" si="119"/>
        <v/>
      </c>
      <c r="AN254" s="783" t="str">
        <f t="shared" si="120"/>
        <v/>
      </c>
      <c r="AO254" s="782" t="str">
        <f t="shared" si="121"/>
        <v/>
      </c>
      <c r="AP254" s="783" t="str">
        <f t="shared" si="122"/>
        <v/>
      </c>
      <c r="AQ254" s="2083" t="b">
        <f>AND(Q254="A",COUNTIF(BP16:BR63,TRIM(Z254))&gt;0)</f>
        <v>0</v>
      </c>
      <c r="AR254" s="797" t="str">
        <f>IF(AL254&lt;&gt;"A","",IFERROR(IFERROR(_xlfn.XLOOKUP(TRIM(SUBSTITUTE(Z254,CHAR(160)," ")),BP16:BP63,BS16:BS63),IFERROR(_xlfn.XLOOKUP(TRIM(SUBSTITUTE(Z254,CHAR(160)," ")),BQ16:BQ63,BS16:BS63),_xlfn.XLOOKUP(TRIM(SUBSTITUTE(Z254,CHAR(160)," ")),BR16:BR63,BS16:BS63)))*Y254*IF(ISBLANK(V254),1,V254),0))</f>
        <v/>
      </c>
      <c r="AS254" s="784" t="str">
        <f t="shared" si="112"/>
        <v/>
      </c>
      <c r="AT254" s="1315" t="str">
        <f t="shared" si="123"/>
        <v/>
      </c>
      <c r="AU254" s="785">
        <f t="shared" si="124"/>
        <v>0</v>
      </c>
      <c r="AV254" s="785">
        <f t="shared" si="125"/>
        <v>0</v>
      </c>
      <c r="AW254" s="798">
        <f>IF(AK254="A",AY10,0)</f>
        <v>0</v>
      </c>
      <c r="AX254" s="5496" t="str">
        <f>IF(IFERROR(SEARCH("Adresse PC",TRIM(W254)),0)&gt;0,"▼ receta siguiente",IF(AK254="A",IF(AZ10&lt;&gt;"",AZ10&amp;" - ou.or.o ❾ + or - &gt;",""),""))</f>
        <v/>
      </c>
      <c r="AY254" s="810"/>
      <c r="AZ254" s="810"/>
      <c r="BA254" s="799" t="str">
        <f t="shared" si="115"/>
        <v/>
      </c>
      <c r="BB254" s="800" t="str">
        <f>IF(AK254="A",IF(AQ254,IF(AND(AW254&lt;&gt;"",N(AW254)&gt;0),IFERROR(IFERROR(_xlfn.XLOOKUP(AP254,BP10:BP57,BT10:BT57),IFERROR(_xlfn.XLOOKUP(AP254,BQ10:BQ57,BT10:BT57),_xlfn.XLOOKUP(AP254,BR10:BR57,BT10:BT57,""))),""),""),""),"")</f>
        <v/>
      </c>
      <c r="BC254" s="813" cm="1">
        <f t="array" ref="BC254">IF(NOT(AQ254),0,IF(OR(BA254="",N(BA254)&lt;=0.000000001),"",IF(OR(AU254="",N(AU254)&lt;=0.000000001),0,IF(ISNUMBER(BA254),IFERROR(_xlfn.LET(_xlpm.ai_test,TRIM(AP254),_xlpm.r,IFERROR(_xlfn.XLOOKUP(_xlpm.ai_test,BP16:BP63,ROW(BP16:BP63),0,1),IFERROR(_xlfn.XLOOKUP(_xlpm.ai_test,BQ16:BQ63,ROW(BQ16:BQ63),0,1),_xlfn.XLOOKUP(_xlpm.ai_test,BR16:BR63,ROW(BR16:BR63),0,1))),_xlpm.p,_xlpm.r-MIN(ROW(BP16:BP63))+1,_xlpm.f,INDEX(BS16:BS63,_xlpm.p),_xlpm.u,INDEX(BT16:BT63,_xlpm.p),_xlpm.s,INDEX(BV16:BV63,_xlpm.p),_xlpm.q,N(BA254)/_xlpm.f,IF(_xlpm.q&gt;=_xlpm.s,ROUND(_xlpm.q,1)&amp;" "&amp;_xlpm.ai_test&amp;" = "&amp;ROUND(_xlpm.q*_xlpm.f,1)&amp;" "&amp;_xlpm.u,ROUND(_xlpm.q,1)&amp;" "&amp;_xlpm.ai_test)),""),""))))</f>
        <v>0</v>
      </c>
      <c r="BD254" s="801"/>
      <c r="BE254" s="799" t="str">
        <f t="shared" si="126"/>
        <v/>
      </c>
      <c r="BF254" s="800" t="str">
        <f t="shared" si="132"/>
        <v/>
      </c>
      <c r="BG254" s="802">
        <f t="shared" si="133"/>
        <v>0</v>
      </c>
      <c r="BH254" s="803" t="str">
        <f t="shared" si="134"/>
        <v/>
      </c>
      <c r="BI254" s="792"/>
      <c r="BJ254" s="804">
        <f t="shared" si="135"/>
        <v>0</v>
      </c>
      <c r="BK254" s="794" t="str">
        <f t="shared" si="127"/>
        <v/>
      </c>
      <c r="BL254" s="227" t="s">
        <v>21</v>
      </c>
      <c r="BM254" s="773">
        <f t="shared" si="117"/>
        <v>0</v>
      </c>
      <c r="BN254" s="774">
        <f t="shared" si="118"/>
        <v>0</v>
      </c>
      <c r="BO254"/>
      <c r="BX254"/>
      <c r="BY254"/>
      <c r="BZ254"/>
      <c r="CA254"/>
      <c r="CB254"/>
      <c r="CC254"/>
      <c r="CD254" s="781" t="str">
        <f t="shared" si="113"/>
        <v>►</v>
      </c>
      <c r="CE254"/>
      <c r="CF254"/>
      <c r="CG254"/>
      <c r="CH254"/>
      <c r="CI254"/>
      <c r="CJ254" s="633"/>
      <c r="CK254"/>
      <c r="CL254"/>
      <c r="CM254"/>
      <c r="CN254"/>
      <c r="CO254"/>
      <c r="CP254"/>
      <c r="CQ254"/>
      <c r="CS254"/>
      <c r="CT254"/>
      <c r="CU254"/>
      <c r="CV254"/>
      <c r="CW254"/>
      <c r="CX254"/>
      <c r="CY254"/>
      <c r="DA254"/>
      <c r="DB254"/>
      <c r="DC254"/>
      <c r="DD254"/>
      <c r="DE254"/>
      <c r="DF254"/>
      <c r="DG254"/>
      <c r="DI254" s="3">
        <v>1</v>
      </c>
    </row>
    <row r="255" spans="1:113" s="627" customFormat="1" ht="21" customHeight="1">
      <c r="A255" s="701" t="s">
        <v>21</v>
      </c>
      <c r="B255" s="2265" t="str" cm="1">
        <f t="array" ref="B255">SUMPRODUCT(--(D255:J255&lt;&gt;""), LEN(TRIM(SUBSTITUTE(D255:J255, CHAR(160), "")))) &amp; " Car."</f>
        <v>0 Car.</v>
      </c>
      <c r="C255" s="1376" t="str">
        <f>IF(ISBLANK(D255),"",LARGE(C13:C254,1)+1)</f>
        <v/>
      </c>
      <c r="D255" s="1833"/>
      <c r="E255" s="1810"/>
      <c r="F255" s="1810"/>
      <c r="G255" s="1810"/>
      <c r="H255" s="1810"/>
      <c r="I255" s="1810"/>
      <c r="J255" s="1810"/>
      <c r="K255" s="1810"/>
      <c r="L255" s="1811"/>
      <c r="M255" s="9"/>
      <c r="N255" s="25" t="str">
        <f t="shared" si="114"/>
        <v>A</v>
      </c>
      <c r="O255" s="1616"/>
      <c r="P255" s="9"/>
      <c r="Q255" s="25" t="s">
        <v>10</v>
      </c>
      <c r="R255" s="5601">
        <f t="shared" ref="R255:AJ255" ca="1" si="137">CELL("largeur",R255)</f>
        <v>3</v>
      </c>
      <c r="S255" s="5601">
        <f t="shared" ca="1" si="137"/>
        <v>3</v>
      </c>
      <c r="T255" s="5601">
        <f t="shared" ca="1" si="137"/>
        <v>3</v>
      </c>
      <c r="U255" s="5601">
        <f t="shared" ca="1" si="137"/>
        <v>5</v>
      </c>
      <c r="V255" s="5601">
        <f t="shared" ca="1" si="137"/>
        <v>12</v>
      </c>
      <c r="W255" s="5601">
        <f t="shared" ca="1" si="137"/>
        <v>12</v>
      </c>
      <c r="X255" s="5601">
        <f t="shared" ca="1" si="137"/>
        <v>3</v>
      </c>
      <c r="Y255" s="5601">
        <f t="shared" ca="1" si="137"/>
        <v>9</v>
      </c>
      <c r="Z255" s="5601">
        <f t="shared" ca="1" si="137"/>
        <v>12</v>
      </c>
      <c r="AA255" s="5601">
        <f t="shared" ca="1" si="137"/>
        <v>13</v>
      </c>
      <c r="AB255" s="5604">
        <f t="shared" ca="1" si="137"/>
        <v>6</v>
      </c>
      <c r="AC255" s="5602">
        <f t="shared" ca="1" si="137"/>
        <v>40</v>
      </c>
      <c r="AD255" s="5602">
        <f t="shared" ca="1" si="137"/>
        <v>10</v>
      </c>
      <c r="AE255" s="5602">
        <f t="shared" ca="1" si="137"/>
        <v>9</v>
      </c>
      <c r="AF255" s="5602">
        <f t="shared" ca="1" si="137"/>
        <v>11</v>
      </c>
      <c r="AG255" s="5604">
        <f t="shared" ca="1" si="137"/>
        <v>13</v>
      </c>
      <c r="AH255" s="5602">
        <f t="shared" ca="1" si="137"/>
        <v>13</v>
      </c>
      <c r="AI255" s="5602">
        <f t="shared" ca="1" si="137"/>
        <v>13</v>
      </c>
      <c r="AJ255" s="6001">
        <f t="shared" ca="1" si="137"/>
        <v>17</v>
      </c>
      <c r="AK255" s="6120" t="str">
        <f t="shared" ca="1" si="128"/>
        <v>►</v>
      </c>
      <c r="AL255" s="781" t="str">
        <f t="shared" ca="1" si="116"/>
        <v>►</v>
      </c>
      <c r="AM255" s="5499" t="str">
        <f t="shared" ca="1" si="119"/>
        <v/>
      </c>
      <c r="AN255" s="783" t="str">
        <f t="shared" ca="1" si="120"/>
        <v/>
      </c>
      <c r="AO255" s="782" t="str">
        <f t="shared" ca="1" si="121"/>
        <v/>
      </c>
      <c r="AP255" s="783" t="str">
        <f t="shared" ca="1" si="122"/>
        <v/>
      </c>
      <c r="AQ255" s="2083" t="b">
        <f ca="1">AND(Q255="A",COUNTIF(BP16:BR63,TRIM(Z255))&gt;0)</f>
        <v>0</v>
      </c>
      <c r="AR255" s="797" t="str">
        <f ca="1">IF(AL255&lt;&gt;"A","",IFERROR(IFERROR(_xlfn.XLOOKUP(TRIM(SUBSTITUTE(Z255,CHAR(160)," ")),BP16:BP63,BS16:BS63),IFERROR(_xlfn.XLOOKUP(TRIM(SUBSTITUTE(Z255,CHAR(160)," ")),BQ16:BQ63,BS16:BS63),_xlfn.XLOOKUP(TRIM(SUBSTITUTE(Z255,CHAR(160)," ")),BR16:BR63,BS16:BS63)))*Y255*IF(ISBLANK(V255),1,V255),0))</f>
        <v/>
      </c>
      <c r="AS255" s="784" t="str">
        <f t="shared" ca="1" si="112"/>
        <v/>
      </c>
      <c r="AT255" s="1315" t="str">
        <f t="shared" ca="1" si="123"/>
        <v/>
      </c>
      <c r="AU255" s="785">
        <f t="shared" ca="1" si="124"/>
        <v>0</v>
      </c>
      <c r="AV255" s="785">
        <f t="shared" ca="1" si="125"/>
        <v>0</v>
      </c>
      <c r="AW255" s="786">
        <f ca="1">IF(AK255="A",AY10,0)</f>
        <v>0</v>
      </c>
      <c r="AX255" s="5495" t="str">
        <f ca="1">IF(IFERROR(SEARCH("Adresse PC",TRIM(W255)),0)&gt;0,"▼ receta siguiente",IF(AK255="A",IF(AZ10&lt;&gt;"",AZ10&amp;" - ou.or.o ❾ + or - &gt;",""),""))</f>
        <v/>
      </c>
      <c r="AY255" s="810"/>
      <c r="AZ255" s="810"/>
      <c r="BA255" s="788" t="str">
        <f t="shared" ca="1" si="115"/>
        <v/>
      </c>
      <c r="BB255" s="789" t="str">
        <f ca="1">IF(AK255="A",IF(AQ255,IF(AND(AW255&lt;&gt;"",N(AW255)&gt;0),IFERROR(IFERROR(_xlfn.XLOOKUP(AP255,BP10:BP57,BT10:BT57),IFERROR(_xlfn.XLOOKUP(AP255,BQ10:BQ57,BT10:BT57),_xlfn.XLOOKUP(AP255,BR10:BR57,BT10:BT57,""))),""),""),""),"")</f>
        <v/>
      </c>
      <c r="BC255" s="811" cm="1">
        <f t="array" aca="1" ref="BC255" ca="1">IF(NOT(AQ255),0,IF(OR(BA255="",N(BA255)&lt;=0.000000001),"",IF(OR(AU255="",N(AU255)&lt;=0.000000001),0,IF(ISNUMBER(BA255),IFERROR(_xlfn.LET(_xlpm.ai_test,TRIM(AP255),_xlpm.r,IFERROR(_xlfn.XLOOKUP(_xlpm.ai_test,BP16:BP63,ROW(BP16:BP63),0,1),IFERROR(_xlfn.XLOOKUP(_xlpm.ai_test,BQ16:BQ63,ROW(BQ16:BQ63),0,1),_xlfn.XLOOKUP(_xlpm.ai_test,BR16:BR63,ROW(BR16:BR63),0,1))),_xlpm.p,_xlpm.r-MIN(ROW(BP16:BP63))+1,_xlpm.f,INDEX(BS16:BS63,_xlpm.p),_xlpm.u,INDEX(BT16:BT63,_xlpm.p),_xlpm.s,INDEX(BV16:BV63,_xlpm.p),_xlpm.q,N(BA255)/_xlpm.f,IF(_xlpm.q&gt;=_xlpm.s,ROUND(_xlpm.q,1)&amp;" "&amp;_xlpm.ai_test&amp;" = "&amp;ROUND(_xlpm.q*_xlpm.f,1)&amp;" "&amp;_xlpm.u,ROUND(_xlpm.q,1)&amp;" "&amp;_xlpm.ai_test)),""),""))))</f>
        <v>0</v>
      </c>
      <c r="BD255" s="801"/>
      <c r="BE255" s="788" t="str">
        <f t="shared" ca="1" si="126"/>
        <v/>
      </c>
      <c r="BF255" s="789" t="str">
        <f t="shared" ca="1" si="132"/>
        <v/>
      </c>
      <c r="BG255" s="790">
        <f t="shared" ca="1" si="133"/>
        <v>0</v>
      </c>
      <c r="BH255" s="791" t="str">
        <f t="shared" ca="1" si="134"/>
        <v/>
      </c>
      <c r="BI255" s="792"/>
      <c r="BJ255" s="793">
        <f t="shared" ca="1" si="135"/>
        <v>0</v>
      </c>
      <c r="BK255" s="794" t="str">
        <f t="shared" ca="1" si="127"/>
        <v/>
      </c>
      <c r="BL255" s="227" t="s">
        <v>21</v>
      </c>
      <c r="BM255" s="773">
        <f t="shared" ca="1" si="117"/>
        <v>0</v>
      </c>
      <c r="BN255" s="774">
        <f t="shared" ca="1" si="118"/>
        <v>0</v>
      </c>
      <c r="BO255"/>
      <c r="BX255"/>
      <c r="BY255"/>
      <c r="BZ255"/>
      <c r="CA255"/>
      <c r="CB255"/>
      <c r="CC255"/>
      <c r="CD255" s="781" t="str">
        <f t="shared" ca="1" si="113"/>
        <v>►</v>
      </c>
      <c r="CE255"/>
      <c r="CF255"/>
      <c r="CG255"/>
      <c r="CH255"/>
      <c r="CI255"/>
      <c r="CJ255" s="633"/>
      <c r="CK255"/>
      <c r="CL255"/>
      <c r="CM255"/>
      <c r="CN255"/>
      <c r="CO255"/>
      <c r="CP255"/>
      <c r="CQ255"/>
      <c r="CS255"/>
      <c r="CT255"/>
      <c r="CU255"/>
      <c r="CV255"/>
      <c r="CW255"/>
      <c r="CX255"/>
      <c r="CY255"/>
      <c r="DA255"/>
      <c r="DB255"/>
      <c r="DC255"/>
      <c r="DD255"/>
      <c r="DE255"/>
      <c r="DF255"/>
      <c r="DG255"/>
      <c r="DI255" s="3">
        <v>1</v>
      </c>
    </row>
    <row r="256" spans="1:113" s="627" customFormat="1" ht="21" customHeight="1">
      <c r="A256" s="701" t="s">
        <v>21</v>
      </c>
      <c r="B256" s="2265" t="str" cm="1">
        <f t="array" ref="B256">SUMPRODUCT(--(D256:J256&lt;&gt;""), LEN(TRIM(SUBSTITUTE(D256:J256, CHAR(160), "")))) &amp; " Car."</f>
        <v>0 Car.</v>
      </c>
      <c r="C256" s="1376" t="str">
        <f>IF(ISBLANK(D256),"",LARGE(C13:C255,1)+1)</f>
        <v/>
      </c>
      <c r="D256" s="1833"/>
      <c r="E256" s="1810"/>
      <c r="F256" s="1810"/>
      <c r="G256" s="1810"/>
      <c r="H256" s="1810"/>
      <c r="I256" s="1810"/>
      <c r="J256" s="1810"/>
      <c r="K256" s="1810"/>
      <c r="L256" s="1811"/>
      <c r="M256" s="9"/>
      <c r="N256" s="162" t="str">
        <f t="shared" si="114"/>
        <v>A</v>
      </c>
      <c r="O256" s="1616"/>
      <c r="P256" s="9"/>
      <c r="Q256" s="162" t="s">
        <v>10</v>
      </c>
      <c r="R256" s="1370" t="str">
        <f>R215</f>
        <v>M MILLE-FEUILLE meringue et chiboust pamplemousse aux fraises des bois | collez la--FAMILLE| Auteur &gt; recette Béghin Say de Jean-Jacques Borne MOF 1994</v>
      </c>
      <c r="S256" s="1348">
        <f>S215</f>
        <v>18</v>
      </c>
      <c r="T256" s="1349" t="str">
        <f>T215</f>
        <v>desserts</v>
      </c>
      <c r="U256" s="1350" t="str">
        <f>U215</f>
        <v>Recette mère ► MILLE-FEUILLE  aux fraises des bois</v>
      </c>
      <c r="V256" s="5997" t="str">
        <f ca="1">"largeur de "&amp;AB254&amp;" à "&amp;AJ254&amp;" = "&amp;SUM(AB255:AJ255)</f>
        <v>largeur de AB à AJ = 132</v>
      </c>
      <c r="W256" s="5998"/>
      <c r="X256" s="1986"/>
      <c r="Y256" s="1986"/>
      <c r="Z256" s="1986"/>
      <c r="AA256" s="1987" t="s">
        <v>8145</v>
      </c>
      <c r="AB256" s="1988" t="s">
        <v>821</v>
      </c>
      <c r="AC256" s="1941"/>
      <c r="AD256" s="5999" t="str">
        <f ca="1">"largeur mini  = "&amp;SUM(AB255:AG255)</f>
        <v>largeur mini  = 89</v>
      </c>
      <c r="AE256" s="6000" t="str">
        <f ca="1">"largeur maxi  = "&amp;SUM(AB255:AJ255)</f>
        <v>largeur maxi  = 132</v>
      </c>
      <c r="AF256" s="1942"/>
      <c r="AG256" s="1942"/>
      <c r="AH256" s="1989"/>
      <c r="AI256" s="1989"/>
      <c r="AJ256" s="1990" t="s">
        <v>218</v>
      </c>
      <c r="AK256" s="6120" t="str">
        <f t="shared" si="128"/>
        <v>►</v>
      </c>
      <c r="AL256" s="781" t="str">
        <f t="shared" si="116"/>
        <v>►</v>
      </c>
      <c r="AM256" s="5498" t="str">
        <f t="shared" si="119"/>
        <v/>
      </c>
      <c r="AN256" s="783" t="str">
        <f t="shared" si="120"/>
        <v/>
      </c>
      <c r="AO256" s="782" t="str">
        <f t="shared" si="121"/>
        <v/>
      </c>
      <c r="AP256" s="783" t="str">
        <f t="shared" si="122"/>
        <v/>
      </c>
      <c r="AQ256" s="2083" t="b">
        <f>AND(Q256="A",COUNTIF(BP16:BR63,TRIM(Z256))&gt;0)</f>
        <v>0</v>
      </c>
      <c r="AR256" s="797" t="str">
        <f>IF(AL256&lt;&gt;"A","",IFERROR(IFERROR(_xlfn.XLOOKUP(TRIM(SUBSTITUTE(Z256,CHAR(160)," ")),BP16:BP63,BS16:BS63),IFERROR(_xlfn.XLOOKUP(TRIM(SUBSTITUTE(Z256,CHAR(160)," ")),BQ16:BQ63,BS16:BS63),_xlfn.XLOOKUP(TRIM(SUBSTITUTE(Z256,CHAR(160)," ")),BR16:BR63,BS16:BS63)))*Y256*IF(ISBLANK(V256),1,V256),0))</f>
        <v/>
      </c>
      <c r="AS256" s="784" t="str">
        <f t="shared" si="112"/>
        <v/>
      </c>
      <c r="AT256" s="1315" t="str">
        <f t="shared" si="123"/>
        <v/>
      </c>
      <c r="AU256" s="785">
        <f t="shared" si="124"/>
        <v>0</v>
      </c>
      <c r="AV256" s="785">
        <f t="shared" si="125"/>
        <v>0</v>
      </c>
      <c r="AW256" s="798">
        <f>IF(AK256="A",AY10,0)</f>
        <v>0</v>
      </c>
      <c r="AX256" s="5496" t="str">
        <f>IF(IFERROR(SEARCH("Adresse PC",TRIM(W256)),0)&gt;0,"▼ receta siguiente",IF(AK256="A",IF(AZ10&lt;&gt;"",AZ10&amp;" - ou.or.o ❾ + or - &gt;",""),""))</f>
        <v/>
      </c>
      <c r="AY256" s="810"/>
      <c r="AZ256" s="810"/>
      <c r="BA256" s="799" t="str">
        <f t="shared" si="115"/>
        <v/>
      </c>
      <c r="BB256" s="800" t="str">
        <f>IF(AK256="A",IF(AQ256,IF(AND(AW256&lt;&gt;"",N(AW256)&gt;0),IFERROR(IFERROR(_xlfn.XLOOKUP(AP256,BP10:BP57,BT10:BT57),IFERROR(_xlfn.XLOOKUP(AP256,BQ10:BQ57,BT10:BT57),_xlfn.XLOOKUP(AP256,BR10:BR57,BT10:BT57,""))),""),""),""),"")</f>
        <v/>
      </c>
      <c r="BC256" s="813" cm="1">
        <f t="array" ref="BC256">IF(NOT(AQ256),0,IF(OR(BA256="",N(BA256)&lt;=0.000000001),"",IF(OR(AU256="",N(AU256)&lt;=0.000000001),0,IF(ISNUMBER(BA256),IFERROR(_xlfn.LET(_xlpm.ai_test,TRIM(AP256),_xlpm.r,IFERROR(_xlfn.XLOOKUP(_xlpm.ai_test,BP16:BP63,ROW(BP16:BP63),0,1),IFERROR(_xlfn.XLOOKUP(_xlpm.ai_test,BQ16:BQ63,ROW(BQ16:BQ63),0,1),_xlfn.XLOOKUP(_xlpm.ai_test,BR16:BR63,ROW(BR16:BR63),0,1))),_xlpm.p,_xlpm.r-MIN(ROW(BP16:BP63))+1,_xlpm.f,INDEX(BS16:BS63,_xlpm.p),_xlpm.u,INDEX(BT16:BT63,_xlpm.p),_xlpm.s,INDEX(BV16:BV63,_xlpm.p),_xlpm.q,N(BA256)/_xlpm.f,IF(_xlpm.q&gt;=_xlpm.s,ROUND(_xlpm.q,1)&amp;" "&amp;_xlpm.ai_test&amp;" = "&amp;ROUND(_xlpm.q*_xlpm.f,1)&amp;" "&amp;_xlpm.u,ROUND(_xlpm.q,1)&amp;" "&amp;_xlpm.ai_test)),""),""))))</f>
        <v>0</v>
      </c>
      <c r="BD256" s="801"/>
      <c r="BE256" s="799" t="str">
        <f t="shared" si="126"/>
        <v/>
      </c>
      <c r="BF256" s="800" t="str">
        <f t="shared" si="132"/>
        <v/>
      </c>
      <c r="BG256" s="802">
        <f t="shared" ca="1" si="133"/>
        <v>0</v>
      </c>
      <c r="BH256" s="803" t="str">
        <f t="shared" ca="1" si="134"/>
        <v/>
      </c>
      <c r="BI256" s="792"/>
      <c r="BJ256" s="804">
        <f t="shared" ca="1" si="135"/>
        <v>0</v>
      </c>
      <c r="BK256" s="794" t="str">
        <f t="shared" si="127"/>
        <v/>
      </c>
      <c r="BL256" s="227" t="s">
        <v>21</v>
      </c>
      <c r="BM256" s="773">
        <f t="shared" ca="1" si="117"/>
        <v>0</v>
      </c>
      <c r="BN256" s="774">
        <f t="shared" si="118"/>
        <v>0</v>
      </c>
      <c r="BO256"/>
      <c r="BX256"/>
      <c r="BY256"/>
      <c r="BZ256"/>
      <c r="CA256"/>
      <c r="CB256"/>
      <c r="CC256"/>
      <c r="CD256" s="781" t="str">
        <f t="shared" si="113"/>
        <v>►</v>
      </c>
      <c r="CE256"/>
      <c r="CF256"/>
      <c r="CG256"/>
      <c r="CH256"/>
      <c r="CI256"/>
      <c r="CJ256" s="633"/>
      <c r="CK256"/>
      <c r="CL256"/>
      <c r="CM256"/>
      <c r="CN256"/>
      <c r="CO256"/>
      <c r="CP256"/>
      <c r="CQ256"/>
      <c r="CS256"/>
      <c r="CT256"/>
      <c r="CU256"/>
      <c r="CV256"/>
      <c r="CW256"/>
      <c r="CX256"/>
      <c r="CY256"/>
      <c r="DA256"/>
      <c r="DB256"/>
      <c r="DC256"/>
      <c r="DD256"/>
      <c r="DE256"/>
      <c r="DF256"/>
      <c r="DG256"/>
      <c r="DI256" s="3">
        <v>1</v>
      </c>
    </row>
    <row r="257" spans="1:115" s="627" customFormat="1" ht="21" customHeight="1">
      <c r="A257" s="701" t="s">
        <v>21</v>
      </c>
      <c r="B257" s="2265" t="str" cm="1">
        <f t="array" ref="B257">SUMPRODUCT(--(D257:J257&lt;&gt;""), LEN(TRIM(SUBSTITUTE(D257:J257, CHAR(160), "")))) &amp; " Car."</f>
        <v>0 Car.</v>
      </c>
      <c r="C257" s="1376" t="str">
        <f>IF(ISBLANK(D257),"",LARGE(C13:C256,1)+1)</f>
        <v/>
      </c>
      <c r="D257" s="1833"/>
      <c r="E257" s="1810"/>
      <c r="F257" s="1810"/>
      <c r="G257" s="1810"/>
      <c r="H257" s="1810"/>
      <c r="I257" s="1810"/>
      <c r="J257" s="1810"/>
      <c r="K257" s="1810"/>
      <c r="L257" s="1811"/>
      <c r="M257" s="9"/>
      <c r="N257" s="162" t="str">
        <f t="shared" si="114"/>
        <v>A</v>
      </c>
      <c r="O257" s="1616"/>
      <c r="P257" s="9"/>
      <c r="Q257" s="162" t="s">
        <v>10</v>
      </c>
      <c r="R257" s="163" t="str">
        <f>R215</f>
        <v>M MILLE-FEUILLE meringue et chiboust pamplemousse aux fraises des bois | collez la--FAMILLE| Auteur &gt; recette Béghin Say de Jean-Jacques Borne MOF 1994</v>
      </c>
      <c r="S257" s="163">
        <f>S215</f>
        <v>18</v>
      </c>
      <c r="T257" s="164" t="str">
        <f>T215</f>
        <v>desserts</v>
      </c>
      <c r="U257" s="165" t="str">
        <f>U215</f>
        <v>Recette mère ► MILLE-FEUILLE  aux fraises des bois</v>
      </c>
      <c r="V257" s="508"/>
      <c r="W257" s="508"/>
      <c r="X257" s="2063"/>
      <c r="Y257" s="2127" t="s">
        <v>8860</v>
      </c>
      <c r="Z257" s="2065">
        <f ca="1">SUM(AB255:AJ255)</f>
        <v>132</v>
      </c>
      <c r="AA257" s="1374">
        <v>0</v>
      </c>
      <c r="AB257" s="1810" t="s">
        <v>23</v>
      </c>
      <c r="AC257" s="1810"/>
      <c r="AD257" s="1810"/>
      <c r="AE257" s="1810"/>
      <c r="AF257" s="1810"/>
      <c r="AG257" s="1810"/>
      <c r="AH257" s="9"/>
      <c r="AI257" s="5993" t="s">
        <v>164</v>
      </c>
      <c r="AJ257" s="1330" t="s">
        <v>165</v>
      </c>
      <c r="AK257" s="6120" t="str">
        <f t="shared" si="128"/>
        <v>►</v>
      </c>
      <c r="AL257" s="781" t="str">
        <f t="shared" si="116"/>
        <v>►</v>
      </c>
      <c r="AM257" s="5499" t="str">
        <f t="shared" si="119"/>
        <v/>
      </c>
      <c r="AN257" s="783" t="str">
        <f t="shared" si="120"/>
        <v/>
      </c>
      <c r="AO257" s="782" t="str">
        <f t="shared" si="121"/>
        <v/>
      </c>
      <c r="AP257" s="783" t="str">
        <f t="shared" si="122"/>
        <v/>
      </c>
      <c r="AQ257" s="2083" t="b">
        <f ca="1">AND(Q257="A",COUNTIF(BP16:BR63,TRIM(Z257))&gt;0)</f>
        <v>0</v>
      </c>
      <c r="AR257" s="797" t="str">
        <f>IF(AL257&lt;&gt;"A","",IFERROR(IFERROR(_xlfn.XLOOKUP(TRIM(SUBSTITUTE(Z257,CHAR(160)," ")),BP16:BP63,BS16:BS63),IFERROR(_xlfn.XLOOKUP(TRIM(SUBSTITUTE(Z257,CHAR(160)," ")),BQ16:BQ63,BS16:BS63),_xlfn.XLOOKUP(TRIM(SUBSTITUTE(Z257,CHAR(160)," ")),BR16:BR63,BS16:BS63)))*Y257*IF(ISBLANK(V257),1,V257),0))</f>
        <v/>
      </c>
      <c r="AS257" s="784" t="str">
        <f t="shared" si="112"/>
        <v/>
      </c>
      <c r="AT257" s="1315" t="str">
        <f t="shared" si="123"/>
        <v/>
      </c>
      <c r="AU257" s="785">
        <f t="shared" si="124"/>
        <v>0</v>
      </c>
      <c r="AV257" s="785">
        <f t="shared" si="125"/>
        <v>0</v>
      </c>
      <c r="AW257" s="786">
        <f>IF(AK257="A",AY10,0)</f>
        <v>0</v>
      </c>
      <c r="AX257" s="5495" t="str">
        <f>IF(IFERROR(SEARCH("Adresse PC",TRIM(W257)),0)&gt;0,"▼ receta siguiente",IF(AK257="A",IF(AZ10&lt;&gt;"",AZ10&amp;" - ou.or.o ❾ + or - &gt;",""),""))</f>
        <v/>
      </c>
      <c r="AY257" s="810"/>
      <c r="AZ257" s="810"/>
      <c r="BA257" s="788" t="str">
        <f t="shared" si="115"/>
        <v/>
      </c>
      <c r="BB257" s="789" t="str">
        <f>IF(AK257="A",IF(AQ257,IF(AND(AW257&lt;&gt;"",N(AW257)&gt;0),IFERROR(IFERROR(_xlfn.XLOOKUP(AP257,BP10:BP57,BT10:BT57),IFERROR(_xlfn.XLOOKUP(AP257,BQ10:BQ57,BT10:BT57),_xlfn.XLOOKUP(AP257,BR10:BR57,BT10:BT57,""))),""),""),""),"")</f>
        <v/>
      </c>
      <c r="BC257" s="811" cm="1">
        <f t="array" aca="1" ref="BC257" ca="1">IF(NOT(AQ257),0,IF(OR(BA257="",N(BA257)&lt;=0.000000001),"",IF(OR(AU257="",N(AU257)&lt;=0.000000001),0,IF(ISNUMBER(BA257),IFERROR(_xlfn.LET(_xlpm.ai_test,TRIM(AP257),_xlpm.r,IFERROR(_xlfn.XLOOKUP(_xlpm.ai_test,BP16:BP63,ROW(BP16:BP63),0,1),IFERROR(_xlfn.XLOOKUP(_xlpm.ai_test,BQ16:BQ63,ROW(BQ16:BQ63),0,1),_xlfn.XLOOKUP(_xlpm.ai_test,BR16:BR63,ROW(BR16:BR63),0,1))),_xlpm.p,_xlpm.r-MIN(ROW(BP16:BP63))+1,_xlpm.f,INDEX(BS16:BS63,_xlpm.p),_xlpm.u,INDEX(BT16:BT63,_xlpm.p),_xlpm.s,INDEX(BV16:BV63,_xlpm.p),_xlpm.q,N(BA257)/_xlpm.f,IF(_xlpm.q&gt;=_xlpm.s,ROUND(_xlpm.q,1)&amp;" "&amp;_xlpm.ai_test&amp;" = "&amp;ROUND(_xlpm.q*_xlpm.f,1)&amp;" "&amp;_xlpm.u,ROUND(_xlpm.q,1)&amp;" "&amp;_xlpm.ai_test)),""),""))))</f>
        <v>0</v>
      </c>
      <c r="BD257" s="801"/>
      <c r="BE257" s="788" t="str">
        <f t="shared" si="126"/>
        <v/>
      </c>
      <c r="BF257" s="789" t="str">
        <f t="shared" ca="1" si="132"/>
        <v/>
      </c>
      <c r="BG257" s="790">
        <f t="shared" si="133"/>
        <v>0</v>
      </c>
      <c r="BH257" s="791" t="str">
        <f t="shared" ca="1" si="134"/>
        <v/>
      </c>
      <c r="BI257" s="792"/>
      <c r="BJ257" s="793">
        <f t="shared" si="135"/>
        <v>0</v>
      </c>
      <c r="BK257" s="794" t="str">
        <f t="shared" si="127"/>
        <v/>
      </c>
      <c r="BL257" s="227" t="s">
        <v>21</v>
      </c>
      <c r="BM257" s="773">
        <f t="shared" si="117"/>
        <v>0</v>
      </c>
      <c r="BN257" s="774">
        <f t="shared" si="118"/>
        <v>0</v>
      </c>
      <c r="BO257"/>
      <c r="BX257"/>
      <c r="BY257"/>
      <c r="BZ257"/>
      <c r="CA257"/>
      <c r="CB257"/>
      <c r="CC257"/>
      <c r="CD257" s="781" t="str">
        <f t="shared" si="113"/>
        <v>►</v>
      </c>
      <c r="CE257"/>
      <c r="CF257"/>
      <c r="CG257"/>
      <c r="CH257"/>
      <c r="CI257"/>
      <c r="CJ257" s="633"/>
      <c r="CK257"/>
      <c r="CL257"/>
      <c r="CM257"/>
      <c r="CN257"/>
      <c r="CO257"/>
      <c r="CP257"/>
      <c r="CQ257"/>
      <c r="CS257"/>
      <c r="CT257"/>
      <c r="CU257"/>
      <c r="CV257"/>
      <c r="CW257"/>
      <c r="CX257"/>
      <c r="CY257"/>
      <c r="DA257"/>
      <c r="DB257"/>
      <c r="DC257"/>
      <c r="DD257"/>
      <c r="DE257"/>
      <c r="DF257"/>
      <c r="DG257"/>
      <c r="DI257" s="3">
        <v>1</v>
      </c>
    </row>
    <row r="258" spans="1:115" ht="21" customHeight="1">
      <c r="A258" s="701" t="s">
        <v>21</v>
      </c>
      <c r="B258" s="2265" t="str" cm="1">
        <f t="array" ref="B258">SUMPRODUCT(--(D258:J258&lt;&gt;""), LEN(TRIM(SUBSTITUTE(D258:J258, CHAR(160), "")))) &amp; " Car."</f>
        <v>0 Car.</v>
      </c>
      <c r="C258" s="1376" t="str">
        <f>IF(ISBLANK(D258),"",LARGE(C13:C257,1)+1)</f>
        <v/>
      </c>
      <c r="D258" s="1833"/>
      <c r="E258" s="1810"/>
      <c r="F258" s="1810"/>
      <c r="G258" s="1810"/>
      <c r="H258" s="1810"/>
      <c r="I258" s="1810"/>
      <c r="J258" s="1810"/>
      <c r="K258" s="1810"/>
      <c r="L258" s="1811"/>
      <c r="M258" s="9"/>
      <c r="N258" s="162" t="str">
        <f t="shared" si="114"/>
        <v>A</v>
      </c>
      <c r="O258" s="1616"/>
      <c r="P258" s="9"/>
      <c r="Q258" s="162" t="s">
        <v>10</v>
      </c>
      <c r="R258" s="163" t="str">
        <f>R215</f>
        <v>M MILLE-FEUILLE meringue et chiboust pamplemousse aux fraises des bois | collez la--FAMILLE| Auteur &gt; recette Béghin Say de Jean-Jacques Borne MOF 1994</v>
      </c>
      <c r="S258" s="163">
        <f>S215</f>
        <v>18</v>
      </c>
      <c r="T258" s="164" t="str">
        <f>T215</f>
        <v>desserts</v>
      </c>
      <c r="U258" s="165" t="str">
        <f>U215</f>
        <v>Recette mère ► MILLE-FEUILLE  aux fraises des bois</v>
      </c>
      <c r="V258" s="1548"/>
      <c r="W258" s="2189" t="s">
        <v>8771</v>
      </c>
      <c r="X258" s="2190">
        <f>ROWS(AB258:AB258)</f>
        <v>1</v>
      </c>
      <c r="Y258" s="5549" t="str" cm="1">
        <f t="array" ref="Y258">IF(SUMPRODUCT((AB258:AG258&lt;&gt;"")*1)=0,"",SUMPRODUCT((AB258:AG258&lt;&gt;"")*(LEN(TRIM(SUBSTITUTE(AB258:AG258,CHAR(160)," "))) - LEN(SUBSTITUTE(TRIM(SUBSTITUTE(AB258:AG258,CHAR(160)," "))," ","")) + 1)) &amp; " mot" &amp; IF(SUMPRODUCT((AB258:AG258&lt;&gt;"")*(LEN(TRIM(SUBSTITUTE(AB258:AG258,CHAR(160)," "))) - LEN(SUBSTITUTE(TRIM(SUBSTITUTE(AB258:AG258,CHAR(160)," "))," ","")) + 1))&gt;1,"s",""))</f>
        <v>7 mots</v>
      </c>
      <c r="Z258" s="5550" t="str" cm="1">
        <f t="array" ref="Z258">SUMPRODUCT(--(AB258:AG258&lt;&gt;""), LEN(TRIM(SUBSTITUTE(AB258:AG258, CHAR(160), "")))) &amp; " Car."</f>
        <v>39 Car.</v>
      </c>
      <c r="AA258" s="1376">
        <f>IF(ISBLANK(AB258),"",LARGE(AA257:AA257,1)+1)</f>
        <v>1</v>
      </c>
      <c r="AB258" s="1810" t="s">
        <v>172</v>
      </c>
      <c r="AC258" s="1810"/>
      <c r="AD258" s="1810"/>
      <c r="AE258" s="1810"/>
      <c r="AF258" s="1810"/>
      <c r="AG258" s="1810"/>
      <c r="AH258" s="9"/>
      <c r="AI258" s="5993" t="s">
        <v>167</v>
      </c>
      <c r="AJ258" s="1330" t="s">
        <v>165</v>
      </c>
      <c r="AK258" s="6120" t="str">
        <f t="shared" si="128"/>
        <v>►</v>
      </c>
      <c r="AL258" s="781" t="str">
        <f t="shared" si="116"/>
        <v>►</v>
      </c>
      <c r="AM258" s="5498" t="str">
        <f t="shared" si="119"/>
        <v/>
      </c>
      <c r="AN258" s="783" t="str">
        <f t="shared" si="120"/>
        <v/>
      </c>
      <c r="AO258" s="782" t="str">
        <f t="shared" si="121"/>
        <v/>
      </c>
      <c r="AP258" s="783" t="str">
        <f t="shared" si="122"/>
        <v/>
      </c>
      <c r="AQ258" s="2083" t="b">
        <f>AND(Q258="A",COUNTIF(BP16:BR63,TRIM(Z258))&gt;0)</f>
        <v>0</v>
      </c>
      <c r="AR258" s="797" t="str">
        <f>IF(AL258&lt;&gt;"A","",IFERROR(IFERROR(_xlfn.XLOOKUP(TRIM(SUBSTITUTE(Z258,CHAR(160)," ")),BP16:BP63,BS16:BS63),IFERROR(_xlfn.XLOOKUP(TRIM(SUBSTITUTE(Z258,CHAR(160)," ")),BQ16:BQ63,BS16:BS63),_xlfn.XLOOKUP(TRIM(SUBSTITUTE(Z258,CHAR(160)," ")),BR16:BR63,BS16:BS63)))*Y258*IF(ISBLANK(V258),1,V258),0))</f>
        <v/>
      </c>
      <c r="AS258" s="784" t="str">
        <f t="shared" si="112"/>
        <v/>
      </c>
      <c r="AT258" s="1315" t="str">
        <f t="shared" si="123"/>
        <v/>
      </c>
      <c r="AU258" s="785">
        <f t="shared" si="124"/>
        <v>0</v>
      </c>
      <c r="AV258" s="785">
        <f t="shared" si="125"/>
        <v>0</v>
      </c>
      <c r="AW258" s="798">
        <f>IF(AK258="A",AY10,0)</f>
        <v>0</v>
      </c>
      <c r="AX258" s="5496" t="str">
        <f>IF(IFERROR(SEARCH("Adresse PC",TRIM(W258)),0)&gt;0,"▼ receta siguiente",IF(AK258="A",IF(AZ10&lt;&gt;"",AZ10&amp;" - ou.or.o ❾ + or - &gt;",""),""))</f>
        <v/>
      </c>
      <c r="AY258" s="810"/>
      <c r="AZ258" s="810"/>
      <c r="BA258" s="799" t="str">
        <f t="shared" si="115"/>
        <v/>
      </c>
      <c r="BB258" s="800" t="str">
        <f>IF(AK258="A",IF(AQ258,IF(AND(AW258&lt;&gt;"",N(AW258)&gt;0),IFERROR(IFERROR(_xlfn.XLOOKUP(AP258,BP10:BP57,BT10:BT57),IFERROR(_xlfn.XLOOKUP(AP258,BQ10:BQ57,BT10:BT57),_xlfn.XLOOKUP(AP258,BR10:BR57,BT10:BT57,""))),""),""),""),"")</f>
        <v/>
      </c>
      <c r="BC258" s="813" cm="1">
        <f t="array" ref="BC258">IF(NOT(AQ258),0,IF(OR(BA258="",N(BA258)&lt;=0.000000001),"",IF(OR(AU258="",N(AU258)&lt;=0.000000001),0,IF(ISNUMBER(BA258),IFERROR(_xlfn.LET(_xlpm.ai_test,TRIM(AP258),_xlpm.r,IFERROR(_xlfn.XLOOKUP(_xlpm.ai_test,BP16:BP63,ROW(BP16:BP63),0,1),IFERROR(_xlfn.XLOOKUP(_xlpm.ai_test,BQ16:BQ63,ROW(BQ16:BQ63),0,1),_xlfn.XLOOKUP(_xlpm.ai_test,BR16:BR63,ROW(BR16:BR63),0,1))),_xlpm.p,_xlpm.r-MIN(ROW(BP16:BP63))+1,_xlpm.f,INDEX(BS16:BS63,_xlpm.p),_xlpm.u,INDEX(BT16:BT63,_xlpm.p),_xlpm.s,INDEX(BV16:BV63,_xlpm.p),_xlpm.q,N(BA258)/_xlpm.f,IF(_xlpm.q&gt;=_xlpm.s,ROUND(_xlpm.q,1)&amp;" "&amp;_xlpm.ai_test&amp;" = "&amp;ROUND(_xlpm.q*_xlpm.f,1)&amp;" "&amp;_xlpm.u,ROUND(_xlpm.q,1)&amp;" "&amp;_xlpm.ai_test)),""),""))))</f>
        <v>0</v>
      </c>
      <c r="BD258" s="801"/>
      <c r="BE258" s="799" t="str">
        <f t="shared" si="126"/>
        <v/>
      </c>
      <c r="BF258" s="800" t="str">
        <f t="shared" si="132"/>
        <v/>
      </c>
      <c r="BG258" s="802">
        <f t="shared" si="133"/>
        <v>0</v>
      </c>
      <c r="BH258" s="803" t="str">
        <f t="shared" si="134"/>
        <v/>
      </c>
      <c r="BI258" s="792"/>
      <c r="BJ258" s="804">
        <f t="shared" si="135"/>
        <v>0</v>
      </c>
      <c r="BK258" s="794" t="str">
        <f t="shared" si="127"/>
        <v/>
      </c>
      <c r="BL258" s="227" t="s">
        <v>21</v>
      </c>
      <c r="BM258" s="773">
        <f t="shared" si="117"/>
        <v>0</v>
      </c>
      <c r="BN258" s="774">
        <f t="shared" si="118"/>
        <v>0</v>
      </c>
      <c r="BO258"/>
      <c r="BP258" s="627"/>
      <c r="BQ258" s="627"/>
      <c r="BR258" s="627"/>
      <c r="BS258" s="627"/>
      <c r="BT258" s="627"/>
      <c r="BU258" s="627"/>
      <c r="BV258" s="627"/>
      <c r="BW258" s="627"/>
      <c r="CD258" s="781" t="str">
        <f t="shared" si="113"/>
        <v>►</v>
      </c>
      <c r="CI258"/>
      <c r="CJ258" s="633"/>
      <c r="CR258" s="627"/>
      <c r="CZ258" s="627"/>
      <c r="DH258" s="627"/>
      <c r="DI258" s="3">
        <v>1</v>
      </c>
    </row>
    <row r="259" spans="1:115" ht="21" customHeight="1">
      <c r="A259" s="701" t="s">
        <v>21</v>
      </c>
      <c r="B259" s="2265" t="str" cm="1">
        <f t="array" ref="B259">SUMPRODUCT(--(D259:J259&lt;&gt;""), LEN(TRIM(SUBSTITUTE(D259:J259, CHAR(160), "")))) &amp; " Car."</f>
        <v>0 Car.</v>
      </c>
      <c r="C259" s="1376" t="str">
        <f>IF(ISBLANK(D259),"",LARGE(C13:C258,1)+1)</f>
        <v/>
      </c>
      <c r="D259" s="1833"/>
      <c r="E259" s="1810"/>
      <c r="F259" s="1810"/>
      <c r="G259" s="1810"/>
      <c r="H259" s="1810"/>
      <c r="I259" s="1810"/>
      <c r="J259" s="1810"/>
      <c r="K259" s="1810"/>
      <c r="L259" s="1811"/>
      <c r="M259" s="9"/>
      <c r="N259" s="162" t="str">
        <f t="shared" si="114"/>
        <v>A</v>
      </c>
      <c r="O259" s="1616"/>
      <c r="P259" s="9"/>
      <c r="Q259" s="162" t="s">
        <v>10</v>
      </c>
      <c r="R259" s="163" t="str">
        <f>R215</f>
        <v>M MILLE-FEUILLE meringue et chiboust pamplemousse aux fraises des bois | collez la--FAMILLE| Auteur &gt; recette Béghin Say de Jean-Jacques Borne MOF 1994</v>
      </c>
      <c r="S259" s="163">
        <f>S215</f>
        <v>18</v>
      </c>
      <c r="T259" s="164" t="str">
        <f>T215</f>
        <v>desserts</v>
      </c>
      <c r="U259" s="165" t="str">
        <f>U215</f>
        <v>Recette mère ► MILLE-FEUILLE  aux fraises des bois</v>
      </c>
      <c r="V259" s="1548"/>
      <c r="W259" s="1548"/>
      <c r="X259" s="2190">
        <f>ROWS(AB258:AB259)</f>
        <v>2</v>
      </c>
      <c r="Y259" s="5549" t="str" cm="1">
        <f t="array" ref="Y259">IF(SUMPRODUCT((AB259:AG259&lt;&gt;"")*1)=0,"",SUMPRODUCT((AB259:AG259&lt;&gt;"")*(LEN(TRIM(SUBSTITUTE(AB259:AG259,CHAR(160)," "))) - LEN(SUBSTITUTE(TRIM(SUBSTITUTE(AB259:AG259,CHAR(160)," "))," ","")) + 1)) &amp; " mot" &amp; IF(SUMPRODUCT((AB259:AG259&lt;&gt;"")*(LEN(TRIM(SUBSTITUTE(AB259:AG259,CHAR(160)," "))) - LEN(SUBSTITUTE(TRIM(SUBSTITUTE(AB259:AG259,CHAR(160)," "))," ","")) + 1))&gt;1,"s",""))</f>
        <v>13 mots</v>
      </c>
      <c r="Z259" s="5550" t="str" cm="1">
        <f t="array" ref="Z259">SUMPRODUCT(--(AB259:AG259&lt;&gt;""), LEN(TRIM(SUBSTITUTE(AB259:AG259, CHAR(160), "")))) &amp; " Car."</f>
        <v>73 Car.</v>
      </c>
      <c r="AA259" s="1376">
        <f>IF(ISBLANK(AB259),"",LARGE(AA257:AA258,1)+1)</f>
        <v>2</v>
      </c>
      <c r="AB259" s="1810" t="s">
        <v>180</v>
      </c>
      <c r="AC259" s="1810"/>
      <c r="AD259" s="1810"/>
      <c r="AE259" s="1810"/>
      <c r="AF259" s="1810"/>
      <c r="AG259" s="1810"/>
      <c r="AH259" s="1810"/>
      <c r="AI259" s="5994" t="s">
        <v>171</v>
      </c>
      <c r="AJ259" s="5564">
        <v>3.472222222222222E-3</v>
      </c>
      <c r="AK259" s="6120" t="str">
        <f t="shared" si="128"/>
        <v>►</v>
      </c>
      <c r="AL259" s="781" t="str">
        <f t="shared" si="116"/>
        <v>►</v>
      </c>
      <c r="AM259" s="5499" t="str">
        <f t="shared" si="119"/>
        <v/>
      </c>
      <c r="AN259" s="783" t="str">
        <f t="shared" si="120"/>
        <v/>
      </c>
      <c r="AO259" s="782" t="str">
        <f t="shared" si="121"/>
        <v/>
      </c>
      <c r="AP259" s="783" t="str">
        <f t="shared" si="122"/>
        <v/>
      </c>
      <c r="AQ259" s="2083" t="b">
        <f>AND(Q259="A",COUNTIF(BP16:BR63,TRIM(Z259))&gt;0)</f>
        <v>0</v>
      </c>
      <c r="AR259" s="797" t="str">
        <f>IF(AL259&lt;&gt;"A","",IFERROR(IFERROR(_xlfn.XLOOKUP(TRIM(SUBSTITUTE(Z259,CHAR(160)," ")),BP16:BP63,BS16:BS63),IFERROR(_xlfn.XLOOKUP(TRIM(SUBSTITUTE(Z259,CHAR(160)," ")),BQ16:BQ63,BS16:BS63),_xlfn.XLOOKUP(TRIM(SUBSTITUTE(Z259,CHAR(160)," ")),BR16:BR63,BS16:BS63)))*Y259*IF(ISBLANK(V259),1,V259),0))</f>
        <v/>
      </c>
      <c r="AS259" s="784" t="str">
        <f t="shared" si="112"/>
        <v/>
      </c>
      <c r="AT259" s="1315" t="str">
        <f t="shared" si="123"/>
        <v/>
      </c>
      <c r="AU259" s="785">
        <f t="shared" si="124"/>
        <v>0</v>
      </c>
      <c r="AV259" s="785">
        <f t="shared" si="125"/>
        <v>0</v>
      </c>
      <c r="AW259" s="786">
        <f>IF(AK259="A",AY10,0)</f>
        <v>0</v>
      </c>
      <c r="AX259" s="5495" t="str">
        <f>IF(IFERROR(SEARCH("Adresse PC",TRIM(W259)),0)&gt;0,"▼ receta siguiente",IF(AK259="A",IF(AZ10&lt;&gt;"",AZ10&amp;" - ou.or.o ❾ + or - &gt;",""),""))</f>
        <v/>
      </c>
      <c r="AY259" s="810"/>
      <c r="AZ259" s="810"/>
      <c r="BA259" s="788" t="str">
        <f t="shared" si="115"/>
        <v/>
      </c>
      <c r="BB259" s="789" t="str">
        <f>IF(AK259="A",IF(AQ259,IF(AND(AW259&lt;&gt;"",N(AW259)&gt;0),IFERROR(IFERROR(_xlfn.XLOOKUP(AP259,BP10:BP57,BT10:BT57),IFERROR(_xlfn.XLOOKUP(AP259,BQ10:BQ57,BT10:BT57),_xlfn.XLOOKUP(AP259,BR10:BR57,BT10:BT57,""))),""),""),""),"")</f>
        <v/>
      </c>
      <c r="BC259" s="811" cm="1">
        <f t="array" ref="BC259">IF(NOT(AQ259),0,IF(OR(BA259="",N(BA259)&lt;=0.000000001),"",IF(OR(AU259="",N(AU259)&lt;=0.000000001),0,IF(ISNUMBER(BA259),IFERROR(_xlfn.LET(_xlpm.ai_test,TRIM(AP259),_xlpm.r,IFERROR(_xlfn.XLOOKUP(_xlpm.ai_test,BP16:BP63,ROW(BP16:BP63),0,1),IFERROR(_xlfn.XLOOKUP(_xlpm.ai_test,BQ16:BQ63,ROW(BQ16:BQ63),0,1),_xlfn.XLOOKUP(_xlpm.ai_test,BR16:BR63,ROW(BR16:BR63),0,1))),_xlpm.p,_xlpm.r-MIN(ROW(BP16:BP63))+1,_xlpm.f,INDEX(BS16:BS63,_xlpm.p),_xlpm.u,INDEX(BT16:BT63,_xlpm.p),_xlpm.s,INDEX(BV16:BV63,_xlpm.p),_xlpm.q,N(BA259)/_xlpm.f,IF(_xlpm.q&gt;=_xlpm.s,ROUND(_xlpm.q,1)&amp;" "&amp;_xlpm.ai_test&amp;" = "&amp;ROUND(_xlpm.q*_xlpm.f,1)&amp;" "&amp;_xlpm.u,ROUND(_xlpm.q,1)&amp;" "&amp;_xlpm.ai_test)),""),""))))</f>
        <v>0</v>
      </c>
      <c r="BD259" s="801"/>
      <c r="BE259" s="788" t="str">
        <f t="shared" si="126"/>
        <v/>
      </c>
      <c r="BF259" s="789" t="str">
        <f t="shared" si="132"/>
        <v/>
      </c>
      <c r="BG259" s="790">
        <f t="shared" si="133"/>
        <v>0</v>
      </c>
      <c r="BH259" s="791" t="str">
        <f t="shared" si="134"/>
        <v/>
      </c>
      <c r="BI259" s="792"/>
      <c r="BJ259" s="793">
        <f t="shared" si="135"/>
        <v>0</v>
      </c>
      <c r="BK259" s="794" t="str">
        <f t="shared" si="127"/>
        <v/>
      </c>
      <c r="BL259" s="227" t="s">
        <v>21</v>
      </c>
      <c r="BM259" s="773">
        <f t="shared" si="117"/>
        <v>0</v>
      </c>
      <c r="BN259" s="774">
        <f t="shared" si="118"/>
        <v>0</v>
      </c>
      <c r="BO259"/>
      <c r="BP259" s="627"/>
      <c r="BQ259" s="627"/>
      <c r="BR259" s="627"/>
      <c r="BS259" s="627"/>
      <c r="BT259" s="627"/>
      <c r="BU259" s="627"/>
      <c r="BV259" s="627"/>
      <c r="BW259" s="627"/>
      <c r="CD259" s="781" t="str">
        <f t="shared" si="113"/>
        <v>►</v>
      </c>
      <c r="CI259"/>
      <c r="CJ259" s="633"/>
      <c r="CR259" s="627"/>
      <c r="CZ259" s="627"/>
      <c r="DH259" s="627"/>
      <c r="DI259" s="3">
        <v>1</v>
      </c>
    </row>
    <row r="260" spans="1:115" ht="21" customHeight="1">
      <c r="A260" s="701" t="s">
        <v>21</v>
      </c>
      <c r="B260" s="2265" t="str" cm="1">
        <f t="array" ref="B260">SUMPRODUCT(--(D260:J260&lt;&gt;""), LEN(TRIM(SUBSTITUTE(D260:J260, CHAR(160), "")))) &amp; " Car."</f>
        <v>0 Car.</v>
      </c>
      <c r="C260" s="1376" t="str">
        <f>IF(ISBLANK(D260),"",LARGE(C13:C259,1)+1)</f>
        <v/>
      </c>
      <c r="D260" s="1833"/>
      <c r="E260" s="1810"/>
      <c r="F260" s="1810"/>
      <c r="G260" s="1810"/>
      <c r="H260" s="1810"/>
      <c r="I260" s="1810"/>
      <c r="J260" s="1810"/>
      <c r="K260" s="1810"/>
      <c r="L260" s="1811"/>
      <c r="M260" s="9"/>
      <c r="N260" s="162" t="str">
        <f t="shared" si="114"/>
        <v>A</v>
      </c>
      <c r="O260" s="1616"/>
      <c r="P260" s="9"/>
      <c r="Q260" s="162" t="s">
        <v>10</v>
      </c>
      <c r="R260" s="163" t="str">
        <f>R215</f>
        <v>M MILLE-FEUILLE meringue et chiboust pamplemousse aux fraises des bois | collez la--FAMILLE| Auteur &gt; recette Béghin Say de Jean-Jacques Borne MOF 1994</v>
      </c>
      <c r="S260" s="163">
        <f>S215</f>
        <v>18</v>
      </c>
      <c r="T260" s="164" t="str">
        <f>T215</f>
        <v>desserts</v>
      </c>
      <c r="U260" s="165" t="str">
        <f>U215</f>
        <v>Recette mère ► MILLE-FEUILLE  aux fraises des bois</v>
      </c>
      <c r="V260" s="1548"/>
      <c r="W260" s="1548"/>
      <c r="X260" s="2190">
        <f>ROWS(AB258:AB260)</f>
        <v>3</v>
      </c>
      <c r="Y260" s="5549" t="str" cm="1">
        <f t="array" ref="Y260">IF(SUMPRODUCT((AB260:AG260&lt;&gt;"")*1)=0,"",SUMPRODUCT((AB260:AG260&lt;&gt;"")*(LEN(TRIM(SUBSTITUTE(AB260:AG260,CHAR(160)," "))) - LEN(SUBSTITUTE(TRIM(SUBSTITUTE(AB260:AG260,CHAR(160)," "))," ","")) + 1)) &amp; " mot" &amp; IF(SUMPRODUCT((AB260:AG260&lt;&gt;"")*(LEN(TRIM(SUBSTITUTE(AB260:AG260,CHAR(160)," "))) - LEN(SUBSTITUTE(TRIM(SUBSTITUTE(AB260:AG260,CHAR(160)," "))," ","")) + 1))&gt;1,"s",""))</f>
        <v>9 mots</v>
      </c>
      <c r="Z260" s="5550" t="str" cm="1">
        <f t="array" ref="Z260">SUMPRODUCT(--(AB260:AG260&lt;&gt;""), LEN(TRIM(SUBSTITUTE(AB260:AG260, CHAR(160), "")))) &amp; " Car."</f>
        <v>56 Car.</v>
      </c>
      <c r="AA260" s="1376">
        <f>IF(ISBLANK(AB260),"",LARGE(AA257:AA259,1)+1)</f>
        <v>3</v>
      </c>
      <c r="AB260" s="1810" t="s">
        <v>3057</v>
      </c>
      <c r="AC260" s="1833"/>
      <c r="AD260" s="1810"/>
      <c r="AE260" s="1810"/>
      <c r="AF260" s="1810"/>
      <c r="AG260" s="1810"/>
      <c r="AH260" s="1810"/>
      <c r="AI260" s="5994" t="s">
        <v>173</v>
      </c>
      <c r="AJ260" s="5565">
        <v>1.0416666666666666E-2</v>
      </c>
      <c r="AK260" s="6120" t="str">
        <f t="shared" si="128"/>
        <v>►</v>
      </c>
      <c r="AL260" s="781" t="str">
        <f t="shared" si="116"/>
        <v>►</v>
      </c>
      <c r="AM260" s="5498" t="str">
        <f t="shared" si="119"/>
        <v/>
      </c>
      <c r="AN260" s="783" t="str">
        <f t="shared" si="120"/>
        <v/>
      </c>
      <c r="AO260" s="782" t="str">
        <f t="shared" si="121"/>
        <v/>
      </c>
      <c r="AP260" s="783" t="str">
        <f t="shared" si="122"/>
        <v/>
      </c>
      <c r="AQ260" s="2083" t="b">
        <f>AND(Q260="A",COUNTIF(BP16:BR63,TRIM(Z260))&gt;0)</f>
        <v>0</v>
      </c>
      <c r="AR260" s="797" t="str">
        <f>IF(AL260&lt;&gt;"A","",IFERROR(IFERROR(_xlfn.XLOOKUP(TRIM(SUBSTITUTE(Z260,CHAR(160)," ")),BP16:BP63,BS16:BS63),IFERROR(_xlfn.XLOOKUP(TRIM(SUBSTITUTE(Z260,CHAR(160)," ")),BQ16:BQ63,BS16:BS63),_xlfn.XLOOKUP(TRIM(SUBSTITUTE(Z260,CHAR(160)," ")),BR16:BR63,BS16:BS63)))*Y260*IF(ISBLANK(V260),1,V260),0))</f>
        <v/>
      </c>
      <c r="AS260" s="784" t="str">
        <f t="shared" si="112"/>
        <v/>
      </c>
      <c r="AT260" s="1315" t="str">
        <f t="shared" si="123"/>
        <v/>
      </c>
      <c r="AU260" s="785">
        <f t="shared" si="124"/>
        <v>0</v>
      </c>
      <c r="AV260" s="785">
        <f t="shared" si="125"/>
        <v>0</v>
      </c>
      <c r="AW260" s="798">
        <f>IF(AK260="A",AY10,0)</f>
        <v>0</v>
      </c>
      <c r="AX260" s="5496" t="str">
        <f>IF(IFERROR(SEARCH("Adresse PC",TRIM(W260)),0)&gt;0,"▼ receta siguiente",IF(AK260="A",IF(AZ10&lt;&gt;"",AZ10&amp;" - ou.or.o ❾ + or - &gt;",""),""))</f>
        <v/>
      </c>
      <c r="AY260" s="810"/>
      <c r="AZ260" s="810"/>
      <c r="BA260" s="799" t="str">
        <f t="shared" si="115"/>
        <v/>
      </c>
      <c r="BB260" s="800" t="str">
        <f>IF(AK260="A",IF(AQ260,IF(AND(AW260&lt;&gt;"",N(AW260)&gt;0),IFERROR(IFERROR(_xlfn.XLOOKUP(AP260,BP10:BP57,BT10:BT57),IFERROR(_xlfn.XLOOKUP(AP260,BQ10:BQ57,BT10:BT57),_xlfn.XLOOKUP(AP260,BR10:BR57,BT10:BT57,""))),""),""),""),"")</f>
        <v/>
      </c>
      <c r="BC260" s="813" cm="1">
        <f t="array" ref="BC260">IF(NOT(AQ260),0,IF(OR(BA260="",N(BA260)&lt;=0.000000001),"",IF(OR(AU260="",N(AU260)&lt;=0.000000001),0,IF(ISNUMBER(BA260),IFERROR(_xlfn.LET(_xlpm.ai_test,TRIM(AP260),_xlpm.r,IFERROR(_xlfn.XLOOKUP(_xlpm.ai_test,BP16:BP63,ROW(BP16:BP63),0,1),IFERROR(_xlfn.XLOOKUP(_xlpm.ai_test,BQ16:BQ63,ROW(BQ16:BQ63),0,1),_xlfn.XLOOKUP(_xlpm.ai_test,BR16:BR63,ROW(BR16:BR63),0,1))),_xlpm.p,_xlpm.r-MIN(ROW(BP16:BP63))+1,_xlpm.f,INDEX(BS16:BS63,_xlpm.p),_xlpm.u,INDEX(BT16:BT63,_xlpm.p),_xlpm.s,INDEX(BV16:BV63,_xlpm.p),_xlpm.q,N(BA260)/_xlpm.f,IF(_xlpm.q&gt;=_xlpm.s,ROUND(_xlpm.q,1)&amp;" "&amp;_xlpm.ai_test&amp;" = "&amp;ROUND(_xlpm.q*_xlpm.f,1)&amp;" "&amp;_xlpm.u,ROUND(_xlpm.q,1)&amp;" "&amp;_xlpm.ai_test)),""),""))))</f>
        <v>0</v>
      </c>
      <c r="BD260" s="801"/>
      <c r="BE260" s="799" t="str">
        <f t="shared" si="126"/>
        <v/>
      </c>
      <c r="BF260" s="800" t="str">
        <f t="shared" si="132"/>
        <v/>
      </c>
      <c r="BG260" s="802">
        <f t="shared" si="133"/>
        <v>0</v>
      </c>
      <c r="BH260" s="803" t="str">
        <f t="shared" si="134"/>
        <v/>
      </c>
      <c r="BI260" s="792"/>
      <c r="BJ260" s="804">
        <f t="shared" si="135"/>
        <v>0</v>
      </c>
      <c r="BK260" s="794" t="str">
        <f t="shared" si="127"/>
        <v/>
      </c>
      <c r="BL260" s="227" t="s">
        <v>21</v>
      </c>
      <c r="BM260" s="773">
        <f t="shared" si="117"/>
        <v>0</v>
      </c>
      <c r="BN260" s="774">
        <f t="shared" si="118"/>
        <v>0</v>
      </c>
      <c r="BO260"/>
      <c r="BP260" s="627"/>
      <c r="BQ260" s="627"/>
      <c r="BR260" s="627"/>
      <c r="BS260" s="627"/>
      <c r="BT260" s="627"/>
      <c r="BU260" s="627"/>
      <c r="BV260" s="627"/>
      <c r="BW260" s="627"/>
      <c r="CD260" s="781" t="str">
        <f t="shared" si="113"/>
        <v>►</v>
      </c>
      <c r="CI260"/>
      <c r="CJ260" s="633"/>
      <c r="DI260" s="3">
        <v>1</v>
      </c>
    </row>
    <row r="261" spans="1:115" ht="21" customHeight="1">
      <c r="A261" s="701" t="s">
        <v>21</v>
      </c>
      <c r="B261" s="2265" t="str" cm="1">
        <f t="array" ref="B261">SUMPRODUCT(--(D261:J261&lt;&gt;""), LEN(TRIM(SUBSTITUTE(D261:J261, CHAR(160), "")))) &amp; " Car."</f>
        <v>0 Car.</v>
      </c>
      <c r="C261" s="1376" t="str">
        <f>IF(ISBLANK(D261),"",LARGE(C13:C260,1)+1)</f>
        <v/>
      </c>
      <c r="D261" s="1833"/>
      <c r="E261" s="1810"/>
      <c r="F261" s="1810"/>
      <c r="G261" s="1810"/>
      <c r="H261" s="1810"/>
      <c r="I261" s="1810"/>
      <c r="J261" s="1810"/>
      <c r="K261" s="1810"/>
      <c r="L261" s="1811"/>
      <c r="M261" s="9"/>
      <c r="N261" s="162" t="str">
        <f t="shared" si="114"/>
        <v>A</v>
      </c>
      <c r="O261" s="1616"/>
      <c r="P261" s="9"/>
      <c r="Q261" s="162" t="s">
        <v>10</v>
      </c>
      <c r="R261" s="163" t="str">
        <f>R215</f>
        <v>M MILLE-FEUILLE meringue et chiboust pamplemousse aux fraises des bois | collez la--FAMILLE| Auteur &gt; recette Béghin Say de Jean-Jacques Borne MOF 1994</v>
      </c>
      <c r="S261" s="163">
        <f>S215</f>
        <v>18</v>
      </c>
      <c r="T261" s="164" t="str">
        <f>T215</f>
        <v>desserts</v>
      </c>
      <c r="U261" s="165" t="str">
        <f>U215</f>
        <v>Recette mère ► MILLE-FEUILLE  aux fraises des bois</v>
      </c>
      <c r="V261" s="1548"/>
      <c r="W261" s="1548"/>
      <c r="X261" s="2190">
        <f>ROWS(AB258:AB261)</f>
        <v>4</v>
      </c>
      <c r="Y261" s="5549" t="str" cm="1">
        <f t="array" ref="Y261">IF(SUMPRODUCT((AB261:AG261&lt;&gt;"")*1)=0,"",SUMPRODUCT((AB261:AG261&lt;&gt;"")*(LEN(TRIM(SUBSTITUTE(AB261:AG261,CHAR(160)," "))) - LEN(SUBSTITUTE(TRIM(SUBSTITUTE(AB261:AG261,CHAR(160)," "))," ","")) + 1)) &amp; " mot" &amp; IF(SUMPRODUCT((AB261:AG261&lt;&gt;"")*(LEN(TRIM(SUBSTITUTE(AB261:AG261,CHAR(160)," "))) - LEN(SUBSTITUTE(TRIM(SUBSTITUTE(AB261:AG261,CHAR(160)," "))," ","")) + 1))&gt;1,"s",""))</f>
        <v>9 mots</v>
      </c>
      <c r="Z261" s="5550" t="str" cm="1">
        <f t="array" ref="Z261">SUMPRODUCT(--(AB261:AG261&lt;&gt;""), LEN(TRIM(SUBSTITUTE(AB261:AG261, CHAR(160), "")))) &amp; " Car."</f>
        <v>58 Car.</v>
      </c>
      <c r="AA261" s="1376">
        <f>IF(ISBLANK(AB261),"",LARGE(AA257:AA260,1)+1)</f>
        <v>4</v>
      </c>
      <c r="AB261" s="1810" t="s">
        <v>3058</v>
      </c>
      <c r="AC261" s="1810"/>
      <c r="AD261" s="1810"/>
      <c r="AE261" s="1810"/>
      <c r="AF261" s="1810"/>
      <c r="AG261" s="1810"/>
      <c r="AH261" s="1810"/>
      <c r="AI261" s="5994" t="s">
        <v>181</v>
      </c>
      <c r="AJ261" s="178">
        <v>2.0833333333333332E-2</v>
      </c>
      <c r="AK261" s="6120" t="str">
        <f t="shared" si="128"/>
        <v>►</v>
      </c>
      <c r="AL261" s="781" t="str">
        <f t="shared" si="116"/>
        <v>►</v>
      </c>
      <c r="AM261" s="5499" t="str">
        <f t="shared" si="119"/>
        <v/>
      </c>
      <c r="AN261" s="783" t="str">
        <f t="shared" si="120"/>
        <v/>
      </c>
      <c r="AO261" s="782" t="str">
        <f t="shared" si="121"/>
        <v/>
      </c>
      <c r="AP261" s="783" t="str">
        <f t="shared" si="122"/>
        <v/>
      </c>
      <c r="AQ261" s="2083" t="b">
        <f>AND(Q261="A",COUNTIF(BP16:BR63,TRIM(Z261))&gt;0)</f>
        <v>0</v>
      </c>
      <c r="AR261" s="797" t="str">
        <f>IF(AL261&lt;&gt;"A","",IFERROR(IFERROR(_xlfn.XLOOKUP(TRIM(SUBSTITUTE(Z261,CHAR(160)," ")),BP16:BP63,BS16:BS63),IFERROR(_xlfn.XLOOKUP(TRIM(SUBSTITUTE(Z261,CHAR(160)," ")),BQ16:BQ63,BS16:BS63),_xlfn.XLOOKUP(TRIM(SUBSTITUTE(Z261,CHAR(160)," ")),BR16:BR63,BS16:BS63)))*Y261*IF(ISBLANK(V261),1,V261),0))</f>
        <v/>
      </c>
      <c r="AS261" s="784" t="str">
        <f t="shared" si="112"/>
        <v/>
      </c>
      <c r="AT261" s="1315" t="str">
        <f t="shared" si="123"/>
        <v/>
      </c>
      <c r="AU261" s="785">
        <f t="shared" si="124"/>
        <v>0</v>
      </c>
      <c r="AV261" s="785">
        <f t="shared" si="125"/>
        <v>0</v>
      </c>
      <c r="AW261" s="786">
        <f>IF(AK261="A",AY10,0)</f>
        <v>0</v>
      </c>
      <c r="AX261" s="5495" t="str">
        <f>IF(IFERROR(SEARCH("Adresse PC",TRIM(W261)),0)&gt;0,"▼ receta siguiente",IF(AK261="A",IF(AZ10&lt;&gt;"",AZ10&amp;" - ou.or.o ❾ + or - &gt;",""),""))</f>
        <v/>
      </c>
      <c r="AY261" s="810"/>
      <c r="AZ261" s="810"/>
      <c r="BA261" s="788" t="str">
        <f t="shared" si="115"/>
        <v/>
      </c>
      <c r="BB261" s="789" t="str">
        <f>IF(AK261="A",IF(AQ261,IF(AND(AW261&lt;&gt;"",N(AW261)&gt;0),IFERROR(IFERROR(_xlfn.XLOOKUP(AP261,BP10:BP57,BT10:BT57),IFERROR(_xlfn.XLOOKUP(AP261,BQ10:BQ57,BT10:BT57),_xlfn.XLOOKUP(AP261,BR10:BR57,BT10:BT57,""))),""),""),""),"")</f>
        <v/>
      </c>
      <c r="BC261" s="811" cm="1">
        <f t="array" ref="BC261">IF(NOT(AQ261),0,IF(OR(BA261="",N(BA261)&lt;=0.000000001),"",IF(OR(AU261="",N(AU261)&lt;=0.000000001),0,IF(ISNUMBER(BA261),IFERROR(_xlfn.LET(_xlpm.ai_test,TRIM(AP261),_xlpm.r,IFERROR(_xlfn.XLOOKUP(_xlpm.ai_test,BP16:BP63,ROW(BP16:BP63),0,1),IFERROR(_xlfn.XLOOKUP(_xlpm.ai_test,BQ16:BQ63,ROW(BQ16:BQ63),0,1),_xlfn.XLOOKUP(_xlpm.ai_test,BR16:BR63,ROW(BR16:BR63),0,1))),_xlpm.p,_xlpm.r-MIN(ROW(BP16:BP63))+1,_xlpm.f,INDEX(BS16:BS63,_xlpm.p),_xlpm.u,INDEX(BT16:BT63,_xlpm.p),_xlpm.s,INDEX(BV16:BV63,_xlpm.p),_xlpm.q,N(BA261)/_xlpm.f,IF(_xlpm.q&gt;=_xlpm.s,ROUND(_xlpm.q,1)&amp;" "&amp;_xlpm.ai_test&amp;" = "&amp;ROUND(_xlpm.q*_xlpm.f,1)&amp;" "&amp;_xlpm.u,ROUND(_xlpm.q,1)&amp;" "&amp;_xlpm.ai_test)),""),""))))</f>
        <v>0</v>
      </c>
      <c r="BD261" s="801"/>
      <c r="BE261" s="788" t="str">
        <f t="shared" si="126"/>
        <v/>
      </c>
      <c r="BF261" s="789" t="str">
        <f t="shared" si="132"/>
        <v/>
      </c>
      <c r="BG261" s="790">
        <f t="shared" si="133"/>
        <v>0</v>
      </c>
      <c r="BH261" s="791" t="str">
        <f t="shared" si="134"/>
        <v/>
      </c>
      <c r="BI261" s="792"/>
      <c r="BJ261" s="793">
        <f t="shared" si="135"/>
        <v>0</v>
      </c>
      <c r="BK261" s="794" t="str">
        <f t="shared" si="127"/>
        <v/>
      </c>
      <c r="BL261" s="227" t="s">
        <v>21</v>
      </c>
      <c r="BM261" s="773">
        <f t="shared" si="117"/>
        <v>0</v>
      </c>
      <c r="BN261" s="774">
        <f t="shared" si="118"/>
        <v>0</v>
      </c>
      <c r="BO261"/>
      <c r="BP261" s="627"/>
      <c r="BQ261" s="627"/>
      <c r="BR261" s="627"/>
      <c r="BS261" s="627"/>
      <c r="BT261" s="627"/>
      <c r="BU261" s="627"/>
      <c r="BV261" s="627"/>
      <c r="BW261" s="627"/>
      <c r="CD261" s="781" t="str">
        <f t="shared" si="113"/>
        <v>►</v>
      </c>
      <c r="CI261"/>
      <c r="CJ261" s="633"/>
      <c r="DI261" s="3">
        <v>1</v>
      </c>
    </row>
    <row r="262" spans="1:115" ht="21" customHeight="1">
      <c r="A262" s="701" t="s">
        <v>21</v>
      </c>
      <c r="B262" s="2265" t="str" cm="1">
        <f t="array" ref="B262">SUMPRODUCT(--(D262:J262&lt;&gt;""), LEN(TRIM(SUBSTITUTE(D262:J262, CHAR(160), "")))) &amp; " Car."</f>
        <v>0 Car.</v>
      </c>
      <c r="C262" s="1376" t="str">
        <f>IF(ISBLANK(D262),"",LARGE(C13:C261,1)+1)</f>
        <v/>
      </c>
      <c r="D262" s="1833"/>
      <c r="E262" s="1810"/>
      <c r="F262" s="1810"/>
      <c r="G262" s="1810"/>
      <c r="H262" s="1810"/>
      <c r="I262" s="1810"/>
      <c r="J262" s="1810"/>
      <c r="K262" s="1810"/>
      <c r="L262" s="1811"/>
      <c r="M262" s="9"/>
      <c r="N262" s="162" t="str">
        <f t="shared" si="114"/>
        <v>A</v>
      </c>
      <c r="O262" s="1616"/>
      <c r="P262" s="9"/>
      <c r="Q262" s="162" t="s">
        <v>10</v>
      </c>
      <c r="R262" s="163" t="str">
        <f>R215</f>
        <v>M MILLE-FEUILLE meringue et chiboust pamplemousse aux fraises des bois | collez la--FAMILLE| Auteur &gt; recette Béghin Say de Jean-Jacques Borne MOF 1994</v>
      </c>
      <c r="S262" s="163">
        <f>S215</f>
        <v>18</v>
      </c>
      <c r="T262" s="164" t="str">
        <f>T215</f>
        <v>desserts</v>
      </c>
      <c r="U262" s="165" t="str">
        <f>U215</f>
        <v>Recette mère ► MILLE-FEUILLE  aux fraises des bois</v>
      </c>
      <c r="V262" s="1548"/>
      <c r="W262" s="1548"/>
      <c r="X262" s="2190">
        <f>ROWS(AB258:AB262)</f>
        <v>5</v>
      </c>
      <c r="Y262" s="5549" t="str" cm="1">
        <f t="array" ref="Y262">IF(SUMPRODUCT((AB262:AG262&lt;&gt;"")*1)=0,"",SUMPRODUCT((AB262:AG262&lt;&gt;"")*(LEN(TRIM(SUBSTITUTE(AB262:AG262,CHAR(160)," "))) - LEN(SUBSTITUTE(TRIM(SUBSTITUTE(AB262:AG262,CHAR(160)," "))," ","")) + 1)) &amp; " mot" &amp; IF(SUMPRODUCT((AB262:AG262&lt;&gt;"")*(LEN(TRIM(SUBSTITUTE(AB262:AG262,CHAR(160)," "))) - LEN(SUBSTITUTE(TRIM(SUBSTITUTE(AB262:AG262,CHAR(160)," "))," ","")) + 1))&gt;1,"s",""))</f>
        <v>6 mots</v>
      </c>
      <c r="Z262" s="5550" t="str" cm="1">
        <f t="array" ref="Z262">SUMPRODUCT(--(AB262:AG262&lt;&gt;""), LEN(TRIM(SUBSTITUTE(AB262:AG262, CHAR(160), "")))) &amp; " Car."</f>
        <v>38 Car.</v>
      </c>
      <c r="AA262" s="1376">
        <f>IF(ISBLANK(AB262),"",LARGE(AA257:AA261,1)+1)</f>
        <v>5</v>
      </c>
      <c r="AB262" s="1810" t="s">
        <v>3059</v>
      </c>
      <c r="AC262" s="1833"/>
      <c r="AD262" s="1810"/>
      <c r="AE262" s="1810"/>
      <c r="AF262" s="1810"/>
      <c r="AG262" s="1810"/>
      <c r="AH262" s="1810"/>
      <c r="AI262" s="179" t="s">
        <v>182</v>
      </c>
      <c r="AJ262" s="180">
        <f>AJ259+AJ260+AJ261</f>
        <v>3.4722222222222224E-2</v>
      </c>
      <c r="AK262" s="6120" t="str">
        <f t="shared" si="128"/>
        <v>►</v>
      </c>
      <c r="AL262" s="781" t="str">
        <f t="shared" si="116"/>
        <v>►</v>
      </c>
      <c r="AM262" s="5498" t="str">
        <f t="shared" si="119"/>
        <v/>
      </c>
      <c r="AN262" s="783" t="str">
        <f t="shared" si="120"/>
        <v/>
      </c>
      <c r="AO262" s="782" t="str">
        <f t="shared" si="121"/>
        <v/>
      </c>
      <c r="AP262" s="783" t="str">
        <f t="shared" si="122"/>
        <v/>
      </c>
      <c r="AQ262" s="2083" t="b">
        <f>AND(Q262="A",COUNTIF(BP16:BR63,TRIM(Z262))&gt;0)</f>
        <v>0</v>
      </c>
      <c r="AR262" s="797" t="str">
        <f>IF(AL262&lt;&gt;"A","",IFERROR(IFERROR(_xlfn.XLOOKUP(TRIM(SUBSTITUTE(Z262,CHAR(160)," ")),BP16:BP63,BS16:BS63),IFERROR(_xlfn.XLOOKUP(TRIM(SUBSTITUTE(Z262,CHAR(160)," ")),BQ16:BQ63,BS16:BS63),_xlfn.XLOOKUP(TRIM(SUBSTITUTE(Z262,CHAR(160)," ")),BR16:BR63,BS16:BS63)))*Y262*IF(ISBLANK(V262),1,V262),0))</f>
        <v/>
      </c>
      <c r="AS262" s="784" t="str">
        <f t="shared" si="112"/>
        <v/>
      </c>
      <c r="AT262" s="1315" t="str">
        <f t="shared" si="123"/>
        <v/>
      </c>
      <c r="AU262" s="785">
        <f t="shared" si="124"/>
        <v>0</v>
      </c>
      <c r="AV262" s="785">
        <f t="shared" si="125"/>
        <v>0</v>
      </c>
      <c r="AW262" s="798">
        <f>IF(AK262="A",AY10,0)</f>
        <v>0</v>
      </c>
      <c r="AX262" s="5496" t="str">
        <f>IF(IFERROR(SEARCH("Adresse PC",TRIM(W262)),0)&gt;0,"▼ receta siguiente",IF(AK262="A",IF(AZ10&lt;&gt;"",AZ10&amp;" - ou.or.o ❾ + or - &gt;",""),""))</f>
        <v/>
      </c>
      <c r="AY262" s="810"/>
      <c r="AZ262" s="810"/>
      <c r="BA262" s="799" t="str">
        <f t="shared" si="115"/>
        <v/>
      </c>
      <c r="BB262" s="800" t="str">
        <f>IF(AK262="A",IF(AQ262,IF(AND(AW262&lt;&gt;"",N(AW262)&gt;0),IFERROR(IFERROR(_xlfn.XLOOKUP(AP262,BP10:BP57,BT10:BT57),IFERROR(_xlfn.XLOOKUP(AP262,BQ10:BQ57,BT10:BT57),_xlfn.XLOOKUP(AP262,BR10:BR57,BT10:BT57,""))),""),""),""),"")</f>
        <v/>
      </c>
      <c r="BC262" s="813" cm="1">
        <f t="array" ref="BC262">IF(NOT(AQ262),0,IF(OR(BA262="",N(BA262)&lt;=0.000000001),"",IF(OR(AU262="",N(AU262)&lt;=0.000000001),0,IF(ISNUMBER(BA262),IFERROR(_xlfn.LET(_xlpm.ai_test,TRIM(AP262),_xlpm.r,IFERROR(_xlfn.XLOOKUP(_xlpm.ai_test,BP16:BP63,ROW(BP16:BP63),0,1),IFERROR(_xlfn.XLOOKUP(_xlpm.ai_test,BQ16:BQ63,ROW(BQ16:BQ63),0,1),_xlfn.XLOOKUP(_xlpm.ai_test,BR16:BR63,ROW(BR16:BR63),0,1))),_xlpm.p,_xlpm.r-MIN(ROW(BP16:BP63))+1,_xlpm.f,INDEX(BS16:BS63,_xlpm.p),_xlpm.u,INDEX(BT16:BT63,_xlpm.p),_xlpm.s,INDEX(BV16:BV63,_xlpm.p),_xlpm.q,N(BA262)/_xlpm.f,IF(_xlpm.q&gt;=_xlpm.s,ROUND(_xlpm.q,1)&amp;" "&amp;_xlpm.ai_test&amp;" = "&amp;ROUND(_xlpm.q*_xlpm.f,1)&amp;" "&amp;_xlpm.u,ROUND(_xlpm.q,1)&amp;" "&amp;_xlpm.ai_test)),""),""))))</f>
        <v>0</v>
      </c>
      <c r="BD262" s="801"/>
      <c r="BE262" s="799" t="str">
        <f t="shared" si="126"/>
        <v/>
      </c>
      <c r="BF262" s="800" t="str">
        <f t="shared" si="132"/>
        <v/>
      </c>
      <c r="BG262" s="802">
        <f t="shared" si="133"/>
        <v>0</v>
      </c>
      <c r="BH262" s="803" t="str">
        <f t="shared" si="134"/>
        <v/>
      </c>
      <c r="BI262" s="792"/>
      <c r="BJ262" s="804">
        <f t="shared" si="135"/>
        <v>0</v>
      </c>
      <c r="BK262" s="794" t="str">
        <f t="shared" si="127"/>
        <v/>
      </c>
      <c r="BL262" s="227" t="s">
        <v>21</v>
      </c>
      <c r="BM262" s="773">
        <f t="shared" si="117"/>
        <v>0</v>
      </c>
      <c r="BN262" s="774">
        <f t="shared" si="118"/>
        <v>0</v>
      </c>
      <c r="BO262"/>
      <c r="BP262" s="627"/>
      <c r="BQ262" s="627"/>
      <c r="BR262" s="627"/>
      <c r="BS262" s="627"/>
      <c r="BT262" s="627"/>
      <c r="BU262" s="627"/>
      <c r="BV262" s="627"/>
      <c r="BW262" s="627"/>
      <c r="CD262" s="781" t="str">
        <f t="shared" si="113"/>
        <v>►</v>
      </c>
      <c r="CI262"/>
      <c r="CJ262" s="633"/>
      <c r="DI262" s="3">
        <v>1</v>
      </c>
    </row>
    <row r="263" spans="1:115" ht="21" customHeight="1">
      <c r="A263" s="701" t="s">
        <v>21</v>
      </c>
      <c r="B263" s="2265" t="str" cm="1">
        <f t="array" ref="B263">SUMPRODUCT(--(D263:J263&lt;&gt;""), LEN(TRIM(SUBSTITUTE(D263:J263, CHAR(160), "")))) &amp; " Car."</f>
        <v>0 Car.</v>
      </c>
      <c r="C263" s="1376" t="str">
        <f>IF(ISBLANK(D263),"",LARGE(C13:C262,1)+1)</f>
        <v/>
      </c>
      <c r="D263" s="1833"/>
      <c r="E263" s="1810"/>
      <c r="F263" s="1810"/>
      <c r="G263" s="1810"/>
      <c r="H263" s="1810"/>
      <c r="I263" s="1810"/>
      <c r="J263" s="1810"/>
      <c r="K263" s="1810"/>
      <c r="L263" s="1811"/>
      <c r="M263" s="9"/>
      <c r="N263" s="162" t="str">
        <f t="shared" si="114"/>
        <v>A</v>
      </c>
      <c r="O263" s="1616"/>
      <c r="P263" s="9"/>
      <c r="Q263" s="162" t="s">
        <v>10</v>
      </c>
      <c r="R263" s="163" t="str">
        <f>R215</f>
        <v>M MILLE-FEUILLE meringue et chiboust pamplemousse aux fraises des bois | collez la--FAMILLE| Auteur &gt; recette Béghin Say de Jean-Jacques Borne MOF 1994</v>
      </c>
      <c r="S263" s="163">
        <f>S215</f>
        <v>18</v>
      </c>
      <c r="T263" s="164" t="str">
        <f>T215</f>
        <v>desserts</v>
      </c>
      <c r="U263" s="165" t="str">
        <f>U215</f>
        <v>Recette mère ► MILLE-FEUILLE  aux fraises des bois</v>
      </c>
      <c r="V263" s="1548"/>
      <c r="W263" s="1548"/>
      <c r="X263" s="2190">
        <f>ROWS(AB258:AB263)</f>
        <v>6</v>
      </c>
      <c r="Y263" s="5549" t="str" cm="1">
        <f t="array" ref="Y263">IF(SUMPRODUCT((AB263:AG263&lt;&gt;"")*1)=0,"",SUMPRODUCT((AB263:AG263&lt;&gt;"")*(LEN(TRIM(SUBSTITUTE(AB263:AG263,CHAR(160)," "))) - LEN(SUBSTITUTE(TRIM(SUBSTITUTE(AB263:AG263,CHAR(160)," "))," ","")) + 1)) &amp; " mot" &amp; IF(SUMPRODUCT((AB263:AG263&lt;&gt;"")*(LEN(TRIM(SUBSTITUTE(AB263:AG263,CHAR(160)," "))) - LEN(SUBSTITUTE(TRIM(SUBSTITUTE(AB263:AG263,CHAR(160)," "))," ","")) + 1))&gt;1,"s",""))</f>
        <v/>
      </c>
      <c r="Z263" s="5550" t="str" cm="1">
        <f t="array" ref="Z263">SUMPRODUCT(--(AB263:AG263&lt;&gt;""), LEN(TRIM(SUBSTITUTE(AB263:AG263, CHAR(160), "")))) &amp; " Car."</f>
        <v>0 Car.</v>
      </c>
      <c r="AA263" s="1376" t="str">
        <f>IF(ISBLANK(AB263),"",LARGE(AA257:AA262,1)+1)</f>
        <v/>
      </c>
      <c r="AB263" s="1810"/>
      <c r="AC263" s="1810"/>
      <c r="AD263" s="1810"/>
      <c r="AE263" s="1810"/>
      <c r="AF263" s="1810"/>
      <c r="AG263" s="1810"/>
      <c r="AH263" s="1810"/>
      <c r="AI263" s="1810"/>
      <c r="AJ263" s="1811"/>
      <c r="AK263" s="6120" t="str">
        <f t="shared" si="128"/>
        <v>►</v>
      </c>
      <c r="AL263" s="781" t="str">
        <f t="shared" si="116"/>
        <v>►</v>
      </c>
      <c r="AM263" s="5499" t="str">
        <f t="shared" si="119"/>
        <v/>
      </c>
      <c r="AN263" s="783" t="str">
        <f t="shared" si="120"/>
        <v/>
      </c>
      <c r="AO263" s="782" t="str">
        <f t="shared" si="121"/>
        <v/>
      </c>
      <c r="AP263" s="783" t="str">
        <f t="shared" si="122"/>
        <v/>
      </c>
      <c r="AQ263" s="2083" t="b">
        <f>AND(Q263="A",COUNTIF(BP16:BR63,TRIM(Z263))&gt;0)</f>
        <v>0</v>
      </c>
      <c r="AR263" s="797" t="str">
        <f>IF(AL263&lt;&gt;"A","",IFERROR(IFERROR(_xlfn.XLOOKUP(TRIM(SUBSTITUTE(Z263,CHAR(160)," ")),BP16:BP63,BS16:BS63),IFERROR(_xlfn.XLOOKUP(TRIM(SUBSTITUTE(Z263,CHAR(160)," ")),BQ16:BQ63,BS16:BS63),_xlfn.XLOOKUP(TRIM(SUBSTITUTE(Z263,CHAR(160)," ")),BR16:BR63,BS16:BS63)))*Y263*IF(ISBLANK(V263),1,V263),0))</f>
        <v/>
      </c>
      <c r="AS263" s="784" t="str">
        <f t="shared" ref="AS263:AS326" si="138">IF(AK263="A",IF(AND(AQ263,AR263&gt;0),"Kg",""),"")</f>
        <v/>
      </c>
      <c r="AT263" s="1315" t="str">
        <f t="shared" si="123"/>
        <v/>
      </c>
      <c r="AU263" s="785">
        <f t="shared" si="124"/>
        <v>0</v>
      </c>
      <c r="AV263" s="785">
        <f t="shared" si="125"/>
        <v>0</v>
      </c>
      <c r="AW263" s="786">
        <f>IF(AK263="A",AY10,0)</f>
        <v>0</v>
      </c>
      <c r="AX263" s="5495" t="str">
        <f>IF(IFERROR(SEARCH("Adresse PC",TRIM(W263)),0)&gt;0,"▼ receta siguiente",IF(AK263="A",IF(AZ10&lt;&gt;"",AZ10&amp;" - ou.or.o ❾ + or - &gt;",""),""))</f>
        <v/>
      </c>
      <c r="AY263" s="810"/>
      <c r="AZ263" s="810"/>
      <c r="BA263" s="788" t="str">
        <f t="shared" si="115"/>
        <v/>
      </c>
      <c r="BB263" s="789" t="str">
        <f>IF(AK263="A",IF(AQ263,IF(AND(AW263&lt;&gt;"",N(AW263)&gt;0),IFERROR(IFERROR(_xlfn.XLOOKUP(AP263,BP10:BP57,BT10:BT57),IFERROR(_xlfn.XLOOKUP(AP263,BQ10:BQ57,BT10:BT57),_xlfn.XLOOKUP(AP263,BR10:BR57,BT10:BT57,""))),""),""),""),"")</f>
        <v/>
      </c>
      <c r="BC263" s="811" cm="1">
        <f t="array" ref="BC263">IF(NOT(AQ263),0,IF(OR(BA263="",N(BA263)&lt;=0.000000001),"",IF(OR(AU263="",N(AU263)&lt;=0.000000001),0,IF(ISNUMBER(BA263),IFERROR(_xlfn.LET(_xlpm.ai_test,TRIM(AP263),_xlpm.r,IFERROR(_xlfn.XLOOKUP(_xlpm.ai_test,BP16:BP63,ROW(BP16:BP63),0,1),IFERROR(_xlfn.XLOOKUP(_xlpm.ai_test,BQ16:BQ63,ROW(BQ16:BQ63),0,1),_xlfn.XLOOKUP(_xlpm.ai_test,BR16:BR63,ROW(BR16:BR63),0,1))),_xlpm.p,_xlpm.r-MIN(ROW(BP16:BP63))+1,_xlpm.f,INDEX(BS16:BS63,_xlpm.p),_xlpm.u,INDEX(BT16:BT63,_xlpm.p),_xlpm.s,INDEX(BV16:BV63,_xlpm.p),_xlpm.q,N(BA263)/_xlpm.f,IF(_xlpm.q&gt;=_xlpm.s,ROUND(_xlpm.q,1)&amp;" "&amp;_xlpm.ai_test&amp;" = "&amp;ROUND(_xlpm.q*_xlpm.f,1)&amp;" "&amp;_xlpm.u,ROUND(_xlpm.q,1)&amp;" "&amp;_xlpm.ai_test)),""),""))))</f>
        <v>0</v>
      </c>
      <c r="BD263" s="801"/>
      <c r="BE263" s="788" t="str">
        <f t="shared" si="126"/>
        <v/>
      </c>
      <c r="BF263" s="789" t="str">
        <f t="shared" si="132"/>
        <v/>
      </c>
      <c r="BG263" s="790">
        <f t="shared" si="133"/>
        <v>0</v>
      </c>
      <c r="BH263" s="791" t="str">
        <f t="shared" si="134"/>
        <v/>
      </c>
      <c r="BI263" s="792"/>
      <c r="BJ263" s="793">
        <f t="shared" si="135"/>
        <v>0</v>
      </c>
      <c r="BK263" s="794" t="str">
        <f t="shared" si="127"/>
        <v/>
      </c>
      <c r="BL263" s="227" t="s">
        <v>21</v>
      </c>
      <c r="BM263" s="773">
        <f t="shared" si="117"/>
        <v>0</v>
      </c>
      <c r="BN263" s="774">
        <f t="shared" si="118"/>
        <v>0</v>
      </c>
      <c r="BO263"/>
      <c r="BP263" s="627"/>
      <c r="BQ263" s="627"/>
      <c r="BR263" s="627"/>
      <c r="BS263" s="627"/>
      <c r="BT263" s="627"/>
      <c r="BU263" s="627"/>
      <c r="BV263" s="627"/>
      <c r="BW263" s="627"/>
      <c r="CD263" s="781" t="str">
        <f t="shared" ref="CD263:CD326" si="139">AL263</f>
        <v>►</v>
      </c>
      <c r="CI263"/>
      <c r="CJ263" s="633"/>
      <c r="DI263" s="3">
        <v>1</v>
      </c>
    </row>
    <row r="264" spans="1:115" ht="21" customHeight="1">
      <c r="A264" s="701" t="s">
        <v>21</v>
      </c>
      <c r="B264" s="2265" t="str" cm="1">
        <f t="array" ref="B264">SUMPRODUCT(--(D264:J264&lt;&gt;""), LEN(TRIM(SUBSTITUTE(D264:J264, CHAR(160), "")))) &amp; " Car."</f>
        <v>0 Car.</v>
      </c>
      <c r="C264" s="1376" t="str">
        <f>IF(ISBLANK(D264),"",LARGE(C13:C263,1)+1)</f>
        <v/>
      </c>
      <c r="D264" s="1833"/>
      <c r="E264" s="1810"/>
      <c r="F264" s="1810"/>
      <c r="G264" s="1810"/>
      <c r="H264" s="1810"/>
      <c r="I264" s="1810"/>
      <c r="J264" s="1810"/>
      <c r="K264" s="1810"/>
      <c r="L264" s="1811"/>
      <c r="M264" s="9"/>
      <c r="N264" s="162" t="str">
        <f t="shared" si="114"/>
        <v>A</v>
      </c>
      <c r="O264" s="1616"/>
      <c r="P264" s="9"/>
      <c r="Q264" s="162" t="s">
        <v>10</v>
      </c>
      <c r="R264" s="163" t="str">
        <f>R215</f>
        <v>M MILLE-FEUILLE meringue et chiboust pamplemousse aux fraises des bois | collez la--FAMILLE| Auteur &gt; recette Béghin Say de Jean-Jacques Borne MOF 1994</v>
      </c>
      <c r="S264" s="163">
        <f>S215</f>
        <v>18</v>
      </c>
      <c r="T264" s="164" t="str">
        <f>T215</f>
        <v>desserts</v>
      </c>
      <c r="U264" s="165" t="str">
        <f>U215</f>
        <v>Recette mère ► MILLE-FEUILLE  aux fraises des bois</v>
      </c>
      <c r="V264" s="1548"/>
      <c r="W264" s="1548"/>
      <c r="X264" s="2190">
        <f>ROWS(AB258:AB264)</f>
        <v>7</v>
      </c>
      <c r="Y264" s="5549" t="str" cm="1">
        <f t="array" ref="Y264">IF(SUMPRODUCT((AB264:AG264&lt;&gt;"")*1)=0,"",SUMPRODUCT((AB264:AG264&lt;&gt;"")*(LEN(TRIM(SUBSTITUTE(AB264:AG264,CHAR(160)," "))) - LEN(SUBSTITUTE(TRIM(SUBSTITUTE(AB264:AG264,CHAR(160)," "))," ","")) + 1)) &amp; " mot" &amp; IF(SUMPRODUCT((AB264:AG264&lt;&gt;"")*(LEN(TRIM(SUBSTITUTE(AB264:AG264,CHAR(160)," "))) - LEN(SUBSTITUTE(TRIM(SUBSTITUTE(AB264:AG264,CHAR(160)," "))," ","")) + 1))&gt;1,"s",""))</f>
        <v>8 mots</v>
      </c>
      <c r="Z264" s="5550" t="str" cm="1">
        <f t="array" ref="Z264">SUMPRODUCT(--(AB264:AG264&lt;&gt;""), LEN(TRIM(SUBSTITUTE(AB264:AG264, CHAR(160), "")))) &amp; " Car."</f>
        <v>43 Car.</v>
      </c>
      <c r="AA264" s="1376">
        <f>IF(ISBLANK(AB264),"",LARGE(AA257:AA263,1)+1)</f>
        <v>6</v>
      </c>
      <c r="AB264" s="1810" t="s">
        <v>3060</v>
      </c>
      <c r="AC264" s="1810" t="s">
        <v>3075</v>
      </c>
      <c r="AD264" s="1810"/>
      <c r="AE264" s="1810"/>
      <c r="AF264" s="1810"/>
      <c r="AG264" s="1810"/>
      <c r="AH264" s="1810"/>
      <c r="AI264" s="1810"/>
      <c r="AJ264" s="1811"/>
      <c r="AK264" s="6120" t="str">
        <f t="shared" si="128"/>
        <v>►</v>
      </c>
      <c r="AL264" s="781" t="str">
        <f t="shared" si="116"/>
        <v>►</v>
      </c>
      <c r="AM264" s="5498" t="str">
        <f t="shared" si="119"/>
        <v/>
      </c>
      <c r="AN264" s="783" t="str">
        <f t="shared" si="120"/>
        <v/>
      </c>
      <c r="AO264" s="782" t="str">
        <f t="shared" si="121"/>
        <v/>
      </c>
      <c r="AP264" s="783" t="str">
        <f t="shared" si="122"/>
        <v/>
      </c>
      <c r="AQ264" s="2083" t="b">
        <f>AND(Q264="A",COUNTIF(BP16:BR63,TRIM(Z264))&gt;0)</f>
        <v>0</v>
      </c>
      <c r="AR264" s="797" t="str">
        <f>IF(AL264&lt;&gt;"A","",IFERROR(IFERROR(_xlfn.XLOOKUP(TRIM(SUBSTITUTE(Z264,CHAR(160)," ")),BP16:BP63,BS16:BS63),IFERROR(_xlfn.XLOOKUP(TRIM(SUBSTITUTE(Z264,CHAR(160)," ")),BQ16:BQ63,BS16:BS63),_xlfn.XLOOKUP(TRIM(SUBSTITUTE(Z264,CHAR(160)," ")),BR16:BR63,BS16:BS63)))*Y264*IF(ISBLANK(V264),1,V264),0))</f>
        <v/>
      </c>
      <c r="AS264" s="784" t="str">
        <f t="shared" si="138"/>
        <v/>
      </c>
      <c r="AT264" s="1315" t="str">
        <f t="shared" si="123"/>
        <v/>
      </c>
      <c r="AU264" s="785">
        <f t="shared" si="124"/>
        <v>0</v>
      </c>
      <c r="AV264" s="785">
        <f t="shared" si="125"/>
        <v>0</v>
      </c>
      <c r="AW264" s="798">
        <f>IF(AK264="A",AY10,0)</f>
        <v>0</v>
      </c>
      <c r="AX264" s="5496" t="str">
        <f>IF(IFERROR(SEARCH("Adresse PC",TRIM(W264)),0)&gt;0,"▼ receta siguiente",IF(AK264="A",IF(AZ10&lt;&gt;"",AZ10&amp;" - ou.or.o ❾ + or - &gt;",""),""))</f>
        <v/>
      </c>
      <c r="AY264" s="810"/>
      <c r="AZ264" s="810"/>
      <c r="BA264" s="799" t="str">
        <f t="shared" si="115"/>
        <v/>
      </c>
      <c r="BB264" s="800" t="str">
        <f>IF(AK264="A",IF(AQ264,IF(AND(AW264&lt;&gt;"",N(AW264)&gt;0),IFERROR(IFERROR(_xlfn.XLOOKUP(AP264,BP10:BP57,BT10:BT57),IFERROR(_xlfn.XLOOKUP(AP264,BQ10:BQ57,BT10:BT57),_xlfn.XLOOKUP(AP264,BR10:BR57,BT10:BT57,""))),""),""),""),"")</f>
        <v/>
      </c>
      <c r="BC264" s="813" cm="1">
        <f t="array" ref="BC264">IF(NOT(AQ264),0,IF(OR(BA264="",N(BA264)&lt;=0.000000001),"",IF(OR(AU264="",N(AU264)&lt;=0.000000001),0,IF(ISNUMBER(BA264),IFERROR(_xlfn.LET(_xlpm.ai_test,TRIM(AP264),_xlpm.r,IFERROR(_xlfn.XLOOKUP(_xlpm.ai_test,BP16:BP63,ROW(BP16:BP63),0,1),IFERROR(_xlfn.XLOOKUP(_xlpm.ai_test,BQ16:BQ63,ROW(BQ16:BQ63),0,1),_xlfn.XLOOKUP(_xlpm.ai_test,BR16:BR63,ROW(BR16:BR63),0,1))),_xlpm.p,_xlpm.r-MIN(ROW(BP16:BP63))+1,_xlpm.f,INDEX(BS16:BS63,_xlpm.p),_xlpm.u,INDEX(BT16:BT63,_xlpm.p),_xlpm.s,INDEX(BV16:BV63,_xlpm.p),_xlpm.q,N(BA264)/_xlpm.f,IF(_xlpm.q&gt;=_xlpm.s,ROUND(_xlpm.q,1)&amp;" "&amp;_xlpm.ai_test&amp;" = "&amp;ROUND(_xlpm.q*_xlpm.f,1)&amp;" "&amp;_xlpm.u,ROUND(_xlpm.q,1)&amp;" "&amp;_xlpm.ai_test)),""),""))))</f>
        <v>0</v>
      </c>
      <c r="BD264" s="801"/>
      <c r="BE264" s="799" t="str">
        <f t="shared" si="126"/>
        <v/>
      </c>
      <c r="BF264" s="800" t="str">
        <f t="shared" si="132"/>
        <v/>
      </c>
      <c r="BG264" s="802">
        <f t="shared" si="133"/>
        <v>0</v>
      </c>
      <c r="BH264" s="803" t="str">
        <f t="shared" si="134"/>
        <v/>
      </c>
      <c r="BI264" s="792"/>
      <c r="BJ264" s="804">
        <f t="shared" si="135"/>
        <v>0</v>
      </c>
      <c r="BK264" s="794" t="str">
        <f t="shared" si="127"/>
        <v/>
      </c>
      <c r="BL264" s="227" t="s">
        <v>21</v>
      </c>
      <c r="BM264" s="773">
        <f t="shared" si="117"/>
        <v>0</v>
      </c>
      <c r="BN264" s="774">
        <f t="shared" si="118"/>
        <v>0</v>
      </c>
      <c r="BO264"/>
      <c r="BP264" s="627"/>
      <c r="BQ264" s="627"/>
      <c r="BR264" s="627"/>
      <c r="BS264" s="627"/>
      <c r="BT264" s="627"/>
      <c r="BU264" s="627"/>
      <c r="BV264" s="627"/>
      <c r="BW264" s="627"/>
      <c r="CD264" s="781" t="str">
        <f t="shared" si="139"/>
        <v>►</v>
      </c>
      <c r="CI264"/>
      <c r="CJ264" s="633"/>
      <c r="DI264" s="3">
        <v>1</v>
      </c>
    </row>
    <row r="265" spans="1:115" ht="21" customHeight="1">
      <c r="A265" s="701" t="s">
        <v>21</v>
      </c>
      <c r="B265" s="2265" t="str" cm="1">
        <f t="array" ref="B265">SUMPRODUCT(--(D265:J265&lt;&gt;""), LEN(TRIM(SUBSTITUTE(D265:J265, CHAR(160), "")))) &amp; " Car."</f>
        <v>0 Car.</v>
      </c>
      <c r="C265" s="1376" t="str">
        <f>IF(ISBLANK(D265),"",LARGE(C13:C264,1)+1)</f>
        <v/>
      </c>
      <c r="D265" s="1833"/>
      <c r="E265" s="1810"/>
      <c r="F265" s="1810"/>
      <c r="G265" s="1810"/>
      <c r="H265" s="1810"/>
      <c r="I265" s="1810"/>
      <c r="J265" s="1810"/>
      <c r="K265" s="1810"/>
      <c r="L265" s="1811"/>
      <c r="M265" s="9"/>
      <c r="N265" s="162" t="str">
        <f t="shared" si="114"/>
        <v>A</v>
      </c>
      <c r="O265" s="1616"/>
      <c r="P265" s="9"/>
      <c r="Q265" s="162" t="s">
        <v>10</v>
      </c>
      <c r="R265" s="163" t="str">
        <f>R215</f>
        <v>M MILLE-FEUILLE meringue et chiboust pamplemousse aux fraises des bois | collez la--FAMILLE| Auteur &gt; recette Béghin Say de Jean-Jacques Borne MOF 1994</v>
      </c>
      <c r="S265" s="163">
        <f>S215</f>
        <v>18</v>
      </c>
      <c r="T265" s="164" t="str">
        <f>T215</f>
        <v>desserts</v>
      </c>
      <c r="U265" s="165" t="str">
        <f>U215</f>
        <v>Recette mère ► MILLE-FEUILLE  aux fraises des bois</v>
      </c>
      <c r="V265" s="1548"/>
      <c r="W265" s="1548"/>
      <c r="X265" s="2190">
        <f>ROWS(AB258:AB265)</f>
        <v>8</v>
      </c>
      <c r="Y265" s="5549" t="str" cm="1">
        <f t="array" ref="Y265">IF(SUMPRODUCT((AB265:AG265&lt;&gt;"")*1)=0,"",SUMPRODUCT((AB265:AG265&lt;&gt;"")*(LEN(TRIM(SUBSTITUTE(AB265:AG265,CHAR(160)," "))) - LEN(SUBSTITUTE(TRIM(SUBSTITUTE(AB265:AG265,CHAR(160)," "))," ","")) + 1)) &amp; " mot" &amp; IF(SUMPRODUCT((AB265:AG265&lt;&gt;"")*(LEN(TRIM(SUBSTITUTE(AB265:AG265,CHAR(160)," "))) - LEN(SUBSTITUTE(TRIM(SUBSTITUTE(AB265:AG265,CHAR(160)," "))," ","")) + 1))&gt;1,"s",""))</f>
        <v>14 mots</v>
      </c>
      <c r="Z265" s="5550" t="str" cm="1">
        <f t="array" ref="Z265">SUMPRODUCT(--(AB265:AG265&lt;&gt;""), LEN(TRIM(SUBSTITUTE(AB265:AG265, CHAR(160), "")))) &amp; " Car."</f>
        <v>81 Car.</v>
      </c>
      <c r="AA265" s="1376">
        <f>IF(ISBLANK(AB265),"",LARGE(AA257:AA264,1)+1)</f>
        <v>7</v>
      </c>
      <c r="AB265" s="1810" t="s">
        <v>3066</v>
      </c>
      <c r="AC265" s="1810" t="s">
        <v>3078</v>
      </c>
      <c r="AD265" s="1810"/>
      <c r="AE265" s="1810"/>
      <c r="AF265" s="1810"/>
      <c r="AG265" s="1810"/>
      <c r="AH265" s="1810"/>
      <c r="AI265" s="1810"/>
      <c r="AJ265" s="1811"/>
      <c r="AK265" s="6120" t="str">
        <f t="shared" si="128"/>
        <v>►</v>
      </c>
      <c r="AL265" s="781" t="str">
        <f t="shared" si="116"/>
        <v>►</v>
      </c>
      <c r="AM265" s="5499" t="str">
        <f t="shared" si="119"/>
        <v/>
      </c>
      <c r="AN265" s="783" t="str">
        <f t="shared" si="120"/>
        <v/>
      </c>
      <c r="AO265" s="782" t="str">
        <f t="shared" si="121"/>
        <v/>
      </c>
      <c r="AP265" s="783" t="str">
        <f t="shared" si="122"/>
        <v/>
      </c>
      <c r="AQ265" s="2083" t="b">
        <f>AND(Q265="A",COUNTIF(BP16:BR63,TRIM(Z265))&gt;0)</f>
        <v>0</v>
      </c>
      <c r="AR265" s="797" t="str">
        <f>IF(AL265&lt;&gt;"A","",IFERROR(IFERROR(_xlfn.XLOOKUP(TRIM(SUBSTITUTE(Z265,CHAR(160)," ")),BP16:BP63,BS16:BS63),IFERROR(_xlfn.XLOOKUP(TRIM(SUBSTITUTE(Z265,CHAR(160)," ")),BQ16:BQ63,BS16:BS63),_xlfn.XLOOKUP(TRIM(SUBSTITUTE(Z265,CHAR(160)," ")),BR16:BR63,BS16:BS63)))*Y265*IF(ISBLANK(V265),1,V265),0))</f>
        <v/>
      </c>
      <c r="AS265" s="784" t="str">
        <f t="shared" si="138"/>
        <v/>
      </c>
      <c r="AT265" s="1315" t="str">
        <f t="shared" si="123"/>
        <v/>
      </c>
      <c r="AU265" s="785">
        <f t="shared" si="124"/>
        <v>0</v>
      </c>
      <c r="AV265" s="785">
        <f t="shared" si="125"/>
        <v>0</v>
      </c>
      <c r="AW265" s="786">
        <f>IF(AK265="A",AY10,0)</f>
        <v>0</v>
      </c>
      <c r="AX265" s="5495" t="str">
        <f>IF(IFERROR(SEARCH("Adresse PC",TRIM(W265)),0)&gt;0,"▼ receta siguiente",IF(AK265="A",IF(AZ10&lt;&gt;"",AZ10&amp;" - ou.or.o ❾ + or - &gt;",""),""))</f>
        <v/>
      </c>
      <c r="AY265" s="810"/>
      <c r="AZ265" s="810"/>
      <c r="BA265" s="788" t="str">
        <f t="shared" si="115"/>
        <v/>
      </c>
      <c r="BB265" s="789" t="str">
        <f>IF(AK265="A",IF(AQ265,IF(AND(AW265&lt;&gt;"",N(AW265)&gt;0),IFERROR(IFERROR(_xlfn.XLOOKUP(AP265,BP10:BP57,BT10:BT57),IFERROR(_xlfn.XLOOKUP(AP265,BQ10:BQ57,BT10:BT57),_xlfn.XLOOKUP(AP265,BR10:BR57,BT10:BT57,""))),""),""),""),"")</f>
        <v/>
      </c>
      <c r="BC265" s="811" cm="1">
        <f t="array" ref="BC265">IF(NOT(AQ265),0,IF(OR(BA265="",N(BA265)&lt;=0.000000001),"",IF(OR(AU265="",N(AU265)&lt;=0.000000001),0,IF(ISNUMBER(BA265),IFERROR(_xlfn.LET(_xlpm.ai_test,TRIM(AP265),_xlpm.r,IFERROR(_xlfn.XLOOKUP(_xlpm.ai_test,BP16:BP63,ROW(BP16:BP63),0,1),IFERROR(_xlfn.XLOOKUP(_xlpm.ai_test,BQ16:BQ63,ROW(BQ16:BQ63),0,1),_xlfn.XLOOKUP(_xlpm.ai_test,BR16:BR63,ROW(BR16:BR63),0,1))),_xlpm.p,_xlpm.r-MIN(ROW(BP16:BP63))+1,_xlpm.f,INDEX(BS16:BS63,_xlpm.p),_xlpm.u,INDEX(BT16:BT63,_xlpm.p),_xlpm.s,INDEX(BV16:BV63,_xlpm.p),_xlpm.q,N(BA265)/_xlpm.f,IF(_xlpm.q&gt;=_xlpm.s,ROUND(_xlpm.q,1)&amp;" "&amp;_xlpm.ai_test&amp;" = "&amp;ROUND(_xlpm.q*_xlpm.f,1)&amp;" "&amp;_xlpm.u,ROUND(_xlpm.q,1)&amp;" "&amp;_xlpm.ai_test)),""),""))))</f>
        <v>0</v>
      </c>
      <c r="BD265" s="801"/>
      <c r="BE265" s="788" t="str">
        <f t="shared" si="126"/>
        <v/>
      </c>
      <c r="BF265" s="789" t="str">
        <f t="shared" si="132"/>
        <v/>
      </c>
      <c r="BG265" s="790">
        <f t="shared" si="133"/>
        <v>0</v>
      </c>
      <c r="BH265" s="791" t="str">
        <f t="shared" si="134"/>
        <v/>
      </c>
      <c r="BI265" s="792"/>
      <c r="BJ265" s="793">
        <f t="shared" si="135"/>
        <v>0</v>
      </c>
      <c r="BK265" s="794" t="str">
        <f t="shared" si="127"/>
        <v/>
      </c>
      <c r="BL265" s="227" t="s">
        <v>21</v>
      </c>
      <c r="BM265" s="773">
        <f t="shared" si="117"/>
        <v>0</v>
      </c>
      <c r="BN265" s="774">
        <f t="shared" si="118"/>
        <v>0</v>
      </c>
      <c r="BO265"/>
      <c r="BP265" s="627"/>
      <c r="BQ265" s="627"/>
      <c r="BR265" s="627"/>
      <c r="BS265" s="627"/>
      <c r="BT265" s="627"/>
      <c r="BU265" s="627"/>
      <c r="BV265" s="627"/>
      <c r="BW265" s="627"/>
      <c r="CD265" s="781" t="str">
        <f t="shared" si="139"/>
        <v>►</v>
      </c>
      <c r="CI265"/>
      <c r="CJ265" s="633"/>
      <c r="DI265" s="3">
        <v>1</v>
      </c>
    </row>
    <row r="266" spans="1:115" ht="21" customHeight="1">
      <c r="A266" s="701" t="s">
        <v>21</v>
      </c>
      <c r="B266" s="2265" t="str" cm="1">
        <f t="array" ref="B266">SUMPRODUCT(--(D266:J266&lt;&gt;""), LEN(TRIM(SUBSTITUTE(D266:J266, CHAR(160), "")))) &amp; " Car."</f>
        <v>0 Car.</v>
      </c>
      <c r="C266" s="1376" t="str">
        <f>IF(ISBLANK(D266),"",LARGE(C13:C265,1)+1)</f>
        <v/>
      </c>
      <c r="D266" s="1833"/>
      <c r="E266" s="1810"/>
      <c r="F266" s="1810"/>
      <c r="G266" s="1810"/>
      <c r="H266" s="1810"/>
      <c r="I266" s="1810"/>
      <c r="J266" s="1810"/>
      <c r="K266" s="1810"/>
      <c r="L266" s="1811"/>
      <c r="M266" s="9"/>
      <c r="N266" s="162" t="str">
        <f t="shared" si="114"/>
        <v>A</v>
      </c>
      <c r="O266" s="1616"/>
      <c r="P266" s="9"/>
      <c r="Q266" s="162" t="s">
        <v>10</v>
      </c>
      <c r="R266" s="163" t="str">
        <f>R215</f>
        <v>M MILLE-FEUILLE meringue et chiboust pamplemousse aux fraises des bois | collez la--FAMILLE| Auteur &gt; recette Béghin Say de Jean-Jacques Borne MOF 1994</v>
      </c>
      <c r="S266" s="163">
        <f>S215</f>
        <v>18</v>
      </c>
      <c r="T266" s="164" t="str">
        <f>T215</f>
        <v>desserts</v>
      </c>
      <c r="U266" s="165" t="str">
        <f>U215</f>
        <v>Recette mère ► MILLE-FEUILLE  aux fraises des bois</v>
      </c>
      <c r="V266" s="1548"/>
      <c r="W266" s="1548"/>
      <c r="X266" s="2190">
        <f>ROWS(AB258:AB266)</f>
        <v>9</v>
      </c>
      <c r="Y266" s="5549" t="str" cm="1">
        <f t="array" ref="Y266">IF(SUMPRODUCT((AB266:AG266&lt;&gt;"")*1)=0,"",SUMPRODUCT((AB266:AG266&lt;&gt;"")*(LEN(TRIM(SUBSTITUTE(AB266:AG266,CHAR(160)," "))) - LEN(SUBSTITUTE(TRIM(SUBSTITUTE(AB266:AG266,CHAR(160)," "))," ","")) + 1)) &amp; " mot" &amp; IF(SUMPRODUCT((AB266:AG266&lt;&gt;"")*(LEN(TRIM(SUBSTITUTE(AB266:AG266,CHAR(160)," "))) - LEN(SUBSTITUTE(TRIM(SUBSTITUTE(AB266:AG266,CHAR(160)," "))," ","")) + 1))&gt;1,"s",""))</f>
        <v>12 mots</v>
      </c>
      <c r="Z266" s="5550" t="str" cm="1">
        <f t="array" ref="Z266">SUMPRODUCT(--(AB266:AG266&lt;&gt;""), LEN(TRIM(SUBSTITUTE(AB266:AG266, CHAR(160), "")))) &amp; " Car."</f>
        <v>73 Car.</v>
      </c>
      <c r="AA266" s="1376">
        <f>IF(ISBLANK(AB266),"",LARGE(AA257:AA265,1)+1)</f>
        <v>8</v>
      </c>
      <c r="AB266" s="1810" t="s">
        <v>3067</v>
      </c>
      <c r="AC266" s="1810" t="s">
        <v>3079</v>
      </c>
      <c r="AD266" s="1810"/>
      <c r="AE266" s="1810"/>
      <c r="AF266" s="1810"/>
      <c r="AG266" s="1810"/>
      <c r="AH266" s="1810"/>
      <c r="AI266" s="1810"/>
      <c r="AJ266" s="1811"/>
      <c r="AK266" s="6120" t="str">
        <f t="shared" si="128"/>
        <v>►</v>
      </c>
      <c r="AL266" s="781" t="str">
        <f t="shared" si="116"/>
        <v>►</v>
      </c>
      <c r="AM266" s="5498" t="str">
        <f t="shared" si="119"/>
        <v/>
      </c>
      <c r="AN266" s="783" t="str">
        <f t="shared" si="120"/>
        <v/>
      </c>
      <c r="AO266" s="782" t="str">
        <f t="shared" si="121"/>
        <v/>
      </c>
      <c r="AP266" s="783" t="str">
        <f t="shared" si="122"/>
        <v/>
      </c>
      <c r="AQ266" s="2083" t="b">
        <f>AND(Q266="A",COUNTIF(BP16:BR63,TRIM(Z266))&gt;0)</f>
        <v>0</v>
      </c>
      <c r="AR266" s="797" t="str">
        <f>IF(AL266&lt;&gt;"A","",IFERROR(IFERROR(_xlfn.XLOOKUP(TRIM(SUBSTITUTE(Z266,CHAR(160)," ")),BP16:BP63,BS16:BS63),IFERROR(_xlfn.XLOOKUP(TRIM(SUBSTITUTE(Z266,CHAR(160)," ")),BQ16:BQ63,BS16:BS63),_xlfn.XLOOKUP(TRIM(SUBSTITUTE(Z266,CHAR(160)," ")),BR16:BR63,BS16:BS63)))*Y266*IF(ISBLANK(V266),1,V266),0))</f>
        <v/>
      </c>
      <c r="AS266" s="784" t="str">
        <f t="shared" si="138"/>
        <v/>
      </c>
      <c r="AT266" s="1315" t="str">
        <f t="shared" si="123"/>
        <v/>
      </c>
      <c r="AU266" s="785">
        <f t="shared" si="124"/>
        <v>0</v>
      </c>
      <c r="AV266" s="785">
        <f t="shared" si="125"/>
        <v>0</v>
      </c>
      <c r="AW266" s="798">
        <f>IF(AK266="A",AY10,0)</f>
        <v>0</v>
      </c>
      <c r="AX266" s="5496" t="str">
        <f>IF(IFERROR(SEARCH("Adresse PC",TRIM(W266)),0)&gt;0,"▼ receta siguiente",IF(AK266="A",IF(AZ10&lt;&gt;"",AZ10&amp;" - ou.or.o ❾ + or - &gt;",""),""))</f>
        <v/>
      </c>
      <c r="AY266" s="810"/>
      <c r="AZ266" s="810"/>
      <c r="BA266" s="799" t="str">
        <f t="shared" si="115"/>
        <v/>
      </c>
      <c r="BB266" s="800" t="str">
        <f>IF(AK266="A",IF(AQ266,IF(AND(AW266&lt;&gt;"",N(AW266)&gt;0),IFERROR(IFERROR(_xlfn.XLOOKUP(AP266,BP10:BP57,BT10:BT57),IFERROR(_xlfn.XLOOKUP(AP266,BQ10:BQ57,BT10:BT57),_xlfn.XLOOKUP(AP266,BR10:BR57,BT10:BT57,""))),""),""),""),"")</f>
        <v/>
      </c>
      <c r="BC266" s="813" cm="1">
        <f t="array" ref="BC266">IF(NOT(AQ266),0,IF(OR(BA266="",N(BA266)&lt;=0.000000001),"",IF(OR(AU266="",N(AU266)&lt;=0.000000001),0,IF(ISNUMBER(BA266),IFERROR(_xlfn.LET(_xlpm.ai_test,TRIM(AP266),_xlpm.r,IFERROR(_xlfn.XLOOKUP(_xlpm.ai_test,BP16:BP63,ROW(BP16:BP63),0,1),IFERROR(_xlfn.XLOOKUP(_xlpm.ai_test,BQ16:BQ63,ROW(BQ16:BQ63),0,1),_xlfn.XLOOKUP(_xlpm.ai_test,BR16:BR63,ROW(BR16:BR63),0,1))),_xlpm.p,_xlpm.r-MIN(ROW(BP16:BP63))+1,_xlpm.f,INDEX(BS16:BS63,_xlpm.p),_xlpm.u,INDEX(BT16:BT63,_xlpm.p),_xlpm.s,INDEX(BV16:BV63,_xlpm.p),_xlpm.q,N(BA266)/_xlpm.f,IF(_xlpm.q&gt;=_xlpm.s,ROUND(_xlpm.q,1)&amp;" "&amp;_xlpm.ai_test&amp;" = "&amp;ROUND(_xlpm.q*_xlpm.f,1)&amp;" "&amp;_xlpm.u,ROUND(_xlpm.q,1)&amp;" "&amp;_xlpm.ai_test)),""),""))))</f>
        <v>0</v>
      </c>
      <c r="BD266" s="801"/>
      <c r="BE266" s="799" t="str">
        <f t="shared" si="126"/>
        <v/>
      </c>
      <c r="BF266" s="800" t="str">
        <f t="shared" si="132"/>
        <v/>
      </c>
      <c r="BG266" s="802">
        <f t="shared" si="133"/>
        <v>0</v>
      </c>
      <c r="BH266" s="803" t="str">
        <f t="shared" si="134"/>
        <v/>
      </c>
      <c r="BI266" s="792"/>
      <c r="BJ266" s="804">
        <f t="shared" si="135"/>
        <v>0</v>
      </c>
      <c r="BK266" s="794" t="str">
        <f t="shared" si="127"/>
        <v/>
      </c>
      <c r="BL266" s="227" t="s">
        <v>21</v>
      </c>
      <c r="BM266" s="773">
        <f t="shared" si="117"/>
        <v>0</v>
      </c>
      <c r="BN266" s="774">
        <f t="shared" si="118"/>
        <v>0</v>
      </c>
      <c r="BO266"/>
      <c r="BP266" s="627"/>
      <c r="BQ266" s="627"/>
      <c r="BR266" s="627"/>
      <c r="BS266" s="627"/>
      <c r="BT266" s="627"/>
      <c r="BU266" s="627"/>
      <c r="BV266" s="627"/>
      <c r="BW266" s="627"/>
      <c r="CD266" s="781" t="str">
        <f t="shared" si="139"/>
        <v>►</v>
      </c>
      <c r="CI266"/>
      <c r="CJ266" s="633"/>
      <c r="DI266" s="3">
        <v>1</v>
      </c>
    </row>
    <row r="267" spans="1:115" s="633" customFormat="1" ht="21" customHeight="1">
      <c r="A267" s="701" t="s">
        <v>21</v>
      </c>
      <c r="B267" s="2265" t="str" cm="1">
        <f t="array" ref="B267">SUMPRODUCT(--(D267:J267&lt;&gt;""), LEN(TRIM(SUBSTITUTE(D267:J267, CHAR(160), "")))) &amp; " Car."</f>
        <v>0 Car.</v>
      </c>
      <c r="C267" s="1376" t="str">
        <f>IF(ISBLANK(D267),"",LARGE(C13:C266,1)+1)</f>
        <v/>
      </c>
      <c r="D267" s="1833"/>
      <c r="E267" s="1810"/>
      <c r="F267" s="1810"/>
      <c r="G267" s="1810"/>
      <c r="H267" s="1810"/>
      <c r="I267" s="1810"/>
      <c r="J267" s="1810"/>
      <c r="K267" s="1810"/>
      <c r="L267" s="1811"/>
      <c r="M267" s="9"/>
      <c r="N267" s="162" t="str">
        <f t="shared" si="114"/>
        <v>A</v>
      </c>
      <c r="O267" s="1616"/>
      <c r="P267" s="9"/>
      <c r="Q267" s="162" t="s">
        <v>10</v>
      </c>
      <c r="R267" s="163" t="str">
        <f>R215</f>
        <v>M MILLE-FEUILLE meringue et chiboust pamplemousse aux fraises des bois | collez la--FAMILLE| Auteur &gt; recette Béghin Say de Jean-Jacques Borne MOF 1994</v>
      </c>
      <c r="S267" s="163">
        <f>S215</f>
        <v>18</v>
      </c>
      <c r="T267" s="164" t="str">
        <f>T215</f>
        <v>desserts</v>
      </c>
      <c r="U267" s="165" t="str">
        <f>U215</f>
        <v>Recette mère ► MILLE-FEUILLE  aux fraises des bois</v>
      </c>
      <c r="V267" s="1548"/>
      <c r="W267" s="1548"/>
      <c r="X267" s="2190">
        <f>ROWS(AB258:AB267)</f>
        <v>10</v>
      </c>
      <c r="Y267" s="5549" t="str" cm="1">
        <f t="array" ref="Y267">IF(SUMPRODUCT((AB267:AG267&lt;&gt;"")*1)=0,"",SUMPRODUCT((AB267:AG267&lt;&gt;"")*(LEN(TRIM(SUBSTITUTE(AB267:AG267,CHAR(160)," "))) - LEN(SUBSTITUTE(TRIM(SUBSTITUTE(AB267:AG267,CHAR(160)," "))," ","")) + 1)) &amp; " mot" &amp; IF(SUMPRODUCT((AB267:AG267&lt;&gt;"")*(LEN(TRIM(SUBSTITUTE(AB267:AG267,CHAR(160)," "))) - LEN(SUBSTITUTE(TRIM(SUBSTITUTE(AB267:AG267,CHAR(160)," "))," ","")) + 1))&gt;1,"s",""))</f>
        <v>22 mots</v>
      </c>
      <c r="Z267" s="5550" t="str" cm="1">
        <f t="array" ref="Z267">SUMPRODUCT(--(AB267:AG267&lt;&gt;""), LEN(TRIM(SUBSTITUTE(AB267:AG267, CHAR(160), "")))) &amp; " Car."</f>
        <v>127 Car.</v>
      </c>
      <c r="AA267" s="1376">
        <f>IF(ISBLANK(AB267),"",LARGE(AA257:AA266,1)+1)</f>
        <v>9</v>
      </c>
      <c r="AB267" s="1810" t="s">
        <v>3068</v>
      </c>
      <c r="AC267" s="1810" t="s">
        <v>3080</v>
      </c>
      <c r="AD267" s="1810"/>
      <c r="AE267" s="1810"/>
      <c r="AF267" s="1810"/>
      <c r="AG267" s="1810"/>
      <c r="AH267" s="1810"/>
      <c r="AI267" s="1810"/>
      <c r="AJ267" s="1811"/>
      <c r="AK267" s="6120" t="str">
        <f t="shared" si="128"/>
        <v>►</v>
      </c>
      <c r="AL267" s="781" t="str">
        <f t="shared" si="116"/>
        <v>►</v>
      </c>
      <c r="AM267" s="5499" t="str">
        <f t="shared" si="119"/>
        <v/>
      </c>
      <c r="AN267" s="783" t="str">
        <f t="shared" si="120"/>
        <v/>
      </c>
      <c r="AO267" s="782" t="str">
        <f t="shared" si="121"/>
        <v/>
      </c>
      <c r="AP267" s="783" t="str">
        <f t="shared" si="122"/>
        <v/>
      </c>
      <c r="AQ267" s="2083" t="b">
        <f>AND(Q267="A",COUNTIF(BP16:BR63,TRIM(Z267))&gt;0)</f>
        <v>0</v>
      </c>
      <c r="AR267" s="797" t="str">
        <f>IF(AL267&lt;&gt;"A","",IFERROR(IFERROR(_xlfn.XLOOKUP(TRIM(SUBSTITUTE(Z267,CHAR(160)," ")),BP16:BP63,BS16:BS63),IFERROR(_xlfn.XLOOKUP(TRIM(SUBSTITUTE(Z267,CHAR(160)," ")),BQ16:BQ63,BS16:BS63),_xlfn.XLOOKUP(TRIM(SUBSTITUTE(Z267,CHAR(160)," ")),BR16:BR63,BS16:BS63)))*Y267*IF(ISBLANK(V267),1,V267),0))</f>
        <v/>
      </c>
      <c r="AS267" s="784" t="str">
        <f t="shared" si="138"/>
        <v/>
      </c>
      <c r="AT267" s="1315" t="str">
        <f t="shared" si="123"/>
        <v/>
      </c>
      <c r="AU267" s="785">
        <f t="shared" si="124"/>
        <v>0</v>
      </c>
      <c r="AV267" s="785">
        <f t="shared" si="125"/>
        <v>0</v>
      </c>
      <c r="AW267" s="786">
        <f>IF(AK267="A",AY10,0)</f>
        <v>0</v>
      </c>
      <c r="AX267" s="5495" t="str">
        <f>IF(IFERROR(SEARCH("Adresse PC",TRIM(W267)),0)&gt;0,"▼ receta siguiente",IF(AK267="A",IF(AZ10&lt;&gt;"",AZ10&amp;" - ou.or.o ❾ + or - &gt;",""),""))</f>
        <v/>
      </c>
      <c r="AY267" s="810"/>
      <c r="AZ267" s="810"/>
      <c r="BA267" s="788" t="str">
        <f t="shared" si="115"/>
        <v/>
      </c>
      <c r="BB267" s="789" t="str">
        <f>IF(AK267="A",IF(AQ267,IF(AND(AW267&lt;&gt;"",N(AW267)&gt;0),IFERROR(IFERROR(_xlfn.XLOOKUP(AP267,BP10:BP57,BT10:BT57),IFERROR(_xlfn.XLOOKUP(AP267,BQ10:BQ57,BT10:BT57),_xlfn.XLOOKUP(AP267,BR10:BR57,BT10:BT57,""))),""),""),""),"")</f>
        <v/>
      </c>
      <c r="BC267" s="811" cm="1">
        <f t="array" ref="BC267">IF(NOT(AQ267),0,IF(OR(BA267="",N(BA267)&lt;=0.000000001),"",IF(OR(AU267="",N(AU267)&lt;=0.000000001),0,IF(ISNUMBER(BA267),IFERROR(_xlfn.LET(_xlpm.ai_test,TRIM(AP267),_xlpm.r,IFERROR(_xlfn.XLOOKUP(_xlpm.ai_test,BP16:BP63,ROW(BP16:BP63),0,1),IFERROR(_xlfn.XLOOKUP(_xlpm.ai_test,BQ16:BQ63,ROW(BQ16:BQ63),0,1),_xlfn.XLOOKUP(_xlpm.ai_test,BR16:BR63,ROW(BR16:BR63),0,1))),_xlpm.p,_xlpm.r-MIN(ROW(BP16:BP63))+1,_xlpm.f,INDEX(BS16:BS63,_xlpm.p),_xlpm.u,INDEX(BT16:BT63,_xlpm.p),_xlpm.s,INDEX(BV16:BV63,_xlpm.p),_xlpm.q,N(BA267)/_xlpm.f,IF(_xlpm.q&gt;=_xlpm.s,ROUND(_xlpm.q,1)&amp;" "&amp;_xlpm.ai_test&amp;" = "&amp;ROUND(_xlpm.q*_xlpm.f,1)&amp;" "&amp;_xlpm.u,ROUND(_xlpm.q,1)&amp;" "&amp;_xlpm.ai_test)),""),""))))</f>
        <v>0</v>
      </c>
      <c r="BD267" s="801"/>
      <c r="BE267" s="788" t="str">
        <f t="shared" si="126"/>
        <v/>
      </c>
      <c r="BF267" s="789" t="str">
        <f t="shared" si="132"/>
        <v/>
      </c>
      <c r="BG267" s="790">
        <f t="shared" si="133"/>
        <v>0</v>
      </c>
      <c r="BH267" s="791" t="str">
        <f t="shared" si="134"/>
        <v/>
      </c>
      <c r="BI267" s="792"/>
      <c r="BJ267" s="793">
        <f t="shared" si="135"/>
        <v>0</v>
      </c>
      <c r="BK267" s="794" t="str">
        <f t="shared" si="127"/>
        <v/>
      </c>
      <c r="BL267" s="227" t="s">
        <v>21</v>
      </c>
      <c r="BM267" s="773">
        <f t="shared" si="117"/>
        <v>0</v>
      </c>
      <c r="BN267" s="774">
        <f t="shared" si="118"/>
        <v>0</v>
      </c>
      <c r="BO267"/>
      <c r="BP267" s="627"/>
      <c r="BQ267" s="627"/>
      <c r="BR267" s="627"/>
      <c r="BS267" s="627"/>
      <c r="BT267" s="627"/>
      <c r="BU267" s="627"/>
      <c r="BV267" s="627"/>
      <c r="BW267" s="627"/>
      <c r="BX267"/>
      <c r="BY267"/>
      <c r="BZ267"/>
      <c r="CA267"/>
      <c r="CB267"/>
      <c r="CC267"/>
      <c r="CD267" s="781" t="str">
        <f t="shared" si="139"/>
        <v>►</v>
      </c>
      <c r="CE267"/>
      <c r="CF267"/>
      <c r="CG267"/>
      <c r="CH267"/>
      <c r="CI267"/>
      <c r="CK267"/>
      <c r="CL267"/>
      <c r="CM267"/>
      <c r="CN267"/>
      <c r="CO267"/>
      <c r="CP267"/>
      <c r="CQ267"/>
      <c r="CR267" s="227"/>
      <c r="CS267"/>
      <c r="CT267"/>
      <c r="CU267"/>
      <c r="CV267"/>
      <c r="CW267"/>
      <c r="CX267"/>
      <c r="CY267"/>
      <c r="CZ267" s="227"/>
      <c r="DA267"/>
      <c r="DB267"/>
      <c r="DC267"/>
      <c r="DD267"/>
      <c r="DE267"/>
      <c r="DF267"/>
      <c r="DG267"/>
      <c r="DH267" s="227"/>
      <c r="DI267" s="3">
        <v>1</v>
      </c>
      <c r="DJ267" s="627"/>
      <c r="DK267" s="627"/>
    </row>
    <row r="268" spans="1:115" s="633" customFormat="1" ht="21" customHeight="1">
      <c r="A268" s="701" t="s">
        <v>21</v>
      </c>
      <c r="B268" s="2265" t="str" cm="1">
        <f t="array" ref="B268">SUMPRODUCT(--(D268:J268&lt;&gt;""), LEN(TRIM(SUBSTITUTE(D268:J268, CHAR(160), "")))) &amp; " Car."</f>
        <v>0 Car.</v>
      </c>
      <c r="C268" s="1376" t="str">
        <f>IF(ISBLANK(D268),"",LARGE(C13:C267,1)+1)</f>
        <v/>
      </c>
      <c r="D268" s="1833"/>
      <c r="E268" s="1810"/>
      <c r="F268" s="1810"/>
      <c r="G268" s="1810"/>
      <c r="H268" s="1810"/>
      <c r="I268" s="1810"/>
      <c r="J268" s="1810"/>
      <c r="K268" s="1810"/>
      <c r="L268" s="1811"/>
      <c r="M268" s="9"/>
      <c r="N268" s="162" t="str">
        <f t="shared" si="114"/>
        <v>A</v>
      </c>
      <c r="O268" s="1616"/>
      <c r="P268" s="9"/>
      <c r="Q268" s="162" t="s">
        <v>10</v>
      </c>
      <c r="R268" s="163" t="str">
        <f>R215</f>
        <v>M MILLE-FEUILLE meringue et chiboust pamplemousse aux fraises des bois | collez la--FAMILLE| Auteur &gt; recette Béghin Say de Jean-Jacques Borne MOF 1994</v>
      </c>
      <c r="S268" s="1943">
        <f>S215</f>
        <v>18</v>
      </c>
      <c r="T268" s="164" t="str">
        <f>T215</f>
        <v>desserts</v>
      </c>
      <c r="U268" s="165" t="str">
        <f>U215</f>
        <v>Recette mère ► MILLE-FEUILLE  aux fraises des bois</v>
      </c>
      <c r="V268" s="1548"/>
      <c r="W268" s="1548"/>
      <c r="X268" s="2190">
        <f>ROWS(AB258:AB268)</f>
        <v>11</v>
      </c>
      <c r="Y268" s="5549" t="str" cm="1">
        <f t="array" ref="Y268">IF(SUMPRODUCT((AB268:AG268&lt;&gt;"")*1)=0,"",SUMPRODUCT((AB268:AG268&lt;&gt;"")*(LEN(TRIM(SUBSTITUTE(AB268:AG268,CHAR(160)," "))) - LEN(SUBSTITUTE(TRIM(SUBSTITUTE(AB268:AG268,CHAR(160)," "))," ","")) + 1)) &amp; " mot" &amp; IF(SUMPRODUCT((AB268:AG268&lt;&gt;"")*(LEN(TRIM(SUBSTITUTE(AB268:AG268,CHAR(160)," "))) - LEN(SUBSTITUTE(TRIM(SUBSTITUTE(AB268:AG268,CHAR(160)," "))," ","")) + 1))&gt;1,"s",""))</f>
        <v>4 mots</v>
      </c>
      <c r="Z268" s="5550" t="str" cm="1">
        <f t="array" ref="Z268">SUMPRODUCT(--(AB268:AG268&lt;&gt;""), LEN(TRIM(SUBSTITUTE(AB268:AG268, CHAR(160), "")))) &amp; " Car."</f>
        <v>18 Car.</v>
      </c>
      <c r="AA268" s="1376">
        <f>IF(ISBLANK(AB268),"",LARGE(AA257:AA267,1)+1)</f>
        <v>10</v>
      </c>
      <c r="AB268" s="1810" t="s">
        <v>3069</v>
      </c>
      <c r="AC268" s="1810"/>
      <c r="AD268" s="1810"/>
      <c r="AE268" s="1810"/>
      <c r="AF268" s="1810"/>
      <c r="AG268" s="1810"/>
      <c r="AH268" s="1810"/>
      <c r="AI268" s="1810"/>
      <c r="AJ268" s="1811"/>
      <c r="AK268" s="6120" t="str">
        <f t="shared" si="128"/>
        <v>►</v>
      </c>
      <c r="AL268" s="781" t="str">
        <f t="shared" si="116"/>
        <v>►</v>
      </c>
      <c r="AM268" s="5498" t="str">
        <f t="shared" si="119"/>
        <v/>
      </c>
      <c r="AN268" s="783" t="str">
        <f t="shared" si="120"/>
        <v/>
      </c>
      <c r="AO268" s="782" t="str">
        <f t="shared" si="121"/>
        <v/>
      </c>
      <c r="AP268" s="783" t="str">
        <f t="shared" si="122"/>
        <v/>
      </c>
      <c r="AQ268" s="2083" t="b">
        <f>AND(Q268="A",COUNTIF(BP16:BR63,TRIM(Z268))&gt;0)</f>
        <v>0</v>
      </c>
      <c r="AR268" s="797" t="str">
        <f>IF(AL268&lt;&gt;"A","",IFERROR(IFERROR(_xlfn.XLOOKUP(TRIM(SUBSTITUTE(Z268,CHAR(160)," ")),BP16:BP63,BS16:BS63),IFERROR(_xlfn.XLOOKUP(TRIM(SUBSTITUTE(Z268,CHAR(160)," ")),BQ16:BQ63,BS16:BS63),_xlfn.XLOOKUP(TRIM(SUBSTITUTE(Z268,CHAR(160)," ")),BR16:BR63,BS16:BS63)))*Y268*IF(ISBLANK(V268),1,V268),0))</f>
        <v/>
      </c>
      <c r="AS268" s="784" t="str">
        <f t="shared" si="138"/>
        <v/>
      </c>
      <c r="AT268" s="1315" t="str">
        <f t="shared" si="123"/>
        <v/>
      </c>
      <c r="AU268" s="785">
        <f t="shared" si="124"/>
        <v>0</v>
      </c>
      <c r="AV268" s="785">
        <f t="shared" si="125"/>
        <v>0</v>
      </c>
      <c r="AW268" s="798">
        <f>IF(AK268="A",AY10,0)</f>
        <v>0</v>
      </c>
      <c r="AX268" s="5496" t="str">
        <f>IF(IFERROR(SEARCH("Adresse PC",TRIM(W268)),0)&gt;0,"▼ receta siguiente",IF(AK268="A",IF(AZ10&lt;&gt;"",AZ10&amp;" - ou.or.o ❾ + or - &gt;",""),""))</f>
        <v/>
      </c>
      <c r="AY268" s="810"/>
      <c r="AZ268" s="810"/>
      <c r="BA268" s="799" t="str">
        <f t="shared" si="115"/>
        <v/>
      </c>
      <c r="BB268" s="800" t="str">
        <f>IF(AK268="A",IF(AQ268,IF(AND(AW268&lt;&gt;"",N(AW268)&gt;0),IFERROR(IFERROR(_xlfn.XLOOKUP(AP268,BP10:BP57,BT10:BT57),IFERROR(_xlfn.XLOOKUP(AP268,BQ10:BQ57,BT10:BT57),_xlfn.XLOOKUP(AP268,BR10:BR57,BT10:BT57,""))),""),""),""),"")</f>
        <v/>
      </c>
      <c r="BC268" s="813" cm="1">
        <f t="array" ref="BC268">IF(NOT(AQ268),0,IF(OR(BA268="",N(BA268)&lt;=0.000000001),"",IF(OR(AU268="",N(AU268)&lt;=0.000000001),0,IF(ISNUMBER(BA268),IFERROR(_xlfn.LET(_xlpm.ai_test,TRIM(AP268),_xlpm.r,IFERROR(_xlfn.XLOOKUP(_xlpm.ai_test,BP16:BP63,ROW(BP16:BP63),0,1),IFERROR(_xlfn.XLOOKUP(_xlpm.ai_test,BQ16:BQ63,ROW(BQ16:BQ63),0,1),_xlfn.XLOOKUP(_xlpm.ai_test,BR16:BR63,ROW(BR16:BR63),0,1))),_xlpm.p,_xlpm.r-MIN(ROW(BP16:BP63))+1,_xlpm.f,INDEX(BS16:BS63,_xlpm.p),_xlpm.u,INDEX(BT16:BT63,_xlpm.p),_xlpm.s,INDEX(BV16:BV63,_xlpm.p),_xlpm.q,N(BA268)/_xlpm.f,IF(_xlpm.q&gt;=_xlpm.s,ROUND(_xlpm.q,1)&amp;" "&amp;_xlpm.ai_test&amp;" = "&amp;ROUND(_xlpm.q*_xlpm.f,1)&amp;" "&amp;_xlpm.u,ROUND(_xlpm.q,1)&amp;" "&amp;_xlpm.ai_test)),""),""))))</f>
        <v>0</v>
      </c>
      <c r="BD268" s="801"/>
      <c r="BE268" s="799" t="str">
        <f t="shared" si="126"/>
        <v/>
      </c>
      <c r="BF268" s="800" t="str">
        <f t="shared" si="132"/>
        <v/>
      </c>
      <c r="BG268" s="802">
        <f t="shared" si="133"/>
        <v>0</v>
      </c>
      <c r="BH268" s="803" t="str">
        <f t="shared" si="134"/>
        <v/>
      </c>
      <c r="BI268" s="792"/>
      <c r="BJ268" s="804">
        <f t="shared" si="135"/>
        <v>0</v>
      </c>
      <c r="BK268" s="794" t="str">
        <f t="shared" si="127"/>
        <v/>
      </c>
      <c r="BL268" s="227" t="s">
        <v>21</v>
      </c>
      <c r="BM268" s="773">
        <f t="shared" si="117"/>
        <v>0</v>
      </c>
      <c r="BN268" s="774">
        <f t="shared" si="118"/>
        <v>0</v>
      </c>
      <c r="BO268"/>
      <c r="BP268" s="627"/>
      <c r="BQ268" s="627"/>
      <c r="BR268" s="627"/>
      <c r="BS268" s="627"/>
      <c r="BT268" s="627"/>
      <c r="BU268" s="627"/>
      <c r="BV268" s="627"/>
      <c r="BW268" s="627"/>
      <c r="BX268"/>
      <c r="BY268"/>
      <c r="BZ268"/>
      <c r="CA268"/>
      <c r="CB268"/>
      <c r="CC268"/>
      <c r="CD268" s="781" t="str">
        <f t="shared" si="139"/>
        <v>►</v>
      </c>
      <c r="CE268"/>
      <c r="CF268"/>
      <c r="CG268"/>
      <c r="CH268"/>
      <c r="CI268"/>
      <c r="CK268"/>
      <c r="CL268"/>
      <c r="CM268"/>
      <c r="CN268"/>
      <c r="CO268"/>
      <c r="CP268"/>
      <c r="CQ268"/>
      <c r="CR268" s="227"/>
      <c r="CS268"/>
      <c r="CT268"/>
      <c r="CU268"/>
      <c r="CV268"/>
      <c r="CW268"/>
      <c r="CX268"/>
      <c r="CY268"/>
      <c r="CZ268" s="227"/>
      <c r="DA268"/>
      <c r="DB268"/>
      <c r="DC268"/>
      <c r="DD268"/>
      <c r="DE268"/>
      <c r="DF268"/>
      <c r="DG268"/>
      <c r="DH268" s="227"/>
      <c r="DI268" s="3">
        <v>1</v>
      </c>
      <c r="DJ268" s="627"/>
      <c r="DK268" s="627"/>
    </row>
    <row r="269" spans="1:115" s="633" customFormat="1" ht="21" customHeight="1">
      <c r="A269" s="701" t="s">
        <v>21</v>
      </c>
      <c r="B269" s="2265" t="str" cm="1">
        <f t="array" ref="B269">SUMPRODUCT(--(D269:J269&lt;&gt;""), LEN(TRIM(SUBSTITUTE(D269:J269, CHAR(160), "")))) &amp; " Car."</f>
        <v>0 Car.</v>
      </c>
      <c r="C269" s="1376" t="str">
        <f>IF(ISBLANK(D269),"",LARGE(C13:C268,1)+1)</f>
        <v/>
      </c>
      <c r="D269" s="1833"/>
      <c r="E269" s="1810"/>
      <c r="F269" s="1810"/>
      <c r="G269" s="1810"/>
      <c r="H269" s="1810"/>
      <c r="I269" s="1810"/>
      <c r="J269" s="1810"/>
      <c r="K269" s="1810"/>
      <c r="L269" s="1811"/>
      <c r="M269" s="9"/>
      <c r="N269" s="162" t="str">
        <f t="shared" si="114"/>
        <v>A</v>
      </c>
      <c r="O269" s="1616"/>
      <c r="P269" s="9"/>
      <c r="Q269" s="162" t="s">
        <v>10</v>
      </c>
      <c r="R269" s="163" t="str">
        <f>R215</f>
        <v>M MILLE-FEUILLE meringue et chiboust pamplemousse aux fraises des bois | collez la--FAMILLE| Auteur &gt; recette Béghin Say de Jean-Jacques Borne MOF 1994</v>
      </c>
      <c r="S269" s="163">
        <f>S215</f>
        <v>18</v>
      </c>
      <c r="T269" s="164" t="str">
        <f>T215</f>
        <v>desserts</v>
      </c>
      <c r="U269" s="165" t="str">
        <f>U215</f>
        <v>Recette mère ► MILLE-FEUILLE  aux fraises des bois</v>
      </c>
      <c r="V269" s="1548"/>
      <c r="W269" s="1548"/>
      <c r="X269" s="2190">
        <f>ROWS(AB258:AB269)</f>
        <v>12</v>
      </c>
      <c r="Y269" s="5549" t="str" cm="1">
        <f t="array" ref="Y269">IF(SUMPRODUCT((AB269:AG269&lt;&gt;"")*1)=0,"",SUMPRODUCT((AB269:AG269&lt;&gt;"")*(LEN(TRIM(SUBSTITUTE(AB269:AG269,CHAR(160)," "))) - LEN(SUBSTITUTE(TRIM(SUBSTITUTE(AB269:AG269,CHAR(160)," "))," ","")) + 1)) &amp; " mot" &amp; IF(SUMPRODUCT((AB269:AG269&lt;&gt;"")*(LEN(TRIM(SUBSTITUTE(AB269:AG269,CHAR(160)," "))) - LEN(SUBSTITUTE(TRIM(SUBSTITUTE(AB269:AG269,CHAR(160)," "))," ","")) + 1))&gt;1,"s",""))</f>
        <v>12 mots</v>
      </c>
      <c r="Z269" s="5550" t="str" cm="1">
        <f t="array" ref="Z269">SUMPRODUCT(--(AB269:AG269&lt;&gt;""), LEN(TRIM(SUBSTITUTE(AB269:AG269, CHAR(160), "")))) &amp; " Car."</f>
        <v>65 Car.</v>
      </c>
      <c r="AA269" s="1376">
        <f>IF(ISBLANK(AB269),"",LARGE(AA257:AA268,1)+1)</f>
        <v>11</v>
      </c>
      <c r="AB269" s="1810" t="s">
        <v>3070</v>
      </c>
      <c r="AC269" s="1810"/>
      <c r="AD269" s="1810"/>
      <c r="AE269" s="1810"/>
      <c r="AF269" s="1810"/>
      <c r="AG269" s="1810"/>
      <c r="AH269" s="1810"/>
      <c r="AI269" s="1810"/>
      <c r="AJ269" s="1811"/>
      <c r="AK269" s="6120" t="str">
        <f t="shared" si="128"/>
        <v>►</v>
      </c>
      <c r="AL269" s="781" t="str">
        <f t="shared" si="116"/>
        <v>►</v>
      </c>
      <c r="AM269" s="5499" t="str">
        <f t="shared" si="119"/>
        <v/>
      </c>
      <c r="AN269" s="783" t="str">
        <f t="shared" si="120"/>
        <v/>
      </c>
      <c r="AO269" s="782" t="str">
        <f t="shared" si="121"/>
        <v/>
      </c>
      <c r="AP269" s="783" t="str">
        <f t="shared" si="122"/>
        <v/>
      </c>
      <c r="AQ269" s="2083" t="b">
        <f>AND(Q269="A",COUNTIF(BP16:BR63,TRIM(Z269))&gt;0)</f>
        <v>0</v>
      </c>
      <c r="AR269" s="797" t="str">
        <f>IF(AL269&lt;&gt;"A","",IFERROR(IFERROR(_xlfn.XLOOKUP(TRIM(SUBSTITUTE(Z269,CHAR(160)," ")),BP16:BP63,BS16:BS63),IFERROR(_xlfn.XLOOKUP(TRIM(SUBSTITUTE(Z269,CHAR(160)," ")),BQ16:BQ63,BS16:BS63),_xlfn.XLOOKUP(TRIM(SUBSTITUTE(Z269,CHAR(160)," ")),BR16:BR63,BS16:BS63)))*Y269*IF(ISBLANK(V269),1,V269),0))</f>
        <v/>
      </c>
      <c r="AS269" s="784" t="str">
        <f t="shared" si="138"/>
        <v/>
      </c>
      <c r="AT269" s="1315" t="str">
        <f t="shared" si="123"/>
        <v/>
      </c>
      <c r="AU269" s="785">
        <f t="shared" si="124"/>
        <v>0</v>
      </c>
      <c r="AV269" s="785">
        <f t="shared" si="125"/>
        <v>0</v>
      </c>
      <c r="AW269" s="786">
        <f>IF(AK269="A",AY10,0)</f>
        <v>0</v>
      </c>
      <c r="AX269" s="5495" t="str">
        <f>IF(IFERROR(SEARCH("Adresse PC",TRIM(W269)),0)&gt;0,"▼ receta siguiente",IF(AK269="A",IF(AZ10&lt;&gt;"",AZ10&amp;" - ou.or.o ❾ + or - &gt;",""),""))</f>
        <v/>
      </c>
      <c r="AY269" s="810"/>
      <c r="AZ269" s="810"/>
      <c r="BA269" s="788" t="str">
        <f t="shared" si="115"/>
        <v/>
      </c>
      <c r="BB269" s="789" t="str">
        <f>IF(AK269="A",IF(AQ269,IF(AND(AW269&lt;&gt;"",N(AW269)&gt;0),IFERROR(IFERROR(_xlfn.XLOOKUP(AP269,BP10:BP57,BT10:BT57),IFERROR(_xlfn.XLOOKUP(AP269,BQ10:BQ57,BT10:BT57),_xlfn.XLOOKUP(AP269,BR10:BR57,BT10:BT57,""))),""),""),""),"")</f>
        <v/>
      </c>
      <c r="BC269" s="811" cm="1">
        <f t="array" ref="BC269">IF(NOT(AQ269),0,IF(OR(BA269="",N(BA269)&lt;=0.000000001),"",IF(OR(AU269="",N(AU269)&lt;=0.000000001),0,IF(ISNUMBER(BA269),IFERROR(_xlfn.LET(_xlpm.ai_test,TRIM(AP269),_xlpm.r,IFERROR(_xlfn.XLOOKUP(_xlpm.ai_test,BP16:BP63,ROW(BP16:BP63),0,1),IFERROR(_xlfn.XLOOKUP(_xlpm.ai_test,BQ16:BQ63,ROW(BQ16:BQ63),0,1),_xlfn.XLOOKUP(_xlpm.ai_test,BR16:BR63,ROW(BR16:BR63),0,1))),_xlpm.p,_xlpm.r-MIN(ROW(BP16:BP63))+1,_xlpm.f,INDEX(BS16:BS63,_xlpm.p),_xlpm.u,INDEX(BT16:BT63,_xlpm.p),_xlpm.s,INDEX(BV16:BV63,_xlpm.p),_xlpm.q,N(BA269)/_xlpm.f,IF(_xlpm.q&gt;=_xlpm.s,ROUND(_xlpm.q,1)&amp;" "&amp;_xlpm.ai_test&amp;" = "&amp;ROUND(_xlpm.q*_xlpm.f,1)&amp;" "&amp;_xlpm.u,ROUND(_xlpm.q,1)&amp;" "&amp;_xlpm.ai_test)),""),""))))</f>
        <v>0</v>
      </c>
      <c r="BD269" s="801"/>
      <c r="BE269" s="788" t="str">
        <f t="shared" si="126"/>
        <v/>
      </c>
      <c r="BF269" s="789" t="str">
        <f t="shared" si="132"/>
        <v/>
      </c>
      <c r="BG269" s="790">
        <f t="shared" si="133"/>
        <v>0</v>
      </c>
      <c r="BH269" s="791" t="str">
        <f t="shared" si="134"/>
        <v/>
      </c>
      <c r="BI269" s="792"/>
      <c r="BJ269" s="793">
        <f t="shared" si="135"/>
        <v>0</v>
      </c>
      <c r="BK269" s="794" t="str">
        <f t="shared" si="127"/>
        <v/>
      </c>
      <c r="BL269" s="227" t="s">
        <v>21</v>
      </c>
      <c r="BM269" s="773">
        <f t="shared" si="117"/>
        <v>0</v>
      </c>
      <c r="BN269" s="774">
        <f t="shared" si="118"/>
        <v>0</v>
      </c>
      <c r="BO269"/>
      <c r="BP269" s="627"/>
      <c r="BQ269" s="627"/>
      <c r="BR269" s="627"/>
      <c r="BS269" s="627"/>
      <c r="BT269" s="627"/>
      <c r="BU269" s="627"/>
      <c r="BV269" s="627"/>
      <c r="BW269" s="627"/>
      <c r="BX269"/>
      <c r="BY269"/>
      <c r="BZ269"/>
      <c r="CA269"/>
      <c r="CB269"/>
      <c r="CC269"/>
      <c r="CD269" s="781" t="str">
        <f t="shared" si="139"/>
        <v>►</v>
      </c>
      <c r="CE269"/>
      <c r="CF269"/>
      <c r="CG269"/>
      <c r="CH269"/>
      <c r="CI269"/>
      <c r="CK269"/>
      <c r="CL269"/>
      <c r="CM269"/>
      <c r="CN269"/>
      <c r="CO269"/>
      <c r="CP269"/>
      <c r="CQ269"/>
      <c r="CR269" s="227"/>
      <c r="CS269"/>
      <c r="CT269"/>
      <c r="CU269"/>
      <c r="CV269"/>
      <c r="CW269"/>
      <c r="CX269"/>
      <c r="CY269"/>
      <c r="CZ269" s="227"/>
      <c r="DA269"/>
      <c r="DB269"/>
      <c r="DC269"/>
      <c r="DD269"/>
      <c r="DE269"/>
      <c r="DF269"/>
      <c r="DG269"/>
      <c r="DH269" s="227"/>
      <c r="DI269" s="3">
        <v>1</v>
      </c>
      <c r="DJ269" s="627"/>
      <c r="DK269" s="627"/>
    </row>
    <row r="270" spans="1:115" s="633" customFormat="1" ht="21" customHeight="1">
      <c r="A270" s="701" t="s">
        <v>21</v>
      </c>
      <c r="B270" s="2265" t="str" cm="1">
        <f t="array" ref="B270">SUMPRODUCT(--(D270:J270&lt;&gt;""), LEN(TRIM(SUBSTITUTE(D270:J270, CHAR(160), "")))) &amp; " Car."</f>
        <v>0 Car.</v>
      </c>
      <c r="C270" s="1376" t="str">
        <f>IF(ISBLANK(D270),"",LARGE(C13:C269,1)+1)</f>
        <v/>
      </c>
      <c r="D270" s="1833"/>
      <c r="E270" s="1810"/>
      <c r="F270" s="1810"/>
      <c r="G270" s="1810"/>
      <c r="H270" s="1810"/>
      <c r="I270" s="1810"/>
      <c r="J270" s="1810"/>
      <c r="K270" s="1810"/>
      <c r="L270" s="1811"/>
      <c r="M270" s="9"/>
      <c r="N270" s="162" t="str">
        <f t="shared" ref="N270:N333" si="140">Q270</f>
        <v>A</v>
      </c>
      <c r="O270" s="1616"/>
      <c r="P270" s="9"/>
      <c r="Q270" s="162" t="s">
        <v>10</v>
      </c>
      <c r="R270" s="163" t="str">
        <f>R215</f>
        <v>M MILLE-FEUILLE meringue et chiboust pamplemousse aux fraises des bois | collez la--FAMILLE| Auteur &gt; recette Béghin Say de Jean-Jacques Borne MOF 1994</v>
      </c>
      <c r="S270" s="163">
        <f>S215</f>
        <v>18</v>
      </c>
      <c r="T270" s="164" t="str">
        <f>T215</f>
        <v>desserts</v>
      </c>
      <c r="U270" s="165" t="str">
        <f>U215</f>
        <v>Recette mère ► MILLE-FEUILLE  aux fraises des bois</v>
      </c>
      <c r="V270" s="1548"/>
      <c r="W270" s="1548"/>
      <c r="X270" s="2190">
        <f>ROWS(AB258:AB270)</f>
        <v>13</v>
      </c>
      <c r="Y270" s="5549" t="str" cm="1">
        <f t="array" ref="Y270">IF(SUMPRODUCT((AB270:AG270&lt;&gt;"")*1)=0,"",SUMPRODUCT((AB270:AG270&lt;&gt;"")*(LEN(TRIM(SUBSTITUTE(AB270:AG270,CHAR(160)," "))) - LEN(SUBSTITUTE(TRIM(SUBSTITUTE(AB270:AG270,CHAR(160)," "))," ","")) + 1)) &amp; " mot" &amp; IF(SUMPRODUCT((AB270:AG270&lt;&gt;"")*(LEN(TRIM(SUBSTITUTE(AB270:AG270,CHAR(160)," "))) - LEN(SUBSTITUTE(TRIM(SUBSTITUTE(AB270:AG270,CHAR(160)," "))," ","")) + 1))&gt;1,"s",""))</f>
        <v>5 mots</v>
      </c>
      <c r="Z270" s="5550" t="str" cm="1">
        <f t="array" ref="Z270">SUMPRODUCT(--(AB270:AG270&lt;&gt;""), LEN(TRIM(SUBSTITUTE(AB270:AG270, CHAR(160), "")))) &amp; " Car."</f>
        <v>23 Car.</v>
      </c>
      <c r="AA270" s="1376" t="str">
        <f>IF(ISBLANK(AB270),"",LARGE(AA257:AA269,1)+1)</f>
        <v/>
      </c>
      <c r="AB270" s="1810"/>
      <c r="AC270" s="1810" t="s">
        <v>3075</v>
      </c>
      <c r="AD270" s="1810"/>
      <c r="AE270" s="1810"/>
      <c r="AF270" s="1810"/>
      <c r="AG270" s="1810"/>
      <c r="AH270" s="1810"/>
      <c r="AI270" s="1810"/>
      <c r="AJ270" s="1811"/>
      <c r="AK270" s="6120" t="str">
        <f t="shared" si="128"/>
        <v>►</v>
      </c>
      <c r="AL270" s="781" t="str">
        <f t="shared" si="116"/>
        <v>►</v>
      </c>
      <c r="AM270" s="5498" t="str">
        <f t="shared" si="119"/>
        <v/>
      </c>
      <c r="AN270" s="783" t="str">
        <f t="shared" si="120"/>
        <v/>
      </c>
      <c r="AO270" s="782" t="str">
        <f t="shared" si="121"/>
        <v/>
      </c>
      <c r="AP270" s="783" t="str">
        <f t="shared" si="122"/>
        <v/>
      </c>
      <c r="AQ270" s="2083" t="b">
        <f>AND(Q270="A",COUNTIF(BP16:BR63,TRIM(Z270))&gt;0)</f>
        <v>0</v>
      </c>
      <c r="AR270" s="797" t="str">
        <f>IF(AL270&lt;&gt;"A","",IFERROR(IFERROR(_xlfn.XLOOKUP(TRIM(SUBSTITUTE(Z270,CHAR(160)," ")),BP16:BP63,BS16:BS63),IFERROR(_xlfn.XLOOKUP(TRIM(SUBSTITUTE(Z270,CHAR(160)," ")),BQ16:BQ63,BS16:BS63),_xlfn.XLOOKUP(TRIM(SUBSTITUTE(Z270,CHAR(160)," ")),BR16:BR63,BS16:BS63)))*Y270*IF(ISBLANK(V270),1,V270),0))</f>
        <v/>
      </c>
      <c r="AS270" s="784" t="str">
        <f t="shared" si="138"/>
        <v/>
      </c>
      <c r="AT270" s="1315" t="str">
        <f t="shared" si="123"/>
        <v/>
      </c>
      <c r="AU270" s="785">
        <f t="shared" si="124"/>
        <v>0</v>
      </c>
      <c r="AV270" s="785">
        <f t="shared" si="125"/>
        <v>0</v>
      </c>
      <c r="AW270" s="798">
        <f>IF(AK270="A",AY10,0)</f>
        <v>0</v>
      </c>
      <c r="AX270" s="5496" t="str">
        <f>IF(IFERROR(SEARCH("Adresse PC",TRIM(W270)),0)&gt;0,"▼ receta siguiente",IF(AK270="A",IF(AZ10&lt;&gt;"",AZ10&amp;" - ou.or.o ❾ + or - &gt;",""),""))</f>
        <v/>
      </c>
      <c r="AY270" s="810"/>
      <c r="AZ270" s="810"/>
      <c r="BA270" s="799" t="str">
        <f t="shared" si="115"/>
        <v/>
      </c>
      <c r="BB270" s="800" t="str">
        <f>IF(AK270="A",IF(AQ270,IF(AND(AW270&lt;&gt;"",N(AW270)&gt;0),IFERROR(IFERROR(_xlfn.XLOOKUP(AP270,BP10:BP57,BT10:BT57),IFERROR(_xlfn.XLOOKUP(AP270,BQ10:BQ57,BT10:BT57),_xlfn.XLOOKUP(AP270,BR10:BR57,BT10:BT57,""))),""),""),""),"")</f>
        <v/>
      </c>
      <c r="BC270" s="813" cm="1">
        <f t="array" ref="BC270">IF(NOT(AQ270),0,IF(OR(BA270="",N(BA270)&lt;=0.000000001),"",IF(OR(AU270="",N(AU270)&lt;=0.000000001),0,IF(ISNUMBER(BA270),IFERROR(_xlfn.LET(_xlpm.ai_test,TRIM(AP270),_xlpm.r,IFERROR(_xlfn.XLOOKUP(_xlpm.ai_test,BP16:BP63,ROW(BP16:BP63),0,1),IFERROR(_xlfn.XLOOKUP(_xlpm.ai_test,BQ16:BQ63,ROW(BQ16:BQ63),0,1),_xlfn.XLOOKUP(_xlpm.ai_test,BR16:BR63,ROW(BR16:BR63),0,1))),_xlpm.p,_xlpm.r-MIN(ROW(BP16:BP63))+1,_xlpm.f,INDEX(BS16:BS63,_xlpm.p),_xlpm.u,INDEX(BT16:BT63,_xlpm.p),_xlpm.s,INDEX(BV16:BV63,_xlpm.p),_xlpm.q,N(BA270)/_xlpm.f,IF(_xlpm.q&gt;=_xlpm.s,ROUND(_xlpm.q,1)&amp;" "&amp;_xlpm.ai_test&amp;" = "&amp;ROUND(_xlpm.q*_xlpm.f,1)&amp;" "&amp;_xlpm.u,ROUND(_xlpm.q,1)&amp;" "&amp;_xlpm.ai_test)),""),""))))</f>
        <v>0</v>
      </c>
      <c r="BD270" s="801"/>
      <c r="BE270" s="799" t="str">
        <f t="shared" si="126"/>
        <v/>
      </c>
      <c r="BF270" s="800" t="str">
        <f t="shared" si="132"/>
        <v/>
      </c>
      <c r="BG270" s="802">
        <f t="shared" si="133"/>
        <v>0</v>
      </c>
      <c r="BH270" s="803" t="str">
        <f t="shared" si="134"/>
        <v/>
      </c>
      <c r="BI270" s="792"/>
      <c r="BJ270" s="804">
        <f t="shared" si="135"/>
        <v>0</v>
      </c>
      <c r="BK270" s="794" t="str">
        <f t="shared" si="127"/>
        <v/>
      </c>
      <c r="BL270" s="227" t="s">
        <v>21</v>
      </c>
      <c r="BM270" s="773">
        <f t="shared" si="117"/>
        <v>0</v>
      </c>
      <c r="BN270" s="774">
        <f t="shared" si="118"/>
        <v>0</v>
      </c>
      <c r="BO270"/>
      <c r="BP270" s="627"/>
      <c r="BQ270" s="627"/>
      <c r="BR270" s="627"/>
      <c r="BS270" s="627"/>
      <c r="BT270" s="627"/>
      <c r="BU270" s="627"/>
      <c r="BV270" s="627"/>
      <c r="BW270" s="627"/>
      <c r="BX270"/>
      <c r="BY270"/>
      <c r="BZ270"/>
      <c r="CA270"/>
      <c r="CB270"/>
      <c r="CC270"/>
      <c r="CD270" s="781" t="str">
        <f t="shared" si="139"/>
        <v>►</v>
      </c>
      <c r="CE270"/>
      <c r="CF270"/>
      <c r="CG270"/>
      <c r="CH270"/>
      <c r="CI270"/>
      <c r="CK270"/>
      <c r="CL270"/>
      <c r="CM270"/>
      <c r="CN270"/>
      <c r="CO270"/>
      <c r="CP270"/>
      <c r="CQ270"/>
      <c r="CR270" s="227"/>
      <c r="CS270"/>
      <c r="CT270"/>
      <c r="CU270"/>
      <c r="CV270"/>
      <c r="CW270"/>
      <c r="CX270"/>
      <c r="CY270"/>
      <c r="CZ270" s="227"/>
      <c r="DA270"/>
      <c r="DB270"/>
      <c r="DC270"/>
      <c r="DD270"/>
      <c r="DE270"/>
      <c r="DF270"/>
      <c r="DG270"/>
      <c r="DH270" s="227"/>
      <c r="DI270" s="3">
        <v>1</v>
      </c>
      <c r="DJ270" s="627"/>
      <c r="DK270" s="627"/>
    </row>
    <row r="271" spans="1:115" s="633" customFormat="1" ht="21" customHeight="1">
      <c r="A271" s="701" t="s">
        <v>21</v>
      </c>
      <c r="B271" s="2265" t="str" cm="1">
        <f t="array" ref="B271">SUMPRODUCT(--(D271:J271&lt;&gt;""), LEN(TRIM(SUBSTITUTE(D271:J271, CHAR(160), "")))) &amp; " Car."</f>
        <v>0 Car.</v>
      </c>
      <c r="C271" s="1376" t="str">
        <f>IF(ISBLANK(D271),"",LARGE(C13:C270,1)+1)</f>
        <v/>
      </c>
      <c r="D271" s="1833"/>
      <c r="E271" s="1810"/>
      <c r="F271" s="1810"/>
      <c r="G271" s="1810"/>
      <c r="H271" s="1810"/>
      <c r="I271" s="1810"/>
      <c r="J271" s="1810"/>
      <c r="K271" s="1810"/>
      <c r="L271" s="1811"/>
      <c r="M271" s="9"/>
      <c r="N271" s="162" t="str">
        <f t="shared" si="140"/>
        <v>A</v>
      </c>
      <c r="O271" s="1616"/>
      <c r="P271" s="9"/>
      <c r="Q271" s="162" t="s">
        <v>10</v>
      </c>
      <c r="R271" s="163" t="str">
        <f>R215</f>
        <v>M MILLE-FEUILLE meringue et chiboust pamplemousse aux fraises des bois | collez la--FAMILLE| Auteur &gt; recette Béghin Say de Jean-Jacques Borne MOF 1994</v>
      </c>
      <c r="S271" s="163">
        <f>S215</f>
        <v>18</v>
      </c>
      <c r="T271" s="164" t="str">
        <f>T215</f>
        <v>desserts</v>
      </c>
      <c r="U271" s="165" t="str">
        <f>U215</f>
        <v>Recette mère ► MILLE-FEUILLE  aux fraises des bois</v>
      </c>
      <c r="V271" s="1548"/>
      <c r="W271" s="1548"/>
      <c r="X271" s="2190">
        <f>ROWS(AB258:AB271)</f>
        <v>14</v>
      </c>
      <c r="Y271" s="5549" t="str" cm="1">
        <f t="array" ref="Y271">IF(SUMPRODUCT((AB271:AG271&lt;&gt;"")*1)=0,"",SUMPRODUCT((AB271:AG271&lt;&gt;"")*(LEN(TRIM(SUBSTITUTE(AB271:AG271,CHAR(160)," "))) - LEN(SUBSTITUTE(TRIM(SUBSTITUTE(AB271:AG271,CHAR(160)," "))," ","")) + 1)) &amp; " mot" &amp; IF(SUMPRODUCT((AB271:AG271&lt;&gt;"")*(LEN(TRIM(SUBSTITUTE(AB271:AG271,CHAR(160)," "))) - LEN(SUBSTITUTE(TRIM(SUBSTITUTE(AB271:AG271,CHAR(160)," "))," ","")) + 1))&gt;1,"s",""))</f>
        <v>6 mots</v>
      </c>
      <c r="Z271" s="5550" t="str" cm="1">
        <f t="array" ref="Z271">SUMPRODUCT(--(AB271:AG271&lt;&gt;""), LEN(TRIM(SUBSTITUTE(AB271:AG271, CHAR(160), "")))) &amp; " Car."</f>
        <v>36 Car.</v>
      </c>
      <c r="AA271" s="1376" t="str">
        <f>IF(ISBLANK(AB271),"",LARGE(AA257:AA270,1)+1)</f>
        <v/>
      </c>
      <c r="AB271" s="1810"/>
      <c r="AC271" s="1810" t="s">
        <v>3078</v>
      </c>
      <c r="AD271" s="1810"/>
      <c r="AE271" s="1810"/>
      <c r="AF271" s="1810"/>
      <c r="AG271" s="1810"/>
      <c r="AH271" s="1810"/>
      <c r="AI271" s="1810"/>
      <c r="AJ271" s="1811"/>
      <c r="AK271" s="6120" t="str">
        <f t="shared" si="128"/>
        <v>►</v>
      </c>
      <c r="AL271" s="781" t="str">
        <f t="shared" si="116"/>
        <v>►</v>
      </c>
      <c r="AM271" s="5499" t="str">
        <f t="shared" si="119"/>
        <v/>
      </c>
      <c r="AN271" s="783" t="str">
        <f t="shared" si="120"/>
        <v/>
      </c>
      <c r="AO271" s="782" t="str">
        <f t="shared" si="121"/>
        <v/>
      </c>
      <c r="AP271" s="783" t="str">
        <f t="shared" si="122"/>
        <v/>
      </c>
      <c r="AQ271" s="2083" t="b">
        <f>AND(Q271="A",COUNTIF(BP16:BR63,TRIM(Z271))&gt;0)</f>
        <v>0</v>
      </c>
      <c r="AR271" s="797" t="str">
        <f>IF(AL271&lt;&gt;"A","",IFERROR(IFERROR(_xlfn.XLOOKUP(TRIM(SUBSTITUTE(Z271,CHAR(160)," ")),BP16:BP63,BS16:BS63),IFERROR(_xlfn.XLOOKUP(TRIM(SUBSTITUTE(Z271,CHAR(160)," ")),BQ16:BQ63,BS16:BS63),_xlfn.XLOOKUP(TRIM(SUBSTITUTE(Z271,CHAR(160)," ")),BR16:BR63,BS16:BS63)))*Y271*IF(ISBLANK(V271),1,V271),0))</f>
        <v/>
      </c>
      <c r="AS271" s="784" t="str">
        <f t="shared" si="138"/>
        <v/>
      </c>
      <c r="AT271" s="1315" t="str">
        <f t="shared" si="123"/>
        <v/>
      </c>
      <c r="AU271" s="785">
        <f t="shared" si="124"/>
        <v>0</v>
      </c>
      <c r="AV271" s="785">
        <f t="shared" si="125"/>
        <v>0</v>
      </c>
      <c r="AW271" s="786">
        <f>IF(AK271="A",AY10,0)</f>
        <v>0</v>
      </c>
      <c r="AX271" s="5495" t="str">
        <f>IF(IFERROR(SEARCH("Adresse PC",TRIM(W271)),0)&gt;0,"▼ receta siguiente",IF(AK271="A",IF(AZ10&lt;&gt;"",AZ10&amp;" - ou.or.o ❾ + or - &gt;",""),""))</f>
        <v/>
      </c>
      <c r="AY271" s="810"/>
      <c r="AZ271" s="810"/>
      <c r="BA271" s="788" t="str">
        <f t="shared" si="115"/>
        <v/>
      </c>
      <c r="BB271" s="789" t="str">
        <f>IF(AK271="A",IF(AQ271,IF(AND(AW271&lt;&gt;"",N(AW271)&gt;0),IFERROR(IFERROR(_xlfn.XLOOKUP(AP271,BP10:BP57,BT10:BT57),IFERROR(_xlfn.XLOOKUP(AP271,BQ10:BQ57,BT10:BT57),_xlfn.XLOOKUP(AP271,BR10:BR57,BT10:BT57,""))),""),""),""),"")</f>
        <v/>
      </c>
      <c r="BC271" s="811" cm="1">
        <f t="array" ref="BC271">IF(NOT(AQ271),0,IF(OR(BA271="",N(BA271)&lt;=0.000000001),"",IF(OR(AU271="",N(AU271)&lt;=0.000000001),0,IF(ISNUMBER(BA271),IFERROR(_xlfn.LET(_xlpm.ai_test,TRIM(AP271),_xlpm.r,IFERROR(_xlfn.XLOOKUP(_xlpm.ai_test,BP16:BP63,ROW(BP16:BP63),0,1),IFERROR(_xlfn.XLOOKUP(_xlpm.ai_test,BQ16:BQ63,ROW(BQ16:BQ63),0,1),_xlfn.XLOOKUP(_xlpm.ai_test,BR16:BR63,ROW(BR16:BR63),0,1))),_xlpm.p,_xlpm.r-MIN(ROW(BP16:BP63))+1,_xlpm.f,INDEX(BS16:BS63,_xlpm.p),_xlpm.u,INDEX(BT16:BT63,_xlpm.p),_xlpm.s,INDEX(BV16:BV63,_xlpm.p),_xlpm.q,N(BA271)/_xlpm.f,IF(_xlpm.q&gt;=_xlpm.s,ROUND(_xlpm.q,1)&amp;" "&amp;_xlpm.ai_test&amp;" = "&amp;ROUND(_xlpm.q*_xlpm.f,1)&amp;" "&amp;_xlpm.u,ROUND(_xlpm.q,1)&amp;" "&amp;_xlpm.ai_test)),""),""))))</f>
        <v>0</v>
      </c>
      <c r="BD271" s="801"/>
      <c r="BE271" s="788" t="str">
        <f t="shared" si="126"/>
        <v/>
      </c>
      <c r="BF271" s="789" t="str">
        <f t="shared" si="132"/>
        <v/>
      </c>
      <c r="BG271" s="790">
        <f t="shared" si="133"/>
        <v>0</v>
      </c>
      <c r="BH271" s="791" t="str">
        <f t="shared" si="134"/>
        <v/>
      </c>
      <c r="BI271" s="792"/>
      <c r="BJ271" s="793">
        <f t="shared" si="135"/>
        <v>0</v>
      </c>
      <c r="BK271" s="794" t="str">
        <f t="shared" si="127"/>
        <v/>
      </c>
      <c r="BL271" s="227" t="s">
        <v>21</v>
      </c>
      <c r="BM271" s="773">
        <f t="shared" si="117"/>
        <v>0</v>
      </c>
      <c r="BN271" s="774">
        <f t="shared" si="118"/>
        <v>0</v>
      </c>
      <c r="BO271"/>
      <c r="BP271" s="627"/>
      <c r="BQ271" s="627"/>
      <c r="BR271" s="627"/>
      <c r="BS271" s="627"/>
      <c r="BT271" s="627"/>
      <c r="BU271" s="627"/>
      <c r="BV271" s="627"/>
      <c r="BW271" s="627"/>
      <c r="BX271"/>
      <c r="BY271"/>
      <c r="BZ271"/>
      <c r="CA271"/>
      <c r="CB271"/>
      <c r="CC271"/>
      <c r="CD271" s="781" t="str">
        <f t="shared" si="139"/>
        <v>►</v>
      </c>
      <c r="CE271"/>
      <c r="CF271"/>
      <c r="CG271"/>
      <c r="CH271"/>
      <c r="CI271"/>
      <c r="CK271"/>
      <c r="CL271"/>
      <c r="CM271"/>
      <c r="CN271"/>
      <c r="CO271"/>
      <c r="CP271"/>
      <c r="CQ271"/>
      <c r="CR271" s="227"/>
      <c r="CS271"/>
      <c r="CT271"/>
      <c r="CU271"/>
      <c r="CV271"/>
      <c r="CW271"/>
      <c r="CX271"/>
      <c r="CY271"/>
      <c r="CZ271" s="227"/>
      <c r="DA271"/>
      <c r="DB271"/>
      <c r="DC271"/>
      <c r="DD271"/>
      <c r="DE271"/>
      <c r="DF271"/>
      <c r="DG271"/>
      <c r="DH271" s="227"/>
      <c r="DI271" s="3">
        <v>1</v>
      </c>
      <c r="DJ271" s="627"/>
      <c r="DK271" s="627"/>
    </row>
    <row r="272" spans="1:115" s="633" customFormat="1" ht="21" customHeight="1">
      <c r="A272" s="701" t="s">
        <v>21</v>
      </c>
      <c r="B272" s="2265" t="str" cm="1">
        <f t="array" ref="B272">SUMPRODUCT(--(D272:J272&lt;&gt;""), LEN(TRIM(SUBSTITUTE(D272:J272, CHAR(160), "")))) &amp; " Car."</f>
        <v>0 Car.</v>
      </c>
      <c r="C272" s="1376" t="str">
        <f>IF(ISBLANK(D272),"",LARGE(C13:C271,1)+1)</f>
        <v/>
      </c>
      <c r="D272" s="1833"/>
      <c r="E272" s="1810"/>
      <c r="F272" s="1810"/>
      <c r="G272" s="1810"/>
      <c r="H272" s="1810"/>
      <c r="I272" s="1810"/>
      <c r="J272" s="1810"/>
      <c r="K272" s="1810"/>
      <c r="L272" s="1811"/>
      <c r="M272" s="9"/>
      <c r="N272" s="162" t="str">
        <f t="shared" si="140"/>
        <v>A</v>
      </c>
      <c r="O272" s="1616"/>
      <c r="P272" s="9"/>
      <c r="Q272" s="162" t="s">
        <v>10</v>
      </c>
      <c r="R272" s="163" t="str">
        <f>R215</f>
        <v>M MILLE-FEUILLE meringue et chiboust pamplemousse aux fraises des bois | collez la--FAMILLE| Auteur &gt; recette Béghin Say de Jean-Jacques Borne MOF 1994</v>
      </c>
      <c r="S272" s="163">
        <f>S215</f>
        <v>18</v>
      </c>
      <c r="T272" s="164" t="str">
        <f>T215</f>
        <v>desserts</v>
      </c>
      <c r="U272" s="165" t="str">
        <f>U215</f>
        <v>Recette mère ► MILLE-FEUILLE  aux fraises des bois</v>
      </c>
      <c r="V272" s="1548"/>
      <c r="W272" s="1548"/>
      <c r="X272" s="2190">
        <f>ROWS(AB258:AB272)</f>
        <v>15</v>
      </c>
      <c r="Y272" s="5549" t="str" cm="1">
        <f t="array" ref="Y272">IF(SUMPRODUCT((AB272:AG272&lt;&gt;"")*1)=0,"",SUMPRODUCT((AB272:AG272&lt;&gt;"")*(LEN(TRIM(SUBSTITUTE(AB272:AG272,CHAR(160)," "))) - LEN(SUBSTITUTE(TRIM(SUBSTITUTE(AB272:AG272,CHAR(160)," "))," ","")) + 1)) &amp; " mot" &amp; IF(SUMPRODUCT((AB272:AG272&lt;&gt;"")*(LEN(TRIM(SUBSTITUTE(AB272:AG272,CHAR(160)," "))) - LEN(SUBSTITUTE(TRIM(SUBSTITUTE(AB272:AG272,CHAR(160)," "))," ","")) + 1))&gt;1,"s",""))</f>
        <v>2 mots</v>
      </c>
      <c r="Z272" s="5550" t="str" cm="1">
        <f t="array" ref="Z272">SUMPRODUCT(--(AB272:AG272&lt;&gt;""), LEN(TRIM(SUBSTITUTE(AB272:AG272, CHAR(160), "")))) &amp; " Car."</f>
        <v>21 Car.</v>
      </c>
      <c r="AA272" s="1376" t="str">
        <f>IF(ISBLANK(AB272),"",LARGE(AA257:AA271,1)+1)</f>
        <v/>
      </c>
      <c r="AB272" s="1810"/>
      <c r="AC272" s="1810" t="s">
        <v>3079</v>
      </c>
      <c r="AD272" s="1810"/>
      <c r="AE272" s="1810"/>
      <c r="AF272" s="1810"/>
      <c r="AG272" s="1810"/>
      <c r="AH272" s="1810"/>
      <c r="AI272" s="1810"/>
      <c r="AJ272" s="1811"/>
      <c r="AK272" s="6120" t="str">
        <f t="shared" si="128"/>
        <v>►</v>
      </c>
      <c r="AL272" s="781" t="str">
        <f t="shared" si="116"/>
        <v>►</v>
      </c>
      <c r="AM272" s="5498" t="str">
        <f t="shared" si="119"/>
        <v/>
      </c>
      <c r="AN272" s="783" t="str">
        <f t="shared" si="120"/>
        <v/>
      </c>
      <c r="AO272" s="782" t="str">
        <f t="shared" si="121"/>
        <v/>
      </c>
      <c r="AP272" s="783" t="str">
        <f t="shared" si="122"/>
        <v/>
      </c>
      <c r="AQ272" s="2083" t="b">
        <f>AND(Q272="A",COUNTIF(BP16:BR63,TRIM(Z272))&gt;0)</f>
        <v>0</v>
      </c>
      <c r="AR272" s="797" t="str">
        <f>IF(AL272&lt;&gt;"A","",IFERROR(IFERROR(_xlfn.XLOOKUP(TRIM(SUBSTITUTE(Z272,CHAR(160)," ")),BP16:BP63,BS16:BS63),IFERROR(_xlfn.XLOOKUP(TRIM(SUBSTITUTE(Z272,CHAR(160)," ")),BQ16:BQ63,BS16:BS63),_xlfn.XLOOKUP(TRIM(SUBSTITUTE(Z272,CHAR(160)," ")),BR16:BR63,BS16:BS63)))*Y272*IF(ISBLANK(V272),1,V272),0))</f>
        <v/>
      </c>
      <c r="AS272" s="784" t="str">
        <f t="shared" si="138"/>
        <v/>
      </c>
      <c r="AT272" s="1315" t="str">
        <f t="shared" si="123"/>
        <v/>
      </c>
      <c r="AU272" s="785">
        <f t="shared" si="124"/>
        <v>0</v>
      </c>
      <c r="AV272" s="785">
        <f t="shared" si="125"/>
        <v>0</v>
      </c>
      <c r="AW272" s="798">
        <f>IF(AK272="A",AY10,0)</f>
        <v>0</v>
      </c>
      <c r="AX272" s="5496" t="str">
        <f>IF(IFERROR(SEARCH("Adresse PC",TRIM(W272)),0)&gt;0,"▼ receta siguiente",IF(AK272="A",IF(AZ10&lt;&gt;"",AZ10&amp;" - ou.or.o ❾ + or - &gt;",""),""))</f>
        <v/>
      </c>
      <c r="AY272" s="810"/>
      <c r="AZ272" s="810"/>
      <c r="BA272" s="799" t="str">
        <f t="shared" si="115"/>
        <v/>
      </c>
      <c r="BB272" s="800" t="str">
        <f>IF(AK272="A",IF(AQ272,IF(AND(AW272&lt;&gt;"",N(AW272)&gt;0),IFERROR(IFERROR(_xlfn.XLOOKUP(AP272,BP10:BP57,BT10:BT57),IFERROR(_xlfn.XLOOKUP(AP272,BQ10:BQ57,BT10:BT57),_xlfn.XLOOKUP(AP272,BR10:BR57,BT10:BT57,""))),""),""),""),"")</f>
        <v/>
      </c>
      <c r="BC272" s="813" cm="1">
        <f t="array" ref="BC272">IF(NOT(AQ272),0,IF(OR(BA272="",N(BA272)&lt;=0.000000001),"",IF(OR(AU272="",N(AU272)&lt;=0.000000001),0,IF(ISNUMBER(BA272),IFERROR(_xlfn.LET(_xlpm.ai_test,TRIM(AP272),_xlpm.r,IFERROR(_xlfn.XLOOKUP(_xlpm.ai_test,BP16:BP63,ROW(BP16:BP63),0,1),IFERROR(_xlfn.XLOOKUP(_xlpm.ai_test,BQ16:BQ63,ROW(BQ16:BQ63),0,1),_xlfn.XLOOKUP(_xlpm.ai_test,BR16:BR63,ROW(BR16:BR63),0,1))),_xlpm.p,_xlpm.r-MIN(ROW(BP16:BP63))+1,_xlpm.f,INDEX(BS16:BS63,_xlpm.p),_xlpm.u,INDEX(BT16:BT63,_xlpm.p),_xlpm.s,INDEX(BV16:BV63,_xlpm.p),_xlpm.q,N(BA272)/_xlpm.f,IF(_xlpm.q&gt;=_xlpm.s,ROUND(_xlpm.q,1)&amp;" "&amp;_xlpm.ai_test&amp;" = "&amp;ROUND(_xlpm.q*_xlpm.f,1)&amp;" "&amp;_xlpm.u,ROUND(_xlpm.q,1)&amp;" "&amp;_xlpm.ai_test)),""),""))))</f>
        <v>0</v>
      </c>
      <c r="BD272" s="801"/>
      <c r="BE272" s="799" t="str">
        <f t="shared" si="126"/>
        <v/>
      </c>
      <c r="BF272" s="800" t="str">
        <f t="shared" si="132"/>
        <v/>
      </c>
      <c r="BG272" s="802">
        <f t="shared" si="133"/>
        <v>0</v>
      </c>
      <c r="BH272" s="803" t="str">
        <f t="shared" si="134"/>
        <v/>
      </c>
      <c r="BI272" s="792"/>
      <c r="BJ272" s="804">
        <f t="shared" si="135"/>
        <v>0</v>
      </c>
      <c r="BK272" s="794" t="str">
        <f t="shared" si="127"/>
        <v/>
      </c>
      <c r="BL272" s="227" t="s">
        <v>21</v>
      </c>
      <c r="BM272" s="773">
        <f t="shared" si="117"/>
        <v>0</v>
      </c>
      <c r="BN272" s="774">
        <f t="shared" si="118"/>
        <v>0</v>
      </c>
      <c r="BO272"/>
      <c r="BP272" s="627"/>
      <c r="BQ272" s="627"/>
      <c r="BR272" s="627"/>
      <c r="BS272" s="627"/>
      <c r="BT272" s="627"/>
      <c r="BU272" s="627"/>
      <c r="BV272" s="627"/>
      <c r="BW272" s="627"/>
      <c r="BX272"/>
      <c r="BY272"/>
      <c r="BZ272"/>
      <c r="CA272"/>
      <c r="CB272"/>
      <c r="CC272"/>
      <c r="CD272" s="781" t="str">
        <f t="shared" si="139"/>
        <v>►</v>
      </c>
      <c r="CE272"/>
      <c r="CF272"/>
      <c r="CG272"/>
      <c r="CH272"/>
      <c r="CI272"/>
      <c r="CK272"/>
      <c r="CL272"/>
      <c r="CM272"/>
      <c r="CN272"/>
      <c r="CO272"/>
      <c r="CP272"/>
      <c r="CQ272"/>
      <c r="CR272" s="227"/>
      <c r="CS272"/>
      <c r="CT272"/>
      <c r="CU272"/>
      <c r="CV272"/>
      <c r="CW272"/>
      <c r="CX272"/>
      <c r="CY272"/>
      <c r="CZ272" s="227"/>
      <c r="DA272"/>
      <c r="DB272"/>
      <c r="DC272"/>
      <c r="DD272"/>
      <c r="DE272"/>
      <c r="DF272"/>
      <c r="DG272"/>
      <c r="DH272" s="227"/>
      <c r="DI272" s="3">
        <v>1</v>
      </c>
      <c r="DJ272" s="627"/>
      <c r="DK272" s="627"/>
    </row>
    <row r="273" spans="1:115" s="633" customFormat="1" ht="21" customHeight="1">
      <c r="A273" s="701" t="s">
        <v>21</v>
      </c>
      <c r="B273" s="2265" t="str" cm="1">
        <f t="array" ref="B273">SUMPRODUCT(--(D273:J273&lt;&gt;""), LEN(TRIM(SUBSTITUTE(D273:J273, CHAR(160), "")))) &amp; " Car."</f>
        <v>0 Car.</v>
      </c>
      <c r="C273" s="1376" t="str">
        <f>IF(ISBLANK(D273),"",LARGE(C13:C272,1)+1)</f>
        <v/>
      </c>
      <c r="D273" s="1833"/>
      <c r="E273" s="1810"/>
      <c r="F273" s="1810"/>
      <c r="G273" s="1810"/>
      <c r="H273" s="1810"/>
      <c r="I273" s="1810"/>
      <c r="J273" s="1810"/>
      <c r="K273" s="1810"/>
      <c r="L273" s="1811"/>
      <c r="M273" s="9"/>
      <c r="N273" s="162" t="str">
        <f t="shared" si="140"/>
        <v>A</v>
      </c>
      <c r="O273" s="1616"/>
      <c r="P273" s="9"/>
      <c r="Q273" s="162" t="s">
        <v>10</v>
      </c>
      <c r="R273" s="163" t="str">
        <f>R215</f>
        <v>M MILLE-FEUILLE meringue et chiboust pamplemousse aux fraises des bois | collez la--FAMILLE| Auteur &gt; recette Béghin Say de Jean-Jacques Borne MOF 1994</v>
      </c>
      <c r="S273" s="163">
        <f>S215</f>
        <v>18</v>
      </c>
      <c r="T273" s="164" t="str">
        <f>T215</f>
        <v>desserts</v>
      </c>
      <c r="U273" s="165" t="str">
        <f>U215</f>
        <v>Recette mère ► MILLE-FEUILLE  aux fraises des bois</v>
      </c>
      <c r="V273" s="1548"/>
      <c r="W273" s="1548"/>
      <c r="X273" s="2190">
        <f>ROWS(AB258:AB273)</f>
        <v>16</v>
      </c>
      <c r="Y273" s="5549" t="str" cm="1">
        <f t="array" ref="Y273">IF(SUMPRODUCT((AB273:AG273&lt;&gt;"")*1)=0,"",SUMPRODUCT((AB273:AG273&lt;&gt;"")*(LEN(TRIM(SUBSTITUTE(AB273:AG273,CHAR(160)," "))) - LEN(SUBSTITUTE(TRIM(SUBSTITUTE(AB273:AG273,CHAR(160)," "))," ","")) + 1)) &amp; " mot" &amp; IF(SUMPRODUCT((AB273:AG273&lt;&gt;"")*(LEN(TRIM(SUBSTITUTE(AB273:AG273,CHAR(160)," "))) - LEN(SUBSTITUTE(TRIM(SUBSTITUTE(AB273:AG273,CHAR(160)," "))," ","")) + 1))&gt;1,"s",""))</f>
        <v>12 mots</v>
      </c>
      <c r="Z273" s="5550" t="str" cm="1">
        <f t="array" ref="Z273">SUMPRODUCT(--(AB273:AG273&lt;&gt;""), LEN(TRIM(SUBSTITUTE(AB273:AG273, CHAR(160), "")))) &amp; " Car."</f>
        <v>63 Car.</v>
      </c>
      <c r="AA273" s="1376" t="str">
        <f>IF(ISBLANK(AB273),"",LARGE(AA257:AA272,1)+1)</f>
        <v/>
      </c>
      <c r="AB273" s="1810"/>
      <c r="AC273" s="1810" t="s">
        <v>3080</v>
      </c>
      <c r="AD273" s="1810"/>
      <c r="AE273" s="1810"/>
      <c r="AF273" s="1810"/>
      <c r="AG273" s="1810"/>
      <c r="AH273" s="1810"/>
      <c r="AI273" s="1810"/>
      <c r="AJ273" s="1811"/>
      <c r="AK273" s="6120" t="str">
        <f t="shared" si="128"/>
        <v>►</v>
      </c>
      <c r="AL273" s="781" t="str">
        <f t="shared" si="116"/>
        <v>►</v>
      </c>
      <c r="AM273" s="5499" t="str">
        <f t="shared" si="119"/>
        <v/>
      </c>
      <c r="AN273" s="783" t="str">
        <f t="shared" si="120"/>
        <v/>
      </c>
      <c r="AO273" s="782" t="str">
        <f t="shared" si="121"/>
        <v/>
      </c>
      <c r="AP273" s="783" t="str">
        <f t="shared" si="122"/>
        <v/>
      </c>
      <c r="AQ273" s="2083" t="b">
        <f>AND(Q273="A",COUNTIF(BP16:BR63,TRIM(Z273))&gt;0)</f>
        <v>0</v>
      </c>
      <c r="AR273" s="797" t="str">
        <f>IF(AL273&lt;&gt;"A","",IFERROR(IFERROR(_xlfn.XLOOKUP(TRIM(SUBSTITUTE(Z273,CHAR(160)," ")),BP16:BP63,BS16:BS63),IFERROR(_xlfn.XLOOKUP(TRIM(SUBSTITUTE(Z273,CHAR(160)," ")),BQ16:BQ63,BS16:BS63),_xlfn.XLOOKUP(TRIM(SUBSTITUTE(Z273,CHAR(160)," ")),BR16:BR63,BS16:BS63)))*Y273*IF(ISBLANK(V273),1,V273),0))</f>
        <v/>
      </c>
      <c r="AS273" s="784" t="str">
        <f t="shared" si="138"/>
        <v/>
      </c>
      <c r="AT273" s="1315" t="str">
        <f t="shared" si="123"/>
        <v/>
      </c>
      <c r="AU273" s="785">
        <f t="shared" si="124"/>
        <v>0</v>
      </c>
      <c r="AV273" s="785">
        <f t="shared" si="125"/>
        <v>0</v>
      </c>
      <c r="AW273" s="786">
        <f>IF(AK273="A",AY10,0)</f>
        <v>0</v>
      </c>
      <c r="AX273" s="5495" t="str">
        <f>IF(IFERROR(SEARCH("Adresse PC",TRIM(W273)),0)&gt;0,"▼ receta siguiente",IF(AK273="A",IF(AZ10&lt;&gt;"",AZ10&amp;" - ou.or.o ❾ + or - &gt;",""),""))</f>
        <v/>
      </c>
      <c r="AY273" s="810"/>
      <c r="AZ273" s="810"/>
      <c r="BA273" s="788" t="str">
        <f t="shared" si="115"/>
        <v/>
      </c>
      <c r="BB273" s="789" t="str">
        <f>IF(AK273="A",IF(AQ273,IF(AND(AW273&lt;&gt;"",N(AW273)&gt;0),IFERROR(IFERROR(_xlfn.XLOOKUP(AP273,BP10:BP57,BT10:BT57),IFERROR(_xlfn.XLOOKUP(AP273,BQ10:BQ57,BT10:BT57),_xlfn.XLOOKUP(AP273,BR10:BR57,BT10:BT57,""))),""),""),""),"")</f>
        <v/>
      </c>
      <c r="BC273" s="811" cm="1">
        <f t="array" ref="BC273">IF(NOT(AQ273),0,IF(OR(BA273="",N(BA273)&lt;=0.000000001),"",IF(OR(AU273="",N(AU273)&lt;=0.000000001),0,IF(ISNUMBER(BA273),IFERROR(_xlfn.LET(_xlpm.ai_test,TRIM(AP273),_xlpm.r,IFERROR(_xlfn.XLOOKUP(_xlpm.ai_test,BP16:BP63,ROW(BP16:BP63),0,1),IFERROR(_xlfn.XLOOKUP(_xlpm.ai_test,BQ16:BQ63,ROW(BQ16:BQ63),0,1),_xlfn.XLOOKUP(_xlpm.ai_test,BR16:BR63,ROW(BR16:BR63),0,1))),_xlpm.p,_xlpm.r-MIN(ROW(BP16:BP63))+1,_xlpm.f,INDEX(BS16:BS63,_xlpm.p),_xlpm.u,INDEX(BT16:BT63,_xlpm.p),_xlpm.s,INDEX(BV16:BV63,_xlpm.p),_xlpm.q,N(BA273)/_xlpm.f,IF(_xlpm.q&gt;=_xlpm.s,ROUND(_xlpm.q,1)&amp;" "&amp;_xlpm.ai_test&amp;" = "&amp;ROUND(_xlpm.q*_xlpm.f,1)&amp;" "&amp;_xlpm.u,ROUND(_xlpm.q,1)&amp;" "&amp;_xlpm.ai_test)),""),""))))</f>
        <v>0</v>
      </c>
      <c r="BD273" s="801"/>
      <c r="BE273" s="788" t="str">
        <f t="shared" si="126"/>
        <v/>
      </c>
      <c r="BF273" s="789" t="str">
        <f t="shared" si="132"/>
        <v/>
      </c>
      <c r="BG273" s="790">
        <f t="shared" si="133"/>
        <v>0</v>
      </c>
      <c r="BH273" s="791" t="str">
        <f t="shared" si="134"/>
        <v/>
      </c>
      <c r="BI273" s="792"/>
      <c r="BJ273" s="793">
        <f t="shared" si="135"/>
        <v>0</v>
      </c>
      <c r="BK273" s="794" t="str">
        <f t="shared" si="127"/>
        <v/>
      </c>
      <c r="BL273" s="227" t="s">
        <v>21</v>
      </c>
      <c r="BM273" s="773">
        <f t="shared" si="117"/>
        <v>0</v>
      </c>
      <c r="BN273" s="774">
        <f t="shared" si="118"/>
        <v>0</v>
      </c>
      <c r="BO273"/>
      <c r="BP273" s="627"/>
      <c r="BQ273" s="627"/>
      <c r="BR273" s="627"/>
      <c r="BS273" s="627"/>
      <c r="BT273" s="627"/>
      <c r="BU273" s="627"/>
      <c r="BV273" s="627"/>
      <c r="BW273" s="627"/>
      <c r="BX273"/>
      <c r="BY273"/>
      <c r="BZ273"/>
      <c r="CA273"/>
      <c r="CB273"/>
      <c r="CC273"/>
      <c r="CD273" s="781" t="str">
        <f t="shared" si="139"/>
        <v>►</v>
      </c>
      <c r="CE273"/>
      <c r="CF273"/>
      <c r="CG273"/>
      <c r="CH273"/>
      <c r="CI273"/>
      <c r="CK273"/>
      <c r="CL273"/>
      <c r="CM273"/>
      <c r="CN273"/>
      <c r="CO273"/>
      <c r="CP273"/>
      <c r="CQ273"/>
      <c r="CR273" s="227"/>
      <c r="CS273"/>
      <c r="CT273"/>
      <c r="CU273"/>
      <c r="CV273"/>
      <c r="CW273"/>
      <c r="CX273"/>
      <c r="CY273"/>
      <c r="CZ273" s="227"/>
      <c r="DA273"/>
      <c r="DB273"/>
      <c r="DC273"/>
      <c r="DD273"/>
      <c r="DE273"/>
      <c r="DF273"/>
      <c r="DG273"/>
      <c r="DH273" s="227"/>
      <c r="DI273" s="3">
        <v>1</v>
      </c>
      <c r="DJ273" s="627"/>
      <c r="DK273" s="627"/>
    </row>
    <row r="274" spans="1:115" s="633" customFormat="1" ht="21" customHeight="1">
      <c r="A274" s="701" t="s">
        <v>21</v>
      </c>
      <c r="B274" s="2265" t="str" cm="1">
        <f t="array" ref="B274">SUMPRODUCT(--(D274:J274&lt;&gt;""), LEN(TRIM(SUBSTITUTE(D274:J274, CHAR(160), "")))) &amp; " Car."</f>
        <v>0 Car.</v>
      </c>
      <c r="C274" s="1376" t="str">
        <f>IF(ISBLANK(D274),"",LARGE(C13:C273,1)+1)</f>
        <v/>
      </c>
      <c r="D274" s="1833"/>
      <c r="E274" s="1810"/>
      <c r="F274" s="1810"/>
      <c r="G274" s="1810"/>
      <c r="H274" s="1810"/>
      <c r="I274" s="1810"/>
      <c r="J274" s="1810"/>
      <c r="K274" s="1810"/>
      <c r="L274" s="1811"/>
      <c r="M274" s="9"/>
      <c r="N274" s="162" t="str">
        <f t="shared" si="140"/>
        <v>A</v>
      </c>
      <c r="O274" s="1616"/>
      <c r="P274" s="9"/>
      <c r="Q274" s="162" t="s">
        <v>10</v>
      </c>
      <c r="R274" s="163" t="str">
        <f>R215</f>
        <v>M MILLE-FEUILLE meringue et chiboust pamplemousse aux fraises des bois | collez la--FAMILLE| Auteur &gt; recette Béghin Say de Jean-Jacques Borne MOF 1994</v>
      </c>
      <c r="S274" s="163">
        <f>S215</f>
        <v>18</v>
      </c>
      <c r="T274" s="164" t="str">
        <f>T215</f>
        <v>desserts</v>
      </c>
      <c r="U274" s="165" t="str">
        <f>U215</f>
        <v>Recette mère ► MILLE-FEUILLE  aux fraises des bois</v>
      </c>
      <c r="V274" s="1548"/>
      <c r="W274" s="1548"/>
      <c r="X274" s="2190">
        <f>ROWS(AB258:AB274)</f>
        <v>17</v>
      </c>
      <c r="Y274" s="5549" t="str" cm="1">
        <f t="array" ref="Y274">IF(SUMPRODUCT((AB274:AG274&lt;&gt;"")*1)=0,"",SUMPRODUCT((AB274:AG274&lt;&gt;"")*(LEN(TRIM(SUBSTITUTE(AB274:AG274,CHAR(160)," "))) - LEN(SUBSTITUTE(TRIM(SUBSTITUTE(AB274:AG274,CHAR(160)," "))," ","")) + 1)) &amp; " mot" &amp; IF(SUMPRODUCT((AB274:AG274&lt;&gt;"")*(LEN(TRIM(SUBSTITUTE(AB274:AG274,CHAR(160)," "))) - LEN(SUBSTITUTE(TRIM(SUBSTITUTE(AB274:AG274,CHAR(160)," "))," ","")) + 1))&gt;1,"s",""))</f>
        <v/>
      </c>
      <c r="Z274" s="5550" t="str" cm="1">
        <f t="array" ref="Z274">SUMPRODUCT(--(AB274:AG274&lt;&gt;""), LEN(TRIM(SUBSTITUTE(AB274:AG274, CHAR(160), "")))) &amp; " Car."</f>
        <v>0 Car.</v>
      </c>
      <c r="AA274" s="1376"/>
      <c r="AB274" s="1810"/>
      <c r="AC274" s="1810"/>
      <c r="AD274" s="1810"/>
      <c r="AE274" s="1810"/>
      <c r="AF274" s="1810"/>
      <c r="AG274" s="1810"/>
      <c r="AH274" s="1810"/>
      <c r="AI274" s="1810"/>
      <c r="AJ274" s="1811"/>
      <c r="AK274" s="6120" t="str">
        <f t="shared" si="128"/>
        <v>►</v>
      </c>
      <c r="AL274" s="781" t="str">
        <f t="shared" si="116"/>
        <v>►</v>
      </c>
      <c r="AM274" s="5498" t="str">
        <f t="shared" si="119"/>
        <v/>
      </c>
      <c r="AN274" s="783" t="str">
        <f t="shared" si="120"/>
        <v/>
      </c>
      <c r="AO274" s="782" t="str">
        <f t="shared" si="121"/>
        <v/>
      </c>
      <c r="AP274" s="783" t="str">
        <f t="shared" si="122"/>
        <v/>
      </c>
      <c r="AQ274" s="2083" t="b">
        <f>AND(Q274="A",COUNTIF(BP16:BR63,TRIM(Z274))&gt;0)</f>
        <v>0</v>
      </c>
      <c r="AR274" s="797" t="str">
        <f>IF(AL274&lt;&gt;"A","",IFERROR(IFERROR(_xlfn.XLOOKUP(TRIM(SUBSTITUTE(Z274,CHAR(160)," ")),BP16:BP63,BS16:BS63),IFERROR(_xlfn.XLOOKUP(TRIM(SUBSTITUTE(Z274,CHAR(160)," ")),BQ16:BQ63,BS16:BS63),_xlfn.XLOOKUP(TRIM(SUBSTITUTE(Z274,CHAR(160)," ")),BR16:BR63,BS16:BS63)))*Y274*IF(ISBLANK(V274),1,V274),0))</f>
        <v/>
      </c>
      <c r="AS274" s="784" t="str">
        <f t="shared" si="138"/>
        <v/>
      </c>
      <c r="AT274" s="1315" t="str">
        <f t="shared" si="123"/>
        <v/>
      </c>
      <c r="AU274" s="785">
        <f t="shared" si="124"/>
        <v>0</v>
      </c>
      <c r="AV274" s="785">
        <f t="shared" si="125"/>
        <v>0</v>
      </c>
      <c r="AW274" s="798">
        <f>IF(AK274="A",AY10,0)</f>
        <v>0</v>
      </c>
      <c r="AX274" s="5496" t="str">
        <f>IF(IFERROR(SEARCH("Adresse PC",TRIM(W274)),0)&gt;0,"▼ receta siguiente",IF(AK274="A",IF(AZ10&lt;&gt;"",AZ10&amp;" - ou.or.o ❾ + or - &gt;",""),""))</f>
        <v/>
      </c>
      <c r="AY274" s="810"/>
      <c r="AZ274" s="810"/>
      <c r="BA274" s="799" t="str">
        <f t="shared" si="115"/>
        <v/>
      </c>
      <c r="BB274" s="800" t="str">
        <f>IF(AK274="A",IF(AQ274,IF(AND(AW274&lt;&gt;"",N(AW274)&gt;0),IFERROR(IFERROR(_xlfn.XLOOKUP(AP274,BP10:BP57,BT10:BT57),IFERROR(_xlfn.XLOOKUP(AP274,BQ10:BQ57,BT10:BT57),_xlfn.XLOOKUP(AP274,BR10:BR57,BT10:BT57,""))),""),""),""),"")</f>
        <v/>
      </c>
      <c r="BC274" s="813" cm="1">
        <f t="array" ref="BC274">IF(NOT(AQ274),0,IF(OR(BA274="",N(BA274)&lt;=0.000000001),"",IF(OR(AU274="",N(AU274)&lt;=0.000000001),0,IF(ISNUMBER(BA274),IFERROR(_xlfn.LET(_xlpm.ai_test,TRIM(AP274),_xlpm.r,IFERROR(_xlfn.XLOOKUP(_xlpm.ai_test,BP16:BP63,ROW(BP16:BP63),0,1),IFERROR(_xlfn.XLOOKUP(_xlpm.ai_test,BQ16:BQ63,ROW(BQ16:BQ63),0,1),_xlfn.XLOOKUP(_xlpm.ai_test,BR16:BR63,ROW(BR16:BR63),0,1))),_xlpm.p,_xlpm.r-MIN(ROW(BP16:BP63))+1,_xlpm.f,INDEX(BS16:BS63,_xlpm.p),_xlpm.u,INDEX(BT16:BT63,_xlpm.p),_xlpm.s,INDEX(BV16:BV63,_xlpm.p),_xlpm.q,N(BA274)/_xlpm.f,IF(_xlpm.q&gt;=_xlpm.s,ROUND(_xlpm.q,1)&amp;" "&amp;_xlpm.ai_test&amp;" = "&amp;ROUND(_xlpm.q*_xlpm.f,1)&amp;" "&amp;_xlpm.u,ROUND(_xlpm.q,1)&amp;" "&amp;_xlpm.ai_test)),""),""))))</f>
        <v>0</v>
      </c>
      <c r="BD274" s="801"/>
      <c r="BE274" s="799" t="str">
        <f t="shared" si="126"/>
        <v/>
      </c>
      <c r="BF274" s="800" t="str">
        <f t="shared" si="132"/>
        <v/>
      </c>
      <c r="BG274" s="802">
        <f t="shared" si="133"/>
        <v>0</v>
      </c>
      <c r="BH274" s="803" t="str">
        <f t="shared" si="134"/>
        <v/>
      </c>
      <c r="BI274" s="792"/>
      <c r="BJ274" s="804">
        <f t="shared" si="135"/>
        <v>0</v>
      </c>
      <c r="BK274" s="794" t="str">
        <f t="shared" si="127"/>
        <v/>
      </c>
      <c r="BL274" s="227" t="s">
        <v>21</v>
      </c>
      <c r="BM274" s="773">
        <f t="shared" si="117"/>
        <v>0</v>
      </c>
      <c r="BN274" s="774">
        <f t="shared" si="118"/>
        <v>0</v>
      </c>
      <c r="BO274"/>
      <c r="BP274" s="627"/>
      <c r="BQ274" s="627"/>
      <c r="BR274" s="627"/>
      <c r="BS274" s="627"/>
      <c r="BT274" s="627"/>
      <c r="BU274" s="627"/>
      <c r="BV274" s="627"/>
      <c r="BW274" s="627"/>
      <c r="BX274"/>
      <c r="BY274"/>
      <c r="BZ274"/>
      <c r="CA274"/>
      <c r="CB274"/>
      <c r="CC274"/>
      <c r="CD274" s="781" t="str">
        <f t="shared" si="139"/>
        <v>►</v>
      </c>
      <c r="CE274"/>
      <c r="CF274"/>
      <c r="CG274"/>
      <c r="CH274"/>
      <c r="CI274"/>
      <c r="CK274"/>
      <c r="CL274"/>
      <c r="CM274"/>
      <c r="CN274"/>
      <c r="CO274"/>
      <c r="CP274"/>
      <c r="CQ274"/>
      <c r="CR274" s="227"/>
      <c r="CS274"/>
      <c r="CT274"/>
      <c r="CU274"/>
      <c r="CV274"/>
      <c r="CW274"/>
      <c r="CX274"/>
      <c r="CY274"/>
      <c r="CZ274" s="227"/>
      <c r="DA274"/>
      <c r="DB274"/>
      <c r="DC274"/>
      <c r="DD274"/>
      <c r="DE274"/>
      <c r="DF274"/>
      <c r="DG274"/>
      <c r="DH274" s="227"/>
      <c r="DI274" s="3">
        <v>1</v>
      </c>
      <c r="DJ274" s="627"/>
      <c r="DK274" s="627"/>
    </row>
    <row r="275" spans="1:115" s="633" customFormat="1" ht="21" customHeight="1">
      <c r="A275" s="701" t="s">
        <v>21</v>
      </c>
      <c r="B275" s="2265" t="str" cm="1">
        <f t="array" ref="B275">SUMPRODUCT(--(D275:J275&lt;&gt;""), LEN(TRIM(SUBSTITUTE(D275:J275, CHAR(160), "")))) &amp; " Car."</f>
        <v>0 Car.</v>
      </c>
      <c r="C275" s="1376" t="str">
        <f>IF(ISBLANK(D275),"",LARGE(C13:C274,1)+1)</f>
        <v/>
      </c>
      <c r="D275" s="1833"/>
      <c r="E275" s="1810"/>
      <c r="F275" s="1810"/>
      <c r="G275" s="1810"/>
      <c r="H275" s="1810"/>
      <c r="I275" s="1810"/>
      <c r="J275" s="1810"/>
      <c r="K275" s="1810"/>
      <c r="L275" s="1811"/>
      <c r="M275" s="9"/>
      <c r="N275" s="162" t="str">
        <f t="shared" si="140"/>
        <v>A</v>
      </c>
      <c r="O275" s="1616"/>
      <c r="P275" s="9"/>
      <c r="Q275" s="162" t="s">
        <v>10</v>
      </c>
      <c r="R275" s="163" t="str">
        <f>R215</f>
        <v>M MILLE-FEUILLE meringue et chiboust pamplemousse aux fraises des bois | collez la--FAMILLE| Auteur &gt; recette Béghin Say de Jean-Jacques Borne MOF 1994</v>
      </c>
      <c r="S275" s="163">
        <f>S215</f>
        <v>18</v>
      </c>
      <c r="T275" s="164" t="str">
        <f>T215</f>
        <v>desserts</v>
      </c>
      <c r="U275" s="165" t="str">
        <f>U215</f>
        <v>Recette mère ► MILLE-FEUILLE  aux fraises des bois</v>
      </c>
      <c r="V275" s="1548"/>
      <c r="W275" s="1548"/>
      <c r="X275" s="2190">
        <f>ROWS(AB258:AB275)</f>
        <v>18</v>
      </c>
      <c r="Y275" s="5549" t="str" cm="1">
        <f t="array" ref="Y275">IF(SUMPRODUCT((AB275:AG275&lt;&gt;"")*1)=0,"",SUMPRODUCT((AB275:AG275&lt;&gt;"")*(LEN(TRIM(SUBSTITUTE(AB275:AG275,CHAR(160)," "))) - LEN(SUBSTITUTE(TRIM(SUBSTITUTE(AB275:AG275,CHAR(160)," "))," ","")) + 1)) &amp; " mot" &amp; IF(SUMPRODUCT((AB275:AG275&lt;&gt;"")*(LEN(TRIM(SUBSTITUTE(AB275:AG275,CHAR(160)," "))) - LEN(SUBSTITUTE(TRIM(SUBSTITUTE(AB275:AG275,CHAR(160)," "))," ","")) + 1))&gt;1,"s",""))</f>
        <v/>
      </c>
      <c r="Z275" s="5550" t="str" cm="1">
        <f t="array" ref="Z275">SUMPRODUCT(--(AB275:AG275&lt;&gt;""), LEN(TRIM(SUBSTITUTE(AB275:AG275, CHAR(160), "")))) &amp; " Car."</f>
        <v>0 Car.</v>
      </c>
      <c r="AA275" s="1376"/>
      <c r="AB275" s="1810"/>
      <c r="AC275" s="1810"/>
      <c r="AD275" s="1810"/>
      <c r="AE275" s="1810"/>
      <c r="AF275" s="1810"/>
      <c r="AG275" s="1810"/>
      <c r="AH275" s="1810"/>
      <c r="AI275" s="1810"/>
      <c r="AJ275" s="1811"/>
      <c r="AK275" s="6120" t="str">
        <f t="shared" si="128"/>
        <v>►</v>
      </c>
      <c r="AL275" s="781" t="str">
        <f t="shared" si="116"/>
        <v>►</v>
      </c>
      <c r="AM275" s="5499" t="str">
        <f t="shared" si="119"/>
        <v/>
      </c>
      <c r="AN275" s="783" t="str">
        <f t="shared" si="120"/>
        <v/>
      </c>
      <c r="AO275" s="782" t="str">
        <f t="shared" si="121"/>
        <v/>
      </c>
      <c r="AP275" s="783" t="str">
        <f t="shared" si="122"/>
        <v/>
      </c>
      <c r="AQ275" s="2083" t="b">
        <f>AND(Q275="A",COUNTIF(BP16:BR63,TRIM(Z275))&gt;0)</f>
        <v>0</v>
      </c>
      <c r="AR275" s="797" t="str">
        <f>IF(AL275&lt;&gt;"A","",IFERROR(IFERROR(_xlfn.XLOOKUP(TRIM(SUBSTITUTE(Z275,CHAR(160)," ")),BP16:BP63,BS16:BS63),IFERROR(_xlfn.XLOOKUP(TRIM(SUBSTITUTE(Z275,CHAR(160)," ")),BQ16:BQ63,BS16:BS63),_xlfn.XLOOKUP(TRIM(SUBSTITUTE(Z275,CHAR(160)," ")),BR16:BR63,BS16:BS63)))*Y275*IF(ISBLANK(V275),1,V275),0))</f>
        <v/>
      </c>
      <c r="AS275" s="784" t="str">
        <f t="shared" si="138"/>
        <v/>
      </c>
      <c r="AT275" s="1315" t="str">
        <f t="shared" si="123"/>
        <v/>
      </c>
      <c r="AU275" s="785">
        <f t="shared" si="124"/>
        <v>0</v>
      </c>
      <c r="AV275" s="785">
        <f t="shared" si="125"/>
        <v>0</v>
      </c>
      <c r="AW275" s="786">
        <f>IF(AK275="A",AY10,0)</f>
        <v>0</v>
      </c>
      <c r="AX275" s="5495" t="str">
        <f>IF(IFERROR(SEARCH("Adresse PC",TRIM(W275)),0)&gt;0,"▼ receta siguiente",IF(AK275="A",IF(AZ10&lt;&gt;"",AZ10&amp;" - ou.or.o ❾ + or - &gt;",""),""))</f>
        <v/>
      </c>
      <c r="AY275" s="810"/>
      <c r="AZ275" s="810"/>
      <c r="BA275" s="788" t="str">
        <f t="shared" si="115"/>
        <v/>
      </c>
      <c r="BB275" s="789" t="str">
        <f>IF(AK275="A",IF(AQ275,IF(AND(AW275&lt;&gt;"",N(AW275)&gt;0),IFERROR(IFERROR(_xlfn.XLOOKUP(AP275,BP10:BP57,BT10:BT57),IFERROR(_xlfn.XLOOKUP(AP275,BQ10:BQ57,BT10:BT57),_xlfn.XLOOKUP(AP275,BR10:BR57,BT10:BT57,""))),""),""),""),"")</f>
        <v/>
      </c>
      <c r="BC275" s="811" cm="1">
        <f t="array" ref="BC275">IF(NOT(AQ275),0,IF(OR(BA275="",N(BA275)&lt;=0.000000001),"",IF(OR(AU275="",N(AU275)&lt;=0.000000001),0,IF(ISNUMBER(BA275),IFERROR(_xlfn.LET(_xlpm.ai_test,TRIM(AP275),_xlpm.r,IFERROR(_xlfn.XLOOKUP(_xlpm.ai_test,BP16:BP63,ROW(BP16:BP63),0,1),IFERROR(_xlfn.XLOOKUP(_xlpm.ai_test,BQ16:BQ63,ROW(BQ16:BQ63),0,1),_xlfn.XLOOKUP(_xlpm.ai_test,BR16:BR63,ROW(BR16:BR63),0,1))),_xlpm.p,_xlpm.r-MIN(ROW(BP16:BP63))+1,_xlpm.f,INDEX(BS16:BS63,_xlpm.p),_xlpm.u,INDEX(BT16:BT63,_xlpm.p),_xlpm.s,INDEX(BV16:BV63,_xlpm.p),_xlpm.q,N(BA275)/_xlpm.f,IF(_xlpm.q&gt;=_xlpm.s,ROUND(_xlpm.q,1)&amp;" "&amp;_xlpm.ai_test&amp;" = "&amp;ROUND(_xlpm.q*_xlpm.f,1)&amp;" "&amp;_xlpm.u,ROUND(_xlpm.q,1)&amp;" "&amp;_xlpm.ai_test)),""),""))))</f>
        <v>0</v>
      </c>
      <c r="BD275" s="801"/>
      <c r="BE275" s="788" t="str">
        <f t="shared" si="126"/>
        <v/>
      </c>
      <c r="BF275" s="789" t="str">
        <f t="shared" si="132"/>
        <v/>
      </c>
      <c r="BG275" s="790">
        <f t="shared" si="133"/>
        <v>0</v>
      </c>
      <c r="BH275" s="791" t="str">
        <f t="shared" si="134"/>
        <v/>
      </c>
      <c r="BI275" s="792"/>
      <c r="BJ275" s="793">
        <f t="shared" si="135"/>
        <v>0</v>
      </c>
      <c r="BK275" s="794" t="str">
        <f t="shared" si="127"/>
        <v/>
      </c>
      <c r="BL275" s="227" t="s">
        <v>21</v>
      </c>
      <c r="BM275" s="773">
        <f t="shared" si="117"/>
        <v>0</v>
      </c>
      <c r="BN275" s="774">
        <f t="shared" si="118"/>
        <v>0</v>
      </c>
      <c r="BO275"/>
      <c r="BP275" s="627"/>
      <c r="BQ275" s="627"/>
      <c r="BR275" s="627"/>
      <c r="BS275" s="627"/>
      <c r="BT275" s="627"/>
      <c r="BU275" s="627"/>
      <c r="BV275" s="627"/>
      <c r="BW275" s="627"/>
      <c r="BX275"/>
      <c r="BY275"/>
      <c r="BZ275"/>
      <c r="CA275"/>
      <c r="CB275"/>
      <c r="CC275"/>
      <c r="CD275" s="781" t="str">
        <f t="shared" si="139"/>
        <v>►</v>
      </c>
      <c r="CE275"/>
      <c r="CF275"/>
      <c r="CG275"/>
      <c r="CH275"/>
      <c r="CI275"/>
      <c r="CK275"/>
      <c r="CL275"/>
      <c r="CM275"/>
      <c r="CN275"/>
      <c r="CO275"/>
      <c r="CP275"/>
      <c r="CQ275"/>
      <c r="CR275" s="227"/>
      <c r="CS275"/>
      <c r="CT275"/>
      <c r="CU275"/>
      <c r="CV275"/>
      <c r="CW275"/>
      <c r="CX275"/>
      <c r="CY275"/>
      <c r="CZ275" s="227"/>
      <c r="DA275"/>
      <c r="DB275"/>
      <c r="DC275"/>
      <c r="DD275"/>
      <c r="DE275"/>
      <c r="DF275"/>
      <c r="DG275"/>
      <c r="DH275" s="227"/>
      <c r="DI275" s="3">
        <v>1</v>
      </c>
      <c r="DJ275" s="627"/>
      <c r="DK275" s="627"/>
    </row>
    <row r="276" spans="1:115" s="633" customFormat="1" ht="21" customHeight="1">
      <c r="A276" s="701" t="s">
        <v>21</v>
      </c>
      <c r="B276" s="2265" t="str" cm="1">
        <f t="array" ref="B276">SUMPRODUCT(--(D276:J276&lt;&gt;""), LEN(TRIM(SUBSTITUTE(D276:J276, CHAR(160), "")))) &amp; " Car."</f>
        <v>0 Car.</v>
      </c>
      <c r="C276" s="1376" t="str">
        <f>IF(ISBLANK(D276),"",LARGE(C13:C275,1)+1)</f>
        <v/>
      </c>
      <c r="D276" s="1833"/>
      <c r="E276" s="1810"/>
      <c r="F276" s="1810"/>
      <c r="G276" s="1810"/>
      <c r="H276" s="1810"/>
      <c r="I276" s="1810"/>
      <c r="J276" s="1810"/>
      <c r="K276" s="1810"/>
      <c r="L276" s="1811"/>
      <c r="M276" s="9"/>
      <c r="N276" s="103" t="str">
        <f t="shared" si="140"/>
        <v>►</v>
      </c>
      <c r="O276" s="1616"/>
      <c r="P276" s="9"/>
      <c r="Q276" s="103" t="str">
        <f t="shared" ref="Q276:Q296" si="141">IF(AB276&lt;&gt;"","A","►")</f>
        <v>►</v>
      </c>
      <c r="R276" s="163" t="str">
        <f>R215</f>
        <v>M MILLE-FEUILLE meringue et chiboust pamplemousse aux fraises des bois | collez la--FAMILLE| Auteur &gt; recette Béghin Say de Jean-Jacques Borne MOF 1994</v>
      </c>
      <c r="S276" s="163">
        <f>S215</f>
        <v>18</v>
      </c>
      <c r="T276" s="164" t="str">
        <f>T215</f>
        <v>desserts</v>
      </c>
      <c r="U276" s="165" t="str">
        <f>U215</f>
        <v>Recette mère ► MILLE-FEUILLE  aux fraises des bois</v>
      </c>
      <c r="V276" s="1548"/>
      <c r="W276" s="1548"/>
      <c r="X276" s="2190">
        <f>ROWS(AB258:AB276)</f>
        <v>19</v>
      </c>
      <c r="Y276" s="5549" t="str" cm="1">
        <f t="array" ref="Y276">IF(SUMPRODUCT((AB276:AG276&lt;&gt;"")*1)=0,"",SUMPRODUCT((AB276:AG276&lt;&gt;"")*(LEN(TRIM(SUBSTITUTE(AB276:AG276,CHAR(160)," "))) - LEN(SUBSTITUTE(TRIM(SUBSTITUTE(AB276:AG276,CHAR(160)," "))," ","")) + 1)) &amp; " mot" &amp; IF(SUMPRODUCT((AB276:AG276&lt;&gt;"")*(LEN(TRIM(SUBSTITUTE(AB276:AG276,CHAR(160)," "))) - LEN(SUBSTITUTE(TRIM(SUBSTITUTE(AB276:AG276,CHAR(160)," "))," ","")) + 1))&gt;1,"s",""))</f>
        <v/>
      </c>
      <c r="Z276" s="5550" t="str" cm="1">
        <f t="array" ref="Z276">SUMPRODUCT(--(AB276:AG276&lt;&gt;""), LEN(TRIM(SUBSTITUTE(AB276:AG276, CHAR(160), "")))) &amp; " Car."</f>
        <v>0 Car.</v>
      </c>
      <c r="AA276" s="1376" t="str">
        <f>IF(ISBLANK(AB276),"",LARGE(AA257:AA275,1)+1)</f>
        <v/>
      </c>
      <c r="AB276" s="1810"/>
      <c r="AC276" s="1810"/>
      <c r="AD276" s="1810"/>
      <c r="AE276" s="1810"/>
      <c r="AF276" s="1810"/>
      <c r="AG276" s="1810"/>
      <c r="AH276" s="1810"/>
      <c r="AI276" s="1810"/>
      <c r="AJ276" s="1811"/>
      <c r="AK276" s="6120" t="str">
        <f t="shared" si="128"/>
        <v>►</v>
      </c>
      <c r="AL276" s="781" t="str">
        <f t="shared" si="116"/>
        <v>►</v>
      </c>
      <c r="AM276" s="5498" t="str">
        <f t="shared" si="119"/>
        <v/>
      </c>
      <c r="AN276" s="783" t="str">
        <f t="shared" si="120"/>
        <v/>
      </c>
      <c r="AO276" s="782" t="str">
        <f t="shared" si="121"/>
        <v/>
      </c>
      <c r="AP276" s="783" t="str">
        <f t="shared" si="122"/>
        <v/>
      </c>
      <c r="AQ276" s="2083" t="b">
        <f>AND(Q276="A",COUNTIF(BP16:BR63,TRIM(Z276))&gt;0)</f>
        <v>0</v>
      </c>
      <c r="AR276" s="797" t="str">
        <f>IF(AL276&lt;&gt;"A","",IFERROR(IFERROR(_xlfn.XLOOKUP(TRIM(SUBSTITUTE(Z276,CHAR(160)," ")),BP16:BP63,BS16:BS63),IFERROR(_xlfn.XLOOKUP(TRIM(SUBSTITUTE(Z276,CHAR(160)," ")),BQ16:BQ63,BS16:BS63),_xlfn.XLOOKUP(TRIM(SUBSTITUTE(Z276,CHAR(160)," ")),BR16:BR63,BS16:BS63)))*Y276*IF(ISBLANK(V276),1,V276),0))</f>
        <v/>
      </c>
      <c r="AS276" s="784" t="str">
        <f t="shared" si="138"/>
        <v/>
      </c>
      <c r="AT276" s="1315" t="str">
        <f t="shared" si="123"/>
        <v/>
      </c>
      <c r="AU276" s="785">
        <f t="shared" si="124"/>
        <v>0</v>
      </c>
      <c r="AV276" s="785">
        <f t="shared" si="125"/>
        <v>0</v>
      </c>
      <c r="AW276" s="798">
        <f>IF(AK276="A",AY10,0)</f>
        <v>0</v>
      </c>
      <c r="AX276" s="5496" t="str">
        <f>IF(IFERROR(SEARCH("Adresse PC",TRIM(W276)),0)&gt;0,"▼ receta siguiente",IF(AK276="A",IF(AZ10&lt;&gt;"",AZ10&amp;" - ou.or.o ❾ + or - &gt;",""),""))</f>
        <v/>
      </c>
      <c r="AY276" s="810"/>
      <c r="AZ276" s="810"/>
      <c r="BA276" s="799" t="str">
        <f t="shared" ref="BA276:BA339" si="142">IF(AK276="A",IF(UPPER(TRIM(SUBSTITUTE(AS276,CHAR(160),"")))="KG",N(AR276)*N(BN276),0),"")</f>
        <v/>
      </c>
      <c r="BB276" s="800" t="str">
        <f>IF(AK276="A",IF(AQ276,IF(AND(AW276&lt;&gt;"",N(AW276)&gt;0),IFERROR(IFERROR(_xlfn.XLOOKUP(AP276,BP10:BP57,BT10:BT57),IFERROR(_xlfn.XLOOKUP(AP276,BQ10:BQ57,BT10:BT57),_xlfn.XLOOKUP(AP276,BR10:BR57,BT10:BT57,""))),""),""),""),"")</f>
        <v/>
      </c>
      <c r="BC276" s="813" cm="1">
        <f t="array" ref="BC276">IF(NOT(AQ276),0,IF(OR(BA276="",N(BA276)&lt;=0.000000001),"",IF(OR(AU276="",N(AU276)&lt;=0.000000001),0,IF(ISNUMBER(BA276),IFERROR(_xlfn.LET(_xlpm.ai_test,TRIM(AP276),_xlpm.r,IFERROR(_xlfn.XLOOKUP(_xlpm.ai_test,BP16:BP63,ROW(BP16:BP63),0,1),IFERROR(_xlfn.XLOOKUP(_xlpm.ai_test,BQ16:BQ63,ROW(BQ16:BQ63),0,1),_xlfn.XLOOKUP(_xlpm.ai_test,BR16:BR63,ROW(BR16:BR63),0,1))),_xlpm.p,_xlpm.r-MIN(ROW(BP16:BP63))+1,_xlpm.f,INDEX(BS16:BS63,_xlpm.p),_xlpm.u,INDEX(BT16:BT63,_xlpm.p),_xlpm.s,INDEX(BV16:BV63,_xlpm.p),_xlpm.q,N(BA276)/_xlpm.f,IF(_xlpm.q&gt;=_xlpm.s,ROUND(_xlpm.q,1)&amp;" "&amp;_xlpm.ai_test&amp;" = "&amp;ROUND(_xlpm.q*_xlpm.f,1)&amp;" "&amp;_xlpm.u,ROUND(_xlpm.q,1)&amp;" "&amp;_xlpm.ai_test)),""),""))))</f>
        <v>0</v>
      </c>
      <c r="BD276" s="801"/>
      <c r="BE276" s="799" t="str">
        <f t="shared" si="126"/>
        <v/>
      </c>
      <c r="BF276" s="800" t="str">
        <f t="shared" si="132"/>
        <v/>
      </c>
      <c r="BG276" s="802">
        <f t="shared" si="133"/>
        <v>0</v>
      </c>
      <c r="BH276" s="803" t="str">
        <f t="shared" si="134"/>
        <v/>
      </c>
      <c r="BI276" s="792"/>
      <c r="BJ276" s="804">
        <f t="shared" si="135"/>
        <v>0</v>
      </c>
      <c r="BK276" s="794" t="str">
        <f t="shared" si="127"/>
        <v/>
      </c>
      <c r="BL276" s="227" t="s">
        <v>21</v>
      </c>
      <c r="BM276" s="773">
        <f t="shared" si="117"/>
        <v>0</v>
      </c>
      <c r="BN276" s="774">
        <f t="shared" si="118"/>
        <v>0</v>
      </c>
      <c r="BO276"/>
      <c r="BP276" s="627"/>
      <c r="BQ276" s="627"/>
      <c r="BR276" s="627"/>
      <c r="BS276" s="627"/>
      <c r="BT276" s="627"/>
      <c r="BU276" s="627"/>
      <c r="BV276" s="627"/>
      <c r="BW276" s="627"/>
      <c r="BX276"/>
      <c r="BY276"/>
      <c r="BZ276"/>
      <c r="CA276"/>
      <c r="CB276"/>
      <c r="CC276"/>
      <c r="CD276" s="781" t="str">
        <f t="shared" si="139"/>
        <v>►</v>
      </c>
      <c r="CE276"/>
      <c r="CF276"/>
      <c r="CG276"/>
      <c r="CH276"/>
      <c r="CI276"/>
      <c r="CK276"/>
      <c r="CL276"/>
      <c r="CM276"/>
      <c r="CN276"/>
      <c r="CO276"/>
      <c r="CP276"/>
      <c r="CQ276"/>
      <c r="CR276" s="227"/>
      <c r="CS276"/>
      <c r="CT276"/>
      <c r="CU276"/>
      <c r="CV276"/>
      <c r="CW276"/>
      <c r="CX276"/>
      <c r="CY276"/>
      <c r="CZ276" s="227"/>
      <c r="DA276"/>
      <c r="DB276"/>
      <c r="DC276"/>
      <c r="DD276"/>
      <c r="DE276"/>
      <c r="DF276"/>
      <c r="DG276"/>
      <c r="DH276" s="227"/>
      <c r="DI276" s="3">
        <v>1</v>
      </c>
      <c r="DJ276" s="627"/>
      <c r="DK276" s="627"/>
    </row>
    <row r="277" spans="1:115" s="633" customFormat="1" ht="21" customHeight="1">
      <c r="A277" s="701" t="s">
        <v>21</v>
      </c>
      <c r="B277" s="2265" t="str" cm="1">
        <f t="array" ref="B277">SUMPRODUCT(--(D277:J277&lt;&gt;""), LEN(TRIM(SUBSTITUTE(D277:J277, CHAR(160), "")))) &amp; " Car."</f>
        <v>0 Car.</v>
      </c>
      <c r="C277" s="1376" t="str">
        <f>IF(ISBLANK(D277),"",LARGE(C13:C276,1)+1)</f>
        <v/>
      </c>
      <c r="D277" s="1833"/>
      <c r="E277" s="1810"/>
      <c r="F277" s="1810"/>
      <c r="G277" s="1810"/>
      <c r="H277" s="1810"/>
      <c r="I277" s="1810"/>
      <c r="J277" s="1810"/>
      <c r="K277" s="1810"/>
      <c r="L277" s="1811"/>
      <c r="M277" s="9"/>
      <c r="N277" s="103" t="str">
        <f t="shared" si="140"/>
        <v>►</v>
      </c>
      <c r="O277" s="1616"/>
      <c r="P277" s="9"/>
      <c r="Q277" s="103" t="str">
        <f t="shared" si="141"/>
        <v>►</v>
      </c>
      <c r="R277" s="163" t="str">
        <f>R215</f>
        <v>M MILLE-FEUILLE meringue et chiboust pamplemousse aux fraises des bois | collez la--FAMILLE| Auteur &gt; recette Béghin Say de Jean-Jacques Borne MOF 1994</v>
      </c>
      <c r="S277" s="163">
        <f>S215</f>
        <v>18</v>
      </c>
      <c r="T277" s="164" t="str">
        <f>T215</f>
        <v>desserts</v>
      </c>
      <c r="U277" s="165" t="str">
        <f>U215</f>
        <v>Recette mère ► MILLE-FEUILLE  aux fraises des bois</v>
      </c>
      <c r="V277" s="1548"/>
      <c r="W277" s="1548"/>
      <c r="X277" s="2190">
        <f>ROWS(AB258:AB277)</f>
        <v>20</v>
      </c>
      <c r="Y277" s="5549" t="str" cm="1">
        <f t="array" ref="Y277">IF(SUMPRODUCT((AB277:AG277&lt;&gt;"")*1)=0,"",SUMPRODUCT((AB277:AG277&lt;&gt;"")*(LEN(TRIM(SUBSTITUTE(AB277:AG277,CHAR(160)," "))) - LEN(SUBSTITUTE(TRIM(SUBSTITUTE(AB277:AG277,CHAR(160)," "))," ","")) + 1)) &amp; " mot" &amp; IF(SUMPRODUCT((AB277:AG277&lt;&gt;"")*(LEN(TRIM(SUBSTITUTE(AB277:AG277,CHAR(160)," "))) - LEN(SUBSTITUTE(TRIM(SUBSTITUTE(AB277:AG277,CHAR(160)," "))," ","")) + 1))&gt;1,"s",""))</f>
        <v/>
      </c>
      <c r="Z277" s="5550" t="str" cm="1">
        <f t="array" ref="Z277">SUMPRODUCT(--(AB277:AG277&lt;&gt;""), LEN(TRIM(SUBSTITUTE(AB277:AG277, CHAR(160), "")))) &amp; " Car."</f>
        <v>0 Car.</v>
      </c>
      <c r="AA277" s="1376" t="str">
        <f>IF(ISBLANK(AB277),"",LARGE(AA257:AA276,1)+1)</f>
        <v/>
      </c>
      <c r="AB277" s="1810"/>
      <c r="AC277" s="1810"/>
      <c r="AD277" s="1810"/>
      <c r="AE277" s="1810"/>
      <c r="AF277" s="1810"/>
      <c r="AG277" s="1810"/>
      <c r="AH277" s="1810"/>
      <c r="AI277" s="1810"/>
      <c r="AJ277" s="1811"/>
      <c r="AK277" s="6120" t="str">
        <f t="shared" si="128"/>
        <v>►</v>
      </c>
      <c r="AL277" s="781" t="str">
        <f t="shared" si="116"/>
        <v>►</v>
      </c>
      <c r="AM277" s="5499" t="str">
        <f t="shared" si="119"/>
        <v/>
      </c>
      <c r="AN277" s="783" t="str">
        <f t="shared" si="120"/>
        <v/>
      </c>
      <c r="AO277" s="782" t="str">
        <f t="shared" si="121"/>
        <v/>
      </c>
      <c r="AP277" s="783" t="str">
        <f t="shared" si="122"/>
        <v/>
      </c>
      <c r="AQ277" s="2083" t="b">
        <f>AND(Q277="A",COUNTIF(BP16:BR63,TRIM(Z277))&gt;0)</f>
        <v>0</v>
      </c>
      <c r="AR277" s="797" t="str">
        <f>IF(AL277&lt;&gt;"A","",IFERROR(IFERROR(_xlfn.XLOOKUP(TRIM(SUBSTITUTE(Z277,CHAR(160)," ")),BP16:BP63,BS16:BS63),IFERROR(_xlfn.XLOOKUP(TRIM(SUBSTITUTE(Z277,CHAR(160)," ")),BQ16:BQ63,BS16:BS63),_xlfn.XLOOKUP(TRIM(SUBSTITUTE(Z277,CHAR(160)," ")),BR16:BR63,BS16:BS63)))*Y277*IF(ISBLANK(V277),1,V277),0))</f>
        <v/>
      </c>
      <c r="AS277" s="784" t="str">
        <f t="shared" si="138"/>
        <v/>
      </c>
      <c r="AT277" s="1315" t="str">
        <f t="shared" si="123"/>
        <v/>
      </c>
      <c r="AU277" s="785">
        <f t="shared" si="124"/>
        <v>0</v>
      </c>
      <c r="AV277" s="785">
        <f t="shared" si="125"/>
        <v>0</v>
      </c>
      <c r="AW277" s="786">
        <f>IF(AK277="A",AY10,0)</f>
        <v>0</v>
      </c>
      <c r="AX277" s="5495" t="str">
        <f>IF(IFERROR(SEARCH("Adresse PC",TRIM(W277)),0)&gt;0,"▼ receta siguiente",IF(AK277="A",IF(AZ10&lt;&gt;"",AZ10&amp;" - ou.or.o ❾ + or - &gt;",""),""))</f>
        <v/>
      </c>
      <c r="AY277" s="810"/>
      <c r="AZ277" s="810"/>
      <c r="BA277" s="788" t="str">
        <f t="shared" si="142"/>
        <v/>
      </c>
      <c r="BB277" s="789" t="str">
        <f>IF(AK277="A",IF(AQ277,IF(AND(AW277&lt;&gt;"",N(AW277)&gt;0),IFERROR(IFERROR(_xlfn.XLOOKUP(AP277,BP10:BP57,BT10:BT57),IFERROR(_xlfn.XLOOKUP(AP277,BQ10:BQ57,BT10:BT57),_xlfn.XLOOKUP(AP277,BR10:BR57,BT10:BT57,""))),""),""),""),"")</f>
        <v/>
      </c>
      <c r="BC277" s="811" cm="1">
        <f t="array" ref="BC277">IF(NOT(AQ277),0,IF(OR(BA277="",N(BA277)&lt;=0.000000001),"",IF(OR(AU277="",N(AU277)&lt;=0.000000001),0,IF(ISNUMBER(BA277),IFERROR(_xlfn.LET(_xlpm.ai_test,TRIM(AP277),_xlpm.r,IFERROR(_xlfn.XLOOKUP(_xlpm.ai_test,BP16:BP63,ROW(BP16:BP63),0,1),IFERROR(_xlfn.XLOOKUP(_xlpm.ai_test,BQ16:BQ63,ROW(BQ16:BQ63),0,1),_xlfn.XLOOKUP(_xlpm.ai_test,BR16:BR63,ROW(BR16:BR63),0,1))),_xlpm.p,_xlpm.r-MIN(ROW(BP16:BP63))+1,_xlpm.f,INDEX(BS16:BS63,_xlpm.p),_xlpm.u,INDEX(BT16:BT63,_xlpm.p),_xlpm.s,INDEX(BV16:BV63,_xlpm.p),_xlpm.q,N(BA277)/_xlpm.f,IF(_xlpm.q&gt;=_xlpm.s,ROUND(_xlpm.q,1)&amp;" "&amp;_xlpm.ai_test&amp;" = "&amp;ROUND(_xlpm.q*_xlpm.f,1)&amp;" "&amp;_xlpm.u,ROUND(_xlpm.q,1)&amp;" "&amp;_xlpm.ai_test)),""),""))))</f>
        <v>0</v>
      </c>
      <c r="BD277" s="801"/>
      <c r="BE277" s="788" t="str">
        <f t="shared" si="126"/>
        <v/>
      </c>
      <c r="BF277" s="789" t="str">
        <f t="shared" si="132"/>
        <v/>
      </c>
      <c r="BG277" s="790">
        <f t="shared" si="133"/>
        <v>0</v>
      </c>
      <c r="BH277" s="791" t="str">
        <f t="shared" si="134"/>
        <v/>
      </c>
      <c r="BI277" s="792"/>
      <c r="BJ277" s="793">
        <f t="shared" si="135"/>
        <v>0</v>
      </c>
      <c r="BK277" s="794" t="str">
        <f t="shared" si="127"/>
        <v/>
      </c>
      <c r="BL277" s="227" t="s">
        <v>21</v>
      </c>
      <c r="BM277" s="773">
        <f t="shared" si="117"/>
        <v>0</v>
      </c>
      <c r="BN277" s="774">
        <f t="shared" si="118"/>
        <v>0</v>
      </c>
      <c r="BO277"/>
      <c r="BP277" s="627"/>
      <c r="BQ277" s="627"/>
      <c r="BR277" s="627"/>
      <c r="BS277" s="627"/>
      <c r="BT277" s="627"/>
      <c r="BU277" s="627"/>
      <c r="BV277" s="627"/>
      <c r="BW277" s="627"/>
      <c r="BX277"/>
      <c r="BY277"/>
      <c r="BZ277"/>
      <c r="CA277"/>
      <c r="CB277"/>
      <c r="CC277"/>
      <c r="CD277" s="781" t="str">
        <f t="shared" si="139"/>
        <v>►</v>
      </c>
      <c r="CE277"/>
      <c r="CF277"/>
      <c r="CG277"/>
      <c r="CH277"/>
      <c r="CI277"/>
      <c r="CK277"/>
      <c r="CL277"/>
      <c r="CM277"/>
      <c r="CN277"/>
      <c r="CO277"/>
      <c r="CP277"/>
      <c r="CQ277"/>
      <c r="CR277" s="227"/>
      <c r="CS277"/>
      <c r="CT277"/>
      <c r="CU277"/>
      <c r="CV277"/>
      <c r="CW277"/>
      <c r="CX277"/>
      <c r="CY277"/>
      <c r="CZ277" s="227"/>
      <c r="DA277"/>
      <c r="DB277"/>
      <c r="DC277"/>
      <c r="DD277"/>
      <c r="DE277"/>
      <c r="DF277"/>
      <c r="DG277"/>
      <c r="DH277" s="227"/>
      <c r="DI277" s="3">
        <v>1</v>
      </c>
      <c r="DJ277" s="627"/>
      <c r="DK277" s="627"/>
    </row>
    <row r="278" spans="1:115" s="633" customFormat="1" ht="21" customHeight="1">
      <c r="A278" s="701" t="s">
        <v>21</v>
      </c>
      <c r="B278" s="2265" t="str" cm="1">
        <f t="array" ref="B278">SUMPRODUCT(--(D278:J278&lt;&gt;""), LEN(TRIM(SUBSTITUTE(D278:J278, CHAR(160), "")))) &amp; " Car."</f>
        <v>0 Car.</v>
      </c>
      <c r="C278" s="1376" t="str">
        <f>IF(ISBLANK(D278),"",LARGE(C13:C277,1)+1)</f>
        <v/>
      </c>
      <c r="D278" s="1833"/>
      <c r="E278" s="1810"/>
      <c r="F278" s="1810"/>
      <c r="G278" s="1810"/>
      <c r="H278" s="1810"/>
      <c r="I278" s="1810"/>
      <c r="J278" s="1810"/>
      <c r="K278" s="1810"/>
      <c r="L278" s="1811"/>
      <c r="M278" s="9"/>
      <c r="N278" s="103" t="str">
        <f t="shared" si="140"/>
        <v>►</v>
      </c>
      <c r="O278" s="1616"/>
      <c r="P278" s="9"/>
      <c r="Q278" s="103" t="str">
        <f t="shared" si="141"/>
        <v>►</v>
      </c>
      <c r="R278" s="163" t="str">
        <f>R215</f>
        <v>M MILLE-FEUILLE meringue et chiboust pamplemousse aux fraises des bois | collez la--FAMILLE| Auteur &gt; recette Béghin Say de Jean-Jacques Borne MOF 1994</v>
      </c>
      <c r="S278" s="163">
        <f>S215</f>
        <v>18</v>
      </c>
      <c r="T278" s="164" t="str">
        <f>T215</f>
        <v>desserts</v>
      </c>
      <c r="U278" s="165" t="str">
        <f>U215</f>
        <v>Recette mère ► MILLE-FEUILLE  aux fraises des bois</v>
      </c>
      <c r="V278" s="1548"/>
      <c r="W278" s="1548"/>
      <c r="X278" s="2190">
        <f>ROWS(AB258:AB278)</f>
        <v>21</v>
      </c>
      <c r="Y278" s="5549" t="str" cm="1">
        <f t="array" ref="Y278">IF(SUMPRODUCT((AB278:AG278&lt;&gt;"")*1)=0,"",SUMPRODUCT((AB278:AG278&lt;&gt;"")*(LEN(TRIM(SUBSTITUTE(AB278:AG278,CHAR(160)," "))) - LEN(SUBSTITUTE(TRIM(SUBSTITUTE(AB278:AG278,CHAR(160)," "))," ","")) + 1)) &amp; " mot" &amp; IF(SUMPRODUCT((AB278:AG278&lt;&gt;"")*(LEN(TRIM(SUBSTITUTE(AB278:AG278,CHAR(160)," "))) - LEN(SUBSTITUTE(TRIM(SUBSTITUTE(AB278:AG278,CHAR(160)," "))," ","")) + 1))&gt;1,"s",""))</f>
        <v/>
      </c>
      <c r="Z278" s="5550" t="str" cm="1">
        <f t="array" ref="Z278">SUMPRODUCT(--(AB278:AG278&lt;&gt;""), LEN(TRIM(SUBSTITUTE(AB278:AG278, CHAR(160), "")))) &amp; " Car."</f>
        <v>0 Car.</v>
      </c>
      <c r="AA278" s="1376" t="str">
        <f>IF(ISBLANK(AB278),"",LARGE(AA257:AA277,1)+1)</f>
        <v/>
      </c>
      <c r="AB278" s="1810"/>
      <c r="AC278" s="1810"/>
      <c r="AD278" s="1810"/>
      <c r="AE278" s="1810"/>
      <c r="AF278" s="1810"/>
      <c r="AG278" s="1810"/>
      <c r="AH278" s="1810"/>
      <c r="AI278" s="1810"/>
      <c r="AJ278" s="1811"/>
      <c r="AK278" s="6120" t="str">
        <f t="shared" si="128"/>
        <v>►</v>
      </c>
      <c r="AL278" s="781" t="str">
        <f t="shared" si="116"/>
        <v>►</v>
      </c>
      <c r="AM278" s="5498" t="str">
        <f t="shared" si="119"/>
        <v/>
      </c>
      <c r="AN278" s="783" t="str">
        <f t="shared" si="120"/>
        <v/>
      </c>
      <c r="AO278" s="782" t="str">
        <f t="shared" si="121"/>
        <v/>
      </c>
      <c r="AP278" s="783" t="str">
        <f t="shared" si="122"/>
        <v/>
      </c>
      <c r="AQ278" s="2083" t="b">
        <f>AND(Q278="A",COUNTIF(BP16:BR63,TRIM(Z278))&gt;0)</f>
        <v>0</v>
      </c>
      <c r="AR278" s="797" t="str">
        <f>IF(AL278&lt;&gt;"A","",IFERROR(IFERROR(_xlfn.XLOOKUP(TRIM(SUBSTITUTE(Z278,CHAR(160)," ")),BP16:BP63,BS16:BS63),IFERROR(_xlfn.XLOOKUP(TRIM(SUBSTITUTE(Z278,CHAR(160)," ")),BQ16:BQ63,BS16:BS63),_xlfn.XLOOKUP(TRIM(SUBSTITUTE(Z278,CHAR(160)," ")),BR16:BR63,BS16:BS63)))*Y278*IF(ISBLANK(V278),1,V278),0))</f>
        <v/>
      </c>
      <c r="AS278" s="784" t="str">
        <f t="shared" si="138"/>
        <v/>
      </c>
      <c r="AT278" s="1315" t="str">
        <f t="shared" si="123"/>
        <v/>
      </c>
      <c r="AU278" s="785">
        <f t="shared" si="124"/>
        <v>0</v>
      </c>
      <c r="AV278" s="785">
        <f t="shared" si="125"/>
        <v>0</v>
      </c>
      <c r="AW278" s="798">
        <f>IF(AK278="A",AY10,0)</f>
        <v>0</v>
      </c>
      <c r="AX278" s="5496" t="str">
        <f>IF(IFERROR(SEARCH("Adresse PC",TRIM(W278)),0)&gt;0,"▼ receta siguiente",IF(AK278="A",IF(AZ10&lt;&gt;"",AZ10&amp;" - ou.or.o ❾ + or - &gt;",""),""))</f>
        <v/>
      </c>
      <c r="AY278" s="810"/>
      <c r="AZ278" s="810"/>
      <c r="BA278" s="799" t="str">
        <f t="shared" si="142"/>
        <v/>
      </c>
      <c r="BB278" s="800" t="str">
        <f>IF(AK278="A",IF(AQ278,IF(AND(AW278&lt;&gt;"",N(AW278)&gt;0),IFERROR(IFERROR(_xlfn.XLOOKUP(AP278,BP10:BP57,BT10:BT57),IFERROR(_xlfn.XLOOKUP(AP278,BQ10:BQ57,BT10:BT57),_xlfn.XLOOKUP(AP278,BR10:BR57,BT10:BT57,""))),""),""),""),"")</f>
        <v/>
      </c>
      <c r="BC278" s="813" cm="1">
        <f t="array" ref="BC278">IF(NOT(AQ278),0,IF(OR(BA278="",N(BA278)&lt;=0.000000001),"",IF(OR(AU278="",N(AU278)&lt;=0.000000001),0,IF(ISNUMBER(BA278),IFERROR(_xlfn.LET(_xlpm.ai_test,TRIM(AP278),_xlpm.r,IFERROR(_xlfn.XLOOKUP(_xlpm.ai_test,BP16:BP63,ROW(BP16:BP63),0,1),IFERROR(_xlfn.XLOOKUP(_xlpm.ai_test,BQ16:BQ63,ROW(BQ16:BQ63),0,1),_xlfn.XLOOKUP(_xlpm.ai_test,BR16:BR63,ROW(BR16:BR63),0,1))),_xlpm.p,_xlpm.r-MIN(ROW(BP16:BP63))+1,_xlpm.f,INDEX(BS16:BS63,_xlpm.p),_xlpm.u,INDEX(BT16:BT63,_xlpm.p),_xlpm.s,INDEX(BV16:BV63,_xlpm.p),_xlpm.q,N(BA278)/_xlpm.f,IF(_xlpm.q&gt;=_xlpm.s,ROUND(_xlpm.q,1)&amp;" "&amp;_xlpm.ai_test&amp;" = "&amp;ROUND(_xlpm.q*_xlpm.f,1)&amp;" "&amp;_xlpm.u,ROUND(_xlpm.q,1)&amp;" "&amp;_xlpm.ai_test)),""),""))))</f>
        <v>0</v>
      </c>
      <c r="BD278" s="801"/>
      <c r="BE278" s="799" t="str">
        <f t="shared" si="126"/>
        <v/>
      </c>
      <c r="BF278" s="800" t="str">
        <f t="shared" si="132"/>
        <v/>
      </c>
      <c r="BG278" s="802">
        <f t="shared" si="133"/>
        <v>0</v>
      </c>
      <c r="BH278" s="803" t="str">
        <f t="shared" si="134"/>
        <v/>
      </c>
      <c r="BI278" s="792"/>
      <c r="BJ278" s="804">
        <f t="shared" si="135"/>
        <v>0</v>
      </c>
      <c r="BK278" s="794" t="str">
        <f t="shared" si="127"/>
        <v/>
      </c>
      <c r="BL278" s="227" t="s">
        <v>21</v>
      </c>
      <c r="BM278" s="773">
        <f t="shared" si="117"/>
        <v>0</v>
      </c>
      <c r="BN278" s="774">
        <f t="shared" si="118"/>
        <v>0</v>
      </c>
      <c r="BO278"/>
      <c r="BP278" s="627"/>
      <c r="BQ278" s="627"/>
      <c r="BR278" s="627"/>
      <c r="BS278" s="627"/>
      <c r="BT278" s="627"/>
      <c r="BU278" s="627"/>
      <c r="BV278" s="627"/>
      <c r="BW278" s="627"/>
      <c r="BX278"/>
      <c r="BY278"/>
      <c r="BZ278"/>
      <c r="CA278"/>
      <c r="CB278"/>
      <c r="CC278"/>
      <c r="CD278" s="781" t="str">
        <f t="shared" si="139"/>
        <v>►</v>
      </c>
      <c r="CE278"/>
      <c r="CF278"/>
      <c r="CG278"/>
      <c r="CH278"/>
      <c r="CI278"/>
      <c r="CK278"/>
      <c r="CL278"/>
      <c r="CM278"/>
      <c r="CN278"/>
      <c r="CO278"/>
      <c r="CP278"/>
      <c r="CQ278"/>
      <c r="CR278" s="227"/>
      <c r="CS278"/>
      <c r="CT278"/>
      <c r="CU278"/>
      <c r="CV278"/>
      <c r="CW278"/>
      <c r="CX278"/>
      <c r="CY278"/>
      <c r="CZ278" s="227"/>
      <c r="DA278"/>
      <c r="DB278"/>
      <c r="DC278"/>
      <c r="DD278"/>
      <c r="DE278"/>
      <c r="DF278"/>
      <c r="DG278"/>
      <c r="DH278" s="227"/>
      <c r="DI278" s="3">
        <v>1</v>
      </c>
      <c r="DJ278" s="627"/>
      <c r="DK278" s="627"/>
    </row>
    <row r="279" spans="1:115" s="633" customFormat="1" ht="21" customHeight="1">
      <c r="A279" s="701" t="s">
        <v>21</v>
      </c>
      <c r="B279" s="2265" t="str" cm="1">
        <f t="array" ref="B279">SUMPRODUCT(--(D279:J279&lt;&gt;""), LEN(TRIM(SUBSTITUTE(D279:J279, CHAR(160), "")))) &amp; " Car."</f>
        <v>0 Car.</v>
      </c>
      <c r="C279" s="1376" t="str">
        <f>IF(ISBLANK(D279),"",LARGE(C13:C278,1)+1)</f>
        <v/>
      </c>
      <c r="D279" s="1833"/>
      <c r="E279" s="1810"/>
      <c r="F279" s="1810"/>
      <c r="G279" s="1810"/>
      <c r="H279" s="1810"/>
      <c r="I279" s="1810"/>
      <c r="J279" s="1810"/>
      <c r="K279" s="1810"/>
      <c r="L279" s="1811"/>
      <c r="M279" s="9"/>
      <c r="N279" s="103" t="str">
        <f t="shared" si="140"/>
        <v>►</v>
      </c>
      <c r="O279" s="1616"/>
      <c r="P279" s="9"/>
      <c r="Q279" s="103" t="str">
        <f t="shared" si="141"/>
        <v>►</v>
      </c>
      <c r="R279" s="163" t="str">
        <f>R215</f>
        <v>M MILLE-FEUILLE meringue et chiboust pamplemousse aux fraises des bois | collez la--FAMILLE| Auteur &gt; recette Béghin Say de Jean-Jacques Borne MOF 1994</v>
      </c>
      <c r="S279" s="163">
        <f>S215</f>
        <v>18</v>
      </c>
      <c r="T279" s="164" t="str">
        <f>T215</f>
        <v>desserts</v>
      </c>
      <c r="U279" s="165" t="str">
        <f>U215</f>
        <v>Recette mère ► MILLE-FEUILLE  aux fraises des bois</v>
      </c>
      <c r="V279" s="1548"/>
      <c r="W279" s="1548"/>
      <c r="X279" s="2190">
        <f>ROWS(AB258:AB279)</f>
        <v>22</v>
      </c>
      <c r="Y279" s="5549" t="str" cm="1">
        <f t="array" ref="Y279">IF(SUMPRODUCT((AB279:AG279&lt;&gt;"")*1)=0,"",SUMPRODUCT((AB279:AG279&lt;&gt;"")*(LEN(TRIM(SUBSTITUTE(AB279:AG279,CHAR(160)," "))) - LEN(SUBSTITUTE(TRIM(SUBSTITUTE(AB279:AG279,CHAR(160)," "))," ","")) + 1)) &amp; " mot" &amp; IF(SUMPRODUCT((AB279:AG279&lt;&gt;"")*(LEN(TRIM(SUBSTITUTE(AB279:AG279,CHAR(160)," "))) - LEN(SUBSTITUTE(TRIM(SUBSTITUTE(AB279:AG279,CHAR(160)," "))," ","")) + 1))&gt;1,"s",""))</f>
        <v/>
      </c>
      <c r="Z279" s="5550" t="str" cm="1">
        <f t="array" ref="Z279">SUMPRODUCT(--(AB279:AG279&lt;&gt;""), LEN(TRIM(SUBSTITUTE(AB279:AG279, CHAR(160), "")))) &amp; " Car."</f>
        <v>0 Car.</v>
      </c>
      <c r="AA279" s="1376" t="str">
        <f>IF(ISBLANK(AB279),"",LARGE(AA257:AA278,1)+1)</f>
        <v/>
      </c>
      <c r="AB279" s="1810"/>
      <c r="AC279" s="1810"/>
      <c r="AD279" s="1810"/>
      <c r="AE279" s="1810"/>
      <c r="AF279" s="1810"/>
      <c r="AG279" s="1810"/>
      <c r="AH279" s="1810"/>
      <c r="AI279" s="1810"/>
      <c r="AJ279" s="1811"/>
      <c r="AK279" s="6120" t="str">
        <f t="shared" si="128"/>
        <v>►</v>
      </c>
      <c r="AL279" s="781" t="str">
        <f t="shared" ref="AL279:AL342" si="143">IF(OR(AU279&gt;0,TRIM(AM279)="▼ recette suivante"),"A","►")</f>
        <v>►</v>
      </c>
      <c r="AM279" s="5499" t="str">
        <f t="shared" si="119"/>
        <v/>
      </c>
      <c r="AN279" s="783" t="str">
        <f t="shared" si="120"/>
        <v/>
      </c>
      <c r="AO279" s="782" t="str">
        <f t="shared" si="121"/>
        <v/>
      </c>
      <c r="AP279" s="783" t="str">
        <f t="shared" si="122"/>
        <v/>
      </c>
      <c r="AQ279" s="2083" t="b">
        <f>AND(Q279="A",COUNTIF(BP16:BR63,TRIM(Z279))&gt;0)</f>
        <v>0</v>
      </c>
      <c r="AR279" s="797" t="str">
        <f>IF(AL279&lt;&gt;"A","",IFERROR(IFERROR(_xlfn.XLOOKUP(TRIM(SUBSTITUTE(Z279,CHAR(160)," ")),BP16:BP63,BS16:BS63),IFERROR(_xlfn.XLOOKUP(TRIM(SUBSTITUTE(Z279,CHAR(160)," ")),BQ16:BQ63,BS16:BS63),_xlfn.XLOOKUP(TRIM(SUBSTITUTE(Z279,CHAR(160)," ")),BR16:BR63,BS16:BS63)))*Y279*IF(ISBLANK(V279),1,V279),0))</f>
        <v/>
      </c>
      <c r="AS279" s="784" t="str">
        <f t="shared" si="138"/>
        <v/>
      </c>
      <c r="AT279" s="1315" t="str">
        <f t="shared" si="123"/>
        <v/>
      </c>
      <c r="AU279" s="785">
        <f t="shared" si="124"/>
        <v>0</v>
      </c>
      <c r="AV279" s="785">
        <f t="shared" si="125"/>
        <v>0</v>
      </c>
      <c r="AW279" s="786">
        <f>IF(AK279="A",AY10,0)</f>
        <v>0</v>
      </c>
      <c r="AX279" s="5495" t="str">
        <f>IF(IFERROR(SEARCH("Adresse PC",TRIM(W279)),0)&gt;0,"▼ receta siguiente",IF(AK279="A",IF(AZ10&lt;&gt;"",AZ10&amp;" - ou.or.o ❾ + or - &gt;",""),""))</f>
        <v/>
      </c>
      <c r="AY279" s="810"/>
      <c r="AZ279" s="810"/>
      <c r="BA279" s="788" t="str">
        <f t="shared" si="142"/>
        <v/>
      </c>
      <c r="BB279" s="789" t="str">
        <f>IF(AK279="A",IF(AQ279,IF(AND(AW279&lt;&gt;"",N(AW279)&gt;0),IFERROR(IFERROR(_xlfn.XLOOKUP(AP279,BP10:BP57,BT10:BT57),IFERROR(_xlfn.XLOOKUP(AP279,BQ10:BQ57,BT10:BT57),_xlfn.XLOOKUP(AP279,BR10:BR57,BT10:BT57,""))),""),""),""),"")</f>
        <v/>
      </c>
      <c r="BC279" s="811" cm="1">
        <f t="array" ref="BC279">IF(NOT(AQ279),0,IF(OR(BA279="",N(BA279)&lt;=0.000000001),"",IF(OR(AU279="",N(AU279)&lt;=0.000000001),0,IF(ISNUMBER(BA279),IFERROR(_xlfn.LET(_xlpm.ai_test,TRIM(AP279),_xlpm.r,IFERROR(_xlfn.XLOOKUP(_xlpm.ai_test,BP16:BP63,ROW(BP16:BP63),0,1),IFERROR(_xlfn.XLOOKUP(_xlpm.ai_test,BQ16:BQ63,ROW(BQ16:BQ63),0,1),_xlfn.XLOOKUP(_xlpm.ai_test,BR16:BR63,ROW(BR16:BR63),0,1))),_xlpm.p,_xlpm.r-MIN(ROW(BP16:BP63))+1,_xlpm.f,INDEX(BS16:BS63,_xlpm.p),_xlpm.u,INDEX(BT16:BT63,_xlpm.p),_xlpm.s,INDEX(BV16:BV63,_xlpm.p),_xlpm.q,N(BA279)/_xlpm.f,IF(_xlpm.q&gt;=_xlpm.s,ROUND(_xlpm.q,1)&amp;" "&amp;_xlpm.ai_test&amp;" = "&amp;ROUND(_xlpm.q*_xlpm.f,1)&amp;" "&amp;_xlpm.u,ROUND(_xlpm.q,1)&amp;" "&amp;_xlpm.ai_test)),""),""))))</f>
        <v>0</v>
      </c>
      <c r="BD279" s="801"/>
      <c r="BE279" s="788" t="str">
        <f t="shared" si="126"/>
        <v/>
      </c>
      <c r="BF279" s="789" t="str">
        <f t="shared" si="132"/>
        <v/>
      </c>
      <c r="BG279" s="790">
        <f t="shared" si="133"/>
        <v>0</v>
      </c>
      <c r="BH279" s="791" t="str">
        <f t="shared" si="134"/>
        <v/>
      </c>
      <c r="BI279" s="792"/>
      <c r="BJ279" s="793">
        <f t="shared" si="135"/>
        <v>0</v>
      </c>
      <c r="BK279" s="794" t="str">
        <f t="shared" si="127"/>
        <v/>
      </c>
      <c r="BL279" s="227" t="s">
        <v>21</v>
      </c>
      <c r="BM279" s="773">
        <f t="shared" ref="BM279:BM342" si="144">IFERROR(_xlfn.LET(_xlpm.EPS,0.000000001,_xlpm.b,V279/AU279,IF(ISNUMBER(AY279),_xlpm.b*AY279,IF(OR(ISBLANK(AY279),AY279=""),_xlpm.b*AW279,IF(AND(BN279=0,ISNUMBER(V279)),_xlpm.b/AW279,0)))),0)</f>
        <v>0</v>
      </c>
      <c r="BN279" s="774">
        <f t="shared" ref="BN279:BN342" si="145">IF(AR279&gt;0,IFERROR(IF(OR(ISBLANK(AY279),AY279=""),AW279,AY279)/AU279,0),0)</f>
        <v>0</v>
      </c>
      <c r="BO279"/>
      <c r="BP279" s="627"/>
      <c r="BQ279" s="627"/>
      <c r="BR279" s="627"/>
      <c r="BS279" s="627"/>
      <c r="BT279" s="627"/>
      <c r="BU279" s="627"/>
      <c r="BV279" s="627"/>
      <c r="BW279" s="627"/>
      <c r="BX279"/>
      <c r="BY279"/>
      <c r="BZ279"/>
      <c r="CA279"/>
      <c r="CB279"/>
      <c r="CC279"/>
      <c r="CD279" s="781" t="str">
        <f t="shared" si="139"/>
        <v>►</v>
      </c>
      <c r="CE279"/>
      <c r="CF279"/>
      <c r="CG279"/>
      <c r="CH279"/>
      <c r="CI279"/>
      <c r="CK279"/>
      <c r="CL279"/>
      <c r="CM279"/>
      <c r="CN279"/>
      <c r="CO279"/>
      <c r="CP279"/>
      <c r="CQ279"/>
      <c r="CR279" s="227"/>
      <c r="CS279"/>
      <c r="CT279"/>
      <c r="CU279"/>
      <c r="CV279"/>
      <c r="CW279"/>
      <c r="CX279"/>
      <c r="CY279"/>
      <c r="CZ279" s="227"/>
      <c r="DA279"/>
      <c r="DB279"/>
      <c r="DC279"/>
      <c r="DD279"/>
      <c r="DE279"/>
      <c r="DF279"/>
      <c r="DG279"/>
      <c r="DH279" s="227"/>
      <c r="DI279" s="3">
        <v>1</v>
      </c>
      <c r="DJ279" s="627"/>
      <c r="DK279" s="627"/>
    </row>
    <row r="280" spans="1:115" s="633" customFormat="1" ht="21" customHeight="1">
      <c r="A280" s="701" t="s">
        <v>21</v>
      </c>
      <c r="B280" s="2265" t="str" cm="1">
        <f t="array" ref="B280">SUMPRODUCT(--(D280:J280&lt;&gt;""), LEN(TRIM(SUBSTITUTE(D280:J280, CHAR(160), "")))) &amp; " Car."</f>
        <v>0 Car.</v>
      </c>
      <c r="C280" s="1376" t="str">
        <f>IF(ISBLANK(D280),"",LARGE(C13:C279,1)+1)</f>
        <v/>
      </c>
      <c r="D280" s="1833"/>
      <c r="E280" s="1810"/>
      <c r="F280" s="1810"/>
      <c r="G280" s="1810"/>
      <c r="H280" s="1810"/>
      <c r="I280" s="1810"/>
      <c r="J280" s="1810"/>
      <c r="K280" s="1810"/>
      <c r="L280" s="1811"/>
      <c r="M280" s="9"/>
      <c r="N280" s="103" t="str">
        <f t="shared" si="140"/>
        <v>►</v>
      </c>
      <c r="O280" s="1616"/>
      <c r="P280" s="9"/>
      <c r="Q280" s="103" t="str">
        <f t="shared" si="141"/>
        <v>►</v>
      </c>
      <c r="R280" s="163" t="str">
        <f>R215</f>
        <v>M MILLE-FEUILLE meringue et chiboust pamplemousse aux fraises des bois | collez la--FAMILLE| Auteur &gt; recette Béghin Say de Jean-Jacques Borne MOF 1994</v>
      </c>
      <c r="S280" s="163">
        <f>S215</f>
        <v>18</v>
      </c>
      <c r="T280" s="164" t="str">
        <f>T215</f>
        <v>desserts</v>
      </c>
      <c r="U280" s="165" t="str">
        <f>U215</f>
        <v>Recette mère ► MILLE-FEUILLE  aux fraises des bois</v>
      </c>
      <c r="V280" s="1548"/>
      <c r="W280" s="1548"/>
      <c r="X280" s="2190">
        <f>ROWS(AB258:AB280)</f>
        <v>23</v>
      </c>
      <c r="Y280" s="5549" t="str" cm="1">
        <f t="array" ref="Y280">IF(SUMPRODUCT((AB280:AG280&lt;&gt;"")*1)=0,"",SUMPRODUCT((AB280:AG280&lt;&gt;"")*(LEN(TRIM(SUBSTITUTE(AB280:AG280,CHAR(160)," "))) - LEN(SUBSTITUTE(TRIM(SUBSTITUTE(AB280:AG280,CHAR(160)," "))," ","")) + 1)) &amp; " mot" &amp; IF(SUMPRODUCT((AB280:AG280&lt;&gt;"")*(LEN(TRIM(SUBSTITUTE(AB280:AG280,CHAR(160)," "))) - LEN(SUBSTITUTE(TRIM(SUBSTITUTE(AB280:AG280,CHAR(160)," "))," ","")) + 1))&gt;1,"s",""))</f>
        <v/>
      </c>
      <c r="Z280" s="5550" t="str" cm="1">
        <f t="array" ref="Z280">SUMPRODUCT(--(AB280:AG280&lt;&gt;""), LEN(TRIM(SUBSTITUTE(AB280:AG280, CHAR(160), "")))) &amp; " Car."</f>
        <v>0 Car.</v>
      </c>
      <c r="AA280" s="1376" t="str">
        <f>IF(ISBLANK(AB280),"",LARGE(AA257:AA279,1)+1)</f>
        <v/>
      </c>
      <c r="AB280" s="1810"/>
      <c r="AC280" s="1810"/>
      <c r="AD280" s="1810"/>
      <c r="AE280" s="1810"/>
      <c r="AF280" s="1810"/>
      <c r="AG280" s="1810"/>
      <c r="AH280" s="1810"/>
      <c r="AI280" s="1810"/>
      <c r="AJ280" s="1811"/>
      <c r="AK280" s="6120" t="str">
        <f t="shared" si="128"/>
        <v>►</v>
      </c>
      <c r="AL280" s="781" t="str">
        <f t="shared" si="143"/>
        <v>►</v>
      </c>
      <c r="AM280" s="5498" t="str">
        <f t="shared" ref="AM280:AM343" si="146">IF(IFERROR(SEARCH("Adresse PC",TRIM(SUBSTITUTE(W280,CHAR(160)," "))),0)&gt;0,"▼ recette suivante",IF(AK280="A",R280,""))</f>
        <v/>
      </c>
      <c r="AN280" s="783" t="str">
        <f t="shared" ref="AN280:AN343" si="147">IF(AK280="A",S280,"")</f>
        <v/>
      </c>
      <c r="AO280" s="782" t="str">
        <f t="shared" ref="AO280:AO343" si="148">IF(AK280="A",T280,"")</f>
        <v/>
      </c>
      <c r="AP280" s="783" t="str">
        <f t="shared" ref="AP280:AP343" si="149">IF(AK280="A",Z280,"")</f>
        <v/>
      </c>
      <c r="AQ280" s="2083" t="b">
        <f>AND(Q280="A",COUNTIF(BP16:BR63,TRIM(Z280))&gt;0)</f>
        <v>0</v>
      </c>
      <c r="AR280" s="797" t="str">
        <f>IF(AL280&lt;&gt;"A","",IFERROR(IFERROR(_xlfn.XLOOKUP(TRIM(SUBSTITUTE(Z280,CHAR(160)," ")),BP16:BP63,BS16:BS63),IFERROR(_xlfn.XLOOKUP(TRIM(SUBSTITUTE(Z280,CHAR(160)," ")),BQ16:BQ63,BS16:BS63),_xlfn.XLOOKUP(TRIM(SUBSTITUTE(Z280,CHAR(160)," ")),BR16:BR63,BS16:BS63)))*Y280*IF(ISBLANK(V280),1,V280),0))</f>
        <v/>
      </c>
      <c r="AS280" s="784" t="str">
        <f t="shared" si="138"/>
        <v/>
      </c>
      <c r="AT280" s="1315" t="str">
        <f t="shared" ref="AT280:AT343" si="150">IF(AK280="A","❾ Author reference &gt;","")</f>
        <v/>
      </c>
      <c r="AU280" s="785">
        <f t="shared" ref="AU280:AU343" si="151">IF(AK280="A",S280,0)</f>
        <v>0</v>
      </c>
      <c r="AV280" s="785">
        <f t="shared" ref="AV280:AV343" si="152">IF(AK280="A",T280,0)</f>
        <v>0</v>
      </c>
      <c r="AW280" s="798">
        <f>IF(AK280="A",AY10,0)</f>
        <v>0</v>
      </c>
      <c r="AX280" s="5496" t="str">
        <f>IF(IFERROR(SEARCH("Adresse PC",TRIM(W280)),0)&gt;0,"▼ receta siguiente",IF(AK280="A",IF(AZ10&lt;&gt;"",AZ10&amp;" - ou.or.o ❾ + or - &gt;",""),""))</f>
        <v/>
      </c>
      <c r="AY280" s="810"/>
      <c r="AZ280" s="810"/>
      <c r="BA280" s="799" t="str">
        <f t="shared" si="142"/>
        <v/>
      </c>
      <c r="BB280" s="800" t="str">
        <f>IF(AK280="A",IF(AQ280,IF(AND(AW280&lt;&gt;"",N(AW280)&gt;0),IFERROR(IFERROR(_xlfn.XLOOKUP(AP280,BP10:BP57,BT10:BT57),IFERROR(_xlfn.XLOOKUP(AP280,BQ10:BQ57,BT10:BT57),_xlfn.XLOOKUP(AP280,BR10:BR57,BT10:BT57,""))),""),""),""),"")</f>
        <v/>
      </c>
      <c r="BC280" s="813" cm="1">
        <f t="array" ref="BC280">IF(NOT(AQ280),0,IF(OR(BA280="",N(BA280)&lt;=0.000000001),"",IF(OR(AU280="",N(AU280)&lt;=0.000000001),0,IF(ISNUMBER(BA280),IFERROR(_xlfn.LET(_xlpm.ai_test,TRIM(AP280),_xlpm.r,IFERROR(_xlfn.XLOOKUP(_xlpm.ai_test,BP16:BP63,ROW(BP16:BP63),0,1),IFERROR(_xlfn.XLOOKUP(_xlpm.ai_test,BQ16:BQ63,ROW(BQ16:BQ63),0,1),_xlfn.XLOOKUP(_xlpm.ai_test,BR16:BR63,ROW(BR16:BR63),0,1))),_xlpm.p,_xlpm.r-MIN(ROW(BP16:BP63))+1,_xlpm.f,INDEX(BS16:BS63,_xlpm.p),_xlpm.u,INDEX(BT16:BT63,_xlpm.p),_xlpm.s,INDEX(BV16:BV63,_xlpm.p),_xlpm.q,N(BA280)/_xlpm.f,IF(_xlpm.q&gt;=_xlpm.s,ROUND(_xlpm.q,1)&amp;" "&amp;_xlpm.ai_test&amp;" = "&amp;ROUND(_xlpm.q*_xlpm.f,1)&amp;" "&amp;_xlpm.u,ROUND(_xlpm.q,1)&amp;" "&amp;_xlpm.ai_test)),""),""))))</f>
        <v>0</v>
      </c>
      <c r="BD280" s="801"/>
      <c r="BE280" s="799" t="str">
        <f t="shared" ref="BE280:BE343" si="153">IF(IFERROR(SEARCH("Adresse PC",TRIM(W280)),0)&gt;0,"▼next ricipe ",IF(BA280="","",IF(AK280="A",IF(ISBLANK(BD280),BA280,ROUND(BA280*(1-MIN(1,MAX(0,IF(BD280&gt;1,BD280/100,BD280)))),3)))))</f>
        <v/>
      </c>
      <c r="BF280" s="800" t="str">
        <f t="shared" si="132"/>
        <v/>
      </c>
      <c r="BG280" s="802">
        <f t="shared" si="133"/>
        <v>0</v>
      </c>
      <c r="BH280" s="803" t="str">
        <f t="shared" si="134"/>
        <v/>
      </c>
      <c r="BI280" s="792"/>
      <c r="BJ280" s="804">
        <f t="shared" si="135"/>
        <v>0</v>
      </c>
      <c r="BK280" s="794" t="str">
        <f t="shared" ref="BK280:BK343" si="154">IF(AK280="A",IF(IFERROR(SEARCH("Adresse PC",TRIM(W280)),0)&gt;0,"▼recette suivante ",IF(BE280&gt;0,AC280,"")),"")</f>
        <v/>
      </c>
      <c r="BL280" s="227" t="s">
        <v>21</v>
      </c>
      <c r="BM280" s="773">
        <f t="shared" si="144"/>
        <v>0</v>
      </c>
      <c r="BN280" s="774">
        <f t="shared" si="145"/>
        <v>0</v>
      </c>
      <c r="BO280"/>
      <c r="BP280" s="627"/>
      <c r="BQ280" s="627"/>
      <c r="BR280" s="627"/>
      <c r="BS280" s="627"/>
      <c r="BT280" s="627"/>
      <c r="BU280" s="627"/>
      <c r="BV280" s="627"/>
      <c r="BW280" s="627"/>
      <c r="BX280"/>
      <c r="BY280"/>
      <c r="BZ280"/>
      <c r="CA280"/>
      <c r="CB280"/>
      <c r="CC280"/>
      <c r="CD280" s="781" t="str">
        <f t="shared" si="139"/>
        <v>►</v>
      </c>
      <c r="CE280"/>
      <c r="CF280"/>
      <c r="CG280"/>
      <c r="CH280"/>
      <c r="CI280"/>
      <c r="CK280"/>
      <c r="CL280"/>
      <c r="CM280"/>
      <c r="CN280"/>
      <c r="CO280"/>
      <c r="CP280"/>
      <c r="CQ280"/>
      <c r="CR280" s="227"/>
      <c r="CS280"/>
      <c r="CT280"/>
      <c r="CU280"/>
      <c r="CV280"/>
      <c r="CW280"/>
      <c r="CX280"/>
      <c r="CY280"/>
      <c r="CZ280" s="227"/>
      <c r="DA280"/>
      <c r="DB280"/>
      <c r="DC280"/>
      <c r="DD280"/>
      <c r="DE280"/>
      <c r="DF280"/>
      <c r="DG280"/>
      <c r="DH280" s="227"/>
      <c r="DI280" s="3">
        <v>1</v>
      </c>
      <c r="DJ280" s="627"/>
      <c r="DK280" s="627"/>
    </row>
    <row r="281" spans="1:115" s="633" customFormat="1" ht="21" customHeight="1">
      <c r="A281" s="701" t="s">
        <v>21</v>
      </c>
      <c r="B281" s="2265" t="str" cm="1">
        <f t="array" ref="B281">SUMPRODUCT(--(D281:J281&lt;&gt;""), LEN(TRIM(SUBSTITUTE(D281:J281, CHAR(160), "")))) &amp; " Car."</f>
        <v>0 Car.</v>
      </c>
      <c r="C281" s="1376" t="str">
        <f>IF(ISBLANK(D281),"",LARGE(C13:C280,1)+1)</f>
        <v/>
      </c>
      <c r="D281" s="1833"/>
      <c r="E281" s="1810"/>
      <c r="F281" s="1810"/>
      <c r="G281" s="1810"/>
      <c r="H281" s="1810"/>
      <c r="I281" s="1810"/>
      <c r="J281" s="1810"/>
      <c r="K281" s="1810"/>
      <c r="L281" s="1811"/>
      <c r="M281" s="9"/>
      <c r="N281" s="103" t="str">
        <f t="shared" si="140"/>
        <v>►</v>
      </c>
      <c r="O281" s="1616"/>
      <c r="P281" s="9"/>
      <c r="Q281" s="103" t="str">
        <f t="shared" si="141"/>
        <v>►</v>
      </c>
      <c r="R281" s="163" t="str">
        <f>R215</f>
        <v>M MILLE-FEUILLE meringue et chiboust pamplemousse aux fraises des bois | collez la--FAMILLE| Auteur &gt; recette Béghin Say de Jean-Jacques Borne MOF 1994</v>
      </c>
      <c r="S281" s="163">
        <f>S215</f>
        <v>18</v>
      </c>
      <c r="T281" s="164" t="str">
        <f>T215</f>
        <v>desserts</v>
      </c>
      <c r="U281" s="165" t="str">
        <f>U215</f>
        <v>Recette mère ► MILLE-FEUILLE  aux fraises des bois</v>
      </c>
      <c r="V281" s="1548"/>
      <c r="W281" s="1548"/>
      <c r="X281" s="2190">
        <f>ROWS(AB258:AB281)</f>
        <v>24</v>
      </c>
      <c r="Y281" s="5549" t="str" cm="1">
        <f t="array" ref="Y281">IF(SUMPRODUCT((AB281:AG281&lt;&gt;"")*1)=0,"",SUMPRODUCT((AB281:AG281&lt;&gt;"")*(LEN(TRIM(SUBSTITUTE(AB281:AG281,CHAR(160)," "))) - LEN(SUBSTITUTE(TRIM(SUBSTITUTE(AB281:AG281,CHAR(160)," "))," ","")) + 1)) &amp; " mot" &amp; IF(SUMPRODUCT((AB281:AG281&lt;&gt;"")*(LEN(TRIM(SUBSTITUTE(AB281:AG281,CHAR(160)," "))) - LEN(SUBSTITUTE(TRIM(SUBSTITUTE(AB281:AG281,CHAR(160)," "))," ","")) + 1))&gt;1,"s",""))</f>
        <v/>
      </c>
      <c r="Z281" s="5550" t="str" cm="1">
        <f t="array" ref="Z281">SUMPRODUCT(--(AB281:AG281&lt;&gt;""), LEN(TRIM(SUBSTITUTE(AB281:AG281, CHAR(160), "")))) &amp; " Car."</f>
        <v>0 Car.</v>
      </c>
      <c r="AA281" s="1394"/>
      <c r="AB281" s="1810"/>
      <c r="AC281" s="1810"/>
      <c r="AD281" s="1810"/>
      <c r="AE281" s="1810"/>
      <c r="AF281" s="1810"/>
      <c r="AG281" s="1810"/>
      <c r="AH281" s="1810"/>
      <c r="AI281" s="1810"/>
      <c r="AJ281" s="1811"/>
      <c r="AK281" s="6120" t="str">
        <f t="shared" ref="AK281:AK344" si="155">IF(AND(IFERROR(SEARCH("►",AB281),0)&gt;0,ISNUMBER(IFERROR(VALUE(TRIM(SUBSTITUTE(AB281,"►",""))),NA())),AC281&lt;&gt;""),"A","►")</f>
        <v>►</v>
      </c>
      <c r="AL281" s="781" t="str">
        <f t="shared" si="143"/>
        <v>►</v>
      </c>
      <c r="AM281" s="5499" t="str">
        <f t="shared" si="146"/>
        <v/>
      </c>
      <c r="AN281" s="783" t="str">
        <f t="shared" si="147"/>
        <v/>
      </c>
      <c r="AO281" s="782" t="str">
        <f t="shared" si="148"/>
        <v/>
      </c>
      <c r="AP281" s="783" t="str">
        <f t="shared" si="149"/>
        <v/>
      </c>
      <c r="AQ281" s="2083" t="b">
        <f>AND(Q281="A",COUNTIF(BP16:BR63,TRIM(Z281))&gt;0)</f>
        <v>0</v>
      </c>
      <c r="AR281" s="797" t="str">
        <f>IF(AL281&lt;&gt;"A","",IFERROR(IFERROR(_xlfn.XLOOKUP(TRIM(SUBSTITUTE(Z281,CHAR(160)," ")),BP16:BP63,BS16:BS63),IFERROR(_xlfn.XLOOKUP(TRIM(SUBSTITUTE(Z281,CHAR(160)," ")),BQ16:BQ63,BS16:BS63),_xlfn.XLOOKUP(TRIM(SUBSTITUTE(Z281,CHAR(160)," ")),BR16:BR63,BS16:BS63)))*Y281*IF(ISBLANK(V281),1,V281),0))</f>
        <v/>
      </c>
      <c r="AS281" s="784" t="str">
        <f t="shared" si="138"/>
        <v/>
      </c>
      <c r="AT281" s="1315" t="str">
        <f t="shared" si="150"/>
        <v/>
      </c>
      <c r="AU281" s="785">
        <f t="shared" si="151"/>
        <v>0</v>
      </c>
      <c r="AV281" s="785">
        <f t="shared" si="152"/>
        <v>0</v>
      </c>
      <c r="AW281" s="786">
        <f>IF(AK281="A",AY10,0)</f>
        <v>0</v>
      </c>
      <c r="AX281" s="5495" t="str">
        <f>IF(IFERROR(SEARCH("Adresse PC",TRIM(W281)),0)&gt;0,"▼ receta siguiente",IF(AK281="A",IF(AZ10&lt;&gt;"",AZ10&amp;" - ou.or.o ❾ + or - &gt;",""),""))</f>
        <v/>
      </c>
      <c r="AY281" s="810"/>
      <c r="AZ281" s="810"/>
      <c r="BA281" s="788" t="str">
        <f t="shared" si="142"/>
        <v/>
      </c>
      <c r="BB281" s="789" t="str">
        <f>IF(AK281="A",IF(AQ281,IF(AND(AW281&lt;&gt;"",N(AW281)&gt;0),IFERROR(IFERROR(_xlfn.XLOOKUP(AP281,BP10:BP57,BT10:BT57),IFERROR(_xlfn.XLOOKUP(AP281,BQ10:BQ57,BT10:BT57),_xlfn.XLOOKUP(AP281,BR10:BR57,BT10:BT57,""))),""),""),""),"")</f>
        <v/>
      </c>
      <c r="BC281" s="811" cm="1">
        <f t="array" ref="BC281">IF(NOT(AQ281),0,IF(OR(BA281="",N(BA281)&lt;=0.000000001),"",IF(OR(AU281="",N(AU281)&lt;=0.000000001),0,IF(ISNUMBER(BA281),IFERROR(_xlfn.LET(_xlpm.ai_test,TRIM(AP281),_xlpm.r,IFERROR(_xlfn.XLOOKUP(_xlpm.ai_test,BP16:BP63,ROW(BP16:BP63),0,1),IFERROR(_xlfn.XLOOKUP(_xlpm.ai_test,BQ16:BQ63,ROW(BQ16:BQ63),0,1),_xlfn.XLOOKUP(_xlpm.ai_test,BR16:BR63,ROW(BR16:BR63),0,1))),_xlpm.p,_xlpm.r-MIN(ROW(BP16:BP63))+1,_xlpm.f,INDEX(BS16:BS63,_xlpm.p),_xlpm.u,INDEX(BT16:BT63,_xlpm.p),_xlpm.s,INDEX(BV16:BV63,_xlpm.p),_xlpm.q,N(BA281)/_xlpm.f,IF(_xlpm.q&gt;=_xlpm.s,ROUND(_xlpm.q,1)&amp;" "&amp;_xlpm.ai_test&amp;" = "&amp;ROUND(_xlpm.q*_xlpm.f,1)&amp;" "&amp;_xlpm.u,ROUND(_xlpm.q,1)&amp;" "&amp;_xlpm.ai_test)),""),""))))</f>
        <v>0</v>
      </c>
      <c r="BD281" s="801"/>
      <c r="BE281" s="788" t="str">
        <f t="shared" si="153"/>
        <v/>
      </c>
      <c r="BF281" s="789" t="str">
        <f t="shared" si="132"/>
        <v/>
      </c>
      <c r="BG281" s="790">
        <f t="shared" si="133"/>
        <v>0</v>
      </c>
      <c r="BH281" s="791" t="str">
        <f t="shared" si="134"/>
        <v/>
      </c>
      <c r="BI281" s="792"/>
      <c r="BJ281" s="793">
        <f t="shared" si="135"/>
        <v>0</v>
      </c>
      <c r="BK281" s="794" t="str">
        <f t="shared" si="154"/>
        <v/>
      </c>
      <c r="BL281" s="227" t="s">
        <v>21</v>
      </c>
      <c r="BM281" s="773">
        <f t="shared" si="144"/>
        <v>0</v>
      </c>
      <c r="BN281" s="774">
        <f t="shared" si="145"/>
        <v>0</v>
      </c>
      <c r="BO281"/>
      <c r="BP281" s="627"/>
      <c r="BQ281" s="627"/>
      <c r="BR281" s="627"/>
      <c r="BS281" s="627"/>
      <c r="BT281" s="627"/>
      <c r="BU281" s="627"/>
      <c r="BV281" s="627"/>
      <c r="BW281" s="627"/>
      <c r="BX281"/>
      <c r="BY281"/>
      <c r="BZ281"/>
      <c r="CA281"/>
      <c r="CB281"/>
      <c r="CC281"/>
      <c r="CD281" s="781" t="str">
        <f t="shared" si="139"/>
        <v>►</v>
      </c>
      <c r="CE281"/>
      <c r="CF281"/>
      <c r="CG281"/>
      <c r="CH281"/>
      <c r="CI281"/>
      <c r="CK281"/>
      <c r="CL281"/>
      <c r="CM281"/>
      <c r="CN281"/>
      <c r="CO281"/>
      <c r="CP281"/>
      <c r="CQ281"/>
      <c r="CR281" s="227"/>
      <c r="CS281"/>
      <c r="CT281"/>
      <c r="CU281"/>
      <c r="CV281"/>
      <c r="CW281"/>
      <c r="CX281"/>
      <c r="CY281"/>
      <c r="CZ281" s="227"/>
      <c r="DA281"/>
      <c r="DB281"/>
      <c r="DC281"/>
      <c r="DD281"/>
      <c r="DE281"/>
      <c r="DF281"/>
      <c r="DG281"/>
      <c r="DH281" s="227"/>
      <c r="DI281" s="3">
        <v>1</v>
      </c>
      <c r="DJ281" s="627"/>
      <c r="DK281" s="627"/>
    </row>
    <row r="282" spans="1:115" s="633" customFormat="1" ht="21" customHeight="1">
      <c r="A282" s="701" t="s">
        <v>21</v>
      </c>
      <c r="B282" s="2265" t="str" cm="1">
        <f t="array" ref="B282">SUMPRODUCT(--(D282:J282&lt;&gt;""), LEN(TRIM(SUBSTITUTE(D282:J282, CHAR(160), "")))) &amp; " Car."</f>
        <v>0 Car.</v>
      </c>
      <c r="C282" s="1376" t="str">
        <f>IF(ISBLANK(D282),"",LARGE(C13:C281,1)+1)</f>
        <v/>
      </c>
      <c r="D282" s="1833"/>
      <c r="E282" s="1810"/>
      <c r="F282" s="1810"/>
      <c r="G282" s="1810"/>
      <c r="H282" s="1810"/>
      <c r="I282" s="1810"/>
      <c r="J282" s="1810"/>
      <c r="K282" s="1810"/>
      <c r="L282" s="1811"/>
      <c r="M282" s="9"/>
      <c r="N282" s="103" t="str">
        <f t="shared" si="140"/>
        <v>►</v>
      </c>
      <c r="O282" s="1616"/>
      <c r="P282" s="9"/>
      <c r="Q282" s="103" t="str">
        <f t="shared" si="141"/>
        <v>►</v>
      </c>
      <c r="R282" s="163" t="str">
        <f>R215</f>
        <v>M MILLE-FEUILLE meringue et chiboust pamplemousse aux fraises des bois | collez la--FAMILLE| Auteur &gt; recette Béghin Say de Jean-Jacques Borne MOF 1994</v>
      </c>
      <c r="S282" s="163">
        <f>S215</f>
        <v>18</v>
      </c>
      <c r="T282" s="164" t="str">
        <f>T215</f>
        <v>desserts</v>
      </c>
      <c r="U282" s="165" t="str">
        <f>U215</f>
        <v>Recette mère ► MILLE-FEUILLE  aux fraises des bois</v>
      </c>
      <c r="V282" s="1548"/>
      <c r="W282" s="1548"/>
      <c r="X282" s="2190">
        <f>ROWS(AB258:AB282)</f>
        <v>25</v>
      </c>
      <c r="Y282" s="5549" t="str" cm="1">
        <f t="array" ref="Y282">IF(SUMPRODUCT((AB282:AG282&lt;&gt;"")*1)=0,"",SUMPRODUCT((AB282:AG282&lt;&gt;"")*(LEN(TRIM(SUBSTITUTE(AB282:AG282,CHAR(160)," "))) - LEN(SUBSTITUTE(TRIM(SUBSTITUTE(AB282:AG282,CHAR(160)," "))," ","")) + 1)) &amp; " mot" &amp; IF(SUMPRODUCT((AB282:AG282&lt;&gt;"")*(LEN(TRIM(SUBSTITUTE(AB282:AG282,CHAR(160)," "))) - LEN(SUBSTITUTE(TRIM(SUBSTITUTE(AB282:AG282,CHAR(160)," "))," ","")) + 1))&gt;1,"s",""))</f>
        <v/>
      </c>
      <c r="Z282" s="5550" t="str" cm="1">
        <f t="array" ref="Z282">SUMPRODUCT(--(AB282:AG282&lt;&gt;""), LEN(TRIM(SUBSTITUTE(AB282:AG282, CHAR(160), "")))) &amp; " Car."</f>
        <v>0 Car.</v>
      </c>
      <c r="AA282" s="1619"/>
      <c r="AB282" s="1810"/>
      <c r="AC282" s="1810"/>
      <c r="AD282" s="1810"/>
      <c r="AE282" s="1810"/>
      <c r="AF282" s="1810"/>
      <c r="AG282" s="1810"/>
      <c r="AH282" s="1810"/>
      <c r="AI282" s="1810"/>
      <c r="AJ282" s="1811"/>
      <c r="AK282" s="6120" t="str">
        <f t="shared" si="155"/>
        <v>►</v>
      </c>
      <c r="AL282" s="781" t="str">
        <f t="shared" si="143"/>
        <v>►</v>
      </c>
      <c r="AM282" s="5498" t="str">
        <f t="shared" si="146"/>
        <v/>
      </c>
      <c r="AN282" s="783" t="str">
        <f t="shared" si="147"/>
        <v/>
      </c>
      <c r="AO282" s="782" t="str">
        <f t="shared" si="148"/>
        <v/>
      </c>
      <c r="AP282" s="783" t="str">
        <f t="shared" si="149"/>
        <v/>
      </c>
      <c r="AQ282" s="2083" t="b">
        <f>AND(Q282="A",COUNTIF(BP16:BR63,TRIM(Z282))&gt;0)</f>
        <v>0</v>
      </c>
      <c r="AR282" s="797" t="str">
        <f>IF(AL282&lt;&gt;"A","",IFERROR(IFERROR(_xlfn.XLOOKUP(TRIM(SUBSTITUTE(Z282,CHAR(160)," ")),BP16:BP63,BS16:BS63),IFERROR(_xlfn.XLOOKUP(TRIM(SUBSTITUTE(Z282,CHAR(160)," ")),BQ16:BQ63,BS16:BS63),_xlfn.XLOOKUP(TRIM(SUBSTITUTE(Z282,CHAR(160)," ")),BR16:BR63,BS16:BS63)))*Y282*IF(ISBLANK(V282),1,V282),0))</f>
        <v/>
      </c>
      <c r="AS282" s="784" t="str">
        <f t="shared" si="138"/>
        <v/>
      </c>
      <c r="AT282" s="1315" t="str">
        <f t="shared" si="150"/>
        <v/>
      </c>
      <c r="AU282" s="785">
        <f t="shared" si="151"/>
        <v>0</v>
      </c>
      <c r="AV282" s="785">
        <f t="shared" si="152"/>
        <v>0</v>
      </c>
      <c r="AW282" s="798">
        <f>IF(AK282="A",AY10,0)</f>
        <v>0</v>
      </c>
      <c r="AX282" s="5496" t="str">
        <f>IF(IFERROR(SEARCH("Adresse PC",TRIM(W282)),0)&gt;0,"▼ receta siguiente",IF(AK282="A",IF(AZ10&lt;&gt;"",AZ10&amp;" - ou.or.o ❾ + or - &gt;",""),""))</f>
        <v/>
      </c>
      <c r="AY282" s="810"/>
      <c r="AZ282" s="810"/>
      <c r="BA282" s="799" t="str">
        <f t="shared" si="142"/>
        <v/>
      </c>
      <c r="BB282" s="800" t="str">
        <f>IF(AK282="A",IF(AQ282,IF(AND(AW282&lt;&gt;"",N(AW282)&gt;0),IFERROR(IFERROR(_xlfn.XLOOKUP(AP282,BP10:BP57,BT10:BT57),IFERROR(_xlfn.XLOOKUP(AP282,BQ10:BQ57,BT10:BT57),_xlfn.XLOOKUP(AP282,BR10:BR57,BT10:BT57,""))),""),""),""),"")</f>
        <v/>
      </c>
      <c r="BC282" s="813" cm="1">
        <f t="array" ref="BC282">IF(NOT(AQ282),0,IF(OR(BA282="",N(BA282)&lt;=0.000000001),"",IF(OR(AU282="",N(AU282)&lt;=0.000000001),0,IF(ISNUMBER(BA282),IFERROR(_xlfn.LET(_xlpm.ai_test,TRIM(AP282),_xlpm.r,IFERROR(_xlfn.XLOOKUP(_xlpm.ai_test,BP16:BP63,ROW(BP16:BP63),0,1),IFERROR(_xlfn.XLOOKUP(_xlpm.ai_test,BQ16:BQ63,ROW(BQ16:BQ63),0,1),_xlfn.XLOOKUP(_xlpm.ai_test,BR16:BR63,ROW(BR16:BR63),0,1))),_xlpm.p,_xlpm.r-MIN(ROW(BP16:BP63))+1,_xlpm.f,INDEX(BS16:BS63,_xlpm.p),_xlpm.u,INDEX(BT16:BT63,_xlpm.p),_xlpm.s,INDEX(BV16:BV63,_xlpm.p),_xlpm.q,N(BA282)/_xlpm.f,IF(_xlpm.q&gt;=_xlpm.s,ROUND(_xlpm.q,1)&amp;" "&amp;_xlpm.ai_test&amp;" = "&amp;ROUND(_xlpm.q*_xlpm.f,1)&amp;" "&amp;_xlpm.u,ROUND(_xlpm.q,1)&amp;" "&amp;_xlpm.ai_test)),""),""))))</f>
        <v>0</v>
      </c>
      <c r="BD282" s="801"/>
      <c r="BE282" s="799" t="str">
        <f t="shared" si="153"/>
        <v/>
      </c>
      <c r="BF282" s="800" t="str">
        <f t="shared" si="132"/>
        <v/>
      </c>
      <c r="BG282" s="802">
        <f t="shared" si="133"/>
        <v>0</v>
      </c>
      <c r="BH282" s="803" t="str">
        <f t="shared" si="134"/>
        <v/>
      </c>
      <c r="BI282" s="792"/>
      <c r="BJ282" s="804">
        <f t="shared" si="135"/>
        <v>0</v>
      </c>
      <c r="BK282" s="794" t="str">
        <f t="shared" si="154"/>
        <v/>
      </c>
      <c r="BL282" s="227" t="s">
        <v>21</v>
      </c>
      <c r="BM282" s="773">
        <f t="shared" si="144"/>
        <v>0</v>
      </c>
      <c r="BN282" s="774">
        <f t="shared" si="145"/>
        <v>0</v>
      </c>
      <c r="BO282"/>
      <c r="BP282" s="627"/>
      <c r="BQ282" s="627"/>
      <c r="BR282" s="627"/>
      <c r="BS282" s="627"/>
      <c r="BT282" s="627"/>
      <c r="BU282" s="627"/>
      <c r="BV282" s="627"/>
      <c r="BW282" s="627"/>
      <c r="BX282"/>
      <c r="BY282"/>
      <c r="BZ282"/>
      <c r="CA282"/>
      <c r="CB282"/>
      <c r="CC282"/>
      <c r="CD282" s="781" t="str">
        <f t="shared" si="139"/>
        <v>►</v>
      </c>
      <c r="CE282"/>
      <c r="CF282"/>
      <c r="CG282"/>
      <c r="CH282"/>
      <c r="CI282"/>
      <c r="CK282"/>
      <c r="CL282"/>
      <c r="CM282"/>
      <c r="CN282"/>
      <c r="CO282"/>
      <c r="CP282"/>
      <c r="CQ282"/>
      <c r="CR282" s="227"/>
      <c r="CS282"/>
      <c r="CT282"/>
      <c r="CU282"/>
      <c r="CV282"/>
      <c r="CW282"/>
      <c r="CX282"/>
      <c r="CY282"/>
      <c r="CZ282" s="227"/>
      <c r="DA282"/>
      <c r="DB282"/>
      <c r="DC282"/>
      <c r="DD282"/>
      <c r="DE282"/>
      <c r="DF282"/>
      <c r="DG282"/>
      <c r="DH282" s="227"/>
      <c r="DI282" s="3">
        <v>1</v>
      </c>
      <c r="DJ282" s="627"/>
      <c r="DK282" s="627"/>
    </row>
    <row r="283" spans="1:115" s="633" customFormat="1" ht="21" customHeight="1">
      <c r="A283" s="701" t="s">
        <v>21</v>
      </c>
      <c r="B283" s="2265" t="str" cm="1">
        <f t="array" ref="B283">SUMPRODUCT(--(D283:J283&lt;&gt;""), LEN(TRIM(SUBSTITUTE(D283:J283, CHAR(160), "")))) &amp; " Car."</f>
        <v>0 Car.</v>
      </c>
      <c r="C283" s="1376" t="str">
        <f>IF(ISBLANK(D283),"",LARGE(C13:C282,1)+1)</f>
        <v/>
      </c>
      <c r="D283" s="1833"/>
      <c r="E283" s="1810"/>
      <c r="F283" s="1810"/>
      <c r="G283" s="1810"/>
      <c r="H283" s="1810"/>
      <c r="I283" s="1810"/>
      <c r="J283" s="1810"/>
      <c r="K283" s="1810"/>
      <c r="L283" s="1811"/>
      <c r="M283" s="9"/>
      <c r="N283" s="103" t="str">
        <f t="shared" si="140"/>
        <v>►</v>
      </c>
      <c r="O283" s="1616"/>
      <c r="P283" s="9"/>
      <c r="Q283" s="103" t="str">
        <f t="shared" si="141"/>
        <v>►</v>
      </c>
      <c r="R283" s="163" t="str">
        <f>R215</f>
        <v>M MILLE-FEUILLE meringue et chiboust pamplemousse aux fraises des bois | collez la--FAMILLE| Auteur &gt; recette Béghin Say de Jean-Jacques Borne MOF 1994</v>
      </c>
      <c r="S283" s="163">
        <f>S215</f>
        <v>18</v>
      </c>
      <c r="T283" s="164" t="str">
        <f>T215</f>
        <v>desserts</v>
      </c>
      <c r="U283" s="165" t="str">
        <f>U215</f>
        <v>Recette mère ► MILLE-FEUILLE  aux fraises des bois</v>
      </c>
      <c r="V283" s="1548"/>
      <c r="W283" s="1548"/>
      <c r="X283" s="2190">
        <f>ROWS(AB258:AB283)</f>
        <v>26</v>
      </c>
      <c r="Y283" s="5549" t="str" cm="1">
        <f t="array" ref="Y283">IF(SUMPRODUCT((AB283:AG283&lt;&gt;"")*1)=0,"",SUMPRODUCT((AB283:AG283&lt;&gt;"")*(LEN(TRIM(SUBSTITUTE(AB283:AG283,CHAR(160)," "))) - LEN(SUBSTITUTE(TRIM(SUBSTITUTE(AB283:AG283,CHAR(160)," "))," ","")) + 1)) &amp; " mot" &amp; IF(SUMPRODUCT((AB283:AG283&lt;&gt;"")*(LEN(TRIM(SUBSTITUTE(AB283:AG283,CHAR(160)," "))) - LEN(SUBSTITUTE(TRIM(SUBSTITUTE(AB283:AG283,CHAR(160)," "))," ","")) + 1))&gt;1,"s",""))</f>
        <v/>
      </c>
      <c r="Z283" s="5550" t="str" cm="1">
        <f t="array" ref="Z283">SUMPRODUCT(--(AB283:AG283&lt;&gt;""), LEN(TRIM(SUBSTITUTE(AB283:AG283, CHAR(160), "")))) &amp; " Car."</f>
        <v>0 Car.</v>
      </c>
      <c r="AA283" s="1376" t="str">
        <f>IF(ISBLANK(AB283),"",LARGE(AA257:AA282,1)+1)</f>
        <v/>
      </c>
      <c r="AB283" s="1810"/>
      <c r="AC283" s="1810"/>
      <c r="AD283" s="1810"/>
      <c r="AE283" s="1810"/>
      <c r="AF283" s="1810"/>
      <c r="AG283" s="1810"/>
      <c r="AH283" s="1810"/>
      <c r="AI283" s="1810"/>
      <c r="AJ283" s="1811"/>
      <c r="AK283" s="6120" t="str">
        <f t="shared" si="155"/>
        <v>►</v>
      </c>
      <c r="AL283" s="781" t="str">
        <f t="shared" si="143"/>
        <v>►</v>
      </c>
      <c r="AM283" s="5499" t="str">
        <f t="shared" si="146"/>
        <v/>
      </c>
      <c r="AN283" s="783" t="str">
        <f t="shared" si="147"/>
        <v/>
      </c>
      <c r="AO283" s="782" t="str">
        <f t="shared" si="148"/>
        <v/>
      </c>
      <c r="AP283" s="783" t="str">
        <f t="shared" si="149"/>
        <v/>
      </c>
      <c r="AQ283" s="2083" t="b">
        <f>AND(Q283="A",COUNTIF(BP16:BR63,TRIM(Z283))&gt;0)</f>
        <v>0</v>
      </c>
      <c r="AR283" s="797" t="str">
        <f>IF(AL283&lt;&gt;"A","",IFERROR(IFERROR(_xlfn.XLOOKUP(TRIM(SUBSTITUTE(Z283,CHAR(160)," ")),BP16:BP63,BS16:BS63),IFERROR(_xlfn.XLOOKUP(TRIM(SUBSTITUTE(Z283,CHAR(160)," ")),BQ16:BQ63,BS16:BS63),_xlfn.XLOOKUP(TRIM(SUBSTITUTE(Z283,CHAR(160)," ")),BR16:BR63,BS16:BS63)))*Y283*IF(ISBLANK(V283),1,V283),0))</f>
        <v/>
      </c>
      <c r="AS283" s="784" t="str">
        <f t="shared" si="138"/>
        <v/>
      </c>
      <c r="AT283" s="1315" t="str">
        <f t="shared" si="150"/>
        <v/>
      </c>
      <c r="AU283" s="785">
        <f t="shared" si="151"/>
        <v>0</v>
      </c>
      <c r="AV283" s="785">
        <f t="shared" si="152"/>
        <v>0</v>
      </c>
      <c r="AW283" s="786">
        <f>IF(AK283="A",AY10,0)</f>
        <v>0</v>
      </c>
      <c r="AX283" s="5495" t="str">
        <f>IF(IFERROR(SEARCH("Adresse PC",TRIM(W283)),0)&gt;0,"▼ receta siguiente",IF(AK283="A",IF(AZ10&lt;&gt;"",AZ10&amp;" - ou.or.o ❾ + or - &gt;",""),""))</f>
        <v/>
      </c>
      <c r="AY283" s="810"/>
      <c r="AZ283" s="810"/>
      <c r="BA283" s="788" t="str">
        <f t="shared" si="142"/>
        <v/>
      </c>
      <c r="BB283" s="789" t="str">
        <f>IF(AK283="A",IF(AQ283,IF(AND(AW283&lt;&gt;"",N(AW283)&gt;0),IFERROR(IFERROR(_xlfn.XLOOKUP(AP283,BP10:BP57,BT10:BT57),IFERROR(_xlfn.XLOOKUP(AP283,BQ10:BQ57,BT10:BT57),_xlfn.XLOOKUP(AP283,BR10:BR57,BT10:BT57,""))),""),""),""),"")</f>
        <v/>
      </c>
      <c r="BC283" s="811" cm="1">
        <f t="array" ref="BC283">IF(NOT(AQ283),0,IF(OR(BA283="",N(BA283)&lt;=0.000000001),"",IF(OR(AU283="",N(AU283)&lt;=0.000000001),0,IF(ISNUMBER(BA283),IFERROR(_xlfn.LET(_xlpm.ai_test,TRIM(AP283),_xlpm.r,IFERROR(_xlfn.XLOOKUP(_xlpm.ai_test,BP16:BP63,ROW(BP16:BP63),0,1),IFERROR(_xlfn.XLOOKUP(_xlpm.ai_test,BQ16:BQ63,ROW(BQ16:BQ63),0,1),_xlfn.XLOOKUP(_xlpm.ai_test,BR16:BR63,ROW(BR16:BR63),0,1))),_xlpm.p,_xlpm.r-MIN(ROW(BP16:BP63))+1,_xlpm.f,INDEX(BS16:BS63,_xlpm.p),_xlpm.u,INDEX(BT16:BT63,_xlpm.p),_xlpm.s,INDEX(BV16:BV63,_xlpm.p),_xlpm.q,N(BA283)/_xlpm.f,IF(_xlpm.q&gt;=_xlpm.s,ROUND(_xlpm.q,1)&amp;" "&amp;_xlpm.ai_test&amp;" = "&amp;ROUND(_xlpm.q*_xlpm.f,1)&amp;" "&amp;_xlpm.u,ROUND(_xlpm.q,1)&amp;" "&amp;_xlpm.ai_test)),""),""))))</f>
        <v>0</v>
      </c>
      <c r="BD283" s="801"/>
      <c r="BE283" s="788" t="str">
        <f t="shared" si="153"/>
        <v/>
      </c>
      <c r="BF283" s="789" t="str">
        <f t="shared" si="132"/>
        <v/>
      </c>
      <c r="BG283" s="790">
        <f t="shared" si="133"/>
        <v>0</v>
      </c>
      <c r="BH283" s="791" t="str">
        <f t="shared" si="134"/>
        <v/>
      </c>
      <c r="BI283" s="792"/>
      <c r="BJ283" s="793">
        <f t="shared" si="135"/>
        <v>0</v>
      </c>
      <c r="BK283" s="794" t="str">
        <f t="shared" si="154"/>
        <v/>
      </c>
      <c r="BL283" s="227" t="s">
        <v>21</v>
      </c>
      <c r="BM283" s="773">
        <f t="shared" si="144"/>
        <v>0</v>
      </c>
      <c r="BN283" s="774">
        <f t="shared" si="145"/>
        <v>0</v>
      </c>
      <c r="BO283"/>
      <c r="BP283" s="627"/>
      <c r="BQ283" s="627"/>
      <c r="BR283" s="627"/>
      <c r="BS283" s="627"/>
      <c r="BT283" s="627"/>
      <c r="BU283" s="627"/>
      <c r="BV283" s="627"/>
      <c r="BW283" s="627"/>
      <c r="BX283"/>
      <c r="BY283"/>
      <c r="BZ283"/>
      <c r="CA283"/>
      <c r="CB283"/>
      <c r="CC283"/>
      <c r="CD283" s="781" t="str">
        <f t="shared" si="139"/>
        <v>►</v>
      </c>
      <c r="CE283"/>
      <c r="CF283"/>
      <c r="CG283"/>
      <c r="CH283"/>
      <c r="CI283"/>
      <c r="CK283"/>
      <c r="CL283"/>
      <c r="CM283"/>
      <c r="CN283"/>
      <c r="CO283"/>
      <c r="CP283"/>
      <c r="CQ283"/>
      <c r="CR283" s="227"/>
      <c r="CS283"/>
      <c r="CT283"/>
      <c r="CU283"/>
      <c r="CV283"/>
      <c r="CW283"/>
      <c r="CX283"/>
      <c r="CY283"/>
      <c r="CZ283" s="227"/>
      <c r="DA283"/>
      <c r="DB283"/>
      <c r="DC283"/>
      <c r="DD283"/>
      <c r="DE283"/>
      <c r="DF283"/>
      <c r="DG283"/>
      <c r="DH283" s="227"/>
      <c r="DI283" s="3">
        <v>1</v>
      </c>
      <c r="DJ283" s="627"/>
      <c r="DK283" s="627"/>
    </row>
    <row r="284" spans="1:115" s="633" customFormat="1" ht="21" customHeight="1">
      <c r="A284" s="701" t="s">
        <v>21</v>
      </c>
      <c r="B284" s="2265" t="str" cm="1">
        <f t="array" ref="B284">SUMPRODUCT(--(D284:J284&lt;&gt;""), LEN(TRIM(SUBSTITUTE(D284:J284, CHAR(160), "")))) &amp; " Car."</f>
        <v>0 Car.</v>
      </c>
      <c r="C284" s="1376" t="str">
        <f>IF(ISBLANK(D284),"",LARGE(C13:C283,1)+1)</f>
        <v/>
      </c>
      <c r="D284" s="1833"/>
      <c r="E284" s="1810"/>
      <c r="F284" s="1810"/>
      <c r="G284" s="1810"/>
      <c r="H284" s="1810"/>
      <c r="I284" s="1810"/>
      <c r="J284" s="1810"/>
      <c r="K284" s="1810"/>
      <c r="L284" s="1811"/>
      <c r="M284" s="9"/>
      <c r="N284" s="103" t="str">
        <f t="shared" si="140"/>
        <v>►</v>
      </c>
      <c r="O284" s="1616"/>
      <c r="P284" s="9"/>
      <c r="Q284" s="103" t="str">
        <f t="shared" si="141"/>
        <v>►</v>
      </c>
      <c r="R284" s="163" t="str">
        <f>R215</f>
        <v>M MILLE-FEUILLE meringue et chiboust pamplemousse aux fraises des bois | collez la--FAMILLE| Auteur &gt; recette Béghin Say de Jean-Jacques Borne MOF 1994</v>
      </c>
      <c r="S284" s="163">
        <f>S215</f>
        <v>18</v>
      </c>
      <c r="T284" s="164" t="str">
        <f>T215</f>
        <v>desserts</v>
      </c>
      <c r="U284" s="165" t="str">
        <f>U215</f>
        <v>Recette mère ► MILLE-FEUILLE  aux fraises des bois</v>
      </c>
      <c r="V284" s="1548"/>
      <c r="W284" s="1548"/>
      <c r="X284" s="2190">
        <f>ROWS(AB258:AB284)</f>
        <v>27</v>
      </c>
      <c r="Y284" s="5549" t="str" cm="1">
        <f t="array" ref="Y284">IF(SUMPRODUCT((AB284:AG284&lt;&gt;"")*1)=0,"",SUMPRODUCT((AB284:AG284&lt;&gt;"")*(LEN(TRIM(SUBSTITUTE(AB284:AG284,CHAR(160)," "))) - LEN(SUBSTITUTE(TRIM(SUBSTITUTE(AB284:AG284,CHAR(160)," "))," ","")) + 1)) &amp; " mot" &amp; IF(SUMPRODUCT((AB284:AG284&lt;&gt;"")*(LEN(TRIM(SUBSTITUTE(AB284:AG284,CHAR(160)," "))) - LEN(SUBSTITUTE(TRIM(SUBSTITUTE(AB284:AG284,CHAR(160)," "))," ","")) + 1))&gt;1,"s",""))</f>
        <v/>
      </c>
      <c r="Z284" s="5550" t="str" cm="1">
        <f t="array" ref="Z284">SUMPRODUCT(--(AB284:AG284&lt;&gt;""), LEN(TRIM(SUBSTITUTE(AB284:AG284, CHAR(160), "")))) &amp; " Car."</f>
        <v>0 Car.</v>
      </c>
      <c r="AA284" s="1376" t="str">
        <f>IF(ISBLANK(AB284),"",LARGE(AA257:AA283,1)+1)</f>
        <v/>
      </c>
      <c r="AB284" s="1810"/>
      <c r="AC284" s="1810"/>
      <c r="AD284" s="1810"/>
      <c r="AE284" s="1810"/>
      <c r="AF284" s="1810"/>
      <c r="AG284" s="1810"/>
      <c r="AH284" s="1810"/>
      <c r="AI284" s="1810"/>
      <c r="AJ284" s="1811"/>
      <c r="AK284" s="6120" t="str">
        <f t="shared" si="155"/>
        <v>►</v>
      </c>
      <c r="AL284" s="781" t="str">
        <f t="shared" si="143"/>
        <v>►</v>
      </c>
      <c r="AM284" s="5498" t="str">
        <f t="shared" si="146"/>
        <v/>
      </c>
      <c r="AN284" s="783" t="str">
        <f t="shared" si="147"/>
        <v/>
      </c>
      <c r="AO284" s="782" t="str">
        <f t="shared" si="148"/>
        <v/>
      </c>
      <c r="AP284" s="783" t="str">
        <f t="shared" si="149"/>
        <v/>
      </c>
      <c r="AQ284" s="2083" t="b">
        <f>AND(Q284="A",COUNTIF(BP16:BR63,TRIM(Z284))&gt;0)</f>
        <v>0</v>
      </c>
      <c r="AR284" s="797" t="str">
        <f>IF(AL284&lt;&gt;"A","",IFERROR(IFERROR(_xlfn.XLOOKUP(TRIM(SUBSTITUTE(Z284,CHAR(160)," ")),BP16:BP63,BS16:BS63),IFERROR(_xlfn.XLOOKUP(TRIM(SUBSTITUTE(Z284,CHAR(160)," ")),BQ16:BQ63,BS16:BS63),_xlfn.XLOOKUP(TRIM(SUBSTITUTE(Z284,CHAR(160)," ")),BR16:BR63,BS16:BS63)))*Y284*IF(ISBLANK(V284),1,V284),0))</f>
        <v/>
      </c>
      <c r="AS284" s="784" t="str">
        <f t="shared" si="138"/>
        <v/>
      </c>
      <c r="AT284" s="1315" t="str">
        <f t="shared" si="150"/>
        <v/>
      </c>
      <c r="AU284" s="785">
        <f t="shared" si="151"/>
        <v>0</v>
      </c>
      <c r="AV284" s="785">
        <f t="shared" si="152"/>
        <v>0</v>
      </c>
      <c r="AW284" s="798">
        <f>IF(AK284="A",AY10,0)</f>
        <v>0</v>
      </c>
      <c r="AX284" s="5496" t="str">
        <f>IF(IFERROR(SEARCH("Adresse PC",TRIM(W284)),0)&gt;0,"▼ receta siguiente",IF(AK284="A",IF(AZ10&lt;&gt;"",AZ10&amp;" - ou.or.o ❾ + or - &gt;",""),""))</f>
        <v/>
      </c>
      <c r="AY284" s="810"/>
      <c r="AZ284" s="810"/>
      <c r="BA284" s="799" t="str">
        <f t="shared" si="142"/>
        <v/>
      </c>
      <c r="BB284" s="800" t="str">
        <f>IF(AK284="A",IF(AQ284,IF(AND(AW284&lt;&gt;"",N(AW284)&gt;0),IFERROR(IFERROR(_xlfn.XLOOKUP(AP284,BP10:BP57,BT10:BT57),IFERROR(_xlfn.XLOOKUP(AP284,BQ10:BQ57,BT10:BT57),_xlfn.XLOOKUP(AP284,BR10:BR57,BT10:BT57,""))),""),""),""),"")</f>
        <v/>
      </c>
      <c r="BC284" s="813" cm="1">
        <f t="array" ref="BC284">IF(NOT(AQ284),0,IF(OR(BA284="",N(BA284)&lt;=0.000000001),"",IF(OR(AU284="",N(AU284)&lt;=0.000000001),0,IF(ISNUMBER(BA284),IFERROR(_xlfn.LET(_xlpm.ai_test,TRIM(AP284),_xlpm.r,IFERROR(_xlfn.XLOOKUP(_xlpm.ai_test,BP16:BP63,ROW(BP16:BP63),0,1),IFERROR(_xlfn.XLOOKUP(_xlpm.ai_test,BQ16:BQ63,ROW(BQ16:BQ63),0,1),_xlfn.XLOOKUP(_xlpm.ai_test,BR16:BR63,ROW(BR16:BR63),0,1))),_xlpm.p,_xlpm.r-MIN(ROW(BP16:BP63))+1,_xlpm.f,INDEX(BS16:BS63,_xlpm.p),_xlpm.u,INDEX(BT16:BT63,_xlpm.p),_xlpm.s,INDEX(BV16:BV63,_xlpm.p),_xlpm.q,N(BA284)/_xlpm.f,IF(_xlpm.q&gt;=_xlpm.s,ROUND(_xlpm.q,1)&amp;" "&amp;_xlpm.ai_test&amp;" = "&amp;ROUND(_xlpm.q*_xlpm.f,1)&amp;" "&amp;_xlpm.u,ROUND(_xlpm.q,1)&amp;" "&amp;_xlpm.ai_test)),""),""))))</f>
        <v>0</v>
      </c>
      <c r="BD284" s="801"/>
      <c r="BE284" s="799" t="str">
        <f t="shared" si="153"/>
        <v/>
      </c>
      <c r="BF284" s="800" t="str">
        <f t="shared" si="132"/>
        <v/>
      </c>
      <c r="BG284" s="802">
        <f t="shared" si="133"/>
        <v>0</v>
      </c>
      <c r="BH284" s="803" t="str">
        <f t="shared" si="134"/>
        <v/>
      </c>
      <c r="BI284" s="792"/>
      <c r="BJ284" s="804">
        <f t="shared" si="135"/>
        <v>0</v>
      </c>
      <c r="BK284" s="794" t="str">
        <f t="shared" si="154"/>
        <v/>
      </c>
      <c r="BL284" s="227" t="s">
        <v>21</v>
      </c>
      <c r="BM284" s="773">
        <f t="shared" si="144"/>
        <v>0</v>
      </c>
      <c r="BN284" s="774">
        <f t="shared" si="145"/>
        <v>0</v>
      </c>
      <c r="BO284"/>
      <c r="BP284" s="627"/>
      <c r="BQ284" s="627"/>
      <c r="BR284" s="627"/>
      <c r="BS284" s="627"/>
      <c r="BT284" s="627"/>
      <c r="BU284" s="627"/>
      <c r="BV284" s="627"/>
      <c r="BW284" s="627"/>
      <c r="BX284"/>
      <c r="BY284"/>
      <c r="BZ284"/>
      <c r="CA284"/>
      <c r="CB284"/>
      <c r="CC284"/>
      <c r="CD284" s="781" t="str">
        <f t="shared" si="139"/>
        <v>►</v>
      </c>
      <c r="CE284"/>
      <c r="CF284"/>
      <c r="CG284"/>
      <c r="CH284"/>
      <c r="CI284"/>
      <c r="CK284"/>
      <c r="CL284"/>
      <c r="CM284"/>
      <c r="CN284"/>
      <c r="CO284"/>
      <c r="CP284"/>
      <c r="CQ284"/>
      <c r="CR284" s="227"/>
      <c r="CS284"/>
      <c r="CT284"/>
      <c r="CU284"/>
      <c r="CV284"/>
      <c r="CW284"/>
      <c r="CX284"/>
      <c r="CY284"/>
      <c r="CZ284" s="227"/>
      <c r="DA284"/>
      <c r="DB284"/>
      <c r="DC284"/>
      <c r="DD284"/>
      <c r="DE284"/>
      <c r="DF284"/>
      <c r="DG284"/>
      <c r="DH284" s="227"/>
      <c r="DI284" s="3">
        <v>1</v>
      </c>
      <c r="DJ284" s="627"/>
      <c r="DK284" s="627"/>
    </row>
    <row r="285" spans="1:115" s="633" customFormat="1" ht="21" customHeight="1">
      <c r="A285" s="701" t="s">
        <v>21</v>
      </c>
      <c r="B285" s="2265" t="str" cm="1">
        <f t="array" ref="B285">SUMPRODUCT(--(D285:J285&lt;&gt;""), LEN(TRIM(SUBSTITUTE(D285:J285, CHAR(160), "")))) &amp; " Car."</f>
        <v>0 Car.</v>
      </c>
      <c r="C285" s="1376" t="str">
        <f>IF(ISBLANK(D285),"",LARGE(C13:C284,1)+1)</f>
        <v/>
      </c>
      <c r="D285" s="1833"/>
      <c r="E285" s="1810"/>
      <c r="F285" s="1810"/>
      <c r="G285" s="1810"/>
      <c r="H285" s="1810"/>
      <c r="I285" s="1810"/>
      <c r="J285" s="1810"/>
      <c r="K285" s="1810"/>
      <c r="L285" s="1811"/>
      <c r="M285" s="9"/>
      <c r="N285" s="103" t="str">
        <f t="shared" si="140"/>
        <v>►</v>
      </c>
      <c r="O285" s="1616"/>
      <c r="P285" s="9"/>
      <c r="Q285" s="103" t="str">
        <f t="shared" si="141"/>
        <v>►</v>
      </c>
      <c r="R285" s="163" t="str">
        <f>R215</f>
        <v>M MILLE-FEUILLE meringue et chiboust pamplemousse aux fraises des bois | collez la--FAMILLE| Auteur &gt; recette Béghin Say de Jean-Jacques Borne MOF 1994</v>
      </c>
      <c r="S285" s="163">
        <f>S215</f>
        <v>18</v>
      </c>
      <c r="T285" s="164" t="str">
        <f>T215</f>
        <v>desserts</v>
      </c>
      <c r="U285" s="165" t="str">
        <f>U215</f>
        <v>Recette mère ► MILLE-FEUILLE  aux fraises des bois</v>
      </c>
      <c r="V285" s="1548"/>
      <c r="W285" s="1548"/>
      <c r="X285" s="2190">
        <f>ROWS(AB258:AB285)</f>
        <v>28</v>
      </c>
      <c r="Y285" s="5549" t="str" cm="1">
        <f t="array" ref="Y285">IF(SUMPRODUCT((AB285:AG285&lt;&gt;"")*1)=0,"",SUMPRODUCT((AB285:AG285&lt;&gt;"")*(LEN(TRIM(SUBSTITUTE(AB285:AG285,CHAR(160)," "))) - LEN(SUBSTITUTE(TRIM(SUBSTITUTE(AB285:AG285,CHAR(160)," "))," ","")) + 1)) &amp; " mot" &amp; IF(SUMPRODUCT((AB285:AG285&lt;&gt;"")*(LEN(TRIM(SUBSTITUTE(AB285:AG285,CHAR(160)," "))) - LEN(SUBSTITUTE(TRIM(SUBSTITUTE(AB285:AG285,CHAR(160)," "))," ","")) + 1))&gt;1,"s",""))</f>
        <v/>
      </c>
      <c r="Z285" s="5550" t="str" cm="1">
        <f t="array" ref="Z285">SUMPRODUCT(--(AB285:AG285&lt;&gt;""), LEN(TRIM(SUBSTITUTE(AB285:AG285, CHAR(160), "")))) &amp; " Car."</f>
        <v>0 Car.</v>
      </c>
      <c r="AA285" s="1376" t="str">
        <f>IF(ISBLANK(AB285),"",LARGE(AA257:AA284,1)+1)</f>
        <v/>
      </c>
      <c r="AB285" s="1810"/>
      <c r="AC285" s="1810"/>
      <c r="AD285" s="1810"/>
      <c r="AE285" s="1810"/>
      <c r="AF285" s="1810"/>
      <c r="AG285" s="1810"/>
      <c r="AH285" s="1810"/>
      <c r="AI285" s="1810"/>
      <c r="AJ285" s="1811"/>
      <c r="AK285" s="6120" t="str">
        <f t="shared" si="155"/>
        <v>►</v>
      </c>
      <c r="AL285" s="781" t="str">
        <f t="shared" si="143"/>
        <v>►</v>
      </c>
      <c r="AM285" s="5499" t="str">
        <f t="shared" si="146"/>
        <v/>
      </c>
      <c r="AN285" s="783" t="str">
        <f t="shared" si="147"/>
        <v/>
      </c>
      <c r="AO285" s="782" t="str">
        <f t="shared" si="148"/>
        <v/>
      </c>
      <c r="AP285" s="783" t="str">
        <f t="shared" si="149"/>
        <v/>
      </c>
      <c r="AQ285" s="2083" t="b">
        <f>AND(Q285="A",COUNTIF(BP16:BR63,TRIM(Z285))&gt;0)</f>
        <v>0</v>
      </c>
      <c r="AR285" s="797" t="str">
        <f>IF(AL285&lt;&gt;"A","",IFERROR(IFERROR(_xlfn.XLOOKUP(TRIM(SUBSTITUTE(Z285,CHAR(160)," ")),BP16:BP63,BS16:BS63),IFERROR(_xlfn.XLOOKUP(TRIM(SUBSTITUTE(Z285,CHAR(160)," ")),BQ16:BQ63,BS16:BS63),_xlfn.XLOOKUP(TRIM(SUBSTITUTE(Z285,CHAR(160)," ")),BR16:BR63,BS16:BS63)))*Y285*IF(ISBLANK(V285),1,V285),0))</f>
        <v/>
      </c>
      <c r="AS285" s="784" t="str">
        <f t="shared" si="138"/>
        <v/>
      </c>
      <c r="AT285" s="1315" t="str">
        <f t="shared" si="150"/>
        <v/>
      </c>
      <c r="AU285" s="785">
        <f t="shared" si="151"/>
        <v>0</v>
      </c>
      <c r="AV285" s="785">
        <f t="shared" si="152"/>
        <v>0</v>
      </c>
      <c r="AW285" s="786">
        <f>IF(AK285="A",AY10,0)</f>
        <v>0</v>
      </c>
      <c r="AX285" s="5495" t="str">
        <f>IF(IFERROR(SEARCH("Adresse PC",TRIM(W285)),0)&gt;0,"▼ receta siguiente",IF(AK285="A",IF(AZ10&lt;&gt;"",AZ10&amp;" - ou.or.o ❾ + or - &gt;",""),""))</f>
        <v/>
      </c>
      <c r="AY285" s="810"/>
      <c r="AZ285" s="810"/>
      <c r="BA285" s="788" t="str">
        <f t="shared" si="142"/>
        <v/>
      </c>
      <c r="BB285" s="789" t="str">
        <f>IF(AK285="A",IF(AQ285,IF(AND(AW285&lt;&gt;"",N(AW285)&gt;0),IFERROR(IFERROR(_xlfn.XLOOKUP(AP285,BP10:BP57,BT10:BT57),IFERROR(_xlfn.XLOOKUP(AP285,BQ10:BQ57,BT10:BT57),_xlfn.XLOOKUP(AP285,BR10:BR57,BT10:BT57,""))),""),""),""),"")</f>
        <v/>
      </c>
      <c r="BC285" s="811" cm="1">
        <f t="array" ref="BC285">IF(NOT(AQ285),0,IF(OR(BA285="",N(BA285)&lt;=0.000000001),"",IF(OR(AU285="",N(AU285)&lt;=0.000000001),0,IF(ISNUMBER(BA285),IFERROR(_xlfn.LET(_xlpm.ai_test,TRIM(AP285),_xlpm.r,IFERROR(_xlfn.XLOOKUP(_xlpm.ai_test,BP16:BP63,ROW(BP16:BP63),0,1),IFERROR(_xlfn.XLOOKUP(_xlpm.ai_test,BQ16:BQ63,ROW(BQ16:BQ63),0,1),_xlfn.XLOOKUP(_xlpm.ai_test,BR16:BR63,ROW(BR16:BR63),0,1))),_xlpm.p,_xlpm.r-MIN(ROW(BP16:BP63))+1,_xlpm.f,INDEX(BS16:BS63,_xlpm.p),_xlpm.u,INDEX(BT16:BT63,_xlpm.p),_xlpm.s,INDEX(BV16:BV63,_xlpm.p),_xlpm.q,N(BA285)/_xlpm.f,IF(_xlpm.q&gt;=_xlpm.s,ROUND(_xlpm.q,1)&amp;" "&amp;_xlpm.ai_test&amp;" = "&amp;ROUND(_xlpm.q*_xlpm.f,1)&amp;" "&amp;_xlpm.u,ROUND(_xlpm.q,1)&amp;" "&amp;_xlpm.ai_test)),""),""))))</f>
        <v>0</v>
      </c>
      <c r="BD285" s="801"/>
      <c r="BE285" s="788" t="str">
        <f t="shared" si="153"/>
        <v/>
      </c>
      <c r="BF285" s="789" t="str">
        <f t="shared" si="132"/>
        <v/>
      </c>
      <c r="BG285" s="790">
        <f t="shared" si="133"/>
        <v>0</v>
      </c>
      <c r="BH285" s="791" t="str">
        <f t="shared" si="134"/>
        <v/>
      </c>
      <c r="BI285" s="792"/>
      <c r="BJ285" s="793">
        <f t="shared" si="135"/>
        <v>0</v>
      </c>
      <c r="BK285" s="794" t="str">
        <f t="shared" si="154"/>
        <v/>
      </c>
      <c r="BL285" s="227" t="s">
        <v>21</v>
      </c>
      <c r="BM285" s="773">
        <f t="shared" si="144"/>
        <v>0</v>
      </c>
      <c r="BN285" s="774">
        <f t="shared" si="145"/>
        <v>0</v>
      </c>
      <c r="BO285"/>
      <c r="BP285" s="627"/>
      <c r="BQ285" s="627"/>
      <c r="BR285" s="627"/>
      <c r="BS285" s="627"/>
      <c r="BT285" s="627"/>
      <c r="BU285" s="627"/>
      <c r="BV285" s="627"/>
      <c r="BW285" s="627"/>
      <c r="BX285"/>
      <c r="BY285"/>
      <c r="BZ285"/>
      <c r="CA285"/>
      <c r="CB285"/>
      <c r="CC285"/>
      <c r="CD285" s="781" t="str">
        <f t="shared" si="139"/>
        <v>►</v>
      </c>
      <c r="CE285"/>
      <c r="CF285"/>
      <c r="CG285"/>
      <c r="CH285"/>
      <c r="CI285"/>
      <c r="CK285"/>
      <c r="CL285"/>
      <c r="CM285"/>
      <c r="CN285"/>
      <c r="CO285"/>
      <c r="CP285"/>
      <c r="CQ285"/>
      <c r="CR285" s="227"/>
      <c r="CS285"/>
      <c r="CT285"/>
      <c r="CU285"/>
      <c r="CV285"/>
      <c r="CW285"/>
      <c r="CX285"/>
      <c r="CY285"/>
      <c r="CZ285" s="227"/>
      <c r="DA285"/>
      <c r="DB285"/>
      <c r="DC285"/>
      <c r="DD285"/>
      <c r="DE285"/>
      <c r="DF285"/>
      <c r="DG285"/>
      <c r="DH285" s="227"/>
      <c r="DI285" s="3">
        <v>1</v>
      </c>
      <c r="DJ285" s="627"/>
      <c r="DK285" s="627"/>
    </row>
    <row r="286" spans="1:115" s="633" customFormat="1" ht="21" customHeight="1">
      <c r="A286" s="701" t="s">
        <v>21</v>
      </c>
      <c r="B286" s="2265" t="str" cm="1">
        <f t="array" ref="B286">SUMPRODUCT(--(D286:J286&lt;&gt;""), LEN(TRIM(SUBSTITUTE(D286:J286, CHAR(160), "")))) &amp; " Car."</f>
        <v>0 Car.</v>
      </c>
      <c r="C286" s="1376" t="str">
        <f>IF(ISBLANK(D286),"",LARGE(C13:C285,1)+1)</f>
        <v/>
      </c>
      <c r="D286" s="1833"/>
      <c r="E286" s="1810"/>
      <c r="F286" s="1810"/>
      <c r="G286" s="1810"/>
      <c r="H286" s="1810"/>
      <c r="I286" s="1810"/>
      <c r="J286" s="1810"/>
      <c r="K286" s="1810"/>
      <c r="L286" s="1811"/>
      <c r="M286" s="9"/>
      <c r="N286" s="103" t="str">
        <f t="shared" si="140"/>
        <v>►</v>
      </c>
      <c r="O286" s="1616"/>
      <c r="P286" s="9"/>
      <c r="Q286" s="103" t="str">
        <f t="shared" si="141"/>
        <v>►</v>
      </c>
      <c r="R286" s="163" t="str">
        <f>R215</f>
        <v>M MILLE-FEUILLE meringue et chiboust pamplemousse aux fraises des bois | collez la--FAMILLE| Auteur &gt; recette Béghin Say de Jean-Jacques Borne MOF 1994</v>
      </c>
      <c r="S286" s="163">
        <f>S215</f>
        <v>18</v>
      </c>
      <c r="T286" s="164" t="str">
        <f>T215</f>
        <v>desserts</v>
      </c>
      <c r="U286" s="165" t="str">
        <f>U215</f>
        <v>Recette mère ► MILLE-FEUILLE  aux fraises des bois</v>
      </c>
      <c r="V286" s="1548"/>
      <c r="W286" s="1548"/>
      <c r="X286" s="2190">
        <f>ROWS(AB258:AB286)</f>
        <v>29</v>
      </c>
      <c r="Y286" s="5549" t="str" cm="1">
        <f t="array" ref="Y286">IF(SUMPRODUCT((AB286:AG286&lt;&gt;"")*1)=0,"",SUMPRODUCT((AB286:AG286&lt;&gt;"")*(LEN(TRIM(SUBSTITUTE(AB286:AG286,CHAR(160)," "))) - LEN(SUBSTITUTE(TRIM(SUBSTITUTE(AB286:AG286,CHAR(160)," "))," ","")) + 1)) &amp; " mot" &amp; IF(SUMPRODUCT((AB286:AG286&lt;&gt;"")*(LEN(TRIM(SUBSTITUTE(AB286:AG286,CHAR(160)," "))) - LEN(SUBSTITUTE(TRIM(SUBSTITUTE(AB286:AG286,CHAR(160)," "))," ","")) + 1))&gt;1,"s",""))</f>
        <v/>
      </c>
      <c r="Z286" s="5550" t="str" cm="1">
        <f t="array" ref="Z286">SUMPRODUCT(--(AB286:AG286&lt;&gt;""), LEN(TRIM(SUBSTITUTE(AB286:AG286, CHAR(160), "")))) &amp; " Car."</f>
        <v>0 Car.</v>
      </c>
      <c r="AA286" s="1376" t="str">
        <f>IF(ISBLANK(AB286),"",LARGE(AA257:AA285,1)+1)</f>
        <v/>
      </c>
      <c r="AB286" s="1810"/>
      <c r="AC286" s="1810"/>
      <c r="AD286" s="1810"/>
      <c r="AE286" s="1810"/>
      <c r="AF286" s="1810"/>
      <c r="AG286" s="1810"/>
      <c r="AH286" s="1810"/>
      <c r="AI286" s="1810"/>
      <c r="AJ286" s="1811"/>
      <c r="AK286" s="6120" t="str">
        <f t="shared" si="155"/>
        <v>►</v>
      </c>
      <c r="AL286" s="781" t="str">
        <f t="shared" si="143"/>
        <v>►</v>
      </c>
      <c r="AM286" s="5498" t="str">
        <f t="shared" si="146"/>
        <v/>
      </c>
      <c r="AN286" s="783" t="str">
        <f t="shared" si="147"/>
        <v/>
      </c>
      <c r="AO286" s="782" t="str">
        <f t="shared" si="148"/>
        <v/>
      </c>
      <c r="AP286" s="783" t="str">
        <f t="shared" si="149"/>
        <v/>
      </c>
      <c r="AQ286" s="2083" t="b">
        <f>AND(Q286="A",COUNTIF(BP16:BR63,TRIM(Z286))&gt;0)</f>
        <v>0</v>
      </c>
      <c r="AR286" s="797" t="str">
        <f>IF(AL286&lt;&gt;"A","",IFERROR(IFERROR(_xlfn.XLOOKUP(TRIM(SUBSTITUTE(Z286,CHAR(160)," ")),BP16:BP63,BS16:BS63),IFERROR(_xlfn.XLOOKUP(TRIM(SUBSTITUTE(Z286,CHAR(160)," ")),BQ16:BQ63,BS16:BS63),_xlfn.XLOOKUP(TRIM(SUBSTITUTE(Z286,CHAR(160)," ")),BR16:BR63,BS16:BS63)))*Y286*IF(ISBLANK(V286),1,V286),0))</f>
        <v/>
      </c>
      <c r="AS286" s="784" t="str">
        <f t="shared" si="138"/>
        <v/>
      </c>
      <c r="AT286" s="1315" t="str">
        <f t="shared" si="150"/>
        <v/>
      </c>
      <c r="AU286" s="785">
        <f t="shared" si="151"/>
        <v>0</v>
      </c>
      <c r="AV286" s="785">
        <f t="shared" si="152"/>
        <v>0</v>
      </c>
      <c r="AW286" s="798">
        <f>IF(AK286="A",AY10,0)</f>
        <v>0</v>
      </c>
      <c r="AX286" s="5496" t="str">
        <f>IF(IFERROR(SEARCH("Adresse PC",TRIM(W286)),0)&gt;0,"▼ receta siguiente",IF(AK286="A",IF(AZ10&lt;&gt;"",AZ10&amp;" - ou.or.o ❾ + or - &gt;",""),""))</f>
        <v/>
      </c>
      <c r="AY286" s="810"/>
      <c r="AZ286" s="810"/>
      <c r="BA286" s="799" t="str">
        <f t="shared" si="142"/>
        <v/>
      </c>
      <c r="BB286" s="800" t="str">
        <f>IF(AK286="A",IF(AQ286,IF(AND(AW286&lt;&gt;"",N(AW286)&gt;0),IFERROR(IFERROR(_xlfn.XLOOKUP(AP286,BP10:BP57,BT10:BT57),IFERROR(_xlfn.XLOOKUP(AP286,BQ10:BQ57,BT10:BT57),_xlfn.XLOOKUP(AP286,BR10:BR57,BT10:BT57,""))),""),""),""),"")</f>
        <v/>
      </c>
      <c r="BC286" s="813" cm="1">
        <f t="array" ref="BC286">IF(NOT(AQ286),0,IF(OR(BA286="",N(BA286)&lt;=0.000000001),"",IF(OR(AU286="",N(AU286)&lt;=0.000000001),0,IF(ISNUMBER(BA286),IFERROR(_xlfn.LET(_xlpm.ai_test,TRIM(AP286),_xlpm.r,IFERROR(_xlfn.XLOOKUP(_xlpm.ai_test,BP16:BP63,ROW(BP16:BP63),0,1),IFERROR(_xlfn.XLOOKUP(_xlpm.ai_test,BQ16:BQ63,ROW(BQ16:BQ63),0,1),_xlfn.XLOOKUP(_xlpm.ai_test,BR16:BR63,ROW(BR16:BR63),0,1))),_xlpm.p,_xlpm.r-MIN(ROW(BP16:BP63))+1,_xlpm.f,INDEX(BS16:BS63,_xlpm.p),_xlpm.u,INDEX(BT16:BT63,_xlpm.p),_xlpm.s,INDEX(BV16:BV63,_xlpm.p),_xlpm.q,N(BA286)/_xlpm.f,IF(_xlpm.q&gt;=_xlpm.s,ROUND(_xlpm.q,1)&amp;" "&amp;_xlpm.ai_test&amp;" = "&amp;ROUND(_xlpm.q*_xlpm.f,1)&amp;" "&amp;_xlpm.u,ROUND(_xlpm.q,1)&amp;" "&amp;_xlpm.ai_test)),""),""))))</f>
        <v>0</v>
      </c>
      <c r="BD286" s="801"/>
      <c r="BE286" s="799" t="str">
        <f t="shared" si="153"/>
        <v/>
      </c>
      <c r="BF286" s="800" t="str">
        <f t="shared" si="132"/>
        <v/>
      </c>
      <c r="BG286" s="802">
        <f t="shared" si="133"/>
        <v>0</v>
      </c>
      <c r="BH286" s="803" t="str">
        <f t="shared" si="134"/>
        <v/>
      </c>
      <c r="BI286" s="792"/>
      <c r="BJ286" s="804">
        <f t="shared" si="135"/>
        <v>0</v>
      </c>
      <c r="BK286" s="794" t="str">
        <f t="shared" si="154"/>
        <v/>
      </c>
      <c r="BL286" s="227" t="s">
        <v>21</v>
      </c>
      <c r="BM286" s="773">
        <f t="shared" si="144"/>
        <v>0</v>
      </c>
      <c r="BN286" s="774">
        <f t="shared" si="145"/>
        <v>0</v>
      </c>
      <c r="BO286"/>
      <c r="BP286" s="627"/>
      <c r="BQ286" s="627"/>
      <c r="BR286" s="627"/>
      <c r="BS286" s="627"/>
      <c r="BT286" s="627"/>
      <c r="BU286" s="627"/>
      <c r="BV286" s="627"/>
      <c r="BW286" s="627"/>
      <c r="BX286"/>
      <c r="BY286"/>
      <c r="BZ286"/>
      <c r="CA286"/>
      <c r="CB286"/>
      <c r="CC286"/>
      <c r="CD286" s="781" t="str">
        <f t="shared" si="139"/>
        <v>►</v>
      </c>
      <c r="CE286"/>
      <c r="CF286"/>
      <c r="CG286"/>
      <c r="CH286"/>
      <c r="CI286"/>
      <c r="CK286"/>
      <c r="CL286"/>
      <c r="CM286"/>
      <c r="CN286"/>
      <c r="CO286"/>
      <c r="CP286"/>
      <c r="CQ286"/>
      <c r="CR286" s="227"/>
      <c r="CS286"/>
      <c r="CT286"/>
      <c r="CU286"/>
      <c r="CV286"/>
      <c r="CW286"/>
      <c r="CX286"/>
      <c r="CY286"/>
      <c r="CZ286" s="227"/>
      <c r="DA286"/>
      <c r="DB286"/>
      <c r="DC286"/>
      <c r="DD286"/>
      <c r="DE286"/>
      <c r="DF286"/>
      <c r="DG286"/>
      <c r="DH286" s="227"/>
      <c r="DI286" s="3">
        <v>1</v>
      </c>
      <c r="DJ286" s="627"/>
      <c r="DK286" s="627"/>
    </row>
    <row r="287" spans="1:115" s="633" customFormat="1" ht="21" customHeight="1">
      <c r="A287" s="701" t="s">
        <v>21</v>
      </c>
      <c r="B287" s="2265" t="str" cm="1">
        <f t="array" ref="B287">SUMPRODUCT(--(D287:J287&lt;&gt;""), LEN(TRIM(SUBSTITUTE(D287:J287, CHAR(160), "")))) &amp; " Car."</f>
        <v>0 Car.</v>
      </c>
      <c r="C287" s="1376" t="str">
        <f>IF(ISBLANK(D287),"",LARGE(C13:C286,1)+1)</f>
        <v/>
      </c>
      <c r="D287" s="1833"/>
      <c r="E287" s="1810"/>
      <c r="F287" s="1810"/>
      <c r="G287" s="1810"/>
      <c r="H287" s="1810"/>
      <c r="I287" s="1810"/>
      <c r="J287" s="1810"/>
      <c r="K287" s="1810"/>
      <c r="L287" s="1811"/>
      <c r="M287" s="9"/>
      <c r="N287" s="103" t="str">
        <f t="shared" si="140"/>
        <v>►</v>
      </c>
      <c r="O287" s="1616"/>
      <c r="P287" s="9"/>
      <c r="Q287" s="103" t="str">
        <f t="shared" si="141"/>
        <v>►</v>
      </c>
      <c r="R287" s="163" t="str">
        <f>R215</f>
        <v>M MILLE-FEUILLE meringue et chiboust pamplemousse aux fraises des bois | collez la--FAMILLE| Auteur &gt; recette Béghin Say de Jean-Jacques Borne MOF 1994</v>
      </c>
      <c r="S287" s="163">
        <f>S215</f>
        <v>18</v>
      </c>
      <c r="T287" s="164" t="str">
        <f>T215</f>
        <v>desserts</v>
      </c>
      <c r="U287" s="165" t="str">
        <f>U215</f>
        <v>Recette mère ► MILLE-FEUILLE  aux fraises des bois</v>
      </c>
      <c r="V287" s="1548"/>
      <c r="W287" s="1548"/>
      <c r="X287" s="2190">
        <f>ROWS(AB258:AB287)</f>
        <v>30</v>
      </c>
      <c r="Y287" s="5549" t="str" cm="1">
        <f t="array" ref="Y287">IF(SUMPRODUCT((AB287:AG287&lt;&gt;"")*1)=0,"",SUMPRODUCT((AB287:AG287&lt;&gt;"")*(LEN(TRIM(SUBSTITUTE(AB287:AG287,CHAR(160)," "))) - LEN(SUBSTITUTE(TRIM(SUBSTITUTE(AB287:AG287,CHAR(160)," "))," ","")) + 1)) &amp; " mot" &amp; IF(SUMPRODUCT((AB287:AG287&lt;&gt;"")*(LEN(TRIM(SUBSTITUTE(AB287:AG287,CHAR(160)," "))) - LEN(SUBSTITUTE(TRIM(SUBSTITUTE(AB287:AG287,CHAR(160)," "))," ","")) + 1))&gt;1,"s",""))</f>
        <v/>
      </c>
      <c r="Z287" s="5550" t="str" cm="1">
        <f t="array" ref="Z287">SUMPRODUCT(--(AB287:AG287&lt;&gt;""), LEN(TRIM(SUBSTITUTE(AB287:AG287, CHAR(160), "")))) &amp; " Car."</f>
        <v>0 Car.</v>
      </c>
      <c r="AA287" s="1376" t="str">
        <f>IF(ISBLANK(AB287),"",LARGE(AA257:AA286,1)+1)</f>
        <v/>
      </c>
      <c r="AB287" s="1810"/>
      <c r="AC287" s="1810"/>
      <c r="AD287" s="1810"/>
      <c r="AE287" s="1810"/>
      <c r="AF287" s="1810"/>
      <c r="AG287" s="1810"/>
      <c r="AH287" s="1810"/>
      <c r="AI287" s="1810"/>
      <c r="AJ287" s="1811"/>
      <c r="AK287" s="6120" t="str">
        <f t="shared" si="155"/>
        <v>►</v>
      </c>
      <c r="AL287" s="781" t="str">
        <f t="shared" si="143"/>
        <v>►</v>
      </c>
      <c r="AM287" s="5499" t="str">
        <f t="shared" si="146"/>
        <v/>
      </c>
      <c r="AN287" s="783" t="str">
        <f t="shared" si="147"/>
        <v/>
      </c>
      <c r="AO287" s="782" t="str">
        <f t="shared" si="148"/>
        <v/>
      </c>
      <c r="AP287" s="783" t="str">
        <f t="shared" si="149"/>
        <v/>
      </c>
      <c r="AQ287" s="2083" t="b">
        <f>AND(Q287="A",COUNTIF(BP16:BR63,TRIM(Z287))&gt;0)</f>
        <v>0</v>
      </c>
      <c r="AR287" s="797" t="str">
        <f>IF(AL287&lt;&gt;"A","",IFERROR(IFERROR(_xlfn.XLOOKUP(TRIM(SUBSTITUTE(Z287,CHAR(160)," ")),BP16:BP63,BS16:BS63),IFERROR(_xlfn.XLOOKUP(TRIM(SUBSTITUTE(Z287,CHAR(160)," ")),BQ16:BQ63,BS16:BS63),_xlfn.XLOOKUP(TRIM(SUBSTITUTE(Z287,CHAR(160)," ")),BR16:BR63,BS16:BS63)))*Y287*IF(ISBLANK(V287),1,V287),0))</f>
        <v/>
      </c>
      <c r="AS287" s="784" t="str">
        <f t="shared" si="138"/>
        <v/>
      </c>
      <c r="AT287" s="1315" t="str">
        <f t="shared" si="150"/>
        <v/>
      </c>
      <c r="AU287" s="785">
        <f t="shared" si="151"/>
        <v>0</v>
      </c>
      <c r="AV287" s="785">
        <f t="shared" si="152"/>
        <v>0</v>
      </c>
      <c r="AW287" s="786">
        <f>IF(AK287="A",AY10,0)</f>
        <v>0</v>
      </c>
      <c r="AX287" s="5495" t="str">
        <f>IF(IFERROR(SEARCH("Adresse PC",TRIM(W287)),0)&gt;0,"▼ receta siguiente",IF(AK287="A",IF(AZ10&lt;&gt;"",AZ10&amp;" - ou.or.o ❾ + or - &gt;",""),""))</f>
        <v/>
      </c>
      <c r="AY287" s="810"/>
      <c r="AZ287" s="810"/>
      <c r="BA287" s="788" t="str">
        <f t="shared" si="142"/>
        <v/>
      </c>
      <c r="BB287" s="789" t="str">
        <f>IF(AK287="A",IF(AQ287,IF(AND(AW287&lt;&gt;"",N(AW287)&gt;0),IFERROR(IFERROR(_xlfn.XLOOKUP(AP287,BP10:BP57,BT10:BT57),IFERROR(_xlfn.XLOOKUP(AP287,BQ10:BQ57,BT10:BT57),_xlfn.XLOOKUP(AP287,BR10:BR57,BT10:BT57,""))),""),""),""),"")</f>
        <v/>
      </c>
      <c r="BC287" s="811" cm="1">
        <f t="array" ref="BC287">IF(NOT(AQ287),0,IF(OR(BA287="",N(BA287)&lt;=0.000000001),"",IF(OR(AU287="",N(AU287)&lt;=0.000000001),0,IF(ISNUMBER(BA287),IFERROR(_xlfn.LET(_xlpm.ai_test,TRIM(AP287),_xlpm.r,IFERROR(_xlfn.XLOOKUP(_xlpm.ai_test,BP16:BP63,ROW(BP16:BP63),0,1),IFERROR(_xlfn.XLOOKUP(_xlpm.ai_test,BQ16:BQ63,ROW(BQ16:BQ63),0,1),_xlfn.XLOOKUP(_xlpm.ai_test,BR16:BR63,ROW(BR16:BR63),0,1))),_xlpm.p,_xlpm.r-MIN(ROW(BP16:BP63))+1,_xlpm.f,INDEX(BS16:BS63,_xlpm.p),_xlpm.u,INDEX(BT16:BT63,_xlpm.p),_xlpm.s,INDEX(BV16:BV63,_xlpm.p),_xlpm.q,N(BA287)/_xlpm.f,IF(_xlpm.q&gt;=_xlpm.s,ROUND(_xlpm.q,1)&amp;" "&amp;_xlpm.ai_test&amp;" = "&amp;ROUND(_xlpm.q*_xlpm.f,1)&amp;" "&amp;_xlpm.u,ROUND(_xlpm.q,1)&amp;" "&amp;_xlpm.ai_test)),""),""))))</f>
        <v>0</v>
      </c>
      <c r="BD287" s="801"/>
      <c r="BE287" s="788" t="str">
        <f t="shared" si="153"/>
        <v/>
      </c>
      <c r="BF287" s="789" t="str">
        <f t="shared" si="132"/>
        <v/>
      </c>
      <c r="BG287" s="790">
        <f t="shared" si="133"/>
        <v>0</v>
      </c>
      <c r="BH287" s="791" t="str">
        <f t="shared" si="134"/>
        <v/>
      </c>
      <c r="BI287" s="792"/>
      <c r="BJ287" s="793">
        <f t="shared" si="135"/>
        <v>0</v>
      </c>
      <c r="BK287" s="794" t="str">
        <f t="shared" si="154"/>
        <v/>
      </c>
      <c r="BL287" s="227" t="s">
        <v>21</v>
      </c>
      <c r="BM287" s="773">
        <f t="shared" si="144"/>
        <v>0</v>
      </c>
      <c r="BN287" s="774">
        <f t="shared" si="145"/>
        <v>0</v>
      </c>
      <c r="BO287"/>
      <c r="BP287" s="627"/>
      <c r="BQ287" s="627"/>
      <c r="BR287" s="627"/>
      <c r="BS287" s="627"/>
      <c r="BT287" s="627"/>
      <c r="BU287" s="627"/>
      <c r="BV287" s="627"/>
      <c r="BW287" s="627"/>
      <c r="BX287"/>
      <c r="BY287"/>
      <c r="BZ287"/>
      <c r="CA287"/>
      <c r="CB287"/>
      <c r="CC287"/>
      <c r="CD287" s="781" t="str">
        <f t="shared" si="139"/>
        <v>►</v>
      </c>
      <c r="CE287"/>
      <c r="CF287"/>
      <c r="CG287"/>
      <c r="CH287"/>
      <c r="CI287"/>
      <c r="CK287"/>
      <c r="CL287"/>
      <c r="CM287"/>
      <c r="CN287"/>
      <c r="CO287"/>
      <c r="CP287"/>
      <c r="CQ287"/>
      <c r="CR287" s="227"/>
      <c r="CS287"/>
      <c r="CT287"/>
      <c r="CU287"/>
      <c r="CV287"/>
      <c r="CW287"/>
      <c r="CX287"/>
      <c r="CY287"/>
      <c r="CZ287" s="227"/>
      <c r="DA287"/>
      <c r="DB287"/>
      <c r="DC287"/>
      <c r="DD287"/>
      <c r="DE287"/>
      <c r="DF287"/>
      <c r="DG287"/>
      <c r="DH287" s="227"/>
      <c r="DI287" s="3">
        <v>1</v>
      </c>
      <c r="DJ287" s="627"/>
      <c r="DK287" s="627"/>
    </row>
    <row r="288" spans="1:115" s="633" customFormat="1" ht="21" customHeight="1">
      <c r="A288" s="701" t="s">
        <v>21</v>
      </c>
      <c r="B288" s="2265" t="str" cm="1">
        <f t="array" ref="B288">SUMPRODUCT(--(D288:J288&lt;&gt;""), LEN(TRIM(SUBSTITUTE(D288:J288, CHAR(160), "")))) &amp; " Car."</f>
        <v>0 Car.</v>
      </c>
      <c r="C288" s="1376" t="str">
        <f>IF(ISBLANK(D288),"",LARGE(C13:C287,1)+1)</f>
        <v/>
      </c>
      <c r="D288" s="1833"/>
      <c r="E288" s="1810"/>
      <c r="F288" s="1810"/>
      <c r="G288" s="1810"/>
      <c r="H288" s="1810"/>
      <c r="I288" s="1810"/>
      <c r="J288" s="1810"/>
      <c r="K288" s="1810"/>
      <c r="L288" s="1811"/>
      <c r="M288" s="9"/>
      <c r="N288" s="103" t="str">
        <f t="shared" si="140"/>
        <v>►</v>
      </c>
      <c r="O288" s="1616"/>
      <c r="P288" s="9"/>
      <c r="Q288" s="103" t="str">
        <f t="shared" si="141"/>
        <v>►</v>
      </c>
      <c r="R288" s="163" t="str">
        <f>R215</f>
        <v>M MILLE-FEUILLE meringue et chiboust pamplemousse aux fraises des bois | collez la--FAMILLE| Auteur &gt; recette Béghin Say de Jean-Jacques Borne MOF 1994</v>
      </c>
      <c r="S288" s="163">
        <f>S215</f>
        <v>18</v>
      </c>
      <c r="T288" s="164" t="str">
        <f>T215</f>
        <v>desserts</v>
      </c>
      <c r="U288" s="165" t="str">
        <f>U215</f>
        <v>Recette mère ► MILLE-FEUILLE  aux fraises des bois</v>
      </c>
      <c r="V288" s="1548"/>
      <c r="W288" s="1548"/>
      <c r="X288" s="2190">
        <f>ROWS(AB258:AB288)</f>
        <v>31</v>
      </c>
      <c r="Y288" s="5549" t="str" cm="1">
        <f t="array" ref="Y288">IF(SUMPRODUCT((AB288:AG288&lt;&gt;"")*1)=0,"",SUMPRODUCT((AB288:AG288&lt;&gt;"")*(LEN(TRIM(SUBSTITUTE(AB288:AG288,CHAR(160)," "))) - LEN(SUBSTITUTE(TRIM(SUBSTITUTE(AB288:AG288,CHAR(160)," "))," ","")) + 1)) &amp; " mot" &amp; IF(SUMPRODUCT((AB288:AG288&lt;&gt;"")*(LEN(TRIM(SUBSTITUTE(AB288:AG288,CHAR(160)," "))) - LEN(SUBSTITUTE(TRIM(SUBSTITUTE(AB288:AG288,CHAR(160)," "))," ","")) + 1))&gt;1,"s",""))</f>
        <v/>
      </c>
      <c r="Z288" s="5550" t="str" cm="1">
        <f t="array" ref="Z288">SUMPRODUCT(--(AB288:AG288&lt;&gt;""), LEN(TRIM(SUBSTITUTE(AB288:AG288, CHAR(160), "")))) &amp; " Car."</f>
        <v>0 Car.</v>
      </c>
      <c r="AA288" s="1376" t="str">
        <f>IF(ISBLANK(AB288),"",LARGE(AA257:AA287,1)+1)</f>
        <v/>
      </c>
      <c r="AB288" s="1810"/>
      <c r="AC288" s="1810"/>
      <c r="AD288" s="1810"/>
      <c r="AE288" s="1810"/>
      <c r="AF288" s="1810"/>
      <c r="AG288" s="1810"/>
      <c r="AH288" s="1810"/>
      <c r="AI288" s="1810"/>
      <c r="AJ288" s="1811"/>
      <c r="AK288" s="6120" t="str">
        <f t="shared" si="155"/>
        <v>►</v>
      </c>
      <c r="AL288" s="781" t="str">
        <f t="shared" si="143"/>
        <v>►</v>
      </c>
      <c r="AM288" s="5498" t="str">
        <f t="shared" si="146"/>
        <v/>
      </c>
      <c r="AN288" s="783" t="str">
        <f t="shared" si="147"/>
        <v/>
      </c>
      <c r="AO288" s="782" t="str">
        <f t="shared" si="148"/>
        <v/>
      </c>
      <c r="AP288" s="783" t="str">
        <f t="shared" si="149"/>
        <v/>
      </c>
      <c r="AQ288" s="2083" t="b">
        <f>AND(Q288="A",COUNTIF(BP16:BR63,TRIM(Z288))&gt;0)</f>
        <v>0</v>
      </c>
      <c r="AR288" s="797" t="str">
        <f>IF(AL288&lt;&gt;"A","",IFERROR(IFERROR(_xlfn.XLOOKUP(TRIM(SUBSTITUTE(Z288,CHAR(160)," ")),BP16:BP63,BS16:BS63),IFERROR(_xlfn.XLOOKUP(TRIM(SUBSTITUTE(Z288,CHAR(160)," ")),BQ16:BQ63,BS16:BS63),_xlfn.XLOOKUP(TRIM(SUBSTITUTE(Z288,CHAR(160)," ")),BR16:BR63,BS16:BS63)))*Y288*IF(ISBLANK(V288),1,V288),0))</f>
        <v/>
      </c>
      <c r="AS288" s="784" t="str">
        <f t="shared" si="138"/>
        <v/>
      </c>
      <c r="AT288" s="1315" t="str">
        <f t="shared" si="150"/>
        <v/>
      </c>
      <c r="AU288" s="785">
        <f t="shared" si="151"/>
        <v>0</v>
      </c>
      <c r="AV288" s="785">
        <f t="shared" si="152"/>
        <v>0</v>
      </c>
      <c r="AW288" s="798">
        <f>IF(AK288="A",AY10,0)</f>
        <v>0</v>
      </c>
      <c r="AX288" s="5496" t="str">
        <f>IF(IFERROR(SEARCH("Adresse PC",TRIM(W288)),0)&gt;0,"▼ receta siguiente",IF(AK288="A",IF(AZ10&lt;&gt;"",AZ10&amp;" - ou.or.o ❾ + or - &gt;",""),""))</f>
        <v/>
      </c>
      <c r="AY288" s="810"/>
      <c r="AZ288" s="810"/>
      <c r="BA288" s="799" t="str">
        <f t="shared" si="142"/>
        <v/>
      </c>
      <c r="BB288" s="800" t="str">
        <f>IF(AK288="A",IF(AQ288,IF(AND(AW288&lt;&gt;"",N(AW288)&gt;0),IFERROR(IFERROR(_xlfn.XLOOKUP(AP288,BP10:BP57,BT10:BT57),IFERROR(_xlfn.XLOOKUP(AP288,BQ10:BQ57,BT10:BT57),_xlfn.XLOOKUP(AP288,BR10:BR57,BT10:BT57,""))),""),""),""),"")</f>
        <v/>
      </c>
      <c r="BC288" s="813" cm="1">
        <f t="array" ref="BC288">IF(NOT(AQ288),0,IF(OR(BA288="",N(BA288)&lt;=0.000000001),"",IF(OR(AU288="",N(AU288)&lt;=0.000000001),0,IF(ISNUMBER(BA288),IFERROR(_xlfn.LET(_xlpm.ai_test,TRIM(AP288),_xlpm.r,IFERROR(_xlfn.XLOOKUP(_xlpm.ai_test,BP16:BP63,ROW(BP16:BP63),0,1),IFERROR(_xlfn.XLOOKUP(_xlpm.ai_test,BQ16:BQ63,ROW(BQ16:BQ63),0,1),_xlfn.XLOOKUP(_xlpm.ai_test,BR16:BR63,ROW(BR16:BR63),0,1))),_xlpm.p,_xlpm.r-MIN(ROW(BP16:BP63))+1,_xlpm.f,INDEX(BS16:BS63,_xlpm.p),_xlpm.u,INDEX(BT16:BT63,_xlpm.p),_xlpm.s,INDEX(BV16:BV63,_xlpm.p),_xlpm.q,N(BA288)/_xlpm.f,IF(_xlpm.q&gt;=_xlpm.s,ROUND(_xlpm.q,1)&amp;" "&amp;_xlpm.ai_test&amp;" = "&amp;ROUND(_xlpm.q*_xlpm.f,1)&amp;" "&amp;_xlpm.u,ROUND(_xlpm.q,1)&amp;" "&amp;_xlpm.ai_test)),""),""))))</f>
        <v>0</v>
      </c>
      <c r="BD288" s="801"/>
      <c r="BE288" s="799" t="str">
        <f t="shared" si="153"/>
        <v/>
      </c>
      <c r="BF288" s="800" t="str">
        <f t="shared" ref="BF288:BF351" si="156">IF(AQ288,BB288,"")</f>
        <v/>
      </c>
      <c r="BG288" s="802">
        <f t="shared" ref="BG288:BG351" si="157">IF(AND(ISNUMBER(BM288),ABS(BM288)&gt;0.000000001),BM288,0)</f>
        <v>0</v>
      </c>
      <c r="BH288" s="803" t="str">
        <f t="shared" ref="BH288:BH351" si="158">IF(AND(AQ288, N(BG288)&gt;0.000000001), W288, "")</f>
        <v/>
      </c>
      <c r="BI288" s="792"/>
      <c r="BJ288" s="804">
        <f t="shared" ref="BJ288:BJ351" si="159">IF(OR(AU288=0,ISBLANK(BI288),ISTEXT(BG288)),0,(IF(BA288=0,BG288,BA288)*BI288))</f>
        <v>0</v>
      </c>
      <c r="BK288" s="794" t="str">
        <f t="shared" si="154"/>
        <v/>
      </c>
      <c r="BL288" s="227" t="s">
        <v>21</v>
      </c>
      <c r="BM288" s="773">
        <f t="shared" si="144"/>
        <v>0</v>
      </c>
      <c r="BN288" s="774">
        <f t="shared" si="145"/>
        <v>0</v>
      </c>
      <c r="BO288"/>
      <c r="BP288" s="627"/>
      <c r="BQ288" s="627"/>
      <c r="BR288" s="627"/>
      <c r="BS288" s="627"/>
      <c r="BT288" s="627"/>
      <c r="BU288" s="627"/>
      <c r="BV288" s="627"/>
      <c r="BW288" s="627"/>
      <c r="BX288"/>
      <c r="BY288"/>
      <c r="BZ288"/>
      <c r="CA288"/>
      <c r="CB288"/>
      <c r="CC288"/>
      <c r="CD288" s="781" t="str">
        <f t="shared" si="139"/>
        <v>►</v>
      </c>
      <c r="CE288"/>
      <c r="CF288"/>
      <c r="CG288"/>
      <c r="CH288"/>
      <c r="CI288"/>
      <c r="CK288"/>
      <c r="CL288"/>
      <c r="CM288"/>
      <c r="CN288"/>
      <c r="CO288"/>
      <c r="CP288"/>
      <c r="CQ288"/>
      <c r="CR288" s="227"/>
      <c r="CS288"/>
      <c r="CT288"/>
      <c r="CU288"/>
      <c r="CV288"/>
      <c r="CW288"/>
      <c r="CX288"/>
      <c r="CY288"/>
      <c r="CZ288" s="227"/>
      <c r="DA288"/>
      <c r="DB288"/>
      <c r="DC288"/>
      <c r="DD288"/>
      <c r="DE288"/>
      <c r="DF288"/>
      <c r="DG288"/>
      <c r="DH288" s="227"/>
      <c r="DI288" s="3">
        <v>1</v>
      </c>
      <c r="DJ288" s="627"/>
      <c r="DK288" s="627"/>
    </row>
    <row r="289" spans="1:115" s="633" customFormat="1" ht="21" customHeight="1">
      <c r="A289" s="701" t="s">
        <v>21</v>
      </c>
      <c r="B289" s="2265" t="str" cm="1">
        <f t="array" ref="B289">SUMPRODUCT(--(D289:J289&lt;&gt;""), LEN(TRIM(SUBSTITUTE(D289:J289, CHAR(160), "")))) &amp; " Car."</f>
        <v>0 Car.</v>
      </c>
      <c r="C289" s="1376" t="str">
        <f>IF(ISBLANK(D289),"",LARGE(C13:C288,1)+1)</f>
        <v/>
      </c>
      <c r="D289" s="1833"/>
      <c r="E289" s="1810"/>
      <c r="F289" s="1810"/>
      <c r="G289" s="1810"/>
      <c r="H289" s="1810"/>
      <c r="I289" s="1810"/>
      <c r="J289" s="1810"/>
      <c r="K289" s="1810"/>
      <c r="L289" s="1811"/>
      <c r="M289" s="9"/>
      <c r="N289" s="103" t="str">
        <f t="shared" si="140"/>
        <v>►</v>
      </c>
      <c r="O289" s="1616"/>
      <c r="P289" s="9"/>
      <c r="Q289" s="103" t="str">
        <f t="shared" si="141"/>
        <v>►</v>
      </c>
      <c r="R289" s="163" t="str">
        <f>R215</f>
        <v>M MILLE-FEUILLE meringue et chiboust pamplemousse aux fraises des bois | collez la--FAMILLE| Auteur &gt; recette Béghin Say de Jean-Jacques Borne MOF 1994</v>
      </c>
      <c r="S289" s="163">
        <f>S215</f>
        <v>18</v>
      </c>
      <c r="T289" s="164" t="str">
        <f>T215</f>
        <v>desserts</v>
      </c>
      <c r="U289" s="165" t="str">
        <f>U215</f>
        <v>Recette mère ► MILLE-FEUILLE  aux fraises des bois</v>
      </c>
      <c r="V289" s="1548"/>
      <c r="W289" s="1548"/>
      <c r="X289" s="2190">
        <f>ROWS(AB258:AB289)</f>
        <v>32</v>
      </c>
      <c r="Y289" s="5549" t="str" cm="1">
        <f t="array" ref="Y289">IF(SUMPRODUCT((AB289:AG289&lt;&gt;"")*1)=0,"",SUMPRODUCT((AB289:AG289&lt;&gt;"")*(LEN(TRIM(SUBSTITUTE(AB289:AG289,CHAR(160)," "))) - LEN(SUBSTITUTE(TRIM(SUBSTITUTE(AB289:AG289,CHAR(160)," "))," ","")) + 1)) &amp; " mot" &amp; IF(SUMPRODUCT((AB289:AG289&lt;&gt;"")*(LEN(TRIM(SUBSTITUTE(AB289:AG289,CHAR(160)," "))) - LEN(SUBSTITUTE(TRIM(SUBSTITUTE(AB289:AG289,CHAR(160)," "))," ","")) + 1))&gt;1,"s",""))</f>
        <v/>
      </c>
      <c r="Z289" s="5550" t="str" cm="1">
        <f t="array" ref="Z289">SUMPRODUCT(--(AB289:AG289&lt;&gt;""), LEN(TRIM(SUBSTITUTE(AB289:AG289, CHAR(160), "")))) &amp; " Car."</f>
        <v>0 Car.</v>
      </c>
      <c r="AA289" s="1376" t="str">
        <f>IF(ISBLANK(AB289),"",LARGE(AA257:AA288,1)+1)</f>
        <v/>
      </c>
      <c r="AB289" s="1810"/>
      <c r="AC289" s="1810"/>
      <c r="AD289" s="1810"/>
      <c r="AE289" s="1810"/>
      <c r="AF289" s="1810"/>
      <c r="AG289" s="1810"/>
      <c r="AH289" s="1810"/>
      <c r="AI289" s="1810"/>
      <c r="AJ289" s="1811"/>
      <c r="AK289" s="6120" t="str">
        <f t="shared" si="155"/>
        <v>►</v>
      </c>
      <c r="AL289" s="781" t="str">
        <f t="shared" si="143"/>
        <v>►</v>
      </c>
      <c r="AM289" s="5499" t="str">
        <f t="shared" si="146"/>
        <v/>
      </c>
      <c r="AN289" s="783" t="str">
        <f t="shared" si="147"/>
        <v/>
      </c>
      <c r="AO289" s="782" t="str">
        <f t="shared" si="148"/>
        <v/>
      </c>
      <c r="AP289" s="783" t="str">
        <f t="shared" si="149"/>
        <v/>
      </c>
      <c r="AQ289" s="2083" t="b">
        <f>AND(Q289="A",COUNTIF(BP16:BR63,TRIM(Z289))&gt;0)</f>
        <v>0</v>
      </c>
      <c r="AR289" s="797" t="str">
        <f>IF(AL289&lt;&gt;"A","",IFERROR(IFERROR(_xlfn.XLOOKUP(TRIM(SUBSTITUTE(Z289,CHAR(160)," ")),BP16:BP63,BS16:BS63),IFERROR(_xlfn.XLOOKUP(TRIM(SUBSTITUTE(Z289,CHAR(160)," ")),BQ16:BQ63,BS16:BS63),_xlfn.XLOOKUP(TRIM(SUBSTITUTE(Z289,CHAR(160)," ")),BR16:BR63,BS16:BS63)))*Y289*IF(ISBLANK(V289),1,V289),0))</f>
        <v/>
      </c>
      <c r="AS289" s="784" t="str">
        <f t="shared" si="138"/>
        <v/>
      </c>
      <c r="AT289" s="1315" t="str">
        <f t="shared" si="150"/>
        <v/>
      </c>
      <c r="AU289" s="785">
        <f t="shared" si="151"/>
        <v>0</v>
      </c>
      <c r="AV289" s="785">
        <f t="shared" si="152"/>
        <v>0</v>
      </c>
      <c r="AW289" s="786">
        <f>IF(AK289="A",AY10,0)</f>
        <v>0</v>
      </c>
      <c r="AX289" s="5495" t="str">
        <f>IF(IFERROR(SEARCH("Adresse PC",TRIM(W289)),0)&gt;0,"▼ receta siguiente",IF(AK289="A",IF(AZ10&lt;&gt;"",AZ10&amp;" - ou.or.o ❾ + or - &gt;",""),""))</f>
        <v/>
      </c>
      <c r="AY289" s="810"/>
      <c r="AZ289" s="810"/>
      <c r="BA289" s="788" t="str">
        <f t="shared" si="142"/>
        <v/>
      </c>
      <c r="BB289" s="789" t="str">
        <f>IF(AK289="A",IF(AQ289,IF(AND(AW289&lt;&gt;"",N(AW289)&gt;0),IFERROR(IFERROR(_xlfn.XLOOKUP(AP289,BP10:BP57,BT10:BT57),IFERROR(_xlfn.XLOOKUP(AP289,BQ10:BQ57,BT10:BT57),_xlfn.XLOOKUP(AP289,BR10:BR57,BT10:BT57,""))),""),""),""),"")</f>
        <v/>
      </c>
      <c r="BC289" s="811" cm="1">
        <f t="array" ref="BC289">IF(NOT(AQ289),0,IF(OR(BA289="",N(BA289)&lt;=0.000000001),"",IF(OR(AU289="",N(AU289)&lt;=0.000000001),0,IF(ISNUMBER(BA289),IFERROR(_xlfn.LET(_xlpm.ai_test,TRIM(AP289),_xlpm.r,IFERROR(_xlfn.XLOOKUP(_xlpm.ai_test,BP16:BP63,ROW(BP16:BP63),0,1),IFERROR(_xlfn.XLOOKUP(_xlpm.ai_test,BQ16:BQ63,ROW(BQ16:BQ63),0,1),_xlfn.XLOOKUP(_xlpm.ai_test,BR16:BR63,ROW(BR16:BR63),0,1))),_xlpm.p,_xlpm.r-MIN(ROW(BP16:BP63))+1,_xlpm.f,INDEX(BS16:BS63,_xlpm.p),_xlpm.u,INDEX(BT16:BT63,_xlpm.p),_xlpm.s,INDEX(BV16:BV63,_xlpm.p),_xlpm.q,N(BA289)/_xlpm.f,IF(_xlpm.q&gt;=_xlpm.s,ROUND(_xlpm.q,1)&amp;" "&amp;_xlpm.ai_test&amp;" = "&amp;ROUND(_xlpm.q*_xlpm.f,1)&amp;" "&amp;_xlpm.u,ROUND(_xlpm.q,1)&amp;" "&amp;_xlpm.ai_test)),""),""))))</f>
        <v>0</v>
      </c>
      <c r="BD289" s="801"/>
      <c r="BE289" s="788" t="str">
        <f t="shared" si="153"/>
        <v/>
      </c>
      <c r="BF289" s="789" t="str">
        <f t="shared" si="156"/>
        <v/>
      </c>
      <c r="BG289" s="790">
        <f t="shared" si="157"/>
        <v>0</v>
      </c>
      <c r="BH289" s="791" t="str">
        <f t="shared" si="158"/>
        <v/>
      </c>
      <c r="BI289" s="792"/>
      <c r="BJ289" s="793">
        <f t="shared" si="159"/>
        <v>0</v>
      </c>
      <c r="BK289" s="794" t="str">
        <f t="shared" si="154"/>
        <v/>
      </c>
      <c r="BL289" s="227" t="s">
        <v>21</v>
      </c>
      <c r="BM289" s="773">
        <f t="shared" si="144"/>
        <v>0</v>
      </c>
      <c r="BN289" s="774">
        <f t="shared" si="145"/>
        <v>0</v>
      </c>
      <c r="BO289"/>
      <c r="BP289" s="627"/>
      <c r="BQ289" s="627"/>
      <c r="BR289" s="627"/>
      <c r="BS289" s="627"/>
      <c r="BT289" s="627"/>
      <c r="BU289" s="627"/>
      <c r="BV289" s="627"/>
      <c r="BW289" s="627"/>
      <c r="BX289"/>
      <c r="BY289"/>
      <c r="BZ289"/>
      <c r="CA289"/>
      <c r="CB289"/>
      <c r="CC289"/>
      <c r="CD289" s="781" t="str">
        <f t="shared" si="139"/>
        <v>►</v>
      </c>
      <c r="CE289"/>
      <c r="CF289"/>
      <c r="CG289"/>
      <c r="CH289"/>
      <c r="CI289"/>
      <c r="CK289"/>
      <c r="CL289"/>
      <c r="CM289"/>
      <c r="CN289"/>
      <c r="CO289"/>
      <c r="CP289"/>
      <c r="CQ289"/>
      <c r="CR289" s="227"/>
      <c r="CS289"/>
      <c r="CT289"/>
      <c r="CU289"/>
      <c r="CV289"/>
      <c r="CW289"/>
      <c r="CX289"/>
      <c r="CY289"/>
      <c r="CZ289" s="227"/>
      <c r="DA289"/>
      <c r="DB289"/>
      <c r="DC289"/>
      <c r="DD289"/>
      <c r="DE289"/>
      <c r="DF289"/>
      <c r="DG289"/>
      <c r="DH289" s="227"/>
      <c r="DI289" s="3">
        <v>1</v>
      </c>
      <c r="DJ289" s="627"/>
      <c r="DK289" s="627"/>
    </row>
    <row r="290" spans="1:115" s="633" customFormat="1" ht="21" customHeight="1">
      <c r="A290" s="701" t="s">
        <v>21</v>
      </c>
      <c r="B290" s="2265" t="str" cm="1">
        <f t="array" ref="B290">SUMPRODUCT(--(D290:J290&lt;&gt;""), LEN(TRIM(SUBSTITUTE(D290:J290, CHAR(160), "")))) &amp; " Car."</f>
        <v>0 Car.</v>
      </c>
      <c r="C290" s="1376" t="str">
        <f>IF(ISBLANK(D290),"",LARGE(C13:C289,1)+1)</f>
        <v/>
      </c>
      <c r="D290" s="1833"/>
      <c r="E290" s="1810"/>
      <c r="F290" s="1810"/>
      <c r="G290" s="1810"/>
      <c r="H290" s="1810"/>
      <c r="I290" s="1810"/>
      <c r="J290" s="1810"/>
      <c r="K290" s="1810"/>
      <c r="L290" s="1811"/>
      <c r="M290" s="9"/>
      <c r="N290" s="103" t="str">
        <f t="shared" si="140"/>
        <v>►</v>
      </c>
      <c r="O290" s="1616"/>
      <c r="P290" s="9"/>
      <c r="Q290" s="103" t="str">
        <f t="shared" si="141"/>
        <v>►</v>
      </c>
      <c r="R290" s="163" t="str">
        <f>R215</f>
        <v>M MILLE-FEUILLE meringue et chiboust pamplemousse aux fraises des bois | collez la--FAMILLE| Auteur &gt; recette Béghin Say de Jean-Jacques Borne MOF 1994</v>
      </c>
      <c r="S290" s="163">
        <f>S215</f>
        <v>18</v>
      </c>
      <c r="T290" s="164" t="str">
        <f>T215</f>
        <v>desserts</v>
      </c>
      <c r="U290" s="165" t="str">
        <f>U215</f>
        <v>Recette mère ► MILLE-FEUILLE  aux fraises des bois</v>
      </c>
      <c r="V290" s="1548"/>
      <c r="W290" s="1548"/>
      <c r="X290" s="2190">
        <f>ROWS(AB258:AB290)</f>
        <v>33</v>
      </c>
      <c r="Y290" s="5549" t="str" cm="1">
        <f t="array" ref="Y290">IF(SUMPRODUCT((AB290:AG290&lt;&gt;"")*1)=0,"",SUMPRODUCT((AB290:AG290&lt;&gt;"")*(LEN(TRIM(SUBSTITUTE(AB290:AG290,CHAR(160)," "))) - LEN(SUBSTITUTE(TRIM(SUBSTITUTE(AB290:AG290,CHAR(160)," "))," ","")) + 1)) &amp; " mot" &amp; IF(SUMPRODUCT((AB290:AG290&lt;&gt;"")*(LEN(TRIM(SUBSTITUTE(AB290:AG290,CHAR(160)," "))) - LEN(SUBSTITUTE(TRIM(SUBSTITUTE(AB290:AG290,CHAR(160)," "))," ","")) + 1))&gt;1,"s",""))</f>
        <v/>
      </c>
      <c r="Z290" s="5550" t="str" cm="1">
        <f t="array" ref="Z290">SUMPRODUCT(--(AB290:AG290&lt;&gt;""), LEN(TRIM(SUBSTITUTE(AB290:AG290, CHAR(160), "")))) &amp; " Car."</f>
        <v>0 Car.</v>
      </c>
      <c r="AA290" s="1376" t="str">
        <f>IF(ISBLANK(AB290),"",LARGE(AA257:AA289,1)+1)</f>
        <v/>
      </c>
      <c r="AB290" s="1810"/>
      <c r="AC290" s="1810"/>
      <c r="AD290" s="1810"/>
      <c r="AE290" s="1810"/>
      <c r="AF290" s="1810"/>
      <c r="AG290" s="1810"/>
      <c r="AH290" s="1810"/>
      <c r="AI290" s="1810"/>
      <c r="AJ290" s="1811"/>
      <c r="AK290" s="6120" t="str">
        <f t="shared" si="155"/>
        <v>►</v>
      </c>
      <c r="AL290" s="781" t="str">
        <f t="shared" si="143"/>
        <v>►</v>
      </c>
      <c r="AM290" s="5498" t="str">
        <f t="shared" si="146"/>
        <v/>
      </c>
      <c r="AN290" s="783" t="str">
        <f t="shared" si="147"/>
        <v/>
      </c>
      <c r="AO290" s="782" t="str">
        <f t="shared" si="148"/>
        <v/>
      </c>
      <c r="AP290" s="783" t="str">
        <f t="shared" si="149"/>
        <v/>
      </c>
      <c r="AQ290" s="2083" t="b">
        <f>AND(Q290="A",COUNTIF(BP16:BR63,TRIM(Z290))&gt;0)</f>
        <v>0</v>
      </c>
      <c r="AR290" s="797" t="str">
        <f>IF(AL290&lt;&gt;"A","",IFERROR(IFERROR(_xlfn.XLOOKUP(TRIM(SUBSTITUTE(Z290,CHAR(160)," ")),BP16:BP63,BS16:BS63),IFERROR(_xlfn.XLOOKUP(TRIM(SUBSTITUTE(Z290,CHAR(160)," ")),BQ16:BQ63,BS16:BS63),_xlfn.XLOOKUP(TRIM(SUBSTITUTE(Z290,CHAR(160)," ")),BR16:BR63,BS16:BS63)))*Y290*IF(ISBLANK(V290),1,V290),0))</f>
        <v/>
      </c>
      <c r="AS290" s="784" t="str">
        <f t="shared" si="138"/>
        <v/>
      </c>
      <c r="AT290" s="1315" t="str">
        <f t="shared" si="150"/>
        <v/>
      </c>
      <c r="AU290" s="785">
        <f t="shared" si="151"/>
        <v>0</v>
      </c>
      <c r="AV290" s="785">
        <f t="shared" si="152"/>
        <v>0</v>
      </c>
      <c r="AW290" s="798">
        <f>IF(AK290="A",AY10,0)</f>
        <v>0</v>
      </c>
      <c r="AX290" s="5496" t="str">
        <f>IF(IFERROR(SEARCH("Adresse PC",TRIM(W290)),0)&gt;0,"▼ receta siguiente",IF(AK290="A",IF(AZ10&lt;&gt;"",AZ10&amp;" - ou.or.o ❾ + or - &gt;",""),""))</f>
        <v/>
      </c>
      <c r="AY290" s="810"/>
      <c r="AZ290" s="810"/>
      <c r="BA290" s="799" t="str">
        <f t="shared" si="142"/>
        <v/>
      </c>
      <c r="BB290" s="800" t="str">
        <f>IF(AK290="A",IF(AQ290,IF(AND(AW290&lt;&gt;"",N(AW290)&gt;0),IFERROR(IFERROR(_xlfn.XLOOKUP(AP290,BP10:BP57,BT10:BT57),IFERROR(_xlfn.XLOOKUP(AP290,BQ10:BQ57,BT10:BT57),_xlfn.XLOOKUP(AP290,BR10:BR57,BT10:BT57,""))),""),""),""),"")</f>
        <v/>
      </c>
      <c r="BC290" s="813" cm="1">
        <f t="array" ref="BC290">IF(NOT(AQ290),0,IF(OR(BA290="",N(BA290)&lt;=0.000000001),"",IF(OR(AU290="",N(AU290)&lt;=0.000000001),0,IF(ISNUMBER(BA290),IFERROR(_xlfn.LET(_xlpm.ai_test,TRIM(AP290),_xlpm.r,IFERROR(_xlfn.XLOOKUP(_xlpm.ai_test,BP16:BP63,ROW(BP16:BP63),0,1),IFERROR(_xlfn.XLOOKUP(_xlpm.ai_test,BQ16:BQ63,ROW(BQ16:BQ63),0,1),_xlfn.XLOOKUP(_xlpm.ai_test,BR16:BR63,ROW(BR16:BR63),0,1))),_xlpm.p,_xlpm.r-MIN(ROW(BP16:BP63))+1,_xlpm.f,INDEX(BS16:BS63,_xlpm.p),_xlpm.u,INDEX(BT16:BT63,_xlpm.p),_xlpm.s,INDEX(BV16:BV63,_xlpm.p),_xlpm.q,N(BA290)/_xlpm.f,IF(_xlpm.q&gt;=_xlpm.s,ROUND(_xlpm.q,1)&amp;" "&amp;_xlpm.ai_test&amp;" = "&amp;ROUND(_xlpm.q*_xlpm.f,1)&amp;" "&amp;_xlpm.u,ROUND(_xlpm.q,1)&amp;" "&amp;_xlpm.ai_test)),""),""))))</f>
        <v>0</v>
      </c>
      <c r="BD290" s="801"/>
      <c r="BE290" s="799" t="str">
        <f t="shared" si="153"/>
        <v/>
      </c>
      <c r="BF290" s="800" t="str">
        <f t="shared" si="156"/>
        <v/>
      </c>
      <c r="BG290" s="802">
        <f t="shared" si="157"/>
        <v>0</v>
      </c>
      <c r="BH290" s="803" t="str">
        <f t="shared" si="158"/>
        <v/>
      </c>
      <c r="BI290" s="792"/>
      <c r="BJ290" s="804">
        <f t="shared" si="159"/>
        <v>0</v>
      </c>
      <c r="BK290" s="794" t="str">
        <f t="shared" si="154"/>
        <v/>
      </c>
      <c r="BL290" s="227" t="s">
        <v>21</v>
      </c>
      <c r="BM290" s="773">
        <f t="shared" si="144"/>
        <v>0</v>
      </c>
      <c r="BN290" s="774">
        <f t="shared" si="145"/>
        <v>0</v>
      </c>
      <c r="BO290"/>
      <c r="BP290" s="627"/>
      <c r="BQ290" s="627"/>
      <c r="BR290" s="627"/>
      <c r="BS290" s="627"/>
      <c r="BT290" s="627"/>
      <c r="BU290" s="627"/>
      <c r="BV290" s="627"/>
      <c r="BW290" s="627"/>
      <c r="BX290"/>
      <c r="BY290"/>
      <c r="BZ290"/>
      <c r="CA290"/>
      <c r="CB290"/>
      <c r="CC290"/>
      <c r="CD290" s="781" t="str">
        <f t="shared" si="139"/>
        <v>►</v>
      </c>
      <c r="CE290"/>
      <c r="CF290"/>
      <c r="CG290"/>
      <c r="CH290"/>
      <c r="CI290"/>
      <c r="CK290"/>
      <c r="CL290"/>
      <c r="CM290"/>
      <c r="CN290"/>
      <c r="CO290"/>
      <c r="CP290"/>
      <c r="CQ290"/>
      <c r="CR290" s="227"/>
      <c r="CS290"/>
      <c r="CT290"/>
      <c r="CU290"/>
      <c r="CV290"/>
      <c r="CW290"/>
      <c r="CX290"/>
      <c r="CY290"/>
      <c r="CZ290" s="227"/>
      <c r="DA290"/>
      <c r="DB290"/>
      <c r="DC290"/>
      <c r="DD290"/>
      <c r="DE290"/>
      <c r="DF290"/>
      <c r="DG290"/>
      <c r="DH290" s="227"/>
      <c r="DI290" s="3">
        <v>1</v>
      </c>
      <c r="DJ290" s="627"/>
      <c r="DK290" s="627"/>
    </row>
    <row r="291" spans="1:115" s="633" customFormat="1" ht="21" customHeight="1">
      <c r="A291" s="701" t="s">
        <v>21</v>
      </c>
      <c r="B291" s="2265" t="str" cm="1">
        <f t="array" ref="B291">SUMPRODUCT(--(D291:J291&lt;&gt;""), LEN(TRIM(SUBSTITUTE(D291:J291, CHAR(160), "")))) &amp; " Car."</f>
        <v>0 Car.</v>
      </c>
      <c r="C291" s="1376" t="str">
        <f>IF(ISBLANK(D291),"",LARGE(C13:C290,1)+1)</f>
        <v/>
      </c>
      <c r="D291" s="1833"/>
      <c r="E291" s="1810"/>
      <c r="F291" s="1810"/>
      <c r="G291" s="1810"/>
      <c r="H291" s="1810"/>
      <c r="I291" s="1810"/>
      <c r="J291" s="1810"/>
      <c r="K291" s="1810"/>
      <c r="L291" s="1811"/>
      <c r="M291" s="9"/>
      <c r="N291" s="103" t="str">
        <f t="shared" si="140"/>
        <v>►</v>
      </c>
      <c r="O291" s="1616"/>
      <c r="P291" s="9"/>
      <c r="Q291" s="103" t="str">
        <f t="shared" si="141"/>
        <v>►</v>
      </c>
      <c r="R291" s="163" t="str">
        <f>R215</f>
        <v>M MILLE-FEUILLE meringue et chiboust pamplemousse aux fraises des bois | collez la--FAMILLE| Auteur &gt; recette Béghin Say de Jean-Jacques Borne MOF 1994</v>
      </c>
      <c r="S291" s="163">
        <f>S215</f>
        <v>18</v>
      </c>
      <c r="T291" s="164" t="str">
        <f>T215</f>
        <v>desserts</v>
      </c>
      <c r="U291" s="165" t="str">
        <f>U215</f>
        <v>Recette mère ► MILLE-FEUILLE  aux fraises des bois</v>
      </c>
      <c r="V291" s="1548"/>
      <c r="W291" s="1548"/>
      <c r="X291" s="2190">
        <f>ROWS(AB258:AB291)</f>
        <v>34</v>
      </c>
      <c r="Y291" s="5549" t="str" cm="1">
        <f t="array" ref="Y291">IF(SUMPRODUCT((AB291:AG291&lt;&gt;"")*1)=0,"",SUMPRODUCT((AB291:AG291&lt;&gt;"")*(LEN(TRIM(SUBSTITUTE(AB291:AG291,CHAR(160)," "))) - LEN(SUBSTITUTE(TRIM(SUBSTITUTE(AB291:AG291,CHAR(160)," "))," ","")) + 1)) &amp; " mot" &amp; IF(SUMPRODUCT((AB291:AG291&lt;&gt;"")*(LEN(TRIM(SUBSTITUTE(AB291:AG291,CHAR(160)," "))) - LEN(SUBSTITUTE(TRIM(SUBSTITUTE(AB291:AG291,CHAR(160)," "))," ","")) + 1))&gt;1,"s",""))</f>
        <v/>
      </c>
      <c r="Z291" s="5550" t="str" cm="1">
        <f t="array" ref="Z291">SUMPRODUCT(--(AB291:AG291&lt;&gt;""), LEN(TRIM(SUBSTITUTE(AB291:AG291, CHAR(160), "")))) &amp; " Car."</f>
        <v>0 Car.</v>
      </c>
      <c r="AA291" s="1376" t="str">
        <f>IF(ISBLANK(AB291),"",LARGE(AA257:AA290,1)+1)</f>
        <v/>
      </c>
      <c r="AB291" s="1810"/>
      <c r="AC291" s="1810"/>
      <c r="AD291" s="1810"/>
      <c r="AE291" s="1810"/>
      <c r="AF291" s="1810"/>
      <c r="AG291" s="1810"/>
      <c r="AH291" s="1810"/>
      <c r="AI291" s="1810"/>
      <c r="AJ291" s="1811"/>
      <c r="AK291" s="6120" t="str">
        <f t="shared" si="155"/>
        <v>►</v>
      </c>
      <c r="AL291" s="781" t="str">
        <f t="shared" si="143"/>
        <v>►</v>
      </c>
      <c r="AM291" s="5499" t="str">
        <f t="shared" si="146"/>
        <v/>
      </c>
      <c r="AN291" s="783" t="str">
        <f t="shared" si="147"/>
        <v/>
      </c>
      <c r="AO291" s="782" t="str">
        <f t="shared" si="148"/>
        <v/>
      </c>
      <c r="AP291" s="783" t="str">
        <f t="shared" si="149"/>
        <v/>
      </c>
      <c r="AQ291" s="2083" t="b">
        <f>AND(Q291="A",COUNTIF(BP16:BR63,TRIM(Z291))&gt;0)</f>
        <v>0</v>
      </c>
      <c r="AR291" s="797" t="str">
        <f>IF(AL291&lt;&gt;"A","",IFERROR(IFERROR(_xlfn.XLOOKUP(TRIM(SUBSTITUTE(Z291,CHAR(160)," ")),BP16:BP63,BS16:BS63),IFERROR(_xlfn.XLOOKUP(TRIM(SUBSTITUTE(Z291,CHAR(160)," ")),BQ16:BQ63,BS16:BS63),_xlfn.XLOOKUP(TRIM(SUBSTITUTE(Z291,CHAR(160)," ")),BR16:BR63,BS16:BS63)))*Y291*IF(ISBLANK(V291),1,V291),0))</f>
        <v/>
      </c>
      <c r="AS291" s="784" t="str">
        <f t="shared" si="138"/>
        <v/>
      </c>
      <c r="AT291" s="1315" t="str">
        <f t="shared" si="150"/>
        <v/>
      </c>
      <c r="AU291" s="785">
        <f t="shared" si="151"/>
        <v>0</v>
      </c>
      <c r="AV291" s="785">
        <f t="shared" si="152"/>
        <v>0</v>
      </c>
      <c r="AW291" s="786">
        <f>IF(AK291="A",AY10,0)</f>
        <v>0</v>
      </c>
      <c r="AX291" s="5495" t="str">
        <f>IF(IFERROR(SEARCH("Adresse PC",TRIM(W291)),0)&gt;0,"▼ receta siguiente",IF(AK291="A",IF(AZ10&lt;&gt;"",AZ10&amp;" - ou.or.o ❾ + or - &gt;",""),""))</f>
        <v/>
      </c>
      <c r="AY291" s="810"/>
      <c r="AZ291" s="810"/>
      <c r="BA291" s="788" t="str">
        <f t="shared" si="142"/>
        <v/>
      </c>
      <c r="BB291" s="789" t="str">
        <f>IF(AK291="A",IF(AQ291,IF(AND(AW291&lt;&gt;"",N(AW291)&gt;0),IFERROR(IFERROR(_xlfn.XLOOKUP(AP291,BP10:BP57,BT10:BT57),IFERROR(_xlfn.XLOOKUP(AP291,BQ10:BQ57,BT10:BT57),_xlfn.XLOOKUP(AP291,BR10:BR57,BT10:BT57,""))),""),""),""),"")</f>
        <v/>
      </c>
      <c r="BC291" s="811" cm="1">
        <f t="array" ref="BC291">IF(NOT(AQ291),0,IF(OR(BA291="",N(BA291)&lt;=0.000000001),"",IF(OR(AU291="",N(AU291)&lt;=0.000000001),0,IF(ISNUMBER(BA291),IFERROR(_xlfn.LET(_xlpm.ai_test,TRIM(AP291),_xlpm.r,IFERROR(_xlfn.XLOOKUP(_xlpm.ai_test,BP16:BP63,ROW(BP16:BP63),0,1),IFERROR(_xlfn.XLOOKUP(_xlpm.ai_test,BQ16:BQ63,ROW(BQ16:BQ63),0,1),_xlfn.XLOOKUP(_xlpm.ai_test,BR16:BR63,ROW(BR16:BR63),0,1))),_xlpm.p,_xlpm.r-MIN(ROW(BP16:BP63))+1,_xlpm.f,INDEX(BS16:BS63,_xlpm.p),_xlpm.u,INDEX(BT16:BT63,_xlpm.p),_xlpm.s,INDEX(BV16:BV63,_xlpm.p),_xlpm.q,N(BA291)/_xlpm.f,IF(_xlpm.q&gt;=_xlpm.s,ROUND(_xlpm.q,1)&amp;" "&amp;_xlpm.ai_test&amp;" = "&amp;ROUND(_xlpm.q*_xlpm.f,1)&amp;" "&amp;_xlpm.u,ROUND(_xlpm.q,1)&amp;" "&amp;_xlpm.ai_test)),""),""))))</f>
        <v>0</v>
      </c>
      <c r="BD291" s="801"/>
      <c r="BE291" s="788" t="str">
        <f t="shared" si="153"/>
        <v/>
      </c>
      <c r="BF291" s="789" t="str">
        <f t="shared" si="156"/>
        <v/>
      </c>
      <c r="BG291" s="790">
        <f t="shared" si="157"/>
        <v>0</v>
      </c>
      <c r="BH291" s="791" t="str">
        <f t="shared" si="158"/>
        <v/>
      </c>
      <c r="BI291" s="792"/>
      <c r="BJ291" s="793">
        <f t="shared" si="159"/>
        <v>0</v>
      </c>
      <c r="BK291" s="794" t="str">
        <f t="shared" si="154"/>
        <v/>
      </c>
      <c r="BL291" s="227" t="s">
        <v>21</v>
      </c>
      <c r="BM291" s="773">
        <f t="shared" si="144"/>
        <v>0</v>
      </c>
      <c r="BN291" s="774">
        <f t="shared" si="145"/>
        <v>0</v>
      </c>
      <c r="BO291"/>
      <c r="BP291" s="627"/>
      <c r="BQ291" s="627"/>
      <c r="BR291" s="627"/>
      <c r="BS291" s="627"/>
      <c r="BT291" s="627"/>
      <c r="BU291" s="627"/>
      <c r="BV291" s="627"/>
      <c r="BW291" s="627"/>
      <c r="BX291"/>
      <c r="BY291"/>
      <c r="BZ291"/>
      <c r="CA291"/>
      <c r="CB291"/>
      <c r="CC291"/>
      <c r="CD291" s="781" t="str">
        <f t="shared" si="139"/>
        <v>►</v>
      </c>
      <c r="CE291"/>
      <c r="CF291"/>
      <c r="CG291"/>
      <c r="CH291"/>
      <c r="CI291"/>
      <c r="CK291"/>
      <c r="CL291"/>
      <c r="CM291"/>
      <c r="CN291"/>
      <c r="CO291"/>
      <c r="CP291"/>
      <c r="CQ291"/>
      <c r="CR291" s="227"/>
      <c r="CS291"/>
      <c r="CT291"/>
      <c r="CU291"/>
      <c r="CV291"/>
      <c r="CW291"/>
      <c r="CX291"/>
      <c r="CY291"/>
      <c r="CZ291" s="227"/>
      <c r="DA291"/>
      <c r="DB291"/>
      <c r="DC291"/>
      <c r="DD291"/>
      <c r="DE291"/>
      <c r="DF291"/>
      <c r="DG291"/>
      <c r="DH291" s="227"/>
      <c r="DI291" s="3">
        <v>1</v>
      </c>
      <c r="DJ291" s="627"/>
      <c r="DK291" s="627"/>
    </row>
    <row r="292" spans="1:115" s="633" customFormat="1" ht="21" customHeight="1">
      <c r="A292" s="701" t="s">
        <v>21</v>
      </c>
      <c r="B292" s="2265" t="str" cm="1">
        <f t="array" ref="B292">SUMPRODUCT(--(D292:J292&lt;&gt;""), LEN(TRIM(SUBSTITUTE(D292:J292, CHAR(160), "")))) &amp; " Car."</f>
        <v>0 Car.</v>
      </c>
      <c r="C292" s="1376" t="str">
        <f>IF(ISBLANK(D292),"",LARGE(C13:C291,1)+1)</f>
        <v/>
      </c>
      <c r="D292" s="1833"/>
      <c r="E292" s="1810"/>
      <c r="F292" s="1810"/>
      <c r="G292" s="1810"/>
      <c r="H292" s="1810"/>
      <c r="I292" s="1810"/>
      <c r="J292" s="1810"/>
      <c r="K292" s="1810"/>
      <c r="L292" s="1811"/>
      <c r="M292" s="9"/>
      <c r="N292" s="103" t="str">
        <f t="shared" si="140"/>
        <v>►</v>
      </c>
      <c r="O292" s="1616"/>
      <c r="P292" s="9"/>
      <c r="Q292" s="103" t="str">
        <f t="shared" si="141"/>
        <v>►</v>
      </c>
      <c r="R292" s="163" t="str">
        <f>R215</f>
        <v>M MILLE-FEUILLE meringue et chiboust pamplemousse aux fraises des bois | collez la--FAMILLE| Auteur &gt; recette Béghin Say de Jean-Jacques Borne MOF 1994</v>
      </c>
      <c r="S292" s="163">
        <f>S215</f>
        <v>18</v>
      </c>
      <c r="T292" s="164" t="str">
        <f>T215</f>
        <v>desserts</v>
      </c>
      <c r="U292" s="165" t="str">
        <f>U215</f>
        <v>Recette mère ► MILLE-FEUILLE  aux fraises des bois</v>
      </c>
      <c r="V292" s="1548"/>
      <c r="W292" s="1548"/>
      <c r="X292" s="2190">
        <f>ROWS(AB258:AB292)</f>
        <v>35</v>
      </c>
      <c r="Y292" s="5549" t="str" cm="1">
        <f t="array" ref="Y292">IF(SUMPRODUCT((AB292:AG292&lt;&gt;"")*1)=0,"",SUMPRODUCT((AB292:AG292&lt;&gt;"")*(LEN(TRIM(SUBSTITUTE(AB292:AG292,CHAR(160)," "))) - LEN(SUBSTITUTE(TRIM(SUBSTITUTE(AB292:AG292,CHAR(160)," "))," ","")) + 1)) &amp; " mot" &amp; IF(SUMPRODUCT((AB292:AG292&lt;&gt;"")*(LEN(TRIM(SUBSTITUTE(AB292:AG292,CHAR(160)," "))) - LEN(SUBSTITUTE(TRIM(SUBSTITUTE(AB292:AG292,CHAR(160)," "))," ","")) + 1))&gt;1,"s",""))</f>
        <v/>
      </c>
      <c r="Z292" s="5550" t="str" cm="1">
        <f t="array" ref="Z292">SUMPRODUCT(--(AB292:AG292&lt;&gt;""), LEN(TRIM(SUBSTITUTE(AB292:AG292, CHAR(160), "")))) &amp; " Car."</f>
        <v>0 Car.</v>
      </c>
      <c r="AA292" s="1376" t="str">
        <f>IF(ISBLANK(AB292),"",LARGE(AA257:AA291,1)+1)</f>
        <v/>
      </c>
      <c r="AB292" s="1810"/>
      <c r="AC292" s="1810"/>
      <c r="AD292" s="1810"/>
      <c r="AE292" s="1810"/>
      <c r="AF292" s="1810"/>
      <c r="AG292" s="1810"/>
      <c r="AH292" s="1810"/>
      <c r="AI292" s="1810"/>
      <c r="AJ292" s="1811"/>
      <c r="AK292" s="6120" t="str">
        <f t="shared" si="155"/>
        <v>►</v>
      </c>
      <c r="AL292" s="781" t="str">
        <f t="shared" si="143"/>
        <v>►</v>
      </c>
      <c r="AM292" s="5498" t="str">
        <f t="shared" si="146"/>
        <v/>
      </c>
      <c r="AN292" s="783" t="str">
        <f t="shared" si="147"/>
        <v/>
      </c>
      <c r="AO292" s="782" t="str">
        <f t="shared" si="148"/>
        <v/>
      </c>
      <c r="AP292" s="783" t="str">
        <f t="shared" si="149"/>
        <v/>
      </c>
      <c r="AQ292" s="2083" t="b">
        <f>AND(Q292="A",COUNTIF(BP16:BR63,TRIM(Z292))&gt;0)</f>
        <v>0</v>
      </c>
      <c r="AR292" s="797" t="str">
        <f>IF(AL292&lt;&gt;"A","",IFERROR(IFERROR(_xlfn.XLOOKUP(TRIM(SUBSTITUTE(Z292,CHAR(160)," ")),BP16:BP63,BS16:BS63),IFERROR(_xlfn.XLOOKUP(TRIM(SUBSTITUTE(Z292,CHAR(160)," ")),BQ16:BQ63,BS16:BS63),_xlfn.XLOOKUP(TRIM(SUBSTITUTE(Z292,CHAR(160)," ")),BR16:BR63,BS16:BS63)))*Y292*IF(ISBLANK(V292),1,V292),0))</f>
        <v/>
      </c>
      <c r="AS292" s="784" t="str">
        <f t="shared" si="138"/>
        <v/>
      </c>
      <c r="AT292" s="1315" t="str">
        <f t="shared" si="150"/>
        <v/>
      </c>
      <c r="AU292" s="785">
        <f t="shared" si="151"/>
        <v>0</v>
      </c>
      <c r="AV292" s="785">
        <f t="shared" si="152"/>
        <v>0</v>
      </c>
      <c r="AW292" s="798">
        <f>IF(AK292="A",AY10,0)</f>
        <v>0</v>
      </c>
      <c r="AX292" s="5496" t="str">
        <f>IF(IFERROR(SEARCH("Adresse PC",TRIM(W292)),0)&gt;0,"▼ receta siguiente",IF(AK292="A",IF(AZ10&lt;&gt;"",AZ10&amp;" - ou.or.o ❾ + or - &gt;",""),""))</f>
        <v/>
      </c>
      <c r="AY292" s="810"/>
      <c r="AZ292" s="810"/>
      <c r="BA292" s="799" t="str">
        <f t="shared" si="142"/>
        <v/>
      </c>
      <c r="BB292" s="800" t="str">
        <f>IF(AK292="A",IF(AQ292,IF(AND(AW292&lt;&gt;"",N(AW292)&gt;0),IFERROR(IFERROR(_xlfn.XLOOKUP(AP292,BP10:BP57,BT10:BT57),IFERROR(_xlfn.XLOOKUP(AP292,BQ10:BQ57,BT10:BT57),_xlfn.XLOOKUP(AP292,BR10:BR57,BT10:BT57,""))),""),""),""),"")</f>
        <v/>
      </c>
      <c r="BC292" s="813" cm="1">
        <f t="array" ref="BC292">IF(NOT(AQ292),0,IF(OR(BA292="",N(BA292)&lt;=0.000000001),"",IF(OR(AU292="",N(AU292)&lt;=0.000000001),0,IF(ISNUMBER(BA292),IFERROR(_xlfn.LET(_xlpm.ai_test,TRIM(AP292),_xlpm.r,IFERROR(_xlfn.XLOOKUP(_xlpm.ai_test,BP16:BP63,ROW(BP16:BP63),0,1),IFERROR(_xlfn.XLOOKUP(_xlpm.ai_test,BQ16:BQ63,ROW(BQ16:BQ63),0,1),_xlfn.XLOOKUP(_xlpm.ai_test,BR16:BR63,ROW(BR16:BR63),0,1))),_xlpm.p,_xlpm.r-MIN(ROW(BP16:BP63))+1,_xlpm.f,INDEX(BS16:BS63,_xlpm.p),_xlpm.u,INDEX(BT16:BT63,_xlpm.p),_xlpm.s,INDEX(BV16:BV63,_xlpm.p),_xlpm.q,N(BA292)/_xlpm.f,IF(_xlpm.q&gt;=_xlpm.s,ROUND(_xlpm.q,1)&amp;" "&amp;_xlpm.ai_test&amp;" = "&amp;ROUND(_xlpm.q*_xlpm.f,1)&amp;" "&amp;_xlpm.u,ROUND(_xlpm.q,1)&amp;" "&amp;_xlpm.ai_test)),""),""))))</f>
        <v>0</v>
      </c>
      <c r="BD292" s="801"/>
      <c r="BE292" s="799" t="str">
        <f t="shared" si="153"/>
        <v/>
      </c>
      <c r="BF292" s="800" t="str">
        <f t="shared" si="156"/>
        <v/>
      </c>
      <c r="BG292" s="802">
        <f t="shared" si="157"/>
        <v>0</v>
      </c>
      <c r="BH292" s="803" t="str">
        <f t="shared" si="158"/>
        <v/>
      </c>
      <c r="BI292" s="792"/>
      <c r="BJ292" s="804">
        <f t="shared" si="159"/>
        <v>0</v>
      </c>
      <c r="BK292" s="794" t="str">
        <f t="shared" si="154"/>
        <v/>
      </c>
      <c r="BL292" s="227" t="s">
        <v>21</v>
      </c>
      <c r="BM292" s="773">
        <f t="shared" si="144"/>
        <v>0</v>
      </c>
      <c r="BN292" s="774">
        <f t="shared" si="145"/>
        <v>0</v>
      </c>
      <c r="BO292"/>
      <c r="BP292" s="627"/>
      <c r="BQ292" s="627"/>
      <c r="BR292" s="627"/>
      <c r="BS292" s="627"/>
      <c r="BT292" s="627"/>
      <c r="BU292" s="627"/>
      <c r="BV292" s="627"/>
      <c r="BW292" s="627"/>
      <c r="BX292"/>
      <c r="BY292"/>
      <c r="BZ292"/>
      <c r="CA292"/>
      <c r="CB292"/>
      <c r="CC292"/>
      <c r="CD292" s="781" t="str">
        <f t="shared" si="139"/>
        <v>►</v>
      </c>
      <c r="CE292"/>
      <c r="CF292"/>
      <c r="CG292"/>
      <c r="CH292"/>
      <c r="CI292"/>
      <c r="CK292"/>
      <c r="CL292"/>
      <c r="CM292"/>
      <c r="CN292"/>
      <c r="CO292"/>
      <c r="CP292"/>
      <c r="CQ292"/>
      <c r="CS292"/>
      <c r="CT292"/>
      <c r="CU292"/>
      <c r="CV292"/>
      <c r="CW292"/>
      <c r="CX292"/>
      <c r="CY292"/>
      <c r="DA292"/>
      <c r="DB292"/>
      <c r="DC292"/>
      <c r="DD292"/>
      <c r="DE292"/>
      <c r="DF292"/>
      <c r="DG292"/>
      <c r="DI292" s="3">
        <v>1</v>
      </c>
      <c r="DJ292" s="627"/>
      <c r="DK292" s="627"/>
    </row>
    <row r="293" spans="1:115" s="633" customFormat="1" ht="21" customHeight="1">
      <c r="A293" s="701" t="s">
        <v>21</v>
      </c>
      <c r="B293" s="2265" t="str" cm="1">
        <f t="array" ref="B293">SUMPRODUCT(--(D293:J293&lt;&gt;""), LEN(TRIM(SUBSTITUTE(D293:J293, CHAR(160), "")))) &amp; " Car."</f>
        <v>0 Car.</v>
      </c>
      <c r="C293" s="1376" t="str">
        <f>IF(ISBLANK(D293),"",LARGE(C13:C292,1)+1)</f>
        <v/>
      </c>
      <c r="D293" s="1833"/>
      <c r="E293" s="1810"/>
      <c r="F293" s="1810"/>
      <c r="G293" s="1810"/>
      <c r="H293" s="1810"/>
      <c r="I293" s="1810"/>
      <c r="J293" s="1810"/>
      <c r="K293" s="1810"/>
      <c r="L293" s="1811"/>
      <c r="M293" s="9"/>
      <c r="N293" s="103" t="str">
        <f t="shared" si="140"/>
        <v>►</v>
      </c>
      <c r="O293" s="1616"/>
      <c r="P293" s="9"/>
      <c r="Q293" s="103" t="str">
        <f t="shared" si="141"/>
        <v>►</v>
      </c>
      <c r="R293" s="163" t="str">
        <f>R215</f>
        <v>M MILLE-FEUILLE meringue et chiboust pamplemousse aux fraises des bois | collez la--FAMILLE| Auteur &gt; recette Béghin Say de Jean-Jacques Borne MOF 1994</v>
      </c>
      <c r="S293" s="163">
        <f>S215</f>
        <v>18</v>
      </c>
      <c r="T293" s="164" t="str">
        <f>T215</f>
        <v>desserts</v>
      </c>
      <c r="U293" s="165" t="str">
        <f>U215</f>
        <v>Recette mère ► MILLE-FEUILLE  aux fraises des bois</v>
      </c>
      <c r="V293" s="1548"/>
      <c r="W293" s="1548"/>
      <c r="X293" s="2190">
        <f>ROWS(AB258:AB293)</f>
        <v>36</v>
      </c>
      <c r="Y293" s="5549" t="str" cm="1">
        <f t="array" ref="Y293">IF(SUMPRODUCT((AB293:AG293&lt;&gt;"")*1)=0,"",SUMPRODUCT((AB293:AG293&lt;&gt;"")*(LEN(TRIM(SUBSTITUTE(AB293:AG293,CHAR(160)," "))) - LEN(SUBSTITUTE(TRIM(SUBSTITUTE(AB293:AG293,CHAR(160)," "))," ","")) + 1)) &amp; " mot" &amp; IF(SUMPRODUCT((AB293:AG293&lt;&gt;"")*(LEN(TRIM(SUBSTITUTE(AB293:AG293,CHAR(160)," "))) - LEN(SUBSTITUTE(TRIM(SUBSTITUTE(AB293:AG293,CHAR(160)," "))," ","")) + 1))&gt;1,"s",""))</f>
        <v/>
      </c>
      <c r="Z293" s="5550" t="str" cm="1">
        <f t="array" ref="Z293">SUMPRODUCT(--(AB293:AG293&lt;&gt;""), LEN(TRIM(SUBSTITUTE(AB293:AG293, CHAR(160), "")))) &amp; " Car."</f>
        <v>0 Car.</v>
      </c>
      <c r="AA293" s="1376" t="str">
        <f>IF(ISBLANK(AB293),"",LARGE(AA257:AA292,1)+1)</f>
        <v/>
      </c>
      <c r="AB293" s="1810"/>
      <c r="AC293" s="1810"/>
      <c r="AD293" s="1810"/>
      <c r="AE293" s="1810"/>
      <c r="AF293" s="1810"/>
      <c r="AG293" s="1810"/>
      <c r="AH293" s="1810"/>
      <c r="AI293" s="1810"/>
      <c r="AJ293" s="1811"/>
      <c r="AK293" s="6120" t="str">
        <f t="shared" si="155"/>
        <v>►</v>
      </c>
      <c r="AL293" s="781" t="str">
        <f t="shared" si="143"/>
        <v>►</v>
      </c>
      <c r="AM293" s="5499" t="str">
        <f t="shared" si="146"/>
        <v/>
      </c>
      <c r="AN293" s="783" t="str">
        <f t="shared" si="147"/>
        <v/>
      </c>
      <c r="AO293" s="782" t="str">
        <f t="shared" si="148"/>
        <v/>
      </c>
      <c r="AP293" s="783" t="str">
        <f t="shared" si="149"/>
        <v/>
      </c>
      <c r="AQ293" s="2083" t="b">
        <f>AND(Q293="A",COUNTIF(BP16:BR63,TRIM(Z293))&gt;0)</f>
        <v>0</v>
      </c>
      <c r="AR293" s="797" t="str">
        <f>IF(AL293&lt;&gt;"A","",IFERROR(IFERROR(_xlfn.XLOOKUP(TRIM(SUBSTITUTE(Z293,CHAR(160)," ")),BP16:BP63,BS16:BS63),IFERROR(_xlfn.XLOOKUP(TRIM(SUBSTITUTE(Z293,CHAR(160)," ")),BQ16:BQ63,BS16:BS63),_xlfn.XLOOKUP(TRIM(SUBSTITUTE(Z293,CHAR(160)," ")),BR16:BR63,BS16:BS63)))*Y293*IF(ISBLANK(V293),1,V293),0))</f>
        <v/>
      </c>
      <c r="AS293" s="784" t="str">
        <f t="shared" si="138"/>
        <v/>
      </c>
      <c r="AT293" s="1315" t="str">
        <f t="shared" si="150"/>
        <v/>
      </c>
      <c r="AU293" s="785">
        <f t="shared" si="151"/>
        <v>0</v>
      </c>
      <c r="AV293" s="785">
        <f t="shared" si="152"/>
        <v>0</v>
      </c>
      <c r="AW293" s="786">
        <f>IF(AK293="A",AY10,0)</f>
        <v>0</v>
      </c>
      <c r="AX293" s="5495" t="str">
        <f>IF(IFERROR(SEARCH("Adresse PC",TRIM(W293)),0)&gt;0,"▼ receta siguiente",IF(AK293="A",IF(AZ10&lt;&gt;"",AZ10&amp;" - ou.or.o ❾ + or - &gt;",""),""))</f>
        <v/>
      </c>
      <c r="AY293" s="810"/>
      <c r="AZ293" s="810"/>
      <c r="BA293" s="788" t="str">
        <f t="shared" si="142"/>
        <v/>
      </c>
      <c r="BB293" s="789" t="str">
        <f>IF(AK293="A",IF(AQ293,IF(AND(AW293&lt;&gt;"",N(AW293)&gt;0),IFERROR(IFERROR(_xlfn.XLOOKUP(AP293,BP10:BP57,BT10:BT57),IFERROR(_xlfn.XLOOKUP(AP293,BQ10:BQ57,BT10:BT57),_xlfn.XLOOKUP(AP293,BR10:BR57,BT10:BT57,""))),""),""),""),"")</f>
        <v/>
      </c>
      <c r="BC293" s="811" cm="1">
        <f t="array" ref="BC293">IF(NOT(AQ293),0,IF(OR(BA293="",N(BA293)&lt;=0.000000001),"",IF(OR(AU293="",N(AU293)&lt;=0.000000001),0,IF(ISNUMBER(BA293),IFERROR(_xlfn.LET(_xlpm.ai_test,TRIM(AP293),_xlpm.r,IFERROR(_xlfn.XLOOKUP(_xlpm.ai_test,BP16:BP63,ROW(BP16:BP63),0,1),IFERROR(_xlfn.XLOOKUP(_xlpm.ai_test,BQ16:BQ63,ROW(BQ16:BQ63),0,1),_xlfn.XLOOKUP(_xlpm.ai_test,BR16:BR63,ROW(BR16:BR63),0,1))),_xlpm.p,_xlpm.r-MIN(ROW(BP16:BP63))+1,_xlpm.f,INDEX(BS16:BS63,_xlpm.p),_xlpm.u,INDEX(BT16:BT63,_xlpm.p),_xlpm.s,INDEX(BV16:BV63,_xlpm.p),_xlpm.q,N(BA293)/_xlpm.f,IF(_xlpm.q&gt;=_xlpm.s,ROUND(_xlpm.q,1)&amp;" "&amp;_xlpm.ai_test&amp;" = "&amp;ROUND(_xlpm.q*_xlpm.f,1)&amp;" "&amp;_xlpm.u,ROUND(_xlpm.q,1)&amp;" "&amp;_xlpm.ai_test)),""),""))))</f>
        <v>0</v>
      </c>
      <c r="BD293" s="801"/>
      <c r="BE293" s="788" t="str">
        <f t="shared" si="153"/>
        <v/>
      </c>
      <c r="BF293" s="789" t="str">
        <f t="shared" si="156"/>
        <v/>
      </c>
      <c r="BG293" s="790">
        <f t="shared" si="157"/>
        <v>0</v>
      </c>
      <c r="BH293" s="791" t="str">
        <f t="shared" si="158"/>
        <v/>
      </c>
      <c r="BI293" s="792"/>
      <c r="BJ293" s="793">
        <f t="shared" si="159"/>
        <v>0</v>
      </c>
      <c r="BK293" s="794" t="str">
        <f t="shared" si="154"/>
        <v/>
      </c>
      <c r="BL293" s="227" t="s">
        <v>21</v>
      </c>
      <c r="BM293" s="773">
        <f t="shared" si="144"/>
        <v>0</v>
      </c>
      <c r="BN293" s="774">
        <f t="shared" si="145"/>
        <v>0</v>
      </c>
      <c r="BO293"/>
      <c r="BP293" s="627"/>
      <c r="BQ293" s="627"/>
      <c r="BR293" s="627"/>
      <c r="BS293" s="627"/>
      <c r="BT293" s="627"/>
      <c r="BU293" s="627"/>
      <c r="BV293" s="627"/>
      <c r="BW293" s="627"/>
      <c r="BX293"/>
      <c r="BY293"/>
      <c r="BZ293"/>
      <c r="CA293"/>
      <c r="CB293"/>
      <c r="CC293"/>
      <c r="CD293" s="781" t="str">
        <f t="shared" si="139"/>
        <v>►</v>
      </c>
      <c r="CE293"/>
      <c r="CF293"/>
      <c r="CG293"/>
      <c r="CH293"/>
      <c r="CI293"/>
      <c r="CK293"/>
      <c r="CL293"/>
      <c r="CM293"/>
      <c r="CN293"/>
      <c r="CO293"/>
      <c r="CP293"/>
      <c r="CQ293"/>
      <c r="CS293"/>
      <c r="CT293"/>
      <c r="CU293"/>
      <c r="CV293"/>
      <c r="CW293"/>
      <c r="CX293"/>
      <c r="CY293"/>
      <c r="DA293"/>
      <c r="DB293"/>
      <c r="DC293"/>
      <c r="DD293"/>
      <c r="DE293"/>
      <c r="DF293"/>
      <c r="DG293"/>
      <c r="DI293" s="3">
        <v>1</v>
      </c>
      <c r="DJ293" s="627"/>
      <c r="DK293" s="627"/>
    </row>
    <row r="294" spans="1:115" s="633" customFormat="1" ht="21" customHeight="1">
      <c r="A294" s="701" t="s">
        <v>21</v>
      </c>
      <c r="B294" s="2265" t="str" cm="1">
        <f t="array" ref="B294">SUMPRODUCT(--(D294:J294&lt;&gt;""), LEN(TRIM(SUBSTITUTE(D294:J294, CHAR(160), "")))) &amp; " Car."</f>
        <v>0 Car.</v>
      </c>
      <c r="C294" s="1376" t="str">
        <f>IF(ISBLANK(D294),"",LARGE(C13:C293,1)+1)</f>
        <v/>
      </c>
      <c r="D294" s="1833"/>
      <c r="E294" s="1810"/>
      <c r="F294" s="1810"/>
      <c r="G294" s="1810"/>
      <c r="H294" s="1810"/>
      <c r="I294" s="1810"/>
      <c r="J294" s="1810"/>
      <c r="K294" s="1810"/>
      <c r="L294" s="1811"/>
      <c r="M294" s="9"/>
      <c r="N294" s="103" t="str">
        <f t="shared" si="140"/>
        <v>►</v>
      </c>
      <c r="O294" s="1616"/>
      <c r="P294" s="9"/>
      <c r="Q294" s="103" t="str">
        <f t="shared" si="141"/>
        <v>►</v>
      </c>
      <c r="R294" s="163" t="str">
        <f>R215</f>
        <v>M MILLE-FEUILLE meringue et chiboust pamplemousse aux fraises des bois | collez la--FAMILLE| Auteur &gt; recette Béghin Say de Jean-Jacques Borne MOF 1994</v>
      </c>
      <c r="S294" s="163">
        <f>S215</f>
        <v>18</v>
      </c>
      <c r="T294" s="164" t="str">
        <f>T215</f>
        <v>desserts</v>
      </c>
      <c r="U294" s="165" t="str">
        <f>U215</f>
        <v>Recette mère ► MILLE-FEUILLE  aux fraises des bois</v>
      </c>
      <c r="V294" s="1548"/>
      <c r="W294" s="1548"/>
      <c r="X294" s="2190">
        <f>ROWS(AB258:AB294)</f>
        <v>37</v>
      </c>
      <c r="Y294" s="5549" t="str" cm="1">
        <f t="array" ref="Y294">IF(SUMPRODUCT((AB294:AG294&lt;&gt;"")*1)=0,"",SUMPRODUCT((AB294:AG294&lt;&gt;"")*(LEN(TRIM(SUBSTITUTE(AB294:AG294,CHAR(160)," "))) - LEN(SUBSTITUTE(TRIM(SUBSTITUTE(AB294:AG294,CHAR(160)," "))," ","")) + 1)) &amp; " mot" &amp; IF(SUMPRODUCT((AB294:AG294&lt;&gt;"")*(LEN(TRIM(SUBSTITUTE(AB294:AG294,CHAR(160)," "))) - LEN(SUBSTITUTE(TRIM(SUBSTITUTE(AB294:AG294,CHAR(160)," "))," ","")) + 1))&gt;1,"s",""))</f>
        <v/>
      </c>
      <c r="Z294" s="5550" t="str" cm="1">
        <f t="array" ref="Z294">SUMPRODUCT(--(AB294:AG294&lt;&gt;""), LEN(TRIM(SUBSTITUTE(AB294:AG294, CHAR(160), "")))) &amp; " Car."</f>
        <v>0 Car.</v>
      </c>
      <c r="AA294" s="1376" t="str">
        <f>IF(ISBLANK(AB294),"",LARGE(AA257:AA293,1)+1)</f>
        <v/>
      </c>
      <c r="AB294" s="1810"/>
      <c r="AC294" s="1810"/>
      <c r="AD294" s="1810"/>
      <c r="AE294" s="1810"/>
      <c r="AF294" s="1810"/>
      <c r="AG294" s="1810"/>
      <c r="AH294" s="1810"/>
      <c r="AI294" s="1810"/>
      <c r="AJ294" s="1811"/>
      <c r="AK294" s="6120" t="str">
        <f t="shared" si="155"/>
        <v>►</v>
      </c>
      <c r="AL294" s="781" t="str">
        <f t="shared" si="143"/>
        <v>►</v>
      </c>
      <c r="AM294" s="5498" t="str">
        <f t="shared" si="146"/>
        <v/>
      </c>
      <c r="AN294" s="783" t="str">
        <f t="shared" si="147"/>
        <v/>
      </c>
      <c r="AO294" s="782" t="str">
        <f t="shared" si="148"/>
        <v/>
      </c>
      <c r="AP294" s="783" t="str">
        <f t="shared" si="149"/>
        <v/>
      </c>
      <c r="AQ294" s="2083" t="b">
        <f>AND(Q294="A",COUNTIF(BP16:BR63,TRIM(Z294))&gt;0)</f>
        <v>0</v>
      </c>
      <c r="AR294" s="797" t="str">
        <f>IF(AL294&lt;&gt;"A","",IFERROR(IFERROR(_xlfn.XLOOKUP(TRIM(SUBSTITUTE(Z294,CHAR(160)," ")),BP16:BP63,BS16:BS63),IFERROR(_xlfn.XLOOKUP(TRIM(SUBSTITUTE(Z294,CHAR(160)," ")),BQ16:BQ63,BS16:BS63),_xlfn.XLOOKUP(TRIM(SUBSTITUTE(Z294,CHAR(160)," ")),BR16:BR63,BS16:BS63)))*Y294*IF(ISBLANK(V294),1,V294),0))</f>
        <v/>
      </c>
      <c r="AS294" s="784" t="str">
        <f t="shared" si="138"/>
        <v/>
      </c>
      <c r="AT294" s="1315" t="str">
        <f t="shared" si="150"/>
        <v/>
      </c>
      <c r="AU294" s="785">
        <f t="shared" si="151"/>
        <v>0</v>
      </c>
      <c r="AV294" s="785">
        <f t="shared" si="152"/>
        <v>0</v>
      </c>
      <c r="AW294" s="798">
        <f>IF(AK294="A",AY10,0)</f>
        <v>0</v>
      </c>
      <c r="AX294" s="5496" t="str">
        <f>IF(IFERROR(SEARCH("Adresse PC",TRIM(W294)),0)&gt;0,"▼ receta siguiente",IF(AK294="A",IF(AZ10&lt;&gt;"",AZ10&amp;" - ou.or.o ❾ + or - &gt;",""),""))</f>
        <v/>
      </c>
      <c r="AY294" s="810"/>
      <c r="AZ294" s="810"/>
      <c r="BA294" s="799" t="str">
        <f t="shared" si="142"/>
        <v/>
      </c>
      <c r="BB294" s="800" t="str">
        <f>IF(AK294="A",IF(AQ294,IF(AND(AW294&lt;&gt;"",N(AW294)&gt;0),IFERROR(IFERROR(_xlfn.XLOOKUP(AP294,BP10:BP57,BT10:BT57),IFERROR(_xlfn.XLOOKUP(AP294,BQ10:BQ57,BT10:BT57),_xlfn.XLOOKUP(AP294,BR10:BR57,BT10:BT57,""))),""),""),""),"")</f>
        <v/>
      </c>
      <c r="BC294" s="813" cm="1">
        <f t="array" ref="BC294">IF(NOT(AQ294),0,IF(OR(BA294="",N(BA294)&lt;=0.000000001),"",IF(OR(AU294="",N(AU294)&lt;=0.000000001),0,IF(ISNUMBER(BA294),IFERROR(_xlfn.LET(_xlpm.ai_test,TRIM(AP294),_xlpm.r,IFERROR(_xlfn.XLOOKUP(_xlpm.ai_test,BP16:BP63,ROW(BP16:BP63),0,1),IFERROR(_xlfn.XLOOKUP(_xlpm.ai_test,BQ16:BQ63,ROW(BQ16:BQ63),0,1),_xlfn.XLOOKUP(_xlpm.ai_test,BR16:BR63,ROW(BR16:BR63),0,1))),_xlpm.p,_xlpm.r-MIN(ROW(BP16:BP63))+1,_xlpm.f,INDEX(BS16:BS63,_xlpm.p),_xlpm.u,INDEX(BT16:BT63,_xlpm.p),_xlpm.s,INDEX(BV16:BV63,_xlpm.p),_xlpm.q,N(BA294)/_xlpm.f,IF(_xlpm.q&gt;=_xlpm.s,ROUND(_xlpm.q,1)&amp;" "&amp;_xlpm.ai_test&amp;" = "&amp;ROUND(_xlpm.q*_xlpm.f,1)&amp;" "&amp;_xlpm.u,ROUND(_xlpm.q,1)&amp;" "&amp;_xlpm.ai_test)),""),""))))</f>
        <v>0</v>
      </c>
      <c r="BD294" s="801"/>
      <c r="BE294" s="799" t="str">
        <f t="shared" si="153"/>
        <v/>
      </c>
      <c r="BF294" s="800" t="str">
        <f t="shared" si="156"/>
        <v/>
      </c>
      <c r="BG294" s="802">
        <f t="shared" si="157"/>
        <v>0</v>
      </c>
      <c r="BH294" s="803" t="str">
        <f t="shared" si="158"/>
        <v/>
      </c>
      <c r="BI294" s="792"/>
      <c r="BJ294" s="804">
        <f t="shared" si="159"/>
        <v>0</v>
      </c>
      <c r="BK294" s="794" t="str">
        <f t="shared" si="154"/>
        <v/>
      </c>
      <c r="BL294" s="227" t="s">
        <v>21</v>
      </c>
      <c r="BM294" s="773">
        <f t="shared" si="144"/>
        <v>0</v>
      </c>
      <c r="BN294" s="774">
        <f t="shared" si="145"/>
        <v>0</v>
      </c>
      <c r="BO294"/>
      <c r="BP294" s="627"/>
      <c r="BQ294" s="627"/>
      <c r="BR294" s="627"/>
      <c r="BS294" s="627"/>
      <c r="BT294" s="627"/>
      <c r="BU294" s="627"/>
      <c r="BV294" s="627"/>
      <c r="BW294" s="627"/>
      <c r="BX294"/>
      <c r="BY294"/>
      <c r="BZ294"/>
      <c r="CA294"/>
      <c r="CB294"/>
      <c r="CC294"/>
      <c r="CD294" s="781" t="str">
        <f t="shared" si="139"/>
        <v>►</v>
      </c>
      <c r="CE294"/>
      <c r="CF294"/>
      <c r="CG294"/>
      <c r="CH294"/>
      <c r="CI294"/>
      <c r="CK294"/>
      <c r="CL294"/>
      <c r="CM294"/>
      <c r="CN294"/>
      <c r="CO294"/>
      <c r="CP294"/>
      <c r="CQ294"/>
      <c r="CS294"/>
      <c r="CT294"/>
      <c r="CU294"/>
      <c r="CV294"/>
      <c r="CW294"/>
      <c r="CX294"/>
      <c r="CY294"/>
      <c r="DA294"/>
      <c r="DB294"/>
      <c r="DC294"/>
      <c r="DD294"/>
      <c r="DE294"/>
      <c r="DF294"/>
      <c r="DG294"/>
      <c r="DI294" s="3">
        <v>1</v>
      </c>
      <c r="DJ294" s="627"/>
      <c r="DK294" s="627"/>
    </row>
    <row r="295" spans="1:115" s="633" customFormat="1" ht="21" customHeight="1">
      <c r="A295" s="701" t="s">
        <v>21</v>
      </c>
      <c r="B295" s="2265" t="str" cm="1">
        <f t="array" ref="B295">SUMPRODUCT(--(D295:J295&lt;&gt;""), LEN(TRIM(SUBSTITUTE(D295:J295, CHAR(160), "")))) &amp; " Car."</f>
        <v>0 Car.</v>
      </c>
      <c r="C295" s="1376" t="str">
        <f>IF(ISBLANK(D295),"",LARGE(C13:C294,1)+1)</f>
        <v/>
      </c>
      <c r="D295" s="1833"/>
      <c r="E295" s="1810"/>
      <c r="F295" s="1810"/>
      <c r="G295" s="1810"/>
      <c r="H295" s="1810"/>
      <c r="I295" s="1810"/>
      <c r="J295" s="1810"/>
      <c r="K295" s="1810"/>
      <c r="L295" s="1811"/>
      <c r="M295" s="9"/>
      <c r="N295" s="103" t="str">
        <f t="shared" si="140"/>
        <v>►</v>
      </c>
      <c r="O295" s="1616"/>
      <c r="P295" s="9"/>
      <c r="Q295" s="103" t="str">
        <f t="shared" si="141"/>
        <v>►</v>
      </c>
      <c r="R295" s="163" t="str">
        <f>R215</f>
        <v>M MILLE-FEUILLE meringue et chiboust pamplemousse aux fraises des bois | collez la--FAMILLE| Auteur &gt; recette Béghin Say de Jean-Jacques Borne MOF 1994</v>
      </c>
      <c r="S295" s="163">
        <f>S215</f>
        <v>18</v>
      </c>
      <c r="T295" s="164" t="str">
        <f>T215</f>
        <v>desserts</v>
      </c>
      <c r="U295" s="165" t="str">
        <f>U215</f>
        <v>Recette mère ► MILLE-FEUILLE  aux fraises des bois</v>
      </c>
      <c r="V295" s="1548"/>
      <c r="W295" s="1548"/>
      <c r="X295" s="2190">
        <f>ROWS(AB258:AB295)</f>
        <v>38</v>
      </c>
      <c r="Y295" s="5549" t="str" cm="1">
        <f t="array" ref="Y295">IF(SUMPRODUCT((AB295:AG295&lt;&gt;"")*1)=0,"",SUMPRODUCT((AB295:AG295&lt;&gt;"")*(LEN(TRIM(SUBSTITUTE(AB295:AG295,CHAR(160)," "))) - LEN(SUBSTITUTE(TRIM(SUBSTITUTE(AB295:AG295,CHAR(160)," "))," ","")) + 1)) &amp; " mot" &amp; IF(SUMPRODUCT((AB295:AG295&lt;&gt;"")*(LEN(TRIM(SUBSTITUTE(AB295:AG295,CHAR(160)," "))) - LEN(SUBSTITUTE(TRIM(SUBSTITUTE(AB295:AG295,CHAR(160)," "))," ","")) + 1))&gt;1,"s",""))</f>
        <v/>
      </c>
      <c r="Z295" s="5550" t="str" cm="1">
        <f t="array" ref="Z295">SUMPRODUCT(--(AB295:AG295&lt;&gt;""), LEN(TRIM(SUBSTITUTE(AB295:AG295, CHAR(160), "")))) &amp; " Car."</f>
        <v>0 Car.</v>
      </c>
      <c r="AA295" s="1376" t="str">
        <f>IF(ISBLANK(AB295),"",LARGE(AA257:AA294,1)+1)</f>
        <v/>
      </c>
      <c r="AB295" s="1810"/>
      <c r="AC295" s="1810"/>
      <c r="AD295" s="1810"/>
      <c r="AE295" s="1810"/>
      <c r="AF295" s="1810"/>
      <c r="AG295" s="1810"/>
      <c r="AH295" s="1810"/>
      <c r="AI295" s="1810"/>
      <c r="AJ295" s="1811"/>
      <c r="AK295" s="6120" t="str">
        <f t="shared" si="155"/>
        <v>►</v>
      </c>
      <c r="AL295" s="781" t="str">
        <f t="shared" si="143"/>
        <v>►</v>
      </c>
      <c r="AM295" s="5499" t="str">
        <f t="shared" si="146"/>
        <v/>
      </c>
      <c r="AN295" s="783" t="str">
        <f t="shared" si="147"/>
        <v/>
      </c>
      <c r="AO295" s="782" t="str">
        <f t="shared" si="148"/>
        <v/>
      </c>
      <c r="AP295" s="783" t="str">
        <f t="shared" si="149"/>
        <v/>
      </c>
      <c r="AQ295" s="2083" t="b">
        <f>AND(Q295="A",COUNTIF(BP16:BR63,TRIM(Z295))&gt;0)</f>
        <v>0</v>
      </c>
      <c r="AR295" s="797" t="str">
        <f>IF(AL295&lt;&gt;"A","",IFERROR(IFERROR(_xlfn.XLOOKUP(TRIM(SUBSTITUTE(Z295,CHAR(160)," ")),BP16:BP63,BS16:BS63),IFERROR(_xlfn.XLOOKUP(TRIM(SUBSTITUTE(Z295,CHAR(160)," ")),BQ16:BQ63,BS16:BS63),_xlfn.XLOOKUP(TRIM(SUBSTITUTE(Z295,CHAR(160)," ")),BR16:BR63,BS16:BS63)))*Y295*IF(ISBLANK(V295),1,V295),0))</f>
        <v/>
      </c>
      <c r="AS295" s="784" t="str">
        <f t="shared" si="138"/>
        <v/>
      </c>
      <c r="AT295" s="1315" t="str">
        <f t="shared" si="150"/>
        <v/>
      </c>
      <c r="AU295" s="785">
        <f t="shared" si="151"/>
        <v>0</v>
      </c>
      <c r="AV295" s="785">
        <f t="shared" si="152"/>
        <v>0</v>
      </c>
      <c r="AW295" s="786">
        <f>IF(AK295="A",AY10,0)</f>
        <v>0</v>
      </c>
      <c r="AX295" s="5495" t="str">
        <f>IF(IFERROR(SEARCH("Adresse PC",TRIM(W295)),0)&gt;0,"▼ receta siguiente",IF(AK295="A",IF(AZ10&lt;&gt;"",AZ10&amp;" - ou.or.o ❾ + or - &gt;",""),""))</f>
        <v/>
      </c>
      <c r="AY295" s="810"/>
      <c r="AZ295" s="810"/>
      <c r="BA295" s="788" t="str">
        <f t="shared" si="142"/>
        <v/>
      </c>
      <c r="BB295" s="789" t="str">
        <f>IF(AK295="A",IF(AQ295,IF(AND(AW295&lt;&gt;"",N(AW295)&gt;0),IFERROR(IFERROR(_xlfn.XLOOKUP(AP295,BP10:BP57,BT10:BT57),IFERROR(_xlfn.XLOOKUP(AP295,BQ10:BQ57,BT10:BT57),_xlfn.XLOOKUP(AP295,BR10:BR57,BT10:BT57,""))),""),""),""),"")</f>
        <v/>
      </c>
      <c r="BC295" s="811" cm="1">
        <f t="array" ref="BC295">IF(NOT(AQ295),0,IF(OR(BA295="",N(BA295)&lt;=0.000000001),"",IF(OR(AU295="",N(AU295)&lt;=0.000000001),0,IF(ISNUMBER(BA295),IFERROR(_xlfn.LET(_xlpm.ai_test,TRIM(AP295),_xlpm.r,IFERROR(_xlfn.XLOOKUP(_xlpm.ai_test,BP16:BP63,ROW(BP16:BP63),0,1),IFERROR(_xlfn.XLOOKUP(_xlpm.ai_test,BQ16:BQ63,ROW(BQ16:BQ63),0,1),_xlfn.XLOOKUP(_xlpm.ai_test,BR16:BR63,ROW(BR16:BR63),0,1))),_xlpm.p,_xlpm.r-MIN(ROW(BP16:BP63))+1,_xlpm.f,INDEX(BS16:BS63,_xlpm.p),_xlpm.u,INDEX(BT16:BT63,_xlpm.p),_xlpm.s,INDEX(BV16:BV63,_xlpm.p),_xlpm.q,N(BA295)/_xlpm.f,IF(_xlpm.q&gt;=_xlpm.s,ROUND(_xlpm.q,1)&amp;" "&amp;_xlpm.ai_test&amp;" = "&amp;ROUND(_xlpm.q*_xlpm.f,1)&amp;" "&amp;_xlpm.u,ROUND(_xlpm.q,1)&amp;" "&amp;_xlpm.ai_test)),""),""))))</f>
        <v>0</v>
      </c>
      <c r="BD295" s="801"/>
      <c r="BE295" s="788" t="str">
        <f t="shared" si="153"/>
        <v/>
      </c>
      <c r="BF295" s="789" t="str">
        <f t="shared" si="156"/>
        <v/>
      </c>
      <c r="BG295" s="790">
        <f t="shared" si="157"/>
        <v>0</v>
      </c>
      <c r="BH295" s="791" t="str">
        <f t="shared" si="158"/>
        <v/>
      </c>
      <c r="BI295" s="792"/>
      <c r="BJ295" s="793">
        <f t="shared" si="159"/>
        <v>0</v>
      </c>
      <c r="BK295" s="794" t="str">
        <f t="shared" si="154"/>
        <v/>
      </c>
      <c r="BL295" s="227" t="s">
        <v>21</v>
      </c>
      <c r="BM295" s="773">
        <f t="shared" si="144"/>
        <v>0</v>
      </c>
      <c r="BN295" s="774">
        <f t="shared" si="145"/>
        <v>0</v>
      </c>
      <c r="BO295"/>
      <c r="BP295" s="627"/>
      <c r="BQ295" s="627"/>
      <c r="BR295" s="627"/>
      <c r="BS295" s="627"/>
      <c r="BT295" s="627"/>
      <c r="BU295" s="627"/>
      <c r="BV295" s="627"/>
      <c r="BW295" s="627"/>
      <c r="BX295"/>
      <c r="BY295"/>
      <c r="BZ295"/>
      <c r="CA295"/>
      <c r="CB295"/>
      <c r="CC295"/>
      <c r="CD295" s="781" t="str">
        <f t="shared" si="139"/>
        <v>►</v>
      </c>
      <c r="CE295"/>
      <c r="CF295"/>
      <c r="CG295"/>
      <c r="CH295"/>
      <c r="CI295"/>
      <c r="CK295"/>
      <c r="CL295"/>
      <c r="CM295"/>
      <c r="CN295"/>
      <c r="CO295"/>
      <c r="CP295"/>
      <c r="CQ295"/>
      <c r="CS295"/>
      <c r="CT295"/>
      <c r="CU295"/>
      <c r="CV295"/>
      <c r="CW295"/>
      <c r="CX295"/>
      <c r="CY295"/>
      <c r="DA295"/>
      <c r="DB295"/>
      <c r="DC295"/>
      <c r="DD295"/>
      <c r="DE295"/>
      <c r="DF295"/>
      <c r="DG295"/>
      <c r="DI295" s="3">
        <v>1</v>
      </c>
      <c r="DJ295" s="627"/>
      <c r="DK295" s="627"/>
    </row>
    <row r="296" spans="1:115" s="633" customFormat="1" ht="21" customHeight="1">
      <c r="A296" s="701" t="s">
        <v>21</v>
      </c>
      <c r="B296" s="2265" t="str" cm="1">
        <f t="array" ref="B296">SUMPRODUCT(--(D296:J296&lt;&gt;""), LEN(TRIM(SUBSTITUTE(D296:J296, CHAR(160), "")))) &amp; " Car."</f>
        <v>0 Car.</v>
      </c>
      <c r="C296" s="1376" t="str">
        <f>IF(ISBLANK(D296),"",LARGE(C13:C295,1)+1)</f>
        <v/>
      </c>
      <c r="D296" s="1833"/>
      <c r="E296" s="1810"/>
      <c r="F296" s="1810"/>
      <c r="G296" s="1810"/>
      <c r="H296" s="1810"/>
      <c r="I296" s="1810"/>
      <c r="J296" s="1810"/>
      <c r="K296" s="1810"/>
      <c r="L296" s="1811"/>
      <c r="M296" s="9"/>
      <c r="N296" s="103" t="str">
        <f t="shared" si="140"/>
        <v>►</v>
      </c>
      <c r="O296" s="1616"/>
      <c r="P296" s="9"/>
      <c r="Q296" s="103" t="str">
        <f t="shared" si="141"/>
        <v>►</v>
      </c>
      <c r="R296" s="163" t="str">
        <f>R215</f>
        <v>M MILLE-FEUILLE meringue et chiboust pamplemousse aux fraises des bois | collez la--FAMILLE| Auteur &gt; recette Béghin Say de Jean-Jacques Borne MOF 1994</v>
      </c>
      <c r="S296" s="163">
        <f>S215</f>
        <v>18</v>
      </c>
      <c r="T296" s="164" t="str">
        <f>T215</f>
        <v>desserts</v>
      </c>
      <c r="U296" s="165" t="str">
        <f>U215</f>
        <v>Recette mère ► MILLE-FEUILLE  aux fraises des bois</v>
      </c>
      <c r="V296" s="1548"/>
      <c r="W296" s="1548"/>
      <c r="X296" s="2190">
        <f>ROWS(AB258:AB296)</f>
        <v>39</v>
      </c>
      <c r="Y296" s="5549" t="str" cm="1">
        <f t="array" ref="Y296">IF(SUMPRODUCT((AB296:AG296&lt;&gt;"")*1)=0,"",SUMPRODUCT((AB296:AG296&lt;&gt;"")*(LEN(TRIM(SUBSTITUTE(AB296:AG296,CHAR(160)," "))) - LEN(SUBSTITUTE(TRIM(SUBSTITUTE(AB296:AG296,CHAR(160)," "))," ","")) + 1)) &amp; " mot" &amp; IF(SUMPRODUCT((AB296:AG296&lt;&gt;"")*(LEN(TRIM(SUBSTITUTE(AB296:AG296,CHAR(160)," "))) - LEN(SUBSTITUTE(TRIM(SUBSTITUTE(AB296:AG296,CHAR(160)," "))," ","")) + 1))&gt;1,"s",""))</f>
        <v/>
      </c>
      <c r="Z296" s="5550" t="str" cm="1">
        <f t="array" ref="Z296">SUMPRODUCT(--(AB296:AG296&lt;&gt;""), LEN(TRIM(SUBSTITUTE(AB296:AG296, CHAR(160), "")))) &amp; " Car."</f>
        <v>0 Car.</v>
      </c>
      <c r="AA296" s="1376" t="str">
        <f>IF(ISBLANK(AB296),"",LARGE(AA257:AA295,1)+1)</f>
        <v/>
      </c>
      <c r="AB296" s="1810"/>
      <c r="AC296" s="1810"/>
      <c r="AD296" s="1810"/>
      <c r="AE296" s="1810"/>
      <c r="AF296" s="1810"/>
      <c r="AG296" s="1810"/>
      <c r="AH296" s="1810"/>
      <c r="AI296" s="1810"/>
      <c r="AJ296" s="1811"/>
      <c r="AK296" s="6120" t="str">
        <f t="shared" si="155"/>
        <v>►</v>
      </c>
      <c r="AL296" s="781" t="str">
        <f t="shared" si="143"/>
        <v>►</v>
      </c>
      <c r="AM296" s="5498" t="str">
        <f t="shared" si="146"/>
        <v/>
      </c>
      <c r="AN296" s="783" t="str">
        <f t="shared" si="147"/>
        <v/>
      </c>
      <c r="AO296" s="782" t="str">
        <f t="shared" si="148"/>
        <v/>
      </c>
      <c r="AP296" s="783" t="str">
        <f t="shared" si="149"/>
        <v/>
      </c>
      <c r="AQ296" s="2083" t="b">
        <f>AND(Q296="A",COUNTIF(BP16:BR63,TRIM(Z296))&gt;0)</f>
        <v>0</v>
      </c>
      <c r="AR296" s="797" t="str">
        <f>IF(AL296&lt;&gt;"A","",IFERROR(IFERROR(_xlfn.XLOOKUP(TRIM(SUBSTITUTE(Z296,CHAR(160)," ")),BP16:BP63,BS16:BS63),IFERROR(_xlfn.XLOOKUP(TRIM(SUBSTITUTE(Z296,CHAR(160)," ")),BQ16:BQ63,BS16:BS63),_xlfn.XLOOKUP(TRIM(SUBSTITUTE(Z296,CHAR(160)," ")),BR16:BR63,BS16:BS63)))*Y296*IF(ISBLANK(V296),1,V296),0))</f>
        <v/>
      </c>
      <c r="AS296" s="784" t="str">
        <f t="shared" si="138"/>
        <v/>
      </c>
      <c r="AT296" s="1315" t="str">
        <f t="shared" si="150"/>
        <v/>
      </c>
      <c r="AU296" s="785">
        <f t="shared" si="151"/>
        <v>0</v>
      </c>
      <c r="AV296" s="785">
        <f t="shared" si="152"/>
        <v>0</v>
      </c>
      <c r="AW296" s="798">
        <f>IF(AK296="A",AY10,0)</f>
        <v>0</v>
      </c>
      <c r="AX296" s="5496" t="str">
        <f>IF(IFERROR(SEARCH("Adresse PC",TRIM(W296)),0)&gt;0,"▼ receta siguiente",IF(AK296="A",IF(AZ10&lt;&gt;"",AZ10&amp;" - ou.or.o ❾ + or - &gt;",""),""))</f>
        <v/>
      </c>
      <c r="AY296" s="810"/>
      <c r="AZ296" s="810"/>
      <c r="BA296" s="799" t="str">
        <f t="shared" si="142"/>
        <v/>
      </c>
      <c r="BB296" s="800" t="str">
        <f>IF(AK296="A",IF(AQ296,IF(AND(AW296&lt;&gt;"",N(AW296)&gt;0),IFERROR(IFERROR(_xlfn.XLOOKUP(AP296,BP10:BP57,BT10:BT57),IFERROR(_xlfn.XLOOKUP(AP296,BQ10:BQ57,BT10:BT57),_xlfn.XLOOKUP(AP296,BR10:BR57,BT10:BT57,""))),""),""),""),"")</f>
        <v/>
      </c>
      <c r="BC296" s="813" cm="1">
        <f t="array" ref="BC296">IF(NOT(AQ296),0,IF(OR(BA296="",N(BA296)&lt;=0.000000001),"",IF(OR(AU296="",N(AU296)&lt;=0.000000001),0,IF(ISNUMBER(BA296),IFERROR(_xlfn.LET(_xlpm.ai_test,TRIM(AP296),_xlpm.r,IFERROR(_xlfn.XLOOKUP(_xlpm.ai_test,BP16:BP63,ROW(BP16:BP63),0,1),IFERROR(_xlfn.XLOOKUP(_xlpm.ai_test,BQ16:BQ63,ROW(BQ16:BQ63),0,1),_xlfn.XLOOKUP(_xlpm.ai_test,BR16:BR63,ROW(BR16:BR63),0,1))),_xlpm.p,_xlpm.r-MIN(ROW(BP16:BP63))+1,_xlpm.f,INDEX(BS16:BS63,_xlpm.p),_xlpm.u,INDEX(BT16:BT63,_xlpm.p),_xlpm.s,INDEX(BV16:BV63,_xlpm.p),_xlpm.q,N(BA296)/_xlpm.f,IF(_xlpm.q&gt;=_xlpm.s,ROUND(_xlpm.q,1)&amp;" "&amp;_xlpm.ai_test&amp;" = "&amp;ROUND(_xlpm.q*_xlpm.f,1)&amp;" "&amp;_xlpm.u,ROUND(_xlpm.q,1)&amp;" "&amp;_xlpm.ai_test)),""),""))))</f>
        <v>0</v>
      </c>
      <c r="BD296" s="801"/>
      <c r="BE296" s="799" t="str">
        <f t="shared" si="153"/>
        <v/>
      </c>
      <c r="BF296" s="800" t="str">
        <f t="shared" si="156"/>
        <v/>
      </c>
      <c r="BG296" s="802">
        <f t="shared" si="157"/>
        <v>0</v>
      </c>
      <c r="BH296" s="803" t="str">
        <f t="shared" si="158"/>
        <v/>
      </c>
      <c r="BI296" s="792"/>
      <c r="BJ296" s="804">
        <f t="shared" si="159"/>
        <v>0</v>
      </c>
      <c r="BK296" s="794" t="str">
        <f t="shared" si="154"/>
        <v/>
      </c>
      <c r="BL296" s="227" t="s">
        <v>21</v>
      </c>
      <c r="BM296" s="773">
        <f t="shared" si="144"/>
        <v>0</v>
      </c>
      <c r="BN296" s="774">
        <f t="shared" si="145"/>
        <v>0</v>
      </c>
      <c r="BO296"/>
      <c r="BP296" s="627"/>
      <c r="BQ296" s="627"/>
      <c r="BR296" s="627"/>
      <c r="BS296" s="627"/>
      <c r="BT296" s="627"/>
      <c r="BU296" s="627"/>
      <c r="BV296" s="627"/>
      <c r="BW296" s="627"/>
      <c r="BX296"/>
      <c r="BY296"/>
      <c r="BZ296"/>
      <c r="CA296"/>
      <c r="CB296"/>
      <c r="CC296"/>
      <c r="CD296" s="781" t="str">
        <f t="shared" si="139"/>
        <v>►</v>
      </c>
      <c r="CE296"/>
      <c r="CF296"/>
      <c r="CG296"/>
      <c r="CH296"/>
      <c r="CI296"/>
      <c r="CK296"/>
      <c r="CL296"/>
      <c r="CM296"/>
      <c r="CN296"/>
      <c r="CO296"/>
      <c r="CP296"/>
      <c r="CQ296"/>
      <c r="CS296"/>
      <c r="CT296"/>
      <c r="CU296"/>
      <c r="CV296"/>
      <c r="CW296"/>
      <c r="CX296"/>
      <c r="CY296"/>
      <c r="DA296"/>
      <c r="DB296"/>
      <c r="DC296"/>
      <c r="DD296"/>
      <c r="DE296"/>
      <c r="DF296"/>
      <c r="DG296"/>
      <c r="DI296" s="3">
        <v>1</v>
      </c>
      <c r="DJ296" s="627"/>
      <c r="DK296" s="627"/>
    </row>
    <row r="297" spans="1:115" s="633" customFormat="1" ht="21" customHeight="1">
      <c r="A297" s="701" t="s">
        <v>21</v>
      </c>
      <c r="B297" s="2265" t="str" cm="1">
        <f t="array" ref="B297">SUMPRODUCT(--(D297:J297&lt;&gt;""), LEN(TRIM(SUBSTITUTE(D297:J297, CHAR(160), "")))) &amp; " Car."</f>
        <v>0 Car.</v>
      </c>
      <c r="C297" s="1376" t="str">
        <f>IF(ISBLANK(D297),"",LARGE(C13:C296,1)+1)</f>
        <v/>
      </c>
      <c r="D297" s="1833"/>
      <c r="E297" s="1810"/>
      <c r="F297" s="1810"/>
      <c r="G297" s="1810"/>
      <c r="H297" s="1810"/>
      <c r="I297" s="1810"/>
      <c r="J297" s="1810"/>
      <c r="K297" s="1810"/>
      <c r="L297" s="1811"/>
      <c r="M297" s="9"/>
      <c r="N297" s="162" t="str">
        <f t="shared" si="140"/>
        <v>A</v>
      </c>
      <c r="O297" s="1616"/>
      <c r="P297" s="9"/>
      <c r="Q297" s="162" t="s">
        <v>10</v>
      </c>
      <c r="R297" s="163" t="str">
        <f>R215</f>
        <v>M MILLE-FEUILLE meringue et chiboust pamplemousse aux fraises des bois | collez la--FAMILLE| Auteur &gt; recette Béghin Say de Jean-Jacques Borne MOF 1994</v>
      </c>
      <c r="S297" s="163">
        <f>S215</f>
        <v>18</v>
      </c>
      <c r="T297" s="164" t="str">
        <f>T215</f>
        <v>desserts</v>
      </c>
      <c r="U297" s="165" t="str">
        <f>U215</f>
        <v>Recette mère ► MILLE-FEUILLE  aux fraises des bois</v>
      </c>
      <c r="V297" s="1548"/>
      <c r="W297" s="1548"/>
      <c r="X297" s="2190">
        <f>ROWS(AB258:AB297)</f>
        <v>40</v>
      </c>
      <c r="Y297" s="5549" t="str" cm="1">
        <f t="array" ref="Y297">IF(SUMPRODUCT((AB297:AG297&lt;&gt;"")*1)=0,"",SUMPRODUCT((AB297:AG297&lt;&gt;"")*(LEN(TRIM(SUBSTITUTE(AB297:AG297,CHAR(160)," "))) - LEN(SUBSTITUTE(TRIM(SUBSTITUTE(AB297:AG297,CHAR(160)," "))," ","")) + 1)) &amp; " mot" &amp; IF(SUMPRODUCT((AB297:AG297&lt;&gt;"")*(LEN(TRIM(SUBSTITUTE(AB297:AG297,CHAR(160)," "))) - LEN(SUBSTITUTE(TRIM(SUBSTITUTE(AB297:AG297,CHAR(160)," "))," ","")) + 1))&gt;1,"s",""))</f>
        <v>13 mots</v>
      </c>
      <c r="Z297" s="5550" t="str" cm="1">
        <f t="array" ref="Z297">SUMPRODUCT(--(AB297:AG297&lt;&gt;""), LEN(TRIM(SUBSTITUTE(AB297:AG297, CHAR(160), "")))) &amp; " Car."</f>
        <v>80 Car.</v>
      </c>
      <c r="AA297" s="1376" t="str">
        <f>IF(ISBLANK(AB297),"",LARGE(AA257:AA296,1)+1)</f>
        <v/>
      </c>
      <c r="AB297" s="1810"/>
      <c r="AC297" s="1810" t="s">
        <v>14252</v>
      </c>
      <c r="AD297" s="1810"/>
      <c r="AE297" s="1810"/>
      <c r="AF297" s="1810"/>
      <c r="AG297" s="1810"/>
      <c r="AH297" s="1810"/>
      <c r="AI297" s="1810"/>
      <c r="AJ297" s="1811"/>
      <c r="AK297" s="6120" t="str">
        <f t="shared" si="155"/>
        <v>►</v>
      </c>
      <c r="AL297" s="781" t="str">
        <f t="shared" si="143"/>
        <v>►</v>
      </c>
      <c r="AM297" s="5499" t="str">
        <f t="shared" si="146"/>
        <v/>
      </c>
      <c r="AN297" s="783" t="str">
        <f t="shared" si="147"/>
        <v/>
      </c>
      <c r="AO297" s="782" t="str">
        <f t="shared" si="148"/>
        <v/>
      </c>
      <c r="AP297" s="783" t="str">
        <f t="shared" si="149"/>
        <v/>
      </c>
      <c r="AQ297" s="2083" t="b">
        <f>AND(Q297="A",COUNTIF(BP16:BR63,TRIM(Z297))&gt;0)</f>
        <v>0</v>
      </c>
      <c r="AR297" s="797" t="str">
        <f>IF(AL297&lt;&gt;"A","",IFERROR(IFERROR(_xlfn.XLOOKUP(TRIM(SUBSTITUTE(Z297,CHAR(160)," ")),BP16:BP63,BS16:BS63),IFERROR(_xlfn.XLOOKUP(TRIM(SUBSTITUTE(Z297,CHAR(160)," ")),BQ16:BQ63,BS16:BS63),_xlfn.XLOOKUP(TRIM(SUBSTITUTE(Z297,CHAR(160)," ")),BR16:BR63,BS16:BS63)))*Y297*IF(ISBLANK(V297),1,V297),0))</f>
        <v/>
      </c>
      <c r="AS297" s="784" t="str">
        <f t="shared" si="138"/>
        <v/>
      </c>
      <c r="AT297" s="1315" t="str">
        <f t="shared" si="150"/>
        <v/>
      </c>
      <c r="AU297" s="785">
        <f t="shared" si="151"/>
        <v>0</v>
      </c>
      <c r="AV297" s="785">
        <f t="shared" si="152"/>
        <v>0</v>
      </c>
      <c r="AW297" s="786">
        <f>IF(AK297="A",AY10,0)</f>
        <v>0</v>
      </c>
      <c r="AX297" s="5495" t="str">
        <f>IF(IFERROR(SEARCH("Adresse PC",TRIM(W297)),0)&gt;0,"▼ receta siguiente",IF(AK297="A",IF(AZ10&lt;&gt;"",AZ10&amp;" - ou.or.o ❾ + or - &gt;",""),""))</f>
        <v/>
      </c>
      <c r="AY297" s="810"/>
      <c r="AZ297" s="810"/>
      <c r="BA297" s="788" t="str">
        <f t="shared" si="142"/>
        <v/>
      </c>
      <c r="BB297" s="789" t="str">
        <f>IF(AK297="A",IF(AQ297,IF(AND(AW297&lt;&gt;"",N(AW297)&gt;0),IFERROR(IFERROR(_xlfn.XLOOKUP(AP297,BP10:BP57,BT10:BT57),IFERROR(_xlfn.XLOOKUP(AP297,BQ10:BQ57,BT10:BT57),_xlfn.XLOOKUP(AP297,BR10:BR57,BT10:BT57,""))),""),""),""),"")</f>
        <v/>
      </c>
      <c r="BC297" s="811" cm="1">
        <f t="array" ref="BC297">IF(NOT(AQ297),0,IF(OR(BA297="",N(BA297)&lt;=0.000000001),"",IF(OR(AU297="",N(AU297)&lt;=0.000000001),0,IF(ISNUMBER(BA297),IFERROR(_xlfn.LET(_xlpm.ai_test,TRIM(AP297),_xlpm.r,IFERROR(_xlfn.XLOOKUP(_xlpm.ai_test,BP16:BP63,ROW(BP16:BP63),0,1),IFERROR(_xlfn.XLOOKUP(_xlpm.ai_test,BQ16:BQ63,ROW(BQ16:BQ63),0,1),_xlfn.XLOOKUP(_xlpm.ai_test,BR16:BR63,ROW(BR16:BR63),0,1))),_xlpm.p,_xlpm.r-MIN(ROW(BP16:BP63))+1,_xlpm.f,INDEX(BS16:BS63,_xlpm.p),_xlpm.u,INDEX(BT16:BT63,_xlpm.p),_xlpm.s,INDEX(BV16:BV63,_xlpm.p),_xlpm.q,N(BA297)/_xlpm.f,IF(_xlpm.q&gt;=_xlpm.s,ROUND(_xlpm.q,1)&amp;" "&amp;_xlpm.ai_test&amp;" = "&amp;ROUND(_xlpm.q*_xlpm.f,1)&amp;" "&amp;_xlpm.u,ROUND(_xlpm.q,1)&amp;" "&amp;_xlpm.ai_test)),""),""))))</f>
        <v>0</v>
      </c>
      <c r="BD297" s="801"/>
      <c r="BE297" s="788" t="str">
        <f t="shared" si="153"/>
        <v/>
      </c>
      <c r="BF297" s="789" t="str">
        <f t="shared" si="156"/>
        <v/>
      </c>
      <c r="BG297" s="790">
        <f t="shared" si="157"/>
        <v>0</v>
      </c>
      <c r="BH297" s="791" t="str">
        <f t="shared" si="158"/>
        <v/>
      </c>
      <c r="BI297" s="792"/>
      <c r="BJ297" s="793">
        <f t="shared" si="159"/>
        <v>0</v>
      </c>
      <c r="BK297" s="794" t="str">
        <f t="shared" si="154"/>
        <v/>
      </c>
      <c r="BL297" s="227" t="s">
        <v>21</v>
      </c>
      <c r="BM297" s="773">
        <f t="shared" si="144"/>
        <v>0</v>
      </c>
      <c r="BN297" s="774">
        <f t="shared" si="145"/>
        <v>0</v>
      </c>
      <c r="BO297"/>
      <c r="BP297" s="627"/>
      <c r="BQ297" s="627"/>
      <c r="BR297" s="627"/>
      <c r="BS297" s="627"/>
      <c r="BT297" s="627"/>
      <c r="BU297" s="627"/>
      <c r="BV297" s="627"/>
      <c r="BW297" s="627"/>
      <c r="BX297"/>
      <c r="BY297"/>
      <c r="BZ297"/>
      <c r="CA297"/>
      <c r="CB297"/>
      <c r="CC297"/>
      <c r="CD297" s="781" t="str">
        <f t="shared" si="139"/>
        <v>►</v>
      </c>
      <c r="CE297"/>
      <c r="CF297"/>
      <c r="CG297"/>
      <c r="CH297"/>
      <c r="CI297"/>
      <c r="CK297"/>
      <c r="CL297"/>
      <c r="CM297"/>
      <c r="CN297"/>
      <c r="CO297"/>
      <c r="CP297"/>
      <c r="CQ297"/>
      <c r="CS297"/>
      <c r="CT297"/>
      <c r="CU297"/>
      <c r="CV297"/>
      <c r="CW297"/>
      <c r="CX297"/>
      <c r="CY297"/>
      <c r="DA297"/>
      <c r="DB297"/>
      <c r="DC297"/>
      <c r="DD297"/>
      <c r="DE297"/>
      <c r="DF297"/>
      <c r="DG297"/>
      <c r="DI297" s="3">
        <v>1</v>
      </c>
      <c r="DJ297" s="627"/>
      <c r="DK297" s="627"/>
    </row>
    <row r="298" spans="1:115" s="633" customFormat="1" ht="21" customHeight="1" thickBot="1">
      <c r="A298" s="701" t="s">
        <v>21</v>
      </c>
      <c r="B298" s="2265" t="str" cm="1">
        <f t="array" ref="B298">SUMPRODUCT(--(D298:J298&lt;&gt;""), LEN(TRIM(SUBSTITUTE(D298:J298, CHAR(160), "")))) &amp; " Car."</f>
        <v>0 Car.</v>
      </c>
      <c r="C298" s="1376" t="str">
        <f>IF(ISBLANK(D298),"",LARGE(C13:C297,1)+1)</f>
        <v/>
      </c>
      <c r="D298" s="1833"/>
      <c r="E298" s="1810"/>
      <c r="F298" s="1810"/>
      <c r="G298" s="1810"/>
      <c r="H298" s="1810"/>
      <c r="I298" s="1810"/>
      <c r="J298" s="1810"/>
      <c r="K298" s="1810"/>
      <c r="L298" s="1811"/>
      <c r="M298" s="9"/>
      <c r="N298" s="162" t="str">
        <f t="shared" si="140"/>
        <v>A</v>
      </c>
      <c r="O298" s="1616"/>
      <c r="P298" s="9"/>
      <c r="Q298" s="162" t="s">
        <v>10</v>
      </c>
      <c r="R298" s="163" t="str">
        <f>R215</f>
        <v>M MILLE-FEUILLE meringue et chiboust pamplemousse aux fraises des bois | collez la--FAMILLE| Auteur &gt; recette Béghin Say de Jean-Jacques Borne MOF 1994</v>
      </c>
      <c r="S298" s="163">
        <f>S215</f>
        <v>18</v>
      </c>
      <c r="T298" s="164" t="str">
        <f>T215</f>
        <v>desserts</v>
      </c>
      <c r="U298" s="165" t="str">
        <f>U215</f>
        <v>Recette mère ► MILLE-FEUILLE  aux fraises des bois</v>
      </c>
      <c r="V298" s="172"/>
      <c r="W298" s="1378" t="s">
        <v>207</v>
      </c>
      <c r="X298" s="1712" t="s">
        <v>8475</v>
      </c>
      <c r="Y298" s="176"/>
      <c r="Z298" s="176"/>
      <c r="AA298" s="176"/>
      <c r="AB298" s="176"/>
      <c r="AC298" s="176"/>
      <c r="AD298" s="176"/>
      <c r="AE298" s="176"/>
      <c r="AF298" s="176"/>
      <c r="AG298" s="176"/>
      <c r="AH298" s="176"/>
      <c r="AI298" s="176"/>
      <c r="AJ298" s="884"/>
      <c r="AK298" s="6120" t="str">
        <f t="shared" si="155"/>
        <v>►</v>
      </c>
      <c r="AL298" s="781" t="str">
        <f t="shared" si="143"/>
        <v>A</v>
      </c>
      <c r="AM298" s="5498" t="str">
        <f t="shared" si="146"/>
        <v>▼ recette suivante</v>
      </c>
      <c r="AN298" s="783" t="str">
        <f t="shared" si="147"/>
        <v/>
      </c>
      <c r="AO298" s="782" t="str">
        <f t="shared" si="148"/>
        <v/>
      </c>
      <c r="AP298" s="783" t="str">
        <f t="shared" si="149"/>
        <v/>
      </c>
      <c r="AQ298" s="2083" t="b">
        <f>AND(Q298="A",COUNTIF(BP16:BR63,TRIM(Z298))&gt;0)</f>
        <v>0</v>
      </c>
      <c r="AR298" s="797">
        <f>IF(AL298&lt;&gt;"A","",IFERROR(IFERROR(_xlfn.XLOOKUP(TRIM(SUBSTITUTE(Z298,CHAR(160)," ")),BP16:BP63,BS16:BS63),IFERROR(_xlfn.XLOOKUP(TRIM(SUBSTITUTE(Z298,CHAR(160)," ")),BQ16:BQ63,BS16:BS63),_xlfn.XLOOKUP(TRIM(SUBSTITUTE(Z298,CHAR(160)," ")),BR16:BR63,BS16:BS63)))*Y298*IF(ISBLANK(V298),1,V298),0))</f>
        <v>0</v>
      </c>
      <c r="AS298" s="784" t="str">
        <f t="shared" si="138"/>
        <v/>
      </c>
      <c r="AT298" s="1315" t="str">
        <f t="shared" si="150"/>
        <v/>
      </c>
      <c r="AU298" s="785">
        <f t="shared" si="151"/>
        <v>0</v>
      </c>
      <c r="AV298" s="785">
        <f t="shared" si="152"/>
        <v>0</v>
      </c>
      <c r="AW298" s="798">
        <f>IF(AK298="A",AY10,0)</f>
        <v>0</v>
      </c>
      <c r="AX298" s="5496" t="str">
        <f>IF(IFERROR(SEARCH("Adresse PC",TRIM(W298)),0)&gt;0,"▼ receta siguiente",IF(AK298="A",IF(AZ10&lt;&gt;"",AZ10&amp;" - ou.or.o ❾ + or - &gt;",""),""))</f>
        <v>▼ receta siguiente</v>
      </c>
      <c r="AY298" s="810"/>
      <c r="AZ298" s="810"/>
      <c r="BA298" s="799" t="str">
        <f t="shared" si="142"/>
        <v/>
      </c>
      <c r="BB298" s="800" t="str">
        <f>IF(AK298="A",IF(AQ298,IF(AND(AW298&lt;&gt;"",N(AW298)&gt;0),IFERROR(IFERROR(_xlfn.XLOOKUP(AP298,BP10:BP57,BT10:BT57),IFERROR(_xlfn.XLOOKUP(AP298,BQ10:BQ57,BT10:BT57),_xlfn.XLOOKUP(AP298,BR10:BR57,BT10:BT57,""))),""),""),""),"")</f>
        <v/>
      </c>
      <c r="BC298" s="813" cm="1">
        <f t="array" ref="BC298">IF(NOT(AQ298),0,IF(OR(BA298="",N(BA298)&lt;=0.000000001),"",IF(OR(AU298="",N(AU298)&lt;=0.000000001),0,IF(ISNUMBER(BA298),IFERROR(_xlfn.LET(_xlpm.ai_test,TRIM(AP298),_xlpm.r,IFERROR(_xlfn.XLOOKUP(_xlpm.ai_test,BP16:BP63,ROW(BP16:BP63),0,1),IFERROR(_xlfn.XLOOKUP(_xlpm.ai_test,BQ16:BQ63,ROW(BQ16:BQ63),0,1),_xlfn.XLOOKUP(_xlpm.ai_test,BR16:BR63,ROW(BR16:BR63),0,1))),_xlpm.p,_xlpm.r-MIN(ROW(BP16:BP63))+1,_xlpm.f,INDEX(BS16:BS63,_xlpm.p),_xlpm.u,INDEX(BT16:BT63,_xlpm.p),_xlpm.s,INDEX(BV16:BV63,_xlpm.p),_xlpm.q,N(BA298)/_xlpm.f,IF(_xlpm.q&gt;=_xlpm.s,ROUND(_xlpm.q,1)&amp;" "&amp;_xlpm.ai_test&amp;" = "&amp;ROUND(_xlpm.q*_xlpm.f,1)&amp;" "&amp;_xlpm.u,ROUND(_xlpm.q,1)&amp;" "&amp;_xlpm.ai_test)),""),""))))</f>
        <v>0</v>
      </c>
      <c r="BD298" s="801"/>
      <c r="BE298" s="799" t="str">
        <f t="shared" si="153"/>
        <v xml:space="preserve">▼next ricipe </v>
      </c>
      <c r="BF298" s="800" t="str">
        <f t="shared" si="156"/>
        <v/>
      </c>
      <c r="BG298" s="802">
        <f t="shared" si="157"/>
        <v>0</v>
      </c>
      <c r="BH298" s="803" t="str">
        <f t="shared" si="158"/>
        <v/>
      </c>
      <c r="BI298" s="792"/>
      <c r="BJ298" s="804">
        <f t="shared" si="159"/>
        <v>0</v>
      </c>
      <c r="BK298" s="794" t="str">
        <f t="shared" si="154"/>
        <v/>
      </c>
      <c r="BL298" s="227" t="s">
        <v>21</v>
      </c>
      <c r="BM298" s="773">
        <f t="shared" si="144"/>
        <v>0</v>
      </c>
      <c r="BN298" s="774">
        <f t="shared" si="145"/>
        <v>0</v>
      </c>
      <c r="BO298"/>
      <c r="BP298" s="627"/>
      <c r="BQ298" s="627"/>
      <c r="BR298" s="627"/>
      <c r="BS298" s="627"/>
      <c r="BT298" s="627"/>
      <c r="BU298" s="627"/>
      <c r="BV298" s="627"/>
      <c r="BW298" s="627"/>
      <c r="BX298"/>
      <c r="BY298"/>
      <c r="BZ298"/>
      <c r="CA298"/>
      <c r="CB298"/>
      <c r="CC298"/>
      <c r="CD298" s="781" t="str">
        <f t="shared" si="139"/>
        <v>A</v>
      </c>
      <c r="CE298"/>
      <c r="CF298"/>
      <c r="CG298"/>
      <c r="CH298"/>
      <c r="CI298"/>
      <c r="CK298"/>
      <c r="CL298"/>
      <c r="CM298"/>
      <c r="CN298"/>
      <c r="CO298"/>
      <c r="CP298"/>
      <c r="CQ298"/>
      <c r="CS298"/>
      <c r="CT298"/>
      <c r="CU298"/>
      <c r="CV298"/>
      <c r="CW298"/>
      <c r="CX298"/>
      <c r="CY298"/>
      <c r="DA298"/>
      <c r="DB298"/>
      <c r="DC298"/>
      <c r="DD298"/>
      <c r="DE298"/>
      <c r="DF298"/>
      <c r="DG298"/>
      <c r="DI298" s="3">
        <v>1</v>
      </c>
      <c r="DJ298" s="627"/>
      <c r="DK298" s="627"/>
    </row>
    <row r="299" spans="1:115" s="633" customFormat="1" ht="21" customHeight="1">
      <c r="A299" s="701" t="s">
        <v>21</v>
      </c>
      <c r="B299" s="2265" t="str" cm="1">
        <f t="array" ref="B299">SUMPRODUCT(--(D299:J299&lt;&gt;""), LEN(TRIM(SUBSTITUTE(D299:J299, CHAR(160), "")))) &amp; " Car."</f>
        <v>0 Car.</v>
      </c>
      <c r="C299" s="1376" t="str">
        <f>IF(ISBLANK(D299),"",LARGE(C13:C298,1)+1)</f>
        <v/>
      </c>
      <c r="D299" s="1833"/>
      <c r="E299" s="1810"/>
      <c r="F299" s="1810"/>
      <c r="G299" s="1810"/>
      <c r="H299" s="1810"/>
      <c r="I299" s="1810"/>
      <c r="J299" s="1810"/>
      <c r="K299" s="1810"/>
      <c r="L299" s="1811"/>
      <c r="M299" s="9"/>
      <c r="N299" s="162" t="str">
        <f t="shared" si="140"/>
        <v>A</v>
      </c>
      <c r="O299" s="1616"/>
      <c r="P299" s="9"/>
      <c r="Q299" s="162" t="s">
        <v>10</v>
      </c>
      <c r="R299" s="163" t="str">
        <f>R215</f>
        <v>M MILLE-FEUILLE meringue et chiboust pamplemousse aux fraises des bois | collez la--FAMILLE| Auteur &gt; recette Béghin Say de Jean-Jacques Borne MOF 1994</v>
      </c>
      <c r="S299" s="163">
        <f>S215</f>
        <v>18</v>
      </c>
      <c r="T299" s="164" t="str">
        <f>T215</f>
        <v>desserts</v>
      </c>
      <c r="U299" s="165" t="str">
        <f>U215</f>
        <v>Recette mère ► MILLE-FEUILLE  aux fraises des bois</v>
      </c>
      <c r="V299" s="1379"/>
      <c r="W299" s="1380"/>
      <c r="X299" s="1380"/>
      <c r="Y299" s="1380"/>
      <c r="Z299" s="1380"/>
      <c r="AA299" s="1380"/>
      <c r="AB299" s="1380"/>
      <c r="AC299" s="1381" t="s">
        <v>196</v>
      </c>
      <c r="AD299" s="202"/>
      <c r="AE299" s="202"/>
      <c r="AF299" s="202"/>
      <c r="AG299" s="202"/>
      <c r="AH299" s="202"/>
      <c r="AI299" s="202"/>
      <c r="AJ299" s="885"/>
      <c r="AK299" s="6120" t="str">
        <f t="shared" si="155"/>
        <v>►</v>
      </c>
      <c r="AL299" s="781" t="str">
        <f t="shared" si="143"/>
        <v>►</v>
      </c>
      <c r="AM299" s="5499" t="str">
        <f t="shared" si="146"/>
        <v/>
      </c>
      <c r="AN299" s="783" t="str">
        <f t="shared" si="147"/>
        <v/>
      </c>
      <c r="AO299" s="782" t="str">
        <f t="shared" si="148"/>
        <v/>
      </c>
      <c r="AP299" s="783" t="str">
        <f t="shared" si="149"/>
        <v/>
      </c>
      <c r="AQ299" s="2083" t="b">
        <f>AND(Q299="A",COUNTIF(BP16:BR63,TRIM(Z299))&gt;0)</f>
        <v>0</v>
      </c>
      <c r="AR299" s="797" t="str">
        <f>IF(AL299&lt;&gt;"A","",IFERROR(IFERROR(_xlfn.XLOOKUP(TRIM(SUBSTITUTE(Z299,CHAR(160)," ")),BP16:BP63,BS16:BS63),IFERROR(_xlfn.XLOOKUP(TRIM(SUBSTITUTE(Z299,CHAR(160)," ")),BQ16:BQ63,BS16:BS63),_xlfn.XLOOKUP(TRIM(SUBSTITUTE(Z299,CHAR(160)," ")),BR16:BR63,BS16:BS63)))*Y299*IF(ISBLANK(V299),1,V299),0))</f>
        <v/>
      </c>
      <c r="AS299" s="784" t="str">
        <f t="shared" si="138"/>
        <v/>
      </c>
      <c r="AT299" s="1315" t="str">
        <f t="shared" si="150"/>
        <v/>
      </c>
      <c r="AU299" s="785">
        <f t="shared" si="151"/>
        <v>0</v>
      </c>
      <c r="AV299" s="785">
        <f t="shared" si="152"/>
        <v>0</v>
      </c>
      <c r="AW299" s="786">
        <f>IF(AK299="A",AY10,0)</f>
        <v>0</v>
      </c>
      <c r="AX299" s="5495" t="str">
        <f>IF(IFERROR(SEARCH("Adresse PC",TRIM(W299)),0)&gt;0,"▼ receta siguiente",IF(AK299="A",IF(AZ10&lt;&gt;"",AZ10&amp;" - ou.or.o ❾ + or - &gt;",""),""))</f>
        <v/>
      </c>
      <c r="AY299" s="810"/>
      <c r="AZ299" s="810"/>
      <c r="BA299" s="788" t="str">
        <f t="shared" si="142"/>
        <v/>
      </c>
      <c r="BB299" s="789" t="str">
        <f>IF(AK299="A",IF(AQ299,IF(AND(AW299&lt;&gt;"",N(AW299)&gt;0),IFERROR(IFERROR(_xlfn.XLOOKUP(AP299,BP10:BP57,BT10:BT57),IFERROR(_xlfn.XLOOKUP(AP299,BQ10:BQ57,BT10:BT57),_xlfn.XLOOKUP(AP299,BR10:BR57,BT10:BT57,""))),""),""),""),"")</f>
        <v/>
      </c>
      <c r="BC299" s="811" cm="1">
        <f t="array" ref="BC299">IF(NOT(AQ299),0,IF(OR(BA299="",N(BA299)&lt;=0.000000001),"",IF(OR(AU299="",N(AU299)&lt;=0.000000001),0,IF(ISNUMBER(BA299),IFERROR(_xlfn.LET(_xlpm.ai_test,TRIM(AP299),_xlpm.r,IFERROR(_xlfn.XLOOKUP(_xlpm.ai_test,BP16:BP63,ROW(BP16:BP63),0,1),IFERROR(_xlfn.XLOOKUP(_xlpm.ai_test,BQ16:BQ63,ROW(BQ16:BQ63),0,1),_xlfn.XLOOKUP(_xlpm.ai_test,BR16:BR63,ROW(BR16:BR63),0,1))),_xlpm.p,_xlpm.r-MIN(ROW(BP16:BP63))+1,_xlpm.f,INDEX(BS16:BS63,_xlpm.p),_xlpm.u,INDEX(BT16:BT63,_xlpm.p),_xlpm.s,INDEX(BV16:BV63,_xlpm.p),_xlpm.q,N(BA299)/_xlpm.f,IF(_xlpm.q&gt;=_xlpm.s,ROUND(_xlpm.q,1)&amp;" "&amp;_xlpm.ai_test&amp;" = "&amp;ROUND(_xlpm.q*_xlpm.f,1)&amp;" "&amp;_xlpm.u,ROUND(_xlpm.q,1)&amp;" "&amp;_xlpm.ai_test)),""),""))))</f>
        <v>0</v>
      </c>
      <c r="BD299" s="801"/>
      <c r="BE299" s="788" t="str">
        <f t="shared" si="153"/>
        <v/>
      </c>
      <c r="BF299" s="789" t="str">
        <f t="shared" si="156"/>
        <v/>
      </c>
      <c r="BG299" s="790">
        <f t="shared" si="157"/>
        <v>0</v>
      </c>
      <c r="BH299" s="791" t="str">
        <f t="shared" si="158"/>
        <v/>
      </c>
      <c r="BI299" s="792"/>
      <c r="BJ299" s="793">
        <f t="shared" si="159"/>
        <v>0</v>
      </c>
      <c r="BK299" s="794" t="str">
        <f t="shared" si="154"/>
        <v/>
      </c>
      <c r="BL299" s="227" t="s">
        <v>21</v>
      </c>
      <c r="BM299" s="773">
        <f t="shared" si="144"/>
        <v>0</v>
      </c>
      <c r="BN299" s="774">
        <f t="shared" si="145"/>
        <v>0</v>
      </c>
      <c r="BO299"/>
      <c r="BP299" s="627"/>
      <c r="BQ299" s="627"/>
      <c r="BR299" s="627"/>
      <c r="BS299" s="627"/>
      <c r="BT299" s="627"/>
      <c r="BU299" s="627"/>
      <c r="BV299" s="627"/>
      <c r="BW299" s="627"/>
      <c r="BX299"/>
      <c r="BY299"/>
      <c r="BZ299"/>
      <c r="CA299"/>
      <c r="CB299"/>
      <c r="CC299"/>
      <c r="CD299" s="781" t="str">
        <f t="shared" si="139"/>
        <v>►</v>
      </c>
      <c r="CE299"/>
      <c r="CF299"/>
      <c r="CG299"/>
      <c r="CH299"/>
      <c r="CI299"/>
      <c r="CK299"/>
      <c r="CL299"/>
      <c r="CM299"/>
      <c r="CN299"/>
      <c r="CO299"/>
      <c r="CP299"/>
      <c r="CQ299"/>
      <c r="CS299"/>
      <c r="CT299"/>
      <c r="CU299"/>
      <c r="CV299"/>
      <c r="CW299"/>
      <c r="CX299"/>
      <c r="CY299"/>
      <c r="DA299"/>
      <c r="DB299"/>
      <c r="DC299"/>
      <c r="DD299"/>
      <c r="DE299"/>
      <c r="DF299"/>
      <c r="DG299"/>
      <c r="DI299" s="3">
        <v>1</v>
      </c>
      <c r="DJ299" s="627"/>
      <c r="DK299" s="627"/>
    </row>
    <row r="300" spans="1:115" s="633" customFormat="1" ht="21" customHeight="1" thickBot="1">
      <c r="A300" s="701" t="s">
        <v>21</v>
      </c>
      <c r="B300" s="2265" t="str" cm="1">
        <f t="array" ref="B300">SUMPRODUCT(--(D300:J300&lt;&gt;""), LEN(TRIM(SUBSTITUTE(D300:J300, CHAR(160), "")))) &amp; " Car."</f>
        <v>0 Car.</v>
      </c>
      <c r="C300" s="1376" t="str">
        <f>IF(ISBLANK(D300),"",LARGE(C13:C299,1)+1)</f>
        <v/>
      </c>
      <c r="D300" s="1833"/>
      <c r="E300" s="1810"/>
      <c r="F300" s="1810"/>
      <c r="G300" s="1810"/>
      <c r="H300" s="1810"/>
      <c r="I300" s="1810"/>
      <c r="J300" s="1810"/>
      <c r="K300" s="1810"/>
      <c r="L300" s="1811"/>
      <c r="M300" s="9"/>
      <c r="N300" s="162" t="str">
        <f t="shared" si="140"/>
        <v>A</v>
      </c>
      <c r="O300" s="1616"/>
      <c r="P300" s="9"/>
      <c r="Q300" s="162" t="s">
        <v>10</v>
      </c>
      <c r="R300" s="163" t="str">
        <f>R215</f>
        <v>M MILLE-FEUILLE meringue et chiboust pamplemousse aux fraises des bois | collez la--FAMILLE| Auteur &gt; recette Béghin Say de Jean-Jacques Borne MOF 1994</v>
      </c>
      <c r="S300" s="163">
        <f>S215</f>
        <v>18</v>
      </c>
      <c r="T300" s="164" t="str">
        <f>T215</f>
        <v>desserts</v>
      </c>
      <c r="U300" s="165" t="str">
        <f>U215</f>
        <v>Recette mère ► MILLE-FEUILLE  aux fraises des bois</v>
      </c>
      <c r="V300" s="2139"/>
      <c r="W300" s="2124"/>
      <c r="X300" s="2138"/>
      <c r="Y300" s="2140" t="s">
        <v>8860</v>
      </c>
      <c r="Z300" s="2065">
        <f ca="1">Z257</f>
        <v>132</v>
      </c>
      <c r="AA300" s="886" t="s">
        <v>200</v>
      </c>
      <c r="AB300" s="2137"/>
      <c r="AC300" s="2137"/>
      <c r="AD300" s="2137"/>
      <c r="AE300" s="472"/>
      <c r="AF300" s="472"/>
      <c r="AG300" s="472"/>
      <c r="AH300" s="2260" t="str">
        <f>IF(AB301="","",(LEN(TRIM(SUBSTITUTE(AB301,CHAR(160)," ")))-LEN(SUBSTITUTE(TRIM(SUBSTITUTE(AB301,CHAR(160)," "))," ",""))+1)&amp;" mot"&amp;IF((LEN(TRIM(SUBSTITUTE(AB301,CHAR(160)," ")))-LEN(SUBSTITUTE(TRIM(SUBSTITUTE(AB301,CHAR(160)," "))," ",""))+1)&gt;1,"s",""))</f>
        <v>17 mots</v>
      </c>
      <c r="AI300" s="2259" t="str">
        <f>IF(AB301="","",LEN(TRIM(SUBSTITUTE(AB301,CHAR(160),""))))&amp;" Car."</f>
        <v>123 Car.</v>
      </c>
      <c r="AJ300" s="2261" t="s">
        <v>8863</v>
      </c>
      <c r="AK300" s="6120" t="str">
        <f t="shared" si="155"/>
        <v>►</v>
      </c>
      <c r="AL300" s="781" t="str">
        <f t="shared" si="143"/>
        <v>►</v>
      </c>
      <c r="AM300" s="5498" t="str">
        <f t="shared" si="146"/>
        <v/>
      </c>
      <c r="AN300" s="783" t="str">
        <f t="shared" si="147"/>
        <v/>
      </c>
      <c r="AO300" s="782" t="str">
        <f t="shared" si="148"/>
        <v/>
      </c>
      <c r="AP300" s="783" t="str">
        <f t="shared" si="149"/>
        <v/>
      </c>
      <c r="AQ300" s="2083" t="b">
        <f ca="1">AND(Q300="A",COUNTIF(BP16:BR63,TRIM(Z300))&gt;0)</f>
        <v>0</v>
      </c>
      <c r="AR300" s="797" t="str">
        <f>IF(AL300&lt;&gt;"A","",IFERROR(IFERROR(_xlfn.XLOOKUP(TRIM(SUBSTITUTE(Z300,CHAR(160)," ")),BP16:BP63,BS16:BS63),IFERROR(_xlfn.XLOOKUP(TRIM(SUBSTITUTE(Z300,CHAR(160)," ")),BQ16:BQ63,BS16:BS63),_xlfn.XLOOKUP(TRIM(SUBSTITUTE(Z300,CHAR(160)," ")),BR16:BR63,BS16:BS63)))*Y300*IF(ISBLANK(V300),1,V300),0))</f>
        <v/>
      </c>
      <c r="AS300" s="784" t="str">
        <f t="shared" si="138"/>
        <v/>
      </c>
      <c r="AT300" s="1315" t="str">
        <f t="shared" si="150"/>
        <v/>
      </c>
      <c r="AU300" s="785">
        <f t="shared" si="151"/>
        <v>0</v>
      </c>
      <c r="AV300" s="785">
        <f t="shared" si="152"/>
        <v>0</v>
      </c>
      <c r="AW300" s="798">
        <f>IF(AK300="A",AY10,0)</f>
        <v>0</v>
      </c>
      <c r="AX300" s="5496" t="str">
        <f>IF(IFERROR(SEARCH("Adresse PC",TRIM(W300)),0)&gt;0,"▼ receta siguiente",IF(AK300="A",IF(AZ10&lt;&gt;"",AZ10&amp;" - ou.or.o ❾ + or - &gt;",""),""))</f>
        <v/>
      </c>
      <c r="AY300" s="810"/>
      <c r="AZ300" s="810"/>
      <c r="BA300" s="799" t="str">
        <f t="shared" si="142"/>
        <v/>
      </c>
      <c r="BB300" s="800" t="str">
        <f>IF(AK300="A",IF(AQ300,IF(AND(AW300&lt;&gt;"",N(AW300)&gt;0),IFERROR(IFERROR(_xlfn.XLOOKUP(AP300,BP10:BP57,BT10:BT57),IFERROR(_xlfn.XLOOKUP(AP300,BQ10:BQ57,BT10:BT57),_xlfn.XLOOKUP(AP300,BR10:BR57,BT10:BT57,""))),""),""),""),"")</f>
        <v/>
      </c>
      <c r="BC300" s="813" cm="1">
        <f t="array" aca="1" ref="BC300" ca="1">IF(NOT(AQ300),0,IF(OR(BA300="",N(BA300)&lt;=0.000000001),"",IF(OR(AU300="",N(AU300)&lt;=0.000000001),0,IF(ISNUMBER(BA300),IFERROR(_xlfn.LET(_xlpm.ai_test,TRIM(AP300),_xlpm.r,IFERROR(_xlfn.XLOOKUP(_xlpm.ai_test,BP16:BP63,ROW(BP16:BP63),0,1),IFERROR(_xlfn.XLOOKUP(_xlpm.ai_test,BQ16:BQ63,ROW(BQ16:BQ63),0,1),_xlfn.XLOOKUP(_xlpm.ai_test,BR16:BR63,ROW(BR16:BR63),0,1))),_xlpm.p,_xlpm.r-MIN(ROW(BP16:BP63))+1,_xlpm.f,INDEX(BS16:BS63,_xlpm.p),_xlpm.u,INDEX(BT16:BT63,_xlpm.p),_xlpm.s,INDEX(BV16:BV63,_xlpm.p),_xlpm.q,N(BA300)/_xlpm.f,IF(_xlpm.q&gt;=_xlpm.s,ROUND(_xlpm.q,1)&amp;" "&amp;_xlpm.ai_test&amp;" = "&amp;ROUND(_xlpm.q*_xlpm.f,1)&amp;" "&amp;_xlpm.u,ROUND(_xlpm.q,1)&amp;" "&amp;_xlpm.ai_test)),""),""))))</f>
        <v>0</v>
      </c>
      <c r="BD300" s="801"/>
      <c r="BE300" s="799" t="str">
        <f t="shared" si="153"/>
        <v/>
      </c>
      <c r="BF300" s="800" t="str">
        <f t="shared" ca="1" si="156"/>
        <v/>
      </c>
      <c r="BG300" s="802">
        <f t="shared" si="157"/>
        <v>0</v>
      </c>
      <c r="BH300" s="803" t="str">
        <f t="shared" ca="1" si="158"/>
        <v/>
      </c>
      <c r="BI300" s="792"/>
      <c r="BJ300" s="804">
        <f t="shared" si="159"/>
        <v>0</v>
      </c>
      <c r="BK300" s="794" t="str">
        <f t="shared" si="154"/>
        <v/>
      </c>
      <c r="BL300" s="227" t="s">
        <v>21</v>
      </c>
      <c r="BM300" s="773">
        <f t="shared" si="144"/>
        <v>0</v>
      </c>
      <c r="BN300" s="774">
        <f t="shared" si="145"/>
        <v>0</v>
      </c>
      <c r="BO300"/>
      <c r="BP300" s="627"/>
      <c r="BQ300" s="627"/>
      <c r="BR300" s="627"/>
      <c r="BS300" s="627"/>
      <c r="BT300" s="627"/>
      <c r="BU300" s="627"/>
      <c r="BV300" s="627"/>
      <c r="BW300" s="627"/>
      <c r="BX300"/>
      <c r="BY300"/>
      <c r="BZ300"/>
      <c r="CA300"/>
      <c r="CB300"/>
      <c r="CC300"/>
      <c r="CD300" s="781" t="str">
        <f t="shared" si="139"/>
        <v>►</v>
      </c>
      <c r="CE300"/>
      <c r="CF300"/>
      <c r="CG300"/>
      <c r="CH300"/>
      <c r="CI300"/>
      <c r="CK300"/>
      <c r="CL300"/>
      <c r="CM300"/>
      <c r="CN300"/>
      <c r="CO300"/>
      <c r="CP300"/>
      <c r="CQ300"/>
      <c r="CS300"/>
      <c r="CT300"/>
      <c r="CU300"/>
      <c r="CV300"/>
      <c r="CW300"/>
      <c r="CX300"/>
      <c r="CY300"/>
      <c r="DA300"/>
      <c r="DB300"/>
      <c r="DC300"/>
      <c r="DD300"/>
      <c r="DE300"/>
      <c r="DF300"/>
      <c r="DG300"/>
      <c r="DI300" s="3">
        <v>1</v>
      </c>
      <c r="DJ300" s="627"/>
      <c r="DK300" s="627"/>
    </row>
    <row r="301" spans="1:115" s="633" customFormat="1" ht="21" customHeight="1" thickBot="1">
      <c r="A301" s="701" t="s">
        <v>21</v>
      </c>
      <c r="B301" s="2265" t="str" cm="1">
        <f t="array" ref="B301">SUMPRODUCT(--(D301:J301&lt;&gt;""), LEN(TRIM(SUBSTITUTE(D301:J301, CHAR(160), "")))) &amp; " Car."</f>
        <v>0 Car.</v>
      </c>
      <c r="C301" s="1376" t="str">
        <f>IF(ISBLANK(D301),"",LARGE(C13:C300,1)+1)</f>
        <v/>
      </c>
      <c r="D301" s="1833"/>
      <c r="E301" s="1810"/>
      <c r="F301" s="1810"/>
      <c r="G301" s="1810"/>
      <c r="H301" s="1810"/>
      <c r="I301" s="1810"/>
      <c r="J301" s="1810"/>
      <c r="K301" s="1810"/>
      <c r="L301" s="1811"/>
      <c r="M301" s="9"/>
      <c r="N301" s="1814" t="str">
        <f t="shared" si="140"/>
        <v>A</v>
      </c>
      <c r="O301" s="1616"/>
      <c r="P301" s="9"/>
      <c r="Q301" s="1814" t="s">
        <v>10</v>
      </c>
      <c r="R301" s="209" t="str">
        <f>R215</f>
        <v>M MILLE-FEUILLE meringue et chiboust pamplemousse aux fraises des bois | collez la--FAMILLE| Auteur &gt; recette Béghin Say de Jean-Jacques Borne MOF 1994</v>
      </c>
      <c r="S301" s="209">
        <f>S215</f>
        <v>18</v>
      </c>
      <c r="T301" s="210" t="str">
        <f>T215</f>
        <v>desserts</v>
      </c>
      <c r="U301" s="211" t="str">
        <f>U215</f>
        <v>Recette mère ► MILLE-FEUILLE  aux fraises des bois</v>
      </c>
      <c r="V301" s="2129"/>
      <c r="W301" s="2130"/>
      <c r="X301" s="2131"/>
      <c r="Y301" s="2132"/>
      <c r="Z301" s="2133"/>
      <c r="AA301" s="2133" t="s">
        <v>8864</v>
      </c>
      <c r="AB301" s="5545" t="s">
        <v>8866</v>
      </c>
      <c r="AC301" s="2136"/>
      <c r="AD301" s="2134"/>
      <c r="AE301" s="2134"/>
      <c r="AF301" s="2134"/>
      <c r="AG301" s="2134"/>
      <c r="AH301" s="2134"/>
      <c r="AI301" s="2134"/>
      <c r="AJ301" s="2135"/>
      <c r="AK301" s="6120" t="str">
        <f t="shared" si="155"/>
        <v>►</v>
      </c>
      <c r="AL301" s="781" t="str">
        <f t="shared" si="143"/>
        <v>►</v>
      </c>
      <c r="AM301" s="5499" t="str">
        <f t="shared" si="146"/>
        <v/>
      </c>
      <c r="AN301" s="783" t="str">
        <f t="shared" si="147"/>
        <v/>
      </c>
      <c r="AO301" s="782" t="str">
        <f t="shared" si="148"/>
        <v/>
      </c>
      <c r="AP301" s="783" t="str">
        <f t="shared" si="149"/>
        <v/>
      </c>
      <c r="AQ301" s="2083" t="b">
        <f>AND(Q301="A",COUNTIF(BP16:BR63,TRIM(Z301))&gt;0)</f>
        <v>0</v>
      </c>
      <c r="AR301" s="797" t="str">
        <f>IF(AL301&lt;&gt;"A","",IFERROR(IFERROR(_xlfn.XLOOKUP(TRIM(SUBSTITUTE(Z301,CHAR(160)," ")),BP16:BP63,BS16:BS63),IFERROR(_xlfn.XLOOKUP(TRIM(SUBSTITUTE(Z301,CHAR(160)," ")),BQ16:BQ63,BS16:BS63),_xlfn.XLOOKUP(TRIM(SUBSTITUTE(Z301,CHAR(160)," ")),BR16:BR63,BS16:BS63)))*Y301*IF(ISBLANK(V301),1,V301),0))</f>
        <v/>
      </c>
      <c r="AS301" s="784" t="str">
        <f t="shared" si="138"/>
        <v/>
      </c>
      <c r="AT301" s="1315" t="str">
        <f t="shared" si="150"/>
        <v/>
      </c>
      <c r="AU301" s="785">
        <f t="shared" si="151"/>
        <v>0</v>
      </c>
      <c r="AV301" s="785">
        <f t="shared" si="152"/>
        <v>0</v>
      </c>
      <c r="AW301" s="786">
        <f>IF(AK301="A",AY10,0)</f>
        <v>0</v>
      </c>
      <c r="AX301" s="5495" t="str">
        <f>IF(IFERROR(SEARCH("Adresse PC",TRIM(W301)),0)&gt;0,"▼ receta siguiente",IF(AK301="A",IF(AZ10&lt;&gt;"",AZ10&amp;" - ou.or.o ❾ + or - &gt;",""),""))</f>
        <v/>
      </c>
      <c r="AY301" s="810"/>
      <c r="AZ301" s="810"/>
      <c r="BA301" s="788" t="str">
        <f t="shared" si="142"/>
        <v/>
      </c>
      <c r="BB301" s="789" t="str">
        <f>IF(AK301="A",IF(AQ301,IF(AND(AW301&lt;&gt;"",N(AW301)&gt;0),IFERROR(IFERROR(_xlfn.XLOOKUP(AP301,BP10:BP57,BT10:BT57),IFERROR(_xlfn.XLOOKUP(AP301,BQ10:BQ57,BT10:BT57),_xlfn.XLOOKUP(AP301,BR10:BR57,BT10:BT57,""))),""),""),""),"")</f>
        <v/>
      </c>
      <c r="BC301" s="811" cm="1">
        <f t="array" ref="BC301">IF(NOT(AQ301),0,IF(OR(BA301="",N(BA301)&lt;=0.000000001),"",IF(OR(AU301="",N(AU301)&lt;=0.000000001),0,IF(ISNUMBER(BA301),IFERROR(_xlfn.LET(_xlpm.ai_test,TRIM(AP301),_xlpm.r,IFERROR(_xlfn.XLOOKUP(_xlpm.ai_test,BP16:BP63,ROW(BP16:BP63),0,1),IFERROR(_xlfn.XLOOKUP(_xlpm.ai_test,BQ16:BQ63,ROW(BQ16:BQ63),0,1),_xlfn.XLOOKUP(_xlpm.ai_test,BR16:BR63,ROW(BR16:BR63),0,1))),_xlpm.p,_xlpm.r-MIN(ROW(BP16:BP63))+1,_xlpm.f,INDEX(BS16:BS63,_xlpm.p),_xlpm.u,INDEX(BT16:BT63,_xlpm.p),_xlpm.s,INDEX(BV16:BV63,_xlpm.p),_xlpm.q,N(BA301)/_xlpm.f,IF(_xlpm.q&gt;=_xlpm.s,ROUND(_xlpm.q,1)&amp;" "&amp;_xlpm.ai_test&amp;" = "&amp;ROUND(_xlpm.q*_xlpm.f,1)&amp;" "&amp;_xlpm.u,ROUND(_xlpm.q,1)&amp;" "&amp;_xlpm.ai_test)),""),""))))</f>
        <v>0</v>
      </c>
      <c r="BD301" s="801"/>
      <c r="BE301" s="788" t="str">
        <f t="shared" si="153"/>
        <v/>
      </c>
      <c r="BF301" s="789" t="str">
        <f t="shared" si="156"/>
        <v/>
      </c>
      <c r="BG301" s="790">
        <f t="shared" si="157"/>
        <v>0</v>
      </c>
      <c r="BH301" s="791" t="str">
        <f t="shared" si="158"/>
        <v/>
      </c>
      <c r="BI301" s="792"/>
      <c r="BJ301" s="793">
        <f t="shared" si="159"/>
        <v>0</v>
      </c>
      <c r="BK301" s="794" t="str">
        <f t="shared" si="154"/>
        <v/>
      </c>
      <c r="BL301" s="227" t="s">
        <v>21</v>
      </c>
      <c r="BM301" s="773">
        <f t="shared" si="144"/>
        <v>0</v>
      </c>
      <c r="BN301" s="774">
        <f t="shared" si="145"/>
        <v>0</v>
      </c>
      <c r="BO301"/>
      <c r="BP301" s="627"/>
      <c r="BQ301" s="627"/>
      <c r="BR301" s="627"/>
      <c r="BS301" s="627"/>
      <c r="BT301" s="627"/>
      <c r="BU301" s="627"/>
      <c r="BV301" s="627"/>
      <c r="BW301" s="627"/>
      <c r="BX301"/>
      <c r="BY301"/>
      <c r="BZ301"/>
      <c r="CA301"/>
      <c r="CB301"/>
      <c r="CC301"/>
      <c r="CD301" s="781" t="str">
        <f t="shared" si="139"/>
        <v>►</v>
      </c>
      <c r="CE301"/>
      <c r="CF301"/>
      <c r="CG301"/>
      <c r="CH301"/>
      <c r="CI301"/>
      <c r="CK301"/>
      <c r="CL301"/>
      <c r="CM301"/>
      <c r="CN301"/>
      <c r="CO301"/>
      <c r="CP301"/>
      <c r="CQ301"/>
      <c r="CS301"/>
      <c r="CT301"/>
      <c r="CU301"/>
      <c r="CV301"/>
      <c r="CW301"/>
      <c r="CX301"/>
      <c r="CY301"/>
      <c r="DA301"/>
      <c r="DB301"/>
      <c r="DC301"/>
      <c r="DD301"/>
      <c r="DE301"/>
      <c r="DF301"/>
      <c r="DG301"/>
      <c r="DI301" s="3">
        <v>1</v>
      </c>
      <c r="DJ301" s="627"/>
      <c r="DK301" s="627"/>
    </row>
    <row r="302" spans="1:115" s="633" customFormat="1" ht="21" customHeight="1" thickBot="1">
      <c r="A302" s="701" t="s">
        <v>21</v>
      </c>
      <c r="B302" s="2265" t="str" cm="1">
        <f t="array" ref="B302">SUMPRODUCT(--(D302:J302&lt;&gt;""), LEN(TRIM(SUBSTITUTE(D302:J302, CHAR(160), "")))) &amp; " Car."</f>
        <v>0 Car.</v>
      </c>
      <c r="C302" s="1376" t="str">
        <f>IF(ISBLANK(D302),"",LARGE(C13:C301,1)+1)</f>
        <v/>
      </c>
      <c r="D302" s="1833"/>
      <c r="E302" s="1810"/>
      <c r="F302" s="1810"/>
      <c r="G302" s="1810"/>
      <c r="H302" s="1810"/>
      <c r="I302" s="1810"/>
      <c r="J302" s="1810"/>
      <c r="K302" s="1810"/>
      <c r="L302" s="1811"/>
      <c r="M302" s="9"/>
      <c r="N302" s="215" t="str">
        <f t="shared" si="140"/>
        <v>A</v>
      </c>
      <c r="O302" s="1616"/>
      <c r="P302" s="9"/>
      <c r="Q302" s="215" t="s">
        <v>10</v>
      </c>
      <c r="R302" s="216"/>
      <c r="S302" s="216"/>
      <c r="T302" s="216"/>
      <c r="U302" s="217"/>
      <c r="V302" s="218" t="s">
        <v>207</v>
      </c>
      <c r="W302" s="219" t="str">
        <f ca="1">CELL("nomfichier")</f>
        <v>D:\Données\1.UPRT\0-UPRT.fait\1-UPRT.FR-SITE-WEB\ff-fiches-fabrications\ff.fiches.fabrication.2023\ffr.restaurant.2023\[ff.FICHE.TRILINGUE.20.COLONNES.05.01.2026.xlsx]Couleurs.pour.vos.documents</v>
      </c>
      <c r="X302" s="220"/>
      <c r="Y302" s="220"/>
      <c r="Z302" s="220"/>
      <c r="AA302" s="220"/>
      <c r="AB302" s="220"/>
      <c r="AC302" s="220"/>
      <c r="AD302" s="220"/>
      <c r="AE302" s="220"/>
      <c r="AF302" s="220"/>
      <c r="AG302" s="220"/>
      <c r="AH302" s="220"/>
      <c r="AI302" s="220"/>
      <c r="AJ302" s="221"/>
      <c r="AK302" s="6120" t="str">
        <f t="shared" si="155"/>
        <v>►</v>
      </c>
      <c r="AL302" s="781" t="str">
        <f t="shared" ca="1" si="143"/>
        <v>►</v>
      </c>
      <c r="AM302" s="5498" t="str">
        <f t="shared" ca="1" si="146"/>
        <v/>
      </c>
      <c r="AN302" s="783" t="str">
        <f t="shared" si="147"/>
        <v/>
      </c>
      <c r="AO302" s="782" t="str">
        <f t="shared" si="148"/>
        <v/>
      </c>
      <c r="AP302" s="783" t="str">
        <f t="shared" si="149"/>
        <v/>
      </c>
      <c r="AQ302" s="2083" t="b">
        <f>AND(Q302="A",COUNTIF(BP16:BR63,TRIM(Z302))&gt;0)</f>
        <v>0</v>
      </c>
      <c r="AR302" s="797" t="str">
        <f ca="1">IF(AL302&lt;&gt;"A","",IFERROR(IFERROR(_xlfn.XLOOKUP(TRIM(SUBSTITUTE(Z302,CHAR(160)," ")),BP16:BP63,BS16:BS63),IFERROR(_xlfn.XLOOKUP(TRIM(SUBSTITUTE(Z302,CHAR(160)," ")),BQ16:BQ63,BS16:BS63),_xlfn.XLOOKUP(TRIM(SUBSTITUTE(Z302,CHAR(160)," ")),BR16:BR63,BS16:BS63)))*Y302*IF(ISBLANK(V302),1,V302),0))</f>
        <v/>
      </c>
      <c r="AS302" s="784" t="str">
        <f t="shared" si="138"/>
        <v/>
      </c>
      <c r="AT302" s="1315" t="str">
        <f t="shared" si="150"/>
        <v/>
      </c>
      <c r="AU302" s="785">
        <f t="shared" si="151"/>
        <v>0</v>
      </c>
      <c r="AV302" s="785">
        <f t="shared" si="152"/>
        <v>0</v>
      </c>
      <c r="AW302" s="798">
        <f>IF(AK302="A",AY10,0)</f>
        <v>0</v>
      </c>
      <c r="AX302" s="5496" t="str">
        <f ca="1">IF(IFERROR(SEARCH("Adresse PC",TRIM(W302)),0)&gt;0,"▼ receta siguiente",IF(AK302="A",IF(AZ10&lt;&gt;"",AZ10&amp;" - ou.or.o ❾ + or - &gt;",""),""))</f>
        <v/>
      </c>
      <c r="AY302" s="810"/>
      <c r="AZ302" s="810"/>
      <c r="BA302" s="799" t="str">
        <f t="shared" si="142"/>
        <v/>
      </c>
      <c r="BB302" s="800" t="str">
        <f>IF(AK302="A",IF(AQ302,IF(AND(AW302&lt;&gt;"",N(AW302)&gt;0),IFERROR(IFERROR(_xlfn.XLOOKUP(AP302,BP10:BP57,BT10:BT57),IFERROR(_xlfn.XLOOKUP(AP302,BQ10:BQ57,BT10:BT57),_xlfn.XLOOKUP(AP302,BR10:BR57,BT10:BT57,""))),""),""),""),"")</f>
        <v/>
      </c>
      <c r="BC302" s="813" cm="1">
        <f t="array" ref="BC302">IF(NOT(AQ302),0,IF(OR(BA302="",N(BA302)&lt;=0.000000001),"",IF(OR(AU302="",N(AU302)&lt;=0.000000001),0,IF(ISNUMBER(BA302),IFERROR(_xlfn.LET(_xlpm.ai_test,TRIM(AP302),_xlpm.r,IFERROR(_xlfn.XLOOKUP(_xlpm.ai_test,BP16:BP63,ROW(BP16:BP63),0,1),IFERROR(_xlfn.XLOOKUP(_xlpm.ai_test,BQ16:BQ63,ROW(BQ16:BQ63),0,1),_xlfn.XLOOKUP(_xlpm.ai_test,BR16:BR63,ROW(BR16:BR63),0,1))),_xlpm.p,_xlpm.r-MIN(ROW(BP16:BP63))+1,_xlpm.f,INDEX(BS16:BS63,_xlpm.p),_xlpm.u,INDEX(BT16:BT63,_xlpm.p),_xlpm.s,INDEX(BV16:BV63,_xlpm.p),_xlpm.q,N(BA302)/_xlpm.f,IF(_xlpm.q&gt;=_xlpm.s,ROUND(_xlpm.q,1)&amp;" "&amp;_xlpm.ai_test&amp;" = "&amp;ROUND(_xlpm.q*_xlpm.f,1)&amp;" "&amp;_xlpm.u,ROUND(_xlpm.q,1)&amp;" "&amp;_xlpm.ai_test)),""),""))))</f>
        <v>0</v>
      </c>
      <c r="BD302" s="801"/>
      <c r="BE302" s="799" t="str">
        <f t="shared" ca="1" si="153"/>
        <v/>
      </c>
      <c r="BF302" s="800" t="str">
        <f t="shared" si="156"/>
        <v/>
      </c>
      <c r="BG302" s="802">
        <f t="shared" si="157"/>
        <v>0</v>
      </c>
      <c r="BH302" s="803" t="str">
        <f t="shared" si="158"/>
        <v/>
      </c>
      <c r="BI302" s="792"/>
      <c r="BJ302" s="804">
        <f t="shared" si="159"/>
        <v>0</v>
      </c>
      <c r="BK302" s="794" t="str">
        <f t="shared" si="154"/>
        <v/>
      </c>
      <c r="BL302" s="227" t="s">
        <v>21</v>
      </c>
      <c r="BM302" s="773">
        <f t="shared" si="144"/>
        <v>0</v>
      </c>
      <c r="BN302" s="774">
        <f t="shared" ca="1" si="145"/>
        <v>0</v>
      </c>
      <c r="BO302"/>
      <c r="BP302" s="627"/>
      <c r="BQ302" s="627"/>
      <c r="BR302" s="627"/>
      <c r="BS302" s="627"/>
      <c r="BT302" s="627"/>
      <c r="BU302" s="627"/>
      <c r="BV302" s="627"/>
      <c r="BW302" s="627"/>
      <c r="BX302"/>
      <c r="BY302"/>
      <c r="BZ302"/>
      <c r="CA302"/>
      <c r="CB302"/>
      <c r="CC302"/>
      <c r="CD302" s="781" t="str">
        <f t="shared" ca="1" si="139"/>
        <v>►</v>
      </c>
      <c r="CE302"/>
      <c r="CF302"/>
      <c r="CG302"/>
      <c r="CH302"/>
      <c r="CI302"/>
      <c r="CK302"/>
      <c r="CL302"/>
      <c r="CM302"/>
      <c r="CN302"/>
      <c r="CO302"/>
      <c r="CP302"/>
      <c r="CQ302"/>
      <c r="CS302"/>
      <c r="CT302"/>
      <c r="CU302"/>
      <c r="CV302"/>
      <c r="CW302"/>
      <c r="CX302"/>
      <c r="CY302"/>
      <c r="DA302"/>
      <c r="DB302"/>
      <c r="DC302"/>
      <c r="DD302"/>
      <c r="DE302"/>
      <c r="DF302"/>
      <c r="DG302"/>
      <c r="DI302" s="3">
        <v>1</v>
      </c>
      <c r="DJ302" s="627"/>
      <c r="DK302" s="627"/>
    </row>
    <row r="303" spans="1:115" s="633" customFormat="1" ht="21" customHeight="1" thickBot="1">
      <c r="A303" s="701" t="s">
        <v>21</v>
      </c>
      <c r="B303" s="2265" t="str" cm="1">
        <f t="array" ref="B303">SUMPRODUCT(--(D303:J303&lt;&gt;""), LEN(TRIM(SUBSTITUTE(D303:J303, CHAR(160), "")))) &amp; " Car."</f>
        <v>0 Car.</v>
      </c>
      <c r="C303" s="1376" t="str">
        <f>IF(ISBLANK(D303),"",LARGE(C13:C302,1)+1)</f>
        <v/>
      </c>
      <c r="D303" s="1833"/>
      <c r="E303" s="1810"/>
      <c r="F303" s="1810"/>
      <c r="G303" s="1810"/>
      <c r="H303" s="1810"/>
      <c r="I303" s="1810"/>
      <c r="J303" s="1810"/>
      <c r="K303" s="1810"/>
      <c r="L303" s="1811"/>
      <c r="M303" s="9"/>
      <c r="N303" s="1216" t="str">
        <f t="shared" si="140"/>
        <v>A</v>
      </c>
      <c r="O303" s="1616"/>
      <c r="P303" s="9"/>
      <c r="Q303" s="1216" t="s">
        <v>10</v>
      </c>
      <c r="R303" s="1217" t="s">
        <v>10</v>
      </c>
      <c r="S303" s="1217" t="s">
        <v>10</v>
      </c>
      <c r="T303" s="1217" t="s">
        <v>10</v>
      </c>
      <c r="U303" s="1217" t="s">
        <v>10</v>
      </c>
      <c r="V303" s="1218" t="s">
        <v>2394</v>
      </c>
      <c r="W303" s="1219"/>
      <c r="X303" s="1220"/>
      <c r="Y303" s="1221"/>
      <c r="Z303" s="1222"/>
      <c r="AA303" s="1223"/>
      <c r="AB303" s="1223"/>
      <c r="AC303" s="1221"/>
      <c r="AD303" s="1221"/>
      <c r="AE303" s="1219"/>
      <c r="AF303" s="1219"/>
      <c r="AG303" s="1219"/>
      <c r="AH303" s="1219"/>
      <c r="AI303" s="1219"/>
      <c r="AJ303" s="1224" t="s">
        <v>1755</v>
      </c>
      <c r="AK303" s="6120" t="str">
        <f t="shared" si="155"/>
        <v>►</v>
      </c>
      <c r="AL303" s="781" t="str">
        <f t="shared" si="143"/>
        <v>►</v>
      </c>
      <c r="AM303" s="5499" t="str">
        <f t="shared" si="146"/>
        <v/>
      </c>
      <c r="AN303" s="783" t="str">
        <f t="shared" si="147"/>
        <v/>
      </c>
      <c r="AO303" s="782" t="str">
        <f t="shared" si="148"/>
        <v/>
      </c>
      <c r="AP303" s="783" t="str">
        <f t="shared" si="149"/>
        <v/>
      </c>
      <c r="AQ303" s="2083" t="b">
        <f>AND(Q303="A",COUNTIF(BP16:BR63,TRIM(Z303))&gt;0)</f>
        <v>0</v>
      </c>
      <c r="AR303" s="797" t="str">
        <f>IF(AL303&lt;&gt;"A","",IFERROR(IFERROR(_xlfn.XLOOKUP(TRIM(SUBSTITUTE(Z303,CHAR(160)," ")),BP16:BP63,BS16:BS63),IFERROR(_xlfn.XLOOKUP(TRIM(SUBSTITUTE(Z303,CHAR(160)," ")),BQ16:BQ63,BS16:BS63),_xlfn.XLOOKUP(TRIM(SUBSTITUTE(Z303,CHAR(160)," ")),BR16:BR63,BS16:BS63)))*Y303*IF(ISBLANK(V303),1,V303),0))</f>
        <v/>
      </c>
      <c r="AS303" s="784" t="str">
        <f t="shared" si="138"/>
        <v/>
      </c>
      <c r="AT303" s="1315" t="str">
        <f t="shared" si="150"/>
        <v/>
      </c>
      <c r="AU303" s="785">
        <f t="shared" si="151"/>
        <v>0</v>
      </c>
      <c r="AV303" s="785">
        <f t="shared" si="152"/>
        <v>0</v>
      </c>
      <c r="AW303" s="786">
        <f>IF(AK303="A",AY10,0)</f>
        <v>0</v>
      </c>
      <c r="AX303" s="5495" t="str">
        <f>IF(IFERROR(SEARCH("Adresse PC",TRIM(W303)),0)&gt;0,"▼ receta siguiente",IF(AK303="A",IF(AZ10&lt;&gt;"",AZ10&amp;" - ou.or.o ❾ + or - &gt;",""),""))</f>
        <v/>
      </c>
      <c r="AY303" s="810"/>
      <c r="AZ303" s="810"/>
      <c r="BA303" s="788" t="str">
        <f t="shared" si="142"/>
        <v/>
      </c>
      <c r="BB303" s="789" t="str">
        <f>IF(AK303="A",IF(AQ303,IF(AND(AW303&lt;&gt;"",N(AW303)&gt;0),IFERROR(IFERROR(_xlfn.XLOOKUP(AP303,BP10:BP57,BT10:BT57),IFERROR(_xlfn.XLOOKUP(AP303,BQ10:BQ57,BT10:BT57),_xlfn.XLOOKUP(AP303,BR10:BR57,BT10:BT57,""))),""),""),""),"")</f>
        <v/>
      </c>
      <c r="BC303" s="811" cm="1">
        <f t="array" ref="BC303">IF(NOT(AQ303),0,IF(OR(BA303="",N(BA303)&lt;=0.000000001),"",IF(OR(AU303="",N(AU303)&lt;=0.000000001),0,IF(ISNUMBER(BA303),IFERROR(_xlfn.LET(_xlpm.ai_test,TRIM(AP303),_xlpm.r,IFERROR(_xlfn.XLOOKUP(_xlpm.ai_test,BP16:BP63,ROW(BP16:BP63),0,1),IFERROR(_xlfn.XLOOKUP(_xlpm.ai_test,BQ16:BQ63,ROW(BQ16:BQ63),0,1),_xlfn.XLOOKUP(_xlpm.ai_test,BR16:BR63,ROW(BR16:BR63),0,1))),_xlpm.p,_xlpm.r-MIN(ROW(BP16:BP63))+1,_xlpm.f,INDEX(BS16:BS63,_xlpm.p),_xlpm.u,INDEX(BT16:BT63,_xlpm.p),_xlpm.s,INDEX(BV16:BV63,_xlpm.p),_xlpm.q,N(BA303)/_xlpm.f,IF(_xlpm.q&gt;=_xlpm.s,ROUND(_xlpm.q,1)&amp;" "&amp;_xlpm.ai_test&amp;" = "&amp;ROUND(_xlpm.q*_xlpm.f,1)&amp;" "&amp;_xlpm.u,ROUND(_xlpm.q,1)&amp;" "&amp;_xlpm.ai_test)),""),""))))</f>
        <v>0</v>
      </c>
      <c r="BD303" s="801"/>
      <c r="BE303" s="788" t="str">
        <f t="shared" si="153"/>
        <v/>
      </c>
      <c r="BF303" s="789" t="str">
        <f t="shared" si="156"/>
        <v/>
      </c>
      <c r="BG303" s="790">
        <f t="shared" si="157"/>
        <v>0</v>
      </c>
      <c r="BH303" s="791" t="str">
        <f t="shared" si="158"/>
        <v/>
      </c>
      <c r="BI303" s="792"/>
      <c r="BJ303" s="793">
        <f t="shared" si="159"/>
        <v>0</v>
      </c>
      <c r="BK303" s="794" t="str">
        <f t="shared" si="154"/>
        <v/>
      </c>
      <c r="BL303" s="227" t="s">
        <v>21</v>
      </c>
      <c r="BM303" s="773">
        <f t="shared" si="144"/>
        <v>0</v>
      </c>
      <c r="BN303" s="774">
        <f t="shared" si="145"/>
        <v>0</v>
      </c>
      <c r="BO303"/>
      <c r="BP303" s="627"/>
      <c r="BQ303" s="627"/>
      <c r="BR303" s="627"/>
      <c r="BS303" s="627"/>
      <c r="BT303" s="627"/>
      <c r="BU303" s="627"/>
      <c r="BV303" s="627"/>
      <c r="BW303" s="627"/>
      <c r="BX303"/>
      <c r="BY303"/>
      <c r="BZ303"/>
      <c r="CA303"/>
      <c r="CB303"/>
      <c r="CC303"/>
      <c r="CD303" s="781" t="str">
        <f t="shared" si="139"/>
        <v>►</v>
      </c>
      <c r="CE303"/>
      <c r="CF303"/>
      <c r="CG303"/>
      <c r="CH303"/>
      <c r="CI303"/>
      <c r="CK303"/>
      <c r="CL303"/>
      <c r="CM303"/>
      <c r="CN303"/>
      <c r="CO303"/>
      <c r="CP303"/>
      <c r="CQ303"/>
      <c r="CS303"/>
      <c r="CT303"/>
      <c r="CU303"/>
      <c r="CV303"/>
      <c r="CW303"/>
      <c r="CX303"/>
      <c r="CY303"/>
      <c r="DA303"/>
      <c r="DB303"/>
      <c r="DC303"/>
      <c r="DD303"/>
      <c r="DE303"/>
      <c r="DF303"/>
      <c r="DG303"/>
      <c r="DI303" s="3">
        <v>1</v>
      </c>
      <c r="DJ303" s="627"/>
      <c r="DK303" s="627"/>
    </row>
    <row r="304" spans="1:115" s="633" customFormat="1" ht="21" customHeight="1">
      <c r="A304" s="701" t="s">
        <v>21</v>
      </c>
      <c r="B304" s="2265" t="str" cm="1">
        <f t="array" ref="B304">SUMPRODUCT(--(D304:J304&lt;&gt;""), LEN(TRIM(SUBSTITUTE(D304:J304, CHAR(160), "")))) &amp; " Car."</f>
        <v>0 Car.</v>
      </c>
      <c r="C304" s="1376" t="str">
        <f>IF(ISBLANK(D304),"",LARGE(C13:C303,1)+1)</f>
        <v/>
      </c>
      <c r="D304" s="1833"/>
      <c r="E304" s="1810"/>
      <c r="F304" s="1810"/>
      <c r="G304" s="1810"/>
      <c r="H304" s="1810"/>
      <c r="I304" s="1810"/>
      <c r="J304" s="1810"/>
      <c r="K304" s="1810"/>
      <c r="L304" s="1811"/>
      <c r="M304" s="9"/>
      <c r="N304" s="2072" t="str">
        <f t="shared" si="140"/>
        <v>►</v>
      </c>
      <c r="O304" s="1616"/>
      <c r="P304" s="9"/>
      <c r="Q304" s="2072" t="s">
        <v>15</v>
      </c>
      <c r="R304" s="1971"/>
      <c r="S304" s="1972"/>
      <c r="T304" s="1971"/>
      <c r="U304" s="1973"/>
      <c r="V304" s="2073"/>
      <c r="W304" s="1974"/>
      <c r="X304" s="1975"/>
      <c r="Y304" s="1976"/>
      <c r="Z304" s="2074"/>
      <c r="AA304" s="1977"/>
      <c r="AB304" s="2075"/>
      <c r="AC304" s="2076"/>
      <c r="AD304" s="1978"/>
      <c r="AE304" s="2077"/>
      <c r="AF304" s="1979"/>
      <c r="AG304" s="2078"/>
      <c r="AH304" s="2079"/>
      <c r="AI304" s="1980"/>
      <c r="AJ304" s="1981"/>
      <c r="AK304" s="6120" t="str">
        <f t="shared" si="155"/>
        <v>►</v>
      </c>
      <c r="AL304" s="781" t="str">
        <f t="shared" si="143"/>
        <v>►</v>
      </c>
      <c r="AM304" s="5498" t="str">
        <f t="shared" si="146"/>
        <v/>
      </c>
      <c r="AN304" s="783" t="str">
        <f t="shared" si="147"/>
        <v/>
      </c>
      <c r="AO304" s="782" t="str">
        <f t="shared" si="148"/>
        <v/>
      </c>
      <c r="AP304" s="783" t="str">
        <f t="shared" si="149"/>
        <v/>
      </c>
      <c r="AQ304" s="2083" t="b">
        <f>AND(Q304="A",COUNTIF(BP16:BR63,TRIM(Z304))&gt;0)</f>
        <v>0</v>
      </c>
      <c r="AR304" s="797" t="str">
        <f>IF(AL304&lt;&gt;"A","",IFERROR(IFERROR(_xlfn.XLOOKUP(TRIM(SUBSTITUTE(Z304,CHAR(160)," ")),BP16:BP63,BS16:BS63),IFERROR(_xlfn.XLOOKUP(TRIM(SUBSTITUTE(Z304,CHAR(160)," ")),BQ16:BQ63,BS16:BS63),_xlfn.XLOOKUP(TRIM(SUBSTITUTE(Z304,CHAR(160)," ")),BR16:BR63,BS16:BS63)))*Y304*IF(ISBLANK(V304),1,V304),0))</f>
        <v/>
      </c>
      <c r="AS304" s="784" t="str">
        <f t="shared" si="138"/>
        <v/>
      </c>
      <c r="AT304" s="1315" t="str">
        <f t="shared" si="150"/>
        <v/>
      </c>
      <c r="AU304" s="785">
        <f t="shared" si="151"/>
        <v>0</v>
      </c>
      <c r="AV304" s="785">
        <f t="shared" si="152"/>
        <v>0</v>
      </c>
      <c r="AW304" s="798">
        <f>IF(AK304="A",AY10,0)</f>
        <v>0</v>
      </c>
      <c r="AX304" s="5496" t="str">
        <f>IF(IFERROR(SEARCH("Adresse PC",TRIM(W304)),0)&gt;0,"▼ receta siguiente",IF(AK304="A",IF(AZ10&lt;&gt;"",AZ10&amp;" - ou.or.o ❾ + or - &gt;",""),""))</f>
        <v/>
      </c>
      <c r="AY304" s="810"/>
      <c r="AZ304" s="810"/>
      <c r="BA304" s="799" t="str">
        <f t="shared" si="142"/>
        <v/>
      </c>
      <c r="BB304" s="800" t="str">
        <f>IF(AK304="A",IF(AQ304,IF(AND(AW304&lt;&gt;"",N(AW304)&gt;0),IFERROR(IFERROR(_xlfn.XLOOKUP(AP304,BP10:BP57,BT10:BT57),IFERROR(_xlfn.XLOOKUP(AP304,BQ10:BQ57,BT10:BT57),_xlfn.XLOOKUP(AP304,BR10:BR57,BT10:BT57,""))),""),""),""),"")</f>
        <v/>
      </c>
      <c r="BC304" s="813" cm="1">
        <f t="array" ref="BC304">IF(NOT(AQ304),0,IF(OR(BA304="",N(BA304)&lt;=0.000000001),"",IF(OR(AU304="",N(AU304)&lt;=0.000000001),0,IF(ISNUMBER(BA304),IFERROR(_xlfn.LET(_xlpm.ai_test,TRIM(AP304),_xlpm.r,IFERROR(_xlfn.XLOOKUP(_xlpm.ai_test,BP16:BP63,ROW(BP16:BP63),0,1),IFERROR(_xlfn.XLOOKUP(_xlpm.ai_test,BQ16:BQ63,ROW(BQ16:BQ63),0,1),_xlfn.XLOOKUP(_xlpm.ai_test,BR16:BR63,ROW(BR16:BR63),0,1))),_xlpm.p,_xlpm.r-MIN(ROW(BP16:BP63))+1,_xlpm.f,INDEX(BS16:BS63,_xlpm.p),_xlpm.u,INDEX(BT16:BT63,_xlpm.p),_xlpm.s,INDEX(BV16:BV63,_xlpm.p),_xlpm.q,N(BA304)/_xlpm.f,IF(_xlpm.q&gt;=_xlpm.s,ROUND(_xlpm.q,1)&amp;" "&amp;_xlpm.ai_test&amp;" = "&amp;ROUND(_xlpm.q*_xlpm.f,1)&amp;" "&amp;_xlpm.u,ROUND(_xlpm.q,1)&amp;" "&amp;_xlpm.ai_test)),""),""))))</f>
        <v>0</v>
      </c>
      <c r="BD304" s="801"/>
      <c r="BE304" s="799" t="str">
        <f t="shared" si="153"/>
        <v/>
      </c>
      <c r="BF304" s="800" t="str">
        <f t="shared" si="156"/>
        <v/>
      </c>
      <c r="BG304" s="802">
        <f t="shared" si="157"/>
        <v>0</v>
      </c>
      <c r="BH304" s="803" t="str">
        <f t="shared" si="158"/>
        <v/>
      </c>
      <c r="BI304" s="792"/>
      <c r="BJ304" s="804">
        <f t="shared" si="159"/>
        <v>0</v>
      </c>
      <c r="BK304" s="794" t="str">
        <f t="shared" si="154"/>
        <v/>
      </c>
      <c r="BL304" s="227" t="s">
        <v>21</v>
      </c>
      <c r="BM304" s="773">
        <f t="shared" si="144"/>
        <v>0</v>
      </c>
      <c r="BN304" s="774">
        <f t="shared" si="145"/>
        <v>0</v>
      </c>
      <c r="BO304"/>
      <c r="BP304" s="627"/>
      <c r="BQ304" s="627"/>
      <c r="BR304" s="627"/>
      <c r="BS304" s="627"/>
      <c r="BT304" s="627"/>
      <c r="BU304" s="627"/>
      <c r="BV304" s="627"/>
      <c r="BW304" s="627"/>
      <c r="BX304"/>
      <c r="BY304"/>
      <c r="BZ304"/>
      <c r="CA304"/>
      <c r="CB304"/>
      <c r="CC304"/>
      <c r="CD304" s="781" t="str">
        <f t="shared" si="139"/>
        <v>►</v>
      </c>
      <c r="CE304"/>
      <c r="CF304"/>
      <c r="CG304"/>
      <c r="CH304"/>
      <c r="CI304"/>
      <c r="CK304"/>
      <c r="CL304"/>
      <c r="CM304"/>
      <c r="CN304"/>
      <c r="CO304"/>
      <c r="CP304"/>
      <c r="CQ304"/>
      <c r="CS304"/>
      <c r="CT304"/>
      <c r="CU304"/>
      <c r="CV304"/>
      <c r="CW304"/>
      <c r="CX304"/>
      <c r="CY304"/>
      <c r="DA304"/>
      <c r="DB304"/>
      <c r="DC304"/>
      <c r="DD304"/>
      <c r="DE304"/>
      <c r="DF304"/>
      <c r="DG304"/>
      <c r="DI304" s="3">
        <v>1</v>
      </c>
      <c r="DJ304" s="627"/>
      <c r="DK304" s="627"/>
    </row>
    <row r="305" spans="1:115" s="633" customFormat="1" ht="21" customHeight="1">
      <c r="A305" s="701" t="s">
        <v>21</v>
      </c>
      <c r="B305" s="2265" t="str" cm="1">
        <f t="array" ref="B305">SUMPRODUCT(--(D305:J305&lt;&gt;""), LEN(TRIM(SUBSTITUTE(D305:J305, CHAR(160), "")))) &amp; " Car."</f>
        <v>0 Car.</v>
      </c>
      <c r="C305" s="1376" t="str">
        <f>IF(ISBLANK(D305),"",LARGE(C13:C304,1)+1)</f>
        <v/>
      </c>
      <c r="D305" s="1833"/>
      <c r="E305" s="1810"/>
      <c r="F305" s="1810"/>
      <c r="G305" s="1810"/>
      <c r="H305" s="1810"/>
      <c r="I305" s="1810"/>
      <c r="J305" s="1810"/>
      <c r="K305" s="1810"/>
      <c r="L305" s="1811"/>
      <c r="M305" s="9"/>
      <c r="N305" s="103" t="str">
        <f t="shared" si="140"/>
        <v>►</v>
      </c>
      <c r="O305" s="1616"/>
      <c r="P305" s="9"/>
      <c r="Q305" s="103" t="s">
        <v>15</v>
      </c>
      <c r="R305" s="31"/>
      <c r="S305" s="32"/>
      <c r="T305" s="31"/>
      <c r="U305" s="33"/>
      <c r="V305" s="1804"/>
      <c r="W305" s="1805"/>
      <c r="X305" s="91"/>
      <c r="Y305" s="1806"/>
      <c r="Z305" s="1807"/>
      <c r="AA305" s="919"/>
      <c r="AB305" s="1813"/>
      <c r="AC305" s="1580"/>
      <c r="AD305" s="95"/>
      <c r="AE305" s="105"/>
      <c r="AF305" s="97"/>
      <c r="AG305" s="2080"/>
      <c r="AH305" s="2081"/>
      <c r="AI305" s="99"/>
      <c r="AJ305" s="1809"/>
      <c r="AK305" s="6120" t="str">
        <f t="shared" si="155"/>
        <v>►</v>
      </c>
      <c r="AL305" s="781" t="str">
        <f t="shared" si="143"/>
        <v>►</v>
      </c>
      <c r="AM305" s="5499" t="str">
        <f t="shared" si="146"/>
        <v/>
      </c>
      <c r="AN305" s="783" t="str">
        <f t="shared" si="147"/>
        <v/>
      </c>
      <c r="AO305" s="782" t="str">
        <f t="shared" si="148"/>
        <v/>
      </c>
      <c r="AP305" s="783" t="str">
        <f t="shared" si="149"/>
        <v/>
      </c>
      <c r="AQ305" s="2083" t="b">
        <f>AND(Q305="A",COUNTIF(BP16:BR63,TRIM(Z305))&gt;0)</f>
        <v>0</v>
      </c>
      <c r="AR305" s="797" t="str">
        <f>IF(AL305&lt;&gt;"A","",IFERROR(IFERROR(_xlfn.XLOOKUP(TRIM(SUBSTITUTE(Z305,CHAR(160)," ")),BP16:BP63,BS16:BS63),IFERROR(_xlfn.XLOOKUP(TRIM(SUBSTITUTE(Z305,CHAR(160)," ")),BQ16:BQ63,BS16:BS63),_xlfn.XLOOKUP(TRIM(SUBSTITUTE(Z305,CHAR(160)," ")),BR16:BR63,BS16:BS63)))*Y305*IF(ISBLANK(V305),1,V305),0))</f>
        <v/>
      </c>
      <c r="AS305" s="784" t="str">
        <f t="shared" si="138"/>
        <v/>
      </c>
      <c r="AT305" s="1315" t="str">
        <f t="shared" si="150"/>
        <v/>
      </c>
      <c r="AU305" s="785">
        <f t="shared" si="151"/>
        <v>0</v>
      </c>
      <c r="AV305" s="785">
        <f t="shared" si="152"/>
        <v>0</v>
      </c>
      <c r="AW305" s="786">
        <f>IF(AK305="A",AY10,0)</f>
        <v>0</v>
      </c>
      <c r="AX305" s="5495" t="str">
        <f>IF(IFERROR(SEARCH("Adresse PC",TRIM(W305)),0)&gt;0,"▼ receta siguiente",IF(AK305="A",IF(AZ10&lt;&gt;"",AZ10&amp;" - ou.or.o ❾ + or - &gt;",""),""))</f>
        <v/>
      </c>
      <c r="AY305" s="810"/>
      <c r="AZ305" s="810"/>
      <c r="BA305" s="788" t="str">
        <f t="shared" si="142"/>
        <v/>
      </c>
      <c r="BB305" s="789" t="str">
        <f>IF(AK305="A",IF(AQ305,IF(AND(AW305&lt;&gt;"",N(AW305)&gt;0),IFERROR(IFERROR(_xlfn.XLOOKUP(AP305,BP10:BP57,BT10:BT57),IFERROR(_xlfn.XLOOKUP(AP305,BQ10:BQ57,BT10:BT57),_xlfn.XLOOKUP(AP305,BR10:BR57,BT10:BT57,""))),""),""),""),"")</f>
        <v/>
      </c>
      <c r="BC305" s="811" cm="1">
        <f t="array" ref="BC305">IF(NOT(AQ305),0,IF(OR(BA305="",N(BA305)&lt;=0.000000001),"",IF(OR(AU305="",N(AU305)&lt;=0.000000001),0,IF(ISNUMBER(BA305),IFERROR(_xlfn.LET(_xlpm.ai_test,TRIM(AP305),_xlpm.r,IFERROR(_xlfn.XLOOKUP(_xlpm.ai_test,BP16:BP63,ROW(BP16:BP63),0,1),IFERROR(_xlfn.XLOOKUP(_xlpm.ai_test,BQ16:BQ63,ROW(BQ16:BQ63),0,1),_xlfn.XLOOKUP(_xlpm.ai_test,BR16:BR63,ROW(BR16:BR63),0,1))),_xlpm.p,_xlpm.r-MIN(ROW(BP16:BP63))+1,_xlpm.f,INDEX(BS16:BS63,_xlpm.p),_xlpm.u,INDEX(BT16:BT63,_xlpm.p),_xlpm.s,INDEX(BV16:BV63,_xlpm.p),_xlpm.q,N(BA305)/_xlpm.f,IF(_xlpm.q&gt;=_xlpm.s,ROUND(_xlpm.q,1)&amp;" "&amp;_xlpm.ai_test&amp;" = "&amp;ROUND(_xlpm.q*_xlpm.f,1)&amp;" "&amp;_xlpm.u,ROUND(_xlpm.q,1)&amp;" "&amp;_xlpm.ai_test)),""),""))))</f>
        <v>0</v>
      </c>
      <c r="BD305" s="801"/>
      <c r="BE305" s="788" t="str">
        <f t="shared" si="153"/>
        <v/>
      </c>
      <c r="BF305" s="789" t="str">
        <f t="shared" si="156"/>
        <v/>
      </c>
      <c r="BG305" s="790">
        <f t="shared" si="157"/>
        <v>0</v>
      </c>
      <c r="BH305" s="791" t="str">
        <f t="shared" si="158"/>
        <v/>
      </c>
      <c r="BI305" s="792"/>
      <c r="BJ305" s="793">
        <f t="shared" si="159"/>
        <v>0</v>
      </c>
      <c r="BK305" s="794" t="str">
        <f t="shared" si="154"/>
        <v/>
      </c>
      <c r="BL305" s="227" t="s">
        <v>21</v>
      </c>
      <c r="BM305" s="773">
        <f t="shared" si="144"/>
        <v>0</v>
      </c>
      <c r="BN305" s="774">
        <f t="shared" si="145"/>
        <v>0</v>
      </c>
      <c r="BO305"/>
      <c r="BP305" s="627"/>
      <c r="BQ305" s="627"/>
      <c r="BR305" s="627"/>
      <c r="BS305" s="627"/>
      <c r="BT305" s="627"/>
      <c r="BU305" s="627"/>
      <c r="BV305" s="627"/>
      <c r="BW305" s="627"/>
      <c r="BX305"/>
      <c r="BY305"/>
      <c r="BZ305"/>
      <c r="CA305"/>
      <c r="CB305"/>
      <c r="CC305"/>
      <c r="CD305" s="781" t="str">
        <f t="shared" si="139"/>
        <v>►</v>
      </c>
      <c r="CE305"/>
      <c r="CF305"/>
      <c r="CG305"/>
      <c r="CH305"/>
      <c r="CI305"/>
      <c r="CK305"/>
      <c r="CL305"/>
      <c r="CM305"/>
      <c r="CN305"/>
      <c r="CO305"/>
      <c r="CP305"/>
      <c r="CQ305"/>
      <c r="CS305"/>
      <c r="CT305"/>
      <c r="CU305"/>
      <c r="CV305"/>
      <c r="CW305"/>
      <c r="CX305"/>
      <c r="CY305"/>
      <c r="DA305"/>
      <c r="DB305"/>
      <c r="DC305"/>
      <c r="DD305"/>
      <c r="DE305"/>
      <c r="DF305"/>
      <c r="DG305"/>
      <c r="DI305" s="3">
        <v>1</v>
      </c>
      <c r="DJ305" s="627"/>
      <c r="DK305" s="627"/>
    </row>
    <row r="306" spans="1:115" s="633" customFormat="1" ht="21" customHeight="1">
      <c r="A306" s="701" t="s">
        <v>21</v>
      </c>
      <c r="B306" s="2265" t="str" cm="1">
        <f t="array" ref="B306">SUMPRODUCT(--(D306:J306&lt;&gt;""), LEN(TRIM(SUBSTITUTE(D306:J306, CHAR(160), "")))) &amp; " Car."</f>
        <v>0 Car.</v>
      </c>
      <c r="C306" s="1376" t="str">
        <f>IF(ISBLANK(D306),"",LARGE(C13:C305,1)+1)</f>
        <v/>
      </c>
      <c r="D306" s="1833"/>
      <c r="E306" s="1810"/>
      <c r="F306" s="1810"/>
      <c r="G306" s="1810"/>
      <c r="H306" s="1810"/>
      <c r="I306" s="1810"/>
      <c r="J306" s="1810"/>
      <c r="K306" s="1810"/>
      <c r="L306" s="1811"/>
      <c r="M306" s="9"/>
      <c r="N306" s="103" t="str">
        <f t="shared" si="140"/>
        <v>►</v>
      </c>
      <c r="O306" s="1616"/>
      <c r="P306" s="9"/>
      <c r="Q306" s="103" t="s">
        <v>15</v>
      </c>
      <c r="R306" s="31"/>
      <c r="S306" s="32"/>
      <c r="T306" s="31"/>
      <c r="U306" s="33"/>
      <c r="V306" s="1804"/>
      <c r="W306" s="1805"/>
      <c r="X306" s="91"/>
      <c r="Y306" s="1806"/>
      <c r="Z306" s="1807"/>
      <c r="AA306" s="919"/>
      <c r="AB306" s="1813"/>
      <c r="AC306" s="1580"/>
      <c r="AD306" s="95"/>
      <c r="AE306" s="105"/>
      <c r="AF306" s="97"/>
      <c r="AG306" s="2080"/>
      <c r="AH306" s="2081"/>
      <c r="AI306" s="99"/>
      <c r="AJ306" s="1809"/>
      <c r="AK306" s="6120" t="str">
        <f t="shared" si="155"/>
        <v>►</v>
      </c>
      <c r="AL306" s="781" t="str">
        <f t="shared" si="143"/>
        <v>►</v>
      </c>
      <c r="AM306" s="5498" t="str">
        <f t="shared" si="146"/>
        <v/>
      </c>
      <c r="AN306" s="783" t="str">
        <f t="shared" si="147"/>
        <v/>
      </c>
      <c r="AO306" s="782" t="str">
        <f t="shared" si="148"/>
        <v/>
      </c>
      <c r="AP306" s="783" t="str">
        <f t="shared" si="149"/>
        <v/>
      </c>
      <c r="AQ306" s="2083" t="b">
        <f>AND(Q306="A",COUNTIF(BP16:BR63,TRIM(Z306))&gt;0)</f>
        <v>0</v>
      </c>
      <c r="AR306" s="797" t="str">
        <f>IF(AL306&lt;&gt;"A","",IFERROR(IFERROR(_xlfn.XLOOKUP(TRIM(SUBSTITUTE(Z306,CHAR(160)," ")),BP16:BP63,BS16:BS63),IFERROR(_xlfn.XLOOKUP(TRIM(SUBSTITUTE(Z306,CHAR(160)," ")),BQ16:BQ63,BS16:BS63),_xlfn.XLOOKUP(TRIM(SUBSTITUTE(Z306,CHAR(160)," ")),BR16:BR63,BS16:BS63)))*Y306*IF(ISBLANK(V306),1,V306),0))</f>
        <v/>
      </c>
      <c r="AS306" s="784" t="str">
        <f t="shared" si="138"/>
        <v/>
      </c>
      <c r="AT306" s="1315" t="str">
        <f t="shared" si="150"/>
        <v/>
      </c>
      <c r="AU306" s="785">
        <f t="shared" si="151"/>
        <v>0</v>
      </c>
      <c r="AV306" s="785">
        <f t="shared" si="152"/>
        <v>0</v>
      </c>
      <c r="AW306" s="798">
        <f>IF(AK306="A",AY10,0)</f>
        <v>0</v>
      </c>
      <c r="AX306" s="5496" t="str">
        <f>IF(IFERROR(SEARCH("Adresse PC",TRIM(W306)),0)&gt;0,"▼ receta siguiente",IF(AK306="A",IF(AZ10&lt;&gt;"",AZ10&amp;" - ou.or.o ❾ + or - &gt;",""),""))</f>
        <v/>
      </c>
      <c r="AY306" s="810"/>
      <c r="AZ306" s="810"/>
      <c r="BA306" s="799" t="str">
        <f t="shared" si="142"/>
        <v/>
      </c>
      <c r="BB306" s="800" t="str">
        <f>IF(AK306="A",IF(AQ306,IF(AND(AW306&lt;&gt;"",N(AW306)&gt;0),IFERROR(IFERROR(_xlfn.XLOOKUP(AP306,BP10:BP57,BT10:BT57),IFERROR(_xlfn.XLOOKUP(AP306,BQ10:BQ57,BT10:BT57),_xlfn.XLOOKUP(AP306,BR10:BR57,BT10:BT57,""))),""),""),""),"")</f>
        <v/>
      </c>
      <c r="BC306" s="813" cm="1">
        <f t="array" ref="BC306">IF(NOT(AQ306),0,IF(OR(BA306="",N(BA306)&lt;=0.000000001),"",IF(OR(AU306="",N(AU306)&lt;=0.000000001),0,IF(ISNUMBER(BA306),IFERROR(_xlfn.LET(_xlpm.ai_test,TRIM(AP306),_xlpm.r,IFERROR(_xlfn.XLOOKUP(_xlpm.ai_test,BP16:BP63,ROW(BP16:BP63),0,1),IFERROR(_xlfn.XLOOKUP(_xlpm.ai_test,BQ16:BQ63,ROW(BQ16:BQ63),0,1),_xlfn.XLOOKUP(_xlpm.ai_test,BR16:BR63,ROW(BR16:BR63),0,1))),_xlpm.p,_xlpm.r-MIN(ROW(BP16:BP63))+1,_xlpm.f,INDEX(BS16:BS63,_xlpm.p),_xlpm.u,INDEX(BT16:BT63,_xlpm.p),_xlpm.s,INDEX(BV16:BV63,_xlpm.p),_xlpm.q,N(BA306)/_xlpm.f,IF(_xlpm.q&gt;=_xlpm.s,ROUND(_xlpm.q,1)&amp;" "&amp;_xlpm.ai_test&amp;" = "&amp;ROUND(_xlpm.q*_xlpm.f,1)&amp;" "&amp;_xlpm.u,ROUND(_xlpm.q,1)&amp;" "&amp;_xlpm.ai_test)),""),""))))</f>
        <v>0</v>
      </c>
      <c r="BD306" s="801"/>
      <c r="BE306" s="799" t="str">
        <f t="shared" si="153"/>
        <v/>
      </c>
      <c r="BF306" s="800" t="str">
        <f t="shared" si="156"/>
        <v/>
      </c>
      <c r="BG306" s="802">
        <f t="shared" si="157"/>
        <v>0</v>
      </c>
      <c r="BH306" s="803" t="str">
        <f t="shared" si="158"/>
        <v/>
      </c>
      <c r="BI306" s="792"/>
      <c r="BJ306" s="804">
        <f t="shared" si="159"/>
        <v>0</v>
      </c>
      <c r="BK306" s="794" t="str">
        <f t="shared" si="154"/>
        <v/>
      </c>
      <c r="BL306" s="227" t="s">
        <v>21</v>
      </c>
      <c r="BM306" s="773">
        <f t="shared" si="144"/>
        <v>0</v>
      </c>
      <c r="BN306" s="774">
        <f t="shared" si="145"/>
        <v>0</v>
      </c>
      <c r="BO306"/>
      <c r="BP306" s="627"/>
      <c r="BQ306" s="627"/>
      <c r="BR306" s="627"/>
      <c r="BS306" s="627"/>
      <c r="BT306" s="627"/>
      <c r="BU306" s="627"/>
      <c r="BV306" s="627"/>
      <c r="BW306" s="627"/>
      <c r="BX306"/>
      <c r="BY306"/>
      <c r="BZ306"/>
      <c r="CA306"/>
      <c r="CB306"/>
      <c r="CC306"/>
      <c r="CD306" s="781" t="str">
        <f t="shared" si="139"/>
        <v>►</v>
      </c>
      <c r="CE306"/>
      <c r="CF306"/>
      <c r="CG306"/>
      <c r="CH306"/>
      <c r="CI306"/>
      <c r="CK306"/>
      <c r="CL306"/>
      <c r="CM306"/>
      <c r="CN306"/>
      <c r="CO306"/>
      <c r="CP306"/>
      <c r="CQ306"/>
      <c r="CS306"/>
      <c r="CT306"/>
      <c r="CU306"/>
      <c r="CV306"/>
      <c r="CW306"/>
      <c r="CX306"/>
      <c r="CY306"/>
      <c r="DA306"/>
      <c r="DB306"/>
      <c r="DC306"/>
      <c r="DD306"/>
      <c r="DE306"/>
      <c r="DF306"/>
      <c r="DG306"/>
      <c r="DI306" s="3">
        <v>1</v>
      </c>
      <c r="DJ306" s="627"/>
      <c r="DK306" s="627"/>
    </row>
    <row r="307" spans="1:115" s="633" customFormat="1" ht="21" customHeight="1">
      <c r="A307" s="701" t="s">
        <v>21</v>
      </c>
      <c r="B307" s="2265" t="str" cm="1">
        <f t="array" ref="B307">SUMPRODUCT(--(D307:J307&lt;&gt;""), LEN(TRIM(SUBSTITUTE(D307:J307, CHAR(160), "")))) &amp; " Car."</f>
        <v>0 Car.</v>
      </c>
      <c r="C307" s="1376" t="str">
        <f>IF(ISBLANK(D307),"",LARGE(C13:C306,1)+1)</f>
        <v/>
      </c>
      <c r="D307" s="1833"/>
      <c r="E307" s="1810"/>
      <c r="F307" s="1810"/>
      <c r="G307" s="1810"/>
      <c r="H307" s="1810"/>
      <c r="I307" s="1810"/>
      <c r="J307" s="1810"/>
      <c r="K307" s="1810"/>
      <c r="L307" s="1811"/>
      <c r="M307" s="9"/>
      <c r="N307" s="103" t="str">
        <f t="shared" si="140"/>
        <v>►</v>
      </c>
      <c r="O307" s="1616"/>
      <c r="P307" s="9"/>
      <c r="Q307" s="103" t="s">
        <v>15</v>
      </c>
      <c r="R307" s="31"/>
      <c r="S307" s="32"/>
      <c r="T307" s="31"/>
      <c r="U307" s="33"/>
      <c r="V307" s="1804"/>
      <c r="W307" s="1805"/>
      <c r="X307" s="91"/>
      <c r="Y307" s="1806"/>
      <c r="Z307" s="1807"/>
      <c r="AA307" s="919"/>
      <c r="AB307" s="1813"/>
      <c r="AC307" s="1580"/>
      <c r="AD307" s="95"/>
      <c r="AE307" s="105"/>
      <c r="AF307" s="97"/>
      <c r="AG307" s="2080"/>
      <c r="AH307" s="2081"/>
      <c r="AI307" s="99"/>
      <c r="AJ307" s="1809"/>
      <c r="AK307" s="6120" t="str">
        <f t="shared" si="155"/>
        <v>►</v>
      </c>
      <c r="AL307" s="781" t="str">
        <f t="shared" si="143"/>
        <v>►</v>
      </c>
      <c r="AM307" s="5499" t="str">
        <f t="shared" si="146"/>
        <v/>
      </c>
      <c r="AN307" s="783" t="str">
        <f t="shared" si="147"/>
        <v/>
      </c>
      <c r="AO307" s="782" t="str">
        <f t="shared" si="148"/>
        <v/>
      </c>
      <c r="AP307" s="783" t="str">
        <f t="shared" si="149"/>
        <v/>
      </c>
      <c r="AQ307" s="2083" t="b">
        <f>AND(Q307="A",COUNTIF(BP16:BR63,TRIM(Z307))&gt;0)</f>
        <v>0</v>
      </c>
      <c r="AR307" s="797" t="str">
        <f>IF(AL307&lt;&gt;"A","",IFERROR(IFERROR(_xlfn.XLOOKUP(TRIM(SUBSTITUTE(Z307,CHAR(160)," ")),BP16:BP63,BS16:BS63),IFERROR(_xlfn.XLOOKUP(TRIM(SUBSTITUTE(Z307,CHAR(160)," ")),BQ16:BQ63,BS16:BS63),_xlfn.XLOOKUP(TRIM(SUBSTITUTE(Z307,CHAR(160)," ")),BR16:BR63,BS16:BS63)))*Y307*IF(ISBLANK(V307),1,V307),0))</f>
        <v/>
      </c>
      <c r="AS307" s="784" t="str">
        <f t="shared" si="138"/>
        <v/>
      </c>
      <c r="AT307" s="1315" t="str">
        <f t="shared" si="150"/>
        <v/>
      </c>
      <c r="AU307" s="785">
        <f t="shared" si="151"/>
        <v>0</v>
      </c>
      <c r="AV307" s="785">
        <f t="shared" si="152"/>
        <v>0</v>
      </c>
      <c r="AW307" s="786">
        <f>IF(AK307="A",AY10,0)</f>
        <v>0</v>
      </c>
      <c r="AX307" s="5495" t="str">
        <f>IF(IFERROR(SEARCH("Adresse PC",TRIM(W307)),0)&gt;0,"▼ receta siguiente",IF(AK307="A",IF(AZ10&lt;&gt;"",AZ10&amp;" - ou.or.o ❾ + or - &gt;",""),""))</f>
        <v/>
      </c>
      <c r="AY307" s="810"/>
      <c r="AZ307" s="810"/>
      <c r="BA307" s="788" t="str">
        <f t="shared" si="142"/>
        <v/>
      </c>
      <c r="BB307" s="789" t="str">
        <f>IF(AK307="A",IF(AQ307,IF(AND(AW307&lt;&gt;"",N(AW307)&gt;0),IFERROR(IFERROR(_xlfn.XLOOKUP(AP307,BP10:BP57,BT10:BT57),IFERROR(_xlfn.XLOOKUP(AP307,BQ10:BQ57,BT10:BT57),_xlfn.XLOOKUP(AP307,BR10:BR57,BT10:BT57,""))),""),""),""),"")</f>
        <v/>
      </c>
      <c r="BC307" s="811" cm="1">
        <f t="array" ref="BC307">IF(NOT(AQ307),0,IF(OR(BA307="",N(BA307)&lt;=0.000000001),"",IF(OR(AU307="",N(AU307)&lt;=0.000000001),0,IF(ISNUMBER(BA307),IFERROR(_xlfn.LET(_xlpm.ai_test,TRIM(AP307),_xlpm.r,IFERROR(_xlfn.XLOOKUP(_xlpm.ai_test,BP16:BP63,ROW(BP16:BP63),0,1),IFERROR(_xlfn.XLOOKUP(_xlpm.ai_test,BQ16:BQ63,ROW(BQ16:BQ63),0,1),_xlfn.XLOOKUP(_xlpm.ai_test,BR16:BR63,ROW(BR16:BR63),0,1))),_xlpm.p,_xlpm.r-MIN(ROW(BP16:BP63))+1,_xlpm.f,INDEX(BS16:BS63,_xlpm.p),_xlpm.u,INDEX(BT16:BT63,_xlpm.p),_xlpm.s,INDEX(BV16:BV63,_xlpm.p),_xlpm.q,N(BA307)/_xlpm.f,IF(_xlpm.q&gt;=_xlpm.s,ROUND(_xlpm.q,1)&amp;" "&amp;_xlpm.ai_test&amp;" = "&amp;ROUND(_xlpm.q*_xlpm.f,1)&amp;" "&amp;_xlpm.u,ROUND(_xlpm.q,1)&amp;" "&amp;_xlpm.ai_test)),""),""))))</f>
        <v>0</v>
      </c>
      <c r="BD307" s="801"/>
      <c r="BE307" s="788" t="str">
        <f t="shared" si="153"/>
        <v/>
      </c>
      <c r="BF307" s="789" t="str">
        <f t="shared" si="156"/>
        <v/>
      </c>
      <c r="BG307" s="790">
        <f t="shared" si="157"/>
        <v>0</v>
      </c>
      <c r="BH307" s="791" t="str">
        <f t="shared" si="158"/>
        <v/>
      </c>
      <c r="BI307" s="792"/>
      <c r="BJ307" s="793">
        <f t="shared" si="159"/>
        <v>0</v>
      </c>
      <c r="BK307" s="794" t="str">
        <f t="shared" si="154"/>
        <v/>
      </c>
      <c r="BL307" s="227" t="s">
        <v>21</v>
      </c>
      <c r="BM307" s="773">
        <f t="shared" si="144"/>
        <v>0</v>
      </c>
      <c r="BN307" s="774">
        <f t="shared" si="145"/>
        <v>0</v>
      </c>
      <c r="BO307"/>
      <c r="BP307" s="627"/>
      <c r="BQ307" s="627"/>
      <c r="BR307" s="627"/>
      <c r="BS307" s="627"/>
      <c r="BT307" s="627"/>
      <c r="BU307" s="627"/>
      <c r="BV307" s="627"/>
      <c r="BW307" s="627"/>
      <c r="BX307"/>
      <c r="BY307"/>
      <c r="BZ307"/>
      <c r="CA307"/>
      <c r="CB307"/>
      <c r="CC307"/>
      <c r="CD307" s="781" t="str">
        <f t="shared" si="139"/>
        <v>►</v>
      </c>
      <c r="CE307"/>
      <c r="CF307"/>
      <c r="CG307"/>
      <c r="CH307"/>
      <c r="CI307"/>
      <c r="CK307"/>
      <c r="CL307"/>
      <c r="CM307"/>
      <c r="CN307"/>
      <c r="CO307"/>
      <c r="CP307"/>
      <c r="CQ307"/>
      <c r="CS307"/>
      <c r="CT307"/>
      <c r="CU307"/>
      <c r="CV307"/>
      <c r="CW307"/>
      <c r="CX307"/>
      <c r="CY307"/>
      <c r="DA307"/>
      <c r="DB307"/>
      <c r="DC307"/>
      <c r="DD307"/>
      <c r="DE307"/>
      <c r="DF307"/>
      <c r="DG307"/>
      <c r="DI307" s="3">
        <v>1</v>
      </c>
    </row>
    <row r="308" spans="1:115" s="627" customFormat="1" ht="21" customHeight="1">
      <c r="A308" s="701" t="s">
        <v>21</v>
      </c>
      <c r="B308" s="2265" t="str" cm="1">
        <f t="array" ref="B308">SUMPRODUCT(--(D308:J308&lt;&gt;""), LEN(TRIM(SUBSTITUTE(D308:J308, CHAR(160), "")))) &amp; " Car."</f>
        <v>0 Car.</v>
      </c>
      <c r="C308" s="1376" t="str">
        <f>IF(ISBLANK(D308),"",LARGE(C13:C307,1)+1)</f>
        <v/>
      </c>
      <c r="D308" s="1833"/>
      <c r="E308" s="1810"/>
      <c r="F308" s="1810"/>
      <c r="G308" s="1810"/>
      <c r="H308" s="1810"/>
      <c r="I308" s="1810"/>
      <c r="J308" s="1810"/>
      <c r="K308" s="1810"/>
      <c r="L308" s="1811"/>
      <c r="M308" s="9"/>
      <c r="N308" s="103" t="str">
        <f t="shared" si="140"/>
        <v>►</v>
      </c>
      <c r="O308" s="1616"/>
      <c r="P308" s="9"/>
      <c r="Q308" s="103" t="s">
        <v>15</v>
      </c>
      <c r="R308" s="31"/>
      <c r="S308" s="32"/>
      <c r="T308" s="31"/>
      <c r="U308" s="33"/>
      <c r="V308" s="1804"/>
      <c r="W308" s="1805"/>
      <c r="X308" s="91"/>
      <c r="Y308" s="1806"/>
      <c r="Z308" s="1807"/>
      <c r="AA308" s="919"/>
      <c r="AB308" s="1813"/>
      <c r="AC308" s="1580"/>
      <c r="AD308" s="95"/>
      <c r="AE308" s="105"/>
      <c r="AF308" s="97"/>
      <c r="AG308" s="2080"/>
      <c r="AH308" s="2081"/>
      <c r="AI308" s="99"/>
      <c r="AJ308" s="1809"/>
      <c r="AK308" s="6120" t="str">
        <f t="shared" si="155"/>
        <v>►</v>
      </c>
      <c r="AL308" s="781" t="str">
        <f t="shared" si="143"/>
        <v>►</v>
      </c>
      <c r="AM308" s="5498" t="str">
        <f t="shared" si="146"/>
        <v/>
      </c>
      <c r="AN308" s="783" t="str">
        <f t="shared" si="147"/>
        <v/>
      </c>
      <c r="AO308" s="782" t="str">
        <f t="shared" si="148"/>
        <v/>
      </c>
      <c r="AP308" s="783" t="str">
        <f t="shared" si="149"/>
        <v/>
      </c>
      <c r="AQ308" s="2083" t="b">
        <f>AND(Q308="A",COUNTIF(BP16:BR63,TRIM(Z308))&gt;0)</f>
        <v>0</v>
      </c>
      <c r="AR308" s="797" t="str">
        <f>IF(AL308&lt;&gt;"A","",IFERROR(IFERROR(_xlfn.XLOOKUP(TRIM(SUBSTITUTE(Z308,CHAR(160)," ")),BP16:BP63,BS16:BS63),IFERROR(_xlfn.XLOOKUP(TRIM(SUBSTITUTE(Z308,CHAR(160)," ")),BQ16:BQ63,BS16:BS63),_xlfn.XLOOKUP(TRIM(SUBSTITUTE(Z308,CHAR(160)," ")),BR16:BR63,BS16:BS63)))*Y308*IF(ISBLANK(V308),1,V308),0))</f>
        <v/>
      </c>
      <c r="AS308" s="784" t="str">
        <f t="shared" si="138"/>
        <v/>
      </c>
      <c r="AT308" s="1315" t="str">
        <f t="shared" si="150"/>
        <v/>
      </c>
      <c r="AU308" s="785">
        <f t="shared" si="151"/>
        <v>0</v>
      </c>
      <c r="AV308" s="785">
        <f t="shared" si="152"/>
        <v>0</v>
      </c>
      <c r="AW308" s="798">
        <f>IF(AK308="A",AY10,0)</f>
        <v>0</v>
      </c>
      <c r="AX308" s="5496" t="str">
        <f>IF(IFERROR(SEARCH("Adresse PC",TRIM(W308)),0)&gt;0,"▼ receta siguiente",IF(AK308="A",IF(AZ10&lt;&gt;"",AZ10&amp;" - ou.or.o ❾ + or - &gt;",""),""))</f>
        <v/>
      </c>
      <c r="AY308" s="810"/>
      <c r="AZ308" s="810"/>
      <c r="BA308" s="799" t="str">
        <f t="shared" si="142"/>
        <v/>
      </c>
      <c r="BB308" s="800" t="str">
        <f>IF(AK308="A",IF(AQ308,IF(AND(AW308&lt;&gt;"",N(AW308)&gt;0),IFERROR(IFERROR(_xlfn.XLOOKUP(AP308,BP10:BP57,BT10:BT57),IFERROR(_xlfn.XLOOKUP(AP308,BQ10:BQ57,BT10:BT57),_xlfn.XLOOKUP(AP308,BR10:BR57,BT10:BT57,""))),""),""),""),"")</f>
        <v/>
      </c>
      <c r="BC308" s="813" cm="1">
        <f t="array" ref="BC308">IF(NOT(AQ308),0,IF(OR(BA308="",N(BA308)&lt;=0.000000001),"",IF(OR(AU308="",N(AU308)&lt;=0.000000001),0,IF(ISNUMBER(BA308),IFERROR(_xlfn.LET(_xlpm.ai_test,TRIM(AP308),_xlpm.r,IFERROR(_xlfn.XLOOKUP(_xlpm.ai_test,BP16:BP63,ROW(BP16:BP63),0,1),IFERROR(_xlfn.XLOOKUP(_xlpm.ai_test,BQ16:BQ63,ROW(BQ16:BQ63),0,1),_xlfn.XLOOKUP(_xlpm.ai_test,BR16:BR63,ROW(BR16:BR63),0,1))),_xlpm.p,_xlpm.r-MIN(ROW(BP16:BP63))+1,_xlpm.f,INDEX(BS16:BS63,_xlpm.p),_xlpm.u,INDEX(BT16:BT63,_xlpm.p),_xlpm.s,INDEX(BV16:BV63,_xlpm.p),_xlpm.q,N(BA308)/_xlpm.f,IF(_xlpm.q&gt;=_xlpm.s,ROUND(_xlpm.q,1)&amp;" "&amp;_xlpm.ai_test&amp;" = "&amp;ROUND(_xlpm.q*_xlpm.f,1)&amp;" "&amp;_xlpm.u,ROUND(_xlpm.q,1)&amp;" "&amp;_xlpm.ai_test)),""),""))))</f>
        <v>0</v>
      </c>
      <c r="BD308" s="801"/>
      <c r="BE308" s="799" t="str">
        <f t="shared" si="153"/>
        <v/>
      </c>
      <c r="BF308" s="800" t="str">
        <f t="shared" si="156"/>
        <v/>
      </c>
      <c r="BG308" s="802">
        <f t="shared" si="157"/>
        <v>0</v>
      </c>
      <c r="BH308" s="803" t="str">
        <f t="shared" si="158"/>
        <v/>
      </c>
      <c r="BI308" s="792"/>
      <c r="BJ308" s="804">
        <f t="shared" si="159"/>
        <v>0</v>
      </c>
      <c r="BK308" s="794" t="str">
        <f t="shared" si="154"/>
        <v/>
      </c>
      <c r="BL308" s="227" t="s">
        <v>21</v>
      </c>
      <c r="BM308" s="773">
        <f t="shared" si="144"/>
        <v>0</v>
      </c>
      <c r="BN308" s="774">
        <f t="shared" si="145"/>
        <v>0</v>
      </c>
      <c r="BO308"/>
      <c r="BX308"/>
      <c r="BY308"/>
      <c r="BZ308"/>
      <c r="CA308"/>
      <c r="CB308"/>
      <c r="CC308"/>
      <c r="CD308" s="781" t="str">
        <f t="shared" si="139"/>
        <v>►</v>
      </c>
      <c r="CE308"/>
      <c r="CF308"/>
      <c r="CG308"/>
      <c r="CH308"/>
      <c r="CI308"/>
      <c r="CJ308" s="633"/>
      <c r="CK308"/>
      <c r="CL308"/>
      <c r="CM308"/>
      <c r="CN308"/>
      <c r="CO308"/>
      <c r="CP308"/>
      <c r="CQ308"/>
      <c r="CR308" s="633"/>
      <c r="CS308"/>
      <c r="CT308"/>
      <c r="CU308"/>
      <c r="CV308"/>
      <c r="CW308"/>
      <c r="CX308"/>
      <c r="CY308"/>
      <c r="CZ308" s="633"/>
      <c r="DA308"/>
      <c r="DB308"/>
      <c r="DC308"/>
      <c r="DD308"/>
      <c r="DE308"/>
      <c r="DF308"/>
      <c r="DG308"/>
      <c r="DH308" s="633"/>
      <c r="DI308" s="3">
        <v>1</v>
      </c>
    </row>
    <row r="309" spans="1:115" ht="21" customHeight="1">
      <c r="B309" s="2265" t="str" cm="1">
        <f t="array" ref="B309">SUMPRODUCT(--(D309:J309&lt;&gt;""), LEN(TRIM(SUBSTITUTE(D309:J309, CHAR(160), "")))) &amp; " Car."</f>
        <v>0 Car.</v>
      </c>
      <c r="C309" s="1376" t="str">
        <f>IF(ISBLANK(D309),"",LARGE(C13:C308,1)+1)</f>
        <v/>
      </c>
      <c r="D309" s="1833"/>
      <c r="E309" s="1810"/>
      <c r="F309" s="1810"/>
      <c r="G309" s="1810"/>
      <c r="H309" s="1810"/>
      <c r="I309" s="1810"/>
      <c r="J309" s="1810"/>
      <c r="K309" s="1810"/>
      <c r="L309" s="1811"/>
      <c r="M309" s="9"/>
      <c r="N309" s="103" t="str">
        <f t="shared" si="140"/>
        <v>►</v>
      </c>
      <c r="O309" s="1616"/>
      <c r="P309" s="9"/>
      <c r="Q309" s="103" t="s">
        <v>15</v>
      </c>
      <c r="R309" s="31"/>
      <c r="S309" s="32"/>
      <c r="T309" s="31"/>
      <c r="U309" s="33"/>
      <c r="V309" s="1804"/>
      <c r="W309" s="1805"/>
      <c r="X309" s="91"/>
      <c r="Y309" s="1806"/>
      <c r="Z309" s="1807"/>
      <c r="AA309" s="919"/>
      <c r="AB309" s="1813"/>
      <c r="AC309" s="1580"/>
      <c r="AD309" s="95"/>
      <c r="AE309" s="105"/>
      <c r="AF309" s="97"/>
      <c r="AG309" s="2080"/>
      <c r="AH309" s="2081"/>
      <c r="AI309" s="99"/>
      <c r="AJ309" s="1809"/>
      <c r="AK309" s="6120" t="str">
        <f t="shared" si="155"/>
        <v>►</v>
      </c>
      <c r="AL309" s="781" t="str">
        <f t="shared" si="143"/>
        <v>►</v>
      </c>
      <c r="AM309" s="5499" t="str">
        <f t="shared" si="146"/>
        <v/>
      </c>
      <c r="AN309" s="783" t="str">
        <f t="shared" si="147"/>
        <v/>
      </c>
      <c r="AO309" s="782" t="str">
        <f t="shared" si="148"/>
        <v/>
      </c>
      <c r="AP309" s="783" t="str">
        <f t="shared" si="149"/>
        <v/>
      </c>
      <c r="AQ309" s="2083" t="b">
        <f>AND(Q309="A",COUNTIF(BP16:BR63,TRIM(Z309))&gt;0)</f>
        <v>0</v>
      </c>
      <c r="AR309" s="797" t="str">
        <f>IF(AL309&lt;&gt;"A","",IFERROR(IFERROR(_xlfn.XLOOKUP(TRIM(SUBSTITUTE(Z309,CHAR(160)," ")),BP16:BP63,BS16:BS63),IFERROR(_xlfn.XLOOKUP(TRIM(SUBSTITUTE(Z309,CHAR(160)," ")),BQ16:BQ63,BS16:BS63),_xlfn.XLOOKUP(TRIM(SUBSTITUTE(Z309,CHAR(160)," ")),BR16:BR63,BS16:BS63)))*Y309*IF(ISBLANK(V309),1,V309),0))</f>
        <v/>
      </c>
      <c r="AS309" s="784" t="str">
        <f t="shared" si="138"/>
        <v/>
      </c>
      <c r="AT309" s="1315" t="str">
        <f t="shared" si="150"/>
        <v/>
      </c>
      <c r="AU309" s="785">
        <f t="shared" si="151"/>
        <v>0</v>
      </c>
      <c r="AV309" s="785">
        <f t="shared" si="152"/>
        <v>0</v>
      </c>
      <c r="AW309" s="786">
        <f>IF(AK309="A",AY10,0)</f>
        <v>0</v>
      </c>
      <c r="AX309" s="5495" t="str">
        <f>IF(IFERROR(SEARCH("Adresse PC",TRIM(W309)),0)&gt;0,"▼ receta siguiente",IF(AK309="A",IF(AZ10&lt;&gt;"",AZ10&amp;" - ou.or.o ❾ + or - &gt;",""),""))</f>
        <v/>
      </c>
      <c r="AY309" s="810"/>
      <c r="AZ309" s="810"/>
      <c r="BA309" s="788" t="str">
        <f t="shared" si="142"/>
        <v/>
      </c>
      <c r="BB309" s="789" t="str">
        <f>IF(AK309="A",IF(AQ309,IF(AND(AW309&lt;&gt;"",N(AW309)&gt;0),IFERROR(IFERROR(_xlfn.XLOOKUP(AP309,BP10:BP57,BT10:BT57),IFERROR(_xlfn.XLOOKUP(AP309,BQ10:BQ57,BT10:BT57),_xlfn.XLOOKUP(AP309,BR10:BR57,BT10:BT57,""))),""),""),""),"")</f>
        <v/>
      </c>
      <c r="BC309" s="811" cm="1">
        <f t="array" ref="BC309">IF(NOT(AQ309),0,IF(OR(BA309="",N(BA309)&lt;=0.000000001),"",IF(OR(AU309="",N(AU309)&lt;=0.000000001),0,IF(ISNUMBER(BA309),IFERROR(_xlfn.LET(_xlpm.ai_test,TRIM(AP309),_xlpm.r,IFERROR(_xlfn.XLOOKUP(_xlpm.ai_test,BP16:BP63,ROW(BP16:BP63),0,1),IFERROR(_xlfn.XLOOKUP(_xlpm.ai_test,BQ16:BQ63,ROW(BQ16:BQ63),0,1),_xlfn.XLOOKUP(_xlpm.ai_test,BR16:BR63,ROW(BR16:BR63),0,1))),_xlpm.p,_xlpm.r-MIN(ROW(BP16:BP63))+1,_xlpm.f,INDEX(BS16:BS63,_xlpm.p),_xlpm.u,INDEX(BT16:BT63,_xlpm.p),_xlpm.s,INDEX(BV16:BV63,_xlpm.p),_xlpm.q,N(BA309)/_xlpm.f,IF(_xlpm.q&gt;=_xlpm.s,ROUND(_xlpm.q,1)&amp;" "&amp;_xlpm.ai_test&amp;" = "&amp;ROUND(_xlpm.q*_xlpm.f,1)&amp;" "&amp;_xlpm.u,ROUND(_xlpm.q,1)&amp;" "&amp;_xlpm.ai_test)),""),""))))</f>
        <v>0</v>
      </c>
      <c r="BD309" s="801"/>
      <c r="BE309" s="788" t="str">
        <f t="shared" si="153"/>
        <v/>
      </c>
      <c r="BF309" s="789" t="str">
        <f t="shared" si="156"/>
        <v/>
      </c>
      <c r="BG309" s="790">
        <f t="shared" si="157"/>
        <v>0</v>
      </c>
      <c r="BH309" s="791" t="str">
        <f t="shared" si="158"/>
        <v/>
      </c>
      <c r="BI309" s="792"/>
      <c r="BJ309" s="793">
        <f t="shared" si="159"/>
        <v>0</v>
      </c>
      <c r="BK309" s="794" t="str">
        <f t="shared" si="154"/>
        <v/>
      </c>
      <c r="BL309" s="227" t="s">
        <v>21</v>
      </c>
      <c r="BM309" s="773">
        <f t="shared" si="144"/>
        <v>0</v>
      </c>
      <c r="BN309" s="774">
        <f t="shared" si="145"/>
        <v>0</v>
      </c>
      <c r="BO309"/>
      <c r="BP309" s="627"/>
      <c r="BQ309" s="627"/>
      <c r="BR309" s="627"/>
      <c r="BS309" s="627"/>
      <c r="BT309" s="627"/>
      <c r="BU309" s="627"/>
      <c r="BV309" s="627"/>
      <c r="BW309" s="627"/>
      <c r="CD309" s="781" t="str">
        <f t="shared" si="139"/>
        <v>►</v>
      </c>
      <c r="CI309"/>
      <c r="CJ309" s="633"/>
      <c r="CR309" s="633"/>
      <c r="CZ309" s="633"/>
      <c r="DH309" s="633"/>
      <c r="DI309" s="3">
        <v>1</v>
      </c>
    </row>
    <row r="310" spans="1:115" ht="21" customHeight="1">
      <c r="B310" s="2265" t="str" cm="1">
        <f t="array" ref="B310">SUMPRODUCT(--(D310:J310&lt;&gt;""), LEN(TRIM(SUBSTITUTE(D310:J310, CHAR(160), "")))) &amp; " Car."</f>
        <v>0 Car.</v>
      </c>
      <c r="C310" s="1376" t="str">
        <f>IF(ISBLANK(D310),"",LARGE(C13:C309,1)+1)</f>
        <v/>
      </c>
      <c r="D310" s="1833"/>
      <c r="E310" s="1810"/>
      <c r="F310" s="1810"/>
      <c r="G310" s="1810"/>
      <c r="H310" s="1810"/>
      <c r="I310" s="1810"/>
      <c r="J310" s="1810"/>
      <c r="K310" s="1810"/>
      <c r="L310" s="1811"/>
      <c r="M310" s="9"/>
      <c r="N310" s="103" t="str">
        <f t="shared" si="140"/>
        <v>►</v>
      </c>
      <c r="O310" s="1616"/>
      <c r="P310" s="9"/>
      <c r="Q310" s="103" t="s">
        <v>15</v>
      </c>
      <c r="R310" s="31"/>
      <c r="S310" s="32"/>
      <c r="T310" s="31"/>
      <c r="U310" s="33"/>
      <c r="V310" s="1804"/>
      <c r="W310" s="1805"/>
      <c r="X310" s="91"/>
      <c r="Y310" s="1806"/>
      <c r="Z310" s="1807"/>
      <c r="AA310" s="919"/>
      <c r="AB310" s="1813"/>
      <c r="AC310" s="1580"/>
      <c r="AD310" s="95"/>
      <c r="AE310" s="105"/>
      <c r="AF310" s="97"/>
      <c r="AG310" s="2080"/>
      <c r="AH310" s="2081"/>
      <c r="AI310" s="99"/>
      <c r="AJ310" s="1809"/>
      <c r="AK310" s="6120" t="str">
        <f t="shared" si="155"/>
        <v>►</v>
      </c>
      <c r="AL310" s="781" t="str">
        <f t="shared" si="143"/>
        <v>►</v>
      </c>
      <c r="AM310" s="5498" t="str">
        <f t="shared" si="146"/>
        <v/>
      </c>
      <c r="AN310" s="783" t="str">
        <f t="shared" si="147"/>
        <v/>
      </c>
      <c r="AO310" s="782" t="str">
        <f t="shared" si="148"/>
        <v/>
      </c>
      <c r="AP310" s="783" t="str">
        <f t="shared" si="149"/>
        <v/>
      </c>
      <c r="AQ310" s="2083" t="b">
        <f>AND(Q310="A",COUNTIF(BP16:BR63,TRIM(Z310))&gt;0)</f>
        <v>0</v>
      </c>
      <c r="AR310" s="797" t="str">
        <f>IF(AL310&lt;&gt;"A","",IFERROR(IFERROR(_xlfn.XLOOKUP(TRIM(SUBSTITUTE(Z310,CHAR(160)," ")),BP16:BP63,BS16:BS63),IFERROR(_xlfn.XLOOKUP(TRIM(SUBSTITUTE(Z310,CHAR(160)," ")),BQ16:BQ63,BS16:BS63),_xlfn.XLOOKUP(TRIM(SUBSTITUTE(Z310,CHAR(160)," ")),BR16:BR63,BS16:BS63)))*Y310*IF(ISBLANK(V310),1,V310),0))</f>
        <v/>
      </c>
      <c r="AS310" s="784" t="str">
        <f t="shared" si="138"/>
        <v/>
      </c>
      <c r="AT310" s="1315" t="str">
        <f t="shared" si="150"/>
        <v/>
      </c>
      <c r="AU310" s="785">
        <f t="shared" si="151"/>
        <v>0</v>
      </c>
      <c r="AV310" s="785">
        <f t="shared" si="152"/>
        <v>0</v>
      </c>
      <c r="AW310" s="798">
        <f>IF(AK310="A",AY10,0)</f>
        <v>0</v>
      </c>
      <c r="AX310" s="5496" t="str">
        <f>IF(IFERROR(SEARCH("Adresse PC",TRIM(W310)),0)&gt;0,"▼ receta siguiente",IF(AK310="A",IF(AZ10&lt;&gt;"",AZ10&amp;" - ou.or.o ❾ + or - &gt;",""),""))</f>
        <v/>
      </c>
      <c r="AY310" s="810"/>
      <c r="AZ310" s="810"/>
      <c r="BA310" s="799" t="str">
        <f t="shared" si="142"/>
        <v/>
      </c>
      <c r="BB310" s="800" t="str">
        <f>IF(AK310="A",IF(AQ310,IF(AND(AW310&lt;&gt;"",N(AW310)&gt;0),IFERROR(IFERROR(_xlfn.XLOOKUP(AP310,BP10:BP57,BT10:BT57),IFERROR(_xlfn.XLOOKUP(AP310,BQ10:BQ57,BT10:BT57),_xlfn.XLOOKUP(AP310,BR10:BR57,BT10:BT57,""))),""),""),""),"")</f>
        <v/>
      </c>
      <c r="BC310" s="813" cm="1">
        <f t="array" ref="BC310">IF(NOT(AQ310),0,IF(OR(BA310="",N(BA310)&lt;=0.000000001),"",IF(OR(AU310="",N(AU310)&lt;=0.000000001),0,IF(ISNUMBER(BA310),IFERROR(_xlfn.LET(_xlpm.ai_test,TRIM(AP310),_xlpm.r,IFERROR(_xlfn.XLOOKUP(_xlpm.ai_test,BP16:BP63,ROW(BP16:BP63),0,1),IFERROR(_xlfn.XLOOKUP(_xlpm.ai_test,BQ16:BQ63,ROW(BQ16:BQ63),0,1),_xlfn.XLOOKUP(_xlpm.ai_test,BR16:BR63,ROW(BR16:BR63),0,1))),_xlpm.p,_xlpm.r-MIN(ROW(BP16:BP63))+1,_xlpm.f,INDEX(BS16:BS63,_xlpm.p),_xlpm.u,INDEX(BT16:BT63,_xlpm.p),_xlpm.s,INDEX(BV16:BV63,_xlpm.p),_xlpm.q,N(BA310)/_xlpm.f,IF(_xlpm.q&gt;=_xlpm.s,ROUND(_xlpm.q,1)&amp;" "&amp;_xlpm.ai_test&amp;" = "&amp;ROUND(_xlpm.q*_xlpm.f,1)&amp;" "&amp;_xlpm.u,ROUND(_xlpm.q,1)&amp;" "&amp;_xlpm.ai_test)),""),""))))</f>
        <v>0</v>
      </c>
      <c r="BD310" s="801"/>
      <c r="BE310" s="799" t="str">
        <f t="shared" si="153"/>
        <v/>
      </c>
      <c r="BF310" s="800" t="str">
        <f t="shared" si="156"/>
        <v/>
      </c>
      <c r="BG310" s="802">
        <f t="shared" si="157"/>
        <v>0</v>
      </c>
      <c r="BH310" s="803" t="str">
        <f t="shared" si="158"/>
        <v/>
      </c>
      <c r="BI310" s="792"/>
      <c r="BJ310" s="804">
        <f t="shared" si="159"/>
        <v>0</v>
      </c>
      <c r="BK310" s="794" t="str">
        <f t="shared" si="154"/>
        <v/>
      </c>
      <c r="BL310" s="227" t="s">
        <v>21</v>
      </c>
      <c r="BM310" s="773">
        <f t="shared" si="144"/>
        <v>0</v>
      </c>
      <c r="BN310" s="774">
        <f t="shared" si="145"/>
        <v>0</v>
      </c>
      <c r="BO310"/>
      <c r="BP310" s="627"/>
      <c r="BQ310" s="627"/>
      <c r="BR310" s="627"/>
      <c r="BS310" s="627"/>
      <c r="BT310" s="627"/>
      <c r="BU310" s="627"/>
      <c r="BV310" s="627"/>
      <c r="BW310" s="627"/>
      <c r="CD310" s="781" t="str">
        <f t="shared" si="139"/>
        <v>►</v>
      </c>
      <c r="CI310"/>
      <c r="CJ310" s="633"/>
      <c r="CR310" s="633"/>
      <c r="CZ310" s="633"/>
      <c r="DH310" s="633"/>
      <c r="DI310" s="3">
        <v>1</v>
      </c>
    </row>
    <row r="311" spans="1:115" ht="21" customHeight="1">
      <c r="B311" s="2265" t="str" cm="1">
        <f t="array" ref="B311">SUMPRODUCT(--(D311:J311&lt;&gt;""), LEN(TRIM(SUBSTITUTE(D311:J311, CHAR(160), "")))) &amp; " Car."</f>
        <v>0 Car.</v>
      </c>
      <c r="C311" s="1376" t="str">
        <f>IF(ISBLANK(D311),"",LARGE(C13:C310,1)+1)</f>
        <v/>
      </c>
      <c r="D311" s="1833"/>
      <c r="E311" s="1810"/>
      <c r="F311" s="1810"/>
      <c r="G311" s="1810"/>
      <c r="H311" s="1810"/>
      <c r="I311" s="1810"/>
      <c r="J311" s="1810"/>
      <c r="K311" s="1810"/>
      <c r="L311" s="1811"/>
      <c r="M311" s="9"/>
      <c r="N311" s="103" t="str">
        <f t="shared" si="140"/>
        <v>►</v>
      </c>
      <c r="O311" s="1616"/>
      <c r="P311" s="9"/>
      <c r="Q311" s="103" t="s">
        <v>15</v>
      </c>
      <c r="R311" s="31"/>
      <c r="S311" s="32"/>
      <c r="T311" s="31"/>
      <c r="U311" s="33"/>
      <c r="V311" s="1804"/>
      <c r="W311" s="1805"/>
      <c r="X311" s="91"/>
      <c r="Y311" s="1806"/>
      <c r="Z311" s="1807"/>
      <c r="AA311" s="919"/>
      <c r="AB311" s="1813"/>
      <c r="AC311" s="1580"/>
      <c r="AD311" s="95"/>
      <c r="AE311" s="105"/>
      <c r="AF311" s="97"/>
      <c r="AG311" s="2080"/>
      <c r="AH311" s="2081"/>
      <c r="AI311" s="99"/>
      <c r="AJ311" s="1809"/>
      <c r="AK311" s="6120" t="str">
        <f t="shared" si="155"/>
        <v>►</v>
      </c>
      <c r="AL311" s="781" t="str">
        <f t="shared" si="143"/>
        <v>►</v>
      </c>
      <c r="AM311" s="5499" t="str">
        <f t="shared" si="146"/>
        <v/>
      </c>
      <c r="AN311" s="783" t="str">
        <f t="shared" si="147"/>
        <v/>
      </c>
      <c r="AO311" s="782" t="str">
        <f t="shared" si="148"/>
        <v/>
      </c>
      <c r="AP311" s="783" t="str">
        <f t="shared" si="149"/>
        <v/>
      </c>
      <c r="AQ311" s="2083" t="b">
        <f>AND(Q311="A",COUNTIF(BP16:BR63,TRIM(Z311))&gt;0)</f>
        <v>0</v>
      </c>
      <c r="AR311" s="797" t="str">
        <f>IF(AL311&lt;&gt;"A","",IFERROR(IFERROR(_xlfn.XLOOKUP(TRIM(SUBSTITUTE(Z311,CHAR(160)," ")),BP16:BP63,BS16:BS63),IFERROR(_xlfn.XLOOKUP(TRIM(SUBSTITUTE(Z311,CHAR(160)," ")),BQ16:BQ63,BS16:BS63),_xlfn.XLOOKUP(TRIM(SUBSTITUTE(Z311,CHAR(160)," ")),BR16:BR63,BS16:BS63)))*Y311*IF(ISBLANK(V311),1,V311),0))</f>
        <v/>
      </c>
      <c r="AS311" s="784" t="str">
        <f t="shared" si="138"/>
        <v/>
      </c>
      <c r="AT311" s="1315" t="str">
        <f t="shared" si="150"/>
        <v/>
      </c>
      <c r="AU311" s="785">
        <f t="shared" si="151"/>
        <v>0</v>
      </c>
      <c r="AV311" s="785">
        <f t="shared" si="152"/>
        <v>0</v>
      </c>
      <c r="AW311" s="786">
        <f>IF(AK311="A",AY10,0)</f>
        <v>0</v>
      </c>
      <c r="AX311" s="5495" t="str">
        <f>IF(IFERROR(SEARCH("Adresse PC",TRIM(W311)),0)&gt;0,"▼ receta siguiente",IF(AK311="A",IF(AZ10&lt;&gt;"",AZ10&amp;" - ou.or.o ❾ + or - &gt;",""),""))</f>
        <v/>
      </c>
      <c r="AY311" s="810"/>
      <c r="AZ311" s="810"/>
      <c r="BA311" s="788" t="str">
        <f t="shared" si="142"/>
        <v/>
      </c>
      <c r="BB311" s="789" t="str">
        <f>IF(AK311="A",IF(AQ311,IF(AND(AW311&lt;&gt;"",N(AW311)&gt;0),IFERROR(IFERROR(_xlfn.XLOOKUP(AP311,BP10:BP57,BT10:BT57),IFERROR(_xlfn.XLOOKUP(AP311,BQ10:BQ57,BT10:BT57),_xlfn.XLOOKUP(AP311,BR10:BR57,BT10:BT57,""))),""),""),""),"")</f>
        <v/>
      </c>
      <c r="BC311" s="811" cm="1">
        <f t="array" ref="BC311">IF(NOT(AQ311),0,IF(OR(BA311="",N(BA311)&lt;=0.000000001),"",IF(OR(AU311="",N(AU311)&lt;=0.000000001),0,IF(ISNUMBER(BA311),IFERROR(_xlfn.LET(_xlpm.ai_test,TRIM(AP311),_xlpm.r,IFERROR(_xlfn.XLOOKUP(_xlpm.ai_test,BP16:BP63,ROW(BP16:BP63),0,1),IFERROR(_xlfn.XLOOKUP(_xlpm.ai_test,BQ16:BQ63,ROW(BQ16:BQ63),0,1),_xlfn.XLOOKUP(_xlpm.ai_test,BR16:BR63,ROW(BR16:BR63),0,1))),_xlpm.p,_xlpm.r-MIN(ROW(BP16:BP63))+1,_xlpm.f,INDEX(BS16:BS63,_xlpm.p),_xlpm.u,INDEX(BT16:BT63,_xlpm.p),_xlpm.s,INDEX(BV16:BV63,_xlpm.p),_xlpm.q,N(BA311)/_xlpm.f,IF(_xlpm.q&gt;=_xlpm.s,ROUND(_xlpm.q,1)&amp;" "&amp;_xlpm.ai_test&amp;" = "&amp;ROUND(_xlpm.q*_xlpm.f,1)&amp;" "&amp;_xlpm.u,ROUND(_xlpm.q,1)&amp;" "&amp;_xlpm.ai_test)),""),""))))</f>
        <v>0</v>
      </c>
      <c r="BD311" s="801"/>
      <c r="BE311" s="788" t="str">
        <f t="shared" si="153"/>
        <v/>
      </c>
      <c r="BF311" s="789" t="str">
        <f t="shared" si="156"/>
        <v/>
      </c>
      <c r="BG311" s="790">
        <f t="shared" si="157"/>
        <v>0</v>
      </c>
      <c r="BH311" s="791" t="str">
        <f t="shared" si="158"/>
        <v/>
      </c>
      <c r="BI311" s="792"/>
      <c r="BJ311" s="793">
        <f t="shared" si="159"/>
        <v>0</v>
      </c>
      <c r="BK311" s="794" t="str">
        <f t="shared" si="154"/>
        <v/>
      </c>
      <c r="BL311" s="227" t="s">
        <v>21</v>
      </c>
      <c r="BM311" s="773">
        <f t="shared" si="144"/>
        <v>0</v>
      </c>
      <c r="BN311" s="774">
        <f t="shared" si="145"/>
        <v>0</v>
      </c>
      <c r="BO311"/>
      <c r="BP311" s="627"/>
      <c r="BQ311" s="627"/>
      <c r="BR311" s="627"/>
      <c r="BS311" s="627"/>
      <c r="BT311" s="627"/>
      <c r="BU311" s="627"/>
      <c r="BV311" s="627"/>
      <c r="BW311" s="627"/>
      <c r="CD311" s="781" t="str">
        <f t="shared" si="139"/>
        <v>►</v>
      </c>
      <c r="CI311"/>
      <c r="CJ311" s="633"/>
      <c r="CR311" s="633"/>
      <c r="CZ311" s="633"/>
      <c r="DH311" s="633"/>
      <c r="DI311" s="3">
        <v>1</v>
      </c>
    </row>
    <row r="312" spans="1:115" ht="21" customHeight="1">
      <c r="B312" s="2265" t="str" cm="1">
        <f t="array" ref="B312">SUMPRODUCT(--(D312:J312&lt;&gt;""), LEN(TRIM(SUBSTITUTE(D312:J312, CHAR(160), "")))) &amp; " Car."</f>
        <v>0 Car.</v>
      </c>
      <c r="C312" s="1376" t="str">
        <f>IF(ISBLANK(D312),"",LARGE(C13:C311,1)+1)</f>
        <v/>
      </c>
      <c r="D312" s="1833"/>
      <c r="E312" s="1810"/>
      <c r="F312" s="1810"/>
      <c r="G312" s="1810"/>
      <c r="H312" s="1810"/>
      <c r="I312" s="1810"/>
      <c r="J312" s="1810"/>
      <c r="K312" s="1810"/>
      <c r="L312" s="1811"/>
      <c r="M312" s="9"/>
      <c r="N312" s="103" t="str">
        <f t="shared" si="140"/>
        <v>►</v>
      </c>
      <c r="O312" s="1616"/>
      <c r="P312" s="9"/>
      <c r="Q312" s="103" t="s">
        <v>15</v>
      </c>
      <c r="R312" s="31"/>
      <c r="S312" s="32"/>
      <c r="T312" s="31"/>
      <c r="U312" s="33"/>
      <c r="V312" s="1804"/>
      <c r="W312" s="1805"/>
      <c r="X312" s="91"/>
      <c r="Y312" s="1806"/>
      <c r="Z312" s="1807"/>
      <c r="AA312" s="919"/>
      <c r="AB312" s="1813"/>
      <c r="AC312" s="1580"/>
      <c r="AD312" s="95"/>
      <c r="AE312" s="105"/>
      <c r="AF312" s="97"/>
      <c r="AG312" s="2080"/>
      <c r="AH312" s="2081"/>
      <c r="AI312" s="99"/>
      <c r="AJ312" s="1809"/>
      <c r="AK312" s="6120" t="str">
        <f t="shared" si="155"/>
        <v>►</v>
      </c>
      <c r="AL312" s="781" t="str">
        <f t="shared" si="143"/>
        <v>►</v>
      </c>
      <c r="AM312" s="5498" t="str">
        <f t="shared" si="146"/>
        <v/>
      </c>
      <c r="AN312" s="783" t="str">
        <f t="shared" si="147"/>
        <v/>
      </c>
      <c r="AO312" s="782" t="str">
        <f t="shared" si="148"/>
        <v/>
      </c>
      <c r="AP312" s="783" t="str">
        <f t="shared" si="149"/>
        <v/>
      </c>
      <c r="AQ312" s="2083" t="b">
        <f>AND(Q312="A",COUNTIF(BP16:BR63,TRIM(Z312))&gt;0)</f>
        <v>0</v>
      </c>
      <c r="AR312" s="797" t="str">
        <f>IF(AL312&lt;&gt;"A","",IFERROR(IFERROR(_xlfn.XLOOKUP(TRIM(SUBSTITUTE(Z312,CHAR(160)," ")),BP16:BP63,BS16:BS63),IFERROR(_xlfn.XLOOKUP(TRIM(SUBSTITUTE(Z312,CHAR(160)," ")),BQ16:BQ63,BS16:BS63),_xlfn.XLOOKUP(TRIM(SUBSTITUTE(Z312,CHAR(160)," ")),BR16:BR63,BS16:BS63)))*Y312*IF(ISBLANK(V312),1,V312),0))</f>
        <v/>
      </c>
      <c r="AS312" s="784" t="str">
        <f t="shared" si="138"/>
        <v/>
      </c>
      <c r="AT312" s="1315" t="str">
        <f t="shared" si="150"/>
        <v/>
      </c>
      <c r="AU312" s="785">
        <f t="shared" si="151"/>
        <v>0</v>
      </c>
      <c r="AV312" s="785">
        <f t="shared" si="152"/>
        <v>0</v>
      </c>
      <c r="AW312" s="798">
        <f>IF(AK312="A",AY10,0)</f>
        <v>0</v>
      </c>
      <c r="AX312" s="5496" t="str">
        <f>IF(IFERROR(SEARCH("Adresse PC",TRIM(W312)),0)&gt;0,"▼ receta siguiente",IF(AK312="A",IF(AZ10&lt;&gt;"",AZ10&amp;" - ou.or.o ❾ + or - &gt;",""),""))</f>
        <v/>
      </c>
      <c r="AY312" s="810"/>
      <c r="AZ312" s="810"/>
      <c r="BA312" s="799" t="str">
        <f t="shared" si="142"/>
        <v/>
      </c>
      <c r="BB312" s="800" t="str">
        <f>IF(AK312="A",IF(AQ312,IF(AND(AW312&lt;&gt;"",N(AW312)&gt;0),IFERROR(IFERROR(_xlfn.XLOOKUP(AP312,BP10:BP57,BT10:BT57),IFERROR(_xlfn.XLOOKUP(AP312,BQ10:BQ57,BT10:BT57),_xlfn.XLOOKUP(AP312,BR10:BR57,BT10:BT57,""))),""),""),""),"")</f>
        <v/>
      </c>
      <c r="BC312" s="813" cm="1">
        <f t="array" ref="BC312">IF(NOT(AQ312),0,IF(OR(BA312="",N(BA312)&lt;=0.000000001),"",IF(OR(AU312="",N(AU312)&lt;=0.000000001),0,IF(ISNUMBER(BA312),IFERROR(_xlfn.LET(_xlpm.ai_test,TRIM(AP312),_xlpm.r,IFERROR(_xlfn.XLOOKUP(_xlpm.ai_test,BP16:BP63,ROW(BP16:BP63),0,1),IFERROR(_xlfn.XLOOKUP(_xlpm.ai_test,BQ16:BQ63,ROW(BQ16:BQ63),0,1),_xlfn.XLOOKUP(_xlpm.ai_test,BR16:BR63,ROW(BR16:BR63),0,1))),_xlpm.p,_xlpm.r-MIN(ROW(BP16:BP63))+1,_xlpm.f,INDEX(BS16:BS63,_xlpm.p),_xlpm.u,INDEX(BT16:BT63,_xlpm.p),_xlpm.s,INDEX(BV16:BV63,_xlpm.p),_xlpm.q,N(BA312)/_xlpm.f,IF(_xlpm.q&gt;=_xlpm.s,ROUND(_xlpm.q,1)&amp;" "&amp;_xlpm.ai_test&amp;" = "&amp;ROUND(_xlpm.q*_xlpm.f,1)&amp;" "&amp;_xlpm.u,ROUND(_xlpm.q,1)&amp;" "&amp;_xlpm.ai_test)),""),""))))</f>
        <v>0</v>
      </c>
      <c r="BD312" s="801"/>
      <c r="BE312" s="799" t="str">
        <f t="shared" si="153"/>
        <v/>
      </c>
      <c r="BF312" s="800" t="str">
        <f t="shared" si="156"/>
        <v/>
      </c>
      <c r="BG312" s="802">
        <f t="shared" si="157"/>
        <v>0</v>
      </c>
      <c r="BH312" s="803" t="str">
        <f t="shared" si="158"/>
        <v/>
      </c>
      <c r="BI312" s="792"/>
      <c r="BJ312" s="804">
        <f t="shared" si="159"/>
        <v>0</v>
      </c>
      <c r="BK312" s="794" t="str">
        <f t="shared" si="154"/>
        <v/>
      </c>
      <c r="BL312" s="227" t="s">
        <v>21</v>
      </c>
      <c r="BM312" s="773">
        <f t="shared" si="144"/>
        <v>0</v>
      </c>
      <c r="BN312" s="774">
        <f t="shared" si="145"/>
        <v>0</v>
      </c>
      <c r="BO312"/>
      <c r="BP312" s="627"/>
      <c r="BQ312" s="627"/>
      <c r="BR312" s="627"/>
      <c r="BS312" s="627"/>
      <c r="BT312" s="627"/>
      <c r="BU312" s="627"/>
      <c r="BV312" s="627"/>
      <c r="BW312" s="627"/>
      <c r="CD312" s="781" t="str">
        <f t="shared" si="139"/>
        <v>►</v>
      </c>
      <c r="CI312"/>
      <c r="CJ312" s="633"/>
      <c r="CR312" s="633"/>
      <c r="CZ312" s="633"/>
      <c r="DH312" s="633"/>
      <c r="DI312" s="3">
        <v>1</v>
      </c>
    </row>
    <row r="313" spans="1:115" ht="21" customHeight="1">
      <c r="B313" s="2265" t="str" cm="1">
        <f t="array" ref="B313">SUMPRODUCT(--(D313:J313&lt;&gt;""), LEN(TRIM(SUBSTITUTE(D313:J313, CHAR(160), "")))) &amp; " Car."</f>
        <v>0 Car.</v>
      </c>
      <c r="C313" s="1376" t="str">
        <f>IF(ISBLANK(D313),"",LARGE(C13:C312,1)+1)</f>
        <v/>
      </c>
      <c r="D313" s="1833"/>
      <c r="E313" s="1810"/>
      <c r="F313" s="1810"/>
      <c r="G313" s="1810"/>
      <c r="H313" s="1810"/>
      <c r="I313" s="1810"/>
      <c r="J313" s="1810"/>
      <c r="K313" s="1810"/>
      <c r="L313" s="1811"/>
      <c r="M313" s="9"/>
      <c r="N313" s="103" t="str">
        <f t="shared" si="140"/>
        <v>►</v>
      </c>
      <c r="O313" s="1616"/>
      <c r="P313" s="9"/>
      <c r="Q313" s="103" t="s">
        <v>15</v>
      </c>
      <c r="R313" s="31"/>
      <c r="S313" s="32"/>
      <c r="T313" s="31"/>
      <c r="U313" s="33"/>
      <c r="V313" s="1804"/>
      <c r="W313" s="1805"/>
      <c r="X313" s="91"/>
      <c r="Y313" s="1806"/>
      <c r="Z313" s="1807"/>
      <c r="AA313" s="919"/>
      <c r="AB313" s="1813"/>
      <c r="AC313" s="1580"/>
      <c r="AD313" s="95"/>
      <c r="AE313" s="105"/>
      <c r="AF313" s="97"/>
      <c r="AG313" s="2080"/>
      <c r="AH313" s="2081"/>
      <c r="AI313" s="99"/>
      <c r="AJ313" s="1809"/>
      <c r="AK313" s="6120" t="str">
        <f t="shared" si="155"/>
        <v>►</v>
      </c>
      <c r="AL313" s="781" t="str">
        <f t="shared" si="143"/>
        <v>►</v>
      </c>
      <c r="AM313" s="5499" t="str">
        <f t="shared" si="146"/>
        <v/>
      </c>
      <c r="AN313" s="783" t="str">
        <f t="shared" si="147"/>
        <v/>
      </c>
      <c r="AO313" s="782" t="str">
        <f t="shared" si="148"/>
        <v/>
      </c>
      <c r="AP313" s="783" t="str">
        <f t="shared" si="149"/>
        <v/>
      </c>
      <c r="AQ313" s="2083" t="b">
        <f>AND(Q313="A",COUNTIF(BP16:BR63,TRIM(Z313))&gt;0)</f>
        <v>0</v>
      </c>
      <c r="AR313" s="797" t="str">
        <f>IF(AL313&lt;&gt;"A","",IFERROR(IFERROR(_xlfn.XLOOKUP(TRIM(SUBSTITUTE(Z313,CHAR(160)," ")),BP16:BP63,BS16:BS63),IFERROR(_xlfn.XLOOKUP(TRIM(SUBSTITUTE(Z313,CHAR(160)," ")),BQ16:BQ63,BS16:BS63),_xlfn.XLOOKUP(TRIM(SUBSTITUTE(Z313,CHAR(160)," ")),BR16:BR63,BS16:BS63)))*Y313*IF(ISBLANK(V313),1,V313),0))</f>
        <v/>
      </c>
      <c r="AS313" s="784" t="str">
        <f t="shared" si="138"/>
        <v/>
      </c>
      <c r="AT313" s="1315" t="str">
        <f t="shared" si="150"/>
        <v/>
      </c>
      <c r="AU313" s="785">
        <f t="shared" si="151"/>
        <v>0</v>
      </c>
      <c r="AV313" s="785">
        <f t="shared" si="152"/>
        <v>0</v>
      </c>
      <c r="AW313" s="786">
        <f>IF(AK313="A",AY10,0)</f>
        <v>0</v>
      </c>
      <c r="AX313" s="5495" t="str">
        <f>IF(IFERROR(SEARCH("Adresse PC",TRIM(W313)),0)&gt;0,"▼ receta siguiente",IF(AK313="A",IF(AZ10&lt;&gt;"",AZ10&amp;" - ou.or.o ❾ + or - &gt;",""),""))</f>
        <v/>
      </c>
      <c r="AY313" s="810"/>
      <c r="AZ313" s="810"/>
      <c r="BA313" s="788" t="str">
        <f t="shared" si="142"/>
        <v/>
      </c>
      <c r="BB313" s="789" t="str">
        <f>IF(AK313="A",IF(AQ313,IF(AND(AW313&lt;&gt;"",N(AW313)&gt;0),IFERROR(IFERROR(_xlfn.XLOOKUP(AP313,BP10:BP57,BT10:BT57),IFERROR(_xlfn.XLOOKUP(AP313,BQ10:BQ57,BT10:BT57),_xlfn.XLOOKUP(AP313,BR10:BR57,BT10:BT57,""))),""),""),""),"")</f>
        <v/>
      </c>
      <c r="BC313" s="811" cm="1">
        <f t="array" ref="BC313">IF(NOT(AQ313),0,IF(OR(BA313="",N(BA313)&lt;=0.000000001),"",IF(OR(AU313="",N(AU313)&lt;=0.000000001),0,IF(ISNUMBER(BA313),IFERROR(_xlfn.LET(_xlpm.ai_test,TRIM(AP313),_xlpm.r,IFERROR(_xlfn.XLOOKUP(_xlpm.ai_test,BP16:BP63,ROW(BP16:BP63),0,1),IFERROR(_xlfn.XLOOKUP(_xlpm.ai_test,BQ16:BQ63,ROW(BQ16:BQ63),0,1),_xlfn.XLOOKUP(_xlpm.ai_test,BR16:BR63,ROW(BR16:BR63),0,1))),_xlpm.p,_xlpm.r-MIN(ROW(BP16:BP63))+1,_xlpm.f,INDEX(BS16:BS63,_xlpm.p),_xlpm.u,INDEX(BT16:BT63,_xlpm.p),_xlpm.s,INDEX(BV16:BV63,_xlpm.p),_xlpm.q,N(BA313)/_xlpm.f,IF(_xlpm.q&gt;=_xlpm.s,ROUND(_xlpm.q,1)&amp;" "&amp;_xlpm.ai_test&amp;" = "&amp;ROUND(_xlpm.q*_xlpm.f,1)&amp;" "&amp;_xlpm.u,ROUND(_xlpm.q,1)&amp;" "&amp;_xlpm.ai_test)),""),""))))</f>
        <v>0</v>
      </c>
      <c r="BD313" s="801"/>
      <c r="BE313" s="788" t="str">
        <f t="shared" si="153"/>
        <v/>
      </c>
      <c r="BF313" s="789" t="str">
        <f t="shared" si="156"/>
        <v/>
      </c>
      <c r="BG313" s="790">
        <f t="shared" si="157"/>
        <v>0</v>
      </c>
      <c r="BH313" s="791" t="str">
        <f t="shared" si="158"/>
        <v/>
      </c>
      <c r="BI313" s="792"/>
      <c r="BJ313" s="793">
        <f t="shared" si="159"/>
        <v>0</v>
      </c>
      <c r="BK313" s="794" t="str">
        <f t="shared" si="154"/>
        <v/>
      </c>
      <c r="BL313" s="227" t="s">
        <v>21</v>
      </c>
      <c r="BM313" s="773">
        <f t="shared" si="144"/>
        <v>0</v>
      </c>
      <c r="BN313" s="774">
        <f t="shared" si="145"/>
        <v>0</v>
      </c>
      <c r="BO313"/>
      <c r="BP313" s="627"/>
      <c r="BQ313" s="627"/>
      <c r="BR313" s="627"/>
      <c r="BS313" s="627"/>
      <c r="BT313" s="627"/>
      <c r="BU313" s="627"/>
      <c r="BV313" s="627"/>
      <c r="BW313" s="627"/>
      <c r="CD313" s="781" t="str">
        <f t="shared" si="139"/>
        <v>►</v>
      </c>
      <c r="CI313"/>
      <c r="CJ313" s="633"/>
      <c r="CR313" s="633"/>
      <c r="CZ313" s="633"/>
      <c r="DH313" s="633"/>
      <c r="DI313" s="3">
        <v>1</v>
      </c>
    </row>
    <row r="314" spans="1:115" ht="21" customHeight="1">
      <c r="B314" s="2265" t="str" cm="1">
        <f t="array" ref="B314">SUMPRODUCT(--(D314:J314&lt;&gt;""), LEN(TRIM(SUBSTITUTE(D314:J314, CHAR(160), "")))) &amp; " Car."</f>
        <v>0 Car.</v>
      </c>
      <c r="C314" s="1376" t="str">
        <f>IF(ISBLANK(D314),"",LARGE(C13:C313,1)+1)</f>
        <v/>
      </c>
      <c r="D314" s="1833"/>
      <c r="E314" s="1810"/>
      <c r="F314" s="1810"/>
      <c r="G314" s="1810"/>
      <c r="H314" s="1810"/>
      <c r="I314" s="1810"/>
      <c r="J314" s="1810"/>
      <c r="K314" s="1810"/>
      <c r="L314" s="1811"/>
      <c r="M314" s="9"/>
      <c r="N314" s="103" t="str">
        <f t="shared" si="140"/>
        <v>►</v>
      </c>
      <c r="O314" s="1616"/>
      <c r="P314" s="9"/>
      <c r="Q314" s="103" t="s">
        <v>15</v>
      </c>
      <c r="R314" s="31"/>
      <c r="S314" s="32"/>
      <c r="T314" s="31"/>
      <c r="U314" s="33"/>
      <c r="V314" s="1804"/>
      <c r="W314" s="1805"/>
      <c r="X314" s="91"/>
      <c r="Y314" s="1806"/>
      <c r="Z314" s="1807"/>
      <c r="AA314" s="919"/>
      <c r="AB314" s="1813"/>
      <c r="AC314" s="1580"/>
      <c r="AD314" s="95"/>
      <c r="AE314" s="105"/>
      <c r="AF314" s="97"/>
      <c r="AG314" s="2080"/>
      <c r="AH314" s="2081"/>
      <c r="AI314" s="99"/>
      <c r="AJ314" s="1809"/>
      <c r="AK314" s="6120" t="str">
        <f t="shared" si="155"/>
        <v>►</v>
      </c>
      <c r="AL314" s="781" t="str">
        <f t="shared" si="143"/>
        <v>►</v>
      </c>
      <c r="AM314" s="5498" t="str">
        <f t="shared" si="146"/>
        <v/>
      </c>
      <c r="AN314" s="783" t="str">
        <f t="shared" si="147"/>
        <v/>
      </c>
      <c r="AO314" s="782" t="str">
        <f t="shared" si="148"/>
        <v/>
      </c>
      <c r="AP314" s="783" t="str">
        <f t="shared" si="149"/>
        <v/>
      </c>
      <c r="AQ314" s="2083" t="b">
        <f>AND(Q314="A",COUNTIF(BP16:BR63,TRIM(Z314))&gt;0)</f>
        <v>0</v>
      </c>
      <c r="AR314" s="797" t="str">
        <f>IF(AL314&lt;&gt;"A","",IFERROR(IFERROR(_xlfn.XLOOKUP(TRIM(SUBSTITUTE(Z314,CHAR(160)," ")),BP16:BP63,BS16:BS63),IFERROR(_xlfn.XLOOKUP(TRIM(SUBSTITUTE(Z314,CHAR(160)," ")),BQ16:BQ63,BS16:BS63),_xlfn.XLOOKUP(TRIM(SUBSTITUTE(Z314,CHAR(160)," ")),BR16:BR63,BS16:BS63)))*Y314*IF(ISBLANK(V314),1,V314),0))</f>
        <v/>
      </c>
      <c r="AS314" s="784" t="str">
        <f t="shared" si="138"/>
        <v/>
      </c>
      <c r="AT314" s="1315" t="str">
        <f t="shared" si="150"/>
        <v/>
      </c>
      <c r="AU314" s="785">
        <f t="shared" si="151"/>
        <v>0</v>
      </c>
      <c r="AV314" s="785">
        <f t="shared" si="152"/>
        <v>0</v>
      </c>
      <c r="AW314" s="798">
        <f>IF(AK314="A",AY10,0)</f>
        <v>0</v>
      </c>
      <c r="AX314" s="5496" t="str">
        <f>IF(IFERROR(SEARCH("Adresse PC",TRIM(W314)),0)&gt;0,"▼ receta siguiente",IF(AK314="A",IF(AZ10&lt;&gt;"",AZ10&amp;" - ou.or.o ❾ + or - &gt;",""),""))</f>
        <v/>
      </c>
      <c r="AY314" s="810"/>
      <c r="AZ314" s="810"/>
      <c r="BA314" s="799" t="str">
        <f t="shared" si="142"/>
        <v/>
      </c>
      <c r="BB314" s="800" t="str">
        <f>IF(AK314="A",IF(AQ314,IF(AND(AW314&lt;&gt;"",N(AW314)&gt;0),IFERROR(IFERROR(_xlfn.XLOOKUP(AP314,BP10:BP57,BT10:BT57),IFERROR(_xlfn.XLOOKUP(AP314,BQ10:BQ57,BT10:BT57),_xlfn.XLOOKUP(AP314,BR10:BR57,BT10:BT57,""))),""),""),""),"")</f>
        <v/>
      </c>
      <c r="BC314" s="813" cm="1">
        <f t="array" ref="BC314">IF(NOT(AQ314),0,IF(OR(BA314="",N(BA314)&lt;=0.000000001),"",IF(OR(AU314="",N(AU314)&lt;=0.000000001),0,IF(ISNUMBER(BA314),IFERROR(_xlfn.LET(_xlpm.ai_test,TRIM(AP314),_xlpm.r,IFERROR(_xlfn.XLOOKUP(_xlpm.ai_test,BP16:BP63,ROW(BP16:BP63),0,1),IFERROR(_xlfn.XLOOKUP(_xlpm.ai_test,BQ16:BQ63,ROW(BQ16:BQ63),0,1),_xlfn.XLOOKUP(_xlpm.ai_test,BR16:BR63,ROW(BR16:BR63),0,1))),_xlpm.p,_xlpm.r-MIN(ROW(BP16:BP63))+1,_xlpm.f,INDEX(BS16:BS63,_xlpm.p),_xlpm.u,INDEX(BT16:BT63,_xlpm.p),_xlpm.s,INDEX(BV16:BV63,_xlpm.p),_xlpm.q,N(BA314)/_xlpm.f,IF(_xlpm.q&gt;=_xlpm.s,ROUND(_xlpm.q,1)&amp;" "&amp;_xlpm.ai_test&amp;" = "&amp;ROUND(_xlpm.q*_xlpm.f,1)&amp;" "&amp;_xlpm.u,ROUND(_xlpm.q,1)&amp;" "&amp;_xlpm.ai_test)),""),""))))</f>
        <v>0</v>
      </c>
      <c r="BD314" s="801"/>
      <c r="BE314" s="799" t="str">
        <f t="shared" si="153"/>
        <v/>
      </c>
      <c r="BF314" s="800" t="str">
        <f t="shared" si="156"/>
        <v/>
      </c>
      <c r="BG314" s="802">
        <f t="shared" si="157"/>
        <v>0</v>
      </c>
      <c r="BH314" s="803" t="str">
        <f t="shared" si="158"/>
        <v/>
      </c>
      <c r="BI314" s="792"/>
      <c r="BJ314" s="804">
        <f t="shared" si="159"/>
        <v>0</v>
      </c>
      <c r="BK314" s="794" t="str">
        <f t="shared" si="154"/>
        <v/>
      </c>
      <c r="BL314" s="227" t="s">
        <v>21</v>
      </c>
      <c r="BM314" s="773">
        <f t="shared" si="144"/>
        <v>0</v>
      </c>
      <c r="BN314" s="774">
        <f t="shared" si="145"/>
        <v>0</v>
      </c>
      <c r="BO314"/>
      <c r="BP314" s="627"/>
      <c r="BQ314" s="627"/>
      <c r="BR314" s="627"/>
      <c r="BS314" s="627"/>
      <c r="BT314" s="627"/>
      <c r="BU314" s="627"/>
      <c r="BV314" s="627"/>
      <c r="BW314" s="627"/>
      <c r="CD314" s="781" t="str">
        <f t="shared" si="139"/>
        <v>►</v>
      </c>
      <c r="CI314"/>
      <c r="CJ314" s="633"/>
      <c r="CR314" s="633"/>
      <c r="CZ314" s="633"/>
      <c r="DH314" s="633"/>
      <c r="DI314" s="3">
        <v>1</v>
      </c>
    </row>
    <row r="315" spans="1:115" ht="21" customHeight="1">
      <c r="B315" s="2265" t="str" cm="1">
        <f t="array" ref="B315">SUMPRODUCT(--(D315:J315&lt;&gt;""), LEN(TRIM(SUBSTITUTE(D315:J315, CHAR(160), "")))) &amp; " Car."</f>
        <v>0 Car.</v>
      </c>
      <c r="C315" s="1376" t="str">
        <f>IF(ISBLANK(D315),"",LARGE(C13:C314,1)+1)</f>
        <v/>
      </c>
      <c r="D315" s="1833"/>
      <c r="E315" s="1810"/>
      <c r="F315" s="1810"/>
      <c r="G315" s="1810"/>
      <c r="H315" s="1810"/>
      <c r="I315" s="1810"/>
      <c r="J315" s="1810"/>
      <c r="K315" s="1810"/>
      <c r="L315" s="1811"/>
      <c r="M315" s="9"/>
      <c r="N315" s="103" t="str">
        <f t="shared" si="140"/>
        <v>►</v>
      </c>
      <c r="O315" s="1616"/>
      <c r="P315" s="9"/>
      <c r="Q315" s="103" t="s">
        <v>15</v>
      </c>
      <c r="R315" s="31"/>
      <c r="S315" s="32"/>
      <c r="T315" s="31"/>
      <c r="U315" s="33"/>
      <c r="V315" s="1804"/>
      <c r="W315" s="1805"/>
      <c r="X315" s="91"/>
      <c r="Y315" s="1806"/>
      <c r="Z315" s="1807"/>
      <c r="AA315" s="919"/>
      <c r="AB315" s="1813"/>
      <c r="AC315" s="1580"/>
      <c r="AD315" s="95"/>
      <c r="AE315" s="105"/>
      <c r="AF315" s="97"/>
      <c r="AG315" s="2080"/>
      <c r="AH315" s="2081"/>
      <c r="AI315" s="99"/>
      <c r="AJ315" s="1809"/>
      <c r="AK315" s="6120" t="str">
        <f t="shared" si="155"/>
        <v>►</v>
      </c>
      <c r="AL315" s="781" t="str">
        <f t="shared" si="143"/>
        <v>►</v>
      </c>
      <c r="AM315" s="5499" t="str">
        <f t="shared" si="146"/>
        <v/>
      </c>
      <c r="AN315" s="783" t="str">
        <f t="shared" si="147"/>
        <v/>
      </c>
      <c r="AO315" s="782" t="str">
        <f t="shared" si="148"/>
        <v/>
      </c>
      <c r="AP315" s="783" t="str">
        <f t="shared" si="149"/>
        <v/>
      </c>
      <c r="AQ315" s="2083" t="b">
        <f>AND(Q315="A",COUNTIF(BP16:BR63,TRIM(Z315))&gt;0)</f>
        <v>0</v>
      </c>
      <c r="AR315" s="797" t="str">
        <f>IF(AL315&lt;&gt;"A","",IFERROR(IFERROR(_xlfn.XLOOKUP(TRIM(SUBSTITUTE(Z315,CHAR(160)," ")),BP16:BP63,BS16:BS63),IFERROR(_xlfn.XLOOKUP(TRIM(SUBSTITUTE(Z315,CHAR(160)," ")),BQ16:BQ63,BS16:BS63),_xlfn.XLOOKUP(TRIM(SUBSTITUTE(Z315,CHAR(160)," ")),BR16:BR63,BS16:BS63)))*Y315*IF(ISBLANK(V315),1,V315),0))</f>
        <v/>
      </c>
      <c r="AS315" s="784" t="str">
        <f t="shared" si="138"/>
        <v/>
      </c>
      <c r="AT315" s="1315" t="str">
        <f t="shared" si="150"/>
        <v/>
      </c>
      <c r="AU315" s="785">
        <f t="shared" si="151"/>
        <v>0</v>
      </c>
      <c r="AV315" s="785">
        <f t="shared" si="152"/>
        <v>0</v>
      </c>
      <c r="AW315" s="786">
        <f>IF(AK315="A",AY10,0)</f>
        <v>0</v>
      </c>
      <c r="AX315" s="5495" t="str">
        <f>IF(IFERROR(SEARCH("Adresse PC",TRIM(W315)),0)&gt;0,"▼ receta siguiente",IF(AK315="A",IF(AZ10&lt;&gt;"",AZ10&amp;" - ou.or.o ❾ + or - &gt;",""),""))</f>
        <v/>
      </c>
      <c r="AY315" s="810"/>
      <c r="AZ315" s="810"/>
      <c r="BA315" s="788" t="str">
        <f t="shared" si="142"/>
        <v/>
      </c>
      <c r="BB315" s="789" t="str">
        <f>IF(AK315="A",IF(AQ315,IF(AND(AW315&lt;&gt;"",N(AW315)&gt;0),IFERROR(IFERROR(_xlfn.XLOOKUP(AP315,BP10:BP57,BT10:BT57),IFERROR(_xlfn.XLOOKUP(AP315,BQ10:BQ57,BT10:BT57),_xlfn.XLOOKUP(AP315,BR10:BR57,BT10:BT57,""))),""),""),""),"")</f>
        <v/>
      </c>
      <c r="BC315" s="811" cm="1">
        <f t="array" ref="BC315">IF(NOT(AQ315),0,IF(OR(BA315="",N(BA315)&lt;=0.000000001),"",IF(OR(AU315="",N(AU315)&lt;=0.000000001),0,IF(ISNUMBER(BA315),IFERROR(_xlfn.LET(_xlpm.ai_test,TRIM(AP315),_xlpm.r,IFERROR(_xlfn.XLOOKUP(_xlpm.ai_test,BP16:BP63,ROW(BP16:BP63),0,1),IFERROR(_xlfn.XLOOKUP(_xlpm.ai_test,BQ16:BQ63,ROW(BQ16:BQ63),0,1),_xlfn.XLOOKUP(_xlpm.ai_test,BR16:BR63,ROW(BR16:BR63),0,1))),_xlpm.p,_xlpm.r-MIN(ROW(BP16:BP63))+1,_xlpm.f,INDEX(BS16:BS63,_xlpm.p),_xlpm.u,INDEX(BT16:BT63,_xlpm.p),_xlpm.s,INDEX(BV16:BV63,_xlpm.p),_xlpm.q,N(BA315)/_xlpm.f,IF(_xlpm.q&gt;=_xlpm.s,ROUND(_xlpm.q,1)&amp;" "&amp;_xlpm.ai_test&amp;" = "&amp;ROUND(_xlpm.q*_xlpm.f,1)&amp;" "&amp;_xlpm.u,ROUND(_xlpm.q,1)&amp;" "&amp;_xlpm.ai_test)),""),""))))</f>
        <v>0</v>
      </c>
      <c r="BD315" s="801"/>
      <c r="BE315" s="788" t="str">
        <f t="shared" si="153"/>
        <v/>
      </c>
      <c r="BF315" s="789" t="str">
        <f t="shared" si="156"/>
        <v/>
      </c>
      <c r="BG315" s="790">
        <f t="shared" si="157"/>
        <v>0</v>
      </c>
      <c r="BH315" s="791" t="str">
        <f t="shared" si="158"/>
        <v/>
      </c>
      <c r="BI315" s="792"/>
      <c r="BJ315" s="793">
        <f t="shared" si="159"/>
        <v>0</v>
      </c>
      <c r="BK315" s="794" t="str">
        <f t="shared" si="154"/>
        <v/>
      </c>
      <c r="BL315" s="227" t="s">
        <v>21</v>
      </c>
      <c r="BM315" s="773">
        <f t="shared" si="144"/>
        <v>0</v>
      </c>
      <c r="BN315" s="774">
        <f t="shared" si="145"/>
        <v>0</v>
      </c>
      <c r="BO315"/>
      <c r="BP315" s="627"/>
      <c r="BQ315" s="627"/>
      <c r="BR315" s="627"/>
      <c r="BS315" s="627"/>
      <c r="BT315" s="627"/>
      <c r="BU315" s="627"/>
      <c r="BV315" s="627"/>
      <c r="BW315" s="627"/>
      <c r="CD315" s="781" t="str">
        <f t="shared" si="139"/>
        <v>►</v>
      </c>
      <c r="CI315"/>
      <c r="CJ315" s="633"/>
      <c r="CR315" s="633"/>
      <c r="CZ315" s="633"/>
      <c r="DH315" s="633"/>
      <c r="DI315" s="3">
        <v>1</v>
      </c>
    </row>
    <row r="316" spans="1:115" ht="21" customHeight="1">
      <c r="B316" s="2265" t="str" cm="1">
        <f t="array" ref="B316">SUMPRODUCT(--(D316:J316&lt;&gt;""), LEN(TRIM(SUBSTITUTE(D316:J316, CHAR(160), "")))) &amp; " Car."</f>
        <v>0 Car.</v>
      </c>
      <c r="C316" s="1376" t="str">
        <f>IF(ISBLANK(D316),"",LARGE(C13:C315,1)+1)</f>
        <v/>
      </c>
      <c r="D316" s="1833"/>
      <c r="E316" s="1810"/>
      <c r="F316" s="1810"/>
      <c r="G316" s="1810"/>
      <c r="H316" s="1810"/>
      <c r="I316" s="1810"/>
      <c r="J316" s="1810"/>
      <c r="K316" s="1810"/>
      <c r="L316" s="1811"/>
      <c r="M316" s="9"/>
      <c r="N316" s="103" t="str">
        <f t="shared" si="140"/>
        <v>►</v>
      </c>
      <c r="O316" s="1616"/>
      <c r="P316" s="9"/>
      <c r="Q316" s="103" t="s">
        <v>15</v>
      </c>
      <c r="R316" s="31"/>
      <c r="S316" s="32"/>
      <c r="T316" s="31"/>
      <c r="U316" s="33"/>
      <c r="V316" s="1804"/>
      <c r="W316" s="1805"/>
      <c r="X316" s="91"/>
      <c r="Y316" s="1806"/>
      <c r="Z316" s="1807"/>
      <c r="AA316" s="919"/>
      <c r="AB316" s="1813"/>
      <c r="AC316" s="1580"/>
      <c r="AD316" s="95"/>
      <c r="AE316" s="105"/>
      <c r="AF316" s="97"/>
      <c r="AG316" s="2080"/>
      <c r="AH316" s="2081"/>
      <c r="AI316" s="99"/>
      <c r="AJ316" s="1809"/>
      <c r="AK316" s="6120" t="str">
        <f t="shared" si="155"/>
        <v>►</v>
      </c>
      <c r="AL316" s="781" t="str">
        <f t="shared" si="143"/>
        <v>►</v>
      </c>
      <c r="AM316" s="5498" t="str">
        <f t="shared" si="146"/>
        <v/>
      </c>
      <c r="AN316" s="783" t="str">
        <f t="shared" si="147"/>
        <v/>
      </c>
      <c r="AO316" s="782" t="str">
        <f t="shared" si="148"/>
        <v/>
      </c>
      <c r="AP316" s="783" t="str">
        <f t="shared" si="149"/>
        <v/>
      </c>
      <c r="AQ316" s="2083" t="b">
        <f>AND(Q316="A",COUNTIF(BP16:BR63,TRIM(Z316))&gt;0)</f>
        <v>0</v>
      </c>
      <c r="AR316" s="797" t="str">
        <f>IF(AL316&lt;&gt;"A","",IFERROR(IFERROR(_xlfn.XLOOKUP(TRIM(SUBSTITUTE(Z316,CHAR(160)," ")),BP16:BP63,BS16:BS63),IFERROR(_xlfn.XLOOKUP(TRIM(SUBSTITUTE(Z316,CHAR(160)," ")),BQ16:BQ63,BS16:BS63),_xlfn.XLOOKUP(TRIM(SUBSTITUTE(Z316,CHAR(160)," ")),BR16:BR63,BS16:BS63)))*Y316*IF(ISBLANK(V316),1,V316),0))</f>
        <v/>
      </c>
      <c r="AS316" s="784" t="str">
        <f t="shared" si="138"/>
        <v/>
      </c>
      <c r="AT316" s="1315" t="str">
        <f t="shared" si="150"/>
        <v/>
      </c>
      <c r="AU316" s="785">
        <f t="shared" si="151"/>
        <v>0</v>
      </c>
      <c r="AV316" s="785">
        <f t="shared" si="152"/>
        <v>0</v>
      </c>
      <c r="AW316" s="798">
        <f>IF(AK316="A",AY10,0)</f>
        <v>0</v>
      </c>
      <c r="AX316" s="5496" t="str">
        <f>IF(IFERROR(SEARCH("Adresse PC",TRIM(W316)),0)&gt;0,"▼ receta siguiente",IF(AK316="A",IF(AZ10&lt;&gt;"",AZ10&amp;" - ou.or.o ❾ + or - &gt;",""),""))</f>
        <v/>
      </c>
      <c r="AY316" s="810"/>
      <c r="AZ316" s="810"/>
      <c r="BA316" s="799" t="str">
        <f t="shared" si="142"/>
        <v/>
      </c>
      <c r="BB316" s="800" t="str">
        <f>IF(AK316="A",IF(AQ316,IF(AND(AW316&lt;&gt;"",N(AW316)&gt;0),IFERROR(IFERROR(_xlfn.XLOOKUP(AP316,BP10:BP57,BT10:BT57),IFERROR(_xlfn.XLOOKUP(AP316,BQ10:BQ57,BT10:BT57),_xlfn.XLOOKUP(AP316,BR10:BR57,BT10:BT57,""))),""),""),""),"")</f>
        <v/>
      </c>
      <c r="BC316" s="813" cm="1">
        <f t="array" ref="BC316">IF(NOT(AQ316),0,IF(OR(BA316="",N(BA316)&lt;=0.000000001),"",IF(OR(AU316="",N(AU316)&lt;=0.000000001),0,IF(ISNUMBER(BA316),IFERROR(_xlfn.LET(_xlpm.ai_test,TRIM(AP316),_xlpm.r,IFERROR(_xlfn.XLOOKUP(_xlpm.ai_test,BP16:BP63,ROW(BP16:BP63),0,1),IFERROR(_xlfn.XLOOKUP(_xlpm.ai_test,BQ16:BQ63,ROW(BQ16:BQ63),0,1),_xlfn.XLOOKUP(_xlpm.ai_test,BR16:BR63,ROW(BR16:BR63),0,1))),_xlpm.p,_xlpm.r-MIN(ROW(BP16:BP63))+1,_xlpm.f,INDEX(BS16:BS63,_xlpm.p),_xlpm.u,INDEX(BT16:BT63,_xlpm.p),_xlpm.s,INDEX(BV16:BV63,_xlpm.p),_xlpm.q,N(BA316)/_xlpm.f,IF(_xlpm.q&gt;=_xlpm.s,ROUND(_xlpm.q,1)&amp;" "&amp;_xlpm.ai_test&amp;" = "&amp;ROUND(_xlpm.q*_xlpm.f,1)&amp;" "&amp;_xlpm.u,ROUND(_xlpm.q,1)&amp;" "&amp;_xlpm.ai_test)),""),""))))</f>
        <v>0</v>
      </c>
      <c r="BD316" s="801"/>
      <c r="BE316" s="799" t="str">
        <f t="shared" si="153"/>
        <v/>
      </c>
      <c r="BF316" s="800" t="str">
        <f t="shared" si="156"/>
        <v/>
      </c>
      <c r="BG316" s="802">
        <f t="shared" si="157"/>
        <v>0</v>
      </c>
      <c r="BH316" s="803" t="str">
        <f t="shared" si="158"/>
        <v/>
      </c>
      <c r="BI316" s="792"/>
      <c r="BJ316" s="804">
        <f t="shared" si="159"/>
        <v>0</v>
      </c>
      <c r="BK316" s="794" t="str">
        <f t="shared" si="154"/>
        <v/>
      </c>
      <c r="BL316" s="227" t="s">
        <v>21</v>
      </c>
      <c r="BM316" s="773">
        <f t="shared" si="144"/>
        <v>0</v>
      </c>
      <c r="BN316" s="774">
        <f t="shared" si="145"/>
        <v>0</v>
      </c>
      <c r="BO316"/>
      <c r="BP316" s="627"/>
      <c r="BQ316" s="627"/>
      <c r="BR316" s="627"/>
      <c r="BS316" s="627"/>
      <c r="BT316" s="627"/>
      <c r="BU316" s="627"/>
      <c r="BV316" s="627"/>
      <c r="BW316" s="627"/>
      <c r="CD316" s="781" t="str">
        <f t="shared" si="139"/>
        <v>►</v>
      </c>
      <c r="CI316"/>
      <c r="CJ316" s="633"/>
      <c r="CR316" s="633"/>
      <c r="CZ316" s="633"/>
      <c r="DH316" s="633"/>
      <c r="DI316" s="3">
        <v>1</v>
      </c>
    </row>
    <row r="317" spans="1:115" ht="21" customHeight="1">
      <c r="B317" s="2265" t="str" cm="1">
        <f t="array" ref="B317">SUMPRODUCT(--(D317:J317&lt;&gt;""), LEN(TRIM(SUBSTITUTE(D317:J317, CHAR(160), "")))) &amp; " Car."</f>
        <v>0 Car.</v>
      </c>
      <c r="C317" s="1376" t="str">
        <f>IF(ISBLANK(D317),"",LARGE(C13:C316,1)+1)</f>
        <v/>
      </c>
      <c r="D317" s="1833"/>
      <c r="E317" s="1810"/>
      <c r="F317" s="1810"/>
      <c r="G317" s="1810"/>
      <c r="H317" s="1810"/>
      <c r="I317" s="1810"/>
      <c r="J317" s="1810"/>
      <c r="K317" s="1810"/>
      <c r="L317" s="1811"/>
      <c r="M317" s="9"/>
      <c r="N317" s="103" t="str">
        <f t="shared" si="140"/>
        <v>►</v>
      </c>
      <c r="O317" s="1616"/>
      <c r="P317" s="9"/>
      <c r="Q317" s="103" t="s">
        <v>15</v>
      </c>
      <c r="R317" s="31"/>
      <c r="S317" s="32"/>
      <c r="T317" s="31"/>
      <c r="U317" s="33"/>
      <c r="V317" s="1804"/>
      <c r="W317" s="1805"/>
      <c r="X317" s="91"/>
      <c r="Y317" s="1806"/>
      <c r="Z317" s="1807"/>
      <c r="AA317" s="919"/>
      <c r="AB317" s="1813"/>
      <c r="AC317" s="1580"/>
      <c r="AD317" s="95"/>
      <c r="AE317" s="105"/>
      <c r="AF317" s="97"/>
      <c r="AG317" s="2080"/>
      <c r="AH317" s="2081"/>
      <c r="AI317" s="99"/>
      <c r="AJ317" s="1809"/>
      <c r="AK317" s="6120" t="str">
        <f t="shared" si="155"/>
        <v>►</v>
      </c>
      <c r="AL317" s="781" t="str">
        <f t="shared" si="143"/>
        <v>►</v>
      </c>
      <c r="AM317" s="5499" t="str">
        <f t="shared" si="146"/>
        <v/>
      </c>
      <c r="AN317" s="783" t="str">
        <f t="shared" si="147"/>
        <v/>
      </c>
      <c r="AO317" s="782" t="str">
        <f t="shared" si="148"/>
        <v/>
      </c>
      <c r="AP317" s="783" t="str">
        <f t="shared" si="149"/>
        <v/>
      </c>
      <c r="AQ317" s="2083" t="b">
        <f>AND(Q317="A",COUNTIF(BP16:BR63,TRIM(Z317))&gt;0)</f>
        <v>0</v>
      </c>
      <c r="AR317" s="797" t="str">
        <f>IF(AL317&lt;&gt;"A","",IFERROR(IFERROR(_xlfn.XLOOKUP(TRIM(SUBSTITUTE(Z317,CHAR(160)," ")),BP16:BP63,BS16:BS63),IFERROR(_xlfn.XLOOKUP(TRIM(SUBSTITUTE(Z317,CHAR(160)," ")),BQ16:BQ63,BS16:BS63),_xlfn.XLOOKUP(TRIM(SUBSTITUTE(Z317,CHAR(160)," ")),BR16:BR63,BS16:BS63)))*Y317*IF(ISBLANK(V317),1,V317),0))</f>
        <v/>
      </c>
      <c r="AS317" s="784" t="str">
        <f t="shared" si="138"/>
        <v/>
      </c>
      <c r="AT317" s="1315" t="str">
        <f t="shared" si="150"/>
        <v/>
      </c>
      <c r="AU317" s="785">
        <f t="shared" si="151"/>
        <v>0</v>
      </c>
      <c r="AV317" s="785">
        <f t="shared" si="152"/>
        <v>0</v>
      </c>
      <c r="AW317" s="786">
        <f>IF(AK317="A",AY10,0)</f>
        <v>0</v>
      </c>
      <c r="AX317" s="5495" t="str">
        <f>IF(IFERROR(SEARCH("Adresse PC",TRIM(W317)),0)&gt;0,"▼ receta siguiente",IF(AK317="A",IF(AZ10&lt;&gt;"",AZ10&amp;" - ou.or.o ❾ + or - &gt;",""),""))</f>
        <v/>
      </c>
      <c r="AY317" s="810"/>
      <c r="AZ317" s="810"/>
      <c r="BA317" s="788" t="str">
        <f t="shared" si="142"/>
        <v/>
      </c>
      <c r="BB317" s="789" t="str">
        <f>IF(AK317="A",IF(AQ317,IF(AND(AW317&lt;&gt;"",N(AW317)&gt;0),IFERROR(IFERROR(_xlfn.XLOOKUP(AP317,BP10:BP57,BT10:BT57),IFERROR(_xlfn.XLOOKUP(AP317,BQ10:BQ57,BT10:BT57),_xlfn.XLOOKUP(AP317,BR10:BR57,BT10:BT57,""))),""),""),""),"")</f>
        <v/>
      </c>
      <c r="BC317" s="811" cm="1">
        <f t="array" ref="BC317">IF(NOT(AQ317),0,IF(OR(BA317="",N(BA317)&lt;=0.000000001),"",IF(OR(AU317="",N(AU317)&lt;=0.000000001),0,IF(ISNUMBER(BA317),IFERROR(_xlfn.LET(_xlpm.ai_test,TRIM(AP317),_xlpm.r,IFERROR(_xlfn.XLOOKUP(_xlpm.ai_test,BP16:BP63,ROW(BP16:BP63),0,1),IFERROR(_xlfn.XLOOKUP(_xlpm.ai_test,BQ16:BQ63,ROW(BQ16:BQ63),0,1),_xlfn.XLOOKUP(_xlpm.ai_test,BR16:BR63,ROW(BR16:BR63),0,1))),_xlpm.p,_xlpm.r-MIN(ROW(BP16:BP63))+1,_xlpm.f,INDEX(BS16:BS63,_xlpm.p),_xlpm.u,INDEX(BT16:BT63,_xlpm.p),_xlpm.s,INDEX(BV16:BV63,_xlpm.p),_xlpm.q,N(BA317)/_xlpm.f,IF(_xlpm.q&gt;=_xlpm.s,ROUND(_xlpm.q,1)&amp;" "&amp;_xlpm.ai_test&amp;" = "&amp;ROUND(_xlpm.q*_xlpm.f,1)&amp;" "&amp;_xlpm.u,ROUND(_xlpm.q,1)&amp;" "&amp;_xlpm.ai_test)),""),""))))</f>
        <v>0</v>
      </c>
      <c r="BD317" s="801"/>
      <c r="BE317" s="788" t="str">
        <f t="shared" si="153"/>
        <v/>
      </c>
      <c r="BF317" s="789" t="str">
        <f t="shared" si="156"/>
        <v/>
      </c>
      <c r="BG317" s="790">
        <f t="shared" si="157"/>
        <v>0</v>
      </c>
      <c r="BH317" s="791" t="str">
        <f t="shared" si="158"/>
        <v/>
      </c>
      <c r="BI317" s="792"/>
      <c r="BJ317" s="793">
        <f t="shared" si="159"/>
        <v>0</v>
      </c>
      <c r="BK317" s="794" t="str">
        <f t="shared" si="154"/>
        <v/>
      </c>
      <c r="BL317" s="227" t="s">
        <v>21</v>
      </c>
      <c r="BM317" s="773">
        <f t="shared" si="144"/>
        <v>0</v>
      </c>
      <c r="BN317" s="774">
        <f t="shared" si="145"/>
        <v>0</v>
      </c>
      <c r="BO317"/>
      <c r="BP317" s="627"/>
      <c r="BQ317" s="627"/>
      <c r="BR317" s="627"/>
      <c r="BS317" s="627"/>
      <c r="BT317" s="627"/>
      <c r="BU317" s="627"/>
      <c r="BV317" s="627"/>
      <c r="BW317" s="627"/>
      <c r="CD317" s="781" t="str">
        <f t="shared" si="139"/>
        <v>►</v>
      </c>
      <c r="CI317"/>
      <c r="CJ317" s="633"/>
      <c r="CR317" s="633"/>
      <c r="CZ317" s="633"/>
      <c r="DH317" s="633"/>
      <c r="DI317" s="3">
        <v>1</v>
      </c>
    </row>
    <row r="318" spans="1:115" ht="21" customHeight="1">
      <c r="B318" s="2265" t="str" cm="1">
        <f t="array" ref="B318">SUMPRODUCT(--(D318:J318&lt;&gt;""), LEN(TRIM(SUBSTITUTE(D318:J318, CHAR(160), "")))) &amp; " Car."</f>
        <v>0 Car.</v>
      </c>
      <c r="C318" s="1376" t="str">
        <f>IF(ISBLANK(D318),"",LARGE(C13:C317,1)+1)</f>
        <v/>
      </c>
      <c r="D318" s="1833"/>
      <c r="E318" s="1810"/>
      <c r="F318" s="1810"/>
      <c r="G318" s="1810"/>
      <c r="H318" s="1810"/>
      <c r="I318" s="1810"/>
      <c r="J318" s="1810"/>
      <c r="K318" s="1810"/>
      <c r="L318" s="1811"/>
      <c r="M318" s="9"/>
      <c r="N318" s="103" t="str">
        <f t="shared" si="140"/>
        <v>►</v>
      </c>
      <c r="O318" s="1616"/>
      <c r="P318" s="9"/>
      <c r="Q318" s="103" t="s">
        <v>15</v>
      </c>
      <c r="R318" s="31"/>
      <c r="S318" s="32"/>
      <c r="T318" s="31"/>
      <c r="U318" s="33"/>
      <c r="V318" s="1804"/>
      <c r="W318" s="1805"/>
      <c r="X318" s="91"/>
      <c r="Y318" s="1806"/>
      <c r="Z318" s="1807"/>
      <c r="AA318" s="919"/>
      <c r="AB318" s="1813"/>
      <c r="AC318" s="1580"/>
      <c r="AD318" s="95"/>
      <c r="AE318" s="105"/>
      <c r="AF318" s="97"/>
      <c r="AG318" s="2080"/>
      <c r="AH318" s="2081"/>
      <c r="AI318" s="99"/>
      <c r="AJ318" s="1809"/>
      <c r="AK318" s="6120" t="str">
        <f t="shared" si="155"/>
        <v>►</v>
      </c>
      <c r="AL318" s="781" t="str">
        <f t="shared" si="143"/>
        <v>►</v>
      </c>
      <c r="AM318" s="5498" t="str">
        <f t="shared" si="146"/>
        <v/>
      </c>
      <c r="AN318" s="783" t="str">
        <f t="shared" si="147"/>
        <v/>
      </c>
      <c r="AO318" s="782" t="str">
        <f t="shared" si="148"/>
        <v/>
      </c>
      <c r="AP318" s="783" t="str">
        <f t="shared" si="149"/>
        <v/>
      </c>
      <c r="AQ318" s="2083" t="b">
        <f>AND(Q318="A",COUNTIF(BP16:BR63,TRIM(Z318))&gt;0)</f>
        <v>0</v>
      </c>
      <c r="AR318" s="797" t="str">
        <f>IF(AL318&lt;&gt;"A","",IFERROR(IFERROR(_xlfn.XLOOKUP(TRIM(SUBSTITUTE(Z318,CHAR(160)," ")),BP16:BP63,BS16:BS63),IFERROR(_xlfn.XLOOKUP(TRIM(SUBSTITUTE(Z318,CHAR(160)," ")),BQ16:BQ63,BS16:BS63),_xlfn.XLOOKUP(TRIM(SUBSTITUTE(Z318,CHAR(160)," ")),BR16:BR63,BS16:BS63)))*Y318*IF(ISBLANK(V318),1,V318),0))</f>
        <v/>
      </c>
      <c r="AS318" s="784" t="str">
        <f t="shared" si="138"/>
        <v/>
      </c>
      <c r="AT318" s="1315" t="str">
        <f t="shared" si="150"/>
        <v/>
      </c>
      <c r="AU318" s="785">
        <f t="shared" si="151"/>
        <v>0</v>
      </c>
      <c r="AV318" s="785">
        <f t="shared" si="152"/>
        <v>0</v>
      </c>
      <c r="AW318" s="798">
        <f>IF(AK318="A",AY10,0)</f>
        <v>0</v>
      </c>
      <c r="AX318" s="5496" t="str">
        <f>IF(IFERROR(SEARCH("Adresse PC",TRIM(W318)),0)&gt;0,"▼ receta siguiente",IF(AK318="A",IF(AZ10&lt;&gt;"",AZ10&amp;" - ou.or.o ❾ + or - &gt;",""),""))</f>
        <v/>
      </c>
      <c r="AY318" s="810"/>
      <c r="AZ318" s="810"/>
      <c r="BA318" s="799" t="str">
        <f t="shared" si="142"/>
        <v/>
      </c>
      <c r="BB318" s="800" t="str">
        <f>IF(AK318="A",IF(AQ318,IF(AND(AW318&lt;&gt;"",N(AW318)&gt;0),IFERROR(IFERROR(_xlfn.XLOOKUP(AP318,BP10:BP57,BT10:BT57),IFERROR(_xlfn.XLOOKUP(AP318,BQ10:BQ57,BT10:BT57),_xlfn.XLOOKUP(AP318,BR10:BR57,BT10:BT57,""))),""),""),""),"")</f>
        <v/>
      </c>
      <c r="BC318" s="813" cm="1">
        <f t="array" ref="BC318">IF(NOT(AQ318),0,IF(OR(BA318="",N(BA318)&lt;=0.000000001),"",IF(OR(AU318="",N(AU318)&lt;=0.000000001),0,IF(ISNUMBER(BA318),IFERROR(_xlfn.LET(_xlpm.ai_test,TRIM(AP318),_xlpm.r,IFERROR(_xlfn.XLOOKUP(_xlpm.ai_test,BP16:BP63,ROW(BP16:BP63),0,1),IFERROR(_xlfn.XLOOKUP(_xlpm.ai_test,BQ16:BQ63,ROW(BQ16:BQ63),0,1),_xlfn.XLOOKUP(_xlpm.ai_test,BR16:BR63,ROW(BR16:BR63),0,1))),_xlpm.p,_xlpm.r-MIN(ROW(BP16:BP63))+1,_xlpm.f,INDEX(BS16:BS63,_xlpm.p),_xlpm.u,INDEX(BT16:BT63,_xlpm.p),_xlpm.s,INDEX(BV16:BV63,_xlpm.p),_xlpm.q,N(BA318)/_xlpm.f,IF(_xlpm.q&gt;=_xlpm.s,ROUND(_xlpm.q,1)&amp;" "&amp;_xlpm.ai_test&amp;" = "&amp;ROUND(_xlpm.q*_xlpm.f,1)&amp;" "&amp;_xlpm.u,ROUND(_xlpm.q,1)&amp;" "&amp;_xlpm.ai_test)),""),""))))</f>
        <v>0</v>
      </c>
      <c r="BD318" s="801"/>
      <c r="BE318" s="799" t="str">
        <f t="shared" si="153"/>
        <v/>
      </c>
      <c r="BF318" s="800" t="str">
        <f t="shared" si="156"/>
        <v/>
      </c>
      <c r="BG318" s="802">
        <f t="shared" si="157"/>
        <v>0</v>
      </c>
      <c r="BH318" s="803" t="str">
        <f t="shared" si="158"/>
        <v/>
      </c>
      <c r="BI318" s="792"/>
      <c r="BJ318" s="804">
        <f t="shared" si="159"/>
        <v>0</v>
      </c>
      <c r="BK318" s="794" t="str">
        <f t="shared" si="154"/>
        <v/>
      </c>
      <c r="BL318" s="227" t="s">
        <v>21</v>
      </c>
      <c r="BM318" s="773">
        <f t="shared" si="144"/>
        <v>0</v>
      </c>
      <c r="BN318" s="774">
        <f t="shared" si="145"/>
        <v>0</v>
      </c>
      <c r="BO318"/>
      <c r="BP318" s="627"/>
      <c r="BQ318" s="627"/>
      <c r="BR318" s="627"/>
      <c r="BS318" s="627"/>
      <c r="BT318" s="627"/>
      <c r="BU318" s="627"/>
      <c r="BV318" s="627"/>
      <c r="BW318" s="627"/>
      <c r="CD318" s="781" t="str">
        <f t="shared" si="139"/>
        <v>►</v>
      </c>
      <c r="CI318"/>
      <c r="CJ318" s="633"/>
      <c r="CR318" s="633"/>
      <c r="CZ318" s="633"/>
      <c r="DH318" s="633"/>
      <c r="DI318" s="3">
        <v>1</v>
      </c>
    </row>
    <row r="319" spans="1:115" ht="21" customHeight="1">
      <c r="B319" s="2265" t="str" cm="1">
        <f t="array" ref="B319">SUMPRODUCT(--(D319:J319&lt;&gt;""), LEN(TRIM(SUBSTITUTE(D319:J319, CHAR(160), "")))) &amp; " Car."</f>
        <v>0 Car.</v>
      </c>
      <c r="C319" s="1376" t="str">
        <f>IF(ISBLANK(D319),"",LARGE(C13:C318,1)+1)</f>
        <v/>
      </c>
      <c r="D319" s="1833"/>
      <c r="E319" s="1810"/>
      <c r="F319" s="1810"/>
      <c r="G319" s="1810"/>
      <c r="H319" s="1810"/>
      <c r="I319" s="1810"/>
      <c r="J319" s="1810"/>
      <c r="K319" s="1810"/>
      <c r="L319" s="1811"/>
      <c r="M319" s="9"/>
      <c r="N319" s="103" t="str">
        <f t="shared" si="140"/>
        <v>►</v>
      </c>
      <c r="O319" s="1616"/>
      <c r="P319" s="9"/>
      <c r="Q319" s="103" t="s">
        <v>15</v>
      </c>
      <c r="R319" s="31"/>
      <c r="S319" s="32"/>
      <c r="T319" s="31"/>
      <c r="U319" s="33"/>
      <c r="V319" s="1804"/>
      <c r="W319" s="1805"/>
      <c r="X319" s="91"/>
      <c r="Y319" s="1806"/>
      <c r="Z319" s="1807"/>
      <c r="AA319" s="919"/>
      <c r="AB319" s="1813"/>
      <c r="AC319" s="1580"/>
      <c r="AD319" s="95"/>
      <c r="AE319" s="105"/>
      <c r="AF319" s="97"/>
      <c r="AG319" s="2080"/>
      <c r="AH319" s="2081"/>
      <c r="AI319" s="99"/>
      <c r="AJ319" s="1809"/>
      <c r="AK319" s="6120" t="str">
        <f t="shared" si="155"/>
        <v>►</v>
      </c>
      <c r="AL319" s="781" t="str">
        <f t="shared" si="143"/>
        <v>►</v>
      </c>
      <c r="AM319" s="5499" t="str">
        <f t="shared" si="146"/>
        <v/>
      </c>
      <c r="AN319" s="783" t="str">
        <f t="shared" si="147"/>
        <v/>
      </c>
      <c r="AO319" s="782" t="str">
        <f t="shared" si="148"/>
        <v/>
      </c>
      <c r="AP319" s="783" t="str">
        <f t="shared" si="149"/>
        <v/>
      </c>
      <c r="AQ319" s="2083" t="b">
        <f>AND(Q319="A",COUNTIF(BP16:BR63,TRIM(Z319))&gt;0)</f>
        <v>0</v>
      </c>
      <c r="AR319" s="797" t="str">
        <f>IF(AL319&lt;&gt;"A","",IFERROR(IFERROR(_xlfn.XLOOKUP(TRIM(SUBSTITUTE(Z319,CHAR(160)," ")),BP16:BP63,BS16:BS63),IFERROR(_xlfn.XLOOKUP(TRIM(SUBSTITUTE(Z319,CHAR(160)," ")),BQ16:BQ63,BS16:BS63),_xlfn.XLOOKUP(TRIM(SUBSTITUTE(Z319,CHAR(160)," ")),BR16:BR63,BS16:BS63)))*Y319*IF(ISBLANK(V319),1,V319),0))</f>
        <v/>
      </c>
      <c r="AS319" s="784" t="str">
        <f t="shared" si="138"/>
        <v/>
      </c>
      <c r="AT319" s="1315" t="str">
        <f t="shared" si="150"/>
        <v/>
      </c>
      <c r="AU319" s="785">
        <f t="shared" si="151"/>
        <v>0</v>
      </c>
      <c r="AV319" s="785">
        <f t="shared" si="152"/>
        <v>0</v>
      </c>
      <c r="AW319" s="786">
        <f>IF(AK319="A",AY10,0)</f>
        <v>0</v>
      </c>
      <c r="AX319" s="5495" t="str">
        <f>IF(IFERROR(SEARCH("Adresse PC",TRIM(W319)),0)&gt;0,"▼ receta siguiente",IF(AK319="A",IF(AZ10&lt;&gt;"",AZ10&amp;" - ou.or.o ❾ + or - &gt;",""),""))</f>
        <v/>
      </c>
      <c r="AY319" s="810"/>
      <c r="AZ319" s="810"/>
      <c r="BA319" s="788" t="str">
        <f t="shared" si="142"/>
        <v/>
      </c>
      <c r="BB319" s="789" t="str">
        <f>IF(AK319="A",IF(AQ319,IF(AND(AW319&lt;&gt;"",N(AW319)&gt;0),IFERROR(IFERROR(_xlfn.XLOOKUP(AP319,BP10:BP57,BT10:BT57),IFERROR(_xlfn.XLOOKUP(AP319,BQ10:BQ57,BT10:BT57),_xlfn.XLOOKUP(AP319,BR10:BR57,BT10:BT57,""))),""),""),""),"")</f>
        <v/>
      </c>
      <c r="BC319" s="811" cm="1">
        <f t="array" ref="BC319">IF(NOT(AQ319),0,IF(OR(BA319="",N(BA319)&lt;=0.000000001),"",IF(OR(AU319="",N(AU319)&lt;=0.000000001),0,IF(ISNUMBER(BA319),IFERROR(_xlfn.LET(_xlpm.ai_test,TRIM(AP319),_xlpm.r,IFERROR(_xlfn.XLOOKUP(_xlpm.ai_test,BP16:BP63,ROW(BP16:BP63),0,1),IFERROR(_xlfn.XLOOKUP(_xlpm.ai_test,BQ16:BQ63,ROW(BQ16:BQ63),0,1),_xlfn.XLOOKUP(_xlpm.ai_test,BR16:BR63,ROW(BR16:BR63),0,1))),_xlpm.p,_xlpm.r-MIN(ROW(BP16:BP63))+1,_xlpm.f,INDEX(BS16:BS63,_xlpm.p),_xlpm.u,INDEX(BT16:BT63,_xlpm.p),_xlpm.s,INDEX(BV16:BV63,_xlpm.p),_xlpm.q,N(BA319)/_xlpm.f,IF(_xlpm.q&gt;=_xlpm.s,ROUND(_xlpm.q,1)&amp;" "&amp;_xlpm.ai_test&amp;" = "&amp;ROUND(_xlpm.q*_xlpm.f,1)&amp;" "&amp;_xlpm.u,ROUND(_xlpm.q,1)&amp;" "&amp;_xlpm.ai_test)),""),""))))</f>
        <v>0</v>
      </c>
      <c r="BD319" s="801"/>
      <c r="BE319" s="788" t="str">
        <f t="shared" si="153"/>
        <v/>
      </c>
      <c r="BF319" s="789" t="str">
        <f t="shared" si="156"/>
        <v/>
      </c>
      <c r="BG319" s="790">
        <f t="shared" si="157"/>
        <v>0</v>
      </c>
      <c r="BH319" s="791" t="str">
        <f t="shared" si="158"/>
        <v/>
      </c>
      <c r="BI319" s="792"/>
      <c r="BJ319" s="793">
        <f t="shared" si="159"/>
        <v>0</v>
      </c>
      <c r="BK319" s="794" t="str">
        <f t="shared" si="154"/>
        <v/>
      </c>
      <c r="BL319" s="227" t="s">
        <v>21</v>
      </c>
      <c r="BM319" s="773">
        <f t="shared" si="144"/>
        <v>0</v>
      </c>
      <c r="BN319" s="774">
        <f t="shared" si="145"/>
        <v>0</v>
      </c>
      <c r="BO319"/>
      <c r="BP319" s="627"/>
      <c r="BQ319" s="627"/>
      <c r="BR319" s="627"/>
      <c r="BS319" s="627"/>
      <c r="BT319" s="627"/>
      <c r="BU319" s="627"/>
      <c r="BV319" s="627"/>
      <c r="BW319" s="627"/>
      <c r="CD319" s="781" t="str">
        <f t="shared" si="139"/>
        <v>►</v>
      </c>
      <c r="CI319"/>
      <c r="CJ319" s="633"/>
      <c r="CR319" s="633"/>
      <c r="CZ319" s="633"/>
      <c r="DH319" s="633"/>
      <c r="DI319" s="3">
        <v>1</v>
      </c>
    </row>
    <row r="320" spans="1:115" ht="21" customHeight="1">
      <c r="B320" s="2265" t="str" cm="1">
        <f t="array" ref="B320">SUMPRODUCT(--(D320:J320&lt;&gt;""), LEN(TRIM(SUBSTITUTE(D320:J320, CHAR(160), "")))) &amp; " Car."</f>
        <v>0 Car.</v>
      </c>
      <c r="C320" s="1376" t="str">
        <f>IF(ISBLANK(D320),"",LARGE(C13:C319,1)+1)</f>
        <v/>
      </c>
      <c r="D320" s="1833"/>
      <c r="E320" s="1810"/>
      <c r="F320" s="1810"/>
      <c r="G320" s="1810"/>
      <c r="H320" s="1810"/>
      <c r="I320" s="1810"/>
      <c r="J320" s="1810"/>
      <c r="K320" s="1810"/>
      <c r="L320" s="1811"/>
      <c r="M320" s="9"/>
      <c r="N320" s="103" t="str">
        <f t="shared" si="140"/>
        <v>►</v>
      </c>
      <c r="O320" s="1616"/>
      <c r="P320" s="9"/>
      <c r="Q320" s="103" t="s">
        <v>15</v>
      </c>
      <c r="R320" s="31"/>
      <c r="S320" s="32"/>
      <c r="T320" s="31"/>
      <c r="U320" s="33"/>
      <c r="V320" s="1804"/>
      <c r="W320" s="1805"/>
      <c r="X320" s="91"/>
      <c r="Y320" s="1806"/>
      <c r="Z320" s="1807"/>
      <c r="AA320" s="919"/>
      <c r="AB320" s="1813"/>
      <c r="AC320" s="1580"/>
      <c r="AD320" s="95"/>
      <c r="AE320" s="105"/>
      <c r="AF320" s="97"/>
      <c r="AG320" s="2080"/>
      <c r="AH320" s="2081"/>
      <c r="AI320" s="99"/>
      <c r="AJ320" s="1809"/>
      <c r="AK320" s="6120" t="str">
        <f t="shared" si="155"/>
        <v>►</v>
      </c>
      <c r="AL320" s="781" t="str">
        <f t="shared" si="143"/>
        <v>►</v>
      </c>
      <c r="AM320" s="5498" t="str">
        <f t="shared" si="146"/>
        <v/>
      </c>
      <c r="AN320" s="783" t="str">
        <f t="shared" si="147"/>
        <v/>
      </c>
      <c r="AO320" s="782" t="str">
        <f t="shared" si="148"/>
        <v/>
      </c>
      <c r="AP320" s="783" t="str">
        <f t="shared" si="149"/>
        <v/>
      </c>
      <c r="AQ320" s="2083" t="b">
        <f>AND(Q320="A",COUNTIF(BP16:BR63,TRIM(Z320))&gt;0)</f>
        <v>0</v>
      </c>
      <c r="AR320" s="797" t="str">
        <f>IF(AL320&lt;&gt;"A","",IFERROR(IFERROR(_xlfn.XLOOKUP(TRIM(SUBSTITUTE(Z320,CHAR(160)," ")),BP16:BP63,BS16:BS63),IFERROR(_xlfn.XLOOKUP(TRIM(SUBSTITUTE(Z320,CHAR(160)," ")),BQ16:BQ63,BS16:BS63),_xlfn.XLOOKUP(TRIM(SUBSTITUTE(Z320,CHAR(160)," ")),BR16:BR63,BS16:BS63)))*Y320*IF(ISBLANK(V320),1,V320),0))</f>
        <v/>
      </c>
      <c r="AS320" s="784" t="str">
        <f t="shared" si="138"/>
        <v/>
      </c>
      <c r="AT320" s="1315" t="str">
        <f t="shared" si="150"/>
        <v/>
      </c>
      <c r="AU320" s="785">
        <f t="shared" si="151"/>
        <v>0</v>
      </c>
      <c r="AV320" s="785">
        <f t="shared" si="152"/>
        <v>0</v>
      </c>
      <c r="AW320" s="798">
        <f>IF(AK320="A",AY10,0)</f>
        <v>0</v>
      </c>
      <c r="AX320" s="5496" t="str">
        <f>IF(IFERROR(SEARCH("Adresse PC",TRIM(W320)),0)&gt;0,"▼ receta siguiente",IF(AK320="A",IF(AZ10&lt;&gt;"",AZ10&amp;" - ou.or.o ❾ + or - &gt;",""),""))</f>
        <v/>
      </c>
      <c r="AY320" s="810"/>
      <c r="AZ320" s="810"/>
      <c r="BA320" s="799" t="str">
        <f t="shared" si="142"/>
        <v/>
      </c>
      <c r="BB320" s="800" t="str">
        <f>IF(AK320="A",IF(AQ320,IF(AND(AW320&lt;&gt;"",N(AW320)&gt;0),IFERROR(IFERROR(_xlfn.XLOOKUP(AP320,BP10:BP57,BT10:BT57),IFERROR(_xlfn.XLOOKUP(AP320,BQ10:BQ57,BT10:BT57),_xlfn.XLOOKUP(AP320,BR10:BR57,BT10:BT57,""))),""),""),""),"")</f>
        <v/>
      </c>
      <c r="BC320" s="813" cm="1">
        <f t="array" ref="BC320">IF(NOT(AQ320),0,IF(OR(BA320="",N(BA320)&lt;=0.000000001),"",IF(OR(AU320="",N(AU320)&lt;=0.000000001),0,IF(ISNUMBER(BA320),IFERROR(_xlfn.LET(_xlpm.ai_test,TRIM(AP320),_xlpm.r,IFERROR(_xlfn.XLOOKUP(_xlpm.ai_test,BP16:BP63,ROW(BP16:BP63),0,1),IFERROR(_xlfn.XLOOKUP(_xlpm.ai_test,BQ16:BQ63,ROW(BQ16:BQ63),0,1),_xlfn.XLOOKUP(_xlpm.ai_test,BR16:BR63,ROW(BR16:BR63),0,1))),_xlpm.p,_xlpm.r-MIN(ROW(BP16:BP63))+1,_xlpm.f,INDEX(BS16:BS63,_xlpm.p),_xlpm.u,INDEX(BT16:BT63,_xlpm.p),_xlpm.s,INDEX(BV16:BV63,_xlpm.p),_xlpm.q,N(BA320)/_xlpm.f,IF(_xlpm.q&gt;=_xlpm.s,ROUND(_xlpm.q,1)&amp;" "&amp;_xlpm.ai_test&amp;" = "&amp;ROUND(_xlpm.q*_xlpm.f,1)&amp;" "&amp;_xlpm.u,ROUND(_xlpm.q,1)&amp;" "&amp;_xlpm.ai_test)),""),""))))</f>
        <v>0</v>
      </c>
      <c r="BD320" s="801"/>
      <c r="BE320" s="799" t="str">
        <f t="shared" si="153"/>
        <v/>
      </c>
      <c r="BF320" s="800" t="str">
        <f t="shared" si="156"/>
        <v/>
      </c>
      <c r="BG320" s="802">
        <f t="shared" si="157"/>
        <v>0</v>
      </c>
      <c r="BH320" s="803" t="str">
        <f t="shared" si="158"/>
        <v/>
      </c>
      <c r="BI320" s="792"/>
      <c r="BJ320" s="804">
        <f t="shared" si="159"/>
        <v>0</v>
      </c>
      <c r="BK320" s="794" t="str">
        <f t="shared" si="154"/>
        <v/>
      </c>
      <c r="BL320" s="227" t="s">
        <v>21</v>
      </c>
      <c r="BM320" s="773">
        <f t="shared" si="144"/>
        <v>0</v>
      </c>
      <c r="BN320" s="774">
        <f t="shared" si="145"/>
        <v>0</v>
      </c>
      <c r="BO320"/>
      <c r="BP320" s="627"/>
      <c r="BQ320" s="627"/>
      <c r="BR320" s="627"/>
      <c r="BS320" s="627"/>
      <c r="BT320" s="627"/>
      <c r="BU320" s="627"/>
      <c r="BV320" s="627"/>
      <c r="BW320" s="627"/>
      <c r="CD320" s="781" t="str">
        <f t="shared" si="139"/>
        <v>►</v>
      </c>
      <c r="CI320"/>
      <c r="CJ320" s="633"/>
      <c r="CR320" s="633"/>
      <c r="CZ320" s="633"/>
      <c r="DH320" s="633"/>
      <c r="DI320" s="3">
        <v>1</v>
      </c>
    </row>
    <row r="321" spans="2:113" ht="21" customHeight="1">
      <c r="B321" s="2265" t="str" cm="1">
        <f t="array" ref="B321">SUMPRODUCT(--(D321:J321&lt;&gt;""), LEN(TRIM(SUBSTITUTE(D321:J321, CHAR(160), "")))) &amp; " Car."</f>
        <v>0 Car.</v>
      </c>
      <c r="C321" s="1376" t="str">
        <f>IF(ISBLANK(D321),"",LARGE(C13:C320,1)+1)</f>
        <v/>
      </c>
      <c r="D321" s="1833"/>
      <c r="E321" s="1810"/>
      <c r="F321" s="1810"/>
      <c r="G321" s="1810"/>
      <c r="H321" s="1810"/>
      <c r="I321" s="1810"/>
      <c r="J321" s="1810"/>
      <c r="K321" s="1810"/>
      <c r="L321" s="1811"/>
      <c r="M321" s="9"/>
      <c r="N321" s="103" t="str">
        <f t="shared" si="140"/>
        <v>►</v>
      </c>
      <c r="O321" s="1616"/>
      <c r="P321" s="9"/>
      <c r="Q321" s="103" t="s">
        <v>15</v>
      </c>
      <c r="R321" s="31"/>
      <c r="S321" s="32"/>
      <c r="T321" s="31"/>
      <c r="U321" s="33"/>
      <c r="V321" s="1804"/>
      <c r="W321" s="1805"/>
      <c r="X321" s="91"/>
      <c r="Y321" s="1806"/>
      <c r="Z321" s="1807"/>
      <c r="AA321" s="919"/>
      <c r="AB321" s="1813"/>
      <c r="AC321" s="1580"/>
      <c r="AD321" s="95"/>
      <c r="AE321" s="105"/>
      <c r="AF321" s="97"/>
      <c r="AG321" s="2080"/>
      <c r="AH321" s="2081"/>
      <c r="AI321" s="99"/>
      <c r="AJ321" s="1809"/>
      <c r="AK321" s="6120" t="str">
        <f t="shared" si="155"/>
        <v>►</v>
      </c>
      <c r="AL321" s="781" t="str">
        <f t="shared" si="143"/>
        <v>►</v>
      </c>
      <c r="AM321" s="5499" t="str">
        <f t="shared" si="146"/>
        <v/>
      </c>
      <c r="AN321" s="783" t="str">
        <f t="shared" si="147"/>
        <v/>
      </c>
      <c r="AO321" s="782" t="str">
        <f t="shared" si="148"/>
        <v/>
      </c>
      <c r="AP321" s="783" t="str">
        <f t="shared" si="149"/>
        <v/>
      </c>
      <c r="AQ321" s="2083" t="b">
        <f>AND(Q321="A",COUNTIF(BP16:BR63,TRIM(Z321))&gt;0)</f>
        <v>0</v>
      </c>
      <c r="AR321" s="797" t="str">
        <f>IF(AL321&lt;&gt;"A","",IFERROR(IFERROR(_xlfn.XLOOKUP(TRIM(SUBSTITUTE(Z321,CHAR(160)," ")),BP16:BP63,BS16:BS63),IFERROR(_xlfn.XLOOKUP(TRIM(SUBSTITUTE(Z321,CHAR(160)," ")),BQ16:BQ63,BS16:BS63),_xlfn.XLOOKUP(TRIM(SUBSTITUTE(Z321,CHAR(160)," ")),BR16:BR63,BS16:BS63)))*Y321*IF(ISBLANK(V321),1,V321),0))</f>
        <v/>
      </c>
      <c r="AS321" s="784" t="str">
        <f t="shared" si="138"/>
        <v/>
      </c>
      <c r="AT321" s="1315" t="str">
        <f t="shared" si="150"/>
        <v/>
      </c>
      <c r="AU321" s="785">
        <f t="shared" si="151"/>
        <v>0</v>
      </c>
      <c r="AV321" s="785">
        <f t="shared" si="152"/>
        <v>0</v>
      </c>
      <c r="AW321" s="786">
        <f>IF(AK321="A",AY10,0)</f>
        <v>0</v>
      </c>
      <c r="AX321" s="5495" t="str">
        <f>IF(IFERROR(SEARCH("Adresse PC",TRIM(W321)),0)&gt;0,"▼ receta siguiente",IF(AK321="A",IF(AZ10&lt;&gt;"",AZ10&amp;" - ou.or.o ❾ + or - &gt;",""),""))</f>
        <v/>
      </c>
      <c r="AY321" s="810"/>
      <c r="AZ321" s="810"/>
      <c r="BA321" s="788" t="str">
        <f t="shared" si="142"/>
        <v/>
      </c>
      <c r="BB321" s="789" t="str">
        <f>IF(AK321="A",IF(AQ321,IF(AND(AW321&lt;&gt;"",N(AW321)&gt;0),IFERROR(IFERROR(_xlfn.XLOOKUP(AP321,BP10:BP57,BT10:BT57),IFERROR(_xlfn.XLOOKUP(AP321,BQ10:BQ57,BT10:BT57),_xlfn.XLOOKUP(AP321,BR10:BR57,BT10:BT57,""))),""),""),""),"")</f>
        <v/>
      </c>
      <c r="BC321" s="811" cm="1">
        <f t="array" ref="BC321">IF(NOT(AQ321),0,IF(OR(BA321="",N(BA321)&lt;=0.000000001),"",IF(OR(AU321="",N(AU321)&lt;=0.000000001),0,IF(ISNUMBER(BA321),IFERROR(_xlfn.LET(_xlpm.ai_test,TRIM(AP321),_xlpm.r,IFERROR(_xlfn.XLOOKUP(_xlpm.ai_test,BP16:BP63,ROW(BP16:BP63),0,1),IFERROR(_xlfn.XLOOKUP(_xlpm.ai_test,BQ16:BQ63,ROW(BQ16:BQ63),0,1),_xlfn.XLOOKUP(_xlpm.ai_test,BR16:BR63,ROW(BR16:BR63),0,1))),_xlpm.p,_xlpm.r-MIN(ROW(BP16:BP63))+1,_xlpm.f,INDEX(BS16:BS63,_xlpm.p),_xlpm.u,INDEX(BT16:BT63,_xlpm.p),_xlpm.s,INDEX(BV16:BV63,_xlpm.p),_xlpm.q,N(BA321)/_xlpm.f,IF(_xlpm.q&gt;=_xlpm.s,ROUND(_xlpm.q,1)&amp;" "&amp;_xlpm.ai_test&amp;" = "&amp;ROUND(_xlpm.q*_xlpm.f,1)&amp;" "&amp;_xlpm.u,ROUND(_xlpm.q,1)&amp;" "&amp;_xlpm.ai_test)),""),""))))</f>
        <v>0</v>
      </c>
      <c r="BD321" s="801"/>
      <c r="BE321" s="788" t="str">
        <f t="shared" si="153"/>
        <v/>
      </c>
      <c r="BF321" s="789" t="str">
        <f t="shared" si="156"/>
        <v/>
      </c>
      <c r="BG321" s="790">
        <f t="shared" si="157"/>
        <v>0</v>
      </c>
      <c r="BH321" s="791" t="str">
        <f t="shared" si="158"/>
        <v/>
      </c>
      <c r="BI321" s="792"/>
      <c r="BJ321" s="793">
        <f t="shared" si="159"/>
        <v>0</v>
      </c>
      <c r="BK321" s="794" t="str">
        <f t="shared" si="154"/>
        <v/>
      </c>
      <c r="BL321" s="227" t="s">
        <v>21</v>
      </c>
      <c r="BM321" s="773">
        <f t="shared" si="144"/>
        <v>0</v>
      </c>
      <c r="BN321" s="774">
        <f t="shared" si="145"/>
        <v>0</v>
      </c>
      <c r="BO321"/>
      <c r="BP321" s="627"/>
      <c r="BQ321" s="627"/>
      <c r="BR321" s="627"/>
      <c r="BS321" s="627"/>
      <c r="BT321" s="627"/>
      <c r="BU321" s="627"/>
      <c r="BV321" s="627"/>
      <c r="BW321" s="627"/>
      <c r="CD321" s="781" t="str">
        <f t="shared" si="139"/>
        <v>►</v>
      </c>
      <c r="CE321" s="633"/>
      <c r="CF321" s="633"/>
      <c r="CG321" s="633"/>
      <c r="CH321" s="633"/>
      <c r="CI321" s="633"/>
      <c r="CJ321" s="633"/>
      <c r="CR321" s="633"/>
      <c r="CZ321" s="633"/>
      <c r="DH321" s="633"/>
      <c r="DI321" s="3">
        <v>1</v>
      </c>
    </row>
    <row r="322" spans="2:113" s="627" customFormat="1" ht="21" customHeight="1">
      <c r="B322" s="2265" t="str" cm="1">
        <f t="array" ref="B322">SUMPRODUCT(--(D322:J322&lt;&gt;""), LEN(TRIM(SUBSTITUTE(D322:J322, CHAR(160), "")))) &amp; " Car."</f>
        <v>0 Car.</v>
      </c>
      <c r="C322" s="1376" t="str">
        <f>IF(ISBLANK(D322),"",LARGE(C13:C321,1)+1)</f>
        <v/>
      </c>
      <c r="D322" s="1833"/>
      <c r="E322" s="1810"/>
      <c r="F322" s="1810"/>
      <c r="G322" s="1810"/>
      <c r="H322" s="1810"/>
      <c r="I322" s="1810"/>
      <c r="J322" s="1810"/>
      <c r="K322" s="1810"/>
      <c r="L322" s="1811"/>
      <c r="M322" s="9"/>
      <c r="N322" s="103" t="str">
        <f t="shared" si="140"/>
        <v>►</v>
      </c>
      <c r="O322" s="1616"/>
      <c r="P322" s="9"/>
      <c r="Q322" s="103" t="s">
        <v>15</v>
      </c>
      <c r="R322" s="31"/>
      <c r="S322" s="32"/>
      <c r="T322" s="31"/>
      <c r="U322" s="33"/>
      <c r="V322" s="1804"/>
      <c r="W322" s="1805"/>
      <c r="X322" s="91"/>
      <c r="Y322" s="1806"/>
      <c r="Z322" s="1807"/>
      <c r="AA322" s="919"/>
      <c r="AB322" s="1813"/>
      <c r="AC322" s="1580"/>
      <c r="AD322" s="95"/>
      <c r="AE322" s="105"/>
      <c r="AF322" s="97"/>
      <c r="AG322" s="2080"/>
      <c r="AH322" s="2081"/>
      <c r="AI322" s="99"/>
      <c r="AJ322" s="1809"/>
      <c r="AK322" s="6120" t="str">
        <f t="shared" si="155"/>
        <v>►</v>
      </c>
      <c r="AL322" s="781" t="str">
        <f t="shared" si="143"/>
        <v>►</v>
      </c>
      <c r="AM322" s="5498" t="str">
        <f t="shared" si="146"/>
        <v/>
      </c>
      <c r="AN322" s="783" t="str">
        <f t="shared" si="147"/>
        <v/>
      </c>
      <c r="AO322" s="782" t="str">
        <f t="shared" si="148"/>
        <v/>
      </c>
      <c r="AP322" s="783" t="str">
        <f t="shared" si="149"/>
        <v/>
      </c>
      <c r="AQ322" s="2083" t="b">
        <f>AND(Q322="A",COUNTIF(BP16:BR63,TRIM(Z322))&gt;0)</f>
        <v>0</v>
      </c>
      <c r="AR322" s="797" t="str">
        <f>IF(AL322&lt;&gt;"A","",IFERROR(IFERROR(_xlfn.XLOOKUP(TRIM(SUBSTITUTE(Z322,CHAR(160)," ")),BP16:BP63,BS16:BS63),IFERROR(_xlfn.XLOOKUP(TRIM(SUBSTITUTE(Z322,CHAR(160)," ")),BQ16:BQ63,BS16:BS63),_xlfn.XLOOKUP(TRIM(SUBSTITUTE(Z322,CHAR(160)," ")),BR16:BR63,BS16:BS63)))*Y322*IF(ISBLANK(V322),1,V322),0))</f>
        <v/>
      </c>
      <c r="AS322" s="784" t="str">
        <f t="shared" si="138"/>
        <v/>
      </c>
      <c r="AT322" s="1315" t="str">
        <f t="shared" si="150"/>
        <v/>
      </c>
      <c r="AU322" s="785">
        <f t="shared" si="151"/>
        <v>0</v>
      </c>
      <c r="AV322" s="785">
        <f t="shared" si="152"/>
        <v>0</v>
      </c>
      <c r="AW322" s="798">
        <f>IF(AK322="A",AY10,0)</f>
        <v>0</v>
      </c>
      <c r="AX322" s="5496" t="str">
        <f>IF(IFERROR(SEARCH("Adresse PC",TRIM(W322)),0)&gt;0,"▼ receta siguiente",IF(AK322="A",IF(AZ10&lt;&gt;"",AZ10&amp;" - ou.or.o ❾ + or - &gt;",""),""))</f>
        <v/>
      </c>
      <c r="AY322" s="810"/>
      <c r="AZ322" s="810"/>
      <c r="BA322" s="799" t="str">
        <f t="shared" si="142"/>
        <v/>
      </c>
      <c r="BB322" s="800" t="str">
        <f>IF(AK322="A",IF(AQ322,IF(AND(AW322&lt;&gt;"",N(AW322)&gt;0),IFERROR(IFERROR(_xlfn.XLOOKUP(AP322,BP10:BP57,BT10:BT57),IFERROR(_xlfn.XLOOKUP(AP322,BQ10:BQ57,BT10:BT57),_xlfn.XLOOKUP(AP322,BR10:BR57,BT10:BT57,""))),""),""),""),"")</f>
        <v/>
      </c>
      <c r="BC322" s="813" cm="1">
        <f t="array" ref="BC322">IF(NOT(AQ322),0,IF(OR(BA322="",N(BA322)&lt;=0.000000001),"",IF(OR(AU322="",N(AU322)&lt;=0.000000001),0,IF(ISNUMBER(BA322),IFERROR(_xlfn.LET(_xlpm.ai_test,TRIM(AP322),_xlpm.r,IFERROR(_xlfn.XLOOKUP(_xlpm.ai_test,BP16:BP63,ROW(BP16:BP63),0,1),IFERROR(_xlfn.XLOOKUP(_xlpm.ai_test,BQ16:BQ63,ROW(BQ16:BQ63),0,1),_xlfn.XLOOKUP(_xlpm.ai_test,BR16:BR63,ROW(BR16:BR63),0,1))),_xlpm.p,_xlpm.r-MIN(ROW(BP16:BP63))+1,_xlpm.f,INDEX(BS16:BS63,_xlpm.p),_xlpm.u,INDEX(BT16:BT63,_xlpm.p),_xlpm.s,INDEX(BV16:BV63,_xlpm.p),_xlpm.q,N(BA322)/_xlpm.f,IF(_xlpm.q&gt;=_xlpm.s,ROUND(_xlpm.q,1)&amp;" "&amp;_xlpm.ai_test&amp;" = "&amp;ROUND(_xlpm.q*_xlpm.f,1)&amp;" "&amp;_xlpm.u,ROUND(_xlpm.q,1)&amp;" "&amp;_xlpm.ai_test)),""),""))))</f>
        <v>0</v>
      </c>
      <c r="BD322" s="801"/>
      <c r="BE322" s="799" t="str">
        <f t="shared" si="153"/>
        <v/>
      </c>
      <c r="BF322" s="800" t="str">
        <f t="shared" si="156"/>
        <v/>
      </c>
      <c r="BG322" s="802">
        <f t="shared" si="157"/>
        <v>0</v>
      </c>
      <c r="BH322" s="803" t="str">
        <f t="shared" si="158"/>
        <v/>
      </c>
      <c r="BI322" s="792"/>
      <c r="BJ322" s="804">
        <f t="shared" si="159"/>
        <v>0</v>
      </c>
      <c r="BK322" s="794" t="str">
        <f t="shared" si="154"/>
        <v/>
      </c>
      <c r="BL322" s="227" t="s">
        <v>21</v>
      </c>
      <c r="BM322" s="773">
        <f t="shared" si="144"/>
        <v>0</v>
      </c>
      <c r="BN322" s="774">
        <f t="shared" si="145"/>
        <v>0</v>
      </c>
      <c r="BO322"/>
      <c r="BX322"/>
      <c r="BY322"/>
      <c r="BZ322"/>
      <c r="CA322"/>
      <c r="CB322"/>
      <c r="CC322"/>
      <c r="CD322" s="781" t="str">
        <f t="shared" si="139"/>
        <v>►</v>
      </c>
      <c r="CE322" s="633"/>
      <c r="CF322" s="633"/>
      <c r="CG322" s="633"/>
      <c r="CH322" s="633"/>
      <c r="CI322" s="633"/>
      <c r="CJ322" s="633"/>
      <c r="CK322"/>
      <c r="CL322"/>
      <c r="CM322"/>
      <c r="CN322"/>
      <c r="CO322"/>
      <c r="CP322"/>
      <c r="CQ322"/>
      <c r="CR322" s="633"/>
      <c r="CS322"/>
      <c r="CT322"/>
      <c r="CU322"/>
      <c r="CV322"/>
      <c r="CW322"/>
      <c r="CX322"/>
      <c r="CY322"/>
      <c r="CZ322" s="633"/>
      <c r="DA322"/>
      <c r="DB322"/>
      <c r="DC322"/>
      <c r="DD322"/>
      <c r="DE322"/>
      <c r="DF322"/>
      <c r="DG322"/>
      <c r="DH322" s="633"/>
      <c r="DI322" s="3">
        <v>1</v>
      </c>
    </row>
    <row r="323" spans="2:113" s="627" customFormat="1" ht="21" customHeight="1">
      <c r="B323" s="2265" t="str" cm="1">
        <f t="array" ref="B323">SUMPRODUCT(--(D323:J323&lt;&gt;""), LEN(TRIM(SUBSTITUTE(D323:J323, CHAR(160), "")))) &amp; " Car."</f>
        <v>0 Car.</v>
      </c>
      <c r="C323" s="1376" t="str">
        <f>IF(ISBLANK(D323),"",LARGE(C13:C322,1)+1)</f>
        <v/>
      </c>
      <c r="D323" s="1833"/>
      <c r="E323" s="1810"/>
      <c r="F323" s="1810"/>
      <c r="G323" s="1810"/>
      <c r="H323" s="1810"/>
      <c r="I323" s="1810"/>
      <c r="J323" s="1810"/>
      <c r="K323" s="1810"/>
      <c r="L323" s="1811"/>
      <c r="M323" s="9"/>
      <c r="N323" s="103" t="str">
        <f t="shared" si="140"/>
        <v>►</v>
      </c>
      <c r="O323" s="1616"/>
      <c r="P323" s="9"/>
      <c r="Q323" s="103" t="s">
        <v>15</v>
      </c>
      <c r="R323" s="31"/>
      <c r="S323" s="32"/>
      <c r="T323" s="31"/>
      <c r="U323" s="33"/>
      <c r="V323" s="1804"/>
      <c r="W323" s="1805"/>
      <c r="X323" s="91"/>
      <c r="Y323" s="1806"/>
      <c r="Z323" s="1807"/>
      <c r="AA323" s="919"/>
      <c r="AB323" s="1813"/>
      <c r="AC323" s="1580"/>
      <c r="AD323" s="95"/>
      <c r="AE323" s="105"/>
      <c r="AF323" s="97"/>
      <c r="AG323" s="2080"/>
      <c r="AH323" s="2081"/>
      <c r="AI323" s="99"/>
      <c r="AJ323" s="1809"/>
      <c r="AK323" s="6120" t="str">
        <f t="shared" si="155"/>
        <v>►</v>
      </c>
      <c r="AL323" s="781" t="str">
        <f t="shared" si="143"/>
        <v>►</v>
      </c>
      <c r="AM323" s="5499" t="str">
        <f t="shared" si="146"/>
        <v/>
      </c>
      <c r="AN323" s="783" t="str">
        <f t="shared" si="147"/>
        <v/>
      </c>
      <c r="AO323" s="782" t="str">
        <f t="shared" si="148"/>
        <v/>
      </c>
      <c r="AP323" s="783" t="str">
        <f t="shared" si="149"/>
        <v/>
      </c>
      <c r="AQ323" s="2083" t="b">
        <f>AND(Q323="A",COUNTIF(BP16:BR63,TRIM(Z323))&gt;0)</f>
        <v>0</v>
      </c>
      <c r="AR323" s="797" t="str">
        <f>IF(AL323&lt;&gt;"A","",IFERROR(IFERROR(_xlfn.XLOOKUP(TRIM(SUBSTITUTE(Z323,CHAR(160)," ")),BP16:BP63,BS16:BS63),IFERROR(_xlfn.XLOOKUP(TRIM(SUBSTITUTE(Z323,CHAR(160)," ")),BQ16:BQ63,BS16:BS63),_xlfn.XLOOKUP(TRIM(SUBSTITUTE(Z323,CHAR(160)," ")),BR16:BR63,BS16:BS63)))*Y323*IF(ISBLANK(V323),1,V323),0))</f>
        <v/>
      </c>
      <c r="AS323" s="784" t="str">
        <f t="shared" si="138"/>
        <v/>
      </c>
      <c r="AT323" s="1315" t="str">
        <f t="shared" si="150"/>
        <v/>
      </c>
      <c r="AU323" s="785">
        <f t="shared" si="151"/>
        <v>0</v>
      </c>
      <c r="AV323" s="785">
        <f t="shared" si="152"/>
        <v>0</v>
      </c>
      <c r="AW323" s="786">
        <f>IF(AK323="A",AY10,0)</f>
        <v>0</v>
      </c>
      <c r="AX323" s="5495" t="str">
        <f>IF(IFERROR(SEARCH("Adresse PC",TRIM(W323)),0)&gt;0,"▼ receta siguiente",IF(AK323="A",IF(AZ10&lt;&gt;"",AZ10&amp;" - ou.or.o ❾ + or - &gt;",""),""))</f>
        <v/>
      </c>
      <c r="AY323" s="810"/>
      <c r="AZ323" s="810"/>
      <c r="BA323" s="788" t="str">
        <f t="shared" si="142"/>
        <v/>
      </c>
      <c r="BB323" s="789" t="str">
        <f>IF(AK323="A",IF(AQ323,IF(AND(AW323&lt;&gt;"",N(AW323)&gt;0),IFERROR(IFERROR(_xlfn.XLOOKUP(AP323,BP10:BP57,BT10:BT57),IFERROR(_xlfn.XLOOKUP(AP323,BQ10:BQ57,BT10:BT57),_xlfn.XLOOKUP(AP323,BR10:BR57,BT10:BT57,""))),""),""),""),"")</f>
        <v/>
      </c>
      <c r="BC323" s="811" cm="1">
        <f t="array" ref="BC323">IF(NOT(AQ323),0,IF(OR(BA323="",N(BA323)&lt;=0.000000001),"",IF(OR(AU323="",N(AU323)&lt;=0.000000001),0,IF(ISNUMBER(BA323),IFERROR(_xlfn.LET(_xlpm.ai_test,TRIM(AP323),_xlpm.r,IFERROR(_xlfn.XLOOKUP(_xlpm.ai_test,BP16:BP63,ROW(BP16:BP63),0,1),IFERROR(_xlfn.XLOOKUP(_xlpm.ai_test,BQ16:BQ63,ROW(BQ16:BQ63),0,1),_xlfn.XLOOKUP(_xlpm.ai_test,BR16:BR63,ROW(BR16:BR63),0,1))),_xlpm.p,_xlpm.r-MIN(ROW(BP16:BP63))+1,_xlpm.f,INDEX(BS16:BS63,_xlpm.p),_xlpm.u,INDEX(BT16:BT63,_xlpm.p),_xlpm.s,INDEX(BV16:BV63,_xlpm.p),_xlpm.q,N(BA323)/_xlpm.f,IF(_xlpm.q&gt;=_xlpm.s,ROUND(_xlpm.q,1)&amp;" "&amp;_xlpm.ai_test&amp;" = "&amp;ROUND(_xlpm.q*_xlpm.f,1)&amp;" "&amp;_xlpm.u,ROUND(_xlpm.q,1)&amp;" "&amp;_xlpm.ai_test)),""),""))))</f>
        <v>0</v>
      </c>
      <c r="BD323" s="801"/>
      <c r="BE323" s="788" t="str">
        <f t="shared" si="153"/>
        <v/>
      </c>
      <c r="BF323" s="789" t="str">
        <f t="shared" si="156"/>
        <v/>
      </c>
      <c r="BG323" s="790">
        <f t="shared" si="157"/>
        <v>0</v>
      </c>
      <c r="BH323" s="791" t="str">
        <f t="shared" si="158"/>
        <v/>
      </c>
      <c r="BI323" s="792"/>
      <c r="BJ323" s="793">
        <f t="shared" si="159"/>
        <v>0</v>
      </c>
      <c r="BK323" s="794" t="str">
        <f t="shared" si="154"/>
        <v/>
      </c>
      <c r="BL323" s="227" t="s">
        <v>21</v>
      </c>
      <c r="BM323" s="773">
        <f t="shared" si="144"/>
        <v>0</v>
      </c>
      <c r="BN323" s="774">
        <f t="shared" si="145"/>
        <v>0</v>
      </c>
      <c r="BO323"/>
      <c r="BX323"/>
      <c r="BY323"/>
      <c r="BZ323"/>
      <c r="CA323"/>
      <c r="CB323"/>
      <c r="CC323"/>
      <c r="CD323" s="781" t="str">
        <f t="shared" si="139"/>
        <v>►</v>
      </c>
      <c r="CE323"/>
      <c r="CF323"/>
      <c r="CG323"/>
      <c r="CH323"/>
      <c r="CI323"/>
      <c r="CJ323" s="633"/>
      <c r="CK323"/>
      <c r="CL323"/>
      <c r="CM323"/>
      <c r="CN323"/>
      <c r="CO323"/>
      <c r="CP323"/>
      <c r="CQ323"/>
      <c r="CR323" s="633"/>
      <c r="CS323"/>
      <c r="CT323"/>
      <c r="CU323"/>
      <c r="CV323"/>
      <c r="CW323"/>
      <c r="CX323"/>
      <c r="CY323"/>
      <c r="CZ323" s="633"/>
      <c r="DA323"/>
      <c r="DB323"/>
      <c r="DC323"/>
      <c r="DD323"/>
      <c r="DE323"/>
      <c r="DF323"/>
      <c r="DG323"/>
      <c r="DH323" s="633"/>
      <c r="DI323" s="3">
        <v>1</v>
      </c>
    </row>
    <row r="324" spans="2:113" s="627" customFormat="1" ht="21" customHeight="1">
      <c r="B324" s="2265" t="str" cm="1">
        <f t="array" ref="B324">SUMPRODUCT(--(D324:J324&lt;&gt;""), LEN(TRIM(SUBSTITUTE(D324:J324, CHAR(160), "")))) &amp; " Car."</f>
        <v>0 Car.</v>
      </c>
      <c r="C324" s="1376" t="str">
        <f>IF(ISBLANK(D324),"",LARGE(C13:C323,1)+1)</f>
        <v/>
      </c>
      <c r="D324" s="1833"/>
      <c r="E324" s="1810"/>
      <c r="F324" s="1810"/>
      <c r="G324" s="1810"/>
      <c r="H324" s="1810"/>
      <c r="I324" s="1810"/>
      <c r="J324" s="1810"/>
      <c r="K324" s="1810"/>
      <c r="L324" s="1811"/>
      <c r="M324" s="9"/>
      <c r="N324" s="103" t="str">
        <f t="shared" si="140"/>
        <v>►</v>
      </c>
      <c r="O324" s="1616"/>
      <c r="P324" s="9"/>
      <c r="Q324" s="103" t="s">
        <v>15</v>
      </c>
      <c r="R324" s="31"/>
      <c r="S324" s="32"/>
      <c r="T324" s="31"/>
      <c r="U324" s="33"/>
      <c r="V324" s="1804"/>
      <c r="W324" s="1805"/>
      <c r="X324" s="91"/>
      <c r="Y324" s="1806"/>
      <c r="Z324" s="1807"/>
      <c r="AA324" s="919"/>
      <c r="AB324" s="1813"/>
      <c r="AC324" s="1580"/>
      <c r="AD324" s="95"/>
      <c r="AE324" s="105"/>
      <c r="AF324" s="97"/>
      <c r="AG324" s="2080"/>
      <c r="AH324" s="2081"/>
      <c r="AI324" s="99"/>
      <c r="AJ324" s="1809"/>
      <c r="AK324" s="6120" t="str">
        <f t="shared" si="155"/>
        <v>►</v>
      </c>
      <c r="AL324" s="781" t="str">
        <f t="shared" si="143"/>
        <v>►</v>
      </c>
      <c r="AM324" s="5498" t="str">
        <f t="shared" si="146"/>
        <v/>
      </c>
      <c r="AN324" s="783" t="str">
        <f t="shared" si="147"/>
        <v/>
      </c>
      <c r="AO324" s="782" t="str">
        <f t="shared" si="148"/>
        <v/>
      </c>
      <c r="AP324" s="783" t="str">
        <f t="shared" si="149"/>
        <v/>
      </c>
      <c r="AQ324" s="2083" t="b">
        <f>AND(Q324="A",COUNTIF(BP16:BR63,TRIM(Z324))&gt;0)</f>
        <v>0</v>
      </c>
      <c r="AR324" s="797" t="str">
        <f>IF(AL324&lt;&gt;"A","",IFERROR(IFERROR(_xlfn.XLOOKUP(TRIM(SUBSTITUTE(Z324,CHAR(160)," ")),BP16:BP63,BS16:BS63),IFERROR(_xlfn.XLOOKUP(TRIM(SUBSTITUTE(Z324,CHAR(160)," ")),BQ16:BQ63,BS16:BS63),_xlfn.XLOOKUP(TRIM(SUBSTITUTE(Z324,CHAR(160)," ")),BR16:BR63,BS16:BS63)))*Y324*IF(ISBLANK(V324),1,V324),0))</f>
        <v/>
      </c>
      <c r="AS324" s="784" t="str">
        <f t="shared" si="138"/>
        <v/>
      </c>
      <c r="AT324" s="1315" t="str">
        <f t="shared" si="150"/>
        <v/>
      </c>
      <c r="AU324" s="785">
        <f t="shared" si="151"/>
        <v>0</v>
      </c>
      <c r="AV324" s="785">
        <f t="shared" si="152"/>
        <v>0</v>
      </c>
      <c r="AW324" s="798">
        <f>IF(AK324="A",AY10,0)</f>
        <v>0</v>
      </c>
      <c r="AX324" s="5496" t="str">
        <f>IF(IFERROR(SEARCH("Adresse PC",TRIM(W324)),0)&gt;0,"▼ receta siguiente",IF(AK324="A",IF(AZ10&lt;&gt;"",AZ10&amp;" - ou.or.o ❾ + or - &gt;",""),""))</f>
        <v/>
      </c>
      <c r="AY324" s="810"/>
      <c r="AZ324" s="810"/>
      <c r="BA324" s="799" t="str">
        <f t="shared" si="142"/>
        <v/>
      </c>
      <c r="BB324" s="800" t="str">
        <f>IF(AK324="A",IF(AQ324,IF(AND(AW324&lt;&gt;"",N(AW324)&gt;0),IFERROR(IFERROR(_xlfn.XLOOKUP(AP324,BP10:BP57,BT10:BT57),IFERROR(_xlfn.XLOOKUP(AP324,BQ10:BQ57,BT10:BT57),_xlfn.XLOOKUP(AP324,BR10:BR57,BT10:BT57,""))),""),""),""),"")</f>
        <v/>
      </c>
      <c r="BC324" s="813" cm="1">
        <f t="array" ref="BC324">IF(NOT(AQ324),0,IF(OR(BA324="",N(BA324)&lt;=0.000000001),"",IF(OR(AU324="",N(AU324)&lt;=0.000000001),0,IF(ISNUMBER(BA324),IFERROR(_xlfn.LET(_xlpm.ai_test,TRIM(AP324),_xlpm.r,IFERROR(_xlfn.XLOOKUP(_xlpm.ai_test,BP16:BP63,ROW(BP16:BP63),0,1),IFERROR(_xlfn.XLOOKUP(_xlpm.ai_test,BQ16:BQ63,ROW(BQ16:BQ63),0,1),_xlfn.XLOOKUP(_xlpm.ai_test,BR16:BR63,ROW(BR16:BR63),0,1))),_xlpm.p,_xlpm.r-MIN(ROW(BP16:BP63))+1,_xlpm.f,INDEX(BS16:BS63,_xlpm.p),_xlpm.u,INDEX(BT16:BT63,_xlpm.p),_xlpm.s,INDEX(BV16:BV63,_xlpm.p),_xlpm.q,N(BA324)/_xlpm.f,IF(_xlpm.q&gt;=_xlpm.s,ROUND(_xlpm.q,1)&amp;" "&amp;_xlpm.ai_test&amp;" = "&amp;ROUND(_xlpm.q*_xlpm.f,1)&amp;" "&amp;_xlpm.u,ROUND(_xlpm.q,1)&amp;" "&amp;_xlpm.ai_test)),""),""))))</f>
        <v>0</v>
      </c>
      <c r="BD324" s="801"/>
      <c r="BE324" s="799" t="str">
        <f t="shared" si="153"/>
        <v/>
      </c>
      <c r="BF324" s="800" t="str">
        <f t="shared" si="156"/>
        <v/>
      </c>
      <c r="BG324" s="802">
        <f t="shared" si="157"/>
        <v>0</v>
      </c>
      <c r="BH324" s="803" t="str">
        <f t="shared" si="158"/>
        <v/>
      </c>
      <c r="BI324" s="792"/>
      <c r="BJ324" s="804">
        <f t="shared" si="159"/>
        <v>0</v>
      </c>
      <c r="BK324" s="794" t="str">
        <f t="shared" si="154"/>
        <v/>
      </c>
      <c r="BL324" s="227" t="s">
        <v>21</v>
      </c>
      <c r="BM324" s="773">
        <f t="shared" si="144"/>
        <v>0</v>
      </c>
      <c r="BN324" s="774">
        <f t="shared" si="145"/>
        <v>0</v>
      </c>
      <c r="BO324"/>
      <c r="BX324"/>
      <c r="BY324"/>
      <c r="BZ324"/>
      <c r="CA324"/>
      <c r="CB324"/>
      <c r="CC324"/>
      <c r="CD324" s="781" t="str">
        <f t="shared" si="139"/>
        <v>►</v>
      </c>
      <c r="CE324" s="633"/>
      <c r="CF324" s="633"/>
      <c r="CG324" s="633"/>
      <c r="CH324" s="633"/>
      <c r="CI324" s="633"/>
      <c r="CJ324" s="633"/>
      <c r="CK324"/>
      <c r="CL324"/>
      <c r="CM324"/>
      <c r="CN324"/>
      <c r="CO324"/>
      <c r="CP324"/>
      <c r="CQ324"/>
      <c r="CR324" s="633"/>
      <c r="CS324"/>
      <c r="CT324"/>
      <c r="CU324"/>
      <c r="CV324"/>
      <c r="CW324"/>
      <c r="CX324"/>
      <c r="CY324"/>
      <c r="CZ324" s="633"/>
      <c r="DA324"/>
      <c r="DB324"/>
      <c r="DC324"/>
      <c r="DD324"/>
      <c r="DE324"/>
      <c r="DF324"/>
      <c r="DG324"/>
      <c r="DH324" s="633"/>
      <c r="DI324" s="3">
        <v>1</v>
      </c>
    </row>
    <row r="325" spans="2:113" s="627" customFormat="1" ht="21" customHeight="1">
      <c r="B325" s="2265" t="str" cm="1">
        <f t="array" ref="B325">SUMPRODUCT(--(D325:J325&lt;&gt;""), LEN(TRIM(SUBSTITUTE(D325:J325, CHAR(160), "")))) &amp; " Car."</f>
        <v>0 Car.</v>
      </c>
      <c r="C325" s="1376" t="str">
        <f>IF(ISBLANK(D325),"",LARGE(C13:C324,1)+1)</f>
        <v/>
      </c>
      <c r="D325" s="1833"/>
      <c r="E325" s="1810"/>
      <c r="F325" s="1810"/>
      <c r="G325" s="1810"/>
      <c r="H325" s="1810"/>
      <c r="I325" s="1810"/>
      <c r="J325" s="1810"/>
      <c r="K325" s="1810"/>
      <c r="L325" s="1811"/>
      <c r="M325" s="9"/>
      <c r="N325" s="103" t="str">
        <f t="shared" si="140"/>
        <v>►</v>
      </c>
      <c r="O325" s="1616"/>
      <c r="P325" s="9"/>
      <c r="Q325" s="103" t="s">
        <v>15</v>
      </c>
      <c r="R325" s="31"/>
      <c r="S325" s="32"/>
      <c r="T325" s="31"/>
      <c r="U325" s="33"/>
      <c r="V325" s="1804"/>
      <c r="W325" s="1805"/>
      <c r="X325" s="91"/>
      <c r="Y325" s="1806"/>
      <c r="Z325" s="1807"/>
      <c r="AA325" s="919"/>
      <c r="AB325" s="1813"/>
      <c r="AC325" s="1580"/>
      <c r="AD325" s="95"/>
      <c r="AE325" s="105"/>
      <c r="AF325" s="97"/>
      <c r="AG325" s="2080"/>
      <c r="AH325" s="2081"/>
      <c r="AI325" s="99"/>
      <c r="AJ325" s="1809"/>
      <c r="AK325" s="6120" t="str">
        <f t="shared" si="155"/>
        <v>►</v>
      </c>
      <c r="AL325" s="781" t="str">
        <f t="shared" si="143"/>
        <v>►</v>
      </c>
      <c r="AM325" s="5499" t="str">
        <f t="shared" si="146"/>
        <v/>
      </c>
      <c r="AN325" s="783" t="str">
        <f t="shared" si="147"/>
        <v/>
      </c>
      <c r="AO325" s="782" t="str">
        <f t="shared" si="148"/>
        <v/>
      </c>
      <c r="AP325" s="783" t="str">
        <f t="shared" si="149"/>
        <v/>
      </c>
      <c r="AQ325" s="2083" t="b">
        <f>AND(Q325="A",COUNTIF(BP16:BR63,TRIM(Z325))&gt;0)</f>
        <v>0</v>
      </c>
      <c r="AR325" s="797" t="str">
        <f>IF(AL325&lt;&gt;"A","",IFERROR(IFERROR(_xlfn.XLOOKUP(TRIM(SUBSTITUTE(Z325,CHAR(160)," ")),BP16:BP63,BS16:BS63),IFERROR(_xlfn.XLOOKUP(TRIM(SUBSTITUTE(Z325,CHAR(160)," ")),BQ16:BQ63,BS16:BS63),_xlfn.XLOOKUP(TRIM(SUBSTITUTE(Z325,CHAR(160)," ")),BR16:BR63,BS16:BS63)))*Y325*IF(ISBLANK(V325),1,V325),0))</f>
        <v/>
      </c>
      <c r="AS325" s="784" t="str">
        <f t="shared" si="138"/>
        <v/>
      </c>
      <c r="AT325" s="1315" t="str">
        <f t="shared" si="150"/>
        <v/>
      </c>
      <c r="AU325" s="785">
        <f t="shared" si="151"/>
        <v>0</v>
      </c>
      <c r="AV325" s="785">
        <f t="shared" si="152"/>
        <v>0</v>
      </c>
      <c r="AW325" s="786">
        <f>IF(AK325="A",AY10,0)</f>
        <v>0</v>
      </c>
      <c r="AX325" s="5495" t="str">
        <f>IF(IFERROR(SEARCH("Adresse PC",TRIM(W325)),0)&gt;0,"▼ receta siguiente",IF(AK325="A",IF(AZ10&lt;&gt;"",AZ10&amp;" - ou.or.o ❾ + or - &gt;",""),""))</f>
        <v/>
      </c>
      <c r="AY325" s="810"/>
      <c r="AZ325" s="810"/>
      <c r="BA325" s="788" t="str">
        <f t="shared" si="142"/>
        <v/>
      </c>
      <c r="BB325" s="789" t="str">
        <f>IF(AK325="A",IF(AQ325,IF(AND(AW325&lt;&gt;"",N(AW325)&gt;0),IFERROR(IFERROR(_xlfn.XLOOKUP(AP325,BP10:BP57,BT10:BT57),IFERROR(_xlfn.XLOOKUP(AP325,BQ10:BQ57,BT10:BT57),_xlfn.XLOOKUP(AP325,BR10:BR57,BT10:BT57,""))),""),""),""),"")</f>
        <v/>
      </c>
      <c r="BC325" s="811" cm="1">
        <f t="array" ref="BC325">IF(NOT(AQ325),0,IF(OR(BA325="",N(BA325)&lt;=0.000000001),"",IF(OR(AU325="",N(AU325)&lt;=0.000000001),0,IF(ISNUMBER(BA325),IFERROR(_xlfn.LET(_xlpm.ai_test,TRIM(AP325),_xlpm.r,IFERROR(_xlfn.XLOOKUP(_xlpm.ai_test,BP16:BP63,ROW(BP16:BP63),0,1),IFERROR(_xlfn.XLOOKUP(_xlpm.ai_test,BQ16:BQ63,ROW(BQ16:BQ63),0,1),_xlfn.XLOOKUP(_xlpm.ai_test,BR16:BR63,ROW(BR16:BR63),0,1))),_xlpm.p,_xlpm.r-MIN(ROW(BP16:BP63))+1,_xlpm.f,INDEX(BS16:BS63,_xlpm.p),_xlpm.u,INDEX(BT16:BT63,_xlpm.p),_xlpm.s,INDEX(BV16:BV63,_xlpm.p),_xlpm.q,N(BA325)/_xlpm.f,IF(_xlpm.q&gt;=_xlpm.s,ROUND(_xlpm.q,1)&amp;" "&amp;_xlpm.ai_test&amp;" = "&amp;ROUND(_xlpm.q*_xlpm.f,1)&amp;" "&amp;_xlpm.u,ROUND(_xlpm.q,1)&amp;" "&amp;_xlpm.ai_test)),""),""))))</f>
        <v>0</v>
      </c>
      <c r="BD325" s="801"/>
      <c r="BE325" s="788" t="str">
        <f t="shared" si="153"/>
        <v/>
      </c>
      <c r="BF325" s="789" t="str">
        <f t="shared" si="156"/>
        <v/>
      </c>
      <c r="BG325" s="790">
        <f t="shared" si="157"/>
        <v>0</v>
      </c>
      <c r="BH325" s="791" t="str">
        <f t="shared" si="158"/>
        <v/>
      </c>
      <c r="BI325" s="792"/>
      <c r="BJ325" s="793">
        <f t="shared" si="159"/>
        <v>0</v>
      </c>
      <c r="BK325" s="794" t="str">
        <f t="shared" si="154"/>
        <v/>
      </c>
      <c r="BL325" s="227" t="s">
        <v>21</v>
      </c>
      <c r="BM325" s="773">
        <f t="shared" si="144"/>
        <v>0</v>
      </c>
      <c r="BN325" s="774">
        <f t="shared" si="145"/>
        <v>0</v>
      </c>
      <c r="BO325"/>
      <c r="BX325"/>
      <c r="BY325"/>
      <c r="BZ325"/>
      <c r="CA325"/>
      <c r="CB325"/>
      <c r="CC325"/>
      <c r="CD325" s="781" t="str">
        <f t="shared" si="139"/>
        <v>►</v>
      </c>
      <c r="CE325" s="633"/>
      <c r="CF325" s="633"/>
      <c r="CG325" s="633"/>
      <c r="CH325" s="633"/>
      <c r="CI325" s="633"/>
      <c r="CJ325" s="633"/>
      <c r="CK325"/>
      <c r="CL325"/>
      <c r="CM325"/>
      <c r="CN325"/>
      <c r="CO325"/>
      <c r="CP325"/>
      <c r="CQ325"/>
      <c r="CR325" s="633"/>
      <c r="CS325"/>
      <c r="CT325"/>
      <c r="CU325"/>
      <c r="CV325"/>
      <c r="CW325"/>
      <c r="CX325"/>
      <c r="CY325"/>
      <c r="CZ325" s="633"/>
      <c r="DA325"/>
      <c r="DB325"/>
      <c r="DC325"/>
      <c r="DD325"/>
      <c r="DE325"/>
      <c r="DF325"/>
      <c r="DG325"/>
      <c r="DH325" s="633"/>
      <c r="DI325" s="3">
        <v>1</v>
      </c>
    </row>
    <row r="326" spans="2:113" s="627" customFormat="1" ht="21" customHeight="1">
      <c r="B326" s="2265" t="str" cm="1">
        <f t="array" ref="B326">SUMPRODUCT(--(D326:J326&lt;&gt;""), LEN(TRIM(SUBSTITUTE(D326:J326, CHAR(160), "")))) &amp; " Car."</f>
        <v>0 Car.</v>
      </c>
      <c r="C326" s="1376" t="str">
        <f>IF(ISBLANK(D326),"",LARGE(C13:C325,1)+1)</f>
        <v/>
      </c>
      <c r="D326" s="1833"/>
      <c r="E326" s="1810"/>
      <c r="F326" s="1810"/>
      <c r="G326" s="1810"/>
      <c r="H326" s="1810"/>
      <c r="I326" s="1810"/>
      <c r="J326" s="1810"/>
      <c r="K326" s="1810"/>
      <c r="L326" s="1811"/>
      <c r="M326" s="9"/>
      <c r="N326" s="103" t="str">
        <f t="shared" si="140"/>
        <v>►</v>
      </c>
      <c r="O326" s="1616"/>
      <c r="P326" s="9"/>
      <c r="Q326" s="103" t="s">
        <v>15</v>
      </c>
      <c r="R326" s="31"/>
      <c r="S326" s="32"/>
      <c r="T326" s="31"/>
      <c r="U326" s="33"/>
      <c r="V326" s="1804"/>
      <c r="W326" s="1805"/>
      <c r="X326" s="91"/>
      <c r="Y326" s="1806"/>
      <c r="Z326" s="1807"/>
      <c r="AA326" s="919"/>
      <c r="AB326" s="1813"/>
      <c r="AC326" s="1580"/>
      <c r="AD326" s="95"/>
      <c r="AE326" s="105"/>
      <c r="AF326" s="97"/>
      <c r="AG326" s="2080"/>
      <c r="AH326" s="2081"/>
      <c r="AI326" s="99"/>
      <c r="AJ326" s="1809"/>
      <c r="AK326" s="6120" t="str">
        <f t="shared" si="155"/>
        <v>►</v>
      </c>
      <c r="AL326" s="781" t="str">
        <f t="shared" si="143"/>
        <v>►</v>
      </c>
      <c r="AM326" s="5498" t="str">
        <f t="shared" si="146"/>
        <v/>
      </c>
      <c r="AN326" s="783" t="str">
        <f t="shared" si="147"/>
        <v/>
      </c>
      <c r="AO326" s="782" t="str">
        <f t="shared" si="148"/>
        <v/>
      </c>
      <c r="AP326" s="783" t="str">
        <f t="shared" si="149"/>
        <v/>
      </c>
      <c r="AQ326" s="2083" t="b">
        <f>AND(Q326="A",COUNTIF(BP16:BR63,TRIM(Z326))&gt;0)</f>
        <v>0</v>
      </c>
      <c r="AR326" s="797" t="str">
        <f>IF(AL326&lt;&gt;"A","",IFERROR(IFERROR(_xlfn.XLOOKUP(TRIM(SUBSTITUTE(Z326,CHAR(160)," ")),BP16:BP63,BS16:BS63),IFERROR(_xlfn.XLOOKUP(TRIM(SUBSTITUTE(Z326,CHAR(160)," ")),BQ16:BQ63,BS16:BS63),_xlfn.XLOOKUP(TRIM(SUBSTITUTE(Z326,CHAR(160)," ")),BR16:BR63,BS16:BS63)))*Y326*IF(ISBLANK(V326),1,V326),0))</f>
        <v/>
      </c>
      <c r="AS326" s="784" t="str">
        <f t="shared" si="138"/>
        <v/>
      </c>
      <c r="AT326" s="1315" t="str">
        <f t="shared" si="150"/>
        <v/>
      </c>
      <c r="AU326" s="785">
        <f t="shared" si="151"/>
        <v>0</v>
      </c>
      <c r="AV326" s="785">
        <f t="shared" si="152"/>
        <v>0</v>
      </c>
      <c r="AW326" s="798">
        <f>IF(AK326="A",AY10,0)</f>
        <v>0</v>
      </c>
      <c r="AX326" s="5496" t="str">
        <f>IF(IFERROR(SEARCH("Adresse PC",TRIM(W326)),0)&gt;0,"▼ receta siguiente",IF(AK326="A",IF(AZ10&lt;&gt;"",AZ10&amp;" - ou.or.o ❾ + or - &gt;",""),""))</f>
        <v/>
      </c>
      <c r="AY326" s="810"/>
      <c r="AZ326" s="810"/>
      <c r="BA326" s="799" t="str">
        <f t="shared" si="142"/>
        <v/>
      </c>
      <c r="BB326" s="800" t="str">
        <f>IF(AK326="A",IF(AQ326,IF(AND(AW326&lt;&gt;"",N(AW326)&gt;0),IFERROR(IFERROR(_xlfn.XLOOKUP(AP326,BP10:BP57,BT10:BT57),IFERROR(_xlfn.XLOOKUP(AP326,BQ10:BQ57,BT10:BT57),_xlfn.XLOOKUP(AP326,BR10:BR57,BT10:BT57,""))),""),""),""),"")</f>
        <v/>
      </c>
      <c r="BC326" s="813" cm="1">
        <f t="array" ref="BC326">IF(NOT(AQ326),0,IF(OR(BA326="",N(BA326)&lt;=0.000000001),"",IF(OR(AU326="",N(AU326)&lt;=0.000000001),0,IF(ISNUMBER(BA326),IFERROR(_xlfn.LET(_xlpm.ai_test,TRIM(AP326),_xlpm.r,IFERROR(_xlfn.XLOOKUP(_xlpm.ai_test,BP16:BP63,ROW(BP16:BP63),0,1),IFERROR(_xlfn.XLOOKUP(_xlpm.ai_test,BQ16:BQ63,ROW(BQ16:BQ63),0,1),_xlfn.XLOOKUP(_xlpm.ai_test,BR16:BR63,ROW(BR16:BR63),0,1))),_xlpm.p,_xlpm.r-MIN(ROW(BP16:BP63))+1,_xlpm.f,INDEX(BS16:BS63,_xlpm.p),_xlpm.u,INDEX(BT16:BT63,_xlpm.p),_xlpm.s,INDEX(BV16:BV63,_xlpm.p),_xlpm.q,N(BA326)/_xlpm.f,IF(_xlpm.q&gt;=_xlpm.s,ROUND(_xlpm.q,1)&amp;" "&amp;_xlpm.ai_test&amp;" = "&amp;ROUND(_xlpm.q*_xlpm.f,1)&amp;" "&amp;_xlpm.u,ROUND(_xlpm.q,1)&amp;" "&amp;_xlpm.ai_test)),""),""))))</f>
        <v>0</v>
      </c>
      <c r="BD326" s="801"/>
      <c r="BE326" s="799" t="str">
        <f t="shared" si="153"/>
        <v/>
      </c>
      <c r="BF326" s="800" t="str">
        <f t="shared" si="156"/>
        <v/>
      </c>
      <c r="BG326" s="802">
        <f t="shared" si="157"/>
        <v>0</v>
      </c>
      <c r="BH326" s="803" t="str">
        <f t="shared" si="158"/>
        <v/>
      </c>
      <c r="BI326" s="792"/>
      <c r="BJ326" s="804">
        <f t="shared" si="159"/>
        <v>0</v>
      </c>
      <c r="BK326" s="794" t="str">
        <f t="shared" si="154"/>
        <v/>
      </c>
      <c r="BL326" s="227" t="s">
        <v>21</v>
      </c>
      <c r="BM326" s="773">
        <f t="shared" si="144"/>
        <v>0</v>
      </c>
      <c r="BN326" s="774">
        <f t="shared" si="145"/>
        <v>0</v>
      </c>
      <c r="BO326"/>
      <c r="BX326"/>
      <c r="BY326"/>
      <c r="BZ326"/>
      <c r="CA326"/>
      <c r="CB326"/>
      <c r="CC326"/>
      <c r="CD326" s="781" t="str">
        <f t="shared" si="139"/>
        <v>►</v>
      </c>
      <c r="CE326" s="633"/>
      <c r="CF326" s="633"/>
      <c r="CG326" s="633"/>
      <c r="CH326" s="633"/>
      <c r="CI326" s="633"/>
      <c r="CJ326" s="633"/>
      <c r="CK326"/>
      <c r="CL326"/>
      <c r="CM326"/>
      <c r="CN326"/>
      <c r="CO326"/>
      <c r="CP326"/>
      <c r="CQ326"/>
      <c r="CR326" s="633"/>
      <c r="CS326"/>
      <c r="CT326"/>
      <c r="CU326"/>
      <c r="CV326"/>
      <c r="CW326"/>
      <c r="CX326"/>
      <c r="CY326"/>
      <c r="CZ326" s="633"/>
      <c r="DA326"/>
      <c r="DB326"/>
      <c r="DC326"/>
      <c r="DD326"/>
      <c r="DE326"/>
      <c r="DF326"/>
      <c r="DG326"/>
      <c r="DH326" s="633"/>
      <c r="DI326" s="3">
        <v>1</v>
      </c>
    </row>
    <row r="327" spans="2:113" s="627" customFormat="1" ht="21" customHeight="1">
      <c r="B327" s="2265" t="str" cm="1">
        <f t="array" ref="B327">SUMPRODUCT(--(D327:J327&lt;&gt;""), LEN(TRIM(SUBSTITUTE(D327:J327, CHAR(160), "")))) &amp; " Car."</f>
        <v>0 Car.</v>
      </c>
      <c r="C327" s="1376" t="str">
        <f>IF(ISBLANK(D327),"",LARGE(C13:C326,1)+1)</f>
        <v/>
      </c>
      <c r="D327" s="1833"/>
      <c r="E327" s="1810"/>
      <c r="F327" s="1810"/>
      <c r="G327" s="1810"/>
      <c r="H327" s="1810"/>
      <c r="I327" s="1810"/>
      <c r="J327" s="1810"/>
      <c r="K327" s="1810"/>
      <c r="L327" s="1811"/>
      <c r="M327" s="9"/>
      <c r="N327" s="103" t="str">
        <f t="shared" si="140"/>
        <v>►</v>
      </c>
      <c r="O327" s="1616"/>
      <c r="P327" s="9"/>
      <c r="Q327" s="103" t="s">
        <v>15</v>
      </c>
      <c r="R327" s="31"/>
      <c r="S327" s="32"/>
      <c r="T327" s="31"/>
      <c r="U327" s="33"/>
      <c r="V327" s="1804"/>
      <c r="W327" s="1805"/>
      <c r="X327" s="91"/>
      <c r="Y327" s="1806"/>
      <c r="Z327" s="1807"/>
      <c r="AA327" s="919"/>
      <c r="AB327" s="1813"/>
      <c r="AC327" s="1580"/>
      <c r="AD327" s="95"/>
      <c r="AE327" s="105"/>
      <c r="AF327" s="97"/>
      <c r="AG327" s="2080"/>
      <c r="AH327" s="2081"/>
      <c r="AI327" s="99"/>
      <c r="AJ327" s="1809"/>
      <c r="AK327" s="6120" t="str">
        <f t="shared" si="155"/>
        <v>►</v>
      </c>
      <c r="AL327" s="781" t="str">
        <f t="shared" si="143"/>
        <v>►</v>
      </c>
      <c r="AM327" s="5499" t="str">
        <f t="shared" si="146"/>
        <v/>
      </c>
      <c r="AN327" s="783" t="str">
        <f t="shared" si="147"/>
        <v/>
      </c>
      <c r="AO327" s="782" t="str">
        <f t="shared" si="148"/>
        <v/>
      </c>
      <c r="AP327" s="783" t="str">
        <f t="shared" si="149"/>
        <v/>
      </c>
      <c r="AQ327" s="2083" t="b">
        <f>AND(Q327="A",COUNTIF(BP16:BR63,TRIM(Z327))&gt;0)</f>
        <v>0</v>
      </c>
      <c r="AR327" s="797" t="str">
        <f>IF(AL327&lt;&gt;"A","",IFERROR(IFERROR(_xlfn.XLOOKUP(TRIM(SUBSTITUTE(Z327,CHAR(160)," ")),BP16:BP63,BS16:BS63),IFERROR(_xlfn.XLOOKUP(TRIM(SUBSTITUTE(Z327,CHAR(160)," ")),BQ16:BQ63,BS16:BS63),_xlfn.XLOOKUP(TRIM(SUBSTITUTE(Z327,CHAR(160)," ")),BR16:BR63,BS16:BS63)))*Y327*IF(ISBLANK(V327),1,V327),0))</f>
        <v/>
      </c>
      <c r="AS327" s="784" t="str">
        <f t="shared" ref="AS327:AS390" si="160">IF(AK327="A",IF(AND(AQ327,AR327&gt;0),"Kg",""),"")</f>
        <v/>
      </c>
      <c r="AT327" s="1315" t="str">
        <f t="shared" si="150"/>
        <v/>
      </c>
      <c r="AU327" s="785">
        <f t="shared" si="151"/>
        <v>0</v>
      </c>
      <c r="AV327" s="785">
        <f t="shared" si="152"/>
        <v>0</v>
      </c>
      <c r="AW327" s="786">
        <f>IF(AK327="A",AY10,0)</f>
        <v>0</v>
      </c>
      <c r="AX327" s="5495" t="str">
        <f>IF(IFERROR(SEARCH("Adresse PC",TRIM(W327)),0)&gt;0,"▼ receta siguiente",IF(AK327="A",IF(AZ10&lt;&gt;"",AZ10&amp;" - ou.or.o ❾ + or - &gt;",""),""))</f>
        <v/>
      </c>
      <c r="AY327" s="810"/>
      <c r="AZ327" s="810"/>
      <c r="BA327" s="788" t="str">
        <f t="shared" si="142"/>
        <v/>
      </c>
      <c r="BB327" s="789" t="str">
        <f>IF(AK327="A",IF(AQ327,IF(AND(AW327&lt;&gt;"",N(AW327)&gt;0),IFERROR(IFERROR(_xlfn.XLOOKUP(AP327,BP10:BP57,BT10:BT57),IFERROR(_xlfn.XLOOKUP(AP327,BQ10:BQ57,BT10:BT57),_xlfn.XLOOKUP(AP327,BR10:BR57,BT10:BT57,""))),""),""),""),"")</f>
        <v/>
      </c>
      <c r="BC327" s="811" cm="1">
        <f t="array" ref="BC327">IF(NOT(AQ327),0,IF(OR(BA327="",N(BA327)&lt;=0.000000001),"",IF(OR(AU327="",N(AU327)&lt;=0.000000001),0,IF(ISNUMBER(BA327),IFERROR(_xlfn.LET(_xlpm.ai_test,TRIM(AP327),_xlpm.r,IFERROR(_xlfn.XLOOKUP(_xlpm.ai_test,BP16:BP63,ROW(BP16:BP63),0,1),IFERROR(_xlfn.XLOOKUP(_xlpm.ai_test,BQ16:BQ63,ROW(BQ16:BQ63),0,1),_xlfn.XLOOKUP(_xlpm.ai_test,BR16:BR63,ROW(BR16:BR63),0,1))),_xlpm.p,_xlpm.r-MIN(ROW(BP16:BP63))+1,_xlpm.f,INDEX(BS16:BS63,_xlpm.p),_xlpm.u,INDEX(BT16:BT63,_xlpm.p),_xlpm.s,INDEX(BV16:BV63,_xlpm.p),_xlpm.q,N(BA327)/_xlpm.f,IF(_xlpm.q&gt;=_xlpm.s,ROUND(_xlpm.q,1)&amp;" "&amp;_xlpm.ai_test&amp;" = "&amp;ROUND(_xlpm.q*_xlpm.f,1)&amp;" "&amp;_xlpm.u,ROUND(_xlpm.q,1)&amp;" "&amp;_xlpm.ai_test)),""),""))))</f>
        <v>0</v>
      </c>
      <c r="BD327" s="801"/>
      <c r="BE327" s="788" t="str">
        <f t="shared" si="153"/>
        <v/>
      </c>
      <c r="BF327" s="789" t="str">
        <f t="shared" si="156"/>
        <v/>
      </c>
      <c r="BG327" s="790">
        <f t="shared" si="157"/>
        <v>0</v>
      </c>
      <c r="BH327" s="791" t="str">
        <f t="shared" si="158"/>
        <v/>
      </c>
      <c r="BI327" s="792"/>
      <c r="BJ327" s="793">
        <f t="shared" si="159"/>
        <v>0</v>
      </c>
      <c r="BK327" s="794" t="str">
        <f t="shared" si="154"/>
        <v/>
      </c>
      <c r="BL327" s="227" t="s">
        <v>21</v>
      </c>
      <c r="BM327" s="773">
        <f t="shared" si="144"/>
        <v>0</v>
      </c>
      <c r="BN327" s="774">
        <f t="shared" si="145"/>
        <v>0</v>
      </c>
      <c r="BO327"/>
      <c r="BX327"/>
      <c r="BY327"/>
      <c r="BZ327"/>
      <c r="CA327"/>
      <c r="CB327"/>
      <c r="CC327"/>
      <c r="CD327" s="781" t="str">
        <f t="shared" ref="CD327:CD390" si="161">AL327</f>
        <v>►</v>
      </c>
      <c r="CE327" s="633"/>
      <c r="CF327" s="633"/>
      <c r="CG327" s="633"/>
      <c r="CH327" s="633"/>
      <c r="CI327" s="633"/>
      <c r="CJ327" s="633"/>
      <c r="CK327"/>
      <c r="CL327"/>
      <c r="CM327"/>
      <c r="CN327"/>
      <c r="CO327"/>
      <c r="CP327"/>
      <c r="CQ327"/>
      <c r="CR327" s="633"/>
      <c r="CS327"/>
      <c r="CT327"/>
      <c r="CU327"/>
      <c r="CV327"/>
      <c r="CW327"/>
      <c r="CX327"/>
      <c r="CY327"/>
      <c r="CZ327" s="633"/>
      <c r="DA327"/>
      <c r="DB327"/>
      <c r="DC327"/>
      <c r="DD327"/>
      <c r="DE327"/>
      <c r="DF327"/>
      <c r="DG327"/>
      <c r="DH327" s="633"/>
      <c r="DI327" s="3">
        <v>1</v>
      </c>
    </row>
    <row r="328" spans="2:113" s="627" customFormat="1" ht="21" customHeight="1">
      <c r="B328" s="2265" t="str" cm="1">
        <f t="array" ref="B328">SUMPRODUCT(--(D328:J328&lt;&gt;""), LEN(TRIM(SUBSTITUTE(D328:J328, CHAR(160), "")))) &amp; " Car."</f>
        <v>0 Car.</v>
      </c>
      <c r="C328" s="1376" t="str">
        <f>IF(ISBLANK(D328),"",LARGE(C13:C327,1)+1)</f>
        <v/>
      </c>
      <c r="D328" s="1833"/>
      <c r="E328" s="1810"/>
      <c r="F328" s="1810"/>
      <c r="G328" s="1810"/>
      <c r="H328" s="1810"/>
      <c r="I328" s="1810"/>
      <c r="J328" s="1810"/>
      <c r="K328" s="1810"/>
      <c r="L328" s="1811"/>
      <c r="M328" s="9"/>
      <c r="N328" s="103" t="str">
        <f t="shared" si="140"/>
        <v>►</v>
      </c>
      <c r="O328" s="1616"/>
      <c r="P328" s="9"/>
      <c r="Q328" s="103" t="s">
        <v>15</v>
      </c>
      <c r="R328" s="31"/>
      <c r="S328" s="32"/>
      <c r="T328" s="31"/>
      <c r="U328" s="33"/>
      <c r="V328" s="1804"/>
      <c r="W328" s="1805"/>
      <c r="X328" s="91"/>
      <c r="Y328" s="1806"/>
      <c r="Z328" s="1807"/>
      <c r="AA328" s="919"/>
      <c r="AB328" s="1813"/>
      <c r="AC328" s="1580"/>
      <c r="AD328" s="95"/>
      <c r="AE328" s="105"/>
      <c r="AF328" s="97"/>
      <c r="AG328" s="2080"/>
      <c r="AH328" s="2081"/>
      <c r="AI328" s="99"/>
      <c r="AJ328" s="1809"/>
      <c r="AK328" s="6120" t="str">
        <f t="shared" si="155"/>
        <v>►</v>
      </c>
      <c r="AL328" s="781" t="str">
        <f t="shared" si="143"/>
        <v>►</v>
      </c>
      <c r="AM328" s="5498" t="str">
        <f t="shared" si="146"/>
        <v/>
      </c>
      <c r="AN328" s="783" t="str">
        <f t="shared" si="147"/>
        <v/>
      </c>
      <c r="AO328" s="782" t="str">
        <f t="shared" si="148"/>
        <v/>
      </c>
      <c r="AP328" s="783" t="str">
        <f t="shared" si="149"/>
        <v/>
      </c>
      <c r="AQ328" s="2083" t="b">
        <f>AND(Q328="A",COUNTIF(BP16:BR63,TRIM(Z328))&gt;0)</f>
        <v>0</v>
      </c>
      <c r="AR328" s="797" t="str">
        <f>IF(AL328&lt;&gt;"A","",IFERROR(IFERROR(_xlfn.XLOOKUP(TRIM(SUBSTITUTE(Z328,CHAR(160)," ")),BP16:BP63,BS16:BS63),IFERROR(_xlfn.XLOOKUP(TRIM(SUBSTITUTE(Z328,CHAR(160)," ")),BQ16:BQ63,BS16:BS63),_xlfn.XLOOKUP(TRIM(SUBSTITUTE(Z328,CHAR(160)," ")),BR16:BR63,BS16:BS63)))*Y328*IF(ISBLANK(V328),1,V328),0))</f>
        <v/>
      </c>
      <c r="AS328" s="784" t="str">
        <f t="shared" si="160"/>
        <v/>
      </c>
      <c r="AT328" s="1315" t="str">
        <f t="shared" si="150"/>
        <v/>
      </c>
      <c r="AU328" s="785">
        <f t="shared" si="151"/>
        <v>0</v>
      </c>
      <c r="AV328" s="785">
        <f t="shared" si="152"/>
        <v>0</v>
      </c>
      <c r="AW328" s="798">
        <f>IF(AK328="A",AY10,0)</f>
        <v>0</v>
      </c>
      <c r="AX328" s="5496" t="str">
        <f>IF(IFERROR(SEARCH("Adresse PC",TRIM(W328)),0)&gt;0,"▼ receta siguiente",IF(AK328="A",IF(AZ10&lt;&gt;"",AZ10&amp;" - ou.or.o ❾ + or - &gt;",""),""))</f>
        <v/>
      </c>
      <c r="AY328" s="810"/>
      <c r="AZ328" s="810"/>
      <c r="BA328" s="799" t="str">
        <f t="shared" si="142"/>
        <v/>
      </c>
      <c r="BB328" s="800" t="str">
        <f>IF(AK328="A",IF(AQ328,IF(AND(AW328&lt;&gt;"",N(AW328)&gt;0),IFERROR(IFERROR(_xlfn.XLOOKUP(AP328,BP10:BP57,BT10:BT57),IFERROR(_xlfn.XLOOKUP(AP328,BQ10:BQ57,BT10:BT57),_xlfn.XLOOKUP(AP328,BR10:BR57,BT10:BT57,""))),""),""),""),"")</f>
        <v/>
      </c>
      <c r="BC328" s="813" cm="1">
        <f t="array" ref="BC328">IF(NOT(AQ328),0,IF(OR(BA328="",N(BA328)&lt;=0.000000001),"",IF(OR(AU328="",N(AU328)&lt;=0.000000001),0,IF(ISNUMBER(BA328),IFERROR(_xlfn.LET(_xlpm.ai_test,TRIM(AP328),_xlpm.r,IFERROR(_xlfn.XLOOKUP(_xlpm.ai_test,BP16:BP63,ROW(BP16:BP63),0,1),IFERROR(_xlfn.XLOOKUP(_xlpm.ai_test,BQ16:BQ63,ROW(BQ16:BQ63),0,1),_xlfn.XLOOKUP(_xlpm.ai_test,BR16:BR63,ROW(BR16:BR63),0,1))),_xlpm.p,_xlpm.r-MIN(ROW(BP16:BP63))+1,_xlpm.f,INDEX(BS16:BS63,_xlpm.p),_xlpm.u,INDEX(BT16:BT63,_xlpm.p),_xlpm.s,INDEX(BV16:BV63,_xlpm.p),_xlpm.q,N(BA328)/_xlpm.f,IF(_xlpm.q&gt;=_xlpm.s,ROUND(_xlpm.q,1)&amp;" "&amp;_xlpm.ai_test&amp;" = "&amp;ROUND(_xlpm.q*_xlpm.f,1)&amp;" "&amp;_xlpm.u,ROUND(_xlpm.q,1)&amp;" "&amp;_xlpm.ai_test)),""),""))))</f>
        <v>0</v>
      </c>
      <c r="BD328" s="801"/>
      <c r="BE328" s="799" t="str">
        <f t="shared" si="153"/>
        <v/>
      </c>
      <c r="BF328" s="800" t="str">
        <f t="shared" si="156"/>
        <v/>
      </c>
      <c r="BG328" s="802">
        <f t="shared" si="157"/>
        <v>0</v>
      </c>
      <c r="BH328" s="803" t="str">
        <f t="shared" si="158"/>
        <v/>
      </c>
      <c r="BI328" s="792"/>
      <c r="BJ328" s="804">
        <f t="shared" si="159"/>
        <v>0</v>
      </c>
      <c r="BK328" s="794" t="str">
        <f t="shared" si="154"/>
        <v/>
      </c>
      <c r="BL328" s="227" t="s">
        <v>21</v>
      </c>
      <c r="BM328" s="773">
        <f t="shared" si="144"/>
        <v>0</v>
      </c>
      <c r="BN328" s="774">
        <f t="shared" si="145"/>
        <v>0</v>
      </c>
      <c r="BO328"/>
      <c r="BX328"/>
      <c r="BY328"/>
      <c r="BZ328"/>
      <c r="CA328"/>
      <c r="CB328"/>
      <c r="CC328"/>
      <c r="CD328" s="781" t="str">
        <f t="shared" si="161"/>
        <v>►</v>
      </c>
      <c r="CE328" s="633"/>
      <c r="CF328" s="633"/>
      <c r="CG328" s="633"/>
      <c r="CH328" s="633"/>
      <c r="CI328" s="633"/>
      <c r="CJ328" s="633"/>
      <c r="CK328"/>
      <c r="CL328"/>
      <c r="CM328"/>
      <c r="CN328"/>
      <c r="CO328"/>
      <c r="CP328"/>
      <c r="CQ328"/>
      <c r="CR328" s="633"/>
      <c r="CS328"/>
      <c r="CT328"/>
      <c r="CU328"/>
      <c r="CV328"/>
      <c r="CW328"/>
      <c r="CX328"/>
      <c r="CY328"/>
      <c r="CZ328" s="633"/>
      <c r="DA328"/>
      <c r="DB328"/>
      <c r="DC328"/>
      <c r="DD328"/>
      <c r="DE328"/>
      <c r="DF328"/>
      <c r="DG328"/>
      <c r="DH328" s="633"/>
      <c r="DI328" s="3">
        <v>1</v>
      </c>
    </row>
    <row r="329" spans="2:113" s="627" customFormat="1" ht="21" customHeight="1">
      <c r="B329" s="2265" t="str" cm="1">
        <f t="array" ref="B329">SUMPRODUCT(--(D329:J329&lt;&gt;""), LEN(TRIM(SUBSTITUTE(D329:J329, CHAR(160), "")))) &amp; " Car."</f>
        <v>0 Car.</v>
      </c>
      <c r="C329" s="1376" t="str">
        <f>IF(ISBLANK(D329),"",LARGE(C13:C328,1)+1)</f>
        <v/>
      </c>
      <c r="D329" s="1833"/>
      <c r="E329" s="1810"/>
      <c r="F329" s="1810"/>
      <c r="G329" s="1810"/>
      <c r="H329" s="1810"/>
      <c r="I329" s="1810"/>
      <c r="J329" s="1810"/>
      <c r="K329" s="1810"/>
      <c r="L329" s="1811"/>
      <c r="M329" s="9"/>
      <c r="N329" s="103" t="str">
        <f t="shared" si="140"/>
        <v>►</v>
      </c>
      <c r="O329" s="1616"/>
      <c r="P329" s="9"/>
      <c r="Q329" s="103" t="s">
        <v>15</v>
      </c>
      <c r="R329" s="31"/>
      <c r="S329" s="32"/>
      <c r="T329" s="31"/>
      <c r="U329" s="33"/>
      <c r="V329" s="1804"/>
      <c r="W329" s="1805"/>
      <c r="X329" s="91"/>
      <c r="Y329" s="1806"/>
      <c r="Z329" s="1807"/>
      <c r="AA329" s="919"/>
      <c r="AB329" s="1813"/>
      <c r="AC329" s="1580"/>
      <c r="AD329" s="95"/>
      <c r="AE329" s="105"/>
      <c r="AF329" s="97"/>
      <c r="AG329" s="2080"/>
      <c r="AH329" s="2081"/>
      <c r="AI329" s="99"/>
      <c r="AJ329" s="1809"/>
      <c r="AK329" s="6120" t="str">
        <f t="shared" si="155"/>
        <v>►</v>
      </c>
      <c r="AL329" s="781" t="str">
        <f t="shared" si="143"/>
        <v>►</v>
      </c>
      <c r="AM329" s="5499" t="str">
        <f t="shared" si="146"/>
        <v/>
      </c>
      <c r="AN329" s="783" t="str">
        <f t="shared" si="147"/>
        <v/>
      </c>
      <c r="AO329" s="782" t="str">
        <f t="shared" si="148"/>
        <v/>
      </c>
      <c r="AP329" s="783" t="str">
        <f t="shared" si="149"/>
        <v/>
      </c>
      <c r="AQ329" s="2083" t="b">
        <f>AND(Q329="A",COUNTIF(BP16:BR63,TRIM(Z329))&gt;0)</f>
        <v>0</v>
      </c>
      <c r="AR329" s="797" t="str">
        <f>IF(AL329&lt;&gt;"A","",IFERROR(IFERROR(_xlfn.XLOOKUP(TRIM(SUBSTITUTE(Z329,CHAR(160)," ")),BP16:BP63,BS16:BS63),IFERROR(_xlfn.XLOOKUP(TRIM(SUBSTITUTE(Z329,CHAR(160)," ")),BQ16:BQ63,BS16:BS63),_xlfn.XLOOKUP(TRIM(SUBSTITUTE(Z329,CHAR(160)," ")),BR16:BR63,BS16:BS63)))*Y329*IF(ISBLANK(V329),1,V329),0))</f>
        <v/>
      </c>
      <c r="AS329" s="784" t="str">
        <f t="shared" si="160"/>
        <v/>
      </c>
      <c r="AT329" s="1315" t="str">
        <f t="shared" si="150"/>
        <v/>
      </c>
      <c r="AU329" s="785">
        <f t="shared" si="151"/>
        <v>0</v>
      </c>
      <c r="AV329" s="785">
        <f t="shared" si="152"/>
        <v>0</v>
      </c>
      <c r="AW329" s="786">
        <f>IF(AK329="A",AY10,0)</f>
        <v>0</v>
      </c>
      <c r="AX329" s="5495" t="str">
        <f>IF(IFERROR(SEARCH("Adresse PC",TRIM(W329)),0)&gt;0,"▼ receta siguiente",IF(AK329="A",IF(AZ10&lt;&gt;"",AZ10&amp;" - ou.or.o ❾ + or - &gt;",""),""))</f>
        <v/>
      </c>
      <c r="AY329" s="810"/>
      <c r="AZ329" s="810"/>
      <c r="BA329" s="788" t="str">
        <f t="shared" si="142"/>
        <v/>
      </c>
      <c r="BB329" s="789" t="str">
        <f>IF(AK329="A",IF(AQ329,IF(AND(AW329&lt;&gt;"",N(AW329)&gt;0),IFERROR(IFERROR(_xlfn.XLOOKUP(AP329,BP10:BP57,BT10:BT57),IFERROR(_xlfn.XLOOKUP(AP329,BQ10:BQ57,BT10:BT57),_xlfn.XLOOKUP(AP329,BR10:BR57,BT10:BT57,""))),""),""),""),"")</f>
        <v/>
      </c>
      <c r="BC329" s="811" cm="1">
        <f t="array" ref="BC329">IF(NOT(AQ329),0,IF(OR(BA329="",N(BA329)&lt;=0.000000001),"",IF(OR(AU329="",N(AU329)&lt;=0.000000001),0,IF(ISNUMBER(BA329),IFERROR(_xlfn.LET(_xlpm.ai_test,TRIM(AP329),_xlpm.r,IFERROR(_xlfn.XLOOKUP(_xlpm.ai_test,BP16:BP63,ROW(BP16:BP63),0,1),IFERROR(_xlfn.XLOOKUP(_xlpm.ai_test,BQ16:BQ63,ROW(BQ16:BQ63),0,1),_xlfn.XLOOKUP(_xlpm.ai_test,BR16:BR63,ROW(BR16:BR63),0,1))),_xlpm.p,_xlpm.r-MIN(ROW(BP16:BP63))+1,_xlpm.f,INDEX(BS16:BS63,_xlpm.p),_xlpm.u,INDEX(BT16:BT63,_xlpm.p),_xlpm.s,INDEX(BV16:BV63,_xlpm.p),_xlpm.q,N(BA329)/_xlpm.f,IF(_xlpm.q&gt;=_xlpm.s,ROUND(_xlpm.q,1)&amp;" "&amp;_xlpm.ai_test&amp;" = "&amp;ROUND(_xlpm.q*_xlpm.f,1)&amp;" "&amp;_xlpm.u,ROUND(_xlpm.q,1)&amp;" "&amp;_xlpm.ai_test)),""),""))))</f>
        <v>0</v>
      </c>
      <c r="BD329" s="801"/>
      <c r="BE329" s="788" t="str">
        <f t="shared" si="153"/>
        <v/>
      </c>
      <c r="BF329" s="789" t="str">
        <f t="shared" si="156"/>
        <v/>
      </c>
      <c r="BG329" s="790">
        <f t="shared" si="157"/>
        <v>0</v>
      </c>
      <c r="BH329" s="791" t="str">
        <f t="shared" si="158"/>
        <v/>
      </c>
      <c r="BI329" s="792"/>
      <c r="BJ329" s="793">
        <f t="shared" si="159"/>
        <v>0</v>
      </c>
      <c r="BK329" s="794" t="str">
        <f t="shared" si="154"/>
        <v/>
      </c>
      <c r="BL329" s="227" t="s">
        <v>21</v>
      </c>
      <c r="BM329" s="773">
        <f t="shared" si="144"/>
        <v>0</v>
      </c>
      <c r="BN329" s="774">
        <f t="shared" si="145"/>
        <v>0</v>
      </c>
      <c r="BO329"/>
      <c r="BX329"/>
      <c r="BY329"/>
      <c r="BZ329"/>
      <c r="CA329"/>
      <c r="CB329"/>
      <c r="CC329"/>
      <c r="CD329" s="781" t="str">
        <f t="shared" si="161"/>
        <v>►</v>
      </c>
      <c r="CE329" s="633"/>
      <c r="CF329" s="633"/>
      <c r="CG329" s="633"/>
      <c r="CH329" s="633"/>
      <c r="CI329" s="633"/>
      <c r="CJ329" s="633"/>
      <c r="CK329"/>
      <c r="CL329"/>
      <c r="CM329"/>
      <c r="CN329"/>
      <c r="CO329"/>
      <c r="CP329"/>
      <c r="CQ329"/>
      <c r="CR329" s="633"/>
      <c r="CS329"/>
      <c r="CT329"/>
      <c r="CU329"/>
      <c r="CV329"/>
      <c r="CW329"/>
      <c r="CX329"/>
      <c r="CY329"/>
      <c r="CZ329" s="633"/>
      <c r="DA329"/>
      <c r="DB329"/>
      <c r="DC329"/>
      <c r="DD329"/>
      <c r="DE329"/>
      <c r="DF329"/>
      <c r="DG329"/>
      <c r="DH329" s="633"/>
      <c r="DI329" s="3">
        <v>1</v>
      </c>
    </row>
    <row r="330" spans="2:113" s="627" customFormat="1" ht="21" customHeight="1">
      <c r="B330" s="2265" t="str" cm="1">
        <f t="array" ref="B330">SUMPRODUCT(--(D330:J330&lt;&gt;""), LEN(TRIM(SUBSTITUTE(D330:J330, CHAR(160), "")))) &amp; " Car."</f>
        <v>0 Car.</v>
      </c>
      <c r="C330" s="1376" t="str">
        <f>IF(ISBLANK(D330),"",LARGE(C13:C329,1)+1)</f>
        <v/>
      </c>
      <c r="D330" s="1833"/>
      <c r="E330" s="1810"/>
      <c r="F330" s="1810"/>
      <c r="G330" s="1810"/>
      <c r="H330" s="1810"/>
      <c r="I330" s="1810"/>
      <c r="J330" s="1810"/>
      <c r="K330" s="1810"/>
      <c r="L330" s="1811"/>
      <c r="M330" s="9"/>
      <c r="N330" s="103" t="str">
        <f t="shared" si="140"/>
        <v>►</v>
      </c>
      <c r="O330" s="1616"/>
      <c r="P330" s="9"/>
      <c r="Q330" s="103" t="s">
        <v>15</v>
      </c>
      <c r="R330" s="31"/>
      <c r="S330" s="32"/>
      <c r="T330" s="31"/>
      <c r="U330" s="33"/>
      <c r="V330" s="1804"/>
      <c r="W330" s="1805"/>
      <c r="X330" s="91"/>
      <c r="Y330" s="1806"/>
      <c r="Z330" s="1807"/>
      <c r="AA330" s="919"/>
      <c r="AB330" s="1813"/>
      <c r="AC330" s="1580"/>
      <c r="AD330" s="95"/>
      <c r="AE330" s="105"/>
      <c r="AF330" s="97"/>
      <c r="AG330" s="2080"/>
      <c r="AH330" s="2081"/>
      <c r="AI330" s="99"/>
      <c r="AJ330" s="1809"/>
      <c r="AK330" s="6120" t="str">
        <f t="shared" si="155"/>
        <v>►</v>
      </c>
      <c r="AL330" s="781" t="str">
        <f t="shared" si="143"/>
        <v>►</v>
      </c>
      <c r="AM330" s="5498" t="str">
        <f t="shared" si="146"/>
        <v/>
      </c>
      <c r="AN330" s="783" t="str">
        <f t="shared" si="147"/>
        <v/>
      </c>
      <c r="AO330" s="782" t="str">
        <f t="shared" si="148"/>
        <v/>
      </c>
      <c r="AP330" s="783" t="str">
        <f t="shared" si="149"/>
        <v/>
      </c>
      <c r="AQ330" s="2083" t="b">
        <f>AND(Q330="A",COUNTIF(BP16:BR63,TRIM(Z330))&gt;0)</f>
        <v>0</v>
      </c>
      <c r="AR330" s="797" t="str">
        <f>IF(AL330&lt;&gt;"A","",IFERROR(IFERROR(_xlfn.XLOOKUP(TRIM(SUBSTITUTE(Z330,CHAR(160)," ")),BP16:BP63,BS16:BS63),IFERROR(_xlfn.XLOOKUP(TRIM(SUBSTITUTE(Z330,CHAR(160)," ")),BQ16:BQ63,BS16:BS63),_xlfn.XLOOKUP(TRIM(SUBSTITUTE(Z330,CHAR(160)," ")),BR16:BR63,BS16:BS63)))*Y330*IF(ISBLANK(V330),1,V330),0))</f>
        <v/>
      </c>
      <c r="AS330" s="784" t="str">
        <f t="shared" si="160"/>
        <v/>
      </c>
      <c r="AT330" s="1315" t="str">
        <f t="shared" si="150"/>
        <v/>
      </c>
      <c r="AU330" s="785">
        <f t="shared" si="151"/>
        <v>0</v>
      </c>
      <c r="AV330" s="785">
        <f t="shared" si="152"/>
        <v>0</v>
      </c>
      <c r="AW330" s="798">
        <f>IF(AK330="A",AY10,0)</f>
        <v>0</v>
      </c>
      <c r="AX330" s="5496" t="str">
        <f>IF(IFERROR(SEARCH("Adresse PC",TRIM(W330)),0)&gt;0,"▼ receta siguiente",IF(AK330="A",IF(AZ10&lt;&gt;"",AZ10&amp;" - ou.or.o ❾ + or - &gt;",""),""))</f>
        <v/>
      </c>
      <c r="AY330" s="810"/>
      <c r="AZ330" s="810"/>
      <c r="BA330" s="799" t="str">
        <f t="shared" si="142"/>
        <v/>
      </c>
      <c r="BB330" s="800" t="str">
        <f>IF(AK330="A",IF(AQ330,IF(AND(AW330&lt;&gt;"",N(AW330)&gt;0),IFERROR(IFERROR(_xlfn.XLOOKUP(AP330,BP10:BP57,BT10:BT57),IFERROR(_xlfn.XLOOKUP(AP330,BQ10:BQ57,BT10:BT57),_xlfn.XLOOKUP(AP330,BR10:BR57,BT10:BT57,""))),""),""),""),"")</f>
        <v/>
      </c>
      <c r="BC330" s="813" cm="1">
        <f t="array" ref="BC330">IF(NOT(AQ330),0,IF(OR(BA330="",N(BA330)&lt;=0.000000001),"",IF(OR(AU330="",N(AU330)&lt;=0.000000001),0,IF(ISNUMBER(BA330),IFERROR(_xlfn.LET(_xlpm.ai_test,TRIM(AP330),_xlpm.r,IFERROR(_xlfn.XLOOKUP(_xlpm.ai_test,BP16:BP63,ROW(BP16:BP63),0,1),IFERROR(_xlfn.XLOOKUP(_xlpm.ai_test,BQ16:BQ63,ROW(BQ16:BQ63),0,1),_xlfn.XLOOKUP(_xlpm.ai_test,BR16:BR63,ROW(BR16:BR63),0,1))),_xlpm.p,_xlpm.r-MIN(ROW(BP16:BP63))+1,_xlpm.f,INDEX(BS16:BS63,_xlpm.p),_xlpm.u,INDEX(BT16:BT63,_xlpm.p),_xlpm.s,INDEX(BV16:BV63,_xlpm.p),_xlpm.q,N(BA330)/_xlpm.f,IF(_xlpm.q&gt;=_xlpm.s,ROUND(_xlpm.q,1)&amp;" "&amp;_xlpm.ai_test&amp;" = "&amp;ROUND(_xlpm.q*_xlpm.f,1)&amp;" "&amp;_xlpm.u,ROUND(_xlpm.q,1)&amp;" "&amp;_xlpm.ai_test)),""),""))))</f>
        <v>0</v>
      </c>
      <c r="BD330" s="801"/>
      <c r="BE330" s="799" t="str">
        <f t="shared" si="153"/>
        <v/>
      </c>
      <c r="BF330" s="800" t="str">
        <f t="shared" si="156"/>
        <v/>
      </c>
      <c r="BG330" s="802">
        <f t="shared" si="157"/>
        <v>0</v>
      </c>
      <c r="BH330" s="803" t="str">
        <f t="shared" si="158"/>
        <v/>
      </c>
      <c r="BI330" s="792"/>
      <c r="BJ330" s="804">
        <f t="shared" si="159"/>
        <v>0</v>
      </c>
      <c r="BK330" s="794" t="str">
        <f t="shared" si="154"/>
        <v/>
      </c>
      <c r="BL330" s="227" t="s">
        <v>21</v>
      </c>
      <c r="BM330" s="773">
        <f t="shared" si="144"/>
        <v>0</v>
      </c>
      <c r="BN330" s="774">
        <f t="shared" si="145"/>
        <v>0</v>
      </c>
      <c r="BO330"/>
      <c r="BX330"/>
      <c r="BY330"/>
      <c r="BZ330"/>
      <c r="CA330"/>
      <c r="CB330"/>
      <c r="CC330"/>
      <c r="CD330" s="781" t="str">
        <f t="shared" si="161"/>
        <v>►</v>
      </c>
      <c r="CE330" s="633"/>
      <c r="CF330" s="633"/>
      <c r="CG330" s="633"/>
      <c r="CH330" s="633"/>
      <c r="CI330" s="633"/>
      <c r="CJ330" s="633"/>
      <c r="CK330"/>
      <c r="CL330"/>
      <c r="CM330"/>
      <c r="CN330"/>
      <c r="CO330"/>
      <c r="CP330"/>
      <c r="CQ330"/>
      <c r="CR330" s="633"/>
      <c r="CS330"/>
      <c r="CT330"/>
      <c r="CU330"/>
      <c r="CV330"/>
      <c r="CW330"/>
      <c r="CX330"/>
      <c r="CY330"/>
      <c r="CZ330" s="633"/>
      <c r="DA330"/>
      <c r="DB330"/>
      <c r="DC330"/>
      <c r="DD330"/>
      <c r="DE330"/>
      <c r="DF330"/>
      <c r="DG330"/>
      <c r="DH330" s="633"/>
      <c r="DI330" s="3">
        <v>1</v>
      </c>
    </row>
    <row r="331" spans="2:113" s="627" customFormat="1" ht="21" customHeight="1">
      <c r="B331" s="2265" t="str" cm="1">
        <f t="array" ref="B331">SUMPRODUCT(--(D331:J331&lt;&gt;""), LEN(TRIM(SUBSTITUTE(D331:J331, CHAR(160), "")))) &amp; " Car."</f>
        <v>0 Car.</v>
      </c>
      <c r="C331" s="1376" t="str">
        <f>IF(ISBLANK(D331),"",LARGE(C13:C330,1)+1)</f>
        <v/>
      </c>
      <c r="D331" s="1833"/>
      <c r="E331" s="1810"/>
      <c r="F331" s="1810"/>
      <c r="G331" s="1810"/>
      <c r="H331" s="1810"/>
      <c r="I331" s="1810"/>
      <c r="J331" s="1810"/>
      <c r="K331" s="1810"/>
      <c r="L331" s="1811"/>
      <c r="M331" s="9"/>
      <c r="N331" s="103" t="str">
        <f t="shared" si="140"/>
        <v>►</v>
      </c>
      <c r="O331" s="1616"/>
      <c r="P331" s="9"/>
      <c r="Q331" s="103" t="s">
        <v>15</v>
      </c>
      <c r="R331" s="31"/>
      <c r="S331" s="32"/>
      <c r="T331" s="31"/>
      <c r="U331" s="33"/>
      <c r="V331" s="1804"/>
      <c r="W331" s="1805"/>
      <c r="X331" s="91"/>
      <c r="Y331" s="1806"/>
      <c r="Z331" s="1807"/>
      <c r="AA331" s="919"/>
      <c r="AB331" s="1813"/>
      <c r="AC331" s="1580"/>
      <c r="AD331" s="95"/>
      <c r="AE331" s="105"/>
      <c r="AF331" s="97"/>
      <c r="AG331" s="2080"/>
      <c r="AH331" s="2081"/>
      <c r="AI331" s="99"/>
      <c r="AJ331" s="1809"/>
      <c r="AK331" s="6120" t="str">
        <f t="shared" si="155"/>
        <v>►</v>
      </c>
      <c r="AL331" s="781" t="str">
        <f t="shared" si="143"/>
        <v>►</v>
      </c>
      <c r="AM331" s="5499" t="str">
        <f t="shared" si="146"/>
        <v/>
      </c>
      <c r="AN331" s="783" t="str">
        <f t="shared" si="147"/>
        <v/>
      </c>
      <c r="AO331" s="782" t="str">
        <f t="shared" si="148"/>
        <v/>
      </c>
      <c r="AP331" s="783" t="str">
        <f t="shared" si="149"/>
        <v/>
      </c>
      <c r="AQ331" s="2083" t="b">
        <f>AND(Q331="A",COUNTIF(BP16:BR63,TRIM(Z331))&gt;0)</f>
        <v>0</v>
      </c>
      <c r="AR331" s="797" t="str">
        <f>IF(AL331&lt;&gt;"A","",IFERROR(IFERROR(_xlfn.XLOOKUP(TRIM(SUBSTITUTE(Z331,CHAR(160)," ")),BP16:BP63,BS16:BS63),IFERROR(_xlfn.XLOOKUP(TRIM(SUBSTITUTE(Z331,CHAR(160)," ")),BQ16:BQ63,BS16:BS63),_xlfn.XLOOKUP(TRIM(SUBSTITUTE(Z331,CHAR(160)," ")),BR16:BR63,BS16:BS63)))*Y331*IF(ISBLANK(V331),1,V331),0))</f>
        <v/>
      </c>
      <c r="AS331" s="784" t="str">
        <f t="shared" si="160"/>
        <v/>
      </c>
      <c r="AT331" s="1315" t="str">
        <f t="shared" si="150"/>
        <v/>
      </c>
      <c r="AU331" s="785">
        <f t="shared" si="151"/>
        <v>0</v>
      </c>
      <c r="AV331" s="785">
        <f t="shared" si="152"/>
        <v>0</v>
      </c>
      <c r="AW331" s="786">
        <f>IF(AK331="A",AY10,0)</f>
        <v>0</v>
      </c>
      <c r="AX331" s="5495" t="str">
        <f>IF(IFERROR(SEARCH("Adresse PC",TRIM(W331)),0)&gt;0,"▼ receta siguiente",IF(AK331="A",IF(AZ10&lt;&gt;"",AZ10&amp;" - ou.or.o ❾ + or - &gt;",""),""))</f>
        <v/>
      </c>
      <c r="AY331" s="810"/>
      <c r="AZ331" s="810"/>
      <c r="BA331" s="788" t="str">
        <f t="shared" si="142"/>
        <v/>
      </c>
      <c r="BB331" s="789" t="str">
        <f>IF(AK331="A",IF(AQ331,IF(AND(AW331&lt;&gt;"",N(AW331)&gt;0),IFERROR(IFERROR(_xlfn.XLOOKUP(AP331,BP10:BP57,BT10:BT57),IFERROR(_xlfn.XLOOKUP(AP331,BQ10:BQ57,BT10:BT57),_xlfn.XLOOKUP(AP331,BR10:BR57,BT10:BT57,""))),""),""),""),"")</f>
        <v/>
      </c>
      <c r="BC331" s="811" cm="1">
        <f t="array" ref="BC331">IF(NOT(AQ331),0,IF(OR(BA331="",N(BA331)&lt;=0.000000001),"",IF(OR(AU331="",N(AU331)&lt;=0.000000001),0,IF(ISNUMBER(BA331),IFERROR(_xlfn.LET(_xlpm.ai_test,TRIM(AP331),_xlpm.r,IFERROR(_xlfn.XLOOKUP(_xlpm.ai_test,BP16:BP63,ROW(BP16:BP63),0,1),IFERROR(_xlfn.XLOOKUP(_xlpm.ai_test,BQ16:BQ63,ROW(BQ16:BQ63),0,1),_xlfn.XLOOKUP(_xlpm.ai_test,BR16:BR63,ROW(BR16:BR63),0,1))),_xlpm.p,_xlpm.r-MIN(ROW(BP16:BP63))+1,_xlpm.f,INDEX(BS16:BS63,_xlpm.p),_xlpm.u,INDEX(BT16:BT63,_xlpm.p),_xlpm.s,INDEX(BV16:BV63,_xlpm.p),_xlpm.q,N(BA331)/_xlpm.f,IF(_xlpm.q&gt;=_xlpm.s,ROUND(_xlpm.q,1)&amp;" "&amp;_xlpm.ai_test&amp;" = "&amp;ROUND(_xlpm.q*_xlpm.f,1)&amp;" "&amp;_xlpm.u,ROUND(_xlpm.q,1)&amp;" "&amp;_xlpm.ai_test)),""),""))))</f>
        <v>0</v>
      </c>
      <c r="BD331" s="801"/>
      <c r="BE331" s="788" t="str">
        <f t="shared" si="153"/>
        <v/>
      </c>
      <c r="BF331" s="789" t="str">
        <f t="shared" si="156"/>
        <v/>
      </c>
      <c r="BG331" s="790">
        <f t="shared" si="157"/>
        <v>0</v>
      </c>
      <c r="BH331" s="791" t="str">
        <f t="shared" si="158"/>
        <v/>
      </c>
      <c r="BI331" s="792"/>
      <c r="BJ331" s="793">
        <f t="shared" si="159"/>
        <v>0</v>
      </c>
      <c r="BK331" s="794" t="str">
        <f t="shared" si="154"/>
        <v/>
      </c>
      <c r="BL331" s="227" t="s">
        <v>21</v>
      </c>
      <c r="BM331" s="773">
        <f t="shared" si="144"/>
        <v>0</v>
      </c>
      <c r="BN331" s="774">
        <f t="shared" si="145"/>
        <v>0</v>
      </c>
      <c r="BO331"/>
      <c r="BX331"/>
      <c r="BY331"/>
      <c r="BZ331"/>
      <c r="CA331"/>
      <c r="CB331"/>
      <c r="CC331"/>
      <c r="CD331" s="781" t="str">
        <f t="shared" si="161"/>
        <v>►</v>
      </c>
      <c r="CE331" s="633"/>
      <c r="CF331" s="633"/>
      <c r="CG331" s="633"/>
      <c r="CH331" s="633"/>
      <c r="CI331" s="633"/>
      <c r="CJ331" s="633"/>
      <c r="CK331"/>
      <c r="CL331"/>
      <c r="CM331"/>
      <c r="CN331"/>
      <c r="CO331"/>
      <c r="CP331"/>
      <c r="CQ331"/>
      <c r="CR331" s="633"/>
      <c r="CS331"/>
      <c r="CT331"/>
      <c r="CU331"/>
      <c r="CV331"/>
      <c r="CW331"/>
      <c r="CX331"/>
      <c r="CY331"/>
      <c r="CZ331" s="633"/>
      <c r="DA331"/>
      <c r="DB331"/>
      <c r="DC331"/>
      <c r="DD331"/>
      <c r="DE331"/>
      <c r="DF331"/>
      <c r="DG331"/>
      <c r="DH331" s="633"/>
      <c r="DI331" s="3">
        <v>1</v>
      </c>
    </row>
    <row r="332" spans="2:113" s="627" customFormat="1" ht="21" customHeight="1">
      <c r="B332" s="2265" t="str" cm="1">
        <f t="array" ref="B332">SUMPRODUCT(--(D332:J332&lt;&gt;""), LEN(TRIM(SUBSTITUTE(D332:J332, CHAR(160), "")))) &amp; " Car."</f>
        <v>0 Car.</v>
      </c>
      <c r="C332" s="1376" t="str">
        <f>IF(ISBLANK(D332),"",LARGE(C13:C331,1)+1)</f>
        <v/>
      </c>
      <c r="D332" s="1833"/>
      <c r="E332" s="1810"/>
      <c r="F332" s="1810"/>
      <c r="G332" s="1810"/>
      <c r="H332" s="1810"/>
      <c r="I332" s="1810"/>
      <c r="J332" s="1810"/>
      <c r="K332" s="1810"/>
      <c r="L332" s="1811"/>
      <c r="M332" s="9"/>
      <c r="N332" s="103" t="str">
        <f t="shared" si="140"/>
        <v>►</v>
      </c>
      <c r="O332" s="1616"/>
      <c r="P332" s="9"/>
      <c r="Q332" s="103" t="s">
        <v>15</v>
      </c>
      <c r="R332" s="31"/>
      <c r="S332" s="32"/>
      <c r="T332" s="31"/>
      <c r="U332" s="33"/>
      <c r="V332" s="1804"/>
      <c r="W332" s="1805"/>
      <c r="X332" s="91"/>
      <c r="Y332" s="1806"/>
      <c r="Z332" s="1807"/>
      <c r="AA332" s="919"/>
      <c r="AB332" s="1813"/>
      <c r="AC332" s="1580"/>
      <c r="AD332" s="95"/>
      <c r="AE332" s="105"/>
      <c r="AF332" s="97"/>
      <c r="AG332" s="2080"/>
      <c r="AH332" s="2081"/>
      <c r="AI332" s="99"/>
      <c r="AJ332" s="1809"/>
      <c r="AK332" s="6120" t="str">
        <f t="shared" si="155"/>
        <v>►</v>
      </c>
      <c r="AL332" s="781" t="str">
        <f t="shared" si="143"/>
        <v>►</v>
      </c>
      <c r="AM332" s="5498" t="str">
        <f t="shared" si="146"/>
        <v/>
      </c>
      <c r="AN332" s="783" t="str">
        <f t="shared" si="147"/>
        <v/>
      </c>
      <c r="AO332" s="782" t="str">
        <f t="shared" si="148"/>
        <v/>
      </c>
      <c r="AP332" s="783" t="str">
        <f t="shared" si="149"/>
        <v/>
      </c>
      <c r="AQ332" s="2083" t="b">
        <f>AND(Q332="A",COUNTIF(BP16:BR63,TRIM(Z332))&gt;0)</f>
        <v>0</v>
      </c>
      <c r="AR332" s="797" t="str">
        <f>IF(AL332&lt;&gt;"A","",IFERROR(IFERROR(_xlfn.XLOOKUP(TRIM(SUBSTITUTE(Z332,CHAR(160)," ")),BP16:BP63,BS16:BS63),IFERROR(_xlfn.XLOOKUP(TRIM(SUBSTITUTE(Z332,CHAR(160)," ")),BQ16:BQ63,BS16:BS63),_xlfn.XLOOKUP(TRIM(SUBSTITUTE(Z332,CHAR(160)," ")),BR16:BR63,BS16:BS63)))*Y332*IF(ISBLANK(V332),1,V332),0))</f>
        <v/>
      </c>
      <c r="AS332" s="784" t="str">
        <f t="shared" si="160"/>
        <v/>
      </c>
      <c r="AT332" s="1315" t="str">
        <f t="shared" si="150"/>
        <v/>
      </c>
      <c r="AU332" s="785">
        <f t="shared" si="151"/>
        <v>0</v>
      </c>
      <c r="AV332" s="785">
        <f t="shared" si="152"/>
        <v>0</v>
      </c>
      <c r="AW332" s="798">
        <f>IF(AK332="A",AY10,0)</f>
        <v>0</v>
      </c>
      <c r="AX332" s="5496" t="str">
        <f>IF(IFERROR(SEARCH("Adresse PC",TRIM(W332)),0)&gt;0,"▼ receta siguiente",IF(AK332="A",IF(AZ10&lt;&gt;"",AZ10&amp;" - ou.or.o ❾ + or - &gt;",""),""))</f>
        <v/>
      </c>
      <c r="AY332" s="810"/>
      <c r="AZ332" s="810"/>
      <c r="BA332" s="799" t="str">
        <f t="shared" si="142"/>
        <v/>
      </c>
      <c r="BB332" s="800" t="str">
        <f>IF(AK332="A",IF(AQ332,IF(AND(AW332&lt;&gt;"",N(AW332)&gt;0),IFERROR(IFERROR(_xlfn.XLOOKUP(AP332,BP10:BP57,BT10:BT57),IFERROR(_xlfn.XLOOKUP(AP332,BQ10:BQ57,BT10:BT57),_xlfn.XLOOKUP(AP332,BR10:BR57,BT10:BT57,""))),""),""),""),"")</f>
        <v/>
      </c>
      <c r="BC332" s="813" cm="1">
        <f t="array" ref="BC332">IF(NOT(AQ332),0,IF(OR(BA332="",N(BA332)&lt;=0.000000001),"",IF(OR(AU332="",N(AU332)&lt;=0.000000001),0,IF(ISNUMBER(BA332),IFERROR(_xlfn.LET(_xlpm.ai_test,TRIM(AP332),_xlpm.r,IFERROR(_xlfn.XLOOKUP(_xlpm.ai_test,BP16:BP63,ROW(BP16:BP63),0,1),IFERROR(_xlfn.XLOOKUP(_xlpm.ai_test,BQ16:BQ63,ROW(BQ16:BQ63),0,1),_xlfn.XLOOKUP(_xlpm.ai_test,BR16:BR63,ROW(BR16:BR63),0,1))),_xlpm.p,_xlpm.r-MIN(ROW(BP16:BP63))+1,_xlpm.f,INDEX(BS16:BS63,_xlpm.p),_xlpm.u,INDEX(BT16:BT63,_xlpm.p),_xlpm.s,INDEX(BV16:BV63,_xlpm.p),_xlpm.q,N(BA332)/_xlpm.f,IF(_xlpm.q&gt;=_xlpm.s,ROUND(_xlpm.q,1)&amp;" "&amp;_xlpm.ai_test&amp;" = "&amp;ROUND(_xlpm.q*_xlpm.f,1)&amp;" "&amp;_xlpm.u,ROUND(_xlpm.q,1)&amp;" "&amp;_xlpm.ai_test)),""),""))))</f>
        <v>0</v>
      </c>
      <c r="BD332" s="801"/>
      <c r="BE332" s="799" t="str">
        <f t="shared" si="153"/>
        <v/>
      </c>
      <c r="BF332" s="800" t="str">
        <f t="shared" si="156"/>
        <v/>
      </c>
      <c r="BG332" s="802">
        <f t="shared" si="157"/>
        <v>0</v>
      </c>
      <c r="BH332" s="803" t="str">
        <f t="shared" si="158"/>
        <v/>
      </c>
      <c r="BI332" s="792"/>
      <c r="BJ332" s="804">
        <f t="shared" si="159"/>
        <v>0</v>
      </c>
      <c r="BK332" s="794" t="str">
        <f t="shared" si="154"/>
        <v/>
      </c>
      <c r="BL332" s="227" t="s">
        <v>21</v>
      </c>
      <c r="BM332" s="773">
        <f t="shared" si="144"/>
        <v>0</v>
      </c>
      <c r="BN332" s="774">
        <f t="shared" si="145"/>
        <v>0</v>
      </c>
      <c r="BO332"/>
      <c r="BX332"/>
      <c r="BY332"/>
      <c r="BZ332"/>
      <c r="CA332"/>
      <c r="CB332"/>
      <c r="CC332"/>
      <c r="CD332" s="781" t="str">
        <f t="shared" si="161"/>
        <v>►</v>
      </c>
      <c r="CE332" s="633"/>
      <c r="CF332" s="633"/>
      <c r="CG332" s="633"/>
      <c r="CH332" s="633"/>
      <c r="CI332" s="633"/>
      <c r="CJ332" s="633"/>
      <c r="CK332"/>
      <c r="CL332"/>
      <c r="CM332"/>
      <c r="CN332"/>
      <c r="CO332"/>
      <c r="CP332"/>
      <c r="CQ332"/>
      <c r="CR332" s="633"/>
      <c r="CS332"/>
      <c r="CT332"/>
      <c r="CU332"/>
      <c r="CV332"/>
      <c r="CW332"/>
      <c r="CX332"/>
      <c r="CY332"/>
      <c r="CZ332" s="633"/>
      <c r="DA332"/>
      <c r="DB332"/>
      <c r="DC332"/>
      <c r="DD332"/>
      <c r="DE332"/>
      <c r="DF332"/>
      <c r="DG332"/>
      <c r="DH332" s="633"/>
      <c r="DI332" s="3">
        <v>1</v>
      </c>
    </row>
    <row r="333" spans="2:113" s="627" customFormat="1" ht="21" customHeight="1">
      <c r="B333" s="2265" t="str" cm="1">
        <f t="array" ref="B333">SUMPRODUCT(--(D333:J333&lt;&gt;""), LEN(TRIM(SUBSTITUTE(D333:J333, CHAR(160), "")))) &amp; " Car."</f>
        <v>0 Car.</v>
      </c>
      <c r="C333" s="1376" t="str">
        <f>IF(ISBLANK(D333),"",LARGE(C13:C332,1)+1)</f>
        <v/>
      </c>
      <c r="D333" s="1833"/>
      <c r="E333" s="1810"/>
      <c r="F333" s="1810"/>
      <c r="G333" s="1810"/>
      <c r="H333" s="1810"/>
      <c r="I333" s="1810"/>
      <c r="J333" s="1810"/>
      <c r="K333" s="1810"/>
      <c r="L333" s="1811"/>
      <c r="M333" s="9"/>
      <c r="N333" s="103" t="str">
        <f t="shared" si="140"/>
        <v>►</v>
      </c>
      <c r="O333" s="1616"/>
      <c r="P333" s="9"/>
      <c r="Q333" s="103" t="s">
        <v>15</v>
      </c>
      <c r="R333" s="31"/>
      <c r="S333" s="32"/>
      <c r="T333" s="31"/>
      <c r="U333" s="33"/>
      <c r="V333" s="1804"/>
      <c r="W333" s="1805"/>
      <c r="X333" s="91"/>
      <c r="Y333" s="1806"/>
      <c r="Z333" s="1807"/>
      <c r="AA333" s="919"/>
      <c r="AB333" s="1813"/>
      <c r="AC333" s="1580"/>
      <c r="AD333" s="95"/>
      <c r="AE333" s="105"/>
      <c r="AF333" s="97"/>
      <c r="AG333" s="2080"/>
      <c r="AH333" s="2081"/>
      <c r="AI333" s="99"/>
      <c r="AJ333" s="1809"/>
      <c r="AK333" s="6120" t="str">
        <f t="shared" si="155"/>
        <v>►</v>
      </c>
      <c r="AL333" s="781" t="str">
        <f t="shared" si="143"/>
        <v>►</v>
      </c>
      <c r="AM333" s="5499" t="str">
        <f t="shared" si="146"/>
        <v/>
      </c>
      <c r="AN333" s="783" t="str">
        <f t="shared" si="147"/>
        <v/>
      </c>
      <c r="AO333" s="782" t="str">
        <f t="shared" si="148"/>
        <v/>
      </c>
      <c r="AP333" s="783" t="str">
        <f t="shared" si="149"/>
        <v/>
      </c>
      <c r="AQ333" s="2083" t="b">
        <f>AND(Q333="A",COUNTIF(BP16:BR63,TRIM(Z333))&gt;0)</f>
        <v>0</v>
      </c>
      <c r="AR333" s="797" t="str">
        <f>IF(AL333&lt;&gt;"A","",IFERROR(IFERROR(_xlfn.XLOOKUP(TRIM(SUBSTITUTE(Z333,CHAR(160)," ")),BP16:BP63,BS16:BS63),IFERROR(_xlfn.XLOOKUP(TRIM(SUBSTITUTE(Z333,CHAR(160)," ")),BQ16:BQ63,BS16:BS63),_xlfn.XLOOKUP(TRIM(SUBSTITUTE(Z333,CHAR(160)," ")),BR16:BR63,BS16:BS63)))*Y333*IF(ISBLANK(V333),1,V333),0))</f>
        <v/>
      </c>
      <c r="AS333" s="784" t="str">
        <f t="shared" si="160"/>
        <v/>
      </c>
      <c r="AT333" s="1315" t="str">
        <f t="shared" si="150"/>
        <v/>
      </c>
      <c r="AU333" s="785">
        <f t="shared" si="151"/>
        <v>0</v>
      </c>
      <c r="AV333" s="785">
        <f t="shared" si="152"/>
        <v>0</v>
      </c>
      <c r="AW333" s="786">
        <f>IF(AK333="A",AY10,0)</f>
        <v>0</v>
      </c>
      <c r="AX333" s="5495" t="str">
        <f>IF(IFERROR(SEARCH("Adresse PC",TRIM(W333)),0)&gt;0,"▼ receta siguiente",IF(AK333="A",IF(AZ10&lt;&gt;"",AZ10&amp;" - ou.or.o ❾ + or - &gt;",""),""))</f>
        <v/>
      </c>
      <c r="AY333" s="810"/>
      <c r="AZ333" s="810"/>
      <c r="BA333" s="788" t="str">
        <f t="shared" si="142"/>
        <v/>
      </c>
      <c r="BB333" s="789" t="str">
        <f>IF(AK333="A",IF(AQ333,IF(AND(AW333&lt;&gt;"",N(AW333)&gt;0),IFERROR(IFERROR(_xlfn.XLOOKUP(AP333,BP10:BP57,BT10:BT57),IFERROR(_xlfn.XLOOKUP(AP333,BQ10:BQ57,BT10:BT57),_xlfn.XLOOKUP(AP333,BR10:BR57,BT10:BT57,""))),""),""),""),"")</f>
        <v/>
      </c>
      <c r="BC333" s="811" cm="1">
        <f t="array" ref="BC333">IF(NOT(AQ333),0,IF(OR(BA333="",N(BA333)&lt;=0.000000001),"",IF(OR(AU333="",N(AU333)&lt;=0.000000001),0,IF(ISNUMBER(BA333),IFERROR(_xlfn.LET(_xlpm.ai_test,TRIM(AP333),_xlpm.r,IFERROR(_xlfn.XLOOKUP(_xlpm.ai_test,BP16:BP63,ROW(BP16:BP63),0,1),IFERROR(_xlfn.XLOOKUP(_xlpm.ai_test,BQ16:BQ63,ROW(BQ16:BQ63),0,1),_xlfn.XLOOKUP(_xlpm.ai_test,BR16:BR63,ROW(BR16:BR63),0,1))),_xlpm.p,_xlpm.r-MIN(ROW(BP16:BP63))+1,_xlpm.f,INDEX(BS16:BS63,_xlpm.p),_xlpm.u,INDEX(BT16:BT63,_xlpm.p),_xlpm.s,INDEX(BV16:BV63,_xlpm.p),_xlpm.q,N(BA333)/_xlpm.f,IF(_xlpm.q&gt;=_xlpm.s,ROUND(_xlpm.q,1)&amp;" "&amp;_xlpm.ai_test&amp;" = "&amp;ROUND(_xlpm.q*_xlpm.f,1)&amp;" "&amp;_xlpm.u,ROUND(_xlpm.q,1)&amp;" "&amp;_xlpm.ai_test)),""),""))))</f>
        <v>0</v>
      </c>
      <c r="BD333" s="801"/>
      <c r="BE333" s="788" t="str">
        <f t="shared" si="153"/>
        <v/>
      </c>
      <c r="BF333" s="789" t="str">
        <f t="shared" si="156"/>
        <v/>
      </c>
      <c r="BG333" s="790">
        <f t="shared" si="157"/>
        <v>0</v>
      </c>
      <c r="BH333" s="791" t="str">
        <f t="shared" si="158"/>
        <v/>
      </c>
      <c r="BI333" s="792"/>
      <c r="BJ333" s="793">
        <f t="shared" si="159"/>
        <v>0</v>
      </c>
      <c r="BK333" s="794" t="str">
        <f t="shared" si="154"/>
        <v/>
      </c>
      <c r="BL333" s="227" t="s">
        <v>21</v>
      </c>
      <c r="BM333" s="773">
        <f t="shared" si="144"/>
        <v>0</v>
      </c>
      <c r="BN333" s="774">
        <f t="shared" si="145"/>
        <v>0</v>
      </c>
      <c r="BO333"/>
      <c r="BX333"/>
      <c r="BY333"/>
      <c r="BZ333"/>
      <c r="CA333"/>
      <c r="CB333"/>
      <c r="CC333"/>
      <c r="CD333" s="781" t="str">
        <f t="shared" si="161"/>
        <v>►</v>
      </c>
      <c r="CE333" s="633"/>
      <c r="CF333" s="633"/>
      <c r="CG333" s="633"/>
      <c r="CH333" s="633"/>
      <c r="CI333" s="633"/>
      <c r="CJ333" s="633"/>
      <c r="CK333"/>
      <c r="CL333"/>
      <c r="CM333"/>
      <c r="CN333"/>
      <c r="CO333"/>
      <c r="CP333"/>
      <c r="CQ333"/>
      <c r="CR333" s="227"/>
      <c r="CS333"/>
      <c r="CT333"/>
      <c r="CU333"/>
      <c r="CV333"/>
      <c r="CW333"/>
      <c r="CX333"/>
      <c r="CY333"/>
      <c r="CZ333" s="227"/>
      <c r="DA333"/>
      <c r="DB333"/>
      <c r="DC333"/>
      <c r="DD333"/>
      <c r="DE333"/>
      <c r="DF333"/>
      <c r="DG333"/>
      <c r="DH333" s="227"/>
      <c r="DI333" s="3">
        <v>1</v>
      </c>
    </row>
    <row r="334" spans="2:113" s="627" customFormat="1" ht="21" customHeight="1">
      <c r="B334" s="2265" t="str" cm="1">
        <f t="array" ref="B334">SUMPRODUCT(--(D334:J334&lt;&gt;""), LEN(TRIM(SUBSTITUTE(D334:J334, CHAR(160), "")))) &amp; " Car."</f>
        <v>0 Car.</v>
      </c>
      <c r="C334" s="1376" t="str">
        <f>IF(ISBLANK(D334),"",LARGE(C13:C333,1)+1)</f>
        <v/>
      </c>
      <c r="D334" s="1833"/>
      <c r="E334" s="1810"/>
      <c r="F334" s="1810"/>
      <c r="G334" s="1810"/>
      <c r="H334" s="1810"/>
      <c r="I334" s="1810"/>
      <c r="J334" s="1810"/>
      <c r="K334" s="1810"/>
      <c r="L334" s="1811"/>
      <c r="M334" s="9"/>
      <c r="N334" s="103" t="str">
        <f t="shared" ref="N334:N397" si="162">Q334</f>
        <v>►</v>
      </c>
      <c r="O334" s="1616"/>
      <c r="P334" s="9"/>
      <c r="Q334" s="103" t="s">
        <v>15</v>
      </c>
      <c r="R334" s="31"/>
      <c r="S334" s="32"/>
      <c r="T334" s="31"/>
      <c r="U334" s="33"/>
      <c r="V334" s="1804"/>
      <c r="W334" s="1805"/>
      <c r="X334" s="91"/>
      <c r="Y334" s="1806"/>
      <c r="Z334" s="1807"/>
      <c r="AA334" s="919"/>
      <c r="AB334" s="1813"/>
      <c r="AC334" s="1580"/>
      <c r="AD334" s="95"/>
      <c r="AE334" s="105"/>
      <c r="AF334" s="97"/>
      <c r="AG334" s="2080"/>
      <c r="AH334" s="2081"/>
      <c r="AI334" s="99"/>
      <c r="AJ334" s="1809"/>
      <c r="AK334" s="6120" t="str">
        <f t="shared" si="155"/>
        <v>►</v>
      </c>
      <c r="AL334" s="781" t="str">
        <f t="shared" si="143"/>
        <v>►</v>
      </c>
      <c r="AM334" s="5498" t="str">
        <f t="shared" si="146"/>
        <v/>
      </c>
      <c r="AN334" s="783" t="str">
        <f t="shared" si="147"/>
        <v/>
      </c>
      <c r="AO334" s="782" t="str">
        <f t="shared" si="148"/>
        <v/>
      </c>
      <c r="AP334" s="783" t="str">
        <f t="shared" si="149"/>
        <v/>
      </c>
      <c r="AQ334" s="2083" t="b">
        <f>AND(Q334="A",COUNTIF(BP16:BR63,TRIM(Z334))&gt;0)</f>
        <v>0</v>
      </c>
      <c r="AR334" s="797" t="str">
        <f>IF(AL334&lt;&gt;"A","",IFERROR(IFERROR(_xlfn.XLOOKUP(TRIM(SUBSTITUTE(Z334,CHAR(160)," ")),BP16:BP63,BS16:BS63),IFERROR(_xlfn.XLOOKUP(TRIM(SUBSTITUTE(Z334,CHAR(160)," ")),BQ16:BQ63,BS16:BS63),_xlfn.XLOOKUP(TRIM(SUBSTITUTE(Z334,CHAR(160)," ")),BR16:BR63,BS16:BS63)))*Y334*IF(ISBLANK(V334),1,V334),0))</f>
        <v/>
      </c>
      <c r="AS334" s="784" t="str">
        <f t="shared" si="160"/>
        <v/>
      </c>
      <c r="AT334" s="1315" t="str">
        <f t="shared" si="150"/>
        <v/>
      </c>
      <c r="AU334" s="785">
        <f t="shared" si="151"/>
        <v>0</v>
      </c>
      <c r="AV334" s="785">
        <f t="shared" si="152"/>
        <v>0</v>
      </c>
      <c r="AW334" s="798">
        <f>IF(AK334="A",AY10,0)</f>
        <v>0</v>
      </c>
      <c r="AX334" s="5496" t="str">
        <f>IF(IFERROR(SEARCH("Adresse PC",TRIM(W334)),0)&gt;0,"▼ receta siguiente",IF(AK334="A",IF(AZ10&lt;&gt;"",AZ10&amp;" - ou.or.o ❾ + or - &gt;",""),""))</f>
        <v/>
      </c>
      <c r="AY334" s="810"/>
      <c r="AZ334" s="810"/>
      <c r="BA334" s="799" t="str">
        <f t="shared" si="142"/>
        <v/>
      </c>
      <c r="BB334" s="800" t="str">
        <f>IF(AK334="A",IF(AQ334,IF(AND(AW334&lt;&gt;"",N(AW334)&gt;0),IFERROR(IFERROR(_xlfn.XLOOKUP(AP334,BP10:BP57,BT10:BT57),IFERROR(_xlfn.XLOOKUP(AP334,BQ10:BQ57,BT10:BT57),_xlfn.XLOOKUP(AP334,BR10:BR57,BT10:BT57,""))),""),""),""),"")</f>
        <v/>
      </c>
      <c r="BC334" s="813" cm="1">
        <f t="array" ref="BC334">IF(NOT(AQ334),0,IF(OR(BA334="",N(BA334)&lt;=0.000000001),"",IF(OR(AU334="",N(AU334)&lt;=0.000000001),0,IF(ISNUMBER(BA334),IFERROR(_xlfn.LET(_xlpm.ai_test,TRIM(AP334),_xlpm.r,IFERROR(_xlfn.XLOOKUP(_xlpm.ai_test,BP16:BP63,ROW(BP16:BP63),0,1),IFERROR(_xlfn.XLOOKUP(_xlpm.ai_test,BQ16:BQ63,ROW(BQ16:BQ63),0,1),_xlfn.XLOOKUP(_xlpm.ai_test,BR16:BR63,ROW(BR16:BR63),0,1))),_xlpm.p,_xlpm.r-MIN(ROW(BP16:BP63))+1,_xlpm.f,INDEX(BS16:BS63,_xlpm.p),_xlpm.u,INDEX(BT16:BT63,_xlpm.p),_xlpm.s,INDEX(BV16:BV63,_xlpm.p),_xlpm.q,N(BA334)/_xlpm.f,IF(_xlpm.q&gt;=_xlpm.s,ROUND(_xlpm.q,1)&amp;" "&amp;_xlpm.ai_test&amp;" = "&amp;ROUND(_xlpm.q*_xlpm.f,1)&amp;" "&amp;_xlpm.u,ROUND(_xlpm.q,1)&amp;" "&amp;_xlpm.ai_test)),""),""))))</f>
        <v>0</v>
      </c>
      <c r="BD334" s="801"/>
      <c r="BE334" s="799" t="str">
        <f t="shared" si="153"/>
        <v/>
      </c>
      <c r="BF334" s="800" t="str">
        <f t="shared" si="156"/>
        <v/>
      </c>
      <c r="BG334" s="802">
        <f t="shared" si="157"/>
        <v>0</v>
      </c>
      <c r="BH334" s="803" t="str">
        <f t="shared" si="158"/>
        <v/>
      </c>
      <c r="BI334" s="792"/>
      <c r="BJ334" s="804">
        <f t="shared" si="159"/>
        <v>0</v>
      </c>
      <c r="BK334" s="794" t="str">
        <f t="shared" si="154"/>
        <v/>
      </c>
      <c r="BL334" s="227" t="s">
        <v>21</v>
      </c>
      <c r="BM334" s="773">
        <f t="shared" si="144"/>
        <v>0</v>
      </c>
      <c r="BN334" s="774">
        <f t="shared" si="145"/>
        <v>0</v>
      </c>
      <c r="BO334"/>
      <c r="BX334"/>
      <c r="BY334"/>
      <c r="BZ334"/>
      <c r="CA334"/>
      <c r="CB334"/>
      <c r="CC334"/>
      <c r="CD334" s="781" t="str">
        <f t="shared" si="161"/>
        <v>►</v>
      </c>
      <c r="CE334" s="633"/>
      <c r="CF334" s="633"/>
      <c r="CG334" s="633"/>
      <c r="CH334" s="633"/>
      <c r="CI334" s="633"/>
      <c r="CJ334" s="227"/>
      <c r="CK334"/>
      <c r="CL334"/>
      <c r="CM334"/>
      <c r="CN334"/>
      <c r="CO334"/>
      <c r="CP334"/>
      <c r="CQ334"/>
      <c r="CR334" s="227"/>
      <c r="CS334"/>
      <c r="CT334"/>
      <c r="CU334"/>
      <c r="CV334"/>
      <c r="CW334"/>
      <c r="CX334"/>
      <c r="CY334"/>
      <c r="CZ334" s="227"/>
      <c r="DA334"/>
      <c r="DB334"/>
      <c r="DC334"/>
      <c r="DD334"/>
      <c r="DE334"/>
      <c r="DF334"/>
      <c r="DG334"/>
      <c r="DH334" s="227"/>
      <c r="DI334" s="3">
        <v>1</v>
      </c>
    </row>
    <row r="335" spans="2:113" s="627" customFormat="1" ht="21" customHeight="1">
      <c r="B335" s="2265" t="str" cm="1">
        <f t="array" ref="B335">SUMPRODUCT(--(D335:J335&lt;&gt;""), LEN(TRIM(SUBSTITUTE(D335:J335, CHAR(160), "")))) &amp; " Car."</f>
        <v>0 Car.</v>
      </c>
      <c r="C335" s="1376" t="str">
        <f>IF(ISBLANK(D335),"",LARGE(C13:C334,1)+1)</f>
        <v/>
      </c>
      <c r="D335" s="1833"/>
      <c r="E335" s="1810"/>
      <c r="F335" s="1810"/>
      <c r="G335" s="1810"/>
      <c r="H335" s="1810"/>
      <c r="I335" s="1810"/>
      <c r="J335" s="1810"/>
      <c r="K335" s="1810"/>
      <c r="L335" s="1811"/>
      <c r="M335" s="9"/>
      <c r="N335" s="103" t="str">
        <f t="shared" si="162"/>
        <v>►</v>
      </c>
      <c r="O335" s="1616"/>
      <c r="P335" s="9"/>
      <c r="Q335" s="103" t="s">
        <v>15</v>
      </c>
      <c r="R335" s="31"/>
      <c r="S335" s="32"/>
      <c r="T335" s="31"/>
      <c r="U335" s="33"/>
      <c r="V335" s="1804"/>
      <c r="W335" s="1805"/>
      <c r="X335" s="91"/>
      <c r="Y335" s="1806"/>
      <c r="Z335" s="1807"/>
      <c r="AA335" s="919"/>
      <c r="AB335" s="1813"/>
      <c r="AC335" s="1580"/>
      <c r="AD335" s="95"/>
      <c r="AE335" s="105"/>
      <c r="AF335" s="97"/>
      <c r="AG335" s="2080"/>
      <c r="AH335" s="2081"/>
      <c r="AI335" s="99"/>
      <c r="AJ335" s="1809"/>
      <c r="AK335" s="6120" t="str">
        <f t="shared" si="155"/>
        <v>►</v>
      </c>
      <c r="AL335" s="781" t="str">
        <f t="shared" si="143"/>
        <v>►</v>
      </c>
      <c r="AM335" s="5499" t="str">
        <f t="shared" si="146"/>
        <v/>
      </c>
      <c r="AN335" s="783" t="str">
        <f t="shared" si="147"/>
        <v/>
      </c>
      <c r="AO335" s="782" t="str">
        <f t="shared" si="148"/>
        <v/>
      </c>
      <c r="AP335" s="783" t="str">
        <f t="shared" si="149"/>
        <v/>
      </c>
      <c r="AQ335" s="2083" t="b">
        <f>AND(Q335="A",COUNTIF(BP16:BR63,TRIM(Z335))&gt;0)</f>
        <v>0</v>
      </c>
      <c r="AR335" s="797" t="str">
        <f>IF(AL335&lt;&gt;"A","",IFERROR(IFERROR(_xlfn.XLOOKUP(TRIM(SUBSTITUTE(Z335,CHAR(160)," ")),BP16:BP63,BS16:BS63),IFERROR(_xlfn.XLOOKUP(TRIM(SUBSTITUTE(Z335,CHAR(160)," ")),BQ16:BQ63,BS16:BS63),_xlfn.XLOOKUP(TRIM(SUBSTITUTE(Z335,CHAR(160)," ")),BR16:BR63,BS16:BS63)))*Y335*IF(ISBLANK(V335),1,V335),0))</f>
        <v/>
      </c>
      <c r="AS335" s="784" t="str">
        <f t="shared" si="160"/>
        <v/>
      </c>
      <c r="AT335" s="1315" t="str">
        <f t="shared" si="150"/>
        <v/>
      </c>
      <c r="AU335" s="785">
        <f t="shared" si="151"/>
        <v>0</v>
      </c>
      <c r="AV335" s="785">
        <f t="shared" si="152"/>
        <v>0</v>
      </c>
      <c r="AW335" s="786">
        <f>IF(AK335="A",AY10,0)</f>
        <v>0</v>
      </c>
      <c r="AX335" s="5495" t="str">
        <f>IF(IFERROR(SEARCH("Adresse PC",TRIM(W335)),0)&gt;0,"▼ receta siguiente",IF(AK335="A",IF(AZ10&lt;&gt;"",AZ10&amp;" - ou.or.o ❾ + or - &gt;",""),""))</f>
        <v/>
      </c>
      <c r="AY335" s="810"/>
      <c r="AZ335" s="810"/>
      <c r="BA335" s="788" t="str">
        <f t="shared" si="142"/>
        <v/>
      </c>
      <c r="BB335" s="789" t="str">
        <f>IF(AK335="A",IF(AQ335,IF(AND(AW335&lt;&gt;"",N(AW335)&gt;0),IFERROR(IFERROR(_xlfn.XLOOKUP(AP335,BP10:BP57,BT10:BT57),IFERROR(_xlfn.XLOOKUP(AP335,BQ10:BQ57,BT10:BT57),_xlfn.XLOOKUP(AP335,BR10:BR57,BT10:BT57,""))),""),""),""),"")</f>
        <v/>
      </c>
      <c r="BC335" s="811" cm="1">
        <f t="array" ref="BC335">IF(NOT(AQ335),0,IF(OR(BA335="",N(BA335)&lt;=0.000000001),"",IF(OR(AU335="",N(AU335)&lt;=0.000000001),0,IF(ISNUMBER(BA335),IFERROR(_xlfn.LET(_xlpm.ai_test,TRIM(AP335),_xlpm.r,IFERROR(_xlfn.XLOOKUP(_xlpm.ai_test,BP16:BP63,ROW(BP16:BP63),0,1),IFERROR(_xlfn.XLOOKUP(_xlpm.ai_test,BQ16:BQ63,ROW(BQ16:BQ63),0,1),_xlfn.XLOOKUP(_xlpm.ai_test,BR16:BR63,ROW(BR16:BR63),0,1))),_xlpm.p,_xlpm.r-MIN(ROW(BP16:BP63))+1,_xlpm.f,INDEX(BS16:BS63,_xlpm.p),_xlpm.u,INDEX(BT16:BT63,_xlpm.p),_xlpm.s,INDEX(BV16:BV63,_xlpm.p),_xlpm.q,N(BA335)/_xlpm.f,IF(_xlpm.q&gt;=_xlpm.s,ROUND(_xlpm.q,1)&amp;" "&amp;_xlpm.ai_test&amp;" = "&amp;ROUND(_xlpm.q*_xlpm.f,1)&amp;" "&amp;_xlpm.u,ROUND(_xlpm.q,1)&amp;" "&amp;_xlpm.ai_test)),""),""))))</f>
        <v>0</v>
      </c>
      <c r="BD335" s="801"/>
      <c r="BE335" s="788" t="str">
        <f t="shared" si="153"/>
        <v/>
      </c>
      <c r="BF335" s="789" t="str">
        <f t="shared" si="156"/>
        <v/>
      </c>
      <c r="BG335" s="790">
        <f t="shared" si="157"/>
        <v>0</v>
      </c>
      <c r="BH335" s="791" t="str">
        <f t="shared" si="158"/>
        <v/>
      </c>
      <c r="BI335" s="792"/>
      <c r="BJ335" s="793">
        <f t="shared" si="159"/>
        <v>0</v>
      </c>
      <c r="BK335" s="794" t="str">
        <f t="shared" si="154"/>
        <v/>
      </c>
      <c r="BL335" s="227" t="s">
        <v>21</v>
      </c>
      <c r="BM335" s="773">
        <f t="shared" si="144"/>
        <v>0</v>
      </c>
      <c r="BN335" s="774">
        <f t="shared" si="145"/>
        <v>0</v>
      </c>
      <c r="BO335"/>
      <c r="BX335"/>
      <c r="BY335"/>
      <c r="BZ335"/>
      <c r="CA335"/>
      <c r="CB335"/>
      <c r="CC335"/>
      <c r="CD335" s="781" t="str">
        <f t="shared" si="161"/>
        <v>►</v>
      </c>
      <c r="CE335" s="633"/>
      <c r="CF335" s="633"/>
      <c r="CG335" s="633"/>
      <c r="CH335" s="633"/>
      <c r="CI335" s="633"/>
      <c r="CJ335" s="227"/>
      <c r="CK335"/>
      <c r="CL335"/>
      <c r="CM335"/>
      <c r="CN335"/>
      <c r="CO335"/>
      <c r="CP335"/>
      <c r="CQ335"/>
      <c r="CR335" s="227"/>
      <c r="CS335"/>
      <c r="CT335"/>
      <c r="CU335"/>
      <c r="CV335"/>
      <c r="CW335"/>
      <c r="CX335"/>
      <c r="CY335"/>
      <c r="CZ335" s="227"/>
      <c r="DA335"/>
      <c r="DB335"/>
      <c r="DC335"/>
      <c r="DD335"/>
      <c r="DE335"/>
      <c r="DF335"/>
      <c r="DG335"/>
      <c r="DH335" s="227"/>
      <c r="DI335" s="3">
        <v>1</v>
      </c>
    </row>
    <row r="336" spans="2:113" s="627" customFormat="1" ht="21" customHeight="1">
      <c r="B336" s="2265" t="str" cm="1">
        <f t="array" ref="B336">SUMPRODUCT(--(D336:J336&lt;&gt;""), LEN(TRIM(SUBSTITUTE(D336:J336, CHAR(160), "")))) &amp; " Car."</f>
        <v>0 Car.</v>
      </c>
      <c r="C336" s="1376" t="str">
        <f>IF(ISBLANK(D336),"",LARGE(C13:C335,1)+1)</f>
        <v/>
      </c>
      <c r="D336" s="1833"/>
      <c r="E336" s="1810"/>
      <c r="F336" s="1810"/>
      <c r="G336" s="1810"/>
      <c r="H336" s="1810"/>
      <c r="I336" s="1810"/>
      <c r="J336" s="1810"/>
      <c r="K336" s="1810"/>
      <c r="L336" s="1811"/>
      <c r="M336" s="9"/>
      <c r="N336" s="103" t="str">
        <f t="shared" si="162"/>
        <v>►</v>
      </c>
      <c r="O336" s="1616"/>
      <c r="P336" s="9"/>
      <c r="Q336" s="103" t="s">
        <v>15</v>
      </c>
      <c r="R336" s="31"/>
      <c r="S336" s="32"/>
      <c r="T336" s="31"/>
      <c r="U336" s="33"/>
      <c r="V336" s="1804"/>
      <c r="W336" s="1805"/>
      <c r="X336" s="91"/>
      <c r="Y336" s="1806"/>
      <c r="Z336" s="1807"/>
      <c r="AA336" s="919"/>
      <c r="AB336" s="1813"/>
      <c r="AC336" s="1580"/>
      <c r="AD336" s="95"/>
      <c r="AE336" s="105"/>
      <c r="AF336" s="97"/>
      <c r="AG336" s="2080"/>
      <c r="AH336" s="2081"/>
      <c r="AI336" s="99"/>
      <c r="AJ336" s="1809"/>
      <c r="AK336" s="6120" t="str">
        <f t="shared" si="155"/>
        <v>►</v>
      </c>
      <c r="AL336" s="781" t="str">
        <f t="shared" si="143"/>
        <v>►</v>
      </c>
      <c r="AM336" s="5498" t="str">
        <f t="shared" si="146"/>
        <v/>
      </c>
      <c r="AN336" s="783" t="str">
        <f t="shared" si="147"/>
        <v/>
      </c>
      <c r="AO336" s="782" t="str">
        <f t="shared" si="148"/>
        <v/>
      </c>
      <c r="AP336" s="783" t="str">
        <f t="shared" si="149"/>
        <v/>
      </c>
      <c r="AQ336" s="2083" t="b">
        <f>AND(Q336="A",COUNTIF(BP16:BR63,TRIM(Z336))&gt;0)</f>
        <v>0</v>
      </c>
      <c r="AR336" s="797" t="str">
        <f>IF(AL336&lt;&gt;"A","",IFERROR(IFERROR(_xlfn.XLOOKUP(TRIM(SUBSTITUTE(Z336,CHAR(160)," ")),BP16:BP63,BS16:BS63),IFERROR(_xlfn.XLOOKUP(TRIM(SUBSTITUTE(Z336,CHAR(160)," ")),BQ16:BQ63,BS16:BS63),_xlfn.XLOOKUP(TRIM(SUBSTITUTE(Z336,CHAR(160)," ")),BR16:BR63,BS16:BS63)))*Y336*IF(ISBLANK(V336),1,V336),0))</f>
        <v/>
      </c>
      <c r="AS336" s="784" t="str">
        <f t="shared" si="160"/>
        <v/>
      </c>
      <c r="AT336" s="1315" t="str">
        <f t="shared" si="150"/>
        <v/>
      </c>
      <c r="AU336" s="785">
        <f t="shared" si="151"/>
        <v>0</v>
      </c>
      <c r="AV336" s="785">
        <f t="shared" si="152"/>
        <v>0</v>
      </c>
      <c r="AW336" s="798">
        <f>IF(AK336="A",AY10,0)</f>
        <v>0</v>
      </c>
      <c r="AX336" s="5496" t="str">
        <f>IF(IFERROR(SEARCH("Adresse PC",TRIM(W336)),0)&gt;0,"▼ receta siguiente",IF(AK336="A",IF(AZ10&lt;&gt;"",AZ10&amp;" - ou.or.o ❾ + or - &gt;",""),""))</f>
        <v/>
      </c>
      <c r="AY336" s="810"/>
      <c r="AZ336" s="810"/>
      <c r="BA336" s="799" t="str">
        <f t="shared" si="142"/>
        <v/>
      </c>
      <c r="BB336" s="800" t="str">
        <f>IF(AK336="A",IF(AQ336,IF(AND(AW336&lt;&gt;"",N(AW336)&gt;0),IFERROR(IFERROR(_xlfn.XLOOKUP(AP336,BP10:BP57,BT10:BT57),IFERROR(_xlfn.XLOOKUP(AP336,BQ10:BQ57,BT10:BT57),_xlfn.XLOOKUP(AP336,BR10:BR57,BT10:BT57,""))),""),""),""),"")</f>
        <v/>
      </c>
      <c r="BC336" s="813" cm="1">
        <f t="array" ref="BC336">IF(NOT(AQ336),0,IF(OR(BA336="",N(BA336)&lt;=0.000000001),"",IF(OR(AU336="",N(AU336)&lt;=0.000000001),0,IF(ISNUMBER(BA336),IFERROR(_xlfn.LET(_xlpm.ai_test,TRIM(AP336),_xlpm.r,IFERROR(_xlfn.XLOOKUP(_xlpm.ai_test,BP16:BP63,ROW(BP16:BP63),0,1),IFERROR(_xlfn.XLOOKUP(_xlpm.ai_test,BQ16:BQ63,ROW(BQ16:BQ63),0,1),_xlfn.XLOOKUP(_xlpm.ai_test,BR16:BR63,ROW(BR16:BR63),0,1))),_xlpm.p,_xlpm.r-MIN(ROW(BP16:BP63))+1,_xlpm.f,INDEX(BS16:BS63,_xlpm.p),_xlpm.u,INDEX(BT16:BT63,_xlpm.p),_xlpm.s,INDEX(BV16:BV63,_xlpm.p),_xlpm.q,N(BA336)/_xlpm.f,IF(_xlpm.q&gt;=_xlpm.s,ROUND(_xlpm.q,1)&amp;" "&amp;_xlpm.ai_test&amp;" = "&amp;ROUND(_xlpm.q*_xlpm.f,1)&amp;" "&amp;_xlpm.u,ROUND(_xlpm.q,1)&amp;" "&amp;_xlpm.ai_test)),""),""))))</f>
        <v>0</v>
      </c>
      <c r="BD336" s="801"/>
      <c r="BE336" s="799" t="str">
        <f t="shared" si="153"/>
        <v/>
      </c>
      <c r="BF336" s="800" t="str">
        <f t="shared" si="156"/>
        <v/>
      </c>
      <c r="BG336" s="802">
        <f t="shared" si="157"/>
        <v>0</v>
      </c>
      <c r="BH336" s="803" t="str">
        <f t="shared" si="158"/>
        <v/>
      </c>
      <c r="BI336" s="792"/>
      <c r="BJ336" s="804">
        <f t="shared" si="159"/>
        <v>0</v>
      </c>
      <c r="BK336" s="794" t="str">
        <f t="shared" si="154"/>
        <v/>
      </c>
      <c r="BL336" s="227" t="s">
        <v>21</v>
      </c>
      <c r="BM336" s="773">
        <f t="shared" si="144"/>
        <v>0</v>
      </c>
      <c r="BN336" s="774">
        <f t="shared" si="145"/>
        <v>0</v>
      </c>
      <c r="BO336"/>
      <c r="BX336"/>
      <c r="BY336"/>
      <c r="BZ336"/>
      <c r="CA336"/>
      <c r="CB336"/>
      <c r="CC336"/>
      <c r="CD336" s="781" t="str">
        <f t="shared" si="161"/>
        <v>►</v>
      </c>
      <c r="CE336" s="633"/>
      <c r="CF336" s="633"/>
      <c r="CG336" s="633"/>
      <c r="CH336" s="633"/>
      <c r="CI336" s="633"/>
      <c r="CJ336" s="227"/>
      <c r="CK336"/>
      <c r="CL336"/>
      <c r="CM336"/>
      <c r="CN336"/>
      <c r="CO336"/>
      <c r="CP336"/>
      <c r="CQ336"/>
      <c r="CR336" s="227"/>
      <c r="CS336"/>
      <c r="CT336"/>
      <c r="CU336"/>
      <c r="CV336"/>
      <c r="CW336"/>
      <c r="CX336"/>
      <c r="CY336"/>
      <c r="CZ336" s="227"/>
      <c r="DA336"/>
      <c r="DB336"/>
      <c r="DC336"/>
      <c r="DD336"/>
      <c r="DE336"/>
      <c r="DF336"/>
      <c r="DG336"/>
      <c r="DH336" s="227"/>
      <c r="DI336" s="3">
        <v>1</v>
      </c>
    </row>
    <row r="337" spans="2:113" s="627" customFormat="1" ht="21" customHeight="1">
      <c r="B337" s="2265" t="str" cm="1">
        <f t="array" ref="B337">SUMPRODUCT(--(D337:J337&lt;&gt;""), LEN(TRIM(SUBSTITUTE(D337:J337, CHAR(160), "")))) &amp; " Car."</f>
        <v>0 Car.</v>
      </c>
      <c r="C337" s="1376" t="str">
        <f>IF(ISBLANK(D337),"",LARGE(C13:C336,1)+1)</f>
        <v/>
      </c>
      <c r="D337" s="1833"/>
      <c r="E337" s="1810"/>
      <c r="F337" s="1810"/>
      <c r="G337" s="1810"/>
      <c r="H337" s="1810"/>
      <c r="I337" s="1810"/>
      <c r="J337" s="1810"/>
      <c r="K337" s="1810"/>
      <c r="L337" s="1811"/>
      <c r="M337" s="9"/>
      <c r="N337" s="103" t="str">
        <f t="shared" si="162"/>
        <v>►</v>
      </c>
      <c r="O337" s="1616"/>
      <c r="P337" s="9"/>
      <c r="Q337" s="103" t="s">
        <v>15</v>
      </c>
      <c r="R337" s="31"/>
      <c r="S337" s="32"/>
      <c r="T337" s="31"/>
      <c r="U337" s="33"/>
      <c r="V337" s="1804"/>
      <c r="W337" s="1805"/>
      <c r="X337" s="91"/>
      <c r="Y337" s="1806"/>
      <c r="Z337" s="1807"/>
      <c r="AA337" s="919"/>
      <c r="AB337" s="1813"/>
      <c r="AC337" s="1580"/>
      <c r="AD337" s="95"/>
      <c r="AE337" s="105"/>
      <c r="AF337" s="97"/>
      <c r="AG337" s="2080"/>
      <c r="AH337" s="2081"/>
      <c r="AI337" s="99"/>
      <c r="AJ337" s="1809"/>
      <c r="AK337" s="6120" t="str">
        <f t="shared" si="155"/>
        <v>►</v>
      </c>
      <c r="AL337" s="781" t="str">
        <f t="shared" si="143"/>
        <v>►</v>
      </c>
      <c r="AM337" s="5499" t="str">
        <f t="shared" si="146"/>
        <v/>
      </c>
      <c r="AN337" s="783" t="str">
        <f t="shared" si="147"/>
        <v/>
      </c>
      <c r="AO337" s="782" t="str">
        <f t="shared" si="148"/>
        <v/>
      </c>
      <c r="AP337" s="783" t="str">
        <f t="shared" si="149"/>
        <v/>
      </c>
      <c r="AQ337" s="2083" t="b">
        <f>AND(Q337="A",COUNTIF(BP16:BR63,TRIM(Z337))&gt;0)</f>
        <v>0</v>
      </c>
      <c r="AR337" s="797" t="str">
        <f>IF(AL337&lt;&gt;"A","",IFERROR(IFERROR(_xlfn.XLOOKUP(TRIM(SUBSTITUTE(Z337,CHAR(160)," ")),BP16:BP63,BS16:BS63),IFERROR(_xlfn.XLOOKUP(TRIM(SUBSTITUTE(Z337,CHAR(160)," ")),BQ16:BQ63,BS16:BS63),_xlfn.XLOOKUP(TRIM(SUBSTITUTE(Z337,CHAR(160)," ")),BR16:BR63,BS16:BS63)))*Y337*IF(ISBLANK(V337),1,V337),0))</f>
        <v/>
      </c>
      <c r="AS337" s="784" t="str">
        <f t="shared" si="160"/>
        <v/>
      </c>
      <c r="AT337" s="1315" t="str">
        <f t="shared" si="150"/>
        <v/>
      </c>
      <c r="AU337" s="785">
        <f t="shared" si="151"/>
        <v>0</v>
      </c>
      <c r="AV337" s="785">
        <f t="shared" si="152"/>
        <v>0</v>
      </c>
      <c r="AW337" s="786">
        <f>IF(AK337="A",AY10,0)</f>
        <v>0</v>
      </c>
      <c r="AX337" s="5495" t="str">
        <f>IF(IFERROR(SEARCH("Adresse PC",TRIM(W337)),0)&gt;0,"▼ receta siguiente",IF(AK337="A",IF(AZ10&lt;&gt;"",AZ10&amp;" - ou.or.o ❾ + or - &gt;",""),""))</f>
        <v/>
      </c>
      <c r="AY337" s="810"/>
      <c r="AZ337" s="810"/>
      <c r="BA337" s="788" t="str">
        <f t="shared" si="142"/>
        <v/>
      </c>
      <c r="BB337" s="789" t="str">
        <f>IF(AK337="A",IF(AQ337,IF(AND(AW337&lt;&gt;"",N(AW337)&gt;0),IFERROR(IFERROR(_xlfn.XLOOKUP(AP337,BP10:BP57,BT10:BT57),IFERROR(_xlfn.XLOOKUP(AP337,BQ10:BQ57,BT10:BT57),_xlfn.XLOOKUP(AP337,BR10:BR57,BT10:BT57,""))),""),""),""),"")</f>
        <v/>
      </c>
      <c r="BC337" s="811" cm="1">
        <f t="array" ref="BC337">IF(NOT(AQ337),0,IF(OR(BA337="",N(BA337)&lt;=0.000000001),"",IF(OR(AU337="",N(AU337)&lt;=0.000000001),0,IF(ISNUMBER(BA337),IFERROR(_xlfn.LET(_xlpm.ai_test,TRIM(AP337),_xlpm.r,IFERROR(_xlfn.XLOOKUP(_xlpm.ai_test,BP16:BP63,ROW(BP16:BP63),0,1),IFERROR(_xlfn.XLOOKUP(_xlpm.ai_test,BQ16:BQ63,ROW(BQ16:BQ63),0,1),_xlfn.XLOOKUP(_xlpm.ai_test,BR16:BR63,ROW(BR16:BR63),0,1))),_xlpm.p,_xlpm.r-MIN(ROW(BP16:BP63))+1,_xlpm.f,INDEX(BS16:BS63,_xlpm.p),_xlpm.u,INDEX(BT16:BT63,_xlpm.p),_xlpm.s,INDEX(BV16:BV63,_xlpm.p),_xlpm.q,N(BA337)/_xlpm.f,IF(_xlpm.q&gt;=_xlpm.s,ROUND(_xlpm.q,1)&amp;" "&amp;_xlpm.ai_test&amp;" = "&amp;ROUND(_xlpm.q*_xlpm.f,1)&amp;" "&amp;_xlpm.u,ROUND(_xlpm.q,1)&amp;" "&amp;_xlpm.ai_test)),""),""))))</f>
        <v>0</v>
      </c>
      <c r="BD337" s="801"/>
      <c r="BE337" s="788" t="str">
        <f t="shared" si="153"/>
        <v/>
      </c>
      <c r="BF337" s="789" t="str">
        <f t="shared" si="156"/>
        <v/>
      </c>
      <c r="BG337" s="790">
        <f t="shared" si="157"/>
        <v>0</v>
      </c>
      <c r="BH337" s="791" t="str">
        <f t="shared" si="158"/>
        <v/>
      </c>
      <c r="BI337" s="792"/>
      <c r="BJ337" s="793">
        <f t="shared" si="159"/>
        <v>0</v>
      </c>
      <c r="BK337" s="794" t="str">
        <f t="shared" si="154"/>
        <v/>
      </c>
      <c r="BL337" s="227" t="s">
        <v>21</v>
      </c>
      <c r="BM337" s="773">
        <f t="shared" si="144"/>
        <v>0</v>
      </c>
      <c r="BN337" s="774">
        <f t="shared" si="145"/>
        <v>0</v>
      </c>
      <c r="BO337"/>
      <c r="BX337"/>
      <c r="BY337"/>
      <c r="BZ337"/>
      <c r="CA337"/>
      <c r="CB337"/>
      <c r="CC337"/>
      <c r="CD337" s="781" t="str">
        <f t="shared" si="161"/>
        <v>►</v>
      </c>
      <c r="CE337" s="633"/>
      <c r="CF337" s="633"/>
      <c r="CG337" s="633"/>
      <c r="CH337" s="633"/>
      <c r="CI337" s="633"/>
      <c r="CJ337" s="227"/>
      <c r="CK337"/>
      <c r="CL337"/>
      <c r="CM337"/>
      <c r="CN337"/>
      <c r="CO337"/>
      <c r="CP337"/>
      <c r="CQ337"/>
      <c r="CR337" s="227"/>
      <c r="CS337"/>
      <c r="CT337"/>
      <c r="CU337"/>
      <c r="CV337"/>
      <c r="CW337"/>
      <c r="CX337"/>
      <c r="CY337"/>
      <c r="CZ337" s="227"/>
      <c r="DA337"/>
      <c r="DB337"/>
      <c r="DC337"/>
      <c r="DD337"/>
      <c r="DE337"/>
      <c r="DF337"/>
      <c r="DG337"/>
      <c r="DH337" s="227"/>
      <c r="DI337" s="3">
        <v>1</v>
      </c>
    </row>
    <row r="338" spans="2:113" s="627" customFormat="1" ht="21" customHeight="1">
      <c r="B338" s="2265" t="str" cm="1">
        <f t="array" ref="B338">SUMPRODUCT(--(D338:J338&lt;&gt;""), LEN(TRIM(SUBSTITUTE(D338:J338, CHAR(160), "")))) &amp; " Car."</f>
        <v>0 Car.</v>
      </c>
      <c r="C338" s="1376" t="str">
        <f>IF(ISBLANK(D338),"",LARGE(C13:C337,1)+1)</f>
        <v/>
      </c>
      <c r="D338" s="1833"/>
      <c r="E338" s="1810"/>
      <c r="F338" s="1810"/>
      <c r="G338" s="1810"/>
      <c r="H338" s="1810"/>
      <c r="I338" s="1810"/>
      <c r="J338" s="1810"/>
      <c r="K338" s="1810"/>
      <c r="L338" s="1811"/>
      <c r="M338" s="9"/>
      <c r="N338" s="103" t="str">
        <f t="shared" si="162"/>
        <v>►</v>
      </c>
      <c r="O338" s="1616"/>
      <c r="P338" s="9"/>
      <c r="Q338" s="103" t="s">
        <v>15</v>
      </c>
      <c r="R338" s="31"/>
      <c r="S338" s="32"/>
      <c r="T338" s="31"/>
      <c r="U338" s="33"/>
      <c r="V338" s="1804"/>
      <c r="W338" s="1805"/>
      <c r="X338" s="91"/>
      <c r="Y338" s="1806"/>
      <c r="Z338" s="1807"/>
      <c r="AA338" s="919"/>
      <c r="AB338" s="1813"/>
      <c r="AC338" s="1580"/>
      <c r="AD338" s="95"/>
      <c r="AE338" s="105"/>
      <c r="AF338" s="97"/>
      <c r="AG338" s="2080"/>
      <c r="AH338" s="2081"/>
      <c r="AI338" s="99"/>
      <c r="AJ338" s="1809"/>
      <c r="AK338" s="6120" t="str">
        <f t="shared" si="155"/>
        <v>►</v>
      </c>
      <c r="AL338" s="781" t="str">
        <f t="shared" si="143"/>
        <v>►</v>
      </c>
      <c r="AM338" s="5498" t="str">
        <f t="shared" si="146"/>
        <v/>
      </c>
      <c r="AN338" s="783" t="str">
        <f t="shared" si="147"/>
        <v/>
      </c>
      <c r="AO338" s="782" t="str">
        <f t="shared" si="148"/>
        <v/>
      </c>
      <c r="AP338" s="783" t="str">
        <f t="shared" si="149"/>
        <v/>
      </c>
      <c r="AQ338" s="2083" t="b">
        <f>AND(Q338="A",COUNTIF(BP16:BR63,TRIM(Z338))&gt;0)</f>
        <v>0</v>
      </c>
      <c r="AR338" s="797" t="str">
        <f>IF(AL338&lt;&gt;"A","",IFERROR(IFERROR(_xlfn.XLOOKUP(TRIM(SUBSTITUTE(Z338,CHAR(160)," ")),BP16:BP63,BS16:BS63),IFERROR(_xlfn.XLOOKUP(TRIM(SUBSTITUTE(Z338,CHAR(160)," ")),BQ16:BQ63,BS16:BS63),_xlfn.XLOOKUP(TRIM(SUBSTITUTE(Z338,CHAR(160)," ")),BR16:BR63,BS16:BS63)))*Y338*IF(ISBLANK(V338),1,V338),0))</f>
        <v/>
      </c>
      <c r="AS338" s="784" t="str">
        <f t="shared" si="160"/>
        <v/>
      </c>
      <c r="AT338" s="1315" t="str">
        <f t="shared" si="150"/>
        <v/>
      </c>
      <c r="AU338" s="785">
        <f t="shared" si="151"/>
        <v>0</v>
      </c>
      <c r="AV338" s="785">
        <f t="shared" si="152"/>
        <v>0</v>
      </c>
      <c r="AW338" s="798">
        <f>IF(AK338="A",AY10,0)</f>
        <v>0</v>
      </c>
      <c r="AX338" s="5496" t="str">
        <f>IF(IFERROR(SEARCH("Adresse PC",TRIM(W338)),0)&gt;0,"▼ receta siguiente",IF(AK338="A",IF(AZ10&lt;&gt;"",AZ10&amp;" - ou.or.o ❾ + or - &gt;",""),""))</f>
        <v/>
      </c>
      <c r="AY338" s="810"/>
      <c r="AZ338" s="810"/>
      <c r="BA338" s="799" t="str">
        <f t="shared" si="142"/>
        <v/>
      </c>
      <c r="BB338" s="800" t="str">
        <f>IF(AK338="A",IF(AQ338,IF(AND(AW338&lt;&gt;"",N(AW338)&gt;0),IFERROR(IFERROR(_xlfn.XLOOKUP(AP338,BP10:BP57,BT10:BT57),IFERROR(_xlfn.XLOOKUP(AP338,BQ10:BQ57,BT10:BT57),_xlfn.XLOOKUP(AP338,BR10:BR57,BT10:BT57,""))),""),""),""),"")</f>
        <v/>
      </c>
      <c r="BC338" s="813" cm="1">
        <f t="array" ref="BC338">IF(NOT(AQ338),0,IF(OR(BA338="",N(BA338)&lt;=0.000000001),"",IF(OR(AU338="",N(AU338)&lt;=0.000000001),0,IF(ISNUMBER(BA338),IFERROR(_xlfn.LET(_xlpm.ai_test,TRIM(AP338),_xlpm.r,IFERROR(_xlfn.XLOOKUP(_xlpm.ai_test,BP16:BP63,ROW(BP16:BP63),0,1),IFERROR(_xlfn.XLOOKUP(_xlpm.ai_test,BQ16:BQ63,ROW(BQ16:BQ63),0,1),_xlfn.XLOOKUP(_xlpm.ai_test,BR16:BR63,ROW(BR16:BR63),0,1))),_xlpm.p,_xlpm.r-MIN(ROW(BP16:BP63))+1,_xlpm.f,INDEX(BS16:BS63,_xlpm.p),_xlpm.u,INDEX(BT16:BT63,_xlpm.p),_xlpm.s,INDEX(BV16:BV63,_xlpm.p),_xlpm.q,N(BA338)/_xlpm.f,IF(_xlpm.q&gt;=_xlpm.s,ROUND(_xlpm.q,1)&amp;" "&amp;_xlpm.ai_test&amp;" = "&amp;ROUND(_xlpm.q*_xlpm.f,1)&amp;" "&amp;_xlpm.u,ROUND(_xlpm.q,1)&amp;" "&amp;_xlpm.ai_test)),""),""))))</f>
        <v>0</v>
      </c>
      <c r="BD338" s="801"/>
      <c r="BE338" s="799" t="str">
        <f t="shared" si="153"/>
        <v/>
      </c>
      <c r="BF338" s="800" t="str">
        <f t="shared" si="156"/>
        <v/>
      </c>
      <c r="BG338" s="802">
        <f t="shared" si="157"/>
        <v>0</v>
      </c>
      <c r="BH338" s="803" t="str">
        <f t="shared" si="158"/>
        <v/>
      </c>
      <c r="BI338" s="792"/>
      <c r="BJ338" s="804">
        <f t="shared" si="159"/>
        <v>0</v>
      </c>
      <c r="BK338" s="794" t="str">
        <f t="shared" si="154"/>
        <v/>
      </c>
      <c r="BL338" s="227" t="s">
        <v>21</v>
      </c>
      <c r="BM338" s="773">
        <f t="shared" si="144"/>
        <v>0</v>
      </c>
      <c r="BN338" s="774">
        <f t="shared" si="145"/>
        <v>0</v>
      </c>
      <c r="BO338"/>
      <c r="BX338"/>
      <c r="BY338"/>
      <c r="BZ338"/>
      <c r="CA338"/>
      <c r="CB338"/>
      <c r="CC338"/>
      <c r="CD338" s="781" t="str">
        <f t="shared" si="161"/>
        <v>►</v>
      </c>
      <c r="CE338" s="633"/>
      <c r="CF338" s="633"/>
      <c r="CG338" s="633"/>
      <c r="CH338" s="633"/>
      <c r="CI338" s="633"/>
      <c r="CJ338" s="227"/>
      <c r="CK338"/>
      <c r="CL338"/>
      <c r="CM338"/>
      <c r="CN338"/>
      <c r="CO338"/>
      <c r="CP338"/>
      <c r="CQ338"/>
      <c r="CR338" s="227"/>
      <c r="CS338"/>
      <c r="CT338"/>
      <c r="CU338"/>
      <c r="CV338"/>
      <c r="CW338"/>
      <c r="CX338"/>
      <c r="CY338"/>
      <c r="CZ338" s="227"/>
      <c r="DA338"/>
      <c r="DB338"/>
      <c r="DC338"/>
      <c r="DD338"/>
      <c r="DE338"/>
      <c r="DF338"/>
      <c r="DG338"/>
      <c r="DH338" s="227"/>
      <c r="DI338" s="3">
        <v>1</v>
      </c>
    </row>
    <row r="339" spans="2:113" s="627" customFormat="1" ht="21" customHeight="1">
      <c r="B339" s="2265" t="str" cm="1">
        <f t="array" ref="B339">SUMPRODUCT(--(D339:J339&lt;&gt;""), LEN(TRIM(SUBSTITUTE(D339:J339, CHAR(160), "")))) &amp; " Car."</f>
        <v>0 Car.</v>
      </c>
      <c r="C339" s="1376" t="str">
        <f>IF(ISBLANK(D339),"",LARGE(C13:C338,1)+1)</f>
        <v/>
      </c>
      <c r="D339" s="1833"/>
      <c r="E339" s="1810"/>
      <c r="F339" s="1810"/>
      <c r="G339" s="1810"/>
      <c r="H339" s="1810"/>
      <c r="I339" s="1810"/>
      <c r="J339" s="1810"/>
      <c r="K339" s="1810"/>
      <c r="L339" s="1811"/>
      <c r="M339" s="9"/>
      <c r="N339" s="103" t="str">
        <f t="shared" si="162"/>
        <v>►</v>
      </c>
      <c r="O339" s="1616"/>
      <c r="P339" s="9"/>
      <c r="Q339" s="103" t="s">
        <v>15</v>
      </c>
      <c r="R339" s="31"/>
      <c r="S339" s="32"/>
      <c r="T339" s="31"/>
      <c r="U339" s="33"/>
      <c r="V339" s="1804"/>
      <c r="W339" s="1805"/>
      <c r="X339" s="91"/>
      <c r="Y339" s="1806"/>
      <c r="Z339" s="1807"/>
      <c r="AA339" s="919"/>
      <c r="AB339" s="1813"/>
      <c r="AC339" s="1580"/>
      <c r="AD339" s="95"/>
      <c r="AE339" s="105"/>
      <c r="AF339" s="97"/>
      <c r="AG339" s="2080"/>
      <c r="AH339" s="2081"/>
      <c r="AI339" s="99"/>
      <c r="AJ339" s="1809"/>
      <c r="AK339" s="6120" t="str">
        <f t="shared" si="155"/>
        <v>►</v>
      </c>
      <c r="AL339" s="781" t="str">
        <f t="shared" si="143"/>
        <v>►</v>
      </c>
      <c r="AM339" s="5499" t="str">
        <f t="shared" si="146"/>
        <v/>
      </c>
      <c r="AN339" s="783" t="str">
        <f t="shared" si="147"/>
        <v/>
      </c>
      <c r="AO339" s="782" t="str">
        <f t="shared" si="148"/>
        <v/>
      </c>
      <c r="AP339" s="783" t="str">
        <f t="shared" si="149"/>
        <v/>
      </c>
      <c r="AQ339" s="2083" t="b">
        <f>AND(Q339="A",COUNTIF(BP16:BR63,TRIM(Z339))&gt;0)</f>
        <v>0</v>
      </c>
      <c r="AR339" s="797" t="str">
        <f>IF(AL339&lt;&gt;"A","",IFERROR(IFERROR(_xlfn.XLOOKUP(TRIM(SUBSTITUTE(Z339,CHAR(160)," ")),BP16:BP63,BS16:BS63),IFERROR(_xlfn.XLOOKUP(TRIM(SUBSTITUTE(Z339,CHAR(160)," ")),BQ16:BQ63,BS16:BS63),_xlfn.XLOOKUP(TRIM(SUBSTITUTE(Z339,CHAR(160)," ")),BR16:BR63,BS16:BS63)))*Y339*IF(ISBLANK(V339),1,V339),0))</f>
        <v/>
      </c>
      <c r="AS339" s="784" t="str">
        <f t="shared" si="160"/>
        <v/>
      </c>
      <c r="AT339" s="1315" t="str">
        <f t="shared" si="150"/>
        <v/>
      </c>
      <c r="AU339" s="785">
        <f t="shared" si="151"/>
        <v>0</v>
      </c>
      <c r="AV339" s="785">
        <f t="shared" si="152"/>
        <v>0</v>
      </c>
      <c r="AW339" s="786">
        <f>IF(AK339="A",AY10,0)</f>
        <v>0</v>
      </c>
      <c r="AX339" s="5495" t="str">
        <f>IF(IFERROR(SEARCH("Adresse PC",TRIM(W339)),0)&gt;0,"▼ receta siguiente",IF(AK339="A",IF(AZ10&lt;&gt;"",AZ10&amp;" - ou.or.o ❾ + or - &gt;",""),""))</f>
        <v/>
      </c>
      <c r="AY339" s="810"/>
      <c r="AZ339" s="810"/>
      <c r="BA339" s="788" t="str">
        <f t="shared" si="142"/>
        <v/>
      </c>
      <c r="BB339" s="789" t="str">
        <f>IF(AK339="A",IF(AQ339,IF(AND(AW339&lt;&gt;"",N(AW339)&gt;0),IFERROR(IFERROR(_xlfn.XLOOKUP(AP339,BP10:BP57,BT10:BT57),IFERROR(_xlfn.XLOOKUP(AP339,BQ10:BQ57,BT10:BT57),_xlfn.XLOOKUP(AP339,BR10:BR57,BT10:BT57,""))),""),""),""),"")</f>
        <v/>
      </c>
      <c r="BC339" s="811" cm="1">
        <f t="array" ref="BC339">IF(NOT(AQ339),0,IF(OR(BA339="",N(BA339)&lt;=0.000000001),"",IF(OR(AU339="",N(AU339)&lt;=0.000000001),0,IF(ISNUMBER(BA339),IFERROR(_xlfn.LET(_xlpm.ai_test,TRIM(AP339),_xlpm.r,IFERROR(_xlfn.XLOOKUP(_xlpm.ai_test,BP16:BP63,ROW(BP16:BP63),0,1),IFERROR(_xlfn.XLOOKUP(_xlpm.ai_test,BQ16:BQ63,ROW(BQ16:BQ63),0,1),_xlfn.XLOOKUP(_xlpm.ai_test,BR16:BR63,ROW(BR16:BR63),0,1))),_xlpm.p,_xlpm.r-MIN(ROW(BP16:BP63))+1,_xlpm.f,INDEX(BS16:BS63,_xlpm.p),_xlpm.u,INDEX(BT16:BT63,_xlpm.p),_xlpm.s,INDEX(BV16:BV63,_xlpm.p),_xlpm.q,N(BA339)/_xlpm.f,IF(_xlpm.q&gt;=_xlpm.s,ROUND(_xlpm.q,1)&amp;" "&amp;_xlpm.ai_test&amp;" = "&amp;ROUND(_xlpm.q*_xlpm.f,1)&amp;" "&amp;_xlpm.u,ROUND(_xlpm.q,1)&amp;" "&amp;_xlpm.ai_test)),""),""))))</f>
        <v>0</v>
      </c>
      <c r="BD339" s="801"/>
      <c r="BE339" s="788" t="str">
        <f t="shared" si="153"/>
        <v/>
      </c>
      <c r="BF339" s="789" t="str">
        <f t="shared" si="156"/>
        <v/>
      </c>
      <c r="BG339" s="790">
        <f t="shared" si="157"/>
        <v>0</v>
      </c>
      <c r="BH339" s="791" t="str">
        <f t="shared" si="158"/>
        <v/>
      </c>
      <c r="BI339" s="792"/>
      <c r="BJ339" s="793">
        <f t="shared" si="159"/>
        <v>0</v>
      </c>
      <c r="BK339" s="794" t="str">
        <f t="shared" si="154"/>
        <v/>
      </c>
      <c r="BL339" s="227" t="s">
        <v>21</v>
      </c>
      <c r="BM339" s="773">
        <f t="shared" si="144"/>
        <v>0</v>
      </c>
      <c r="BN339" s="774">
        <f t="shared" si="145"/>
        <v>0</v>
      </c>
      <c r="BO339"/>
      <c r="BX339"/>
      <c r="BY339"/>
      <c r="BZ339"/>
      <c r="CA339"/>
      <c r="CB339"/>
      <c r="CC339"/>
      <c r="CD339" s="781" t="str">
        <f t="shared" si="161"/>
        <v>►</v>
      </c>
      <c r="CE339" s="633"/>
      <c r="CF339" s="633"/>
      <c r="CG339" s="633"/>
      <c r="CH339" s="633"/>
      <c r="CI339" s="633"/>
      <c r="CJ339" s="227"/>
      <c r="CK339"/>
      <c r="CL339"/>
      <c r="CM339"/>
      <c r="CN339"/>
      <c r="CO339"/>
      <c r="CP339"/>
      <c r="CQ339"/>
      <c r="CR339" s="227"/>
      <c r="CS339"/>
      <c r="CT339"/>
      <c r="CU339"/>
      <c r="CV339"/>
      <c r="CW339"/>
      <c r="CX339"/>
      <c r="CY339"/>
      <c r="CZ339" s="227"/>
      <c r="DA339"/>
      <c r="DB339"/>
      <c r="DC339"/>
      <c r="DD339"/>
      <c r="DE339"/>
      <c r="DF339"/>
      <c r="DG339"/>
      <c r="DH339" s="227"/>
      <c r="DI339" s="3">
        <v>1</v>
      </c>
    </row>
    <row r="340" spans="2:113" s="627" customFormat="1" ht="21" customHeight="1">
      <c r="B340" s="2265" t="str" cm="1">
        <f t="array" ref="B340">SUMPRODUCT(--(D340:J340&lt;&gt;""), LEN(TRIM(SUBSTITUTE(D340:J340, CHAR(160), "")))) &amp; " Car."</f>
        <v>0 Car.</v>
      </c>
      <c r="C340" s="1376" t="str">
        <f>IF(ISBLANK(D340),"",LARGE(C13:C339,1)+1)</f>
        <v/>
      </c>
      <c r="D340" s="1833"/>
      <c r="E340" s="1810"/>
      <c r="F340" s="1810"/>
      <c r="G340" s="1810"/>
      <c r="H340" s="1810"/>
      <c r="I340" s="1810"/>
      <c r="J340" s="1810"/>
      <c r="K340" s="1810"/>
      <c r="L340" s="1811"/>
      <c r="M340" s="9"/>
      <c r="N340" s="103" t="str">
        <f t="shared" si="162"/>
        <v>►</v>
      </c>
      <c r="O340" s="1616"/>
      <c r="P340" s="9"/>
      <c r="Q340" s="103" t="s">
        <v>15</v>
      </c>
      <c r="R340" s="31"/>
      <c r="S340" s="32"/>
      <c r="T340" s="31"/>
      <c r="U340" s="33"/>
      <c r="V340" s="1804"/>
      <c r="W340" s="1805"/>
      <c r="X340" s="91"/>
      <c r="Y340" s="1806"/>
      <c r="Z340" s="1807"/>
      <c r="AA340" s="919"/>
      <c r="AB340" s="1813"/>
      <c r="AC340" s="1580"/>
      <c r="AD340" s="95"/>
      <c r="AE340" s="105"/>
      <c r="AF340" s="97"/>
      <c r="AG340" s="2080"/>
      <c r="AH340" s="2081"/>
      <c r="AI340" s="99"/>
      <c r="AJ340" s="1809"/>
      <c r="AK340" s="6120" t="str">
        <f t="shared" si="155"/>
        <v>►</v>
      </c>
      <c r="AL340" s="781" t="str">
        <f t="shared" si="143"/>
        <v>►</v>
      </c>
      <c r="AM340" s="5498" t="str">
        <f t="shared" si="146"/>
        <v/>
      </c>
      <c r="AN340" s="783" t="str">
        <f t="shared" si="147"/>
        <v/>
      </c>
      <c r="AO340" s="782" t="str">
        <f t="shared" si="148"/>
        <v/>
      </c>
      <c r="AP340" s="783" t="str">
        <f t="shared" si="149"/>
        <v/>
      </c>
      <c r="AQ340" s="2083" t="b">
        <f>AND(Q340="A",COUNTIF(BP16:BR63,TRIM(Z340))&gt;0)</f>
        <v>0</v>
      </c>
      <c r="AR340" s="797" t="str">
        <f>IF(AL340&lt;&gt;"A","",IFERROR(IFERROR(_xlfn.XLOOKUP(TRIM(SUBSTITUTE(Z340,CHAR(160)," ")),BP16:BP63,BS16:BS63),IFERROR(_xlfn.XLOOKUP(TRIM(SUBSTITUTE(Z340,CHAR(160)," ")),BQ16:BQ63,BS16:BS63),_xlfn.XLOOKUP(TRIM(SUBSTITUTE(Z340,CHAR(160)," ")),BR16:BR63,BS16:BS63)))*Y340*IF(ISBLANK(V340),1,V340),0))</f>
        <v/>
      </c>
      <c r="AS340" s="784" t="str">
        <f t="shared" si="160"/>
        <v/>
      </c>
      <c r="AT340" s="1315" t="str">
        <f t="shared" si="150"/>
        <v/>
      </c>
      <c r="AU340" s="785">
        <f t="shared" si="151"/>
        <v>0</v>
      </c>
      <c r="AV340" s="785">
        <f t="shared" si="152"/>
        <v>0</v>
      </c>
      <c r="AW340" s="798">
        <f>IF(AK340="A",AY10,0)</f>
        <v>0</v>
      </c>
      <c r="AX340" s="5496" t="str">
        <f>IF(IFERROR(SEARCH("Adresse PC",TRIM(W340)),0)&gt;0,"▼ receta siguiente",IF(AK340="A",IF(AZ10&lt;&gt;"",AZ10&amp;" - ou.or.o ❾ + or - &gt;",""),""))</f>
        <v/>
      </c>
      <c r="AY340" s="810"/>
      <c r="AZ340" s="810"/>
      <c r="BA340" s="799" t="str">
        <f t="shared" ref="BA340:BA403" si="163">IF(AK340="A",IF(UPPER(TRIM(SUBSTITUTE(AS340,CHAR(160),"")))="KG",N(AR340)*N(BN340),0),"")</f>
        <v/>
      </c>
      <c r="BB340" s="800" t="str">
        <f>IF(AK340="A",IF(AQ340,IF(AND(AW340&lt;&gt;"",N(AW340)&gt;0),IFERROR(IFERROR(_xlfn.XLOOKUP(AP340,BP10:BP57,BT10:BT57),IFERROR(_xlfn.XLOOKUP(AP340,BQ10:BQ57,BT10:BT57),_xlfn.XLOOKUP(AP340,BR10:BR57,BT10:BT57,""))),""),""),""),"")</f>
        <v/>
      </c>
      <c r="BC340" s="813" cm="1">
        <f t="array" ref="BC340">IF(NOT(AQ340),0,IF(OR(BA340="",N(BA340)&lt;=0.000000001),"",IF(OR(AU340="",N(AU340)&lt;=0.000000001),0,IF(ISNUMBER(BA340),IFERROR(_xlfn.LET(_xlpm.ai_test,TRIM(AP340),_xlpm.r,IFERROR(_xlfn.XLOOKUP(_xlpm.ai_test,BP16:BP63,ROW(BP16:BP63),0,1),IFERROR(_xlfn.XLOOKUP(_xlpm.ai_test,BQ16:BQ63,ROW(BQ16:BQ63),0,1),_xlfn.XLOOKUP(_xlpm.ai_test,BR16:BR63,ROW(BR16:BR63),0,1))),_xlpm.p,_xlpm.r-MIN(ROW(BP16:BP63))+1,_xlpm.f,INDEX(BS16:BS63,_xlpm.p),_xlpm.u,INDEX(BT16:BT63,_xlpm.p),_xlpm.s,INDEX(BV16:BV63,_xlpm.p),_xlpm.q,N(BA340)/_xlpm.f,IF(_xlpm.q&gt;=_xlpm.s,ROUND(_xlpm.q,1)&amp;" "&amp;_xlpm.ai_test&amp;" = "&amp;ROUND(_xlpm.q*_xlpm.f,1)&amp;" "&amp;_xlpm.u,ROUND(_xlpm.q,1)&amp;" "&amp;_xlpm.ai_test)),""),""))))</f>
        <v>0</v>
      </c>
      <c r="BD340" s="801"/>
      <c r="BE340" s="799" t="str">
        <f t="shared" si="153"/>
        <v/>
      </c>
      <c r="BF340" s="800" t="str">
        <f t="shared" si="156"/>
        <v/>
      </c>
      <c r="BG340" s="802">
        <f t="shared" si="157"/>
        <v>0</v>
      </c>
      <c r="BH340" s="803" t="str">
        <f t="shared" si="158"/>
        <v/>
      </c>
      <c r="BI340" s="792"/>
      <c r="BJ340" s="804">
        <f t="shared" si="159"/>
        <v>0</v>
      </c>
      <c r="BK340" s="794" t="str">
        <f t="shared" si="154"/>
        <v/>
      </c>
      <c r="BL340" s="227" t="s">
        <v>21</v>
      </c>
      <c r="BM340" s="773">
        <f t="shared" si="144"/>
        <v>0</v>
      </c>
      <c r="BN340" s="774">
        <f t="shared" si="145"/>
        <v>0</v>
      </c>
      <c r="BO340"/>
      <c r="BX340"/>
      <c r="BY340"/>
      <c r="BZ340"/>
      <c r="CA340"/>
      <c r="CB340"/>
      <c r="CC340"/>
      <c r="CD340" s="781" t="str">
        <f t="shared" si="161"/>
        <v>►</v>
      </c>
      <c r="CE340" s="633"/>
      <c r="CF340" s="633"/>
      <c r="CG340" s="633"/>
      <c r="CH340" s="633"/>
      <c r="CI340" s="633"/>
      <c r="CJ340" s="227"/>
      <c r="CK340"/>
      <c r="CL340"/>
      <c r="CM340"/>
      <c r="CN340"/>
      <c r="CO340"/>
      <c r="CP340"/>
      <c r="CQ340"/>
      <c r="CR340" s="227"/>
      <c r="CS340"/>
      <c r="CT340"/>
      <c r="CU340"/>
      <c r="CV340"/>
      <c r="CW340"/>
      <c r="CX340"/>
      <c r="CY340"/>
      <c r="CZ340" s="227"/>
      <c r="DA340"/>
      <c r="DB340"/>
      <c r="DC340"/>
      <c r="DD340"/>
      <c r="DE340"/>
      <c r="DF340"/>
      <c r="DG340"/>
      <c r="DH340" s="227"/>
      <c r="DI340" s="3">
        <v>1</v>
      </c>
    </row>
    <row r="341" spans="2:113" s="627" customFormat="1" ht="21" customHeight="1">
      <c r="B341" s="2265" t="str" cm="1">
        <f t="array" ref="B341">SUMPRODUCT(--(D341:J341&lt;&gt;""), LEN(TRIM(SUBSTITUTE(D341:J341, CHAR(160), "")))) &amp; " Car."</f>
        <v>0 Car.</v>
      </c>
      <c r="C341" s="1376" t="str">
        <f>IF(ISBLANK(D341),"",LARGE(C13:C340,1)+1)</f>
        <v/>
      </c>
      <c r="D341" s="1833"/>
      <c r="E341" s="1810"/>
      <c r="F341" s="1810"/>
      <c r="G341" s="1810"/>
      <c r="H341" s="1810"/>
      <c r="I341" s="1810"/>
      <c r="J341" s="1810"/>
      <c r="K341" s="1810"/>
      <c r="L341" s="1811"/>
      <c r="M341" s="9"/>
      <c r="N341" s="103" t="str">
        <f t="shared" si="162"/>
        <v>►</v>
      </c>
      <c r="O341" s="1616"/>
      <c r="P341" s="9"/>
      <c r="Q341" s="103" t="s">
        <v>15</v>
      </c>
      <c r="R341" s="31"/>
      <c r="S341" s="32"/>
      <c r="T341" s="31"/>
      <c r="U341" s="33"/>
      <c r="V341" s="1804"/>
      <c r="W341" s="1805"/>
      <c r="X341" s="91"/>
      <c r="Y341" s="1806"/>
      <c r="Z341" s="1807"/>
      <c r="AA341" s="919"/>
      <c r="AB341" s="1813"/>
      <c r="AC341" s="1580"/>
      <c r="AD341" s="95"/>
      <c r="AE341" s="105"/>
      <c r="AF341" s="97"/>
      <c r="AG341" s="2080"/>
      <c r="AH341" s="2081"/>
      <c r="AI341" s="99"/>
      <c r="AJ341" s="1809"/>
      <c r="AK341" s="6120" t="str">
        <f t="shared" si="155"/>
        <v>►</v>
      </c>
      <c r="AL341" s="781" t="str">
        <f t="shared" si="143"/>
        <v>►</v>
      </c>
      <c r="AM341" s="5499" t="str">
        <f t="shared" si="146"/>
        <v/>
      </c>
      <c r="AN341" s="783" t="str">
        <f t="shared" si="147"/>
        <v/>
      </c>
      <c r="AO341" s="782" t="str">
        <f t="shared" si="148"/>
        <v/>
      </c>
      <c r="AP341" s="783" t="str">
        <f t="shared" si="149"/>
        <v/>
      </c>
      <c r="AQ341" s="2083" t="b">
        <f>AND(Q341="A",COUNTIF(BP16:BR63,TRIM(Z341))&gt;0)</f>
        <v>0</v>
      </c>
      <c r="AR341" s="797" t="str">
        <f>IF(AL341&lt;&gt;"A","",IFERROR(IFERROR(_xlfn.XLOOKUP(TRIM(SUBSTITUTE(Z341,CHAR(160)," ")),BP16:BP63,BS16:BS63),IFERROR(_xlfn.XLOOKUP(TRIM(SUBSTITUTE(Z341,CHAR(160)," ")),BQ16:BQ63,BS16:BS63),_xlfn.XLOOKUP(TRIM(SUBSTITUTE(Z341,CHAR(160)," ")),BR16:BR63,BS16:BS63)))*Y341*IF(ISBLANK(V341),1,V341),0))</f>
        <v/>
      </c>
      <c r="AS341" s="784" t="str">
        <f t="shared" si="160"/>
        <v/>
      </c>
      <c r="AT341" s="1315" t="str">
        <f t="shared" si="150"/>
        <v/>
      </c>
      <c r="AU341" s="785">
        <f t="shared" si="151"/>
        <v>0</v>
      </c>
      <c r="AV341" s="785">
        <f t="shared" si="152"/>
        <v>0</v>
      </c>
      <c r="AW341" s="786">
        <f>IF(AK341="A",AY10,0)</f>
        <v>0</v>
      </c>
      <c r="AX341" s="5495" t="str">
        <f>IF(IFERROR(SEARCH("Adresse PC",TRIM(W341)),0)&gt;0,"▼ receta siguiente",IF(AK341="A",IF(AZ10&lt;&gt;"",AZ10&amp;" - ou.or.o ❾ + or - &gt;",""),""))</f>
        <v/>
      </c>
      <c r="AY341" s="810"/>
      <c r="AZ341" s="810"/>
      <c r="BA341" s="788" t="str">
        <f t="shared" si="163"/>
        <v/>
      </c>
      <c r="BB341" s="789" t="str">
        <f>IF(AK341="A",IF(AQ341,IF(AND(AW341&lt;&gt;"",N(AW341)&gt;0),IFERROR(IFERROR(_xlfn.XLOOKUP(AP341,BP10:BP57,BT10:BT57),IFERROR(_xlfn.XLOOKUP(AP341,BQ10:BQ57,BT10:BT57),_xlfn.XLOOKUP(AP341,BR10:BR57,BT10:BT57,""))),""),""),""),"")</f>
        <v/>
      </c>
      <c r="BC341" s="811" cm="1">
        <f t="array" ref="BC341">IF(NOT(AQ341),0,IF(OR(BA341="",N(BA341)&lt;=0.000000001),"",IF(OR(AU341="",N(AU341)&lt;=0.000000001),0,IF(ISNUMBER(BA341),IFERROR(_xlfn.LET(_xlpm.ai_test,TRIM(AP341),_xlpm.r,IFERROR(_xlfn.XLOOKUP(_xlpm.ai_test,BP16:BP63,ROW(BP16:BP63),0,1),IFERROR(_xlfn.XLOOKUP(_xlpm.ai_test,BQ16:BQ63,ROW(BQ16:BQ63),0,1),_xlfn.XLOOKUP(_xlpm.ai_test,BR16:BR63,ROW(BR16:BR63),0,1))),_xlpm.p,_xlpm.r-MIN(ROW(BP16:BP63))+1,_xlpm.f,INDEX(BS16:BS63,_xlpm.p),_xlpm.u,INDEX(BT16:BT63,_xlpm.p),_xlpm.s,INDEX(BV16:BV63,_xlpm.p),_xlpm.q,N(BA341)/_xlpm.f,IF(_xlpm.q&gt;=_xlpm.s,ROUND(_xlpm.q,1)&amp;" "&amp;_xlpm.ai_test&amp;" = "&amp;ROUND(_xlpm.q*_xlpm.f,1)&amp;" "&amp;_xlpm.u,ROUND(_xlpm.q,1)&amp;" "&amp;_xlpm.ai_test)),""),""))))</f>
        <v>0</v>
      </c>
      <c r="BD341" s="801"/>
      <c r="BE341" s="788" t="str">
        <f t="shared" si="153"/>
        <v/>
      </c>
      <c r="BF341" s="789" t="str">
        <f t="shared" si="156"/>
        <v/>
      </c>
      <c r="BG341" s="790">
        <f t="shared" si="157"/>
        <v>0</v>
      </c>
      <c r="BH341" s="791" t="str">
        <f t="shared" si="158"/>
        <v/>
      </c>
      <c r="BI341" s="792"/>
      <c r="BJ341" s="793">
        <f t="shared" si="159"/>
        <v>0</v>
      </c>
      <c r="BK341" s="794" t="str">
        <f t="shared" si="154"/>
        <v/>
      </c>
      <c r="BL341" s="227" t="s">
        <v>21</v>
      </c>
      <c r="BM341" s="773">
        <f t="shared" si="144"/>
        <v>0</v>
      </c>
      <c r="BN341" s="774">
        <f t="shared" si="145"/>
        <v>0</v>
      </c>
      <c r="BO341"/>
      <c r="BX341"/>
      <c r="BY341"/>
      <c r="BZ341"/>
      <c r="CA341"/>
      <c r="CB341"/>
      <c r="CC341"/>
      <c r="CD341" s="781" t="str">
        <f t="shared" si="161"/>
        <v>►</v>
      </c>
      <c r="CE341" s="633"/>
      <c r="CF341" s="633"/>
      <c r="CG341" s="633"/>
      <c r="CH341" s="633"/>
      <c r="CI341" s="633"/>
      <c r="CJ341" s="227"/>
      <c r="CK341"/>
      <c r="CL341"/>
      <c r="CM341"/>
      <c r="CN341"/>
      <c r="CO341"/>
      <c r="CP341"/>
      <c r="CQ341"/>
      <c r="CR341" s="227"/>
      <c r="CS341"/>
      <c r="CT341"/>
      <c r="CU341"/>
      <c r="CV341"/>
      <c r="CW341"/>
      <c r="CX341"/>
      <c r="CY341"/>
      <c r="CZ341" s="227"/>
      <c r="DA341"/>
      <c r="DB341"/>
      <c r="DC341"/>
      <c r="DD341"/>
      <c r="DE341"/>
      <c r="DF341"/>
      <c r="DG341"/>
      <c r="DH341" s="227"/>
      <c r="DI341" s="3">
        <v>1</v>
      </c>
    </row>
    <row r="342" spans="2:113" s="627" customFormat="1" ht="21" customHeight="1">
      <c r="B342" s="2265" t="str" cm="1">
        <f t="array" ref="B342">SUMPRODUCT(--(D342:J342&lt;&gt;""), LEN(TRIM(SUBSTITUTE(D342:J342, CHAR(160), "")))) &amp; " Car."</f>
        <v>0 Car.</v>
      </c>
      <c r="C342" s="1376" t="str">
        <f>IF(ISBLANK(D342),"",LARGE(C13:C341,1)+1)</f>
        <v/>
      </c>
      <c r="D342" s="1833"/>
      <c r="E342" s="1810"/>
      <c r="F342" s="1810"/>
      <c r="G342" s="1810"/>
      <c r="H342" s="1810"/>
      <c r="I342" s="1810"/>
      <c r="J342" s="1810"/>
      <c r="K342" s="1810"/>
      <c r="L342" s="1811"/>
      <c r="M342" s="9"/>
      <c r="N342" s="103" t="str">
        <f t="shared" si="162"/>
        <v>►</v>
      </c>
      <c r="O342" s="1616"/>
      <c r="P342" s="9"/>
      <c r="Q342" s="103" t="s">
        <v>15</v>
      </c>
      <c r="R342" s="31"/>
      <c r="S342" s="32"/>
      <c r="T342" s="31"/>
      <c r="U342" s="33"/>
      <c r="V342" s="1804"/>
      <c r="W342" s="1805"/>
      <c r="X342" s="91"/>
      <c r="Y342" s="1806"/>
      <c r="Z342" s="1807"/>
      <c r="AA342" s="919"/>
      <c r="AB342" s="1813"/>
      <c r="AC342" s="1580"/>
      <c r="AD342" s="95"/>
      <c r="AE342" s="105"/>
      <c r="AF342" s="97"/>
      <c r="AG342" s="2080"/>
      <c r="AH342" s="2081"/>
      <c r="AI342" s="99"/>
      <c r="AJ342" s="1809"/>
      <c r="AK342" s="6120" t="str">
        <f t="shared" si="155"/>
        <v>►</v>
      </c>
      <c r="AL342" s="781" t="str">
        <f t="shared" si="143"/>
        <v>►</v>
      </c>
      <c r="AM342" s="5498" t="str">
        <f t="shared" si="146"/>
        <v/>
      </c>
      <c r="AN342" s="783" t="str">
        <f t="shared" si="147"/>
        <v/>
      </c>
      <c r="AO342" s="782" t="str">
        <f t="shared" si="148"/>
        <v/>
      </c>
      <c r="AP342" s="783" t="str">
        <f t="shared" si="149"/>
        <v/>
      </c>
      <c r="AQ342" s="2083" t="b">
        <f>AND(Q342="A",COUNTIF(BP16:BR63,TRIM(Z342))&gt;0)</f>
        <v>0</v>
      </c>
      <c r="AR342" s="797" t="str">
        <f>IF(AL342&lt;&gt;"A","",IFERROR(IFERROR(_xlfn.XLOOKUP(TRIM(SUBSTITUTE(Z342,CHAR(160)," ")),BP16:BP63,BS16:BS63),IFERROR(_xlfn.XLOOKUP(TRIM(SUBSTITUTE(Z342,CHAR(160)," ")),BQ16:BQ63,BS16:BS63),_xlfn.XLOOKUP(TRIM(SUBSTITUTE(Z342,CHAR(160)," ")),BR16:BR63,BS16:BS63)))*Y342*IF(ISBLANK(V342),1,V342),0))</f>
        <v/>
      </c>
      <c r="AS342" s="784" t="str">
        <f t="shared" si="160"/>
        <v/>
      </c>
      <c r="AT342" s="1315" t="str">
        <f t="shared" si="150"/>
        <v/>
      </c>
      <c r="AU342" s="785">
        <f t="shared" si="151"/>
        <v>0</v>
      </c>
      <c r="AV342" s="785">
        <f t="shared" si="152"/>
        <v>0</v>
      </c>
      <c r="AW342" s="798">
        <f>IF(AK342="A",AY10,0)</f>
        <v>0</v>
      </c>
      <c r="AX342" s="5496" t="str">
        <f>IF(IFERROR(SEARCH("Adresse PC",TRIM(W342)),0)&gt;0,"▼ receta siguiente",IF(AK342="A",IF(AZ10&lt;&gt;"",AZ10&amp;" - ou.or.o ❾ + or - &gt;",""),""))</f>
        <v/>
      </c>
      <c r="AY342" s="810"/>
      <c r="AZ342" s="810"/>
      <c r="BA342" s="799" t="str">
        <f t="shared" si="163"/>
        <v/>
      </c>
      <c r="BB342" s="800" t="str">
        <f>IF(AK342="A",IF(AQ342,IF(AND(AW342&lt;&gt;"",N(AW342)&gt;0),IFERROR(IFERROR(_xlfn.XLOOKUP(AP342,BP10:BP57,BT10:BT57),IFERROR(_xlfn.XLOOKUP(AP342,BQ10:BQ57,BT10:BT57),_xlfn.XLOOKUP(AP342,BR10:BR57,BT10:BT57,""))),""),""),""),"")</f>
        <v/>
      </c>
      <c r="BC342" s="813" cm="1">
        <f t="array" ref="BC342">IF(NOT(AQ342),0,IF(OR(BA342="",N(BA342)&lt;=0.000000001),"",IF(OR(AU342="",N(AU342)&lt;=0.000000001),0,IF(ISNUMBER(BA342),IFERROR(_xlfn.LET(_xlpm.ai_test,TRIM(AP342),_xlpm.r,IFERROR(_xlfn.XLOOKUP(_xlpm.ai_test,BP16:BP63,ROW(BP16:BP63),0,1),IFERROR(_xlfn.XLOOKUP(_xlpm.ai_test,BQ16:BQ63,ROW(BQ16:BQ63),0,1),_xlfn.XLOOKUP(_xlpm.ai_test,BR16:BR63,ROW(BR16:BR63),0,1))),_xlpm.p,_xlpm.r-MIN(ROW(BP16:BP63))+1,_xlpm.f,INDEX(BS16:BS63,_xlpm.p),_xlpm.u,INDEX(BT16:BT63,_xlpm.p),_xlpm.s,INDEX(BV16:BV63,_xlpm.p),_xlpm.q,N(BA342)/_xlpm.f,IF(_xlpm.q&gt;=_xlpm.s,ROUND(_xlpm.q,1)&amp;" "&amp;_xlpm.ai_test&amp;" = "&amp;ROUND(_xlpm.q*_xlpm.f,1)&amp;" "&amp;_xlpm.u,ROUND(_xlpm.q,1)&amp;" "&amp;_xlpm.ai_test)),""),""))))</f>
        <v>0</v>
      </c>
      <c r="BD342" s="801"/>
      <c r="BE342" s="799" t="str">
        <f t="shared" si="153"/>
        <v/>
      </c>
      <c r="BF342" s="800" t="str">
        <f t="shared" si="156"/>
        <v/>
      </c>
      <c r="BG342" s="802">
        <f t="shared" si="157"/>
        <v>0</v>
      </c>
      <c r="BH342" s="803" t="str">
        <f t="shared" si="158"/>
        <v/>
      </c>
      <c r="BI342" s="792"/>
      <c r="BJ342" s="804">
        <f t="shared" si="159"/>
        <v>0</v>
      </c>
      <c r="BK342" s="794" t="str">
        <f t="shared" si="154"/>
        <v/>
      </c>
      <c r="BL342" s="227" t="s">
        <v>21</v>
      </c>
      <c r="BM342" s="773">
        <f t="shared" si="144"/>
        <v>0</v>
      </c>
      <c r="BN342" s="774">
        <f t="shared" si="145"/>
        <v>0</v>
      </c>
      <c r="BO342"/>
      <c r="BX342"/>
      <c r="BY342"/>
      <c r="BZ342"/>
      <c r="CA342"/>
      <c r="CB342"/>
      <c r="CC342"/>
      <c r="CD342" s="781" t="str">
        <f t="shared" si="161"/>
        <v>►</v>
      </c>
      <c r="CE342" s="633"/>
      <c r="CF342" s="633"/>
      <c r="CG342" s="633"/>
      <c r="CH342" s="633"/>
      <c r="CI342" s="633"/>
      <c r="CJ342" s="227"/>
      <c r="CK342"/>
      <c r="CL342"/>
      <c r="CM342"/>
      <c r="CN342"/>
      <c r="CO342"/>
      <c r="CP342"/>
      <c r="CQ342"/>
      <c r="CR342" s="227"/>
      <c r="CS342"/>
      <c r="CT342"/>
      <c r="CU342"/>
      <c r="CV342"/>
      <c r="CW342"/>
      <c r="CX342"/>
      <c r="CY342"/>
      <c r="CZ342" s="227"/>
      <c r="DA342"/>
      <c r="DB342"/>
      <c r="DC342"/>
      <c r="DD342"/>
      <c r="DE342"/>
      <c r="DF342"/>
      <c r="DG342"/>
      <c r="DH342" s="227"/>
      <c r="DI342" s="3">
        <v>1</v>
      </c>
    </row>
    <row r="343" spans="2:113" s="627" customFormat="1" ht="21" customHeight="1">
      <c r="B343" s="2265" t="str" cm="1">
        <f t="array" ref="B343">SUMPRODUCT(--(D343:J343&lt;&gt;""), LEN(TRIM(SUBSTITUTE(D343:J343, CHAR(160), "")))) &amp; " Car."</f>
        <v>0 Car.</v>
      </c>
      <c r="C343" s="1376" t="str">
        <f>IF(ISBLANK(D343),"",LARGE(C13:C342,1)+1)</f>
        <v/>
      </c>
      <c r="D343" s="1833"/>
      <c r="E343" s="1810"/>
      <c r="F343" s="1810"/>
      <c r="G343" s="1810"/>
      <c r="H343" s="1810"/>
      <c r="I343" s="1810"/>
      <c r="J343" s="1810"/>
      <c r="K343" s="1810"/>
      <c r="L343" s="1811"/>
      <c r="M343" s="9"/>
      <c r="N343" s="103" t="str">
        <f t="shared" si="162"/>
        <v>►</v>
      </c>
      <c r="O343" s="1616"/>
      <c r="P343" s="9"/>
      <c r="Q343" s="103" t="s">
        <v>15</v>
      </c>
      <c r="R343" s="31"/>
      <c r="S343" s="32"/>
      <c r="T343" s="31"/>
      <c r="U343" s="33"/>
      <c r="V343" s="1804"/>
      <c r="W343" s="1805"/>
      <c r="X343" s="91"/>
      <c r="Y343" s="1806"/>
      <c r="Z343" s="1807"/>
      <c r="AA343" s="919"/>
      <c r="AB343" s="1813"/>
      <c r="AC343" s="1580"/>
      <c r="AD343" s="95"/>
      <c r="AE343" s="105"/>
      <c r="AF343" s="97"/>
      <c r="AG343" s="2080"/>
      <c r="AH343" s="2081"/>
      <c r="AI343" s="99"/>
      <c r="AJ343" s="1809"/>
      <c r="AK343" s="6120" t="str">
        <f t="shared" si="155"/>
        <v>►</v>
      </c>
      <c r="AL343" s="781" t="str">
        <f t="shared" ref="AL343:AL406" si="164">IF(OR(AU343&gt;0,TRIM(AM343)="▼ recette suivante"),"A","►")</f>
        <v>►</v>
      </c>
      <c r="AM343" s="5499" t="str">
        <f t="shared" si="146"/>
        <v/>
      </c>
      <c r="AN343" s="783" t="str">
        <f t="shared" si="147"/>
        <v/>
      </c>
      <c r="AO343" s="782" t="str">
        <f t="shared" si="148"/>
        <v/>
      </c>
      <c r="AP343" s="783" t="str">
        <f t="shared" si="149"/>
        <v/>
      </c>
      <c r="AQ343" s="2083" t="b">
        <f>AND(Q343="A",COUNTIF(BP16:BR63,TRIM(Z343))&gt;0)</f>
        <v>0</v>
      </c>
      <c r="AR343" s="797" t="str">
        <f>IF(AL343&lt;&gt;"A","",IFERROR(IFERROR(_xlfn.XLOOKUP(TRIM(SUBSTITUTE(Z343,CHAR(160)," ")),BP16:BP63,BS16:BS63),IFERROR(_xlfn.XLOOKUP(TRIM(SUBSTITUTE(Z343,CHAR(160)," ")),BQ16:BQ63,BS16:BS63),_xlfn.XLOOKUP(TRIM(SUBSTITUTE(Z343,CHAR(160)," ")),BR16:BR63,BS16:BS63)))*Y343*IF(ISBLANK(V343),1,V343),0))</f>
        <v/>
      </c>
      <c r="AS343" s="784" t="str">
        <f t="shared" si="160"/>
        <v/>
      </c>
      <c r="AT343" s="1315" t="str">
        <f t="shared" si="150"/>
        <v/>
      </c>
      <c r="AU343" s="785">
        <f t="shared" si="151"/>
        <v>0</v>
      </c>
      <c r="AV343" s="785">
        <f t="shared" si="152"/>
        <v>0</v>
      </c>
      <c r="AW343" s="786">
        <f>IF(AK343="A",AY10,0)</f>
        <v>0</v>
      </c>
      <c r="AX343" s="5495" t="str">
        <f>IF(IFERROR(SEARCH("Adresse PC",TRIM(W343)),0)&gt;0,"▼ receta siguiente",IF(AK343="A",IF(AZ10&lt;&gt;"",AZ10&amp;" - ou.or.o ❾ + or - &gt;",""),""))</f>
        <v/>
      </c>
      <c r="AY343" s="810"/>
      <c r="AZ343" s="810"/>
      <c r="BA343" s="788" t="str">
        <f t="shared" si="163"/>
        <v/>
      </c>
      <c r="BB343" s="789" t="str">
        <f>IF(AK343="A",IF(AQ343,IF(AND(AW343&lt;&gt;"",N(AW343)&gt;0),IFERROR(IFERROR(_xlfn.XLOOKUP(AP343,BP10:BP57,BT10:BT57),IFERROR(_xlfn.XLOOKUP(AP343,BQ10:BQ57,BT10:BT57),_xlfn.XLOOKUP(AP343,BR10:BR57,BT10:BT57,""))),""),""),""),"")</f>
        <v/>
      </c>
      <c r="BC343" s="811" cm="1">
        <f t="array" ref="BC343">IF(NOT(AQ343),0,IF(OR(BA343="",N(BA343)&lt;=0.000000001),"",IF(OR(AU343="",N(AU343)&lt;=0.000000001),0,IF(ISNUMBER(BA343),IFERROR(_xlfn.LET(_xlpm.ai_test,TRIM(AP343),_xlpm.r,IFERROR(_xlfn.XLOOKUP(_xlpm.ai_test,BP16:BP63,ROW(BP16:BP63),0,1),IFERROR(_xlfn.XLOOKUP(_xlpm.ai_test,BQ16:BQ63,ROW(BQ16:BQ63),0,1),_xlfn.XLOOKUP(_xlpm.ai_test,BR16:BR63,ROW(BR16:BR63),0,1))),_xlpm.p,_xlpm.r-MIN(ROW(BP16:BP63))+1,_xlpm.f,INDEX(BS16:BS63,_xlpm.p),_xlpm.u,INDEX(BT16:BT63,_xlpm.p),_xlpm.s,INDEX(BV16:BV63,_xlpm.p),_xlpm.q,N(BA343)/_xlpm.f,IF(_xlpm.q&gt;=_xlpm.s,ROUND(_xlpm.q,1)&amp;" "&amp;_xlpm.ai_test&amp;" = "&amp;ROUND(_xlpm.q*_xlpm.f,1)&amp;" "&amp;_xlpm.u,ROUND(_xlpm.q,1)&amp;" "&amp;_xlpm.ai_test)),""),""))))</f>
        <v>0</v>
      </c>
      <c r="BD343" s="801"/>
      <c r="BE343" s="788" t="str">
        <f t="shared" si="153"/>
        <v/>
      </c>
      <c r="BF343" s="789" t="str">
        <f t="shared" si="156"/>
        <v/>
      </c>
      <c r="BG343" s="790">
        <f t="shared" si="157"/>
        <v>0</v>
      </c>
      <c r="BH343" s="791" t="str">
        <f t="shared" si="158"/>
        <v/>
      </c>
      <c r="BI343" s="792"/>
      <c r="BJ343" s="793">
        <f t="shared" si="159"/>
        <v>0</v>
      </c>
      <c r="BK343" s="794" t="str">
        <f t="shared" si="154"/>
        <v/>
      </c>
      <c r="BL343" s="227" t="s">
        <v>21</v>
      </c>
      <c r="BM343" s="773">
        <f t="shared" ref="BM343:BM406" si="165">IFERROR(_xlfn.LET(_xlpm.EPS,0.000000001,_xlpm.b,V343/AU343,IF(ISNUMBER(AY343),_xlpm.b*AY343,IF(OR(ISBLANK(AY343),AY343=""),_xlpm.b*AW343,IF(AND(BN343=0,ISNUMBER(V343)),_xlpm.b/AW343,0)))),0)</f>
        <v>0</v>
      </c>
      <c r="BN343" s="774">
        <f t="shared" ref="BN343:BN406" si="166">IF(AR343&gt;0,IFERROR(IF(OR(ISBLANK(AY343),AY343=""),AW343,AY343)/AU343,0),0)</f>
        <v>0</v>
      </c>
      <c r="BO343"/>
      <c r="BX343"/>
      <c r="BY343"/>
      <c r="BZ343"/>
      <c r="CA343"/>
      <c r="CB343"/>
      <c r="CC343"/>
      <c r="CD343" s="781" t="str">
        <f t="shared" si="161"/>
        <v>►</v>
      </c>
      <c r="CE343" s="633"/>
      <c r="CF343" s="633"/>
      <c r="CG343" s="633"/>
      <c r="CH343" s="633"/>
      <c r="CI343" s="633"/>
      <c r="CJ343" s="227"/>
      <c r="CK343"/>
      <c r="CL343"/>
      <c r="CM343"/>
      <c r="CN343"/>
      <c r="CO343"/>
      <c r="CP343"/>
      <c r="CQ343"/>
      <c r="CR343" s="227"/>
      <c r="CS343"/>
      <c r="CT343"/>
      <c r="CU343"/>
      <c r="CV343"/>
      <c r="CW343"/>
      <c r="CX343"/>
      <c r="CY343"/>
      <c r="CZ343" s="227"/>
      <c r="DA343"/>
      <c r="DB343"/>
      <c r="DC343"/>
      <c r="DD343"/>
      <c r="DE343"/>
      <c r="DF343"/>
      <c r="DG343"/>
      <c r="DH343" s="227"/>
      <c r="DI343" s="3">
        <v>1</v>
      </c>
    </row>
    <row r="344" spans="2:113" s="627" customFormat="1" ht="21" customHeight="1">
      <c r="B344" s="2265" t="str" cm="1">
        <f t="array" ref="B344">SUMPRODUCT(--(D344:J344&lt;&gt;""), LEN(TRIM(SUBSTITUTE(D344:J344, CHAR(160), "")))) &amp; " Car."</f>
        <v>0 Car.</v>
      </c>
      <c r="C344" s="1376" t="str">
        <f>IF(ISBLANK(D344),"",LARGE(C13:C343,1)+1)</f>
        <v/>
      </c>
      <c r="D344" s="1833"/>
      <c r="E344" s="1810"/>
      <c r="F344" s="1810"/>
      <c r="G344" s="1810"/>
      <c r="H344" s="1810"/>
      <c r="I344" s="1810"/>
      <c r="J344" s="1810"/>
      <c r="K344" s="1810"/>
      <c r="L344" s="1811"/>
      <c r="M344" s="9"/>
      <c r="N344" s="103" t="str">
        <f t="shared" si="162"/>
        <v>►</v>
      </c>
      <c r="O344" s="1616"/>
      <c r="P344" s="9"/>
      <c r="Q344" s="103" t="s">
        <v>15</v>
      </c>
      <c r="R344" s="31"/>
      <c r="S344" s="32"/>
      <c r="T344" s="31"/>
      <c r="U344" s="33"/>
      <c r="V344" s="1804"/>
      <c r="W344" s="1805"/>
      <c r="X344" s="91"/>
      <c r="Y344" s="1806"/>
      <c r="Z344" s="1807"/>
      <c r="AA344" s="919"/>
      <c r="AB344" s="1813"/>
      <c r="AC344" s="1580"/>
      <c r="AD344" s="95"/>
      <c r="AE344" s="105"/>
      <c r="AF344" s="97"/>
      <c r="AG344" s="2080"/>
      <c r="AH344" s="2081"/>
      <c r="AI344" s="99"/>
      <c r="AJ344" s="1809"/>
      <c r="AK344" s="6120" t="str">
        <f t="shared" si="155"/>
        <v>►</v>
      </c>
      <c r="AL344" s="781" t="str">
        <f t="shared" si="164"/>
        <v>►</v>
      </c>
      <c r="AM344" s="5498" t="str">
        <f t="shared" ref="AM344:AM407" si="167">IF(IFERROR(SEARCH("Adresse PC",TRIM(SUBSTITUTE(W344,CHAR(160)," "))),0)&gt;0,"▼ recette suivante",IF(AK344="A",R344,""))</f>
        <v/>
      </c>
      <c r="AN344" s="783" t="str">
        <f t="shared" ref="AN344:AN407" si="168">IF(AK344="A",S344,"")</f>
        <v/>
      </c>
      <c r="AO344" s="782" t="str">
        <f t="shared" ref="AO344:AO407" si="169">IF(AK344="A",T344,"")</f>
        <v/>
      </c>
      <c r="AP344" s="783" t="str">
        <f t="shared" ref="AP344:AP407" si="170">IF(AK344="A",Z344,"")</f>
        <v/>
      </c>
      <c r="AQ344" s="2083" t="b">
        <f>AND(Q344="A",COUNTIF(BP16:BR63,TRIM(Z344))&gt;0)</f>
        <v>0</v>
      </c>
      <c r="AR344" s="797" t="str">
        <f>IF(AL344&lt;&gt;"A","",IFERROR(IFERROR(_xlfn.XLOOKUP(TRIM(SUBSTITUTE(Z344,CHAR(160)," ")),BP16:BP63,BS16:BS63),IFERROR(_xlfn.XLOOKUP(TRIM(SUBSTITUTE(Z344,CHAR(160)," ")),BQ16:BQ63,BS16:BS63),_xlfn.XLOOKUP(TRIM(SUBSTITUTE(Z344,CHAR(160)," ")),BR16:BR63,BS16:BS63)))*Y344*IF(ISBLANK(V344),1,V344),0))</f>
        <v/>
      </c>
      <c r="AS344" s="784" t="str">
        <f t="shared" si="160"/>
        <v/>
      </c>
      <c r="AT344" s="1315" t="str">
        <f t="shared" ref="AT344:AT407" si="171">IF(AK344="A","❾ Author reference &gt;","")</f>
        <v/>
      </c>
      <c r="AU344" s="785">
        <f t="shared" ref="AU344:AU407" si="172">IF(AK344="A",S344,0)</f>
        <v>0</v>
      </c>
      <c r="AV344" s="785">
        <f t="shared" ref="AV344:AV407" si="173">IF(AK344="A",T344,0)</f>
        <v>0</v>
      </c>
      <c r="AW344" s="798">
        <f>IF(AK344="A",AY10,0)</f>
        <v>0</v>
      </c>
      <c r="AX344" s="5496" t="str">
        <f>IF(IFERROR(SEARCH("Adresse PC",TRIM(W344)),0)&gt;0,"▼ receta siguiente",IF(AK344="A",IF(AZ10&lt;&gt;"",AZ10&amp;" - ou.or.o ❾ + or - &gt;",""),""))</f>
        <v/>
      </c>
      <c r="AY344" s="810"/>
      <c r="AZ344" s="810"/>
      <c r="BA344" s="799" t="str">
        <f t="shared" si="163"/>
        <v/>
      </c>
      <c r="BB344" s="800" t="str">
        <f>IF(AK344="A",IF(AQ344,IF(AND(AW344&lt;&gt;"",N(AW344)&gt;0),IFERROR(IFERROR(_xlfn.XLOOKUP(AP344,BP10:BP57,BT10:BT57),IFERROR(_xlfn.XLOOKUP(AP344,BQ10:BQ57,BT10:BT57),_xlfn.XLOOKUP(AP344,BR10:BR57,BT10:BT57,""))),""),""),""),"")</f>
        <v/>
      </c>
      <c r="BC344" s="813" cm="1">
        <f t="array" ref="BC344">IF(NOT(AQ344),0,IF(OR(BA344="",N(BA344)&lt;=0.000000001),"",IF(OR(AU344="",N(AU344)&lt;=0.000000001),0,IF(ISNUMBER(BA344),IFERROR(_xlfn.LET(_xlpm.ai_test,TRIM(AP344),_xlpm.r,IFERROR(_xlfn.XLOOKUP(_xlpm.ai_test,BP16:BP63,ROW(BP16:BP63),0,1),IFERROR(_xlfn.XLOOKUP(_xlpm.ai_test,BQ16:BQ63,ROW(BQ16:BQ63),0,1),_xlfn.XLOOKUP(_xlpm.ai_test,BR16:BR63,ROW(BR16:BR63),0,1))),_xlpm.p,_xlpm.r-MIN(ROW(BP16:BP63))+1,_xlpm.f,INDEX(BS16:BS63,_xlpm.p),_xlpm.u,INDEX(BT16:BT63,_xlpm.p),_xlpm.s,INDEX(BV16:BV63,_xlpm.p),_xlpm.q,N(BA344)/_xlpm.f,IF(_xlpm.q&gt;=_xlpm.s,ROUND(_xlpm.q,1)&amp;" "&amp;_xlpm.ai_test&amp;" = "&amp;ROUND(_xlpm.q*_xlpm.f,1)&amp;" "&amp;_xlpm.u,ROUND(_xlpm.q,1)&amp;" "&amp;_xlpm.ai_test)),""),""))))</f>
        <v>0</v>
      </c>
      <c r="BD344" s="801"/>
      <c r="BE344" s="799" t="str">
        <f t="shared" ref="BE344:BE407" si="174">IF(IFERROR(SEARCH("Adresse PC",TRIM(W344)),0)&gt;0,"▼next ricipe ",IF(BA344="","",IF(AK344="A",IF(ISBLANK(BD344),BA344,ROUND(BA344*(1-MIN(1,MAX(0,IF(BD344&gt;1,BD344/100,BD344)))),3)))))</f>
        <v/>
      </c>
      <c r="BF344" s="800" t="str">
        <f t="shared" si="156"/>
        <v/>
      </c>
      <c r="BG344" s="802">
        <f t="shared" si="157"/>
        <v>0</v>
      </c>
      <c r="BH344" s="803" t="str">
        <f t="shared" si="158"/>
        <v/>
      </c>
      <c r="BI344" s="792"/>
      <c r="BJ344" s="804">
        <f t="shared" si="159"/>
        <v>0</v>
      </c>
      <c r="BK344" s="794" t="str">
        <f t="shared" ref="BK344:BK407" si="175">IF(AK344="A",IF(IFERROR(SEARCH("Adresse PC",TRIM(W344)),0)&gt;0,"▼recette suivante ",IF(BE344&gt;0,AC344,"")),"")</f>
        <v/>
      </c>
      <c r="BL344" s="227" t="s">
        <v>21</v>
      </c>
      <c r="BM344" s="773">
        <f t="shared" si="165"/>
        <v>0</v>
      </c>
      <c r="BN344" s="774">
        <f t="shared" si="166"/>
        <v>0</v>
      </c>
      <c r="BO344"/>
      <c r="BX344"/>
      <c r="BY344"/>
      <c r="BZ344"/>
      <c r="CA344"/>
      <c r="CB344"/>
      <c r="CC344"/>
      <c r="CD344" s="781" t="str">
        <f t="shared" si="161"/>
        <v>►</v>
      </c>
      <c r="CE344" s="633"/>
      <c r="CF344" s="633"/>
      <c r="CG344" s="633"/>
      <c r="CH344" s="633"/>
      <c r="CI344" s="633"/>
      <c r="CJ344" s="227"/>
      <c r="CK344"/>
      <c r="CL344"/>
      <c r="CM344"/>
      <c r="CN344"/>
      <c r="CO344"/>
      <c r="CP344"/>
      <c r="CQ344"/>
      <c r="CR344" s="227"/>
      <c r="CS344"/>
      <c r="CT344"/>
      <c r="CU344"/>
      <c r="CV344"/>
      <c r="CW344"/>
      <c r="CX344"/>
      <c r="CY344"/>
      <c r="CZ344" s="227"/>
      <c r="DA344"/>
      <c r="DB344"/>
      <c r="DC344"/>
      <c r="DD344"/>
      <c r="DE344"/>
      <c r="DF344"/>
      <c r="DG344"/>
      <c r="DH344" s="227"/>
      <c r="DI344" s="3">
        <v>1</v>
      </c>
    </row>
    <row r="345" spans="2:113" s="627" customFormat="1" ht="21" customHeight="1">
      <c r="B345" s="2265" t="str" cm="1">
        <f t="array" ref="B345">SUMPRODUCT(--(D345:J345&lt;&gt;""), LEN(TRIM(SUBSTITUTE(D345:J345, CHAR(160), "")))) &amp; " Car."</f>
        <v>0 Car.</v>
      </c>
      <c r="C345" s="1376" t="str">
        <f>IF(ISBLANK(D345),"",LARGE(C13:C344,1)+1)</f>
        <v/>
      </c>
      <c r="D345" s="1833"/>
      <c r="E345" s="1810"/>
      <c r="F345" s="1810"/>
      <c r="G345" s="1810"/>
      <c r="H345" s="1810"/>
      <c r="I345" s="1810"/>
      <c r="J345" s="1810"/>
      <c r="K345" s="1810"/>
      <c r="L345" s="1811"/>
      <c r="M345"/>
      <c r="N345" s="103" t="str">
        <f t="shared" si="162"/>
        <v>►</v>
      </c>
      <c r="O345" s="1616"/>
      <c r="P345"/>
      <c r="Q345" s="103" t="s">
        <v>15</v>
      </c>
      <c r="R345" s="31"/>
      <c r="S345" s="32"/>
      <c r="T345" s="31"/>
      <c r="U345" s="33"/>
      <c r="V345" s="1804"/>
      <c r="W345" s="1805"/>
      <c r="X345" s="91"/>
      <c r="Y345" s="1806"/>
      <c r="Z345" s="1807"/>
      <c r="AA345" s="919"/>
      <c r="AB345" s="1813"/>
      <c r="AC345" s="1580"/>
      <c r="AD345" s="95"/>
      <c r="AE345" s="105"/>
      <c r="AF345" s="97"/>
      <c r="AG345" s="2080"/>
      <c r="AH345" s="2081"/>
      <c r="AI345" s="99"/>
      <c r="AJ345" s="1809"/>
      <c r="AK345" s="6120" t="str">
        <f t="shared" ref="AK345:AK408" si="176">IF(AND(IFERROR(SEARCH("►",AB345),0)&gt;0,ISNUMBER(IFERROR(VALUE(TRIM(SUBSTITUTE(AB345,"►",""))),NA())),AC345&lt;&gt;""),"A","►")</f>
        <v>►</v>
      </c>
      <c r="AL345" s="781" t="str">
        <f t="shared" si="164"/>
        <v>►</v>
      </c>
      <c r="AM345" s="5499" t="str">
        <f t="shared" si="167"/>
        <v/>
      </c>
      <c r="AN345" s="783" t="str">
        <f t="shared" si="168"/>
        <v/>
      </c>
      <c r="AO345" s="782" t="str">
        <f t="shared" si="169"/>
        <v/>
      </c>
      <c r="AP345" s="783" t="str">
        <f t="shared" si="170"/>
        <v/>
      </c>
      <c r="AQ345" s="2083" t="b">
        <f>AND(Q345="A",COUNTIF(BP16:BR63,TRIM(Z345))&gt;0)</f>
        <v>0</v>
      </c>
      <c r="AR345" s="797" t="str">
        <f>IF(AL345&lt;&gt;"A","",IFERROR(IFERROR(_xlfn.XLOOKUP(TRIM(SUBSTITUTE(Z345,CHAR(160)," ")),BP16:BP63,BS16:BS63),IFERROR(_xlfn.XLOOKUP(TRIM(SUBSTITUTE(Z345,CHAR(160)," ")),BQ16:BQ63,BS16:BS63),_xlfn.XLOOKUP(TRIM(SUBSTITUTE(Z345,CHAR(160)," ")),BR16:BR63,BS16:BS63)))*Y345*IF(ISBLANK(V345),1,V345),0))</f>
        <v/>
      </c>
      <c r="AS345" s="784" t="str">
        <f t="shared" si="160"/>
        <v/>
      </c>
      <c r="AT345" s="1315" t="str">
        <f t="shared" si="171"/>
        <v/>
      </c>
      <c r="AU345" s="785">
        <f t="shared" si="172"/>
        <v>0</v>
      </c>
      <c r="AV345" s="785">
        <f t="shared" si="173"/>
        <v>0</v>
      </c>
      <c r="AW345" s="786">
        <f>IF(AK345="A",AY10,0)</f>
        <v>0</v>
      </c>
      <c r="AX345" s="5495" t="str">
        <f>IF(IFERROR(SEARCH("Adresse PC",TRIM(W345)),0)&gt;0,"▼ receta siguiente",IF(AK345="A",IF(AZ10&lt;&gt;"",AZ10&amp;" - ou.or.o ❾ + or - &gt;",""),""))</f>
        <v/>
      </c>
      <c r="AY345" s="810"/>
      <c r="AZ345" s="810"/>
      <c r="BA345" s="788" t="str">
        <f t="shared" si="163"/>
        <v/>
      </c>
      <c r="BB345" s="789" t="str">
        <f>IF(AK345="A",IF(AQ345,IF(AND(AW345&lt;&gt;"",N(AW345)&gt;0),IFERROR(IFERROR(_xlfn.XLOOKUP(AP345,BP10:BP57,BT10:BT57),IFERROR(_xlfn.XLOOKUP(AP345,BQ10:BQ57,BT10:BT57),_xlfn.XLOOKUP(AP345,BR10:BR57,BT10:BT57,""))),""),""),""),"")</f>
        <v/>
      </c>
      <c r="BC345" s="811" cm="1">
        <f t="array" ref="BC345">IF(NOT(AQ345),0,IF(OR(BA345="",N(BA345)&lt;=0.000000001),"",IF(OR(AU345="",N(AU345)&lt;=0.000000001),0,IF(ISNUMBER(BA345),IFERROR(_xlfn.LET(_xlpm.ai_test,TRIM(AP345),_xlpm.r,IFERROR(_xlfn.XLOOKUP(_xlpm.ai_test,BP16:BP63,ROW(BP16:BP63),0,1),IFERROR(_xlfn.XLOOKUP(_xlpm.ai_test,BQ16:BQ63,ROW(BQ16:BQ63),0,1),_xlfn.XLOOKUP(_xlpm.ai_test,BR16:BR63,ROW(BR16:BR63),0,1))),_xlpm.p,_xlpm.r-MIN(ROW(BP16:BP63))+1,_xlpm.f,INDEX(BS16:BS63,_xlpm.p),_xlpm.u,INDEX(BT16:BT63,_xlpm.p),_xlpm.s,INDEX(BV16:BV63,_xlpm.p),_xlpm.q,N(BA345)/_xlpm.f,IF(_xlpm.q&gt;=_xlpm.s,ROUND(_xlpm.q,1)&amp;" "&amp;_xlpm.ai_test&amp;" = "&amp;ROUND(_xlpm.q*_xlpm.f,1)&amp;" "&amp;_xlpm.u,ROUND(_xlpm.q,1)&amp;" "&amp;_xlpm.ai_test)),""),""))))</f>
        <v>0</v>
      </c>
      <c r="BD345" s="801"/>
      <c r="BE345" s="788" t="str">
        <f t="shared" si="174"/>
        <v/>
      </c>
      <c r="BF345" s="789" t="str">
        <f t="shared" si="156"/>
        <v/>
      </c>
      <c r="BG345" s="790">
        <f t="shared" si="157"/>
        <v>0</v>
      </c>
      <c r="BH345" s="791" t="str">
        <f t="shared" si="158"/>
        <v/>
      </c>
      <c r="BI345" s="792"/>
      <c r="BJ345" s="793">
        <f t="shared" si="159"/>
        <v>0</v>
      </c>
      <c r="BK345" s="794" t="str">
        <f t="shared" si="175"/>
        <v/>
      </c>
      <c r="BL345" s="227" t="s">
        <v>21</v>
      </c>
      <c r="BM345" s="773">
        <f t="shared" si="165"/>
        <v>0</v>
      </c>
      <c r="BN345" s="774">
        <f t="shared" si="166"/>
        <v>0</v>
      </c>
      <c r="BO345"/>
      <c r="BX345"/>
      <c r="BY345"/>
      <c r="BZ345"/>
      <c r="CA345"/>
      <c r="CB345"/>
      <c r="CC345"/>
      <c r="CD345" s="781" t="str">
        <f t="shared" si="161"/>
        <v>►</v>
      </c>
      <c r="CE345" s="633"/>
      <c r="CF345" s="633"/>
      <c r="CG345" s="633"/>
      <c r="CH345" s="633"/>
      <c r="CI345" s="633"/>
      <c r="CJ345" s="227"/>
      <c r="CK345"/>
      <c r="CL345"/>
      <c r="CM345"/>
      <c r="CN345"/>
      <c r="CO345"/>
      <c r="CP345"/>
      <c r="CQ345"/>
      <c r="CR345" s="227"/>
      <c r="CS345"/>
      <c r="CT345"/>
      <c r="CU345"/>
      <c r="CV345"/>
      <c r="CW345"/>
      <c r="CX345"/>
      <c r="CY345"/>
      <c r="CZ345" s="227"/>
      <c r="DA345"/>
      <c r="DB345"/>
      <c r="DC345"/>
      <c r="DD345"/>
      <c r="DE345"/>
      <c r="DF345"/>
      <c r="DG345"/>
      <c r="DH345" s="227"/>
      <c r="DI345" s="3">
        <v>1</v>
      </c>
    </row>
    <row r="346" spans="2:113" s="627" customFormat="1" ht="21" customHeight="1">
      <c r="B346" s="2265" t="str" cm="1">
        <f t="array" ref="B346">SUMPRODUCT(--(D346:J346&lt;&gt;""), LEN(TRIM(SUBSTITUTE(D346:J346, CHAR(160), "")))) &amp; " Car."</f>
        <v>0 Car.</v>
      </c>
      <c r="C346" s="1376" t="str">
        <f>IF(ISBLANK(D346),"",LARGE(C13:C345,1)+1)</f>
        <v/>
      </c>
      <c r="D346" s="1833"/>
      <c r="E346" s="1810"/>
      <c r="F346" s="1810"/>
      <c r="G346" s="1810"/>
      <c r="H346" s="1810"/>
      <c r="I346" s="1810"/>
      <c r="J346" s="1810"/>
      <c r="K346" s="1810"/>
      <c r="L346" s="1811"/>
      <c r="M346"/>
      <c r="N346" s="103" t="str">
        <f t="shared" si="162"/>
        <v>►</v>
      </c>
      <c r="O346" s="1616"/>
      <c r="P346"/>
      <c r="Q346" s="103" t="s">
        <v>15</v>
      </c>
      <c r="R346" s="31"/>
      <c r="S346" s="32"/>
      <c r="T346" s="31"/>
      <c r="U346" s="33"/>
      <c r="V346" s="1804"/>
      <c r="W346" s="1805"/>
      <c r="X346" s="91"/>
      <c r="Y346" s="1806"/>
      <c r="Z346" s="1807"/>
      <c r="AA346" s="919"/>
      <c r="AB346" s="1813"/>
      <c r="AC346" s="1580"/>
      <c r="AD346" s="95"/>
      <c r="AE346" s="105"/>
      <c r="AF346" s="97"/>
      <c r="AG346" s="2080"/>
      <c r="AH346" s="2081"/>
      <c r="AI346" s="99"/>
      <c r="AJ346" s="1809"/>
      <c r="AK346" s="6120" t="str">
        <f t="shared" si="176"/>
        <v>►</v>
      </c>
      <c r="AL346" s="781" t="str">
        <f t="shared" si="164"/>
        <v>►</v>
      </c>
      <c r="AM346" s="5498" t="str">
        <f t="shared" si="167"/>
        <v/>
      </c>
      <c r="AN346" s="783" t="str">
        <f t="shared" si="168"/>
        <v/>
      </c>
      <c r="AO346" s="782" t="str">
        <f t="shared" si="169"/>
        <v/>
      </c>
      <c r="AP346" s="783" t="str">
        <f t="shared" si="170"/>
        <v/>
      </c>
      <c r="AQ346" s="2083" t="b">
        <f>AND(Q346="A",COUNTIF(BP16:BR63,TRIM(Z346))&gt;0)</f>
        <v>0</v>
      </c>
      <c r="AR346" s="797" t="str">
        <f>IF(AL346&lt;&gt;"A","",IFERROR(IFERROR(_xlfn.XLOOKUP(TRIM(SUBSTITUTE(Z346,CHAR(160)," ")),BP16:BP63,BS16:BS63),IFERROR(_xlfn.XLOOKUP(TRIM(SUBSTITUTE(Z346,CHAR(160)," ")),BQ16:BQ63,BS16:BS63),_xlfn.XLOOKUP(TRIM(SUBSTITUTE(Z346,CHAR(160)," ")),BR16:BR63,BS16:BS63)))*Y346*IF(ISBLANK(V346),1,V346),0))</f>
        <v/>
      </c>
      <c r="AS346" s="784" t="str">
        <f t="shared" si="160"/>
        <v/>
      </c>
      <c r="AT346" s="1315" t="str">
        <f t="shared" si="171"/>
        <v/>
      </c>
      <c r="AU346" s="785">
        <f t="shared" si="172"/>
        <v>0</v>
      </c>
      <c r="AV346" s="785">
        <f t="shared" si="173"/>
        <v>0</v>
      </c>
      <c r="AW346" s="798">
        <f>IF(AK346="A",AY10,0)</f>
        <v>0</v>
      </c>
      <c r="AX346" s="5496" t="str">
        <f>IF(IFERROR(SEARCH("Adresse PC",TRIM(W346)),0)&gt;0,"▼ receta siguiente",IF(AK346="A",IF(AZ10&lt;&gt;"",AZ10&amp;" - ou.or.o ❾ + or - &gt;",""),""))</f>
        <v/>
      </c>
      <c r="AY346" s="810"/>
      <c r="AZ346" s="810"/>
      <c r="BA346" s="799" t="str">
        <f t="shared" si="163"/>
        <v/>
      </c>
      <c r="BB346" s="800" t="str">
        <f>IF(AK346="A",IF(AQ346,IF(AND(AW346&lt;&gt;"",N(AW346)&gt;0),IFERROR(IFERROR(_xlfn.XLOOKUP(AP346,BP10:BP57,BT10:BT57),IFERROR(_xlfn.XLOOKUP(AP346,BQ10:BQ57,BT10:BT57),_xlfn.XLOOKUP(AP346,BR10:BR57,BT10:BT57,""))),""),""),""),"")</f>
        <v/>
      </c>
      <c r="BC346" s="813" cm="1">
        <f t="array" ref="BC346">IF(NOT(AQ346),0,IF(OR(BA346="",N(BA346)&lt;=0.000000001),"",IF(OR(AU346="",N(AU346)&lt;=0.000000001),0,IF(ISNUMBER(BA346),IFERROR(_xlfn.LET(_xlpm.ai_test,TRIM(AP346),_xlpm.r,IFERROR(_xlfn.XLOOKUP(_xlpm.ai_test,BP16:BP63,ROW(BP16:BP63),0,1),IFERROR(_xlfn.XLOOKUP(_xlpm.ai_test,BQ16:BQ63,ROW(BQ16:BQ63),0,1),_xlfn.XLOOKUP(_xlpm.ai_test,BR16:BR63,ROW(BR16:BR63),0,1))),_xlpm.p,_xlpm.r-MIN(ROW(BP16:BP63))+1,_xlpm.f,INDEX(BS16:BS63,_xlpm.p),_xlpm.u,INDEX(BT16:BT63,_xlpm.p),_xlpm.s,INDEX(BV16:BV63,_xlpm.p),_xlpm.q,N(BA346)/_xlpm.f,IF(_xlpm.q&gt;=_xlpm.s,ROUND(_xlpm.q,1)&amp;" "&amp;_xlpm.ai_test&amp;" = "&amp;ROUND(_xlpm.q*_xlpm.f,1)&amp;" "&amp;_xlpm.u,ROUND(_xlpm.q,1)&amp;" "&amp;_xlpm.ai_test)),""),""))))</f>
        <v>0</v>
      </c>
      <c r="BD346" s="801"/>
      <c r="BE346" s="799" t="str">
        <f t="shared" si="174"/>
        <v/>
      </c>
      <c r="BF346" s="800" t="str">
        <f t="shared" si="156"/>
        <v/>
      </c>
      <c r="BG346" s="802">
        <f t="shared" si="157"/>
        <v>0</v>
      </c>
      <c r="BH346" s="803" t="str">
        <f t="shared" si="158"/>
        <v/>
      </c>
      <c r="BI346" s="792"/>
      <c r="BJ346" s="804">
        <f t="shared" si="159"/>
        <v>0</v>
      </c>
      <c r="BK346" s="794" t="str">
        <f t="shared" si="175"/>
        <v/>
      </c>
      <c r="BL346" s="227" t="s">
        <v>21</v>
      </c>
      <c r="BM346" s="773">
        <f t="shared" si="165"/>
        <v>0</v>
      </c>
      <c r="BN346" s="774">
        <f t="shared" si="166"/>
        <v>0</v>
      </c>
      <c r="BO346"/>
      <c r="BX346"/>
      <c r="BY346"/>
      <c r="BZ346"/>
      <c r="CA346"/>
      <c r="CB346"/>
      <c r="CC346"/>
      <c r="CD346" s="781" t="str">
        <f t="shared" si="161"/>
        <v>►</v>
      </c>
      <c r="CE346" s="633"/>
      <c r="CF346" s="633"/>
      <c r="CG346" s="633"/>
      <c r="CH346" s="633"/>
      <c r="CI346" s="633"/>
      <c r="CJ346" s="227"/>
      <c r="CK346"/>
      <c r="CL346"/>
      <c r="CM346"/>
      <c r="CN346"/>
      <c r="CO346"/>
      <c r="CP346"/>
      <c r="CQ346"/>
      <c r="CR346" s="227"/>
      <c r="CS346"/>
      <c r="CT346"/>
      <c r="CU346"/>
      <c r="CV346"/>
      <c r="CW346"/>
      <c r="CX346"/>
      <c r="CY346"/>
      <c r="CZ346" s="227"/>
      <c r="DA346"/>
      <c r="DB346"/>
      <c r="DC346"/>
      <c r="DD346"/>
      <c r="DE346"/>
      <c r="DF346"/>
      <c r="DG346"/>
      <c r="DH346" s="227"/>
      <c r="DI346" s="3">
        <v>1</v>
      </c>
    </row>
    <row r="347" spans="2:113" s="627" customFormat="1" ht="21" customHeight="1">
      <c r="B347" s="2265" t="str" cm="1">
        <f t="array" ref="B347">SUMPRODUCT(--(D347:J347&lt;&gt;""), LEN(TRIM(SUBSTITUTE(D347:J347, CHAR(160), "")))) &amp; " Car."</f>
        <v>0 Car.</v>
      </c>
      <c r="C347" s="1376" t="str">
        <f>IF(ISBLANK(D347),"",LARGE(C13:C346,1)+1)</f>
        <v/>
      </c>
      <c r="D347" s="1833"/>
      <c r="E347" s="1810"/>
      <c r="F347" s="1810"/>
      <c r="G347" s="1810"/>
      <c r="H347" s="1810"/>
      <c r="I347" s="1810"/>
      <c r="J347" s="1810"/>
      <c r="K347" s="1810"/>
      <c r="L347" s="1811"/>
      <c r="M347"/>
      <c r="N347" s="103" t="str">
        <f t="shared" si="162"/>
        <v>►</v>
      </c>
      <c r="O347" s="1616"/>
      <c r="P347"/>
      <c r="Q347" s="103" t="s">
        <v>15</v>
      </c>
      <c r="R347" s="31"/>
      <c r="S347" s="32"/>
      <c r="T347" s="31"/>
      <c r="U347" s="33"/>
      <c r="V347" s="1804"/>
      <c r="W347" s="1805"/>
      <c r="X347" s="91"/>
      <c r="Y347" s="1806"/>
      <c r="Z347" s="1807"/>
      <c r="AA347" s="919"/>
      <c r="AB347" s="1813"/>
      <c r="AC347" s="1580"/>
      <c r="AD347" s="95"/>
      <c r="AE347" s="105"/>
      <c r="AF347" s="97"/>
      <c r="AG347" s="2080"/>
      <c r="AH347" s="2081"/>
      <c r="AI347" s="99"/>
      <c r="AJ347" s="1809"/>
      <c r="AK347" s="6120" t="str">
        <f t="shared" si="176"/>
        <v>►</v>
      </c>
      <c r="AL347" s="781" t="str">
        <f t="shared" si="164"/>
        <v>►</v>
      </c>
      <c r="AM347" s="5499" t="str">
        <f t="shared" si="167"/>
        <v/>
      </c>
      <c r="AN347" s="783" t="str">
        <f t="shared" si="168"/>
        <v/>
      </c>
      <c r="AO347" s="782" t="str">
        <f t="shared" si="169"/>
        <v/>
      </c>
      <c r="AP347" s="783" t="str">
        <f t="shared" si="170"/>
        <v/>
      </c>
      <c r="AQ347" s="2083" t="b">
        <f>AND(Q347="A",COUNTIF(BP16:BR63,TRIM(Z347))&gt;0)</f>
        <v>0</v>
      </c>
      <c r="AR347" s="797" t="str">
        <f>IF(AL347&lt;&gt;"A","",IFERROR(IFERROR(_xlfn.XLOOKUP(TRIM(SUBSTITUTE(Z347,CHAR(160)," ")),BP16:BP63,BS16:BS63),IFERROR(_xlfn.XLOOKUP(TRIM(SUBSTITUTE(Z347,CHAR(160)," ")),BQ16:BQ63,BS16:BS63),_xlfn.XLOOKUP(TRIM(SUBSTITUTE(Z347,CHAR(160)," ")),BR16:BR63,BS16:BS63)))*Y347*IF(ISBLANK(V347),1,V347),0))</f>
        <v/>
      </c>
      <c r="AS347" s="784" t="str">
        <f t="shared" si="160"/>
        <v/>
      </c>
      <c r="AT347" s="1315" t="str">
        <f t="shared" si="171"/>
        <v/>
      </c>
      <c r="AU347" s="785">
        <f t="shared" si="172"/>
        <v>0</v>
      </c>
      <c r="AV347" s="785">
        <f t="shared" si="173"/>
        <v>0</v>
      </c>
      <c r="AW347" s="786">
        <f>IF(AK347="A",AY10,0)</f>
        <v>0</v>
      </c>
      <c r="AX347" s="5495" t="str">
        <f>IF(IFERROR(SEARCH("Adresse PC",TRIM(W347)),0)&gt;0,"▼ receta siguiente",IF(AK347="A",IF(AZ10&lt;&gt;"",AZ10&amp;" - ou.or.o ❾ + or - &gt;",""),""))</f>
        <v/>
      </c>
      <c r="AY347" s="810"/>
      <c r="AZ347" s="810"/>
      <c r="BA347" s="788" t="str">
        <f t="shared" si="163"/>
        <v/>
      </c>
      <c r="BB347" s="789" t="str">
        <f>IF(AK347="A",IF(AQ347,IF(AND(AW347&lt;&gt;"",N(AW347)&gt;0),IFERROR(IFERROR(_xlfn.XLOOKUP(AP347,BP10:BP57,BT10:BT57),IFERROR(_xlfn.XLOOKUP(AP347,BQ10:BQ57,BT10:BT57),_xlfn.XLOOKUP(AP347,BR10:BR57,BT10:BT57,""))),""),""),""),"")</f>
        <v/>
      </c>
      <c r="BC347" s="811" cm="1">
        <f t="array" ref="BC347">IF(NOT(AQ347),0,IF(OR(BA347="",N(BA347)&lt;=0.000000001),"",IF(OR(AU347="",N(AU347)&lt;=0.000000001),0,IF(ISNUMBER(BA347),IFERROR(_xlfn.LET(_xlpm.ai_test,TRIM(AP347),_xlpm.r,IFERROR(_xlfn.XLOOKUP(_xlpm.ai_test,BP16:BP63,ROW(BP16:BP63),0,1),IFERROR(_xlfn.XLOOKUP(_xlpm.ai_test,BQ16:BQ63,ROW(BQ16:BQ63),0,1),_xlfn.XLOOKUP(_xlpm.ai_test,BR16:BR63,ROW(BR16:BR63),0,1))),_xlpm.p,_xlpm.r-MIN(ROW(BP16:BP63))+1,_xlpm.f,INDEX(BS16:BS63,_xlpm.p),_xlpm.u,INDEX(BT16:BT63,_xlpm.p),_xlpm.s,INDEX(BV16:BV63,_xlpm.p),_xlpm.q,N(BA347)/_xlpm.f,IF(_xlpm.q&gt;=_xlpm.s,ROUND(_xlpm.q,1)&amp;" "&amp;_xlpm.ai_test&amp;" = "&amp;ROUND(_xlpm.q*_xlpm.f,1)&amp;" "&amp;_xlpm.u,ROUND(_xlpm.q,1)&amp;" "&amp;_xlpm.ai_test)),""),""))))</f>
        <v>0</v>
      </c>
      <c r="BD347" s="801"/>
      <c r="BE347" s="788" t="str">
        <f t="shared" si="174"/>
        <v/>
      </c>
      <c r="BF347" s="789" t="str">
        <f t="shared" si="156"/>
        <v/>
      </c>
      <c r="BG347" s="790">
        <f t="shared" si="157"/>
        <v>0</v>
      </c>
      <c r="BH347" s="791" t="str">
        <f t="shared" si="158"/>
        <v/>
      </c>
      <c r="BI347" s="792"/>
      <c r="BJ347" s="793">
        <f t="shared" si="159"/>
        <v>0</v>
      </c>
      <c r="BK347" s="794" t="str">
        <f t="shared" si="175"/>
        <v/>
      </c>
      <c r="BL347" s="227" t="s">
        <v>21</v>
      </c>
      <c r="BM347" s="773">
        <f t="shared" si="165"/>
        <v>0</v>
      </c>
      <c r="BN347" s="774">
        <f t="shared" si="166"/>
        <v>0</v>
      </c>
      <c r="BO347"/>
      <c r="BX347"/>
      <c r="BY347"/>
      <c r="BZ347"/>
      <c r="CA347"/>
      <c r="CB347"/>
      <c r="CC347"/>
      <c r="CD347" s="781" t="str">
        <f t="shared" si="161"/>
        <v>►</v>
      </c>
      <c r="CE347" s="633"/>
      <c r="CF347" s="633"/>
      <c r="CG347" s="633"/>
      <c r="CH347" s="633"/>
      <c r="CI347" s="633"/>
      <c r="CJ347" s="227"/>
      <c r="CK347"/>
      <c r="CL347"/>
      <c r="CM347"/>
      <c r="CN347"/>
      <c r="CO347"/>
      <c r="CP347"/>
      <c r="CQ347"/>
      <c r="CR347" s="227"/>
      <c r="CS347"/>
      <c r="CT347"/>
      <c r="CU347"/>
      <c r="CV347"/>
      <c r="CW347"/>
      <c r="CX347"/>
      <c r="CY347"/>
      <c r="CZ347" s="227"/>
      <c r="DA347"/>
      <c r="DB347"/>
      <c r="DC347"/>
      <c r="DD347"/>
      <c r="DE347"/>
      <c r="DF347"/>
      <c r="DG347"/>
      <c r="DH347" s="227"/>
      <c r="DI347" s="3">
        <v>1</v>
      </c>
    </row>
    <row r="348" spans="2:113" s="627" customFormat="1" ht="21" customHeight="1">
      <c r="B348" s="2265" t="str" cm="1">
        <f t="array" ref="B348">SUMPRODUCT(--(D348:J348&lt;&gt;""), LEN(TRIM(SUBSTITUTE(D348:J348, CHAR(160), "")))) &amp; " Car."</f>
        <v>0 Car.</v>
      </c>
      <c r="C348" s="1376" t="str">
        <f>IF(ISBLANK(D348),"",LARGE(C13:C347,1)+1)</f>
        <v/>
      </c>
      <c r="D348" s="1833"/>
      <c r="E348" s="1810"/>
      <c r="F348" s="1810"/>
      <c r="G348" s="1810"/>
      <c r="H348" s="1810"/>
      <c r="I348" s="1810"/>
      <c r="J348" s="1810"/>
      <c r="K348" s="1810"/>
      <c r="L348" s="1811"/>
      <c r="M348"/>
      <c r="N348" s="103" t="str">
        <f t="shared" si="162"/>
        <v>►</v>
      </c>
      <c r="O348" s="1616"/>
      <c r="P348"/>
      <c r="Q348" s="103" t="s">
        <v>15</v>
      </c>
      <c r="R348" s="31"/>
      <c r="S348" s="32"/>
      <c r="T348" s="31"/>
      <c r="U348" s="33"/>
      <c r="V348" s="1804"/>
      <c r="W348" s="1805"/>
      <c r="X348" s="91"/>
      <c r="Y348" s="1806"/>
      <c r="Z348" s="1807"/>
      <c r="AA348" s="919"/>
      <c r="AB348" s="1813"/>
      <c r="AC348" s="1580"/>
      <c r="AD348" s="95"/>
      <c r="AE348" s="105"/>
      <c r="AF348" s="97"/>
      <c r="AG348" s="2080"/>
      <c r="AH348" s="2081"/>
      <c r="AI348" s="99"/>
      <c r="AJ348" s="1809"/>
      <c r="AK348" s="6120" t="str">
        <f t="shared" si="176"/>
        <v>►</v>
      </c>
      <c r="AL348" s="781" t="str">
        <f t="shared" si="164"/>
        <v>►</v>
      </c>
      <c r="AM348" s="5498" t="str">
        <f t="shared" si="167"/>
        <v/>
      </c>
      <c r="AN348" s="783" t="str">
        <f t="shared" si="168"/>
        <v/>
      </c>
      <c r="AO348" s="782" t="str">
        <f t="shared" si="169"/>
        <v/>
      </c>
      <c r="AP348" s="783" t="str">
        <f t="shared" si="170"/>
        <v/>
      </c>
      <c r="AQ348" s="2083" t="b">
        <f>AND(Q348="A",COUNTIF(BP16:BR63,TRIM(Z348))&gt;0)</f>
        <v>0</v>
      </c>
      <c r="AR348" s="797" t="str">
        <f>IF(AL348&lt;&gt;"A","",IFERROR(IFERROR(_xlfn.XLOOKUP(TRIM(SUBSTITUTE(Z348,CHAR(160)," ")),BP16:BP63,BS16:BS63),IFERROR(_xlfn.XLOOKUP(TRIM(SUBSTITUTE(Z348,CHAR(160)," ")),BQ16:BQ63,BS16:BS63),_xlfn.XLOOKUP(TRIM(SUBSTITUTE(Z348,CHAR(160)," ")),BR16:BR63,BS16:BS63)))*Y348*IF(ISBLANK(V348),1,V348),0))</f>
        <v/>
      </c>
      <c r="AS348" s="784" t="str">
        <f t="shared" si="160"/>
        <v/>
      </c>
      <c r="AT348" s="1315" t="str">
        <f t="shared" si="171"/>
        <v/>
      </c>
      <c r="AU348" s="785">
        <f t="shared" si="172"/>
        <v>0</v>
      </c>
      <c r="AV348" s="785">
        <f t="shared" si="173"/>
        <v>0</v>
      </c>
      <c r="AW348" s="798">
        <f>IF(AK348="A",AY10,0)</f>
        <v>0</v>
      </c>
      <c r="AX348" s="5496" t="str">
        <f>IF(IFERROR(SEARCH("Adresse PC",TRIM(W348)),0)&gt;0,"▼ receta siguiente",IF(AK348="A",IF(AZ10&lt;&gt;"",AZ10&amp;" - ou.or.o ❾ + or - &gt;",""),""))</f>
        <v/>
      </c>
      <c r="AY348" s="810"/>
      <c r="AZ348" s="810"/>
      <c r="BA348" s="799" t="str">
        <f t="shared" si="163"/>
        <v/>
      </c>
      <c r="BB348" s="800" t="str">
        <f>IF(AK348="A",IF(AQ348,IF(AND(AW348&lt;&gt;"",N(AW348)&gt;0),IFERROR(IFERROR(_xlfn.XLOOKUP(AP348,BP10:BP57,BT10:BT57),IFERROR(_xlfn.XLOOKUP(AP348,BQ10:BQ57,BT10:BT57),_xlfn.XLOOKUP(AP348,BR10:BR57,BT10:BT57,""))),""),""),""),"")</f>
        <v/>
      </c>
      <c r="BC348" s="813" cm="1">
        <f t="array" ref="BC348">IF(NOT(AQ348),0,IF(OR(BA348="",N(BA348)&lt;=0.000000001),"",IF(OR(AU348="",N(AU348)&lt;=0.000000001),0,IF(ISNUMBER(BA348),IFERROR(_xlfn.LET(_xlpm.ai_test,TRIM(AP348),_xlpm.r,IFERROR(_xlfn.XLOOKUP(_xlpm.ai_test,BP16:BP63,ROW(BP16:BP63),0,1),IFERROR(_xlfn.XLOOKUP(_xlpm.ai_test,BQ16:BQ63,ROW(BQ16:BQ63),0,1),_xlfn.XLOOKUP(_xlpm.ai_test,BR16:BR63,ROW(BR16:BR63),0,1))),_xlpm.p,_xlpm.r-MIN(ROW(BP16:BP63))+1,_xlpm.f,INDEX(BS16:BS63,_xlpm.p),_xlpm.u,INDEX(BT16:BT63,_xlpm.p),_xlpm.s,INDEX(BV16:BV63,_xlpm.p),_xlpm.q,N(BA348)/_xlpm.f,IF(_xlpm.q&gt;=_xlpm.s,ROUND(_xlpm.q,1)&amp;" "&amp;_xlpm.ai_test&amp;" = "&amp;ROUND(_xlpm.q*_xlpm.f,1)&amp;" "&amp;_xlpm.u,ROUND(_xlpm.q,1)&amp;" "&amp;_xlpm.ai_test)),""),""))))</f>
        <v>0</v>
      </c>
      <c r="BD348" s="801"/>
      <c r="BE348" s="799" t="str">
        <f t="shared" si="174"/>
        <v/>
      </c>
      <c r="BF348" s="800" t="str">
        <f t="shared" si="156"/>
        <v/>
      </c>
      <c r="BG348" s="802">
        <f t="shared" si="157"/>
        <v>0</v>
      </c>
      <c r="BH348" s="803" t="str">
        <f t="shared" si="158"/>
        <v/>
      </c>
      <c r="BI348" s="792"/>
      <c r="BJ348" s="804">
        <f t="shared" si="159"/>
        <v>0</v>
      </c>
      <c r="BK348" s="794" t="str">
        <f t="shared" si="175"/>
        <v/>
      </c>
      <c r="BL348" s="227" t="s">
        <v>21</v>
      </c>
      <c r="BM348" s="773">
        <f t="shared" si="165"/>
        <v>0</v>
      </c>
      <c r="BN348" s="774">
        <f t="shared" si="166"/>
        <v>0</v>
      </c>
      <c r="BO348"/>
      <c r="BX348"/>
      <c r="BY348"/>
      <c r="BZ348"/>
      <c r="CA348"/>
      <c r="CB348"/>
      <c r="CC348"/>
      <c r="CD348" s="781" t="str">
        <f t="shared" si="161"/>
        <v>►</v>
      </c>
      <c r="CE348" s="633"/>
      <c r="CF348" s="633"/>
      <c r="CG348" s="633"/>
      <c r="CH348" s="633"/>
      <c r="CI348" s="633"/>
      <c r="CJ348" s="227"/>
      <c r="CK348"/>
      <c r="CL348"/>
      <c r="CM348"/>
      <c r="CN348"/>
      <c r="CO348"/>
      <c r="CP348"/>
      <c r="CQ348"/>
      <c r="CR348" s="227"/>
      <c r="CS348"/>
      <c r="CT348"/>
      <c r="CU348"/>
      <c r="CV348"/>
      <c r="CW348"/>
      <c r="CX348"/>
      <c r="CY348"/>
      <c r="CZ348" s="227"/>
      <c r="DA348"/>
      <c r="DB348"/>
      <c r="DC348"/>
      <c r="DD348"/>
      <c r="DE348"/>
      <c r="DF348"/>
      <c r="DG348"/>
      <c r="DH348" s="227"/>
      <c r="DI348" s="3">
        <v>1</v>
      </c>
    </row>
    <row r="349" spans="2:113" s="627" customFormat="1" ht="21" customHeight="1">
      <c r="B349" s="2265" t="str" cm="1">
        <f t="array" ref="B349">SUMPRODUCT(--(D349:J349&lt;&gt;""), LEN(TRIM(SUBSTITUTE(D349:J349, CHAR(160), "")))) &amp; " Car."</f>
        <v>0 Car.</v>
      </c>
      <c r="C349" s="1376" t="str">
        <f>IF(ISBLANK(D349),"",LARGE(C13:C348,1)+1)</f>
        <v/>
      </c>
      <c r="D349" s="1833"/>
      <c r="E349" s="1810"/>
      <c r="F349" s="1810"/>
      <c r="G349" s="1810"/>
      <c r="H349" s="1810"/>
      <c r="I349" s="1810"/>
      <c r="J349" s="1810"/>
      <c r="K349" s="1810"/>
      <c r="L349" s="1811"/>
      <c r="M349"/>
      <c r="N349" s="103" t="str">
        <f t="shared" si="162"/>
        <v>►</v>
      </c>
      <c r="O349" s="1616"/>
      <c r="P349"/>
      <c r="Q349" s="103" t="s">
        <v>15</v>
      </c>
      <c r="R349" s="31"/>
      <c r="S349" s="32"/>
      <c r="T349" s="31"/>
      <c r="U349" s="33"/>
      <c r="V349" s="1804"/>
      <c r="W349" s="1805"/>
      <c r="X349" s="91"/>
      <c r="Y349" s="1806"/>
      <c r="Z349" s="1807"/>
      <c r="AA349" s="919"/>
      <c r="AB349" s="1813"/>
      <c r="AC349" s="1580"/>
      <c r="AD349" s="95"/>
      <c r="AE349" s="105"/>
      <c r="AF349" s="97"/>
      <c r="AG349" s="2080"/>
      <c r="AH349" s="2081"/>
      <c r="AI349" s="99"/>
      <c r="AJ349" s="1809"/>
      <c r="AK349" s="6120" t="str">
        <f t="shared" si="176"/>
        <v>►</v>
      </c>
      <c r="AL349" s="781" t="str">
        <f t="shared" si="164"/>
        <v>►</v>
      </c>
      <c r="AM349" s="5499" t="str">
        <f t="shared" si="167"/>
        <v/>
      </c>
      <c r="AN349" s="783" t="str">
        <f t="shared" si="168"/>
        <v/>
      </c>
      <c r="AO349" s="782" t="str">
        <f t="shared" si="169"/>
        <v/>
      </c>
      <c r="AP349" s="783" t="str">
        <f t="shared" si="170"/>
        <v/>
      </c>
      <c r="AQ349" s="2083" t="b">
        <f>AND(Q349="A",COUNTIF(BP16:BR63,TRIM(Z349))&gt;0)</f>
        <v>0</v>
      </c>
      <c r="AR349" s="797" t="str">
        <f>IF(AL349&lt;&gt;"A","",IFERROR(IFERROR(_xlfn.XLOOKUP(TRIM(SUBSTITUTE(Z349,CHAR(160)," ")),BP16:BP63,BS16:BS63),IFERROR(_xlfn.XLOOKUP(TRIM(SUBSTITUTE(Z349,CHAR(160)," ")),BQ16:BQ63,BS16:BS63),_xlfn.XLOOKUP(TRIM(SUBSTITUTE(Z349,CHAR(160)," ")),BR16:BR63,BS16:BS63)))*Y349*IF(ISBLANK(V349),1,V349),0))</f>
        <v/>
      </c>
      <c r="AS349" s="784" t="str">
        <f t="shared" si="160"/>
        <v/>
      </c>
      <c r="AT349" s="1315" t="str">
        <f t="shared" si="171"/>
        <v/>
      </c>
      <c r="AU349" s="785">
        <f t="shared" si="172"/>
        <v>0</v>
      </c>
      <c r="AV349" s="785">
        <f t="shared" si="173"/>
        <v>0</v>
      </c>
      <c r="AW349" s="786">
        <f>IF(AK349="A",AY10,0)</f>
        <v>0</v>
      </c>
      <c r="AX349" s="5495" t="str">
        <f>IF(IFERROR(SEARCH("Adresse PC",TRIM(W349)),0)&gt;0,"▼ receta siguiente",IF(AK349="A",IF(AZ10&lt;&gt;"",AZ10&amp;" - ou.or.o ❾ + or - &gt;",""),""))</f>
        <v/>
      </c>
      <c r="AY349" s="810"/>
      <c r="AZ349" s="810"/>
      <c r="BA349" s="788" t="str">
        <f t="shared" si="163"/>
        <v/>
      </c>
      <c r="BB349" s="789" t="str">
        <f>IF(AK349="A",IF(AQ349,IF(AND(AW349&lt;&gt;"",N(AW349)&gt;0),IFERROR(IFERROR(_xlfn.XLOOKUP(AP349,BP10:BP57,BT10:BT57),IFERROR(_xlfn.XLOOKUP(AP349,BQ10:BQ57,BT10:BT57),_xlfn.XLOOKUP(AP349,BR10:BR57,BT10:BT57,""))),""),""),""),"")</f>
        <v/>
      </c>
      <c r="BC349" s="811" cm="1">
        <f t="array" ref="BC349">IF(NOT(AQ349),0,IF(OR(BA349="",N(BA349)&lt;=0.000000001),"",IF(OR(AU349="",N(AU349)&lt;=0.000000001),0,IF(ISNUMBER(BA349),IFERROR(_xlfn.LET(_xlpm.ai_test,TRIM(AP349),_xlpm.r,IFERROR(_xlfn.XLOOKUP(_xlpm.ai_test,BP16:BP63,ROW(BP16:BP63),0,1),IFERROR(_xlfn.XLOOKUP(_xlpm.ai_test,BQ16:BQ63,ROW(BQ16:BQ63),0,1),_xlfn.XLOOKUP(_xlpm.ai_test,BR16:BR63,ROW(BR16:BR63),0,1))),_xlpm.p,_xlpm.r-MIN(ROW(BP16:BP63))+1,_xlpm.f,INDEX(BS16:BS63,_xlpm.p),_xlpm.u,INDEX(BT16:BT63,_xlpm.p),_xlpm.s,INDEX(BV16:BV63,_xlpm.p),_xlpm.q,N(BA349)/_xlpm.f,IF(_xlpm.q&gt;=_xlpm.s,ROUND(_xlpm.q,1)&amp;" "&amp;_xlpm.ai_test&amp;" = "&amp;ROUND(_xlpm.q*_xlpm.f,1)&amp;" "&amp;_xlpm.u,ROUND(_xlpm.q,1)&amp;" "&amp;_xlpm.ai_test)),""),""))))</f>
        <v>0</v>
      </c>
      <c r="BD349" s="801"/>
      <c r="BE349" s="788" t="str">
        <f t="shared" si="174"/>
        <v/>
      </c>
      <c r="BF349" s="789" t="str">
        <f t="shared" si="156"/>
        <v/>
      </c>
      <c r="BG349" s="790">
        <f t="shared" si="157"/>
        <v>0</v>
      </c>
      <c r="BH349" s="791" t="str">
        <f t="shared" si="158"/>
        <v/>
      </c>
      <c r="BI349" s="792"/>
      <c r="BJ349" s="793">
        <f t="shared" si="159"/>
        <v>0</v>
      </c>
      <c r="BK349" s="794" t="str">
        <f t="shared" si="175"/>
        <v/>
      </c>
      <c r="BL349" s="227" t="s">
        <v>21</v>
      </c>
      <c r="BM349" s="773">
        <f t="shared" si="165"/>
        <v>0</v>
      </c>
      <c r="BN349" s="774">
        <f t="shared" si="166"/>
        <v>0</v>
      </c>
      <c r="BO349"/>
      <c r="BX349"/>
      <c r="BY349"/>
      <c r="BZ349"/>
      <c r="CA349"/>
      <c r="CB349"/>
      <c r="CC349"/>
      <c r="CD349" s="781" t="str">
        <f t="shared" si="161"/>
        <v>►</v>
      </c>
      <c r="CE349" s="633"/>
      <c r="CF349" s="633"/>
      <c r="CG349" s="633"/>
      <c r="CH349" s="633"/>
      <c r="CI349" s="633"/>
      <c r="CJ349" s="227"/>
      <c r="CK349"/>
      <c r="CL349"/>
      <c r="CM349"/>
      <c r="CN349"/>
      <c r="CO349"/>
      <c r="CP349"/>
      <c r="CQ349"/>
      <c r="CR349" s="227"/>
      <c r="CS349"/>
      <c r="CT349"/>
      <c r="CU349"/>
      <c r="CV349"/>
      <c r="CW349"/>
      <c r="CX349"/>
      <c r="CY349"/>
      <c r="CZ349" s="227"/>
      <c r="DA349"/>
      <c r="DB349"/>
      <c r="DC349"/>
      <c r="DD349"/>
      <c r="DE349"/>
      <c r="DF349"/>
      <c r="DG349"/>
      <c r="DH349" s="227"/>
      <c r="DI349" s="3">
        <v>1</v>
      </c>
    </row>
    <row r="350" spans="2:113" s="627" customFormat="1" ht="21" customHeight="1">
      <c r="B350" s="2265" t="str" cm="1">
        <f t="array" ref="B350">SUMPRODUCT(--(D350:J350&lt;&gt;""), LEN(TRIM(SUBSTITUTE(D350:J350, CHAR(160), "")))) &amp; " Car."</f>
        <v>0 Car.</v>
      </c>
      <c r="C350" s="1376" t="str">
        <f>IF(ISBLANK(D350),"",LARGE(C13:C349,1)+1)</f>
        <v/>
      </c>
      <c r="D350" s="1833"/>
      <c r="E350" s="1810"/>
      <c r="F350" s="1810"/>
      <c r="G350" s="1810"/>
      <c r="H350" s="1810"/>
      <c r="I350" s="1810"/>
      <c r="J350" s="1810"/>
      <c r="K350" s="1810"/>
      <c r="L350" s="1811"/>
      <c r="M350"/>
      <c r="N350" s="103" t="str">
        <f t="shared" si="162"/>
        <v>►</v>
      </c>
      <c r="O350" s="1616"/>
      <c r="P350"/>
      <c r="Q350" s="103" t="s">
        <v>15</v>
      </c>
      <c r="R350" s="31"/>
      <c r="S350" s="32"/>
      <c r="T350" s="31"/>
      <c r="U350" s="33"/>
      <c r="V350" s="1804"/>
      <c r="W350" s="1805"/>
      <c r="X350" s="91"/>
      <c r="Y350" s="1806"/>
      <c r="Z350" s="1807"/>
      <c r="AA350" s="919"/>
      <c r="AB350" s="1813"/>
      <c r="AC350" s="1580"/>
      <c r="AD350" s="95"/>
      <c r="AE350" s="105"/>
      <c r="AF350" s="97"/>
      <c r="AG350" s="2080"/>
      <c r="AH350" s="2081"/>
      <c r="AI350" s="99"/>
      <c r="AJ350" s="1809"/>
      <c r="AK350" s="6120" t="str">
        <f t="shared" si="176"/>
        <v>►</v>
      </c>
      <c r="AL350" s="781" t="str">
        <f t="shared" si="164"/>
        <v>►</v>
      </c>
      <c r="AM350" s="5498" t="str">
        <f t="shared" si="167"/>
        <v/>
      </c>
      <c r="AN350" s="783" t="str">
        <f t="shared" si="168"/>
        <v/>
      </c>
      <c r="AO350" s="782" t="str">
        <f t="shared" si="169"/>
        <v/>
      </c>
      <c r="AP350" s="783" t="str">
        <f t="shared" si="170"/>
        <v/>
      </c>
      <c r="AQ350" s="2083" t="b">
        <f>AND(Q350="A",COUNTIF(BP16:BR63,TRIM(Z350))&gt;0)</f>
        <v>0</v>
      </c>
      <c r="AR350" s="797" t="str">
        <f>IF(AL350&lt;&gt;"A","",IFERROR(IFERROR(_xlfn.XLOOKUP(TRIM(SUBSTITUTE(Z350,CHAR(160)," ")),BP16:BP63,BS16:BS63),IFERROR(_xlfn.XLOOKUP(TRIM(SUBSTITUTE(Z350,CHAR(160)," ")),BQ16:BQ63,BS16:BS63),_xlfn.XLOOKUP(TRIM(SUBSTITUTE(Z350,CHAR(160)," ")),BR16:BR63,BS16:BS63)))*Y350*IF(ISBLANK(V350),1,V350),0))</f>
        <v/>
      </c>
      <c r="AS350" s="784" t="str">
        <f t="shared" si="160"/>
        <v/>
      </c>
      <c r="AT350" s="1315" t="str">
        <f t="shared" si="171"/>
        <v/>
      </c>
      <c r="AU350" s="785">
        <f t="shared" si="172"/>
        <v>0</v>
      </c>
      <c r="AV350" s="785">
        <f t="shared" si="173"/>
        <v>0</v>
      </c>
      <c r="AW350" s="798">
        <f>IF(AK350="A",AY10,0)</f>
        <v>0</v>
      </c>
      <c r="AX350" s="5496" t="str">
        <f>IF(IFERROR(SEARCH("Adresse PC",TRIM(W350)),0)&gt;0,"▼ receta siguiente",IF(AK350="A",IF(AZ10&lt;&gt;"",AZ10&amp;" - ou.or.o ❾ + or - &gt;",""),""))</f>
        <v/>
      </c>
      <c r="AY350" s="810"/>
      <c r="AZ350" s="810"/>
      <c r="BA350" s="799" t="str">
        <f t="shared" si="163"/>
        <v/>
      </c>
      <c r="BB350" s="800" t="str">
        <f>IF(AK350="A",IF(AQ350,IF(AND(AW350&lt;&gt;"",N(AW350)&gt;0),IFERROR(IFERROR(_xlfn.XLOOKUP(AP350,BP10:BP57,BT10:BT57),IFERROR(_xlfn.XLOOKUP(AP350,BQ10:BQ57,BT10:BT57),_xlfn.XLOOKUP(AP350,BR10:BR57,BT10:BT57,""))),""),""),""),"")</f>
        <v/>
      </c>
      <c r="BC350" s="813" cm="1">
        <f t="array" ref="BC350">IF(NOT(AQ350),0,IF(OR(BA350="",N(BA350)&lt;=0.000000001),"",IF(OR(AU350="",N(AU350)&lt;=0.000000001),0,IF(ISNUMBER(BA350),IFERROR(_xlfn.LET(_xlpm.ai_test,TRIM(AP350),_xlpm.r,IFERROR(_xlfn.XLOOKUP(_xlpm.ai_test,BP16:BP63,ROW(BP16:BP63),0,1),IFERROR(_xlfn.XLOOKUP(_xlpm.ai_test,BQ16:BQ63,ROW(BQ16:BQ63),0,1),_xlfn.XLOOKUP(_xlpm.ai_test,BR16:BR63,ROW(BR16:BR63),0,1))),_xlpm.p,_xlpm.r-MIN(ROW(BP16:BP63))+1,_xlpm.f,INDEX(BS16:BS63,_xlpm.p),_xlpm.u,INDEX(BT16:BT63,_xlpm.p),_xlpm.s,INDEX(BV16:BV63,_xlpm.p),_xlpm.q,N(BA350)/_xlpm.f,IF(_xlpm.q&gt;=_xlpm.s,ROUND(_xlpm.q,1)&amp;" "&amp;_xlpm.ai_test&amp;" = "&amp;ROUND(_xlpm.q*_xlpm.f,1)&amp;" "&amp;_xlpm.u,ROUND(_xlpm.q,1)&amp;" "&amp;_xlpm.ai_test)),""),""))))</f>
        <v>0</v>
      </c>
      <c r="BD350" s="801"/>
      <c r="BE350" s="799" t="str">
        <f t="shared" si="174"/>
        <v/>
      </c>
      <c r="BF350" s="800" t="str">
        <f t="shared" si="156"/>
        <v/>
      </c>
      <c r="BG350" s="802">
        <f t="shared" si="157"/>
        <v>0</v>
      </c>
      <c r="BH350" s="803" t="str">
        <f t="shared" si="158"/>
        <v/>
      </c>
      <c r="BI350" s="792"/>
      <c r="BJ350" s="804">
        <f t="shared" si="159"/>
        <v>0</v>
      </c>
      <c r="BK350" s="794" t="str">
        <f t="shared" si="175"/>
        <v/>
      </c>
      <c r="BL350" s="227" t="s">
        <v>21</v>
      </c>
      <c r="BM350" s="773">
        <f t="shared" si="165"/>
        <v>0</v>
      </c>
      <c r="BN350" s="774">
        <f t="shared" si="166"/>
        <v>0</v>
      </c>
      <c r="BO350"/>
      <c r="BX350"/>
      <c r="BY350"/>
      <c r="BZ350"/>
      <c r="CA350"/>
      <c r="CB350"/>
      <c r="CC350"/>
      <c r="CD350" s="781" t="str">
        <f t="shared" si="161"/>
        <v>►</v>
      </c>
      <c r="CE350" s="633"/>
      <c r="CF350" s="633"/>
      <c r="CG350" s="633"/>
      <c r="CH350" s="633"/>
      <c r="CI350" s="633"/>
      <c r="CJ350" s="227"/>
      <c r="CK350"/>
      <c r="CL350"/>
      <c r="CM350"/>
      <c r="CN350"/>
      <c r="CO350"/>
      <c r="CP350"/>
      <c r="CQ350"/>
      <c r="CR350" s="227"/>
      <c r="CS350"/>
      <c r="CT350"/>
      <c r="CU350"/>
      <c r="CV350"/>
      <c r="CW350"/>
      <c r="CX350"/>
      <c r="CY350"/>
      <c r="CZ350" s="227"/>
      <c r="DA350"/>
      <c r="DB350"/>
      <c r="DC350"/>
      <c r="DD350"/>
      <c r="DE350"/>
      <c r="DF350"/>
      <c r="DG350"/>
      <c r="DH350" s="227"/>
      <c r="DI350" s="3">
        <v>1</v>
      </c>
    </row>
    <row r="351" spans="2:113" s="627" customFormat="1" ht="21" customHeight="1">
      <c r="B351" s="2265" t="str" cm="1">
        <f t="array" ref="B351">SUMPRODUCT(--(D351:J351&lt;&gt;""), LEN(TRIM(SUBSTITUTE(D351:J351, CHAR(160), "")))) &amp; " Car."</f>
        <v>0 Car.</v>
      </c>
      <c r="C351" s="1376" t="str">
        <f>IF(ISBLANK(D351),"",LARGE(C13:C350,1)+1)</f>
        <v/>
      </c>
      <c r="D351" s="1833"/>
      <c r="E351" s="1810"/>
      <c r="F351" s="1810"/>
      <c r="G351" s="1810"/>
      <c r="H351" s="1810"/>
      <c r="I351" s="1810"/>
      <c r="J351" s="1810"/>
      <c r="K351" s="1810"/>
      <c r="L351" s="1811"/>
      <c r="M351"/>
      <c r="N351" s="103" t="str">
        <f t="shared" si="162"/>
        <v>►</v>
      </c>
      <c r="O351" s="1616"/>
      <c r="P351"/>
      <c r="Q351" s="103" t="s">
        <v>15</v>
      </c>
      <c r="R351" s="31"/>
      <c r="S351" s="32"/>
      <c r="T351" s="31"/>
      <c r="U351" s="33"/>
      <c r="V351" s="1804"/>
      <c r="W351" s="1805"/>
      <c r="X351" s="91"/>
      <c r="Y351" s="1806"/>
      <c r="Z351" s="1807"/>
      <c r="AA351" s="919"/>
      <c r="AB351" s="1813"/>
      <c r="AC351" s="1580"/>
      <c r="AD351" s="95"/>
      <c r="AE351" s="105"/>
      <c r="AF351" s="97"/>
      <c r="AG351" s="2080"/>
      <c r="AH351" s="2081"/>
      <c r="AI351" s="99"/>
      <c r="AJ351" s="1809"/>
      <c r="AK351" s="6120" t="str">
        <f t="shared" si="176"/>
        <v>►</v>
      </c>
      <c r="AL351" s="781" t="str">
        <f t="shared" si="164"/>
        <v>►</v>
      </c>
      <c r="AM351" s="5499" t="str">
        <f t="shared" si="167"/>
        <v/>
      </c>
      <c r="AN351" s="783" t="str">
        <f t="shared" si="168"/>
        <v/>
      </c>
      <c r="AO351" s="782" t="str">
        <f t="shared" si="169"/>
        <v/>
      </c>
      <c r="AP351" s="783" t="str">
        <f t="shared" si="170"/>
        <v/>
      </c>
      <c r="AQ351" s="2083" t="b">
        <f>AND(Q351="A",COUNTIF(BP16:BR63,TRIM(Z351))&gt;0)</f>
        <v>0</v>
      </c>
      <c r="AR351" s="797" t="str">
        <f>IF(AL351&lt;&gt;"A","",IFERROR(IFERROR(_xlfn.XLOOKUP(TRIM(SUBSTITUTE(Z351,CHAR(160)," ")),BP16:BP63,BS16:BS63),IFERROR(_xlfn.XLOOKUP(TRIM(SUBSTITUTE(Z351,CHAR(160)," ")),BQ16:BQ63,BS16:BS63),_xlfn.XLOOKUP(TRIM(SUBSTITUTE(Z351,CHAR(160)," ")),BR16:BR63,BS16:BS63)))*Y351*IF(ISBLANK(V351),1,V351),0))</f>
        <v/>
      </c>
      <c r="AS351" s="784" t="str">
        <f t="shared" si="160"/>
        <v/>
      </c>
      <c r="AT351" s="1315" t="str">
        <f t="shared" si="171"/>
        <v/>
      </c>
      <c r="AU351" s="785">
        <f t="shared" si="172"/>
        <v>0</v>
      </c>
      <c r="AV351" s="785">
        <f t="shared" si="173"/>
        <v>0</v>
      </c>
      <c r="AW351" s="786">
        <f>IF(AK351="A",AY10,0)</f>
        <v>0</v>
      </c>
      <c r="AX351" s="5495" t="str">
        <f>IF(IFERROR(SEARCH("Adresse PC",TRIM(W351)),0)&gt;0,"▼ receta siguiente",IF(AK351="A",IF(AZ10&lt;&gt;"",AZ10&amp;" - ou.or.o ❾ + or - &gt;",""),""))</f>
        <v/>
      </c>
      <c r="AY351" s="810"/>
      <c r="AZ351" s="810"/>
      <c r="BA351" s="788" t="str">
        <f t="shared" si="163"/>
        <v/>
      </c>
      <c r="BB351" s="789" t="str">
        <f>IF(AK351="A",IF(AQ351,IF(AND(AW351&lt;&gt;"",N(AW351)&gt;0),IFERROR(IFERROR(_xlfn.XLOOKUP(AP351,BP10:BP57,BT10:BT57),IFERROR(_xlfn.XLOOKUP(AP351,BQ10:BQ57,BT10:BT57),_xlfn.XLOOKUP(AP351,BR10:BR57,BT10:BT57,""))),""),""),""),"")</f>
        <v/>
      </c>
      <c r="BC351" s="811" cm="1">
        <f t="array" ref="BC351">IF(NOT(AQ351),0,IF(OR(BA351="",N(BA351)&lt;=0.000000001),"",IF(OR(AU351="",N(AU351)&lt;=0.000000001),0,IF(ISNUMBER(BA351),IFERROR(_xlfn.LET(_xlpm.ai_test,TRIM(AP351),_xlpm.r,IFERROR(_xlfn.XLOOKUP(_xlpm.ai_test,BP16:BP63,ROW(BP16:BP63),0,1),IFERROR(_xlfn.XLOOKUP(_xlpm.ai_test,BQ16:BQ63,ROW(BQ16:BQ63),0,1),_xlfn.XLOOKUP(_xlpm.ai_test,BR16:BR63,ROW(BR16:BR63),0,1))),_xlpm.p,_xlpm.r-MIN(ROW(BP16:BP63))+1,_xlpm.f,INDEX(BS16:BS63,_xlpm.p),_xlpm.u,INDEX(BT16:BT63,_xlpm.p),_xlpm.s,INDEX(BV16:BV63,_xlpm.p),_xlpm.q,N(BA351)/_xlpm.f,IF(_xlpm.q&gt;=_xlpm.s,ROUND(_xlpm.q,1)&amp;" "&amp;_xlpm.ai_test&amp;" = "&amp;ROUND(_xlpm.q*_xlpm.f,1)&amp;" "&amp;_xlpm.u,ROUND(_xlpm.q,1)&amp;" "&amp;_xlpm.ai_test)),""),""))))</f>
        <v>0</v>
      </c>
      <c r="BD351" s="801"/>
      <c r="BE351" s="788" t="str">
        <f t="shared" si="174"/>
        <v/>
      </c>
      <c r="BF351" s="789" t="str">
        <f t="shared" si="156"/>
        <v/>
      </c>
      <c r="BG351" s="790">
        <f t="shared" si="157"/>
        <v>0</v>
      </c>
      <c r="BH351" s="791" t="str">
        <f t="shared" si="158"/>
        <v/>
      </c>
      <c r="BI351" s="792"/>
      <c r="BJ351" s="793">
        <f t="shared" si="159"/>
        <v>0</v>
      </c>
      <c r="BK351" s="794" t="str">
        <f t="shared" si="175"/>
        <v/>
      </c>
      <c r="BL351" s="227" t="s">
        <v>21</v>
      </c>
      <c r="BM351" s="773">
        <f t="shared" si="165"/>
        <v>0</v>
      </c>
      <c r="BN351" s="774">
        <f t="shared" si="166"/>
        <v>0</v>
      </c>
      <c r="BO351"/>
      <c r="BX351"/>
      <c r="BY351"/>
      <c r="BZ351"/>
      <c r="CA351"/>
      <c r="CB351"/>
      <c r="CC351"/>
      <c r="CD351" s="781" t="str">
        <f t="shared" si="161"/>
        <v>►</v>
      </c>
      <c r="CE351" s="633"/>
      <c r="CF351" s="633"/>
      <c r="CG351" s="633"/>
      <c r="CH351" s="633"/>
      <c r="CI351" s="633"/>
      <c r="CJ351" s="227"/>
      <c r="CK351"/>
      <c r="CL351"/>
      <c r="CM351"/>
      <c r="CN351"/>
      <c r="CO351"/>
      <c r="CP351"/>
      <c r="CQ351"/>
      <c r="CR351" s="227"/>
      <c r="CS351"/>
      <c r="CT351"/>
      <c r="CU351"/>
      <c r="CV351"/>
      <c r="CW351"/>
      <c r="CX351"/>
      <c r="CY351"/>
      <c r="CZ351" s="227"/>
      <c r="DA351"/>
      <c r="DB351"/>
      <c r="DC351"/>
      <c r="DD351"/>
      <c r="DE351"/>
      <c r="DF351"/>
      <c r="DG351"/>
      <c r="DH351" s="227"/>
      <c r="DI351" s="3">
        <v>1</v>
      </c>
    </row>
    <row r="352" spans="2:113" s="627" customFormat="1" ht="21" customHeight="1">
      <c r="B352" s="2265" t="str" cm="1">
        <f t="array" ref="B352">SUMPRODUCT(--(D352:J352&lt;&gt;""), LEN(TRIM(SUBSTITUTE(D352:J352, CHAR(160), "")))) &amp; " Car."</f>
        <v>0 Car.</v>
      </c>
      <c r="C352" s="1376" t="str">
        <f>IF(ISBLANK(D352),"",LARGE(C13:C351,1)+1)</f>
        <v/>
      </c>
      <c r="D352" s="1833"/>
      <c r="E352" s="1810"/>
      <c r="F352" s="1810"/>
      <c r="G352" s="1810"/>
      <c r="H352" s="1810"/>
      <c r="I352" s="1810"/>
      <c r="J352" s="1810"/>
      <c r="K352" s="1810"/>
      <c r="L352" s="1811"/>
      <c r="M352"/>
      <c r="N352" s="103" t="str">
        <f t="shared" si="162"/>
        <v>►</v>
      </c>
      <c r="O352" s="1616"/>
      <c r="P352"/>
      <c r="Q352" s="103" t="s">
        <v>15</v>
      </c>
      <c r="R352" s="31"/>
      <c r="S352" s="32"/>
      <c r="T352" s="31"/>
      <c r="U352" s="33"/>
      <c r="V352" s="1804"/>
      <c r="W352" s="1805"/>
      <c r="X352" s="91"/>
      <c r="Y352" s="1806"/>
      <c r="Z352" s="1807"/>
      <c r="AA352" s="919"/>
      <c r="AB352" s="1813"/>
      <c r="AC352" s="1580"/>
      <c r="AD352" s="95"/>
      <c r="AE352" s="105"/>
      <c r="AF352" s="97"/>
      <c r="AG352" s="2080"/>
      <c r="AH352" s="2081"/>
      <c r="AI352" s="99"/>
      <c r="AJ352" s="1809"/>
      <c r="AK352" s="6120" t="str">
        <f t="shared" si="176"/>
        <v>►</v>
      </c>
      <c r="AL352" s="781" t="str">
        <f t="shared" si="164"/>
        <v>►</v>
      </c>
      <c r="AM352" s="5498" t="str">
        <f t="shared" si="167"/>
        <v/>
      </c>
      <c r="AN352" s="783" t="str">
        <f t="shared" si="168"/>
        <v/>
      </c>
      <c r="AO352" s="782" t="str">
        <f t="shared" si="169"/>
        <v/>
      </c>
      <c r="AP352" s="783" t="str">
        <f t="shared" si="170"/>
        <v/>
      </c>
      <c r="AQ352" s="2083" t="b">
        <f>AND(Q352="A",COUNTIF(BP16:BR63,TRIM(Z352))&gt;0)</f>
        <v>0</v>
      </c>
      <c r="AR352" s="797" t="str">
        <f>IF(AL352&lt;&gt;"A","",IFERROR(IFERROR(_xlfn.XLOOKUP(TRIM(SUBSTITUTE(Z352,CHAR(160)," ")),BP16:BP63,BS16:BS63),IFERROR(_xlfn.XLOOKUP(TRIM(SUBSTITUTE(Z352,CHAR(160)," ")),BQ16:BQ63,BS16:BS63),_xlfn.XLOOKUP(TRIM(SUBSTITUTE(Z352,CHAR(160)," ")),BR16:BR63,BS16:BS63)))*Y352*IF(ISBLANK(V352),1,V352),0))</f>
        <v/>
      </c>
      <c r="AS352" s="784" t="str">
        <f t="shared" si="160"/>
        <v/>
      </c>
      <c r="AT352" s="1315" t="str">
        <f t="shared" si="171"/>
        <v/>
      </c>
      <c r="AU352" s="785">
        <f t="shared" si="172"/>
        <v>0</v>
      </c>
      <c r="AV352" s="785">
        <f t="shared" si="173"/>
        <v>0</v>
      </c>
      <c r="AW352" s="798">
        <f>IF(AK352="A",AY10,0)</f>
        <v>0</v>
      </c>
      <c r="AX352" s="5496" t="str">
        <f>IF(IFERROR(SEARCH("Adresse PC",TRIM(W352)),0)&gt;0,"▼ receta siguiente",IF(AK352="A",IF(AZ10&lt;&gt;"",AZ10&amp;" - ou.or.o ❾ + or - &gt;",""),""))</f>
        <v/>
      </c>
      <c r="AY352" s="810"/>
      <c r="AZ352" s="810"/>
      <c r="BA352" s="799" t="str">
        <f t="shared" si="163"/>
        <v/>
      </c>
      <c r="BB352" s="800" t="str">
        <f>IF(AK352="A",IF(AQ352,IF(AND(AW352&lt;&gt;"",N(AW352)&gt;0),IFERROR(IFERROR(_xlfn.XLOOKUP(AP352,BP10:BP57,BT10:BT57),IFERROR(_xlfn.XLOOKUP(AP352,BQ10:BQ57,BT10:BT57),_xlfn.XLOOKUP(AP352,BR10:BR57,BT10:BT57,""))),""),""),""),"")</f>
        <v/>
      </c>
      <c r="BC352" s="813" cm="1">
        <f t="array" ref="BC352">IF(NOT(AQ352),0,IF(OR(BA352="",N(BA352)&lt;=0.000000001),"",IF(OR(AU352="",N(AU352)&lt;=0.000000001),0,IF(ISNUMBER(BA352),IFERROR(_xlfn.LET(_xlpm.ai_test,TRIM(AP352),_xlpm.r,IFERROR(_xlfn.XLOOKUP(_xlpm.ai_test,BP16:BP63,ROW(BP16:BP63),0,1),IFERROR(_xlfn.XLOOKUP(_xlpm.ai_test,BQ16:BQ63,ROW(BQ16:BQ63),0,1),_xlfn.XLOOKUP(_xlpm.ai_test,BR16:BR63,ROW(BR16:BR63),0,1))),_xlpm.p,_xlpm.r-MIN(ROW(BP16:BP63))+1,_xlpm.f,INDEX(BS16:BS63,_xlpm.p),_xlpm.u,INDEX(BT16:BT63,_xlpm.p),_xlpm.s,INDEX(BV16:BV63,_xlpm.p),_xlpm.q,N(BA352)/_xlpm.f,IF(_xlpm.q&gt;=_xlpm.s,ROUND(_xlpm.q,1)&amp;" "&amp;_xlpm.ai_test&amp;" = "&amp;ROUND(_xlpm.q*_xlpm.f,1)&amp;" "&amp;_xlpm.u,ROUND(_xlpm.q,1)&amp;" "&amp;_xlpm.ai_test)),""),""))))</f>
        <v>0</v>
      </c>
      <c r="BD352" s="801"/>
      <c r="BE352" s="799" t="str">
        <f t="shared" si="174"/>
        <v/>
      </c>
      <c r="BF352" s="800" t="str">
        <f t="shared" ref="BF352:BF415" si="177">IF(AQ352,BB352,"")</f>
        <v/>
      </c>
      <c r="BG352" s="802">
        <f t="shared" ref="BG352:BG415" si="178">IF(AND(ISNUMBER(BM352),ABS(BM352)&gt;0.000000001),BM352,0)</f>
        <v>0</v>
      </c>
      <c r="BH352" s="803" t="str">
        <f t="shared" ref="BH352:BH415" si="179">IF(AND(AQ352, N(BG352)&gt;0.000000001), W352, "")</f>
        <v/>
      </c>
      <c r="BI352" s="792"/>
      <c r="BJ352" s="804">
        <f t="shared" ref="BJ352:BJ415" si="180">IF(OR(AU352=0,ISBLANK(BI352),ISTEXT(BG352)),0,(IF(BA352=0,BG352,BA352)*BI352))</f>
        <v>0</v>
      </c>
      <c r="BK352" s="794" t="str">
        <f t="shared" si="175"/>
        <v/>
      </c>
      <c r="BL352" s="227" t="s">
        <v>21</v>
      </c>
      <c r="BM352" s="773">
        <f t="shared" si="165"/>
        <v>0</v>
      </c>
      <c r="BN352" s="774">
        <f t="shared" si="166"/>
        <v>0</v>
      </c>
      <c r="BO352"/>
      <c r="BX352"/>
      <c r="BY352"/>
      <c r="BZ352"/>
      <c r="CA352"/>
      <c r="CB352"/>
      <c r="CC352"/>
      <c r="CD352" s="781" t="str">
        <f t="shared" si="161"/>
        <v>►</v>
      </c>
      <c r="CE352" s="633"/>
      <c r="CF352" s="633"/>
      <c r="CG352" s="633"/>
      <c r="CH352" s="633"/>
      <c r="CI352" s="633"/>
      <c r="CJ352" s="227"/>
      <c r="CK352"/>
      <c r="CL352"/>
      <c r="CM352"/>
      <c r="CN352"/>
      <c r="CO352"/>
      <c r="CP352"/>
      <c r="CQ352"/>
      <c r="CR352" s="227"/>
      <c r="CS352"/>
      <c r="CT352"/>
      <c r="CU352"/>
      <c r="CV352"/>
      <c r="CW352"/>
      <c r="CX352"/>
      <c r="CY352"/>
      <c r="CZ352" s="227"/>
      <c r="DA352"/>
      <c r="DB352"/>
      <c r="DC352"/>
      <c r="DD352"/>
      <c r="DE352"/>
      <c r="DF352"/>
      <c r="DG352"/>
      <c r="DH352" s="227"/>
      <c r="DI352" s="3">
        <v>1</v>
      </c>
    </row>
    <row r="353" spans="2:113" s="627" customFormat="1" ht="21" customHeight="1">
      <c r="B353" s="2265" t="str" cm="1">
        <f t="array" ref="B353">SUMPRODUCT(--(D353:J353&lt;&gt;""), LEN(TRIM(SUBSTITUTE(D353:J353, CHAR(160), "")))) &amp; " Car."</f>
        <v>0 Car.</v>
      </c>
      <c r="C353" s="1376" t="str">
        <f>IF(ISBLANK(D353),"",LARGE(C13:C352,1)+1)</f>
        <v/>
      </c>
      <c r="D353" s="1833"/>
      <c r="E353" s="1810"/>
      <c r="F353" s="1810"/>
      <c r="G353" s="1810"/>
      <c r="H353" s="1810"/>
      <c r="I353" s="1810"/>
      <c r="J353" s="1810"/>
      <c r="K353" s="1810"/>
      <c r="L353" s="1811"/>
      <c r="M353"/>
      <c r="N353" s="103" t="str">
        <f t="shared" si="162"/>
        <v>►</v>
      </c>
      <c r="O353" s="1616"/>
      <c r="P353"/>
      <c r="Q353" s="103" t="s">
        <v>15</v>
      </c>
      <c r="R353" s="31"/>
      <c r="S353" s="32"/>
      <c r="T353" s="31"/>
      <c r="U353" s="33"/>
      <c r="V353" s="1804"/>
      <c r="W353" s="1805"/>
      <c r="X353" s="91"/>
      <c r="Y353" s="1806"/>
      <c r="Z353" s="1807"/>
      <c r="AA353" s="919"/>
      <c r="AB353" s="1813"/>
      <c r="AC353" s="1580"/>
      <c r="AD353" s="95"/>
      <c r="AE353" s="105"/>
      <c r="AF353" s="97"/>
      <c r="AG353" s="2080"/>
      <c r="AH353" s="2081"/>
      <c r="AI353" s="99"/>
      <c r="AJ353" s="1809"/>
      <c r="AK353" s="6120" t="str">
        <f t="shared" si="176"/>
        <v>►</v>
      </c>
      <c r="AL353" s="781" t="str">
        <f t="shared" si="164"/>
        <v>►</v>
      </c>
      <c r="AM353" s="5499" t="str">
        <f t="shared" si="167"/>
        <v/>
      </c>
      <c r="AN353" s="783" t="str">
        <f t="shared" si="168"/>
        <v/>
      </c>
      <c r="AO353" s="782" t="str">
        <f t="shared" si="169"/>
        <v/>
      </c>
      <c r="AP353" s="783" t="str">
        <f t="shared" si="170"/>
        <v/>
      </c>
      <c r="AQ353" s="2083" t="b">
        <f>AND(Q353="A",COUNTIF(BP16:BR63,TRIM(Z353))&gt;0)</f>
        <v>0</v>
      </c>
      <c r="AR353" s="797" t="str">
        <f>IF(AL353&lt;&gt;"A","",IFERROR(IFERROR(_xlfn.XLOOKUP(TRIM(SUBSTITUTE(Z353,CHAR(160)," ")),BP16:BP63,BS16:BS63),IFERROR(_xlfn.XLOOKUP(TRIM(SUBSTITUTE(Z353,CHAR(160)," ")),BQ16:BQ63,BS16:BS63),_xlfn.XLOOKUP(TRIM(SUBSTITUTE(Z353,CHAR(160)," ")),BR16:BR63,BS16:BS63)))*Y353*IF(ISBLANK(V353),1,V353),0))</f>
        <v/>
      </c>
      <c r="AS353" s="784" t="str">
        <f t="shared" si="160"/>
        <v/>
      </c>
      <c r="AT353" s="1315" t="str">
        <f t="shared" si="171"/>
        <v/>
      </c>
      <c r="AU353" s="785">
        <f t="shared" si="172"/>
        <v>0</v>
      </c>
      <c r="AV353" s="785">
        <f t="shared" si="173"/>
        <v>0</v>
      </c>
      <c r="AW353" s="786">
        <f>IF(AK353="A",AY10,0)</f>
        <v>0</v>
      </c>
      <c r="AX353" s="5495" t="str">
        <f>IF(IFERROR(SEARCH("Adresse PC",TRIM(W353)),0)&gt;0,"▼ receta siguiente",IF(AK353="A",IF(AZ10&lt;&gt;"",AZ10&amp;" - ou.or.o ❾ + or - &gt;",""),""))</f>
        <v/>
      </c>
      <c r="AY353" s="810"/>
      <c r="AZ353" s="810"/>
      <c r="BA353" s="788" t="str">
        <f t="shared" si="163"/>
        <v/>
      </c>
      <c r="BB353" s="789" t="str">
        <f>IF(AK353="A",IF(AQ353,IF(AND(AW353&lt;&gt;"",N(AW353)&gt;0),IFERROR(IFERROR(_xlfn.XLOOKUP(AP353,BP10:BP57,BT10:BT57),IFERROR(_xlfn.XLOOKUP(AP353,BQ10:BQ57,BT10:BT57),_xlfn.XLOOKUP(AP353,BR10:BR57,BT10:BT57,""))),""),""),""),"")</f>
        <v/>
      </c>
      <c r="BC353" s="811" cm="1">
        <f t="array" ref="BC353">IF(NOT(AQ353),0,IF(OR(BA353="",N(BA353)&lt;=0.000000001),"",IF(OR(AU353="",N(AU353)&lt;=0.000000001),0,IF(ISNUMBER(BA353),IFERROR(_xlfn.LET(_xlpm.ai_test,TRIM(AP353),_xlpm.r,IFERROR(_xlfn.XLOOKUP(_xlpm.ai_test,BP16:BP63,ROW(BP16:BP63),0,1),IFERROR(_xlfn.XLOOKUP(_xlpm.ai_test,BQ16:BQ63,ROW(BQ16:BQ63),0,1),_xlfn.XLOOKUP(_xlpm.ai_test,BR16:BR63,ROW(BR16:BR63),0,1))),_xlpm.p,_xlpm.r-MIN(ROW(BP16:BP63))+1,_xlpm.f,INDEX(BS16:BS63,_xlpm.p),_xlpm.u,INDEX(BT16:BT63,_xlpm.p),_xlpm.s,INDEX(BV16:BV63,_xlpm.p),_xlpm.q,N(BA353)/_xlpm.f,IF(_xlpm.q&gt;=_xlpm.s,ROUND(_xlpm.q,1)&amp;" "&amp;_xlpm.ai_test&amp;" = "&amp;ROUND(_xlpm.q*_xlpm.f,1)&amp;" "&amp;_xlpm.u,ROUND(_xlpm.q,1)&amp;" "&amp;_xlpm.ai_test)),""),""))))</f>
        <v>0</v>
      </c>
      <c r="BD353" s="801"/>
      <c r="BE353" s="788" t="str">
        <f t="shared" si="174"/>
        <v/>
      </c>
      <c r="BF353" s="789" t="str">
        <f t="shared" si="177"/>
        <v/>
      </c>
      <c r="BG353" s="790">
        <f t="shared" si="178"/>
        <v>0</v>
      </c>
      <c r="BH353" s="791" t="str">
        <f t="shared" si="179"/>
        <v/>
      </c>
      <c r="BI353" s="792"/>
      <c r="BJ353" s="793">
        <f t="shared" si="180"/>
        <v>0</v>
      </c>
      <c r="BK353" s="794" t="str">
        <f t="shared" si="175"/>
        <v/>
      </c>
      <c r="BL353" s="227" t="s">
        <v>21</v>
      </c>
      <c r="BM353" s="773">
        <f t="shared" si="165"/>
        <v>0</v>
      </c>
      <c r="BN353" s="774">
        <f t="shared" si="166"/>
        <v>0</v>
      </c>
      <c r="BO353"/>
      <c r="BX353"/>
      <c r="BY353"/>
      <c r="BZ353"/>
      <c r="CA353"/>
      <c r="CB353"/>
      <c r="CC353"/>
      <c r="CD353" s="781" t="str">
        <f t="shared" si="161"/>
        <v>►</v>
      </c>
      <c r="CE353" s="633"/>
      <c r="CF353" s="633"/>
      <c r="CG353" s="633"/>
      <c r="CH353" s="633"/>
      <c r="CI353" s="633"/>
      <c r="CJ353" s="227"/>
      <c r="CK353"/>
      <c r="CL353"/>
      <c r="CM353"/>
      <c r="CN353"/>
      <c r="CO353"/>
      <c r="CP353"/>
      <c r="CQ353"/>
      <c r="CR353" s="227"/>
      <c r="CS353"/>
      <c r="CT353"/>
      <c r="CU353"/>
      <c r="CV353"/>
      <c r="CW353"/>
      <c r="CX353"/>
      <c r="CY353"/>
      <c r="CZ353" s="227"/>
      <c r="DA353"/>
      <c r="DB353"/>
      <c r="DC353"/>
      <c r="DD353"/>
      <c r="DE353"/>
      <c r="DF353"/>
      <c r="DG353"/>
      <c r="DH353" s="227"/>
      <c r="DI353" s="3">
        <v>1</v>
      </c>
    </row>
    <row r="354" spans="2:113" s="627" customFormat="1" ht="21" customHeight="1">
      <c r="B354" s="2265" t="str" cm="1">
        <f t="array" ref="B354">SUMPRODUCT(--(D354:J354&lt;&gt;""), LEN(TRIM(SUBSTITUTE(D354:J354, CHAR(160), "")))) &amp; " Car."</f>
        <v>0 Car.</v>
      </c>
      <c r="C354" s="1376" t="str">
        <f>IF(ISBLANK(D354),"",LARGE(C13:C353,1)+1)</f>
        <v/>
      </c>
      <c r="D354" s="1833"/>
      <c r="E354" s="1810"/>
      <c r="F354" s="1810"/>
      <c r="G354" s="1810"/>
      <c r="H354" s="1810"/>
      <c r="I354" s="1810"/>
      <c r="J354" s="1810"/>
      <c r="K354" s="1810"/>
      <c r="L354" s="1811"/>
      <c r="M354"/>
      <c r="N354" s="103" t="str">
        <f t="shared" si="162"/>
        <v>►</v>
      </c>
      <c r="O354" s="1616"/>
      <c r="P354"/>
      <c r="Q354" s="103" t="s">
        <v>15</v>
      </c>
      <c r="R354" s="31"/>
      <c r="S354" s="32"/>
      <c r="T354" s="31"/>
      <c r="U354" s="33"/>
      <c r="V354" s="1804"/>
      <c r="W354" s="1805"/>
      <c r="X354" s="91"/>
      <c r="Y354" s="1806"/>
      <c r="Z354" s="1807"/>
      <c r="AA354" s="919"/>
      <c r="AB354" s="1813"/>
      <c r="AC354" s="1580"/>
      <c r="AD354" s="95"/>
      <c r="AE354" s="105"/>
      <c r="AF354" s="97"/>
      <c r="AG354" s="2080"/>
      <c r="AH354" s="2081"/>
      <c r="AI354" s="99"/>
      <c r="AJ354" s="1809"/>
      <c r="AK354" s="6120" t="str">
        <f t="shared" si="176"/>
        <v>►</v>
      </c>
      <c r="AL354" s="781" t="str">
        <f t="shared" si="164"/>
        <v>►</v>
      </c>
      <c r="AM354" s="5498" t="str">
        <f t="shared" si="167"/>
        <v/>
      </c>
      <c r="AN354" s="783" t="str">
        <f t="shared" si="168"/>
        <v/>
      </c>
      <c r="AO354" s="782" t="str">
        <f t="shared" si="169"/>
        <v/>
      </c>
      <c r="AP354" s="783" t="str">
        <f t="shared" si="170"/>
        <v/>
      </c>
      <c r="AQ354" s="2083" t="b">
        <f>AND(Q354="A",COUNTIF(BP16:BR63,TRIM(Z354))&gt;0)</f>
        <v>0</v>
      </c>
      <c r="AR354" s="797" t="str">
        <f>IF(AL354&lt;&gt;"A","",IFERROR(IFERROR(_xlfn.XLOOKUP(TRIM(SUBSTITUTE(Z354,CHAR(160)," ")),BP16:BP63,BS16:BS63),IFERROR(_xlfn.XLOOKUP(TRIM(SUBSTITUTE(Z354,CHAR(160)," ")),BQ16:BQ63,BS16:BS63),_xlfn.XLOOKUP(TRIM(SUBSTITUTE(Z354,CHAR(160)," ")),BR16:BR63,BS16:BS63)))*Y354*IF(ISBLANK(V354),1,V354),0))</f>
        <v/>
      </c>
      <c r="AS354" s="784" t="str">
        <f t="shared" si="160"/>
        <v/>
      </c>
      <c r="AT354" s="1315" t="str">
        <f t="shared" si="171"/>
        <v/>
      </c>
      <c r="AU354" s="785">
        <f t="shared" si="172"/>
        <v>0</v>
      </c>
      <c r="AV354" s="785">
        <f t="shared" si="173"/>
        <v>0</v>
      </c>
      <c r="AW354" s="798">
        <f>IF(AK354="A",AY10,0)</f>
        <v>0</v>
      </c>
      <c r="AX354" s="5496" t="str">
        <f>IF(IFERROR(SEARCH("Adresse PC",TRIM(W354)),0)&gt;0,"▼ receta siguiente",IF(AK354="A",IF(AZ10&lt;&gt;"",AZ10&amp;" - ou.or.o ❾ + or - &gt;",""),""))</f>
        <v/>
      </c>
      <c r="AY354" s="810"/>
      <c r="AZ354" s="810"/>
      <c r="BA354" s="799" t="str">
        <f t="shared" si="163"/>
        <v/>
      </c>
      <c r="BB354" s="800" t="str">
        <f>IF(AK354="A",IF(AQ354,IF(AND(AW354&lt;&gt;"",N(AW354)&gt;0),IFERROR(IFERROR(_xlfn.XLOOKUP(AP354,BP10:BP57,BT10:BT57),IFERROR(_xlfn.XLOOKUP(AP354,BQ10:BQ57,BT10:BT57),_xlfn.XLOOKUP(AP354,BR10:BR57,BT10:BT57,""))),""),""),""),"")</f>
        <v/>
      </c>
      <c r="BC354" s="813" cm="1">
        <f t="array" ref="BC354">IF(NOT(AQ354),0,IF(OR(BA354="",N(BA354)&lt;=0.000000001),"",IF(OR(AU354="",N(AU354)&lt;=0.000000001),0,IF(ISNUMBER(BA354),IFERROR(_xlfn.LET(_xlpm.ai_test,TRIM(AP354),_xlpm.r,IFERROR(_xlfn.XLOOKUP(_xlpm.ai_test,BP16:BP63,ROW(BP16:BP63),0,1),IFERROR(_xlfn.XLOOKUP(_xlpm.ai_test,BQ16:BQ63,ROW(BQ16:BQ63),0,1),_xlfn.XLOOKUP(_xlpm.ai_test,BR16:BR63,ROW(BR16:BR63),0,1))),_xlpm.p,_xlpm.r-MIN(ROW(BP16:BP63))+1,_xlpm.f,INDEX(BS16:BS63,_xlpm.p),_xlpm.u,INDEX(BT16:BT63,_xlpm.p),_xlpm.s,INDEX(BV16:BV63,_xlpm.p),_xlpm.q,N(BA354)/_xlpm.f,IF(_xlpm.q&gt;=_xlpm.s,ROUND(_xlpm.q,1)&amp;" "&amp;_xlpm.ai_test&amp;" = "&amp;ROUND(_xlpm.q*_xlpm.f,1)&amp;" "&amp;_xlpm.u,ROUND(_xlpm.q,1)&amp;" "&amp;_xlpm.ai_test)),""),""))))</f>
        <v>0</v>
      </c>
      <c r="BD354" s="801"/>
      <c r="BE354" s="799" t="str">
        <f t="shared" si="174"/>
        <v/>
      </c>
      <c r="BF354" s="800" t="str">
        <f t="shared" si="177"/>
        <v/>
      </c>
      <c r="BG354" s="802">
        <f t="shared" si="178"/>
        <v>0</v>
      </c>
      <c r="BH354" s="803" t="str">
        <f t="shared" si="179"/>
        <v/>
      </c>
      <c r="BI354" s="792"/>
      <c r="BJ354" s="804">
        <f t="shared" si="180"/>
        <v>0</v>
      </c>
      <c r="BK354" s="794" t="str">
        <f t="shared" si="175"/>
        <v/>
      </c>
      <c r="BL354" s="227" t="s">
        <v>21</v>
      </c>
      <c r="BM354" s="773">
        <f t="shared" si="165"/>
        <v>0</v>
      </c>
      <c r="BN354" s="774">
        <f t="shared" si="166"/>
        <v>0</v>
      </c>
      <c r="BO354"/>
      <c r="BX354"/>
      <c r="BY354"/>
      <c r="BZ354"/>
      <c r="CA354"/>
      <c r="CB354"/>
      <c r="CC354"/>
      <c r="CD354" s="781" t="str">
        <f t="shared" si="161"/>
        <v>►</v>
      </c>
      <c r="CE354" s="633"/>
      <c r="CF354" s="633"/>
      <c r="CG354" s="633"/>
      <c r="CH354" s="633"/>
      <c r="CI354" s="633"/>
      <c r="CJ354" s="227"/>
      <c r="CK354"/>
      <c r="CL354"/>
      <c r="CM354"/>
      <c r="CN354"/>
      <c r="CO354"/>
      <c r="CP354"/>
      <c r="CQ354"/>
      <c r="CR354" s="227"/>
      <c r="CS354"/>
      <c r="CT354"/>
      <c r="CU354"/>
      <c r="CV354"/>
      <c r="CW354"/>
      <c r="CX354"/>
      <c r="CY354"/>
      <c r="CZ354" s="227"/>
      <c r="DA354"/>
      <c r="DB354"/>
      <c r="DC354"/>
      <c r="DD354"/>
      <c r="DE354"/>
      <c r="DF354"/>
      <c r="DG354"/>
      <c r="DH354" s="227"/>
      <c r="DI354" s="3">
        <v>1</v>
      </c>
    </row>
    <row r="355" spans="2:113" s="627" customFormat="1" ht="21" customHeight="1">
      <c r="B355" s="2265" t="str" cm="1">
        <f t="array" ref="B355">SUMPRODUCT(--(D355:J355&lt;&gt;""), LEN(TRIM(SUBSTITUTE(D355:J355, CHAR(160), "")))) &amp; " Car."</f>
        <v>0 Car.</v>
      </c>
      <c r="C355" s="1376" t="str">
        <f>IF(ISBLANK(D355),"",LARGE(C13:C354,1)+1)</f>
        <v/>
      </c>
      <c r="D355" s="1833"/>
      <c r="E355" s="1810"/>
      <c r="F355" s="1810"/>
      <c r="G355" s="1810"/>
      <c r="H355" s="1810"/>
      <c r="I355" s="1810"/>
      <c r="J355" s="1810"/>
      <c r="K355" s="1810"/>
      <c r="L355" s="1811"/>
      <c r="M355"/>
      <c r="N355" s="103" t="str">
        <f t="shared" si="162"/>
        <v>►</v>
      </c>
      <c r="O355" s="1616"/>
      <c r="P355"/>
      <c r="Q355" s="103" t="s">
        <v>15</v>
      </c>
      <c r="R355" s="31"/>
      <c r="S355" s="32"/>
      <c r="T355" s="31"/>
      <c r="U355" s="33"/>
      <c r="V355" s="1804"/>
      <c r="W355" s="1805"/>
      <c r="X355" s="91"/>
      <c r="Y355" s="1806"/>
      <c r="Z355" s="1807"/>
      <c r="AA355" s="919"/>
      <c r="AB355" s="1813"/>
      <c r="AC355" s="1580"/>
      <c r="AD355" s="95"/>
      <c r="AE355" s="105"/>
      <c r="AF355" s="97"/>
      <c r="AG355" s="2080"/>
      <c r="AH355" s="2081"/>
      <c r="AI355" s="99"/>
      <c r="AJ355" s="1809"/>
      <c r="AK355" s="6120" t="str">
        <f t="shared" si="176"/>
        <v>►</v>
      </c>
      <c r="AL355" s="781" t="str">
        <f t="shared" si="164"/>
        <v>►</v>
      </c>
      <c r="AM355" s="5499" t="str">
        <f t="shared" si="167"/>
        <v/>
      </c>
      <c r="AN355" s="783" t="str">
        <f t="shared" si="168"/>
        <v/>
      </c>
      <c r="AO355" s="782" t="str">
        <f t="shared" si="169"/>
        <v/>
      </c>
      <c r="AP355" s="783" t="str">
        <f t="shared" si="170"/>
        <v/>
      </c>
      <c r="AQ355" s="2083" t="b">
        <f>AND(Q355="A",COUNTIF(BP16:BR63,TRIM(Z355))&gt;0)</f>
        <v>0</v>
      </c>
      <c r="AR355" s="797" t="str">
        <f>IF(AL355&lt;&gt;"A","",IFERROR(IFERROR(_xlfn.XLOOKUP(TRIM(SUBSTITUTE(Z355,CHAR(160)," ")),BP16:BP63,BS16:BS63),IFERROR(_xlfn.XLOOKUP(TRIM(SUBSTITUTE(Z355,CHAR(160)," ")),BQ16:BQ63,BS16:BS63),_xlfn.XLOOKUP(TRIM(SUBSTITUTE(Z355,CHAR(160)," ")),BR16:BR63,BS16:BS63)))*Y355*IF(ISBLANK(V355),1,V355),0))</f>
        <v/>
      </c>
      <c r="AS355" s="784" t="str">
        <f t="shared" si="160"/>
        <v/>
      </c>
      <c r="AT355" s="1315" t="str">
        <f t="shared" si="171"/>
        <v/>
      </c>
      <c r="AU355" s="785">
        <f t="shared" si="172"/>
        <v>0</v>
      </c>
      <c r="AV355" s="785">
        <f t="shared" si="173"/>
        <v>0</v>
      </c>
      <c r="AW355" s="786">
        <f>IF(AK355="A",AY10,0)</f>
        <v>0</v>
      </c>
      <c r="AX355" s="5495" t="str">
        <f>IF(IFERROR(SEARCH("Adresse PC",TRIM(W355)),0)&gt;0,"▼ receta siguiente",IF(AK355="A",IF(AZ10&lt;&gt;"",AZ10&amp;" - ou.or.o ❾ + or - &gt;",""),""))</f>
        <v/>
      </c>
      <c r="AY355" s="810"/>
      <c r="AZ355" s="810"/>
      <c r="BA355" s="788" t="str">
        <f t="shared" si="163"/>
        <v/>
      </c>
      <c r="BB355" s="789" t="str">
        <f>IF(AK355="A",IF(AQ355,IF(AND(AW355&lt;&gt;"",N(AW355)&gt;0),IFERROR(IFERROR(_xlfn.XLOOKUP(AP355,BP10:BP57,BT10:BT57),IFERROR(_xlfn.XLOOKUP(AP355,BQ10:BQ57,BT10:BT57),_xlfn.XLOOKUP(AP355,BR10:BR57,BT10:BT57,""))),""),""),""),"")</f>
        <v/>
      </c>
      <c r="BC355" s="811" cm="1">
        <f t="array" ref="BC355">IF(NOT(AQ355),0,IF(OR(BA355="",N(BA355)&lt;=0.000000001),"",IF(OR(AU355="",N(AU355)&lt;=0.000000001),0,IF(ISNUMBER(BA355),IFERROR(_xlfn.LET(_xlpm.ai_test,TRIM(AP355),_xlpm.r,IFERROR(_xlfn.XLOOKUP(_xlpm.ai_test,BP16:BP63,ROW(BP16:BP63),0,1),IFERROR(_xlfn.XLOOKUP(_xlpm.ai_test,BQ16:BQ63,ROW(BQ16:BQ63),0,1),_xlfn.XLOOKUP(_xlpm.ai_test,BR16:BR63,ROW(BR16:BR63),0,1))),_xlpm.p,_xlpm.r-MIN(ROW(BP16:BP63))+1,_xlpm.f,INDEX(BS16:BS63,_xlpm.p),_xlpm.u,INDEX(BT16:BT63,_xlpm.p),_xlpm.s,INDEX(BV16:BV63,_xlpm.p),_xlpm.q,N(BA355)/_xlpm.f,IF(_xlpm.q&gt;=_xlpm.s,ROUND(_xlpm.q,1)&amp;" "&amp;_xlpm.ai_test&amp;" = "&amp;ROUND(_xlpm.q*_xlpm.f,1)&amp;" "&amp;_xlpm.u,ROUND(_xlpm.q,1)&amp;" "&amp;_xlpm.ai_test)),""),""))))</f>
        <v>0</v>
      </c>
      <c r="BD355" s="801"/>
      <c r="BE355" s="788" t="str">
        <f t="shared" si="174"/>
        <v/>
      </c>
      <c r="BF355" s="789" t="str">
        <f t="shared" si="177"/>
        <v/>
      </c>
      <c r="BG355" s="790">
        <f t="shared" si="178"/>
        <v>0</v>
      </c>
      <c r="BH355" s="791" t="str">
        <f t="shared" si="179"/>
        <v/>
      </c>
      <c r="BI355" s="792"/>
      <c r="BJ355" s="793">
        <f t="shared" si="180"/>
        <v>0</v>
      </c>
      <c r="BK355" s="794" t="str">
        <f t="shared" si="175"/>
        <v/>
      </c>
      <c r="BL355" s="227" t="s">
        <v>21</v>
      </c>
      <c r="BM355" s="773">
        <f t="shared" si="165"/>
        <v>0</v>
      </c>
      <c r="BN355" s="774">
        <f t="shared" si="166"/>
        <v>0</v>
      </c>
      <c r="BO355"/>
      <c r="BX355"/>
      <c r="BY355"/>
      <c r="BZ355"/>
      <c r="CA355"/>
      <c r="CB355"/>
      <c r="CC355"/>
      <c r="CD355" s="781" t="str">
        <f t="shared" si="161"/>
        <v>►</v>
      </c>
      <c r="CE355" s="633"/>
      <c r="CF355" s="633"/>
      <c r="CG355" s="633"/>
      <c r="CH355" s="633"/>
      <c r="CI355" s="633"/>
      <c r="CJ355" s="227"/>
      <c r="CK355"/>
      <c r="CL355"/>
      <c r="CM355"/>
      <c r="CN355"/>
      <c r="CO355"/>
      <c r="CP355"/>
      <c r="CQ355"/>
      <c r="CR355" s="227"/>
      <c r="CS355"/>
      <c r="CT355"/>
      <c r="CU355"/>
      <c r="CV355"/>
      <c r="CW355"/>
      <c r="CX355"/>
      <c r="CY355"/>
      <c r="CZ355" s="227"/>
      <c r="DA355"/>
      <c r="DB355"/>
      <c r="DC355"/>
      <c r="DD355"/>
      <c r="DE355"/>
      <c r="DF355"/>
      <c r="DG355"/>
      <c r="DH355" s="227"/>
      <c r="DI355" s="3">
        <v>1</v>
      </c>
    </row>
    <row r="356" spans="2:113" s="627" customFormat="1" ht="21" customHeight="1">
      <c r="B356" s="2265" t="str" cm="1">
        <f t="array" ref="B356">SUMPRODUCT(--(D356:J356&lt;&gt;""), LEN(TRIM(SUBSTITUTE(D356:J356, CHAR(160), "")))) &amp; " Car."</f>
        <v>0 Car.</v>
      </c>
      <c r="C356" s="1376" t="str">
        <f>IF(ISBLANK(D356),"",LARGE(C13:C355,1)+1)</f>
        <v/>
      </c>
      <c r="D356" s="1833"/>
      <c r="E356" s="1810"/>
      <c r="F356" s="1810"/>
      <c r="G356" s="1810"/>
      <c r="H356" s="1810"/>
      <c r="I356" s="1810"/>
      <c r="J356" s="1810"/>
      <c r="K356" s="1810"/>
      <c r="L356" s="1811"/>
      <c r="M356"/>
      <c r="N356" s="103" t="str">
        <f t="shared" si="162"/>
        <v>►</v>
      </c>
      <c r="O356" s="1616"/>
      <c r="P356"/>
      <c r="Q356" s="103" t="s">
        <v>15</v>
      </c>
      <c r="R356" s="31"/>
      <c r="S356" s="32"/>
      <c r="T356" s="31"/>
      <c r="U356" s="33"/>
      <c r="V356" s="1804"/>
      <c r="W356" s="1805"/>
      <c r="X356" s="91"/>
      <c r="Y356" s="1806"/>
      <c r="Z356" s="1807"/>
      <c r="AA356" s="919"/>
      <c r="AB356" s="1813"/>
      <c r="AC356" s="1580"/>
      <c r="AD356" s="95"/>
      <c r="AE356" s="105"/>
      <c r="AF356" s="97"/>
      <c r="AG356" s="2080"/>
      <c r="AH356" s="2081"/>
      <c r="AI356" s="99"/>
      <c r="AJ356" s="1809"/>
      <c r="AK356" s="6120" t="str">
        <f t="shared" si="176"/>
        <v>►</v>
      </c>
      <c r="AL356" s="781" t="str">
        <f t="shared" si="164"/>
        <v>►</v>
      </c>
      <c r="AM356" s="5498" t="str">
        <f t="shared" si="167"/>
        <v/>
      </c>
      <c r="AN356" s="783" t="str">
        <f t="shared" si="168"/>
        <v/>
      </c>
      <c r="AO356" s="782" t="str">
        <f t="shared" si="169"/>
        <v/>
      </c>
      <c r="AP356" s="783" t="str">
        <f t="shared" si="170"/>
        <v/>
      </c>
      <c r="AQ356" s="2083" t="b">
        <f>AND(Q356="A",COUNTIF(BP16:BR63,TRIM(Z356))&gt;0)</f>
        <v>0</v>
      </c>
      <c r="AR356" s="797" t="str">
        <f>IF(AL356&lt;&gt;"A","",IFERROR(IFERROR(_xlfn.XLOOKUP(TRIM(SUBSTITUTE(Z356,CHAR(160)," ")),BP16:BP63,BS16:BS63),IFERROR(_xlfn.XLOOKUP(TRIM(SUBSTITUTE(Z356,CHAR(160)," ")),BQ16:BQ63,BS16:BS63),_xlfn.XLOOKUP(TRIM(SUBSTITUTE(Z356,CHAR(160)," ")),BR16:BR63,BS16:BS63)))*Y356*IF(ISBLANK(V356),1,V356),0))</f>
        <v/>
      </c>
      <c r="AS356" s="784" t="str">
        <f t="shared" si="160"/>
        <v/>
      </c>
      <c r="AT356" s="1315" t="str">
        <f t="shared" si="171"/>
        <v/>
      </c>
      <c r="AU356" s="785">
        <f t="shared" si="172"/>
        <v>0</v>
      </c>
      <c r="AV356" s="785">
        <f t="shared" si="173"/>
        <v>0</v>
      </c>
      <c r="AW356" s="798">
        <f>IF(AK356="A",AY10,0)</f>
        <v>0</v>
      </c>
      <c r="AX356" s="5496" t="str">
        <f>IF(IFERROR(SEARCH("Adresse PC",TRIM(W356)),0)&gt;0,"▼ receta siguiente",IF(AK356="A",IF(AZ10&lt;&gt;"",AZ10&amp;" - ou.or.o ❾ + or - &gt;",""),""))</f>
        <v/>
      </c>
      <c r="AY356" s="810"/>
      <c r="AZ356" s="810"/>
      <c r="BA356" s="799" t="str">
        <f t="shared" si="163"/>
        <v/>
      </c>
      <c r="BB356" s="800" t="str">
        <f>IF(AK356="A",IF(AQ356,IF(AND(AW356&lt;&gt;"",N(AW356)&gt;0),IFERROR(IFERROR(_xlfn.XLOOKUP(AP356,BP10:BP57,BT10:BT57),IFERROR(_xlfn.XLOOKUP(AP356,BQ10:BQ57,BT10:BT57),_xlfn.XLOOKUP(AP356,BR10:BR57,BT10:BT57,""))),""),""),""),"")</f>
        <v/>
      </c>
      <c r="BC356" s="813" cm="1">
        <f t="array" ref="BC356">IF(NOT(AQ356),0,IF(OR(BA356="",N(BA356)&lt;=0.000000001),"",IF(OR(AU356="",N(AU356)&lt;=0.000000001),0,IF(ISNUMBER(BA356),IFERROR(_xlfn.LET(_xlpm.ai_test,TRIM(AP356),_xlpm.r,IFERROR(_xlfn.XLOOKUP(_xlpm.ai_test,BP16:BP63,ROW(BP16:BP63),0,1),IFERROR(_xlfn.XLOOKUP(_xlpm.ai_test,BQ16:BQ63,ROW(BQ16:BQ63),0,1),_xlfn.XLOOKUP(_xlpm.ai_test,BR16:BR63,ROW(BR16:BR63),0,1))),_xlpm.p,_xlpm.r-MIN(ROW(BP16:BP63))+1,_xlpm.f,INDEX(BS16:BS63,_xlpm.p),_xlpm.u,INDEX(BT16:BT63,_xlpm.p),_xlpm.s,INDEX(BV16:BV63,_xlpm.p),_xlpm.q,N(BA356)/_xlpm.f,IF(_xlpm.q&gt;=_xlpm.s,ROUND(_xlpm.q,1)&amp;" "&amp;_xlpm.ai_test&amp;" = "&amp;ROUND(_xlpm.q*_xlpm.f,1)&amp;" "&amp;_xlpm.u,ROUND(_xlpm.q,1)&amp;" "&amp;_xlpm.ai_test)),""),""))))</f>
        <v>0</v>
      </c>
      <c r="BD356" s="801"/>
      <c r="BE356" s="799" t="str">
        <f t="shared" si="174"/>
        <v/>
      </c>
      <c r="BF356" s="800" t="str">
        <f t="shared" si="177"/>
        <v/>
      </c>
      <c r="BG356" s="802">
        <f t="shared" si="178"/>
        <v>0</v>
      </c>
      <c r="BH356" s="803" t="str">
        <f t="shared" si="179"/>
        <v/>
      </c>
      <c r="BI356" s="792"/>
      <c r="BJ356" s="804">
        <f t="shared" si="180"/>
        <v>0</v>
      </c>
      <c r="BK356" s="794" t="str">
        <f t="shared" si="175"/>
        <v/>
      </c>
      <c r="BL356" s="227" t="s">
        <v>21</v>
      </c>
      <c r="BM356" s="773">
        <f t="shared" si="165"/>
        <v>0</v>
      </c>
      <c r="BN356" s="774">
        <f t="shared" si="166"/>
        <v>0</v>
      </c>
      <c r="BO356"/>
      <c r="BX356"/>
      <c r="BY356"/>
      <c r="BZ356"/>
      <c r="CA356"/>
      <c r="CB356"/>
      <c r="CC356"/>
      <c r="CD356" s="781" t="str">
        <f t="shared" si="161"/>
        <v>►</v>
      </c>
      <c r="CE356" s="633"/>
      <c r="CF356" s="633"/>
      <c r="CG356" s="633"/>
      <c r="CH356" s="633"/>
      <c r="CI356" s="633"/>
      <c r="CJ356" s="227"/>
      <c r="CK356"/>
      <c r="CL356"/>
      <c r="CM356"/>
      <c r="CN356"/>
      <c r="CO356"/>
      <c r="CP356"/>
      <c r="CQ356"/>
      <c r="CR356" s="227"/>
      <c r="CS356"/>
      <c r="CT356"/>
      <c r="CU356"/>
      <c r="CV356"/>
      <c r="CW356"/>
      <c r="CX356"/>
      <c r="CY356"/>
      <c r="CZ356" s="227"/>
      <c r="DA356"/>
      <c r="DB356"/>
      <c r="DC356"/>
      <c r="DD356"/>
      <c r="DE356"/>
      <c r="DF356"/>
      <c r="DG356"/>
      <c r="DH356" s="227"/>
      <c r="DI356" s="3">
        <v>1</v>
      </c>
    </row>
    <row r="357" spans="2:113" s="627" customFormat="1" ht="21" customHeight="1">
      <c r="B357" s="2265" t="str" cm="1">
        <f t="array" ref="B357">SUMPRODUCT(--(D357:J357&lt;&gt;""), LEN(TRIM(SUBSTITUTE(D357:J357, CHAR(160), "")))) &amp; " Car."</f>
        <v>0 Car.</v>
      </c>
      <c r="C357" s="1376" t="str">
        <f>IF(ISBLANK(D357),"",LARGE(C13:C356,1)+1)</f>
        <v/>
      </c>
      <c r="D357" s="1833"/>
      <c r="E357" s="1810"/>
      <c r="F357" s="1810"/>
      <c r="G357" s="1810"/>
      <c r="H357" s="1810"/>
      <c r="I357" s="1810"/>
      <c r="J357" s="1810"/>
      <c r="K357" s="1810"/>
      <c r="L357" s="1811"/>
      <c r="M357"/>
      <c r="N357" s="103" t="str">
        <f t="shared" si="162"/>
        <v>►</v>
      </c>
      <c r="O357" s="1616"/>
      <c r="P357"/>
      <c r="Q357" s="103" t="s">
        <v>15</v>
      </c>
      <c r="R357" s="31"/>
      <c r="S357" s="32"/>
      <c r="T357" s="31"/>
      <c r="U357" s="33"/>
      <c r="V357" s="1804"/>
      <c r="W357" s="1805"/>
      <c r="X357" s="91"/>
      <c r="Y357" s="1806"/>
      <c r="Z357" s="1807"/>
      <c r="AA357" s="919"/>
      <c r="AB357" s="1813"/>
      <c r="AC357" s="1580"/>
      <c r="AD357" s="95"/>
      <c r="AE357" s="105"/>
      <c r="AF357" s="97"/>
      <c r="AG357" s="2080"/>
      <c r="AH357" s="2081"/>
      <c r="AI357" s="99"/>
      <c r="AJ357" s="1809"/>
      <c r="AK357" s="6120" t="str">
        <f t="shared" si="176"/>
        <v>►</v>
      </c>
      <c r="AL357" s="781" t="str">
        <f t="shared" si="164"/>
        <v>►</v>
      </c>
      <c r="AM357" s="5499" t="str">
        <f t="shared" si="167"/>
        <v/>
      </c>
      <c r="AN357" s="783" t="str">
        <f t="shared" si="168"/>
        <v/>
      </c>
      <c r="AO357" s="782" t="str">
        <f t="shared" si="169"/>
        <v/>
      </c>
      <c r="AP357" s="783" t="str">
        <f t="shared" si="170"/>
        <v/>
      </c>
      <c r="AQ357" s="2083" t="b">
        <f>AND(Q357="A",COUNTIF(BP16:BR63,TRIM(Z357))&gt;0)</f>
        <v>0</v>
      </c>
      <c r="AR357" s="797" t="str">
        <f>IF(AL357&lt;&gt;"A","",IFERROR(IFERROR(_xlfn.XLOOKUP(TRIM(SUBSTITUTE(Z357,CHAR(160)," ")),BP16:BP63,BS16:BS63),IFERROR(_xlfn.XLOOKUP(TRIM(SUBSTITUTE(Z357,CHAR(160)," ")),BQ16:BQ63,BS16:BS63),_xlfn.XLOOKUP(TRIM(SUBSTITUTE(Z357,CHAR(160)," ")),BR16:BR63,BS16:BS63)))*Y357*IF(ISBLANK(V357),1,V357),0))</f>
        <v/>
      </c>
      <c r="AS357" s="784" t="str">
        <f t="shared" si="160"/>
        <v/>
      </c>
      <c r="AT357" s="1315" t="str">
        <f t="shared" si="171"/>
        <v/>
      </c>
      <c r="AU357" s="785">
        <f t="shared" si="172"/>
        <v>0</v>
      </c>
      <c r="AV357" s="785">
        <f t="shared" si="173"/>
        <v>0</v>
      </c>
      <c r="AW357" s="786">
        <f>IF(AK357="A",AY10,0)</f>
        <v>0</v>
      </c>
      <c r="AX357" s="5495" t="str">
        <f>IF(IFERROR(SEARCH("Adresse PC",TRIM(W357)),0)&gt;0,"▼ receta siguiente",IF(AK357="A",IF(AZ10&lt;&gt;"",AZ10&amp;" - ou.or.o ❾ + or - &gt;",""),""))</f>
        <v/>
      </c>
      <c r="AY357" s="810"/>
      <c r="AZ357" s="810"/>
      <c r="BA357" s="788" t="str">
        <f t="shared" si="163"/>
        <v/>
      </c>
      <c r="BB357" s="789" t="str">
        <f>IF(AK357="A",IF(AQ357,IF(AND(AW357&lt;&gt;"",N(AW357)&gt;0),IFERROR(IFERROR(_xlfn.XLOOKUP(AP357,BP10:BP57,BT10:BT57),IFERROR(_xlfn.XLOOKUP(AP357,BQ10:BQ57,BT10:BT57),_xlfn.XLOOKUP(AP357,BR10:BR57,BT10:BT57,""))),""),""),""),"")</f>
        <v/>
      </c>
      <c r="BC357" s="811" cm="1">
        <f t="array" ref="BC357">IF(NOT(AQ357),0,IF(OR(BA357="",N(BA357)&lt;=0.000000001),"",IF(OR(AU357="",N(AU357)&lt;=0.000000001),0,IF(ISNUMBER(BA357),IFERROR(_xlfn.LET(_xlpm.ai_test,TRIM(AP357),_xlpm.r,IFERROR(_xlfn.XLOOKUP(_xlpm.ai_test,BP16:BP63,ROW(BP16:BP63),0,1),IFERROR(_xlfn.XLOOKUP(_xlpm.ai_test,BQ16:BQ63,ROW(BQ16:BQ63),0,1),_xlfn.XLOOKUP(_xlpm.ai_test,BR16:BR63,ROW(BR16:BR63),0,1))),_xlpm.p,_xlpm.r-MIN(ROW(BP16:BP63))+1,_xlpm.f,INDEX(BS16:BS63,_xlpm.p),_xlpm.u,INDEX(BT16:BT63,_xlpm.p),_xlpm.s,INDEX(BV16:BV63,_xlpm.p),_xlpm.q,N(BA357)/_xlpm.f,IF(_xlpm.q&gt;=_xlpm.s,ROUND(_xlpm.q,1)&amp;" "&amp;_xlpm.ai_test&amp;" = "&amp;ROUND(_xlpm.q*_xlpm.f,1)&amp;" "&amp;_xlpm.u,ROUND(_xlpm.q,1)&amp;" "&amp;_xlpm.ai_test)),""),""))))</f>
        <v>0</v>
      </c>
      <c r="BD357" s="801"/>
      <c r="BE357" s="788" t="str">
        <f t="shared" si="174"/>
        <v/>
      </c>
      <c r="BF357" s="789" t="str">
        <f t="shared" si="177"/>
        <v/>
      </c>
      <c r="BG357" s="790">
        <f t="shared" si="178"/>
        <v>0</v>
      </c>
      <c r="BH357" s="791" t="str">
        <f t="shared" si="179"/>
        <v/>
      </c>
      <c r="BI357" s="792"/>
      <c r="BJ357" s="793">
        <f t="shared" si="180"/>
        <v>0</v>
      </c>
      <c r="BK357" s="794" t="str">
        <f t="shared" si="175"/>
        <v/>
      </c>
      <c r="BL357" s="227" t="s">
        <v>21</v>
      </c>
      <c r="BM357" s="773">
        <f t="shared" si="165"/>
        <v>0</v>
      </c>
      <c r="BN357" s="774">
        <f t="shared" si="166"/>
        <v>0</v>
      </c>
      <c r="BO357"/>
      <c r="BX357"/>
      <c r="BY357"/>
      <c r="BZ357"/>
      <c r="CA357"/>
      <c r="CB357"/>
      <c r="CC357"/>
      <c r="CD357" s="781" t="str">
        <f t="shared" si="161"/>
        <v>►</v>
      </c>
      <c r="CE357" s="633"/>
      <c r="CF357" s="633"/>
      <c r="CG357" s="633"/>
      <c r="CH357" s="633"/>
      <c r="CI357" s="633"/>
      <c r="CJ357" s="227"/>
      <c r="CK357"/>
      <c r="CL357"/>
      <c r="CM357"/>
      <c r="CN357"/>
      <c r="CO357"/>
      <c r="CP357"/>
      <c r="CQ357"/>
      <c r="CR357" s="227"/>
      <c r="CS357"/>
      <c r="CT357"/>
      <c r="CU357"/>
      <c r="CV357"/>
      <c r="CW357"/>
      <c r="CX357"/>
      <c r="CY357"/>
      <c r="CZ357" s="227"/>
      <c r="DA357"/>
      <c r="DB357"/>
      <c r="DC357"/>
      <c r="DD357"/>
      <c r="DE357"/>
      <c r="DF357"/>
      <c r="DG357"/>
      <c r="DH357" s="227"/>
      <c r="DI357" s="3">
        <v>1</v>
      </c>
    </row>
    <row r="358" spans="2:113" s="627" customFormat="1" ht="21" customHeight="1">
      <c r="B358" s="2265" t="str" cm="1">
        <f t="array" ref="B358">SUMPRODUCT(--(D358:J358&lt;&gt;""), LEN(TRIM(SUBSTITUTE(D358:J358, CHAR(160), "")))) &amp; " Car."</f>
        <v>0 Car.</v>
      </c>
      <c r="C358" s="1376" t="str">
        <f>IF(ISBLANK(D358),"",LARGE(C13:C357,1)+1)</f>
        <v/>
      </c>
      <c r="D358" s="1833"/>
      <c r="E358" s="1810"/>
      <c r="F358" s="1810"/>
      <c r="G358" s="1810"/>
      <c r="H358" s="1810"/>
      <c r="I358" s="1810"/>
      <c r="J358" s="1810"/>
      <c r="K358" s="1810"/>
      <c r="L358" s="1811"/>
      <c r="M358"/>
      <c r="N358" s="103" t="str">
        <f t="shared" si="162"/>
        <v>►</v>
      </c>
      <c r="O358" s="1616"/>
      <c r="P358"/>
      <c r="Q358" s="103" t="s">
        <v>15</v>
      </c>
      <c r="R358" s="31"/>
      <c r="S358" s="32"/>
      <c r="T358" s="31"/>
      <c r="U358" s="33"/>
      <c r="V358" s="1804"/>
      <c r="W358" s="1805"/>
      <c r="X358" s="91"/>
      <c r="Y358" s="1806"/>
      <c r="Z358" s="1807"/>
      <c r="AA358" s="919"/>
      <c r="AB358" s="1813"/>
      <c r="AC358" s="1580"/>
      <c r="AD358" s="95"/>
      <c r="AE358" s="105"/>
      <c r="AF358" s="97"/>
      <c r="AG358" s="2080"/>
      <c r="AH358" s="2081"/>
      <c r="AI358" s="99"/>
      <c r="AJ358" s="1809"/>
      <c r="AK358" s="6120" t="str">
        <f t="shared" si="176"/>
        <v>►</v>
      </c>
      <c r="AL358" s="781" t="str">
        <f t="shared" si="164"/>
        <v>►</v>
      </c>
      <c r="AM358" s="5498" t="str">
        <f t="shared" si="167"/>
        <v/>
      </c>
      <c r="AN358" s="783" t="str">
        <f t="shared" si="168"/>
        <v/>
      </c>
      <c r="AO358" s="782" t="str">
        <f t="shared" si="169"/>
        <v/>
      </c>
      <c r="AP358" s="783" t="str">
        <f t="shared" si="170"/>
        <v/>
      </c>
      <c r="AQ358" s="2083" t="b">
        <f>AND(Q358="A",COUNTIF(BP16:BR63,TRIM(Z358))&gt;0)</f>
        <v>0</v>
      </c>
      <c r="AR358" s="797" t="str">
        <f>IF(AL358&lt;&gt;"A","",IFERROR(IFERROR(_xlfn.XLOOKUP(TRIM(SUBSTITUTE(Z358,CHAR(160)," ")),BP16:BP63,BS16:BS63),IFERROR(_xlfn.XLOOKUP(TRIM(SUBSTITUTE(Z358,CHAR(160)," ")),BQ16:BQ63,BS16:BS63),_xlfn.XLOOKUP(TRIM(SUBSTITUTE(Z358,CHAR(160)," ")),BR16:BR63,BS16:BS63)))*Y358*IF(ISBLANK(V358),1,V358),0))</f>
        <v/>
      </c>
      <c r="AS358" s="784" t="str">
        <f t="shared" si="160"/>
        <v/>
      </c>
      <c r="AT358" s="1315" t="str">
        <f t="shared" si="171"/>
        <v/>
      </c>
      <c r="AU358" s="785">
        <f t="shared" si="172"/>
        <v>0</v>
      </c>
      <c r="AV358" s="785">
        <f t="shared" si="173"/>
        <v>0</v>
      </c>
      <c r="AW358" s="798">
        <f>IF(AK358="A",AY10,0)</f>
        <v>0</v>
      </c>
      <c r="AX358" s="5496" t="str">
        <f>IF(IFERROR(SEARCH("Adresse PC",TRIM(W358)),0)&gt;0,"▼ receta siguiente",IF(AK358="A",IF(AZ10&lt;&gt;"",AZ10&amp;" - ou.or.o ❾ + or - &gt;",""),""))</f>
        <v/>
      </c>
      <c r="AY358" s="810"/>
      <c r="AZ358" s="810"/>
      <c r="BA358" s="799" t="str">
        <f t="shared" si="163"/>
        <v/>
      </c>
      <c r="BB358" s="800" t="str">
        <f>IF(AK358="A",IF(AQ358,IF(AND(AW358&lt;&gt;"",N(AW358)&gt;0),IFERROR(IFERROR(_xlfn.XLOOKUP(AP358,BP10:BP57,BT10:BT57),IFERROR(_xlfn.XLOOKUP(AP358,BQ10:BQ57,BT10:BT57),_xlfn.XLOOKUP(AP358,BR10:BR57,BT10:BT57,""))),""),""),""),"")</f>
        <v/>
      </c>
      <c r="BC358" s="813" cm="1">
        <f t="array" ref="BC358">IF(NOT(AQ358),0,IF(OR(BA358="",N(BA358)&lt;=0.000000001),"",IF(OR(AU358="",N(AU358)&lt;=0.000000001),0,IF(ISNUMBER(BA358),IFERROR(_xlfn.LET(_xlpm.ai_test,TRIM(AP358),_xlpm.r,IFERROR(_xlfn.XLOOKUP(_xlpm.ai_test,BP16:BP63,ROW(BP16:BP63),0,1),IFERROR(_xlfn.XLOOKUP(_xlpm.ai_test,BQ16:BQ63,ROW(BQ16:BQ63),0,1),_xlfn.XLOOKUP(_xlpm.ai_test,BR16:BR63,ROW(BR16:BR63),0,1))),_xlpm.p,_xlpm.r-MIN(ROW(BP16:BP63))+1,_xlpm.f,INDEX(BS16:BS63,_xlpm.p),_xlpm.u,INDEX(BT16:BT63,_xlpm.p),_xlpm.s,INDEX(BV16:BV63,_xlpm.p),_xlpm.q,N(BA358)/_xlpm.f,IF(_xlpm.q&gt;=_xlpm.s,ROUND(_xlpm.q,1)&amp;" "&amp;_xlpm.ai_test&amp;" = "&amp;ROUND(_xlpm.q*_xlpm.f,1)&amp;" "&amp;_xlpm.u,ROUND(_xlpm.q,1)&amp;" "&amp;_xlpm.ai_test)),""),""))))</f>
        <v>0</v>
      </c>
      <c r="BD358" s="801"/>
      <c r="BE358" s="799" t="str">
        <f t="shared" si="174"/>
        <v/>
      </c>
      <c r="BF358" s="800" t="str">
        <f t="shared" si="177"/>
        <v/>
      </c>
      <c r="BG358" s="802">
        <f t="shared" si="178"/>
        <v>0</v>
      </c>
      <c r="BH358" s="803" t="str">
        <f t="shared" si="179"/>
        <v/>
      </c>
      <c r="BI358" s="792"/>
      <c r="BJ358" s="804">
        <f t="shared" si="180"/>
        <v>0</v>
      </c>
      <c r="BK358" s="794" t="str">
        <f t="shared" si="175"/>
        <v/>
      </c>
      <c r="BL358" s="227" t="s">
        <v>21</v>
      </c>
      <c r="BM358" s="773">
        <f t="shared" si="165"/>
        <v>0</v>
      </c>
      <c r="BN358" s="774">
        <f t="shared" si="166"/>
        <v>0</v>
      </c>
      <c r="BO358"/>
      <c r="BX358"/>
      <c r="BY358"/>
      <c r="BZ358"/>
      <c r="CA358"/>
      <c r="CB358"/>
      <c r="CC358"/>
      <c r="CD358" s="781" t="str">
        <f t="shared" si="161"/>
        <v>►</v>
      </c>
      <c r="CE358" s="633"/>
      <c r="CF358" s="633"/>
      <c r="CG358" s="633"/>
      <c r="CH358" s="633"/>
      <c r="CI358" s="633"/>
      <c r="CJ358" s="227"/>
      <c r="CK358"/>
      <c r="CL358"/>
      <c r="CM358"/>
      <c r="CN358"/>
      <c r="CO358"/>
      <c r="CP358"/>
      <c r="CQ358"/>
      <c r="CR358" s="227"/>
      <c r="CS358"/>
      <c r="CT358"/>
      <c r="CU358"/>
      <c r="CV358"/>
      <c r="CW358"/>
      <c r="CX358"/>
      <c r="CY358"/>
      <c r="CZ358" s="227"/>
      <c r="DA358"/>
      <c r="DB358"/>
      <c r="DC358"/>
      <c r="DD358"/>
      <c r="DE358"/>
      <c r="DF358"/>
      <c r="DG358"/>
      <c r="DH358" s="227"/>
      <c r="DI358" s="3">
        <v>1</v>
      </c>
    </row>
    <row r="359" spans="2:113" s="627" customFormat="1" ht="21" customHeight="1">
      <c r="B359" s="2265" t="str" cm="1">
        <f t="array" ref="B359">SUMPRODUCT(--(D359:J359&lt;&gt;""), LEN(TRIM(SUBSTITUTE(D359:J359, CHAR(160), "")))) &amp; " Car."</f>
        <v>0 Car.</v>
      </c>
      <c r="C359" s="1376" t="str">
        <f>IF(ISBLANK(D359),"",LARGE(C13:C358,1)+1)</f>
        <v/>
      </c>
      <c r="D359" s="1833"/>
      <c r="E359" s="1810"/>
      <c r="F359" s="1810"/>
      <c r="G359" s="1810"/>
      <c r="H359" s="1810"/>
      <c r="I359" s="1810"/>
      <c r="J359" s="1810"/>
      <c r="K359" s="1810"/>
      <c r="L359" s="1811"/>
      <c r="M359"/>
      <c r="N359" s="103" t="str">
        <f t="shared" si="162"/>
        <v>►</v>
      </c>
      <c r="O359" s="1616"/>
      <c r="P359"/>
      <c r="Q359" s="103" t="s">
        <v>15</v>
      </c>
      <c r="R359" s="31"/>
      <c r="S359" s="32"/>
      <c r="T359" s="31"/>
      <c r="U359" s="33"/>
      <c r="V359" s="1804"/>
      <c r="W359" s="1805"/>
      <c r="X359" s="91"/>
      <c r="Y359" s="1806"/>
      <c r="Z359" s="1807"/>
      <c r="AA359" s="919"/>
      <c r="AB359" s="1813"/>
      <c r="AC359" s="1580"/>
      <c r="AD359" s="95"/>
      <c r="AE359" s="105"/>
      <c r="AF359" s="97"/>
      <c r="AG359" s="2080"/>
      <c r="AH359" s="2081"/>
      <c r="AI359" s="99"/>
      <c r="AJ359" s="1809"/>
      <c r="AK359" s="6120" t="str">
        <f t="shared" si="176"/>
        <v>►</v>
      </c>
      <c r="AL359" s="781" t="str">
        <f t="shared" si="164"/>
        <v>►</v>
      </c>
      <c r="AM359" s="5499" t="str">
        <f t="shared" si="167"/>
        <v/>
      </c>
      <c r="AN359" s="783" t="str">
        <f t="shared" si="168"/>
        <v/>
      </c>
      <c r="AO359" s="782" t="str">
        <f t="shared" si="169"/>
        <v/>
      </c>
      <c r="AP359" s="783" t="str">
        <f t="shared" si="170"/>
        <v/>
      </c>
      <c r="AQ359" s="2083" t="b">
        <f>AND(Q359="A",COUNTIF(BP16:BR63,TRIM(Z359))&gt;0)</f>
        <v>0</v>
      </c>
      <c r="AR359" s="797" t="str">
        <f>IF(AL359&lt;&gt;"A","",IFERROR(IFERROR(_xlfn.XLOOKUP(TRIM(SUBSTITUTE(Z359,CHAR(160)," ")),BP16:BP63,BS16:BS63),IFERROR(_xlfn.XLOOKUP(TRIM(SUBSTITUTE(Z359,CHAR(160)," ")),BQ16:BQ63,BS16:BS63),_xlfn.XLOOKUP(TRIM(SUBSTITUTE(Z359,CHAR(160)," ")),BR16:BR63,BS16:BS63)))*Y359*IF(ISBLANK(V359),1,V359),0))</f>
        <v/>
      </c>
      <c r="AS359" s="784" t="str">
        <f t="shared" si="160"/>
        <v/>
      </c>
      <c r="AT359" s="1315" t="str">
        <f t="shared" si="171"/>
        <v/>
      </c>
      <c r="AU359" s="785">
        <f t="shared" si="172"/>
        <v>0</v>
      </c>
      <c r="AV359" s="785">
        <f t="shared" si="173"/>
        <v>0</v>
      </c>
      <c r="AW359" s="786">
        <f>IF(AK359="A",AY10,0)</f>
        <v>0</v>
      </c>
      <c r="AX359" s="5495" t="str">
        <f>IF(IFERROR(SEARCH("Adresse PC",TRIM(W359)),0)&gt;0,"▼ receta siguiente",IF(AK359="A",IF(AZ10&lt;&gt;"",AZ10&amp;" - ou.or.o ❾ + or - &gt;",""),""))</f>
        <v/>
      </c>
      <c r="AY359" s="810"/>
      <c r="AZ359" s="810"/>
      <c r="BA359" s="788" t="str">
        <f t="shared" si="163"/>
        <v/>
      </c>
      <c r="BB359" s="789" t="str">
        <f>IF(AK359="A",IF(AQ359,IF(AND(AW359&lt;&gt;"",N(AW359)&gt;0),IFERROR(IFERROR(_xlfn.XLOOKUP(AP359,BP10:BP57,BT10:BT57),IFERROR(_xlfn.XLOOKUP(AP359,BQ10:BQ57,BT10:BT57),_xlfn.XLOOKUP(AP359,BR10:BR57,BT10:BT57,""))),""),""),""),"")</f>
        <v/>
      </c>
      <c r="BC359" s="811" cm="1">
        <f t="array" ref="BC359">IF(NOT(AQ359),0,IF(OR(BA359="",N(BA359)&lt;=0.000000001),"",IF(OR(AU359="",N(AU359)&lt;=0.000000001),0,IF(ISNUMBER(BA359),IFERROR(_xlfn.LET(_xlpm.ai_test,TRIM(AP359),_xlpm.r,IFERROR(_xlfn.XLOOKUP(_xlpm.ai_test,BP16:BP63,ROW(BP16:BP63),0,1),IFERROR(_xlfn.XLOOKUP(_xlpm.ai_test,BQ16:BQ63,ROW(BQ16:BQ63),0,1),_xlfn.XLOOKUP(_xlpm.ai_test,BR16:BR63,ROW(BR16:BR63),0,1))),_xlpm.p,_xlpm.r-MIN(ROW(BP16:BP63))+1,_xlpm.f,INDEX(BS16:BS63,_xlpm.p),_xlpm.u,INDEX(BT16:BT63,_xlpm.p),_xlpm.s,INDEX(BV16:BV63,_xlpm.p),_xlpm.q,N(BA359)/_xlpm.f,IF(_xlpm.q&gt;=_xlpm.s,ROUND(_xlpm.q,1)&amp;" "&amp;_xlpm.ai_test&amp;" = "&amp;ROUND(_xlpm.q*_xlpm.f,1)&amp;" "&amp;_xlpm.u,ROUND(_xlpm.q,1)&amp;" "&amp;_xlpm.ai_test)),""),""))))</f>
        <v>0</v>
      </c>
      <c r="BD359" s="801"/>
      <c r="BE359" s="788" t="str">
        <f t="shared" si="174"/>
        <v/>
      </c>
      <c r="BF359" s="789" t="str">
        <f t="shared" si="177"/>
        <v/>
      </c>
      <c r="BG359" s="790">
        <f t="shared" si="178"/>
        <v>0</v>
      </c>
      <c r="BH359" s="791" t="str">
        <f t="shared" si="179"/>
        <v/>
      </c>
      <c r="BI359" s="792"/>
      <c r="BJ359" s="793">
        <f t="shared" si="180"/>
        <v>0</v>
      </c>
      <c r="BK359" s="794" t="str">
        <f t="shared" si="175"/>
        <v/>
      </c>
      <c r="BL359" s="227" t="s">
        <v>21</v>
      </c>
      <c r="BM359" s="773">
        <f t="shared" si="165"/>
        <v>0</v>
      </c>
      <c r="BN359" s="774">
        <f t="shared" si="166"/>
        <v>0</v>
      </c>
      <c r="BO359"/>
      <c r="BX359"/>
      <c r="BY359"/>
      <c r="BZ359"/>
      <c r="CA359"/>
      <c r="CB359"/>
      <c r="CC359"/>
      <c r="CD359" s="781" t="str">
        <f t="shared" si="161"/>
        <v>►</v>
      </c>
      <c r="CE359" s="633"/>
      <c r="CF359" s="633"/>
      <c r="CG359" s="633"/>
      <c r="CH359" s="633"/>
      <c r="CI359" s="633"/>
      <c r="CJ359" s="227"/>
      <c r="CK359"/>
      <c r="CL359"/>
      <c r="CM359"/>
      <c r="CN359"/>
      <c r="CO359"/>
      <c r="CP359"/>
      <c r="CQ359"/>
      <c r="CR359" s="227"/>
      <c r="CS359"/>
      <c r="CT359"/>
      <c r="CU359"/>
      <c r="CV359"/>
      <c r="CW359"/>
      <c r="CX359"/>
      <c r="CY359"/>
      <c r="CZ359" s="227"/>
      <c r="DA359"/>
      <c r="DB359"/>
      <c r="DC359"/>
      <c r="DD359"/>
      <c r="DE359"/>
      <c r="DF359"/>
      <c r="DG359"/>
      <c r="DH359" s="227"/>
      <c r="DI359" s="3">
        <v>1</v>
      </c>
    </row>
    <row r="360" spans="2:113" s="627" customFormat="1" ht="21" customHeight="1">
      <c r="B360" s="2265" t="str" cm="1">
        <f t="array" ref="B360">SUMPRODUCT(--(D360:J360&lt;&gt;""), LEN(TRIM(SUBSTITUTE(D360:J360, CHAR(160), "")))) &amp; " Car."</f>
        <v>0 Car.</v>
      </c>
      <c r="C360" s="1376" t="str">
        <f>IF(ISBLANK(D360),"",LARGE(C13:C359,1)+1)</f>
        <v/>
      </c>
      <c r="D360" s="1833"/>
      <c r="E360" s="1810"/>
      <c r="F360" s="1810"/>
      <c r="G360" s="1810"/>
      <c r="H360" s="1810"/>
      <c r="I360" s="1810"/>
      <c r="J360" s="1810"/>
      <c r="K360" s="1810"/>
      <c r="L360" s="1811"/>
      <c r="M360"/>
      <c r="N360" s="103" t="str">
        <f t="shared" si="162"/>
        <v>►</v>
      </c>
      <c r="O360" s="1616"/>
      <c r="P360"/>
      <c r="Q360" s="103" t="s">
        <v>15</v>
      </c>
      <c r="R360" s="31"/>
      <c r="S360" s="32"/>
      <c r="T360" s="31"/>
      <c r="U360" s="33"/>
      <c r="V360" s="1804"/>
      <c r="W360" s="1805"/>
      <c r="X360" s="91"/>
      <c r="Y360" s="1806"/>
      <c r="Z360" s="1807"/>
      <c r="AA360" s="919"/>
      <c r="AB360" s="1813"/>
      <c r="AC360" s="1580"/>
      <c r="AD360" s="95"/>
      <c r="AE360" s="105"/>
      <c r="AF360" s="97"/>
      <c r="AG360" s="2080"/>
      <c r="AH360" s="2081"/>
      <c r="AI360" s="99"/>
      <c r="AJ360" s="1809"/>
      <c r="AK360" s="6120" t="str">
        <f t="shared" si="176"/>
        <v>►</v>
      </c>
      <c r="AL360" s="781" t="str">
        <f t="shared" si="164"/>
        <v>►</v>
      </c>
      <c r="AM360" s="5498" t="str">
        <f t="shared" si="167"/>
        <v/>
      </c>
      <c r="AN360" s="783" t="str">
        <f t="shared" si="168"/>
        <v/>
      </c>
      <c r="AO360" s="782" t="str">
        <f t="shared" si="169"/>
        <v/>
      </c>
      <c r="AP360" s="783" t="str">
        <f t="shared" si="170"/>
        <v/>
      </c>
      <c r="AQ360" s="2083" t="b">
        <f>AND(Q360="A",COUNTIF(BP16:BR63,TRIM(Z360))&gt;0)</f>
        <v>0</v>
      </c>
      <c r="AR360" s="797" t="str">
        <f>IF(AL360&lt;&gt;"A","",IFERROR(IFERROR(_xlfn.XLOOKUP(TRIM(SUBSTITUTE(Z360,CHAR(160)," ")),BP16:BP63,BS16:BS63),IFERROR(_xlfn.XLOOKUP(TRIM(SUBSTITUTE(Z360,CHAR(160)," ")),BQ16:BQ63,BS16:BS63),_xlfn.XLOOKUP(TRIM(SUBSTITUTE(Z360,CHAR(160)," ")),BR16:BR63,BS16:BS63)))*Y360*IF(ISBLANK(V360),1,V360),0))</f>
        <v/>
      </c>
      <c r="AS360" s="784" t="str">
        <f t="shared" si="160"/>
        <v/>
      </c>
      <c r="AT360" s="1315" t="str">
        <f t="shared" si="171"/>
        <v/>
      </c>
      <c r="AU360" s="785">
        <f t="shared" si="172"/>
        <v>0</v>
      </c>
      <c r="AV360" s="785">
        <f t="shared" si="173"/>
        <v>0</v>
      </c>
      <c r="AW360" s="798">
        <f>IF(AK360="A",AY10,0)</f>
        <v>0</v>
      </c>
      <c r="AX360" s="5496" t="str">
        <f>IF(IFERROR(SEARCH("Adresse PC",TRIM(W360)),0)&gt;0,"▼ receta siguiente",IF(AK360="A",IF(AZ10&lt;&gt;"",AZ10&amp;" - ou.or.o ❾ + or - &gt;",""),""))</f>
        <v/>
      </c>
      <c r="AY360" s="810"/>
      <c r="AZ360" s="810"/>
      <c r="BA360" s="799" t="str">
        <f t="shared" si="163"/>
        <v/>
      </c>
      <c r="BB360" s="800" t="str">
        <f>IF(AK360="A",IF(AQ360,IF(AND(AW360&lt;&gt;"",N(AW360)&gt;0),IFERROR(IFERROR(_xlfn.XLOOKUP(AP360,BP10:BP57,BT10:BT57),IFERROR(_xlfn.XLOOKUP(AP360,BQ10:BQ57,BT10:BT57),_xlfn.XLOOKUP(AP360,BR10:BR57,BT10:BT57,""))),""),""),""),"")</f>
        <v/>
      </c>
      <c r="BC360" s="813" cm="1">
        <f t="array" ref="BC360">IF(NOT(AQ360),0,IF(OR(BA360="",N(BA360)&lt;=0.000000001),"",IF(OR(AU360="",N(AU360)&lt;=0.000000001),0,IF(ISNUMBER(BA360),IFERROR(_xlfn.LET(_xlpm.ai_test,TRIM(AP360),_xlpm.r,IFERROR(_xlfn.XLOOKUP(_xlpm.ai_test,BP16:BP63,ROW(BP16:BP63),0,1),IFERROR(_xlfn.XLOOKUP(_xlpm.ai_test,BQ16:BQ63,ROW(BQ16:BQ63),0,1),_xlfn.XLOOKUP(_xlpm.ai_test,BR16:BR63,ROW(BR16:BR63),0,1))),_xlpm.p,_xlpm.r-MIN(ROW(BP16:BP63))+1,_xlpm.f,INDEX(BS16:BS63,_xlpm.p),_xlpm.u,INDEX(BT16:BT63,_xlpm.p),_xlpm.s,INDEX(BV16:BV63,_xlpm.p),_xlpm.q,N(BA360)/_xlpm.f,IF(_xlpm.q&gt;=_xlpm.s,ROUND(_xlpm.q,1)&amp;" "&amp;_xlpm.ai_test&amp;" = "&amp;ROUND(_xlpm.q*_xlpm.f,1)&amp;" "&amp;_xlpm.u,ROUND(_xlpm.q,1)&amp;" "&amp;_xlpm.ai_test)),""),""))))</f>
        <v>0</v>
      </c>
      <c r="BD360" s="801"/>
      <c r="BE360" s="799" t="str">
        <f t="shared" si="174"/>
        <v/>
      </c>
      <c r="BF360" s="800" t="str">
        <f t="shared" si="177"/>
        <v/>
      </c>
      <c r="BG360" s="802">
        <f t="shared" si="178"/>
        <v>0</v>
      </c>
      <c r="BH360" s="803" t="str">
        <f t="shared" si="179"/>
        <v/>
      </c>
      <c r="BI360" s="792"/>
      <c r="BJ360" s="804">
        <f t="shared" si="180"/>
        <v>0</v>
      </c>
      <c r="BK360" s="794" t="str">
        <f t="shared" si="175"/>
        <v/>
      </c>
      <c r="BL360" s="227" t="s">
        <v>21</v>
      </c>
      <c r="BM360" s="773">
        <f t="shared" si="165"/>
        <v>0</v>
      </c>
      <c r="BN360" s="774">
        <f t="shared" si="166"/>
        <v>0</v>
      </c>
      <c r="BO360"/>
      <c r="BX360"/>
      <c r="BY360"/>
      <c r="BZ360"/>
      <c r="CA360"/>
      <c r="CB360"/>
      <c r="CC360"/>
      <c r="CD360" s="781" t="str">
        <f t="shared" si="161"/>
        <v>►</v>
      </c>
      <c r="CE360" s="633"/>
      <c r="CF360" s="633"/>
      <c r="CG360" s="633"/>
      <c r="CH360" s="633"/>
      <c r="CI360" s="633"/>
      <c r="CJ360" s="227"/>
      <c r="CK360"/>
      <c r="CL360"/>
      <c r="CM360"/>
      <c r="CN360"/>
      <c r="CO360"/>
      <c r="CP360"/>
      <c r="CQ360"/>
      <c r="CR360" s="227"/>
      <c r="CS360"/>
      <c r="CT360"/>
      <c r="CU360"/>
      <c r="CV360"/>
      <c r="CW360"/>
      <c r="CX360"/>
      <c r="CY360"/>
      <c r="CZ360" s="227"/>
      <c r="DA360"/>
      <c r="DB360"/>
      <c r="DC360"/>
      <c r="DD360"/>
      <c r="DE360"/>
      <c r="DF360"/>
      <c r="DG360"/>
      <c r="DH360" s="227"/>
      <c r="DI360" s="3">
        <v>1</v>
      </c>
    </row>
    <row r="361" spans="2:113" s="627" customFormat="1" ht="21" customHeight="1">
      <c r="B361" s="2265" t="str" cm="1">
        <f t="array" ref="B361">SUMPRODUCT(--(D361:J361&lt;&gt;""), LEN(TRIM(SUBSTITUTE(D361:J361, CHAR(160), "")))) &amp; " Car."</f>
        <v>0 Car.</v>
      </c>
      <c r="C361" s="1376" t="str">
        <f>IF(ISBLANK(D361),"",LARGE(C13:C360,1)+1)</f>
        <v/>
      </c>
      <c r="D361" s="1833"/>
      <c r="E361" s="1810"/>
      <c r="F361" s="1810"/>
      <c r="G361" s="1810"/>
      <c r="H361" s="1810"/>
      <c r="I361" s="1810"/>
      <c r="J361" s="1810"/>
      <c r="K361" s="1810"/>
      <c r="L361" s="1811"/>
      <c r="M361"/>
      <c r="N361" s="103" t="str">
        <f t="shared" si="162"/>
        <v>►</v>
      </c>
      <c r="O361" s="1616"/>
      <c r="P361"/>
      <c r="Q361" s="103" t="s">
        <v>15</v>
      </c>
      <c r="R361" s="31"/>
      <c r="S361" s="32"/>
      <c r="T361" s="31"/>
      <c r="U361" s="33"/>
      <c r="V361" s="1804"/>
      <c r="W361" s="1805"/>
      <c r="X361" s="91"/>
      <c r="Y361" s="1806"/>
      <c r="Z361" s="1807"/>
      <c r="AA361" s="919"/>
      <c r="AB361" s="1813"/>
      <c r="AC361" s="1580"/>
      <c r="AD361" s="95"/>
      <c r="AE361" s="105"/>
      <c r="AF361" s="97"/>
      <c r="AG361" s="2080"/>
      <c r="AH361" s="2081"/>
      <c r="AI361" s="99"/>
      <c r="AJ361" s="1809"/>
      <c r="AK361" s="6120" t="str">
        <f t="shared" si="176"/>
        <v>►</v>
      </c>
      <c r="AL361" s="781" t="str">
        <f t="shared" si="164"/>
        <v>►</v>
      </c>
      <c r="AM361" s="5499" t="str">
        <f t="shared" si="167"/>
        <v/>
      </c>
      <c r="AN361" s="783" t="str">
        <f t="shared" si="168"/>
        <v/>
      </c>
      <c r="AO361" s="782" t="str">
        <f t="shared" si="169"/>
        <v/>
      </c>
      <c r="AP361" s="783" t="str">
        <f t="shared" si="170"/>
        <v/>
      </c>
      <c r="AQ361" s="2083" t="b">
        <f>AND(Q361="A",COUNTIF(BP16:BR63,TRIM(Z361))&gt;0)</f>
        <v>0</v>
      </c>
      <c r="AR361" s="797" t="str">
        <f>IF(AL361&lt;&gt;"A","",IFERROR(IFERROR(_xlfn.XLOOKUP(TRIM(SUBSTITUTE(Z361,CHAR(160)," ")),BP16:BP63,BS16:BS63),IFERROR(_xlfn.XLOOKUP(TRIM(SUBSTITUTE(Z361,CHAR(160)," ")),BQ16:BQ63,BS16:BS63),_xlfn.XLOOKUP(TRIM(SUBSTITUTE(Z361,CHAR(160)," ")),BR16:BR63,BS16:BS63)))*Y361*IF(ISBLANK(V361),1,V361),0))</f>
        <v/>
      </c>
      <c r="AS361" s="784" t="str">
        <f t="shared" si="160"/>
        <v/>
      </c>
      <c r="AT361" s="1315" t="str">
        <f t="shared" si="171"/>
        <v/>
      </c>
      <c r="AU361" s="785">
        <f t="shared" si="172"/>
        <v>0</v>
      </c>
      <c r="AV361" s="785">
        <f t="shared" si="173"/>
        <v>0</v>
      </c>
      <c r="AW361" s="786">
        <f>IF(AK361="A",AY10,0)</f>
        <v>0</v>
      </c>
      <c r="AX361" s="5495" t="str">
        <f>IF(IFERROR(SEARCH("Adresse PC",TRIM(W361)),0)&gt;0,"▼ receta siguiente",IF(AK361="A",IF(AZ10&lt;&gt;"",AZ10&amp;" - ou.or.o ❾ + or - &gt;",""),""))</f>
        <v/>
      </c>
      <c r="AY361" s="810"/>
      <c r="AZ361" s="810"/>
      <c r="BA361" s="788" t="str">
        <f t="shared" si="163"/>
        <v/>
      </c>
      <c r="BB361" s="789" t="str">
        <f>IF(AK361="A",IF(AQ361,IF(AND(AW361&lt;&gt;"",N(AW361)&gt;0),IFERROR(IFERROR(_xlfn.XLOOKUP(AP361,BP10:BP57,BT10:BT57),IFERROR(_xlfn.XLOOKUP(AP361,BQ10:BQ57,BT10:BT57),_xlfn.XLOOKUP(AP361,BR10:BR57,BT10:BT57,""))),""),""),""),"")</f>
        <v/>
      </c>
      <c r="BC361" s="811" cm="1">
        <f t="array" ref="BC361">IF(NOT(AQ361),0,IF(OR(BA361="",N(BA361)&lt;=0.000000001),"",IF(OR(AU361="",N(AU361)&lt;=0.000000001),0,IF(ISNUMBER(BA361),IFERROR(_xlfn.LET(_xlpm.ai_test,TRIM(AP361),_xlpm.r,IFERROR(_xlfn.XLOOKUP(_xlpm.ai_test,BP16:BP63,ROW(BP16:BP63),0,1),IFERROR(_xlfn.XLOOKUP(_xlpm.ai_test,BQ16:BQ63,ROW(BQ16:BQ63),0,1),_xlfn.XLOOKUP(_xlpm.ai_test,BR16:BR63,ROW(BR16:BR63),0,1))),_xlpm.p,_xlpm.r-MIN(ROW(BP16:BP63))+1,_xlpm.f,INDEX(BS16:BS63,_xlpm.p),_xlpm.u,INDEX(BT16:BT63,_xlpm.p),_xlpm.s,INDEX(BV16:BV63,_xlpm.p),_xlpm.q,N(BA361)/_xlpm.f,IF(_xlpm.q&gt;=_xlpm.s,ROUND(_xlpm.q,1)&amp;" "&amp;_xlpm.ai_test&amp;" = "&amp;ROUND(_xlpm.q*_xlpm.f,1)&amp;" "&amp;_xlpm.u,ROUND(_xlpm.q,1)&amp;" "&amp;_xlpm.ai_test)),""),""))))</f>
        <v>0</v>
      </c>
      <c r="BD361" s="801"/>
      <c r="BE361" s="788" t="str">
        <f t="shared" si="174"/>
        <v/>
      </c>
      <c r="BF361" s="789" t="str">
        <f t="shared" si="177"/>
        <v/>
      </c>
      <c r="BG361" s="790">
        <f t="shared" si="178"/>
        <v>0</v>
      </c>
      <c r="BH361" s="791" t="str">
        <f t="shared" si="179"/>
        <v/>
      </c>
      <c r="BI361" s="792"/>
      <c r="BJ361" s="793">
        <f t="shared" si="180"/>
        <v>0</v>
      </c>
      <c r="BK361" s="794" t="str">
        <f t="shared" si="175"/>
        <v/>
      </c>
      <c r="BL361" s="227" t="s">
        <v>21</v>
      </c>
      <c r="BM361" s="773">
        <f t="shared" si="165"/>
        <v>0</v>
      </c>
      <c r="BN361" s="774">
        <f t="shared" si="166"/>
        <v>0</v>
      </c>
      <c r="BO361"/>
      <c r="BX361"/>
      <c r="BY361"/>
      <c r="BZ361"/>
      <c r="CA361"/>
      <c r="CB361"/>
      <c r="CC361"/>
      <c r="CD361" s="781" t="str">
        <f t="shared" si="161"/>
        <v>►</v>
      </c>
      <c r="CE361" s="633"/>
      <c r="CF361" s="633"/>
      <c r="CG361" s="633"/>
      <c r="CH361" s="633"/>
      <c r="CI361" s="633"/>
      <c r="CJ361" s="227"/>
      <c r="CK361"/>
      <c r="CL361"/>
      <c r="CM361"/>
      <c r="CN361"/>
      <c r="CO361"/>
      <c r="CP361"/>
      <c r="CQ361"/>
      <c r="CR361" s="227"/>
      <c r="CS361"/>
      <c r="CT361"/>
      <c r="CU361"/>
      <c r="CV361"/>
      <c r="CW361"/>
      <c r="CX361"/>
      <c r="CY361"/>
      <c r="CZ361" s="227"/>
      <c r="DA361"/>
      <c r="DB361"/>
      <c r="DC361"/>
      <c r="DD361"/>
      <c r="DE361"/>
      <c r="DF361"/>
      <c r="DG361"/>
      <c r="DH361" s="227"/>
      <c r="DI361" s="3">
        <v>1</v>
      </c>
    </row>
    <row r="362" spans="2:113" s="627" customFormat="1" ht="21" customHeight="1">
      <c r="B362" s="2265" t="str" cm="1">
        <f t="array" ref="B362">SUMPRODUCT(--(D362:J362&lt;&gt;""), LEN(TRIM(SUBSTITUTE(D362:J362, CHAR(160), "")))) &amp; " Car."</f>
        <v>0 Car.</v>
      </c>
      <c r="C362" s="1376" t="str">
        <f>IF(ISBLANK(D362),"",LARGE(C13:C361,1)+1)</f>
        <v/>
      </c>
      <c r="D362" s="1833"/>
      <c r="E362" s="1810"/>
      <c r="F362" s="1810"/>
      <c r="G362" s="1810"/>
      <c r="H362" s="1810"/>
      <c r="I362" s="1810"/>
      <c r="J362" s="1810"/>
      <c r="K362" s="1810"/>
      <c r="L362" s="1811"/>
      <c r="M362"/>
      <c r="N362" s="103" t="str">
        <f t="shared" si="162"/>
        <v>►</v>
      </c>
      <c r="O362" s="1616"/>
      <c r="P362"/>
      <c r="Q362" s="103" t="s">
        <v>15</v>
      </c>
      <c r="R362" s="31"/>
      <c r="S362" s="32"/>
      <c r="T362" s="31"/>
      <c r="U362" s="33"/>
      <c r="V362" s="1804"/>
      <c r="W362" s="1805"/>
      <c r="X362" s="91"/>
      <c r="Y362" s="1806"/>
      <c r="Z362" s="1807"/>
      <c r="AA362" s="919"/>
      <c r="AB362" s="1813"/>
      <c r="AC362" s="1580"/>
      <c r="AD362" s="95"/>
      <c r="AE362" s="105"/>
      <c r="AF362" s="97"/>
      <c r="AG362" s="2080"/>
      <c r="AH362" s="2081"/>
      <c r="AI362" s="99"/>
      <c r="AJ362" s="1809"/>
      <c r="AK362" s="6120" t="str">
        <f t="shared" si="176"/>
        <v>►</v>
      </c>
      <c r="AL362" s="781" t="str">
        <f t="shared" si="164"/>
        <v>►</v>
      </c>
      <c r="AM362" s="5498" t="str">
        <f t="shared" si="167"/>
        <v/>
      </c>
      <c r="AN362" s="783" t="str">
        <f t="shared" si="168"/>
        <v/>
      </c>
      <c r="AO362" s="782" t="str">
        <f t="shared" si="169"/>
        <v/>
      </c>
      <c r="AP362" s="783" t="str">
        <f t="shared" si="170"/>
        <v/>
      </c>
      <c r="AQ362" s="2083" t="b">
        <f>AND(Q362="A",COUNTIF(BP16:BR63,TRIM(Z362))&gt;0)</f>
        <v>0</v>
      </c>
      <c r="AR362" s="797" t="str">
        <f>IF(AL362&lt;&gt;"A","",IFERROR(IFERROR(_xlfn.XLOOKUP(TRIM(SUBSTITUTE(Z362,CHAR(160)," ")),BP16:BP63,BS16:BS63),IFERROR(_xlfn.XLOOKUP(TRIM(SUBSTITUTE(Z362,CHAR(160)," ")),BQ16:BQ63,BS16:BS63),_xlfn.XLOOKUP(TRIM(SUBSTITUTE(Z362,CHAR(160)," ")),BR16:BR63,BS16:BS63)))*Y362*IF(ISBLANK(V362),1,V362),0))</f>
        <v/>
      </c>
      <c r="AS362" s="784" t="str">
        <f t="shared" si="160"/>
        <v/>
      </c>
      <c r="AT362" s="1315" t="str">
        <f t="shared" si="171"/>
        <v/>
      </c>
      <c r="AU362" s="785">
        <f t="shared" si="172"/>
        <v>0</v>
      </c>
      <c r="AV362" s="785">
        <f t="shared" si="173"/>
        <v>0</v>
      </c>
      <c r="AW362" s="798">
        <f>IF(AK362="A",AY10,0)</f>
        <v>0</v>
      </c>
      <c r="AX362" s="5496" t="str">
        <f>IF(IFERROR(SEARCH("Adresse PC",TRIM(W362)),0)&gt;0,"▼ receta siguiente",IF(AK362="A",IF(AZ10&lt;&gt;"",AZ10&amp;" - ou.or.o ❾ + or - &gt;",""),""))</f>
        <v/>
      </c>
      <c r="AY362" s="810"/>
      <c r="AZ362" s="810"/>
      <c r="BA362" s="799" t="str">
        <f t="shared" si="163"/>
        <v/>
      </c>
      <c r="BB362" s="800" t="str">
        <f>IF(AK362="A",IF(AQ362,IF(AND(AW362&lt;&gt;"",N(AW362)&gt;0),IFERROR(IFERROR(_xlfn.XLOOKUP(AP362,BP10:BP57,BT10:BT57),IFERROR(_xlfn.XLOOKUP(AP362,BQ10:BQ57,BT10:BT57),_xlfn.XLOOKUP(AP362,BR10:BR57,BT10:BT57,""))),""),""),""),"")</f>
        <v/>
      </c>
      <c r="BC362" s="813" cm="1">
        <f t="array" ref="BC362">IF(NOT(AQ362),0,IF(OR(BA362="",N(BA362)&lt;=0.000000001),"",IF(OR(AU362="",N(AU362)&lt;=0.000000001),0,IF(ISNUMBER(BA362),IFERROR(_xlfn.LET(_xlpm.ai_test,TRIM(AP362),_xlpm.r,IFERROR(_xlfn.XLOOKUP(_xlpm.ai_test,BP16:BP63,ROW(BP16:BP63),0,1),IFERROR(_xlfn.XLOOKUP(_xlpm.ai_test,BQ16:BQ63,ROW(BQ16:BQ63),0,1),_xlfn.XLOOKUP(_xlpm.ai_test,BR16:BR63,ROW(BR16:BR63),0,1))),_xlpm.p,_xlpm.r-MIN(ROW(BP16:BP63))+1,_xlpm.f,INDEX(BS16:BS63,_xlpm.p),_xlpm.u,INDEX(BT16:BT63,_xlpm.p),_xlpm.s,INDEX(BV16:BV63,_xlpm.p),_xlpm.q,N(BA362)/_xlpm.f,IF(_xlpm.q&gt;=_xlpm.s,ROUND(_xlpm.q,1)&amp;" "&amp;_xlpm.ai_test&amp;" = "&amp;ROUND(_xlpm.q*_xlpm.f,1)&amp;" "&amp;_xlpm.u,ROUND(_xlpm.q,1)&amp;" "&amp;_xlpm.ai_test)),""),""))))</f>
        <v>0</v>
      </c>
      <c r="BD362" s="801"/>
      <c r="BE362" s="799" t="str">
        <f t="shared" si="174"/>
        <v/>
      </c>
      <c r="BF362" s="800" t="str">
        <f t="shared" si="177"/>
        <v/>
      </c>
      <c r="BG362" s="802">
        <f t="shared" si="178"/>
        <v>0</v>
      </c>
      <c r="BH362" s="803" t="str">
        <f t="shared" si="179"/>
        <v/>
      </c>
      <c r="BI362" s="792"/>
      <c r="BJ362" s="804">
        <f t="shared" si="180"/>
        <v>0</v>
      </c>
      <c r="BK362" s="794" t="str">
        <f t="shared" si="175"/>
        <v/>
      </c>
      <c r="BL362" s="227" t="s">
        <v>21</v>
      </c>
      <c r="BM362" s="773">
        <f t="shared" si="165"/>
        <v>0</v>
      </c>
      <c r="BN362" s="774">
        <f t="shared" si="166"/>
        <v>0</v>
      </c>
      <c r="BO362"/>
      <c r="BX362"/>
      <c r="BY362"/>
      <c r="BZ362"/>
      <c r="CA362"/>
      <c r="CB362"/>
      <c r="CC362"/>
      <c r="CD362" s="781" t="str">
        <f t="shared" si="161"/>
        <v>►</v>
      </c>
      <c r="CE362" s="633"/>
      <c r="CF362" s="633"/>
      <c r="CG362" s="633"/>
      <c r="CH362" s="633"/>
      <c r="CI362" s="633"/>
      <c r="CJ362" s="227"/>
      <c r="CK362"/>
      <c r="CL362"/>
      <c r="CM362"/>
      <c r="CN362"/>
      <c r="CO362"/>
      <c r="CP362"/>
      <c r="CQ362"/>
      <c r="CR362" s="227"/>
      <c r="CS362"/>
      <c r="CT362"/>
      <c r="CU362"/>
      <c r="CV362"/>
      <c r="CW362"/>
      <c r="CX362"/>
      <c r="CY362"/>
      <c r="CZ362" s="227"/>
      <c r="DA362"/>
      <c r="DB362"/>
      <c r="DC362"/>
      <c r="DD362"/>
      <c r="DE362"/>
      <c r="DF362"/>
      <c r="DG362"/>
      <c r="DH362" s="227"/>
      <c r="DI362" s="3">
        <v>1</v>
      </c>
    </row>
    <row r="363" spans="2:113" s="627" customFormat="1" ht="21" customHeight="1">
      <c r="B363" s="2265" t="str" cm="1">
        <f t="array" ref="B363">SUMPRODUCT(--(D363:J363&lt;&gt;""), LEN(TRIM(SUBSTITUTE(D363:J363, CHAR(160), "")))) &amp; " Car."</f>
        <v>0 Car.</v>
      </c>
      <c r="C363" s="1376" t="str">
        <f>IF(ISBLANK(D363),"",LARGE(C13:C362,1)+1)</f>
        <v/>
      </c>
      <c r="D363" s="1833"/>
      <c r="E363" s="1810"/>
      <c r="F363" s="1810"/>
      <c r="G363" s="1810"/>
      <c r="H363" s="1810"/>
      <c r="I363" s="1810"/>
      <c r="J363" s="1810"/>
      <c r="K363" s="1810"/>
      <c r="L363" s="1811"/>
      <c r="M363"/>
      <c r="N363" s="103" t="str">
        <f t="shared" si="162"/>
        <v>►</v>
      </c>
      <c r="O363" s="1616"/>
      <c r="P363"/>
      <c r="Q363" s="103" t="s">
        <v>15</v>
      </c>
      <c r="R363" s="31"/>
      <c r="S363" s="32"/>
      <c r="T363" s="31"/>
      <c r="U363" s="33"/>
      <c r="V363" s="1804"/>
      <c r="W363" s="1805"/>
      <c r="X363" s="91"/>
      <c r="Y363" s="1806"/>
      <c r="Z363" s="1807"/>
      <c r="AA363" s="919"/>
      <c r="AB363" s="1813"/>
      <c r="AC363" s="1580"/>
      <c r="AD363" s="95"/>
      <c r="AE363" s="105"/>
      <c r="AF363" s="97"/>
      <c r="AG363" s="2080"/>
      <c r="AH363" s="2081"/>
      <c r="AI363" s="99"/>
      <c r="AJ363" s="1809"/>
      <c r="AK363" s="6120" t="str">
        <f t="shared" si="176"/>
        <v>►</v>
      </c>
      <c r="AL363" s="781" t="str">
        <f t="shared" si="164"/>
        <v>►</v>
      </c>
      <c r="AM363" s="5499" t="str">
        <f t="shared" si="167"/>
        <v/>
      </c>
      <c r="AN363" s="783" t="str">
        <f t="shared" si="168"/>
        <v/>
      </c>
      <c r="AO363" s="782" t="str">
        <f t="shared" si="169"/>
        <v/>
      </c>
      <c r="AP363" s="783" t="str">
        <f t="shared" si="170"/>
        <v/>
      </c>
      <c r="AQ363" s="2083" t="b">
        <f>AND(Q363="A",COUNTIF(BP16:BR63,TRIM(Z363))&gt;0)</f>
        <v>0</v>
      </c>
      <c r="AR363" s="797" t="str">
        <f>IF(AL363&lt;&gt;"A","",IFERROR(IFERROR(_xlfn.XLOOKUP(TRIM(SUBSTITUTE(Z363,CHAR(160)," ")),BP16:BP63,BS16:BS63),IFERROR(_xlfn.XLOOKUP(TRIM(SUBSTITUTE(Z363,CHAR(160)," ")),BQ16:BQ63,BS16:BS63),_xlfn.XLOOKUP(TRIM(SUBSTITUTE(Z363,CHAR(160)," ")),BR16:BR63,BS16:BS63)))*Y363*IF(ISBLANK(V363),1,V363),0))</f>
        <v/>
      </c>
      <c r="AS363" s="784" t="str">
        <f t="shared" si="160"/>
        <v/>
      </c>
      <c r="AT363" s="1315" t="str">
        <f t="shared" si="171"/>
        <v/>
      </c>
      <c r="AU363" s="785">
        <f t="shared" si="172"/>
        <v>0</v>
      </c>
      <c r="AV363" s="785">
        <f t="shared" si="173"/>
        <v>0</v>
      </c>
      <c r="AW363" s="786">
        <f>IF(AK363="A",AY10,0)</f>
        <v>0</v>
      </c>
      <c r="AX363" s="5495" t="str">
        <f>IF(IFERROR(SEARCH("Adresse PC",TRIM(W363)),0)&gt;0,"▼ receta siguiente",IF(AK363="A",IF(AZ10&lt;&gt;"",AZ10&amp;" - ou.or.o ❾ + or - &gt;",""),""))</f>
        <v/>
      </c>
      <c r="AY363" s="810"/>
      <c r="AZ363" s="810"/>
      <c r="BA363" s="788" t="str">
        <f t="shared" si="163"/>
        <v/>
      </c>
      <c r="BB363" s="789" t="str">
        <f>IF(AK363="A",IF(AQ363,IF(AND(AW363&lt;&gt;"",N(AW363)&gt;0),IFERROR(IFERROR(_xlfn.XLOOKUP(AP363,BP10:BP57,BT10:BT57),IFERROR(_xlfn.XLOOKUP(AP363,BQ10:BQ57,BT10:BT57),_xlfn.XLOOKUP(AP363,BR10:BR57,BT10:BT57,""))),""),""),""),"")</f>
        <v/>
      </c>
      <c r="BC363" s="811" cm="1">
        <f t="array" ref="BC363">IF(NOT(AQ363),0,IF(OR(BA363="",N(BA363)&lt;=0.000000001),"",IF(OR(AU363="",N(AU363)&lt;=0.000000001),0,IF(ISNUMBER(BA363),IFERROR(_xlfn.LET(_xlpm.ai_test,TRIM(AP363),_xlpm.r,IFERROR(_xlfn.XLOOKUP(_xlpm.ai_test,BP16:BP63,ROW(BP16:BP63),0,1),IFERROR(_xlfn.XLOOKUP(_xlpm.ai_test,BQ16:BQ63,ROW(BQ16:BQ63),0,1),_xlfn.XLOOKUP(_xlpm.ai_test,BR16:BR63,ROW(BR16:BR63),0,1))),_xlpm.p,_xlpm.r-MIN(ROW(BP16:BP63))+1,_xlpm.f,INDEX(BS16:BS63,_xlpm.p),_xlpm.u,INDEX(BT16:BT63,_xlpm.p),_xlpm.s,INDEX(BV16:BV63,_xlpm.p),_xlpm.q,N(BA363)/_xlpm.f,IF(_xlpm.q&gt;=_xlpm.s,ROUND(_xlpm.q,1)&amp;" "&amp;_xlpm.ai_test&amp;" = "&amp;ROUND(_xlpm.q*_xlpm.f,1)&amp;" "&amp;_xlpm.u,ROUND(_xlpm.q,1)&amp;" "&amp;_xlpm.ai_test)),""),""))))</f>
        <v>0</v>
      </c>
      <c r="BD363" s="801"/>
      <c r="BE363" s="788" t="str">
        <f t="shared" si="174"/>
        <v/>
      </c>
      <c r="BF363" s="789" t="str">
        <f t="shared" si="177"/>
        <v/>
      </c>
      <c r="BG363" s="790">
        <f t="shared" si="178"/>
        <v>0</v>
      </c>
      <c r="BH363" s="791" t="str">
        <f t="shared" si="179"/>
        <v/>
      </c>
      <c r="BI363" s="792"/>
      <c r="BJ363" s="793">
        <f t="shared" si="180"/>
        <v>0</v>
      </c>
      <c r="BK363" s="794" t="str">
        <f t="shared" si="175"/>
        <v/>
      </c>
      <c r="BL363" s="227" t="s">
        <v>21</v>
      </c>
      <c r="BM363" s="773">
        <f t="shared" si="165"/>
        <v>0</v>
      </c>
      <c r="BN363" s="774">
        <f t="shared" si="166"/>
        <v>0</v>
      </c>
      <c r="BO363"/>
      <c r="BX363"/>
      <c r="BY363"/>
      <c r="BZ363"/>
      <c r="CA363"/>
      <c r="CB363"/>
      <c r="CC363"/>
      <c r="CD363" s="781" t="str">
        <f t="shared" si="161"/>
        <v>►</v>
      </c>
      <c r="CE363" s="633"/>
      <c r="CF363" s="633"/>
      <c r="CG363" s="633"/>
      <c r="CH363" s="633"/>
      <c r="CI363" s="633"/>
      <c r="CJ363" s="227"/>
      <c r="CK363"/>
      <c r="CL363"/>
      <c r="CM363"/>
      <c r="CN363"/>
      <c r="CO363"/>
      <c r="CP363"/>
      <c r="CQ363"/>
      <c r="CR363" s="227"/>
      <c r="CS363"/>
      <c r="CT363"/>
      <c r="CU363"/>
      <c r="CV363"/>
      <c r="CW363"/>
      <c r="CX363"/>
      <c r="CY363"/>
      <c r="CZ363" s="227"/>
      <c r="DA363"/>
      <c r="DB363"/>
      <c r="DC363"/>
      <c r="DD363"/>
      <c r="DE363"/>
      <c r="DF363"/>
      <c r="DG363"/>
      <c r="DH363" s="227"/>
      <c r="DI363" s="3">
        <v>1</v>
      </c>
    </row>
    <row r="364" spans="2:113" s="627" customFormat="1" ht="21" customHeight="1">
      <c r="B364" s="2265" t="str" cm="1">
        <f t="array" ref="B364">SUMPRODUCT(--(D364:J364&lt;&gt;""), LEN(TRIM(SUBSTITUTE(D364:J364, CHAR(160), "")))) &amp; " Car."</f>
        <v>0 Car.</v>
      </c>
      <c r="C364" s="1376" t="str">
        <f>IF(ISBLANK(D364),"",LARGE(C13:C363,1)+1)</f>
        <v/>
      </c>
      <c r="D364" s="1833"/>
      <c r="E364" s="1810"/>
      <c r="F364" s="1810"/>
      <c r="G364" s="1810"/>
      <c r="H364" s="1810"/>
      <c r="I364" s="1810"/>
      <c r="J364" s="1810"/>
      <c r="K364" s="1810"/>
      <c r="L364" s="1811"/>
      <c r="M364"/>
      <c r="N364" s="103" t="str">
        <f t="shared" si="162"/>
        <v>►</v>
      </c>
      <c r="O364" s="1616"/>
      <c r="P364"/>
      <c r="Q364" s="103" t="s">
        <v>15</v>
      </c>
      <c r="R364" s="31"/>
      <c r="S364" s="32"/>
      <c r="T364" s="31"/>
      <c r="U364" s="33"/>
      <c r="V364" s="1804"/>
      <c r="W364" s="1805"/>
      <c r="X364" s="91"/>
      <c r="Y364" s="1806"/>
      <c r="Z364" s="1807"/>
      <c r="AA364" s="919"/>
      <c r="AB364" s="1813"/>
      <c r="AC364" s="1580"/>
      <c r="AD364" s="95"/>
      <c r="AE364" s="105"/>
      <c r="AF364" s="97"/>
      <c r="AG364" s="2080"/>
      <c r="AH364" s="2081"/>
      <c r="AI364" s="99"/>
      <c r="AJ364" s="1809"/>
      <c r="AK364" s="6120" t="str">
        <f t="shared" si="176"/>
        <v>►</v>
      </c>
      <c r="AL364" s="781" t="str">
        <f t="shared" si="164"/>
        <v>►</v>
      </c>
      <c r="AM364" s="5498" t="str">
        <f t="shared" si="167"/>
        <v/>
      </c>
      <c r="AN364" s="783" t="str">
        <f t="shared" si="168"/>
        <v/>
      </c>
      <c r="AO364" s="782" t="str">
        <f t="shared" si="169"/>
        <v/>
      </c>
      <c r="AP364" s="783" t="str">
        <f t="shared" si="170"/>
        <v/>
      </c>
      <c r="AQ364" s="2083" t="b">
        <f>AND(Q364="A",COUNTIF(BP16:BR63,TRIM(Z364))&gt;0)</f>
        <v>0</v>
      </c>
      <c r="AR364" s="797" t="str">
        <f>IF(AL364&lt;&gt;"A","",IFERROR(IFERROR(_xlfn.XLOOKUP(TRIM(SUBSTITUTE(Z364,CHAR(160)," ")),BP16:BP63,BS16:BS63),IFERROR(_xlfn.XLOOKUP(TRIM(SUBSTITUTE(Z364,CHAR(160)," ")),BQ16:BQ63,BS16:BS63),_xlfn.XLOOKUP(TRIM(SUBSTITUTE(Z364,CHAR(160)," ")),BR16:BR63,BS16:BS63)))*Y364*IF(ISBLANK(V364),1,V364),0))</f>
        <v/>
      </c>
      <c r="AS364" s="784" t="str">
        <f t="shared" si="160"/>
        <v/>
      </c>
      <c r="AT364" s="1315" t="str">
        <f t="shared" si="171"/>
        <v/>
      </c>
      <c r="AU364" s="785">
        <f t="shared" si="172"/>
        <v>0</v>
      </c>
      <c r="AV364" s="785">
        <f t="shared" si="173"/>
        <v>0</v>
      </c>
      <c r="AW364" s="798">
        <f>IF(AK364="A",AY10,0)</f>
        <v>0</v>
      </c>
      <c r="AX364" s="5496" t="str">
        <f>IF(IFERROR(SEARCH("Adresse PC",TRIM(W364)),0)&gt;0,"▼ receta siguiente",IF(AK364="A",IF(AZ10&lt;&gt;"",AZ10&amp;" - ou.or.o ❾ + or - &gt;",""),""))</f>
        <v/>
      </c>
      <c r="AY364" s="810"/>
      <c r="AZ364" s="810"/>
      <c r="BA364" s="799" t="str">
        <f t="shared" si="163"/>
        <v/>
      </c>
      <c r="BB364" s="800" t="str">
        <f>IF(AK364="A",IF(AQ364,IF(AND(AW364&lt;&gt;"",N(AW364)&gt;0),IFERROR(IFERROR(_xlfn.XLOOKUP(AP364,BP10:BP57,BT10:BT57),IFERROR(_xlfn.XLOOKUP(AP364,BQ10:BQ57,BT10:BT57),_xlfn.XLOOKUP(AP364,BR10:BR57,BT10:BT57,""))),""),""),""),"")</f>
        <v/>
      </c>
      <c r="BC364" s="813" cm="1">
        <f t="array" ref="BC364">IF(NOT(AQ364),0,IF(OR(BA364="",N(BA364)&lt;=0.000000001),"",IF(OR(AU364="",N(AU364)&lt;=0.000000001),0,IF(ISNUMBER(BA364),IFERROR(_xlfn.LET(_xlpm.ai_test,TRIM(AP364),_xlpm.r,IFERROR(_xlfn.XLOOKUP(_xlpm.ai_test,BP16:BP63,ROW(BP16:BP63),0,1),IFERROR(_xlfn.XLOOKUP(_xlpm.ai_test,BQ16:BQ63,ROW(BQ16:BQ63),0,1),_xlfn.XLOOKUP(_xlpm.ai_test,BR16:BR63,ROW(BR16:BR63),0,1))),_xlpm.p,_xlpm.r-MIN(ROW(BP16:BP63))+1,_xlpm.f,INDEX(BS16:BS63,_xlpm.p),_xlpm.u,INDEX(BT16:BT63,_xlpm.p),_xlpm.s,INDEX(BV16:BV63,_xlpm.p),_xlpm.q,N(BA364)/_xlpm.f,IF(_xlpm.q&gt;=_xlpm.s,ROUND(_xlpm.q,1)&amp;" "&amp;_xlpm.ai_test&amp;" = "&amp;ROUND(_xlpm.q*_xlpm.f,1)&amp;" "&amp;_xlpm.u,ROUND(_xlpm.q,1)&amp;" "&amp;_xlpm.ai_test)),""),""))))</f>
        <v>0</v>
      </c>
      <c r="BD364" s="801"/>
      <c r="BE364" s="799" t="str">
        <f t="shared" si="174"/>
        <v/>
      </c>
      <c r="BF364" s="800" t="str">
        <f t="shared" si="177"/>
        <v/>
      </c>
      <c r="BG364" s="802">
        <f t="shared" si="178"/>
        <v>0</v>
      </c>
      <c r="BH364" s="803" t="str">
        <f t="shared" si="179"/>
        <v/>
      </c>
      <c r="BI364" s="792"/>
      <c r="BJ364" s="804">
        <f t="shared" si="180"/>
        <v>0</v>
      </c>
      <c r="BK364" s="794" t="str">
        <f t="shared" si="175"/>
        <v/>
      </c>
      <c r="BL364" s="227" t="s">
        <v>21</v>
      </c>
      <c r="BM364" s="773">
        <f t="shared" si="165"/>
        <v>0</v>
      </c>
      <c r="BN364" s="774">
        <f t="shared" si="166"/>
        <v>0</v>
      </c>
      <c r="BO364"/>
      <c r="BX364"/>
      <c r="BY364"/>
      <c r="BZ364"/>
      <c r="CA364"/>
      <c r="CB364"/>
      <c r="CC364"/>
      <c r="CD364" s="781" t="str">
        <f t="shared" si="161"/>
        <v>►</v>
      </c>
      <c r="CE364" s="633"/>
      <c r="CF364" s="633"/>
      <c r="CG364" s="633"/>
      <c r="CH364" s="633"/>
      <c r="CI364" s="633"/>
      <c r="CJ364" s="227"/>
      <c r="CK364"/>
      <c r="CL364"/>
      <c r="CM364"/>
      <c r="CN364"/>
      <c r="CO364"/>
      <c r="CP364"/>
      <c r="CQ364"/>
      <c r="CR364" s="227"/>
      <c r="CS364"/>
      <c r="CT364"/>
      <c r="CU364"/>
      <c r="CV364"/>
      <c r="CW364"/>
      <c r="CX364"/>
      <c r="CY364"/>
      <c r="CZ364" s="227"/>
      <c r="DA364"/>
      <c r="DB364"/>
      <c r="DC364"/>
      <c r="DD364"/>
      <c r="DE364"/>
      <c r="DF364"/>
      <c r="DG364"/>
      <c r="DH364" s="227"/>
      <c r="DI364" s="3">
        <v>1</v>
      </c>
    </row>
    <row r="365" spans="2:113" s="627" customFormat="1" ht="21" customHeight="1">
      <c r="B365" s="2265" t="str" cm="1">
        <f t="array" ref="B365">SUMPRODUCT(--(D365:J365&lt;&gt;""), LEN(TRIM(SUBSTITUTE(D365:J365, CHAR(160), "")))) &amp; " Car."</f>
        <v>0 Car.</v>
      </c>
      <c r="C365" s="1376" t="str">
        <f>IF(ISBLANK(D365),"",LARGE(C13:C364,1)+1)</f>
        <v/>
      </c>
      <c r="D365" s="1833"/>
      <c r="E365" s="1810"/>
      <c r="F365" s="1810"/>
      <c r="G365" s="1810"/>
      <c r="H365" s="1810"/>
      <c r="I365" s="1810"/>
      <c r="J365" s="1810"/>
      <c r="K365" s="1810"/>
      <c r="L365" s="1811"/>
      <c r="M365"/>
      <c r="N365" s="103" t="str">
        <f t="shared" si="162"/>
        <v>►</v>
      </c>
      <c r="O365" s="1616"/>
      <c r="P365"/>
      <c r="Q365" s="103" t="s">
        <v>15</v>
      </c>
      <c r="R365" s="31"/>
      <c r="S365" s="32"/>
      <c r="T365" s="31"/>
      <c r="U365" s="33"/>
      <c r="V365" s="1804"/>
      <c r="W365" s="1805"/>
      <c r="X365" s="91"/>
      <c r="Y365" s="1806"/>
      <c r="Z365" s="1807"/>
      <c r="AA365" s="919"/>
      <c r="AB365" s="1813"/>
      <c r="AC365" s="1580"/>
      <c r="AD365" s="95"/>
      <c r="AE365" s="105"/>
      <c r="AF365" s="97"/>
      <c r="AG365" s="2080"/>
      <c r="AH365" s="2081"/>
      <c r="AI365" s="99"/>
      <c r="AJ365" s="1809"/>
      <c r="AK365" s="6120" t="str">
        <f t="shared" si="176"/>
        <v>►</v>
      </c>
      <c r="AL365" s="781" t="str">
        <f t="shared" si="164"/>
        <v>►</v>
      </c>
      <c r="AM365" s="5499" t="str">
        <f t="shared" si="167"/>
        <v/>
      </c>
      <c r="AN365" s="783" t="str">
        <f t="shared" si="168"/>
        <v/>
      </c>
      <c r="AO365" s="782" t="str">
        <f t="shared" si="169"/>
        <v/>
      </c>
      <c r="AP365" s="783" t="str">
        <f t="shared" si="170"/>
        <v/>
      </c>
      <c r="AQ365" s="2083" t="b">
        <f>AND(Q365="A",COUNTIF(BP16:BR63,TRIM(Z365))&gt;0)</f>
        <v>0</v>
      </c>
      <c r="AR365" s="797" t="str">
        <f>IF(AL365&lt;&gt;"A","",IFERROR(IFERROR(_xlfn.XLOOKUP(TRIM(SUBSTITUTE(Z365,CHAR(160)," ")),BP16:BP63,BS16:BS63),IFERROR(_xlfn.XLOOKUP(TRIM(SUBSTITUTE(Z365,CHAR(160)," ")),BQ16:BQ63,BS16:BS63),_xlfn.XLOOKUP(TRIM(SUBSTITUTE(Z365,CHAR(160)," ")),BR16:BR63,BS16:BS63)))*Y365*IF(ISBLANK(V365),1,V365),0))</f>
        <v/>
      </c>
      <c r="AS365" s="784" t="str">
        <f t="shared" si="160"/>
        <v/>
      </c>
      <c r="AT365" s="1315" t="str">
        <f t="shared" si="171"/>
        <v/>
      </c>
      <c r="AU365" s="785">
        <f t="shared" si="172"/>
        <v>0</v>
      </c>
      <c r="AV365" s="785">
        <f t="shared" si="173"/>
        <v>0</v>
      </c>
      <c r="AW365" s="786">
        <f>IF(AK365="A",AY10,0)</f>
        <v>0</v>
      </c>
      <c r="AX365" s="5495" t="str">
        <f>IF(IFERROR(SEARCH("Adresse PC",TRIM(W365)),0)&gt;0,"▼ receta siguiente",IF(AK365="A",IF(AZ10&lt;&gt;"",AZ10&amp;" - ou.or.o ❾ + or - &gt;",""),""))</f>
        <v/>
      </c>
      <c r="AY365" s="810"/>
      <c r="AZ365" s="810"/>
      <c r="BA365" s="788" t="str">
        <f t="shared" si="163"/>
        <v/>
      </c>
      <c r="BB365" s="789" t="str">
        <f>IF(AK365="A",IF(AQ365,IF(AND(AW365&lt;&gt;"",N(AW365)&gt;0),IFERROR(IFERROR(_xlfn.XLOOKUP(AP365,BP10:BP57,BT10:BT57),IFERROR(_xlfn.XLOOKUP(AP365,BQ10:BQ57,BT10:BT57),_xlfn.XLOOKUP(AP365,BR10:BR57,BT10:BT57,""))),""),""),""),"")</f>
        <v/>
      </c>
      <c r="BC365" s="811" cm="1">
        <f t="array" ref="BC365">IF(NOT(AQ365),0,IF(OR(BA365="",N(BA365)&lt;=0.000000001),"",IF(OR(AU365="",N(AU365)&lt;=0.000000001),0,IF(ISNUMBER(BA365),IFERROR(_xlfn.LET(_xlpm.ai_test,TRIM(AP365),_xlpm.r,IFERROR(_xlfn.XLOOKUP(_xlpm.ai_test,BP16:BP63,ROW(BP16:BP63),0,1),IFERROR(_xlfn.XLOOKUP(_xlpm.ai_test,BQ16:BQ63,ROW(BQ16:BQ63),0,1),_xlfn.XLOOKUP(_xlpm.ai_test,BR16:BR63,ROW(BR16:BR63),0,1))),_xlpm.p,_xlpm.r-MIN(ROW(BP16:BP63))+1,_xlpm.f,INDEX(BS16:BS63,_xlpm.p),_xlpm.u,INDEX(BT16:BT63,_xlpm.p),_xlpm.s,INDEX(BV16:BV63,_xlpm.p),_xlpm.q,N(BA365)/_xlpm.f,IF(_xlpm.q&gt;=_xlpm.s,ROUND(_xlpm.q,1)&amp;" "&amp;_xlpm.ai_test&amp;" = "&amp;ROUND(_xlpm.q*_xlpm.f,1)&amp;" "&amp;_xlpm.u,ROUND(_xlpm.q,1)&amp;" "&amp;_xlpm.ai_test)),""),""))))</f>
        <v>0</v>
      </c>
      <c r="BD365" s="801"/>
      <c r="BE365" s="788" t="str">
        <f t="shared" si="174"/>
        <v/>
      </c>
      <c r="BF365" s="789" t="str">
        <f t="shared" si="177"/>
        <v/>
      </c>
      <c r="BG365" s="790">
        <f t="shared" si="178"/>
        <v>0</v>
      </c>
      <c r="BH365" s="791" t="str">
        <f t="shared" si="179"/>
        <v/>
      </c>
      <c r="BI365" s="792"/>
      <c r="BJ365" s="793">
        <f t="shared" si="180"/>
        <v>0</v>
      </c>
      <c r="BK365" s="794" t="str">
        <f t="shared" si="175"/>
        <v/>
      </c>
      <c r="BL365" s="227" t="s">
        <v>21</v>
      </c>
      <c r="BM365" s="773">
        <f t="shared" si="165"/>
        <v>0</v>
      </c>
      <c r="BN365" s="774">
        <f t="shared" si="166"/>
        <v>0</v>
      </c>
      <c r="BO365"/>
      <c r="BX365"/>
      <c r="BY365"/>
      <c r="BZ365"/>
      <c r="CA365"/>
      <c r="CB365"/>
      <c r="CC365"/>
      <c r="CD365" s="781" t="str">
        <f t="shared" si="161"/>
        <v>►</v>
      </c>
      <c r="CE365" s="633"/>
      <c r="CF365" s="633"/>
      <c r="CG365" s="633"/>
      <c r="CH365" s="633"/>
      <c r="CI365" s="633"/>
      <c r="CJ365" s="227"/>
      <c r="CK365"/>
      <c r="CL365"/>
      <c r="CM365"/>
      <c r="CN365"/>
      <c r="CO365"/>
      <c r="CP365"/>
      <c r="CQ365"/>
      <c r="CR365" s="227"/>
      <c r="CS365"/>
      <c r="CT365"/>
      <c r="CU365"/>
      <c r="CV365"/>
      <c r="CW365"/>
      <c r="CX365"/>
      <c r="CY365"/>
      <c r="CZ365" s="227"/>
      <c r="DA365"/>
      <c r="DB365"/>
      <c r="DC365"/>
      <c r="DD365"/>
      <c r="DE365"/>
      <c r="DF365"/>
      <c r="DG365"/>
      <c r="DH365" s="227"/>
      <c r="DI365" s="3">
        <v>1</v>
      </c>
    </row>
    <row r="366" spans="2:113" s="627" customFormat="1" ht="21" customHeight="1">
      <c r="B366" s="2265" t="str" cm="1">
        <f t="array" ref="B366">SUMPRODUCT(--(D366:J366&lt;&gt;""), LEN(TRIM(SUBSTITUTE(D366:J366, CHAR(160), "")))) &amp; " Car."</f>
        <v>0 Car.</v>
      </c>
      <c r="C366" s="1376" t="str">
        <f>IF(ISBLANK(D366),"",LARGE(C13:C365,1)+1)</f>
        <v/>
      </c>
      <c r="D366" s="1833"/>
      <c r="E366" s="1810"/>
      <c r="F366" s="1810"/>
      <c r="G366" s="1810"/>
      <c r="H366" s="1810"/>
      <c r="I366" s="1810"/>
      <c r="J366" s="1810"/>
      <c r="K366" s="1810"/>
      <c r="L366" s="1811"/>
      <c r="M366"/>
      <c r="N366" s="103" t="str">
        <f t="shared" si="162"/>
        <v>►</v>
      </c>
      <c r="O366" s="1616"/>
      <c r="P366"/>
      <c r="Q366" s="103" t="s">
        <v>15</v>
      </c>
      <c r="R366" s="31"/>
      <c r="S366" s="32"/>
      <c r="T366" s="31"/>
      <c r="U366" s="33"/>
      <c r="V366" s="1804"/>
      <c r="W366" s="1805"/>
      <c r="X366" s="91"/>
      <c r="Y366" s="1806"/>
      <c r="Z366" s="1807"/>
      <c r="AA366" s="919"/>
      <c r="AB366" s="1813"/>
      <c r="AC366" s="1580"/>
      <c r="AD366" s="95"/>
      <c r="AE366" s="105"/>
      <c r="AF366" s="97"/>
      <c r="AG366" s="2080"/>
      <c r="AH366" s="2081"/>
      <c r="AI366" s="99"/>
      <c r="AJ366" s="1809"/>
      <c r="AK366" s="6120" t="str">
        <f t="shared" si="176"/>
        <v>►</v>
      </c>
      <c r="AL366" s="781" t="str">
        <f t="shared" si="164"/>
        <v>►</v>
      </c>
      <c r="AM366" s="5498" t="str">
        <f t="shared" si="167"/>
        <v/>
      </c>
      <c r="AN366" s="783" t="str">
        <f t="shared" si="168"/>
        <v/>
      </c>
      <c r="AO366" s="782" t="str">
        <f t="shared" si="169"/>
        <v/>
      </c>
      <c r="AP366" s="783" t="str">
        <f t="shared" si="170"/>
        <v/>
      </c>
      <c r="AQ366" s="2083" t="b">
        <f>AND(Q366="A",COUNTIF(BP16:BR63,TRIM(Z366))&gt;0)</f>
        <v>0</v>
      </c>
      <c r="AR366" s="797" t="str">
        <f>IF(AL366&lt;&gt;"A","",IFERROR(IFERROR(_xlfn.XLOOKUP(TRIM(SUBSTITUTE(Z366,CHAR(160)," ")),BP16:BP63,BS16:BS63),IFERROR(_xlfn.XLOOKUP(TRIM(SUBSTITUTE(Z366,CHAR(160)," ")),BQ16:BQ63,BS16:BS63),_xlfn.XLOOKUP(TRIM(SUBSTITUTE(Z366,CHAR(160)," ")),BR16:BR63,BS16:BS63)))*Y366*IF(ISBLANK(V366),1,V366),0))</f>
        <v/>
      </c>
      <c r="AS366" s="784" t="str">
        <f t="shared" si="160"/>
        <v/>
      </c>
      <c r="AT366" s="1315" t="str">
        <f t="shared" si="171"/>
        <v/>
      </c>
      <c r="AU366" s="785">
        <f t="shared" si="172"/>
        <v>0</v>
      </c>
      <c r="AV366" s="785">
        <f t="shared" si="173"/>
        <v>0</v>
      </c>
      <c r="AW366" s="798">
        <f>IF(AK366="A",AY10,0)</f>
        <v>0</v>
      </c>
      <c r="AX366" s="5496" t="str">
        <f>IF(IFERROR(SEARCH("Adresse PC",TRIM(W366)),0)&gt;0,"▼ receta siguiente",IF(AK366="A",IF(AZ10&lt;&gt;"",AZ10&amp;" - ou.or.o ❾ + or - &gt;",""),""))</f>
        <v/>
      </c>
      <c r="AY366" s="810"/>
      <c r="AZ366" s="810"/>
      <c r="BA366" s="799" t="str">
        <f t="shared" si="163"/>
        <v/>
      </c>
      <c r="BB366" s="800" t="str">
        <f>IF(AK366="A",IF(AQ366,IF(AND(AW366&lt;&gt;"",N(AW366)&gt;0),IFERROR(IFERROR(_xlfn.XLOOKUP(AP366,BP10:BP57,BT10:BT57),IFERROR(_xlfn.XLOOKUP(AP366,BQ10:BQ57,BT10:BT57),_xlfn.XLOOKUP(AP366,BR10:BR57,BT10:BT57,""))),""),""),""),"")</f>
        <v/>
      </c>
      <c r="BC366" s="813" cm="1">
        <f t="array" ref="BC366">IF(NOT(AQ366),0,IF(OR(BA366="",N(BA366)&lt;=0.000000001),"",IF(OR(AU366="",N(AU366)&lt;=0.000000001),0,IF(ISNUMBER(BA366),IFERROR(_xlfn.LET(_xlpm.ai_test,TRIM(AP366),_xlpm.r,IFERROR(_xlfn.XLOOKUP(_xlpm.ai_test,BP16:BP63,ROW(BP16:BP63),0,1),IFERROR(_xlfn.XLOOKUP(_xlpm.ai_test,BQ16:BQ63,ROW(BQ16:BQ63),0,1),_xlfn.XLOOKUP(_xlpm.ai_test,BR16:BR63,ROW(BR16:BR63),0,1))),_xlpm.p,_xlpm.r-MIN(ROW(BP16:BP63))+1,_xlpm.f,INDEX(BS16:BS63,_xlpm.p),_xlpm.u,INDEX(BT16:BT63,_xlpm.p),_xlpm.s,INDEX(BV16:BV63,_xlpm.p),_xlpm.q,N(BA366)/_xlpm.f,IF(_xlpm.q&gt;=_xlpm.s,ROUND(_xlpm.q,1)&amp;" "&amp;_xlpm.ai_test&amp;" = "&amp;ROUND(_xlpm.q*_xlpm.f,1)&amp;" "&amp;_xlpm.u,ROUND(_xlpm.q,1)&amp;" "&amp;_xlpm.ai_test)),""),""))))</f>
        <v>0</v>
      </c>
      <c r="BD366" s="801"/>
      <c r="BE366" s="799" t="str">
        <f t="shared" si="174"/>
        <v/>
      </c>
      <c r="BF366" s="800" t="str">
        <f t="shared" si="177"/>
        <v/>
      </c>
      <c r="BG366" s="802">
        <f t="shared" si="178"/>
        <v>0</v>
      </c>
      <c r="BH366" s="803" t="str">
        <f t="shared" si="179"/>
        <v/>
      </c>
      <c r="BI366" s="792"/>
      <c r="BJ366" s="804">
        <f t="shared" si="180"/>
        <v>0</v>
      </c>
      <c r="BK366" s="794" t="str">
        <f t="shared" si="175"/>
        <v/>
      </c>
      <c r="BL366" s="227" t="s">
        <v>21</v>
      </c>
      <c r="BM366" s="773">
        <f t="shared" si="165"/>
        <v>0</v>
      </c>
      <c r="BN366" s="774">
        <f t="shared" si="166"/>
        <v>0</v>
      </c>
      <c r="BO366"/>
      <c r="BX366"/>
      <c r="BY366"/>
      <c r="BZ366"/>
      <c r="CA366"/>
      <c r="CB366"/>
      <c r="CC366"/>
      <c r="CD366" s="781" t="str">
        <f t="shared" si="161"/>
        <v>►</v>
      </c>
      <c r="CE366" s="633"/>
      <c r="CF366" s="633"/>
      <c r="CG366" s="633"/>
      <c r="CH366" s="633"/>
      <c r="CI366" s="633"/>
      <c r="CJ366" s="227"/>
      <c r="CK366"/>
      <c r="CL366"/>
      <c r="CM366"/>
      <c r="CN366"/>
      <c r="CO366"/>
      <c r="CP366"/>
      <c r="CQ366"/>
      <c r="CR366" s="227"/>
      <c r="CS366"/>
      <c r="CT366"/>
      <c r="CU366"/>
      <c r="CV366"/>
      <c r="CW366"/>
      <c r="CX366"/>
      <c r="CY366"/>
      <c r="CZ366" s="227"/>
      <c r="DA366"/>
      <c r="DB366"/>
      <c r="DC366"/>
      <c r="DD366"/>
      <c r="DE366"/>
      <c r="DF366"/>
      <c r="DG366"/>
      <c r="DH366" s="227"/>
      <c r="DI366" s="3">
        <v>1</v>
      </c>
    </row>
    <row r="367" spans="2:113" s="627" customFormat="1" ht="21" customHeight="1">
      <c r="B367" s="2265" t="str" cm="1">
        <f t="array" ref="B367">SUMPRODUCT(--(D367:J367&lt;&gt;""), LEN(TRIM(SUBSTITUTE(D367:J367, CHAR(160), "")))) &amp; " Car."</f>
        <v>0 Car.</v>
      </c>
      <c r="C367" s="1376" t="str">
        <f>IF(ISBLANK(D367),"",LARGE(C13:C366,1)+1)</f>
        <v/>
      </c>
      <c r="D367" s="1833"/>
      <c r="E367" s="1810"/>
      <c r="F367" s="1810"/>
      <c r="G367" s="1810"/>
      <c r="H367" s="1810"/>
      <c r="I367" s="1810"/>
      <c r="J367" s="1810"/>
      <c r="K367" s="1810"/>
      <c r="L367" s="1811"/>
      <c r="M367"/>
      <c r="N367" s="103" t="str">
        <f t="shared" si="162"/>
        <v>►</v>
      </c>
      <c r="O367" s="1616"/>
      <c r="P367"/>
      <c r="Q367" s="103" t="s">
        <v>15</v>
      </c>
      <c r="R367" s="31"/>
      <c r="S367" s="32"/>
      <c r="T367" s="31"/>
      <c r="U367" s="33"/>
      <c r="V367" s="1804"/>
      <c r="W367" s="1805"/>
      <c r="X367" s="91"/>
      <c r="Y367" s="1806"/>
      <c r="Z367" s="1807"/>
      <c r="AA367" s="919"/>
      <c r="AB367" s="1813"/>
      <c r="AC367" s="1580"/>
      <c r="AD367" s="95"/>
      <c r="AE367" s="105"/>
      <c r="AF367" s="97"/>
      <c r="AG367" s="2080"/>
      <c r="AH367" s="2081"/>
      <c r="AI367" s="99"/>
      <c r="AJ367" s="1809"/>
      <c r="AK367" s="6120" t="str">
        <f t="shared" si="176"/>
        <v>►</v>
      </c>
      <c r="AL367" s="781" t="str">
        <f t="shared" si="164"/>
        <v>►</v>
      </c>
      <c r="AM367" s="5499" t="str">
        <f t="shared" si="167"/>
        <v/>
      </c>
      <c r="AN367" s="783" t="str">
        <f t="shared" si="168"/>
        <v/>
      </c>
      <c r="AO367" s="782" t="str">
        <f t="shared" si="169"/>
        <v/>
      </c>
      <c r="AP367" s="783" t="str">
        <f t="shared" si="170"/>
        <v/>
      </c>
      <c r="AQ367" s="2083" t="b">
        <f>AND(Q367="A",COUNTIF(BP16:BR63,TRIM(Z367))&gt;0)</f>
        <v>0</v>
      </c>
      <c r="AR367" s="797" t="str">
        <f>IF(AL367&lt;&gt;"A","",IFERROR(IFERROR(_xlfn.XLOOKUP(TRIM(SUBSTITUTE(Z367,CHAR(160)," ")),BP16:BP63,BS16:BS63),IFERROR(_xlfn.XLOOKUP(TRIM(SUBSTITUTE(Z367,CHAR(160)," ")),BQ16:BQ63,BS16:BS63),_xlfn.XLOOKUP(TRIM(SUBSTITUTE(Z367,CHAR(160)," ")),BR16:BR63,BS16:BS63)))*Y367*IF(ISBLANK(V367),1,V367),0))</f>
        <v/>
      </c>
      <c r="AS367" s="784" t="str">
        <f t="shared" si="160"/>
        <v/>
      </c>
      <c r="AT367" s="1315" t="str">
        <f t="shared" si="171"/>
        <v/>
      </c>
      <c r="AU367" s="785">
        <f t="shared" si="172"/>
        <v>0</v>
      </c>
      <c r="AV367" s="785">
        <f t="shared" si="173"/>
        <v>0</v>
      </c>
      <c r="AW367" s="786">
        <f>IF(AK367="A",AY10,0)</f>
        <v>0</v>
      </c>
      <c r="AX367" s="5495" t="str">
        <f>IF(IFERROR(SEARCH("Adresse PC",TRIM(W367)),0)&gt;0,"▼ receta siguiente",IF(AK367="A",IF(AZ10&lt;&gt;"",AZ10&amp;" - ou.or.o ❾ + or - &gt;",""),""))</f>
        <v/>
      </c>
      <c r="AY367" s="810"/>
      <c r="AZ367" s="810"/>
      <c r="BA367" s="788" t="str">
        <f t="shared" si="163"/>
        <v/>
      </c>
      <c r="BB367" s="789" t="str">
        <f>IF(AK367="A",IF(AQ367,IF(AND(AW367&lt;&gt;"",N(AW367)&gt;0),IFERROR(IFERROR(_xlfn.XLOOKUP(AP367,BP10:BP57,BT10:BT57),IFERROR(_xlfn.XLOOKUP(AP367,BQ10:BQ57,BT10:BT57),_xlfn.XLOOKUP(AP367,BR10:BR57,BT10:BT57,""))),""),""),""),"")</f>
        <v/>
      </c>
      <c r="BC367" s="811" cm="1">
        <f t="array" ref="BC367">IF(NOT(AQ367),0,IF(OR(BA367="",N(BA367)&lt;=0.000000001),"",IF(OR(AU367="",N(AU367)&lt;=0.000000001),0,IF(ISNUMBER(BA367),IFERROR(_xlfn.LET(_xlpm.ai_test,TRIM(AP367),_xlpm.r,IFERROR(_xlfn.XLOOKUP(_xlpm.ai_test,BP16:BP63,ROW(BP16:BP63),0,1),IFERROR(_xlfn.XLOOKUP(_xlpm.ai_test,BQ16:BQ63,ROW(BQ16:BQ63),0,1),_xlfn.XLOOKUP(_xlpm.ai_test,BR16:BR63,ROW(BR16:BR63),0,1))),_xlpm.p,_xlpm.r-MIN(ROW(BP16:BP63))+1,_xlpm.f,INDEX(BS16:BS63,_xlpm.p),_xlpm.u,INDEX(BT16:BT63,_xlpm.p),_xlpm.s,INDEX(BV16:BV63,_xlpm.p),_xlpm.q,N(BA367)/_xlpm.f,IF(_xlpm.q&gt;=_xlpm.s,ROUND(_xlpm.q,1)&amp;" "&amp;_xlpm.ai_test&amp;" = "&amp;ROUND(_xlpm.q*_xlpm.f,1)&amp;" "&amp;_xlpm.u,ROUND(_xlpm.q,1)&amp;" "&amp;_xlpm.ai_test)),""),""))))</f>
        <v>0</v>
      </c>
      <c r="BD367" s="801"/>
      <c r="BE367" s="788" t="str">
        <f t="shared" si="174"/>
        <v/>
      </c>
      <c r="BF367" s="789" t="str">
        <f t="shared" si="177"/>
        <v/>
      </c>
      <c r="BG367" s="790">
        <f t="shared" si="178"/>
        <v>0</v>
      </c>
      <c r="BH367" s="791" t="str">
        <f t="shared" si="179"/>
        <v/>
      </c>
      <c r="BI367" s="792"/>
      <c r="BJ367" s="793">
        <f t="shared" si="180"/>
        <v>0</v>
      </c>
      <c r="BK367" s="794" t="str">
        <f t="shared" si="175"/>
        <v/>
      </c>
      <c r="BL367" s="227" t="s">
        <v>21</v>
      </c>
      <c r="BM367" s="773">
        <f t="shared" si="165"/>
        <v>0</v>
      </c>
      <c r="BN367" s="774">
        <f t="shared" si="166"/>
        <v>0</v>
      </c>
      <c r="BO367"/>
      <c r="BX367"/>
      <c r="BY367"/>
      <c r="BZ367"/>
      <c r="CA367"/>
      <c r="CB367"/>
      <c r="CC367"/>
      <c r="CD367" s="781" t="str">
        <f t="shared" si="161"/>
        <v>►</v>
      </c>
      <c r="CE367" s="633"/>
      <c r="CF367" s="633"/>
      <c r="CG367" s="633"/>
      <c r="CH367" s="633"/>
      <c r="CI367" s="633"/>
      <c r="CJ367" s="227"/>
      <c r="CK367"/>
      <c r="CL367"/>
      <c r="CM367"/>
      <c r="CN367"/>
      <c r="CO367"/>
      <c r="CP367"/>
      <c r="CQ367"/>
      <c r="CR367" s="227"/>
      <c r="CS367"/>
      <c r="CT367"/>
      <c r="CU367"/>
      <c r="CV367"/>
      <c r="CW367"/>
      <c r="CX367"/>
      <c r="CY367"/>
      <c r="CZ367" s="227"/>
      <c r="DA367"/>
      <c r="DB367"/>
      <c r="DC367"/>
      <c r="DD367"/>
      <c r="DE367"/>
      <c r="DF367"/>
      <c r="DG367"/>
      <c r="DH367" s="227"/>
      <c r="DI367" s="3">
        <v>1</v>
      </c>
    </row>
    <row r="368" spans="2:113" s="627" customFormat="1" ht="21" customHeight="1">
      <c r="B368" s="2265" t="str" cm="1">
        <f t="array" ref="B368">SUMPRODUCT(--(D368:J368&lt;&gt;""), LEN(TRIM(SUBSTITUTE(D368:J368, CHAR(160), "")))) &amp; " Car."</f>
        <v>0 Car.</v>
      </c>
      <c r="C368" s="1376" t="str">
        <f>IF(ISBLANK(D368),"",LARGE(C13:C367,1)+1)</f>
        <v/>
      </c>
      <c r="D368" s="1833"/>
      <c r="E368" s="1810"/>
      <c r="F368" s="1810"/>
      <c r="G368" s="1810"/>
      <c r="H368" s="1810"/>
      <c r="I368" s="1810"/>
      <c r="J368" s="1810"/>
      <c r="K368" s="1810"/>
      <c r="L368" s="1811"/>
      <c r="M368"/>
      <c r="N368" s="103" t="str">
        <f t="shared" si="162"/>
        <v>►</v>
      </c>
      <c r="O368" s="1616"/>
      <c r="P368"/>
      <c r="Q368" s="103" t="s">
        <v>15</v>
      </c>
      <c r="R368" s="31"/>
      <c r="S368" s="32"/>
      <c r="T368" s="31"/>
      <c r="U368" s="33"/>
      <c r="V368" s="1804"/>
      <c r="W368" s="1805"/>
      <c r="X368" s="91"/>
      <c r="Y368" s="1806"/>
      <c r="Z368" s="1807"/>
      <c r="AA368" s="919"/>
      <c r="AB368" s="1813"/>
      <c r="AC368" s="1580"/>
      <c r="AD368" s="95"/>
      <c r="AE368" s="105"/>
      <c r="AF368" s="97"/>
      <c r="AG368" s="2080"/>
      <c r="AH368" s="2081"/>
      <c r="AI368" s="99"/>
      <c r="AJ368" s="1809"/>
      <c r="AK368" s="6120" t="str">
        <f t="shared" si="176"/>
        <v>►</v>
      </c>
      <c r="AL368" s="781" t="str">
        <f t="shared" si="164"/>
        <v>►</v>
      </c>
      <c r="AM368" s="5498" t="str">
        <f t="shared" si="167"/>
        <v/>
      </c>
      <c r="AN368" s="783" t="str">
        <f t="shared" si="168"/>
        <v/>
      </c>
      <c r="AO368" s="782" t="str">
        <f t="shared" si="169"/>
        <v/>
      </c>
      <c r="AP368" s="783" t="str">
        <f t="shared" si="170"/>
        <v/>
      </c>
      <c r="AQ368" s="2083" t="b">
        <f>AND(Q368="A",COUNTIF(BP16:BR63,TRIM(Z368))&gt;0)</f>
        <v>0</v>
      </c>
      <c r="AR368" s="797" t="str">
        <f>IF(AL368&lt;&gt;"A","",IFERROR(IFERROR(_xlfn.XLOOKUP(TRIM(SUBSTITUTE(Z368,CHAR(160)," ")),BP16:BP63,BS16:BS63),IFERROR(_xlfn.XLOOKUP(TRIM(SUBSTITUTE(Z368,CHAR(160)," ")),BQ16:BQ63,BS16:BS63),_xlfn.XLOOKUP(TRIM(SUBSTITUTE(Z368,CHAR(160)," ")),BR16:BR63,BS16:BS63)))*Y368*IF(ISBLANK(V368),1,V368),0))</f>
        <v/>
      </c>
      <c r="AS368" s="784" t="str">
        <f t="shared" si="160"/>
        <v/>
      </c>
      <c r="AT368" s="1315" t="str">
        <f t="shared" si="171"/>
        <v/>
      </c>
      <c r="AU368" s="785">
        <f t="shared" si="172"/>
        <v>0</v>
      </c>
      <c r="AV368" s="785">
        <f t="shared" si="173"/>
        <v>0</v>
      </c>
      <c r="AW368" s="798">
        <f>IF(AK368="A",AY10,0)</f>
        <v>0</v>
      </c>
      <c r="AX368" s="5496" t="str">
        <f>IF(IFERROR(SEARCH("Adresse PC",TRIM(W368)),0)&gt;0,"▼ receta siguiente",IF(AK368="A",IF(AZ10&lt;&gt;"",AZ10&amp;" - ou.or.o ❾ + or - &gt;",""),""))</f>
        <v/>
      </c>
      <c r="AY368" s="810"/>
      <c r="AZ368" s="810"/>
      <c r="BA368" s="799" t="str">
        <f t="shared" si="163"/>
        <v/>
      </c>
      <c r="BB368" s="800" t="str">
        <f>IF(AK368="A",IF(AQ368,IF(AND(AW368&lt;&gt;"",N(AW368)&gt;0),IFERROR(IFERROR(_xlfn.XLOOKUP(AP368,BP10:BP57,BT10:BT57),IFERROR(_xlfn.XLOOKUP(AP368,BQ10:BQ57,BT10:BT57),_xlfn.XLOOKUP(AP368,BR10:BR57,BT10:BT57,""))),""),""),""),"")</f>
        <v/>
      </c>
      <c r="BC368" s="813" cm="1">
        <f t="array" ref="BC368">IF(NOT(AQ368),0,IF(OR(BA368="",N(BA368)&lt;=0.000000001),"",IF(OR(AU368="",N(AU368)&lt;=0.000000001),0,IF(ISNUMBER(BA368),IFERROR(_xlfn.LET(_xlpm.ai_test,TRIM(AP368),_xlpm.r,IFERROR(_xlfn.XLOOKUP(_xlpm.ai_test,BP16:BP63,ROW(BP16:BP63),0,1),IFERROR(_xlfn.XLOOKUP(_xlpm.ai_test,BQ16:BQ63,ROW(BQ16:BQ63),0,1),_xlfn.XLOOKUP(_xlpm.ai_test,BR16:BR63,ROW(BR16:BR63),0,1))),_xlpm.p,_xlpm.r-MIN(ROW(BP16:BP63))+1,_xlpm.f,INDEX(BS16:BS63,_xlpm.p),_xlpm.u,INDEX(BT16:BT63,_xlpm.p),_xlpm.s,INDEX(BV16:BV63,_xlpm.p),_xlpm.q,N(BA368)/_xlpm.f,IF(_xlpm.q&gt;=_xlpm.s,ROUND(_xlpm.q,1)&amp;" "&amp;_xlpm.ai_test&amp;" = "&amp;ROUND(_xlpm.q*_xlpm.f,1)&amp;" "&amp;_xlpm.u,ROUND(_xlpm.q,1)&amp;" "&amp;_xlpm.ai_test)),""),""))))</f>
        <v>0</v>
      </c>
      <c r="BD368" s="801"/>
      <c r="BE368" s="799" t="str">
        <f t="shared" si="174"/>
        <v/>
      </c>
      <c r="BF368" s="800" t="str">
        <f t="shared" si="177"/>
        <v/>
      </c>
      <c r="BG368" s="802">
        <f t="shared" si="178"/>
        <v>0</v>
      </c>
      <c r="BH368" s="803" t="str">
        <f t="shared" si="179"/>
        <v/>
      </c>
      <c r="BI368" s="792"/>
      <c r="BJ368" s="804">
        <f t="shared" si="180"/>
        <v>0</v>
      </c>
      <c r="BK368" s="794" t="str">
        <f t="shared" si="175"/>
        <v/>
      </c>
      <c r="BL368" s="227" t="s">
        <v>21</v>
      </c>
      <c r="BM368" s="773">
        <f t="shared" si="165"/>
        <v>0</v>
      </c>
      <c r="BN368" s="774">
        <f t="shared" si="166"/>
        <v>0</v>
      </c>
      <c r="BO368"/>
      <c r="BX368"/>
      <c r="BY368"/>
      <c r="BZ368"/>
      <c r="CA368"/>
      <c r="CB368"/>
      <c r="CC368"/>
      <c r="CD368" s="781" t="str">
        <f t="shared" si="161"/>
        <v>►</v>
      </c>
      <c r="CE368" s="633"/>
      <c r="CF368" s="633"/>
      <c r="CG368" s="633"/>
      <c r="CH368" s="633"/>
      <c r="CI368" s="633"/>
      <c r="CJ368" s="227"/>
      <c r="CK368"/>
      <c r="CL368"/>
      <c r="CM368"/>
      <c r="CN368"/>
      <c r="CO368"/>
      <c r="CP368"/>
      <c r="CQ368"/>
      <c r="CR368" s="227"/>
      <c r="CS368"/>
      <c r="CT368"/>
      <c r="CU368"/>
      <c r="CV368"/>
      <c r="CW368"/>
      <c r="CX368"/>
      <c r="CY368"/>
      <c r="CZ368" s="227"/>
      <c r="DA368"/>
      <c r="DB368"/>
      <c r="DC368"/>
      <c r="DD368"/>
      <c r="DE368"/>
      <c r="DF368"/>
      <c r="DG368"/>
      <c r="DH368" s="227"/>
      <c r="DI368" s="3">
        <v>1</v>
      </c>
    </row>
    <row r="369" spans="2:113" s="627" customFormat="1" ht="21" customHeight="1">
      <c r="B369" s="2265" t="str" cm="1">
        <f t="array" ref="B369">SUMPRODUCT(--(D369:J369&lt;&gt;""), LEN(TRIM(SUBSTITUTE(D369:J369, CHAR(160), "")))) &amp; " Car."</f>
        <v>0 Car.</v>
      </c>
      <c r="C369" s="1376" t="str">
        <f>IF(ISBLANK(D369),"",LARGE(C13:C368,1)+1)</f>
        <v/>
      </c>
      <c r="D369" s="1833"/>
      <c r="E369" s="1810"/>
      <c r="F369" s="1810"/>
      <c r="G369" s="1810"/>
      <c r="H369" s="1810"/>
      <c r="I369" s="1810"/>
      <c r="J369" s="1810"/>
      <c r="K369" s="1810"/>
      <c r="L369" s="1811"/>
      <c r="M369"/>
      <c r="N369" s="103" t="str">
        <f t="shared" si="162"/>
        <v>►</v>
      </c>
      <c r="O369" s="1616"/>
      <c r="P369"/>
      <c r="Q369" s="103" t="s">
        <v>15</v>
      </c>
      <c r="R369" s="31"/>
      <c r="S369" s="32"/>
      <c r="T369" s="31"/>
      <c r="U369" s="33"/>
      <c r="V369" s="1804"/>
      <c r="W369" s="1805"/>
      <c r="X369" s="91"/>
      <c r="Y369" s="1806"/>
      <c r="Z369" s="1807"/>
      <c r="AA369" s="919"/>
      <c r="AB369" s="1813"/>
      <c r="AC369" s="1580"/>
      <c r="AD369" s="95"/>
      <c r="AE369" s="105"/>
      <c r="AF369" s="97"/>
      <c r="AG369" s="2080"/>
      <c r="AH369" s="2081"/>
      <c r="AI369" s="99"/>
      <c r="AJ369" s="1809"/>
      <c r="AK369" s="6120" t="str">
        <f t="shared" si="176"/>
        <v>►</v>
      </c>
      <c r="AL369" s="781" t="str">
        <f t="shared" si="164"/>
        <v>►</v>
      </c>
      <c r="AM369" s="5499" t="str">
        <f t="shared" si="167"/>
        <v/>
      </c>
      <c r="AN369" s="783" t="str">
        <f t="shared" si="168"/>
        <v/>
      </c>
      <c r="AO369" s="782" t="str">
        <f t="shared" si="169"/>
        <v/>
      </c>
      <c r="AP369" s="783" t="str">
        <f t="shared" si="170"/>
        <v/>
      </c>
      <c r="AQ369" s="2083" t="b">
        <f>AND(Q369="A",COUNTIF(BP16:BR63,TRIM(Z369))&gt;0)</f>
        <v>0</v>
      </c>
      <c r="AR369" s="797" t="str">
        <f>IF(AL369&lt;&gt;"A","",IFERROR(IFERROR(_xlfn.XLOOKUP(TRIM(SUBSTITUTE(Z369,CHAR(160)," ")),BP16:BP63,BS16:BS63),IFERROR(_xlfn.XLOOKUP(TRIM(SUBSTITUTE(Z369,CHAR(160)," ")),BQ16:BQ63,BS16:BS63),_xlfn.XLOOKUP(TRIM(SUBSTITUTE(Z369,CHAR(160)," ")),BR16:BR63,BS16:BS63)))*Y369*IF(ISBLANK(V369),1,V369),0))</f>
        <v/>
      </c>
      <c r="AS369" s="784" t="str">
        <f t="shared" si="160"/>
        <v/>
      </c>
      <c r="AT369" s="1315" t="str">
        <f t="shared" si="171"/>
        <v/>
      </c>
      <c r="AU369" s="785">
        <f t="shared" si="172"/>
        <v>0</v>
      </c>
      <c r="AV369" s="785">
        <f t="shared" si="173"/>
        <v>0</v>
      </c>
      <c r="AW369" s="786">
        <f>IF(AK369="A",AY10,0)</f>
        <v>0</v>
      </c>
      <c r="AX369" s="5495" t="str">
        <f>IF(IFERROR(SEARCH("Adresse PC",TRIM(W369)),0)&gt;0,"▼ receta siguiente",IF(AK369="A",IF(AZ10&lt;&gt;"",AZ10&amp;" - ou.or.o ❾ + or - &gt;",""),""))</f>
        <v/>
      </c>
      <c r="AY369" s="810"/>
      <c r="AZ369" s="810"/>
      <c r="BA369" s="788" t="str">
        <f t="shared" si="163"/>
        <v/>
      </c>
      <c r="BB369" s="789" t="str">
        <f>IF(AK369="A",IF(AQ369,IF(AND(AW369&lt;&gt;"",N(AW369)&gt;0),IFERROR(IFERROR(_xlfn.XLOOKUP(AP369,BP10:BP57,BT10:BT57),IFERROR(_xlfn.XLOOKUP(AP369,BQ10:BQ57,BT10:BT57),_xlfn.XLOOKUP(AP369,BR10:BR57,BT10:BT57,""))),""),""),""),"")</f>
        <v/>
      </c>
      <c r="BC369" s="811" cm="1">
        <f t="array" ref="BC369">IF(NOT(AQ369),0,IF(OR(BA369="",N(BA369)&lt;=0.000000001),"",IF(OR(AU369="",N(AU369)&lt;=0.000000001),0,IF(ISNUMBER(BA369),IFERROR(_xlfn.LET(_xlpm.ai_test,TRIM(AP369),_xlpm.r,IFERROR(_xlfn.XLOOKUP(_xlpm.ai_test,BP16:BP63,ROW(BP16:BP63),0,1),IFERROR(_xlfn.XLOOKUP(_xlpm.ai_test,BQ16:BQ63,ROW(BQ16:BQ63),0,1),_xlfn.XLOOKUP(_xlpm.ai_test,BR16:BR63,ROW(BR16:BR63),0,1))),_xlpm.p,_xlpm.r-MIN(ROW(BP16:BP63))+1,_xlpm.f,INDEX(BS16:BS63,_xlpm.p),_xlpm.u,INDEX(BT16:BT63,_xlpm.p),_xlpm.s,INDEX(BV16:BV63,_xlpm.p),_xlpm.q,N(BA369)/_xlpm.f,IF(_xlpm.q&gt;=_xlpm.s,ROUND(_xlpm.q,1)&amp;" "&amp;_xlpm.ai_test&amp;" = "&amp;ROUND(_xlpm.q*_xlpm.f,1)&amp;" "&amp;_xlpm.u,ROUND(_xlpm.q,1)&amp;" "&amp;_xlpm.ai_test)),""),""))))</f>
        <v>0</v>
      </c>
      <c r="BD369" s="801"/>
      <c r="BE369" s="788" t="str">
        <f t="shared" si="174"/>
        <v/>
      </c>
      <c r="BF369" s="789" t="str">
        <f t="shared" si="177"/>
        <v/>
      </c>
      <c r="BG369" s="790">
        <f t="shared" si="178"/>
        <v>0</v>
      </c>
      <c r="BH369" s="791" t="str">
        <f t="shared" si="179"/>
        <v/>
      </c>
      <c r="BI369" s="792"/>
      <c r="BJ369" s="793">
        <f t="shared" si="180"/>
        <v>0</v>
      </c>
      <c r="BK369" s="794" t="str">
        <f t="shared" si="175"/>
        <v/>
      </c>
      <c r="BL369" s="227" t="s">
        <v>21</v>
      </c>
      <c r="BM369" s="773">
        <f t="shared" si="165"/>
        <v>0</v>
      </c>
      <c r="BN369" s="774">
        <f t="shared" si="166"/>
        <v>0</v>
      </c>
      <c r="BO369"/>
      <c r="BX369"/>
      <c r="BY369"/>
      <c r="BZ369"/>
      <c r="CA369"/>
      <c r="CB369"/>
      <c r="CC369"/>
      <c r="CD369" s="781" t="str">
        <f t="shared" si="161"/>
        <v>►</v>
      </c>
      <c r="CE369" s="633"/>
      <c r="CF369" s="633"/>
      <c r="CG369" s="633"/>
      <c r="CH369" s="633"/>
      <c r="CI369" s="633"/>
      <c r="CJ369" s="227"/>
      <c r="CK369"/>
      <c r="CL369"/>
      <c r="CM369"/>
      <c r="CN369"/>
      <c r="CO369"/>
      <c r="CP369"/>
      <c r="CQ369"/>
      <c r="CR369" s="227"/>
      <c r="CS369"/>
      <c r="CT369"/>
      <c r="CU369"/>
      <c r="CV369"/>
      <c r="CW369"/>
      <c r="CX369"/>
      <c r="CY369"/>
      <c r="CZ369" s="227"/>
      <c r="DA369"/>
      <c r="DB369"/>
      <c r="DC369"/>
      <c r="DD369"/>
      <c r="DE369"/>
      <c r="DF369"/>
      <c r="DG369"/>
      <c r="DH369" s="227"/>
      <c r="DI369" s="3">
        <v>1</v>
      </c>
    </row>
    <row r="370" spans="2:113" s="627" customFormat="1" ht="21" customHeight="1">
      <c r="B370" s="2265" t="str" cm="1">
        <f t="array" ref="B370">SUMPRODUCT(--(D370:J370&lt;&gt;""), LEN(TRIM(SUBSTITUTE(D370:J370, CHAR(160), "")))) &amp; " Car."</f>
        <v>0 Car.</v>
      </c>
      <c r="C370" s="1376" t="str">
        <f>IF(ISBLANK(D370),"",LARGE(C13:C369,1)+1)</f>
        <v/>
      </c>
      <c r="D370" s="1833"/>
      <c r="E370" s="1810"/>
      <c r="F370" s="1810"/>
      <c r="G370" s="1810"/>
      <c r="H370" s="1810"/>
      <c r="I370" s="1810"/>
      <c r="J370" s="1810"/>
      <c r="K370" s="1810"/>
      <c r="L370" s="1811"/>
      <c r="M370"/>
      <c r="N370" s="103" t="str">
        <f t="shared" si="162"/>
        <v>►</v>
      </c>
      <c r="O370" s="1616"/>
      <c r="P370"/>
      <c r="Q370" s="103" t="s">
        <v>15</v>
      </c>
      <c r="R370" s="31"/>
      <c r="S370" s="32"/>
      <c r="T370" s="31"/>
      <c r="U370" s="33"/>
      <c r="V370" s="1804"/>
      <c r="W370" s="1805"/>
      <c r="X370" s="91"/>
      <c r="Y370" s="1806"/>
      <c r="Z370" s="1807"/>
      <c r="AA370" s="919"/>
      <c r="AB370" s="1813"/>
      <c r="AC370" s="1580"/>
      <c r="AD370" s="95"/>
      <c r="AE370" s="105"/>
      <c r="AF370" s="97"/>
      <c r="AG370" s="2080"/>
      <c r="AH370" s="2081"/>
      <c r="AI370" s="99"/>
      <c r="AJ370" s="1809"/>
      <c r="AK370" s="6120" t="str">
        <f t="shared" si="176"/>
        <v>►</v>
      </c>
      <c r="AL370" s="781" t="str">
        <f t="shared" si="164"/>
        <v>►</v>
      </c>
      <c r="AM370" s="5498" t="str">
        <f t="shared" si="167"/>
        <v/>
      </c>
      <c r="AN370" s="783" t="str">
        <f t="shared" si="168"/>
        <v/>
      </c>
      <c r="AO370" s="782" t="str">
        <f t="shared" si="169"/>
        <v/>
      </c>
      <c r="AP370" s="783" t="str">
        <f t="shared" si="170"/>
        <v/>
      </c>
      <c r="AQ370" s="2083" t="b">
        <f>AND(Q370="A",COUNTIF(BP16:BR63,TRIM(Z370))&gt;0)</f>
        <v>0</v>
      </c>
      <c r="AR370" s="797" t="str">
        <f>IF(AL370&lt;&gt;"A","",IFERROR(IFERROR(_xlfn.XLOOKUP(TRIM(SUBSTITUTE(Z370,CHAR(160)," ")),BP16:BP63,BS16:BS63),IFERROR(_xlfn.XLOOKUP(TRIM(SUBSTITUTE(Z370,CHAR(160)," ")),BQ16:BQ63,BS16:BS63),_xlfn.XLOOKUP(TRIM(SUBSTITUTE(Z370,CHAR(160)," ")),BR16:BR63,BS16:BS63)))*Y370*IF(ISBLANK(V370),1,V370),0))</f>
        <v/>
      </c>
      <c r="AS370" s="784" t="str">
        <f t="shared" si="160"/>
        <v/>
      </c>
      <c r="AT370" s="1315" t="str">
        <f t="shared" si="171"/>
        <v/>
      </c>
      <c r="AU370" s="785">
        <f t="shared" si="172"/>
        <v>0</v>
      </c>
      <c r="AV370" s="785">
        <f t="shared" si="173"/>
        <v>0</v>
      </c>
      <c r="AW370" s="798">
        <f>IF(AK370="A",AY10,0)</f>
        <v>0</v>
      </c>
      <c r="AX370" s="5496" t="str">
        <f>IF(IFERROR(SEARCH("Adresse PC",TRIM(W370)),0)&gt;0,"▼ receta siguiente",IF(AK370="A",IF(AZ10&lt;&gt;"",AZ10&amp;" - ou.or.o ❾ + or - &gt;",""),""))</f>
        <v/>
      </c>
      <c r="AY370" s="810"/>
      <c r="AZ370" s="810"/>
      <c r="BA370" s="799" t="str">
        <f t="shared" si="163"/>
        <v/>
      </c>
      <c r="BB370" s="800" t="str">
        <f>IF(AK370="A",IF(AQ370,IF(AND(AW370&lt;&gt;"",N(AW370)&gt;0),IFERROR(IFERROR(_xlfn.XLOOKUP(AP370,BP10:BP57,BT10:BT57),IFERROR(_xlfn.XLOOKUP(AP370,BQ10:BQ57,BT10:BT57),_xlfn.XLOOKUP(AP370,BR10:BR57,BT10:BT57,""))),""),""),""),"")</f>
        <v/>
      </c>
      <c r="BC370" s="813" cm="1">
        <f t="array" ref="BC370">IF(NOT(AQ370),0,IF(OR(BA370="",N(BA370)&lt;=0.000000001),"",IF(OR(AU370="",N(AU370)&lt;=0.000000001),0,IF(ISNUMBER(BA370),IFERROR(_xlfn.LET(_xlpm.ai_test,TRIM(AP370),_xlpm.r,IFERROR(_xlfn.XLOOKUP(_xlpm.ai_test,BP16:BP63,ROW(BP16:BP63),0,1),IFERROR(_xlfn.XLOOKUP(_xlpm.ai_test,BQ16:BQ63,ROW(BQ16:BQ63),0,1),_xlfn.XLOOKUP(_xlpm.ai_test,BR16:BR63,ROW(BR16:BR63),0,1))),_xlpm.p,_xlpm.r-MIN(ROW(BP16:BP63))+1,_xlpm.f,INDEX(BS16:BS63,_xlpm.p),_xlpm.u,INDEX(BT16:BT63,_xlpm.p),_xlpm.s,INDEX(BV16:BV63,_xlpm.p),_xlpm.q,N(BA370)/_xlpm.f,IF(_xlpm.q&gt;=_xlpm.s,ROUND(_xlpm.q,1)&amp;" "&amp;_xlpm.ai_test&amp;" = "&amp;ROUND(_xlpm.q*_xlpm.f,1)&amp;" "&amp;_xlpm.u,ROUND(_xlpm.q,1)&amp;" "&amp;_xlpm.ai_test)),""),""))))</f>
        <v>0</v>
      </c>
      <c r="BD370" s="801"/>
      <c r="BE370" s="799" t="str">
        <f t="shared" si="174"/>
        <v/>
      </c>
      <c r="BF370" s="800" t="str">
        <f t="shared" si="177"/>
        <v/>
      </c>
      <c r="BG370" s="802">
        <f t="shared" si="178"/>
        <v>0</v>
      </c>
      <c r="BH370" s="803" t="str">
        <f t="shared" si="179"/>
        <v/>
      </c>
      <c r="BI370" s="792"/>
      <c r="BJ370" s="804">
        <f t="shared" si="180"/>
        <v>0</v>
      </c>
      <c r="BK370" s="794" t="str">
        <f t="shared" si="175"/>
        <v/>
      </c>
      <c r="BL370" s="227" t="s">
        <v>21</v>
      </c>
      <c r="BM370" s="773">
        <f t="shared" si="165"/>
        <v>0</v>
      </c>
      <c r="BN370" s="774">
        <f t="shared" si="166"/>
        <v>0</v>
      </c>
      <c r="BO370"/>
      <c r="BX370"/>
      <c r="BY370"/>
      <c r="BZ370"/>
      <c r="CA370"/>
      <c r="CB370"/>
      <c r="CC370"/>
      <c r="CD370" s="781" t="str">
        <f t="shared" si="161"/>
        <v>►</v>
      </c>
      <c r="CE370" s="633"/>
      <c r="CF370" s="633"/>
      <c r="CG370" s="633"/>
      <c r="CH370" s="633"/>
      <c r="CI370" s="633"/>
      <c r="CJ370" s="227"/>
      <c r="CK370"/>
      <c r="CL370"/>
      <c r="CM370"/>
      <c r="CN370"/>
      <c r="CO370"/>
      <c r="CP370"/>
      <c r="CQ370"/>
      <c r="CR370" s="227"/>
      <c r="CS370"/>
      <c r="CT370"/>
      <c r="CU370"/>
      <c r="CV370"/>
      <c r="CW370"/>
      <c r="CX370"/>
      <c r="CY370"/>
      <c r="CZ370" s="227"/>
      <c r="DA370"/>
      <c r="DB370"/>
      <c r="DC370"/>
      <c r="DD370"/>
      <c r="DE370"/>
      <c r="DF370"/>
      <c r="DG370"/>
      <c r="DH370" s="227"/>
      <c r="DI370" s="3">
        <v>1</v>
      </c>
    </row>
    <row r="371" spans="2:113" s="627" customFormat="1" ht="21" customHeight="1">
      <c r="B371" s="2265" t="str" cm="1">
        <f t="array" ref="B371">SUMPRODUCT(--(D371:J371&lt;&gt;""), LEN(TRIM(SUBSTITUTE(D371:J371, CHAR(160), "")))) &amp; " Car."</f>
        <v>0 Car.</v>
      </c>
      <c r="C371" s="1376" t="str">
        <f>IF(ISBLANK(D371),"",LARGE(C13:C370,1)+1)</f>
        <v/>
      </c>
      <c r="D371" s="1833"/>
      <c r="E371" s="1810"/>
      <c r="F371" s="1810"/>
      <c r="G371" s="1810"/>
      <c r="H371" s="1810"/>
      <c r="I371" s="1810"/>
      <c r="J371" s="1810"/>
      <c r="K371" s="1810"/>
      <c r="L371" s="1811"/>
      <c r="M371"/>
      <c r="N371" s="103" t="str">
        <f t="shared" si="162"/>
        <v>►</v>
      </c>
      <c r="O371" s="1616"/>
      <c r="P371"/>
      <c r="Q371" s="103" t="s">
        <v>15</v>
      </c>
      <c r="R371" s="31"/>
      <c r="S371" s="32"/>
      <c r="T371" s="31"/>
      <c r="U371" s="33"/>
      <c r="V371" s="1804"/>
      <c r="W371" s="1805"/>
      <c r="X371" s="91"/>
      <c r="Y371" s="1806"/>
      <c r="Z371" s="1807"/>
      <c r="AA371" s="919"/>
      <c r="AB371" s="1813"/>
      <c r="AC371" s="1580"/>
      <c r="AD371" s="95"/>
      <c r="AE371" s="105"/>
      <c r="AF371" s="97"/>
      <c r="AG371" s="2080"/>
      <c r="AH371" s="2081"/>
      <c r="AI371" s="99"/>
      <c r="AJ371" s="1809"/>
      <c r="AK371" s="6120" t="str">
        <f t="shared" si="176"/>
        <v>►</v>
      </c>
      <c r="AL371" s="781" t="str">
        <f t="shared" si="164"/>
        <v>►</v>
      </c>
      <c r="AM371" s="5499" t="str">
        <f t="shared" si="167"/>
        <v/>
      </c>
      <c r="AN371" s="783" t="str">
        <f t="shared" si="168"/>
        <v/>
      </c>
      <c r="AO371" s="782" t="str">
        <f t="shared" si="169"/>
        <v/>
      </c>
      <c r="AP371" s="783" t="str">
        <f t="shared" si="170"/>
        <v/>
      </c>
      <c r="AQ371" s="2083" t="b">
        <f>AND(Q371="A",COUNTIF(BP16:BR63,TRIM(Z371))&gt;0)</f>
        <v>0</v>
      </c>
      <c r="AR371" s="797" t="str">
        <f>IF(AL371&lt;&gt;"A","",IFERROR(IFERROR(_xlfn.XLOOKUP(TRIM(SUBSTITUTE(Z371,CHAR(160)," ")),BP16:BP63,BS16:BS63),IFERROR(_xlfn.XLOOKUP(TRIM(SUBSTITUTE(Z371,CHAR(160)," ")),BQ16:BQ63,BS16:BS63),_xlfn.XLOOKUP(TRIM(SUBSTITUTE(Z371,CHAR(160)," ")),BR16:BR63,BS16:BS63)))*Y371*IF(ISBLANK(V371),1,V371),0))</f>
        <v/>
      </c>
      <c r="AS371" s="784" t="str">
        <f t="shared" si="160"/>
        <v/>
      </c>
      <c r="AT371" s="1315" t="str">
        <f t="shared" si="171"/>
        <v/>
      </c>
      <c r="AU371" s="785">
        <f t="shared" si="172"/>
        <v>0</v>
      </c>
      <c r="AV371" s="785">
        <f t="shared" si="173"/>
        <v>0</v>
      </c>
      <c r="AW371" s="786">
        <f>IF(AK371="A",AY10,0)</f>
        <v>0</v>
      </c>
      <c r="AX371" s="5495" t="str">
        <f>IF(IFERROR(SEARCH("Adresse PC",TRIM(W371)),0)&gt;0,"▼ receta siguiente",IF(AK371="A",IF(AZ10&lt;&gt;"",AZ10&amp;" - ou.or.o ❾ + or - &gt;",""),""))</f>
        <v/>
      </c>
      <c r="AY371" s="810"/>
      <c r="AZ371" s="810"/>
      <c r="BA371" s="788" t="str">
        <f t="shared" si="163"/>
        <v/>
      </c>
      <c r="BB371" s="789" t="str">
        <f>IF(AK371="A",IF(AQ371,IF(AND(AW371&lt;&gt;"",N(AW371)&gt;0),IFERROR(IFERROR(_xlfn.XLOOKUP(AP371,BP10:BP57,BT10:BT57),IFERROR(_xlfn.XLOOKUP(AP371,BQ10:BQ57,BT10:BT57),_xlfn.XLOOKUP(AP371,BR10:BR57,BT10:BT57,""))),""),""),""),"")</f>
        <v/>
      </c>
      <c r="BC371" s="811" cm="1">
        <f t="array" ref="BC371">IF(NOT(AQ371),0,IF(OR(BA371="",N(BA371)&lt;=0.000000001),"",IF(OR(AU371="",N(AU371)&lt;=0.000000001),0,IF(ISNUMBER(BA371),IFERROR(_xlfn.LET(_xlpm.ai_test,TRIM(AP371),_xlpm.r,IFERROR(_xlfn.XLOOKUP(_xlpm.ai_test,BP16:BP63,ROW(BP16:BP63),0,1),IFERROR(_xlfn.XLOOKUP(_xlpm.ai_test,BQ16:BQ63,ROW(BQ16:BQ63),0,1),_xlfn.XLOOKUP(_xlpm.ai_test,BR16:BR63,ROW(BR16:BR63),0,1))),_xlpm.p,_xlpm.r-MIN(ROW(BP16:BP63))+1,_xlpm.f,INDEX(BS16:BS63,_xlpm.p),_xlpm.u,INDEX(BT16:BT63,_xlpm.p),_xlpm.s,INDEX(BV16:BV63,_xlpm.p),_xlpm.q,N(BA371)/_xlpm.f,IF(_xlpm.q&gt;=_xlpm.s,ROUND(_xlpm.q,1)&amp;" "&amp;_xlpm.ai_test&amp;" = "&amp;ROUND(_xlpm.q*_xlpm.f,1)&amp;" "&amp;_xlpm.u,ROUND(_xlpm.q,1)&amp;" "&amp;_xlpm.ai_test)),""),""))))</f>
        <v>0</v>
      </c>
      <c r="BD371" s="801"/>
      <c r="BE371" s="788" t="str">
        <f t="shared" si="174"/>
        <v/>
      </c>
      <c r="BF371" s="789" t="str">
        <f t="shared" si="177"/>
        <v/>
      </c>
      <c r="BG371" s="790">
        <f t="shared" si="178"/>
        <v>0</v>
      </c>
      <c r="BH371" s="791" t="str">
        <f t="shared" si="179"/>
        <v/>
      </c>
      <c r="BI371" s="792"/>
      <c r="BJ371" s="793">
        <f t="shared" si="180"/>
        <v>0</v>
      </c>
      <c r="BK371" s="794" t="str">
        <f t="shared" si="175"/>
        <v/>
      </c>
      <c r="BL371" s="227" t="s">
        <v>21</v>
      </c>
      <c r="BM371" s="773">
        <f t="shared" si="165"/>
        <v>0</v>
      </c>
      <c r="BN371" s="774">
        <f t="shared" si="166"/>
        <v>0</v>
      </c>
      <c r="BO371"/>
      <c r="BX371"/>
      <c r="BY371"/>
      <c r="BZ371"/>
      <c r="CA371"/>
      <c r="CB371"/>
      <c r="CC371"/>
      <c r="CD371" s="781" t="str">
        <f t="shared" si="161"/>
        <v>►</v>
      </c>
      <c r="CE371" s="633"/>
      <c r="CF371" s="633"/>
      <c r="CG371" s="633"/>
      <c r="CH371" s="633"/>
      <c r="CI371" s="633"/>
      <c r="CJ371" s="227"/>
      <c r="CK371"/>
      <c r="CL371"/>
      <c r="CM371"/>
      <c r="CN371"/>
      <c r="CO371"/>
      <c r="CP371"/>
      <c r="CQ371"/>
      <c r="CR371" s="227"/>
      <c r="CS371"/>
      <c r="CT371"/>
      <c r="CU371"/>
      <c r="CV371"/>
      <c r="CW371"/>
      <c r="CX371"/>
      <c r="CY371"/>
      <c r="CZ371" s="227"/>
      <c r="DA371"/>
      <c r="DB371"/>
      <c r="DC371"/>
      <c r="DD371"/>
      <c r="DE371"/>
      <c r="DF371"/>
      <c r="DG371"/>
      <c r="DH371" s="227"/>
      <c r="DI371" s="3">
        <v>1</v>
      </c>
    </row>
    <row r="372" spans="2:113" s="627" customFormat="1" ht="21" customHeight="1">
      <c r="B372" s="2265" t="str" cm="1">
        <f t="array" ref="B372">SUMPRODUCT(--(D372:J372&lt;&gt;""), LEN(TRIM(SUBSTITUTE(D372:J372, CHAR(160), "")))) &amp; " Car."</f>
        <v>0 Car.</v>
      </c>
      <c r="C372" s="1376" t="str">
        <f>IF(ISBLANK(D372),"",LARGE(C13:C371,1)+1)</f>
        <v/>
      </c>
      <c r="D372" s="1833"/>
      <c r="E372" s="1810"/>
      <c r="F372" s="1810"/>
      <c r="G372" s="1810"/>
      <c r="H372" s="1810"/>
      <c r="I372" s="1810"/>
      <c r="J372" s="1810"/>
      <c r="K372" s="1810"/>
      <c r="L372" s="1811"/>
      <c r="M372"/>
      <c r="N372" s="103" t="str">
        <f t="shared" si="162"/>
        <v>►</v>
      </c>
      <c r="O372" s="1616"/>
      <c r="P372"/>
      <c r="Q372" s="103" t="s">
        <v>15</v>
      </c>
      <c r="R372" s="31"/>
      <c r="S372" s="32"/>
      <c r="T372" s="31"/>
      <c r="U372" s="33"/>
      <c r="V372" s="1804"/>
      <c r="W372" s="1805"/>
      <c r="X372" s="91"/>
      <c r="Y372" s="1806"/>
      <c r="Z372" s="1807"/>
      <c r="AA372" s="919"/>
      <c r="AB372" s="1813"/>
      <c r="AC372" s="1580"/>
      <c r="AD372" s="95"/>
      <c r="AE372" s="105"/>
      <c r="AF372" s="97"/>
      <c r="AG372" s="2080"/>
      <c r="AH372" s="2081"/>
      <c r="AI372" s="99"/>
      <c r="AJ372" s="1809"/>
      <c r="AK372" s="6120" t="str">
        <f t="shared" si="176"/>
        <v>►</v>
      </c>
      <c r="AL372" s="781" t="str">
        <f t="shared" si="164"/>
        <v>►</v>
      </c>
      <c r="AM372" s="5498" t="str">
        <f t="shared" si="167"/>
        <v/>
      </c>
      <c r="AN372" s="783" t="str">
        <f t="shared" si="168"/>
        <v/>
      </c>
      <c r="AO372" s="782" t="str">
        <f t="shared" si="169"/>
        <v/>
      </c>
      <c r="AP372" s="783" t="str">
        <f t="shared" si="170"/>
        <v/>
      </c>
      <c r="AQ372" s="2083" t="b">
        <f>AND(Q372="A",COUNTIF(BP16:BR63,TRIM(Z372))&gt;0)</f>
        <v>0</v>
      </c>
      <c r="AR372" s="797" t="str">
        <f>IF(AL372&lt;&gt;"A","",IFERROR(IFERROR(_xlfn.XLOOKUP(TRIM(SUBSTITUTE(Z372,CHAR(160)," ")),BP16:BP63,BS16:BS63),IFERROR(_xlfn.XLOOKUP(TRIM(SUBSTITUTE(Z372,CHAR(160)," ")),BQ16:BQ63,BS16:BS63),_xlfn.XLOOKUP(TRIM(SUBSTITUTE(Z372,CHAR(160)," ")),BR16:BR63,BS16:BS63)))*Y372*IF(ISBLANK(V372),1,V372),0))</f>
        <v/>
      </c>
      <c r="AS372" s="784" t="str">
        <f t="shared" si="160"/>
        <v/>
      </c>
      <c r="AT372" s="1315" t="str">
        <f t="shared" si="171"/>
        <v/>
      </c>
      <c r="AU372" s="785">
        <f t="shared" si="172"/>
        <v>0</v>
      </c>
      <c r="AV372" s="785">
        <f t="shared" si="173"/>
        <v>0</v>
      </c>
      <c r="AW372" s="798">
        <f>IF(AK372="A",AY10,0)</f>
        <v>0</v>
      </c>
      <c r="AX372" s="5496" t="str">
        <f>IF(IFERROR(SEARCH("Adresse PC",TRIM(W372)),0)&gt;0,"▼ receta siguiente",IF(AK372="A",IF(AZ10&lt;&gt;"",AZ10&amp;" - ou.or.o ❾ + or - &gt;",""),""))</f>
        <v/>
      </c>
      <c r="AY372" s="810"/>
      <c r="AZ372" s="810"/>
      <c r="BA372" s="799" t="str">
        <f t="shared" si="163"/>
        <v/>
      </c>
      <c r="BB372" s="800" t="str">
        <f>IF(AK372="A",IF(AQ372,IF(AND(AW372&lt;&gt;"",N(AW372)&gt;0),IFERROR(IFERROR(_xlfn.XLOOKUP(AP372,BP10:BP57,BT10:BT57),IFERROR(_xlfn.XLOOKUP(AP372,BQ10:BQ57,BT10:BT57),_xlfn.XLOOKUP(AP372,BR10:BR57,BT10:BT57,""))),""),""),""),"")</f>
        <v/>
      </c>
      <c r="BC372" s="813" cm="1">
        <f t="array" ref="BC372">IF(NOT(AQ372),0,IF(OR(BA372="",N(BA372)&lt;=0.000000001),"",IF(OR(AU372="",N(AU372)&lt;=0.000000001),0,IF(ISNUMBER(BA372),IFERROR(_xlfn.LET(_xlpm.ai_test,TRIM(AP372),_xlpm.r,IFERROR(_xlfn.XLOOKUP(_xlpm.ai_test,BP16:BP63,ROW(BP16:BP63),0,1),IFERROR(_xlfn.XLOOKUP(_xlpm.ai_test,BQ16:BQ63,ROW(BQ16:BQ63),0,1),_xlfn.XLOOKUP(_xlpm.ai_test,BR16:BR63,ROW(BR16:BR63),0,1))),_xlpm.p,_xlpm.r-MIN(ROW(BP16:BP63))+1,_xlpm.f,INDEX(BS16:BS63,_xlpm.p),_xlpm.u,INDEX(BT16:BT63,_xlpm.p),_xlpm.s,INDEX(BV16:BV63,_xlpm.p),_xlpm.q,N(BA372)/_xlpm.f,IF(_xlpm.q&gt;=_xlpm.s,ROUND(_xlpm.q,1)&amp;" "&amp;_xlpm.ai_test&amp;" = "&amp;ROUND(_xlpm.q*_xlpm.f,1)&amp;" "&amp;_xlpm.u,ROUND(_xlpm.q,1)&amp;" "&amp;_xlpm.ai_test)),""),""))))</f>
        <v>0</v>
      </c>
      <c r="BD372" s="801"/>
      <c r="BE372" s="799" t="str">
        <f t="shared" si="174"/>
        <v/>
      </c>
      <c r="BF372" s="800" t="str">
        <f t="shared" si="177"/>
        <v/>
      </c>
      <c r="BG372" s="802">
        <f t="shared" si="178"/>
        <v>0</v>
      </c>
      <c r="BH372" s="803" t="str">
        <f t="shared" si="179"/>
        <v/>
      </c>
      <c r="BI372" s="792"/>
      <c r="BJ372" s="804">
        <f t="shared" si="180"/>
        <v>0</v>
      </c>
      <c r="BK372" s="794" t="str">
        <f t="shared" si="175"/>
        <v/>
      </c>
      <c r="BL372" s="227" t="s">
        <v>21</v>
      </c>
      <c r="BM372" s="773">
        <f t="shared" si="165"/>
        <v>0</v>
      </c>
      <c r="BN372" s="774">
        <f t="shared" si="166"/>
        <v>0</v>
      </c>
      <c r="BO372"/>
      <c r="BX372"/>
      <c r="BY372"/>
      <c r="BZ372"/>
      <c r="CA372"/>
      <c r="CB372"/>
      <c r="CC372"/>
      <c r="CD372" s="781" t="str">
        <f t="shared" si="161"/>
        <v>►</v>
      </c>
      <c r="CE372" s="633"/>
      <c r="CF372" s="633"/>
      <c r="CG372" s="633"/>
      <c r="CH372" s="633"/>
      <c r="CI372" s="633"/>
      <c r="CJ372" s="227"/>
      <c r="CK372"/>
      <c r="CL372"/>
      <c r="CM372"/>
      <c r="CN372"/>
      <c r="CO372"/>
      <c r="CP372"/>
      <c r="CQ372"/>
      <c r="CR372" s="227"/>
      <c r="CS372"/>
      <c r="CT372"/>
      <c r="CU372"/>
      <c r="CV372"/>
      <c r="CW372"/>
      <c r="CX372"/>
      <c r="CY372"/>
      <c r="CZ372" s="227"/>
      <c r="DA372"/>
      <c r="DB372"/>
      <c r="DC372"/>
      <c r="DD372"/>
      <c r="DE372"/>
      <c r="DF372"/>
      <c r="DG372"/>
      <c r="DH372" s="227"/>
      <c r="DI372" s="3">
        <v>1</v>
      </c>
    </row>
    <row r="373" spans="2:113" s="627" customFormat="1" ht="21" customHeight="1">
      <c r="B373" s="2265" t="str" cm="1">
        <f t="array" ref="B373">SUMPRODUCT(--(D373:J373&lt;&gt;""), LEN(TRIM(SUBSTITUTE(D373:J373, CHAR(160), "")))) &amp; " Car."</f>
        <v>0 Car.</v>
      </c>
      <c r="C373" s="1376" t="str">
        <f>IF(ISBLANK(D373),"",LARGE(C13:C372,1)+1)</f>
        <v/>
      </c>
      <c r="D373" s="1833"/>
      <c r="E373" s="1810"/>
      <c r="F373" s="1810"/>
      <c r="G373" s="1810"/>
      <c r="H373" s="1810"/>
      <c r="I373" s="1810"/>
      <c r="J373" s="1810"/>
      <c r="K373" s="1810"/>
      <c r="L373" s="1811"/>
      <c r="M373"/>
      <c r="N373" s="103" t="str">
        <f t="shared" si="162"/>
        <v>►</v>
      </c>
      <c r="O373" s="1616"/>
      <c r="P373"/>
      <c r="Q373" s="103" t="s">
        <v>15</v>
      </c>
      <c r="R373" s="31"/>
      <c r="S373" s="32"/>
      <c r="T373" s="31"/>
      <c r="U373" s="33"/>
      <c r="V373" s="1804"/>
      <c r="W373" s="1805"/>
      <c r="X373" s="91"/>
      <c r="Y373" s="1806"/>
      <c r="Z373" s="1807"/>
      <c r="AA373" s="919"/>
      <c r="AB373" s="1813"/>
      <c r="AC373" s="1580"/>
      <c r="AD373" s="95"/>
      <c r="AE373" s="105"/>
      <c r="AF373" s="97"/>
      <c r="AG373" s="2080"/>
      <c r="AH373" s="2081"/>
      <c r="AI373" s="99"/>
      <c r="AJ373" s="1809"/>
      <c r="AK373" s="6120" t="str">
        <f t="shared" si="176"/>
        <v>►</v>
      </c>
      <c r="AL373" s="781" t="str">
        <f t="shared" si="164"/>
        <v>►</v>
      </c>
      <c r="AM373" s="5499" t="str">
        <f t="shared" si="167"/>
        <v/>
      </c>
      <c r="AN373" s="783" t="str">
        <f t="shared" si="168"/>
        <v/>
      </c>
      <c r="AO373" s="782" t="str">
        <f t="shared" si="169"/>
        <v/>
      </c>
      <c r="AP373" s="783" t="str">
        <f t="shared" si="170"/>
        <v/>
      </c>
      <c r="AQ373" s="2083" t="b">
        <f>AND(Q373="A",COUNTIF(BP16:BR63,TRIM(Z373))&gt;0)</f>
        <v>0</v>
      </c>
      <c r="AR373" s="797" t="str">
        <f>IF(AL373&lt;&gt;"A","",IFERROR(IFERROR(_xlfn.XLOOKUP(TRIM(SUBSTITUTE(Z373,CHAR(160)," ")),BP16:BP63,BS16:BS63),IFERROR(_xlfn.XLOOKUP(TRIM(SUBSTITUTE(Z373,CHAR(160)," ")),BQ16:BQ63,BS16:BS63),_xlfn.XLOOKUP(TRIM(SUBSTITUTE(Z373,CHAR(160)," ")),BR16:BR63,BS16:BS63)))*Y373*IF(ISBLANK(V373),1,V373),0))</f>
        <v/>
      </c>
      <c r="AS373" s="784" t="str">
        <f t="shared" si="160"/>
        <v/>
      </c>
      <c r="AT373" s="1315" t="str">
        <f t="shared" si="171"/>
        <v/>
      </c>
      <c r="AU373" s="785">
        <f t="shared" si="172"/>
        <v>0</v>
      </c>
      <c r="AV373" s="785">
        <f t="shared" si="173"/>
        <v>0</v>
      </c>
      <c r="AW373" s="786">
        <f>IF(AK373="A",AY10,0)</f>
        <v>0</v>
      </c>
      <c r="AX373" s="5495" t="str">
        <f>IF(IFERROR(SEARCH("Adresse PC",TRIM(W373)),0)&gt;0,"▼ receta siguiente",IF(AK373="A",IF(AZ10&lt;&gt;"",AZ10&amp;" - ou.or.o ❾ + or - &gt;",""),""))</f>
        <v/>
      </c>
      <c r="AY373" s="810"/>
      <c r="AZ373" s="810"/>
      <c r="BA373" s="788" t="str">
        <f t="shared" si="163"/>
        <v/>
      </c>
      <c r="BB373" s="789" t="str">
        <f>IF(AK373="A",IF(AQ373,IF(AND(AW373&lt;&gt;"",N(AW373)&gt;0),IFERROR(IFERROR(_xlfn.XLOOKUP(AP373,BP10:BP57,BT10:BT57),IFERROR(_xlfn.XLOOKUP(AP373,BQ10:BQ57,BT10:BT57),_xlfn.XLOOKUP(AP373,BR10:BR57,BT10:BT57,""))),""),""),""),"")</f>
        <v/>
      </c>
      <c r="BC373" s="811" cm="1">
        <f t="array" ref="BC373">IF(NOT(AQ373),0,IF(OR(BA373="",N(BA373)&lt;=0.000000001),"",IF(OR(AU373="",N(AU373)&lt;=0.000000001),0,IF(ISNUMBER(BA373),IFERROR(_xlfn.LET(_xlpm.ai_test,TRIM(AP373),_xlpm.r,IFERROR(_xlfn.XLOOKUP(_xlpm.ai_test,BP16:BP63,ROW(BP16:BP63),0,1),IFERROR(_xlfn.XLOOKUP(_xlpm.ai_test,BQ16:BQ63,ROW(BQ16:BQ63),0,1),_xlfn.XLOOKUP(_xlpm.ai_test,BR16:BR63,ROW(BR16:BR63),0,1))),_xlpm.p,_xlpm.r-MIN(ROW(BP16:BP63))+1,_xlpm.f,INDEX(BS16:BS63,_xlpm.p),_xlpm.u,INDEX(BT16:BT63,_xlpm.p),_xlpm.s,INDEX(BV16:BV63,_xlpm.p),_xlpm.q,N(BA373)/_xlpm.f,IF(_xlpm.q&gt;=_xlpm.s,ROUND(_xlpm.q,1)&amp;" "&amp;_xlpm.ai_test&amp;" = "&amp;ROUND(_xlpm.q*_xlpm.f,1)&amp;" "&amp;_xlpm.u,ROUND(_xlpm.q,1)&amp;" "&amp;_xlpm.ai_test)),""),""))))</f>
        <v>0</v>
      </c>
      <c r="BD373" s="801"/>
      <c r="BE373" s="788" t="str">
        <f t="shared" si="174"/>
        <v/>
      </c>
      <c r="BF373" s="789" t="str">
        <f t="shared" si="177"/>
        <v/>
      </c>
      <c r="BG373" s="790">
        <f t="shared" si="178"/>
        <v>0</v>
      </c>
      <c r="BH373" s="791" t="str">
        <f t="shared" si="179"/>
        <v/>
      </c>
      <c r="BI373" s="792"/>
      <c r="BJ373" s="793">
        <f t="shared" si="180"/>
        <v>0</v>
      </c>
      <c r="BK373" s="794" t="str">
        <f t="shared" si="175"/>
        <v/>
      </c>
      <c r="BL373" s="227" t="s">
        <v>21</v>
      </c>
      <c r="BM373" s="773">
        <f t="shared" si="165"/>
        <v>0</v>
      </c>
      <c r="BN373" s="774">
        <f t="shared" si="166"/>
        <v>0</v>
      </c>
      <c r="BO373"/>
      <c r="BX373"/>
      <c r="BY373"/>
      <c r="BZ373"/>
      <c r="CA373"/>
      <c r="CB373"/>
      <c r="CC373"/>
      <c r="CD373" s="781" t="str">
        <f t="shared" si="161"/>
        <v>►</v>
      </c>
      <c r="CE373" s="633"/>
      <c r="CF373" s="633"/>
      <c r="CG373" s="633"/>
      <c r="CH373" s="633"/>
      <c r="CI373" s="633"/>
      <c r="CJ373" s="227"/>
      <c r="CK373"/>
      <c r="CL373"/>
      <c r="CM373"/>
      <c r="CN373"/>
      <c r="CO373"/>
      <c r="CP373"/>
      <c r="CQ373"/>
      <c r="CR373" s="227"/>
      <c r="CS373"/>
      <c r="CT373"/>
      <c r="CU373"/>
      <c r="CV373"/>
      <c r="CW373"/>
      <c r="CX373"/>
      <c r="CY373"/>
      <c r="CZ373" s="227"/>
      <c r="DA373"/>
      <c r="DB373"/>
      <c r="DC373"/>
      <c r="DD373"/>
      <c r="DE373"/>
      <c r="DF373"/>
      <c r="DG373"/>
      <c r="DH373" s="227"/>
      <c r="DI373" s="3">
        <v>1</v>
      </c>
    </row>
    <row r="374" spans="2:113" s="627" customFormat="1" ht="21" customHeight="1">
      <c r="B374" s="2265" t="str" cm="1">
        <f t="array" ref="B374">SUMPRODUCT(--(D374:J374&lt;&gt;""), LEN(TRIM(SUBSTITUTE(D374:J374, CHAR(160), "")))) &amp; " Car."</f>
        <v>0 Car.</v>
      </c>
      <c r="C374" s="1376" t="str">
        <f>IF(ISBLANK(D374),"",LARGE(C13:C373,1)+1)</f>
        <v/>
      </c>
      <c r="D374" s="1833"/>
      <c r="E374" s="1810"/>
      <c r="F374" s="1810"/>
      <c r="G374" s="1810"/>
      <c r="H374" s="1810"/>
      <c r="I374" s="1810"/>
      <c r="J374" s="1810"/>
      <c r="K374" s="1810"/>
      <c r="L374" s="1811"/>
      <c r="M374"/>
      <c r="N374" s="103" t="str">
        <f t="shared" si="162"/>
        <v>►</v>
      </c>
      <c r="O374" s="1616"/>
      <c r="P374"/>
      <c r="Q374" s="103" t="s">
        <v>15</v>
      </c>
      <c r="R374" s="31"/>
      <c r="S374" s="32"/>
      <c r="T374" s="31"/>
      <c r="U374" s="33"/>
      <c r="V374" s="1804"/>
      <c r="W374" s="1805"/>
      <c r="X374" s="91"/>
      <c r="Y374" s="1806"/>
      <c r="Z374" s="1807"/>
      <c r="AA374" s="919"/>
      <c r="AB374" s="1813"/>
      <c r="AC374" s="1580"/>
      <c r="AD374" s="95"/>
      <c r="AE374" s="105"/>
      <c r="AF374" s="97"/>
      <c r="AG374" s="2080"/>
      <c r="AH374" s="2081"/>
      <c r="AI374" s="99"/>
      <c r="AJ374" s="1809"/>
      <c r="AK374" s="6120" t="str">
        <f t="shared" si="176"/>
        <v>►</v>
      </c>
      <c r="AL374" s="781" t="str">
        <f t="shared" si="164"/>
        <v>►</v>
      </c>
      <c r="AM374" s="5498" t="str">
        <f t="shared" si="167"/>
        <v/>
      </c>
      <c r="AN374" s="783" t="str">
        <f t="shared" si="168"/>
        <v/>
      </c>
      <c r="AO374" s="782" t="str">
        <f t="shared" si="169"/>
        <v/>
      </c>
      <c r="AP374" s="783" t="str">
        <f t="shared" si="170"/>
        <v/>
      </c>
      <c r="AQ374" s="2083" t="b">
        <f>AND(Q374="A",COUNTIF(BP16:BR63,TRIM(Z374))&gt;0)</f>
        <v>0</v>
      </c>
      <c r="AR374" s="797" t="str">
        <f>IF(AL374&lt;&gt;"A","",IFERROR(IFERROR(_xlfn.XLOOKUP(TRIM(SUBSTITUTE(Z374,CHAR(160)," ")),BP16:BP63,BS16:BS63),IFERROR(_xlfn.XLOOKUP(TRIM(SUBSTITUTE(Z374,CHAR(160)," ")),BQ16:BQ63,BS16:BS63),_xlfn.XLOOKUP(TRIM(SUBSTITUTE(Z374,CHAR(160)," ")),BR16:BR63,BS16:BS63)))*Y374*IF(ISBLANK(V374),1,V374),0))</f>
        <v/>
      </c>
      <c r="AS374" s="784" t="str">
        <f t="shared" si="160"/>
        <v/>
      </c>
      <c r="AT374" s="1315" t="str">
        <f t="shared" si="171"/>
        <v/>
      </c>
      <c r="AU374" s="785">
        <f t="shared" si="172"/>
        <v>0</v>
      </c>
      <c r="AV374" s="785">
        <f t="shared" si="173"/>
        <v>0</v>
      </c>
      <c r="AW374" s="798">
        <f>IF(AK374="A",AY10,0)</f>
        <v>0</v>
      </c>
      <c r="AX374" s="5496" t="str">
        <f>IF(IFERROR(SEARCH("Adresse PC",TRIM(W374)),0)&gt;0,"▼ receta siguiente",IF(AK374="A",IF(AZ10&lt;&gt;"",AZ10&amp;" - ou.or.o ❾ + or - &gt;",""),""))</f>
        <v/>
      </c>
      <c r="AY374" s="810"/>
      <c r="AZ374" s="810"/>
      <c r="BA374" s="799" t="str">
        <f t="shared" si="163"/>
        <v/>
      </c>
      <c r="BB374" s="800" t="str">
        <f>IF(AK374="A",IF(AQ374,IF(AND(AW374&lt;&gt;"",N(AW374)&gt;0),IFERROR(IFERROR(_xlfn.XLOOKUP(AP374,BP10:BP57,BT10:BT57),IFERROR(_xlfn.XLOOKUP(AP374,BQ10:BQ57,BT10:BT57),_xlfn.XLOOKUP(AP374,BR10:BR57,BT10:BT57,""))),""),""),""),"")</f>
        <v/>
      </c>
      <c r="BC374" s="813" cm="1">
        <f t="array" ref="BC374">IF(NOT(AQ374),0,IF(OR(BA374="",N(BA374)&lt;=0.000000001),"",IF(OR(AU374="",N(AU374)&lt;=0.000000001),0,IF(ISNUMBER(BA374),IFERROR(_xlfn.LET(_xlpm.ai_test,TRIM(AP374),_xlpm.r,IFERROR(_xlfn.XLOOKUP(_xlpm.ai_test,BP16:BP63,ROW(BP16:BP63),0,1),IFERROR(_xlfn.XLOOKUP(_xlpm.ai_test,BQ16:BQ63,ROW(BQ16:BQ63),0,1),_xlfn.XLOOKUP(_xlpm.ai_test,BR16:BR63,ROW(BR16:BR63),0,1))),_xlpm.p,_xlpm.r-MIN(ROW(BP16:BP63))+1,_xlpm.f,INDEX(BS16:BS63,_xlpm.p),_xlpm.u,INDEX(BT16:BT63,_xlpm.p),_xlpm.s,INDEX(BV16:BV63,_xlpm.p),_xlpm.q,N(BA374)/_xlpm.f,IF(_xlpm.q&gt;=_xlpm.s,ROUND(_xlpm.q,1)&amp;" "&amp;_xlpm.ai_test&amp;" = "&amp;ROUND(_xlpm.q*_xlpm.f,1)&amp;" "&amp;_xlpm.u,ROUND(_xlpm.q,1)&amp;" "&amp;_xlpm.ai_test)),""),""))))</f>
        <v>0</v>
      </c>
      <c r="BD374" s="801"/>
      <c r="BE374" s="799" t="str">
        <f t="shared" si="174"/>
        <v/>
      </c>
      <c r="BF374" s="800" t="str">
        <f t="shared" si="177"/>
        <v/>
      </c>
      <c r="BG374" s="802">
        <f t="shared" si="178"/>
        <v>0</v>
      </c>
      <c r="BH374" s="803" t="str">
        <f t="shared" si="179"/>
        <v/>
      </c>
      <c r="BI374" s="792"/>
      <c r="BJ374" s="804">
        <f t="shared" si="180"/>
        <v>0</v>
      </c>
      <c r="BK374" s="794" t="str">
        <f t="shared" si="175"/>
        <v/>
      </c>
      <c r="BL374" s="227" t="s">
        <v>21</v>
      </c>
      <c r="BM374" s="773">
        <f t="shared" si="165"/>
        <v>0</v>
      </c>
      <c r="BN374" s="774">
        <f t="shared" si="166"/>
        <v>0</v>
      </c>
      <c r="BO374"/>
      <c r="BX374"/>
      <c r="BY374"/>
      <c r="BZ374"/>
      <c r="CA374"/>
      <c r="CB374"/>
      <c r="CC374"/>
      <c r="CD374" s="781" t="str">
        <f t="shared" si="161"/>
        <v>►</v>
      </c>
      <c r="CE374" s="633"/>
      <c r="CF374" s="633"/>
      <c r="CG374" s="633"/>
      <c r="CH374" s="633"/>
      <c r="CI374" s="633"/>
      <c r="CJ374" s="227"/>
      <c r="CK374"/>
      <c r="CL374"/>
      <c r="CM374"/>
      <c r="CN374"/>
      <c r="CO374"/>
      <c r="CP374"/>
      <c r="CQ374"/>
      <c r="CR374" s="227"/>
      <c r="CS374"/>
      <c r="CT374"/>
      <c r="CU374"/>
      <c r="CV374"/>
      <c r="CW374"/>
      <c r="CX374"/>
      <c r="CY374"/>
      <c r="CZ374" s="227"/>
      <c r="DA374"/>
      <c r="DB374"/>
      <c r="DC374"/>
      <c r="DD374"/>
      <c r="DE374"/>
      <c r="DF374"/>
      <c r="DG374"/>
      <c r="DH374" s="227"/>
      <c r="DI374" s="3">
        <v>1</v>
      </c>
    </row>
    <row r="375" spans="2:113" s="627" customFormat="1" ht="21" customHeight="1">
      <c r="B375" s="2265" t="str" cm="1">
        <f t="array" ref="B375">SUMPRODUCT(--(D375:J375&lt;&gt;""), LEN(TRIM(SUBSTITUTE(D375:J375, CHAR(160), "")))) &amp; " Car."</f>
        <v>0 Car.</v>
      </c>
      <c r="C375" s="1376" t="str">
        <f>IF(ISBLANK(D375),"",LARGE(C13:C374,1)+1)</f>
        <v/>
      </c>
      <c r="D375" s="1833"/>
      <c r="E375" s="1810"/>
      <c r="F375" s="1810"/>
      <c r="G375" s="1810"/>
      <c r="H375" s="1810"/>
      <c r="I375" s="1810"/>
      <c r="J375" s="1810"/>
      <c r="K375" s="1810"/>
      <c r="L375" s="1811"/>
      <c r="M375"/>
      <c r="N375" s="103" t="str">
        <f t="shared" si="162"/>
        <v>►</v>
      </c>
      <c r="O375" s="1616"/>
      <c r="P375"/>
      <c r="Q375" s="103" t="s">
        <v>15</v>
      </c>
      <c r="R375" s="31"/>
      <c r="S375" s="32"/>
      <c r="T375" s="31"/>
      <c r="U375" s="33"/>
      <c r="V375" s="1804"/>
      <c r="W375" s="1805"/>
      <c r="X375" s="91"/>
      <c r="Y375" s="1806"/>
      <c r="Z375" s="1807"/>
      <c r="AA375" s="919"/>
      <c r="AB375" s="1813"/>
      <c r="AC375" s="1580"/>
      <c r="AD375" s="95"/>
      <c r="AE375" s="105"/>
      <c r="AF375" s="97"/>
      <c r="AG375" s="2080"/>
      <c r="AH375" s="2081"/>
      <c r="AI375" s="99"/>
      <c r="AJ375" s="1809"/>
      <c r="AK375" s="6120" t="str">
        <f t="shared" si="176"/>
        <v>►</v>
      </c>
      <c r="AL375" s="781" t="str">
        <f t="shared" si="164"/>
        <v>►</v>
      </c>
      <c r="AM375" s="5499" t="str">
        <f t="shared" si="167"/>
        <v/>
      </c>
      <c r="AN375" s="783" t="str">
        <f t="shared" si="168"/>
        <v/>
      </c>
      <c r="AO375" s="782" t="str">
        <f t="shared" si="169"/>
        <v/>
      </c>
      <c r="AP375" s="783" t="str">
        <f t="shared" si="170"/>
        <v/>
      </c>
      <c r="AQ375" s="2083" t="b">
        <f>AND(Q375="A",COUNTIF(BP16:BR63,TRIM(Z375))&gt;0)</f>
        <v>0</v>
      </c>
      <c r="AR375" s="797" t="str">
        <f>IF(AL375&lt;&gt;"A","",IFERROR(IFERROR(_xlfn.XLOOKUP(TRIM(SUBSTITUTE(Z375,CHAR(160)," ")),BP16:BP63,BS16:BS63),IFERROR(_xlfn.XLOOKUP(TRIM(SUBSTITUTE(Z375,CHAR(160)," ")),BQ16:BQ63,BS16:BS63),_xlfn.XLOOKUP(TRIM(SUBSTITUTE(Z375,CHAR(160)," ")),BR16:BR63,BS16:BS63)))*Y375*IF(ISBLANK(V375),1,V375),0))</f>
        <v/>
      </c>
      <c r="AS375" s="784" t="str">
        <f t="shared" si="160"/>
        <v/>
      </c>
      <c r="AT375" s="1315" t="str">
        <f t="shared" si="171"/>
        <v/>
      </c>
      <c r="AU375" s="785">
        <f t="shared" si="172"/>
        <v>0</v>
      </c>
      <c r="AV375" s="785">
        <f t="shared" si="173"/>
        <v>0</v>
      </c>
      <c r="AW375" s="786">
        <f>IF(AK375="A",AY10,0)</f>
        <v>0</v>
      </c>
      <c r="AX375" s="5495" t="str">
        <f>IF(IFERROR(SEARCH("Adresse PC",TRIM(W375)),0)&gt;0,"▼ receta siguiente",IF(AK375="A",IF(AZ10&lt;&gt;"",AZ10&amp;" - ou.or.o ❾ + or - &gt;",""),""))</f>
        <v/>
      </c>
      <c r="AY375" s="810"/>
      <c r="AZ375" s="810"/>
      <c r="BA375" s="788" t="str">
        <f t="shared" si="163"/>
        <v/>
      </c>
      <c r="BB375" s="789" t="str">
        <f>IF(AK375="A",IF(AQ375,IF(AND(AW375&lt;&gt;"",N(AW375)&gt;0),IFERROR(IFERROR(_xlfn.XLOOKUP(AP375,BP10:BP57,BT10:BT57),IFERROR(_xlfn.XLOOKUP(AP375,BQ10:BQ57,BT10:BT57),_xlfn.XLOOKUP(AP375,BR10:BR57,BT10:BT57,""))),""),""),""),"")</f>
        <v/>
      </c>
      <c r="BC375" s="811" cm="1">
        <f t="array" ref="BC375">IF(NOT(AQ375),0,IF(OR(BA375="",N(BA375)&lt;=0.000000001),"",IF(OR(AU375="",N(AU375)&lt;=0.000000001),0,IF(ISNUMBER(BA375),IFERROR(_xlfn.LET(_xlpm.ai_test,TRIM(AP375),_xlpm.r,IFERROR(_xlfn.XLOOKUP(_xlpm.ai_test,BP16:BP63,ROW(BP16:BP63),0,1),IFERROR(_xlfn.XLOOKUP(_xlpm.ai_test,BQ16:BQ63,ROW(BQ16:BQ63),0,1),_xlfn.XLOOKUP(_xlpm.ai_test,BR16:BR63,ROW(BR16:BR63),0,1))),_xlpm.p,_xlpm.r-MIN(ROW(BP16:BP63))+1,_xlpm.f,INDEX(BS16:BS63,_xlpm.p),_xlpm.u,INDEX(BT16:BT63,_xlpm.p),_xlpm.s,INDEX(BV16:BV63,_xlpm.p),_xlpm.q,N(BA375)/_xlpm.f,IF(_xlpm.q&gt;=_xlpm.s,ROUND(_xlpm.q,1)&amp;" "&amp;_xlpm.ai_test&amp;" = "&amp;ROUND(_xlpm.q*_xlpm.f,1)&amp;" "&amp;_xlpm.u,ROUND(_xlpm.q,1)&amp;" "&amp;_xlpm.ai_test)),""),""))))</f>
        <v>0</v>
      </c>
      <c r="BD375" s="801"/>
      <c r="BE375" s="788" t="str">
        <f t="shared" si="174"/>
        <v/>
      </c>
      <c r="BF375" s="789" t="str">
        <f t="shared" si="177"/>
        <v/>
      </c>
      <c r="BG375" s="790">
        <f t="shared" si="178"/>
        <v>0</v>
      </c>
      <c r="BH375" s="791" t="str">
        <f t="shared" si="179"/>
        <v/>
      </c>
      <c r="BI375" s="792"/>
      <c r="BJ375" s="793">
        <f t="shared" si="180"/>
        <v>0</v>
      </c>
      <c r="BK375" s="794" t="str">
        <f t="shared" si="175"/>
        <v/>
      </c>
      <c r="BL375" s="227" t="s">
        <v>21</v>
      </c>
      <c r="BM375" s="773">
        <f t="shared" si="165"/>
        <v>0</v>
      </c>
      <c r="BN375" s="774">
        <f t="shared" si="166"/>
        <v>0</v>
      </c>
      <c r="BO375"/>
      <c r="BX375"/>
      <c r="BY375"/>
      <c r="BZ375"/>
      <c r="CA375"/>
      <c r="CB375"/>
      <c r="CC375"/>
      <c r="CD375" s="781" t="str">
        <f t="shared" si="161"/>
        <v>►</v>
      </c>
      <c r="CE375" s="633"/>
      <c r="CF375" s="633"/>
      <c r="CG375" s="633"/>
      <c r="CH375" s="633"/>
      <c r="CI375" s="633"/>
      <c r="CJ375" s="227"/>
      <c r="CK375"/>
      <c r="CL375"/>
      <c r="CM375"/>
      <c r="CN375"/>
      <c r="CO375"/>
      <c r="CP375"/>
      <c r="CQ375"/>
      <c r="CR375" s="227"/>
      <c r="CS375"/>
      <c r="CT375"/>
      <c r="CU375"/>
      <c r="CV375"/>
      <c r="CW375"/>
      <c r="CX375"/>
      <c r="CY375"/>
      <c r="CZ375" s="227"/>
      <c r="DA375"/>
      <c r="DB375"/>
      <c r="DC375"/>
      <c r="DD375"/>
      <c r="DE375"/>
      <c r="DF375"/>
      <c r="DG375"/>
      <c r="DH375" s="227"/>
      <c r="DI375" s="3">
        <v>1</v>
      </c>
    </row>
    <row r="376" spans="2:113" s="627" customFormat="1" ht="21" customHeight="1">
      <c r="B376" s="2265" t="str" cm="1">
        <f t="array" ref="B376">SUMPRODUCT(--(D376:J376&lt;&gt;""), LEN(TRIM(SUBSTITUTE(D376:J376, CHAR(160), "")))) &amp; " Car."</f>
        <v>0 Car.</v>
      </c>
      <c r="C376" s="1376" t="str">
        <f>IF(ISBLANK(D376),"",LARGE(C13:C375,1)+1)</f>
        <v/>
      </c>
      <c r="D376" s="1833"/>
      <c r="E376" s="1810"/>
      <c r="F376" s="1810"/>
      <c r="G376" s="1810"/>
      <c r="H376" s="1810"/>
      <c r="I376" s="1810"/>
      <c r="J376" s="1810"/>
      <c r="K376" s="1810"/>
      <c r="L376" s="1811"/>
      <c r="M376"/>
      <c r="N376" s="103" t="str">
        <f t="shared" si="162"/>
        <v>►</v>
      </c>
      <c r="O376" s="1616"/>
      <c r="P376"/>
      <c r="Q376" s="103" t="s">
        <v>15</v>
      </c>
      <c r="R376" s="31"/>
      <c r="S376" s="32"/>
      <c r="T376" s="31"/>
      <c r="U376" s="33"/>
      <c r="V376" s="1804"/>
      <c r="W376" s="1805"/>
      <c r="X376" s="91"/>
      <c r="Y376" s="1806"/>
      <c r="Z376" s="1807"/>
      <c r="AA376" s="919"/>
      <c r="AB376" s="1813"/>
      <c r="AC376" s="1580"/>
      <c r="AD376" s="95"/>
      <c r="AE376" s="105"/>
      <c r="AF376" s="97"/>
      <c r="AG376" s="2080"/>
      <c r="AH376" s="2081"/>
      <c r="AI376" s="99"/>
      <c r="AJ376" s="1809"/>
      <c r="AK376" s="6120" t="str">
        <f t="shared" si="176"/>
        <v>►</v>
      </c>
      <c r="AL376" s="781" t="str">
        <f t="shared" si="164"/>
        <v>►</v>
      </c>
      <c r="AM376" s="5498" t="str">
        <f t="shared" si="167"/>
        <v/>
      </c>
      <c r="AN376" s="783" t="str">
        <f t="shared" si="168"/>
        <v/>
      </c>
      <c r="AO376" s="782" t="str">
        <f t="shared" si="169"/>
        <v/>
      </c>
      <c r="AP376" s="783" t="str">
        <f t="shared" si="170"/>
        <v/>
      </c>
      <c r="AQ376" s="2083" t="b">
        <f>AND(Q376="A",COUNTIF(BP16:BR63,TRIM(Z376))&gt;0)</f>
        <v>0</v>
      </c>
      <c r="AR376" s="797" t="str">
        <f>IF(AL376&lt;&gt;"A","",IFERROR(IFERROR(_xlfn.XLOOKUP(TRIM(SUBSTITUTE(Z376,CHAR(160)," ")),BP16:BP63,BS16:BS63),IFERROR(_xlfn.XLOOKUP(TRIM(SUBSTITUTE(Z376,CHAR(160)," ")),BQ16:BQ63,BS16:BS63),_xlfn.XLOOKUP(TRIM(SUBSTITUTE(Z376,CHAR(160)," ")),BR16:BR63,BS16:BS63)))*Y376*IF(ISBLANK(V376),1,V376),0))</f>
        <v/>
      </c>
      <c r="AS376" s="784" t="str">
        <f t="shared" si="160"/>
        <v/>
      </c>
      <c r="AT376" s="1315" t="str">
        <f t="shared" si="171"/>
        <v/>
      </c>
      <c r="AU376" s="785">
        <f t="shared" si="172"/>
        <v>0</v>
      </c>
      <c r="AV376" s="785">
        <f t="shared" si="173"/>
        <v>0</v>
      </c>
      <c r="AW376" s="798">
        <f>IF(AK376="A",AY10,0)</f>
        <v>0</v>
      </c>
      <c r="AX376" s="5496" t="str">
        <f>IF(IFERROR(SEARCH("Adresse PC",TRIM(W376)),0)&gt;0,"▼ receta siguiente",IF(AK376="A",IF(AZ10&lt;&gt;"",AZ10&amp;" - ou.or.o ❾ + or - &gt;",""),""))</f>
        <v/>
      </c>
      <c r="AY376" s="810"/>
      <c r="AZ376" s="810"/>
      <c r="BA376" s="799" t="str">
        <f t="shared" si="163"/>
        <v/>
      </c>
      <c r="BB376" s="800" t="str">
        <f>IF(AK376="A",IF(AQ376,IF(AND(AW376&lt;&gt;"",N(AW376)&gt;0),IFERROR(IFERROR(_xlfn.XLOOKUP(AP376,BP10:BP57,BT10:BT57),IFERROR(_xlfn.XLOOKUP(AP376,BQ10:BQ57,BT10:BT57),_xlfn.XLOOKUP(AP376,BR10:BR57,BT10:BT57,""))),""),""),""),"")</f>
        <v/>
      </c>
      <c r="BC376" s="813" cm="1">
        <f t="array" ref="BC376">IF(NOT(AQ376),0,IF(OR(BA376="",N(BA376)&lt;=0.000000001),"",IF(OR(AU376="",N(AU376)&lt;=0.000000001),0,IF(ISNUMBER(BA376),IFERROR(_xlfn.LET(_xlpm.ai_test,TRIM(AP376),_xlpm.r,IFERROR(_xlfn.XLOOKUP(_xlpm.ai_test,BP16:BP63,ROW(BP16:BP63),0,1),IFERROR(_xlfn.XLOOKUP(_xlpm.ai_test,BQ16:BQ63,ROW(BQ16:BQ63),0,1),_xlfn.XLOOKUP(_xlpm.ai_test,BR16:BR63,ROW(BR16:BR63),0,1))),_xlpm.p,_xlpm.r-MIN(ROW(BP16:BP63))+1,_xlpm.f,INDEX(BS16:BS63,_xlpm.p),_xlpm.u,INDEX(BT16:BT63,_xlpm.p),_xlpm.s,INDEX(BV16:BV63,_xlpm.p),_xlpm.q,N(BA376)/_xlpm.f,IF(_xlpm.q&gt;=_xlpm.s,ROUND(_xlpm.q,1)&amp;" "&amp;_xlpm.ai_test&amp;" = "&amp;ROUND(_xlpm.q*_xlpm.f,1)&amp;" "&amp;_xlpm.u,ROUND(_xlpm.q,1)&amp;" "&amp;_xlpm.ai_test)),""),""))))</f>
        <v>0</v>
      </c>
      <c r="BD376" s="801"/>
      <c r="BE376" s="799" t="str">
        <f t="shared" si="174"/>
        <v/>
      </c>
      <c r="BF376" s="800" t="str">
        <f t="shared" si="177"/>
        <v/>
      </c>
      <c r="BG376" s="802">
        <f t="shared" si="178"/>
        <v>0</v>
      </c>
      <c r="BH376" s="803" t="str">
        <f t="shared" si="179"/>
        <v/>
      </c>
      <c r="BI376" s="792"/>
      <c r="BJ376" s="804">
        <f t="shared" si="180"/>
        <v>0</v>
      </c>
      <c r="BK376" s="794" t="str">
        <f t="shared" si="175"/>
        <v/>
      </c>
      <c r="BL376" s="227" t="s">
        <v>21</v>
      </c>
      <c r="BM376" s="773">
        <f t="shared" si="165"/>
        <v>0</v>
      </c>
      <c r="BN376" s="774">
        <f t="shared" si="166"/>
        <v>0</v>
      </c>
      <c r="BO376"/>
      <c r="BX376"/>
      <c r="BY376"/>
      <c r="BZ376"/>
      <c r="CA376"/>
      <c r="CB376"/>
      <c r="CC376"/>
      <c r="CD376" s="781" t="str">
        <f t="shared" si="161"/>
        <v>►</v>
      </c>
      <c r="CE376" s="633"/>
      <c r="CF376" s="633"/>
      <c r="CG376" s="633"/>
      <c r="CH376" s="633"/>
      <c r="CI376" s="633"/>
      <c r="CJ376" s="227"/>
      <c r="CK376"/>
      <c r="CL376"/>
      <c r="CM376"/>
      <c r="CN376"/>
      <c r="CO376"/>
      <c r="CP376"/>
      <c r="CQ376"/>
      <c r="CR376" s="227"/>
      <c r="CS376"/>
      <c r="CT376"/>
      <c r="CU376"/>
      <c r="CV376"/>
      <c r="CW376"/>
      <c r="CX376"/>
      <c r="CY376"/>
      <c r="CZ376" s="227"/>
      <c r="DA376"/>
      <c r="DB376"/>
      <c r="DC376"/>
      <c r="DD376"/>
      <c r="DE376"/>
      <c r="DF376"/>
      <c r="DG376"/>
      <c r="DH376" s="227"/>
      <c r="DI376" s="3">
        <v>1</v>
      </c>
    </row>
    <row r="377" spans="2:113" s="627" customFormat="1" ht="21" customHeight="1">
      <c r="B377" s="2265" t="str" cm="1">
        <f t="array" ref="B377">SUMPRODUCT(--(D377:J377&lt;&gt;""), LEN(TRIM(SUBSTITUTE(D377:J377, CHAR(160), "")))) &amp; " Car."</f>
        <v>0 Car.</v>
      </c>
      <c r="C377" s="1376" t="str">
        <f>IF(ISBLANK(D377),"",LARGE(C13:C376,1)+1)</f>
        <v/>
      </c>
      <c r="D377" s="1833"/>
      <c r="E377" s="1810"/>
      <c r="F377" s="1810"/>
      <c r="G377" s="1810"/>
      <c r="H377" s="1810"/>
      <c r="I377" s="1810"/>
      <c r="J377" s="1810"/>
      <c r="K377" s="1810"/>
      <c r="L377" s="1811"/>
      <c r="M377"/>
      <c r="N377" s="103" t="str">
        <f t="shared" si="162"/>
        <v>►</v>
      </c>
      <c r="O377" s="1616"/>
      <c r="P377"/>
      <c r="Q377" s="103" t="s">
        <v>15</v>
      </c>
      <c r="R377" s="31"/>
      <c r="S377" s="32"/>
      <c r="T377" s="31"/>
      <c r="U377" s="33"/>
      <c r="V377" s="1804"/>
      <c r="W377" s="1805"/>
      <c r="X377" s="91"/>
      <c r="Y377" s="1806"/>
      <c r="Z377" s="1807"/>
      <c r="AA377" s="919"/>
      <c r="AB377" s="1813"/>
      <c r="AC377" s="1580"/>
      <c r="AD377" s="95"/>
      <c r="AE377" s="105"/>
      <c r="AF377" s="97"/>
      <c r="AG377" s="2080"/>
      <c r="AH377" s="2081"/>
      <c r="AI377" s="99"/>
      <c r="AJ377" s="1809"/>
      <c r="AK377" s="6120" t="str">
        <f t="shared" si="176"/>
        <v>►</v>
      </c>
      <c r="AL377" s="781" t="str">
        <f t="shared" si="164"/>
        <v>►</v>
      </c>
      <c r="AM377" s="5499" t="str">
        <f t="shared" si="167"/>
        <v/>
      </c>
      <c r="AN377" s="783" t="str">
        <f t="shared" si="168"/>
        <v/>
      </c>
      <c r="AO377" s="782" t="str">
        <f t="shared" si="169"/>
        <v/>
      </c>
      <c r="AP377" s="783" t="str">
        <f t="shared" si="170"/>
        <v/>
      </c>
      <c r="AQ377" s="2083" t="b">
        <f>AND(Q377="A",COUNTIF(BP16:BR63,TRIM(Z377))&gt;0)</f>
        <v>0</v>
      </c>
      <c r="AR377" s="797" t="str">
        <f>IF(AL377&lt;&gt;"A","",IFERROR(IFERROR(_xlfn.XLOOKUP(TRIM(SUBSTITUTE(Z377,CHAR(160)," ")),BP16:BP63,BS16:BS63),IFERROR(_xlfn.XLOOKUP(TRIM(SUBSTITUTE(Z377,CHAR(160)," ")),BQ16:BQ63,BS16:BS63),_xlfn.XLOOKUP(TRIM(SUBSTITUTE(Z377,CHAR(160)," ")),BR16:BR63,BS16:BS63)))*Y377*IF(ISBLANK(V377),1,V377),0))</f>
        <v/>
      </c>
      <c r="AS377" s="784" t="str">
        <f t="shared" si="160"/>
        <v/>
      </c>
      <c r="AT377" s="1315" t="str">
        <f t="shared" si="171"/>
        <v/>
      </c>
      <c r="AU377" s="785">
        <f t="shared" si="172"/>
        <v>0</v>
      </c>
      <c r="AV377" s="785">
        <f t="shared" si="173"/>
        <v>0</v>
      </c>
      <c r="AW377" s="786">
        <f>IF(AK377="A",AY10,0)</f>
        <v>0</v>
      </c>
      <c r="AX377" s="5495" t="str">
        <f>IF(IFERROR(SEARCH("Adresse PC",TRIM(W377)),0)&gt;0,"▼ receta siguiente",IF(AK377="A",IF(AZ10&lt;&gt;"",AZ10&amp;" - ou.or.o ❾ + or - &gt;",""),""))</f>
        <v/>
      </c>
      <c r="AY377" s="810"/>
      <c r="AZ377" s="810"/>
      <c r="BA377" s="788" t="str">
        <f t="shared" si="163"/>
        <v/>
      </c>
      <c r="BB377" s="789" t="str">
        <f>IF(AK377="A",IF(AQ377,IF(AND(AW377&lt;&gt;"",N(AW377)&gt;0),IFERROR(IFERROR(_xlfn.XLOOKUP(AP377,BP10:BP57,BT10:BT57),IFERROR(_xlfn.XLOOKUP(AP377,BQ10:BQ57,BT10:BT57),_xlfn.XLOOKUP(AP377,BR10:BR57,BT10:BT57,""))),""),""),""),"")</f>
        <v/>
      </c>
      <c r="BC377" s="811" cm="1">
        <f t="array" ref="BC377">IF(NOT(AQ377),0,IF(OR(BA377="",N(BA377)&lt;=0.000000001),"",IF(OR(AU377="",N(AU377)&lt;=0.000000001),0,IF(ISNUMBER(BA377),IFERROR(_xlfn.LET(_xlpm.ai_test,TRIM(AP377),_xlpm.r,IFERROR(_xlfn.XLOOKUP(_xlpm.ai_test,BP16:BP63,ROW(BP16:BP63),0,1),IFERROR(_xlfn.XLOOKUP(_xlpm.ai_test,BQ16:BQ63,ROW(BQ16:BQ63),0,1),_xlfn.XLOOKUP(_xlpm.ai_test,BR16:BR63,ROW(BR16:BR63),0,1))),_xlpm.p,_xlpm.r-MIN(ROW(BP16:BP63))+1,_xlpm.f,INDEX(BS16:BS63,_xlpm.p),_xlpm.u,INDEX(BT16:BT63,_xlpm.p),_xlpm.s,INDEX(BV16:BV63,_xlpm.p),_xlpm.q,N(BA377)/_xlpm.f,IF(_xlpm.q&gt;=_xlpm.s,ROUND(_xlpm.q,1)&amp;" "&amp;_xlpm.ai_test&amp;" = "&amp;ROUND(_xlpm.q*_xlpm.f,1)&amp;" "&amp;_xlpm.u,ROUND(_xlpm.q,1)&amp;" "&amp;_xlpm.ai_test)),""),""))))</f>
        <v>0</v>
      </c>
      <c r="BD377" s="801"/>
      <c r="BE377" s="788" t="str">
        <f t="shared" si="174"/>
        <v/>
      </c>
      <c r="BF377" s="789" t="str">
        <f t="shared" si="177"/>
        <v/>
      </c>
      <c r="BG377" s="790">
        <f t="shared" si="178"/>
        <v>0</v>
      </c>
      <c r="BH377" s="791" t="str">
        <f t="shared" si="179"/>
        <v/>
      </c>
      <c r="BI377" s="792"/>
      <c r="BJ377" s="793">
        <f t="shared" si="180"/>
        <v>0</v>
      </c>
      <c r="BK377" s="794" t="str">
        <f t="shared" si="175"/>
        <v/>
      </c>
      <c r="BL377" s="227" t="s">
        <v>21</v>
      </c>
      <c r="BM377" s="773">
        <f t="shared" si="165"/>
        <v>0</v>
      </c>
      <c r="BN377" s="774">
        <f t="shared" si="166"/>
        <v>0</v>
      </c>
      <c r="BO377"/>
      <c r="BX377"/>
      <c r="BY377"/>
      <c r="BZ377"/>
      <c r="CA377"/>
      <c r="CB377"/>
      <c r="CC377"/>
      <c r="CD377" s="781" t="str">
        <f t="shared" si="161"/>
        <v>►</v>
      </c>
      <c r="CE377" s="633"/>
      <c r="CF377" s="633"/>
      <c r="CG377" s="633"/>
      <c r="CH377" s="633"/>
      <c r="CI377" s="633"/>
      <c r="CJ377" s="227"/>
      <c r="CK377"/>
      <c r="CL377"/>
      <c r="CM377"/>
      <c r="CN377"/>
      <c r="CO377"/>
      <c r="CP377"/>
      <c r="CQ377"/>
      <c r="CR377" s="227"/>
      <c r="CS377"/>
      <c r="CT377"/>
      <c r="CU377"/>
      <c r="CV377"/>
      <c r="CW377"/>
      <c r="CX377"/>
      <c r="CY377"/>
      <c r="CZ377" s="227"/>
      <c r="DA377"/>
      <c r="DB377"/>
      <c r="DC377"/>
      <c r="DD377"/>
      <c r="DE377"/>
      <c r="DF377"/>
      <c r="DG377"/>
      <c r="DH377" s="227"/>
      <c r="DI377" s="3">
        <v>1</v>
      </c>
    </row>
    <row r="378" spans="2:113" s="627" customFormat="1" ht="21" customHeight="1">
      <c r="B378" s="2265" t="str" cm="1">
        <f t="array" ref="B378">SUMPRODUCT(--(D378:J378&lt;&gt;""), LEN(TRIM(SUBSTITUTE(D378:J378, CHAR(160), "")))) &amp; " Car."</f>
        <v>0 Car.</v>
      </c>
      <c r="C378" s="1376" t="str">
        <f>IF(ISBLANK(D378),"",LARGE(C13:C377,1)+1)</f>
        <v/>
      </c>
      <c r="D378" s="1833"/>
      <c r="E378" s="1810"/>
      <c r="F378" s="1810"/>
      <c r="G378" s="1810"/>
      <c r="H378" s="1810"/>
      <c r="I378" s="1810"/>
      <c r="J378" s="1810"/>
      <c r="K378" s="1810"/>
      <c r="L378" s="1811"/>
      <c r="M378"/>
      <c r="N378" s="103" t="str">
        <f t="shared" si="162"/>
        <v>►</v>
      </c>
      <c r="O378" s="1616"/>
      <c r="P378"/>
      <c r="Q378" s="103" t="s">
        <v>15</v>
      </c>
      <c r="R378" s="31"/>
      <c r="S378" s="32"/>
      <c r="T378" s="31"/>
      <c r="U378" s="33"/>
      <c r="V378" s="1804"/>
      <c r="W378" s="1805"/>
      <c r="X378" s="91"/>
      <c r="Y378" s="1806"/>
      <c r="Z378" s="1807"/>
      <c r="AA378" s="919"/>
      <c r="AB378" s="1813"/>
      <c r="AC378" s="1580"/>
      <c r="AD378" s="95"/>
      <c r="AE378" s="105"/>
      <c r="AF378" s="97"/>
      <c r="AG378" s="2080"/>
      <c r="AH378" s="2081"/>
      <c r="AI378" s="99"/>
      <c r="AJ378" s="1809"/>
      <c r="AK378" s="6120" t="str">
        <f t="shared" si="176"/>
        <v>►</v>
      </c>
      <c r="AL378" s="781" t="str">
        <f t="shared" si="164"/>
        <v>►</v>
      </c>
      <c r="AM378" s="5498" t="str">
        <f t="shared" si="167"/>
        <v/>
      </c>
      <c r="AN378" s="783" t="str">
        <f t="shared" si="168"/>
        <v/>
      </c>
      <c r="AO378" s="782" t="str">
        <f t="shared" si="169"/>
        <v/>
      </c>
      <c r="AP378" s="783" t="str">
        <f t="shared" si="170"/>
        <v/>
      </c>
      <c r="AQ378" s="2083" t="b">
        <f>AND(Q378="A",COUNTIF(BP16:BR63,TRIM(Z378))&gt;0)</f>
        <v>0</v>
      </c>
      <c r="AR378" s="797" t="str">
        <f>IF(AL378&lt;&gt;"A","",IFERROR(IFERROR(_xlfn.XLOOKUP(TRIM(SUBSTITUTE(Z378,CHAR(160)," ")),BP16:BP63,BS16:BS63),IFERROR(_xlfn.XLOOKUP(TRIM(SUBSTITUTE(Z378,CHAR(160)," ")),BQ16:BQ63,BS16:BS63),_xlfn.XLOOKUP(TRIM(SUBSTITUTE(Z378,CHAR(160)," ")),BR16:BR63,BS16:BS63)))*Y378*IF(ISBLANK(V378),1,V378),0))</f>
        <v/>
      </c>
      <c r="AS378" s="784" t="str">
        <f t="shared" si="160"/>
        <v/>
      </c>
      <c r="AT378" s="1315" t="str">
        <f t="shared" si="171"/>
        <v/>
      </c>
      <c r="AU378" s="785">
        <f t="shared" si="172"/>
        <v>0</v>
      </c>
      <c r="AV378" s="785">
        <f t="shared" si="173"/>
        <v>0</v>
      </c>
      <c r="AW378" s="798">
        <f>IF(AK378="A",AY10,0)</f>
        <v>0</v>
      </c>
      <c r="AX378" s="5496" t="str">
        <f>IF(IFERROR(SEARCH("Adresse PC",TRIM(W378)),0)&gt;0,"▼ receta siguiente",IF(AK378="A",IF(AZ10&lt;&gt;"",AZ10&amp;" - ou.or.o ❾ + or - &gt;",""),""))</f>
        <v/>
      </c>
      <c r="AY378" s="810"/>
      <c r="AZ378" s="810"/>
      <c r="BA378" s="799" t="str">
        <f t="shared" si="163"/>
        <v/>
      </c>
      <c r="BB378" s="800" t="str">
        <f>IF(AK378="A",IF(AQ378,IF(AND(AW378&lt;&gt;"",N(AW378)&gt;0),IFERROR(IFERROR(_xlfn.XLOOKUP(AP378,BP10:BP57,BT10:BT57),IFERROR(_xlfn.XLOOKUP(AP378,BQ10:BQ57,BT10:BT57),_xlfn.XLOOKUP(AP378,BR10:BR57,BT10:BT57,""))),""),""),""),"")</f>
        <v/>
      </c>
      <c r="BC378" s="813" cm="1">
        <f t="array" ref="BC378">IF(NOT(AQ378),0,IF(OR(BA378="",N(BA378)&lt;=0.000000001),"",IF(OR(AU378="",N(AU378)&lt;=0.000000001),0,IF(ISNUMBER(BA378),IFERROR(_xlfn.LET(_xlpm.ai_test,TRIM(AP378),_xlpm.r,IFERROR(_xlfn.XLOOKUP(_xlpm.ai_test,BP16:BP63,ROW(BP16:BP63),0,1),IFERROR(_xlfn.XLOOKUP(_xlpm.ai_test,BQ16:BQ63,ROW(BQ16:BQ63),0,1),_xlfn.XLOOKUP(_xlpm.ai_test,BR16:BR63,ROW(BR16:BR63),0,1))),_xlpm.p,_xlpm.r-MIN(ROW(BP16:BP63))+1,_xlpm.f,INDEX(BS16:BS63,_xlpm.p),_xlpm.u,INDEX(BT16:BT63,_xlpm.p),_xlpm.s,INDEX(BV16:BV63,_xlpm.p),_xlpm.q,N(BA378)/_xlpm.f,IF(_xlpm.q&gt;=_xlpm.s,ROUND(_xlpm.q,1)&amp;" "&amp;_xlpm.ai_test&amp;" = "&amp;ROUND(_xlpm.q*_xlpm.f,1)&amp;" "&amp;_xlpm.u,ROUND(_xlpm.q,1)&amp;" "&amp;_xlpm.ai_test)),""),""))))</f>
        <v>0</v>
      </c>
      <c r="BD378" s="801"/>
      <c r="BE378" s="799" t="str">
        <f t="shared" si="174"/>
        <v/>
      </c>
      <c r="BF378" s="800" t="str">
        <f t="shared" si="177"/>
        <v/>
      </c>
      <c r="BG378" s="802">
        <f t="shared" si="178"/>
        <v>0</v>
      </c>
      <c r="BH378" s="803" t="str">
        <f t="shared" si="179"/>
        <v/>
      </c>
      <c r="BI378" s="792"/>
      <c r="BJ378" s="804">
        <f t="shared" si="180"/>
        <v>0</v>
      </c>
      <c r="BK378" s="794" t="str">
        <f t="shared" si="175"/>
        <v/>
      </c>
      <c r="BL378" s="227" t="s">
        <v>21</v>
      </c>
      <c r="BM378" s="773">
        <f t="shared" si="165"/>
        <v>0</v>
      </c>
      <c r="BN378" s="774">
        <f t="shared" si="166"/>
        <v>0</v>
      </c>
      <c r="BO378"/>
      <c r="BX378"/>
      <c r="BY378"/>
      <c r="BZ378"/>
      <c r="CA378"/>
      <c r="CB378"/>
      <c r="CC378"/>
      <c r="CD378" s="781" t="str">
        <f t="shared" si="161"/>
        <v>►</v>
      </c>
      <c r="CE378" s="633"/>
      <c r="CF378" s="633"/>
      <c r="CG378" s="633"/>
      <c r="CH378" s="633"/>
      <c r="CI378" s="633"/>
      <c r="CJ378" s="227"/>
      <c r="CK378"/>
      <c r="CL378"/>
      <c r="CM378"/>
      <c r="CN378"/>
      <c r="CO378"/>
      <c r="CP378"/>
      <c r="CQ378"/>
      <c r="CR378" s="227"/>
      <c r="CS378"/>
      <c r="CT378"/>
      <c r="CU378"/>
      <c r="CV378"/>
      <c r="CW378"/>
      <c r="CX378"/>
      <c r="CY378"/>
      <c r="CZ378" s="227"/>
      <c r="DA378"/>
      <c r="DB378"/>
      <c r="DC378"/>
      <c r="DD378"/>
      <c r="DE378"/>
      <c r="DF378"/>
      <c r="DG378"/>
      <c r="DH378" s="227"/>
      <c r="DI378" s="3">
        <v>1</v>
      </c>
    </row>
    <row r="379" spans="2:113" s="627" customFormat="1" ht="21" customHeight="1">
      <c r="B379" s="2265" t="str" cm="1">
        <f t="array" ref="B379">SUMPRODUCT(--(D379:J379&lt;&gt;""), LEN(TRIM(SUBSTITUTE(D379:J379, CHAR(160), "")))) &amp; " Car."</f>
        <v>0 Car.</v>
      </c>
      <c r="C379" s="1376" t="str">
        <f>IF(ISBLANK(D379),"",LARGE(C13:C378,1)+1)</f>
        <v/>
      </c>
      <c r="D379" s="1833"/>
      <c r="E379" s="1810"/>
      <c r="F379" s="1810"/>
      <c r="G379" s="1810"/>
      <c r="H379" s="1810"/>
      <c r="I379" s="1810"/>
      <c r="J379" s="1810"/>
      <c r="K379" s="1810"/>
      <c r="L379" s="1811"/>
      <c r="M379"/>
      <c r="N379" s="103" t="str">
        <f t="shared" si="162"/>
        <v>►</v>
      </c>
      <c r="O379" s="1616"/>
      <c r="P379"/>
      <c r="Q379" s="103" t="s">
        <v>15</v>
      </c>
      <c r="R379" s="31"/>
      <c r="S379" s="32"/>
      <c r="T379" s="31"/>
      <c r="U379" s="33"/>
      <c r="V379" s="1804"/>
      <c r="W379" s="1805"/>
      <c r="X379" s="91"/>
      <c r="Y379" s="1806"/>
      <c r="Z379" s="1807"/>
      <c r="AA379" s="919"/>
      <c r="AB379" s="1813"/>
      <c r="AC379" s="1580"/>
      <c r="AD379" s="95"/>
      <c r="AE379" s="105"/>
      <c r="AF379" s="97"/>
      <c r="AG379" s="2080"/>
      <c r="AH379" s="2081"/>
      <c r="AI379" s="99"/>
      <c r="AJ379" s="1809"/>
      <c r="AK379" s="6120" t="str">
        <f t="shared" si="176"/>
        <v>►</v>
      </c>
      <c r="AL379" s="781" t="str">
        <f t="shared" si="164"/>
        <v>►</v>
      </c>
      <c r="AM379" s="5499" t="str">
        <f t="shared" si="167"/>
        <v/>
      </c>
      <c r="AN379" s="783" t="str">
        <f t="shared" si="168"/>
        <v/>
      </c>
      <c r="AO379" s="782" t="str">
        <f t="shared" si="169"/>
        <v/>
      </c>
      <c r="AP379" s="783" t="str">
        <f t="shared" si="170"/>
        <v/>
      </c>
      <c r="AQ379" s="2083" t="b">
        <f>AND(Q379="A",COUNTIF(BP16:BR63,TRIM(Z379))&gt;0)</f>
        <v>0</v>
      </c>
      <c r="AR379" s="797" t="str">
        <f>IF(AL379&lt;&gt;"A","",IFERROR(IFERROR(_xlfn.XLOOKUP(TRIM(SUBSTITUTE(Z379,CHAR(160)," ")),BP16:BP63,BS16:BS63),IFERROR(_xlfn.XLOOKUP(TRIM(SUBSTITUTE(Z379,CHAR(160)," ")),BQ16:BQ63,BS16:BS63),_xlfn.XLOOKUP(TRIM(SUBSTITUTE(Z379,CHAR(160)," ")),BR16:BR63,BS16:BS63)))*Y379*IF(ISBLANK(V379),1,V379),0))</f>
        <v/>
      </c>
      <c r="AS379" s="784" t="str">
        <f t="shared" si="160"/>
        <v/>
      </c>
      <c r="AT379" s="1315" t="str">
        <f t="shared" si="171"/>
        <v/>
      </c>
      <c r="AU379" s="785">
        <f t="shared" si="172"/>
        <v>0</v>
      </c>
      <c r="AV379" s="785">
        <f t="shared" si="173"/>
        <v>0</v>
      </c>
      <c r="AW379" s="786">
        <f>IF(AK379="A",AY10,0)</f>
        <v>0</v>
      </c>
      <c r="AX379" s="5495" t="str">
        <f>IF(IFERROR(SEARCH("Adresse PC",TRIM(W379)),0)&gt;0,"▼ receta siguiente",IF(AK379="A",IF(AZ10&lt;&gt;"",AZ10&amp;" - ou.or.o ❾ + or - &gt;",""),""))</f>
        <v/>
      </c>
      <c r="AY379" s="810"/>
      <c r="AZ379" s="810"/>
      <c r="BA379" s="788" t="str">
        <f t="shared" si="163"/>
        <v/>
      </c>
      <c r="BB379" s="789" t="str">
        <f>IF(AK379="A",IF(AQ379,IF(AND(AW379&lt;&gt;"",N(AW379)&gt;0),IFERROR(IFERROR(_xlfn.XLOOKUP(AP379,BP10:BP57,BT10:BT57),IFERROR(_xlfn.XLOOKUP(AP379,BQ10:BQ57,BT10:BT57),_xlfn.XLOOKUP(AP379,BR10:BR57,BT10:BT57,""))),""),""),""),"")</f>
        <v/>
      </c>
      <c r="BC379" s="811" cm="1">
        <f t="array" ref="BC379">IF(NOT(AQ379),0,IF(OR(BA379="",N(BA379)&lt;=0.000000001),"",IF(OR(AU379="",N(AU379)&lt;=0.000000001),0,IF(ISNUMBER(BA379),IFERROR(_xlfn.LET(_xlpm.ai_test,TRIM(AP379),_xlpm.r,IFERROR(_xlfn.XLOOKUP(_xlpm.ai_test,BP16:BP63,ROW(BP16:BP63),0,1),IFERROR(_xlfn.XLOOKUP(_xlpm.ai_test,BQ16:BQ63,ROW(BQ16:BQ63),0,1),_xlfn.XLOOKUP(_xlpm.ai_test,BR16:BR63,ROW(BR16:BR63),0,1))),_xlpm.p,_xlpm.r-MIN(ROW(BP16:BP63))+1,_xlpm.f,INDEX(BS16:BS63,_xlpm.p),_xlpm.u,INDEX(BT16:BT63,_xlpm.p),_xlpm.s,INDEX(BV16:BV63,_xlpm.p),_xlpm.q,N(BA379)/_xlpm.f,IF(_xlpm.q&gt;=_xlpm.s,ROUND(_xlpm.q,1)&amp;" "&amp;_xlpm.ai_test&amp;" = "&amp;ROUND(_xlpm.q*_xlpm.f,1)&amp;" "&amp;_xlpm.u,ROUND(_xlpm.q,1)&amp;" "&amp;_xlpm.ai_test)),""),""))))</f>
        <v>0</v>
      </c>
      <c r="BD379" s="801"/>
      <c r="BE379" s="788" t="str">
        <f t="shared" si="174"/>
        <v/>
      </c>
      <c r="BF379" s="789" t="str">
        <f t="shared" si="177"/>
        <v/>
      </c>
      <c r="BG379" s="790">
        <f t="shared" si="178"/>
        <v>0</v>
      </c>
      <c r="BH379" s="791" t="str">
        <f t="shared" si="179"/>
        <v/>
      </c>
      <c r="BI379" s="792"/>
      <c r="BJ379" s="793">
        <f t="shared" si="180"/>
        <v>0</v>
      </c>
      <c r="BK379" s="794" t="str">
        <f t="shared" si="175"/>
        <v/>
      </c>
      <c r="BL379" s="227" t="s">
        <v>21</v>
      </c>
      <c r="BM379" s="773">
        <f t="shared" si="165"/>
        <v>0</v>
      </c>
      <c r="BN379" s="774">
        <f t="shared" si="166"/>
        <v>0</v>
      </c>
      <c r="BO379"/>
      <c r="BX379"/>
      <c r="BY379"/>
      <c r="BZ379"/>
      <c r="CA379"/>
      <c r="CB379"/>
      <c r="CC379"/>
      <c r="CD379" s="781" t="str">
        <f t="shared" si="161"/>
        <v>►</v>
      </c>
      <c r="CE379" s="633"/>
      <c r="CF379" s="633"/>
      <c r="CG379" s="633"/>
      <c r="CH379" s="633"/>
      <c r="CI379" s="633"/>
      <c r="CJ379" s="227"/>
      <c r="CK379"/>
      <c r="CL379"/>
      <c r="CM379"/>
      <c r="CN379"/>
      <c r="CO379"/>
      <c r="CP379"/>
      <c r="CQ379"/>
      <c r="CR379" s="227"/>
      <c r="CS379"/>
      <c r="CT379"/>
      <c r="CU379"/>
      <c r="CV379"/>
      <c r="CW379"/>
      <c r="CX379"/>
      <c r="CY379"/>
      <c r="CZ379" s="227"/>
      <c r="DA379"/>
      <c r="DB379"/>
      <c r="DC379"/>
      <c r="DD379"/>
      <c r="DE379"/>
      <c r="DF379"/>
      <c r="DG379"/>
      <c r="DH379" s="227"/>
      <c r="DI379" s="3">
        <v>1</v>
      </c>
    </row>
    <row r="380" spans="2:113" s="627" customFormat="1" ht="21" customHeight="1">
      <c r="B380" s="2265" t="str" cm="1">
        <f t="array" ref="B380">SUMPRODUCT(--(D380:J380&lt;&gt;""), LEN(TRIM(SUBSTITUTE(D380:J380, CHAR(160), "")))) &amp; " Car."</f>
        <v>0 Car.</v>
      </c>
      <c r="C380" s="1376" t="str">
        <f>IF(ISBLANK(D380),"",LARGE(C13:C379,1)+1)</f>
        <v/>
      </c>
      <c r="D380" s="1833"/>
      <c r="E380" s="1810"/>
      <c r="F380" s="1810"/>
      <c r="G380" s="1810"/>
      <c r="H380" s="1810"/>
      <c r="I380" s="1810"/>
      <c r="J380" s="1810"/>
      <c r="K380" s="1810"/>
      <c r="L380" s="1811"/>
      <c r="M380"/>
      <c r="N380" s="103" t="str">
        <f t="shared" si="162"/>
        <v>►</v>
      </c>
      <c r="O380" s="1616"/>
      <c r="P380"/>
      <c r="Q380" s="103" t="s">
        <v>15</v>
      </c>
      <c r="R380" s="31"/>
      <c r="S380" s="32"/>
      <c r="T380" s="31"/>
      <c r="U380" s="33"/>
      <c r="V380" s="1804"/>
      <c r="W380" s="1805"/>
      <c r="X380" s="91"/>
      <c r="Y380" s="1806"/>
      <c r="Z380" s="1807"/>
      <c r="AA380" s="919"/>
      <c r="AB380" s="1813"/>
      <c r="AC380" s="1580"/>
      <c r="AD380" s="95"/>
      <c r="AE380" s="105"/>
      <c r="AF380" s="97"/>
      <c r="AG380" s="2080"/>
      <c r="AH380" s="2081"/>
      <c r="AI380" s="99"/>
      <c r="AJ380" s="1809"/>
      <c r="AK380" s="6120" t="str">
        <f t="shared" si="176"/>
        <v>►</v>
      </c>
      <c r="AL380" s="781" t="str">
        <f t="shared" si="164"/>
        <v>►</v>
      </c>
      <c r="AM380" s="5498" t="str">
        <f t="shared" si="167"/>
        <v/>
      </c>
      <c r="AN380" s="783" t="str">
        <f t="shared" si="168"/>
        <v/>
      </c>
      <c r="AO380" s="782" t="str">
        <f t="shared" si="169"/>
        <v/>
      </c>
      <c r="AP380" s="783" t="str">
        <f t="shared" si="170"/>
        <v/>
      </c>
      <c r="AQ380" s="2083" t="b">
        <f>AND(Q380="A",COUNTIF(BP16:BR63,TRIM(Z380))&gt;0)</f>
        <v>0</v>
      </c>
      <c r="AR380" s="797" t="str">
        <f>IF(AL380&lt;&gt;"A","",IFERROR(IFERROR(_xlfn.XLOOKUP(TRIM(SUBSTITUTE(Z380,CHAR(160)," ")),BP16:BP63,BS16:BS63),IFERROR(_xlfn.XLOOKUP(TRIM(SUBSTITUTE(Z380,CHAR(160)," ")),BQ16:BQ63,BS16:BS63),_xlfn.XLOOKUP(TRIM(SUBSTITUTE(Z380,CHAR(160)," ")),BR16:BR63,BS16:BS63)))*Y380*IF(ISBLANK(V380),1,V380),0))</f>
        <v/>
      </c>
      <c r="AS380" s="784" t="str">
        <f t="shared" si="160"/>
        <v/>
      </c>
      <c r="AT380" s="1315" t="str">
        <f t="shared" si="171"/>
        <v/>
      </c>
      <c r="AU380" s="785">
        <f t="shared" si="172"/>
        <v>0</v>
      </c>
      <c r="AV380" s="785">
        <f t="shared" si="173"/>
        <v>0</v>
      </c>
      <c r="AW380" s="798">
        <f>IF(AK380="A",AY10,0)</f>
        <v>0</v>
      </c>
      <c r="AX380" s="5496" t="str">
        <f>IF(IFERROR(SEARCH("Adresse PC",TRIM(W380)),0)&gt;0,"▼ receta siguiente",IF(AK380="A",IF(AZ10&lt;&gt;"",AZ10&amp;" - ou.or.o ❾ + or - &gt;",""),""))</f>
        <v/>
      </c>
      <c r="AY380" s="810"/>
      <c r="AZ380" s="810"/>
      <c r="BA380" s="799" t="str">
        <f t="shared" si="163"/>
        <v/>
      </c>
      <c r="BB380" s="800" t="str">
        <f>IF(AK380="A",IF(AQ380,IF(AND(AW380&lt;&gt;"",N(AW380)&gt;0),IFERROR(IFERROR(_xlfn.XLOOKUP(AP380,BP10:BP57,BT10:BT57),IFERROR(_xlfn.XLOOKUP(AP380,BQ10:BQ57,BT10:BT57),_xlfn.XLOOKUP(AP380,BR10:BR57,BT10:BT57,""))),""),""),""),"")</f>
        <v/>
      </c>
      <c r="BC380" s="813" cm="1">
        <f t="array" ref="BC380">IF(NOT(AQ380),0,IF(OR(BA380="",N(BA380)&lt;=0.000000001),"",IF(OR(AU380="",N(AU380)&lt;=0.000000001),0,IF(ISNUMBER(BA380),IFERROR(_xlfn.LET(_xlpm.ai_test,TRIM(AP380),_xlpm.r,IFERROR(_xlfn.XLOOKUP(_xlpm.ai_test,BP16:BP63,ROW(BP16:BP63),0,1),IFERROR(_xlfn.XLOOKUP(_xlpm.ai_test,BQ16:BQ63,ROW(BQ16:BQ63),0,1),_xlfn.XLOOKUP(_xlpm.ai_test,BR16:BR63,ROW(BR16:BR63),0,1))),_xlpm.p,_xlpm.r-MIN(ROW(BP16:BP63))+1,_xlpm.f,INDEX(BS16:BS63,_xlpm.p),_xlpm.u,INDEX(BT16:BT63,_xlpm.p),_xlpm.s,INDEX(BV16:BV63,_xlpm.p),_xlpm.q,N(BA380)/_xlpm.f,IF(_xlpm.q&gt;=_xlpm.s,ROUND(_xlpm.q,1)&amp;" "&amp;_xlpm.ai_test&amp;" = "&amp;ROUND(_xlpm.q*_xlpm.f,1)&amp;" "&amp;_xlpm.u,ROUND(_xlpm.q,1)&amp;" "&amp;_xlpm.ai_test)),""),""))))</f>
        <v>0</v>
      </c>
      <c r="BD380" s="801"/>
      <c r="BE380" s="799" t="str">
        <f t="shared" si="174"/>
        <v/>
      </c>
      <c r="BF380" s="800" t="str">
        <f t="shared" si="177"/>
        <v/>
      </c>
      <c r="BG380" s="802">
        <f t="shared" si="178"/>
        <v>0</v>
      </c>
      <c r="BH380" s="803" t="str">
        <f t="shared" si="179"/>
        <v/>
      </c>
      <c r="BI380" s="792"/>
      <c r="BJ380" s="804">
        <f t="shared" si="180"/>
        <v>0</v>
      </c>
      <c r="BK380" s="794" t="str">
        <f t="shared" si="175"/>
        <v/>
      </c>
      <c r="BL380" s="227" t="s">
        <v>21</v>
      </c>
      <c r="BM380" s="773">
        <f t="shared" si="165"/>
        <v>0</v>
      </c>
      <c r="BN380" s="774">
        <f t="shared" si="166"/>
        <v>0</v>
      </c>
      <c r="BO380"/>
      <c r="BX380"/>
      <c r="BY380"/>
      <c r="BZ380"/>
      <c r="CA380"/>
      <c r="CB380"/>
      <c r="CC380"/>
      <c r="CD380" s="781" t="str">
        <f t="shared" si="161"/>
        <v>►</v>
      </c>
      <c r="CE380" s="633"/>
      <c r="CF380" s="633"/>
      <c r="CG380" s="633"/>
      <c r="CH380" s="633"/>
      <c r="CI380" s="633"/>
      <c r="CJ380" s="227"/>
      <c r="CK380"/>
      <c r="CL380"/>
      <c r="CM380"/>
      <c r="CN380"/>
      <c r="CO380"/>
      <c r="CP380"/>
      <c r="CQ380"/>
      <c r="CR380" s="227"/>
      <c r="CS380"/>
      <c r="CT380"/>
      <c r="CU380"/>
      <c r="CV380"/>
      <c r="CW380"/>
      <c r="CX380"/>
      <c r="CY380"/>
      <c r="CZ380" s="227"/>
      <c r="DA380"/>
      <c r="DB380"/>
      <c r="DC380"/>
      <c r="DD380"/>
      <c r="DE380"/>
      <c r="DF380"/>
      <c r="DG380"/>
      <c r="DH380" s="227"/>
      <c r="DI380" s="3">
        <v>1</v>
      </c>
    </row>
    <row r="381" spans="2:113" s="627" customFormat="1" ht="21" customHeight="1">
      <c r="B381" s="2265" t="str" cm="1">
        <f t="array" ref="B381">SUMPRODUCT(--(D381:J381&lt;&gt;""), LEN(TRIM(SUBSTITUTE(D381:J381, CHAR(160), "")))) &amp; " Car."</f>
        <v>0 Car.</v>
      </c>
      <c r="C381" s="1376" t="str">
        <f>IF(ISBLANK(D381),"",LARGE(C13:C380,1)+1)</f>
        <v/>
      </c>
      <c r="D381" s="1833"/>
      <c r="E381" s="1810"/>
      <c r="F381" s="1810"/>
      <c r="G381" s="1810"/>
      <c r="H381" s="1810"/>
      <c r="I381" s="1810"/>
      <c r="J381" s="1810"/>
      <c r="K381" s="1810"/>
      <c r="L381" s="1811"/>
      <c r="M381"/>
      <c r="N381" s="103" t="str">
        <f t="shared" si="162"/>
        <v>►</v>
      </c>
      <c r="O381" s="1616"/>
      <c r="P381"/>
      <c r="Q381" s="103" t="s">
        <v>15</v>
      </c>
      <c r="R381" s="31"/>
      <c r="S381" s="32"/>
      <c r="T381" s="31"/>
      <c r="U381" s="33"/>
      <c r="V381" s="1804"/>
      <c r="W381" s="1805"/>
      <c r="X381" s="91"/>
      <c r="Y381" s="1806"/>
      <c r="Z381" s="1807"/>
      <c r="AA381" s="919"/>
      <c r="AB381" s="1813"/>
      <c r="AC381" s="1580"/>
      <c r="AD381" s="95"/>
      <c r="AE381" s="105"/>
      <c r="AF381" s="97"/>
      <c r="AG381" s="2080"/>
      <c r="AH381" s="2081"/>
      <c r="AI381" s="99"/>
      <c r="AJ381" s="1809"/>
      <c r="AK381" s="6120" t="str">
        <f t="shared" si="176"/>
        <v>►</v>
      </c>
      <c r="AL381" s="781" t="str">
        <f t="shared" si="164"/>
        <v>►</v>
      </c>
      <c r="AM381" s="5499" t="str">
        <f t="shared" si="167"/>
        <v/>
      </c>
      <c r="AN381" s="783" t="str">
        <f t="shared" si="168"/>
        <v/>
      </c>
      <c r="AO381" s="782" t="str">
        <f t="shared" si="169"/>
        <v/>
      </c>
      <c r="AP381" s="783" t="str">
        <f t="shared" si="170"/>
        <v/>
      </c>
      <c r="AQ381" s="2083" t="b">
        <f>AND(Q381="A",COUNTIF(BP16:BR63,TRIM(Z381))&gt;0)</f>
        <v>0</v>
      </c>
      <c r="AR381" s="797" t="str">
        <f>IF(AL381&lt;&gt;"A","",IFERROR(IFERROR(_xlfn.XLOOKUP(TRIM(SUBSTITUTE(Z381,CHAR(160)," ")),BP16:BP63,BS16:BS63),IFERROR(_xlfn.XLOOKUP(TRIM(SUBSTITUTE(Z381,CHAR(160)," ")),BQ16:BQ63,BS16:BS63),_xlfn.XLOOKUP(TRIM(SUBSTITUTE(Z381,CHAR(160)," ")),BR16:BR63,BS16:BS63)))*Y381*IF(ISBLANK(V381),1,V381),0))</f>
        <v/>
      </c>
      <c r="AS381" s="784" t="str">
        <f t="shared" si="160"/>
        <v/>
      </c>
      <c r="AT381" s="1315" t="str">
        <f t="shared" si="171"/>
        <v/>
      </c>
      <c r="AU381" s="785">
        <f t="shared" si="172"/>
        <v>0</v>
      </c>
      <c r="AV381" s="785">
        <f t="shared" si="173"/>
        <v>0</v>
      </c>
      <c r="AW381" s="786">
        <f>IF(AK381="A",AY10,0)</f>
        <v>0</v>
      </c>
      <c r="AX381" s="5495" t="str">
        <f>IF(IFERROR(SEARCH("Adresse PC",TRIM(W381)),0)&gt;0,"▼ receta siguiente",IF(AK381="A",IF(AZ10&lt;&gt;"",AZ10&amp;" - ou.or.o ❾ + or - &gt;",""),""))</f>
        <v/>
      </c>
      <c r="AY381" s="810"/>
      <c r="AZ381" s="810"/>
      <c r="BA381" s="788" t="str">
        <f t="shared" si="163"/>
        <v/>
      </c>
      <c r="BB381" s="789" t="str">
        <f>IF(AK381="A",IF(AQ381,IF(AND(AW381&lt;&gt;"",N(AW381)&gt;0),IFERROR(IFERROR(_xlfn.XLOOKUP(AP381,BP10:BP57,BT10:BT57),IFERROR(_xlfn.XLOOKUP(AP381,BQ10:BQ57,BT10:BT57),_xlfn.XLOOKUP(AP381,BR10:BR57,BT10:BT57,""))),""),""),""),"")</f>
        <v/>
      </c>
      <c r="BC381" s="811" cm="1">
        <f t="array" ref="BC381">IF(NOT(AQ381),0,IF(OR(BA381="",N(BA381)&lt;=0.000000001),"",IF(OR(AU381="",N(AU381)&lt;=0.000000001),0,IF(ISNUMBER(BA381),IFERROR(_xlfn.LET(_xlpm.ai_test,TRIM(AP381),_xlpm.r,IFERROR(_xlfn.XLOOKUP(_xlpm.ai_test,BP16:BP63,ROW(BP16:BP63),0,1),IFERROR(_xlfn.XLOOKUP(_xlpm.ai_test,BQ16:BQ63,ROW(BQ16:BQ63),0,1),_xlfn.XLOOKUP(_xlpm.ai_test,BR16:BR63,ROW(BR16:BR63),0,1))),_xlpm.p,_xlpm.r-MIN(ROW(BP16:BP63))+1,_xlpm.f,INDEX(BS16:BS63,_xlpm.p),_xlpm.u,INDEX(BT16:BT63,_xlpm.p),_xlpm.s,INDEX(BV16:BV63,_xlpm.p),_xlpm.q,N(BA381)/_xlpm.f,IF(_xlpm.q&gt;=_xlpm.s,ROUND(_xlpm.q,1)&amp;" "&amp;_xlpm.ai_test&amp;" = "&amp;ROUND(_xlpm.q*_xlpm.f,1)&amp;" "&amp;_xlpm.u,ROUND(_xlpm.q,1)&amp;" "&amp;_xlpm.ai_test)),""),""))))</f>
        <v>0</v>
      </c>
      <c r="BD381" s="801"/>
      <c r="BE381" s="788" t="str">
        <f t="shared" si="174"/>
        <v/>
      </c>
      <c r="BF381" s="789" t="str">
        <f t="shared" si="177"/>
        <v/>
      </c>
      <c r="BG381" s="790">
        <f t="shared" si="178"/>
        <v>0</v>
      </c>
      <c r="BH381" s="791" t="str">
        <f t="shared" si="179"/>
        <v/>
      </c>
      <c r="BI381" s="792"/>
      <c r="BJ381" s="793">
        <f t="shared" si="180"/>
        <v>0</v>
      </c>
      <c r="BK381" s="794" t="str">
        <f t="shared" si="175"/>
        <v/>
      </c>
      <c r="BL381" s="227" t="s">
        <v>21</v>
      </c>
      <c r="BM381" s="773">
        <f t="shared" si="165"/>
        <v>0</v>
      </c>
      <c r="BN381" s="774">
        <f t="shared" si="166"/>
        <v>0</v>
      </c>
      <c r="BO381"/>
      <c r="BX381"/>
      <c r="BY381"/>
      <c r="BZ381"/>
      <c r="CA381"/>
      <c r="CB381"/>
      <c r="CC381"/>
      <c r="CD381" s="781" t="str">
        <f t="shared" si="161"/>
        <v>►</v>
      </c>
      <c r="CE381" s="633"/>
      <c r="CF381" s="633"/>
      <c r="CG381" s="633"/>
      <c r="CH381" s="633"/>
      <c r="CI381" s="633"/>
      <c r="CJ381" s="227"/>
      <c r="CK381"/>
      <c r="CL381"/>
      <c r="CM381"/>
      <c r="CN381"/>
      <c r="CO381"/>
      <c r="CP381"/>
      <c r="CQ381"/>
      <c r="CR381" s="227"/>
      <c r="CS381"/>
      <c r="CT381"/>
      <c r="CU381"/>
      <c r="CV381"/>
      <c r="CW381"/>
      <c r="CX381"/>
      <c r="CY381"/>
      <c r="CZ381" s="227"/>
      <c r="DA381"/>
      <c r="DB381"/>
      <c r="DC381"/>
      <c r="DD381"/>
      <c r="DE381"/>
      <c r="DF381"/>
      <c r="DG381"/>
      <c r="DH381" s="227"/>
      <c r="DI381" s="3">
        <v>1</v>
      </c>
    </row>
    <row r="382" spans="2:113" s="627" customFormat="1" ht="21" customHeight="1">
      <c r="B382" s="2265" t="str" cm="1">
        <f t="array" ref="B382">SUMPRODUCT(--(D382:J382&lt;&gt;""), LEN(TRIM(SUBSTITUTE(D382:J382, CHAR(160), "")))) &amp; " Car."</f>
        <v>0 Car.</v>
      </c>
      <c r="C382" s="1376" t="str">
        <f>IF(ISBLANK(D382),"",LARGE(C13:C381,1)+1)</f>
        <v/>
      </c>
      <c r="D382" s="1833"/>
      <c r="E382" s="1810"/>
      <c r="F382" s="1810"/>
      <c r="G382" s="1810"/>
      <c r="H382" s="1810"/>
      <c r="I382" s="1810"/>
      <c r="J382" s="1810"/>
      <c r="K382" s="1810"/>
      <c r="L382" s="1811"/>
      <c r="M382"/>
      <c r="N382" s="103" t="str">
        <f t="shared" si="162"/>
        <v>►</v>
      </c>
      <c r="O382" s="1616"/>
      <c r="P382"/>
      <c r="Q382" s="103" t="s">
        <v>15</v>
      </c>
      <c r="R382" s="31"/>
      <c r="S382" s="32"/>
      <c r="T382" s="31"/>
      <c r="U382" s="33"/>
      <c r="V382" s="1804"/>
      <c r="W382" s="1805"/>
      <c r="X382" s="91"/>
      <c r="Y382" s="1806"/>
      <c r="Z382" s="1807"/>
      <c r="AA382" s="919"/>
      <c r="AB382" s="1813"/>
      <c r="AC382" s="1580"/>
      <c r="AD382" s="95"/>
      <c r="AE382" s="105"/>
      <c r="AF382" s="97"/>
      <c r="AG382" s="2080"/>
      <c r="AH382" s="2081"/>
      <c r="AI382" s="99"/>
      <c r="AJ382" s="1809"/>
      <c r="AK382" s="6120" t="str">
        <f t="shared" si="176"/>
        <v>►</v>
      </c>
      <c r="AL382" s="781" t="str">
        <f t="shared" si="164"/>
        <v>►</v>
      </c>
      <c r="AM382" s="5498" t="str">
        <f t="shared" si="167"/>
        <v/>
      </c>
      <c r="AN382" s="783" t="str">
        <f t="shared" si="168"/>
        <v/>
      </c>
      <c r="AO382" s="782" t="str">
        <f t="shared" si="169"/>
        <v/>
      </c>
      <c r="AP382" s="783" t="str">
        <f t="shared" si="170"/>
        <v/>
      </c>
      <c r="AQ382" s="2083" t="b">
        <f>AND(Q382="A",COUNTIF(BP16:BR63,TRIM(Z382))&gt;0)</f>
        <v>0</v>
      </c>
      <c r="AR382" s="797" t="str">
        <f>IF(AL382&lt;&gt;"A","",IFERROR(IFERROR(_xlfn.XLOOKUP(TRIM(SUBSTITUTE(Z382,CHAR(160)," ")),BP16:BP63,BS16:BS63),IFERROR(_xlfn.XLOOKUP(TRIM(SUBSTITUTE(Z382,CHAR(160)," ")),BQ16:BQ63,BS16:BS63),_xlfn.XLOOKUP(TRIM(SUBSTITUTE(Z382,CHAR(160)," ")),BR16:BR63,BS16:BS63)))*Y382*IF(ISBLANK(V382),1,V382),0))</f>
        <v/>
      </c>
      <c r="AS382" s="784" t="str">
        <f t="shared" si="160"/>
        <v/>
      </c>
      <c r="AT382" s="1315" t="str">
        <f t="shared" si="171"/>
        <v/>
      </c>
      <c r="AU382" s="785">
        <f t="shared" si="172"/>
        <v>0</v>
      </c>
      <c r="AV382" s="785">
        <f t="shared" si="173"/>
        <v>0</v>
      </c>
      <c r="AW382" s="798">
        <f>IF(AK382="A",AY10,0)</f>
        <v>0</v>
      </c>
      <c r="AX382" s="5496" t="str">
        <f>IF(IFERROR(SEARCH("Adresse PC",TRIM(W382)),0)&gt;0,"▼ receta siguiente",IF(AK382="A",IF(AZ10&lt;&gt;"",AZ10&amp;" - ou.or.o ❾ + or - &gt;",""),""))</f>
        <v/>
      </c>
      <c r="AY382" s="810"/>
      <c r="AZ382" s="810"/>
      <c r="BA382" s="799" t="str">
        <f t="shared" si="163"/>
        <v/>
      </c>
      <c r="BB382" s="800" t="str">
        <f>IF(AK382="A",IF(AQ382,IF(AND(AW382&lt;&gt;"",N(AW382)&gt;0),IFERROR(IFERROR(_xlfn.XLOOKUP(AP382,BP10:BP57,BT10:BT57),IFERROR(_xlfn.XLOOKUP(AP382,BQ10:BQ57,BT10:BT57),_xlfn.XLOOKUP(AP382,BR10:BR57,BT10:BT57,""))),""),""),""),"")</f>
        <v/>
      </c>
      <c r="BC382" s="813" cm="1">
        <f t="array" ref="BC382">IF(NOT(AQ382),0,IF(OR(BA382="",N(BA382)&lt;=0.000000001),"",IF(OR(AU382="",N(AU382)&lt;=0.000000001),0,IF(ISNUMBER(BA382),IFERROR(_xlfn.LET(_xlpm.ai_test,TRIM(AP382),_xlpm.r,IFERROR(_xlfn.XLOOKUP(_xlpm.ai_test,BP16:BP63,ROW(BP16:BP63),0,1),IFERROR(_xlfn.XLOOKUP(_xlpm.ai_test,BQ16:BQ63,ROW(BQ16:BQ63),0,1),_xlfn.XLOOKUP(_xlpm.ai_test,BR16:BR63,ROW(BR16:BR63),0,1))),_xlpm.p,_xlpm.r-MIN(ROW(BP16:BP63))+1,_xlpm.f,INDEX(BS16:BS63,_xlpm.p),_xlpm.u,INDEX(BT16:BT63,_xlpm.p),_xlpm.s,INDEX(BV16:BV63,_xlpm.p),_xlpm.q,N(BA382)/_xlpm.f,IF(_xlpm.q&gt;=_xlpm.s,ROUND(_xlpm.q,1)&amp;" "&amp;_xlpm.ai_test&amp;" = "&amp;ROUND(_xlpm.q*_xlpm.f,1)&amp;" "&amp;_xlpm.u,ROUND(_xlpm.q,1)&amp;" "&amp;_xlpm.ai_test)),""),""))))</f>
        <v>0</v>
      </c>
      <c r="BD382" s="801"/>
      <c r="BE382" s="799" t="str">
        <f t="shared" si="174"/>
        <v/>
      </c>
      <c r="BF382" s="800" t="str">
        <f t="shared" si="177"/>
        <v/>
      </c>
      <c r="BG382" s="802">
        <f t="shared" si="178"/>
        <v>0</v>
      </c>
      <c r="BH382" s="803" t="str">
        <f t="shared" si="179"/>
        <v/>
      </c>
      <c r="BI382" s="792"/>
      <c r="BJ382" s="804">
        <f t="shared" si="180"/>
        <v>0</v>
      </c>
      <c r="BK382" s="794" t="str">
        <f t="shared" si="175"/>
        <v/>
      </c>
      <c r="BL382" s="227" t="s">
        <v>21</v>
      </c>
      <c r="BM382" s="773">
        <f t="shared" si="165"/>
        <v>0</v>
      </c>
      <c r="BN382" s="774">
        <f t="shared" si="166"/>
        <v>0</v>
      </c>
      <c r="BO382"/>
      <c r="BX382"/>
      <c r="BY382"/>
      <c r="BZ382"/>
      <c r="CA382"/>
      <c r="CB382"/>
      <c r="CC382"/>
      <c r="CD382" s="781" t="str">
        <f t="shared" si="161"/>
        <v>►</v>
      </c>
      <c r="CE382" s="633"/>
      <c r="CF382" s="633"/>
      <c r="CG382" s="633"/>
      <c r="CH382" s="633"/>
      <c r="CI382" s="633"/>
      <c r="CJ382" s="227"/>
      <c r="CK382"/>
      <c r="CL382"/>
      <c r="CM382"/>
      <c r="CN382"/>
      <c r="CO382"/>
      <c r="CP382"/>
      <c r="CQ382"/>
      <c r="CR382" s="227"/>
      <c r="CS382"/>
      <c r="CT382"/>
      <c r="CU382"/>
      <c r="CV382"/>
      <c r="CW382"/>
      <c r="CX382"/>
      <c r="CY382"/>
      <c r="CZ382" s="227"/>
      <c r="DA382"/>
      <c r="DB382"/>
      <c r="DC382"/>
      <c r="DD382"/>
      <c r="DE382"/>
      <c r="DF382"/>
      <c r="DG382"/>
      <c r="DH382" s="227"/>
      <c r="DI382" s="3">
        <v>1</v>
      </c>
    </row>
    <row r="383" spans="2:113" s="627" customFormat="1" ht="21" customHeight="1">
      <c r="B383" s="2265" t="str" cm="1">
        <f t="array" ref="B383">SUMPRODUCT(--(D383:J383&lt;&gt;""), LEN(TRIM(SUBSTITUTE(D383:J383, CHAR(160), "")))) &amp; " Car."</f>
        <v>0 Car.</v>
      </c>
      <c r="C383" s="1376" t="str">
        <f>IF(ISBLANK(D383),"",LARGE(C13:C382,1)+1)</f>
        <v/>
      </c>
      <c r="D383" s="1833"/>
      <c r="E383" s="1810"/>
      <c r="F383" s="1810"/>
      <c r="G383" s="1810"/>
      <c r="H383" s="1810"/>
      <c r="I383" s="1810"/>
      <c r="J383" s="1810"/>
      <c r="K383" s="1810"/>
      <c r="L383" s="1811"/>
      <c r="M383"/>
      <c r="N383" s="103" t="str">
        <f t="shared" si="162"/>
        <v>►</v>
      </c>
      <c r="O383" s="1616"/>
      <c r="P383"/>
      <c r="Q383" s="103" t="s">
        <v>15</v>
      </c>
      <c r="R383" s="31"/>
      <c r="S383" s="32"/>
      <c r="T383" s="31"/>
      <c r="U383" s="33"/>
      <c r="V383" s="1804"/>
      <c r="W383" s="1805"/>
      <c r="X383" s="91"/>
      <c r="Y383" s="1806"/>
      <c r="Z383" s="1807"/>
      <c r="AA383" s="919"/>
      <c r="AB383" s="1813"/>
      <c r="AC383" s="1580"/>
      <c r="AD383" s="95"/>
      <c r="AE383" s="105"/>
      <c r="AF383" s="97"/>
      <c r="AG383" s="2080"/>
      <c r="AH383" s="2081"/>
      <c r="AI383" s="99"/>
      <c r="AJ383" s="1809"/>
      <c r="AK383" s="6120" t="str">
        <f t="shared" si="176"/>
        <v>►</v>
      </c>
      <c r="AL383" s="781" t="str">
        <f t="shared" si="164"/>
        <v>►</v>
      </c>
      <c r="AM383" s="5499" t="str">
        <f t="shared" si="167"/>
        <v/>
      </c>
      <c r="AN383" s="783" t="str">
        <f t="shared" si="168"/>
        <v/>
      </c>
      <c r="AO383" s="782" t="str">
        <f t="shared" si="169"/>
        <v/>
      </c>
      <c r="AP383" s="783" t="str">
        <f t="shared" si="170"/>
        <v/>
      </c>
      <c r="AQ383" s="2083" t="b">
        <f>AND(Q383="A",COUNTIF(BP16:BR63,TRIM(Z383))&gt;0)</f>
        <v>0</v>
      </c>
      <c r="AR383" s="797" t="str">
        <f>IF(AL383&lt;&gt;"A","",IFERROR(IFERROR(_xlfn.XLOOKUP(TRIM(SUBSTITUTE(Z383,CHAR(160)," ")),BP16:BP63,BS16:BS63),IFERROR(_xlfn.XLOOKUP(TRIM(SUBSTITUTE(Z383,CHAR(160)," ")),BQ16:BQ63,BS16:BS63),_xlfn.XLOOKUP(TRIM(SUBSTITUTE(Z383,CHAR(160)," ")),BR16:BR63,BS16:BS63)))*Y383*IF(ISBLANK(V383),1,V383),0))</f>
        <v/>
      </c>
      <c r="AS383" s="784" t="str">
        <f t="shared" si="160"/>
        <v/>
      </c>
      <c r="AT383" s="1315" t="str">
        <f t="shared" si="171"/>
        <v/>
      </c>
      <c r="AU383" s="785">
        <f t="shared" si="172"/>
        <v>0</v>
      </c>
      <c r="AV383" s="785">
        <f t="shared" si="173"/>
        <v>0</v>
      </c>
      <c r="AW383" s="786">
        <f>IF(AK383="A",AY10,0)</f>
        <v>0</v>
      </c>
      <c r="AX383" s="5495" t="str">
        <f>IF(IFERROR(SEARCH("Adresse PC",TRIM(W383)),0)&gt;0,"▼ receta siguiente",IF(AK383="A",IF(AZ10&lt;&gt;"",AZ10&amp;" - ou.or.o ❾ + or - &gt;",""),""))</f>
        <v/>
      </c>
      <c r="AY383" s="810"/>
      <c r="AZ383" s="810"/>
      <c r="BA383" s="788" t="str">
        <f t="shared" si="163"/>
        <v/>
      </c>
      <c r="BB383" s="789" t="str">
        <f>IF(AK383="A",IF(AQ383,IF(AND(AW383&lt;&gt;"",N(AW383)&gt;0),IFERROR(IFERROR(_xlfn.XLOOKUP(AP383,BP10:BP57,BT10:BT57),IFERROR(_xlfn.XLOOKUP(AP383,BQ10:BQ57,BT10:BT57),_xlfn.XLOOKUP(AP383,BR10:BR57,BT10:BT57,""))),""),""),""),"")</f>
        <v/>
      </c>
      <c r="BC383" s="811" cm="1">
        <f t="array" ref="BC383">IF(NOT(AQ383),0,IF(OR(BA383="",N(BA383)&lt;=0.000000001),"",IF(OR(AU383="",N(AU383)&lt;=0.000000001),0,IF(ISNUMBER(BA383),IFERROR(_xlfn.LET(_xlpm.ai_test,TRIM(AP383),_xlpm.r,IFERROR(_xlfn.XLOOKUP(_xlpm.ai_test,BP16:BP63,ROW(BP16:BP63),0,1),IFERROR(_xlfn.XLOOKUP(_xlpm.ai_test,BQ16:BQ63,ROW(BQ16:BQ63),0,1),_xlfn.XLOOKUP(_xlpm.ai_test,BR16:BR63,ROW(BR16:BR63),0,1))),_xlpm.p,_xlpm.r-MIN(ROW(BP16:BP63))+1,_xlpm.f,INDEX(BS16:BS63,_xlpm.p),_xlpm.u,INDEX(BT16:BT63,_xlpm.p),_xlpm.s,INDEX(BV16:BV63,_xlpm.p),_xlpm.q,N(BA383)/_xlpm.f,IF(_xlpm.q&gt;=_xlpm.s,ROUND(_xlpm.q,1)&amp;" "&amp;_xlpm.ai_test&amp;" = "&amp;ROUND(_xlpm.q*_xlpm.f,1)&amp;" "&amp;_xlpm.u,ROUND(_xlpm.q,1)&amp;" "&amp;_xlpm.ai_test)),""),""))))</f>
        <v>0</v>
      </c>
      <c r="BD383" s="801"/>
      <c r="BE383" s="788" t="str">
        <f t="shared" si="174"/>
        <v/>
      </c>
      <c r="BF383" s="789" t="str">
        <f t="shared" si="177"/>
        <v/>
      </c>
      <c r="BG383" s="790">
        <f t="shared" si="178"/>
        <v>0</v>
      </c>
      <c r="BH383" s="791" t="str">
        <f t="shared" si="179"/>
        <v/>
      </c>
      <c r="BI383" s="792"/>
      <c r="BJ383" s="793">
        <f t="shared" si="180"/>
        <v>0</v>
      </c>
      <c r="BK383" s="794" t="str">
        <f t="shared" si="175"/>
        <v/>
      </c>
      <c r="BL383" s="227" t="s">
        <v>21</v>
      </c>
      <c r="BM383" s="773">
        <f t="shared" si="165"/>
        <v>0</v>
      </c>
      <c r="BN383" s="774">
        <f t="shared" si="166"/>
        <v>0</v>
      </c>
      <c r="BO383"/>
      <c r="BX383"/>
      <c r="BY383"/>
      <c r="BZ383"/>
      <c r="CA383"/>
      <c r="CB383"/>
      <c r="CC383"/>
      <c r="CD383" s="781" t="str">
        <f t="shared" si="161"/>
        <v>►</v>
      </c>
      <c r="CE383" s="633"/>
      <c r="CF383" s="633"/>
      <c r="CG383" s="633"/>
      <c r="CH383" s="633"/>
      <c r="CI383" s="633"/>
      <c r="CJ383" s="227"/>
      <c r="CK383"/>
      <c r="CL383"/>
      <c r="CM383"/>
      <c r="CN383"/>
      <c r="CO383"/>
      <c r="CP383"/>
      <c r="CQ383"/>
      <c r="CR383" s="227"/>
      <c r="CS383"/>
      <c r="CT383"/>
      <c r="CU383"/>
      <c r="CV383"/>
      <c r="CW383"/>
      <c r="CX383"/>
      <c r="CY383"/>
      <c r="CZ383" s="227"/>
      <c r="DA383"/>
      <c r="DB383"/>
      <c r="DC383"/>
      <c r="DD383"/>
      <c r="DE383"/>
      <c r="DF383"/>
      <c r="DG383"/>
      <c r="DH383" s="227"/>
      <c r="DI383" s="3">
        <v>1</v>
      </c>
    </row>
    <row r="384" spans="2:113" s="627" customFormat="1" ht="21" customHeight="1">
      <c r="B384" s="2265" t="str" cm="1">
        <f t="array" ref="B384">SUMPRODUCT(--(D384:J384&lt;&gt;""), LEN(TRIM(SUBSTITUTE(D384:J384, CHAR(160), "")))) &amp; " Car."</f>
        <v>0 Car.</v>
      </c>
      <c r="C384" s="1376" t="str">
        <f>IF(ISBLANK(D384),"",LARGE(C13:C383,1)+1)</f>
        <v/>
      </c>
      <c r="D384" s="1833"/>
      <c r="E384" s="1810"/>
      <c r="F384" s="1810"/>
      <c r="G384" s="1810"/>
      <c r="H384" s="1810"/>
      <c r="I384" s="1810"/>
      <c r="J384" s="1810"/>
      <c r="K384" s="1810"/>
      <c r="L384" s="1811"/>
      <c r="M384"/>
      <c r="N384" s="103" t="str">
        <f t="shared" si="162"/>
        <v>►</v>
      </c>
      <c r="O384" s="1616"/>
      <c r="P384"/>
      <c r="Q384" s="103" t="s">
        <v>15</v>
      </c>
      <c r="R384" s="31"/>
      <c r="S384" s="32"/>
      <c r="T384" s="31"/>
      <c r="U384" s="33"/>
      <c r="V384" s="1804"/>
      <c r="W384" s="1805"/>
      <c r="X384" s="91"/>
      <c r="Y384" s="1806"/>
      <c r="Z384" s="1807"/>
      <c r="AA384" s="919"/>
      <c r="AB384" s="1813"/>
      <c r="AC384" s="1580"/>
      <c r="AD384" s="95"/>
      <c r="AE384" s="105"/>
      <c r="AF384" s="97"/>
      <c r="AG384" s="2080"/>
      <c r="AH384" s="2081"/>
      <c r="AI384" s="99"/>
      <c r="AJ384" s="1809"/>
      <c r="AK384" s="6120" t="str">
        <f t="shared" si="176"/>
        <v>►</v>
      </c>
      <c r="AL384" s="781" t="str">
        <f t="shared" si="164"/>
        <v>►</v>
      </c>
      <c r="AM384" s="5498" t="str">
        <f t="shared" si="167"/>
        <v/>
      </c>
      <c r="AN384" s="783" t="str">
        <f t="shared" si="168"/>
        <v/>
      </c>
      <c r="AO384" s="782" t="str">
        <f t="shared" si="169"/>
        <v/>
      </c>
      <c r="AP384" s="783" t="str">
        <f t="shared" si="170"/>
        <v/>
      </c>
      <c r="AQ384" s="2083" t="b">
        <f>AND(Q384="A",COUNTIF(BP16:BR63,TRIM(Z384))&gt;0)</f>
        <v>0</v>
      </c>
      <c r="AR384" s="797" t="str">
        <f>IF(AL384&lt;&gt;"A","",IFERROR(IFERROR(_xlfn.XLOOKUP(TRIM(SUBSTITUTE(Z384,CHAR(160)," ")),BP16:BP63,BS16:BS63),IFERROR(_xlfn.XLOOKUP(TRIM(SUBSTITUTE(Z384,CHAR(160)," ")),BQ16:BQ63,BS16:BS63),_xlfn.XLOOKUP(TRIM(SUBSTITUTE(Z384,CHAR(160)," ")),BR16:BR63,BS16:BS63)))*Y384*IF(ISBLANK(V384),1,V384),0))</f>
        <v/>
      </c>
      <c r="AS384" s="784" t="str">
        <f t="shared" si="160"/>
        <v/>
      </c>
      <c r="AT384" s="1315" t="str">
        <f t="shared" si="171"/>
        <v/>
      </c>
      <c r="AU384" s="785">
        <f t="shared" si="172"/>
        <v>0</v>
      </c>
      <c r="AV384" s="785">
        <f t="shared" si="173"/>
        <v>0</v>
      </c>
      <c r="AW384" s="798">
        <f>IF(AK384="A",AY10,0)</f>
        <v>0</v>
      </c>
      <c r="AX384" s="5496" t="str">
        <f>IF(IFERROR(SEARCH("Adresse PC",TRIM(W384)),0)&gt;0,"▼ receta siguiente",IF(AK384="A",IF(AZ10&lt;&gt;"",AZ10&amp;" - ou.or.o ❾ + or - &gt;",""),""))</f>
        <v/>
      </c>
      <c r="AY384" s="810"/>
      <c r="AZ384" s="810"/>
      <c r="BA384" s="799" t="str">
        <f t="shared" si="163"/>
        <v/>
      </c>
      <c r="BB384" s="800" t="str">
        <f>IF(AK384="A",IF(AQ384,IF(AND(AW384&lt;&gt;"",N(AW384)&gt;0),IFERROR(IFERROR(_xlfn.XLOOKUP(AP384,BP10:BP57,BT10:BT57),IFERROR(_xlfn.XLOOKUP(AP384,BQ10:BQ57,BT10:BT57),_xlfn.XLOOKUP(AP384,BR10:BR57,BT10:BT57,""))),""),""),""),"")</f>
        <v/>
      </c>
      <c r="BC384" s="813" cm="1">
        <f t="array" ref="BC384">IF(NOT(AQ384),0,IF(OR(BA384="",N(BA384)&lt;=0.000000001),"",IF(OR(AU384="",N(AU384)&lt;=0.000000001),0,IF(ISNUMBER(BA384),IFERROR(_xlfn.LET(_xlpm.ai_test,TRIM(AP384),_xlpm.r,IFERROR(_xlfn.XLOOKUP(_xlpm.ai_test,BP16:BP63,ROW(BP16:BP63),0,1),IFERROR(_xlfn.XLOOKUP(_xlpm.ai_test,BQ16:BQ63,ROW(BQ16:BQ63),0,1),_xlfn.XLOOKUP(_xlpm.ai_test,BR16:BR63,ROW(BR16:BR63),0,1))),_xlpm.p,_xlpm.r-MIN(ROW(BP16:BP63))+1,_xlpm.f,INDEX(BS16:BS63,_xlpm.p),_xlpm.u,INDEX(BT16:BT63,_xlpm.p),_xlpm.s,INDEX(BV16:BV63,_xlpm.p),_xlpm.q,N(BA384)/_xlpm.f,IF(_xlpm.q&gt;=_xlpm.s,ROUND(_xlpm.q,1)&amp;" "&amp;_xlpm.ai_test&amp;" = "&amp;ROUND(_xlpm.q*_xlpm.f,1)&amp;" "&amp;_xlpm.u,ROUND(_xlpm.q,1)&amp;" "&amp;_xlpm.ai_test)),""),""))))</f>
        <v>0</v>
      </c>
      <c r="BD384" s="801"/>
      <c r="BE384" s="799" t="str">
        <f t="shared" si="174"/>
        <v/>
      </c>
      <c r="BF384" s="800" t="str">
        <f t="shared" si="177"/>
        <v/>
      </c>
      <c r="BG384" s="802">
        <f t="shared" si="178"/>
        <v>0</v>
      </c>
      <c r="BH384" s="803" t="str">
        <f t="shared" si="179"/>
        <v/>
      </c>
      <c r="BI384" s="792"/>
      <c r="BJ384" s="804">
        <f t="shared" si="180"/>
        <v>0</v>
      </c>
      <c r="BK384" s="794" t="str">
        <f t="shared" si="175"/>
        <v/>
      </c>
      <c r="BL384" s="227" t="s">
        <v>21</v>
      </c>
      <c r="BM384" s="773">
        <f t="shared" si="165"/>
        <v>0</v>
      </c>
      <c r="BN384" s="774">
        <f t="shared" si="166"/>
        <v>0</v>
      </c>
      <c r="BO384"/>
      <c r="BX384"/>
      <c r="BY384"/>
      <c r="BZ384"/>
      <c r="CA384"/>
      <c r="CB384"/>
      <c r="CC384"/>
      <c r="CD384" s="781" t="str">
        <f t="shared" si="161"/>
        <v>►</v>
      </c>
      <c r="CE384" s="633"/>
      <c r="CF384" s="633"/>
      <c r="CG384" s="633"/>
      <c r="CH384" s="633"/>
      <c r="CI384" s="633"/>
      <c r="CJ384" s="227"/>
      <c r="CK384"/>
      <c r="CL384"/>
      <c r="CM384"/>
      <c r="CN384"/>
      <c r="CO384"/>
      <c r="CP384"/>
      <c r="CQ384"/>
      <c r="CR384" s="227"/>
      <c r="CS384"/>
      <c r="CT384"/>
      <c r="CU384"/>
      <c r="CV384"/>
      <c r="CW384"/>
      <c r="CX384"/>
      <c r="CY384"/>
      <c r="CZ384" s="227"/>
      <c r="DA384"/>
      <c r="DB384"/>
      <c r="DC384"/>
      <c r="DD384"/>
      <c r="DE384"/>
      <c r="DF384"/>
      <c r="DG384"/>
      <c r="DH384" s="227"/>
      <c r="DI384" s="3">
        <v>1</v>
      </c>
    </row>
    <row r="385" spans="2:113" s="627" customFormat="1" ht="21" customHeight="1">
      <c r="B385" s="2265" t="str" cm="1">
        <f t="array" ref="B385">SUMPRODUCT(--(D385:J385&lt;&gt;""), LEN(TRIM(SUBSTITUTE(D385:J385, CHAR(160), "")))) &amp; " Car."</f>
        <v>0 Car.</v>
      </c>
      <c r="C385" s="1376" t="str">
        <f>IF(ISBLANK(D385),"",LARGE(C13:C384,1)+1)</f>
        <v/>
      </c>
      <c r="D385" s="1833"/>
      <c r="E385" s="1810"/>
      <c r="F385" s="1810"/>
      <c r="G385" s="1810"/>
      <c r="H385" s="1810"/>
      <c r="I385" s="1810"/>
      <c r="J385" s="1810"/>
      <c r="K385" s="1810"/>
      <c r="L385" s="1811"/>
      <c r="M385"/>
      <c r="N385" s="103" t="str">
        <f t="shared" si="162"/>
        <v>►</v>
      </c>
      <c r="O385" s="1616"/>
      <c r="P385"/>
      <c r="Q385" s="103" t="s">
        <v>15</v>
      </c>
      <c r="R385" s="31"/>
      <c r="S385" s="32"/>
      <c r="T385" s="31"/>
      <c r="U385" s="33"/>
      <c r="V385" s="1804"/>
      <c r="W385" s="1805"/>
      <c r="X385" s="91"/>
      <c r="Y385" s="1806"/>
      <c r="Z385" s="1807"/>
      <c r="AA385" s="919"/>
      <c r="AB385" s="1813"/>
      <c r="AC385" s="1580"/>
      <c r="AD385" s="95"/>
      <c r="AE385" s="105"/>
      <c r="AF385" s="97"/>
      <c r="AG385" s="2080"/>
      <c r="AH385" s="2081"/>
      <c r="AI385" s="99"/>
      <c r="AJ385" s="1809"/>
      <c r="AK385" s="6120" t="str">
        <f t="shared" si="176"/>
        <v>►</v>
      </c>
      <c r="AL385" s="781" t="str">
        <f t="shared" si="164"/>
        <v>►</v>
      </c>
      <c r="AM385" s="5499" t="str">
        <f t="shared" si="167"/>
        <v/>
      </c>
      <c r="AN385" s="783" t="str">
        <f t="shared" si="168"/>
        <v/>
      </c>
      <c r="AO385" s="782" t="str">
        <f t="shared" si="169"/>
        <v/>
      </c>
      <c r="AP385" s="783" t="str">
        <f t="shared" si="170"/>
        <v/>
      </c>
      <c r="AQ385" s="2083" t="b">
        <f>AND(Q385="A",COUNTIF(BP16:BR63,TRIM(Z385))&gt;0)</f>
        <v>0</v>
      </c>
      <c r="AR385" s="797" t="str">
        <f>IF(AL385&lt;&gt;"A","",IFERROR(IFERROR(_xlfn.XLOOKUP(TRIM(SUBSTITUTE(Z385,CHAR(160)," ")),BP16:BP63,BS16:BS63),IFERROR(_xlfn.XLOOKUP(TRIM(SUBSTITUTE(Z385,CHAR(160)," ")),BQ16:BQ63,BS16:BS63),_xlfn.XLOOKUP(TRIM(SUBSTITUTE(Z385,CHAR(160)," ")),BR16:BR63,BS16:BS63)))*Y385*IF(ISBLANK(V385),1,V385),0))</f>
        <v/>
      </c>
      <c r="AS385" s="784" t="str">
        <f t="shared" si="160"/>
        <v/>
      </c>
      <c r="AT385" s="1315" t="str">
        <f t="shared" si="171"/>
        <v/>
      </c>
      <c r="AU385" s="785">
        <f t="shared" si="172"/>
        <v>0</v>
      </c>
      <c r="AV385" s="785">
        <f t="shared" si="173"/>
        <v>0</v>
      </c>
      <c r="AW385" s="786">
        <f>IF(AK385="A",AY10,0)</f>
        <v>0</v>
      </c>
      <c r="AX385" s="5495" t="str">
        <f>IF(IFERROR(SEARCH("Adresse PC",TRIM(W385)),0)&gt;0,"▼ receta siguiente",IF(AK385="A",IF(AZ10&lt;&gt;"",AZ10&amp;" - ou.or.o ❾ + or - &gt;",""),""))</f>
        <v/>
      </c>
      <c r="AY385" s="810"/>
      <c r="AZ385" s="810"/>
      <c r="BA385" s="788" t="str">
        <f t="shared" si="163"/>
        <v/>
      </c>
      <c r="BB385" s="789" t="str">
        <f>IF(AK385="A",IF(AQ385,IF(AND(AW385&lt;&gt;"",N(AW385)&gt;0),IFERROR(IFERROR(_xlfn.XLOOKUP(AP385,BP10:BP57,BT10:BT57),IFERROR(_xlfn.XLOOKUP(AP385,BQ10:BQ57,BT10:BT57),_xlfn.XLOOKUP(AP385,BR10:BR57,BT10:BT57,""))),""),""),""),"")</f>
        <v/>
      </c>
      <c r="BC385" s="811" cm="1">
        <f t="array" ref="BC385">IF(NOT(AQ385),0,IF(OR(BA385="",N(BA385)&lt;=0.000000001),"",IF(OR(AU385="",N(AU385)&lt;=0.000000001),0,IF(ISNUMBER(BA385),IFERROR(_xlfn.LET(_xlpm.ai_test,TRIM(AP385),_xlpm.r,IFERROR(_xlfn.XLOOKUP(_xlpm.ai_test,BP16:BP63,ROW(BP16:BP63),0,1),IFERROR(_xlfn.XLOOKUP(_xlpm.ai_test,BQ16:BQ63,ROW(BQ16:BQ63),0,1),_xlfn.XLOOKUP(_xlpm.ai_test,BR16:BR63,ROW(BR16:BR63),0,1))),_xlpm.p,_xlpm.r-MIN(ROW(BP16:BP63))+1,_xlpm.f,INDEX(BS16:BS63,_xlpm.p),_xlpm.u,INDEX(BT16:BT63,_xlpm.p),_xlpm.s,INDEX(BV16:BV63,_xlpm.p),_xlpm.q,N(BA385)/_xlpm.f,IF(_xlpm.q&gt;=_xlpm.s,ROUND(_xlpm.q,1)&amp;" "&amp;_xlpm.ai_test&amp;" = "&amp;ROUND(_xlpm.q*_xlpm.f,1)&amp;" "&amp;_xlpm.u,ROUND(_xlpm.q,1)&amp;" "&amp;_xlpm.ai_test)),""),""))))</f>
        <v>0</v>
      </c>
      <c r="BD385" s="801"/>
      <c r="BE385" s="788" t="str">
        <f t="shared" si="174"/>
        <v/>
      </c>
      <c r="BF385" s="789" t="str">
        <f t="shared" si="177"/>
        <v/>
      </c>
      <c r="BG385" s="790">
        <f t="shared" si="178"/>
        <v>0</v>
      </c>
      <c r="BH385" s="791" t="str">
        <f t="shared" si="179"/>
        <v/>
      </c>
      <c r="BI385" s="792"/>
      <c r="BJ385" s="793">
        <f t="shared" si="180"/>
        <v>0</v>
      </c>
      <c r="BK385" s="794" t="str">
        <f t="shared" si="175"/>
        <v/>
      </c>
      <c r="BL385" s="227" t="s">
        <v>21</v>
      </c>
      <c r="BM385" s="773">
        <f t="shared" si="165"/>
        <v>0</v>
      </c>
      <c r="BN385" s="774">
        <f t="shared" si="166"/>
        <v>0</v>
      </c>
      <c r="BO385"/>
      <c r="BX385"/>
      <c r="BY385"/>
      <c r="BZ385"/>
      <c r="CA385"/>
      <c r="CB385"/>
      <c r="CC385"/>
      <c r="CD385" s="781" t="str">
        <f t="shared" si="161"/>
        <v>►</v>
      </c>
      <c r="CE385" s="633"/>
      <c r="CF385" s="633"/>
      <c r="CG385" s="633"/>
      <c r="CH385" s="633"/>
      <c r="CI385" s="633"/>
      <c r="CJ385" s="227"/>
      <c r="CK385"/>
      <c r="CL385"/>
      <c r="CM385"/>
      <c r="CN385"/>
      <c r="CO385"/>
      <c r="CP385"/>
      <c r="CQ385"/>
      <c r="CR385" s="227"/>
      <c r="CS385"/>
      <c r="CT385"/>
      <c r="CU385"/>
      <c r="CV385"/>
      <c r="CW385"/>
      <c r="CX385"/>
      <c r="CY385"/>
      <c r="CZ385" s="227"/>
      <c r="DA385"/>
      <c r="DB385"/>
      <c r="DC385"/>
      <c r="DD385"/>
      <c r="DE385"/>
      <c r="DF385"/>
      <c r="DG385"/>
      <c r="DH385" s="227"/>
      <c r="DI385" s="3">
        <v>1</v>
      </c>
    </row>
    <row r="386" spans="2:113" s="627" customFormat="1" ht="21" customHeight="1">
      <c r="B386" s="2265" t="str" cm="1">
        <f t="array" ref="B386">SUMPRODUCT(--(D386:J386&lt;&gt;""), LEN(TRIM(SUBSTITUTE(D386:J386, CHAR(160), "")))) &amp; " Car."</f>
        <v>0 Car.</v>
      </c>
      <c r="C386" s="1376" t="str">
        <f>IF(ISBLANK(D386),"",LARGE(C13:C385,1)+1)</f>
        <v/>
      </c>
      <c r="D386" s="1833"/>
      <c r="E386" s="1810"/>
      <c r="F386" s="1810"/>
      <c r="G386" s="1810"/>
      <c r="H386" s="1810"/>
      <c r="I386" s="1810"/>
      <c r="J386" s="1810"/>
      <c r="K386" s="1810"/>
      <c r="L386" s="1811"/>
      <c r="M386"/>
      <c r="N386" s="103" t="str">
        <f t="shared" si="162"/>
        <v>►</v>
      </c>
      <c r="O386" s="1616"/>
      <c r="P386"/>
      <c r="Q386" s="103" t="s">
        <v>15</v>
      </c>
      <c r="R386" s="31"/>
      <c r="S386" s="32"/>
      <c r="T386" s="31"/>
      <c r="U386" s="33"/>
      <c r="V386" s="1804"/>
      <c r="W386" s="1805"/>
      <c r="X386" s="91"/>
      <c r="Y386" s="1806"/>
      <c r="Z386" s="1807"/>
      <c r="AA386" s="919"/>
      <c r="AB386" s="1813"/>
      <c r="AC386" s="1580"/>
      <c r="AD386" s="95"/>
      <c r="AE386" s="105"/>
      <c r="AF386" s="97"/>
      <c r="AG386" s="2080"/>
      <c r="AH386" s="2081"/>
      <c r="AI386" s="99"/>
      <c r="AJ386" s="1809"/>
      <c r="AK386" s="6120" t="str">
        <f t="shared" si="176"/>
        <v>►</v>
      </c>
      <c r="AL386" s="781" t="str">
        <f t="shared" si="164"/>
        <v>►</v>
      </c>
      <c r="AM386" s="5498" t="str">
        <f t="shared" si="167"/>
        <v/>
      </c>
      <c r="AN386" s="783" t="str">
        <f t="shared" si="168"/>
        <v/>
      </c>
      <c r="AO386" s="782" t="str">
        <f t="shared" si="169"/>
        <v/>
      </c>
      <c r="AP386" s="783" t="str">
        <f t="shared" si="170"/>
        <v/>
      </c>
      <c r="AQ386" s="2083" t="b">
        <f>AND(Q386="A",COUNTIF(BP16:BR63,TRIM(Z386))&gt;0)</f>
        <v>0</v>
      </c>
      <c r="AR386" s="797" t="str">
        <f>IF(AL386&lt;&gt;"A","",IFERROR(IFERROR(_xlfn.XLOOKUP(TRIM(SUBSTITUTE(Z386,CHAR(160)," ")),BP16:BP63,BS16:BS63),IFERROR(_xlfn.XLOOKUP(TRIM(SUBSTITUTE(Z386,CHAR(160)," ")),BQ16:BQ63,BS16:BS63),_xlfn.XLOOKUP(TRIM(SUBSTITUTE(Z386,CHAR(160)," ")),BR16:BR63,BS16:BS63)))*Y386*IF(ISBLANK(V386),1,V386),0))</f>
        <v/>
      </c>
      <c r="AS386" s="784" t="str">
        <f t="shared" si="160"/>
        <v/>
      </c>
      <c r="AT386" s="1315" t="str">
        <f t="shared" si="171"/>
        <v/>
      </c>
      <c r="AU386" s="785">
        <f t="shared" si="172"/>
        <v>0</v>
      </c>
      <c r="AV386" s="785">
        <f t="shared" si="173"/>
        <v>0</v>
      </c>
      <c r="AW386" s="798">
        <f>IF(AK386="A",AY10,0)</f>
        <v>0</v>
      </c>
      <c r="AX386" s="5496" t="str">
        <f>IF(IFERROR(SEARCH("Adresse PC",TRIM(W386)),0)&gt;0,"▼ receta siguiente",IF(AK386="A",IF(AZ10&lt;&gt;"",AZ10&amp;" - ou.or.o ❾ + or - &gt;",""),""))</f>
        <v/>
      </c>
      <c r="AY386" s="810"/>
      <c r="AZ386" s="810"/>
      <c r="BA386" s="799" t="str">
        <f t="shared" si="163"/>
        <v/>
      </c>
      <c r="BB386" s="800" t="str">
        <f>IF(AK386="A",IF(AQ386,IF(AND(AW386&lt;&gt;"",N(AW386)&gt;0),IFERROR(IFERROR(_xlfn.XLOOKUP(AP386,BP10:BP57,BT10:BT57),IFERROR(_xlfn.XLOOKUP(AP386,BQ10:BQ57,BT10:BT57),_xlfn.XLOOKUP(AP386,BR10:BR57,BT10:BT57,""))),""),""),""),"")</f>
        <v/>
      </c>
      <c r="BC386" s="813" cm="1">
        <f t="array" ref="BC386">IF(NOT(AQ386),0,IF(OR(BA386="",N(BA386)&lt;=0.000000001),"",IF(OR(AU386="",N(AU386)&lt;=0.000000001),0,IF(ISNUMBER(BA386),IFERROR(_xlfn.LET(_xlpm.ai_test,TRIM(AP386),_xlpm.r,IFERROR(_xlfn.XLOOKUP(_xlpm.ai_test,BP16:BP63,ROW(BP16:BP63),0,1),IFERROR(_xlfn.XLOOKUP(_xlpm.ai_test,BQ16:BQ63,ROW(BQ16:BQ63),0,1),_xlfn.XLOOKUP(_xlpm.ai_test,BR16:BR63,ROW(BR16:BR63),0,1))),_xlpm.p,_xlpm.r-MIN(ROW(BP16:BP63))+1,_xlpm.f,INDEX(BS16:BS63,_xlpm.p),_xlpm.u,INDEX(BT16:BT63,_xlpm.p),_xlpm.s,INDEX(BV16:BV63,_xlpm.p),_xlpm.q,N(BA386)/_xlpm.f,IF(_xlpm.q&gt;=_xlpm.s,ROUND(_xlpm.q,1)&amp;" "&amp;_xlpm.ai_test&amp;" = "&amp;ROUND(_xlpm.q*_xlpm.f,1)&amp;" "&amp;_xlpm.u,ROUND(_xlpm.q,1)&amp;" "&amp;_xlpm.ai_test)),""),""))))</f>
        <v>0</v>
      </c>
      <c r="BD386" s="801"/>
      <c r="BE386" s="799" t="str">
        <f t="shared" si="174"/>
        <v/>
      </c>
      <c r="BF386" s="800" t="str">
        <f t="shared" si="177"/>
        <v/>
      </c>
      <c r="BG386" s="802">
        <f t="shared" si="178"/>
        <v>0</v>
      </c>
      <c r="BH386" s="803" t="str">
        <f t="shared" si="179"/>
        <v/>
      </c>
      <c r="BI386" s="792"/>
      <c r="BJ386" s="804">
        <f t="shared" si="180"/>
        <v>0</v>
      </c>
      <c r="BK386" s="794" t="str">
        <f t="shared" si="175"/>
        <v/>
      </c>
      <c r="BL386" s="227" t="s">
        <v>21</v>
      </c>
      <c r="BM386" s="773">
        <f t="shared" si="165"/>
        <v>0</v>
      </c>
      <c r="BN386" s="774">
        <f t="shared" si="166"/>
        <v>0</v>
      </c>
      <c r="BO386"/>
      <c r="BX386"/>
      <c r="BY386"/>
      <c r="BZ386"/>
      <c r="CA386"/>
      <c r="CB386"/>
      <c r="CC386"/>
      <c r="CD386" s="781" t="str">
        <f t="shared" si="161"/>
        <v>►</v>
      </c>
      <c r="CE386" s="633"/>
      <c r="CF386" s="633"/>
      <c r="CG386" s="633"/>
      <c r="CH386" s="633"/>
      <c r="CI386" s="633"/>
      <c r="CJ386" s="227"/>
      <c r="CK386"/>
      <c r="CL386"/>
      <c r="CM386"/>
      <c r="CN386"/>
      <c r="CO386"/>
      <c r="CP386"/>
      <c r="CQ386"/>
      <c r="CR386" s="227"/>
      <c r="CS386"/>
      <c r="CT386"/>
      <c r="CU386"/>
      <c r="CV386"/>
      <c r="CW386"/>
      <c r="CX386"/>
      <c r="CY386"/>
      <c r="CZ386" s="227"/>
      <c r="DA386"/>
      <c r="DB386"/>
      <c r="DC386"/>
      <c r="DD386"/>
      <c r="DE386"/>
      <c r="DF386"/>
      <c r="DG386"/>
      <c r="DH386" s="227"/>
      <c r="DI386" s="3">
        <v>1</v>
      </c>
    </row>
    <row r="387" spans="2:113" s="627" customFormat="1" ht="21" customHeight="1">
      <c r="B387" s="2265" t="str" cm="1">
        <f t="array" ref="B387">SUMPRODUCT(--(D387:J387&lt;&gt;""), LEN(TRIM(SUBSTITUTE(D387:J387, CHAR(160), "")))) &amp; " Car."</f>
        <v>0 Car.</v>
      </c>
      <c r="C387" s="1376" t="str">
        <f>IF(ISBLANK(D387),"",LARGE(C13:C386,1)+1)</f>
        <v/>
      </c>
      <c r="D387" s="1833"/>
      <c r="E387" s="1810"/>
      <c r="F387" s="1810"/>
      <c r="G387" s="1810"/>
      <c r="H387" s="1810"/>
      <c r="I387" s="1810"/>
      <c r="J387" s="1810"/>
      <c r="K387" s="1810"/>
      <c r="L387" s="1811"/>
      <c r="M387"/>
      <c r="N387" s="103" t="str">
        <f t="shared" si="162"/>
        <v>►</v>
      </c>
      <c r="O387" s="1616"/>
      <c r="P387"/>
      <c r="Q387" s="103" t="s">
        <v>15</v>
      </c>
      <c r="R387" s="31"/>
      <c r="S387" s="32"/>
      <c r="T387" s="31"/>
      <c r="U387" s="33"/>
      <c r="V387" s="1804"/>
      <c r="W387" s="1805"/>
      <c r="X387" s="91"/>
      <c r="Y387" s="1806"/>
      <c r="Z387" s="1807"/>
      <c r="AA387" s="919"/>
      <c r="AB387" s="1813"/>
      <c r="AC387" s="1580"/>
      <c r="AD387" s="95"/>
      <c r="AE387" s="105"/>
      <c r="AF387" s="97"/>
      <c r="AG387" s="2080"/>
      <c r="AH387" s="2081"/>
      <c r="AI387" s="99"/>
      <c r="AJ387" s="1809"/>
      <c r="AK387" s="6120" t="str">
        <f t="shared" si="176"/>
        <v>►</v>
      </c>
      <c r="AL387" s="781" t="str">
        <f t="shared" si="164"/>
        <v>►</v>
      </c>
      <c r="AM387" s="5499" t="str">
        <f t="shared" si="167"/>
        <v/>
      </c>
      <c r="AN387" s="783" t="str">
        <f t="shared" si="168"/>
        <v/>
      </c>
      <c r="AO387" s="782" t="str">
        <f t="shared" si="169"/>
        <v/>
      </c>
      <c r="AP387" s="783" t="str">
        <f t="shared" si="170"/>
        <v/>
      </c>
      <c r="AQ387" s="2083" t="b">
        <f>AND(Q387="A",COUNTIF(BP16:BR63,TRIM(Z387))&gt;0)</f>
        <v>0</v>
      </c>
      <c r="AR387" s="797" t="str">
        <f>IF(AL387&lt;&gt;"A","",IFERROR(IFERROR(_xlfn.XLOOKUP(TRIM(SUBSTITUTE(Z387,CHAR(160)," ")),BP16:BP63,BS16:BS63),IFERROR(_xlfn.XLOOKUP(TRIM(SUBSTITUTE(Z387,CHAR(160)," ")),BQ16:BQ63,BS16:BS63),_xlfn.XLOOKUP(TRIM(SUBSTITUTE(Z387,CHAR(160)," ")),BR16:BR63,BS16:BS63)))*Y387*IF(ISBLANK(V387),1,V387),0))</f>
        <v/>
      </c>
      <c r="AS387" s="784" t="str">
        <f t="shared" si="160"/>
        <v/>
      </c>
      <c r="AT387" s="1315" t="str">
        <f t="shared" si="171"/>
        <v/>
      </c>
      <c r="AU387" s="785">
        <f t="shared" si="172"/>
        <v>0</v>
      </c>
      <c r="AV387" s="785">
        <f t="shared" si="173"/>
        <v>0</v>
      </c>
      <c r="AW387" s="786">
        <f>IF(AK387="A",AY10,0)</f>
        <v>0</v>
      </c>
      <c r="AX387" s="5495" t="str">
        <f>IF(IFERROR(SEARCH("Adresse PC",TRIM(W387)),0)&gt;0,"▼ receta siguiente",IF(AK387="A",IF(AZ10&lt;&gt;"",AZ10&amp;" - ou.or.o ❾ + or - &gt;",""),""))</f>
        <v/>
      </c>
      <c r="AY387" s="810"/>
      <c r="AZ387" s="810"/>
      <c r="BA387" s="788" t="str">
        <f t="shared" si="163"/>
        <v/>
      </c>
      <c r="BB387" s="789" t="str">
        <f>IF(AK387="A",IF(AQ387,IF(AND(AW387&lt;&gt;"",N(AW387)&gt;0),IFERROR(IFERROR(_xlfn.XLOOKUP(AP387,BP10:BP57,BT10:BT57),IFERROR(_xlfn.XLOOKUP(AP387,BQ10:BQ57,BT10:BT57),_xlfn.XLOOKUP(AP387,BR10:BR57,BT10:BT57,""))),""),""),""),"")</f>
        <v/>
      </c>
      <c r="BC387" s="811" cm="1">
        <f t="array" ref="BC387">IF(NOT(AQ387),0,IF(OR(BA387="",N(BA387)&lt;=0.000000001),"",IF(OR(AU387="",N(AU387)&lt;=0.000000001),0,IF(ISNUMBER(BA387),IFERROR(_xlfn.LET(_xlpm.ai_test,TRIM(AP387),_xlpm.r,IFERROR(_xlfn.XLOOKUP(_xlpm.ai_test,BP16:BP63,ROW(BP16:BP63),0,1),IFERROR(_xlfn.XLOOKUP(_xlpm.ai_test,BQ16:BQ63,ROW(BQ16:BQ63),0,1),_xlfn.XLOOKUP(_xlpm.ai_test,BR16:BR63,ROW(BR16:BR63),0,1))),_xlpm.p,_xlpm.r-MIN(ROW(BP16:BP63))+1,_xlpm.f,INDEX(BS16:BS63,_xlpm.p),_xlpm.u,INDEX(BT16:BT63,_xlpm.p),_xlpm.s,INDEX(BV16:BV63,_xlpm.p),_xlpm.q,N(BA387)/_xlpm.f,IF(_xlpm.q&gt;=_xlpm.s,ROUND(_xlpm.q,1)&amp;" "&amp;_xlpm.ai_test&amp;" = "&amp;ROUND(_xlpm.q*_xlpm.f,1)&amp;" "&amp;_xlpm.u,ROUND(_xlpm.q,1)&amp;" "&amp;_xlpm.ai_test)),""),""))))</f>
        <v>0</v>
      </c>
      <c r="BD387" s="801"/>
      <c r="BE387" s="788" t="str">
        <f t="shared" si="174"/>
        <v/>
      </c>
      <c r="BF387" s="789" t="str">
        <f t="shared" si="177"/>
        <v/>
      </c>
      <c r="BG387" s="790">
        <f t="shared" si="178"/>
        <v>0</v>
      </c>
      <c r="BH387" s="791" t="str">
        <f t="shared" si="179"/>
        <v/>
      </c>
      <c r="BI387" s="792"/>
      <c r="BJ387" s="793">
        <f t="shared" si="180"/>
        <v>0</v>
      </c>
      <c r="BK387" s="794" t="str">
        <f t="shared" si="175"/>
        <v/>
      </c>
      <c r="BL387" s="227" t="s">
        <v>21</v>
      </c>
      <c r="BM387" s="773">
        <f t="shared" si="165"/>
        <v>0</v>
      </c>
      <c r="BN387" s="774">
        <f t="shared" si="166"/>
        <v>0</v>
      </c>
      <c r="BO387"/>
      <c r="BX387"/>
      <c r="BY387"/>
      <c r="BZ387"/>
      <c r="CA387"/>
      <c r="CB387"/>
      <c r="CC387"/>
      <c r="CD387" s="781" t="str">
        <f t="shared" si="161"/>
        <v>►</v>
      </c>
      <c r="CE387" s="633"/>
      <c r="CF387" s="633"/>
      <c r="CG387" s="633"/>
      <c r="CH387" s="633"/>
      <c r="CI387" s="633"/>
      <c r="CJ387" s="227"/>
      <c r="CK387"/>
      <c r="CL387"/>
      <c r="CM387"/>
      <c r="CN387"/>
      <c r="CO387"/>
      <c r="CP387"/>
      <c r="CQ387"/>
      <c r="CR387" s="227"/>
      <c r="CS387"/>
      <c r="CT387"/>
      <c r="CU387"/>
      <c r="CV387"/>
      <c r="CW387"/>
      <c r="CX387"/>
      <c r="CY387"/>
      <c r="CZ387" s="227"/>
      <c r="DA387"/>
      <c r="DB387"/>
      <c r="DC387"/>
      <c r="DD387"/>
      <c r="DE387"/>
      <c r="DF387"/>
      <c r="DG387"/>
      <c r="DH387" s="227"/>
      <c r="DI387" s="3">
        <v>1</v>
      </c>
    </row>
    <row r="388" spans="2:113" s="627" customFormat="1" ht="21" customHeight="1">
      <c r="B388" s="2265" t="str" cm="1">
        <f t="array" ref="B388">SUMPRODUCT(--(D388:J388&lt;&gt;""), LEN(TRIM(SUBSTITUTE(D388:J388, CHAR(160), "")))) &amp; " Car."</f>
        <v>0 Car.</v>
      </c>
      <c r="C388" s="1376" t="str">
        <f>IF(ISBLANK(D388),"",LARGE(C13:C387,1)+1)</f>
        <v/>
      </c>
      <c r="D388" s="1833"/>
      <c r="E388" s="1810"/>
      <c r="F388" s="1810"/>
      <c r="G388" s="1810"/>
      <c r="H388" s="1810"/>
      <c r="I388" s="1810"/>
      <c r="J388" s="1810"/>
      <c r="K388" s="1810"/>
      <c r="L388" s="1811"/>
      <c r="M388"/>
      <c r="N388" s="103" t="str">
        <f t="shared" si="162"/>
        <v>►</v>
      </c>
      <c r="O388" s="1616"/>
      <c r="P388"/>
      <c r="Q388" s="103" t="s">
        <v>15</v>
      </c>
      <c r="R388" s="31"/>
      <c r="S388" s="32"/>
      <c r="T388" s="31"/>
      <c r="U388" s="33"/>
      <c r="V388" s="1804"/>
      <c r="W388" s="1805"/>
      <c r="X388" s="91"/>
      <c r="Y388" s="1806"/>
      <c r="Z388" s="1807"/>
      <c r="AA388" s="919"/>
      <c r="AB388" s="1813"/>
      <c r="AC388" s="1580"/>
      <c r="AD388" s="95"/>
      <c r="AE388" s="105"/>
      <c r="AF388" s="97"/>
      <c r="AG388" s="2080"/>
      <c r="AH388" s="2081"/>
      <c r="AI388" s="99"/>
      <c r="AJ388" s="1809"/>
      <c r="AK388" s="6120" t="str">
        <f t="shared" si="176"/>
        <v>►</v>
      </c>
      <c r="AL388" s="781" t="str">
        <f t="shared" si="164"/>
        <v>►</v>
      </c>
      <c r="AM388" s="5498" t="str">
        <f t="shared" si="167"/>
        <v/>
      </c>
      <c r="AN388" s="783" t="str">
        <f t="shared" si="168"/>
        <v/>
      </c>
      <c r="AO388" s="782" t="str">
        <f t="shared" si="169"/>
        <v/>
      </c>
      <c r="AP388" s="783" t="str">
        <f t="shared" si="170"/>
        <v/>
      </c>
      <c r="AQ388" s="2083" t="b">
        <f>AND(Q388="A",COUNTIF(BP16:BR63,TRIM(Z388))&gt;0)</f>
        <v>0</v>
      </c>
      <c r="AR388" s="797" t="str">
        <f>IF(AL388&lt;&gt;"A","",IFERROR(IFERROR(_xlfn.XLOOKUP(TRIM(SUBSTITUTE(Z388,CHAR(160)," ")),BP16:BP63,BS16:BS63),IFERROR(_xlfn.XLOOKUP(TRIM(SUBSTITUTE(Z388,CHAR(160)," ")),BQ16:BQ63,BS16:BS63),_xlfn.XLOOKUP(TRIM(SUBSTITUTE(Z388,CHAR(160)," ")),BR16:BR63,BS16:BS63)))*Y388*IF(ISBLANK(V388),1,V388),0))</f>
        <v/>
      </c>
      <c r="AS388" s="784" t="str">
        <f t="shared" si="160"/>
        <v/>
      </c>
      <c r="AT388" s="1315" t="str">
        <f t="shared" si="171"/>
        <v/>
      </c>
      <c r="AU388" s="785">
        <f t="shared" si="172"/>
        <v>0</v>
      </c>
      <c r="AV388" s="785">
        <f t="shared" si="173"/>
        <v>0</v>
      </c>
      <c r="AW388" s="798">
        <f>IF(AK388="A",AY10,0)</f>
        <v>0</v>
      </c>
      <c r="AX388" s="5496" t="str">
        <f>IF(IFERROR(SEARCH("Adresse PC",TRIM(W388)),0)&gt;0,"▼ receta siguiente",IF(AK388="A",IF(AZ10&lt;&gt;"",AZ10&amp;" - ou.or.o ❾ + or - &gt;",""),""))</f>
        <v/>
      </c>
      <c r="AY388" s="810"/>
      <c r="AZ388" s="810"/>
      <c r="BA388" s="799" t="str">
        <f t="shared" si="163"/>
        <v/>
      </c>
      <c r="BB388" s="800" t="str">
        <f>IF(AK388="A",IF(AQ388,IF(AND(AW388&lt;&gt;"",N(AW388)&gt;0),IFERROR(IFERROR(_xlfn.XLOOKUP(AP388,BP10:BP57,BT10:BT57),IFERROR(_xlfn.XLOOKUP(AP388,BQ10:BQ57,BT10:BT57),_xlfn.XLOOKUP(AP388,BR10:BR57,BT10:BT57,""))),""),""),""),"")</f>
        <v/>
      </c>
      <c r="BC388" s="813" cm="1">
        <f t="array" ref="BC388">IF(NOT(AQ388),0,IF(OR(BA388="",N(BA388)&lt;=0.000000001),"",IF(OR(AU388="",N(AU388)&lt;=0.000000001),0,IF(ISNUMBER(BA388),IFERROR(_xlfn.LET(_xlpm.ai_test,TRIM(AP388),_xlpm.r,IFERROR(_xlfn.XLOOKUP(_xlpm.ai_test,BP16:BP63,ROW(BP16:BP63),0,1),IFERROR(_xlfn.XLOOKUP(_xlpm.ai_test,BQ16:BQ63,ROW(BQ16:BQ63),0,1),_xlfn.XLOOKUP(_xlpm.ai_test,BR16:BR63,ROW(BR16:BR63),0,1))),_xlpm.p,_xlpm.r-MIN(ROW(BP16:BP63))+1,_xlpm.f,INDEX(BS16:BS63,_xlpm.p),_xlpm.u,INDEX(BT16:BT63,_xlpm.p),_xlpm.s,INDEX(BV16:BV63,_xlpm.p),_xlpm.q,N(BA388)/_xlpm.f,IF(_xlpm.q&gt;=_xlpm.s,ROUND(_xlpm.q,1)&amp;" "&amp;_xlpm.ai_test&amp;" = "&amp;ROUND(_xlpm.q*_xlpm.f,1)&amp;" "&amp;_xlpm.u,ROUND(_xlpm.q,1)&amp;" "&amp;_xlpm.ai_test)),""),""))))</f>
        <v>0</v>
      </c>
      <c r="BD388" s="801"/>
      <c r="BE388" s="799" t="str">
        <f t="shared" si="174"/>
        <v/>
      </c>
      <c r="BF388" s="800" t="str">
        <f t="shared" si="177"/>
        <v/>
      </c>
      <c r="BG388" s="802">
        <f t="shared" si="178"/>
        <v>0</v>
      </c>
      <c r="BH388" s="803" t="str">
        <f t="shared" si="179"/>
        <v/>
      </c>
      <c r="BI388" s="792"/>
      <c r="BJ388" s="804">
        <f t="shared" si="180"/>
        <v>0</v>
      </c>
      <c r="BK388" s="794" t="str">
        <f t="shared" si="175"/>
        <v/>
      </c>
      <c r="BL388" s="227" t="s">
        <v>21</v>
      </c>
      <c r="BM388" s="773">
        <f t="shared" si="165"/>
        <v>0</v>
      </c>
      <c r="BN388" s="774">
        <f t="shared" si="166"/>
        <v>0</v>
      </c>
      <c r="BO388"/>
      <c r="BX388"/>
      <c r="BY388"/>
      <c r="BZ388"/>
      <c r="CA388"/>
      <c r="CB388"/>
      <c r="CC388"/>
      <c r="CD388" s="781" t="str">
        <f t="shared" si="161"/>
        <v>►</v>
      </c>
      <c r="CE388" s="633"/>
      <c r="CF388" s="633"/>
      <c r="CG388" s="633"/>
      <c r="CH388" s="633"/>
      <c r="CI388" s="633"/>
      <c r="CJ388" s="227"/>
      <c r="CK388"/>
      <c r="CL388"/>
      <c r="CM388"/>
      <c r="CN388"/>
      <c r="CO388"/>
      <c r="CP388"/>
      <c r="CQ388"/>
      <c r="CR388" s="227"/>
      <c r="CS388"/>
      <c r="CT388"/>
      <c r="CU388"/>
      <c r="CV388"/>
      <c r="CW388"/>
      <c r="CX388"/>
      <c r="CY388"/>
      <c r="CZ388" s="227"/>
      <c r="DA388"/>
      <c r="DB388"/>
      <c r="DC388"/>
      <c r="DD388"/>
      <c r="DE388"/>
      <c r="DF388"/>
      <c r="DG388"/>
      <c r="DH388" s="227"/>
      <c r="DI388" s="3">
        <v>1</v>
      </c>
    </row>
    <row r="389" spans="2:113" s="627" customFormat="1" ht="21" customHeight="1">
      <c r="B389" s="2265" t="str" cm="1">
        <f t="array" ref="B389">SUMPRODUCT(--(D389:J389&lt;&gt;""), LEN(TRIM(SUBSTITUTE(D389:J389, CHAR(160), "")))) &amp; " Car."</f>
        <v>0 Car.</v>
      </c>
      <c r="C389" s="1376" t="str">
        <f>IF(ISBLANK(D389),"",LARGE(C13:C388,1)+1)</f>
        <v/>
      </c>
      <c r="D389" s="1833"/>
      <c r="E389" s="1810"/>
      <c r="F389" s="1810"/>
      <c r="G389" s="1810"/>
      <c r="H389" s="1810"/>
      <c r="I389" s="1810"/>
      <c r="J389" s="1810"/>
      <c r="K389" s="1810"/>
      <c r="L389" s="1811"/>
      <c r="M389"/>
      <c r="N389" s="103" t="str">
        <f t="shared" si="162"/>
        <v>►</v>
      </c>
      <c r="O389" s="1616"/>
      <c r="P389"/>
      <c r="Q389" s="103" t="s">
        <v>15</v>
      </c>
      <c r="R389" s="31"/>
      <c r="S389" s="32"/>
      <c r="T389" s="31"/>
      <c r="U389" s="33"/>
      <c r="V389" s="1804"/>
      <c r="W389" s="1805"/>
      <c r="X389" s="91"/>
      <c r="Y389" s="1806"/>
      <c r="Z389" s="1807"/>
      <c r="AA389" s="919"/>
      <c r="AB389" s="1813"/>
      <c r="AC389" s="1580"/>
      <c r="AD389" s="95"/>
      <c r="AE389" s="105"/>
      <c r="AF389" s="97"/>
      <c r="AG389" s="2080"/>
      <c r="AH389" s="2081"/>
      <c r="AI389" s="99"/>
      <c r="AJ389" s="1809"/>
      <c r="AK389" s="6120" t="str">
        <f t="shared" si="176"/>
        <v>►</v>
      </c>
      <c r="AL389" s="781" t="str">
        <f t="shared" si="164"/>
        <v>►</v>
      </c>
      <c r="AM389" s="5499" t="str">
        <f t="shared" si="167"/>
        <v/>
      </c>
      <c r="AN389" s="783" t="str">
        <f t="shared" si="168"/>
        <v/>
      </c>
      <c r="AO389" s="782" t="str">
        <f t="shared" si="169"/>
        <v/>
      </c>
      <c r="AP389" s="783" t="str">
        <f t="shared" si="170"/>
        <v/>
      </c>
      <c r="AQ389" s="2083" t="b">
        <f>AND(Q389="A",COUNTIF(BP16:BR63,TRIM(Z389))&gt;0)</f>
        <v>0</v>
      </c>
      <c r="AR389" s="797" t="str">
        <f>IF(AL389&lt;&gt;"A","",IFERROR(IFERROR(_xlfn.XLOOKUP(TRIM(SUBSTITUTE(Z389,CHAR(160)," ")),BP16:BP63,BS16:BS63),IFERROR(_xlfn.XLOOKUP(TRIM(SUBSTITUTE(Z389,CHAR(160)," ")),BQ16:BQ63,BS16:BS63),_xlfn.XLOOKUP(TRIM(SUBSTITUTE(Z389,CHAR(160)," ")),BR16:BR63,BS16:BS63)))*Y389*IF(ISBLANK(V389),1,V389),0))</f>
        <v/>
      </c>
      <c r="AS389" s="784" t="str">
        <f t="shared" si="160"/>
        <v/>
      </c>
      <c r="AT389" s="1315" t="str">
        <f t="shared" si="171"/>
        <v/>
      </c>
      <c r="AU389" s="785">
        <f t="shared" si="172"/>
        <v>0</v>
      </c>
      <c r="AV389" s="785">
        <f t="shared" si="173"/>
        <v>0</v>
      </c>
      <c r="AW389" s="786">
        <f>IF(AK389="A",AY10,0)</f>
        <v>0</v>
      </c>
      <c r="AX389" s="5495" t="str">
        <f>IF(IFERROR(SEARCH("Adresse PC",TRIM(W389)),0)&gt;0,"▼ receta siguiente",IF(AK389="A",IF(AZ10&lt;&gt;"",AZ10&amp;" - ou.or.o ❾ + or - &gt;",""),""))</f>
        <v/>
      </c>
      <c r="AY389" s="810"/>
      <c r="AZ389" s="810"/>
      <c r="BA389" s="788" t="str">
        <f t="shared" si="163"/>
        <v/>
      </c>
      <c r="BB389" s="789" t="str">
        <f>IF(AK389="A",IF(AQ389,IF(AND(AW389&lt;&gt;"",N(AW389)&gt;0),IFERROR(IFERROR(_xlfn.XLOOKUP(AP389,BP10:BP57,BT10:BT57),IFERROR(_xlfn.XLOOKUP(AP389,BQ10:BQ57,BT10:BT57),_xlfn.XLOOKUP(AP389,BR10:BR57,BT10:BT57,""))),""),""),""),"")</f>
        <v/>
      </c>
      <c r="BC389" s="811" cm="1">
        <f t="array" ref="BC389">IF(NOT(AQ389),0,IF(OR(BA389="",N(BA389)&lt;=0.000000001),"",IF(OR(AU389="",N(AU389)&lt;=0.000000001),0,IF(ISNUMBER(BA389),IFERROR(_xlfn.LET(_xlpm.ai_test,TRIM(AP389),_xlpm.r,IFERROR(_xlfn.XLOOKUP(_xlpm.ai_test,BP16:BP63,ROW(BP16:BP63),0,1),IFERROR(_xlfn.XLOOKUP(_xlpm.ai_test,BQ16:BQ63,ROW(BQ16:BQ63),0,1),_xlfn.XLOOKUP(_xlpm.ai_test,BR16:BR63,ROW(BR16:BR63),0,1))),_xlpm.p,_xlpm.r-MIN(ROW(BP16:BP63))+1,_xlpm.f,INDEX(BS16:BS63,_xlpm.p),_xlpm.u,INDEX(BT16:BT63,_xlpm.p),_xlpm.s,INDEX(BV16:BV63,_xlpm.p),_xlpm.q,N(BA389)/_xlpm.f,IF(_xlpm.q&gt;=_xlpm.s,ROUND(_xlpm.q,1)&amp;" "&amp;_xlpm.ai_test&amp;" = "&amp;ROUND(_xlpm.q*_xlpm.f,1)&amp;" "&amp;_xlpm.u,ROUND(_xlpm.q,1)&amp;" "&amp;_xlpm.ai_test)),""),""))))</f>
        <v>0</v>
      </c>
      <c r="BD389" s="801"/>
      <c r="BE389" s="788" t="str">
        <f t="shared" si="174"/>
        <v/>
      </c>
      <c r="BF389" s="789" t="str">
        <f t="shared" si="177"/>
        <v/>
      </c>
      <c r="BG389" s="790">
        <f t="shared" si="178"/>
        <v>0</v>
      </c>
      <c r="BH389" s="791" t="str">
        <f t="shared" si="179"/>
        <v/>
      </c>
      <c r="BI389" s="792"/>
      <c r="BJ389" s="793">
        <f t="shared" si="180"/>
        <v>0</v>
      </c>
      <c r="BK389" s="794" t="str">
        <f t="shared" si="175"/>
        <v/>
      </c>
      <c r="BL389" s="227" t="s">
        <v>21</v>
      </c>
      <c r="BM389" s="773">
        <f t="shared" si="165"/>
        <v>0</v>
      </c>
      <c r="BN389" s="774">
        <f t="shared" si="166"/>
        <v>0</v>
      </c>
      <c r="BO389"/>
      <c r="BX389"/>
      <c r="BY389"/>
      <c r="BZ389"/>
      <c r="CA389"/>
      <c r="CB389"/>
      <c r="CC389"/>
      <c r="CD389" s="781" t="str">
        <f t="shared" si="161"/>
        <v>►</v>
      </c>
      <c r="CE389" s="633"/>
      <c r="CF389" s="633"/>
      <c r="CG389" s="633"/>
      <c r="CH389" s="633"/>
      <c r="CI389" s="633"/>
      <c r="CJ389" s="227"/>
      <c r="CK389"/>
      <c r="CL389"/>
      <c r="CM389"/>
      <c r="CN389"/>
      <c r="CO389"/>
      <c r="CP389"/>
      <c r="CQ389"/>
      <c r="CR389" s="227"/>
      <c r="CS389"/>
      <c r="CT389"/>
      <c r="CU389"/>
      <c r="CV389"/>
      <c r="CW389"/>
      <c r="CX389"/>
      <c r="CY389"/>
      <c r="CZ389" s="227"/>
      <c r="DA389"/>
      <c r="DB389"/>
      <c r="DC389"/>
      <c r="DD389"/>
      <c r="DE389"/>
      <c r="DF389"/>
      <c r="DG389"/>
      <c r="DH389" s="227"/>
      <c r="DI389" s="3">
        <v>1</v>
      </c>
    </row>
    <row r="390" spans="2:113" s="627" customFormat="1" ht="21" customHeight="1">
      <c r="B390" s="2265" t="str" cm="1">
        <f t="array" ref="B390">SUMPRODUCT(--(D390:J390&lt;&gt;""), LEN(TRIM(SUBSTITUTE(D390:J390, CHAR(160), "")))) &amp; " Car."</f>
        <v>0 Car.</v>
      </c>
      <c r="C390" s="1376" t="str">
        <f>IF(ISBLANK(D390),"",LARGE(C13:C389,1)+1)</f>
        <v/>
      </c>
      <c r="D390" s="1833"/>
      <c r="E390" s="1810"/>
      <c r="F390" s="1810"/>
      <c r="G390" s="1810"/>
      <c r="H390" s="1810"/>
      <c r="I390" s="1810"/>
      <c r="J390" s="1810"/>
      <c r="K390" s="1810"/>
      <c r="L390" s="1811"/>
      <c r="M390"/>
      <c r="N390" s="103" t="str">
        <f t="shared" si="162"/>
        <v>►</v>
      </c>
      <c r="O390" s="1616"/>
      <c r="P390"/>
      <c r="Q390" s="103" t="s">
        <v>15</v>
      </c>
      <c r="R390" s="31"/>
      <c r="S390" s="32"/>
      <c r="T390" s="31"/>
      <c r="U390" s="33"/>
      <c r="V390" s="1804"/>
      <c r="W390" s="1805"/>
      <c r="X390" s="91"/>
      <c r="Y390" s="1806"/>
      <c r="Z390" s="1807"/>
      <c r="AA390" s="919"/>
      <c r="AB390" s="1813"/>
      <c r="AC390" s="1580"/>
      <c r="AD390" s="95"/>
      <c r="AE390" s="105"/>
      <c r="AF390" s="97"/>
      <c r="AG390" s="2080"/>
      <c r="AH390" s="2081"/>
      <c r="AI390" s="99"/>
      <c r="AJ390" s="1809"/>
      <c r="AK390" s="6120" t="str">
        <f t="shared" si="176"/>
        <v>►</v>
      </c>
      <c r="AL390" s="781" t="str">
        <f t="shared" si="164"/>
        <v>►</v>
      </c>
      <c r="AM390" s="5498" t="str">
        <f t="shared" si="167"/>
        <v/>
      </c>
      <c r="AN390" s="783" t="str">
        <f t="shared" si="168"/>
        <v/>
      </c>
      <c r="AO390" s="782" t="str">
        <f t="shared" si="169"/>
        <v/>
      </c>
      <c r="AP390" s="783" t="str">
        <f t="shared" si="170"/>
        <v/>
      </c>
      <c r="AQ390" s="2083" t="b">
        <f>AND(Q390="A",COUNTIF(BP16:BR63,TRIM(Z390))&gt;0)</f>
        <v>0</v>
      </c>
      <c r="AR390" s="797" t="str">
        <f>IF(AL390&lt;&gt;"A","",IFERROR(IFERROR(_xlfn.XLOOKUP(TRIM(SUBSTITUTE(Z390,CHAR(160)," ")),BP16:BP63,BS16:BS63),IFERROR(_xlfn.XLOOKUP(TRIM(SUBSTITUTE(Z390,CHAR(160)," ")),BQ16:BQ63,BS16:BS63),_xlfn.XLOOKUP(TRIM(SUBSTITUTE(Z390,CHAR(160)," ")),BR16:BR63,BS16:BS63)))*Y390*IF(ISBLANK(V390),1,V390),0))</f>
        <v/>
      </c>
      <c r="AS390" s="784" t="str">
        <f t="shared" si="160"/>
        <v/>
      </c>
      <c r="AT390" s="1315" t="str">
        <f t="shared" si="171"/>
        <v/>
      </c>
      <c r="AU390" s="785">
        <f t="shared" si="172"/>
        <v>0</v>
      </c>
      <c r="AV390" s="785">
        <f t="shared" si="173"/>
        <v>0</v>
      </c>
      <c r="AW390" s="798">
        <f>IF(AK390="A",AY10,0)</f>
        <v>0</v>
      </c>
      <c r="AX390" s="5496" t="str">
        <f>IF(IFERROR(SEARCH("Adresse PC",TRIM(W390)),0)&gt;0,"▼ receta siguiente",IF(AK390="A",IF(AZ10&lt;&gt;"",AZ10&amp;" - ou.or.o ❾ + or - &gt;",""),""))</f>
        <v/>
      </c>
      <c r="AY390" s="810"/>
      <c r="AZ390" s="810"/>
      <c r="BA390" s="799" t="str">
        <f t="shared" si="163"/>
        <v/>
      </c>
      <c r="BB390" s="800" t="str">
        <f>IF(AK390="A",IF(AQ390,IF(AND(AW390&lt;&gt;"",N(AW390)&gt;0),IFERROR(IFERROR(_xlfn.XLOOKUP(AP390,BP10:BP57,BT10:BT57),IFERROR(_xlfn.XLOOKUP(AP390,BQ10:BQ57,BT10:BT57),_xlfn.XLOOKUP(AP390,BR10:BR57,BT10:BT57,""))),""),""),""),"")</f>
        <v/>
      </c>
      <c r="BC390" s="813" cm="1">
        <f t="array" ref="BC390">IF(NOT(AQ390),0,IF(OR(BA390="",N(BA390)&lt;=0.000000001),"",IF(OR(AU390="",N(AU390)&lt;=0.000000001),0,IF(ISNUMBER(BA390),IFERROR(_xlfn.LET(_xlpm.ai_test,TRIM(AP390),_xlpm.r,IFERROR(_xlfn.XLOOKUP(_xlpm.ai_test,BP16:BP63,ROW(BP16:BP63),0,1),IFERROR(_xlfn.XLOOKUP(_xlpm.ai_test,BQ16:BQ63,ROW(BQ16:BQ63),0,1),_xlfn.XLOOKUP(_xlpm.ai_test,BR16:BR63,ROW(BR16:BR63),0,1))),_xlpm.p,_xlpm.r-MIN(ROW(BP16:BP63))+1,_xlpm.f,INDEX(BS16:BS63,_xlpm.p),_xlpm.u,INDEX(BT16:BT63,_xlpm.p),_xlpm.s,INDEX(BV16:BV63,_xlpm.p),_xlpm.q,N(BA390)/_xlpm.f,IF(_xlpm.q&gt;=_xlpm.s,ROUND(_xlpm.q,1)&amp;" "&amp;_xlpm.ai_test&amp;" = "&amp;ROUND(_xlpm.q*_xlpm.f,1)&amp;" "&amp;_xlpm.u,ROUND(_xlpm.q,1)&amp;" "&amp;_xlpm.ai_test)),""),""))))</f>
        <v>0</v>
      </c>
      <c r="BD390" s="801"/>
      <c r="BE390" s="799" t="str">
        <f t="shared" si="174"/>
        <v/>
      </c>
      <c r="BF390" s="800" t="str">
        <f t="shared" si="177"/>
        <v/>
      </c>
      <c r="BG390" s="802">
        <f t="shared" si="178"/>
        <v>0</v>
      </c>
      <c r="BH390" s="803" t="str">
        <f t="shared" si="179"/>
        <v/>
      </c>
      <c r="BI390" s="792"/>
      <c r="BJ390" s="804">
        <f t="shared" si="180"/>
        <v>0</v>
      </c>
      <c r="BK390" s="794" t="str">
        <f t="shared" si="175"/>
        <v/>
      </c>
      <c r="BL390" s="227" t="s">
        <v>21</v>
      </c>
      <c r="BM390" s="773">
        <f t="shared" si="165"/>
        <v>0</v>
      </c>
      <c r="BN390" s="774">
        <f t="shared" si="166"/>
        <v>0</v>
      </c>
      <c r="BO390"/>
      <c r="BX390"/>
      <c r="BY390"/>
      <c r="BZ390"/>
      <c r="CA390"/>
      <c r="CB390"/>
      <c r="CC390"/>
      <c r="CD390" s="781" t="str">
        <f t="shared" si="161"/>
        <v>►</v>
      </c>
      <c r="CE390" s="633"/>
      <c r="CF390" s="633"/>
      <c r="CG390" s="633"/>
      <c r="CH390" s="633"/>
      <c r="CI390" s="633"/>
      <c r="CJ390" s="227"/>
      <c r="CK390"/>
      <c r="CL390"/>
      <c r="CM390"/>
      <c r="CN390"/>
      <c r="CO390"/>
      <c r="CP390"/>
      <c r="CQ390"/>
      <c r="CR390" s="227"/>
      <c r="CS390"/>
      <c r="CT390"/>
      <c r="CU390"/>
      <c r="CV390"/>
      <c r="CW390"/>
      <c r="CX390"/>
      <c r="CY390"/>
      <c r="CZ390" s="227"/>
      <c r="DA390"/>
      <c r="DB390"/>
      <c r="DC390"/>
      <c r="DD390"/>
      <c r="DE390"/>
      <c r="DF390"/>
      <c r="DG390"/>
      <c r="DH390" s="227"/>
      <c r="DI390" s="3">
        <v>1</v>
      </c>
    </row>
    <row r="391" spans="2:113" s="627" customFormat="1" ht="21" customHeight="1">
      <c r="B391" s="2265" t="str" cm="1">
        <f t="array" ref="B391">SUMPRODUCT(--(D391:J391&lt;&gt;""), LEN(TRIM(SUBSTITUTE(D391:J391, CHAR(160), "")))) &amp; " Car."</f>
        <v>0 Car.</v>
      </c>
      <c r="C391" s="1376" t="str">
        <f>IF(ISBLANK(D391),"",LARGE(C13:C390,1)+1)</f>
        <v/>
      </c>
      <c r="D391" s="1833"/>
      <c r="E391" s="1810"/>
      <c r="F391" s="1810"/>
      <c r="G391" s="1810"/>
      <c r="H391" s="1810"/>
      <c r="I391" s="1810"/>
      <c r="J391" s="1810"/>
      <c r="K391" s="1810"/>
      <c r="L391" s="1811"/>
      <c r="M391"/>
      <c r="N391" s="103" t="str">
        <f t="shared" si="162"/>
        <v>►</v>
      </c>
      <c r="O391" s="1616"/>
      <c r="P391"/>
      <c r="Q391" s="103" t="s">
        <v>15</v>
      </c>
      <c r="R391" s="31"/>
      <c r="S391" s="32"/>
      <c r="T391" s="31"/>
      <c r="U391" s="33"/>
      <c r="V391" s="1804"/>
      <c r="W391" s="1805"/>
      <c r="X391" s="91"/>
      <c r="Y391" s="1806"/>
      <c r="Z391" s="1807"/>
      <c r="AA391" s="919"/>
      <c r="AB391" s="1813"/>
      <c r="AC391" s="1580"/>
      <c r="AD391" s="95"/>
      <c r="AE391" s="105"/>
      <c r="AF391" s="97"/>
      <c r="AG391" s="2080"/>
      <c r="AH391" s="2081"/>
      <c r="AI391" s="99"/>
      <c r="AJ391" s="1809"/>
      <c r="AK391" s="6120" t="str">
        <f t="shared" si="176"/>
        <v>►</v>
      </c>
      <c r="AL391" s="781" t="str">
        <f t="shared" si="164"/>
        <v>►</v>
      </c>
      <c r="AM391" s="5499" t="str">
        <f t="shared" si="167"/>
        <v/>
      </c>
      <c r="AN391" s="783" t="str">
        <f t="shared" si="168"/>
        <v/>
      </c>
      <c r="AO391" s="782" t="str">
        <f t="shared" si="169"/>
        <v/>
      </c>
      <c r="AP391" s="783" t="str">
        <f t="shared" si="170"/>
        <v/>
      </c>
      <c r="AQ391" s="2083" t="b">
        <f>AND(Q391="A",COUNTIF(BP16:BR63,TRIM(Z391))&gt;0)</f>
        <v>0</v>
      </c>
      <c r="AR391" s="797" t="str">
        <f>IF(AL391&lt;&gt;"A","",IFERROR(IFERROR(_xlfn.XLOOKUP(TRIM(SUBSTITUTE(Z391,CHAR(160)," ")),BP16:BP63,BS16:BS63),IFERROR(_xlfn.XLOOKUP(TRIM(SUBSTITUTE(Z391,CHAR(160)," ")),BQ16:BQ63,BS16:BS63),_xlfn.XLOOKUP(TRIM(SUBSTITUTE(Z391,CHAR(160)," ")),BR16:BR63,BS16:BS63)))*Y391*IF(ISBLANK(V391),1,V391),0))</f>
        <v/>
      </c>
      <c r="AS391" s="784" t="str">
        <f t="shared" ref="AS391:AS454" si="181">IF(AK391="A",IF(AND(AQ391,AR391&gt;0),"Kg",""),"")</f>
        <v/>
      </c>
      <c r="AT391" s="1315" t="str">
        <f t="shared" si="171"/>
        <v/>
      </c>
      <c r="AU391" s="785">
        <f t="shared" si="172"/>
        <v>0</v>
      </c>
      <c r="AV391" s="785">
        <f t="shared" si="173"/>
        <v>0</v>
      </c>
      <c r="AW391" s="786">
        <f>IF(AK391="A",AY10,0)</f>
        <v>0</v>
      </c>
      <c r="AX391" s="5495" t="str">
        <f>IF(IFERROR(SEARCH("Adresse PC",TRIM(W391)),0)&gt;0,"▼ receta siguiente",IF(AK391="A",IF(AZ10&lt;&gt;"",AZ10&amp;" - ou.or.o ❾ + or - &gt;",""),""))</f>
        <v/>
      </c>
      <c r="AY391" s="810"/>
      <c r="AZ391" s="810"/>
      <c r="BA391" s="788" t="str">
        <f t="shared" si="163"/>
        <v/>
      </c>
      <c r="BB391" s="789" t="str">
        <f>IF(AK391="A",IF(AQ391,IF(AND(AW391&lt;&gt;"",N(AW391)&gt;0),IFERROR(IFERROR(_xlfn.XLOOKUP(AP391,BP10:BP57,BT10:BT57),IFERROR(_xlfn.XLOOKUP(AP391,BQ10:BQ57,BT10:BT57),_xlfn.XLOOKUP(AP391,BR10:BR57,BT10:BT57,""))),""),""),""),"")</f>
        <v/>
      </c>
      <c r="BC391" s="811" cm="1">
        <f t="array" ref="BC391">IF(NOT(AQ391),0,IF(OR(BA391="",N(BA391)&lt;=0.000000001),"",IF(OR(AU391="",N(AU391)&lt;=0.000000001),0,IF(ISNUMBER(BA391),IFERROR(_xlfn.LET(_xlpm.ai_test,TRIM(AP391),_xlpm.r,IFERROR(_xlfn.XLOOKUP(_xlpm.ai_test,BP16:BP63,ROW(BP16:BP63),0,1),IFERROR(_xlfn.XLOOKUP(_xlpm.ai_test,BQ16:BQ63,ROW(BQ16:BQ63),0,1),_xlfn.XLOOKUP(_xlpm.ai_test,BR16:BR63,ROW(BR16:BR63),0,1))),_xlpm.p,_xlpm.r-MIN(ROW(BP16:BP63))+1,_xlpm.f,INDEX(BS16:BS63,_xlpm.p),_xlpm.u,INDEX(BT16:BT63,_xlpm.p),_xlpm.s,INDEX(BV16:BV63,_xlpm.p),_xlpm.q,N(BA391)/_xlpm.f,IF(_xlpm.q&gt;=_xlpm.s,ROUND(_xlpm.q,1)&amp;" "&amp;_xlpm.ai_test&amp;" = "&amp;ROUND(_xlpm.q*_xlpm.f,1)&amp;" "&amp;_xlpm.u,ROUND(_xlpm.q,1)&amp;" "&amp;_xlpm.ai_test)),""),""))))</f>
        <v>0</v>
      </c>
      <c r="BD391" s="801"/>
      <c r="BE391" s="788" t="str">
        <f t="shared" si="174"/>
        <v/>
      </c>
      <c r="BF391" s="789" t="str">
        <f t="shared" si="177"/>
        <v/>
      </c>
      <c r="BG391" s="790">
        <f t="shared" si="178"/>
        <v>0</v>
      </c>
      <c r="BH391" s="791" t="str">
        <f t="shared" si="179"/>
        <v/>
      </c>
      <c r="BI391" s="792"/>
      <c r="BJ391" s="793">
        <f t="shared" si="180"/>
        <v>0</v>
      </c>
      <c r="BK391" s="794" t="str">
        <f t="shared" si="175"/>
        <v/>
      </c>
      <c r="BL391" s="227" t="s">
        <v>21</v>
      </c>
      <c r="BM391" s="773">
        <f t="shared" si="165"/>
        <v>0</v>
      </c>
      <c r="BN391" s="774">
        <f t="shared" si="166"/>
        <v>0</v>
      </c>
      <c r="BO391"/>
      <c r="BX391"/>
      <c r="BY391"/>
      <c r="BZ391"/>
      <c r="CA391"/>
      <c r="CB391"/>
      <c r="CC391"/>
      <c r="CD391" s="781" t="str">
        <f t="shared" ref="CD391:CD454" si="182">AL391</f>
        <v>►</v>
      </c>
      <c r="CE391" s="633"/>
      <c r="CF391" s="633"/>
      <c r="CG391" s="633"/>
      <c r="CH391" s="633"/>
      <c r="CI391" s="633"/>
      <c r="CJ391" s="227"/>
      <c r="CK391"/>
      <c r="CL391"/>
      <c r="CM391"/>
      <c r="CN391"/>
      <c r="CO391"/>
      <c r="CP391"/>
      <c r="CQ391"/>
      <c r="CR391" s="227"/>
      <c r="CS391"/>
      <c r="CT391"/>
      <c r="CU391"/>
      <c r="CV391"/>
      <c r="CW391"/>
      <c r="CX391"/>
      <c r="CY391"/>
      <c r="CZ391" s="227"/>
      <c r="DA391"/>
      <c r="DB391"/>
      <c r="DC391"/>
      <c r="DD391"/>
      <c r="DE391"/>
      <c r="DF391"/>
      <c r="DG391"/>
      <c r="DH391" s="227"/>
      <c r="DI391" s="3">
        <v>1</v>
      </c>
    </row>
    <row r="392" spans="2:113" s="627" customFormat="1" ht="21" customHeight="1">
      <c r="B392" s="2265" t="str" cm="1">
        <f t="array" ref="B392">SUMPRODUCT(--(D392:J392&lt;&gt;""), LEN(TRIM(SUBSTITUTE(D392:J392, CHAR(160), "")))) &amp; " Car."</f>
        <v>0 Car.</v>
      </c>
      <c r="C392" s="1376" t="str">
        <f>IF(ISBLANK(D392),"",LARGE(C13:C391,1)+1)</f>
        <v/>
      </c>
      <c r="D392" s="1833"/>
      <c r="E392" s="1810"/>
      <c r="F392" s="1810"/>
      <c r="G392" s="1810"/>
      <c r="H392" s="1810"/>
      <c r="I392" s="1810"/>
      <c r="J392" s="1810"/>
      <c r="K392" s="1810"/>
      <c r="L392" s="1811"/>
      <c r="M392"/>
      <c r="N392" s="103" t="str">
        <f t="shared" si="162"/>
        <v>►</v>
      </c>
      <c r="O392" s="1616"/>
      <c r="P392"/>
      <c r="Q392" s="103" t="s">
        <v>15</v>
      </c>
      <c r="R392" s="31"/>
      <c r="S392" s="32"/>
      <c r="T392" s="31"/>
      <c r="U392" s="33"/>
      <c r="V392" s="1804"/>
      <c r="W392" s="1805"/>
      <c r="X392" s="91"/>
      <c r="Y392" s="1806"/>
      <c r="Z392" s="1807"/>
      <c r="AA392" s="919"/>
      <c r="AB392" s="1813"/>
      <c r="AC392" s="1580"/>
      <c r="AD392" s="95"/>
      <c r="AE392" s="105"/>
      <c r="AF392" s="97"/>
      <c r="AG392" s="2080"/>
      <c r="AH392" s="2081"/>
      <c r="AI392" s="99"/>
      <c r="AJ392" s="1809"/>
      <c r="AK392" s="6120" t="str">
        <f t="shared" si="176"/>
        <v>►</v>
      </c>
      <c r="AL392" s="781" t="str">
        <f t="shared" si="164"/>
        <v>►</v>
      </c>
      <c r="AM392" s="5498" t="str">
        <f t="shared" si="167"/>
        <v/>
      </c>
      <c r="AN392" s="783" t="str">
        <f t="shared" si="168"/>
        <v/>
      </c>
      <c r="AO392" s="782" t="str">
        <f t="shared" si="169"/>
        <v/>
      </c>
      <c r="AP392" s="783" t="str">
        <f t="shared" si="170"/>
        <v/>
      </c>
      <c r="AQ392" s="2083" t="b">
        <f>AND(Q392="A",COUNTIF(BP16:BR63,TRIM(Z392))&gt;0)</f>
        <v>0</v>
      </c>
      <c r="AR392" s="797" t="str">
        <f>IF(AL392&lt;&gt;"A","",IFERROR(IFERROR(_xlfn.XLOOKUP(TRIM(SUBSTITUTE(Z392,CHAR(160)," ")),BP16:BP63,BS16:BS63),IFERROR(_xlfn.XLOOKUP(TRIM(SUBSTITUTE(Z392,CHAR(160)," ")),BQ16:BQ63,BS16:BS63),_xlfn.XLOOKUP(TRIM(SUBSTITUTE(Z392,CHAR(160)," ")),BR16:BR63,BS16:BS63)))*Y392*IF(ISBLANK(V392),1,V392),0))</f>
        <v/>
      </c>
      <c r="AS392" s="784" t="str">
        <f t="shared" si="181"/>
        <v/>
      </c>
      <c r="AT392" s="1315" t="str">
        <f t="shared" si="171"/>
        <v/>
      </c>
      <c r="AU392" s="785">
        <f t="shared" si="172"/>
        <v>0</v>
      </c>
      <c r="AV392" s="785">
        <f t="shared" si="173"/>
        <v>0</v>
      </c>
      <c r="AW392" s="798">
        <f>IF(AK392="A",AY10,0)</f>
        <v>0</v>
      </c>
      <c r="AX392" s="5496" t="str">
        <f>IF(IFERROR(SEARCH("Adresse PC",TRIM(W392)),0)&gt;0,"▼ receta siguiente",IF(AK392="A",IF(AZ10&lt;&gt;"",AZ10&amp;" - ou.or.o ❾ + or - &gt;",""),""))</f>
        <v/>
      </c>
      <c r="AY392" s="810"/>
      <c r="AZ392" s="810"/>
      <c r="BA392" s="799" t="str">
        <f t="shared" si="163"/>
        <v/>
      </c>
      <c r="BB392" s="800" t="str">
        <f>IF(AK392="A",IF(AQ392,IF(AND(AW392&lt;&gt;"",N(AW392)&gt;0),IFERROR(IFERROR(_xlfn.XLOOKUP(AP392,BP10:BP57,BT10:BT57),IFERROR(_xlfn.XLOOKUP(AP392,BQ10:BQ57,BT10:BT57),_xlfn.XLOOKUP(AP392,BR10:BR57,BT10:BT57,""))),""),""),""),"")</f>
        <v/>
      </c>
      <c r="BC392" s="813" cm="1">
        <f t="array" ref="BC392">IF(NOT(AQ392),0,IF(OR(BA392="",N(BA392)&lt;=0.000000001),"",IF(OR(AU392="",N(AU392)&lt;=0.000000001),0,IF(ISNUMBER(BA392),IFERROR(_xlfn.LET(_xlpm.ai_test,TRIM(AP392),_xlpm.r,IFERROR(_xlfn.XLOOKUP(_xlpm.ai_test,BP16:BP63,ROW(BP16:BP63),0,1),IFERROR(_xlfn.XLOOKUP(_xlpm.ai_test,BQ16:BQ63,ROW(BQ16:BQ63),0,1),_xlfn.XLOOKUP(_xlpm.ai_test,BR16:BR63,ROW(BR16:BR63),0,1))),_xlpm.p,_xlpm.r-MIN(ROW(BP16:BP63))+1,_xlpm.f,INDEX(BS16:BS63,_xlpm.p),_xlpm.u,INDEX(BT16:BT63,_xlpm.p),_xlpm.s,INDEX(BV16:BV63,_xlpm.p),_xlpm.q,N(BA392)/_xlpm.f,IF(_xlpm.q&gt;=_xlpm.s,ROUND(_xlpm.q,1)&amp;" "&amp;_xlpm.ai_test&amp;" = "&amp;ROUND(_xlpm.q*_xlpm.f,1)&amp;" "&amp;_xlpm.u,ROUND(_xlpm.q,1)&amp;" "&amp;_xlpm.ai_test)),""),""))))</f>
        <v>0</v>
      </c>
      <c r="BD392" s="801"/>
      <c r="BE392" s="799" t="str">
        <f t="shared" si="174"/>
        <v/>
      </c>
      <c r="BF392" s="800" t="str">
        <f t="shared" si="177"/>
        <v/>
      </c>
      <c r="BG392" s="802">
        <f t="shared" si="178"/>
        <v>0</v>
      </c>
      <c r="BH392" s="803" t="str">
        <f t="shared" si="179"/>
        <v/>
      </c>
      <c r="BI392" s="792"/>
      <c r="BJ392" s="804">
        <f t="shared" si="180"/>
        <v>0</v>
      </c>
      <c r="BK392" s="794" t="str">
        <f t="shared" si="175"/>
        <v/>
      </c>
      <c r="BL392" s="227" t="s">
        <v>21</v>
      </c>
      <c r="BM392" s="773">
        <f t="shared" si="165"/>
        <v>0</v>
      </c>
      <c r="BN392" s="774">
        <f t="shared" si="166"/>
        <v>0</v>
      </c>
      <c r="BO392"/>
      <c r="BX392"/>
      <c r="BY392"/>
      <c r="BZ392"/>
      <c r="CA392"/>
      <c r="CB392"/>
      <c r="CC392"/>
      <c r="CD392" s="781" t="str">
        <f t="shared" si="182"/>
        <v>►</v>
      </c>
      <c r="CE392" s="633"/>
      <c r="CF392" s="633"/>
      <c r="CG392" s="633"/>
      <c r="CH392" s="633"/>
      <c r="CI392" s="633"/>
      <c r="CJ392" s="227"/>
      <c r="CK392"/>
      <c r="CL392"/>
      <c r="CM392"/>
      <c r="CN392"/>
      <c r="CO392"/>
      <c r="CP392"/>
      <c r="CQ392"/>
      <c r="CR392" s="227"/>
      <c r="CS392"/>
      <c r="CT392"/>
      <c r="CU392"/>
      <c r="CV392"/>
      <c r="CW392"/>
      <c r="CX392"/>
      <c r="CY392"/>
      <c r="CZ392" s="227"/>
      <c r="DA392"/>
      <c r="DB392"/>
      <c r="DC392"/>
      <c r="DD392"/>
      <c r="DE392"/>
      <c r="DF392"/>
      <c r="DG392"/>
      <c r="DH392" s="227"/>
      <c r="DI392" s="3">
        <v>1</v>
      </c>
    </row>
    <row r="393" spans="2:113" s="627" customFormat="1" ht="21" customHeight="1">
      <c r="B393" s="2265" t="str" cm="1">
        <f t="array" ref="B393">SUMPRODUCT(--(D393:J393&lt;&gt;""), LEN(TRIM(SUBSTITUTE(D393:J393, CHAR(160), "")))) &amp; " Car."</f>
        <v>0 Car.</v>
      </c>
      <c r="C393" s="1376" t="str">
        <f>IF(ISBLANK(D393),"",LARGE(C13:C392,1)+1)</f>
        <v/>
      </c>
      <c r="D393" s="1833"/>
      <c r="E393" s="1810"/>
      <c r="F393" s="1810"/>
      <c r="G393" s="1810"/>
      <c r="H393" s="1810"/>
      <c r="I393" s="1810"/>
      <c r="J393" s="1810"/>
      <c r="K393" s="1810"/>
      <c r="L393" s="1811"/>
      <c r="M393"/>
      <c r="N393" s="103" t="str">
        <f t="shared" si="162"/>
        <v>►</v>
      </c>
      <c r="O393" s="1616"/>
      <c r="P393"/>
      <c r="Q393" s="103" t="s">
        <v>15</v>
      </c>
      <c r="R393" s="31"/>
      <c r="S393" s="32"/>
      <c r="T393" s="31"/>
      <c r="U393" s="33"/>
      <c r="V393" s="1804"/>
      <c r="W393" s="1805"/>
      <c r="X393" s="91"/>
      <c r="Y393" s="1806"/>
      <c r="Z393" s="1807"/>
      <c r="AA393" s="919"/>
      <c r="AB393" s="1813"/>
      <c r="AC393" s="1580"/>
      <c r="AD393" s="95"/>
      <c r="AE393" s="105"/>
      <c r="AF393" s="97"/>
      <c r="AG393" s="2080"/>
      <c r="AH393" s="2081"/>
      <c r="AI393" s="99"/>
      <c r="AJ393" s="1809"/>
      <c r="AK393" s="6120" t="str">
        <f t="shared" si="176"/>
        <v>►</v>
      </c>
      <c r="AL393" s="781" t="str">
        <f t="shared" si="164"/>
        <v>►</v>
      </c>
      <c r="AM393" s="5499" t="str">
        <f t="shared" si="167"/>
        <v/>
      </c>
      <c r="AN393" s="783" t="str">
        <f t="shared" si="168"/>
        <v/>
      </c>
      <c r="AO393" s="782" t="str">
        <f t="shared" si="169"/>
        <v/>
      </c>
      <c r="AP393" s="783" t="str">
        <f t="shared" si="170"/>
        <v/>
      </c>
      <c r="AQ393" s="2083" t="b">
        <f>AND(Q393="A",COUNTIF(BP16:BR63,TRIM(Z393))&gt;0)</f>
        <v>0</v>
      </c>
      <c r="AR393" s="797" t="str">
        <f>IF(AL393&lt;&gt;"A","",IFERROR(IFERROR(_xlfn.XLOOKUP(TRIM(SUBSTITUTE(Z393,CHAR(160)," ")),BP16:BP63,BS16:BS63),IFERROR(_xlfn.XLOOKUP(TRIM(SUBSTITUTE(Z393,CHAR(160)," ")),BQ16:BQ63,BS16:BS63),_xlfn.XLOOKUP(TRIM(SUBSTITUTE(Z393,CHAR(160)," ")),BR16:BR63,BS16:BS63)))*Y393*IF(ISBLANK(V393),1,V393),0))</f>
        <v/>
      </c>
      <c r="AS393" s="784" t="str">
        <f t="shared" si="181"/>
        <v/>
      </c>
      <c r="AT393" s="1315" t="str">
        <f t="shared" si="171"/>
        <v/>
      </c>
      <c r="AU393" s="785">
        <f t="shared" si="172"/>
        <v>0</v>
      </c>
      <c r="AV393" s="785">
        <f t="shared" si="173"/>
        <v>0</v>
      </c>
      <c r="AW393" s="786">
        <f>IF(AK393="A",AY10,0)</f>
        <v>0</v>
      </c>
      <c r="AX393" s="5495" t="str">
        <f>IF(IFERROR(SEARCH("Adresse PC",TRIM(W393)),0)&gt;0,"▼ receta siguiente",IF(AK393="A",IF(AZ10&lt;&gt;"",AZ10&amp;" - ou.or.o ❾ + or - &gt;",""),""))</f>
        <v/>
      </c>
      <c r="AY393" s="810"/>
      <c r="AZ393" s="810"/>
      <c r="BA393" s="788" t="str">
        <f t="shared" si="163"/>
        <v/>
      </c>
      <c r="BB393" s="789" t="str">
        <f>IF(AK393="A",IF(AQ393,IF(AND(AW393&lt;&gt;"",N(AW393)&gt;0),IFERROR(IFERROR(_xlfn.XLOOKUP(AP393,BP10:BP57,BT10:BT57),IFERROR(_xlfn.XLOOKUP(AP393,BQ10:BQ57,BT10:BT57),_xlfn.XLOOKUP(AP393,BR10:BR57,BT10:BT57,""))),""),""),""),"")</f>
        <v/>
      </c>
      <c r="BC393" s="811" cm="1">
        <f t="array" ref="BC393">IF(NOT(AQ393),0,IF(OR(BA393="",N(BA393)&lt;=0.000000001),"",IF(OR(AU393="",N(AU393)&lt;=0.000000001),0,IF(ISNUMBER(BA393),IFERROR(_xlfn.LET(_xlpm.ai_test,TRIM(AP393),_xlpm.r,IFERROR(_xlfn.XLOOKUP(_xlpm.ai_test,BP16:BP63,ROW(BP16:BP63),0,1),IFERROR(_xlfn.XLOOKUP(_xlpm.ai_test,BQ16:BQ63,ROW(BQ16:BQ63),0,1),_xlfn.XLOOKUP(_xlpm.ai_test,BR16:BR63,ROW(BR16:BR63),0,1))),_xlpm.p,_xlpm.r-MIN(ROW(BP16:BP63))+1,_xlpm.f,INDEX(BS16:BS63,_xlpm.p),_xlpm.u,INDEX(BT16:BT63,_xlpm.p),_xlpm.s,INDEX(BV16:BV63,_xlpm.p),_xlpm.q,N(BA393)/_xlpm.f,IF(_xlpm.q&gt;=_xlpm.s,ROUND(_xlpm.q,1)&amp;" "&amp;_xlpm.ai_test&amp;" = "&amp;ROUND(_xlpm.q*_xlpm.f,1)&amp;" "&amp;_xlpm.u,ROUND(_xlpm.q,1)&amp;" "&amp;_xlpm.ai_test)),""),""))))</f>
        <v>0</v>
      </c>
      <c r="BD393" s="801"/>
      <c r="BE393" s="788" t="str">
        <f t="shared" si="174"/>
        <v/>
      </c>
      <c r="BF393" s="789" t="str">
        <f t="shared" si="177"/>
        <v/>
      </c>
      <c r="BG393" s="790">
        <f t="shared" si="178"/>
        <v>0</v>
      </c>
      <c r="BH393" s="791" t="str">
        <f t="shared" si="179"/>
        <v/>
      </c>
      <c r="BI393" s="792"/>
      <c r="BJ393" s="793">
        <f t="shared" si="180"/>
        <v>0</v>
      </c>
      <c r="BK393" s="794" t="str">
        <f t="shared" si="175"/>
        <v/>
      </c>
      <c r="BL393" s="227" t="s">
        <v>21</v>
      </c>
      <c r="BM393" s="773">
        <f t="shared" si="165"/>
        <v>0</v>
      </c>
      <c r="BN393" s="774">
        <f t="shared" si="166"/>
        <v>0</v>
      </c>
      <c r="BO393"/>
      <c r="BX393"/>
      <c r="BY393"/>
      <c r="BZ393"/>
      <c r="CA393"/>
      <c r="CB393"/>
      <c r="CC393"/>
      <c r="CD393" s="781" t="str">
        <f t="shared" si="182"/>
        <v>►</v>
      </c>
      <c r="CE393" s="633"/>
      <c r="CF393" s="633"/>
      <c r="CG393" s="633"/>
      <c r="CH393" s="633"/>
      <c r="CI393" s="633"/>
      <c r="CJ393" s="227"/>
      <c r="CK393"/>
      <c r="CL393"/>
      <c r="CM393"/>
      <c r="CN393"/>
      <c r="CO393"/>
      <c r="CP393"/>
      <c r="CQ393"/>
      <c r="CR393" s="227"/>
      <c r="CS393"/>
      <c r="CT393"/>
      <c r="CU393"/>
      <c r="CV393"/>
      <c r="CW393"/>
      <c r="CX393"/>
      <c r="CY393"/>
      <c r="CZ393" s="227"/>
      <c r="DA393"/>
      <c r="DB393"/>
      <c r="DC393"/>
      <c r="DD393"/>
      <c r="DE393"/>
      <c r="DF393"/>
      <c r="DG393"/>
      <c r="DH393" s="227"/>
      <c r="DI393" s="3">
        <v>1</v>
      </c>
    </row>
    <row r="394" spans="2:113" s="627" customFormat="1" ht="21" customHeight="1">
      <c r="B394" s="2265" t="str" cm="1">
        <f t="array" ref="B394">SUMPRODUCT(--(D394:J394&lt;&gt;""), LEN(TRIM(SUBSTITUTE(D394:J394, CHAR(160), "")))) &amp; " Car."</f>
        <v>0 Car.</v>
      </c>
      <c r="C394" s="1376" t="str">
        <f>IF(ISBLANK(D394),"",LARGE(C13:C393,1)+1)</f>
        <v/>
      </c>
      <c r="D394" s="1833"/>
      <c r="E394" s="1810"/>
      <c r="F394" s="1810"/>
      <c r="G394" s="1810"/>
      <c r="H394" s="1810"/>
      <c r="I394" s="1810"/>
      <c r="J394" s="1810"/>
      <c r="K394" s="1810"/>
      <c r="L394" s="1811"/>
      <c r="M394"/>
      <c r="N394" s="103" t="str">
        <f t="shared" si="162"/>
        <v>►</v>
      </c>
      <c r="O394" s="1616"/>
      <c r="P394"/>
      <c r="Q394" s="103" t="s">
        <v>15</v>
      </c>
      <c r="R394" s="31"/>
      <c r="S394" s="32"/>
      <c r="T394" s="31"/>
      <c r="U394" s="33"/>
      <c r="V394" s="1804"/>
      <c r="W394" s="1805"/>
      <c r="X394" s="91"/>
      <c r="Y394" s="1806"/>
      <c r="Z394" s="1807"/>
      <c r="AA394" s="919"/>
      <c r="AB394" s="1813"/>
      <c r="AC394" s="1580"/>
      <c r="AD394" s="95"/>
      <c r="AE394" s="105"/>
      <c r="AF394" s="97"/>
      <c r="AG394" s="2080"/>
      <c r="AH394" s="2081"/>
      <c r="AI394" s="99"/>
      <c r="AJ394" s="1809"/>
      <c r="AK394" s="6120" t="str">
        <f t="shared" si="176"/>
        <v>►</v>
      </c>
      <c r="AL394" s="781" t="str">
        <f t="shared" si="164"/>
        <v>►</v>
      </c>
      <c r="AM394" s="5498" t="str">
        <f t="shared" si="167"/>
        <v/>
      </c>
      <c r="AN394" s="783" t="str">
        <f t="shared" si="168"/>
        <v/>
      </c>
      <c r="AO394" s="782" t="str">
        <f t="shared" si="169"/>
        <v/>
      </c>
      <c r="AP394" s="783" t="str">
        <f t="shared" si="170"/>
        <v/>
      </c>
      <c r="AQ394" s="2083" t="b">
        <f>AND(Q394="A",COUNTIF(BP16:BR63,TRIM(Z394))&gt;0)</f>
        <v>0</v>
      </c>
      <c r="AR394" s="797" t="str">
        <f>IF(AL394&lt;&gt;"A","",IFERROR(IFERROR(_xlfn.XLOOKUP(TRIM(SUBSTITUTE(Z394,CHAR(160)," ")),BP16:BP63,BS16:BS63),IFERROR(_xlfn.XLOOKUP(TRIM(SUBSTITUTE(Z394,CHAR(160)," ")),BQ16:BQ63,BS16:BS63),_xlfn.XLOOKUP(TRIM(SUBSTITUTE(Z394,CHAR(160)," ")),BR16:BR63,BS16:BS63)))*Y394*IF(ISBLANK(V394),1,V394),0))</f>
        <v/>
      </c>
      <c r="AS394" s="784" t="str">
        <f t="shared" si="181"/>
        <v/>
      </c>
      <c r="AT394" s="1315" t="str">
        <f t="shared" si="171"/>
        <v/>
      </c>
      <c r="AU394" s="785">
        <f t="shared" si="172"/>
        <v>0</v>
      </c>
      <c r="AV394" s="785">
        <f t="shared" si="173"/>
        <v>0</v>
      </c>
      <c r="AW394" s="798">
        <f>IF(AK394="A",AY10,0)</f>
        <v>0</v>
      </c>
      <c r="AX394" s="5496" t="str">
        <f>IF(IFERROR(SEARCH("Adresse PC",TRIM(W394)),0)&gt;0,"▼ receta siguiente",IF(AK394="A",IF(AZ10&lt;&gt;"",AZ10&amp;" - ou.or.o ❾ + or - &gt;",""),""))</f>
        <v/>
      </c>
      <c r="AY394" s="810"/>
      <c r="AZ394" s="810"/>
      <c r="BA394" s="799" t="str">
        <f t="shared" si="163"/>
        <v/>
      </c>
      <c r="BB394" s="800" t="str">
        <f>IF(AK394="A",IF(AQ394,IF(AND(AW394&lt;&gt;"",N(AW394)&gt;0),IFERROR(IFERROR(_xlfn.XLOOKUP(AP394,BP10:BP57,BT10:BT57),IFERROR(_xlfn.XLOOKUP(AP394,BQ10:BQ57,BT10:BT57),_xlfn.XLOOKUP(AP394,BR10:BR57,BT10:BT57,""))),""),""),""),"")</f>
        <v/>
      </c>
      <c r="BC394" s="813" cm="1">
        <f t="array" ref="BC394">IF(NOT(AQ394),0,IF(OR(BA394="",N(BA394)&lt;=0.000000001),"",IF(OR(AU394="",N(AU394)&lt;=0.000000001),0,IF(ISNUMBER(BA394),IFERROR(_xlfn.LET(_xlpm.ai_test,TRIM(AP394),_xlpm.r,IFERROR(_xlfn.XLOOKUP(_xlpm.ai_test,BP16:BP63,ROW(BP16:BP63),0,1),IFERROR(_xlfn.XLOOKUP(_xlpm.ai_test,BQ16:BQ63,ROW(BQ16:BQ63),0,1),_xlfn.XLOOKUP(_xlpm.ai_test,BR16:BR63,ROW(BR16:BR63),0,1))),_xlpm.p,_xlpm.r-MIN(ROW(BP16:BP63))+1,_xlpm.f,INDEX(BS16:BS63,_xlpm.p),_xlpm.u,INDEX(BT16:BT63,_xlpm.p),_xlpm.s,INDEX(BV16:BV63,_xlpm.p),_xlpm.q,N(BA394)/_xlpm.f,IF(_xlpm.q&gt;=_xlpm.s,ROUND(_xlpm.q,1)&amp;" "&amp;_xlpm.ai_test&amp;" = "&amp;ROUND(_xlpm.q*_xlpm.f,1)&amp;" "&amp;_xlpm.u,ROUND(_xlpm.q,1)&amp;" "&amp;_xlpm.ai_test)),""),""))))</f>
        <v>0</v>
      </c>
      <c r="BD394" s="801"/>
      <c r="BE394" s="799" t="str">
        <f t="shared" si="174"/>
        <v/>
      </c>
      <c r="BF394" s="800" t="str">
        <f t="shared" si="177"/>
        <v/>
      </c>
      <c r="BG394" s="802">
        <f t="shared" si="178"/>
        <v>0</v>
      </c>
      <c r="BH394" s="803" t="str">
        <f t="shared" si="179"/>
        <v/>
      </c>
      <c r="BI394" s="792"/>
      <c r="BJ394" s="804">
        <f t="shared" si="180"/>
        <v>0</v>
      </c>
      <c r="BK394" s="794" t="str">
        <f t="shared" si="175"/>
        <v/>
      </c>
      <c r="BL394" s="227" t="s">
        <v>21</v>
      </c>
      <c r="BM394" s="773">
        <f t="shared" si="165"/>
        <v>0</v>
      </c>
      <c r="BN394" s="774">
        <f t="shared" si="166"/>
        <v>0</v>
      </c>
      <c r="BO394"/>
      <c r="BX394"/>
      <c r="BY394"/>
      <c r="BZ394"/>
      <c r="CA394"/>
      <c r="CB394"/>
      <c r="CC394"/>
      <c r="CD394" s="781" t="str">
        <f t="shared" si="182"/>
        <v>►</v>
      </c>
      <c r="CE394" s="633"/>
      <c r="CF394" s="633"/>
      <c r="CG394" s="633"/>
      <c r="CH394" s="633"/>
      <c r="CI394" s="633"/>
      <c r="CJ394" s="227"/>
      <c r="CK394"/>
      <c r="CL394"/>
      <c r="CM394"/>
      <c r="CN394"/>
      <c r="CO394"/>
      <c r="CP394"/>
      <c r="CQ394"/>
      <c r="CR394" s="227"/>
      <c r="CS394"/>
      <c r="CT394"/>
      <c r="CU394"/>
      <c r="CV394"/>
      <c r="CW394"/>
      <c r="CX394"/>
      <c r="CY394"/>
      <c r="CZ394" s="227"/>
      <c r="DA394"/>
      <c r="DB394"/>
      <c r="DC394"/>
      <c r="DD394"/>
      <c r="DE394"/>
      <c r="DF394"/>
      <c r="DG394"/>
      <c r="DH394" s="227"/>
      <c r="DI394" s="3">
        <v>1</v>
      </c>
    </row>
    <row r="395" spans="2:113" s="627" customFormat="1" ht="21" customHeight="1">
      <c r="B395" s="2265" t="str" cm="1">
        <f t="array" ref="B395">SUMPRODUCT(--(D395:J395&lt;&gt;""), LEN(TRIM(SUBSTITUTE(D395:J395, CHAR(160), "")))) &amp; " Car."</f>
        <v>0 Car.</v>
      </c>
      <c r="C395" s="1376" t="str">
        <f>IF(ISBLANK(D395),"",LARGE(C13:C394,1)+1)</f>
        <v/>
      </c>
      <c r="D395" s="1833"/>
      <c r="E395" s="1810"/>
      <c r="F395" s="1810"/>
      <c r="G395" s="1810"/>
      <c r="H395" s="1810"/>
      <c r="I395" s="1810"/>
      <c r="J395" s="1810"/>
      <c r="K395" s="1810"/>
      <c r="L395" s="1811"/>
      <c r="M395"/>
      <c r="N395" s="103" t="str">
        <f t="shared" si="162"/>
        <v>►</v>
      </c>
      <c r="O395" s="1616"/>
      <c r="P395"/>
      <c r="Q395" s="103" t="s">
        <v>15</v>
      </c>
      <c r="R395" s="31"/>
      <c r="S395" s="32"/>
      <c r="T395" s="31"/>
      <c r="U395" s="33"/>
      <c r="V395" s="1804"/>
      <c r="W395" s="1805"/>
      <c r="X395" s="91"/>
      <c r="Y395" s="1806"/>
      <c r="Z395" s="1807"/>
      <c r="AA395" s="919"/>
      <c r="AB395" s="1813"/>
      <c r="AC395" s="1580"/>
      <c r="AD395" s="95"/>
      <c r="AE395" s="105"/>
      <c r="AF395" s="97"/>
      <c r="AG395" s="2080"/>
      <c r="AH395" s="2081"/>
      <c r="AI395" s="99"/>
      <c r="AJ395" s="1809"/>
      <c r="AK395" s="6120" t="str">
        <f t="shared" si="176"/>
        <v>►</v>
      </c>
      <c r="AL395" s="781" t="str">
        <f t="shared" si="164"/>
        <v>►</v>
      </c>
      <c r="AM395" s="5499" t="str">
        <f t="shared" si="167"/>
        <v/>
      </c>
      <c r="AN395" s="783" t="str">
        <f t="shared" si="168"/>
        <v/>
      </c>
      <c r="AO395" s="782" t="str">
        <f t="shared" si="169"/>
        <v/>
      </c>
      <c r="AP395" s="783" t="str">
        <f t="shared" si="170"/>
        <v/>
      </c>
      <c r="AQ395" s="2083" t="b">
        <f>AND(Q395="A",COUNTIF(BP16:BR63,TRIM(Z395))&gt;0)</f>
        <v>0</v>
      </c>
      <c r="AR395" s="797" t="str">
        <f>IF(AL395&lt;&gt;"A","",IFERROR(IFERROR(_xlfn.XLOOKUP(TRIM(SUBSTITUTE(Z395,CHAR(160)," ")),BP16:BP63,BS16:BS63),IFERROR(_xlfn.XLOOKUP(TRIM(SUBSTITUTE(Z395,CHAR(160)," ")),BQ16:BQ63,BS16:BS63),_xlfn.XLOOKUP(TRIM(SUBSTITUTE(Z395,CHAR(160)," ")),BR16:BR63,BS16:BS63)))*Y395*IF(ISBLANK(V395),1,V395),0))</f>
        <v/>
      </c>
      <c r="AS395" s="784" t="str">
        <f t="shared" si="181"/>
        <v/>
      </c>
      <c r="AT395" s="1315" t="str">
        <f t="shared" si="171"/>
        <v/>
      </c>
      <c r="AU395" s="785">
        <f t="shared" si="172"/>
        <v>0</v>
      </c>
      <c r="AV395" s="785">
        <f t="shared" si="173"/>
        <v>0</v>
      </c>
      <c r="AW395" s="786">
        <f>IF(AK395="A",AY10,0)</f>
        <v>0</v>
      </c>
      <c r="AX395" s="5495" t="str">
        <f>IF(IFERROR(SEARCH("Adresse PC",TRIM(W395)),0)&gt;0,"▼ receta siguiente",IF(AK395="A",IF(AZ10&lt;&gt;"",AZ10&amp;" - ou.or.o ❾ + or - &gt;",""),""))</f>
        <v/>
      </c>
      <c r="AY395" s="810"/>
      <c r="AZ395" s="810"/>
      <c r="BA395" s="788" t="str">
        <f t="shared" si="163"/>
        <v/>
      </c>
      <c r="BB395" s="789" t="str">
        <f>IF(AK395="A",IF(AQ395,IF(AND(AW395&lt;&gt;"",N(AW395)&gt;0),IFERROR(IFERROR(_xlfn.XLOOKUP(AP395,BP10:BP57,BT10:BT57),IFERROR(_xlfn.XLOOKUP(AP395,BQ10:BQ57,BT10:BT57),_xlfn.XLOOKUP(AP395,BR10:BR57,BT10:BT57,""))),""),""),""),"")</f>
        <v/>
      </c>
      <c r="BC395" s="811" cm="1">
        <f t="array" ref="BC395">IF(NOT(AQ395),0,IF(OR(BA395="",N(BA395)&lt;=0.000000001),"",IF(OR(AU395="",N(AU395)&lt;=0.000000001),0,IF(ISNUMBER(BA395),IFERROR(_xlfn.LET(_xlpm.ai_test,TRIM(AP395),_xlpm.r,IFERROR(_xlfn.XLOOKUP(_xlpm.ai_test,BP16:BP63,ROW(BP16:BP63),0,1),IFERROR(_xlfn.XLOOKUP(_xlpm.ai_test,BQ16:BQ63,ROW(BQ16:BQ63),0,1),_xlfn.XLOOKUP(_xlpm.ai_test,BR16:BR63,ROW(BR16:BR63),0,1))),_xlpm.p,_xlpm.r-MIN(ROW(BP16:BP63))+1,_xlpm.f,INDEX(BS16:BS63,_xlpm.p),_xlpm.u,INDEX(BT16:BT63,_xlpm.p),_xlpm.s,INDEX(BV16:BV63,_xlpm.p),_xlpm.q,N(BA395)/_xlpm.f,IF(_xlpm.q&gt;=_xlpm.s,ROUND(_xlpm.q,1)&amp;" "&amp;_xlpm.ai_test&amp;" = "&amp;ROUND(_xlpm.q*_xlpm.f,1)&amp;" "&amp;_xlpm.u,ROUND(_xlpm.q,1)&amp;" "&amp;_xlpm.ai_test)),""),""))))</f>
        <v>0</v>
      </c>
      <c r="BD395" s="801"/>
      <c r="BE395" s="788" t="str">
        <f t="shared" si="174"/>
        <v/>
      </c>
      <c r="BF395" s="789" t="str">
        <f t="shared" si="177"/>
        <v/>
      </c>
      <c r="BG395" s="790">
        <f t="shared" si="178"/>
        <v>0</v>
      </c>
      <c r="BH395" s="791" t="str">
        <f t="shared" si="179"/>
        <v/>
      </c>
      <c r="BI395" s="792"/>
      <c r="BJ395" s="793">
        <f t="shared" si="180"/>
        <v>0</v>
      </c>
      <c r="BK395" s="794" t="str">
        <f t="shared" si="175"/>
        <v/>
      </c>
      <c r="BL395" s="227" t="s">
        <v>21</v>
      </c>
      <c r="BM395" s="773">
        <f t="shared" si="165"/>
        <v>0</v>
      </c>
      <c r="BN395" s="774">
        <f t="shared" si="166"/>
        <v>0</v>
      </c>
      <c r="BO395"/>
      <c r="BX395"/>
      <c r="BY395"/>
      <c r="BZ395"/>
      <c r="CA395"/>
      <c r="CB395"/>
      <c r="CC395"/>
      <c r="CD395" s="781" t="str">
        <f t="shared" si="182"/>
        <v>►</v>
      </c>
      <c r="CE395" s="633"/>
      <c r="CF395" s="633"/>
      <c r="CG395" s="633"/>
      <c r="CH395" s="633"/>
      <c r="CI395" s="633"/>
      <c r="CJ395" s="227"/>
      <c r="CK395"/>
      <c r="CL395"/>
      <c r="CM395"/>
      <c r="CN395"/>
      <c r="CO395"/>
      <c r="CP395"/>
      <c r="CQ395"/>
      <c r="CR395" s="227"/>
      <c r="CS395"/>
      <c r="CT395"/>
      <c r="CU395"/>
      <c r="CV395"/>
      <c r="CW395"/>
      <c r="CX395"/>
      <c r="CY395"/>
      <c r="CZ395" s="227"/>
      <c r="DA395"/>
      <c r="DB395"/>
      <c r="DC395"/>
      <c r="DD395"/>
      <c r="DE395"/>
      <c r="DF395"/>
      <c r="DG395"/>
      <c r="DH395" s="227"/>
      <c r="DI395" s="3">
        <v>1</v>
      </c>
    </row>
    <row r="396" spans="2:113" s="627" customFormat="1" ht="21" customHeight="1">
      <c r="B396" s="2265" t="str" cm="1">
        <f t="array" ref="B396">SUMPRODUCT(--(D396:J396&lt;&gt;""), LEN(TRIM(SUBSTITUTE(D396:J396, CHAR(160), "")))) &amp; " Car."</f>
        <v>0 Car.</v>
      </c>
      <c r="C396" s="1376" t="str">
        <f>IF(ISBLANK(D396),"",LARGE(C13:C395,1)+1)</f>
        <v/>
      </c>
      <c r="D396" s="1833"/>
      <c r="E396" s="1810"/>
      <c r="F396" s="1810"/>
      <c r="G396" s="1810"/>
      <c r="H396" s="1810"/>
      <c r="I396" s="1810"/>
      <c r="J396" s="1810"/>
      <c r="K396" s="1810"/>
      <c r="L396" s="1811"/>
      <c r="M396"/>
      <c r="N396" s="103" t="str">
        <f t="shared" si="162"/>
        <v>►</v>
      </c>
      <c r="O396" s="1616"/>
      <c r="P396"/>
      <c r="Q396" s="103" t="s">
        <v>15</v>
      </c>
      <c r="R396" s="31"/>
      <c r="S396" s="32"/>
      <c r="T396" s="31"/>
      <c r="U396" s="33"/>
      <c r="V396" s="1804"/>
      <c r="W396" s="1805"/>
      <c r="X396" s="91"/>
      <c r="Y396" s="1806"/>
      <c r="Z396" s="1807"/>
      <c r="AA396" s="919"/>
      <c r="AB396" s="1813"/>
      <c r="AC396" s="1580"/>
      <c r="AD396" s="95"/>
      <c r="AE396" s="105"/>
      <c r="AF396" s="97"/>
      <c r="AG396" s="2080"/>
      <c r="AH396" s="2081"/>
      <c r="AI396" s="99"/>
      <c r="AJ396" s="1809"/>
      <c r="AK396" s="6120" t="str">
        <f t="shared" si="176"/>
        <v>►</v>
      </c>
      <c r="AL396" s="781" t="str">
        <f t="shared" si="164"/>
        <v>►</v>
      </c>
      <c r="AM396" s="5498" t="str">
        <f t="shared" si="167"/>
        <v/>
      </c>
      <c r="AN396" s="783" t="str">
        <f t="shared" si="168"/>
        <v/>
      </c>
      <c r="AO396" s="782" t="str">
        <f t="shared" si="169"/>
        <v/>
      </c>
      <c r="AP396" s="783" t="str">
        <f t="shared" si="170"/>
        <v/>
      </c>
      <c r="AQ396" s="2083" t="b">
        <f>AND(Q396="A",COUNTIF(BP16:BR63,TRIM(Z396))&gt;0)</f>
        <v>0</v>
      </c>
      <c r="AR396" s="797" t="str">
        <f>IF(AL396&lt;&gt;"A","",IFERROR(IFERROR(_xlfn.XLOOKUP(TRIM(SUBSTITUTE(Z396,CHAR(160)," ")),BP16:BP63,BS16:BS63),IFERROR(_xlfn.XLOOKUP(TRIM(SUBSTITUTE(Z396,CHAR(160)," ")),BQ16:BQ63,BS16:BS63),_xlfn.XLOOKUP(TRIM(SUBSTITUTE(Z396,CHAR(160)," ")),BR16:BR63,BS16:BS63)))*Y396*IF(ISBLANK(V396),1,V396),0))</f>
        <v/>
      </c>
      <c r="AS396" s="784" t="str">
        <f t="shared" si="181"/>
        <v/>
      </c>
      <c r="AT396" s="1315" t="str">
        <f t="shared" si="171"/>
        <v/>
      </c>
      <c r="AU396" s="785">
        <f t="shared" si="172"/>
        <v>0</v>
      </c>
      <c r="AV396" s="785">
        <f t="shared" si="173"/>
        <v>0</v>
      </c>
      <c r="AW396" s="798">
        <f>IF(AK396="A",AY10,0)</f>
        <v>0</v>
      </c>
      <c r="AX396" s="5496" t="str">
        <f>IF(IFERROR(SEARCH("Adresse PC",TRIM(W396)),0)&gt;0,"▼ receta siguiente",IF(AK396="A",IF(AZ10&lt;&gt;"",AZ10&amp;" - ou.or.o ❾ + or - &gt;",""),""))</f>
        <v/>
      </c>
      <c r="AY396" s="810"/>
      <c r="AZ396" s="810"/>
      <c r="BA396" s="799" t="str">
        <f t="shared" si="163"/>
        <v/>
      </c>
      <c r="BB396" s="800" t="str">
        <f>IF(AK396="A",IF(AQ396,IF(AND(AW396&lt;&gt;"",N(AW396)&gt;0),IFERROR(IFERROR(_xlfn.XLOOKUP(AP396,BP10:BP57,BT10:BT57),IFERROR(_xlfn.XLOOKUP(AP396,BQ10:BQ57,BT10:BT57),_xlfn.XLOOKUP(AP396,BR10:BR57,BT10:BT57,""))),""),""),""),"")</f>
        <v/>
      </c>
      <c r="BC396" s="813" cm="1">
        <f t="array" ref="BC396">IF(NOT(AQ396),0,IF(OR(BA396="",N(BA396)&lt;=0.000000001),"",IF(OR(AU396="",N(AU396)&lt;=0.000000001),0,IF(ISNUMBER(BA396),IFERROR(_xlfn.LET(_xlpm.ai_test,TRIM(AP396),_xlpm.r,IFERROR(_xlfn.XLOOKUP(_xlpm.ai_test,BP16:BP63,ROW(BP16:BP63),0,1),IFERROR(_xlfn.XLOOKUP(_xlpm.ai_test,BQ16:BQ63,ROW(BQ16:BQ63),0,1),_xlfn.XLOOKUP(_xlpm.ai_test,BR16:BR63,ROW(BR16:BR63),0,1))),_xlpm.p,_xlpm.r-MIN(ROW(BP16:BP63))+1,_xlpm.f,INDEX(BS16:BS63,_xlpm.p),_xlpm.u,INDEX(BT16:BT63,_xlpm.p),_xlpm.s,INDEX(BV16:BV63,_xlpm.p),_xlpm.q,N(BA396)/_xlpm.f,IF(_xlpm.q&gt;=_xlpm.s,ROUND(_xlpm.q,1)&amp;" "&amp;_xlpm.ai_test&amp;" = "&amp;ROUND(_xlpm.q*_xlpm.f,1)&amp;" "&amp;_xlpm.u,ROUND(_xlpm.q,1)&amp;" "&amp;_xlpm.ai_test)),""),""))))</f>
        <v>0</v>
      </c>
      <c r="BD396" s="801"/>
      <c r="BE396" s="799" t="str">
        <f t="shared" si="174"/>
        <v/>
      </c>
      <c r="BF396" s="800" t="str">
        <f t="shared" si="177"/>
        <v/>
      </c>
      <c r="BG396" s="802">
        <f t="shared" si="178"/>
        <v>0</v>
      </c>
      <c r="BH396" s="803" t="str">
        <f t="shared" si="179"/>
        <v/>
      </c>
      <c r="BI396" s="792"/>
      <c r="BJ396" s="804">
        <f t="shared" si="180"/>
        <v>0</v>
      </c>
      <c r="BK396" s="794" t="str">
        <f t="shared" si="175"/>
        <v/>
      </c>
      <c r="BL396" s="227" t="s">
        <v>21</v>
      </c>
      <c r="BM396" s="773">
        <f t="shared" si="165"/>
        <v>0</v>
      </c>
      <c r="BN396" s="774">
        <f t="shared" si="166"/>
        <v>0</v>
      </c>
      <c r="BO396"/>
      <c r="BX396"/>
      <c r="BY396"/>
      <c r="BZ396"/>
      <c r="CA396"/>
      <c r="CB396"/>
      <c r="CC396"/>
      <c r="CD396" s="781" t="str">
        <f t="shared" si="182"/>
        <v>►</v>
      </c>
      <c r="CE396" s="633"/>
      <c r="CF396" s="633"/>
      <c r="CG396" s="633"/>
      <c r="CH396" s="633"/>
      <c r="CI396" s="633"/>
      <c r="CJ396" s="227"/>
      <c r="CK396"/>
      <c r="CL396"/>
      <c r="CM396"/>
      <c r="CN396"/>
      <c r="CO396"/>
      <c r="CP396"/>
      <c r="CQ396"/>
      <c r="CR396" s="227"/>
      <c r="CS396"/>
      <c r="CT396"/>
      <c r="CU396"/>
      <c r="CV396"/>
      <c r="CW396"/>
      <c r="CX396"/>
      <c r="CY396"/>
      <c r="CZ396" s="227"/>
      <c r="DA396"/>
      <c r="DB396"/>
      <c r="DC396"/>
      <c r="DD396"/>
      <c r="DE396"/>
      <c r="DF396"/>
      <c r="DG396"/>
      <c r="DH396" s="227"/>
      <c r="DI396" s="3">
        <v>1</v>
      </c>
    </row>
    <row r="397" spans="2:113" s="627" customFormat="1" ht="21" customHeight="1">
      <c r="B397" s="2265" t="str" cm="1">
        <f t="array" ref="B397">SUMPRODUCT(--(D397:J397&lt;&gt;""), LEN(TRIM(SUBSTITUTE(D397:J397, CHAR(160), "")))) &amp; " Car."</f>
        <v>0 Car.</v>
      </c>
      <c r="C397" s="1376" t="str">
        <f>IF(ISBLANK(D397),"",LARGE(C13:C396,1)+1)</f>
        <v/>
      </c>
      <c r="D397" s="1833"/>
      <c r="E397" s="1810"/>
      <c r="F397" s="1810"/>
      <c r="G397" s="1810"/>
      <c r="H397" s="1810"/>
      <c r="I397" s="1810"/>
      <c r="J397" s="1810"/>
      <c r="K397" s="1810"/>
      <c r="L397" s="1811"/>
      <c r="M397"/>
      <c r="N397" s="103" t="str">
        <f t="shared" si="162"/>
        <v>►</v>
      </c>
      <c r="O397" s="1616"/>
      <c r="P397"/>
      <c r="Q397" s="103" t="s">
        <v>15</v>
      </c>
      <c r="R397" s="31"/>
      <c r="S397" s="32"/>
      <c r="T397" s="31"/>
      <c r="U397" s="33"/>
      <c r="V397" s="1804"/>
      <c r="W397" s="1805"/>
      <c r="X397" s="91"/>
      <c r="Y397" s="1806"/>
      <c r="Z397" s="1807"/>
      <c r="AA397" s="919"/>
      <c r="AB397" s="1813"/>
      <c r="AC397" s="1580"/>
      <c r="AD397" s="95"/>
      <c r="AE397" s="105"/>
      <c r="AF397" s="97"/>
      <c r="AG397" s="2080"/>
      <c r="AH397" s="2081"/>
      <c r="AI397" s="99"/>
      <c r="AJ397" s="1809"/>
      <c r="AK397" s="6120" t="str">
        <f t="shared" si="176"/>
        <v>►</v>
      </c>
      <c r="AL397" s="781" t="str">
        <f t="shared" si="164"/>
        <v>►</v>
      </c>
      <c r="AM397" s="5499" t="str">
        <f t="shared" si="167"/>
        <v/>
      </c>
      <c r="AN397" s="783" t="str">
        <f t="shared" si="168"/>
        <v/>
      </c>
      <c r="AO397" s="782" t="str">
        <f t="shared" si="169"/>
        <v/>
      </c>
      <c r="AP397" s="783" t="str">
        <f t="shared" si="170"/>
        <v/>
      </c>
      <c r="AQ397" s="2083" t="b">
        <f>AND(Q397="A",COUNTIF(BP16:BR63,TRIM(Z397))&gt;0)</f>
        <v>0</v>
      </c>
      <c r="AR397" s="797" t="str">
        <f>IF(AL397&lt;&gt;"A","",IFERROR(IFERROR(_xlfn.XLOOKUP(TRIM(SUBSTITUTE(Z397,CHAR(160)," ")),BP16:BP63,BS16:BS63),IFERROR(_xlfn.XLOOKUP(TRIM(SUBSTITUTE(Z397,CHAR(160)," ")),BQ16:BQ63,BS16:BS63),_xlfn.XLOOKUP(TRIM(SUBSTITUTE(Z397,CHAR(160)," ")),BR16:BR63,BS16:BS63)))*Y397*IF(ISBLANK(V397),1,V397),0))</f>
        <v/>
      </c>
      <c r="AS397" s="784" t="str">
        <f t="shared" si="181"/>
        <v/>
      </c>
      <c r="AT397" s="1315" t="str">
        <f t="shared" si="171"/>
        <v/>
      </c>
      <c r="AU397" s="785">
        <f t="shared" si="172"/>
        <v>0</v>
      </c>
      <c r="AV397" s="785">
        <f t="shared" si="173"/>
        <v>0</v>
      </c>
      <c r="AW397" s="786">
        <f>IF(AK397="A",AY10,0)</f>
        <v>0</v>
      </c>
      <c r="AX397" s="5495" t="str">
        <f>IF(IFERROR(SEARCH("Adresse PC",TRIM(W397)),0)&gt;0,"▼ receta siguiente",IF(AK397="A",IF(AZ10&lt;&gt;"",AZ10&amp;" - ou.or.o ❾ + or - &gt;",""),""))</f>
        <v/>
      </c>
      <c r="AY397" s="810"/>
      <c r="AZ397" s="810"/>
      <c r="BA397" s="788" t="str">
        <f t="shared" si="163"/>
        <v/>
      </c>
      <c r="BB397" s="789" t="str">
        <f>IF(AK397="A",IF(AQ397,IF(AND(AW397&lt;&gt;"",N(AW397)&gt;0),IFERROR(IFERROR(_xlfn.XLOOKUP(AP397,BP10:BP57,BT10:BT57),IFERROR(_xlfn.XLOOKUP(AP397,BQ10:BQ57,BT10:BT57),_xlfn.XLOOKUP(AP397,BR10:BR57,BT10:BT57,""))),""),""),""),"")</f>
        <v/>
      </c>
      <c r="BC397" s="811" cm="1">
        <f t="array" ref="BC397">IF(NOT(AQ397),0,IF(OR(BA397="",N(BA397)&lt;=0.000000001),"",IF(OR(AU397="",N(AU397)&lt;=0.000000001),0,IF(ISNUMBER(BA397),IFERROR(_xlfn.LET(_xlpm.ai_test,TRIM(AP397),_xlpm.r,IFERROR(_xlfn.XLOOKUP(_xlpm.ai_test,BP16:BP63,ROW(BP16:BP63),0,1),IFERROR(_xlfn.XLOOKUP(_xlpm.ai_test,BQ16:BQ63,ROW(BQ16:BQ63),0,1),_xlfn.XLOOKUP(_xlpm.ai_test,BR16:BR63,ROW(BR16:BR63),0,1))),_xlpm.p,_xlpm.r-MIN(ROW(BP16:BP63))+1,_xlpm.f,INDEX(BS16:BS63,_xlpm.p),_xlpm.u,INDEX(BT16:BT63,_xlpm.p),_xlpm.s,INDEX(BV16:BV63,_xlpm.p),_xlpm.q,N(BA397)/_xlpm.f,IF(_xlpm.q&gt;=_xlpm.s,ROUND(_xlpm.q,1)&amp;" "&amp;_xlpm.ai_test&amp;" = "&amp;ROUND(_xlpm.q*_xlpm.f,1)&amp;" "&amp;_xlpm.u,ROUND(_xlpm.q,1)&amp;" "&amp;_xlpm.ai_test)),""),""))))</f>
        <v>0</v>
      </c>
      <c r="BD397" s="801"/>
      <c r="BE397" s="788" t="str">
        <f t="shared" si="174"/>
        <v/>
      </c>
      <c r="BF397" s="789" t="str">
        <f t="shared" si="177"/>
        <v/>
      </c>
      <c r="BG397" s="790">
        <f t="shared" si="178"/>
        <v>0</v>
      </c>
      <c r="BH397" s="791" t="str">
        <f t="shared" si="179"/>
        <v/>
      </c>
      <c r="BI397" s="792"/>
      <c r="BJ397" s="793">
        <f t="shared" si="180"/>
        <v>0</v>
      </c>
      <c r="BK397" s="794" t="str">
        <f t="shared" si="175"/>
        <v/>
      </c>
      <c r="BL397" s="227" t="s">
        <v>21</v>
      </c>
      <c r="BM397" s="773">
        <f t="shared" si="165"/>
        <v>0</v>
      </c>
      <c r="BN397" s="774">
        <f t="shared" si="166"/>
        <v>0</v>
      </c>
      <c r="BO397"/>
      <c r="BX397"/>
      <c r="BY397"/>
      <c r="BZ397"/>
      <c r="CA397"/>
      <c r="CB397"/>
      <c r="CC397"/>
      <c r="CD397" s="781" t="str">
        <f t="shared" si="182"/>
        <v>►</v>
      </c>
      <c r="CE397" s="633"/>
      <c r="CF397" s="633"/>
      <c r="CG397" s="633"/>
      <c r="CH397" s="633"/>
      <c r="CI397" s="633"/>
      <c r="CJ397" s="227"/>
      <c r="CK397"/>
      <c r="CL397"/>
      <c r="CM397"/>
      <c r="CN397"/>
      <c r="CO397"/>
      <c r="CP397"/>
      <c r="CQ397"/>
      <c r="CR397" s="227"/>
      <c r="CS397"/>
      <c r="CT397"/>
      <c r="CU397"/>
      <c r="CV397"/>
      <c r="CW397"/>
      <c r="CX397"/>
      <c r="CY397"/>
      <c r="CZ397" s="227"/>
      <c r="DA397"/>
      <c r="DB397"/>
      <c r="DC397"/>
      <c r="DD397"/>
      <c r="DE397"/>
      <c r="DF397"/>
      <c r="DG397"/>
      <c r="DH397" s="227"/>
      <c r="DI397" s="3">
        <v>1</v>
      </c>
    </row>
    <row r="398" spans="2:113" s="627" customFormat="1" ht="21" customHeight="1">
      <c r="B398" s="2265" t="str" cm="1">
        <f t="array" ref="B398">SUMPRODUCT(--(D398:J398&lt;&gt;""), LEN(TRIM(SUBSTITUTE(D398:J398, CHAR(160), "")))) &amp; " Car."</f>
        <v>0 Car.</v>
      </c>
      <c r="C398" s="1376" t="str">
        <f>IF(ISBLANK(D398),"",LARGE(C13:C397,1)+1)</f>
        <v/>
      </c>
      <c r="D398" s="1833"/>
      <c r="E398" s="1810"/>
      <c r="F398" s="1810"/>
      <c r="G398" s="1810"/>
      <c r="H398" s="1810"/>
      <c r="I398" s="1810"/>
      <c r="J398" s="1810"/>
      <c r="K398" s="1810"/>
      <c r="L398" s="1811"/>
      <c r="M398"/>
      <c r="N398" s="103" t="str">
        <f t="shared" ref="N398:N461" si="183">Q398</f>
        <v>►</v>
      </c>
      <c r="O398" s="1616"/>
      <c r="P398"/>
      <c r="Q398" s="103" t="s">
        <v>15</v>
      </c>
      <c r="R398" s="31"/>
      <c r="S398" s="32"/>
      <c r="T398" s="31"/>
      <c r="U398" s="33"/>
      <c r="V398" s="1804"/>
      <c r="W398" s="1805"/>
      <c r="X398" s="91"/>
      <c r="Y398" s="1806"/>
      <c r="Z398" s="1807"/>
      <c r="AA398" s="919"/>
      <c r="AB398" s="1813"/>
      <c r="AC398" s="1580"/>
      <c r="AD398" s="95"/>
      <c r="AE398" s="105"/>
      <c r="AF398" s="97"/>
      <c r="AG398" s="2080"/>
      <c r="AH398" s="2081"/>
      <c r="AI398" s="99"/>
      <c r="AJ398" s="1809"/>
      <c r="AK398" s="6120" t="str">
        <f t="shared" si="176"/>
        <v>►</v>
      </c>
      <c r="AL398" s="781" t="str">
        <f t="shared" si="164"/>
        <v>►</v>
      </c>
      <c r="AM398" s="5498" t="str">
        <f t="shared" si="167"/>
        <v/>
      </c>
      <c r="AN398" s="783" t="str">
        <f t="shared" si="168"/>
        <v/>
      </c>
      <c r="AO398" s="782" t="str">
        <f t="shared" si="169"/>
        <v/>
      </c>
      <c r="AP398" s="783" t="str">
        <f t="shared" si="170"/>
        <v/>
      </c>
      <c r="AQ398" s="2083" t="b">
        <f>AND(Q398="A",COUNTIF(BP16:BR63,TRIM(Z398))&gt;0)</f>
        <v>0</v>
      </c>
      <c r="AR398" s="797" t="str">
        <f>IF(AL398&lt;&gt;"A","",IFERROR(IFERROR(_xlfn.XLOOKUP(TRIM(SUBSTITUTE(Z398,CHAR(160)," ")),BP16:BP63,BS16:BS63),IFERROR(_xlfn.XLOOKUP(TRIM(SUBSTITUTE(Z398,CHAR(160)," ")),BQ16:BQ63,BS16:BS63),_xlfn.XLOOKUP(TRIM(SUBSTITUTE(Z398,CHAR(160)," ")),BR16:BR63,BS16:BS63)))*Y398*IF(ISBLANK(V398),1,V398),0))</f>
        <v/>
      </c>
      <c r="AS398" s="784" t="str">
        <f t="shared" si="181"/>
        <v/>
      </c>
      <c r="AT398" s="1315" t="str">
        <f t="shared" si="171"/>
        <v/>
      </c>
      <c r="AU398" s="785">
        <f t="shared" si="172"/>
        <v>0</v>
      </c>
      <c r="AV398" s="785">
        <f t="shared" si="173"/>
        <v>0</v>
      </c>
      <c r="AW398" s="798">
        <f>IF(AK398="A",AY10,0)</f>
        <v>0</v>
      </c>
      <c r="AX398" s="5496" t="str">
        <f>IF(IFERROR(SEARCH("Adresse PC",TRIM(W398)),0)&gt;0,"▼ receta siguiente",IF(AK398="A",IF(AZ10&lt;&gt;"",AZ10&amp;" - ou.or.o ❾ + or - &gt;",""),""))</f>
        <v/>
      </c>
      <c r="AY398" s="810"/>
      <c r="AZ398" s="810"/>
      <c r="BA398" s="799" t="str">
        <f t="shared" si="163"/>
        <v/>
      </c>
      <c r="BB398" s="800" t="str">
        <f>IF(AK398="A",IF(AQ398,IF(AND(AW398&lt;&gt;"",N(AW398)&gt;0),IFERROR(IFERROR(_xlfn.XLOOKUP(AP398,BP10:BP57,BT10:BT57),IFERROR(_xlfn.XLOOKUP(AP398,BQ10:BQ57,BT10:BT57),_xlfn.XLOOKUP(AP398,BR10:BR57,BT10:BT57,""))),""),""),""),"")</f>
        <v/>
      </c>
      <c r="BC398" s="813" cm="1">
        <f t="array" ref="BC398">IF(NOT(AQ398),0,IF(OR(BA398="",N(BA398)&lt;=0.000000001),"",IF(OR(AU398="",N(AU398)&lt;=0.000000001),0,IF(ISNUMBER(BA398),IFERROR(_xlfn.LET(_xlpm.ai_test,TRIM(AP398),_xlpm.r,IFERROR(_xlfn.XLOOKUP(_xlpm.ai_test,BP16:BP63,ROW(BP16:BP63),0,1),IFERROR(_xlfn.XLOOKUP(_xlpm.ai_test,BQ16:BQ63,ROW(BQ16:BQ63),0,1),_xlfn.XLOOKUP(_xlpm.ai_test,BR16:BR63,ROW(BR16:BR63),0,1))),_xlpm.p,_xlpm.r-MIN(ROW(BP16:BP63))+1,_xlpm.f,INDEX(BS16:BS63,_xlpm.p),_xlpm.u,INDEX(BT16:BT63,_xlpm.p),_xlpm.s,INDEX(BV16:BV63,_xlpm.p),_xlpm.q,N(BA398)/_xlpm.f,IF(_xlpm.q&gt;=_xlpm.s,ROUND(_xlpm.q,1)&amp;" "&amp;_xlpm.ai_test&amp;" = "&amp;ROUND(_xlpm.q*_xlpm.f,1)&amp;" "&amp;_xlpm.u,ROUND(_xlpm.q,1)&amp;" "&amp;_xlpm.ai_test)),""),""))))</f>
        <v>0</v>
      </c>
      <c r="BD398" s="801"/>
      <c r="BE398" s="799" t="str">
        <f t="shared" si="174"/>
        <v/>
      </c>
      <c r="BF398" s="800" t="str">
        <f t="shared" si="177"/>
        <v/>
      </c>
      <c r="BG398" s="802">
        <f t="shared" si="178"/>
        <v>0</v>
      </c>
      <c r="BH398" s="803" t="str">
        <f t="shared" si="179"/>
        <v/>
      </c>
      <c r="BI398" s="792"/>
      <c r="BJ398" s="804">
        <f t="shared" si="180"/>
        <v>0</v>
      </c>
      <c r="BK398" s="794" t="str">
        <f t="shared" si="175"/>
        <v/>
      </c>
      <c r="BL398" s="227" t="s">
        <v>21</v>
      </c>
      <c r="BM398" s="773">
        <f t="shared" si="165"/>
        <v>0</v>
      </c>
      <c r="BN398" s="774">
        <f t="shared" si="166"/>
        <v>0</v>
      </c>
      <c r="BO398"/>
      <c r="BX398"/>
      <c r="BY398"/>
      <c r="BZ398"/>
      <c r="CA398"/>
      <c r="CB398"/>
      <c r="CC398"/>
      <c r="CD398" s="781" t="str">
        <f t="shared" si="182"/>
        <v>►</v>
      </c>
      <c r="CE398" s="633"/>
      <c r="CF398" s="633"/>
      <c r="CG398" s="633"/>
      <c r="CH398" s="633"/>
      <c r="CI398" s="633"/>
      <c r="CJ398" s="227"/>
      <c r="CK398"/>
      <c r="CL398"/>
      <c r="CM398"/>
      <c r="CN398"/>
      <c r="CO398"/>
      <c r="CP398"/>
      <c r="CQ398"/>
      <c r="CR398" s="227"/>
      <c r="CS398"/>
      <c r="CT398"/>
      <c r="CU398"/>
      <c r="CV398"/>
      <c r="CW398"/>
      <c r="CX398"/>
      <c r="CY398"/>
      <c r="CZ398" s="227"/>
      <c r="DA398"/>
      <c r="DB398"/>
      <c r="DC398"/>
      <c r="DD398"/>
      <c r="DE398"/>
      <c r="DF398"/>
      <c r="DG398"/>
      <c r="DH398" s="227"/>
      <c r="DI398" s="3">
        <v>1</v>
      </c>
    </row>
    <row r="399" spans="2:113" s="627" customFormat="1" ht="21" customHeight="1">
      <c r="B399" s="2265" t="str" cm="1">
        <f t="array" ref="B399">SUMPRODUCT(--(D399:J399&lt;&gt;""), LEN(TRIM(SUBSTITUTE(D399:J399, CHAR(160), "")))) &amp; " Car."</f>
        <v>0 Car.</v>
      </c>
      <c r="C399" s="1376" t="str">
        <f>IF(ISBLANK(D399),"",LARGE(C13:C398,1)+1)</f>
        <v/>
      </c>
      <c r="D399" s="1833"/>
      <c r="E399" s="1810"/>
      <c r="F399" s="1810"/>
      <c r="G399" s="1810"/>
      <c r="H399" s="1810"/>
      <c r="I399" s="1810"/>
      <c r="J399" s="1810"/>
      <c r="K399" s="1810"/>
      <c r="L399" s="1811"/>
      <c r="M399"/>
      <c r="N399" s="103" t="str">
        <f t="shared" si="183"/>
        <v>►</v>
      </c>
      <c r="O399" s="1616"/>
      <c r="P399"/>
      <c r="Q399" s="103" t="s">
        <v>15</v>
      </c>
      <c r="R399" s="31"/>
      <c r="S399" s="32"/>
      <c r="T399" s="31"/>
      <c r="U399" s="33"/>
      <c r="V399" s="1804"/>
      <c r="W399" s="1805"/>
      <c r="X399" s="91"/>
      <c r="Y399" s="1806"/>
      <c r="Z399" s="1807"/>
      <c r="AA399" s="919"/>
      <c r="AB399" s="1813"/>
      <c r="AC399" s="1580"/>
      <c r="AD399" s="95"/>
      <c r="AE399" s="105"/>
      <c r="AF399" s="97"/>
      <c r="AG399" s="2080"/>
      <c r="AH399" s="2081"/>
      <c r="AI399" s="99"/>
      <c r="AJ399" s="1809"/>
      <c r="AK399" s="6120" t="str">
        <f t="shared" si="176"/>
        <v>►</v>
      </c>
      <c r="AL399" s="781" t="str">
        <f t="shared" si="164"/>
        <v>►</v>
      </c>
      <c r="AM399" s="5499" t="str">
        <f t="shared" si="167"/>
        <v/>
      </c>
      <c r="AN399" s="783" t="str">
        <f t="shared" si="168"/>
        <v/>
      </c>
      <c r="AO399" s="782" t="str">
        <f t="shared" si="169"/>
        <v/>
      </c>
      <c r="AP399" s="783" t="str">
        <f t="shared" si="170"/>
        <v/>
      </c>
      <c r="AQ399" s="2083" t="b">
        <f>AND(Q399="A",COUNTIF(BP16:BR63,TRIM(Z399))&gt;0)</f>
        <v>0</v>
      </c>
      <c r="AR399" s="797" t="str">
        <f>IF(AL399&lt;&gt;"A","",IFERROR(IFERROR(_xlfn.XLOOKUP(TRIM(SUBSTITUTE(Z399,CHAR(160)," ")),BP16:BP63,BS16:BS63),IFERROR(_xlfn.XLOOKUP(TRIM(SUBSTITUTE(Z399,CHAR(160)," ")),BQ16:BQ63,BS16:BS63),_xlfn.XLOOKUP(TRIM(SUBSTITUTE(Z399,CHAR(160)," ")),BR16:BR63,BS16:BS63)))*Y399*IF(ISBLANK(V399),1,V399),0))</f>
        <v/>
      </c>
      <c r="AS399" s="784" t="str">
        <f t="shared" si="181"/>
        <v/>
      </c>
      <c r="AT399" s="1315" t="str">
        <f t="shared" si="171"/>
        <v/>
      </c>
      <c r="AU399" s="785">
        <f t="shared" si="172"/>
        <v>0</v>
      </c>
      <c r="AV399" s="785">
        <f t="shared" si="173"/>
        <v>0</v>
      </c>
      <c r="AW399" s="786">
        <f>IF(AK399="A",AY10,0)</f>
        <v>0</v>
      </c>
      <c r="AX399" s="5495" t="str">
        <f>IF(IFERROR(SEARCH("Adresse PC",TRIM(W399)),0)&gt;0,"▼ receta siguiente",IF(AK399="A",IF(AZ10&lt;&gt;"",AZ10&amp;" - ou.or.o ❾ + or - &gt;",""),""))</f>
        <v/>
      </c>
      <c r="AY399" s="810"/>
      <c r="AZ399" s="810"/>
      <c r="BA399" s="788" t="str">
        <f t="shared" si="163"/>
        <v/>
      </c>
      <c r="BB399" s="789" t="str">
        <f>IF(AK399="A",IF(AQ399,IF(AND(AW399&lt;&gt;"",N(AW399)&gt;0),IFERROR(IFERROR(_xlfn.XLOOKUP(AP399,BP10:BP57,BT10:BT57),IFERROR(_xlfn.XLOOKUP(AP399,BQ10:BQ57,BT10:BT57),_xlfn.XLOOKUP(AP399,BR10:BR57,BT10:BT57,""))),""),""),""),"")</f>
        <v/>
      </c>
      <c r="BC399" s="811" cm="1">
        <f t="array" ref="BC399">IF(NOT(AQ399),0,IF(OR(BA399="",N(BA399)&lt;=0.000000001),"",IF(OR(AU399="",N(AU399)&lt;=0.000000001),0,IF(ISNUMBER(BA399),IFERROR(_xlfn.LET(_xlpm.ai_test,TRIM(AP399),_xlpm.r,IFERROR(_xlfn.XLOOKUP(_xlpm.ai_test,BP16:BP63,ROW(BP16:BP63),0,1),IFERROR(_xlfn.XLOOKUP(_xlpm.ai_test,BQ16:BQ63,ROW(BQ16:BQ63),0,1),_xlfn.XLOOKUP(_xlpm.ai_test,BR16:BR63,ROW(BR16:BR63),0,1))),_xlpm.p,_xlpm.r-MIN(ROW(BP16:BP63))+1,_xlpm.f,INDEX(BS16:BS63,_xlpm.p),_xlpm.u,INDEX(BT16:BT63,_xlpm.p),_xlpm.s,INDEX(BV16:BV63,_xlpm.p),_xlpm.q,N(BA399)/_xlpm.f,IF(_xlpm.q&gt;=_xlpm.s,ROUND(_xlpm.q,1)&amp;" "&amp;_xlpm.ai_test&amp;" = "&amp;ROUND(_xlpm.q*_xlpm.f,1)&amp;" "&amp;_xlpm.u,ROUND(_xlpm.q,1)&amp;" "&amp;_xlpm.ai_test)),""),""))))</f>
        <v>0</v>
      </c>
      <c r="BD399" s="801"/>
      <c r="BE399" s="788" t="str">
        <f t="shared" si="174"/>
        <v/>
      </c>
      <c r="BF399" s="789" t="str">
        <f t="shared" si="177"/>
        <v/>
      </c>
      <c r="BG399" s="790">
        <f t="shared" si="178"/>
        <v>0</v>
      </c>
      <c r="BH399" s="791" t="str">
        <f t="shared" si="179"/>
        <v/>
      </c>
      <c r="BI399" s="792"/>
      <c r="BJ399" s="793">
        <f t="shared" si="180"/>
        <v>0</v>
      </c>
      <c r="BK399" s="794" t="str">
        <f t="shared" si="175"/>
        <v/>
      </c>
      <c r="BL399" s="227" t="s">
        <v>21</v>
      </c>
      <c r="BM399" s="773">
        <f t="shared" si="165"/>
        <v>0</v>
      </c>
      <c r="BN399" s="774">
        <f t="shared" si="166"/>
        <v>0</v>
      </c>
      <c r="BO399"/>
      <c r="BX399"/>
      <c r="BY399"/>
      <c r="BZ399"/>
      <c r="CA399"/>
      <c r="CB399"/>
      <c r="CC399"/>
      <c r="CD399" s="781" t="str">
        <f t="shared" si="182"/>
        <v>►</v>
      </c>
      <c r="CE399" s="633"/>
      <c r="CF399" s="633"/>
      <c r="CG399" s="633"/>
      <c r="CH399" s="633"/>
      <c r="CI399" s="633"/>
      <c r="CJ399" s="227"/>
      <c r="CK399"/>
      <c r="CL399"/>
      <c r="CM399"/>
      <c r="CN399"/>
      <c r="CO399"/>
      <c r="CP399"/>
      <c r="CQ399"/>
      <c r="CR399" s="227"/>
      <c r="CS399"/>
      <c r="CT399"/>
      <c r="CU399"/>
      <c r="CV399"/>
      <c r="CW399"/>
      <c r="CX399"/>
      <c r="CY399"/>
      <c r="CZ399" s="227"/>
      <c r="DA399"/>
      <c r="DB399"/>
      <c r="DC399"/>
      <c r="DD399"/>
      <c r="DE399"/>
      <c r="DF399"/>
      <c r="DG399"/>
      <c r="DH399" s="227"/>
      <c r="DI399" s="3">
        <v>1</v>
      </c>
    </row>
    <row r="400" spans="2:113" s="627" customFormat="1" ht="21" customHeight="1">
      <c r="B400" s="2265" t="str" cm="1">
        <f t="array" ref="B400">SUMPRODUCT(--(D400:J400&lt;&gt;""), LEN(TRIM(SUBSTITUTE(D400:J400, CHAR(160), "")))) &amp; " Car."</f>
        <v>0 Car.</v>
      </c>
      <c r="C400" s="1376" t="str">
        <f>IF(ISBLANK(D400),"",LARGE(C13:C399,1)+1)</f>
        <v/>
      </c>
      <c r="D400" s="1833"/>
      <c r="E400" s="1810"/>
      <c r="F400" s="1810"/>
      <c r="G400" s="1810"/>
      <c r="H400" s="1810"/>
      <c r="I400" s="1810"/>
      <c r="J400" s="1810"/>
      <c r="K400" s="1810"/>
      <c r="L400" s="1811"/>
      <c r="M400"/>
      <c r="N400" s="103" t="str">
        <f t="shared" si="183"/>
        <v>►</v>
      </c>
      <c r="O400" s="1616"/>
      <c r="P400"/>
      <c r="Q400" s="103" t="s">
        <v>15</v>
      </c>
      <c r="R400" s="31"/>
      <c r="S400" s="32"/>
      <c r="T400" s="31"/>
      <c r="U400" s="33"/>
      <c r="V400" s="1804"/>
      <c r="W400" s="1805"/>
      <c r="X400" s="91"/>
      <c r="Y400" s="1806"/>
      <c r="Z400" s="1807"/>
      <c r="AA400" s="919"/>
      <c r="AB400" s="1813"/>
      <c r="AC400" s="1580"/>
      <c r="AD400" s="95"/>
      <c r="AE400" s="105"/>
      <c r="AF400" s="97"/>
      <c r="AG400" s="2080"/>
      <c r="AH400" s="2081"/>
      <c r="AI400" s="99"/>
      <c r="AJ400" s="1809"/>
      <c r="AK400" s="6120" t="str">
        <f t="shared" si="176"/>
        <v>►</v>
      </c>
      <c r="AL400" s="781" t="str">
        <f t="shared" si="164"/>
        <v>►</v>
      </c>
      <c r="AM400" s="5498" t="str">
        <f t="shared" si="167"/>
        <v/>
      </c>
      <c r="AN400" s="783" t="str">
        <f t="shared" si="168"/>
        <v/>
      </c>
      <c r="AO400" s="782" t="str">
        <f t="shared" si="169"/>
        <v/>
      </c>
      <c r="AP400" s="783" t="str">
        <f t="shared" si="170"/>
        <v/>
      </c>
      <c r="AQ400" s="2083" t="b">
        <f>AND(Q400="A",COUNTIF(BP16:BR63,TRIM(Z400))&gt;0)</f>
        <v>0</v>
      </c>
      <c r="AR400" s="797" t="str">
        <f>IF(AL400&lt;&gt;"A","",IFERROR(IFERROR(_xlfn.XLOOKUP(TRIM(SUBSTITUTE(Z400,CHAR(160)," ")),BP16:BP63,BS16:BS63),IFERROR(_xlfn.XLOOKUP(TRIM(SUBSTITUTE(Z400,CHAR(160)," ")),BQ16:BQ63,BS16:BS63),_xlfn.XLOOKUP(TRIM(SUBSTITUTE(Z400,CHAR(160)," ")),BR16:BR63,BS16:BS63)))*Y400*IF(ISBLANK(V400),1,V400),0))</f>
        <v/>
      </c>
      <c r="AS400" s="784" t="str">
        <f t="shared" si="181"/>
        <v/>
      </c>
      <c r="AT400" s="1315" t="str">
        <f t="shared" si="171"/>
        <v/>
      </c>
      <c r="AU400" s="785">
        <f t="shared" si="172"/>
        <v>0</v>
      </c>
      <c r="AV400" s="785">
        <f t="shared" si="173"/>
        <v>0</v>
      </c>
      <c r="AW400" s="798">
        <f>IF(AK400="A",AY10,0)</f>
        <v>0</v>
      </c>
      <c r="AX400" s="5496" t="str">
        <f>IF(IFERROR(SEARCH("Adresse PC",TRIM(W400)),0)&gt;0,"▼ receta siguiente",IF(AK400="A",IF(AZ10&lt;&gt;"",AZ10&amp;" - ou.or.o ❾ + or - &gt;",""),""))</f>
        <v/>
      </c>
      <c r="AY400" s="810"/>
      <c r="AZ400" s="810"/>
      <c r="BA400" s="799" t="str">
        <f t="shared" si="163"/>
        <v/>
      </c>
      <c r="BB400" s="800" t="str">
        <f>IF(AK400="A",IF(AQ400,IF(AND(AW400&lt;&gt;"",N(AW400)&gt;0),IFERROR(IFERROR(_xlfn.XLOOKUP(AP400,BP10:BP57,BT10:BT57),IFERROR(_xlfn.XLOOKUP(AP400,BQ10:BQ57,BT10:BT57),_xlfn.XLOOKUP(AP400,BR10:BR57,BT10:BT57,""))),""),""),""),"")</f>
        <v/>
      </c>
      <c r="BC400" s="813" cm="1">
        <f t="array" ref="BC400">IF(NOT(AQ400),0,IF(OR(BA400="",N(BA400)&lt;=0.000000001),"",IF(OR(AU400="",N(AU400)&lt;=0.000000001),0,IF(ISNUMBER(BA400),IFERROR(_xlfn.LET(_xlpm.ai_test,TRIM(AP400),_xlpm.r,IFERROR(_xlfn.XLOOKUP(_xlpm.ai_test,BP16:BP63,ROW(BP16:BP63),0,1),IFERROR(_xlfn.XLOOKUP(_xlpm.ai_test,BQ16:BQ63,ROW(BQ16:BQ63),0,1),_xlfn.XLOOKUP(_xlpm.ai_test,BR16:BR63,ROW(BR16:BR63),0,1))),_xlpm.p,_xlpm.r-MIN(ROW(BP16:BP63))+1,_xlpm.f,INDEX(BS16:BS63,_xlpm.p),_xlpm.u,INDEX(BT16:BT63,_xlpm.p),_xlpm.s,INDEX(BV16:BV63,_xlpm.p),_xlpm.q,N(BA400)/_xlpm.f,IF(_xlpm.q&gt;=_xlpm.s,ROUND(_xlpm.q,1)&amp;" "&amp;_xlpm.ai_test&amp;" = "&amp;ROUND(_xlpm.q*_xlpm.f,1)&amp;" "&amp;_xlpm.u,ROUND(_xlpm.q,1)&amp;" "&amp;_xlpm.ai_test)),""),""))))</f>
        <v>0</v>
      </c>
      <c r="BD400" s="801"/>
      <c r="BE400" s="799" t="str">
        <f t="shared" si="174"/>
        <v/>
      </c>
      <c r="BF400" s="800" t="str">
        <f t="shared" si="177"/>
        <v/>
      </c>
      <c r="BG400" s="802">
        <f t="shared" si="178"/>
        <v>0</v>
      </c>
      <c r="BH400" s="803" t="str">
        <f t="shared" si="179"/>
        <v/>
      </c>
      <c r="BI400" s="792"/>
      <c r="BJ400" s="804">
        <f t="shared" si="180"/>
        <v>0</v>
      </c>
      <c r="BK400" s="794" t="str">
        <f t="shared" si="175"/>
        <v/>
      </c>
      <c r="BL400" s="227" t="s">
        <v>21</v>
      </c>
      <c r="BM400" s="773">
        <f t="shared" si="165"/>
        <v>0</v>
      </c>
      <c r="BN400" s="774">
        <f t="shared" si="166"/>
        <v>0</v>
      </c>
      <c r="BO400"/>
      <c r="BX400"/>
      <c r="BY400"/>
      <c r="BZ400"/>
      <c r="CA400"/>
      <c r="CB400"/>
      <c r="CC400"/>
      <c r="CD400" s="781" t="str">
        <f t="shared" si="182"/>
        <v>►</v>
      </c>
      <c r="CE400" s="633"/>
      <c r="CF400" s="633"/>
      <c r="CG400" s="633"/>
      <c r="CH400" s="633"/>
      <c r="CI400" s="633"/>
      <c r="CJ400" s="227"/>
      <c r="CK400"/>
      <c r="CL400"/>
      <c r="CM400"/>
      <c r="CN400"/>
      <c r="CO400"/>
      <c r="CP400"/>
      <c r="CQ400"/>
      <c r="CR400" s="227"/>
      <c r="CS400"/>
      <c r="CT400"/>
      <c r="CU400"/>
      <c r="CV400"/>
      <c r="CW400"/>
      <c r="CX400"/>
      <c r="CY400"/>
      <c r="CZ400" s="227"/>
      <c r="DA400"/>
      <c r="DB400"/>
      <c r="DC400"/>
      <c r="DD400"/>
      <c r="DE400"/>
      <c r="DF400"/>
      <c r="DG400"/>
      <c r="DH400" s="227"/>
      <c r="DI400" s="3">
        <v>1</v>
      </c>
    </row>
    <row r="401" spans="2:113" s="627" customFormat="1" ht="21" customHeight="1">
      <c r="B401" s="2265" t="str" cm="1">
        <f t="array" ref="B401">SUMPRODUCT(--(D401:J401&lt;&gt;""), LEN(TRIM(SUBSTITUTE(D401:J401, CHAR(160), "")))) &amp; " Car."</f>
        <v>0 Car.</v>
      </c>
      <c r="C401" s="1376" t="str">
        <f>IF(ISBLANK(D401),"",LARGE(C13:C400,1)+1)</f>
        <v/>
      </c>
      <c r="D401" s="1833"/>
      <c r="E401" s="1810"/>
      <c r="F401" s="1810"/>
      <c r="G401" s="1810"/>
      <c r="H401" s="1810"/>
      <c r="I401" s="1810"/>
      <c r="J401" s="1810"/>
      <c r="K401" s="1810"/>
      <c r="L401" s="1811"/>
      <c r="M401"/>
      <c r="N401" s="103" t="str">
        <f t="shared" si="183"/>
        <v>►</v>
      </c>
      <c r="O401" s="1616"/>
      <c r="P401"/>
      <c r="Q401" s="103" t="s">
        <v>15</v>
      </c>
      <c r="R401" s="31"/>
      <c r="S401" s="32"/>
      <c r="T401" s="31"/>
      <c r="U401" s="33"/>
      <c r="V401" s="1804"/>
      <c r="W401" s="1805"/>
      <c r="X401" s="91"/>
      <c r="Y401" s="1806"/>
      <c r="Z401" s="1807"/>
      <c r="AA401" s="919"/>
      <c r="AB401" s="1813"/>
      <c r="AC401" s="1580"/>
      <c r="AD401" s="95"/>
      <c r="AE401" s="105"/>
      <c r="AF401" s="97"/>
      <c r="AG401" s="2080"/>
      <c r="AH401" s="2081"/>
      <c r="AI401" s="99"/>
      <c r="AJ401" s="1809"/>
      <c r="AK401" s="6120" t="str">
        <f t="shared" si="176"/>
        <v>►</v>
      </c>
      <c r="AL401" s="781" t="str">
        <f t="shared" si="164"/>
        <v>►</v>
      </c>
      <c r="AM401" s="5499" t="str">
        <f t="shared" si="167"/>
        <v/>
      </c>
      <c r="AN401" s="783" t="str">
        <f t="shared" si="168"/>
        <v/>
      </c>
      <c r="AO401" s="782" t="str">
        <f t="shared" si="169"/>
        <v/>
      </c>
      <c r="AP401" s="783" t="str">
        <f t="shared" si="170"/>
        <v/>
      </c>
      <c r="AQ401" s="2083" t="b">
        <f>AND(Q401="A",COUNTIF(BP16:BR63,TRIM(Z401))&gt;0)</f>
        <v>0</v>
      </c>
      <c r="AR401" s="797" t="str">
        <f>IF(AL401&lt;&gt;"A","",IFERROR(IFERROR(_xlfn.XLOOKUP(TRIM(SUBSTITUTE(Z401,CHAR(160)," ")),BP16:BP63,BS16:BS63),IFERROR(_xlfn.XLOOKUP(TRIM(SUBSTITUTE(Z401,CHAR(160)," ")),BQ16:BQ63,BS16:BS63),_xlfn.XLOOKUP(TRIM(SUBSTITUTE(Z401,CHAR(160)," ")),BR16:BR63,BS16:BS63)))*Y401*IF(ISBLANK(V401),1,V401),0))</f>
        <v/>
      </c>
      <c r="AS401" s="784" t="str">
        <f t="shared" si="181"/>
        <v/>
      </c>
      <c r="AT401" s="1315" t="str">
        <f t="shared" si="171"/>
        <v/>
      </c>
      <c r="AU401" s="785">
        <f t="shared" si="172"/>
        <v>0</v>
      </c>
      <c r="AV401" s="785">
        <f t="shared" si="173"/>
        <v>0</v>
      </c>
      <c r="AW401" s="786">
        <f>IF(AK401="A",AY10,0)</f>
        <v>0</v>
      </c>
      <c r="AX401" s="5495" t="str">
        <f>IF(IFERROR(SEARCH("Adresse PC",TRIM(W401)),0)&gt;0,"▼ receta siguiente",IF(AK401="A",IF(AZ10&lt;&gt;"",AZ10&amp;" - ou.or.o ❾ + or - &gt;",""),""))</f>
        <v/>
      </c>
      <c r="AY401" s="810"/>
      <c r="AZ401" s="810"/>
      <c r="BA401" s="788" t="str">
        <f t="shared" si="163"/>
        <v/>
      </c>
      <c r="BB401" s="789" t="str">
        <f>IF(AK401="A",IF(AQ401,IF(AND(AW401&lt;&gt;"",N(AW401)&gt;0),IFERROR(IFERROR(_xlfn.XLOOKUP(AP401,BP10:BP57,BT10:BT57),IFERROR(_xlfn.XLOOKUP(AP401,BQ10:BQ57,BT10:BT57),_xlfn.XLOOKUP(AP401,BR10:BR57,BT10:BT57,""))),""),""),""),"")</f>
        <v/>
      </c>
      <c r="BC401" s="811" cm="1">
        <f t="array" ref="BC401">IF(NOT(AQ401),0,IF(OR(BA401="",N(BA401)&lt;=0.000000001),"",IF(OR(AU401="",N(AU401)&lt;=0.000000001),0,IF(ISNUMBER(BA401),IFERROR(_xlfn.LET(_xlpm.ai_test,TRIM(AP401),_xlpm.r,IFERROR(_xlfn.XLOOKUP(_xlpm.ai_test,BP16:BP63,ROW(BP16:BP63),0,1),IFERROR(_xlfn.XLOOKUP(_xlpm.ai_test,BQ16:BQ63,ROW(BQ16:BQ63),0,1),_xlfn.XLOOKUP(_xlpm.ai_test,BR16:BR63,ROW(BR16:BR63),0,1))),_xlpm.p,_xlpm.r-MIN(ROW(BP16:BP63))+1,_xlpm.f,INDEX(BS16:BS63,_xlpm.p),_xlpm.u,INDEX(BT16:BT63,_xlpm.p),_xlpm.s,INDEX(BV16:BV63,_xlpm.p),_xlpm.q,N(BA401)/_xlpm.f,IF(_xlpm.q&gt;=_xlpm.s,ROUND(_xlpm.q,1)&amp;" "&amp;_xlpm.ai_test&amp;" = "&amp;ROUND(_xlpm.q*_xlpm.f,1)&amp;" "&amp;_xlpm.u,ROUND(_xlpm.q,1)&amp;" "&amp;_xlpm.ai_test)),""),""))))</f>
        <v>0</v>
      </c>
      <c r="BD401" s="801"/>
      <c r="BE401" s="788" t="str">
        <f t="shared" si="174"/>
        <v/>
      </c>
      <c r="BF401" s="789" t="str">
        <f t="shared" si="177"/>
        <v/>
      </c>
      <c r="BG401" s="790">
        <f t="shared" si="178"/>
        <v>0</v>
      </c>
      <c r="BH401" s="791" t="str">
        <f t="shared" si="179"/>
        <v/>
      </c>
      <c r="BI401" s="792"/>
      <c r="BJ401" s="793">
        <f t="shared" si="180"/>
        <v>0</v>
      </c>
      <c r="BK401" s="794" t="str">
        <f t="shared" si="175"/>
        <v/>
      </c>
      <c r="BL401" s="227" t="s">
        <v>21</v>
      </c>
      <c r="BM401" s="773">
        <f t="shared" si="165"/>
        <v>0</v>
      </c>
      <c r="BN401" s="774">
        <f t="shared" si="166"/>
        <v>0</v>
      </c>
      <c r="BO401"/>
      <c r="BX401"/>
      <c r="BY401"/>
      <c r="BZ401"/>
      <c r="CA401"/>
      <c r="CB401"/>
      <c r="CC401"/>
      <c r="CD401" s="781" t="str">
        <f t="shared" si="182"/>
        <v>►</v>
      </c>
      <c r="CE401" s="633"/>
      <c r="CF401" s="633"/>
      <c r="CG401" s="633"/>
      <c r="CH401" s="633"/>
      <c r="CI401" s="633"/>
      <c r="CJ401" s="227"/>
      <c r="CK401"/>
      <c r="CL401"/>
      <c r="CM401"/>
      <c r="CN401"/>
      <c r="CO401"/>
      <c r="CP401"/>
      <c r="CQ401"/>
      <c r="CR401" s="227"/>
      <c r="CS401"/>
      <c r="CT401"/>
      <c r="CU401"/>
      <c r="CV401"/>
      <c r="CW401"/>
      <c r="CX401"/>
      <c r="CY401"/>
      <c r="CZ401" s="227"/>
      <c r="DA401"/>
      <c r="DB401"/>
      <c r="DC401"/>
      <c r="DD401"/>
      <c r="DE401"/>
      <c r="DF401"/>
      <c r="DG401"/>
      <c r="DH401" s="227"/>
      <c r="DI401" s="3">
        <v>1</v>
      </c>
    </row>
    <row r="402" spans="2:113" s="627" customFormat="1" ht="21" customHeight="1">
      <c r="B402" s="2265" t="str" cm="1">
        <f t="array" ref="B402">SUMPRODUCT(--(D402:J402&lt;&gt;""), LEN(TRIM(SUBSTITUTE(D402:J402, CHAR(160), "")))) &amp; " Car."</f>
        <v>0 Car.</v>
      </c>
      <c r="C402" s="1376" t="str">
        <f>IF(ISBLANK(D402),"",LARGE(C13:C401,1)+1)</f>
        <v/>
      </c>
      <c r="D402" s="1833"/>
      <c r="E402" s="1810"/>
      <c r="F402" s="1810"/>
      <c r="G402" s="1810"/>
      <c r="H402" s="1810"/>
      <c r="I402" s="1810"/>
      <c r="J402" s="1810"/>
      <c r="K402" s="1810"/>
      <c r="L402" s="1811"/>
      <c r="M402"/>
      <c r="N402" s="103" t="str">
        <f t="shared" si="183"/>
        <v>►</v>
      </c>
      <c r="O402" s="1616"/>
      <c r="P402"/>
      <c r="Q402" s="103" t="s">
        <v>15</v>
      </c>
      <c r="R402" s="31"/>
      <c r="S402" s="32"/>
      <c r="T402" s="31"/>
      <c r="U402" s="33"/>
      <c r="V402" s="1804"/>
      <c r="W402" s="1805"/>
      <c r="X402" s="91"/>
      <c r="Y402" s="1806"/>
      <c r="Z402" s="1807"/>
      <c r="AA402" s="919"/>
      <c r="AB402" s="1813"/>
      <c r="AC402" s="1580"/>
      <c r="AD402" s="95"/>
      <c r="AE402" s="105"/>
      <c r="AF402" s="97"/>
      <c r="AG402" s="2080"/>
      <c r="AH402" s="2081"/>
      <c r="AI402" s="99"/>
      <c r="AJ402" s="1809"/>
      <c r="AK402" s="6120" t="str">
        <f t="shared" si="176"/>
        <v>►</v>
      </c>
      <c r="AL402" s="781" t="str">
        <f t="shared" si="164"/>
        <v>►</v>
      </c>
      <c r="AM402" s="5498" t="str">
        <f t="shared" si="167"/>
        <v/>
      </c>
      <c r="AN402" s="783" t="str">
        <f t="shared" si="168"/>
        <v/>
      </c>
      <c r="AO402" s="782" t="str">
        <f t="shared" si="169"/>
        <v/>
      </c>
      <c r="AP402" s="783" t="str">
        <f t="shared" si="170"/>
        <v/>
      </c>
      <c r="AQ402" s="2083" t="b">
        <f>AND(Q402="A",COUNTIF(BP16:BR63,TRIM(Z402))&gt;0)</f>
        <v>0</v>
      </c>
      <c r="AR402" s="797" t="str">
        <f>IF(AL402&lt;&gt;"A","",IFERROR(IFERROR(_xlfn.XLOOKUP(TRIM(SUBSTITUTE(Z402,CHAR(160)," ")),BP16:BP63,BS16:BS63),IFERROR(_xlfn.XLOOKUP(TRIM(SUBSTITUTE(Z402,CHAR(160)," ")),BQ16:BQ63,BS16:BS63),_xlfn.XLOOKUP(TRIM(SUBSTITUTE(Z402,CHAR(160)," ")),BR16:BR63,BS16:BS63)))*Y402*IF(ISBLANK(V402),1,V402),0))</f>
        <v/>
      </c>
      <c r="AS402" s="784" t="str">
        <f t="shared" si="181"/>
        <v/>
      </c>
      <c r="AT402" s="1315" t="str">
        <f t="shared" si="171"/>
        <v/>
      </c>
      <c r="AU402" s="785">
        <f t="shared" si="172"/>
        <v>0</v>
      </c>
      <c r="AV402" s="785">
        <f t="shared" si="173"/>
        <v>0</v>
      </c>
      <c r="AW402" s="798">
        <f>IF(AK402="A",AY10,0)</f>
        <v>0</v>
      </c>
      <c r="AX402" s="5496" t="str">
        <f>IF(IFERROR(SEARCH("Adresse PC",TRIM(W402)),0)&gt;0,"▼ receta siguiente",IF(AK402="A",IF(AZ10&lt;&gt;"",AZ10&amp;" - ou.or.o ❾ + or - &gt;",""),""))</f>
        <v/>
      </c>
      <c r="AY402" s="810"/>
      <c r="AZ402" s="810"/>
      <c r="BA402" s="799" t="str">
        <f t="shared" si="163"/>
        <v/>
      </c>
      <c r="BB402" s="800" t="str">
        <f>IF(AK402="A",IF(AQ402,IF(AND(AW402&lt;&gt;"",N(AW402)&gt;0),IFERROR(IFERROR(_xlfn.XLOOKUP(AP402,BP10:BP57,BT10:BT57),IFERROR(_xlfn.XLOOKUP(AP402,BQ10:BQ57,BT10:BT57),_xlfn.XLOOKUP(AP402,BR10:BR57,BT10:BT57,""))),""),""),""),"")</f>
        <v/>
      </c>
      <c r="BC402" s="813" cm="1">
        <f t="array" ref="BC402">IF(NOT(AQ402),0,IF(OR(BA402="",N(BA402)&lt;=0.000000001),"",IF(OR(AU402="",N(AU402)&lt;=0.000000001),0,IF(ISNUMBER(BA402),IFERROR(_xlfn.LET(_xlpm.ai_test,TRIM(AP402),_xlpm.r,IFERROR(_xlfn.XLOOKUP(_xlpm.ai_test,BP16:BP63,ROW(BP16:BP63),0,1),IFERROR(_xlfn.XLOOKUP(_xlpm.ai_test,BQ16:BQ63,ROW(BQ16:BQ63),0,1),_xlfn.XLOOKUP(_xlpm.ai_test,BR16:BR63,ROW(BR16:BR63),0,1))),_xlpm.p,_xlpm.r-MIN(ROW(BP16:BP63))+1,_xlpm.f,INDEX(BS16:BS63,_xlpm.p),_xlpm.u,INDEX(BT16:BT63,_xlpm.p),_xlpm.s,INDEX(BV16:BV63,_xlpm.p),_xlpm.q,N(BA402)/_xlpm.f,IF(_xlpm.q&gt;=_xlpm.s,ROUND(_xlpm.q,1)&amp;" "&amp;_xlpm.ai_test&amp;" = "&amp;ROUND(_xlpm.q*_xlpm.f,1)&amp;" "&amp;_xlpm.u,ROUND(_xlpm.q,1)&amp;" "&amp;_xlpm.ai_test)),""),""))))</f>
        <v>0</v>
      </c>
      <c r="BD402" s="801"/>
      <c r="BE402" s="799" t="str">
        <f t="shared" si="174"/>
        <v/>
      </c>
      <c r="BF402" s="800" t="str">
        <f t="shared" si="177"/>
        <v/>
      </c>
      <c r="BG402" s="802">
        <f t="shared" si="178"/>
        <v>0</v>
      </c>
      <c r="BH402" s="803" t="str">
        <f t="shared" si="179"/>
        <v/>
      </c>
      <c r="BI402" s="792"/>
      <c r="BJ402" s="804">
        <f t="shared" si="180"/>
        <v>0</v>
      </c>
      <c r="BK402" s="794" t="str">
        <f t="shared" si="175"/>
        <v/>
      </c>
      <c r="BL402" s="227" t="s">
        <v>21</v>
      </c>
      <c r="BM402" s="773">
        <f t="shared" si="165"/>
        <v>0</v>
      </c>
      <c r="BN402" s="774">
        <f t="shared" si="166"/>
        <v>0</v>
      </c>
      <c r="BO402"/>
      <c r="BX402"/>
      <c r="BY402"/>
      <c r="BZ402"/>
      <c r="CA402"/>
      <c r="CB402"/>
      <c r="CC402"/>
      <c r="CD402" s="781" t="str">
        <f t="shared" si="182"/>
        <v>►</v>
      </c>
      <c r="CE402" s="633"/>
      <c r="CF402" s="633"/>
      <c r="CG402" s="633"/>
      <c r="CH402" s="633"/>
      <c r="CI402" s="633"/>
      <c r="CJ402" s="227"/>
      <c r="CK402"/>
      <c r="CL402"/>
      <c r="CM402"/>
      <c r="CN402"/>
      <c r="CO402"/>
      <c r="CP402"/>
      <c r="CQ402"/>
      <c r="CR402" s="227"/>
      <c r="CS402"/>
      <c r="CT402"/>
      <c r="CU402"/>
      <c r="CV402"/>
      <c r="CW402"/>
      <c r="CX402"/>
      <c r="CY402"/>
      <c r="CZ402" s="227"/>
      <c r="DA402"/>
      <c r="DB402"/>
      <c r="DC402"/>
      <c r="DD402"/>
      <c r="DE402"/>
      <c r="DF402"/>
      <c r="DG402"/>
      <c r="DH402" s="227"/>
      <c r="DI402" s="3">
        <v>1</v>
      </c>
    </row>
    <row r="403" spans="2:113" s="627" customFormat="1" ht="21" customHeight="1">
      <c r="B403" s="2265" t="str" cm="1">
        <f t="array" ref="B403">SUMPRODUCT(--(D403:J403&lt;&gt;""), LEN(TRIM(SUBSTITUTE(D403:J403, CHAR(160), "")))) &amp; " Car."</f>
        <v>0 Car.</v>
      </c>
      <c r="C403" s="1376" t="str">
        <f>IF(ISBLANK(D403),"",LARGE(C13:C402,1)+1)</f>
        <v/>
      </c>
      <c r="D403" s="1833"/>
      <c r="E403" s="1810"/>
      <c r="F403" s="1810"/>
      <c r="G403" s="1810"/>
      <c r="H403" s="1810"/>
      <c r="I403" s="1810"/>
      <c r="J403" s="1810"/>
      <c r="K403" s="1810"/>
      <c r="L403" s="1811"/>
      <c r="M403"/>
      <c r="N403" s="103" t="str">
        <f t="shared" si="183"/>
        <v>►</v>
      </c>
      <c r="O403" s="1616"/>
      <c r="P403"/>
      <c r="Q403" s="103" t="s">
        <v>15</v>
      </c>
      <c r="R403" s="31"/>
      <c r="S403" s="32"/>
      <c r="T403" s="31"/>
      <c r="U403" s="33"/>
      <c r="V403" s="1804"/>
      <c r="W403" s="1805"/>
      <c r="X403" s="91"/>
      <c r="Y403" s="1806"/>
      <c r="Z403" s="1807"/>
      <c r="AA403" s="919"/>
      <c r="AB403" s="1813"/>
      <c r="AC403" s="1580"/>
      <c r="AD403" s="95"/>
      <c r="AE403" s="105"/>
      <c r="AF403" s="97"/>
      <c r="AG403" s="2080"/>
      <c r="AH403" s="2081"/>
      <c r="AI403" s="99"/>
      <c r="AJ403" s="1809"/>
      <c r="AK403" s="6120" t="str">
        <f t="shared" si="176"/>
        <v>►</v>
      </c>
      <c r="AL403" s="781" t="str">
        <f t="shared" si="164"/>
        <v>►</v>
      </c>
      <c r="AM403" s="5499" t="str">
        <f t="shared" si="167"/>
        <v/>
      </c>
      <c r="AN403" s="783" t="str">
        <f t="shared" si="168"/>
        <v/>
      </c>
      <c r="AO403" s="782" t="str">
        <f t="shared" si="169"/>
        <v/>
      </c>
      <c r="AP403" s="783" t="str">
        <f t="shared" si="170"/>
        <v/>
      </c>
      <c r="AQ403" s="2083" t="b">
        <f>AND(Q403="A",COUNTIF(BP16:BR63,TRIM(Z403))&gt;0)</f>
        <v>0</v>
      </c>
      <c r="AR403" s="797" t="str">
        <f>IF(AL403&lt;&gt;"A","",IFERROR(IFERROR(_xlfn.XLOOKUP(TRIM(SUBSTITUTE(Z403,CHAR(160)," ")),BP16:BP63,BS16:BS63),IFERROR(_xlfn.XLOOKUP(TRIM(SUBSTITUTE(Z403,CHAR(160)," ")),BQ16:BQ63,BS16:BS63),_xlfn.XLOOKUP(TRIM(SUBSTITUTE(Z403,CHAR(160)," ")),BR16:BR63,BS16:BS63)))*Y403*IF(ISBLANK(V403),1,V403),0))</f>
        <v/>
      </c>
      <c r="AS403" s="784" t="str">
        <f t="shared" si="181"/>
        <v/>
      </c>
      <c r="AT403" s="1315" t="str">
        <f t="shared" si="171"/>
        <v/>
      </c>
      <c r="AU403" s="785">
        <f t="shared" si="172"/>
        <v>0</v>
      </c>
      <c r="AV403" s="785">
        <f t="shared" si="173"/>
        <v>0</v>
      </c>
      <c r="AW403" s="786">
        <f>IF(AK403="A",AY10,0)</f>
        <v>0</v>
      </c>
      <c r="AX403" s="5495" t="str">
        <f>IF(IFERROR(SEARCH("Adresse PC",TRIM(W403)),0)&gt;0,"▼ receta siguiente",IF(AK403="A",IF(AZ10&lt;&gt;"",AZ10&amp;" - ou.or.o ❾ + or - &gt;",""),""))</f>
        <v/>
      </c>
      <c r="AY403" s="810"/>
      <c r="AZ403" s="810"/>
      <c r="BA403" s="788" t="str">
        <f t="shared" si="163"/>
        <v/>
      </c>
      <c r="BB403" s="789" t="str">
        <f>IF(AK403="A",IF(AQ403,IF(AND(AW403&lt;&gt;"",N(AW403)&gt;0),IFERROR(IFERROR(_xlfn.XLOOKUP(AP403,BP10:BP57,BT10:BT57),IFERROR(_xlfn.XLOOKUP(AP403,BQ10:BQ57,BT10:BT57),_xlfn.XLOOKUP(AP403,BR10:BR57,BT10:BT57,""))),""),""),""),"")</f>
        <v/>
      </c>
      <c r="BC403" s="811" cm="1">
        <f t="array" ref="BC403">IF(NOT(AQ403),0,IF(OR(BA403="",N(BA403)&lt;=0.000000001),"",IF(OR(AU403="",N(AU403)&lt;=0.000000001),0,IF(ISNUMBER(BA403),IFERROR(_xlfn.LET(_xlpm.ai_test,TRIM(AP403),_xlpm.r,IFERROR(_xlfn.XLOOKUP(_xlpm.ai_test,BP16:BP63,ROW(BP16:BP63),0,1),IFERROR(_xlfn.XLOOKUP(_xlpm.ai_test,BQ16:BQ63,ROW(BQ16:BQ63),0,1),_xlfn.XLOOKUP(_xlpm.ai_test,BR16:BR63,ROW(BR16:BR63),0,1))),_xlpm.p,_xlpm.r-MIN(ROW(BP16:BP63))+1,_xlpm.f,INDEX(BS16:BS63,_xlpm.p),_xlpm.u,INDEX(BT16:BT63,_xlpm.p),_xlpm.s,INDEX(BV16:BV63,_xlpm.p),_xlpm.q,N(BA403)/_xlpm.f,IF(_xlpm.q&gt;=_xlpm.s,ROUND(_xlpm.q,1)&amp;" "&amp;_xlpm.ai_test&amp;" = "&amp;ROUND(_xlpm.q*_xlpm.f,1)&amp;" "&amp;_xlpm.u,ROUND(_xlpm.q,1)&amp;" "&amp;_xlpm.ai_test)),""),""))))</f>
        <v>0</v>
      </c>
      <c r="BD403" s="801"/>
      <c r="BE403" s="788" t="str">
        <f t="shared" si="174"/>
        <v/>
      </c>
      <c r="BF403" s="789" t="str">
        <f t="shared" si="177"/>
        <v/>
      </c>
      <c r="BG403" s="790">
        <f t="shared" si="178"/>
        <v>0</v>
      </c>
      <c r="BH403" s="791" t="str">
        <f t="shared" si="179"/>
        <v/>
      </c>
      <c r="BI403" s="792"/>
      <c r="BJ403" s="793">
        <f t="shared" si="180"/>
        <v>0</v>
      </c>
      <c r="BK403" s="794" t="str">
        <f t="shared" si="175"/>
        <v/>
      </c>
      <c r="BL403" s="227" t="s">
        <v>21</v>
      </c>
      <c r="BM403" s="773">
        <f t="shared" si="165"/>
        <v>0</v>
      </c>
      <c r="BN403" s="774">
        <f t="shared" si="166"/>
        <v>0</v>
      </c>
      <c r="BO403"/>
      <c r="BX403"/>
      <c r="BY403"/>
      <c r="BZ403"/>
      <c r="CA403"/>
      <c r="CB403"/>
      <c r="CC403"/>
      <c r="CD403" s="781" t="str">
        <f t="shared" si="182"/>
        <v>►</v>
      </c>
      <c r="CE403" s="633"/>
      <c r="CF403" s="633"/>
      <c r="CG403" s="633"/>
      <c r="CH403" s="633"/>
      <c r="CI403" s="633"/>
      <c r="CJ403" s="227"/>
      <c r="CK403"/>
      <c r="CL403"/>
      <c r="CM403"/>
      <c r="CN403"/>
      <c r="CO403"/>
      <c r="CP403"/>
      <c r="CQ403"/>
      <c r="CR403" s="227"/>
      <c r="CS403"/>
      <c r="CT403"/>
      <c r="CU403"/>
      <c r="CV403"/>
      <c r="CW403"/>
      <c r="CX403"/>
      <c r="CY403"/>
      <c r="CZ403" s="227"/>
      <c r="DA403"/>
      <c r="DB403"/>
      <c r="DC403"/>
      <c r="DD403"/>
      <c r="DE403"/>
      <c r="DF403"/>
      <c r="DG403"/>
      <c r="DH403" s="227"/>
      <c r="DI403" s="3">
        <v>1</v>
      </c>
    </row>
    <row r="404" spans="2:113" s="627" customFormat="1" ht="21" customHeight="1">
      <c r="B404" s="2265" t="str" cm="1">
        <f t="array" ref="B404">SUMPRODUCT(--(D404:J404&lt;&gt;""), LEN(TRIM(SUBSTITUTE(D404:J404, CHAR(160), "")))) &amp; " Car."</f>
        <v>0 Car.</v>
      </c>
      <c r="C404" s="1376" t="str">
        <f>IF(ISBLANK(D404),"",LARGE(C13:C403,1)+1)</f>
        <v/>
      </c>
      <c r="D404" s="1833"/>
      <c r="E404" s="1810"/>
      <c r="F404" s="1810"/>
      <c r="G404" s="1810"/>
      <c r="H404" s="1810"/>
      <c r="I404" s="1810"/>
      <c r="J404" s="1810"/>
      <c r="K404" s="1810"/>
      <c r="L404" s="1811"/>
      <c r="M404"/>
      <c r="N404" s="103" t="str">
        <f t="shared" si="183"/>
        <v>►</v>
      </c>
      <c r="O404" s="1616"/>
      <c r="P404"/>
      <c r="Q404" s="103" t="s">
        <v>15</v>
      </c>
      <c r="R404" s="31"/>
      <c r="S404" s="32"/>
      <c r="T404" s="31"/>
      <c r="U404" s="33"/>
      <c r="V404" s="1804"/>
      <c r="W404" s="1805"/>
      <c r="X404" s="91"/>
      <c r="Y404" s="1806"/>
      <c r="Z404" s="1807"/>
      <c r="AA404" s="919"/>
      <c r="AB404" s="1813"/>
      <c r="AC404" s="1580"/>
      <c r="AD404" s="95"/>
      <c r="AE404" s="105"/>
      <c r="AF404" s="97"/>
      <c r="AG404" s="2080"/>
      <c r="AH404" s="2081"/>
      <c r="AI404" s="99"/>
      <c r="AJ404" s="1809"/>
      <c r="AK404" s="6120" t="str">
        <f t="shared" si="176"/>
        <v>►</v>
      </c>
      <c r="AL404" s="781" t="str">
        <f t="shared" si="164"/>
        <v>►</v>
      </c>
      <c r="AM404" s="5498" t="str">
        <f t="shared" si="167"/>
        <v/>
      </c>
      <c r="AN404" s="783" t="str">
        <f t="shared" si="168"/>
        <v/>
      </c>
      <c r="AO404" s="782" t="str">
        <f t="shared" si="169"/>
        <v/>
      </c>
      <c r="AP404" s="783" t="str">
        <f t="shared" si="170"/>
        <v/>
      </c>
      <c r="AQ404" s="2083" t="b">
        <f>AND(Q404="A",COUNTIF(BP16:BR63,TRIM(Z404))&gt;0)</f>
        <v>0</v>
      </c>
      <c r="AR404" s="797" t="str">
        <f>IF(AL404&lt;&gt;"A","",IFERROR(IFERROR(_xlfn.XLOOKUP(TRIM(SUBSTITUTE(Z404,CHAR(160)," ")),BP16:BP63,BS16:BS63),IFERROR(_xlfn.XLOOKUP(TRIM(SUBSTITUTE(Z404,CHAR(160)," ")),BQ16:BQ63,BS16:BS63),_xlfn.XLOOKUP(TRIM(SUBSTITUTE(Z404,CHAR(160)," ")),BR16:BR63,BS16:BS63)))*Y404*IF(ISBLANK(V404),1,V404),0))</f>
        <v/>
      </c>
      <c r="AS404" s="784" t="str">
        <f t="shared" si="181"/>
        <v/>
      </c>
      <c r="AT404" s="1315" t="str">
        <f t="shared" si="171"/>
        <v/>
      </c>
      <c r="AU404" s="785">
        <f t="shared" si="172"/>
        <v>0</v>
      </c>
      <c r="AV404" s="785">
        <f t="shared" si="173"/>
        <v>0</v>
      </c>
      <c r="AW404" s="798">
        <f>IF(AK404="A",AY10,0)</f>
        <v>0</v>
      </c>
      <c r="AX404" s="5496" t="str">
        <f>IF(IFERROR(SEARCH("Adresse PC",TRIM(W404)),0)&gt;0,"▼ receta siguiente",IF(AK404="A",IF(AZ10&lt;&gt;"",AZ10&amp;" - ou.or.o ❾ + or - &gt;",""),""))</f>
        <v/>
      </c>
      <c r="AY404" s="810"/>
      <c r="AZ404" s="810"/>
      <c r="BA404" s="799" t="str">
        <f t="shared" ref="BA404:BA467" si="184">IF(AK404="A",IF(UPPER(TRIM(SUBSTITUTE(AS404,CHAR(160),"")))="KG",N(AR404)*N(BN404),0),"")</f>
        <v/>
      </c>
      <c r="BB404" s="800" t="str">
        <f>IF(AK404="A",IF(AQ404,IF(AND(AW404&lt;&gt;"",N(AW404)&gt;0),IFERROR(IFERROR(_xlfn.XLOOKUP(AP404,BP10:BP57,BT10:BT57),IFERROR(_xlfn.XLOOKUP(AP404,BQ10:BQ57,BT10:BT57),_xlfn.XLOOKUP(AP404,BR10:BR57,BT10:BT57,""))),""),""),""),"")</f>
        <v/>
      </c>
      <c r="BC404" s="813" cm="1">
        <f t="array" ref="BC404">IF(NOT(AQ404),0,IF(OR(BA404="",N(BA404)&lt;=0.000000001),"",IF(OR(AU404="",N(AU404)&lt;=0.000000001),0,IF(ISNUMBER(BA404),IFERROR(_xlfn.LET(_xlpm.ai_test,TRIM(AP404),_xlpm.r,IFERROR(_xlfn.XLOOKUP(_xlpm.ai_test,BP16:BP63,ROW(BP16:BP63),0,1),IFERROR(_xlfn.XLOOKUP(_xlpm.ai_test,BQ16:BQ63,ROW(BQ16:BQ63),0,1),_xlfn.XLOOKUP(_xlpm.ai_test,BR16:BR63,ROW(BR16:BR63),0,1))),_xlpm.p,_xlpm.r-MIN(ROW(BP16:BP63))+1,_xlpm.f,INDEX(BS16:BS63,_xlpm.p),_xlpm.u,INDEX(BT16:BT63,_xlpm.p),_xlpm.s,INDEX(BV16:BV63,_xlpm.p),_xlpm.q,N(BA404)/_xlpm.f,IF(_xlpm.q&gt;=_xlpm.s,ROUND(_xlpm.q,1)&amp;" "&amp;_xlpm.ai_test&amp;" = "&amp;ROUND(_xlpm.q*_xlpm.f,1)&amp;" "&amp;_xlpm.u,ROUND(_xlpm.q,1)&amp;" "&amp;_xlpm.ai_test)),""),""))))</f>
        <v>0</v>
      </c>
      <c r="BD404" s="801"/>
      <c r="BE404" s="799" t="str">
        <f t="shared" si="174"/>
        <v/>
      </c>
      <c r="BF404" s="800" t="str">
        <f t="shared" si="177"/>
        <v/>
      </c>
      <c r="BG404" s="802">
        <f t="shared" si="178"/>
        <v>0</v>
      </c>
      <c r="BH404" s="803" t="str">
        <f t="shared" si="179"/>
        <v/>
      </c>
      <c r="BI404" s="792"/>
      <c r="BJ404" s="804">
        <f t="shared" si="180"/>
        <v>0</v>
      </c>
      <c r="BK404" s="794" t="str">
        <f t="shared" si="175"/>
        <v/>
      </c>
      <c r="BL404" s="227" t="s">
        <v>21</v>
      </c>
      <c r="BM404" s="773">
        <f t="shared" si="165"/>
        <v>0</v>
      </c>
      <c r="BN404" s="774">
        <f t="shared" si="166"/>
        <v>0</v>
      </c>
      <c r="BO404"/>
      <c r="BX404"/>
      <c r="BY404"/>
      <c r="BZ404"/>
      <c r="CA404"/>
      <c r="CB404"/>
      <c r="CC404"/>
      <c r="CD404" s="781" t="str">
        <f t="shared" si="182"/>
        <v>►</v>
      </c>
      <c r="CE404" s="633"/>
      <c r="CF404" s="633"/>
      <c r="CG404" s="633"/>
      <c r="CH404" s="633"/>
      <c r="CI404" s="633"/>
      <c r="CJ404" s="227"/>
      <c r="CK404"/>
      <c r="CL404"/>
      <c r="CM404"/>
      <c r="CN404"/>
      <c r="CO404"/>
      <c r="CP404"/>
      <c r="CQ404"/>
      <c r="CR404" s="227"/>
      <c r="CS404"/>
      <c r="CT404"/>
      <c r="CU404"/>
      <c r="CV404"/>
      <c r="CW404"/>
      <c r="CX404"/>
      <c r="CY404"/>
      <c r="CZ404" s="227"/>
      <c r="DA404"/>
      <c r="DB404"/>
      <c r="DC404"/>
      <c r="DD404"/>
      <c r="DE404"/>
      <c r="DF404"/>
      <c r="DG404"/>
      <c r="DH404" s="227"/>
      <c r="DI404" s="3">
        <v>1</v>
      </c>
    </row>
    <row r="405" spans="2:113" s="627" customFormat="1" ht="21" customHeight="1">
      <c r="B405" s="2265" t="str" cm="1">
        <f t="array" ref="B405">SUMPRODUCT(--(D405:J405&lt;&gt;""), LEN(TRIM(SUBSTITUTE(D405:J405, CHAR(160), "")))) &amp; " Car."</f>
        <v>0 Car.</v>
      </c>
      <c r="C405" s="1376" t="str">
        <f>IF(ISBLANK(D405),"",LARGE(C13:C404,1)+1)</f>
        <v/>
      </c>
      <c r="D405" s="1833"/>
      <c r="E405" s="1810"/>
      <c r="F405" s="1810"/>
      <c r="G405" s="1810"/>
      <c r="H405" s="1810"/>
      <c r="I405" s="1810"/>
      <c r="J405" s="1810"/>
      <c r="K405" s="1810"/>
      <c r="L405" s="1811"/>
      <c r="M405"/>
      <c r="N405" s="103" t="str">
        <f t="shared" si="183"/>
        <v>►</v>
      </c>
      <c r="O405" s="1616"/>
      <c r="P405"/>
      <c r="Q405" s="103" t="s">
        <v>15</v>
      </c>
      <c r="R405" s="31"/>
      <c r="S405" s="32"/>
      <c r="T405" s="31"/>
      <c r="U405" s="33"/>
      <c r="V405" s="1804"/>
      <c r="W405" s="1805"/>
      <c r="X405" s="91"/>
      <c r="Y405" s="1806"/>
      <c r="Z405" s="1807"/>
      <c r="AA405" s="919"/>
      <c r="AB405" s="1813"/>
      <c r="AC405" s="1580"/>
      <c r="AD405" s="95"/>
      <c r="AE405" s="105"/>
      <c r="AF405" s="97"/>
      <c r="AG405" s="2080"/>
      <c r="AH405" s="2081"/>
      <c r="AI405" s="99"/>
      <c r="AJ405" s="1809"/>
      <c r="AK405" s="6120" t="str">
        <f t="shared" si="176"/>
        <v>►</v>
      </c>
      <c r="AL405" s="781" t="str">
        <f t="shared" si="164"/>
        <v>►</v>
      </c>
      <c r="AM405" s="5499" t="str">
        <f t="shared" si="167"/>
        <v/>
      </c>
      <c r="AN405" s="783" t="str">
        <f t="shared" si="168"/>
        <v/>
      </c>
      <c r="AO405" s="782" t="str">
        <f t="shared" si="169"/>
        <v/>
      </c>
      <c r="AP405" s="783" t="str">
        <f t="shared" si="170"/>
        <v/>
      </c>
      <c r="AQ405" s="2083" t="b">
        <f>AND(Q405="A",COUNTIF(BP16:BR63,TRIM(Z405))&gt;0)</f>
        <v>0</v>
      </c>
      <c r="AR405" s="797" t="str">
        <f>IF(AL405&lt;&gt;"A","",IFERROR(IFERROR(_xlfn.XLOOKUP(TRIM(SUBSTITUTE(Z405,CHAR(160)," ")),BP16:BP63,BS16:BS63),IFERROR(_xlfn.XLOOKUP(TRIM(SUBSTITUTE(Z405,CHAR(160)," ")),BQ16:BQ63,BS16:BS63),_xlfn.XLOOKUP(TRIM(SUBSTITUTE(Z405,CHAR(160)," ")),BR16:BR63,BS16:BS63)))*Y405*IF(ISBLANK(V405),1,V405),0))</f>
        <v/>
      </c>
      <c r="AS405" s="784" t="str">
        <f t="shared" si="181"/>
        <v/>
      </c>
      <c r="AT405" s="1315" t="str">
        <f t="shared" si="171"/>
        <v/>
      </c>
      <c r="AU405" s="785">
        <f t="shared" si="172"/>
        <v>0</v>
      </c>
      <c r="AV405" s="785">
        <f t="shared" si="173"/>
        <v>0</v>
      </c>
      <c r="AW405" s="786">
        <f>IF(AK405="A",AY10,0)</f>
        <v>0</v>
      </c>
      <c r="AX405" s="5495" t="str">
        <f>IF(IFERROR(SEARCH("Adresse PC",TRIM(W405)),0)&gt;0,"▼ receta siguiente",IF(AK405="A",IF(AZ10&lt;&gt;"",AZ10&amp;" - ou.or.o ❾ + or - &gt;",""),""))</f>
        <v/>
      </c>
      <c r="AY405" s="810"/>
      <c r="AZ405" s="810"/>
      <c r="BA405" s="788" t="str">
        <f t="shared" si="184"/>
        <v/>
      </c>
      <c r="BB405" s="789" t="str">
        <f>IF(AK405="A",IF(AQ405,IF(AND(AW405&lt;&gt;"",N(AW405)&gt;0),IFERROR(IFERROR(_xlfn.XLOOKUP(AP405,BP10:BP57,BT10:BT57),IFERROR(_xlfn.XLOOKUP(AP405,BQ10:BQ57,BT10:BT57),_xlfn.XLOOKUP(AP405,BR10:BR57,BT10:BT57,""))),""),""),""),"")</f>
        <v/>
      </c>
      <c r="BC405" s="811" cm="1">
        <f t="array" ref="BC405">IF(NOT(AQ405),0,IF(OR(BA405="",N(BA405)&lt;=0.000000001),"",IF(OR(AU405="",N(AU405)&lt;=0.000000001),0,IF(ISNUMBER(BA405),IFERROR(_xlfn.LET(_xlpm.ai_test,TRIM(AP405),_xlpm.r,IFERROR(_xlfn.XLOOKUP(_xlpm.ai_test,BP16:BP63,ROW(BP16:BP63),0,1),IFERROR(_xlfn.XLOOKUP(_xlpm.ai_test,BQ16:BQ63,ROW(BQ16:BQ63),0,1),_xlfn.XLOOKUP(_xlpm.ai_test,BR16:BR63,ROW(BR16:BR63),0,1))),_xlpm.p,_xlpm.r-MIN(ROW(BP16:BP63))+1,_xlpm.f,INDEX(BS16:BS63,_xlpm.p),_xlpm.u,INDEX(BT16:BT63,_xlpm.p),_xlpm.s,INDEX(BV16:BV63,_xlpm.p),_xlpm.q,N(BA405)/_xlpm.f,IF(_xlpm.q&gt;=_xlpm.s,ROUND(_xlpm.q,1)&amp;" "&amp;_xlpm.ai_test&amp;" = "&amp;ROUND(_xlpm.q*_xlpm.f,1)&amp;" "&amp;_xlpm.u,ROUND(_xlpm.q,1)&amp;" "&amp;_xlpm.ai_test)),""),""))))</f>
        <v>0</v>
      </c>
      <c r="BD405" s="801"/>
      <c r="BE405" s="788" t="str">
        <f t="shared" si="174"/>
        <v/>
      </c>
      <c r="BF405" s="789" t="str">
        <f t="shared" si="177"/>
        <v/>
      </c>
      <c r="BG405" s="790">
        <f t="shared" si="178"/>
        <v>0</v>
      </c>
      <c r="BH405" s="791" t="str">
        <f t="shared" si="179"/>
        <v/>
      </c>
      <c r="BI405" s="792"/>
      <c r="BJ405" s="793">
        <f t="shared" si="180"/>
        <v>0</v>
      </c>
      <c r="BK405" s="794" t="str">
        <f t="shared" si="175"/>
        <v/>
      </c>
      <c r="BL405" s="227" t="s">
        <v>21</v>
      </c>
      <c r="BM405" s="773">
        <f t="shared" si="165"/>
        <v>0</v>
      </c>
      <c r="BN405" s="774">
        <f t="shared" si="166"/>
        <v>0</v>
      </c>
      <c r="BO405"/>
      <c r="BX405"/>
      <c r="BY405"/>
      <c r="BZ405"/>
      <c r="CA405"/>
      <c r="CB405"/>
      <c r="CC405"/>
      <c r="CD405" s="781" t="str">
        <f t="shared" si="182"/>
        <v>►</v>
      </c>
      <c r="CE405" s="633"/>
      <c r="CF405" s="633"/>
      <c r="CG405" s="633"/>
      <c r="CH405" s="633"/>
      <c r="CI405" s="633"/>
      <c r="CJ405" s="227"/>
      <c r="CK405"/>
      <c r="CL405"/>
      <c r="CM405"/>
      <c r="CN405"/>
      <c r="CO405"/>
      <c r="CP405"/>
      <c r="CQ405"/>
      <c r="CR405" s="227"/>
      <c r="CS405"/>
      <c r="CT405"/>
      <c r="CU405"/>
      <c r="CV405"/>
      <c r="CW405"/>
      <c r="CX405"/>
      <c r="CY405"/>
      <c r="CZ405" s="227"/>
      <c r="DA405"/>
      <c r="DB405"/>
      <c r="DC405"/>
      <c r="DD405"/>
      <c r="DE405"/>
      <c r="DF405"/>
      <c r="DG405"/>
      <c r="DH405" s="227"/>
      <c r="DI405" s="3">
        <v>1</v>
      </c>
    </row>
    <row r="406" spans="2:113" s="627" customFormat="1" ht="21" customHeight="1">
      <c r="B406" s="2265" t="str" cm="1">
        <f t="array" ref="B406">SUMPRODUCT(--(D406:J406&lt;&gt;""), LEN(TRIM(SUBSTITUTE(D406:J406, CHAR(160), "")))) &amp; " Car."</f>
        <v>0 Car.</v>
      </c>
      <c r="C406" s="1376" t="str">
        <f>IF(ISBLANK(D406),"",LARGE(C13:C405,1)+1)</f>
        <v/>
      </c>
      <c r="D406" s="1833"/>
      <c r="E406" s="1810"/>
      <c r="F406" s="1810"/>
      <c r="G406" s="1810"/>
      <c r="H406" s="1810"/>
      <c r="I406" s="1810"/>
      <c r="J406" s="1810"/>
      <c r="K406" s="1810"/>
      <c r="L406" s="1811"/>
      <c r="M406"/>
      <c r="N406" s="103" t="str">
        <f t="shared" si="183"/>
        <v>►</v>
      </c>
      <c r="O406" s="1616"/>
      <c r="P406"/>
      <c r="Q406" s="103" t="s">
        <v>15</v>
      </c>
      <c r="R406" s="31"/>
      <c r="S406" s="32"/>
      <c r="T406" s="31"/>
      <c r="U406" s="33"/>
      <c r="V406" s="1804"/>
      <c r="W406" s="1805"/>
      <c r="X406" s="91"/>
      <c r="Y406" s="1806"/>
      <c r="Z406" s="1807"/>
      <c r="AA406" s="919"/>
      <c r="AB406" s="1813"/>
      <c r="AC406" s="1580"/>
      <c r="AD406" s="95"/>
      <c r="AE406" s="105"/>
      <c r="AF406" s="97"/>
      <c r="AG406" s="2080"/>
      <c r="AH406" s="2081"/>
      <c r="AI406" s="99"/>
      <c r="AJ406" s="1809"/>
      <c r="AK406" s="6120" t="str">
        <f t="shared" si="176"/>
        <v>►</v>
      </c>
      <c r="AL406" s="781" t="str">
        <f t="shared" si="164"/>
        <v>►</v>
      </c>
      <c r="AM406" s="5498" t="str">
        <f t="shared" si="167"/>
        <v/>
      </c>
      <c r="AN406" s="783" t="str">
        <f t="shared" si="168"/>
        <v/>
      </c>
      <c r="AO406" s="782" t="str">
        <f t="shared" si="169"/>
        <v/>
      </c>
      <c r="AP406" s="783" t="str">
        <f t="shared" si="170"/>
        <v/>
      </c>
      <c r="AQ406" s="2083" t="b">
        <f>AND(Q406="A",COUNTIF(BP16:BR63,TRIM(Z406))&gt;0)</f>
        <v>0</v>
      </c>
      <c r="AR406" s="797" t="str">
        <f>IF(AL406&lt;&gt;"A","",IFERROR(IFERROR(_xlfn.XLOOKUP(TRIM(SUBSTITUTE(Z406,CHAR(160)," ")),BP16:BP63,BS16:BS63),IFERROR(_xlfn.XLOOKUP(TRIM(SUBSTITUTE(Z406,CHAR(160)," ")),BQ16:BQ63,BS16:BS63),_xlfn.XLOOKUP(TRIM(SUBSTITUTE(Z406,CHAR(160)," ")),BR16:BR63,BS16:BS63)))*Y406*IF(ISBLANK(V406),1,V406),0))</f>
        <v/>
      </c>
      <c r="AS406" s="784" t="str">
        <f t="shared" si="181"/>
        <v/>
      </c>
      <c r="AT406" s="1315" t="str">
        <f t="shared" si="171"/>
        <v/>
      </c>
      <c r="AU406" s="785">
        <f t="shared" si="172"/>
        <v>0</v>
      </c>
      <c r="AV406" s="785">
        <f t="shared" si="173"/>
        <v>0</v>
      </c>
      <c r="AW406" s="798">
        <f>IF(AK406="A",AY10,0)</f>
        <v>0</v>
      </c>
      <c r="AX406" s="5496" t="str">
        <f>IF(IFERROR(SEARCH("Adresse PC",TRIM(W406)),0)&gt;0,"▼ receta siguiente",IF(AK406="A",IF(AZ10&lt;&gt;"",AZ10&amp;" - ou.or.o ❾ + or - &gt;",""),""))</f>
        <v/>
      </c>
      <c r="AY406" s="810"/>
      <c r="AZ406" s="810"/>
      <c r="BA406" s="799" t="str">
        <f t="shared" si="184"/>
        <v/>
      </c>
      <c r="BB406" s="800" t="str">
        <f>IF(AK406="A",IF(AQ406,IF(AND(AW406&lt;&gt;"",N(AW406)&gt;0),IFERROR(IFERROR(_xlfn.XLOOKUP(AP406,BP10:BP57,BT10:BT57),IFERROR(_xlfn.XLOOKUP(AP406,BQ10:BQ57,BT10:BT57),_xlfn.XLOOKUP(AP406,BR10:BR57,BT10:BT57,""))),""),""),""),"")</f>
        <v/>
      </c>
      <c r="BC406" s="813" cm="1">
        <f t="array" ref="BC406">IF(NOT(AQ406),0,IF(OR(BA406="",N(BA406)&lt;=0.000000001),"",IF(OR(AU406="",N(AU406)&lt;=0.000000001),0,IF(ISNUMBER(BA406),IFERROR(_xlfn.LET(_xlpm.ai_test,TRIM(AP406),_xlpm.r,IFERROR(_xlfn.XLOOKUP(_xlpm.ai_test,BP16:BP63,ROW(BP16:BP63),0,1),IFERROR(_xlfn.XLOOKUP(_xlpm.ai_test,BQ16:BQ63,ROW(BQ16:BQ63),0,1),_xlfn.XLOOKUP(_xlpm.ai_test,BR16:BR63,ROW(BR16:BR63),0,1))),_xlpm.p,_xlpm.r-MIN(ROW(BP16:BP63))+1,_xlpm.f,INDEX(BS16:BS63,_xlpm.p),_xlpm.u,INDEX(BT16:BT63,_xlpm.p),_xlpm.s,INDEX(BV16:BV63,_xlpm.p),_xlpm.q,N(BA406)/_xlpm.f,IF(_xlpm.q&gt;=_xlpm.s,ROUND(_xlpm.q,1)&amp;" "&amp;_xlpm.ai_test&amp;" = "&amp;ROUND(_xlpm.q*_xlpm.f,1)&amp;" "&amp;_xlpm.u,ROUND(_xlpm.q,1)&amp;" "&amp;_xlpm.ai_test)),""),""))))</f>
        <v>0</v>
      </c>
      <c r="BD406" s="801"/>
      <c r="BE406" s="799" t="str">
        <f t="shared" si="174"/>
        <v/>
      </c>
      <c r="BF406" s="800" t="str">
        <f t="shared" si="177"/>
        <v/>
      </c>
      <c r="BG406" s="802">
        <f t="shared" si="178"/>
        <v>0</v>
      </c>
      <c r="BH406" s="803" t="str">
        <f t="shared" si="179"/>
        <v/>
      </c>
      <c r="BI406" s="792"/>
      <c r="BJ406" s="804">
        <f t="shared" si="180"/>
        <v>0</v>
      </c>
      <c r="BK406" s="794" t="str">
        <f t="shared" si="175"/>
        <v/>
      </c>
      <c r="BL406" s="227" t="s">
        <v>21</v>
      </c>
      <c r="BM406" s="773">
        <f t="shared" si="165"/>
        <v>0</v>
      </c>
      <c r="BN406" s="774">
        <f t="shared" si="166"/>
        <v>0</v>
      </c>
      <c r="BO406"/>
      <c r="BX406"/>
      <c r="BY406"/>
      <c r="BZ406"/>
      <c r="CA406"/>
      <c r="CB406"/>
      <c r="CC406"/>
      <c r="CD406" s="781" t="str">
        <f t="shared" si="182"/>
        <v>►</v>
      </c>
      <c r="CE406" s="633"/>
      <c r="CF406" s="633"/>
      <c r="CG406" s="633"/>
      <c r="CH406" s="633"/>
      <c r="CI406" s="633"/>
      <c r="CJ406" s="227"/>
      <c r="CK406"/>
      <c r="CL406"/>
      <c r="CM406"/>
      <c r="CN406"/>
      <c r="CO406"/>
      <c r="CP406"/>
      <c r="CQ406"/>
      <c r="CR406" s="227"/>
      <c r="CS406"/>
      <c r="CT406"/>
      <c r="CU406"/>
      <c r="CV406"/>
      <c r="CW406"/>
      <c r="CX406"/>
      <c r="CY406"/>
      <c r="CZ406" s="227"/>
      <c r="DA406"/>
      <c r="DB406"/>
      <c r="DC406"/>
      <c r="DD406"/>
      <c r="DE406"/>
      <c r="DF406"/>
      <c r="DG406"/>
      <c r="DH406" s="227"/>
      <c r="DI406" s="3">
        <v>1</v>
      </c>
    </row>
    <row r="407" spans="2:113" s="627" customFormat="1" ht="21" customHeight="1">
      <c r="B407" s="2265" t="str" cm="1">
        <f t="array" ref="B407">SUMPRODUCT(--(D407:J407&lt;&gt;""), LEN(TRIM(SUBSTITUTE(D407:J407, CHAR(160), "")))) &amp; " Car."</f>
        <v>0 Car.</v>
      </c>
      <c r="C407" s="1376" t="str">
        <f>IF(ISBLANK(D407),"",LARGE(C13:C406,1)+1)</f>
        <v/>
      </c>
      <c r="D407" s="1833"/>
      <c r="E407" s="1810"/>
      <c r="F407" s="1810"/>
      <c r="G407" s="1810"/>
      <c r="H407" s="1810"/>
      <c r="I407" s="1810"/>
      <c r="J407" s="1810"/>
      <c r="K407" s="1810"/>
      <c r="L407" s="1811"/>
      <c r="M407"/>
      <c r="N407" s="103" t="str">
        <f t="shared" si="183"/>
        <v>►</v>
      </c>
      <c r="O407" s="1616"/>
      <c r="P407"/>
      <c r="Q407" s="103" t="s">
        <v>15</v>
      </c>
      <c r="R407" s="31"/>
      <c r="S407" s="32"/>
      <c r="T407" s="31"/>
      <c r="U407" s="33"/>
      <c r="V407" s="1804"/>
      <c r="W407" s="1805"/>
      <c r="X407" s="91"/>
      <c r="Y407" s="1806"/>
      <c r="Z407" s="1807"/>
      <c r="AA407" s="919"/>
      <c r="AB407" s="1813"/>
      <c r="AC407" s="1580"/>
      <c r="AD407" s="95"/>
      <c r="AE407" s="105"/>
      <c r="AF407" s="97"/>
      <c r="AG407" s="2080"/>
      <c r="AH407" s="2081"/>
      <c r="AI407" s="99"/>
      <c r="AJ407" s="1809"/>
      <c r="AK407" s="6120" t="str">
        <f t="shared" si="176"/>
        <v>►</v>
      </c>
      <c r="AL407" s="781" t="str">
        <f t="shared" ref="AL407:AL470" si="185">IF(OR(AU407&gt;0,TRIM(AM407)="▼ recette suivante"),"A","►")</f>
        <v>►</v>
      </c>
      <c r="AM407" s="5499" t="str">
        <f t="shared" si="167"/>
        <v/>
      </c>
      <c r="AN407" s="783" t="str">
        <f t="shared" si="168"/>
        <v/>
      </c>
      <c r="AO407" s="782" t="str">
        <f t="shared" si="169"/>
        <v/>
      </c>
      <c r="AP407" s="783" t="str">
        <f t="shared" si="170"/>
        <v/>
      </c>
      <c r="AQ407" s="2083" t="b">
        <f>AND(Q407="A",COUNTIF(BP16:BR63,TRIM(Z407))&gt;0)</f>
        <v>0</v>
      </c>
      <c r="AR407" s="797" t="str">
        <f>IF(AL407&lt;&gt;"A","",IFERROR(IFERROR(_xlfn.XLOOKUP(TRIM(SUBSTITUTE(Z407,CHAR(160)," ")),BP16:BP63,BS16:BS63),IFERROR(_xlfn.XLOOKUP(TRIM(SUBSTITUTE(Z407,CHAR(160)," ")),BQ16:BQ63,BS16:BS63),_xlfn.XLOOKUP(TRIM(SUBSTITUTE(Z407,CHAR(160)," ")),BR16:BR63,BS16:BS63)))*Y407*IF(ISBLANK(V407),1,V407),0))</f>
        <v/>
      </c>
      <c r="AS407" s="784" t="str">
        <f t="shared" si="181"/>
        <v/>
      </c>
      <c r="AT407" s="1315" t="str">
        <f t="shared" si="171"/>
        <v/>
      </c>
      <c r="AU407" s="785">
        <f t="shared" si="172"/>
        <v>0</v>
      </c>
      <c r="AV407" s="785">
        <f t="shared" si="173"/>
        <v>0</v>
      </c>
      <c r="AW407" s="786">
        <f>IF(AK407="A",AY10,0)</f>
        <v>0</v>
      </c>
      <c r="AX407" s="5495" t="str">
        <f>IF(IFERROR(SEARCH("Adresse PC",TRIM(W407)),0)&gt;0,"▼ receta siguiente",IF(AK407="A",IF(AZ10&lt;&gt;"",AZ10&amp;" - ou.or.o ❾ + or - &gt;",""),""))</f>
        <v/>
      </c>
      <c r="AY407" s="810"/>
      <c r="AZ407" s="810"/>
      <c r="BA407" s="788" t="str">
        <f t="shared" si="184"/>
        <v/>
      </c>
      <c r="BB407" s="789" t="str">
        <f>IF(AK407="A",IF(AQ407,IF(AND(AW407&lt;&gt;"",N(AW407)&gt;0),IFERROR(IFERROR(_xlfn.XLOOKUP(AP407,BP10:BP57,BT10:BT57),IFERROR(_xlfn.XLOOKUP(AP407,BQ10:BQ57,BT10:BT57),_xlfn.XLOOKUP(AP407,BR10:BR57,BT10:BT57,""))),""),""),""),"")</f>
        <v/>
      </c>
      <c r="BC407" s="811" cm="1">
        <f t="array" ref="BC407">IF(NOT(AQ407),0,IF(OR(BA407="",N(BA407)&lt;=0.000000001),"",IF(OR(AU407="",N(AU407)&lt;=0.000000001),0,IF(ISNUMBER(BA407),IFERROR(_xlfn.LET(_xlpm.ai_test,TRIM(AP407),_xlpm.r,IFERROR(_xlfn.XLOOKUP(_xlpm.ai_test,BP16:BP63,ROW(BP16:BP63),0,1),IFERROR(_xlfn.XLOOKUP(_xlpm.ai_test,BQ16:BQ63,ROW(BQ16:BQ63),0,1),_xlfn.XLOOKUP(_xlpm.ai_test,BR16:BR63,ROW(BR16:BR63),0,1))),_xlpm.p,_xlpm.r-MIN(ROW(BP16:BP63))+1,_xlpm.f,INDEX(BS16:BS63,_xlpm.p),_xlpm.u,INDEX(BT16:BT63,_xlpm.p),_xlpm.s,INDEX(BV16:BV63,_xlpm.p),_xlpm.q,N(BA407)/_xlpm.f,IF(_xlpm.q&gt;=_xlpm.s,ROUND(_xlpm.q,1)&amp;" "&amp;_xlpm.ai_test&amp;" = "&amp;ROUND(_xlpm.q*_xlpm.f,1)&amp;" "&amp;_xlpm.u,ROUND(_xlpm.q,1)&amp;" "&amp;_xlpm.ai_test)),""),""))))</f>
        <v>0</v>
      </c>
      <c r="BD407" s="801"/>
      <c r="BE407" s="788" t="str">
        <f t="shared" si="174"/>
        <v/>
      </c>
      <c r="BF407" s="789" t="str">
        <f t="shared" si="177"/>
        <v/>
      </c>
      <c r="BG407" s="790">
        <f t="shared" si="178"/>
        <v>0</v>
      </c>
      <c r="BH407" s="791" t="str">
        <f t="shared" si="179"/>
        <v/>
      </c>
      <c r="BI407" s="792"/>
      <c r="BJ407" s="793">
        <f t="shared" si="180"/>
        <v>0</v>
      </c>
      <c r="BK407" s="794" t="str">
        <f t="shared" si="175"/>
        <v/>
      </c>
      <c r="BL407" s="227" t="s">
        <v>21</v>
      </c>
      <c r="BM407" s="773">
        <f t="shared" ref="BM407:BM470" si="186">IFERROR(_xlfn.LET(_xlpm.EPS,0.000000001,_xlpm.b,V407/AU407,IF(ISNUMBER(AY407),_xlpm.b*AY407,IF(OR(ISBLANK(AY407),AY407=""),_xlpm.b*AW407,IF(AND(BN407=0,ISNUMBER(V407)),_xlpm.b/AW407,0)))),0)</f>
        <v>0</v>
      </c>
      <c r="BN407" s="774">
        <f t="shared" ref="BN407:BN470" si="187">IF(AR407&gt;0,IFERROR(IF(OR(ISBLANK(AY407),AY407=""),AW407,AY407)/AU407,0),0)</f>
        <v>0</v>
      </c>
      <c r="BO407"/>
      <c r="BX407"/>
      <c r="BY407"/>
      <c r="BZ407"/>
      <c r="CA407"/>
      <c r="CB407"/>
      <c r="CC407"/>
      <c r="CD407" s="781" t="str">
        <f t="shared" si="182"/>
        <v>►</v>
      </c>
      <c r="CE407" s="633"/>
      <c r="CF407" s="633"/>
      <c r="CG407" s="633"/>
      <c r="CH407" s="633"/>
      <c r="CI407" s="633"/>
      <c r="CJ407" s="227"/>
      <c r="CK407"/>
      <c r="CL407"/>
      <c r="CM407"/>
      <c r="CN407"/>
      <c r="CO407"/>
      <c r="CP407"/>
      <c r="CQ407"/>
      <c r="CR407" s="227"/>
      <c r="CS407"/>
      <c r="CT407"/>
      <c r="CU407"/>
      <c r="CV407"/>
      <c r="CW407"/>
      <c r="CX407"/>
      <c r="CY407"/>
      <c r="CZ407" s="227"/>
      <c r="DA407"/>
      <c r="DB407"/>
      <c r="DC407"/>
      <c r="DD407"/>
      <c r="DE407"/>
      <c r="DF407"/>
      <c r="DG407"/>
      <c r="DH407" s="227"/>
      <c r="DI407" s="3">
        <v>1</v>
      </c>
    </row>
    <row r="408" spans="2:113" s="627" customFormat="1" ht="21" customHeight="1">
      <c r="B408" s="2265" t="str" cm="1">
        <f t="array" ref="B408">SUMPRODUCT(--(D408:J408&lt;&gt;""), LEN(TRIM(SUBSTITUTE(D408:J408, CHAR(160), "")))) &amp; " Car."</f>
        <v>0 Car.</v>
      </c>
      <c r="C408" s="1376" t="str">
        <f>IF(ISBLANK(D408),"",LARGE(C13:C407,1)+1)</f>
        <v/>
      </c>
      <c r="D408" s="1833"/>
      <c r="E408" s="1810"/>
      <c r="F408" s="1810"/>
      <c r="G408" s="1810"/>
      <c r="H408" s="1810"/>
      <c r="I408" s="1810"/>
      <c r="J408" s="1810"/>
      <c r="K408" s="1810"/>
      <c r="L408" s="1811"/>
      <c r="M408"/>
      <c r="N408" s="103" t="str">
        <f t="shared" si="183"/>
        <v>►</v>
      </c>
      <c r="O408" s="1616"/>
      <c r="P408"/>
      <c r="Q408" s="103" t="s">
        <v>15</v>
      </c>
      <c r="R408" s="31"/>
      <c r="S408" s="32"/>
      <c r="T408" s="31"/>
      <c r="U408" s="33"/>
      <c r="V408" s="1804"/>
      <c r="W408" s="1805"/>
      <c r="X408" s="91"/>
      <c r="Y408" s="1806"/>
      <c r="Z408" s="1807"/>
      <c r="AA408" s="919"/>
      <c r="AB408" s="1813"/>
      <c r="AC408" s="1580"/>
      <c r="AD408" s="95"/>
      <c r="AE408" s="105"/>
      <c r="AF408" s="97"/>
      <c r="AG408" s="2080"/>
      <c r="AH408" s="2081"/>
      <c r="AI408" s="99"/>
      <c r="AJ408" s="1809"/>
      <c r="AK408" s="6120" t="str">
        <f t="shared" si="176"/>
        <v>►</v>
      </c>
      <c r="AL408" s="781" t="str">
        <f t="shared" si="185"/>
        <v>►</v>
      </c>
      <c r="AM408" s="5498" t="str">
        <f t="shared" ref="AM408:AM471" si="188">IF(IFERROR(SEARCH("Adresse PC",TRIM(SUBSTITUTE(W408,CHAR(160)," "))),0)&gt;0,"▼ recette suivante",IF(AK408="A",R408,""))</f>
        <v/>
      </c>
      <c r="AN408" s="783" t="str">
        <f t="shared" ref="AN408:AN471" si="189">IF(AK408="A",S408,"")</f>
        <v/>
      </c>
      <c r="AO408" s="782" t="str">
        <f t="shared" ref="AO408:AO471" si="190">IF(AK408="A",T408,"")</f>
        <v/>
      </c>
      <c r="AP408" s="783" t="str">
        <f t="shared" ref="AP408:AP471" si="191">IF(AK408="A",Z408,"")</f>
        <v/>
      </c>
      <c r="AQ408" s="2083" t="b">
        <f>AND(Q408="A",COUNTIF(BP16:BR63,TRIM(Z408))&gt;0)</f>
        <v>0</v>
      </c>
      <c r="AR408" s="797" t="str">
        <f>IF(AL408&lt;&gt;"A","",IFERROR(IFERROR(_xlfn.XLOOKUP(TRIM(SUBSTITUTE(Z408,CHAR(160)," ")),BP16:BP63,BS16:BS63),IFERROR(_xlfn.XLOOKUP(TRIM(SUBSTITUTE(Z408,CHAR(160)," ")),BQ16:BQ63,BS16:BS63),_xlfn.XLOOKUP(TRIM(SUBSTITUTE(Z408,CHAR(160)," ")),BR16:BR63,BS16:BS63)))*Y408*IF(ISBLANK(V408),1,V408),0))</f>
        <v/>
      </c>
      <c r="AS408" s="784" t="str">
        <f t="shared" si="181"/>
        <v/>
      </c>
      <c r="AT408" s="1315" t="str">
        <f t="shared" ref="AT408:AT471" si="192">IF(AK408="A","❾ Author reference &gt;","")</f>
        <v/>
      </c>
      <c r="AU408" s="785">
        <f t="shared" ref="AU408:AU471" si="193">IF(AK408="A",S408,0)</f>
        <v>0</v>
      </c>
      <c r="AV408" s="785">
        <f t="shared" ref="AV408:AV471" si="194">IF(AK408="A",T408,0)</f>
        <v>0</v>
      </c>
      <c r="AW408" s="798">
        <f>IF(AK408="A",AY10,0)</f>
        <v>0</v>
      </c>
      <c r="AX408" s="5496" t="str">
        <f>IF(IFERROR(SEARCH("Adresse PC",TRIM(W408)),0)&gt;0,"▼ receta siguiente",IF(AK408="A",IF(AZ10&lt;&gt;"",AZ10&amp;" - ou.or.o ❾ + or - &gt;",""),""))</f>
        <v/>
      </c>
      <c r="AY408" s="810"/>
      <c r="AZ408" s="810"/>
      <c r="BA408" s="799" t="str">
        <f t="shared" si="184"/>
        <v/>
      </c>
      <c r="BB408" s="800" t="str">
        <f>IF(AK408="A",IF(AQ408,IF(AND(AW408&lt;&gt;"",N(AW408)&gt;0),IFERROR(IFERROR(_xlfn.XLOOKUP(AP408,BP10:BP57,BT10:BT57),IFERROR(_xlfn.XLOOKUP(AP408,BQ10:BQ57,BT10:BT57),_xlfn.XLOOKUP(AP408,BR10:BR57,BT10:BT57,""))),""),""),""),"")</f>
        <v/>
      </c>
      <c r="BC408" s="813" cm="1">
        <f t="array" ref="BC408">IF(NOT(AQ408),0,IF(OR(BA408="",N(BA408)&lt;=0.000000001),"",IF(OR(AU408="",N(AU408)&lt;=0.000000001),0,IF(ISNUMBER(BA408),IFERROR(_xlfn.LET(_xlpm.ai_test,TRIM(AP408),_xlpm.r,IFERROR(_xlfn.XLOOKUP(_xlpm.ai_test,BP16:BP63,ROW(BP16:BP63),0,1),IFERROR(_xlfn.XLOOKUP(_xlpm.ai_test,BQ16:BQ63,ROW(BQ16:BQ63),0,1),_xlfn.XLOOKUP(_xlpm.ai_test,BR16:BR63,ROW(BR16:BR63),0,1))),_xlpm.p,_xlpm.r-MIN(ROW(BP16:BP63))+1,_xlpm.f,INDEX(BS16:BS63,_xlpm.p),_xlpm.u,INDEX(BT16:BT63,_xlpm.p),_xlpm.s,INDEX(BV16:BV63,_xlpm.p),_xlpm.q,N(BA408)/_xlpm.f,IF(_xlpm.q&gt;=_xlpm.s,ROUND(_xlpm.q,1)&amp;" "&amp;_xlpm.ai_test&amp;" = "&amp;ROUND(_xlpm.q*_xlpm.f,1)&amp;" "&amp;_xlpm.u,ROUND(_xlpm.q,1)&amp;" "&amp;_xlpm.ai_test)),""),""))))</f>
        <v>0</v>
      </c>
      <c r="BD408" s="801"/>
      <c r="BE408" s="799" t="str">
        <f t="shared" ref="BE408:BE471" si="195">IF(IFERROR(SEARCH("Adresse PC",TRIM(W408)),0)&gt;0,"▼next ricipe ",IF(BA408="","",IF(AK408="A",IF(ISBLANK(BD408),BA408,ROUND(BA408*(1-MIN(1,MAX(0,IF(BD408&gt;1,BD408/100,BD408)))),3)))))</f>
        <v/>
      </c>
      <c r="BF408" s="800" t="str">
        <f t="shared" si="177"/>
        <v/>
      </c>
      <c r="BG408" s="802">
        <f t="shared" si="178"/>
        <v>0</v>
      </c>
      <c r="BH408" s="803" t="str">
        <f t="shared" si="179"/>
        <v/>
      </c>
      <c r="BI408" s="792"/>
      <c r="BJ408" s="804">
        <f t="shared" si="180"/>
        <v>0</v>
      </c>
      <c r="BK408" s="794" t="str">
        <f t="shared" ref="BK408:BK471" si="196">IF(AK408="A",IF(IFERROR(SEARCH("Adresse PC",TRIM(W408)),0)&gt;0,"▼recette suivante ",IF(BE408&gt;0,AC408,"")),"")</f>
        <v/>
      </c>
      <c r="BL408" s="227" t="s">
        <v>21</v>
      </c>
      <c r="BM408" s="773">
        <f t="shared" si="186"/>
        <v>0</v>
      </c>
      <c r="BN408" s="774">
        <f t="shared" si="187"/>
        <v>0</v>
      </c>
      <c r="BO408"/>
      <c r="BX408"/>
      <c r="BY408"/>
      <c r="BZ408"/>
      <c r="CA408"/>
      <c r="CB408"/>
      <c r="CC408"/>
      <c r="CD408" s="781" t="str">
        <f t="shared" si="182"/>
        <v>►</v>
      </c>
      <c r="CE408" s="633"/>
      <c r="CF408" s="633"/>
      <c r="CG408" s="633"/>
      <c r="CH408" s="633"/>
      <c r="CI408" s="633"/>
      <c r="CJ408" s="227"/>
      <c r="CK408"/>
      <c r="CL408"/>
      <c r="CM408"/>
      <c r="CN408"/>
      <c r="CO408"/>
      <c r="CP408"/>
      <c r="CQ408"/>
      <c r="CR408" s="227"/>
      <c r="CS408"/>
      <c r="CT408"/>
      <c r="CU408"/>
      <c r="CV408"/>
      <c r="CW408"/>
      <c r="CX408"/>
      <c r="CY408"/>
      <c r="CZ408" s="227"/>
      <c r="DA408"/>
      <c r="DB408"/>
      <c r="DC408"/>
      <c r="DD408"/>
      <c r="DE408"/>
      <c r="DF408"/>
      <c r="DG408"/>
      <c r="DH408" s="227"/>
      <c r="DI408" s="3">
        <v>1</v>
      </c>
    </row>
    <row r="409" spans="2:113" s="627" customFormat="1" ht="21" customHeight="1">
      <c r="B409" s="2265" t="str" cm="1">
        <f t="array" ref="B409">SUMPRODUCT(--(D409:J409&lt;&gt;""), LEN(TRIM(SUBSTITUTE(D409:J409, CHAR(160), "")))) &amp; " Car."</f>
        <v>0 Car.</v>
      </c>
      <c r="C409" s="1376" t="str">
        <f>IF(ISBLANK(D409),"",LARGE(C13:C408,1)+1)</f>
        <v/>
      </c>
      <c r="D409" s="1833"/>
      <c r="E409" s="1810"/>
      <c r="F409" s="1810"/>
      <c r="G409" s="1810"/>
      <c r="H409" s="1810"/>
      <c r="I409" s="1810"/>
      <c r="J409" s="1810"/>
      <c r="K409" s="1810"/>
      <c r="L409" s="1811"/>
      <c r="M409"/>
      <c r="N409" s="103" t="str">
        <f t="shared" si="183"/>
        <v>►</v>
      </c>
      <c r="O409" s="1616"/>
      <c r="P409"/>
      <c r="Q409" s="103" t="s">
        <v>15</v>
      </c>
      <c r="R409" s="31"/>
      <c r="S409" s="32"/>
      <c r="T409" s="31"/>
      <c r="U409" s="33"/>
      <c r="V409" s="1804"/>
      <c r="W409" s="1805"/>
      <c r="X409" s="91"/>
      <c r="Y409" s="1806"/>
      <c r="Z409" s="1807"/>
      <c r="AA409" s="919"/>
      <c r="AB409" s="1813"/>
      <c r="AC409" s="1580"/>
      <c r="AD409" s="95"/>
      <c r="AE409" s="105"/>
      <c r="AF409" s="97"/>
      <c r="AG409" s="2080"/>
      <c r="AH409" s="2081"/>
      <c r="AI409" s="99"/>
      <c r="AJ409" s="1809"/>
      <c r="AK409" s="6120" t="str">
        <f t="shared" ref="AK409:AK472" si="197">IF(AND(IFERROR(SEARCH("►",AB409),0)&gt;0,ISNUMBER(IFERROR(VALUE(TRIM(SUBSTITUTE(AB409,"►",""))),NA())),AC409&lt;&gt;""),"A","►")</f>
        <v>►</v>
      </c>
      <c r="AL409" s="781" t="str">
        <f t="shared" si="185"/>
        <v>►</v>
      </c>
      <c r="AM409" s="5499" t="str">
        <f t="shared" si="188"/>
        <v/>
      </c>
      <c r="AN409" s="783" t="str">
        <f t="shared" si="189"/>
        <v/>
      </c>
      <c r="AO409" s="782" t="str">
        <f t="shared" si="190"/>
        <v/>
      </c>
      <c r="AP409" s="783" t="str">
        <f t="shared" si="191"/>
        <v/>
      </c>
      <c r="AQ409" s="2083" t="b">
        <f>AND(Q409="A",COUNTIF(BP16:BR63,TRIM(Z409))&gt;0)</f>
        <v>0</v>
      </c>
      <c r="AR409" s="797" t="str">
        <f>IF(AL409&lt;&gt;"A","",IFERROR(IFERROR(_xlfn.XLOOKUP(TRIM(SUBSTITUTE(Z409,CHAR(160)," ")),BP16:BP63,BS16:BS63),IFERROR(_xlfn.XLOOKUP(TRIM(SUBSTITUTE(Z409,CHAR(160)," ")),BQ16:BQ63,BS16:BS63),_xlfn.XLOOKUP(TRIM(SUBSTITUTE(Z409,CHAR(160)," ")),BR16:BR63,BS16:BS63)))*Y409*IF(ISBLANK(V409),1,V409),0))</f>
        <v/>
      </c>
      <c r="AS409" s="784" t="str">
        <f t="shared" si="181"/>
        <v/>
      </c>
      <c r="AT409" s="1315" t="str">
        <f t="shared" si="192"/>
        <v/>
      </c>
      <c r="AU409" s="785">
        <f t="shared" si="193"/>
        <v>0</v>
      </c>
      <c r="AV409" s="785">
        <f t="shared" si="194"/>
        <v>0</v>
      </c>
      <c r="AW409" s="786">
        <f>IF(AK409="A",AY10,0)</f>
        <v>0</v>
      </c>
      <c r="AX409" s="5495" t="str">
        <f>IF(IFERROR(SEARCH("Adresse PC",TRIM(W409)),0)&gt;0,"▼ receta siguiente",IF(AK409="A",IF(AZ10&lt;&gt;"",AZ10&amp;" - ou.or.o ❾ + or - &gt;",""),""))</f>
        <v/>
      </c>
      <c r="AY409" s="810"/>
      <c r="AZ409" s="810"/>
      <c r="BA409" s="788" t="str">
        <f t="shared" si="184"/>
        <v/>
      </c>
      <c r="BB409" s="789" t="str">
        <f>IF(AK409="A",IF(AQ409,IF(AND(AW409&lt;&gt;"",N(AW409)&gt;0),IFERROR(IFERROR(_xlfn.XLOOKUP(AP409,BP10:BP57,BT10:BT57),IFERROR(_xlfn.XLOOKUP(AP409,BQ10:BQ57,BT10:BT57),_xlfn.XLOOKUP(AP409,BR10:BR57,BT10:BT57,""))),""),""),""),"")</f>
        <v/>
      </c>
      <c r="BC409" s="811" cm="1">
        <f t="array" ref="BC409">IF(NOT(AQ409),0,IF(OR(BA409="",N(BA409)&lt;=0.000000001),"",IF(OR(AU409="",N(AU409)&lt;=0.000000001),0,IF(ISNUMBER(BA409),IFERROR(_xlfn.LET(_xlpm.ai_test,TRIM(AP409),_xlpm.r,IFERROR(_xlfn.XLOOKUP(_xlpm.ai_test,BP16:BP63,ROW(BP16:BP63),0,1),IFERROR(_xlfn.XLOOKUP(_xlpm.ai_test,BQ16:BQ63,ROW(BQ16:BQ63),0,1),_xlfn.XLOOKUP(_xlpm.ai_test,BR16:BR63,ROW(BR16:BR63),0,1))),_xlpm.p,_xlpm.r-MIN(ROW(BP16:BP63))+1,_xlpm.f,INDEX(BS16:BS63,_xlpm.p),_xlpm.u,INDEX(BT16:BT63,_xlpm.p),_xlpm.s,INDEX(BV16:BV63,_xlpm.p),_xlpm.q,N(BA409)/_xlpm.f,IF(_xlpm.q&gt;=_xlpm.s,ROUND(_xlpm.q,1)&amp;" "&amp;_xlpm.ai_test&amp;" = "&amp;ROUND(_xlpm.q*_xlpm.f,1)&amp;" "&amp;_xlpm.u,ROUND(_xlpm.q,1)&amp;" "&amp;_xlpm.ai_test)),""),""))))</f>
        <v>0</v>
      </c>
      <c r="BD409" s="801"/>
      <c r="BE409" s="788" t="str">
        <f t="shared" si="195"/>
        <v/>
      </c>
      <c r="BF409" s="789" t="str">
        <f t="shared" si="177"/>
        <v/>
      </c>
      <c r="BG409" s="790">
        <f t="shared" si="178"/>
        <v>0</v>
      </c>
      <c r="BH409" s="791" t="str">
        <f t="shared" si="179"/>
        <v/>
      </c>
      <c r="BI409" s="792"/>
      <c r="BJ409" s="793">
        <f t="shared" si="180"/>
        <v>0</v>
      </c>
      <c r="BK409" s="794" t="str">
        <f t="shared" si="196"/>
        <v/>
      </c>
      <c r="BL409" s="227" t="s">
        <v>21</v>
      </c>
      <c r="BM409" s="773">
        <f t="shared" si="186"/>
        <v>0</v>
      </c>
      <c r="BN409" s="774">
        <f t="shared" si="187"/>
        <v>0</v>
      </c>
      <c r="BO409"/>
      <c r="BX409"/>
      <c r="BY409"/>
      <c r="BZ409"/>
      <c r="CA409"/>
      <c r="CB409"/>
      <c r="CC409"/>
      <c r="CD409" s="781" t="str">
        <f t="shared" si="182"/>
        <v>►</v>
      </c>
      <c r="CE409" s="633"/>
      <c r="CF409" s="633"/>
      <c r="CG409" s="633"/>
      <c r="CH409" s="633"/>
      <c r="CI409" s="633"/>
      <c r="CJ409" s="227"/>
      <c r="CK409"/>
      <c r="CL409"/>
      <c r="CM409"/>
      <c r="CN409"/>
      <c r="CO409"/>
      <c r="CP409"/>
      <c r="CQ409"/>
      <c r="CR409" s="227"/>
      <c r="CS409"/>
      <c r="CT409"/>
      <c r="CU409"/>
      <c r="CV409"/>
      <c r="CW409"/>
      <c r="CX409"/>
      <c r="CY409"/>
      <c r="CZ409" s="227"/>
      <c r="DA409"/>
      <c r="DB409"/>
      <c r="DC409"/>
      <c r="DD409"/>
      <c r="DE409"/>
      <c r="DF409"/>
      <c r="DG409"/>
      <c r="DH409" s="227"/>
      <c r="DI409" s="3">
        <v>1</v>
      </c>
    </row>
    <row r="410" spans="2:113" s="627" customFormat="1" ht="21" customHeight="1">
      <c r="B410" s="2265" t="str" cm="1">
        <f t="array" ref="B410">SUMPRODUCT(--(D410:J410&lt;&gt;""), LEN(TRIM(SUBSTITUTE(D410:J410, CHAR(160), "")))) &amp; " Car."</f>
        <v>0 Car.</v>
      </c>
      <c r="C410" s="1376" t="str">
        <f>IF(ISBLANK(D410),"",LARGE(C13:C409,1)+1)</f>
        <v/>
      </c>
      <c r="D410" s="1833"/>
      <c r="E410" s="1810"/>
      <c r="F410" s="1810"/>
      <c r="G410" s="1810"/>
      <c r="H410" s="1810"/>
      <c r="I410" s="1810"/>
      <c r="J410" s="1810"/>
      <c r="K410" s="1810"/>
      <c r="L410" s="1811"/>
      <c r="M410"/>
      <c r="N410" s="103" t="str">
        <f t="shared" si="183"/>
        <v>►</v>
      </c>
      <c r="O410" s="1616"/>
      <c r="P410"/>
      <c r="Q410" s="103" t="s">
        <v>15</v>
      </c>
      <c r="R410" s="31"/>
      <c r="S410" s="32"/>
      <c r="T410" s="31"/>
      <c r="U410" s="33"/>
      <c r="V410" s="1804"/>
      <c r="W410" s="1805"/>
      <c r="X410" s="91"/>
      <c r="Y410" s="1806"/>
      <c r="Z410" s="1807"/>
      <c r="AA410" s="919"/>
      <c r="AB410" s="1813"/>
      <c r="AC410" s="1580"/>
      <c r="AD410" s="95"/>
      <c r="AE410" s="105"/>
      <c r="AF410" s="97"/>
      <c r="AG410" s="2080"/>
      <c r="AH410" s="2081"/>
      <c r="AI410" s="99"/>
      <c r="AJ410" s="1809"/>
      <c r="AK410" s="6120" t="str">
        <f t="shared" si="197"/>
        <v>►</v>
      </c>
      <c r="AL410" s="781" t="str">
        <f t="shared" si="185"/>
        <v>►</v>
      </c>
      <c r="AM410" s="5498" t="str">
        <f t="shared" si="188"/>
        <v/>
      </c>
      <c r="AN410" s="783" t="str">
        <f t="shared" si="189"/>
        <v/>
      </c>
      <c r="AO410" s="782" t="str">
        <f t="shared" si="190"/>
        <v/>
      </c>
      <c r="AP410" s="783" t="str">
        <f t="shared" si="191"/>
        <v/>
      </c>
      <c r="AQ410" s="2083" t="b">
        <f>AND(Q410="A",COUNTIF(BP16:BR63,TRIM(Z410))&gt;0)</f>
        <v>0</v>
      </c>
      <c r="AR410" s="797" t="str">
        <f>IF(AL410&lt;&gt;"A","",IFERROR(IFERROR(_xlfn.XLOOKUP(TRIM(SUBSTITUTE(Z410,CHAR(160)," ")),BP16:BP63,BS16:BS63),IFERROR(_xlfn.XLOOKUP(TRIM(SUBSTITUTE(Z410,CHAR(160)," ")),BQ16:BQ63,BS16:BS63),_xlfn.XLOOKUP(TRIM(SUBSTITUTE(Z410,CHAR(160)," ")),BR16:BR63,BS16:BS63)))*Y410*IF(ISBLANK(V410),1,V410),0))</f>
        <v/>
      </c>
      <c r="AS410" s="784" t="str">
        <f t="shared" si="181"/>
        <v/>
      </c>
      <c r="AT410" s="1315" t="str">
        <f t="shared" si="192"/>
        <v/>
      </c>
      <c r="AU410" s="785">
        <f t="shared" si="193"/>
        <v>0</v>
      </c>
      <c r="AV410" s="785">
        <f t="shared" si="194"/>
        <v>0</v>
      </c>
      <c r="AW410" s="798">
        <f>IF(AK410="A",AY10,0)</f>
        <v>0</v>
      </c>
      <c r="AX410" s="5496" t="str">
        <f>IF(IFERROR(SEARCH("Adresse PC",TRIM(W410)),0)&gt;0,"▼ receta siguiente",IF(AK410="A",IF(AZ10&lt;&gt;"",AZ10&amp;" - ou.or.o ❾ + or - &gt;",""),""))</f>
        <v/>
      </c>
      <c r="AY410" s="810"/>
      <c r="AZ410" s="810"/>
      <c r="BA410" s="799" t="str">
        <f t="shared" si="184"/>
        <v/>
      </c>
      <c r="BB410" s="800" t="str">
        <f>IF(AK410="A",IF(AQ410,IF(AND(AW410&lt;&gt;"",N(AW410)&gt;0),IFERROR(IFERROR(_xlfn.XLOOKUP(AP410,BP10:BP57,BT10:BT57),IFERROR(_xlfn.XLOOKUP(AP410,BQ10:BQ57,BT10:BT57),_xlfn.XLOOKUP(AP410,BR10:BR57,BT10:BT57,""))),""),""),""),"")</f>
        <v/>
      </c>
      <c r="BC410" s="813" cm="1">
        <f t="array" ref="BC410">IF(NOT(AQ410),0,IF(OR(BA410="",N(BA410)&lt;=0.000000001),"",IF(OR(AU410="",N(AU410)&lt;=0.000000001),0,IF(ISNUMBER(BA410),IFERROR(_xlfn.LET(_xlpm.ai_test,TRIM(AP410),_xlpm.r,IFERROR(_xlfn.XLOOKUP(_xlpm.ai_test,BP16:BP63,ROW(BP16:BP63),0,1),IFERROR(_xlfn.XLOOKUP(_xlpm.ai_test,BQ16:BQ63,ROW(BQ16:BQ63),0,1),_xlfn.XLOOKUP(_xlpm.ai_test,BR16:BR63,ROW(BR16:BR63),0,1))),_xlpm.p,_xlpm.r-MIN(ROW(BP16:BP63))+1,_xlpm.f,INDEX(BS16:BS63,_xlpm.p),_xlpm.u,INDEX(BT16:BT63,_xlpm.p),_xlpm.s,INDEX(BV16:BV63,_xlpm.p),_xlpm.q,N(BA410)/_xlpm.f,IF(_xlpm.q&gt;=_xlpm.s,ROUND(_xlpm.q,1)&amp;" "&amp;_xlpm.ai_test&amp;" = "&amp;ROUND(_xlpm.q*_xlpm.f,1)&amp;" "&amp;_xlpm.u,ROUND(_xlpm.q,1)&amp;" "&amp;_xlpm.ai_test)),""),""))))</f>
        <v>0</v>
      </c>
      <c r="BD410" s="801"/>
      <c r="BE410" s="799" t="str">
        <f t="shared" si="195"/>
        <v/>
      </c>
      <c r="BF410" s="800" t="str">
        <f t="shared" si="177"/>
        <v/>
      </c>
      <c r="BG410" s="802">
        <f t="shared" si="178"/>
        <v>0</v>
      </c>
      <c r="BH410" s="803" t="str">
        <f t="shared" si="179"/>
        <v/>
      </c>
      <c r="BI410" s="792"/>
      <c r="BJ410" s="804">
        <f t="shared" si="180"/>
        <v>0</v>
      </c>
      <c r="BK410" s="794" t="str">
        <f t="shared" si="196"/>
        <v/>
      </c>
      <c r="BL410" s="227" t="s">
        <v>21</v>
      </c>
      <c r="BM410" s="773">
        <f t="shared" si="186"/>
        <v>0</v>
      </c>
      <c r="BN410" s="774">
        <f t="shared" si="187"/>
        <v>0</v>
      </c>
      <c r="BO410"/>
      <c r="BX410"/>
      <c r="BY410"/>
      <c r="BZ410"/>
      <c r="CA410"/>
      <c r="CB410"/>
      <c r="CC410"/>
      <c r="CD410" s="781" t="str">
        <f t="shared" si="182"/>
        <v>►</v>
      </c>
      <c r="CE410" s="633"/>
      <c r="CF410" s="633"/>
      <c r="CG410" s="633"/>
      <c r="CH410" s="633"/>
      <c r="CI410" s="633"/>
      <c r="CJ410" s="227"/>
      <c r="CK410"/>
      <c r="CL410"/>
      <c r="CM410"/>
      <c r="CN410"/>
      <c r="CO410"/>
      <c r="CP410"/>
      <c r="CQ410"/>
      <c r="CR410" s="227"/>
      <c r="CS410"/>
      <c r="CT410"/>
      <c r="CU410"/>
      <c r="CV410"/>
      <c r="CW410"/>
      <c r="CX410"/>
      <c r="CY410"/>
      <c r="CZ410" s="227"/>
      <c r="DA410"/>
      <c r="DB410"/>
      <c r="DC410"/>
      <c r="DD410"/>
      <c r="DE410"/>
      <c r="DF410"/>
      <c r="DG410"/>
      <c r="DH410" s="227"/>
      <c r="DI410" s="3">
        <v>1</v>
      </c>
    </row>
    <row r="411" spans="2:113" s="627" customFormat="1" ht="21" customHeight="1">
      <c r="B411" s="2265" t="str" cm="1">
        <f t="array" ref="B411">SUMPRODUCT(--(D411:J411&lt;&gt;""), LEN(TRIM(SUBSTITUTE(D411:J411, CHAR(160), "")))) &amp; " Car."</f>
        <v>0 Car.</v>
      </c>
      <c r="C411" s="1376" t="str">
        <f>IF(ISBLANK(D411),"",LARGE(C13:C410,1)+1)</f>
        <v/>
      </c>
      <c r="D411" s="1833"/>
      <c r="E411" s="1810"/>
      <c r="F411" s="1810"/>
      <c r="G411" s="1810"/>
      <c r="H411" s="1810"/>
      <c r="I411" s="1810"/>
      <c r="J411" s="1810"/>
      <c r="K411" s="1810"/>
      <c r="L411" s="1811"/>
      <c r="M411"/>
      <c r="N411" s="103" t="str">
        <f t="shared" si="183"/>
        <v>►</v>
      </c>
      <c r="O411" s="1616"/>
      <c r="P411"/>
      <c r="Q411" s="103" t="s">
        <v>15</v>
      </c>
      <c r="R411" s="31"/>
      <c r="S411" s="32"/>
      <c r="T411" s="31"/>
      <c r="U411" s="33"/>
      <c r="V411" s="1804"/>
      <c r="W411" s="1805"/>
      <c r="X411" s="91"/>
      <c r="Y411" s="1806"/>
      <c r="Z411" s="1807"/>
      <c r="AA411" s="919"/>
      <c r="AB411" s="1813"/>
      <c r="AC411" s="1580"/>
      <c r="AD411" s="95"/>
      <c r="AE411" s="105"/>
      <c r="AF411" s="97"/>
      <c r="AG411" s="2080"/>
      <c r="AH411" s="2081"/>
      <c r="AI411" s="99"/>
      <c r="AJ411" s="1809"/>
      <c r="AK411" s="6120" t="str">
        <f t="shared" si="197"/>
        <v>►</v>
      </c>
      <c r="AL411" s="781" t="str">
        <f t="shared" si="185"/>
        <v>►</v>
      </c>
      <c r="AM411" s="5499" t="str">
        <f t="shared" si="188"/>
        <v/>
      </c>
      <c r="AN411" s="783" t="str">
        <f t="shared" si="189"/>
        <v/>
      </c>
      <c r="AO411" s="782" t="str">
        <f t="shared" si="190"/>
        <v/>
      </c>
      <c r="AP411" s="783" t="str">
        <f t="shared" si="191"/>
        <v/>
      </c>
      <c r="AQ411" s="2083" t="b">
        <f>AND(Q411="A",COUNTIF(BP16:BR63,TRIM(Z411))&gt;0)</f>
        <v>0</v>
      </c>
      <c r="AR411" s="797" t="str">
        <f>IF(AL411&lt;&gt;"A","",IFERROR(IFERROR(_xlfn.XLOOKUP(TRIM(SUBSTITUTE(Z411,CHAR(160)," ")),BP16:BP63,BS16:BS63),IFERROR(_xlfn.XLOOKUP(TRIM(SUBSTITUTE(Z411,CHAR(160)," ")),BQ16:BQ63,BS16:BS63),_xlfn.XLOOKUP(TRIM(SUBSTITUTE(Z411,CHAR(160)," ")),BR16:BR63,BS16:BS63)))*Y411*IF(ISBLANK(V411),1,V411),0))</f>
        <v/>
      </c>
      <c r="AS411" s="784" t="str">
        <f t="shared" si="181"/>
        <v/>
      </c>
      <c r="AT411" s="1315" t="str">
        <f t="shared" si="192"/>
        <v/>
      </c>
      <c r="AU411" s="785">
        <f t="shared" si="193"/>
        <v>0</v>
      </c>
      <c r="AV411" s="785">
        <f t="shared" si="194"/>
        <v>0</v>
      </c>
      <c r="AW411" s="786">
        <f>IF(AK411="A",AY10,0)</f>
        <v>0</v>
      </c>
      <c r="AX411" s="5495" t="str">
        <f>IF(IFERROR(SEARCH("Adresse PC",TRIM(W411)),0)&gt;0,"▼ receta siguiente",IF(AK411="A",IF(AZ10&lt;&gt;"",AZ10&amp;" - ou.or.o ❾ + or - &gt;",""),""))</f>
        <v/>
      </c>
      <c r="AY411" s="810"/>
      <c r="AZ411" s="810"/>
      <c r="BA411" s="788" t="str">
        <f t="shared" si="184"/>
        <v/>
      </c>
      <c r="BB411" s="789" t="str">
        <f>IF(AK411="A",IF(AQ411,IF(AND(AW411&lt;&gt;"",N(AW411)&gt;0),IFERROR(IFERROR(_xlfn.XLOOKUP(AP411,BP10:BP57,BT10:BT57),IFERROR(_xlfn.XLOOKUP(AP411,BQ10:BQ57,BT10:BT57),_xlfn.XLOOKUP(AP411,BR10:BR57,BT10:BT57,""))),""),""),""),"")</f>
        <v/>
      </c>
      <c r="BC411" s="811" cm="1">
        <f t="array" ref="BC411">IF(NOT(AQ411),0,IF(OR(BA411="",N(BA411)&lt;=0.000000001),"",IF(OR(AU411="",N(AU411)&lt;=0.000000001),0,IF(ISNUMBER(BA411),IFERROR(_xlfn.LET(_xlpm.ai_test,TRIM(AP411),_xlpm.r,IFERROR(_xlfn.XLOOKUP(_xlpm.ai_test,BP16:BP63,ROW(BP16:BP63),0,1),IFERROR(_xlfn.XLOOKUP(_xlpm.ai_test,BQ16:BQ63,ROW(BQ16:BQ63),0,1),_xlfn.XLOOKUP(_xlpm.ai_test,BR16:BR63,ROW(BR16:BR63),0,1))),_xlpm.p,_xlpm.r-MIN(ROW(BP16:BP63))+1,_xlpm.f,INDEX(BS16:BS63,_xlpm.p),_xlpm.u,INDEX(BT16:BT63,_xlpm.p),_xlpm.s,INDEX(BV16:BV63,_xlpm.p),_xlpm.q,N(BA411)/_xlpm.f,IF(_xlpm.q&gt;=_xlpm.s,ROUND(_xlpm.q,1)&amp;" "&amp;_xlpm.ai_test&amp;" = "&amp;ROUND(_xlpm.q*_xlpm.f,1)&amp;" "&amp;_xlpm.u,ROUND(_xlpm.q,1)&amp;" "&amp;_xlpm.ai_test)),""),""))))</f>
        <v>0</v>
      </c>
      <c r="BD411" s="801"/>
      <c r="BE411" s="788" t="str">
        <f t="shared" si="195"/>
        <v/>
      </c>
      <c r="BF411" s="789" t="str">
        <f t="shared" si="177"/>
        <v/>
      </c>
      <c r="BG411" s="790">
        <f t="shared" si="178"/>
        <v>0</v>
      </c>
      <c r="BH411" s="791" t="str">
        <f t="shared" si="179"/>
        <v/>
      </c>
      <c r="BI411" s="792"/>
      <c r="BJ411" s="793">
        <f t="shared" si="180"/>
        <v>0</v>
      </c>
      <c r="BK411" s="794" t="str">
        <f t="shared" si="196"/>
        <v/>
      </c>
      <c r="BL411" s="227" t="s">
        <v>21</v>
      </c>
      <c r="BM411" s="773">
        <f t="shared" si="186"/>
        <v>0</v>
      </c>
      <c r="BN411" s="774">
        <f t="shared" si="187"/>
        <v>0</v>
      </c>
      <c r="BO411"/>
      <c r="BX411"/>
      <c r="BY411"/>
      <c r="BZ411"/>
      <c r="CA411"/>
      <c r="CB411"/>
      <c r="CC411"/>
      <c r="CD411" s="781" t="str">
        <f t="shared" si="182"/>
        <v>►</v>
      </c>
      <c r="CE411" s="633"/>
      <c r="CF411" s="633"/>
      <c r="CG411" s="633"/>
      <c r="CH411" s="633"/>
      <c r="CI411" s="633"/>
      <c r="CJ411" s="227"/>
      <c r="CK411"/>
      <c r="CL411"/>
      <c r="CM411"/>
      <c r="CN411"/>
      <c r="CO411"/>
      <c r="CP411"/>
      <c r="CQ411"/>
      <c r="CR411" s="227"/>
      <c r="CS411"/>
      <c r="CT411"/>
      <c r="CU411"/>
      <c r="CV411"/>
      <c r="CW411"/>
      <c r="CX411"/>
      <c r="CY411"/>
      <c r="CZ411" s="227"/>
      <c r="DA411"/>
      <c r="DB411"/>
      <c r="DC411"/>
      <c r="DD411"/>
      <c r="DE411"/>
      <c r="DF411"/>
      <c r="DG411"/>
      <c r="DH411" s="227"/>
      <c r="DI411" s="3">
        <v>1</v>
      </c>
    </row>
    <row r="412" spans="2:113" s="627" customFormat="1" ht="21" customHeight="1">
      <c r="B412" s="2265" t="str" cm="1">
        <f t="array" ref="B412">SUMPRODUCT(--(D412:J412&lt;&gt;""), LEN(TRIM(SUBSTITUTE(D412:J412, CHAR(160), "")))) &amp; " Car."</f>
        <v>0 Car.</v>
      </c>
      <c r="C412" s="1376" t="str">
        <f>IF(ISBLANK(D412),"",LARGE(C13:C411,1)+1)</f>
        <v/>
      </c>
      <c r="D412" s="1833"/>
      <c r="E412" s="1810"/>
      <c r="F412" s="1810"/>
      <c r="G412" s="1810"/>
      <c r="H412" s="1810"/>
      <c r="I412" s="1810"/>
      <c r="J412" s="1810"/>
      <c r="K412" s="1810"/>
      <c r="L412" s="1811"/>
      <c r="M412"/>
      <c r="N412" s="103" t="str">
        <f t="shared" si="183"/>
        <v>►</v>
      </c>
      <c r="O412" s="1616"/>
      <c r="P412"/>
      <c r="Q412" s="103" t="s">
        <v>15</v>
      </c>
      <c r="R412" s="31"/>
      <c r="S412" s="32"/>
      <c r="T412" s="31"/>
      <c r="U412" s="33"/>
      <c r="V412" s="1804"/>
      <c r="W412" s="1805"/>
      <c r="X412" s="91"/>
      <c r="Y412" s="1806"/>
      <c r="Z412" s="1807"/>
      <c r="AA412" s="919"/>
      <c r="AB412" s="1813"/>
      <c r="AC412" s="1580"/>
      <c r="AD412" s="95"/>
      <c r="AE412" s="105"/>
      <c r="AF412" s="97"/>
      <c r="AG412" s="2080"/>
      <c r="AH412" s="2081"/>
      <c r="AI412" s="99"/>
      <c r="AJ412" s="1809"/>
      <c r="AK412" s="6120" t="str">
        <f t="shared" si="197"/>
        <v>►</v>
      </c>
      <c r="AL412" s="781" t="str">
        <f t="shared" si="185"/>
        <v>►</v>
      </c>
      <c r="AM412" s="5498" t="str">
        <f t="shared" si="188"/>
        <v/>
      </c>
      <c r="AN412" s="783" t="str">
        <f t="shared" si="189"/>
        <v/>
      </c>
      <c r="AO412" s="782" t="str">
        <f t="shared" si="190"/>
        <v/>
      </c>
      <c r="AP412" s="783" t="str">
        <f t="shared" si="191"/>
        <v/>
      </c>
      <c r="AQ412" s="2083" t="b">
        <f>AND(Q412="A",COUNTIF(BP16:BR63,TRIM(Z412))&gt;0)</f>
        <v>0</v>
      </c>
      <c r="AR412" s="797" t="str">
        <f>IF(AL412&lt;&gt;"A","",IFERROR(IFERROR(_xlfn.XLOOKUP(TRIM(SUBSTITUTE(Z412,CHAR(160)," ")),BP16:BP63,BS16:BS63),IFERROR(_xlfn.XLOOKUP(TRIM(SUBSTITUTE(Z412,CHAR(160)," ")),BQ16:BQ63,BS16:BS63),_xlfn.XLOOKUP(TRIM(SUBSTITUTE(Z412,CHAR(160)," ")),BR16:BR63,BS16:BS63)))*Y412*IF(ISBLANK(V412),1,V412),0))</f>
        <v/>
      </c>
      <c r="AS412" s="784" t="str">
        <f t="shared" si="181"/>
        <v/>
      </c>
      <c r="AT412" s="1315" t="str">
        <f t="shared" si="192"/>
        <v/>
      </c>
      <c r="AU412" s="785">
        <f t="shared" si="193"/>
        <v>0</v>
      </c>
      <c r="AV412" s="785">
        <f t="shared" si="194"/>
        <v>0</v>
      </c>
      <c r="AW412" s="798">
        <f>IF(AK412="A",AY10,0)</f>
        <v>0</v>
      </c>
      <c r="AX412" s="5496" t="str">
        <f>IF(IFERROR(SEARCH("Adresse PC",TRIM(W412)),0)&gt;0,"▼ receta siguiente",IF(AK412="A",IF(AZ10&lt;&gt;"",AZ10&amp;" - ou.or.o ❾ + or - &gt;",""),""))</f>
        <v/>
      </c>
      <c r="AY412" s="810"/>
      <c r="AZ412" s="810"/>
      <c r="BA412" s="799" t="str">
        <f t="shared" si="184"/>
        <v/>
      </c>
      <c r="BB412" s="800" t="str">
        <f>IF(AK412="A",IF(AQ412,IF(AND(AW412&lt;&gt;"",N(AW412)&gt;0),IFERROR(IFERROR(_xlfn.XLOOKUP(AP412,BP10:BP57,BT10:BT57),IFERROR(_xlfn.XLOOKUP(AP412,BQ10:BQ57,BT10:BT57),_xlfn.XLOOKUP(AP412,BR10:BR57,BT10:BT57,""))),""),""),""),"")</f>
        <v/>
      </c>
      <c r="BC412" s="813" cm="1">
        <f t="array" ref="BC412">IF(NOT(AQ412),0,IF(OR(BA412="",N(BA412)&lt;=0.000000001),"",IF(OR(AU412="",N(AU412)&lt;=0.000000001),0,IF(ISNUMBER(BA412),IFERROR(_xlfn.LET(_xlpm.ai_test,TRIM(AP412),_xlpm.r,IFERROR(_xlfn.XLOOKUP(_xlpm.ai_test,BP16:BP63,ROW(BP16:BP63),0,1),IFERROR(_xlfn.XLOOKUP(_xlpm.ai_test,BQ16:BQ63,ROW(BQ16:BQ63),0,1),_xlfn.XLOOKUP(_xlpm.ai_test,BR16:BR63,ROW(BR16:BR63),0,1))),_xlpm.p,_xlpm.r-MIN(ROW(BP16:BP63))+1,_xlpm.f,INDEX(BS16:BS63,_xlpm.p),_xlpm.u,INDEX(BT16:BT63,_xlpm.p),_xlpm.s,INDEX(BV16:BV63,_xlpm.p),_xlpm.q,N(BA412)/_xlpm.f,IF(_xlpm.q&gt;=_xlpm.s,ROUND(_xlpm.q,1)&amp;" "&amp;_xlpm.ai_test&amp;" = "&amp;ROUND(_xlpm.q*_xlpm.f,1)&amp;" "&amp;_xlpm.u,ROUND(_xlpm.q,1)&amp;" "&amp;_xlpm.ai_test)),""),""))))</f>
        <v>0</v>
      </c>
      <c r="BD412" s="801"/>
      <c r="BE412" s="799" t="str">
        <f t="shared" si="195"/>
        <v/>
      </c>
      <c r="BF412" s="800" t="str">
        <f t="shared" si="177"/>
        <v/>
      </c>
      <c r="BG412" s="802">
        <f t="shared" si="178"/>
        <v>0</v>
      </c>
      <c r="BH412" s="803" t="str">
        <f t="shared" si="179"/>
        <v/>
      </c>
      <c r="BI412" s="792"/>
      <c r="BJ412" s="804">
        <f t="shared" si="180"/>
        <v>0</v>
      </c>
      <c r="BK412" s="794" t="str">
        <f t="shared" si="196"/>
        <v/>
      </c>
      <c r="BL412" s="227" t="s">
        <v>21</v>
      </c>
      <c r="BM412" s="773">
        <f t="shared" si="186"/>
        <v>0</v>
      </c>
      <c r="BN412" s="774">
        <f t="shared" si="187"/>
        <v>0</v>
      </c>
      <c r="BO412"/>
      <c r="BX412"/>
      <c r="BY412"/>
      <c r="BZ412"/>
      <c r="CA412"/>
      <c r="CB412"/>
      <c r="CC412"/>
      <c r="CD412" s="781" t="str">
        <f t="shared" si="182"/>
        <v>►</v>
      </c>
      <c r="CE412" s="633"/>
      <c r="CF412" s="633"/>
      <c r="CG412" s="633"/>
      <c r="CH412" s="633"/>
      <c r="CI412" s="633"/>
      <c r="CJ412" s="227"/>
      <c r="CK412"/>
      <c r="CL412"/>
      <c r="CM412"/>
      <c r="CN412"/>
      <c r="CO412"/>
      <c r="CP412"/>
      <c r="CQ412"/>
      <c r="CR412" s="227"/>
      <c r="CS412"/>
      <c r="CT412"/>
      <c r="CU412"/>
      <c r="CV412"/>
      <c r="CW412"/>
      <c r="CX412"/>
      <c r="CY412"/>
      <c r="CZ412" s="227"/>
      <c r="DA412"/>
      <c r="DB412"/>
      <c r="DC412"/>
      <c r="DD412"/>
      <c r="DE412"/>
      <c r="DF412"/>
      <c r="DG412"/>
      <c r="DH412" s="227"/>
      <c r="DI412" s="3">
        <v>1</v>
      </c>
    </row>
    <row r="413" spans="2:113" s="627" customFormat="1" ht="21" customHeight="1">
      <c r="B413" s="2265" t="str" cm="1">
        <f t="array" ref="B413">SUMPRODUCT(--(D413:J413&lt;&gt;""), LEN(TRIM(SUBSTITUTE(D413:J413, CHAR(160), "")))) &amp; " Car."</f>
        <v>0 Car.</v>
      </c>
      <c r="C413" s="1376" t="str">
        <f>IF(ISBLANK(D413),"",LARGE(C13:C412,1)+1)</f>
        <v/>
      </c>
      <c r="D413" s="1833"/>
      <c r="E413" s="1810"/>
      <c r="F413" s="1810"/>
      <c r="G413" s="1810"/>
      <c r="H413" s="1810"/>
      <c r="I413" s="1810"/>
      <c r="J413" s="1810"/>
      <c r="K413" s="1810"/>
      <c r="L413" s="1811"/>
      <c r="M413"/>
      <c r="N413" s="103" t="str">
        <f t="shared" si="183"/>
        <v>►</v>
      </c>
      <c r="O413" s="1616"/>
      <c r="P413"/>
      <c r="Q413" s="103" t="s">
        <v>15</v>
      </c>
      <c r="R413" s="31"/>
      <c r="S413" s="32"/>
      <c r="T413" s="31"/>
      <c r="U413" s="33"/>
      <c r="V413" s="1804"/>
      <c r="W413" s="1805"/>
      <c r="X413" s="91"/>
      <c r="Y413" s="1806"/>
      <c r="Z413" s="1807"/>
      <c r="AA413" s="919"/>
      <c r="AB413" s="1813"/>
      <c r="AC413" s="1580"/>
      <c r="AD413" s="95"/>
      <c r="AE413" s="105"/>
      <c r="AF413" s="97"/>
      <c r="AG413" s="2080"/>
      <c r="AH413" s="2081"/>
      <c r="AI413" s="99"/>
      <c r="AJ413" s="1809"/>
      <c r="AK413" s="6120" t="str">
        <f t="shared" si="197"/>
        <v>►</v>
      </c>
      <c r="AL413" s="781" t="str">
        <f t="shared" si="185"/>
        <v>►</v>
      </c>
      <c r="AM413" s="5499" t="str">
        <f t="shared" si="188"/>
        <v/>
      </c>
      <c r="AN413" s="783" t="str">
        <f t="shared" si="189"/>
        <v/>
      </c>
      <c r="AO413" s="782" t="str">
        <f t="shared" si="190"/>
        <v/>
      </c>
      <c r="AP413" s="783" t="str">
        <f t="shared" si="191"/>
        <v/>
      </c>
      <c r="AQ413" s="2083" t="b">
        <f>AND(Q413="A",COUNTIF(BP16:BR63,TRIM(Z413))&gt;0)</f>
        <v>0</v>
      </c>
      <c r="AR413" s="797" t="str">
        <f>IF(AL413&lt;&gt;"A","",IFERROR(IFERROR(_xlfn.XLOOKUP(TRIM(SUBSTITUTE(Z413,CHAR(160)," ")),BP16:BP63,BS16:BS63),IFERROR(_xlfn.XLOOKUP(TRIM(SUBSTITUTE(Z413,CHAR(160)," ")),BQ16:BQ63,BS16:BS63),_xlfn.XLOOKUP(TRIM(SUBSTITUTE(Z413,CHAR(160)," ")),BR16:BR63,BS16:BS63)))*Y413*IF(ISBLANK(V413),1,V413),0))</f>
        <v/>
      </c>
      <c r="AS413" s="784" t="str">
        <f t="shared" si="181"/>
        <v/>
      </c>
      <c r="AT413" s="1315" t="str">
        <f t="shared" si="192"/>
        <v/>
      </c>
      <c r="AU413" s="785">
        <f t="shared" si="193"/>
        <v>0</v>
      </c>
      <c r="AV413" s="785">
        <f t="shared" si="194"/>
        <v>0</v>
      </c>
      <c r="AW413" s="786">
        <f>IF(AK413="A",AY10,0)</f>
        <v>0</v>
      </c>
      <c r="AX413" s="5495" t="str">
        <f>IF(IFERROR(SEARCH("Adresse PC",TRIM(W413)),0)&gt;0,"▼ receta siguiente",IF(AK413="A",IF(AZ10&lt;&gt;"",AZ10&amp;" - ou.or.o ❾ + or - &gt;",""),""))</f>
        <v/>
      </c>
      <c r="AY413" s="810"/>
      <c r="AZ413" s="810"/>
      <c r="BA413" s="788" t="str">
        <f t="shared" si="184"/>
        <v/>
      </c>
      <c r="BB413" s="789" t="str">
        <f>IF(AK413="A",IF(AQ413,IF(AND(AW413&lt;&gt;"",N(AW413)&gt;0),IFERROR(IFERROR(_xlfn.XLOOKUP(AP413,BP10:BP57,BT10:BT57),IFERROR(_xlfn.XLOOKUP(AP413,BQ10:BQ57,BT10:BT57),_xlfn.XLOOKUP(AP413,BR10:BR57,BT10:BT57,""))),""),""),""),"")</f>
        <v/>
      </c>
      <c r="BC413" s="811" cm="1">
        <f t="array" ref="BC413">IF(NOT(AQ413),0,IF(OR(BA413="",N(BA413)&lt;=0.000000001),"",IF(OR(AU413="",N(AU413)&lt;=0.000000001),0,IF(ISNUMBER(BA413),IFERROR(_xlfn.LET(_xlpm.ai_test,TRIM(AP413),_xlpm.r,IFERROR(_xlfn.XLOOKUP(_xlpm.ai_test,BP16:BP63,ROW(BP16:BP63),0,1),IFERROR(_xlfn.XLOOKUP(_xlpm.ai_test,BQ16:BQ63,ROW(BQ16:BQ63),0,1),_xlfn.XLOOKUP(_xlpm.ai_test,BR16:BR63,ROW(BR16:BR63),0,1))),_xlpm.p,_xlpm.r-MIN(ROW(BP16:BP63))+1,_xlpm.f,INDEX(BS16:BS63,_xlpm.p),_xlpm.u,INDEX(BT16:BT63,_xlpm.p),_xlpm.s,INDEX(BV16:BV63,_xlpm.p),_xlpm.q,N(BA413)/_xlpm.f,IF(_xlpm.q&gt;=_xlpm.s,ROUND(_xlpm.q,1)&amp;" "&amp;_xlpm.ai_test&amp;" = "&amp;ROUND(_xlpm.q*_xlpm.f,1)&amp;" "&amp;_xlpm.u,ROUND(_xlpm.q,1)&amp;" "&amp;_xlpm.ai_test)),""),""))))</f>
        <v>0</v>
      </c>
      <c r="BD413" s="801"/>
      <c r="BE413" s="788" t="str">
        <f t="shared" si="195"/>
        <v/>
      </c>
      <c r="BF413" s="789" t="str">
        <f t="shared" si="177"/>
        <v/>
      </c>
      <c r="BG413" s="790">
        <f t="shared" si="178"/>
        <v>0</v>
      </c>
      <c r="BH413" s="791" t="str">
        <f t="shared" si="179"/>
        <v/>
      </c>
      <c r="BI413" s="792"/>
      <c r="BJ413" s="793">
        <f t="shared" si="180"/>
        <v>0</v>
      </c>
      <c r="BK413" s="794" t="str">
        <f t="shared" si="196"/>
        <v/>
      </c>
      <c r="BL413" s="227" t="s">
        <v>21</v>
      </c>
      <c r="BM413" s="773">
        <f t="shared" si="186"/>
        <v>0</v>
      </c>
      <c r="BN413" s="774">
        <f t="shared" si="187"/>
        <v>0</v>
      </c>
      <c r="BO413"/>
      <c r="BX413"/>
      <c r="BY413"/>
      <c r="BZ413"/>
      <c r="CA413"/>
      <c r="CB413"/>
      <c r="CC413"/>
      <c r="CD413" s="781" t="str">
        <f t="shared" si="182"/>
        <v>►</v>
      </c>
      <c r="CE413" s="633"/>
      <c r="CF413" s="633"/>
      <c r="CG413" s="633"/>
      <c r="CH413" s="633"/>
      <c r="CI413" s="633"/>
      <c r="CJ413" s="227"/>
      <c r="CK413"/>
      <c r="CL413"/>
      <c r="CM413"/>
      <c r="CN413"/>
      <c r="CO413"/>
      <c r="CP413"/>
      <c r="CQ413"/>
      <c r="CR413" s="227"/>
      <c r="CS413"/>
      <c r="CT413"/>
      <c r="CU413"/>
      <c r="CV413"/>
      <c r="CW413"/>
      <c r="CX413"/>
      <c r="CY413"/>
      <c r="CZ413" s="227"/>
      <c r="DA413"/>
      <c r="DB413"/>
      <c r="DC413"/>
      <c r="DD413"/>
      <c r="DE413"/>
      <c r="DF413"/>
      <c r="DG413"/>
      <c r="DH413" s="227"/>
      <c r="DI413" s="3">
        <v>1</v>
      </c>
    </row>
    <row r="414" spans="2:113" s="627" customFormat="1" ht="21" customHeight="1">
      <c r="B414" s="2265" t="str" cm="1">
        <f t="array" ref="B414">SUMPRODUCT(--(D414:J414&lt;&gt;""), LEN(TRIM(SUBSTITUTE(D414:J414, CHAR(160), "")))) &amp; " Car."</f>
        <v>0 Car.</v>
      </c>
      <c r="C414" s="1376" t="str">
        <f>IF(ISBLANK(D414),"",LARGE(C13:C413,1)+1)</f>
        <v/>
      </c>
      <c r="D414" s="1833"/>
      <c r="E414" s="1810"/>
      <c r="F414" s="1810"/>
      <c r="G414" s="1810"/>
      <c r="H414" s="1810"/>
      <c r="I414" s="1810"/>
      <c r="J414" s="1810"/>
      <c r="K414" s="1810"/>
      <c r="L414" s="1811"/>
      <c r="M414"/>
      <c r="N414" s="103" t="str">
        <f t="shared" si="183"/>
        <v>►</v>
      </c>
      <c r="O414" s="1616"/>
      <c r="P414"/>
      <c r="Q414" s="103" t="s">
        <v>15</v>
      </c>
      <c r="R414" s="31"/>
      <c r="S414" s="32"/>
      <c r="T414" s="31"/>
      <c r="U414" s="33"/>
      <c r="V414" s="1804"/>
      <c r="W414" s="1805"/>
      <c r="X414" s="91"/>
      <c r="Y414" s="1806"/>
      <c r="Z414" s="1807"/>
      <c r="AA414" s="919"/>
      <c r="AB414" s="1813"/>
      <c r="AC414" s="1580"/>
      <c r="AD414" s="95"/>
      <c r="AE414" s="105"/>
      <c r="AF414" s="97"/>
      <c r="AG414" s="2080"/>
      <c r="AH414" s="2081"/>
      <c r="AI414" s="99"/>
      <c r="AJ414" s="1809"/>
      <c r="AK414" s="6120" t="str">
        <f t="shared" si="197"/>
        <v>►</v>
      </c>
      <c r="AL414" s="781" t="str">
        <f t="shared" si="185"/>
        <v>►</v>
      </c>
      <c r="AM414" s="5498" t="str">
        <f t="shared" si="188"/>
        <v/>
      </c>
      <c r="AN414" s="783" t="str">
        <f t="shared" si="189"/>
        <v/>
      </c>
      <c r="AO414" s="782" t="str">
        <f t="shared" si="190"/>
        <v/>
      </c>
      <c r="AP414" s="783" t="str">
        <f t="shared" si="191"/>
        <v/>
      </c>
      <c r="AQ414" s="2083" t="b">
        <f>AND(Q414="A",COUNTIF(BP16:BR63,TRIM(Z414))&gt;0)</f>
        <v>0</v>
      </c>
      <c r="AR414" s="797" t="str">
        <f>IF(AL414&lt;&gt;"A","",IFERROR(IFERROR(_xlfn.XLOOKUP(TRIM(SUBSTITUTE(Z414,CHAR(160)," ")),BP16:BP63,BS16:BS63),IFERROR(_xlfn.XLOOKUP(TRIM(SUBSTITUTE(Z414,CHAR(160)," ")),BQ16:BQ63,BS16:BS63),_xlfn.XLOOKUP(TRIM(SUBSTITUTE(Z414,CHAR(160)," ")),BR16:BR63,BS16:BS63)))*Y414*IF(ISBLANK(V414),1,V414),0))</f>
        <v/>
      </c>
      <c r="AS414" s="784" t="str">
        <f t="shared" si="181"/>
        <v/>
      </c>
      <c r="AT414" s="1315" t="str">
        <f t="shared" si="192"/>
        <v/>
      </c>
      <c r="AU414" s="785">
        <f t="shared" si="193"/>
        <v>0</v>
      </c>
      <c r="AV414" s="785">
        <f t="shared" si="194"/>
        <v>0</v>
      </c>
      <c r="AW414" s="798">
        <f>IF(AK414="A",AY10,0)</f>
        <v>0</v>
      </c>
      <c r="AX414" s="5496" t="str">
        <f>IF(IFERROR(SEARCH("Adresse PC",TRIM(W414)),0)&gt;0,"▼ receta siguiente",IF(AK414="A",IF(AZ10&lt;&gt;"",AZ10&amp;" - ou.or.o ❾ + or - &gt;",""),""))</f>
        <v/>
      </c>
      <c r="AY414" s="810"/>
      <c r="AZ414" s="810"/>
      <c r="BA414" s="799" t="str">
        <f t="shared" si="184"/>
        <v/>
      </c>
      <c r="BB414" s="800" t="str">
        <f>IF(AK414="A",IF(AQ414,IF(AND(AW414&lt;&gt;"",N(AW414)&gt;0),IFERROR(IFERROR(_xlfn.XLOOKUP(AP414,BP10:BP57,BT10:BT57),IFERROR(_xlfn.XLOOKUP(AP414,BQ10:BQ57,BT10:BT57),_xlfn.XLOOKUP(AP414,BR10:BR57,BT10:BT57,""))),""),""),""),"")</f>
        <v/>
      </c>
      <c r="BC414" s="813" cm="1">
        <f t="array" ref="BC414">IF(NOT(AQ414),0,IF(OR(BA414="",N(BA414)&lt;=0.000000001),"",IF(OR(AU414="",N(AU414)&lt;=0.000000001),0,IF(ISNUMBER(BA414),IFERROR(_xlfn.LET(_xlpm.ai_test,TRIM(AP414),_xlpm.r,IFERROR(_xlfn.XLOOKUP(_xlpm.ai_test,BP16:BP63,ROW(BP16:BP63),0,1),IFERROR(_xlfn.XLOOKUP(_xlpm.ai_test,BQ16:BQ63,ROW(BQ16:BQ63),0,1),_xlfn.XLOOKUP(_xlpm.ai_test,BR16:BR63,ROW(BR16:BR63),0,1))),_xlpm.p,_xlpm.r-MIN(ROW(BP16:BP63))+1,_xlpm.f,INDEX(BS16:BS63,_xlpm.p),_xlpm.u,INDEX(BT16:BT63,_xlpm.p),_xlpm.s,INDEX(BV16:BV63,_xlpm.p),_xlpm.q,N(BA414)/_xlpm.f,IF(_xlpm.q&gt;=_xlpm.s,ROUND(_xlpm.q,1)&amp;" "&amp;_xlpm.ai_test&amp;" = "&amp;ROUND(_xlpm.q*_xlpm.f,1)&amp;" "&amp;_xlpm.u,ROUND(_xlpm.q,1)&amp;" "&amp;_xlpm.ai_test)),""),""))))</f>
        <v>0</v>
      </c>
      <c r="BD414" s="801"/>
      <c r="BE414" s="799" t="str">
        <f t="shared" si="195"/>
        <v/>
      </c>
      <c r="BF414" s="800" t="str">
        <f t="shared" si="177"/>
        <v/>
      </c>
      <c r="BG414" s="802">
        <f t="shared" si="178"/>
        <v>0</v>
      </c>
      <c r="BH414" s="803" t="str">
        <f t="shared" si="179"/>
        <v/>
      </c>
      <c r="BI414" s="792"/>
      <c r="BJ414" s="804">
        <f t="shared" si="180"/>
        <v>0</v>
      </c>
      <c r="BK414" s="794" t="str">
        <f t="shared" si="196"/>
        <v/>
      </c>
      <c r="BL414" s="227" t="s">
        <v>21</v>
      </c>
      <c r="BM414" s="773">
        <f t="shared" si="186"/>
        <v>0</v>
      </c>
      <c r="BN414" s="774">
        <f t="shared" si="187"/>
        <v>0</v>
      </c>
      <c r="BO414"/>
      <c r="BX414"/>
      <c r="BY414"/>
      <c r="BZ414"/>
      <c r="CA414"/>
      <c r="CB414"/>
      <c r="CC414"/>
      <c r="CD414" s="781" t="str">
        <f t="shared" si="182"/>
        <v>►</v>
      </c>
      <c r="CE414" s="633"/>
      <c r="CF414" s="633"/>
      <c r="CG414" s="633"/>
      <c r="CH414" s="633"/>
      <c r="CI414" s="633"/>
      <c r="CJ414" s="227"/>
      <c r="CK414"/>
      <c r="CL414"/>
      <c r="CM414"/>
      <c r="CN414"/>
      <c r="CO414"/>
      <c r="CP414"/>
      <c r="CQ414"/>
      <c r="CR414" s="227"/>
      <c r="CS414"/>
      <c r="CT414"/>
      <c r="CU414"/>
      <c r="CV414"/>
      <c r="CW414"/>
      <c r="CX414"/>
      <c r="CY414"/>
      <c r="CZ414" s="227"/>
      <c r="DA414"/>
      <c r="DB414"/>
      <c r="DC414"/>
      <c r="DD414"/>
      <c r="DE414"/>
      <c r="DF414"/>
      <c r="DG414"/>
      <c r="DH414" s="227"/>
      <c r="DI414" s="3">
        <v>1</v>
      </c>
    </row>
    <row r="415" spans="2:113" s="627" customFormat="1" ht="21" customHeight="1">
      <c r="B415" s="2265" t="str" cm="1">
        <f t="array" ref="B415">SUMPRODUCT(--(D415:J415&lt;&gt;""), LEN(TRIM(SUBSTITUTE(D415:J415, CHAR(160), "")))) &amp; " Car."</f>
        <v>0 Car.</v>
      </c>
      <c r="C415" s="1376" t="str">
        <f>IF(ISBLANK(D415),"",LARGE(C13:C414,1)+1)</f>
        <v/>
      </c>
      <c r="D415" s="1833"/>
      <c r="E415" s="1810"/>
      <c r="F415" s="1810"/>
      <c r="G415" s="1810"/>
      <c r="H415" s="1810"/>
      <c r="I415" s="1810"/>
      <c r="J415" s="1810"/>
      <c r="K415" s="1810"/>
      <c r="L415" s="1811"/>
      <c r="M415"/>
      <c r="N415" s="103" t="str">
        <f t="shared" si="183"/>
        <v>►</v>
      </c>
      <c r="O415" s="1616"/>
      <c r="P415"/>
      <c r="Q415" s="103" t="s">
        <v>15</v>
      </c>
      <c r="R415" s="31"/>
      <c r="S415" s="32"/>
      <c r="T415" s="31"/>
      <c r="U415" s="33"/>
      <c r="V415" s="1804"/>
      <c r="W415" s="1805"/>
      <c r="X415" s="91"/>
      <c r="Y415" s="1806"/>
      <c r="Z415" s="1807"/>
      <c r="AA415" s="919"/>
      <c r="AB415" s="1813"/>
      <c r="AC415" s="1580"/>
      <c r="AD415" s="95"/>
      <c r="AE415" s="105"/>
      <c r="AF415" s="97"/>
      <c r="AG415" s="2080"/>
      <c r="AH415" s="2081"/>
      <c r="AI415" s="99"/>
      <c r="AJ415" s="1809"/>
      <c r="AK415" s="6120" t="str">
        <f t="shared" si="197"/>
        <v>►</v>
      </c>
      <c r="AL415" s="781" t="str">
        <f t="shared" si="185"/>
        <v>►</v>
      </c>
      <c r="AM415" s="5499" t="str">
        <f t="shared" si="188"/>
        <v/>
      </c>
      <c r="AN415" s="783" t="str">
        <f t="shared" si="189"/>
        <v/>
      </c>
      <c r="AO415" s="782" t="str">
        <f t="shared" si="190"/>
        <v/>
      </c>
      <c r="AP415" s="783" t="str">
        <f t="shared" si="191"/>
        <v/>
      </c>
      <c r="AQ415" s="2083" t="b">
        <f>AND(Q415="A",COUNTIF(BP16:BR63,TRIM(Z415))&gt;0)</f>
        <v>0</v>
      </c>
      <c r="AR415" s="797" t="str">
        <f>IF(AL415&lt;&gt;"A","",IFERROR(IFERROR(_xlfn.XLOOKUP(TRIM(SUBSTITUTE(Z415,CHAR(160)," ")),BP16:BP63,BS16:BS63),IFERROR(_xlfn.XLOOKUP(TRIM(SUBSTITUTE(Z415,CHAR(160)," ")),BQ16:BQ63,BS16:BS63),_xlfn.XLOOKUP(TRIM(SUBSTITUTE(Z415,CHAR(160)," ")),BR16:BR63,BS16:BS63)))*Y415*IF(ISBLANK(V415),1,V415),0))</f>
        <v/>
      </c>
      <c r="AS415" s="784" t="str">
        <f t="shared" si="181"/>
        <v/>
      </c>
      <c r="AT415" s="1315" t="str">
        <f t="shared" si="192"/>
        <v/>
      </c>
      <c r="AU415" s="785">
        <f t="shared" si="193"/>
        <v>0</v>
      </c>
      <c r="AV415" s="785">
        <f t="shared" si="194"/>
        <v>0</v>
      </c>
      <c r="AW415" s="786">
        <f>IF(AK415="A",AY10,0)</f>
        <v>0</v>
      </c>
      <c r="AX415" s="5495" t="str">
        <f>IF(IFERROR(SEARCH("Adresse PC",TRIM(W415)),0)&gt;0,"▼ receta siguiente",IF(AK415="A",IF(AZ10&lt;&gt;"",AZ10&amp;" - ou.or.o ❾ + or - &gt;",""),""))</f>
        <v/>
      </c>
      <c r="AY415" s="810"/>
      <c r="AZ415" s="810"/>
      <c r="BA415" s="788" t="str">
        <f t="shared" si="184"/>
        <v/>
      </c>
      <c r="BB415" s="789" t="str">
        <f>IF(AK415="A",IF(AQ415,IF(AND(AW415&lt;&gt;"",N(AW415)&gt;0),IFERROR(IFERROR(_xlfn.XLOOKUP(AP415,BP10:BP57,BT10:BT57),IFERROR(_xlfn.XLOOKUP(AP415,BQ10:BQ57,BT10:BT57),_xlfn.XLOOKUP(AP415,BR10:BR57,BT10:BT57,""))),""),""),""),"")</f>
        <v/>
      </c>
      <c r="BC415" s="811" cm="1">
        <f t="array" ref="BC415">IF(NOT(AQ415),0,IF(OR(BA415="",N(BA415)&lt;=0.000000001),"",IF(OR(AU415="",N(AU415)&lt;=0.000000001),0,IF(ISNUMBER(BA415),IFERROR(_xlfn.LET(_xlpm.ai_test,TRIM(AP415),_xlpm.r,IFERROR(_xlfn.XLOOKUP(_xlpm.ai_test,BP16:BP63,ROW(BP16:BP63),0,1),IFERROR(_xlfn.XLOOKUP(_xlpm.ai_test,BQ16:BQ63,ROW(BQ16:BQ63),0,1),_xlfn.XLOOKUP(_xlpm.ai_test,BR16:BR63,ROW(BR16:BR63),0,1))),_xlpm.p,_xlpm.r-MIN(ROW(BP16:BP63))+1,_xlpm.f,INDEX(BS16:BS63,_xlpm.p),_xlpm.u,INDEX(BT16:BT63,_xlpm.p),_xlpm.s,INDEX(BV16:BV63,_xlpm.p),_xlpm.q,N(BA415)/_xlpm.f,IF(_xlpm.q&gt;=_xlpm.s,ROUND(_xlpm.q,1)&amp;" "&amp;_xlpm.ai_test&amp;" = "&amp;ROUND(_xlpm.q*_xlpm.f,1)&amp;" "&amp;_xlpm.u,ROUND(_xlpm.q,1)&amp;" "&amp;_xlpm.ai_test)),""),""))))</f>
        <v>0</v>
      </c>
      <c r="BD415" s="801"/>
      <c r="BE415" s="788" t="str">
        <f t="shared" si="195"/>
        <v/>
      </c>
      <c r="BF415" s="789" t="str">
        <f t="shared" si="177"/>
        <v/>
      </c>
      <c r="BG415" s="790">
        <f t="shared" si="178"/>
        <v>0</v>
      </c>
      <c r="BH415" s="791" t="str">
        <f t="shared" si="179"/>
        <v/>
      </c>
      <c r="BI415" s="792"/>
      <c r="BJ415" s="793">
        <f t="shared" si="180"/>
        <v>0</v>
      </c>
      <c r="BK415" s="794" t="str">
        <f t="shared" si="196"/>
        <v/>
      </c>
      <c r="BL415" s="227" t="s">
        <v>21</v>
      </c>
      <c r="BM415" s="773">
        <f t="shared" si="186"/>
        <v>0</v>
      </c>
      <c r="BN415" s="774">
        <f t="shared" si="187"/>
        <v>0</v>
      </c>
      <c r="BO415"/>
      <c r="BX415"/>
      <c r="BY415"/>
      <c r="BZ415"/>
      <c r="CA415"/>
      <c r="CB415"/>
      <c r="CC415"/>
      <c r="CD415" s="781" t="str">
        <f t="shared" si="182"/>
        <v>►</v>
      </c>
      <c r="CE415" s="633"/>
      <c r="CF415" s="633"/>
      <c r="CG415" s="633"/>
      <c r="CH415" s="633"/>
      <c r="CI415" s="633"/>
      <c r="CJ415" s="227"/>
      <c r="CK415"/>
      <c r="CL415"/>
      <c r="CM415"/>
      <c r="CN415"/>
      <c r="CO415"/>
      <c r="CP415"/>
      <c r="CQ415"/>
      <c r="CR415" s="227"/>
      <c r="CS415"/>
      <c r="CT415"/>
      <c r="CU415"/>
      <c r="CV415"/>
      <c r="CW415"/>
      <c r="CX415"/>
      <c r="CY415"/>
      <c r="CZ415" s="227"/>
      <c r="DA415"/>
      <c r="DB415"/>
      <c r="DC415"/>
      <c r="DD415"/>
      <c r="DE415"/>
      <c r="DF415"/>
      <c r="DG415"/>
      <c r="DH415" s="227"/>
      <c r="DI415" s="3">
        <v>1</v>
      </c>
    </row>
    <row r="416" spans="2:113" s="627" customFormat="1" ht="21" customHeight="1">
      <c r="B416" s="2265" t="str" cm="1">
        <f t="array" ref="B416">SUMPRODUCT(--(D416:J416&lt;&gt;""), LEN(TRIM(SUBSTITUTE(D416:J416, CHAR(160), "")))) &amp; " Car."</f>
        <v>0 Car.</v>
      </c>
      <c r="C416" s="1376" t="str">
        <f>IF(ISBLANK(D416),"",LARGE(C13:C415,1)+1)</f>
        <v/>
      </c>
      <c r="D416" s="1833"/>
      <c r="E416" s="1810"/>
      <c r="F416" s="1810"/>
      <c r="G416" s="1810"/>
      <c r="H416" s="1810"/>
      <c r="I416" s="1810"/>
      <c r="J416" s="1810"/>
      <c r="K416" s="1810"/>
      <c r="L416" s="1811"/>
      <c r="M416"/>
      <c r="N416" s="103" t="str">
        <f t="shared" si="183"/>
        <v>►</v>
      </c>
      <c r="O416" s="1616"/>
      <c r="P416"/>
      <c r="Q416" s="103" t="s">
        <v>15</v>
      </c>
      <c r="R416" s="31"/>
      <c r="S416" s="32"/>
      <c r="T416" s="31"/>
      <c r="U416" s="33"/>
      <c r="V416" s="1804"/>
      <c r="W416" s="1805"/>
      <c r="X416" s="91"/>
      <c r="Y416" s="1806"/>
      <c r="Z416" s="1807"/>
      <c r="AA416" s="919"/>
      <c r="AB416" s="1813"/>
      <c r="AC416" s="1580"/>
      <c r="AD416" s="95"/>
      <c r="AE416" s="105"/>
      <c r="AF416" s="97"/>
      <c r="AG416" s="2080"/>
      <c r="AH416" s="2081"/>
      <c r="AI416" s="99"/>
      <c r="AJ416" s="1809"/>
      <c r="AK416" s="6120" t="str">
        <f t="shared" si="197"/>
        <v>►</v>
      </c>
      <c r="AL416" s="781" t="str">
        <f t="shared" si="185"/>
        <v>►</v>
      </c>
      <c r="AM416" s="5498" t="str">
        <f t="shared" si="188"/>
        <v/>
      </c>
      <c r="AN416" s="783" t="str">
        <f t="shared" si="189"/>
        <v/>
      </c>
      <c r="AO416" s="782" t="str">
        <f t="shared" si="190"/>
        <v/>
      </c>
      <c r="AP416" s="783" t="str">
        <f t="shared" si="191"/>
        <v/>
      </c>
      <c r="AQ416" s="2083" t="b">
        <f>AND(Q416="A",COUNTIF(BP16:BR63,TRIM(Z416))&gt;0)</f>
        <v>0</v>
      </c>
      <c r="AR416" s="797" t="str">
        <f>IF(AL416&lt;&gt;"A","",IFERROR(IFERROR(_xlfn.XLOOKUP(TRIM(SUBSTITUTE(Z416,CHAR(160)," ")),BP16:BP63,BS16:BS63),IFERROR(_xlfn.XLOOKUP(TRIM(SUBSTITUTE(Z416,CHAR(160)," ")),BQ16:BQ63,BS16:BS63),_xlfn.XLOOKUP(TRIM(SUBSTITUTE(Z416,CHAR(160)," ")),BR16:BR63,BS16:BS63)))*Y416*IF(ISBLANK(V416),1,V416),0))</f>
        <v/>
      </c>
      <c r="AS416" s="784" t="str">
        <f t="shared" si="181"/>
        <v/>
      </c>
      <c r="AT416" s="1315" t="str">
        <f t="shared" si="192"/>
        <v/>
      </c>
      <c r="AU416" s="785">
        <f t="shared" si="193"/>
        <v>0</v>
      </c>
      <c r="AV416" s="785">
        <f t="shared" si="194"/>
        <v>0</v>
      </c>
      <c r="AW416" s="798">
        <f>IF(AK416="A",AY10,0)</f>
        <v>0</v>
      </c>
      <c r="AX416" s="5496" t="str">
        <f>IF(IFERROR(SEARCH("Adresse PC",TRIM(W416)),0)&gt;0,"▼ receta siguiente",IF(AK416="A",IF(AZ10&lt;&gt;"",AZ10&amp;" - ou.or.o ❾ + or - &gt;",""),""))</f>
        <v/>
      </c>
      <c r="AY416" s="810"/>
      <c r="AZ416" s="810"/>
      <c r="BA416" s="799" t="str">
        <f t="shared" si="184"/>
        <v/>
      </c>
      <c r="BB416" s="800" t="str">
        <f>IF(AK416="A",IF(AQ416,IF(AND(AW416&lt;&gt;"",N(AW416)&gt;0),IFERROR(IFERROR(_xlfn.XLOOKUP(AP416,BP10:BP57,BT10:BT57),IFERROR(_xlfn.XLOOKUP(AP416,BQ10:BQ57,BT10:BT57),_xlfn.XLOOKUP(AP416,BR10:BR57,BT10:BT57,""))),""),""),""),"")</f>
        <v/>
      </c>
      <c r="BC416" s="813" cm="1">
        <f t="array" ref="BC416">IF(NOT(AQ416),0,IF(OR(BA416="",N(BA416)&lt;=0.000000001),"",IF(OR(AU416="",N(AU416)&lt;=0.000000001),0,IF(ISNUMBER(BA416),IFERROR(_xlfn.LET(_xlpm.ai_test,TRIM(AP416),_xlpm.r,IFERROR(_xlfn.XLOOKUP(_xlpm.ai_test,BP16:BP63,ROW(BP16:BP63),0,1),IFERROR(_xlfn.XLOOKUP(_xlpm.ai_test,BQ16:BQ63,ROW(BQ16:BQ63),0,1),_xlfn.XLOOKUP(_xlpm.ai_test,BR16:BR63,ROW(BR16:BR63),0,1))),_xlpm.p,_xlpm.r-MIN(ROW(BP16:BP63))+1,_xlpm.f,INDEX(BS16:BS63,_xlpm.p),_xlpm.u,INDEX(BT16:BT63,_xlpm.p),_xlpm.s,INDEX(BV16:BV63,_xlpm.p),_xlpm.q,N(BA416)/_xlpm.f,IF(_xlpm.q&gt;=_xlpm.s,ROUND(_xlpm.q,1)&amp;" "&amp;_xlpm.ai_test&amp;" = "&amp;ROUND(_xlpm.q*_xlpm.f,1)&amp;" "&amp;_xlpm.u,ROUND(_xlpm.q,1)&amp;" "&amp;_xlpm.ai_test)),""),""))))</f>
        <v>0</v>
      </c>
      <c r="BD416" s="801"/>
      <c r="BE416" s="799" t="str">
        <f t="shared" si="195"/>
        <v/>
      </c>
      <c r="BF416" s="800" t="str">
        <f t="shared" ref="BF416:BF479" si="198">IF(AQ416,BB416,"")</f>
        <v/>
      </c>
      <c r="BG416" s="802">
        <f t="shared" ref="BG416:BG479" si="199">IF(AND(ISNUMBER(BM416),ABS(BM416)&gt;0.000000001),BM416,0)</f>
        <v>0</v>
      </c>
      <c r="BH416" s="803" t="str">
        <f t="shared" ref="BH416:BH479" si="200">IF(AND(AQ416, N(BG416)&gt;0.000000001), W416, "")</f>
        <v/>
      </c>
      <c r="BI416" s="792"/>
      <c r="BJ416" s="804">
        <f t="shared" ref="BJ416:BJ479" si="201">IF(OR(AU416=0,ISBLANK(BI416),ISTEXT(BG416)),0,(IF(BA416=0,BG416,BA416)*BI416))</f>
        <v>0</v>
      </c>
      <c r="BK416" s="794" t="str">
        <f t="shared" si="196"/>
        <v/>
      </c>
      <c r="BL416" s="227" t="s">
        <v>21</v>
      </c>
      <c r="BM416" s="773">
        <f t="shared" si="186"/>
        <v>0</v>
      </c>
      <c r="BN416" s="774">
        <f t="shared" si="187"/>
        <v>0</v>
      </c>
      <c r="BO416"/>
      <c r="BX416"/>
      <c r="BY416"/>
      <c r="BZ416"/>
      <c r="CA416"/>
      <c r="CB416"/>
      <c r="CC416"/>
      <c r="CD416" s="781" t="str">
        <f t="shared" si="182"/>
        <v>►</v>
      </c>
      <c r="CE416" s="633"/>
      <c r="CF416" s="633"/>
      <c r="CG416" s="633"/>
      <c r="CH416" s="633"/>
      <c r="CI416" s="633"/>
      <c r="CJ416" s="227"/>
      <c r="CK416"/>
      <c r="CL416"/>
      <c r="CM416"/>
      <c r="CN416"/>
      <c r="CO416"/>
      <c r="CP416"/>
      <c r="CQ416"/>
      <c r="CR416" s="227"/>
      <c r="CS416"/>
      <c r="CT416"/>
      <c r="CU416"/>
      <c r="CV416"/>
      <c r="CW416"/>
      <c r="CX416"/>
      <c r="CY416"/>
      <c r="CZ416" s="227"/>
      <c r="DA416"/>
      <c r="DB416"/>
      <c r="DC416"/>
      <c r="DD416"/>
      <c r="DE416"/>
      <c r="DF416"/>
      <c r="DG416"/>
      <c r="DH416" s="227"/>
      <c r="DI416" s="3">
        <v>1</v>
      </c>
    </row>
    <row r="417" spans="2:113" s="627" customFormat="1" ht="21" customHeight="1">
      <c r="B417" s="2265" t="str" cm="1">
        <f t="array" ref="B417">SUMPRODUCT(--(D417:J417&lt;&gt;""), LEN(TRIM(SUBSTITUTE(D417:J417, CHAR(160), "")))) &amp; " Car."</f>
        <v>0 Car.</v>
      </c>
      <c r="C417" s="1376" t="str">
        <f>IF(ISBLANK(D417),"",LARGE(C13:C416,1)+1)</f>
        <v/>
      </c>
      <c r="D417" s="1833"/>
      <c r="E417" s="1810"/>
      <c r="F417" s="1810"/>
      <c r="G417" s="1810"/>
      <c r="H417" s="1810"/>
      <c r="I417" s="1810"/>
      <c r="J417" s="1810"/>
      <c r="K417" s="1810"/>
      <c r="L417" s="1811"/>
      <c r="M417"/>
      <c r="N417" s="103" t="str">
        <f t="shared" si="183"/>
        <v>►</v>
      </c>
      <c r="O417" s="1616"/>
      <c r="P417"/>
      <c r="Q417" s="103" t="s">
        <v>15</v>
      </c>
      <c r="R417" s="31"/>
      <c r="S417" s="32"/>
      <c r="T417" s="31"/>
      <c r="U417" s="33"/>
      <c r="V417" s="1804"/>
      <c r="W417" s="1805"/>
      <c r="X417" s="91"/>
      <c r="Y417" s="1806"/>
      <c r="Z417" s="1807"/>
      <c r="AA417" s="919"/>
      <c r="AB417" s="1813"/>
      <c r="AC417" s="1580"/>
      <c r="AD417" s="95"/>
      <c r="AE417" s="105"/>
      <c r="AF417" s="97"/>
      <c r="AG417" s="2080"/>
      <c r="AH417" s="2081"/>
      <c r="AI417" s="99"/>
      <c r="AJ417" s="1809"/>
      <c r="AK417" s="6120" t="str">
        <f t="shared" si="197"/>
        <v>►</v>
      </c>
      <c r="AL417" s="781" t="str">
        <f t="shared" si="185"/>
        <v>►</v>
      </c>
      <c r="AM417" s="5499" t="str">
        <f t="shared" si="188"/>
        <v/>
      </c>
      <c r="AN417" s="783" t="str">
        <f t="shared" si="189"/>
        <v/>
      </c>
      <c r="AO417" s="782" t="str">
        <f t="shared" si="190"/>
        <v/>
      </c>
      <c r="AP417" s="783" t="str">
        <f t="shared" si="191"/>
        <v/>
      </c>
      <c r="AQ417" s="2083" t="b">
        <f>AND(Q417="A",COUNTIF(BP16:BR63,TRIM(Z417))&gt;0)</f>
        <v>0</v>
      </c>
      <c r="AR417" s="797" t="str">
        <f>IF(AL417&lt;&gt;"A","",IFERROR(IFERROR(_xlfn.XLOOKUP(TRIM(SUBSTITUTE(Z417,CHAR(160)," ")),BP16:BP63,BS16:BS63),IFERROR(_xlfn.XLOOKUP(TRIM(SUBSTITUTE(Z417,CHAR(160)," ")),BQ16:BQ63,BS16:BS63),_xlfn.XLOOKUP(TRIM(SUBSTITUTE(Z417,CHAR(160)," ")),BR16:BR63,BS16:BS63)))*Y417*IF(ISBLANK(V417),1,V417),0))</f>
        <v/>
      </c>
      <c r="AS417" s="784" t="str">
        <f t="shared" si="181"/>
        <v/>
      </c>
      <c r="AT417" s="1315" t="str">
        <f t="shared" si="192"/>
        <v/>
      </c>
      <c r="AU417" s="785">
        <f t="shared" si="193"/>
        <v>0</v>
      </c>
      <c r="AV417" s="785">
        <f t="shared" si="194"/>
        <v>0</v>
      </c>
      <c r="AW417" s="786">
        <f>IF(AK417="A",AY10,0)</f>
        <v>0</v>
      </c>
      <c r="AX417" s="5495" t="str">
        <f>IF(IFERROR(SEARCH("Adresse PC",TRIM(W417)),0)&gt;0,"▼ receta siguiente",IF(AK417="A",IF(AZ10&lt;&gt;"",AZ10&amp;" - ou.or.o ❾ + or - &gt;",""),""))</f>
        <v/>
      </c>
      <c r="AY417" s="810"/>
      <c r="AZ417" s="810"/>
      <c r="BA417" s="788" t="str">
        <f t="shared" si="184"/>
        <v/>
      </c>
      <c r="BB417" s="789" t="str">
        <f>IF(AK417="A",IF(AQ417,IF(AND(AW417&lt;&gt;"",N(AW417)&gt;0),IFERROR(IFERROR(_xlfn.XLOOKUP(AP417,BP10:BP57,BT10:BT57),IFERROR(_xlfn.XLOOKUP(AP417,BQ10:BQ57,BT10:BT57),_xlfn.XLOOKUP(AP417,BR10:BR57,BT10:BT57,""))),""),""),""),"")</f>
        <v/>
      </c>
      <c r="BC417" s="811" cm="1">
        <f t="array" ref="BC417">IF(NOT(AQ417),0,IF(OR(BA417="",N(BA417)&lt;=0.000000001),"",IF(OR(AU417="",N(AU417)&lt;=0.000000001),0,IF(ISNUMBER(BA417),IFERROR(_xlfn.LET(_xlpm.ai_test,TRIM(AP417),_xlpm.r,IFERROR(_xlfn.XLOOKUP(_xlpm.ai_test,BP16:BP63,ROW(BP16:BP63),0,1),IFERROR(_xlfn.XLOOKUP(_xlpm.ai_test,BQ16:BQ63,ROW(BQ16:BQ63),0,1),_xlfn.XLOOKUP(_xlpm.ai_test,BR16:BR63,ROW(BR16:BR63),0,1))),_xlpm.p,_xlpm.r-MIN(ROW(BP16:BP63))+1,_xlpm.f,INDEX(BS16:BS63,_xlpm.p),_xlpm.u,INDEX(BT16:BT63,_xlpm.p),_xlpm.s,INDEX(BV16:BV63,_xlpm.p),_xlpm.q,N(BA417)/_xlpm.f,IF(_xlpm.q&gt;=_xlpm.s,ROUND(_xlpm.q,1)&amp;" "&amp;_xlpm.ai_test&amp;" = "&amp;ROUND(_xlpm.q*_xlpm.f,1)&amp;" "&amp;_xlpm.u,ROUND(_xlpm.q,1)&amp;" "&amp;_xlpm.ai_test)),""),""))))</f>
        <v>0</v>
      </c>
      <c r="BD417" s="801"/>
      <c r="BE417" s="788" t="str">
        <f t="shared" si="195"/>
        <v/>
      </c>
      <c r="BF417" s="789" t="str">
        <f t="shared" si="198"/>
        <v/>
      </c>
      <c r="BG417" s="790">
        <f t="shared" si="199"/>
        <v>0</v>
      </c>
      <c r="BH417" s="791" t="str">
        <f t="shared" si="200"/>
        <v/>
      </c>
      <c r="BI417" s="792"/>
      <c r="BJ417" s="793">
        <f t="shared" si="201"/>
        <v>0</v>
      </c>
      <c r="BK417" s="794" t="str">
        <f t="shared" si="196"/>
        <v/>
      </c>
      <c r="BL417" s="227" t="s">
        <v>21</v>
      </c>
      <c r="BM417" s="773">
        <f t="shared" si="186"/>
        <v>0</v>
      </c>
      <c r="BN417" s="774">
        <f t="shared" si="187"/>
        <v>0</v>
      </c>
      <c r="BO417"/>
      <c r="BX417"/>
      <c r="BY417"/>
      <c r="BZ417"/>
      <c r="CA417"/>
      <c r="CB417"/>
      <c r="CC417"/>
      <c r="CD417" s="781" t="str">
        <f t="shared" si="182"/>
        <v>►</v>
      </c>
      <c r="CE417" s="633"/>
      <c r="CF417" s="633"/>
      <c r="CG417" s="633"/>
      <c r="CH417" s="633"/>
      <c r="CI417" s="633"/>
      <c r="CJ417" s="227"/>
      <c r="CK417"/>
      <c r="CL417"/>
      <c r="CM417"/>
      <c r="CN417"/>
      <c r="CO417"/>
      <c r="CP417"/>
      <c r="CQ417"/>
      <c r="CR417" s="227"/>
      <c r="CS417"/>
      <c r="CT417"/>
      <c r="CU417"/>
      <c r="CV417"/>
      <c r="CW417"/>
      <c r="CX417"/>
      <c r="CY417"/>
      <c r="CZ417" s="227"/>
      <c r="DA417"/>
      <c r="DB417"/>
      <c r="DC417"/>
      <c r="DD417"/>
      <c r="DE417"/>
      <c r="DF417"/>
      <c r="DG417"/>
      <c r="DH417" s="227"/>
      <c r="DI417" s="3">
        <v>1</v>
      </c>
    </row>
    <row r="418" spans="2:113" s="627" customFormat="1" ht="21" customHeight="1">
      <c r="B418" s="2265" t="str" cm="1">
        <f t="array" ref="B418">SUMPRODUCT(--(D418:J418&lt;&gt;""), LEN(TRIM(SUBSTITUTE(D418:J418, CHAR(160), "")))) &amp; " Car."</f>
        <v>0 Car.</v>
      </c>
      <c r="C418" s="1376" t="str">
        <f>IF(ISBLANK(D418),"",LARGE(C13:C417,1)+1)</f>
        <v/>
      </c>
      <c r="D418" s="1833"/>
      <c r="E418" s="1810"/>
      <c r="F418" s="1810"/>
      <c r="G418" s="1810"/>
      <c r="H418" s="1810"/>
      <c r="I418" s="1810"/>
      <c r="J418" s="1810"/>
      <c r="K418" s="1810"/>
      <c r="L418" s="1811"/>
      <c r="M418"/>
      <c r="N418" s="103" t="str">
        <f t="shared" si="183"/>
        <v>►</v>
      </c>
      <c r="O418" s="1616"/>
      <c r="P418"/>
      <c r="Q418" s="103" t="s">
        <v>15</v>
      </c>
      <c r="R418" s="31"/>
      <c r="S418" s="32"/>
      <c r="T418" s="31"/>
      <c r="U418" s="33"/>
      <c r="V418" s="1804"/>
      <c r="W418" s="1805"/>
      <c r="X418" s="91"/>
      <c r="Y418" s="1806"/>
      <c r="Z418" s="1807"/>
      <c r="AA418" s="919"/>
      <c r="AB418" s="1813"/>
      <c r="AC418" s="1580"/>
      <c r="AD418" s="95"/>
      <c r="AE418" s="105"/>
      <c r="AF418" s="97"/>
      <c r="AG418" s="2080"/>
      <c r="AH418" s="2081"/>
      <c r="AI418" s="99"/>
      <c r="AJ418" s="1809"/>
      <c r="AK418" s="6120" t="str">
        <f t="shared" si="197"/>
        <v>►</v>
      </c>
      <c r="AL418" s="781" t="str">
        <f t="shared" si="185"/>
        <v>►</v>
      </c>
      <c r="AM418" s="5498" t="str">
        <f t="shared" si="188"/>
        <v/>
      </c>
      <c r="AN418" s="783" t="str">
        <f t="shared" si="189"/>
        <v/>
      </c>
      <c r="AO418" s="782" t="str">
        <f t="shared" si="190"/>
        <v/>
      </c>
      <c r="AP418" s="783" t="str">
        <f t="shared" si="191"/>
        <v/>
      </c>
      <c r="AQ418" s="2083" t="b">
        <f>AND(Q418="A",COUNTIF(BP16:BR63,TRIM(Z418))&gt;0)</f>
        <v>0</v>
      </c>
      <c r="AR418" s="797" t="str">
        <f>IF(AL418&lt;&gt;"A","",IFERROR(IFERROR(_xlfn.XLOOKUP(TRIM(SUBSTITUTE(Z418,CHAR(160)," ")),BP16:BP63,BS16:BS63),IFERROR(_xlfn.XLOOKUP(TRIM(SUBSTITUTE(Z418,CHAR(160)," ")),BQ16:BQ63,BS16:BS63),_xlfn.XLOOKUP(TRIM(SUBSTITUTE(Z418,CHAR(160)," ")),BR16:BR63,BS16:BS63)))*Y418*IF(ISBLANK(V418),1,V418),0))</f>
        <v/>
      </c>
      <c r="AS418" s="784" t="str">
        <f t="shared" si="181"/>
        <v/>
      </c>
      <c r="AT418" s="1315" t="str">
        <f t="shared" si="192"/>
        <v/>
      </c>
      <c r="AU418" s="785">
        <f t="shared" si="193"/>
        <v>0</v>
      </c>
      <c r="AV418" s="785">
        <f t="shared" si="194"/>
        <v>0</v>
      </c>
      <c r="AW418" s="798">
        <f>IF(AK418="A",AY10,0)</f>
        <v>0</v>
      </c>
      <c r="AX418" s="5496" t="str">
        <f>IF(IFERROR(SEARCH("Adresse PC",TRIM(W418)),0)&gt;0,"▼ receta siguiente",IF(AK418="A",IF(AZ10&lt;&gt;"",AZ10&amp;" - ou.or.o ❾ + or - &gt;",""),""))</f>
        <v/>
      </c>
      <c r="AY418" s="810"/>
      <c r="AZ418" s="810"/>
      <c r="BA418" s="799" t="str">
        <f t="shared" si="184"/>
        <v/>
      </c>
      <c r="BB418" s="800" t="str">
        <f>IF(AK418="A",IF(AQ418,IF(AND(AW418&lt;&gt;"",N(AW418)&gt;0),IFERROR(IFERROR(_xlfn.XLOOKUP(AP418,BP10:BP57,BT10:BT57),IFERROR(_xlfn.XLOOKUP(AP418,BQ10:BQ57,BT10:BT57),_xlfn.XLOOKUP(AP418,BR10:BR57,BT10:BT57,""))),""),""),""),"")</f>
        <v/>
      </c>
      <c r="BC418" s="813" cm="1">
        <f t="array" ref="BC418">IF(NOT(AQ418),0,IF(OR(BA418="",N(BA418)&lt;=0.000000001),"",IF(OR(AU418="",N(AU418)&lt;=0.000000001),0,IF(ISNUMBER(BA418),IFERROR(_xlfn.LET(_xlpm.ai_test,TRIM(AP418),_xlpm.r,IFERROR(_xlfn.XLOOKUP(_xlpm.ai_test,BP16:BP63,ROW(BP16:BP63),0,1),IFERROR(_xlfn.XLOOKUP(_xlpm.ai_test,BQ16:BQ63,ROW(BQ16:BQ63),0,1),_xlfn.XLOOKUP(_xlpm.ai_test,BR16:BR63,ROW(BR16:BR63),0,1))),_xlpm.p,_xlpm.r-MIN(ROW(BP16:BP63))+1,_xlpm.f,INDEX(BS16:BS63,_xlpm.p),_xlpm.u,INDEX(BT16:BT63,_xlpm.p),_xlpm.s,INDEX(BV16:BV63,_xlpm.p),_xlpm.q,N(BA418)/_xlpm.f,IF(_xlpm.q&gt;=_xlpm.s,ROUND(_xlpm.q,1)&amp;" "&amp;_xlpm.ai_test&amp;" = "&amp;ROUND(_xlpm.q*_xlpm.f,1)&amp;" "&amp;_xlpm.u,ROUND(_xlpm.q,1)&amp;" "&amp;_xlpm.ai_test)),""),""))))</f>
        <v>0</v>
      </c>
      <c r="BD418" s="801"/>
      <c r="BE418" s="799" t="str">
        <f t="shared" si="195"/>
        <v/>
      </c>
      <c r="BF418" s="800" t="str">
        <f t="shared" si="198"/>
        <v/>
      </c>
      <c r="BG418" s="802">
        <f t="shared" si="199"/>
        <v>0</v>
      </c>
      <c r="BH418" s="803" t="str">
        <f t="shared" si="200"/>
        <v/>
      </c>
      <c r="BI418" s="792"/>
      <c r="BJ418" s="804">
        <f t="shared" si="201"/>
        <v>0</v>
      </c>
      <c r="BK418" s="794" t="str">
        <f t="shared" si="196"/>
        <v/>
      </c>
      <c r="BL418" s="227" t="s">
        <v>21</v>
      </c>
      <c r="BM418" s="773">
        <f t="shared" si="186"/>
        <v>0</v>
      </c>
      <c r="BN418" s="774">
        <f t="shared" si="187"/>
        <v>0</v>
      </c>
      <c r="BO418"/>
      <c r="BX418"/>
      <c r="BY418"/>
      <c r="BZ418"/>
      <c r="CA418"/>
      <c r="CB418"/>
      <c r="CC418"/>
      <c r="CD418" s="781" t="str">
        <f t="shared" si="182"/>
        <v>►</v>
      </c>
      <c r="CE418" s="633"/>
      <c r="CF418" s="633"/>
      <c r="CG418" s="633"/>
      <c r="CH418" s="633"/>
      <c r="CI418" s="633"/>
      <c r="CJ418" s="227"/>
      <c r="CK418"/>
      <c r="CL418"/>
      <c r="CM418"/>
      <c r="CN418"/>
      <c r="CO418"/>
      <c r="CP418"/>
      <c r="CQ418"/>
      <c r="CR418" s="227"/>
      <c r="CS418"/>
      <c r="CT418"/>
      <c r="CU418"/>
      <c r="CV418"/>
      <c r="CW418"/>
      <c r="CX418"/>
      <c r="CY418"/>
      <c r="CZ418" s="227"/>
      <c r="DA418"/>
      <c r="DB418"/>
      <c r="DC418"/>
      <c r="DD418"/>
      <c r="DE418"/>
      <c r="DF418"/>
      <c r="DG418"/>
      <c r="DH418" s="227"/>
      <c r="DI418" s="3">
        <v>1</v>
      </c>
    </row>
    <row r="419" spans="2:113" s="627" customFormat="1" ht="21" customHeight="1">
      <c r="B419" s="2265" t="str" cm="1">
        <f t="array" ref="B419">SUMPRODUCT(--(D419:J419&lt;&gt;""), LEN(TRIM(SUBSTITUTE(D419:J419, CHAR(160), "")))) &amp; " Car."</f>
        <v>0 Car.</v>
      </c>
      <c r="C419" s="1376" t="str">
        <f>IF(ISBLANK(D419),"",LARGE(C13:C418,1)+1)</f>
        <v/>
      </c>
      <c r="D419" s="1833"/>
      <c r="E419" s="1810"/>
      <c r="F419" s="1810"/>
      <c r="G419" s="1810"/>
      <c r="H419" s="1810"/>
      <c r="I419" s="1810"/>
      <c r="J419" s="1810"/>
      <c r="K419" s="1810"/>
      <c r="L419" s="1811"/>
      <c r="M419"/>
      <c r="N419" s="103" t="str">
        <f t="shared" si="183"/>
        <v>►</v>
      </c>
      <c r="O419" s="1616"/>
      <c r="P419"/>
      <c r="Q419" s="103" t="s">
        <v>15</v>
      </c>
      <c r="R419" s="31"/>
      <c r="S419" s="32"/>
      <c r="T419" s="31"/>
      <c r="U419" s="33"/>
      <c r="V419" s="1804"/>
      <c r="W419" s="1805"/>
      <c r="X419" s="91"/>
      <c r="Y419" s="1806"/>
      <c r="Z419" s="1807"/>
      <c r="AA419" s="919"/>
      <c r="AB419" s="1813"/>
      <c r="AC419" s="1580"/>
      <c r="AD419" s="95"/>
      <c r="AE419" s="105"/>
      <c r="AF419" s="97"/>
      <c r="AG419" s="2080"/>
      <c r="AH419" s="2081"/>
      <c r="AI419" s="99"/>
      <c r="AJ419" s="1809"/>
      <c r="AK419" s="6120" t="str">
        <f t="shared" si="197"/>
        <v>►</v>
      </c>
      <c r="AL419" s="781" t="str">
        <f t="shared" si="185"/>
        <v>►</v>
      </c>
      <c r="AM419" s="5499" t="str">
        <f t="shared" si="188"/>
        <v/>
      </c>
      <c r="AN419" s="783" t="str">
        <f t="shared" si="189"/>
        <v/>
      </c>
      <c r="AO419" s="782" t="str">
        <f t="shared" si="190"/>
        <v/>
      </c>
      <c r="AP419" s="783" t="str">
        <f t="shared" si="191"/>
        <v/>
      </c>
      <c r="AQ419" s="2083" t="b">
        <f>AND(Q419="A",COUNTIF(BP16:BR63,TRIM(Z419))&gt;0)</f>
        <v>0</v>
      </c>
      <c r="AR419" s="797" t="str">
        <f>IF(AL419&lt;&gt;"A","",IFERROR(IFERROR(_xlfn.XLOOKUP(TRIM(SUBSTITUTE(Z419,CHAR(160)," ")),BP16:BP63,BS16:BS63),IFERROR(_xlfn.XLOOKUP(TRIM(SUBSTITUTE(Z419,CHAR(160)," ")),BQ16:BQ63,BS16:BS63),_xlfn.XLOOKUP(TRIM(SUBSTITUTE(Z419,CHAR(160)," ")),BR16:BR63,BS16:BS63)))*Y419*IF(ISBLANK(V419),1,V419),0))</f>
        <v/>
      </c>
      <c r="AS419" s="784" t="str">
        <f t="shared" si="181"/>
        <v/>
      </c>
      <c r="AT419" s="1315" t="str">
        <f t="shared" si="192"/>
        <v/>
      </c>
      <c r="AU419" s="785">
        <f t="shared" si="193"/>
        <v>0</v>
      </c>
      <c r="AV419" s="785">
        <f t="shared" si="194"/>
        <v>0</v>
      </c>
      <c r="AW419" s="786">
        <f>IF(AK419="A",AY10,0)</f>
        <v>0</v>
      </c>
      <c r="AX419" s="5495" t="str">
        <f>IF(IFERROR(SEARCH("Adresse PC",TRIM(W419)),0)&gt;0,"▼ receta siguiente",IF(AK419="A",IF(AZ10&lt;&gt;"",AZ10&amp;" - ou.or.o ❾ + or - &gt;",""),""))</f>
        <v/>
      </c>
      <c r="AY419" s="810"/>
      <c r="AZ419" s="810"/>
      <c r="BA419" s="788" t="str">
        <f t="shared" si="184"/>
        <v/>
      </c>
      <c r="BB419" s="789" t="str">
        <f>IF(AK419="A",IF(AQ419,IF(AND(AW419&lt;&gt;"",N(AW419)&gt;0),IFERROR(IFERROR(_xlfn.XLOOKUP(AP419,BP10:BP57,BT10:BT57),IFERROR(_xlfn.XLOOKUP(AP419,BQ10:BQ57,BT10:BT57),_xlfn.XLOOKUP(AP419,BR10:BR57,BT10:BT57,""))),""),""),""),"")</f>
        <v/>
      </c>
      <c r="BC419" s="811" cm="1">
        <f t="array" ref="BC419">IF(NOT(AQ419),0,IF(OR(BA419="",N(BA419)&lt;=0.000000001),"",IF(OR(AU419="",N(AU419)&lt;=0.000000001),0,IF(ISNUMBER(BA419),IFERROR(_xlfn.LET(_xlpm.ai_test,TRIM(AP419),_xlpm.r,IFERROR(_xlfn.XLOOKUP(_xlpm.ai_test,BP16:BP63,ROW(BP16:BP63),0,1),IFERROR(_xlfn.XLOOKUP(_xlpm.ai_test,BQ16:BQ63,ROW(BQ16:BQ63),0,1),_xlfn.XLOOKUP(_xlpm.ai_test,BR16:BR63,ROW(BR16:BR63),0,1))),_xlpm.p,_xlpm.r-MIN(ROW(BP16:BP63))+1,_xlpm.f,INDEX(BS16:BS63,_xlpm.p),_xlpm.u,INDEX(BT16:BT63,_xlpm.p),_xlpm.s,INDEX(BV16:BV63,_xlpm.p),_xlpm.q,N(BA419)/_xlpm.f,IF(_xlpm.q&gt;=_xlpm.s,ROUND(_xlpm.q,1)&amp;" "&amp;_xlpm.ai_test&amp;" = "&amp;ROUND(_xlpm.q*_xlpm.f,1)&amp;" "&amp;_xlpm.u,ROUND(_xlpm.q,1)&amp;" "&amp;_xlpm.ai_test)),""),""))))</f>
        <v>0</v>
      </c>
      <c r="BD419" s="801"/>
      <c r="BE419" s="788" t="str">
        <f t="shared" si="195"/>
        <v/>
      </c>
      <c r="BF419" s="789" t="str">
        <f t="shared" si="198"/>
        <v/>
      </c>
      <c r="BG419" s="790">
        <f t="shared" si="199"/>
        <v>0</v>
      </c>
      <c r="BH419" s="791" t="str">
        <f t="shared" si="200"/>
        <v/>
      </c>
      <c r="BI419" s="792"/>
      <c r="BJ419" s="793">
        <f t="shared" si="201"/>
        <v>0</v>
      </c>
      <c r="BK419" s="794" t="str">
        <f t="shared" si="196"/>
        <v/>
      </c>
      <c r="BL419" s="227" t="s">
        <v>21</v>
      </c>
      <c r="BM419" s="773">
        <f t="shared" si="186"/>
        <v>0</v>
      </c>
      <c r="BN419" s="774">
        <f t="shared" si="187"/>
        <v>0</v>
      </c>
      <c r="BO419"/>
      <c r="BX419"/>
      <c r="BY419"/>
      <c r="BZ419"/>
      <c r="CA419"/>
      <c r="CB419"/>
      <c r="CC419"/>
      <c r="CD419" s="781" t="str">
        <f t="shared" si="182"/>
        <v>►</v>
      </c>
      <c r="CE419" s="633"/>
      <c r="CF419" s="633"/>
      <c r="CG419" s="633"/>
      <c r="CH419" s="633"/>
      <c r="CI419" s="633"/>
      <c r="CJ419" s="227"/>
      <c r="CK419"/>
      <c r="CL419"/>
      <c r="CM419"/>
      <c r="CN419"/>
      <c r="CO419"/>
      <c r="CP419"/>
      <c r="CQ419"/>
      <c r="CR419" s="227"/>
      <c r="CS419"/>
      <c r="CT419"/>
      <c r="CU419"/>
      <c r="CV419"/>
      <c r="CW419"/>
      <c r="CX419"/>
      <c r="CY419"/>
      <c r="CZ419" s="227"/>
      <c r="DA419"/>
      <c r="DB419"/>
      <c r="DC419"/>
      <c r="DD419"/>
      <c r="DE419"/>
      <c r="DF419"/>
      <c r="DG419"/>
      <c r="DH419" s="227"/>
      <c r="DI419" s="3">
        <v>1</v>
      </c>
    </row>
    <row r="420" spans="2:113" s="627" customFormat="1" ht="21" customHeight="1">
      <c r="B420" s="2265" t="str" cm="1">
        <f t="array" ref="B420">SUMPRODUCT(--(D420:J420&lt;&gt;""), LEN(TRIM(SUBSTITUTE(D420:J420, CHAR(160), "")))) &amp; " Car."</f>
        <v>0 Car.</v>
      </c>
      <c r="C420" s="1376" t="str">
        <f>IF(ISBLANK(D420),"",LARGE(C13:C419,1)+1)</f>
        <v/>
      </c>
      <c r="D420" s="1833"/>
      <c r="E420" s="1810"/>
      <c r="F420" s="1810"/>
      <c r="G420" s="1810"/>
      <c r="H420" s="1810"/>
      <c r="I420" s="1810"/>
      <c r="J420" s="1810"/>
      <c r="K420" s="1810"/>
      <c r="L420" s="1811"/>
      <c r="M420"/>
      <c r="N420" s="103" t="str">
        <f t="shared" si="183"/>
        <v>►</v>
      </c>
      <c r="O420" s="1616"/>
      <c r="P420"/>
      <c r="Q420" s="103" t="s">
        <v>15</v>
      </c>
      <c r="R420" s="31"/>
      <c r="S420" s="32"/>
      <c r="T420" s="31"/>
      <c r="U420" s="33"/>
      <c r="V420" s="1804"/>
      <c r="W420" s="1805"/>
      <c r="X420" s="91"/>
      <c r="Y420" s="1806"/>
      <c r="Z420" s="1807"/>
      <c r="AA420" s="919"/>
      <c r="AB420" s="1813"/>
      <c r="AC420" s="1580"/>
      <c r="AD420" s="95"/>
      <c r="AE420" s="105"/>
      <c r="AF420" s="97"/>
      <c r="AG420" s="2080"/>
      <c r="AH420" s="2081"/>
      <c r="AI420" s="99"/>
      <c r="AJ420" s="1809"/>
      <c r="AK420" s="6120" t="str">
        <f t="shared" si="197"/>
        <v>►</v>
      </c>
      <c r="AL420" s="781" t="str">
        <f t="shared" si="185"/>
        <v>►</v>
      </c>
      <c r="AM420" s="5498" t="str">
        <f t="shared" si="188"/>
        <v/>
      </c>
      <c r="AN420" s="783" t="str">
        <f t="shared" si="189"/>
        <v/>
      </c>
      <c r="AO420" s="782" t="str">
        <f t="shared" si="190"/>
        <v/>
      </c>
      <c r="AP420" s="783" t="str">
        <f t="shared" si="191"/>
        <v/>
      </c>
      <c r="AQ420" s="2083" t="b">
        <f>AND(Q420="A",COUNTIF(BP16:BR63,TRIM(Z420))&gt;0)</f>
        <v>0</v>
      </c>
      <c r="AR420" s="797" t="str">
        <f>IF(AL420&lt;&gt;"A","",IFERROR(IFERROR(_xlfn.XLOOKUP(TRIM(SUBSTITUTE(Z420,CHAR(160)," ")),BP16:BP63,BS16:BS63),IFERROR(_xlfn.XLOOKUP(TRIM(SUBSTITUTE(Z420,CHAR(160)," ")),BQ16:BQ63,BS16:BS63),_xlfn.XLOOKUP(TRIM(SUBSTITUTE(Z420,CHAR(160)," ")),BR16:BR63,BS16:BS63)))*Y420*IF(ISBLANK(V420),1,V420),0))</f>
        <v/>
      </c>
      <c r="AS420" s="784" t="str">
        <f t="shared" si="181"/>
        <v/>
      </c>
      <c r="AT420" s="1315" t="str">
        <f t="shared" si="192"/>
        <v/>
      </c>
      <c r="AU420" s="785">
        <f t="shared" si="193"/>
        <v>0</v>
      </c>
      <c r="AV420" s="785">
        <f t="shared" si="194"/>
        <v>0</v>
      </c>
      <c r="AW420" s="798">
        <f>IF(AK420="A",AY10,0)</f>
        <v>0</v>
      </c>
      <c r="AX420" s="5496" t="str">
        <f>IF(IFERROR(SEARCH("Adresse PC",TRIM(W420)),0)&gt;0,"▼ receta siguiente",IF(AK420="A",IF(AZ10&lt;&gt;"",AZ10&amp;" - ou.or.o ❾ + or - &gt;",""),""))</f>
        <v/>
      </c>
      <c r="AY420" s="810"/>
      <c r="AZ420" s="810"/>
      <c r="BA420" s="799" t="str">
        <f t="shared" si="184"/>
        <v/>
      </c>
      <c r="BB420" s="800" t="str">
        <f>IF(AK420="A",IF(AQ420,IF(AND(AW420&lt;&gt;"",N(AW420)&gt;0),IFERROR(IFERROR(_xlfn.XLOOKUP(AP420,BP10:BP57,BT10:BT57),IFERROR(_xlfn.XLOOKUP(AP420,BQ10:BQ57,BT10:BT57),_xlfn.XLOOKUP(AP420,BR10:BR57,BT10:BT57,""))),""),""),""),"")</f>
        <v/>
      </c>
      <c r="BC420" s="813" cm="1">
        <f t="array" ref="BC420">IF(NOT(AQ420),0,IF(OR(BA420="",N(BA420)&lt;=0.000000001),"",IF(OR(AU420="",N(AU420)&lt;=0.000000001),0,IF(ISNUMBER(BA420),IFERROR(_xlfn.LET(_xlpm.ai_test,TRIM(AP420),_xlpm.r,IFERROR(_xlfn.XLOOKUP(_xlpm.ai_test,BP16:BP63,ROW(BP16:BP63),0,1),IFERROR(_xlfn.XLOOKUP(_xlpm.ai_test,BQ16:BQ63,ROW(BQ16:BQ63),0,1),_xlfn.XLOOKUP(_xlpm.ai_test,BR16:BR63,ROW(BR16:BR63),0,1))),_xlpm.p,_xlpm.r-MIN(ROW(BP16:BP63))+1,_xlpm.f,INDEX(BS16:BS63,_xlpm.p),_xlpm.u,INDEX(BT16:BT63,_xlpm.p),_xlpm.s,INDEX(BV16:BV63,_xlpm.p),_xlpm.q,N(BA420)/_xlpm.f,IF(_xlpm.q&gt;=_xlpm.s,ROUND(_xlpm.q,1)&amp;" "&amp;_xlpm.ai_test&amp;" = "&amp;ROUND(_xlpm.q*_xlpm.f,1)&amp;" "&amp;_xlpm.u,ROUND(_xlpm.q,1)&amp;" "&amp;_xlpm.ai_test)),""),""))))</f>
        <v>0</v>
      </c>
      <c r="BD420" s="801"/>
      <c r="BE420" s="799" t="str">
        <f t="shared" si="195"/>
        <v/>
      </c>
      <c r="BF420" s="800" t="str">
        <f t="shared" si="198"/>
        <v/>
      </c>
      <c r="BG420" s="802">
        <f t="shared" si="199"/>
        <v>0</v>
      </c>
      <c r="BH420" s="803" t="str">
        <f t="shared" si="200"/>
        <v/>
      </c>
      <c r="BI420" s="792"/>
      <c r="BJ420" s="804">
        <f t="shared" si="201"/>
        <v>0</v>
      </c>
      <c r="BK420" s="794" t="str">
        <f t="shared" si="196"/>
        <v/>
      </c>
      <c r="BL420" s="227" t="s">
        <v>21</v>
      </c>
      <c r="BM420" s="773">
        <f t="shared" si="186"/>
        <v>0</v>
      </c>
      <c r="BN420" s="774">
        <f t="shared" si="187"/>
        <v>0</v>
      </c>
      <c r="BO420"/>
      <c r="BX420"/>
      <c r="BY420"/>
      <c r="BZ420"/>
      <c r="CA420"/>
      <c r="CB420"/>
      <c r="CC420"/>
      <c r="CD420" s="781" t="str">
        <f t="shared" si="182"/>
        <v>►</v>
      </c>
      <c r="CE420" s="633"/>
      <c r="CF420" s="633"/>
      <c r="CG420" s="633"/>
      <c r="CH420" s="633"/>
      <c r="CI420" s="633"/>
      <c r="CJ420" s="227"/>
      <c r="CK420"/>
      <c r="CL420"/>
      <c r="CM420"/>
      <c r="CN420"/>
      <c r="CO420"/>
      <c r="CP420"/>
      <c r="CQ420"/>
      <c r="CR420" s="227"/>
      <c r="CS420"/>
      <c r="CT420"/>
      <c r="CU420"/>
      <c r="CV420"/>
      <c r="CW420"/>
      <c r="CX420"/>
      <c r="CY420"/>
      <c r="CZ420" s="227"/>
      <c r="DA420"/>
      <c r="DB420"/>
      <c r="DC420"/>
      <c r="DD420"/>
      <c r="DE420"/>
      <c r="DF420"/>
      <c r="DG420"/>
      <c r="DH420" s="227"/>
      <c r="DI420" s="3">
        <v>1</v>
      </c>
    </row>
    <row r="421" spans="2:113" s="627" customFormat="1" ht="21" customHeight="1">
      <c r="B421" s="2265" t="str" cm="1">
        <f t="array" ref="B421">SUMPRODUCT(--(D421:J421&lt;&gt;""), LEN(TRIM(SUBSTITUTE(D421:J421, CHAR(160), "")))) &amp; " Car."</f>
        <v>0 Car.</v>
      </c>
      <c r="C421" s="1376" t="str">
        <f>IF(ISBLANK(D421),"",LARGE(C13:C420,1)+1)</f>
        <v/>
      </c>
      <c r="D421" s="1833"/>
      <c r="E421" s="1810"/>
      <c r="F421" s="1810"/>
      <c r="G421" s="1810"/>
      <c r="H421" s="1810"/>
      <c r="I421" s="1810"/>
      <c r="J421" s="1810"/>
      <c r="K421" s="1810"/>
      <c r="L421" s="1811"/>
      <c r="M421"/>
      <c r="N421" s="103" t="str">
        <f t="shared" si="183"/>
        <v>►</v>
      </c>
      <c r="O421" s="1616"/>
      <c r="P421"/>
      <c r="Q421" s="103" t="s">
        <v>15</v>
      </c>
      <c r="R421" s="31"/>
      <c r="S421" s="32"/>
      <c r="T421" s="31"/>
      <c r="U421" s="33"/>
      <c r="V421" s="1804"/>
      <c r="W421" s="1805"/>
      <c r="X421" s="91"/>
      <c r="Y421" s="1806"/>
      <c r="Z421" s="1807"/>
      <c r="AA421" s="919"/>
      <c r="AB421" s="1813"/>
      <c r="AC421" s="1580"/>
      <c r="AD421" s="95"/>
      <c r="AE421" s="105"/>
      <c r="AF421" s="97"/>
      <c r="AG421" s="2080"/>
      <c r="AH421" s="2081"/>
      <c r="AI421" s="99"/>
      <c r="AJ421" s="1809"/>
      <c r="AK421" s="6120" t="str">
        <f t="shared" si="197"/>
        <v>►</v>
      </c>
      <c r="AL421" s="781" t="str">
        <f t="shared" si="185"/>
        <v>►</v>
      </c>
      <c r="AM421" s="5499" t="str">
        <f t="shared" si="188"/>
        <v/>
      </c>
      <c r="AN421" s="783" t="str">
        <f t="shared" si="189"/>
        <v/>
      </c>
      <c r="AO421" s="782" t="str">
        <f t="shared" si="190"/>
        <v/>
      </c>
      <c r="AP421" s="783" t="str">
        <f t="shared" si="191"/>
        <v/>
      </c>
      <c r="AQ421" s="2083" t="b">
        <f>AND(Q421="A",COUNTIF(BP16:BR63,TRIM(Z421))&gt;0)</f>
        <v>0</v>
      </c>
      <c r="AR421" s="797" t="str">
        <f>IF(AL421&lt;&gt;"A","",IFERROR(IFERROR(_xlfn.XLOOKUP(TRIM(SUBSTITUTE(Z421,CHAR(160)," ")),BP16:BP63,BS16:BS63),IFERROR(_xlfn.XLOOKUP(TRIM(SUBSTITUTE(Z421,CHAR(160)," ")),BQ16:BQ63,BS16:BS63),_xlfn.XLOOKUP(TRIM(SUBSTITUTE(Z421,CHAR(160)," ")),BR16:BR63,BS16:BS63)))*Y421*IF(ISBLANK(V421),1,V421),0))</f>
        <v/>
      </c>
      <c r="AS421" s="784" t="str">
        <f t="shared" si="181"/>
        <v/>
      </c>
      <c r="AT421" s="1315" t="str">
        <f t="shared" si="192"/>
        <v/>
      </c>
      <c r="AU421" s="785">
        <f t="shared" si="193"/>
        <v>0</v>
      </c>
      <c r="AV421" s="785">
        <f t="shared" si="194"/>
        <v>0</v>
      </c>
      <c r="AW421" s="786">
        <f>IF(AK421="A",AY10,0)</f>
        <v>0</v>
      </c>
      <c r="AX421" s="5495" t="str">
        <f>IF(IFERROR(SEARCH("Adresse PC",TRIM(W421)),0)&gt;0,"▼ receta siguiente",IF(AK421="A",IF(AZ10&lt;&gt;"",AZ10&amp;" - ou.or.o ❾ + or - &gt;",""),""))</f>
        <v/>
      </c>
      <c r="AY421" s="810"/>
      <c r="AZ421" s="810"/>
      <c r="BA421" s="788" t="str">
        <f t="shared" si="184"/>
        <v/>
      </c>
      <c r="BB421" s="789" t="str">
        <f>IF(AK421="A",IF(AQ421,IF(AND(AW421&lt;&gt;"",N(AW421)&gt;0),IFERROR(IFERROR(_xlfn.XLOOKUP(AP421,BP10:BP57,BT10:BT57),IFERROR(_xlfn.XLOOKUP(AP421,BQ10:BQ57,BT10:BT57),_xlfn.XLOOKUP(AP421,BR10:BR57,BT10:BT57,""))),""),""),""),"")</f>
        <v/>
      </c>
      <c r="BC421" s="811" cm="1">
        <f t="array" ref="BC421">IF(NOT(AQ421),0,IF(OR(BA421="",N(BA421)&lt;=0.000000001),"",IF(OR(AU421="",N(AU421)&lt;=0.000000001),0,IF(ISNUMBER(BA421),IFERROR(_xlfn.LET(_xlpm.ai_test,TRIM(AP421),_xlpm.r,IFERROR(_xlfn.XLOOKUP(_xlpm.ai_test,BP16:BP63,ROW(BP16:BP63),0,1),IFERROR(_xlfn.XLOOKUP(_xlpm.ai_test,BQ16:BQ63,ROW(BQ16:BQ63),0,1),_xlfn.XLOOKUP(_xlpm.ai_test,BR16:BR63,ROW(BR16:BR63),0,1))),_xlpm.p,_xlpm.r-MIN(ROW(BP16:BP63))+1,_xlpm.f,INDEX(BS16:BS63,_xlpm.p),_xlpm.u,INDEX(BT16:BT63,_xlpm.p),_xlpm.s,INDEX(BV16:BV63,_xlpm.p),_xlpm.q,N(BA421)/_xlpm.f,IF(_xlpm.q&gt;=_xlpm.s,ROUND(_xlpm.q,1)&amp;" "&amp;_xlpm.ai_test&amp;" = "&amp;ROUND(_xlpm.q*_xlpm.f,1)&amp;" "&amp;_xlpm.u,ROUND(_xlpm.q,1)&amp;" "&amp;_xlpm.ai_test)),""),""))))</f>
        <v>0</v>
      </c>
      <c r="BD421" s="801"/>
      <c r="BE421" s="788" t="str">
        <f t="shared" si="195"/>
        <v/>
      </c>
      <c r="BF421" s="789" t="str">
        <f t="shared" si="198"/>
        <v/>
      </c>
      <c r="BG421" s="790">
        <f t="shared" si="199"/>
        <v>0</v>
      </c>
      <c r="BH421" s="791" t="str">
        <f t="shared" si="200"/>
        <v/>
      </c>
      <c r="BI421" s="792"/>
      <c r="BJ421" s="793">
        <f t="shared" si="201"/>
        <v>0</v>
      </c>
      <c r="BK421" s="794" t="str">
        <f t="shared" si="196"/>
        <v/>
      </c>
      <c r="BL421" s="227" t="s">
        <v>21</v>
      </c>
      <c r="BM421" s="773">
        <f t="shared" si="186"/>
        <v>0</v>
      </c>
      <c r="BN421" s="774">
        <f t="shared" si="187"/>
        <v>0</v>
      </c>
      <c r="BO421"/>
      <c r="BX421"/>
      <c r="BY421"/>
      <c r="BZ421"/>
      <c r="CA421"/>
      <c r="CB421"/>
      <c r="CC421"/>
      <c r="CD421" s="781" t="str">
        <f t="shared" si="182"/>
        <v>►</v>
      </c>
      <c r="CE421" s="633"/>
      <c r="CF421" s="633"/>
      <c r="CG421" s="633"/>
      <c r="CH421" s="633"/>
      <c r="CI421" s="633"/>
      <c r="CJ421" s="227"/>
      <c r="CK421"/>
      <c r="CL421"/>
      <c r="CM421"/>
      <c r="CN421"/>
      <c r="CO421"/>
      <c r="CP421"/>
      <c r="CQ421"/>
      <c r="CR421" s="227"/>
      <c r="CS421"/>
      <c r="CT421"/>
      <c r="CU421"/>
      <c r="CV421"/>
      <c r="CW421"/>
      <c r="CX421"/>
      <c r="CY421"/>
      <c r="CZ421" s="227"/>
      <c r="DA421"/>
      <c r="DB421"/>
      <c r="DC421"/>
      <c r="DD421"/>
      <c r="DE421"/>
      <c r="DF421"/>
      <c r="DG421"/>
      <c r="DH421" s="227"/>
      <c r="DI421" s="3">
        <v>1</v>
      </c>
    </row>
    <row r="422" spans="2:113" s="627" customFormat="1" ht="21" customHeight="1">
      <c r="B422" s="2265" t="str" cm="1">
        <f t="array" ref="B422">SUMPRODUCT(--(D422:J422&lt;&gt;""), LEN(TRIM(SUBSTITUTE(D422:J422, CHAR(160), "")))) &amp; " Car."</f>
        <v>0 Car.</v>
      </c>
      <c r="C422" s="1376" t="str">
        <f>IF(ISBLANK(D422),"",LARGE(C13:C421,1)+1)</f>
        <v/>
      </c>
      <c r="D422" s="1833"/>
      <c r="E422" s="1810"/>
      <c r="F422" s="1810"/>
      <c r="G422" s="1810"/>
      <c r="H422" s="1810"/>
      <c r="I422" s="1810"/>
      <c r="J422" s="1810"/>
      <c r="K422" s="1810"/>
      <c r="L422" s="1811"/>
      <c r="M422"/>
      <c r="N422" s="103" t="str">
        <f t="shared" si="183"/>
        <v>►</v>
      </c>
      <c r="O422" s="1616"/>
      <c r="P422"/>
      <c r="Q422" s="103" t="s">
        <v>15</v>
      </c>
      <c r="R422" s="31"/>
      <c r="S422" s="32"/>
      <c r="T422" s="31"/>
      <c r="U422" s="33"/>
      <c r="V422" s="1804"/>
      <c r="W422" s="1805"/>
      <c r="X422" s="91"/>
      <c r="Y422" s="1806"/>
      <c r="Z422" s="1807"/>
      <c r="AA422" s="919"/>
      <c r="AB422" s="1813"/>
      <c r="AC422" s="1580"/>
      <c r="AD422" s="95"/>
      <c r="AE422" s="105"/>
      <c r="AF422" s="97"/>
      <c r="AG422" s="2080"/>
      <c r="AH422" s="2081"/>
      <c r="AI422" s="99"/>
      <c r="AJ422" s="1809"/>
      <c r="AK422" s="6120" t="str">
        <f t="shared" si="197"/>
        <v>►</v>
      </c>
      <c r="AL422" s="781" t="str">
        <f t="shared" si="185"/>
        <v>►</v>
      </c>
      <c r="AM422" s="5498" t="str">
        <f t="shared" si="188"/>
        <v/>
      </c>
      <c r="AN422" s="783" t="str">
        <f t="shared" si="189"/>
        <v/>
      </c>
      <c r="AO422" s="782" t="str">
        <f t="shared" si="190"/>
        <v/>
      </c>
      <c r="AP422" s="783" t="str">
        <f t="shared" si="191"/>
        <v/>
      </c>
      <c r="AQ422" s="2083" t="b">
        <f>AND(Q422="A",COUNTIF(BP16:BR63,TRIM(Z422))&gt;0)</f>
        <v>0</v>
      </c>
      <c r="AR422" s="797" t="str">
        <f>IF(AL422&lt;&gt;"A","",IFERROR(IFERROR(_xlfn.XLOOKUP(TRIM(SUBSTITUTE(Z422,CHAR(160)," ")),BP16:BP63,BS16:BS63),IFERROR(_xlfn.XLOOKUP(TRIM(SUBSTITUTE(Z422,CHAR(160)," ")),BQ16:BQ63,BS16:BS63),_xlfn.XLOOKUP(TRIM(SUBSTITUTE(Z422,CHAR(160)," ")),BR16:BR63,BS16:BS63)))*Y422*IF(ISBLANK(V422),1,V422),0))</f>
        <v/>
      </c>
      <c r="AS422" s="784" t="str">
        <f t="shared" si="181"/>
        <v/>
      </c>
      <c r="AT422" s="1315" t="str">
        <f t="shared" si="192"/>
        <v/>
      </c>
      <c r="AU422" s="785">
        <f t="shared" si="193"/>
        <v>0</v>
      </c>
      <c r="AV422" s="785">
        <f t="shared" si="194"/>
        <v>0</v>
      </c>
      <c r="AW422" s="798">
        <f>IF(AK422="A",AY10,0)</f>
        <v>0</v>
      </c>
      <c r="AX422" s="5496" t="str">
        <f>IF(IFERROR(SEARCH("Adresse PC",TRIM(W422)),0)&gt;0,"▼ receta siguiente",IF(AK422="A",IF(AZ10&lt;&gt;"",AZ10&amp;" - ou.or.o ❾ + or - &gt;",""),""))</f>
        <v/>
      </c>
      <c r="AY422" s="810"/>
      <c r="AZ422" s="810"/>
      <c r="BA422" s="799" t="str">
        <f t="shared" si="184"/>
        <v/>
      </c>
      <c r="BB422" s="800" t="str">
        <f>IF(AK422="A",IF(AQ422,IF(AND(AW422&lt;&gt;"",N(AW422)&gt;0),IFERROR(IFERROR(_xlfn.XLOOKUP(AP422,BP10:BP57,BT10:BT57),IFERROR(_xlfn.XLOOKUP(AP422,BQ10:BQ57,BT10:BT57),_xlfn.XLOOKUP(AP422,BR10:BR57,BT10:BT57,""))),""),""),""),"")</f>
        <v/>
      </c>
      <c r="BC422" s="813" cm="1">
        <f t="array" ref="BC422">IF(NOT(AQ422),0,IF(OR(BA422="",N(BA422)&lt;=0.000000001),"",IF(OR(AU422="",N(AU422)&lt;=0.000000001),0,IF(ISNUMBER(BA422),IFERROR(_xlfn.LET(_xlpm.ai_test,TRIM(AP422),_xlpm.r,IFERROR(_xlfn.XLOOKUP(_xlpm.ai_test,BP16:BP63,ROW(BP16:BP63),0,1),IFERROR(_xlfn.XLOOKUP(_xlpm.ai_test,BQ16:BQ63,ROW(BQ16:BQ63),0,1),_xlfn.XLOOKUP(_xlpm.ai_test,BR16:BR63,ROW(BR16:BR63),0,1))),_xlpm.p,_xlpm.r-MIN(ROW(BP16:BP63))+1,_xlpm.f,INDEX(BS16:BS63,_xlpm.p),_xlpm.u,INDEX(BT16:BT63,_xlpm.p),_xlpm.s,INDEX(BV16:BV63,_xlpm.p),_xlpm.q,N(BA422)/_xlpm.f,IF(_xlpm.q&gt;=_xlpm.s,ROUND(_xlpm.q,1)&amp;" "&amp;_xlpm.ai_test&amp;" = "&amp;ROUND(_xlpm.q*_xlpm.f,1)&amp;" "&amp;_xlpm.u,ROUND(_xlpm.q,1)&amp;" "&amp;_xlpm.ai_test)),""),""))))</f>
        <v>0</v>
      </c>
      <c r="BD422" s="801"/>
      <c r="BE422" s="799" t="str">
        <f t="shared" si="195"/>
        <v/>
      </c>
      <c r="BF422" s="800" t="str">
        <f t="shared" si="198"/>
        <v/>
      </c>
      <c r="BG422" s="802">
        <f t="shared" si="199"/>
        <v>0</v>
      </c>
      <c r="BH422" s="803" t="str">
        <f t="shared" si="200"/>
        <v/>
      </c>
      <c r="BI422" s="792"/>
      <c r="BJ422" s="804">
        <f t="shared" si="201"/>
        <v>0</v>
      </c>
      <c r="BK422" s="794" t="str">
        <f t="shared" si="196"/>
        <v/>
      </c>
      <c r="BL422" s="227" t="s">
        <v>21</v>
      </c>
      <c r="BM422" s="773">
        <f t="shared" si="186"/>
        <v>0</v>
      </c>
      <c r="BN422" s="774">
        <f t="shared" si="187"/>
        <v>0</v>
      </c>
      <c r="BO422"/>
      <c r="BX422"/>
      <c r="BY422"/>
      <c r="BZ422"/>
      <c r="CA422"/>
      <c r="CB422"/>
      <c r="CC422"/>
      <c r="CD422" s="781" t="str">
        <f t="shared" si="182"/>
        <v>►</v>
      </c>
      <c r="CE422" s="633"/>
      <c r="CF422" s="633"/>
      <c r="CG422" s="633"/>
      <c r="CH422" s="633"/>
      <c r="CI422" s="633"/>
      <c r="CJ422" s="227"/>
      <c r="CK422"/>
      <c r="CL422"/>
      <c r="CM422"/>
      <c r="CN422"/>
      <c r="CO422"/>
      <c r="CP422"/>
      <c r="CQ422"/>
      <c r="CR422" s="227"/>
      <c r="CS422"/>
      <c r="CT422"/>
      <c r="CU422"/>
      <c r="CV422"/>
      <c r="CW422"/>
      <c r="CX422"/>
      <c r="CY422"/>
      <c r="CZ422" s="227"/>
      <c r="DA422"/>
      <c r="DB422"/>
      <c r="DC422"/>
      <c r="DD422"/>
      <c r="DE422"/>
      <c r="DF422"/>
      <c r="DG422"/>
      <c r="DH422" s="227"/>
      <c r="DI422" s="3">
        <v>1</v>
      </c>
    </row>
    <row r="423" spans="2:113" s="627" customFormat="1" ht="21" customHeight="1">
      <c r="B423" s="2265" t="str" cm="1">
        <f t="array" ref="B423">SUMPRODUCT(--(D423:J423&lt;&gt;""), LEN(TRIM(SUBSTITUTE(D423:J423, CHAR(160), "")))) &amp; " Car."</f>
        <v>0 Car.</v>
      </c>
      <c r="C423" s="1376" t="str">
        <f>IF(ISBLANK(D423),"",LARGE(C13:C422,1)+1)</f>
        <v/>
      </c>
      <c r="D423" s="1833"/>
      <c r="E423" s="1810"/>
      <c r="F423" s="1810"/>
      <c r="G423" s="1810"/>
      <c r="H423" s="1810"/>
      <c r="I423" s="1810"/>
      <c r="J423" s="1810"/>
      <c r="K423" s="1810"/>
      <c r="L423" s="1811"/>
      <c r="M423"/>
      <c r="N423" s="103" t="str">
        <f t="shared" si="183"/>
        <v>►</v>
      </c>
      <c r="O423" s="1616"/>
      <c r="P423"/>
      <c r="Q423" s="103" t="s">
        <v>15</v>
      </c>
      <c r="R423" s="31"/>
      <c r="S423" s="32"/>
      <c r="T423" s="31"/>
      <c r="U423" s="33"/>
      <c r="V423" s="1804"/>
      <c r="W423" s="1805"/>
      <c r="X423" s="91"/>
      <c r="Y423" s="1806"/>
      <c r="Z423" s="1807"/>
      <c r="AA423" s="919"/>
      <c r="AB423" s="1813"/>
      <c r="AC423" s="1580"/>
      <c r="AD423" s="95"/>
      <c r="AE423" s="105"/>
      <c r="AF423" s="97"/>
      <c r="AG423" s="2080"/>
      <c r="AH423" s="2081"/>
      <c r="AI423" s="99"/>
      <c r="AJ423" s="1809"/>
      <c r="AK423" s="6120" t="str">
        <f t="shared" si="197"/>
        <v>►</v>
      </c>
      <c r="AL423" s="781" t="str">
        <f t="shared" si="185"/>
        <v>►</v>
      </c>
      <c r="AM423" s="5499" t="str">
        <f t="shared" si="188"/>
        <v/>
      </c>
      <c r="AN423" s="783" t="str">
        <f t="shared" si="189"/>
        <v/>
      </c>
      <c r="AO423" s="782" t="str">
        <f t="shared" si="190"/>
        <v/>
      </c>
      <c r="AP423" s="783" t="str">
        <f t="shared" si="191"/>
        <v/>
      </c>
      <c r="AQ423" s="2083" t="b">
        <f>AND(Q423="A",COUNTIF(BP16:BR63,TRIM(Z423))&gt;0)</f>
        <v>0</v>
      </c>
      <c r="AR423" s="797" t="str">
        <f>IF(AL423&lt;&gt;"A","",IFERROR(IFERROR(_xlfn.XLOOKUP(TRIM(SUBSTITUTE(Z423,CHAR(160)," ")),BP16:BP63,BS16:BS63),IFERROR(_xlfn.XLOOKUP(TRIM(SUBSTITUTE(Z423,CHAR(160)," ")),BQ16:BQ63,BS16:BS63),_xlfn.XLOOKUP(TRIM(SUBSTITUTE(Z423,CHAR(160)," ")),BR16:BR63,BS16:BS63)))*Y423*IF(ISBLANK(V423),1,V423),0))</f>
        <v/>
      </c>
      <c r="AS423" s="784" t="str">
        <f t="shared" si="181"/>
        <v/>
      </c>
      <c r="AT423" s="1315" t="str">
        <f t="shared" si="192"/>
        <v/>
      </c>
      <c r="AU423" s="785">
        <f t="shared" si="193"/>
        <v>0</v>
      </c>
      <c r="AV423" s="785">
        <f t="shared" si="194"/>
        <v>0</v>
      </c>
      <c r="AW423" s="786">
        <f>IF(AK423="A",AY10,0)</f>
        <v>0</v>
      </c>
      <c r="AX423" s="5495" t="str">
        <f>IF(IFERROR(SEARCH("Adresse PC",TRIM(W423)),0)&gt;0,"▼ receta siguiente",IF(AK423="A",IF(AZ10&lt;&gt;"",AZ10&amp;" - ou.or.o ❾ + or - &gt;",""),""))</f>
        <v/>
      </c>
      <c r="AY423" s="810"/>
      <c r="AZ423" s="810"/>
      <c r="BA423" s="788" t="str">
        <f t="shared" si="184"/>
        <v/>
      </c>
      <c r="BB423" s="789" t="str">
        <f>IF(AK423="A",IF(AQ423,IF(AND(AW423&lt;&gt;"",N(AW423)&gt;0),IFERROR(IFERROR(_xlfn.XLOOKUP(AP423,BP10:BP57,BT10:BT57),IFERROR(_xlfn.XLOOKUP(AP423,BQ10:BQ57,BT10:BT57),_xlfn.XLOOKUP(AP423,BR10:BR57,BT10:BT57,""))),""),""),""),"")</f>
        <v/>
      </c>
      <c r="BC423" s="811" cm="1">
        <f t="array" ref="BC423">IF(NOT(AQ423),0,IF(OR(BA423="",N(BA423)&lt;=0.000000001),"",IF(OR(AU423="",N(AU423)&lt;=0.000000001),0,IF(ISNUMBER(BA423),IFERROR(_xlfn.LET(_xlpm.ai_test,TRIM(AP423),_xlpm.r,IFERROR(_xlfn.XLOOKUP(_xlpm.ai_test,BP16:BP63,ROW(BP16:BP63),0,1),IFERROR(_xlfn.XLOOKUP(_xlpm.ai_test,BQ16:BQ63,ROW(BQ16:BQ63),0,1),_xlfn.XLOOKUP(_xlpm.ai_test,BR16:BR63,ROW(BR16:BR63),0,1))),_xlpm.p,_xlpm.r-MIN(ROW(BP16:BP63))+1,_xlpm.f,INDEX(BS16:BS63,_xlpm.p),_xlpm.u,INDEX(BT16:BT63,_xlpm.p),_xlpm.s,INDEX(BV16:BV63,_xlpm.p),_xlpm.q,N(BA423)/_xlpm.f,IF(_xlpm.q&gt;=_xlpm.s,ROUND(_xlpm.q,1)&amp;" "&amp;_xlpm.ai_test&amp;" = "&amp;ROUND(_xlpm.q*_xlpm.f,1)&amp;" "&amp;_xlpm.u,ROUND(_xlpm.q,1)&amp;" "&amp;_xlpm.ai_test)),""),""))))</f>
        <v>0</v>
      </c>
      <c r="BD423" s="801"/>
      <c r="BE423" s="788" t="str">
        <f t="shared" si="195"/>
        <v/>
      </c>
      <c r="BF423" s="789" t="str">
        <f t="shared" si="198"/>
        <v/>
      </c>
      <c r="BG423" s="790">
        <f t="shared" si="199"/>
        <v>0</v>
      </c>
      <c r="BH423" s="791" t="str">
        <f t="shared" si="200"/>
        <v/>
      </c>
      <c r="BI423" s="792"/>
      <c r="BJ423" s="793">
        <f t="shared" si="201"/>
        <v>0</v>
      </c>
      <c r="BK423" s="794" t="str">
        <f t="shared" si="196"/>
        <v/>
      </c>
      <c r="BL423" s="227" t="s">
        <v>21</v>
      </c>
      <c r="BM423" s="773">
        <f t="shared" si="186"/>
        <v>0</v>
      </c>
      <c r="BN423" s="774">
        <f t="shared" si="187"/>
        <v>0</v>
      </c>
      <c r="BO423"/>
      <c r="BX423"/>
      <c r="BY423"/>
      <c r="BZ423"/>
      <c r="CA423"/>
      <c r="CB423"/>
      <c r="CC423"/>
      <c r="CD423" s="781" t="str">
        <f t="shared" si="182"/>
        <v>►</v>
      </c>
      <c r="CE423" s="633"/>
      <c r="CF423" s="633"/>
      <c r="CG423" s="633"/>
      <c r="CH423" s="633"/>
      <c r="CI423" s="633"/>
      <c r="CJ423" s="227"/>
      <c r="CK423"/>
      <c r="CL423"/>
      <c r="CM423"/>
      <c r="CN423"/>
      <c r="CO423"/>
      <c r="CP423"/>
      <c r="CQ423"/>
      <c r="CR423" s="227"/>
      <c r="CS423"/>
      <c r="CT423"/>
      <c r="CU423"/>
      <c r="CV423"/>
      <c r="CW423"/>
      <c r="CX423"/>
      <c r="CY423"/>
      <c r="CZ423" s="227"/>
      <c r="DA423"/>
      <c r="DB423"/>
      <c r="DC423"/>
      <c r="DD423"/>
      <c r="DE423"/>
      <c r="DF423"/>
      <c r="DG423"/>
      <c r="DH423" s="227"/>
      <c r="DI423" s="3">
        <v>1</v>
      </c>
    </row>
    <row r="424" spans="2:113" s="627" customFormat="1" ht="21" customHeight="1">
      <c r="B424" s="2265" t="str" cm="1">
        <f t="array" ref="B424">SUMPRODUCT(--(D424:J424&lt;&gt;""), LEN(TRIM(SUBSTITUTE(D424:J424, CHAR(160), "")))) &amp; " Car."</f>
        <v>0 Car.</v>
      </c>
      <c r="C424" s="1376" t="str">
        <f>IF(ISBLANK(D424),"",LARGE(C13:C423,1)+1)</f>
        <v/>
      </c>
      <c r="D424" s="1833"/>
      <c r="E424" s="1810"/>
      <c r="F424" s="1810"/>
      <c r="G424" s="1810"/>
      <c r="H424" s="1810"/>
      <c r="I424" s="1810"/>
      <c r="J424" s="1810"/>
      <c r="K424" s="1810"/>
      <c r="L424" s="1811"/>
      <c r="M424"/>
      <c r="N424" s="103" t="str">
        <f t="shared" si="183"/>
        <v>►</v>
      </c>
      <c r="O424" s="1616"/>
      <c r="P424"/>
      <c r="Q424" s="103" t="s">
        <v>15</v>
      </c>
      <c r="R424" s="31"/>
      <c r="S424" s="32"/>
      <c r="T424" s="31"/>
      <c r="U424" s="33"/>
      <c r="V424" s="1804"/>
      <c r="W424" s="1805"/>
      <c r="X424" s="91"/>
      <c r="Y424" s="1806"/>
      <c r="Z424" s="1807"/>
      <c r="AA424" s="919"/>
      <c r="AB424" s="1813"/>
      <c r="AC424" s="1580"/>
      <c r="AD424" s="95"/>
      <c r="AE424" s="105"/>
      <c r="AF424" s="97"/>
      <c r="AG424" s="2080"/>
      <c r="AH424" s="2081"/>
      <c r="AI424" s="99"/>
      <c r="AJ424" s="1809"/>
      <c r="AK424" s="6120" t="str">
        <f t="shared" si="197"/>
        <v>►</v>
      </c>
      <c r="AL424" s="781" t="str">
        <f t="shared" si="185"/>
        <v>►</v>
      </c>
      <c r="AM424" s="5498" t="str">
        <f t="shared" si="188"/>
        <v/>
      </c>
      <c r="AN424" s="783" t="str">
        <f t="shared" si="189"/>
        <v/>
      </c>
      <c r="AO424" s="782" t="str">
        <f t="shared" si="190"/>
        <v/>
      </c>
      <c r="AP424" s="783" t="str">
        <f t="shared" si="191"/>
        <v/>
      </c>
      <c r="AQ424" s="2083" t="b">
        <f>AND(Q424="A",COUNTIF(BP16:BR63,TRIM(Z424))&gt;0)</f>
        <v>0</v>
      </c>
      <c r="AR424" s="797" t="str">
        <f>IF(AL424&lt;&gt;"A","",IFERROR(IFERROR(_xlfn.XLOOKUP(TRIM(SUBSTITUTE(Z424,CHAR(160)," ")),BP16:BP63,BS16:BS63),IFERROR(_xlfn.XLOOKUP(TRIM(SUBSTITUTE(Z424,CHAR(160)," ")),BQ16:BQ63,BS16:BS63),_xlfn.XLOOKUP(TRIM(SUBSTITUTE(Z424,CHAR(160)," ")),BR16:BR63,BS16:BS63)))*Y424*IF(ISBLANK(V424),1,V424),0))</f>
        <v/>
      </c>
      <c r="AS424" s="784" t="str">
        <f t="shared" si="181"/>
        <v/>
      </c>
      <c r="AT424" s="1315" t="str">
        <f t="shared" si="192"/>
        <v/>
      </c>
      <c r="AU424" s="785">
        <f t="shared" si="193"/>
        <v>0</v>
      </c>
      <c r="AV424" s="785">
        <f t="shared" si="194"/>
        <v>0</v>
      </c>
      <c r="AW424" s="798">
        <f>IF(AK424="A",AY10,0)</f>
        <v>0</v>
      </c>
      <c r="AX424" s="5496" t="str">
        <f>IF(IFERROR(SEARCH("Adresse PC",TRIM(W424)),0)&gt;0,"▼ receta siguiente",IF(AK424="A",IF(AZ10&lt;&gt;"",AZ10&amp;" - ou.or.o ❾ + or - &gt;",""),""))</f>
        <v/>
      </c>
      <c r="AY424" s="810"/>
      <c r="AZ424" s="810"/>
      <c r="BA424" s="799" t="str">
        <f t="shared" si="184"/>
        <v/>
      </c>
      <c r="BB424" s="800" t="str">
        <f>IF(AK424="A",IF(AQ424,IF(AND(AW424&lt;&gt;"",N(AW424)&gt;0),IFERROR(IFERROR(_xlfn.XLOOKUP(AP424,BP10:BP57,BT10:BT57),IFERROR(_xlfn.XLOOKUP(AP424,BQ10:BQ57,BT10:BT57),_xlfn.XLOOKUP(AP424,BR10:BR57,BT10:BT57,""))),""),""),""),"")</f>
        <v/>
      </c>
      <c r="BC424" s="813" cm="1">
        <f t="array" ref="BC424">IF(NOT(AQ424),0,IF(OR(BA424="",N(BA424)&lt;=0.000000001),"",IF(OR(AU424="",N(AU424)&lt;=0.000000001),0,IF(ISNUMBER(BA424),IFERROR(_xlfn.LET(_xlpm.ai_test,TRIM(AP424),_xlpm.r,IFERROR(_xlfn.XLOOKUP(_xlpm.ai_test,BP16:BP63,ROW(BP16:BP63),0,1),IFERROR(_xlfn.XLOOKUP(_xlpm.ai_test,BQ16:BQ63,ROW(BQ16:BQ63),0,1),_xlfn.XLOOKUP(_xlpm.ai_test,BR16:BR63,ROW(BR16:BR63),0,1))),_xlpm.p,_xlpm.r-MIN(ROW(BP16:BP63))+1,_xlpm.f,INDEX(BS16:BS63,_xlpm.p),_xlpm.u,INDEX(BT16:BT63,_xlpm.p),_xlpm.s,INDEX(BV16:BV63,_xlpm.p),_xlpm.q,N(BA424)/_xlpm.f,IF(_xlpm.q&gt;=_xlpm.s,ROUND(_xlpm.q,1)&amp;" "&amp;_xlpm.ai_test&amp;" = "&amp;ROUND(_xlpm.q*_xlpm.f,1)&amp;" "&amp;_xlpm.u,ROUND(_xlpm.q,1)&amp;" "&amp;_xlpm.ai_test)),""),""))))</f>
        <v>0</v>
      </c>
      <c r="BD424" s="801"/>
      <c r="BE424" s="799" t="str">
        <f t="shared" si="195"/>
        <v/>
      </c>
      <c r="BF424" s="800" t="str">
        <f t="shared" si="198"/>
        <v/>
      </c>
      <c r="BG424" s="802">
        <f t="shared" si="199"/>
        <v>0</v>
      </c>
      <c r="BH424" s="803" t="str">
        <f t="shared" si="200"/>
        <v/>
      </c>
      <c r="BI424" s="792"/>
      <c r="BJ424" s="804">
        <f t="shared" si="201"/>
        <v>0</v>
      </c>
      <c r="BK424" s="794" t="str">
        <f t="shared" si="196"/>
        <v/>
      </c>
      <c r="BL424" s="227" t="s">
        <v>21</v>
      </c>
      <c r="BM424" s="773">
        <f t="shared" si="186"/>
        <v>0</v>
      </c>
      <c r="BN424" s="774">
        <f t="shared" si="187"/>
        <v>0</v>
      </c>
      <c r="BO424"/>
      <c r="BX424"/>
      <c r="BY424"/>
      <c r="BZ424"/>
      <c r="CA424"/>
      <c r="CB424"/>
      <c r="CC424"/>
      <c r="CD424" s="781" t="str">
        <f t="shared" si="182"/>
        <v>►</v>
      </c>
      <c r="CE424" s="633"/>
      <c r="CF424" s="633"/>
      <c r="CG424" s="633"/>
      <c r="CH424" s="633"/>
      <c r="CI424" s="633"/>
      <c r="CJ424" s="227"/>
      <c r="CK424"/>
      <c r="CL424"/>
      <c r="CM424"/>
      <c r="CN424"/>
      <c r="CO424"/>
      <c r="CP424"/>
      <c r="CQ424"/>
      <c r="CR424" s="227"/>
      <c r="CS424"/>
      <c r="CT424"/>
      <c r="CU424"/>
      <c r="CV424"/>
      <c r="CW424"/>
      <c r="CX424"/>
      <c r="CY424"/>
      <c r="CZ424" s="227"/>
      <c r="DA424"/>
      <c r="DB424"/>
      <c r="DC424"/>
      <c r="DD424"/>
      <c r="DE424"/>
      <c r="DF424"/>
      <c r="DG424"/>
      <c r="DH424" s="227"/>
      <c r="DI424" s="3">
        <v>1</v>
      </c>
    </row>
    <row r="425" spans="2:113" s="627" customFormat="1" ht="21" customHeight="1">
      <c r="B425" s="2265" t="str" cm="1">
        <f t="array" ref="B425">SUMPRODUCT(--(D425:J425&lt;&gt;""), LEN(TRIM(SUBSTITUTE(D425:J425, CHAR(160), "")))) &amp; " Car."</f>
        <v>0 Car.</v>
      </c>
      <c r="C425" s="1376" t="str">
        <f>IF(ISBLANK(D425),"",LARGE(C13:C424,1)+1)</f>
        <v/>
      </c>
      <c r="D425" s="1833"/>
      <c r="E425" s="1810"/>
      <c r="F425" s="1810"/>
      <c r="G425" s="1810"/>
      <c r="H425" s="1810"/>
      <c r="I425" s="1810"/>
      <c r="J425" s="1810"/>
      <c r="K425" s="1810"/>
      <c r="L425" s="1811"/>
      <c r="M425"/>
      <c r="N425" s="103" t="str">
        <f t="shared" si="183"/>
        <v>►</v>
      </c>
      <c r="O425" s="1616"/>
      <c r="P425"/>
      <c r="Q425" s="103" t="s">
        <v>15</v>
      </c>
      <c r="R425" s="31"/>
      <c r="S425" s="32"/>
      <c r="T425" s="31"/>
      <c r="U425" s="33"/>
      <c r="V425" s="1804"/>
      <c r="W425" s="1805"/>
      <c r="X425" s="91"/>
      <c r="Y425" s="1806"/>
      <c r="Z425" s="1807"/>
      <c r="AA425" s="919"/>
      <c r="AB425" s="1813"/>
      <c r="AC425" s="1580"/>
      <c r="AD425" s="95"/>
      <c r="AE425" s="105"/>
      <c r="AF425" s="97"/>
      <c r="AG425" s="2080"/>
      <c r="AH425" s="2081"/>
      <c r="AI425" s="99"/>
      <c r="AJ425" s="1809"/>
      <c r="AK425" s="6120" t="str">
        <f t="shared" si="197"/>
        <v>►</v>
      </c>
      <c r="AL425" s="781" t="str">
        <f t="shared" si="185"/>
        <v>►</v>
      </c>
      <c r="AM425" s="5499" t="str">
        <f t="shared" si="188"/>
        <v/>
      </c>
      <c r="AN425" s="783" t="str">
        <f t="shared" si="189"/>
        <v/>
      </c>
      <c r="AO425" s="782" t="str">
        <f t="shared" si="190"/>
        <v/>
      </c>
      <c r="AP425" s="783" t="str">
        <f t="shared" si="191"/>
        <v/>
      </c>
      <c r="AQ425" s="2083" t="b">
        <f>AND(Q425="A",COUNTIF(BP16:BR63,TRIM(Z425))&gt;0)</f>
        <v>0</v>
      </c>
      <c r="AR425" s="797" t="str">
        <f>IF(AL425&lt;&gt;"A","",IFERROR(IFERROR(_xlfn.XLOOKUP(TRIM(SUBSTITUTE(Z425,CHAR(160)," ")),BP16:BP63,BS16:BS63),IFERROR(_xlfn.XLOOKUP(TRIM(SUBSTITUTE(Z425,CHAR(160)," ")),BQ16:BQ63,BS16:BS63),_xlfn.XLOOKUP(TRIM(SUBSTITUTE(Z425,CHAR(160)," ")),BR16:BR63,BS16:BS63)))*Y425*IF(ISBLANK(V425),1,V425),0))</f>
        <v/>
      </c>
      <c r="AS425" s="784" t="str">
        <f t="shared" si="181"/>
        <v/>
      </c>
      <c r="AT425" s="1315" t="str">
        <f t="shared" si="192"/>
        <v/>
      </c>
      <c r="AU425" s="785">
        <f t="shared" si="193"/>
        <v>0</v>
      </c>
      <c r="AV425" s="785">
        <f t="shared" si="194"/>
        <v>0</v>
      </c>
      <c r="AW425" s="786">
        <f>IF(AK425="A",AY10,0)</f>
        <v>0</v>
      </c>
      <c r="AX425" s="5495" t="str">
        <f>IF(IFERROR(SEARCH("Adresse PC",TRIM(W425)),0)&gt;0,"▼ receta siguiente",IF(AK425="A",IF(AZ10&lt;&gt;"",AZ10&amp;" - ou.or.o ❾ + or - &gt;",""),""))</f>
        <v/>
      </c>
      <c r="AY425" s="810"/>
      <c r="AZ425" s="810"/>
      <c r="BA425" s="788" t="str">
        <f t="shared" si="184"/>
        <v/>
      </c>
      <c r="BB425" s="789" t="str">
        <f>IF(AK425="A",IF(AQ425,IF(AND(AW425&lt;&gt;"",N(AW425)&gt;0),IFERROR(IFERROR(_xlfn.XLOOKUP(AP425,BP10:BP57,BT10:BT57),IFERROR(_xlfn.XLOOKUP(AP425,BQ10:BQ57,BT10:BT57),_xlfn.XLOOKUP(AP425,BR10:BR57,BT10:BT57,""))),""),""),""),"")</f>
        <v/>
      </c>
      <c r="BC425" s="811" cm="1">
        <f t="array" ref="BC425">IF(NOT(AQ425),0,IF(OR(BA425="",N(BA425)&lt;=0.000000001),"",IF(OR(AU425="",N(AU425)&lt;=0.000000001),0,IF(ISNUMBER(BA425),IFERROR(_xlfn.LET(_xlpm.ai_test,TRIM(AP425),_xlpm.r,IFERROR(_xlfn.XLOOKUP(_xlpm.ai_test,BP16:BP63,ROW(BP16:BP63),0,1),IFERROR(_xlfn.XLOOKUP(_xlpm.ai_test,BQ16:BQ63,ROW(BQ16:BQ63),0,1),_xlfn.XLOOKUP(_xlpm.ai_test,BR16:BR63,ROW(BR16:BR63),0,1))),_xlpm.p,_xlpm.r-MIN(ROW(BP16:BP63))+1,_xlpm.f,INDEX(BS16:BS63,_xlpm.p),_xlpm.u,INDEX(BT16:BT63,_xlpm.p),_xlpm.s,INDEX(BV16:BV63,_xlpm.p),_xlpm.q,N(BA425)/_xlpm.f,IF(_xlpm.q&gt;=_xlpm.s,ROUND(_xlpm.q,1)&amp;" "&amp;_xlpm.ai_test&amp;" = "&amp;ROUND(_xlpm.q*_xlpm.f,1)&amp;" "&amp;_xlpm.u,ROUND(_xlpm.q,1)&amp;" "&amp;_xlpm.ai_test)),""),""))))</f>
        <v>0</v>
      </c>
      <c r="BD425" s="801"/>
      <c r="BE425" s="788" t="str">
        <f t="shared" si="195"/>
        <v/>
      </c>
      <c r="BF425" s="789" t="str">
        <f t="shared" si="198"/>
        <v/>
      </c>
      <c r="BG425" s="790">
        <f t="shared" si="199"/>
        <v>0</v>
      </c>
      <c r="BH425" s="791" t="str">
        <f t="shared" si="200"/>
        <v/>
      </c>
      <c r="BI425" s="792"/>
      <c r="BJ425" s="793">
        <f t="shared" si="201"/>
        <v>0</v>
      </c>
      <c r="BK425" s="794" t="str">
        <f t="shared" si="196"/>
        <v/>
      </c>
      <c r="BL425" s="227" t="s">
        <v>21</v>
      </c>
      <c r="BM425" s="773">
        <f t="shared" si="186"/>
        <v>0</v>
      </c>
      <c r="BN425" s="774">
        <f t="shared" si="187"/>
        <v>0</v>
      </c>
      <c r="BO425"/>
      <c r="BX425"/>
      <c r="BY425"/>
      <c r="BZ425"/>
      <c r="CA425"/>
      <c r="CB425"/>
      <c r="CC425"/>
      <c r="CD425" s="781" t="str">
        <f t="shared" si="182"/>
        <v>►</v>
      </c>
      <c r="CE425" s="633"/>
      <c r="CF425" s="633"/>
      <c r="CG425" s="633"/>
      <c r="CH425" s="633"/>
      <c r="CI425" s="633"/>
      <c r="CJ425" s="227"/>
      <c r="CK425"/>
      <c r="CL425"/>
      <c r="CM425"/>
      <c r="CN425"/>
      <c r="CO425"/>
      <c r="CP425"/>
      <c r="CQ425"/>
      <c r="CR425" s="227"/>
      <c r="CS425"/>
      <c r="CT425"/>
      <c r="CU425"/>
      <c r="CV425"/>
      <c r="CW425"/>
      <c r="CX425"/>
      <c r="CY425"/>
      <c r="CZ425" s="227"/>
      <c r="DA425"/>
      <c r="DB425"/>
      <c r="DC425"/>
      <c r="DD425"/>
      <c r="DE425"/>
      <c r="DF425"/>
      <c r="DG425"/>
      <c r="DH425" s="227"/>
      <c r="DI425" s="3">
        <v>1</v>
      </c>
    </row>
    <row r="426" spans="2:113" s="627" customFormat="1" ht="21" customHeight="1">
      <c r="B426" s="2265" t="str" cm="1">
        <f t="array" ref="B426">SUMPRODUCT(--(D426:J426&lt;&gt;""), LEN(TRIM(SUBSTITUTE(D426:J426, CHAR(160), "")))) &amp; " Car."</f>
        <v>0 Car.</v>
      </c>
      <c r="C426" s="1376" t="str">
        <f>IF(ISBLANK(D426),"",LARGE(C13:C425,1)+1)</f>
        <v/>
      </c>
      <c r="D426" s="1833"/>
      <c r="E426" s="1810"/>
      <c r="F426" s="1810"/>
      <c r="G426" s="1810"/>
      <c r="H426" s="1810"/>
      <c r="I426" s="1810"/>
      <c r="J426" s="1810"/>
      <c r="K426" s="1810"/>
      <c r="L426" s="1811"/>
      <c r="M426"/>
      <c r="N426" s="103" t="str">
        <f t="shared" si="183"/>
        <v>►</v>
      </c>
      <c r="O426" s="1616"/>
      <c r="P426"/>
      <c r="Q426" s="103" t="s">
        <v>15</v>
      </c>
      <c r="R426" s="31"/>
      <c r="S426" s="32"/>
      <c r="T426" s="31"/>
      <c r="U426" s="33"/>
      <c r="V426" s="1804"/>
      <c r="W426" s="1805"/>
      <c r="X426" s="91"/>
      <c r="Y426" s="1806"/>
      <c r="Z426" s="1807"/>
      <c r="AA426" s="919"/>
      <c r="AB426" s="1813"/>
      <c r="AC426" s="1580"/>
      <c r="AD426" s="95"/>
      <c r="AE426" s="105"/>
      <c r="AF426" s="97"/>
      <c r="AG426" s="2080"/>
      <c r="AH426" s="2081"/>
      <c r="AI426" s="99"/>
      <c r="AJ426" s="1809"/>
      <c r="AK426" s="6120" t="str">
        <f t="shared" si="197"/>
        <v>►</v>
      </c>
      <c r="AL426" s="781" t="str">
        <f t="shared" si="185"/>
        <v>►</v>
      </c>
      <c r="AM426" s="5498" t="str">
        <f t="shared" si="188"/>
        <v/>
      </c>
      <c r="AN426" s="783" t="str">
        <f t="shared" si="189"/>
        <v/>
      </c>
      <c r="AO426" s="782" t="str">
        <f t="shared" si="190"/>
        <v/>
      </c>
      <c r="AP426" s="783" t="str">
        <f t="shared" si="191"/>
        <v/>
      </c>
      <c r="AQ426" s="2083" t="b">
        <f>AND(Q426="A",COUNTIF(BP16:BR63,TRIM(Z426))&gt;0)</f>
        <v>0</v>
      </c>
      <c r="AR426" s="797" t="str">
        <f>IF(AL426&lt;&gt;"A","",IFERROR(IFERROR(_xlfn.XLOOKUP(TRIM(SUBSTITUTE(Z426,CHAR(160)," ")),BP16:BP63,BS16:BS63),IFERROR(_xlfn.XLOOKUP(TRIM(SUBSTITUTE(Z426,CHAR(160)," ")),BQ16:BQ63,BS16:BS63),_xlfn.XLOOKUP(TRIM(SUBSTITUTE(Z426,CHAR(160)," ")),BR16:BR63,BS16:BS63)))*Y426*IF(ISBLANK(V426),1,V426),0))</f>
        <v/>
      </c>
      <c r="AS426" s="784" t="str">
        <f t="shared" si="181"/>
        <v/>
      </c>
      <c r="AT426" s="1315" t="str">
        <f t="shared" si="192"/>
        <v/>
      </c>
      <c r="AU426" s="785">
        <f t="shared" si="193"/>
        <v>0</v>
      </c>
      <c r="AV426" s="785">
        <f t="shared" si="194"/>
        <v>0</v>
      </c>
      <c r="AW426" s="798">
        <f>IF(AK426="A",AY10,0)</f>
        <v>0</v>
      </c>
      <c r="AX426" s="5496" t="str">
        <f>IF(IFERROR(SEARCH("Adresse PC",TRIM(W426)),0)&gt;0,"▼ receta siguiente",IF(AK426="A",IF(AZ10&lt;&gt;"",AZ10&amp;" - ou.or.o ❾ + or - &gt;",""),""))</f>
        <v/>
      </c>
      <c r="AY426" s="810"/>
      <c r="AZ426" s="810"/>
      <c r="BA426" s="799" t="str">
        <f t="shared" si="184"/>
        <v/>
      </c>
      <c r="BB426" s="800" t="str">
        <f>IF(AK426="A",IF(AQ426,IF(AND(AW426&lt;&gt;"",N(AW426)&gt;0),IFERROR(IFERROR(_xlfn.XLOOKUP(AP426,BP10:BP57,BT10:BT57),IFERROR(_xlfn.XLOOKUP(AP426,BQ10:BQ57,BT10:BT57),_xlfn.XLOOKUP(AP426,BR10:BR57,BT10:BT57,""))),""),""),""),"")</f>
        <v/>
      </c>
      <c r="BC426" s="813" cm="1">
        <f t="array" ref="BC426">IF(NOT(AQ426),0,IF(OR(BA426="",N(BA426)&lt;=0.000000001),"",IF(OR(AU426="",N(AU426)&lt;=0.000000001),0,IF(ISNUMBER(BA426),IFERROR(_xlfn.LET(_xlpm.ai_test,TRIM(AP426),_xlpm.r,IFERROR(_xlfn.XLOOKUP(_xlpm.ai_test,BP16:BP63,ROW(BP16:BP63),0,1),IFERROR(_xlfn.XLOOKUP(_xlpm.ai_test,BQ16:BQ63,ROW(BQ16:BQ63),0,1),_xlfn.XLOOKUP(_xlpm.ai_test,BR16:BR63,ROW(BR16:BR63),0,1))),_xlpm.p,_xlpm.r-MIN(ROW(BP16:BP63))+1,_xlpm.f,INDEX(BS16:BS63,_xlpm.p),_xlpm.u,INDEX(BT16:BT63,_xlpm.p),_xlpm.s,INDEX(BV16:BV63,_xlpm.p),_xlpm.q,N(BA426)/_xlpm.f,IF(_xlpm.q&gt;=_xlpm.s,ROUND(_xlpm.q,1)&amp;" "&amp;_xlpm.ai_test&amp;" = "&amp;ROUND(_xlpm.q*_xlpm.f,1)&amp;" "&amp;_xlpm.u,ROUND(_xlpm.q,1)&amp;" "&amp;_xlpm.ai_test)),""),""))))</f>
        <v>0</v>
      </c>
      <c r="BD426" s="801"/>
      <c r="BE426" s="799" t="str">
        <f t="shared" si="195"/>
        <v/>
      </c>
      <c r="BF426" s="800" t="str">
        <f t="shared" si="198"/>
        <v/>
      </c>
      <c r="BG426" s="802">
        <f t="shared" si="199"/>
        <v>0</v>
      </c>
      <c r="BH426" s="803" t="str">
        <f t="shared" si="200"/>
        <v/>
      </c>
      <c r="BI426" s="792"/>
      <c r="BJ426" s="804">
        <f t="shared" si="201"/>
        <v>0</v>
      </c>
      <c r="BK426" s="794" t="str">
        <f t="shared" si="196"/>
        <v/>
      </c>
      <c r="BL426" s="227" t="s">
        <v>21</v>
      </c>
      <c r="BM426" s="773">
        <f t="shared" si="186"/>
        <v>0</v>
      </c>
      <c r="BN426" s="774">
        <f t="shared" si="187"/>
        <v>0</v>
      </c>
      <c r="BO426"/>
      <c r="BX426"/>
      <c r="BY426"/>
      <c r="BZ426"/>
      <c r="CA426"/>
      <c r="CB426"/>
      <c r="CC426"/>
      <c r="CD426" s="781" t="str">
        <f t="shared" si="182"/>
        <v>►</v>
      </c>
      <c r="CE426" s="633"/>
      <c r="CF426" s="633"/>
      <c r="CG426" s="633"/>
      <c r="CH426" s="633"/>
      <c r="CI426" s="633"/>
      <c r="CJ426" s="227"/>
      <c r="CK426"/>
      <c r="CL426"/>
      <c r="CM426"/>
      <c r="CN426"/>
      <c r="CO426"/>
      <c r="CP426"/>
      <c r="CQ426"/>
      <c r="CR426" s="227"/>
      <c r="CS426"/>
      <c r="CT426"/>
      <c r="CU426"/>
      <c r="CV426"/>
      <c r="CW426"/>
      <c r="CX426"/>
      <c r="CY426"/>
      <c r="CZ426" s="227"/>
      <c r="DA426"/>
      <c r="DB426"/>
      <c r="DC426"/>
      <c r="DD426"/>
      <c r="DE426"/>
      <c r="DF426"/>
      <c r="DG426"/>
      <c r="DH426" s="227"/>
      <c r="DI426" s="3">
        <v>1</v>
      </c>
    </row>
    <row r="427" spans="2:113" s="627" customFormat="1" ht="21" customHeight="1">
      <c r="B427" s="2265" t="str" cm="1">
        <f t="array" ref="B427">SUMPRODUCT(--(D427:J427&lt;&gt;""), LEN(TRIM(SUBSTITUTE(D427:J427, CHAR(160), "")))) &amp; " Car."</f>
        <v>0 Car.</v>
      </c>
      <c r="C427" s="1376" t="str">
        <f>IF(ISBLANK(D427),"",LARGE(C13:C426,1)+1)</f>
        <v/>
      </c>
      <c r="D427" s="1833"/>
      <c r="E427" s="1810"/>
      <c r="F427" s="1810"/>
      <c r="G427" s="1810"/>
      <c r="H427" s="1810"/>
      <c r="I427" s="1810"/>
      <c r="J427" s="1810"/>
      <c r="K427" s="1810"/>
      <c r="L427" s="1811"/>
      <c r="M427"/>
      <c r="N427" s="103" t="str">
        <f t="shared" si="183"/>
        <v>►</v>
      </c>
      <c r="O427" s="1616"/>
      <c r="P427"/>
      <c r="Q427" s="103" t="s">
        <v>15</v>
      </c>
      <c r="R427" s="31"/>
      <c r="S427" s="32"/>
      <c r="T427" s="31"/>
      <c r="U427" s="33"/>
      <c r="V427" s="1804"/>
      <c r="W427" s="1805"/>
      <c r="X427" s="91"/>
      <c r="Y427" s="1806"/>
      <c r="Z427" s="1807"/>
      <c r="AA427" s="919"/>
      <c r="AB427" s="1813"/>
      <c r="AC427" s="1580"/>
      <c r="AD427" s="95"/>
      <c r="AE427" s="105"/>
      <c r="AF427" s="97"/>
      <c r="AG427" s="2080"/>
      <c r="AH427" s="2081"/>
      <c r="AI427" s="99"/>
      <c r="AJ427" s="1809"/>
      <c r="AK427" s="6120" t="str">
        <f t="shared" si="197"/>
        <v>►</v>
      </c>
      <c r="AL427" s="781" t="str">
        <f t="shared" si="185"/>
        <v>►</v>
      </c>
      <c r="AM427" s="5499" t="str">
        <f t="shared" si="188"/>
        <v/>
      </c>
      <c r="AN427" s="783" t="str">
        <f t="shared" si="189"/>
        <v/>
      </c>
      <c r="AO427" s="782" t="str">
        <f t="shared" si="190"/>
        <v/>
      </c>
      <c r="AP427" s="783" t="str">
        <f t="shared" si="191"/>
        <v/>
      </c>
      <c r="AQ427" s="2083" t="b">
        <f>AND(Q427="A",COUNTIF(BP16:BR63,TRIM(Z427))&gt;0)</f>
        <v>0</v>
      </c>
      <c r="AR427" s="797" t="str">
        <f>IF(AL427&lt;&gt;"A","",IFERROR(IFERROR(_xlfn.XLOOKUP(TRIM(SUBSTITUTE(Z427,CHAR(160)," ")),BP16:BP63,BS16:BS63),IFERROR(_xlfn.XLOOKUP(TRIM(SUBSTITUTE(Z427,CHAR(160)," ")),BQ16:BQ63,BS16:BS63),_xlfn.XLOOKUP(TRIM(SUBSTITUTE(Z427,CHAR(160)," ")),BR16:BR63,BS16:BS63)))*Y427*IF(ISBLANK(V427),1,V427),0))</f>
        <v/>
      </c>
      <c r="AS427" s="784" t="str">
        <f t="shared" si="181"/>
        <v/>
      </c>
      <c r="AT427" s="1315" t="str">
        <f t="shared" si="192"/>
        <v/>
      </c>
      <c r="AU427" s="785">
        <f t="shared" si="193"/>
        <v>0</v>
      </c>
      <c r="AV427" s="785">
        <f t="shared" si="194"/>
        <v>0</v>
      </c>
      <c r="AW427" s="786">
        <f>IF(AK427="A",AY10,0)</f>
        <v>0</v>
      </c>
      <c r="AX427" s="5495" t="str">
        <f>IF(IFERROR(SEARCH("Adresse PC",TRIM(W427)),0)&gt;0,"▼ receta siguiente",IF(AK427="A",IF(AZ10&lt;&gt;"",AZ10&amp;" - ou.or.o ❾ + or - &gt;",""),""))</f>
        <v/>
      </c>
      <c r="AY427" s="810"/>
      <c r="AZ427" s="810"/>
      <c r="BA427" s="788" t="str">
        <f t="shared" si="184"/>
        <v/>
      </c>
      <c r="BB427" s="789" t="str">
        <f>IF(AK427="A",IF(AQ427,IF(AND(AW427&lt;&gt;"",N(AW427)&gt;0),IFERROR(IFERROR(_xlfn.XLOOKUP(AP427,BP10:BP57,BT10:BT57),IFERROR(_xlfn.XLOOKUP(AP427,BQ10:BQ57,BT10:BT57),_xlfn.XLOOKUP(AP427,BR10:BR57,BT10:BT57,""))),""),""),""),"")</f>
        <v/>
      </c>
      <c r="BC427" s="811" cm="1">
        <f t="array" ref="BC427">IF(NOT(AQ427),0,IF(OR(BA427="",N(BA427)&lt;=0.000000001),"",IF(OR(AU427="",N(AU427)&lt;=0.000000001),0,IF(ISNUMBER(BA427),IFERROR(_xlfn.LET(_xlpm.ai_test,TRIM(AP427),_xlpm.r,IFERROR(_xlfn.XLOOKUP(_xlpm.ai_test,BP16:BP63,ROW(BP16:BP63),0,1),IFERROR(_xlfn.XLOOKUP(_xlpm.ai_test,BQ16:BQ63,ROW(BQ16:BQ63),0,1),_xlfn.XLOOKUP(_xlpm.ai_test,BR16:BR63,ROW(BR16:BR63),0,1))),_xlpm.p,_xlpm.r-MIN(ROW(BP16:BP63))+1,_xlpm.f,INDEX(BS16:BS63,_xlpm.p),_xlpm.u,INDEX(BT16:BT63,_xlpm.p),_xlpm.s,INDEX(BV16:BV63,_xlpm.p),_xlpm.q,N(BA427)/_xlpm.f,IF(_xlpm.q&gt;=_xlpm.s,ROUND(_xlpm.q,1)&amp;" "&amp;_xlpm.ai_test&amp;" = "&amp;ROUND(_xlpm.q*_xlpm.f,1)&amp;" "&amp;_xlpm.u,ROUND(_xlpm.q,1)&amp;" "&amp;_xlpm.ai_test)),""),""))))</f>
        <v>0</v>
      </c>
      <c r="BD427" s="801"/>
      <c r="BE427" s="788" t="str">
        <f t="shared" si="195"/>
        <v/>
      </c>
      <c r="BF427" s="789" t="str">
        <f t="shared" si="198"/>
        <v/>
      </c>
      <c r="BG427" s="790">
        <f t="shared" si="199"/>
        <v>0</v>
      </c>
      <c r="BH427" s="791" t="str">
        <f t="shared" si="200"/>
        <v/>
      </c>
      <c r="BI427" s="792"/>
      <c r="BJ427" s="793">
        <f t="shared" si="201"/>
        <v>0</v>
      </c>
      <c r="BK427" s="794" t="str">
        <f t="shared" si="196"/>
        <v/>
      </c>
      <c r="BL427" s="227" t="s">
        <v>21</v>
      </c>
      <c r="BM427" s="773">
        <f t="shared" si="186"/>
        <v>0</v>
      </c>
      <c r="BN427" s="774">
        <f t="shared" si="187"/>
        <v>0</v>
      </c>
      <c r="BO427"/>
      <c r="BX427"/>
      <c r="BY427"/>
      <c r="BZ427"/>
      <c r="CA427"/>
      <c r="CB427"/>
      <c r="CC427"/>
      <c r="CD427" s="781" t="str">
        <f t="shared" si="182"/>
        <v>►</v>
      </c>
      <c r="CE427" s="633"/>
      <c r="CF427" s="633"/>
      <c r="CG427" s="633"/>
      <c r="CH427" s="633"/>
      <c r="CI427" s="633"/>
      <c r="CJ427" s="227"/>
      <c r="CK427"/>
      <c r="CL427"/>
      <c r="CM427"/>
      <c r="CN427"/>
      <c r="CO427"/>
      <c r="CP427"/>
      <c r="CQ427"/>
      <c r="CR427" s="227"/>
      <c r="CS427"/>
      <c r="CT427"/>
      <c r="CU427"/>
      <c r="CV427"/>
      <c r="CW427"/>
      <c r="CX427"/>
      <c r="CY427"/>
      <c r="CZ427" s="227"/>
      <c r="DA427"/>
      <c r="DB427"/>
      <c r="DC427"/>
      <c r="DD427"/>
      <c r="DE427"/>
      <c r="DF427"/>
      <c r="DG427"/>
      <c r="DH427" s="227"/>
      <c r="DI427" s="3">
        <v>1</v>
      </c>
    </row>
    <row r="428" spans="2:113" s="627" customFormat="1" ht="21" customHeight="1">
      <c r="B428" s="2265" t="str" cm="1">
        <f t="array" ref="B428">SUMPRODUCT(--(D428:J428&lt;&gt;""), LEN(TRIM(SUBSTITUTE(D428:J428, CHAR(160), "")))) &amp; " Car."</f>
        <v>0 Car.</v>
      </c>
      <c r="C428" s="1376" t="str">
        <f>IF(ISBLANK(D428),"",LARGE(C13:C427,1)+1)</f>
        <v/>
      </c>
      <c r="D428" s="1833"/>
      <c r="E428" s="1810"/>
      <c r="F428" s="1810"/>
      <c r="G428" s="1810"/>
      <c r="H428" s="1810"/>
      <c r="I428" s="1810"/>
      <c r="J428" s="1810"/>
      <c r="K428" s="1810"/>
      <c r="L428" s="1811"/>
      <c r="M428"/>
      <c r="N428" s="103" t="str">
        <f t="shared" si="183"/>
        <v>►</v>
      </c>
      <c r="O428" s="1616"/>
      <c r="P428"/>
      <c r="Q428" s="103" t="s">
        <v>15</v>
      </c>
      <c r="R428" s="31"/>
      <c r="S428" s="32"/>
      <c r="T428" s="31"/>
      <c r="U428" s="33"/>
      <c r="V428" s="1804"/>
      <c r="W428" s="1805"/>
      <c r="X428" s="91"/>
      <c r="Y428" s="1806"/>
      <c r="Z428" s="1807"/>
      <c r="AA428" s="919"/>
      <c r="AB428" s="1813"/>
      <c r="AC428" s="1580"/>
      <c r="AD428" s="95"/>
      <c r="AE428" s="105"/>
      <c r="AF428" s="97"/>
      <c r="AG428" s="2080"/>
      <c r="AH428" s="2081"/>
      <c r="AI428" s="99"/>
      <c r="AJ428" s="1809"/>
      <c r="AK428" s="6120" t="str">
        <f t="shared" si="197"/>
        <v>►</v>
      </c>
      <c r="AL428" s="781" t="str">
        <f t="shared" si="185"/>
        <v>►</v>
      </c>
      <c r="AM428" s="5498" t="str">
        <f t="shared" si="188"/>
        <v/>
      </c>
      <c r="AN428" s="783" t="str">
        <f t="shared" si="189"/>
        <v/>
      </c>
      <c r="AO428" s="782" t="str">
        <f t="shared" si="190"/>
        <v/>
      </c>
      <c r="AP428" s="783" t="str">
        <f t="shared" si="191"/>
        <v/>
      </c>
      <c r="AQ428" s="2083" t="b">
        <f>AND(Q428="A",COUNTIF(BP16:BR63,TRIM(Z428))&gt;0)</f>
        <v>0</v>
      </c>
      <c r="AR428" s="797" t="str">
        <f>IF(AL428&lt;&gt;"A","",IFERROR(IFERROR(_xlfn.XLOOKUP(TRIM(SUBSTITUTE(Z428,CHAR(160)," ")),BP16:BP63,BS16:BS63),IFERROR(_xlfn.XLOOKUP(TRIM(SUBSTITUTE(Z428,CHAR(160)," ")),BQ16:BQ63,BS16:BS63),_xlfn.XLOOKUP(TRIM(SUBSTITUTE(Z428,CHAR(160)," ")),BR16:BR63,BS16:BS63)))*Y428*IF(ISBLANK(V428),1,V428),0))</f>
        <v/>
      </c>
      <c r="AS428" s="784" t="str">
        <f t="shared" si="181"/>
        <v/>
      </c>
      <c r="AT428" s="1315" t="str">
        <f t="shared" si="192"/>
        <v/>
      </c>
      <c r="AU428" s="785">
        <f t="shared" si="193"/>
        <v>0</v>
      </c>
      <c r="AV428" s="785">
        <f t="shared" si="194"/>
        <v>0</v>
      </c>
      <c r="AW428" s="798">
        <f>IF(AK428="A",AY10,0)</f>
        <v>0</v>
      </c>
      <c r="AX428" s="5496" t="str">
        <f>IF(IFERROR(SEARCH("Adresse PC",TRIM(W428)),0)&gt;0,"▼ receta siguiente",IF(AK428="A",IF(AZ10&lt;&gt;"",AZ10&amp;" - ou.or.o ❾ + or - &gt;",""),""))</f>
        <v/>
      </c>
      <c r="AY428" s="810"/>
      <c r="AZ428" s="810"/>
      <c r="BA428" s="799" t="str">
        <f t="shared" si="184"/>
        <v/>
      </c>
      <c r="BB428" s="800" t="str">
        <f>IF(AK428="A",IF(AQ428,IF(AND(AW428&lt;&gt;"",N(AW428)&gt;0),IFERROR(IFERROR(_xlfn.XLOOKUP(AP428,BP10:BP57,BT10:BT57),IFERROR(_xlfn.XLOOKUP(AP428,BQ10:BQ57,BT10:BT57),_xlfn.XLOOKUP(AP428,BR10:BR57,BT10:BT57,""))),""),""),""),"")</f>
        <v/>
      </c>
      <c r="BC428" s="813" cm="1">
        <f t="array" ref="BC428">IF(NOT(AQ428),0,IF(OR(BA428="",N(BA428)&lt;=0.000000001),"",IF(OR(AU428="",N(AU428)&lt;=0.000000001),0,IF(ISNUMBER(BA428),IFERROR(_xlfn.LET(_xlpm.ai_test,TRIM(AP428),_xlpm.r,IFERROR(_xlfn.XLOOKUP(_xlpm.ai_test,BP16:BP63,ROW(BP16:BP63),0,1),IFERROR(_xlfn.XLOOKUP(_xlpm.ai_test,BQ16:BQ63,ROW(BQ16:BQ63),0,1),_xlfn.XLOOKUP(_xlpm.ai_test,BR16:BR63,ROW(BR16:BR63),0,1))),_xlpm.p,_xlpm.r-MIN(ROW(BP16:BP63))+1,_xlpm.f,INDEX(BS16:BS63,_xlpm.p),_xlpm.u,INDEX(BT16:BT63,_xlpm.p),_xlpm.s,INDEX(BV16:BV63,_xlpm.p),_xlpm.q,N(BA428)/_xlpm.f,IF(_xlpm.q&gt;=_xlpm.s,ROUND(_xlpm.q,1)&amp;" "&amp;_xlpm.ai_test&amp;" = "&amp;ROUND(_xlpm.q*_xlpm.f,1)&amp;" "&amp;_xlpm.u,ROUND(_xlpm.q,1)&amp;" "&amp;_xlpm.ai_test)),""),""))))</f>
        <v>0</v>
      </c>
      <c r="BD428" s="801"/>
      <c r="BE428" s="799" t="str">
        <f t="shared" si="195"/>
        <v/>
      </c>
      <c r="BF428" s="800" t="str">
        <f t="shared" si="198"/>
        <v/>
      </c>
      <c r="BG428" s="802">
        <f t="shared" si="199"/>
        <v>0</v>
      </c>
      <c r="BH428" s="803" t="str">
        <f t="shared" si="200"/>
        <v/>
      </c>
      <c r="BI428" s="792"/>
      <c r="BJ428" s="804">
        <f t="shared" si="201"/>
        <v>0</v>
      </c>
      <c r="BK428" s="794" t="str">
        <f t="shared" si="196"/>
        <v/>
      </c>
      <c r="BL428" s="227" t="s">
        <v>21</v>
      </c>
      <c r="BM428" s="773">
        <f t="shared" si="186"/>
        <v>0</v>
      </c>
      <c r="BN428" s="774">
        <f t="shared" si="187"/>
        <v>0</v>
      </c>
      <c r="BO428"/>
      <c r="BX428"/>
      <c r="BY428"/>
      <c r="BZ428"/>
      <c r="CA428"/>
      <c r="CB428"/>
      <c r="CC428"/>
      <c r="CD428" s="781" t="str">
        <f t="shared" si="182"/>
        <v>►</v>
      </c>
      <c r="CE428" s="633"/>
      <c r="CF428" s="633"/>
      <c r="CG428" s="633"/>
      <c r="CH428" s="633"/>
      <c r="CI428" s="633"/>
      <c r="CJ428" s="227"/>
      <c r="CK428"/>
      <c r="CL428"/>
      <c r="CM428"/>
      <c r="CN428"/>
      <c r="CO428"/>
      <c r="CP428"/>
      <c r="CQ428"/>
      <c r="CR428" s="227"/>
      <c r="CS428"/>
      <c r="CT428"/>
      <c r="CU428"/>
      <c r="CV428"/>
      <c r="CW428"/>
      <c r="CX428"/>
      <c r="CY428"/>
      <c r="CZ428" s="227"/>
      <c r="DA428"/>
      <c r="DB428"/>
      <c r="DC428"/>
      <c r="DD428"/>
      <c r="DE428"/>
      <c r="DF428"/>
      <c r="DG428"/>
      <c r="DH428" s="227"/>
      <c r="DI428" s="3">
        <v>1</v>
      </c>
    </row>
    <row r="429" spans="2:113" s="627" customFormat="1" ht="21" customHeight="1">
      <c r="B429" s="2265" t="str" cm="1">
        <f t="array" ref="B429">SUMPRODUCT(--(D429:J429&lt;&gt;""), LEN(TRIM(SUBSTITUTE(D429:J429, CHAR(160), "")))) &amp; " Car."</f>
        <v>0 Car.</v>
      </c>
      <c r="C429" s="1376" t="str">
        <f>IF(ISBLANK(D429),"",LARGE(C13:C428,1)+1)</f>
        <v/>
      </c>
      <c r="D429" s="1833"/>
      <c r="E429" s="1810"/>
      <c r="F429" s="1810"/>
      <c r="G429" s="1810"/>
      <c r="H429" s="1810"/>
      <c r="I429" s="1810"/>
      <c r="J429" s="1810"/>
      <c r="K429" s="1810"/>
      <c r="L429" s="1811"/>
      <c r="M429"/>
      <c r="N429" s="103" t="str">
        <f t="shared" si="183"/>
        <v>►</v>
      </c>
      <c r="O429" s="1616"/>
      <c r="P429"/>
      <c r="Q429" s="103" t="s">
        <v>15</v>
      </c>
      <c r="R429" s="31"/>
      <c r="S429" s="32"/>
      <c r="T429" s="31"/>
      <c r="U429" s="33"/>
      <c r="V429" s="1804"/>
      <c r="W429" s="1805"/>
      <c r="X429" s="91"/>
      <c r="Y429" s="1806"/>
      <c r="Z429" s="1807"/>
      <c r="AA429" s="919"/>
      <c r="AB429" s="1813"/>
      <c r="AC429" s="1580"/>
      <c r="AD429" s="95"/>
      <c r="AE429" s="105"/>
      <c r="AF429" s="97"/>
      <c r="AG429" s="2080"/>
      <c r="AH429" s="2081"/>
      <c r="AI429" s="99"/>
      <c r="AJ429" s="1809"/>
      <c r="AK429" s="6120" t="str">
        <f t="shared" si="197"/>
        <v>►</v>
      </c>
      <c r="AL429" s="781" t="str">
        <f t="shared" si="185"/>
        <v>►</v>
      </c>
      <c r="AM429" s="5499" t="str">
        <f t="shared" si="188"/>
        <v/>
      </c>
      <c r="AN429" s="783" t="str">
        <f t="shared" si="189"/>
        <v/>
      </c>
      <c r="AO429" s="782" t="str">
        <f t="shared" si="190"/>
        <v/>
      </c>
      <c r="AP429" s="783" t="str">
        <f t="shared" si="191"/>
        <v/>
      </c>
      <c r="AQ429" s="2083" t="b">
        <f>AND(Q429="A",COUNTIF(BP16:BR63,TRIM(Z429))&gt;0)</f>
        <v>0</v>
      </c>
      <c r="AR429" s="797" t="str">
        <f>IF(AL429&lt;&gt;"A","",IFERROR(IFERROR(_xlfn.XLOOKUP(TRIM(SUBSTITUTE(Z429,CHAR(160)," ")),BP16:BP63,BS16:BS63),IFERROR(_xlfn.XLOOKUP(TRIM(SUBSTITUTE(Z429,CHAR(160)," ")),BQ16:BQ63,BS16:BS63),_xlfn.XLOOKUP(TRIM(SUBSTITUTE(Z429,CHAR(160)," ")),BR16:BR63,BS16:BS63)))*Y429*IF(ISBLANK(V429),1,V429),0))</f>
        <v/>
      </c>
      <c r="AS429" s="784" t="str">
        <f t="shared" si="181"/>
        <v/>
      </c>
      <c r="AT429" s="1315" t="str">
        <f t="shared" si="192"/>
        <v/>
      </c>
      <c r="AU429" s="785">
        <f t="shared" si="193"/>
        <v>0</v>
      </c>
      <c r="AV429" s="785">
        <f t="shared" si="194"/>
        <v>0</v>
      </c>
      <c r="AW429" s="786">
        <f>IF(AK429="A",AY10,0)</f>
        <v>0</v>
      </c>
      <c r="AX429" s="5495" t="str">
        <f>IF(IFERROR(SEARCH("Adresse PC",TRIM(W429)),0)&gt;0,"▼ receta siguiente",IF(AK429="A",IF(AZ10&lt;&gt;"",AZ10&amp;" - ou.or.o ❾ + or - &gt;",""),""))</f>
        <v/>
      </c>
      <c r="AY429" s="810"/>
      <c r="AZ429" s="810"/>
      <c r="BA429" s="788" t="str">
        <f t="shared" si="184"/>
        <v/>
      </c>
      <c r="BB429" s="789" t="str">
        <f>IF(AK429="A",IF(AQ429,IF(AND(AW429&lt;&gt;"",N(AW429)&gt;0),IFERROR(IFERROR(_xlfn.XLOOKUP(AP429,BP10:BP57,BT10:BT57),IFERROR(_xlfn.XLOOKUP(AP429,BQ10:BQ57,BT10:BT57),_xlfn.XLOOKUP(AP429,BR10:BR57,BT10:BT57,""))),""),""),""),"")</f>
        <v/>
      </c>
      <c r="BC429" s="811" cm="1">
        <f t="array" ref="BC429">IF(NOT(AQ429),0,IF(OR(BA429="",N(BA429)&lt;=0.000000001),"",IF(OR(AU429="",N(AU429)&lt;=0.000000001),0,IF(ISNUMBER(BA429),IFERROR(_xlfn.LET(_xlpm.ai_test,TRIM(AP429),_xlpm.r,IFERROR(_xlfn.XLOOKUP(_xlpm.ai_test,BP16:BP63,ROW(BP16:BP63),0,1),IFERROR(_xlfn.XLOOKUP(_xlpm.ai_test,BQ16:BQ63,ROW(BQ16:BQ63),0,1),_xlfn.XLOOKUP(_xlpm.ai_test,BR16:BR63,ROW(BR16:BR63),0,1))),_xlpm.p,_xlpm.r-MIN(ROW(BP16:BP63))+1,_xlpm.f,INDEX(BS16:BS63,_xlpm.p),_xlpm.u,INDEX(BT16:BT63,_xlpm.p),_xlpm.s,INDEX(BV16:BV63,_xlpm.p),_xlpm.q,N(BA429)/_xlpm.f,IF(_xlpm.q&gt;=_xlpm.s,ROUND(_xlpm.q,1)&amp;" "&amp;_xlpm.ai_test&amp;" = "&amp;ROUND(_xlpm.q*_xlpm.f,1)&amp;" "&amp;_xlpm.u,ROUND(_xlpm.q,1)&amp;" "&amp;_xlpm.ai_test)),""),""))))</f>
        <v>0</v>
      </c>
      <c r="BD429" s="801"/>
      <c r="BE429" s="788" t="str">
        <f t="shared" si="195"/>
        <v/>
      </c>
      <c r="BF429" s="789" t="str">
        <f t="shared" si="198"/>
        <v/>
      </c>
      <c r="BG429" s="790">
        <f t="shared" si="199"/>
        <v>0</v>
      </c>
      <c r="BH429" s="791" t="str">
        <f t="shared" si="200"/>
        <v/>
      </c>
      <c r="BI429" s="792"/>
      <c r="BJ429" s="793">
        <f t="shared" si="201"/>
        <v>0</v>
      </c>
      <c r="BK429" s="794" t="str">
        <f t="shared" si="196"/>
        <v/>
      </c>
      <c r="BL429" s="227" t="s">
        <v>21</v>
      </c>
      <c r="BM429" s="773">
        <f t="shared" si="186"/>
        <v>0</v>
      </c>
      <c r="BN429" s="774">
        <f t="shared" si="187"/>
        <v>0</v>
      </c>
      <c r="BO429"/>
      <c r="BX429"/>
      <c r="BY429"/>
      <c r="BZ429"/>
      <c r="CA429"/>
      <c r="CB429"/>
      <c r="CC429"/>
      <c r="CD429" s="781" t="str">
        <f t="shared" si="182"/>
        <v>►</v>
      </c>
      <c r="CE429" s="633"/>
      <c r="CF429" s="633"/>
      <c r="CG429" s="633"/>
      <c r="CH429" s="633"/>
      <c r="CI429" s="633"/>
      <c r="CJ429" s="227"/>
      <c r="CK429"/>
      <c r="CL429"/>
      <c r="CM429"/>
      <c r="CN429"/>
      <c r="CO429"/>
      <c r="CP429"/>
      <c r="CQ429"/>
      <c r="CR429" s="227"/>
      <c r="CS429"/>
      <c r="CT429"/>
      <c r="CU429"/>
      <c r="CV429"/>
      <c r="CW429"/>
      <c r="CX429"/>
      <c r="CY429"/>
      <c r="CZ429" s="227"/>
      <c r="DA429"/>
      <c r="DB429"/>
      <c r="DC429"/>
      <c r="DD429"/>
      <c r="DE429"/>
      <c r="DF429"/>
      <c r="DG429"/>
      <c r="DH429" s="227"/>
      <c r="DI429" s="3">
        <v>1</v>
      </c>
    </row>
    <row r="430" spans="2:113" s="627" customFormat="1" ht="21" customHeight="1">
      <c r="B430" s="2265" t="str" cm="1">
        <f t="array" ref="B430">SUMPRODUCT(--(D430:J430&lt;&gt;""), LEN(TRIM(SUBSTITUTE(D430:J430, CHAR(160), "")))) &amp; " Car."</f>
        <v>0 Car.</v>
      </c>
      <c r="C430" s="1376" t="str">
        <f>IF(ISBLANK(D430),"",LARGE(C13:C429,1)+1)</f>
        <v/>
      </c>
      <c r="D430" s="1833"/>
      <c r="E430" s="1810"/>
      <c r="F430" s="1810"/>
      <c r="G430" s="1810"/>
      <c r="H430" s="1810"/>
      <c r="I430" s="1810"/>
      <c r="J430" s="1810"/>
      <c r="K430" s="1810"/>
      <c r="L430" s="1811"/>
      <c r="M430"/>
      <c r="N430" s="103" t="str">
        <f t="shared" si="183"/>
        <v>►</v>
      </c>
      <c r="O430" s="1616"/>
      <c r="P430"/>
      <c r="Q430" s="103" t="s">
        <v>15</v>
      </c>
      <c r="R430" s="31"/>
      <c r="S430" s="32"/>
      <c r="T430" s="31"/>
      <c r="U430" s="33"/>
      <c r="V430" s="1804"/>
      <c r="W430" s="1805"/>
      <c r="X430" s="91"/>
      <c r="Y430" s="1806"/>
      <c r="Z430" s="1807"/>
      <c r="AA430" s="919"/>
      <c r="AB430" s="1813"/>
      <c r="AC430" s="1580"/>
      <c r="AD430" s="95"/>
      <c r="AE430" s="105"/>
      <c r="AF430" s="97"/>
      <c r="AG430" s="2080"/>
      <c r="AH430" s="2081"/>
      <c r="AI430" s="99"/>
      <c r="AJ430" s="1809"/>
      <c r="AK430" s="6120" t="str">
        <f t="shared" si="197"/>
        <v>►</v>
      </c>
      <c r="AL430" s="781" t="str">
        <f t="shared" si="185"/>
        <v>►</v>
      </c>
      <c r="AM430" s="5498" t="str">
        <f t="shared" si="188"/>
        <v/>
      </c>
      <c r="AN430" s="783" t="str">
        <f t="shared" si="189"/>
        <v/>
      </c>
      <c r="AO430" s="782" t="str">
        <f t="shared" si="190"/>
        <v/>
      </c>
      <c r="AP430" s="783" t="str">
        <f t="shared" si="191"/>
        <v/>
      </c>
      <c r="AQ430" s="2083" t="b">
        <f>AND(Q430="A",COUNTIF(BP16:BR63,TRIM(Z430))&gt;0)</f>
        <v>0</v>
      </c>
      <c r="AR430" s="797" t="str">
        <f>IF(AL430&lt;&gt;"A","",IFERROR(IFERROR(_xlfn.XLOOKUP(TRIM(SUBSTITUTE(Z430,CHAR(160)," ")),BP16:BP63,BS16:BS63),IFERROR(_xlfn.XLOOKUP(TRIM(SUBSTITUTE(Z430,CHAR(160)," ")),BQ16:BQ63,BS16:BS63),_xlfn.XLOOKUP(TRIM(SUBSTITUTE(Z430,CHAR(160)," ")),BR16:BR63,BS16:BS63)))*Y430*IF(ISBLANK(V430),1,V430),0))</f>
        <v/>
      </c>
      <c r="AS430" s="784" t="str">
        <f t="shared" si="181"/>
        <v/>
      </c>
      <c r="AT430" s="1315" t="str">
        <f t="shared" si="192"/>
        <v/>
      </c>
      <c r="AU430" s="785">
        <f t="shared" si="193"/>
        <v>0</v>
      </c>
      <c r="AV430" s="785">
        <f t="shared" si="194"/>
        <v>0</v>
      </c>
      <c r="AW430" s="798">
        <f>IF(AK430="A",AY10,0)</f>
        <v>0</v>
      </c>
      <c r="AX430" s="5496" t="str">
        <f>IF(IFERROR(SEARCH("Adresse PC",TRIM(W430)),0)&gt;0,"▼ receta siguiente",IF(AK430="A",IF(AZ10&lt;&gt;"",AZ10&amp;" - ou.or.o ❾ + or - &gt;",""),""))</f>
        <v/>
      </c>
      <c r="AY430" s="810"/>
      <c r="AZ430" s="810"/>
      <c r="BA430" s="799" t="str">
        <f t="shared" si="184"/>
        <v/>
      </c>
      <c r="BB430" s="800" t="str">
        <f>IF(AK430="A",IF(AQ430,IF(AND(AW430&lt;&gt;"",N(AW430)&gt;0),IFERROR(IFERROR(_xlfn.XLOOKUP(AP430,BP10:BP57,BT10:BT57),IFERROR(_xlfn.XLOOKUP(AP430,BQ10:BQ57,BT10:BT57),_xlfn.XLOOKUP(AP430,BR10:BR57,BT10:BT57,""))),""),""),""),"")</f>
        <v/>
      </c>
      <c r="BC430" s="813" cm="1">
        <f t="array" ref="BC430">IF(NOT(AQ430),0,IF(OR(BA430="",N(BA430)&lt;=0.000000001),"",IF(OR(AU430="",N(AU430)&lt;=0.000000001),0,IF(ISNUMBER(BA430),IFERROR(_xlfn.LET(_xlpm.ai_test,TRIM(AP430),_xlpm.r,IFERROR(_xlfn.XLOOKUP(_xlpm.ai_test,BP16:BP63,ROW(BP16:BP63),0,1),IFERROR(_xlfn.XLOOKUP(_xlpm.ai_test,BQ16:BQ63,ROW(BQ16:BQ63),0,1),_xlfn.XLOOKUP(_xlpm.ai_test,BR16:BR63,ROW(BR16:BR63),0,1))),_xlpm.p,_xlpm.r-MIN(ROW(BP16:BP63))+1,_xlpm.f,INDEX(BS16:BS63,_xlpm.p),_xlpm.u,INDEX(BT16:BT63,_xlpm.p),_xlpm.s,INDEX(BV16:BV63,_xlpm.p),_xlpm.q,N(BA430)/_xlpm.f,IF(_xlpm.q&gt;=_xlpm.s,ROUND(_xlpm.q,1)&amp;" "&amp;_xlpm.ai_test&amp;" = "&amp;ROUND(_xlpm.q*_xlpm.f,1)&amp;" "&amp;_xlpm.u,ROUND(_xlpm.q,1)&amp;" "&amp;_xlpm.ai_test)),""),""))))</f>
        <v>0</v>
      </c>
      <c r="BD430" s="801"/>
      <c r="BE430" s="799" t="str">
        <f t="shared" si="195"/>
        <v/>
      </c>
      <c r="BF430" s="800" t="str">
        <f t="shared" si="198"/>
        <v/>
      </c>
      <c r="BG430" s="802">
        <f t="shared" si="199"/>
        <v>0</v>
      </c>
      <c r="BH430" s="803" t="str">
        <f t="shared" si="200"/>
        <v/>
      </c>
      <c r="BI430" s="792"/>
      <c r="BJ430" s="804">
        <f t="shared" si="201"/>
        <v>0</v>
      </c>
      <c r="BK430" s="794" t="str">
        <f t="shared" si="196"/>
        <v/>
      </c>
      <c r="BL430" s="227" t="s">
        <v>21</v>
      </c>
      <c r="BM430" s="773">
        <f t="shared" si="186"/>
        <v>0</v>
      </c>
      <c r="BN430" s="774">
        <f t="shared" si="187"/>
        <v>0</v>
      </c>
      <c r="BO430"/>
      <c r="BX430"/>
      <c r="BY430"/>
      <c r="BZ430"/>
      <c r="CA430"/>
      <c r="CB430"/>
      <c r="CC430"/>
      <c r="CD430" s="781" t="str">
        <f t="shared" si="182"/>
        <v>►</v>
      </c>
      <c r="CE430" s="633"/>
      <c r="CF430" s="633"/>
      <c r="CG430" s="633"/>
      <c r="CH430" s="633"/>
      <c r="CI430" s="633"/>
      <c r="CJ430" s="227"/>
      <c r="CK430"/>
      <c r="CL430"/>
      <c r="CM430"/>
      <c r="CN430"/>
      <c r="CO430"/>
      <c r="CP430"/>
      <c r="CQ430"/>
      <c r="CR430" s="227"/>
      <c r="CS430"/>
      <c r="CT430"/>
      <c r="CU430"/>
      <c r="CV430"/>
      <c r="CW430"/>
      <c r="CX430"/>
      <c r="CY430"/>
      <c r="CZ430" s="227"/>
      <c r="DA430"/>
      <c r="DB430"/>
      <c r="DC430"/>
      <c r="DD430"/>
      <c r="DE430"/>
      <c r="DF430"/>
      <c r="DG430"/>
      <c r="DH430" s="227"/>
      <c r="DI430" s="3">
        <v>1</v>
      </c>
    </row>
    <row r="431" spans="2:113" s="627" customFormat="1" ht="21" customHeight="1">
      <c r="B431" s="2265" t="str" cm="1">
        <f t="array" ref="B431">SUMPRODUCT(--(D431:J431&lt;&gt;""), LEN(TRIM(SUBSTITUTE(D431:J431, CHAR(160), "")))) &amp; " Car."</f>
        <v>0 Car.</v>
      </c>
      <c r="C431" s="1376" t="str">
        <f>IF(ISBLANK(D431),"",LARGE(C13:C430,1)+1)</f>
        <v/>
      </c>
      <c r="D431" s="1833"/>
      <c r="E431" s="1810"/>
      <c r="F431" s="1810"/>
      <c r="G431" s="1810"/>
      <c r="H431" s="1810"/>
      <c r="I431" s="1810"/>
      <c r="J431" s="1810"/>
      <c r="K431" s="1810"/>
      <c r="L431" s="1811"/>
      <c r="M431"/>
      <c r="N431" s="103" t="str">
        <f t="shared" si="183"/>
        <v>►</v>
      </c>
      <c r="O431" s="1616"/>
      <c r="P431"/>
      <c r="Q431" s="103" t="s">
        <v>15</v>
      </c>
      <c r="R431" s="31"/>
      <c r="S431" s="32"/>
      <c r="T431" s="31"/>
      <c r="U431" s="33"/>
      <c r="V431" s="1804"/>
      <c r="W431" s="1805"/>
      <c r="X431" s="91"/>
      <c r="Y431" s="1806"/>
      <c r="Z431" s="1807"/>
      <c r="AA431" s="919"/>
      <c r="AB431" s="1813"/>
      <c r="AC431" s="1580"/>
      <c r="AD431" s="95"/>
      <c r="AE431" s="105"/>
      <c r="AF431" s="97"/>
      <c r="AG431" s="2080"/>
      <c r="AH431" s="2081"/>
      <c r="AI431" s="99"/>
      <c r="AJ431" s="1809"/>
      <c r="AK431" s="6120" t="str">
        <f t="shared" si="197"/>
        <v>►</v>
      </c>
      <c r="AL431" s="781" t="str">
        <f t="shared" si="185"/>
        <v>►</v>
      </c>
      <c r="AM431" s="5499" t="str">
        <f t="shared" si="188"/>
        <v/>
      </c>
      <c r="AN431" s="783" t="str">
        <f t="shared" si="189"/>
        <v/>
      </c>
      <c r="AO431" s="782" t="str">
        <f t="shared" si="190"/>
        <v/>
      </c>
      <c r="AP431" s="783" t="str">
        <f t="shared" si="191"/>
        <v/>
      </c>
      <c r="AQ431" s="2083" t="b">
        <f>AND(Q431="A",COUNTIF(BP16:BR63,TRIM(Z431))&gt;0)</f>
        <v>0</v>
      </c>
      <c r="AR431" s="797" t="str">
        <f>IF(AL431&lt;&gt;"A","",IFERROR(IFERROR(_xlfn.XLOOKUP(TRIM(SUBSTITUTE(Z431,CHAR(160)," ")),BP16:BP63,BS16:BS63),IFERROR(_xlfn.XLOOKUP(TRIM(SUBSTITUTE(Z431,CHAR(160)," ")),BQ16:BQ63,BS16:BS63),_xlfn.XLOOKUP(TRIM(SUBSTITUTE(Z431,CHAR(160)," ")),BR16:BR63,BS16:BS63)))*Y431*IF(ISBLANK(V431),1,V431),0))</f>
        <v/>
      </c>
      <c r="AS431" s="784" t="str">
        <f t="shared" si="181"/>
        <v/>
      </c>
      <c r="AT431" s="1315" t="str">
        <f t="shared" si="192"/>
        <v/>
      </c>
      <c r="AU431" s="785">
        <f t="shared" si="193"/>
        <v>0</v>
      </c>
      <c r="AV431" s="785">
        <f t="shared" si="194"/>
        <v>0</v>
      </c>
      <c r="AW431" s="786">
        <f>IF(AK431="A",AY10,0)</f>
        <v>0</v>
      </c>
      <c r="AX431" s="5495" t="str">
        <f>IF(IFERROR(SEARCH("Adresse PC",TRIM(W431)),0)&gt;0,"▼ receta siguiente",IF(AK431="A",IF(AZ10&lt;&gt;"",AZ10&amp;" - ou.or.o ❾ + or - &gt;",""),""))</f>
        <v/>
      </c>
      <c r="AY431" s="810"/>
      <c r="AZ431" s="810"/>
      <c r="BA431" s="788" t="str">
        <f t="shared" si="184"/>
        <v/>
      </c>
      <c r="BB431" s="789" t="str">
        <f>IF(AK431="A",IF(AQ431,IF(AND(AW431&lt;&gt;"",N(AW431)&gt;0),IFERROR(IFERROR(_xlfn.XLOOKUP(AP431,BP10:BP57,BT10:BT57),IFERROR(_xlfn.XLOOKUP(AP431,BQ10:BQ57,BT10:BT57),_xlfn.XLOOKUP(AP431,BR10:BR57,BT10:BT57,""))),""),""),""),"")</f>
        <v/>
      </c>
      <c r="BC431" s="811" cm="1">
        <f t="array" ref="BC431">IF(NOT(AQ431),0,IF(OR(BA431="",N(BA431)&lt;=0.000000001),"",IF(OR(AU431="",N(AU431)&lt;=0.000000001),0,IF(ISNUMBER(BA431),IFERROR(_xlfn.LET(_xlpm.ai_test,TRIM(AP431),_xlpm.r,IFERROR(_xlfn.XLOOKUP(_xlpm.ai_test,BP16:BP63,ROW(BP16:BP63),0,1),IFERROR(_xlfn.XLOOKUP(_xlpm.ai_test,BQ16:BQ63,ROW(BQ16:BQ63),0,1),_xlfn.XLOOKUP(_xlpm.ai_test,BR16:BR63,ROW(BR16:BR63),0,1))),_xlpm.p,_xlpm.r-MIN(ROW(BP16:BP63))+1,_xlpm.f,INDEX(BS16:BS63,_xlpm.p),_xlpm.u,INDEX(BT16:BT63,_xlpm.p),_xlpm.s,INDEX(BV16:BV63,_xlpm.p),_xlpm.q,N(BA431)/_xlpm.f,IF(_xlpm.q&gt;=_xlpm.s,ROUND(_xlpm.q,1)&amp;" "&amp;_xlpm.ai_test&amp;" = "&amp;ROUND(_xlpm.q*_xlpm.f,1)&amp;" "&amp;_xlpm.u,ROUND(_xlpm.q,1)&amp;" "&amp;_xlpm.ai_test)),""),""))))</f>
        <v>0</v>
      </c>
      <c r="BD431" s="801"/>
      <c r="BE431" s="788" t="str">
        <f t="shared" si="195"/>
        <v/>
      </c>
      <c r="BF431" s="789" t="str">
        <f t="shared" si="198"/>
        <v/>
      </c>
      <c r="BG431" s="790">
        <f t="shared" si="199"/>
        <v>0</v>
      </c>
      <c r="BH431" s="791" t="str">
        <f t="shared" si="200"/>
        <v/>
      </c>
      <c r="BI431" s="792"/>
      <c r="BJ431" s="793">
        <f t="shared" si="201"/>
        <v>0</v>
      </c>
      <c r="BK431" s="794" t="str">
        <f t="shared" si="196"/>
        <v/>
      </c>
      <c r="BL431" s="227" t="s">
        <v>21</v>
      </c>
      <c r="BM431" s="773">
        <f t="shared" si="186"/>
        <v>0</v>
      </c>
      <c r="BN431" s="774">
        <f t="shared" si="187"/>
        <v>0</v>
      </c>
      <c r="BO431"/>
      <c r="BX431"/>
      <c r="BY431"/>
      <c r="BZ431"/>
      <c r="CA431"/>
      <c r="CB431"/>
      <c r="CC431"/>
      <c r="CD431" s="781" t="str">
        <f t="shared" si="182"/>
        <v>►</v>
      </c>
      <c r="CE431" s="633"/>
      <c r="CF431" s="633"/>
      <c r="CG431" s="633"/>
      <c r="CH431" s="633"/>
      <c r="CI431" s="633"/>
      <c r="CJ431" s="227"/>
      <c r="CK431"/>
      <c r="CL431"/>
      <c r="CM431"/>
      <c r="CN431"/>
      <c r="CO431"/>
      <c r="CP431"/>
      <c r="CQ431"/>
      <c r="CR431" s="227"/>
      <c r="CS431"/>
      <c r="CT431"/>
      <c r="CU431"/>
      <c r="CV431"/>
      <c r="CW431"/>
      <c r="CX431"/>
      <c r="CY431"/>
      <c r="CZ431" s="227"/>
      <c r="DA431"/>
      <c r="DB431"/>
      <c r="DC431"/>
      <c r="DD431"/>
      <c r="DE431"/>
      <c r="DF431"/>
      <c r="DG431"/>
      <c r="DH431" s="227"/>
      <c r="DI431" s="3">
        <v>1</v>
      </c>
    </row>
    <row r="432" spans="2:113" s="627" customFormat="1" ht="21" customHeight="1">
      <c r="B432" s="2265" t="str" cm="1">
        <f t="array" ref="B432">SUMPRODUCT(--(D432:J432&lt;&gt;""), LEN(TRIM(SUBSTITUTE(D432:J432, CHAR(160), "")))) &amp; " Car."</f>
        <v>0 Car.</v>
      </c>
      <c r="C432" s="1376" t="str">
        <f>IF(ISBLANK(D432),"",LARGE(C13:C431,1)+1)</f>
        <v/>
      </c>
      <c r="D432" s="1833"/>
      <c r="E432" s="1810"/>
      <c r="F432" s="1810"/>
      <c r="G432" s="1810"/>
      <c r="H432" s="1810"/>
      <c r="I432" s="1810"/>
      <c r="J432" s="1810"/>
      <c r="K432" s="1810"/>
      <c r="L432" s="1811"/>
      <c r="M432"/>
      <c r="N432" s="103" t="str">
        <f t="shared" si="183"/>
        <v>►</v>
      </c>
      <c r="O432" s="1616"/>
      <c r="P432"/>
      <c r="Q432" s="103" t="s">
        <v>15</v>
      </c>
      <c r="R432" s="31"/>
      <c r="S432" s="32"/>
      <c r="T432" s="31"/>
      <c r="U432" s="33"/>
      <c r="V432" s="1804"/>
      <c r="W432" s="1805"/>
      <c r="X432" s="91"/>
      <c r="Y432" s="1806"/>
      <c r="Z432" s="1807"/>
      <c r="AA432" s="919"/>
      <c r="AB432" s="1813"/>
      <c r="AC432" s="1580"/>
      <c r="AD432" s="95"/>
      <c r="AE432" s="105"/>
      <c r="AF432" s="97"/>
      <c r="AG432" s="2080"/>
      <c r="AH432" s="2081"/>
      <c r="AI432" s="99"/>
      <c r="AJ432" s="1809"/>
      <c r="AK432" s="6120" t="str">
        <f t="shared" si="197"/>
        <v>►</v>
      </c>
      <c r="AL432" s="781" t="str">
        <f t="shared" si="185"/>
        <v>►</v>
      </c>
      <c r="AM432" s="5498" t="str">
        <f t="shared" si="188"/>
        <v/>
      </c>
      <c r="AN432" s="783" t="str">
        <f t="shared" si="189"/>
        <v/>
      </c>
      <c r="AO432" s="782" t="str">
        <f t="shared" si="190"/>
        <v/>
      </c>
      <c r="AP432" s="783" t="str">
        <f t="shared" si="191"/>
        <v/>
      </c>
      <c r="AQ432" s="2083" t="b">
        <f>AND(Q432="A",COUNTIF(BP16:BR63,TRIM(Z432))&gt;0)</f>
        <v>0</v>
      </c>
      <c r="AR432" s="797" t="str">
        <f>IF(AL432&lt;&gt;"A","",IFERROR(IFERROR(_xlfn.XLOOKUP(TRIM(SUBSTITUTE(Z432,CHAR(160)," ")),BP16:BP63,BS16:BS63),IFERROR(_xlfn.XLOOKUP(TRIM(SUBSTITUTE(Z432,CHAR(160)," ")),BQ16:BQ63,BS16:BS63),_xlfn.XLOOKUP(TRIM(SUBSTITUTE(Z432,CHAR(160)," ")),BR16:BR63,BS16:BS63)))*Y432*IF(ISBLANK(V432),1,V432),0))</f>
        <v/>
      </c>
      <c r="AS432" s="784" t="str">
        <f t="shared" si="181"/>
        <v/>
      </c>
      <c r="AT432" s="1315" t="str">
        <f t="shared" si="192"/>
        <v/>
      </c>
      <c r="AU432" s="785">
        <f t="shared" si="193"/>
        <v>0</v>
      </c>
      <c r="AV432" s="785">
        <f t="shared" si="194"/>
        <v>0</v>
      </c>
      <c r="AW432" s="798">
        <f>IF(AK432="A",AY10,0)</f>
        <v>0</v>
      </c>
      <c r="AX432" s="5496" t="str">
        <f>IF(IFERROR(SEARCH("Adresse PC",TRIM(W432)),0)&gt;0,"▼ receta siguiente",IF(AK432="A",IF(AZ10&lt;&gt;"",AZ10&amp;" - ou.or.o ❾ + or - &gt;",""),""))</f>
        <v/>
      </c>
      <c r="AY432" s="810"/>
      <c r="AZ432" s="810"/>
      <c r="BA432" s="799" t="str">
        <f t="shared" si="184"/>
        <v/>
      </c>
      <c r="BB432" s="800" t="str">
        <f>IF(AK432="A",IF(AQ432,IF(AND(AW432&lt;&gt;"",N(AW432)&gt;0),IFERROR(IFERROR(_xlfn.XLOOKUP(AP432,BP10:BP57,BT10:BT57),IFERROR(_xlfn.XLOOKUP(AP432,BQ10:BQ57,BT10:BT57),_xlfn.XLOOKUP(AP432,BR10:BR57,BT10:BT57,""))),""),""),""),"")</f>
        <v/>
      </c>
      <c r="BC432" s="813" cm="1">
        <f t="array" ref="BC432">IF(NOT(AQ432),0,IF(OR(BA432="",N(BA432)&lt;=0.000000001),"",IF(OR(AU432="",N(AU432)&lt;=0.000000001),0,IF(ISNUMBER(BA432),IFERROR(_xlfn.LET(_xlpm.ai_test,TRIM(AP432),_xlpm.r,IFERROR(_xlfn.XLOOKUP(_xlpm.ai_test,BP16:BP63,ROW(BP16:BP63),0,1),IFERROR(_xlfn.XLOOKUP(_xlpm.ai_test,BQ16:BQ63,ROW(BQ16:BQ63),0,1),_xlfn.XLOOKUP(_xlpm.ai_test,BR16:BR63,ROW(BR16:BR63),0,1))),_xlpm.p,_xlpm.r-MIN(ROW(BP16:BP63))+1,_xlpm.f,INDEX(BS16:BS63,_xlpm.p),_xlpm.u,INDEX(BT16:BT63,_xlpm.p),_xlpm.s,INDEX(BV16:BV63,_xlpm.p),_xlpm.q,N(BA432)/_xlpm.f,IF(_xlpm.q&gt;=_xlpm.s,ROUND(_xlpm.q,1)&amp;" "&amp;_xlpm.ai_test&amp;" = "&amp;ROUND(_xlpm.q*_xlpm.f,1)&amp;" "&amp;_xlpm.u,ROUND(_xlpm.q,1)&amp;" "&amp;_xlpm.ai_test)),""),""))))</f>
        <v>0</v>
      </c>
      <c r="BD432" s="801"/>
      <c r="BE432" s="799" t="str">
        <f t="shared" si="195"/>
        <v/>
      </c>
      <c r="BF432" s="800" t="str">
        <f t="shared" si="198"/>
        <v/>
      </c>
      <c r="BG432" s="802">
        <f t="shared" si="199"/>
        <v>0</v>
      </c>
      <c r="BH432" s="803" t="str">
        <f t="shared" si="200"/>
        <v/>
      </c>
      <c r="BI432" s="792"/>
      <c r="BJ432" s="804">
        <f t="shared" si="201"/>
        <v>0</v>
      </c>
      <c r="BK432" s="794" t="str">
        <f t="shared" si="196"/>
        <v/>
      </c>
      <c r="BL432" s="227" t="s">
        <v>21</v>
      </c>
      <c r="BM432" s="773">
        <f t="shared" si="186"/>
        <v>0</v>
      </c>
      <c r="BN432" s="774">
        <f t="shared" si="187"/>
        <v>0</v>
      </c>
      <c r="BO432"/>
      <c r="BX432"/>
      <c r="BY432"/>
      <c r="BZ432"/>
      <c r="CA432"/>
      <c r="CB432"/>
      <c r="CC432"/>
      <c r="CD432" s="781" t="str">
        <f t="shared" si="182"/>
        <v>►</v>
      </c>
      <c r="CE432" s="633"/>
      <c r="CF432" s="633"/>
      <c r="CG432" s="633"/>
      <c r="CH432" s="633"/>
      <c r="CI432" s="633"/>
      <c r="CJ432" s="227"/>
      <c r="CK432"/>
      <c r="CL432"/>
      <c r="CM432"/>
      <c r="CN432"/>
      <c r="CO432"/>
      <c r="CP432"/>
      <c r="CQ432"/>
      <c r="CR432" s="227"/>
      <c r="CS432"/>
      <c r="CT432"/>
      <c r="CU432"/>
      <c r="CV432"/>
      <c r="CW432"/>
      <c r="CX432"/>
      <c r="CY432"/>
      <c r="CZ432" s="227"/>
      <c r="DA432"/>
      <c r="DB432"/>
      <c r="DC432"/>
      <c r="DD432"/>
      <c r="DE432"/>
      <c r="DF432"/>
      <c r="DG432"/>
      <c r="DH432" s="227"/>
      <c r="DI432" s="3">
        <v>1</v>
      </c>
    </row>
    <row r="433" spans="2:113" s="627" customFormat="1" ht="21" customHeight="1">
      <c r="B433" s="2265" t="str" cm="1">
        <f t="array" ref="B433">SUMPRODUCT(--(D433:J433&lt;&gt;""), LEN(TRIM(SUBSTITUTE(D433:J433, CHAR(160), "")))) &amp; " Car."</f>
        <v>0 Car.</v>
      </c>
      <c r="C433" s="1376" t="str">
        <f>IF(ISBLANK(D433),"",LARGE(C13:C432,1)+1)</f>
        <v/>
      </c>
      <c r="D433" s="1833"/>
      <c r="E433" s="1810"/>
      <c r="F433" s="1810"/>
      <c r="G433" s="1810"/>
      <c r="H433" s="1810"/>
      <c r="I433" s="1810"/>
      <c r="J433" s="1810"/>
      <c r="K433" s="1810"/>
      <c r="L433" s="1811"/>
      <c r="M433"/>
      <c r="N433" s="103" t="str">
        <f t="shared" si="183"/>
        <v>►</v>
      </c>
      <c r="O433" s="1616"/>
      <c r="P433"/>
      <c r="Q433" s="103" t="s">
        <v>15</v>
      </c>
      <c r="R433" s="31"/>
      <c r="S433" s="32"/>
      <c r="T433" s="31"/>
      <c r="U433" s="33"/>
      <c r="V433" s="1804"/>
      <c r="W433" s="1805"/>
      <c r="X433" s="91"/>
      <c r="Y433" s="1806"/>
      <c r="Z433" s="1807"/>
      <c r="AA433" s="919"/>
      <c r="AB433" s="1813"/>
      <c r="AC433" s="1580"/>
      <c r="AD433" s="95"/>
      <c r="AE433" s="105"/>
      <c r="AF433" s="97"/>
      <c r="AG433" s="2080"/>
      <c r="AH433" s="2081"/>
      <c r="AI433" s="99"/>
      <c r="AJ433" s="1809"/>
      <c r="AK433" s="6120" t="str">
        <f t="shared" si="197"/>
        <v>►</v>
      </c>
      <c r="AL433" s="781" t="str">
        <f t="shared" si="185"/>
        <v>►</v>
      </c>
      <c r="AM433" s="5499" t="str">
        <f t="shared" si="188"/>
        <v/>
      </c>
      <c r="AN433" s="783" t="str">
        <f t="shared" si="189"/>
        <v/>
      </c>
      <c r="AO433" s="782" t="str">
        <f t="shared" si="190"/>
        <v/>
      </c>
      <c r="AP433" s="783" t="str">
        <f t="shared" si="191"/>
        <v/>
      </c>
      <c r="AQ433" s="2083" t="b">
        <f>AND(Q433="A",COUNTIF(BP16:BR63,TRIM(Z433))&gt;0)</f>
        <v>0</v>
      </c>
      <c r="AR433" s="797" t="str">
        <f>IF(AL433&lt;&gt;"A","",IFERROR(IFERROR(_xlfn.XLOOKUP(TRIM(SUBSTITUTE(Z433,CHAR(160)," ")),BP16:BP63,BS16:BS63),IFERROR(_xlfn.XLOOKUP(TRIM(SUBSTITUTE(Z433,CHAR(160)," ")),BQ16:BQ63,BS16:BS63),_xlfn.XLOOKUP(TRIM(SUBSTITUTE(Z433,CHAR(160)," ")),BR16:BR63,BS16:BS63)))*Y433*IF(ISBLANK(V433),1,V433),0))</f>
        <v/>
      </c>
      <c r="AS433" s="784" t="str">
        <f t="shared" si="181"/>
        <v/>
      </c>
      <c r="AT433" s="1315" t="str">
        <f t="shared" si="192"/>
        <v/>
      </c>
      <c r="AU433" s="785">
        <f t="shared" si="193"/>
        <v>0</v>
      </c>
      <c r="AV433" s="785">
        <f t="shared" si="194"/>
        <v>0</v>
      </c>
      <c r="AW433" s="786">
        <f>IF(AK433="A",AY10,0)</f>
        <v>0</v>
      </c>
      <c r="AX433" s="5495" t="str">
        <f>IF(IFERROR(SEARCH("Adresse PC",TRIM(W433)),0)&gt;0,"▼ receta siguiente",IF(AK433="A",IF(AZ10&lt;&gt;"",AZ10&amp;" - ou.or.o ❾ + or - &gt;",""),""))</f>
        <v/>
      </c>
      <c r="AY433" s="810"/>
      <c r="AZ433" s="810"/>
      <c r="BA433" s="788" t="str">
        <f t="shared" si="184"/>
        <v/>
      </c>
      <c r="BB433" s="789" t="str">
        <f>IF(AK433="A",IF(AQ433,IF(AND(AW433&lt;&gt;"",N(AW433)&gt;0),IFERROR(IFERROR(_xlfn.XLOOKUP(AP433,BP10:BP57,BT10:BT57),IFERROR(_xlfn.XLOOKUP(AP433,BQ10:BQ57,BT10:BT57),_xlfn.XLOOKUP(AP433,BR10:BR57,BT10:BT57,""))),""),""),""),"")</f>
        <v/>
      </c>
      <c r="BC433" s="811" cm="1">
        <f t="array" ref="BC433">IF(NOT(AQ433),0,IF(OR(BA433="",N(BA433)&lt;=0.000000001),"",IF(OR(AU433="",N(AU433)&lt;=0.000000001),0,IF(ISNUMBER(BA433),IFERROR(_xlfn.LET(_xlpm.ai_test,TRIM(AP433),_xlpm.r,IFERROR(_xlfn.XLOOKUP(_xlpm.ai_test,BP16:BP63,ROW(BP16:BP63),0,1),IFERROR(_xlfn.XLOOKUP(_xlpm.ai_test,BQ16:BQ63,ROW(BQ16:BQ63),0,1),_xlfn.XLOOKUP(_xlpm.ai_test,BR16:BR63,ROW(BR16:BR63),0,1))),_xlpm.p,_xlpm.r-MIN(ROW(BP16:BP63))+1,_xlpm.f,INDEX(BS16:BS63,_xlpm.p),_xlpm.u,INDEX(BT16:BT63,_xlpm.p),_xlpm.s,INDEX(BV16:BV63,_xlpm.p),_xlpm.q,N(BA433)/_xlpm.f,IF(_xlpm.q&gt;=_xlpm.s,ROUND(_xlpm.q,1)&amp;" "&amp;_xlpm.ai_test&amp;" = "&amp;ROUND(_xlpm.q*_xlpm.f,1)&amp;" "&amp;_xlpm.u,ROUND(_xlpm.q,1)&amp;" "&amp;_xlpm.ai_test)),""),""))))</f>
        <v>0</v>
      </c>
      <c r="BD433" s="801"/>
      <c r="BE433" s="788" t="str">
        <f t="shared" si="195"/>
        <v/>
      </c>
      <c r="BF433" s="789" t="str">
        <f t="shared" si="198"/>
        <v/>
      </c>
      <c r="BG433" s="790">
        <f t="shared" si="199"/>
        <v>0</v>
      </c>
      <c r="BH433" s="791" t="str">
        <f t="shared" si="200"/>
        <v/>
      </c>
      <c r="BI433" s="792"/>
      <c r="BJ433" s="793">
        <f t="shared" si="201"/>
        <v>0</v>
      </c>
      <c r="BK433" s="794" t="str">
        <f t="shared" si="196"/>
        <v/>
      </c>
      <c r="BL433" s="227" t="s">
        <v>21</v>
      </c>
      <c r="BM433" s="773">
        <f t="shared" si="186"/>
        <v>0</v>
      </c>
      <c r="BN433" s="774">
        <f t="shared" si="187"/>
        <v>0</v>
      </c>
      <c r="BO433"/>
      <c r="BX433"/>
      <c r="BY433"/>
      <c r="BZ433"/>
      <c r="CA433"/>
      <c r="CB433"/>
      <c r="CC433"/>
      <c r="CD433" s="781" t="str">
        <f t="shared" si="182"/>
        <v>►</v>
      </c>
      <c r="CE433" s="633"/>
      <c r="CF433" s="633"/>
      <c r="CG433" s="633"/>
      <c r="CH433" s="633"/>
      <c r="CI433" s="633"/>
      <c r="CJ433" s="227"/>
      <c r="CK433"/>
      <c r="CL433"/>
      <c r="CM433"/>
      <c r="CN433"/>
      <c r="CO433"/>
      <c r="CP433"/>
      <c r="CQ433"/>
      <c r="CR433" s="227"/>
      <c r="CS433"/>
      <c r="CT433"/>
      <c r="CU433"/>
      <c r="CV433"/>
      <c r="CW433"/>
      <c r="CX433"/>
      <c r="CY433"/>
      <c r="CZ433" s="227"/>
      <c r="DA433"/>
      <c r="DB433"/>
      <c r="DC433"/>
      <c r="DD433"/>
      <c r="DE433"/>
      <c r="DF433"/>
      <c r="DG433"/>
      <c r="DH433" s="227"/>
      <c r="DI433" s="3">
        <v>1</v>
      </c>
    </row>
    <row r="434" spans="2:113" s="627" customFormat="1" ht="21" customHeight="1">
      <c r="B434" s="2265" t="str" cm="1">
        <f t="array" ref="B434">SUMPRODUCT(--(D434:J434&lt;&gt;""), LEN(TRIM(SUBSTITUTE(D434:J434, CHAR(160), "")))) &amp; " Car."</f>
        <v>0 Car.</v>
      </c>
      <c r="C434" s="1376" t="str">
        <f>IF(ISBLANK(D434),"",LARGE(C13:C433,1)+1)</f>
        <v/>
      </c>
      <c r="D434" s="1833"/>
      <c r="E434" s="1810"/>
      <c r="F434" s="1810"/>
      <c r="G434" s="1810"/>
      <c r="H434" s="1810"/>
      <c r="I434" s="1810"/>
      <c r="J434" s="1810"/>
      <c r="K434" s="1810"/>
      <c r="L434" s="1811"/>
      <c r="M434"/>
      <c r="N434" s="103" t="str">
        <f t="shared" si="183"/>
        <v>►</v>
      </c>
      <c r="O434" s="1616"/>
      <c r="P434"/>
      <c r="Q434" s="103" t="s">
        <v>15</v>
      </c>
      <c r="R434" s="31"/>
      <c r="S434" s="32"/>
      <c r="T434" s="31"/>
      <c r="U434" s="33"/>
      <c r="V434" s="1804"/>
      <c r="W434" s="1805"/>
      <c r="X434" s="91"/>
      <c r="Y434" s="1806"/>
      <c r="Z434" s="1807"/>
      <c r="AA434" s="919"/>
      <c r="AB434" s="1813"/>
      <c r="AC434" s="1580"/>
      <c r="AD434" s="95"/>
      <c r="AE434" s="105"/>
      <c r="AF434" s="97"/>
      <c r="AG434" s="2080"/>
      <c r="AH434" s="2081"/>
      <c r="AI434" s="99"/>
      <c r="AJ434" s="1809"/>
      <c r="AK434" s="6120" t="str">
        <f t="shared" si="197"/>
        <v>►</v>
      </c>
      <c r="AL434" s="781" t="str">
        <f t="shared" si="185"/>
        <v>►</v>
      </c>
      <c r="AM434" s="5498" t="str">
        <f t="shared" si="188"/>
        <v/>
      </c>
      <c r="AN434" s="783" t="str">
        <f t="shared" si="189"/>
        <v/>
      </c>
      <c r="AO434" s="782" t="str">
        <f t="shared" si="190"/>
        <v/>
      </c>
      <c r="AP434" s="783" t="str">
        <f t="shared" si="191"/>
        <v/>
      </c>
      <c r="AQ434" s="2083" t="b">
        <f>AND(Q434="A",COUNTIF(BP16:BR63,TRIM(Z434))&gt;0)</f>
        <v>0</v>
      </c>
      <c r="AR434" s="797" t="str">
        <f>IF(AL434&lt;&gt;"A","",IFERROR(IFERROR(_xlfn.XLOOKUP(TRIM(SUBSTITUTE(Z434,CHAR(160)," ")),BP16:BP63,BS16:BS63),IFERROR(_xlfn.XLOOKUP(TRIM(SUBSTITUTE(Z434,CHAR(160)," ")),BQ16:BQ63,BS16:BS63),_xlfn.XLOOKUP(TRIM(SUBSTITUTE(Z434,CHAR(160)," ")),BR16:BR63,BS16:BS63)))*Y434*IF(ISBLANK(V434),1,V434),0))</f>
        <v/>
      </c>
      <c r="AS434" s="784" t="str">
        <f t="shared" si="181"/>
        <v/>
      </c>
      <c r="AT434" s="1315" t="str">
        <f t="shared" si="192"/>
        <v/>
      </c>
      <c r="AU434" s="785">
        <f t="shared" si="193"/>
        <v>0</v>
      </c>
      <c r="AV434" s="785">
        <f t="shared" si="194"/>
        <v>0</v>
      </c>
      <c r="AW434" s="798">
        <f>IF(AK434="A",AY10,0)</f>
        <v>0</v>
      </c>
      <c r="AX434" s="5496" t="str">
        <f>IF(IFERROR(SEARCH("Adresse PC",TRIM(W434)),0)&gt;0,"▼ receta siguiente",IF(AK434="A",IF(AZ10&lt;&gt;"",AZ10&amp;" - ou.or.o ❾ + or - &gt;",""),""))</f>
        <v/>
      </c>
      <c r="AY434" s="810"/>
      <c r="AZ434" s="810"/>
      <c r="BA434" s="799" t="str">
        <f t="shared" si="184"/>
        <v/>
      </c>
      <c r="BB434" s="800" t="str">
        <f>IF(AK434="A",IF(AQ434,IF(AND(AW434&lt;&gt;"",N(AW434)&gt;0),IFERROR(IFERROR(_xlfn.XLOOKUP(AP434,BP10:BP57,BT10:BT57),IFERROR(_xlfn.XLOOKUP(AP434,BQ10:BQ57,BT10:BT57),_xlfn.XLOOKUP(AP434,BR10:BR57,BT10:BT57,""))),""),""),""),"")</f>
        <v/>
      </c>
      <c r="BC434" s="813" cm="1">
        <f t="array" ref="BC434">IF(NOT(AQ434),0,IF(OR(BA434="",N(BA434)&lt;=0.000000001),"",IF(OR(AU434="",N(AU434)&lt;=0.000000001),0,IF(ISNUMBER(BA434),IFERROR(_xlfn.LET(_xlpm.ai_test,TRIM(AP434),_xlpm.r,IFERROR(_xlfn.XLOOKUP(_xlpm.ai_test,BP16:BP63,ROW(BP16:BP63),0,1),IFERROR(_xlfn.XLOOKUP(_xlpm.ai_test,BQ16:BQ63,ROW(BQ16:BQ63),0,1),_xlfn.XLOOKUP(_xlpm.ai_test,BR16:BR63,ROW(BR16:BR63),0,1))),_xlpm.p,_xlpm.r-MIN(ROW(BP16:BP63))+1,_xlpm.f,INDEX(BS16:BS63,_xlpm.p),_xlpm.u,INDEX(BT16:BT63,_xlpm.p),_xlpm.s,INDEX(BV16:BV63,_xlpm.p),_xlpm.q,N(BA434)/_xlpm.f,IF(_xlpm.q&gt;=_xlpm.s,ROUND(_xlpm.q,1)&amp;" "&amp;_xlpm.ai_test&amp;" = "&amp;ROUND(_xlpm.q*_xlpm.f,1)&amp;" "&amp;_xlpm.u,ROUND(_xlpm.q,1)&amp;" "&amp;_xlpm.ai_test)),""),""))))</f>
        <v>0</v>
      </c>
      <c r="BD434" s="801"/>
      <c r="BE434" s="799" t="str">
        <f t="shared" si="195"/>
        <v/>
      </c>
      <c r="BF434" s="800" t="str">
        <f t="shared" si="198"/>
        <v/>
      </c>
      <c r="BG434" s="802">
        <f t="shared" si="199"/>
        <v>0</v>
      </c>
      <c r="BH434" s="803" t="str">
        <f t="shared" si="200"/>
        <v/>
      </c>
      <c r="BI434" s="792"/>
      <c r="BJ434" s="804">
        <f t="shared" si="201"/>
        <v>0</v>
      </c>
      <c r="BK434" s="794" t="str">
        <f t="shared" si="196"/>
        <v/>
      </c>
      <c r="BL434" s="227" t="s">
        <v>21</v>
      </c>
      <c r="BM434" s="773">
        <f t="shared" si="186"/>
        <v>0</v>
      </c>
      <c r="BN434" s="774">
        <f t="shared" si="187"/>
        <v>0</v>
      </c>
      <c r="BO434"/>
      <c r="BX434"/>
      <c r="BY434"/>
      <c r="BZ434"/>
      <c r="CA434"/>
      <c r="CB434"/>
      <c r="CC434"/>
      <c r="CD434" s="781" t="str">
        <f t="shared" si="182"/>
        <v>►</v>
      </c>
      <c r="CE434" s="633"/>
      <c r="CF434" s="633"/>
      <c r="CG434" s="633"/>
      <c r="CH434" s="633"/>
      <c r="CI434" s="633"/>
      <c r="CJ434" s="227"/>
      <c r="CK434"/>
      <c r="CL434"/>
      <c r="CM434"/>
      <c r="CN434"/>
      <c r="CO434"/>
      <c r="CP434"/>
      <c r="CQ434"/>
      <c r="CR434" s="227"/>
      <c r="CS434"/>
      <c r="CT434"/>
      <c r="CU434"/>
      <c r="CV434"/>
      <c r="CW434"/>
      <c r="CX434"/>
      <c r="CY434"/>
      <c r="CZ434" s="227"/>
      <c r="DA434"/>
      <c r="DB434"/>
      <c r="DC434"/>
      <c r="DD434"/>
      <c r="DE434"/>
      <c r="DF434"/>
      <c r="DG434"/>
      <c r="DH434" s="227"/>
      <c r="DI434" s="3">
        <v>1</v>
      </c>
    </row>
    <row r="435" spans="2:113" s="627" customFormat="1" ht="21" customHeight="1">
      <c r="B435" s="2265" t="str" cm="1">
        <f t="array" ref="B435">SUMPRODUCT(--(D435:J435&lt;&gt;""), LEN(TRIM(SUBSTITUTE(D435:J435, CHAR(160), "")))) &amp; " Car."</f>
        <v>0 Car.</v>
      </c>
      <c r="C435" s="1376" t="str">
        <f>IF(ISBLANK(D435),"",LARGE(C13:C434,1)+1)</f>
        <v/>
      </c>
      <c r="D435" s="1833"/>
      <c r="E435" s="1810"/>
      <c r="F435" s="1810"/>
      <c r="G435" s="1810"/>
      <c r="H435" s="1810"/>
      <c r="I435" s="1810"/>
      <c r="J435" s="1810"/>
      <c r="K435" s="1810"/>
      <c r="L435" s="1811"/>
      <c r="M435"/>
      <c r="N435" s="103" t="str">
        <f t="shared" si="183"/>
        <v>►</v>
      </c>
      <c r="O435" s="1616"/>
      <c r="P435"/>
      <c r="Q435" s="103" t="s">
        <v>15</v>
      </c>
      <c r="R435" s="31"/>
      <c r="S435" s="32"/>
      <c r="T435" s="31"/>
      <c r="U435" s="33"/>
      <c r="V435" s="1804"/>
      <c r="W435" s="1805"/>
      <c r="X435" s="91"/>
      <c r="Y435" s="1806"/>
      <c r="Z435" s="1807"/>
      <c r="AA435" s="919"/>
      <c r="AB435" s="1813"/>
      <c r="AC435" s="1580"/>
      <c r="AD435" s="95"/>
      <c r="AE435" s="105"/>
      <c r="AF435" s="97"/>
      <c r="AG435" s="2080"/>
      <c r="AH435" s="2081"/>
      <c r="AI435" s="99"/>
      <c r="AJ435" s="1809"/>
      <c r="AK435" s="6120" t="str">
        <f t="shared" si="197"/>
        <v>►</v>
      </c>
      <c r="AL435" s="781" t="str">
        <f t="shared" si="185"/>
        <v>►</v>
      </c>
      <c r="AM435" s="5499" t="str">
        <f t="shared" si="188"/>
        <v/>
      </c>
      <c r="AN435" s="783" t="str">
        <f t="shared" si="189"/>
        <v/>
      </c>
      <c r="AO435" s="782" t="str">
        <f t="shared" si="190"/>
        <v/>
      </c>
      <c r="AP435" s="783" t="str">
        <f t="shared" si="191"/>
        <v/>
      </c>
      <c r="AQ435" s="2083" t="b">
        <f>AND(Q435="A",COUNTIF(BP16:BR63,TRIM(Z435))&gt;0)</f>
        <v>0</v>
      </c>
      <c r="AR435" s="797" t="str">
        <f>IF(AL435&lt;&gt;"A","",IFERROR(IFERROR(_xlfn.XLOOKUP(TRIM(SUBSTITUTE(Z435,CHAR(160)," ")),BP16:BP63,BS16:BS63),IFERROR(_xlfn.XLOOKUP(TRIM(SUBSTITUTE(Z435,CHAR(160)," ")),BQ16:BQ63,BS16:BS63),_xlfn.XLOOKUP(TRIM(SUBSTITUTE(Z435,CHAR(160)," ")),BR16:BR63,BS16:BS63)))*Y435*IF(ISBLANK(V435),1,V435),0))</f>
        <v/>
      </c>
      <c r="AS435" s="784" t="str">
        <f t="shared" si="181"/>
        <v/>
      </c>
      <c r="AT435" s="1315" t="str">
        <f t="shared" si="192"/>
        <v/>
      </c>
      <c r="AU435" s="785">
        <f t="shared" si="193"/>
        <v>0</v>
      </c>
      <c r="AV435" s="785">
        <f t="shared" si="194"/>
        <v>0</v>
      </c>
      <c r="AW435" s="786">
        <f>IF(AK435="A",AY10,0)</f>
        <v>0</v>
      </c>
      <c r="AX435" s="5495" t="str">
        <f>IF(IFERROR(SEARCH("Adresse PC",TRIM(W435)),0)&gt;0,"▼ receta siguiente",IF(AK435="A",IF(AZ10&lt;&gt;"",AZ10&amp;" - ou.or.o ❾ + or - &gt;",""),""))</f>
        <v/>
      </c>
      <c r="AY435" s="810"/>
      <c r="AZ435" s="810"/>
      <c r="BA435" s="788" t="str">
        <f t="shared" si="184"/>
        <v/>
      </c>
      <c r="BB435" s="789" t="str">
        <f>IF(AK435="A",IF(AQ435,IF(AND(AW435&lt;&gt;"",N(AW435)&gt;0),IFERROR(IFERROR(_xlfn.XLOOKUP(AP435,BP10:BP57,BT10:BT57),IFERROR(_xlfn.XLOOKUP(AP435,BQ10:BQ57,BT10:BT57),_xlfn.XLOOKUP(AP435,BR10:BR57,BT10:BT57,""))),""),""),""),"")</f>
        <v/>
      </c>
      <c r="BC435" s="811" cm="1">
        <f t="array" ref="BC435">IF(NOT(AQ435),0,IF(OR(BA435="",N(BA435)&lt;=0.000000001),"",IF(OR(AU435="",N(AU435)&lt;=0.000000001),0,IF(ISNUMBER(BA435),IFERROR(_xlfn.LET(_xlpm.ai_test,TRIM(AP435),_xlpm.r,IFERROR(_xlfn.XLOOKUP(_xlpm.ai_test,BP16:BP63,ROW(BP16:BP63),0,1),IFERROR(_xlfn.XLOOKUP(_xlpm.ai_test,BQ16:BQ63,ROW(BQ16:BQ63),0,1),_xlfn.XLOOKUP(_xlpm.ai_test,BR16:BR63,ROW(BR16:BR63),0,1))),_xlpm.p,_xlpm.r-MIN(ROW(BP16:BP63))+1,_xlpm.f,INDEX(BS16:BS63,_xlpm.p),_xlpm.u,INDEX(BT16:BT63,_xlpm.p),_xlpm.s,INDEX(BV16:BV63,_xlpm.p),_xlpm.q,N(BA435)/_xlpm.f,IF(_xlpm.q&gt;=_xlpm.s,ROUND(_xlpm.q,1)&amp;" "&amp;_xlpm.ai_test&amp;" = "&amp;ROUND(_xlpm.q*_xlpm.f,1)&amp;" "&amp;_xlpm.u,ROUND(_xlpm.q,1)&amp;" "&amp;_xlpm.ai_test)),""),""))))</f>
        <v>0</v>
      </c>
      <c r="BD435" s="801"/>
      <c r="BE435" s="788" t="str">
        <f t="shared" si="195"/>
        <v/>
      </c>
      <c r="BF435" s="789" t="str">
        <f t="shared" si="198"/>
        <v/>
      </c>
      <c r="BG435" s="790">
        <f t="shared" si="199"/>
        <v>0</v>
      </c>
      <c r="BH435" s="791" t="str">
        <f t="shared" si="200"/>
        <v/>
      </c>
      <c r="BI435" s="792"/>
      <c r="BJ435" s="793">
        <f t="shared" si="201"/>
        <v>0</v>
      </c>
      <c r="BK435" s="794" t="str">
        <f t="shared" si="196"/>
        <v/>
      </c>
      <c r="BL435" s="227" t="s">
        <v>21</v>
      </c>
      <c r="BM435" s="773">
        <f t="shared" si="186"/>
        <v>0</v>
      </c>
      <c r="BN435" s="774">
        <f t="shared" si="187"/>
        <v>0</v>
      </c>
      <c r="BO435"/>
      <c r="BX435"/>
      <c r="BY435"/>
      <c r="BZ435"/>
      <c r="CA435"/>
      <c r="CB435"/>
      <c r="CC435"/>
      <c r="CD435" s="781" t="str">
        <f t="shared" si="182"/>
        <v>►</v>
      </c>
      <c r="CE435" s="633"/>
      <c r="CF435" s="633"/>
      <c r="CG435" s="633"/>
      <c r="CH435" s="633"/>
      <c r="CI435" s="633"/>
      <c r="CJ435" s="227"/>
      <c r="CK435"/>
      <c r="CL435"/>
      <c r="CM435"/>
      <c r="CN435"/>
      <c r="CO435"/>
      <c r="CP435"/>
      <c r="CQ435"/>
      <c r="CR435" s="227"/>
      <c r="CS435"/>
      <c r="CT435"/>
      <c r="CU435"/>
      <c r="CV435"/>
      <c r="CW435"/>
      <c r="CX435"/>
      <c r="CY435"/>
      <c r="CZ435" s="227"/>
      <c r="DA435"/>
      <c r="DB435"/>
      <c r="DC435"/>
      <c r="DD435"/>
      <c r="DE435"/>
      <c r="DF435"/>
      <c r="DG435"/>
      <c r="DH435" s="227"/>
      <c r="DI435" s="3">
        <v>1</v>
      </c>
    </row>
    <row r="436" spans="2:113" s="627" customFormat="1" ht="21" customHeight="1">
      <c r="B436" s="2265" t="str" cm="1">
        <f t="array" ref="B436">SUMPRODUCT(--(D436:J436&lt;&gt;""), LEN(TRIM(SUBSTITUTE(D436:J436, CHAR(160), "")))) &amp; " Car."</f>
        <v>0 Car.</v>
      </c>
      <c r="C436" s="1376" t="str">
        <f>IF(ISBLANK(D436),"",LARGE(C13:C435,1)+1)</f>
        <v/>
      </c>
      <c r="D436" s="1833"/>
      <c r="E436" s="1810"/>
      <c r="F436" s="1810"/>
      <c r="G436" s="1810"/>
      <c r="H436" s="1810"/>
      <c r="I436" s="1810"/>
      <c r="J436" s="1810"/>
      <c r="K436" s="1810"/>
      <c r="L436" s="1811"/>
      <c r="M436"/>
      <c r="N436" s="103" t="str">
        <f t="shared" si="183"/>
        <v>►</v>
      </c>
      <c r="O436" s="1616"/>
      <c r="P436"/>
      <c r="Q436" s="103" t="s">
        <v>15</v>
      </c>
      <c r="R436" s="31"/>
      <c r="S436" s="32"/>
      <c r="T436" s="31"/>
      <c r="U436" s="33"/>
      <c r="V436" s="1804"/>
      <c r="W436" s="1805"/>
      <c r="X436" s="91"/>
      <c r="Y436" s="1806"/>
      <c r="Z436" s="1807"/>
      <c r="AA436" s="919"/>
      <c r="AB436" s="1813"/>
      <c r="AC436" s="1580"/>
      <c r="AD436" s="95"/>
      <c r="AE436" s="105"/>
      <c r="AF436" s="97"/>
      <c r="AG436" s="2080"/>
      <c r="AH436" s="2081"/>
      <c r="AI436" s="99"/>
      <c r="AJ436" s="1809"/>
      <c r="AK436" s="6120" t="str">
        <f t="shared" si="197"/>
        <v>►</v>
      </c>
      <c r="AL436" s="781" t="str">
        <f t="shared" si="185"/>
        <v>►</v>
      </c>
      <c r="AM436" s="5498" t="str">
        <f t="shared" si="188"/>
        <v/>
      </c>
      <c r="AN436" s="783" t="str">
        <f t="shared" si="189"/>
        <v/>
      </c>
      <c r="AO436" s="782" t="str">
        <f t="shared" si="190"/>
        <v/>
      </c>
      <c r="AP436" s="783" t="str">
        <f t="shared" si="191"/>
        <v/>
      </c>
      <c r="AQ436" s="2083" t="b">
        <f>AND(Q436="A",COUNTIF(BP16:BR63,TRIM(Z436))&gt;0)</f>
        <v>0</v>
      </c>
      <c r="AR436" s="797" t="str">
        <f>IF(AL436&lt;&gt;"A","",IFERROR(IFERROR(_xlfn.XLOOKUP(TRIM(SUBSTITUTE(Z436,CHAR(160)," ")),BP16:BP63,BS16:BS63),IFERROR(_xlfn.XLOOKUP(TRIM(SUBSTITUTE(Z436,CHAR(160)," ")),BQ16:BQ63,BS16:BS63),_xlfn.XLOOKUP(TRIM(SUBSTITUTE(Z436,CHAR(160)," ")),BR16:BR63,BS16:BS63)))*Y436*IF(ISBLANK(V436),1,V436),0))</f>
        <v/>
      </c>
      <c r="AS436" s="784" t="str">
        <f t="shared" si="181"/>
        <v/>
      </c>
      <c r="AT436" s="1315" t="str">
        <f t="shared" si="192"/>
        <v/>
      </c>
      <c r="AU436" s="785">
        <f t="shared" si="193"/>
        <v>0</v>
      </c>
      <c r="AV436" s="785">
        <f t="shared" si="194"/>
        <v>0</v>
      </c>
      <c r="AW436" s="798">
        <f>IF(AK436="A",AY10,0)</f>
        <v>0</v>
      </c>
      <c r="AX436" s="5496" t="str">
        <f>IF(IFERROR(SEARCH("Adresse PC",TRIM(W436)),0)&gt;0,"▼ receta siguiente",IF(AK436="A",IF(AZ10&lt;&gt;"",AZ10&amp;" - ou.or.o ❾ + or - &gt;",""),""))</f>
        <v/>
      </c>
      <c r="AY436" s="810"/>
      <c r="AZ436" s="810"/>
      <c r="BA436" s="799" t="str">
        <f t="shared" si="184"/>
        <v/>
      </c>
      <c r="BB436" s="800" t="str">
        <f>IF(AK436="A",IF(AQ436,IF(AND(AW436&lt;&gt;"",N(AW436)&gt;0),IFERROR(IFERROR(_xlfn.XLOOKUP(AP436,BP10:BP57,BT10:BT57),IFERROR(_xlfn.XLOOKUP(AP436,BQ10:BQ57,BT10:BT57),_xlfn.XLOOKUP(AP436,BR10:BR57,BT10:BT57,""))),""),""),""),"")</f>
        <v/>
      </c>
      <c r="BC436" s="813" cm="1">
        <f t="array" ref="BC436">IF(NOT(AQ436),0,IF(OR(BA436="",N(BA436)&lt;=0.000000001),"",IF(OR(AU436="",N(AU436)&lt;=0.000000001),0,IF(ISNUMBER(BA436),IFERROR(_xlfn.LET(_xlpm.ai_test,TRIM(AP436),_xlpm.r,IFERROR(_xlfn.XLOOKUP(_xlpm.ai_test,BP16:BP63,ROW(BP16:BP63),0,1),IFERROR(_xlfn.XLOOKUP(_xlpm.ai_test,BQ16:BQ63,ROW(BQ16:BQ63),0,1),_xlfn.XLOOKUP(_xlpm.ai_test,BR16:BR63,ROW(BR16:BR63),0,1))),_xlpm.p,_xlpm.r-MIN(ROW(BP16:BP63))+1,_xlpm.f,INDEX(BS16:BS63,_xlpm.p),_xlpm.u,INDEX(BT16:BT63,_xlpm.p),_xlpm.s,INDEX(BV16:BV63,_xlpm.p),_xlpm.q,N(BA436)/_xlpm.f,IF(_xlpm.q&gt;=_xlpm.s,ROUND(_xlpm.q,1)&amp;" "&amp;_xlpm.ai_test&amp;" = "&amp;ROUND(_xlpm.q*_xlpm.f,1)&amp;" "&amp;_xlpm.u,ROUND(_xlpm.q,1)&amp;" "&amp;_xlpm.ai_test)),""),""))))</f>
        <v>0</v>
      </c>
      <c r="BD436" s="801"/>
      <c r="BE436" s="799" t="str">
        <f t="shared" si="195"/>
        <v/>
      </c>
      <c r="BF436" s="800" t="str">
        <f t="shared" si="198"/>
        <v/>
      </c>
      <c r="BG436" s="802">
        <f t="shared" si="199"/>
        <v>0</v>
      </c>
      <c r="BH436" s="803" t="str">
        <f t="shared" si="200"/>
        <v/>
      </c>
      <c r="BI436" s="792"/>
      <c r="BJ436" s="804">
        <f t="shared" si="201"/>
        <v>0</v>
      </c>
      <c r="BK436" s="794" t="str">
        <f t="shared" si="196"/>
        <v/>
      </c>
      <c r="BL436" s="227" t="s">
        <v>21</v>
      </c>
      <c r="BM436" s="773">
        <f t="shared" si="186"/>
        <v>0</v>
      </c>
      <c r="BN436" s="774">
        <f t="shared" si="187"/>
        <v>0</v>
      </c>
      <c r="BO436"/>
      <c r="BX436"/>
      <c r="BY436"/>
      <c r="BZ436"/>
      <c r="CA436"/>
      <c r="CB436"/>
      <c r="CC436"/>
      <c r="CD436" s="781" t="str">
        <f t="shared" si="182"/>
        <v>►</v>
      </c>
      <c r="CE436" s="633"/>
      <c r="CF436" s="633"/>
      <c r="CG436" s="633"/>
      <c r="CH436" s="633"/>
      <c r="CI436" s="633"/>
      <c r="CJ436" s="227"/>
      <c r="CK436"/>
      <c r="CL436"/>
      <c r="CM436"/>
      <c r="CN436"/>
      <c r="CO436"/>
      <c r="CP436"/>
      <c r="CQ436"/>
      <c r="CR436"/>
      <c r="CS436"/>
      <c r="CT436"/>
      <c r="CU436"/>
      <c r="CV436"/>
      <c r="CW436"/>
      <c r="CX436"/>
      <c r="CY436"/>
      <c r="CZ436"/>
      <c r="DA436"/>
      <c r="DB436"/>
      <c r="DC436"/>
      <c r="DD436"/>
      <c r="DE436"/>
      <c r="DF436"/>
      <c r="DG436"/>
      <c r="DH436"/>
      <c r="DI436" s="3">
        <v>1</v>
      </c>
    </row>
    <row r="437" spans="2:113" s="627" customFormat="1" ht="21" customHeight="1">
      <c r="B437" s="2265" t="str" cm="1">
        <f t="array" ref="B437">SUMPRODUCT(--(D437:J437&lt;&gt;""), LEN(TRIM(SUBSTITUTE(D437:J437, CHAR(160), "")))) &amp; " Car."</f>
        <v>0 Car.</v>
      </c>
      <c r="C437" s="1376" t="str">
        <f>IF(ISBLANK(D437),"",LARGE(C13:C436,1)+1)</f>
        <v/>
      </c>
      <c r="D437" s="1833"/>
      <c r="E437" s="1810"/>
      <c r="F437" s="1810"/>
      <c r="G437" s="1810"/>
      <c r="H437" s="1810"/>
      <c r="I437" s="1810"/>
      <c r="J437" s="1810"/>
      <c r="K437" s="1810"/>
      <c r="L437" s="1811"/>
      <c r="M437"/>
      <c r="N437" s="103" t="str">
        <f t="shared" si="183"/>
        <v>►</v>
      </c>
      <c r="O437" s="1616"/>
      <c r="P437"/>
      <c r="Q437" s="103" t="s">
        <v>15</v>
      </c>
      <c r="R437" s="31"/>
      <c r="S437" s="32"/>
      <c r="T437" s="31"/>
      <c r="U437" s="33"/>
      <c r="V437" s="1804"/>
      <c r="W437" s="1805"/>
      <c r="X437" s="91"/>
      <c r="Y437" s="1806"/>
      <c r="Z437" s="1807"/>
      <c r="AA437" s="919"/>
      <c r="AB437" s="1813"/>
      <c r="AC437" s="1580"/>
      <c r="AD437" s="95"/>
      <c r="AE437" s="105"/>
      <c r="AF437" s="97"/>
      <c r="AG437" s="2080"/>
      <c r="AH437" s="2081"/>
      <c r="AI437" s="99"/>
      <c r="AJ437" s="1809"/>
      <c r="AK437" s="6120" t="str">
        <f t="shared" si="197"/>
        <v>►</v>
      </c>
      <c r="AL437" s="781" t="str">
        <f t="shared" si="185"/>
        <v>►</v>
      </c>
      <c r="AM437" s="5499" t="str">
        <f t="shared" si="188"/>
        <v/>
      </c>
      <c r="AN437" s="783" t="str">
        <f t="shared" si="189"/>
        <v/>
      </c>
      <c r="AO437" s="782" t="str">
        <f t="shared" si="190"/>
        <v/>
      </c>
      <c r="AP437" s="783" t="str">
        <f t="shared" si="191"/>
        <v/>
      </c>
      <c r="AQ437" s="2083" t="b">
        <f>AND(Q437="A",COUNTIF(BP16:BR63,TRIM(Z437))&gt;0)</f>
        <v>0</v>
      </c>
      <c r="AR437" s="797" t="str">
        <f>IF(AL437&lt;&gt;"A","",IFERROR(IFERROR(_xlfn.XLOOKUP(TRIM(SUBSTITUTE(Z437,CHAR(160)," ")),BP16:BP63,BS16:BS63),IFERROR(_xlfn.XLOOKUP(TRIM(SUBSTITUTE(Z437,CHAR(160)," ")),BQ16:BQ63,BS16:BS63),_xlfn.XLOOKUP(TRIM(SUBSTITUTE(Z437,CHAR(160)," ")),BR16:BR63,BS16:BS63)))*Y437*IF(ISBLANK(V437),1,V437),0))</f>
        <v/>
      </c>
      <c r="AS437" s="784" t="str">
        <f t="shared" si="181"/>
        <v/>
      </c>
      <c r="AT437" s="1315" t="str">
        <f t="shared" si="192"/>
        <v/>
      </c>
      <c r="AU437" s="785">
        <f t="shared" si="193"/>
        <v>0</v>
      </c>
      <c r="AV437" s="785">
        <f t="shared" si="194"/>
        <v>0</v>
      </c>
      <c r="AW437" s="786">
        <f>IF(AK437="A",AY10,0)</f>
        <v>0</v>
      </c>
      <c r="AX437" s="5495" t="str">
        <f>IF(IFERROR(SEARCH("Adresse PC",TRIM(W437)),0)&gt;0,"▼ receta siguiente",IF(AK437="A",IF(AZ10&lt;&gt;"",AZ10&amp;" - ou.or.o ❾ + or - &gt;",""),""))</f>
        <v/>
      </c>
      <c r="AY437" s="810"/>
      <c r="AZ437" s="810"/>
      <c r="BA437" s="788" t="str">
        <f t="shared" si="184"/>
        <v/>
      </c>
      <c r="BB437" s="789" t="str">
        <f>IF(AK437="A",IF(AQ437,IF(AND(AW437&lt;&gt;"",N(AW437)&gt;0),IFERROR(IFERROR(_xlfn.XLOOKUP(AP437,BP10:BP57,BT10:BT57),IFERROR(_xlfn.XLOOKUP(AP437,BQ10:BQ57,BT10:BT57),_xlfn.XLOOKUP(AP437,BR10:BR57,BT10:BT57,""))),""),""),""),"")</f>
        <v/>
      </c>
      <c r="BC437" s="811" cm="1">
        <f t="array" ref="BC437">IF(NOT(AQ437),0,IF(OR(BA437="",N(BA437)&lt;=0.000000001),"",IF(OR(AU437="",N(AU437)&lt;=0.000000001),0,IF(ISNUMBER(BA437),IFERROR(_xlfn.LET(_xlpm.ai_test,TRIM(AP437),_xlpm.r,IFERROR(_xlfn.XLOOKUP(_xlpm.ai_test,BP16:BP63,ROW(BP16:BP63),0,1),IFERROR(_xlfn.XLOOKUP(_xlpm.ai_test,BQ16:BQ63,ROW(BQ16:BQ63),0,1),_xlfn.XLOOKUP(_xlpm.ai_test,BR16:BR63,ROW(BR16:BR63),0,1))),_xlpm.p,_xlpm.r-MIN(ROW(BP16:BP63))+1,_xlpm.f,INDEX(BS16:BS63,_xlpm.p),_xlpm.u,INDEX(BT16:BT63,_xlpm.p),_xlpm.s,INDEX(BV16:BV63,_xlpm.p),_xlpm.q,N(BA437)/_xlpm.f,IF(_xlpm.q&gt;=_xlpm.s,ROUND(_xlpm.q,1)&amp;" "&amp;_xlpm.ai_test&amp;" = "&amp;ROUND(_xlpm.q*_xlpm.f,1)&amp;" "&amp;_xlpm.u,ROUND(_xlpm.q,1)&amp;" "&amp;_xlpm.ai_test)),""),""))))</f>
        <v>0</v>
      </c>
      <c r="BD437" s="801"/>
      <c r="BE437" s="788" t="str">
        <f t="shared" si="195"/>
        <v/>
      </c>
      <c r="BF437" s="789" t="str">
        <f t="shared" si="198"/>
        <v/>
      </c>
      <c r="BG437" s="790">
        <f t="shared" si="199"/>
        <v>0</v>
      </c>
      <c r="BH437" s="791" t="str">
        <f t="shared" si="200"/>
        <v/>
      </c>
      <c r="BI437" s="792"/>
      <c r="BJ437" s="793">
        <f t="shared" si="201"/>
        <v>0</v>
      </c>
      <c r="BK437" s="794" t="str">
        <f t="shared" si="196"/>
        <v/>
      </c>
      <c r="BL437" s="227" t="s">
        <v>21</v>
      </c>
      <c r="BM437" s="773">
        <f t="shared" si="186"/>
        <v>0</v>
      </c>
      <c r="BN437" s="774">
        <f t="shared" si="187"/>
        <v>0</v>
      </c>
      <c r="BO437"/>
      <c r="BX437"/>
      <c r="BY437"/>
      <c r="BZ437"/>
      <c r="CA437"/>
      <c r="CB437"/>
      <c r="CC437"/>
      <c r="CD437" s="781" t="str">
        <f t="shared" si="182"/>
        <v>►</v>
      </c>
      <c r="CE437" s="633"/>
      <c r="CF437" s="633"/>
      <c r="CG437" s="633"/>
      <c r="CH437" s="633"/>
      <c r="CI437" s="633"/>
      <c r="CJ437" s="227"/>
      <c r="CK437"/>
      <c r="CL437"/>
      <c r="CM437"/>
      <c r="CN437"/>
      <c r="CO437"/>
      <c r="CP437"/>
      <c r="CQ437"/>
      <c r="CR437" s="227"/>
      <c r="CS437"/>
      <c r="CT437"/>
      <c r="CU437"/>
      <c r="CV437"/>
      <c r="CW437"/>
      <c r="CX437"/>
      <c r="CY437"/>
      <c r="CZ437" s="227"/>
      <c r="DA437"/>
      <c r="DB437"/>
      <c r="DC437"/>
      <c r="DD437"/>
      <c r="DE437"/>
      <c r="DF437"/>
      <c r="DG437"/>
      <c r="DH437" s="227"/>
      <c r="DI437" s="3">
        <v>1</v>
      </c>
    </row>
    <row r="438" spans="2:113" s="627" customFormat="1" ht="21" customHeight="1">
      <c r="B438" s="2265" t="str" cm="1">
        <f t="array" ref="B438">SUMPRODUCT(--(D438:J438&lt;&gt;""), LEN(TRIM(SUBSTITUTE(D438:J438, CHAR(160), "")))) &amp; " Car."</f>
        <v>0 Car.</v>
      </c>
      <c r="C438" s="1376" t="str">
        <f>IF(ISBLANK(D438),"",LARGE(C13:C437,1)+1)</f>
        <v/>
      </c>
      <c r="D438" s="1833"/>
      <c r="E438" s="1810"/>
      <c r="F438" s="1810"/>
      <c r="G438" s="1810"/>
      <c r="H438" s="1810"/>
      <c r="I438" s="1810"/>
      <c r="J438" s="1810"/>
      <c r="K438" s="1810"/>
      <c r="L438" s="1811"/>
      <c r="M438"/>
      <c r="N438" s="103" t="str">
        <f t="shared" si="183"/>
        <v>►</v>
      </c>
      <c r="O438" s="1616"/>
      <c r="P438"/>
      <c r="Q438" s="103" t="s">
        <v>15</v>
      </c>
      <c r="R438" s="31"/>
      <c r="S438" s="32"/>
      <c r="T438" s="31"/>
      <c r="U438" s="33"/>
      <c r="V438" s="1804"/>
      <c r="W438" s="1805"/>
      <c r="X438" s="91"/>
      <c r="Y438" s="1806"/>
      <c r="Z438" s="1807"/>
      <c r="AA438" s="919"/>
      <c r="AB438" s="1813"/>
      <c r="AC438" s="1580"/>
      <c r="AD438" s="95"/>
      <c r="AE438" s="105"/>
      <c r="AF438" s="97"/>
      <c r="AG438" s="2080"/>
      <c r="AH438" s="2081"/>
      <c r="AI438" s="99"/>
      <c r="AJ438" s="1809"/>
      <c r="AK438" s="6120" t="str">
        <f t="shared" si="197"/>
        <v>►</v>
      </c>
      <c r="AL438" s="781" t="str">
        <f t="shared" si="185"/>
        <v>►</v>
      </c>
      <c r="AM438" s="5498" t="str">
        <f t="shared" si="188"/>
        <v/>
      </c>
      <c r="AN438" s="783" t="str">
        <f t="shared" si="189"/>
        <v/>
      </c>
      <c r="AO438" s="782" t="str">
        <f t="shared" si="190"/>
        <v/>
      </c>
      <c r="AP438" s="783" t="str">
        <f t="shared" si="191"/>
        <v/>
      </c>
      <c r="AQ438" s="2083" t="b">
        <f>AND(Q438="A",COUNTIF(BP16:BR63,TRIM(Z438))&gt;0)</f>
        <v>0</v>
      </c>
      <c r="AR438" s="797" t="str">
        <f>IF(AL438&lt;&gt;"A","",IFERROR(IFERROR(_xlfn.XLOOKUP(TRIM(SUBSTITUTE(Z438,CHAR(160)," ")),BP16:BP63,BS16:BS63),IFERROR(_xlfn.XLOOKUP(TRIM(SUBSTITUTE(Z438,CHAR(160)," ")),BQ16:BQ63,BS16:BS63),_xlfn.XLOOKUP(TRIM(SUBSTITUTE(Z438,CHAR(160)," ")),BR16:BR63,BS16:BS63)))*Y438*IF(ISBLANK(V438),1,V438),0))</f>
        <v/>
      </c>
      <c r="AS438" s="784" t="str">
        <f t="shared" si="181"/>
        <v/>
      </c>
      <c r="AT438" s="1315" t="str">
        <f t="shared" si="192"/>
        <v/>
      </c>
      <c r="AU438" s="785">
        <f t="shared" si="193"/>
        <v>0</v>
      </c>
      <c r="AV438" s="785">
        <f t="shared" si="194"/>
        <v>0</v>
      </c>
      <c r="AW438" s="798">
        <f>IF(AK438="A",AY10,0)</f>
        <v>0</v>
      </c>
      <c r="AX438" s="5496" t="str">
        <f>IF(IFERROR(SEARCH("Adresse PC",TRIM(W438)),0)&gt;0,"▼ receta siguiente",IF(AK438="A",IF(AZ10&lt;&gt;"",AZ10&amp;" - ou.or.o ❾ + or - &gt;",""),""))</f>
        <v/>
      </c>
      <c r="AY438" s="810"/>
      <c r="AZ438" s="810"/>
      <c r="BA438" s="799" t="str">
        <f t="shared" si="184"/>
        <v/>
      </c>
      <c r="BB438" s="800" t="str">
        <f>IF(AK438="A",IF(AQ438,IF(AND(AW438&lt;&gt;"",N(AW438)&gt;0),IFERROR(IFERROR(_xlfn.XLOOKUP(AP438,BP10:BP57,BT10:BT57),IFERROR(_xlfn.XLOOKUP(AP438,BQ10:BQ57,BT10:BT57),_xlfn.XLOOKUP(AP438,BR10:BR57,BT10:BT57,""))),""),""),""),"")</f>
        <v/>
      </c>
      <c r="BC438" s="813" cm="1">
        <f t="array" ref="BC438">IF(NOT(AQ438),0,IF(OR(BA438="",N(BA438)&lt;=0.000000001),"",IF(OR(AU438="",N(AU438)&lt;=0.000000001),0,IF(ISNUMBER(BA438),IFERROR(_xlfn.LET(_xlpm.ai_test,TRIM(AP438),_xlpm.r,IFERROR(_xlfn.XLOOKUP(_xlpm.ai_test,BP16:BP63,ROW(BP16:BP63),0,1),IFERROR(_xlfn.XLOOKUP(_xlpm.ai_test,BQ16:BQ63,ROW(BQ16:BQ63),0,1),_xlfn.XLOOKUP(_xlpm.ai_test,BR16:BR63,ROW(BR16:BR63),0,1))),_xlpm.p,_xlpm.r-MIN(ROW(BP16:BP63))+1,_xlpm.f,INDEX(BS16:BS63,_xlpm.p),_xlpm.u,INDEX(BT16:BT63,_xlpm.p),_xlpm.s,INDEX(BV16:BV63,_xlpm.p),_xlpm.q,N(BA438)/_xlpm.f,IF(_xlpm.q&gt;=_xlpm.s,ROUND(_xlpm.q,1)&amp;" "&amp;_xlpm.ai_test&amp;" = "&amp;ROUND(_xlpm.q*_xlpm.f,1)&amp;" "&amp;_xlpm.u,ROUND(_xlpm.q,1)&amp;" "&amp;_xlpm.ai_test)),""),""))))</f>
        <v>0</v>
      </c>
      <c r="BD438" s="801"/>
      <c r="BE438" s="799" t="str">
        <f t="shared" si="195"/>
        <v/>
      </c>
      <c r="BF438" s="800" t="str">
        <f t="shared" si="198"/>
        <v/>
      </c>
      <c r="BG438" s="802">
        <f t="shared" si="199"/>
        <v>0</v>
      </c>
      <c r="BH438" s="803" t="str">
        <f t="shared" si="200"/>
        <v/>
      </c>
      <c r="BI438" s="792"/>
      <c r="BJ438" s="804">
        <f t="shared" si="201"/>
        <v>0</v>
      </c>
      <c r="BK438" s="794" t="str">
        <f t="shared" si="196"/>
        <v/>
      </c>
      <c r="BL438" s="227" t="s">
        <v>21</v>
      </c>
      <c r="BM438" s="773">
        <f t="shared" si="186"/>
        <v>0</v>
      </c>
      <c r="BN438" s="774">
        <f t="shared" si="187"/>
        <v>0</v>
      </c>
      <c r="BO438"/>
      <c r="BX438"/>
      <c r="BY438"/>
      <c r="BZ438"/>
      <c r="CA438"/>
      <c r="CB438"/>
      <c r="CC438"/>
      <c r="CD438" s="781" t="str">
        <f t="shared" si="182"/>
        <v>►</v>
      </c>
      <c r="CE438" s="633"/>
      <c r="CF438" s="633"/>
      <c r="CG438" s="633"/>
      <c r="CH438" s="633"/>
      <c r="CI438" s="633"/>
      <c r="CJ438" s="227"/>
      <c r="CK438"/>
      <c r="CL438"/>
      <c r="CM438"/>
      <c r="CN438"/>
      <c r="CO438"/>
      <c r="CP438"/>
      <c r="CQ438"/>
      <c r="CR438" s="227"/>
      <c r="CS438"/>
      <c r="CT438"/>
      <c r="CU438"/>
      <c r="CV438"/>
      <c r="CW438"/>
      <c r="CX438"/>
      <c r="CY438"/>
      <c r="CZ438" s="227"/>
      <c r="DA438"/>
      <c r="DB438"/>
      <c r="DC438"/>
      <c r="DD438"/>
      <c r="DE438"/>
      <c r="DF438"/>
      <c r="DG438"/>
      <c r="DH438" s="227"/>
      <c r="DI438" s="3">
        <v>1</v>
      </c>
    </row>
    <row r="439" spans="2:113" s="627" customFormat="1" ht="21" customHeight="1">
      <c r="B439" s="2265" t="str" cm="1">
        <f t="array" ref="B439">SUMPRODUCT(--(D439:J439&lt;&gt;""), LEN(TRIM(SUBSTITUTE(D439:J439, CHAR(160), "")))) &amp; " Car."</f>
        <v>0 Car.</v>
      </c>
      <c r="C439" s="1376" t="str">
        <f>IF(ISBLANK(D439),"",LARGE(C13:C438,1)+1)</f>
        <v/>
      </c>
      <c r="D439" s="1833"/>
      <c r="E439" s="1810"/>
      <c r="F439" s="1810"/>
      <c r="G439" s="1810"/>
      <c r="H439" s="1810"/>
      <c r="I439" s="1810"/>
      <c r="J439" s="1810"/>
      <c r="K439" s="1810"/>
      <c r="L439" s="1811"/>
      <c r="M439"/>
      <c r="N439" s="103" t="str">
        <f t="shared" si="183"/>
        <v>►</v>
      </c>
      <c r="O439" s="1616"/>
      <c r="P439"/>
      <c r="Q439" s="103" t="s">
        <v>15</v>
      </c>
      <c r="R439" s="31"/>
      <c r="S439" s="32"/>
      <c r="T439" s="31"/>
      <c r="U439" s="33"/>
      <c r="V439" s="1804"/>
      <c r="W439" s="1805"/>
      <c r="X439" s="91"/>
      <c r="Y439" s="1806"/>
      <c r="Z439" s="1807"/>
      <c r="AA439" s="919"/>
      <c r="AB439" s="1813"/>
      <c r="AC439" s="1580"/>
      <c r="AD439" s="95"/>
      <c r="AE439" s="105"/>
      <c r="AF439" s="97"/>
      <c r="AG439" s="2080"/>
      <c r="AH439" s="2081"/>
      <c r="AI439" s="99"/>
      <c r="AJ439" s="1809"/>
      <c r="AK439" s="6120" t="str">
        <f t="shared" si="197"/>
        <v>►</v>
      </c>
      <c r="AL439" s="781" t="str">
        <f t="shared" si="185"/>
        <v>►</v>
      </c>
      <c r="AM439" s="5499" t="str">
        <f t="shared" si="188"/>
        <v/>
      </c>
      <c r="AN439" s="783" t="str">
        <f t="shared" si="189"/>
        <v/>
      </c>
      <c r="AO439" s="782" t="str">
        <f t="shared" si="190"/>
        <v/>
      </c>
      <c r="AP439" s="783" t="str">
        <f t="shared" si="191"/>
        <v/>
      </c>
      <c r="AQ439" s="2083" t="b">
        <f>AND(Q439="A",COUNTIF(BP16:BR63,TRIM(Z439))&gt;0)</f>
        <v>0</v>
      </c>
      <c r="AR439" s="797" t="str">
        <f>IF(AL439&lt;&gt;"A","",IFERROR(IFERROR(_xlfn.XLOOKUP(TRIM(SUBSTITUTE(Z439,CHAR(160)," ")),BP16:BP63,BS16:BS63),IFERROR(_xlfn.XLOOKUP(TRIM(SUBSTITUTE(Z439,CHAR(160)," ")),BQ16:BQ63,BS16:BS63),_xlfn.XLOOKUP(TRIM(SUBSTITUTE(Z439,CHAR(160)," ")),BR16:BR63,BS16:BS63)))*Y439*IF(ISBLANK(V439),1,V439),0))</f>
        <v/>
      </c>
      <c r="AS439" s="784" t="str">
        <f t="shared" si="181"/>
        <v/>
      </c>
      <c r="AT439" s="1315" t="str">
        <f t="shared" si="192"/>
        <v/>
      </c>
      <c r="AU439" s="785">
        <f t="shared" si="193"/>
        <v>0</v>
      </c>
      <c r="AV439" s="785">
        <f t="shared" si="194"/>
        <v>0</v>
      </c>
      <c r="AW439" s="786">
        <f>IF(AK439="A",AY10,0)</f>
        <v>0</v>
      </c>
      <c r="AX439" s="5495" t="str">
        <f>IF(IFERROR(SEARCH("Adresse PC",TRIM(W439)),0)&gt;0,"▼ receta siguiente",IF(AK439="A",IF(AZ10&lt;&gt;"",AZ10&amp;" - ou.or.o ❾ + or - &gt;",""),""))</f>
        <v/>
      </c>
      <c r="AY439" s="810"/>
      <c r="AZ439" s="810"/>
      <c r="BA439" s="788" t="str">
        <f t="shared" si="184"/>
        <v/>
      </c>
      <c r="BB439" s="789" t="str">
        <f>IF(AK439="A",IF(AQ439,IF(AND(AW439&lt;&gt;"",N(AW439)&gt;0),IFERROR(IFERROR(_xlfn.XLOOKUP(AP439,BP10:BP57,BT10:BT57),IFERROR(_xlfn.XLOOKUP(AP439,BQ10:BQ57,BT10:BT57),_xlfn.XLOOKUP(AP439,BR10:BR57,BT10:BT57,""))),""),""),""),"")</f>
        <v/>
      </c>
      <c r="BC439" s="811" cm="1">
        <f t="array" ref="BC439">IF(NOT(AQ439),0,IF(OR(BA439="",N(BA439)&lt;=0.000000001),"",IF(OR(AU439="",N(AU439)&lt;=0.000000001),0,IF(ISNUMBER(BA439),IFERROR(_xlfn.LET(_xlpm.ai_test,TRIM(AP439),_xlpm.r,IFERROR(_xlfn.XLOOKUP(_xlpm.ai_test,BP16:BP63,ROW(BP16:BP63),0,1),IFERROR(_xlfn.XLOOKUP(_xlpm.ai_test,BQ16:BQ63,ROW(BQ16:BQ63),0,1),_xlfn.XLOOKUP(_xlpm.ai_test,BR16:BR63,ROW(BR16:BR63),0,1))),_xlpm.p,_xlpm.r-MIN(ROW(BP16:BP63))+1,_xlpm.f,INDEX(BS16:BS63,_xlpm.p),_xlpm.u,INDEX(BT16:BT63,_xlpm.p),_xlpm.s,INDEX(BV16:BV63,_xlpm.p),_xlpm.q,N(BA439)/_xlpm.f,IF(_xlpm.q&gt;=_xlpm.s,ROUND(_xlpm.q,1)&amp;" "&amp;_xlpm.ai_test&amp;" = "&amp;ROUND(_xlpm.q*_xlpm.f,1)&amp;" "&amp;_xlpm.u,ROUND(_xlpm.q,1)&amp;" "&amp;_xlpm.ai_test)),""),""))))</f>
        <v>0</v>
      </c>
      <c r="BD439" s="801"/>
      <c r="BE439" s="788" t="str">
        <f t="shared" si="195"/>
        <v/>
      </c>
      <c r="BF439" s="789" t="str">
        <f t="shared" si="198"/>
        <v/>
      </c>
      <c r="BG439" s="790">
        <f t="shared" si="199"/>
        <v>0</v>
      </c>
      <c r="BH439" s="791" t="str">
        <f t="shared" si="200"/>
        <v/>
      </c>
      <c r="BI439" s="792"/>
      <c r="BJ439" s="793">
        <f t="shared" si="201"/>
        <v>0</v>
      </c>
      <c r="BK439" s="794" t="str">
        <f t="shared" si="196"/>
        <v/>
      </c>
      <c r="BL439" s="227" t="s">
        <v>21</v>
      </c>
      <c r="BM439" s="773">
        <f t="shared" si="186"/>
        <v>0</v>
      </c>
      <c r="BN439" s="774">
        <f t="shared" si="187"/>
        <v>0</v>
      </c>
      <c r="BO439"/>
      <c r="BX439"/>
      <c r="BY439"/>
      <c r="BZ439"/>
      <c r="CA439"/>
      <c r="CB439"/>
      <c r="CC439"/>
      <c r="CD439" s="781" t="str">
        <f t="shared" si="182"/>
        <v>►</v>
      </c>
      <c r="CE439" s="633"/>
      <c r="CF439" s="633"/>
      <c r="CG439" s="633"/>
      <c r="CH439" s="633"/>
      <c r="CI439" s="633"/>
      <c r="CJ439" s="227"/>
      <c r="CK439"/>
      <c r="CL439"/>
      <c r="CM439"/>
      <c r="CN439"/>
      <c r="CO439"/>
      <c r="CP439"/>
      <c r="CQ439"/>
      <c r="CR439" s="227"/>
      <c r="CS439"/>
      <c r="CT439"/>
      <c r="CU439"/>
      <c r="CV439"/>
      <c r="CW439"/>
      <c r="CX439"/>
      <c r="CY439"/>
      <c r="CZ439" s="227"/>
      <c r="DA439"/>
      <c r="DB439"/>
      <c r="DC439"/>
      <c r="DD439"/>
      <c r="DE439"/>
      <c r="DF439"/>
      <c r="DG439"/>
      <c r="DH439" s="227"/>
      <c r="DI439" s="3">
        <v>1</v>
      </c>
    </row>
    <row r="440" spans="2:113" s="627" customFormat="1" ht="21" customHeight="1">
      <c r="B440" s="2265" t="str" cm="1">
        <f t="array" ref="B440">SUMPRODUCT(--(D440:J440&lt;&gt;""), LEN(TRIM(SUBSTITUTE(D440:J440, CHAR(160), "")))) &amp; " Car."</f>
        <v>0 Car.</v>
      </c>
      <c r="C440" s="1376" t="str">
        <f>IF(ISBLANK(D440),"",LARGE(C13:C439,1)+1)</f>
        <v/>
      </c>
      <c r="D440" s="1833"/>
      <c r="E440" s="1810"/>
      <c r="F440" s="1810"/>
      <c r="G440" s="1810"/>
      <c r="H440" s="1810"/>
      <c r="I440" s="1810"/>
      <c r="J440" s="1810"/>
      <c r="K440" s="1810"/>
      <c r="L440" s="1811"/>
      <c r="M440"/>
      <c r="N440" s="103" t="str">
        <f t="shared" si="183"/>
        <v>►</v>
      </c>
      <c r="O440" s="1616"/>
      <c r="P440"/>
      <c r="Q440" s="103" t="s">
        <v>15</v>
      </c>
      <c r="R440" s="31"/>
      <c r="S440" s="32"/>
      <c r="T440" s="31"/>
      <c r="U440" s="33"/>
      <c r="V440" s="1804"/>
      <c r="W440" s="1805"/>
      <c r="X440" s="91"/>
      <c r="Y440" s="1806"/>
      <c r="Z440" s="1807"/>
      <c r="AA440" s="919"/>
      <c r="AB440" s="1813"/>
      <c r="AC440" s="1580"/>
      <c r="AD440" s="95"/>
      <c r="AE440" s="105"/>
      <c r="AF440" s="97"/>
      <c r="AG440" s="2080"/>
      <c r="AH440" s="2081"/>
      <c r="AI440" s="99"/>
      <c r="AJ440" s="1809"/>
      <c r="AK440" s="6120" t="str">
        <f t="shared" si="197"/>
        <v>►</v>
      </c>
      <c r="AL440" s="781" t="str">
        <f t="shared" si="185"/>
        <v>►</v>
      </c>
      <c r="AM440" s="5498" t="str">
        <f t="shared" si="188"/>
        <v/>
      </c>
      <c r="AN440" s="783" t="str">
        <f t="shared" si="189"/>
        <v/>
      </c>
      <c r="AO440" s="782" t="str">
        <f t="shared" si="190"/>
        <v/>
      </c>
      <c r="AP440" s="783" t="str">
        <f t="shared" si="191"/>
        <v/>
      </c>
      <c r="AQ440" s="2083" t="b">
        <f>AND(Q440="A",COUNTIF(BP16:BR63,TRIM(Z440))&gt;0)</f>
        <v>0</v>
      </c>
      <c r="AR440" s="797" t="str">
        <f>IF(AL440&lt;&gt;"A","",IFERROR(IFERROR(_xlfn.XLOOKUP(TRIM(SUBSTITUTE(Z440,CHAR(160)," ")),BP16:BP63,BS16:BS63),IFERROR(_xlfn.XLOOKUP(TRIM(SUBSTITUTE(Z440,CHAR(160)," ")),BQ16:BQ63,BS16:BS63),_xlfn.XLOOKUP(TRIM(SUBSTITUTE(Z440,CHAR(160)," ")),BR16:BR63,BS16:BS63)))*Y440*IF(ISBLANK(V440),1,V440),0))</f>
        <v/>
      </c>
      <c r="AS440" s="784" t="str">
        <f t="shared" si="181"/>
        <v/>
      </c>
      <c r="AT440" s="1315" t="str">
        <f t="shared" si="192"/>
        <v/>
      </c>
      <c r="AU440" s="785">
        <f t="shared" si="193"/>
        <v>0</v>
      </c>
      <c r="AV440" s="785">
        <f t="shared" si="194"/>
        <v>0</v>
      </c>
      <c r="AW440" s="798">
        <f>IF(AK440="A",AY10,0)</f>
        <v>0</v>
      </c>
      <c r="AX440" s="5496" t="str">
        <f>IF(IFERROR(SEARCH("Adresse PC",TRIM(W440)),0)&gt;0,"▼ receta siguiente",IF(AK440="A",IF(AZ10&lt;&gt;"",AZ10&amp;" - ou.or.o ❾ + or - &gt;",""),""))</f>
        <v/>
      </c>
      <c r="AY440" s="810"/>
      <c r="AZ440" s="810"/>
      <c r="BA440" s="799" t="str">
        <f t="shared" si="184"/>
        <v/>
      </c>
      <c r="BB440" s="800" t="str">
        <f>IF(AK440="A",IF(AQ440,IF(AND(AW440&lt;&gt;"",N(AW440)&gt;0),IFERROR(IFERROR(_xlfn.XLOOKUP(AP440,BP10:BP57,BT10:BT57),IFERROR(_xlfn.XLOOKUP(AP440,BQ10:BQ57,BT10:BT57),_xlfn.XLOOKUP(AP440,BR10:BR57,BT10:BT57,""))),""),""),""),"")</f>
        <v/>
      </c>
      <c r="BC440" s="813" cm="1">
        <f t="array" ref="BC440">IF(NOT(AQ440),0,IF(OR(BA440="",N(BA440)&lt;=0.000000001),"",IF(OR(AU440="",N(AU440)&lt;=0.000000001),0,IF(ISNUMBER(BA440),IFERROR(_xlfn.LET(_xlpm.ai_test,TRIM(AP440),_xlpm.r,IFERROR(_xlfn.XLOOKUP(_xlpm.ai_test,BP16:BP63,ROW(BP16:BP63),0,1),IFERROR(_xlfn.XLOOKUP(_xlpm.ai_test,BQ16:BQ63,ROW(BQ16:BQ63),0,1),_xlfn.XLOOKUP(_xlpm.ai_test,BR16:BR63,ROW(BR16:BR63),0,1))),_xlpm.p,_xlpm.r-MIN(ROW(BP16:BP63))+1,_xlpm.f,INDEX(BS16:BS63,_xlpm.p),_xlpm.u,INDEX(BT16:BT63,_xlpm.p),_xlpm.s,INDEX(BV16:BV63,_xlpm.p),_xlpm.q,N(BA440)/_xlpm.f,IF(_xlpm.q&gt;=_xlpm.s,ROUND(_xlpm.q,1)&amp;" "&amp;_xlpm.ai_test&amp;" = "&amp;ROUND(_xlpm.q*_xlpm.f,1)&amp;" "&amp;_xlpm.u,ROUND(_xlpm.q,1)&amp;" "&amp;_xlpm.ai_test)),""),""))))</f>
        <v>0</v>
      </c>
      <c r="BD440" s="801"/>
      <c r="BE440" s="799" t="str">
        <f t="shared" si="195"/>
        <v/>
      </c>
      <c r="BF440" s="800" t="str">
        <f t="shared" si="198"/>
        <v/>
      </c>
      <c r="BG440" s="802">
        <f t="shared" si="199"/>
        <v>0</v>
      </c>
      <c r="BH440" s="803" t="str">
        <f t="shared" si="200"/>
        <v/>
      </c>
      <c r="BI440" s="792"/>
      <c r="BJ440" s="804">
        <f t="shared" si="201"/>
        <v>0</v>
      </c>
      <c r="BK440" s="794" t="str">
        <f t="shared" si="196"/>
        <v/>
      </c>
      <c r="BL440" s="227" t="s">
        <v>21</v>
      </c>
      <c r="BM440" s="773">
        <f t="shared" si="186"/>
        <v>0</v>
      </c>
      <c r="BN440" s="774">
        <f t="shared" si="187"/>
        <v>0</v>
      </c>
      <c r="BO440"/>
      <c r="BX440"/>
      <c r="BY440"/>
      <c r="BZ440"/>
      <c r="CA440"/>
      <c r="CB440"/>
      <c r="CC440"/>
      <c r="CD440" s="781" t="str">
        <f t="shared" si="182"/>
        <v>►</v>
      </c>
      <c r="CE440" s="633"/>
      <c r="CF440" s="633"/>
      <c r="CG440" s="633"/>
      <c r="CH440" s="633"/>
      <c r="CI440" s="633"/>
      <c r="CJ440" s="227"/>
      <c r="CK440"/>
      <c r="CL440"/>
      <c r="CM440"/>
      <c r="CN440"/>
      <c r="CO440"/>
      <c r="CP440"/>
      <c r="CQ440"/>
      <c r="CR440" s="227"/>
      <c r="CS440"/>
      <c r="CT440"/>
      <c r="CU440"/>
      <c r="CV440"/>
      <c r="CW440"/>
      <c r="CX440"/>
      <c r="CY440"/>
      <c r="CZ440" s="227"/>
      <c r="DA440"/>
      <c r="DB440"/>
      <c r="DC440"/>
      <c r="DD440"/>
      <c r="DE440"/>
      <c r="DF440"/>
      <c r="DG440"/>
      <c r="DH440" s="227"/>
      <c r="DI440" s="3">
        <v>1</v>
      </c>
    </row>
    <row r="441" spans="2:113" s="627" customFormat="1" ht="21" customHeight="1">
      <c r="B441" s="2265" t="str" cm="1">
        <f t="array" ref="B441">SUMPRODUCT(--(D441:J441&lt;&gt;""), LEN(TRIM(SUBSTITUTE(D441:J441, CHAR(160), "")))) &amp; " Car."</f>
        <v>0 Car.</v>
      </c>
      <c r="C441" s="1376" t="str">
        <f>IF(ISBLANK(D441),"",LARGE(C13:C440,1)+1)</f>
        <v/>
      </c>
      <c r="D441" s="1833"/>
      <c r="E441" s="1810"/>
      <c r="F441" s="1810"/>
      <c r="G441" s="1810"/>
      <c r="H441" s="1810"/>
      <c r="I441" s="1810"/>
      <c r="J441" s="1810"/>
      <c r="K441" s="1810"/>
      <c r="L441" s="1811"/>
      <c r="M441"/>
      <c r="N441" s="103" t="str">
        <f t="shared" si="183"/>
        <v>►</v>
      </c>
      <c r="O441" s="1616"/>
      <c r="P441"/>
      <c r="Q441" s="103" t="s">
        <v>15</v>
      </c>
      <c r="R441" s="31"/>
      <c r="S441" s="32"/>
      <c r="T441" s="31"/>
      <c r="U441" s="33"/>
      <c r="V441" s="1804"/>
      <c r="W441" s="1805"/>
      <c r="X441" s="91"/>
      <c r="Y441" s="1806"/>
      <c r="Z441" s="1807"/>
      <c r="AA441" s="919"/>
      <c r="AB441" s="1813"/>
      <c r="AC441" s="1580"/>
      <c r="AD441" s="95"/>
      <c r="AE441" s="105"/>
      <c r="AF441" s="97"/>
      <c r="AG441" s="2080"/>
      <c r="AH441" s="2081"/>
      <c r="AI441" s="99"/>
      <c r="AJ441" s="1809"/>
      <c r="AK441" s="6120" t="str">
        <f t="shared" si="197"/>
        <v>►</v>
      </c>
      <c r="AL441" s="781" t="str">
        <f t="shared" si="185"/>
        <v>►</v>
      </c>
      <c r="AM441" s="5499" t="str">
        <f t="shared" si="188"/>
        <v/>
      </c>
      <c r="AN441" s="783" t="str">
        <f t="shared" si="189"/>
        <v/>
      </c>
      <c r="AO441" s="782" t="str">
        <f t="shared" si="190"/>
        <v/>
      </c>
      <c r="AP441" s="783" t="str">
        <f t="shared" si="191"/>
        <v/>
      </c>
      <c r="AQ441" s="2083" t="b">
        <f>AND(Q441="A",COUNTIF(BP16:BR63,TRIM(Z441))&gt;0)</f>
        <v>0</v>
      </c>
      <c r="AR441" s="797" t="str">
        <f>IF(AL441&lt;&gt;"A","",IFERROR(IFERROR(_xlfn.XLOOKUP(TRIM(SUBSTITUTE(Z441,CHAR(160)," ")),BP16:BP63,BS16:BS63),IFERROR(_xlfn.XLOOKUP(TRIM(SUBSTITUTE(Z441,CHAR(160)," ")),BQ16:BQ63,BS16:BS63),_xlfn.XLOOKUP(TRIM(SUBSTITUTE(Z441,CHAR(160)," ")),BR16:BR63,BS16:BS63)))*Y441*IF(ISBLANK(V441),1,V441),0))</f>
        <v/>
      </c>
      <c r="AS441" s="784" t="str">
        <f t="shared" si="181"/>
        <v/>
      </c>
      <c r="AT441" s="1315" t="str">
        <f t="shared" si="192"/>
        <v/>
      </c>
      <c r="AU441" s="785">
        <f t="shared" si="193"/>
        <v>0</v>
      </c>
      <c r="AV441" s="785">
        <f t="shared" si="194"/>
        <v>0</v>
      </c>
      <c r="AW441" s="786">
        <f>IF(AK441="A",AY10,0)</f>
        <v>0</v>
      </c>
      <c r="AX441" s="5495" t="str">
        <f>IF(IFERROR(SEARCH("Adresse PC",TRIM(W441)),0)&gt;0,"▼ receta siguiente",IF(AK441="A",IF(AZ10&lt;&gt;"",AZ10&amp;" - ou.or.o ❾ + or - &gt;",""),""))</f>
        <v/>
      </c>
      <c r="AY441" s="810"/>
      <c r="AZ441" s="810"/>
      <c r="BA441" s="788" t="str">
        <f t="shared" si="184"/>
        <v/>
      </c>
      <c r="BB441" s="789" t="str">
        <f>IF(AK441="A",IF(AQ441,IF(AND(AW441&lt;&gt;"",N(AW441)&gt;0),IFERROR(IFERROR(_xlfn.XLOOKUP(AP441,BP10:BP57,BT10:BT57),IFERROR(_xlfn.XLOOKUP(AP441,BQ10:BQ57,BT10:BT57),_xlfn.XLOOKUP(AP441,BR10:BR57,BT10:BT57,""))),""),""),""),"")</f>
        <v/>
      </c>
      <c r="BC441" s="811" cm="1">
        <f t="array" ref="BC441">IF(NOT(AQ441),0,IF(OR(BA441="",N(BA441)&lt;=0.000000001),"",IF(OR(AU441="",N(AU441)&lt;=0.000000001),0,IF(ISNUMBER(BA441),IFERROR(_xlfn.LET(_xlpm.ai_test,TRIM(AP441),_xlpm.r,IFERROR(_xlfn.XLOOKUP(_xlpm.ai_test,BP16:BP63,ROW(BP16:BP63),0,1),IFERROR(_xlfn.XLOOKUP(_xlpm.ai_test,BQ16:BQ63,ROW(BQ16:BQ63),0,1),_xlfn.XLOOKUP(_xlpm.ai_test,BR16:BR63,ROW(BR16:BR63),0,1))),_xlpm.p,_xlpm.r-MIN(ROW(BP16:BP63))+1,_xlpm.f,INDEX(BS16:BS63,_xlpm.p),_xlpm.u,INDEX(BT16:BT63,_xlpm.p),_xlpm.s,INDEX(BV16:BV63,_xlpm.p),_xlpm.q,N(BA441)/_xlpm.f,IF(_xlpm.q&gt;=_xlpm.s,ROUND(_xlpm.q,1)&amp;" "&amp;_xlpm.ai_test&amp;" = "&amp;ROUND(_xlpm.q*_xlpm.f,1)&amp;" "&amp;_xlpm.u,ROUND(_xlpm.q,1)&amp;" "&amp;_xlpm.ai_test)),""),""))))</f>
        <v>0</v>
      </c>
      <c r="BD441" s="801"/>
      <c r="BE441" s="788" t="str">
        <f t="shared" si="195"/>
        <v/>
      </c>
      <c r="BF441" s="789" t="str">
        <f t="shared" si="198"/>
        <v/>
      </c>
      <c r="BG441" s="790">
        <f t="shared" si="199"/>
        <v>0</v>
      </c>
      <c r="BH441" s="791" t="str">
        <f t="shared" si="200"/>
        <v/>
      </c>
      <c r="BI441" s="792"/>
      <c r="BJ441" s="793">
        <f t="shared" si="201"/>
        <v>0</v>
      </c>
      <c r="BK441" s="794" t="str">
        <f t="shared" si="196"/>
        <v/>
      </c>
      <c r="BL441" s="227" t="s">
        <v>21</v>
      </c>
      <c r="BM441" s="773">
        <f t="shared" si="186"/>
        <v>0</v>
      </c>
      <c r="BN441" s="774">
        <f t="shared" si="187"/>
        <v>0</v>
      </c>
      <c r="BO441"/>
      <c r="BX441"/>
      <c r="BY441"/>
      <c r="BZ441"/>
      <c r="CA441"/>
      <c r="CB441"/>
      <c r="CC441"/>
      <c r="CD441" s="781" t="str">
        <f t="shared" si="182"/>
        <v>►</v>
      </c>
      <c r="CE441" s="633"/>
      <c r="CF441" s="633"/>
      <c r="CG441" s="633"/>
      <c r="CH441" s="633"/>
      <c r="CI441" s="633"/>
      <c r="CJ441" s="227"/>
      <c r="CK441"/>
      <c r="CL441"/>
      <c r="CM441"/>
      <c r="CN441"/>
      <c r="CO441"/>
      <c r="CP441"/>
      <c r="CQ441"/>
      <c r="CR441" s="227"/>
      <c r="CS441"/>
      <c r="CT441"/>
      <c r="CU441"/>
      <c r="CV441"/>
      <c r="CW441"/>
      <c r="CX441"/>
      <c r="CY441"/>
      <c r="CZ441" s="227"/>
      <c r="DA441"/>
      <c r="DB441"/>
      <c r="DC441"/>
      <c r="DD441"/>
      <c r="DE441"/>
      <c r="DF441"/>
      <c r="DG441"/>
      <c r="DH441" s="227"/>
      <c r="DI441" s="3">
        <v>1</v>
      </c>
    </row>
    <row r="442" spans="2:113" s="627" customFormat="1" ht="21" customHeight="1">
      <c r="B442" s="2265" t="str" cm="1">
        <f t="array" ref="B442">SUMPRODUCT(--(D442:J442&lt;&gt;""), LEN(TRIM(SUBSTITUTE(D442:J442, CHAR(160), "")))) &amp; " Car."</f>
        <v>0 Car.</v>
      </c>
      <c r="C442" s="1376" t="str">
        <f>IF(ISBLANK(D442),"",LARGE(C13:C441,1)+1)</f>
        <v/>
      </c>
      <c r="D442" s="1833"/>
      <c r="E442" s="1810"/>
      <c r="F442" s="1810"/>
      <c r="G442" s="1810"/>
      <c r="H442" s="1810"/>
      <c r="I442" s="1810"/>
      <c r="J442" s="1810"/>
      <c r="K442" s="1810"/>
      <c r="L442" s="1811"/>
      <c r="M442"/>
      <c r="N442" s="103" t="str">
        <f t="shared" si="183"/>
        <v>►</v>
      </c>
      <c r="O442" s="1616"/>
      <c r="P442"/>
      <c r="Q442" s="103" t="s">
        <v>15</v>
      </c>
      <c r="R442" s="31"/>
      <c r="S442" s="32"/>
      <c r="T442" s="31"/>
      <c r="U442" s="33"/>
      <c r="V442" s="1804"/>
      <c r="W442" s="1805"/>
      <c r="X442" s="91"/>
      <c r="Y442" s="1806"/>
      <c r="Z442" s="1807"/>
      <c r="AA442" s="919"/>
      <c r="AB442" s="1813"/>
      <c r="AC442" s="1580"/>
      <c r="AD442" s="95"/>
      <c r="AE442" s="105"/>
      <c r="AF442" s="97"/>
      <c r="AG442" s="2080"/>
      <c r="AH442" s="2081"/>
      <c r="AI442" s="99"/>
      <c r="AJ442" s="1809"/>
      <c r="AK442" s="6120" t="str">
        <f t="shared" si="197"/>
        <v>►</v>
      </c>
      <c r="AL442" s="781" t="str">
        <f t="shared" si="185"/>
        <v>►</v>
      </c>
      <c r="AM442" s="5498" t="str">
        <f t="shared" si="188"/>
        <v/>
      </c>
      <c r="AN442" s="783" t="str">
        <f t="shared" si="189"/>
        <v/>
      </c>
      <c r="AO442" s="782" t="str">
        <f t="shared" si="190"/>
        <v/>
      </c>
      <c r="AP442" s="783" t="str">
        <f t="shared" si="191"/>
        <v/>
      </c>
      <c r="AQ442" s="2083" t="b">
        <f>AND(Q442="A",COUNTIF(BP16:BR63,TRIM(Z442))&gt;0)</f>
        <v>0</v>
      </c>
      <c r="AR442" s="797" t="str">
        <f>IF(AL442&lt;&gt;"A","",IFERROR(IFERROR(_xlfn.XLOOKUP(TRIM(SUBSTITUTE(Z442,CHAR(160)," ")),BP16:BP63,BS16:BS63),IFERROR(_xlfn.XLOOKUP(TRIM(SUBSTITUTE(Z442,CHAR(160)," ")),BQ16:BQ63,BS16:BS63),_xlfn.XLOOKUP(TRIM(SUBSTITUTE(Z442,CHAR(160)," ")),BR16:BR63,BS16:BS63)))*Y442*IF(ISBLANK(V442),1,V442),0))</f>
        <v/>
      </c>
      <c r="AS442" s="784" t="str">
        <f t="shared" si="181"/>
        <v/>
      </c>
      <c r="AT442" s="1315" t="str">
        <f t="shared" si="192"/>
        <v/>
      </c>
      <c r="AU442" s="785">
        <f t="shared" si="193"/>
        <v>0</v>
      </c>
      <c r="AV442" s="785">
        <f t="shared" si="194"/>
        <v>0</v>
      </c>
      <c r="AW442" s="798">
        <f>IF(AK442="A",AY10,0)</f>
        <v>0</v>
      </c>
      <c r="AX442" s="5496" t="str">
        <f>IF(IFERROR(SEARCH("Adresse PC",TRIM(W442)),0)&gt;0,"▼ receta siguiente",IF(AK442="A",IF(AZ10&lt;&gt;"",AZ10&amp;" - ou.or.o ❾ + or - &gt;",""),""))</f>
        <v/>
      </c>
      <c r="AY442" s="810"/>
      <c r="AZ442" s="810"/>
      <c r="BA442" s="799" t="str">
        <f t="shared" si="184"/>
        <v/>
      </c>
      <c r="BB442" s="800" t="str">
        <f>IF(AK442="A",IF(AQ442,IF(AND(AW442&lt;&gt;"",N(AW442)&gt;0),IFERROR(IFERROR(_xlfn.XLOOKUP(AP442,BP10:BP57,BT10:BT57),IFERROR(_xlfn.XLOOKUP(AP442,BQ10:BQ57,BT10:BT57),_xlfn.XLOOKUP(AP442,BR10:BR57,BT10:BT57,""))),""),""),""),"")</f>
        <v/>
      </c>
      <c r="BC442" s="813" cm="1">
        <f t="array" ref="BC442">IF(NOT(AQ442),0,IF(OR(BA442="",N(BA442)&lt;=0.000000001),"",IF(OR(AU442="",N(AU442)&lt;=0.000000001),0,IF(ISNUMBER(BA442),IFERROR(_xlfn.LET(_xlpm.ai_test,TRIM(AP442),_xlpm.r,IFERROR(_xlfn.XLOOKUP(_xlpm.ai_test,BP16:BP63,ROW(BP16:BP63),0,1),IFERROR(_xlfn.XLOOKUP(_xlpm.ai_test,BQ16:BQ63,ROW(BQ16:BQ63),0,1),_xlfn.XLOOKUP(_xlpm.ai_test,BR16:BR63,ROW(BR16:BR63),0,1))),_xlpm.p,_xlpm.r-MIN(ROW(BP16:BP63))+1,_xlpm.f,INDEX(BS16:BS63,_xlpm.p),_xlpm.u,INDEX(BT16:BT63,_xlpm.p),_xlpm.s,INDEX(BV16:BV63,_xlpm.p),_xlpm.q,N(BA442)/_xlpm.f,IF(_xlpm.q&gt;=_xlpm.s,ROUND(_xlpm.q,1)&amp;" "&amp;_xlpm.ai_test&amp;" = "&amp;ROUND(_xlpm.q*_xlpm.f,1)&amp;" "&amp;_xlpm.u,ROUND(_xlpm.q,1)&amp;" "&amp;_xlpm.ai_test)),""),""))))</f>
        <v>0</v>
      </c>
      <c r="BD442" s="801"/>
      <c r="BE442" s="799" t="str">
        <f t="shared" si="195"/>
        <v/>
      </c>
      <c r="BF442" s="800" t="str">
        <f t="shared" si="198"/>
        <v/>
      </c>
      <c r="BG442" s="802">
        <f t="shared" si="199"/>
        <v>0</v>
      </c>
      <c r="BH442" s="803" t="str">
        <f t="shared" si="200"/>
        <v/>
      </c>
      <c r="BI442" s="792"/>
      <c r="BJ442" s="804">
        <f t="shared" si="201"/>
        <v>0</v>
      </c>
      <c r="BK442" s="794" t="str">
        <f t="shared" si="196"/>
        <v/>
      </c>
      <c r="BL442" s="227" t="s">
        <v>21</v>
      </c>
      <c r="BM442" s="773">
        <f t="shared" si="186"/>
        <v>0</v>
      </c>
      <c r="BN442" s="774">
        <f t="shared" si="187"/>
        <v>0</v>
      </c>
      <c r="BO442"/>
      <c r="BX442"/>
      <c r="BY442"/>
      <c r="BZ442"/>
      <c r="CA442"/>
      <c r="CB442"/>
      <c r="CC442"/>
      <c r="CD442" s="781" t="str">
        <f t="shared" si="182"/>
        <v>►</v>
      </c>
      <c r="CE442" s="633"/>
      <c r="CF442" s="633"/>
      <c r="CG442" s="633"/>
      <c r="CH442" s="633"/>
      <c r="CI442" s="633"/>
      <c r="CJ442" s="227"/>
      <c r="CK442"/>
      <c r="CL442"/>
      <c r="CM442"/>
      <c r="CN442"/>
      <c r="CO442"/>
      <c r="CP442"/>
      <c r="CQ442"/>
      <c r="CR442" s="227"/>
      <c r="CS442"/>
      <c r="CT442"/>
      <c r="CU442"/>
      <c r="CV442"/>
      <c r="CW442"/>
      <c r="CX442"/>
      <c r="CY442"/>
      <c r="CZ442" s="227"/>
      <c r="DA442"/>
      <c r="DB442"/>
      <c r="DC442"/>
      <c r="DD442"/>
      <c r="DE442"/>
      <c r="DF442"/>
      <c r="DG442"/>
      <c r="DH442" s="227"/>
      <c r="DI442" s="3">
        <v>1</v>
      </c>
    </row>
    <row r="443" spans="2:113" s="627" customFormat="1" ht="21" customHeight="1">
      <c r="B443" s="2265" t="str" cm="1">
        <f t="array" ref="B443">SUMPRODUCT(--(D443:J443&lt;&gt;""), LEN(TRIM(SUBSTITUTE(D443:J443, CHAR(160), "")))) &amp; " Car."</f>
        <v>0 Car.</v>
      </c>
      <c r="C443" s="1376" t="str">
        <f>IF(ISBLANK(D443),"",LARGE(C13:C442,1)+1)</f>
        <v/>
      </c>
      <c r="D443" s="1833"/>
      <c r="E443" s="1810"/>
      <c r="F443" s="1810"/>
      <c r="G443" s="1810"/>
      <c r="H443" s="1810"/>
      <c r="I443" s="1810"/>
      <c r="J443" s="1810"/>
      <c r="K443" s="1810"/>
      <c r="L443" s="1811"/>
      <c r="M443"/>
      <c r="N443" s="103" t="str">
        <f t="shared" si="183"/>
        <v>►</v>
      </c>
      <c r="O443" s="1616"/>
      <c r="P443"/>
      <c r="Q443" s="103" t="s">
        <v>15</v>
      </c>
      <c r="R443" s="31"/>
      <c r="S443" s="32"/>
      <c r="T443" s="31"/>
      <c r="U443" s="33"/>
      <c r="V443" s="1804"/>
      <c r="W443" s="1805"/>
      <c r="X443" s="91"/>
      <c r="Y443" s="1806"/>
      <c r="Z443" s="1807"/>
      <c r="AA443" s="919"/>
      <c r="AB443" s="1813"/>
      <c r="AC443" s="1580"/>
      <c r="AD443" s="95"/>
      <c r="AE443" s="105"/>
      <c r="AF443" s="97"/>
      <c r="AG443" s="2080"/>
      <c r="AH443" s="2081"/>
      <c r="AI443" s="99"/>
      <c r="AJ443" s="1809"/>
      <c r="AK443" s="6120" t="str">
        <f t="shared" si="197"/>
        <v>►</v>
      </c>
      <c r="AL443" s="781" t="str">
        <f t="shared" si="185"/>
        <v>►</v>
      </c>
      <c r="AM443" s="5499" t="str">
        <f t="shared" si="188"/>
        <v/>
      </c>
      <c r="AN443" s="783" t="str">
        <f t="shared" si="189"/>
        <v/>
      </c>
      <c r="AO443" s="782" t="str">
        <f t="shared" si="190"/>
        <v/>
      </c>
      <c r="AP443" s="783" t="str">
        <f t="shared" si="191"/>
        <v/>
      </c>
      <c r="AQ443" s="2083" t="b">
        <f>AND(Q443="A",COUNTIF(BP16:BR63,TRIM(Z443))&gt;0)</f>
        <v>0</v>
      </c>
      <c r="AR443" s="797" t="str">
        <f>IF(AL443&lt;&gt;"A","",IFERROR(IFERROR(_xlfn.XLOOKUP(TRIM(SUBSTITUTE(Z443,CHAR(160)," ")),BP16:BP63,BS16:BS63),IFERROR(_xlfn.XLOOKUP(TRIM(SUBSTITUTE(Z443,CHAR(160)," ")),BQ16:BQ63,BS16:BS63),_xlfn.XLOOKUP(TRIM(SUBSTITUTE(Z443,CHAR(160)," ")),BR16:BR63,BS16:BS63)))*Y443*IF(ISBLANK(V443),1,V443),0))</f>
        <v/>
      </c>
      <c r="AS443" s="784" t="str">
        <f t="shared" si="181"/>
        <v/>
      </c>
      <c r="AT443" s="1315" t="str">
        <f t="shared" si="192"/>
        <v/>
      </c>
      <c r="AU443" s="785">
        <f t="shared" si="193"/>
        <v>0</v>
      </c>
      <c r="AV443" s="785">
        <f t="shared" si="194"/>
        <v>0</v>
      </c>
      <c r="AW443" s="786">
        <f>IF(AK443="A",AY10,0)</f>
        <v>0</v>
      </c>
      <c r="AX443" s="5495" t="str">
        <f>IF(IFERROR(SEARCH("Adresse PC",TRIM(W443)),0)&gt;0,"▼ receta siguiente",IF(AK443="A",IF(AZ10&lt;&gt;"",AZ10&amp;" - ou.or.o ❾ + or - &gt;",""),""))</f>
        <v/>
      </c>
      <c r="AY443" s="810"/>
      <c r="AZ443" s="810"/>
      <c r="BA443" s="788" t="str">
        <f t="shared" si="184"/>
        <v/>
      </c>
      <c r="BB443" s="789" t="str">
        <f>IF(AK443="A",IF(AQ443,IF(AND(AW443&lt;&gt;"",N(AW443)&gt;0),IFERROR(IFERROR(_xlfn.XLOOKUP(AP443,BP10:BP57,BT10:BT57),IFERROR(_xlfn.XLOOKUP(AP443,BQ10:BQ57,BT10:BT57),_xlfn.XLOOKUP(AP443,BR10:BR57,BT10:BT57,""))),""),""),""),"")</f>
        <v/>
      </c>
      <c r="BC443" s="811" cm="1">
        <f t="array" ref="BC443">IF(NOT(AQ443),0,IF(OR(BA443="",N(BA443)&lt;=0.000000001),"",IF(OR(AU443="",N(AU443)&lt;=0.000000001),0,IF(ISNUMBER(BA443),IFERROR(_xlfn.LET(_xlpm.ai_test,TRIM(AP443),_xlpm.r,IFERROR(_xlfn.XLOOKUP(_xlpm.ai_test,BP16:BP63,ROW(BP16:BP63),0,1),IFERROR(_xlfn.XLOOKUP(_xlpm.ai_test,BQ16:BQ63,ROW(BQ16:BQ63),0,1),_xlfn.XLOOKUP(_xlpm.ai_test,BR16:BR63,ROW(BR16:BR63),0,1))),_xlpm.p,_xlpm.r-MIN(ROW(BP16:BP63))+1,_xlpm.f,INDEX(BS16:BS63,_xlpm.p),_xlpm.u,INDEX(BT16:BT63,_xlpm.p),_xlpm.s,INDEX(BV16:BV63,_xlpm.p),_xlpm.q,N(BA443)/_xlpm.f,IF(_xlpm.q&gt;=_xlpm.s,ROUND(_xlpm.q,1)&amp;" "&amp;_xlpm.ai_test&amp;" = "&amp;ROUND(_xlpm.q*_xlpm.f,1)&amp;" "&amp;_xlpm.u,ROUND(_xlpm.q,1)&amp;" "&amp;_xlpm.ai_test)),""),""))))</f>
        <v>0</v>
      </c>
      <c r="BD443" s="801"/>
      <c r="BE443" s="788" t="str">
        <f t="shared" si="195"/>
        <v/>
      </c>
      <c r="BF443" s="789" t="str">
        <f t="shared" si="198"/>
        <v/>
      </c>
      <c r="BG443" s="790">
        <f t="shared" si="199"/>
        <v>0</v>
      </c>
      <c r="BH443" s="791" t="str">
        <f t="shared" si="200"/>
        <v/>
      </c>
      <c r="BI443" s="792"/>
      <c r="BJ443" s="793">
        <f t="shared" si="201"/>
        <v>0</v>
      </c>
      <c r="BK443" s="794" t="str">
        <f t="shared" si="196"/>
        <v/>
      </c>
      <c r="BL443" s="227" t="s">
        <v>21</v>
      </c>
      <c r="BM443" s="773">
        <f t="shared" si="186"/>
        <v>0</v>
      </c>
      <c r="BN443" s="774">
        <f t="shared" si="187"/>
        <v>0</v>
      </c>
      <c r="BO443"/>
      <c r="BX443"/>
      <c r="BY443"/>
      <c r="BZ443"/>
      <c r="CA443"/>
      <c r="CB443"/>
      <c r="CC443"/>
      <c r="CD443" s="781" t="str">
        <f t="shared" si="182"/>
        <v>►</v>
      </c>
      <c r="CE443" s="633"/>
      <c r="CF443" s="633"/>
      <c r="CG443" s="633"/>
      <c r="CH443" s="633"/>
      <c r="CI443" s="633"/>
      <c r="CJ443" s="227"/>
      <c r="CK443"/>
      <c r="CL443"/>
      <c r="CM443"/>
      <c r="CN443"/>
      <c r="CO443"/>
      <c r="CP443"/>
      <c r="CQ443"/>
      <c r="CR443" s="227"/>
      <c r="CS443"/>
      <c r="CT443"/>
      <c r="CU443"/>
      <c r="CV443"/>
      <c r="CW443"/>
      <c r="CX443"/>
      <c r="CY443"/>
      <c r="CZ443" s="227"/>
      <c r="DA443"/>
      <c r="DB443"/>
      <c r="DC443"/>
      <c r="DD443"/>
      <c r="DE443"/>
      <c r="DF443"/>
      <c r="DG443"/>
      <c r="DH443" s="227"/>
      <c r="DI443" s="3">
        <v>1</v>
      </c>
    </row>
    <row r="444" spans="2:113" s="627" customFormat="1" ht="21" customHeight="1">
      <c r="B444" s="2265" t="str" cm="1">
        <f t="array" ref="B444">SUMPRODUCT(--(D444:J444&lt;&gt;""), LEN(TRIM(SUBSTITUTE(D444:J444, CHAR(160), "")))) &amp; " Car."</f>
        <v>0 Car.</v>
      </c>
      <c r="C444" s="1376" t="str">
        <f>IF(ISBLANK(D444),"",LARGE(C13:C443,1)+1)</f>
        <v/>
      </c>
      <c r="D444" s="1833"/>
      <c r="E444" s="1810"/>
      <c r="F444" s="1810"/>
      <c r="G444" s="1810"/>
      <c r="H444" s="1810"/>
      <c r="I444" s="1810"/>
      <c r="J444" s="1810"/>
      <c r="K444" s="1810"/>
      <c r="L444" s="1811"/>
      <c r="M444"/>
      <c r="N444" s="103" t="str">
        <f t="shared" si="183"/>
        <v>►</v>
      </c>
      <c r="O444" s="1616"/>
      <c r="P444"/>
      <c r="Q444" s="103" t="s">
        <v>15</v>
      </c>
      <c r="R444" s="31"/>
      <c r="S444" s="32"/>
      <c r="T444" s="31"/>
      <c r="U444" s="33"/>
      <c r="V444" s="1804"/>
      <c r="W444" s="1805"/>
      <c r="X444" s="91"/>
      <c r="Y444" s="1806"/>
      <c r="Z444" s="1807"/>
      <c r="AA444" s="919"/>
      <c r="AB444" s="1813"/>
      <c r="AC444" s="1580"/>
      <c r="AD444" s="95"/>
      <c r="AE444" s="105"/>
      <c r="AF444" s="97"/>
      <c r="AG444" s="2080"/>
      <c r="AH444" s="2081"/>
      <c r="AI444" s="99"/>
      <c r="AJ444" s="1809"/>
      <c r="AK444" s="6120" t="str">
        <f t="shared" si="197"/>
        <v>►</v>
      </c>
      <c r="AL444" s="781" t="str">
        <f t="shared" si="185"/>
        <v>►</v>
      </c>
      <c r="AM444" s="5498" t="str">
        <f t="shared" si="188"/>
        <v/>
      </c>
      <c r="AN444" s="783" t="str">
        <f t="shared" si="189"/>
        <v/>
      </c>
      <c r="AO444" s="782" t="str">
        <f t="shared" si="190"/>
        <v/>
      </c>
      <c r="AP444" s="783" t="str">
        <f t="shared" si="191"/>
        <v/>
      </c>
      <c r="AQ444" s="2083" t="b">
        <f>AND(Q444="A",COUNTIF(BP16:BR63,TRIM(Z444))&gt;0)</f>
        <v>0</v>
      </c>
      <c r="AR444" s="797" t="str">
        <f>IF(AL444&lt;&gt;"A","",IFERROR(IFERROR(_xlfn.XLOOKUP(TRIM(SUBSTITUTE(Z444,CHAR(160)," ")),BP16:BP63,BS16:BS63),IFERROR(_xlfn.XLOOKUP(TRIM(SUBSTITUTE(Z444,CHAR(160)," ")),BQ16:BQ63,BS16:BS63),_xlfn.XLOOKUP(TRIM(SUBSTITUTE(Z444,CHAR(160)," ")),BR16:BR63,BS16:BS63)))*Y444*IF(ISBLANK(V444),1,V444),0))</f>
        <v/>
      </c>
      <c r="AS444" s="784" t="str">
        <f t="shared" si="181"/>
        <v/>
      </c>
      <c r="AT444" s="1315" t="str">
        <f t="shared" si="192"/>
        <v/>
      </c>
      <c r="AU444" s="785">
        <f t="shared" si="193"/>
        <v>0</v>
      </c>
      <c r="AV444" s="785">
        <f t="shared" si="194"/>
        <v>0</v>
      </c>
      <c r="AW444" s="798">
        <f>IF(AK444="A",AY10,0)</f>
        <v>0</v>
      </c>
      <c r="AX444" s="5496" t="str">
        <f>IF(IFERROR(SEARCH("Adresse PC",TRIM(W444)),0)&gt;0,"▼ receta siguiente",IF(AK444="A",IF(AZ10&lt;&gt;"",AZ10&amp;" - ou.or.o ❾ + or - &gt;",""),""))</f>
        <v/>
      </c>
      <c r="AY444" s="810"/>
      <c r="AZ444" s="810"/>
      <c r="BA444" s="799" t="str">
        <f t="shared" si="184"/>
        <v/>
      </c>
      <c r="BB444" s="800" t="str">
        <f>IF(AK444="A",IF(AQ444,IF(AND(AW444&lt;&gt;"",N(AW444)&gt;0),IFERROR(IFERROR(_xlfn.XLOOKUP(AP444,BP10:BP57,BT10:BT57),IFERROR(_xlfn.XLOOKUP(AP444,BQ10:BQ57,BT10:BT57),_xlfn.XLOOKUP(AP444,BR10:BR57,BT10:BT57,""))),""),""),""),"")</f>
        <v/>
      </c>
      <c r="BC444" s="813" cm="1">
        <f t="array" ref="BC444">IF(NOT(AQ444),0,IF(OR(BA444="",N(BA444)&lt;=0.000000001),"",IF(OR(AU444="",N(AU444)&lt;=0.000000001),0,IF(ISNUMBER(BA444),IFERROR(_xlfn.LET(_xlpm.ai_test,TRIM(AP444),_xlpm.r,IFERROR(_xlfn.XLOOKUP(_xlpm.ai_test,BP16:BP63,ROW(BP16:BP63),0,1),IFERROR(_xlfn.XLOOKUP(_xlpm.ai_test,BQ16:BQ63,ROW(BQ16:BQ63),0,1),_xlfn.XLOOKUP(_xlpm.ai_test,BR16:BR63,ROW(BR16:BR63),0,1))),_xlpm.p,_xlpm.r-MIN(ROW(BP16:BP63))+1,_xlpm.f,INDEX(BS16:BS63,_xlpm.p),_xlpm.u,INDEX(BT16:BT63,_xlpm.p),_xlpm.s,INDEX(BV16:BV63,_xlpm.p),_xlpm.q,N(BA444)/_xlpm.f,IF(_xlpm.q&gt;=_xlpm.s,ROUND(_xlpm.q,1)&amp;" "&amp;_xlpm.ai_test&amp;" = "&amp;ROUND(_xlpm.q*_xlpm.f,1)&amp;" "&amp;_xlpm.u,ROUND(_xlpm.q,1)&amp;" "&amp;_xlpm.ai_test)),""),""))))</f>
        <v>0</v>
      </c>
      <c r="BD444" s="801"/>
      <c r="BE444" s="799" t="str">
        <f t="shared" si="195"/>
        <v/>
      </c>
      <c r="BF444" s="800" t="str">
        <f t="shared" si="198"/>
        <v/>
      </c>
      <c r="BG444" s="802">
        <f t="shared" si="199"/>
        <v>0</v>
      </c>
      <c r="BH444" s="803" t="str">
        <f t="shared" si="200"/>
        <v/>
      </c>
      <c r="BI444" s="792"/>
      <c r="BJ444" s="804">
        <f t="shared" si="201"/>
        <v>0</v>
      </c>
      <c r="BK444" s="794" t="str">
        <f t="shared" si="196"/>
        <v/>
      </c>
      <c r="BL444" s="227" t="s">
        <v>21</v>
      </c>
      <c r="BM444" s="773">
        <f t="shared" si="186"/>
        <v>0</v>
      </c>
      <c r="BN444" s="774">
        <f t="shared" si="187"/>
        <v>0</v>
      </c>
      <c r="BO444"/>
      <c r="BX444"/>
      <c r="BY444"/>
      <c r="BZ444"/>
      <c r="CA444"/>
      <c r="CB444"/>
      <c r="CC444"/>
      <c r="CD444" s="781" t="str">
        <f t="shared" si="182"/>
        <v>►</v>
      </c>
      <c r="CE444" s="633"/>
      <c r="CF444" s="633"/>
      <c r="CG444" s="633"/>
      <c r="CH444" s="633"/>
      <c r="CI444" s="633"/>
      <c r="CJ444" s="227"/>
      <c r="CK444"/>
      <c r="CL444"/>
      <c r="CM444"/>
      <c r="CN444"/>
      <c r="CO444"/>
      <c r="CP444"/>
      <c r="CQ444"/>
      <c r="CR444" s="227"/>
      <c r="CS444"/>
      <c r="CT444"/>
      <c r="CU444"/>
      <c r="CV444"/>
      <c r="CW444"/>
      <c r="CX444"/>
      <c r="CY444"/>
      <c r="CZ444" s="227"/>
      <c r="DA444"/>
      <c r="DB444"/>
      <c r="DC444"/>
      <c r="DD444"/>
      <c r="DE444"/>
      <c r="DF444"/>
      <c r="DG444"/>
      <c r="DH444" s="227"/>
      <c r="DI444" s="3">
        <v>1</v>
      </c>
    </row>
    <row r="445" spans="2:113" s="627" customFormat="1" ht="21" customHeight="1">
      <c r="B445" s="2265" t="str" cm="1">
        <f t="array" ref="B445">SUMPRODUCT(--(D445:J445&lt;&gt;""), LEN(TRIM(SUBSTITUTE(D445:J445, CHAR(160), "")))) &amp; " Car."</f>
        <v>0 Car.</v>
      </c>
      <c r="C445" s="1376" t="str">
        <f>IF(ISBLANK(D445),"",LARGE(C13:C444,1)+1)</f>
        <v/>
      </c>
      <c r="D445" s="1833"/>
      <c r="E445" s="1810"/>
      <c r="F445" s="1810"/>
      <c r="G445" s="1810"/>
      <c r="H445" s="1810"/>
      <c r="I445" s="1810"/>
      <c r="J445" s="1810"/>
      <c r="K445" s="1810"/>
      <c r="L445" s="1811"/>
      <c r="M445"/>
      <c r="N445" s="103" t="str">
        <f t="shared" si="183"/>
        <v>►</v>
      </c>
      <c r="O445" s="1616"/>
      <c r="P445"/>
      <c r="Q445" s="103" t="s">
        <v>15</v>
      </c>
      <c r="R445" s="31"/>
      <c r="S445" s="32"/>
      <c r="T445" s="31"/>
      <c r="U445" s="33"/>
      <c r="V445" s="1804"/>
      <c r="W445" s="1805"/>
      <c r="X445" s="91"/>
      <c r="Y445" s="1806"/>
      <c r="Z445" s="1807"/>
      <c r="AA445" s="919"/>
      <c r="AB445" s="1813"/>
      <c r="AC445" s="1580"/>
      <c r="AD445" s="95"/>
      <c r="AE445" s="105"/>
      <c r="AF445" s="97"/>
      <c r="AG445" s="2080"/>
      <c r="AH445" s="2081"/>
      <c r="AI445" s="99"/>
      <c r="AJ445" s="1809"/>
      <c r="AK445" s="6120" t="str">
        <f t="shared" si="197"/>
        <v>►</v>
      </c>
      <c r="AL445" s="781" t="str">
        <f t="shared" si="185"/>
        <v>►</v>
      </c>
      <c r="AM445" s="5499" t="str">
        <f t="shared" si="188"/>
        <v/>
      </c>
      <c r="AN445" s="783" t="str">
        <f t="shared" si="189"/>
        <v/>
      </c>
      <c r="AO445" s="782" t="str">
        <f t="shared" si="190"/>
        <v/>
      </c>
      <c r="AP445" s="783" t="str">
        <f t="shared" si="191"/>
        <v/>
      </c>
      <c r="AQ445" s="2083" t="b">
        <f>AND(Q445="A",COUNTIF(BP16:BR63,TRIM(Z445))&gt;0)</f>
        <v>0</v>
      </c>
      <c r="AR445" s="797" t="str">
        <f>IF(AL445&lt;&gt;"A","",IFERROR(IFERROR(_xlfn.XLOOKUP(TRIM(SUBSTITUTE(Z445,CHAR(160)," ")),BP16:BP63,BS16:BS63),IFERROR(_xlfn.XLOOKUP(TRIM(SUBSTITUTE(Z445,CHAR(160)," ")),BQ16:BQ63,BS16:BS63),_xlfn.XLOOKUP(TRIM(SUBSTITUTE(Z445,CHAR(160)," ")),BR16:BR63,BS16:BS63)))*Y445*IF(ISBLANK(V445),1,V445),0))</f>
        <v/>
      </c>
      <c r="AS445" s="784" t="str">
        <f t="shared" si="181"/>
        <v/>
      </c>
      <c r="AT445" s="1315" t="str">
        <f t="shared" si="192"/>
        <v/>
      </c>
      <c r="AU445" s="785">
        <f t="shared" si="193"/>
        <v>0</v>
      </c>
      <c r="AV445" s="785">
        <f t="shared" si="194"/>
        <v>0</v>
      </c>
      <c r="AW445" s="786">
        <f>IF(AK445="A",AY10,0)</f>
        <v>0</v>
      </c>
      <c r="AX445" s="5495" t="str">
        <f>IF(IFERROR(SEARCH("Adresse PC",TRIM(W445)),0)&gt;0,"▼ receta siguiente",IF(AK445="A",IF(AZ10&lt;&gt;"",AZ10&amp;" - ou.or.o ❾ + or - &gt;",""),""))</f>
        <v/>
      </c>
      <c r="AY445" s="810"/>
      <c r="AZ445" s="810"/>
      <c r="BA445" s="788" t="str">
        <f t="shared" si="184"/>
        <v/>
      </c>
      <c r="BB445" s="789" t="str">
        <f>IF(AK445="A",IF(AQ445,IF(AND(AW445&lt;&gt;"",N(AW445)&gt;0),IFERROR(IFERROR(_xlfn.XLOOKUP(AP445,BP10:BP57,BT10:BT57),IFERROR(_xlfn.XLOOKUP(AP445,BQ10:BQ57,BT10:BT57),_xlfn.XLOOKUP(AP445,BR10:BR57,BT10:BT57,""))),""),""),""),"")</f>
        <v/>
      </c>
      <c r="BC445" s="811" cm="1">
        <f t="array" ref="BC445">IF(NOT(AQ445),0,IF(OR(BA445="",N(BA445)&lt;=0.000000001),"",IF(OR(AU445="",N(AU445)&lt;=0.000000001),0,IF(ISNUMBER(BA445),IFERROR(_xlfn.LET(_xlpm.ai_test,TRIM(AP445),_xlpm.r,IFERROR(_xlfn.XLOOKUP(_xlpm.ai_test,BP16:BP63,ROW(BP16:BP63),0,1),IFERROR(_xlfn.XLOOKUP(_xlpm.ai_test,BQ16:BQ63,ROW(BQ16:BQ63),0,1),_xlfn.XLOOKUP(_xlpm.ai_test,BR16:BR63,ROW(BR16:BR63),0,1))),_xlpm.p,_xlpm.r-MIN(ROW(BP16:BP63))+1,_xlpm.f,INDEX(BS16:BS63,_xlpm.p),_xlpm.u,INDEX(BT16:BT63,_xlpm.p),_xlpm.s,INDEX(BV16:BV63,_xlpm.p),_xlpm.q,N(BA445)/_xlpm.f,IF(_xlpm.q&gt;=_xlpm.s,ROUND(_xlpm.q,1)&amp;" "&amp;_xlpm.ai_test&amp;" = "&amp;ROUND(_xlpm.q*_xlpm.f,1)&amp;" "&amp;_xlpm.u,ROUND(_xlpm.q,1)&amp;" "&amp;_xlpm.ai_test)),""),""))))</f>
        <v>0</v>
      </c>
      <c r="BD445" s="801"/>
      <c r="BE445" s="788" t="str">
        <f t="shared" si="195"/>
        <v/>
      </c>
      <c r="BF445" s="789" t="str">
        <f t="shared" si="198"/>
        <v/>
      </c>
      <c r="BG445" s="790">
        <f t="shared" si="199"/>
        <v>0</v>
      </c>
      <c r="BH445" s="791" t="str">
        <f t="shared" si="200"/>
        <v/>
      </c>
      <c r="BI445" s="792"/>
      <c r="BJ445" s="793">
        <f t="shared" si="201"/>
        <v>0</v>
      </c>
      <c r="BK445" s="794" t="str">
        <f t="shared" si="196"/>
        <v/>
      </c>
      <c r="BL445" s="227" t="s">
        <v>21</v>
      </c>
      <c r="BM445" s="773">
        <f t="shared" si="186"/>
        <v>0</v>
      </c>
      <c r="BN445" s="774">
        <f t="shared" si="187"/>
        <v>0</v>
      </c>
      <c r="BO445"/>
      <c r="BX445"/>
      <c r="BY445"/>
      <c r="BZ445"/>
      <c r="CA445"/>
      <c r="CB445"/>
      <c r="CC445"/>
      <c r="CD445" s="781" t="str">
        <f t="shared" si="182"/>
        <v>►</v>
      </c>
      <c r="CE445" s="633"/>
      <c r="CF445" s="633"/>
      <c r="CG445" s="633"/>
      <c r="CH445" s="633"/>
      <c r="CI445" s="633"/>
      <c r="CJ445" s="227"/>
      <c r="CK445"/>
      <c r="CL445"/>
      <c r="CM445"/>
      <c r="CN445"/>
      <c r="CO445"/>
      <c r="CP445"/>
      <c r="CQ445"/>
      <c r="CR445" s="227"/>
      <c r="CS445"/>
      <c r="CT445"/>
      <c r="CU445"/>
      <c r="CV445"/>
      <c r="CW445"/>
      <c r="CX445"/>
      <c r="CY445"/>
      <c r="CZ445" s="227"/>
      <c r="DA445"/>
      <c r="DB445"/>
      <c r="DC445"/>
      <c r="DD445"/>
      <c r="DE445"/>
      <c r="DF445"/>
      <c r="DG445"/>
      <c r="DH445" s="227"/>
      <c r="DI445" s="3">
        <v>1</v>
      </c>
    </row>
    <row r="446" spans="2:113" s="627" customFormat="1" ht="21" customHeight="1">
      <c r="B446" s="2265" t="str" cm="1">
        <f t="array" ref="B446">SUMPRODUCT(--(D446:J446&lt;&gt;""), LEN(TRIM(SUBSTITUTE(D446:J446, CHAR(160), "")))) &amp; " Car."</f>
        <v>0 Car.</v>
      </c>
      <c r="C446" s="1376" t="str">
        <f>IF(ISBLANK(D446),"",LARGE(C13:C445,1)+1)</f>
        <v/>
      </c>
      <c r="D446" s="1833"/>
      <c r="E446" s="1810"/>
      <c r="F446" s="1810"/>
      <c r="G446" s="1810"/>
      <c r="H446" s="1810"/>
      <c r="I446" s="1810"/>
      <c r="J446" s="1810"/>
      <c r="K446" s="1810"/>
      <c r="L446" s="1811"/>
      <c r="M446"/>
      <c r="N446" s="103" t="str">
        <f t="shared" si="183"/>
        <v>►</v>
      </c>
      <c r="O446" s="1616"/>
      <c r="P446"/>
      <c r="Q446" s="103" t="s">
        <v>15</v>
      </c>
      <c r="R446" s="31"/>
      <c r="S446" s="32"/>
      <c r="T446" s="31"/>
      <c r="U446" s="33"/>
      <c r="V446" s="1804"/>
      <c r="W446" s="1805"/>
      <c r="X446" s="91"/>
      <c r="Y446" s="1806"/>
      <c r="Z446" s="1807"/>
      <c r="AA446" s="919"/>
      <c r="AB446" s="1813"/>
      <c r="AC446" s="1580"/>
      <c r="AD446" s="95"/>
      <c r="AE446" s="105"/>
      <c r="AF446" s="97"/>
      <c r="AG446" s="2080"/>
      <c r="AH446" s="2081"/>
      <c r="AI446" s="99"/>
      <c r="AJ446" s="1809"/>
      <c r="AK446" s="6120" t="str">
        <f t="shared" si="197"/>
        <v>►</v>
      </c>
      <c r="AL446" s="781" t="str">
        <f t="shared" si="185"/>
        <v>►</v>
      </c>
      <c r="AM446" s="5498" t="str">
        <f t="shared" si="188"/>
        <v/>
      </c>
      <c r="AN446" s="783" t="str">
        <f t="shared" si="189"/>
        <v/>
      </c>
      <c r="AO446" s="782" t="str">
        <f t="shared" si="190"/>
        <v/>
      </c>
      <c r="AP446" s="783" t="str">
        <f t="shared" si="191"/>
        <v/>
      </c>
      <c r="AQ446" s="2083" t="b">
        <f>AND(Q446="A",COUNTIF(BP16:BR63,TRIM(Z446))&gt;0)</f>
        <v>0</v>
      </c>
      <c r="AR446" s="797" t="str">
        <f>IF(AL446&lt;&gt;"A","",IFERROR(IFERROR(_xlfn.XLOOKUP(TRIM(SUBSTITUTE(Z446,CHAR(160)," ")),BP16:BP63,BS16:BS63),IFERROR(_xlfn.XLOOKUP(TRIM(SUBSTITUTE(Z446,CHAR(160)," ")),BQ16:BQ63,BS16:BS63),_xlfn.XLOOKUP(TRIM(SUBSTITUTE(Z446,CHAR(160)," ")),BR16:BR63,BS16:BS63)))*Y446*IF(ISBLANK(V446),1,V446),0))</f>
        <v/>
      </c>
      <c r="AS446" s="784" t="str">
        <f t="shared" si="181"/>
        <v/>
      </c>
      <c r="AT446" s="1315" t="str">
        <f t="shared" si="192"/>
        <v/>
      </c>
      <c r="AU446" s="785">
        <f t="shared" si="193"/>
        <v>0</v>
      </c>
      <c r="AV446" s="785">
        <f t="shared" si="194"/>
        <v>0</v>
      </c>
      <c r="AW446" s="798">
        <f>IF(AK446="A",AY10,0)</f>
        <v>0</v>
      </c>
      <c r="AX446" s="5496" t="str">
        <f>IF(IFERROR(SEARCH("Adresse PC",TRIM(W446)),0)&gt;0,"▼ receta siguiente",IF(AK446="A",IF(AZ10&lt;&gt;"",AZ10&amp;" - ou.or.o ❾ + or - &gt;",""),""))</f>
        <v/>
      </c>
      <c r="AY446" s="810"/>
      <c r="AZ446" s="810"/>
      <c r="BA446" s="799" t="str">
        <f t="shared" si="184"/>
        <v/>
      </c>
      <c r="BB446" s="800" t="str">
        <f>IF(AK446="A",IF(AQ446,IF(AND(AW446&lt;&gt;"",N(AW446)&gt;0),IFERROR(IFERROR(_xlfn.XLOOKUP(AP446,BP10:BP57,BT10:BT57),IFERROR(_xlfn.XLOOKUP(AP446,BQ10:BQ57,BT10:BT57),_xlfn.XLOOKUP(AP446,BR10:BR57,BT10:BT57,""))),""),""),""),"")</f>
        <v/>
      </c>
      <c r="BC446" s="813" cm="1">
        <f t="array" ref="BC446">IF(NOT(AQ446),0,IF(OR(BA446="",N(BA446)&lt;=0.000000001),"",IF(OR(AU446="",N(AU446)&lt;=0.000000001),0,IF(ISNUMBER(BA446),IFERROR(_xlfn.LET(_xlpm.ai_test,TRIM(AP446),_xlpm.r,IFERROR(_xlfn.XLOOKUP(_xlpm.ai_test,BP16:BP63,ROW(BP16:BP63),0,1),IFERROR(_xlfn.XLOOKUP(_xlpm.ai_test,BQ16:BQ63,ROW(BQ16:BQ63),0,1),_xlfn.XLOOKUP(_xlpm.ai_test,BR16:BR63,ROW(BR16:BR63),0,1))),_xlpm.p,_xlpm.r-MIN(ROW(BP16:BP63))+1,_xlpm.f,INDEX(BS16:BS63,_xlpm.p),_xlpm.u,INDEX(BT16:BT63,_xlpm.p),_xlpm.s,INDEX(BV16:BV63,_xlpm.p),_xlpm.q,N(BA446)/_xlpm.f,IF(_xlpm.q&gt;=_xlpm.s,ROUND(_xlpm.q,1)&amp;" "&amp;_xlpm.ai_test&amp;" = "&amp;ROUND(_xlpm.q*_xlpm.f,1)&amp;" "&amp;_xlpm.u,ROUND(_xlpm.q,1)&amp;" "&amp;_xlpm.ai_test)),""),""))))</f>
        <v>0</v>
      </c>
      <c r="BD446" s="801"/>
      <c r="BE446" s="799" t="str">
        <f t="shared" si="195"/>
        <v/>
      </c>
      <c r="BF446" s="800" t="str">
        <f t="shared" si="198"/>
        <v/>
      </c>
      <c r="BG446" s="802">
        <f t="shared" si="199"/>
        <v>0</v>
      </c>
      <c r="BH446" s="803" t="str">
        <f t="shared" si="200"/>
        <v/>
      </c>
      <c r="BI446" s="792"/>
      <c r="BJ446" s="804">
        <f t="shared" si="201"/>
        <v>0</v>
      </c>
      <c r="BK446" s="794" t="str">
        <f t="shared" si="196"/>
        <v/>
      </c>
      <c r="BL446" s="227" t="s">
        <v>21</v>
      </c>
      <c r="BM446" s="773">
        <f t="shared" si="186"/>
        <v>0</v>
      </c>
      <c r="BN446" s="774">
        <f t="shared" si="187"/>
        <v>0</v>
      </c>
      <c r="BO446"/>
      <c r="BX446"/>
      <c r="BY446"/>
      <c r="BZ446"/>
      <c r="CA446"/>
      <c r="CB446"/>
      <c r="CC446"/>
      <c r="CD446" s="781" t="str">
        <f t="shared" si="182"/>
        <v>►</v>
      </c>
      <c r="CE446" s="633"/>
      <c r="CF446" s="633"/>
      <c r="CG446" s="633"/>
      <c r="CH446" s="633"/>
      <c r="CI446" s="633"/>
      <c r="CJ446" s="227"/>
      <c r="CK446"/>
      <c r="CL446"/>
      <c r="CM446"/>
      <c r="CN446"/>
      <c r="CO446"/>
      <c r="CP446"/>
      <c r="CQ446"/>
      <c r="CR446" s="227"/>
      <c r="CS446"/>
      <c r="CT446"/>
      <c r="CU446"/>
      <c r="CV446"/>
      <c r="CW446"/>
      <c r="CX446"/>
      <c r="CY446"/>
      <c r="CZ446" s="227"/>
      <c r="DA446"/>
      <c r="DB446"/>
      <c r="DC446"/>
      <c r="DD446"/>
      <c r="DE446"/>
      <c r="DF446"/>
      <c r="DG446"/>
      <c r="DH446" s="227"/>
      <c r="DI446" s="3">
        <v>1</v>
      </c>
    </row>
    <row r="447" spans="2:113" s="627" customFormat="1" ht="21" customHeight="1">
      <c r="B447" s="2265" t="str" cm="1">
        <f t="array" ref="B447">SUMPRODUCT(--(D447:J447&lt;&gt;""), LEN(TRIM(SUBSTITUTE(D447:J447, CHAR(160), "")))) &amp; " Car."</f>
        <v>0 Car.</v>
      </c>
      <c r="C447" s="1376" t="str">
        <f>IF(ISBLANK(D447),"",LARGE(C13:C446,1)+1)</f>
        <v/>
      </c>
      <c r="D447" s="1833"/>
      <c r="E447" s="1810"/>
      <c r="F447" s="1810"/>
      <c r="G447" s="1810"/>
      <c r="H447" s="1810"/>
      <c r="I447" s="1810"/>
      <c r="J447" s="1810"/>
      <c r="K447" s="1810"/>
      <c r="L447" s="1811"/>
      <c r="M447"/>
      <c r="N447" s="103" t="str">
        <f t="shared" si="183"/>
        <v>►</v>
      </c>
      <c r="O447" s="1616"/>
      <c r="P447"/>
      <c r="Q447" s="103" t="s">
        <v>15</v>
      </c>
      <c r="R447" s="31"/>
      <c r="S447" s="32"/>
      <c r="T447" s="31"/>
      <c r="U447" s="33"/>
      <c r="V447" s="1804"/>
      <c r="W447" s="1805"/>
      <c r="X447" s="91"/>
      <c r="Y447" s="1806"/>
      <c r="Z447" s="1807"/>
      <c r="AA447" s="919"/>
      <c r="AB447" s="1813"/>
      <c r="AC447" s="1580"/>
      <c r="AD447" s="95"/>
      <c r="AE447" s="105"/>
      <c r="AF447" s="97"/>
      <c r="AG447" s="2080"/>
      <c r="AH447" s="2081"/>
      <c r="AI447" s="99"/>
      <c r="AJ447" s="1809"/>
      <c r="AK447" s="6120" t="str">
        <f t="shared" si="197"/>
        <v>►</v>
      </c>
      <c r="AL447" s="781" t="str">
        <f t="shared" si="185"/>
        <v>►</v>
      </c>
      <c r="AM447" s="5499" t="str">
        <f t="shared" si="188"/>
        <v/>
      </c>
      <c r="AN447" s="783" t="str">
        <f t="shared" si="189"/>
        <v/>
      </c>
      <c r="AO447" s="782" t="str">
        <f t="shared" si="190"/>
        <v/>
      </c>
      <c r="AP447" s="783" t="str">
        <f t="shared" si="191"/>
        <v/>
      </c>
      <c r="AQ447" s="2083" t="b">
        <f>AND(Q447="A",COUNTIF(BP16:BR63,TRIM(Z447))&gt;0)</f>
        <v>0</v>
      </c>
      <c r="AR447" s="797" t="str">
        <f>IF(AL447&lt;&gt;"A","",IFERROR(IFERROR(_xlfn.XLOOKUP(TRIM(SUBSTITUTE(Z447,CHAR(160)," ")),BP16:BP63,BS16:BS63),IFERROR(_xlfn.XLOOKUP(TRIM(SUBSTITUTE(Z447,CHAR(160)," ")),BQ16:BQ63,BS16:BS63),_xlfn.XLOOKUP(TRIM(SUBSTITUTE(Z447,CHAR(160)," ")),BR16:BR63,BS16:BS63)))*Y447*IF(ISBLANK(V447),1,V447),0))</f>
        <v/>
      </c>
      <c r="AS447" s="784" t="str">
        <f t="shared" si="181"/>
        <v/>
      </c>
      <c r="AT447" s="1315" t="str">
        <f t="shared" si="192"/>
        <v/>
      </c>
      <c r="AU447" s="785">
        <f t="shared" si="193"/>
        <v>0</v>
      </c>
      <c r="AV447" s="785">
        <f t="shared" si="194"/>
        <v>0</v>
      </c>
      <c r="AW447" s="786">
        <f>IF(AK447="A",AY10,0)</f>
        <v>0</v>
      </c>
      <c r="AX447" s="5495" t="str">
        <f>IF(IFERROR(SEARCH("Adresse PC",TRIM(W447)),0)&gt;0,"▼ receta siguiente",IF(AK447="A",IF(AZ10&lt;&gt;"",AZ10&amp;" - ou.or.o ❾ + or - &gt;",""),""))</f>
        <v/>
      </c>
      <c r="AY447" s="810"/>
      <c r="AZ447" s="810"/>
      <c r="BA447" s="788" t="str">
        <f t="shared" si="184"/>
        <v/>
      </c>
      <c r="BB447" s="789" t="str">
        <f>IF(AK447="A",IF(AQ447,IF(AND(AW447&lt;&gt;"",N(AW447)&gt;0),IFERROR(IFERROR(_xlfn.XLOOKUP(AP447,BP10:BP57,BT10:BT57),IFERROR(_xlfn.XLOOKUP(AP447,BQ10:BQ57,BT10:BT57),_xlfn.XLOOKUP(AP447,BR10:BR57,BT10:BT57,""))),""),""),""),"")</f>
        <v/>
      </c>
      <c r="BC447" s="811" cm="1">
        <f t="array" ref="BC447">IF(NOT(AQ447),0,IF(OR(BA447="",N(BA447)&lt;=0.000000001),"",IF(OR(AU447="",N(AU447)&lt;=0.000000001),0,IF(ISNUMBER(BA447),IFERROR(_xlfn.LET(_xlpm.ai_test,TRIM(AP447),_xlpm.r,IFERROR(_xlfn.XLOOKUP(_xlpm.ai_test,BP16:BP63,ROW(BP16:BP63),0,1),IFERROR(_xlfn.XLOOKUP(_xlpm.ai_test,BQ16:BQ63,ROW(BQ16:BQ63),0,1),_xlfn.XLOOKUP(_xlpm.ai_test,BR16:BR63,ROW(BR16:BR63),0,1))),_xlpm.p,_xlpm.r-MIN(ROW(BP16:BP63))+1,_xlpm.f,INDEX(BS16:BS63,_xlpm.p),_xlpm.u,INDEX(BT16:BT63,_xlpm.p),_xlpm.s,INDEX(BV16:BV63,_xlpm.p),_xlpm.q,N(BA447)/_xlpm.f,IF(_xlpm.q&gt;=_xlpm.s,ROUND(_xlpm.q,1)&amp;" "&amp;_xlpm.ai_test&amp;" = "&amp;ROUND(_xlpm.q*_xlpm.f,1)&amp;" "&amp;_xlpm.u,ROUND(_xlpm.q,1)&amp;" "&amp;_xlpm.ai_test)),""),""))))</f>
        <v>0</v>
      </c>
      <c r="BD447" s="801"/>
      <c r="BE447" s="788" t="str">
        <f t="shared" si="195"/>
        <v/>
      </c>
      <c r="BF447" s="789" t="str">
        <f t="shared" si="198"/>
        <v/>
      </c>
      <c r="BG447" s="790">
        <f t="shared" si="199"/>
        <v>0</v>
      </c>
      <c r="BH447" s="791" t="str">
        <f t="shared" si="200"/>
        <v/>
      </c>
      <c r="BI447" s="792"/>
      <c r="BJ447" s="793">
        <f t="shared" si="201"/>
        <v>0</v>
      </c>
      <c r="BK447" s="794" t="str">
        <f t="shared" si="196"/>
        <v/>
      </c>
      <c r="BL447" s="227" t="s">
        <v>21</v>
      </c>
      <c r="BM447" s="773">
        <f t="shared" si="186"/>
        <v>0</v>
      </c>
      <c r="BN447" s="774">
        <f t="shared" si="187"/>
        <v>0</v>
      </c>
      <c r="BO447"/>
      <c r="BX447"/>
      <c r="BY447"/>
      <c r="BZ447"/>
      <c r="CA447"/>
      <c r="CB447"/>
      <c r="CC447"/>
      <c r="CD447" s="781" t="str">
        <f t="shared" si="182"/>
        <v>►</v>
      </c>
      <c r="CE447" s="633"/>
      <c r="CF447" s="633"/>
      <c r="CG447" s="633"/>
      <c r="CH447" s="633"/>
      <c r="CI447" s="633"/>
      <c r="CJ447" s="227"/>
      <c r="CK447"/>
      <c r="CL447"/>
      <c r="CM447"/>
      <c r="CN447"/>
      <c r="CO447"/>
      <c r="CP447"/>
      <c r="CQ447"/>
      <c r="CR447" s="227"/>
      <c r="CS447"/>
      <c r="CT447"/>
      <c r="CU447"/>
      <c r="CV447"/>
      <c r="CW447"/>
      <c r="CX447"/>
      <c r="CY447"/>
      <c r="CZ447" s="227"/>
      <c r="DA447"/>
      <c r="DB447"/>
      <c r="DC447"/>
      <c r="DD447"/>
      <c r="DE447"/>
      <c r="DF447"/>
      <c r="DG447"/>
      <c r="DH447" s="227"/>
      <c r="DI447" s="3">
        <v>1</v>
      </c>
    </row>
    <row r="448" spans="2:113" s="627" customFormat="1" ht="21" customHeight="1">
      <c r="B448" s="2265" t="str" cm="1">
        <f t="array" ref="B448">SUMPRODUCT(--(D448:J448&lt;&gt;""), LEN(TRIM(SUBSTITUTE(D448:J448, CHAR(160), "")))) &amp; " Car."</f>
        <v>0 Car.</v>
      </c>
      <c r="C448" s="1376" t="str">
        <f>IF(ISBLANK(D448),"",LARGE(C13:C447,1)+1)</f>
        <v/>
      </c>
      <c r="D448" s="1833"/>
      <c r="E448" s="1810"/>
      <c r="F448" s="1810"/>
      <c r="G448" s="1810"/>
      <c r="H448" s="1810"/>
      <c r="I448" s="1810"/>
      <c r="J448" s="1810"/>
      <c r="K448" s="1810"/>
      <c r="L448" s="1811"/>
      <c r="M448"/>
      <c r="N448" s="103" t="str">
        <f t="shared" si="183"/>
        <v>►</v>
      </c>
      <c r="O448" s="1616"/>
      <c r="P448"/>
      <c r="Q448" s="103" t="s">
        <v>15</v>
      </c>
      <c r="R448" s="31"/>
      <c r="S448" s="32"/>
      <c r="T448" s="31"/>
      <c r="U448" s="33"/>
      <c r="V448" s="1804"/>
      <c r="W448" s="1805"/>
      <c r="X448" s="91"/>
      <c r="Y448" s="1806"/>
      <c r="Z448" s="1807"/>
      <c r="AA448" s="919"/>
      <c r="AB448" s="1813"/>
      <c r="AC448" s="1580"/>
      <c r="AD448" s="95"/>
      <c r="AE448" s="105"/>
      <c r="AF448" s="97"/>
      <c r="AG448" s="2080"/>
      <c r="AH448" s="2081"/>
      <c r="AI448" s="99"/>
      <c r="AJ448" s="1809"/>
      <c r="AK448" s="6120" t="str">
        <f t="shared" si="197"/>
        <v>►</v>
      </c>
      <c r="AL448" s="781" t="str">
        <f t="shared" si="185"/>
        <v>►</v>
      </c>
      <c r="AM448" s="5498" t="str">
        <f t="shared" si="188"/>
        <v/>
      </c>
      <c r="AN448" s="783" t="str">
        <f t="shared" si="189"/>
        <v/>
      </c>
      <c r="AO448" s="782" t="str">
        <f t="shared" si="190"/>
        <v/>
      </c>
      <c r="AP448" s="783" t="str">
        <f t="shared" si="191"/>
        <v/>
      </c>
      <c r="AQ448" s="2083" t="b">
        <f>AND(Q448="A",COUNTIF(BP16:BR63,TRIM(Z448))&gt;0)</f>
        <v>0</v>
      </c>
      <c r="AR448" s="797" t="str">
        <f>IF(AL448&lt;&gt;"A","",IFERROR(IFERROR(_xlfn.XLOOKUP(TRIM(SUBSTITUTE(Z448,CHAR(160)," ")),BP16:BP63,BS16:BS63),IFERROR(_xlfn.XLOOKUP(TRIM(SUBSTITUTE(Z448,CHAR(160)," ")),BQ16:BQ63,BS16:BS63),_xlfn.XLOOKUP(TRIM(SUBSTITUTE(Z448,CHAR(160)," ")),BR16:BR63,BS16:BS63)))*Y448*IF(ISBLANK(V448),1,V448),0))</f>
        <v/>
      </c>
      <c r="AS448" s="784" t="str">
        <f t="shared" si="181"/>
        <v/>
      </c>
      <c r="AT448" s="1315" t="str">
        <f t="shared" si="192"/>
        <v/>
      </c>
      <c r="AU448" s="785">
        <f t="shared" si="193"/>
        <v>0</v>
      </c>
      <c r="AV448" s="785">
        <f t="shared" si="194"/>
        <v>0</v>
      </c>
      <c r="AW448" s="798">
        <f>IF(AK448="A",AY10,0)</f>
        <v>0</v>
      </c>
      <c r="AX448" s="5496" t="str">
        <f>IF(IFERROR(SEARCH("Adresse PC",TRIM(W448)),0)&gt;0,"▼ receta siguiente",IF(AK448="A",IF(AZ10&lt;&gt;"",AZ10&amp;" - ou.or.o ❾ + or - &gt;",""),""))</f>
        <v/>
      </c>
      <c r="AY448" s="810"/>
      <c r="AZ448" s="810"/>
      <c r="BA448" s="799" t="str">
        <f t="shared" si="184"/>
        <v/>
      </c>
      <c r="BB448" s="800" t="str">
        <f>IF(AK448="A",IF(AQ448,IF(AND(AW448&lt;&gt;"",N(AW448)&gt;0),IFERROR(IFERROR(_xlfn.XLOOKUP(AP448,BP10:BP57,BT10:BT57),IFERROR(_xlfn.XLOOKUP(AP448,BQ10:BQ57,BT10:BT57),_xlfn.XLOOKUP(AP448,BR10:BR57,BT10:BT57,""))),""),""),""),"")</f>
        <v/>
      </c>
      <c r="BC448" s="813" cm="1">
        <f t="array" ref="BC448">IF(NOT(AQ448),0,IF(OR(BA448="",N(BA448)&lt;=0.000000001),"",IF(OR(AU448="",N(AU448)&lt;=0.000000001),0,IF(ISNUMBER(BA448),IFERROR(_xlfn.LET(_xlpm.ai_test,TRIM(AP448),_xlpm.r,IFERROR(_xlfn.XLOOKUP(_xlpm.ai_test,BP16:BP63,ROW(BP16:BP63),0,1),IFERROR(_xlfn.XLOOKUP(_xlpm.ai_test,BQ16:BQ63,ROW(BQ16:BQ63),0,1),_xlfn.XLOOKUP(_xlpm.ai_test,BR16:BR63,ROW(BR16:BR63),0,1))),_xlpm.p,_xlpm.r-MIN(ROW(BP16:BP63))+1,_xlpm.f,INDEX(BS16:BS63,_xlpm.p),_xlpm.u,INDEX(BT16:BT63,_xlpm.p),_xlpm.s,INDEX(BV16:BV63,_xlpm.p),_xlpm.q,N(BA448)/_xlpm.f,IF(_xlpm.q&gt;=_xlpm.s,ROUND(_xlpm.q,1)&amp;" "&amp;_xlpm.ai_test&amp;" = "&amp;ROUND(_xlpm.q*_xlpm.f,1)&amp;" "&amp;_xlpm.u,ROUND(_xlpm.q,1)&amp;" "&amp;_xlpm.ai_test)),""),""))))</f>
        <v>0</v>
      </c>
      <c r="BD448" s="801"/>
      <c r="BE448" s="799" t="str">
        <f t="shared" si="195"/>
        <v/>
      </c>
      <c r="BF448" s="800" t="str">
        <f t="shared" si="198"/>
        <v/>
      </c>
      <c r="BG448" s="802">
        <f t="shared" si="199"/>
        <v>0</v>
      </c>
      <c r="BH448" s="803" t="str">
        <f t="shared" si="200"/>
        <v/>
      </c>
      <c r="BI448" s="792"/>
      <c r="BJ448" s="804">
        <f t="shared" si="201"/>
        <v>0</v>
      </c>
      <c r="BK448" s="794" t="str">
        <f t="shared" si="196"/>
        <v/>
      </c>
      <c r="BL448" s="227" t="s">
        <v>21</v>
      </c>
      <c r="BM448" s="773">
        <f t="shared" si="186"/>
        <v>0</v>
      </c>
      <c r="BN448" s="774">
        <f t="shared" si="187"/>
        <v>0</v>
      </c>
      <c r="BO448"/>
      <c r="BX448"/>
      <c r="BY448"/>
      <c r="BZ448"/>
      <c r="CA448"/>
      <c r="CB448"/>
      <c r="CC448"/>
      <c r="CD448" s="781" t="str">
        <f t="shared" si="182"/>
        <v>►</v>
      </c>
      <c r="CE448" s="633"/>
      <c r="CF448" s="633"/>
      <c r="CG448" s="633"/>
      <c r="CH448" s="633"/>
      <c r="CI448" s="633"/>
      <c r="CJ448" s="227"/>
      <c r="CK448"/>
      <c r="CL448"/>
      <c r="CM448"/>
      <c r="CN448"/>
      <c r="CO448"/>
      <c r="CP448"/>
      <c r="CQ448"/>
      <c r="CR448" s="227"/>
      <c r="CS448"/>
      <c r="CT448"/>
      <c r="CU448"/>
      <c r="CV448"/>
      <c r="CW448"/>
      <c r="CX448"/>
      <c r="CY448"/>
      <c r="CZ448" s="227"/>
      <c r="DA448"/>
      <c r="DB448"/>
      <c r="DC448"/>
      <c r="DD448"/>
      <c r="DE448"/>
      <c r="DF448"/>
      <c r="DG448"/>
      <c r="DH448" s="227"/>
      <c r="DI448" s="3">
        <v>1</v>
      </c>
    </row>
    <row r="449" spans="2:113" s="627" customFormat="1" ht="21" customHeight="1">
      <c r="B449" s="2265" t="str" cm="1">
        <f t="array" ref="B449">SUMPRODUCT(--(D449:J449&lt;&gt;""), LEN(TRIM(SUBSTITUTE(D449:J449, CHAR(160), "")))) &amp; " Car."</f>
        <v>0 Car.</v>
      </c>
      <c r="C449" s="1376" t="str">
        <f>IF(ISBLANK(D449),"",LARGE(C13:C448,1)+1)</f>
        <v/>
      </c>
      <c r="D449" s="1833"/>
      <c r="E449" s="1810"/>
      <c r="F449" s="1810"/>
      <c r="G449" s="1810"/>
      <c r="H449" s="1810"/>
      <c r="I449" s="1810"/>
      <c r="J449" s="1810"/>
      <c r="K449" s="1810"/>
      <c r="L449" s="1811"/>
      <c r="M449"/>
      <c r="N449" s="103" t="str">
        <f t="shared" si="183"/>
        <v>►</v>
      </c>
      <c r="O449" s="1616"/>
      <c r="P449"/>
      <c r="Q449" s="103" t="s">
        <v>15</v>
      </c>
      <c r="R449" s="31"/>
      <c r="S449" s="32"/>
      <c r="T449" s="31"/>
      <c r="U449" s="33"/>
      <c r="V449" s="1804"/>
      <c r="W449" s="1805"/>
      <c r="X449" s="91"/>
      <c r="Y449" s="1806"/>
      <c r="Z449" s="1807"/>
      <c r="AA449" s="919"/>
      <c r="AB449" s="1813"/>
      <c r="AC449" s="1580"/>
      <c r="AD449" s="95"/>
      <c r="AE449" s="105"/>
      <c r="AF449" s="97"/>
      <c r="AG449" s="2080"/>
      <c r="AH449" s="2081"/>
      <c r="AI449" s="99"/>
      <c r="AJ449" s="1809"/>
      <c r="AK449" s="6120" t="str">
        <f t="shared" si="197"/>
        <v>►</v>
      </c>
      <c r="AL449" s="781" t="str">
        <f t="shared" si="185"/>
        <v>►</v>
      </c>
      <c r="AM449" s="5499" t="str">
        <f t="shared" si="188"/>
        <v/>
      </c>
      <c r="AN449" s="783" t="str">
        <f t="shared" si="189"/>
        <v/>
      </c>
      <c r="AO449" s="782" t="str">
        <f t="shared" si="190"/>
        <v/>
      </c>
      <c r="AP449" s="783" t="str">
        <f t="shared" si="191"/>
        <v/>
      </c>
      <c r="AQ449" s="2083" t="b">
        <f>AND(Q449="A",COUNTIF(BP16:BR63,TRIM(Z449))&gt;0)</f>
        <v>0</v>
      </c>
      <c r="AR449" s="797" t="str">
        <f>IF(AL449&lt;&gt;"A","",IFERROR(IFERROR(_xlfn.XLOOKUP(TRIM(SUBSTITUTE(Z449,CHAR(160)," ")),BP16:BP63,BS16:BS63),IFERROR(_xlfn.XLOOKUP(TRIM(SUBSTITUTE(Z449,CHAR(160)," ")),BQ16:BQ63,BS16:BS63),_xlfn.XLOOKUP(TRIM(SUBSTITUTE(Z449,CHAR(160)," ")),BR16:BR63,BS16:BS63)))*Y449*IF(ISBLANK(V449),1,V449),0))</f>
        <v/>
      </c>
      <c r="AS449" s="784" t="str">
        <f t="shared" si="181"/>
        <v/>
      </c>
      <c r="AT449" s="1315" t="str">
        <f t="shared" si="192"/>
        <v/>
      </c>
      <c r="AU449" s="785">
        <f t="shared" si="193"/>
        <v>0</v>
      </c>
      <c r="AV449" s="785">
        <f t="shared" si="194"/>
        <v>0</v>
      </c>
      <c r="AW449" s="786">
        <f>IF(AK449="A",AY10,0)</f>
        <v>0</v>
      </c>
      <c r="AX449" s="5495" t="str">
        <f>IF(IFERROR(SEARCH("Adresse PC",TRIM(W449)),0)&gt;0,"▼ receta siguiente",IF(AK449="A",IF(AZ10&lt;&gt;"",AZ10&amp;" - ou.or.o ❾ + or - &gt;",""),""))</f>
        <v/>
      </c>
      <c r="AY449" s="810"/>
      <c r="AZ449" s="810"/>
      <c r="BA449" s="788" t="str">
        <f t="shared" si="184"/>
        <v/>
      </c>
      <c r="BB449" s="789" t="str">
        <f>IF(AK449="A",IF(AQ449,IF(AND(AW449&lt;&gt;"",N(AW449)&gt;0),IFERROR(IFERROR(_xlfn.XLOOKUP(AP449,BP10:BP57,BT10:BT57),IFERROR(_xlfn.XLOOKUP(AP449,BQ10:BQ57,BT10:BT57),_xlfn.XLOOKUP(AP449,BR10:BR57,BT10:BT57,""))),""),""),""),"")</f>
        <v/>
      </c>
      <c r="BC449" s="811" cm="1">
        <f t="array" ref="BC449">IF(NOT(AQ449),0,IF(OR(BA449="",N(BA449)&lt;=0.000000001),"",IF(OR(AU449="",N(AU449)&lt;=0.000000001),0,IF(ISNUMBER(BA449),IFERROR(_xlfn.LET(_xlpm.ai_test,TRIM(AP449),_xlpm.r,IFERROR(_xlfn.XLOOKUP(_xlpm.ai_test,BP16:BP63,ROW(BP16:BP63),0,1),IFERROR(_xlfn.XLOOKUP(_xlpm.ai_test,BQ16:BQ63,ROW(BQ16:BQ63),0,1),_xlfn.XLOOKUP(_xlpm.ai_test,BR16:BR63,ROW(BR16:BR63),0,1))),_xlpm.p,_xlpm.r-MIN(ROW(BP16:BP63))+1,_xlpm.f,INDEX(BS16:BS63,_xlpm.p),_xlpm.u,INDEX(BT16:BT63,_xlpm.p),_xlpm.s,INDEX(BV16:BV63,_xlpm.p),_xlpm.q,N(BA449)/_xlpm.f,IF(_xlpm.q&gt;=_xlpm.s,ROUND(_xlpm.q,1)&amp;" "&amp;_xlpm.ai_test&amp;" = "&amp;ROUND(_xlpm.q*_xlpm.f,1)&amp;" "&amp;_xlpm.u,ROUND(_xlpm.q,1)&amp;" "&amp;_xlpm.ai_test)),""),""))))</f>
        <v>0</v>
      </c>
      <c r="BD449" s="801"/>
      <c r="BE449" s="788" t="str">
        <f t="shared" si="195"/>
        <v/>
      </c>
      <c r="BF449" s="789" t="str">
        <f t="shared" si="198"/>
        <v/>
      </c>
      <c r="BG449" s="790">
        <f t="shared" si="199"/>
        <v>0</v>
      </c>
      <c r="BH449" s="791" t="str">
        <f t="shared" si="200"/>
        <v/>
      </c>
      <c r="BI449" s="792"/>
      <c r="BJ449" s="793">
        <f t="shared" si="201"/>
        <v>0</v>
      </c>
      <c r="BK449" s="794" t="str">
        <f t="shared" si="196"/>
        <v/>
      </c>
      <c r="BL449" s="227" t="s">
        <v>21</v>
      </c>
      <c r="BM449" s="773">
        <f t="shared" si="186"/>
        <v>0</v>
      </c>
      <c r="BN449" s="774">
        <f t="shared" si="187"/>
        <v>0</v>
      </c>
      <c r="BO449"/>
      <c r="BX449"/>
      <c r="BY449"/>
      <c r="BZ449"/>
      <c r="CA449"/>
      <c r="CB449"/>
      <c r="CC449"/>
      <c r="CD449" s="781" t="str">
        <f t="shared" si="182"/>
        <v>►</v>
      </c>
      <c r="CE449" s="633"/>
      <c r="CF449" s="633"/>
      <c r="CG449" s="633"/>
      <c r="CH449" s="633"/>
      <c r="CI449" s="633"/>
      <c r="CJ449" s="227"/>
      <c r="CK449"/>
      <c r="CL449"/>
      <c r="CM449"/>
      <c r="CN449"/>
      <c r="CO449"/>
      <c r="CP449"/>
      <c r="CQ449"/>
      <c r="CR449" s="227"/>
      <c r="CS449"/>
      <c r="CT449"/>
      <c r="CU449"/>
      <c r="CV449"/>
      <c r="CW449"/>
      <c r="CX449"/>
      <c r="CY449"/>
      <c r="CZ449" s="227"/>
      <c r="DA449"/>
      <c r="DB449"/>
      <c r="DC449"/>
      <c r="DD449"/>
      <c r="DE449"/>
      <c r="DF449"/>
      <c r="DG449"/>
      <c r="DH449" s="227"/>
      <c r="DI449" s="3">
        <v>1</v>
      </c>
    </row>
    <row r="450" spans="2:113" s="627" customFormat="1" ht="21" customHeight="1">
      <c r="B450" s="2265" t="str" cm="1">
        <f t="array" ref="B450">SUMPRODUCT(--(D450:J450&lt;&gt;""), LEN(TRIM(SUBSTITUTE(D450:J450, CHAR(160), "")))) &amp; " Car."</f>
        <v>0 Car.</v>
      </c>
      <c r="C450" s="1376" t="str">
        <f>IF(ISBLANK(D450),"",LARGE(C13:C449,1)+1)</f>
        <v/>
      </c>
      <c r="D450" s="1833"/>
      <c r="E450" s="1810"/>
      <c r="F450" s="1810"/>
      <c r="G450" s="1810"/>
      <c r="H450" s="1810"/>
      <c r="I450" s="1810"/>
      <c r="J450" s="1810"/>
      <c r="K450" s="1810"/>
      <c r="L450" s="1811"/>
      <c r="M450"/>
      <c r="N450" s="103" t="str">
        <f t="shared" si="183"/>
        <v>►</v>
      </c>
      <c r="O450" s="1616"/>
      <c r="P450"/>
      <c r="Q450" s="103" t="s">
        <v>15</v>
      </c>
      <c r="R450" s="31"/>
      <c r="S450" s="32"/>
      <c r="T450" s="31"/>
      <c r="U450" s="33"/>
      <c r="V450" s="1804"/>
      <c r="W450" s="1805"/>
      <c r="X450" s="91"/>
      <c r="Y450" s="1806"/>
      <c r="Z450" s="1807"/>
      <c r="AA450" s="919"/>
      <c r="AB450" s="1813"/>
      <c r="AC450" s="1580"/>
      <c r="AD450" s="95"/>
      <c r="AE450" s="105"/>
      <c r="AF450" s="97"/>
      <c r="AG450" s="2080"/>
      <c r="AH450" s="2081"/>
      <c r="AI450" s="99"/>
      <c r="AJ450" s="1809"/>
      <c r="AK450" s="6120" t="str">
        <f t="shared" si="197"/>
        <v>►</v>
      </c>
      <c r="AL450" s="781" t="str">
        <f t="shared" si="185"/>
        <v>►</v>
      </c>
      <c r="AM450" s="5498" t="str">
        <f t="shared" si="188"/>
        <v/>
      </c>
      <c r="AN450" s="783" t="str">
        <f t="shared" si="189"/>
        <v/>
      </c>
      <c r="AO450" s="782" t="str">
        <f t="shared" si="190"/>
        <v/>
      </c>
      <c r="AP450" s="783" t="str">
        <f t="shared" si="191"/>
        <v/>
      </c>
      <c r="AQ450" s="2083" t="b">
        <f>AND(Q450="A",COUNTIF(BP16:BR63,TRIM(Z450))&gt;0)</f>
        <v>0</v>
      </c>
      <c r="AR450" s="797" t="str">
        <f>IF(AL450&lt;&gt;"A","",IFERROR(IFERROR(_xlfn.XLOOKUP(TRIM(SUBSTITUTE(Z450,CHAR(160)," ")),BP16:BP63,BS16:BS63),IFERROR(_xlfn.XLOOKUP(TRIM(SUBSTITUTE(Z450,CHAR(160)," ")),BQ16:BQ63,BS16:BS63),_xlfn.XLOOKUP(TRIM(SUBSTITUTE(Z450,CHAR(160)," ")),BR16:BR63,BS16:BS63)))*Y450*IF(ISBLANK(V450),1,V450),0))</f>
        <v/>
      </c>
      <c r="AS450" s="784" t="str">
        <f t="shared" si="181"/>
        <v/>
      </c>
      <c r="AT450" s="1315" t="str">
        <f t="shared" si="192"/>
        <v/>
      </c>
      <c r="AU450" s="785">
        <f t="shared" si="193"/>
        <v>0</v>
      </c>
      <c r="AV450" s="785">
        <f t="shared" si="194"/>
        <v>0</v>
      </c>
      <c r="AW450" s="798">
        <f>IF(AK450="A",AY10,0)</f>
        <v>0</v>
      </c>
      <c r="AX450" s="5496" t="str">
        <f>IF(IFERROR(SEARCH("Adresse PC",TRIM(W450)),0)&gt;0,"▼ receta siguiente",IF(AK450="A",IF(AZ10&lt;&gt;"",AZ10&amp;" - ou.or.o ❾ + or - &gt;",""),""))</f>
        <v/>
      </c>
      <c r="AY450" s="810"/>
      <c r="AZ450" s="810"/>
      <c r="BA450" s="799" t="str">
        <f t="shared" si="184"/>
        <v/>
      </c>
      <c r="BB450" s="800" t="str">
        <f>IF(AK450="A",IF(AQ450,IF(AND(AW450&lt;&gt;"",N(AW450)&gt;0),IFERROR(IFERROR(_xlfn.XLOOKUP(AP450,BP10:BP57,BT10:BT57),IFERROR(_xlfn.XLOOKUP(AP450,BQ10:BQ57,BT10:BT57),_xlfn.XLOOKUP(AP450,BR10:BR57,BT10:BT57,""))),""),""),""),"")</f>
        <v/>
      </c>
      <c r="BC450" s="813" cm="1">
        <f t="array" ref="BC450">IF(NOT(AQ450),0,IF(OR(BA450="",N(BA450)&lt;=0.000000001),"",IF(OR(AU450="",N(AU450)&lt;=0.000000001),0,IF(ISNUMBER(BA450),IFERROR(_xlfn.LET(_xlpm.ai_test,TRIM(AP450),_xlpm.r,IFERROR(_xlfn.XLOOKUP(_xlpm.ai_test,BP16:BP63,ROW(BP16:BP63),0,1),IFERROR(_xlfn.XLOOKUP(_xlpm.ai_test,BQ16:BQ63,ROW(BQ16:BQ63),0,1),_xlfn.XLOOKUP(_xlpm.ai_test,BR16:BR63,ROW(BR16:BR63),0,1))),_xlpm.p,_xlpm.r-MIN(ROW(BP16:BP63))+1,_xlpm.f,INDEX(BS16:BS63,_xlpm.p),_xlpm.u,INDEX(BT16:BT63,_xlpm.p),_xlpm.s,INDEX(BV16:BV63,_xlpm.p),_xlpm.q,N(BA450)/_xlpm.f,IF(_xlpm.q&gt;=_xlpm.s,ROUND(_xlpm.q,1)&amp;" "&amp;_xlpm.ai_test&amp;" = "&amp;ROUND(_xlpm.q*_xlpm.f,1)&amp;" "&amp;_xlpm.u,ROUND(_xlpm.q,1)&amp;" "&amp;_xlpm.ai_test)),""),""))))</f>
        <v>0</v>
      </c>
      <c r="BD450" s="801"/>
      <c r="BE450" s="799" t="str">
        <f t="shared" si="195"/>
        <v/>
      </c>
      <c r="BF450" s="800" t="str">
        <f t="shared" si="198"/>
        <v/>
      </c>
      <c r="BG450" s="802">
        <f t="shared" si="199"/>
        <v>0</v>
      </c>
      <c r="BH450" s="803" t="str">
        <f t="shared" si="200"/>
        <v/>
      </c>
      <c r="BI450" s="792"/>
      <c r="BJ450" s="804">
        <f t="shared" si="201"/>
        <v>0</v>
      </c>
      <c r="BK450" s="794" t="str">
        <f t="shared" si="196"/>
        <v/>
      </c>
      <c r="BL450" s="227" t="s">
        <v>21</v>
      </c>
      <c r="BM450" s="773">
        <f t="shared" si="186"/>
        <v>0</v>
      </c>
      <c r="BN450" s="774">
        <f t="shared" si="187"/>
        <v>0</v>
      </c>
      <c r="BO450"/>
      <c r="BX450"/>
      <c r="BY450"/>
      <c r="BZ450"/>
      <c r="CA450"/>
      <c r="CB450"/>
      <c r="CC450"/>
      <c r="CD450" s="781" t="str">
        <f t="shared" si="182"/>
        <v>►</v>
      </c>
      <c r="CE450" s="633"/>
      <c r="CF450" s="633"/>
      <c r="CG450" s="633"/>
      <c r="CH450" s="633"/>
      <c r="CI450" s="633"/>
      <c r="CJ450" s="227"/>
      <c r="CK450"/>
      <c r="CL450"/>
      <c r="CM450"/>
      <c r="CN450"/>
      <c r="CO450"/>
      <c r="CP450"/>
      <c r="CQ450"/>
      <c r="CR450" s="227"/>
      <c r="CS450"/>
      <c r="CT450"/>
      <c r="CU450"/>
      <c r="CV450"/>
      <c r="CW450"/>
      <c r="CX450"/>
      <c r="CY450"/>
      <c r="CZ450" s="227"/>
      <c r="DA450"/>
      <c r="DB450"/>
      <c r="DC450"/>
      <c r="DD450"/>
      <c r="DE450"/>
      <c r="DF450"/>
      <c r="DG450"/>
      <c r="DH450" s="227"/>
      <c r="DI450" s="3">
        <v>1</v>
      </c>
    </row>
    <row r="451" spans="2:113" s="627" customFormat="1" ht="21" customHeight="1">
      <c r="B451" s="2265" t="str" cm="1">
        <f t="array" ref="B451">SUMPRODUCT(--(D451:J451&lt;&gt;""), LEN(TRIM(SUBSTITUTE(D451:J451, CHAR(160), "")))) &amp; " Car."</f>
        <v>0 Car.</v>
      </c>
      <c r="C451" s="1376" t="str">
        <f>IF(ISBLANK(D451),"",LARGE(C13:C450,1)+1)</f>
        <v/>
      </c>
      <c r="D451" s="1833"/>
      <c r="E451" s="1810"/>
      <c r="F451" s="1810"/>
      <c r="G451" s="1810"/>
      <c r="H451" s="1810"/>
      <c r="I451" s="1810"/>
      <c r="J451" s="1810"/>
      <c r="K451" s="1810"/>
      <c r="L451" s="1811"/>
      <c r="M451"/>
      <c r="N451" s="103" t="str">
        <f t="shared" si="183"/>
        <v>►</v>
      </c>
      <c r="O451" s="1616"/>
      <c r="P451"/>
      <c r="Q451" s="103" t="s">
        <v>15</v>
      </c>
      <c r="R451" s="31"/>
      <c r="S451" s="32"/>
      <c r="T451" s="31"/>
      <c r="U451" s="33"/>
      <c r="V451" s="1804"/>
      <c r="W451" s="1805"/>
      <c r="X451" s="91"/>
      <c r="Y451" s="1806"/>
      <c r="Z451" s="1807"/>
      <c r="AA451" s="919"/>
      <c r="AB451" s="1813"/>
      <c r="AC451" s="1580"/>
      <c r="AD451" s="95"/>
      <c r="AE451" s="105"/>
      <c r="AF451" s="97"/>
      <c r="AG451" s="2080"/>
      <c r="AH451" s="2081"/>
      <c r="AI451" s="99"/>
      <c r="AJ451" s="1809"/>
      <c r="AK451" s="6120" t="str">
        <f t="shared" si="197"/>
        <v>►</v>
      </c>
      <c r="AL451" s="781" t="str">
        <f t="shared" si="185"/>
        <v>►</v>
      </c>
      <c r="AM451" s="5499" t="str">
        <f t="shared" si="188"/>
        <v/>
      </c>
      <c r="AN451" s="783" t="str">
        <f t="shared" si="189"/>
        <v/>
      </c>
      <c r="AO451" s="782" t="str">
        <f t="shared" si="190"/>
        <v/>
      </c>
      <c r="AP451" s="783" t="str">
        <f t="shared" si="191"/>
        <v/>
      </c>
      <c r="AQ451" s="2083" t="b">
        <f>AND(Q451="A",COUNTIF(BP16:BR63,TRIM(Z451))&gt;0)</f>
        <v>0</v>
      </c>
      <c r="AR451" s="797" t="str">
        <f>IF(AL451&lt;&gt;"A","",IFERROR(IFERROR(_xlfn.XLOOKUP(TRIM(SUBSTITUTE(Z451,CHAR(160)," ")),BP16:BP63,BS16:BS63),IFERROR(_xlfn.XLOOKUP(TRIM(SUBSTITUTE(Z451,CHAR(160)," ")),BQ16:BQ63,BS16:BS63),_xlfn.XLOOKUP(TRIM(SUBSTITUTE(Z451,CHAR(160)," ")),BR16:BR63,BS16:BS63)))*Y451*IF(ISBLANK(V451),1,V451),0))</f>
        <v/>
      </c>
      <c r="AS451" s="784" t="str">
        <f t="shared" si="181"/>
        <v/>
      </c>
      <c r="AT451" s="1315" t="str">
        <f t="shared" si="192"/>
        <v/>
      </c>
      <c r="AU451" s="785">
        <f t="shared" si="193"/>
        <v>0</v>
      </c>
      <c r="AV451" s="785">
        <f t="shared" si="194"/>
        <v>0</v>
      </c>
      <c r="AW451" s="786">
        <f>IF(AK451="A",AY10,0)</f>
        <v>0</v>
      </c>
      <c r="AX451" s="5495" t="str">
        <f>IF(IFERROR(SEARCH("Adresse PC",TRIM(W451)),0)&gt;0,"▼ receta siguiente",IF(AK451="A",IF(AZ10&lt;&gt;"",AZ10&amp;" - ou.or.o ❾ + or - &gt;",""),""))</f>
        <v/>
      </c>
      <c r="AY451" s="810"/>
      <c r="AZ451" s="810"/>
      <c r="BA451" s="788" t="str">
        <f t="shared" si="184"/>
        <v/>
      </c>
      <c r="BB451" s="789" t="str">
        <f>IF(AK451="A",IF(AQ451,IF(AND(AW451&lt;&gt;"",N(AW451)&gt;0),IFERROR(IFERROR(_xlfn.XLOOKUP(AP451,BP10:BP57,BT10:BT57),IFERROR(_xlfn.XLOOKUP(AP451,BQ10:BQ57,BT10:BT57),_xlfn.XLOOKUP(AP451,BR10:BR57,BT10:BT57,""))),""),""),""),"")</f>
        <v/>
      </c>
      <c r="BC451" s="811" cm="1">
        <f t="array" ref="BC451">IF(NOT(AQ451),0,IF(OR(BA451="",N(BA451)&lt;=0.000000001),"",IF(OR(AU451="",N(AU451)&lt;=0.000000001),0,IF(ISNUMBER(BA451),IFERROR(_xlfn.LET(_xlpm.ai_test,TRIM(AP451),_xlpm.r,IFERROR(_xlfn.XLOOKUP(_xlpm.ai_test,BP16:BP63,ROW(BP16:BP63),0,1),IFERROR(_xlfn.XLOOKUP(_xlpm.ai_test,BQ16:BQ63,ROW(BQ16:BQ63),0,1),_xlfn.XLOOKUP(_xlpm.ai_test,BR16:BR63,ROW(BR16:BR63),0,1))),_xlpm.p,_xlpm.r-MIN(ROW(BP16:BP63))+1,_xlpm.f,INDEX(BS16:BS63,_xlpm.p),_xlpm.u,INDEX(BT16:BT63,_xlpm.p),_xlpm.s,INDEX(BV16:BV63,_xlpm.p),_xlpm.q,N(BA451)/_xlpm.f,IF(_xlpm.q&gt;=_xlpm.s,ROUND(_xlpm.q,1)&amp;" "&amp;_xlpm.ai_test&amp;" = "&amp;ROUND(_xlpm.q*_xlpm.f,1)&amp;" "&amp;_xlpm.u,ROUND(_xlpm.q,1)&amp;" "&amp;_xlpm.ai_test)),""),""))))</f>
        <v>0</v>
      </c>
      <c r="BD451" s="801"/>
      <c r="BE451" s="788" t="str">
        <f t="shared" si="195"/>
        <v/>
      </c>
      <c r="BF451" s="789" t="str">
        <f t="shared" si="198"/>
        <v/>
      </c>
      <c r="BG451" s="790">
        <f t="shared" si="199"/>
        <v>0</v>
      </c>
      <c r="BH451" s="791" t="str">
        <f t="shared" si="200"/>
        <v/>
      </c>
      <c r="BI451" s="792"/>
      <c r="BJ451" s="793">
        <f t="shared" si="201"/>
        <v>0</v>
      </c>
      <c r="BK451" s="794" t="str">
        <f t="shared" si="196"/>
        <v/>
      </c>
      <c r="BL451" s="227" t="s">
        <v>21</v>
      </c>
      <c r="BM451" s="773">
        <f t="shared" si="186"/>
        <v>0</v>
      </c>
      <c r="BN451" s="774">
        <f t="shared" si="187"/>
        <v>0</v>
      </c>
      <c r="BO451"/>
      <c r="BX451"/>
      <c r="BY451"/>
      <c r="BZ451"/>
      <c r="CA451"/>
      <c r="CB451"/>
      <c r="CC451"/>
      <c r="CD451" s="781" t="str">
        <f t="shared" si="182"/>
        <v>►</v>
      </c>
      <c r="CE451" s="633"/>
      <c r="CF451" s="633"/>
      <c r="CG451" s="633"/>
      <c r="CH451" s="633"/>
      <c r="CI451" s="633"/>
      <c r="CJ451" s="227"/>
      <c r="CK451"/>
      <c r="CL451"/>
      <c r="CM451"/>
      <c r="CN451"/>
      <c r="CO451"/>
      <c r="CP451"/>
      <c r="CQ451"/>
      <c r="CR451" s="227"/>
      <c r="CS451"/>
      <c r="CT451"/>
      <c r="CU451"/>
      <c r="CV451"/>
      <c r="CW451"/>
      <c r="CX451"/>
      <c r="CY451"/>
      <c r="CZ451" s="227"/>
      <c r="DA451"/>
      <c r="DB451"/>
      <c r="DC451"/>
      <c r="DD451"/>
      <c r="DE451"/>
      <c r="DF451"/>
      <c r="DG451"/>
      <c r="DH451" s="227"/>
      <c r="DI451" s="3">
        <v>1</v>
      </c>
    </row>
    <row r="452" spans="2:113" s="627" customFormat="1" ht="21" customHeight="1">
      <c r="B452" s="2265" t="str" cm="1">
        <f t="array" ref="B452">SUMPRODUCT(--(D452:J452&lt;&gt;""), LEN(TRIM(SUBSTITUTE(D452:J452, CHAR(160), "")))) &amp; " Car."</f>
        <v>0 Car.</v>
      </c>
      <c r="C452" s="1376" t="str">
        <f>IF(ISBLANK(D452),"",LARGE(C13:C451,1)+1)</f>
        <v/>
      </c>
      <c r="D452" s="1833"/>
      <c r="E452" s="1810"/>
      <c r="F452" s="1810"/>
      <c r="G452" s="1810"/>
      <c r="H452" s="1810"/>
      <c r="I452" s="1810"/>
      <c r="J452" s="1810"/>
      <c r="K452" s="1810"/>
      <c r="L452" s="1811"/>
      <c r="M452"/>
      <c r="N452" s="103" t="str">
        <f t="shared" si="183"/>
        <v>►</v>
      </c>
      <c r="O452" s="1616"/>
      <c r="P452"/>
      <c r="Q452" s="103" t="s">
        <v>15</v>
      </c>
      <c r="R452" s="31"/>
      <c r="S452" s="32"/>
      <c r="T452" s="31"/>
      <c r="U452" s="33"/>
      <c r="V452" s="1804"/>
      <c r="W452" s="1805"/>
      <c r="X452" s="91"/>
      <c r="Y452" s="1806"/>
      <c r="Z452" s="1807"/>
      <c r="AA452" s="919"/>
      <c r="AB452" s="1813"/>
      <c r="AC452" s="1580"/>
      <c r="AD452" s="95"/>
      <c r="AE452" s="105"/>
      <c r="AF452" s="97"/>
      <c r="AG452" s="2080"/>
      <c r="AH452" s="2081"/>
      <c r="AI452" s="99"/>
      <c r="AJ452" s="1809"/>
      <c r="AK452" s="6120" t="str">
        <f t="shared" si="197"/>
        <v>►</v>
      </c>
      <c r="AL452" s="781" t="str">
        <f t="shared" si="185"/>
        <v>►</v>
      </c>
      <c r="AM452" s="5498" t="str">
        <f t="shared" si="188"/>
        <v/>
      </c>
      <c r="AN452" s="783" t="str">
        <f t="shared" si="189"/>
        <v/>
      </c>
      <c r="AO452" s="782" t="str">
        <f t="shared" si="190"/>
        <v/>
      </c>
      <c r="AP452" s="783" t="str">
        <f t="shared" si="191"/>
        <v/>
      </c>
      <c r="AQ452" s="2083" t="b">
        <f>AND(Q452="A",COUNTIF(BP16:BR63,TRIM(Z452))&gt;0)</f>
        <v>0</v>
      </c>
      <c r="AR452" s="797" t="str">
        <f>IF(AL452&lt;&gt;"A","",IFERROR(IFERROR(_xlfn.XLOOKUP(TRIM(SUBSTITUTE(Z452,CHAR(160)," ")),BP16:BP63,BS16:BS63),IFERROR(_xlfn.XLOOKUP(TRIM(SUBSTITUTE(Z452,CHAR(160)," ")),BQ16:BQ63,BS16:BS63),_xlfn.XLOOKUP(TRIM(SUBSTITUTE(Z452,CHAR(160)," ")),BR16:BR63,BS16:BS63)))*Y452*IF(ISBLANK(V452),1,V452),0))</f>
        <v/>
      </c>
      <c r="AS452" s="784" t="str">
        <f t="shared" si="181"/>
        <v/>
      </c>
      <c r="AT452" s="1315" t="str">
        <f t="shared" si="192"/>
        <v/>
      </c>
      <c r="AU452" s="785">
        <f t="shared" si="193"/>
        <v>0</v>
      </c>
      <c r="AV452" s="785">
        <f t="shared" si="194"/>
        <v>0</v>
      </c>
      <c r="AW452" s="798">
        <f>IF(AK452="A",AY10,0)</f>
        <v>0</v>
      </c>
      <c r="AX452" s="5496" t="str">
        <f>IF(IFERROR(SEARCH("Adresse PC",TRIM(W452)),0)&gt;0,"▼ receta siguiente",IF(AK452="A",IF(AZ10&lt;&gt;"",AZ10&amp;" - ou.or.o ❾ + or - &gt;",""),""))</f>
        <v/>
      </c>
      <c r="AY452" s="810"/>
      <c r="AZ452" s="810"/>
      <c r="BA452" s="799" t="str">
        <f t="shared" si="184"/>
        <v/>
      </c>
      <c r="BB452" s="800" t="str">
        <f>IF(AK452="A",IF(AQ452,IF(AND(AW452&lt;&gt;"",N(AW452)&gt;0),IFERROR(IFERROR(_xlfn.XLOOKUP(AP452,BP10:BP57,BT10:BT57),IFERROR(_xlfn.XLOOKUP(AP452,BQ10:BQ57,BT10:BT57),_xlfn.XLOOKUP(AP452,BR10:BR57,BT10:BT57,""))),""),""),""),"")</f>
        <v/>
      </c>
      <c r="BC452" s="813" cm="1">
        <f t="array" ref="BC452">IF(NOT(AQ452),0,IF(OR(BA452="",N(BA452)&lt;=0.000000001),"",IF(OR(AU452="",N(AU452)&lt;=0.000000001),0,IF(ISNUMBER(BA452),IFERROR(_xlfn.LET(_xlpm.ai_test,TRIM(AP452),_xlpm.r,IFERROR(_xlfn.XLOOKUP(_xlpm.ai_test,BP16:BP63,ROW(BP16:BP63),0,1),IFERROR(_xlfn.XLOOKUP(_xlpm.ai_test,BQ16:BQ63,ROW(BQ16:BQ63),0,1),_xlfn.XLOOKUP(_xlpm.ai_test,BR16:BR63,ROW(BR16:BR63),0,1))),_xlpm.p,_xlpm.r-MIN(ROW(BP16:BP63))+1,_xlpm.f,INDEX(BS16:BS63,_xlpm.p),_xlpm.u,INDEX(BT16:BT63,_xlpm.p),_xlpm.s,INDEX(BV16:BV63,_xlpm.p),_xlpm.q,N(BA452)/_xlpm.f,IF(_xlpm.q&gt;=_xlpm.s,ROUND(_xlpm.q,1)&amp;" "&amp;_xlpm.ai_test&amp;" = "&amp;ROUND(_xlpm.q*_xlpm.f,1)&amp;" "&amp;_xlpm.u,ROUND(_xlpm.q,1)&amp;" "&amp;_xlpm.ai_test)),""),""))))</f>
        <v>0</v>
      </c>
      <c r="BD452" s="801"/>
      <c r="BE452" s="799" t="str">
        <f t="shared" si="195"/>
        <v/>
      </c>
      <c r="BF452" s="800" t="str">
        <f t="shared" si="198"/>
        <v/>
      </c>
      <c r="BG452" s="802">
        <f t="shared" si="199"/>
        <v>0</v>
      </c>
      <c r="BH452" s="803" t="str">
        <f t="shared" si="200"/>
        <v/>
      </c>
      <c r="BI452" s="792"/>
      <c r="BJ452" s="804">
        <f t="shared" si="201"/>
        <v>0</v>
      </c>
      <c r="BK452" s="794" t="str">
        <f t="shared" si="196"/>
        <v/>
      </c>
      <c r="BL452" s="227" t="s">
        <v>21</v>
      </c>
      <c r="BM452" s="773">
        <f t="shared" si="186"/>
        <v>0</v>
      </c>
      <c r="BN452" s="774">
        <f t="shared" si="187"/>
        <v>0</v>
      </c>
      <c r="BO452"/>
      <c r="BX452"/>
      <c r="BY452"/>
      <c r="BZ452"/>
      <c r="CA452"/>
      <c r="CB452"/>
      <c r="CC452"/>
      <c r="CD452" s="781" t="str">
        <f t="shared" si="182"/>
        <v>►</v>
      </c>
      <c r="CE452" s="633"/>
      <c r="CF452" s="633"/>
      <c r="CG452" s="633"/>
      <c r="CH452" s="633"/>
      <c r="CI452" s="633"/>
      <c r="CJ452" s="227"/>
      <c r="CK452"/>
      <c r="CL452"/>
      <c r="CM452"/>
      <c r="CN452"/>
      <c r="CO452"/>
      <c r="CP452"/>
      <c r="CQ452"/>
      <c r="CR452" s="227"/>
      <c r="CS452"/>
      <c r="CT452"/>
      <c r="CU452"/>
      <c r="CV452"/>
      <c r="CW452"/>
      <c r="CX452"/>
      <c r="CY452"/>
      <c r="CZ452" s="227"/>
      <c r="DA452"/>
      <c r="DB452"/>
      <c r="DC452"/>
      <c r="DD452"/>
      <c r="DE452"/>
      <c r="DF452"/>
      <c r="DG452"/>
      <c r="DH452" s="227"/>
      <c r="DI452" s="3">
        <v>1</v>
      </c>
    </row>
    <row r="453" spans="2:113" s="627" customFormat="1" ht="21" customHeight="1">
      <c r="B453" s="2265" t="str" cm="1">
        <f t="array" ref="B453">SUMPRODUCT(--(D453:J453&lt;&gt;""), LEN(TRIM(SUBSTITUTE(D453:J453, CHAR(160), "")))) &amp; " Car."</f>
        <v>0 Car.</v>
      </c>
      <c r="C453" s="1376" t="str">
        <f>IF(ISBLANK(D453),"",LARGE(C13:C452,1)+1)</f>
        <v/>
      </c>
      <c r="D453" s="1833"/>
      <c r="E453" s="1810"/>
      <c r="F453" s="1810"/>
      <c r="G453" s="1810"/>
      <c r="H453" s="1810"/>
      <c r="I453" s="1810"/>
      <c r="J453" s="1810"/>
      <c r="K453" s="1810"/>
      <c r="L453" s="1811"/>
      <c r="M453"/>
      <c r="N453" s="103" t="str">
        <f t="shared" si="183"/>
        <v>►</v>
      </c>
      <c r="O453" s="1616"/>
      <c r="P453"/>
      <c r="Q453" s="103" t="s">
        <v>15</v>
      </c>
      <c r="R453" s="31"/>
      <c r="S453" s="32"/>
      <c r="T453" s="31"/>
      <c r="U453" s="33"/>
      <c r="V453" s="1804"/>
      <c r="W453" s="1805"/>
      <c r="X453" s="91"/>
      <c r="Y453" s="1806"/>
      <c r="Z453" s="1807"/>
      <c r="AA453" s="919"/>
      <c r="AB453" s="1813"/>
      <c r="AC453" s="1580"/>
      <c r="AD453" s="95"/>
      <c r="AE453" s="105"/>
      <c r="AF453" s="97"/>
      <c r="AG453" s="2080"/>
      <c r="AH453" s="2081"/>
      <c r="AI453" s="99"/>
      <c r="AJ453" s="1809"/>
      <c r="AK453" s="6120" t="str">
        <f t="shared" si="197"/>
        <v>►</v>
      </c>
      <c r="AL453" s="781" t="str">
        <f t="shared" si="185"/>
        <v>►</v>
      </c>
      <c r="AM453" s="5499" t="str">
        <f t="shared" si="188"/>
        <v/>
      </c>
      <c r="AN453" s="783" t="str">
        <f t="shared" si="189"/>
        <v/>
      </c>
      <c r="AO453" s="782" t="str">
        <f t="shared" si="190"/>
        <v/>
      </c>
      <c r="AP453" s="783" t="str">
        <f t="shared" si="191"/>
        <v/>
      </c>
      <c r="AQ453" s="2083" t="b">
        <f>AND(Q453="A",COUNTIF(BP16:BR63,TRIM(Z453))&gt;0)</f>
        <v>0</v>
      </c>
      <c r="AR453" s="797" t="str">
        <f>IF(AL453&lt;&gt;"A","",IFERROR(IFERROR(_xlfn.XLOOKUP(TRIM(SUBSTITUTE(Z453,CHAR(160)," ")),BP16:BP63,BS16:BS63),IFERROR(_xlfn.XLOOKUP(TRIM(SUBSTITUTE(Z453,CHAR(160)," ")),BQ16:BQ63,BS16:BS63),_xlfn.XLOOKUP(TRIM(SUBSTITUTE(Z453,CHAR(160)," ")),BR16:BR63,BS16:BS63)))*Y453*IF(ISBLANK(V453),1,V453),0))</f>
        <v/>
      </c>
      <c r="AS453" s="784" t="str">
        <f t="shared" si="181"/>
        <v/>
      </c>
      <c r="AT453" s="1315" t="str">
        <f t="shared" si="192"/>
        <v/>
      </c>
      <c r="AU453" s="785">
        <f t="shared" si="193"/>
        <v>0</v>
      </c>
      <c r="AV453" s="785">
        <f t="shared" si="194"/>
        <v>0</v>
      </c>
      <c r="AW453" s="786">
        <f>IF(AK453="A",AY10,0)</f>
        <v>0</v>
      </c>
      <c r="AX453" s="5495" t="str">
        <f>IF(IFERROR(SEARCH("Adresse PC",TRIM(W453)),0)&gt;0,"▼ receta siguiente",IF(AK453="A",IF(AZ10&lt;&gt;"",AZ10&amp;" - ou.or.o ❾ + or - &gt;",""),""))</f>
        <v/>
      </c>
      <c r="AY453" s="810"/>
      <c r="AZ453" s="810"/>
      <c r="BA453" s="788" t="str">
        <f t="shared" si="184"/>
        <v/>
      </c>
      <c r="BB453" s="789" t="str">
        <f>IF(AK453="A",IF(AQ453,IF(AND(AW453&lt;&gt;"",N(AW453)&gt;0),IFERROR(IFERROR(_xlfn.XLOOKUP(AP453,BP10:BP57,BT10:BT57),IFERROR(_xlfn.XLOOKUP(AP453,BQ10:BQ57,BT10:BT57),_xlfn.XLOOKUP(AP453,BR10:BR57,BT10:BT57,""))),""),""),""),"")</f>
        <v/>
      </c>
      <c r="BC453" s="811" cm="1">
        <f t="array" ref="BC453">IF(NOT(AQ453),0,IF(OR(BA453="",N(BA453)&lt;=0.000000001),"",IF(OR(AU453="",N(AU453)&lt;=0.000000001),0,IF(ISNUMBER(BA453),IFERROR(_xlfn.LET(_xlpm.ai_test,TRIM(AP453),_xlpm.r,IFERROR(_xlfn.XLOOKUP(_xlpm.ai_test,BP16:BP63,ROW(BP16:BP63),0,1),IFERROR(_xlfn.XLOOKUP(_xlpm.ai_test,BQ16:BQ63,ROW(BQ16:BQ63),0,1),_xlfn.XLOOKUP(_xlpm.ai_test,BR16:BR63,ROW(BR16:BR63),0,1))),_xlpm.p,_xlpm.r-MIN(ROW(BP16:BP63))+1,_xlpm.f,INDEX(BS16:BS63,_xlpm.p),_xlpm.u,INDEX(BT16:BT63,_xlpm.p),_xlpm.s,INDEX(BV16:BV63,_xlpm.p),_xlpm.q,N(BA453)/_xlpm.f,IF(_xlpm.q&gt;=_xlpm.s,ROUND(_xlpm.q,1)&amp;" "&amp;_xlpm.ai_test&amp;" = "&amp;ROUND(_xlpm.q*_xlpm.f,1)&amp;" "&amp;_xlpm.u,ROUND(_xlpm.q,1)&amp;" "&amp;_xlpm.ai_test)),""),""))))</f>
        <v>0</v>
      </c>
      <c r="BD453" s="801"/>
      <c r="BE453" s="788" t="str">
        <f t="shared" si="195"/>
        <v/>
      </c>
      <c r="BF453" s="789" t="str">
        <f t="shared" si="198"/>
        <v/>
      </c>
      <c r="BG453" s="790">
        <f t="shared" si="199"/>
        <v>0</v>
      </c>
      <c r="BH453" s="791" t="str">
        <f t="shared" si="200"/>
        <v/>
      </c>
      <c r="BI453" s="792"/>
      <c r="BJ453" s="793">
        <f t="shared" si="201"/>
        <v>0</v>
      </c>
      <c r="BK453" s="794" t="str">
        <f t="shared" si="196"/>
        <v/>
      </c>
      <c r="BL453" s="227" t="s">
        <v>21</v>
      </c>
      <c r="BM453" s="773">
        <f t="shared" si="186"/>
        <v>0</v>
      </c>
      <c r="BN453" s="774">
        <f t="shared" si="187"/>
        <v>0</v>
      </c>
      <c r="BO453"/>
      <c r="BX453"/>
      <c r="BY453"/>
      <c r="BZ453"/>
      <c r="CA453"/>
      <c r="CB453"/>
      <c r="CC453"/>
      <c r="CD453" s="781" t="str">
        <f t="shared" si="182"/>
        <v>►</v>
      </c>
      <c r="CE453" s="633"/>
      <c r="CF453" s="633"/>
      <c r="CG453" s="633"/>
      <c r="CH453" s="633"/>
      <c r="CI453" s="633"/>
      <c r="CJ453" s="227"/>
      <c r="CK453"/>
      <c r="CL453"/>
      <c r="CM453"/>
      <c r="CN453"/>
      <c r="CO453"/>
      <c r="CP453"/>
      <c r="CQ453"/>
      <c r="CR453" s="227"/>
      <c r="CS453"/>
      <c r="CT453"/>
      <c r="CU453"/>
      <c r="CV453"/>
      <c r="CW453"/>
      <c r="CX453"/>
      <c r="CY453"/>
      <c r="CZ453" s="227"/>
      <c r="DA453"/>
      <c r="DB453"/>
      <c r="DC453"/>
      <c r="DD453"/>
      <c r="DE453"/>
      <c r="DF453"/>
      <c r="DG453"/>
      <c r="DH453" s="227"/>
      <c r="DI453" s="3">
        <v>1</v>
      </c>
    </row>
    <row r="454" spans="2:113" s="627" customFormat="1" ht="21" customHeight="1">
      <c r="B454" s="2265" t="str" cm="1">
        <f t="array" ref="B454">SUMPRODUCT(--(D454:J454&lt;&gt;""), LEN(TRIM(SUBSTITUTE(D454:J454, CHAR(160), "")))) &amp; " Car."</f>
        <v>0 Car.</v>
      </c>
      <c r="C454" s="1376" t="str">
        <f>IF(ISBLANK(D454),"",LARGE(C13:C453,1)+1)</f>
        <v/>
      </c>
      <c r="D454" s="1833"/>
      <c r="E454" s="1810"/>
      <c r="F454" s="1810"/>
      <c r="G454" s="1810"/>
      <c r="H454" s="1810"/>
      <c r="I454" s="1810"/>
      <c r="J454" s="1810"/>
      <c r="K454" s="1810"/>
      <c r="L454" s="1811"/>
      <c r="M454"/>
      <c r="N454" s="103" t="str">
        <f t="shared" si="183"/>
        <v>►</v>
      </c>
      <c r="O454" s="1616"/>
      <c r="P454"/>
      <c r="Q454" s="103" t="s">
        <v>15</v>
      </c>
      <c r="R454" s="31"/>
      <c r="S454" s="32"/>
      <c r="T454" s="31"/>
      <c r="U454" s="33"/>
      <c r="V454" s="1804"/>
      <c r="W454" s="1805"/>
      <c r="X454" s="91"/>
      <c r="Y454" s="1806"/>
      <c r="Z454" s="1807"/>
      <c r="AA454" s="919"/>
      <c r="AB454" s="1813"/>
      <c r="AC454" s="1580"/>
      <c r="AD454" s="95"/>
      <c r="AE454" s="105"/>
      <c r="AF454" s="97"/>
      <c r="AG454" s="2080"/>
      <c r="AH454" s="2081"/>
      <c r="AI454" s="99"/>
      <c r="AJ454" s="1809"/>
      <c r="AK454" s="6120" t="str">
        <f t="shared" si="197"/>
        <v>►</v>
      </c>
      <c r="AL454" s="781" t="str">
        <f t="shared" si="185"/>
        <v>►</v>
      </c>
      <c r="AM454" s="5498" t="str">
        <f t="shared" si="188"/>
        <v/>
      </c>
      <c r="AN454" s="783" t="str">
        <f t="shared" si="189"/>
        <v/>
      </c>
      <c r="AO454" s="782" t="str">
        <f t="shared" si="190"/>
        <v/>
      </c>
      <c r="AP454" s="783" t="str">
        <f t="shared" si="191"/>
        <v/>
      </c>
      <c r="AQ454" s="2083" t="b">
        <f>AND(Q454="A",COUNTIF(BP16:BR63,TRIM(Z454))&gt;0)</f>
        <v>0</v>
      </c>
      <c r="AR454" s="797" t="str">
        <f>IF(AL454&lt;&gt;"A","",IFERROR(IFERROR(_xlfn.XLOOKUP(TRIM(SUBSTITUTE(Z454,CHAR(160)," ")),BP16:BP63,BS16:BS63),IFERROR(_xlfn.XLOOKUP(TRIM(SUBSTITUTE(Z454,CHAR(160)," ")),BQ16:BQ63,BS16:BS63),_xlfn.XLOOKUP(TRIM(SUBSTITUTE(Z454,CHAR(160)," ")),BR16:BR63,BS16:BS63)))*Y454*IF(ISBLANK(V454),1,V454),0))</f>
        <v/>
      </c>
      <c r="AS454" s="784" t="str">
        <f t="shared" si="181"/>
        <v/>
      </c>
      <c r="AT454" s="1315" t="str">
        <f t="shared" si="192"/>
        <v/>
      </c>
      <c r="AU454" s="785">
        <f t="shared" si="193"/>
        <v>0</v>
      </c>
      <c r="AV454" s="785">
        <f t="shared" si="194"/>
        <v>0</v>
      </c>
      <c r="AW454" s="798">
        <f>IF(AK454="A",AY10,0)</f>
        <v>0</v>
      </c>
      <c r="AX454" s="5496" t="str">
        <f>IF(IFERROR(SEARCH("Adresse PC",TRIM(W454)),0)&gt;0,"▼ receta siguiente",IF(AK454="A",IF(AZ10&lt;&gt;"",AZ10&amp;" - ou.or.o ❾ + or - &gt;",""),""))</f>
        <v/>
      </c>
      <c r="AY454" s="810"/>
      <c r="AZ454" s="810"/>
      <c r="BA454" s="799" t="str">
        <f t="shared" si="184"/>
        <v/>
      </c>
      <c r="BB454" s="800" t="str">
        <f>IF(AK454="A",IF(AQ454,IF(AND(AW454&lt;&gt;"",N(AW454)&gt;0),IFERROR(IFERROR(_xlfn.XLOOKUP(AP454,BP10:BP57,BT10:BT57),IFERROR(_xlfn.XLOOKUP(AP454,BQ10:BQ57,BT10:BT57),_xlfn.XLOOKUP(AP454,BR10:BR57,BT10:BT57,""))),""),""),""),"")</f>
        <v/>
      </c>
      <c r="BC454" s="813" cm="1">
        <f t="array" ref="BC454">IF(NOT(AQ454),0,IF(OR(BA454="",N(BA454)&lt;=0.000000001),"",IF(OR(AU454="",N(AU454)&lt;=0.000000001),0,IF(ISNUMBER(BA454),IFERROR(_xlfn.LET(_xlpm.ai_test,TRIM(AP454),_xlpm.r,IFERROR(_xlfn.XLOOKUP(_xlpm.ai_test,BP16:BP63,ROW(BP16:BP63),0,1),IFERROR(_xlfn.XLOOKUP(_xlpm.ai_test,BQ16:BQ63,ROW(BQ16:BQ63),0,1),_xlfn.XLOOKUP(_xlpm.ai_test,BR16:BR63,ROW(BR16:BR63),0,1))),_xlpm.p,_xlpm.r-MIN(ROW(BP16:BP63))+1,_xlpm.f,INDEX(BS16:BS63,_xlpm.p),_xlpm.u,INDEX(BT16:BT63,_xlpm.p),_xlpm.s,INDEX(BV16:BV63,_xlpm.p),_xlpm.q,N(BA454)/_xlpm.f,IF(_xlpm.q&gt;=_xlpm.s,ROUND(_xlpm.q,1)&amp;" "&amp;_xlpm.ai_test&amp;" = "&amp;ROUND(_xlpm.q*_xlpm.f,1)&amp;" "&amp;_xlpm.u,ROUND(_xlpm.q,1)&amp;" "&amp;_xlpm.ai_test)),""),""))))</f>
        <v>0</v>
      </c>
      <c r="BD454" s="801"/>
      <c r="BE454" s="799" t="str">
        <f t="shared" si="195"/>
        <v/>
      </c>
      <c r="BF454" s="800" t="str">
        <f t="shared" si="198"/>
        <v/>
      </c>
      <c r="BG454" s="802">
        <f t="shared" si="199"/>
        <v>0</v>
      </c>
      <c r="BH454" s="803" t="str">
        <f t="shared" si="200"/>
        <v/>
      </c>
      <c r="BI454" s="792"/>
      <c r="BJ454" s="804">
        <f t="shared" si="201"/>
        <v>0</v>
      </c>
      <c r="BK454" s="794" t="str">
        <f t="shared" si="196"/>
        <v/>
      </c>
      <c r="BL454" s="227" t="s">
        <v>21</v>
      </c>
      <c r="BM454" s="773">
        <f t="shared" si="186"/>
        <v>0</v>
      </c>
      <c r="BN454" s="774">
        <f t="shared" si="187"/>
        <v>0</v>
      </c>
      <c r="BO454"/>
      <c r="BX454"/>
      <c r="BY454"/>
      <c r="BZ454"/>
      <c r="CA454"/>
      <c r="CB454"/>
      <c r="CC454"/>
      <c r="CD454" s="781" t="str">
        <f t="shared" si="182"/>
        <v>►</v>
      </c>
      <c r="CE454" s="633"/>
      <c r="CF454" s="633"/>
      <c r="CG454" s="633"/>
      <c r="CH454" s="633"/>
      <c r="CI454" s="633"/>
      <c r="CJ454" s="227"/>
      <c r="CK454"/>
      <c r="CL454"/>
      <c r="CM454"/>
      <c r="CN454"/>
      <c r="CO454"/>
      <c r="CP454"/>
      <c r="CQ454"/>
      <c r="CR454" s="227"/>
      <c r="CS454"/>
      <c r="CT454"/>
      <c r="CU454"/>
      <c r="CV454"/>
      <c r="CW454"/>
      <c r="CX454"/>
      <c r="CY454"/>
      <c r="CZ454" s="227"/>
      <c r="DA454"/>
      <c r="DB454"/>
      <c r="DC454"/>
      <c r="DD454"/>
      <c r="DE454"/>
      <c r="DF454"/>
      <c r="DG454"/>
      <c r="DH454" s="227"/>
      <c r="DI454" s="3">
        <v>1</v>
      </c>
    </row>
    <row r="455" spans="2:113" s="627" customFormat="1" ht="21" customHeight="1">
      <c r="B455" s="2265" t="str" cm="1">
        <f t="array" ref="B455">SUMPRODUCT(--(D455:J455&lt;&gt;""), LEN(TRIM(SUBSTITUTE(D455:J455, CHAR(160), "")))) &amp; " Car."</f>
        <v>0 Car.</v>
      </c>
      <c r="C455" s="1376" t="str">
        <f>IF(ISBLANK(D455),"",LARGE(C13:C454,1)+1)</f>
        <v/>
      </c>
      <c r="D455" s="1833"/>
      <c r="E455" s="1810"/>
      <c r="F455" s="1810"/>
      <c r="G455" s="1810"/>
      <c r="H455" s="1810"/>
      <c r="I455" s="1810"/>
      <c r="J455" s="1810"/>
      <c r="K455" s="1810"/>
      <c r="L455" s="1811"/>
      <c r="M455"/>
      <c r="N455" s="103" t="str">
        <f t="shared" si="183"/>
        <v>►</v>
      </c>
      <c r="O455" s="1616"/>
      <c r="P455"/>
      <c r="Q455" s="103" t="s">
        <v>15</v>
      </c>
      <c r="R455" s="31"/>
      <c r="S455" s="32"/>
      <c r="T455" s="31"/>
      <c r="U455" s="33"/>
      <c r="V455" s="1804"/>
      <c r="W455" s="1805"/>
      <c r="X455" s="91"/>
      <c r="Y455" s="1806"/>
      <c r="Z455" s="1807"/>
      <c r="AA455" s="919"/>
      <c r="AB455" s="1813"/>
      <c r="AC455" s="1580"/>
      <c r="AD455" s="95"/>
      <c r="AE455" s="105"/>
      <c r="AF455" s="97"/>
      <c r="AG455" s="2080"/>
      <c r="AH455" s="2081"/>
      <c r="AI455" s="99"/>
      <c r="AJ455" s="1809"/>
      <c r="AK455" s="6120" t="str">
        <f t="shared" si="197"/>
        <v>►</v>
      </c>
      <c r="AL455" s="781" t="str">
        <f t="shared" si="185"/>
        <v>►</v>
      </c>
      <c r="AM455" s="5499" t="str">
        <f t="shared" si="188"/>
        <v/>
      </c>
      <c r="AN455" s="783" t="str">
        <f t="shared" si="189"/>
        <v/>
      </c>
      <c r="AO455" s="782" t="str">
        <f t="shared" si="190"/>
        <v/>
      </c>
      <c r="AP455" s="783" t="str">
        <f t="shared" si="191"/>
        <v/>
      </c>
      <c r="AQ455" s="2083" t="b">
        <f>AND(Q455="A",COUNTIF(BP16:BR63,TRIM(Z455))&gt;0)</f>
        <v>0</v>
      </c>
      <c r="AR455" s="797" t="str">
        <f>IF(AL455&lt;&gt;"A","",IFERROR(IFERROR(_xlfn.XLOOKUP(TRIM(SUBSTITUTE(Z455,CHAR(160)," ")),BP16:BP63,BS16:BS63),IFERROR(_xlfn.XLOOKUP(TRIM(SUBSTITUTE(Z455,CHAR(160)," ")),BQ16:BQ63,BS16:BS63),_xlfn.XLOOKUP(TRIM(SUBSTITUTE(Z455,CHAR(160)," ")),BR16:BR63,BS16:BS63)))*Y455*IF(ISBLANK(V455),1,V455),0))</f>
        <v/>
      </c>
      <c r="AS455" s="784" t="str">
        <f t="shared" ref="AS455:AS518" si="202">IF(AK455="A",IF(AND(AQ455,AR455&gt;0),"Kg",""),"")</f>
        <v/>
      </c>
      <c r="AT455" s="1315" t="str">
        <f t="shared" si="192"/>
        <v/>
      </c>
      <c r="AU455" s="785">
        <f t="shared" si="193"/>
        <v>0</v>
      </c>
      <c r="AV455" s="785">
        <f t="shared" si="194"/>
        <v>0</v>
      </c>
      <c r="AW455" s="786">
        <f>IF(AK455="A",AY10,0)</f>
        <v>0</v>
      </c>
      <c r="AX455" s="5495" t="str">
        <f>IF(IFERROR(SEARCH("Adresse PC",TRIM(W455)),0)&gt;0,"▼ receta siguiente",IF(AK455="A",IF(AZ10&lt;&gt;"",AZ10&amp;" - ou.or.o ❾ + or - &gt;",""),""))</f>
        <v/>
      </c>
      <c r="AY455" s="810"/>
      <c r="AZ455" s="810"/>
      <c r="BA455" s="788" t="str">
        <f t="shared" si="184"/>
        <v/>
      </c>
      <c r="BB455" s="789" t="str">
        <f>IF(AK455="A",IF(AQ455,IF(AND(AW455&lt;&gt;"",N(AW455)&gt;0),IFERROR(IFERROR(_xlfn.XLOOKUP(AP455,BP10:BP57,BT10:BT57),IFERROR(_xlfn.XLOOKUP(AP455,BQ10:BQ57,BT10:BT57),_xlfn.XLOOKUP(AP455,BR10:BR57,BT10:BT57,""))),""),""),""),"")</f>
        <v/>
      </c>
      <c r="BC455" s="811" cm="1">
        <f t="array" ref="BC455">IF(NOT(AQ455),0,IF(OR(BA455="",N(BA455)&lt;=0.000000001),"",IF(OR(AU455="",N(AU455)&lt;=0.000000001),0,IF(ISNUMBER(BA455),IFERROR(_xlfn.LET(_xlpm.ai_test,TRIM(AP455),_xlpm.r,IFERROR(_xlfn.XLOOKUP(_xlpm.ai_test,BP16:BP63,ROW(BP16:BP63),0,1),IFERROR(_xlfn.XLOOKUP(_xlpm.ai_test,BQ16:BQ63,ROW(BQ16:BQ63),0,1),_xlfn.XLOOKUP(_xlpm.ai_test,BR16:BR63,ROW(BR16:BR63),0,1))),_xlpm.p,_xlpm.r-MIN(ROW(BP16:BP63))+1,_xlpm.f,INDEX(BS16:BS63,_xlpm.p),_xlpm.u,INDEX(BT16:BT63,_xlpm.p),_xlpm.s,INDEX(BV16:BV63,_xlpm.p),_xlpm.q,N(BA455)/_xlpm.f,IF(_xlpm.q&gt;=_xlpm.s,ROUND(_xlpm.q,1)&amp;" "&amp;_xlpm.ai_test&amp;" = "&amp;ROUND(_xlpm.q*_xlpm.f,1)&amp;" "&amp;_xlpm.u,ROUND(_xlpm.q,1)&amp;" "&amp;_xlpm.ai_test)),""),""))))</f>
        <v>0</v>
      </c>
      <c r="BD455" s="801"/>
      <c r="BE455" s="788" t="str">
        <f t="shared" si="195"/>
        <v/>
      </c>
      <c r="BF455" s="789" t="str">
        <f t="shared" si="198"/>
        <v/>
      </c>
      <c r="BG455" s="790">
        <f t="shared" si="199"/>
        <v>0</v>
      </c>
      <c r="BH455" s="791" t="str">
        <f t="shared" si="200"/>
        <v/>
      </c>
      <c r="BI455" s="792"/>
      <c r="BJ455" s="793">
        <f t="shared" si="201"/>
        <v>0</v>
      </c>
      <c r="BK455" s="794" t="str">
        <f t="shared" si="196"/>
        <v/>
      </c>
      <c r="BL455" s="227" t="s">
        <v>21</v>
      </c>
      <c r="BM455" s="773">
        <f t="shared" si="186"/>
        <v>0</v>
      </c>
      <c r="BN455" s="774">
        <f t="shared" si="187"/>
        <v>0</v>
      </c>
      <c r="BO455"/>
      <c r="BX455"/>
      <c r="BY455"/>
      <c r="BZ455"/>
      <c r="CA455"/>
      <c r="CB455"/>
      <c r="CC455"/>
      <c r="CD455" s="781" t="str">
        <f t="shared" ref="CD455:CD518" si="203">AL455</f>
        <v>►</v>
      </c>
      <c r="CE455" s="633"/>
      <c r="CF455" s="633"/>
      <c r="CG455" s="633"/>
      <c r="CH455" s="633"/>
      <c r="CI455" s="633"/>
      <c r="CJ455" s="227"/>
      <c r="CK455"/>
      <c r="CL455"/>
      <c r="CM455"/>
      <c r="CN455"/>
      <c r="CO455"/>
      <c r="CP455"/>
      <c r="CQ455"/>
      <c r="CR455" s="227"/>
      <c r="CS455"/>
      <c r="CT455"/>
      <c r="CU455"/>
      <c r="CV455"/>
      <c r="CW455"/>
      <c r="CX455"/>
      <c r="CY455"/>
      <c r="CZ455" s="227"/>
      <c r="DA455"/>
      <c r="DB455"/>
      <c r="DC455"/>
      <c r="DD455"/>
      <c r="DE455"/>
      <c r="DF455"/>
      <c r="DG455"/>
      <c r="DH455" s="227"/>
      <c r="DI455" s="3">
        <v>1</v>
      </c>
    </row>
    <row r="456" spans="2:113" s="627" customFormat="1" ht="21" customHeight="1">
      <c r="B456" s="2265" t="str" cm="1">
        <f t="array" ref="B456">SUMPRODUCT(--(D456:J456&lt;&gt;""), LEN(TRIM(SUBSTITUTE(D456:J456, CHAR(160), "")))) &amp; " Car."</f>
        <v>0 Car.</v>
      </c>
      <c r="C456" s="1376" t="str">
        <f>IF(ISBLANK(D456),"",LARGE(C13:C455,1)+1)</f>
        <v/>
      </c>
      <c r="D456" s="1833"/>
      <c r="E456" s="1810"/>
      <c r="F456" s="1810"/>
      <c r="G456" s="1810"/>
      <c r="H456" s="1810"/>
      <c r="I456" s="1810"/>
      <c r="J456" s="1810"/>
      <c r="K456" s="1810"/>
      <c r="L456" s="1811"/>
      <c r="M456"/>
      <c r="N456" s="103" t="str">
        <f t="shared" si="183"/>
        <v>►</v>
      </c>
      <c r="O456" s="1616"/>
      <c r="P456"/>
      <c r="Q456" s="103" t="s">
        <v>15</v>
      </c>
      <c r="R456" s="31"/>
      <c r="S456" s="32"/>
      <c r="T456" s="31"/>
      <c r="U456" s="33"/>
      <c r="V456" s="1804"/>
      <c r="W456" s="1805"/>
      <c r="X456" s="91"/>
      <c r="Y456" s="1806"/>
      <c r="Z456" s="1807"/>
      <c r="AA456" s="919"/>
      <c r="AB456" s="1813"/>
      <c r="AC456" s="1580"/>
      <c r="AD456" s="95"/>
      <c r="AE456" s="105"/>
      <c r="AF456" s="97"/>
      <c r="AG456" s="2080"/>
      <c r="AH456" s="2081"/>
      <c r="AI456" s="99"/>
      <c r="AJ456" s="1809"/>
      <c r="AK456" s="6120" t="str">
        <f t="shared" si="197"/>
        <v>►</v>
      </c>
      <c r="AL456" s="781" t="str">
        <f t="shared" si="185"/>
        <v>►</v>
      </c>
      <c r="AM456" s="5498" t="str">
        <f t="shared" si="188"/>
        <v/>
      </c>
      <c r="AN456" s="783" t="str">
        <f t="shared" si="189"/>
        <v/>
      </c>
      <c r="AO456" s="782" t="str">
        <f t="shared" si="190"/>
        <v/>
      </c>
      <c r="AP456" s="783" t="str">
        <f t="shared" si="191"/>
        <v/>
      </c>
      <c r="AQ456" s="2083" t="b">
        <f>AND(Q456="A",COUNTIF(BP16:BR63,TRIM(Z456))&gt;0)</f>
        <v>0</v>
      </c>
      <c r="AR456" s="797" t="str">
        <f>IF(AL456&lt;&gt;"A","",IFERROR(IFERROR(_xlfn.XLOOKUP(TRIM(SUBSTITUTE(Z456,CHAR(160)," ")),BP16:BP63,BS16:BS63),IFERROR(_xlfn.XLOOKUP(TRIM(SUBSTITUTE(Z456,CHAR(160)," ")),BQ16:BQ63,BS16:BS63),_xlfn.XLOOKUP(TRIM(SUBSTITUTE(Z456,CHAR(160)," ")),BR16:BR63,BS16:BS63)))*Y456*IF(ISBLANK(V456),1,V456),0))</f>
        <v/>
      </c>
      <c r="AS456" s="784" t="str">
        <f t="shared" si="202"/>
        <v/>
      </c>
      <c r="AT456" s="1315" t="str">
        <f t="shared" si="192"/>
        <v/>
      </c>
      <c r="AU456" s="785">
        <f t="shared" si="193"/>
        <v>0</v>
      </c>
      <c r="AV456" s="785">
        <f t="shared" si="194"/>
        <v>0</v>
      </c>
      <c r="AW456" s="798">
        <f>IF(AK456="A",AY10,0)</f>
        <v>0</v>
      </c>
      <c r="AX456" s="5496" t="str">
        <f>IF(IFERROR(SEARCH("Adresse PC",TRIM(W456)),0)&gt;0,"▼ receta siguiente",IF(AK456="A",IF(AZ10&lt;&gt;"",AZ10&amp;" - ou.or.o ❾ + or - &gt;",""),""))</f>
        <v/>
      </c>
      <c r="AY456" s="810"/>
      <c r="AZ456" s="810"/>
      <c r="BA456" s="799" t="str">
        <f t="shared" si="184"/>
        <v/>
      </c>
      <c r="BB456" s="800" t="str">
        <f>IF(AK456="A",IF(AQ456,IF(AND(AW456&lt;&gt;"",N(AW456)&gt;0),IFERROR(IFERROR(_xlfn.XLOOKUP(AP456,BP10:BP57,BT10:BT57),IFERROR(_xlfn.XLOOKUP(AP456,BQ10:BQ57,BT10:BT57),_xlfn.XLOOKUP(AP456,BR10:BR57,BT10:BT57,""))),""),""),""),"")</f>
        <v/>
      </c>
      <c r="BC456" s="813" cm="1">
        <f t="array" ref="BC456">IF(NOT(AQ456),0,IF(OR(BA456="",N(BA456)&lt;=0.000000001),"",IF(OR(AU456="",N(AU456)&lt;=0.000000001),0,IF(ISNUMBER(BA456),IFERROR(_xlfn.LET(_xlpm.ai_test,TRIM(AP456),_xlpm.r,IFERROR(_xlfn.XLOOKUP(_xlpm.ai_test,BP16:BP63,ROW(BP16:BP63),0,1),IFERROR(_xlfn.XLOOKUP(_xlpm.ai_test,BQ16:BQ63,ROW(BQ16:BQ63),0,1),_xlfn.XLOOKUP(_xlpm.ai_test,BR16:BR63,ROW(BR16:BR63),0,1))),_xlpm.p,_xlpm.r-MIN(ROW(BP16:BP63))+1,_xlpm.f,INDEX(BS16:BS63,_xlpm.p),_xlpm.u,INDEX(BT16:BT63,_xlpm.p),_xlpm.s,INDEX(BV16:BV63,_xlpm.p),_xlpm.q,N(BA456)/_xlpm.f,IF(_xlpm.q&gt;=_xlpm.s,ROUND(_xlpm.q,1)&amp;" "&amp;_xlpm.ai_test&amp;" = "&amp;ROUND(_xlpm.q*_xlpm.f,1)&amp;" "&amp;_xlpm.u,ROUND(_xlpm.q,1)&amp;" "&amp;_xlpm.ai_test)),""),""))))</f>
        <v>0</v>
      </c>
      <c r="BD456" s="801"/>
      <c r="BE456" s="799" t="str">
        <f t="shared" si="195"/>
        <v/>
      </c>
      <c r="BF456" s="800" t="str">
        <f t="shared" si="198"/>
        <v/>
      </c>
      <c r="BG456" s="802">
        <f t="shared" si="199"/>
        <v>0</v>
      </c>
      <c r="BH456" s="803" t="str">
        <f t="shared" si="200"/>
        <v/>
      </c>
      <c r="BI456" s="792"/>
      <c r="BJ456" s="804">
        <f t="shared" si="201"/>
        <v>0</v>
      </c>
      <c r="BK456" s="794" t="str">
        <f t="shared" si="196"/>
        <v/>
      </c>
      <c r="BL456" s="227" t="s">
        <v>21</v>
      </c>
      <c r="BM456" s="773">
        <f t="shared" si="186"/>
        <v>0</v>
      </c>
      <c r="BN456" s="774">
        <f t="shared" si="187"/>
        <v>0</v>
      </c>
      <c r="BO456"/>
      <c r="BX456"/>
      <c r="BY456"/>
      <c r="BZ456"/>
      <c r="CA456"/>
      <c r="CB456"/>
      <c r="CC456"/>
      <c r="CD456" s="781" t="str">
        <f t="shared" si="203"/>
        <v>►</v>
      </c>
      <c r="CE456" s="633"/>
      <c r="CF456" s="633"/>
      <c r="CG456" s="633"/>
      <c r="CH456" s="633"/>
      <c r="CI456" s="633"/>
      <c r="CJ456" s="227"/>
      <c r="CK456"/>
      <c r="CL456"/>
      <c r="CM456"/>
      <c r="CN456"/>
      <c r="CO456"/>
      <c r="CP456"/>
      <c r="CQ456"/>
      <c r="CR456" s="227"/>
      <c r="CS456"/>
      <c r="CT456"/>
      <c r="CU456"/>
      <c r="CV456"/>
      <c r="CW456"/>
      <c r="CX456"/>
      <c r="CY456"/>
      <c r="CZ456" s="227"/>
      <c r="DA456"/>
      <c r="DB456"/>
      <c r="DC456"/>
      <c r="DD456"/>
      <c r="DE456"/>
      <c r="DF456"/>
      <c r="DG456"/>
      <c r="DH456" s="227"/>
      <c r="DI456" s="3">
        <v>1</v>
      </c>
    </row>
    <row r="457" spans="2:113" s="627" customFormat="1" ht="21" customHeight="1">
      <c r="B457" s="2265" t="str" cm="1">
        <f t="array" ref="B457">SUMPRODUCT(--(D457:J457&lt;&gt;""), LEN(TRIM(SUBSTITUTE(D457:J457, CHAR(160), "")))) &amp; " Car."</f>
        <v>0 Car.</v>
      </c>
      <c r="C457" s="1376" t="str">
        <f>IF(ISBLANK(D457),"",LARGE(C13:C456,1)+1)</f>
        <v/>
      </c>
      <c r="D457" s="1833"/>
      <c r="E457" s="1810"/>
      <c r="F457" s="1810"/>
      <c r="G457" s="1810"/>
      <c r="H457" s="1810"/>
      <c r="I457" s="1810"/>
      <c r="J457" s="1810"/>
      <c r="K457" s="1810"/>
      <c r="L457" s="1811"/>
      <c r="M457"/>
      <c r="N457" s="103" t="str">
        <f t="shared" si="183"/>
        <v>►</v>
      </c>
      <c r="O457" s="1616"/>
      <c r="P457"/>
      <c r="Q457" s="103" t="s">
        <v>15</v>
      </c>
      <c r="R457" s="31"/>
      <c r="S457" s="32"/>
      <c r="T457" s="31"/>
      <c r="U457" s="33"/>
      <c r="V457" s="1804"/>
      <c r="W457" s="1805"/>
      <c r="X457" s="91"/>
      <c r="Y457" s="1806"/>
      <c r="Z457" s="1807"/>
      <c r="AA457" s="919"/>
      <c r="AB457" s="1813"/>
      <c r="AC457" s="1580"/>
      <c r="AD457" s="95"/>
      <c r="AE457" s="105"/>
      <c r="AF457" s="97"/>
      <c r="AG457" s="2080"/>
      <c r="AH457" s="2081"/>
      <c r="AI457" s="99"/>
      <c r="AJ457" s="1809"/>
      <c r="AK457" s="6120" t="str">
        <f t="shared" si="197"/>
        <v>►</v>
      </c>
      <c r="AL457" s="781" t="str">
        <f t="shared" si="185"/>
        <v>►</v>
      </c>
      <c r="AM457" s="5499" t="str">
        <f t="shared" si="188"/>
        <v/>
      </c>
      <c r="AN457" s="783" t="str">
        <f t="shared" si="189"/>
        <v/>
      </c>
      <c r="AO457" s="782" t="str">
        <f t="shared" si="190"/>
        <v/>
      </c>
      <c r="AP457" s="783" t="str">
        <f t="shared" si="191"/>
        <v/>
      </c>
      <c r="AQ457" s="2083" t="b">
        <f>AND(Q457="A",COUNTIF(BP16:BR63,TRIM(Z457))&gt;0)</f>
        <v>0</v>
      </c>
      <c r="AR457" s="797" t="str">
        <f>IF(AL457&lt;&gt;"A","",IFERROR(IFERROR(_xlfn.XLOOKUP(TRIM(SUBSTITUTE(Z457,CHAR(160)," ")),BP16:BP63,BS16:BS63),IFERROR(_xlfn.XLOOKUP(TRIM(SUBSTITUTE(Z457,CHAR(160)," ")),BQ16:BQ63,BS16:BS63),_xlfn.XLOOKUP(TRIM(SUBSTITUTE(Z457,CHAR(160)," ")),BR16:BR63,BS16:BS63)))*Y457*IF(ISBLANK(V457),1,V457),0))</f>
        <v/>
      </c>
      <c r="AS457" s="784" t="str">
        <f t="shared" si="202"/>
        <v/>
      </c>
      <c r="AT457" s="1315" t="str">
        <f t="shared" si="192"/>
        <v/>
      </c>
      <c r="AU457" s="785">
        <f t="shared" si="193"/>
        <v>0</v>
      </c>
      <c r="AV457" s="785">
        <f t="shared" si="194"/>
        <v>0</v>
      </c>
      <c r="AW457" s="786">
        <f>IF(AK457="A",AY10,0)</f>
        <v>0</v>
      </c>
      <c r="AX457" s="5495" t="str">
        <f>IF(IFERROR(SEARCH("Adresse PC",TRIM(W457)),0)&gt;0,"▼ receta siguiente",IF(AK457="A",IF(AZ10&lt;&gt;"",AZ10&amp;" - ou.or.o ❾ + or - &gt;",""),""))</f>
        <v/>
      </c>
      <c r="AY457" s="810"/>
      <c r="AZ457" s="810"/>
      <c r="BA457" s="788" t="str">
        <f t="shared" si="184"/>
        <v/>
      </c>
      <c r="BB457" s="789" t="str">
        <f>IF(AK457="A",IF(AQ457,IF(AND(AW457&lt;&gt;"",N(AW457)&gt;0),IFERROR(IFERROR(_xlfn.XLOOKUP(AP457,BP10:BP57,BT10:BT57),IFERROR(_xlfn.XLOOKUP(AP457,BQ10:BQ57,BT10:BT57),_xlfn.XLOOKUP(AP457,BR10:BR57,BT10:BT57,""))),""),""),""),"")</f>
        <v/>
      </c>
      <c r="BC457" s="811" cm="1">
        <f t="array" ref="BC457">IF(NOT(AQ457),0,IF(OR(BA457="",N(BA457)&lt;=0.000000001),"",IF(OR(AU457="",N(AU457)&lt;=0.000000001),0,IF(ISNUMBER(BA457),IFERROR(_xlfn.LET(_xlpm.ai_test,TRIM(AP457),_xlpm.r,IFERROR(_xlfn.XLOOKUP(_xlpm.ai_test,BP16:BP63,ROW(BP16:BP63),0,1),IFERROR(_xlfn.XLOOKUP(_xlpm.ai_test,BQ16:BQ63,ROW(BQ16:BQ63),0,1),_xlfn.XLOOKUP(_xlpm.ai_test,BR16:BR63,ROW(BR16:BR63),0,1))),_xlpm.p,_xlpm.r-MIN(ROW(BP16:BP63))+1,_xlpm.f,INDEX(BS16:BS63,_xlpm.p),_xlpm.u,INDEX(BT16:BT63,_xlpm.p),_xlpm.s,INDEX(BV16:BV63,_xlpm.p),_xlpm.q,N(BA457)/_xlpm.f,IF(_xlpm.q&gt;=_xlpm.s,ROUND(_xlpm.q,1)&amp;" "&amp;_xlpm.ai_test&amp;" = "&amp;ROUND(_xlpm.q*_xlpm.f,1)&amp;" "&amp;_xlpm.u,ROUND(_xlpm.q,1)&amp;" "&amp;_xlpm.ai_test)),""),""))))</f>
        <v>0</v>
      </c>
      <c r="BD457" s="801"/>
      <c r="BE457" s="788" t="str">
        <f t="shared" si="195"/>
        <v/>
      </c>
      <c r="BF457" s="789" t="str">
        <f t="shared" si="198"/>
        <v/>
      </c>
      <c r="BG457" s="790">
        <f t="shared" si="199"/>
        <v>0</v>
      </c>
      <c r="BH457" s="791" t="str">
        <f t="shared" si="200"/>
        <v/>
      </c>
      <c r="BI457" s="792"/>
      <c r="BJ457" s="793">
        <f t="shared" si="201"/>
        <v>0</v>
      </c>
      <c r="BK457" s="794" t="str">
        <f t="shared" si="196"/>
        <v/>
      </c>
      <c r="BL457" s="227" t="s">
        <v>21</v>
      </c>
      <c r="BM457" s="773">
        <f t="shared" si="186"/>
        <v>0</v>
      </c>
      <c r="BN457" s="774">
        <f t="shared" si="187"/>
        <v>0</v>
      </c>
      <c r="BO457"/>
      <c r="BX457"/>
      <c r="BY457"/>
      <c r="BZ457"/>
      <c r="CA457"/>
      <c r="CB457"/>
      <c r="CC457"/>
      <c r="CD457" s="781" t="str">
        <f t="shared" si="203"/>
        <v>►</v>
      </c>
      <c r="CE457" s="633"/>
      <c r="CF457" s="633"/>
      <c r="CG457" s="633"/>
      <c r="CH457" s="633"/>
      <c r="CI457" s="633"/>
      <c r="CJ457" s="227"/>
      <c r="CK457"/>
      <c r="CL457"/>
      <c r="CM457"/>
      <c r="CN457"/>
      <c r="CO457"/>
      <c r="CP457"/>
      <c r="CQ457"/>
      <c r="CR457" s="227"/>
      <c r="CS457"/>
      <c r="CT457"/>
      <c r="CU457"/>
      <c r="CV457"/>
      <c r="CW457"/>
      <c r="CX457"/>
      <c r="CY457"/>
      <c r="CZ457" s="227"/>
      <c r="DA457"/>
      <c r="DB457"/>
      <c r="DC457"/>
      <c r="DD457"/>
      <c r="DE457"/>
      <c r="DF457"/>
      <c r="DG457"/>
      <c r="DH457" s="227"/>
      <c r="DI457" s="3">
        <v>1</v>
      </c>
    </row>
    <row r="458" spans="2:113" s="627" customFormat="1" ht="21" customHeight="1">
      <c r="B458" s="2265" t="str" cm="1">
        <f t="array" ref="B458">SUMPRODUCT(--(D458:J458&lt;&gt;""), LEN(TRIM(SUBSTITUTE(D458:J458, CHAR(160), "")))) &amp; " Car."</f>
        <v>0 Car.</v>
      </c>
      <c r="C458" s="1376" t="str">
        <f>IF(ISBLANK(D458),"",LARGE(C13:C457,1)+1)</f>
        <v/>
      </c>
      <c r="D458" s="1833"/>
      <c r="E458" s="1810"/>
      <c r="F458" s="1810"/>
      <c r="G458" s="1810"/>
      <c r="H458" s="1810"/>
      <c r="I458" s="1810"/>
      <c r="J458" s="1810"/>
      <c r="K458" s="1810"/>
      <c r="L458" s="1811"/>
      <c r="M458"/>
      <c r="N458" s="103" t="str">
        <f t="shared" si="183"/>
        <v>►</v>
      </c>
      <c r="O458" s="1616"/>
      <c r="P458"/>
      <c r="Q458" s="103" t="s">
        <v>15</v>
      </c>
      <c r="R458" s="31"/>
      <c r="S458" s="32"/>
      <c r="T458" s="31"/>
      <c r="U458" s="33"/>
      <c r="V458" s="1804"/>
      <c r="W458" s="1805"/>
      <c r="X458" s="91"/>
      <c r="Y458" s="1806"/>
      <c r="Z458" s="1807"/>
      <c r="AA458" s="919"/>
      <c r="AB458" s="1813"/>
      <c r="AC458" s="1580"/>
      <c r="AD458" s="95"/>
      <c r="AE458" s="105"/>
      <c r="AF458" s="97"/>
      <c r="AG458" s="2080"/>
      <c r="AH458" s="2081"/>
      <c r="AI458" s="99"/>
      <c r="AJ458" s="1809"/>
      <c r="AK458" s="6120" t="str">
        <f t="shared" si="197"/>
        <v>►</v>
      </c>
      <c r="AL458" s="781" t="str">
        <f t="shared" si="185"/>
        <v>►</v>
      </c>
      <c r="AM458" s="5498" t="str">
        <f t="shared" si="188"/>
        <v/>
      </c>
      <c r="AN458" s="783" t="str">
        <f t="shared" si="189"/>
        <v/>
      </c>
      <c r="AO458" s="782" t="str">
        <f t="shared" si="190"/>
        <v/>
      </c>
      <c r="AP458" s="783" t="str">
        <f t="shared" si="191"/>
        <v/>
      </c>
      <c r="AQ458" s="2083" t="b">
        <f>AND(Q458="A",COUNTIF(BP16:BR63,TRIM(Z458))&gt;0)</f>
        <v>0</v>
      </c>
      <c r="AR458" s="797" t="str">
        <f>IF(AL458&lt;&gt;"A","",IFERROR(IFERROR(_xlfn.XLOOKUP(TRIM(SUBSTITUTE(Z458,CHAR(160)," ")),BP16:BP63,BS16:BS63),IFERROR(_xlfn.XLOOKUP(TRIM(SUBSTITUTE(Z458,CHAR(160)," ")),BQ16:BQ63,BS16:BS63),_xlfn.XLOOKUP(TRIM(SUBSTITUTE(Z458,CHAR(160)," ")),BR16:BR63,BS16:BS63)))*Y458*IF(ISBLANK(V458),1,V458),0))</f>
        <v/>
      </c>
      <c r="AS458" s="784" t="str">
        <f t="shared" si="202"/>
        <v/>
      </c>
      <c r="AT458" s="1315" t="str">
        <f t="shared" si="192"/>
        <v/>
      </c>
      <c r="AU458" s="785">
        <f t="shared" si="193"/>
        <v>0</v>
      </c>
      <c r="AV458" s="785">
        <f t="shared" si="194"/>
        <v>0</v>
      </c>
      <c r="AW458" s="798">
        <f>IF(AK458="A",AY10,0)</f>
        <v>0</v>
      </c>
      <c r="AX458" s="5496" t="str">
        <f>IF(IFERROR(SEARCH("Adresse PC",TRIM(W458)),0)&gt;0,"▼ receta siguiente",IF(AK458="A",IF(AZ10&lt;&gt;"",AZ10&amp;" - ou.or.o ❾ + or - &gt;",""),""))</f>
        <v/>
      </c>
      <c r="AY458" s="810"/>
      <c r="AZ458" s="810"/>
      <c r="BA458" s="799" t="str">
        <f t="shared" si="184"/>
        <v/>
      </c>
      <c r="BB458" s="800" t="str">
        <f>IF(AK458="A",IF(AQ458,IF(AND(AW458&lt;&gt;"",N(AW458)&gt;0),IFERROR(IFERROR(_xlfn.XLOOKUP(AP458,BP10:BP57,BT10:BT57),IFERROR(_xlfn.XLOOKUP(AP458,BQ10:BQ57,BT10:BT57),_xlfn.XLOOKUP(AP458,BR10:BR57,BT10:BT57,""))),""),""),""),"")</f>
        <v/>
      </c>
      <c r="BC458" s="813" cm="1">
        <f t="array" ref="BC458">IF(NOT(AQ458),0,IF(OR(BA458="",N(BA458)&lt;=0.000000001),"",IF(OR(AU458="",N(AU458)&lt;=0.000000001),0,IF(ISNUMBER(BA458),IFERROR(_xlfn.LET(_xlpm.ai_test,TRIM(AP458),_xlpm.r,IFERROR(_xlfn.XLOOKUP(_xlpm.ai_test,BP16:BP63,ROW(BP16:BP63),0,1),IFERROR(_xlfn.XLOOKUP(_xlpm.ai_test,BQ16:BQ63,ROW(BQ16:BQ63),0,1),_xlfn.XLOOKUP(_xlpm.ai_test,BR16:BR63,ROW(BR16:BR63),0,1))),_xlpm.p,_xlpm.r-MIN(ROW(BP16:BP63))+1,_xlpm.f,INDEX(BS16:BS63,_xlpm.p),_xlpm.u,INDEX(BT16:BT63,_xlpm.p),_xlpm.s,INDEX(BV16:BV63,_xlpm.p),_xlpm.q,N(BA458)/_xlpm.f,IF(_xlpm.q&gt;=_xlpm.s,ROUND(_xlpm.q,1)&amp;" "&amp;_xlpm.ai_test&amp;" = "&amp;ROUND(_xlpm.q*_xlpm.f,1)&amp;" "&amp;_xlpm.u,ROUND(_xlpm.q,1)&amp;" "&amp;_xlpm.ai_test)),""),""))))</f>
        <v>0</v>
      </c>
      <c r="BD458" s="801"/>
      <c r="BE458" s="799" t="str">
        <f t="shared" si="195"/>
        <v/>
      </c>
      <c r="BF458" s="800" t="str">
        <f t="shared" si="198"/>
        <v/>
      </c>
      <c r="BG458" s="802">
        <f t="shared" si="199"/>
        <v>0</v>
      </c>
      <c r="BH458" s="803" t="str">
        <f t="shared" si="200"/>
        <v/>
      </c>
      <c r="BI458" s="792"/>
      <c r="BJ458" s="804">
        <f t="shared" si="201"/>
        <v>0</v>
      </c>
      <c r="BK458" s="794" t="str">
        <f t="shared" si="196"/>
        <v/>
      </c>
      <c r="BL458" s="227" t="s">
        <v>21</v>
      </c>
      <c r="BM458" s="773">
        <f t="shared" si="186"/>
        <v>0</v>
      </c>
      <c r="BN458" s="774">
        <f t="shared" si="187"/>
        <v>0</v>
      </c>
      <c r="BO458"/>
      <c r="BX458"/>
      <c r="BY458"/>
      <c r="BZ458"/>
      <c r="CA458"/>
      <c r="CB458"/>
      <c r="CC458"/>
      <c r="CD458" s="781" t="str">
        <f t="shared" si="203"/>
        <v>►</v>
      </c>
      <c r="CE458" s="633"/>
      <c r="CF458" s="633"/>
      <c r="CG458" s="633"/>
      <c r="CH458" s="633"/>
      <c r="CI458" s="633"/>
      <c r="CJ458" s="227"/>
      <c r="CK458"/>
      <c r="CL458"/>
      <c r="CM458"/>
      <c r="CN458"/>
      <c r="CO458"/>
      <c r="CP458"/>
      <c r="CQ458"/>
      <c r="CR458" s="227"/>
      <c r="CS458"/>
      <c r="CT458"/>
      <c r="CU458"/>
      <c r="CV458"/>
      <c r="CW458"/>
      <c r="CX458"/>
      <c r="CY458"/>
      <c r="CZ458" s="227"/>
      <c r="DA458"/>
      <c r="DB458"/>
      <c r="DC458"/>
      <c r="DD458"/>
      <c r="DE458"/>
      <c r="DF458"/>
      <c r="DG458"/>
      <c r="DH458" s="227"/>
      <c r="DI458" s="3">
        <v>1</v>
      </c>
    </row>
    <row r="459" spans="2:113" s="627" customFormat="1" ht="21" customHeight="1">
      <c r="B459" s="2265" t="str" cm="1">
        <f t="array" ref="B459">SUMPRODUCT(--(D459:J459&lt;&gt;""), LEN(TRIM(SUBSTITUTE(D459:J459, CHAR(160), "")))) &amp; " Car."</f>
        <v>0 Car.</v>
      </c>
      <c r="C459" s="1376" t="str">
        <f>IF(ISBLANK(D459),"",LARGE(C13:C458,1)+1)</f>
        <v/>
      </c>
      <c r="D459" s="1833"/>
      <c r="E459" s="1810"/>
      <c r="F459" s="1810"/>
      <c r="G459" s="1810"/>
      <c r="H459" s="1810"/>
      <c r="I459" s="1810"/>
      <c r="J459" s="1810"/>
      <c r="K459" s="1810"/>
      <c r="L459" s="1811"/>
      <c r="M459"/>
      <c r="N459" s="103" t="str">
        <f t="shared" si="183"/>
        <v>►</v>
      </c>
      <c r="O459" s="1616"/>
      <c r="P459"/>
      <c r="Q459" s="103" t="s">
        <v>15</v>
      </c>
      <c r="R459" s="31"/>
      <c r="S459" s="32"/>
      <c r="T459" s="31"/>
      <c r="U459" s="33"/>
      <c r="V459" s="1804"/>
      <c r="W459" s="1805"/>
      <c r="X459" s="91"/>
      <c r="Y459" s="1806"/>
      <c r="Z459" s="1807"/>
      <c r="AA459" s="919"/>
      <c r="AB459" s="1813"/>
      <c r="AC459" s="1580"/>
      <c r="AD459" s="95"/>
      <c r="AE459" s="105"/>
      <c r="AF459" s="97"/>
      <c r="AG459" s="2080"/>
      <c r="AH459" s="2081"/>
      <c r="AI459" s="99"/>
      <c r="AJ459" s="1809"/>
      <c r="AK459" s="6120" t="str">
        <f t="shared" si="197"/>
        <v>►</v>
      </c>
      <c r="AL459" s="781" t="str">
        <f t="shared" si="185"/>
        <v>►</v>
      </c>
      <c r="AM459" s="5499" t="str">
        <f t="shared" si="188"/>
        <v/>
      </c>
      <c r="AN459" s="783" t="str">
        <f t="shared" si="189"/>
        <v/>
      </c>
      <c r="AO459" s="782" t="str">
        <f t="shared" si="190"/>
        <v/>
      </c>
      <c r="AP459" s="783" t="str">
        <f t="shared" si="191"/>
        <v/>
      </c>
      <c r="AQ459" s="2083" t="b">
        <f>AND(Q459="A",COUNTIF(BP16:BR63,TRIM(Z459))&gt;0)</f>
        <v>0</v>
      </c>
      <c r="AR459" s="797" t="str">
        <f>IF(AL459&lt;&gt;"A","",IFERROR(IFERROR(_xlfn.XLOOKUP(TRIM(SUBSTITUTE(Z459,CHAR(160)," ")),BP16:BP63,BS16:BS63),IFERROR(_xlfn.XLOOKUP(TRIM(SUBSTITUTE(Z459,CHAR(160)," ")),BQ16:BQ63,BS16:BS63),_xlfn.XLOOKUP(TRIM(SUBSTITUTE(Z459,CHAR(160)," ")),BR16:BR63,BS16:BS63)))*Y459*IF(ISBLANK(V459),1,V459),0))</f>
        <v/>
      </c>
      <c r="AS459" s="784" t="str">
        <f t="shared" si="202"/>
        <v/>
      </c>
      <c r="AT459" s="1315" t="str">
        <f t="shared" si="192"/>
        <v/>
      </c>
      <c r="AU459" s="785">
        <f t="shared" si="193"/>
        <v>0</v>
      </c>
      <c r="AV459" s="785">
        <f t="shared" si="194"/>
        <v>0</v>
      </c>
      <c r="AW459" s="786">
        <f>IF(AK459="A",AY10,0)</f>
        <v>0</v>
      </c>
      <c r="AX459" s="5495" t="str">
        <f>IF(IFERROR(SEARCH("Adresse PC",TRIM(W459)),0)&gt;0,"▼ receta siguiente",IF(AK459="A",IF(AZ10&lt;&gt;"",AZ10&amp;" - ou.or.o ❾ + or - &gt;",""),""))</f>
        <v/>
      </c>
      <c r="AY459" s="810"/>
      <c r="AZ459" s="810"/>
      <c r="BA459" s="788" t="str">
        <f t="shared" si="184"/>
        <v/>
      </c>
      <c r="BB459" s="789" t="str">
        <f>IF(AK459="A",IF(AQ459,IF(AND(AW459&lt;&gt;"",N(AW459)&gt;0),IFERROR(IFERROR(_xlfn.XLOOKUP(AP459,BP10:BP57,BT10:BT57),IFERROR(_xlfn.XLOOKUP(AP459,BQ10:BQ57,BT10:BT57),_xlfn.XLOOKUP(AP459,BR10:BR57,BT10:BT57,""))),""),""),""),"")</f>
        <v/>
      </c>
      <c r="BC459" s="811" cm="1">
        <f t="array" ref="BC459">IF(NOT(AQ459),0,IF(OR(BA459="",N(BA459)&lt;=0.000000001),"",IF(OR(AU459="",N(AU459)&lt;=0.000000001),0,IF(ISNUMBER(BA459),IFERROR(_xlfn.LET(_xlpm.ai_test,TRIM(AP459),_xlpm.r,IFERROR(_xlfn.XLOOKUP(_xlpm.ai_test,BP16:BP63,ROW(BP16:BP63),0,1),IFERROR(_xlfn.XLOOKUP(_xlpm.ai_test,BQ16:BQ63,ROW(BQ16:BQ63),0,1),_xlfn.XLOOKUP(_xlpm.ai_test,BR16:BR63,ROW(BR16:BR63),0,1))),_xlpm.p,_xlpm.r-MIN(ROW(BP16:BP63))+1,_xlpm.f,INDEX(BS16:BS63,_xlpm.p),_xlpm.u,INDEX(BT16:BT63,_xlpm.p),_xlpm.s,INDEX(BV16:BV63,_xlpm.p),_xlpm.q,N(BA459)/_xlpm.f,IF(_xlpm.q&gt;=_xlpm.s,ROUND(_xlpm.q,1)&amp;" "&amp;_xlpm.ai_test&amp;" = "&amp;ROUND(_xlpm.q*_xlpm.f,1)&amp;" "&amp;_xlpm.u,ROUND(_xlpm.q,1)&amp;" "&amp;_xlpm.ai_test)),""),""))))</f>
        <v>0</v>
      </c>
      <c r="BD459" s="801"/>
      <c r="BE459" s="788" t="str">
        <f t="shared" si="195"/>
        <v/>
      </c>
      <c r="BF459" s="789" t="str">
        <f t="shared" si="198"/>
        <v/>
      </c>
      <c r="BG459" s="790">
        <f t="shared" si="199"/>
        <v>0</v>
      </c>
      <c r="BH459" s="791" t="str">
        <f t="shared" si="200"/>
        <v/>
      </c>
      <c r="BI459" s="792"/>
      <c r="BJ459" s="793">
        <f t="shared" si="201"/>
        <v>0</v>
      </c>
      <c r="BK459" s="794" t="str">
        <f t="shared" si="196"/>
        <v/>
      </c>
      <c r="BL459" s="227" t="s">
        <v>21</v>
      </c>
      <c r="BM459" s="773">
        <f t="shared" si="186"/>
        <v>0</v>
      </c>
      <c r="BN459" s="774">
        <f t="shared" si="187"/>
        <v>0</v>
      </c>
      <c r="BO459"/>
      <c r="BX459"/>
      <c r="BY459"/>
      <c r="BZ459"/>
      <c r="CA459"/>
      <c r="CB459"/>
      <c r="CC459"/>
      <c r="CD459" s="781" t="str">
        <f t="shared" si="203"/>
        <v>►</v>
      </c>
      <c r="CE459" s="633"/>
      <c r="CF459" s="633"/>
      <c r="CG459" s="633"/>
      <c r="CH459" s="633"/>
      <c r="CI459" s="633"/>
      <c r="CJ459" s="227"/>
      <c r="CK459"/>
      <c r="CL459"/>
      <c r="CM459"/>
      <c r="CN459"/>
      <c r="CO459"/>
      <c r="CP459"/>
      <c r="CQ459"/>
      <c r="CR459" s="227"/>
      <c r="CS459"/>
      <c r="CT459"/>
      <c r="CU459"/>
      <c r="CV459"/>
      <c r="CW459"/>
      <c r="CX459"/>
      <c r="CY459"/>
      <c r="CZ459" s="227"/>
      <c r="DA459"/>
      <c r="DB459"/>
      <c r="DC459"/>
      <c r="DD459"/>
      <c r="DE459"/>
      <c r="DF459"/>
      <c r="DG459"/>
      <c r="DH459" s="227"/>
      <c r="DI459" s="3">
        <v>1</v>
      </c>
    </row>
    <row r="460" spans="2:113" s="627" customFormat="1" ht="21" customHeight="1">
      <c r="B460" s="2265" t="str" cm="1">
        <f t="array" ref="B460">SUMPRODUCT(--(D460:J460&lt;&gt;""), LEN(TRIM(SUBSTITUTE(D460:J460, CHAR(160), "")))) &amp; " Car."</f>
        <v>0 Car.</v>
      </c>
      <c r="C460" s="1376" t="str">
        <f>IF(ISBLANK(D460),"",LARGE(C13:C459,1)+1)</f>
        <v/>
      </c>
      <c r="D460" s="1833"/>
      <c r="E460" s="1810"/>
      <c r="F460" s="1810"/>
      <c r="G460" s="1810"/>
      <c r="H460" s="1810"/>
      <c r="I460" s="1810"/>
      <c r="J460" s="1810"/>
      <c r="K460" s="1810"/>
      <c r="L460" s="1811"/>
      <c r="M460"/>
      <c r="N460" s="103" t="str">
        <f t="shared" si="183"/>
        <v>►</v>
      </c>
      <c r="O460" s="1616"/>
      <c r="P460"/>
      <c r="Q460" s="103" t="s">
        <v>15</v>
      </c>
      <c r="R460" s="31"/>
      <c r="S460" s="32"/>
      <c r="T460" s="31"/>
      <c r="U460" s="33"/>
      <c r="V460" s="1804"/>
      <c r="W460" s="1805"/>
      <c r="X460" s="91"/>
      <c r="Y460" s="1806"/>
      <c r="Z460" s="1807"/>
      <c r="AA460" s="919"/>
      <c r="AB460" s="1813"/>
      <c r="AC460" s="1580"/>
      <c r="AD460" s="95"/>
      <c r="AE460" s="105"/>
      <c r="AF460" s="97"/>
      <c r="AG460" s="2080"/>
      <c r="AH460" s="2081"/>
      <c r="AI460" s="99"/>
      <c r="AJ460" s="1809"/>
      <c r="AK460" s="6120" t="str">
        <f t="shared" si="197"/>
        <v>►</v>
      </c>
      <c r="AL460" s="781" t="str">
        <f t="shared" si="185"/>
        <v>►</v>
      </c>
      <c r="AM460" s="5498" t="str">
        <f t="shared" si="188"/>
        <v/>
      </c>
      <c r="AN460" s="783" t="str">
        <f t="shared" si="189"/>
        <v/>
      </c>
      <c r="AO460" s="782" t="str">
        <f t="shared" si="190"/>
        <v/>
      </c>
      <c r="AP460" s="783" t="str">
        <f t="shared" si="191"/>
        <v/>
      </c>
      <c r="AQ460" s="2083" t="b">
        <f>AND(Q460="A",COUNTIF(BP16:BR63,TRIM(Z460))&gt;0)</f>
        <v>0</v>
      </c>
      <c r="AR460" s="797" t="str">
        <f>IF(AL460&lt;&gt;"A","",IFERROR(IFERROR(_xlfn.XLOOKUP(TRIM(SUBSTITUTE(Z460,CHAR(160)," ")),BP16:BP63,BS16:BS63),IFERROR(_xlfn.XLOOKUP(TRIM(SUBSTITUTE(Z460,CHAR(160)," ")),BQ16:BQ63,BS16:BS63),_xlfn.XLOOKUP(TRIM(SUBSTITUTE(Z460,CHAR(160)," ")),BR16:BR63,BS16:BS63)))*Y460*IF(ISBLANK(V460),1,V460),0))</f>
        <v/>
      </c>
      <c r="AS460" s="784" t="str">
        <f t="shared" si="202"/>
        <v/>
      </c>
      <c r="AT460" s="1315" t="str">
        <f t="shared" si="192"/>
        <v/>
      </c>
      <c r="AU460" s="785">
        <f t="shared" si="193"/>
        <v>0</v>
      </c>
      <c r="AV460" s="785">
        <f t="shared" si="194"/>
        <v>0</v>
      </c>
      <c r="AW460" s="798">
        <f>IF(AK460="A",AY10,0)</f>
        <v>0</v>
      </c>
      <c r="AX460" s="5496" t="str">
        <f>IF(IFERROR(SEARCH("Adresse PC",TRIM(W460)),0)&gt;0,"▼ receta siguiente",IF(AK460="A",IF(AZ10&lt;&gt;"",AZ10&amp;" - ou.or.o ❾ + or - &gt;",""),""))</f>
        <v/>
      </c>
      <c r="AY460" s="810"/>
      <c r="AZ460" s="810"/>
      <c r="BA460" s="799" t="str">
        <f t="shared" si="184"/>
        <v/>
      </c>
      <c r="BB460" s="800" t="str">
        <f>IF(AK460="A",IF(AQ460,IF(AND(AW460&lt;&gt;"",N(AW460)&gt;0),IFERROR(IFERROR(_xlfn.XLOOKUP(AP460,BP10:BP57,BT10:BT57),IFERROR(_xlfn.XLOOKUP(AP460,BQ10:BQ57,BT10:BT57),_xlfn.XLOOKUP(AP460,BR10:BR57,BT10:BT57,""))),""),""),""),"")</f>
        <v/>
      </c>
      <c r="BC460" s="813" cm="1">
        <f t="array" ref="BC460">IF(NOT(AQ460),0,IF(OR(BA460="",N(BA460)&lt;=0.000000001),"",IF(OR(AU460="",N(AU460)&lt;=0.000000001),0,IF(ISNUMBER(BA460),IFERROR(_xlfn.LET(_xlpm.ai_test,TRIM(AP460),_xlpm.r,IFERROR(_xlfn.XLOOKUP(_xlpm.ai_test,BP16:BP63,ROW(BP16:BP63),0,1),IFERROR(_xlfn.XLOOKUP(_xlpm.ai_test,BQ16:BQ63,ROW(BQ16:BQ63),0,1),_xlfn.XLOOKUP(_xlpm.ai_test,BR16:BR63,ROW(BR16:BR63),0,1))),_xlpm.p,_xlpm.r-MIN(ROW(BP16:BP63))+1,_xlpm.f,INDEX(BS16:BS63,_xlpm.p),_xlpm.u,INDEX(BT16:BT63,_xlpm.p),_xlpm.s,INDEX(BV16:BV63,_xlpm.p),_xlpm.q,N(BA460)/_xlpm.f,IF(_xlpm.q&gt;=_xlpm.s,ROUND(_xlpm.q,1)&amp;" "&amp;_xlpm.ai_test&amp;" = "&amp;ROUND(_xlpm.q*_xlpm.f,1)&amp;" "&amp;_xlpm.u,ROUND(_xlpm.q,1)&amp;" "&amp;_xlpm.ai_test)),""),""))))</f>
        <v>0</v>
      </c>
      <c r="BD460" s="801"/>
      <c r="BE460" s="799" t="str">
        <f t="shared" si="195"/>
        <v/>
      </c>
      <c r="BF460" s="800" t="str">
        <f t="shared" si="198"/>
        <v/>
      </c>
      <c r="BG460" s="802">
        <f t="shared" si="199"/>
        <v>0</v>
      </c>
      <c r="BH460" s="803" t="str">
        <f t="shared" si="200"/>
        <v/>
      </c>
      <c r="BI460" s="792"/>
      <c r="BJ460" s="804">
        <f t="shared" si="201"/>
        <v>0</v>
      </c>
      <c r="BK460" s="794" t="str">
        <f t="shared" si="196"/>
        <v/>
      </c>
      <c r="BL460" s="227" t="s">
        <v>21</v>
      </c>
      <c r="BM460" s="773">
        <f t="shared" si="186"/>
        <v>0</v>
      </c>
      <c r="BN460" s="774">
        <f t="shared" si="187"/>
        <v>0</v>
      </c>
      <c r="BO460"/>
      <c r="BX460"/>
      <c r="BY460"/>
      <c r="BZ460"/>
      <c r="CA460"/>
      <c r="CB460"/>
      <c r="CC460"/>
      <c r="CD460" s="781" t="str">
        <f t="shared" si="203"/>
        <v>►</v>
      </c>
      <c r="CE460" s="633"/>
      <c r="CF460" s="633"/>
      <c r="CG460" s="633"/>
      <c r="CH460" s="633"/>
      <c r="CI460" s="633"/>
      <c r="CJ460" s="227"/>
      <c r="CK460"/>
      <c r="CL460"/>
      <c r="CM460"/>
      <c r="CN460"/>
      <c r="CO460"/>
      <c r="CP460"/>
      <c r="CQ460"/>
      <c r="CR460" s="227"/>
      <c r="CS460"/>
      <c r="CT460"/>
      <c r="CU460"/>
      <c r="CV460"/>
      <c r="CW460"/>
      <c r="CX460"/>
      <c r="CY460"/>
      <c r="CZ460" s="227"/>
      <c r="DA460"/>
      <c r="DB460"/>
      <c r="DC460"/>
      <c r="DD460"/>
      <c r="DE460"/>
      <c r="DF460"/>
      <c r="DG460"/>
      <c r="DH460" s="227"/>
      <c r="DI460" s="3">
        <v>1</v>
      </c>
    </row>
    <row r="461" spans="2:113" s="627" customFormat="1" ht="21" customHeight="1">
      <c r="B461" s="2265" t="str" cm="1">
        <f t="array" ref="B461">SUMPRODUCT(--(D461:J461&lt;&gt;""), LEN(TRIM(SUBSTITUTE(D461:J461, CHAR(160), "")))) &amp; " Car."</f>
        <v>0 Car.</v>
      </c>
      <c r="C461" s="1376" t="str">
        <f>IF(ISBLANK(D461),"",LARGE(C13:C460,1)+1)</f>
        <v/>
      </c>
      <c r="D461" s="1833"/>
      <c r="E461" s="1810"/>
      <c r="F461" s="1810"/>
      <c r="G461" s="1810"/>
      <c r="H461" s="1810"/>
      <c r="I461" s="1810"/>
      <c r="J461" s="1810"/>
      <c r="K461" s="1810"/>
      <c r="L461" s="1811"/>
      <c r="M461"/>
      <c r="N461" s="103" t="str">
        <f t="shared" si="183"/>
        <v>►</v>
      </c>
      <c r="O461" s="1616"/>
      <c r="P461"/>
      <c r="Q461" s="103" t="s">
        <v>15</v>
      </c>
      <c r="R461" s="31"/>
      <c r="S461" s="32"/>
      <c r="T461" s="31"/>
      <c r="U461" s="33"/>
      <c r="V461" s="1804"/>
      <c r="W461" s="1805"/>
      <c r="X461" s="91"/>
      <c r="Y461" s="1806"/>
      <c r="Z461" s="1807"/>
      <c r="AA461" s="919"/>
      <c r="AB461" s="1813"/>
      <c r="AC461" s="1580"/>
      <c r="AD461" s="95"/>
      <c r="AE461" s="105"/>
      <c r="AF461" s="97"/>
      <c r="AG461" s="2080"/>
      <c r="AH461" s="2081"/>
      <c r="AI461" s="99"/>
      <c r="AJ461" s="1809"/>
      <c r="AK461" s="6120" t="str">
        <f t="shared" si="197"/>
        <v>►</v>
      </c>
      <c r="AL461" s="781" t="str">
        <f t="shared" si="185"/>
        <v>►</v>
      </c>
      <c r="AM461" s="5499" t="str">
        <f t="shared" si="188"/>
        <v/>
      </c>
      <c r="AN461" s="783" t="str">
        <f t="shared" si="189"/>
        <v/>
      </c>
      <c r="AO461" s="782" t="str">
        <f t="shared" si="190"/>
        <v/>
      </c>
      <c r="AP461" s="783" t="str">
        <f t="shared" si="191"/>
        <v/>
      </c>
      <c r="AQ461" s="2083" t="b">
        <f>AND(Q461="A",COUNTIF(BP16:BR63,TRIM(Z461))&gt;0)</f>
        <v>0</v>
      </c>
      <c r="AR461" s="797" t="str">
        <f>IF(AL461&lt;&gt;"A","",IFERROR(IFERROR(_xlfn.XLOOKUP(TRIM(SUBSTITUTE(Z461,CHAR(160)," ")),BP16:BP63,BS16:BS63),IFERROR(_xlfn.XLOOKUP(TRIM(SUBSTITUTE(Z461,CHAR(160)," ")),BQ16:BQ63,BS16:BS63),_xlfn.XLOOKUP(TRIM(SUBSTITUTE(Z461,CHAR(160)," ")),BR16:BR63,BS16:BS63)))*Y461*IF(ISBLANK(V461),1,V461),0))</f>
        <v/>
      </c>
      <c r="AS461" s="784" t="str">
        <f t="shared" si="202"/>
        <v/>
      </c>
      <c r="AT461" s="1315" t="str">
        <f t="shared" si="192"/>
        <v/>
      </c>
      <c r="AU461" s="785">
        <f t="shared" si="193"/>
        <v>0</v>
      </c>
      <c r="AV461" s="785">
        <f t="shared" si="194"/>
        <v>0</v>
      </c>
      <c r="AW461" s="786">
        <f>IF(AK461="A",AY10,0)</f>
        <v>0</v>
      </c>
      <c r="AX461" s="5495" t="str">
        <f>IF(IFERROR(SEARCH("Adresse PC",TRIM(W461)),0)&gt;0,"▼ receta siguiente",IF(AK461="A",IF(AZ10&lt;&gt;"",AZ10&amp;" - ou.or.o ❾ + or - &gt;",""),""))</f>
        <v/>
      </c>
      <c r="AY461" s="810"/>
      <c r="AZ461" s="810"/>
      <c r="BA461" s="788" t="str">
        <f t="shared" si="184"/>
        <v/>
      </c>
      <c r="BB461" s="789" t="str">
        <f>IF(AK461="A",IF(AQ461,IF(AND(AW461&lt;&gt;"",N(AW461)&gt;0),IFERROR(IFERROR(_xlfn.XLOOKUP(AP461,BP10:BP57,BT10:BT57),IFERROR(_xlfn.XLOOKUP(AP461,BQ10:BQ57,BT10:BT57),_xlfn.XLOOKUP(AP461,BR10:BR57,BT10:BT57,""))),""),""),""),"")</f>
        <v/>
      </c>
      <c r="BC461" s="811" cm="1">
        <f t="array" ref="BC461">IF(NOT(AQ461),0,IF(OR(BA461="",N(BA461)&lt;=0.000000001),"",IF(OR(AU461="",N(AU461)&lt;=0.000000001),0,IF(ISNUMBER(BA461),IFERROR(_xlfn.LET(_xlpm.ai_test,TRIM(AP461),_xlpm.r,IFERROR(_xlfn.XLOOKUP(_xlpm.ai_test,BP16:BP63,ROW(BP16:BP63),0,1),IFERROR(_xlfn.XLOOKUP(_xlpm.ai_test,BQ16:BQ63,ROW(BQ16:BQ63),0,1),_xlfn.XLOOKUP(_xlpm.ai_test,BR16:BR63,ROW(BR16:BR63),0,1))),_xlpm.p,_xlpm.r-MIN(ROW(BP16:BP63))+1,_xlpm.f,INDEX(BS16:BS63,_xlpm.p),_xlpm.u,INDEX(BT16:BT63,_xlpm.p),_xlpm.s,INDEX(BV16:BV63,_xlpm.p),_xlpm.q,N(BA461)/_xlpm.f,IF(_xlpm.q&gt;=_xlpm.s,ROUND(_xlpm.q,1)&amp;" "&amp;_xlpm.ai_test&amp;" = "&amp;ROUND(_xlpm.q*_xlpm.f,1)&amp;" "&amp;_xlpm.u,ROUND(_xlpm.q,1)&amp;" "&amp;_xlpm.ai_test)),""),""))))</f>
        <v>0</v>
      </c>
      <c r="BD461" s="801"/>
      <c r="BE461" s="788" t="str">
        <f t="shared" si="195"/>
        <v/>
      </c>
      <c r="BF461" s="789" t="str">
        <f t="shared" si="198"/>
        <v/>
      </c>
      <c r="BG461" s="790">
        <f t="shared" si="199"/>
        <v>0</v>
      </c>
      <c r="BH461" s="791" t="str">
        <f t="shared" si="200"/>
        <v/>
      </c>
      <c r="BI461" s="792"/>
      <c r="BJ461" s="793">
        <f t="shared" si="201"/>
        <v>0</v>
      </c>
      <c r="BK461" s="794" t="str">
        <f t="shared" si="196"/>
        <v/>
      </c>
      <c r="BL461" s="227" t="s">
        <v>21</v>
      </c>
      <c r="BM461" s="773">
        <f t="shared" si="186"/>
        <v>0</v>
      </c>
      <c r="BN461" s="774">
        <f t="shared" si="187"/>
        <v>0</v>
      </c>
      <c r="BO461"/>
      <c r="BX461"/>
      <c r="BY461"/>
      <c r="BZ461"/>
      <c r="CA461"/>
      <c r="CB461"/>
      <c r="CC461"/>
      <c r="CD461" s="781" t="str">
        <f t="shared" si="203"/>
        <v>►</v>
      </c>
      <c r="CE461" s="633"/>
      <c r="CF461" s="633"/>
      <c r="CG461" s="633"/>
      <c r="CH461" s="633"/>
      <c r="CI461" s="633"/>
      <c r="CJ461" s="227"/>
      <c r="CK461"/>
      <c r="CL461"/>
      <c r="CM461"/>
      <c r="CN461"/>
      <c r="CO461"/>
      <c r="CP461"/>
      <c r="CQ461"/>
      <c r="CR461" s="227"/>
      <c r="CS461"/>
      <c r="CT461"/>
      <c r="CU461"/>
      <c r="CV461"/>
      <c r="CW461"/>
      <c r="CX461"/>
      <c r="CY461"/>
      <c r="CZ461" s="227"/>
      <c r="DA461"/>
      <c r="DB461"/>
      <c r="DC461"/>
      <c r="DD461"/>
      <c r="DE461"/>
      <c r="DF461"/>
      <c r="DG461"/>
      <c r="DH461" s="227"/>
      <c r="DI461" s="3">
        <v>1</v>
      </c>
    </row>
    <row r="462" spans="2:113" s="627" customFormat="1" ht="21" customHeight="1">
      <c r="B462" s="2265" t="str" cm="1">
        <f t="array" ref="B462">SUMPRODUCT(--(D462:J462&lt;&gt;""), LEN(TRIM(SUBSTITUTE(D462:J462, CHAR(160), "")))) &amp; " Car."</f>
        <v>0 Car.</v>
      </c>
      <c r="C462" s="1376" t="str">
        <f>IF(ISBLANK(D462),"",LARGE(C13:C461,1)+1)</f>
        <v/>
      </c>
      <c r="D462" s="1833"/>
      <c r="E462" s="1810"/>
      <c r="F462" s="1810"/>
      <c r="G462" s="1810"/>
      <c r="H462" s="1810"/>
      <c r="I462" s="1810"/>
      <c r="J462" s="1810"/>
      <c r="K462" s="1810"/>
      <c r="L462" s="1811"/>
      <c r="M462"/>
      <c r="N462" s="103" t="str">
        <f t="shared" ref="N462:N525" si="204">Q462</f>
        <v>►</v>
      </c>
      <c r="O462" s="1616"/>
      <c r="P462"/>
      <c r="Q462" s="103" t="s">
        <v>15</v>
      </c>
      <c r="R462" s="31"/>
      <c r="S462" s="32"/>
      <c r="T462" s="31"/>
      <c r="U462" s="33"/>
      <c r="V462" s="1804"/>
      <c r="W462" s="1805"/>
      <c r="X462" s="91"/>
      <c r="Y462" s="1806"/>
      <c r="Z462" s="1807"/>
      <c r="AA462" s="919"/>
      <c r="AB462" s="1813"/>
      <c r="AC462" s="1580"/>
      <c r="AD462" s="95"/>
      <c r="AE462" s="105"/>
      <c r="AF462" s="97"/>
      <c r="AG462" s="2080"/>
      <c r="AH462" s="2081"/>
      <c r="AI462" s="99"/>
      <c r="AJ462" s="1809"/>
      <c r="AK462" s="6120" t="str">
        <f t="shared" si="197"/>
        <v>►</v>
      </c>
      <c r="AL462" s="781" t="str">
        <f t="shared" si="185"/>
        <v>►</v>
      </c>
      <c r="AM462" s="5498" t="str">
        <f t="shared" si="188"/>
        <v/>
      </c>
      <c r="AN462" s="783" t="str">
        <f t="shared" si="189"/>
        <v/>
      </c>
      <c r="AO462" s="782" t="str">
        <f t="shared" si="190"/>
        <v/>
      </c>
      <c r="AP462" s="783" t="str">
        <f t="shared" si="191"/>
        <v/>
      </c>
      <c r="AQ462" s="2083" t="b">
        <f>AND(Q462="A",COUNTIF(BP16:BR63,TRIM(Z462))&gt;0)</f>
        <v>0</v>
      </c>
      <c r="AR462" s="797" t="str">
        <f>IF(AL462&lt;&gt;"A","",IFERROR(IFERROR(_xlfn.XLOOKUP(TRIM(SUBSTITUTE(Z462,CHAR(160)," ")),BP16:BP63,BS16:BS63),IFERROR(_xlfn.XLOOKUP(TRIM(SUBSTITUTE(Z462,CHAR(160)," ")),BQ16:BQ63,BS16:BS63),_xlfn.XLOOKUP(TRIM(SUBSTITUTE(Z462,CHAR(160)," ")),BR16:BR63,BS16:BS63)))*Y462*IF(ISBLANK(V462),1,V462),0))</f>
        <v/>
      </c>
      <c r="AS462" s="784" t="str">
        <f t="shared" si="202"/>
        <v/>
      </c>
      <c r="AT462" s="1315" t="str">
        <f t="shared" si="192"/>
        <v/>
      </c>
      <c r="AU462" s="785">
        <f t="shared" si="193"/>
        <v>0</v>
      </c>
      <c r="AV462" s="785">
        <f t="shared" si="194"/>
        <v>0</v>
      </c>
      <c r="AW462" s="798">
        <f>IF(AK462="A",AY10,0)</f>
        <v>0</v>
      </c>
      <c r="AX462" s="5496" t="str">
        <f>IF(IFERROR(SEARCH("Adresse PC",TRIM(W462)),0)&gt;0,"▼ receta siguiente",IF(AK462="A",IF(AZ10&lt;&gt;"",AZ10&amp;" - ou.or.o ❾ + or - &gt;",""),""))</f>
        <v/>
      </c>
      <c r="AY462" s="810"/>
      <c r="AZ462" s="810"/>
      <c r="BA462" s="799" t="str">
        <f t="shared" si="184"/>
        <v/>
      </c>
      <c r="BB462" s="800" t="str">
        <f>IF(AK462="A",IF(AQ462,IF(AND(AW462&lt;&gt;"",N(AW462)&gt;0),IFERROR(IFERROR(_xlfn.XLOOKUP(AP462,BP10:BP57,BT10:BT57),IFERROR(_xlfn.XLOOKUP(AP462,BQ10:BQ57,BT10:BT57),_xlfn.XLOOKUP(AP462,BR10:BR57,BT10:BT57,""))),""),""),""),"")</f>
        <v/>
      </c>
      <c r="BC462" s="813" cm="1">
        <f t="array" ref="BC462">IF(NOT(AQ462),0,IF(OR(BA462="",N(BA462)&lt;=0.000000001),"",IF(OR(AU462="",N(AU462)&lt;=0.000000001),0,IF(ISNUMBER(BA462),IFERROR(_xlfn.LET(_xlpm.ai_test,TRIM(AP462),_xlpm.r,IFERROR(_xlfn.XLOOKUP(_xlpm.ai_test,BP16:BP63,ROW(BP16:BP63),0,1),IFERROR(_xlfn.XLOOKUP(_xlpm.ai_test,BQ16:BQ63,ROW(BQ16:BQ63),0,1),_xlfn.XLOOKUP(_xlpm.ai_test,BR16:BR63,ROW(BR16:BR63),0,1))),_xlpm.p,_xlpm.r-MIN(ROW(BP16:BP63))+1,_xlpm.f,INDEX(BS16:BS63,_xlpm.p),_xlpm.u,INDEX(BT16:BT63,_xlpm.p),_xlpm.s,INDEX(BV16:BV63,_xlpm.p),_xlpm.q,N(BA462)/_xlpm.f,IF(_xlpm.q&gt;=_xlpm.s,ROUND(_xlpm.q,1)&amp;" "&amp;_xlpm.ai_test&amp;" = "&amp;ROUND(_xlpm.q*_xlpm.f,1)&amp;" "&amp;_xlpm.u,ROUND(_xlpm.q,1)&amp;" "&amp;_xlpm.ai_test)),""),""))))</f>
        <v>0</v>
      </c>
      <c r="BD462" s="801"/>
      <c r="BE462" s="799" t="str">
        <f t="shared" si="195"/>
        <v/>
      </c>
      <c r="BF462" s="800" t="str">
        <f t="shared" si="198"/>
        <v/>
      </c>
      <c r="BG462" s="802">
        <f t="shared" si="199"/>
        <v>0</v>
      </c>
      <c r="BH462" s="803" t="str">
        <f t="shared" si="200"/>
        <v/>
      </c>
      <c r="BI462" s="792"/>
      <c r="BJ462" s="804">
        <f t="shared" si="201"/>
        <v>0</v>
      </c>
      <c r="BK462" s="794" t="str">
        <f t="shared" si="196"/>
        <v/>
      </c>
      <c r="BL462" s="227" t="s">
        <v>21</v>
      </c>
      <c r="BM462" s="773">
        <f t="shared" si="186"/>
        <v>0</v>
      </c>
      <c r="BN462" s="774">
        <f t="shared" si="187"/>
        <v>0</v>
      </c>
      <c r="BO462"/>
      <c r="BX462"/>
      <c r="BY462"/>
      <c r="BZ462"/>
      <c r="CA462"/>
      <c r="CB462"/>
      <c r="CC462"/>
      <c r="CD462" s="781" t="str">
        <f t="shared" si="203"/>
        <v>►</v>
      </c>
      <c r="CE462" s="633"/>
      <c r="CF462" s="633"/>
      <c r="CG462" s="633"/>
      <c r="CH462" s="633"/>
      <c r="CI462" s="633"/>
      <c r="CJ462" s="227"/>
      <c r="CK462"/>
      <c r="CL462"/>
      <c r="CM462"/>
      <c r="CN462"/>
      <c r="CO462"/>
      <c r="CP462"/>
      <c r="CQ462"/>
      <c r="CR462" s="227"/>
      <c r="CS462"/>
      <c r="CT462"/>
      <c r="CU462"/>
      <c r="CV462"/>
      <c r="CW462"/>
      <c r="CX462"/>
      <c r="CY462"/>
      <c r="CZ462" s="227"/>
      <c r="DA462"/>
      <c r="DB462"/>
      <c r="DC462"/>
      <c r="DD462"/>
      <c r="DE462"/>
      <c r="DF462"/>
      <c r="DG462"/>
      <c r="DH462" s="227"/>
      <c r="DI462" s="3">
        <v>1</v>
      </c>
    </row>
    <row r="463" spans="2:113" s="627" customFormat="1" ht="21" customHeight="1">
      <c r="B463" s="2265" t="str" cm="1">
        <f t="array" ref="B463">SUMPRODUCT(--(D463:J463&lt;&gt;""), LEN(TRIM(SUBSTITUTE(D463:J463, CHAR(160), "")))) &amp; " Car."</f>
        <v>0 Car.</v>
      </c>
      <c r="C463" s="1376" t="str">
        <f>IF(ISBLANK(D463),"",LARGE(C13:C462,1)+1)</f>
        <v/>
      </c>
      <c r="D463" s="1833"/>
      <c r="E463" s="1810"/>
      <c r="F463" s="1810"/>
      <c r="G463" s="1810"/>
      <c r="H463" s="1810"/>
      <c r="I463" s="1810"/>
      <c r="J463" s="1810"/>
      <c r="K463" s="1810"/>
      <c r="L463" s="1811"/>
      <c r="M463"/>
      <c r="N463" s="103" t="str">
        <f t="shared" si="204"/>
        <v>►</v>
      </c>
      <c r="O463" s="1616"/>
      <c r="P463"/>
      <c r="Q463" s="103" t="s">
        <v>15</v>
      </c>
      <c r="R463" s="31"/>
      <c r="S463" s="32"/>
      <c r="T463" s="31"/>
      <c r="U463" s="33"/>
      <c r="V463" s="1804"/>
      <c r="W463" s="1805"/>
      <c r="X463" s="91"/>
      <c r="Y463" s="1806"/>
      <c r="Z463" s="1807"/>
      <c r="AA463" s="919"/>
      <c r="AB463" s="1813"/>
      <c r="AC463" s="1580"/>
      <c r="AD463" s="95"/>
      <c r="AE463" s="105"/>
      <c r="AF463" s="97"/>
      <c r="AG463" s="2080"/>
      <c r="AH463" s="2081"/>
      <c r="AI463" s="99"/>
      <c r="AJ463" s="1809"/>
      <c r="AK463" s="6120" t="str">
        <f t="shared" si="197"/>
        <v>►</v>
      </c>
      <c r="AL463" s="781" t="str">
        <f t="shared" si="185"/>
        <v>►</v>
      </c>
      <c r="AM463" s="5499" t="str">
        <f t="shared" si="188"/>
        <v/>
      </c>
      <c r="AN463" s="783" t="str">
        <f t="shared" si="189"/>
        <v/>
      </c>
      <c r="AO463" s="782" t="str">
        <f t="shared" si="190"/>
        <v/>
      </c>
      <c r="AP463" s="783" t="str">
        <f t="shared" si="191"/>
        <v/>
      </c>
      <c r="AQ463" s="2083" t="b">
        <f>AND(Q463="A",COUNTIF(BP16:BR63,TRIM(Z463))&gt;0)</f>
        <v>0</v>
      </c>
      <c r="AR463" s="797" t="str">
        <f>IF(AL463&lt;&gt;"A","",IFERROR(IFERROR(_xlfn.XLOOKUP(TRIM(SUBSTITUTE(Z463,CHAR(160)," ")),BP16:BP63,BS16:BS63),IFERROR(_xlfn.XLOOKUP(TRIM(SUBSTITUTE(Z463,CHAR(160)," ")),BQ16:BQ63,BS16:BS63),_xlfn.XLOOKUP(TRIM(SUBSTITUTE(Z463,CHAR(160)," ")),BR16:BR63,BS16:BS63)))*Y463*IF(ISBLANK(V463),1,V463),0))</f>
        <v/>
      </c>
      <c r="AS463" s="784" t="str">
        <f t="shared" si="202"/>
        <v/>
      </c>
      <c r="AT463" s="1315" t="str">
        <f t="shared" si="192"/>
        <v/>
      </c>
      <c r="AU463" s="785">
        <f t="shared" si="193"/>
        <v>0</v>
      </c>
      <c r="AV463" s="785">
        <f t="shared" si="194"/>
        <v>0</v>
      </c>
      <c r="AW463" s="786">
        <f>IF(AK463="A",AY10,0)</f>
        <v>0</v>
      </c>
      <c r="AX463" s="5495" t="str">
        <f>IF(IFERROR(SEARCH("Adresse PC",TRIM(W463)),0)&gt;0,"▼ receta siguiente",IF(AK463="A",IF(AZ10&lt;&gt;"",AZ10&amp;" - ou.or.o ❾ + or - &gt;",""),""))</f>
        <v/>
      </c>
      <c r="AY463" s="810"/>
      <c r="AZ463" s="810"/>
      <c r="BA463" s="788" t="str">
        <f t="shared" si="184"/>
        <v/>
      </c>
      <c r="BB463" s="789" t="str">
        <f>IF(AK463="A",IF(AQ463,IF(AND(AW463&lt;&gt;"",N(AW463)&gt;0),IFERROR(IFERROR(_xlfn.XLOOKUP(AP463,BP10:BP57,BT10:BT57),IFERROR(_xlfn.XLOOKUP(AP463,BQ10:BQ57,BT10:BT57),_xlfn.XLOOKUP(AP463,BR10:BR57,BT10:BT57,""))),""),""),""),"")</f>
        <v/>
      </c>
      <c r="BC463" s="811" cm="1">
        <f t="array" ref="BC463">IF(NOT(AQ463),0,IF(OR(BA463="",N(BA463)&lt;=0.000000001),"",IF(OR(AU463="",N(AU463)&lt;=0.000000001),0,IF(ISNUMBER(BA463),IFERROR(_xlfn.LET(_xlpm.ai_test,TRIM(AP463),_xlpm.r,IFERROR(_xlfn.XLOOKUP(_xlpm.ai_test,BP16:BP63,ROW(BP16:BP63),0,1),IFERROR(_xlfn.XLOOKUP(_xlpm.ai_test,BQ16:BQ63,ROW(BQ16:BQ63),0,1),_xlfn.XLOOKUP(_xlpm.ai_test,BR16:BR63,ROW(BR16:BR63),0,1))),_xlpm.p,_xlpm.r-MIN(ROW(BP16:BP63))+1,_xlpm.f,INDEX(BS16:BS63,_xlpm.p),_xlpm.u,INDEX(BT16:BT63,_xlpm.p),_xlpm.s,INDEX(BV16:BV63,_xlpm.p),_xlpm.q,N(BA463)/_xlpm.f,IF(_xlpm.q&gt;=_xlpm.s,ROUND(_xlpm.q,1)&amp;" "&amp;_xlpm.ai_test&amp;" = "&amp;ROUND(_xlpm.q*_xlpm.f,1)&amp;" "&amp;_xlpm.u,ROUND(_xlpm.q,1)&amp;" "&amp;_xlpm.ai_test)),""),""))))</f>
        <v>0</v>
      </c>
      <c r="BD463" s="801"/>
      <c r="BE463" s="788" t="str">
        <f t="shared" si="195"/>
        <v/>
      </c>
      <c r="BF463" s="789" t="str">
        <f t="shared" si="198"/>
        <v/>
      </c>
      <c r="BG463" s="790">
        <f t="shared" si="199"/>
        <v>0</v>
      </c>
      <c r="BH463" s="791" t="str">
        <f t="shared" si="200"/>
        <v/>
      </c>
      <c r="BI463" s="792"/>
      <c r="BJ463" s="793">
        <f t="shared" si="201"/>
        <v>0</v>
      </c>
      <c r="BK463" s="794" t="str">
        <f t="shared" si="196"/>
        <v/>
      </c>
      <c r="BL463" s="227" t="s">
        <v>21</v>
      </c>
      <c r="BM463" s="773">
        <f t="shared" si="186"/>
        <v>0</v>
      </c>
      <c r="BN463" s="774">
        <f t="shared" si="187"/>
        <v>0</v>
      </c>
      <c r="BO463"/>
      <c r="BX463"/>
      <c r="BY463"/>
      <c r="BZ463"/>
      <c r="CA463"/>
      <c r="CB463"/>
      <c r="CC463"/>
      <c r="CD463" s="781" t="str">
        <f t="shared" si="203"/>
        <v>►</v>
      </c>
      <c r="CE463" s="633"/>
      <c r="CF463" s="633"/>
      <c r="CG463" s="633"/>
      <c r="CH463" s="633"/>
      <c r="CI463" s="633"/>
      <c r="CJ463" s="227"/>
      <c r="CK463"/>
      <c r="CL463"/>
      <c r="CM463"/>
      <c r="CN463"/>
      <c r="CO463"/>
      <c r="CP463"/>
      <c r="CQ463"/>
      <c r="CR463" s="227"/>
      <c r="CS463"/>
      <c r="CT463"/>
      <c r="CU463"/>
      <c r="CV463"/>
      <c r="CW463"/>
      <c r="CX463"/>
      <c r="CY463"/>
      <c r="CZ463" s="227"/>
      <c r="DA463"/>
      <c r="DB463"/>
      <c r="DC463"/>
      <c r="DD463"/>
      <c r="DE463"/>
      <c r="DF463"/>
      <c r="DG463"/>
      <c r="DH463" s="227"/>
      <c r="DI463" s="3">
        <v>1</v>
      </c>
    </row>
    <row r="464" spans="2:113" s="627" customFormat="1" ht="21" customHeight="1">
      <c r="B464" s="2265" t="str" cm="1">
        <f t="array" ref="B464">SUMPRODUCT(--(D464:J464&lt;&gt;""), LEN(TRIM(SUBSTITUTE(D464:J464, CHAR(160), "")))) &amp; " Car."</f>
        <v>0 Car.</v>
      </c>
      <c r="C464" s="1376" t="str">
        <f>IF(ISBLANK(D464),"",LARGE(C13:C463,1)+1)</f>
        <v/>
      </c>
      <c r="D464" s="1833"/>
      <c r="E464" s="1810"/>
      <c r="F464" s="1810"/>
      <c r="G464" s="1810"/>
      <c r="H464" s="1810"/>
      <c r="I464" s="1810"/>
      <c r="J464" s="1810"/>
      <c r="K464" s="1810"/>
      <c r="L464" s="1811"/>
      <c r="M464"/>
      <c r="N464" s="103" t="str">
        <f t="shared" si="204"/>
        <v>►</v>
      </c>
      <c r="O464" s="1616"/>
      <c r="P464"/>
      <c r="Q464" s="103" t="s">
        <v>15</v>
      </c>
      <c r="R464" s="31"/>
      <c r="S464" s="32"/>
      <c r="T464" s="31"/>
      <c r="U464" s="33"/>
      <c r="V464" s="1804"/>
      <c r="W464" s="1805"/>
      <c r="X464" s="91"/>
      <c r="Y464" s="1806"/>
      <c r="Z464" s="1807"/>
      <c r="AA464" s="919"/>
      <c r="AB464" s="1813"/>
      <c r="AC464" s="1580"/>
      <c r="AD464" s="95"/>
      <c r="AE464" s="105"/>
      <c r="AF464" s="97"/>
      <c r="AG464" s="2080"/>
      <c r="AH464" s="2081"/>
      <c r="AI464" s="99"/>
      <c r="AJ464" s="1809"/>
      <c r="AK464" s="6120" t="str">
        <f t="shared" si="197"/>
        <v>►</v>
      </c>
      <c r="AL464" s="781" t="str">
        <f t="shared" si="185"/>
        <v>►</v>
      </c>
      <c r="AM464" s="5498" t="str">
        <f t="shared" si="188"/>
        <v/>
      </c>
      <c r="AN464" s="783" t="str">
        <f t="shared" si="189"/>
        <v/>
      </c>
      <c r="AO464" s="782" t="str">
        <f t="shared" si="190"/>
        <v/>
      </c>
      <c r="AP464" s="783" t="str">
        <f t="shared" si="191"/>
        <v/>
      </c>
      <c r="AQ464" s="2083" t="b">
        <f>AND(Q464="A",COUNTIF(BP16:BR63,TRIM(Z464))&gt;0)</f>
        <v>0</v>
      </c>
      <c r="AR464" s="797" t="str">
        <f>IF(AL464&lt;&gt;"A","",IFERROR(IFERROR(_xlfn.XLOOKUP(TRIM(SUBSTITUTE(Z464,CHAR(160)," ")),BP16:BP63,BS16:BS63),IFERROR(_xlfn.XLOOKUP(TRIM(SUBSTITUTE(Z464,CHAR(160)," ")),BQ16:BQ63,BS16:BS63),_xlfn.XLOOKUP(TRIM(SUBSTITUTE(Z464,CHAR(160)," ")),BR16:BR63,BS16:BS63)))*Y464*IF(ISBLANK(V464),1,V464),0))</f>
        <v/>
      </c>
      <c r="AS464" s="784" t="str">
        <f t="shared" si="202"/>
        <v/>
      </c>
      <c r="AT464" s="1315" t="str">
        <f t="shared" si="192"/>
        <v/>
      </c>
      <c r="AU464" s="785">
        <f t="shared" si="193"/>
        <v>0</v>
      </c>
      <c r="AV464" s="785">
        <f t="shared" si="194"/>
        <v>0</v>
      </c>
      <c r="AW464" s="798">
        <f>IF(AK464="A",AY10,0)</f>
        <v>0</v>
      </c>
      <c r="AX464" s="5496" t="str">
        <f>IF(IFERROR(SEARCH("Adresse PC",TRIM(W464)),0)&gt;0,"▼ receta siguiente",IF(AK464="A",IF(AZ10&lt;&gt;"",AZ10&amp;" - ou.or.o ❾ + or - &gt;",""),""))</f>
        <v/>
      </c>
      <c r="AY464" s="810"/>
      <c r="AZ464" s="810"/>
      <c r="BA464" s="799" t="str">
        <f t="shared" si="184"/>
        <v/>
      </c>
      <c r="BB464" s="800" t="str">
        <f>IF(AK464="A",IF(AQ464,IF(AND(AW464&lt;&gt;"",N(AW464)&gt;0),IFERROR(IFERROR(_xlfn.XLOOKUP(AP464,BP10:BP57,BT10:BT57),IFERROR(_xlfn.XLOOKUP(AP464,BQ10:BQ57,BT10:BT57),_xlfn.XLOOKUP(AP464,BR10:BR57,BT10:BT57,""))),""),""),""),"")</f>
        <v/>
      </c>
      <c r="BC464" s="813" cm="1">
        <f t="array" ref="BC464">IF(NOT(AQ464),0,IF(OR(BA464="",N(BA464)&lt;=0.000000001),"",IF(OR(AU464="",N(AU464)&lt;=0.000000001),0,IF(ISNUMBER(BA464),IFERROR(_xlfn.LET(_xlpm.ai_test,TRIM(AP464),_xlpm.r,IFERROR(_xlfn.XLOOKUP(_xlpm.ai_test,BP16:BP63,ROW(BP16:BP63),0,1),IFERROR(_xlfn.XLOOKUP(_xlpm.ai_test,BQ16:BQ63,ROW(BQ16:BQ63),0,1),_xlfn.XLOOKUP(_xlpm.ai_test,BR16:BR63,ROW(BR16:BR63),0,1))),_xlpm.p,_xlpm.r-MIN(ROW(BP16:BP63))+1,_xlpm.f,INDEX(BS16:BS63,_xlpm.p),_xlpm.u,INDEX(BT16:BT63,_xlpm.p),_xlpm.s,INDEX(BV16:BV63,_xlpm.p),_xlpm.q,N(BA464)/_xlpm.f,IF(_xlpm.q&gt;=_xlpm.s,ROUND(_xlpm.q,1)&amp;" "&amp;_xlpm.ai_test&amp;" = "&amp;ROUND(_xlpm.q*_xlpm.f,1)&amp;" "&amp;_xlpm.u,ROUND(_xlpm.q,1)&amp;" "&amp;_xlpm.ai_test)),""),""))))</f>
        <v>0</v>
      </c>
      <c r="BD464" s="801"/>
      <c r="BE464" s="799" t="str">
        <f t="shared" si="195"/>
        <v/>
      </c>
      <c r="BF464" s="800" t="str">
        <f t="shared" si="198"/>
        <v/>
      </c>
      <c r="BG464" s="802">
        <f t="shared" si="199"/>
        <v>0</v>
      </c>
      <c r="BH464" s="803" t="str">
        <f t="shared" si="200"/>
        <v/>
      </c>
      <c r="BI464" s="792"/>
      <c r="BJ464" s="804">
        <f t="shared" si="201"/>
        <v>0</v>
      </c>
      <c r="BK464" s="794" t="str">
        <f t="shared" si="196"/>
        <v/>
      </c>
      <c r="BL464" s="227" t="s">
        <v>21</v>
      </c>
      <c r="BM464" s="773">
        <f t="shared" si="186"/>
        <v>0</v>
      </c>
      <c r="BN464" s="774">
        <f t="shared" si="187"/>
        <v>0</v>
      </c>
      <c r="BO464"/>
      <c r="BX464"/>
      <c r="BY464"/>
      <c r="BZ464"/>
      <c r="CA464"/>
      <c r="CB464"/>
      <c r="CC464"/>
      <c r="CD464" s="781" t="str">
        <f t="shared" si="203"/>
        <v>►</v>
      </c>
      <c r="CE464" s="633"/>
      <c r="CF464" s="633"/>
      <c r="CG464" s="633"/>
      <c r="CH464" s="633"/>
      <c r="CI464" s="633"/>
      <c r="CJ464" s="227"/>
      <c r="CK464"/>
      <c r="CL464"/>
      <c r="CM464"/>
      <c r="CN464"/>
      <c r="CO464"/>
      <c r="CP464"/>
      <c r="CQ464"/>
      <c r="CR464" s="227"/>
      <c r="CS464"/>
      <c r="CT464"/>
      <c r="CU464"/>
      <c r="CV464"/>
      <c r="CW464"/>
      <c r="CX464"/>
      <c r="CY464"/>
      <c r="CZ464" s="227"/>
      <c r="DA464"/>
      <c r="DB464"/>
      <c r="DC464"/>
      <c r="DD464"/>
      <c r="DE464"/>
      <c r="DF464"/>
      <c r="DG464"/>
      <c r="DH464" s="227"/>
      <c r="DI464" s="3">
        <v>1</v>
      </c>
    </row>
    <row r="465" spans="2:113" s="627" customFormat="1" ht="21" customHeight="1">
      <c r="B465" s="2265" t="str" cm="1">
        <f t="array" ref="B465">SUMPRODUCT(--(D465:J465&lt;&gt;""), LEN(TRIM(SUBSTITUTE(D465:J465, CHAR(160), "")))) &amp; " Car."</f>
        <v>0 Car.</v>
      </c>
      <c r="C465" s="1376" t="str">
        <f>IF(ISBLANK(D465),"",LARGE(C13:C464,1)+1)</f>
        <v/>
      </c>
      <c r="D465" s="1833"/>
      <c r="E465" s="1810"/>
      <c r="F465" s="1810"/>
      <c r="G465" s="1810"/>
      <c r="H465" s="1810"/>
      <c r="I465" s="1810"/>
      <c r="J465" s="1810"/>
      <c r="K465" s="1810"/>
      <c r="L465" s="1811"/>
      <c r="M465"/>
      <c r="N465" s="103" t="str">
        <f t="shared" si="204"/>
        <v>►</v>
      </c>
      <c r="O465" s="1616"/>
      <c r="P465"/>
      <c r="Q465" s="103" t="s">
        <v>15</v>
      </c>
      <c r="R465" s="31"/>
      <c r="S465" s="32"/>
      <c r="T465" s="31"/>
      <c r="U465" s="33"/>
      <c r="V465" s="1804"/>
      <c r="W465" s="1805"/>
      <c r="X465" s="91"/>
      <c r="Y465" s="1806"/>
      <c r="Z465" s="1807"/>
      <c r="AA465" s="919"/>
      <c r="AB465" s="1813"/>
      <c r="AC465" s="1580"/>
      <c r="AD465" s="95"/>
      <c r="AE465" s="105"/>
      <c r="AF465" s="97"/>
      <c r="AG465" s="2080"/>
      <c r="AH465" s="2081"/>
      <c r="AI465" s="99"/>
      <c r="AJ465" s="1809"/>
      <c r="AK465" s="6120" t="str">
        <f t="shared" si="197"/>
        <v>►</v>
      </c>
      <c r="AL465" s="781" t="str">
        <f t="shared" si="185"/>
        <v>►</v>
      </c>
      <c r="AM465" s="5499" t="str">
        <f t="shared" si="188"/>
        <v/>
      </c>
      <c r="AN465" s="783" t="str">
        <f t="shared" si="189"/>
        <v/>
      </c>
      <c r="AO465" s="782" t="str">
        <f t="shared" si="190"/>
        <v/>
      </c>
      <c r="AP465" s="783" t="str">
        <f t="shared" si="191"/>
        <v/>
      </c>
      <c r="AQ465" s="2083" t="b">
        <f>AND(Q465="A",COUNTIF(BP16:BR63,TRIM(Z465))&gt;0)</f>
        <v>0</v>
      </c>
      <c r="AR465" s="797" t="str">
        <f>IF(AL465&lt;&gt;"A","",IFERROR(IFERROR(_xlfn.XLOOKUP(TRIM(SUBSTITUTE(Z465,CHAR(160)," ")),BP16:BP63,BS16:BS63),IFERROR(_xlfn.XLOOKUP(TRIM(SUBSTITUTE(Z465,CHAR(160)," ")),BQ16:BQ63,BS16:BS63),_xlfn.XLOOKUP(TRIM(SUBSTITUTE(Z465,CHAR(160)," ")),BR16:BR63,BS16:BS63)))*Y465*IF(ISBLANK(V465),1,V465),0))</f>
        <v/>
      </c>
      <c r="AS465" s="784" t="str">
        <f t="shared" si="202"/>
        <v/>
      </c>
      <c r="AT465" s="1315" t="str">
        <f t="shared" si="192"/>
        <v/>
      </c>
      <c r="AU465" s="785">
        <f t="shared" si="193"/>
        <v>0</v>
      </c>
      <c r="AV465" s="785">
        <f t="shared" si="194"/>
        <v>0</v>
      </c>
      <c r="AW465" s="786">
        <f>IF(AK465="A",AY10,0)</f>
        <v>0</v>
      </c>
      <c r="AX465" s="5495" t="str">
        <f>IF(IFERROR(SEARCH("Adresse PC",TRIM(W465)),0)&gt;0,"▼ receta siguiente",IF(AK465="A",IF(AZ10&lt;&gt;"",AZ10&amp;" - ou.or.o ❾ + or - &gt;",""),""))</f>
        <v/>
      </c>
      <c r="AY465" s="810"/>
      <c r="AZ465" s="810"/>
      <c r="BA465" s="788" t="str">
        <f t="shared" si="184"/>
        <v/>
      </c>
      <c r="BB465" s="789" t="str">
        <f>IF(AK465="A",IF(AQ465,IF(AND(AW465&lt;&gt;"",N(AW465)&gt;0),IFERROR(IFERROR(_xlfn.XLOOKUP(AP465,BP10:BP57,BT10:BT57),IFERROR(_xlfn.XLOOKUP(AP465,BQ10:BQ57,BT10:BT57),_xlfn.XLOOKUP(AP465,BR10:BR57,BT10:BT57,""))),""),""),""),"")</f>
        <v/>
      </c>
      <c r="BC465" s="811" cm="1">
        <f t="array" ref="BC465">IF(NOT(AQ465),0,IF(OR(BA465="",N(BA465)&lt;=0.000000001),"",IF(OR(AU465="",N(AU465)&lt;=0.000000001),0,IF(ISNUMBER(BA465),IFERROR(_xlfn.LET(_xlpm.ai_test,TRIM(AP465),_xlpm.r,IFERROR(_xlfn.XLOOKUP(_xlpm.ai_test,BP16:BP63,ROW(BP16:BP63),0,1),IFERROR(_xlfn.XLOOKUP(_xlpm.ai_test,BQ16:BQ63,ROW(BQ16:BQ63),0,1),_xlfn.XLOOKUP(_xlpm.ai_test,BR16:BR63,ROW(BR16:BR63),0,1))),_xlpm.p,_xlpm.r-MIN(ROW(BP16:BP63))+1,_xlpm.f,INDEX(BS16:BS63,_xlpm.p),_xlpm.u,INDEX(BT16:BT63,_xlpm.p),_xlpm.s,INDEX(BV16:BV63,_xlpm.p),_xlpm.q,N(BA465)/_xlpm.f,IF(_xlpm.q&gt;=_xlpm.s,ROUND(_xlpm.q,1)&amp;" "&amp;_xlpm.ai_test&amp;" = "&amp;ROUND(_xlpm.q*_xlpm.f,1)&amp;" "&amp;_xlpm.u,ROUND(_xlpm.q,1)&amp;" "&amp;_xlpm.ai_test)),""),""))))</f>
        <v>0</v>
      </c>
      <c r="BD465" s="801"/>
      <c r="BE465" s="788" t="str">
        <f t="shared" si="195"/>
        <v/>
      </c>
      <c r="BF465" s="789" t="str">
        <f t="shared" si="198"/>
        <v/>
      </c>
      <c r="BG465" s="790">
        <f t="shared" si="199"/>
        <v>0</v>
      </c>
      <c r="BH465" s="791" t="str">
        <f t="shared" si="200"/>
        <v/>
      </c>
      <c r="BI465" s="792"/>
      <c r="BJ465" s="793">
        <f t="shared" si="201"/>
        <v>0</v>
      </c>
      <c r="BK465" s="794" t="str">
        <f t="shared" si="196"/>
        <v/>
      </c>
      <c r="BL465" s="227" t="s">
        <v>21</v>
      </c>
      <c r="BM465" s="773">
        <f t="shared" si="186"/>
        <v>0</v>
      </c>
      <c r="BN465" s="774">
        <f t="shared" si="187"/>
        <v>0</v>
      </c>
      <c r="BO465"/>
      <c r="BX465"/>
      <c r="BY465"/>
      <c r="BZ465"/>
      <c r="CA465"/>
      <c r="CB465"/>
      <c r="CC465"/>
      <c r="CD465" s="781" t="str">
        <f t="shared" si="203"/>
        <v>►</v>
      </c>
      <c r="CE465" s="633"/>
      <c r="CF465" s="633"/>
      <c r="CG465" s="633"/>
      <c r="CH465" s="633"/>
      <c r="CI465" s="633"/>
      <c r="CJ465" s="227"/>
      <c r="CK465"/>
      <c r="CL465"/>
      <c r="CM465"/>
      <c r="CN465"/>
      <c r="CO465"/>
      <c r="CP465"/>
      <c r="CQ465"/>
      <c r="CR465" s="227"/>
      <c r="CS465"/>
      <c r="CT465"/>
      <c r="CU465"/>
      <c r="CV465"/>
      <c r="CW465"/>
      <c r="CX465"/>
      <c r="CY465"/>
      <c r="CZ465" s="227"/>
      <c r="DA465"/>
      <c r="DB465"/>
      <c r="DC465"/>
      <c r="DD465"/>
      <c r="DE465"/>
      <c r="DF465"/>
      <c r="DG465"/>
      <c r="DH465" s="227"/>
      <c r="DI465" s="3">
        <v>1</v>
      </c>
    </row>
    <row r="466" spans="2:113" s="627" customFormat="1" ht="21" customHeight="1">
      <c r="B466" s="2265" t="str" cm="1">
        <f t="array" ref="B466">SUMPRODUCT(--(D466:J466&lt;&gt;""), LEN(TRIM(SUBSTITUTE(D466:J466, CHAR(160), "")))) &amp; " Car."</f>
        <v>0 Car.</v>
      </c>
      <c r="C466" s="1376" t="str">
        <f>IF(ISBLANK(D466),"",LARGE(C13:C465,1)+1)</f>
        <v/>
      </c>
      <c r="D466" s="1833"/>
      <c r="E466" s="1810"/>
      <c r="F466" s="1810"/>
      <c r="G466" s="1810"/>
      <c r="H466" s="1810"/>
      <c r="I466" s="1810"/>
      <c r="J466" s="1810"/>
      <c r="K466" s="1810"/>
      <c r="L466" s="1811"/>
      <c r="M466"/>
      <c r="N466" s="103" t="str">
        <f t="shared" si="204"/>
        <v>►</v>
      </c>
      <c r="O466" s="1616"/>
      <c r="P466"/>
      <c r="Q466" s="103" t="s">
        <v>15</v>
      </c>
      <c r="R466" s="31"/>
      <c r="S466" s="32"/>
      <c r="T466" s="31"/>
      <c r="U466" s="33"/>
      <c r="V466" s="1804"/>
      <c r="W466" s="1805"/>
      <c r="X466" s="91"/>
      <c r="Y466" s="1806"/>
      <c r="Z466" s="1807"/>
      <c r="AA466" s="919"/>
      <c r="AB466" s="1813"/>
      <c r="AC466" s="1580"/>
      <c r="AD466" s="95"/>
      <c r="AE466" s="105"/>
      <c r="AF466" s="97"/>
      <c r="AG466" s="2080"/>
      <c r="AH466" s="2081"/>
      <c r="AI466" s="99"/>
      <c r="AJ466" s="1809"/>
      <c r="AK466" s="6120" t="str">
        <f t="shared" si="197"/>
        <v>►</v>
      </c>
      <c r="AL466" s="781" t="str">
        <f t="shared" si="185"/>
        <v>►</v>
      </c>
      <c r="AM466" s="5498" t="str">
        <f t="shared" si="188"/>
        <v/>
      </c>
      <c r="AN466" s="783" t="str">
        <f t="shared" si="189"/>
        <v/>
      </c>
      <c r="AO466" s="782" t="str">
        <f t="shared" si="190"/>
        <v/>
      </c>
      <c r="AP466" s="783" t="str">
        <f t="shared" si="191"/>
        <v/>
      </c>
      <c r="AQ466" s="2083" t="b">
        <f>AND(Q466="A",COUNTIF(BP16:BR63,TRIM(Z466))&gt;0)</f>
        <v>0</v>
      </c>
      <c r="AR466" s="797" t="str">
        <f>IF(AL466&lt;&gt;"A","",IFERROR(IFERROR(_xlfn.XLOOKUP(TRIM(SUBSTITUTE(Z466,CHAR(160)," ")),BP16:BP63,BS16:BS63),IFERROR(_xlfn.XLOOKUP(TRIM(SUBSTITUTE(Z466,CHAR(160)," ")),BQ16:BQ63,BS16:BS63),_xlfn.XLOOKUP(TRIM(SUBSTITUTE(Z466,CHAR(160)," ")),BR16:BR63,BS16:BS63)))*Y466*IF(ISBLANK(V466),1,V466),0))</f>
        <v/>
      </c>
      <c r="AS466" s="784" t="str">
        <f t="shared" si="202"/>
        <v/>
      </c>
      <c r="AT466" s="1315" t="str">
        <f t="shared" si="192"/>
        <v/>
      </c>
      <c r="AU466" s="785">
        <f t="shared" si="193"/>
        <v>0</v>
      </c>
      <c r="AV466" s="785">
        <f t="shared" si="194"/>
        <v>0</v>
      </c>
      <c r="AW466" s="798">
        <f>IF(AK466="A",AY10,0)</f>
        <v>0</v>
      </c>
      <c r="AX466" s="5496" t="str">
        <f>IF(IFERROR(SEARCH("Adresse PC",TRIM(W466)),0)&gt;0,"▼ receta siguiente",IF(AK466="A",IF(AZ10&lt;&gt;"",AZ10&amp;" - ou.or.o ❾ + or - &gt;",""),""))</f>
        <v/>
      </c>
      <c r="AY466" s="810"/>
      <c r="AZ466" s="810"/>
      <c r="BA466" s="799" t="str">
        <f t="shared" si="184"/>
        <v/>
      </c>
      <c r="BB466" s="800" t="str">
        <f>IF(AK466="A",IF(AQ466,IF(AND(AW466&lt;&gt;"",N(AW466)&gt;0),IFERROR(IFERROR(_xlfn.XLOOKUP(AP466,BP10:BP57,BT10:BT57),IFERROR(_xlfn.XLOOKUP(AP466,BQ10:BQ57,BT10:BT57),_xlfn.XLOOKUP(AP466,BR10:BR57,BT10:BT57,""))),""),""),""),"")</f>
        <v/>
      </c>
      <c r="BC466" s="813" cm="1">
        <f t="array" ref="BC466">IF(NOT(AQ466),0,IF(OR(BA466="",N(BA466)&lt;=0.000000001),"",IF(OR(AU466="",N(AU466)&lt;=0.000000001),0,IF(ISNUMBER(BA466),IFERROR(_xlfn.LET(_xlpm.ai_test,TRIM(AP466),_xlpm.r,IFERROR(_xlfn.XLOOKUP(_xlpm.ai_test,BP16:BP63,ROW(BP16:BP63),0,1),IFERROR(_xlfn.XLOOKUP(_xlpm.ai_test,BQ16:BQ63,ROW(BQ16:BQ63),0,1),_xlfn.XLOOKUP(_xlpm.ai_test,BR16:BR63,ROW(BR16:BR63),0,1))),_xlpm.p,_xlpm.r-MIN(ROW(BP16:BP63))+1,_xlpm.f,INDEX(BS16:BS63,_xlpm.p),_xlpm.u,INDEX(BT16:BT63,_xlpm.p),_xlpm.s,INDEX(BV16:BV63,_xlpm.p),_xlpm.q,N(BA466)/_xlpm.f,IF(_xlpm.q&gt;=_xlpm.s,ROUND(_xlpm.q,1)&amp;" "&amp;_xlpm.ai_test&amp;" = "&amp;ROUND(_xlpm.q*_xlpm.f,1)&amp;" "&amp;_xlpm.u,ROUND(_xlpm.q,1)&amp;" "&amp;_xlpm.ai_test)),""),""))))</f>
        <v>0</v>
      </c>
      <c r="BD466" s="801"/>
      <c r="BE466" s="799" t="str">
        <f t="shared" si="195"/>
        <v/>
      </c>
      <c r="BF466" s="800" t="str">
        <f t="shared" si="198"/>
        <v/>
      </c>
      <c r="BG466" s="802">
        <f t="shared" si="199"/>
        <v>0</v>
      </c>
      <c r="BH466" s="803" t="str">
        <f t="shared" si="200"/>
        <v/>
      </c>
      <c r="BI466" s="792"/>
      <c r="BJ466" s="804">
        <f t="shared" si="201"/>
        <v>0</v>
      </c>
      <c r="BK466" s="794" t="str">
        <f t="shared" si="196"/>
        <v/>
      </c>
      <c r="BL466" s="227" t="s">
        <v>21</v>
      </c>
      <c r="BM466" s="773">
        <f t="shared" si="186"/>
        <v>0</v>
      </c>
      <c r="BN466" s="774">
        <f t="shared" si="187"/>
        <v>0</v>
      </c>
      <c r="BO466"/>
      <c r="BX466"/>
      <c r="BY466"/>
      <c r="BZ466"/>
      <c r="CA466"/>
      <c r="CB466"/>
      <c r="CC466"/>
      <c r="CD466" s="781" t="str">
        <f t="shared" si="203"/>
        <v>►</v>
      </c>
      <c r="CE466" s="633"/>
      <c r="CF466" s="633"/>
      <c r="CG466" s="633"/>
      <c r="CH466" s="633"/>
      <c r="CI466" s="633"/>
      <c r="CJ466" s="227"/>
      <c r="CK466"/>
      <c r="CL466"/>
      <c r="CM466"/>
      <c r="CN466"/>
      <c r="CO466"/>
      <c r="CP466"/>
      <c r="CQ466"/>
      <c r="CR466" s="227"/>
      <c r="CS466"/>
      <c r="CT466"/>
      <c r="CU466"/>
      <c r="CV466"/>
      <c r="CW466"/>
      <c r="CX466"/>
      <c r="CY466"/>
      <c r="CZ466" s="227"/>
      <c r="DA466"/>
      <c r="DB466"/>
      <c r="DC466"/>
      <c r="DD466"/>
      <c r="DE466"/>
      <c r="DF466"/>
      <c r="DG466"/>
      <c r="DH466" s="227"/>
      <c r="DI466" s="3">
        <v>1</v>
      </c>
    </row>
    <row r="467" spans="2:113" s="627" customFormat="1" ht="21" customHeight="1">
      <c r="B467" s="2265" t="str" cm="1">
        <f t="array" ref="B467">SUMPRODUCT(--(D467:J467&lt;&gt;""), LEN(TRIM(SUBSTITUTE(D467:J467, CHAR(160), "")))) &amp; " Car."</f>
        <v>0 Car.</v>
      </c>
      <c r="C467" s="1376" t="str">
        <f>IF(ISBLANK(D467),"",LARGE(C13:C466,1)+1)</f>
        <v/>
      </c>
      <c r="D467" s="1833"/>
      <c r="E467" s="1810"/>
      <c r="F467" s="1810"/>
      <c r="G467" s="1810"/>
      <c r="H467" s="1810"/>
      <c r="I467" s="1810"/>
      <c r="J467" s="1810"/>
      <c r="K467" s="1810"/>
      <c r="L467" s="1811"/>
      <c r="M467"/>
      <c r="N467" s="103" t="str">
        <f t="shared" si="204"/>
        <v>►</v>
      </c>
      <c r="O467" s="1616"/>
      <c r="P467"/>
      <c r="Q467" s="103" t="s">
        <v>15</v>
      </c>
      <c r="R467" s="31"/>
      <c r="S467" s="32"/>
      <c r="T467" s="31"/>
      <c r="U467" s="33"/>
      <c r="V467" s="1804"/>
      <c r="W467" s="1805"/>
      <c r="X467" s="91"/>
      <c r="Y467" s="1806"/>
      <c r="Z467" s="1807"/>
      <c r="AA467" s="919"/>
      <c r="AB467" s="1813"/>
      <c r="AC467" s="1580"/>
      <c r="AD467" s="95"/>
      <c r="AE467" s="105"/>
      <c r="AF467" s="97"/>
      <c r="AG467" s="2080"/>
      <c r="AH467" s="2081"/>
      <c r="AI467" s="99"/>
      <c r="AJ467" s="1809"/>
      <c r="AK467" s="6120" t="str">
        <f t="shared" si="197"/>
        <v>►</v>
      </c>
      <c r="AL467" s="781" t="str">
        <f t="shared" si="185"/>
        <v>►</v>
      </c>
      <c r="AM467" s="5499" t="str">
        <f t="shared" si="188"/>
        <v/>
      </c>
      <c r="AN467" s="783" t="str">
        <f t="shared" si="189"/>
        <v/>
      </c>
      <c r="AO467" s="782" t="str">
        <f t="shared" si="190"/>
        <v/>
      </c>
      <c r="AP467" s="783" t="str">
        <f t="shared" si="191"/>
        <v/>
      </c>
      <c r="AQ467" s="2083" t="b">
        <f>AND(Q467="A",COUNTIF(BP16:BR63,TRIM(Z467))&gt;0)</f>
        <v>0</v>
      </c>
      <c r="AR467" s="797" t="str">
        <f>IF(AL467&lt;&gt;"A","",IFERROR(IFERROR(_xlfn.XLOOKUP(TRIM(SUBSTITUTE(Z467,CHAR(160)," ")),BP16:BP63,BS16:BS63),IFERROR(_xlfn.XLOOKUP(TRIM(SUBSTITUTE(Z467,CHAR(160)," ")),BQ16:BQ63,BS16:BS63),_xlfn.XLOOKUP(TRIM(SUBSTITUTE(Z467,CHAR(160)," ")),BR16:BR63,BS16:BS63)))*Y467*IF(ISBLANK(V467),1,V467),0))</f>
        <v/>
      </c>
      <c r="AS467" s="784" t="str">
        <f t="shared" si="202"/>
        <v/>
      </c>
      <c r="AT467" s="1315" t="str">
        <f t="shared" si="192"/>
        <v/>
      </c>
      <c r="AU467" s="785">
        <f t="shared" si="193"/>
        <v>0</v>
      </c>
      <c r="AV467" s="785">
        <f t="shared" si="194"/>
        <v>0</v>
      </c>
      <c r="AW467" s="786">
        <f>IF(AK467="A",AY10,0)</f>
        <v>0</v>
      </c>
      <c r="AX467" s="5495" t="str">
        <f>IF(IFERROR(SEARCH("Adresse PC",TRIM(W467)),0)&gt;0,"▼ receta siguiente",IF(AK467="A",IF(AZ10&lt;&gt;"",AZ10&amp;" - ou.or.o ❾ + or - &gt;",""),""))</f>
        <v/>
      </c>
      <c r="AY467" s="810"/>
      <c r="AZ467" s="810"/>
      <c r="BA467" s="788" t="str">
        <f t="shared" si="184"/>
        <v/>
      </c>
      <c r="BB467" s="789" t="str">
        <f>IF(AK467="A",IF(AQ467,IF(AND(AW467&lt;&gt;"",N(AW467)&gt;0),IFERROR(IFERROR(_xlfn.XLOOKUP(AP467,BP10:BP57,BT10:BT57),IFERROR(_xlfn.XLOOKUP(AP467,BQ10:BQ57,BT10:BT57),_xlfn.XLOOKUP(AP467,BR10:BR57,BT10:BT57,""))),""),""),""),"")</f>
        <v/>
      </c>
      <c r="BC467" s="811" cm="1">
        <f t="array" ref="BC467">IF(NOT(AQ467),0,IF(OR(BA467="",N(BA467)&lt;=0.000000001),"",IF(OR(AU467="",N(AU467)&lt;=0.000000001),0,IF(ISNUMBER(BA467),IFERROR(_xlfn.LET(_xlpm.ai_test,TRIM(AP467),_xlpm.r,IFERROR(_xlfn.XLOOKUP(_xlpm.ai_test,BP16:BP63,ROW(BP16:BP63),0,1),IFERROR(_xlfn.XLOOKUP(_xlpm.ai_test,BQ16:BQ63,ROW(BQ16:BQ63),0,1),_xlfn.XLOOKUP(_xlpm.ai_test,BR16:BR63,ROW(BR16:BR63),0,1))),_xlpm.p,_xlpm.r-MIN(ROW(BP16:BP63))+1,_xlpm.f,INDEX(BS16:BS63,_xlpm.p),_xlpm.u,INDEX(BT16:BT63,_xlpm.p),_xlpm.s,INDEX(BV16:BV63,_xlpm.p),_xlpm.q,N(BA467)/_xlpm.f,IF(_xlpm.q&gt;=_xlpm.s,ROUND(_xlpm.q,1)&amp;" "&amp;_xlpm.ai_test&amp;" = "&amp;ROUND(_xlpm.q*_xlpm.f,1)&amp;" "&amp;_xlpm.u,ROUND(_xlpm.q,1)&amp;" "&amp;_xlpm.ai_test)),""),""))))</f>
        <v>0</v>
      </c>
      <c r="BD467" s="801"/>
      <c r="BE467" s="788" t="str">
        <f t="shared" si="195"/>
        <v/>
      </c>
      <c r="BF467" s="789" t="str">
        <f t="shared" si="198"/>
        <v/>
      </c>
      <c r="BG467" s="790">
        <f t="shared" si="199"/>
        <v>0</v>
      </c>
      <c r="BH467" s="791" t="str">
        <f t="shared" si="200"/>
        <v/>
      </c>
      <c r="BI467" s="792"/>
      <c r="BJ467" s="793">
        <f t="shared" si="201"/>
        <v>0</v>
      </c>
      <c r="BK467" s="794" t="str">
        <f t="shared" si="196"/>
        <v/>
      </c>
      <c r="BL467" s="227" t="s">
        <v>21</v>
      </c>
      <c r="BM467" s="773">
        <f t="shared" si="186"/>
        <v>0</v>
      </c>
      <c r="BN467" s="774">
        <f t="shared" si="187"/>
        <v>0</v>
      </c>
      <c r="BO467"/>
      <c r="BX467"/>
      <c r="BY467"/>
      <c r="BZ467"/>
      <c r="CA467"/>
      <c r="CB467"/>
      <c r="CC467"/>
      <c r="CD467" s="781" t="str">
        <f t="shared" si="203"/>
        <v>►</v>
      </c>
      <c r="CE467" s="633"/>
      <c r="CF467" s="633"/>
      <c r="CG467" s="633"/>
      <c r="CH467" s="633"/>
      <c r="CI467" s="633"/>
      <c r="CJ467" s="227"/>
      <c r="CK467"/>
      <c r="CL467"/>
      <c r="CM467"/>
      <c r="CN467"/>
      <c r="CO467"/>
      <c r="CP467"/>
      <c r="CQ467"/>
      <c r="CR467" s="227"/>
      <c r="CS467"/>
      <c r="CT467"/>
      <c r="CU467"/>
      <c r="CV467"/>
      <c r="CW467"/>
      <c r="CX467"/>
      <c r="CY467"/>
      <c r="CZ467" s="227"/>
      <c r="DA467"/>
      <c r="DB467"/>
      <c r="DC467"/>
      <c r="DD467"/>
      <c r="DE467"/>
      <c r="DF467"/>
      <c r="DG467"/>
      <c r="DH467" s="227"/>
      <c r="DI467" s="3">
        <v>1</v>
      </c>
    </row>
    <row r="468" spans="2:113" s="627" customFormat="1" ht="21" customHeight="1">
      <c r="B468" s="2265" t="str" cm="1">
        <f t="array" ref="B468">SUMPRODUCT(--(D468:J468&lt;&gt;""), LEN(TRIM(SUBSTITUTE(D468:J468, CHAR(160), "")))) &amp; " Car."</f>
        <v>0 Car.</v>
      </c>
      <c r="C468" s="1376" t="str">
        <f>IF(ISBLANK(D468),"",LARGE(C13:C467,1)+1)</f>
        <v/>
      </c>
      <c r="D468" s="1833"/>
      <c r="E468" s="1810"/>
      <c r="F468" s="1810"/>
      <c r="G468" s="1810"/>
      <c r="H468" s="1810"/>
      <c r="I468" s="1810"/>
      <c r="J468" s="1810"/>
      <c r="K468" s="1810"/>
      <c r="L468" s="1811"/>
      <c r="M468"/>
      <c r="N468" s="103" t="str">
        <f t="shared" si="204"/>
        <v>►</v>
      </c>
      <c r="O468" s="1616"/>
      <c r="P468"/>
      <c r="Q468" s="103" t="s">
        <v>15</v>
      </c>
      <c r="R468" s="31"/>
      <c r="S468" s="32"/>
      <c r="T468" s="31"/>
      <c r="U468" s="33"/>
      <c r="V468" s="1804"/>
      <c r="W468" s="1805"/>
      <c r="X468" s="91"/>
      <c r="Y468" s="1806"/>
      <c r="Z468" s="1807"/>
      <c r="AA468" s="919"/>
      <c r="AB468" s="1813"/>
      <c r="AC468" s="1580"/>
      <c r="AD468" s="95"/>
      <c r="AE468" s="105"/>
      <c r="AF468" s="97"/>
      <c r="AG468" s="2080"/>
      <c r="AH468" s="2081"/>
      <c r="AI468" s="99"/>
      <c r="AJ468" s="1809"/>
      <c r="AK468" s="6120" t="str">
        <f t="shared" si="197"/>
        <v>►</v>
      </c>
      <c r="AL468" s="781" t="str">
        <f t="shared" si="185"/>
        <v>►</v>
      </c>
      <c r="AM468" s="5498" t="str">
        <f t="shared" si="188"/>
        <v/>
      </c>
      <c r="AN468" s="783" t="str">
        <f t="shared" si="189"/>
        <v/>
      </c>
      <c r="AO468" s="782" t="str">
        <f t="shared" si="190"/>
        <v/>
      </c>
      <c r="AP468" s="783" t="str">
        <f t="shared" si="191"/>
        <v/>
      </c>
      <c r="AQ468" s="2083" t="b">
        <f>AND(Q468="A",COUNTIF(BP16:BR63,TRIM(Z468))&gt;0)</f>
        <v>0</v>
      </c>
      <c r="AR468" s="797" t="str">
        <f>IF(AL468&lt;&gt;"A","",IFERROR(IFERROR(_xlfn.XLOOKUP(TRIM(SUBSTITUTE(Z468,CHAR(160)," ")),BP16:BP63,BS16:BS63),IFERROR(_xlfn.XLOOKUP(TRIM(SUBSTITUTE(Z468,CHAR(160)," ")),BQ16:BQ63,BS16:BS63),_xlfn.XLOOKUP(TRIM(SUBSTITUTE(Z468,CHAR(160)," ")),BR16:BR63,BS16:BS63)))*Y468*IF(ISBLANK(V468),1,V468),0))</f>
        <v/>
      </c>
      <c r="AS468" s="784" t="str">
        <f t="shared" si="202"/>
        <v/>
      </c>
      <c r="AT468" s="1315" t="str">
        <f t="shared" si="192"/>
        <v/>
      </c>
      <c r="AU468" s="785">
        <f t="shared" si="193"/>
        <v>0</v>
      </c>
      <c r="AV468" s="785">
        <f t="shared" si="194"/>
        <v>0</v>
      </c>
      <c r="AW468" s="798">
        <f>IF(AK468="A",AY10,0)</f>
        <v>0</v>
      </c>
      <c r="AX468" s="5496" t="str">
        <f>IF(IFERROR(SEARCH("Adresse PC",TRIM(W468)),0)&gt;0,"▼ receta siguiente",IF(AK468="A",IF(AZ10&lt;&gt;"",AZ10&amp;" - ou.or.o ❾ + or - &gt;",""),""))</f>
        <v/>
      </c>
      <c r="AY468" s="810"/>
      <c r="AZ468" s="810"/>
      <c r="BA468" s="799" t="str">
        <f t="shared" ref="BA468:BA531" si="205">IF(AK468="A",IF(UPPER(TRIM(SUBSTITUTE(AS468,CHAR(160),"")))="KG",N(AR468)*N(BN468),0),"")</f>
        <v/>
      </c>
      <c r="BB468" s="800" t="str">
        <f>IF(AK468="A",IF(AQ468,IF(AND(AW468&lt;&gt;"",N(AW468)&gt;0),IFERROR(IFERROR(_xlfn.XLOOKUP(AP468,BP10:BP57,BT10:BT57),IFERROR(_xlfn.XLOOKUP(AP468,BQ10:BQ57,BT10:BT57),_xlfn.XLOOKUP(AP468,BR10:BR57,BT10:BT57,""))),""),""),""),"")</f>
        <v/>
      </c>
      <c r="BC468" s="813" cm="1">
        <f t="array" ref="BC468">IF(NOT(AQ468),0,IF(OR(BA468="",N(BA468)&lt;=0.000000001),"",IF(OR(AU468="",N(AU468)&lt;=0.000000001),0,IF(ISNUMBER(BA468),IFERROR(_xlfn.LET(_xlpm.ai_test,TRIM(AP468),_xlpm.r,IFERROR(_xlfn.XLOOKUP(_xlpm.ai_test,BP16:BP63,ROW(BP16:BP63),0,1),IFERROR(_xlfn.XLOOKUP(_xlpm.ai_test,BQ16:BQ63,ROW(BQ16:BQ63),0,1),_xlfn.XLOOKUP(_xlpm.ai_test,BR16:BR63,ROW(BR16:BR63),0,1))),_xlpm.p,_xlpm.r-MIN(ROW(BP16:BP63))+1,_xlpm.f,INDEX(BS16:BS63,_xlpm.p),_xlpm.u,INDEX(BT16:BT63,_xlpm.p),_xlpm.s,INDEX(BV16:BV63,_xlpm.p),_xlpm.q,N(BA468)/_xlpm.f,IF(_xlpm.q&gt;=_xlpm.s,ROUND(_xlpm.q,1)&amp;" "&amp;_xlpm.ai_test&amp;" = "&amp;ROUND(_xlpm.q*_xlpm.f,1)&amp;" "&amp;_xlpm.u,ROUND(_xlpm.q,1)&amp;" "&amp;_xlpm.ai_test)),""),""))))</f>
        <v>0</v>
      </c>
      <c r="BD468" s="801"/>
      <c r="BE468" s="799" t="str">
        <f t="shared" si="195"/>
        <v/>
      </c>
      <c r="BF468" s="800" t="str">
        <f t="shared" si="198"/>
        <v/>
      </c>
      <c r="BG468" s="802">
        <f t="shared" si="199"/>
        <v>0</v>
      </c>
      <c r="BH468" s="803" t="str">
        <f t="shared" si="200"/>
        <v/>
      </c>
      <c r="BI468" s="792"/>
      <c r="BJ468" s="804">
        <f t="shared" si="201"/>
        <v>0</v>
      </c>
      <c r="BK468" s="794" t="str">
        <f t="shared" si="196"/>
        <v/>
      </c>
      <c r="BL468" s="227" t="s">
        <v>21</v>
      </c>
      <c r="BM468" s="773">
        <f t="shared" si="186"/>
        <v>0</v>
      </c>
      <c r="BN468" s="774">
        <f t="shared" si="187"/>
        <v>0</v>
      </c>
      <c r="BO468"/>
      <c r="BX468"/>
      <c r="BY468"/>
      <c r="BZ468"/>
      <c r="CA468"/>
      <c r="CB468"/>
      <c r="CC468"/>
      <c r="CD468" s="781" t="str">
        <f t="shared" si="203"/>
        <v>►</v>
      </c>
      <c r="CE468" s="633"/>
      <c r="CF468" s="633"/>
      <c r="CG468" s="633"/>
      <c r="CH468" s="633"/>
      <c r="CI468" s="633"/>
      <c r="CJ468" s="227"/>
      <c r="CK468"/>
      <c r="CL468"/>
      <c r="CM468"/>
      <c r="CN468"/>
      <c r="CO468"/>
      <c r="CP468"/>
      <c r="CQ468"/>
      <c r="CR468" s="227"/>
      <c r="CS468"/>
      <c r="CT468"/>
      <c r="CU468"/>
      <c r="CV468"/>
      <c r="CW468"/>
      <c r="CX468"/>
      <c r="CY468"/>
      <c r="CZ468" s="227"/>
      <c r="DA468"/>
      <c r="DB468"/>
      <c r="DC468"/>
      <c r="DD468"/>
      <c r="DE468"/>
      <c r="DF468"/>
      <c r="DG468"/>
      <c r="DH468" s="227"/>
      <c r="DI468" s="3">
        <v>1</v>
      </c>
    </row>
    <row r="469" spans="2:113" s="627" customFormat="1" ht="21" customHeight="1">
      <c r="B469" s="2265" t="str" cm="1">
        <f t="array" ref="B469">SUMPRODUCT(--(D469:J469&lt;&gt;""), LEN(TRIM(SUBSTITUTE(D469:J469, CHAR(160), "")))) &amp; " Car."</f>
        <v>0 Car.</v>
      </c>
      <c r="C469" s="1376" t="str">
        <f>IF(ISBLANK(D469),"",LARGE(C13:C468,1)+1)</f>
        <v/>
      </c>
      <c r="D469" s="1833"/>
      <c r="E469" s="1810"/>
      <c r="F469" s="1810"/>
      <c r="G469" s="1810"/>
      <c r="H469" s="1810"/>
      <c r="I469" s="1810"/>
      <c r="J469" s="1810"/>
      <c r="K469" s="1810"/>
      <c r="L469" s="1811"/>
      <c r="M469"/>
      <c r="N469" s="103" t="str">
        <f t="shared" si="204"/>
        <v>►</v>
      </c>
      <c r="O469" s="1616"/>
      <c r="P469"/>
      <c r="Q469" s="103" t="s">
        <v>15</v>
      </c>
      <c r="R469" s="31"/>
      <c r="S469" s="32"/>
      <c r="T469" s="31"/>
      <c r="U469" s="33"/>
      <c r="V469" s="1804"/>
      <c r="W469" s="1805"/>
      <c r="X469" s="91"/>
      <c r="Y469" s="1806"/>
      <c r="Z469" s="1807"/>
      <c r="AA469" s="919"/>
      <c r="AB469" s="1813"/>
      <c r="AC469" s="1580"/>
      <c r="AD469" s="95"/>
      <c r="AE469" s="105"/>
      <c r="AF469" s="97"/>
      <c r="AG469" s="2080"/>
      <c r="AH469" s="2081"/>
      <c r="AI469" s="99"/>
      <c r="AJ469" s="1809"/>
      <c r="AK469" s="6120" t="str">
        <f t="shared" si="197"/>
        <v>►</v>
      </c>
      <c r="AL469" s="781" t="str">
        <f t="shared" si="185"/>
        <v>►</v>
      </c>
      <c r="AM469" s="5499" t="str">
        <f t="shared" si="188"/>
        <v/>
      </c>
      <c r="AN469" s="783" t="str">
        <f t="shared" si="189"/>
        <v/>
      </c>
      <c r="AO469" s="782" t="str">
        <f t="shared" si="190"/>
        <v/>
      </c>
      <c r="AP469" s="783" t="str">
        <f t="shared" si="191"/>
        <v/>
      </c>
      <c r="AQ469" s="2083" t="b">
        <f>AND(Q469="A",COUNTIF(BP16:BR63,TRIM(Z469))&gt;0)</f>
        <v>0</v>
      </c>
      <c r="AR469" s="797" t="str">
        <f>IF(AL469&lt;&gt;"A","",IFERROR(IFERROR(_xlfn.XLOOKUP(TRIM(SUBSTITUTE(Z469,CHAR(160)," ")),BP16:BP63,BS16:BS63),IFERROR(_xlfn.XLOOKUP(TRIM(SUBSTITUTE(Z469,CHAR(160)," ")),BQ16:BQ63,BS16:BS63),_xlfn.XLOOKUP(TRIM(SUBSTITUTE(Z469,CHAR(160)," ")),BR16:BR63,BS16:BS63)))*Y469*IF(ISBLANK(V469),1,V469),0))</f>
        <v/>
      </c>
      <c r="AS469" s="784" t="str">
        <f t="shared" si="202"/>
        <v/>
      </c>
      <c r="AT469" s="1315" t="str">
        <f t="shared" si="192"/>
        <v/>
      </c>
      <c r="AU469" s="785">
        <f t="shared" si="193"/>
        <v>0</v>
      </c>
      <c r="AV469" s="785">
        <f t="shared" si="194"/>
        <v>0</v>
      </c>
      <c r="AW469" s="786">
        <f>IF(AK469="A",AY10,0)</f>
        <v>0</v>
      </c>
      <c r="AX469" s="5495" t="str">
        <f>IF(IFERROR(SEARCH("Adresse PC",TRIM(W469)),0)&gt;0,"▼ receta siguiente",IF(AK469="A",IF(AZ10&lt;&gt;"",AZ10&amp;" - ou.or.o ❾ + or - &gt;",""),""))</f>
        <v/>
      </c>
      <c r="AY469" s="810"/>
      <c r="AZ469" s="810"/>
      <c r="BA469" s="788" t="str">
        <f t="shared" si="205"/>
        <v/>
      </c>
      <c r="BB469" s="789" t="str">
        <f>IF(AK469="A",IF(AQ469,IF(AND(AW469&lt;&gt;"",N(AW469)&gt;0),IFERROR(IFERROR(_xlfn.XLOOKUP(AP469,BP10:BP57,BT10:BT57),IFERROR(_xlfn.XLOOKUP(AP469,BQ10:BQ57,BT10:BT57),_xlfn.XLOOKUP(AP469,BR10:BR57,BT10:BT57,""))),""),""),""),"")</f>
        <v/>
      </c>
      <c r="BC469" s="811" cm="1">
        <f t="array" ref="BC469">IF(NOT(AQ469),0,IF(OR(BA469="",N(BA469)&lt;=0.000000001),"",IF(OR(AU469="",N(AU469)&lt;=0.000000001),0,IF(ISNUMBER(BA469),IFERROR(_xlfn.LET(_xlpm.ai_test,TRIM(AP469),_xlpm.r,IFERROR(_xlfn.XLOOKUP(_xlpm.ai_test,BP16:BP63,ROW(BP16:BP63),0,1),IFERROR(_xlfn.XLOOKUP(_xlpm.ai_test,BQ16:BQ63,ROW(BQ16:BQ63),0,1),_xlfn.XLOOKUP(_xlpm.ai_test,BR16:BR63,ROW(BR16:BR63),0,1))),_xlpm.p,_xlpm.r-MIN(ROW(BP16:BP63))+1,_xlpm.f,INDEX(BS16:BS63,_xlpm.p),_xlpm.u,INDEX(BT16:BT63,_xlpm.p),_xlpm.s,INDEX(BV16:BV63,_xlpm.p),_xlpm.q,N(BA469)/_xlpm.f,IF(_xlpm.q&gt;=_xlpm.s,ROUND(_xlpm.q,1)&amp;" "&amp;_xlpm.ai_test&amp;" = "&amp;ROUND(_xlpm.q*_xlpm.f,1)&amp;" "&amp;_xlpm.u,ROUND(_xlpm.q,1)&amp;" "&amp;_xlpm.ai_test)),""),""))))</f>
        <v>0</v>
      </c>
      <c r="BD469" s="801"/>
      <c r="BE469" s="788" t="str">
        <f t="shared" si="195"/>
        <v/>
      </c>
      <c r="BF469" s="789" t="str">
        <f t="shared" si="198"/>
        <v/>
      </c>
      <c r="BG469" s="790">
        <f t="shared" si="199"/>
        <v>0</v>
      </c>
      <c r="BH469" s="791" t="str">
        <f t="shared" si="200"/>
        <v/>
      </c>
      <c r="BI469" s="792"/>
      <c r="BJ469" s="793">
        <f t="shared" si="201"/>
        <v>0</v>
      </c>
      <c r="BK469" s="794" t="str">
        <f t="shared" si="196"/>
        <v/>
      </c>
      <c r="BL469" s="227" t="s">
        <v>21</v>
      </c>
      <c r="BM469" s="773">
        <f t="shared" si="186"/>
        <v>0</v>
      </c>
      <c r="BN469" s="774">
        <f t="shared" si="187"/>
        <v>0</v>
      </c>
      <c r="BO469"/>
      <c r="BX469"/>
      <c r="BY469"/>
      <c r="BZ469"/>
      <c r="CA469"/>
      <c r="CB469"/>
      <c r="CC469"/>
      <c r="CD469" s="781" t="str">
        <f t="shared" si="203"/>
        <v>►</v>
      </c>
      <c r="CE469" s="633"/>
      <c r="CF469" s="633"/>
      <c r="CG469" s="633"/>
      <c r="CH469" s="633"/>
      <c r="CI469" s="633"/>
      <c r="CJ469" s="227"/>
      <c r="CK469"/>
      <c r="CL469"/>
      <c r="CM469"/>
      <c r="CN469"/>
      <c r="CO469"/>
      <c r="CP469"/>
      <c r="CQ469"/>
      <c r="CR469" s="227"/>
      <c r="CS469"/>
      <c r="CT469"/>
      <c r="CU469"/>
      <c r="CV469"/>
      <c r="CW469"/>
      <c r="CX469"/>
      <c r="CY469"/>
      <c r="CZ469" s="227"/>
      <c r="DA469"/>
      <c r="DB469"/>
      <c r="DC469"/>
      <c r="DD469"/>
      <c r="DE469"/>
      <c r="DF469"/>
      <c r="DG469"/>
      <c r="DH469" s="227"/>
      <c r="DI469" s="3">
        <v>1</v>
      </c>
    </row>
    <row r="470" spans="2:113" s="627" customFormat="1" ht="21" customHeight="1">
      <c r="B470" s="2265" t="str" cm="1">
        <f t="array" ref="B470">SUMPRODUCT(--(D470:J470&lt;&gt;""), LEN(TRIM(SUBSTITUTE(D470:J470, CHAR(160), "")))) &amp; " Car."</f>
        <v>0 Car.</v>
      </c>
      <c r="C470" s="1376" t="str">
        <f>IF(ISBLANK(D470),"",LARGE(C13:C469,1)+1)</f>
        <v/>
      </c>
      <c r="D470" s="1833"/>
      <c r="E470" s="1810"/>
      <c r="F470" s="1810"/>
      <c r="G470" s="1810"/>
      <c r="H470" s="1810"/>
      <c r="I470" s="1810"/>
      <c r="J470" s="1810"/>
      <c r="K470" s="1810"/>
      <c r="L470" s="1811"/>
      <c r="M470"/>
      <c r="N470" s="103" t="str">
        <f t="shared" si="204"/>
        <v>►</v>
      </c>
      <c r="O470" s="1616"/>
      <c r="P470"/>
      <c r="Q470" s="103" t="s">
        <v>15</v>
      </c>
      <c r="R470" s="31"/>
      <c r="S470" s="32"/>
      <c r="T470" s="31"/>
      <c r="U470" s="33"/>
      <c r="V470" s="1804"/>
      <c r="W470" s="1805"/>
      <c r="X470" s="91"/>
      <c r="Y470" s="1806"/>
      <c r="Z470" s="1807"/>
      <c r="AA470" s="919"/>
      <c r="AB470" s="1813"/>
      <c r="AC470" s="1580"/>
      <c r="AD470" s="95"/>
      <c r="AE470" s="105"/>
      <c r="AF470" s="97"/>
      <c r="AG470" s="2080"/>
      <c r="AH470" s="2081"/>
      <c r="AI470" s="99"/>
      <c r="AJ470" s="1809"/>
      <c r="AK470" s="6120" t="str">
        <f t="shared" si="197"/>
        <v>►</v>
      </c>
      <c r="AL470" s="781" t="str">
        <f t="shared" si="185"/>
        <v>►</v>
      </c>
      <c r="AM470" s="5498" t="str">
        <f t="shared" si="188"/>
        <v/>
      </c>
      <c r="AN470" s="783" t="str">
        <f t="shared" si="189"/>
        <v/>
      </c>
      <c r="AO470" s="782" t="str">
        <f t="shared" si="190"/>
        <v/>
      </c>
      <c r="AP470" s="783" t="str">
        <f t="shared" si="191"/>
        <v/>
      </c>
      <c r="AQ470" s="2083" t="b">
        <f>AND(Q470="A",COUNTIF(BP16:BR63,TRIM(Z470))&gt;0)</f>
        <v>0</v>
      </c>
      <c r="AR470" s="797" t="str">
        <f>IF(AL470&lt;&gt;"A","",IFERROR(IFERROR(_xlfn.XLOOKUP(TRIM(SUBSTITUTE(Z470,CHAR(160)," ")),BP16:BP63,BS16:BS63),IFERROR(_xlfn.XLOOKUP(TRIM(SUBSTITUTE(Z470,CHAR(160)," ")),BQ16:BQ63,BS16:BS63),_xlfn.XLOOKUP(TRIM(SUBSTITUTE(Z470,CHAR(160)," ")),BR16:BR63,BS16:BS63)))*Y470*IF(ISBLANK(V470),1,V470),0))</f>
        <v/>
      </c>
      <c r="AS470" s="784" t="str">
        <f t="shared" si="202"/>
        <v/>
      </c>
      <c r="AT470" s="1315" t="str">
        <f t="shared" si="192"/>
        <v/>
      </c>
      <c r="AU470" s="785">
        <f t="shared" si="193"/>
        <v>0</v>
      </c>
      <c r="AV470" s="785">
        <f t="shared" si="194"/>
        <v>0</v>
      </c>
      <c r="AW470" s="798">
        <f>IF(AK470="A",AY10,0)</f>
        <v>0</v>
      </c>
      <c r="AX470" s="5496" t="str">
        <f>IF(IFERROR(SEARCH("Adresse PC",TRIM(W470)),0)&gt;0,"▼ receta siguiente",IF(AK470="A",IF(AZ10&lt;&gt;"",AZ10&amp;" - ou.or.o ❾ + or - &gt;",""),""))</f>
        <v/>
      </c>
      <c r="AY470" s="810"/>
      <c r="AZ470" s="810"/>
      <c r="BA470" s="799" t="str">
        <f t="shared" si="205"/>
        <v/>
      </c>
      <c r="BB470" s="800" t="str">
        <f>IF(AK470="A",IF(AQ470,IF(AND(AW470&lt;&gt;"",N(AW470)&gt;0),IFERROR(IFERROR(_xlfn.XLOOKUP(AP470,BP10:BP57,BT10:BT57),IFERROR(_xlfn.XLOOKUP(AP470,BQ10:BQ57,BT10:BT57),_xlfn.XLOOKUP(AP470,BR10:BR57,BT10:BT57,""))),""),""),""),"")</f>
        <v/>
      </c>
      <c r="BC470" s="813" cm="1">
        <f t="array" ref="BC470">IF(NOT(AQ470),0,IF(OR(BA470="",N(BA470)&lt;=0.000000001),"",IF(OR(AU470="",N(AU470)&lt;=0.000000001),0,IF(ISNUMBER(BA470),IFERROR(_xlfn.LET(_xlpm.ai_test,TRIM(AP470),_xlpm.r,IFERROR(_xlfn.XLOOKUP(_xlpm.ai_test,BP16:BP63,ROW(BP16:BP63),0,1),IFERROR(_xlfn.XLOOKUP(_xlpm.ai_test,BQ16:BQ63,ROW(BQ16:BQ63),0,1),_xlfn.XLOOKUP(_xlpm.ai_test,BR16:BR63,ROW(BR16:BR63),0,1))),_xlpm.p,_xlpm.r-MIN(ROW(BP16:BP63))+1,_xlpm.f,INDEX(BS16:BS63,_xlpm.p),_xlpm.u,INDEX(BT16:BT63,_xlpm.p),_xlpm.s,INDEX(BV16:BV63,_xlpm.p),_xlpm.q,N(BA470)/_xlpm.f,IF(_xlpm.q&gt;=_xlpm.s,ROUND(_xlpm.q,1)&amp;" "&amp;_xlpm.ai_test&amp;" = "&amp;ROUND(_xlpm.q*_xlpm.f,1)&amp;" "&amp;_xlpm.u,ROUND(_xlpm.q,1)&amp;" "&amp;_xlpm.ai_test)),""),""))))</f>
        <v>0</v>
      </c>
      <c r="BD470" s="801"/>
      <c r="BE470" s="799" t="str">
        <f t="shared" si="195"/>
        <v/>
      </c>
      <c r="BF470" s="800" t="str">
        <f t="shared" si="198"/>
        <v/>
      </c>
      <c r="BG470" s="802">
        <f t="shared" si="199"/>
        <v>0</v>
      </c>
      <c r="BH470" s="803" t="str">
        <f t="shared" si="200"/>
        <v/>
      </c>
      <c r="BI470" s="792"/>
      <c r="BJ470" s="804">
        <f t="shared" si="201"/>
        <v>0</v>
      </c>
      <c r="BK470" s="794" t="str">
        <f t="shared" si="196"/>
        <v/>
      </c>
      <c r="BL470" s="227" t="s">
        <v>21</v>
      </c>
      <c r="BM470" s="773">
        <f t="shared" si="186"/>
        <v>0</v>
      </c>
      <c r="BN470" s="774">
        <f t="shared" si="187"/>
        <v>0</v>
      </c>
      <c r="BO470"/>
      <c r="BX470"/>
      <c r="BY470"/>
      <c r="BZ470"/>
      <c r="CA470"/>
      <c r="CB470"/>
      <c r="CC470"/>
      <c r="CD470" s="781" t="str">
        <f t="shared" si="203"/>
        <v>►</v>
      </c>
      <c r="CE470" s="633"/>
      <c r="CF470" s="633"/>
      <c r="CG470" s="633"/>
      <c r="CH470" s="633"/>
      <c r="CI470" s="633"/>
      <c r="CJ470" s="227"/>
      <c r="CK470"/>
      <c r="CL470"/>
      <c r="CM470"/>
      <c r="CN470"/>
      <c r="CO470"/>
      <c r="CP470"/>
      <c r="CQ470"/>
      <c r="CR470" s="227"/>
      <c r="CS470"/>
      <c r="CT470"/>
      <c r="CU470"/>
      <c r="CV470"/>
      <c r="CW470"/>
      <c r="CX470"/>
      <c r="CY470"/>
      <c r="CZ470" s="227"/>
      <c r="DA470"/>
      <c r="DB470"/>
      <c r="DC470"/>
      <c r="DD470"/>
      <c r="DE470"/>
      <c r="DF470"/>
      <c r="DG470"/>
      <c r="DH470" s="227"/>
      <c r="DI470" s="3">
        <v>1</v>
      </c>
    </row>
    <row r="471" spans="2:113" s="627" customFormat="1" ht="21" customHeight="1">
      <c r="B471" s="2265" t="str" cm="1">
        <f t="array" ref="B471">SUMPRODUCT(--(D471:J471&lt;&gt;""), LEN(TRIM(SUBSTITUTE(D471:J471, CHAR(160), "")))) &amp; " Car."</f>
        <v>0 Car.</v>
      </c>
      <c r="C471" s="1376" t="str">
        <f>IF(ISBLANK(D471),"",LARGE(C13:C470,1)+1)</f>
        <v/>
      </c>
      <c r="D471" s="1833"/>
      <c r="E471" s="1810"/>
      <c r="F471" s="1810"/>
      <c r="G471" s="1810"/>
      <c r="H471" s="1810"/>
      <c r="I471" s="1810"/>
      <c r="J471" s="1810"/>
      <c r="K471" s="1810"/>
      <c r="L471" s="1811"/>
      <c r="M471"/>
      <c r="N471" s="103" t="str">
        <f t="shared" si="204"/>
        <v>►</v>
      </c>
      <c r="O471" s="1616"/>
      <c r="P471"/>
      <c r="Q471" s="103" t="s">
        <v>15</v>
      </c>
      <c r="R471" s="31"/>
      <c r="S471" s="32"/>
      <c r="T471" s="31"/>
      <c r="U471" s="33"/>
      <c r="V471" s="1804"/>
      <c r="W471" s="1805"/>
      <c r="X471" s="91"/>
      <c r="Y471" s="1806"/>
      <c r="Z471" s="1807"/>
      <c r="AA471" s="919"/>
      <c r="AB471" s="1813"/>
      <c r="AC471" s="1580"/>
      <c r="AD471" s="95"/>
      <c r="AE471" s="105"/>
      <c r="AF471" s="97"/>
      <c r="AG471" s="2080"/>
      <c r="AH471" s="2081"/>
      <c r="AI471" s="99"/>
      <c r="AJ471" s="1809"/>
      <c r="AK471" s="6120" t="str">
        <f t="shared" si="197"/>
        <v>►</v>
      </c>
      <c r="AL471" s="781" t="str">
        <f t="shared" ref="AL471:AL534" si="206">IF(OR(AU471&gt;0,TRIM(AM471)="▼ recette suivante"),"A","►")</f>
        <v>►</v>
      </c>
      <c r="AM471" s="5499" t="str">
        <f t="shared" si="188"/>
        <v/>
      </c>
      <c r="AN471" s="783" t="str">
        <f t="shared" si="189"/>
        <v/>
      </c>
      <c r="AO471" s="782" t="str">
        <f t="shared" si="190"/>
        <v/>
      </c>
      <c r="AP471" s="783" t="str">
        <f t="shared" si="191"/>
        <v/>
      </c>
      <c r="AQ471" s="2083" t="b">
        <f>AND(Q471="A",COUNTIF(BP16:BR63,TRIM(Z471))&gt;0)</f>
        <v>0</v>
      </c>
      <c r="AR471" s="797" t="str">
        <f>IF(AL471&lt;&gt;"A","",IFERROR(IFERROR(_xlfn.XLOOKUP(TRIM(SUBSTITUTE(Z471,CHAR(160)," ")),BP16:BP63,BS16:BS63),IFERROR(_xlfn.XLOOKUP(TRIM(SUBSTITUTE(Z471,CHAR(160)," ")),BQ16:BQ63,BS16:BS63),_xlfn.XLOOKUP(TRIM(SUBSTITUTE(Z471,CHAR(160)," ")),BR16:BR63,BS16:BS63)))*Y471*IF(ISBLANK(V471),1,V471),0))</f>
        <v/>
      </c>
      <c r="AS471" s="784" t="str">
        <f t="shared" si="202"/>
        <v/>
      </c>
      <c r="AT471" s="1315" t="str">
        <f t="shared" si="192"/>
        <v/>
      </c>
      <c r="AU471" s="785">
        <f t="shared" si="193"/>
        <v>0</v>
      </c>
      <c r="AV471" s="785">
        <f t="shared" si="194"/>
        <v>0</v>
      </c>
      <c r="AW471" s="786">
        <f>IF(AK471="A",AY10,0)</f>
        <v>0</v>
      </c>
      <c r="AX471" s="5495" t="str">
        <f>IF(IFERROR(SEARCH("Adresse PC",TRIM(W471)),0)&gt;0,"▼ receta siguiente",IF(AK471="A",IF(AZ10&lt;&gt;"",AZ10&amp;" - ou.or.o ❾ + or - &gt;",""),""))</f>
        <v/>
      </c>
      <c r="AY471" s="810"/>
      <c r="AZ471" s="810"/>
      <c r="BA471" s="788" t="str">
        <f t="shared" si="205"/>
        <v/>
      </c>
      <c r="BB471" s="789" t="str">
        <f>IF(AK471="A",IF(AQ471,IF(AND(AW471&lt;&gt;"",N(AW471)&gt;0),IFERROR(IFERROR(_xlfn.XLOOKUP(AP471,BP10:BP57,BT10:BT57),IFERROR(_xlfn.XLOOKUP(AP471,BQ10:BQ57,BT10:BT57),_xlfn.XLOOKUP(AP471,BR10:BR57,BT10:BT57,""))),""),""),""),"")</f>
        <v/>
      </c>
      <c r="BC471" s="811" cm="1">
        <f t="array" ref="BC471">IF(NOT(AQ471),0,IF(OR(BA471="",N(BA471)&lt;=0.000000001),"",IF(OR(AU471="",N(AU471)&lt;=0.000000001),0,IF(ISNUMBER(BA471),IFERROR(_xlfn.LET(_xlpm.ai_test,TRIM(AP471),_xlpm.r,IFERROR(_xlfn.XLOOKUP(_xlpm.ai_test,BP16:BP63,ROW(BP16:BP63),0,1),IFERROR(_xlfn.XLOOKUP(_xlpm.ai_test,BQ16:BQ63,ROW(BQ16:BQ63),0,1),_xlfn.XLOOKUP(_xlpm.ai_test,BR16:BR63,ROW(BR16:BR63),0,1))),_xlpm.p,_xlpm.r-MIN(ROW(BP16:BP63))+1,_xlpm.f,INDEX(BS16:BS63,_xlpm.p),_xlpm.u,INDEX(BT16:BT63,_xlpm.p),_xlpm.s,INDEX(BV16:BV63,_xlpm.p),_xlpm.q,N(BA471)/_xlpm.f,IF(_xlpm.q&gt;=_xlpm.s,ROUND(_xlpm.q,1)&amp;" "&amp;_xlpm.ai_test&amp;" = "&amp;ROUND(_xlpm.q*_xlpm.f,1)&amp;" "&amp;_xlpm.u,ROUND(_xlpm.q,1)&amp;" "&amp;_xlpm.ai_test)),""),""))))</f>
        <v>0</v>
      </c>
      <c r="BD471" s="801"/>
      <c r="BE471" s="788" t="str">
        <f t="shared" si="195"/>
        <v/>
      </c>
      <c r="BF471" s="789" t="str">
        <f t="shared" si="198"/>
        <v/>
      </c>
      <c r="BG471" s="790">
        <f t="shared" si="199"/>
        <v>0</v>
      </c>
      <c r="BH471" s="791" t="str">
        <f t="shared" si="200"/>
        <v/>
      </c>
      <c r="BI471" s="792"/>
      <c r="BJ471" s="793">
        <f t="shared" si="201"/>
        <v>0</v>
      </c>
      <c r="BK471" s="794" t="str">
        <f t="shared" si="196"/>
        <v/>
      </c>
      <c r="BL471" s="227" t="s">
        <v>21</v>
      </c>
      <c r="BM471" s="773">
        <f t="shared" ref="BM471:BM534" si="207">IFERROR(_xlfn.LET(_xlpm.EPS,0.000000001,_xlpm.b,V471/AU471,IF(ISNUMBER(AY471),_xlpm.b*AY471,IF(OR(ISBLANK(AY471),AY471=""),_xlpm.b*AW471,IF(AND(BN471=0,ISNUMBER(V471)),_xlpm.b/AW471,0)))),0)</f>
        <v>0</v>
      </c>
      <c r="BN471" s="774">
        <f t="shared" ref="BN471:BN534" si="208">IF(AR471&gt;0,IFERROR(IF(OR(ISBLANK(AY471),AY471=""),AW471,AY471)/AU471,0),0)</f>
        <v>0</v>
      </c>
      <c r="BO471"/>
      <c r="BX471"/>
      <c r="BY471"/>
      <c r="BZ471"/>
      <c r="CA471"/>
      <c r="CB471"/>
      <c r="CC471"/>
      <c r="CD471" s="781" t="str">
        <f t="shared" si="203"/>
        <v>►</v>
      </c>
      <c r="CE471" s="633"/>
      <c r="CF471" s="633"/>
      <c r="CG471" s="633"/>
      <c r="CH471" s="633"/>
      <c r="CI471" s="633"/>
      <c r="CJ471" s="227"/>
      <c r="CK471"/>
      <c r="CL471"/>
      <c r="CM471"/>
      <c r="CN471"/>
      <c r="CO471"/>
      <c r="CP471"/>
      <c r="CQ471"/>
      <c r="CR471" s="227"/>
      <c r="CS471"/>
      <c r="CT471"/>
      <c r="CU471"/>
      <c r="CV471"/>
      <c r="CW471"/>
      <c r="CX471"/>
      <c r="CY471"/>
      <c r="CZ471" s="227"/>
      <c r="DA471"/>
      <c r="DB471"/>
      <c r="DC471"/>
      <c r="DD471"/>
      <c r="DE471"/>
      <c r="DF471"/>
      <c r="DG471"/>
      <c r="DH471" s="227"/>
      <c r="DI471" s="3">
        <v>1</v>
      </c>
    </row>
    <row r="472" spans="2:113" s="627" customFormat="1" ht="21" customHeight="1">
      <c r="B472" s="2265" t="str" cm="1">
        <f t="array" ref="B472">SUMPRODUCT(--(D472:J472&lt;&gt;""), LEN(TRIM(SUBSTITUTE(D472:J472, CHAR(160), "")))) &amp; " Car."</f>
        <v>0 Car.</v>
      </c>
      <c r="C472" s="1376" t="str">
        <f>IF(ISBLANK(D472),"",LARGE(C13:C471,1)+1)</f>
        <v/>
      </c>
      <c r="D472" s="1833"/>
      <c r="E472" s="1810"/>
      <c r="F472" s="1810"/>
      <c r="G472" s="1810"/>
      <c r="H472" s="1810"/>
      <c r="I472" s="1810"/>
      <c r="J472" s="1810"/>
      <c r="K472" s="1810"/>
      <c r="L472" s="1811"/>
      <c r="M472"/>
      <c r="N472" s="103" t="str">
        <f t="shared" si="204"/>
        <v>►</v>
      </c>
      <c r="O472" s="1616"/>
      <c r="P472"/>
      <c r="Q472" s="103" t="s">
        <v>15</v>
      </c>
      <c r="R472" s="31"/>
      <c r="S472" s="32"/>
      <c r="T472" s="31"/>
      <c r="U472" s="33"/>
      <c r="V472" s="1804"/>
      <c r="W472" s="1805"/>
      <c r="X472" s="91"/>
      <c r="Y472" s="1806"/>
      <c r="Z472" s="1807"/>
      <c r="AA472" s="919"/>
      <c r="AB472" s="1813"/>
      <c r="AC472" s="1580"/>
      <c r="AD472" s="95"/>
      <c r="AE472" s="105"/>
      <c r="AF472" s="97"/>
      <c r="AG472" s="2080"/>
      <c r="AH472" s="2081"/>
      <c r="AI472" s="99"/>
      <c r="AJ472" s="1809"/>
      <c r="AK472" s="6120" t="str">
        <f t="shared" si="197"/>
        <v>►</v>
      </c>
      <c r="AL472" s="781" t="str">
        <f t="shared" si="206"/>
        <v>►</v>
      </c>
      <c r="AM472" s="5498" t="str">
        <f t="shared" ref="AM472:AM535" si="209">IF(IFERROR(SEARCH("Adresse PC",TRIM(SUBSTITUTE(W472,CHAR(160)," "))),0)&gt;0,"▼ recette suivante",IF(AK472="A",R472,""))</f>
        <v/>
      </c>
      <c r="AN472" s="783" t="str">
        <f t="shared" ref="AN472:AN535" si="210">IF(AK472="A",S472,"")</f>
        <v/>
      </c>
      <c r="AO472" s="782" t="str">
        <f t="shared" ref="AO472:AO535" si="211">IF(AK472="A",T472,"")</f>
        <v/>
      </c>
      <c r="AP472" s="783" t="str">
        <f t="shared" ref="AP472:AP535" si="212">IF(AK472="A",Z472,"")</f>
        <v/>
      </c>
      <c r="AQ472" s="2083" t="b">
        <f>AND(Q472="A",COUNTIF(BP16:BR63,TRIM(Z472))&gt;0)</f>
        <v>0</v>
      </c>
      <c r="AR472" s="797" t="str">
        <f>IF(AL472&lt;&gt;"A","",IFERROR(IFERROR(_xlfn.XLOOKUP(TRIM(SUBSTITUTE(Z472,CHAR(160)," ")),BP16:BP63,BS16:BS63),IFERROR(_xlfn.XLOOKUP(TRIM(SUBSTITUTE(Z472,CHAR(160)," ")),BQ16:BQ63,BS16:BS63),_xlfn.XLOOKUP(TRIM(SUBSTITUTE(Z472,CHAR(160)," ")),BR16:BR63,BS16:BS63)))*Y472*IF(ISBLANK(V472),1,V472),0))</f>
        <v/>
      </c>
      <c r="AS472" s="784" t="str">
        <f t="shared" si="202"/>
        <v/>
      </c>
      <c r="AT472" s="1315" t="str">
        <f t="shared" ref="AT472:AT535" si="213">IF(AK472="A","❾ Author reference &gt;","")</f>
        <v/>
      </c>
      <c r="AU472" s="785">
        <f t="shared" ref="AU472:AU535" si="214">IF(AK472="A",S472,0)</f>
        <v>0</v>
      </c>
      <c r="AV472" s="785">
        <f t="shared" ref="AV472:AV535" si="215">IF(AK472="A",T472,0)</f>
        <v>0</v>
      </c>
      <c r="AW472" s="798">
        <f>IF(AK472="A",AY10,0)</f>
        <v>0</v>
      </c>
      <c r="AX472" s="5496" t="str">
        <f>IF(IFERROR(SEARCH("Adresse PC",TRIM(W472)),0)&gt;0,"▼ receta siguiente",IF(AK472="A",IF(AZ10&lt;&gt;"",AZ10&amp;" - ou.or.o ❾ + or - &gt;",""),""))</f>
        <v/>
      </c>
      <c r="AY472" s="810"/>
      <c r="AZ472" s="810"/>
      <c r="BA472" s="799" t="str">
        <f t="shared" si="205"/>
        <v/>
      </c>
      <c r="BB472" s="800" t="str">
        <f>IF(AK472="A",IF(AQ472,IF(AND(AW472&lt;&gt;"",N(AW472)&gt;0),IFERROR(IFERROR(_xlfn.XLOOKUP(AP472,BP10:BP57,BT10:BT57),IFERROR(_xlfn.XLOOKUP(AP472,BQ10:BQ57,BT10:BT57),_xlfn.XLOOKUP(AP472,BR10:BR57,BT10:BT57,""))),""),""),""),"")</f>
        <v/>
      </c>
      <c r="BC472" s="813" cm="1">
        <f t="array" ref="BC472">IF(NOT(AQ472),0,IF(OR(BA472="",N(BA472)&lt;=0.000000001),"",IF(OR(AU472="",N(AU472)&lt;=0.000000001),0,IF(ISNUMBER(BA472),IFERROR(_xlfn.LET(_xlpm.ai_test,TRIM(AP472),_xlpm.r,IFERROR(_xlfn.XLOOKUP(_xlpm.ai_test,BP16:BP63,ROW(BP16:BP63),0,1),IFERROR(_xlfn.XLOOKUP(_xlpm.ai_test,BQ16:BQ63,ROW(BQ16:BQ63),0,1),_xlfn.XLOOKUP(_xlpm.ai_test,BR16:BR63,ROW(BR16:BR63),0,1))),_xlpm.p,_xlpm.r-MIN(ROW(BP16:BP63))+1,_xlpm.f,INDEX(BS16:BS63,_xlpm.p),_xlpm.u,INDEX(BT16:BT63,_xlpm.p),_xlpm.s,INDEX(BV16:BV63,_xlpm.p),_xlpm.q,N(BA472)/_xlpm.f,IF(_xlpm.q&gt;=_xlpm.s,ROUND(_xlpm.q,1)&amp;" "&amp;_xlpm.ai_test&amp;" = "&amp;ROUND(_xlpm.q*_xlpm.f,1)&amp;" "&amp;_xlpm.u,ROUND(_xlpm.q,1)&amp;" "&amp;_xlpm.ai_test)),""),""))))</f>
        <v>0</v>
      </c>
      <c r="BD472" s="801"/>
      <c r="BE472" s="799" t="str">
        <f t="shared" ref="BE472:BE535" si="216">IF(IFERROR(SEARCH("Adresse PC",TRIM(W472)),0)&gt;0,"▼next ricipe ",IF(BA472="","",IF(AK472="A",IF(ISBLANK(BD472),BA472,ROUND(BA472*(1-MIN(1,MAX(0,IF(BD472&gt;1,BD472/100,BD472)))),3)))))</f>
        <v/>
      </c>
      <c r="BF472" s="800" t="str">
        <f t="shared" si="198"/>
        <v/>
      </c>
      <c r="BG472" s="802">
        <f t="shared" si="199"/>
        <v>0</v>
      </c>
      <c r="BH472" s="803" t="str">
        <f t="shared" si="200"/>
        <v/>
      </c>
      <c r="BI472" s="792"/>
      <c r="BJ472" s="804">
        <f t="shared" si="201"/>
        <v>0</v>
      </c>
      <c r="BK472" s="794" t="str">
        <f t="shared" ref="BK472:BK535" si="217">IF(AK472="A",IF(IFERROR(SEARCH("Adresse PC",TRIM(W472)),0)&gt;0,"▼recette suivante ",IF(BE472&gt;0,AC472,"")),"")</f>
        <v/>
      </c>
      <c r="BL472" s="227" t="s">
        <v>21</v>
      </c>
      <c r="BM472" s="773">
        <f t="shared" si="207"/>
        <v>0</v>
      </c>
      <c r="BN472" s="774">
        <f t="shared" si="208"/>
        <v>0</v>
      </c>
      <c r="BO472"/>
      <c r="BX472"/>
      <c r="BY472"/>
      <c r="BZ472"/>
      <c r="CA472"/>
      <c r="CB472"/>
      <c r="CC472"/>
      <c r="CD472" s="781" t="str">
        <f t="shared" si="203"/>
        <v>►</v>
      </c>
      <c r="CE472" s="633"/>
      <c r="CF472" s="633"/>
      <c r="CG472" s="633"/>
      <c r="CH472" s="633"/>
      <c r="CI472" s="633"/>
      <c r="CJ472" s="227"/>
      <c r="CK472"/>
      <c r="CL472"/>
      <c r="CM472"/>
      <c r="CN472"/>
      <c r="CO472"/>
      <c r="CP472"/>
      <c r="CQ472"/>
      <c r="CR472" s="227"/>
      <c r="CS472"/>
      <c r="CT472"/>
      <c r="CU472"/>
      <c r="CV472"/>
      <c r="CW472"/>
      <c r="CX472"/>
      <c r="CY472"/>
      <c r="CZ472" s="227"/>
      <c r="DA472"/>
      <c r="DB472"/>
      <c r="DC472"/>
      <c r="DD472"/>
      <c r="DE472"/>
      <c r="DF472"/>
      <c r="DG472"/>
      <c r="DH472" s="227"/>
      <c r="DI472" s="3">
        <v>1</v>
      </c>
    </row>
    <row r="473" spans="2:113" s="627" customFormat="1" ht="21" customHeight="1">
      <c r="B473" s="2265" t="str" cm="1">
        <f t="array" ref="B473">SUMPRODUCT(--(D473:J473&lt;&gt;""), LEN(TRIM(SUBSTITUTE(D473:J473, CHAR(160), "")))) &amp; " Car."</f>
        <v>0 Car.</v>
      </c>
      <c r="C473" s="1376" t="str">
        <f>IF(ISBLANK(D473),"",LARGE(C13:C472,1)+1)</f>
        <v/>
      </c>
      <c r="D473" s="1833"/>
      <c r="E473" s="1810"/>
      <c r="F473" s="1810"/>
      <c r="G473" s="1810"/>
      <c r="H473" s="1810"/>
      <c r="I473" s="1810"/>
      <c r="J473" s="1810"/>
      <c r="K473" s="1810"/>
      <c r="L473" s="1811"/>
      <c r="M473"/>
      <c r="N473" s="103" t="str">
        <f t="shared" si="204"/>
        <v>►</v>
      </c>
      <c r="O473" s="1616"/>
      <c r="P473"/>
      <c r="Q473" s="103" t="s">
        <v>15</v>
      </c>
      <c r="R473" s="31"/>
      <c r="S473" s="32"/>
      <c r="T473" s="31"/>
      <c r="U473" s="33"/>
      <c r="V473" s="1804"/>
      <c r="W473" s="1805"/>
      <c r="X473" s="91"/>
      <c r="Y473" s="1806"/>
      <c r="Z473" s="1807"/>
      <c r="AA473" s="919"/>
      <c r="AB473" s="1813"/>
      <c r="AC473" s="1580"/>
      <c r="AD473" s="95"/>
      <c r="AE473" s="105"/>
      <c r="AF473" s="97"/>
      <c r="AG473" s="2080"/>
      <c r="AH473" s="2081"/>
      <c r="AI473" s="99"/>
      <c r="AJ473" s="1809"/>
      <c r="AK473" s="6120" t="str">
        <f t="shared" ref="AK473:AK536" si="218">IF(AND(IFERROR(SEARCH("►",AB473),0)&gt;0,ISNUMBER(IFERROR(VALUE(TRIM(SUBSTITUTE(AB473,"►",""))),NA())),AC473&lt;&gt;""),"A","►")</f>
        <v>►</v>
      </c>
      <c r="AL473" s="781" t="str">
        <f t="shared" si="206"/>
        <v>►</v>
      </c>
      <c r="AM473" s="5499" t="str">
        <f t="shared" si="209"/>
        <v/>
      </c>
      <c r="AN473" s="783" t="str">
        <f t="shared" si="210"/>
        <v/>
      </c>
      <c r="AO473" s="782" t="str">
        <f t="shared" si="211"/>
        <v/>
      </c>
      <c r="AP473" s="783" t="str">
        <f t="shared" si="212"/>
        <v/>
      </c>
      <c r="AQ473" s="2083" t="b">
        <f>AND(Q473="A",COUNTIF(BP16:BR63,TRIM(Z473))&gt;0)</f>
        <v>0</v>
      </c>
      <c r="AR473" s="797" t="str">
        <f>IF(AL473&lt;&gt;"A","",IFERROR(IFERROR(_xlfn.XLOOKUP(TRIM(SUBSTITUTE(Z473,CHAR(160)," ")),BP16:BP63,BS16:BS63),IFERROR(_xlfn.XLOOKUP(TRIM(SUBSTITUTE(Z473,CHAR(160)," ")),BQ16:BQ63,BS16:BS63),_xlfn.XLOOKUP(TRIM(SUBSTITUTE(Z473,CHAR(160)," ")),BR16:BR63,BS16:BS63)))*Y473*IF(ISBLANK(V473),1,V473),0))</f>
        <v/>
      </c>
      <c r="AS473" s="784" t="str">
        <f t="shared" si="202"/>
        <v/>
      </c>
      <c r="AT473" s="1315" t="str">
        <f t="shared" si="213"/>
        <v/>
      </c>
      <c r="AU473" s="785">
        <f t="shared" si="214"/>
        <v>0</v>
      </c>
      <c r="AV473" s="785">
        <f t="shared" si="215"/>
        <v>0</v>
      </c>
      <c r="AW473" s="786">
        <f>IF(AK473="A",AY10,0)</f>
        <v>0</v>
      </c>
      <c r="AX473" s="5495" t="str">
        <f>IF(IFERROR(SEARCH("Adresse PC",TRIM(W473)),0)&gt;0,"▼ receta siguiente",IF(AK473="A",IF(AZ10&lt;&gt;"",AZ10&amp;" - ou.or.o ❾ + or - &gt;",""),""))</f>
        <v/>
      </c>
      <c r="AY473" s="810"/>
      <c r="AZ473" s="810"/>
      <c r="BA473" s="788" t="str">
        <f t="shared" si="205"/>
        <v/>
      </c>
      <c r="BB473" s="789" t="str">
        <f>IF(AK473="A",IF(AQ473,IF(AND(AW473&lt;&gt;"",N(AW473)&gt;0),IFERROR(IFERROR(_xlfn.XLOOKUP(AP473,BP10:BP57,BT10:BT57),IFERROR(_xlfn.XLOOKUP(AP473,BQ10:BQ57,BT10:BT57),_xlfn.XLOOKUP(AP473,BR10:BR57,BT10:BT57,""))),""),""),""),"")</f>
        <v/>
      </c>
      <c r="BC473" s="811" cm="1">
        <f t="array" ref="BC473">IF(NOT(AQ473),0,IF(OR(BA473="",N(BA473)&lt;=0.000000001),"",IF(OR(AU473="",N(AU473)&lt;=0.000000001),0,IF(ISNUMBER(BA473),IFERROR(_xlfn.LET(_xlpm.ai_test,TRIM(AP473),_xlpm.r,IFERROR(_xlfn.XLOOKUP(_xlpm.ai_test,BP16:BP63,ROW(BP16:BP63),0,1),IFERROR(_xlfn.XLOOKUP(_xlpm.ai_test,BQ16:BQ63,ROW(BQ16:BQ63),0,1),_xlfn.XLOOKUP(_xlpm.ai_test,BR16:BR63,ROW(BR16:BR63),0,1))),_xlpm.p,_xlpm.r-MIN(ROW(BP16:BP63))+1,_xlpm.f,INDEX(BS16:BS63,_xlpm.p),_xlpm.u,INDEX(BT16:BT63,_xlpm.p),_xlpm.s,INDEX(BV16:BV63,_xlpm.p),_xlpm.q,N(BA473)/_xlpm.f,IF(_xlpm.q&gt;=_xlpm.s,ROUND(_xlpm.q,1)&amp;" "&amp;_xlpm.ai_test&amp;" = "&amp;ROUND(_xlpm.q*_xlpm.f,1)&amp;" "&amp;_xlpm.u,ROUND(_xlpm.q,1)&amp;" "&amp;_xlpm.ai_test)),""),""))))</f>
        <v>0</v>
      </c>
      <c r="BD473" s="801"/>
      <c r="BE473" s="788" t="str">
        <f t="shared" si="216"/>
        <v/>
      </c>
      <c r="BF473" s="789" t="str">
        <f t="shared" si="198"/>
        <v/>
      </c>
      <c r="BG473" s="790">
        <f t="shared" si="199"/>
        <v>0</v>
      </c>
      <c r="BH473" s="791" t="str">
        <f t="shared" si="200"/>
        <v/>
      </c>
      <c r="BI473" s="792"/>
      <c r="BJ473" s="793">
        <f t="shared" si="201"/>
        <v>0</v>
      </c>
      <c r="BK473" s="794" t="str">
        <f t="shared" si="217"/>
        <v/>
      </c>
      <c r="BL473" s="227" t="s">
        <v>21</v>
      </c>
      <c r="BM473" s="773">
        <f t="shared" si="207"/>
        <v>0</v>
      </c>
      <c r="BN473" s="774">
        <f t="shared" si="208"/>
        <v>0</v>
      </c>
      <c r="BO473"/>
      <c r="BX473"/>
      <c r="BY473"/>
      <c r="BZ473"/>
      <c r="CA473"/>
      <c r="CB473"/>
      <c r="CC473"/>
      <c r="CD473" s="781" t="str">
        <f t="shared" si="203"/>
        <v>►</v>
      </c>
      <c r="CE473" s="633"/>
      <c r="CF473" s="633"/>
      <c r="CG473" s="633"/>
      <c r="CH473" s="633"/>
      <c r="CI473" s="633"/>
      <c r="CJ473" s="227"/>
      <c r="CK473"/>
      <c r="CL473"/>
      <c r="CM473"/>
      <c r="CN473"/>
      <c r="CO473"/>
      <c r="CP473"/>
      <c r="CQ473"/>
      <c r="CR473" s="227"/>
      <c r="CS473"/>
      <c r="CT473"/>
      <c r="CU473"/>
      <c r="CV473"/>
      <c r="CW473"/>
      <c r="CX473"/>
      <c r="CY473"/>
      <c r="CZ473" s="227"/>
      <c r="DA473"/>
      <c r="DB473"/>
      <c r="DC473"/>
      <c r="DD473"/>
      <c r="DE473"/>
      <c r="DF473"/>
      <c r="DG473"/>
      <c r="DH473" s="227"/>
      <c r="DI473" s="3">
        <v>1</v>
      </c>
    </row>
    <row r="474" spans="2:113" s="627" customFormat="1" ht="21" customHeight="1">
      <c r="B474" s="2265" t="str" cm="1">
        <f t="array" ref="B474">SUMPRODUCT(--(D474:J474&lt;&gt;""), LEN(TRIM(SUBSTITUTE(D474:J474, CHAR(160), "")))) &amp; " Car."</f>
        <v>0 Car.</v>
      </c>
      <c r="C474" s="1376" t="str">
        <f>IF(ISBLANK(D474),"",LARGE(C13:C473,1)+1)</f>
        <v/>
      </c>
      <c r="D474" s="1833"/>
      <c r="E474" s="1810"/>
      <c r="F474" s="1810"/>
      <c r="G474" s="1810"/>
      <c r="H474" s="1810"/>
      <c r="I474" s="1810"/>
      <c r="J474" s="1810"/>
      <c r="K474" s="1810"/>
      <c r="L474" s="1811"/>
      <c r="M474"/>
      <c r="N474" s="103" t="str">
        <f t="shared" si="204"/>
        <v>►</v>
      </c>
      <c r="O474" s="1616"/>
      <c r="P474"/>
      <c r="Q474" s="103" t="s">
        <v>15</v>
      </c>
      <c r="R474" s="31"/>
      <c r="S474" s="32"/>
      <c r="T474" s="31"/>
      <c r="U474" s="33"/>
      <c r="V474" s="1804"/>
      <c r="W474" s="1805"/>
      <c r="X474" s="91"/>
      <c r="Y474" s="1806"/>
      <c r="Z474" s="1807"/>
      <c r="AA474" s="919"/>
      <c r="AB474" s="1813"/>
      <c r="AC474" s="1580"/>
      <c r="AD474" s="95"/>
      <c r="AE474" s="105"/>
      <c r="AF474" s="97"/>
      <c r="AG474" s="2080"/>
      <c r="AH474" s="2081"/>
      <c r="AI474" s="99"/>
      <c r="AJ474" s="1809"/>
      <c r="AK474" s="6120" t="str">
        <f t="shared" si="218"/>
        <v>►</v>
      </c>
      <c r="AL474" s="781" t="str">
        <f t="shared" si="206"/>
        <v>►</v>
      </c>
      <c r="AM474" s="5498" t="str">
        <f t="shared" si="209"/>
        <v/>
      </c>
      <c r="AN474" s="783" t="str">
        <f t="shared" si="210"/>
        <v/>
      </c>
      <c r="AO474" s="782" t="str">
        <f t="shared" si="211"/>
        <v/>
      </c>
      <c r="AP474" s="783" t="str">
        <f t="shared" si="212"/>
        <v/>
      </c>
      <c r="AQ474" s="2083" t="b">
        <f>AND(Q474="A",COUNTIF(BP16:BR63,TRIM(Z474))&gt;0)</f>
        <v>0</v>
      </c>
      <c r="AR474" s="797" t="str">
        <f>IF(AL474&lt;&gt;"A","",IFERROR(IFERROR(_xlfn.XLOOKUP(TRIM(SUBSTITUTE(Z474,CHAR(160)," ")),BP16:BP63,BS16:BS63),IFERROR(_xlfn.XLOOKUP(TRIM(SUBSTITUTE(Z474,CHAR(160)," ")),BQ16:BQ63,BS16:BS63),_xlfn.XLOOKUP(TRIM(SUBSTITUTE(Z474,CHAR(160)," ")),BR16:BR63,BS16:BS63)))*Y474*IF(ISBLANK(V474),1,V474),0))</f>
        <v/>
      </c>
      <c r="AS474" s="784" t="str">
        <f t="shared" si="202"/>
        <v/>
      </c>
      <c r="AT474" s="1315" t="str">
        <f t="shared" si="213"/>
        <v/>
      </c>
      <c r="AU474" s="785">
        <f t="shared" si="214"/>
        <v>0</v>
      </c>
      <c r="AV474" s="785">
        <f t="shared" si="215"/>
        <v>0</v>
      </c>
      <c r="AW474" s="798">
        <f>IF(AK474="A",AY10,0)</f>
        <v>0</v>
      </c>
      <c r="AX474" s="5496" t="str">
        <f>IF(IFERROR(SEARCH("Adresse PC",TRIM(W474)),0)&gt;0,"▼ receta siguiente",IF(AK474="A",IF(AZ10&lt;&gt;"",AZ10&amp;" - ou.or.o ❾ + or - &gt;",""),""))</f>
        <v/>
      </c>
      <c r="AY474" s="810"/>
      <c r="AZ474" s="810"/>
      <c r="BA474" s="799" t="str">
        <f t="shared" si="205"/>
        <v/>
      </c>
      <c r="BB474" s="800" t="str">
        <f>IF(AK474="A",IF(AQ474,IF(AND(AW474&lt;&gt;"",N(AW474)&gt;0),IFERROR(IFERROR(_xlfn.XLOOKUP(AP474,BP10:BP57,BT10:BT57),IFERROR(_xlfn.XLOOKUP(AP474,BQ10:BQ57,BT10:BT57),_xlfn.XLOOKUP(AP474,BR10:BR57,BT10:BT57,""))),""),""),""),"")</f>
        <v/>
      </c>
      <c r="BC474" s="813" cm="1">
        <f t="array" ref="BC474">IF(NOT(AQ474),0,IF(OR(BA474="",N(BA474)&lt;=0.000000001),"",IF(OR(AU474="",N(AU474)&lt;=0.000000001),0,IF(ISNUMBER(BA474),IFERROR(_xlfn.LET(_xlpm.ai_test,TRIM(AP474),_xlpm.r,IFERROR(_xlfn.XLOOKUP(_xlpm.ai_test,BP16:BP63,ROW(BP16:BP63),0,1),IFERROR(_xlfn.XLOOKUP(_xlpm.ai_test,BQ16:BQ63,ROW(BQ16:BQ63),0,1),_xlfn.XLOOKUP(_xlpm.ai_test,BR16:BR63,ROW(BR16:BR63),0,1))),_xlpm.p,_xlpm.r-MIN(ROW(BP16:BP63))+1,_xlpm.f,INDEX(BS16:BS63,_xlpm.p),_xlpm.u,INDEX(BT16:BT63,_xlpm.p),_xlpm.s,INDEX(BV16:BV63,_xlpm.p),_xlpm.q,N(BA474)/_xlpm.f,IF(_xlpm.q&gt;=_xlpm.s,ROUND(_xlpm.q,1)&amp;" "&amp;_xlpm.ai_test&amp;" = "&amp;ROUND(_xlpm.q*_xlpm.f,1)&amp;" "&amp;_xlpm.u,ROUND(_xlpm.q,1)&amp;" "&amp;_xlpm.ai_test)),""),""))))</f>
        <v>0</v>
      </c>
      <c r="BD474" s="801"/>
      <c r="BE474" s="799" t="str">
        <f t="shared" si="216"/>
        <v/>
      </c>
      <c r="BF474" s="800" t="str">
        <f t="shared" si="198"/>
        <v/>
      </c>
      <c r="BG474" s="802">
        <f t="shared" si="199"/>
        <v>0</v>
      </c>
      <c r="BH474" s="803" t="str">
        <f t="shared" si="200"/>
        <v/>
      </c>
      <c r="BI474" s="792"/>
      <c r="BJ474" s="804">
        <f t="shared" si="201"/>
        <v>0</v>
      </c>
      <c r="BK474" s="794" t="str">
        <f t="shared" si="217"/>
        <v/>
      </c>
      <c r="BL474" s="227" t="s">
        <v>21</v>
      </c>
      <c r="BM474" s="773">
        <f t="shared" si="207"/>
        <v>0</v>
      </c>
      <c r="BN474" s="774">
        <f t="shared" si="208"/>
        <v>0</v>
      </c>
      <c r="BO474"/>
      <c r="BX474"/>
      <c r="BY474"/>
      <c r="BZ474"/>
      <c r="CA474"/>
      <c r="CB474"/>
      <c r="CC474"/>
      <c r="CD474" s="781" t="str">
        <f t="shared" si="203"/>
        <v>►</v>
      </c>
      <c r="CE474" s="633"/>
      <c r="CF474" s="633"/>
      <c r="CG474" s="633"/>
      <c r="CH474" s="633"/>
      <c r="CI474" s="633"/>
      <c r="CJ474" s="227"/>
      <c r="CK474"/>
      <c r="CL474"/>
      <c r="CM474"/>
      <c r="CN474"/>
      <c r="CO474"/>
      <c r="CP474"/>
      <c r="CQ474"/>
      <c r="CR474" s="227"/>
      <c r="CS474"/>
      <c r="CT474"/>
      <c r="CU474"/>
      <c r="CV474"/>
      <c r="CW474"/>
      <c r="CX474"/>
      <c r="CY474"/>
      <c r="CZ474" s="227"/>
      <c r="DA474"/>
      <c r="DB474"/>
      <c r="DC474"/>
      <c r="DD474"/>
      <c r="DE474"/>
      <c r="DF474"/>
      <c r="DG474"/>
      <c r="DH474" s="227"/>
      <c r="DI474" s="3">
        <v>1</v>
      </c>
    </row>
    <row r="475" spans="2:113" s="627" customFormat="1" ht="21" customHeight="1">
      <c r="B475" s="2265" t="str" cm="1">
        <f t="array" ref="B475">SUMPRODUCT(--(D475:J475&lt;&gt;""), LEN(TRIM(SUBSTITUTE(D475:J475, CHAR(160), "")))) &amp; " Car."</f>
        <v>0 Car.</v>
      </c>
      <c r="C475" s="1376" t="str">
        <f>IF(ISBLANK(D475),"",LARGE(C13:C474,1)+1)</f>
        <v/>
      </c>
      <c r="D475" s="1833"/>
      <c r="E475" s="1810"/>
      <c r="F475" s="1810"/>
      <c r="G475" s="1810"/>
      <c r="H475" s="1810"/>
      <c r="I475" s="1810"/>
      <c r="J475" s="1810"/>
      <c r="K475" s="1810"/>
      <c r="L475" s="1811"/>
      <c r="M475"/>
      <c r="N475" s="103" t="str">
        <f t="shared" si="204"/>
        <v>►</v>
      </c>
      <c r="O475" s="1616"/>
      <c r="P475"/>
      <c r="Q475" s="103" t="s">
        <v>15</v>
      </c>
      <c r="R475" s="31"/>
      <c r="S475" s="32"/>
      <c r="T475" s="31"/>
      <c r="U475" s="33"/>
      <c r="V475" s="1804"/>
      <c r="W475" s="1805"/>
      <c r="X475" s="91"/>
      <c r="Y475" s="1806"/>
      <c r="Z475" s="1807"/>
      <c r="AA475" s="919"/>
      <c r="AB475" s="1813"/>
      <c r="AC475" s="1580"/>
      <c r="AD475" s="95"/>
      <c r="AE475" s="105"/>
      <c r="AF475" s="97"/>
      <c r="AG475" s="2080"/>
      <c r="AH475" s="2081"/>
      <c r="AI475" s="99"/>
      <c r="AJ475" s="1809"/>
      <c r="AK475" s="6120" t="str">
        <f t="shared" si="218"/>
        <v>►</v>
      </c>
      <c r="AL475" s="781" t="str">
        <f t="shared" si="206"/>
        <v>►</v>
      </c>
      <c r="AM475" s="5499" t="str">
        <f t="shared" si="209"/>
        <v/>
      </c>
      <c r="AN475" s="783" t="str">
        <f t="shared" si="210"/>
        <v/>
      </c>
      <c r="AO475" s="782" t="str">
        <f t="shared" si="211"/>
        <v/>
      </c>
      <c r="AP475" s="783" t="str">
        <f t="shared" si="212"/>
        <v/>
      </c>
      <c r="AQ475" s="2083" t="b">
        <f>AND(Q475="A",COUNTIF(BP16:BR63,TRIM(Z475))&gt;0)</f>
        <v>0</v>
      </c>
      <c r="AR475" s="797" t="str">
        <f>IF(AL475&lt;&gt;"A","",IFERROR(IFERROR(_xlfn.XLOOKUP(TRIM(SUBSTITUTE(Z475,CHAR(160)," ")),BP16:BP63,BS16:BS63),IFERROR(_xlfn.XLOOKUP(TRIM(SUBSTITUTE(Z475,CHAR(160)," ")),BQ16:BQ63,BS16:BS63),_xlfn.XLOOKUP(TRIM(SUBSTITUTE(Z475,CHAR(160)," ")),BR16:BR63,BS16:BS63)))*Y475*IF(ISBLANK(V475),1,V475),0))</f>
        <v/>
      </c>
      <c r="AS475" s="784" t="str">
        <f t="shared" si="202"/>
        <v/>
      </c>
      <c r="AT475" s="1315" t="str">
        <f t="shared" si="213"/>
        <v/>
      </c>
      <c r="AU475" s="785">
        <f t="shared" si="214"/>
        <v>0</v>
      </c>
      <c r="AV475" s="785">
        <f t="shared" si="215"/>
        <v>0</v>
      </c>
      <c r="AW475" s="786">
        <f>IF(AK475="A",AY10,0)</f>
        <v>0</v>
      </c>
      <c r="AX475" s="5495" t="str">
        <f>IF(IFERROR(SEARCH("Adresse PC",TRIM(W475)),0)&gt;0,"▼ receta siguiente",IF(AK475="A",IF(AZ10&lt;&gt;"",AZ10&amp;" - ou.or.o ❾ + or - &gt;",""),""))</f>
        <v/>
      </c>
      <c r="AY475" s="810"/>
      <c r="AZ475" s="810"/>
      <c r="BA475" s="788" t="str">
        <f t="shared" si="205"/>
        <v/>
      </c>
      <c r="BB475" s="789" t="str">
        <f>IF(AK475="A",IF(AQ475,IF(AND(AW475&lt;&gt;"",N(AW475)&gt;0),IFERROR(IFERROR(_xlfn.XLOOKUP(AP475,BP10:BP57,BT10:BT57),IFERROR(_xlfn.XLOOKUP(AP475,BQ10:BQ57,BT10:BT57),_xlfn.XLOOKUP(AP475,BR10:BR57,BT10:BT57,""))),""),""),""),"")</f>
        <v/>
      </c>
      <c r="BC475" s="811" cm="1">
        <f t="array" ref="BC475">IF(NOT(AQ475),0,IF(OR(BA475="",N(BA475)&lt;=0.000000001),"",IF(OR(AU475="",N(AU475)&lt;=0.000000001),0,IF(ISNUMBER(BA475),IFERROR(_xlfn.LET(_xlpm.ai_test,TRIM(AP475),_xlpm.r,IFERROR(_xlfn.XLOOKUP(_xlpm.ai_test,BP16:BP63,ROW(BP16:BP63),0,1),IFERROR(_xlfn.XLOOKUP(_xlpm.ai_test,BQ16:BQ63,ROW(BQ16:BQ63),0,1),_xlfn.XLOOKUP(_xlpm.ai_test,BR16:BR63,ROW(BR16:BR63),0,1))),_xlpm.p,_xlpm.r-MIN(ROW(BP16:BP63))+1,_xlpm.f,INDEX(BS16:BS63,_xlpm.p),_xlpm.u,INDEX(BT16:BT63,_xlpm.p),_xlpm.s,INDEX(BV16:BV63,_xlpm.p),_xlpm.q,N(BA475)/_xlpm.f,IF(_xlpm.q&gt;=_xlpm.s,ROUND(_xlpm.q,1)&amp;" "&amp;_xlpm.ai_test&amp;" = "&amp;ROUND(_xlpm.q*_xlpm.f,1)&amp;" "&amp;_xlpm.u,ROUND(_xlpm.q,1)&amp;" "&amp;_xlpm.ai_test)),""),""))))</f>
        <v>0</v>
      </c>
      <c r="BD475" s="801"/>
      <c r="BE475" s="788" t="str">
        <f t="shared" si="216"/>
        <v/>
      </c>
      <c r="BF475" s="789" t="str">
        <f t="shared" si="198"/>
        <v/>
      </c>
      <c r="BG475" s="790">
        <f t="shared" si="199"/>
        <v>0</v>
      </c>
      <c r="BH475" s="791" t="str">
        <f t="shared" si="200"/>
        <v/>
      </c>
      <c r="BI475" s="792"/>
      <c r="BJ475" s="793">
        <f t="shared" si="201"/>
        <v>0</v>
      </c>
      <c r="BK475" s="794" t="str">
        <f t="shared" si="217"/>
        <v/>
      </c>
      <c r="BL475" s="227" t="s">
        <v>21</v>
      </c>
      <c r="BM475" s="773">
        <f t="shared" si="207"/>
        <v>0</v>
      </c>
      <c r="BN475" s="774">
        <f t="shared" si="208"/>
        <v>0</v>
      </c>
      <c r="BO475"/>
      <c r="BX475"/>
      <c r="BY475"/>
      <c r="BZ475"/>
      <c r="CA475"/>
      <c r="CB475"/>
      <c r="CC475"/>
      <c r="CD475" s="781" t="str">
        <f t="shared" si="203"/>
        <v>►</v>
      </c>
      <c r="CE475" s="633"/>
      <c r="CF475" s="633"/>
      <c r="CG475" s="633"/>
      <c r="CH475" s="633"/>
      <c r="CI475" s="633"/>
      <c r="CJ475" s="227"/>
      <c r="CK475"/>
      <c r="CL475"/>
      <c r="CM475"/>
      <c r="CN475"/>
      <c r="CO475"/>
      <c r="CP475"/>
      <c r="CQ475"/>
      <c r="CR475" s="227"/>
      <c r="CS475"/>
      <c r="CT475"/>
      <c r="CU475"/>
      <c r="CV475"/>
      <c r="CW475"/>
      <c r="CX475"/>
      <c r="CY475"/>
      <c r="CZ475" s="227"/>
      <c r="DA475"/>
      <c r="DB475"/>
      <c r="DC475"/>
      <c r="DD475"/>
      <c r="DE475"/>
      <c r="DF475"/>
      <c r="DG475"/>
      <c r="DH475" s="227"/>
      <c r="DI475" s="3">
        <v>1</v>
      </c>
    </row>
    <row r="476" spans="2:113" s="627" customFormat="1" ht="21" customHeight="1">
      <c r="B476" s="2265" t="str" cm="1">
        <f t="array" ref="B476">SUMPRODUCT(--(D476:J476&lt;&gt;""), LEN(TRIM(SUBSTITUTE(D476:J476, CHAR(160), "")))) &amp; " Car."</f>
        <v>0 Car.</v>
      </c>
      <c r="C476" s="1376" t="str">
        <f>IF(ISBLANK(D476),"",LARGE(C13:C475,1)+1)</f>
        <v/>
      </c>
      <c r="D476" s="1833"/>
      <c r="E476" s="1810"/>
      <c r="F476" s="1810"/>
      <c r="G476" s="1810"/>
      <c r="H476" s="1810"/>
      <c r="I476" s="1810"/>
      <c r="J476" s="1810"/>
      <c r="K476" s="1810"/>
      <c r="L476" s="1811"/>
      <c r="M476"/>
      <c r="N476" s="103" t="str">
        <f t="shared" si="204"/>
        <v>►</v>
      </c>
      <c r="O476" s="1616"/>
      <c r="P476"/>
      <c r="Q476" s="103" t="s">
        <v>15</v>
      </c>
      <c r="R476" s="31"/>
      <c r="S476" s="32"/>
      <c r="T476" s="31"/>
      <c r="U476" s="33"/>
      <c r="V476" s="1804"/>
      <c r="W476" s="1805"/>
      <c r="X476" s="91"/>
      <c r="Y476" s="1806"/>
      <c r="Z476" s="1807"/>
      <c r="AA476" s="919"/>
      <c r="AB476" s="1813"/>
      <c r="AC476" s="1580"/>
      <c r="AD476" s="95"/>
      <c r="AE476" s="105"/>
      <c r="AF476" s="97"/>
      <c r="AG476" s="2080"/>
      <c r="AH476" s="2081"/>
      <c r="AI476" s="99"/>
      <c r="AJ476" s="1809"/>
      <c r="AK476" s="6120" t="str">
        <f t="shared" si="218"/>
        <v>►</v>
      </c>
      <c r="AL476" s="781" t="str">
        <f t="shared" si="206"/>
        <v>►</v>
      </c>
      <c r="AM476" s="5498" t="str">
        <f t="shared" si="209"/>
        <v/>
      </c>
      <c r="AN476" s="783" t="str">
        <f t="shared" si="210"/>
        <v/>
      </c>
      <c r="AO476" s="782" t="str">
        <f t="shared" si="211"/>
        <v/>
      </c>
      <c r="AP476" s="783" t="str">
        <f t="shared" si="212"/>
        <v/>
      </c>
      <c r="AQ476" s="2083" t="b">
        <f>AND(Q476="A",COUNTIF(BP16:BR63,TRIM(Z476))&gt;0)</f>
        <v>0</v>
      </c>
      <c r="AR476" s="797" t="str">
        <f>IF(AL476&lt;&gt;"A","",IFERROR(IFERROR(_xlfn.XLOOKUP(TRIM(SUBSTITUTE(Z476,CHAR(160)," ")),BP16:BP63,BS16:BS63),IFERROR(_xlfn.XLOOKUP(TRIM(SUBSTITUTE(Z476,CHAR(160)," ")),BQ16:BQ63,BS16:BS63),_xlfn.XLOOKUP(TRIM(SUBSTITUTE(Z476,CHAR(160)," ")),BR16:BR63,BS16:BS63)))*Y476*IF(ISBLANK(V476),1,V476),0))</f>
        <v/>
      </c>
      <c r="AS476" s="784" t="str">
        <f t="shared" si="202"/>
        <v/>
      </c>
      <c r="AT476" s="1315" t="str">
        <f t="shared" si="213"/>
        <v/>
      </c>
      <c r="AU476" s="785">
        <f t="shared" si="214"/>
        <v>0</v>
      </c>
      <c r="AV476" s="785">
        <f t="shared" si="215"/>
        <v>0</v>
      </c>
      <c r="AW476" s="798">
        <f>IF(AK476="A",AY10,0)</f>
        <v>0</v>
      </c>
      <c r="AX476" s="5496" t="str">
        <f>IF(IFERROR(SEARCH("Adresse PC",TRIM(W476)),0)&gt;0,"▼ receta siguiente",IF(AK476="A",IF(AZ10&lt;&gt;"",AZ10&amp;" - ou.or.o ❾ + or - &gt;",""),""))</f>
        <v/>
      </c>
      <c r="AY476" s="810"/>
      <c r="AZ476" s="810"/>
      <c r="BA476" s="799" t="str">
        <f t="shared" si="205"/>
        <v/>
      </c>
      <c r="BB476" s="800" t="str">
        <f>IF(AK476="A",IF(AQ476,IF(AND(AW476&lt;&gt;"",N(AW476)&gt;0),IFERROR(IFERROR(_xlfn.XLOOKUP(AP476,BP10:BP57,BT10:BT57),IFERROR(_xlfn.XLOOKUP(AP476,BQ10:BQ57,BT10:BT57),_xlfn.XLOOKUP(AP476,BR10:BR57,BT10:BT57,""))),""),""),""),"")</f>
        <v/>
      </c>
      <c r="BC476" s="813" cm="1">
        <f t="array" ref="BC476">IF(NOT(AQ476),0,IF(OR(BA476="",N(BA476)&lt;=0.000000001),"",IF(OR(AU476="",N(AU476)&lt;=0.000000001),0,IF(ISNUMBER(BA476),IFERROR(_xlfn.LET(_xlpm.ai_test,TRIM(AP476),_xlpm.r,IFERROR(_xlfn.XLOOKUP(_xlpm.ai_test,BP16:BP63,ROW(BP16:BP63),0,1),IFERROR(_xlfn.XLOOKUP(_xlpm.ai_test,BQ16:BQ63,ROW(BQ16:BQ63),0,1),_xlfn.XLOOKUP(_xlpm.ai_test,BR16:BR63,ROW(BR16:BR63),0,1))),_xlpm.p,_xlpm.r-MIN(ROW(BP16:BP63))+1,_xlpm.f,INDEX(BS16:BS63,_xlpm.p),_xlpm.u,INDEX(BT16:BT63,_xlpm.p),_xlpm.s,INDEX(BV16:BV63,_xlpm.p),_xlpm.q,N(BA476)/_xlpm.f,IF(_xlpm.q&gt;=_xlpm.s,ROUND(_xlpm.q,1)&amp;" "&amp;_xlpm.ai_test&amp;" = "&amp;ROUND(_xlpm.q*_xlpm.f,1)&amp;" "&amp;_xlpm.u,ROUND(_xlpm.q,1)&amp;" "&amp;_xlpm.ai_test)),""),""))))</f>
        <v>0</v>
      </c>
      <c r="BD476" s="801"/>
      <c r="BE476" s="799" t="str">
        <f t="shared" si="216"/>
        <v/>
      </c>
      <c r="BF476" s="800" t="str">
        <f t="shared" si="198"/>
        <v/>
      </c>
      <c r="BG476" s="802">
        <f t="shared" si="199"/>
        <v>0</v>
      </c>
      <c r="BH476" s="803" t="str">
        <f t="shared" si="200"/>
        <v/>
      </c>
      <c r="BI476" s="792"/>
      <c r="BJ476" s="804">
        <f t="shared" si="201"/>
        <v>0</v>
      </c>
      <c r="BK476" s="794" t="str">
        <f t="shared" si="217"/>
        <v/>
      </c>
      <c r="BL476" s="227" t="s">
        <v>21</v>
      </c>
      <c r="BM476" s="773">
        <f t="shared" si="207"/>
        <v>0</v>
      </c>
      <c r="BN476" s="774">
        <f t="shared" si="208"/>
        <v>0</v>
      </c>
      <c r="BO476"/>
      <c r="BX476"/>
      <c r="BY476"/>
      <c r="BZ476"/>
      <c r="CA476"/>
      <c r="CB476"/>
      <c r="CC476"/>
      <c r="CD476" s="781" t="str">
        <f t="shared" si="203"/>
        <v>►</v>
      </c>
      <c r="CE476" s="633"/>
      <c r="CF476" s="633"/>
      <c r="CG476" s="633"/>
      <c r="CH476" s="633"/>
      <c r="CI476" s="633"/>
      <c r="CJ476" s="227"/>
      <c r="CK476"/>
      <c r="CL476"/>
      <c r="CM476"/>
      <c r="CN476"/>
      <c r="CO476"/>
      <c r="CP476"/>
      <c r="CQ476"/>
      <c r="CR476" s="227"/>
      <c r="CS476"/>
      <c r="CT476"/>
      <c r="CU476"/>
      <c r="CV476"/>
      <c r="CW476"/>
      <c r="CX476"/>
      <c r="CY476"/>
      <c r="CZ476" s="227"/>
      <c r="DA476"/>
      <c r="DB476"/>
      <c r="DC476"/>
      <c r="DD476"/>
      <c r="DE476"/>
      <c r="DF476"/>
      <c r="DG476"/>
      <c r="DH476" s="227"/>
      <c r="DI476" s="3">
        <v>1</v>
      </c>
    </row>
    <row r="477" spans="2:113" s="627" customFormat="1" ht="21" customHeight="1">
      <c r="B477" s="2265" t="str" cm="1">
        <f t="array" ref="B477">SUMPRODUCT(--(D477:J477&lt;&gt;""), LEN(TRIM(SUBSTITUTE(D477:J477, CHAR(160), "")))) &amp; " Car."</f>
        <v>0 Car.</v>
      </c>
      <c r="C477" s="1376" t="str">
        <f>IF(ISBLANK(D477),"",LARGE(C13:C476,1)+1)</f>
        <v/>
      </c>
      <c r="D477" s="1833"/>
      <c r="E477" s="1810"/>
      <c r="F477" s="1810"/>
      <c r="G477" s="1810"/>
      <c r="H477" s="1810"/>
      <c r="I477" s="1810"/>
      <c r="J477" s="1810"/>
      <c r="K477" s="1810"/>
      <c r="L477" s="1811"/>
      <c r="M477"/>
      <c r="N477" s="103" t="str">
        <f t="shared" si="204"/>
        <v>►</v>
      </c>
      <c r="O477" s="1616"/>
      <c r="P477"/>
      <c r="Q477" s="103" t="s">
        <v>15</v>
      </c>
      <c r="R477" s="31"/>
      <c r="S477" s="32"/>
      <c r="T477" s="31"/>
      <c r="U477" s="33"/>
      <c r="V477" s="1804"/>
      <c r="W477" s="1805"/>
      <c r="X477" s="91"/>
      <c r="Y477" s="1806"/>
      <c r="Z477" s="1807"/>
      <c r="AA477" s="919"/>
      <c r="AB477" s="1813"/>
      <c r="AC477" s="1580"/>
      <c r="AD477" s="95"/>
      <c r="AE477" s="105"/>
      <c r="AF477" s="97"/>
      <c r="AG477" s="2080"/>
      <c r="AH477" s="2081"/>
      <c r="AI477" s="99"/>
      <c r="AJ477" s="1809"/>
      <c r="AK477" s="6120" t="str">
        <f t="shared" si="218"/>
        <v>►</v>
      </c>
      <c r="AL477" s="781" t="str">
        <f t="shared" si="206"/>
        <v>►</v>
      </c>
      <c r="AM477" s="5499" t="str">
        <f t="shared" si="209"/>
        <v/>
      </c>
      <c r="AN477" s="783" t="str">
        <f t="shared" si="210"/>
        <v/>
      </c>
      <c r="AO477" s="782" t="str">
        <f t="shared" si="211"/>
        <v/>
      </c>
      <c r="AP477" s="783" t="str">
        <f t="shared" si="212"/>
        <v/>
      </c>
      <c r="AQ477" s="2083" t="b">
        <f>AND(Q477="A",COUNTIF(BP16:BR63,TRIM(Z477))&gt;0)</f>
        <v>0</v>
      </c>
      <c r="AR477" s="797" t="str">
        <f>IF(AL477&lt;&gt;"A","",IFERROR(IFERROR(_xlfn.XLOOKUP(TRIM(SUBSTITUTE(Z477,CHAR(160)," ")),BP16:BP63,BS16:BS63),IFERROR(_xlfn.XLOOKUP(TRIM(SUBSTITUTE(Z477,CHAR(160)," ")),BQ16:BQ63,BS16:BS63),_xlfn.XLOOKUP(TRIM(SUBSTITUTE(Z477,CHAR(160)," ")),BR16:BR63,BS16:BS63)))*Y477*IF(ISBLANK(V477),1,V477),0))</f>
        <v/>
      </c>
      <c r="AS477" s="784" t="str">
        <f t="shared" si="202"/>
        <v/>
      </c>
      <c r="AT477" s="1315" t="str">
        <f t="shared" si="213"/>
        <v/>
      </c>
      <c r="AU477" s="785">
        <f t="shared" si="214"/>
        <v>0</v>
      </c>
      <c r="AV477" s="785">
        <f t="shared" si="215"/>
        <v>0</v>
      </c>
      <c r="AW477" s="786">
        <f>IF(AK477="A",AY10,0)</f>
        <v>0</v>
      </c>
      <c r="AX477" s="5495" t="str">
        <f>IF(IFERROR(SEARCH("Adresse PC",TRIM(W477)),0)&gt;0,"▼ receta siguiente",IF(AK477="A",IF(AZ10&lt;&gt;"",AZ10&amp;" - ou.or.o ❾ + or - &gt;",""),""))</f>
        <v/>
      </c>
      <c r="AY477" s="810"/>
      <c r="AZ477" s="810"/>
      <c r="BA477" s="788" t="str">
        <f t="shared" si="205"/>
        <v/>
      </c>
      <c r="BB477" s="789" t="str">
        <f>IF(AK477="A",IF(AQ477,IF(AND(AW477&lt;&gt;"",N(AW477)&gt;0),IFERROR(IFERROR(_xlfn.XLOOKUP(AP477,BP10:BP57,BT10:BT57),IFERROR(_xlfn.XLOOKUP(AP477,BQ10:BQ57,BT10:BT57),_xlfn.XLOOKUP(AP477,BR10:BR57,BT10:BT57,""))),""),""),""),"")</f>
        <v/>
      </c>
      <c r="BC477" s="811" cm="1">
        <f t="array" ref="BC477">IF(NOT(AQ477),0,IF(OR(BA477="",N(BA477)&lt;=0.000000001),"",IF(OR(AU477="",N(AU477)&lt;=0.000000001),0,IF(ISNUMBER(BA477),IFERROR(_xlfn.LET(_xlpm.ai_test,TRIM(AP477),_xlpm.r,IFERROR(_xlfn.XLOOKUP(_xlpm.ai_test,BP16:BP63,ROW(BP16:BP63),0,1),IFERROR(_xlfn.XLOOKUP(_xlpm.ai_test,BQ16:BQ63,ROW(BQ16:BQ63),0,1),_xlfn.XLOOKUP(_xlpm.ai_test,BR16:BR63,ROW(BR16:BR63),0,1))),_xlpm.p,_xlpm.r-MIN(ROW(BP16:BP63))+1,_xlpm.f,INDEX(BS16:BS63,_xlpm.p),_xlpm.u,INDEX(BT16:BT63,_xlpm.p),_xlpm.s,INDEX(BV16:BV63,_xlpm.p),_xlpm.q,N(BA477)/_xlpm.f,IF(_xlpm.q&gt;=_xlpm.s,ROUND(_xlpm.q,1)&amp;" "&amp;_xlpm.ai_test&amp;" = "&amp;ROUND(_xlpm.q*_xlpm.f,1)&amp;" "&amp;_xlpm.u,ROUND(_xlpm.q,1)&amp;" "&amp;_xlpm.ai_test)),""),""))))</f>
        <v>0</v>
      </c>
      <c r="BD477" s="801"/>
      <c r="BE477" s="788" t="str">
        <f t="shared" si="216"/>
        <v/>
      </c>
      <c r="BF477" s="789" t="str">
        <f t="shared" si="198"/>
        <v/>
      </c>
      <c r="BG477" s="790">
        <f t="shared" si="199"/>
        <v>0</v>
      </c>
      <c r="BH477" s="791" t="str">
        <f t="shared" si="200"/>
        <v/>
      </c>
      <c r="BI477" s="792"/>
      <c r="BJ477" s="793">
        <f t="shared" si="201"/>
        <v>0</v>
      </c>
      <c r="BK477" s="794" t="str">
        <f t="shared" si="217"/>
        <v/>
      </c>
      <c r="BL477" s="227" t="s">
        <v>21</v>
      </c>
      <c r="BM477" s="773">
        <f t="shared" si="207"/>
        <v>0</v>
      </c>
      <c r="BN477" s="774">
        <f t="shared" si="208"/>
        <v>0</v>
      </c>
      <c r="BO477"/>
      <c r="BX477"/>
      <c r="BY477"/>
      <c r="BZ477"/>
      <c r="CA477"/>
      <c r="CB477"/>
      <c r="CC477"/>
      <c r="CD477" s="781" t="str">
        <f t="shared" si="203"/>
        <v>►</v>
      </c>
      <c r="CE477" s="633"/>
      <c r="CF477" s="633"/>
      <c r="CG477" s="633"/>
      <c r="CH477" s="633"/>
      <c r="CI477" s="633"/>
      <c r="CJ477" s="227"/>
      <c r="CK477"/>
      <c r="CL477"/>
      <c r="CM477"/>
      <c r="CN477"/>
      <c r="CO477"/>
      <c r="CP477"/>
      <c r="CQ477"/>
      <c r="CR477" s="227"/>
      <c r="CS477"/>
      <c r="CT477"/>
      <c r="CU477"/>
      <c r="CV477"/>
      <c r="CW477"/>
      <c r="CX477"/>
      <c r="CY477"/>
      <c r="CZ477" s="227"/>
      <c r="DA477"/>
      <c r="DB477"/>
      <c r="DC477"/>
      <c r="DD477"/>
      <c r="DE477"/>
      <c r="DF477"/>
      <c r="DG477"/>
      <c r="DH477" s="227"/>
      <c r="DI477" s="3">
        <v>1</v>
      </c>
    </row>
    <row r="478" spans="2:113" s="627" customFormat="1" ht="21" customHeight="1">
      <c r="B478" s="2265" t="str" cm="1">
        <f t="array" ref="B478">SUMPRODUCT(--(D478:J478&lt;&gt;""), LEN(TRIM(SUBSTITUTE(D478:J478, CHAR(160), "")))) &amp; " Car."</f>
        <v>0 Car.</v>
      </c>
      <c r="C478" s="1376" t="str">
        <f>IF(ISBLANK(D478),"",LARGE(C13:C477,1)+1)</f>
        <v/>
      </c>
      <c r="D478" s="1833"/>
      <c r="E478" s="1810"/>
      <c r="F478" s="1810"/>
      <c r="G478" s="1810"/>
      <c r="H478" s="1810"/>
      <c r="I478" s="1810"/>
      <c r="J478" s="1810"/>
      <c r="K478" s="1810"/>
      <c r="L478" s="1811"/>
      <c r="M478"/>
      <c r="N478" s="103" t="str">
        <f t="shared" si="204"/>
        <v>►</v>
      </c>
      <c r="O478" s="1616"/>
      <c r="P478"/>
      <c r="Q478" s="103" t="s">
        <v>15</v>
      </c>
      <c r="R478" s="31"/>
      <c r="S478" s="32"/>
      <c r="T478" s="31"/>
      <c r="U478" s="33"/>
      <c r="V478" s="1804"/>
      <c r="W478" s="1805"/>
      <c r="X478" s="91"/>
      <c r="Y478" s="1806"/>
      <c r="Z478" s="1807"/>
      <c r="AA478" s="919"/>
      <c r="AB478" s="1813"/>
      <c r="AC478" s="1580"/>
      <c r="AD478" s="95"/>
      <c r="AE478" s="105"/>
      <c r="AF478" s="97"/>
      <c r="AG478" s="2080"/>
      <c r="AH478" s="2081"/>
      <c r="AI478" s="99"/>
      <c r="AJ478" s="1809"/>
      <c r="AK478" s="6120" t="str">
        <f t="shared" si="218"/>
        <v>►</v>
      </c>
      <c r="AL478" s="781" t="str">
        <f t="shared" si="206"/>
        <v>►</v>
      </c>
      <c r="AM478" s="5498" t="str">
        <f t="shared" si="209"/>
        <v/>
      </c>
      <c r="AN478" s="783" t="str">
        <f t="shared" si="210"/>
        <v/>
      </c>
      <c r="AO478" s="782" t="str">
        <f t="shared" si="211"/>
        <v/>
      </c>
      <c r="AP478" s="783" t="str">
        <f t="shared" si="212"/>
        <v/>
      </c>
      <c r="AQ478" s="2083" t="b">
        <f>AND(Q478="A",COUNTIF(BP16:BR63,TRIM(Z478))&gt;0)</f>
        <v>0</v>
      </c>
      <c r="AR478" s="797" t="str">
        <f>IF(AL478&lt;&gt;"A","",IFERROR(IFERROR(_xlfn.XLOOKUP(TRIM(SUBSTITUTE(Z478,CHAR(160)," ")),BP16:BP63,BS16:BS63),IFERROR(_xlfn.XLOOKUP(TRIM(SUBSTITUTE(Z478,CHAR(160)," ")),BQ16:BQ63,BS16:BS63),_xlfn.XLOOKUP(TRIM(SUBSTITUTE(Z478,CHAR(160)," ")),BR16:BR63,BS16:BS63)))*Y478*IF(ISBLANK(V478),1,V478),0))</f>
        <v/>
      </c>
      <c r="AS478" s="784" t="str">
        <f t="shared" si="202"/>
        <v/>
      </c>
      <c r="AT478" s="1315" t="str">
        <f t="shared" si="213"/>
        <v/>
      </c>
      <c r="AU478" s="785">
        <f t="shared" si="214"/>
        <v>0</v>
      </c>
      <c r="AV478" s="785">
        <f t="shared" si="215"/>
        <v>0</v>
      </c>
      <c r="AW478" s="798">
        <f>IF(AK478="A",AY10,0)</f>
        <v>0</v>
      </c>
      <c r="AX478" s="5496" t="str">
        <f>IF(IFERROR(SEARCH("Adresse PC",TRIM(W478)),0)&gt;0,"▼ receta siguiente",IF(AK478="A",IF(AZ10&lt;&gt;"",AZ10&amp;" - ou.or.o ❾ + or - &gt;",""),""))</f>
        <v/>
      </c>
      <c r="AY478" s="810"/>
      <c r="AZ478" s="810"/>
      <c r="BA478" s="799" t="str">
        <f t="shared" si="205"/>
        <v/>
      </c>
      <c r="BB478" s="800" t="str">
        <f>IF(AK478="A",IF(AQ478,IF(AND(AW478&lt;&gt;"",N(AW478)&gt;0),IFERROR(IFERROR(_xlfn.XLOOKUP(AP478,BP10:BP57,BT10:BT57),IFERROR(_xlfn.XLOOKUP(AP478,BQ10:BQ57,BT10:BT57),_xlfn.XLOOKUP(AP478,BR10:BR57,BT10:BT57,""))),""),""),""),"")</f>
        <v/>
      </c>
      <c r="BC478" s="813" cm="1">
        <f t="array" ref="BC478">IF(NOT(AQ478),0,IF(OR(BA478="",N(BA478)&lt;=0.000000001),"",IF(OR(AU478="",N(AU478)&lt;=0.000000001),0,IF(ISNUMBER(BA478),IFERROR(_xlfn.LET(_xlpm.ai_test,TRIM(AP478),_xlpm.r,IFERROR(_xlfn.XLOOKUP(_xlpm.ai_test,BP16:BP63,ROW(BP16:BP63),0,1),IFERROR(_xlfn.XLOOKUP(_xlpm.ai_test,BQ16:BQ63,ROW(BQ16:BQ63),0,1),_xlfn.XLOOKUP(_xlpm.ai_test,BR16:BR63,ROW(BR16:BR63),0,1))),_xlpm.p,_xlpm.r-MIN(ROW(BP16:BP63))+1,_xlpm.f,INDEX(BS16:BS63,_xlpm.p),_xlpm.u,INDEX(BT16:BT63,_xlpm.p),_xlpm.s,INDEX(BV16:BV63,_xlpm.p),_xlpm.q,N(BA478)/_xlpm.f,IF(_xlpm.q&gt;=_xlpm.s,ROUND(_xlpm.q,1)&amp;" "&amp;_xlpm.ai_test&amp;" = "&amp;ROUND(_xlpm.q*_xlpm.f,1)&amp;" "&amp;_xlpm.u,ROUND(_xlpm.q,1)&amp;" "&amp;_xlpm.ai_test)),""),""))))</f>
        <v>0</v>
      </c>
      <c r="BD478" s="801"/>
      <c r="BE478" s="799" t="str">
        <f t="shared" si="216"/>
        <v/>
      </c>
      <c r="BF478" s="800" t="str">
        <f t="shared" si="198"/>
        <v/>
      </c>
      <c r="BG478" s="802">
        <f t="shared" si="199"/>
        <v>0</v>
      </c>
      <c r="BH478" s="803" t="str">
        <f t="shared" si="200"/>
        <v/>
      </c>
      <c r="BI478" s="792"/>
      <c r="BJ478" s="804">
        <f t="shared" si="201"/>
        <v>0</v>
      </c>
      <c r="BK478" s="794" t="str">
        <f t="shared" si="217"/>
        <v/>
      </c>
      <c r="BL478" s="227" t="s">
        <v>21</v>
      </c>
      <c r="BM478" s="773">
        <f t="shared" si="207"/>
        <v>0</v>
      </c>
      <c r="BN478" s="774">
        <f t="shared" si="208"/>
        <v>0</v>
      </c>
      <c r="BO478"/>
      <c r="BX478"/>
      <c r="BY478"/>
      <c r="BZ478"/>
      <c r="CA478"/>
      <c r="CB478"/>
      <c r="CC478"/>
      <c r="CD478" s="781" t="str">
        <f t="shared" si="203"/>
        <v>►</v>
      </c>
      <c r="CE478" s="633"/>
      <c r="CF478" s="633"/>
      <c r="CG478" s="633"/>
      <c r="CH478" s="633"/>
      <c r="CI478" s="633"/>
      <c r="CJ478" s="227"/>
      <c r="CK478"/>
      <c r="CL478"/>
      <c r="CM478"/>
      <c r="CN478"/>
      <c r="CO478"/>
      <c r="CP478"/>
      <c r="CQ478"/>
      <c r="CR478" s="227"/>
      <c r="CS478"/>
      <c r="CT478"/>
      <c r="CU478"/>
      <c r="CV478"/>
      <c r="CW478"/>
      <c r="CX478"/>
      <c r="CY478"/>
      <c r="CZ478" s="227"/>
      <c r="DA478"/>
      <c r="DB478"/>
      <c r="DC478"/>
      <c r="DD478"/>
      <c r="DE478"/>
      <c r="DF478"/>
      <c r="DG478"/>
      <c r="DH478" s="227"/>
      <c r="DI478" s="3">
        <v>1</v>
      </c>
    </row>
    <row r="479" spans="2:113" s="627" customFormat="1" ht="21" customHeight="1">
      <c r="B479" s="2265" t="str" cm="1">
        <f t="array" ref="B479">SUMPRODUCT(--(D479:J479&lt;&gt;""), LEN(TRIM(SUBSTITUTE(D479:J479, CHAR(160), "")))) &amp; " Car."</f>
        <v>0 Car.</v>
      </c>
      <c r="C479" s="1376" t="str">
        <f>IF(ISBLANK(D479),"",LARGE(C13:C478,1)+1)</f>
        <v/>
      </c>
      <c r="D479" s="1833"/>
      <c r="E479" s="1810"/>
      <c r="F479" s="1810"/>
      <c r="G479" s="1810"/>
      <c r="H479" s="1810"/>
      <c r="I479" s="1810"/>
      <c r="J479" s="1810"/>
      <c r="K479" s="1810"/>
      <c r="L479" s="1811"/>
      <c r="M479"/>
      <c r="N479" s="103" t="str">
        <f t="shared" si="204"/>
        <v>►</v>
      </c>
      <c r="O479" s="1616"/>
      <c r="P479"/>
      <c r="Q479" s="103" t="s">
        <v>15</v>
      </c>
      <c r="R479" s="31"/>
      <c r="S479" s="32"/>
      <c r="T479" s="31"/>
      <c r="U479" s="33"/>
      <c r="V479" s="1804"/>
      <c r="W479" s="1805"/>
      <c r="X479" s="91"/>
      <c r="Y479" s="1806"/>
      <c r="Z479" s="1807"/>
      <c r="AA479" s="919"/>
      <c r="AB479" s="1813"/>
      <c r="AC479" s="1580"/>
      <c r="AD479" s="95"/>
      <c r="AE479" s="105"/>
      <c r="AF479" s="97"/>
      <c r="AG479" s="2080"/>
      <c r="AH479" s="2081"/>
      <c r="AI479" s="99"/>
      <c r="AJ479" s="1809"/>
      <c r="AK479" s="6120" t="str">
        <f t="shared" si="218"/>
        <v>►</v>
      </c>
      <c r="AL479" s="781" t="str">
        <f t="shared" si="206"/>
        <v>►</v>
      </c>
      <c r="AM479" s="5499" t="str">
        <f t="shared" si="209"/>
        <v/>
      </c>
      <c r="AN479" s="783" t="str">
        <f t="shared" si="210"/>
        <v/>
      </c>
      <c r="AO479" s="782" t="str">
        <f t="shared" si="211"/>
        <v/>
      </c>
      <c r="AP479" s="783" t="str">
        <f t="shared" si="212"/>
        <v/>
      </c>
      <c r="AQ479" s="2083" t="b">
        <f>AND(Q479="A",COUNTIF(BP16:BR63,TRIM(Z479))&gt;0)</f>
        <v>0</v>
      </c>
      <c r="AR479" s="797" t="str">
        <f>IF(AL479&lt;&gt;"A","",IFERROR(IFERROR(_xlfn.XLOOKUP(TRIM(SUBSTITUTE(Z479,CHAR(160)," ")),BP16:BP63,BS16:BS63),IFERROR(_xlfn.XLOOKUP(TRIM(SUBSTITUTE(Z479,CHAR(160)," ")),BQ16:BQ63,BS16:BS63),_xlfn.XLOOKUP(TRIM(SUBSTITUTE(Z479,CHAR(160)," ")),BR16:BR63,BS16:BS63)))*Y479*IF(ISBLANK(V479),1,V479),0))</f>
        <v/>
      </c>
      <c r="AS479" s="784" t="str">
        <f t="shared" si="202"/>
        <v/>
      </c>
      <c r="AT479" s="1315" t="str">
        <f t="shared" si="213"/>
        <v/>
      </c>
      <c r="AU479" s="785">
        <f t="shared" si="214"/>
        <v>0</v>
      </c>
      <c r="AV479" s="785">
        <f t="shared" si="215"/>
        <v>0</v>
      </c>
      <c r="AW479" s="786">
        <f>IF(AK479="A",AY10,0)</f>
        <v>0</v>
      </c>
      <c r="AX479" s="5495" t="str">
        <f>IF(IFERROR(SEARCH("Adresse PC",TRIM(W479)),0)&gt;0,"▼ receta siguiente",IF(AK479="A",IF(AZ10&lt;&gt;"",AZ10&amp;" - ou.or.o ❾ + or - &gt;",""),""))</f>
        <v/>
      </c>
      <c r="AY479" s="810"/>
      <c r="AZ479" s="810"/>
      <c r="BA479" s="788" t="str">
        <f t="shared" si="205"/>
        <v/>
      </c>
      <c r="BB479" s="789" t="str">
        <f>IF(AK479="A",IF(AQ479,IF(AND(AW479&lt;&gt;"",N(AW479)&gt;0),IFERROR(IFERROR(_xlfn.XLOOKUP(AP479,BP10:BP57,BT10:BT57),IFERROR(_xlfn.XLOOKUP(AP479,BQ10:BQ57,BT10:BT57),_xlfn.XLOOKUP(AP479,BR10:BR57,BT10:BT57,""))),""),""),""),"")</f>
        <v/>
      </c>
      <c r="BC479" s="811" cm="1">
        <f t="array" ref="BC479">IF(NOT(AQ479),0,IF(OR(BA479="",N(BA479)&lt;=0.000000001),"",IF(OR(AU479="",N(AU479)&lt;=0.000000001),0,IF(ISNUMBER(BA479),IFERROR(_xlfn.LET(_xlpm.ai_test,TRIM(AP479),_xlpm.r,IFERROR(_xlfn.XLOOKUP(_xlpm.ai_test,BP16:BP63,ROW(BP16:BP63),0,1),IFERROR(_xlfn.XLOOKUP(_xlpm.ai_test,BQ16:BQ63,ROW(BQ16:BQ63),0,1),_xlfn.XLOOKUP(_xlpm.ai_test,BR16:BR63,ROW(BR16:BR63),0,1))),_xlpm.p,_xlpm.r-MIN(ROW(BP16:BP63))+1,_xlpm.f,INDEX(BS16:BS63,_xlpm.p),_xlpm.u,INDEX(BT16:BT63,_xlpm.p),_xlpm.s,INDEX(BV16:BV63,_xlpm.p),_xlpm.q,N(BA479)/_xlpm.f,IF(_xlpm.q&gt;=_xlpm.s,ROUND(_xlpm.q,1)&amp;" "&amp;_xlpm.ai_test&amp;" = "&amp;ROUND(_xlpm.q*_xlpm.f,1)&amp;" "&amp;_xlpm.u,ROUND(_xlpm.q,1)&amp;" "&amp;_xlpm.ai_test)),""),""))))</f>
        <v>0</v>
      </c>
      <c r="BD479" s="801"/>
      <c r="BE479" s="788" t="str">
        <f t="shared" si="216"/>
        <v/>
      </c>
      <c r="BF479" s="789" t="str">
        <f t="shared" si="198"/>
        <v/>
      </c>
      <c r="BG479" s="790">
        <f t="shared" si="199"/>
        <v>0</v>
      </c>
      <c r="BH479" s="791" t="str">
        <f t="shared" si="200"/>
        <v/>
      </c>
      <c r="BI479" s="792"/>
      <c r="BJ479" s="793">
        <f t="shared" si="201"/>
        <v>0</v>
      </c>
      <c r="BK479" s="794" t="str">
        <f t="shared" si="217"/>
        <v/>
      </c>
      <c r="BL479" s="227" t="s">
        <v>21</v>
      </c>
      <c r="BM479" s="773">
        <f t="shared" si="207"/>
        <v>0</v>
      </c>
      <c r="BN479" s="774">
        <f t="shared" si="208"/>
        <v>0</v>
      </c>
      <c r="BO479"/>
      <c r="BX479"/>
      <c r="BY479"/>
      <c r="BZ479"/>
      <c r="CA479"/>
      <c r="CB479"/>
      <c r="CC479"/>
      <c r="CD479" s="781" t="str">
        <f t="shared" si="203"/>
        <v>►</v>
      </c>
      <c r="CE479" s="633"/>
      <c r="CF479" s="633"/>
      <c r="CG479" s="633"/>
      <c r="CH479" s="633"/>
      <c r="CI479" s="633"/>
      <c r="CJ479" s="227"/>
      <c r="CK479"/>
      <c r="CL479"/>
      <c r="CM479"/>
      <c r="CN479"/>
      <c r="CO479"/>
      <c r="CP479"/>
      <c r="CQ479"/>
      <c r="CR479" s="227"/>
      <c r="CS479"/>
      <c r="CT479"/>
      <c r="CU479"/>
      <c r="CV479"/>
      <c r="CW479"/>
      <c r="CX479"/>
      <c r="CY479"/>
      <c r="CZ479" s="227"/>
      <c r="DA479"/>
      <c r="DB479"/>
      <c r="DC479"/>
      <c r="DD479"/>
      <c r="DE479"/>
      <c r="DF479"/>
      <c r="DG479"/>
      <c r="DH479" s="227"/>
      <c r="DI479" s="3">
        <v>1</v>
      </c>
    </row>
    <row r="480" spans="2:113" s="627" customFormat="1" ht="21" customHeight="1">
      <c r="B480" s="2265" t="str" cm="1">
        <f t="array" ref="B480">SUMPRODUCT(--(D480:J480&lt;&gt;""), LEN(TRIM(SUBSTITUTE(D480:J480, CHAR(160), "")))) &amp; " Car."</f>
        <v>0 Car.</v>
      </c>
      <c r="C480" s="1376" t="str">
        <f>IF(ISBLANK(D480),"",LARGE(C13:C479,1)+1)</f>
        <v/>
      </c>
      <c r="D480" s="1833"/>
      <c r="E480" s="1810"/>
      <c r="F480" s="1810"/>
      <c r="G480" s="1810"/>
      <c r="H480" s="1810"/>
      <c r="I480" s="1810"/>
      <c r="J480" s="1810"/>
      <c r="K480" s="1810"/>
      <c r="L480" s="1811"/>
      <c r="M480"/>
      <c r="N480" s="103" t="str">
        <f t="shared" si="204"/>
        <v>►</v>
      </c>
      <c r="O480" s="1616"/>
      <c r="P480"/>
      <c r="Q480" s="103" t="s">
        <v>15</v>
      </c>
      <c r="R480" s="31"/>
      <c r="S480" s="32"/>
      <c r="T480" s="31"/>
      <c r="U480" s="33"/>
      <c r="V480" s="1804"/>
      <c r="W480" s="1805"/>
      <c r="X480" s="91"/>
      <c r="Y480" s="1806"/>
      <c r="Z480" s="1807"/>
      <c r="AA480" s="919"/>
      <c r="AB480" s="1813"/>
      <c r="AC480" s="1580"/>
      <c r="AD480" s="95"/>
      <c r="AE480" s="105"/>
      <c r="AF480" s="97"/>
      <c r="AG480" s="2080"/>
      <c r="AH480" s="2081"/>
      <c r="AI480" s="99"/>
      <c r="AJ480" s="1809"/>
      <c r="AK480" s="6120" t="str">
        <f t="shared" si="218"/>
        <v>►</v>
      </c>
      <c r="AL480" s="781" t="str">
        <f t="shared" si="206"/>
        <v>►</v>
      </c>
      <c r="AM480" s="5498" t="str">
        <f t="shared" si="209"/>
        <v/>
      </c>
      <c r="AN480" s="783" t="str">
        <f t="shared" si="210"/>
        <v/>
      </c>
      <c r="AO480" s="782" t="str">
        <f t="shared" si="211"/>
        <v/>
      </c>
      <c r="AP480" s="783" t="str">
        <f t="shared" si="212"/>
        <v/>
      </c>
      <c r="AQ480" s="2083" t="b">
        <f>AND(Q480="A",COUNTIF(BP16:BR63,TRIM(Z480))&gt;0)</f>
        <v>0</v>
      </c>
      <c r="AR480" s="797" t="str">
        <f>IF(AL480&lt;&gt;"A","",IFERROR(IFERROR(_xlfn.XLOOKUP(TRIM(SUBSTITUTE(Z480,CHAR(160)," ")),BP16:BP63,BS16:BS63),IFERROR(_xlfn.XLOOKUP(TRIM(SUBSTITUTE(Z480,CHAR(160)," ")),BQ16:BQ63,BS16:BS63),_xlfn.XLOOKUP(TRIM(SUBSTITUTE(Z480,CHAR(160)," ")),BR16:BR63,BS16:BS63)))*Y480*IF(ISBLANK(V480),1,V480),0))</f>
        <v/>
      </c>
      <c r="AS480" s="784" t="str">
        <f t="shared" si="202"/>
        <v/>
      </c>
      <c r="AT480" s="1315" t="str">
        <f t="shared" si="213"/>
        <v/>
      </c>
      <c r="AU480" s="785">
        <f t="shared" si="214"/>
        <v>0</v>
      </c>
      <c r="AV480" s="785">
        <f t="shared" si="215"/>
        <v>0</v>
      </c>
      <c r="AW480" s="798">
        <f>IF(AK480="A",AY10,0)</f>
        <v>0</v>
      </c>
      <c r="AX480" s="5496" t="str">
        <f>IF(IFERROR(SEARCH("Adresse PC",TRIM(W480)),0)&gt;0,"▼ receta siguiente",IF(AK480="A",IF(AZ10&lt;&gt;"",AZ10&amp;" - ou.or.o ❾ + or - &gt;",""),""))</f>
        <v/>
      </c>
      <c r="AY480" s="810"/>
      <c r="AZ480" s="810"/>
      <c r="BA480" s="799" t="str">
        <f t="shared" si="205"/>
        <v/>
      </c>
      <c r="BB480" s="800" t="str">
        <f>IF(AK480="A",IF(AQ480,IF(AND(AW480&lt;&gt;"",N(AW480)&gt;0),IFERROR(IFERROR(_xlfn.XLOOKUP(AP480,BP10:BP57,BT10:BT57),IFERROR(_xlfn.XLOOKUP(AP480,BQ10:BQ57,BT10:BT57),_xlfn.XLOOKUP(AP480,BR10:BR57,BT10:BT57,""))),""),""),""),"")</f>
        <v/>
      </c>
      <c r="BC480" s="813" cm="1">
        <f t="array" ref="BC480">IF(NOT(AQ480),0,IF(OR(BA480="",N(BA480)&lt;=0.000000001),"",IF(OR(AU480="",N(AU480)&lt;=0.000000001),0,IF(ISNUMBER(BA480),IFERROR(_xlfn.LET(_xlpm.ai_test,TRIM(AP480),_xlpm.r,IFERROR(_xlfn.XLOOKUP(_xlpm.ai_test,BP16:BP63,ROW(BP16:BP63),0,1),IFERROR(_xlfn.XLOOKUP(_xlpm.ai_test,BQ16:BQ63,ROW(BQ16:BQ63),0,1),_xlfn.XLOOKUP(_xlpm.ai_test,BR16:BR63,ROW(BR16:BR63),0,1))),_xlpm.p,_xlpm.r-MIN(ROW(BP16:BP63))+1,_xlpm.f,INDEX(BS16:BS63,_xlpm.p),_xlpm.u,INDEX(BT16:BT63,_xlpm.p),_xlpm.s,INDEX(BV16:BV63,_xlpm.p),_xlpm.q,N(BA480)/_xlpm.f,IF(_xlpm.q&gt;=_xlpm.s,ROUND(_xlpm.q,1)&amp;" "&amp;_xlpm.ai_test&amp;" = "&amp;ROUND(_xlpm.q*_xlpm.f,1)&amp;" "&amp;_xlpm.u,ROUND(_xlpm.q,1)&amp;" "&amp;_xlpm.ai_test)),""),""))))</f>
        <v>0</v>
      </c>
      <c r="BD480" s="801"/>
      <c r="BE480" s="799" t="str">
        <f t="shared" si="216"/>
        <v/>
      </c>
      <c r="BF480" s="800" t="str">
        <f t="shared" ref="BF480:BF543" si="219">IF(AQ480,BB480,"")</f>
        <v/>
      </c>
      <c r="BG480" s="802">
        <f t="shared" ref="BG480:BG543" si="220">IF(AND(ISNUMBER(BM480),ABS(BM480)&gt;0.000000001),BM480,0)</f>
        <v>0</v>
      </c>
      <c r="BH480" s="803" t="str">
        <f t="shared" ref="BH480:BH543" si="221">IF(AND(AQ480, N(BG480)&gt;0.000000001), W480, "")</f>
        <v/>
      </c>
      <c r="BI480" s="792"/>
      <c r="BJ480" s="804">
        <f t="shared" ref="BJ480:BJ543" si="222">IF(OR(AU480=0,ISBLANK(BI480),ISTEXT(BG480)),0,(IF(BA480=0,BG480,BA480)*BI480))</f>
        <v>0</v>
      </c>
      <c r="BK480" s="794" t="str">
        <f t="shared" si="217"/>
        <v/>
      </c>
      <c r="BL480" s="227" t="s">
        <v>21</v>
      </c>
      <c r="BM480" s="773">
        <f t="shared" si="207"/>
        <v>0</v>
      </c>
      <c r="BN480" s="774">
        <f t="shared" si="208"/>
        <v>0</v>
      </c>
      <c r="BO480"/>
      <c r="BX480"/>
      <c r="BY480"/>
      <c r="BZ480"/>
      <c r="CA480"/>
      <c r="CB480"/>
      <c r="CC480"/>
      <c r="CD480" s="781" t="str">
        <f t="shared" si="203"/>
        <v>►</v>
      </c>
      <c r="CE480" s="633"/>
      <c r="CF480" s="633"/>
      <c r="CG480" s="633"/>
      <c r="CH480" s="633"/>
      <c r="CI480" s="633"/>
      <c r="CJ480" s="227"/>
      <c r="CK480"/>
      <c r="CL480"/>
      <c r="CM480"/>
      <c r="CN480"/>
      <c r="CO480"/>
      <c r="CP480"/>
      <c r="CQ480"/>
      <c r="CR480" s="227"/>
      <c r="CS480"/>
      <c r="CT480"/>
      <c r="CU480"/>
      <c r="CV480"/>
      <c r="CW480"/>
      <c r="CX480"/>
      <c r="CY480"/>
      <c r="CZ480" s="227"/>
      <c r="DA480"/>
      <c r="DB480"/>
      <c r="DC480"/>
      <c r="DD480"/>
      <c r="DE480"/>
      <c r="DF480"/>
      <c r="DG480"/>
      <c r="DH480" s="227"/>
      <c r="DI480" s="3">
        <v>1</v>
      </c>
    </row>
    <row r="481" spans="2:113" s="627" customFormat="1" ht="21" customHeight="1">
      <c r="B481" s="2265" t="str" cm="1">
        <f t="array" ref="B481">SUMPRODUCT(--(D481:J481&lt;&gt;""), LEN(TRIM(SUBSTITUTE(D481:J481, CHAR(160), "")))) &amp; " Car."</f>
        <v>0 Car.</v>
      </c>
      <c r="C481" s="1376" t="str">
        <f>IF(ISBLANK(D481),"",LARGE(C13:C480,1)+1)</f>
        <v/>
      </c>
      <c r="D481" s="1833"/>
      <c r="E481" s="1810"/>
      <c r="F481" s="1810"/>
      <c r="G481" s="1810"/>
      <c r="H481" s="1810"/>
      <c r="I481" s="1810"/>
      <c r="J481" s="1810"/>
      <c r="K481" s="1810"/>
      <c r="L481" s="1811"/>
      <c r="M481"/>
      <c r="N481" s="103" t="str">
        <f t="shared" si="204"/>
        <v>►</v>
      </c>
      <c r="O481" s="1616"/>
      <c r="P481"/>
      <c r="Q481" s="103" t="s">
        <v>15</v>
      </c>
      <c r="R481" s="31"/>
      <c r="S481" s="32"/>
      <c r="T481" s="31"/>
      <c r="U481" s="33"/>
      <c r="V481" s="1804"/>
      <c r="W481" s="1805"/>
      <c r="X481" s="91"/>
      <c r="Y481" s="1806"/>
      <c r="Z481" s="1807"/>
      <c r="AA481" s="919"/>
      <c r="AB481" s="1813"/>
      <c r="AC481" s="1580"/>
      <c r="AD481" s="95"/>
      <c r="AE481" s="105"/>
      <c r="AF481" s="97"/>
      <c r="AG481" s="2080"/>
      <c r="AH481" s="2081"/>
      <c r="AI481" s="99"/>
      <c r="AJ481" s="1809"/>
      <c r="AK481" s="6120" t="str">
        <f t="shared" si="218"/>
        <v>►</v>
      </c>
      <c r="AL481" s="781" t="str">
        <f t="shared" si="206"/>
        <v>►</v>
      </c>
      <c r="AM481" s="5499" t="str">
        <f t="shared" si="209"/>
        <v/>
      </c>
      <c r="AN481" s="783" t="str">
        <f t="shared" si="210"/>
        <v/>
      </c>
      <c r="AO481" s="782" t="str">
        <f t="shared" si="211"/>
        <v/>
      </c>
      <c r="AP481" s="783" t="str">
        <f t="shared" si="212"/>
        <v/>
      </c>
      <c r="AQ481" s="2083" t="b">
        <f>AND(Q481="A",COUNTIF(BP16:BR63,TRIM(Z481))&gt;0)</f>
        <v>0</v>
      </c>
      <c r="AR481" s="797" t="str">
        <f>IF(AL481&lt;&gt;"A","",IFERROR(IFERROR(_xlfn.XLOOKUP(TRIM(SUBSTITUTE(Z481,CHAR(160)," ")),BP16:BP63,BS16:BS63),IFERROR(_xlfn.XLOOKUP(TRIM(SUBSTITUTE(Z481,CHAR(160)," ")),BQ16:BQ63,BS16:BS63),_xlfn.XLOOKUP(TRIM(SUBSTITUTE(Z481,CHAR(160)," ")),BR16:BR63,BS16:BS63)))*Y481*IF(ISBLANK(V481),1,V481),0))</f>
        <v/>
      </c>
      <c r="AS481" s="784" t="str">
        <f t="shared" si="202"/>
        <v/>
      </c>
      <c r="AT481" s="1315" t="str">
        <f t="shared" si="213"/>
        <v/>
      </c>
      <c r="AU481" s="785">
        <f t="shared" si="214"/>
        <v>0</v>
      </c>
      <c r="AV481" s="785">
        <f t="shared" si="215"/>
        <v>0</v>
      </c>
      <c r="AW481" s="786">
        <f>IF(AK481="A",AY10,0)</f>
        <v>0</v>
      </c>
      <c r="AX481" s="5495" t="str">
        <f>IF(IFERROR(SEARCH("Adresse PC",TRIM(W481)),0)&gt;0,"▼ receta siguiente",IF(AK481="A",IF(AZ10&lt;&gt;"",AZ10&amp;" - ou.or.o ❾ + or - &gt;",""),""))</f>
        <v/>
      </c>
      <c r="AY481" s="810"/>
      <c r="AZ481" s="810"/>
      <c r="BA481" s="788" t="str">
        <f t="shared" si="205"/>
        <v/>
      </c>
      <c r="BB481" s="789" t="str">
        <f>IF(AK481="A",IF(AQ481,IF(AND(AW481&lt;&gt;"",N(AW481)&gt;0),IFERROR(IFERROR(_xlfn.XLOOKUP(AP481,BP10:BP57,BT10:BT57),IFERROR(_xlfn.XLOOKUP(AP481,BQ10:BQ57,BT10:BT57),_xlfn.XLOOKUP(AP481,BR10:BR57,BT10:BT57,""))),""),""),""),"")</f>
        <v/>
      </c>
      <c r="BC481" s="811" cm="1">
        <f t="array" ref="BC481">IF(NOT(AQ481),0,IF(OR(BA481="",N(BA481)&lt;=0.000000001),"",IF(OR(AU481="",N(AU481)&lt;=0.000000001),0,IF(ISNUMBER(BA481),IFERROR(_xlfn.LET(_xlpm.ai_test,TRIM(AP481),_xlpm.r,IFERROR(_xlfn.XLOOKUP(_xlpm.ai_test,BP16:BP63,ROW(BP16:BP63),0,1),IFERROR(_xlfn.XLOOKUP(_xlpm.ai_test,BQ16:BQ63,ROW(BQ16:BQ63),0,1),_xlfn.XLOOKUP(_xlpm.ai_test,BR16:BR63,ROW(BR16:BR63),0,1))),_xlpm.p,_xlpm.r-MIN(ROW(BP16:BP63))+1,_xlpm.f,INDEX(BS16:BS63,_xlpm.p),_xlpm.u,INDEX(BT16:BT63,_xlpm.p),_xlpm.s,INDEX(BV16:BV63,_xlpm.p),_xlpm.q,N(BA481)/_xlpm.f,IF(_xlpm.q&gt;=_xlpm.s,ROUND(_xlpm.q,1)&amp;" "&amp;_xlpm.ai_test&amp;" = "&amp;ROUND(_xlpm.q*_xlpm.f,1)&amp;" "&amp;_xlpm.u,ROUND(_xlpm.q,1)&amp;" "&amp;_xlpm.ai_test)),""),""))))</f>
        <v>0</v>
      </c>
      <c r="BD481" s="801"/>
      <c r="BE481" s="788" t="str">
        <f t="shared" si="216"/>
        <v/>
      </c>
      <c r="BF481" s="789" t="str">
        <f t="shared" si="219"/>
        <v/>
      </c>
      <c r="BG481" s="790">
        <f t="shared" si="220"/>
        <v>0</v>
      </c>
      <c r="BH481" s="791" t="str">
        <f t="shared" si="221"/>
        <v/>
      </c>
      <c r="BI481" s="792"/>
      <c r="BJ481" s="793">
        <f t="shared" si="222"/>
        <v>0</v>
      </c>
      <c r="BK481" s="794" t="str">
        <f t="shared" si="217"/>
        <v/>
      </c>
      <c r="BL481" s="227" t="s">
        <v>21</v>
      </c>
      <c r="BM481" s="773">
        <f t="shared" si="207"/>
        <v>0</v>
      </c>
      <c r="BN481" s="774">
        <f t="shared" si="208"/>
        <v>0</v>
      </c>
      <c r="BO481"/>
      <c r="BX481"/>
      <c r="BY481"/>
      <c r="BZ481"/>
      <c r="CA481"/>
      <c r="CB481"/>
      <c r="CC481"/>
      <c r="CD481" s="781" t="str">
        <f t="shared" si="203"/>
        <v>►</v>
      </c>
      <c r="CE481" s="633"/>
      <c r="CF481" s="633"/>
      <c r="CG481" s="633"/>
      <c r="CH481" s="633"/>
      <c r="CI481" s="633"/>
      <c r="CJ481" s="227"/>
      <c r="CK481"/>
      <c r="CL481"/>
      <c r="CM481"/>
      <c r="CN481"/>
      <c r="CO481"/>
      <c r="CP481"/>
      <c r="CQ481"/>
      <c r="CR481" s="227"/>
      <c r="CS481"/>
      <c r="CT481"/>
      <c r="CU481"/>
      <c r="CV481"/>
      <c r="CW481"/>
      <c r="CX481"/>
      <c r="CY481"/>
      <c r="CZ481" s="227"/>
      <c r="DA481"/>
      <c r="DB481"/>
      <c r="DC481"/>
      <c r="DD481"/>
      <c r="DE481"/>
      <c r="DF481"/>
      <c r="DG481"/>
      <c r="DH481" s="227"/>
      <c r="DI481" s="3">
        <v>1</v>
      </c>
    </row>
    <row r="482" spans="2:113" s="627" customFormat="1" ht="21" customHeight="1">
      <c r="B482" s="2265" t="str" cm="1">
        <f t="array" ref="B482">SUMPRODUCT(--(D482:J482&lt;&gt;""), LEN(TRIM(SUBSTITUTE(D482:J482, CHAR(160), "")))) &amp; " Car."</f>
        <v>0 Car.</v>
      </c>
      <c r="C482" s="1376" t="str">
        <f>IF(ISBLANK(D482),"",LARGE(C13:C481,1)+1)</f>
        <v/>
      </c>
      <c r="D482" s="1833"/>
      <c r="E482" s="1810"/>
      <c r="F482" s="1810"/>
      <c r="G482" s="1810"/>
      <c r="H482" s="1810"/>
      <c r="I482" s="1810"/>
      <c r="J482" s="1810"/>
      <c r="K482" s="1810"/>
      <c r="L482" s="1811"/>
      <c r="M482"/>
      <c r="N482" s="103" t="str">
        <f t="shared" si="204"/>
        <v>►</v>
      </c>
      <c r="O482" s="1616"/>
      <c r="P482"/>
      <c r="Q482" s="103" t="s">
        <v>15</v>
      </c>
      <c r="R482" s="31"/>
      <c r="S482" s="32"/>
      <c r="T482" s="31"/>
      <c r="U482" s="33"/>
      <c r="V482" s="1804"/>
      <c r="W482" s="1805"/>
      <c r="X482" s="91"/>
      <c r="Y482" s="1806"/>
      <c r="Z482" s="1807"/>
      <c r="AA482" s="919"/>
      <c r="AB482" s="1813"/>
      <c r="AC482" s="1580"/>
      <c r="AD482" s="95"/>
      <c r="AE482" s="105"/>
      <c r="AF482" s="97"/>
      <c r="AG482" s="2080"/>
      <c r="AH482" s="2081"/>
      <c r="AI482" s="99"/>
      <c r="AJ482" s="1809"/>
      <c r="AK482" s="6120" t="str">
        <f t="shared" si="218"/>
        <v>►</v>
      </c>
      <c r="AL482" s="781" t="str">
        <f t="shared" si="206"/>
        <v>►</v>
      </c>
      <c r="AM482" s="5498" t="str">
        <f t="shared" si="209"/>
        <v/>
      </c>
      <c r="AN482" s="783" t="str">
        <f t="shared" si="210"/>
        <v/>
      </c>
      <c r="AO482" s="782" t="str">
        <f t="shared" si="211"/>
        <v/>
      </c>
      <c r="AP482" s="783" t="str">
        <f t="shared" si="212"/>
        <v/>
      </c>
      <c r="AQ482" s="2083" t="b">
        <f>AND(Q482="A",COUNTIF(BP16:BR63,TRIM(Z482))&gt;0)</f>
        <v>0</v>
      </c>
      <c r="AR482" s="797" t="str">
        <f>IF(AL482&lt;&gt;"A","",IFERROR(IFERROR(_xlfn.XLOOKUP(TRIM(SUBSTITUTE(Z482,CHAR(160)," ")),BP16:BP63,BS16:BS63),IFERROR(_xlfn.XLOOKUP(TRIM(SUBSTITUTE(Z482,CHAR(160)," ")),BQ16:BQ63,BS16:BS63),_xlfn.XLOOKUP(TRIM(SUBSTITUTE(Z482,CHAR(160)," ")),BR16:BR63,BS16:BS63)))*Y482*IF(ISBLANK(V482),1,V482),0))</f>
        <v/>
      </c>
      <c r="AS482" s="784" t="str">
        <f t="shared" si="202"/>
        <v/>
      </c>
      <c r="AT482" s="1315" t="str">
        <f t="shared" si="213"/>
        <v/>
      </c>
      <c r="AU482" s="785">
        <f t="shared" si="214"/>
        <v>0</v>
      </c>
      <c r="AV482" s="785">
        <f t="shared" si="215"/>
        <v>0</v>
      </c>
      <c r="AW482" s="798">
        <f>IF(AK482="A",AY10,0)</f>
        <v>0</v>
      </c>
      <c r="AX482" s="5496" t="str">
        <f>IF(IFERROR(SEARCH("Adresse PC",TRIM(W482)),0)&gt;0,"▼ receta siguiente",IF(AK482="A",IF(AZ10&lt;&gt;"",AZ10&amp;" - ou.or.o ❾ + or - &gt;",""),""))</f>
        <v/>
      </c>
      <c r="AY482" s="810"/>
      <c r="AZ482" s="810"/>
      <c r="BA482" s="799" t="str">
        <f t="shared" si="205"/>
        <v/>
      </c>
      <c r="BB482" s="800" t="str">
        <f>IF(AK482="A",IF(AQ482,IF(AND(AW482&lt;&gt;"",N(AW482)&gt;0),IFERROR(IFERROR(_xlfn.XLOOKUP(AP482,BP10:BP57,BT10:BT57),IFERROR(_xlfn.XLOOKUP(AP482,BQ10:BQ57,BT10:BT57),_xlfn.XLOOKUP(AP482,BR10:BR57,BT10:BT57,""))),""),""),""),"")</f>
        <v/>
      </c>
      <c r="BC482" s="813" cm="1">
        <f t="array" ref="BC482">IF(NOT(AQ482),0,IF(OR(BA482="",N(BA482)&lt;=0.000000001),"",IF(OR(AU482="",N(AU482)&lt;=0.000000001),0,IF(ISNUMBER(BA482),IFERROR(_xlfn.LET(_xlpm.ai_test,TRIM(AP482),_xlpm.r,IFERROR(_xlfn.XLOOKUP(_xlpm.ai_test,BP16:BP63,ROW(BP16:BP63),0,1),IFERROR(_xlfn.XLOOKUP(_xlpm.ai_test,BQ16:BQ63,ROW(BQ16:BQ63),0,1),_xlfn.XLOOKUP(_xlpm.ai_test,BR16:BR63,ROW(BR16:BR63),0,1))),_xlpm.p,_xlpm.r-MIN(ROW(BP16:BP63))+1,_xlpm.f,INDEX(BS16:BS63,_xlpm.p),_xlpm.u,INDEX(BT16:BT63,_xlpm.p),_xlpm.s,INDEX(BV16:BV63,_xlpm.p),_xlpm.q,N(BA482)/_xlpm.f,IF(_xlpm.q&gt;=_xlpm.s,ROUND(_xlpm.q,1)&amp;" "&amp;_xlpm.ai_test&amp;" = "&amp;ROUND(_xlpm.q*_xlpm.f,1)&amp;" "&amp;_xlpm.u,ROUND(_xlpm.q,1)&amp;" "&amp;_xlpm.ai_test)),""),""))))</f>
        <v>0</v>
      </c>
      <c r="BD482" s="801"/>
      <c r="BE482" s="799" t="str">
        <f t="shared" si="216"/>
        <v/>
      </c>
      <c r="BF482" s="800" t="str">
        <f t="shared" si="219"/>
        <v/>
      </c>
      <c r="BG482" s="802">
        <f t="shared" si="220"/>
        <v>0</v>
      </c>
      <c r="BH482" s="803" t="str">
        <f t="shared" si="221"/>
        <v/>
      </c>
      <c r="BI482" s="792"/>
      <c r="BJ482" s="804">
        <f t="shared" si="222"/>
        <v>0</v>
      </c>
      <c r="BK482" s="794" t="str">
        <f t="shared" si="217"/>
        <v/>
      </c>
      <c r="BL482" s="227" t="s">
        <v>21</v>
      </c>
      <c r="BM482" s="773">
        <f t="shared" si="207"/>
        <v>0</v>
      </c>
      <c r="BN482" s="774">
        <f t="shared" si="208"/>
        <v>0</v>
      </c>
      <c r="BO482"/>
      <c r="BX482"/>
      <c r="BY482"/>
      <c r="BZ482"/>
      <c r="CA482"/>
      <c r="CB482"/>
      <c r="CC482"/>
      <c r="CD482" s="781" t="str">
        <f t="shared" si="203"/>
        <v>►</v>
      </c>
      <c r="CE482" s="633"/>
      <c r="CF482" s="633"/>
      <c r="CG482" s="633"/>
      <c r="CH482" s="633"/>
      <c r="CI482" s="633"/>
      <c r="CJ482" s="227"/>
      <c r="CK482"/>
      <c r="CL482"/>
      <c r="CM482"/>
      <c r="CN482"/>
      <c r="CO482"/>
      <c r="CP482"/>
      <c r="CQ482"/>
      <c r="CR482" s="227"/>
      <c r="CS482"/>
      <c r="CT482"/>
      <c r="CU482"/>
      <c r="CV482"/>
      <c r="CW482"/>
      <c r="CX482"/>
      <c r="CY482"/>
      <c r="CZ482" s="227"/>
      <c r="DA482"/>
      <c r="DB482"/>
      <c r="DC482"/>
      <c r="DD482"/>
      <c r="DE482"/>
      <c r="DF482"/>
      <c r="DG482"/>
      <c r="DH482" s="227"/>
      <c r="DI482" s="3">
        <v>1</v>
      </c>
    </row>
    <row r="483" spans="2:113" s="627" customFormat="1" ht="21" customHeight="1">
      <c r="B483" s="2265" t="str" cm="1">
        <f t="array" ref="B483">SUMPRODUCT(--(D483:J483&lt;&gt;""), LEN(TRIM(SUBSTITUTE(D483:J483, CHAR(160), "")))) &amp; " Car."</f>
        <v>0 Car.</v>
      </c>
      <c r="C483" s="1376" t="str">
        <f>IF(ISBLANK(D483),"",LARGE(C13:C482,1)+1)</f>
        <v/>
      </c>
      <c r="D483" s="1833"/>
      <c r="E483" s="1810"/>
      <c r="F483" s="1810"/>
      <c r="G483" s="1810"/>
      <c r="H483" s="1810"/>
      <c r="I483" s="1810"/>
      <c r="J483" s="1810"/>
      <c r="K483" s="1810"/>
      <c r="L483" s="1811"/>
      <c r="M483"/>
      <c r="N483" s="103" t="str">
        <f t="shared" si="204"/>
        <v>►</v>
      </c>
      <c r="O483" s="1616"/>
      <c r="P483"/>
      <c r="Q483" s="103" t="s">
        <v>15</v>
      </c>
      <c r="R483" s="31"/>
      <c r="S483" s="32"/>
      <c r="T483" s="31"/>
      <c r="U483" s="33"/>
      <c r="V483" s="1804"/>
      <c r="W483" s="1805"/>
      <c r="X483" s="91"/>
      <c r="Y483" s="1806"/>
      <c r="Z483" s="1807"/>
      <c r="AA483" s="919"/>
      <c r="AB483" s="1813"/>
      <c r="AC483" s="1580"/>
      <c r="AD483" s="95"/>
      <c r="AE483" s="105"/>
      <c r="AF483" s="97"/>
      <c r="AG483" s="2080"/>
      <c r="AH483" s="2081"/>
      <c r="AI483" s="99"/>
      <c r="AJ483" s="1809"/>
      <c r="AK483" s="6120" t="str">
        <f t="shared" si="218"/>
        <v>►</v>
      </c>
      <c r="AL483" s="781" t="str">
        <f t="shared" si="206"/>
        <v>►</v>
      </c>
      <c r="AM483" s="5499" t="str">
        <f t="shared" si="209"/>
        <v/>
      </c>
      <c r="AN483" s="783" t="str">
        <f t="shared" si="210"/>
        <v/>
      </c>
      <c r="AO483" s="782" t="str">
        <f t="shared" si="211"/>
        <v/>
      </c>
      <c r="AP483" s="783" t="str">
        <f t="shared" si="212"/>
        <v/>
      </c>
      <c r="AQ483" s="2083" t="b">
        <f>AND(Q483="A",COUNTIF(BP16:BR63,TRIM(Z483))&gt;0)</f>
        <v>0</v>
      </c>
      <c r="AR483" s="797" t="str">
        <f>IF(AL483&lt;&gt;"A","",IFERROR(IFERROR(_xlfn.XLOOKUP(TRIM(SUBSTITUTE(Z483,CHAR(160)," ")),BP16:BP63,BS16:BS63),IFERROR(_xlfn.XLOOKUP(TRIM(SUBSTITUTE(Z483,CHAR(160)," ")),BQ16:BQ63,BS16:BS63),_xlfn.XLOOKUP(TRIM(SUBSTITUTE(Z483,CHAR(160)," ")),BR16:BR63,BS16:BS63)))*Y483*IF(ISBLANK(V483),1,V483),0))</f>
        <v/>
      </c>
      <c r="AS483" s="784" t="str">
        <f t="shared" si="202"/>
        <v/>
      </c>
      <c r="AT483" s="1315" t="str">
        <f t="shared" si="213"/>
        <v/>
      </c>
      <c r="AU483" s="785">
        <f t="shared" si="214"/>
        <v>0</v>
      </c>
      <c r="AV483" s="785">
        <f t="shared" si="215"/>
        <v>0</v>
      </c>
      <c r="AW483" s="786">
        <f>IF(AK483="A",AY10,0)</f>
        <v>0</v>
      </c>
      <c r="AX483" s="5495" t="str">
        <f>IF(IFERROR(SEARCH("Adresse PC",TRIM(W483)),0)&gt;0,"▼ receta siguiente",IF(AK483="A",IF(AZ10&lt;&gt;"",AZ10&amp;" - ou.or.o ❾ + or - &gt;",""),""))</f>
        <v/>
      </c>
      <c r="AY483" s="810"/>
      <c r="AZ483" s="810"/>
      <c r="BA483" s="788" t="str">
        <f t="shared" si="205"/>
        <v/>
      </c>
      <c r="BB483" s="789" t="str">
        <f>IF(AK483="A",IF(AQ483,IF(AND(AW483&lt;&gt;"",N(AW483)&gt;0),IFERROR(IFERROR(_xlfn.XLOOKUP(AP483,BP10:BP57,BT10:BT57),IFERROR(_xlfn.XLOOKUP(AP483,BQ10:BQ57,BT10:BT57),_xlfn.XLOOKUP(AP483,BR10:BR57,BT10:BT57,""))),""),""),""),"")</f>
        <v/>
      </c>
      <c r="BC483" s="811" cm="1">
        <f t="array" ref="BC483">IF(NOT(AQ483),0,IF(OR(BA483="",N(BA483)&lt;=0.000000001),"",IF(OR(AU483="",N(AU483)&lt;=0.000000001),0,IF(ISNUMBER(BA483),IFERROR(_xlfn.LET(_xlpm.ai_test,TRIM(AP483),_xlpm.r,IFERROR(_xlfn.XLOOKUP(_xlpm.ai_test,BP16:BP63,ROW(BP16:BP63),0,1),IFERROR(_xlfn.XLOOKUP(_xlpm.ai_test,BQ16:BQ63,ROW(BQ16:BQ63),0,1),_xlfn.XLOOKUP(_xlpm.ai_test,BR16:BR63,ROW(BR16:BR63),0,1))),_xlpm.p,_xlpm.r-MIN(ROW(BP16:BP63))+1,_xlpm.f,INDEX(BS16:BS63,_xlpm.p),_xlpm.u,INDEX(BT16:BT63,_xlpm.p),_xlpm.s,INDEX(BV16:BV63,_xlpm.p),_xlpm.q,N(BA483)/_xlpm.f,IF(_xlpm.q&gt;=_xlpm.s,ROUND(_xlpm.q,1)&amp;" "&amp;_xlpm.ai_test&amp;" = "&amp;ROUND(_xlpm.q*_xlpm.f,1)&amp;" "&amp;_xlpm.u,ROUND(_xlpm.q,1)&amp;" "&amp;_xlpm.ai_test)),""),""))))</f>
        <v>0</v>
      </c>
      <c r="BD483" s="801"/>
      <c r="BE483" s="788" t="str">
        <f t="shared" si="216"/>
        <v/>
      </c>
      <c r="BF483" s="789" t="str">
        <f t="shared" si="219"/>
        <v/>
      </c>
      <c r="BG483" s="790">
        <f t="shared" si="220"/>
        <v>0</v>
      </c>
      <c r="BH483" s="791" t="str">
        <f t="shared" si="221"/>
        <v/>
      </c>
      <c r="BI483" s="792"/>
      <c r="BJ483" s="793">
        <f t="shared" si="222"/>
        <v>0</v>
      </c>
      <c r="BK483" s="794" t="str">
        <f t="shared" si="217"/>
        <v/>
      </c>
      <c r="BL483" s="227" t="s">
        <v>21</v>
      </c>
      <c r="BM483" s="773">
        <f t="shared" si="207"/>
        <v>0</v>
      </c>
      <c r="BN483" s="774">
        <f t="shared" si="208"/>
        <v>0</v>
      </c>
      <c r="BO483"/>
      <c r="BX483"/>
      <c r="BY483"/>
      <c r="BZ483"/>
      <c r="CA483"/>
      <c r="CB483"/>
      <c r="CC483"/>
      <c r="CD483" s="781" t="str">
        <f t="shared" si="203"/>
        <v>►</v>
      </c>
      <c r="CE483" s="633"/>
      <c r="CF483" s="633"/>
      <c r="CG483" s="633"/>
      <c r="CH483" s="633"/>
      <c r="CI483" s="633"/>
      <c r="CJ483" s="227"/>
      <c r="CK483"/>
      <c r="CL483"/>
      <c r="CM483"/>
      <c r="CN483"/>
      <c r="CO483"/>
      <c r="CP483"/>
      <c r="CQ483"/>
      <c r="CR483" s="227"/>
      <c r="CS483"/>
      <c r="CT483"/>
      <c r="CU483"/>
      <c r="CV483"/>
      <c r="CW483"/>
      <c r="CX483"/>
      <c r="CY483"/>
      <c r="CZ483" s="227"/>
      <c r="DA483"/>
      <c r="DB483"/>
      <c r="DC483"/>
      <c r="DD483"/>
      <c r="DE483"/>
      <c r="DF483"/>
      <c r="DG483"/>
      <c r="DH483" s="227"/>
      <c r="DI483" s="3">
        <v>1</v>
      </c>
    </row>
    <row r="484" spans="2:113" s="627" customFormat="1" ht="21" customHeight="1">
      <c r="B484" s="2265" t="str" cm="1">
        <f t="array" ref="B484">SUMPRODUCT(--(D484:J484&lt;&gt;""), LEN(TRIM(SUBSTITUTE(D484:J484, CHAR(160), "")))) &amp; " Car."</f>
        <v>0 Car.</v>
      </c>
      <c r="C484" s="1376" t="str">
        <f>IF(ISBLANK(D484),"",LARGE(C13:C483,1)+1)</f>
        <v/>
      </c>
      <c r="D484" s="1833"/>
      <c r="E484" s="1810"/>
      <c r="F484" s="1810"/>
      <c r="G484" s="1810"/>
      <c r="H484" s="1810"/>
      <c r="I484" s="1810"/>
      <c r="J484" s="1810"/>
      <c r="K484" s="1810"/>
      <c r="L484" s="1811"/>
      <c r="M484"/>
      <c r="N484" s="103" t="str">
        <f t="shared" si="204"/>
        <v>►</v>
      </c>
      <c r="O484" s="1616"/>
      <c r="P484"/>
      <c r="Q484" s="103" t="s">
        <v>15</v>
      </c>
      <c r="R484" s="31"/>
      <c r="S484" s="32"/>
      <c r="T484" s="31"/>
      <c r="U484" s="33"/>
      <c r="V484" s="1804"/>
      <c r="W484" s="1805"/>
      <c r="X484" s="91"/>
      <c r="Y484" s="1806"/>
      <c r="Z484" s="1807"/>
      <c r="AA484" s="919"/>
      <c r="AB484" s="1813"/>
      <c r="AC484" s="1580"/>
      <c r="AD484" s="95"/>
      <c r="AE484" s="105"/>
      <c r="AF484" s="97"/>
      <c r="AG484" s="2080"/>
      <c r="AH484" s="2081"/>
      <c r="AI484" s="99"/>
      <c r="AJ484" s="1809"/>
      <c r="AK484" s="6120" t="str">
        <f t="shared" si="218"/>
        <v>►</v>
      </c>
      <c r="AL484" s="781" t="str">
        <f t="shared" si="206"/>
        <v>►</v>
      </c>
      <c r="AM484" s="5498" t="str">
        <f t="shared" si="209"/>
        <v/>
      </c>
      <c r="AN484" s="783" t="str">
        <f t="shared" si="210"/>
        <v/>
      </c>
      <c r="AO484" s="782" t="str">
        <f t="shared" si="211"/>
        <v/>
      </c>
      <c r="AP484" s="783" t="str">
        <f t="shared" si="212"/>
        <v/>
      </c>
      <c r="AQ484" s="2083" t="b">
        <f>AND(Q484="A",COUNTIF(BP16:BR63,TRIM(Z484))&gt;0)</f>
        <v>0</v>
      </c>
      <c r="AR484" s="797" t="str">
        <f>IF(AL484&lt;&gt;"A","",IFERROR(IFERROR(_xlfn.XLOOKUP(TRIM(SUBSTITUTE(Z484,CHAR(160)," ")),BP16:BP63,BS16:BS63),IFERROR(_xlfn.XLOOKUP(TRIM(SUBSTITUTE(Z484,CHAR(160)," ")),BQ16:BQ63,BS16:BS63),_xlfn.XLOOKUP(TRIM(SUBSTITUTE(Z484,CHAR(160)," ")),BR16:BR63,BS16:BS63)))*Y484*IF(ISBLANK(V484),1,V484),0))</f>
        <v/>
      </c>
      <c r="AS484" s="784" t="str">
        <f t="shared" si="202"/>
        <v/>
      </c>
      <c r="AT484" s="1315" t="str">
        <f t="shared" si="213"/>
        <v/>
      </c>
      <c r="AU484" s="785">
        <f t="shared" si="214"/>
        <v>0</v>
      </c>
      <c r="AV484" s="785">
        <f t="shared" si="215"/>
        <v>0</v>
      </c>
      <c r="AW484" s="798">
        <f>IF(AK484="A",AY10,0)</f>
        <v>0</v>
      </c>
      <c r="AX484" s="5496" t="str">
        <f>IF(IFERROR(SEARCH("Adresse PC",TRIM(W484)),0)&gt;0,"▼ receta siguiente",IF(AK484="A",IF(AZ10&lt;&gt;"",AZ10&amp;" - ou.or.o ❾ + or - &gt;",""),""))</f>
        <v/>
      </c>
      <c r="AY484" s="810"/>
      <c r="AZ484" s="810"/>
      <c r="BA484" s="799" t="str">
        <f t="shared" si="205"/>
        <v/>
      </c>
      <c r="BB484" s="800" t="str">
        <f>IF(AK484="A",IF(AQ484,IF(AND(AW484&lt;&gt;"",N(AW484)&gt;0),IFERROR(IFERROR(_xlfn.XLOOKUP(AP484,BP10:BP57,BT10:BT57),IFERROR(_xlfn.XLOOKUP(AP484,BQ10:BQ57,BT10:BT57),_xlfn.XLOOKUP(AP484,BR10:BR57,BT10:BT57,""))),""),""),""),"")</f>
        <v/>
      </c>
      <c r="BC484" s="813" cm="1">
        <f t="array" ref="BC484">IF(NOT(AQ484),0,IF(OR(BA484="",N(BA484)&lt;=0.000000001),"",IF(OR(AU484="",N(AU484)&lt;=0.000000001),0,IF(ISNUMBER(BA484),IFERROR(_xlfn.LET(_xlpm.ai_test,TRIM(AP484),_xlpm.r,IFERROR(_xlfn.XLOOKUP(_xlpm.ai_test,BP16:BP63,ROW(BP16:BP63),0,1),IFERROR(_xlfn.XLOOKUP(_xlpm.ai_test,BQ16:BQ63,ROW(BQ16:BQ63),0,1),_xlfn.XLOOKUP(_xlpm.ai_test,BR16:BR63,ROW(BR16:BR63),0,1))),_xlpm.p,_xlpm.r-MIN(ROW(BP16:BP63))+1,_xlpm.f,INDEX(BS16:BS63,_xlpm.p),_xlpm.u,INDEX(BT16:BT63,_xlpm.p),_xlpm.s,INDEX(BV16:BV63,_xlpm.p),_xlpm.q,N(BA484)/_xlpm.f,IF(_xlpm.q&gt;=_xlpm.s,ROUND(_xlpm.q,1)&amp;" "&amp;_xlpm.ai_test&amp;" = "&amp;ROUND(_xlpm.q*_xlpm.f,1)&amp;" "&amp;_xlpm.u,ROUND(_xlpm.q,1)&amp;" "&amp;_xlpm.ai_test)),""),""))))</f>
        <v>0</v>
      </c>
      <c r="BD484" s="801"/>
      <c r="BE484" s="799" t="str">
        <f t="shared" si="216"/>
        <v/>
      </c>
      <c r="BF484" s="800" t="str">
        <f t="shared" si="219"/>
        <v/>
      </c>
      <c r="BG484" s="802">
        <f t="shared" si="220"/>
        <v>0</v>
      </c>
      <c r="BH484" s="803" t="str">
        <f t="shared" si="221"/>
        <v/>
      </c>
      <c r="BI484" s="792"/>
      <c r="BJ484" s="804">
        <f t="shared" si="222"/>
        <v>0</v>
      </c>
      <c r="BK484" s="794" t="str">
        <f t="shared" si="217"/>
        <v/>
      </c>
      <c r="BL484" s="227" t="s">
        <v>21</v>
      </c>
      <c r="BM484" s="773">
        <f t="shared" si="207"/>
        <v>0</v>
      </c>
      <c r="BN484" s="774">
        <f t="shared" si="208"/>
        <v>0</v>
      </c>
      <c r="BO484"/>
      <c r="BX484"/>
      <c r="BY484"/>
      <c r="BZ484"/>
      <c r="CA484"/>
      <c r="CB484"/>
      <c r="CC484"/>
      <c r="CD484" s="781" t="str">
        <f t="shared" si="203"/>
        <v>►</v>
      </c>
      <c r="CE484" s="633"/>
      <c r="CF484" s="633"/>
      <c r="CG484" s="633"/>
      <c r="CH484" s="633"/>
      <c r="CI484" s="633"/>
      <c r="CJ484" s="227"/>
      <c r="CK484"/>
      <c r="CL484"/>
      <c r="CM484"/>
      <c r="CN484"/>
      <c r="CO484"/>
      <c r="CP484"/>
      <c r="CQ484"/>
      <c r="CR484" s="227"/>
      <c r="CS484"/>
      <c r="CT484"/>
      <c r="CU484"/>
      <c r="CV484"/>
      <c r="CW484"/>
      <c r="CX484"/>
      <c r="CY484"/>
      <c r="CZ484" s="227"/>
      <c r="DA484"/>
      <c r="DB484"/>
      <c r="DC484"/>
      <c r="DD484"/>
      <c r="DE484"/>
      <c r="DF484"/>
      <c r="DG484"/>
      <c r="DH484" s="227"/>
      <c r="DI484" s="3">
        <v>1</v>
      </c>
    </row>
    <row r="485" spans="2:113" s="627" customFormat="1" ht="21" customHeight="1">
      <c r="B485" s="2265" t="str" cm="1">
        <f t="array" ref="B485">SUMPRODUCT(--(D485:J485&lt;&gt;""), LEN(TRIM(SUBSTITUTE(D485:J485, CHAR(160), "")))) &amp; " Car."</f>
        <v>0 Car.</v>
      </c>
      <c r="C485" s="1376" t="str">
        <f>IF(ISBLANK(D485),"",LARGE(C13:C484,1)+1)</f>
        <v/>
      </c>
      <c r="D485" s="1833"/>
      <c r="E485" s="1810"/>
      <c r="F485" s="1810"/>
      <c r="G485" s="1810"/>
      <c r="H485" s="1810"/>
      <c r="I485" s="1810"/>
      <c r="J485" s="1810"/>
      <c r="K485" s="1810"/>
      <c r="L485" s="1811"/>
      <c r="M485"/>
      <c r="N485" s="103" t="str">
        <f t="shared" si="204"/>
        <v>►</v>
      </c>
      <c r="O485" s="1616"/>
      <c r="P485"/>
      <c r="Q485" s="103" t="s">
        <v>15</v>
      </c>
      <c r="R485" s="31"/>
      <c r="S485" s="32"/>
      <c r="T485" s="31"/>
      <c r="U485" s="33"/>
      <c r="V485" s="1804"/>
      <c r="W485" s="1805"/>
      <c r="X485" s="91"/>
      <c r="Y485" s="1806"/>
      <c r="Z485" s="1807"/>
      <c r="AA485" s="919"/>
      <c r="AB485" s="1813"/>
      <c r="AC485" s="1580"/>
      <c r="AD485" s="95"/>
      <c r="AE485" s="105"/>
      <c r="AF485" s="97"/>
      <c r="AG485" s="2080"/>
      <c r="AH485" s="2081"/>
      <c r="AI485" s="99"/>
      <c r="AJ485" s="1809"/>
      <c r="AK485" s="6120" t="str">
        <f t="shared" si="218"/>
        <v>►</v>
      </c>
      <c r="AL485" s="781" t="str">
        <f t="shared" si="206"/>
        <v>►</v>
      </c>
      <c r="AM485" s="5499" t="str">
        <f t="shared" si="209"/>
        <v/>
      </c>
      <c r="AN485" s="783" t="str">
        <f t="shared" si="210"/>
        <v/>
      </c>
      <c r="AO485" s="782" t="str">
        <f t="shared" si="211"/>
        <v/>
      </c>
      <c r="AP485" s="783" t="str">
        <f t="shared" si="212"/>
        <v/>
      </c>
      <c r="AQ485" s="2083" t="b">
        <f>AND(Q485="A",COUNTIF(BP16:BR63,TRIM(Z485))&gt;0)</f>
        <v>0</v>
      </c>
      <c r="AR485" s="797" t="str">
        <f>IF(AL485&lt;&gt;"A","",IFERROR(IFERROR(_xlfn.XLOOKUP(TRIM(SUBSTITUTE(Z485,CHAR(160)," ")),BP16:BP63,BS16:BS63),IFERROR(_xlfn.XLOOKUP(TRIM(SUBSTITUTE(Z485,CHAR(160)," ")),BQ16:BQ63,BS16:BS63),_xlfn.XLOOKUP(TRIM(SUBSTITUTE(Z485,CHAR(160)," ")),BR16:BR63,BS16:BS63)))*Y485*IF(ISBLANK(V485),1,V485),0))</f>
        <v/>
      </c>
      <c r="AS485" s="784" t="str">
        <f t="shared" si="202"/>
        <v/>
      </c>
      <c r="AT485" s="1315" t="str">
        <f t="shared" si="213"/>
        <v/>
      </c>
      <c r="AU485" s="785">
        <f t="shared" si="214"/>
        <v>0</v>
      </c>
      <c r="AV485" s="785">
        <f t="shared" si="215"/>
        <v>0</v>
      </c>
      <c r="AW485" s="786">
        <f>IF(AK485="A",AY10,0)</f>
        <v>0</v>
      </c>
      <c r="AX485" s="5495" t="str">
        <f>IF(IFERROR(SEARCH("Adresse PC",TRIM(W485)),0)&gt;0,"▼ receta siguiente",IF(AK485="A",IF(AZ10&lt;&gt;"",AZ10&amp;" - ou.or.o ❾ + or - &gt;",""),""))</f>
        <v/>
      </c>
      <c r="AY485" s="810"/>
      <c r="AZ485" s="810"/>
      <c r="BA485" s="788" t="str">
        <f t="shared" si="205"/>
        <v/>
      </c>
      <c r="BB485" s="789" t="str">
        <f>IF(AK485="A",IF(AQ485,IF(AND(AW485&lt;&gt;"",N(AW485)&gt;0),IFERROR(IFERROR(_xlfn.XLOOKUP(AP485,BP10:BP57,BT10:BT57),IFERROR(_xlfn.XLOOKUP(AP485,BQ10:BQ57,BT10:BT57),_xlfn.XLOOKUP(AP485,BR10:BR57,BT10:BT57,""))),""),""),""),"")</f>
        <v/>
      </c>
      <c r="BC485" s="811" cm="1">
        <f t="array" ref="BC485">IF(NOT(AQ485),0,IF(OR(BA485="",N(BA485)&lt;=0.000000001),"",IF(OR(AU485="",N(AU485)&lt;=0.000000001),0,IF(ISNUMBER(BA485),IFERROR(_xlfn.LET(_xlpm.ai_test,TRIM(AP485),_xlpm.r,IFERROR(_xlfn.XLOOKUP(_xlpm.ai_test,BP16:BP63,ROW(BP16:BP63),0,1),IFERROR(_xlfn.XLOOKUP(_xlpm.ai_test,BQ16:BQ63,ROW(BQ16:BQ63),0,1),_xlfn.XLOOKUP(_xlpm.ai_test,BR16:BR63,ROW(BR16:BR63),0,1))),_xlpm.p,_xlpm.r-MIN(ROW(BP16:BP63))+1,_xlpm.f,INDEX(BS16:BS63,_xlpm.p),_xlpm.u,INDEX(BT16:BT63,_xlpm.p),_xlpm.s,INDEX(BV16:BV63,_xlpm.p),_xlpm.q,N(BA485)/_xlpm.f,IF(_xlpm.q&gt;=_xlpm.s,ROUND(_xlpm.q,1)&amp;" "&amp;_xlpm.ai_test&amp;" = "&amp;ROUND(_xlpm.q*_xlpm.f,1)&amp;" "&amp;_xlpm.u,ROUND(_xlpm.q,1)&amp;" "&amp;_xlpm.ai_test)),""),""))))</f>
        <v>0</v>
      </c>
      <c r="BD485" s="801"/>
      <c r="BE485" s="788" t="str">
        <f t="shared" si="216"/>
        <v/>
      </c>
      <c r="BF485" s="789" t="str">
        <f t="shared" si="219"/>
        <v/>
      </c>
      <c r="BG485" s="790">
        <f t="shared" si="220"/>
        <v>0</v>
      </c>
      <c r="BH485" s="791" t="str">
        <f t="shared" si="221"/>
        <v/>
      </c>
      <c r="BI485" s="792"/>
      <c r="BJ485" s="793">
        <f t="shared" si="222"/>
        <v>0</v>
      </c>
      <c r="BK485" s="794" t="str">
        <f t="shared" si="217"/>
        <v/>
      </c>
      <c r="BL485" s="227" t="s">
        <v>21</v>
      </c>
      <c r="BM485" s="773">
        <f t="shared" si="207"/>
        <v>0</v>
      </c>
      <c r="BN485" s="774">
        <f t="shared" si="208"/>
        <v>0</v>
      </c>
      <c r="BO485"/>
      <c r="BX485"/>
      <c r="BY485"/>
      <c r="BZ485"/>
      <c r="CA485"/>
      <c r="CB485"/>
      <c r="CC485"/>
      <c r="CD485" s="781" t="str">
        <f t="shared" si="203"/>
        <v>►</v>
      </c>
      <c r="CE485" s="633"/>
      <c r="CF485" s="633"/>
      <c r="CG485" s="633"/>
      <c r="CH485" s="633"/>
      <c r="CI485" s="633"/>
      <c r="CJ485" s="227"/>
      <c r="CK485"/>
      <c r="CL485"/>
      <c r="CM485"/>
      <c r="CN485"/>
      <c r="CO485"/>
      <c r="CP485"/>
      <c r="CQ485"/>
      <c r="CR485" s="227"/>
      <c r="CS485"/>
      <c r="CT485"/>
      <c r="CU485"/>
      <c r="CV485"/>
      <c r="CW485"/>
      <c r="CX485"/>
      <c r="CY485"/>
      <c r="CZ485" s="227"/>
      <c r="DA485"/>
      <c r="DB485"/>
      <c r="DC485"/>
      <c r="DD485"/>
      <c r="DE485"/>
      <c r="DF485"/>
      <c r="DG485"/>
      <c r="DH485" s="227"/>
      <c r="DI485" s="3">
        <v>1</v>
      </c>
    </row>
    <row r="486" spans="2:113" s="627" customFormat="1" ht="21" customHeight="1">
      <c r="B486" s="2265" t="str" cm="1">
        <f t="array" ref="B486">SUMPRODUCT(--(D486:J486&lt;&gt;""), LEN(TRIM(SUBSTITUTE(D486:J486, CHAR(160), "")))) &amp; " Car."</f>
        <v>0 Car.</v>
      </c>
      <c r="C486" s="1376" t="str">
        <f>IF(ISBLANK(D486),"",LARGE(C13:C485,1)+1)</f>
        <v/>
      </c>
      <c r="D486" s="1833"/>
      <c r="E486" s="1810"/>
      <c r="F486" s="1810"/>
      <c r="G486" s="1810"/>
      <c r="H486" s="1810"/>
      <c r="I486" s="1810"/>
      <c r="J486" s="1810"/>
      <c r="K486" s="1810"/>
      <c r="L486" s="1811"/>
      <c r="M486"/>
      <c r="N486" s="103" t="str">
        <f t="shared" si="204"/>
        <v>►</v>
      </c>
      <c r="O486" s="1616"/>
      <c r="P486"/>
      <c r="Q486" s="103" t="s">
        <v>15</v>
      </c>
      <c r="R486" s="31"/>
      <c r="S486" s="32"/>
      <c r="T486" s="31"/>
      <c r="U486" s="33"/>
      <c r="V486" s="1804"/>
      <c r="W486" s="1805"/>
      <c r="X486" s="91"/>
      <c r="Y486" s="1806"/>
      <c r="Z486" s="1807"/>
      <c r="AA486" s="919"/>
      <c r="AB486" s="1813"/>
      <c r="AC486" s="1580"/>
      <c r="AD486" s="95"/>
      <c r="AE486" s="105"/>
      <c r="AF486" s="97"/>
      <c r="AG486" s="2080"/>
      <c r="AH486" s="2081"/>
      <c r="AI486" s="99"/>
      <c r="AJ486" s="1809"/>
      <c r="AK486" s="6120" t="str">
        <f t="shared" si="218"/>
        <v>►</v>
      </c>
      <c r="AL486" s="781" t="str">
        <f t="shared" si="206"/>
        <v>►</v>
      </c>
      <c r="AM486" s="5498" t="str">
        <f t="shared" si="209"/>
        <v/>
      </c>
      <c r="AN486" s="783" t="str">
        <f t="shared" si="210"/>
        <v/>
      </c>
      <c r="AO486" s="782" t="str">
        <f t="shared" si="211"/>
        <v/>
      </c>
      <c r="AP486" s="783" t="str">
        <f t="shared" si="212"/>
        <v/>
      </c>
      <c r="AQ486" s="2083" t="b">
        <f>AND(Q486="A",COUNTIF(BP16:BR63,TRIM(Z486))&gt;0)</f>
        <v>0</v>
      </c>
      <c r="AR486" s="797" t="str">
        <f>IF(AL486&lt;&gt;"A","",IFERROR(IFERROR(_xlfn.XLOOKUP(TRIM(SUBSTITUTE(Z486,CHAR(160)," ")),BP16:BP63,BS16:BS63),IFERROR(_xlfn.XLOOKUP(TRIM(SUBSTITUTE(Z486,CHAR(160)," ")),BQ16:BQ63,BS16:BS63),_xlfn.XLOOKUP(TRIM(SUBSTITUTE(Z486,CHAR(160)," ")),BR16:BR63,BS16:BS63)))*Y486*IF(ISBLANK(V486),1,V486),0))</f>
        <v/>
      </c>
      <c r="AS486" s="784" t="str">
        <f t="shared" si="202"/>
        <v/>
      </c>
      <c r="AT486" s="1315" t="str">
        <f t="shared" si="213"/>
        <v/>
      </c>
      <c r="AU486" s="785">
        <f t="shared" si="214"/>
        <v>0</v>
      </c>
      <c r="AV486" s="785">
        <f t="shared" si="215"/>
        <v>0</v>
      </c>
      <c r="AW486" s="798">
        <f>IF(AK486="A",AY10,0)</f>
        <v>0</v>
      </c>
      <c r="AX486" s="5496" t="str">
        <f>IF(IFERROR(SEARCH("Adresse PC",TRIM(W486)),0)&gt;0,"▼ receta siguiente",IF(AK486="A",IF(AZ10&lt;&gt;"",AZ10&amp;" - ou.or.o ❾ + or - &gt;",""),""))</f>
        <v/>
      </c>
      <c r="AY486" s="810"/>
      <c r="AZ486" s="810"/>
      <c r="BA486" s="799" t="str">
        <f t="shared" si="205"/>
        <v/>
      </c>
      <c r="BB486" s="800" t="str">
        <f>IF(AK486="A",IF(AQ486,IF(AND(AW486&lt;&gt;"",N(AW486)&gt;0),IFERROR(IFERROR(_xlfn.XLOOKUP(AP486,BP10:BP57,BT10:BT57),IFERROR(_xlfn.XLOOKUP(AP486,BQ10:BQ57,BT10:BT57),_xlfn.XLOOKUP(AP486,BR10:BR57,BT10:BT57,""))),""),""),""),"")</f>
        <v/>
      </c>
      <c r="BC486" s="813" cm="1">
        <f t="array" ref="BC486">IF(NOT(AQ486),0,IF(OR(BA486="",N(BA486)&lt;=0.000000001),"",IF(OR(AU486="",N(AU486)&lt;=0.000000001),0,IF(ISNUMBER(BA486),IFERROR(_xlfn.LET(_xlpm.ai_test,TRIM(AP486),_xlpm.r,IFERROR(_xlfn.XLOOKUP(_xlpm.ai_test,BP16:BP63,ROW(BP16:BP63),0,1),IFERROR(_xlfn.XLOOKUP(_xlpm.ai_test,BQ16:BQ63,ROW(BQ16:BQ63),0,1),_xlfn.XLOOKUP(_xlpm.ai_test,BR16:BR63,ROW(BR16:BR63),0,1))),_xlpm.p,_xlpm.r-MIN(ROW(BP16:BP63))+1,_xlpm.f,INDEX(BS16:BS63,_xlpm.p),_xlpm.u,INDEX(BT16:BT63,_xlpm.p),_xlpm.s,INDEX(BV16:BV63,_xlpm.p),_xlpm.q,N(BA486)/_xlpm.f,IF(_xlpm.q&gt;=_xlpm.s,ROUND(_xlpm.q,1)&amp;" "&amp;_xlpm.ai_test&amp;" = "&amp;ROUND(_xlpm.q*_xlpm.f,1)&amp;" "&amp;_xlpm.u,ROUND(_xlpm.q,1)&amp;" "&amp;_xlpm.ai_test)),""),""))))</f>
        <v>0</v>
      </c>
      <c r="BD486" s="801"/>
      <c r="BE486" s="799" t="str">
        <f t="shared" si="216"/>
        <v/>
      </c>
      <c r="BF486" s="800" t="str">
        <f t="shared" si="219"/>
        <v/>
      </c>
      <c r="BG486" s="802">
        <f t="shared" si="220"/>
        <v>0</v>
      </c>
      <c r="BH486" s="803" t="str">
        <f t="shared" si="221"/>
        <v/>
      </c>
      <c r="BI486" s="792"/>
      <c r="BJ486" s="804">
        <f t="shared" si="222"/>
        <v>0</v>
      </c>
      <c r="BK486" s="794" t="str">
        <f t="shared" si="217"/>
        <v/>
      </c>
      <c r="BL486" s="227" t="s">
        <v>21</v>
      </c>
      <c r="BM486" s="773">
        <f t="shared" si="207"/>
        <v>0</v>
      </c>
      <c r="BN486" s="774">
        <f t="shared" si="208"/>
        <v>0</v>
      </c>
      <c r="BO486"/>
      <c r="BX486"/>
      <c r="BY486"/>
      <c r="BZ486"/>
      <c r="CA486"/>
      <c r="CB486"/>
      <c r="CC486"/>
      <c r="CD486" s="781" t="str">
        <f t="shared" si="203"/>
        <v>►</v>
      </c>
      <c r="CE486" s="633"/>
      <c r="CF486" s="633"/>
      <c r="CG486" s="633"/>
      <c r="CH486" s="633"/>
      <c r="CI486" s="633"/>
      <c r="CJ486" s="227"/>
      <c r="CK486"/>
      <c r="CL486"/>
      <c r="CM486"/>
      <c r="CN486"/>
      <c r="CO486"/>
      <c r="CP486"/>
      <c r="CQ486"/>
      <c r="CR486" s="227"/>
      <c r="CS486"/>
      <c r="CT486"/>
      <c r="CU486"/>
      <c r="CV486"/>
      <c r="CW486"/>
      <c r="CX486"/>
      <c r="CY486"/>
      <c r="CZ486" s="227"/>
      <c r="DA486"/>
      <c r="DB486"/>
      <c r="DC486"/>
      <c r="DD486"/>
      <c r="DE486"/>
      <c r="DF486"/>
      <c r="DG486"/>
      <c r="DH486" s="227"/>
      <c r="DI486" s="3">
        <v>1</v>
      </c>
    </row>
    <row r="487" spans="2:113" s="627" customFormat="1" ht="21" customHeight="1">
      <c r="B487" s="2265" t="str" cm="1">
        <f t="array" ref="B487">SUMPRODUCT(--(D487:J487&lt;&gt;""), LEN(TRIM(SUBSTITUTE(D487:J487, CHAR(160), "")))) &amp; " Car."</f>
        <v>0 Car.</v>
      </c>
      <c r="C487" s="1376" t="str">
        <f>IF(ISBLANK(D487),"",LARGE(C13:C486,1)+1)</f>
        <v/>
      </c>
      <c r="D487" s="1833"/>
      <c r="E487" s="1810"/>
      <c r="F487" s="1810"/>
      <c r="G487" s="1810"/>
      <c r="H487" s="1810"/>
      <c r="I487" s="1810"/>
      <c r="J487" s="1810"/>
      <c r="K487" s="1810"/>
      <c r="L487" s="1811"/>
      <c r="M487"/>
      <c r="N487" s="103" t="str">
        <f t="shared" si="204"/>
        <v>►</v>
      </c>
      <c r="O487" s="1616"/>
      <c r="P487"/>
      <c r="Q487" s="103" t="s">
        <v>15</v>
      </c>
      <c r="R487" s="31"/>
      <c r="S487" s="32"/>
      <c r="T487" s="31"/>
      <c r="U487" s="33"/>
      <c r="V487" s="1804"/>
      <c r="W487" s="1805"/>
      <c r="X487" s="91"/>
      <c r="Y487" s="1806"/>
      <c r="Z487" s="1807"/>
      <c r="AA487" s="919"/>
      <c r="AB487" s="1813"/>
      <c r="AC487" s="1580"/>
      <c r="AD487" s="95"/>
      <c r="AE487" s="105"/>
      <c r="AF487" s="97"/>
      <c r="AG487" s="2080"/>
      <c r="AH487" s="2081"/>
      <c r="AI487" s="99"/>
      <c r="AJ487" s="1809"/>
      <c r="AK487" s="6120" t="str">
        <f t="shared" si="218"/>
        <v>►</v>
      </c>
      <c r="AL487" s="781" t="str">
        <f t="shared" si="206"/>
        <v>►</v>
      </c>
      <c r="AM487" s="5499" t="str">
        <f t="shared" si="209"/>
        <v/>
      </c>
      <c r="AN487" s="783" t="str">
        <f t="shared" si="210"/>
        <v/>
      </c>
      <c r="AO487" s="782" t="str">
        <f t="shared" si="211"/>
        <v/>
      </c>
      <c r="AP487" s="783" t="str">
        <f t="shared" si="212"/>
        <v/>
      </c>
      <c r="AQ487" s="2083" t="b">
        <f>AND(Q487="A",COUNTIF(BP16:BR63,TRIM(Z487))&gt;0)</f>
        <v>0</v>
      </c>
      <c r="AR487" s="797" t="str">
        <f>IF(AL487&lt;&gt;"A","",IFERROR(IFERROR(_xlfn.XLOOKUP(TRIM(SUBSTITUTE(Z487,CHAR(160)," ")),BP16:BP63,BS16:BS63),IFERROR(_xlfn.XLOOKUP(TRIM(SUBSTITUTE(Z487,CHAR(160)," ")),BQ16:BQ63,BS16:BS63),_xlfn.XLOOKUP(TRIM(SUBSTITUTE(Z487,CHAR(160)," ")),BR16:BR63,BS16:BS63)))*Y487*IF(ISBLANK(V487),1,V487),0))</f>
        <v/>
      </c>
      <c r="AS487" s="784" t="str">
        <f t="shared" si="202"/>
        <v/>
      </c>
      <c r="AT487" s="1315" t="str">
        <f t="shared" si="213"/>
        <v/>
      </c>
      <c r="AU487" s="785">
        <f t="shared" si="214"/>
        <v>0</v>
      </c>
      <c r="AV487" s="785">
        <f t="shared" si="215"/>
        <v>0</v>
      </c>
      <c r="AW487" s="786">
        <f>IF(AK487="A",AY10,0)</f>
        <v>0</v>
      </c>
      <c r="AX487" s="5495" t="str">
        <f>IF(IFERROR(SEARCH("Adresse PC",TRIM(W487)),0)&gt;0,"▼ receta siguiente",IF(AK487="A",IF(AZ10&lt;&gt;"",AZ10&amp;" - ou.or.o ❾ + or - &gt;",""),""))</f>
        <v/>
      </c>
      <c r="AY487" s="810"/>
      <c r="AZ487" s="810"/>
      <c r="BA487" s="788" t="str">
        <f t="shared" si="205"/>
        <v/>
      </c>
      <c r="BB487" s="789" t="str">
        <f>IF(AK487="A",IF(AQ487,IF(AND(AW487&lt;&gt;"",N(AW487)&gt;0),IFERROR(IFERROR(_xlfn.XLOOKUP(AP487,BP10:BP57,BT10:BT57),IFERROR(_xlfn.XLOOKUP(AP487,BQ10:BQ57,BT10:BT57),_xlfn.XLOOKUP(AP487,BR10:BR57,BT10:BT57,""))),""),""),""),"")</f>
        <v/>
      </c>
      <c r="BC487" s="811" cm="1">
        <f t="array" ref="BC487">IF(NOT(AQ487),0,IF(OR(BA487="",N(BA487)&lt;=0.000000001),"",IF(OR(AU487="",N(AU487)&lt;=0.000000001),0,IF(ISNUMBER(BA487),IFERROR(_xlfn.LET(_xlpm.ai_test,TRIM(AP487),_xlpm.r,IFERROR(_xlfn.XLOOKUP(_xlpm.ai_test,BP16:BP63,ROW(BP16:BP63),0,1),IFERROR(_xlfn.XLOOKUP(_xlpm.ai_test,BQ16:BQ63,ROW(BQ16:BQ63),0,1),_xlfn.XLOOKUP(_xlpm.ai_test,BR16:BR63,ROW(BR16:BR63),0,1))),_xlpm.p,_xlpm.r-MIN(ROW(BP16:BP63))+1,_xlpm.f,INDEX(BS16:BS63,_xlpm.p),_xlpm.u,INDEX(BT16:BT63,_xlpm.p),_xlpm.s,INDEX(BV16:BV63,_xlpm.p),_xlpm.q,N(BA487)/_xlpm.f,IF(_xlpm.q&gt;=_xlpm.s,ROUND(_xlpm.q,1)&amp;" "&amp;_xlpm.ai_test&amp;" = "&amp;ROUND(_xlpm.q*_xlpm.f,1)&amp;" "&amp;_xlpm.u,ROUND(_xlpm.q,1)&amp;" "&amp;_xlpm.ai_test)),""),""))))</f>
        <v>0</v>
      </c>
      <c r="BD487" s="801"/>
      <c r="BE487" s="788" t="str">
        <f t="shared" si="216"/>
        <v/>
      </c>
      <c r="BF487" s="789" t="str">
        <f t="shared" si="219"/>
        <v/>
      </c>
      <c r="BG487" s="790">
        <f t="shared" si="220"/>
        <v>0</v>
      </c>
      <c r="BH487" s="791" t="str">
        <f t="shared" si="221"/>
        <v/>
      </c>
      <c r="BI487" s="792"/>
      <c r="BJ487" s="793">
        <f t="shared" si="222"/>
        <v>0</v>
      </c>
      <c r="BK487" s="794" t="str">
        <f t="shared" si="217"/>
        <v/>
      </c>
      <c r="BL487" s="227" t="s">
        <v>21</v>
      </c>
      <c r="BM487" s="773">
        <f t="shared" si="207"/>
        <v>0</v>
      </c>
      <c r="BN487" s="774">
        <f t="shared" si="208"/>
        <v>0</v>
      </c>
      <c r="BO487"/>
      <c r="BX487"/>
      <c r="BY487"/>
      <c r="BZ487"/>
      <c r="CA487"/>
      <c r="CB487"/>
      <c r="CC487"/>
      <c r="CD487" s="781" t="str">
        <f t="shared" si="203"/>
        <v>►</v>
      </c>
      <c r="CE487" s="633"/>
      <c r="CF487" s="633"/>
      <c r="CG487" s="633"/>
      <c r="CH487" s="633"/>
      <c r="CI487" s="633"/>
      <c r="CJ487" s="227"/>
      <c r="CK487"/>
      <c r="CL487"/>
      <c r="CM487"/>
      <c r="CN487"/>
      <c r="CO487"/>
      <c r="CP487"/>
      <c r="CQ487"/>
      <c r="CR487" s="227"/>
      <c r="CS487"/>
      <c r="CT487"/>
      <c r="CU487"/>
      <c r="CV487"/>
      <c r="CW487"/>
      <c r="CX487"/>
      <c r="CY487"/>
      <c r="CZ487" s="227"/>
      <c r="DA487"/>
      <c r="DB487"/>
      <c r="DC487"/>
      <c r="DD487"/>
      <c r="DE487"/>
      <c r="DF487"/>
      <c r="DG487"/>
      <c r="DH487" s="227"/>
      <c r="DI487" s="3">
        <v>1</v>
      </c>
    </row>
    <row r="488" spans="2:113" s="627" customFormat="1" ht="21" customHeight="1">
      <c r="B488" s="2265" t="str" cm="1">
        <f t="array" ref="B488">SUMPRODUCT(--(D488:J488&lt;&gt;""), LEN(TRIM(SUBSTITUTE(D488:J488, CHAR(160), "")))) &amp; " Car."</f>
        <v>0 Car.</v>
      </c>
      <c r="C488" s="1376" t="str">
        <f>IF(ISBLANK(D488),"",LARGE(C13:C487,1)+1)</f>
        <v/>
      </c>
      <c r="D488" s="1833"/>
      <c r="E488" s="1810"/>
      <c r="F488" s="1810"/>
      <c r="G488" s="1810"/>
      <c r="H488" s="1810"/>
      <c r="I488" s="1810"/>
      <c r="J488" s="1810"/>
      <c r="K488" s="1810"/>
      <c r="L488" s="1811"/>
      <c r="M488"/>
      <c r="N488" s="103" t="str">
        <f t="shared" si="204"/>
        <v>►</v>
      </c>
      <c r="O488" s="1616"/>
      <c r="P488"/>
      <c r="Q488" s="103" t="s">
        <v>15</v>
      </c>
      <c r="R488" s="31"/>
      <c r="S488" s="32"/>
      <c r="T488" s="31"/>
      <c r="U488" s="33"/>
      <c r="V488" s="1804"/>
      <c r="W488" s="1805"/>
      <c r="X488" s="91"/>
      <c r="Y488" s="1806"/>
      <c r="Z488" s="1807"/>
      <c r="AA488" s="919"/>
      <c r="AB488" s="1813"/>
      <c r="AC488" s="1580"/>
      <c r="AD488" s="95"/>
      <c r="AE488" s="105"/>
      <c r="AF488" s="97"/>
      <c r="AG488" s="2080"/>
      <c r="AH488" s="2081"/>
      <c r="AI488" s="99"/>
      <c r="AJ488" s="1809"/>
      <c r="AK488" s="6120" t="str">
        <f t="shared" si="218"/>
        <v>►</v>
      </c>
      <c r="AL488" s="781" t="str">
        <f t="shared" si="206"/>
        <v>►</v>
      </c>
      <c r="AM488" s="5498" t="str">
        <f t="shared" si="209"/>
        <v/>
      </c>
      <c r="AN488" s="783" t="str">
        <f t="shared" si="210"/>
        <v/>
      </c>
      <c r="AO488" s="782" t="str">
        <f t="shared" si="211"/>
        <v/>
      </c>
      <c r="AP488" s="783" t="str">
        <f t="shared" si="212"/>
        <v/>
      </c>
      <c r="AQ488" s="2083" t="b">
        <f>AND(Q488="A",COUNTIF(BP16:BR63,TRIM(Z488))&gt;0)</f>
        <v>0</v>
      </c>
      <c r="AR488" s="797" t="str">
        <f>IF(AL488&lt;&gt;"A","",IFERROR(IFERROR(_xlfn.XLOOKUP(TRIM(SUBSTITUTE(Z488,CHAR(160)," ")),BP16:BP63,BS16:BS63),IFERROR(_xlfn.XLOOKUP(TRIM(SUBSTITUTE(Z488,CHAR(160)," ")),BQ16:BQ63,BS16:BS63),_xlfn.XLOOKUP(TRIM(SUBSTITUTE(Z488,CHAR(160)," ")),BR16:BR63,BS16:BS63)))*Y488*IF(ISBLANK(V488),1,V488),0))</f>
        <v/>
      </c>
      <c r="AS488" s="784" t="str">
        <f t="shared" si="202"/>
        <v/>
      </c>
      <c r="AT488" s="1315" t="str">
        <f t="shared" si="213"/>
        <v/>
      </c>
      <c r="AU488" s="785">
        <f t="shared" si="214"/>
        <v>0</v>
      </c>
      <c r="AV488" s="785">
        <f t="shared" si="215"/>
        <v>0</v>
      </c>
      <c r="AW488" s="798">
        <f>IF(AK488="A",AY10,0)</f>
        <v>0</v>
      </c>
      <c r="AX488" s="5496" t="str">
        <f>IF(IFERROR(SEARCH("Adresse PC",TRIM(W488)),0)&gt;0,"▼ receta siguiente",IF(AK488="A",IF(AZ10&lt;&gt;"",AZ10&amp;" - ou.or.o ❾ + or - &gt;",""),""))</f>
        <v/>
      </c>
      <c r="AY488" s="810"/>
      <c r="AZ488" s="810"/>
      <c r="BA488" s="799" t="str">
        <f t="shared" si="205"/>
        <v/>
      </c>
      <c r="BB488" s="800" t="str">
        <f>IF(AK488="A",IF(AQ488,IF(AND(AW488&lt;&gt;"",N(AW488)&gt;0),IFERROR(IFERROR(_xlfn.XLOOKUP(AP488,BP10:BP57,BT10:BT57),IFERROR(_xlfn.XLOOKUP(AP488,BQ10:BQ57,BT10:BT57),_xlfn.XLOOKUP(AP488,BR10:BR57,BT10:BT57,""))),""),""),""),"")</f>
        <v/>
      </c>
      <c r="BC488" s="813" cm="1">
        <f t="array" ref="BC488">IF(NOT(AQ488),0,IF(OR(BA488="",N(BA488)&lt;=0.000000001),"",IF(OR(AU488="",N(AU488)&lt;=0.000000001),0,IF(ISNUMBER(BA488),IFERROR(_xlfn.LET(_xlpm.ai_test,TRIM(AP488),_xlpm.r,IFERROR(_xlfn.XLOOKUP(_xlpm.ai_test,BP16:BP63,ROW(BP16:BP63),0,1),IFERROR(_xlfn.XLOOKUP(_xlpm.ai_test,BQ16:BQ63,ROW(BQ16:BQ63),0,1),_xlfn.XLOOKUP(_xlpm.ai_test,BR16:BR63,ROW(BR16:BR63),0,1))),_xlpm.p,_xlpm.r-MIN(ROW(BP16:BP63))+1,_xlpm.f,INDEX(BS16:BS63,_xlpm.p),_xlpm.u,INDEX(BT16:BT63,_xlpm.p),_xlpm.s,INDEX(BV16:BV63,_xlpm.p),_xlpm.q,N(BA488)/_xlpm.f,IF(_xlpm.q&gt;=_xlpm.s,ROUND(_xlpm.q,1)&amp;" "&amp;_xlpm.ai_test&amp;" = "&amp;ROUND(_xlpm.q*_xlpm.f,1)&amp;" "&amp;_xlpm.u,ROUND(_xlpm.q,1)&amp;" "&amp;_xlpm.ai_test)),""),""))))</f>
        <v>0</v>
      </c>
      <c r="BD488" s="801"/>
      <c r="BE488" s="799" t="str">
        <f t="shared" si="216"/>
        <v/>
      </c>
      <c r="BF488" s="800" t="str">
        <f t="shared" si="219"/>
        <v/>
      </c>
      <c r="BG488" s="802">
        <f t="shared" si="220"/>
        <v>0</v>
      </c>
      <c r="BH488" s="803" t="str">
        <f t="shared" si="221"/>
        <v/>
      </c>
      <c r="BI488" s="792"/>
      <c r="BJ488" s="804">
        <f t="shared" si="222"/>
        <v>0</v>
      </c>
      <c r="BK488" s="794" t="str">
        <f t="shared" si="217"/>
        <v/>
      </c>
      <c r="BL488" s="227" t="s">
        <v>21</v>
      </c>
      <c r="BM488" s="773">
        <f t="shared" si="207"/>
        <v>0</v>
      </c>
      <c r="BN488" s="774">
        <f t="shared" si="208"/>
        <v>0</v>
      </c>
      <c r="BO488"/>
      <c r="BX488"/>
      <c r="BY488"/>
      <c r="BZ488"/>
      <c r="CA488"/>
      <c r="CB488"/>
      <c r="CC488"/>
      <c r="CD488" s="781" t="str">
        <f t="shared" si="203"/>
        <v>►</v>
      </c>
      <c r="CE488" s="633"/>
      <c r="CF488" s="633"/>
      <c r="CG488" s="633"/>
      <c r="CH488" s="633"/>
      <c r="CI488" s="633"/>
      <c r="CJ488" s="227"/>
      <c r="CK488"/>
      <c r="CL488"/>
      <c r="CM488"/>
      <c r="CN488"/>
      <c r="CO488"/>
      <c r="CP488"/>
      <c r="CQ488"/>
      <c r="CR488" s="227"/>
      <c r="CS488"/>
      <c r="CT488"/>
      <c r="CU488"/>
      <c r="CV488"/>
      <c r="CW488"/>
      <c r="CX488"/>
      <c r="CY488"/>
      <c r="CZ488" s="227"/>
      <c r="DA488"/>
      <c r="DB488"/>
      <c r="DC488"/>
      <c r="DD488"/>
      <c r="DE488"/>
      <c r="DF488"/>
      <c r="DG488"/>
      <c r="DH488" s="227"/>
      <c r="DI488" s="3">
        <v>1</v>
      </c>
    </row>
    <row r="489" spans="2:113" s="627" customFormat="1" ht="21" customHeight="1">
      <c r="B489" s="2265" t="str" cm="1">
        <f t="array" ref="B489">SUMPRODUCT(--(D489:J489&lt;&gt;""), LEN(TRIM(SUBSTITUTE(D489:J489, CHAR(160), "")))) &amp; " Car."</f>
        <v>0 Car.</v>
      </c>
      <c r="C489" s="1376" t="str">
        <f>IF(ISBLANK(D489),"",LARGE(C13:C488,1)+1)</f>
        <v/>
      </c>
      <c r="D489" s="1833"/>
      <c r="E489" s="1810"/>
      <c r="F489" s="1810"/>
      <c r="G489" s="1810"/>
      <c r="H489" s="1810"/>
      <c r="I489" s="1810"/>
      <c r="J489" s="1810"/>
      <c r="K489" s="1810"/>
      <c r="L489" s="1811"/>
      <c r="M489"/>
      <c r="N489" s="103" t="str">
        <f t="shared" si="204"/>
        <v>►</v>
      </c>
      <c r="O489" s="1616"/>
      <c r="P489"/>
      <c r="Q489" s="103" t="s">
        <v>15</v>
      </c>
      <c r="R489" s="31"/>
      <c r="S489" s="32"/>
      <c r="T489" s="31"/>
      <c r="U489" s="33"/>
      <c r="V489" s="1804"/>
      <c r="W489" s="1805"/>
      <c r="X489" s="91"/>
      <c r="Y489" s="1806"/>
      <c r="Z489" s="1807"/>
      <c r="AA489" s="919"/>
      <c r="AB489" s="1813"/>
      <c r="AC489" s="1580"/>
      <c r="AD489" s="95"/>
      <c r="AE489" s="105"/>
      <c r="AF489" s="97"/>
      <c r="AG489" s="2080"/>
      <c r="AH489" s="2081"/>
      <c r="AI489" s="99"/>
      <c r="AJ489" s="1809"/>
      <c r="AK489" s="6120" t="str">
        <f t="shared" si="218"/>
        <v>►</v>
      </c>
      <c r="AL489" s="781" t="str">
        <f t="shared" si="206"/>
        <v>►</v>
      </c>
      <c r="AM489" s="5499" t="str">
        <f t="shared" si="209"/>
        <v/>
      </c>
      <c r="AN489" s="783" t="str">
        <f t="shared" si="210"/>
        <v/>
      </c>
      <c r="AO489" s="782" t="str">
        <f t="shared" si="211"/>
        <v/>
      </c>
      <c r="AP489" s="783" t="str">
        <f t="shared" si="212"/>
        <v/>
      </c>
      <c r="AQ489" s="2083" t="b">
        <f>AND(Q489="A",COUNTIF(BP16:BR63,TRIM(Z489))&gt;0)</f>
        <v>0</v>
      </c>
      <c r="AR489" s="797" t="str">
        <f>IF(AL489&lt;&gt;"A","",IFERROR(IFERROR(_xlfn.XLOOKUP(TRIM(SUBSTITUTE(Z489,CHAR(160)," ")),BP16:BP63,BS16:BS63),IFERROR(_xlfn.XLOOKUP(TRIM(SUBSTITUTE(Z489,CHAR(160)," ")),BQ16:BQ63,BS16:BS63),_xlfn.XLOOKUP(TRIM(SUBSTITUTE(Z489,CHAR(160)," ")),BR16:BR63,BS16:BS63)))*Y489*IF(ISBLANK(V489),1,V489),0))</f>
        <v/>
      </c>
      <c r="AS489" s="784" t="str">
        <f t="shared" si="202"/>
        <v/>
      </c>
      <c r="AT489" s="1315" t="str">
        <f t="shared" si="213"/>
        <v/>
      </c>
      <c r="AU489" s="785">
        <f t="shared" si="214"/>
        <v>0</v>
      </c>
      <c r="AV489" s="785">
        <f t="shared" si="215"/>
        <v>0</v>
      </c>
      <c r="AW489" s="786">
        <f>IF(AK489="A",AY10,0)</f>
        <v>0</v>
      </c>
      <c r="AX489" s="5495" t="str">
        <f>IF(IFERROR(SEARCH("Adresse PC",TRIM(W489)),0)&gt;0,"▼ receta siguiente",IF(AK489="A",IF(AZ10&lt;&gt;"",AZ10&amp;" - ou.or.o ❾ + or - &gt;",""),""))</f>
        <v/>
      </c>
      <c r="AY489" s="810"/>
      <c r="AZ489" s="810"/>
      <c r="BA489" s="788" t="str">
        <f t="shared" si="205"/>
        <v/>
      </c>
      <c r="BB489" s="789" t="str">
        <f>IF(AK489="A",IF(AQ489,IF(AND(AW489&lt;&gt;"",N(AW489)&gt;0),IFERROR(IFERROR(_xlfn.XLOOKUP(AP489,BP10:BP57,BT10:BT57),IFERROR(_xlfn.XLOOKUP(AP489,BQ10:BQ57,BT10:BT57),_xlfn.XLOOKUP(AP489,BR10:BR57,BT10:BT57,""))),""),""),""),"")</f>
        <v/>
      </c>
      <c r="BC489" s="811" cm="1">
        <f t="array" ref="BC489">IF(NOT(AQ489),0,IF(OR(BA489="",N(BA489)&lt;=0.000000001),"",IF(OR(AU489="",N(AU489)&lt;=0.000000001),0,IF(ISNUMBER(BA489),IFERROR(_xlfn.LET(_xlpm.ai_test,TRIM(AP489),_xlpm.r,IFERROR(_xlfn.XLOOKUP(_xlpm.ai_test,BP16:BP63,ROW(BP16:BP63),0,1),IFERROR(_xlfn.XLOOKUP(_xlpm.ai_test,BQ16:BQ63,ROW(BQ16:BQ63),0,1),_xlfn.XLOOKUP(_xlpm.ai_test,BR16:BR63,ROW(BR16:BR63),0,1))),_xlpm.p,_xlpm.r-MIN(ROW(BP16:BP63))+1,_xlpm.f,INDEX(BS16:BS63,_xlpm.p),_xlpm.u,INDEX(BT16:BT63,_xlpm.p),_xlpm.s,INDEX(BV16:BV63,_xlpm.p),_xlpm.q,N(BA489)/_xlpm.f,IF(_xlpm.q&gt;=_xlpm.s,ROUND(_xlpm.q,1)&amp;" "&amp;_xlpm.ai_test&amp;" = "&amp;ROUND(_xlpm.q*_xlpm.f,1)&amp;" "&amp;_xlpm.u,ROUND(_xlpm.q,1)&amp;" "&amp;_xlpm.ai_test)),""),""))))</f>
        <v>0</v>
      </c>
      <c r="BD489" s="801"/>
      <c r="BE489" s="788" t="str">
        <f t="shared" si="216"/>
        <v/>
      </c>
      <c r="BF489" s="789" t="str">
        <f t="shared" si="219"/>
        <v/>
      </c>
      <c r="BG489" s="790">
        <f t="shared" si="220"/>
        <v>0</v>
      </c>
      <c r="BH489" s="791" t="str">
        <f t="shared" si="221"/>
        <v/>
      </c>
      <c r="BI489" s="792"/>
      <c r="BJ489" s="793">
        <f t="shared" si="222"/>
        <v>0</v>
      </c>
      <c r="BK489" s="794" t="str">
        <f t="shared" si="217"/>
        <v/>
      </c>
      <c r="BL489" s="227" t="s">
        <v>21</v>
      </c>
      <c r="BM489" s="773">
        <f t="shared" si="207"/>
        <v>0</v>
      </c>
      <c r="BN489" s="774">
        <f t="shared" si="208"/>
        <v>0</v>
      </c>
      <c r="BO489"/>
      <c r="BX489"/>
      <c r="BY489"/>
      <c r="BZ489"/>
      <c r="CA489"/>
      <c r="CB489"/>
      <c r="CC489"/>
      <c r="CD489" s="781" t="str">
        <f t="shared" si="203"/>
        <v>►</v>
      </c>
      <c r="CE489" s="633"/>
      <c r="CF489" s="633"/>
      <c r="CG489" s="633"/>
      <c r="CH489" s="633"/>
      <c r="CI489" s="633"/>
      <c r="CJ489" s="227"/>
      <c r="CK489"/>
      <c r="CL489"/>
      <c r="CM489"/>
      <c r="CN489"/>
      <c r="CO489"/>
      <c r="CP489"/>
      <c r="CQ489"/>
      <c r="CR489" s="227"/>
      <c r="CS489"/>
      <c r="CT489"/>
      <c r="CU489"/>
      <c r="CV489"/>
      <c r="CW489"/>
      <c r="CX489"/>
      <c r="CY489"/>
      <c r="CZ489" s="227"/>
      <c r="DA489"/>
      <c r="DB489"/>
      <c r="DC489"/>
      <c r="DD489"/>
      <c r="DE489"/>
      <c r="DF489"/>
      <c r="DG489"/>
      <c r="DH489" s="227"/>
      <c r="DI489" s="3">
        <v>1</v>
      </c>
    </row>
    <row r="490" spans="2:113" s="627" customFormat="1" ht="21" customHeight="1">
      <c r="B490" s="2265" t="str" cm="1">
        <f t="array" ref="B490">SUMPRODUCT(--(D490:J490&lt;&gt;""), LEN(TRIM(SUBSTITUTE(D490:J490, CHAR(160), "")))) &amp; " Car."</f>
        <v>0 Car.</v>
      </c>
      <c r="C490" s="1376" t="str">
        <f>IF(ISBLANK(D490),"",LARGE(C13:C489,1)+1)</f>
        <v/>
      </c>
      <c r="D490" s="1833"/>
      <c r="E490" s="1810"/>
      <c r="F490" s="1810"/>
      <c r="G490" s="1810"/>
      <c r="H490" s="1810"/>
      <c r="I490" s="1810"/>
      <c r="J490" s="1810"/>
      <c r="K490" s="1810"/>
      <c r="L490" s="1811"/>
      <c r="M490"/>
      <c r="N490" s="103" t="str">
        <f t="shared" si="204"/>
        <v>►</v>
      </c>
      <c r="O490" s="1616"/>
      <c r="P490"/>
      <c r="Q490" s="103" t="s">
        <v>15</v>
      </c>
      <c r="R490" s="31"/>
      <c r="S490" s="32"/>
      <c r="T490" s="31"/>
      <c r="U490" s="33"/>
      <c r="V490" s="1804"/>
      <c r="W490" s="1805"/>
      <c r="X490" s="91"/>
      <c r="Y490" s="1806"/>
      <c r="Z490" s="1807"/>
      <c r="AA490" s="919"/>
      <c r="AB490" s="1813"/>
      <c r="AC490" s="1580"/>
      <c r="AD490" s="95"/>
      <c r="AE490" s="105"/>
      <c r="AF490" s="97"/>
      <c r="AG490" s="2080"/>
      <c r="AH490" s="2081"/>
      <c r="AI490" s="99"/>
      <c r="AJ490" s="1809"/>
      <c r="AK490" s="6120" t="str">
        <f t="shared" si="218"/>
        <v>►</v>
      </c>
      <c r="AL490" s="781" t="str">
        <f t="shared" si="206"/>
        <v>►</v>
      </c>
      <c r="AM490" s="5498" t="str">
        <f t="shared" si="209"/>
        <v/>
      </c>
      <c r="AN490" s="783" t="str">
        <f t="shared" si="210"/>
        <v/>
      </c>
      <c r="AO490" s="782" t="str">
        <f t="shared" si="211"/>
        <v/>
      </c>
      <c r="AP490" s="783" t="str">
        <f t="shared" si="212"/>
        <v/>
      </c>
      <c r="AQ490" s="2083" t="b">
        <f>AND(Q490="A",COUNTIF(BP16:BR63,TRIM(Z490))&gt;0)</f>
        <v>0</v>
      </c>
      <c r="AR490" s="797" t="str">
        <f>IF(AL490&lt;&gt;"A","",IFERROR(IFERROR(_xlfn.XLOOKUP(TRIM(SUBSTITUTE(Z490,CHAR(160)," ")),BP16:BP63,BS16:BS63),IFERROR(_xlfn.XLOOKUP(TRIM(SUBSTITUTE(Z490,CHAR(160)," ")),BQ16:BQ63,BS16:BS63),_xlfn.XLOOKUP(TRIM(SUBSTITUTE(Z490,CHAR(160)," ")),BR16:BR63,BS16:BS63)))*Y490*IF(ISBLANK(V490),1,V490),0))</f>
        <v/>
      </c>
      <c r="AS490" s="784" t="str">
        <f t="shared" si="202"/>
        <v/>
      </c>
      <c r="AT490" s="1315" t="str">
        <f t="shared" si="213"/>
        <v/>
      </c>
      <c r="AU490" s="785">
        <f t="shared" si="214"/>
        <v>0</v>
      </c>
      <c r="AV490" s="785">
        <f t="shared" si="215"/>
        <v>0</v>
      </c>
      <c r="AW490" s="798">
        <f>IF(AK490="A",AY10,0)</f>
        <v>0</v>
      </c>
      <c r="AX490" s="5496" t="str">
        <f>IF(IFERROR(SEARCH("Adresse PC",TRIM(W490)),0)&gt;0,"▼ receta siguiente",IF(AK490="A",IF(AZ10&lt;&gt;"",AZ10&amp;" - ou.or.o ❾ + or - &gt;",""),""))</f>
        <v/>
      </c>
      <c r="AY490" s="810"/>
      <c r="AZ490" s="810"/>
      <c r="BA490" s="799" t="str">
        <f t="shared" si="205"/>
        <v/>
      </c>
      <c r="BB490" s="800" t="str">
        <f>IF(AK490="A",IF(AQ490,IF(AND(AW490&lt;&gt;"",N(AW490)&gt;0),IFERROR(IFERROR(_xlfn.XLOOKUP(AP490,BP10:BP57,BT10:BT57),IFERROR(_xlfn.XLOOKUP(AP490,BQ10:BQ57,BT10:BT57),_xlfn.XLOOKUP(AP490,BR10:BR57,BT10:BT57,""))),""),""),""),"")</f>
        <v/>
      </c>
      <c r="BC490" s="813" cm="1">
        <f t="array" ref="BC490">IF(NOT(AQ490),0,IF(OR(BA490="",N(BA490)&lt;=0.000000001),"",IF(OR(AU490="",N(AU490)&lt;=0.000000001),0,IF(ISNUMBER(BA490),IFERROR(_xlfn.LET(_xlpm.ai_test,TRIM(AP490),_xlpm.r,IFERROR(_xlfn.XLOOKUP(_xlpm.ai_test,BP16:BP63,ROW(BP16:BP63),0,1),IFERROR(_xlfn.XLOOKUP(_xlpm.ai_test,BQ16:BQ63,ROW(BQ16:BQ63),0,1),_xlfn.XLOOKUP(_xlpm.ai_test,BR16:BR63,ROW(BR16:BR63),0,1))),_xlpm.p,_xlpm.r-MIN(ROW(BP16:BP63))+1,_xlpm.f,INDEX(BS16:BS63,_xlpm.p),_xlpm.u,INDEX(BT16:BT63,_xlpm.p),_xlpm.s,INDEX(BV16:BV63,_xlpm.p),_xlpm.q,N(BA490)/_xlpm.f,IF(_xlpm.q&gt;=_xlpm.s,ROUND(_xlpm.q,1)&amp;" "&amp;_xlpm.ai_test&amp;" = "&amp;ROUND(_xlpm.q*_xlpm.f,1)&amp;" "&amp;_xlpm.u,ROUND(_xlpm.q,1)&amp;" "&amp;_xlpm.ai_test)),""),""))))</f>
        <v>0</v>
      </c>
      <c r="BD490" s="801"/>
      <c r="BE490" s="799" t="str">
        <f t="shared" si="216"/>
        <v/>
      </c>
      <c r="BF490" s="800" t="str">
        <f t="shared" si="219"/>
        <v/>
      </c>
      <c r="BG490" s="802">
        <f t="shared" si="220"/>
        <v>0</v>
      </c>
      <c r="BH490" s="803" t="str">
        <f t="shared" si="221"/>
        <v/>
      </c>
      <c r="BI490" s="792"/>
      <c r="BJ490" s="804">
        <f t="shared" si="222"/>
        <v>0</v>
      </c>
      <c r="BK490" s="794" t="str">
        <f t="shared" si="217"/>
        <v/>
      </c>
      <c r="BL490" s="227" t="s">
        <v>21</v>
      </c>
      <c r="BM490" s="773">
        <f t="shared" si="207"/>
        <v>0</v>
      </c>
      <c r="BN490" s="774">
        <f t="shared" si="208"/>
        <v>0</v>
      </c>
      <c r="BO490"/>
      <c r="BX490"/>
      <c r="BY490"/>
      <c r="BZ490"/>
      <c r="CA490"/>
      <c r="CB490"/>
      <c r="CC490"/>
      <c r="CD490" s="781" t="str">
        <f t="shared" si="203"/>
        <v>►</v>
      </c>
      <c r="CE490" s="633"/>
      <c r="CF490" s="633"/>
      <c r="CG490" s="633"/>
      <c r="CH490" s="633"/>
      <c r="CI490" s="633"/>
      <c r="CJ490" s="227"/>
      <c r="CK490"/>
      <c r="CL490"/>
      <c r="CM490"/>
      <c r="CN490"/>
      <c r="CO490"/>
      <c r="CP490"/>
      <c r="CQ490"/>
      <c r="CR490" s="227"/>
      <c r="CS490"/>
      <c r="CT490"/>
      <c r="CU490"/>
      <c r="CV490"/>
      <c r="CW490"/>
      <c r="CX490"/>
      <c r="CY490"/>
      <c r="CZ490" s="227"/>
      <c r="DA490"/>
      <c r="DB490"/>
      <c r="DC490"/>
      <c r="DD490"/>
      <c r="DE490"/>
      <c r="DF490"/>
      <c r="DG490"/>
      <c r="DH490" s="227"/>
      <c r="DI490" s="3">
        <v>1</v>
      </c>
    </row>
    <row r="491" spans="2:113" s="627" customFormat="1" ht="21" customHeight="1">
      <c r="B491" s="2265" t="str" cm="1">
        <f t="array" ref="B491">SUMPRODUCT(--(D491:J491&lt;&gt;""), LEN(TRIM(SUBSTITUTE(D491:J491, CHAR(160), "")))) &amp; " Car."</f>
        <v>0 Car.</v>
      </c>
      <c r="C491" s="1376" t="str">
        <f>IF(ISBLANK(D491),"",LARGE(C13:C490,1)+1)</f>
        <v/>
      </c>
      <c r="D491" s="1833"/>
      <c r="E491" s="1810"/>
      <c r="F491" s="1810"/>
      <c r="G491" s="1810"/>
      <c r="H491" s="1810"/>
      <c r="I491" s="1810"/>
      <c r="J491" s="1810"/>
      <c r="K491" s="1810"/>
      <c r="L491" s="1811"/>
      <c r="M491"/>
      <c r="N491" s="103" t="str">
        <f t="shared" si="204"/>
        <v>►</v>
      </c>
      <c r="O491" s="1616"/>
      <c r="P491"/>
      <c r="Q491" s="103" t="s">
        <v>15</v>
      </c>
      <c r="R491" s="31"/>
      <c r="S491" s="32"/>
      <c r="T491" s="31"/>
      <c r="U491" s="33"/>
      <c r="V491" s="1804"/>
      <c r="W491" s="1805"/>
      <c r="X491" s="91"/>
      <c r="Y491" s="1806"/>
      <c r="Z491" s="1807"/>
      <c r="AA491" s="919"/>
      <c r="AB491" s="1813"/>
      <c r="AC491" s="1580"/>
      <c r="AD491" s="95"/>
      <c r="AE491" s="105"/>
      <c r="AF491" s="97"/>
      <c r="AG491" s="2080"/>
      <c r="AH491" s="2081"/>
      <c r="AI491" s="99"/>
      <c r="AJ491" s="1809"/>
      <c r="AK491" s="6120" t="str">
        <f t="shared" si="218"/>
        <v>►</v>
      </c>
      <c r="AL491" s="781" t="str">
        <f t="shared" si="206"/>
        <v>►</v>
      </c>
      <c r="AM491" s="5499" t="str">
        <f t="shared" si="209"/>
        <v/>
      </c>
      <c r="AN491" s="783" t="str">
        <f t="shared" si="210"/>
        <v/>
      </c>
      <c r="AO491" s="782" t="str">
        <f t="shared" si="211"/>
        <v/>
      </c>
      <c r="AP491" s="783" t="str">
        <f t="shared" si="212"/>
        <v/>
      </c>
      <c r="AQ491" s="2083" t="b">
        <f>AND(Q491="A",COUNTIF(BP16:BR63,TRIM(Z491))&gt;0)</f>
        <v>0</v>
      </c>
      <c r="AR491" s="797" t="str">
        <f>IF(AL491&lt;&gt;"A","",IFERROR(IFERROR(_xlfn.XLOOKUP(TRIM(SUBSTITUTE(Z491,CHAR(160)," ")),BP16:BP63,BS16:BS63),IFERROR(_xlfn.XLOOKUP(TRIM(SUBSTITUTE(Z491,CHAR(160)," ")),BQ16:BQ63,BS16:BS63),_xlfn.XLOOKUP(TRIM(SUBSTITUTE(Z491,CHAR(160)," ")),BR16:BR63,BS16:BS63)))*Y491*IF(ISBLANK(V491),1,V491),0))</f>
        <v/>
      </c>
      <c r="AS491" s="784" t="str">
        <f t="shared" si="202"/>
        <v/>
      </c>
      <c r="AT491" s="1315" t="str">
        <f t="shared" si="213"/>
        <v/>
      </c>
      <c r="AU491" s="785">
        <f t="shared" si="214"/>
        <v>0</v>
      </c>
      <c r="AV491" s="785">
        <f t="shared" si="215"/>
        <v>0</v>
      </c>
      <c r="AW491" s="786">
        <f>IF(AK491="A",AY10,0)</f>
        <v>0</v>
      </c>
      <c r="AX491" s="5495" t="str">
        <f>IF(IFERROR(SEARCH("Adresse PC",TRIM(W491)),0)&gt;0,"▼ receta siguiente",IF(AK491="A",IF(AZ10&lt;&gt;"",AZ10&amp;" - ou.or.o ❾ + or - &gt;",""),""))</f>
        <v/>
      </c>
      <c r="AY491" s="810"/>
      <c r="AZ491" s="810"/>
      <c r="BA491" s="788" t="str">
        <f t="shared" si="205"/>
        <v/>
      </c>
      <c r="BB491" s="789" t="str">
        <f>IF(AK491="A",IF(AQ491,IF(AND(AW491&lt;&gt;"",N(AW491)&gt;0),IFERROR(IFERROR(_xlfn.XLOOKUP(AP491,BP10:BP57,BT10:BT57),IFERROR(_xlfn.XLOOKUP(AP491,BQ10:BQ57,BT10:BT57),_xlfn.XLOOKUP(AP491,BR10:BR57,BT10:BT57,""))),""),""),""),"")</f>
        <v/>
      </c>
      <c r="BC491" s="811" cm="1">
        <f t="array" ref="BC491">IF(NOT(AQ491),0,IF(OR(BA491="",N(BA491)&lt;=0.000000001),"",IF(OR(AU491="",N(AU491)&lt;=0.000000001),0,IF(ISNUMBER(BA491),IFERROR(_xlfn.LET(_xlpm.ai_test,TRIM(AP491),_xlpm.r,IFERROR(_xlfn.XLOOKUP(_xlpm.ai_test,BP16:BP63,ROW(BP16:BP63),0,1),IFERROR(_xlfn.XLOOKUP(_xlpm.ai_test,BQ16:BQ63,ROW(BQ16:BQ63),0,1),_xlfn.XLOOKUP(_xlpm.ai_test,BR16:BR63,ROW(BR16:BR63),0,1))),_xlpm.p,_xlpm.r-MIN(ROW(BP16:BP63))+1,_xlpm.f,INDEX(BS16:BS63,_xlpm.p),_xlpm.u,INDEX(BT16:BT63,_xlpm.p),_xlpm.s,INDEX(BV16:BV63,_xlpm.p),_xlpm.q,N(BA491)/_xlpm.f,IF(_xlpm.q&gt;=_xlpm.s,ROUND(_xlpm.q,1)&amp;" "&amp;_xlpm.ai_test&amp;" = "&amp;ROUND(_xlpm.q*_xlpm.f,1)&amp;" "&amp;_xlpm.u,ROUND(_xlpm.q,1)&amp;" "&amp;_xlpm.ai_test)),""),""))))</f>
        <v>0</v>
      </c>
      <c r="BD491" s="801"/>
      <c r="BE491" s="788" t="str">
        <f t="shared" si="216"/>
        <v/>
      </c>
      <c r="BF491" s="789" t="str">
        <f t="shared" si="219"/>
        <v/>
      </c>
      <c r="BG491" s="790">
        <f t="shared" si="220"/>
        <v>0</v>
      </c>
      <c r="BH491" s="791" t="str">
        <f t="shared" si="221"/>
        <v/>
      </c>
      <c r="BI491" s="792"/>
      <c r="BJ491" s="793">
        <f t="shared" si="222"/>
        <v>0</v>
      </c>
      <c r="BK491" s="794" t="str">
        <f t="shared" si="217"/>
        <v/>
      </c>
      <c r="BL491" s="227" t="s">
        <v>21</v>
      </c>
      <c r="BM491" s="773">
        <f t="shared" si="207"/>
        <v>0</v>
      </c>
      <c r="BN491" s="774">
        <f t="shared" si="208"/>
        <v>0</v>
      </c>
      <c r="BO491"/>
      <c r="BX491"/>
      <c r="BY491"/>
      <c r="BZ491"/>
      <c r="CA491"/>
      <c r="CB491"/>
      <c r="CC491"/>
      <c r="CD491" s="781" t="str">
        <f t="shared" si="203"/>
        <v>►</v>
      </c>
      <c r="CE491" s="633"/>
      <c r="CF491" s="633"/>
      <c r="CG491" s="633"/>
      <c r="CH491" s="633"/>
      <c r="CI491" s="633"/>
      <c r="CJ491" s="227"/>
      <c r="CK491"/>
      <c r="CL491"/>
      <c r="CM491"/>
      <c r="CN491"/>
      <c r="CO491"/>
      <c r="CP491"/>
      <c r="CQ491"/>
      <c r="CR491" s="227"/>
      <c r="CS491"/>
      <c r="CT491"/>
      <c r="CU491"/>
      <c r="CV491"/>
      <c r="CW491"/>
      <c r="CX491"/>
      <c r="CY491"/>
      <c r="CZ491" s="227"/>
      <c r="DA491"/>
      <c r="DB491"/>
      <c r="DC491"/>
      <c r="DD491"/>
      <c r="DE491"/>
      <c r="DF491"/>
      <c r="DG491"/>
      <c r="DH491" s="227"/>
      <c r="DI491" s="3">
        <v>1</v>
      </c>
    </row>
    <row r="492" spans="2:113" s="627" customFormat="1" ht="21" customHeight="1">
      <c r="B492" s="2265" t="str" cm="1">
        <f t="array" ref="B492">SUMPRODUCT(--(D492:J492&lt;&gt;""), LEN(TRIM(SUBSTITUTE(D492:J492, CHAR(160), "")))) &amp; " Car."</f>
        <v>0 Car.</v>
      </c>
      <c r="C492" s="1376" t="str">
        <f>IF(ISBLANK(D492),"",LARGE(C13:C491,1)+1)</f>
        <v/>
      </c>
      <c r="D492" s="1833"/>
      <c r="E492" s="1810"/>
      <c r="F492" s="1810"/>
      <c r="G492" s="1810"/>
      <c r="H492" s="1810"/>
      <c r="I492" s="1810"/>
      <c r="J492" s="1810"/>
      <c r="K492" s="1810"/>
      <c r="L492" s="1811"/>
      <c r="M492"/>
      <c r="N492" s="103" t="str">
        <f t="shared" si="204"/>
        <v>►</v>
      </c>
      <c r="O492" s="1616"/>
      <c r="P492"/>
      <c r="Q492" s="103" t="s">
        <v>15</v>
      </c>
      <c r="R492" s="31"/>
      <c r="S492" s="32"/>
      <c r="T492" s="31"/>
      <c r="U492" s="33"/>
      <c r="V492" s="1804"/>
      <c r="W492" s="1805"/>
      <c r="X492" s="91"/>
      <c r="Y492" s="1806"/>
      <c r="Z492" s="1807"/>
      <c r="AA492" s="919"/>
      <c r="AB492" s="1813"/>
      <c r="AC492" s="1580"/>
      <c r="AD492" s="95"/>
      <c r="AE492" s="105"/>
      <c r="AF492" s="97"/>
      <c r="AG492" s="2080"/>
      <c r="AH492" s="2081"/>
      <c r="AI492" s="99"/>
      <c r="AJ492" s="1809"/>
      <c r="AK492" s="6120" t="str">
        <f t="shared" si="218"/>
        <v>►</v>
      </c>
      <c r="AL492" s="781" t="str">
        <f t="shared" si="206"/>
        <v>►</v>
      </c>
      <c r="AM492" s="5498" t="str">
        <f t="shared" si="209"/>
        <v/>
      </c>
      <c r="AN492" s="783" t="str">
        <f t="shared" si="210"/>
        <v/>
      </c>
      <c r="AO492" s="782" t="str">
        <f t="shared" si="211"/>
        <v/>
      </c>
      <c r="AP492" s="783" t="str">
        <f t="shared" si="212"/>
        <v/>
      </c>
      <c r="AQ492" s="2083" t="b">
        <f>AND(Q492="A",COUNTIF(BP16:BR63,TRIM(Z492))&gt;0)</f>
        <v>0</v>
      </c>
      <c r="AR492" s="797" t="str">
        <f>IF(AL492&lt;&gt;"A","",IFERROR(IFERROR(_xlfn.XLOOKUP(TRIM(SUBSTITUTE(Z492,CHAR(160)," ")),BP16:BP63,BS16:BS63),IFERROR(_xlfn.XLOOKUP(TRIM(SUBSTITUTE(Z492,CHAR(160)," ")),BQ16:BQ63,BS16:BS63),_xlfn.XLOOKUP(TRIM(SUBSTITUTE(Z492,CHAR(160)," ")),BR16:BR63,BS16:BS63)))*Y492*IF(ISBLANK(V492),1,V492),0))</f>
        <v/>
      </c>
      <c r="AS492" s="784" t="str">
        <f t="shared" si="202"/>
        <v/>
      </c>
      <c r="AT492" s="1315" t="str">
        <f t="shared" si="213"/>
        <v/>
      </c>
      <c r="AU492" s="785">
        <f t="shared" si="214"/>
        <v>0</v>
      </c>
      <c r="AV492" s="785">
        <f t="shared" si="215"/>
        <v>0</v>
      </c>
      <c r="AW492" s="798">
        <f>IF(AK492="A",AY10,0)</f>
        <v>0</v>
      </c>
      <c r="AX492" s="5496" t="str">
        <f>IF(IFERROR(SEARCH("Adresse PC",TRIM(W492)),0)&gt;0,"▼ receta siguiente",IF(AK492="A",IF(AZ10&lt;&gt;"",AZ10&amp;" - ou.or.o ❾ + or - &gt;",""),""))</f>
        <v/>
      </c>
      <c r="AY492" s="810"/>
      <c r="AZ492" s="810"/>
      <c r="BA492" s="799" t="str">
        <f t="shared" si="205"/>
        <v/>
      </c>
      <c r="BB492" s="800" t="str">
        <f>IF(AK492="A",IF(AQ492,IF(AND(AW492&lt;&gt;"",N(AW492)&gt;0),IFERROR(IFERROR(_xlfn.XLOOKUP(AP492,BP10:BP57,BT10:BT57),IFERROR(_xlfn.XLOOKUP(AP492,BQ10:BQ57,BT10:BT57),_xlfn.XLOOKUP(AP492,BR10:BR57,BT10:BT57,""))),""),""),""),"")</f>
        <v/>
      </c>
      <c r="BC492" s="813" cm="1">
        <f t="array" ref="BC492">IF(NOT(AQ492),0,IF(OR(BA492="",N(BA492)&lt;=0.000000001),"",IF(OR(AU492="",N(AU492)&lt;=0.000000001),0,IF(ISNUMBER(BA492),IFERROR(_xlfn.LET(_xlpm.ai_test,TRIM(AP492),_xlpm.r,IFERROR(_xlfn.XLOOKUP(_xlpm.ai_test,BP16:BP63,ROW(BP16:BP63),0,1),IFERROR(_xlfn.XLOOKUP(_xlpm.ai_test,BQ16:BQ63,ROW(BQ16:BQ63),0,1),_xlfn.XLOOKUP(_xlpm.ai_test,BR16:BR63,ROW(BR16:BR63),0,1))),_xlpm.p,_xlpm.r-MIN(ROW(BP16:BP63))+1,_xlpm.f,INDEX(BS16:BS63,_xlpm.p),_xlpm.u,INDEX(BT16:BT63,_xlpm.p),_xlpm.s,INDEX(BV16:BV63,_xlpm.p),_xlpm.q,N(BA492)/_xlpm.f,IF(_xlpm.q&gt;=_xlpm.s,ROUND(_xlpm.q,1)&amp;" "&amp;_xlpm.ai_test&amp;" = "&amp;ROUND(_xlpm.q*_xlpm.f,1)&amp;" "&amp;_xlpm.u,ROUND(_xlpm.q,1)&amp;" "&amp;_xlpm.ai_test)),""),""))))</f>
        <v>0</v>
      </c>
      <c r="BD492" s="801"/>
      <c r="BE492" s="799" t="str">
        <f t="shared" si="216"/>
        <v/>
      </c>
      <c r="BF492" s="800" t="str">
        <f t="shared" si="219"/>
        <v/>
      </c>
      <c r="BG492" s="802">
        <f t="shared" si="220"/>
        <v>0</v>
      </c>
      <c r="BH492" s="803" t="str">
        <f t="shared" si="221"/>
        <v/>
      </c>
      <c r="BI492" s="792"/>
      <c r="BJ492" s="804">
        <f t="shared" si="222"/>
        <v>0</v>
      </c>
      <c r="BK492" s="794" t="str">
        <f t="shared" si="217"/>
        <v/>
      </c>
      <c r="BL492" s="227" t="s">
        <v>21</v>
      </c>
      <c r="BM492" s="773">
        <f t="shared" si="207"/>
        <v>0</v>
      </c>
      <c r="BN492" s="774">
        <f t="shared" si="208"/>
        <v>0</v>
      </c>
      <c r="BO492"/>
      <c r="BX492"/>
      <c r="BY492"/>
      <c r="BZ492"/>
      <c r="CA492"/>
      <c r="CB492"/>
      <c r="CC492"/>
      <c r="CD492" s="781" t="str">
        <f t="shared" si="203"/>
        <v>►</v>
      </c>
      <c r="CE492" s="633"/>
      <c r="CF492" s="633"/>
      <c r="CG492" s="633"/>
      <c r="CH492" s="633"/>
      <c r="CI492" s="633"/>
      <c r="CJ492" s="227"/>
      <c r="CK492"/>
      <c r="CL492"/>
      <c r="CM492"/>
      <c r="CN492"/>
      <c r="CO492"/>
      <c r="CP492"/>
      <c r="CQ492"/>
      <c r="CR492" s="227"/>
      <c r="CS492"/>
      <c r="CT492"/>
      <c r="CU492"/>
      <c r="CV492"/>
      <c r="CW492"/>
      <c r="CX492"/>
      <c r="CY492"/>
      <c r="CZ492" s="227"/>
      <c r="DA492"/>
      <c r="DB492"/>
      <c r="DC492"/>
      <c r="DD492"/>
      <c r="DE492"/>
      <c r="DF492"/>
      <c r="DG492"/>
      <c r="DH492" s="227"/>
      <c r="DI492" s="3">
        <v>1</v>
      </c>
    </row>
    <row r="493" spans="2:113" s="627" customFormat="1" ht="21" customHeight="1">
      <c r="B493" s="2265" t="str" cm="1">
        <f t="array" ref="B493">SUMPRODUCT(--(D493:J493&lt;&gt;""), LEN(TRIM(SUBSTITUTE(D493:J493, CHAR(160), "")))) &amp; " Car."</f>
        <v>0 Car.</v>
      </c>
      <c r="C493" s="1376" t="str">
        <f>IF(ISBLANK(D493),"",LARGE(C13:C492,1)+1)</f>
        <v/>
      </c>
      <c r="D493" s="1833"/>
      <c r="E493" s="1810"/>
      <c r="F493" s="1810"/>
      <c r="G493" s="1810"/>
      <c r="H493" s="1810"/>
      <c r="I493" s="1810"/>
      <c r="J493" s="1810"/>
      <c r="K493" s="1810"/>
      <c r="L493" s="1811"/>
      <c r="M493"/>
      <c r="N493" s="103" t="str">
        <f t="shared" si="204"/>
        <v>►</v>
      </c>
      <c r="O493" s="1616"/>
      <c r="P493"/>
      <c r="Q493" s="103" t="s">
        <v>15</v>
      </c>
      <c r="R493" s="31"/>
      <c r="S493" s="32"/>
      <c r="T493" s="31"/>
      <c r="U493" s="33"/>
      <c r="V493" s="1804"/>
      <c r="W493" s="1805"/>
      <c r="X493" s="91"/>
      <c r="Y493" s="1806"/>
      <c r="Z493" s="1807"/>
      <c r="AA493" s="919"/>
      <c r="AB493" s="1813"/>
      <c r="AC493" s="1580"/>
      <c r="AD493" s="95"/>
      <c r="AE493" s="105"/>
      <c r="AF493" s="97"/>
      <c r="AG493" s="2080"/>
      <c r="AH493" s="2081"/>
      <c r="AI493" s="99"/>
      <c r="AJ493" s="1809"/>
      <c r="AK493" s="6120" t="str">
        <f t="shared" si="218"/>
        <v>►</v>
      </c>
      <c r="AL493" s="781" t="str">
        <f t="shared" si="206"/>
        <v>►</v>
      </c>
      <c r="AM493" s="5499" t="str">
        <f t="shared" si="209"/>
        <v/>
      </c>
      <c r="AN493" s="783" t="str">
        <f t="shared" si="210"/>
        <v/>
      </c>
      <c r="AO493" s="782" t="str">
        <f t="shared" si="211"/>
        <v/>
      </c>
      <c r="AP493" s="783" t="str">
        <f t="shared" si="212"/>
        <v/>
      </c>
      <c r="AQ493" s="2083" t="b">
        <f>AND(Q493="A",COUNTIF(BP16:BR63,TRIM(Z493))&gt;0)</f>
        <v>0</v>
      </c>
      <c r="AR493" s="797" t="str">
        <f>IF(AL493&lt;&gt;"A","",IFERROR(IFERROR(_xlfn.XLOOKUP(TRIM(SUBSTITUTE(Z493,CHAR(160)," ")),BP16:BP63,BS16:BS63),IFERROR(_xlfn.XLOOKUP(TRIM(SUBSTITUTE(Z493,CHAR(160)," ")),BQ16:BQ63,BS16:BS63),_xlfn.XLOOKUP(TRIM(SUBSTITUTE(Z493,CHAR(160)," ")),BR16:BR63,BS16:BS63)))*Y493*IF(ISBLANK(V493),1,V493),0))</f>
        <v/>
      </c>
      <c r="AS493" s="784" t="str">
        <f t="shared" si="202"/>
        <v/>
      </c>
      <c r="AT493" s="1315" t="str">
        <f t="shared" si="213"/>
        <v/>
      </c>
      <c r="AU493" s="785">
        <f t="shared" si="214"/>
        <v>0</v>
      </c>
      <c r="AV493" s="785">
        <f t="shared" si="215"/>
        <v>0</v>
      </c>
      <c r="AW493" s="786">
        <f>IF(AK493="A",AY10,0)</f>
        <v>0</v>
      </c>
      <c r="AX493" s="5495" t="str">
        <f>IF(IFERROR(SEARCH("Adresse PC",TRIM(W493)),0)&gt;0,"▼ receta siguiente",IF(AK493="A",IF(AZ10&lt;&gt;"",AZ10&amp;" - ou.or.o ❾ + or - &gt;",""),""))</f>
        <v/>
      </c>
      <c r="AY493" s="810"/>
      <c r="AZ493" s="810"/>
      <c r="BA493" s="788" t="str">
        <f t="shared" si="205"/>
        <v/>
      </c>
      <c r="BB493" s="789" t="str">
        <f>IF(AK493="A",IF(AQ493,IF(AND(AW493&lt;&gt;"",N(AW493)&gt;0),IFERROR(IFERROR(_xlfn.XLOOKUP(AP493,BP10:BP57,BT10:BT57),IFERROR(_xlfn.XLOOKUP(AP493,BQ10:BQ57,BT10:BT57),_xlfn.XLOOKUP(AP493,BR10:BR57,BT10:BT57,""))),""),""),""),"")</f>
        <v/>
      </c>
      <c r="BC493" s="811" cm="1">
        <f t="array" ref="BC493">IF(NOT(AQ493),0,IF(OR(BA493="",N(BA493)&lt;=0.000000001),"",IF(OR(AU493="",N(AU493)&lt;=0.000000001),0,IF(ISNUMBER(BA493),IFERROR(_xlfn.LET(_xlpm.ai_test,TRIM(AP493),_xlpm.r,IFERROR(_xlfn.XLOOKUP(_xlpm.ai_test,BP16:BP63,ROW(BP16:BP63),0,1),IFERROR(_xlfn.XLOOKUP(_xlpm.ai_test,BQ16:BQ63,ROW(BQ16:BQ63),0,1),_xlfn.XLOOKUP(_xlpm.ai_test,BR16:BR63,ROW(BR16:BR63),0,1))),_xlpm.p,_xlpm.r-MIN(ROW(BP16:BP63))+1,_xlpm.f,INDEX(BS16:BS63,_xlpm.p),_xlpm.u,INDEX(BT16:BT63,_xlpm.p),_xlpm.s,INDEX(BV16:BV63,_xlpm.p),_xlpm.q,N(BA493)/_xlpm.f,IF(_xlpm.q&gt;=_xlpm.s,ROUND(_xlpm.q,1)&amp;" "&amp;_xlpm.ai_test&amp;" = "&amp;ROUND(_xlpm.q*_xlpm.f,1)&amp;" "&amp;_xlpm.u,ROUND(_xlpm.q,1)&amp;" "&amp;_xlpm.ai_test)),""),""))))</f>
        <v>0</v>
      </c>
      <c r="BD493" s="801"/>
      <c r="BE493" s="788" t="str">
        <f t="shared" si="216"/>
        <v/>
      </c>
      <c r="BF493" s="789" t="str">
        <f t="shared" si="219"/>
        <v/>
      </c>
      <c r="BG493" s="790">
        <f t="shared" si="220"/>
        <v>0</v>
      </c>
      <c r="BH493" s="791" t="str">
        <f t="shared" si="221"/>
        <v/>
      </c>
      <c r="BI493" s="792"/>
      <c r="BJ493" s="793">
        <f t="shared" si="222"/>
        <v>0</v>
      </c>
      <c r="BK493" s="794" t="str">
        <f t="shared" si="217"/>
        <v/>
      </c>
      <c r="BL493" s="227" t="s">
        <v>21</v>
      </c>
      <c r="BM493" s="773">
        <f t="shared" si="207"/>
        <v>0</v>
      </c>
      <c r="BN493" s="774">
        <f t="shared" si="208"/>
        <v>0</v>
      </c>
      <c r="BO493"/>
      <c r="BX493"/>
      <c r="BY493"/>
      <c r="BZ493"/>
      <c r="CA493"/>
      <c r="CB493"/>
      <c r="CC493"/>
      <c r="CD493" s="781" t="str">
        <f t="shared" si="203"/>
        <v>►</v>
      </c>
      <c r="CE493" s="633"/>
      <c r="CF493" s="633"/>
      <c r="CG493" s="633"/>
      <c r="CH493" s="633"/>
      <c r="CI493" s="633"/>
      <c r="CJ493" s="227"/>
      <c r="CK493"/>
      <c r="CL493"/>
      <c r="CM493"/>
      <c r="CN493"/>
      <c r="CO493"/>
      <c r="CP493"/>
      <c r="CQ493"/>
      <c r="CR493" s="227"/>
      <c r="CS493"/>
      <c r="CT493"/>
      <c r="CU493"/>
      <c r="CV493"/>
      <c r="CW493"/>
      <c r="CX493"/>
      <c r="CY493"/>
      <c r="CZ493" s="227"/>
      <c r="DA493"/>
      <c r="DB493"/>
      <c r="DC493"/>
      <c r="DD493"/>
      <c r="DE493"/>
      <c r="DF493"/>
      <c r="DG493"/>
      <c r="DH493" s="227"/>
      <c r="DI493" s="3">
        <v>1</v>
      </c>
    </row>
    <row r="494" spans="2:113" s="627" customFormat="1" ht="21" customHeight="1">
      <c r="B494" s="2265" t="str" cm="1">
        <f t="array" ref="B494">SUMPRODUCT(--(D494:J494&lt;&gt;""), LEN(TRIM(SUBSTITUTE(D494:J494, CHAR(160), "")))) &amp; " Car."</f>
        <v>0 Car.</v>
      </c>
      <c r="C494" s="1376" t="str">
        <f>IF(ISBLANK(D494),"",LARGE(C13:C493,1)+1)</f>
        <v/>
      </c>
      <c r="D494" s="1833"/>
      <c r="E494" s="1810"/>
      <c r="F494" s="1810"/>
      <c r="G494" s="1810"/>
      <c r="H494" s="1810"/>
      <c r="I494" s="1810"/>
      <c r="J494" s="1810"/>
      <c r="K494" s="1810"/>
      <c r="L494" s="1811"/>
      <c r="M494"/>
      <c r="N494" s="103" t="str">
        <f t="shared" si="204"/>
        <v>►</v>
      </c>
      <c r="O494" s="1616"/>
      <c r="P494"/>
      <c r="Q494" s="103" t="s">
        <v>15</v>
      </c>
      <c r="R494" s="31"/>
      <c r="S494" s="32"/>
      <c r="T494" s="31"/>
      <c r="U494" s="33"/>
      <c r="V494" s="1804"/>
      <c r="W494" s="1805"/>
      <c r="X494" s="91"/>
      <c r="Y494" s="1806"/>
      <c r="Z494" s="1807"/>
      <c r="AA494" s="919"/>
      <c r="AB494" s="1813"/>
      <c r="AC494" s="1580"/>
      <c r="AD494" s="95"/>
      <c r="AE494" s="105"/>
      <c r="AF494" s="97"/>
      <c r="AG494" s="2080"/>
      <c r="AH494" s="2081"/>
      <c r="AI494" s="99"/>
      <c r="AJ494" s="1809"/>
      <c r="AK494" s="6120" t="str">
        <f t="shared" si="218"/>
        <v>►</v>
      </c>
      <c r="AL494" s="781" t="str">
        <f t="shared" si="206"/>
        <v>►</v>
      </c>
      <c r="AM494" s="5498" t="str">
        <f t="shared" si="209"/>
        <v/>
      </c>
      <c r="AN494" s="783" t="str">
        <f t="shared" si="210"/>
        <v/>
      </c>
      <c r="AO494" s="782" t="str">
        <f t="shared" si="211"/>
        <v/>
      </c>
      <c r="AP494" s="783" t="str">
        <f t="shared" si="212"/>
        <v/>
      </c>
      <c r="AQ494" s="2083" t="b">
        <f>AND(Q494="A",COUNTIF(BP16:BR63,TRIM(Z494))&gt;0)</f>
        <v>0</v>
      </c>
      <c r="AR494" s="797" t="str">
        <f>IF(AL494&lt;&gt;"A","",IFERROR(IFERROR(_xlfn.XLOOKUP(TRIM(SUBSTITUTE(Z494,CHAR(160)," ")),BP16:BP63,BS16:BS63),IFERROR(_xlfn.XLOOKUP(TRIM(SUBSTITUTE(Z494,CHAR(160)," ")),BQ16:BQ63,BS16:BS63),_xlfn.XLOOKUP(TRIM(SUBSTITUTE(Z494,CHAR(160)," ")),BR16:BR63,BS16:BS63)))*Y494*IF(ISBLANK(V494),1,V494),0))</f>
        <v/>
      </c>
      <c r="AS494" s="784" t="str">
        <f t="shared" si="202"/>
        <v/>
      </c>
      <c r="AT494" s="1315" t="str">
        <f t="shared" si="213"/>
        <v/>
      </c>
      <c r="AU494" s="785">
        <f t="shared" si="214"/>
        <v>0</v>
      </c>
      <c r="AV494" s="785">
        <f t="shared" si="215"/>
        <v>0</v>
      </c>
      <c r="AW494" s="798">
        <f>IF(AK494="A",AY10,0)</f>
        <v>0</v>
      </c>
      <c r="AX494" s="5496" t="str">
        <f>IF(IFERROR(SEARCH("Adresse PC",TRIM(W494)),0)&gt;0,"▼ receta siguiente",IF(AK494="A",IF(AZ10&lt;&gt;"",AZ10&amp;" - ou.or.o ❾ + or - &gt;",""),""))</f>
        <v/>
      </c>
      <c r="AY494" s="810"/>
      <c r="AZ494" s="810"/>
      <c r="BA494" s="799" t="str">
        <f t="shared" si="205"/>
        <v/>
      </c>
      <c r="BB494" s="800" t="str">
        <f>IF(AK494="A",IF(AQ494,IF(AND(AW494&lt;&gt;"",N(AW494)&gt;0),IFERROR(IFERROR(_xlfn.XLOOKUP(AP494,BP10:BP57,BT10:BT57),IFERROR(_xlfn.XLOOKUP(AP494,BQ10:BQ57,BT10:BT57),_xlfn.XLOOKUP(AP494,BR10:BR57,BT10:BT57,""))),""),""),""),"")</f>
        <v/>
      </c>
      <c r="BC494" s="813" cm="1">
        <f t="array" ref="BC494">IF(NOT(AQ494),0,IF(OR(BA494="",N(BA494)&lt;=0.000000001),"",IF(OR(AU494="",N(AU494)&lt;=0.000000001),0,IF(ISNUMBER(BA494),IFERROR(_xlfn.LET(_xlpm.ai_test,TRIM(AP494),_xlpm.r,IFERROR(_xlfn.XLOOKUP(_xlpm.ai_test,BP16:BP63,ROW(BP16:BP63),0,1),IFERROR(_xlfn.XLOOKUP(_xlpm.ai_test,BQ16:BQ63,ROW(BQ16:BQ63),0,1),_xlfn.XLOOKUP(_xlpm.ai_test,BR16:BR63,ROW(BR16:BR63),0,1))),_xlpm.p,_xlpm.r-MIN(ROW(BP16:BP63))+1,_xlpm.f,INDEX(BS16:BS63,_xlpm.p),_xlpm.u,INDEX(BT16:BT63,_xlpm.p),_xlpm.s,INDEX(BV16:BV63,_xlpm.p),_xlpm.q,N(BA494)/_xlpm.f,IF(_xlpm.q&gt;=_xlpm.s,ROUND(_xlpm.q,1)&amp;" "&amp;_xlpm.ai_test&amp;" = "&amp;ROUND(_xlpm.q*_xlpm.f,1)&amp;" "&amp;_xlpm.u,ROUND(_xlpm.q,1)&amp;" "&amp;_xlpm.ai_test)),""),""))))</f>
        <v>0</v>
      </c>
      <c r="BD494" s="801"/>
      <c r="BE494" s="799" t="str">
        <f t="shared" si="216"/>
        <v/>
      </c>
      <c r="BF494" s="800" t="str">
        <f t="shared" si="219"/>
        <v/>
      </c>
      <c r="BG494" s="802">
        <f t="shared" si="220"/>
        <v>0</v>
      </c>
      <c r="BH494" s="803" t="str">
        <f t="shared" si="221"/>
        <v/>
      </c>
      <c r="BI494" s="792"/>
      <c r="BJ494" s="804">
        <f t="shared" si="222"/>
        <v>0</v>
      </c>
      <c r="BK494" s="794" t="str">
        <f t="shared" si="217"/>
        <v/>
      </c>
      <c r="BL494" s="227" t="s">
        <v>21</v>
      </c>
      <c r="BM494" s="773">
        <f t="shared" si="207"/>
        <v>0</v>
      </c>
      <c r="BN494" s="774">
        <f t="shared" si="208"/>
        <v>0</v>
      </c>
      <c r="BO494"/>
      <c r="BX494"/>
      <c r="BY494"/>
      <c r="BZ494"/>
      <c r="CA494"/>
      <c r="CB494"/>
      <c r="CC494"/>
      <c r="CD494" s="781" t="str">
        <f t="shared" si="203"/>
        <v>►</v>
      </c>
      <c r="CE494" s="633"/>
      <c r="CF494" s="633"/>
      <c r="CG494" s="633"/>
      <c r="CH494" s="633"/>
      <c r="CI494" s="633"/>
      <c r="CJ494" s="227"/>
      <c r="CK494"/>
      <c r="CL494"/>
      <c r="CM494"/>
      <c r="CN494"/>
      <c r="CO494"/>
      <c r="CP494"/>
      <c r="CQ494"/>
      <c r="CR494" s="227"/>
      <c r="CS494"/>
      <c r="CT494"/>
      <c r="CU494"/>
      <c r="CV494"/>
      <c r="CW494"/>
      <c r="CX494"/>
      <c r="CY494"/>
      <c r="CZ494" s="227"/>
      <c r="DA494"/>
      <c r="DB494"/>
      <c r="DC494"/>
      <c r="DD494"/>
      <c r="DE494"/>
      <c r="DF494"/>
      <c r="DG494"/>
      <c r="DH494" s="227"/>
      <c r="DI494" s="3">
        <v>1</v>
      </c>
    </row>
    <row r="495" spans="2:113" s="627" customFormat="1" ht="21" customHeight="1">
      <c r="B495" s="2265" t="str" cm="1">
        <f t="array" ref="B495">SUMPRODUCT(--(D495:J495&lt;&gt;""), LEN(TRIM(SUBSTITUTE(D495:J495, CHAR(160), "")))) &amp; " Car."</f>
        <v>0 Car.</v>
      </c>
      <c r="C495" s="1376" t="str">
        <f>IF(ISBLANK(D495),"",LARGE(C13:C494,1)+1)</f>
        <v/>
      </c>
      <c r="D495" s="1833"/>
      <c r="E495" s="1810"/>
      <c r="F495" s="1810"/>
      <c r="G495" s="1810"/>
      <c r="H495" s="1810"/>
      <c r="I495" s="1810"/>
      <c r="J495" s="1810"/>
      <c r="K495" s="1810"/>
      <c r="L495" s="1811"/>
      <c r="M495"/>
      <c r="N495" s="103" t="str">
        <f t="shared" si="204"/>
        <v>►</v>
      </c>
      <c r="O495" s="1616"/>
      <c r="P495"/>
      <c r="Q495" s="103" t="s">
        <v>15</v>
      </c>
      <c r="R495" s="31"/>
      <c r="S495" s="32"/>
      <c r="T495" s="31"/>
      <c r="U495" s="33"/>
      <c r="V495" s="1804"/>
      <c r="W495" s="1805"/>
      <c r="X495" s="91"/>
      <c r="Y495" s="1806"/>
      <c r="Z495" s="1807"/>
      <c r="AA495" s="919"/>
      <c r="AB495" s="1813"/>
      <c r="AC495" s="1580"/>
      <c r="AD495" s="95"/>
      <c r="AE495" s="105"/>
      <c r="AF495" s="97"/>
      <c r="AG495" s="2080"/>
      <c r="AH495" s="2081"/>
      <c r="AI495" s="99"/>
      <c r="AJ495" s="1809"/>
      <c r="AK495" s="6120" t="str">
        <f t="shared" si="218"/>
        <v>►</v>
      </c>
      <c r="AL495" s="781" t="str">
        <f t="shared" si="206"/>
        <v>►</v>
      </c>
      <c r="AM495" s="5499" t="str">
        <f t="shared" si="209"/>
        <v/>
      </c>
      <c r="AN495" s="783" t="str">
        <f t="shared" si="210"/>
        <v/>
      </c>
      <c r="AO495" s="782" t="str">
        <f t="shared" si="211"/>
        <v/>
      </c>
      <c r="AP495" s="783" t="str">
        <f t="shared" si="212"/>
        <v/>
      </c>
      <c r="AQ495" s="2083" t="b">
        <f>AND(Q495="A",COUNTIF(BP16:BR63,TRIM(Z495))&gt;0)</f>
        <v>0</v>
      </c>
      <c r="AR495" s="797" t="str">
        <f>IF(AL495&lt;&gt;"A","",IFERROR(IFERROR(_xlfn.XLOOKUP(TRIM(SUBSTITUTE(Z495,CHAR(160)," ")),BP16:BP63,BS16:BS63),IFERROR(_xlfn.XLOOKUP(TRIM(SUBSTITUTE(Z495,CHAR(160)," ")),BQ16:BQ63,BS16:BS63),_xlfn.XLOOKUP(TRIM(SUBSTITUTE(Z495,CHAR(160)," ")),BR16:BR63,BS16:BS63)))*Y495*IF(ISBLANK(V495),1,V495),0))</f>
        <v/>
      </c>
      <c r="AS495" s="784" t="str">
        <f t="shared" si="202"/>
        <v/>
      </c>
      <c r="AT495" s="1315" t="str">
        <f t="shared" si="213"/>
        <v/>
      </c>
      <c r="AU495" s="785">
        <f t="shared" si="214"/>
        <v>0</v>
      </c>
      <c r="AV495" s="785">
        <f t="shared" si="215"/>
        <v>0</v>
      </c>
      <c r="AW495" s="786">
        <f>IF(AK495="A",AY10,0)</f>
        <v>0</v>
      </c>
      <c r="AX495" s="5495" t="str">
        <f>IF(IFERROR(SEARCH("Adresse PC",TRIM(W495)),0)&gt;0,"▼ receta siguiente",IF(AK495="A",IF(AZ10&lt;&gt;"",AZ10&amp;" - ou.or.o ❾ + or - &gt;",""),""))</f>
        <v/>
      </c>
      <c r="AY495" s="810"/>
      <c r="AZ495" s="810"/>
      <c r="BA495" s="788" t="str">
        <f t="shared" si="205"/>
        <v/>
      </c>
      <c r="BB495" s="789" t="str">
        <f>IF(AK495="A",IF(AQ495,IF(AND(AW495&lt;&gt;"",N(AW495)&gt;0),IFERROR(IFERROR(_xlfn.XLOOKUP(AP495,BP10:BP57,BT10:BT57),IFERROR(_xlfn.XLOOKUP(AP495,BQ10:BQ57,BT10:BT57),_xlfn.XLOOKUP(AP495,BR10:BR57,BT10:BT57,""))),""),""),""),"")</f>
        <v/>
      </c>
      <c r="BC495" s="811" cm="1">
        <f t="array" ref="BC495">IF(NOT(AQ495),0,IF(OR(BA495="",N(BA495)&lt;=0.000000001),"",IF(OR(AU495="",N(AU495)&lt;=0.000000001),0,IF(ISNUMBER(BA495),IFERROR(_xlfn.LET(_xlpm.ai_test,TRIM(AP495),_xlpm.r,IFERROR(_xlfn.XLOOKUP(_xlpm.ai_test,BP16:BP63,ROW(BP16:BP63),0,1),IFERROR(_xlfn.XLOOKUP(_xlpm.ai_test,BQ16:BQ63,ROW(BQ16:BQ63),0,1),_xlfn.XLOOKUP(_xlpm.ai_test,BR16:BR63,ROW(BR16:BR63),0,1))),_xlpm.p,_xlpm.r-MIN(ROW(BP16:BP63))+1,_xlpm.f,INDEX(BS16:BS63,_xlpm.p),_xlpm.u,INDEX(BT16:BT63,_xlpm.p),_xlpm.s,INDEX(BV16:BV63,_xlpm.p),_xlpm.q,N(BA495)/_xlpm.f,IF(_xlpm.q&gt;=_xlpm.s,ROUND(_xlpm.q,1)&amp;" "&amp;_xlpm.ai_test&amp;" = "&amp;ROUND(_xlpm.q*_xlpm.f,1)&amp;" "&amp;_xlpm.u,ROUND(_xlpm.q,1)&amp;" "&amp;_xlpm.ai_test)),""),""))))</f>
        <v>0</v>
      </c>
      <c r="BD495" s="801"/>
      <c r="BE495" s="788" t="str">
        <f t="shared" si="216"/>
        <v/>
      </c>
      <c r="BF495" s="789" t="str">
        <f t="shared" si="219"/>
        <v/>
      </c>
      <c r="BG495" s="790">
        <f t="shared" si="220"/>
        <v>0</v>
      </c>
      <c r="BH495" s="791" t="str">
        <f t="shared" si="221"/>
        <v/>
      </c>
      <c r="BI495" s="792"/>
      <c r="BJ495" s="793">
        <f t="shared" si="222"/>
        <v>0</v>
      </c>
      <c r="BK495" s="794" t="str">
        <f t="shared" si="217"/>
        <v/>
      </c>
      <c r="BL495" s="227" t="s">
        <v>21</v>
      </c>
      <c r="BM495" s="773">
        <f t="shared" si="207"/>
        <v>0</v>
      </c>
      <c r="BN495" s="774">
        <f t="shared" si="208"/>
        <v>0</v>
      </c>
      <c r="BO495"/>
      <c r="BX495"/>
      <c r="BY495"/>
      <c r="BZ495"/>
      <c r="CA495"/>
      <c r="CB495"/>
      <c r="CC495"/>
      <c r="CD495" s="781" t="str">
        <f t="shared" si="203"/>
        <v>►</v>
      </c>
      <c r="CE495" s="633"/>
      <c r="CF495" s="633"/>
      <c r="CG495" s="633"/>
      <c r="CH495" s="633"/>
      <c r="CI495" s="633"/>
      <c r="CJ495" s="227"/>
      <c r="CK495"/>
      <c r="CL495"/>
      <c r="CM495"/>
      <c r="CN495"/>
      <c r="CO495"/>
      <c r="CP495"/>
      <c r="CQ495"/>
      <c r="CR495" s="227"/>
      <c r="CS495"/>
      <c r="CT495"/>
      <c r="CU495"/>
      <c r="CV495"/>
      <c r="CW495"/>
      <c r="CX495"/>
      <c r="CY495"/>
      <c r="CZ495" s="227"/>
      <c r="DA495"/>
      <c r="DB495"/>
      <c r="DC495"/>
      <c r="DD495"/>
      <c r="DE495"/>
      <c r="DF495"/>
      <c r="DG495"/>
      <c r="DH495" s="227"/>
      <c r="DI495" s="3">
        <v>1</v>
      </c>
    </row>
    <row r="496" spans="2:113" s="627" customFormat="1" ht="21" customHeight="1">
      <c r="B496" s="2265" t="str" cm="1">
        <f t="array" ref="B496">SUMPRODUCT(--(D496:J496&lt;&gt;""), LEN(TRIM(SUBSTITUTE(D496:J496, CHAR(160), "")))) &amp; " Car."</f>
        <v>0 Car.</v>
      </c>
      <c r="C496" s="1376" t="str">
        <f>IF(ISBLANK(D496),"",LARGE(C13:C495,1)+1)</f>
        <v/>
      </c>
      <c r="D496" s="1833"/>
      <c r="E496" s="1810"/>
      <c r="F496" s="1810"/>
      <c r="G496" s="1810"/>
      <c r="H496" s="1810"/>
      <c r="I496" s="1810"/>
      <c r="J496" s="1810"/>
      <c r="K496" s="1810"/>
      <c r="L496" s="1811"/>
      <c r="M496"/>
      <c r="N496" s="103" t="str">
        <f t="shared" si="204"/>
        <v>►</v>
      </c>
      <c r="O496" s="1616"/>
      <c r="P496"/>
      <c r="Q496" s="103" t="s">
        <v>15</v>
      </c>
      <c r="R496" s="31"/>
      <c r="S496" s="32"/>
      <c r="T496" s="31"/>
      <c r="U496" s="33"/>
      <c r="V496" s="1804"/>
      <c r="W496" s="1805"/>
      <c r="X496" s="91"/>
      <c r="Y496" s="1806"/>
      <c r="Z496" s="1807"/>
      <c r="AA496" s="919"/>
      <c r="AB496" s="1813"/>
      <c r="AC496" s="1580"/>
      <c r="AD496" s="95"/>
      <c r="AE496" s="105"/>
      <c r="AF496" s="97"/>
      <c r="AG496" s="2080"/>
      <c r="AH496" s="2081"/>
      <c r="AI496" s="99"/>
      <c r="AJ496" s="1809"/>
      <c r="AK496" s="6120" t="str">
        <f t="shared" si="218"/>
        <v>►</v>
      </c>
      <c r="AL496" s="781" t="str">
        <f t="shared" si="206"/>
        <v>►</v>
      </c>
      <c r="AM496" s="5498" t="str">
        <f t="shared" si="209"/>
        <v/>
      </c>
      <c r="AN496" s="783" t="str">
        <f t="shared" si="210"/>
        <v/>
      </c>
      <c r="AO496" s="782" t="str">
        <f t="shared" si="211"/>
        <v/>
      </c>
      <c r="AP496" s="783" t="str">
        <f t="shared" si="212"/>
        <v/>
      </c>
      <c r="AQ496" s="2083" t="b">
        <f>AND(Q496="A",COUNTIF(BP16:BR63,TRIM(Z496))&gt;0)</f>
        <v>0</v>
      </c>
      <c r="AR496" s="797" t="str">
        <f>IF(AL496&lt;&gt;"A","",IFERROR(IFERROR(_xlfn.XLOOKUP(TRIM(SUBSTITUTE(Z496,CHAR(160)," ")),BP16:BP63,BS16:BS63),IFERROR(_xlfn.XLOOKUP(TRIM(SUBSTITUTE(Z496,CHAR(160)," ")),BQ16:BQ63,BS16:BS63),_xlfn.XLOOKUP(TRIM(SUBSTITUTE(Z496,CHAR(160)," ")),BR16:BR63,BS16:BS63)))*Y496*IF(ISBLANK(V496),1,V496),0))</f>
        <v/>
      </c>
      <c r="AS496" s="784" t="str">
        <f t="shared" si="202"/>
        <v/>
      </c>
      <c r="AT496" s="1315" t="str">
        <f t="shared" si="213"/>
        <v/>
      </c>
      <c r="AU496" s="785">
        <f t="shared" si="214"/>
        <v>0</v>
      </c>
      <c r="AV496" s="785">
        <f t="shared" si="215"/>
        <v>0</v>
      </c>
      <c r="AW496" s="798">
        <f>IF(AK496="A",AY10,0)</f>
        <v>0</v>
      </c>
      <c r="AX496" s="5496" t="str">
        <f>IF(IFERROR(SEARCH("Adresse PC",TRIM(W496)),0)&gt;0,"▼ receta siguiente",IF(AK496="A",IF(AZ10&lt;&gt;"",AZ10&amp;" - ou.or.o ❾ + or - &gt;",""),""))</f>
        <v/>
      </c>
      <c r="AY496" s="810"/>
      <c r="AZ496" s="810"/>
      <c r="BA496" s="799" t="str">
        <f t="shared" si="205"/>
        <v/>
      </c>
      <c r="BB496" s="800" t="str">
        <f>IF(AK496="A",IF(AQ496,IF(AND(AW496&lt;&gt;"",N(AW496)&gt;0),IFERROR(IFERROR(_xlfn.XLOOKUP(AP496,BP10:BP57,BT10:BT57),IFERROR(_xlfn.XLOOKUP(AP496,BQ10:BQ57,BT10:BT57),_xlfn.XLOOKUP(AP496,BR10:BR57,BT10:BT57,""))),""),""),""),"")</f>
        <v/>
      </c>
      <c r="BC496" s="813" cm="1">
        <f t="array" ref="BC496">IF(NOT(AQ496),0,IF(OR(BA496="",N(BA496)&lt;=0.000000001),"",IF(OR(AU496="",N(AU496)&lt;=0.000000001),0,IF(ISNUMBER(BA496),IFERROR(_xlfn.LET(_xlpm.ai_test,TRIM(AP496),_xlpm.r,IFERROR(_xlfn.XLOOKUP(_xlpm.ai_test,BP16:BP63,ROW(BP16:BP63),0,1),IFERROR(_xlfn.XLOOKUP(_xlpm.ai_test,BQ16:BQ63,ROW(BQ16:BQ63),0,1),_xlfn.XLOOKUP(_xlpm.ai_test,BR16:BR63,ROW(BR16:BR63),0,1))),_xlpm.p,_xlpm.r-MIN(ROW(BP16:BP63))+1,_xlpm.f,INDEX(BS16:BS63,_xlpm.p),_xlpm.u,INDEX(BT16:BT63,_xlpm.p),_xlpm.s,INDEX(BV16:BV63,_xlpm.p),_xlpm.q,N(BA496)/_xlpm.f,IF(_xlpm.q&gt;=_xlpm.s,ROUND(_xlpm.q,1)&amp;" "&amp;_xlpm.ai_test&amp;" = "&amp;ROUND(_xlpm.q*_xlpm.f,1)&amp;" "&amp;_xlpm.u,ROUND(_xlpm.q,1)&amp;" "&amp;_xlpm.ai_test)),""),""))))</f>
        <v>0</v>
      </c>
      <c r="BD496" s="801"/>
      <c r="BE496" s="799" t="str">
        <f t="shared" si="216"/>
        <v/>
      </c>
      <c r="BF496" s="800" t="str">
        <f t="shared" si="219"/>
        <v/>
      </c>
      <c r="BG496" s="802">
        <f t="shared" si="220"/>
        <v>0</v>
      </c>
      <c r="BH496" s="803" t="str">
        <f t="shared" si="221"/>
        <v/>
      </c>
      <c r="BI496" s="792"/>
      <c r="BJ496" s="804">
        <f t="shared" si="222"/>
        <v>0</v>
      </c>
      <c r="BK496" s="794" t="str">
        <f t="shared" si="217"/>
        <v/>
      </c>
      <c r="BL496" s="227" t="s">
        <v>21</v>
      </c>
      <c r="BM496" s="773">
        <f t="shared" si="207"/>
        <v>0</v>
      </c>
      <c r="BN496" s="774">
        <f t="shared" si="208"/>
        <v>0</v>
      </c>
      <c r="BO496"/>
      <c r="BX496"/>
      <c r="BY496"/>
      <c r="BZ496"/>
      <c r="CA496"/>
      <c r="CB496"/>
      <c r="CC496"/>
      <c r="CD496" s="781" t="str">
        <f t="shared" si="203"/>
        <v>►</v>
      </c>
      <c r="CE496" s="633"/>
      <c r="CF496" s="633"/>
      <c r="CG496" s="633"/>
      <c r="CH496" s="633"/>
      <c r="CI496" s="633"/>
      <c r="CJ496" s="227"/>
      <c r="CK496"/>
      <c r="CL496"/>
      <c r="CM496"/>
      <c r="CN496"/>
      <c r="CO496"/>
      <c r="CP496"/>
      <c r="CQ496"/>
      <c r="CR496" s="227"/>
      <c r="CS496"/>
      <c r="CT496"/>
      <c r="CU496"/>
      <c r="CV496"/>
      <c r="CW496"/>
      <c r="CX496"/>
      <c r="CY496"/>
      <c r="CZ496" s="227"/>
      <c r="DA496"/>
      <c r="DB496"/>
      <c r="DC496"/>
      <c r="DD496"/>
      <c r="DE496"/>
      <c r="DF496"/>
      <c r="DG496"/>
      <c r="DH496" s="227"/>
      <c r="DI496" s="3">
        <v>1</v>
      </c>
    </row>
    <row r="497" spans="2:113" s="627" customFormat="1" ht="21" customHeight="1">
      <c r="B497" s="2265" t="str" cm="1">
        <f t="array" ref="B497">SUMPRODUCT(--(D497:J497&lt;&gt;""), LEN(TRIM(SUBSTITUTE(D497:J497, CHAR(160), "")))) &amp; " Car."</f>
        <v>0 Car.</v>
      </c>
      <c r="C497" s="1376" t="str">
        <f>IF(ISBLANK(D497),"",LARGE(C13:C496,1)+1)</f>
        <v/>
      </c>
      <c r="D497" s="1833"/>
      <c r="E497" s="1810"/>
      <c r="F497" s="1810"/>
      <c r="G497" s="1810"/>
      <c r="H497" s="1810"/>
      <c r="I497" s="1810"/>
      <c r="J497" s="1810"/>
      <c r="K497" s="1810"/>
      <c r="L497" s="1811"/>
      <c r="M497"/>
      <c r="N497" s="103" t="str">
        <f t="shared" si="204"/>
        <v>►</v>
      </c>
      <c r="O497" s="1616"/>
      <c r="P497"/>
      <c r="Q497" s="103" t="s">
        <v>15</v>
      </c>
      <c r="R497" s="31"/>
      <c r="S497" s="32"/>
      <c r="T497" s="31"/>
      <c r="U497" s="33"/>
      <c r="V497" s="1804"/>
      <c r="W497" s="1805"/>
      <c r="X497" s="91"/>
      <c r="Y497" s="1806"/>
      <c r="Z497" s="1807"/>
      <c r="AA497" s="919"/>
      <c r="AB497" s="1813"/>
      <c r="AC497" s="1580"/>
      <c r="AD497" s="95"/>
      <c r="AE497" s="105"/>
      <c r="AF497" s="97"/>
      <c r="AG497" s="2080"/>
      <c r="AH497" s="2081"/>
      <c r="AI497" s="99"/>
      <c r="AJ497" s="1809"/>
      <c r="AK497" s="6120" t="str">
        <f t="shared" si="218"/>
        <v>►</v>
      </c>
      <c r="AL497" s="781" t="str">
        <f t="shared" si="206"/>
        <v>►</v>
      </c>
      <c r="AM497" s="5499" t="str">
        <f t="shared" si="209"/>
        <v/>
      </c>
      <c r="AN497" s="783" t="str">
        <f t="shared" si="210"/>
        <v/>
      </c>
      <c r="AO497" s="782" t="str">
        <f t="shared" si="211"/>
        <v/>
      </c>
      <c r="AP497" s="783" t="str">
        <f t="shared" si="212"/>
        <v/>
      </c>
      <c r="AQ497" s="2083" t="b">
        <f>AND(Q497="A",COUNTIF(BP16:BR63,TRIM(Z497))&gt;0)</f>
        <v>0</v>
      </c>
      <c r="AR497" s="797" t="str">
        <f>IF(AL497&lt;&gt;"A","",IFERROR(IFERROR(_xlfn.XLOOKUP(TRIM(SUBSTITUTE(Z497,CHAR(160)," ")),BP16:BP63,BS16:BS63),IFERROR(_xlfn.XLOOKUP(TRIM(SUBSTITUTE(Z497,CHAR(160)," ")),BQ16:BQ63,BS16:BS63),_xlfn.XLOOKUP(TRIM(SUBSTITUTE(Z497,CHAR(160)," ")),BR16:BR63,BS16:BS63)))*Y497*IF(ISBLANK(V497),1,V497),0))</f>
        <v/>
      </c>
      <c r="AS497" s="784" t="str">
        <f t="shared" si="202"/>
        <v/>
      </c>
      <c r="AT497" s="1315" t="str">
        <f t="shared" si="213"/>
        <v/>
      </c>
      <c r="AU497" s="785">
        <f t="shared" si="214"/>
        <v>0</v>
      </c>
      <c r="AV497" s="785">
        <f t="shared" si="215"/>
        <v>0</v>
      </c>
      <c r="AW497" s="786">
        <f>IF(AK497="A",AY10,0)</f>
        <v>0</v>
      </c>
      <c r="AX497" s="5495" t="str">
        <f>IF(IFERROR(SEARCH("Adresse PC",TRIM(W497)),0)&gt;0,"▼ receta siguiente",IF(AK497="A",IF(AZ10&lt;&gt;"",AZ10&amp;" - ou.or.o ❾ + or - &gt;",""),""))</f>
        <v/>
      </c>
      <c r="AY497" s="810"/>
      <c r="AZ497" s="810"/>
      <c r="BA497" s="788" t="str">
        <f t="shared" si="205"/>
        <v/>
      </c>
      <c r="BB497" s="789" t="str">
        <f>IF(AK497="A",IF(AQ497,IF(AND(AW497&lt;&gt;"",N(AW497)&gt;0),IFERROR(IFERROR(_xlfn.XLOOKUP(AP497,BP10:BP57,BT10:BT57),IFERROR(_xlfn.XLOOKUP(AP497,BQ10:BQ57,BT10:BT57),_xlfn.XLOOKUP(AP497,BR10:BR57,BT10:BT57,""))),""),""),""),"")</f>
        <v/>
      </c>
      <c r="BC497" s="811" cm="1">
        <f t="array" ref="BC497">IF(NOT(AQ497),0,IF(OR(BA497="",N(BA497)&lt;=0.000000001),"",IF(OR(AU497="",N(AU497)&lt;=0.000000001),0,IF(ISNUMBER(BA497),IFERROR(_xlfn.LET(_xlpm.ai_test,TRIM(AP497),_xlpm.r,IFERROR(_xlfn.XLOOKUP(_xlpm.ai_test,BP16:BP63,ROW(BP16:BP63),0,1),IFERROR(_xlfn.XLOOKUP(_xlpm.ai_test,BQ16:BQ63,ROW(BQ16:BQ63),0,1),_xlfn.XLOOKUP(_xlpm.ai_test,BR16:BR63,ROW(BR16:BR63),0,1))),_xlpm.p,_xlpm.r-MIN(ROW(BP16:BP63))+1,_xlpm.f,INDEX(BS16:BS63,_xlpm.p),_xlpm.u,INDEX(BT16:BT63,_xlpm.p),_xlpm.s,INDEX(BV16:BV63,_xlpm.p),_xlpm.q,N(BA497)/_xlpm.f,IF(_xlpm.q&gt;=_xlpm.s,ROUND(_xlpm.q,1)&amp;" "&amp;_xlpm.ai_test&amp;" = "&amp;ROUND(_xlpm.q*_xlpm.f,1)&amp;" "&amp;_xlpm.u,ROUND(_xlpm.q,1)&amp;" "&amp;_xlpm.ai_test)),""),""))))</f>
        <v>0</v>
      </c>
      <c r="BD497" s="801"/>
      <c r="BE497" s="788" t="str">
        <f t="shared" si="216"/>
        <v/>
      </c>
      <c r="BF497" s="789" t="str">
        <f t="shared" si="219"/>
        <v/>
      </c>
      <c r="BG497" s="790">
        <f t="shared" si="220"/>
        <v>0</v>
      </c>
      <c r="BH497" s="791" t="str">
        <f t="shared" si="221"/>
        <v/>
      </c>
      <c r="BI497" s="792"/>
      <c r="BJ497" s="793">
        <f t="shared" si="222"/>
        <v>0</v>
      </c>
      <c r="BK497" s="794" t="str">
        <f t="shared" si="217"/>
        <v/>
      </c>
      <c r="BL497" s="227" t="s">
        <v>21</v>
      </c>
      <c r="BM497" s="773">
        <f t="shared" si="207"/>
        <v>0</v>
      </c>
      <c r="BN497" s="774">
        <f t="shared" si="208"/>
        <v>0</v>
      </c>
      <c r="BO497"/>
      <c r="BX497"/>
      <c r="BY497"/>
      <c r="BZ497"/>
      <c r="CA497"/>
      <c r="CB497"/>
      <c r="CC497"/>
      <c r="CD497" s="781" t="str">
        <f t="shared" si="203"/>
        <v>►</v>
      </c>
      <c r="CE497" s="633"/>
      <c r="CF497" s="633"/>
      <c r="CG497" s="633"/>
      <c r="CH497" s="633"/>
      <c r="CI497" s="633"/>
      <c r="CJ497" s="227"/>
      <c r="CK497"/>
      <c r="CL497"/>
      <c r="CM497"/>
      <c r="CN497"/>
      <c r="CO497"/>
      <c r="CP497"/>
      <c r="CQ497"/>
      <c r="CR497" s="227"/>
      <c r="CS497"/>
      <c r="CT497"/>
      <c r="CU497"/>
      <c r="CV497"/>
      <c r="CW497"/>
      <c r="CX497"/>
      <c r="CY497"/>
      <c r="CZ497" s="227"/>
      <c r="DA497"/>
      <c r="DB497"/>
      <c r="DC497"/>
      <c r="DD497"/>
      <c r="DE497"/>
      <c r="DF497"/>
      <c r="DG497"/>
      <c r="DH497" s="227"/>
      <c r="DI497" s="3">
        <v>1</v>
      </c>
    </row>
    <row r="498" spans="2:113" s="627" customFormat="1" ht="21" customHeight="1">
      <c r="B498" s="2265" t="str" cm="1">
        <f t="array" ref="B498">SUMPRODUCT(--(D498:J498&lt;&gt;""), LEN(TRIM(SUBSTITUTE(D498:J498, CHAR(160), "")))) &amp; " Car."</f>
        <v>0 Car.</v>
      </c>
      <c r="C498" s="1376" t="str">
        <f>IF(ISBLANK(D498),"",LARGE(C13:C497,1)+1)</f>
        <v/>
      </c>
      <c r="D498" s="1833"/>
      <c r="E498" s="1810"/>
      <c r="F498" s="1810"/>
      <c r="G498" s="1810"/>
      <c r="H498" s="1810"/>
      <c r="I498" s="1810"/>
      <c r="J498" s="1810"/>
      <c r="K498" s="1810"/>
      <c r="L498" s="1811"/>
      <c r="M498"/>
      <c r="N498" s="103" t="str">
        <f t="shared" si="204"/>
        <v>►</v>
      </c>
      <c r="O498" s="1616"/>
      <c r="P498"/>
      <c r="Q498" s="103" t="s">
        <v>15</v>
      </c>
      <c r="R498" s="31"/>
      <c r="S498" s="32"/>
      <c r="T498" s="31"/>
      <c r="U498" s="33"/>
      <c r="V498" s="1804"/>
      <c r="W498" s="1805"/>
      <c r="X498" s="91"/>
      <c r="Y498" s="1806"/>
      <c r="Z498" s="1807"/>
      <c r="AA498" s="919"/>
      <c r="AB498" s="1813"/>
      <c r="AC498" s="1580"/>
      <c r="AD498" s="95"/>
      <c r="AE498" s="105"/>
      <c r="AF498" s="97"/>
      <c r="AG498" s="2080"/>
      <c r="AH498" s="2081"/>
      <c r="AI498" s="99"/>
      <c r="AJ498" s="1809"/>
      <c r="AK498" s="6120" t="str">
        <f t="shared" si="218"/>
        <v>►</v>
      </c>
      <c r="AL498" s="781" t="str">
        <f t="shared" si="206"/>
        <v>►</v>
      </c>
      <c r="AM498" s="5498" t="str">
        <f t="shared" si="209"/>
        <v/>
      </c>
      <c r="AN498" s="783" t="str">
        <f t="shared" si="210"/>
        <v/>
      </c>
      <c r="AO498" s="782" t="str">
        <f t="shared" si="211"/>
        <v/>
      </c>
      <c r="AP498" s="783" t="str">
        <f t="shared" si="212"/>
        <v/>
      </c>
      <c r="AQ498" s="2083" t="b">
        <f>AND(Q498="A",COUNTIF(BP16:BR63,TRIM(Z498))&gt;0)</f>
        <v>0</v>
      </c>
      <c r="AR498" s="797" t="str">
        <f>IF(AL498&lt;&gt;"A","",IFERROR(IFERROR(_xlfn.XLOOKUP(TRIM(SUBSTITUTE(Z498,CHAR(160)," ")),BP16:BP63,BS16:BS63),IFERROR(_xlfn.XLOOKUP(TRIM(SUBSTITUTE(Z498,CHAR(160)," ")),BQ16:BQ63,BS16:BS63),_xlfn.XLOOKUP(TRIM(SUBSTITUTE(Z498,CHAR(160)," ")),BR16:BR63,BS16:BS63)))*Y498*IF(ISBLANK(V498),1,V498),0))</f>
        <v/>
      </c>
      <c r="AS498" s="784" t="str">
        <f t="shared" si="202"/>
        <v/>
      </c>
      <c r="AT498" s="1315" t="str">
        <f t="shared" si="213"/>
        <v/>
      </c>
      <c r="AU498" s="785">
        <f t="shared" si="214"/>
        <v>0</v>
      </c>
      <c r="AV498" s="785">
        <f t="shared" si="215"/>
        <v>0</v>
      </c>
      <c r="AW498" s="798">
        <f>IF(AK498="A",AY10,0)</f>
        <v>0</v>
      </c>
      <c r="AX498" s="5496" t="str">
        <f>IF(IFERROR(SEARCH("Adresse PC",TRIM(W498)),0)&gt;0,"▼ receta siguiente",IF(AK498="A",IF(AZ10&lt;&gt;"",AZ10&amp;" - ou.or.o ❾ + or - &gt;",""),""))</f>
        <v/>
      </c>
      <c r="AY498" s="810"/>
      <c r="AZ498" s="810"/>
      <c r="BA498" s="799" t="str">
        <f t="shared" si="205"/>
        <v/>
      </c>
      <c r="BB498" s="800" t="str">
        <f>IF(AK498="A",IF(AQ498,IF(AND(AW498&lt;&gt;"",N(AW498)&gt;0),IFERROR(IFERROR(_xlfn.XLOOKUP(AP498,BP10:BP57,BT10:BT57),IFERROR(_xlfn.XLOOKUP(AP498,BQ10:BQ57,BT10:BT57),_xlfn.XLOOKUP(AP498,BR10:BR57,BT10:BT57,""))),""),""),""),"")</f>
        <v/>
      </c>
      <c r="BC498" s="813" cm="1">
        <f t="array" ref="BC498">IF(NOT(AQ498),0,IF(OR(BA498="",N(BA498)&lt;=0.000000001),"",IF(OR(AU498="",N(AU498)&lt;=0.000000001),0,IF(ISNUMBER(BA498),IFERROR(_xlfn.LET(_xlpm.ai_test,TRIM(AP498),_xlpm.r,IFERROR(_xlfn.XLOOKUP(_xlpm.ai_test,BP16:BP63,ROW(BP16:BP63),0,1),IFERROR(_xlfn.XLOOKUP(_xlpm.ai_test,BQ16:BQ63,ROW(BQ16:BQ63),0,1),_xlfn.XLOOKUP(_xlpm.ai_test,BR16:BR63,ROW(BR16:BR63),0,1))),_xlpm.p,_xlpm.r-MIN(ROW(BP16:BP63))+1,_xlpm.f,INDEX(BS16:BS63,_xlpm.p),_xlpm.u,INDEX(BT16:BT63,_xlpm.p),_xlpm.s,INDEX(BV16:BV63,_xlpm.p),_xlpm.q,N(BA498)/_xlpm.f,IF(_xlpm.q&gt;=_xlpm.s,ROUND(_xlpm.q,1)&amp;" "&amp;_xlpm.ai_test&amp;" = "&amp;ROUND(_xlpm.q*_xlpm.f,1)&amp;" "&amp;_xlpm.u,ROUND(_xlpm.q,1)&amp;" "&amp;_xlpm.ai_test)),""),""))))</f>
        <v>0</v>
      </c>
      <c r="BD498" s="801"/>
      <c r="BE498" s="799" t="str">
        <f t="shared" si="216"/>
        <v/>
      </c>
      <c r="BF498" s="800" t="str">
        <f t="shared" si="219"/>
        <v/>
      </c>
      <c r="BG498" s="802">
        <f t="shared" si="220"/>
        <v>0</v>
      </c>
      <c r="BH498" s="803" t="str">
        <f t="shared" si="221"/>
        <v/>
      </c>
      <c r="BI498" s="792"/>
      <c r="BJ498" s="804">
        <f t="shared" si="222"/>
        <v>0</v>
      </c>
      <c r="BK498" s="794" t="str">
        <f t="shared" si="217"/>
        <v/>
      </c>
      <c r="BL498" s="227" t="s">
        <v>21</v>
      </c>
      <c r="BM498" s="773">
        <f t="shared" si="207"/>
        <v>0</v>
      </c>
      <c r="BN498" s="774">
        <f t="shared" si="208"/>
        <v>0</v>
      </c>
      <c r="BO498"/>
      <c r="BX498"/>
      <c r="BY498"/>
      <c r="BZ498"/>
      <c r="CA498"/>
      <c r="CB498"/>
      <c r="CC498"/>
      <c r="CD498" s="781" t="str">
        <f t="shared" si="203"/>
        <v>►</v>
      </c>
      <c r="CE498" s="633"/>
      <c r="CF498" s="633"/>
      <c r="CG498" s="633"/>
      <c r="CH498" s="633"/>
      <c r="CI498" s="633"/>
      <c r="CJ498" s="227"/>
      <c r="CK498"/>
      <c r="CL498"/>
      <c r="CM498"/>
      <c r="CN498"/>
      <c r="CO498"/>
      <c r="CP498"/>
      <c r="CQ498"/>
      <c r="CR498" s="227"/>
      <c r="CS498"/>
      <c r="CT498"/>
      <c r="CU498"/>
      <c r="CV498"/>
      <c r="CW498"/>
      <c r="CX498"/>
      <c r="CY498"/>
      <c r="CZ498" s="227"/>
      <c r="DA498"/>
      <c r="DB498"/>
      <c r="DC498"/>
      <c r="DD498"/>
      <c r="DE498"/>
      <c r="DF498"/>
      <c r="DG498"/>
      <c r="DH498" s="227"/>
      <c r="DI498" s="3">
        <v>1</v>
      </c>
    </row>
    <row r="499" spans="2:113" s="627" customFormat="1" ht="21" customHeight="1">
      <c r="B499" s="2265" t="str" cm="1">
        <f t="array" ref="B499">SUMPRODUCT(--(D499:J499&lt;&gt;""), LEN(TRIM(SUBSTITUTE(D499:J499, CHAR(160), "")))) &amp; " Car."</f>
        <v>0 Car.</v>
      </c>
      <c r="C499" s="1376" t="str">
        <f>IF(ISBLANK(D499),"",LARGE(C13:C498,1)+1)</f>
        <v/>
      </c>
      <c r="D499" s="1833"/>
      <c r="E499" s="1810"/>
      <c r="F499" s="1810"/>
      <c r="G499" s="1810"/>
      <c r="H499" s="1810"/>
      <c r="I499" s="1810"/>
      <c r="J499" s="1810"/>
      <c r="K499" s="1810"/>
      <c r="L499" s="1811"/>
      <c r="M499"/>
      <c r="N499" s="103" t="str">
        <f t="shared" si="204"/>
        <v>►</v>
      </c>
      <c r="O499" s="1616"/>
      <c r="P499"/>
      <c r="Q499" s="103" t="s">
        <v>15</v>
      </c>
      <c r="R499" s="31"/>
      <c r="S499" s="32"/>
      <c r="T499" s="31"/>
      <c r="U499" s="33"/>
      <c r="V499" s="1804"/>
      <c r="W499" s="1805"/>
      <c r="X499" s="91"/>
      <c r="Y499" s="1806"/>
      <c r="Z499" s="1807"/>
      <c r="AA499" s="919"/>
      <c r="AB499" s="1813"/>
      <c r="AC499" s="1580"/>
      <c r="AD499" s="95"/>
      <c r="AE499" s="105"/>
      <c r="AF499" s="97"/>
      <c r="AG499" s="2080"/>
      <c r="AH499" s="2081"/>
      <c r="AI499" s="99"/>
      <c r="AJ499" s="1809"/>
      <c r="AK499" s="6120" t="str">
        <f t="shared" si="218"/>
        <v>►</v>
      </c>
      <c r="AL499" s="781" t="str">
        <f t="shared" si="206"/>
        <v>►</v>
      </c>
      <c r="AM499" s="5499" t="str">
        <f t="shared" si="209"/>
        <v/>
      </c>
      <c r="AN499" s="783" t="str">
        <f t="shared" si="210"/>
        <v/>
      </c>
      <c r="AO499" s="782" t="str">
        <f t="shared" si="211"/>
        <v/>
      </c>
      <c r="AP499" s="783" t="str">
        <f t="shared" si="212"/>
        <v/>
      </c>
      <c r="AQ499" s="2083" t="b">
        <f>AND(Q499="A",COUNTIF(BP16:BR63,TRIM(Z499))&gt;0)</f>
        <v>0</v>
      </c>
      <c r="AR499" s="797" t="str">
        <f>IF(AL499&lt;&gt;"A","",IFERROR(IFERROR(_xlfn.XLOOKUP(TRIM(SUBSTITUTE(Z499,CHAR(160)," ")),BP16:BP63,BS16:BS63),IFERROR(_xlfn.XLOOKUP(TRIM(SUBSTITUTE(Z499,CHAR(160)," ")),BQ16:BQ63,BS16:BS63),_xlfn.XLOOKUP(TRIM(SUBSTITUTE(Z499,CHAR(160)," ")),BR16:BR63,BS16:BS63)))*Y499*IF(ISBLANK(V499),1,V499),0))</f>
        <v/>
      </c>
      <c r="AS499" s="784" t="str">
        <f t="shared" si="202"/>
        <v/>
      </c>
      <c r="AT499" s="1315" t="str">
        <f t="shared" si="213"/>
        <v/>
      </c>
      <c r="AU499" s="785">
        <f t="shared" si="214"/>
        <v>0</v>
      </c>
      <c r="AV499" s="785">
        <f t="shared" si="215"/>
        <v>0</v>
      </c>
      <c r="AW499" s="786">
        <f>IF(AK499="A",AY10,0)</f>
        <v>0</v>
      </c>
      <c r="AX499" s="5495" t="str">
        <f>IF(IFERROR(SEARCH("Adresse PC",TRIM(W499)),0)&gt;0,"▼ receta siguiente",IF(AK499="A",IF(AZ10&lt;&gt;"",AZ10&amp;" - ou.or.o ❾ + or - &gt;",""),""))</f>
        <v/>
      </c>
      <c r="AY499" s="810"/>
      <c r="AZ499" s="810"/>
      <c r="BA499" s="788" t="str">
        <f t="shared" si="205"/>
        <v/>
      </c>
      <c r="BB499" s="789" t="str">
        <f>IF(AK499="A",IF(AQ499,IF(AND(AW499&lt;&gt;"",N(AW499)&gt;0),IFERROR(IFERROR(_xlfn.XLOOKUP(AP499,BP10:BP57,BT10:BT57),IFERROR(_xlfn.XLOOKUP(AP499,BQ10:BQ57,BT10:BT57),_xlfn.XLOOKUP(AP499,BR10:BR57,BT10:BT57,""))),""),""),""),"")</f>
        <v/>
      </c>
      <c r="BC499" s="811" cm="1">
        <f t="array" ref="BC499">IF(NOT(AQ499),0,IF(OR(BA499="",N(BA499)&lt;=0.000000001),"",IF(OR(AU499="",N(AU499)&lt;=0.000000001),0,IF(ISNUMBER(BA499),IFERROR(_xlfn.LET(_xlpm.ai_test,TRIM(AP499),_xlpm.r,IFERROR(_xlfn.XLOOKUP(_xlpm.ai_test,BP16:BP63,ROW(BP16:BP63),0,1),IFERROR(_xlfn.XLOOKUP(_xlpm.ai_test,BQ16:BQ63,ROW(BQ16:BQ63),0,1),_xlfn.XLOOKUP(_xlpm.ai_test,BR16:BR63,ROW(BR16:BR63),0,1))),_xlpm.p,_xlpm.r-MIN(ROW(BP16:BP63))+1,_xlpm.f,INDEX(BS16:BS63,_xlpm.p),_xlpm.u,INDEX(BT16:BT63,_xlpm.p),_xlpm.s,INDEX(BV16:BV63,_xlpm.p),_xlpm.q,N(BA499)/_xlpm.f,IF(_xlpm.q&gt;=_xlpm.s,ROUND(_xlpm.q,1)&amp;" "&amp;_xlpm.ai_test&amp;" = "&amp;ROUND(_xlpm.q*_xlpm.f,1)&amp;" "&amp;_xlpm.u,ROUND(_xlpm.q,1)&amp;" "&amp;_xlpm.ai_test)),""),""))))</f>
        <v>0</v>
      </c>
      <c r="BD499" s="801"/>
      <c r="BE499" s="788" t="str">
        <f t="shared" si="216"/>
        <v/>
      </c>
      <c r="BF499" s="789" t="str">
        <f t="shared" si="219"/>
        <v/>
      </c>
      <c r="BG499" s="790">
        <f t="shared" si="220"/>
        <v>0</v>
      </c>
      <c r="BH499" s="791" t="str">
        <f t="shared" si="221"/>
        <v/>
      </c>
      <c r="BI499" s="792"/>
      <c r="BJ499" s="793">
        <f t="shared" si="222"/>
        <v>0</v>
      </c>
      <c r="BK499" s="794" t="str">
        <f t="shared" si="217"/>
        <v/>
      </c>
      <c r="BL499" s="227" t="s">
        <v>21</v>
      </c>
      <c r="BM499" s="773">
        <f t="shared" si="207"/>
        <v>0</v>
      </c>
      <c r="BN499" s="774">
        <f t="shared" si="208"/>
        <v>0</v>
      </c>
      <c r="BO499"/>
      <c r="BX499"/>
      <c r="BY499"/>
      <c r="BZ499"/>
      <c r="CA499"/>
      <c r="CB499"/>
      <c r="CC499"/>
      <c r="CD499" s="781" t="str">
        <f t="shared" si="203"/>
        <v>►</v>
      </c>
      <c r="CE499" s="633"/>
      <c r="CF499" s="633"/>
      <c r="CG499" s="633"/>
      <c r="CH499" s="633"/>
      <c r="CI499" s="633"/>
      <c r="CJ499" s="227"/>
      <c r="CK499"/>
      <c r="CL499"/>
      <c r="CM499"/>
      <c r="CN499"/>
      <c r="CO499"/>
      <c r="CP499"/>
      <c r="CQ499"/>
      <c r="CR499" s="227"/>
      <c r="CS499"/>
      <c r="CT499"/>
      <c r="CU499"/>
      <c r="CV499"/>
      <c r="CW499"/>
      <c r="CX499"/>
      <c r="CY499"/>
      <c r="CZ499" s="227"/>
      <c r="DA499"/>
      <c r="DB499"/>
      <c r="DC499"/>
      <c r="DD499"/>
      <c r="DE499"/>
      <c r="DF499"/>
      <c r="DG499"/>
      <c r="DH499" s="227"/>
      <c r="DI499" s="3">
        <v>1</v>
      </c>
    </row>
    <row r="500" spans="2:113" s="627" customFormat="1" ht="21" customHeight="1">
      <c r="B500" s="2265" t="str" cm="1">
        <f t="array" ref="B500">SUMPRODUCT(--(D500:J500&lt;&gt;""), LEN(TRIM(SUBSTITUTE(D500:J500, CHAR(160), "")))) &amp; " Car."</f>
        <v>0 Car.</v>
      </c>
      <c r="C500" s="1376" t="str">
        <f>IF(ISBLANK(D500),"",LARGE(C13:C499,1)+1)</f>
        <v/>
      </c>
      <c r="D500" s="1833"/>
      <c r="E500" s="1810"/>
      <c r="F500" s="1810"/>
      <c r="G500" s="1810"/>
      <c r="H500" s="1810"/>
      <c r="I500" s="1810"/>
      <c r="J500" s="1810"/>
      <c r="K500" s="1810"/>
      <c r="L500" s="1811"/>
      <c r="M500"/>
      <c r="N500" s="103" t="str">
        <f t="shared" si="204"/>
        <v>►</v>
      </c>
      <c r="O500" s="1616"/>
      <c r="P500"/>
      <c r="Q500" s="103" t="s">
        <v>15</v>
      </c>
      <c r="R500" s="31"/>
      <c r="S500" s="32"/>
      <c r="T500" s="31"/>
      <c r="U500" s="33"/>
      <c r="V500" s="1804"/>
      <c r="W500" s="1805"/>
      <c r="X500" s="91"/>
      <c r="Y500" s="1806"/>
      <c r="Z500" s="1807"/>
      <c r="AA500" s="919"/>
      <c r="AB500" s="1813"/>
      <c r="AC500" s="1580"/>
      <c r="AD500" s="95"/>
      <c r="AE500" s="105"/>
      <c r="AF500" s="97"/>
      <c r="AG500" s="2080"/>
      <c r="AH500" s="2081"/>
      <c r="AI500" s="99"/>
      <c r="AJ500" s="1809"/>
      <c r="AK500" s="6120" t="str">
        <f t="shared" si="218"/>
        <v>►</v>
      </c>
      <c r="AL500" s="781" t="str">
        <f t="shared" si="206"/>
        <v>►</v>
      </c>
      <c r="AM500" s="5498" t="str">
        <f t="shared" si="209"/>
        <v/>
      </c>
      <c r="AN500" s="783" t="str">
        <f t="shared" si="210"/>
        <v/>
      </c>
      <c r="AO500" s="782" t="str">
        <f t="shared" si="211"/>
        <v/>
      </c>
      <c r="AP500" s="783" t="str">
        <f t="shared" si="212"/>
        <v/>
      </c>
      <c r="AQ500" s="2083" t="b">
        <f>AND(Q500="A",COUNTIF(BP16:BR63,TRIM(Z500))&gt;0)</f>
        <v>0</v>
      </c>
      <c r="AR500" s="797" t="str">
        <f>IF(AL500&lt;&gt;"A","",IFERROR(IFERROR(_xlfn.XLOOKUP(TRIM(SUBSTITUTE(Z500,CHAR(160)," ")),BP16:BP63,BS16:BS63),IFERROR(_xlfn.XLOOKUP(TRIM(SUBSTITUTE(Z500,CHAR(160)," ")),BQ16:BQ63,BS16:BS63),_xlfn.XLOOKUP(TRIM(SUBSTITUTE(Z500,CHAR(160)," ")),BR16:BR63,BS16:BS63)))*Y500*IF(ISBLANK(V500),1,V500),0))</f>
        <v/>
      </c>
      <c r="AS500" s="784" t="str">
        <f t="shared" si="202"/>
        <v/>
      </c>
      <c r="AT500" s="1315" t="str">
        <f t="shared" si="213"/>
        <v/>
      </c>
      <c r="AU500" s="785">
        <f t="shared" si="214"/>
        <v>0</v>
      </c>
      <c r="AV500" s="785">
        <f t="shared" si="215"/>
        <v>0</v>
      </c>
      <c r="AW500" s="798">
        <f>IF(AK500="A",AY10,0)</f>
        <v>0</v>
      </c>
      <c r="AX500" s="5496" t="str">
        <f>IF(IFERROR(SEARCH("Adresse PC",TRIM(W500)),0)&gt;0,"▼ receta siguiente",IF(AK500="A",IF(AZ10&lt;&gt;"",AZ10&amp;" - ou.or.o ❾ + or - &gt;",""),""))</f>
        <v/>
      </c>
      <c r="AY500" s="810"/>
      <c r="AZ500" s="810"/>
      <c r="BA500" s="799" t="str">
        <f t="shared" si="205"/>
        <v/>
      </c>
      <c r="BB500" s="800" t="str">
        <f>IF(AK500="A",IF(AQ500,IF(AND(AW500&lt;&gt;"",N(AW500)&gt;0),IFERROR(IFERROR(_xlfn.XLOOKUP(AP500,BP10:BP57,BT10:BT57),IFERROR(_xlfn.XLOOKUP(AP500,BQ10:BQ57,BT10:BT57),_xlfn.XLOOKUP(AP500,BR10:BR57,BT10:BT57,""))),""),""),""),"")</f>
        <v/>
      </c>
      <c r="BC500" s="813" cm="1">
        <f t="array" ref="BC500">IF(NOT(AQ500),0,IF(OR(BA500="",N(BA500)&lt;=0.000000001),"",IF(OR(AU500="",N(AU500)&lt;=0.000000001),0,IF(ISNUMBER(BA500),IFERROR(_xlfn.LET(_xlpm.ai_test,TRIM(AP500),_xlpm.r,IFERROR(_xlfn.XLOOKUP(_xlpm.ai_test,BP16:BP63,ROW(BP16:BP63),0,1),IFERROR(_xlfn.XLOOKUP(_xlpm.ai_test,BQ16:BQ63,ROW(BQ16:BQ63),0,1),_xlfn.XLOOKUP(_xlpm.ai_test,BR16:BR63,ROW(BR16:BR63),0,1))),_xlpm.p,_xlpm.r-MIN(ROW(BP16:BP63))+1,_xlpm.f,INDEX(BS16:BS63,_xlpm.p),_xlpm.u,INDEX(BT16:BT63,_xlpm.p),_xlpm.s,INDEX(BV16:BV63,_xlpm.p),_xlpm.q,N(BA500)/_xlpm.f,IF(_xlpm.q&gt;=_xlpm.s,ROUND(_xlpm.q,1)&amp;" "&amp;_xlpm.ai_test&amp;" = "&amp;ROUND(_xlpm.q*_xlpm.f,1)&amp;" "&amp;_xlpm.u,ROUND(_xlpm.q,1)&amp;" "&amp;_xlpm.ai_test)),""),""))))</f>
        <v>0</v>
      </c>
      <c r="BD500" s="801"/>
      <c r="BE500" s="799" t="str">
        <f t="shared" si="216"/>
        <v/>
      </c>
      <c r="BF500" s="800" t="str">
        <f t="shared" si="219"/>
        <v/>
      </c>
      <c r="BG500" s="802">
        <f t="shared" si="220"/>
        <v>0</v>
      </c>
      <c r="BH500" s="803" t="str">
        <f t="shared" si="221"/>
        <v/>
      </c>
      <c r="BI500" s="792"/>
      <c r="BJ500" s="804">
        <f t="shared" si="222"/>
        <v>0</v>
      </c>
      <c r="BK500" s="794" t="str">
        <f t="shared" si="217"/>
        <v/>
      </c>
      <c r="BL500" s="227" t="s">
        <v>21</v>
      </c>
      <c r="BM500" s="773">
        <f t="shared" si="207"/>
        <v>0</v>
      </c>
      <c r="BN500" s="774">
        <f t="shared" si="208"/>
        <v>0</v>
      </c>
      <c r="BO500"/>
      <c r="BX500"/>
      <c r="BY500"/>
      <c r="BZ500"/>
      <c r="CA500"/>
      <c r="CB500"/>
      <c r="CC500"/>
      <c r="CD500" s="781" t="str">
        <f t="shared" si="203"/>
        <v>►</v>
      </c>
      <c r="CE500" s="633"/>
      <c r="CF500" s="633"/>
      <c r="CG500" s="633"/>
      <c r="CH500" s="633"/>
      <c r="CI500" s="633"/>
      <c r="CJ500" s="227"/>
      <c r="CK500"/>
      <c r="CL500"/>
      <c r="CM500"/>
      <c r="CN500"/>
      <c r="CO500"/>
      <c r="CP500"/>
      <c r="CQ500"/>
      <c r="CR500" s="227"/>
      <c r="CS500"/>
      <c r="CT500"/>
      <c r="CU500"/>
      <c r="CV500"/>
      <c r="CW500"/>
      <c r="CX500"/>
      <c r="CY500"/>
      <c r="CZ500" s="227"/>
      <c r="DA500"/>
      <c r="DB500"/>
      <c r="DC500"/>
      <c r="DD500"/>
      <c r="DE500"/>
      <c r="DF500"/>
      <c r="DG500"/>
      <c r="DH500" s="227"/>
      <c r="DI500" s="3">
        <v>1</v>
      </c>
    </row>
    <row r="501" spans="2:113" s="627" customFormat="1" ht="21" customHeight="1">
      <c r="B501" s="2265" t="str" cm="1">
        <f t="array" ref="B501">SUMPRODUCT(--(D501:J501&lt;&gt;""), LEN(TRIM(SUBSTITUTE(D501:J501, CHAR(160), "")))) &amp; " Car."</f>
        <v>0 Car.</v>
      </c>
      <c r="C501" s="1376" t="str">
        <f>IF(ISBLANK(D501),"",LARGE(C13:C500,1)+1)</f>
        <v/>
      </c>
      <c r="D501" s="1833"/>
      <c r="E501" s="1810"/>
      <c r="F501" s="1810"/>
      <c r="G501" s="1810"/>
      <c r="H501" s="1810"/>
      <c r="I501" s="1810"/>
      <c r="J501" s="1810"/>
      <c r="K501" s="1810"/>
      <c r="L501" s="1811"/>
      <c r="M501"/>
      <c r="N501" s="103" t="str">
        <f t="shared" si="204"/>
        <v>►</v>
      </c>
      <c r="O501" s="1616"/>
      <c r="P501"/>
      <c r="Q501" s="103" t="s">
        <v>15</v>
      </c>
      <c r="R501" s="31"/>
      <c r="S501" s="32"/>
      <c r="T501" s="31"/>
      <c r="U501" s="33"/>
      <c r="V501" s="1804"/>
      <c r="W501" s="1805"/>
      <c r="X501" s="91"/>
      <c r="Y501" s="1806"/>
      <c r="Z501" s="1807"/>
      <c r="AA501" s="919"/>
      <c r="AB501" s="1813"/>
      <c r="AC501" s="1580"/>
      <c r="AD501" s="95"/>
      <c r="AE501" s="105"/>
      <c r="AF501" s="97"/>
      <c r="AG501" s="2080"/>
      <c r="AH501" s="2081"/>
      <c r="AI501" s="99"/>
      <c r="AJ501" s="1809"/>
      <c r="AK501" s="6120" t="str">
        <f t="shared" si="218"/>
        <v>►</v>
      </c>
      <c r="AL501" s="781" t="str">
        <f t="shared" si="206"/>
        <v>►</v>
      </c>
      <c r="AM501" s="5499" t="str">
        <f t="shared" si="209"/>
        <v/>
      </c>
      <c r="AN501" s="783" t="str">
        <f t="shared" si="210"/>
        <v/>
      </c>
      <c r="AO501" s="782" t="str">
        <f t="shared" si="211"/>
        <v/>
      </c>
      <c r="AP501" s="783" t="str">
        <f t="shared" si="212"/>
        <v/>
      </c>
      <c r="AQ501" s="2083" t="b">
        <f>AND(Q501="A",COUNTIF(BP16:BR63,TRIM(Z501))&gt;0)</f>
        <v>0</v>
      </c>
      <c r="AR501" s="797" t="str">
        <f>IF(AL501&lt;&gt;"A","",IFERROR(IFERROR(_xlfn.XLOOKUP(TRIM(SUBSTITUTE(Z501,CHAR(160)," ")),BP16:BP63,BS16:BS63),IFERROR(_xlfn.XLOOKUP(TRIM(SUBSTITUTE(Z501,CHAR(160)," ")),BQ16:BQ63,BS16:BS63),_xlfn.XLOOKUP(TRIM(SUBSTITUTE(Z501,CHAR(160)," ")),BR16:BR63,BS16:BS63)))*Y501*IF(ISBLANK(V501),1,V501),0))</f>
        <v/>
      </c>
      <c r="AS501" s="784" t="str">
        <f t="shared" si="202"/>
        <v/>
      </c>
      <c r="AT501" s="1315" t="str">
        <f t="shared" si="213"/>
        <v/>
      </c>
      <c r="AU501" s="785">
        <f t="shared" si="214"/>
        <v>0</v>
      </c>
      <c r="AV501" s="785">
        <f t="shared" si="215"/>
        <v>0</v>
      </c>
      <c r="AW501" s="786">
        <f>IF(AK501="A",AY10,0)</f>
        <v>0</v>
      </c>
      <c r="AX501" s="5495" t="str">
        <f>IF(IFERROR(SEARCH("Adresse PC",TRIM(W501)),0)&gt;0,"▼ receta siguiente",IF(AK501="A",IF(AZ10&lt;&gt;"",AZ10&amp;" - ou.or.o ❾ + or - &gt;",""),""))</f>
        <v/>
      </c>
      <c r="AY501" s="810"/>
      <c r="AZ501" s="810"/>
      <c r="BA501" s="788" t="str">
        <f t="shared" si="205"/>
        <v/>
      </c>
      <c r="BB501" s="789" t="str">
        <f>IF(AK501="A",IF(AQ501,IF(AND(AW501&lt;&gt;"",N(AW501)&gt;0),IFERROR(IFERROR(_xlfn.XLOOKUP(AP501,BP10:BP57,BT10:BT57),IFERROR(_xlfn.XLOOKUP(AP501,BQ10:BQ57,BT10:BT57),_xlfn.XLOOKUP(AP501,BR10:BR57,BT10:BT57,""))),""),""),""),"")</f>
        <v/>
      </c>
      <c r="BC501" s="811" cm="1">
        <f t="array" ref="BC501">IF(NOT(AQ501),0,IF(OR(BA501="",N(BA501)&lt;=0.000000001),"",IF(OR(AU501="",N(AU501)&lt;=0.000000001),0,IF(ISNUMBER(BA501),IFERROR(_xlfn.LET(_xlpm.ai_test,TRIM(AP501),_xlpm.r,IFERROR(_xlfn.XLOOKUP(_xlpm.ai_test,BP16:BP63,ROW(BP16:BP63),0,1),IFERROR(_xlfn.XLOOKUP(_xlpm.ai_test,BQ16:BQ63,ROW(BQ16:BQ63),0,1),_xlfn.XLOOKUP(_xlpm.ai_test,BR16:BR63,ROW(BR16:BR63),0,1))),_xlpm.p,_xlpm.r-MIN(ROW(BP16:BP63))+1,_xlpm.f,INDEX(BS16:BS63,_xlpm.p),_xlpm.u,INDEX(BT16:BT63,_xlpm.p),_xlpm.s,INDEX(BV16:BV63,_xlpm.p),_xlpm.q,N(BA501)/_xlpm.f,IF(_xlpm.q&gt;=_xlpm.s,ROUND(_xlpm.q,1)&amp;" "&amp;_xlpm.ai_test&amp;" = "&amp;ROUND(_xlpm.q*_xlpm.f,1)&amp;" "&amp;_xlpm.u,ROUND(_xlpm.q,1)&amp;" "&amp;_xlpm.ai_test)),""),""))))</f>
        <v>0</v>
      </c>
      <c r="BD501" s="801"/>
      <c r="BE501" s="788" t="str">
        <f t="shared" si="216"/>
        <v/>
      </c>
      <c r="BF501" s="789" t="str">
        <f t="shared" si="219"/>
        <v/>
      </c>
      <c r="BG501" s="790">
        <f t="shared" si="220"/>
        <v>0</v>
      </c>
      <c r="BH501" s="791" t="str">
        <f t="shared" si="221"/>
        <v/>
      </c>
      <c r="BI501" s="792"/>
      <c r="BJ501" s="793">
        <f t="shared" si="222"/>
        <v>0</v>
      </c>
      <c r="BK501" s="794" t="str">
        <f t="shared" si="217"/>
        <v/>
      </c>
      <c r="BL501" s="227" t="s">
        <v>21</v>
      </c>
      <c r="BM501" s="773">
        <f t="shared" si="207"/>
        <v>0</v>
      </c>
      <c r="BN501" s="774">
        <f t="shared" si="208"/>
        <v>0</v>
      </c>
      <c r="BO501"/>
      <c r="BX501"/>
      <c r="BY501"/>
      <c r="BZ501"/>
      <c r="CA501"/>
      <c r="CB501"/>
      <c r="CC501"/>
      <c r="CD501" s="781" t="str">
        <f t="shared" si="203"/>
        <v>►</v>
      </c>
      <c r="CE501" s="633"/>
      <c r="CF501" s="633"/>
      <c r="CG501" s="633"/>
      <c r="CH501" s="633"/>
      <c r="CI501" s="633"/>
      <c r="CJ501" s="227"/>
      <c r="CK501"/>
      <c r="CL501"/>
      <c r="CM501"/>
      <c r="CN501"/>
      <c r="CO501"/>
      <c r="CP501"/>
      <c r="CQ501"/>
      <c r="CR501" s="227"/>
      <c r="CS501"/>
      <c r="CT501"/>
      <c r="CU501"/>
      <c r="CV501"/>
      <c r="CW501"/>
      <c r="CX501"/>
      <c r="CY501"/>
      <c r="CZ501" s="227"/>
      <c r="DA501"/>
      <c r="DB501"/>
      <c r="DC501"/>
      <c r="DD501"/>
      <c r="DE501"/>
      <c r="DF501"/>
      <c r="DG501"/>
      <c r="DH501" s="227"/>
      <c r="DI501" s="3">
        <v>1</v>
      </c>
    </row>
    <row r="502" spans="2:113" s="627" customFormat="1" ht="21" customHeight="1">
      <c r="B502" s="2265" t="str" cm="1">
        <f t="array" ref="B502">SUMPRODUCT(--(D502:J502&lt;&gt;""), LEN(TRIM(SUBSTITUTE(D502:J502, CHAR(160), "")))) &amp; " Car."</f>
        <v>0 Car.</v>
      </c>
      <c r="C502" s="1376" t="str">
        <f>IF(ISBLANK(D502),"",LARGE(C13:C501,1)+1)</f>
        <v/>
      </c>
      <c r="D502" s="1833"/>
      <c r="E502" s="1810"/>
      <c r="F502" s="1810"/>
      <c r="G502" s="1810"/>
      <c r="H502" s="1810"/>
      <c r="I502" s="1810"/>
      <c r="J502" s="1810"/>
      <c r="K502" s="1810"/>
      <c r="L502" s="1811"/>
      <c r="M502"/>
      <c r="N502" s="103" t="str">
        <f t="shared" si="204"/>
        <v>►</v>
      </c>
      <c r="O502" s="1616"/>
      <c r="P502"/>
      <c r="Q502" s="103" t="s">
        <v>15</v>
      </c>
      <c r="R502" s="31"/>
      <c r="S502" s="32"/>
      <c r="T502" s="31"/>
      <c r="U502" s="33"/>
      <c r="V502" s="1804"/>
      <c r="W502" s="1805"/>
      <c r="X502" s="91"/>
      <c r="Y502" s="1806"/>
      <c r="Z502" s="1807"/>
      <c r="AA502" s="919"/>
      <c r="AB502" s="1813"/>
      <c r="AC502" s="1580"/>
      <c r="AD502" s="95"/>
      <c r="AE502" s="105"/>
      <c r="AF502" s="97"/>
      <c r="AG502" s="2080"/>
      <c r="AH502" s="2081"/>
      <c r="AI502" s="99"/>
      <c r="AJ502" s="1809"/>
      <c r="AK502" s="6120" t="str">
        <f t="shared" si="218"/>
        <v>►</v>
      </c>
      <c r="AL502" s="781" t="str">
        <f t="shared" si="206"/>
        <v>►</v>
      </c>
      <c r="AM502" s="5498" t="str">
        <f t="shared" si="209"/>
        <v/>
      </c>
      <c r="AN502" s="783" t="str">
        <f t="shared" si="210"/>
        <v/>
      </c>
      <c r="AO502" s="782" t="str">
        <f t="shared" si="211"/>
        <v/>
      </c>
      <c r="AP502" s="783" t="str">
        <f t="shared" si="212"/>
        <v/>
      </c>
      <c r="AQ502" s="2083" t="b">
        <f>AND(Q502="A",COUNTIF(BP16:BR63,TRIM(Z502))&gt;0)</f>
        <v>0</v>
      </c>
      <c r="AR502" s="797" t="str">
        <f>IF(AL502&lt;&gt;"A","",IFERROR(IFERROR(_xlfn.XLOOKUP(TRIM(SUBSTITUTE(Z502,CHAR(160)," ")),BP16:BP63,BS16:BS63),IFERROR(_xlfn.XLOOKUP(TRIM(SUBSTITUTE(Z502,CHAR(160)," ")),BQ16:BQ63,BS16:BS63),_xlfn.XLOOKUP(TRIM(SUBSTITUTE(Z502,CHAR(160)," ")),BR16:BR63,BS16:BS63)))*Y502*IF(ISBLANK(V502),1,V502),0))</f>
        <v/>
      </c>
      <c r="AS502" s="784" t="str">
        <f t="shared" si="202"/>
        <v/>
      </c>
      <c r="AT502" s="1315" t="str">
        <f t="shared" si="213"/>
        <v/>
      </c>
      <c r="AU502" s="785">
        <f t="shared" si="214"/>
        <v>0</v>
      </c>
      <c r="AV502" s="785">
        <f t="shared" si="215"/>
        <v>0</v>
      </c>
      <c r="AW502" s="798">
        <f>IF(AK502="A",AY10,0)</f>
        <v>0</v>
      </c>
      <c r="AX502" s="5496" t="str">
        <f>IF(IFERROR(SEARCH("Adresse PC",TRIM(W502)),0)&gt;0,"▼ receta siguiente",IF(AK502="A",IF(AZ10&lt;&gt;"",AZ10&amp;" - ou.or.o ❾ + or - &gt;",""),""))</f>
        <v/>
      </c>
      <c r="AY502" s="810"/>
      <c r="AZ502" s="810"/>
      <c r="BA502" s="799" t="str">
        <f t="shared" si="205"/>
        <v/>
      </c>
      <c r="BB502" s="800" t="str">
        <f>IF(AK502="A",IF(AQ502,IF(AND(AW502&lt;&gt;"",N(AW502)&gt;0),IFERROR(IFERROR(_xlfn.XLOOKUP(AP502,BP10:BP57,BT10:BT57),IFERROR(_xlfn.XLOOKUP(AP502,BQ10:BQ57,BT10:BT57),_xlfn.XLOOKUP(AP502,BR10:BR57,BT10:BT57,""))),""),""),""),"")</f>
        <v/>
      </c>
      <c r="BC502" s="813" cm="1">
        <f t="array" ref="BC502">IF(NOT(AQ502),0,IF(OR(BA502="",N(BA502)&lt;=0.000000001),"",IF(OR(AU502="",N(AU502)&lt;=0.000000001),0,IF(ISNUMBER(BA502),IFERROR(_xlfn.LET(_xlpm.ai_test,TRIM(AP502),_xlpm.r,IFERROR(_xlfn.XLOOKUP(_xlpm.ai_test,BP16:BP63,ROW(BP16:BP63),0,1),IFERROR(_xlfn.XLOOKUP(_xlpm.ai_test,BQ16:BQ63,ROW(BQ16:BQ63),0,1),_xlfn.XLOOKUP(_xlpm.ai_test,BR16:BR63,ROW(BR16:BR63),0,1))),_xlpm.p,_xlpm.r-MIN(ROW(BP16:BP63))+1,_xlpm.f,INDEX(BS16:BS63,_xlpm.p),_xlpm.u,INDEX(BT16:BT63,_xlpm.p),_xlpm.s,INDEX(BV16:BV63,_xlpm.p),_xlpm.q,N(BA502)/_xlpm.f,IF(_xlpm.q&gt;=_xlpm.s,ROUND(_xlpm.q,1)&amp;" "&amp;_xlpm.ai_test&amp;" = "&amp;ROUND(_xlpm.q*_xlpm.f,1)&amp;" "&amp;_xlpm.u,ROUND(_xlpm.q,1)&amp;" "&amp;_xlpm.ai_test)),""),""))))</f>
        <v>0</v>
      </c>
      <c r="BD502" s="801"/>
      <c r="BE502" s="799" t="str">
        <f t="shared" si="216"/>
        <v/>
      </c>
      <c r="BF502" s="800" t="str">
        <f t="shared" si="219"/>
        <v/>
      </c>
      <c r="BG502" s="802">
        <f t="shared" si="220"/>
        <v>0</v>
      </c>
      <c r="BH502" s="803" t="str">
        <f t="shared" si="221"/>
        <v/>
      </c>
      <c r="BI502" s="792"/>
      <c r="BJ502" s="804">
        <f t="shared" si="222"/>
        <v>0</v>
      </c>
      <c r="BK502" s="794" t="str">
        <f t="shared" si="217"/>
        <v/>
      </c>
      <c r="BL502" s="227" t="s">
        <v>21</v>
      </c>
      <c r="BM502" s="773">
        <f t="shared" si="207"/>
        <v>0</v>
      </c>
      <c r="BN502" s="774">
        <f t="shared" si="208"/>
        <v>0</v>
      </c>
      <c r="BO502"/>
      <c r="BX502"/>
      <c r="BY502"/>
      <c r="BZ502"/>
      <c r="CA502"/>
      <c r="CB502"/>
      <c r="CC502"/>
      <c r="CD502" s="781" t="str">
        <f t="shared" si="203"/>
        <v>►</v>
      </c>
      <c r="CE502" s="633"/>
      <c r="CF502" s="633"/>
      <c r="CG502" s="633"/>
      <c r="CH502" s="633"/>
      <c r="CI502" s="633"/>
      <c r="CJ502" s="227"/>
      <c r="CK502"/>
      <c r="CL502"/>
      <c r="CM502"/>
      <c r="CN502"/>
      <c r="CO502"/>
      <c r="CP502"/>
      <c r="CQ502"/>
      <c r="CR502" s="227"/>
      <c r="CS502"/>
      <c r="CT502"/>
      <c r="CU502"/>
      <c r="CV502"/>
      <c r="CW502"/>
      <c r="CX502"/>
      <c r="CY502"/>
      <c r="CZ502" s="227"/>
      <c r="DA502"/>
      <c r="DB502"/>
      <c r="DC502"/>
      <c r="DD502"/>
      <c r="DE502"/>
      <c r="DF502"/>
      <c r="DG502"/>
      <c r="DH502" s="227"/>
      <c r="DI502" s="3">
        <v>1</v>
      </c>
    </row>
    <row r="503" spans="2:113" s="627" customFormat="1" ht="21" customHeight="1">
      <c r="B503" s="2265" t="str" cm="1">
        <f t="array" ref="B503">SUMPRODUCT(--(D503:J503&lt;&gt;""), LEN(TRIM(SUBSTITUTE(D503:J503, CHAR(160), "")))) &amp; " Car."</f>
        <v>0 Car.</v>
      </c>
      <c r="C503" s="1376" t="str">
        <f>IF(ISBLANK(D503),"",LARGE(C13:C502,1)+1)</f>
        <v/>
      </c>
      <c r="D503" s="1833"/>
      <c r="E503" s="1810"/>
      <c r="F503" s="1810"/>
      <c r="G503" s="1810"/>
      <c r="H503" s="1810"/>
      <c r="I503" s="1810"/>
      <c r="J503" s="1810"/>
      <c r="K503" s="1810"/>
      <c r="L503" s="1811"/>
      <c r="M503"/>
      <c r="N503" s="103" t="str">
        <f t="shared" si="204"/>
        <v>►</v>
      </c>
      <c r="O503" s="1616"/>
      <c r="P503"/>
      <c r="Q503" s="103" t="s">
        <v>15</v>
      </c>
      <c r="R503" s="31"/>
      <c r="S503" s="32"/>
      <c r="T503" s="31"/>
      <c r="U503" s="33"/>
      <c r="V503" s="1804"/>
      <c r="W503" s="1805"/>
      <c r="X503" s="91"/>
      <c r="Y503" s="1806"/>
      <c r="Z503" s="1807"/>
      <c r="AA503" s="919"/>
      <c r="AB503" s="1813"/>
      <c r="AC503" s="1580"/>
      <c r="AD503" s="95"/>
      <c r="AE503" s="105"/>
      <c r="AF503" s="97"/>
      <c r="AG503" s="2080"/>
      <c r="AH503" s="2081"/>
      <c r="AI503" s="99"/>
      <c r="AJ503" s="1809"/>
      <c r="AK503" s="6120" t="str">
        <f t="shared" si="218"/>
        <v>►</v>
      </c>
      <c r="AL503" s="781" t="str">
        <f t="shared" si="206"/>
        <v>►</v>
      </c>
      <c r="AM503" s="5499" t="str">
        <f t="shared" si="209"/>
        <v/>
      </c>
      <c r="AN503" s="783" t="str">
        <f t="shared" si="210"/>
        <v/>
      </c>
      <c r="AO503" s="782" t="str">
        <f t="shared" si="211"/>
        <v/>
      </c>
      <c r="AP503" s="783" t="str">
        <f t="shared" si="212"/>
        <v/>
      </c>
      <c r="AQ503" s="2083" t="b">
        <f>AND(Q503="A",COUNTIF(BP16:BR63,TRIM(Z503))&gt;0)</f>
        <v>0</v>
      </c>
      <c r="AR503" s="797" t="str">
        <f>IF(AL503&lt;&gt;"A","",IFERROR(IFERROR(_xlfn.XLOOKUP(TRIM(SUBSTITUTE(Z503,CHAR(160)," ")),BP16:BP63,BS16:BS63),IFERROR(_xlfn.XLOOKUP(TRIM(SUBSTITUTE(Z503,CHAR(160)," ")),BQ16:BQ63,BS16:BS63),_xlfn.XLOOKUP(TRIM(SUBSTITUTE(Z503,CHAR(160)," ")),BR16:BR63,BS16:BS63)))*Y503*IF(ISBLANK(V503),1,V503),0))</f>
        <v/>
      </c>
      <c r="AS503" s="784" t="str">
        <f t="shared" si="202"/>
        <v/>
      </c>
      <c r="AT503" s="1315" t="str">
        <f t="shared" si="213"/>
        <v/>
      </c>
      <c r="AU503" s="785">
        <f t="shared" si="214"/>
        <v>0</v>
      </c>
      <c r="AV503" s="785">
        <f t="shared" si="215"/>
        <v>0</v>
      </c>
      <c r="AW503" s="786">
        <f>IF(AK503="A",AY10,0)</f>
        <v>0</v>
      </c>
      <c r="AX503" s="5495" t="str">
        <f>IF(IFERROR(SEARCH("Adresse PC",TRIM(W503)),0)&gt;0,"▼ receta siguiente",IF(AK503="A",IF(AZ10&lt;&gt;"",AZ10&amp;" - ou.or.o ❾ + or - &gt;",""),""))</f>
        <v/>
      </c>
      <c r="AY503" s="810"/>
      <c r="AZ503" s="810"/>
      <c r="BA503" s="788" t="str">
        <f t="shared" si="205"/>
        <v/>
      </c>
      <c r="BB503" s="789" t="str">
        <f>IF(AK503="A",IF(AQ503,IF(AND(AW503&lt;&gt;"",N(AW503)&gt;0),IFERROR(IFERROR(_xlfn.XLOOKUP(AP503,BP10:BP57,BT10:BT57),IFERROR(_xlfn.XLOOKUP(AP503,BQ10:BQ57,BT10:BT57),_xlfn.XLOOKUP(AP503,BR10:BR57,BT10:BT57,""))),""),""),""),"")</f>
        <v/>
      </c>
      <c r="BC503" s="811" cm="1">
        <f t="array" ref="BC503">IF(NOT(AQ503),0,IF(OR(BA503="",N(BA503)&lt;=0.000000001),"",IF(OR(AU503="",N(AU503)&lt;=0.000000001),0,IF(ISNUMBER(BA503),IFERROR(_xlfn.LET(_xlpm.ai_test,TRIM(AP503),_xlpm.r,IFERROR(_xlfn.XLOOKUP(_xlpm.ai_test,BP16:BP63,ROW(BP16:BP63),0,1),IFERROR(_xlfn.XLOOKUP(_xlpm.ai_test,BQ16:BQ63,ROW(BQ16:BQ63),0,1),_xlfn.XLOOKUP(_xlpm.ai_test,BR16:BR63,ROW(BR16:BR63),0,1))),_xlpm.p,_xlpm.r-MIN(ROW(BP16:BP63))+1,_xlpm.f,INDEX(BS16:BS63,_xlpm.p),_xlpm.u,INDEX(BT16:BT63,_xlpm.p),_xlpm.s,INDEX(BV16:BV63,_xlpm.p),_xlpm.q,N(BA503)/_xlpm.f,IF(_xlpm.q&gt;=_xlpm.s,ROUND(_xlpm.q,1)&amp;" "&amp;_xlpm.ai_test&amp;" = "&amp;ROUND(_xlpm.q*_xlpm.f,1)&amp;" "&amp;_xlpm.u,ROUND(_xlpm.q,1)&amp;" "&amp;_xlpm.ai_test)),""),""))))</f>
        <v>0</v>
      </c>
      <c r="BD503" s="801"/>
      <c r="BE503" s="788" t="str">
        <f t="shared" si="216"/>
        <v/>
      </c>
      <c r="BF503" s="789" t="str">
        <f t="shared" si="219"/>
        <v/>
      </c>
      <c r="BG503" s="790">
        <f t="shared" si="220"/>
        <v>0</v>
      </c>
      <c r="BH503" s="791" t="str">
        <f t="shared" si="221"/>
        <v/>
      </c>
      <c r="BI503" s="792"/>
      <c r="BJ503" s="793">
        <f t="shared" si="222"/>
        <v>0</v>
      </c>
      <c r="BK503" s="794" t="str">
        <f t="shared" si="217"/>
        <v/>
      </c>
      <c r="BL503" s="227" t="s">
        <v>21</v>
      </c>
      <c r="BM503" s="773">
        <f t="shared" si="207"/>
        <v>0</v>
      </c>
      <c r="BN503" s="774">
        <f t="shared" si="208"/>
        <v>0</v>
      </c>
      <c r="BO503"/>
      <c r="BX503"/>
      <c r="BY503"/>
      <c r="BZ503"/>
      <c r="CA503"/>
      <c r="CB503"/>
      <c r="CC503"/>
      <c r="CD503" s="781" t="str">
        <f t="shared" si="203"/>
        <v>►</v>
      </c>
      <c r="CE503" s="633"/>
      <c r="CF503" s="633"/>
      <c r="CG503" s="633"/>
      <c r="CH503" s="633"/>
      <c r="CI503" s="633"/>
      <c r="CJ503" s="227"/>
      <c r="CK503"/>
      <c r="CL503"/>
      <c r="CM503"/>
      <c r="CN503"/>
      <c r="CO503"/>
      <c r="CP503"/>
      <c r="CQ503"/>
      <c r="CR503" s="227"/>
      <c r="CS503"/>
      <c r="CT503"/>
      <c r="CU503"/>
      <c r="CV503"/>
      <c r="CW503"/>
      <c r="CX503"/>
      <c r="CY503"/>
      <c r="CZ503" s="227"/>
      <c r="DA503"/>
      <c r="DB503"/>
      <c r="DC503"/>
      <c r="DD503"/>
      <c r="DE503"/>
      <c r="DF503"/>
      <c r="DG503"/>
      <c r="DH503" s="227"/>
      <c r="DI503" s="3">
        <v>1</v>
      </c>
    </row>
    <row r="504" spans="2:113" s="627" customFormat="1" ht="21" customHeight="1">
      <c r="B504" s="2265" t="str" cm="1">
        <f t="array" ref="B504">SUMPRODUCT(--(D504:J504&lt;&gt;""), LEN(TRIM(SUBSTITUTE(D504:J504, CHAR(160), "")))) &amp; " Car."</f>
        <v>0 Car.</v>
      </c>
      <c r="C504" s="1376" t="str">
        <f>IF(ISBLANK(D504),"",LARGE(C13:C503,1)+1)</f>
        <v/>
      </c>
      <c r="D504" s="1833"/>
      <c r="E504" s="1810"/>
      <c r="F504" s="1810"/>
      <c r="G504" s="1810"/>
      <c r="H504" s="1810"/>
      <c r="I504" s="1810"/>
      <c r="J504" s="1810"/>
      <c r="K504" s="1810"/>
      <c r="L504" s="1811"/>
      <c r="M504"/>
      <c r="N504" s="103" t="str">
        <f t="shared" si="204"/>
        <v>►</v>
      </c>
      <c r="O504" s="1616"/>
      <c r="P504"/>
      <c r="Q504" s="103" t="s">
        <v>15</v>
      </c>
      <c r="R504" s="31"/>
      <c r="S504" s="32"/>
      <c r="T504" s="31"/>
      <c r="U504" s="33"/>
      <c r="V504" s="1804"/>
      <c r="W504" s="1805"/>
      <c r="X504" s="91"/>
      <c r="Y504" s="1806"/>
      <c r="Z504" s="1807"/>
      <c r="AA504" s="919"/>
      <c r="AB504" s="1813"/>
      <c r="AC504" s="1580"/>
      <c r="AD504" s="95"/>
      <c r="AE504" s="105"/>
      <c r="AF504" s="97"/>
      <c r="AG504" s="2080"/>
      <c r="AH504" s="2081"/>
      <c r="AI504" s="99"/>
      <c r="AJ504" s="1809"/>
      <c r="AK504" s="6120" t="str">
        <f t="shared" si="218"/>
        <v>►</v>
      </c>
      <c r="AL504" s="781" t="str">
        <f t="shared" si="206"/>
        <v>►</v>
      </c>
      <c r="AM504" s="5498" t="str">
        <f t="shared" si="209"/>
        <v/>
      </c>
      <c r="AN504" s="783" t="str">
        <f t="shared" si="210"/>
        <v/>
      </c>
      <c r="AO504" s="782" t="str">
        <f t="shared" si="211"/>
        <v/>
      </c>
      <c r="AP504" s="783" t="str">
        <f t="shared" si="212"/>
        <v/>
      </c>
      <c r="AQ504" s="2083" t="b">
        <f>AND(Q504="A",COUNTIF(BP16:BR63,TRIM(Z504))&gt;0)</f>
        <v>0</v>
      </c>
      <c r="AR504" s="797" t="str">
        <f>IF(AL504&lt;&gt;"A","",IFERROR(IFERROR(_xlfn.XLOOKUP(TRIM(SUBSTITUTE(Z504,CHAR(160)," ")),BP16:BP63,BS16:BS63),IFERROR(_xlfn.XLOOKUP(TRIM(SUBSTITUTE(Z504,CHAR(160)," ")),BQ16:BQ63,BS16:BS63),_xlfn.XLOOKUP(TRIM(SUBSTITUTE(Z504,CHAR(160)," ")),BR16:BR63,BS16:BS63)))*Y504*IF(ISBLANK(V504),1,V504),0))</f>
        <v/>
      </c>
      <c r="AS504" s="784" t="str">
        <f t="shared" si="202"/>
        <v/>
      </c>
      <c r="AT504" s="1315" t="str">
        <f t="shared" si="213"/>
        <v/>
      </c>
      <c r="AU504" s="785">
        <f t="shared" si="214"/>
        <v>0</v>
      </c>
      <c r="AV504" s="785">
        <f t="shared" si="215"/>
        <v>0</v>
      </c>
      <c r="AW504" s="798">
        <f>IF(AK504="A",AY10,0)</f>
        <v>0</v>
      </c>
      <c r="AX504" s="5496" t="str">
        <f>IF(IFERROR(SEARCH("Adresse PC",TRIM(W504)),0)&gt;0,"▼ receta siguiente",IF(AK504="A",IF(AZ10&lt;&gt;"",AZ10&amp;" - ou.or.o ❾ + or - &gt;",""),""))</f>
        <v/>
      </c>
      <c r="AY504" s="810"/>
      <c r="AZ504" s="810"/>
      <c r="BA504" s="799" t="str">
        <f t="shared" si="205"/>
        <v/>
      </c>
      <c r="BB504" s="800" t="str">
        <f>IF(AK504="A",IF(AQ504,IF(AND(AW504&lt;&gt;"",N(AW504)&gt;0),IFERROR(IFERROR(_xlfn.XLOOKUP(AP504,BP10:BP57,BT10:BT57),IFERROR(_xlfn.XLOOKUP(AP504,BQ10:BQ57,BT10:BT57),_xlfn.XLOOKUP(AP504,BR10:BR57,BT10:BT57,""))),""),""),""),"")</f>
        <v/>
      </c>
      <c r="BC504" s="813" cm="1">
        <f t="array" ref="BC504">IF(NOT(AQ504),0,IF(OR(BA504="",N(BA504)&lt;=0.000000001),"",IF(OR(AU504="",N(AU504)&lt;=0.000000001),0,IF(ISNUMBER(BA504),IFERROR(_xlfn.LET(_xlpm.ai_test,TRIM(AP504),_xlpm.r,IFERROR(_xlfn.XLOOKUP(_xlpm.ai_test,BP16:BP63,ROW(BP16:BP63),0,1),IFERROR(_xlfn.XLOOKUP(_xlpm.ai_test,BQ16:BQ63,ROW(BQ16:BQ63),0,1),_xlfn.XLOOKUP(_xlpm.ai_test,BR16:BR63,ROW(BR16:BR63),0,1))),_xlpm.p,_xlpm.r-MIN(ROW(BP16:BP63))+1,_xlpm.f,INDEX(BS16:BS63,_xlpm.p),_xlpm.u,INDEX(BT16:BT63,_xlpm.p),_xlpm.s,INDEX(BV16:BV63,_xlpm.p),_xlpm.q,N(BA504)/_xlpm.f,IF(_xlpm.q&gt;=_xlpm.s,ROUND(_xlpm.q,1)&amp;" "&amp;_xlpm.ai_test&amp;" = "&amp;ROUND(_xlpm.q*_xlpm.f,1)&amp;" "&amp;_xlpm.u,ROUND(_xlpm.q,1)&amp;" "&amp;_xlpm.ai_test)),""),""))))</f>
        <v>0</v>
      </c>
      <c r="BD504" s="801"/>
      <c r="BE504" s="799" t="str">
        <f t="shared" si="216"/>
        <v/>
      </c>
      <c r="BF504" s="800" t="str">
        <f t="shared" si="219"/>
        <v/>
      </c>
      <c r="BG504" s="802">
        <f t="shared" si="220"/>
        <v>0</v>
      </c>
      <c r="BH504" s="803" t="str">
        <f t="shared" si="221"/>
        <v/>
      </c>
      <c r="BI504" s="792"/>
      <c r="BJ504" s="804">
        <f t="shared" si="222"/>
        <v>0</v>
      </c>
      <c r="BK504" s="794" t="str">
        <f t="shared" si="217"/>
        <v/>
      </c>
      <c r="BL504" s="227" t="s">
        <v>21</v>
      </c>
      <c r="BM504" s="773">
        <f t="shared" si="207"/>
        <v>0</v>
      </c>
      <c r="BN504" s="774">
        <f t="shared" si="208"/>
        <v>0</v>
      </c>
      <c r="BO504"/>
      <c r="BX504"/>
      <c r="BY504"/>
      <c r="BZ504"/>
      <c r="CA504"/>
      <c r="CB504"/>
      <c r="CC504"/>
      <c r="CD504" s="781" t="str">
        <f t="shared" si="203"/>
        <v>►</v>
      </c>
      <c r="CE504" s="633"/>
      <c r="CF504" s="633"/>
      <c r="CG504" s="633"/>
      <c r="CH504" s="633"/>
      <c r="CI504" s="633"/>
      <c r="CJ504" s="227"/>
      <c r="CK504"/>
      <c r="CL504"/>
      <c r="CM504"/>
      <c r="CN504"/>
      <c r="CO504"/>
      <c r="CP504"/>
      <c r="CQ504"/>
      <c r="CR504" s="227"/>
      <c r="CS504"/>
      <c r="CT504"/>
      <c r="CU504"/>
      <c r="CV504"/>
      <c r="CW504"/>
      <c r="CX504"/>
      <c r="CY504"/>
      <c r="CZ504" s="227"/>
      <c r="DA504"/>
      <c r="DB504"/>
      <c r="DC504"/>
      <c r="DD504"/>
      <c r="DE504"/>
      <c r="DF504"/>
      <c r="DG504"/>
      <c r="DH504" s="227"/>
      <c r="DI504" s="3">
        <v>1</v>
      </c>
    </row>
    <row r="505" spans="2:113" s="627" customFormat="1" ht="21" customHeight="1">
      <c r="B505" s="2265" t="str" cm="1">
        <f t="array" ref="B505">SUMPRODUCT(--(D505:J505&lt;&gt;""), LEN(TRIM(SUBSTITUTE(D505:J505, CHAR(160), "")))) &amp; " Car."</f>
        <v>0 Car.</v>
      </c>
      <c r="C505" s="1376" t="str">
        <f>IF(ISBLANK(D505),"",LARGE(C13:C504,1)+1)</f>
        <v/>
      </c>
      <c r="D505" s="1833"/>
      <c r="E505" s="1810"/>
      <c r="F505" s="1810"/>
      <c r="G505" s="1810"/>
      <c r="H505" s="1810"/>
      <c r="I505" s="1810"/>
      <c r="J505" s="1810"/>
      <c r="K505" s="1810"/>
      <c r="L505" s="1811"/>
      <c r="M505"/>
      <c r="N505" s="103" t="str">
        <f t="shared" si="204"/>
        <v>►</v>
      </c>
      <c r="O505" s="1616"/>
      <c r="P505"/>
      <c r="Q505" s="103" t="s">
        <v>15</v>
      </c>
      <c r="R505" s="31"/>
      <c r="S505" s="32"/>
      <c r="T505" s="31"/>
      <c r="U505" s="33"/>
      <c r="V505" s="1804"/>
      <c r="W505" s="1805"/>
      <c r="X505" s="91"/>
      <c r="Y505" s="1806"/>
      <c r="Z505" s="1807"/>
      <c r="AA505" s="919"/>
      <c r="AB505" s="1813"/>
      <c r="AC505" s="1580"/>
      <c r="AD505" s="95"/>
      <c r="AE505" s="105"/>
      <c r="AF505" s="97"/>
      <c r="AG505" s="2080"/>
      <c r="AH505" s="2081"/>
      <c r="AI505" s="99"/>
      <c r="AJ505" s="1809"/>
      <c r="AK505" s="6120" t="str">
        <f t="shared" si="218"/>
        <v>►</v>
      </c>
      <c r="AL505" s="781" t="str">
        <f t="shared" si="206"/>
        <v>►</v>
      </c>
      <c r="AM505" s="5499" t="str">
        <f t="shared" si="209"/>
        <v/>
      </c>
      <c r="AN505" s="783" t="str">
        <f t="shared" si="210"/>
        <v/>
      </c>
      <c r="AO505" s="782" t="str">
        <f t="shared" si="211"/>
        <v/>
      </c>
      <c r="AP505" s="783" t="str">
        <f t="shared" si="212"/>
        <v/>
      </c>
      <c r="AQ505" s="2083" t="b">
        <f>AND(Q505="A",COUNTIF(BP16:BR63,TRIM(Z505))&gt;0)</f>
        <v>0</v>
      </c>
      <c r="AR505" s="797" t="str">
        <f>IF(AL505&lt;&gt;"A","",IFERROR(IFERROR(_xlfn.XLOOKUP(TRIM(SUBSTITUTE(Z505,CHAR(160)," ")),BP16:BP63,BS16:BS63),IFERROR(_xlfn.XLOOKUP(TRIM(SUBSTITUTE(Z505,CHAR(160)," ")),BQ16:BQ63,BS16:BS63),_xlfn.XLOOKUP(TRIM(SUBSTITUTE(Z505,CHAR(160)," ")),BR16:BR63,BS16:BS63)))*Y505*IF(ISBLANK(V505),1,V505),0))</f>
        <v/>
      </c>
      <c r="AS505" s="784" t="str">
        <f t="shared" si="202"/>
        <v/>
      </c>
      <c r="AT505" s="1315" t="str">
        <f t="shared" si="213"/>
        <v/>
      </c>
      <c r="AU505" s="785">
        <f t="shared" si="214"/>
        <v>0</v>
      </c>
      <c r="AV505" s="785">
        <f t="shared" si="215"/>
        <v>0</v>
      </c>
      <c r="AW505" s="786">
        <f>IF(AK505="A",AY10,0)</f>
        <v>0</v>
      </c>
      <c r="AX505" s="5495" t="str">
        <f>IF(IFERROR(SEARCH("Adresse PC",TRIM(W505)),0)&gt;0,"▼ receta siguiente",IF(AK505="A",IF(AZ10&lt;&gt;"",AZ10&amp;" - ou.or.o ❾ + or - &gt;",""),""))</f>
        <v/>
      </c>
      <c r="AY505" s="810"/>
      <c r="AZ505" s="810"/>
      <c r="BA505" s="788" t="str">
        <f t="shared" si="205"/>
        <v/>
      </c>
      <c r="BB505" s="789" t="str">
        <f>IF(AK505="A",IF(AQ505,IF(AND(AW505&lt;&gt;"",N(AW505)&gt;0),IFERROR(IFERROR(_xlfn.XLOOKUP(AP505,BP10:BP57,BT10:BT57),IFERROR(_xlfn.XLOOKUP(AP505,BQ10:BQ57,BT10:BT57),_xlfn.XLOOKUP(AP505,BR10:BR57,BT10:BT57,""))),""),""),""),"")</f>
        <v/>
      </c>
      <c r="BC505" s="811" cm="1">
        <f t="array" ref="BC505">IF(NOT(AQ505),0,IF(OR(BA505="",N(BA505)&lt;=0.000000001),"",IF(OR(AU505="",N(AU505)&lt;=0.000000001),0,IF(ISNUMBER(BA505),IFERROR(_xlfn.LET(_xlpm.ai_test,TRIM(AP505),_xlpm.r,IFERROR(_xlfn.XLOOKUP(_xlpm.ai_test,BP16:BP63,ROW(BP16:BP63),0,1),IFERROR(_xlfn.XLOOKUP(_xlpm.ai_test,BQ16:BQ63,ROW(BQ16:BQ63),0,1),_xlfn.XLOOKUP(_xlpm.ai_test,BR16:BR63,ROW(BR16:BR63),0,1))),_xlpm.p,_xlpm.r-MIN(ROW(BP16:BP63))+1,_xlpm.f,INDEX(BS16:BS63,_xlpm.p),_xlpm.u,INDEX(BT16:BT63,_xlpm.p),_xlpm.s,INDEX(BV16:BV63,_xlpm.p),_xlpm.q,N(BA505)/_xlpm.f,IF(_xlpm.q&gt;=_xlpm.s,ROUND(_xlpm.q,1)&amp;" "&amp;_xlpm.ai_test&amp;" = "&amp;ROUND(_xlpm.q*_xlpm.f,1)&amp;" "&amp;_xlpm.u,ROUND(_xlpm.q,1)&amp;" "&amp;_xlpm.ai_test)),""),""))))</f>
        <v>0</v>
      </c>
      <c r="BD505" s="801"/>
      <c r="BE505" s="788" t="str">
        <f t="shared" si="216"/>
        <v/>
      </c>
      <c r="BF505" s="789" t="str">
        <f t="shared" si="219"/>
        <v/>
      </c>
      <c r="BG505" s="790">
        <f t="shared" si="220"/>
        <v>0</v>
      </c>
      <c r="BH505" s="791" t="str">
        <f t="shared" si="221"/>
        <v/>
      </c>
      <c r="BI505" s="792"/>
      <c r="BJ505" s="793">
        <f t="shared" si="222"/>
        <v>0</v>
      </c>
      <c r="BK505" s="794" t="str">
        <f t="shared" si="217"/>
        <v/>
      </c>
      <c r="BL505" s="227" t="s">
        <v>21</v>
      </c>
      <c r="BM505" s="773">
        <f t="shared" si="207"/>
        <v>0</v>
      </c>
      <c r="BN505" s="774">
        <f t="shared" si="208"/>
        <v>0</v>
      </c>
      <c r="BO505"/>
      <c r="BX505"/>
      <c r="BY505"/>
      <c r="BZ505"/>
      <c r="CA505"/>
      <c r="CB505"/>
      <c r="CC505"/>
      <c r="CD505" s="781" t="str">
        <f t="shared" si="203"/>
        <v>►</v>
      </c>
      <c r="CE505" s="633"/>
      <c r="CF505" s="633"/>
      <c r="CG505" s="633"/>
      <c r="CH505" s="633"/>
      <c r="CI505" s="633"/>
      <c r="CJ505" s="227"/>
      <c r="CK505"/>
      <c r="CL505"/>
      <c r="CM505"/>
      <c r="CN505"/>
      <c r="CO505"/>
      <c r="CP505"/>
      <c r="CQ505"/>
      <c r="CR505" s="227"/>
      <c r="CS505"/>
      <c r="CT505"/>
      <c r="CU505"/>
      <c r="CV505"/>
      <c r="CW505"/>
      <c r="CX505"/>
      <c r="CY505"/>
      <c r="CZ505" s="227"/>
      <c r="DA505"/>
      <c r="DB505"/>
      <c r="DC505"/>
      <c r="DD505"/>
      <c r="DE505"/>
      <c r="DF505"/>
      <c r="DG505"/>
      <c r="DH505" s="227"/>
      <c r="DI505" s="3">
        <v>1</v>
      </c>
    </row>
    <row r="506" spans="2:113" s="627" customFormat="1" ht="21" customHeight="1">
      <c r="B506" s="2265" t="str" cm="1">
        <f t="array" ref="B506">SUMPRODUCT(--(D506:J506&lt;&gt;""), LEN(TRIM(SUBSTITUTE(D506:J506, CHAR(160), "")))) &amp; " Car."</f>
        <v>0 Car.</v>
      </c>
      <c r="C506" s="1376" t="str">
        <f>IF(ISBLANK(D506),"",LARGE(C13:C505,1)+1)</f>
        <v/>
      </c>
      <c r="D506" s="1833"/>
      <c r="E506" s="1810"/>
      <c r="F506" s="1810"/>
      <c r="G506" s="1810"/>
      <c r="H506" s="1810"/>
      <c r="I506" s="1810"/>
      <c r="J506" s="1810"/>
      <c r="K506" s="1810"/>
      <c r="L506" s="1811"/>
      <c r="M506"/>
      <c r="N506" s="103" t="str">
        <f t="shared" si="204"/>
        <v>►</v>
      </c>
      <c r="O506" s="1616"/>
      <c r="P506"/>
      <c r="Q506" s="103" t="s">
        <v>15</v>
      </c>
      <c r="R506" s="31"/>
      <c r="S506" s="32"/>
      <c r="T506" s="31"/>
      <c r="U506" s="33"/>
      <c r="V506" s="1804"/>
      <c r="W506" s="1805"/>
      <c r="X506" s="91"/>
      <c r="Y506" s="1806"/>
      <c r="Z506" s="1807"/>
      <c r="AA506" s="919"/>
      <c r="AB506" s="1813"/>
      <c r="AC506" s="1580"/>
      <c r="AD506" s="95"/>
      <c r="AE506" s="105"/>
      <c r="AF506" s="97"/>
      <c r="AG506" s="2080"/>
      <c r="AH506" s="2081"/>
      <c r="AI506" s="99"/>
      <c r="AJ506" s="1809"/>
      <c r="AK506" s="6120" t="str">
        <f t="shared" si="218"/>
        <v>►</v>
      </c>
      <c r="AL506" s="781" t="str">
        <f t="shared" si="206"/>
        <v>►</v>
      </c>
      <c r="AM506" s="5498" t="str">
        <f t="shared" si="209"/>
        <v/>
      </c>
      <c r="AN506" s="783" t="str">
        <f t="shared" si="210"/>
        <v/>
      </c>
      <c r="AO506" s="782" t="str">
        <f t="shared" si="211"/>
        <v/>
      </c>
      <c r="AP506" s="783" t="str">
        <f t="shared" si="212"/>
        <v/>
      </c>
      <c r="AQ506" s="2083" t="b">
        <f>AND(Q506="A",COUNTIF(BP16:BR63,TRIM(Z506))&gt;0)</f>
        <v>0</v>
      </c>
      <c r="AR506" s="797" t="str">
        <f>IF(AL506&lt;&gt;"A","",IFERROR(IFERROR(_xlfn.XLOOKUP(TRIM(SUBSTITUTE(Z506,CHAR(160)," ")),BP16:BP63,BS16:BS63),IFERROR(_xlfn.XLOOKUP(TRIM(SUBSTITUTE(Z506,CHAR(160)," ")),BQ16:BQ63,BS16:BS63),_xlfn.XLOOKUP(TRIM(SUBSTITUTE(Z506,CHAR(160)," ")),BR16:BR63,BS16:BS63)))*Y506*IF(ISBLANK(V506),1,V506),0))</f>
        <v/>
      </c>
      <c r="AS506" s="784" t="str">
        <f t="shared" si="202"/>
        <v/>
      </c>
      <c r="AT506" s="1315" t="str">
        <f t="shared" si="213"/>
        <v/>
      </c>
      <c r="AU506" s="785">
        <f t="shared" si="214"/>
        <v>0</v>
      </c>
      <c r="AV506" s="785">
        <f t="shared" si="215"/>
        <v>0</v>
      </c>
      <c r="AW506" s="798">
        <f>IF(AK506="A",AY10,0)</f>
        <v>0</v>
      </c>
      <c r="AX506" s="5496" t="str">
        <f>IF(IFERROR(SEARCH("Adresse PC",TRIM(W506)),0)&gt;0,"▼ receta siguiente",IF(AK506="A",IF(AZ10&lt;&gt;"",AZ10&amp;" - ou.or.o ❾ + or - &gt;",""),""))</f>
        <v/>
      </c>
      <c r="AY506" s="810"/>
      <c r="AZ506" s="810"/>
      <c r="BA506" s="799" t="str">
        <f t="shared" si="205"/>
        <v/>
      </c>
      <c r="BB506" s="800" t="str">
        <f>IF(AK506="A",IF(AQ506,IF(AND(AW506&lt;&gt;"",N(AW506)&gt;0),IFERROR(IFERROR(_xlfn.XLOOKUP(AP506,BP10:BP57,BT10:BT57),IFERROR(_xlfn.XLOOKUP(AP506,BQ10:BQ57,BT10:BT57),_xlfn.XLOOKUP(AP506,BR10:BR57,BT10:BT57,""))),""),""),""),"")</f>
        <v/>
      </c>
      <c r="BC506" s="813" cm="1">
        <f t="array" ref="BC506">IF(NOT(AQ506),0,IF(OR(BA506="",N(BA506)&lt;=0.000000001),"",IF(OR(AU506="",N(AU506)&lt;=0.000000001),0,IF(ISNUMBER(BA506),IFERROR(_xlfn.LET(_xlpm.ai_test,TRIM(AP506),_xlpm.r,IFERROR(_xlfn.XLOOKUP(_xlpm.ai_test,BP16:BP63,ROW(BP16:BP63),0,1),IFERROR(_xlfn.XLOOKUP(_xlpm.ai_test,BQ16:BQ63,ROW(BQ16:BQ63),0,1),_xlfn.XLOOKUP(_xlpm.ai_test,BR16:BR63,ROW(BR16:BR63),0,1))),_xlpm.p,_xlpm.r-MIN(ROW(BP16:BP63))+1,_xlpm.f,INDEX(BS16:BS63,_xlpm.p),_xlpm.u,INDEX(BT16:BT63,_xlpm.p),_xlpm.s,INDEX(BV16:BV63,_xlpm.p),_xlpm.q,N(BA506)/_xlpm.f,IF(_xlpm.q&gt;=_xlpm.s,ROUND(_xlpm.q,1)&amp;" "&amp;_xlpm.ai_test&amp;" = "&amp;ROUND(_xlpm.q*_xlpm.f,1)&amp;" "&amp;_xlpm.u,ROUND(_xlpm.q,1)&amp;" "&amp;_xlpm.ai_test)),""),""))))</f>
        <v>0</v>
      </c>
      <c r="BD506" s="801"/>
      <c r="BE506" s="799" t="str">
        <f t="shared" si="216"/>
        <v/>
      </c>
      <c r="BF506" s="800" t="str">
        <f t="shared" si="219"/>
        <v/>
      </c>
      <c r="BG506" s="802">
        <f t="shared" si="220"/>
        <v>0</v>
      </c>
      <c r="BH506" s="803" t="str">
        <f t="shared" si="221"/>
        <v/>
      </c>
      <c r="BI506" s="792"/>
      <c r="BJ506" s="804">
        <f t="shared" si="222"/>
        <v>0</v>
      </c>
      <c r="BK506" s="794" t="str">
        <f t="shared" si="217"/>
        <v/>
      </c>
      <c r="BL506" s="227" t="s">
        <v>21</v>
      </c>
      <c r="BM506" s="773">
        <f t="shared" si="207"/>
        <v>0</v>
      </c>
      <c r="BN506" s="774">
        <f t="shared" si="208"/>
        <v>0</v>
      </c>
      <c r="BO506"/>
      <c r="BX506"/>
      <c r="BY506"/>
      <c r="BZ506"/>
      <c r="CA506"/>
      <c r="CB506"/>
      <c r="CC506"/>
      <c r="CD506" s="781" t="str">
        <f t="shared" si="203"/>
        <v>►</v>
      </c>
      <c r="CE506" s="633"/>
      <c r="CF506" s="633"/>
      <c r="CG506" s="633"/>
      <c r="CH506" s="633"/>
      <c r="CI506" s="633"/>
      <c r="CJ506" s="227"/>
      <c r="CK506"/>
      <c r="CL506"/>
      <c r="CM506"/>
      <c r="CN506"/>
      <c r="CO506"/>
      <c r="CP506"/>
      <c r="CQ506"/>
      <c r="CR506" s="227"/>
      <c r="CS506"/>
      <c r="CT506"/>
      <c r="CU506"/>
      <c r="CV506"/>
      <c r="CW506"/>
      <c r="CX506"/>
      <c r="CY506"/>
      <c r="CZ506" s="227"/>
      <c r="DA506"/>
      <c r="DB506"/>
      <c r="DC506"/>
      <c r="DD506"/>
      <c r="DE506"/>
      <c r="DF506"/>
      <c r="DG506"/>
      <c r="DH506" s="227"/>
      <c r="DI506" s="3">
        <v>1</v>
      </c>
    </row>
    <row r="507" spans="2:113" s="627" customFormat="1" ht="21" customHeight="1">
      <c r="B507" s="2265" t="str" cm="1">
        <f t="array" ref="B507">SUMPRODUCT(--(D507:J507&lt;&gt;""), LEN(TRIM(SUBSTITUTE(D507:J507, CHAR(160), "")))) &amp; " Car."</f>
        <v>0 Car.</v>
      </c>
      <c r="C507" s="1376" t="str">
        <f>IF(ISBLANK(D507),"",LARGE(C13:C506,1)+1)</f>
        <v/>
      </c>
      <c r="D507" s="1833"/>
      <c r="E507" s="1810"/>
      <c r="F507" s="1810"/>
      <c r="G507" s="1810"/>
      <c r="H507" s="1810"/>
      <c r="I507" s="1810"/>
      <c r="J507" s="1810"/>
      <c r="K507" s="1810"/>
      <c r="L507" s="1811"/>
      <c r="M507"/>
      <c r="N507" s="103" t="str">
        <f t="shared" si="204"/>
        <v>►</v>
      </c>
      <c r="O507" s="1616"/>
      <c r="P507"/>
      <c r="Q507" s="103" t="s">
        <v>15</v>
      </c>
      <c r="R507" s="31"/>
      <c r="S507" s="32"/>
      <c r="T507" s="31"/>
      <c r="U507" s="33"/>
      <c r="V507" s="1804"/>
      <c r="W507" s="1805"/>
      <c r="X507" s="91"/>
      <c r="Y507" s="1806"/>
      <c r="Z507" s="1807"/>
      <c r="AA507" s="919"/>
      <c r="AB507" s="1813"/>
      <c r="AC507" s="1580"/>
      <c r="AD507" s="95"/>
      <c r="AE507" s="105"/>
      <c r="AF507" s="97"/>
      <c r="AG507" s="2080"/>
      <c r="AH507" s="2081"/>
      <c r="AI507" s="99"/>
      <c r="AJ507" s="1809"/>
      <c r="AK507" s="6120" t="str">
        <f t="shared" si="218"/>
        <v>►</v>
      </c>
      <c r="AL507" s="781" t="str">
        <f t="shared" si="206"/>
        <v>►</v>
      </c>
      <c r="AM507" s="5499" t="str">
        <f t="shared" si="209"/>
        <v/>
      </c>
      <c r="AN507" s="783" t="str">
        <f t="shared" si="210"/>
        <v/>
      </c>
      <c r="AO507" s="782" t="str">
        <f t="shared" si="211"/>
        <v/>
      </c>
      <c r="AP507" s="783" t="str">
        <f t="shared" si="212"/>
        <v/>
      </c>
      <c r="AQ507" s="2083" t="b">
        <f>AND(Q507="A",COUNTIF(BP16:BR63,TRIM(Z507))&gt;0)</f>
        <v>0</v>
      </c>
      <c r="AR507" s="797" t="str">
        <f>IF(AL507&lt;&gt;"A","",IFERROR(IFERROR(_xlfn.XLOOKUP(TRIM(SUBSTITUTE(Z507,CHAR(160)," ")),BP16:BP63,BS16:BS63),IFERROR(_xlfn.XLOOKUP(TRIM(SUBSTITUTE(Z507,CHAR(160)," ")),BQ16:BQ63,BS16:BS63),_xlfn.XLOOKUP(TRIM(SUBSTITUTE(Z507,CHAR(160)," ")),BR16:BR63,BS16:BS63)))*Y507*IF(ISBLANK(V507),1,V507),0))</f>
        <v/>
      </c>
      <c r="AS507" s="784" t="str">
        <f t="shared" si="202"/>
        <v/>
      </c>
      <c r="AT507" s="1315" t="str">
        <f t="shared" si="213"/>
        <v/>
      </c>
      <c r="AU507" s="785">
        <f t="shared" si="214"/>
        <v>0</v>
      </c>
      <c r="AV507" s="785">
        <f t="shared" si="215"/>
        <v>0</v>
      </c>
      <c r="AW507" s="786">
        <f>IF(AK507="A",AY10,0)</f>
        <v>0</v>
      </c>
      <c r="AX507" s="5495" t="str">
        <f>IF(IFERROR(SEARCH("Adresse PC",TRIM(W507)),0)&gt;0,"▼ receta siguiente",IF(AK507="A",IF(AZ10&lt;&gt;"",AZ10&amp;" - ou.or.o ❾ + or - &gt;",""),""))</f>
        <v/>
      </c>
      <c r="AY507" s="810"/>
      <c r="AZ507" s="810"/>
      <c r="BA507" s="788" t="str">
        <f t="shared" si="205"/>
        <v/>
      </c>
      <c r="BB507" s="789" t="str">
        <f>IF(AK507="A",IF(AQ507,IF(AND(AW507&lt;&gt;"",N(AW507)&gt;0),IFERROR(IFERROR(_xlfn.XLOOKUP(AP507,BP10:BP57,BT10:BT57),IFERROR(_xlfn.XLOOKUP(AP507,BQ10:BQ57,BT10:BT57),_xlfn.XLOOKUP(AP507,BR10:BR57,BT10:BT57,""))),""),""),""),"")</f>
        <v/>
      </c>
      <c r="BC507" s="811" cm="1">
        <f t="array" ref="BC507">IF(NOT(AQ507),0,IF(OR(BA507="",N(BA507)&lt;=0.000000001),"",IF(OR(AU507="",N(AU507)&lt;=0.000000001),0,IF(ISNUMBER(BA507),IFERROR(_xlfn.LET(_xlpm.ai_test,TRIM(AP507),_xlpm.r,IFERROR(_xlfn.XLOOKUP(_xlpm.ai_test,BP16:BP63,ROW(BP16:BP63),0,1),IFERROR(_xlfn.XLOOKUP(_xlpm.ai_test,BQ16:BQ63,ROW(BQ16:BQ63),0,1),_xlfn.XLOOKUP(_xlpm.ai_test,BR16:BR63,ROW(BR16:BR63),0,1))),_xlpm.p,_xlpm.r-MIN(ROW(BP16:BP63))+1,_xlpm.f,INDEX(BS16:BS63,_xlpm.p),_xlpm.u,INDEX(BT16:BT63,_xlpm.p),_xlpm.s,INDEX(BV16:BV63,_xlpm.p),_xlpm.q,N(BA507)/_xlpm.f,IF(_xlpm.q&gt;=_xlpm.s,ROUND(_xlpm.q,1)&amp;" "&amp;_xlpm.ai_test&amp;" = "&amp;ROUND(_xlpm.q*_xlpm.f,1)&amp;" "&amp;_xlpm.u,ROUND(_xlpm.q,1)&amp;" "&amp;_xlpm.ai_test)),""),""))))</f>
        <v>0</v>
      </c>
      <c r="BD507" s="801"/>
      <c r="BE507" s="788" t="str">
        <f t="shared" si="216"/>
        <v/>
      </c>
      <c r="BF507" s="789" t="str">
        <f t="shared" si="219"/>
        <v/>
      </c>
      <c r="BG507" s="790">
        <f t="shared" si="220"/>
        <v>0</v>
      </c>
      <c r="BH507" s="791" t="str">
        <f t="shared" si="221"/>
        <v/>
      </c>
      <c r="BI507" s="792"/>
      <c r="BJ507" s="793">
        <f t="shared" si="222"/>
        <v>0</v>
      </c>
      <c r="BK507" s="794" t="str">
        <f t="shared" si="217"/>
        <v/>
      </c>
      <c r="BL507" s="227" t="s">
        <v>21</v>
      </c>
      <c r="BM507" s="773">
        <f t="shared" si="207"/>
        <v>0</v>
      </c>
      <c r="BN507" s="774">
        <f t="shared" si="208"/>
        <v>0</v>
      </c>
      <c r="BO507"/>
      <c r="BX507"/>
      <c r="BY507"/>
      <c r="BZ507"/>
      <c r="CA507"/>
      <c r="CB507"/>
      <c r="CC507"/>
      <c r="CD507" s="781" t="str">
        <f t="shared" si="203"/>
        <v>►</v>
      </c>
      <c r="CE507" s="633"/>
      <c r="CF507" s="633"/>
      <c r="CG507" s="633"/>
      <c r="CH507" s="633"/>
      <c r="CI507" s="633"/>
      <c r="CJ507" s="227"/>
      <c r="CK507"/>
      <c r="CL507"/>
      <c r="CM507"/>
      <c r="CN507"/>
      <c r="CO507"/>
      <c r="CP507"/>
      <c r="CQ507"/>
      <c r="CR507" s="227"/>
      <c r="CS507"/>
      <c r="CT507"/>
      <c r="CU507"/>
      <c r="CV507"/>
      <c r="CW507"/>
      <c r="CX507"/>
      <c r="CY507"/>
      <c r="CZ507" s="227"/>
      <c r="DA507"/>
      <c r="DB507"/>
      <c r="DC507"/>
      <c r="DD507"/>
      <c r="DE507"/>
      <c r="DF507"/>
      <c r="DG507"/>
      <c r="DH507" s="227"/>
      <c r="DI507" s="3">
        <v>1</v>
      </c>
    </row>
    <row r="508" spans="2:113" s="627" customFormat="1" ht="21" customHeight="1">
      <c r="B508" s="2265" t="str" cm="1">
        <f t="array" ref="B508">SUMPRODUCT(--(D508:J508&lt;&gt;""), LEN(TRIM(SUBSTITUTE(D508:J508, CHAR(160), "")))) &amp; " Car."</f>
        <v>0 Car.</v>
      </c>
      <c r="C508" s="1376" t="str">
        <f>IF(ISBLANK(D508),"",LARGE(C13:C507,1)+1)</f>
        <v/>
      </c>
      <c r="D508" s="1833"/>
      <c r="E508" s="1810"/>
      <c r="F508" s="1810"/>
      <c r="G508" s="1810"/>
      <c r="H508" s="1810"/>
      <c r="I508" s="1810"/>
      <c r="J508" s="1810"/>
      <c r="K508" s="1810"/>
      <c r="L508" s="1811"/>
      <c r="M508"/>
      <c r="N508" s="103" t="str">
        <f t="shared" si="204"/>
        <v>►</v>
      </c>
      <c r="O508" s="1616"/>
      <c r="P508"/>
      <c r="Q508" s="103" t="s">
        <v>15</v>
      </c>
      <c r="R508" s="31"/>
      <c r="S508" s="32"/>
      <c r="T508" s="31"/>
      <c r="U508" s="33"/>
      <c r="V508" s="1804"/>
      <c r="W508" s="1805"/>
      <c r="X508" s="91"/>
      <c r="Y508" s="1806"/>
      <c r="Z508" s="1807"/>
      <c r="AA508" s="919"/>
      <c r="AB508" s="1813"/>
      <c r="AC508" s="1580"/>
      <c r="AD508" s="95"/>
      <c r="AE508" s="105"/>
      <c r="AF508" s="97"/>
      <c r="AG508" s="2080"/>
      <c r="AH508" s="2081"/>
      <c r="AI508" s="99"/>
      <c r="AJ508" s="1809"/>
      <c r="AK508" s="6120" t="str">
        <f t="shared" si="218"/>
        <v>►</v>
      </c>
      <c r="AL508" s="781" t="str">
        <f t="shared" si="206"/>
        <v>►</v>
      </c>
      <c r="AM508" s="5498" t="str">
        <f t="shared" si="209"/>
        <v/>
      </c>
      <c r="AN508" s="783" t="str">
        <f t="shared" si="210"/>
        <v/>
      </c>
      <c r="AO508" s="782" t="str">
        <f t="shared" si="211"/>
        <v/>
      </c>
      <c r="AP508" s="783" t="str">
        <f t="shared" si="212"/>
        <v/>
      </c>
      <c r="AQ508" s="2083" t="b">
        <f>AND(Q508="A",COUNTIF(BP16:BR63,TRIM(Z508))&gt;0)</f>
        <v>0</v>
      </c>
      <c r="AR508" s="797" t="str">
        <f>IF(AL508&lt;&gt;"A","",IFERROR(IFERROR(_xlfn.XLOOKUP(TRIM(SUBSTITUTE(Z508,CHAR(160)," ")),BP16:BP63,BS16:BS63),IFERROR(_xlfn.XLOOKUP(TRIM(SUBSTITUTE(Z508,CHAR(160)," ")),BQ16:BQ63,BS16:BS63),_xlfn.XLOOKUP(TRIM(SUBSTITUTE(Z508,CHAR(160)," ")),BR16:BR63,BS16:BS63)))*Y508*IF(ISBLANK(V508),1,V508),0))</f>
        <v/>
      </c>
      <c r="AS508" s="784" t="str">
        <f t="shared" si="202"/>
        <v/>
      </c>
      <c r="AT508" s="1315" t="str">
        <f t="shared" si="213"/>
        <v/>
      </c>
      <c r="AU508" s="785">
        <f t="shared" si="214"/>
        <v>0</v>
      </c>
      <c r="AV508" s="785">
        <f t="shared" si="215"/>
        <v>0</v>
      </c>
      <c r="AW508" s="798">
        <f>IF(AK508="A",AY10,0)</f>
        <v>0</v>
      </c>
      <c r="AX508" s="5496" t="str">
        <f>IF(IFERROR(SEARCH("Adresse PC",TRIM(W508)),0)&gt;0,"▼ receta siguiente",IF(AK508="A",IF(AZ10&lt;&gt;"",AZ10&amp;" - ou.or.o ❾ + or - &gt;",""),""))</f>
        <v/>
      </c>
      <c r="AY508" s="810"/>
      <c r="AZ508" s="810"/>
      <c r="BA508" s="799" t="str">
        <f t="shared" si="205"/>
        <v/>
      </c>
      <c r="BB508" s="800" t="str">
        <f>IF(AK508="A",IF(AQ508,IF(AND(AW508&lt;&gt;"",N(AW508)&gt;0),IFERROR(IFERROR(_xlfn.XLOOKUP(AP508,BP10:BP57,BT10:BT57),IFERROR(_xlfn.XLOOKUP(AP508,BQ10:BQ57,BT10:BT57),_xlfn.XLOOKUP(AP508,BR10:BR57,BT10:BT57,""))),""),""),""),"")</f>
        <v/>
      </c>
      <c r="BC508" s="813" cm="1">
        <f t="array" ref="BC508">IF(NOT(AQ508),0,IF(OR(BA508="",N(BA508)&lt;=0.000000001),"",IF(OR(AU508="",N(AU508)&lt;=0.000000001),0,IF(ISNUMBER(BA508),IFERROR(_xlfn.LET(_xlpm.ai_test,TRIM(AP508),_xlpm.r,IFERROR(_xlfn.XLOOKUP(_xlpm.ai_test,BP16:BP63,ROW(BP16:BP63),0,1),IFERROR(_xlfn.XLOOKUP(_xlpm.ai_test,BQ16:BQ63,ROW(BQ16:BQ63),0,1),_xlfn.XLOOKUP(_xlpm.ai_test,BR16:BR63,ROW(BR16:BR63),0,1))),_xlpm.p,_xlpm.r-MIN(ROW(BP16:BP63))+1,_xlpm.f,INDEX(BS16:BS63,_xlpm.p),_xlpm.u,INDEX(BT16:BT63,_xlpm.p),_xlpm.s,INDEX(BV16:BV63,_xlpm.p),_xlpm.q,N(BA508)/_xlpm.f,IF(_xlpm.q&gt;=_xlpm.s,ROUND(_xlpm.q,1)&amp;" "&amp;_xlpm.ai_test&amp;" = "&amp;ROUND(_xlpm.q*_xlpm.f,1)&amp;" "&amp;_xlpm.u,ROUND(_xlpm.q,1)&amp;" "&amp;_xlpm.ai_test)),""),""))))</f>
        <v>0</v>
      </c>
      <c r="BD508" s="801"/>
      <c r="BE508" s="799" t="str">
        <f t="shared" si="216"/>
        <v/>
      </c>
      <c r="BF508" s="800" t="str">
        <f t="shared" si="219"/>
        <v/>
      </c>
      <c r="BG508" s="802">
        <f t="shared" si="220"/>
        <v>0</v>
      </c>
      <c r="BH508" s="803" t="str">
        <f t="shared" si="221"/>
        <v/>
      </c>
      <c r="BI508" s="792"/>
      <c r="BJ508" s="804">
        <f t="shared" si="222"/>
        <v>0</v>
      </c>
      <c r="BK508" s="794" t="str">
        <f t="shared" si="217"/>
        <v/>
      </c>
      <c r="BL508" s="227" t="s">
        <v>21</v>
      </c>
      <c r="BM508" s="773">
        <f t="shared" si="207"/>
        <v>0</v>
      </c>
      <c r="BN508" s="774">
        <f t="shared" si="208"/>
        <v>0</v>
      </c>
      <c r="BO508"/>
      <c r="BX508"/>
      <c r="BY508"/>
      <c r="BZ508"/>
      <c r="CA508"/>
      <c r="CB508"/>
      <c r="CC508"/>
      <c r="CD508" s="781" t="str">
        <f t="shared" si="203"/>
        <v>►</v>
      </c>
      <c r="CE508" s="633"/>
      <c r="CF508" s="633"/>
      <c r="CG508" s="633"/>
      <c r="CH508" s="633"/>
      <c r="CI508" s="633"/>
      <c r="CJ508" s="227"/>
      <c r="CK508"/>
      <c r="CL508"/>
      <c r="CM508"/>
      <c r="CN508"/>
      <c r="CO508"/>
      <c r="CP508"/>
      <c r="CQ508"/>
      <c r="CR508" s="227"/>
      <c r="CS508"/>
      <c r="CT508"/>
      <c r="CU508"/>
      <c r="CV508"/>
      <c r="CW508"/>
      <c r="CX508"/>
      <c r="CY508"/>
      <c r="CZ508" s="227"/>
      <c r="DA508"/>
      <c r="DB508"/>
      <c r="DC508"/>
      <c r="DD508"/>
      <c r="DE508"/>
      <c r="DF508"/>
      <c r="DG508"/>
      <c r="DH508" s="227"/>
      <c r="DI508" s="3">
        <v>1</v>
      </c>
    </row>
    <row r="509" spans="2:113" s="627" customFormat="1" ht="21" customHeight="1">
      <c r="B509" s="2265" t="str" cm="1">
        <f t="array" ref="B509">SUMPRODUCT(--(D509:J509&lt;&gt;""), LEN(TRIM(SUBSTITUTE(D509:J509, CHAR(160), "")))) &amp; " Car."</f>
        <v>0 Car.</v>
      </c>
      <c r="C509" s="1376" t="str">
        <f>IF(ISBLANK(D509),"",LARGE(C13:C508,1)+1)</f>
        <v/>
      </c>
      <c r="D509" s="1833"/>
      <c r="E509" s="1810"/>
      <c r="F509" s="1810"/>
      <c r="G509" s="1810"/>
      <c r="H509" s="1810"/>
      <c r="I509" s="1810"/>
      <c r="J509" s="1810"/>
      <c r="K509" s="1810"/>
      <c r="L509" s="1811"/>
      <c r="M509"/>
      <c r="N509" s="103" t="str">
        <f t="shared" si="204"/>
        <v>►</v>
      </c>
      <c r="O509" s="1616"/>
      <c r="P509"/>
      <c r="Q509" s="103" t="s">
        <v>15</v>
      </c>
      <c r="R509" s="31"/>
      <c r="S509" s="32"/>
      <c r="T509" s="31"/>
      <c r="U509" s="33"/>
      <c r="V509" s="1804"/>
      <c r="W509" s="1805"/>
      <c r="X509" s="91"/>
      <c r="Y509" s="1806"/>
      <c r="Z509" s="1807"/>
      <c r="AA509" s="919"/>
      <c r="AB509" s="1813"/>
      <c r="AC509" s="1580"/>
      <c r="AD509" s="95"/>
      <c r="AE509" s="105"/>
      <c r="AF509" s="97"/>
      <c r="AG509" s="2080"/>
      <c r="AH509" s="2081"/>
      <c r="AI509" s="99"/>
      <c r="AJ509" s="1809"/>
      <c r="AK509" s="6120" t="str">
        <f t="shared" si="218"/>
        <v>►</v>
      </c>
      <c r="AL509" s="781" t="str">
        <f t="shared" si="206"/>
        <v>►</v>
      </c>
      <c r="AM509" s="5499" t="str">
        <f t="shared" si="209"/>
        <v/>
      </c>
      <c r="AN509" s="783" t="str">
        <f t="shared" si="210"/>
        <v/>
      </c>
      <c r="AO509" s="782" t="str">
        <f t="shared" si="211"/>
        <v/>
      </c>
      <c r="AP509" s="783" t="str">
        <f t="shared" si="212"/>
        <v/>
      </c>
      <c r="AQ509" s="2083" t="b">
        <f>AND(Q509="A",COUNTIF(BP16:BR63,TRIM(Z509))&gt;0)</f>
        <v>0</v>
      </c>
      <c r="AR509" s="797" t="str">
        <f>IF(AL509&lt;&gt;"A","",IFERROR(IFERROR(_xlfn.XLOOKUP(TRIM(SUBSTITUTE(Z509,CHAR(160)," ")),BP16:BP63,BS16:BS63),IFERROR(_xlfn.XLOOKUP(TRIM(SUBSTITUTE(Z509,CHAR(160)," ")),BQ16:BQ63,BS16:BS63),_xlfn.XLOOKUP(TRIM(SUBSTITUTE(Z509,CHAR(160)," ")),BR16:BR63,BS16:BS63)))*Y509*IF(ISBLANK(V509),1,V509),0))</f>
        <v/>
      </c>
      <c r="AS509" s="784" t="str">
        <f t="shared" si="202"/>
        <v/>
      </c>
      <c r="AT509" s="1315" t="str">
        <f t="shared" si="213"/>
        <v/>
      </c>
      <c r="AU509" s="785">
        <f t="shared" si="214"/>
        <v>0</v>
      </c>
      <c r="AV509" s="785">
        <f t="shared" si="215"/>
        <v>0</v>
      </c>
      <c r="AW509" s="786">
        <f>IF(AK509="A",AY10,0)</f>
        <v>0</v>
      </c>
      <c r="AX509" s="5495" t="str">
        <f>IF(IFERROR(SEARCH("Adresse PC",TRIM(W509)),0)&gt;0,"▼ receta siguiente",IF(AK509="A",IF(AZ10&lt;&gt;"",AZ10&amp;" - ou.or.o ❾ + or - &gt;",""),""))</f>
        <v/>
      </c>
      <c r="AY509" s="810"/>
      <c r="AZ509" s="810"/>
      <c r="BA509" s="788" t="str">
        <f t="shared" si="205"/>
        <v/>
      </c>
      <c r="BB509" s="789" t="str">
        <f>IF(AK509="A",IF(AQ509,IF(AND(AW509&lt;&gt;"",N(AW509)&gt;0),IFERROR(IFERROR(_xlfn.XLOOKUP(AP509,BP10:BP57,BT10:BT57),IFERROR(_xlfn.XLOOKUP(AP509,BQ10:BQ57,BT10:BT57),_xlfn.XLOOKUP(AP509,BR10:BR57,BT10:BT57,""))),""),""),""),"")</f>
        <v/>
      </c>
      <c r="BC509" s="811" cm="1">
        <f t="array" ref="BC509">IF(NOT(AQ509),0,IF(OR(BA509="",N(BA509)&lt;=0.000000001),"",IF(OR(AU509="",N(AU509)&lt;=0.000000001),0,IF(ISNUMBER(BA509),IFERROR(_xlfn.LET(_xlpm.ai_test,TRIM(AP509),_xlpm.r,IFERROR(_xlfn.XLOOKUP(_xlpm.ai_test,BP16:BP63,ROW(BP16:BP63),0,1),IFERROR(_xlfn.XLOOKUP(_xlpm.ai_test,BQ16:BQ63,ROW(BQ16:BQ63),0,1),_xlfn.XLOOKUP(_xlpm.ai_test,BR16:BR63,ROW(BR16:BR63),0,1))),_xlpm.p,_xlpm.r-MIN(ROW(BP16:BP63))+1,_xlpm.f,INDEX(BS16:BS63,_xlpm.p),_xlpm.u,INDEX(BT16:BT63,_xlpm.p),_xlpm.s,INDEX(BV16:BV63,_xlpm.p),_xlpm.q,N(BA509)/_xlpm.f,IF(_xlpm.q&gt;=_xlpm.s,ROUND(_xlpm.q,1)&amp;" "&amp;_xlpm.ai_test&amp;" = "&amp;ROUND(_xlpm.q*_xlpm.f,1)&amp;" "&amp;_xlpm.u,ROUND(_xlpm.q,1)&amp;" "&amp;_xlpm.ai_test)),""),""))))</f>
        <v>0</v>
      </c>
      <c r="BD509" s="801"/>
      <c r="BE509" s="788" t="str">
        <f t="shared" si="216"/>
        <v/>
      </c>
      <c r="BF509" s="789" t="str">
        <f t="shared" si="219"/>
        <v/>
      </c>
      <c r="BG509" s="790">
        <f t="shared" si="220"/>
        <v>0</v>
      </c>
      <c r="BH509" s="791" t="str">
        <f t="shared" si="221"/>
        <v/>
      </c>
      <c r="BI509" s="792"/>
      <c r="BJ509" s="793">
        <f t="shared" si="222"/>
        <v>0</v>
      </c>
      <c r="BK509" s="794" t="str">
        <f t="shared" si="217"/>
        <v/>
      </c>
      <c r="BL509" s="227" t="s">
        <v>21</v>
      </c>
      <c r="BM509" s="773">
        <f t="shared" si="207"/>
        <v>0</v>
      </c>
      <c r="BN509" s="774">
        <f t="shared" si="208"/>
        <v>0</v>
      </c>
      <c r="BO509"/>
      <c r="BX509"/>
      <c r="BY509"/>
      <c r="BZ509"/>
      <c r="CA509"/>
      <c r="CB509"/>
      <c r="CC509"/>
      <c r="CD509" s="781" t="str">
        <f t="shared" si="203"/>
        <v>►</v>
      </c>
      <c r="CE509" s="633"/>
      <c r="CF509" s="633"/>
      <c r="CG509" s="633"/>
      <c r="CH509" s="633"/>
      <c r="CI509" s="633"/>
      <c r="CJ509" s="227"/>
      <c r="CK509"/>
      <c r="CL509"/>
      <c r="CM509"/>
      <c r="CN509"/>
      <c r="CO509"/>
      <c r="CP509"/>
      <c r="CQ509"/>
      <c r="CR509" s="227"/>
      <c r="CS509"/>
      <c r="CT509"/>
      <c r="CU509"/>
      <c r="CV509"/>
      <c r="CW509"/>
      <c r="CX509"/>
      <c r="CY509"/>
      <c r="CZ509" s="227"/>
      <c r="DA509"/>
      <c r="DB509"/>
      <c r="DC509"/>
      <c r="DD509"/>
      <c r="DE509"/>
      <c r="DF509"/>
      <c r="DG509"/>
      <c r="DH509" s="227"/>
      <c r="DI509" s="3">
        <v>1</v>
      </c>
    </row>
    <row r="510" spans="2:113" s="627" customFormat="1" ht="21" customHeight="1">
      <c r="B510" s="2265" t="str" cm="1">
        <f t="array" ref="B510">SUMPRODUCT(--(D510:J510&lt;&gt;""), LEN(TRIM(SUBSTITUTE(D510:J510, CHAR(160), "")))) &amp; " Car."</f>
        <v>0 Car.</v>
      </c>
      <c r="C510" s="1376" t="str">
        <f>IF(ISBLANK(D510),"",LARGE(C13:C509,1)+1)</f>
        <v/>
      </c>
      <c r="D510" s="1833"/>
      <c r="E510" s="1810"/>
      <c r="F510" s="1810"/>
      <c r="G510" s="1810"/>
      <c r="H510" s="1810"/>
      <c r="I510" s="1810"/>
      <c r="J510" s="1810"/>
      <c r="K510" s="1810"/>
      <c r="L510" s="1811"/>
      <c r="M510"/>
      <c r="N510" s="103" t="str">
        <f t="shared" si="204"/>
        <v>►</v>
      </c>
      <c r="O510" s="1616"/>
      <c r="P510"/>
      <c r="Q510" s="103" t="s">
        <v>15</v>
      </c>
      <c r="R510" s="31"/>
      <c r="S510" s="32"/>
      <c r="T510" s="31"/>
      <c r="U510" s="33"/>
      <c r="V510" s="1804"/>
      <c r="W510" s="1805"/>
      <c r="X510" s="91"/>
      <c r="Y510" s="1806"/>
      <c r="Z510" s="1807"/>
      <c r="AA510" s="919"/>
      <c r="AB510" s="1813"/>
      <c r="AC510" s="1580"/>
      <c r="AD510" s="95"/>
      <c r="AE510" s="105"/>
      <c r="AF510" s="97"/>
      <c r="AG510" s="2080"/>
      <c r="AH510" s="2081"/>
      <c r="AI510" s="99"/>
      <c r="AJ510" s="1809"/>
      <c r="AK510" s="6120" t="str">
        <f t="shared" si="218"/>
        <v>►</v>
      </c>
      <c r="AL510" s="781" t="str">
        <f t="shared" si="206"/>
        <v>►</v>
      </c>
      <c r="AM510" s="5498" t="str">
        <f t="shared" si="209"/>
        <v/>
      </c>
      <c r="AN510" s="783" t="str">
        <f t="shared" si="210"/>
        <v/>
      </c>
      <c r="AO510" s="782" t="str">
        <f t="shared" si="211"/>
        <v/>
      </c>
      <c r="AP510" s="783" t="str">
        <f t="shared" si="212"/>
        <v/>
      </c>
      <c r="AQ510" s="2083" t="b">
        <f>AND(Q510="A",COUNTIF(BP16:BR63,TRIM(Z510))&gt;0)</f>
        <v>0</v>
      </c>
      <c r="AR510" s="797" t="str">
        <f>IF(AL510&lt;&gt;"A","",IFERROR(IFERROR(_xlfn.XLOOKUP(TRIM(SUBSTITUTE(Z510,CHAR(160)," ")),BP16:BP63,BS16:BS63),IFERROR(_xlfn.XLOOKUP(TRIM(SUBSTITUTE(Z510,CHAR(160)," ")),BQ16:BQ63,BS16:BS63),_xlfn.XLOOKUP(TRIM(SUBSTITUTE(Z510,CHAR(160)," ")),BR16:BR63,BS16:BS63)))*Y510*IF(ISBLANK(V510),1,V510),0))</f>
        <v/>
      </c>
      <c r="AS510" s="784" t="str">
        <f t="shared" si="202"/>
        <v/>
      </c>
      <c r="AT510" s="1315" t="str">
        <f t="shared" si="213"/>
        <v/>
      </c>
      <c r="AU510" s="785">
        <f t="shared" si="214"/>
        <v>0</v>
      </c>
      <c r="AV510" s="785">
        <f t="shared" si="215"/>
        <v>0</v>
      </c>
      <c r="AW510" s="798">
        <f>IF(AK510="A",AY10,0)</f>
        <v>0</v>
      </c>
      <c r="AX510" s="5496" t="str">
        <f>IF(IFERROR(SEARCH("Adresse PC",TRIM(W510)),0)&gt;0,"▼ receta siguiente",IF(AK510="A",IF(AZ10&lt;&gt;"",AZ10&amp;" - ou.or.o ❾ + or - &gt;",""),""))</f>
        <v/>
      </c>
      <c r="AY510" s="810"/>
      <c r="AZ510" s="810"/>
      <c r="BA510" s="799" t="str">
        <f t="shared" si="205"/>
        <v/>
      </c>
      <c r="BB510" s="800" t="str">
        <f>IF(AK510="A",IF(AQ510,IF(AND(AW510&lt;&gt;"",N(AW510)&gt;0),IFERROR(IFERROR(_xlfn.XLOOKUP(AP510,BP10:BP57,BT10:BT57),IFERROR(_xlfn.XLOOKUP(AP510,BQ10:BQ57,BT10:BT57),_xlfn.XLOOKUP(AP510,BR10:BR57,BT10:BT57,""))),""),""),""),"")</f>
        <v/>
      </c>
      <c r="BC510" s="813" cm="1">
        <f t="array" ref="BC510">IF(NOT(AQ510),0,IF(OR(BA510="",N(BA510)&lt;=0.000000001),"",IF(OR(AU510="",N(AU510)&lt;=0.000000001),0,IF(ISNUMBER(BA510),IFERROR(_xlfn.LET(_xlpm.ai_test,TRIM(AP510),_xlpm.r,IFERROR(_xlfn.XLOOKUP(_xlpm.ai_test,BP16:BP63,ROW(BP16:BP63),0,1),IFERROR(_xlfn.XLOOKUP(_xlpm.ai_test,BQ16:BQ63,ROW(BQ16:BQ63),0,1),_xlfn.XLOOKUP(_xlpm.ai_test,BR16:BR63,ROW(BR16:BR63),0,1))),_xlpm.p,_xlpm.r-MIN(ROW(BP16:BP63))+1,_xlpm.f,INDEX(BS16:BS63,_xlpm.p),_xlpm.u,INDEX(BT16:BT63,_xlpm.p),_xlpm.s,INDEX(BV16:BV63,_xlpm.p),_xlpm.q,N(BA510)/_xlpm.f,IF(_xlpm.q&gt;=_xlpm.s,ROUND(_xlpm.q,1)&amp;" "&amp;_xlpm.ai_test&amp;" = "&amp;ROUND(_xlpm.q*_xlpm.f,1)&amp;" "&amp;_xlpm.u,ROUND(_xlpm.q,1)&amp;" "&amp;_xlpm.ai_test)),""),""))))</f>
        <v>0</v>
      </c>
      <c r="BD510" s="801"/>
      <c r="BE510" s="799" t="str">
        <f t="shared" si="216"/>
        <v/>
      </c>
      <c r="BF510" s="800" t="str">
        <f t="shared" si="219"/>
        <v/>
      </c>
      <c r="BG510" s="802">
        <f t="shared" si="220"/>
        <v>0</v>
      </c>
      <c r="BH510" s="803" t="str">
        <f t="shared" si="221"/>
        <v/>
      </c>
      <c r="BI510" s="792"/>
      <c r="BJ510" s="804">
        <f t="shared" si="222"/>
        <v>0</v>
      </c>
      <c r="BK510" s="794" t="str">
        <f t="shared" si="217"/>
        <v/>
      </c>
      <c r="BL510" s="227" t="s">
        <v>21</v>
      </c>
      <c r="BM510" s="773">
        <f t="shared" si="207"/>
        <v>0</v>
      </c>
      <c r="BN510" s="774">
        <f t="shared" si="208"/>
        <v>0</v>
      </c>
      <c r="BO510"/>
      <c r="BX510"/>
      <c r="BY510"/>
      <c r="BZ510"/>
      <c r="CA510"/>
      <c r="CB510"/>
      <c r="CC510"/>
      <c r="CD510" s="781" t="str">
        <f t="shared" si="203"/>
        <v>►</v>
      </c>
      <c r="CE510" s="633"/>
      <c r="CF510" s="633"/>
      <c r="CG510" s="633"/>
      <c r="CH510" s="633"/>
      <c r="CI510" s="633"/>
      <c r="CJ510" s="227"/>
      <c r="CK510"/>
      <c r="CL510"/>
      <c r="CM510"/>
      <c r="CN510"/>
      <c r="CO510"/>
      <c r="CP510"/>
      <c r="CQ510"/>
      <c r="CR510" s="227"/>
      <c r="CS510"/>
      <c r="CT510"/>
      <c r="CU510"/>
      <c r="CV510"/>
      <c r="CW510"/>
      <c r="CX510"/>
      <c r="CY510"/>
      <c r="CZ510" s="227"/>
      <c r="DA510"/>
      <c r="DB510"/>
      <c r="DC510"/>
      <c r="DD510"/>
      <c r="DE510"/>
      <c r="DF510"/>
      <c r="DG510"/>
      <c r="DH510" s="227"/>
      <c r="DI510" s="3">
        <v>1</v>
      </c>
    </row>
    <row r="511" spans="2:113" s="627" customFormat="1" ht="21" customHeight="1">
      <c r="B511" s="2265" t="str" cm="1">
        <f t="array" ref="B511">SUMPRODUCT(--(D511:J511&lt;&gt;""), LEN(TRIM(SUBSTITUTE(D511:J511, CHAR(160), "")))) &amp; " Car."</f>
        <v>0 Car.</v>
      </c>
      <c r="C511" s="1376" t="str">
        <f>IF(ISBLANK(D511),"",LARGE(C13:C510,1)+1)</f>
        <v/>
      </c>
      <c r="D511" s="1833"/>
      <c r="E511" s="1810"/>
      <c r="F511" s="1810"/>
      <c r="G511" s="1810"/>
      <c r="H511" s="1810"/>
      <c r="I511" s="1810"/>
      <c r="J511" s="1810"/>
      <c r="K511" s="1810"/>
      <c r="L511" s="1811"/>
      <c r="M511"/>
      <c r="N511" s="103" t="str">
        <f t="shared" si="204"/>
        <v>►</v>
      </c>
      <c r="O511" s="1616"/>
      <c r="P511"/>
      <c r="Q511" s="103" t="s">
        <v>15</v>
      </c>
      <c r="R511" s="31"/>
      <c r="S511" s="32"/>
      <c r="T511" s="31"/>
      <c r="U511" s="33"/>
      <c r="V511" s="1804"/>
      <c r="W511" s="1805"/>
      <c r="X511" s="91"/>
      <c r="Y511" s="1806"/>
      <c r="Z511" s="1807"/>
      <c r="AA511" s="919"/>
      <c r="AB511" s="1813"/>
      <c r="AC511" s="1580"/>
      <c r="AD511" s="95"/>
      <c r="AE511" s="105"/>
      <c r="AF511" s="97"/>
      <c r="AG511" s="2080"/>
      <c r="AH511" s="2081"/>
      <c r="AI511" s="99"/>
      <c r="AJ511" s="1809"/>
      <c r="AK511" s="6120" t="str">
        <f t="shared" si="218"/>
        <v>►</v>
      </c>
      <c r="AL511" s="781" t="str">
        <f t="shared" si="206"/>
        <v>►</v>
      </c>
      <c r="AM511" s="5499" t="str">
        <f t="shared" si="209"/>
        <v/>
      </c>
      <c r="AN511" s="783" t="str">
        <f t="shared" si="210"/>
        <v/>
      </c>
      <c r="AO511" s="782" t="str">
        <f t="shared" si="211"/>
        <v/>
      </c>
      <c r="AP511" s="783" t="str">
        <f t="shared" si="212"/>
        <v/>
      </c>
      <c r="AQ511" s="2083" t="b">
        <f>AND(Q511="A",COUNTIF(BP16:BR63,TRIM(Z511))&gt;0)</f>
        <v>0</v>
      </c>
      <c r="AR511" s="797" t="str">
        <f>IF(AL511&lt;&gt;"A","",IFERROR(IFERROR(_xlfn.XLOOKUP(TRIM(SUBSTITUTE(Z511,CHAR(160)," ")),BP16:BP63,BS16:BS63),IFERROR(_xlfn.XLOOKUP(TRIM(SUBSTITUTE(Z511,CHAR(160)," ")),BQ16:BQ63,BS16:BS63),_xlfn.XLOOKUP(TRIM(SUBSTITUTE(Z511,CHAR(160)," ")),BR16:BR63,BS16:BS63)))*Y511*IF(ISBLANK(V511),1,V511),0))</f>
        <v/>
      </c>
      <c r="AS511" s="784" t="str">
        <f t="shared" si="202"/>
        <v/>
      </c>
      <c r="AT511" s="1315" t="str">
        <f t="shared" si="213"/>
        <v/>
      </c>
      <c r="AU511" s="785">
        <f t="shared" si="214"/>
        <v>0</v>
      </c>
      <c r="AV511" s="785">
        <f t="shared" si="215"/>
        <v>0</v>
      </c>
      <c r="AW511" s="786">
        <f>IF(AK511="A",AY10,0)</f>
        <v>0</v>
      </c>
      <c r="AX511" s="5495" t="str">
        <f>IF(IFERROR(SEARCH("Adresse PC",TRIM(W511)),0)&gt;0,"▼ receta siguiente",IF(AK511="A",IF(AZ10&lt;&gt;"",AZ10&amp;" - ou.or.o ❾ + or - &gt;",""),""))</f>
        <v/>
      </c>
      <c r="AY511" s="810"/>
      <c r="AZ511" s="810"/>
      <c r="BA511" s="788" t="str">
        <f t="shared" si="205"/>
        <v/>
      </c>
      <c r="BB511" s="789" t="str">
        <f>IF(AK511="A",IF(AQ511,IF(AND(AW511&lt;&gt;"",N(AW511)&gt;0),IFERROR(IFERROR(_xlfn.XLOOKUP(AP511,BP10:BP57,BT10:BT57),IFERROR(_xlfn.XLOOKUP(AP511,BQ10:BQ57,BT10:BT57),_xlfn.XLOOKUP(AP511,BR10:BR57,BT10:BT57,""))),""),""),""),"")</f>
        <v/>
      </c>
      <c r="BC511" s="811" cm="1">
        <f t="array" ref="BC511">IF(NOT(AQ511),0,IF(OR(BA511="",N(BA511)&lt;=0.000000001),"",IF(OR(AU511="",N(AU511)&lt;=0.000000001),0,IF(ISNUMBER(BA511),IFERROR(_xlfn.LET(_xlpm.ai_test,TRIM(AP511),_xlpm.r,IFERROR(_xlfn.XLOOKUP(_xlpm.ai_test,BP16:BP63,ROW(BP16:BP63),0,1),IFERROR(_xlfn.XLOOKUP(_xlpm.ai_test,BQ16:BQ63,ROW(BQ16:BQ63),0,1),_xlfn.XLOOKUP(_xlpm.ai_test,BR16:BR63,ROW(BR16:BR63),0,1))),_xlpm.p,_xlpm.r-MIN(ROW(BP16:BP63))+1,_xlpm.f,INDEX(BS16:BS63,_xlpm.p),_xlpm.u,INDEX(BT16:BT63,_xlpm.p),_xlpm.s,INDEX(BV16:BV63,_xlpm.p),_xlpm.q,N(BA511)/_xlpm.f,IF(_xlpm.q&gt;=_xlpm.s,ROUND(_xlpm.q,1)&amp;" "&amp;_xlpm.ai_test&amp;" = "&amp;ROUND(_xlpm.q*_xlpm.f,1)&amp;" "&amp;_xlpm.u,ROUND(_xlpm.q,1)&amp;" "&amp;_xlpm.ai_test)),""),""))))</f>
        <v>0</v>
      </c>
      <c r="BD511" s="801"/>
      <c r="BE511" s="788" t="str">
        <f t="shared" si="216"/>
        <v/>
      </c>
      <c r="BF511" s="789" t="str">
        <f t="shared" si="219"/>
        <v/>
      </c>
      <c r="BG511" s="790">
        <f t="shared" si="220"/>
        <v>0</v>
      </c>
      <c r="BH511" s="791" t="str">
        <f t="shared" si="221"/>
        <v/>
      </c>
      <c r="BI511" s="792"/>
      <c r="BJ511" s="793">
        <f t="shared" si="222"/>
        <v>0</v>
      </c>
      <c r="BK511" s="794" t="str">
        <f t="shared" si="217"/>
        <v/>
      </c>
      <c r="BL511" s="227" t="s">
        <v>21</v>
      </c>
      <c r="BM511" s="773">
        <f t="shared" si="207"/>
        <v>0</v>
      </c>
      <c r="BN511" s="774">
        <f t="shared" si="208"/>
        <v>0</v>
      </c>
      <c r="BO511"/>
      <c r="BX511"/>
      <c r="BY511"/>
      <c r="BZ511"/>
      <c r="CA511"/>
      <c r="CB511"/>
      <c r="CC511"/>
      <c r="CD511" s="781" t="str">
        <f t="shared" si="203"/>
        <v>►</v>
      </c>
      <c r="CE511" s="633"/>
      <c r="CF511" s="633"/>
      <c r="CG511" s="633"/>
      <c r="CH511" s="633"/>
      <c r="CI511" s="633"/>
      <c r="CJ511" s="227"/>
      <c r="CK511"/>
      <c r="CL511"/>
      <c r="CM511"/>
      <c r="CN511"/>
      <c r="CO511"/>
      <c r="CP511"/>
      <c r="CQ511"/>
      <c r="CR511" s="227"/>
      <c r="CS511"/>
      <c r="CT511"/>
      <c r="CU511"/>
      <c r="CV511"/>
      <c r="CW511"/>
      <c r="CX511"/>
      <c r="CY511"/>
      <c r="CZ511" s="227"/>
      <c r="DA511"/>
      <c r="DB511"/>
      <c r="DC511"/>
      <c r="DD511"/>
      <c r="DE511"/>
      <c r="DF511"/>
      <c r="DG511"/>
      <c r="DH511" s="227"/>
      <c r="DI511" s="3">
        <v>1</v>
      </c>
    </row>
    <row r="512" spans="2:113" s="627" customFormat="1" ht="21" customHeight="1">
      <c r="B512" s="2265" t="str" cm="1">
        <f t="array" ref="B512">SUMPRODUCT(--(D512:J512&lt;&gt;""), LEN(TRIM(SUBSTITUTE(D512:J512, CHAR(160), "")))) &amp; " Car."</f>
        <v>0 Car.</v>
      </c>
      <c r="C512" s="1376" t="str">
        <f>IF(ISBLANK(D512),"",LARGE(C13:C511,1)+1)</f>
        <v/>
      </c>
      <c r="D512" s="1833"/>
      <c r="E512" s="1810"/>
      <c r="F512" s="1810"/>
      <c r="G512" s="1810"/>
      <c r="H512" s="1810"/>
      <c r="I512" s="1810"/>
      <c r="J512" s="1810"/>
      <c r="K512" s="1810"/>
      <c r="L512" s="1811"/>
      <c r="M512"/>
      <c r="N512" s="103" t="str">
        <f t="shared" si="204"/>
        <v>►</v>
      </c>
      <c r="O512" s="1616"/>
      <c r="P512"/>
      <c r="Q512" s="103" t="s">
        <v>15</v>
      </c>
      <c r="R512" s="31"/>
      <c r="S512" s="32"/>
      <c r="T512" s="31"/>
      <c r="U512" s="33"/>
      <c r="V512" s="1804"/>
      <c r="W512" s="1805"/>
      <c r="X512" s="91"/>
      <c r="Y512" s="1806"/>
      <c r="Z512" s="1807"/>
      <c r="AA512" s="919"/>
      <c r="AB512" s="1813"/>
      <c r="AC512" s="1580"/>
      <c r="AD512" s="95"/>
      <c r="AE512" s="105"/>
      <c r="AF512" s="97"/>
      <c r="AG512" s="2080"/>
      <c r="AH512" s="2081"/>
      <c r="AI512" s="99"/>
      <c r="AJ512" s="1809"/>
      <c r="AK512" s="6120" t="str">
        <f t="shared" si="218"/>
        <v>►</v>
      </c>
      <c r="AL512" s="781" t="str">
        <f t="shared" si="206"/>
        <v>►</v>
      </c>
      <c r="AM512" s="5498" t="str">
        <f t="shared" si="209"/>
        <v/>
      </c>
      <c r="AN512" s="783" t="str">
        <f t="shared" si="210"/>
        <v/>
      </c>
      <c r="AO512" s="782" t="str">
        <f t="shared" si="211"/>
        <v/>
      </c>
      <c r="AP512" s="783" t="str">
        <f t="shared" si="212"/>
        <v/>
      </c>
      <c r="AQ512" s="2083" t="b">
        <f>AND(Q512="A",COUNTIF(BP16:BR63,TRIM(Z512))&gt;0)</f>
        <v>0</v>
      </c>
      <c r="AR512" s="797" t="str">
        <f>IF(AL512&lt;&gt;"A","",IFERROR(IFERROR(_xlfn.XLOOKUP(TRIM(SUBSTITUTE(Z512,CHAR(160)," ")),BP16:BP63,BS16:BS63),IFERROR(_xlfn.XLOOKUP(TRIM(SUBSTITUTE(Z512,CHAR(160)," ")),BQ16:BQ63,BS16:BS63),_xlfn.XLOOKUP(TRIM(SUBSTITUTE(Z512,CHAR(160)," ")),BR16:BR63,BS16:BS63)))*Y512*IF(ISBLANK(V512),1,V512),0))</f>
        <v/>
      </c>
      <c r="AS512" s="784" t="str">
        <f t="shared" si="202"/>
        <v/>
      </c>
      <c r="AT512" s="1315" t="str">
        <f t="shared" si="213"/>
        <v/>
      </c>
      <c r="AU512" s="785">
        <f t="shared" si="214"/>
        <v>0</v>
      </c>
      <c r="AV512" s="785">
        <f t="shared" si="215"/>
        <v>0</v>
      </c>
      <c r="AW512" s="798">
        <f>IF(AK512="A",AY10,0)</f>
        <v>0</v>
      </c>
      <c r="AX512" s="5496" t="str">
        <f>IF(IFERROR(SEARCH("Adresse PC",TRIM(W512)),0)&gt;0,"▼ receta siguiente",IF(AK512="A",IF(AZ10&lt;&gt;"",AZ10&amp;" - ou.or.o ❾ + or - &gt;",""),""))</f>
        <v/>
      </c>
      <c r="AY512" s="810"/>
      <c r="AZ512" s="810"/>
      <c r="BA512" s="799" t="str">
        <f t="shared" si="205"/>
        <v/>
      </c>
      <c r="BB512" s="800" t="str">
        <f>IF(AK512="A",IF(AQ512,IF(AND(AW512&lt;&gt;"",N(AW512)&gt;0),IFERROR(IFERROR(_xlfn.XLOOKUP(AP512,BP10:BP57,BT10:BT57),IFERROR(_xlfn.XLOOKUP(AP512,BQ10:BQ57,BT10:BT57),_xlfn.XLOOKUP(AP512,BR10:BR57,BT10:BT57,""))),""),""),""),"")</f>
        <v/>
      </c>
      <c r="BC512" s="813" cm="1">
        <f t="array" ref="BC512">IF(NOT(AQ512),0,IF(OR(BA512="",N(BA512)&lt;=0.000000001),"",IF(OR(AU512="",N(AU512)&lt;=0.000000001),0,IF(ISNUMBER(BA512),IFERROR(_xlfn.LET(_xlpm.ai_test,TRIM(AP512),_xlpm.r,IFERROR(_xlfn.XLOOKUP(_xlpm.ai_test,BP16:BP63,ROW(BP16:BP63),0,1),IFERROR(_xlfn.XLOOKUP(_xlpm.ai_test,BQ16:BQ63,ROW(BQ16:BQ63),0,1),_xlfn.XLOOKUP(_xlpm.ai_test,BR16:BR63,ROW(BR16:BR63),0,1))),_xlpm.p,_xlpm.r-MIN(ROW(BP16:BP63))+1,_xlpm.f,INDEX(BS16:BS63,_xlpm.p),_xlpm.u,INDEX(BT16:BT63,_xlpm.p),_xlpm.s,INDEX(BV16:BV63,_xlpm.p),_xlpm.q,N(BA512)/_xlpm.f,IF(_xlpm.q&gt;=_xlpm.s,ROUND(_xlpm.q,1)&amp;" "&amp;_xlpm.ai_test&amp;" = "&amp;ROUND(_xlpm.q*_xlpm.f,1)&amp;" "&amp;_xlpm.u,ROUND(_xlpm.q,1)&amp;" "&amp;_xlpm.ai_test)),""),""))))</f>
        <v>0</v>
      </c>
      <c r="BD512" s="801"/>
      <c r="BE512" s="799" t="str">
        <f t="shared" si="216"/>
        <v/>
      </c>
      <c r="BF512" s="800" t="str">
        <f t="shared" si="219"/>
        <v/>
      </c>
      <c r="BG512" s="802">
        <f t="shared" si="220"/>
        <v>0</v>
      </c>
      <c r="BH512" s="803" t="str">
        <f t="shared" si="221"/>
        <v/>
      </c>
      <c r="BI512" s="792"/>
      <c r="BJ512" s="804">
        <f t="shared" si="222"/>
        <v>0</v>
      </c>
      <c r="BK512" s="794" t="str">
        <f t="shared" si="217"/>
        <v/>
      </c>
      <c r="BL512" s="227" t="s">
        <v>21</v>
      </c>
      <c r="BM512" s="773">
        <f t="shared" si="207"/>
        <v>0</v>
      </c>
      <c r="BN512" s="774">
        <f t="shared" si="208"/>
        <v>0</v>
      </c>
      <c r="BO512"/>
      <c r="BX512"/>
      <c r="BY512"/>
      <c r="BZ512"/>
      <c r="CA512"/>
      <c r="CB512"/>
      <c r="CC512"/>
      <c r="CD512" s="781" t="str">
        <f t="shared" si="203"/>
        <v>►</v>
      </c>
      <c r="CE512" s="633"/>
      <c r="CF512" s="633"/>
      <c r="CG512" s="633"/>
      <c r="CH512" s="633"/>
      <c r="CI512" s="633"/>
      <c r="CJ512" s="227"/>
      <c r="CK512"/>
      <c r="CL512"/>
      <c r="CM512"/>
      <c r="CN512"/>
      <c r="CO512"/>
      <c r="CP512"/>
      <c r="CQ512"/>
      <c r="CR512" s="227"/>
      <c r="CS512"/>
      <c r="CT512"/>
      <c r="CU512"/>
      <c r="CV512"/>
      <c r="CW512"/>
      <c r="CX512"/>
      <c r="CY512"/>
      <c r="CZ512" s="227"/>
      <c r="DA512"/>
      <c r="DB512"/>
      <c r="DC512"/>
      <c r="DD512"/>
      <c r="DE512"/>
      <c r="DF512"/>
      <c r="DG512"/>
      <c r="DH512" s="227"/>
      <c r="DI512" s="3">
        <v>1</v>
      </c>
    </row>
    <row r="513" spans="2:113" s="627" customFormat="1" ht="21" customHeight="1">
      <c r="B513" s="2265" t="str" cm="1">
        <f t="array" ref="B513">SUMPRODUCT(--(D513:J513&lt;&gt;""), LEN(TRIM(SUBSTITUTE(D513:J513, CHAR(160), "")))) &amp; " Car."</f>
        <v>0 Car.</v>
      </c>
      <c r="C513" s="1376" t="str">
        <f>IF(ISBLANK(D513),"",LARGE(C13:C512,1)+1)</f>
        <v/>
      </c>
      <c r="D513" s="1833"/>
      <c r="E513" s="1810"/>
      <c r="F513" s="1810"/>
      <c r="G513" s="1810"/>
      <c r="H513" s="1810"/>
      <c r="I513" s="1810"/>
      <c r="J513" s="1810"/>
      <c r="K513" s="1810"/>
      <c r="L513" s="1811"/>
      <c r="M513"/>
      <c r="N513" s="103" t="str">
        <f t="shared" si="204"/>
        <v>►</v>
      </c>
      <c r="O513" s="1616"/>
      <c r="P513"/>
      <c r="Q513" s="103" t="s">
        <v>15</v>
      </c>
      <c r="R513" s="31"/>
      <c r="S513" s="32"/>
      <c r="T513" s="31"/>
      <c r="U513" s="33"/>
      <c r="V513" s="1804"/>
      <c r="W513" s="1805"/>
      <c r="X513" s="91"/>
      <c r="Y513" s="1806"/>
      <c r="Z513" s="1807"/>
      <c r="AA513" s="919"/>
      <c r="AB513" s="1813"/>
      <c r="AC513" s="1580"/>
      <c r="AD513" s="95"/>
      <c r="AE513" s="105"/>
      <c r="AF513" s="97"/>
      <c r="AG513" s="2080"/>
      <c r="AH513" s="2081"/>
      <c r="AI513" s="99"/>
      <c r="AJ513" s="1809"/>
      <c r="AK513" s="6120" t="str">
        <f t="shared" si="218"/>
        <v>►</v>
      </c>
      <c r="AL513" s="781" t="str">
        <f t="shared" si="206"/>
        <v>►</v>
      </c>
      <c r="AM513" s="5499" t="str">
        <f t="shared" si="209"/>
        <v/>
      </c>
      <c r="AN513" s="783" t="str">
        <f t="shared" si="210"/>
        <v/>
      </c>
      <c r="AO513" s="782" t="str">
        <f t="shared" si="211"/>
        <v/>
      </c>
      <c r="AP513" s="783" t="str">
        <f t="shared" si="212"/>
        <v/>
      </c>
      <c r="AQ513" s="2083" t="b">
        <f>AND(Q513="A",COUNTIF(BP16:BR63,TRIM(Z513))&gt;0)</f>
        <v>0</v>
      </c>
      <c r="AR513" s="797" t="str">
        <f>IF(AL513&lt;&gt;"A","",IFERROR(IFERROR(_xlfn.XLOOKUP(TRIM(SUBSTITUTE(Z513,CHAR(160)," ")),BP16:BP63,BS16:BS63),IFERROR(_xlfn.XLOOKUP(TRIM(SUBSTITUTE(Z513,CHAR(160)," ")),BQ16:BQ63,BS16:BS63),_xlfn.XLOOKUP(TRIM(SUBSTITUTE(Z513,CHAR(160)," ")),BR16:BR63,BS16:BS63)))*Y513*IF(ISBLANK(V513),1,V513),0))</f>
        <v/>
      </c>
      <c r="AS513" s="784" t="str">
        <f t="shared" si="202"/>
        <v/>
      </c>
      <c r="AT513" s="1315" t="str">
        <f t="shared" si="213"/>
        <v/>
      </c>
      <c r="AU513" s="785">
        <f t="shared" si="214"/>
        <v>0</v>
      </c>
      <c r="AV513" s="785">
        <f t="shared" si="215"/>
        <v>0</v>
      </c>
      <c r="AW513" s="786">
        <f>IF(AK513="A",AY10,0)</f>
        <v>0</v>
      </c>
      <c r="AX513" s="5495" t="str">
        <f>IF(IFERROR(SEARCH("Adresse PC",TRIM(W513)),0)&gt;0,"▼ receta siguiente",IF(AK513="A",IF(AZ10&lt;&gt;"",AZ10&amp;" - ou.or.o ❾ + or - &gt;",""),""))</f>
        <v/>
      </c>
      <c r="AY513" s="810"/>
      <c r="AZ513" s="810"/>
      <c r="BA513" s="788" t="str">
        <f t="shared" si="205"/>
        <v/>
      </c>
      <c r="BB513" s="789" t="str">
        <f>IF(AK513="A",IF(AQ513,IF(AND(AW513&lt;&gt;"",N(AW513)&gt;0),IFERROR(IFERROR(_xlfn.XLOOKUP(AP513,BP10:BP57,BT10:BT57),IFERROR(_xlfn.XLOOKUP(AP513,BQ10:BQ57,BT10:BT57),_xlfn.XLOOKUP(AP513,BR10:BR57,BT10:BT57,""))),""),""),""),"")</f>
        <v/>
      </c>
      <c r="BC513" s="811" cm="1">
        <f t="array" ref="BC513">IF(NOT(AQ513),0,IF(OR(BA513="",N(BA513)&lt;=0.000000001),"",IF(OR(AU513="",N(AU513)&lt;=0.000000001),0,IF(ISNUMBER(BA513),IFERROR(_xlfn.LET(_xlpm.ai_test,TRIM(AP513),_xlpm.r,IFERROR(_xlfn.XLOOKUP(_xlpm.ai_test,BP16:BP63,ROW(BP16:BP63),0,1),IFERROR(_xlfn.XLOOKUP(_xlpm.ai_test,BQ16:BQ63,ROW(BQ16:BQ63),0,1),_xlfn.XLOOKUP(_xlpm.ai_test,BR16:BR63,ROW(BR16:BR63),0,1))),_xlpm.p,_xlpm.r-MIN(ROW(BP16:BP63))+1,_xlpm.f,INDEX(BS16:BS63,_xlpm.p),_xlpm.u,INDEX(BT16:BT63,_xlpm.p),_xlpm.s,INDEX(BV16:BV63,_xlpm.p),_xlpm.q,N(BA513)/_xlpm.f,IF(_xlpm.q&gt;=_xlpm.s,ROUND(_xlpm.q,1)&amp;" "&amp;_xlpm.ai_test&amp;" = "&amp;ROUND(_xlpm.q*_xlpm.f,1)&amp;" "&amp;_xlpm.u,ROUND(_xlpm.q,1)&amp;" "&amp;_xlpm.ai_test)),""),""))))</f>
        <v>0</v>
      </c>
      <c r="BD513" s="801"/>
      <c r="BE513" s="788" t="str">
        <f t="shared" si="216"/>
        <v/>
      </c>
      <c r="BF513" s="789" t="str">
        <f t="shared" si="219"/>
        <v/>
      </c>
      <c r="BG513" s="790">
        <f t="shared" si="220"/>
        <v>0</v>
      </c>
      <c r="BH513" s="791" t="str">
        <f t="shared" si="221"/>
        <v/>
      </c>
      <c r="BI513" s="792"/>
      <c r="BJ513" s="793">
        <f t="shared" si="222"/>
        <v>0</v>
      </c>
      <c r="BK513" s="794" t="str">
        <f t="shared" si="217"/>
        <v/>
      </c>
      <c r="BL513" s="227" t="s">
        <v>21</v>
      </c>
      <c r="BM513" s="773">
        <f t="shared" si="207"/>
        <v>0</v>
      </c>
      <c r="BN513" s="774">
        <f t="shared" si="208"/>
        <v>0</v>
      </c>
      <c r="BO513"/>
      <c r="BX513"/>
      <c r="BY513"/>
      <c r="BZ513"/>
      <c r="CA513"/>
      <c r="CB513"/>
      <c r="CC513"/>
      <c r="CD513" s="781" t="str">
        <f t="shared" si="203"/>
        <v>►</v>
      </c>
      <c r="CE513" s="633"/>
      <c r="CF513" s="633"/>
      <c r="CG513" s="633"/>
      <c r="CH513" s="633"/>
      <c r="CI513" s="633"/>
      <c r="CJ513" s="227"/>
      <c r="CK513"/>
      <c r="CL513"/>
      <c r="CM513"/>
      <c r="CN513"/>
      <c r="CO513"/>
      <c r="CP513"/>
      <c r="CQ513"/>
      <c r="CR513" s="227"/>
      <c r="CS513"/>
      <c r="CT513"/>
      <c r="CU513"/>
      <c r="CV513"/>
      <c r="CW513"/>
      <c r="CX513"/>
      <c r="CY513"/>
      <c r="CZ513" s="227"/>
      <c r="DA513"/>
      <c r="DB513"/>
      <c r="DC513"/>
      <c r="DD513"/>
      <c r="DE513"/>
      <c r="DF513"/>
      <c r="DG513"/>
      <c r="DH513" s="227"/>
      <c r="DI513" s="3">
        <v>1</v>
      </c>
    </row>
    <row r="514" spans="2:113" s="627" customFormat="1" ht="21" customHeight="1">
      <c r="B514" s="2265" t="str" cm="1">
        <f t="array" ref="B514">SUMPRODUCT(--(D514:J514&lt;&gt;""), LEN(TRIM(SUBSTITUTE(D514:J514, CHAR(160), "")))) &amp; " Car."</f>
        <v>0 Car.</v>
      </c>
      <c r="C514" s="1376" t="str">
        <f>IF(ISBLANK(D514),"",LARGE(C13:C513,1)+1)</f>
        <v/>
      </c>
      <c r="D514" s="1833"/>
      <c r="E514" s="1810"/>
      <c r="F514" s="1810"/>
      <c r="G514" s="1810"/>
      <c r="H514" s="1810"/>
      <c r="I514" s="1810"/>
      <c r="J514" s="1810"/>
      <c r="K514" s="1810"/>
      <c r="L514" s="1811"/>
      <c r="M514"/>
      <c r="N514" s="103" t="str">
        <f t="shared" si="204"/>
        <v>►</v>
      </c>
      <c r="O514" s="1616"/>
      <c r="P514"/>
      <c r="Q514" s="103" t="s">
        <v>15</v>
      </c>
      <c r="R514" s="31"/>
      <c r="S514" s="32"/>
      <c r="T514" s="31"/>
      <c r="U514" s="33"/>
      <c r="V514" s="1804"/>
      <c r="W514" s="1805"/>
      <c r="X514" s="91"/>
      <c r="Y514" s="1806"/>
      <c r="Z514" s="1807"/>
      <c r="AA514" s="919"/>
      <c r="AB514" s="1813"/>
      <c r="AC514" s="1580"/>
      <c r="AD514" s="95"/>
      <c r="AE514" s="105"/>
      <c r="AF514" s="97"/>
      <c r="AG514" s="2080"/>
      <c r="AH514" s="2081"/>
      <c r="AI514" s="99"/>
      <c r="AJ514" s="1809"/>
      <c r="AK514" s="6120" t="str">
        <f t="shared" si="218"/>
        <v>►</v>
      </c>
      <c r="AL514" s="781" t="str">
        <f t="shared" si="206"/>
        <v>►</v>
      </c>
      <c r="AM514" s="5498" t="str">
        <f t="shared" si="209"/>
        <v/>
      </c>
      <c r="AN514" s="783" t="str">
        <f t="shared" si="210"/>
        <v/>
      </c>
      <c r="AO514" s="782" t="str">
        <f t="shared" si="211"/>
        <v/>
      </c>
      <c r="AP514" s="783" t="str">
        <f t="shared" si="212"/>
        <v/>
      </c>
      <c r="AQ514" s="2083" t="b">
        <f>AND(Q514="A",COUNTIF(BP16:BR63,TRIM(Z514))&gt;0)</f>
        <v>0</v>
      </c>
      <c r="AR514" s="797" t="str">
        <f>IF(AL514&lt;&gt;"A","",IFERROR(IFERROR(_xlfn.XLOOKUP(TRIM(SUBSTITUTE(Z514,CHAR(160)," ")),BP16:BP63,BS16:BS63),IFERROR(_xlfn.XLOOKUP(TRIM(SUBSTITUTE(Z514,CHAR(160)," ")),BQ16:BQ63,BS16:BS63),_xlfn.XLOOKUP(TRIM(SUBSTITUTE(Z514,CHAR(160)," ")),BR16:BR63,BS16:BS63)))*Y514*IF(ISBLANK(V514),1,V514),0))</f>
        <v/>
      </c>
      <c r="AS514" s="784" t="str">
        <f t="shared" si="202"/>
        <v/>
      </c>
      <c r="AT514" s="1315" t="str">
        <f t="shared" si="213"/>
        <v/>
      </c>
      <c r="AU514" s="785">
        <f t="shared" si="214"/>
        <v>0</v>
      </c>
      <c r="AV514" s="785">
        <f t="shared" si="215"/>
        <v>0</v>
      </c>
      <c r="AW514" s="798">
        <f>IF(AK514="A",AY10,0)</f>
        <v>0</v>
      </c>
      <c r="AX514" s="5496" t="str">
        <f>IF(IFERROR(SEARCH("Adresse PC",TRIM(W514)),0)&gt;0,"▼ receta siguiente",IF(AK514="A",IF(AZ10&lt;&gt;"",AZ10&amp;" - ou.or.o ❾ + or - &gt;",""),""))</f>
        <v/>
      </c>
      <c r="AY514" s="810"/>
      <c r="AZ514" s="810"/>
      <c r="BA514" s="799" t="str">
        <f t="shared" si="205"/>
        <v/>
      </c>
      <c r="BB514" s="800" t="str">
        <f>IF(AK514="A",IF(AQ514,IF(AND(AW514&lt;&gt;"",N(AW514)&gt;0),IFERROR(IFERROR(_xlfn.XLOOKUP(AP514,BP10:BP57,BT10:BT57),IFERROR(_xlfn.XLOOKUP(AP514,BQ10:BQ57,BT10:BT57),_xlfn.XLOOKUP(AP514,BR10:BR57,BT10:BT57,""))),""),""),""),"")</f>
        <v/>
      </c>
      <c r="BC514" s="813" cm="1">
        <f t="array" ref="BC514">IF(NOT(AQ514),0,IF(OR(BA514="",N(BA514)&lt;=0.000000001),"",IF(OR(AU514="",N(AU514)&lt;=0.000000001),0,IF(ISNUMBER(BA514),IFERROR(_xlfn.LET(_xlpm.ai_test,TRIM(AP514),_xlpm.r,IFERROR(_xlfn.XLOOKUP(_xlpm.ai_test,BP16:BP63,ROW(BP16:BP63),0,1),IFERROR(_xlfn.XLOOKUP(_xlpm.ai_test,BQ16:BQ63,ROW(BQ16:BQ63),0,1),_xlfn.XLOOKUP(_xlpm.ai_test,BR16:BR63,ROW(BR16:BR63),0,1))),_xlpm.p,_xlpm.r-MIN(ROW(BP16:BP63))+1,_xlpm.f,INDEX(BS16:BS63,_xlpm.p),_xlpm.u,INDEX(BT16:BT63,_xlpm.p),_xlpm.s,INDEX(BV16:BV63,_xlpm.p),_xlpm.q,N(BA514)/_xlpm.f,IF(_xlpm.q&gt;=_xlpm.s,ROUND(_xlpm.q,1)&amp;" "&amp;_xlpm.ai_test&amp;" = "&amp;ROUND(_xlpm.q*_xlpm.f,1)&amp;" "&amp;_xlpm.u,ROUND(_xlpm.q,1)&amp;" "&amp;_xlpm.ai_test)),""),""))))</f>
        <v>0</v>
      </c>
      <c r="BD514" s="801"/>
      <c r="BE514" s="799" t="str">
        <f t="shared" si="216"/>
        <v/>
      </c>
      <c r="BF514" s="800" t="str">
        <f t="shared" si="219"/>
        <v/>
      </c>
      <c r="BG514" s="802">
        <f t="shared" si="220"/>
        <v>0</v>
      </c>
      <c r="BH514" s="803" t="str">
        <f t="shared" si="221"/>
        <v/>
      </c>
      <c r="BI514" s="792"/>
      <c r="BJ514" s="804">
        <f t="shared" si="222"/>
        <v>0</v>
      </c>
      <c r="BK514" s="794" t="str">
        <f t="shared" si="217"/>
        <v/>
      </c>
      <c r="BL514" s="227" t="s">
        <v>21</v>
      </c>
      <c r="BM514" s="773">
        <f t="shared" si="207"/>
        <v>0</v>
      </c>
      <c r="BN514" s="774">
        <f t="shared" si="208"/>
        <v>0</v>
      </c>
      <c r="BO514"/>
      <c r="BX514"/>
      <c r="BY514"/>
      <c r="BZ514"/>
      <c r="CA514"/>
      <c r="CB514"/>
      <c r="CC514"/>
      <c r="CD514" s="781" t="str">
        <f t="shared" si="203"/>
        <v>►</v>
      </c>
      <c r="CE514" s="633"/>
      <c r="CF514" s="633"/>
      <c r="CG514" s="633"/>
      <c r="CH514" s="633"/>
      <c r="CI514" s="633"/>
      <c r="CJ514" s="227"/>
      <c r="CK514"/>
      <c r="CL514"/>
      <c r="CM514"/>
      <c r="CN514"/>
      <c r="CO514"/>
      <c r="CP514"/>
      <c r="CQ514"/>
      <c r="CR514" s="227"/>
      <c r="CS514"/>
      <c r="CT514"/>
      <c r="CU514"/>
      <c r="CV514"/>
      <c r="CW514"/>
      <c r="CX514"/>
      <c r="CY514"/>
      <c r="CZ514" s="227"/>
      <c r="DA514"/>
      <c r="DB514"/>
      <c r="DC514"/>
      <c r="DD514"/>
      <c r="DE514"/>
      <c r="DF514"/>
      <c r="DG514"/>
      <c r="DH514" s="227"/>
      <c r="DI514" s="3">
        <v>1</v>
      </c>
    </row>
    <row r="515" spans="2:113" s="627" customFormat="1" ht="21" customHeight="1">
      <c r="B515" s="2265" t="str" cm="1">
        <f t="array" ref="B515">SUMPRODUCT(--(D515:J515&lt;&gt;""), LEN(TRIM(SUBSTITUTE(D515:J515, CHAR(160), "")))) &amp; " Car."</f>
        <v>0 Car.</v>
      </c>
      <c r="C515" s="1376" t="str">
        <f>IF(ISBLANK(D515),"",LARGE(C13:C514,1)+1)</f>
        <v/>
      </c>
      <c r="D515" s="1833"/>
      <c r="E515" s="1810"/>
      <c r="F515" s="1810"/>
      <c r="G515" s="1810"/>
      <c r="H515" s="1810"/>
      <c r="I515" s="1810"/>
      <c r="J515" s="1810"/>
      <c r="K515" s="1810"/>
      <c r="L515" s="1811"/>
      <c r="M515"/>
      <c r="N515" s="103" t="str">
        <f t="shared" si="204"/>
        <v>►</v>
      </c>
      <c r="O515" s="1616"/>
      <c r="P515"/>
      <c r="Q515" s="103" t="s">
        <v>15</v>
      </c>
      <c r="R515" s="31"/>
      <c r="S515" s="32"/>
      <c r="T515" s="31"/>
      <c r="U515" s="33"/>
      <c r="V515" s="1804"/>
      <c r="W515" s="1805"/>
      <c r="X515" s="91"/>
      <c r="Y515" s="1806"/>
      <c r="Z515" s="1807"/>
      <c r="AA515" s="919"/>
      <c r="AB515" s="1813"/>
      <c r="AC515" s="1580"/>
      <c r="AD515" s="95"/>
      <c r="AE515" s="105"/>
      <c r="AF515" s="97"/>
      <c r="AG515" s="2080"/>
      <c r="AH515" s="2081"/>
      <c r="AI515" s="99"/>
      <c r="AJ515" s="1809"/>
      <c r="AK515" s="6120" t="str">
        <f t="shared" si="218"/>
        <v>►</v>
      </c>
      <c r="AL515" s="781" t="str">
        <f t="shared" si="206"/>
        <v>►</v>
      </c>
      <c r="AM515" s="5499" t="str">
        <f t="shared" si="209"/>
        <v/>
      </c>
      <c r="AN515" s="783" t="str">
        <f t="shared" si="210"/>
        <v/>
      </c>
      <c r="AO515" s="782" t="str">
        <f t="shared" si="211"/>
        <v/>
      </c>
      <c r="AP515" s="783" t="str">
        <f t="shared" si="212"/>
        <v/>
      </c>
      <c r="AQ515" s="2083" t="b">
        <f>AND(Q515="A",COUNTIF(BP16:BR63,TRIM(Z515))&gt;0)</f>
        <v>0</v>
      </c>
      <c r="AR515" s="797" t="str">
        <f>IF(AL515&lt;&gt;"A","",IFERROR(IFERROR(_xlfn.XLOOKUP(TRIM(SUBSTITUTE(Z515,CHAR(160)," ")),BP16:BP63,BS16:BS63),IFERROR(_xlfn.XLOOKUP(TRIM(SUBSTITUTE(Z515,CHAR(160)," ")),BQ16:BQ63,BS16:BS63),_xlfn.XLOOKUP(TRIM(SUBSTITUTE(Z515,CHAR(160)," ")),BR16:BR63,BS16:BS63)))*Y515*IF(ISBLANK(V515),1,V515),0))</f>
        <v/>
      </c>
      <c r="AS515" s="784" t="str">
        <f t="shared" si="202"/>
        <v/>
      </c>
      <c r="AT515" s="1315" t="str">
        <f t="shared" si="213"/>
        <v/>
      </c>
      <c r="AU515" s="785">
        <f t="shared" si="214"/>
        <v>0</v>
      </c>
      <c r="AV515" s="785">
        <f t="shared" si="215"/>
        <v>0</v>
      </c>
      <c r="AW515" s="786">
        <f>IF(AK515="A",AY10,0)</f>
        <v>0</v>
      </c>
      <c r="AX515" s="5495" t="str">
        <f>IF(IFERROR(SEARCH("Adresse PC",TRIM(W515)),0)&gt;0,"▼ receta siguiente",IF(AK515="A",IF(AZ10&lt;&gt;"",AZ10&amp;" - ou.or.o ❾ + or - &gt;",""),""))</f>
        <v/>
      </c>
      <c r="AY515" s="810"/>
      <c r="AZ515" s="810"/>
      <c r="BA515" s="788" t="str">
        <f t="shared" si="205"/>
        <v/>
      </c>
      <c r="BB515" s="789" t="str">
        <f>IF(AK515="A",IF(AQ515,IF(AND(AW515&lt;&gt;"",N(AW515)&gt;0),IFERROR(IFERROR(_xlfn.XLOOKUP(AP515,BP10:BP57,BT10:BT57),IFERROR(_xlfn.XLOOKUP(AP515,BQ10:BQ57,BT10:BT57),_xlfn.XLOOKUP(AP515,BR10:BR57,BT10:BT57,""))),""),""),""),"")</f>
        <v/>
      </c>
      <c r="BC515" s="811" cm="1">
        <f t="array" ref="BC515">IF(NOT(AQ515),0,IF(OR(BA515="",N(BA515)&lt;=0.000000001),"",IF(OR(AU515="",N(AU515)&lt;=0.000000001),0,IF(ISNUMBER(BA515),IFERROR(_xlfn.LET(_xlpm.ai_test,TRIM(AP515),_xlpm.r,IFERROR(_xlfn.XLOOKUP(_xlpm.ai_test,BP16:BP63,ROW(BP16:BP63),0,1),IFERROR(_xlfn.XLOOKUP(_xlpm.ai_test,BQ16:BQ63,ROW(BQ16:BQ63),0,1),_xlfn.XLOOKUP(_xlpm.ai_test,BR16:BR63,ROW(BR16:BR63),0,1))),_xlpm.p,_xlpm.r-MIN(ROW(BP16:BP63))+1,_xlpm.f,INDEX(BS16:BS63,_xlpm.p),_xlpm.u,INDEX(BT16:BT63,_xlpm.p),_xlpm.s,INDEX(BV16:BV63,_xlpm.p),_xlpm.q,N(BA515)/_xlpm.f,IF(_xlpm.q&gt;=_xlpm.s,ROUND(_xlpm.q,1)&amp;" "&amp;_xlpm.ai_test&amp;" = "&amp;ROUND(_xlpm.q*_xlpm.f,1)&amp;" "&amp;_xlpm.u,ROUND(_xlpm.q,1)&amp;" "&amp;_xlpm.ai_test)),""),""))))</f>
        <v>0</v>
      </c>
      <c r="BD515" s="801"/>
      <c r="BE515" s="788" t="str">
        <f t="shared" si="216"/>
        <v/>
      </c>
      <c r="BF515" s="789" t="str">
        <f t="shared" si="219"/>
        <v/>
      </c>
      <c r="BG515" s="790">
        <f t="shared" si="220"/>
        <v>0</v>
      </c>
      <c r="BH515" s="791" t="str">
        <f t="shared" si="221"/>
        <v/>
      </c>
      <c r="BI515" s="792"/>
      <c r="BJ515" s="793">
        <f t="shared" si="222"/>
        <v>0</v>
      </c>
      <c r="BK515" s="794" t="str">
        <f t="shared" si="217"/>
        <v/>
      </c>
      <c r="BL515" s="227" t="s">
        <v>21</v>
      </c>
      <c r="BM515" s="773">
        <f t="shared" si="207"/>
        <v>0</v>
      </c>
      <c r="BN515" s="774">
        <f t="shared" si="208"/>
        <v>0</v>
      </c>
      <c r="BO515"/>
      <c r="BX515"/>
      <c r="BY515"/>
      <c r="BZ515"/>
      <c r="CA515"/>
      <c r="CB515"/>
      <c r="CC515"/>
      <c r="CD515" s="781" t="str">
        <f t="shared" si="203"/>
        <v>►</v>
      </c>
      <c r="CE515" s="633"/>
      <c r="CF515" s="633"/>
      <c r="CG515" s="633"/>
      <c r="CH515" s="633"/>
      <c r="CI515" s="633"/>
      <c r="CJ515" s="227"/>
      <c r="CK515"/>
      <c r="CL515"/>
      <c r="CM515"/>
      <c r="CN515"/>
      <c r="CO515"/>
      <c r="CP515"/>
      <c r="CQ515"/>
      <c r="CR515" s="227"/>
      <c r="CS515"/>
      <c r="CT515"/>
      <c r="CU515"/>
      <c r="CV515"/>
      <c r="CW515"/>
      <c r="CX515"/>
      <c r="CY515"/>
      <c r="CZ515" s="227"/>
      <c r="DA515"/>
      <c r="DB515"/>
      <c r="DC515"/>
      <c r="DD515"/>
      <c r="DE515"/>
      <c r="DF515"/>
      <c r="DG515"/>
      <c r="DH515" s="227"/>
      <c r="DI515" s="3">
        <v>1</v>
      </c>
    </row>
    <row r="516" spans="2:113" s="627" customFormat="1" ht="21" customHeight="1">
      <c r="B516" s="2265" t="str" cm="1">
        <f t="array" ref="B516">SUMPRODUCT(--(D516:J516&lt;&gt;""), LEN(TRIM(SUBSTITUTE(D516:J516, CHAR(160), "")))) &amp; " Car."</f>
        <v>0 Car.</v>
      </c>
      <c r="C516" s="1376" t="str">
        <f>IF(ISBLANK(D516),"",LARGE(C13:C515,1)+1)</f>
        <v/>
      </c>
      <c r="D516" s="1833"/>
      <c r="E516" s="1810"/>
      <c r="F516" s="1810"/>
      <c r="G516" s="1810"/>
      <c r="H516" s="1810"/>
      <c r="I516" s="1810"/>
      <c r="J516" s="1810"/>
      <c r="K516" s="1810"/>
      <c r="L516" s="1811"/>
      <c r="M516"/>
      <c r="N516" s="103" t="str">
        <f t="shared" si="204"/>
        <v>►</v>
      </c>
      <c r="O516" s="1616"/>
      <c r="P516"/>
      <c r="Q516" s="103" t="s">
        <v>15</v>
      </c>
      <c r="R516" s="31"/>
      <c r="S516" s="32"/>
      <c r="T516" s="31"/>
      <c r="U516" s="33"/>
      <c r="V516" s="1804"/>
      <c r="W516" s="1805"/>
      <c r="X516" s="91"/>
      <c r="Y516" s="1806"/>
      <c r="Z516" s="1807"/>
      <c r="AA516" s="919"/>
      <c r="AB516" s="1813"/>
      <c r="AC516" s="1580"/>
      <c r="AD516" s="95"/>
      <c r="AE516" s="105"/>
      <c r="AF516" s="97"/>
      <c r="AG516" s="2080"/>
      <c r="AH516" s="2081"/>
      <c r="AI516" s="99"/>
      <c r="AJ516" s="1809"/>
      <c r="AK516" s="6120" t="str">
        <f t="shared" si="218"/>
        <v>►</v>
      </c>
      <c r="AL516" s="781" t="str">
        <f t="shared" si="206"/>
        <v>►</v>
      </c>
      <c r="AM516" s="5498" t="str">
        <f t="shared" si="209"/>
        <v/>
      </c>
      <c r="AN516" s="783" t="str">
        <f t="shared" si="210"/>
        <v/>
      </c>
      <c r="AO516" s="782" t="str">
        <f t="shared" si="211"/>
        <v/>
      </c>
      <c r="AP516" s="783" t="str">
        <f t="shared" si="212"/>
        <v/>
      </c>
      <c r="AQ516" s="2083" t="b">
        <f>AND(Q516="A",COUNTIF(BP16:BR63,TRIM(Z516))&gt;0)</f>
        <v>0</v>
      </c>
      <c r="AR516" s="797" t="str">
        <f>IF(AL516&lt;&gt;"A","",IFERROR(IFERROR(_xlfn.XLOOKUP(TRIM(SUBSTITUTE(Z516,CHAR(160)," ")),BP16:BP63,BS16:BS63),IFERROR(_xlfn.XLOOKUP(TRIM(SUBSTITUTE(Z516,CHAR(160)," ")),BQ16:BQ63,BS16:BS63),_xlfn.XLOOKUP(TRIM(SUBSTITUTE(Z516,CHAR(160)," ")),BR16:BR63,BS16:BS63)))*Y516*IF(ISBLANK(V516),1,V516),0))</f>
        <v/>
      </c>
      <c r="AS516" s="784" t="str">
        <f t="shared" si="202"/>
        <v/>
      </c>
      <c r="AT516" s="1315" t="str">
        <f t="shared" si="213"/>
        <v/>
      </c>
      <c r="AU516" s="785">
        <f t="shared" si="214"/>
        <v>0</v>
      </c>
      <c r="AV516" s="785">
        <f t="shared" si="215"/>
        <v>0</v>
      </c>
      <c r="AW516" s="798">
        <f>IF(AK516="A",AY10,0)</f>
        <v>0</v>
      </c>
      <c r="AX516" s="5496" t="str">
        <f>IF(IFERROR(SEARCH("Adresse PC",TRIM(W516)),0)&gt;0,"▼ receta siguiente",IF(AK516="A",IF(AZ10&lt;&gt;"",AZ10&amp;" - ou.or.o ❾ + or - &gt;",""),""))</f>
        <v/>
      </c>
      <c r="AY516" s="810"/>
      <c r="AZ516" s="810"/>
      <c r="BA516" s="799" t="str">
        <f t="shared" si="205"/>
        <v/>
      </c>
      <c r="BB516" s="800" t="str">
        <f>IF(AK516="A",IF(AQ516,IF(AND(AW516&lt;&gt;"",N(AW516)&gt;0),IFERROR(IFERROR(_xlfn.XLOOKUP(AP516,BP10:BP57,BT10:BT57),IFERROR(_xlfn.XLOOKUP(AP516,BQ10:BQ57,BT10:BT57),_xlfn.XLOOKUP(AP516,BR10:BR57,BT10:BT57,""))),""),""),""),"")</f>
        <v/>
      </c>
      <c r="BC516" s="813" cm="1">
        <f t="array" ref="BC516">IF(NOT(AQ516),0,IF(OR(BA516="",N(BA516)&lt;=0.000000001),"",IF(OR(AU516="",N(AU516)&lt;=0.000000001),0,IF(ISNUMBER(BA516),IFERROR(_xlfn.LET(_xlpm.ai_test,TRIM(AP516),_xlpm.r,IFERROR(_xlfn.XLOOKUP(_xlpm.ai_test,BP16:BP63,ROW(BP16:BP63),0,1),IFERROR(_xlfn.XLOOKUP(_xlpm.ai_test,BQ16:BQ63,ROW(BQ16:BQ63),0,1),_xlfn.XLOOKUP(_xlpm.ai_test,BR16:BR63,ROW(BR16:BR63),0,1))),_xlpm.p,_xlpm.r-MIN(ROW(BP16:BP63))+1,_xlpm.f,INDEX(BS16:BS63,_xlpm.p),_xlpm.u,INDEX(BT16:BT63,_xlpm.p),_xlpm.s,INDEX(BV16:BV63,_xlpm.p),_xlpm.q,N(BA516)/_xlpm.f,IF(_xlpm.q&gt;=_xlpm.s,ROUND(_xlpm.q,1)&amp;" "&amp;_xlpm.ai_test&amp;" = "&amp;ROUND(_xlpm.q*_xlpm.f,1)&amp;" "&amp;_xlpm.u,ROUND(_xlpm.q,1)&amp;" "&amp;_xlpm.ai_test)),""),""))))</f>
        <v>0</v>
      </c>
      <c r="BD516" s="801"/>
      <c r="BE516" s="799" t="str">
        <f t="shared" si="216"/>
        <v/>
      </c>
      <c r="BF516" s="800" t="str">
        <f t="shared" si="219"/>
        <v/>
      </c>
      <c r="BG516" s="802">
        <f t="shared" si="220"/>
        <v>0</v>
      </c>
      <c r="BH516" s="803" t="str">
        <f t="shared" si="221"/>
        <v/>
      </c>
      <c r="BI516" s="792"/>
      <c r="BJ516" s="804">
        <f t="shared" si="222"/>
        <v>0</v>
      </c>
      <c r="BK516" s="794" t="str">
        <f t="shared" si="217"/>
        <v/>
      </c>
      <c r="BL516" s="227" t="s">
        <v>21</v>
      </c>
      <c r="BM516" s="773">
        <f t="shared" si="207"/>
        <v>0</v>
      </c>
      <c r="BN516" s="774">
        <f t="shared" si="208"/>
        <v>0</v>
      </c>
      <c r="BO516"/>
      <c r="BX516"/>
      <c r="BY516"/>
      <c r="BZ516"/>
      <c r="CA516"/>
      <c r="CB516"/>
      <c r="CC516"/>
      <c r="CD516" s="781" t="str">
        <f t="shared" si="203"/>
        <v>►</v>
      </c>
      <c r="CE516" s="633"/>
      <c r="CF516" s="633"/>
      <c r="CG516" s="633"/>
      <c r="CH516" s="633"/>
      <c r="CI516" s="633"/>
      <c r="CJ516" s="227"/>
      <c r="CK516"/>
      <c r="CL516"/>
      <c r="CM516"/>
      <c r="CN516"/>
      <c r="CO516"/>
      <c r="CP516"/>
      <c r="CQ516"/>
      <c r="CR516" s="227"/>
      <c r="CS516"/>
      <c r="CT516"/>
      <c r="CU516"/>
      <c r="CV516"/>
      <c r="CW516"/>
      <c r="CX516"/>
      <c r="CY516"/>
      <c r="CZ516" s="227"/>
      <c r="DA516"/>
      <c r="DB516"/>
      <c r="DC516"/>
      <c r="DD516"/>
      <c r="DE516"/>
      <c r="DF516"/>
      <c r="DG516"/>
      <c r="DH516" s="227"/>
      <c r="DI516" s="3">
        <v>1</v>
      </c>
    </row>
    <row r="517" spans="2:113" s="627" customFormat="1" ht="21" customHeight="1">
      <c r="B517" s="2265" t="str" cm="1">
        <f t="array" ref="B517">SUMPRODUCT(--(D517:J517&lt;&gt;""), LEN(TRIM(SUBSTITUTE(D517:J517, CHAR(160), "")))) &amp; " Car."</f>
        <v>0 Car.</v>
      </c>
      <c r="C517" s="1376" t="str">
        <f>IF(ISBLANK(D517),"",LARGE(C13:C516,1)+1)</f>
        <v/>
      </c>
      <c r="D517" s="1833"/>
      <c r="E517" s="1810"/>
      <c r="F517" s="1810"/>
      <c r="G517" s="1810"/>
      <c r="H517" s="1810"/>
      <c r="I517" s="1810"/>
      <c r="J517" s="1810"/>
      <c r="K517" s="1810"/>
      <c r="L517" s="1811"/>
      <c r="M517"/>
      <c r="N517" s="103" t="str">
        <f t="shared" si="204"/>
        <v>►</v>
      </c>
      <c r="O517" s="1616"/>
      <c r="P517"/>
      <c r="Q517" s="103" t="s">
        <v>15</v>
      </c>
      <c r="R517" s="31"/>
      <c r="S517" s="32"/>
      <c r="T517" s="31"/>
      <c r="U517" s="33"/>
      <c r="V517" s="1804"/>
      <c r="W517" s="1805"/>
      <c r="X517" s="91"/>
      <c r="Y517" s="1806"/>
      <c r="Z517" s="1807"/>
      <c r="AA517" s="919"/>
      <c r="AB517" s="1813"/>
      <c r="AC517" s="1580"/>
      <c r="AD517" s="95"/>
      <c r="AE517" s="105"/>
      <c r="AF517" s="97"/>
      <c r="AG517" s="2080"/>
      <c r="AH517" s="2081"/>
      <c r="AI517" s="99"/>
      <c r="AJ517" s="1809"/>
      <c r="AK517" s="6120" t="str">
        <f t="shared" si="218"/>
        <v>►</v>
      </c>
      <c r="AL517" s="781" t="str">
        <f t="shared" si="206"/>
        <v>►</v>
      </c>
      <c r="AM517" s="5499" t="str">
        <f t="shared" si="209"/>
        <v/>
      </c>
      <c r="AN517" s="783" t="str">
        <f t="shared" si="210"/>
        <v/>
      </c>
      <c r="AO517" s="782" t="str">
        <f t="shared" si="211"/>
        <v/>
      </c>
      <c r="AP517" s="783" t="str">
        <f t="shared" si="212"/>
        <v/>
      </c>
      <c r="AQ517" s="2083" t="b">
        <f>AND(Q517="A",COUNTIF(BP16:BR63,TRIM(Z517))&gt;0)</f>
        <v>0</v>
      </c>
      <c r="AR517" s="797" t="str">
        <f>IF(AL517&lt;&gt;"A","",IFERROR(IFERROR(_xlfn.XLOOKUP(TRIM(SUBSTITUTE(Z517,CHAR(160)," ")),BP16:BP63,BS16:BS63),IFERROR(_xlfn.XLOOKUP(TRIM(SUBSTITUTE(Z517,CHAR(160)," ")),BQ16:BQ63,BS16:BS63),_xlfn.XLOOKUP(TRIM(SUBSTITUTE(Z517,CHAR(160)," ")),BR16:BR63,BS16:BS63)))*Y517*IF(ISBLANK(V517),1,V517),0))</f>
        <v/>
      </c>
      <c r="AS517" s="784" t="str">
        <f t="shared" si="202"/>
        <v/>
      </c>
      <c r="AT517" s="1315" t="str">
        <f t="shared" si="213"/>
        <v/>
      </c>
      <c r="AU517" s="785">
        <f t="shared" si="214"/>
        <v>0</v>
      </c>
      <c r="AV517" s="785">
        <f t="shared" si="215"/>
        <v>0</v>
      </c>
      <c r="AW517" s="786">
        <f>IF(AK517="A",AY10,0)</f>
        <v>0</v>
      </c>
      <c r="AX517" s="5495" t="str">
        <f>IF(IFERROR(SEARCH("Adresse PC",TRIM(W517)),0)&gt;0,"▼ receta siguiente",IF(AK517="A",IF(AZ10&lt;&gt;"",AZ10&amp;" - ou.or.o ❾ + or - &gt;",""),""))</f>
        <v/>
      </c>
      <c r="AY517" s="810"/>
      <c r="AZ517" s="810"/>
      <c r="BA517" s="788" t="str">
        <f t="shared" si="205"/>
        <v/>
      </c>
      <c r="BB517" s="789" t="str">
        <f>IF(AK517="A",IF(AQ517,IF(AND(AW517&lt;&gt;"",N(AW517)&gt;0),IFERROR(IFERROR(_xlfn.XLOOKUP(AP517,BP10:BP57,BT10:BT57),IFERROR(_xlfn.XLOOKUP(AP517,BQ10:BQ57,BT10:BT57),_xlfn.XLOOKUP(AP517,BR10:BR57,BT10:BT57,""))),""),""),""),"")</f>
        <v/>
      </c>
      <c r="BC517" s="811" cm="1">
        <f t="array" ref="BC517">IF(NOT(AQ517),0,IF(OR(BA517="",N(BA517)&lt;=0.000000001),"",IF(OR(AU517="",N(AU517)&lt;=0.000000001),0,IF(ISNUMBER(BA517),IFERROR(_xlfn.LET(_xlpm.ai_test,TRIM(AP517),_xlpm.r,IFERROR(_xlfn.XLOOKUP(_xlpm.ai_test,BP16:BP63,ROW(BP16:BP63),0,1),IFERROR(_xlfn.XLOOKUP(_xlpm.ai_test,BQ16:BQ63,ROW(BQ16:BQ63),0,1),_xlfn.XLOOKUP(_xlpm.ai_test,BR16:BR63,ROW(BR16:BR63),0,1))),_xlpm.p,_xlpm.r-MIN(ROW(BP16:BP63))+1,_xlpm.f,INDEX(BS16:BS63,_xlpm.p),_xlpm.u,INDEX(BT16:BT63,_xlpm.p),_xlpm.s,INDEX(BV16:BV63,_xlpm.p),_xlpm.q,N(BA517)/_xlpm.f,IF(_xlpm.q&gt;=_xlpm.s,ROUND(_xlpm.q,1)&amp;" "&amp;_xlpm.ai_test&amp;" = "&amp;ROUND(_xlpm.q*_xlpm.f,1)&amp;" "&amp;_xlpm.u,ROUND(_xlpm.q,1)&amp;" "&amp;_xlpm.ai_test)),""),""))))</f>
        <v>0</v>
      </c>
      <c r="BD517" s="801"/>
      <c r="BE517" s="788" t="str">
        <f t="shared" si="216"/>
        <v/>
      </c>
      <c r="BF517" s="789" t="str">
        <f t="shared" si="219"/>
        <v/>
      </c>
      <c r="BG517" s="790">
        <f t="shared" si="220"/>
        <v>0</v>
      </c>
      <c r="BH517" s="791" t="str">
        <f t="shared" si="221"/>
        <v/>
      </c>
      <c r="BI517" s="792"/>
      <c r="BJ517" s="793">
        <f t="shared" si="222"/>
        <v>0</v>
      </c>
      <c r="BK517" s="794" t="str">
        <f t="shared" si="217"/>
        <v/>
      </c>
      <c r="BL517" s="227" t="s">
        <v>21</v>
      </c>
      <c r="BM517" s="773">
        <f t="shared" si="207"/>
        <v>0</v>
      </c>
      <c r="BN517" s="774">
        <f t="shared" si="208"/>
        <v>0</v>
      </c>
      <c r="BO517"/>
      <c r="BX517"/>
      <c r="BY517"/>
      <c r="BZ517"/>
      <c r="CA517"/>
      <c r="CB517"/>
      <c r="CC517"/>
      <c r="CD517" s="781" t="str">
        <f t="shared" si="203"/>
        <v>►</v>
      </c>
      <c r="CE517" s="633"/>
      <c r="CF517" s="633"/>
      <c r="CG517" s="633"/>
      <c r="CH517" s="633"/>
      <c r="CI517" s="633"/>
      <c r="CJ517" s="227"/>
      <c r="CK517"/>
      <c r="CL517"/>
      <c r="CM517"/>
      <c r="CN517"/>
      <c r="CO517"/>
      <c r="CP517"/>
      <c r="CQ517"/>
      <c r="CR517" s="227"/>
      <c r="CS517"/>
      <c r="CT517"/>
      <c r="CU517"/>
      <c r="CV517"/>
      <c r="CW517"/>
      <c r="CX517"/>
      <c r="CY517"/>
      <c r="CZ517" s="227"/>
      <c r="DA517"/>
      <c r="DB517"/>
      <c r="DC517"/>
      <c r="DD517"/>
      <c r="DE517"/>
      <c r="DF517"/>
      <c r="DG517"/>
      <c r="DH517" s="227"/>
      <c r="DI517" s="3">
        <v>1</v>
      </c>
    </row>
    <row r="518" spans="2:113" s="627" customFormat="1" ht="21" customHeight="1">
      <c r="B518" s="2265" t="str" cm="1">
        <f t="array" ref="B518">SUMPRODUCT(--(D518:J518&lt;&gt;""), LEN(TRIM(SUBSTITUTE(D518:J518, CHAR(160), "")))) &amp; " Car."</f>
        <v>0 Car.</v>
      </c>
      <c r="C518" s="1376" t="str">
        <f>IF(ISBLANK(D518),"",LARGE(C13:C517,1)+1)</f>
        <v/>
      </c>
      <c r="D518" s="1833"/>
      <c r="E518" s="1810"/>
      <c r="F518" s="1810"/>
      <c r="G518" s="1810"/>
      <c r="H518" s="1810"/>
      <c r="I518" s="1810"/>
      <c r="J518" s="1810"/>
      <c r="K518" s="1810"/>
      <c r="L518" s="1811"/>
      <c r="M518"/>
      <c r="N518" s="103" t="str">
        <f t="shared" si="204"/>
        <v>►</v>
      </c>
      <c r="O518" s="1616"/>
      <c r="P518"/>
      <c r="Q518" s="103" t="s">
        <v>15</v>
      </c>
      <c r="R518" s="31"/>
      <c r="S518" s="32"/>
      <c r="T518" s="31"/>
      <c r="U518" s="33"/>
      <c r="V518" s="1804"/>
      <c r="W518" s="1805"/>
      <c r="X518" s="91"/>
      <c r="Y518" s="1806"/>
      <c r="Z518" s="1807"/>
      <c r="AA518" s="919"/>
      <c r="AB518" s="1813"/>
      <c r="AC518" s="1580"/>
      <c r="AD518" s="95"/>
      <c r="AE518" s="105"/>
      <c r="AF518" s="97"/>
      <c r="AG518" s="2080"/>
      <c r="AH518" s="2081"/>
      <c r="AI518" s="99"/>
      <c r="AJ518" s="1809"/>
      <c r="AK518" s="6120" t="str">
        <f t="shared" si="218"/>
        <v>►</v>
      </c>
      <c r="AL518" s="781" t="str">
        <f t="shared" si="206"/>
        <v>►</v>
      </c>
      <c r="AM518" s="5498" t="str">
        <f t="shared" si="209"/>
        <v/>
      </c>
      <c r="AN518" s="783" t="str">
        <f t="shared" si="210"/>
        <v/>
      </c>
      <c r="AO518" s="782" t="str">
        <f t="shared" si="211"/>
        <v/>
      </c>
      <c r="AP518" s="783" t="str">
        <f t="shared" si="212"/>
        <v/>
      </c>
      <c r="AQ518" s="2083" t="b">
        <f>AND(Q518="A",COUNTIF(BP16:BR63,TRIM(Z518))&gt;0)</f>
        <v>0</v>
      </c>
      <c r="AR518" s="797" t="str">
        <f>IF(AL518&lt;&gt;"A","",IFERROR(IFERROR(_xlfn.XLOOKUP(TRIM(SUBSTITUTE(Z518,CHAR(160)," ")),BP16:BP63,BS16:BS63),IFERROR(_xlfn.XLOOKUP(TRIM(SUBSTITUTE(Z518,CHAR(160)," ")),BQ16:BQ63,BS16:BS63),_xlfn.XLOOKUP(TRIM(SUBSTITUTE(Z518,CHAR(160)," ")),BR16:BR63,BS16:BS63)))*Y518*IF(ISBLANK(V518),1,V518),0))</f>
        <v/>
      </c>
      <c r="AS518" s="784" t="str">
        <f t="shared" si="202"/>
        <v/>
      </c>
      <c r="AT518" s="1315" t="str">
        <f t="shared" si="213"/>
        <v/>
      </c>
      <c r="AU518" s="785">
        <f t="shared" si="214"/>
        <v>0</v>
      </c>
      <c r="AV518" s="785">
        <f t="shared" si="215"/>
        <v>0</v>
      </c>
      <c r="AW518" s="798">
        <f>IF(AK518="A",AY10,0)</f>
        <v>0</v>
      </c>
      <c r="AX518" s="5496" t="str">
        <f>IF(IFERROR(SEARCH("Adresse PC",TRIM(W518)),0)&gt;0,"▼ receta siguiente",IF(AK518="A",IF(AZ10&lt;&gt;"",AZ10&amp;" - ou.or.o ❾ + or - &gt;",""),""))</f>
        <v/>
      </c>
      <c r="AY518" s="810"/>
      <c r="AZ518" s="810"/>
      <c r="BA518" s="799" t="str">
        <f t="shared" si="205"/>
        <v/>
      </c>
      <c r="BB518" s="800" t="str">
        <f>IF(AK518="A",IF(AQ518,IF(AND(AW518&lt;&gt;"",N(AW518)&gt;0),IFERROR(IFERROR(_xlfn.XLOOKUP(AP518,BP10:BP57,BT10:BT57),IFERROR(_xlfn.XLOOKUP(AP518,BQ10:BQ57,BT10:BT57),_xlfn.XLOOKUP(AP518,BR10:BR57,BT10:BT57,""))),""),""),""),"")</f>
        <v/>
      </c>
      <c r="BC518" s="813" cm="1">
        <f t="array" ref="BC518">IF(NOT(AQ518),0,IF(OR(BA518="",N(BA518)&lt;=0.000000001),"",IF(OR(AU518="",N(AU518)&lt;=0.000000001),0,IF(ISNUMBER(BA518),IFERROR(_xlfn.LET(_xlpm.ai_test,TRIM(AP518),_xlpm.r,IFERROR(_xlfn.XLOOKUP(_xlpm.ai_test,BP16:BP63,ROW(BP16:BP63),0,1),IFERROR(_xlfn.XLOOKUP(_xlpm.ai_test,BQ16:BQ63,ROW(BQ16:BQ63),0,1),_xlfn.XLOOKUP(_xlpm.ai_test,BR16:BR63,ROW(BR16:BR63),0,1))),_xlpm.p,_xlpm.r-MIN(ROW(BP16:BP63))+1,_xlpm.f,INDEX(BS16:BS63,_xlpm.p),_xlpm.u,INDEX(BT16:BT63,_xlpm.p),_xlpm.s,INDEX(BV16:BV63,_xlpm.p),_xlpm.q,N(BA518)/_xlpm.f,IF(_xlpm.q&gt;=_xlpm.s,ROUND(_xlpm.q,1)&amp;" "&amp;_xlpm.ai_test&amp;" = "&amp;ROUND(_xlpm.q*_xlpm.f,1)&amp;" "&amp;_xlpm.u,ROUND(_xlpm.q,1)&amp;" "&amp;_xlpm.ai_test)),""),""))))</f>
        <v>0</v>
      </c>
      <c r="BD518" s="801"/>
      <c r="BE518" s="799" t="str">
        <f t="shared" si="216"/>
        <v/>
      </c>
      <c r="BF518" s="800" t="str">
        <f t="shared" si="219"/>
        <v/>
      </c>
      <c r="BG518" s="802">
        <f t="shared" si="220"/>
        <v>0</v>
      </c>
      <c r="BH518" s="803" t="str">
        <f t="shared" si="221"/>
        <v/>
      </c>
      <c r="BI518" s="792"/>
      <c r="BJ518" s="804">
        <f t="shared" si="222"/>
        <v>0</v>
      </c>
      <c r="BK518" s="794" t="str">
        <f t="shared" si="217"/>
        <v/>
      </c>
      <c r="BL518" s="227" t="s">
        <v>21</v>
      </c>
      <c r="BM518" s="773">
        <f t="shared" si="207"/>
        <v>0</v>
      </c>
      <c r="BN518" s="774">
        <f t="shared" si="208"/>
        <v>0</v>
      </c>
      <c r="BO518"/>
      <c r="BX518"/>
      <c r="BY518"/>
      <c r="BZ518"/>
      <c r="CA518"/>
      <c r="CB518"/>
      <c r="CC518"/>
      <c r="CD518" s="781" t="str">
        <f t="shared" si="203"/>
        <v>►</v>
      </c>
      <c r="CE518" s="633"/>
      <c r="CF518" s="633"/>
      <c r="CG518" s="633"/>
      <c r="CH518" s="633"/>
      <c r="CI518" s="633"/>
      <c r="CJ518" s="227"/>
      <c r="CK518"/>
      <c r="CL518"/>
      <c r="CM518"/>
      <c r="CN518"/>
      <c r="CO518"/>
      <c r="CP518"/>
      <c r="CQ518"/>
      <c r="CR518" s="227"/>
      <c r="CS518"/>
      <c r="CT518"/>
      <c r="CU518"/>
      <c r="CV518"/>
      <c r="CW518"/>
      <c r="CX518"/>
      <c r="CY518"/>
      <c r="CZ518" s="227"/>
      <c r="DA518"/>
      <c r="DB518"/>
      <c r="DC518"/>
      <c r="DD518"/>
      <c r="DE518"/>
      <c r="DF518"/>
      <c r="DG518"/>
      <c r="DH518" s="227"/>
      <c r="DI518" s="3">
        <v>1</v>
      </c>
    </row>
    <row r="519" spans="2:113" s="627" customFormat="1" ht="21" customHeight="1">
      <c r="B519" s="2265" t="str" cm="1">
        <f t="array" ref="B519">SUMPRODUCT(--(D519:J519&lt;&gt;""), LEN(TRIM(SUBSTITUTE(D519:J519, CHAR(160), "")))) &amp; " Car."</f>
        <v>0 Car.</v>
      </c>
      <c r="C519" s="1376" t="str">
        <f>IF(ISBLANK(D519),"",LARGE(C13:C518,1)+1)</f>
        <v/>
      </c>
      <c r="D519" s="1833"/>
      <c r="E519" s="1810"/>
      <c r="F519" s="1810"/>
      <c r="G519" s="1810"/>
      <c r="H519" s="1810"/>
      <c r="I519" s="1810"/>
      <c r="J519" s="1810"/>
      <c r="K519" s="1810"/>
      <c r="L519" s="1811"/>
      <c r="M519"/>
      <c r="N519" s="103" t="str">
        <f t="shared" si="204"/>
        <v>►</v>
      </c>
      <c r="O519" s="1616"/>
      <c r="P519"/>
      <c r="Q519" s="103" t="s">
        <v>15</v>
      </c>
      <c r="R519" s="31"/>
      <c r="S519" s="32"/>
      <c r="T519" s="31"/>
      <c r="U519" s="33"/>
      <c r="V519" s="1804"/>
      <c r="W519" s="1805"/>
      <c r="X519" s="91"/>
      <c r="Y519" s="1806"/>
      <c r="Z519" s="1807"/>
      <c r="AA519" s="919"/>
      <c r="AB519" s="1813"/>
      <c r="AC519" s="1580"/>
      <c r="AD519" s="95"/>
      <c r="AE519" s="105"/>
      <c r="AF519" s="97"/>
      <c r="AG519" s="2080"/>
      <c r="AH519" s="2081"/>
      <c r="AI519" s="99"/>
      <c r="AJ519" s="1809"/>
      <c r="AK519" s="6120" t="str">
        <f t="shared" si="218"/>
        <v>►</v>
      </c>
      <c r="AL519" s="781" t="str">
        <f t="shared" si="206"/>
        <v>►</v>
      </c>
      <c r="AM519" s="5499" t="str">
        <f t="shared" si="209"/>
        <v/>
      </c>
      <c r="AN519" s="783" t="str">
        <f t="shared" si="210"/>
        <v/>
      </c>
      <c r="AO519" s="782" t="str">
        <f t="shared" si="211"/>
        <v/>
      </c>
      <c r="AP519" s="783" t="str">
        <f t="shared" si="212"/>
        <v/>
      </c>
      <c r="AQ519" s="2083" t="b">
        <f>AND(Q519="A",COUNTIF(BP16:BR63,TRIM(Z519))&gt;0)</f>
        <v>0</v>
      </c>
      <c r="AR519" s="797" t="str">
        <f>IF(AL519&lt;&gt;"A","",IFERROR(IFERROR(_xlfn.XLOOKUP(TRIM(SUBSTITUTE(Z519,CHAR(160)," ")),BP16:BP63,BS16:BS63),IFERROR(_xlfn.XLOOKUP(TRIM(SUBSTITUTE(Z519,CHAR(160)," ")),BQ16:BQ63,BS16:BS63),_xlfn.XLOOKUP(TRIM(SUBSTITUTE(Z519,CHAR(160)," ")),BR16:BR63,BS16:BS63)))*Y519*IF(ISBLANK(V519),1,V519),0))</f>
        <v/>
      </c>
      <c r="AS519" s="784" t="str">
        <f t="shared" ref="AS519:AS550" si="223">IF(AK519="A",IF(AND(AQ519,AR519&gt;0),"Kg",""),"")</f>
        <v/>
      </c>
      <c r="AT519" s="1315" t="str">
        <f t="shared" si="213"/>
        <v/>
      </c>
      <c r="AU519" s="785">
        <f t="shared" si="214"/>
        <v>0</v>
      </c>
      <c r="AV519" s="785">
        <f t="shared" si="215"/>
        <v>0</v>
      </c>
      <c r="AW519" s="786">
        <f>IF(AK519="A",AY10,0)</f>
        <v>0</v>
      </c>
      <c r="AX519" s="5495" t="str">
        <f>IF(IFERROR(SEARCH("Adresse PC",TRIM(W519)),0)&gt;0,"▼ receta siguiente",IF(AK519="A",IF(AZ10&lt;&gt;"",AZ10&amp;" - ou.or.o ❾ + or - &gt;",""),""))</f>
        <v/>
      </c>
      <c r="AY519" s="810"/>
      <c r="AZ519" s="810"/>
      <c r="BA519" s="788" t="str">
        <f t="shared" si="205"/>
        <v/>
      </c>
      <c r="BB519" s="789" t="str">
        <f>IF(AK519="A",IF(AQ519,IF(AND(AW519&lt;&gt;"",N(AW519)&gt;0),IFERROR(IFERROR(_xlfn.XLOOKUP(AP519,BP10:BP57,BT10:BT57),IFERROR(_xlfn.XLOOKUP(AP519,BQ10:BQ57,BT10:BT57),_xlfn.XLOOKUP(AP519,BR10:BR57,BT10:BT57,""))),""),""),""),"")</f>
        <v/>
      </c>
      <c r="BC519" s="811" cm="1">
        <f t="array" ref="BC519">IF(NOT(AQ519),0,IF(OR(BA519="",N(BA519)&lt;=0.000000001),"",IF(OR(AU519="",N(AU519)&lt;=0.000000001),0,IF(ISNUMBER(BA519),IFERROR(_xlfn.LET(_xlpm.ai_test,TRIM(AP519),_xlpm.r,IFERROR(_xlfn.XLOOKUP(_xlpm.ai_test,BP16:BP63,ROW(BP16:BP63),0,1),IFERROR(_xlfn.XLOOKUP(_xlpm.ai_test,BQ16:BQ63,ROW(BQ16:BQ63),0,1),_xlfn.XLOOKUP(_xlpm.ai_test,BR16:BR63,ROW(BR16:BR63),0,1))),_xlpm.p,_xlpm.r-MIN(ROW(BP16:BP63))+1,_xlpm.f,INDEX(BS16:BS63,_xlpm.p),_xlpm.u,INDEX(BT16:BT63,_xlpm.p),_xlpm.s,INDEX(BV16:BV63,_xlpm.p),_xlpm.q,N(BA519)/_xlpm.f,IF(_xlpm.q&gt;=_xlpm.s,ROUND(_xlpm.q,1)&amp;" "&amp;_xlpm.ai_test&amp;" = "&amp;ROUND(_xlpm.q*_xlpm.f,1)&amp;" "&amp;_xlpm.u,ROUND(_xlpm.q,1)&amp;" "&amp;_xlpm.ai_test)),""),""))))</f>
        <v>0</v>
      </c>
      <c r="BD519" s="801"/>
      <c r="BE519" s="788" t="str">
        <f t="shared" si="216"/>
        <v/>
      </c>
      <c r="BF519" s="789" t="str">
        <f t="shared" si="219"/>
        <v/>
      </c>
      <c r="BG519" s="790">
        <f t="shared" si="220"/>
        <v>0</v>
      </c>
      <c r="BH519" s="791" t="str">
        <f t="shared" si="221"/>
        <v/>
      </c>
      <c r="BI519" s="792"/>
      <c r="BJ519" s="793">
        <f t="shared" si="222"/>
        <v>0</v>
      </c>
      <c r="BK519" s="794" t="str">
        <f t="shared" si="217"/>
        <v/>
      </c>
      <c r="BL519" s="227" t="s">
        <v>21</v>
      </c>
      <c r="BM519" s="773">
        <f t="shared" si="207"/>
        <v>0</v>
      </c>
      <c r="BN519" s="774">
        <f t="shared" si="208"/>
        <v>0</v>
      </c>
      <c r="BO519"/>
      <c r="BX519"/>
      <c r="BY519"/>
      <c r="BZ519"/>
      <c r="CA519"/>
      <c r="CB519"/>
      <c r="CC519"/>
      <c r="CD519" s="781" t="str">
        <f t="shared" ref="CD519:CD550" si="224">AL519</f>
        <v>►</v>
      </c>
      <c r="CE519" s="633"/>
      <c r="CF519" s="633"/>
      <c r="CG519" s="633"/>
      <c r="CH519" s="633"/>
      <c r="CI519" s="633"/>
      <c r="CJ519" s="227"/>
      <c r="CK519"/>
      <c r="CL519"/>
      <c r="CM519"/>
      <c r="CN519"/>
      <c r="CO519"/>
      <c r="CP519"/>
      <c r="CQ519"/>
      <c r="CR519" s="227"/>
      <c r="CS519"/>
      <c r="CT519"/>
      <c r="CU519"/>
      <c r="CV519"/>
      <c r="CW519"/>
      <c r="CX519"/>
      <c r="CY519"/>
      <c r="CZ519" s="227"/>
      <c r="DA519"/>
      <c r="DB519"/>
      <c r="DC519"/>
      <c r="DD519"/>
      <c r="DE519"/>
      <c r="DF519"/>
      <c r="DG519"/>
      <c r="DH519" s="227"/>
      <c r="DI519" s="3">
        <v>1</v>
      </c>
    </row>
    <row r="520" spans="2:113" s="627" customFormat="1" ht="21" customHeight="1">
      <c r="B520" s="2265" t="str" cm="1">
        <f t="array" ref="B520">SUMPRODUCT(--(D520:J520&lt;&gt;""), LEN(TRIM(SUBSTITUTE(D520:J520, CHAR(160), "")))) &amp; " Car."</f>
        <v>0 Car.</v>
      </c>
      <c r="C520" s="1376" t="str">
        <f>IF(ISBLANK(D520),"",LARGE(C13:C519,1)+1)</f>
        <v/>
      </c>
      <c r="D520" s="1833"/>
      <c r="E520" s="1810"/>
      <c r="F520" s="1810"/>
      <c r="G520" s="1810"/>
      <c r="H520" s="1810"/>
      <c r="I520" s="1810"/>
      <c r="J520" s="1810"/>
      <c r="K520" s="1810"/>
      <c r="L520" s="1811"/>
      <c r="M520"/>
      <c r="N520" s="103" t="str">
        <f t="shared" si="204"/>
        <v>►</v>
      </c>
      <c r="O520" s="1616"/>
      <c r="P520"/>
      <c r="Q520" s="103" t="s">
        <v>15</v>
      </c>
      <c r="R520" s="31"/>
      <c r="S520" s="32"/>
      <c r="T520" s="31"/>
      <c r="U520" s="33"/>
      <c r="V520" s="1804"/>
      <c r="W520" s="1805"/>
      <c r="X520" s="91"/>
      <c r="Y520" s="1806"/>
      <c r="Z520" s="1807"/>
      <c r="AA520" s="919"/>
      <c r="AB520" s="1813"/>
      <c r="AC520" s="1580"/>
      <c r="AD520" s="95"/>
      <c r="AE520" s="105"/>
      <c r="AF520" s="97"/>
      <c r="AG520" s="2080"/>
      <c r="AH520" s="2081"/>
      <c r="AI520" s="99"/>
      <c r="AJ520" s="1809"/>
      <c r="AK520" s="6120" t="str">
        <f t="shared" si="218"/>
        <v>►</v>
      </c>
      <c r="AL520" s="781" t="str">
        <f t="shared" si="206"/>
        <v>►</v>
      </c>
      <c r="AM520" s="5498" t="str">
        <f t="shared" si="209"/>
        <v/>
      </c>
      <c r="AN520" s="783" t="str">
        <f t="shared" si="210"/>
        <v/>
      </c>
      <c r="AO520" s="782" t="str">
        <f t="shared" si="211"/>
        <v/>
      </c>
      <c r="AP520" s="783" t="str">
        <f t="shared" si="212"/>
        <v/>
      </c>
      <c r="AQ520" s="2083" t="b">
        <f>AND(Q520="A",COUNTIF(BP16:BR63,TRIM(Z520))&gt;0)</f>
        <v>0</v>
      </c>
      <c r="AR520" s="797" t="str">
        <f>IF(AL520&lt;&gt;"A","",IFERROR(IFERROR(_xlfn.XLOOKUP(TRIM(SUBSTITUTE(Z520,CHAR(160)," ")),BP16:BP63,BS16:BS63),IFERROR(_xlfn.XLOOKUP(TRIM(SUBSTITUTE(Z520,CHAR(160)," ")),BQ16:BQ63,BS16:BS63),_xlfn.XLOOKUP(TRIM(SUBSTITUTE(Z520,CHAR(160)," ")),BR16:BR63,BS16:BS63)))*Y520*IF(ISBLANK(V520),1,V520),0))</f>
        <v/>
      </c>
      <c r="AS520" s="784" t="str">
        <f t="shared" si="223"/>
        <v/>
      </c>
      <c r="AT520" s="1315" t="str">
        <f t="shared" si="213"/>
        <v/>
      </c>
      <c r="AU520" s="785">
        <f t="shared" si="214"/>
        <v>0</v>
      </c>
      <c r="AV520" s="785">
        <f t="shared" si="215"/>
        <v>0</v>
      </c>
      <c r="AW520" s="798">
        <f>IF(AK520="A",AY10,0)</f>
        <v>0</v>
      </c>
      <c r="AX520" s="5496" t="str">
        <f>IF(IFERROR(SEARCH("Adresse PC",TRIM(W520)),0)&gt;0,"▼ receta siguiente",IF(AK520="A",IF(AZ10&lt;&gt;"",AZ10&amp;" - ou.or.o ❾ + or - &gt;",""),""))</f>
        <v/>
      </c>
      <c r="AY520" s="810"/>
      <c r="AZ520" s="810"/>
      <c r="BA520" s="799" t="str">
        <f t="shared" si="205"/>
        <v/>
      </c>
      <c r="BB520" s="800" t="str">
        <f>IF(AK520="A",IF(AQ520,IF(AND(AW520&lt;&gt;"",N(AW520)&gt;0),IFERROR(IFERROR(_xlfn.XLOOKUP(AP520,BP10:BP57,BT10:BT57),IFERROR(_xlfn.XLOOKUP(AP520,BQ10:BQ57,BT10:BT57),_xlfn.XLOOKUP(AP520,BR10:BR57,BT10:BT57,""))),""),""),""),"")</f>
        <v/>
      </c>
      <c r="BC520" s="813" cm="1">
        <f t="array" ref="BC520">IF(NOT(AQ520),0,IF(OR(BA520="",N(BA520)&lt;=0.000000001),"",IF(OR(AU520="",N(AU520)&lt;=0.000000001),0,IF(ISNUMBER(BA520),IFERROR(_xlfn.LET(_xlpm.ai_test,TRIM(AP520),_xlpm.r,IFERROR(_xlfn.XLOOKUP(_xlpm.ai_test,BP16:BP63,ROW(BP16:BP63),0,1),IFERROR(_xlfn.XLOOKUP(_xlpm.ai_test,BQ16:BQ63,ROW(BQ16:BQ63),0,1),_xlfn.XLOOKUP(_xlpm.ai_test,BR16:BR63,ROW(BR16:BR63),0,1))),_xlpm.p,_xlpm.r-MIN(ROW(BP16:BP63))+1,_xlpm.f,INDEX(BS16:BS63,_xlpm.p),_xlpm.u,INDEX(BT16:BT63,_xlpm.p),_xlpm.s,INDEX(BV16:BV63,_xlpm.p),_xlpm.q,N(BA520)/_xlpm.f,IF(_xlpm.q&gt;=_xlpm.s,ROUND(_xlpm.q,1)&amp;" "&amp;_xlpm.ai_test&amp;" = "&amp;ROUND(_xlpm.q*_xlpm.f,1)&amp;" "&amp;_xlpm.u,ROUND(_xlpm.q,1)&amp;" "&amp;_xlpm.ai_test)),""),""))))</f>
        <v>0</v>
      </c>
      <c r="BD520" s="801"/>
      <c r="BE520" s="799" t="str">
        <f t="shared" si="216"/>
        <v/>
      </c>
      <c r="BF520" s="800" t="str">
        <f t="shared" si="219"/>
        <v/>
      </c>
      <c r="BG520" s="802">
        <f t="shared" si="220"/>
        <v>0</v>
      </c>
      <c r="BH520" s="803" t="str">
        <f t="shared" si="221"/>
        <v/>
      </c>
      <c r="BI520" s="792"/>
      <c r="BJ520" s="804">
        <f t="shared" si="222"/>
        <v>0</v>
      </c>
      <c r="BK520" s="794" t="str">
        <f t="shared" si="217"/>
        <v/>
      </c>
      <c r="BL520" s="227" t="s">
        <v>21</v>
      </c>
      <c r="BM520" s="773">
        <f t="shared" si="207"/>
        <v>0</v>
      </c>
      <c r="BN520" s="774">
        <f t="shared" si="208"/>
        <v>0</v>
      </c>
      <c r="BO520"/>
      <c r="BX520"/>
      <c r="BY520"/>
      <c r="BZ520"/>
      <c r="CA520"/>
      <c r="CB520"/>
      <c r="CC520"/>
      <c r="CD520" s="781" t="str">
        <f t="shared" si="224"/>
        <v>►</v>
      </c>
      <c r="CE520" s="633"/>
      <c r="CF520" s="633"/>
      <c r="CG520" s="633"/>
      <c r="CH520" s="633"/>
      <c r="CI520" s="633"/>
      <c r="CJ520" s="227"/>
      <c r="CK520"/>
      <c r="CL520"/>
      <c r="CM520"/>
      <c r="CN520"/>
      <c r="CO520"/>
      <c r="CP520"/>
      <c r="CQ520"/>
      <c r="CR520" s="227"/>
      <c r="CS520"/>
      <c r="CT520"/>
      <c r="CU520"/>
      <c r="CV520"/>
      <c r="CW520"/>
      <c r="CX520"/>
      <c r="CY520"/>
      <c r="CZ520" s="227"/>
      <c r="DA520"/>
      <c r="DB520"/>
      <c r="DC520"/>
      <c r="DD520"/>
      <c r="DE520"/>
      <c r="DF520"/>
      <c r="DG520"/>
      <c r="DH520" s="227"/>
      <c r="DI520" s="3">
        <v>1</v>
      </c>
    </row>
    <row r="521" spans="2:113" s="627" customFormat="1" ht="21" customHeight="1">
      <c r="B521" s="2265" t="str" cm="1">
        <f t="array" ref="B521">SUMPRODUCT(--(D521:J521&lt;&gt;""), LEN(TRIM(SUBSTITUTE(D521:J521, CHAR(160), "")))) &amp; " Car."</f>
        <v>0 Car.</v>
      </c>
      <c r="C521" s="1376" t="str">
        <f>IF(ISBLANK(D521),"",LARGE(C13:C520,1)+1)</f>
        <v/>
      </c>
      <c r="D521" s="1833"/>
      <c r="E521" s="1810"/>
      <c r="F521" s="1810"/>
      <c r="G521" s="1810"/>
      <c r="H521" s="1810"/>
      <c r="I521" s="1810"/>
      <c r="J521" s="1810"/>
      <c r="K521" s="1810"/>
      <c r="L521" s="1811"/>
      <c r="M521"/>
      <c r="N521" s="103" t="str">
        <f t="shared" si="204"/>
        <v>►</v>
      </c>
      <c r="O521" s="1616"/>
      <c r="P521"/>
      <c r="Q521" s="103" t="s">
        <v>15</v>
      </c>
      <c r="R521" s="31"/>
      <c r="S521" s="32"/>
      <c r="T521" s="31"/>
      <c r="U521" s="33"/>
      <c r="V521" s="1804"/>
      <c r="W521" s="1805"/>
      <c r="X521" s="91"/>
      <c r="Y521" s="1806"/>
      <c r="Z521" s="1807"/>
      <c r="AA521" s="919"/>
      <c r="AB521" s="1813"/>
      <c r="AC521" s="1580"/>
      <c r="AD521" s="95"/>
      <c r="AE521" s="105"/>
      <c r="AF521" s="97"/>
      <c r="AG521" s="2080"/>
      <c r="AH521" s="2081"/>
      <c r="AI521" s="99"/>
      <c r="AJ521" s="1809"/>
      <c r="AK521" s="6120" t="str">
        <f t="shared" si="218"/>
        <v>►</v>
      </c>
      <c r="AL521" s="781" t="str">
        <f t="shared" si="206"/>
        <v>►</v>
      </c>
      <c r="AM521" s="5499" t="str">
        <f t="shared" si="209"/>
        <v/>
      </c>
      <c r="AN521" s="783" t="str">
        <f t="shared" si="210"/>
        <v/>
      </c>
      <c r="AO521" s="782" t="str">
        <f t="shared" si="211"/>
        <v/>
      </c>
      <c r="AP521" s="783" t="str">
        <f t="shared" si="212"/>
        <v/>
      </c>
      <c r="AQ521" s="2083" t="b">
        <f>AND(Q521="A",COUNTIF(BP16:BR63,TRIM(Z521))&gt;0)</f>
        <v>0</v>
      </c>
      <c r="AR521" s="797" t="str">
        <f>IF(AL521&lt;&gt;"A","",IFERROR(IFERROR(_xlfn.XLOOKUP(TRIM(SUBSTITUTE(Z521,CHAR(160)," ")),BP16:BP63,BS16:BS63),IFERROR(_xlfn.XLOOKUP(TRIM(SUBSTITUTE(Z521,CHAR(160)," ")),BQ16:BQ63,BS16:BS63),_xlfn.XLOOKUP(TRIM(SUBSTITUTE(Z521,CHAR(160)," ")),BR16:BR63,BS16:BS63)))*Y521*IF(ISBLANK(V521),1,V521),0))</f>
        <v/>
      </c>
      <c r="AS521" s="784" t="str">
        <f t="shared" si="223"/>
        <v/>
      </c>
      <c r="AT521" s="1315" t="str">
        <f t="shared" si="213"/>
        <v/>
      </c>
      <c r="AU521" s="785">
        <f t="shared" si="214"/>
        <v>0</v>
      </c>
      <c r="AV521" s="785">
        <f t="shared" si="215"/>
        <v>0</v>
      </c>
      <c r="AW521" s="786">
        <f>IF(AK521="A",AY10,0)</f>
        <v>0</v>
      </c>
      <c r="AX521" s="5495" t="str">
        <f>IF(IFERROR(SEARCH("Adresse PC",TRIM(W521)),0)&gt;0,"▼ receta siguiente",IF(AK521="A",IF(AZ10&lt;&gt;"",AZ10&amp;" - ou.or.o ❾ + or - &gt;",""),""))</f>
        <v/>
      </c>
      <c r="AY521" s="810"/>
      <c r="AZ521" s="810"/>
      <c r="BA521" s="788" t="str">
        <f t="shared" si="205"/>
        <v/>
      </c>
      <c r="BB521" s="789" t="str">
        <f>IF(AK521="A",IF(AQ521,IF(AND(AW521&lt;&gt;"",N(AW521)&gt;0),IFERROR(IFERROR(_xlfn.XLOOKUP(AP521,BP10:BP57,BT10:BT57),IFERROR(_xlfn.XLOOKUP(AP521,BQ10:BQ57,BT10:BT57),_xlfn.XLOOKUP(AP521,BR10:BR57,BT10:BT57,""))),""),""),""),"")</f>
        <v/>
      </c>
      <c r="BC521" s="811" cm="1">
        <f t="array" ref="BC521">IF(NOT(AQ521),0,IF(OR(BA521="",N(BA521)&lt;=0.000000001),"",IF(OR(AU521="",N(AU521)&lt;=0.000000001),0,IF(ISNUMBER(BA521),IFERROR(_xlfn.LET(_xlpm.ai_test,TRIM(AP521),_xlpm.r,IFERROR(_xlfn.XLOOKUP(_xlpm.ai_test,BP16:BP63,ROW(BP16:BP63),0,1),IFERROR(_xlfn.XLOOKUP(_xlpm.ai_test,BQ16:BQ63,ROW(BQ16:BQ63),0,1),_xlfn.XLOOKUP(_xlpm.ai_test,BR16:BR63,ROW(BR16:BR63),0,1))),_xlpm.p,_xlpm.r-MIN(ROW(BP16:BP63))+1,_xlpm.f,INDEX(BS16:BS63,_xlpm.p),_xlpm.u,INDEX(BT16:BT63,_xlpm.p),_xlpm.s,INDEX(BV16:BV63,_xlpm.p),_xlpm.q,N(BA521)/_xlpm.f,IF(_xlpm.q&gt;=_xlpm.s,ROUND(_xlpm.q,1)&amp;" "&amp;_xlpm.ai_test&amp;" = "&amp;ROUND(_xlpm.q*_xlpm.f,1)&amp;" "&amp;_xlpm.u,ROUND(_xlpm.q,1)&amp;" "&amp;_xlpm.ai_test)),""),""))))</f>
        <v>0</v>
      </c>
      <c r="BD521" s="801"/>
      <c r="BE521" s="788" t="str">
        <f t="shared" si="216"/>
        <v/>
      </c>
      <c r="BF521" s="789" t="str">
        <f t="shared" si="219"/>
        <v/>
      </c>
      <c r="BG521" s="790">
        <f t="shared" si="220"/>
        <v>0</v>
      </c>
      <c r="BH521" s="791" t="str">
        <f t="shared" si="221"/>
        <v/>
      </c>
      <c r="BI521" s="792"/>
      <c r="BJ521" s="793">
        <f t="shared" si="222"/>
        <v>0</v>
      </c>
      <c r="BK521" s="794" t="str">
        <f t="shared" si="217"/>
        <v/>
      </c>
      <c r="BL521" s="227" t="s">
        <v>21</v>
      </c>
      <c r="BM521" s="773">
        <f t="shared" si="207"/>
        <v>0</v>
      </c>
      <c r="BN521" s="774">
        <f t="shared" si="208"/>
        <v>0</v>
      </c>
      <c r="BO521"/>
      <c r="BX521"/>
      <c r="BY521"/>
      <c r="BZ521"/>
      <c r="CA521"/>
      <c r="CB521"/>
      <c r="CC521"/>
      <c r="CD521" s="781" t="str">
        <f t="shared" si="224"/>
        <v>►</v>
      </c>
      <c r="CE521" s="633"/>
      <c r="CF521" s="633"/>
      <c r="CG521" s="633"/>
      <c r="CH521" s="633"/>
      <c r="CI521" s="633"/>
      <c r="CJ521" s="227"/>
      <c r="CK521"/>
      <c r="CL521"/>
      <c r="CM521"/>
      <c r="CN521"/>
      <c r="CO521"/>
      <c r="CP521"/>
      <c r="CQ521"/>
      <c r="CR521" s="227"/>
      <c r="CS521"/>
      <c r="CT521"/>
      <c r="CU521"/>
      <c r="CV521"/>
      <c r="CW521"/>
      <c r="CX521"/>
      <c r="CY521"/>
      <c r="CZ521" s="227"/>
      <c r="DA521"/>
      <c r="DB521"/>
      <c r="DC521"/>
      <c r="DD521"/>
      <c r="DE521"/>
      <c r="DF521"/>
      <c r="DG521"/>
      <c r="DH521" s="227"/>
      <c r="DI521" s="3">
        <v>1</v>
      </c>
    </row>
    <row r="522" spans="2:113" s="627" customFormat="1" ht="21" customHeight="1">
      <c r="B522" s="2265" t="str" cm="1">
        <f t="array" ref="B522">SUMPRODUCT(--(D522:J522&lt;&gt;""), LEN(TRIM(SUBSTITUTE(D522:J522, CHAR(160), "")))) &amp; " Car."</f>
        <v>0 Car.</v>
      </c>
      <c r="C522" s="1376" t="str">
        <f>IF(ISBLANK(D522),"",LARGE(C13:C521,1)+1)</f>
        <v/>
      </c>
      <c r="D522" s="1833"/>
      <c r="E522" s="1810"/>
      <c r="F522" s="1810"/>
      <c r="G522" s="1810"/>
      <c r="H522" s="1810"/>
      <c r="I522" s="1810"/>
      <c r="J522" s="1810"/>
      <c r="K522" s="1810"/>
      <c r="L522" s="1811"/>
      <c r="M522"/>
      <c r="N522" s="103" t="str">
        <f t="shared" si="204"/>
        <v>►</v>
      </c>
      <c r="O522" s="1616"/>
      <c r="P522"/>
      <c r="Q522" s="103" t="s">
        <v>15</v>
      </c>
      <c r="R522" s="31"/>
      <c r="S522" s="32"/>
      <c r="T522" s="31"/>
      <c r="U522" s="33"/>
      <c r="V522" s="1804"/>
      <c r="W522" s="1805"/>
      <c r="X522" s="91"/>
      <c r="Y522" s="1806"/>
      <c r="Z522" s="1807"/>
      <c r="AA522" s="919"/>
      <c r="AB522" s="1813"/>
      <c r="AC522" s="1580"/>
      <c r="AD522" s="95"/>
      <c r="AE522" s="105"/>
      <c r="AF522" s="97"/>
      <c r="AG522" s="2080"/>
      <c r="AH522" s="2081"/>
      <c r="AI522" s="99"/>
      <c r="AJ522" s="1809"/>
      <c r="AK522" s="6120" t="str">
        <f t="shared" si="218"/>
        <v>►</v>
      </c>
      <c r="AL522" s="781" t="str">
        <f t="shared" si="206"/>
        <v>►</v>
      </c>
      <c r="AM522" s="5498" t="str">
        <f t="shared" si="209"/>
        <v/>
      </c>
      <c r="AN522" s="783" t="str">
        <f t="shared" si="210"/>
        <v/>
      </c>
      <c r="AO522" s="782" t="str">
        <f t="shared" si="211"/>
        <v/>
      </c>
      <c r="AP522" s="783" t="str">
        <f t="shared" si="212"/>
        <v/>
      </c>
      <c r="AQ522" s="2083" t="b">
        <f>AND(Q522="A",COUNTIF(BP16:BR63,TRIM(Z522))&gt;0)</f>
        <v>0</v>
      </c>
      <c r="AR522" s="797" t="str">
        <f>IF(AL522&lt;&gt;"A","",IFERROR(IFERROR(_xlfn.XLOOKUP(TRIM(SUBSTITUTE(Z522,CHAR(160)," ")),BP16:BP63,BS16:BS63),IFERROR(_xlfn.XLOOKUP(TRIM(SUBSTITUTE(Z522,CHAR(160)," ")),BQ16:BQ63,BS16:BS63),_xlfn.XLOOKUP(TRIM(SUBSTITUTE(Z522,CHAR(160)," ")),BR16:BR63,BS16:BS63)))*Y522*IF(ISBLANK(V522),1,V522),0))</f>
        <v/>
      </c>
      <c r="AS522" s="784" t="str">
        <f t="shared" si="223"/>
        <v/>
      </c>
      <c r="AT522" s="1315" t="str">
        <f t="shared" si="213"/>
        <v/>
      </c>
      <c r="AU522" s="785">
        <f t="shared" si="214"/>
        <v>0</v>
      </c>
      <c r="AV522" s="785">
        <f t="shared" si="215"/>
        <v>0</v>
      </c>
      <c r="AW522" s="798">
        <f>IF(AK522="A",AY10,0)</f>
        <v>0</v>
      </c>
      <c r="AX522" s="5496" t="str">
        <f>IF(IFERROR(SEARCH("Adresse PC",TRIM(W522)),0)&gt;0,"▼ receta siguiente",IF(AK522="A",IF(AZ10&lt;&gt;"",AZ10&amp;" - ou.or.o ❾ + or - &gt;",""),""))</f>
        <v/>
      </c>
      <c r="AY522" s="810"/>
      <c r="AZ522" s="810"/>
      <c r="BA522" s="799" t="str">
        <f t="shared" si="205"/>
        <v/>
      </c>
      <c r="BB522" s="800" t="str">
        <f>IF(AK522="A",IF(AQ522,IF(AND(AW522&lt;&gt;"",N(AW522)&gt;0),IFERROR(IFERROR(_xlfn.XLOOKUP(AP522,BP10:BP57,BT10:BT57),IFERROR(_xlfn.XLOOKUP(AP522,BQ10:BQ57,BT10:BT57),_xlfn.XLOOKUP(AP522,BR10:BR57,BT10:BT57,""))),""),""),""),"")</f>
        <v/>
      </c>
      <c r="BC522" s="813" cm="1">
        <f t="array" ref="BC522">IF(NOT(AQ522),0,IF(OR(BA522="",N(BA522)&lt;=0.000000001),"",IF(OR(AU522="",N(AU522)&lt;=0.000000001),0,IF(ISNUMBER(BA522),IFERROR(_xlfn.LET(_xlpm.ai_test,TRIM(AP522),_xlpm.r,IFERROR(_xlfn.XLOOKUP(_xlpm.ai_test,BP16:BP63,ROW(BP16:BP63),0,1),IFERROR(_xlfn.XLOOKUP(_xlpm.ai_test,BQ16:BQ63,ROW(BQ16:BQ63),0,1),_xlfn.XLOOKUP(_xlpm.ai_test,BR16:BR63,ROW(BR16:BR63),0,1))),_xlpm.p,_xlpm.r-MIN(ROW(BP16:BP63))+1,_xlpm.f,INDEX(BS16:BS63,_xlpm.p),_xlpm.u,INDEX(BT16:BT63,_xlpm.p),_xlpm.s,INDEX(BV16:BV63,_xlpm.p),_xlpm.q,N(BA522)/_xlpm.f,IF(_xlpm.q&gt;=_xlpm.s,ROUND(_xlpm.q,1)&amp;" "&amp;_xlpm.ai_test&amp;" = "&amp;ROUND(_xlpm.q*_xlpm.f,1)&amp;" "&amp;_xlpm.u,ROUND(_xlpm.q,1)&amp;" "&amp;_xlpm.ai_test)),""),""))))</f>
        <v>0</v>
      </c>
      <c r="BD522" s="801"/>
      <c r="BE522" s="799" t="str">
        <f t="shared" si="216"/>
        <v/>
      </c>
      <c r="BF522" s="800" t="str">
        <f t="shared" si="219"/>
        <v/>
      </c>
      <c r="BG522" s="802">
        <f t="shared" si="220"/>
        <v>0</v>
      </c>
      <c r="BH522" s="803" t="str">
        <f t="shared" si="221"/>
        <v/>
      </c>
      <c r="BI522" s="792"/>
      <c r="BJ522" s="804">
        <f t="shared" si="222"/>
        <v>0</v>
      </c>
      <c r="BK522" s="794" t="str">
        <f t="shared" si="217"/>
        <v/>
      </c>
      <c r="BL522" s="227" t="s">
        <v>21</v>
      </c>
      <c r="BM522" s="773">
        <f t="shared" si="207"/>
        <v>0</v>
      </c>
      <c r="BN522" s="774">
        <f t="shared" si="208"/>
        <v>0</v>
      </c>
      <c r="BO522"/>
      <c r="BX522"/>
      <c r="BY522"/>
      <c r="BZ522"/>
      <c r="CA522"/>
      <c r="CB522"/>
      <c r="CC522"/>
      <c r="CD522" s="781" t="str">
        <f t="shared" si="224"/>
        <v>►</v>
      </c>
      <c r="CE522" s="633"/>
      <c r="CF522" s="633"/>
      <c r="CG522" s="633"/>
      <c r="CH522" s="633"/>
      <c r="CI522" s="633"/>
      <c r="CJ522" s="227"/>
      <c r="CK522"/>
      <c r="CL522"/>
      <c r="CM522"/>
      <c r="CN522"/>
      <c r="CO522"/>
      <c r="CP522"/>
      <c r="CQ522"/>
      <c r="CR522" s="227"/>
      <c r="CS522"/>
      <c r="CT522"/>
      <c r="CU522"/>
      <c r="CV522"/>
      <c r="CW522"/>
      <c r="CX522"/>
      <c r="CY522"/>
      <c r="CZ522" s="227"/>
      <c r="DA522"/>
      <c r="DB522"/>
      <c r="DC522"/>
      <c r="DD522"/>
      <c r="DE522"/>
      <c r="DF522"/>
      <c r="DG522"/>
      <c r="DH522" s="227"/>
      <c r="DI522" s="3">
        <v>1</v>
      </c>
    </row>
    <row r="523" spans="2:113" s="627" customFormat="1" ht="21" customHeight="1">
      <c r="B523" s="2265" t="str" cm="1">
        <f t="array" ref="B523">SUMPRODUCT(--(D523:J523&lt;&gt;""), LEN(TRIM(SUBSTITUTE(D523:J523, CHAR(160), "")))) &amp; " Car."</f>
        <v>0 Car.</v>
      </c>
      <c r="C523" s="1376" t="str">
        <f>IF(ISBLANK(D523),"",LARGE(C13:C522,1)+1)</f>
        <v/>
      </c>
      <c r="D523" s="1833"/>
      <c r="E523" s="1810"/>
      <c r="F523" s="1810"/>
      <c r="G523" s="1810"/>
      <c r="H523" s="1810"/>
      <c r="I523" s="1810"/>
      <c r="J523" s="1810"/>
      <c r="K523" s="1810"/>
      <c r="L523" s="1811"/>
      <c r="M523"/>
      <c r="N523" s="103" t="str">
        <f t="shared" si="204"/>
        <v>►</v>
      </c>
      <c r="O523" s="1616"/>
      <c r="P523"/>
      <c r="Q523" s="103" t="s">
        <v>15</v>
      </c>
      <c r="R523" s="31"/>
      <c r="S523" s="32"/>
      <c r="T523" s="31"/>
      <c r="U523" s="33"/>
      <c r="V523" s="1804"/>
      <c r="W523" s="1805"/>
      <c r="X523" s="91"/>
      <c r="Y523" s="1806"/>
      <c r="Z523" s="1807"/>
      <c r="AA523" s="919"/>
      <c r="AB523" s="1813"/>
      <c r="AC523" s="1580"/>
      <c r="AD523" s="95"/>
      <c r="AE523" s="105"/>
      <c r="AF523" s="97"/>
      <c r="AG523" s="2080"/>
      <c r="AH523" s="2081"/>
      <c r="AI523" s="99"/>
      <c r="AJ523" s="1809"/>
      <c r="AK523" s="6120" t="str">
        <f t="shared" si="218"/>
        <v>►</v>
      </c>
      <c r="AL523" s="781" t="str">
        <f t="shared" si="206"/>
        <v>►</v>
      </c>
      <c r="AM523" s="5499" t="str">
        <f t="shared" si="209"/>
        <v/>
      </c>
      <c r="AN523" s="783" t="str">
        <f t="shared" si="210"/>
        <v/>
      </c>
      <c r="AO523" s="782" t="str">
        <f t="shared" si="211"/>
        <v/>
      </c>
      <c r="AP523" s="783" t="str">
        <f t="shared" si="212"/>
        <v/>
      </c>
      <c r="AQ523" s="2083" t="b">
        <f>AND(Q523="A",COUNTIF(BP16:BR63,TRIM(Z523))&gt;0)</f>
        <v>0</v>
      </c>
      <c r="AR523" s="797" t="str">
        <f>IF(AL523&lt;&gt;"A","",IFERROR(IFERROR(_xlfn.XLOOKUP(TRIM(SUBSTITUTE(Z523,CHAR(160)," ")),BP16:BP63,BS16:BS63),IFERROR(_xlfn.XLOOKUP(TRIM(SUBSTITUTE(Z523,CHAR(160)," ")),BQ16:BQ63,BS16:BS63),_xlfn.XLOOKUP(TRIM(SUBSTITUTE(Z523,CHAR(160)," ")),BR16:BR63,BS16:BS63)))*Y523*IF(ISBLANK(V523),1,V523),0))</f>
        <v/>
      </c>
      <c r="AS523" s="784" t="str">
        <f t="shared" si="223"/>
        <v/>
      </c>
      <c r="AT523" s="1315" t="str">
        <f t="shared" si="213"/>
        <v/>
      </c>
      <c r="AU523" s="785">
        <f t="shared" si="214"/>
        <v>0</v>
      </c>
      <c r="AV523" s="785">
        <f t="shared" si="215"/>
        <v>0</v>
      </c>
      <c r="AW523" s="786">
        <f>IF(AK523="A",AY10,0)</f>
        <v>0</v>
      </c>
      <c r="AX523" s="5495" t="str">
        <f>IF(IFERROR(SEARCH("Adresse PC",TRIM(W523)),0)&gt;0,"▼ receta siguiente",IF(AK523="A",IF(AZ10&lt;&gt;"",AZ10&amp;" - ou.or.o ❾ + or - &gt;",""),""))</f>
        <v/>
      </c>
      <c r="AY523" s="810"/>
      <c r="AZ523" s="810"/>
      <c r="BA523" s="788" t="str">
        <f t="shared" si="205"/>
        <v/>
      </c>
      <c r="BB523" s="789" t="str">
        <f>IF(AK523="A",IF(AQ523,IF(AND(AW523&lt;&gt;"",N(AW523)&gt;0),IFERROR(IFERROR(_xlfn.XLOOKUP(AP523,BP10:BP57,BT10:BT57),IFERROR(_xlfn.XLOOKUP(AP523,BQ10:BQ57,BT10:BT57),_xlfn.XLOOKUP(AP523,BR10:BR57,BT10:BT57,""))),""),""),""),"")</f>
        <v/>
      </c>
      <c r="BC523" s="811" cm="1">
        <f t="array" ref="BC523">IF(NOT(AQ523),0,IF(OR(BA523="",N(BA523)&lt;=0.000000001),"",IF(OR(AU523="",N(AU523)&lt;=0.000000001),0,IF(ISNUMBER(BA523),IFERROR(_xlfn.LET(_xlpm.ai_test,TRIM(AP523),_xlpm.r,IFERROR(_xlfn.XLOOKUP(_xlpm.ai_test,BP16:BP63,ROW(BP16:BP63),0,1),IFERROR(_xlfn.XLOOKUP(_xlpm.ai_test,BQ16:BQ63,ROW(BQ16:BQ63),0,1),_xlfn.XLOOKUP(_xlpm.ai_test,BR16:BR63,ROW(BR16:BR63),0,1))),_xlpm.p,_xlpm.r-MIN(ROW(BP16:BP63))+1,_xlpm.f,INDEX(BS16:BS63,_xlpm.p),_xlpm.u,INDEX(BT16:BT63,_xlpm.p),_xlpm.s,INDEX(BV16:BV63,_xlpm.p),_xlpm.q,N(BA523)/_xlpm.f,IF(_xlpm.q&gt;=_xlpm.s,ROUND(_xlpm.q,1)&amp;" "&amp;_xlpm.ai_test&amp;" = "&amp;ROUND(_xlpm.q*_xlpm.f,1)&amp;" "&amp;_xlpm.u,ROUND(_xlpm.q,1)&amp;" "&amp;_xlpm.ai_test)),""),""))))</f>
        <v>0</v>
      </c>
      <c r="BD523" s="801"/>
      <c r="BE523" s="788" t="str">
        <f t="shared" si="216"/>
        <v/>
      </c>
      <c r="BF523" s="789" t="str">
        <f t="shared" si="219"/>
        <v/>
      </c>
      <c r="BG523" s="790">
        <f t="shared" si="220"/>
        <v>0</v>
      </c>
      <c r="BH523" s="791" t="str">
        <f t="shared" si="221"/>
        <v/>
      </c>
      <c r="BI523" s="792"/>
      <c r="BJ523" s="793">
        <f t="shared" si="222"/>
        <v>0</v>
      </c>
      <c r="BK523" s="794" t="str">
        <f t="shared" si="217"/>
        <v/>
      </c>
      <c r="BL523" s="227" t="s">
        <v>21</v>
      </c>
      <c r="BM523" s="773">
        <f t="shared" si="207"/>
        <v>0</v>
      </c>
      <c r="BN523" s="774">
        <f t="shared" si="208"/>
        <v>0</v>
      </c>
      <c r="BO523"/>
      <c r="BX523"/>
      <c r="BY523"/>
      <c r="BZ523"/>
      <c r="CA523"/>
      <c r="CB523"/>
      <c r="CC523"/>
      <c r="CD523" s="781" t="str">
        <f t="shared" si="224"/>
        <v>►</v>
      </c>
      <c r="CE523" s="633"/>
      <c r="CF523" s="633"/>
      <c r="CG523" s="633"/>
      <c r="CH523" s="633"/>
      <c r="CI523" s="633"/>
      <c r="CJ523" s="227"/>
      <c r="CK523"/>
      <c r="CL523"/>
      <c r="CM523"/>
      <c r="CN523"/>
      <c r="CO523"/>
      <c r="CP523"/>
      <c r="CQ523"/>
      <c r="CR523" s="227"/>
      <c r="CS523"/>
      <c r="CT523"/>
      <c r="CU523"/>
      <c r="CV523"/>
      <c r="CW523"/>
      <c r="CX523"/>
      <c r="CY523"/>
      <c r="CZ523" s="227"/>
      <c r="DA523"/>
      <c r="DB523"/>
      <c r="DC523"/>
      <c r="DD523"/>
      <c r="DE523"/>
      <c r="DF523"/>
      <c r="DG523"/>
      <c r="DH523" s="227"/>
      <c r="DI523" s="3">
        <v>1</v>
      </c>
    </row>
    <row r="524" spans="2:113" s="627" customFormat="1" ht="21" customHeight="1">
      <c r="B524" s="2265" t="str" cm="1">
        <f t="array" ref="B524">SUMPRODUCT(--(D524:J524&lt;&gt;""), LEN(TRIM(SUBSTITUTE(D524:J524, CHAR(160), "")))) &amp; " Car."</f>
        <v>0 Car.</v>
      </c>
      <c r="C524" s="1376" t="str">
        <f>IF(ISBLANK(D524),"",LARGE(C13:C523,1)+1)</f>
        <v/>
      </c>
      <c r="D524" s="1833"/>
      <c r="E524" s="1810"/>
      <c r="F524" s="1810"/>
      <c r="G524" s="1810"/>
      <c r="H524" s="1810"/>
      <c r="I524" s="1810"/>
      <c r="J524" s="1810"/>
      <c r="K524" s="1810"/>
      <c r="L524" s="1811"/>
      <c r="M524"/>
      <c r="N524" s="103" t="str">
        <f t="shared" si="204"/>
        <v>►</v>
      </c>
      <c r="O524" s="1616"/>
      <c r="P524"/>
      <c r="Q524" s="103" t="s">
        <v>15</v>
      </c>
      <c r="R524" s="31"/>
      <c r="S524" s="32"/>
      <c r="T524" s="31"/>
      <c r="U524" s="33"/>
      <c r="V524" s="1804"/>
      <c r="W524" s="1805"/>
      <c r="X524" s="91"/>
      <c r="Y524" s="1806"/>
      <c r="Z524" s="1807"/>
      <c r="AA524" s="919"/>
      <c r="AB524" s="1813"/>
      <c r="AC524" s="1580"/>
      <c r="AD524" s="95"/>
      <c r="AE524" s="105"/>
      <c r="AF524" s="97"/>
      <c r="AG524" s="2080"/>
      <c r="AH524" s="2081"/>
      <c r="AI524" s="99"/>
      <c r="AJ524" s="1809"/>
      <c r="AK524" s="6120" t="str">
        <f t="shared" si="218"/>
        <v>►</v>
      </c>
      <c r="AL524" s="781" t="str">
        <f t="shared" si="206"/>
        <v>►</v>
      </c>
      <c r="AM524" s="5498" t="str">
        <f t="shared" si="209"/>
        <v/>
      </c>
      <c r="AN524" s="783" t="str">
        <f t="shared" si="210"/>
        <v/>
      </c>
      <c r="AO524" s="782" t="str">
        <f t="shared" si="211"/>
        <v/>
      </c>
      <c r="AP524" s="783" t="str">
        <f t="shared" si="212"/>
        <v/>
      </c>
      <c r="AQ524" s="2083" t="b">
        <f>AND(Q524="A",COUNTIF(BP16:BR63,TRIM(Z524))&gt;0)</f>
        <v>0</v>
      </c>
      <c r="AR524" s="797" t="str">
        <f>IF(AL524&lt;&gt;"A","",IFERROR(IFERROR(_xlfn.XLOOKUP(TRIM(SUBSTITUTE(Z524,CHAR(160)," ")),BP16:BP63,BS16:BS63),IFERROR(_xlfn.XLOOKUP(TRIM(SUBSTITUTE(Z524,CHAR(160)," ")),BQ16:BQ63,BS16:BS63),_xlfn.XLOOKUP(TRIM(SUBSTITUTE(Z524,CHAR(160)," ")),BR16:BR63,BS16:BS63)))*Y524*IF(ISBLANK(V524),1,V524),0))</f>
        <v/>
      </c>
      <c r="AS524" s="784" t="str">
        <f t="shared" si="223"/>
        <v/>
      </c>
      <c r="AT524" s="1315" t="str">
        <f t="shared" si="213"/>
        <v/>
      </c>
      <c r="AU524" s="785">
        <f t="shared" si="214"/>
        <v>0</v>
      </c>
      <c r="AV524" s="785">
        <f t="shared" si="215"/>
        <v>0</v>
      </c>
      <c r="AW524" s="798">
        <f>IF(AK524="A",AY10,0)</f>
        <v>0</v>
      </c>
      <c r="AX524" s="5496" t="str">
        <f>IF(IFERROR(SEARCH("Adresse PC",TRIM(W524)),0)&gt;0,"▼ receta siguiente",IF(AK524="A",IF(AZ10&lt;&gt;"",AZ10&amp;" - ou.or.o ❾ + or - &gt;",""),""))</f>
        <v/>
      </c>
      <c r="AY524" s="810"/>
      <c r="AZ524" s="810"/>
      <c r="BA524" s="799" t="str">
        <f t="shared" si="205"/>
        <v/>
      </c>
      <c r="BB524" s="800" t="str">
        <f>IF(AK524="A",IF(AQ524,IF(AND(AW524&lt;&gt;"",N(AW524)&gt;0),IFERROR(IFERROR(_xlfn.XLOOKUP(AP524,BP10:BP57,BT10:BT57),IFERROR(_xlfn.XLOOKUP(AP524,BQ10:BQ57,BT10:BT57),_xlfn.XLOOKUP(AP524,BR10:BR57,BT10:BT57,""))),""),""),""),"")</f>
        <v/>
      </c>
      <c r="BC524" s="813" cm="1">
        <f t="array" ref="BC524">IF(NOT(AQ524),0,IF(OR(BA524="",N(BA524)&lt;=0.000000001),"",IF(OR(AU524="",N(AU524)&lt;=0.000000001),0,IF(ISNUMBER(BA524),IFERROR(_xlfn.LET(_xlpm.ai_test,TRIM(AP524),_xlpm.r,IFERROR(_xlfn.XLOOKUP(_xlpm.ai_test,BP16:BP63,ROW(BP16:BP63),0,1),IFERROR(_xlfn.XLOOKUP(_xlpm.ai_test,BQ16:BQ63,ROW(BQ16:BQ63),0,1),_xlfn.XLOOKUP(_xlpm.ai_test,BR16:BR63,ROW(BR16:BR63),0,1))),_xlpm.p,_xlpm.r-MIN(ROW(BP16:BP63))+1,_xlpm.f,INDEX(BS16:BS63,_xlpm.p),_xlpm.u,INDEX(BT16:BT63,_xlpm.p),_xlpm.s,INDEX(BV16:BV63,_xlpm.p),_xlpm.q,N(BA524)/_xlpm.f,IF(_xlpm.q&gt;=_xlpm.s,ROUND(_xlpm.q,1)&amp;" "&amp;_xlpm.ai_test&amp;" = "&amp;ROUND(_xlpm.q*_xlpm.f,1)&amp;" "&amp;_xlpm.u,ROUND(_xlpm.q,1)&amp;" "&amp;_xlpm.ai_test)),""),""))))</f>
        <v>0</v>
      </c>
      <c r="BD524" s="801"/>
      <c r="BE524" s="799" t="str">
        <f t="shared" si="216"/>
        <v/>
      </c>
      <c r="BF524" s="800" t="str">
        <f t="shared" si="219"/>
        <v/>
      </c>
      <c r="BG524" s="802">
        <f t="shared" si="220"/>
        <v>0</v>
      </c>
      <c r="BH524" s="803" t="str">
        <f t="shared" si="221"/>
        <v/>
      </c>
      <c r="BI524" s="792"/>
      <c r="BJ524" s="804">
        <f t="shared" si="222"/>
        <v>0</v>
      </c>
      <c r="BK524" s="794" t="str">
        <f t="shared" si="217"/>
        <v/>
      </c>
      <c r="BL524" s="227" t="s">
        <v>21</v>
      </c>
      <c r="BM524" s="773">
        <f t="shared" si="207"/>
        <v>0</v>
      </c>
      <c r="BN524" s="774">
        <f t="shared" si="208"/>
        <v>0</v>
      </c>
      <c r="BO524"/>
      <c r="BX524"/>
      <c r="BY524"/>
      <c r="BZ524"/>
      <c r="CA524"/>
      <c r="CB524"/>
      <c r="CC524"/>
      <c r="CD524" s="781" t="str">
        <f t="shared" si="224"/>
        <v>►</v>
      </c>
      <c r="CE524" s="633"/>
      <c r="CF524" s="633"/>
      <c r="CG524" s="633"/>
      <c r="CH524" s="633"/>
      <c r="CI524" s="633"/>
      <c r="CJ524" s="227"/>
      <c r="CK524"/>
      <c r="CL524"/>
      <c r="CM524"/>
      <c r="CN524"/>
      <c r="CO524"/>
      <c r="CP524"/>
      <c r="CQ524"/>
      <c r="CR524" s="227"/>
      <c r="CS524"/>
      <c r="CT524"/>
      <c r="CU524"/>
      <c r="CV524"/>
      <c r="CW524"/>
      <c r="CX524"/>
      <c r="CY524"/>
      <c r="CZ524" s="227"/>
      <c r="DA524"/>
      <c r="DB524"/>
      <c r="DC524"/>
      <c r="DD524"/>
      <c r="DE524"/>
      <c r="DF524"/>
      <c r="DG524"/>
      <c r="DH524" s="227"/>
      <c r="DI524" s="3">
        <v>1</v>
      </c>
    </row>
    <row r="525" spans="2:113" s="627" customFormat="1" ht="21" customHeight="1">
      <c r="B525" s="2265" t="str" cm="1">
        <f t="array" ref="B525">SUMPRODUCT(--(D525:J525&lt;&gt;""), LEN(TRIM(SUBSTITUTE(D525:J525, CHAR(160), "")))) &amp; " Car."</f>
        <v>0 Car.</v>
      </c>
      <c r="C525" s="1376" t="str">
        <f>IF(ISBLANK(D525),"",LARGE(C13:C524,1)+1)</f>
        <v/>
      </c>
      <c r="D525" s="1833"/>
      <c r="E525" s="1810"/>
      <c r="F525" s="1810"/>
      <c r="G525" s="1810"/>
      <c r="H525" s="1810"/>
      <c r="I525" s="1810"/>
      <c r="J525" s="1810"/>
      <c r="K525" s="1810"/>
      <c r="L525" s="1811"/>
      <c r="M525"/>
      <c r="N525" s="103" t="str">
        <f t="shared" si="204"/>
        <v>►</v>
      </c>
      <c r="O525" s="1616"/>
      <c r="P525"/>
      <c r="Q525" s="103" t="s">
        <v>15</v>
      </c>
      <c r="R525" s="31"/>
      <c r="S525" s="32"/>
      <c r="T525" s="31"/>
      <c r="U525" s="33"/>
      <c r="V525" s="1804"/>
      <c r="W525" s="1805"/>
      <c r="X525" s="91"/>
      <c r="Y525" s="1806"/>
      <c r="Z525" s="1807"/>
      <c r="AA525" s="919"/>
      <c r="AB525" s="1813"/>
      <c r="AC525" s="1580"/>
      <c r="AD525" s="95"/>
      <c r="AE525" s="105"/>
      <c r="AF525" s="97"/>
      <c r="AG525" s="2080"/>
      <c r="AH525" s="2081"/>
      <c r="AI525" s="99"/>
      <c r="AJ525" s="1809"/>
      <c r="AK525" s="6120" t="str">
        <f t="shared" si="218"/>
        <v>►</v>
      </c>
      <c r="AL525" s="781" t="str">
        <f t="shared" si="206"/>
        <v>►</v>
      </c>
      <c r="AM525" s="5499" t="str">
        <f t="shared" si="209"/>
        <v/>
      </c>
      <c r="AN525" s="783" t="str">
        <f t="shared" si="210"/>
        <v/>
      </c>
      <c r="AO525" s="782" t="str">
        <f t="shared" si="211"/>
        <v/>
      </c>
      <c r="AP525" s="783" t="str">
        <f t="shared" si="212"/>
        <v/>
      </c>
      <c r="AQ525" s="2083" t="b">
        <f>AND(Q525="A",COUNTIF(BP16:BR63,TRIM(Z525))&gt;0)</f>
        <v>0</v>
      </c>
      <c r="AR525" s="797" t="str">
        <f>IF(AL525&lt;&gt;"A","",IFERROR(IFERROR(_xlfn.XLOOKUP(TRIM(SUBSTITUTE(Z525,CHAR(160)," ")),BP16:BP63,BS16:BS63),IFERROR(_xlfn.XLOOKUP(TRIM(SUBSTITUTE(Z525,CHAR(160)," ")),BQ16:BQ63,BS16:BS63),_xlfn.XLOOKUP(TRIM(SUBSTITUTE(Z525,CHAR(160)," ")),BR16:BR63,BS16:BS63)))*Y525*IF(ISBLANK(V525),1,V525),0))</f>
        <v/>
      </c>
      <c r="AS525" s="784" t="str">
        <f t="shared" si="223"/>
        <v/>
      </c>
      <c r="AT525" s="1315" t="str">
        <f t="shared" si="213"/>
        <v/>
      </c>
      <c r="AU525" s="785">
        <f t="shared" si="214"/>
        <v>0</v>
      </c>
      <c r="AV525" s="785">
        <f t="shared" si="215"/>
        <v>0</v>
      </c>
      <c r="AW525" s="786">
        <f>IF(AK525="A",AY10,0)</f>
        <v>0</v>
      </c>
      <c r="AX525" s="5495" t="str">
        <f>IF(IFERROR(SEARCH("Adresse PC",TRIM(W525)),0)&gt;0,"▼ receta siguiente",IF(AK525="A",IF(AZ10&lt;&gt;"",AZ10&amp;" - ou.or.o ❾ + or - &gt;",""),""))</f>
        <v/>
      </c>
      <c r="AY525" s="810"/>
      <c r="AZ525" s="810"/>
      <c r="BA525" s="788" t="str">
        <f t="shared" si="205"/>
        <v/>
      </c>
      <c r="BB525" s="789" t="str">
        <f>IF(AK525="A",IF(AQ525,IF(AND(AW525&lt;&gt;"",N(AW525)&gt;0),IFERROR(IFERROR(_xlfn.XLOOKUP(AP525,BP10:BP57,BT10:BT57),IFERROR(_xlfn.XLOOKUP(AP525,BQ10:BQ57,BT10:BT57),_xlfn.XLOOKUP(AP525,BR10:BR57,BT10:BT57,""))),""),""),""),"")</f>
        <v/>
      </c>
      <c r="BC525" s="811" cm="1">
        <f t="array" ref="BC525">IF(NOT(AQ525),0,IF(OR(BA525="",N(BA525)&lt;=0.000000001),"",IF(OR(AU525="",N(AU525)&lt;=0.000000001),0,IF(ISNUMBER(BA525),IFERROR(_xlfn.LET(_xlpm.ai_test,TRIM(AP525),_xlpm.r,IFERROR(_xlfn.XLOOKUP(_xlpm.ai_test,BP16:BP63,ROW(BP16:BP63),0,1),IFERROR(_xlfn.XLOOKUP(_xlpm.ai_test,BQ16:BQ63,ROW(BQ16:BQ63),0,1),_xlfn.XLOOKUP(_xlpm.ai_test,BR16:BR63,ROW(BR16:BR63),0,1))),_xlpm.p,_xlpm.r-MIN(ROW(BP16:BP63))+1,_xlpm.f,INDEX(BS16:BS63,_xlpm.p),_xlpm.u,INDEX(BT16:BT63,_xlpm.p),_xlpm.s,INDEX(BV16:BV63,_xlpm.p),_xlpm.q,N(BA525)/_xlpm.f,IF(_xlpm.q&gt;=_xlpm.s,ROUND(_xlpm.q,1)&amp;" "&amp;_xlpm.ai_test&amp;" = "&amp;ROUND(_xlpm.q*_xlpm.f,1)&amp;" "&amp;_xlpm.u,ROUND(_xlpm.q,1)&amp;" "&amp;_xlpm.ai_test)),""),""))))</f>
        <v>0</v>
      </c>
      <c r="BD525" s="801"/>
      <c r="BE525" s="788" t="str">
        <f t="shared" si="216"/>
        <v/>
      </c>
      <c r="BF525" s="789" t="str">
        <f t="shared" si="219"/>
        <v/>
      </c>
      <c r="BG525" s="790">
        <f t="shared" si="220"/>
        <v>0</v>
      </c>
      <c r="BH525" s="791" t="str">
        <f t="shared" si="221"/>
        <v/>
      </c>
      <c r="BI525" s="792"/>
      <c r="BJ525" s="793">
        <f t="shared" si="222"/>
        <v>0</v>
      </c>
      <c r="BK525" s="794" t="str">
        <f t="shared" si="217"/>
        <v/>
      </c>
      <c r="BL525" s="227" t="s">
        <v>21</v>
      </c>
      <c r="BM525" s="773">
        <f t="shared" si="207"/>
        <v>0</v>
      </c>
      <c r="BN525" s="774">
        <f t="shared" si="208"/>
        <v>0</v>
      </c>
      <c r="BO525"/>
      <c r="BX525"/>
      <c r="BY525"/>
      <c r="BZ525"/>
      <c r="CA525"/>
      <c r="CB525"/>
      <c r="CC525"/>
      <c r="CD525" s="781" t="str">
        <f t="shared" si="224"/>
        <v>►</v>
      </c>
      <c r="CE525" s="633"/>
      <c r="CF525" s="633"/>
      <c r="CG525" s="633"/>
      <c r="CH525" s="633"/>
      <c r="CI525" s="633"/>
      <c r="CJ525" s="227"/>
      <c r="CK525"/>
      <c r="CL525"/>
      <c r="CM525"/>
      <c r="CN525"/>
      <c r="CO525"/>
      <c r="CP525"/>
      <c r="CQ525"/>
      <c r="CR525" s="227"/>
      <c r="CS525"/>
      <c r="CT525"/>
      <c r="CU525"/>
      <c r="CV525"/>
      <c r="CW525"/>
      <c r="CX525"/>
      <c r="CY525"/>
      <c r="CZ525" s="227"/>
      <c r="DA525"/>
      <c r="DB525"/>
      <c r="DC525"/>
      <c r="DD525"/>
      <c r="DE525"/>
      <c r="DF525"/>
      <c r="DG525"/>
      <c r="DH525" s="227"/>
      <c r="DI525" s="3">
        <v>1</v>
      </c>
    </row>
    <row r="526" spans="2:113" s="627" customFormat="1" ht="21" customHeight="1">
      <c r="B526" s="2265" t="str" cm="1">
        <f t="array" ref="B526">SUMPRODUCT(--(D526:J526&lt;&gt;""), LEN(TRIM(SUBSTITUTE(D526:J526, CHAR(160), "")))) &amp; " Car."</f>
        <v>0 Car.</v>
      </c>
      <c r="C526" s="1376" t="str">
        <f>IF(ISBLANK(D526),"",LARGE(C13:C525,1)+1)</f>
        <v/>
      </c>
      <c r="D526" s="1833"/>
      <c r="E526" s="1810"/>
      <c r="F526" s="1810"/>
      <c r="G526" s="1810"/>
      <c r="H526" s="1810"/>
      <c r="I526" s="1810"/>
      <c r="J526" s="1810"/>
      <c r="K526" s="1810"/>
      <c r="L526" s="1811"/>
      <c r="M526"/>
      <c r="N526" s="103" t="str">
        <f t="shared" ref="N526:N551" si="225">Q526</f>
        <v>►</v>
      </c>
      <c r="O526" s="1616"/>
      <c r="P526"/>
      <c r="Q526" s="103" t="s">
        <v>15</v>
      </c>
      <c r="R526" s="31"/>
      <c r="S526" s="32"/>
      <c r="T526" s="31"/>
      <c r="U526" s="33"/>
      <c r="V526" s="1804"/>
      <c r="W526" s="1805"/>
      <c r="X526" s="91"/>
      <c r="Y526" s="1806"/>
      <c r="Z526" s="1807"/>
      <c r="AA526" s="919"/>
      <c r="AB526" s="1813"/>
      <c r="AC526" s="1580"/>
      <c r="AD526" s="95"/>
      <c r="AE526" s="105"/>
      <c r="AF526" s="97"/>
      <c r="AG526" s="2080"/>
      <c r="AH526" s="2081"/>
      <c r="AI526" s="99"/>
      <c r="AJ526" s="1809"/>
      <c r="AK526" s="6120" t="str">
        <f t="shared" si="218"/>
        <v>►</v>
      </c>
      <c r="AL526" s="781" t="str">
        <f t="shared" si="206"/>
        <v>►</v>
      </c>
      <c r="AM526" s="5498" t="str">
        <f t="shared" si="209"/>
        <v/>
      </c>
      <c r="AN526" s="783" t="str">
        <f t="shared" si="210"/>
        <v/>
      </c>
      <c r="AO526" s="782" t="str">
        <f t="shared" si="211"/>
        <v/>
      </c>
      <c r="AP526" s="783" t="str">
        <f t="shared" si="212"/>
        <v/>
      </c>
      <c r="AQ526" s="2083" t="b">
        <f>AND(Q526="A",COUNTIF(BP16:BR63,TRIM(Z526))&gt;0)</f>
        <v>0</v>
      </c>
      <c r="AR526" s="797" t="str">
        <f>IF(AL526&lt;&gt;"A","",IFERROR(IFERROR(_xlfn.XLOOKUP(TRIM(SUBSTITUTE(Z526,CHAR(160)," ")),BP16:BP63,BS16:BS63),IFERROR(_xlfn.XLOOKUP(TRIM(SUBSTITUTE(Z526,CHAR(160)," ")),BQ16:BQ63,BS16:BS63),_xlfn.XLOOKUP(TRIM(SUBSTITUTE(Z526,CHAR(160)," ")),BR16:BR63,BS16:BS63)))*Y526*IF(ISBLANK(V526),1,V526),0))</f>
        <v/>
      </c>
      <c r="AS526" s="784" t="str">
        <f t="shared" si="223"/>
        <v/>
      </c>
      <c r="AT526" s="1315" t="str">
        <f t="shared" si="213"/>
        <v/>
      </c>
      <c r="AU526" s="785">
        <f t="shared" si="214"/>
        <v>0</v>
      </c>
      <c r="AV526" s="785">
        <f t="shared" si="215"/>
        <v>0</v>
      </c>
      <c r="AW526" s="798">
        <f>IF(AK526="A",AY10,0)</f>
        <v>0</v>
      </c>
      <c r="AX526" s="5496" t="str">
        <f>IF(IFERROR(SEARCH("Adresse PC",TRIM(W526)),0)&gt;0,"▼ receta siguiente",IF(AK526="A",IF(AZ10&lt;&gt;"",AZ10&amp;" - ou.or.o ❾ + or - &gt;",""),""))</f>
        <v/>
      </c>
      <c r="AY526" s="810"/>
      <c r="AZ526" s="810"/>
      <c r="BA526" s="799" t="str">
        <f t="shared" si="205"/>
        <v/>
      </c>
      <c r="BB526" s="800" t="str">
        <f>IF(AK526="A",IF(AQ526,IF(AND(AW526&lt;&gt;"",N(AW526)&gt;0),IFERROR(IFERROR(_xlfn.XLOOKUP(AP526,BP10:BP57,BT10:BT57),IFERROR(_xlfn.XLOOKUP(AP526,BQ10:BQ57,BT10:BT57),_xlfn.XLOOKUP(AP526,BR10:BR57,BT10:BT57,""))),""),""),""),"")</f>
        <v/>
      </c>
      <c r="BC526" s="813" cm="1">
        <f t="array" ref="BC526">IF(NOT(AQ526),0,IF(OR(BA526="",N(BA526)&lt;=0.000000001),"",IF(OR(AU526="",N(AU526)&lt;=0.000000001),0,IF(ISNUMBER(BA526),IFERROR(_xlfn.LET(_xlpm.ai_test,TRIM(AP526),_xlpm.r,IFERROR(_xlfn.XLOOKUP(_xlpm.ai_test,BP16:BP63,ROW(BP16:BP63),0,1),IFERROR(_xlfn.XLOOKUP(_xlpm.ai_test,BQ16:BQ63,ROW(BQ16:BQ63),0,1),_xlfn.XLOOKUP(_xlpm.ai_test,BR16:BR63,ROW(BR16:BR63),0,1))),_xlpm.p,_xlpm.r-MIN(ROW(BP16:BP63))+1,_xlpm.f,INDEX(BS16:BS63,_xlpm.p),_xlpm.u,INDEX(BT16:BT63,_xlpm.p),_xlpm.s,INDEX(BV16:BV63,_xlpm.p),_xlpm.q,N(BA526)/_xlpm.f,IF(_xlpm.q&gt;=_xlpm.s,ROUND(_xlpm.q,1)&amp;" "&amp;_xlpm.ai_test&amp;" = "&amp;ROUND(_xlpm.q*_xlpm.f,1)&amp;" "&amp;_xlpm.u,ROUND(_xlpm.q,1)&amp;" "&amp;_xlpm.ai_test)),""),""))))</f>
        <v>0</v>
      </c>
      <c r="BD526" s="801"/>
      <c r="BE526" s="799" t="str">
        <f t="shared" si="216"/>
        <v/>
      </c>
      <c r="BF526" s="800" t="str">
        <f t="shared" si="219"/>
        <v/>
      </c>
      <c r="BG526" s="802">
        <f t="shared" si="220"/>
        <v>0</v>
      </c>
      <c r="BH526" s="803" t="str">
        <f t="shared" si="221"/>
        <v/>
      </c>
      <c r="BI526" s="792"/>
      <c r="BJ526" s="804">
        <f t="shared" si="222"/>
        <v>0</v>
      </c>
      <c r="BK526" s="794" t="str">
        <f t="shared" si="217"/>
        <v/>
      </c>
      <c r="BL526" s="227" t="s">
        <v>21</v>
      </c>
      <c r="BM526" s="773">
        <f t="shared" si="207"/>
        <v>0</v>
      </c>
      <c r="BN526" s="774">
        <f t="shared" si="208"/>
        <v>0</v>
      </c>
      <c r="BO526"/>
      <c r="BX526"/>
      <c r="BY526"/>
      <c r="BZ526"/>
      <c r="CA526"/>
      <c r="CB526"/>
      <c r="CC526"/>
      <c r="CD526" s="781" t="str">
        <f t="shared" si="224"/>
        <v>►</v>
      </c>
      <c r="CE526" s="633"/>
      <c r="CF526" s="633"/>
      <c r="CG526" s="633"/>
      <c r="CH526" s="633"/>
      <c r="CI526" s="633"/>
      <c r="CJ526" s="227"/>
      <c r="CK526"/>
      <c r="CL526"/>
      <c r="CM526"/>
      <c r="CN526"/>
      <c r="CO526"/>
      <c r="CP526"/>
      <c r="CQ526"/>
      <c r="CR526" s="227"/>
      <c r="CS526"/>
      <c r="CT526"/>
      <c r="CU526"/>
      <c r="CV526"/>
      <c r="CW526"/>
      <c r="CX526"/>
      <c r="CY526"/>
      <c r="CZ526" s="227"/>
      <c r="DA526"/>
      <c r="DB526"/>
      <c r="DC526"/>
      <c r="DD526"/>
      <c r="DE526"/>
      <c r="DF526"/>
      <c r="DG526"/>
      <c r="DH526" s="227"/>
      <c r="DI526" s="3">
        <v>1</v>
      </c>
    </row>
    <row r="527" spans="2:113" s="627" customFormat="1" ht="21" customHeight="1">
      <c r="B527" s="2265" t="str" cm="1">
        <f t="array" ref="B527">SUMPRODUCT(--(D527:J527&lt;&gt;""), LEN(TRIM(SUBSTITUTE(D527:J527, CHAR(160), "")))) &amp; " Car."</f>
        <v>0 Car.</v>
      </c>
      <c r="C527" s="1376" t="str">
        <f>IF(ISBLANK(D527),"",LARGE(C13:C526,1)+1)</f>
        <v/>
      </c>
      <c r="D527" s="1833"/>
      <c r="E527" s="1810"/>
      <c r="F527" s="1810"/>
      <c r="G527" s="1810"/>
      <c r="H527" s="1810"/>
      <c r="I527" s="1810"/>
      <c r="J527" s="1810"/>
      <c r="K527" s="1810"/>
      <c r="L527" s="1811"/>
      <c r="M527"/>
      <c r="N527" s="103" t="str">
        <f t="shared" si="225"/>
        <v>►</v>
      </c>
      <c r="O527" s="1616"/>
      <c r="P527"/>
      <c r="Q527" s="103" t="s">
        <v>15</v>
      </c>
      <c r="R527" s="31"/>
      <c r="S527" s="32"/>
      <c r="T527" s="31"/>
      <c r="U527" s="33"/>
      <c r="V527" s="1804"/>
      <c r="W527" s="1805"/>
      <c r="X527" s="91"/>
      <c r="Y527" s="1806"/>
      <c r="Z527" s="1807"/>
      <c r="AA527" s="919"/>
      <c r="AB527" s="1813"/>
      <c r="AC527" s="1580"/>
      <c r="AD527" s="95"/>
      <c r="AE527" s="105"/>
      <c r="AF527" s="97"/>
      <c r="AG527" s="2080"/>
      <c r="AH527" s="2081"/>
      <c r="AI527" s="99"/>
      <c r="AJ527" s="1809"/>
      <c r="AK527" s="6120" t="str">
        <f t="shared" si="218"/>
        <v>►</v>
      </c>
      <c r="AL527" s="781" t="str">
        <f t="shared" si="206"/>
        <v>►</v>
      </c>
      <c r="AM527" s="5499" t="str">
        <f t="shared" si="209"/>
        <v/>
      </c>
      <c r="AN527" s="783" t="str">
        <f t="shared" si="210"/>
        <v/>
      </c>
      <c r="AO527" s="782" t="str">
        <f t="shared" si="211"/>
        <v/>
      </c>
      <c r="AP527" s="783" t="str">
        <f t="shared" si="212"/>
        <v/>
      </c>
      <c r="AQ527" s="2083" t="b">
        <f>AND(Q527="A",COUNTIF(BP16:BR63,TRIM(Z527))&gt;0)</f>
        <v>0</v>
      </c>
      <c r="AR527" s="797" t="str">
        <f>IF(AL527&lt;&gt;"A","",IFERROR(IFERROR(_xlfn.XLOOKUP(TRIM(SUBSTITUTE(Z527,CHAR(160)," ")),BP16:BP63,BS16:BS63),IFERROR(_xlfn.XLOOKUP(TRIM(SUBSTITUTE(Z527,CHAR(160)," ")),BQ16:BQ63,BS16:BS63),_xlfn.XLOOKUP(TRIM(SUBSTITUTE(Z527,CHAR(160)," ")),BR16:BR63,BS16:BS63)))*Y527*IF(ISBLANK(V527),1,V527),0))</f>
        <v/>
      </c>
      <c r="AS527" s="784" t="str">
        <f t="shared" si="223"/>
        <v/>
      </c>
      <c r="AT527" s="1315" t="str">
        <f t="shared" si="213"/>
        <v/>
      </c>
      <c r="AU527" s="785">
        <f t="shared" si="214"/>
        <v>0</v>
      </c>
      <c r="AV527" s="785">
        <f t="shared" si="215"/>
        <v>0</v>
      </c>
      <c r="AW527" s="786">
        <f>IF(AK527="A",AY10,0)</f>
        <v>0</v>
      </c>
      <c r="AX527" s="5495" t="str">
        <f>IF(IFERROR(SEARCH("Adresse PC",TRIM(W527)),0)&gt;0,"▼ receta siguiente",IF(AK527="A",IF(AZ10&lt;&gt;"",AZ10&amp;" - ou.or.o ❾ + or - &gt;",""),""))</f>
        <v/>
      </c>
      <c r="AY527" s="810"/>
      <c r="AZ527" s="810"/>
      <c r="BA527" s="788" t="str">
        <f t="shared" si="205"/>
        <v/>
      </c>
      <c r="BB527" s="789" t="str">
        <f>IF(AK527="A",IF(AQ527,IF(AND(AW527&lt;&gt;"",N(AW527)&gt;0),IFERROR(IFERROR(_xlfn.XLOOKUP(AP527,BP10:BP57,BT10:BT57),IFERROR(_xlfn.XLOOKUP(AP527,BQ10:BQ57,BT10:BT57),_xlfn.XLOOKUP(AP527,BR10:BR57,BT10:BT57,""))),""),""),""),"")</f>
        <v/>
      </c>
      <c r="BC527" s="811" cm="1">
        <f t="array" ref="BC527">IF(NOT(AQ527),0,IF(OR(BA527="",N(BA527)&lt;=0.000000001),"",IF(OR(AU527="",N(AU527)&lt;=0.000000001),0,IF(ISNUMBER(BA527),IFERROR(_xlfn.LET(_xlpm.ai_test,TRIM(AP527),_xlpm.r,IFERROR(_xlfn.XLOOKUP(_xlpm.ai_test,BP16:BP63,ROW(BP16:BP63),0,1),IFERROR(_xlfn.XLOOKUP(_xlpm.ai_test,BQ16:BQ63,ROW(BQ16:BQ63),0,1),_xlfn.XLOOKUP(_xlpm.ai_test,BR16:BR63,ROW(BR16:BR63),0,1))),_xlpm.p,_xlpm.r-MIN(ROW(BP16:BP63))+1,_xlpm.f,INDEX(BS16:BS63,_xlpm.p),_xlpm.u,INDEX(BT16:BT63,_xlpm.p),_xlpm.s,INDEX(BV16:BV63,_xlpm.p),_xlpm.q,N(BA527)/_xlpm.f,IF(_xlpm.q&gt;=_xlpm.s,ROUND(_xlpm.q,1)&amp;" "&amp;_xlpm.ai_test&amp;" = "&amp;ROUND(_xlpm.q*_xlpm.f,1)&amp;" "&amp;_xlpm.u,ROUND(_xlpm.q,1)&amp;" "&amp;_xlpm.ai_test)),""),""))))</f>
        <v>0</v>
      </c>
      <c r="BD527" s="801"/>
      <c r="BE527" s="788" t="str">
        <f t="shared" si="216"/>
        <v/>
      </c>
      <c r="BF527" s="789" t="str">
        <f t="shared" si="219"/>
        <v/>
      </c>
      <c r="BG527" s="790">
        <f t="shared" si="220"/>
        <v>0</v>
      </c>
      <c r="BH527" s="791" t="str">
        <f t="shared" si="221"/>
        <v/>
      </c>
      <c r="BI527" s="792"/>
      <c r="BJ527" s="793">
        <f t="shared" si="222"/>
        <v>0</v>
      </c>
      <c r="BK527" s="794" t="str">
        <f t="shared" si="217"/>
        <v/>
      </c>
      <c r="BL527" s="227" t="s">
        <v>21</v>
      </c>
      <c r="BM527" s="773">
        <f t="shared" si="207"/>
        <v>0</v>
      </c>
      <c r="BN527" s="774">
        <f t="shared" si="208"/>
        <v>0</v>
      </c>
      <c r="BO527"/>
      <c r="BX527"/>
      <c r="BY527"/>
      <c r="BZ527"/>
      <c r="CA527"/>
      <c r="CB527"/>
      <c r="CC527"/>
      <c r="CD527" s="781" t="str">
        <f t="shared" si="224"/>
        <v>►</v>
      </c>
      <c r="CE527" s="633"/>
      <c r="CF527" s="633"/>
      <c r="CG527" s="633"/>
      <c r="CH527" s="633"/>
      <c r="CI527" s="633"/>
      <c r="CJ527" s="227"/>
      <c r="CK527"/>
      <c r="CL527"/>
      <c r="CM527"/>
      <c r="CN527"/>
      <c r="CO527"/>
      <c r="CP527"/>
      <c r="CQ527"/>
      <c r="CR527" s="227"/>
      <c r="CS527"/>
      <c r="CT527"/>
      <c r="CU527"/>
      <c r="CV527"/>
      <c r="CW527"/>
      <c r="CX527"/>
      <c r="CY527"/>
      <c r="CZ527" s="227"/>
      <c r="DA527"/>
      <c r="DB527"/>
      <c r="DC527"/>
      <c r="DD527"/>
      <c r="DE527"/>
      <c r="DF527"/>
      <c r="DG527"/>
      <c r="DH527" s="227"/>
      <c r="DI527" s="3">
        <v>1</v>
      </c>
    </row>
    <row r="528" spans="2:113" s="627" customFormat="1" ht="21" customHeight="1">
      <c r="B528" s="2265" t="str" cm="1">
        <f t="array" ref="B528">SUMPRODUCT(--(D528:J528&lt;&gt;""), LEN(TRIM(SUBSTITUTE(D528:J528, CHAR(160), "")))) &amp; " Car."</f>
        <v>0 Car.</v>
      </c>
      <c r="C528" s="1376" t="str">
        <f>IF(ISBLANK(D528),"",LARGE(C13:C527,1)+1)</f>
        <v/>
      </c>
      <c r="D528" s="1833"/>
      <c r="E528" s="1810"/>
      <c r="F528" s="1810"/>
      <c r="G528" s="1810"/>
      <c r="H528" s="1810"/>
      <c r="I528" s="1810"/>
      <c r="J528" s="1810"/>
      <c r="K528" s="1810"/>
      <c r="L528" s="1811"/>
      <c r="M528"/>
      <c r="N528" s="103" t="str">
        <f t="shared" si="225"/>
        <v>►</v>
      </c>
      <c r="O528" s="1616"/>
      <c r="P528"/>
      <c r="Q528" s="103" t="s">
        <v>15</v>
      </c>
      <c r="R528" s="31"/>
      <c r="S528" s="32"/>
      <c r="T528" s="31"/>
      <c r="U528" s="33"/>
      <c r="V528" s="1804"/>
      <c r="W528" s="1805"/>
      <c r="X528" s="91"/>
      <c r="Y528" s="1806"/>
      <c r="Z528" s="1807"/>
      <c r="AA528" s="919"/>
      <c r="AB528" s="1813"/>
      <c r="AC528" s="1580"/>
      <c r="AD528" s="95"/>
      <c r="AE528" s="105"/>
      <c r="AF528" s="97"/>
      <c r="AG528" s="2080"/>
      <c r="AH528" s="2081"/>
      <c r="AI528" s="99"/>
      <c r="AJ528" s="1809"/>
      <c r="AK528" s="6120" t="str">
        <f t="shared" si="218"/>
        <v>►</v>
      </c>
      <c r="AL528" s="781" t="str">
        <f t="shared" si="206"/>
        <v>►</v>
      </c>
      <c r="AM528" s="5498" t="str">
        <f t="shared" si="209"/>
        <v/>
      </c>
      <c r="AN528" s="783" t="str">
        <f t="shared" si="210"/>
        <v/>
      </c>
      <c r="AO528" s="782" t="str">
        <f t="shared" si="211"/>
        <v/>
      </c>
      <c r="AP528" s="783" t="str">
        <f t="shared" si="212"/>
        <v/>
      </c>
      <c r="AQ528" s="2083" t="b">
        <f>AND(Q528="A",COUNTIF(BP16:BR63,TRIM(Z528))&gt;0)</f>
        <v>0</v>
      </c>
      <c r="AR528" s="797" t="str">
        <f>IF(AL528&lt;&gt;"A","",IFERROR(IFERROR(_xlfn.XLOOKUP(TRIM(SUBSTITUTE(Z528,CHAR(160)," ")),BP16:BP63,BS16:BS63),IFERROR(_xlfn.XLOOKUP(TRIM(SUBSTITUTE(Z528,CHAR(160)," ")),BQ16:BQ63,BS16:BS63),_xlfn.XLOOKUP(TRIM(SUBSTITUTE(Z528,CHAR(160)," ")),BR16:BR63,BS16:BS63)))*Y528*IF(ISBLANK(V528),1,V528),0))</f>
        <v/>
      </c>
      <c r="AS528" s="784" t="str">
        <f t="shared" si="223"/>
        <v/>
      </c>
      <c r="AT528" s="1315" t="str">
        <f t="shared" si="213"/>
        <v/>
      </c>
      <c r="AU528" s="785">
        <f t="shared" si="214"/>
        <v>0</v>
      </c>
      <c r="AV528" s="785">
        <f t="shared" si="215"/>
        <v>0</v>
      </c>
      <c r="AW528" s="798">
        <f>IF(AK528="A",AY10,0)</f>
        <v>0</v>
      </c>
      <c r="AX528" s="5496" t="str">
        <f>IF(IFERROR(SEARCH("Adresse PC",TRIM(W528)),0)&gt;0,"▼ receta siguiente",IF(AK528="A",IF(AZ10&lt;&gt;"",AZ10&amp;" - ou.or.o ❾ + or - &gt;",""),""))</f>
        <v/>
      </c>
      <c r="AY528" s="810"/>
      <c r="AZ528" s="810"/>
      <c r="BA528" s="799" t="str">
        <f t="shared" si="205"/>
        <v/>
      </c>
      <c r="BB528" s="800" t="str">
        <f>IF(AK528="A",IF(AQ528,IF(AND(AW528&lt;&gt;"",N(AW528)&gt;0),IFERROR(IFERROR(_xlfn.XLOOKUP(AP528,BP10:BP57,BT10:BT57),IFERROR(_xlfn.XLOOKUP(AP528,BQ10:BQ57,BT10:BT57),_xlfn.XLOOKUP(AP528,BR10:BR57,BT10:BT57,""))),""),""),""),"")</f>
        <v/>
      </c>
      <c r="BC528" s="813" cm="1">
        <f t="array" ref="BC528">IF(NOT(AQ528),0,IF(OR(BA528="",N(BA528)&lt;=0.000000001),"",IF(OR(AU528="",N(AU528)&lt;=0.000000001),0,IF(ISNUMBER(BA528),IFERROR(_xlfn.LET(_xlpm.ai_test,TRIM(AP528),_xlpm.r,IFERROR(_xlfn.XLOOKUP(_xlpm.ai_test,BP16:BP63,ROW(BP16:BP63),0,1),IFERROR(_xlfn.XLOOKUP(_xlpm.ai_test,BQ16:BQ63,ROW(BQ16:BQ63),0,1),_xlfn.XLOOKUP(_xlpm.ai_test,BR16:BR63,ROW(BR16:BR63),0,1))),_xlpm.p,_xlpm.r-MIN(ROW(BP16:BP63))+1,_xlpm.f,INDEX(BS16:BS63,_xlpm.p),_xlpm.u,INDEX(BT16:BT63,_xlpm.p),_xlpm.s,INDEX(BV16:BV63,_xlpm.p),_xlpm.q,N(BA528)/_xlpm.f,IF(_xlpm.q&gt;=_xlpm.s,ROUND(_xlpm.q,1)&amp;" "&amp;_xlpm.ai_test&amp;" = "&amp;ROUND(_xlpm.q*_xlpm.f,1)&amp;" "&amp;_xlpm.u,ROUND(_xlpm.q,1)&amp;" "&amp;_xlpm.ai_test)),""),""))))</f>
        <v>0</v>
      </c>
      <c r="BD528" s="801"/>
      <c r="BE528" s="799" t="str">
        <f t="shared" si="216"/>
        <v/>
      </c>
      <c r="BF528" s="800" t="str">
        <f t="shared" si="219"/>
        <v/>
      </c>
      <c r="BG528" s="802">
        <f t="shared" si="220"/>
        <v>0</v>
      </c>
      <c r="BH528" s="803" t="str">
        <f t="shared" si="221"/>
        <v/>
      </c>
      <c r="BI528" s="792"/>
      <c r="BJ528" s="804">
        <f t="shared" si="222"/>
        <v>0</v>
      </c>
      <c r="BK528" s="794" t="str">
        <f t="shared" si="217"/>
        <v/>
      </c>
      <c r="BL528" s="227" t="s">
        <v>21</v>
      </c>
      <c r="BM528" s="773">
        <f t="shared" si="207"/>
        <v>0</v>
      </c>
      <c r="BN528" s="774">
        <f t="shared" si="208"/>
        <v>0</v>
      </c>
      <c r="BO528"/>
      <c r="BX528"/>
      <c r="BY528"/>
      <c r="BZ528"/>
      <c r="CA528"/>
      <c r="CB528"/>
      <c r="CC528"/>
      <c r="CD528" s="781" t="str">
        <f t="shared" si="224"/>
        <v>►</v>
      </c>
      <c r="CE528" s="633"/>
      <c r="CF528" s="633"/>
      <c r="CG528" s="633"/>
      <c r="CH528" s="633"/>
      <c r="CI528" s="633"/>
      <c r="CJ528" s="227"/>
      <c r="CK528"/>
      <c r="CL528"/>
      <c r="CM528"/>
      <c r="CN528"/>
      <c r="CO528"/>
      <c r="CP528"/>
      <c r="CQ528"/>
      <c r="CR528" s="227"/>
      <c r="CS528"/>
      <c r="CT528"/>
      <c r="CU528"/>
      <c r="CV528"/>
      <c r="CW528"/>
      <c r="CX528"/>
      <c r="CY528"/>
      <c r="CZ528" s="227"/>
      <c r="DA528"/>
      <c r="DB528"/>
      <c r="DC528"/>
      <c r="DD528"/>
      <c r="DE528"/>
      <c r="DF528"/>
      <c r="DG528"/>
      <c r="DH528" s="227"/>
      <c r="DI528" s="3">
        <v>1</v>
      </c>
    </row>
    <row r="529" spans="2:113" s="627" customFormat="1" ht="21" customHeight="1">
      <c r="B529" s="2265" t="str" cm="1">
        <f t="array" ref="B529">SUMPRODUCT(--(D529:J529&lt;&gt;""), LEN(TRIM(SUBSTITUTE(D529:J529, CHAR(160), "")))) &amp; " Car."</f>
        <v>0 Car.</v>
      </c>
      <c r="C529" s="1376" t="str">
        <f>IF(ISBLANK(D529),"",LARGE(C13:C528,1)+1)</f>
        <v/>
      </c>
      <c r="D529" s="1833"/>
      <c r="E529" s="1810"/>
      <c r="F529" s="1810"/>
      <c r="G529" s="1810"/>
      <c r="H529" s="1810"/>
      <c r="I529" s="1810"/>
      <c r="J529" s="1810"/>
      <c r="K529" s="1810"/>
      <c r="L529" s="1811"/>
      <c r="M529"/>
      <c r="N529" s="103" t="str">
        <f t="shared" si="225"/>
        <v>►</v>
      </c>
      <c r="O529" s="1616"/>
      <c r="P529"/>
      <c r="Q529" s="103" t="s">
        <v>15</v>
      </c>
      <c r="R529" s="31"/>
      <c r="S529" s="32"/>
      <c r="T529" s="31"/>
      <c r="U529" s="33"/>
      <c r="V529" s="1804"/>
      <c r="W529" s="1805"/>
      <c r="X529" s="91"/>
      <c r="Y529" s="1806"/>
      <c r="Z529" s="1807"/>
      <c r="AA529" s="919"/>
      <c r="AB529" s="1813"/>
      <c r="AC529" s="1580"/>
      <c r="AD529" s="95"/>
      <c r="AE529" s="105"/>
      <c r="AF529" s="97"/>
      <c r="AG529" s="2080"/>
      <c r="AH529" s="2081"/>
      <c r="AI529" s="99"/>
      <c r="AJ529" s="1809"/>
      <c r="AK529" s="6120" t="str">
        <f t="shared" si="218"/>
        <v>►</v>
      </c>
      <c r="AL529" s="781" t="str">
        <f t="shared" si="206"/>
        <v>►</v>
      </c>
      <c r="AM529" s="5499" t="str">
        <f t="shared" si="209"/>
        <v/>
      </c>
      <c r="AN529" s="783" t="str">
        <f t="shared" si="210"/>
        <v/>
      </c>
      <c r="AO529" s="782" t="str">
        <f t="shared" si="211"/>
        <v/>
      </c>
      <c r="AP529" s="783" t="str">
        <f t="shared" si="212"/>
        <v/>
      </c>
      <c r="AQ529" s="2083" t="b">
        <f>AND(Q529="A",COUNTIF(BP16:BR63,TRIM(Z529))&gt;0)</f>
        <v>0</v>
      </c>
      <c r="AR529" s="797" t="str">
        <f>IF(AL529&lt;&gt;"A","",IFERROR(IFERROR(_xlfn.XLOOKUP(TRIM(SUBSTITUTE(Z529,CHAR(160)," ")),BP16:BP63,BS16:BS63),IFERROR(_xlfn.XLOOKUP(TRIM(SUBSTITUTE(Z529,CHAR(160)," ")),BQ16:BQ63,BS16:BS63),_xlfn.XLOOKUP(TRIM(SUBSTITUTE(Z529,CHAR(160)," ")),BR16:BR63,BS16:BS63)))*Y529*IF(ISBLANK(V529),1,V529),0))</f>
        <v/>
      </c>
      <c r="AS529" s="784" t="str">
        <f t="shared" si="223"/>
        <v/>
      </c>
      <c r="AT529" s="1315" t="str">
        <f t="shared" si="213"/>
        <v/>
      </c>
      <c r="AU529" s="785">
        <f t="shared" si="214"/>
        <v>0</v>
      </c>
      <c r="AV529" s="785">
        <f t="shared" si="215"/>
        <v>0</v>
      </c>
      <c r="AW529" s="786">
        <f>IF(AK529="A",AY10,0)</f>
        <v>0</v>
      </c>
      <c r="AX529" s="5495" t="str">
        <f>IF(IFERROR(SEARCH("Adresse PC",TRIM(W529)),0)&gt;0,"▼ receta siguiente",IF(AK529="A",IF(AZ10&lt;&gt;"",AZ10&amp;" - ou.or.o ❾ + or - &gt;",""),""))</f>
        <v/>
      </c>
      <c r="AY529" s="810"/>
      <c r="AZ529" s="810"/>
      <c r="BA529" s="788" t="str">
        <f t="shared" si="205"/>
        <v/>
      </c>
      <c r="BB529" s="789" t="str">
        <f>IF(AK529="A",IF(AQ529,IF(AND(AW529&lt;&gt;"",N(AW529)&gt;0),IFERROR(IFERROR(_xlfn.XLOOKUP(AP529,BP10:BP57,BT10:BT57),IFERROR(_xlfn.XLOOKUP(AP529,BQ10:BQ57,BT10:BT57),_xlfn.XLOOKUP(AP529,BR10:BR57,BT10:BT57,""))),""),""),""),"")</f>
        <v/>
      </c>
      <c r="BC529" s="811" cm="1">
        <f t="array" ref="BC529">IF(NOT(AQ529),0,IF(OR(BA529="",N(BA529)&lt;=0.000000001),"",IF(OR(AU529="",N(AU529)&lt;=0.000000001),0,IF(ISNUMBER(BA529),IFERROR(_xlfn.LET(_xlpm.ai_test,TRIM(AP529),_xlpm.r,IFERROR(_xlfn.XLOOKUP(_xlpm.ai_test,BP16:BP63,ROW(BP16:BP63),0,1),IFERROR(_xlfn.XLOOKUP(_xlpm.ai_test,BQ16:BQ63,ROW(BQ16:BQ63),0,1),_xlfn.XLOOKUP(_xlpm.ai_test,BR16:BR63,ROW(BR16:BR63),0,1))),_xlpm.p,_xlpm.r-MIN(ROW(BP16:BP63))+1,_xlpm.f,INDEX(BS16:BS63,_xlpm.p),_xlpm.u,INDEX(BT16:BT63,_xlpm.p),_xlpm.s,INDEX(BV16:BV63,_xlpm.p),_xlpm.q,N(BA529)/_xlpm.f,IF(_xlpm.q&gt;=_xlpm.s,ROUND(_xlpm.q,1)&amp;" "&amp;_xlpm.ai_test&amp;" = "&amp;ROUND(_xlpm.q*_xlpm.f,1)&amp;" "&amp;_xlpm.u,ROUND(_xlpm.q,1)&amp;" "&amp;_xlpm.ai_test)),""),""))))</f>
        <v>0</v>
      </c>
      <c r="BD529" s="801"/>
      <c r="BE529" s="788" t="str">
        <f t="shared" si="216"/>
        <v/>
      </c>
      <c r="BF529" s="789" t="str">
        <f t="shared" si="219"/>
        <v/>
      </c>
      <c r="BG529" s="790">
        <f t="shared" si="220"/>
        <v>0</v>
      </c>
      <c r="BH529" s="791" t="str">
        <f t="shared" si="221"/>
        <v/>
      </c>
      <c r="BI529" s="792"/>
      <c r="BJ529" s="793">
        <f t="shared" si="222"/>
        <v>0</v>
      </c>
      <c r="BK529" s="794" t="str">
        <f t="shared" si="217"/>
        <v/>
      </c>
      <c r="BL529" s="227" t="s">
        <v>21</v>
      </c>
      <c r="BM529" s="773">
        <f t="shared" si="207"/>
        <v>0</v>
      </c>
      <c r="BN529" s="774">
        <f t="shared" si="208"/>
        <v>0</v>
      </c>
      <c r="BO529"/>
      <c r="BX529"/>
      <c r="BY529"/>
      <c r="BZ529"/>
      <c r="CA529"/>
      <c r="CB529"/>
      <c r="CC529"/>
      <c r="CD529" s="781" t="str">
        <f t="shared" si="224"/>
        <v>►</v>
      </c>
      <c r="CE529" s="633"/>
      <c r="CF529" s="633"/>
      <c r="CG529" s="633"/>
      <c r="CH529" s="633"/>
      <c r="CI529" s="633"/>
      <c r="CJ529" s="227"/>
      <c r="CK529"/>
      <c r="CL529"/>
      <c r="CM529"/>
      <c r="CN529"/>
      <c r="CO529"/>
      <c r="CP529"/>
      <c r="CQ529"/>
      <c r="CR529" s="227"/>
      <c r="CS529"/>
      <c r="CT529"/>
      <c r="CU529"/>
      <c r="CV529"/>
      <c r="CW529"/>
      <c r="CX529"/>
      <c r="CY529"/>
      <c r="CZ529" s="227"/>
      <c r="DA529"/>
      <c r="DB529"/>
      <c r="DC529"/>
      <c r="DD529"/>
      <c r="DE529"/>
      <c r="DF529"/>
      <c r="DG529"/>
      <c r="DH529" s="227"/>
      <c r="DI529" s="3">
        <v>1</v>
      </c>
    </row>
    <row r="530" spans="2:113" s="627" customFormat="1" ht="21" customHeight="1">
      <c r="B530" s="2265" t="str" cm="1">
        <f t="array" ref="B530">SUMPRODUCT(--(D530:J530&lt;&gt;""), LEN(TRIM(SUBSTITUTE(D530:J530, CHAR(160), "")))) &amp; " Car."</f>
        <v>0 Car.</v>
      </c>
      <c r="C530" s="1376" t="str">
        <f>IF(ISBLANK(D530),"",LARGE(C13:C529,1)+1)</f>
        <v/>
      </c>
      <c r="D530" s="1833"/>
      <c r="E530" s="1810"/>
      <c r="F530" s="1810"/>
      <c r="G530" s="1810"/>
      <c r="H530" s="1810"/>
      <c r="I530" s="1810"/>
      <c r="J530" s="1810"/>
      <c r="K530" s="1810"/>
      <c r="L530" s="1811"/>
      <c r="M530"/>
      <c r="N530" s="103" t="str">
        <f t="shared" si="225"/>
        <v>►</v>
      </c>
      <c r="O530" s="1616"/>
      <c r="P530"/>
      <c r="Q530" s="103" t="s">
        <v>15</v>
      </c>
      <c r="R530" s="31"/>
      <c r="S530" s="32"/>
      <c r="T530" s="31"/>
      <c r="U530" s="33"/>
      <c r="V530" s="1804"/>
      <c r="W530" s="1805"/>
      <c r="X530" s="91"/>
      <c r="Y530" s="1806"/>
      <c r="Z530" s="1807"/>
      <c r="AA530" s="919"/>
      <c r="AB530" s="1813"/>
      <c r="AC530" s="1580"/>
      <c r="AD530" s="95"/>
      <c r="AE530" s="105"/>
      <c r="AF530" s="97"/>
      <c r="AG530" s="2080"/>
      <c r="AH530" s="2081"/>
      <c r="AI530" s="99"/>
      <c r="AJ530" s="1809"/>
      <c r="AK530" s="6120" t="str">
        <f t="shared" si="218"/>
        <v>►</v>
      </c>
      <c r="AL530" s="781" t="str">
        <f t="shared" si="206"/>
        <v>►</v>
      </c>
      <c r="AM530" s="5498" t="str">
        <f t="shared" si="209"/>
        <v/>
      </c>
      <c r="AN530" s="783" t="str">
        <f t="shared" si="210"/>
        <v/>
      </c>
      <c r="AO530" s="782" t="str">
        <f t="shared" si="211"/>
        <v/>
      </c>
      <c r="AP530" s="783" t="str">
        <f t="shared" si="212"/>
        <v/>
      </c>
      <c r="AQ530" s="2083" t="b">
        <f>AND(Q530="A",COUNTIF(BP16:BR63,TRIM(Z530))&gt;0)</f>
        <v>0</v>
      </c>
      <c r="AR530" s="797" t="str">
        <f>IF(AL530&lt;&gt;"A","",IFERROR(IFERROR(_xlfn.XLOOKUP(TRIM(SUBSTITUTE(Z530,CHAR(160)," ")),BP16:BP63,BS16:BS63),IFERROR(_xlfn.XLOOKUP(TRIM(SUBSTITUTE(Z530,CHAR(160)," ")),BQ16:BQ63,BS16:BS63),_xlfn.XLOOKUP(TRIM(SUBSTITUTE(Z530,CHAR(160)," ")),BR16:BR63,BS16:BS63)))*Y530*IF(ISBLANK(V530),1,V530),0))</f>
        <v/>
      </c>
      <c r="AS530" s="784" t="str">
        <f t="shared" si="223"/>
        <v/>
      </c>
      <c r="AT530" s="1315" t="str">
        <f t="shared" si="213"/>
        <v/>
      </c>
      <c r="AU530" s="785">
        <f t="shared" si="214"/>
        <v>0</v>
      </c>
      <c r="AV530" s="785">
        <f t="shared" si="215"/>
        <v>0</v>
      </c>
      <c r="AW530" s="798">
        <f>IF(AK530="A",AY10,0)</f>
        <v>0</v>
      </c>
      <c r="AX530" s="5496" t="str">
        <f>IF(IFERROR(SEARCH("Adresse PC",TRIM(W530)),0)&gt;0,"▼ receta siguiente",IF(AK530="A",IF(AZ10&lt;&gt;"",AZ10&amp;" - ou.or.o ❾ + or - &gt;",""),""))</f>
        <v/>
      </c>
      <c r="AY530" s="810"/>
      <c r="AZ530" s="810"/>
      <c r="BA530" s="799" t="str">
        <f t="shared" si="205"/>
        <v/>
      </c>
      <c r="BB530" s="800" t="str">
        <f>IF(AK530="A",IF(AQ530,IF(AND(AW530&lt;&gt;"",N(AW530)&gt;0),IFERROR(IFERROR(_xlfn.XLOOKUP(AP530,BP10:BP57,BT10:BT57),IFERROR(_xlfn.XLOOKUP(AP530,BQ10:BQ57,BT10:BT57),_xlfn.XLOOKUP(AP530,BR10:BR57,BT10:BT57,""))),""),""),""),"")</f>
        <v/>
      </c>
      <c r="BC530" s="813" cm="1">
        <f t="array" ref="BC530">IF(NOT(AQ530),0,IF(OR(BA530="",N(BA530)&lt;=0.000000001),"",IF(OR(AU530="",N(AU530)&lt;=0.000000001),0,IF(ISNUMBER(BA530),IFERROR(_xlfn.LET(_xlpm.ai_test,TRIM(AP530),_xlpm.r,IFERROR(_xlfn.XLOOKUP(_xlpm.ai_test,BP16:BP63,ROW(BP16:BP63),0,1),IFERROR(_xlfn.XLOOKUP(_xlpm.ai_test,BQ16:BQ63,ROW(BQ16:BQ63),0,1),_xlfn.XLOOKUP(_xlpm.ai_test,BR16:BR63,ROW(BR16:BR63),0,1))),_xlpm.p,_xlpm.r-MIN(ROW(BP16:BP63))+1,_xlpm.f,INDEX(BS16:BS63,_xlpm.p),_xlpm.u,INDEX(BT16:BT63,_xlpm.p),_xlpm.s,INDEX(BV16:BV63,_xlpm.p),_xlpm.q,N(BA530)/_xlpm.f,IF(_xlpm.q&gt;=_xlpm.s,ROUND(_xlpm.q,1)&amp;" "&amp;_xlpm.ai_test&amp;" = "&amp;ROUND(_xlpm.q*_xlpm.f,1)&amp;" "&amp;_xlpm.u,ROUND(_xlpm.q,1)&amp;" "&amp;_xlpm.ai_test)),""),""))))</f>
        <v>0</v>
      </c>
      <c r="BD530" s="801"/>
      <c r="BE530" s="799" t="str">
        <f t="shared" si="216"/>
        <v/>
      </c>
      <c r="BF530" s="800" t="str">
        <f t="shared" si="219"/>
        <v/>
      </c>
      <c r="BG530" s="802">
        <f t="shared" si="220"/>
        <v>0</v>
      </c>
      <c r="BH530" s="803" t="str">
        <f t="shared" si="221"/>
        <v/>
      </c>
      <c r="BI530" s="792"/>
      <c r="BJ530" s="804">
        <f t="shared" si="222"/>
        <v>0</v>
      </c>
      <c r="BK530" s="794" t="str">
        <f t="shared" si="217"/>
        <v/>
      </c>
      <c r="BL530" s="227" t="s">
        <v>21</v>
      </c>
      <c r="BM530" s="773">
        <f t="shared" si="207"/>
        <v>0</v>
      </c>
      <c r="BN530" s="774">
        <f t="shared" si="208"/>
        <v>0</v>
      </c>
      <c r="BO530"/>
      <c r="BX530"/>
      <c r="BY530"/>
      <c r="BZ530"/>
      <c r="CA530"/>
      <c r="CB530"/>
      <c r="CC530"/>
      <c r="CD530" s="781" t="str">
        <f t="shared" si="224"/>
        <v>►</v>
      </c>
      <c r="CE530" s="633"/>
      <c r="CF530" s="633"/>
      <c r="CG530" s="633"/>
      <c r="CH530" s="633"/>
      <c r="CI530" s="633"/>
      <c r="CJ530" s="227"/>
      <c r="CK530"/>
      <c r="CL530"/>
      <c r="CM530"/>
      <c r="CN530"/>
      <c r="CO530"/>
      <c r="CP530"/>
      <c r="CQ530"/>
      <c r="CR530" s="227"/>
      <c r="CS530"/>
      <c r="CT530"/>
      <c r="CU530"/>
      <c r="CV530"/>
      <c r="CW530"/>
      <c r="CX530"/>
      <c r="CY530"/>
      <c r="CZ530" s="227"/>
      <c r="DA530"/>
      <c r="DB530"/>
      <c r="DC530"/>
      <c r="DD530"/>
      <c r="DE530"/>
      <c r="DF530"/>
      <c r="DG530"/>
      <c r="DH530" s="227"/>
      <c r="DI530" s="3">
        <v>1</v>
      </c>
    </row>
    <row r="531" spans="2:113" s="627" customFormat="1" ht="21" customHeight="1">
      <c r="B531" s="2265" t="str" cm="1">
        <f t="array" ref="B531">SUMPRODUCT(--(D531:J531&lt;&gt;""), LEN(TRIM(SUBSTITUTE(D531:J531, CHAR(160), "")))) &amp; " Car."</f>
        <v>0 Car.</v>
      </c>
      <c r="C531" s="1376" t="str">
        <f>IF(ISBLANK(D531),"",LARGE(C13:C530,1)+1)</f>
        <v/>
      </c>
      <c r="D531" s="1833"/>
      <c r="E531" s="1810"/>
      <c r="F531" s="1810"/>
      <c r="G531" s="1810"/>
      <c r="H531" s="1810"/>
      <c r="I531" s="1810"/>
      <c r="J531" s="1810"/>
      <c r="K531" s="1810"/>
      <c r="L531" s="1811"/>
      <c r="M531"/>
      <c r="N531" s="103" t="str">
        <f t="shared" si="225"/>
        <v>►</v>
      </c>
      <c r="O531" s="1616"/>
      <c r="P531"/>
      <c r="Q531" s="103" t="s">
        <v>15</v>
      </c>
      <c r="R531" s="31"/>
      <c r="S531" s="32"/>
      <c r="T531" s="31"/>
      <c r="U531" s="33"/>
      <c r="V531" s="1804"/>
      <c r="W531" s="1805"/>
      <c r="X531" s="91"/>
      <c r="Y531" s="1806"/>
      <c r="Z531" s="1807"/>
      <c r="AA531" s="919"/>
      <c r="AB531" s="1813"/>
      <c r="AC531" s="1580"/>
      <c r="AD531" s="95"/>
      <c r="AE531" s="105"/>
      <c r="AF531" s="97"/>
      <c r="AG531" s="2080"/>
      <c r="AH531" s="2081"/>
      <c r="AI531" s="99"/>
      <c r="AJ531" s="1809"/>
      <c r="AK531" s="6120" t="str">
        <f t="shared" si="218"/>
        <v>►</v>
      </c>
      <c r="AL531" s="781" t="str">
        <f t="shared" si="206"/>
        <v>►</v>
      </c>
      <c r="AM531" s="5499" t="str">
        <f t="shared" si="209"/>
        <v/>
      </c>
      <c r="AN531" s="783" t="str">
        <f t="shared" si="210"/>
        <v/>
      </c>
      <c r="AO531" s="782" t="str">
        <f t="shared" si="211"/>
        <v/>
      </c>
      <c r="AP531" s="783" t="str">
        <f t="shared" si="212"/>
        <v/>
      </c>
      <c r="AQ531" s="2083" t="b">
        <f>AND(Q531="A",COUNTIF(BP16:BR63,TRIM(Z531))&gt;0)</f>
        <v>0</v>
      </c>
      <c r="AR531" s="797" t="str">
        <f>IF(AL531&lt;&gt;"A","",IFERROR(IFERROR(_xlfn.XLOOKUP(TRIM(SUBSTITUTE(Z531,CHAR(160)," ")),BP16:BP63,BS16:BS63),IFERROR(_xlfn.XLOOKUP(TRIM(SUBSTITUTE(Z531,CHAR(160)," ")),BQ16:BQ63,BS16:BS63),_xlfn.XLOOKUP(TRIM(SUBSTITUTE(Z531,CHAR(160)," ")),BR16:BR63,BS16:BS63)))*Y531*IF(ISBLANK(V531),1,V531),0))</f>
        <v/>
      </c>
      <c r="AS531" s="784" t="str">
        <f t="shared" si="223"/>
        <v/>
      </c>
      <c r="AT531" s="1315" t="str">
        <f t="shared" si="213"/>
        <v/>
      </c>
      <c r="AU531" s="785">
        <f t="shared" si="214"/>
        <v>0</v>
      </c>
      <c r="AV531" s="785">
        <f t="shared" si="215"/>
        <v>0</v>
      </c>
      <c r="AW531" s="786">
        <f>IF(AK531="A",AY10,0)</f>
        <v>0</v>
      </c>
      <c r="AX531" s="5495" t="str">
        <f>IF(IFERROR(SEARCH("Adresse PC",TRIM(W531)),0)&gt;0,"▼ receta siguiente",IF(AK531="A",IF(AZ10&lt;&gt;"",AZ10&amp;" - ou.or.o ❾ + or - &gt;",""),""))</f>
        <v/>
      </c>
      <c r="AY531" s="810"/>
      <c r="AZ531" s="810"/>
      <c r="BA531" s="788" t="str">
        <f t="shared" si="205"/>
        <v/>
      </c>
      <c r="BB531" s="789" t="str">
        <f>IF(AK531="A",IF(AQ531,IF(AND(AW531&lt;&gt;"",N(AW531)&gt;0),IFERROR(IFERROR(_xlfn.XLOOKUP(AP531,BP10:BP57,BT10:BT57),IFERROR(_xlfn.XLOOKUP(AP531,BQ10:BQ57,BT10:BT57),_xlfn.XLOOKUP(AP531,BR10:BR57,BT10:BT57,""))),""),""),""),"")</f>
        <v/>
      </c>
      <c r="BC531" s="811" cm="1">
        <f t="array" ref="BC531">IF(NOT(AQ531),0,IF(OR(BA531="",N(BA531)&lt;=0.000000001),"",IF(OR(AU531="",N(AU531)&lt;=0.000000001),0,IF(ISNUMBER(BA531),IFERROR(_xlfn.LET(_xlpm.ai_test,TRIM(AP531),_xlpm.r,IFERROR(_xlfn.XLOOKUP(_xlpm.ai_test,BP16:BP63,ROW(BP16:BP63),0,1),IFERROR(_xlfn.XLOOKUP(_xlpm.ai_test,BQ16:BQ63,ROW(BQ16:BQ63),0,1),_xlfn.XLOOKUP(_xlpm.ai_test,BR16:BR63,ROW(BR16:BR63),0,1))),_xlpm.p,_xlpm.r-MIN(ROW(BP16:BP63))+1,_xlpm.f,INDEX(BS16:BS63,_xlpm.p),_xlpm.u,INDEX(BT16:BT63,_xlpm.p),_xlpm.s,INDEX(BV16:BV63,_xlpm.p),_xlpm.q,N(BA531)/_xlpm.f,IF(_xlpm.q&gt;=_xlpm.s,ROUND(_xlpm.q,1)&amp;" "&amp;_xlpm.ai_test&amp;" = "&amp;ROUND(_xlpm.q*_xlpm.f,1)&amp;" "&amp;_xlpm.u,ROUND(_xlpm.q,1)&amp;" "&amp;_xlpm.ai_test)),""),""))))</f>
        <v>0</v>
      </c>
      <c r="BD531" s="801"/>
      <c r="BE531" s="788" t="str">
        <f t="shared" si="216"/>
        <v/>
      </c>
      <c r="BF531" s="789" t="str">
        <f t="shared" si="219"/>
        <v/>
      </c>
      <c r="BG531" s="790">
        <f t="shared" si="220"/>
        <v>0</v>
      </c>
      <c r="BH531" s="791" t="str">
        <f t="shared" si="221"/>
        <v/>
      </c>
      <c r="BI531" s="792"/>
      <c r="BJ531" s="793">
        <f t="shared" si="222"/>
        <v>0</v>
      </c>
      <c r="BK531" s="794" t="str">
        <f t="shared" si="217"/>
        <v/>
      </c>
      <c r="BL531" s="227" t="s">
        <v>21</v>
      </c>
      <c r="BM531" s="773">
        <f t="shared" si="207"/>
        <v>0</v>
      </c>
      <c r="BN531" s="774">
        <f t="shared" si="208"/>
        <v>0</v>
      </c>
      <c r="BO531"/>
      <c r="BX531"/>
      <c r="BY531"/>
      <c r="BZ531"/>
      <c r="CA531"/>
      <c r="CB531"/>
      <c r="CC531"/>
      <c r="CD531" s="781" t="str">
        <f t="shared" si="224"/>
        <v>►</v>
      </c>
      <c r="CE531" s="633"/>
      <c r="CF531" s="633"/>
      <c r="CG531" s="633"/>
      <c r="CH531" s="633"/>
      <c r="CI531" s="633"/>
      <c r="CJ531" s="227"/>
      <c r="CK531"/>
      <c r="CL531"/>
      <c r="CM531"/>
      <c r="CN531"/>
      <c r="CO531"/>
      <c r="CP531"/>
      <c r="CQ531"/>
      <c r="CR531" s="227"/>
      <c r="CS531"/>
      <c r="CT531"/>
      <c r="CU531"/>
      <c r="CV531"/>
      <c r="CW531"/>
      <c r="CX531"/>
      <c r="CY531"/>
      <c r="CZ531" s="227"/>
      <c r="DA531"/>
      <c r="DB531"/>
      <c r="DC531"/>
      <c r="DD531"/>
      <c r="DE531"/>
      <c r="DF531"/>
      <c r="DG531"/>
      <c r="DH531" s="227"/>
      <c r="DI531" s="3">
        <v>1</v>
      </c>
    </row>
    <row r="532" spans="2:113" s="627" customFormat="1" ht="21" customHeight="1">
      <c r="B532" s="2265" t="str" cm="1">
        <f t="array" ref="B532">SUMPRODUCT(--(D532:J532&lt;&gt;""), LEN(TRIM(SUBSTITUTE(D532:J532, CHAR(160), "")))) &amp; " Car."</f>
        <v>0 Car.</v>
      </c>
      <c r="C532" s="1376" t="str">
        <f>IF(ISBLANK(D532),"",LARGE(C13:C531,1)+1)</f>
        <v/>
      </c>
      <c r="D532" s="1833"/>
      <c r="E532" s="1810"/>
      <c r="F532" s="1810"/>
      <c r="G532" s="1810"/>
      <c r="H532" s="1810"/>
      <c r="I532" s="1810"/>
      <c r="J532" s="1810"/>
      <c r="K532" s="1810"/>
      <c r="L532" s="1811"/>
      <c r="M532"/>
      <c r="N532" s="103" t="str">
        <f t="shared" si="225"/>
        <v>►</v>
      </c>
      <c r="O532" s="1616"/>
      <c r="P532"/>
      <c r="Q532" s="103" t="s">
        <v>15</v>
      </c>
      <c r="R532" s="31"/>
      <c r="S532" s="32"/>
      <c r="T532" s="31"/>
      <c r="U532" s="33"/>
      <c r="V532" s="1804"/>
      <c r="W532" s="1805"/>
      <c r="X532" s="91"/>
      <c r="Y532" s="1806"/>
      <c r="Z532" s="1807"/>
      <c r="AA532" s="919"/>
      <c r="AB532" s="1813"/>
      <c r="AC532" s="1580"/>
      <c r="AD532" s="95"/>
      <c r="AE532" s="105"/>
      <c r="AF532" s="97"/>
      <c r="AG532" s="2080"/>
      <c r="AH532" s="2081"/>
      <c r="AI532" s="99"/>
      <c r="AJ532" s="1809"/>
      <c r="AK532" s="6120" t="str">
        <f t="shared" si="218"/>
        <v>►</v>
      </c>
      <c r="AL532" s="781" t="str">
        <f t="shared" si="206"/>
        <v>►</v>
      </c>
      <c r="AM532" s="5498" t="str">
        <f t="shared" si="209"/>
        <v/>
      </c>
      <c r="AN532" s="783" t="str">
        <f t="shared" si="210"/>
        <v/>
      </c>
      <c r="AO532" s="782" t="str">
        <f t="shared" si="211"/>
        <v/>
      </c>
      <c r="AP532" s="783" t="str">
        <f t="shared" si="212"/>
        <v/>
      </c>
      <c r="AQ532" s="2083" t="b">
        <f>AND(Q532="A",COUNTIF(BP16:BR63,TRIM(Z532))&gt;0)</f>
        <v>0</v>
      </c>
      <c r="AR532" s="797" t="str">
        <f>IF(AL532&lt;&gt;"A","",IFERROR(IFERROR(_xlfn.XLOOKUP(TRIM(SUBSTITUTE(Z532,CHAR(160)," ")),BP16:BP63,BS16:BS63),IFERROR(_xlfn.XLOOKUP(TRIM(SUBSTITUTE(Z532,CHAR(160)," ")),BQ16:BQ63,BS16:BS63),_xlfn.XLOOKUP(TRIM(SUBSTITUTE(Z532,CHAR(160)," ")),BR16:BR63,BS16:BS63)))*Y532*IF(ISBLANK(V532),1,V532),0))</f>
        <v/>
      </c>
      <c r="AS532" s="784" t="str">
        <f t="shared" si="223"/>
        <v/>
      </c>
      <c r="AT532" s="1315" t="str">
        <f t="shared" si="213"/>
        <v/>
      </c>
      <c r="AU532" s="785">
        <f t="shared" si="214"/>
        <v>0</v>
      </c>
      <c r="AV532" s="785">
        <f t="shared" si="215"/>
        <v>0</v>
      </c>
      <c r="AW532" s="798">
        <f>IF(AK532="A",AY10,0)</f>
        <v>0</v>
      </c>
      <c r="AX532" s="5496" t="str">
        <f>IF(IFERROR(SEARCH("Adresse PC",TRIM(W532)),0)&gt;0,"▼ receta siguiente",IF(AK532="A",IF(AZ10&lt;&gt;"",AZ10&amp;" - ou.or.o ❾ + or - &gt;",""),""))</f>
        <v/>
      </c>
      <c r="AY532" s="810"/>
      <c r="AZ532" s="810"/>
      <c r="BA532" s="799" t="str">
        <f t="shared" ref="BA532:BA550" si="226">IF(AK532="A",IF(UPPER(TRIM(SUBSTITUTE(AS532,CHAR(160),"")))="KG",N(AR532)*N(BN532),0),"")</f>
        <v/>
      </c>
      <c r="BB532" s="800" t="str">
        <f>IF(AK532="A",IF(AQ532,IF(AND(AW532&lt;&gt;"",N(AW532)&gt;0),IFERROR(IFERROR(_xlfn.XLOOKUP(AP532,BP10:BP57,BT10:BT57),IFERROR(_xlfn.XLOOKUP(AP532,BQ10:BQ57,BT10:BT57),_xlfn.XLOOKUP(AP532,BR10:BR57,BT10:BT57,""))),""),""),""),"")</f>
        <v/>
      </c>
      <c r="BC532" s="813" cm="1">
        <f t="array" ref="BC532">IF(NOT(AQ532),0,IF(OR(BA532="",N(BA532)&lt;=0.000000001),"",IF(OR(AU532="",N(AU532)&lt;=0.000000001),0,IF(ISNUMBER(BA532),IFERROR(_xlfn.LET(_xlpm.ai_test,TRIM(AP532),_xlpm.r,IFERROR(_xlfn.XLOOKUP(_xlpm.ai_test,BP16:BP63,ROW(BP16:BP63),0,1),IFERROR(_xlfn.XLOOKUP(_xlpm.ai_test,BQ16:BQ63,ROW(BQ16:BQ63),0,1),_xlfn.XLOOKUP(_xlpm.ai_test,BR16:BR63,ROW(BR16:BR63),0,1))),_xlpm.p,_xlpm.r-MIN(ROW(BP16:BP63))+1,_xlpm.f,INDEX(BS16:BS63,_xlpm.p),_xlpm.u,INDEX(BT16:BT63,_xlpm.p),_xlpm.s,INDEX(BV16:BV63,_xlpm.p),_xlpm.q,N(BA532)/_xlpm.f,IF(_xlpm.q&gt;=_xlpm.s,ROUND(_xlpm.q,1)&amp;" "&amp;_xlpm.ai_test&amp;" = "&amp;ROUND(_xlpm.q*_xlpm.f,1)&amp;" "&amp;_xlpm.u,ROUND(_xlpm.q,1)&amp;" "&amp;_xlpm.ai_test)),""),""))))</f>
        <v>0</v>
      </c>
      <c r="BD532" s="801"/>
      <c r="BE532" s="799" t="str">
        <f t="shared" si="216"/>
        <v/>
      </c>
      <c r="BF532" s="800" t="str">
        <f t="shared" si="219"/>
        <v/>
      </c>
      <c r="BG532" s="802">
        <f t="shared" si="220"/>
        <v>0</v>
      </c>
      <c r="BH532" s="803" t="str">
        <f t="shared" si="221"/>
        <v/>
      </c>
      <c r="BI532" s="792"/>
      <c r="BJ532" s="804">
        <f t="shared" si="222"/>
        <v>0</v>
      </c>
      <c r="BK532" s="794" t="str">
        <f t="shared" si="217"/>
        <v/>
      </c>
      <c r="BL532" s="227" t="s">
        <v>21</v>
      </c>
      <c r="BM532" s="773">
        <f t="shared" si="207"/>
        <v>0</v>
      </c>
      <c r="BN532" s="774">
        <f t="shared" si="208"/>
        <v>0</v>
      </c>
      <c r="BO532"/>
      <c r="BX532"/>
      <c r="BY532"/>
      <c r="BZ532"/>
      <c r="CA532"/>
      <c r="CB532"/>
      <c r="CC532"/>
      <c r="CD532" s="781" t="str">
        <f t="shared" si="224"/>
        <v>►</v>
      </c>
      <c r="CE532" s="633"/>
      <c r="CF532" s="633"/>
      <c r="CG532" s="633"/>
      <c r="CH532" s="633"/>
      <c r="CI532" s="633"/>
      <c r="CJ532" s="227"/>
      <c r="CK532"/>
      <c r="CL532"/>
      <c r="CM532"/>
      <c r="CN532"/>
      <c r="CO532"/>
      <c r="CP532"/>
      <c r="CQ532"/>
      <c r="CR532" s="227"/>
      <c r="CS532"/>
      <c r="CT532"/>
      <c r="CU532"/>
      <c r="CV532"/>
      <c r="CW532"/>
      <c r="CX532"/>
      <c r="CY532"/>
      <c r="CZ532" s="227"/>
      <c r="DA532"/>
      <c r="DB532"/>
      <c r="DC532"/>
      <c r="DD532"/>
      <c r="DE532"/>
      <c r="DF532"/>
      <c r="DG532"/>
      <c r="DH532" s="227"/>
      <c r="DI532" s="3">
        <v>1</v>
      </c>
    </row>
    <row r="533" spans="2:113" s="627" customFormat="1" ht="21" customHeight="1">
      <c r="B533" s="2265" t="str" cm="1">
        <f t="array" ref="B533">SUMPRODUCT(--(D533:J533&lt;&gt;""), LEN(TRIM(SUBSTITUTE(D533:J533, CHAR(160), "")))) &amp; " Car."</f>
        <v>0 Car.</v>
      </c>
      <c r="C533" s="1376" t="str">
        <f>IF(ISBLANK(D533),"",LARGE(C13:C532,1)+1)</f>
        <v/>
      </c>
      <c r="D533" s="1833"/>
      <c r="E533" s="1810"/>
      <c r="F533" s="1810"/>
      <c r="G533" s="1810"/>
      <c r="H533" s="1810"/>
      <c r="I533" s="1810"/>
      <c r="J533" s="1810"/>
      <c r="K533" s="1810"/>
      <c r="L533" s="1811"/>
      <c r="M533"/>
      <c r="N533" s="103" t="str">
        <f t="shared" si="225"/>
        <v>►</v>
      </c>
      <c r="O533" s="1616"/>
      <c r="P533"/>
      <c r="Q533" s="103" t="s">
        <v>15</v>
      </c>
      <c r="R533" s="31"/>
      <c r="S533" s="32"/>
      <c r="T533" s="31"/>
      <c r="U533" s="33"/>
      <c r="V533" s="1804"/>
      <c r="W533" s="1805"/>
      <c r="X533" s="91"/>
      <c r="Y533" s="1806"/>
      <c r="Z533" s="1807"/>
      <c r="AA533" s="919"/>
      <c r="AB533" s="1813"/>
      <c r="AC533" s="1580"/>
      <c r="AD533" s="95"/>
      <c r="AE533" s="105"/>
      <c r="AF533" s="97"/>
      <c r="AG533" s="2080"/>
      <c r="AH533" s="2081"/>
      <c r="AI533" s="99"/>
      <c r="AJ533" s="1809"/>
      <c r="AK533" s="6120" t="str">
        <f t="shared" si="218"/>
        <v>►</v>
      </c>
      <c r="AL533" s="781" t="str">
        <f t="shared" si="206"/>
        <v>►</v>
      </c>
      <c r="AM533" s="5499" t="str">
        <f t="shared" si="209"/>
        <v/>
      </c>
      <c r="AN533" s="783" t="str">
        <f t="shared" si="210"/>
        <v/>
      </c>
      <c r="AO533" s="782" t="str">
        <f t="shared" si="211"/>
        <v/>
      </c>
      <c r="AP533" s="783" t="str">
        <f t="shared" si="212"/>
        <v/>
      </c>
      <c r="AQ533" s="2083" t="b">
        <f>AND(Q533="A",COUNTIF(BP16:BR63,TRIM(Z533))&gt;0)</f>
        <v>0</v>
      </c>
      <c r="AR533" s="797" t="str">
        <f>IF(AL533&lt;&gt;"A","",IFERROR(IFERROR(_xlfn.XLOOKUP(TRIM(SUBSTITUTE(Z533,CHAR(160)," ")),BP16:BP63,BS16:BS63),IFERROR(_xlfn.XLOOKUP(TRIM(SUBSTITUTE(Z533,CHAR(160)," ")),BQ16:BQ63,BS16:BS63),_xlfn.XLOOKUP(TRIM(SUBSTITUTE(Z533,CHAR(160)," ")),BR16:BR63,BS16:BS63)))*Y533*IF(ISBLANK(V533),1,V533),0))</f>
        <v/>
      </c>
      <c r="AS533" s="784" t="str">
        <f t="shared" si="223"/>
        <v/>
      </c>
      <c r="AT533" s="1315" t="str">
        <f t="shared" si="213"/>
        <v/>
      </c>
      <c r="AU533" s="785">
        <f t="shared" si="214"/>
        <v>0</v>
      </c>
      <c r="AV533" s="785">
        <f t="shared" si="215"/>
        <v>0</v>
      </c>
      <c r="AW533" s="786">
        <f>IF(AK533="A",AY10,0)</f>
        <v>0</v>
      </c>
      <c r="AX533" s="5495" t="str">
        <f>IF(IFERROR(SEARCH("Adresse PC",TRIM(W533)),0)&gt;0,"▼ receta siguiente",IF(AK533="A",IF(AZ10&lt;&gt;"",AZ10&amp;" - ou.or.o ❾ + or - &gt;",""),""))</f>
        <v/>
      </c>
      <c r="AY533" s="810"/>
      <c r="AZ533" s="810"/>
      <c r="BA533" s="788" t="str">
        <f t="shared" si="226"/>
        <v/>
      </c>
      <c r="BB533" s="789" t="str">
        <f>IF(AK533="A",IF(AQ533,IF(AND(AW533&lt;&gt;"",N(AW533)&gt;0),IFERROR(IFERROR(_xlfn.XLOOKUP(AP533,BP10:BP57,BT10:BT57),IFERROR(_xlfn.XLOOKUP(AP533,BQ10:BQ57,BT10:BT57),_xlfn.XLOOKUP(AP533,BR10:BR57,BT10:BT57,""))),""),""),""),"")</f>
        <v/>
      </c>
      <c r="BC533" s="811" cm="1">
        <f t="array" ref="BC533">IF(NOT(AQ533),0,IF(OR(BA533="",N(BA533)&lt;=0.000000001),"",IF(OR(AU533="",N(AU533)&lt;=0.000000001),0,IF(ISNUMBER(BA533),IFERROR(_xlfn.LET(_xlpm.ai_test,TRIM(AP533),_xlpm.r,IFERROR(_xlfn.XLOOKUP(_xlpm.ai_test,BP16:BP63,ROW(BP16:BP63),0,1),IFERROR(_xlfn.XLOOKUP(_xlpm.ai_test,BQ16:BQ63,ROW(BQ16:BQ63),0,1),_xlfn.XLOOKUP(_xlpm.ai_test,BR16:BR63,ROW(BR16:BR63),0,1))),_xlpm.p,_xlpm.r-MIN(ROW(BP16:BP63))+1,_xlpm.f,INDEX(BS16:BS63,_xlpm.p),_xlpm.u,INDEX(BT16:BT63,_xlpm.p),_xlpm.s,INDEX(BV16:BV63,_xlpm.p),_xlpm.q,N(BA533)/_xlpm.f,IF(_xlpm.q&gt;=_xlpm.s,ROUND(_xlpm.q,1)&amp;" "&amp;_xlpm.ai_test&amp;" = "&amp;ROUND(_xlpm.q*_xlpm.f,1)&amp;" "&amp;_xlpm.u,ROUND(_xlpm.q,1)&amp;" "&amp;_xlpm.ai_test)),""),""))))</f>
        <v>0</v>
      </c>
      <c r="BD533" s="801"/>
      <c r="BE533" s="788" t="str">
        <f t="shared" si="216"/>
        <v/>
      </c>
      <c r="BF533" s="789" t="str">
        <f t="shared" si="219"/>
        <v/>
      </c>
      <c r="BG533" s="790">
        <f t="shared" si="220"/>
        <v>0</v>
      </c>
      <c r="BH533" s="791" t="str">
        <f t="shared" si="221"/>
        <v/>
      </c>
      <c r="BI533" s="792"/>
      <c r="BJ533" s="793">
        <f t="shared" si="222"/>
        <v>0</v>
      </c>
      <c r="BK533" s="794" t="str">
        <f t="shared" si="217"/>
        <v/>
      </c>
      <c r="BL533" s="227" t="s">
        <v>21</v>
      </c>
      <c r="BM533" s="773">
        <f t="shared" si="207"/>
        <v>0</v>
      </c>
      <c r="BN533" s="774">
        <f t="shared" si="208"/>
        <v>0</v>
      </c>
      <c r="BO533"/>
      <c r="BX533"/>
      <c r="BY533"/>
      <c r="BZ533"/>
      <c r="CA533"/>
      <c r="CB533"/>
      <c r="CC533"/>
      <c r="CD533" s="781" t="str">
        <f t="shared" si="224"/>
        <v>►</v>
      </c>
      <c r="CE533" s="633"/>
      <c r="CF533" s="633"/>
      <c r="CG533" s="633"/>
      <c r="CH533" s="633"/>
      <c r="CI533" s="633"/>
      <c r="CJ533" s="227"/>
      <c r="CK533"/>
      <c r="CL533"/>
      <c r="CM533"/>
      <c r="CN533"/>
      <c r="CO533"/>
      <c r="CP533"/>
      <c r="CQ533"/>
      <c r="CR533" s="227"/>
      <c r="CS533"/>
      <c r="CT533"/>
      <c r="CU533"/>
      <c r="CV533"/>
      <c r="CW533"/>
      <c r="CX533"/>
      <c r="CY533"/>
      <c r="CZ533" s="227"/>
      <c r="DA533"/>
      <c r="DB533"/>
      <c r="DC533"/>
      <c r="DD533"/>
      <c r="DE533"/>
      <c r="DF533"/>
      <c r="DG533"/>
      <c r="DH533" s="227"/>
      <c r="DI533" s="3">
        <v>1</v>
      </c>
    </row>
    <row r="534" spans="2:113" s="627" customFormat="1" ht="21" customHeight="1">
      <c r="B534" s="2265" t="str" cm="1">
        <f t="array" ref="B534">SUMPRODUCT(--(D534:J534&lt;&gt;""), LEN(TRIM(SUBSTITUTE(D534:J534, CHAR(160), "")))) &amp; " Car."</f>
        <v>0 Car.</v>
      </c>
      <c r="C534" s="1376" t="str">
        <f>IF(ISBLANK(D534),"",LARGE(C13:C533,1)+1)</f>
        <v/>
      </c>
      <c r="D534" s="1833"/>
      <c r="E534" s="1810"/>
      <c r="F534" s="1810"/>
      <c r="G534" s="1810"/>
      <c r="H534" s="1810"/>
      <c r="I534" s="1810"/>
      <c r="J534" s="1810"/>
      <c r="K534" s="1810"/>
      <c r="L534" s="1811"/>
      <c r="M534"/>
      <c r="N534" s="103" t="str">
        <f t="shared" si="225"/>
        <v>►</v>
      </c>
      <c r="O534" s="1616"/>
      <c r="P534"/>
      <c r="Q534" s="103" t="s">
        <v>15</v>
      </c>
      <c r="R534" s="31"/>
      <c r="S534" s="32"/>
      <c r="T534" s="31"/>
      <c r="U534" s="33"/>
      <c r="V534" s="1804"/>
      <c r="W534" s="1805"/>
      <c r="X534" s="91"/>
      <c r="Y534" s="1806"/>
      <c r="Z534" s="1807"/>
      <c r="AA534" s="919"/>
      <c r="AB534" s="1813"/>
      <c r="AC534" s="1580"/>
      <c r="AD534" s="95"/>
      <c r="AE534" s="105"/>
      <c r="AF534" s="97"/>
      <c r="AG534" s="2080"/>
      <c r="AH534" s="2081"/>
      <c r="AI534" s="99"/>
      <c r="AJ534" s="1809"/>
      <c r="AK534" s="6120" t="str">
        <f t="shared" si="218"/>
        <v>►</v>
      </c>
      <c r="AL534" s="781" t="str">
        <f t="shared" si="206"/>
        <v>►</v>
      </c>
      <c r="AM534" s="5498" t="str">
        <f t="shared" si="209"/>
        <v/>
      </c>
      <c r="AN534" s="783" t="str">
        <f t="shared" si="210"/>
        <v/>
      </c>
      <c r="AO534" s="782" t="str">
        <f t="shared" si="211"/>
        <v/>
      </c>
      <c r="AP534" s="783" t="str">
        <f t="shared" si="212"/>
        <v/>
      </c>
      <c r="AQ534" s="2083" t="b">
        <f>AND(Q534="A",COUNTIF(BP16:BR63,TRIM(Z534))&gt;0)</f>
        <v>0</v>
      </c>
      <c r="AR534" s="797" t="str">
        <f>IF(AL534&lt;&gt;"A","",IFERROR(IFERROR(_xlfn.XLOOKUP(TRIM(SUBSTITUTE(Z534,CHAR(160)," ")),BP16:BP63,BS16:BS63),IFERROR(_xlfn.XLOOKUP(TRIM(SUBSTITUTE(Z534,CHAR(160)," ")),BQ16:BQ63,BS16:BS63),_xlfn.XLOOKUP(TRIM(SUBSTITUTE(Z534,CHAR(160)," ")),BR16:BR63,BS16:BS63)))*Y534*IF(ISBLANK(V534),1,V534),0))</f>
        <v/>
      </c>
      <c r="AS534" s="784" t="str">
        <f t="shared" si="223"/>
        <v/>
      </c>
      <c r="AT534" s="1315" t="str">
        <f t="shared" si="213"/>
        <v/>
      </c>
      <c r="AU534" s="785">
        <f t="shared" si="214"/>
        <v>0</v>
      </c>
      <c r="AV534" s="785">
        <f t="shared" si="215"/>
        <v>0</v>
      </c>
      <c r="AW534" s="798">
        <f>IF(AK534="A",AY10,0)</f>
        <v>0</v>
      </c>
      <c r="AX534" s="5496" t="str">
        <f>IF(IFERROR(SEARCH("Adresse PC",TRIM(W534)),0)&gt;0,"▼ receta siguiente",IF(AK534="A",IF(AZ10&lt;&gt;"",AZ10&amp;" - ou.or.o ❾ + or - &gt;",""),""))</f>
        <v/>
      </c>
      <c r="AY534" s="810"/>
      <c r="AZ534" s="810"/>
      <c r="BA534" s="799" t="str">
        <f t="shared" si="226"/>
        <v/>
      </c>
      <c r="BB534" s="800" t="str">
        <f>IF(AK534="A",IF(AQ534,IF(AND(AW534&lt;&gt;"",N(AW534)&gt;0),IFERROR(IFERROR(_xlfn.XLOOKUP(AP534,BP10:BP57,BT10:BT57),IFERROR(_xlfn.XLOOKUP(AP534,BQ10:BQ57,BT10:BT57),_xlfn.XLOOKUP(AP534,BR10:BR57,BT10:BT57,""))),""),""),""),"")</f>
        <v/>
      </c>
      <c r="BC534" s="813" cm="1">
        <f t="array" ref="BC534">IF(NOT(AQ534),0,IF(OR(BA534="",N(BA534)&lt;=0.000000001),"",IF(OR(AU534="",N(AU534)&lt;=0.000000001),0,IF(ISNUMBER(BA534),IFERROR(_xlfn.LET(_xlpm.ai_test,TRIM(AP534),_xlpm.r,IFERROR(_xlfn.XLOOKUP(_xlpm.ai_test,BP16:BP63,ROW(BP16:BP63),0,1),IFERROR(_xlfn.XLOOKUP(_xlpm.ai_test,BQ16:BQ63,ROW(BQ16:BQ63),0,1),_xlfn.XLOOKUP(_xlpm.ai_test,BR16:BR63,ROW(BR16:BR63),0,1))),_xlpm.p,_xlpm.r-MIN(ROW(BP16:BP63))+1,_xlpm.f,INDEX(BS16:BS63,_xlpm.p),_xlpm.u,INDEX(BT16:BT63,_xlpm.p),_xlpm.s,INDEX(BV16:BV63,_xlpm.p),_xlpm.q,N(BA534)/_xlpm.f,IF(_xlpm.q&gt;=_xlpm.s,ROUND(_xlpm.q,1)&amp;" "&amp;_xlpm.ai_test&amp;" = "&amp;ROUND(_xlpm.q*_xlpm.f,1)&amp;" "&amp;_xlpm.u,ROUND(_xlpm.q,1)&amp;" "&amp;_xlpm.ai_test)),""),""))))</f>
        <v>0</v>
      </c>
      <c r="BD534" s="801"/>
      <c r="BE534" s="799" t="str">
        <f t="shared" si="216"/>
        <v/>
      </c>
      <c r="BF534" s="800" t="str">
        <f t="shared" si="219"/>
        <v/>
      </c>
      <c r="BG534" s="802">
        <f t="shared" si="220"/>
        <v>0</v>
      </c>
      <c r="BH534" s="803" t="str">
        <f t="shared" si="221"/>
        <v/>
      </c>
      <c r="BI534" s="792"/>
      <c r="BJ534" s="804">
        <f t="shared" si="222"/>
        <v>0</v>
      </c>
      <c r="BK534" s="794" t="str">
        <f t="shared" si="217"/>
        <v/>
      </c>
      <c r="BL534" s="227" t="s">
        <v>21</v>
      </c>
      <c r="BM534" s="773">
        <f t="shared" si="207"/>
        <v>0</v>
      </c>
      <c r="BN534" s="774">
        <f t="shared" si="208"/>
        <v>0</v>
      </c>
      <c r="BO534"/>
      <c r="BX534"/>
      <c r="BY534"/>
      <c r="BZ534"/>
      <c r="CA534"/>
      <c r="CB534"/>
      <c r="CC534"/>
      <c r="CD534" s="781" t="str">
        <f t="shared" si="224"/>
        <v>►</v>
      </c>
      <c r="CE534" s="633"/>
      <c r="CF534" s="633"/>
      <c r="CG534" s="633"/>
      <c r="CH534" s="633"/>
      <c r="CI534" s="633"/>
      <c r="CJ534" s="227"/>
      <c r="CK534"/>
      <c r="CL534"/>
      <c r="CM534"/>
      <c r="CN534"/>
      <c r="CO534"/>
      <c r="CP534"/>
      <c r="CQ534"/>
      <c r="CR534" s="227"/>
      <c r="CS534"/>
      <c r="CT534"/>
      <c r="CU534"/>
      <c r="CV534"/>
      <c r="CW534"/>
      <c r="CX534"/>
      <c r="CY534"/>
      <c r="CZ534" s="227"/>
      <c r="DA534"/>
      <c r="DB534"/>
      <c r="DC534"/>
      <c r="DD534"/>
      <c r="DE534"/>
      <c r="DF534"/>
      <c r="DG534"/>
      <c r="DH534" s="227"/>
      <c r="DI534" s="3">
        <v>1</v>
      </c>
    </row>
    <row r="535" spans="2:113" s="627" customFormat="1" ht="21" customHeight="1">
      <c r="B535" s="2265" t="str" cm="1">
        <f t="array" ref="B535">SUMPRODUCT(--(D535:J535&lt;&gt;""), LEN(TRIM(SUBSTITUTE(D535:J535, CHAR(160), "")))) &amp; " Car."</f>
        <v>0 Car.</v>
      </c>
      <c r="C535" s="1376" t="str">
        <f>IF(ISBLANK(D535),"",LARGE(C13:C534,1)+1)</f>
        <v/>
      </c>
      <c r="D535" s="1833"/>
      <c r="E535" s="1810"/>
      <c r="F535" s="1810"/>
      <c r="G535" s="1810"/>
      <c r="H535" s="1810"/>
      <c r="I535" s="1810"/>
      <c r="J535" s="1810"/>
      <c r="K535" s="1810"/>
      <c r="L535" s="1811"/>
      <c r="M535"/>
      <c r="N535" s="103" t="str">
        <f t="shared" si="225"/>
        <v>►</v>
      </c>
      <c r="O535" s="1616"/>
      <c r="P535"/>
      <c r="Q535" s="103" t="s">
        <v>15</v>
      </c>
      <c r="R535" s="31"/>
      <c r="S535" s="32"/>
      <c r="T535" s="31"/>
      <c r="U535" s="33"/>
      <c r="V535" s="1804"/>
      <c r="W535" s="1805"/>
      <c r="X535" s="91"/>
      <c r="Y535" s="1806"/>
      <c r="Z535" s="1807"/>
      <c r="AA535" s="919"/>
      <c r="AB535" s="1813"/>
      <c r="AC535" s="1580"/>
      <c r="AD535" s="95"/>
      <c r="AE535" s="105"/>
      <c r="AF535" s="97"/>
      <c r="AG535" s="2080"/>
      <c r="AH535" s="2081"/>
      <c r="AI535" s="99"/>
      <c r="AJ535" s="1809"/>
      <c r="AK535" s="6120" t="str">
        <f t="shared" si="218"/>
        <v>►</v>
      </c>
      <c r="AL535" s="781" t="str">
        <f t="shared" ref="AL535:AL550" si="227">IF(OR(AU535&gt;0,TRIM(AM535)="▼ recette suivante"),"A","►")</f>
        <v>►</v>
      </c>
      <c r="AM535" s="5499" t="str">
        <f t="shared" si="209"/>
        <v/>
      </c>
      <c r="AN535" s="783" t="str">
        <f t="shared" si="210"/>
        <v/>
      </c>
      <c r="AO535" s="782" t="str">
        <f t="shared" si="211"/>
        <v/>
      </c>
      <c r="AP535" s="783" t="str">
        <f t="shared" si="212"/>
        <v/>
      </c>
      <c r="AQ535" s="2083" t="b">
        <f>AND(Q535="A",COUNTIF(BP16:BR63,TRIM(Z535))&gt;0)</f>
        <v>0</v>
      </c>
      <c r="AR535" s="797" t="str">
        <f>IF(AL535&lt;&gt;"A","",IFERROR(IFERROR(_xlfn.XLOOKUP(TRIM(SUBSTITUTE(Z535,CHAR(160)," ")),BP16:BP63,BS16:BS63),IFERROR(_xlfn.XLOOKUP(TRIM(SUBSTITUTE(Z535,CHAR(160)," ")),BQ16:BQ63,BS16:BS63),_xlfn.XLOOKUP(TRIM(SUBSTITUTE(Z535,CHAR(160)," ")),BR16:BR63,BS16:BS63)))*Y535*IF(ISBLANK(V535),1,V535),0))</f>
        <v/>
      </c>
      <c r="AS535" s="784" t="str">
        <f t="shared" si="223"/>
        <v/>
      </c>
      <c r="AT535" s="1315" t="str">
        <f t="shared" si="213"/>
        <v/>
      </c>
      <c r="AU535" s="785">
        <f t="shared" si="214"/>
        <v>0</v>
      </c>
      <c r="AV535" s="785">
        <f t="shared" si="215"/>
        <v>0</v>
      </c>
      <c r="AW535" s="786">
        <f>IF(AK535="A",AY10,0)</f>
        <v>0</v>
      </c>
      <c r="AX535" s="5495" t="str">
        <f>IF(IFERROR(SEARCH("Adresse PC",TRIM(W535)),0)&gt;0,"▼ receta siguiente",IF(AK535="A",IF(AZ10&lt;&gt;"",AZ10&amp;" - ou.or.o ❾ + or - &gt;",""),""))</f>
        <v/>
      </c>
      <c r="AY535" s="810"/>
      <c r="AZ535" s="810"/>
      <c r="BA535" s="788" t="str">
        <f t="shared" si="226"/>
        <v/>
      </c>
      <c r="BB535" s="789" t="str">
        <f>IF(AK535="A",IF(AQ535,IF(AND(AW535&lt;&gt;"",N(AW535)&gt;0),IFERROR(IFERROR(_xlfn.XLOOKUP(AP535,BP10:BP57,BT10:BT57),IFERROR(_xlfn.XLOOKUP(AP535,BQ10:BQ57,BT10:BT57),_xlfn.XLOOKUP(AP535,BR10:BR57,BT10:BT57,""))),""),""),""),"")</f>
        <v/>
      </c>
      <c r="BC535" s="811" cm="1">
        <f t="array" ref="BC535">IF(NOT(AQ535),0,IF(OR(BA535="",N(BA535)&lt;=0.000000001),"",IF(OR(AU535="",N(AU535)&lt;=0.000000001),0,IF(ISNUMBER(BA535),IFERROR(_xlfn.LET(_xlpm.ai_test,TRIM(AP535),_xlpm.r,IFERROR(_xlfn.XLOOKUP(_xlpm.ai_test,BP16:BP63,ROW(BP16:BP63),0,1),IFERROR(_xlfn.XLOOKUP(_xlpm.ai_test,BQ16:BQ63,ROW(BQ16:BQ63),0,1),_xlfn.XLOOKUP(_xlpm.ai_test,BR16:BR63,ROW(BR16:BR63),0,1))),_xlpm.p,_xlpm.r-MIN(ROW(BP16:BP63))+1,_xlpm.f,INDEX(BS16:BS63,_xlpm.p),_xlpm.u,INDEX(BT16:BT63,_xlpm.p),_xlpm.s,INDEX(BV16:BV63,_xlpm.p),_xlpm.q,N(BA535)/_xlpm.f,IF(_xlpm.q&gt;=_xlpm.s,ROUND(_xlpm.q,1)&amp;" "&amp;_xlpm.ai_test&amp;" = "&amp;ROUND(_xlpm.q*_xlpm.f,1)&amp;" "&amp;_xlpm.u,ROUND(_xlpm.q,1)&amp;" "&amp;_xlpm.ai_test)),""),""))))</f>
        <v>0</v>
      </c>
      <c r="BD535" s="801"/>
      <c r="BE535" s="788" t="str">
        <f t="shared" si="216"/>
        <v/>
      </c>
      <c r="BF535" s="789" t="str">
        <f t="shared" si="219"/>
        <v/>
      </c>
      <c r="BG535" s="790">
        <f t="shared" si="220"/>
        <v>0</v>
      </c>
      <c r="BH535" s="791" t="str">
        <f t="shared" si="221"/>
        <v/>
      </c>
      <c r="BI535" s="792"/>
      <c r="BJ535" s="793">
        <f t="shared" si="222"/>
        <v>0</v>
      </c>
      <c r="BK535" s="794" t="str">
        <f t="shared" si="217"/>
        <v/>
      </c>
      <c r="BL535" s="227" t="s">
        <v>21</v>
      </c>
      <c r="BM535" s="773">
        <f t="shared" ref="BM535:BM550" si="228">IFERROR(_xlfn.LET(_xlpm.EPS,0.000000001,_xlpm.b,V535/AU535,IF(ISNUMBER(AY535),_xlpm.b*AY535,IF(OR(ISBLANK(AY535),AY535=""),_xlpm.b*AW535,IF(AND(BN535=0,ISNUMBER(V535)),_xlpm.b/AW535,0)))),0)</f>
        <v>0</v>
      </c>
      <c r="BN535" s="774">
        <f t="shared" ref="BN535:BN550" si="229">IF(AR535&gt;0,IFERROR(IF(OR(ISBLANK(AY535),AY535=""),AW535,AY535)/AU535,0),0)</f>
        <v>0</v>
      </c>
      <c r="BO535"/>
      <c r="BX535"/>
      <c r="BY535"/>
      <c r="BZ535"/>
      <c r="CA535"/>
      <c r="CB535"/>
      <c r="CC535"/>
      <c r="CD535" s="781" t="str">
        <f t="shared" si="224"/>
        <v>►</v>
      </c>
      <c r="CE535" s="633"/>
      <c r="CF535" s="633"/>
      <c r="CG535" s="633"/>
      <c r="CH535" s="633"/>
      <c r="CI535" s="633"/>
      <c r="CJ535" s="227"/>
      <c r="CK535"/>
      <c r="CL535"/>
      <c r="CM535"/>
      <c r="CN535"/>
      <c r="CO535"/>
      <c r="CP535"/>
      <c r="CQ535"/>
      <c r="CR535" s="227"/>
      <c r="CS535"/>
      <c r="CT535"/>
      <c r="CU535"/>
      <c r="CV535"/>
      <c r="CW535"/>
      <c r="CX535"/>
      <c r="CY535"/>
      <c r="CZ535" s="227"/>
      <c r="DA535"/>
      <c r="DB535"/>
      <c r="DC535"/>
      <c r="DD535"/>
      <c r="DE535"/>
      <c r="DF535"/>
      <c r="DG535"/>
      <c r="DH535" s="227"/>
      <c r="DI535" s="3">
        <v>1</v>
      </c>
    </row>
    <row r="536" spans="2:113" s="627" customFormat="1" ht="21" customHeight="1">
      <c r="B536" s="2265" t="str" cm="1">
        <f t="array" ref="B536">SUMPRODUCT(--(D536:J536&lt;&gt;""), LEN(TRIM(SUBSTITUTE(D536:J536, CHAR(160), "")))) &amp; " Car."</f>
        <v>0 Car.</v>
      </c>
      <c r="C536" s="1376" t="str">
        <f>IF(ISBLANK(D536),"",LARGE(C13:C535,1)+1)</f>
        <v/>
      </c>
      <c r="D536" s="1833"/>
      <c r="E536" s="1810"/>
      <c r="F536" s="1810"/>
      <c r="G536" s="1810"/>
      <c r="H536" s="1810"/>
      <c r="I536" s="1810"/>
      <c r="J536" s="1810"/>
      <c r="K536" s="1810"/>
      <c r="L536" s="1811"/>
      <c r="M536"/>
      <c r="N536" s="103" t="str">
        <f t="shared" si="225"/>
        <v>►</v>
      </c>
      <c r="O536" s="1616"/>
      <c r="P536"/>
      <c r="Q536" s="103" t="s">
        <v>15</v>
      </c>
      <c r="R536" s="31"/>
      <c r="S536" s="32"/>
      <c r="T536" s="31"/>
      <c r="U536" s="33"/>
      <c r="V536" s="1804"/>
      <c r="W536" s="1805"/>
      <c r="X536" s="91"/>
      <c r="Y536" s="1806"/>
      <c r="Z536" s="1807"/>
      <c r="AA536" s="919"/>
      <c r="AB536" s="1813"/>
      <c r="AC536" s="1580"/>
      <c r="AD536" s="95"/>
      <c r="AE536" s="105"/>
      <c r="AF536" s="97"/>
      <c r="AG536" s="2080"/>
      <c r="AH536" s="2081"/>
      <c r="AI536" s="99"/>
      <c r="AJ536" s="1809"/>
      <c r="AK536" s="6120" t="str">
        <f t="shared" si="218"/>
        <v>►</v>
      </c>
      <c r="AL536" s="781" t="str">
        <f t="shared" si="227"/>
        <v>►</v>
      </c>
      <c r="AM536" s="5498" t="str">
        <f t="shared" ref="AM536:AM550" si="230">IF(IFERROR(SEARCH("Adresse PC",TRIM(SUBSTITUTE(W536,CHAR(160)," "))),0)&gt;0,"▼ recette suivante",IF(AK536="A",R536,""))</f>
        <v/>
      </c>
      <c r="AN536" s="783" t="str">
        <f t="shared" ref="AN536:AN550" si="231">IF(AK536="A",S536,"")</f>
        <v/>
      </c>
      <c r="AO536" s="782" t="str">
        <f t="shared" ref="AO536:AO550" si="232">IF(AK536="A",T536,"")</f>
        <v/>
      </c>
      <c r="AP536" s="783" t="str">
        <f t="shared" ref="AP536:AP550" si="233">IF(AK536="A",Z536,"")</f>
        <v/>
      </c>
      <c r="AQ536" s="2083" t="b">
        <f>AND(Q536="A",COUNTIF(BP16:BR63,TRIM(Z536))&gt;0)</f>
        <v>0</v>
      </c>
      <c r="AR536" s="797" t="str">
        <f>IF(AL536&lt;&gt;"A","",IFERROR(IFERROR(_xlfn.XLOOKUP(TRIM(SUBSTITUTE(Z536,CHAR(160)," ")),BP16:BP63,BS16:BS63),IFERROR(_xlfn.XLOOKUP(TRIM(SUBSTITUTE(Z536,CHAR(160)," ")),BQ16:BQ63,BS16:BS63),_xlfn.XLOOKUP(TRIM(SUBSTITUTE(Z536,CHAR(160)," ")),BR16:BR63,BS16:BS63)))*Y536*IF(ISBLANK(V536),1,V536),0))</f>
        <v/>
      </c>
      <c r="AS536" s="784" t="str">
        <f t="shared" si="223"/>
        <v/>
      </c>
      <c r="AT536" s="1315" t="str">
        <f t="shared" ref="AT536:AT550" si="234">IF(AK536="A","❾ Author reference &gt;","")</f>
        <v/>
      </c>
      <c r="AU536" s="785">
        <f t="shared" ref="AU536:AU550" si="235">IF(AK536="A",S536,0)</f>
        <v>0</v>
      </c>
      <c r="AV536" s="785">
        <f t="shared" ref="AV536:AV550" si="236">IF(AK536="A",T536,0)</f>
        <v>0</v>
      </c>
      <c r="AW536" s="798">
        <f>IF(AK536="A",AY10,0)</f>
        <v>0</v>
      </c>
      <c r="AX536" s="5496" t="str">
        <f>IF(IFERROR(SEARCH("Adresse PC",TRIM(W536)),0)&gt;0,"▼ receta siguiente",IF(AK536="A",IF(AZ10&lt;&gt;"",AZ10&amp;" - ou.or.o ❾ + or - &gt;",""),""))</f>
        <v/>
      </c>
      <c r="AY536" s="810"/>
      <c r="AZ536" s="810"/>
      <c r="BA536" s="799" t="str">
        <f t="shared" si="226"/>
        <v/>
      </c>
      <c r="BB536" s="800" t="str">
        <f>IF(AK536="A",IF(AQ536,IF(AND(AW536&lt;&gt;"",N(AW536)&gt;0),IFERROR(IFERROR(_xlfn.XLOOKUP(AP536,BP10:BP57,BT10:BT57),IFERROR(_xlfn.XLOOKUP(AP536,BQ10:BQ57,BT10:BT57),_xlfn.XLOOKUP(AP536,BR10:BR57,BT10:BT57,""))),""),""),""),"")</f>
        <v/>
      </c>
      <c r="BC536" s="813" cm="1">
        <f t="array" ref="BC536">IF(NOT(AQ536),0,IF(OR(BA536="",N(BA536)&lt;=0.000000001),"",IF(OR(AU536="",N(AU536)&lt;=0.000000001),0,IF(ISNUMBER(BA536),IFERROR(_xlfn.LET(_xlpm.ai_test,TRIM(AP536),_xlpm.r,IFERROR(_xlfn.XLOOKUP(_xlpm.ai_test,BP16:BP63,ROW(BP16:BP63),0,1),IFERROR(_xlfn.XLOOKUP(_xlpm.ai_test,BQ16:BQ63,ROW(BQ16:BQ63),0,1),_xlfn.XLOOKUP(_xlpm.ai_test,BR16:BR63,ROW(BR16:BR63),0,1))),_xlpm.p,_xlpm.r-MIN(ROW(BP16:BP63))+1,_xlpm.f,INDEX(BS16:BS63,_xlpm.p),_xlpm.u,INDEX(BT16:BT63,_xlpm.p),_xlpm.s,INDEX(BV16:BV63,_xlpm.p),_xlpm.q,N(BA536)/_xlpm.f,IF(_xlpm.q&gt;=_xlpm.s,ROUND(_xlpm.q,1)&amp;" "&amp;_xlpm.ai_test&amp;" = "&amp;ROUND(_xlpm.q*_xlpm.f,1)&amp;" "&amp;_xlpm.u,ROUND(_xlpm.q,1)&amp;" "&amp;_xlpm.ai_test)),""),""))))</f>
        <v>0</v>
      </c>
      <c r="BD536" s="801"/>
      <c r="BE536" s="799" t="str">
        <f t="shared" ref="BE536:BE550" si="237">IF(IFERROR(SEARCH("Adresse PC",TRIM(W536)),0)&gt;0,"▼next ricipe ",IF(BA536="","",IF(AK536="A",IF(ISBLANK(BD536),BA536,ROUND(BA536*(1-MIN(1,MAX(0,IF(BD536&gt;1,BD536/100,BD536)))),3)))))</f>
        <v/>
      </c>
      <c r="BF536" s="800" t="str">
        <f t="shared" si="219"/>
        <v/>
      </c>
      <c r="BG536" s="802">
        <f t="shared" si="220"/>
        <v>0</v>
      </c>
      <c r="BH536" s="803" t="str">
        <f t="shared" si="221"/>
        <v/>
      </c>
      <c r="BI536" s="792"/>
      <c r="BJ536" s="804">
        <f t="shared" si="222"/>
        <v>0</v>
      </c>
      <c r="BK536" s="794" t="str">
        <f t="shared" ref="BK536:BK550" si="238">IF(AK536="A",IF(IFERROR(SEARCH("Adresse PC",TRIM(W536)),0)&gt;0,"▼recette suivante ",IF(BE536&gt;0,AC536,"")),"")</f>
        <v/>
      </c>
      <c r="BL536" s="227" t="s">
        <v>21</v>
      </c>
      <c r="BM536" s="773">
        <f t="shared" si="228"/>
        <v>0</v>
      </c>
      <c r="BN536" s="774">
        <f t="shared" si="229"/>
        <v>0</v>
      </c>
      <c r="BO536"/>
      <c r="BX536"/>
      <c r="BY536"/>
      <c r="BZ536"/>
      <c r="CA536"/>
      <c r="CB536"/>
      <c r="CC536"/>
      <c r="CD536" s="781" t="str">
        <f t="shared" si="224"/>
        <v>►</v>
      </c>
      <c r="CE536" s="633"/>
      <c r="CF536" s="633"/>
      <c r="CG536" s="633"/>
      <c r="CH536" s="633"/>
      <c r="CI536" s="633"/>
      <c r="CJ536" s="227"/>
      <c r="CK536"/>
      <c r="CL536"/>
      <c r="CM536"/>
      <c r="CN536"/>
      <c r="CO536"/>
      <c r="CP536"/>
      <c r="CQ536"/>
      <c r="CR536" s="227"/>
      <c r="CS536"/>
      <c r="CT536"/>
      <c r="CU536"/>
      <c r="CV536"/>
      <c r="CW536"/>
      <c r="CX536"/>
      <c r="CY536"/>
      <c r="CZ536" s="227"/>
      <c r="DA536"/>
      <c r="DB536"/>
      <c r="DC536"/>
      <c r="DD536"/>
      <c r="DE536"/>
      <c r="DF536"/>
      <c r="DG536"/>
      <c r="DH536" s="227"/>
      <c r="DI536" s="3">
        <v>1</v>
      </c>
    </row>
    <row r="537" spans="2:113" s="627" customFormat="1" ht="21" customHeight="1">
      <c r="B537" s="2265" t="str" cm="1">
        <f t="array" ref="B537">SUMPRODUCT(--(D537:J537&lt;&gt;""), LEN(TRIM(SUBSTITUTE(D537:J537, CHAR(160), "")))) &amp; " Car."</f>
        <v>0 Car.</v>
      </c>
      <c r="C537" s="1376" t="str">
        <f>IF(ISBLANK(D537),"",LARGE(C13:C536,1)+1)</f>
        <v/>
      </c>
      <c r="D537" s="1833"/>
      <c r="E537" s="1810"/>
      <c r="F537" s="1810"/>
      <c r="G537" s="1810"/>
      <c r="H537" s="1810"/>
      <c r="I537" s="1810"/>
      <c r="J537" s="1810"/>
      <c r="K537" s="1810"/>
      <c r="L537" s="1811"/>
      <c r="M537"/>
      <c r="N537" s="103" t="str">
        <f t="shared" si="225"/>
        <v>►</v>
      </c>
      <c r="O537" s="1616"/>
      <c r="P537"/>
      <c r="Q537" s="103" t="s">
        <v>15</v>
      </c>
      <c r="R537" s="31"/>
      <c r="S537" s="32"/>
      <c r="T537" s="31"/>
      <c r="U537" s="33"/>
      <c r="V537" s="1804"/>
      <c r="W537" s="1805"/>
      <c r="X537" s="91"/>
      <c r="Y537" s="1806"/>
      <c r="Z537" s="1807"/>
      <c r="AA537" s="919"/>
      <c r="AB537" s="1813"/>
      <c r="AC537" s="1580"/>
      <c r="AD537" s="95"/>
      <c r="AE537" s="105"/>
      <c r="AF537" s="97"/>
      <c r="AG537" s="2080"/>
      <c r="AH537" s="2081"/>
      <c r="AI537" s="99"/>
      <c r="AJ537" s="1809"/>
      <c r="AK537" s="6120" t="str">
        <f t="shared" ref="AK537:AK550" si="239">IF(AND(IFERROR(SEARCH("►",AB537),0)&gt;0,ISNUMBER(IFERROR(VALUE(TRIM(SUBSTITUTE(AB537,"►",""))),NA())),AC537&lt;&gt;""),"A","►")</f>
        <v>►</v>
      </c>
      <c r="AL537" s="781" t="str">
        <f t="shared" si="227"/>
        <v>►</v>
      </c>
      <c r="AM537" s="5499" t="str">
        <f t="shared" si="230"/>
        <v/>
      </c>
      <c r="AN537" s="783" t="str">
        <f t="shared" si="231"/>
        <v/>
      </c>
      <c r="AO537" s="782" t="str">
        <f t="shared" si="232"/>
        <v/>
      </c>
      <c r="AP537" s="783" t="str">
        <f t="shared" si="233"/>
        <v/>
      </c>
      <c r="AQ537" s="2083" t="b">
        <f>AND(Q537="A",COUNTIF(BP16:BR63,TRIM(Z537))&gt;0)</f>
        <v>0</v>
      </c>
      <c r="AR537" s="797" t="str">
        <f>IF(AL537&lt;&gt;"A","",IFERROR(IFERROR(_xlfn.XLOOKUP(TRIM(SUBSTITUTE(Z537,CHAR(160)," ")),BP16:BP63,BS16:BS63),IFERROR(_xlfn.XLOOKUP(TRIM(SUBSTITUTE(Z537,CHAR(160)," ")),BQ16:BQ63,BS16:BS63),_xlfn.XLOOKUP(TRIM(SUBSTITUTE(Z537,CHAR(160)," ")),BR16:BR63,BS16:BS63)))*Y537*IF(ISBLANK(V537),1,V537),0))</f>
        <v/>
      </c>
      <c r="AS537" s="784" t="str">
        <f t="shared" si="223"/>
        <v/>
      </c>
      <c r="AT537" s="1315" t="str">
        <f t="shared" si="234"/>
        <v/>
      </c>
      <c r="AU537" s="785">
        <f t="shared" si="235"/>
        <v>0</v>
      </c>
      <c r="AV537" s="785">
        <f t="shared" si="236"/>
        <v>0</v>
      </c>
      <c r="AW537" s="786">
        <f>IF(AK537="A",AY10,0)</f>
        <v>0</v>
      </c>
      <c r="AX537" s="5495" t="str">
        <f>IF(IFERROR(SEARCH("Adresse PC",TRIM(W537)),0)&gt;0,"▼ receta siguiente",IF(AK537="A",IF(AZ10&lt;&gt;"",AZ10&amp;" - ou.or.o ❾ + or - &gt;",""),""))</f>
        <v/>
      </c>
      <c r="AY537" s="810"/>
      <c r="AZ537" s="810"/>
      <c r="BA537" s="788" t="str">
        <f t="shared" si="226"/>
        <v/>
      </c>
      <c r="BB537" s="789" t="str">
        <f>IF(AK537="A",IF(AQ537,IF(AND(AW537&lt;&gt;"",N(AW537)&gt;0),IFERROR(IFERROR(_xlfn.XLOOKUP(AP537,BP10:BP57,BT10:BT57),IFERROR(_xlfn.XLOOKUP(AP537,BQ10:BQ57,BT10:BT57),_xlfn.XLOOKUP(AP537,BR10:BR57,BT10:BT57,""))),""),""),""),"")</f>
        <v/>
      </c>
      <c r="BC537" s="811" cm="1">
        <f t="array" ref="BC537">IF(NOT(AQ537),0,IF(OR(BA537="",N(BA537)&lt;=0.000000001),"",IF(OR(AU537="",N(AU537)&lt;=0.000000001),0,IF(ISNUMBER(BA537),IFERROR(_xlfn.LET(_xlpm.ai_test,TRIM(AP537),_xlpm.r,IFERROR(_xlfn.XLOOKUP(_xlpm.ai_test,BP16:BP63,ROW(BP16:BP63),0,1),IFERROR(_xlfn.XLOOKUP(_xlpm.ai_test,BQ16:BQ63,ROW(BQ16:BQ63),0,1),_xlfn.XLOOKUP(_xlpm.ai_test,BR16:BR63,ROW(BR16:BR63),0,1))),_xlpm.p,_xlpm.r-MIN(ROW(BP16:BP63))+1,_xlpm.f,INDEX(BS16:BS63,_xlpm.p),_xlpm.u,INDEX(BT16:BT63,_xlpm.p),_xlpm.s,INDEX(BV16:BV63,_xlpm.p),_xlpm.q,N(BA537)/_xlpm.f,IF(_xlpm.q&gt;=_xlpm.s,ROUND(_xlpm.q,1)&amp;" "&amp;_xlpm.ai_test&amp;" = "&amp;ROUND(_xlpm.q*_xlpm.f,1)&amp;" "&amp;_xlpm.u,ROUND(_xlpm.q,1)&amp;" "&amp;_xlpm.ai_test)),""),""))))</f>
        <v>0</v>
      </c>
      <c r="BD537" s="801"/>
      <c r="BE537" s="788" t="str">
        <f t="shared" si="237"/>
        <v/>
      </c>
      <c r="BF537" s="789" t="str">
        <f t="shared" si="219"/>
        <v/>
      </c>
      <c r="BG537" s="790">
        <f t="shared" si="220"/>
        <v>0</v>
      </c>
      <c r="BH537" s="791" t="str">
        <f t="shared" si="221"/>
        <v/>
      </c>
      <c r="BI537" s="792"/>
      <c r="BJ537" s="793">
        <f t="shared" si="222"/>
        <v>0</v>
      </c>
      <c r="BK537" s="794" t="str">
        <f t="shared" si="238"/>
        <v/>
      </c>
      <c r="BL537" s="227" t="s">
        <v>21</v>
      </c>
      <c r="BM537" s="773">
        <f t="shared" si="228"/>
        <v>0</v>
      </c>
      <c r="BN537" s="774">
        <f t="shared" si="229"/>
        <v>0</v>
      </c>
      <c r="BO537"/>
      <c r="BX537"/>
      <c r="BY537"/>
      <c r="BZ537"/>
      <c r="CA537"/>
      <c r="CB537"/>
      <c r="CC537"/>
      <c r="CD537" s="781" t="str">
        <f t="shared" si="224"/>
        <v>►</v>
      </c>
      <c r="CE537" s="633"/>
      <c r="CF537" s="633"/>
      <c r="CG537" s="633"/>
      <c r="CH537" s="633"/>
      <c r="CI537" s="633"/>
      <c r="CJ537" s="227"/>
      <c r="CK537"/>
      <c r="CL537"/>
      <c r="CM537"/>
      <c r="CN537"/>
      <c r="CO537"/>
      <c r="CP537"/>
      <c r="CQ537"/>
      <c r="CR537" s="227"/>
      <c r="CS537"/>
      <c r="CT537"/>
      <c r="CU537"/>
      <c r="CV537"/>
      <c r="CW537"/>
      <c r="CX537"/>
      <c r="CY537"/>
      <c r="CZ537" s="227"/>
      <c r="DA537"/>
      <c r="DB537"/>
      <c r="DC537"/>
      <c r="DD537"/>
      <c r="DE537"/>
      <c r="DF537"/>
      <c r="DG537"/>
      <c r="DH537" s="227"/>
      <c r="DI537" s="3">
        <v>1</v>
      </c>
    </row>
    <row r="538" spans="2:113" s="627" customFormat="1" ht="21" customHeight="1">
      <c r="B538" s="2265" t="str" cm="1">
        <f t="array" ref="B538">SUMPRODUCT(--(D538:J538&lt;&gt;""), LEN(TRIM(SUBSTITUTE(D538:J538, CHAR(160), "")))) &amp; " Car."</f>
        <v>0 Car.</v>
      </c>
      <c r="C538" s="1376" t="str">
        <f>IF(ISBLANK(D538),"",LARGE(C13:C537,1)+1)</f>
        <v/>
      </c>
      <c r="D538" s="1833"/>
      <c r="E538" s="1810"/>
      <c r="F538" s="1810"/>
      <c r="G538" s="1810"/>
      <c r="H538" s="1810"/>
      <c r="I538" s="1810"/>
      <c r="J538" s="1810"/>
      <c r="K538" s="1810"/>
      <c r="L538" s="1811"/>
      <c r="M538"/>
      <c r="N538" s="103" t="str">
        <f t="shared" si="225"/>
        <v>►</v>
      </c>
      <c r="O538" s="1616"/>
      <c r="P538"/>
      <c r="Q538" s="103" t="s">
        <v>15</v>
      </c>
      <c r="R538" s="31"/>
      <c r="S538" s="32"/>
      <c r="T538" s="31"/>
      <c r="U538" s="33"/>
      <c r="V538" s="1804"/>
      <c r="W538" s="1805"/>
      <c r="X538" s="91"/>
      <c r="Y538" s="1806"/>
      <c r="Z538" s="1807"/>
      <c r="AA538" s="919"/>
      <c r="AB538" s="1813"/>
      <c r="AC538" s="1580"/>
      <c r="AD538" s="95"/>
      <c r="AE538" s="105"/>
      <c r="AF538" s="97"/>
      <c r="AG538" s="2080"/>
      <c r="AH538" s="2081"/>
      <c r="AI538" s="99"/>
      <c r="AJ538" s="1809"/>
      <c r="AK538" s="6120" t="str">
        <f t="shared" si="239"/>
        <v>►</v>
      </c>
      <c r="AL538" s="781" t="str">
        <f t="shared" si="227"/>
        <v>►</v>
      </c>
      <c r="AM538" s="5498" t="str">
        <f t="shared" si="230"/>
        <v/>
      </c>
      <c r="AN538" s="783" t="str">
        <f t="shared" si="231"/>
        <v/>
      </c>
      <c r="AO538" s="782" t="str">
        <f t="shared" si="232"/>
        <v/>
      </c>
      <c r="AP538" s="783" t="str">
        <f t="shared" si="233"/>
        <v/>
      </c>
      <c r="AQ538" s="2083" t="b">
        <f>AND(Q538="A",COUNTIF(BP16:BR63,TRIM(Z538))&gt;0)</f>
        <v>0</v>
      </c>
      <c r="AR538" s="797" t="str">
        <f>IF(AL538&lt;&gt;"A","",IFERROR(IFERROR(_xlfn.XLOOKUP(TRIM(SUBSTITUTE(Z538,CHAR(160)," ")),BP16:BP63,BS16:BS63),IFERROR(_xlfn.XLOOKUP(TRIM(SUBSTITUTE(Z538,CHAR(160)," ")),BQ16:BQ63,BS16:BS63),_xlfn.XLOOKUP(TRIM(SUBSTITUTE(Z538,CHAR(160)," ")),BR16:BR63,BS16:BS63)))*Y538*IF(ISBLANK(V538),1,V538),0))</f>
        <v/>
      </c>
      <c r="AS538" s="784" t="str">
        <f t="shared" si="223"/>
        <v/>
      </c>
      <c r="AT538" s="1315" t="str">
        <f t="shared" si="234"/>
        <v/>
      </c>
      <c r="AU538" s="785">
        <f t="shared" si="235"/>
        <v>0</v>
      </c>
      <c r="AV538" s="785">
        <f t="shared" si="236"/>
        <v>0</v>
      </c>
      <c r="AW538" s="798">
        <f>IF(AK538="A",AY10,0)</f>
        <v>0</v>
      </c>
      <c r="AX538" s="5496" t="str">
        <f>IF(IFERROR(SEARCH("Adresse PC",TRIM(W538)),0)&gt;0,"▼ receta siguiente",IF(AK538="A",IF(AZ10&lt;&gt;"",AZ10&amp;" - ou.or.o ❾ + or - &gt;",""),""))</f>
        <v/>
      </c>
      <c r="AY538" s="810"/>
      <c r="AZ538" s="810"/>
      <c r="BA538" s="799" t="str">
        <f t="shared" si="226"/>
        <v/>
      </c>
      <c r="BB538" s="800" t="str">
        <f>IF(AK538="A",IF(AQ538,IF(AND(AW538&lt;&gt;"",N(AW538)&gt;0),IFERROR(IFERROR(_xlfn.XLOOKUP(AP538,BP10:BP57,BT10:BT57),IFERROR(_xlfn.XLOOKUP(AP538,BQ10:BQ57,BT10:BT57),_xlfn.XLOOKUP(AP538,BR10:BR57,BT10:BT57,""))),""),""),""),"")</f>
        <v/>
      </c>
      <c r="BC538" s="813" cm="1">
        <f t="array" ref="BC538">IF(NOT(AQ538),0,IF(OR(BA538="",N(BA538)&lt;=0.000000001),"",IF(OR(AU538="",N(AU538)&lt;=0.000000001),0,IF(ISNUMBER(BA538),IFERROR(_xlfn.LET(_xlpm.ai_test,TRIM(AP538),_xlpm.r,IFERROR(_xlfn.XLOOKUP(_xlpm.ai_test,BP16:BP63,ROW(BP16:BP63),0,1),IFERROR(_xlfn.XLOOKUP(_xlpm.ai_test,BQ16:BQ63,ROW(BQ16:BQ63),0,1),_xlfn.XLOOKUP(_xlpm.ai_test,BR16:BR63,ROW(BR16:BR63),0,1))),_xlpm.p,_xlpm.r-MIN(ROW(BP16:BP63))+1,_xlpm.f,INDEX(BS16:BS63,_xlpm.p),_xlpm.u,INDEX(BT16:BT63,_xlpm.p),_xlpm.s,INDEX(BV16:BV63,_xlpm.p),_xlpm.q,N(BA538)/_xlpm.f,IF(_xlpm.q&gt;=_xlpm.s,ROUND(_xlpm.q,1)&amp;" "&amp;_xlpm.ai_test&amp;" = "&amp;ROUND(_xlpm.q*_xlpm.f,1)&amp;" "&amp;_xlpm.u,ROUND(_xlpm.q,1)&amp;" "&amp;_xlpm.ai_test)),""),""))))</f>
        <v>0</v>
      </c>
      <c r="BD538" s="801"/>
      <c r="BE538" s="799" t="str">
        <f t="shared" si="237"/>
        <v/>
      </c>
      <c r="BF538" s="800" t="str">
        <f t="shared" si="219"/>
        <v/>
      </c>
      <c r="BG538" s="802">
        <f t="shared" si="220"/>
        <v>0</v>
      </c>
      <c r="BH538" s="803" t="str">
        <f t="shared" si="221"/>
        <v/>
      </c>
      <c r="BI538" s="792"/>
      <c r="BJ538" s="804">
        <f t="shared" si="222"/>
        <v>0</v>
      </c>
      <c r="BK538" s="794" t="str">
        <f t="shared" si="238"/>
        <v/>
      </c>
      <c r="BL538" s="227" t="s">
        <v>21</v>
      </c>
      <c r="BM538" s="773">
        <f t="shared" si="228"/>
        <v>0</v>
      </c>
      <c r="BN538" s="774">
        <f t="shared" si="229"/>
        <v>0</v>
      </c>
      <c r="BO538"/>
      <c r="BX538"/>
      <c r="BY538"/>
      <c r="BZ538"/>
      <c r="CA538"/>
      <c r="CB538"/>
      <c r="CC538"/>
      <c r="CD538" s="781" t="str">
        <f t="shared" si="224"/>
        <v>►</v>
      </c>
      <c r="CE538" s="633"/>
      <c r="CF538" s="633"/>
      <c r="CG538" s="633"/>
      <c r="CH538" s="633"/>
      <c r="CI538" s="633"/>
      <c r="CJ538" s="227"/>
      <c r="CK538"/>
      <c r="CL538"/>
      <c r="CM538"/>
      <c r="CN538"/>
      <c r="CO538"/>
      <c r="CP538"/>
      <c r="CQ538"/>
      <c r="CR538" s="227"/>
      <c r="CS538"/>
      <c r="CT538"/>
      <c r="CU538"/>
      <c r="CV538"/>
      <c r="CW538"/>
      <c r="CX538"/>
      <c r="CY538"/>
      <c r="CZ538" s="227"/>
      <c r="DA538"/>
      <c r="DB538"/>
      <c r="DC538"/>
      <c r="DD538"/>
      <c r="DE538"/>
      <c r="DF538"/>
      <c r="DG538"/>
      <c r="DH538" s="227"/>
      <c r="DI538" s="3">
        <v>1</v>
      </c>
    </row>
    <row r="539" spans="2:113" s="627" customFormat="1" ht="21" customHeight="1">
      <c r="B539" s="2265" t="str" cm="1">
        <f t="array" ref="B539">SUMPRODUCT(--(D539:J539&lt;&gt;""), LEN(TRIM(SUBSTITUTE(D539:J539, CHAR(160), "")))) &amp; " Car."</f>
        <v>0 Car.</v>
      </c>
      <c r="C539" s="1376" t="str">
        <f>IF(ISBLANK(D539),"",LARGE(C13:C538,1)+1)</f>
        <v/>
      </c>
      <c r="D539" s="1833"/>
      <c r="E539" s="1810"/>
      <c r="F539" s="1810"/>
      <c r="G539" s="1810"/>
      <c r="H539" s="1810"/>
      <c r="I539" s="1810"/>
      <c r="J539" s="1810"/>
      <c r="K539" s="1810"/>
      <c r="L539" s="1811"/>
      <c r="M539"/>
      <c r="N539" s="103" t="str">
        <f t="shared" si="225"/>
        <v>►</v>
      </c>
      <c r="O539" s="1616"/>
      <c r="P539"/>
      <c r="Q539" s="103" t="s">
        <v>15</v>
      </c>
      <c r="R539" s="31"/>
      <c r="S539" s="32"/>
      <c r="T539" s="31"/>
      <c r="U539" s="33"/>
      <c r="V539" s="1804"/>
      <c r="W539" s="1805"/>
      <c r="X539" s="91"/>
      <c r="Y539" s="1806"/>
      <c r="Z539" s="1807"/>
      <c r="AA539" s="919"/>
      <c r="AB539" s="1813"/>
      <c r="AC539" s="1580"/>
      <c r="AD539" s="95"/>
      <c r="AE539" s="105"/>
      <c r="AF539" s="97"/>
      <c r="AG539" s="2080"/>
      <c r="AH539" s="2081"/>
      <c r="AI539" s="99"/>
      <c r="AJ539" s="1809"/>
      <c r="AK539" s="6120" t="str">
        <f t="shared" si="239"/>
        <v>►</v>
      </c>
      <c r="AL539" s="781" t="str">
        <f t="shared" si="227"/>
        <v>►</v>
      </c>
      <c r="AM539" s="5499" t="str">
        <f t="shared" si="230"/>
        <v/>
      </c>
      <c r="AN539" s="783" t="str">
        <f t="shared" si="231"/>
        <v/>
      </c>
      <c r="AO539" s="782" t="str">
        <f t="shared" si="232"/>
        <v/>
      </c>
      <c r="AP539" s="783" t="str">
        <f t="shared" si="233"/>
        <v/>
      </c>
      <c r="AQ539" s="2083" t="b">
        <f>AND(Q539="A",COUNTIF(BP16:BR63,TRIM(Z539))&gt;0)</f>
        <v>0</v>
      </c>
      <c r="AR539" s="797" t="str">
        <f>IF(AL539&lt;&gt;"A","",IFERROR(IFERROR(_xlfn.XLOOKUP(TRIM(SUBSTITUTE(Z539,CHAR(160)," ")),BP16:BP63,BS16:BS63),IFERROR(_xlfn.XLOOKUP(TRIM(SUBSTITUTE(Z539,CHAR(160)," ")),BQ16:BQ63,BS16:BS63),_xlfn.XLOOKUP(TRIM(SUBSTITUTE(Z539,CHAR(160)," ")),BR16:BR63,BS16:BS63)))*Y539*IF(ISBLANK(V539),1,V539),0))</f>
        <v/>
      </c>
      <c r="AS539" s="784" t="str">
        <f t="shared" si="223"/>
        <v/>
      </c>
      <c r="AT539" s="1315" t="str">
        <f t="shared" si="234"/>
        <v/>
      </c>
      <c r="AU539" s="785">
        <f t="shared" si="235"/>
        <v>0</v>
      </c>
      <c r="AV539" s="785">
        <f t="shared" si="236"/>
        <v>0</v>
      </c>
      <c r="AW539" s="786">
        <f>IF(AK539="A",AY10,0)</f>
        <v>0</v>
      </c>
      <c r="AX539" s="5495" t="str">
        <f>IF(IFERROR(SEARCH("Adresse PC",TRIM(W539)),0)&gt;0,"▼ receta siguiente",IF(AK539="A",IF(AZ10&lt;&gt;"",AZ10&amp;" - ou.or.o ❾ + or - &gt;",""),""))</f>
        <v/>
      </c>
      <c r="AY539" s="810"/>
      <c r="AZ539" s="810"/>
      <c r="BA539" s="788" t="str">
        <f t="shared" si="226"/>
        <v/>
      </c>
      <c r="BB539" s="789" t="str">
        <f>IF(AK539="A",IF(AQ539,IF(AND(AW539&lt;&gt;"",N(AW539)&gt;0),IFERROR(IFERROR(_xlfn.XLOOKUP(AP539,BP10:BP57,BT10:BT57),IFERROR(_xlfn.XLOOKUP(AP539,BQ10:BQ57,BT10:BT57),_xlfn.XLOOKUP(AP539,BR10:BR57,BT10:BT57,""))),""),""),""),"")</f>
        <v/>
      </c>
      <c r="BC539" s="811" cm="1">
        <f t="array" ref="BC539">IF(NOT(AQ539),0,IF(OR(BA539="",N(BA539)&lt;=0.000000001),"",IF(OR(AU539="",N(AU539)&lt;=0.000000001),0,IF(ISNUMBER(BA539),IFERROR(_xlfn.LET(_xlpm.ai_test,TRIM(AP539),_xlpm.r,IFERROR(_xlfn.XLOOKUP(_xlpm.ai_test,BP16:BP63,ROW(BP16:BP63),0,1),IFERROR(_xlfn.XLOOKUP(_xlpm.ai_test,BQ16:BQ63,ROW(BQ16:BQ63),0,1),_xlfn.XLOOKUP(_xlpm.ai_test,BR16:BR63,ROW(BR16:BR63),0,1))),_xlpm.p,_xlpm.r-MIN(ROW(BP16:BP63))+1,_xlpm.f,INDEX(BS16:BS63,_xlpm.p),_xlpm.u,INDEX(BT16:BT63,_xlpm.p),_xlpm.s,INDEX(BV16:BV63,_xlpm.p),_xlpm.q,N(BA539)/_xlpm.f,IF(_xlpm.q&gt;=_xlpm.s,ROUND(_xlpm.q,1)&amp;" "&amp;_xlpm.ai_test&amp;" = "&amp;ROUND(_xlpm.q*_xlpm.f,1)&amp;" "&amp;_xlpm.u,ROUND(_xlpm.q,1)&amp;" "&amp;_xlpm.ai_test)),""),""))))</f>
        <v>0</v>
      </c>
      <c r="BD539" s="801"/>
      <c r="BE539" s="788" t="str">
        <f t="shared" si="237"/>
        <v/>
      </c>
      <c r="BF539" s="789" t="str">
        <f t="shared" si="219"/>
        <v/>
      </c>
      <c r="BG539" s="790">
        <f t="shared" si="220"/>
        <v>0</v>
      </c>
      <c r="BH539" s="791" t="str">
        <f t="shared" si="221"/>
        <v/>
      </c>
      <c r="BI539" s="792"/>
      <c r="BJ539" s="793">
        <f t="shared" si="222"/>
        <v>0</v>
      </c>
      <c r="BK539" s="794" t="str">
        <f t="shared" si="238"/>
        <v/>
      </c>
      <c r="BL539" s="227" t="s">
        <v>21</v>
      </c>
      <c r="BM539" s="773">
        <f t="shared" si="228"/>
        <v>0</v>
      </c>
      <c r="BN539" s="774">
        <f t="shared" si="229"/>
        <v>0</v>
      </c>
      <c r="BO539"/>
      <c r="BX539"/>
      <c r="BY539"/>
      <c r="BZ539"/>
      <c r="CA539"/>
      <c r="CB539"/>
      <c r="CC539"/>
      <c r="CD539" s="781" t="str">
        <f t="shared" si="224"/>
        <v>►</v>
      </c>
      <c r="CE539" s="633"/>
      <c r="CF539" s="633"/>
      <c r="CG539" s="633"/>
      <c r="CH539" s="633"/>
      <c r="CI539" s="633"/>
      <c r="CJ539" s="227"/>
      <c r="CK539"/>
      <c r="CL539"/>
      <c r="CM539"/>
      <c r="CN539"/>
      <c r="CO539"/>
      <c r="CP539"/>
      <c r="CQ539"/>
      <c r="CR539" s="227"/>
      <c r="CS539"/>
      <c r="CT539"/>
      <c r="CU539"/>
      <c r="CV539"/>
      <c r="CW539"/>
      <c r="CX539"/>
      <c r="CY539"/>
      <c r="CZ539" s="227"/>
      <c r="DA539"/>
      <c r="DB539"/>
      <c r="DC539"/>
      <c r="DD539"/>
      <c r="DE539"/>
      <c r="DF539"/>
      <c r="DG539"/>
      <c r="DH539" s="227"/>
      <c r="DI539" s="3">
        <v>1</v>
      </c>
    </row>
    <row r="540" spans="2:113" s="627" customFormat="1" ht="21" customHeight="1">
      <c r="B540" s="2265" t="str" cm="1">
        <f t="array" ref="B540">SUMPRODUCT(--(D540:J540&lt;&gt;""), LEN(TRIM(SUBSTITUTE(D540:J540, CHAR(160), "")))) &amp; " Car."</f>
        <v>0 Car.</v>
      </c>
      <c r="C540" s="1376" t="str">
        <f>IF(ISBLANK(D540),"",LARGE(C13:C539,1)+1)</f>
        <v/>
      </c>
      <c r="D540" s="1833"/>
      <c r="E540" s="1810"/>
      <c r="F540" s="1810"/>
      <c r="G540" s="1810"/>
      <c r="H540" s="1810"/>
      <c r="I540" s="1810"/>
      <c r="J540" s="1810"/>
      <c r="K540" s="1810"/>
      <c r="L540" s="1811"/>
      <c r="M540"/>
      <c r="N540" s="103" t="str">
        <f t="shared" si="225"/>
        <v>►</v>
      </c>
      <c r="O540" s="1616"/>
      <c r="P540"/>
      <c r="Q540" s="103" t="s">
        <v>15</v>
      </c>
      <c r="R540" s="31"/>
      <c r="S540" s="32"/>
      <c r="T540" s="31"/>
      <c r="U540" s="33"/>
      <c r="V540" s="1804"/>
      <c r="W540" s="1805"/>
      <c r="X540" s="91"/>
      <c r="Y540" s="1806"/>
      <c r="Z540" s="1807"/>
      <c r="AA540" s="919"/>
      <c r="AB540" s="1813"/>
      <c r="AC540" s="1580"/>
      <c r="AD540" s="95"/>
      <c r="AE540" s="105"/>
      <c r="AF540" s="97"/>
      <c r="AG540" s="2080"/>
      <c r="AH540" s="2081"/>
      <c r="AI540" s="99"/>
      <c r="AJ540" s="1809"/>
      <c r="AK540" s="6120" t="str">
        <f t="shared" si="239"/>
        <v>►</v>
      </c>
      <c r="AL540" s="781" t="str">
        <f t="shared" si="227"/>
        <v>►</v>
      </c>
      <c r="AM540" s="5498" t="str">
        <f t="shared" si="230"/>
        <v/>
      </c>
      <c r="AN540" s="783" t="str">
        <f t="shared" si="231"/>
        <v/>
      </c>
      <c r="AO540" s="782" t="str">
        <f t="shared" si="232"/>
        <v/>
      </c>
      <c r="AP540" s="783" t="str">
        <f t="shared" si="233"/>
        <v/>
      </c>
      <c r="AQ540" s="2083" t="b">
        <f>AND(Q540="A",COUNTIF(BP16:BR63,TRIM(Z540))&gt;0)</f>
        <v>0</v>
      </c>
      <c r="AR540" s="797" t="str">
        <f>IF(AL540&lt;&gt;"A","",IFERROR(IFERROR(_xlfn.XLOOKUP(TRIM(SUBSTITUTE(Z540,CHAR(160)," ")),BP16:BP63,BS16:BS63),IFERROR(_xlfn.XLOOKUP(TRIM(SUBSTITUTE(Z540,CHAR(160)," ")),BQ16:BQ63,BS16:BS63),_xlfn.XLOOKUP(TRIM(SUBSTITUTE(Z540,CHAR(160)," ")),BR16:BR63,BS16:BS63)))*Y540*IF(ISBLANK(V540),1,V540),0))</f>
        <v/>
      </c>
      <c r="AS540" s="784" t="str">
        <f t="shared" si="223"/>
        <v/>
      </c>
      <c r="AT540" s="1315" t="str">
        <f t="shared" si="234"/>
        <v/>
      </c>
      <c r="AU540" s="785">
        <f t="shared" si="235"/>
        <v>0</v>
      </c>
      <c r="AV540" s="785">
        <f t="shared" si="236"/>
        <v>0</v>
      </c>
      <c r="AW540" s="798">
        <f>IF(AK540="A",AY10,0)</f>
        <v>0</v>
      </c>
      <c r="AX540" s="5496" t="str">
        <f>IF(IFERROR(SEARCH("Adresse PC",TRIM(W540)),0)&gt;0,"▼ receta siguiente",IF(AK540="A",IF(AZ10&lt;&gt;"",AZ10&amp;" - ou.or.o ❾ + or - &gt;",""),""))</f>
        <v/>
      </c>
      <c r="AY540" s="810"/>
      <c r="AZ540" s="810"/>
      <c r="BA540" s="799" t="str">
        <f t="shared" si="226"/>
        <v/>
      </c>
      <c r="BB540" s="800" t="str">
        <f>IF(AK540="A",IF(AQ540,IF(AND(AW540&lt;&gt;"",N(AW540)&gt;0),IFERROR(IFERROR(_xlfn.XLOOKUP(AP540,BP10:BP57,BT10:BT57),IFERROR(_xlfn.XLOOKUP(AP540,BQ10:BQ57,BT10:BT57),_xlfn.XLOOKUP(AP540,BR10:BR57,BT10:BT57,""))),""),""),""),"")</f>
        <v/>
      </c>
      <c r="BC540" s="813" cm="1">
        <f t="array" ref="BC540">IF(NOT(AQ540),0,IF(OR(BA540="",N(BA540)&lt;=0.000000001),"",IF(OR(AU540="",N(AU540)&lt;=0.000000001),0,IF(ISNUMBER(BA540),IFERROR(_xlfn.LET(_xlpm.ai_test,TRIM(AP540),_xlpm.r,IFERROR(_xlfn.XLOOKUP(_xlpm.ai_test,BP16:BP63,ROW(BP16:BP63),0,1),IFERROR(_xlfn.XLOOKUP(_xlpm.ai_test,BQ16:BQ63,ROW(BQ16:BQ63),0,1),_xlfn.XLOOKUP(_xlpm.ai_test,BR16:BR63,ROW(BR16:BR63),0,1))),_xlpm.p,_xlpm.r-MIN(ROW(BP16:BP63))+1,_xlpm.f,INDEX(BS16:BS63,_xlpm.p),_xlpm.u,INDEX(BT16:BT63,_xlpm.p),_xlpm.s,INDEX(BV16:BV63,_xlpm.p),_xlpm.q,N(BA540)/_xlpm.f,IF(_xlpm.q&gt;=_xlpm.s,ROUND(_xlpm.q,1)&amp;" "&amp;_xlpm.ai_test&amp;" = "&amp;ROUND(_xlpm.q*_xlpm.f,1)&amp;" "&amp;_xlpm.u,ROUND(_xlpm.q,1)&amp;" "&amp;_xlpm.ai_test)),""),""))))</f>
        <v>0</v>
      </c>
      <c r="BD540" s="801"/>
      <c r="BE540" s="799" t="str">
        <f t="shared" si="237"/>
        <v/>
      </c>
      <c r="BF540" s="800" t="str">
        <f t="shared" si="219"/>
        <v/>
      </c>
      <c r="BG540" s="802">
        <f t="shared" si="220"/>
        <v>0</v>
      </c>
      <c r="BH540" s="803" t="str">
        <f t="shared" si="221"/>
        <v/>
      </c>
      <c r="BI540" s="792"/>
      <c r="BJ540" s="804">
        <f t="shared" si="222"/>
        <v>0</v>
      </c>
      <c r="BK540" s="794" t="str">
        <f t="shared" si="238"/>
        <v/>
      </c>
      <c r="BL540" s="227" t="s">
        <v>21</v>
      </c>
      <c r="BM540" s="773">
        <f t="shared" si="228"/>
        <v>0</v>
      </c>
      <c r="BN540" s="774">
        <f t="shared" si="229"/>
        <v>0</v>
      </c>
      <c r="BO540"/>
      <c r="BX540"/>
      <c r="BY540"/>
      <c r="BZ540"/>
      <c r="CA540"/>
      <c r="CB540"/>
      <c r="CC540"/>
      <c r="CD540" s="781" t="str">
        <f t="shared" si="224"/>
        <v>►</v>
      </c>
      <c r="CE540" s="633"/>
      <c r="CF540" s="633"/>
      <c r="CG540" s="633"/>
      <c r="CH540" s="633"/>
      <c r="CI540" s="633"/>
      <c r="CJ540" s="227"/>
      <c r="CK540"/>
      <c r="CL540"/>
      <c r="CM540"/>
      <c r="CN540"/>
      <c r="CO540"/>
      <c r="CP540"/>
      <c r="CQ540"/>
      <c r="CR540" s="227"/>
      <c r="CS540"/>
      <c r="CT540"/>
      <c r="CU540"/>
      <c r="CV540"/>
      <c r="CW540"/>
      <c r="CX540"/>
      <c r="CY540"/>
      <c r="CZ540" s="227"/>
      <c r="DA540"/>
      <c r="DB540"/>
      <c r="DC540"/>
      <c r="DD540"/>
      <c r="DE540"/>
      <c r="DF540"/>
      <c r="DG540"/>
      <c r="DH540" s="227"/>
      <c r="DI540" s="3">
        <v>1</v>
      </c>
    </row>
    <row r="541" spans="2:113" s="627" customFormat="1" ht="21" customHeight="1">
      <c r="B541" s="2265" t="str" cm="1">
        <f t="array" ref="B541">SUMPRODUCT(--(D541:J541&lt;&gt;""), LEN(TRIM(SUBSTITUTE(D541:J541, CHAR(160), "")))) &amp; " Car."</f>
        <v>0 Car.</v>
      </c>
      <c r="C541" s="1376" t="str">
        <f>IF(ISBLANK(D541),"",LARGE(C13:C540,1)+1)</f>
        <v/>
      </c>
      <c r="D541" s="1833"/>
      <c r="E541" s="1810"/>
      <c r="F541" s="1810"/>
      <c r="G541" s="1810"/>
      <c r="H541" s="1810"/>
      <c r="I541" s="1810"/>
      <c r="J541" s="1810"/>
      <c r="K541" s="1810"/>
      <c r="L541" s="1811"/>
      <c r="M541"/>
      <c r="N541" s="103" t="str">
        <f t="shared" si="225"/>
        <v>►</v>
      </c>
      <c r="O541" s="1616"/>
      <c r="P541"/>
      <c r="Q541" s="103" t="s">
        <v>15</v>
      </c>
      <c r="R541" s="31"/>
      <c r="S541" s="32"/>
      <c r="T541" s="31"/>
      <c r="U541" s="33"/>
      <c r="V541" s="1804"/>
      <c r="W541" s="1805"/>
      <c r="X541" s="91"/>
      <c r="Y541" s="1806"/>
      <c r="Z541" s="1807"/>
      <c r="AA541" s="919"/>
      <c r="AB541" s="1813"/>
      <c r="AC541" s="1580"/>
      <c r="AD541" s="95"/>
      <c r="AE541" s="105"/>
      <c r="AF541" s="97"/>
      <c r="AG541" s="2080"/>
      <c r="AH541" s="2081"/>
      <c r="AI541" s="99"/>
      <c r="AJ541" s="1809"/>
      <c r="AK541" s="6120" t="str">
        <f t="shared" si="239"/>
        <v>►</v>
      </c>
      <c r="AL541" s="781" t="str">
        <f t="shared" si="227"/>
        <v>►</v>
      </c>
      <c r="AM541" s="5499" t="str">
        <f t="shared" si="230"/>
        <v/>
      </c>
      <c r="AN541" s="783" t="str">
        <f t="shared" si="231"/>
        <v/>
      </c>
      <c r="AO541" s="782" t="str">
        <f t="shared" si="232"/>
        <v/>
      </c>
      <c r="AP541" s="783" t="str">
        <f t="shared" si="233"/>
        <v/>
      </c>
      <c r="AQ541" s="2083" t="b">
        <f>AND(Q541="A",COUNTIF(BP16:BR63,TRIM(Z541))&gt;0)</f>
        <v>0</v>
      </c>
      <c r="AR541" s="797" t="str">
        <f>IF(AL541&lt;&gt;"A","",IFERROR(IFERROR(_xlfn.XLOOKUP(TRIM(SUBSTITUTE(Z541,CHAR(160)," ")),BP16:BP63,BS16:BS63),IFERROR(_xlfn.XLOOKUP(TRIM(SUBSTITUTE(Z541,CHAR(160)," ")),BQ16:BQ63,BS16:BS63),_xlfn.XLOOKUP(TRIM(SUBSTITUTE(Z541,CHAR(160)," ")),BR16:BR63,BS16:BS63)))*Y541*IF(ISBLANK(V541),1,V541),0))</f>
        <v/>
      </c>
      <c r="AS541" s="784" t="str">
        <f t="shared" si="223"/>
        <v/>
      </c>
      <c r="AT541" s="1315" t="str">
        <f t="shared" si="234"/>
        <v/>
      </c>
      <c r="AU541" s="785">
        <f t="shared" si="235"/>
        <v>0</v>
      </c>
      <c r="AV541" s="785">
        <f t="shared" si="236"/>
        <v>0</v>
      </c>
      <c r="AW541" s="786">
        <f>IF(AK541="A",AY10,0)</f>
        <v>0</v>
      </c>
      <c r="AX541" s="5495" t="str">
        <f>IF(IFERROR(SEARCH("Adresse PC",TRIM(W541)),0)&gt;0,"▼ receta siguiente",IF(AK541="A",IF(AZ10&lt;&gt;"",AZ10&amp;" - ou.or.o ❾ + or - &gt;",""),""))</f>
        <v/>
      </c>
      <c r="AY541" s="810"/>
      <c r="AZ541" s="810"/>
      <c r="BA541" s="788" t="str">
        <f t="shared" si="226"/>
        <v/>
      </c>
      <c r="BB541" s="789" t="str">
        <f>IF(AK541="A",IF(AQ541,IF(AND(AW541&lt;&gt;"",N(AW541)&gt;0),IFERROR(IFERROR(_xlfn.XLOOKUP(AP541,BP10:BP57,BT10:BT57),IFERROR(_xlfn.XLOOKUP(AP541,BQ10:BQ57,BT10:BT57),_xlfn.XLOOKUP(AP541,BR10:BR57,BT10:BT57,""))),""),""),""),"")</f>
        <v/>
      </c>
      <c r="BC541" s="811" cm="1">
        <f t="array" ref="BC541">IF(NOT(AQ541),0,IF(OR(BA541="",N(BA541)&lt;=0.000000001),"",IF(OR(AU541="",N(AU541)&lt;=0.000000001),0,IF(ISNUMBER(BA541),IFERROR(_xlfn.LET(_xlpm.ai_test,TRIM(AP541),_xlpm.r,IFERROR(_xlfn.XLOOKUP(_xlpm.ai_test,BP16:BP63,ROW(BP16:BP63),0,1),IFERROR(_xlfn.XLOOKUP(_xlpm.ai_test,BQ16:BQ63,ROW(BQ16:BQ63),0,1),_xlfn.XLOOKUP(_xlpm.ai_test,BR16:BR63,ROW(BR16:BR63),0,1))),_xlpm.p,_xlpm.r-MIN(ROW(BP16:BP63))+1,_xlpm.f,INDEX(BS16:BS63,_xlpm.p),_xlpm.u,INDEX(BT16:BT63,_xlpm.p),_xlpm.s,INDEX(BV16:BV63,_xlpm.p),_xlpm.q,N(BA541)/_xlpm.f,IF(_xlpm.q&gt;=_xlpm.s,ROUND(_xlpm.q,1)&amp;" "&amp;_xlpm.ai_test&amp;" = "&amp;ROUND(_xlpm.q*_xlpm.f,1)&amp;" "&amp;_xlpm.u,ROUND(_xlpm.q,1)&amp;" "&amp;_xlpm.ai_test)),""),""))))</f>
        <v>0</v>
      </c>
      <c r="BD541" s="801"/>
      <c r="BE541" s="788" t="str">
        <f t="shared" si="237"/>
        <v/>
      </c>
      <c r="BF541" s="789" t="str">
        <f t="shared" si="219"/>
        <v/>
      </c>
      <c r="BG541" s="790">
        <f t="shared" si="220"/>
        <v>0</v>
      </c>
      <c r="BH541" s="791" t="str">
        <f t="shared" si="221"/>
        <v/>
      </c>
      <c r="BI541" s="792"/>
      <c r="BJ541" s="793">
        <f t="shared" si="222"/>
        <v>0</v>
      </c>
      <c r="BK541" s="794" t="str">
        <f t="shared" si="238"/>
        <v/>
      </c>
      <c r="BL541" s="227" t="s">
        <v>21</v>
      </c>
      <c r="BM541" s="773">
        <f t="shared" si="228"/>
        <v>0</v>
      </c>
      <c r="BN541" s="774">
        <f t="shared" si="229"/>
        <v>0</v>
      </c>
      <c r="BO541"/>
      <c r="BX541"/>
      <c r="BY541"/>
      <c r="BZ541"/>
      <c r="CA541"/>
      <c r="CB541"/>
      <c r="CC541"/>
      <c r="CD541" s="781" t="str">
        <f t="shared" si="224"/>
        <v>►</v>
      </c>
      <c r="CE541" s="633"/>
      <c r="CF541" s="633"/>
      <c r="CG541" s="633"/>
      <c r="CH541" s="633"/>
      <c r="CI541" s="633"/>
      <c r="CJ541" s="227"/>
      <c r="CK541"/>
      <c r="CL541"/>
      <c r="CM541"/>
      <c r="CN541"/>
      <c r="CO541"/>
      <c r="CP541"/>
      <c r="CQ541"/>
      <c r="CR541" s="227"/>
      <c r="CS541"/>
      <c r="CT541"/>
      <c r="CU541"/>
      <c r="CV541"/>
      <c r="CW541"/>
      <c r="CX541"/>
      <c r="CY541"/>
      <c r="CZ541" s="227"/>
      <c r="DA541"/>
      <c r="DB541"/>
      <c r="DC541"/>
      <c r="DD541"/>
      <c r="DE541"/>
      <c r="DF541"/>
      <c r="DG541"/>
      <c r="DH541" s="227"/>
      <c r="DI541" s="3">
        <v>1</v>
      </c>
    </row>
    <row r="542" spans="2:113" s="627" customFormat="1" ht="21" customHeight="1">
      <c r="B542" s="2265" t="str" cm="1">
        <f t="array" ref="B542">SUMPRODUCT(--(D542:J542&lt;&gt;""), LEN(TRIM(SUBSTITUTE(D542:J542, CHAR(160), "")))) &amp; " Car."</f>
        <v>0 Car.</v>
      </c>
      <c r="C542" s="1376" t="str">
        <f>IF(ISBLANK(D542),"",LARGE(C13:C541,1)+1)</f>
        <v/>
      </c>
      <c r="D542" s="1833"/>
      <c r="E542" s="1810"/>
      <c r="F542" s="1810"/>
      <c r="G542" s="1810"/>
      <c r="H542" s="1810"/>
      <c r="I542" s="1810"/>
      <c r="J542" s="1810"/>
      <c r="K542" s="1810"/>
      <c r="L542" s="1811"/>
      <c r="M542"/>
      <c r="N542" s="103" t="str">
        <f t="shared" si="225"/>
        <v>►</v>
      </c>
      <c r="O542" s="1616"/>
      <c r="P542"/>
      <c r="Q542" s="103" t="s">
        <v>15</v>
      </c>
      <c r="R542" s="31"/>
      <c r="S542" s="32"/>
      <c r="T542" s="31"/>
      <c r="U542" s="33"/>
      <c r="V542" s="1804"/>
      <c r="W542" s="1805"/>
      <c r="X542" s="91"/>
      <c r="Y542" s="1806"/>
      <c r="Z542" s="1807"/>
      <c r="AA542" s="919"/>
      <c r="AB542" s="1813"/>
      <c r="AC542" s="1580"/>
      <c r="AD542" s="95"/>
      <c r="AE542" s="105"/>
      <c r="AF542" s="97"/>
      <c r="AG542" s="2080"/>
      <c r="AH542" s="2081"/>
      <c r="AI542" s="99"/>
      <c r="AJ542" s="1809"/>
      <c r="AK542" s="6120" t="str">
        <f t="shared" si="239"/>
        <v>►</v>
      </c>
      <c r="AL542" s="781" t="str">
        <f t="shared" si="227"/>
        <v>►</v>
      </c>
      <c r="AM542" s="5498" t="str">
        <f t="shared" si="230"/>
        <v/>
      </c>
      <c r="AN542" s="783" t="str">
        <f t="shared" si="231"/>
        <v/>
      </c>
      <c r="AO542" s="782" t="str">
        <f t="shared" si="232"/>
        <v/>
      </c>
      <c r="AP542" s="783" t="str">
        <f t="shared" si="233"/>
        <v/>
      </c>
      <c r="AQ542" s="2083" t="b">
        <f>AND(Q542="A",COUNTIF(BP16:BR63,TRIM(Z542))&gt;0)</f>
        <v>0</v>
      </c>
      <c r="AR542" s="797" t="str">
        <f>IF(AL542&lt;&gt;"A","",IFERROR(IFERROR(_xlfn.XLOOKUP(TRIM(SUBSTITUTE(Z542,CHAR(160)," ")),BP16:BP63,BS16:BS63),IFERROR(_xlfn.XLOOKUP(TRIM(SUBSTITUTE(Z542,CHAR(160)," ")),BQ16:BQ63,BS16:BS63),_xlfn.XLOOKUP(TRIM(SUBSTITUTE(Z542,CHAR(160)," ")),BR16:BR63,BS16:BS63)))*Y542*IF(ISBLANK(V542),1,V542),0))</f>
        <v/>
      </c>
      <c r="AS542" s="784" t="str">
        <f t="shared" si="223"/>
        <v/>
      </c>
      <c r="AT542" s="1315" t="str">
        <f t="shared" si="234"/>
        <v/>
      </c>
      <c r="AU542" s="785">
        <f t="shared" si="235"/>
        <v>0</v>
      </c>
      <c r="AV542" s="785">
        <f t="shared" si="236"/>
        <v>0</v>
      </c>
      <c r="AW542" s="798">
        <f>IF(AK542="A",AY10,0)</f>
        <v>0</v>
      </c>
      <c r="AX542" s="5496" t="str">
        <f>IF(IFERROR(SEARCH("Adresse PC",TRIM(W542)),0)&gt;0,"▼ receta siguiente",IF(AK542="A",IF(AZ10&lt;&gt;"",AZ10&amp;" - ou.or.o ❾ + or - &gt;",""),""))</f>
        <v/>
      </c>
      <c r="AY542" s="810"/>
      <c r="AZ542" s="810"/>
      <c r="BA542" s="799" t="str">
        <f t="shared" si="226"/>
        <v/>
      </c>
      <c r="BB542" s="800" t="str">
        <f>IF(AK542="A",IF(AQ542,IF(AND(AW542&lt;&gt;"",N(AW542)&gt;0),IFERROR(IFERROR(_xlfn.XLOOKUP(AP542,BP10:BP57,BT10:BT57),IFERROR(_xlfn.XLOOKUP(AP542,BQ10:BQ57,BT10:BT57),_xlfn.XLOOKUP(AP542,BR10:BR57,BT10:BT57,""))),""),""),""),"")</f>
        <v/>
      </c>
      <c r="BC542" s="813" cm="1">
        <f t="array" ref="BC542">IF(NOT(AQ542),0,IF(OR(BA542="",N(BA542)&lt;=0.000000001),"",IF(OR(AU542="",N(AU542)&lt;=0.000000001),0,IF(ISNUMBER(BA542),IFERROR(_xlfn.LET(_xlpm.ai_test,TRIM(AP542),_xlpm.r,IFERROR(_xlfn.XLOOKUP(_xlpm.ai_test,BP16:BP63,ROW(BP16:BP63),0,1),IFERROR(_xlfn.XLOOKUP(_xlpm.ai_test,BQ16:BQ63,ROW(BQ16:BQ63),0,1),_xlfn.XLOOKUP(_xlpm.ai_test,BR16:BR63,ROW(BR16:BR63),0,1))),_xlpm.p,_xlpm.r-MIN(ROW(BP16:BP63))+1,_xlpm.f,INDEX(BS16:BS63,_xlpm.p),_xlpm.u,INDEX(BT16:BT63,_xlpm.p),_xlpm.s,INDEX(BV16:BV63,_xlpm.p),_xlpm.q,N(BA542)/_xlpm.f,IF(_xlpm.q&gt;=_xlpm.s,ROUND(_xlpm.q,1)&amp;" "&amp;_xlpm.ai_test&amp;" = "&amp;ROUND(_xlpm.q*_xlpm.f,1)&amp;" "&amp;_xlpm.u,ROUND(_xlpm.q,1)&amp;" "&amp;_xlpm.ai_test)),""),""))))</f>
        <v>0</v>
      </c>
      <c r="BD542" s="801"/>
      <c r="BE542" s="799" t="str">
        <f t="shared" si="237"/>
        <v/>
      </c>
      <c r="BF542" s="800" t="str">
        <f t="shared" si="219"/>
        <v/>
      </c>
      <c r="BG542" s="802">
        <f t="shared" si="220"/>
        <v>0</v>
      </c>
      <c r="BH542" s="803" t="str">
        <f t="shared" si="221"/>
        <v/>
      </c>
      <c r="BI542" s="792"/>
      <c r="BJ542" s="804">
        <f t="shared" si="222"/>
        <v>0</v>
      </c>
      <c r="BK542" s="794" t="str">
        <f t="shared" si="238"/>
        <v/>
      </c>
      <c r="BL542" s="227" t="s">
        <v>21</v>
      </c>
      <c r="BM542" s="773">
        <f t="shared" si="228"/>
        <v>0</v>
      </c>
      <c r="BN542" s="774">
        <f t="shared" si="229"/>
        <v>0</v>
      </c>
      <c r="BO542"/>
      <c r="BX542"/>
      <c r="BY542"/>
      <c r="BZ542"/>
      <c r="CA542"/>
      <c r="CB542"/>
      <c r="CC542"/>
      <c r="CD542" s="781" t="str">
        <f t="shared" si="224"/>
        <v>►</v>
      </c>
      <c r="CE542" s="633"/>
      <c r="CF542" s="633"/>
      <c r="CG542" s="633"/>
      <c r="CH542" s="633"/>
      <c r="CI542" s="633"/>
      <c r="CJ542" s="227"/>
      <c r="CK542"/>
      <c r="CL542"/>
      <c r="CM542"/>
      <c r="CN542"/>
      <c r="CO542"/>
      <c r="CP542"/>
      <c r="CQ542"/>
      <c r="CR542" s="227"/>
      <c r="CS542"/>
      <c r="CT542"/>
      <c r="CU542"/>
      <c r="CV542"/>
      <c r="CW542"/>
      <c r="CX542"/>
      <c r="CY542"/>
      <c r="CZ542" s="227"/>
      <c r="DA542"/>
      <c r="DB542"/>
      <c r="DC542"/>
      <c r="DD542"/>
      <c r="DE542"/>
      <c r="DF542"/>
      <c r="DG542"/>
      <c r="DH542" s="227"/>
      <c r="DI542" s="3">
        <v>1</v>
      </c>
    </row>
    <row r="543" spans="2:113" s="627" customFormat="1" ht="21" customHeight="1">
      <c r="B543" s="2265" t="str" cm="1">
        <f t="array" ref="B543">SUMPRODUCT(--(D543:J543&lt;&gt;""), LEN(TRIM(SUBSTITUTE(D543:J543, CHAR(160), "")))) &amp; " Car."</f>
        <v>0 Car.</v>
      </c>
      <c r="C543" s="1376" t="str">
        <f>IF(ISBLANK(D543),"",LARGE(C13:C542,1)+1)</f>
        <v/>
      </c>
      <c r="D543" s="1833"/>
      <c r="E543" s="1810"/>
      <c r="F543" s="1810"/>
      <c r="G543" s="1810"/>
      <c r="H543" s="1810"/>
      <c r="I543" s="1810"/>
      <c r="J543" s="1810"/>
      <c r="K543" s="1810"/>
      <c r="L543" s="1811"/>
      <c r="M543"/>
      <c r="N543" s="103" t="str">
        <f t="shared" si="225"/>
        <v>►</v>
      </c>
      <c r="O543" s="1616"/>
      <c r="P543"/>
      <c r="Q543" s="103" t="s">
        <v>15</v>
      </c>
      <c r="R543" s="31"/>
      <c r="S543" s="32"/>
      <c r="T543" s="31"/>
      <c r="U543" s="33"/>
      <c r="V543" s="1804"/>
      <c r="W543" s="1805"/>
      <c r="X543" s="91"/>
      <c r="Y543" s="1806"/>
      <c r="Z543" s="1807"/>
      <c r="AA543" s="919"/>
      <c r="AB543" s="1813"/>
      <c r="AC543" s="1580"/>
      <c r="AD543" s="95"/>
      <c r="AE543" s="105"/>
      <c r="AF543" s="97"/>
      <c r="AG543" s="2080"/>
      <c r="AH543" s="2081"/>
      <c r="AI543" s="99"/>
      <c r="AJ543" s="1809"/>
      <c r="AK543" s="6120" t="str">
        <f t="shared" si="239"/>
        <v>►</v>
      </c>
      <c r="AL543" s="781" t="str">
        <f t="shared" si="227"/>
        <v>►</v>
      </c>
      <c r="AM543" s="5499" t="str">
        <f t="shared" si="230"/>
        <v/>
      </c>
      <c r="AN543" s="783" t="str">
        <f t="shared" si="231"/>
        <v/>
      </c>
      <c r="AO543" s="782" t="str">
        <f t="shared" si="232"/>
        <v/>
      </c>
      <c r="AP543" s="783" t="str">
        <f t="shared" si="233"/>
        <v/>
      </c>
      <c r="AQ543" s="2083" t="b">
        <f>AND(Q543="A",COUNTIF(BP16:BR63,TRIM(Z543))&gt;0)</f>
        <v>0</v>
      </c>
      <c r="AR543" s="797" t="str">
        <f>IF(AL543&lt;&gt;"A","",IFERROR(IFERROR(_xlfn.XLOOKUP(TRIM(SUBSTITUTE(Z543,CHAR(160)," ")),BP16:BP63,BS16:BS63),IFERROR(_xlfn.XLOOKUP(TRIM(SUBSTITUTE(Z543,CHAR(160)," ")),BQ16:BQ63,BS16:BS63),_xlfn.XLOOKUP(TRIM(SUBSTITUTE(Z543,CHAR(160)," ")),BR16:BR63,BS16:BS63)))*Y543*IF(ISBLANK(V543),1,V543),0))</f>
        <v/>
      </c>
      <c r="AS543" s="784" t="str">
        <f t="shared" si="223"/>
        <v/>
      </c>
      <c r="AT543" s="1315" t="str">
        <f t="shared" si="234"/>
        <v/>
      </c>
      <c r="AU543" s="785">
        <f t="shared" si="235"/>
        <v>0</v>
      </c>
      <c r="AV543" s="785">
        <f t="shared" si="236"/>
        <v>0</v>
      </c>
      <c r="AW543" s="786">
        <f>IF(AK543="A",AY10,0)</f>
        <v>0</v>
      </c>
      <c r="AX543" s="5495" t="str">
        <f>IF(IFERROR(SEARCH("Adresse PC",TRIM(W543)),0)&gt;0,"▼ receta siguiente",IF(AK543="A",IF(AZ10&lt;&gt;"",AZ10&amp;" - ou.or.o ❾ + or - &gt;",""),""))</f>
        <v/>
      </c>
      <c r="AY543" s="810"/>
      <c r="AZ543" s="810"/>
      <c r="BA543" s="788" t="str">
        <f t="shared" si="226"/>
        <v/>
      </c>
      <c r="BB543" s="789" t="str">
        <f>IF(AK543="A",IF(AQ543,IF(AND(AW543&lt;&gt;"",N(AW543)&gt;0),IFERROR(IFERROR(_xlfn.XLOOKUP(AP543,BP10:BP57,BT10:BT57),IFERROR(_xlfn.XLOOKUP(AP543,BQ10:BQ57,BT10:BT57),_xlfn.XLOOKUP(AP543,BR10:BR57,BT10:BT57,""))),""),""),""),"")</f>
        <v/>
      </c>
      <c r="BC543" s="811" cm="1">
        <f t="array" ref="BC543">IF(NOT(AQ543),0,IF(OR(BA543="",N(BA543)&lt;=0.000000001),"",IF(OR(AU543="",N(AU543)&lt;=0.000000001),0,IF(ISNUMBER(BA543),IFERROR(_xlfn.LET(_xlpm.ai_test,TRIM(AP543),_xlpm.r,IFERROR(_xlfn.XLOOKUP(_xlpm.ai_test,BP16:BP63,ROW(BP16:BP63),0,1),IFERROR(_xlfn.XLOOKUP(_xlpm.ai_test,BQ16:BQ63,ROW(BQ16:BQ63),0,1),_xlfn.XLOOKUP(_xlpm.ai_test,BR16:BR63,ROW(BR16:BR63),0,1))),_xlpm.p,_xlpm.r-MIN(ROW(BP16:BP63))+1,_xlpm.f,INDEX(BS16:BS63,_xlpm.p),_xlpm.u,INDEX(BT16:BT63,_xlpm.p),_xlpm.s,INDEX(BV16:BV63,_xlpm.p),_xlpm.q,N(BA543)/_xlpm.f,IF(_xlpm.q&gt;=_xlpm.s,ROUND(_xlpm.q,1)&amp;" "&amp;_xlpm.ai_test&amp;" = "&amp;ROUND(_xlpm.q*_xlpm.f,1)&amp;" "&amp;_xlpm.u,ROUND(_xlpm.q,1)&amp;" "&amp;_xlpm.ai_test)),""),""))))</f>
        <v>0</v>
      </c>
      <c r="BD543" s="801"/>
      <c r="BE543" s="788" t="str">
        <f t="shared" si="237"/>
        <v/>
      </c>
      <c r="BF543" s="789" t="str">
        <f t="shared" si="219"/>
        <v/>
      </c>
      <c r="BG543" s="790">
        <f t="shared" si="220"/>
        <v>0</v>
      </c>
      <c r="BH543" s="791" t="str">
        <f t="shared" si="221"/>
        <v/>
      </c>
      <c r="BI543" s="792"/>
      <c r="BJ543" s="793">
        <f t="shared" si="222"/>
        <v>0</v>
      </c>
      <c r="BK543" s="794" t="str">
        <f t="shared" si="238"/>
        <v/>
      </c>
      <c r="BL543" s="227" t="s">
        <v>21</v>
      </c>
      <c r="BM543" s="773">
        <f t="shared" si="228"/>
        <v>0</v>
      </c>
      <c r="BN543" s="774">
        <f t="shared" si="229"/>
        <v>0</v>
      </c>
      <c r="BO543"/>
      <c r="BX543"/>
      <c r="BY543"/>
      <c r="BZ543"/>
      <c r="CA543"/>
      <c r="CB543"/>
      <c r="CC543"/>
      <c r="CD543" s="781" t="str">
        <f t="shared" si="224"/>
        <v>►</v>
      </c>
      <c r="CE543" s="633"/>
      <c r="CF543" s="633"/>
      <c r="CG543" s="633"/>
      <c r="CH543" s="633"/>
      <c r="CI543" s="633"/>
      <c r="CJ543" s="227"/>
      <c r="CK543"/>
      <c r="CL543"/>
      <c r="CM543"/>
      <c r="CN543"/>
      <c r="CO543"/>
      <c r="CP543"/>
      <c r="CQ543"/>
      <c r="CR543" s="227"/>
      <c r="CS543"/>
      <c r="CT543"/>
      <c r="CU543"/>
      <c r="CV543"/>
      <c r="CW543"/>
      <c r="CX543"/>
      <c r="CY543"/>
      <c r="CZ543" s="227"/>
      <c r="DA543"/>
      <c r="DB543"/>
      <c r="DC543"/>
      <c r="DD543"/>
      <c r="DE543"/>
      <c r="DF543"/>
      <c r="DG543"/>
      <c r="DH543" s="227"/>
      <c r="DI543" s="3">
        <v>1</v>
      </c>
    </row>
    <row r="544" spans="2:113" s="627" customFormat="1" ht="21" customHeight="1">
      <c r="B544" s="2265" t="str" cm="1">
        <f t="array" ref="B544">SUMPRODUCT(--(D544:J544&lt;&gt;""), LEN(TRIM(SUBSTITUTE(D544:J544, CHAR(160), "")))) &amp; " Car."</f>
        <v>0 Car.</v>
      </c>
      <c r="C544" s="1376" t="str">
        <f>IF(ISBLANK(D544),"",LARGE(C13:C543,1)+1)</f>
        <v/>
      </c>
      <c r="D544" s="1833"/>
      <c r="E544" s="1810"/>
      <c r="F544" s="1810"/>
      <c r="G544" s="1810"/>
      <c r="H544" s="1810"/>
      <c r="I544" s="1810"/>
      <c r="J544" s="1810"/>
      <c r="K544" s="1810"/>
      <c r="L544" s="1811"/>
      <c r="M544"/>
      <c r="N544" s="103" t="str">
        <f t="shared" si="225"/>
        <v>►</v>
      </c>
      <c r="O544" s="1616"/>
      <c r="P544"/>
      <c r="Q544" s="103" t="s">
        <v>15</v>
      </c>
      <c r="R544" s="31"/>
      <c r="S544" s="32"/>
      <c r="T544" s="31"/>
      <c r="U544" s="33"/>
      <c r="V544" s="1804"/>
      <c r="W544" s="1805"/>
      <c r="X544" s="91"/>
      <c r="Y544" s="1806"/>
      <c r="Z544" s="1807"/>
      <c r="AA544" s="919"/>
      <c r="AB544" s="1813"/>
      <c r="AC544" s="1580"/>
      <c r="AD544" s="95"/>
      <c r="AE544" s="105"/>
      <c r="AF544" s="97"/>
      <c r="AG544" s="2080"/>
      <c r="AH544" s="2081"/>
      <c r="AI544" s="99"/>
      <c r="AJ544" s="1809"/>
      <c r="AK544" s="6120" t="str">
        <f t="shared" si="239"/>
        <v>►</v>
      </c>
      <c r="AL544" s="781" t="str">
        <f t="shared" si="227"/>
        <v>►</v>
      </c>
      <c r="AM544" s="5498" t="str">
        <f t="shared" si="230"/>
        <v/>
      </c>
      <c r="AN544" s="783" t="str">
        <f t="shared" si="231"/>
        <v/>
      </c>
      <c r="AO544" s="782" t="str">
        <f t="shared" si="232"/>
        <v/>
      </c>
      <c r="AP544" s="783" t="str">
        <f t="shared" si="233"/>
        <v/>
      </c>
      <c r="AQ544" s="2083" t="b">
        <f>AND(Q544="A",COUNTIF(BP16:BR63,TRIM(Z544))&gt;0)</f>
        <v>0</v>
      </c>
      <c r="AR544" s="797" t="str">
        <f>IF(AL544&lt;&gt;"A","",IFERROR(IFERROR(_xlfn.XLOOKUP(TRIM(SUBSTITUTE(Z544,CHAR(160)," ")),BP16:BP63,BS16:BS63),IFERROR(_xlfn.XLOOKUP(TRIM(SUBSTITUTE(Z544,CHAR(160)," ")),BQ16:BQ63,BS16:BS63),_xlfn.XLOOKUP(TRIM(SUBSTITUTE(Z544,CHAR(160)," ")),BR16:BR63,BS16:BS63)))*Y544*IF(ISBLANK(V544),1,V544),0))</f>
        <v/>
      </c>
      <c r="AS544" s="784" t="str">
        <f t="shared" si="223"/>
        <v/>
      </c>
      <c r="AT544" s="1315" t="str">
        <f t="shared" si="234"/>
        <v/>
      </c>
      <c r="AU544" s="785">
        <f t="shared" si="235"/>
        <v>0</v>
      </c>
      <c r="AV544" s="785">
        <f t="shared" si="236"/>
        <v>0</v>
      </c>
      <c r="AW544" s="798">
        <f>IF(AK544="A",AY10,0)</f>
        <v>0</v>
      </c>
      <c r="AX544" s="5496" t="str">
        <f>IF(IFERROR(SEARCH("Adresse PC",TRIM(W544)),0)&gt;0,"▼ receta siguiente",IF(AK544="A",IF(AZ10&lt;&gt;"",AZ10&amp;" - ou.or.o ❾ + or - &gt;",""),""))</f>
        <v/>
      </c>
      <c r="AY544" s="810"/>
      <c r="AZ544" s="810"/>
      <c r="BA544" s="799" t="str">
        <f t="shared" si="226"/>
        <v/>
      </c>
      <c r="BB544" s="800" t="str">
        <f>IF(AK544="A",IF(AQ544,IF(AND(AW544&lt;&gt;"",N(AW544)&gt;0),IFERROR(IFERROR(_xlfn.XLOOKUP(AP544,BP10:BP57,BT10:BT57),IFERROR(_xlfn.XLOOKUP(AP544,BQ10:BQ57,BT10:BT57),_xlfn.XLOOKUP(AP544,BR10:BR57,BT10:BT57,""))),""),""),""),"")</f>
        <v/>
      </c>
      <c r="BC544" s="813" cm="1">
        <f t="array" ref="BC544">IF(NOT(AQ544),0,IF(OR(BA544="",N(BA544)&lt;=0.000000001),"",IF(OR(AU544="",N(AU544)&lt;=0.000000001),0,IF(ISNUMBER(BA544),IFERROR(_xlfn.LET(_xlpm.ai_test,TRIM(AP544),_xlpm.r,IFERROR(_xlfn.XLOOKUP(_xlpm.ai_test,BP16:BP63,ROW(BP16:BP63),0,1),IFERROR(_xlfn.XLOOKUP(_xlpm.ai_test,BQ16:BQ63,ROW(BQ16:BQ63),0,1),_xlfn.XLOOKUP(_xlpm.ai_test,BR16:BR63,ROW(BR16:BR63),0,1))),_xlpm.p,_xlpm.r-MIN(ROW(BP16:BP63))+1,_xlpm.f,INDEX(BS16:BS63,_xlpm.p),_xlpm.u,INDEX(BT16:BT63,_xlpm.p),_xlpm.s,INDEX(BV16:BV63,_xlpm.p),_xlpm.q,N(BA544)/_xlpm.f,IF(_xlpm.q&gt;=_xlpm.s,ROUND(_xlpm.q,1)&amp;" "&amp;_xlpm.ai_test&amp;" = "&amp;ROUND(_xlpm.q*_xlpm.f,1)&amp;" "&amp;_xlpm.u,ROUND(_xlpm.q,1)&amp;" "&amp;_xlpm.ai_test)),""),""))))</f>
        <v>0</v>
      </c>
      <c r="BD544" s="801"/>
      <c r="BE544" s="799" t="str">
        <f t="shared" si="237"/>
        <v/>
      </c>
      <c r="BF544" s="800" t="str">
        <f t="shared" ref="BF544:BF550" si="240">IF(AQ544,BB544,"")</f>
        <v/>
      </c>
      <c r="BG544" s="802">
        <f t="shared" ref="BG544:BG550" si="241">IF(AND(ISNUMBER(BM544),ABS(BM544)&gt;0.000000001),BM544,0)</f>
        <v>0</v>
      </c>
      <c r="BH544" s="803" t="str">
        <f t="shared" ref="BH544:BH550" si="242">IF(AND(AQ544, N(BG544)&gt;0.000000001), W544, "")</f>
        <v/>
      </c>
      <c r="BI544" s="792"/>
      <c r="BJ544" s="804">
        <f t="shared" ref="BJ544:BJ550" si="243">IF(OR(AU544=0,ISBLANK(BI544),ISTEXT(BG544)),0,(IF(BA544=0,BG544,BA544)*BI544))</f>
        <v>0</v>
      </c>
      <c r="BK544" s="794" t="str">
        <f t="shared" si="238"/>
        <v/>
      </c>
      <c r="BL544" s="227" t="s">
        <v>21</v>
      </c>
      <c r="BM544" s="773">
        <f t="shared" si="228"/>
        <v>0</v>
      </c>
      <c r="BN544" s="774">
        <f t="shared" si="229"/>
        <v>0</v>
      </c>
      <c r="BO544"/>
      <c r="BX544"/>
      <c r="BY544"/>
      <c r="BZ544"/>
      <c r="CA544"/>
      <c r="CB544"/>
      <c r="CC544"/>
      <c r="CD544" s="781" t="str">
        <f t="shared" si="224"/>
        <v>►</v>
      </c>
      <c r="CE544" s="633"/>
      <c r="CF544" s="633"/>
      <c r="CG544" s="633"/>
      <c r="CH544" s="633"/>
      <c r="CI544" s="633"/>
      <c r="CJ544" s="227"/>
      <c r="CK544"/>
      <c r="CL544"/>
      <c r="CM544"/>
      <c r="CN544"/>
      <c r="CO544"/>
      <c r="CP544"/>
      <c r="CQ544"/>
      <c r="CR544" s="227"/>
      <c r="CS544"/>
      <c r="CT544"/>
      <c r="CU544"/>
      <c r="CV544"/>
      <c r="CW544"/>
      <c r="CX544"/>
      <c r="CY544"/>
      <c r="CZ544" s="227"/>
      <c r="DA544"/>
      <c r="DB544"/>
      <c r="DC544"/>
      <c r="DD544"/>
      <c r="DE544"/>
      <c r="DF544"/>
      <c r="DG544"/>
      <c r="DH544" s="227"/>
      <c r="DI544" s="3">
        <v>1</v>
      </c>
    </row>
    <row r="545" spans="1:115" s="627" customFormat="1" ht="21" customHeight="1">
      <c r="B545" s="2265" t="str" cm="1">
        <f t="array" ref="B545">SUMPRODUCT(--(D545:J545&lt;&gt;""), LEN(TRIM(SUBSTITUTE(D545:J545, CHAR(160), "")))) &amp; " Car."</f>
        <v>0 Car.</v>
      </c>
      <c r="C545" s="1376" t="str">
        <f>IF(ISBLANK(D545),"",LARGE(C13:C544,1)+1)</f>
        <v/>
      </c>
      <c r="D545" s="1833"/>
      <c r="E545" s="1810"/>
      <c r="F545" s="1810"/>
      <c r="G545" s="1810"/>
      <c r="H545" s="1810"/>
      <c r="I545" s="1810"/>
      <c r="J545" s="1810"/>
      <c r="K545" s="1810"/>
      <c r="L545" s="1811"/>
      <c r="M545"/>
      <c r="N545" s="103" t="str">
        <f t="shared" si="225"/>
        <v>►</v>
      </c>
      <c r="O545" s="1616"/>
      <c r="P545"/>
      <c r="Q545" s="103" t="s">
        <v>15</v>
      </c>
      <c r="R545" s="31"/>
      <c r="S545" s="32"/>
      <c r="T545" s="31"/>
      <c r="U545" s="33"/>
      <c r="V545" s="1804"/>
      <c r="W545" s="1805"/>
      <c r="X545" s="91"/>
      <c r="Y545" s="1806"/>
      <c r="Z545" s="1807"/>
      <c r="AA545" s="919"/>
      <c r="AB545" s="1813"/>
      <c r="AC545" s="1580"/>
      <c r="AD545" s="95"/>
      <c r="AE545" s="105"/>
      <c r="AF545" s="97"/>
      <c r="AG545" s="2080"/>
      <c r="AH545" s="2081"/>
      <c r="AI545" s="99"/>
      <c r="AJ545" s="1809"/>
      <c r="AK545" s="6120" t="str">
        <f t="shared" si="239"/>
        <v>►</v>
      </c>
      <c r="AL545" s="781" t="str">
        <f t="shared" si="227"/>
        <v>►</v>
      </c>
      <c r="AM545" s="5499" t="str">
        <f t="shared" si="230"/>
        <v/>
      </c>
      <c r="AN545" s="783" t="str">
        <f t="shared" si="231"/>
        <v/>
      </c>
      <c r="AO545" s="782" t="str">
        <f t="shared" si="232"/>
        <v/>
      </c>
      <c r="AP545" s="783" t="str">
        <f t="shared" si="233"/>
        <v/>
      </c>
      <c r="AQ545" s="2083" t="b">
        <f>AND(Q545="A",COUNTIF(BP16:BR63,TRIM(Z545))&gt;0)</f>
        <v>0</v>
      </c>
      <c r="AR545" s="797" t="str">
        <f>IF(AL545&lt;&gt;"A","",IFERROR(IFERROR(_xlfn.XLOOKUP(TRIM(SUBSTITUTE(Z545,CHAR(160)," ")),BP16:BP63,BS16:BS63),IFERROR(_xlfn.XLOOKUP(TRIM(SUBSTITUTE(Z545,CHAR(160)," ")),BQ16:BQ63,BS16:BS63),_xlfn.XLOOKUP(TRIM(SUBSTITUTE(Z545,CHAR(160)," ")),BR16:BR63,BS16:BS63)))*Y545*IF(ISBLANK(V545),1,V545),0))</f>
        <v/>
      </c>
      <c r="AS545" s="784" t="str">
        <f t="shared" si="223"/>
        <v/>
      </c>
      <c r="AT545" s="1315" t="str">
        <f t="shared" si="234"/>
        <v/>
      </c>
      <c r="AU545" s="785">
        <f t="shared" si="235"/>
        <v>0</v>
      </c>
      <c r="AV545" s="785">
        <f t="shared" si="236"/>
        <v>0</v>
      </c>
      <c r="AW545" s="786">
        <f>IF(AK545="A",AY10,0)</f>
        <v>0</v>
      </c>
      <c r="AX545" s="5495" t="str">
        <f>IF(IFERROR(SEARCH("Adresse PC",TRIM(W545)),0)&gt;0,"▼ receta siguiente",IF(AK545="A",IF(AZ10&lt;&gt;"",AZ10&amp;" - ou.or.o ❾ + or - &gt;",""),""))</f>
        <v/>
      </c>
      <c r="AY545" s="810"/>
      <c r="AZ545" s="810"/>
      <c r="BA545" s="788" t="str">
        <f t="shared" si="226"/>
        <v/>
      </c>
      <c r="BB545" s="789" t="str">
        <f>IF(AK545="A",IF(AQ545,IF(AND(AW545&lt;&gt;"",N(AW545)&gt;0),IFERROR(IFERROR(_xlfn.XLOOKUP(AP545,BP10:BP57,BT10:BT57),IFERROR(_xlfn.XLOOKUP(AP545,BQ10:BQ57,BT10:BT57),_xlfn.XLOOKUP(AP545,BR10:BR57,BT10:BT57,""))),""),""),""),"")</f>
        <v/>
      </c>
      <c r="BC545" s="811" cm="1">
        <f t="array" ref="BC545">IF(NOT(AQ545),0,IF(OR(BA545="",N(BA545)&lt;=0.000000001),"",IF(OR(AU545="",N(AU545)&lt;=0.000000001),0,IF(ISNUMBER(BA545),IFERROR(_xlfn.LET(_xlpm.ai_test,TRIM(AP545),_xlpm.r,IFERROR(_xlfn.XLOOKUP(_xlpm.ai_test,BP16:BP63,ROW(BP16:BP63),0,1),IFERROR(_xlfn.XLOOKUP(_xlpm.ai_test,BQ16:BQ63,ROW(BQ16:BQ63),0,1),_xlfn.XLOOKUP(_xlpm.ai_test,BR16:BR63,ROW(BR16:BR63),0,1))),_xlpm.p,_xlpm.r-MIN(ROW(BP16:BP63))+1,_xlpm.f,INDEX(BS16:BS63,_xlpm.p),_xlpm.u,INDEX(BT16:BT63,_xlpm.p),_xlpm.s,INDEX(BV16:BV63,_xlpm.p),_xlpm.q,N(BA545)/_xlpm.f,IF(_xlpm.q&gt;=_xlpm.s,ROUND(_xlpm.q,1)&amp;" "&amp;_xlpm.ai_test&amp;" = "&amp;ROUND(_xlpm.q*_xlpm.f,1)&amp;" "&amp;_xlpm.u,ROUND(_xlpm.q,1)&amp;" "&amp;_xlpm.ai_test)),""),""))))</f>
        <v>0</v>
      </c>
      <c r="BD545" s="801"/>
      <c r="BE545" s="788" t="str">
        <f t="shared" si="237"/>
        <v/>
      </c>
      <c r="BF545" s="789" t="str">
        <f t="shared" si="240"/>
        <v/>
      </c>
      <c r="BG545" s="790">
        <f t="shared" si="241"/>
        <v>0</v>
      </c>
      <c r="BH545" s="791" t="str">
        <f t="shared" si="242"/>
        <v/>
      </c>
      <c r="BI545" s="792"/>
      <c r="BJ545" s="793">
        <f t="shared" si="243"/>
        <v>0</v>
      </c>
      <c r="BK545" s="794" t="str">
        <f t="shared" si="238"/>
        <v/>
      </c>
      <c r="BL545" s="227" t="s">
        <v>21</v>
      </c>
      <c r="BM545" s="773">
        <f t="shared" si="228"/>
        <v>0</v>
      </c>
      <c r="BN545" s="774">
        <f t="shared" si="229"/>
        <v>0</v>
      </c>
      <c r="BO545"/>
      <c r="BX545"/>
      <c r="BY545"/>
      <c r="BZ545"/>
      <c r="CA545"/>
      <c r="CB545"/>
      <c r="CC545"/>
      <c r="CD545" s="781" t="str">
        <f t="shared" si="224"/>
        <v>►</v>
      </c>
      <c r="CE545" s="633"/>
      <c r="CF545" s="633"/>
      <c r="CG545" s="633"/>
      <c r="CH545" s="633"/>
      <c r="CI545" s="633"/>
      <c r="CJ545" s="227"/>
      <c r="CK545"/>
      <c r="CL545"/>
      <c r="CM545"/>
      <c r="CN545"/>
      <c r="CO545"/>
      <c r="CP545"/>
      <c r="CQ545"/>
      <c r="CR545" s="227"/>
      <c r="CS545"/>
      <c r="CT545"/>
      <c r="CU545"/>
      <c r="CV545"/>
      <c r="CW545"/>
      <c r="CX545"/>
      <c r="CY545"/>
      <c r="CZ545" s="227"/>
      <c r="DA545"/>
      <c r="DB545"/>
      <c r="DC545"/>
      <c r="DD545"/>
      <c r="DE545"/>
      <c r="DF545"/>
      <c r="DG545"/>
      <c r="DH545" s="227"/>
      <c r="DI545" s="3">
        <v>1</v>
      </c>
    </row>
    <row r="546" spans="1:115" ht="21" customHeight="1">
      <c r="B546" s="2265" t="str" cm="1">
        <f t="array" ref="B546">SUMPRODUCT(--(D546:J546&lt;&gt;""), LEN(TRIM(SUBSTITUTE(D546:J546, CHAR(160), "")))) &amp; " Car."</f>
        <v>0 Car.</v>
      </c>
      <c r="C546" s="1376" t="str">
        <f>IF(ISBLANK(D546),"",LARGE(C13:C545,1)+1)</f>
        <v/>
      </c>
      <c r="D546" s="1833"/>
      <c r="E546" s="1810"/>
      <c r="F546" s="1810"/>
      <c r="G546" s="1810"/>
      <c r="H546" s="1810"/>
      <c r="I546" s="1810"/>
      <c r="J546" s="1810"/>
      <c r="K546" s="1810"/>
      <c r="L546" s="1811"/>
      <c r="N546" s="103" t="str">
        <f t="shared" si="225"/>
        <v>►</v>
      </c>
      <c r="O546" s="1616"/>
      <c r="Q546" s="103" t="s">
        <v>15</v>
      </c>
      <c r="R546" s="31"/>
      <c r="S546" s="32"/>
      <c r="T546" s="31"/>
      <c r="U546" s="33"/>
      <c r="V546" s="1804"/>
      <c r="W546" s="1805"/>
      <c r="X546" s="91"/>
      <c r="Y546" s="1806"/>
      <c r="Z546" s="1807"/>
      <c r="AA546" s="919"/>
      <c r="AB546" s="1813"/>
      <c r="AC546" s="1580"/>
      <c r="AD546" s="95"/>
      <c r="AE546" s="105"/>
      <c r="AF546" s="97"/>
      <c r="AG546" s="2080"/>
      <c r="AH546" s="2081"/>
      <c r="AI546" s="99"/>
      <c r="AJ546" s="1809"/>
      <c r="AK546" s="6120" t="str">
        <f t="shared" si="239"/>
        <v>►</v>
      </c>
      <c r="AL546" s="781" t="str">
        <f t="shared" si="227"/>
        <v>►</v>
      </c>
      <c r="AM546" s="5498" t="str">
        <f t="shared" si="230"/>
        <v/>
      </c>
      <c r="AN546" s="783" t="str">
        <f t="shared" si="231"/>
        <v/>
      </c>
      <c r="AO546" s="782" t="str">
        <f t="shared" si="232"/>
        <v/>
      </c>
      <c r="AP546" s="783" t="str">
        <f t="shared" si="233"/>
        <v/>
      </c>
      <c r="AQ546" s="2083" t="b">
        <f>AND(Q546="A",COUNTIF(BP16:BR63,TRIM(Z546))&gt;0)</f>
        <v>0</v>
      </c>
      <c r="AR546" s="797" t="str">
        <f>IF(AL546&lt;&gt;"A","",IFERROR(IFERROR(_xlfn.XLOOKUP(TRIM(SUBSTITUTE(Z546,CHAR(160)," ")),BP16:BP63,BS16:BS63),IFERROR(_xlfn.XLOOKUP(TRIM(SUBSTITUTE(Z546,CHAR(160)," ")),BQ16:BQ63,BS16:BS63),_xlfn.XLOOKUP(TRIM(SUBSTITUTE(Z546,CHAR(160)," ")),BR16:BR63,BS16:BS63)))*Y546*IF(ISBLANK(V546),1,V546),0))</f>
        <v/>
      </c>
      <c r="AS546" s="784" t="str">
        <f t="shared" si="223"/>
        <v/>
      </c>
      <c r="AT546" s="1315" t="str">
        <f t="shared" si="234"/>
        <v/>
      </c>
      <c r="AU546" s="785">
        <f t="shared" si="235"/>
        <v>0</v>
      </c>
      <c r="AV546" s="785">
        <f t="shared" si="236"/>
        <v>0</v>
      </c>
      <c r="AW546" s="798">
        <f>IF(AK546="A",AY10,0)</f>
        <v>0</v>
      </c>
      <c r="AX546" s="5496" t="str">
        <f>IF(IFERROR(SEARCH("Adresse PC",TRIM(W546)),0)&gt;0,"▼ receta siguiente",IF(AK546="A",IF(AZ10&lt;&gt;"",AZ10&amp;" - ou.or.o ❾ + or - &gt;",""),""))</f>
        <v/>
      </c>
      <c r="AY546" s="810"/>
      <c r="AZ546" s="810"/>
      <c r="BA546" s="799" t="str">
        <f t="shared" si="226"/>
        <v/>
      </c>
      <c r="BB546" s="800" t="str">
        <f>IF(AK546="A",IF(AQ546,IF(AND(AW546&lt;&gt;"",N(AW546)&gt;0),IFERROR(IFERROR(_xlfn.XLOOKUP(AP546,BP10:BP57,BT10:BT57),IFERROR(_xlfn.XLOOKUP(AP546,BQ10:BQ57,BT10:BT57),_xlfn.XLOOKUP(AP546,BR10:BR57,BT10:BT57,""))),""),""),""),"")</f>
        <v/>
      </c>
      <c r="BC546" s="813" cm="1">
        <f t="array" ref="BC546">IF(NOT(AQ546),0,IF(OR(BA546="",N(BA546)&lt;=0.000000001),"",IF(OR(AU546="",N(AU546)&lt;=0.000000001),0,IF(ISNUMBER(BA546),IFERROR(_xlfn.LET(_xlpm.ai_test,TRIM(AP546),_xlpm.r,IFERROR(_xlfn.XLOOKUP(_xlpm.ai_test,BP16:BP63,ROW(BP16:BP63),0,1),IFERROR(_xlfn.XLOOKUP(_xlpm.ai_test,BQ16:BQ63,ROW(BQ16:BQ63),0,1),_xlfn.XLOOKUP(_xlpm.ai_test,BR16:BR63,ROW(BR16:BR63),0,1))),_xlpm.p,_xlpm.r-MIN(ROW(BP16:BP63))+1,_xlpm.f,INDEX(BS16:BS63,_xlpm.p),_xlpm.u,INDEX(BT16:BT63,_xlpm.p),_xlpm.s,INDEX(BV16:BV63,_xlpm.p),_xlpm.q,N(BA546)/_xlpm.f,IF(_xlpm.q&gt;=_xlpm.s,ROUND(_xlpm.q,1)&amp;" "&amp;_xlpm.ai_test&amp;" = "&amp;ROUND(_xlpm.q*_xlpm.f,1)&amp;" "&amp;_xlpm.u,ROUND(_xlpm.q,1)&amp;" "&amp;_xlpm.ai_test)),""),""))))</f>
        <v>0</v>
      </c>
      <c r="BD546" s="801"/>
      <c r="BE546" s="799" t="str">
        <f t="shared" si="237"/>
        <v/>
      </c>
      <c r="BF546" s="800" t="str">
        <f t="shared" si="240"/>
        <v/>
      </c>
      <c r="BG546" s="802">
        <f t="shared" si="241"/>
        <v>0</v>
      </c>
      <c r="BH546" s="803" t="str">
        <f t="shared" si="242"/>
        <v/>
      </c>
      <c r="BI546" s="792"/>
      <c r="BJ546" s="804">
        <f t="shared" si="243"/>
        <v>0</v>
      </c>
      <c r="BK546" s="794" t="str">
        <f t="shared" si="238"/>
        <v/>
      </c>
      <c r="BL546" s="227" t="s">
        <v>21</v>
      </c>
      <c r="BM546" s="773">
        <f t="shared" si="228"/>
        <v>0</v>
      </c>
      <c r="BN546" s="774">
        <f t="shared" si="229"/>
        <v>0</v>
      </c>
      <c r="BO546"/>
      <c r="BP546" s="627"/>
      <c r="BQ546" s="627"/>
      <c r="BR546" s="627"/>
      <c r="BS546" s="627"/>
      <c r="BT546" s="627"/>
      <c r="BU546" s="627"/>
      <c r="BV546" s="627"/>
      <c r="BW546" s="627"/>
      <c r="CD546" s="781" t="str">
        <f t="shared" si="224"/>
        <v>►</v>
      </c>
      <c r="CE546" s="633"/>
      <c r="CF546" s="633"/>
      <c r="CG546" s="633"/>
      <c r="CH546" s="633"/>
      <c r="CI546" s="633"/>
      <c r="DI546" s="3">
        <v>1</v>
      </c>
    </row>
    <row r="547" spans="1:115" ht="21" customHeight="1">
      <c r="B547" s="2265" t="str" cm="1">
        <f t="array" ref="B547">SUMPRODUCT(--(D547:J547&lt;&gt;""), LEN(TRIM(SUBSTITUTE(D547:J547, CHAR(160), "")))) &amp; " Car."</f>
        <v>0 Car.</v>
      </c>
      <c r="C547" s="1376" t="str">
        <f>IF(ISBLANK(D547),"",LARGE(C13:C546,1)+1)</f>
        <v/>
      </c>
      <c r="D547" s="1833"/>
      <c r="E547" s="1810"/>
      <c r="F547" s="1810"/>
      <c r="G547" s="1810"/>
      <c r="H547" s="1810"/>
      <c r="I547" s="1810"/>
      <c r="J547" s="1810"/>
      <c r="K547" s="1810"/>
      <c r="L547" s="1811"/>
      <c r="N547" s="103" t="str">
        <f t="shared" si="225"/>
        <v>►</v>
      </c>
      <c r="O547" s="1616"/>
      <c r="Q547" s="103" t="s">
        <v>15</v>
      </c>
      <c r="R547" s="31"/>
      <c r="S547" s="32"/>
      <c r="T547" s="31"/>
      <c r="U547" s="33"/>
      <c r="V547" s="1804"/>
      <c r="W547" s="1805"/>
      <c r="X547" s="91"/>
      <c r="Y547" s="1806"/>
      <c r="Z547" s="1807"/>
      <c r="AA547" s="919"/>
      <c r="AB547" s="1813"/>
      <c r="AC547" s="1580"/>
      <c r="AD547" s="95"/>
      <c r="AE547" s="105"/>
      <c r="AF547" s="97"/>
      <c r="AG547" s="2080"/>
      <c r="AH547" s="2081"/>
      <c r="AI547" s="99"/>
      <c r="AJ547" s="1809"/>
      <c r="AK547" s="6120" t="str">
        <f t="shared" si="239"/>
        <v>►</v>
      </c>
      <c r="AL547" s="781" t="str">
        <f t="shared" si="227"/>
        <v>►</v>
      </c>
      <c r="AM547" s="5499" t="str">
        <f t="shared" si="230"/>
        <v/>
      </c>
      <c r="AN547" s="783" t="str">
        <f t="shared" si="231"/>
        <v/>
      </c>
      <c r="AO547" s="782" t="str">
        <f t="shared" si="232"/>
        <v/>
      </c>
      <c r="AP547" s="783" t="str">
        <f t="shared" si="233"/>
        <v/>
      </c>
      <c r="AQ547" s="2083" t="b">
        <f>AND(Q547="A",COUNTIF(BP16:BR63,TRIM(Z547))&gt;0)</f>
        <v>0</v>
      </c>
      <c r="AR547" s="797" t="str">
        <f>IF(AL547&lt;&gt;"A","",IFERROR(IFERROR(_xlfn.XLOOKUP(TRIM(SUBSTITUTE(Z547,CHAR(160)," ")),BP16:BP63,BS16:BS63),IFERROR(_xlfn.XLOOKUP(TRIM(SUBSTITUTE(Z547,CHAR(160)," ")),BQ16:BQ63,BS16:BS63),_xlfn.XLOOKUP(TRIM(SUBSTITUTE(Z547,CHAR(160)," ")),BR16:BR63,BS16:BS63)))*Y547*IF(ISBLANK(V547),1,V547),0))</f>
        <v/>
      </c>
      <c r="AS547" s="784" t="str">
        <f t="shared" si="223"/>
        <v/>
      </c>
      <c r="AT547" s="1315" t="str">
        <f t="shared" si="234"/>
        <v/>
      </c>
      <c r="AU547" s="785">
        <f t="shared" si="235"/>
        <v>0</v>
      </c>
      <c r="AV547" s="785">
        <f t="shared" si="236"/>
        <v>0</v>
      </c>
      <c r="AW547" s="786">
        <f>IF(AK547="A",AY10,0)</f>
        <v>0</v>
      </c>
      <c r="AX547" s="5495" t="str">
        <f>IF(IFERROR(SEARCH("Adresse PC",TRIM(W547)),0)&gt;0,"▼ receta siguiente",IF(AK547="A",IF(AZ10&lt;&gt;"",AZ10&amp;" - ou.or.o ❾ + or - &gt;",""),""))</f>
        <v/>
      </c>
      <c r="AY547" s="810"/>
      <c r="AZ547" s="810"/>
      <c r="BA547" s="788" t="str">
        <f t="shared" si="226"/>
        <v/>
      </c>
      <c r="BB547" s="789" t="str">
        <f>IF(AK547="A",IF(AQ547,IF(AND(AW547&lt;&gt;"",N(AW547)&gt;0),IFERROR(IFERROR(_xlfn.XLOOKUP(AP547,BP10:BP57,BT10:BT57),IFERROR(_xlfn.XLOOKUP(AP547,BQ10:BQ57,BT10:BT57),_xlfn.XLOOKUP(AP547,BR10:BR57,BT10:BT57,""))),""),""),""),"")</f>
        <v/>
      </c>
      <c r="BC547" s="811" cm="1">
        <f t="array" ref="BC547">IF(NOT(AQ547),0,IF(OR(BA547="",N(BA547)&lt;=0.000000001),"",IF(OR(AU547="",N(AU547)&lt;=0.000000001),0,IF(ISNUMBER(BA547),IFERROR(_xlfn.LET(_xlpm.ai_test,TRIM(AP547),_xlpm.r,IFERROR(_xlfn.XLOOKUP(_xlpm.ai_test,BP16:BP63,ROW(BP16:BP63),0,1),IFERROR(_xlfn.XLOOKUP(_xlpm.ai_test,BQ16:BQ63,ROW(BQ16:BQ63),0,1),_xlfn.XLOOKUP(_xlpm.ai_test,BR16:BR63,ROW(BR16:BR63),0,1))),_xlpm.p,_xlpm.r-MIN(ROW(BP16:BP63))+1,_xlpm.f,INDEX(BS16:BS63,_xlpm.p),_xlpm.u,INDEX(BT16:BT63,_xlpm.p),_xlpm.s,INDEX(BV16:BV63,_xlpm.p),_xlpm.q,N(BA547)/_xlpm.f,IF(_xlpm.q&gt;=_xlpm.s,ROUND(_xlpm.q,1)&amp;" "&amp;_xlpm.ai_test&amp;" = "&amp;ROUND(_xlpm.q*_xlpm.f,1)&amp;" "&amp;_xlpm.u,ROUND(_xlpm.q,1)&amp;" "&amp;_xlpm.ai_test)),""),""))))</f>
        <v>0</v>
      </c>
      <c r="BD547" s="801"/>
      <c r="BE547" s="788" t="str">
        <f t="shared" si="237"/>
        <v/>
      </c>
      <c r="BF547" s="789" t="str">
        <f t="shared" si="240"/>
        <v/>
      </c>
      <c r="BG547" s="790">
        <f t="shared" si="241"/>
        <v>0</v>
      </c>
      <c r="BH547" s="791" t="str">
        <f t="shared" si="242"/>
        <v/>
      </c>
      <c r="BI547" s="792"/>
      <c r="BJ547" s="793">
        <f t="shared" si="243"/>
        <v>0</v>
      </c>
      <c r="BK547" s="794" t="str">
        <f t="shared" si="238"/>
        <v/>
      </c>
      <c r="BL547" s="227" t="s">
        <v>21</v>
      </c>
      <c r="BM547" s="773">
        <f t="shared" si="228"/>
        <v>0</v>
      </c>
      <c r="BN547" s="774">
        <f t="shared" si="229"/>
        <v>0</v>
      </c>
      <c r="BO547"/>
      <c r="BP547" s="627"/>
      <c r="BQ547" s="627"/>
      <c r="BR547" s="627"/>
      <c r="BS547" s="627"/>
      <c r="BT547" s="627"/>
      <c r="BU547" s="627"/>
      <c r="BV547" s="627"/>
      <c r="BW547" s="627"/>
      <c r="CD547" s="781" t="str">
        <f t="shared" si="224"/>
        <v>►</v>
      </c>
      <c r="CE547" s="633"/>
      <c r="CF547" s="633"/>
      <c r="CG547" s="633"/>
      <c r="CH547" s="633"/>
      <c r="CI547" s="633"/>
      <c r="DI547" s="3">
        <v>1</v>
      </c>
    </row>
    <row r="548" spans="1:115" ht="21" customHeight="1">
      <c r="B548" s="2265" t="str" cm="1">
        <f t="array" ref="B548">SUMPRODUCT(--(D548:J548&lt;&gt;""), LEN(TRIM(SUBSTITUTE(D548:J548, CHAR(160), "")))) &amp; " Car."</f>
        <v>0 Car.</v>
      </c>
      <c r="C548" s="1376" t="str">
        <f>IF(ISBLANK(D548),"",LARGE(C13:C547,1)+1)</f>
        <v/>
      </c>
      <c r="D548" s="1833"/>
      <c r="E548" s="1810"/>
      <c r="F548" s="1810"/>
      <c r="G548" s="1810"/>
      <c r="H548" s="1810"/>
      <c r="I548" s="1810"/>
      <c r="J548" s="1810"/>
      <c r="K548" s="1810"/>
      <c r="L548" s="1811"/>
      <c r="N548" s="103" t="str">
        <f t="shared" si="225"/>
        <v>►</v>
      </c>
      <c r="O548" s="1616"/>
      <c r="Q548" s="103" t="s">
        <v>15</v>
      </c>
      <c r="R548" s="31"/>
      <c r="S548" s="32"/>
      <c r="T548" s="31"/>
      <c r="U548" s="33"/>
      <c r="V548" s="1804"/>
      <c r="W548" s="1805"/>
      <c r="X548" s="91"/>
      <c r="Y548" s="1806"/>
      <c r="Z548" s="1807"/>
      <c r="AA548" s="919"/>
      <c r="AB548" s="1813"/>
      <c r="AC548" s="1580"/>
      <c r="AD548" s="95"/>
      <c r="AE548" s="105"/>
      <c r="AF548" s="97"/>
      <c r="AG548" s="2080"/>
      <c r="AH548" s="2081"/>
      <c r="AI548" s="99"/>
      <c r="AJ548" s="1809"/>
      <c r="AK548" s="6120" t="str">
        <f t="shared" si="239"/>
        <v>►</v>
      </c>
      <c r="AL548" s="781" t="str">
        <f t="shared" si="227"/>
        <v>►</v>
      </c>
      <c r="AM548" s="5498" t="str">
        <f t="shared" si="230"/>
        <v/>
      </c>
      <c r="AN548" s="783" t="str">
        <f t="shared" si="231"/>
        <v/>
      </c>
      <c r="AO548" s="782" t="str">
        <f t="shared" si="232"/>
        <v/>
      </c>
      <c r="AP548" s="783" t="str">
        <f t="shared" si="233"/>
        <v/>
      </c>
      <c r="AQ548" s="2083" t="b">
        <f>AND(Q548="A",COUNTIF(BP16:BR63,TRIM(Z548))&gt;0)</f>
        <v>0</v>
      </c>
      <c r="AR548" s="797" t="str">
        <f>IF(AL548&lt;&gt;"A","",IFERROR(IFERROR(_xlfn.XLOOKUP(TRIM(SUBSTITUTE(Z548,CHAR(160)," ")),BP16:BP63,BS16:BS63),IFERROR(_xlfn.XLOOKUP(TRIM(SUBSTITUTE(Z548,CHAR(160)," ")),BQ16:BQ63,BS16:BS63),_xlfn.XLOOKUP(TRIM(SUBSTITUTE(Z548,CHAR(160)," ")),BR16:BR63,BS16:BS63)))*Y548*IF(ISBLANK(V548),1,V548),0))</f>
        <v/>
      </c>
      <c r="AS548" s="784" t="str">
        <f t="shared" si="223"/>
        <v/>
      </c>
      <c r="AT548" s="1315" t="str">
        <f t="shared" si="234"/>
        <v/>
      </c>
      <c r="AU548" s="785">
        <f t="shared" si="235"/>
        <v>0</v>
      </c>
      <c r="AV548" s="785">
        <f t="shared" si="236"/>
        <v>0</v>
      </c>
      <c r="AW548" s="798">
        <f>IF(AK548="A",AY10,0)</f>
        <v>0</v>
      </c>
      <c r="AX548" s="5496" t="str">
        <f>IF(IFERROR(SEARCH("Adresse PC",TRIM(W548)),0)&gt;0,"▼ receta siguiente",IF(AK548="A",IF(AZ10&lt;&gt;"",AZ10&amp;" - ou.or.o ❾ + or - &gt;",""),""))</f>
        <v/>
      </c>
      <c r="AY548" s="810"/>
      <c r="AZ548" s="810"/>
      <c r="BA548" s="799" t="str">
        <f t="shared" si="226"/>
        <v/>
      </c>
      <c r="BB548" s="800" t="str">
        <f>IF(AK548="A",IF(AQ548,IF(AND(AW548&lt;&gt;"",N(AW548)&gt;0),IFERROR(IFERROR(_xlfn.XLOOKUP(AP548,BP10:BP57,BT10:BT57),IFERROR(_xlfn.XLOOKUP(AP548,BQ10:BQ57,BT10:BT57),_xlfn.XLOOKUP(AP548,BR10:BR57,BT10:BT57,""))),""),""),""),"")</f>
        <v/>
      </c>
      <c r="BC548" s="813" cm="1">
        <f t="array" ref="BC548">IF(NOT(AQ548),0,IF(OR(BA548="",N(BA548)&lt;=0.000000001),"",IF(OR(AU548="",N(AU548)&lt;=0.000000001),0,IF(ISNUMBER(BA548),IFERROR(_xlfn.LET(_xlpm.ai_test,TRIM(AP548),_xlpm.r,IFERROR(_xlfn.XLOOKUP(_xlpm.ai_test,BP16:BP63,ROW(BP16:BP63),0,1),IFERROR(_xlfn.XLOOKUP(_xlpm.ai_test,BQ16:BQ63,ROW(BQ16:BQ63),0,1),_xlfn.XLOOKUP(_xlpm.ai_test,BR16:BR63,ROW(BR16:BR63),0,1))),_xlpm.p,_xlpm.r-MIN(ROW(BP16:BP63))+1,_xlpm.f,INDEX(BS16:BS63,_xlpm.p),_xlpm.u,INDEX(BT16:BT63,_xlpm.p),_xlpm.s,INDEX(BV16:BV63,_xlpm.p),_xlpm.q,N(BA548)/_xlpm.f,IF(_xlpm.q&gt;=_xlpm.s,ROUND(_xlpm.q,1)&amp;" "&amp;_xlpm.ai_test&amp;" = "&amp;ROUND(_xlpm.q*_xlpm.f,1)&amp;" "&amp;_xlpm.u,ROUND(_xlpm.q,1)&amp;" "&amp;_xlpm.ai_test)),""),""))))</f>
        <v>0</v>
      </c>
      <c r="BD548" s="801"/>
      <c r="BE548" s="799" t="str">
        <f t="shared" si="237"/>
        <v/>
      </c>
      <c r="BF548" s="800" t="str">
        <f t="shared" si="240"/>
        <v/>
      </c>
      <c r="BG548" s="802">
        <f t="shared" si="241"/>
        <v>0</v>
      </c>
      <c r="BH548" s="803" t="str">
        <f t="shared" si="242"/>
        <v/>
      </c>
      <c r="BI548" s="792"/>
      <c r="BJ548" s="804">
        <f t="shared" si="243"/>
        <v>0</v>
      </c>
      <c r="BK548" s="794" t="str">
        <f t="shared" si="238"/>
        <v/>
      </c>
      <c r="BL548" s="227" t="s">
        <v>21</v>
      </c>
      <c r="BM548" s="773">
        <f t="shared" si="228"/>
        <v>0</v>
      </c>
      <c r="BN548" s="774">
        <f t="shared" si="229"/>
        <v>0</v>
      </c>
      <c r="BO548"/>
      <c r="BP548" s="627"/>
      <c r="BQ548" s="627"/>
      <c r="BR548" s="627"/>
      <c r="BS548" s="627"/>
      <c r="BT548" s="627"/>
      <c r="BU548" s="627"/>
      <c r="BV548" s="627"/>
      <c r="BW548" s="627"/>
      <c r="CD548" s="781" t="str">
        <f t="shared" si="224"/>
        <v>►</v>
      </c>
      <c r="CE548" s="633"/>
      <c r="CF548" s="633"/>
      <c r="CG548" s="633"/>
      <c r="CH548" s="633"/>
      <c r="CI548" s="633"/>
      <c r="DI548" s="3">
        <v>1</v>
      </c>
    </row>
    <row r="549" spans="1:115" ht="21" customHeight="1">
      <c r="B549" s="2265" t="str" cm="1">
        <f t="array" ref="B549">SUMPRODUCT(--(D549:J549&lt;&gt;""), LEN(TRIM(SUBSTITUTE(D549:J549, CHAR(160), "")))) &amp; " Car."</f>
        <v>0 Car.</v>
      </c>
      <c r="C549" s="1376" t="str">
        <f>IF(ISBLANK(D549),"",LARGE(C13:C548,1)+1)</f>
        <v/>
      </c>
      <c r="D549" s="1833"/>
      <c r="E549" s="1810"/>
      <c r="F549" s="1810"/>
      <c r="G549" s="1810"/>
      <c r="H549" s="1810"/>
      <c r="I549" s="1810"/>
      <c r="J549" s="1810"/>
      <c r="K549" s="1810"/>
      <c r="L549" s="1811"/>
      <c r="N549" s="103" t="str">
        <f t="shared" si="225"/>
        <v>►</v>
      </c>
      <c r="O549" s="1616"/>
      <c r="Q549" s="103" t="s">
        <v>15</v>
      </c>
      <c r="R549" s="31"/>
      <c r="S549" s="32"/>
      <c r="T549" s="31"/>
      <c r="U549" s="33"/>
      <c r="V549" s="1804"/>
      <c r="W549" s="1805"/>
      <c r="X549" s="91"/>
      <c r="Y549" s="1806"/>
      <c r="Z549" s="1807"/>
      <c r="AA549" s="919"/>
      <c r="AB549" s="1813"/>
      <c r="AC549" s="1580"/>
      <c r="AD549" s="95"/>
      <c r="AE549" s="105"/>
      <c r="AF549" s="97"/>
      <c r="AG549" s="2080"/>
      <c r="AH549" s="2081"/>
      <c r="AI549" s="99"/>
      <c r="AJ549" s="1809"/>
      <c r="AK549" s="6120" t="str">
        <f t="shared" si="239"/>
        <v>►</v>
      </c>
      <c r="AL549" s="781" t="str">
        <f t="shared" si="227"/>
        <v>►</v>
      </c>
      <c r="AM549" s="5499" t="str">
        <f t="shared" si="230"/>
        <v/>
      </c>
      <c r="AN549" s="783" t="str">
        <f t="shared" si="231"/>
        <v/>
      </c>
      <c r="AO549" s="782" t="str">
        <f t="shared" si="232"/>
        <v/>
      </c>
      <c r="AP549" s="783" t="str">
        <f t="shared" si="233"/>
        <v/>
      </c>
      <c r="AQ549" s="2083" t="b">
        <f>AND(Q549="A",COUNTIF(BP16:BR63,TRIM(Z549))&gt;0)</f>
        <v>0</v>
      </c>
      <c r="AR549" s="797" t="str">
        <f>IF(AL549&lt;&gt;"A","",IFERROR(IFERROR(_xlfn.XLOOKUP(TRIM(SUBSTITUTE(Z549,CHAR(160)," ")),BP16:BP63,BS16:BS63),IFERROR(_xlfn.XLOOKUP(TRIM(SUBSTITUTE(Z549,CHAR(160)," ")),BQ16:BQ63,BS16:BS63),_xlfn.XLOOKUP(TRIM(SUBSTITUTE(Z549,CHAR(160)," ")),BR16:BR63,BS16:BS63)))*Y549*IF(ISBLANK(V549),1,V549),0))</f>
        <v/>
      </c>
      <c r="AS549" s="784" t="str">
        <f t="shared" si="223"/>
        <v/>
      </c>
      <c r="AT549" s="1315" t="str">
        <f t="shared" si="234"/>
        <v/>
      </c>
      <c r="AU549" s="785">
        <f t="shared" si="235"/>
        <v>0</v>
      </c>
      <c r="AV549" s="785">
        <f t="shared" si="236"/>
        <v>0</v>
      </c>
      <c r="AW549" s="786">
        <f>IF(AK549="A",AY10,0)</f>
        <v>0</v>
      </c>
      <c r="AX549" s="5495" t="str">
        <f>IF(IFERROR(SEARCH("Adresse PC",TRIM(W549)),0)&gt;0,"▼ receta siguiente",IF(AK549="A",IF(AZ10&lt;&gt;"",AZ10&amp;" - ou.or.o ❾ + or - &gt;",""),""))</f>
        <v/>
      </c>
      <c r="AY549" s="810"/>
      <c r="AZ549" s="810"/>
      <c r="BA549" s="788" t="str">
        <f t="shared" si="226"/>
        <v/>
      </c>
      <c r="BB549" s="789" t="str">
        <f>IF(AK549="A",IF(AQ549,IF(AND(AW549&lt;&gt;"",N(AW549)&gt;0),IFERROR(IFERROR(_xlfn.XLOOKUP(AP549,BP10:BP57,BT10:BT57),IFERROR(_xlfn.XLOOKUP(AP549,BQ10:BQ57,BT10:BT57),_xlfn.XLOOKUP(AP549,BR10:BR57,BT10:BT57,""))),""),""),""),"")</f>
        <v/>
      </c>
      <c r="BC549" s="811" cm="1">
        <f t="array" ref="BC549">IF(NOT(AQ549),0,IF(OR(BA549="",N(BA549)&lt;=0.000000001),"",IF(OR(AU549="",N(AU549)&lt;=0.000000001),0,IF(ISNUMBER(BA549),IFERROR(_xlfn.LET(_xlpm.ai_test,TRIM(AP549),_xlpm.r,IFERROR(_xlfn.XLOOKUP(_xlpm.ai_test,BP16:BP63,ROW(BP16:BP63),0,1),IFERROR(_xlfn.XLOOKUP(_xlpm.ai_test,BQ16:BQ63,ROW(BQ16:BQ63),0,1),_xlfn.XLOOKUP(_xlpm.ai_test,BR16:BR63,ROW(BR16:BR63),0,1))),_xlpm.p,_xlpm.r-MIN(ROW(BP16:BP63))+1,_xlpm.f,INDEX(BS16:BS63,_xlpm.p),_xlpm.u,INDEX(BT16:BT63,_xlpm.p),_xlpm.s,INDEX(BV16:BV63,_xlpm.p),_xlpm.q,N(BA549)/_xlpm.f,IF(_xlpm.q&gt;=_xlpm.s,ROUND(_xlpm.q,1)&amp;" "&amp;_xlpm.ai_test&amp;" = "&amp;ROUND(_xlpm.q*_xlpm.f,1)&amp;" "&amp;_xlpm.u,ROUND(_xlpm.q,1)&amp;" "&amp;_xlpm.ai_test)),""),""))))</f>
        <v>0</v>
      </c>
      <c r="BD549" s="801"/>
      <c r="BE549" s="788" t="str">
        <f t="shared" si="237"/>
        <v/>
      </c>
      <c r="BF549" s="789" t="str">
        <f t="shared" si="240"/>
        <v/>
      </c>
      <c r="BG549" s="790">
        <f t="shared" si="241"/>
        <v>0</v>
      </c>
      <c r="BH549" s="791" t="str">
        <f t="shared" si="242"/>
        <v/>
      </c>
      <c r="BI549" s="792"/>
      <c r="BJ549" s="793">
        <f t="shared" si="243"/>
        <v>0</v>
      </c>
      <c r="BK549" s="794" t="str">
        <f t="shared" si="238"/>
        <v/>
      </c>
      <c r="BL549" s="227" t="s">
        <v>21</v>
      </c>
      <c r="BM549" s="773">
        <f t="shared" si="228"/>
        <v>0</v>
      </c>
      <c r="BN549" s="774">
        <f t="shared" si="229"/>
        <v>0</v>
      </c>
      <c r="BO549"/>
      <c r="BP549" s="627"/>
      <c r="BQ549" s="627"/>
      <c r="BR549" s="627"/>
      <c r="BS549" s="627"/>
      <c r="BT549" s="627"/>
      <c r="BU549" s="627"/>
      <c r="BV549" s="627"/>
      <c r="BW549" s="627"/>
      <c r="CD549" s="781" t="str">
        <f t="shared" si="224"/>
        <v>►</v>
      </c>
      <c r="CE549" s="633"/>
      <c r="CF549" s="633"/>
      <c r="CG549" s="633"/>
      <c r="CH549" s="633"/>
      <c r="CI549" s="633"/>
      <c r="DI549" s="3">
        <v>1</v>
      </c>
    </row>
    <row r="550" spans="1:115" ht="21" customHeight="1" thickBot="1">
      <c r="B550" s="2266" t="str" cm="1">
        <f t="array" ref="B550">SUMPRODUCT(--(D550:J550&lt;&gt;""), LEN(TRIM(SUBSTITUTE(D550:J550, CHAR(160), "")))) &amp; " Car."</f>
        <v>0 Car.</v>
      </c>
      <c r="C550" s="2267" t="str">
        <f>IF(ISBLANK(D550),"",LARGE(C13:C549,1)+1)</f>
        <v/>
      </c>
      <c r="D550" s="2268"/>
      <c r="E550" s="2269"/>
      <c r="F550" s="2269"/>
      <c r="G550" s="2269"/>
      <c r="H550" s="2269"/>
      <c r="I550" s="2269"/>
      <c r="J550" s="2269"/>
      <c r="K550" s="2269"/>
      <c r="L550" s="2270"/>
      <c r="N550" s="103" t="str">
        <f t="shared" si="225"/>
        <v>►</v>
      </c>
      <c r="O550" s="1616"/>
      <c r="Q550" s="103" t="s">
        <v>15</v>
      </c>
      <c r="R550" s="31"/>
      <c r="S550" s="32"/>
      <c r="T550" s="31"/>
      <c r="U550" s="33"/>
      <c r="V550" s="1804"/>
      <c r="W550" s="1805"/>
      <c r="X550" s="91"/>
      <c r="Y550" s="1806"/>
      <c r="Z550" s="1807"/>
      <c r="AA550" s="919"/>
      <c r="AB550" s="1813"/>
      <c r="AC550" s="1580"/>
      <c r="AD550" s="95"/>
      <c r="AE550" s="105"/>
      <c r="AF550" s="97"/>
      <c r="AG550" s="2080"/>
      <c r="AH550" s="2081"/>
      <c r="AI550" s="99"/>
      <c r="AJ550" s="1809"/>
      <c r="AK550" s="6120" t="str">
        <f t="shared" si="239"/>
        <v>►</v>
      </c>
      <c r="AL550" s="781" t="str">
        <f t="shared" si="227"/>
        <v>►</v>
      </c>
      <c r="AM550" s="5498" t="str">
        <f t="shared" si="230"/>
        <v/>
      </c>
      <c r="AN550" s="783" t="str">
        <f t="shared" si="231"/>
        <v/>
      </c>
      <c r="AO550" s="782" t="str">
        <f t="shared" si="232"/>
        <v/>
      </c>
      <c r="AP550" s="783" t="str">
        <f t="shared" si="233"/>
        <v/>
      </c>
      <c r="AQ550" s="2083" t="b">
        <f>AND(Q550="A",COUNTIF(BP16:BR63,TRIM(Z550))&gt;0)</f>
        <v>0</v>
      </c>
      <c r="AR550" s="797" t="str">
        <f>IF(AL550&lt;&gt;"A","",IFERROR(IFERROR(_xlfn.XLOOKUP(TRIM(SUBSTITUTE(Z550,CHAR(160)," ")),BP16:BP63,BS16:BS63),IFERROR(_xlfn.XLOOKUP(TRIM(SUBSTITUTE(Z550,CHAR(160)," ")),BQ16:BQ63,BS16:BS63),_xlfn.XLOOKUP(TRIM(SUBSTITUTE(Z550,CHAR(160)," ")),BR16:BR63,BS16:BS63)))*Y550*IF(ISBLANK(V550),1,V550),0))</f>
        <v/>
      </c>
      <c r="AS550" s="784" t="str">
        <f t="shared" si="223"/>
        <v/>
      </c>
      <c r="AT550" s="1315" t="str">
        <f t="shared" si="234"/>
        <v/>
      </c>
      <c r="AU550" s="785">
        <f t="shared" si="235"/>
        <v>0</v>
      </c>
      <c r="AV550" s="785">
        <f t="shared" si="236"/>
        <v>0</v>
      </c>
      <c r="AW550" s="798">
        <f>IF(AK550="A",AY10,0)</f>
        <v>0</v>
      </c>
      <c r="AX550" s="5496" t="str">
        <f>IF(IFERROR(SEARCH("Adresse PC",TRIM(W550)),0)&gt;0,"▼ receta siguiente",IF(AK550="A",IF(AZ10&lt;&gt;"",AZ10&amp;" - ou.or.o ❾ + or - &gt;",""),""))</f>
        <v/>
      </c>
      <c r="AY550" s="810"/>
      <c r="AZ550" s="810"/>
      <c r="BA550" s="799" t="str">
        <f t="shared" si="226"/>
        <v/>
      </c>
      <c r="BB550" s="800" t="str">
        <f>IF(AK550="A",IF(AQ550,IF(AND(AW550&lt;&gt;"",N(AW550)&gt;0),IFERROR(IFERROR(_xlfn.XLOOKUP(AP550,BP10:BP57,BT10:BT57),IFERROR(_xlfn.XLOOKUP(AP550,BQ10:BQ57,BT10:BT57),_xlfn.XLOOKUP(AP550,BR10:BR57,BT10:BT57,""))),""),""),""),"")</f>
        <v/>
      </c>
      <c r="BC550" s="813" cm="1">
        <f t="array" ref="BC550">IF(NOT(AQ550),0,IF(OR(BA550="",N(BA550)&lt;=0.000000001),"",IF(OR(AU550="",N(AU550)&lt;=0.000000001),0,IF(ISNUMBER(BA550),IFERROR(_xlfn.LET(_xlpm.ai_test,TRIM(AP550),_xlpm.r,IFERROR(_xlfn.XLOOKUP(_xlpm.ai_test,BP16:BP63,ROW(BP16:BP63),0,1),IFERROR(_xlfn.XLOOKUP(_xlpm.ai_test,BQ16:BQ63,ROW(BQ16:BQ63),0,1),_xlfn.XLOOKUP(_xlpm.ai_test,BR16:BR63,ROW(BR16:BR63),0,1))),_xlpm.p,_xlpm.r-MIN(ROW(BP16:BP63))+1,_xlpm.f,INDEX(BS16:BS63,_xlpm.p),_xlpm.u,INDEX(BT16:BT63,_xlpm.p),_xlpm.s,INDEX(BV16:BV63,_xlpm.p),_xlpm.q,N(BA550)/_xlpm.f,IF(_xlpm.q&gt;=_xlpm.s,ROUND(_xlpm.q,1)&amp;" "&amp;_xlpm.ai_test&amp;" = "&amp;ROUND(_xlpm.q*_xlpm.f,1)&amp;" "&amp;_xlpm.u,ROUND(_xlpm.q,1)&amp;" "&amp;_xlpm.ai_test)),""),""))))</f>
        <v>0</v>
      </c>
      <c r="BD550" s="801"/>
      <c r="BE550" s="799" t="str">
        <f t="shared" si="237"/>
        <v/>
      </c>
      <c r="BF550" s="800" t="str">
        <f t="shared" si="240"/>
        <v/>
      </c>
      <c r="BG550" s="802">
        <f t="shared" si="241"/>
        <v>0</v>
      </c>
      <c r="BH550" s="803" t="str">
        <f t="shared" si="242"/>
        <v/>
      </c>
      <c r="BI550" s="792"/>
      <c r="BJ550" s="804">
        <f t="shared" si="243"/>
        <v>0</v>
      </c>
      <c r="BK550" s="794" t="str">
        <f t="shared" si="238"/>
        <v/>
      </c>
      <c r="BL550" s="227" t="s">
        <v>21</v>
      </c>
      <c r="BM550" s="773">
        <f t="shared" si="228"/>
        <v>0</v>
      </c>
      <c r="BN550" s="774">
        <f t="shared" si="229"/>
        <v>0</v>
      </c>
      <c r="BO550"/>
      <c r="BP550"/>
      <c r="BQ550"/>
      <c r="BR550"/>
      <c r="BS550"/>
      <c r="BT550"/>
      <c r="BU550"/>
      <c r="BV550"/>
      <c r="BW550"/>
      <c r="CD550" s="781" t="str">
        <f t="shared" si="224"/>
        <v>►</v>
      </c>
      <c r="CE550" s="633"/>
      <c r="CF550" s="633"/>
      <c r="CG550" s="633"/>
      <c r="CH550" s="633"/>
      <c r="CI550" s="633"/>
      <c r="DI550" s="3">
        <v>1</v>
      </c>
    </row>
    <row r="551" spans="1:115" ht="21" customHeight="1" thickBot="1">
      <c r="A551" s="225"/>
      <c r="B551" s="1216" t="s">
        <v>10</v>
      </c>
      <c r="C551" s="1218" t="s">
        <v>2394</v>
      </c>
      <c r="D551" s="1217"/>
      <c r="E551" s="1217"/>
      <c r="F551" s="1217"/>
      <c r="G551" s="1218"/>
      <c r="H551" s="1217"/>
      <c r="I551" s="1217"/>
      <c r="J551" s="1217"/>
      <c r="K551" s="1217"/>
      <c r="L551" s="1224" t="s">
        <v>1755</v>
      </c>
      <c r="N551" s="224" t="str">
        <f t="shared" si="225"/>
        <v>A</v>
      </c>
      <c r="O551" s="5600"/>
      <c r="Q551" s="224" t="s">
        <v>10</v>
      </c>
      <c r="R551" s="225"/>
      <c r="S551" s="225"/>
      <c r="T551" s="225"/>
      <c r="U551" s="225"/>
      <c r="V551" s="225"/>
      <c r="W551" s="225"/>
      <c r="X551" s="225"/>
      <c r="Y551" s="225"/>
      <c r="Z551" s="225"/>
      <c r="AA551" s="225"/>
      <c r="AB551" s="225"/>
      <c r="AC551" s="225"/>
      <c r="AD551" s="225"/>
      <c r="AE551" s="225"/>
      <c r="AF551" s="225"/>
      <c r="AG551" s="225"/>
      <c r="AH551" s="225"/>
      <c r="AI551" s="225"/>
      <c r="AJ551" s="225"/>
      <c r="AK551" s="6119"/>
      <c r="AL551" s="225"/>
      <c r="AM551" s="225"/>
      <c r="AN551" s="225"/>
      <c r="AO551" s="225"/>
      <c r="AP551" s="225"/>
      <c r="AQ551" s="225"/>
      <c r="AR551" s="225"/>
      <c r="AS551" s="225"/>
      <c r="AT551" s="225"/>
      <c r="AU551" s="225"/>
      <c r="AV551" s="225"/>
      <c r="AW551" s="225"/>
      <c r="AX551" s="225"/>
      <c r="AY551" s="225"/>
      <c r="AZ551" s="225"/>
      <c r="BA551" s="225"/>
      <c r="BB551" s="225"/>
      <c r="BC551" s="225"/>
      <c r="BD551" s="225"/>
      <c r="BE551" s="225"/>
      <c r="BF551" s="225"/>
      <c r="BG551" s="225"/>
      <c r="BH551" s="225"/>
      <c r="BI551" s="225"/>
      <c r="BJ551" s="225"/>
      <c r="BK551" s="225"/>
      <c r="BL551" s="225"/>
      <c r="BM551" s="225"/>
      <c r="BN551" s="225"/>
      <c r="BO551" s="225"/>
      <c r="BP551" s="225"/>
      <c r="BQ551" s="225"/>
      <c r="BR551" s="225"/>
      <c r="BS551" s="225"/>
      <c r="BT551" s="225"/>
      <c r="BU551" s="225"/>
      <c r="BV551" s="225"/>
      <c r="BW551" s="225"/>
      <c r="BX551" s="225"/>
      <c r="BY551" s="225"/>
      <c r="BZ551" s="225"/>
      <c r="CA551" s="225"/>
      <c r="CB551" s="225"/>
      <c r="CC551" s="225"/>
      <c r="CD551" s="225"/>
      <c r="CE551" s="880"/>
      <c r="CF551" s="880"/>
      <c r="CG551" s="880"/>
      <c r="CH551" s="880"/>
      <c r="CI551" s="880"/>
      <c r="CJ551" s="880"/>
      <c r="CK551" s="880"/>
      <c r="CL551" s="880"/>
      <c r="CM551" s="880"/>
      <c r="CN551" s="880"/>
      <c r="CO551" s="880"/>
      <c r="CP551" s="880"/>
      <c r="CQ551" s="880"/>
      <c r="CR551" s="880"/>
      <c r="CS551" s="880"/>
      <c r="CT551" s="880"/>
      <c r="CU551" s="880"/>
      <c r="CV551" s="880"/>
      <c r="CW551" s="880"/>
      <c r="CX551" s="880"/>
      <c r="CY551" s="880"/>
      <c r="CZ551" s="880"/>
      <c r="DA551" s="880"/>
      <c r="DB551" s="880"/>
      <c r="DC551" s="880"/>
      <c r="DD551" s="880"/>
      <c r="DE551" s="880"/>
      <c r="DF551" s="880"/>
      <c r="DG551" s="880"/>
      <c r="DH551" s="880"/>
      <c r="DI551" s="1148" t="s">
        <v>793</v>
      </c>
    </row>
    <row r="552" spans="1:115">
      <c r="A552" s="3">
        <v>1</v>
      </c>
      <c r="B552" s="3">
        <v>1</v>
      </c>
      <c r="C552" s="3">
        <v>1</v>
      </c>
      <c r="D552" s="3">
        <v>1</v>
      </c>
      <c r="E552" s="3">
        <v>1</v>
      </c>
      <c r="F552" s="3">
        <v>1</v>
      </c>
      <c r="G552" s="3">
        <v>1</v>
      </c>
      <c r="H552" s="3">
        <v>1</v>
      </c>
      <c r="I552" s="3">
        <v>1</v>
      </c>
      <c r="J552" s="3">
        <v>1</v>
      </c>
      <c r="K552" s="3">
        <v>1</v>
      </c>
      <c r="L552" s="3">
        <v>1</v>
      </c>
      <c r="M552" s="3">
        <v>1</v>
      </c>
      <c r="N552" s="3">
        <v>1</v>
      </c>
      <c r="O552" s="3">
        <v>1</v>
      </c>
      <c r="P552" s="3">
        <v>1</v>
      </c>
      <c r="Q552" s="3">
        <v>1</v>
      </c>
      <c r="R552" s="3">
        <v>1</v>
      </c>
      <c r="S552" s="3">
        <v>1</v>
      </c>
      <c r="T552" s="3">
        <v>1</v>
      </c>
      <c r="U552" s="3">
        <v>1</v>
      </c>
      <c r="V552" s="3">
        <v>1</v>
      </c>
      <c r="W552" s="3">
        <v>1</v>
      </c>
      <c r="X552" s="3">
        <v>1</v>
      </c>
      <c r="Y552" s="3">
        <v>1</v>
      </c>
      <c r="Z552" s="3">
        <v>1</v>
      </c>
      <c r="AA552" s="3">
        <v>1</v>
      </c>
      <c r="AB552" s="3">
        <v>1</v>
      </c>
      <c r="AC552" s="3">
        <v>1</v>
      </c>
      <c r="AD552" s="3">
        <v>1</v>
      </c>
      <c r="AE552" s="3">
        <v>1</v>
      </c>
      <c r="AF552" s="3">
        <v>1</v>
      </c>
      <c r="AG552" s="3"/>
      <c r="AH552" s="3">
        <v>1</v>
      </c>
      <c r="AI552" s="3">
        <v>1</v>
      </c>
      <c r="AJ552" s="3"/>
      <c r="AK552" s="3">
        <v>1</v>
      </c>
      <c r="AL552" s="3">
        <v>1</v>
      </c>
      <c r="AM552" s="3">
        <v>1</v>
      </c>
      <c r="AN552" s="3">
        <v>1</v>
      </c>
      <c r="AO552" s="3">
        <v>1</v>
      </c>
      <c r="AP552" s="3">
        <v>1</v>
      </c>
      <c r="AQ552" s="3">
        <v>1</v>
      </c>
      <c r="AR552" s="3">
        <v>1</v>
      </c>
      <c r="AS552" s="3">
        <v>1</v>
      </c>
      <c r="AT552" s="3">
        <v>1</v>
      </c>
      <c r="AU552" s="3">
        <v>1</v>
      </c>
      <c r="AV552" s="3">
        <v>1</v>
      </c>
      <c r="AW552" s="3">
        <v>1</v>
      </c>
      <c r="AX552" s="3">
        <v>1</v>
      </c>
      <c r="AY552" s="3">
        <v>1</v>
      </c>
      <c r="AZ552" s="3">
        <v>1</v>
      </c>
      <c r="BA552" s="3">
        <v>1</v>
      </c>
      <c r="BB552" s="3">
        <v>1</v>
      </c>
      <c r="BC552" s="3">
        <v>1</v>
      </c>
      <c r="BD552" s="3">
        <v>1</v>
      </c>
      <c r="BE552" s="3">
        <v>1</v>
      </c>
      <c r="BF552" s="3">
        <v>1</v>
      </c>
      <c r="BG552" s="3">
        <v>1</v>
      </c>
      <c r="BH552" s="3">
        <v>1</v>
      </c>
      <c r="BI552" s="3">
        <v>1</v>
      </c>
      <c r="BJ552" s="3">
        <v>1</v>
      </c>
      <c r="BK552" s="3">
        <v>1</v>
      </c>
      <c r="BL552" s="3">
        <v>1</v>
      </c>
      <c r="BM552" s="3">
        <v>1</v>
      </c>
      <c r="BN552" s="3">
        <v>1</v>
      </c>
      <c r="BO552" s="3">
        <v>1</v>
      </c>
      <c r="BP552" s="3">
        <v>1</v>
      </c>
      <c r="BQ552" s="3">
        <v>1</v>
      </c>
      <c r="BR552" s="3">
        <v>1</v>
      </c>
      <c r="BS552" s="3">
        <v>1</v>
      </c>
      <c r="BT552" s="3">
        <v>1</v>
      </c>
      <c r="BU552" s="3">
        <v>1</v>
      </c>
      <c r="BV552" s="3">
        <v>1</v>
      </c>
      <c r="BW552" s="3">
        <v>1</v>
      </c>
      <c r="BX552" s="3">
        <v>1</v>
      </c>
      <c r="BY552" s="3">
        <v>1</v>
      </c>
      <c r="BZ552" s="3">
        <v>1</v>
      </c>
      <c r="CA552" s="3">
        <v>1</v>
      </c>
      <c r="CB552" s="3">
        <v>1</v>
      </c>
      <c r="CC552" s="3">
        <v>1</v>
      </c>
      <c r="CD552" s="3">
        <v>1</v>
      </c>
      <c r="CE552" s="3">
        <v>1</v>
      </c>
      <c r="CF552" s="3">
        <v>1</v>
      </c>
      <c r="CG552" s="3">
        <v>1</v>
      </c>
      <c r="CH552" s="3">
        <v>1</v>
      </c>
      <c r="CI552" s="3">
        <v>1</v>
      </c>
      <c r="CJ552" s="3">
        <v>1</v>
      </c>
      <c r="CK552" s="3">
        <v>1</v>
      </c>
      <c r="CL552" s="3">
        <v>1</v>
      </c>
      <c r="CM552" s="3">
        <v>1</v>
      </c>
      <c r="CN552" s="3">
        <v>1</v>
      </c>
      <c r="CO552" s="3">
        <v>1</v>
      </c>
      <c r="CP552" s="3">
        <v>1</v>
      </c>
      <c r="CQ552" s="3">
        <v>1</v>
      </c>
      <c r="CR552" s="3">
        <v>1</v>
      </c>
      <c r="CS552" s="3">
        <v>1</v>
      </c>
      <c r="CT552" s="3">
        <v>1</v>
      </c>
      <c r="CU552" s="3">
        <v>1</v>
      </c>
      <c r="CV552" s="3">
        <v>1</v>
      </c>
      <c r="CW552" s="3">
        <v>1</v>
      </c>
      <c r="CX552" s="3">
        <v>1</v>
      </c>
      <c r="CY552" s="3">
        <v>1</v>
      </c>
      <c r="CZ552" s="3">
        <v>1</v>
      </c>
      <c r="DA552" s="3">
        <v>1</v>
      </c>
      <c r="DB552" s="3">
        <v>1</v>
      </c>
      <c r="DC552" s="3">
        <v>1</v>
      </c>
      <c r="DD552" s="3">
        <v>1</v>
      </c>
      <c r="DE552" s="3">
        <v>1</v>
      </c>
      <c r="DF552" s="3">
        <v>1</v>
      </c>
      <c r="DG552" s="3">
        <v>1</v>
      </c>
      <c r="DH552" s="3">
        <v>1</v>
      </c>
      <c r="DI552" s="1" t="str">
        <f>ADDRESS(ROW(),COLUMN(),4)</f>
        <v>DI552</v>
      </c>
      <c r="DJ552" s="628"/>
      <c r="DK552" s="629" t="str">
        <f>ADDRESS(ROW(),COLUMN(),4)</f>
        <v>DK552</v>
      </c>
    </row>
    <row r="725" spans="14:15">
      <c r="N725"/>
      <c r="O725"/>
    </row>
    <row r="729" spans="14:15">
      <c r="N729" s="3">
        <v>1</v>
      </c>
      <c r="O729" s="3">
        <v>1</v>
      </c>
    </row>
  </sheetData>
  <mergeCells count="182">
    <mergeCell ref="CS6:CY8"/>
    <mergeCell ref="DA6:DG8"/>
    <mergeCell ref="CE7:CI8"/>
    <mergeCell ref="AM8:AQ9"/>
    <mergeCell ref="AR8:AR9"/>
    <mergeCell ref="AS8:BG9"/>
    <mergeCell ref="BH8:BI9"/>
    <mergeCell ref="BJ8:BJ9"/>
    <mergeCell ref="CK9:CQ9"/>
    <mergeCell ref="CS9:CY9"/>
    <mergeCell ref="DA9:DG9"/>
    <mergeCell ref="B10:L10"/>
    <mergeCell ref="D13:L13"/>
    <mergeCell ref="BF4:BK5"/>
    <mergeCell ref="AQ6:AR7"/>
    <mergeCell ref="AS6:BG7"/>
    <mergeCell ref="BH6:BI7"/>
    <mergeCell ref="BJ6:BJ7"/>
    <mergeCell ref="BK6:BK9"/>
    <mergeCell ref="CK6:CQ8"/>
    <mergeCell ref="AV10:AX11"/>
    <mergeCell ref="AY10:AY11"/>
    <mergeCell ref="AZ10:BA11"/>
    <mergeCell ref="CK10:CQ11"/>
    <mergeCell ref="B8:L8"/>
    <mergeCell ref="B9:L9"/>
    <mergeCell ref="BJ17:BJ18"/>
    <mergeCell ref="BK17:BK18"/>
    <mergeCell ref="BD17:BD18"/>
    <mergeCell ref="BE17:BF18"/>
    <mergeCell ref="BG17:BG18"/>
    <mergeCell ref="BH17:BH18"/>
    <mergeCell ref="BI17:BI18"/>
    <mergeCell ref="CS10:CY11"/>
    <mergeCell ref="DA10:DG11"/>
    <mergeCell ref="BH15:BH16"/>
    <mergeCell ref="BI15:BI16"/>
    <mergeCell ref="BJ15:BJ16"/>
    <mergeCell ref="BK15:BK16"/>
    <mergeCell ref="BE15:BF16"/>
    <mergeCell ref="BG15:BG16"/>
    <mergeCell ref="BD15:BD16"/>
    <mergeCell ref="CK12:CQ12"/>
    <mergeCell ref="CS12:CY12"/>
    <mergeCell ref="DA12:DG12"/>
    <mergeCell ref="BC17:BC18"/>
    <mergeCell ref="Z17:AF18"/>
    <mergeCell ref="AM17:AM18"/>
    <mergeCell ref="AR17:AV18"/>
    <mergeCell ref="AW17:AX18"/>
    <mergeCell ref="AY17:AZ18"/>
    <mergeCell ref="BA17:BB18"/>
    <mergeCell ref="AM15:AM16"/>
    <mergeCell ref="AR15:AV16"/>
    <mergeCell ref="AW15:AX16"/>
    <mergeCell ref="AJ14:AJ15"/>
    <mergeCell ref="Y14:AG15"/>
    <mergeCell ref="AH14:AI15"/>
    <mergeCell ref="AY15:AZ16"/>
    <mergeCell ref="BA15:BB16"/>
    <mergeCell ref="BC15:BC16"/>
    <mergeCell ref="CE31:CI32"/>
    <mergeCell ref="CE34:CI35"/>
    <mergeCell ref="CE37:CI38"/>
    <mergeCell ref="BK21:BK22"/>
    <mergeCell ref="BG21:BG22"/>
    <mergeCell ref="BH21:BH22"/>
    <mergeCell ref="BI21:BI22"/>
    <mergeCell ref="BJ21:BJ22"/>
    <mergeCell ref="CE46:CI47"/>
    <mergeCell ref="BD21:BD22"/>
    <mergeCell ref="BE21:BF22"/>
    <mergeCell ref="AB22:AB23"/>
    <mergeCell ref="AJ22:AJ23"/>
    <mergeCell ref="AM21:AQ22"/>
    <mergeCell ref="AR21:AV22"/>
    <mergeCell ref="AW21:AX22"/>
    <mergeCell ref="AY21:AZ21"/>
    <mergeCell ref="BA21:BB22"/>
    <mergeCell ref="BC21:BC22"/>
    <mergeCell ref="CK37:CQ39"/>
    <mergeCell ref="CS37:CY39"/>
    <mergeCell ref="DA37:DG39"/>
    <mergeCell ref="CK49:CQ50"/>
    <mergeCell ref="CS49:CY50"/>
    <mergeCell ref="DA49:DG50"/>
    <mergeCell ref="AH168:AH169"/>
    <mergeCell ref="AH74:AI75"/>
    <mergeCell ref="AJ74:AJ75"/>
    <mergeCell ref="DA70:DG71"/>
    <mergeCell ref="DA75:DG76"/>
    <mergeCell ref="CE62:CI63"/>
    <mergeCell ref="BP64:BW65"/>
    <mergeCell ref="CE65:CI66"/>
    <mergeCell ref="CE49:CI50"/>
    <mergeCell ref="CE59:CI60"/>
    <mergeCell ref="BP75:CB76"/>
    <mergeCell ref="CK70:CQ71"/>
    <mergeCell ref="CS70:CY71"/>
    <mergeCell ref="AH160:AI161"/>
    <mergeCell ref="AI82:AI83"/>
    <mergeCell ref="AJ82:AJ83"/>
    <mergeCell ref="BP91:CB92"/>
    <mergeCell ref="BP100:CB101"/>
    <mergeCell ref="CE68:CI70"/>
    <mergeCell ref="BP70:BW71"/>
    <mergeCell ref="BP83:CB84"/>
    <mergeCell ref="AI168:AI169"/>
    <mergeCell ref="Y117:AG118"/>
    <mergeCell ref="AJ160:AJ161"/>
    <mergeCell ref="Z163:AF164"/>
    <mergeCell ref="X165:Y165"/>
    <mergeCell ref="AJ117:AJ118"/>
    <mergeCell ref="Z120:AF121"/>
    <mergeCell ref="X122:Y122"/>
    <mergeCell ref="X123:Z123"/>
    <mergeCell ref="AH117:AI118"/>
    <mergeCell ref="AH125:AH126"/>
    <mergeCell ref="AI125:AI126"/>
    <mergeCell ref="Y125:Y126"/>
    <mergeCell ref="Z125:Z126"/>
    <mergeCell ref="AJ125:AJ126"/>
    <mergeCell ref="Y160:AG161"/>
    <mergeCell ref="Z77:AF78"/>
    <mergeCell ref="X79:Y79"/>
    <mergeCell ref="X80:Z80"/>
    <mergeCell ref="Y82:Y83"/>
    <mergeCell ref="BP108:CB109"/>
    <mergeCell ref="AJ209:AJ210"/>
    <mergeCell ref="AA125:AA126"/>
    <mergeCell ref="AB125:AB126"/>
    <mergeCell ref="AF125:AF126"/>
    <mergeCell ref="AH209:AI210"/>
    <mergeCell ref="BP68:BW69"/>
    <mergeCell ref="Z82:Z83"/>
    <mergeCell ref="AA82:AA83"/>
    <mergeCell ref="AB82:AB83"/>
    <mergeCell ref="AF82:AF83"/>
    <mergeCell ref="AG82:AG83"/>
    <mergeCell ref="AH82:AH83"/>
    <mergeCell ref="Y209:AG210"/>
    <mergeCell ref="AG125:AG126"/>
    <mergeCell ref="AI22:AI23"/>
    <mergeCell ref="Y22:Y23"/>
    <mergeCell ref="Z22:Z23"/>
    <mergeCell ref="AA22:AA23"/>
    <mergeCell ref="AF22:AF23"/>
    <mergeCell ref="AG22:AG23"/>
    <mergeCell ref="AH22:AH23"/>
    <mergeCell ref="O55:O57"/>
    <mergeCell ref="O16:O17"/>
    <mergeCell ref="O21:O22"/>
    <mergeCell ref="O23:O24"/>
    <mergeCell ref="O25:O27"/>
    <mergeCell ref="O30:O32"/>
    <mergeCell ref="O38:O41"/>
    <mergeCell ref="O46:O49"/>
    <mergeCell ref="O58:O60"/>
    <mergeCell ref="AI217:AI218"/>
    <mergeCell ref="AJ217:AJ218"/>
    <mergeCell ref="AK1:AK2"/>
    <mergeCell ref="AB217:AB218"/>
    <mergeCell ref="AF217:AF218"/>
    <mergeCell ref="AG217:AG218"/>
    <mergeCell ref="Y74:AG75"/>
    <mergeCell ref="X19:Y19"/>
    <mergeCell ref="X20:Z20"/>
    <mergeCell ref="AH217:AH218"/>
    <mergeCell ref="X166:Z166"/>
    <mergeCell ref="Y168:Y169"/>
    <mergeCell ref="Z168:Z169"/>
    <mergeCell ref="X214:Y214"/>
    <mergeCell ref="X215:Z215"/>
    <mergeCell ref="Y217:Y218"/>
    <mergeCell ref="Z217:Z218"/>
    <mergeCell ref="AA217:AA218"/>
    <mergeCell ref="Z212:AF213"/>
    <mergeCell ref="AJ168:AJ169"/>
    <mergeCell ref="AA168:AA169"/>
    <mergeCell ref="AB168:AB169"/>
    <mergeCell ref="AF168:AF169"/>
    <mergeCell ref="AG168:AG169"/>
  </mergeCells>
  <conditionalFormatting sqref="AA24:AA38">
    <cfRule type="cellIs" dxfId="56" priority="6" operator="notEqual">
      <formula>1</formula>
    </cfRule>
  </conditionalFormatting>
  <conditionalFormatting sqref="AA84:AA89">
    <cfRule type="cellIs" dxfId="55" priority="5" operator="notEqual">
      <formula>1</formula>
    </cfRule>
  </conditionalFormatting>
  <conditionalFormatting sqref="AA127:AA132">
    <cfRule type="cellIs" dxfId="54" priority="4" operator="notEqual">
      <formula>1</formula>
    </cfRule>
  </conditionalFormatting>
  <conditionalFormatting sqref="AA170:AA175">
    <cfRule type="cellIs" dxfId="53" priority="3" operator="notEqual">
      <formula>1</formula>
    </cfRule>
  </conditionalFormatting>
  <conditionalFormatting sqref="AA219:AA248">
    <cfRule type="cellIs" dxfId="52" priority="2" operator="notEqual">
      <formula>1</formula>
    </cfRule>
  </conditionalFormatting>
  <hyperlinks>
    <hyperlink ref="O71" r:id="rId1" xr:uid="{329D8D36-E3CE-4DE7-8AB9-EDED43508003}"/>
    <hyperlink ref="O79" r:id="rId2" xr:uid="{6B7AC56A-8065-421C-89BB-C5F7A091A253}"/>
    <hyperlink ref="O82" r:id="rId3" xr:uid="{EDFD5832-3130-4D32-A5D8-DEBA45226599}"/>
    <hyperlink ref="O74" r:id="rId4" xr:uid="{2EF3143F-50AE-47C2-BADC-0B32709777B9}"/>
  </hyperlinks>
  <printOptions horizontalCentered="1"/>
  <pageMargins left="0.25" right="0.25" top="0.75" bottom="0.75" header="0.3" footer="0.3"/>
  <pageSetup paperSize="9" scale="31"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F7190-32B6-45FB-8966-F3F91A739A5D}">
  <dimension ref="A1:AX726"/>
  <sheetViews>
    <sheetView showZeros="0" zoomScaleNormal="100" workbookViewId="0">
      <selection activeCell="AH18" sqref="AH18"/>
    </sheetView>
  </sheetViews>
  <sheetFormatPr baseColWidth="10" defaultRowHeight="15"/>
  <cols>
    <col min="1" max="1" width="5" customWidth="1"/>
    <col min="3" max="3" width="6.7109375" customWidth="1"/>
    <col min="4" max="4" width="40.7109375" customWidth="1"/>
    <col min="5" max="5" width="10.7109375" customWidth="1"/>
    <col min="6" max="6" width="9.7109375" customWidth="1"/>
    <col min="7" max="7" width="18.7109375" customWidth="1"/>
    <col min="8" max="10" width="13.7109375" customWidth="1"/>
    <col min="11" max="11" width="17.7109375" customWidth="1"/>
    <col min="13" max="13" width="8" customWidth="1"/>
    <col min="14" max="17" width="3.7109375" customWidth="1"/>
    <col min="18" max="18" width="5.7109375" customWidth="1"/>
    <col min="19" max="20" width="12.7109375" customWidth="1"/>
    <col min="21" max="21" width="3.7109375" customWidth="1"/>
    <col min="22" max="22" width="9.7109375" customWidth="1"/>
    <col min="23" max="23" width="12.7109375" customWidth="1"/>
    <col min="24" max="24" width="9.42578125" customWidth="1"/>
    <col min="25" max="25" width="6.7109375" customWidth="1"/>
    <col min="26" max="26" width="40.7109375" customWidth="1"/>
    <col min="27" max="27" width="10.7109375" customWidth="1"/>
    <col min="28" max="28" width="9.7109375" customWidth="1"/>
    <col min="29" max="29" width="11.85546875" customWidth="1"/>
    <col min="30" max="32" width="13.7109375" customWidth="1"/>
    <col min="33" max="33" width="17.7109375" customWidth="1"/>
    <col min="34" max="34" width="16.85546875" customWidth="1"/>
    <col min="35" max="35" width="6.5703125" customWidth="1"/>
    <col min="36" max="36" width="4.7109375" style="1734" customWidth="1"/>
    <col min="37" max="37" width="49.42578125" style="1734" customWidth="1"/>
    <col min="38" max="38" width="3.28515625" customWidth="1"/>
    <col min="39" max="39" width="19.7109375" customWidth="1"/>
    <col min="40" max="40" width="18.7109375" customWidth="1"/>
    <col min="41" max="41" width="25.7109375" customWidth="1"/>
    <col min="42" max="42" width="18.28515625" customWidth="1"/>
    <col min="43" max="43" width="16.7109375" customWidth="1"/>
    <col min="44" max="44" width="31.7109375" customWidth="1"/>
    <col min="45" max="45" width="36.7109375" customWidth="1"/>
    <col min="47" max="47" width="5.140625" style="633" customWidth="1"/>
    <col min="48" max="48" width="8.7109375" customWidth="1"/>
    <col min="50" max="50" width="76.85546875" customWidth="1"/>
  </cols>
  <sheetData>
    <row r="1" spans="1:50" ht="15.75" customHeight="1" thickTop="1">
      <c r="A1" s="1" t="str">
        <f>ADDRESS(ROW(),COLUMN(),4)</f>
        <v>A1</v>
      </c>
      <c r="B1" s="2" t="str">
        <f t="shared" ref="B1:K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6943" t="s">
        <v>8774</v>
      </c>
      <c r="M1" s="6943"/>
      <c r="N1" s="2" t="str">
        <f t="shared" ref="N1:AG1" si="1">SUBSTITUTE(ADDRESS(1,COLUMN(),4),"1","")</f>
        <v>N</v>
      </c>
      <c r="O1" s="2" t="str">
        <f t="shared" si="1"/>
        <v>O</v>
      </c>
      <c r="P1" s="2" t="str">
        <f t="shared" si="1"/>
        <v>P</v>
      </c>
      <c r="Q1" s="2" t="str">
        <f t="shared" si="1"/>
        <v>Q</v>
      </c>
      <c r="R1" s="2" t="str">
        <f t="shared" si="1"/>
        <v>R</v>
      </c>
      <c r="S1" s="2" t="str">
        <f t="shared" si="1"/>
        <v>S</v>
      </c>
      <c r="T1" s="2" t="str">
        <f t="shared" si="1"/>
        <v>T</v>
      </c>
      <c r="U1" s="2" t="str">
        <f t="shared" si="1"/>
        <v>U</v>
      </c>
      <c r="V1" s="2" t="str">
        <f t="shared" si="1"/>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6943" t="s">
        <v>8774</v>
      </c>
      <c r="AI1" s="6943"/>
      <c r="AJ1" s="4" t="str">
        <f>SUBSTITUTE(ADDRESS(1,COLUMN(),4),"1","")</f>
        <v>AJ</v>
      </c>
      <c r="AK1" s="4" t="str">
        <f>SUBSTITUTE(ADDRESS(1,COLUMN(),4),"1","")</f>
        <v>AK</v>
      </c>
      <c r="AM1" s="2" t="str">
        <f t="shared" ref="AM1:AS1" si="2">SUBSTITUTE(ADDRESS(1,COLUMN(),4),"1","")</f>
        <v>AM</v>
      </c>
      <c r="AN1" s="2" t="str">
        <f t="shared" si="2"/>
        <v>AN</v>
      </c>
      <c r="AO1" s="2" t="str">
        <f t="shared" si="2"/>
        <v>AO</v>
      </c>
      <c r="AP1" s="2" t="str">
        <f t="shared" si="2"/>
        <v>AP</v>
      </c>
      <c r="AQ1" s="2" t="str">
        <f t="shared" si="2"/>
        <v>AQ</v>
      </c>
      <c r="AR1" s="2" t="str">
        <f t="shared" si="2"/>
        <v>AR</v>
      </c>
      <c r="AS1" s="2" t="str">
        <f t="shared" si="2"/>
        <v>AS</v>
      </c>
      <c r="AU1"/>
      <c r="AV1" s="3">
        <v>1</v>
      </c>
      <c r="AW1" s="4" t="str">
        <f>SUBSTITUTE(ADDRESS(1,COLUMN(),4),"1","")</f>
        <v>AW</v>
      </c>
      <c r="AX1" s="5" t="str">
        <f>SUBSTITUTE(ADDRESS(1,COLUMN(),4),"1","")</f>
        <v>AX</v>
      </c>
    </row>
    <row r="2" spans="1:50" ht="15.75" thickBot="1">
      <c r="B2" s="694">
        <f t="shared" ref="B2:K2" ca="1" si="3">CELL("largeur",B2)</f>
        <v>11</v>
      </c>
      <c r="C2" s="694">
        <f t="shared" ca="1" si="3"/>
        <v>6</v>
      </c>
      <c r="D2" s="694">
        <f t="shared" ca="1" si="3"/>
        <v>40</v>
      </c>
      <c r="E2" s="694">
        <f t="shared" ca="1" si="3"/>
        <v>10</v>
      </c>
      <c r="F2" s="694">
        <f t="shared" ca="1" si="3"/>
        <v>9</v>
      </c>
      <c r="G2" s="694">
        <f t="shared" ca="1" si="3"/>
        <v>18</v>
      </c>
      <c r="H2" s="694">
        <f t="shared" ca="1" si="3"/>
        <v>13</v>
      </c>
      <c r="I2" s="694">
        <f t="shared" ca="1" si="3"/>
        <v>13</v>
      </c>
      <c r="J2" s="694">
        <f t="shared" ca="1" si="3"/>
        <v>13</v>
      </c>
      <c r="K2" s="694">
        <f t="shared" ca="1" si="3"/>
        <v>17</v>
      </c>
      <c r="L2" s="6943"/>
      <c r="M2" s="6943"/>
      <c r="N2" s="694">
        <f t="shared" ref="N2:AG2" ca="1" si="4">CELL("largeur",N2)</f>
        <v>3</v>
      </c>
      <c r="O2" s="694">
        <f t="shared" ca="1" si="4"/>
        <v>3</v>
      </c>
      <c r="P2" s="694">
        <f t="shared" ca="1" si="4"/>
        <v>3</v>
      </c>
      <c r="Q2" s="694">
        <f t="shared" ca="1" si="4"/>
        <v>3</v>
      </c>
      <c r="R2" s="694">
        <f t="shared" ca="1" si="4"/>
        <v>5</v>
      </c>
      <c r="S2" s="694">
        <f t="shared" ca="1" si="4"/>
        <v>12</v>
      </c>
      <c r="T2" s="694">
        <f t="shared" ca="1" si="4"/>
        <v>12</v>
      </c>
      <c r="U2" s="694">
        <f t="shared" ca="1" si="4"/>
        <v>3</v>
      </c>
      <c r="V2" s="694">
        <f t="shared" ca="1" si="4"/>
        <v>9</v>
      </c>
      <c r="W2" s="694">
        <f t="shared" ca="1" si="4"/>
        <v>12</v>
      </c>
      <c r="X2" s="694">
        <f t="shared" ca="1" si="4"/>
        <v>9</v>
      </c>
      <c r="Y2" s="694">
        <f t="shared" ca="1" si="4"/>
        <v>6</v>
      </c>
      <c r="Z2" s="694">
        <f t="shared" ca="1" si="4"/>
        <v>40</v>
      </c>
      <c r="AA2" s="694">
        <f t="shared" ca="1" si="4"/>
        <v>10</v>
      </c>
      <c r="AB2" s="694">
        <f t="shared" ca="1" si="4"/>
        <v>9</v>
      </c>
      <c r="AC2" s="694">
        <f t="shared" ca="1" si="4"/>
        <v>11</v>
      </c>
      <c r="AD2" s="694">
        <f t="shared" ca="1" si="4"/>
        <v>13</v>
      </c>
      <c r="AE2" s="694">
        <f t="shared" ca="1" si="4"/>
        <v>13</v>
      </c>
      <c r="AF2" s="694">
        <f t="shared" ca="1" si="4"/>
        <v>13</v>
      </c>
      <c r="AG2" s="694">
        <f t="shared" ca="1" si="4"/>
        <v>17</v>
      </c>
      <c r="AH2" s="6943"/>
      <c r="AI2" s="6943"/>
      <c r="AJ2" s="632">
        <f ca="1">CELL("largeur",AJ2)</f>
        <v>4</v>
      </c>
      <c r="AK2" s="632">
        <f ca="1">CELL("largeur",AK2)</f>
        <v>49</v>
      </c>
      <c r="AM2" s="6">
        <f t="shared" ref="AM2:AS2" ca="1" si="5">CELL("largeur",AM2)</f>
        <v>19</v>
      </c>
      <c r="AN2" s="6">
        <f t="shared" ca="1" si="5"/>
        <v>18</v>
      </c>
      <c r="AO2" s="6">
        <f t="shared" ca="1" si="5"/>
        <v>25</v>
      </c>
      <c r="AP2" s="6">
        <f t="shared" ca="1" si="5"/>
        <v>18</v>
      </c>
      <c r="AQ2" s="6">
        <f t="shared" ca="1" si="5"/>
        <v>16</v>
      </c>
      <c r="AR2" s="6">
        <f t="shared" ca="1" si="5"/>
        <v>31</v>
      </c>
      <c r="AS2" s="6">
        <f t="shared" ca="1" si="5"/>
        <v>36</v>
      </c>
      <c r="AU2"/>
      <c r="AV2" s="3">
        <v>1</v>
      </c>
      <c r="AW2" s="7" t="s">
        <v>3</v>
      </c>
      <c r="AX2" s="8"/>
    </row>
    <row r="3" spans="1:50" ht="21" customHeight="1">
      <c r="B3" s="2069">
        <v>11</v>
      </c>
      <c r="C3" s="2069">
        <v>6</v>
      </c>
      <c r="D3" s="2069">
        <v>40</v>
      </c>
      <c r="E3" s="2069">
        <v>10</v>
      </c>
      <c r="F3" s="2069">
        <v>9</v>
      </c>
      <c r="G3" s="2069">
        <v>18</v>
      </c>
      <c r="H3" s="2069">
        <v>13</v>
      </c>
      <c r="I3" s="2069">
        <v>13</v>
      </c>
      <c r="J3" s="2069">
        <v>13</v>
      </c>
      <c r="K3" s="2069">
        <v>17</v>
      </c>
      <c r="L3" s="6944" t="s">
        <v>8779</v>
      </c>
      <c r="M3" s="6944"/>
      <c r="N3" s="2069">
        <v>3</v>
      </c>
      <c r="O3" s="2069">
        <v>3</v>
      </c>
      <c r="P3" s="2069">
        <v>3</v>
      </c>
      <c r="Q3" s="2069">
        <v>3</v>
      </c>
      <c r="R3" s="2069">
        <v>5</v>
      </c>
      <c r="S3" s="2069">
        <v>12</v>
      </c>
      <c r="T3" s="2069">
        <v>12</v>
      </c>
      <c r="U3" s="2069">
        <v>3</v>
      </c>
      <c r="V3" s="2069">
        <v>9</v>
      </c>
      <c r="W3" s="2069">
        <v>12</v>
      </c>
      <c r="X3" s="2069">
        <v>9</v>
      </c>
      <c r="Y3" s="2069">
        <v>6</v>
      </c>
      <c r="Z3" s="2069">
        <v>40</v>
      </c>
      <c r="AA3" s="2069">
        <v>10</v>
      </c>
      <c r="AB3" s="2069">
        <v>9</v>
      </c>
      <c r="AC3" s="2069">
        <v>11</v>
      </c>
      <c r="AD3" s="2069">
        <v>13</v>
      </c>
      <c r="AE3" s="2069">
        <v>13</v>
      </c>
      <c r="AF3" s="2069">
        <v>13</v>
      </c>
      <c r="AG3" s="2069">
        <v>17</v>
      </c>
      <c r="AH3" s="6944" t="s">
        <v>8779</v>
      </c>
      <c r="AI3" s="6944"/>
      <c r="AJ3" s="1583"/>
      <c r="AK3" s="1583"/>
      <c r="AU3" s="9"/>
      <c r="AV3" s="3">
        <v>1</v>
      </c>
      <c r="AW3" s="10">
        <f ca="1">COUNTA(A1:AV726) + COUNTBLANK(A1:AV726)</f>
        <v>35343</v>
      </c>
      <c r="AX3" s="11" t="str">
        <f>"cellules entre -cells -celdas  "&amp;" " &amp;A1&amp;" et  "&amp;AV726</f>
        <v>cellules entre -cells -celdas   A1 et  AV726</v>
      </c>
    </row>
    <row r="4" spans="1:50" ht="21" customHeight="1" thickBot="1">
      <c r="B4" s="2180" t="s">
        <v>1489</v>
      </c>
      <c r="C4" s="2180"/>
      <c r="D4" s="2180"/>
      <c r="E4" s="2180"/>
      <c r="F4" s="2180"/>
      <c r="G4" s="2180"/>
      <c r="H4" s="2180"/>
      <c r="I4" s="2180"/>
      <c r="J4" s="2180"/>
      <c r="K4" s="2180"/>
      <c r="L4" s="2180"/>
      <c r="M4" s="9"/>
      <c r="N4" s="9"/>
      <c r="O4" s="9"/>
      <c r="P4" s="9"/>
      <c r="Q4" s="9"/>
      <c r="R4" s="9"/>
      <c r="S4" s="9"/>
      <c r="T4" s="9"/>
      <c r="U4" s="9"/>
      <c r="V4" s="9"/>
      <c r="W4" s="9"/>
      <c r="X4" s="9"/>
      <c r="Y4" s="9"/>
      <c r="Z4" s="9"/>
      <c r="AA4" s="9"/>
      <c r="AB4" s="9"/>
      <c r="AC4" s="9"/>
      <c r="AD4" s="9"/>
      <c r="AE4" s="9"/>
      <c r="AF4" s="9"/>
      <c r="AG4" s="9"/>
      <c r="AH4" s="9"/>
      <c r="AI4" s="9"/>
      <c r="AJ4" s="1584"/>
      <c r="AK4" s="1584"/>
      <c r="AR4" s="1351" t="s">
        <v>8223</v>
      </c>
      <c r="AS4" s="1236" t="str">
        <f>AV726</f>
        <v>AV726</v>
      </c>
      <c r="AU4" s="472"/>
      <c r="AV4" s="3">
        <v>1</v>
      </c>
      <c r="AW4" s="10">
        <f ca="1">COUNTA(A1:AV726)</f>
        <v>9186</v>
      </c>
      <c r="AX4" s="11" t="s">
        <v>9</v>
      </c>
    </row>
    <row r="5" spans="1:50" ht="21" customHeight="1" thickBot="1">
      <c r="A5" s="1585" t="s">
        <v>8224</v>
      </c>
      <c r="B5" s="708" t="s">
        <v>1492</v>
      </c>
      <c r="C5" s="709"/>
      <c r="D5" s="709"/>
      <c r="E5" s="709"/>
      <c r="F5" s="709"/>
      <c r="G5" s="709"/>
      <c r="H5" s="709"/>
      <c r="I5" s="709"/>
      <c r="J5" s="709"/>
      <c r="K5" s="709"/>
      <c r="L5" s="709"/>
      <c r="M5" s="9"/>
      <c r="N5" s="1586"/>
      <c r="O5" s="6802" t="s">
        <v>8225</v>
      </c>
      <c r="P5" s="6802"/>
      <c r="Q5" s="6802"/>
      <c r="R5" s="6802"/>
      <c r="S5" s="6802"/>
      <c r="T5" s="6802"/>
      <c r="U5" s="6802"/>
      <c r="V5" s="6802"/>
      <c r="W5" s="6802"/>
      <c r="X5" s="6802"/>
      <c r="Y5" s="6802"/>
      <c r="Z5" s="6802"/>
      <c r="AA5" s="6802"/>
      <c r="AB5" s="6802"/>
      <c r="AC5" s="6802"/>
      <c r="AD5" s="6802"/>
      <c r="AE5" s="6802"/>
      <c r="AF5" s="6804" t="s">
        <v>8226</v>
      </c>
      <c r="AG5" s="6805"/>
      <c r="AH5" s="9"/>
      <c r="AI5" s="9"/>
      <c r="AJ5" s="1584"/>
      <c r="AK5" s="1584"/>
      <c r="AU5" s="472"/>
      <c r="AV5" s="3">
        <v>1</v>
      </c>
      <c r="AW5" s="10">
        <f ca="1">COUNTBLANK(A1:AV726)</f>
        <v>26157</v>
      </c>
      <c r="AX5" s="11" t="s">
        <v>12</v>
      </c>
    </row>
    <row r="6" spans="1:50" ht="21" customHeight="1">
      <c r="A6" s="1585"/>
      <c r="B6" s="2173" t="s">
        <v>2395</v>
      </c>
      <c r="C6" s="2174"/>
      <c r="D6" s="2174"/>
      <c r="E6" s="2174"/>
      <c r="F6" s="2174"/>
      <c r="G6" s="2174"/>
      <c r="H6" s="2174"/>
      <c r="I6" s="2174"/>
      <c r="J6" s="2174"/>
      <c r="K6" s="2174"/>
      <c r="L6" s="2174"/>
      <c r="M6" s="9"/>
      <c r="N6" s="1587"/>
      <c r="O6" s="6803"/>
      <c r="P6" s="6803"/>
      <c r="Q6" s="6803"/>
      <c r="R6" s="6803"/>
      <c r="S6" s="6803"/>
      <c r="T6" s="6803"/>
      <c r="U6" s="6803"/>
      <c r="V6" s="6803"/>
      <c r="W6" s="6803"/>
      <c r="X6" s="6803"/>
      <c r="Y6" s="6803"/>
      <c r="Z6" s="6803"/>
      <c r="AA6" s="6803"/>
      <c r="AB6" s="6803"/>
      <c r="AC6" s="6803"/>
      <c r="AD6" s="6803"/>
      <c r="AE6" s="6803"/>
      <c r="AF6" s="6806">
        <v>20</v>
      </c>
      <c r="AG6" s="6807"/>
      <c r="AH6" s="9"/>
      <c r="AI6" s="9"/>
      <c r="AJ6" s="1808" t="s">
        <v>14280</v>
      </c>
      <c r="AK6" s="1584"/>
      <c r="AU6" s="472"/>
      <c r="AV6" s="3">
        <v>1</v>
      </c>
      <c r="AW6" s="10">
        <f>SUM(AV1:AV724)+2</f>
        <v>726</v>
      </c>
      <c r="AX6" s="11" t="s">
        <v>14</v>
      </c>
    </row>
    <row r="7" spans="1:50" ht="21" customHeight="1" thickBot="1">
      <c r="A7" s="1585"/>
      <c r="B7" s="2175"/>
      <c r="C7" s="2176"/>
      <c r="D7" s="2176"/>
      <c r="E7" s="2176"/>
      <c r="F7" s="2176"/>
      <c r="G7" s="2176"/>
      <c r="H7" s="2176"/>
      <c r="I7" s="2176"/>
      <c r="J7" s="2176"/>
      <c r="K7" s="2176"/>
      <c r="L7" s="2176"/>
      <c r="M7" s="9"/>
      <c r="N7" s="1587"/>
      <c r="O7" s="1584"/>
      <c r="P7" s="1584"/>
      <c r="Q7" s="1584"/>
      <c r="R7" s="1584"/>
      <c r="S7" s="1584"/>
      <c r="T7" s="1584"/>
      <c r="U7" s="1584"/>
      <c r="V7" s="1584"/>
      <c r="W7" s="1584"/>
      <c r="X7" s="1584"/>
      <c r="Y7" s="1584"/>
      <c r="Z7" s="1584"/>
      <c r="AA7" s="1584"/>
      <c r="AB7" s="1584"/>
      <c r="AC7" s="1584"/>
      <c r="AD7" s="1584"/>
      <c r="AF7" s="6806"/>
      <c r="AG7" s="6807"/>
      <c r="AH7" s="9"/>
      <c r="AI7" s="9"/>
      <c r="AJ7" s="1584"/>
      <c r="AK7" s="1584"/>
      <c r="AU7" s="472"/>
      <c r="AV7" s="3">
        <v>1</v>
      </c>
      <c r="AW7" s="10">
        <f>SUM(A726:AU726)+1</f>
        <v>48</v>
      </c>
      <c r="AX7" s="11" t="s">
        <v>17</v>
      </c>
    </row>
    <row r="8" spans="1:50" ht="21" customHeight="1">
      <c r="A8" s="1585"/>
      <c r="B8" s="2177" t="s">
        <v>2396</v>
      </c>
      <c r="C8" s="2178"/>
      <c r="D8" s="2178"/>
      <c r="E8" s="2178"/>
      <c r="F8" s="2178"/>
      <c r="G8" s="2178"/>
      <c r="H8" s="2178"/>
      <c r="I8" s="2178"/>
      <c r="J8" s="2178"/>
      <c r="K8" s="2178"/>
      <c r="L8" s="2178"/>
      <c r="M8" s="9"/>
      <c r="N8" s="1588"/>
      <c r="O8" s="2182"/>
      <c r="P8" s="1352"/>
      <c r="Q8" s="2183"/>
      <c r="R8" s="2182"/>
      <c r="T8" s="2184" t="s">
        <v>8227</v>
      </c>
      <c r="U8" s="2185"/>
      <c r="V8" s="2186"/>
      <c r="W8" s="2182"/>
      <c r="X8" s="2182"/>
      <c r="Z8" s="2187"/>
      <c r="AA8" s="2182"/>
      <c r="AB8" s="2182"/>
      <c r="AC8" s="2182"/>
      <c r="AD8" s="2182"/>
      <c r="AE8" s="2182"/>
      <c r="AF8" s="6806"/>
      <c r="AG8" s="6807"/>
      <c r="AH8" s="9"/>
      <c r="AI8" s="9"/>
      <c r="AJ8" s="1584"/>
      <c r="AK8" s="1584"/>
      <c r="AM8" s="6562" t="s">
        <v>25</v>
      </c>
      <c r="AN8" s="6563"/>
      <c r="AO8" s="6563"/>
      <c r="AP8" s="6563"/>
      <c r="AQ8" s="6563"/>
      <c r="AR8" s="6563"/>
      <c r="AS8" s="6564"/>
      <c r="AU8" s="472"/>
      <c r="AV8" s="3">
        <v>1</v>
      </c>
    </row>
    <row r="9" spans="1:50" ht="21" customHeight="1" thickBot="1">
      <c r="A9" s="1585"/>
      <c r="B9" s="722"/>
      <c r="C9" s="2179" t="s">
        <v>1508</v>
      </c>
      <c r="D9" s="2179"/>
      <c r="E9" s="2179"/>
      <c r="F9" s="2179"/>
      <c r="G9" s="2179"/>
      <c r="H9" s="2179"/>
      <c r="I9" s="2179"/>
      <c r="J9" s="2179"/>
      <c r="K9" s="2179"/>
      <c r="L9" s="2179"/>
      <c r="M9" s="9"/>
      <c r="N9" s="1589"/>
      <c r="O9" s="1590"/>
      <c r="P9" s="906" t="s">
        <v>8228</v>
      </c>
      <c r="Q9" s="908"/>
      <c r="R9" s="908"/>
      <c r="S9" s="908"/>
      <c r="T9" s="908"/>
      <c r="U9" s="908"/>
      <c r="V9" s="908"/>
      <c r="W9" s="908"/>
      <c r="X9" s="908"/>
      <c r="Y9" s="1591"/>
      <c r="Z9" s="908"/>
      <c r="AA9" s="908"/>
      <c r="AB9" s="1592"/>
      <c r="AC9" s="908"/>
      <c r="AD9" s="908"/>
      <c r="AE9" s="908"/>
      <c r="AF9" s="6800" t="s">
        <v>8229</v>
      </c>
      <c r="AG9" s="6801"/>
      <c r="AH9" s="9"/>
      <c r="AI9" s="9"/>
      <c r="AJ9" s="1593"/>
      <c r="AK9" s="1594" t="str" cm="1">
        <f t="array" aca="1" ref="AK9" ca="1">IF(COUNTIF(B2:L2,"&lt;0.5")=0,"Aucune colonne masquée ",COUNTIF(B2:L2,"&lt;0.5") &amp; " " &amp; IF(COUNTIF(B2:L2,"&lt;0.5")&gt;1,"colonnes masquées","colonne masquée") &amp; " " &amp; _xlfn.TEXTJOIN(" ", TRUE, IF(B2:L2&lt;0.5,B1:L1,"")))&amp;" "</f>
        <v xml:space="preserve">Aucune colonne masquée  </v>
      </c>
      <c r="AM9" s="6565"/>
      <c r="AN9" s="6566"/>
      <c r="AO9" s="6566"/>
      <c r="AP9" s="6566"/>
      <c r="AQ9" s="6566"/>
      <c r="AR9" s="6566"/>
      <c r="AS9" s="6567"/>
      <c r="AU9" s="472"/>
      <c r="AV9" s="3">
        <v>1</v>
      </c>
      <c r="AX9" s="198" t="s">
        <v>14241</v>
      </c>
    </row>
    <row r="10" spans="1:50" ht="21" customHeight="1" thickBot="1">
      <c r="B10" s="1344" t="str">
        <f>IF(ISNUMBER(IFERROR(VALUE("0,5"),"")),"On this computer, type a COMMA as the decimal separator",IF(ISNUMBER(IFERROR(VALUE("0.5"),"")),"On this computer, type a POINT as the decimal separator","Unable to determine the decimal separator"))</f>
        <v>On this computer, type a POINT as the decimal separator</v>
      </c>
      <c r="C10" s="14"/>
      <c r="D10" s="14"/>
      <c r="E10" s="14"/>
      <c r="F10" s="14"/>
      <c r="G10" s="14"/>
      <c r="H10" s="14"/>
      <c r="I10" s="14"/>
      <c r="J10" s="14"/>
      <c r="K10" s="14"/>
      <c r="L10" s="1345"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M10" s="9"/>
      <c r="N10" s="1595"/>
      <c r="O10" s="1348"/>
      <c r="P10" s="1348"/>
      <c r="Q10" s="1349"/>
      <c r="R10" s="1350"/>
      <c r="S10" s="1371"/>
      <c r="T10" s="1371"/>
      <c r="U10" s="1371"/>
      <c r="V10" s="1371"/>
      <c r="W10" s="1371"/>
      <c r="X10" s="1372" t="s">
        <v>8145</v>
      </c>
      <c r="Y10" s="1340" t="s">
        <v>8230</v>
      </c>
      <c r="AA10" s="1596"/>
      <c r="AG10" s="9"/>
      <c r="AH10" s="9"/>
      <c r="AI10" s="9"/>
      <c r="AJ10" s="1584"/>
      <c r="AK10" s="1584"/>
      <c r="AM10" s="6565"/>
      <c r="AN10" s="6566"/>
      <c r="AO10" s="6566"/>
      <c r="AP10" s="6566"/>
      <c r="AQ10" s="6566"/>
      <c r="AR10" s="6566"/>
      <c r="AS10" s="6567"/>
      <c r="AU10" s="472"/>
      <c r="AV10" s="3">
        <v>1</v>
      </c>
      <c r="AX10" s="198" t="s">
        <v>14229</v>
      </c>
    </row>
    <row r="11" spans="1:50" ht="21" customHeight="1" thickBot="1">
      <c r="B11" s="1597"/>
      <c r="C11" s="1598"/>
      <c r="D11" s="1597"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11" s="1598"/>
      <c r="F11" s="1598"/>
      <c r="G11" s="1598"/>
      <c r="H11" s="1598"/>
      <c r="I11" s="1598"/>
      <c r="J11" s="1598"/>
      <c r="K11" s="1598"/>
      <c r="L11" s="1598"/>
      <c r="M11" s="9"/>
      <c r="N11" s="19" t="s">
        <v>10</v>
      </c>
      <c r="O11" s="1599" t="str">
        <f>O17</f>
        <v>B BEIGNETS D'ACACIA | pâtisserie--Beignets| Auteur &gt; Cuisine Actuelle</v>
      </c>
      <c r="P11" s="1600">
        <f>P17</f>
        <v>4</v>
      </c>
      <c r="Q11" s="1600" t="str">
        <f>Q17</f>
        <v>personnes</v>
      </c>
      <c r="R11" s="1601" t="str">
        <f>R17</f>
        <v>Recette mère ► Beignets d'acacia</v>
      </c>
      <c r="S11" s="2098" t="s">
        <v>21</v>
      </c>
      <c r="T11" s="1602" t="s">
        <v>22</v>
      </c>
      <c r="U11" s="1602"/>
      <c r="V11" s="6795" t="s">
        <v>8231</v>
      </c>
      <c r="W11" s="6795"/>
      <c r="X11" s="6795"/>
      <c r="Y11" s="6795"/>
      <c r="Z11" s="6795"/>
      <c r="AA11" s="6795"/>
      <c r="AB11" s="6795"/>
      <c r="AC11" s="6795"/>
      <c r="AD11" s="6795"/>
      <c r="AE11" s="6636" t="s">
        <v>8232</v>
      </c>
      <c r="AF11" s="6636"/>
      <c r="AG11" s="6797" t="str">
        <f>UPPER(LEFT(V11,1))</f>
        <v>B</v>
      </c>
      <c r="AH11" s="9"/>
      <c r="AI11" s="9"/>
      <c r="AJ11" s="19" t="str">
        <f t="shared" ref="AJ11:AJ74" si="6">N11</f>
        <v>A</v>
      </c>
      <c r="AK11" s="1603" t="s">
        <v>15</v>
      </c>
      <c r="AL11" s="1333" t="s">
        <v>21</v>
      </c>
      <c r="AM11" s="44" t="s">
        <v>37</v>
      </c>
      <c r="AN11" s="45"/>
      <c r="AO11" s="45"/>
      <c r="AP11" s="45"/>
      <c r="AQ11" s="45"/>
      <c r="AR11" s="45"/>
      <c r="AS11" s="46"/>
      <c r="AU11" s="472"/>
      <c r="AV11" s="3">
        <v>1</v>
      </c>
      <c r="AX11" s="198"/>
    </row>
    <row r="12" spans="1:50" ht="21" customHeight="1">
      <c r="B12" s="2158">
        <f t="shared" ref="B12:L12" ca="1" si="7">CELL("largeur",B12)</f>
        <v>11</v>
      </c>
      <c r="C12" s="2141">
        <f t="shared" ca="1" si="7"/>
        <v>6</v>
      </c>
      <c r="D12" s="2141">
        <f t="shared" ca="1" si="7"/>
        <v>40</v>
      </c>
      <c r="E12" s="2141">
        <f t="shared" ca="1" si="7"/>
        <v>10</v>
      </c>
      <c r="F12" s="2141">
        <f t="shared" ca="1" si="7"/>
        <v>9</v>
      </c>
      <c r="G12" s="2141">
        <f t="shared" ca="1" si="7"/>
        <v>18</v>
      </c>
      <c r="H12" s="2141">
        <f t="shared" ca="1" si="7"/>
        <v>13</v>
      </c>
      <c r="I12" s="2141">
        <f t="shared" ca="1" si="7"/>
        <v>13</v>
      </c>
      <c r="J12" s="2141">
        <f t="shared" ca="1" si="7"/>
        <v>13</v>
      </c>
      <c r="K12" s="2141">
        <f t="shared" ca="1" si="7"/>
        <v>17</v>
      </c>
      <c r="L12" s="2157">
        <f t="shared" ca="1" si="7"/>
        <v>11</v>
      </c>
      <c r="M12" s="9"/>
      <c r="N12" s="1604" t="s">
        <v>10</v>
      </c>
      <c r="O12" s="1605" t="str">
        <f>O17</f>
        <v>B BEIGNETS D'ACACIA | pâtisserie--Beignets| Auteur &gt; Cuisine Actuelle</v>
      </c>
      <c r="P12" s="1606">
        <f>P17</f>
        <v>4</v>
      </c>
      <c r="Q12" s="1606" t="str">
        <f>Q17</f>
        <v>personnes</v>
      </c>
      <c r="R12" s="1607" t="str">
        <f>R17</f>
        <v>Recette mère ► Beignets d'acacia</v>
      </c>
      <c r="S12" s="2099" t="s">
        <v>28</v>
      </c>
      <c r="T12" s="1608" t="s">
        <v>831</v>
      </c>
      <c r="U12" s="1608"/>
      <c r="V12" s="6796"/>
      <c r="W12" s="6796"/>
      <c r="X12" s="6796"/>
      <c r="Y12" s="6796"/>
      <c r="Z12" s="6796"/>
      <c r="AA12" s="6796"/>
      <c r="AB12" s="6796"/>
      <c r="AC12" s="6796"/>
      <c r="AD12" s="6796"/>
      <c r="AE12" s="6637"/>
      <c r="AF12" s="6637"/>
      <c r="AG12" s="6798"/>
      <c r="AH12" s="9"/>
      <c r="AI12" s="9"/>
      <c r="AJ12" s="1604" t="str">
        <f t="shared" si="6"/>
        <v>A</v>
      </c>
      <c r="AK12" s="1609" t="s">
        <v>8233</v>
      </c>
      <c r="AL12" s="1333" t="s">
        <v>21</v>
      </c>
      <c r="AM12" s="49" t="s">
        <v>42</v>
      </c>
      <c r="AN12" s="50" t="s">
        <v>43</v>
      </c>
      <c r="AO12" s="51"/>
      <c r="AP12" s="51"/>
      <c r="AQ12" s="51"/>
      <c r="AR12" s="51"/>
      <c r="AS12" s="52" t="s">
        <v>44</v>
      </c>
      <c r="AU12" s="472"/>
      <c r="AV12" s="3">
        <v>1</v>
      </c>
      <c r="AX12" s="198" t="s">
        <v>14232</v>
      </c>
    </row>
    <row r="13" spans="1:50" ht="21" customHeight="1">
      <c r="B13" s="2146"/>
      <c r="C13" s="2147"/>
      <c r="D13" s="2147"/>
      <c r="E13" s="2147"/>
      <c r="F13" s="2148"/>
      <c r="G13" s="2147"/>
      <c r="H13" s="2149"/>
      <c r="I13" s="2149"/>
      <c r="J13" s="2149"/>
      <c r="K13" s="2150" t="s">
        <v>8876</v>
      </c>
      <c r="L13" s="2145">
        <f ca="1">SUM(C12:K12)</f>
        <v>139</v>
      </c>
      <c r="M13" s="9"/>
      <c r="N13" s="1604" t="s">
        <v>10</v>
      </c>
      <c r="O13" s="31" t="str">
        <f>O17</f>
        <v>B BEIGNETS D'ACACIA | pâtisserie--Beignets| Auteur &gt; Cuisine Actuelle</v>
      </c>
      <c r="P13" s="32">
        <f>P17</f>
        <v>4</v>
      </c>
      <c r="Q13" s="32" t="str">
        <f>Q17</f>
        <v>personnes</v>
      </c>
      <c r="R13" s="33" t="str">
        <f>R17</f>
        <v>Recette mère ► Beignets d'acacia</v>
      </c>
      <c r="S13" s="1357"/>
      <c r="T13" s="1358" t="s">
        <v>30</v>
      </c>
      <c r="U13" s="34"/>
      <c r="V13" s="35" t="s">
        <v>31</v>
      </c>
      <c r="W13" s="36" t="s">
        <v>8235</v>
      </c>
      <c r="X13" s="9"/>
      <c r="Y13" s="9"/>
      <c r="Z13" s="36"/>
      <c r="AA13" s="36"/>
      <c r="AB13" s="36"/>
      <c r="AC13" s="37"/>
      <c r="AD13" s="9"/>
      <c r="AE13" s="9"/>
      <c r="AF13" s="9"/>
      <c r="AG13" s="2062" t="str" cm="1">
        <f t="array" aca="1" ref="AG13" ca="1">IF(COUNTIF(O38:AG38,"&lt;0.5")=0,"Aucune colonne masquée ",COUNTIF(O38:AG38,"&lt;0.5") &amp; " " &amp; IF(COUNTIF(O38:AG38,"&lt;0.5")&gt;1,"colonnes masquées","colonne masquée") &amp; " " &amp; _xlfn.TEXTJOIN(" ", TRUE, IF(O38:AG38&lt;0.5,O37:AG37,"")))&amp;" "</f>
        <v xml:space="preserve">Aucune colonne masquée  </v>
      </c>
      <c r="AH13" s="9"/>
      <c r="AI13" s="9"/>
      <c r="AJ13" s="1604" t="str">
        <f t="shared" si="6"/>
        <v>A</v>
      </c>
      <c r="AK13" s="6840">
        <f>SUBTOTAL(103,AJ11:AJ406)</f>
        <v>396</v>
      </c>
      <c r="AL13" s="1333" t="s">
        <v>21</v>
      </c>
      <c r="AM13" s="57"/>
      <c r="AN13" s="58"/>
      <c r="AO13" s="59"/>
      <c r="AP13" s="59"/>
      <c r="AQ13" s="59"/>
      <c r="AR13" s="59"/>
      <c r="AS13" s="60" t="s">
        <v>24</v>
      </c>
      <c r="AU13" s="472"/>
      <c r="AV13" s="3">
        <v>1</v>
      </c>
      <c r="AX13" s="198" t="s">
        <v>14235</v>
      </c>
    </row>
    <row r="14" spans="1:50" ht="21" customHeight="1">
      <c r="B14" s="2146"/>
      <c r="C14" s="2151" t="s">
        <v>8875</v>
      </c>
      <c r="D14" s="2147"/>
      <c r="E14" s="2147"/>
      <c r="F14" s="2148"/>
      <c r="G14" s="2152"/>
      <c r="H14" s="2152"/>
      <c r="I14" s="2152"/>
      <c r="J14" s="2152"/>
      <c r="K14" s="2153" t="s">
        <v>8863</v>
      </c>
      <c r="L14" s="2154" t="s">
        <v>21</v>
      </c>
      <c r="M14" s="9"/>
      <c r="N14" s="1604" t="s">
        <v>10</v>
      </c>
      <c r="O14" s="31" t="str">
        <f>O17</f>
        <v>B BEIGNETS D'ACACIA | pâtisserie--Beignets| Auteur &gt; Cuisine Actuelle</v>
      </c>
      <c r="P14" s="32">
        <f>P17</f>
        <v>4</v>
      </c>
      <c r="Q14" s="32" t="str">
        <f>Q17</f>
        <v>personnes</v>
      </c>
      <c r="R14" s="33" t="str">
        <f>R17</f>
        <v>Recette mère ► Beignets d'acacia</v>
      </c>
      <c r="S14" s="39" t="s">
        <v>32</v>
      </c>
      <c r="T14" s="40"/>
      <c r="U14" s="40"/>
      <c r="V14" s="41" t="s">
        <v>33</v>
      </c>
      <c r="W14" s="6736" t="str">
        <f>Y17&amp;" "&amp;Z17&amp;" ► Famille = "&amp;AE11&amp;" ► "&amp;V11&amp;" "&amp;AC14&amp;" "&amp;AE14&amp;" "&amp;AF14&amp;" "&amp;AG14</f>
        <v>Recette mère ► Beignets d'acacia ► Famille = pâtisserie--Beignets ► BEIGNETS D'ACACIA  ⓫  Dupliquée pour 50 personnes</v>
      </c>
      <c r="X14" s="6736"/>
      <c r="Y14" s="6736"/>
      <c r="Z14" s="6736"/>
      <c r="AA14" s="6736"/>
      <c r="AB14" s="6736"/>
      <c r="AC14" s="6736"/>
      <c r="AD14" s="1359"/>
      <c r="AE14" s="1359" t="s">
        <v>35</v>
      </c>
      <c r="AF14" s="140">
        <v>50</v>
      </c>
      <c r="AG14" s="43" t="str">
        <f>AG16</f>
        <v>personnes</v>
      </c>
      <c r="AH14" s="9"/>
      <c r="AI14" s="9"/>
      <c r="AJ14" s="1604" t="str">
        <f t="shared" si="6"/>
        <v>A</v>
      </c>
      <c r="AK14" s="6840"/>
      <c r="AL14" s="1333" t="s">
        <v>21</v>
      </c>
      <c r="AM14" s="69" t="s">
        <v>56</v>
      </c>
      <c r="AN14" s="36" t="s">
        <v>57</v>
      </c>
      <c r="AO14" s="45"/>
      <c r="AP14" s="45"/>
      <c r="AQ14" s="45"/>
      <c r="AR14" s="45"/>
      <c r="AS14" s="6568" t="s">
        <v>58</v>
      </c>
      <c r="AU14" s="472"/>
      <c r="AV14" s="3">
        <v>1</v>
      </c>
    </row>
    <row r="15" spans="1:50" ht="21" customHeight="1">
      <c r="B15" s="2155">
        <f>IF(C15="","",LEN(TRIM(SUBSTITUTE(C15,CHAR(160),""))))</f>
        <v>89</v>
      </c>
      <c r="C15" s="2128" t="s">
        <v>8874</v>
      </c>
      <c r="D15" s="2136"/>
      <c r="E15" s="2136"/>
      <c r="F15" s="2136"/>
      <c r="G15" s="2136"/>
      <c r="H15" s="2136"/>
      <c r="I15" s="2136"/>
      <c r="J15" s="2136"/>
      <c r="K15" s="2156"/>
      <c r="L15" s="2126" t="str" cm="1">
        <f t="array" ref="L15">IF(B15&lt;=0,0,ROUNDUP(SUMPRODUCT(LEN(C15:K15))/B15,0))&amp;" ligne(s)"</f>
        <v>1 ligne(s)</v>
      </c>
      <c r="M15" s="9"/>
      <c r="N15" s="1604" t="s">
        <v>10</v>
      </c>
      <c r="O15" s="31" t="str">
        <f>O17</f>
        <v>B BEIGNETS D'ACACIA | pâtisserie--Beignets| Auteur &gt; Cuisine Actuelle</v>
      </c>
      <c r="P15" s="32">
        <f>P17</f>
        <v>4</v>
      </c>
      <c r="Q15" s="32" t="str">
        <f>Q17</f>
        <v>personnes</v>
      </c>
      <c r="R15" s="33" t="str">
        <f>R17</f>
        <v>Recette mère ► Beignets d'acacia</v>
      </c>
      <c r="S15" s="1360">
        <v>4</v>
      </c>
      <c r="T15" s="1361" t="s">
        <v>8237</v>
      </c>
      <c r="U15" s="39"/>
      <c r="V15" s="39"/>
      <c r="W15" s="6736"/>
      <c r="X15" s="6736"/>
      <c r="Y15" s="6736"/>
      <c r="Z15" s="6736"/>
      <c r="AA15" s="6736"/>
      <c r="AB15" s="6736"/>
      <c r="AC15" s="6736"/>
      <c r="AD15" s="696"/>
      <c r="AE15" s="696"/>
      <c r="AF15" s="47" t="s">
        <v>40</v>
      </c>
      <c r="AG15" s="48" t="s">
        <v>41</v>
      </c>
      <c r="AH15" s="9"/>
      <c r="AI15" s="9"/>
      <c r="AJ15" s="1604" t="str">
        <f t="shared" si="6"/>
        <v>A</v>
      </c>
      <c r="AK15" s="1611" t="s">
        <v>8238</v>
      </c>
      <c r="AL15" s="1333" t="s">
        <v>21</v>
      </c>
      <c r="AM15" s="69"/>
      <c r="AN15" s="75"/>
      <c r="AO15" s="45"/>
      <c r="AP15" s="45"/>
      <c r="AQ15" s="45"/>
      <c r="AR15" s="45"/>
      <c r="AS15" s="6568"/>
      <c r="AU15" s="472"/>
      <c r="AV15" s="3">
        <v>1</v>
      </c>
    </row>
    <row r="16" spans="1:50" ht="21" customHeight="1">
      <c r="B16" s="6939" t="s">
        <v>1527</v>
      </c>
      <c r="C16" s="6940" t="s">
        <v>8234</v>
      </c>
      <c r="D16" s="6940"/>
      <c r="E16" s="6940"/>
      <c r="F16" s="6940"/>
      <c r="G16" s="6940"/>
      <c r="H16" s="6940"/>
      <c r="I16" s="6940"/>
      <c r="J16" s="6940"/>
      <c r="K16" s="6940"/>
      <c r="L16" s="6942" t="s">
        <v>8859</v>
      </c>
      <c r="M16" s="9"/>
      <c r="N16" s="1604" t="s">
        <v>10</v>
      </c>
      <c r="O16" s="31" t="str">
        <f>O17</f>
        <v>B BEIGNETS D'ACACIA | pâtisserie--Beignets| Auteur &gt; Cuisine Actuelle</v>
      </c>
      <c r="P16" s="32">
        <f>P17</f>
        <v>4</v>
      </c>
      <c r="Q16" s="32" t="str">
        <f>Q17</f>
        <v>personnes</v>
      </c>
      <c r="R16" s="33" t="str">
        <f>R17</f>
        <v>Recette mère ► Beignets d'acacia</v>
      </c>
      <c r="S16" s="53"/>
      <c r="T16" s="1323" t="s">
        <v>8094</v>
      </c>
      <c r="U16" s="6737">
        <f>AC32</f>
        <v>0.51</v>
      </c>
      <c r="V16" s="6737"/>
      <c r="W16" s="1324" t="str" cm="1">
        <f t="array" ref="W16">"1= "&amp;IF(OR(S15&lt;=0,U16=""),"",_xlfn.LET(_xlpm.kg,IF(ISNUMBER(U16),U16,VALEUR(SUBSTITUTE(SUBSTITUTE(SUBSTITUTE(LOWER(U16),"kg",""),",",".")," ",""))),TEXT(ROUND(_xlpm.kg*1000/S15,2),"0.##")&amp;" g"))</f>
        <v>1= 127.5 g</v>
      </c>
      <c r="X16" s="1325">
        <f>IFERROR(AF14/AF16,0)</f>
        <v>12.5</v>
      </c>
      <c r="Y16" s="1817" t="s">
        <v>8230</v>
      </c>
      <c r="Z16" s="579"/>
      <c r="AA16" s="55"/>
      <c r="AB16" s="55"/>
      <c r="AD16" s="1362"/>
      <c r="AE16" s="1362" t="s">
        <v>50</v>
      </c>
      <c r="AF16" s="2102">
        <v>4</v>
      </c>
      <c r="AG16" s="56" t="s">
        <v>8237</v>
      </c>
      <c r="AH16" s="9"/>
      <c r="AI16" s="9"/>
      <c r="AJ16" s="1604" t="str">
        <f t="shared" si="6"/>
        <v>A</v>
      </c>
      <c r="AK16" s="1611" t="str">
        <f>IF(AK13=AK18,"Aucunes",AK18-AK13)</f>
        <v>Aucunes</v>
      </c>
      <c r="AL16" s="1333" t="s">
        <v>21</v>
      </c>
      <c r="AM16" s="82" t="s">
        <v>33</v>
      </c>
      <c r="AN16" s="6569" t="s">
        <v>34</v>
      </c>
      <c r="AO16" s="6569"/>
      <c r="AP16" s="6569"/>
      <c r="AQ16" s="6569"/>
      <c r="AR16" s="45"/>
      <c r="AS16" s="6568"/>
      <c r="AU16" s="472"/>
      <c r="AV16" s="3">
        <v>1</v>
      </c>
      <c r="AX16" s="198" t="s">
        <v>14242</v>
      </c>
    </row>
    <row r="17" spans="2:50" ht="21" customHeight="1">
      <c r="B17" s="6939"/>
      <c r="C17" s="6941"/>
      <c r="D17" s="6941"/>
      <c r="E17" s="6941"/>
      <c r="F17" s="6941"/>
      <c r="G17" s="6941"/>
      <c r="H17" s="6941"/>
      <c r="I17" s="6941"/>
      <c r="J17" s="6941"/>
      <c r="K17" s="6941"/>
      <c r="L17" s="6942"/>
      <c r="M17" s="9"/>
      <c r="N17" s="1604" t="s">
        <v>10</v>
      </c>
      <c r="O17" s="61" t="str">
        <f>S17</f>
        <v>B BEIGNETS D'ACACIA | pâtisserie--Beignets| Auteur &gt; Cuisine Actuelle</v>
      </c>
      <c r="P17" s="62">
        <f>S15</f>
        <v>4</v>
      </c>
      <c r="Q17" s="61" t="str">
        <f>T15</f>
        <v>personnes</v>
      </c>
      <c r="R17" s="63" t="str">
        <f>Y17&amp;" "&amp;Z17</f>
        <v>Recette mère ► Beignets d'acacia</v>
      </c>
      <c r="S17" s="64" t="str">
        <f>UPPER(LEFT(V11,1))&amp;" "&amp;V11&amp;" | "&amp;AE11&amp;"| "&amp;V13&amp;" "&amp;W13</f>
        <v>B BEIGNETS D'ACACIA | pâtisserie--Beignets| Auteur &gt; Cuisine Actuelle</v>
      </c>
      <c r="T17" s="65" t="s">
        <v>53</v>
      </c>
      <c r="U17" s="6735" t="s">
        <v>54</v>
      </c>
      <c r="V17" s="6735"/>
      <c r="W17" s="6735"/>
      <c r="X17" s="66"/>
      <c r="Y17" s="66" t="str">
        <f>IF(ISTEXT(Z17),"Recette mère ►",T17)</f>
        <v>Recette mère ►</v>
      </c>
      <c r="Z17" s="67" t="s">
        <v>8142</v>
      </c>
      <c r="AA17" s="67"/>
      <c r="AB17" s="67"/>
      <c r="AC17" s="883"/>
      <c r="AD17" s="68"/>
      <c r="AE17" s="68"/>
      <c r="AF17" s="68"/>
      <c r="AG17"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H17" s="9"/>
      <c r="AI17" s="9"/>
      <c r="AJ17" s="1604" t="str">
        <f t="shared" si="6"/>
        <v>A</v>
      </c>
      <c r="AK17" s="1612" t="s">
        <v>8239</v>
      </c>
      <c r="AL17" s="1333" t="s">
        <v>21</v>
      </c>
      <c r="AM17" s="69"/>
      <c r="AN17" s="6569"/>
      <c r="AO17" s="6569"/>
      <c r="AP17" s="6569"/>
      <c r="AQ17" s="6569"/>
      <c r="AR17" s="45"/>
      <c r="AS17" s="46"/>
      <c r="AV17" s="3">
        <v>1</v>
      </c>
      <c r="AX17" s="198" t="s">
        <v>14230</v>
      </c>
    </row>
    <row r="18" spans="2:50" ht="21" customHeight="1">
      <c r="B18" s="1610" cm="1">
        <f t="array" ref="B18">SUMPRODUCT(LEN(C18:K18))</f>
        <v>0</v>
      </c>
      <c r="C18" s="1837"/>
      <c r="D18" s="1837"/>
      <c r="E18" s="1837"/>
      <c r="F18" s="1837"/>
      <c r="G18" s="1837"/>
      <c r="H18" s="1837"/>
      <c r="I18" s="1837"/>
      <c r="J18" s="1837"/>
      <c r="K18" s="1837"/>
      <c r="L18" s="2126" t="str" cm="1">
        <f t="array" ref="L18">IF(B15&lt;=0,0,ROUNDUP(SUMPRODUCT(LEN(C18:K18))/B15,0))&amp;" ligne(s)"</f>
        <v>0 ligne(s)</v>
      </c>
      <c r="M18" s="9"/>
      <c r="N18" s="1604" t="s">
        <v>10</v>
      </c>
      <c r="O18" s="70" t="str">
        <f>O17</f>
        <v>B BEIGNETS D'ACACIA | pâtisserie--Beignets| Auteur &gt; Cuisine Actuelle</v>
      </c>
      <c r="P18" s="70">
        <f>P17</f>
        <v>4</v>
      </c>
      <c r="Q18" s="70" t="str">
        <f>Q17</f>
        <v>personnes</v>
      </c>
      <c r="R18" s="71" t="str">
        <f>R17</f>
        <v>Recette mère ► Beignets d'acacia</v>
      </c>
      <c r="S18" s="12" t="s">
        <v>65</v>
      </c>
      <c r="T18" s="12" t="s">
        <v>66</v>
      </c>
      <c r="U18" s="12" t="s">
        <v>67</v>
      </c>
      <c r="V18" s="12" t="s">
        <v>68</v>
      </c>
      <c r="W18" s="72" t="s">
        <v>69</v>
      </c>
      <c r="X18" s="73" t="s">
        <v>70</v>
      </c>
      <c r="Y18" s="12" t="s">
        <v>71</v>
      </c>
      <c r="Z18" s="12" t="s">
        <v>72</v>
      </c>
      <c r="AA18" s="12" t="s">
        <v>73</v>
      </c>
      <c r="AB18" s="12" t="s">
        <v>74</v>
      </c>
      <c r="AC18" s="12" t="s">
        <v>75</v>
      </c>
      <c r="AD18" s="12" t="s">
        <v>76</v>
      </c>
      <c r="AE18" s="12" t="s">
        <v>77</v>
      </c>
      <c r="AF18" s="12" t="s">
        <v>8143</v>
      </c>
      <c r="AG18" s="74" t="s">
        <v>8407</v>
      </c>
      <c r="AH18" s="9"/>
      <c r="AI18" s="9"/>
      <c r="AJ18" s="1604" t="str">
        <f t="shared" si="6"/>
        <v>A</v>
      </c>
      <c r="AK18" s="6841">
        <f>ROWS(AJ11:AJ406)</f>
        <v>396</v>
      </c>
      <c r="AL18" s="1333" t="s">
        <v>21</v>
      </c>
      <c r="AM18" s="69"/>
      <c r="AN18" s="101"/>
      <c r="AO18" s="102"/>
      <c r="AP18" s="102"/>
      <c r="AQ18" s="102"/>
      <c r="AR18" s="45"/>
      <c r="AS18" s="46"/>
      <c r="AV18" s="3">
        <v>1</v>
      </c>
      <c r="AX18" s="198"/>
    </row>
    <row r="19" spans="2:50" ht="21" customHeight="1">
      <c r="B19" s="1610" cm="1">
        <f t="array" ref="B19">SUMPRODUCT(LEN(C19:K19))</f>
        <v>34</v>
      </c>
      <c r="C19" s="1810"/>
      <c r="D19" s="1810"/>
      <c r="E19" s="2125" t="s">
        <v>8236</v>
      </c>
      <c r="F19" s="2125"/>
      <c r="G19" s="1810"/>
      <c r="H19" s="1810"/>
      <c r="I19" s="1810"/>
      <c r="J19" s="1810"/>
      <c r="K19" s="1810"/>
      <c r="L19" s="2126" t="str" cm="1">
        <f t="array" ref="L19">IF(B15&lt;=0,0,ROUNDUP(SUMPRODUCT(LEN(C19:K19))/B15,0))&amp;" ligne(s)"</f>
        <v>1 ligne(s)</v>
      </c>
      <c r="M19" s="9"/>
      <c r="N19" s="1604" t="s">
        <v>10</v>
      </c>
      <c r="O19" s="31" t="str">
        <f>O17</f>
        <v>B BEIGNETS D'ACACIA | pâtisserie--Beignets| Auteur &gt; Cuisine Actuelle</v>
      </c>
      <c r="P19" s="32">
        <f>P17</f>
        <v>4</v>
      </c>
      <c r="Q19" s="31" t="str">
        <f>Q17</f>
        <v>personnes</v>
      </c>
      <c r="R19" s="33" t="str">
        <f>R17</f>
        <v>Recette mère ► Beignets d'acacia</v>
      </c>
      <c r="S19" s="76" t="s">
        <v>78</v>
      </c>
      <c r="T19" s="77" t="s">
        <v>79</v>
      </c>
      <c r="U19" s="78"/>
      <c r="V19" s="6612" t="s">
        <v>80</v>
      </c>
      <c r="W19" s="6730" t="s">
        <v>81</v>
      </c>
      <c r="X19" s="6732" t="s">
        <v>82</v>
      </c>
      <c r="Y19" s="6738" t="s">
        <v>8575</v>
      </c>
      <c r="Z19" s="79" t="s">
        <v>83</v>
      </c>
      <c r="AA19" s="80" t="s">
        <v>49</v>
      </c>
      <c r="AB19" s="81" t="s">
        <v>84</v>
      </c>
      <c r="AC19" s="6607" t="s">
        <v>85</v>
      </c>
      <c r="AD19" s="6582" t="s">
        <v>84</v>
      </c>
      <c r="AE19" s="6727" t="s">
        <v>8405</v>
      </c>
      <c r="AF19" s="6584" t="s">
        <v>86</v>
      </c>
      <c r="AG19" s="6728" t="s">
        <v>87</v>
      </c>
      <c r="AH19" s="9"/>
      <c r="AI19" s="9"/>
      <c r="AJ19" s="1604" t="str">
        <f t="shared" si="6"/>
        <v>A</v>
      </c>
      <c r="AK19" s="6841"/>
      <c r="AL19" s="1333" t="s">
        <v>21</v>
      </c>
      <c r="AM19" s="69"/>
      <c r="AN19" s="101" t="s">
        <v>103</v>
      </c>
      <c r="AO19" s="102"/>
      <c r="AP19" s="102"/>
      <c r="AQ19" s="102"/>
      <c r="AR19" s="45"/>
      <c r="AS19" s="46"/>
      <c r="AV19" s="3">
        <v>1</v>
      </c>
      <c r="AX19" s="198" t="s">
        <v>14233</v>
      </c>
    </row>
    <row r="20" spans="2:50" ht="21" customHeight="1">
      <c r="B20" s="1610" cm="1">
        <f t="array" ref="B20">SUMPRODUCT(LEN(C20:K20))</f>
        <v>0</v>
      </c>
      <c r="C20" s="1810"/>
      <c r="D20" s="1810"/>
      <c r="E20" s="1810"/>
      <c r="F20" s="1810"/>
      <c r="G20" s="1810"/>
      <c r="H20" s="1810"/>
      <c r="I20" s="1810"/>
      <c r="J20" s="1810"/>
      <c r="K20" s="1810"/>
      <c r="L20" s="2126" t="str" cm="1">
        <f t="array" ref="L20">IF(B15&lt;=0,0,ROUNDUP(SUMPRODUCT(LEN(C20:K20))/B15,0))&amp;" ligne(s)"</f>
        <v>0 ligne(s)</v>
      </c>
      <c r="M20" s="9"/>
      <c r="N20" s="1604" t="s">
        <v>10</v>
      </c>
      <c r="O20" s="31" t="str">
        <f>O17</f>
        <v>B BEIGNETS D'ACACIA | pâtisserie--Beignets| Auteur &gt; Cuisine Actuelle</v>
      </c>
      <c r="P20" s="32">
        <f>P17</f>
        <v>4</v>
      </c>
      <c r="Q20" s="31" t="str">
        <f>Q17</f>
        <v>personnes</v>
      </c>
      <c r="R20" s="33" t="str">
        <f>R17</f>
        <v>Recette mère ► Beignets d'acacia</v>
      </c>
      <c r="S20" s="83" t="s">
        <v>92</v>
      </c>
      <c r="T20" s="84" t="s">
        <v>93</v>
      </c>
      <c r="U20" s="85" t="s">
        <v>94</v>
      </c>
      <c r="V20" s="6577"/>
      <c r="W20" s="6471"/>
      <c r="X20" s="6606"/>
      <c r="Y20" s="6739"/>
      <c r="Z20" s="86" t="s">
        <v>95</v>
      </c>
      <c r="AA20" s="87" t="s">
        <v>96</v>
      </c>
      <c r="AB20" s="88">
        <v>1</v>
      </c>
      <c r="AC20" s="6608"/>
      <c r="AD20" s="6583"/>
      <c r="AE20" s="6583"/>
      <c r="AF20" s="6585"/>
      <c r="AG20" s="6786"/>
      <c r="AH20" s="9"/>
      <c r="AI20" s="9"/>
      <c r="AJ20" s="1604" t="str">
        <f t="shared" si="6"/>
        <v>A</v>
      </c>
      <c r="AK20" s="6842" t="s">
        <v>8240</v>
      </c>
      <c r="AL20" s="1333" t="s">
        <v>21</v>
      </c>
      <c r="AM20" s="112"/>
      <c r="AN20" s="113"/>
      <c r="AO20" s="45"/>
      <c r="AP20" s="45"/>
      <c r="AQ20" s="45"/>
      <c r="AR20" s="45"/>
      <c r="AS20" s="46"/>
      <c r="AV20" s="3">
        <v>1</v>
      </c>
      <c r="AX20" s="198" t="s">
        <v>14236</v>
      </c>
    </row>
    <row r="21" spans="2:50" ht="21" customHeight="1">
      <c r="B21" s="1610" cm="1">
        <f t="array" ref="B21">SUMPRODUCT(LEN(C21:K21))</f>
        <v>0</v>
      </c>
      <c r="C21" s="1810"/>
      <c r="D21" s="1810"/>
      <c r="E21" s="1810"/>
      <c r="F21" s="1810"/>
      <c r="G21" s="1810"/>
      <c r="H21" s="1810"/>
      <c r="I21" s="1810"/>
      <c r="J21" s="1810"/>
      <c r="K21" s="1810"/>
      <c r="L21" s="2126" t="str" cm="1">
        <f t="array" ref="L21">IF(B15&lt;=0,0,ROUNDUP(SUMPRODUCT(LEN(C21:K21))/B15,0))&amp;" ligne(s)"</f>
        <v>0 ligne(s)</v>
      </c>
      <c r="N21" s="1604" t="s">
        <v>10</v>
      </c>
      <c r="O21" s="31" t="str">
        <f>O17</f>
        <v>B BEIGNETS D'ACACIA | pâtisserie--Beignets| Auteur &gt; Cuisine Actuelle</v>
      </c>
      <c r="P21" s="32">
        <f>P17</f>
        <v>4</v>
      </c>
      <c r="Q21" s="31" t="str">
        <f>Q17</f>
        <v>personnes</v>
      </c>
      <c r="R21" s="33" t="str">
        <f>R17</f>
        <v>Recette mère ► Beignets d'acacia</v>
      </c>
      <c r="S21" s="89">
        <v>1</v>
      </c>
      <c r="T21" s="108" t="s">
        <v>8241</v>
      </c>
      <c r="U21" s="1363" t="str">
        <f t="shared" ref="U21:U29" si="8">IF(AND(S21&gt;0,V21&gt;0),"de","")</f>
        <v/>
      </c>
      <c r="V21" s="92"/>
      <c r="W21" s="1364"/>
      <c r="X21" s="130">
        <v>1</v>
      </c>
      <c r="Y21" s="1812" t="str">
        <f>ROWS(Y21:Y21)&amp;" ►"</f>
        <v>1 ►</v>
      </c>
      <c r="Z21" s="1580" t="s">
        <v>8242</v>
      </c>
      <c r="AA21" s="95">
        <f>IF(AC32=0,0,(AC21/AC32)*AB20*1000)</f>
        <v>0</v>
      </c>
      <c r="AB21" s="96">
        <f>IF(AC32=0, 0, (S21*X21)/(AC32*AB20))</f>
        <v>1.9607843137254901</v>
      </c>
      <c r="AC21" s="97" cm="1">
        <f t="array" ref="AC21">IFERROR(_xlfn.XLOOKUP(UPPER(TRIM(W21)),UPPER(TRIM(S33:AG33)),S34:AG34,_xlfn.XLOOKUP(UPPER(TRIM(W21)),UPPER(TRIM(S35:AG35)),S36:AG36,0))*V21*IF(S21&gt;0,S21,1),0)</f>
        <v>0</v>
      </c>
      <c r="AD21" s="98">
        <f>IF(AF16&lt;&gt;0,S21*X21*X16,0)</f>
        <v>12.5</v>
      </c>
      <c r="AE21" s="1834" t="str">
        <f>T21</f>
        <v>poignée</v>
      </c>
      <c r="AF21" s="99">
        <f>IF(OR(ISBLANK(AF16),AF16=0),0,AC21*X21*X16)</f>
        <v>0</v>
      </c>
      <c r="AG21" s="100" t="str">
        <f>IF(W21="","",IF(COUNTIF(Z33:AG33,SUBSTITUTE(TRIM(W21)," (s)",""))+COUNTIF(Z35:AG35,SUBSTITUTE(TRIM(W21)," (s)",""))&gt;0,IF(ROUND(AF21,3)&gt;=1,ROUND(AF21,3)&amp;" L",MAX(1,ROUND(AF21*100,0))&amp;" cl"),IF(COUNTIF(S33:X33,SUBSTITUTE(TRIM(W21)," (s)",""))+COUNTIF(S35:X35,SUBSTITUTE(TRIM(W21)," (s)",""))&gt;0,IF(ROUND(AF21,3)&gt;=1,ROUND(AF21,3)&amp;" Kg",MAX(1,ROUND(AF21*1000,0))&amp;" g"),"")))</f>
        <v/>
      </c>
      <c r="AJ21" s="1604" t="str">
        <f t="shared" si="6"/>
        <v>A</v>
      </c>
      <c r="AK21" s="6842"/>
      <c r="AL21" s="1333" t="s">
        <v>21</v>
      </c>
      <c r="AM21" s="114" t="s">
        <v>106</v>
      </c>
      <c r="AN21" s="115"/>
      <c r="AO21" s="116"/>
      <c r="AP21" s="117"/>
      <c r="AQ21" s="45"/>
      <c r="AR21" s="45"/>
      <c r="AS21" s="46"/>
      <c r="AV21" s="3">
        <v>1</v>
      </c>
    </row>
    <row r="22" spans="2:50" ht="21" customHeight="1">
      <c r="B22" s="1610" cm="1">
        <f t="array" ref="B22">SUMPRODUCT(LEN(C22:K22))</f>
        <v>0</v>
      </c>
      <c r="C22" s="1810"/>
      <c r="D22" s="1810"/>
      <c r="E22" s="1810"/>
      <c r="F22" s="1810"/>
      <c r="G22" s="1810"/>
      <c r="H22" s="1810"/>
      <c r="I22" s="1810"/>
      <c r="J22" s="1810"/>
      <c r="K22" s="1810"/>
      <c r="L22" s="2126" t="str" cm="1">
        <f t="array" ref="L22">IF(B15&lt;=0,0,ROUNDUP(SUMPRODUCT(LEN(C22:K22))/B15,0))&amp;" ligne(s)"</f>
        <v>0 ligne(s)</v>
      </c>
      <c r="N22" s="103" t="str">
        <f>IF(Z22&lt;&gt;"","A","►")</f>
        <v>A</v>
      </c>
      <c r="O22" s="31" t="str">
        <f>O17</f>
        <v>B BEIGNETS D'ACACIA | pâtisserie--Beignets| Auteur &gt; Cuisine Actuelle</v>
      </c>
      <c r="P22" s="32">
        <f>P17</f>
        <v>4</v>
      </c>
      <c r="Q22" s="31" t="str">
        <f>Q17</f>
        <v>personnes</v>
      </c>
      <c r="R22" s="33" t="str">
        <f>R17</f>
        <v>Recette mère ► Beignets d'acacia</v>
      </c>
      <c r="S22" s="89"/>
      <c r="T22" s="108"/>
      <c r="U22" s="91" t="str">
        <f t="shared" si="8"/>
        <v/>
      </c>
      <c r="V22" s="92">
        <v>180</v>
      </c>
      <c r="W22" s="104" t="s">
        <v>100</v>
      </c>
      <c r="X22" s="130">
        <v>1</v>
      </c>
      <c r="Y22" s="1813" t="str">
        <f>ROWS(Y21:Y22)&amp;" ►"</f>
        <v>2 ►</v>
      </c>
      <c r="Z22" s="1580" t="s">
        <v>8243</v>
      </c>
      <c r="AA22" s="95">
        <f>IF(AC32=0,0,(AC22/AC32)*AB20*1000)</f>
        <v>352.94117647058818</v>
      </c>
      <c r="AB22" s="105">
        <f>IF(AC32=0, 0, (S22*X22)/(AC32*AB20))</f>
        <v>0</v>
      </c>
      <c r="AC22" s="97" cm="1">
        <f t="array" ref="AC22">IFERROR(_xlfn.XLOOKUP(UPPER(TRIM(W22)),UPPER(TRIM(S33:AG33)),S34:AG34,_xlfn.XLOOKUP(UPPER(TRIM(W22)),UPPER(TRIM(S35:AG35)),S36:AG36,0))*V22*IF(S22&gt;0,S22,1),0)</f>
        <v>0.18</v>
      </c>
      <c r="AD22" s="110">
        <f>IF(AF16&lt;&gt;0,S22*X22*X16,0)</f>
        <v>0</v>
      </c>
      <c r="AE22" s="1748">
        <f t="shared" ref="AE22:AE31" si="9">T22</f>
        <v>0</v>
      </c>
      <c r="AF22" s="99">
        <f>IF(OR(ISBLANK(AF16),AF16=0),0,AC22*X22*X16)</f>
        <v>2.25</v>
      </c>
      <c r="AG22" s="111" t="str">
        <f>IF(W22="","",IF(COUNTIF(Z33:AG33,SUBSTITUTE(TRIM(W22)," (s)",""))+COUNTIF(Z35:AG35,SUBSTITUTE(TRIM(W22)," (s)",""))&gt;0,IF(ROUND(AF22,3)&gt;=1,ROUND(AF22,3)&amp;" L",MAX(1,ROUND(AF22*100,0))&amp;" cl"),IF(COUNTIF(S33:X33,SUBSTITUTE(TRIM(W22)," (s)",""))+COUNTIF(S35:X35,SUBSTITUTE(TRIM(W22)," (s)",""))&gt;0,IF(ROUND(AF22,3)&gt;=1,ROUND(AF22,3)&amp;" Kg",MAX(1,ROUND(AF22*1000,0))&amp;" g"),"")))</f>
        <v>2.25 Kg</v>
      </c>
      <c r="AJ22" s="103" t="str">
        <f t="shared" si="6"/>
        <v>A</v>
      </c>
      <c r="AK22" s="6843" t="s">
        <v>8244</v>
      </c>
      <c r="AL22" s="1333" t="s">
        <v>21</v>
      </c>
      <c r="AM22" s="44"/>
      <c r="AN22" s="45"/>
      <c r="AO22" s="119" t="str">
        <f>IF(ISTEXT(AP22),"Recette mère ►",#REF!)</f>
        <v>Recette mère ►</v>
      </c>
      <c r="AP22" s="120" t="s">
        <v>55</v>
      </c>
      <c r="AQ22" s="45"/>
      <c r="AR22" s="45"/>
      <c r="AS22" s="46"/>
      <c r="AV22" s="3">
        <v>1</v>
      </c>
    </row>
    <row r="23" spans="2:50" ht="21" customHeight="1">
      <c r="B23" s="1610" cm="1">
        <f t="array" ref="B23">SUMPRODUCT(LEN(C23:K23))</f>
        <v>0</v>
      </c>
      <c r="C23" s="1810"/>
      <c r="D23" s="1810"/>
      <c r="E23" s="1810"/>
      <c r="F23" s="1810"/>
      <c r="G23" s="1810"/>
      <c r="H23" s="1810"/>
      <c r="I23" s="1810"/>
      <c r="J23" s="1810"/>
      <c r="K23" s="1810"/>
      <c r="L23" s="2126" t="str" cm="1">
        <f t="array" ref="L23">IF(B15&lt;=0,0,ROUNDUP(SUMPRODUCT(LEN(C23:K23))/B15,0))&amp;" ligne(s)"</f>
        <v>0 ligne(s)</v>
      </c>
      <c r="N23" s="103" t="str">
        <f t="shared" ref="N23:N30" si="10">IF(Z23&lt;&gt;"","A","►")</f>
        <v>A</v>
      </c>
      <c r="O23" s="31" t="str">
        <f>O17</f>
        <v>B BEIGNETS D'ACACIA | pâtisserie--Beignets| Auteur &gt; Cuisine Actuelle</v>
      </c>
      <c r="P23" s="32">
        <f>P17</f>
        <v>4</v>
      </c>
      <c r="Q23" s="31" t="str">
        <f>Q17</f>
        <v>personnes</v>
      </c>
      <c r="R23" s="33" t="str">
        <f>R17</f>
        <v>Recette mère ► Beignets d'acacia</v>
      </c>
      <c r="S23" s="89">
        <v>1</v>
      </c>
      <c r="T23" s="108" t="s">
        <v>8245</v>
      </c>
      <c r="U23" s="1363" t="str">
        <f t="shared" si="8"/>
        <v>de</v>
      </c>
      <c r="V23" s="92">
        <v>60</v>
      </c>
      <c r="W23" s="104" t="s">
        <v>100</v>
      </c>
      <c r="X23" s="130">
        <v>1</v>
      </c>
      <c r="Y23" s="1813" t="str">
        <f>ROWS(Y21:Y23)&amp;" ►"</f>
        <v>3 ►</v>
      </c>
      <c r="Z23" s="1580" t="s">
        <v>8245</v>
      </c>
      <c r="AA23" s="95">
        <f>IF(AC32=0,0,(AC23/AC32)*AB20*1000)</f>
        <v>117.64705882352941</v>
      </c>
      <c r="AB23" s="105">
        <f>IF(AC32=0, 0, (S23*X23)/(AC32*AB20))</f>
        <v>1.9607843137254901</v>
      </c>
      <c r="AC23" s="97" cm="1">
        <f t="array" ref="AC23">IFERROR(_xlfn.XLOOKUP(UPPER(TRIM(W23)),UPPER(TRIM(S33:AG33)),S34:AG34,_xlfn.XLOOKUP(UPPER(TRIM(W23)),UPPER(TRIM(S35:AG35)),S36:AG36,0))*V23*IF(S23&gt;0,S23,1),0)</f>
        <v>0.06</v>
      </c>
      <c r="AD23" s="106">
        <f>IF(AF16&lt;&gt;0,S23*X23*X16,0)</f>
        <v>12.5</v>
      </c>
      <c r="AE23" s="1747" t="str">
        <f t="shared" si="9"/>
        <v>œuf</v>
      </c>
      <c r="AF23" s="99">
        <f>IF(OR(ISBLANK(AF16),AF16=0),0,AC23*X23*X16)</f>
        <v>0.75</v>
      </c>
      <c r="AG23" s="107" t="str">
        <f>IF(W23="","",IF(COUNTIF(Z33:AG33,SUBSTITUTE(TRIM(W23)," (s)",""))+COUNTIF(Z35:AG35,SUBSTITUTE(TRIM(W23)," (s)",""))&gt;0,IF(ROUND(AF23,3)&gt;=1,ROUND(AF23,3)&amp;" L",MAX(1,ROUND(AF23*100,0))&amp;" cl"),IF(COUNTIF(S33:X33,SUBSTITUTE(TRIM(W23)," (s)",""))+COUNTIF(S35:X35,SUBSTITUTE(TRIM(W23)," (s)",""))&gt;0,IF(ROUND(AF23,3)&gt;=1,ROUND(AF23,3)&amp;" Kg",MAX(1,ROUND(AF23*1000,0))&amp;" g"),"")))</f>
        <v>750 g</v>
      </c>
      <c r="AJ23" s="103" t="str">
        <f t="shared" si="6"/>
        <v>A</v>
      </c>
      <c r="AK23" s="6843"/>
      <c r="AL23" s="1333" t="s">
        <v>21</v>
      </c>
      <c r="AM23" s="44"/>
      <c r="AN23" s="45"/>
      <c r="AO23" s="45"/>
      <c r="AP23" s="45"/>
      <c r="AQ23" s="45"/>
      <c r="AR23" s="45"/>
      <c r="AS23" s="46"/>
      <c r="AV23" s="3">
        <v>1</v>
      </c>
      <c r="AX23" s="198" t="s">
        <v>14243</v>
      </c>
    </row>
    <row r="24" spans="2:50" ht="21" customHeight="1">
      <c r="B24" s="1610" cm="1">
        <f t="array" ref="B24">SUMPRODUCT(LEN(C24:K24))</f>
        <v>0</v>
      </c>
      <c r="C24" s="1810"/>
      <c r="D24" s="1810"/>
      <c r="E24" s="1810"/>
      <c r="F24" s="1810"/>
      <c r="G24" s="1810"/>
      <c r="H24" s="1810"/>
      <c r="I24" s="1810"/>
      <c r="J24" s="1810"/>
      <c r="K24" s="1810"/>
      <c r="L24" s="2126" t="str" cm="1">
        <f t="array" ref="L24">IF(B15&lt;=0,0,ROUNDUP(SUMPRODUCT(LEN(C24:K24))/B15,0))&amp;" ligne(s)"</f>
        <v>0 ligne(s)</v>
      </c>
      <c r="N24" s="103" t="str">
        <f t="shared" si="10"/>
        <v>A</v>
      </c>
      <c r="O24" s="31" t="str">
        <f>O17</f>
        <v>B BEIGNETS D'ACACIA | pâtisserie--Beignets| Auteur &gt; Cuisine Actuelle</v>
      </c>
      <c r="P24" s="32">
        <f>P17</f>
        <v>4</v>
      </c>
      <c r="Q24" s="31" t="str">
        <f>Q17</f>
        <v>personnes</v>
      </c>
      <c r="R24" s="33" t="str">
        <f>R17</f>
        <v>Recette mère ► Beignets d'acacia</v>
      </c>
      <c r="S24" s="89"/>
      <c r="T24" s="108"/>
      <c r="U24" s="91" t="str">
        <f t="shared" si="8"/>
        <v/>
      </c>
      <c r="V24" s="92">
        <v>25</v>
      </c>
      <c r="W24" s="93" t="s">
        <v>144</v>
      </c>
      <c r="X24" s="130">
        <v>1</v>
      </c>
      <c r="Y24" s="1813" t="str">
        <f>ROWS(Y21:Y24)&amp;" ►"</f>
        <v>4 ►</v>
      </c>
      <c r="Z24" s="1580" t="s">
        <v>8246</v>
      </c>
      <c r="AA24" s="95">
        <f>IF(AC32=0,0,(AC24/AC32)*AB20*1000)</f>
        <v>490.19607843137254</v>
      </c>
      <c r="AB24" s="105">
        <f>IF(AC32=0, 0, (S24*X24)/(AC32*AB20))</f>
        <v>0</v>
      </c>
      <c r="AC24" s="97" cm="1">
        <f t="array" ref="AC24">IFERROR(_xlfn.XLOOKUP(UPPER(TRIM(W24)),UPPER(TRIM(S33:AG33)),S34:AG34,_xlfn.XLOOKUP(UPPER(TRIM(W24)),UPPER(TRIM(S35:AG35)),S36:AG36,0))*V24*IF(S24&gt;0,S24,1),0)</f>
        <v>0.25</v>
      </c>
      <c r="AD24" s="110">
        <f>IF(AF16&lt;&gt;0,S24*X24*X16,0)</f>
        <v>0</v>
      </c>
      <c r="AE24" s="1748">
        <f t="shared" si="9"/>
        <v>0</v>
      </c>
      <c r="AF24" s="99">
        <f>IF(OR(ISBLANK(AF16),AF16=0),0,AC24*X24*X16)</f>
        <v>3.125</v>
      </c>
      <c r="AG24" s="129" t="str">
        <f>IF(W24="","",IF(COUNTIF(Z33:AG33,SUBSTITUTE(TRIM(W24)," (s)",""))+COUNTIF(Z35:AG35,SUBSTITUTE(TRIM(W24)," (s)",""))&gt;0,IF(ROUND(AF24,3)&gt;=1,ROUND(AF24,3)&amp;" L",MAX(1,ROUND(AF24*100,0))&amp;" cl"),IF(COUNTIF(S33:X33,SUBSTITUTE(TRIM(W24)," (s)",""))+COUNTIF(S35:X35,SUBSTITUTE(TRIM(W24)," (s)",""))&gt;0,IF(ROUND(AF24,3)&gt;=1,ROUND(AF24,3)&amp;" Kg",MAX(1,ROUND(AF24*1000,0))&amp;" g"),"")))</f>
        <v>3.125 L</v>
      </c>
      <c r="AJ24" s="103" t="str">
        <f t="shared" si="6"/>
        <v>A</v>
      </c>
      <c r="AK24" s="6843"/>
      <c r="AL24" s="1333" t="s">
        <v>21</v>
      </c>
      <c r="AM24" s="44"/>
      <c r="AN24" s="122" t="s">
        <v>111</v>
      </c>
      <c r="AO24" s="123"/>
      <c r="AP24" s="124"/>
      <c r="AQ24" s="45"/>
      <c r="AR24" s="45"/>
      <c r="AS24" s="46"/>
      <c r="AV24" s="3">
        <v>1</v>
      </c>
      <c r="AX24" s="198" t="s">
        <v>14231</v>
      </c>
    </row>
    <row r="25" spans="2:50" ht="21" customHeight="1">
      <c r="B25" s="1610" cm="1">
        <f t="array" ref="B25">SUMPRODUCT(LEN(C25:K25))</f>
        <v>0</v>
      </c>
      <c r="C25" s="1810"/>
      <c r="D25" s="1810"/>
      <c r="E25" s="1810"/>
      <c r="F25" s="1810"/>
      <c r="G25" s="1810"/>
      <c r="H25" s="1810"/>
      <c r="I25" s="1810"/>
      <c r="J25" s="1810"/>
      <c r="K25" s="1810"/>
      <c r="L25" s="2126" t="str" cm="1">
        <f t="array" ref="L25">IF(B15&lt;=0,0,ROUNDUP(SUMPRODUCT(LEN(C25:K25))/B15,0))&amp;" ligne(s)"</f>
        <v>0 ligne(s)</v>
      </c>
      <c r="N25" s="103" t="str">
        <f t="shared" si="10"/>
        <v>A</v>
      </c>
      <c r="O25" s="31" t="str">
        <f>O17</f>
        <v>B BEIGNETS D'ACACIA | pâtisserie--Beignets| Auteur &gt; Cuisine Actuelle</v>
      </c>
      <c r="P25" s="32">
        <f>P17</f>
        <v>4</v>
      </c>
      <c r="Q25" s="31" t="str">
        <f>Q17</f>
        <v>personnes</v>
      </c>
      <c r="R25" s="33" t="str">
        <f>R17</f>
        <v>Recette mère ► Beignets d'acacia</v>
      </c>
      <c r="S25" s="89">
        <v>1</v>
      </c>
      <c r="T25" s="108" t="s">
        <v>8247</v>
      </c>
      <c r="U25" s="1363" t="str">
        <f t="shared" si="8"/>
        <v/>
      </c>
      <c r="V25" s="92"/>
      <c r="W25" s="1364"/>
      <c r="X25" s="130">
        <v>1</v>
      </c>
      <c r="Y25" s="1813" t="str">
        <f>ROWS(Y21:Y25)&amp;" ►"</f>
        <v>5 ►</v>
      </c>
      <c r="Z25" s="1580" t="s">
        <v>8248</v>
      </c>
      <c r="AA25" s="95">
        <f>IF(AC32=0,0,(AC25/AC32)*AB20*1000)</f>
        <v>0</v>
      </c>
      <c r="AB25" s="105">
        <f>IF(AC32=0, 0, (S25*X25)/(AC32*AB20))</f>
        <v>1.9607843137254901</v>
      </c>
      <c r="AC25" s="97" cm="1">
        <f t="array" ref="AC25">IFERROR(_xlfn.XLOOKUP(UPPER(TRIM(W25)),UPPER(TRIM(S33:AG33)),S34:AG34,_xlfn.XLOOKUP(UPPER(TRIM(W25)),UPPER(TRIM(S35:AG35)),S36:AG36,0))*V25*IF(S25&gt;0,S25,1),0)</f>
        <v>0</v>
      </c>
      <c r="AD25" s="106">
        <f>IF(AF16&lt;&gt;0,S25*X25*X16,0)</f>
        <v>12.5</v>
      </c>
      <c r="AE25" s="1747" t="str">
        <f t="shared" si="9"/>
        <v>C/café</v>
      </c>
      <c r="AF25" s="99">
        <f>IF(OR(ISBLANK(AF16),AF16=0),0,AC25*X25*X16)</f>
        <v>0</v>
      </c>
      <c r="AG25" s="107" t="str">
        <f>IF(W25="","",IF(COUNTIF(Z33:AG33,SUBSTITUTE(TRIM(W25)," (s)",""))+COUNTIF(Z35:AG35,SUBSTITUTE(TRIM(W25)," (s)",""))&gt;0,IF(ROUND(AF25,3)&gt;=1,ROUND(AF25,3)&amp;" L",MAX(1,ROUND(AF25*100,0))&amp;" cl"),IF(COUNTIF(S33:X33,SUBSTITUTE(TRIM(W25)," (s)",""))+COUNTIF(S35:X35,SUBSTITUTE(TRIM(W25)," (s)",""))&gt;0,IF(ROUND(AF25,3)&gt;=1,ROUND(AF25,3)&amp;" Kg",MAX(1,ROUND(AF25*1000,0))&amp;" g"),"")))</f>
        <v/>
      </c>
      <c r="AJ25" s="103" t="str">
        <f t="shared" si="6"/>
        <v>A</v>
      </c>
      <c r="AK25" s="1613"/>
      <c r="AL25" s="1333" t="s">
        <v>21</v>
      </c>
      <c r="AM25" s="44"/>
      <c r="AN25" s="6443" t="s">
        <v>116</v>
      </c>
      <c r="AO25" s="126" t="s">
        <v>117</v>
      </c>
      <c r="AP25" s="127"/>
      <c r="AQ25" s="45"/>
      <c r="AR25" s="45"/>
      <c r="AS25" s="46"/>
      <c r="AV25" s="3">
        <v>1</v>
      </c>
      <c r="AX25" s="198"/>
    </row>
    <row r="26" spans="2:50" ht="21" customHeight="1">
      <c r="B26" s="1610" cm="1">
        <f t="array" ref="B26">SUMPRODUCT(LEN(C26:K26))</f>
        <v>0</v>
      </c>
      <c r="C26" s="1810"/>
      <c r="D26" s="1810"/>
      <c r="E26" s="1810"/>
      <c r="F26" s="1810"/>
      <c r="G26" s="1810"/>
      <c r="H26" s="1810"/>
      <c r="I26" s="1810"/>
      <c r="J26" s="1810"/>
      <c r="K26" s="1810"/>
      <c r="L26" s="2126" t="str" cm="1">
        <f t="array" ref="L26">IF(B15&lt;=0,0,ROUNDUP(SUMPRODUCT(LEN(C26:K26))/B15,0))&amp;" ligne(s)"</f>
        <v>0 ligne(s)</v>
      </c>
      <c r="N26" s="103" t="str">
        <f t="shared" si="10"/>
        <v>A</v>
      </c>
      <c r="O26" s="31" t="str">
        <f>O17</f>
        <v>B BEIGNETS D'ACACIA | pâtisserie--Beignets| Auteur &gt; Cuisine Actuelle</v>
      </c>
      <c r="P26" s="32">
        <f>P17</f>
        <v>4</v>
      </c>
      <c r="Q26" s="31" t="str">
        <f>Q17</f>
        <v>personnes</v>
      </c>
      <c r="R26" s="33" t="str">
        <f>R17</f>
        <v>Recette mère ► Beignets d'acacia</v>
      </c>
      <c r="S26" s="89"/>
      <c r="T26" s="108"/>
      <c r="U26" s="91" t="str">
        <f t="shared" si="8"/>
        <v/>
      </c>
      <c r="V26" s="92">
        <v>20</v>
      </c>
      <c r="W26" s="104" t="s">
        <v>100</v>
      </c>
      <c r="X26" s="130">
        <v>1</v>
      </c>
      <c r="Y26" s="1813" t="str">
        <f>ROWS(Y21:Y26)&amp;" ►"</f>
        <v>6 ►</v>
      </c>
      <c r="Z26" s="1580" t="s">
        <v>8249</v>
      </c>
      <c r="AA26" s="95">
        <f>IF(AC32=0,0,(AC26/AC32)*AB20*1000)</f>
        <v>39.215686274509807</v>
      </c>
      <c r="AB26" s="105">
        <f>IF(AC32=0, 0, (S26*X26)/(AC32*AB20))</f>
        <v>0</v>
      </c>
      <c r="AC26" s="97" cm="1">
        <f t="array" ref="AC26">IFERROR(_xlfn.XLOOKUP(UPPER(TRIM(W26)),UPPER(TRIM(S33:AG33)),S34:AG34,_xlfn.XLOOKUP(UPPER(TRIM(W26)),UPPER(TRIM(S35:AG35)),S36:AG36,0))*V26*IF(S26&gt;0,S26,1),0)</f>
        <v>0.02</v>
      </c>
      <c r="AD26" s="110">
        <f>IF(AF16&lt;&gt;0,S26*X26*X16,0)</f>
        <v>0</v>
      </c>
      <c r="AE26" s="1748">
        <f t="shared" si="9"/>
        <v>0</v>
      </c>
      <c r="AF26" s="99">
        <f>IF(OR(ISBLANK(AF16),AF16=0),0,AC26*X26*X16)</f>
        <v>0.25</v>
      </c>
      <c r="AG26" s="129" t="str">
        <f>IF(W26="","",IF(COUNTIF(Z33:AG33,SUBSTITUTE(TRIM(W26)," (s)",""))+COUNTIF(Z35:AG35,SUBSTITUTE(TRIM(W26)," (s)",""))&gt;0,IF(ROUND(AF26,3)&gt;=1,ROUND(AF26,3)&amp;" L",MAX(1,ROUND(AF26*100,0))&amp;" cl"),IF(COUNTIF(S33:X33,SUBSTITUTE(TRIM(W26)," (s)",""))+COUNTIF(S35:X35,SUBSTITUTE(TRIM(W26)," (s)",""))&gt;0,IF(ROUND(AF26,3)&gt;=1,ROUND(AF26,3)&amp;" Kg",MAX(1,ROUND(AF26*1000,0))&amp;" g"),"")))</f>
        <v>250 g</v>
      </c>
      <c r="AJ26" s="103" t="str">
        <f t="shared" si="6"/>
        <v>A</v>
      </c>
      <c r="AK26" s="1614" t="s">
        <v>8250</v>
      </c>
      <c r="AL26" s="1333" t="s">
        <v>21</v>
      </c>
      <c r="AM26" s="44"/>
      <c r="AN26" s="6443"/>
      <c r="AO26" s="126" t="s">
        <v>122</v>
      </c>
      <c r="AP26" s="127"/>
      <c r="AQ26" s="45"/>
      <c r="AR26" s="45"/>
      <c r="AS26" s="46"/>
      <c r="AV26" s="3">
        <v>1</v>
      </c>
      <c r="AX26" s="198" t="s">
        <v>14234</v>
      </c>
    </row>
    <row r="27" spans="2:50" ht="21" customHeight="1">
      <c r="B27" s="1610" cm="1">
        <f t="array" ref="B27">SUMPRODUCT(LEN(C27:K27))</f>
        <v>0</v>
      </c>
      <c r="C27" s="1810"/>
      <c r="D27" s="1810"/>
      <c r="E27" s="1810"/>
      <c r="F27" s="1810"/>
      <c r="G27" s="1810"/>
      <c r="H27" s="1810"/>
      <c r="I27" s="1810"/>
      <c r="J27" s="1810"/>
      <c r="K27" s="1810"/>
      <c r="L27" s="2126" t="str" cm="1">
        <f t="array" ref="L27">IF(B15&lt;=0,0,ROUNDUP(SUMPRODUCT(LEN(C27:K27))/B15,0))&amp;" ligne(s)"</f>
        <v>0 ligne(s)</v>
      </c>
      <c r="N27" s="103" t="str">
        <f t="shared" si="10"/>
        <v>►</v>
      </c>
      <c r="O27" s="31" t="str">
        <f>O17</f>
        <v>B BEIGNETS D'ACACIA | pâtisserie--Beignets| Auteur &gt; Cuisine Actuelle</v>
      </c>
      <c r="P27" s="32">
        <f>P17</f>
        <v>4</v>
      </c>
      <c r="Q27" s="31" t="str">
        <f>Q17</f>
        <v>personnes</v>
      </c>
      <c r="R27" s="33" t="str">
        <f>R17</f>
        <v>Recette mère ► Beignets d'acacia</v>
      </c>
      <c r="S27" s="89"/>
      <c r="T27" s="108"/>
      <c r="U27" s="1363" t="str">
        <f t="shared" si="8"/>
        <v/>
      </c>
      <c r="V27" s="92"/>
      <c r="W27" s="1364"/>
      <c r="X27" s="130">
        <v>1</v>
      </c>
      <c r="Y27" s="1813" t="str">
        <f>ROWS(Y21:Y27)&amp;" ►"</f>
        <v>7 ►</v>
      </c>
      <c r="Z27" s="1580"/>
      <c r="AA27" s="95">
        <f>IF(AC32=0,0,(AC27/AC32)*AB20*1000)</f>
        <v>0</v>
      </c>
      <c r="AB27" s="105">
        <f>IF(AC32=0, 0, (S27*X27)/(AC32*AB20))</f>
        <v>0</v>
      </c>
      <c r="AC27" s="97" cm="1">
        <f t="array" ref="AC27">IFERROR(_xlfn.XLOOKUP(UPPER(TRIM(W27)),UPPER(TRIM(S33:AG33)),S34:AG34,_xlfn.XLOOKUP(UPPER(TRIM(W27)),UPPER(TRIM(S35:AG35)),S36:AG36,0))*V27*IF(S27&gt;0,S27,1),0)</f>
        <v>0</v>
      </c>
      <c r="AD27" s="106">
        <f>IF(AF16&lt;&gt;0,S27*X27*X16,0)</f>
        <v>0</v>
      </c>
      <c r="AE27" s="1747">
        <f t="shared" si="9"/>
        <v>0</v>
      </c>
      <c r="AF27" s="99">
        <f>IF(OR(ISBLANK(AF16),AF16=0),0,AC27*X27*X16)</f>
        <v>0</v>
      </c>
      <c r="AG27" s="107" t="str">
        <f>IF(W27="","",IF(COUNTIF(Z33:AG33,SUBSTITUTE(TRIM(W27)," (s)",""))+COUNTIF(Z35:AG35,SUBSTITUTE(TRIM(W27)," (s)",""))&gt;0,IF(ROUND(AF27,3)&gt;=1,ROUND(AF27,3)&amp;" L",MAX(1,ROUND(AF27*100,0))&amp;" cl"),IF(COUNTIF(S33:X33,SUBSTITUTE(TRIM(W27)," (s)",""))+COUNTIF(S35:X35,SUBSTITUTE(TRIM(W27)," (s)",""))&gt;0,IF(ROUND(AF27,3)&gt;=1,ROUND(AF27,3)&amp;" Kg",MAX(1,ROUND(AF27*1000,0))&amp;" g"),"")))</f>
        <v/>
      </c>
      <c r="AJ27" s="103" t="str">
        <f t="shared" si="6"/>
        <v>►</v>
      </c>
      <c r="AK27" s="6844" t="s">
        <v>8251</v>
      </c>
      <c r="AL27" s="1333" t="s">
        <v>21</v>
      </c>
      <c r="AM27" s="44"/>
      <c r="AN27" s="6443"/>
      <c r="AO27" s="126" t="s">
        <v>123</v>
      </c>
      <c r="AP27" s="127"/>
      <c r="AQ27" s="45"/>
      <c r="AR27" s="45"/>
      <c r="AS27" s="46"/>
      <c r="AV27" s="3">
        <v>1</v>
      </c>
      <c r="AX27" s="198" t="s">
        <v>14237</v>
      </c>
    </row>
    <row r="28" spans="2:50" ht="21" customHeight="1">
      <c r="B28" s="1610" cm="1">
        <f t="array" ref="B28">SUMPRODUCT(LEN(C28:K28))</f>
        <v>0</v>
      </c>
      <c r="C28" s="1810"/>
      <c r="D28" s="1810"/>
      <c r="E28" s="1810"/>
      <c r="F28" s="1810"/>
      <c r="G28" s="1810"/>
      <c r="H28" s="1810"/>
      <c r="I28" s="1810"/>
      <c r="J28" s="1810"/>
      <c r="K28" s="1810"/>
      <c r="L28" s="2126" t="str" cm="1">
        <f t="array" ref="L28">IF(B15&lt;=0,0,ROUNDUP(SUMPRODUCT(LEN(C28:K28))/B15,0))&amp;" ligne(s)"</f>
        <v>0 ligne(s)</v>
      </c>
      <c r="M28" s="1615" t="str">
        <f>IF(K28&gt;0, IF(OR(#REF!="Kg", C28="g"), IF(ROUND(K28,3)&gt;=1, ROUND(K28,3)&amp;" Kg", ROUND(K28*1000,0)&amp;" g"), IF(ROUND(K28,3)&gt;=1, ROUND(K28,3)&amp;" L", ROUND(K28*100,0)&amp;" cl")), "")</f>
        <v/>
      </c>
      <c r="N28" s="103" t="str">
        <f t="shared" si="10"/>
        <v>A</v>
      </c>
      <c r="O28" s="31" t="str">
        <f>O17</f>
        <v>B BEIGNETS D'ACACIA | pâtisserie--Beignets| Auteur &gt; Cuisine Actuelle</v>
      </c>
      <c r="P28" s="32">
        <f>P17</f>
        <v>4</v>
      </c>
      <c r="Q28" s="31" t="str">
        <f>Q17</f>
        <v>personnes</v>
      </c>
      <c r="R28" s="33" t="str">
        <f>R17</f>
        <v>Recette mère ► Beignets d'acacia</v>
      </c>
      <c r="S28" s="89"/>
      <c r="T28" s="108" t="s">
        <v>8252</v>
      </c>
      <c r="U28" s="91" t="str">
        <f t="shared" si="8"/>
        <v/>
      </c>
      <c r="V28" s="92"/>
      <c r="W28" s="1364"/>
      <c r="X28" s="130">
        <v>1</v>
      </c>
      <c r="Y28" s="1813" t="str">
        <f>ROWS(Y21:Y28)&amp;" ►"</f>
        <v>8 ►</v>
      </c>
      <c r="Z28" s="1580" t="s">
        <v>8253</v>
      </c>
      <c r="AA28" s="95">
        <f>IF(AC32=0,0,(AC28/AC32)*AB20*1000)</f>
        <v>0</v>
      </c>
      <c r="AB28" s="105">
        <f>IF(AC32=0, 0, (S28*X28)/(AC32*AB20))</f>
        <v>0</v>
      </c>
      <c r="AC28" s="97" cm="1">
        <f t="array" ref="AC28">IFERROR(_xlfn.XLOOKUP(UPPER(TRIM(W28)),UPPER(TRIM(S33:AG33)),S34:AG34,_xlfn.XLOOKUP(UPPER(TRIM(W28)),UPPER(TRIM(S35:AG35)),S36:AG36,0))*V28*IF(S28&gt;0,S28,1),0)</f>
        <v>0</v>
      </c>
      <c r="AD28" s="110">
        <f>IF(AF16&lt;&gt;0,S28*X28*X16,0)</f>
        <v>0</v>
      </c>
      <c r="AE28" s="1748" t="str">
        <f t="shared" si="9"/>
        <v>PM</v>
      </c>
      <c r="AF28" s="99">
        <f>IF(OR(ISBLANK(AF16),AF16=0),0,AC28*X28*X16)</f>
        <v>0</v>
      </c>
      <c r="AG28" s="129" t="str">
        <f>IF(W28="","",IF(COUNTIF(Z33:AG33,SUBSTITUTE(TRIM(W28)," (s)",""))+COUNTIF(Z35:AG35,SUBSTITUTE(TRIM(W28)," (s)",""))&gt;0,IF(ROUND(AF28,3)&gt;=1,ROUND(AF28,3)&amp;" L",MAX(1,ROUND(AF28*100,0))&amp;" cl"),IF(COUNTIF(S33:X33,SUBSTITUTE(TRIM(W28)," (s)",""))+COUNTIF(S35:X35,SUBSTITUTE(TRIM(W28)," (s)",""))&gt;0,IF(ROUND(AF28,3)&gt;=1,ROUND(AF28,3)&amp;" Kg",MAX(1,ROUND(AF28*1000,0))&amp;" g"),"")))</f>
        <v/>
      </c>
      <c r="AJ28" s="103" t="str">
        <f t="shared" si="6"/>
        <v>A</v>
      </c>
      <c r="AK28" s="6844"/>
      <c r="AL28" s="1333" t="s">
        <v>21</v>
      </c>
      <c r="AM28" s="44"/>
      <c r="AN28" s="6443"/>
      <c r="AO28" s="126" t="s">
        <v>126</v>
      </c>
      <c r="AP28" s="127"/>
      <c r="AQ28" s="45"/>
      <c r="AR28" s="45"/>
      <c r="AS28" s="46"/>
      <c r="AV28" s="3">
        <v>1</v>
      </c>
    </row>
    <row r="29" spans="2:50" ht="21" customHeight="1">
      <c r="B29" s="1610" cm="1">
        <f t="array" ref="B29">SUMPRODUCT(LEN(C29:K29))</f>
        <v>0</v>
      </c>
      <c r="C29" s="1810"/>
      <c r="D29" s="1810"/>
      <c r="E29" s="1810"/>
      <c r="F29" s="1810"/>
      <c r="G29" s="1810"/>
      <c r="H29" s="1810"/>
      <c r="I29" s="1810"/>
      <c r="J29" s="1810"/>
      <c r="K29" s="1810"/>
      <c r="L29" s="2126" t="str" cm="1">
        <f t="array" ref="L29">IF(B15&lt;=0,0,ROUNDUP(SUMPRODUCT(LEN(C29:K29))/B15,0))&amp;" ligne(s)"</f>
        <v>0 ligne(s)</v>
      </c>
      <c r="M29" s="1615" t="str">
        <f>IF(K29&gt;0, IF(OR(#REF!="Kg", C29="g"), IF(ROUND(K29,3)&gt;=1, ROUND(K29,3)&amp;" Kg", ROUND(K29*1000,0)&amp;" g"), IF(ROUND(K29,3)&gt;=1, ROUND(K29,3)&amp;" L", ROUND(K29*100,0)&amp;" cl")), "")</f>
        <v/>
      </c>
      <c r="N29" s="103" t="str">
        <f t="shared" si="10"/>
        <v>A</v>
      </c>
      <c r="O29" s="31" t="str">
        <f>O17</f>
        <v>B BEIGNETS D'ACACIA | pâtisserie--Beignets| Auteur &gt; Cuisine Actuelle</v>
      </c>
      <c r="P29" s="32">
        <f>P17</f>
        <v>4</v>
      </c>
      <c r="Q29" s="31" t="str">
        <f>Q17</f>
        <v>personnes</v>
      </c>
      <c r="R29" s="33" t="str">
        <f>R17</f>
        <v>Recette mère ► Beignets d'acacia</v>
      </c>
      <c r="S29" s="89"/>
      <c r="T29" s="108" t="s">
        <v>8252</v>
      </c>
      <c r="U29" s="1363" t="str">
        <f t="shared" si="8"/>
        <v/>
      </c>
      <c r="V29" s="92"/>
      <c r="W29" s="1364"/>
      <c r="X29" s="130">
        <v>1</v>
      </c>
      <c r="Y29" s="1813" t="str">
        <f>ROWS(Y21:Y29)&amp;" ►"</f>
        <v>9 ►</v>
      </c>
      <c r="Z29" s="1580" t="s">
        <v>8254</v>
      </c>
      <c r="AA29" s="95">
        <f>IF(AC32=0,0,(AC29/AC32)*AB20*1000)</f>
        <v>0</v>
      </c>
      <c r="AB29" s="105">
        <f>IF(AC32=0, 0, (S29*X29)/(AC32*AB20))</f>
        <v>0</v>
      </c>
      <c r="AC29" s="97" cm="1">
        <f t="array" ref="AC29">IFERROR(_xlfn.XLOOKUP(UPPER(TRIM(W29)),UPPER(TRIM(S33:AG33)),S34:AG34,_xlfn.XLOOKUP(UPPER(TRIM(W29)),UPPER(TRIM(S35:AG35)),S36:AG36,0))*V29*IF(S29&gt;0,S29,1),0)</f>
        <v>0</v>
      </c>
      <c r="AD29" s="106">
        <f>IF(AF16&lt;&gt;0,S29*X29*X16,0)</f>
        <v>0</v>
      </c>
      <c r="AE29" s="1747" t="str">
        <f t="shared" si="9"/>
        <v>PM</v>
      </c>
      <c r="AF29" s="99">
        <f>IF(OR(ISBLANK(AF16),AF16=0),0,AC29*X29*X16)</f>
        <v>0</v>
      </c>
      <c r="AG29" s="107" t="str">
        <f>IF(W29="","",IF(COUNTIF(Z33:AG33,SUBSTITUTE(TRIM(W29)," (s)",""))+COUNTIF(Z35:AG35,SUBSTITUTE(TRIM(W29)," (s)",""))&gt;0,IF(ROUND(AF29,3)&gt;=1,ROUND(AF29,3)&amp;" L",MAX(1,ROUND(AF29*100,0))&amp;" cl"),IF(COUNTIF(S33:X33,SUBSTITUTE(TRIM(W29)," (s)",""))+COUNTIF(S35:X35,SUBSTITUTE(TRIM(W29)," (s)",""))&gt;0,IF(ROUND(AF29,3)&gt;=1,ROUND(AF29,3)&amp;" Kg",MAX(1,ROUND(AF29*1000,0))&amp;" g"),"")))</f>
        <v/>
      </c>
      <c r="AJ29" s="103" t="str">
        <f t="shared" si="6"/>
        <v>A</v>
      </c>
      <c r="AK29" s="6844"/>
      <c r="AL29" s="1333" t="s">
        <v>21</v>
      </c>
      <c r="AM29" s="44"/>
      <c r="AN29" s="6443"/>
      <c r="AO29" s="126" t="s">
        <v>128</v>
      </c>
      <c r="AP29" s="127"/>
      <c r="AQ29" s="45"/>
      <c r="AR29" s="45"/>
      <c r="AS29" s="46"/>
      <c r="AV29" s="3">
        <v>1</v>
      </c>
    </row>
    <row r="30" spans="2:50" ht="21" customHeight="1">
      <c r="B30" s="1610" cm="1">
        <f t="array" ref="B30">SUMPRODUCT(LEN(C30:K30))</f>
        <v>0</v>
      </c>
      <c r="C30" s="1810"/>
      <c r="D30" s="1810"/>
      <c r="E30" s="1810"/>
      <c r="F30" s="1810"/>
      <c r="G30" s="1810"/>
      <c r="H30" s="1810"/>
      <c r="I30" s="1810"/>
      <c r="J30" s="1810"/>
      <c r="K30" s="1810"/>
      <c r="L30" s="2126" t="str" cm="1">
        <f t="array" ref="L30">IF(B15&lt;=0,0,ROUNDUP(SUMPRODUCT(LEN(C30:K30))/B15,0))&amp;" ligne(s)"</f>
        <v>0 ligne(s)</v>
      </c>
      <c r="M30" s="1615" t="str">
        <f>IF(K30&gt;0, IF(OR(#REF!="Kg", C30="g"), IF(ROUND(K30,3)&gt;=1, ROUND(K30,3)&amp;" Kg", ROUND(K30*1000,0)&amp;" g"), IF(ROUND(K30,3)&gt;=1, ROUND(K30,3)&amp;" L", ROUND(K30*100,0)&amp;" cl")), "")</f>
        <v/>
      </c>
      <c r="N30" s="103" t="str">
        <f t="shared" si="10"/>
        <v>►</v>
      </c>
      <c r="O30" s="31" t="str">
        <f>O17</f>
        <v>B BEIGNETS D'ACACIA | pâtisserie--Beignets| Auteur &gt; Cuisine Actuelle</v>
      </c>
      <c r="P30" s="32">
        <f>P17</f>
        <v>4</v>
      </c>
      <c r="Q30" s="31" t="str">
        <f>Q17</f>
        <v>personnes</v>
      </c>
      <c r="R30" s="33" t="str">
        <f>R17</f>
        <v>Recette mère ► Beignets d'acacia</v>
      </c>
      <c r="S30" s="89"/>
      <c r="T30" s="108"/>
      <c r="U30" s="91" t="str">
        <f t="shared" ref="U30:U31" si="11">IF(OR(ISTEXT(S30), S30&lt;=0, V30&lt;=0), "", "de")</f>
        <v/>
      </c>
      <c r="V30" s="92"/>
      <c r="W30" s="128"/>
      <c r="X30" s="130">
        <v>1</v>
      </c>
      <c r="Y30" s="1813" t="str">
        <f>ROWS(Y21:Y30)&amp;" ►"</f>
        <v>10 ►</v>
      </c>
      <c r="Z30" s="1580"/>
      <c r="AA30" s="95">
        <f>IF(AC32=0,0,(AC30/AC32)*AB20*1000)</f>
        <v>0</v>
      </c>
      <c r="AB30" s="105">
        <f>IF(AC32=0, 0, (S30*X30)/(AC32*AB20))</f>
        <v>0</v>
      </c>
      <c r="AC30" s="97" cm="1">
        <f t="array" ref="AC30">IFERROR(_xlfn.XLOOKUP(UPPER(TRIM(W30)),UPPER(TRIM(S33:AG33)),S34:AG34,_xlfn.XLOOKUP(UPPER(TRIM(W30)),UPPER(TRIM(S35:AG35)),S36:AG36,0))*V30*IF(S30&gt;0,S30,1),0)</f>
        <v>0</v>
      </c>
      <c r="AD30" s="110">
        <f>IF(AF16&lt;&gt;0,S30*X30*X16,0)</f>
        <v>0</v>
      </c>
      <c r="AE30" s="1748">
        <f t="shared" si="9"/>
        <v>0</v>
      </c>
      <c r="AF30" s="99">
        <f>IF(OR(ISBLANK(AF16),AF16=0),0,AC30*X30*X16)</f>
        <v>0</v>
      </c>
      <c r="AG30" s="129" t="str">
        <f>IF(W30="","",IF(COUNTIF(Z33:AG33,SUBSTITUTE(TRIM(W30)," (s)",""))+COUNTIF(Z35:AG35,SUBSTITUTE(TRIM(W30)," (s)",""))&gt;0,IF(ROUND(AF30,3)&gt;=1,ROUND(AF30,3)&amp;" L",MAX(1,ROUND(AF30*100,0))&amp;" cl"),IF(COUNTIF(S33:X33,SUBSTITUTE(TRIM(W30)," (s)",""))+COUNTIF(S35:X35,SUBSTITUTE(TRIM(W30)," (s)",""))&gt;0,IF(ROUND(AF30,3)&gt;=1,ROUND(AF30,3)&amp;" Kg",MAX(1,ROUND(AF30*1000,0))&amp;" g"),"")))</f>
        <v/>
      </c>
      <c r="AJ30" s="103" t="str">
        <f t="shared" si="6"/>
        <v>►</v>
      </c>
      <c r="AK30" s="1616">
        <v>1</v>
      </c>
      <c r="AL30" s="1333" t="s">
        <v>21</v>
      </c>
      <c r="AM30" s="44"/>
      <c r="AN30" s="6444"/>
      <c r="AO30" s="131" t="s">
        <v>131</v>
      </c>
      <c r="AP30" s="132"/>
      <c r="AQ30" s="45"/>
      <c r="AR30" s="45"/>
      <c r="AS30" s="46"/>
      <c r="AV30" s="3">
        <v>1</v>
      </c>
    </row>
    <row r="31" spans="2:50" ht="21" customHeight="1">
      <c r="B31" s="1610" cm="1">
        <f t="array" ref="B31">SUMPRODUCT(LEN(C31:K31))</f>
        <v>0</v>
      </c>
      <c r="C31" s="1810"/>
      <c r="D31" s="1810"/>
      <c r="E31" s="1810"/>
      <c r="F31" s="1810"/>
      <c r="G31" s="1810"/>
      <c r="H31" s="1810"/>
      <c r="I31" s="1810"/>
      <c r="J31" s="1810"/>
      <c r="K31" s="1810"/>
      <c r="L31" s="2126" t="str" cm="1">
        <f t="array" ref="L31">IF(B15&lt;=0,0,ROUNDUP(SUMPRODUCT(LEN(C31:K31))/B15,0))&amp;" ligne(s)"</f>
        <v>0 ligne(s)</v>
      </c>
      <c r="M31" s="1615" t="str">
        <f>IF(K31&gt;0, IF(OR(#REF!="Kg", C31="g"), IF(ROUND(K31,3)&gt;=1, ROUND(K31,3)&amp;" Kg", ROUND(K31*1000,0)&amp;" g"), IF(ROUND(K31,3)&gt;=1, ROUND(K31,3)&amp;" L", ROUND(K31*100,0)&amp;" cl")), "")</f>
        <v/>
      </c>
      <c r="N31" s="1604" t="s">
        <v>10</v>
      </c>
      <c r="O31" s="31" t="str">
        <f>O17</f>
        <v>B BEIGNETS D'ACACIA | pâtisserie--Beignets| Auteur &gt; Cuisine Actuelle</v>
      </c>
      <c r="P31" s="32">
        <f>P17</f>
        <v>4</v>
      </c>
      <c r="Q31" s="31" t="str">
        <f>Q17</f>
        <v>personnes</v>
      </c>
      <c r="R31" s="33" t="str">
        <f>R17</f>
        <v>Recette mère ► Beignets d'acacia</v>
      </c>
      <c r="S31" s="1198"/>
      <c r="T31" s="1199"/>
      <c r="U31" s="91" t="str">
        <f t="shared" si="11"/>
        <v/>
      </c>
      <c r="V31" s="1200"/>
      <c r="W31" s="128"/>
      <c r="X31" s="1201">
        <v>1</v>
      </c>
      <c r="Y31" s="1813" t="str">
        <f>ROWS(Y21:Y31)&amp;" ►"</f>
        <v>11 ►</v>
      </c>
      <c r="Z31" s="1580"/>
      <c r="AA31" s="95">
        <f>IF(AC32=0,0,(AC31/AC32)*AB20*1000)</f>
        <v>0</v>
      </c>
      <c r="AB31" s="105">
        <f>IF(AC32=0, 0, (S31*X31)/(AC32*AB20))</f>
        <v>0</v>
      </c>
      <c r="AC31" s="97" cm="1">
        <f t="array" ref="AC31">IFERROR(_xlfn.XLOOKUP(UPPER(TRIM(W31)),UPPER(TRIM(S33:AG33)),S34:AG34,_xlfn.XLOOKUP(UPPER(TRIM(W31)),UPPER(TRIM(S35:AG35)),S36:AG36,0))*V31*IF(S31&gt;0,S31,1),0)</f>
        <v>0</v>
      </c>
      <c r="AD31" s="110">
        <f>IF(AF16&lt;&gt;0,S31*X31*X16,0)</f>
        <v>0</v>
      </c>
      <c r="AE31" s="1748">
        <f t="shared" si="9"/>
        <v>0</v>
      </c>
      <c r="AF31" s="99">
        <f>IF(OR(ISBLANK(AF16),AF16=0),0,AC31*X31*X16)</f>
        <v>0</v>
      </c>
      <c r="AG31" s="129" t="str">
        <f>IF(W31="","",IF(COUNTIF(Z33:AG33,SUBSTITUTE(TRIM(W31)," (s)",""))+COUNTIF(Z35:AG35,SUBSTITUTE(TRIM(W31)," (s)",""))&gt;0,IF(ROUND(AF31,3)&gt;=1,ROUND(AF31,3)&amp;" L",MAX(1,ROUND(AF31*100,0))&amp;" cl"),IF(COUNTIF(S33:X33,SUBSTITUTE(TRIM(W31)," (s)",""))+COUNTIF(S35:X35,SUBSTITUTE(TRIM(W31)," (s)",""))&gt;0,IF(ROUND(AF31,3)&gt;=1,ROUND(AF31,3)&amp;" Kg",MAX(1,ROUND(AF31*1000,0))&amp;" g"),"")))</f>
        <v/>
      </c>
      <c r="AJ31" s="1604" t="str">
        <f t="shared" si="6"/>
        <v>A</v>
      </c>
      <c r="AK31" s="1616"/>
      <c r="AL31" s="1333" t="s">
        <v>21</v>
      </c>
      <c r="AM31" s="133"/>
      <c r="AN31" s="134"/>
      <c r="AO31" s="135"/>
      <c r="AP31" s="45"/>
      <c r="AQ31" s="45"/>
      <c r="AR31" s="45"/>
      <c r="AS31" s="46"/>
      <c r="AV31" s="3">
        <v>1</v>
      </c>
    </row>
    <row r="32" spans="2:50" ht="21" customHeight="1">
      <c r="B32" s="1610" cm="1">
        <f t="array" ref="B32">SUMPRODUCT(LEN(C32:K32))</f>
        <v>0</v>
      </c>
      <c r="C32" s="1810"/>
      <c r="D32" s="1810"/>
      <c r="E32" s="1810"/>
      <c r="F32" s="1810"/>
      <c r="G32" s="1810"/>
      <c r="H32" s="1810"/>
      <c r="I32" s="1810"/>
      <c r="J32" s="1810"/>
      <c r="K32" s="1810"/>
      <c r="L32" s="2126" t="str" cm="1">
        <f t="array" ref="L32">IF(B15&lt;=0,0,ROUNDUP(SUMPRODUCT(LEN(C32:K32))/B15,0))&amp;" ligne(s)"</f>
        <v>0 ligne(s)</v>
      </c>
      <c r="M32" s="1615" t="str">
        <f>IF(K32&gt;0, IF(OR(#REF!="Kg", C32="g"), IF(ROUND(K32,3)&gt;=1, ROUND(K32,3)&amp;" Kg", ROUND(K32*1000,0)&amp;" g"), IF(ROUND(K32,3)&gt;=1, ROUND(K32,3)&amp;" L", ROUND(K32*100,0)&amp;" cl")), "")</f>
        <v/>
      </c>
      <c r="N32" s="1604" t="s">
        <v>10</v>
      </c>
      <c r="O32" s="31" t="str">
        <f>O17</f>
        <v>B BEIGNETS D'ACACIA | pâtisserie--Beignets| Auteur &gt; Cuisine Actuelle</v>
      </c>
      <c r="P32" s="32">
        <f>P17</f>
        <v>4</v>
      </c>
      <c r="Q32" s="31" t="str">
        <f>Q17</f>
        <v>personnes</v>
      </c>
      <c r="R32" s="33" t="str">
        <f>R17</f>
        <v>Recette mère ► Beignets d'acacia</v>
      </c>
      <c r="S32" s="680" t="s">
        <v>8411</v>
      </c>
      <c r="T32" s="474"/>
      <c r="U32" s="474"/>
      <c r="V32" s="474"/>
      <c r="W32" s="474"/>
      <c r="X32" s="681"/>
      <c r="Y32" s="681"/>
      <c r="Z32" s="1984" t="s">
        <v>8652</v>
      </c>
      <c r="AA32" s="682"/>
      <c r="AB32" s="682"/>
      <c r="AC32" s="1197">
        <f>SUM(AC21:AC31)</f>
        <v>0.51</v>
      </c>
      <c r="AD32" s="683"/>
      <c r="AE32" s="683" t="str">
        <f>"Total " &amp; AF18&amp;" &gt;"</f>
        <v>Total Col.19 &gt;</v>
      </c>
      <c r="AF32" s="1835">
        <f>SUM(AF21:AF31)</f>
        <v>6.375</v>
      </c>
      <c r="AG32" s="684"/>
      <c r="AJ32" s="1604" t="str">
        <f t="shared" si="6"/>
        <v>A</v>
      </c>
      <c r="AK32" s="1616"/>
      <c r="AL32" s="1333" t="s">
        <v>21</v>
      </c>
      <c r="AM32" s="136" t="s">
        <v>32</v>
      </c>
      <c r="AN32" s="137"/>
      <c r="AO32" s="138"/>
      <c r="AP32" s="138"/>
      <c r="AQ32" s="139" t="s">
        <v>35</v>
      </c>
      <c r="AR32" s="140">
        <v>20</v>
      </c>
      <c r="AS32" s="141" t="s">
        <v>36</v>
      </c>
      <c r="AV32" s="3">
        <v>1</v>
      </c>
    </row>
    <row r="33" spans="2:48" ht="21" customHeight="1">
      <c r="B33" s="1610" cm="1">
        <f t="array" ref="B33">SUMPRODUCT(LEN(C33:K33))</f>
        <v>0</v>
      </c>
      <c r="C33" s="1810"/>
      <c r="D33" s="1810"/>
      <c r="E33" s="1810"/>
      <c r="F33" s="1810"/>
      <c r="G33" s="1810"/>
      <c r="H33" s="1810"/>
      <c r="I33" s="1810"/>
      <c r="J33" s="1810"/>
      <c r="K33" s="1810"/>
      <c r="L33" s="2126" t="str" cm="1">
        <f t="array" ref="L33">IF(B15&lt;=0,0,ROUNDUP(SUMPRODUCT(LEN(C33:K33))/B15,0))&amp;" ligne(s)"</f>
        <v>0 ligne(s)</v>
      </c>
      <c r="M33" s="1615" t="str">
        <f>IF(K33&gt;0, IF(OR(#REF!="Kg", C33="g"), IF(ROUND(K33,3)&gt;=1, ROUND(K33,3)&amp;" Kg", ROUND(K33*1000,0)&amp;" g"), IF(ROUND(K33,3)&gt;=1, ROUND(K33,3)&amp;" L", ROUND(K33*100,0)&amp;" cl")), "")</f>
        <v/>
      </c>
      <c r="N33" s="1604" t="s">
        <v>10</v>
      </c>
      <c r="O33" s="31" t="str">
        <f>O17</f>
        <v>B BEIGNETS D'ACACIA | pâtisserie--Beignets| Auteur &gt; Cuisine Actuelle</v>
      </c>
      <c r="P33" s="32">
        <f>P17</f>
        <v>4</v>
      </c>
      <c r="Q33" s="31" t="str">
        <f>Q17</f>
        <v>personnes</v>
      </c>
      <c r="R33" s="33" t="str">
        <f>R17</f>
        <v>Recette mère ► Beignets d'acacia</v>
      </c>
      <c r="S33" s="142" t="s">
        <v>140</v>
      </c>
      <c r="T33" s="104" t="s">
        <v>100</v>
      </c>
      <c r="U33" s="143" t="s">
        <v>141</v>
      </c>
      <c r="V33" s="144" t="s">
        <v>142</v>
      </c>
      <c r="W33" s="118" t="s">
        <v>143</v>
      </c>
      <c r="X33" s="118" t="s">
        <v>109</v>
      </c>
      <c r="Y33" s="143" t="s">
        <v>141</v>
      </c>
      <c r="Z33" s="93" t="s">
        <v>0</v>
      </c>
      <c r="AA33" s="93" t="s">
        <v>97</v>
      </c>
      <c r="AB33" s="93" t="s">
        <v>144</v>
      </c>
      <c r="AC33" s="93" t="s">
        <v>145</v>
      </c>
      <c r="AD33" s="109" t="s">
        <v>104</v>
      </c>
      <c r="AE33" s="109" t="s">
        <v>359</v>
      </c>
      <c r="AF33" s="335" t="s">
        <v>146</v>
      </c>
      <c r="AG33" s="109" t="s">
        <v>147</v>
      </c>
      <c r="AJ33" s="1604" t="str">
        <f t="shared" si="6"/>
        <v>A</v>
      </c>
      <c r="AK33" s="1616"/>
      <c r="AL33" s="1333" t="s">
        <v>21</v>
      </c>
      <c r="AM33" s="146">
        <v>10</v>
      </c>
      <c r="AN33" s="147" t="s">
        <v>19</v>
      </c>
      <c r="AO33" s="138"/>
      <c r="AP33" s="138"/>
      <c r="AQ33" s="148"/>
      <c r="AR33" s="149" t="s">
        <v>40</v>
      </c>
      <c r="AS33" s="150" t="s">
        <v>41</v>
      </c>
      <c r="AV33" s="3">
        <v>1</v>
      </c>
    </row>
    <row r="34" spans="2:48" ht="21" customHeight="1">
      <c r="B34" s="1610" cm="1">
        <f t="array" ref="B34">SUMPRODUCT(LEN(C34:K34))</f>
        <v>0</v>
      </c>
      <c r="C34" s="1810"/>
      <c r="D34" s="1810"/>
      <c r="E34" s="1810"/>
      <c r="F34" s="1810"/>
      <c r="G34" s="1810"/>
      <c r="H34" s="1810"/>
      <c r="I34" s="1810"/>
      <c r="J34" s="1810"/>
      <c r="K34" s="1810"/>
      <c r="L34" s="2126" t="str" cm="1">
        <f t="array" ref="L34">IF(B15&lt;=0,0,ROUNDUP(SUMPRODUCT(LEN(C34:K34))/B15,0))&amp;" ligne(s)"</f>
        <v>0 ligne(s)</v>
      </c>
      <c r="M34" s="1615" t="str">
        <f>IF(K34&gt;0, IF(OR(#REF!="Kg", C34="g"), IF(ROUND(K34,3)&gt;=1, ROUND(K34,3)&amp;" Kg", ROUND(K34*1000,0)&amp;" g"), IF(ROUND(K34,3)&gt;=1, ROUND(K34,3)&amp;" L", ROUND(K34*100,0)&amp;" cl")), "")</f>
        <v/>
      </c>
      <c r="N34" s="1604" t="s">
        <v>10</v>
      </c>
      <c r="O34" s="31" t="str">
        <f>O17</f>
        <v>B BEIGNETS D'ACACIA | pâtisserie--Beignets| Auteur &gt; Cuisine Actuelle</v>
      </c>
      <c r="P34" s="32">
        <f>P17</f>
        <v>4</v>
      </c>
      <c r="Q34" s="31" t="str">
        <f>Q17</f>
        <v>personnes</v>
      </c>
      <c r="R34" s="33" t="str">
        <f>R17</f>
        <v>Recette mère ► Beignets d'acacia</v>
      </c>
      <c r="S34" s="685">
        <v>1</v>
      </c>
      <c r="T34" s="686">
        <v>1E-3</v>
      </c>
      <c r="U34" s="687">
        <v>0</v>
      </c>
      <c r="V34" s="686">
        <v>0.25</v>
      </c>
      <c r="W34" s="686">
        <v>0.33332999999999996</v>
      </c>
      <c r="X34" s="686">
        <v>0.5</v>
      </c>
      <c r="Y34" s="687">
        <v>0</v>
      </c>
      <c r="Z34" s="688">
        <v>1</v>
      </c>
      <c r="AA34" s="688">
        <v>0.1</v>
      </c>
      <c r="AB34" s="688">
        <v>0.01</v>
      </c>
      <c r="AC34" s="688">
        <v>1E-3</v>
      </c>
      <c r="AD34" s="688">
        <v>0.5</v>
      </c>
      <c r="AE34" s="688">
        <v>0.25</v>
      </c>
      <c r="AF34" s="688">
        <v>0.33300000000000002</v>
      </c>
      <c r="AG34" s="1756">
        <v>0.2</v>
      </c>
      <c r="AJ34" s="1604" t="str">
        <f t="shared" si="6"/>
        <v>A</v>
      </c>
      <c r="AK34" s="1616"/>
      <c r="AL34" s="1333" t="s">
        <v>21</v>
      </c>
      <c r="AM34" s="151" t="s">
        <v>49</v>
      </c>
      <c r="AN34" s="152">
        <v>3.4219999999999997</v>
      </c>
      <c r="AO34" s="138"/>
      <c r="AP34" s="138"/>
      <c r="AQ34" s="153" t="s">
        <v>50</v>
      </c>
      <c r="AR34" s="154">
        <v>10</v>
      </c>
      <c r="AS34" s="56" t="s">
        <v>36</v>
      </c>
      <c r="AV34" s="3">
        <v>1</v>
      </c>
    </row>
    <row r="35" spans="2:48" ht="21" customHeight="1">
      <c r="B35" s="1610" cm="1">
        <f t="array" ref="B35">SUMPRODUCT(LEN(C35:K35))</f>
        <v>0</v>
      </c>
      <c r="C35" s="1810"/>
      <c r="D35" s="1810"/>
      <c r="E35" s="1810"/>
      <c r="F35" s="1810"/>
      <c r="G35" s="1810"/>
      <c r="H35" s="1810"/>
      <c r="I35" s="1810"/>
      <c r="J35" s="1810"/>
      <c r="K35" s="1810"/>
      <c r="L35" s="2126" t="str" cm="1">
        <f t="array" ref="L35">IF(B15&lt;=0,0,ROUNDUP(SUMPRODUCT(LEN(C35:K35))/B15,0))&amp;" ligne(s)"</f>
        <v>0 ligne(s)</v>
      </c>
      <c r="M35" s="1615" t="str">
        <f>IF(K35&gt;0, IF(OR(#REF!="Kg", C35="g"), IF(ROUND(K35,3)&gt;=1, ROUND(K35,3)&amp;" Kg", ROUND(K35*1000,0)&amp;" g"), IF(ROUND(K35,3)&gt;=1, ROUND(K35,3)&amp;" L", ROUND(K35*100,0)&amp;" cl")), "")</f>
        <v/>
      </c>
      <c r="N35" s="1604" t="s">
        <v>10</v>
      </c>
      <c r="O35" s="31" t="str">
        <f>O17</f>
        <v>B BEIGNETS D'ACACIA | pâtisserie--Beignets| Auteur &gt; Cuisine Actuelle</v>
      </c>
      <c r="P35" s="32">
        <f>P17</f>
        <v>4</v>
      </c>
      <c r="Q35" s="31" t="str">
        <f>Q17</f>
        <v>personnes</v>
      </c>
      <c r="R35" s="33" t="str">
        <f>R17</f>
        <v>Recette mère ► Beignets d'acacia</v>
      </c>
      <c r="S35" s="121" t="s">
        <v>155</v>
      </c>
      <c r="T35" s="121" t="s">
        <v>156</v>
      </c>
      <c r="U35" s="143" t="s">
        <v>141</v>
      </c>
      <c r="V35" s="121" t="s">
        <v>110</v>
      </c>
      <c r="W35" s="121" t="s">
        <v>157</v>
      </c>
      <c r="X35" s="121" t="s">
        <v>158</v>
      </c>
      <c r="Y35" s="143" t="s">
        <v>141</v>
      </c>
      <c r="Z35" s="125" t="s">
        <v>115</v>
      </c>
      <c r="AA35" s="155" t="s">
        <v>159</v>
      </c>
      <c r="AB35" s="155" t="s">
        <v>160</v>
      </c>
      <c r="AC35" s="109" t="s">
        <v>161</v>
      </c>
      <c r="AD35" s="109" t="s">
        <v>162</v>
      </c>
      <c r="AE35" s="109" t="s">
        <v>105</v>
      </c>
      <c r="AF35" s="1758" t="s">
        <v>1689</v>
      </c>
      <c r="AG35" s="697" t="s">
        <v>163</v>
      </c>
      <c r="AJ35" s="1604" t="str">
        <f t="shared" si="6"/>
        <v>A</v>
      </c>
      <c r="AK35" s="6845" t="s">
        <v>8255</v>
      </c>
      <c r="AL35" s="1333" t="s">
        <v>21</v>
      </c>
      <c r="AM35" s="44"/>
      <c r="AN35" s="45"/>
      <c r="AO35" s="45"/>
      <c r="AP35" s="45"/>
      <c r="AQ35" s="45"/>
      <c r="AR35" s="45"/>
      <c r="AS35" s="46"/>
      <c r="AV35" s="3">
        <v>1</v>
      </c>
    </row>
    <row r="36" spans="2:48" ht="21" customHeight="1">
      <c r="B36" s="1610" cm="1">
        <f t="array" ref="B36">SUMPRODUCT(LEN(C36:K36))</f>
        <v>0</v>
      </c>
      <c r="C36" s="1810"/>
      <c r="D36" s="1810"/>
      <c r="E36" s="1810"/>
      <c r="F36" s="1810"/>
      <c r="G36" s="1810"/>
      <c r="H36" s="1810"/>
      <c r="I36" s="1810"/>
      <c r="J36" s="1810"/>
      <c r="K36" s="1810"/>
      <c r="L36" s="2126" t="str" cm="1">
        <f t="array" ref="L36">IF(B15&lt;=0,0,ROUNDUP(SUMPRODUCT(LEN(C36:K36))/B15,0))&amp;" ligne(s)"</f>
        <v>0 ligne(s)</v>
      </c>
      <c r="M36" s="1615" t="str">
        <f>IF(K36&gt;0, IF(OR(#REF!="Kg", C36="g"), IF(ROUND(K36,3)&gt;=1, ROUND(K36,3)&amp;" Kg", ROUND(K36*1000,0)&amp;" g"), IF(ROUND(K36,3)&gt;=1, ROUND(K36,3)&amp;" L", ROUND(K36*100,0)&amp;" cl")), "")</f>
        <v/>
      </c>
      <c r="N36" s="1604" t="s">
        <v>10</v>
      </c>
      <c r="O36" s="31" t="str">
        <f>O17</f>
        <v>B BEIGNETS D'ACACIA | pâtisserie--Beignets| Auteur &gt; Cuisine Actuelle</v>
      </c>
      <c r="P36" s="32">
        <f>P17</f>
        <v>4</v>
      </c>
      <c r="Q36" s="31" t="str">
        <f>Q17</f>
        <v>personnes</v>
      </c>
      <c r="R36" s="33" t="str">
        <f>R17</f>
        <v>Recette mère ► Beignets d'acacia</v>
      </c>
      <c r="S36" s="685">
        <v>2.835E-2</v>
      </c>
      <c r="T36" s="686">
        <v>0.13</v>
      </c>
      <c r="U36" s="687">
        <v>0</v>
      </c>
      <c r="V36" s="686">
        <v>0.2</v>
      </c>
      <c r="W36" s="686">
        <v>0.23</v>
      </c>
      <c r="X36" s="686">
        <v>0.22500000000000001</v>
      </c>
      <c r="Y36" s="687">
        <v>0</v>
      </c>
      <c r="Z36" s="688">
        <v>0.35</v>
      </c>
      <c r="AA36" s="688">
        <v>5.0000000000000001E-3</v>
      </c>
      <c r="AB36" s="688">
        <v>5.0000000000000001E-3</v>
      </c>
      <c r="AC36" s="688">
        <v>1.4999999999999999E-2</v>
      </c>
      <c r="AD36" s="688">
        <v>0.1</v>
      </c>
      <c r="AE36" s="688">
        <v>0.22500000000000001</v>
      </c>
      <c r="AF36" s="688">
        <v>4.0000000000000001E-3</v>
      </c>
      <c r="AG36" s="1757">
        <v>1E-3</v>
      </c>
      <c r="AJ36" s="1604" t="str">
        <f t="shared" si="6"/>
        <v>A</v>
      </c>
      <c r="AK36" s="6845"/>
      <c r="AL36" s="1333" t="s">
        <v>21</v>
      </c>
      <c r="AM36" s="157"/>
      <c r="AN36" s="158"/>
      <c r="AO36" s="159"/>
      <c r="AP36" s="158"/>
      <c r="AQ36" s="158"/>
      <c r="AR36" s="158"/>
      <c r="AS36" s="160"/>
      <c r="AV36" s="3">
        <v>1</v>
      </c>
    </row>
    <row r="37" spans="2:48" ht="21" customHeight="1">
      <c r="B37" s="1610" cm="1">
        <f t="array" ref="B37">SUMPRODUCT(LEN(C37:K37))</f>
        <v>0</v>
      </c>
      <c r="C37" s="1810"/>
      <c r="D37" s="1810"/>
      <c r="E37" s="1810"/>
      <c r="F37" s="1810"/>
      <c r="G37" s="1810"/>
      <c r="H37" s="1810"/>
      <c r="I37" s="1810"/>
      <c r="J37" s="1810"/>
      <c r="K37" s="1810"/>
      <c r="L37" s="2126" t="str" cm="1">
        <f t="array" ref="L37">IF(B15&lt;=0,0,ROUNDUP(SUMPRODUCT(LEN(C37:K37))/B15,0))&amp;" ligne(s)"</f>
        <v>0 ligne(s)</v>
      </c>
      <c r="M37" s="1615" t="str">
        <f>IF(K37&gt;0, IF(OR(#REF!="Kg", C37="g"), IF(ROUND(K37,3)&gt;=1, ROUND(K37,3)&amp;" Kg", ROUND(K37*1000,0)&amp;" g"), IF(ROUND(K37,3)&gt;=1, ROUND(K37,3)&amp;" L", ROUND(K37*100,0)&amp;" cl")), "")</f>
        <v/>
      </c>
      <c r="N37" s="1604" t="s">
        <v>15</v>
      </c>
      <c r="O37" s="5596" t="str">
        <f t="shared" ref="O37:AG37" si="12">SUBSTITUTE(ADDRESS(1,COLUMN(),4),"1","")</f>
        <v>O</v>
      </c>
      <c r="P37" s="5596" t="str">
        <f t="shared" si="12"/>
        <v>P</v>
      </c>
      <c r="Q37" s="5596" t="str">
        <f t="shared" si="12"/>
        <v>Q</v>
      </c>
      <c r="R37" s="5596" t="str">
        <f t="shared" si="12"/>
        <v>R</v>
      </c>
      <c r="S37" s="5596" t="str">
        <f t="shared" si="12"/>
        <v>S</v>
      </c>
      <c r="T37" s="5596" t="str">
        <f t="shared" si="12"/>
        <v>T</v>
      </c>
      <c r="U37" s="5596" t="str">
        <f t="shared" si="12"/>
        <v>U</v>
      </c>
      <c r="V37" s="5596" t="str">
        <f t="shared" si="12"/>
        <v>V</v>
      </c>
      <c r="W37" s="5596" t="str">
        <f t="shared" si="12"/>
        <v>W</v>
      </c>
      <c r="X37" s="5596" t="str">
        <f t="shared" si="12"/>
        <v>X</v>
      </c>
      <c r="Y37" s="6006" t="str">
        <f t="shared" si="12"/>
        <v>Y</v>
      </c>
      <c r="Z37" s="5598" t="str">
        <f t="shared" si="12"/>
        <v>Z</v>
      </c>
      <c r="AA37" s="5598" t="str">
        <f t="shared" si="12"/>
        <v>AA</v>
      </c>
      <c r="AB37" s="5598" t="str">
        <f t="shared" si="12"/>
        <v>AB</v>
      </c>
      <c r="AC37" s="5598" t="str">
        <f t="shared" si="12"/>
        <v>AC</v>
      </c>
      <c r="AD37" s="6006" t="str">
        <f t="shared" si="12"/>
        <v>AD</v>
      </c>
      <c r="AE37" s="5598" t="str">
        <f t="shared" si="12"/>
        <v>AE</v>
      </c>
      <c r="AF37" s="5598" t="str">
        <f t="shared" si="12"/>
        <v>AF</v>
      </c>
      <c r="AG37" s="6008" t="str">
        <f t="shared" si="12"/>
        <v>AG</v>
      </c>
      <c r="AH37" s="6628" t="s">
        <v>8774</v>
      </c>
      <c r="AJ37" s="1604" t="str">
        <f t="shared" si="6"/>
        <v>►</v>
      </c>
      <c r="AK37" s="6845"/>
      <c r="AL37" s="1333" t="s">
        <v>21</v>
      </c>
      <c r="AM37" s="44"/>
      <c r="AN37" s="45"/>
      <c r="AO37" s="45"/>
      <c r="AP37" s="45"/>
      <c r="AQ37" s="45"/>
      <c r="AR37" s="45"/>
      <c r="AS37" s="46"/>
      <c r="AV37" s="3">
        <v>1</v>
      </c>
    </row>
    <row r="38" spans="2:48" ht="21" customHeight="1">
      <c r="B38" s="1610" cm="1">
        <f t="array" ref="B38">SUMPRODUCT(LEN(C38:K38))</f>
        <v>0</v>
      </c>
      <c r="C38" s="1810"/>
      <c r="D38" s="1810"/>
      <c r="E38" s="1810"/>
      <c r="F38" s="1810"/>
      <c r="G38" s="1810"/>
      <c r="H38" s="1810"/>
      <c r="I38" s="1810"/>
      <c r="J38" s="1810"/>
      <c r="K38" s="1810"/>
      <c r="L38" s="2126" t="str" cm="1">
        <f t="array" ref="L38">IF(B15&lt;=0,0,ROUNDUP(SUMPRODUCT(LEN(C38:K38))/B15,0))&amp;" ligne(s)"</f>
        <v>0 ligne(s)</v>
      </c>
      <c r="M38" s="1615" t="str">
        <f>IF(K38&gt;0, IF(OR(#REF!="Kg", C38="g"), IF(ROUND(K38,3)&gt;=1, ROUND(K38,3)&amp;" Kg", ROUND(K38*1000,0)&amp;" g"), IF(ROUND(K38,3)&gt;=1, ROUND(K38,3)&amp;" L", ROUND(K38*100,0)&amp;" cl")), "")</f>
        <v/>
      </c>
      <c r="N38" s="1604" t="s">
        <v>10</v>
      </c>
      <c r="O38" s="5597">
        <f t="shared" ref="O38:AG38" ca="1" si="13">CELL("largeur",O38)</f>
        <v>3</v>
      </c>
      <c r="P38" s="5597">
        <f t="shared" ca="1" si="13"/>
        <v>3</v>
      </c>
      <c r="Q38" s="5597">
        <f t="shared" ca="1" si="13"/>
        <v>3</v>
      </c>
      <c r="R38" s="5597">
        <f t="shared" ca="1" si="13"/>
        <v>5</v>
      </c>
      <c r="S38" s="5597">
        <f t="shared" ca="1" si="13"/>
        <v>12</v>
      </c>
      <c r="T38" s="5597">
        <f t="shared" ca="1" si="13"/>
        <v>12</v>
      </c>
      <c r="U38" s="5597">
        <f t="shared" ca="1" si="13"/>
        <v>3</v>
      </c>
      <c r="V38" s="5597">
        <f t="shared" ca="1" si="13"/>
        <v>9</v>
      </c>
      <c r="W38" s="5597">
        <f t="shared" ca="1" si="13"/>
        <v>12</v>
      </c>
      <c r="X38" s="5597">
        <f t="shared" ca="1" si="13"/>
        <v>9</v>
      </c>
      <c r="Y38" s="6007">
        <f t="shared" ca="1" si="13"/>
        <v>6</v>
      </c>
      <c r="Z38" s="5599">
        <f t="shared" ca="1" si="13"/>
        <v>40</v>
      </c>
      <c r="AA38" s="5599">
        <f t="shared" ca="1" si="13"/>
        <v>10</v>
      </c>
      <c r="AB38" s="5599">
        <f t="shared" ca="1" si="13"/>
        <v>9</v>
      </c>
      <c r="AC38" s="5599">
        <f t="shared" ca="1" si="13"/>
        <v>11</v>
      </c>
      <c r="AD38" s="6007">
        <f t="shared" ca="1" si="13"/>
        <v>13</v>
      </c>
      <c r="AE38" s="5599">
        <f t="shared" ca="1" si="13"/>
        <v>13</v>
      </c>
      <c r="AF38" s="5599">
        <f t="shared" ca="1" si="13"/>
        <v>13</v>
      </c>
      <c r="AG38" s="6009">
        <f t="shared" ca="1" si="13"/>
        <v>17</v>
      </c>
      <c r="AH38" s="6628"/>
      <c r="AJ38" s="1604" t="str">
        <f t="shared" si="6"/>
        <v>A</v>
      </c>
      <c r="AK38" s="6845"/>
      <c r="AL38" s="1333" t="s">
        <v>21</v>
      </c>
      <c r="AM38" s="171" t="s">
        <v>168</v>
      </c>
      <c r="AN38" s="45"/>
      <c r="AO38" s="45"/>
      <c r="AP38" s="45"/>
      <c r="AQ38" s="45"/>
      <c r="AR38" s="45"/>
      <c r="AS38" s="46"/>
      <c r="AV38" s="3">
        <v>1</v>
      </c>
    </row>
    <row r="39" spans="2:48" ht="21" customHeight="1">
      <c r="B39" s="1610" cm="1">
        <f t="array" ref="B39">SUMPRODUCT(LEN(C39:K39))</f>
        <v>0</v>
      </c>
      <c r="C39" s="1810"/>
      <c r="D39" s="1810"/>
      <c r="E39" s="1810"/>
      <c r="F39" s="1810"/>
      <c r="G39" s="1810"/>
      <c r="H39" s="1810"/>
      <c r="I39" s="1810"/>
      <c r="J39" s="1810"/>
      <c r="K39" s="1810"/>
      <c r="L39" s="2126" t="str" cm="1">
        <f t="array" ref="L39">IF(B15&lt;=0,0,ROUNDUP(SUMPRODUCT(LEN(C39:K39))/B15,0))&amp;" ligne(s)"</f>
        <v>0 ligne(s)</v>
      </c>
      <c r="M39" s="1615" t="str">
        <f>IF(K39&gt;0, IF(OR(#REF!="Kg", C39="g"), IF(ROUND(K39,3)&gt;=1, ROUND(K39,3)&amp;" Kg", ROUND(K39*1000,0)&amp;" g"), IF(ROUND(K39,3)&gt;=1, ROUND(K39,3)&amp;" L", ROUND(K39*100,0)&amp;" cl")), "")</f>
        <v/>
      </c>
      <c r="N39" s="1618" t="s">
        <v>10</v>
      </c>
      <c r="O39" s="1370" t="str">
        <f>O17</f>
        <v>B BEIGNETS D'ACACIA | pâtisserie--Beignets| Auteur &gt; Cuisine Actuelle</v>
      </c>
      <c r="P39" s="1348">
        <f>P17</f>
        <v>4</v>
      </c>
      <c r="Q39" s="1349" t="str">
        <f>Q17</f>
        <v>personnes</v>
      </c>
      <c r="R39" s="1350" t="str">
        <f>R17</f>
        <v>Recette mère ► Beignets d'acacia</v>
      </c>
      <c r="S39" s="5997" t="str">
        <f ca="1">"largeur de "&amp;Y37&amp;" à "&amp;AG37&amp;" = "&amp;SUM(Y38:AG38)</f>
        <v>largeur de Y à AG = 132</v>
      </c>
      <c r="T39" s="5998"/>
      <c r="U39" s="1986"/>
      <c r="V39" s="1986"/>
      <c r="W39" s="1986"/>
      <c r="X39" s="1987" t="s">
        <v>8145</v>
      </c>
      <c r="Y39" s="1988" t="s">
        <v>821</v>
      </c>
      <c r="Z39" s="1941"/>
      <c r="AA39" s="5999" t="str">
        <f ca="1">"largeur mini  = "&amp;SUM(Y38:AD38)</f>
        <v>largeur mini  = 89</v>
      </c>
      <c r="AB39" s="6000" t="str">
        <f ca="1">"largeur maxi  = "&amp;SUM(Y38:AG38)</f>
        <v>largeur maxi  = 132</v>
      </c>
      <c r="AC39" s="1942"/>
      <c r="AD39" s="1942"/>
      <c r="AE39" s="1989"/>
      <c r="AF39" s="2101"/>
      <c r="AG39" s="1990" t="s">
        <v>218</v>
      </c>
      <c r="AJ39" s="1618" t="str">
        <f t="shared" si="6"/>
        <v>A</v>
      </c>
      <c r="AK39" s="1616">
        <v>1</v>
      </c>
      <c r="AL39" s="1333" t="s">
        <v>21</v>
      </c>
      <c r="AM39" s="171"/>
      <c r="AN39" s="45"/>
      <c r="AO39" s="45"/>
      <c r="AP39" s="45"/>
      <c r="AQ39" s="45"/>
      <c r="AR39" s="45"/>
      <c r="AS39" s="46"/>
      <c r="AV39" s="3">
        <v>1</v>
      </c>
    </row>
    <row r="40" spans="2:48" ht="21" customHeight="1">
      <c r="B40" s="1610" cm="1">
        <f t="array" ref="B40">SUMPRODUCT(LEN(C40:K40))</f>
        <v>0</v>
      </c>
      <c r="C40" s="1810"/>
      <c r="D40" s="1810"/>
      <c r="E40" s="1810"/>
      <c r="F40" s="1810"/>
      <c r="G40" s="1810"/>
      <c r="H40" s="1810"/>
      <c r="I40" s="1810"/>
      <c r="J40" s="1810"/>
      <c r="K40" s="1810"/>
      <c r="L40" s="2126" t="str" cm="1">
        <f t="array" ref="L40">IF(B15&lt;=0,0,ROUNDUP(SUMPRODUCT(LEN(C40:K40))/B15,0))&amp;" ligne(s)"</f>
        <v>0 ligne(s)</v>
      </c>
      <c r="M40" s="1615" t="str">
        <f>IF(K40&gt;0, IF(OR(#REF!="Kg", C40="g"), IF(ROUND(K40,3)&gt;=1, ROUND(K40,3)&amp;" Kg", ROUND(K40*1000,0)&amp;" g"), IF(ROUND(K40,3)&gt;=1, ROUND(K40,3)&amp;" L", ROUND(K40*100,0)&amp;" cl")), "")</f>
        <v/>
      </c>
      <c r="N40" s="1618" t="s">
        <v>10</v>
      </c>
      <c r="O40" s="163" t="str">
        <f>O17</f>
        <v>B BEIGNETS D'ACACIA | pâtisserie--Beignets| Auteur &gt; Cuisine Actuelle</v>
      </c>
      <c r="P40" s="163">
        <f>P17</f>
        <v>4</v>
      </c>
      <c r="Q40" s="164" t="str">
        <f>Q17</f>
        <v>personnes</v>
      </c>
      <c r="R40" s="165" t="str">
        <f>R17</f>
        <v>Recette mère ► Beignets d'acacia</v>
      </c>
      <c r="S40" s="508"/>
      <c r="T40" s="508"/>
      <c r="U40" s="2063"/>
      <c r="V40" s="2064" t="s">
        <v>8865</v>
      </c>
      <c r="W40" s="2065">
        <f ca="1">SUM(Y38:AG38)</f>
        <v>132</v>
      </c>
      <c r="X40" s="1374">
        <v>0</v>
      </c>
      <c r="Y40" s="1375" t="s">
        <v>8146</v>
      </c>
      <c r="Z40" s="1810"/>
      <c r="AA40" s="1810"/>
      <c r="AB40" s="1810"/>
      <c r="AC40" s="1810"/>
      <c r="AD40" s="1810"/>
      <c r="AE40" s="9"/>
      <c r="AF40" s="5993" t="s">
        <v>164</v>
      </c>
      <c r="AG40" s="1330" t="s">
        <v>165</v>
      </c>
      <c r="AJ40" s="1618" t="str">
        <f t="shared" si="6"/>
        <v>A</v>
      </c>
      <c r="AK40" s="1616">
        <v>1</v>
      </c>
      <c r="AL40" s="1333" t="s">
        <v>21</v>
      </c>
      <c r="AM40" s="6573" t="s">
        <v>174</v>
      </c>
      <c r="AN40" s="6574" t="s">
        <v>175</v>
      </c>
      <c r="AO40" s="6574"/>
      <c r="AP40" s="6574"/>
      <c r="AQ40" s="6574"/>
      <c r="AR40" s="6574"/>
      <c r="AS40" s="6575"/>
      <c r="AV40" s="3">
        <v>1</v>
      </c>
    </row>
    <row r="41" spans="2:48" ht="21" customHeight="1">
      <c r="B41" s="1610" cm="1">
        <f t="array" ref="B41">SUMPRODUCT(LEN(C41:K41))</f>
        <v>0</v>
      </c>
      <c r="C41" s="1810"/>
      <c r="D41" s="1810"/>
      <c r="E41" s="1810"/>
      <c r="F41" s="1810"/>
      <c r="G41" s="1810"/>
      <c r="H41" s="1810"/>
      <c r="I41" s="1810"/>
      <c r="J41" s="1810"/>
      <c r="K41" s="1810"/>
      <c r="L41" s="2126" t="str" cm="1">
        <f t="array" ref="L41">IF(B15&lt;=0,0,ROUNDUP(SUMPRODUCT(LEN(C41:K41))/B15,0))&amp;" ligne(s)"</f>
        <v>0 ligne(s)</v>
      </c>
      <c r="N41" s="1618" t="s">
        <v>10</v>
      </c>
      <c r="O41" s="163" t="str">
        <f>O17</f>
        <v>B BEIGNETS D'ACACIA | pâtisserie--Beignets| Auteur &gt; Cuisine Actuelle</v>
      </c>
      <c r="P41" s="163">
        <f>P17</f>
        <v>4</v>
      </c>
      <c r="Q41" s="164" t="str">
        <f>Q17</f>
        <v>personnes</v>
      </c>
      <c r="R41" s="165" t="str">
        <f>R17</f>
        <v>Recette mère ► Beignets d'acacia</v>
      </c>
      <c r="S41" s="1548"/>
      <c r="T41" s="2189" t="s">
        <v>8771</v>
      </c>
      <c r="U41" s="2190">
        <f>ROWS(Y41:Y41)</f>
        <v>1</v>
      </c>
      <c r="V41" s="5549" t="str" cm="1">
        <f t="array" ref="V41">IF(SUMPRODUCT((Y41:AD41&lt;&gt;"")*1)=0,"",SUMPRODUCT((Y41:AD41&lt;&gt;"")*(LEN(TRIM(SUBSTITUTE(Y41:AD41,CHAR(160)," "))) - LEN(SUBSTITUTE(TRIM(SUBSTITUTE(Y41:AD41,CHAR(160)," "))," ","")) + 1)) &amp; " mot" &amp; IF(SUMPRODUCT((Y41:AD41&lt;&gt;"")*(LEN(TRIM(SUBSTITUTE(Y41:AD41,CHAR(160)," "))) - LEN(SUBSTITUTE(TRIM(SUBSTITUTE(Y41:AD41,CHAR(160)," "))," ","")) + 1))&gt;1,"s",""))</f>
        <v>7 mots</v>
      </c>
      <c r="W41" s="5550" t="str" cm="1">
        <f t="array" ref="W41">SUMPRODUCT(--(Y41:AD41&lt;&gt;""), LEN(TRIM(SUBSTITUTE(Y41:AD41, CHAR(160), "")))) &amp; " Car."</f>
        <v>30 Car.</v>
      </c>
      <c r="X41" s="1376" t="str">
        <f>IF(ISBLANK(Y41),"",LARGE(X40:X40,1)+1)</f>
        <v/>
      </c>
      <c r="Y41" s="1810"/>
      <c r="Z41" s="1810" t="s">
        <v>8410</v>
      </c>
      <c r="AA41" s="1810"/>
      <c r="AB41" s="1810"/>
      <c r="AC41" s="1810"/>
      <c r="AD41" s="1810"/>
      <c r="AE41" s="9"/>
      <c r="AF41" s="5993" t="s">
        <v>167</v>
      </c>
      <c r="AG41" s="1330" t="s">
        <v>165</v>
      </c>
      <c r="AJ41" s="1618" t="str">
        <f t="shared" si="6"/>
        <v>A</v>
      </c>
      <c r="AK41" s="1616">
        <v>1</v>
      </c>
      <c r="AL41" s="1333" t="s">
        <v>21</v>
      </c>
      <c r="AM41" s="6573"/>
      <c r="AN41" s="6574"/>
      <c r="AO41" s="6574"/>
      <c r="AP41" s="6574"/>
      <c r="AQ41" s="6574"/>
      <c r="AR41" s="6574"/>
      <c r="AS41" s="6575"/>
      <c r="AV41" s="3">
        <v>1</v>
      </c>
    </row>
    <row r="42" spans="2:48" ht="21" customHeight="1">
      <c r="B42" s="1610" cm="1">
        <f t="array" ref="B42">SUMPRODUCT(LEN(C42:K42))</f>
        <v>0</v>
      </c>
      <c r="C42" s="1810"/>
      <c r="D42" s="1810"/>
      <c r="E42" s="1810"/>
      <c r="F42" s="1810"/>
      <c r="G42" s="1810"/>
      <c r="H42" s="1810"/>
      <c r="I42" s="1810"/>
      <c r="J42" s="1810"/>
      <c r="K42" s="1810"/>
      <c r="L42" s="2126" t="str" cm="1">
        <f t="array" ref="L42">IF(B15&lt;=0,0,ROUNDUP(SUMPRODUCT(LEN(C42:K42))/B15,0))&amp;" ligne(s)"</f>
        <v>0 ligne(s)</v>
      </c>
      <c r="M42" t="str">
        <f>IF(C29="","",IF(COUNTIF(E42:L42,SUBSTITUTE(TRIM(C29)," (s)",""))+COUNTIF(E44:L44,SUBSTITUTE(TRIM(C29)," (s)",""))&gt;0,IF(ROUND(K29,3)&gt;=1,ROUND(K29,3)&amp;" L",MAX(1,ROUND(K29*100,0))&amp;" cl"),IF(COUNTIF(B42:D42,SUBSTITUTE(TRIM(C29)," (s)",""))+COUNTIF(B44:D44,SUBSTITUTE(TRIM(C29)," (s)",""))&gt;0,IF(ROUND(K29,3)&gt;=1,ROUND(K29,3)&amp;" Kg",MAX(1,ROUND(K29*1000,0))&amp;" g"),"")))</f>
        <v/>
      </c>
      <c r="N42" s="1618" t="s">
        <v>10</v>
      </c>
      <c r="O42" s="163" t="str">
        <f>O17</f>
        <v>B BEIGNETS D'ACACIA | pâtisserie--Beignets| Auteur &gt; Cuisine Actuelle</v>
      </c>
      <c r="P42" s="163">
        <f>P17</f>
        <v>4</v>
      </c>
      <c r="Q42" s="164" t="str">
        <f>Q17</f>
        <v>personnes</v>
      </c>
      <c r="R42" s="165" t="str">
        <f>R17</f>
        <v>Recette mère ► Beignets d'acacia</v>
      </c>
      <c r="S42" s="1548"/>
      <c r="T42" s="1548"/>
      <c r="U42" s="2190">
        <f>ROWS(Y41:Y42)</f>
        <v>2</v>
      </c>
      <c r="V42" s="5549" t="str" cm="1">
        <f t="array" ref="V42">IF(SUMPRODUCT((Y42:AD42&lt;&gt;"")*1)=0,"",SUMPRODUCT((Y42:AD42&lt;&gt;"")*(LEN(TRIM(SUBSTITUTE(Y42:AD42,CHAR(160)," "))) - LEN(SUBSTITUTE(TRIM(SUBSTITUTE(Y42:AD42,CHAR(160)," "))," ","")) + 1)) &amp; " mot" &amp; IF(SUMPRODUCT((Y42:AD42&lt;&gt;"")*(LEN(TRIM(SUBSTITUTE(Y42:AD42,CHAR(160)," "))) - LEN(SUBSTITUTE(TRIM(SUBSTITUTE(Y42:AD42,CHAR(160)," "))," ","")) + 1))&gt;1,"s",""))</f>
        <v>20 mots</v>
      </c>
      <c r="W42" s="5550" t="str" cm="1">
        <f t="array" ref="W42">SUMPRODUCT(--(Y42:AD42&lt;&gt;""), LEN(TRIM(SUBSTITUTE(Y42:AD42, CHAR(160), "")))) &amp; " Car."</f>
        <v>106 Car.</v>
      </c>
      <c r="X42" s="1376">
        <f>IF(ISBLANK(Y42),"",LARGE(X40:X41,1)+1)</f>
        <v>1</v>
      </c>
      <c r="Y42" s="1810" t="s">
        <v>8256</v>
      </c>
      <c r="Z42" s="1810"/>
      <c r="AA42" s="1810"/>
      <c r="AB42" s="1810"/>
      <c r="AC42" s="1810"/>
      <c r="AD42" s="1810"/>
      <c r="AE42" s="1810"/>
      <c r="AF42" s="5994" t="s">
        <v>171</v>
      </c>
      <c r="AG42" s="5564">
        <v>3.472222222222222E-3</v>
      </c>
      <c r="AJ42" s="1618" t="str">
        <f t="shared" si="6"/>
        <v>A</v>
      </c>
      <c r="AK42" s="1616">
        <v>1</v>
      </c>
      <c r="AL42" s="1333" t="s">
        <v>21</v>
      </c>
      <c r="AM42" s="6573"/>
      <c r="AN42" s="181" t="s">
        <v>183</v>
      </c>
      <c r="AO42" s="181"/>
      <c r="AP42" s="181"/>
      <c r="AQ42" s="181"/>
      <c r="AR42" s="182"/>
      <c r="AS42" s="183"/>
      <c r="AV42" s="3">
        <v>1</v>
      </c>
    </row>
    <row r="43" spans="2:48" ht="21" customHeight="1">
      <c r="B43" s="1610" cm="1">
        <f t="array" ref="B43">SUMPRODUCT(LEN(C43:K43))</f>
        <v>0</v>
      </c>
      <c r="C43" s="1810"/>
      <c r="D43" s="1810"/>
      <c r="E43" s="1810"/>
      <c r="F43" s="1810"/>
      <c r="G43" s="1810"/>
      <c r="H43" s="1810"/>
      <c r="I43" s="1810"/>
      <c r="J43" s="1810"/>
      <c r="K43" s="1810"/>
      <c r="L43" s="2126" t="str" cm="1">
        <f t="array" ref="L43">IF(B15&lt;=0,0,ROUNDUP(SUMPRODUCT(LEN(C43:K43))/B15,0))&amp;" ligne(s)"</f>
        <v>0 ligne(s)</v>
      </c>
      <c r="N43" s="1618" t="s">
        <v>10</v>
      </c>
      <c r="O43" s="163" t="str">
        <f>O17</f>
        <v>B BEIGNETS D'ACACIA | pâtisserie--Beignets| Auteur &gt; Cuisine Actuelle</v>
      </c>
      <c r="P43" s="163">
        <f>P17</f>
        <v>4</v>
      </c>
      <c r="Q43" s="164" t="str">
        <f>Q17</f>
        <v>personnes</v>
      </c>
      <c r="R43" s="165" t="str">
        <f>R17</f>
        <v>Recette mère ► Beignets d'acacia</v>
      </c>
      <c r="S43" s="1548"/>
      <c r="T43" s="1548"/>
      <c r="U43" s="2190">
        <f>ROWS(Y41:Y43)</f>
        <v>3</v>
      </c>
      <c r="V43" s="5549" t="str" cm="1">
        <f t="array" ref="V43">IF(SUMPRODUCT((Y43:AD43&lt;&gt;"")*1)=0,"",SUMPRODUCT((Y43:AD43&lt;&gt;"")*(LEN(TRIM(SUBSTITUTE(Y43:AD43,CHAR(160)," "))) - LEN(SUBSTITUTE(TRIM(SUBSTITUTE(Y43:AD43,CHAR(160)," "))," ","")) + 1)) &amp; " mot" &amp; IF(SUMPRODUCT((Y43:AD43&lt;&gt;"")*(LEN(TRIM(SUBSTITUTE(Y43:AD43,CHAR(160)," "))) - LEN(SUBSTITUTE(TRIM(SUBSTITUTE(Y43:AD43,CHAR(160)," "))," ","")) + 1))&gt;1,"s",""))</f>
        <v>17 mots</v>
      </c>
      <c r="W43" s="5550" t="str" cm="1">
        <f t="array" ref="W43">SUMPRODUCT(--(Y43:AD43&lt;&gt;""), LEN(TRIM(SUBSTITUTE(Y43:AD43, CHAR(160), "")))) &amp; " Car."</f>
        <v>88 Car.</v>
      </c>
      <c r="X43" s="1376" t="str">
        <f>IF(ISBLANK(Y43),"",LARGE(X40:X42,1)+1)</f>
        <v/>
      </c>
      <c r="Y43" s="1810"/>
      <c r="Z43" s="1810" t="s">
        <v>8257</v>
      </c>
      <c r="AA43" s="1810"/>
      <c r="AB43" s="1810"/>
      <c r="AC43" s="1810"/>
      <c r="AD43" s="1810"/>
      <c r="AE43" s="1810"/>
      <c r="AF43" s="5994" t="s">
        <v>173</v>
      </c>
      <c r="AG43" s="5565">
        <v>1.0416666666666666E-2</v>
      </c>
      <c r="AJ43" s="1618" t="str">
        <f t="shared" si="6"/>
        <v>A</v>
      </c>
      <c r="AK43" s="6845" t="s">
        <v>8260</v>
      </c>
      <c r="AL43" s="1333" t="s">
        <v>21</v>
      </c>
      <c r="AM43" s="6573"/>
      <c r="AN43" s="181" t="s">
        <v>187</v>
      </c>
      <c r="AO43" s="184"/>
      <c r="AP43" s="184"/>
      <c r="AQ43" s="184"/>
      <c r="AR43" s="182"/>
      <c r="AS43" s="183"/>
      <c r="AV43" s="3">
        <v>1</v>
      </c>
    </row>
    <row r="44" spans="2:48" ht="21" customHeight="1">
      <c r="B44" s="1610" cm="1">
        <f t="array" ref="B44">SUMPRODUCT(LEN(C44:K44))</f>
        <v>0</v>
      </c>
      <c r="C44" s="1810"/>
      <c r="D44" s="1810"/>
      <c r="E44" s="1810"/>
      <c r="F44" s="1810"/>
      <c r="G44" s="1810"/>
      <c r="H44" s="1810"/>
      <c r="I44" s="1810"/>
      <c r="J44" s="1810"/>
      <c r="K44" s="1810"/>
      <c r="L44" s="2126" t="str" cm="1">
        <f t="array" ref="L44">IF(B15&lt;=0,0,ROUNDUP(SUMPRODUCT(LEN(C44:K44))/B15,0))&amp;" ligne(s)"</f>
        <v>0 ligne(s)</v>
      </c>
      <c r="N44" s="1618" t="s">
        <v>10</v>
      </c>
      <c r="O44" s="163" t="str">
        <f>O17</f>
        <v>B BEIGNETS D'ACACIA | pâtisserie--Beignets| Auteur &gt; Cuisine Actuelle</v>
      </c>
      <c r="P44" s="163">
        <f>P17</f>
        <v>4</v>
      </c>
      <c r="Q44" s="164" t="str">
        <f>Q17</f>
        <v>personnes</v>
      </c>
      <c r="R44" s="165" t="str">
        <f>R17</f>
        <v>Recette mère ► Beignets d'acacia</v>
      </c>
      <c r="S44" s="1548"/>
      <c r="T44" s="1548"/>
      <c r="U44" s="2190">
        <f>ROWS(Y41:Y44)</f>
        <v>4</v>
      </c>
      <c r="V44" s="5549" t="str" cm="1">
        <f t="array" ref="V44">IF(SUMPRODUCT((Y44:AD44&lt;&gt;"")*1)=0,"",SUMPRODUCT((Y44:AD44&lt;&gt;"")*(LEN(TRIM(SUBSTITUTE(Y44:AD44,CHAR(160)," "))) - LEN(SUBSTITUTE(TRIM(SUBSTITUTE(Y44:AD44,CHAR(160)," "))," ","")) + 1)) &amp; " mot" &amp; IF(SUMPRODUCT((Y44:AD44&lt;&gt;"")*(LEN(TRIM(SUBSTITUTE(Y44:AD44,CHAR(160)," "))) - LEN(SUBSTITUTE(TRIM(SUBSTITUTE(Y44:AD44,CHAR(160)," "))," ","")) + 1))&gt;1,"s",""))</f>
        <v>15 mots</v>
      </c>
      <c r="W44" s="5550" t="str" cm="1">
        <f t="array" ref="W44">SUMPRODUCT(--(Y44:AD44&lt;&gt;""), LEN(TRIM(SUBSTITUTE(Y44:AD44, CHAR(160), "")))) &amp; " Car."</f>
        <v>91 Car.</v>
      </c>
      <c r="X44" s="1376">
        <f>IF(ISBLANK(Y44),"",LARGE(X40:X43,1)+1)</f>
        <v>2</v>
      </c>
      <c r="Y44" s="1810" t="s">
        <v>8258</v>
      </c>
      <c r="Z44" s="1833"/>
      <c r="AA44" s="1810"/>
      <c r="AB44" s="1810"/>
      <c r="AC44" s="1810"/>
      <c r="AD44" s="1810"/>
      <c r="AE44" s="1810"/>
      <c r="AF44" s="5994" t="s">
        <v>181</v>
      </c>
      <c r="AG44" s="178">
        <v>2.0833333333333332E-2</v>
      </c>
      <c r="AJ44" s="1618" t="str">
        <f t="shared" si="6"/>
        <v>A</v>
      </c>
      <c r="AK44" s="6845"/>
      <c r="AL44" s="1333" t="s">
        <v>21</v>
      </c>
      <c r="AM44" s="171"/>
      <c r="AN44" s="181"/>
      <c r="AO44" s="184"/>
      <c r="AP44" s="184"/>
      <c r="AQ44" s="184"/>
      <c r="AR44" s="182"/>
      <c r="AS44" s="183"/>
      <c r="AV44" s="3">
        <v>1</v>
      </c>
    </row>
    <row r="45" spans="2:48" ht="21" customHeight="1">
      <c r="B45" s="1610" cm="1">
        <f t="array" ref="B45">SUMPRODUCT(LEN(C45:K45))</f>
        <v>0</v>
      </c>
      <c r="C45" s="1810"/>
      <c r="D45" s="1810"/>
      <c r="E45" s="1810"/>
      <c r="F45" s="1810"/>
      <c r="G45" s="1810"/>
      <c r="H45" s="1810"/>
      <c r="I45" s="1810"/>
      <c r="J45" s="1810"/>
      <c r="K45" s="1810"/>
      <c r="L45" s="2126" t="str" cm="1">
        <f t="array" ref="L45">IF(B15&lt;=0,0,ROUNDUP(SUMPRODUCT(LEN(C45:K45))/B15,0))&amp;" ligne(s)"</f>
        <v>0 ligne(s)</v>
      </c>
      <c r="N45" s="1618" t="s">
        <v>10</v>
      </c>
      <c r="O45" s="163" t="str">
        <f>O17</f>
        <v>B BEIGNETS D'ACACIA | pâtisserie--Beignets| Auteur &gt; Cuisine Actuelle</v>
      </c>
      <c r="P45" s="163">
        <f>P17</f>
        <v>4</v>
      </c>
      <c r="Q45" s="164" t="str">
        <f>Q17</f>
        <v>personnes</v>
      </c>
      <c r="R45" s="165" t="str">
        <f>R17</f>
        <v>Recette mère ► Beignets d'acacia</v>
      </c>
      <c r="S45" s="1548"/>
      <c r="T45" s="1548"/>
      <c r="U45" s="2190">
        <f>ROWS(Y41:Y45)</f>
        <v>5</v>
      </c>
      <c r="V45" s="5549" t="str" cm="1">
        <f t="array" ref="V45">IF(SUMPRODUCT((Y45:AD45&lt;&gt;"")*1)=0,"",SUMPRODUCT((Y45:AD45&lt;&gt;"")*(LEN(TRIM(SUBSTITUTE(Y45:AD45,CHAR(160)," "))) - LEN(SUBSTITUTE(TRIM(SUBSTITUTE(Y45:AD45,CHAR(160)," "))," ","")) + 1)) &amp; " mot" &amp; IF(SUMPRODUCT((Y45:AD45&lt;&gt;"")*(LEN(TRIM(SUBSTITUTE(Y45:AD45,CHAR(160)," "))) - LEN(SUBSTITUTE(TRIM(SUBSTITUTE(Y45:AD45,CHAR(160)," "))," ","")) + 1))&gt;1,"s",""))</f>
        <v>6 mots</v>
      </c>
      <c r="W45" s="5550" t="str" cm="1">
        <f t="array" ref="W45">SUMPRODUCT(--(Y45:AD45&lt;&gt;""), LEN(TRIM(SUBSTITUTE(Y45:AD45, CHAR(160), "")))) &amp; " Car."</f>
        <v>35 Car.</v>
      </c>
      <c r="X45" s="1376">
        <f>IF(ISBLANK(Y45),"",LARGE(X40:X44,1)+1)</f>
        <v>3</v>
      </c>
      <c r="Y45" s="1810" t="s">
        <v>8259</v>
      </c>
      <c r="Z45" s="1810"/>
      <c r="AA45" s="1810"/>
      <c r="AB45" s="1810"/>
      <c r="AC45" s="1810"/>
      <c r="AD45" s="1810"/>
      <c r="AE45" s="1810"/>
      <c r="AF45" s="179" t="s">
        <v>182</v>
      </c>
      <c r="AG45" s="180">
        <f>AG42+AG43+AG44</f>
        <v>3.4722222222222224E-2</v>
      </c>
      <c r="AJ45" s="1618" t="str">
        <f t="shared" si="6"/>
        <v>A</v>
      </c>
      <c r="AK45" s="6845"/>
      <c r="AL45" s="1333" t="s">
        <v>21</v>
      </c>
      <c r="AM45" s="190" t="s">
        <v>193</v>
      </c>
      <c r="AN45" s="45"/>
      <c r="AO45" s="45"/>
      <c r="AP45" s="45"/>
      <c r="AQ45" s="45"/>
      <c r="AR45" s="45"/>
      <c r="AS45" s="46"/>
      <c r="AV45" s="3">
        <v>1</v>
      </c>
    </row>
    <row r="46" spans="2:48" ht="21" customHeight="1">
      <c r="B46" s="1610" cm="1">
        <f t="array" ref="B46">SUMPRODUCT(LEN(C46:K46))</f>
        <v>0</v>
      </c>
      <c r="C46" s="1810"/>
      <c r="D46" s="1810"/>
      <c r="E46" s="1810"/>
      <c r="F46" s="1810"/>
      <c r="G46" s="1810"/>
      <c r="H46" s="1810"/>
      <c r="I46" s="1810"/>
      <c r="J46" s="1810"/>
      <c r="K46" s="1810"/>
      <c r="L46" s="2126" t="str" cm="1">
        <f t="array" ref="L46">IF(B15&lt;=0,0,ROUNDUP(SUMPRODUCT(LEN(C46:K46))/B15,0))&amp;" ligne(s)"</f>
        <v>0 ligne(s)</v>
      </c>
      <c r="N46" s="1618" t="s">
        <v>10</v>
      </c>
      <c r="O46" s="163" t="str">
        <f>O17</f>
        <v>B BEIGNETS D'ACACIA | pâtisserie--Beignets| Auteur &gt; Cuisine Actuelle</v>
      </c>
      <c r="P46" s="163">
        <f>P17</f>
        <v>4</v>
      </c>
      <c r="Q46" s="164" t="str">
        <f>Q17</f>
        <v>personnes</v>
      </c>
      <c r="R46" s="165" t="str">
        <f>R17</f>
        <v>Recette mère ► Beignets d'acacia</v>
      </c>
      <c r="S46" s="1548"/>
      <c r="T46" s="1548"/>
      <c r="U46" s="2190">
        <f>ROWS(Y41:Y46)</f>
        <v>6</v>
      </c>
      <c r="V46" s="5549" t="str" cm="1">
        <f t="array" ref="V46">IF(SUMPRODUCT((Y46:AD46&lt;&gt;"")*1)=0,"",SUMPRODUCT((Y46:AD46&lt;&gt;"")*(LEN(TRIM(SUBSTITUTE(Y46:AD46,CHAR(160)," "))) - LEN(SUBSTITUTE(TRIM(SUBSTITUTE(Y46:AD46,CHAR(160)," "))," ","")) + 1)) &amp; " mot" &amp; IF(SUMPRODUCT((Y46:AD46&lt;&gt;"")*(LEN(TRIM(SUBSTITUTE(Y46:AD46,CHAR(160)," "))) - LEN(SUBSTITUTE(TRIM(SUBSTITUTE(Y46:AD46,CHAR(160)," "))," ","")) + 1))&gt;1,"s",""))</f>
        <v>18 mots</v>
      </c>
      <c r="W46" s="5550" t="str" cm="1">
        <f t="array" ref="W46">SUMPRODUCT(--(Y46:AD46&lt;&gt;""), LEN(TRIM(SUBSTITUTE(Y46:AD46, CHAR(160), "")))) &amp; " Car."</f>
        <v>109 Car.</v>
      </c>
      <c r="X46" s="1376">
        <f>IF(ISBLANK(Y46),"",LARGE(X40:X45,1)+1)</f>
        <v>4</v>
      </c>
      <c r="Y46" s="1810" t="s">
        <v>8261</v>
      </c>
      <c r="Z46" s="1833"/>
      <c r="AA46" s="1810"/>
      <c r="AB46" s="1810"/>
      <c r="AC46" s="1810"/>
      <c r="AD46" s="1810"/>
      <c r="AE46" s="1810"/>
      <c r="AF46" s="1810"/>
      <c r="AG46" s="1811"/>
      <c r="AJ46" s="1618" t="str">
        <f t="shared" si="6"/>
        <v>A</v>
      </c>
      <c r="AK46" s="6845"/>
      <c r="AL46" s="1333" t="s">
        <v>21</v>
      </c>
      <c r="AM46" s="44"/>
      <c r="AN46" s="45"/>
      <c r="AO46" s="45"/>
      <c r="AP46" s="45"/>
      <c r="AQ46" s="45"/>
      <c r="AR46" s="45"/>
      <c r="AS46" s="46"/>
      <c r="AV46" s="3">
        <v>1</v>
      </c>
    </row>
    <row r="47" spans="2:48" ht="21" customHeight="1">
      <c r="B47" s="1610" cm="1">
        <f t="array" ref="B47">SUMPRODUCT(LEN(C47:K47))</f>
        <v>0</v>
      </c>
      <c r="C47" s="1810"/>
      <c r="D47" s="1810"/>
      <c r="E47" s="1810"/>
      <c r="F47" s="1810"/>
      <c r="G47" s="1810"/>
      <c r="H47" s="1810"/>
      <c r="I47" s="1810"/>
      <c r="J47" s="1810"/>
      <c r="K47" s="1810"/>
      <c r="L47" s="2126" t="str" cm="1">
        <f t="array" ref="L47">IF(B15&lt;=0,0,ROUNDUP(SUMPRODUCT(LEN(C47:K47))/B15,0))&amp;" ligne(s)"</f>
        <v>0 ligne(s)</v>
      </c>
      <c r="N47" s="1618" t="s">
        <v>10</v>
      </c>
      <c r="O47" s="163" t="str">
        <f>O17</f>
        <v>B BEIGNETS D'ACACIA | pâtisserie--Beignets| Auteur &gt; Cuisine Actuelle</v>
      </c>
      <c r="P47" s="163">
        <f>P17</f>
        <v>4</v>
      </c>
      <c r="Q47" s="164" t="str">
        <f>Q17</f>
        <v>personnes</v>
      </c>
      <c r="R47" s="165" t="str">
        <f>R17</f>
        <v>Recette mère ► Beignets d'acacia</v>
      </c>
      <c r="S47" s="1548"/>
      <c r="T47" s="1548"/>
      <c r="U47" s="2190">
        <f>ROWS(Y41:Y47)</f>
        <v>7</v>
      </c>
      <c r="V47" s="5549" t="str" cm="1">
        <f t="array" ref="V47">IF(SUMPRODUCT((Y47:AD47&lt;&gt;"")*1)=0,"",SUMPRODUCT((Y47:AD47&lt;&gt;"")*(LEN(TRIM(SUBSTITUTE(Y47:AD47,CHAR(160)," "))) - LEN(SUBSTITUTE(TRIM(SUBSTITUTE(Y47:AD47,CHAR(160)," "))," ","")) + 1)) &amp; " mot" &amp; IF(SUMPRODUCT((Y47:AD47&lt;&gt;"")*(LEN(TRIM(SUBSTITUTE(Y47:AD47,CHAR(160)," "))) - LEN(SUBSTITUTE(TRIM(SUBSTITUTE(Y47:AD47,CHAR(160)," "))," ","")) + 1))&gt;1,"s",""))</f>
        <v>7 mots</v>
      </c>
      <c r="W47" s="5550" t="str" cm="1">
        <f t="array" ref="W47">SUMPRODUCT(--(Y47:AD47&lt;&gt;""), LEN(TRIM(SUBSTITUTE(Y47:AD47, CHAR(160), "")))) &amp; " Car."</f>
        <v>38 Car.</v>
      </c>
      <c r="X47" s="1376">
        <f>IF(ISBLANK(Y47),"",LARGE(X40:X46,1)+1)</f>
        <v>5</v>
      </c>
      <c r="Y47" s="1810" t="s">
        <v>8262</v>
      </c>
      <c r="Z47" s="1810"/>
      <c r="AA47" s="1810"/>
      <c r="AB47" s="1810"/>
      <c r="AC47" s="1810"/>
      <c r="AD47" s="1810"/>
      <c r="AE47" s="1810"/>
      <c r="AF47" s="1810"/>
      <c r="AG47" s="1811"/>
      <c r="AJ47" s="1618" t="str">
        <f t="shared" si="6"/>
        <v>A</v>
      </c>
      <c r="AK47" s="1616">
        <v>1</v>
      </c>
      <c r="AL47" s="1333" t="s">
        <v>21</v>
      </c>
      <c r="AM47" s="44"/>
      <c r="AN47" s="45"/>
      <c r="AO47" s="45"/>
      <c r="AP47" s="45"/>
      <c r="AQ47" s="45"/>
      <c r="AR47" s="45"/>
      <c r="AS47" s="46"/>
      <c r="AV47" s="3">
        <v>1</v>
      </c>
    </row>
    <row r="48" spans="2:48" ht="21" customHeight="1">
      <c r="B48" s="1610" cm="1">
        <f t="array" ref="B48">SUMPRODUCT(LEN(C48:K48))</f>
        <v>0</v>
      </c>
      <c r="C48" s="1810"/>
      <c r="D48" s="1810"/>
      <c r="E48" s="1810"/>
      <c r="F48" s="1810"/>
      <c r="G48" s="1810"/>
      <c r="H48" s="1810"/>
      <c r="I48" s="1810"/>
      <c r="J48" s="1810"/>
      <c r="K48" s="1810"/>
      <c r="L48" s="2126" t="str" cm="1">
        <f t="array" ref="L48">IF(B15&lt;=0,0,ROUNDUP(SUMPRODUCT(LEN(C48:K48))/B15,0))&amp;" ligne(s)"</f>
        <v>0 ligne(s)</v>
      </c>
      <c r="N48" s="1618" t="s">
        <v>10</v>
      </c>
      <c r="O48" s="163" t="str">
        <f>O17</f>
        <v>B BEIGNETS D'ACACIA | pâtisserie--Beignets| Auteur &gt; Cuisine Actuelle</v>
      </c>
      <c r="P48" s="163">
        <f>P17</f>
        <v>4</v>
      </c>
      <c r="Q48" s="164" t="str">
        <f>Q17</f>
        <v>personnes</v>
      </c>
      <c r="R48" s="165" t="str">
        <f>R17</f>
        <v>Recette mère ► Beignets d'acacia</v>
      </c>
      <c r="S48" s="1548"/>
      <c r="T48" s="1548"/>
      <c r="U48" s="2190">
        <f>ROWS(Y41:Y48)</f>
        <v>8</v>
      </c>
      <c r="V48" s="5549" t="str" cm="1">
        <f t="array" ref="V48">IF(SUMPRODUCT((Y48:AD48&lt;&gt;"")*1)=0,"",SUMPRODUCT((Y48:AD48&lt;&gt;"")*(LEN(TRIM(SUBSTITUTE(Y48:AD48,CHAR(160)," "))) - LEN(SUBSTITUTE(TRIM(SUBSTITUTE(Y48:AD48,CHAR(160)," "))," ","")) + 1)) &amp; " mot" &amp; IF(SUMPRODUCT((Y48:AD48&lt;&gt;"")*(LEN(TRIM(SUBSTITUTE(Y48:AD48,CHAR(160)," "))) - LEN(SUBSTITUTE(TRIM(SUBSTITUTE(Y48:AD48,CHAR(160)," "))," ","")) + 1))&gt;1,"s",""))</f>
        <v>10 mots</v>
      </c>
      <c r="W48" s="5550" t="str" cm="1">
        <f t="array" ref="W48">SUMPRODUCT(--(Y48:AD48&lt;&gt;""), LEN(TRIM(SUBSTITUTE(Y48:AD48, CHAR(160), "")))) &amp; " Car."</f>
        <v>66 Car.</v>
      </c>
      <c r="X48" s="1376">
        <f>IF(ISBLANK(Y48),"",LARGE(X40:X47,1)+1)</f>
        <v>6</v>
      </c>
      <c r="Y48" s="1810" t="s">
        <v>8263</v>
      </c>
      <c r="Z48" s="1810"/>
      <c r="AA48" s="1810"/>
      <c r="AB48" s="1810"/>
      <c r="AC48" s="1810"/>
      <c r="AD48" s="1810"/>
      <c r="AE48" s="1810"/>
      <c r="AF48" s="1810"/>
      <c r="AG48" s="1811"/>
      <c r="AJ48" s="1618" t="str">
        <f t="shared" si="6"/>
        <v>A</v>
      </c>
      <c r="AK48" s="1616">
        <v>1</v>
      </c>
      <c r="AL48" s="1333" t="s">
        <v>21</v>
      </c>
      <c r="AM48" s="44"/>
      <c r="AN48" s="45"/>
      <c r="AO48" s="45"/>
      <c r="AP48" s="45"/>
      <c r="AQ48" s="45"/>
      <c r="AR48" s="45"/>
      <c r="AS48" s="46"/>
      <c r="AV48" s="3">
        <v>1</v>
      </c>
    </row>
    <row r="49" spans="2:48" ht="21" customHeight="1">
      <c r="B49" s="1610" cm="1">
        <f t="array" ref="B49">SUMPRODUCT(LEN(C49:K49))</f>
        <v>0</v>
      </c>
      <c r="C49" s="1810"/>
      <c r="D49" s="1810"/>
      <c r="E49" s="1810"/>
      <c r="F49" s="1810"/>
      <c r="G49" s="1810"/>
      <c r="H49" s="1810"/>
      <c r="I49" s="1810"/>
      <c r="J49" s="1810"/>
      <c r="K49" s="1810"/>
      <c r="L49" s="2126" t="str" cm="1">
        <f t="array" ref="L49">IF(B15&lt;=0,0,ROUNDUP(SUMPRODUCT(LEN(C49:K49))/B15,0))&amp;" ligne(s)"</f>
        <v>0 ligne(s)</v>
      </c>
      <c r="N49" s="1618" t="s">
        <v>10</v>
      </c>
      <c r="O49" s="163" t="str">
        <f>O17</f>
        <v>B BEIGNETS D'ACACIA | pâtisserie--Beignets| Auteur &gt; Cuisine Actuelle</v>
      </c>
      <c r="P49" s="163">
        <f>P17</f>
        <v>4</v>
      </c>
      <c r="Q49" s="164" t="str">
        <f>Q17</f>
        <v>personnes</v>
      </c>
      <c r="R49" s="165" t="str">
        <f>R17</f>
        <v>Recette mère ► Beignets d'acacia</v>
      </c>
      <c r="S49" s="1548"/>
      <c r="T49" s="1548"/>
      <c r="U49" s="2190">
        <f>ROWS(Y41:Y49)</f>
        <v>9</v>
      </c>
      <c r="V49" s="5549" t="str" cm="1">
        <f t="array" ref="V49">IF(SUMPRODUCT((Y49:AD49&lt;&gt;"")*1)=0,"",SUMPRODUCT((Y49:AD49&lt;&gt;"")*(LEN(TRIM(SUBSTITUTE(Y49:AD49,CHAR(160)," "))) - LEN(SUBSTITUTE(TRIM(SUBSTITUTE(Y49:AD49,CHAR(160)," "))," ","")) + 1)) &amp; " mot" &amp; IF(SUMPRODUCT((Y49:AD49&lt;&gt;"")*(LEN(TRIM(SUBSTITUTE(Y49:AD49,CHAR(160)," "))) - LEN(SUBSTITUTE(TRIM(SUBSTITUTE(Y49:AD49,CHAR(160)," "))," ","")) + 1))&gt;1,"s",""))</f>
        <v/>
      </c>
      <c r="W49" s="5550" t="str" cm="1">
        <f t="array" ref="W49">SUMPRODUCT(--(Y49:AD49&lt;&gt;""), LEN(TRIM(SUBSTITUTE(Y49:AD49, CHAR(160), "")))) &amp; " Car."</f>
        <v>0 Car.</v>
      </c>
      <c r="X49" s="1376" t="str">
        <f>IF(ISBLANK(Y49),"",LARGE(X40:X48,1)+1)</f>
        <v/>
      </c>
      <c r="Y49" s="1810"/>
      <c r="Z49" s="1810"/>
      <c r="AA49" s="1810"/>
      <c r="AB49" s="1810"/>
      <c r="AC49" s="1810"/>
      <c r="AD49" s="1810"/>
      <c r="AE49" s="1810"/>
      <c r="AF49" s="1810"/>
      <c r="AG49" s="1811"/>
      <c r="AJ49" s="1618" t="str">
        <f t="shared" si="6"/>
        <v>A</v>
      </c>
      <c r="AK49" s="1616">
        <v>1</v>
      </c>
      <c r="AL49" s="1333" t="s">
        <v>21</v>
      </c>
      <c r="AM49" s="44"/>
      <c r="AN49" s="45"/>
      <c r="AO49" s="45"/>
      <c r="AP49" s="45"/>
      <c r="AQ49" s="45"/>
      <c r="AR49" s="45"/>
      <c r="AS49" s="46"/>
      <c r="AV49" s="3">
        <v>1</v>
      </c>
    </row>
    <row r="50" spans="2:48" ht="21" customHeight="1">
      <c r="B50" s="1610" cm="1">
        <f t="array" ref="B50">SUMPRODUCT(LEN(C50:K50))</f>
        <v>0</v>
      </c>
      <c r="C50" s="1810"/>
      <c r="D50" s="1810"/>
      <c r="E50" s="1810"/>
      <c r="F50" s="1810"/>
      <c r="G50" s="1810"/>
      <c r="H50" s="1810"/>
      <c r="I50" s="1810"/>
      <c r="J50" s="1810"/>
      <c r="K50" s="1810"/>
      <c r="L50" s="2126" t="str" cm="1">
        <f t="array" ref="L50">IF(B15&lt;=0,0,ROUNDUP(SUMPRODUCT(LEN(C50:K50))/B15,0))&amp;" ligne(s)"</f>
        <v>0 ligne(s)</v>
      </c>
      <c r="N50" s="1618" t="s">
        <v>10</v>
      </c>
      <c r="O50" s="163" t="str">
        <f>O17</f>
        <v>B BEIGNETS D'ACACIA | pâtisserie--Beignets| Auteur &gt; Cuisine Actuelle</v>
      </c>
      <c r="P50" s="163">
        <f>P17</f>
        <v>4</v>
      </c>
      <c r="Q50" s="164" t="str">
        <f>Q17</f>
        <v>personnes</v>
      </c>
      <c r="R50" s="165" t="str">
        <f>R17</f>
        <v>Recette mère ► Beignets d'acacia</v>
      </c>
      <c r="S50" s="1548"/>
      <c r="T50" s="1548"/>
      <c r="U50" s="2190">
        <f>ROWS(Y41:Y50)</f>
        <v>10</v>
      </c>
      <c r="V50" s="5549" t="str" cm="1">
        <f t="array" ref="V50">IF(SUMPRODUCT((Y50:AD50&lt;&gt;"")*1)=0,"",SUMPRODUCT((Y50:AD50&lt;&gt;"")*(LEN(TRIM(SUBSTITUTE(Y50:AD50,CHAR(160)," "))) - LEN(SUBSTITUTE(TRIM(SUBSTITUTE(Y50:AD50,CHAR(160)," "))," ","")) + 1)) &amp; " mot" &amp; IF(SUMPRODUCT((Y50:AD50&lt;&gt;"")*(LEN(TRIM(SUBSTITUTE(Y50:AD50,CHAR(160)," "))) - LEN(SUBSTITUTE(TRIM(SUBSTITUTE(Y50:AD50,CHAR(160)," "))," ","")) + 1))&gt;1,"s",""))</f>
        <v/>
      </c>
      <c r="W50" s="5550" t="str" cm="1">
        <f t="array" ref="W50">SUMPRODUCT(--(Y50:AD50&lt;&gt;""), LEN(TRIM(SUBSTITUTE(Y50:AD50, CHAR(160), "")))) &amp; " Car."</f>
        <v>0 Car.</v>
      </c>
      <c r="X50" s="1376" t="str">
        <f>IF(ISBLANK(Y50),"",LARGE(X40:X49,1)+1)</f>
        <v/>
      </c>
      <c r="Y50" s="1810"/>
      <c r="Z50" s="1810"/>
      <c r="AA50" s="1810"/>
      <c r="AB50" s="1810"/>
      <c r="AC50" s="1810"/>
      <c r="AD50" s="1810"/>
      <c r="AE50" s="1810"/>
      <c r="AF50" s="1810"/>
      <c r="AG50" s="1811"/>
      <c r="AJ50" s="1618" t="str">
        <f t="shared" si="6"/>
        <v>A</v>
      </c>
      <c r="AK50" s="1616">
        <v>1</v>
      </c>
      <c r="AL50" s="1333" t="s">
        <v>21</v>
      </c>
      <c r="AM50" s="44"/>
      <c r="AN50" s="45"/>
      <c r="AO50" s="45"/>
      <c r="AP50" s="45"/>
      <c r="AQ50" s="45"/>
      <c r="AR50" s="45"/>
      <c r="AS50" s="46"/>
      <c r="AV50" s="3">
        <v>1</v>
      </c>
    </row>
    <row r="51" spans="2:48" ht="21" customHeight="1">
      <c r="B51" s="1610" cm="1">
        <f t="array" ref="B51">SUMPRODUCT(LEN(C51:K51))</f>
        <v>0</v>
      </c>
      <c r="C51" s="1810"/>
      <c r="D51" s="1810"/>
      <c r="E51" s="1810"/>
      <c r="F51" s="1810"/>
      <c r="G51" s="1810"/>
      <c r="H51" s="1810"/>
      <c r="I51" s="1810"/>
      <c r="J51" s="1810"/>
      <c r="K51" s="1810"/>
      <c r="L51" s="2126" t="str" cm="1">
        <f t="array" ref="L51">IF(B15&lt;=0,0,ROUNDUP(SUMPRODUCT(LEN(C51:K51))/B15,0))&amp;" ligne(s)"</f>
        <v>0 ligne(s)</v>
      </c>
      <c r="N51" s="1618" t="s">
        <v>10</v>
      </c>
      <c r="O51" s="163" t="str">
        <f>O17</f>
        <v>B BEIGNETS D'ACACIA | pâtisserie--Beignets| Auteur &gt; Cuisine Actuelle</v>
      </c>
      <c r="P51" s="1943">
        <f>P17</f>
        <v>4</v>
      </c>
      <c r="Q51" s="164" t="str">
        <f>Q17</f>
        <v>personnes</v>
      </c>
      <c r="R51" s="165" t="str">
        <f>R17</f>
        <v>Recette mère ► Beignets d'acacia</v>
      </c>
      <c r="S51" s="1548"/>
      <c r="T51" s="1548"/>
      <c r="U51" s="2190">
        <f>ROWS(Y41:Y51)</f>
        <v>11</v>
      </c>
      <c r="V51" s="5549" t="str" cm="1">
        <f t="array" ref="V51">IF(SUMPRODUCT((Y51:AD51&lt;&gt;"")*1)=0,"",SUMPRODUCT((Y51:AD51&lt;&gt;"")*(LEN(TRIM(SUBSTITUTE(Y51:AD51,CHAR(160)," "))) - LEN(SUBSTITUTE(TRIM(SUBSTITUTE(Y51:AD51,CHAR(160)," "))," ","")) + 1)) &amp; " mot" &amp; IF(SUMPRODUCT((Y51:AD51&lt;&gt;"")*(LEN(TRIM(SUBSTITUTE(Y51:AD51,CHAR(160)," "))) - LEN(SUBSTITUTE(TRIM(SUBSTITUTE(Y51:AD51,CHAR(160)," "))," ","")) + 1))&gt;1,"s",""))</f>
        <v/>
      </c>
      <c r="W51" s="5550" t="str" cm="1">
        <f t="array" ref="W51">SUMPRODUCT(--(Y51:AD51&lt;&gt;""), LEN(TRIM(SUBSTITUTE(Y51:AD51, CHAR(160), "")))) &amp; " Car."</f>
        <v>0 Car.</v>
      </c>
      <c r="X51" s="1376" t="str">
        <f>IF(ISBLANK(Y51),"",LARGE(X40:X50,1)+1)</f>
        <v/>
      </c>
      <c r="Y51" s="1810"/>
      <c r="Z51" s="1810"/>
      <c r="AA51" s="1810"/>
      <c r="AB51" s="1810"/>
      <c r="AC51" s="1810"/>
      <c r="AD51" s="1810"/>
      <c r="AE51" s="1810"/>
      <c r="AF51" s="1810"/>
      <c r="AG51" s="1811"/>
      <c r="AJ51" s="1618" t="str">
        <f t="shared" si="6"/>
        <v>A</v>
      </c>
      <c r="AK51" s="1616"/>
      <c r="AL51" s="1333" t="s">
        <v>21</v>
      </c>
      <c r="AM51" s="44"/>
      <c r="AN51" s="45"/>
      <c r="AO51" s="45"/>
      <c r="AP51" s="45"/>
      <c r="AQ51" s="45"/>
      <c r="AR51" s="45"/>
      <c r="AS51" s="46"/>
      <c r="AV51" s="3">
        <v>1</v>
      </c>
    </row>
    <row r="52" spans="2:48" ht="21" customHeight="1">
      <c r="B52" s="1610" cm="1">
        <f t="array" ref="B52">SUMPRODUCT(LEN(C52:K52))</f>
        <v>0</v>
      </c>
      <c r="C52" s="1810"/>
      <c r="D52" s="1810"/>
      <c r="E52" s="1810"/>
      <c r="F52" s="1810"/>
      <c r="G52" s="1810"/>
      <c r="H52" s="1810"/>
      <c r="I52" s="1810"/>
      <c r="J52" s="1810"/>
      <c r="K52" s="1810"/>
      <c r="L52" s="2126" t="str" cm="1">
        <f t="array" ref="L52">IF(B15&lt;=0,0,ROUNDUP(SUMPRODUCT(LEN(C52:K52))/B15,0))&amp;" ligne(s)"</f>
        <v>0 ligne(s)</v>
      </c>
      <c r="N52" s="1618" t="s">
        <v>10</v>
      </c>
      <c r="O52" s="163" t="str">
        <f>O17</f>
        <v>B BEIGNETS D'ACACIA | pâtisserie--Beignets| Auteur &gt; Cuisine Actuelle</v>
      </c>
      <c r="P52" s="163">
        <f>P17</f>
        <v>4</v>
      </c>
      <c r="Q52" s="164" t="str">
        <f>Q17</f>
        <v>personnes</v>
      </c>
      <c r="R52" s="165" t="str">
        <f>R17</f>
        <v>Recette mère ► Beignets d'acacia</v>
      </c>
      <c r="S52" s="1548"/>
      <c r="T52" s="1548"/>
      <c r="U52" s="2190">
        <f>ROWS(Y41:Y52)</f>
        <v>12</v>
      </c>
      <c r="V52" s="5549" t="str" cm="1">
        <f t="array" ref="V52">IF(SUMPRODUCT((Y52:AD52&lt;&gt;"")*1)=0,"",SUMPRODUCT((Y52:AD52&lt;&gt;"")*(LEN(TRIM(SUBSTITUTE(Y52:AD52,CHAR(160)," "))) - LEN(SUBSTITUTE(TRIM(SUBSTITUTE(Y52:AD52,CHAR(160)," "))," ","")) + 1)) &amp; " mot" &amp; IF(SUMPRODUCT((Y52:AD52&lt;&gt;"")*(LEN(TRIM(SUBSTITUTE(Y52:AD52,CHAR(160)," "))) - LEN(SUBSTITUTE(TRIM(SUBSTITUTE(Y52:AD52,CHAR(160)," "))," ","")) + 1))&gt;1,"s",""))</f>
        <v/>
      </c>
      <c r="W52" s="5550" t="str" cm="1">
        <f t="array" ref="W52">SUMPRODUCT(--(Y52:AD52&lt;&gt;""), LEN(TRIM(SUBSTITUTE(Y52:AD52, CHAR(160), "")))) &amp; " Car."</f>
        <v>0 Car.</v>
      </c>
      <c r="X52" s="1376" t="str">
        <f>IF(ISBLANK(Y52),"",LARGE(X40:X51,1)+1)</f>
        <v/>
      </c>
      <c r="Y52" s="1810"/>
      <c r="Z52" s="1810"/>
      <c r="AA52" s="1810"/>
      <c r="AB52" s="1810"/>
      <c r="AC52" s="1810"/>
      <c r="AD52" s="1810"/>
      <c r="AE52" s="1810"/>
      <c r="AF52" s="1810"/>
      <c r="AG52" s="1811"/>
      <c r="AJ52" s="1618" t="str">
        <f t="shared" si="6"/>
        <v>A</v>
      </c>
      <c r="AK52" s="6839" t="s">
        <v>8264</v>
      </c>
      <c r="AL52" s="1333" t="s">
        <v>21</v>
      </c>
      <c r="AM52" s="44"/>
      <c r="AN52" s="45"/>
      <c r="AO52" s="45"/>
      <c r="AP52" s="45"/>
      <c r="AQ52" s="45"/>
      <c r="AR52" s="45"/>
      <c r="AS52" s="46"/>
      <c r="AV52" s="3">
        <v>1</v>
      </c>
    </row>
    <row r="53" spans="2:48" ht="21" customHeight="1">
      <c r="B53" s="1610" cm="1">
        <f t="array" ref="B53">SUMPRODUCT(LEN(C53:K53))</f>
        <v>0</v>
      </c>
      <c r="C53" s="1810"/>
      <c r="D53" s="1810"/>
      <c r="E53" s="1810"/>
      <c r="F53" s="1810"/>
      <c r="G53" s="1810"/>
      <c r="H53" s="1810"/>
      <c r="I53" s="1810"/>
      <c r="J53" s="1810"/>
      <c r="K53" s="1810"/>
      <c r="L53" s="2126" t="str" cm="1">
        <f t="array" ref="L53">IF(B15&lt;=0,0,ROUNDUP(SUMPRODUCT(LEN(C53:K53))/B15,0))&amp;" ligne(s)"</f>
        <v>0 ligne(s)</v>
      </c>
      <c r="N53" s="1618" t="s">
        <v>10</v>
      </c>
      <c r="O53" s="163" t="str">
        <f>O17</f>
        <v>B BEIGNETS D'ACACIA | pâtisserie--Beignets| Auteur &gt; Cuisine Actuelle</v>
      </c>
      <c r="P53" s="163">
        <f>P17</f>
        <v>4</v>
      </c>
      <c r="Q53" s="164" t="str">
        <f>Q17</f>
        <v>personnes</v>
      </c>
      <c r="R53" s="165" t="str">
        <f>R17</f>
        <v>Recette mère ► Beignets d'acacia</v>
      </c>
      <c r="S53" s="1548"/>
      <c r="T53" s="1548"/>
      <c r="U53" s="2190">
        <f>ROWS(Y41:Y53)</f>
        <v>13</v>
      </c>
      <c r="V53" s="5549" t="str" cm="1">
        <f t="array" ref="V53">IF(SUMPRODUCT((Y53:AD53&lt;&gt;"")*1)=0,"",SUMPRODUCT((Y53:AD53&lt;&gt;"")*(LEN(TRIM(SUBSTITUTE(Y53:AD53,CHAR(160)," "))) - LEN(SUBSTITUTE(TRIM(SUBSTITUTE(Y53:AD53,CHAR(160)," "))," ","")) + 1)) &amp; " mot" &amp; IF(SUMPRODUCT((Y53:AD53&lt;&gt;"")*(LEN(TRIM(SUBSTITUTE(Y53:AD53,CHAR(160)," "))) - LEN(SUBSTITUTE(TRIM(SUBSTITUTE(Y53:AD53,CHAR(160)," "))," ","")) + 1))&gt;1,"s",""))</f>
        <v/>
      </c>
      <c r="W53" s="5550" t="str" cm="1">
        <f t="array" ref="W53">SUMPRODUCT(--(Y53:AD53&lt;&gt;""), LEN(TRIM(SUBSTITUTE(Y53:AD53, CHAR(160), "")))) &amp; " Car."</f>
        <v>0 Car.</v>
      </c>
      <c r="X53" s="1376" t="str">
        <f>IF(ISBLANK(Y53),"",LARGE(X40:X52,1)+1)</f>
        <v/>
      </c>
      <c r="Y53" s="1810"/>
      <c r="Z53" s="1810"/>
      <c r="AA53" s="1810"/>
      <c r="AB53" s="1810"/>
      <c r="AC53" s="1810"/>
      <c r="AD53" s="1810"/>
      <c r="AE53" s="1810"/>
      <c r="AF53" s="1810"/>
      <c r="AG53" s="1811"/>
      <c r="AJ53" s="1618" t="str">
        <f t="shared" si="6"/>
        <v>A</v>
      </c>
      <c r="AK53" s="6839"/>
      <c r="AL53" s="1333" t="s">
        <v>21</v>
      </c>
      <c r="AM53" s="207"/>
      <c r="AN53" s="208" t="s">
        <v>201</v>
      </c>
      <c r="AO53" s="45"/>
      <c r="AP53" s="45"/>
      <c r="AQ53" s="45"/>
      <c r="AR53" s="45"/>
      <c r="AS53" s="46"/>
      <c r="AV53" s="3">
        <v>1</v>
      </c>
    </row>
    <row r="54" spans="2:48" ht="21" customHeight="1">
      <c r="B54" s="1610" cm="1">
        <f t="array" ref="B54">SUMPRODUCT(LEN(C54:K54))</f>
        <v>0</v>
      </c>
      <c r="C54" s="1810"/>
      <c r="D54" s="1810"/>
      <c r="E54" s="1810"/>
      <c r="F54" s="1810"/>
      <c r="G54" s="1810"/>
      <c r="H54" s="1810"/>
      <c r="I54" s="1810"/>
      <c r="J54" s="1810"/>
      <c r="K54" s="1810"/>
      <c r="L54" s="2126" t="str" cm="1">
        <f t="array" ref="L54">IF(B15&lt;=0,0,ROUNDUP(SUMPRODUCT(LEN(C54:K54))/B15,0))&amp;" ligne(s)"</f>
        <v>0 ligne(s)</v>
      </c>
      <c r="N54" s="1618" t="s">
        <v>10</v>
      </c>
      <c r="O54" s="163" t="str">
        <f>O17</f>
        <v>B BEIGNETS D'ACACIA | pâtisserie--Beignets| Auteur &gt; Cuisine Actuelle</v>
      </c>
      <c r="P54" s="163">
        <f>P17</f>
        <v>4</v>
      </c>
      <c r="Q54" s="164" t="str">
        <f>Q17</f>
        <v>personnes</v>
      </c>
      <c r="R54" s="165" t="str">
        <f>R17</f>
        <v>Recette mère ► Beignets d'acacia</v>
      </c>
      <c r="S54" s="1548"/>
      <c r="T54" s="1548"/>
      <c r="U54" s="2190">
        <f>ROWS(Y41:Y54)</f>
        <v>14</v>
      </c>
      <c r="V54" s="5549" t="str" cm="1">
        <f t="array" ref="V54">IF(SUMPRODUCT((Y54:AD54&lt;&gt;"")*1)=0,"",SUMPRODUCT((Y54:AD54&lt;&gt;"")*(LEN(TRIM(SUBSTITUTE(Y54:AD54,CHAR(160)," "))) - LEN(SUBSTITUTE(TRIM(SUBSTITUTE(Y54:AD54,CHAR(160)," "))," ","")) + 1)) &amp; " mot" &amp; IF(SUMPRODUCT((Y54:AD54&lt;&gt;"")*(LEN(TRIM(SUBSTITUTE(Y54:AD54,CHAR(160)," "))) - LEN(SUBSTITUTE(TRIM(SUBSTITUTE(Y54:AD54,CHAR(160)," "))," ","")) + 1))&gt;1,"s",""))</f>
        <v/>
      </c>
      <c r="W54" s="5550" t="str" cm="1">
        <f t="array" ref="W54">SUMPRODUCT(--(Y54:AD54&lt;&gt;""), LEN(TRIM(SUBSTITUTE(Y54:AD54, CHAR(160), "")))) &amp; " Car."</f>
        <v>0 Car.</v>
      </c>
      <c r="X54" s="1376" t="str">
        <f>IF(ISBLANK(Y54),"",LARGE(X40:X53,1)+1)</f>
        <v/>
      </c>
      <c r="Y54" s="1810"/>
      <c r="Z54" s="1810"/>
      <c r="AA54" s="1810"/>
      <c r="AB54" s="1810"/>
      <c r="AC54" s="1810"/>
      <c r="AD54" s="1810"/>
      <c r="AE54" s="1810"/>
      <c r="AF54" s="1810"/>
      <c r="AG54" s="1811"/>
      <c r="AJ54" s="1618" t="str">
        <f t="shared" si="6"/>
        <v>A</v>
      </c>
      <c r="AK54" s="6839"/>
      <c r="AL54" s="1333" t="s">
        <v>21</v>
      </c>
      <c r="AM54" s="207"/>
      <c r="AN54" s="208" t="s">
        <v>204</v>
      </c>
      <c r="AO54" s="45"/>
      <c r="AP54" s="45"/>
      <c r="AQ54" s="45"/>
      <c r="AR54" s="45"/>
      <c r="AS54" s="46"/>
      <c r="AV54" s="3">
        <v>1</v>
      </c>
    </row>
    <row r="55" spans="2:48" ht="21" customHeight="1">
      <c r="B55" s="1610" cm="1">
        <f t="array" ref="B55">SUMPRODUCT(LEN(C55:K55))</f>
        <v>0</v>
      </c>
      <c r="C55" s="1810"/>
      <c r="D55" s="1810"/>
      <c r="E55" s="1810"/>
      <c r="F55" s="1810"/>
      <c r="G55" s="1810"/>
      <c r="H55" s="1810"/>
      <c r="I55" s="1810"/>
      <c r="J55" s="1810"/>
      <c r="K55" s="1810"/>
      <c r="L55" s="2126" t="str" cm="1">
        <f t="array" ref="L55">IF(B15&lt;=0,0,ROUNDUP(SUMPRODUCT(LEN(C55:K55))/B15,0))&amp;" ligne(s)"</f>
        <v>0 ligne(s)</v>
      </c>
      <c r="N55" s="1618" t="s">
        <v>10</v>
      </c>
      <c r="O55" s="163" t="str">
        <f>O17</f>
        <v>B BEIGNETS D'ACACIA | pâtisserie--Beignets| Auteur &gt; Cuisine Actuelle</v>
      </c>
      <c r="P55" s="163">
        <f>P17</f>
        <v>4</v>
      </c>
      <c r="Q55" s="164" t="str">
        <f>Q17</f>
        <v>personnes</v>
      </c>
      <c r="R55" s="165" t="str">
        <f>R17</f>
        <v>Recette mère ► Beignets d'acacia</v>
      </c>
      <c r="S55" s="1548"/>
      <c r="T55" s="1548"/>
      <c r="U55" s="2190">
        <f>ROWS(Y41:Y55)</f>
        <v>15</v>
      </c>
      <c r="V55" s="5549" t="str" cm="1">
        <f t="array" ref="V55">IF(SUMPRODUCT((Y55:AD55&lt;&gt;"")*1)=0,"",SUMPRODUCT((Y55:AD55&lt;&gt;"")*(LEN(TRIM(SUBSTITUTE(Y55:AD55,CHAR(160)," "))) - LEN(SUBSTITUTE(TRIM(SUBSTITUTE(Y55:AD55,CHAR(160)," "))," ","")) + 1)) &amp; " mot" &amp; IF(SUMPRODUCT((Y55:AD55&lt;&gt;"")*(LEN(TRIM(SUBSTITUTE(Y55:AD55,CHAR(160)," "))) - LEN(SUBSTITUTE(TRIM(SUBSTITUTE(Y55:AD55,CHAR(160)," "))," ","")) + 1))&gt;1,"s",""))</f>
        <v/>
      </c>
      <c r="W55" s="5550" t="str" cm="1">
        <f t="array" ref="W55">SUMPRODUCT(--(Y55:AD55&lt;&gt;""), LEN(TRIM(SUBSTITUTE(Y55:AD55, CHAR(160), "")))) &amp; " Car."</f>
        <v>0 Car.</v>
      </c>
      <c r="X55" s="1376" t="str">
        <f>IF(ISBLANK(Y55),"",LARGE(X40:X54,1)+1)</f>
        <v/>
      </c>
      <c r="Y55" s="1810"/>
      <c r="Z55" s="1810"/>
      <c r="AA55" s="1810"/>
      <c r="AB55" s="1810"/>
      <c r="AC55" s="1810"/>
      <c r="AD55" s="1810"/>
      <c r="AE55" s="1810"/>
      <c r="AF55" s="1810"/>
      <c r="AG55" s="1811"/>
      <c r="AJ55" s="1618" t="str">
        <f t="shared" si="6"/>
        <v>A</v>
      </c>
      <c r="AK55" s="6839" t="s">
        <v>8265</v>
      </c>
      <c r="AL55" s="1333" t="s">
        <v>21</v>
      </c>
      <c r="AM55" s="222"/>
      <c r="AN55" s="223" t="s">
        <v>208</v>
      </c>
      <c r="AO55" s="45"/>
      <c r="AP55" s="45"/>
      <c r="AQ55" s="45"/>
      <c r="AR55" s="45"/>
      <c r="AS55" s="46"/>
      <c r="AV55" s="3">
        <v>1</v>
      </c>
    </row>
    <row r="56" spans="2:48" ht="21" customHeight="1">
      <c r="B56" s="1610" cm="1">
        <f t="array" ref="B56">SUMPRODUCT(LEN(C56:K56))</f>
        <v>0</v>
      </c>
      <c r="C56" s="1810"/>
      <c r="D56" s="1810"/>
      <c r="E56" s="1810"/>
      <c r="F56" s="1810"/>
      <c r="G56" s="1810"/>
      <c r="H56" s="1810"/>
      <c r="I56" s="1810"/>
      <c r="J56" s="1810"/>
      <c r="K56" s="1810"/>
      <c r="L56" s="2126" t="str" cm="1">
        <f t="array" ref="L56">IF(B15&lt;=0,0,ROUNDUP(SUMPRODUCT(LEN(C56:K56))/B15,0))&amp;" ligne(s)"</f>
        <v>0 ligne(s)</v>
      </c>
      <c r="N56" s="1618" t="s">
        <v>10</v>
      </c>
      <c r="O56" s="163" t="str">
        <f>O17</f>
        <v>B BEIGNETS D'ACACIA | pâtisserie--Beignets| Auteur &gt; Cuisine Actuelle</v>
      </c>
      <c r="P56" s="163">
        <f>P17</f>
        <v>4</v>
      </c>
      <c r="Q56" s="164" t="str">
        <f>Q17</f>
        <v>personnes</v>
      </c>
      <c r="R56" s="165" t="str">
        <f>R17</f>
        <v>Recette mère ► Beignets d'acacia</v>
      </c>
      <c r="S56" s="1548"/>
      <c r="T56" s="1548"/>
      <c r="U56" s="2190">
        <f>ROWS(Y41:Y56)</f>
        <v>16</v>
      </c>
      <c r="V56" s="5549" t="str" cm="1">
        <f t="array" ref="V56">IF(SUMPRODUCT((Y56:AD56&lt;&gt;"")*1)=0,"",SUMPRODUCT((Y56:AD56&lt;&gt;"")*(LEN(TRIM(SUBSTITUTE(Y56:AD56,CHAR(160)," "))) - LEN(SUBSTITUTE(TRIM(SUBSTITUTE(Y56:AD56,CHAR(160)," "))," ","")) + 1)) &amp; " mot" &amp; IF(SUMPRODUCT((Y56:AD56&lt;&gt;"")*(LEN(TRIM(SUBSTITUTE(Y56:AD56,CHAR(160)," "))) - LEN(SUBSTITUTE(TRIM(SUBSTITUTE(Y56:AD56,CHAR(160)," "))," ","")) + 1))&gt;1,"s",""))</f>
        <v/>
      </c>
      <c r="W56" s="5550" t="str" cm="1">
        <f t="array" ref="W56">SUMPRODUCT(--(Y56:AD56&lt;&gt;""), LEN(TRIM(SUBSTITUTE(Y56:AD56, CHAR(160), "")))) &amp; " Car."</f>
        <v>0 Car.</v>
      </c>
      <c r="X56" s="1376" t="str">
        <f>IF(ISBLANK(Y56),"",LARGE(X40:X55,1)+1)</f>
        <v/>
      </c>
      <c r="Y56" s="1810"/>
      <c r="Z56" s="1810"/>
      <c r="AA56" s="1810"/>
      <c r="AB56" s="1810"/>
      <c r="AC56" s="1810"/>
      <c r="AD56" s="1810"/>
      <c r="AE56" s="1810"/>
      <c r="AF56" s="1810"/>
      <c r="AG56" s="1811"/>
      <c r="AJ56" s="1618" t="str">
        <f t="shared" si="6"/>
        <v>A</v>
      </c>
      <c r="AK56" s="6839"/>
      <c r="AL56" s="1333" t="s">
        <v>21</v>
      </c>
      <c r="AM56" s="226"/>
      <c r="AN56" s="181" t="s">
        <v>211</v>
      </c>
      <c r="AO56" s="45"/>
      <c r="AP56" s="45"/>
      <c r="AQ56" s="45"/>
      <c r="AR56" s="45"/>
      <c r="AS56" s="46"/>
      <c r="AV56" s="3">
        <v>1</v>
      </c>
    </row>
    <row r="57" spans="2:48" ht="21" customHeight="1">
      <c r="B57" s="1610" cm="1">
        <f t="array" ref="B57">SUMPRODUCT(LEN(C57:K57))</f>
        <v>0</v>
      </c>
      <c r="C57" s="1810"/>
      <c r="D57" s="1810"/>
      <c r="E57" s="1810"/>
      <c r="F57" s="1810"/>
      <c r="G57" s="1810"/>
      <c r="H57" s="1810"/>
      <c r="I57" s="1810"/>
      <c r="J57" s="1810"/>
      <c r="K57" s="1810"/>
      <c r="L57" s="2126" t="str" cm="1">
        <f t="array" ref="L57">IF(B15&lt;=0,0,ROUNDUP(SUMPRODUCT(LEN(C57:K57))/B15,0))&amp;" ligne(s)"</f>
        <v>0 ligne(s)</v>
      </c>
      <c r="N57" s="1618" t="s">
        <v>10</v>
      </c>
      <c r="O57" s="163" t="str">
        <f>O17</f>
        <v>B BEIGNETS D'ACACIA | pâtisserie--Beignets| Auteur &gt; Cuisine Actuelle</v>
      </c>
      <c r="P57" s="163">
        <f>P17</f>
        <v>4</v>
      </c>
      <c r="Q57" s="164" t="str">
        <f>Q17</f>
        <v>personnes</v>
      </c>
      <c r="R57" s="165" t="str">
        <f>R17</f>
        <v>Recette mère ► Beignets d'acacia</v>
      </c>
      <c r="S57" s="1548"/>
      <c r="T57" s="1548"/>
      <c r="U57" s="2190">
        <f>ROWS(Y41:Y57)</f>
        <v>17</v>
      </c>
      <c r="V57" s="5549" t="str" cm="1">
        <f t="array" ref="V57">IF(SUMPRODUCT((Y57:AD57&lt;&gt;"")*1)=0,"",SUMPRODUCT((Y57:AD57&lt;&gt;"")*(LEN(TRIM(SUBSTITUTE(Y57:AD57,CHAR(160)," "))) - LEN(SUBSTITUTE(TRIM(SUBSTITUTE(Y57:AD57,CHAR(160)," "))," ","")) + 1)) &amp; " mot" &amp; IF(SUMPRODUCT((Y57:AD57&lt;&gt;"")*(LEN(TRIM(SUBSTITUTE(Y57:AD57,CHAR(160)," "))) - LEN(SUBSTITUTE(TRIM(SUBSTITUTE(Y57:AD57,CHAR(160)," "))," ","")) + 1))&gt;1,"s",""))</f>
        <v/>
      </c>
      <c r="W57" s="5550" t="str" cm="1">
        <f t="array" ref="W57">SUMPRODUCT(--(Y57:AD57&lt;&gt;""), LEN(TRIM(SUBSTITUTE(Y57:AD57, CHAR(160), "")))) &amp; " Car."</f>
        <v>0 Car.</v>
      </c>
      <c r="X57" s="1376"/>
      <c r="Y57" s="1810"/>
      <c r="Z57" s="1810"/>
      <c r="AA57" s="1810"/>
      <c r="AB57" s="1810"/>
      <c r="AC57" s="1810"/>
      <c r="AD57" s="1810"/>
      <c r="AE57" s="1810"/>
      <c r="AF57" s="1810"/>
      <c r="AG57" s="1811"/>
      <c r="AJ57" s="1618" t="str">
        <f t="shared" si="6"/>
        <v>A</v>
      </c>
      <c r="AK57" s="6839"/>
      <c r="AL57" s="1333" t="s">
        <v>21</v>
      </c>
      <c r="AM57" s="226"/>
      <c r="AN57" s="181" t="s">
        <v>215</v>
      </c>
      <c r="AO57" s="45"/>
      <c r="AP57" s="45"/>
      <c r="AQ57" s="45"/>
      <c r="AR57" s="45"/>
      <c r="AS57" s="46"/>
      <c r="AV57" s="3">
        <v>1</v>
      </c>
    </row>
    <row r="58" spans="2:48" ht="21" customHeight="1">
      <c r="B58" s="1610" cm="1">
        <f t="array" ref="B58">SUMPRODUCT(LEN(C58:K58))</f>
        <v>0</v>
      </c>
      <c r="C58" s="1810"/>
      <c r="D58" s="1810"/>
      <c r="E58" s="1810"/>
      <c r="F58" s="1810"/>
      <c r="G58" s="1810"/>
      <c r="H58" s="1810"/>
      <c r="I58" s="1810"/>
      <c r="J58" s="1810"/>
      <c r="K58" s="1810"/>
      <c r="L58" s="2126" t="str" cm="1">
        <f t="array" ref="L58">IF(B15&lt;=0,0,ROUNDUP(SUMPRODUCT(LEN(C58:K58))/B15,0))&amp;" ligne(s)"</f>
        <v>0 ligne(s)</v>
      </c>
      <c r="N58" s="1618" t="s">
        <v>10</v>
      </c>
      <c r="O58" s="163" t="str">
        <f>O17</f>
        <v>B BEIGNETS D'ACACIA | pâtisserie--Beignets| Auteur &gt; Cuisine Actuelle</v>
      </c>
      <c r="P58" s="163">
        <f>P17</f>
        <v>4</v>
      </c>
      <c r="Q58" s="164" t="str">
        <f>Q17</f>
        <v>personnes</v>
      </c>
      <c r="R58" s="165" t="str">
        <f>R17</f>
        <v>Recette mère ► Beignets d'acacia</v>
      </c>
      <c r="S58" s="1548"/>
      <c r="T58" s="1548"/>
      <c r="U58" s="2190">
        <f>ROWS(Y41:Y58)</f>
        <v>18</v>
      </c>
      <c r="V58" s="5549" t="str" cm="1">
        <f t="array" ref="V58">IF(SUMPRODUCT((Y58:AD58&lt;&gt;"")*1)=0,"",SUMPRODUCT((Y58:AD58&lt;&gt;"")*(LEN(TRIM(SUBSTITUTE(Y58:AD58,CHAR(160)," "))) - LEN(SUBSTITUTE(TRIM(SUBSTITUTE(Y58:AD58,CHAR(160)," "))," ","")) + 1)) &amp; " mot" &amp; IF(SUMPRODUCT((Y58:AD58&lt;&gt;"")*(LEN(TRIM(SUBSTITUTE(Y58:AD58,CHAR(160)," "))) - LEN(SUBSTITUTE(TRIM(SUBSTITUTE(Y58:AD58,CHAR(160)," "))," ","")) + 1))&gt;1,"s",""))</f>
        <v/>
      </c>
      <c r="W58" s="5550" t="str" cm="1">
        <f t="array" ref="W58">SUMPRODUCT(--(Y58:AD58&lt;&gt;""), LEN(TRIM(SUBSTITUTE(Y58:AD58, CHAR(160), "")))) &amp; " Car."</f>
        <v>0 Car.</v>
      </c>
      <c r="X58" s="1376"/>
      <c r="Y58" s="1810"/>
      <c r="Z58" s="1810"/>
      <c r="AA58" s="1810"/>
      <c r="AB58" s="1810"/>
      <c r="AC58" s="1810"/>
      <c r="AD58" s="1810"/>
      <c r="AE58" s="1810"/>
      <c r="AF58" s="1810"/>
      <c r="AG58" s="1811"/>
      <c r="AJ58" s="1618" t="str">
        <f t="shared" si="6"/>
        <v>A</v>
      </c>
      <c r="AK58" s="2220" t="s">
        <v>8411</v>
      </c>
      <c r="AL58" s="1333" t="s">
        <v>21</v>
      </c>
      <c r="AM58" s="226"/>
      <c r="AN58" s="181"/>
      <c r="AO58" s="45"/>
      <c r="AP58" s="45"/>
      <c r="AQ58" s="45"/>
      <c r="AR58" s="45"/>
      <c r="AS58" s="46"/>
      <c r="AV58" s="3">
        <v>1</v>
      </c>
    </row>
    <row r="59" spans="2:48" ht="21" customHeight="1">
      <c r="B59" s="1610" cm="1">
        <f t="array" ref="B59">SUMPRODUCT(LEN(C59:K59))</f>
        <v>0</v>
      </c>
      <c r="C59" s="1810"/>
      <c r="D59" s="1810"/>
      <c r="E59" s="1810"/>
      <c r="F59" s="1810"/>
      <c r="G59" s="1810"/>
      <c r="H59" s="1810"/>
      <c r="I59" s="1810"/>
      <c r="J59" s="1810"/>
      <c r="K59" s="1810"/>
      <c r="L59" s="2126" t="str" cm="1">
        <f t="array" ref="L59">IF(B15&lt;=0,0,ROUNDUP(SUMPRODUCT(LEN(C59:K59))/B15,0))&amp;" ligne(s)"</f>
        <v>0 ligne(s)</v>
      </c>
      <c r="N59" s="1618" t="s">
        <v>10</v>
      </c>
      <c r="O59" s="163" t="str">
        <f>O17</f>
        <v>B BEIGNETS D'ACACIA | pâtisserie--Beignets| Auteur &gt; Cuisine Actuelle</v>
      </c>
      <c r="P59" s="163">
        <f>P17</f>
        <v>4</v>
      </c>
      <c r="Q59" s="164" t="str">
        <f>Q17</f>
        <v>personnes</v>
      </c>
      <c r="R59" s="165" t="str">
        <f>R17</f>
        <v>Recette mère ► Beignets d'acacia</v>
      </c>
      <c r="S59" s="1548"/>
      <c r="T59" s="1548"/>
      <c r="U59" s="2190">
        <f>ROWS(Y41:Y59)</f>
        <v>19</v>
      </c>
      <c r="V59" s="5549" t="str" cm="1">
        <f t="array" ref="V59">IF(SUMPRODUCT((Y59:AD59&lt;&gt;"")*1)=0,"",SUMPRODUCT((Y59:AD59&lt;&gt;"")*(LEN(TRIM(SUBSTITUTE(Y59:AD59,CHAR(160)," "))) - LEN(SUBSTITUTE(TRIM(SUBSTITUTE(Y59:AD59,CHAR(160)," "))," ","")) + 1)) &amp; " mot" &amp; IF(SUMPRODUCT((Y59:AD59&lt;&gt;"")*(LEN(TRIM(SUBSTITUTE(Y59:AD59,CHAR(160)," "))) - LEN(SUBSTITUTE(TRIM(SUBSTITUTE(Y59:AD59,CHAR(160)," "))," ","")) + 1))&gt;1,"s",""))</f>
        <v/>
      </c>
      <c r="W59" s="5550" t="str" cm="1">
        <f t="array" ref="W59">SUMPRODUCT(--(Y59:AD59&lt;&gt;""), LEN(TRIM(SUBSTITUTE(Y59:AD59, CHAR(160), "")))) &amp; " Car."</f>
        <v>0 Car.</v>
      </c>
      <c r="X59" s="1376" t="str">
        <f>IF(ISBLANK(Y59),"",LARGE(X40:X58,1)+1)</f>
        <v/>
      </c>
      <c r="Y59" s="1810"/>
      <c r="Z59" s="1810"/>
      <c r="AA59" s="1810"/>
      <c r="AB59" s="1810"/>
      <c r="AC59" s="1810"/>
      <c r="AD59" s="1810"/>
      <c r="AE59" s="1810"/>
      <c r="AF59" s="1810"/>
      <c r="AG59" s="1811"/>
      <c r="AJ59" s="1618" t="str">
        <f t="shared" si="6"/>
        <v>A</v>
      </c>
      <c r="AK59" s="1616">
        <v>1</v>
      </c>
      <c r="AL59" s="1333" t="s">
        <v>21</v>
      </c>
      <c r="AM59" s="234"/>
      <c r="AN59" s="235" t="s">
        <v>221</v>
      </c>
      <c r="AO59" s="45"/>
      <c r="AP59" s="45"/>
      <c r="AQ59" s="45"/>
      <c r="AR59" s="45"/>
      <c r="AS59" s="46"/>
      <c r="AV59" s="3">
        <v>1</v>
      </c>
    </row>
    <row r="60" spans="2:48" ht="21" customHeight="1">
      <c r="B60" s="1610" cm="1">
        <f t="array" ref="B60">SUMPRODUCT(LEN(C60:K60))</f>
        <v>0</v>
      </c>
      <c r="C60" s="1810"/>
      <c r="D60" s="1810"/>
      <c r="E60" s="1810"/>
      <c r="F60" s="1810"/>
      <c r="G60" s="1810"/>
      <c r="H60" s="1810"/>
      <c r="I60" s="1810"/>
      <c r="J60" s="1810"/>
      <c r="K60" s="1810"/>
      <c r="L60" s="2126" t="str" cm="1">
        <f t="array" ref="L60">IF(B15&lt;=0,0,ROUNDUP(SUMPRODUCT(LEN(C60:K60))/B15,0))&amp;" ligne(s)"</f>
        <v>0 ligne(s)</v>
      </c>
      <c r="N60" s="1618" t="s">
        <v>10</v>
      </c>
      <c r="O60" s="163" t="str">
        <f>O17</f>
        <v>B BEIGNETS D'ACACIA | pâtisserie--Beignets| Auteur &gt; Cuisine Actuelle</v>
      </c>
      <c r="P60" s="163">
        <f>P17</f>
        <v>4</v>
      </c>
      <c r="Q60" s="164" t="str">
        <f>Q17</f>
        <v>personnes</v>
      </c>
      <c r="R60" s="165" t="str">
        <f>R17</f>
        <v>Recette mère ► Beignets d'acacia</v>
      </c>
      <c r="S60" s="1548"/>
      <c r="T60" s="1548"/>
      <c r="U60" s="2190">
        <f>ROWS(Y41:Y60)</f>
        <v>20</v>
      </c>
      <c r="V60" s="5549" t="str" cm="1">
        <f t="array" ref="V60">IF(SUMPRODUCT((Y60:AD60&lt;&gt;"")*1)=0,"",SUMPRODUCT((Y60:AD60&lt;&gt;"")*(LEN(TRIM(SUBSTITUTE(Y60:AD60,CHAR(160)," "))) - LEN(SUBSTITUTE(TRIM(SUBSTITUTE(Y60:AD60,CHAR(160)," "))," ","")) + 1)) &amp; " mot" &amp; IF(SUMPRODUCT((Y60:AD60&lt;&gt;"")*(LEN(TRIM(SUBSTITUTE(Y60:AD60,CHAR(160)," "))) - LEN(SUBSTITUTE(TRIM(SUBSTITUTE(Y60:AD60,CHAR(160)," "))," ","")) + 1))&gt;1,"s",""))</f>
        <v/>
      </c>
      <c r="W60" s="5550" t="str" cm="1">
        <f t="array" ref="W60">SUMPRODUCT(--(Y60:AD60&lt;&gt;""), LEN(TRIM(SUBSTITUTE(Y60:AD60, CHAR(160), "")))) &amp; " Car."</f>
        <v>0 Car.</v>
      </c>
      <c r="X60" s="1376" t="str">
        <f>IF(ISBLANK(Y60),"",LARGE(X40:X59,1)+1)</f>
        <v/>
      </c>
      <c r="Y60" s="1810"/>
      <c r="Z60" s="1810"/>
      <c r="AA60" s="1810"/>
      <c r="AB60" s="1810"/>
      <c r="AC60" s="1810"/>
      <c r="AD60" s="1810"/>
      <c r="AE60" s="1810"/>
      <c r="AF60" s="1810"/>
      <c r="AG60" s="1811"/>
      <c r="AJ60" s="1618" t="str">
        <f t="shared" si="6"/>
        <v>A</v>
      </c>
      <c r="AK60" s="1616">
        <v>1</v>
      </c>
      <c r="AL60" s="1333" t="s">
        <v>21</v>
      </c>
      <c r="AM60" s="226"/>
      <c r="AN60" s="181"/>
      <c r="AO60" s="45"/>
      <c r="AP60" s="45"/>
      <c r="AQ60" s="45"/>
      <c r="AR60" s="45"/>
      <c r="AS60" s="46"/>
      <c r="AV60" s="3">
        <v>1</v>
      </c>
    </row>
    <row r="61" spans="2:48" ht="21" customHeight="1" thickBot="1">
      <c r="B61" s="1610" cm="1">
        <f t="array" ref="B61">SUMPRODUCT(LEN(C61:K61))</f>
        <v>0</v>
      </c>
      <c r="C61" s="1810"/>
      <c r="D61" s="1810"/>
      <c r="E61" s="1810"/>
      <c r="F61" s="1810"/>
      <c r="G61" s="1810"/>
      <c r="H61" s="1810"/>
      <c r="I61" s="1810"/>
      <c r="J61" s="1810"/>
      <c r="K61" s="1810"/>
      <c r="L61" s="2126" t="str" cm="1">
        <f t="array" ref="L61">IF(B15&lt;=0,0,ROUNDUP(SUMPRODUCT(LEN(C61:K61))/B15,0))&amp;" ligne(s)"</f>
        <v>0 ligne(s)</v>
      </c>
      <c r="N61" s="1618" t="s">
        <v>10</v>
      </c>
      <c r="O61" s="163" t="str">
        <f>O17</f>
        <v>B BEIGNETS D'ACACIA | pâtisserie--Beignets| Auteur &gt; Cuisine Actuelle</v>
      </c>
      <c r="P61" s="163">
        <f>P17</f>
        <v>4</v>
      </c>
      <c r="Q61" s="164" t="str">
        <f>Q17</f>
        <v>personnes</v>
      </c>
      <c r="R61" s="165" t="str">
        <f>R17</f>
        <v>Recette mère ► Beignets d'acacia</v>
      </c>
      <c r="S61" s="172"/>
      <c r="T61" s="1378" t="s">
        <v>207</v>
      </c>
      <c r="U61" s="1712" t="s">
        <v>8475</v>
      </c>
      <c r="V61" s="176"/>
      <c r="W61" s="176"/>
      <c r="X61" s="176"/>
      <c r="Y61" s="176"/>
      <c r="Z61" s="176"/>
      <c r="AA61" s="176"/>
      <c r="AB61" s="176"/>
      <c r="AC61" s="176"/>
      <c r="AD61" s="176"/>
      <c r="AE61" s="176"/>
      <c r="AF61" s="176"/>
      <c r="AG61" s="884"/>
      <c r="AJ61" s="1618" t="str">
        <f t="shared" si="6"/>
        <v>A</v>
      </c>
      <c r="AK61" s="2188"/>
      <c r="AL61" s="1333" t="s">
        <v>21</v>
      </c>
      <c r="AM61" s="237" t="s">
        <v>78</v>
      </c>
      <c r="AN61" s="238" t="s">
        <v>79</v>
      </c>
      <c r="AO61" s="239"/>
      <c r="AP61" s="6576" t="s">
        <v>80</v>
      </c>
      <c r="AQ61" s="6604" t="s">
        <v>81</v>
      </c>
      <c r="AR61" s="6605" t="s">
        <v>82</v>
      </c>
      <c r="AS61" s="240" t="s">
        <v>83</v>
      </c>
      <c r="AV61" s="3">
        <v>1</v>
      </c>
    </row>
    <row r="62" spans="2:48" ht="21" customHeight="1">
      <c r="B62" s="1610" cm="1">
        <f t="array" ref="B62">SUMPRODUCT(LEN(C62:K62))</f>
        <v>0</v>
      </c>
      <c r="C62" s="1810"/>
      <c r="D62" s="1810"/>
      <c r="E62" s="1810"/>
      <c r="F62" s="1810"/>
      <c r="G62" s="1810"/>
      <c r="H62" s="1810"/>
      <c r="I62" s="1810"/>
      <c r="J62" s="1810"/>
      <c r="K62" s="1810"/>
      <c r="L62" s="2126" t="str" cm="1">
        <f t="array" ref="L62">IF(B15&lt;=0,0,ROUNDUP(SUMPRODUCT(LEN(C62:K62))/B15,0))&amp;" ligne(s)"</f>
        <v>0 ligne(s)</v>
      </c>
      <c r="N62" s="1618" t="s">
        <v>10</v>
      </c>
      <c r="O62" s="163" t="str">
        <f>O17</f>
        <v>B BEIGNETS D'ACACIA | pâtisserie--Beignets| Auteur &gt; Cuisine Actuelle</v>
      </c>
      <c r="P62" s="163">
        <f>P17</f>
        <v>4</v>
      </c>
      <c r="Q62" s="164" t="str">
        <f>Q17</f>
        <v>personnes</v>
      </c>
      <c r="R62" s="165" t="str">
        <f>R17</f>
        <v>Recette mère ► Beignets d'acacia</v>
      </c>
      <c r="S62" s="1379"/>
      <c r="T62" s="1380"/>
      <c r="U62" s="1380"/>
      <c r="V62" s="1380"/>
      <c r="W62" s="1380"/>
      <c r="X62" s="1380"/>
      <c r="Y62" s="1380"/>
      <c r="Z62" s="1381" t="s">
        <v>196</v>
      </c>
      <c r="AA62" s="202"/>
      <c r="AB62" s="202"/>
      <c r="AC62" s="202"/>
      <c r="AD62" s="202"/>
      <c r="AE62" s="202"/>
      <c r="AF62" s="202"/>
      <c r="AG62" s="885"/>
      <c r="AJ62" s="1618" t="str">
        <f t="shared" si="6"/>
        <v>A</v>
      </c>
      <c r="AK62" s="2188"/>
      <c r="AL62" s="1333" t="s">
        <v>21</v>
      </c>
      <c r="AM62" s="241" t="s">
        <v>92</v>
      </c>
      <c r="AN62" s="84" t="s">
        <v>93</v>
      </c>
      <c r="AO62" s="85" t="s">
        <v>94</v>
      </c>
      <c r="AP62" s="6577"/>
      <c r="AQ62" s="6471"/>
      <c r="AR62" s="6606"/>
      <c r="AS62" s="242" t="s">
        <v>95</v>
      </c>
      <c r="AV62" s="3">
        <v>1</v>
      </c>
    </row>
    <row r="63" spans="2:48" ht="21" customHeight="1" thickBot="1">
      <c r="B63" s="1610" cm="1">
        <f t="array" ref="B63">SUMPRODUCT(LEN(C63:K63))</f>
        <v>0</v>
      </c>
      <c r="C63" s="1810"/>
      <c r="D63" s="1810"/>
      <c r="E63" s="1810"/>
      <c r="F63" s="1810"/>
      <c r="G63" s="1810"/>
      <c r="H63" s="1810"/>
      <c r="I63" s="1810"/>
      <c r="J63" s="1810"/>
      <c r="K63" s="1810"/>
      <c r="L63" s="2126" t="str" cm="1">
        <f t="array" ref="L63">IF(B15&lt;=0,0,ROUNDUP(SUMPRODUCT(LEN(C63:K63))/B15,0))&amp;" ligne(s)"</f>
        <v>0 ligne(s)</v>
      </c>
      <c r="N63" s="1618" t="s">
        <v>10</v>
      </c>
      <c r="O63" s="163" t="str">
        <f>O17</f>
        <v>B BEIGNETS D'ACACIA | pâtisserie--Beignets| Auteur &gt; Cuisine Actuelle</v>
      </c>
      <c r="P63" s="163">
        <f>P17</f>
        <v>4</v>
      </c>
      <c r="Q63" s="164" t="str">
        <f>Q17</f>
        <v>personnes</v>
      </c>
      <c r="R63" s="165" t="str">
        <f>R17</f>
        <v>Recette mère ► Beignets d'acacia</v>
      </c>
      <c r="S63" s="2139"/>
      <c r="T63" s="2124"/>
      <c r="U63" s="2138"/>
      <c r="V63" s="2140" t="s">
        <v>8860</v>
      </c>
      <c r="W63" s="2065">
        <f ca="1">W40</f>
        <v>132</v>
      </c>
      <c r="X63" s="886" t="s">
        <v>200</v>
      </c>
      <c r="Y63" s="2137"/>
      <c r="Z63" s="2137"/>
      <c r="AA63" s="2137"/>
      <c r="AB63" s="472"/>
      <c r="AC63" s="472"/>
      <c r="AD63" s="472"/>
      <c r="AE63" s="2260" t="str">
        <f>IF(Y64="","",(LEN(TRIM(SUBSTITUTE(Y64,CHAR(160)," ")))-LEN(SUBSTITUTE(TRIM(SUBSTITUTE(Y64,CHAR(160)," "))," ",""))+1)&amp;" mot"&amp;IF((LEN(TRIM(SUBSTITUTE(Y64,CHAR(160)," ")))-LEN(SUBSTITUTE(TRIM(SUBSTITUTE(Y64,CHAR(160)," "))," ",""))+1)&gt;1,"s",""))</f>
        <v>17 mots</v>
      </c>
      <c r="AF63" s="2259" t="str">
        <f>IF(Y64="","",LEN(TRIM(SUBSTITUTE(Y64,CHAR(160),""))))&amp;" Car."</f>
        <v>123 Car.</v>
      </c>
      <c r="AG63" s="2261" t="s">
        <v>8863</v>
      </c>
      <c r="AJ63" s="1618" t="str">
        <f t="shared" si="6"/>
        <v>A</v>
      </c>
      <c r="AK63" s="2188"/>
      <c r="AL63" s="1333" t="s">
        <v>21</v>
      </c>
      <c r="AM63" s="244">
        <v>2</v>
      </c>
      <c r="AN63" s="90"/>
      <c r="AO63" s="91" t="s">
        <v>94</v>
      </c>
      <c r="AP63" s="92">
        <v>1</v>
      </c>
      <c r="AQ63" s="93" t="s">
        <v>97</v>
      </c>
      <c r="AR63" s="94">
        <v>1</v>
      </c>
      <c r="AS63" s="245" t="s">
        <v>98</v>
      </c>
      <c r="AV63" s="3">
        <v>1</v>
      </c>
    </row>
    <row r="64" spans="2:48" ht="21" customHeight="1" thickBot="1">
      <c r="B64" s="1610" cm="1">
        <f t="array" ref="B64">SUMPRODUCT(LEN(C64:K64))</f>
        <v>0</v>
      </c>
      <c r="C64" s="1810"/>
      <c r="D64" s="1810"/>
      <c r="E64" s="1810"/>
      <c r="F64" s="1810"/>
      <c r="G64" s="1810"/>
      <c r="H64" s="1810"/>
      <c r="I64" s="1810"/>
      <c r="J64" s="1810"/>
      <c r="K64" s="1810"/>
      <c r="L64" s="2126" t="str" cm="1">
        <f t="array" ref="L64">IF(B15&lt;=0,0,ROUNDUP(SUMPRODUCT(LEN(C64:K64))/B15,0))&amp;" ligne(s)"</f>
        <v>0 ligne(s)</v>
      </c>
      <c r="N64" s="2100" t="s">
        <v>10</v>
      </c>
      <c r="O64" s="209" t="str">
        <f>O17</f>
        <v>B BEIGNETS D'ACACIA | pâtisserie--Beignets| Auteur &gt; Cuisine Actuelle</v>
      </c>
      <c r="P64" s="209">
        <f>P17</f>
        <v>4</v>
      </c>
      <c r="Q64" s="210" t="str">
        <f>Q17</f>
        <v>personnes</v>
      </c>
      <c r="R64" s="211" t="str">
        <f>R17</f>
        <v>Recette mère ► Beignets d'acacia</v>
      </c>
      <c r="S64" s="2129"/>
      <c r="T64" s="2130"/>
      <c r="U64" s="2131"/>
      <c r="V64" s="2132"/>
      <c r="W64" s="2133"/>
      <c r="X64" s="2133" t="s">
        <v>8864</v>
      </c>
      <c r="Y64" s="2258" t="s">
        <v>8866</v>
      </c>
      <c r="Z64" s="2136"/>
      <c r="AA64" s="2134"/>
      <c r="AB64" s="2134"/>
      <c r="AC64" s="2134"/>
      <c r="AD64" s="2134"/>
      <c r="AE64" s="2134"/>
      <c r="AF64" s="2134"/>
      <c r="AG64" s="2135"/>
      <c r="AJ64" s="2100" t="str">
        <f t="shared" si="6"/>
        <v>A</v>
      </c>
      <c r="AK64" s="2188"/>
      <c r="AL64" s="1333" t="s">
        <v>21</v>
      </c>
      <c r="AM64" s="244">
        <v>2</v>
      </c>
      <c r="AN64" s="90"/>
      <c r="AO64" s="91" t="s">
        <v>94</v>
      </c>
      <c r="AP64" s="92">
        <v>10</v>
      </c>
      <c r="AQ64" s="104" t="s">
        <v>100</v>
      </c>
      <c r="AR64" s="94">
        <v>1</v>
      </c>
      <c r="AS64" s="245" t="s">
        <v>101</v>
      </c>
      <c r="AV64" s="3">
        <v>1</v>
      </c>
    </row>
    <row r="65" spans="2:48" ht="21" customHeight="1" thickBot="1">
      <c r="B65" s="2143"/>
      <c r="C65" s="2142">
        <v>6</v>
      </c>
      <c r="D65" s="2142">
        <v>40</v>
      </c>
      <c r="E65" s="2142">
        <v>10</v>
      </c>
      <c r="F65" s="2142">
        <v>9</v>
      </c>
      <c r="G65" s="2142">
        <v>18</v>
      </c>
      <c r="H65" s="2142">
        <v>13</v>
      </c>
      <c r="I65" s="2142">
        <v>13</v>
      </c>
      <c r="J65" s="2142">
        <v>13</v>
      </c>
      <c r="K65" s="2142">
        <v>17</v>
      </c>
      <c r="L65" s="2144"/>
      <c r="N65" s="1623" t="s">
        <v>10</v>
      </c>
      <c r="O65" s="1624"/>
      <c r="P65" s="1624"/>
      <c r="Q65" s="1624"/>
      <c r="R65" s="1625"/>
      <c r="S65" s="1620" t="s">
        <v>207</v>
      </c>
      <c r="T65" s="2160" t="str">
        <f ca="1">CELL("nomfichier")</f>
        <v>D:\Données\1.UPRT\0-UPRT.fait\1-UPRT.FR-SITE-WEB\ff-fiches-fabrications\ff.fiches.fabrication.2023\ffr.restaurant.2023\[ff.FICHE.TRILINGUE.20.COLONNES.05.01.2026.xlsx]Couleurs.pour.vos.documents</v>
      </c>
      <c r="U65" s="1626"/>
      <c r="V65" s="1626"/>
      <c r="W65" s="1626"/>
      <c r="X65" s="1626"/>
      <c r="Y65" s="1626"/>
      <c r="Z65" s="1626"/>
      <c r="AA65" s="1626"/>
      <c r="AB65" s="1626"/>
      <c r="AC65" s="1626"/>
      <c r="AD65" s="1626"/>
      <c r="AE65" s="1626"/>
      <c r="AF65" s="1626"/>
      <c r="AG65" s="1627"/>
      <c r="AJ65" s="1623" t="str">
        <f t="shared" si="6"/>
        <v>A</v>
      </c>
      <c r="AK65" s="2188"/>
      <c r="AL65" s="1333" t="s">
        <v>21</v>
      </c>
      <c r="AM65" s="44"/>
      <c r="AN65" s="45"/>
      <c r="AO65" s="45"/>
      <c r="AP65" s="45"/>
      <c r="AQ65" s="45"/>
      <c r="AR65" s="45"/>
      <c r="AS65" s="46"/>
      <c r="AV65" s="3">
        <v>1</v>
      </c>
    </row>
    <row r="66" spans="2:48" ht="21" customHeight="1" thickBot="1">
      <c r="B66" s="1216" t="s">
        <v>10</v>
      </c>
      <c r="C66" s="1218" t="s">
        <v>2394</v>
      </c>
      <c r="D66" s="1217"/>
      <c r="E66" s="1217"/>
      <c r="F66" s="1217"/>
      <c r="G66" s="1218"/>
      <c r="H66" s="1217"/>
      <c r="I66" s="1217"/>
      <c r="J66" s="1217"/>
      <c r="K66" s="1217"/>
      <c r="L66" s="1224" t="s">
        <v>1755</v>
      </c>
      <c r="N66" s="1216" t="s">
        <v>10</v>
      </c>
      <c r="O66" s="1217" t="s">
        <v>10</v>
      </c>
      <c r="P66" s="1217" t="s">
        <v>10</v>
      </c>
      <c r="Q66" s="1217" t="s">
        <v>10</v>
      </c>
      <c r="R66" s="1217" t="s">
        <v>10</v>
      </c>
      <c r="S66" s="1218" t="s">
        <v>2394</v>
      </c>
      <c r="T66" s="1219"/>
      <c r="U66" s="1220"/>
      <c r="V66" s="1221"/>
      <c r="W66" s="1222"/>
      <c r="X66" s="1223"/>
      <c r="Y66" s="1223"/>
      <c r="Z66" s="1221"/>
      <c r="AA66" s="1221"/>
      <c r="AB66" s="1219"/>
      <c r="AC66" s="1219"/>
      <c r="AD66" s="1219"/>
      <c r="AE66" s="1219"/>
      <c r="AF66" s="1219"/>
      <c r="AG66" s="1224" t="s">
        <v>1755</v>
      </c>
      <c r="AJ66" s="1216" t="str">
        <f t="shared" si="6"/>
        <v>A</v>
      </c>
      <c r="AK66" s="2188"/>
      <c r="AL66" s="1333" t="s">
        <v>21</v>
      </c>
      <c r="AM66" s="246" t="s">
        <v>49</v>
      </c>
      <c r="AN66" s="81" t="s">
        <v>84</v>
      </c>
      <c r="AO66" s="6607" t="s">
        <v>85</v>
      </c>
      <c r="AP66" s="6582" t="s">
        <v>84</v>
      </c>
      <c r="AQ66" s="6584" t="s">
        <v>86</v>
      </c>
      <c r="AR66" s="6609" t="s">
        <v>87</v>
      </c>
      <c r="AS66" s="247"/>
      <c r="AV66" s="3">
        <v>1</v>
      </c>
    </row>
    <row r="67" spans="2:48" ht="21" customHeight="1">
      <c r="B67" s="6945" t="s">
        <v>2397</v>
      </c>
      <c r="C67" s="6946"/>
      <c r="D67" s="6946"/>
      <c r="E67" s="6946"/>
      <c r="F67" s="6946"/>
      <c r="G67" s="6946"/>
      <c r="H67" s="6946"/>
      <c r="I67" s="6946"/>
      <c r="J67" s="6946"/>
      <c r="K67" s="6946"/>
      <c r="L67" s="6947"/>
      <c r="N67" s="19" t="s">
        <v>10</v>
      </c>
      <c r="O67" s="1629" t="str">
        <f>O73</f>
        <v>B BEIGNETS D'ACACIA | pâtisserie--Beignets| Auteur &gt; 750 Grammes</v>
      </c>
      <c r="P67" s="1630">
        <f>P73</f>
        <v>4</v>
      </c>
      <c r="Q67" s="1630" t="str">
        <f>Q73</f>
        <v>personnes</v>
      </c>
      <c r="R67" s="1631" t="str">
        <f>R73</f>
        <v>Recette mère ► Beignets d'acacia</v>
      </c>
      <c r="S67" s="1632" t="s">
        <v>21</v>
      </c>
      <c r="T67" s="1633" t="s">
        <v>22</v>
      </c>
      <c r="U67" s="1633"/>
      <c r="V67" s="6563" t="s">
        <v>8231</v>
      </c>
      <c r="W67" s="6563"/>
      <c r="X67" s="6563"/>
      <c r="Y67" s="6563"/>
      <c r="Z67" s="6563"/>
      <c r="AA67" s="6563"/>
      <c r="AB67" s="6563"/>
      <c r="AC67" s="6563"/>
      <c r="AD67" s="6563"/>
      <c r="AE67" s="6636" t="s">
        <v>8232</v>
      </c>
      <c r="AF67" s="6636"/>
      <c r="AG67" s="6958" t="str">
        <f>UPPER(LEFT(V67,1))</f>
        <v>B</v>
      </c>
      <c r="AJ67" s="19" t="str">
        <f t="shared" si="6"/>
        <v>A</v>
      </c>
      <c r="AK67" s="1621" t="s">
        <v>8266</v>
      </c>
      <c r="AL67" s="1333" t="s">
        <v>21</v>
      </c>
      <c r="AM67" s="248" t="s">
        <v>96</v>
      </c>
      <c r="AN67" s="88">
        <v>1</v>
      </c>
      <c r="AO67" s="6608"/>
      <c r="AP67" s="6583"/>
      <c r="AQ67" s="6585"/>
      <c r="AR67" s="6587"/>
      <c r="AS67" s="247"/>
      <c r="AV67" s="3">
        <v>1</v>
      </c>
    </row>
    <row r="68" spans="2:48" ht="21" customHeight="1">
      <c r="B68" s="2158">
        <f t="shared" ref="B68:L68" ca="1" si="14">CELL("largeur",B68)</f>
        <v>11</v>
      </c>
      <c r="C68" s="2141">
        <f t="shared" ca="1" si="14"/>
        <v>6</v>
      </c>
      <c r="D68" s="2141">
        <f t="shared" ca="1" si="14"/>
        <v>40</v>
      </c>
      <c r="E68" s="2141">
        <f t="shared" ca="1" si="14"/>
        <v>10</v>
      </c>
      <c r="F68" s="2141">
        <f t="shared" ca="1" si="14"/>
        <v>9</v>
      </c>
      <c r="G68" s="2141">
        <f t="shared" ca="1" si="14"/>
        <v>18</v>
      </c>
      <c r="H68" s="2141">
        <f t="shared" ca="1" si="14"/>
        <v>13</v>
      </c>
      <c r="I68" s="2141">
        <f t="shared" ca="1" si="14"/>
        <v>13</v>
      </c>
      <c r="J68" s="2141">
        <f t="shared" ca="1" si="14"/>
        <v>13</v>
      </c>
      <c r="K68" s="2141">
        <f t="shared" ca="1" si="14"/>
        <v>17</v>
      </c>
      <c r="L68" s="2157">
        <f t="shared" ca="1" si="14"/>
        <v>11</v>
      </c>
      <c r="N68" s="1635" t="s">
        <v>10</v>
      </c>
      <c r="O68" s="1636" t="str">
        <f>O73</f>
        <v>B BEIGNETS D'ACACIA | pâtisserie--Beignets| Auteur &gt; 750 Grammes</v>
      </c>
      <c r="P68" s="1637">
        <f>P73</f>
        <v>4</v>
      </c>
      <c r="Q68" s="1637" t="str">
        <f>Q73</f>
        <v>personnes</v>
      </c>
      <c r="R68" s="1638" t="str">
        <f>R73</f>
        <v>Recette mère ► Beignets d'acacia</v>
      </c>
      <c r="S68" s="1639" t="s">
        <v>28</v>
      </c>
      <c r="T68" s="1640" t="s">
        <v>831</v>
      </c>
      <c r="U68" s="1640"/>
      <c r="V68" s="6566"/>
      <c r="W68" s="6566"/>
      <c r="X68" s="6566"/>
      <c r="Y68" s="6566"/>
      <c r="Z68" s="6566"/>
      <c r="AA68" s="6566"/>
      <c r="AB68" s="6566"/>
      <c r="AC68" s="6566"/>
      <c r="AD68" s="6566"/>
      <c r="AE68" s="6637"/>
      <c r="AF68" s="6637"/>
      <c r="AG68" s="6959"/>
      <c r="AJ68" s="1635" t="str">
        <f t="shared" si="6"/>
        <v>A</v>
      </c>
      <c r="AK68" s="1622" t="s">
        <v>8267</v>
      </c>
      <c r="AL68" s="1333" t="s">
        <v>21</v>
      </c>
      <c r="AM68" s="249">
        <v>58.445353594389253</v>
      </c>
      <c r="AN68" s="96">
        <v>0.58445353594389249</v>
      </c>
      <c r="AO68" s="97">
        <v>0.2</v>
      </c>
      <c r="AP68" s="98">
        <v>4</v>
      </c>
      <c r="AQ68" s="99">
        <v>0.4</v>
      </c>
      <c r="AR68" s="250" t="s">
        <v>99</v>
      </c>
      <c r="AS68" s="247"/>
      <c r="AV68" s="3">
        <v>1</v>
      </c>
    </row>
    <row r="69" spans="2:48" ht="21" customHeight="1">
      <c r="B69" s="2146"/>
      <c r="C69" s="2147"/>
      <c r="D69" s="2147"/>
      <c r="E69" s="2147"/>
      <c r="F69" s="2148"/>
      <c r="G69" s="2147"/>
      <c r="H69" s="2149"/>
      <c r="I69" s="2149"/>
      <c r="J69" s="2149"/>
      <c r="K69" s="2150" t="s">
        <v>8876</v>
      </c>
      <c r="L69" s="2145">
        <f ca="1">SUM(C68:K68)</f>
        <v>139</v>
      </c>
      <c r="N69" s="1635" t="s">
        <v>10</v>
      </c>
      <c r="O69" s="31" t="str">
        <f>O73</f>
        <v>B BEIGNETS D'ACACIA | pâtisserie--Beignets| Auteur &gt; 750 Grammes</v>
      </c>
      <c r="P69" s="32">
        <f>P73</f>
        <v>4</v>
      </c>
      <c r="Q69" s="32" t="str">
        <f>Q73</f>
        <v>personnes</v>
      </c>
      <c r="R69" s="33" t="str">
        <f>R73</f>
        <v>Recette mère ► Beignets d'acacia</v>
      </c>
      <c r="S69" s="1357"/>
      <c r="T69" s="1358" t="s">
        <v>30</v>
      </c>
      <c r="U69" s="34"/>
      <c r="V69" s="35" t="s">
        <v>31</v>
      </c>
      <c r="W69" s="36" t="s">
        <v>8270</v>
      </c>
      <c r="X69" s="9"/>
      <c r="Y69" s="9"/>
      <c r="Z69" s="36"/>
      <c r="AA69" s="36"/>
      <c r="AB69" s="36"/>
      <c r="AC69" s="37"/>
      <c r="AD69" s="9"/>
      <c r="AE69" s="9"/>
      <c r="AF69" s="9"/>
      <c r="AG69" s="2062" t="str" cm="1">
        <f t="array" aca="1" ref="AG69" ca="1">IF(COUNTIF(O95:AG95,"&lt;0.5")=0,"Aucune colonne masquée ",COUNTIF(O95:AG95,"&lt;0.5") &amp; " " &amp; IF(COUNTIF(O95:AG95,"&lt;0.5")&gt;1,"colonnes masquées","colonne masquée") &amp; " " &amp; _xlfn.TEXTJOIN(" ", TRUE, IF(O95:AG95&lt;0.5,O94:AG94,"")))&amp;" "</f>
        <v xml:space="preserve">Aucune colonne masquée  </v>
      </c>
      <c r="AJ69" s="1635" t="str">
        <f t="shared" si="6"/>
        <v>A</v>
      </c>
      <c r="AK69" s="1616"/>
      <c r="AL69" s="1333" t="s">
        <v>21</v>
      </c>
      <c r="AM69" s="249">
        <v>5.8445353594389253</v>
      </c>
      <c r="AN69" s="105">
        <v>0.58445353594389249</v>
      </c>
      <c r="AO69" s="97">
        <v>0.02</v>
      </c>
      <c r="AP69" s="106">
        <v>4</v>
      </c>
      <c r="AQ69" s="99">
        <v>0.04</v>
      </c>
      <c r="AR69" s="251" t="s">
        <v>102</v>
      </c>
      <c r="AS69" s="247"/>
      <c r="AV69" s="3">
        <v>1</v>
      </c>
    </row>
    <row r="70" spans="2:48" ht="21" customHeight="1">
      <c r="B70" s="2146"/>
      <c r="C70" s="2151" t="s">
        <v>8875</v>
      </c>
      <c r="D70" s="2147"/>
      <c r="E70" s="2147"/>
      <c r="F70" s="2148"/>
      <c r="G70" s="2152"/>
      <c r="H70" s="2152"/>
      <c r="I70" s="2152"/>
      <c r="J70" s="2152"/>
      <c r="K70" s="2153" t="s">
        <v>8863</v>
      </c>
      <c r="L70" s="2154" t="s">
        <v>21</v>
      </c>
      <c r="N70" s="1635" t="s">
        <v>10</v>
      </c>
      <c r="O70" s="31" t="str">
        <f>O73</f>
        <v>B BEIGNETS D'ACACIA | pâtisserie--Beignets| Auteur &gt; 750 Grammes</v>
      </c>
      <c r="P70" s="32">
        <f>P73</f>
        <v>4</v>
      </c>
      <c r="Q70" s="32" t="str">
        <f>Q73</f>
        <v>personnes</v>
      </c>
      <c r="R70" s="33" t="str">
        <f>R73</f>
        <v>Recette mère ► Beignets d'acacia</v>
      </c>
      <c r="S70" s="39" t="s">
        <v>32</v>
      </c>
      <c r="T70" s="40"/>
      <c r="U70" s="40"/>
      <c r="V70" s="41" t="s">
        <v>33</v>
      </c>
      <c r="W70" s="6736" t="str">
        <f>Y73&amp;" "&amp;Z73&amp;" ► Famille = "&amp;AE67&amp;" ► "&amp;V67&amp;" "&amp;AC70&amp;" "&amp;AE70&amp;" "&amp;AF70&amp;" "&amp;AG70</f>
        <v>Recette mère ► Beignets d'acacia ► Famille = pâtisserie--Beignets ► BEIGNETS D'ACACIA  ⓫  Dupliquée pour 50 personnes</v>
      </c>
      <c r="X70" s="6736"/>
      <c r="Y70" s="6736"/>
      <c r="Z70" s="6736"/>
      <c r="AA70" s="6736"/>
      <c r="AB70" s="6736"/>
      <c r="AC70" s="6736"/>
      <c r="AD70" s="1359"/>
      <c r="AE70" s="1359" t="s">
        <v>35</v>
      </c>
      <c r="AF70" s="140">
        <v>50</v>
      </c>
      <c r="AG70" s="43" t="str">
        <f>AG72</f>
        <v>personnes</v>
      </c>
      <c r="AJ70" s="1635" t="str">
        <f t="shared" si="6"/>
        <v>A</v>
      </c>
      <c r="AK70" s="1628" t="s">
        <v>8268</v>
      </c>
      <c r="AL70" s="1333" t="s">
        <v>21</v>
      </c>
      <c r="AM70" s="249"/>
      <c r="AN70" s="1326"/>
      <c r="AO70" s="97"/>
      <c r="AP70" s="1327"/>
      <c r="AQ70" s="99"/>
      <c r="AR70" s="1328"/>
      <c r="AS70" s="247"/>
      <c r="AV70" s="3">
        <v>1</v>
      </c>
    </row>
    <row r="71" spans="2:48" ht="21" customHeight="1">
      <c r="B71" s="2155">
        <f>IF(C71="","",LEN(TRIM(SUBSTITUTE(C71,CHAR(160),""))))</f>
        <v>89</v>
      </c>
      <c r="C71" s="2128" t="s">
        <v>8874</v>
      </c>
      <c r="D71" s="2136"/>
      <c r="E71" s="2136"/>
      <c r="F71" s="2136"/>
      <c r="G71" s="2136"/>
      <c r="H71" s="2136"/>
      <c r="I71" s="2136"/>
      <c r="J71" s="2136"/>
      <c r="K71" s="2156"/>
      <c r="L71" s="2126" t="str" cm="1">
        <f t="array" ref="L71">IF(B71&lt;=0,0,ROUNDUP(SUMPRODUCT(LEN(C71:K71))/B71,0))&amp;" ligne(s)"</f>
        <v>1 ligne(s)</v>
      </c>
      <c r="N71" s="1635" t="s">
        <v>10</v>
      </c>
      <c r="O71" s="31" t="str">
        <f>O73</f>
        <v>B BEIGNETS D'ACACIA | pâtisserie--Beignets| Auteur &gt; 750 Grammes</v>
      </c>
      <c r="P71" s="32">
        <f>P73</f>
        <v>4</v>
      </c>
      <c r="Q71" s="32" t="str">
        <f>Q73</f>
        <v>personnes</v>
      </c>
      <c r="R71" s="33" t="str">
        <f>R73</f>
        <v>Recette mère ► Beignets d'acacia</v>
      </c>
      <c r="S71" s="1360">
        <v>4</v>
      </c>
      <c r="T71" s="1361" t="s">
        <v>8237</v>
      </c>
      <c r="U71" s="39"/>
      <c r="V71" s="39"/>
      <c r="W71" s="6736"/>
      <c r="X71" s="6736"/>
      <c r="Y71" s="6736"/>
      <c r="Z71" s="6736"/>
      <c r="AA71" s="6736"/>
      <c r="AB71" s="6736"/>
      <c r="AC71" s="6736"/>
      <c r="AD71" s="696"/>
      <c r="AE71" s="696"/>
      <c r="AF71" s="47" t="s">
        <v>40</v>
      </c>
      <c r="AG71" s="48" t="s">
        <v>41</v>
      </c>
      <c r="AJ71" s="1635" t="str">
        <f t="shared" si="6"/>
        <v>A</v>
      </c>
      <c r="AK71" s="1634" t="s">
        <v>8269</v>
      </c>
      <c r="AL71" s="1333" t="s">
        <v>21</v>
      </c>
      <c r="AM71" s="252"/>
      <c r="AN71" s="253"/>
      <c r="AO71" s="254" t="s">
        <v>255</v>
      </c>
      <c r="AP71" s="255"/>
      <c r="AQ71" s="256"/>
      <c r="AR71" s="253"/>
      <c r="AS71" s="247"/>
      <c r="AV71" s="3">
        <v>1</v>
      </c>
    </row>
    <row r="72" spans="2:48" ht="21" customHeight="1">
      <c r="B72" s="6939" t="s">
        <v>1527</v>
      </c>
      <c r="C72" s="6940" t="s">
        <v>8234</v>
      </c>
      <c r="D72" s="6940"/>
      <c r="E72" s="6940"/>
      <c r="F72" s="6940"/>
      <c r="G72" s="6940"/>
      <c r="H72" s="6940"/>
      <c r="I72" s="6940"/>
      <c r="J72" s="6940"/>
      <c r="K72" s="6940"/>
      <c r="L72" s="6942" t="s">
        <v>8859</v>
      </c>
      <c r="N72" s="1635" t="s">
        <v>10</v>
      </c>
      <c r="O72" s="31" t="str">
        <f>O73</f>
        <v>B BEIGNETS D'ACACIA | pâtisserie--Beignets| Auteur &gt; 750 Grammes</v>
      </c>
      <c r="P72" s="32">
        <f>P73</f>
        <v>4</v>
      </c>
      <c r="Q72" s="32" t="str">
        <f>Q73</f>
        <v>personnes</v>
      </c>
      <c r="R72" s="33" t="str">
        <f>R73</f>
        <v>Recette mère ► Beignets d'acacia</v>
      </c>
      <c r="S72" s="53"/>
      <c r="T72" s="1323" t="s">
        <v>8094</v>
      </c>
      <c r="U72" s="6737">
        <f>AC89</f>
        <v>0.74</v>
      </c>
      <c r="V72" s="6737"/>
      <c r="W72" s="1324" t="str" cm="1">
        <f t="array" ref="W72">"1= "&amp;IF(OR(S71&lt;=0,U72=""),"",_xlfn.LET(_xlpm.kg,IF(ISNUMBER(U72),U72,VALEUR(SUBSTITUTE(SUBSTITUTE(SUBSTITUTE(LOWER(U72),"kg",""),",",".")," ",""))),TEXT(ROUND(_xlpm.kg*1000/S71,2),"0.##")&amp;" g"))</f>
        <v>1= 185. g</v>
      </c>
      <c r="X72" s="1325">
        <f>IFERROR(AF70/AF72,0)</f>
        <v>12.5</v>
      </c>
      <c r="Y72" s="1817" t="s">
        <v>8230</v>
      </c>
      <c r="Z72" s="579"/>
      <c r="AA72" s="55"/>
      <c r="AB72" s="55"/>
      <c r="AD72" s="1362"/>
      <c r="AE72" s="1362" t="s">
        <v>50</v>
      </c>
      <c r="AF72" s="154">
        <v>4</v>
      </c>
      <c r="AG72" s="56" t="s">
        <v>8237</v>
      </c>
      <c r="AJ72" s="1635" t="str">
        <f t="shared" si="6"/>
        <v>A</v>
      </c>
      <c r="AK72" s="1616"/>
      <c r="AL72" s="1333" t="s">
        <v>21</v>
      </c>
      <c r="AM72" s="252"/>
      <c r="AN72" s="253"/>
      <c r="AO72" s="257" t="s">
        <v>8942</v>
      </c>
      <c r="AP72" s="255"/>
      <c r="AQ72" s="256"/>
      <c r="AR72" s="253"/>
      <c r="AS72" s="247"/>
      <c r="AV72" s="3">
        <v>1</v>
      </c>
    </row>
    <row r="73" spans="2:48" ht="21" customHeight="1">
      <c r="B73" s="6939"/>
      <c r="C73" s="6941"/>
      <c r="D73" s="6941"/>
      <c r="E73" s="6941"/>
      <c r="F73" s="6941"/>
      <c r="G73" s="6941"/>
      <c r="H73" s="6941"/>
      <c r="I73" s="6941"/>
      <c r="J73" s="6941"/>
      <c r="K73" s="6941"/>
      <c r="L73" s="6942"/>
      <c r="N73" s="1635" t="s">
        <v>10</v>
      </c>
      <c r="O73" s="61" t="str">
        <f>S73</f>
        <v>B BEIGNETS D'ACACIA | pâtisserie--Beignets| Auteur &gt; 750 Grammes</v>
      </c>
      <c r="P73" s="62">
        <f>S71</f>
        <v>4</v>
      </c>
      <c r="Q73" s="61" t="str">
        <f>T71</f>
        <v>personnes</v>
      </c>
      <c r="R73" s="63" t="str">
        <f>Y73&amp;" "&amp;Z73</f>
        <v>Recette mère ► Beignets d'acacia</v>
      </c>
      <c r="S73" s="64" t="str">
        <f>UPPER(LEFT(V67,1))&amp;" "&amp;V67&amp;" | "&amp;AE67&amp;"| "&amp;V69&amp;" "&amp;W69</f>
        <v>B BEIGNETS D'ACACIA | pâtisserie--Beignets| Auteur &gt; 750 Grammes</v>
      </c>
      <c r="T73" s="65" t="s">
        <v>53</v>
      </c>
      <c r="U73" s="6735" t="s">
        <v>54</v>
      </c>
      <c r="V73" s="6735"/>
      <c r="W73" s="6735"/>
      <c r="X73" s="66"/>
      <c r="Y73" s="66" t="str">
        <f>IF(ISTEXT(Z73),"Recette mère ►",T73)</f>
        <v>Recette mère ►</v>
      </c>
      <c r="Z73" s="67" t="s">
        <v>8142</v>
      </c>
      <c r="AA73" s="67"/>
      <c r="AB73" s="67"/>
      <c r="AC73" s="883"/>
      <c r="AD73" s="68"/>
      <c r="AE73" s="68"/>
      <c r="AF73" s="68"/>
      <c r="AG73"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J73" s="1635" t="str">
        <f t="shared" si="6"/>
        <v>A</v>
      </c>
      <c r="AK73" s="1613"/>
      <c r="AL73" s="1333" t="s">
        <v>21</v>
      </c>
      <c r="AM73" s="252"/>
      <c r="AN73" s="253"/>
      <c r="AO73" s="259"/>
      <c r="AP73" s="255"/>
      <c r="AQ73" s="256"/>
      <c r="AR73" s="260" t="s">
        <v>87</v>
      </c>
      <c r="AS73" s="247"/>
      <c r="AV73" s="3">
        <v>1</v>
      </c>
    </row>
    <row r="74" spans="2:48" ht="21" customHeight="1">
      <c r="B74" s="1610" cm="1">
        <f t="array" ref="B74">SUMPRODUCT(LEN(C74:K74))</f>
        <v>0</v>
      </c>
      <c r="C74" s="1837"/>
      <c r="D74" s="1837"/>
      <c r="E74" s="1837"/>
      <c r="F74" s="1837"/>
      <c r="G74" s="1837"/>
      <c r="H74" s="1837"/>
      <c r="I74" s="1837"/>
      <c r="J74" s="1837"/>
      <c r="K74" s="1837"/>
      <c r="L74" s="2126" t="str" cm="1">
        <f t="array" ref="L74">IF(B71&lt;=0,0,ROUNDUP(SUMPRODUCT(LEN(C74:K74))/B71,0))&amp;" ligne(s)"</f>
        <v>0 ligne(s)</v>
      </c>
      <c r="N74" s="1635" t="s">
        <v>10</v>
      </c>
      <c r="O74" s="70" t="str">
        <f>O73</f>
        <v>B BEIGNETS D'ACACIA | pâtisserie--Beignets| Auteur &gt; 750 Grammes</v>
      </c>
      <c r="P74" s="70">
        <f>P73</f>
        <v>4</v>
      </c>
      <c r="Q74" s="70" t="str">
        <f>Q73</f>
        <v>personnes</v>
      </c>
      <c r="R74" s="71" t="str">
        <f>R73</f>
        <v>Recette mère ► Beignets d'acacia</v>
      </c>
      <c r="S74" s="12" t="s">
        <v>65</v>
      </c>
      <c r="T74" s="12" t="s">
        <v>66</v>
      </c>
      <c r="U74" s="12" t="s">
        <v>67</v>
      </c>
      <c r="V74" s="12" t="s">
        <v>68</v>
      </c>
      <c r="W74" s="72" t="s">
        <v>69</v>
      </c>
      <c r="X74" s="73" t="s">
        <v>70</v>
      </c>
      <c r="Y74" s="12" t="s">
        <v>71</v>
      </c>
      <c r="Z74" s="12" t="s">
        <v>72</v>
      </c>
      <c r="AA74" s="12" t="s">
        <v>73</v>
      </c>
      <c r="AB74" s="12" t="s">
        <v>74</v>
      </c>
      <c r="AC74" s="12" t="s">
        <v>75</v>
      </c>
      <c r="AD74" s="12" t="s">
        <v>76</v>
      </c>
      <c r="AE74" s="12" t="s">
        <v>77</v>
      </c>
      <c r="AF74" s="12" t="s">
        <v>8143</v>
      </c>
      <c r="AG74" s="74" t="s">
        <v>8407</v>
      </c>
      <c r="AJ74" s="1635" t="str">
        <f t="shared" si="6"/>
        <v>A</v>
      </c>
      <c r="AK74" s="1621" t="s">
        <v>8271</v>
      </c>
      <c r="AL74" s="1333" t="s">
        <v>21</v>
      </c>
      <c r="AM74" s="252"/>
      <c r="AN74" s="253"/>
      <c r="AO74" s="259"/>
      <c r="AP74" s="255"/>
      <c r="AQ74" s="6478" t="s">
        <v>8943</v>
      </c>
      <c r="AR74" s="6478"/>
      <c r="AS74" s="6479"/>
      <c r="AV74" s="3">
        <v>1</v>
      </c>
    </row>
    <row r="75" spans="2:48" ht="21" customHeight="1">
      <c r="B75" s="1610" cm="1">
        <f t="array" ref="B75">SUMPRODUCT(LEN(C75:K75))</f>
        <v>11</v>
      </c>
      <c r="C75" s="1810"/>
      <c r="D75" s="1810"/>
      <c r="E75" s="2125" t="s">
        <v>8270</v>
      </c>
      <c r="F75" s="2125"/>
      <c r="G75" s="1810"/>
      <c r="H75" s="1810"/>
      <c r="I75" s="1810"/>
      <c r="J75" s="1810"/>
      <c r="K75" s="1810"/>
      <c r="L75" s="2126" t="str" cm="1">
        <f t="array" ref="L75">IF(B71&lt;=0,0,ROUNDUP(SUMPRODUCT(LEN(C75:K75))/B71,0))&amp;" ligne(s)"</f>
        <v>1 ligne(s)</v>
      </c>
      <c r="N75" s="1635" t="s">
        <v>10</v>
      </c>
      <c r="O75" s="31" t="str">
        <f>O73</f>
        <v>B BEIGNETS D'ACACIA | pâtisserie--Beignets| Auteur &gt; 750 Grammes</v>
      </c>
      <c r="P75" s="32">
        <f>P73</f>
        <v>4</v>
      </c>
      <c r="Q75" s="31" t="str">
        <f>Q73</f>
        <v>personnes</v>
      </c>
      <c r="R75" s="33" t="str">
        <f>R73</f>
        <v>Recette mère ► Beignets d'acacia</v>
      </c>
      <c r="S75" s="76" t="s">
        <v>78</v>
      </c>
      <c r="T75" s="77" t="s">
        <v>79</v>
      </c>
      <c r="U75" s="78"/>
      <c r="V75" s="6612" t="s">
        <v>80</v>
      </c>
      <c r="W75" s="6730" t="s">
        <v>81</v>
      </c>
      <c r="X75" s="6732" t="s">
        <v>82</v>
      </c>
      <c r="Y75" s="6738" t="s">
        <v>8575</v>
      </c>
      <c r="Z75" s="79" t="s">
        <v>83</v>
      </c>
      <c r="AA75" s="80" t="s">
        <v>49</v>
      </c>
      <c r="AB75" s="81" t="s">
        <v>84</v>
      </c>
      <c r="AC75" s="6607" t="s">
        <v>85</v>
      </c>
      <c r="AD75" s="6582" t="s">
        <v>84</v>
      </c>
      <c r="AE75" s="6727" t="s">
        <v>8405</v>
      </c>
      <c r="AF75" s="6584" t="s">
        <v>86</v>
      </c>
      <c r="AG75" s="6728" t="s">
        <v>87</v>
      </c>
      <c r="AJ75" s="1635" t="str">
        <f t="shared" ref="AJ75:AJ138" si="15">N75</f>
        <v>A</v>
      </c>
      <c r="AK75" s="1621" t="s">
        <v>840</v>
      </c>
      <c r="AL75" s="1333" t="s">
        <v>21</v>
      </c>
      <c r="AM75" s="252"/>
      <c r="AN75" s="253"/>
      <c r="AO75" s="259"/>
      <c r="AP75" s="255"/>
      <c r="AQ75" s="6478"/>
      <c r="AR75" s="6478"/>
      <c r="AS75" s="6479"/>
      <c r="AV75" s="3">
        <v>1</v>
      </c>
    </row>
    <row r="76" spans="2:48" ht="21" customHeight="1">
      <c r="B76" s="1610" cm="1">
        <f t="array" ref="B76">SUMPRODUCT(LEN(C76:K76))</f>
        <v>0</v>
      </c>
      <c r="C76" s="1810"/>
      <c r="D76" s="1810"/>
      <c r="E76" s="1810"/>
      <c r="F76" s="1810"/>
      <c r="G76" s="1810"/>
      <c r="H76" s="1810"/>
      <c r="I76" s="1810"/>
      <c r="J76" s="1810"/>
      <c r="K76" s="1810"/>
      <c r="L76" s="2126" t="str" cm="1">
        <f t="array" ref="L76">IF(B71&lt;=0,0,ROUNDUP(SUMPRODUCT(LEN(C76:K76))/B71,0))&amp;" ligne(s)"</f>
        <v>0 ligne(s)</v>
      </c>
      <c r="N76" s="1635" t="s">
        <v>10</v>
      </c>
      <c r="O76" s="31" t="str">
        <f>O73</f>
        <v>B BEIGNETS D'ACACIA | pâtisserie--Beignets| Auteur &gt; 750 Grammes</v>
      </c>
      <c r="P76" s="32">
        <f>P73</f>
        <v>4</v>
      </c>
      <c r="Q76" s="31" t="str">
        <f>Q73</f>
        <v>personnes</v>
      </c>
      <c r="R76" s="33" t="str">
        <f>R73</f>
        <v>Recette mère ► Beignets d'acacia</v>
      </c>
      <c r="S76" s="83" t="s">
        <v>92</v>
      </c>
      <c r="T76" s="84" t="s">
        <v>93</v>
      </c>
      <c r="U76" s="85" t="s">
        <v>94</v>
      </c>
      <c r="V76" s="6577"/>
      <c r="W76" s="6471"/>
      <c r="X76" s="6606"/>
      <c r="Y76" s="6739"/>
      <c r="Z76" s="86" t="s">
        <v>95</v>
      </c>
      <c r="AA76" s="87" t="s">
        <v>96</v>
      </c>
      <c r="AB76" s="88">
        <v>1</v>
      </c>
      <c r="AC76" s="6608"/>
      <c r="AD76" s="6583"/>
      <c r="AE76" s="6583"/>
      <c r="AF76" s="6585"/>
      <c r="AG76" s="6786"/>
      <c r="AJ76" s="1635" t="str">
        <f t="shared" si="15"/>
        <v>A</v>
      </c>
      <c r="AK76" s="1622" t="s">
        <v>841</v>
      </c>
      <c r="AL76" s="1333" t="s">
        <v>21</v>
      </c>
      <c r="AM76" s="252"/>
      <c r="AN76" s="235"/>
      <c r="AO76" s="259"/>
      <c r="AP76" s="255"/>
      <c r="AQ76" s="6478"/>
      <c r="AR76" s="6478"/>
      <c r="AS76" s="6479"/>
      <c r="AV76" s="3">
        <v>1</v>
      </c>
    </row>
    <row r="77" spans="2:48" ht="21" customHeight="1">
      <c r="B77" s="1610" cm="1">
        <f t="array" ref="B77">SUMPRODUCT(LEN(C77:K77))</f>
        <v>0</v>
      </c>
      <c r="C77" s="1810"/>
      <c r="D77" s="1810"/>
      <c r="E77" s="1810"/>
      <c r="F77" s="1810"/>
      <c r="G77" s="1810"/>
      <c r="H77" s="1810"/>
      <c r="I77" s="1810"/>
      <c r="J77" s="1810"/>
      <c r="K77" s="1810"/>
      <c r="L77" s="2126" t="str" cm="1">
        <f t="array" ref="L77">IF(B71&lt;=0,0,ROUNDUP(SUMPRODUCT(LEN(C77:K77))/B71,0))&amp;" ligne(s)"</f>
        <v>0 ligne(s)</v>
      </c>
      <c r="N77" s="1635" t="s">
        <v>10</v>
      </c>
      <c r="O77" s="31" t="str">
        <f>O73</f>
        <v>B BEIGNETS D'ACACIA | pâtisserie--Beignets| Auteur &gt; 750 Grammes</v>
      </c>
      <c r="P77" s="32">
        <f>P73</f>
        <v>4</v>
      </c>
      <c r="Q77" s="31" t="str">
        <f>Q73</f>
        <v>personnes</v>
      </c>
      <c r="R77" s="33" t="str">
        <f>R73</f>
        <v>Recette mère ► Beignets d'acacia</v>
      </c>
      <c r="S77" s="89"/>
      <c r="T77" s="108"/>
      <c r="U77" s="1363" t="str">
        <f t="shared" ref="U77:U86" si="16">IF(AND(S77&gt;0,V77&gt;0),"de","")</f>
        <v/>
      </c>
      <c r="V77" s="92"/>
      <c r="W77" s="1364"/>
      <c r="X77" s="130">
        <v>1</v>
      </c>
      <c r="Y77" s="1812" t="str">
        <f>ROWS(Y77:Y77)&amp;" ►"</f>
        <v>1 ►</v>
      </c>
      <c r="Z77" s="1580"/>
      <c r="AA77" s="95">
        <f>IF(AC89=0,0,(AC77/AC89)*AB76*1000)</f>
        <v>0</v>
      </c>
      <c r="AB77" s="96">
        <f>IF(AC89=0, 0, (S77*X77)/(AC89*AB76))</f>
        <v>0</v>
      </c>
      <c r="AC77" s="97" cm="1">
        <f t="array" ref="AC77">IFERROR(_xlfn.XLOOKUP(UPPER(TRIM(W77)),UPPER(TRIM(S90:AG90)),S91:AG91,_xlfn.XLOOKUP(UPPER(TRIM(W77)),UPPER(TRIM(S92:AG92)),S93:AG93,0))*V77*IF(S77&gt;0,S77,1),0)</f>
        <v>0</v>
      </c>
      <c r="AD77" s="98">
        <f>IF(AF72&lt;&gt;0,S77*X77*X72,0)</f>
        <v>0</v>
      </c>
      <c r="AE77" s="1834">
        <f>T77</f>
        <v>0</v>
      </c>
      <c r="AF77" s="99">
        <f>IF(OR(ISBLANK(AF72),AF72=0),0,AC77*X77*X72)</f>
        <v>0</v>
      </c>
      <c r="AG77" s="100" t="str">
        <f>IF(W77="","",IF(COUNTIF(Z90:AG90,SUBSTITUTE(TRIM(W77)," (s)",""))+COUNTIF(Z92:AG92,SUBSTITUTE(TRIM(W77)," (s)",""))&gt;0,IF(ROUND(AF77,3)&gt;=1,ROUND(AF77,3)&amp;" L",MAX(1,ROUND(AF77*100,0))&amp;" cl"),IF(COUNTIF(S90:X90,SUBSTITUTE(TRIM(W77)," (s)",""))+COUNTIF(S92:X92,SUBSTITUTE(TRIM(W77)," (s)",""))&gt;0,IF(ROUND(AF77,3)&gt;=1,ROUND(AF77,3)&amp;" Kg",MAX(1,ROUND(AF77*1000,0))&amp;" g"),"")))</f>
        <v/>
      </c>
      <c r="AJ77" s="1635" t="str">
        <f t="shared" si="15"/>
        <v>A</v>
      </c>
      <c r="AK77" s="1616">
        <v>1</v>
      </c>
      <c r="AL77" s="1333" t="s">
        <v>21</v>
      </c>
      <c r="AM77" s="264"/>
      <c r="AN77" s="265" t="s">
        <v>94</v>
      </c>
      <c r="AO77" s="266" t="s">
        <v>259</v>
      </c>
      <c r="AP77" s="267"/>
      <c r="AQ77" s="45"/>
      <c r="AR77" s="45"/>
      <c r="AS77" s="46"/>
      <c r="AV77" s="3">
        <v>1</v>
      </c>
    </row>
    <row r="78" spans="2:48" ht="21" customHeight="1">
      <c r="B78" s="1610" cm="1">
        <f t="array" ref="B78">SUMPRODUCT(LEN(C78:K78))</f>
        <v>0</v>
      </c>
      <c r="C78" s="1810"/>
      <c r="D78" s="1810"/>
      <c r="E78" s="1810"/>
      <c r="F78" s="1810"/>
      <c r="G78" s="1810"/>
      <c r="H78" s="1810"/>
      <c r="I78" s="1810"/>
      <c r="J78" s="1810"/>
      <c r="K78" s="1810"/>
      <c r="L78" s="2126" t="str" cm="1">
        <f t="array" ref="L78">IF(B71&lt;=0,0,ROUNDUP(SUMPRODUCT(LEN(C78:K78))/B71,0))&amp;" ligne(s)"</f>
        <v>0 ligne(s)</v>
      </c>
      <c r="N78" s="103" t="str">
        <f>IF(Z78&lt;&gt;"","A","►")</f>
        <v>A</v>
      </c>
      <c r="O78" s="31" t="str">
        <f>O73</f>
        <v>B BEIGNETS D'ACACIA | pâtisserie--Beignets| Auteur &gt; 750 Grammes</v>
      </c>
      <c r="P78" s="32">
        <f>P73</f>
        <v>4</v>
      </c>
      <c r="Q78" s="31" t="str">
        <f>Q73</f>
        <v>personnes</v>
      </c>
      <c r="R78" s="33" t="str">
        <f>R73</f>
        <v>Recette mère ► Beignets d'acacia</v>
      </c>
      <c r="S78" s="89"/>
      <c r="T78" s="108"/>
      <c r="U78" s="91" t="str">
        <f t="shared" si="16"/>
        <v/>
      </c>
      <c r="V78" s="92">
        <v>240</v>
      </c>
      <c r="W78" s="104" t="s">
        <v>100</v>
      </c>
      <c r="X78" s="130">
        <v>1</v>
      </c>
      <c r="Y78" s="1813" t="str">
        <f>ROWS(Y77:Y78)&amp;" ►"</f>
        <v>2 ►</v>
      </c>
      <c r="Z78" s="1580" t="s">
        <v>8243</v>
      </c>
      <c r="AA78" s="95">
        <f>IF(AC89=0,0,(AC78/AC89)*AB76*1000)</f>
        <v>324.32432432432432</v>
      </c>
      <c r="AB78" s="105">
        <f>IF(AC89=0, 0, (S78*X78)/(AC89*AB76))</f>
        <v>0</v>
      </c>
      <c r="AC78" s="97" cm="1">
        <f t="array" ref="AC78">IFERROR(_xlfn.XLOOKUP(UPPER(TRIM(W78)),UPPER(TRIM(S90:AG90)),S91:AG91,_xlfn.XLOOKUP(UPPER(TRIM(W78)),UPPER(TRIM(S92:AG92)),S93:AG93,0))*V78*IF(S78&gt;0,S78,1),0)</f>
        <v>0.24</v>
      </c>
      <c r="AD78" s="110">
        <f>IF(AF72&lt;&gt;0,S78*X78*X72,0)</f>
        <v>0</v>
      </c>
      <c r="AE78" s="1748">
        <f t="shared" ref="AE78:AE88" si="17">T78</f>
        <v>0</v>
      </c>
      <c r="AF78" s="99">
        <f>IF(OR(ISBLANK(AF72),AF72=0),0,AC78*X78*X72)</f>
        <v>3</v>
      </c>
      <c r="AG78" s="111" t="str">
        <f>IF(W78="","",IF(COUNTIF(Z90:AG90,SUBSTITUTE(TRIM(W78)," (s)",""))+COUNTIF(Z92:AG92,SUBSTITUTE(TRIM(W78)," (s)",""))&gt;0,IF(ROUND(AF78,3)&gt;=1,ROUND(AF78,3)&amp;" L",MAX(1,ROUND(AF78*100,0))&amp;" cl"),IF(COUNTIF(S90:X90,SUBSTITUTE(TRIM(W78)," (s)",""))+COUNTIF(S92:X92,SUBSTITUTE(TRIM(W78)," (s)",""))&gt;0,IF(ROUND(AF78,3)&gt;=1,ROUND(AF78,3)&amp;" Kg",MAX(1,ROUND(AF78*1000,0))&amp;" g"),"")))</f>
        <v>3 Kg</v>
      </c>
      <c r="AJ78" s="103" t="str">
        <f t="shared" si="15"/>
        <v>A</v>
      </c>
      <c r="AK78" s="1641" t="s">
        <v>842</v>
      </c>
      <c r="AL78" s="1333" t="s">
        <v>21</v>
      </c>
      <c r="AM78" s="264"/>
      <c r="AN78" s="223" t="s">
        <v>261</v>
      </c>
      <c r="AO78" s="223"/>
      <c r="AP78" s="268"/>
      <c r="AQ78" s="45"/>
      <c r="AR78" s="45"/>
      <c r="AS78" s="46"/>
      <c r="AV78" s="3">
        <v>1</v>
      </c>
    </row>
    <row r="79" spans="2:48" ht="21" customHeight="1">
      <c r="B79" s="1610" cm="1">
        <f t="array" ref="B79">SUMPRODUCT(LEN(C79:K79))</f>
        <v>0</v>
      </c>
      <c r="C79" s="1810"/>
      <c r="D79" s="1810"/>
      <c r="E79" s="1810"/>
      <c r="F79" s="1810"/>
      <c r="G79" s="1810"/>
      <c r="H79" s="1810"/>
      <c r="I79" s="1810"/>
      <c r="J79" s="1810"/>
      <c r="K79" s="1810"/>
      <c r="L79" s="2126" t="str" cm="1">
        <f t="array" ref="L79">IF(B71&lt;=0,0,ROUNDUP(SUMPRODUCT(LEN(C79:K79))/B71,0))&amp;" ligne(s)"</f>
        <v>0 ligne(s)</v>
      </c>
      <c r="N79" s="103" t="str">
        <f t="shared" ref="N79:N87" si="18">IF(Z79&lt;&gt;"","A","►")</f>
        <v>A</v>
      </c>
      <c r="O79" s="31" t="str">
        <f>O73</f>
        <v>B BEIGNETS D'ACACIA | pâtisserie--Beignets| Auteur &gt; 750 Grammes</v>
      </c>
      <c r="P79" s="32">
        <f>P73</f>
        <v>4</v>
      </c>
      <c r="Q79" s="31" t="str">
        <f>Q73</f>
        <v>personnes</v>
      </c>
      <c r="R79" s="33" t="str">
        <f>R73</f>
        <v>Recette mère ► Beignets d'acacia</v>
      </c>
      <c r="S79" s="89"/>
      <c r="T79" s="108"/>
      <c r="U79" s="1363" t="str">
        <f t="shared" si="16"/>
        <v/>
      </c>
      <c r="V79" s="92">
        <v>20</v>
      </c>
      <c r="W79" s="93" t="s">
        <v>144</v>
      </c>
      <c r="X79" s="130">
        <v>1</v>
      </c>
      <c r="Y79" s="1813" t="str">
        <f>ROWS(Y77:Y79)&amp;" ►"</f>
        <v>3 ►</v>
      </c>
      <c r="Z79" s="1580" t="s">
        <v>8246</v>
      </c>
      <c r="AA79" s="95">
        <f>IF(AC89=0,0,(AC79/AC89)*AB76*1000)</f>
        <v>270.27027027027026</v>
      </c>
      <c r="AB79" s="105">
        <f>IF(AC89=0, 0, (S79*X79)/(AC89*AB76))</f>
        <v>0</v>
      </c>
      <c r="AC79" s="97" cm="1">
        <f t="array" ref="AC79">IFERROR(_xlfn.XLOOKUP(UPPER(TRIM(W79)),UPPER(TRIM(S90:AG90)),S91:AG91,_xlfn.XLOOKUP(UPPER(TRIM(W79)),UPPER(TRIM(S92:AG92)),S93:AG93,0))*V79*IF(S79&gt;0,S79,1),0)</f>
        <v>0.2</v>
      </c>
      <c r="AD79" s="106">
        <f>IF(AF72&lt;&gt;0,S79*X79*X72,0)</f>
        <v>0</v>
      </c>
      <c r="AE79" s="1747">
        <f t="shared" si="17"/>
        <v>0</v>
      </c>
      <c r="AF79" s="99">
        <f>IF(OR(ISBLANK(AF72),AF72=0),0,AC79*X79*X72)</f>
        <v>2.5</v>
      </c>
      <c r="AG79" s="107" t="str">
        <f>IF(W79="","",IF(COUNTIF(Z90:AG90,SUBSTITUTE(TRIM(W79)," (s)",""))+COUNTIF(Z92:AG92,SUBSTITUTE(TRIM(W79)," (s)",""))&gt;0,IF(ROUND(AF79,3)&gt;=1,ROUND(AF79,3)&amp;" L",MAX(1,ROUND(AF79*100,0))&amp;" cl"),IF(COUNTIF(S90:X90,SUBSTITUTE(TRIM(W79)," (s)",""))+COUNTIF(S92:X92,SUBSTITUTE(TRIM(W79)," (s)",""))&gt;0,IF(ROUND(AF79,3)&gt;=1,ROUND(AF79,3)&amp;" Kg",MAX(1,ROUND(AF79*1000,0))&amp;" g"),"")))</f>
        <v>2.5 L</v>
      </c>
      <c r="AJ79" s="103" t="str">
        <f t="shared" si="15"/>
        <v>A</v>
      </c>
      <c r="AK79" s="1622" t="s">
        <v>843</v>
      </c>
      <c r="AL79" s="1333" t="s">
        <v>21</v>
      </c>
      <c r="AM79" s="252"/>
      <c r="AN79" s="235"/>
      <c r="AO79" s="259"/>
      <c r="AP79" s="255"/>
      <c r="AQ79" s="270"/>
      <c r="AR79" s="270"/>
      <c r="AS79" s="271"/>
      <c r="AV79" s="3">
        <v>1</v>
      </c>
    </row>
    <row r="80" spans="2:48" ht="21" customHeight="1">
      <c r="B80" s="1610" cm="1">
        <f t="array" ref="B80">SUMPRODUCT(LEN(C80:K80))</f>
        <v>0</v>
      </c>
      <c r="C80" s="1810"/>
      <c r="D80" s="1810"/>
      <c r="E80" s="1810"/>
      <c r="F80" s="1810"/>
      <c r="G80" s="1810"/>
      <c r="H80" s="1810"/>
      <c r="I80" s="1810"/>
      <c r="J80" s="1810"/>
      <c r="K80" s="1810"/>
      <c r="L80" s="2126" t="str" cm="1">
        <f t="array" ref="L80">IF(B71&lt;=0,0,ROUNDUP(SUMPRODUCT(LEN(C80:K80))/B71,0))&amp;" ligne(s)"</f>
        <v>0 ligne(s)</v>
      </c>
      <c r="N80" s="103" t="str">
        <f t="shared" si="18"/>
        <v>A</v>
      </c>
      <c r="O80" s="31" t="str">
        <f>O73</f>
        <v>B BEIGNETS D'ACACIA | pâtisserie--Beignets| Auteur &gt; 750 Grammes</v>
      </c>
      <c r="P80" s="32">
        <f>P73</f>
        <v>4</v>
      </c>
      <c r="Q80" s="31" t="str">
        <f>Q73</f>
        <v>personnes</v>
      </c>
      <c r="R80" s="33" t="str">
        <f>R73</f>
        <v>Recette mère ► Beignets d'acacia</v>
      </c>
      <c r="S80" s="89">
        <v>2</v>
      </c>
      <c r="T80" s="108" t="s">
        <v>8272</v>
      </c>
      <c r="U80" s="91" t="str">
        <f t="shared" si="16"/>
        <v/>
      </c>
      <c r="V80" s="92"/>
      <c r="W80" s="1364"/>
      <c r="X80" s="130">
        <v>1</v>
      </c>
      <c r="Y80" s="1813" t="str">
        <f>ROWS(Y77:Y80)&amp;" ►"</f>
        <v>4 ►</v>
      </c>
      <c r="Z80" s="1580" t="s">
        <v>8273</v>
      </c>
      <c r="AA80" s="95">
        <f>IF(AC89=0,0,(AC80/AC89)*AB76*1000)</f>
        <v>0</v>
      </c>
      <c r="AB80" s="105">
        <f>IF(AC89=0, 0, (S80*X80)/(AC89*AB76))</f>
        <v>2.7027027027027026</v>
      </c>
      <c r="AC80" s="97" cm="1">
        <f t="array" ref="AC80">IFERROR(_xlfn.XLOOKUP(UPPER(TRIM(W80)),UPPER(TRIM(S90:AG90)),S91:AG91,_xlfn.XLOOKUP(UPPER(TRIM(W80)),UPPER(TRIM(S92:AG92)),S93:AG93,0))*V80*IF(S80&gt;0,S80,1),0)</f>
        <v>0</v>
      </c>
      <c r="AD80" s="110">
        <f>IF(AF72&lt;&gt;0,S80*X80*X72,0)</f>
        <v>25</v>
      </c>
      <c r="AE80" s="1748" t="str">
        <f t="shared" si="17"/>
        <v>C/s</v>
      </c>
      <c r="AF80" s="99">
        <f>IF(OR(ISBLANK(AF72),AF72=0),0,AC80*X80*X72)</f>
        <v>0</v>
      </c>
      <c r="AG80" s="129" t="str">
        <f>IF(W80="","",IF(COUNTIF(Z90:AG90,SUBSTITUTE(TRIM(W80)," (s)",""))+COUNTIF(Z92:AG92,SUBSTITUTE(TRIM(W80)," (s)",""))&gt;0,IF(ROUND(AF80,3)&gt;=1,ROUND(AF80,3)&amp;" L",MAX(1,ROUND(AF80*100,0))&amp;" cl"),IF(COUNTIF(S90:X90,SUBSTITUTE(TRIM(W80)," (s)",""))+COUNTIF(S92:X92,SUBSTITUTE(TRIM(W80)," (s)",""))&gt;0,IF(ROUND(AF80,3)&gt;=1,ROUND(AF80,3)&amp;" Kg",MAX(1,ROUND(AF80*1000,0))&amp;" g"),"")))</f>
        <v/>
      </c>
      <c r="AJ80" s="103" t="str">
        <f t="shared" si="15"/>
        <v>A</v>
      </c>
      <c r="AK80" s="1616"/>
      <c r="AL80" s="1333" t="s">
        <v>21</v>
      </c>
      <c r="AM80" s="252"/>
      <c r="AN80" s="235" t="s">
        <v>266</v>
      </c>
      <c r="AO80" s="259"/>
      <c r="AP80" s="255"/>
      <c r="AQ80" s="270"/>
      <c r="AR80" s="270"/>
      <c r="AS80" s="271"/>
      <c r="AV80" s="3">
        <v>1</v>
      </c>
    </row>
    <row r="81" spans="2:48" ht="21" customHeight="1" thickBot="1">
      <c r="B81" s="1610" cm="1">
        <f t="array" ref="B81">SUMPRODUCT(LEN(C81:K81))</f>
        <v>0</v>
      </c>
      <c r="C81" s="1810"/>
      <c r="D81" s="1810"/>
      <c r="E81" s="1810"/>
      <c r="F81" s="1810"/>
      <c r="G81" s="1810"/>
      <c r="H81" s="1810"/>
      <c r="I81" s="1810"/>
      <c r="J81" s="1810"/>
      <c r="K81" s="1810"/>
      <c r="L81" s="2126" t="str" cm="1">
        <f t="array" ref="L81">IF(B71&lt;=0,0,ROUNDUP(SUMPRODUCT(LEN(C81:K81))/B71,0))&amp;" ligne(s)"</f>
        <v>0 ligne(s)</v>
      </c>
      <c r="N81" s="103" t="str">
        <f t="shared" si="18"/>
        <v>A</v>
      </c>
      <c r="O81" s="31" t="str">
        <f>O73</f>
        <v>B BEIGNETS D'ACACIA | pâtisserie--Beignets| Auteur &gt; 750 Grammes</v>
      </c>
      <c r="P81" s="32">
        <f>P73</f>
        <v>4</v>
      </c>
      <c r="Q81" s="31" t="str">
        <f>Q73</f>
        <v>personnes</v>
      </c>
      <c r="R81" s="33" t="str">
        <f>R73</f>
        <v>Recette mère ► Beignets d'acacia</v>
      </c>
      <c r="S81" s="89">
        <v>1</v>
      </c>
      <c r="T81" s="108" t="s">
        <v>8274</v>
      </c>
      <c r="U81" s="1363" t="str">
        <f t="shared" si="16"/>
        <v/>
      </c>
      <c r="V81" s="92"/>
      <c r="W81" s="1364"/>
      <c r="X81" s="130">
        <v>1</v>
      </c>
      <c r="Y81" s="1813" t="str">
        <f>ROWS(Y77:Y81)&amp;" ►"</f>
        <v>5 ►</v>
      </c>
      <c r="Z81" s="1580" t="s">
        <v>8275</v>
      </c>
      <c r="AA81" s="95">
        <f>IF(AC89=0,0,(AC81/AC89)*AB76*1000)</f>
        <v>0</v>
      </c>
      <c r="AB81" s="105">
        <f>IF(AC89=0, 0, (S81*X81)/(AC89*AB76))</f>
        <v>1.3513513513513513</v>
      </c>
      <c r="AC81" s="97" cm="1">
        <f t="array" ref="AC81">IFERROR(_xlfn.XLOOKUP(UPPER(TRIM(W81)),UPPER(TRIM(S90:AG90)),S91:AG91,_xlfn.XLOOKUP(UPPER(TRIM(W81)),UPPER(TRIM(S92:AG92)),S93:AG93,0))*V81*IF(S81&gt;0,S81,1),0)</f>
        <v>0</v>
      </c>
      <c r="AD81" s="106">
        <f>IF(AF72&lt;&gt;0,S81*X81*X72,0)</f>
        <v>12.5</v>
      </c>
      <c r="AE81" s="1747" t="str">
        <f t="shared" si="17"/>
        <v>sachet(s)</v>
      </c>
      <c r="AF81" s="99">
        <f>IF(OR(ISBLANK(AF72),AF72=0),0,AC81*X81*X72)</f>
        <v>0</v>
      </c>
      <c r="AG81" s="107" t="str">
        <f>IF(W81="","",IF(COUNTIF(Z90:AG90,SUBSTITUTE(TRIM(W81)," (s)",""))+COUNTIF(Z92:AG92,SUBSTITUTE(TRIM(W81)," (s)",""))&gt;0,IF(ROUND(AF81,3)&gt;=1,ROUND(AF81,3)&amp;" L",MAX(1,ROUND(AF81*100,0))&amp;" cl"),IF(COUNTIF(S90:X90,SUBSTITUTE(TRIM(W81)," (s)",""))+COUNTIF(S92:X92,SUBSTITUTE(TRIM(W81)," (s)",""))&gt;0,IF(ROUND(AF81,3)&gt;=1,ROUND(AF81,3)&amp;" Kg",MAX(1,ROUND(AF81*1000,0))&amp;" g"),"")))</f>
        <v/>
      </c>
      <c r="AJ81" s="103" t="str">
        <f t="shared" si="15"/>
        <v>A</v>
      </c>
      <c r="AK81" s="1616"/>
      <c r="AL81" s="1333" t="s">
        <v>21</v>
      </c>
      <c r="AM81" s="234"/>
      <c r="AN81" s="45"/>
      <c r="AO81" s="45"/>
      <c r="AP81" s="45"/>
      <c r="AQ81" s="45"/>
      <c r="AR81" s="45"/>
      <c r="AS81" s="46"/>
      <c r="AV81" s="3">
        <v>1</v>
      </c>
    </row>
    <row r="82" spans="2:48" ht="21" customHeight="1" thickTop="1">
      <c r="B82" s="1610" cm="1">
        <f t="array" ref="B82">SUMPRODUCT(LEN(C82:K82))</f>
        <v>0</v>
      </c>
      <c r="C82" s="1810"/>
      <c r="D82" s="1810"/>
      <c r="E82" s="1810"/>
      <c r="F82" s="1810"/>
      <c r="G82" s="1810"/>
      <c r="H82" s="1810"/>
      <c r="I82" s="1810"/>
      <c r="J82" s="1810"/>
      <c r="K82" s="1810"/>
      <c r="L82" s="2126" t="str" cm="1">
        <f t="array" ref="L82">IF(B71&lt;=0,0,ROUNDUP(SUMPRODUCT(LEN(C82:K82))/B71,0))&amp;" ligne(s)"</f>
        <v>0 ligne(s)</v>
      </c>
      <c r="N82" s="103" t="str">
        <f t="shared" si="18"/>
        <v>A</v>
      </c>
      <c r="O82" s="31" t="str">
        <f>O73</f>
        <v>B BEIGNETS D'ACACIA | pâtisserie--Beignets| Auteur &gt; 750 Grammes</v>
      </c>
      <c r="P82" s="32">
        <f>P73</f>
        <v>4</v>
      </c>
      <c r="Q82" s="31" t="str">
        <f>Q73</f>
        <v>personnes</v>
      </c>
      <c r="R82" s="33" t="str">
        <f>R73</f>
        <v>Recette mère ► Beignets d'acacia</v>
      </c>
      <c r="S82" s="89">
        <v>20</v>
      </c>
      <c r="T82" s="108" t="s">
        <v>8276</v>
      </c>
      <c r="U82" s="91" t="str">
        <f t="shared" si="16"/>
        <v/>
      </c>
      <c r="V82" s="92"/>
      <c r="W82" s="1364"/>
      <c r="X82" s="130">
        <v>1</v>
      </c>
      <c r="Y82" s="1813" t="str">
        <f>ROWS(Y77:Y82)&amp;" ►"</f>
        <v>6 ►</v>
      </c>
      <c r="Z82" s="1580" t="s">
        <v>8277</v>
      </c>
      <c r="AA82" s="95">
        <f>IF(AC89=0,0,(AC82/AC89)*AB76*1000)</f>
        <v>0</v>
      </c>
      <c r="AB82" s="105">
        <f>IF(AC89=0, 0, (S82*X82)/(AC89*AB76))</f>
        <v>27.027027027027028</v>
      </c>
      <c r="AC82" s="97" cm="1">
        <f t="array" ref="AC82">IFERROR(_xlfn.XLOOKUP(UPPER(TRIM(W82)),UPPER(TRIM(S90:AG90)),S91:AG91,_xlfn.XLOOKUP(UPPER(TRIM(W82)),UPPER(TRIM(S92:AG92)),S93:AG93,0))*V82*IF(S82&gt;0,S82,1),0)</f>
        <v>0</v>
      </c>
      <c r="AD82" s="110">
        <f>IF(AF72&lt;&gt;0,S82*X82*X72,0)</f>
        <v>250</v>
      </c>
      <c r="AE82" s="1748" t="str">
        <f t="shared" si="17"/>
        <v>grappes</v>
      </c>
      <c r="AF82" s="99">
        <f>IF(OR(ISBLANK(AF72),AF72=0),0,AC82*X82*X72)</f>
        <v>0</v>
      </c>
      <c r="AG82" s="129" t="str">
        <f>IF(W82="","",IF(COUNTIF(Z90:AG90,SUBSTITUTE(TRIM(W82)," (s)",""))+COUNTIF(Z92:AG92,SUBSTITUTE(TRIM(W82)," (s)",""))&gt;0,IF(ROUND(AF82,3)&gt;=1,ROUND(AF82,3)&amp;" L",MAX(1,ROUND(AF82*100,0))&amp;" cl"),IF(COUNTIF(S90:X90,SUBSTITUTE(TRIM(W82)," (s)",""))+COUNTIF(S92:X92,SUBSTITUTE(TRIM(W82)," (s)",""))&gt;0,IF(ROUND(AF82,3)&gt;=1,ROUND(AF82,3)&amp;" Kg",MAX(1,ROUND(AF82*1000,0))&amp;" g"),"")))</f>
        <v/>
      </c>
      <c r="AJ82" s="103" t="str">
        <f t="shared" si="15"/>
        <v>A</v>
      </c>
      <c r="AK82" s="1616"/>
      <c r="AL82" s="1333" t="s">
        <v>21</v>
      </c>
      <c r="AM82" s="272" t="s">
        <v>83</v>
      </c>
      <c r="AN82" s="6480" t="s">
        <v>269</v>
      </c>
      <c r="AO82" s="6481"/>
      <c r="AP82" s="6481"/>
      <c r="AQ82" s="6611" t="s">
        <v>270</v>
      </c>
      <c r="AR82" s="6486" t="s">
        <v>271</v>
      </c>
      <c r="AS82" s="6487"/>
      <c r="AV82" s="3">
        <v>1</v>
      </c>
    </row>
    <row r="83" spans="2:48" ht="21" customHeight="1">
      <c r="B83" s="1610" cm="1">
        <f t="array" ref="B83">SUMPRODUCT(LEN(C83:K83))</f>
        <v>0</v>
      </c>
      <c r="C83" s="1810"/>
      <c r="D83" s="1810"/>
      <c r="E83" s="1810"/>
      <c r="F83" s="1810"/>
      <c r="G83" s="1810"/>
      <c r="H83" s="1810"/>
      <c r="I83" s="1810"/>
      <c r="J83" s="1810"/>
      <c r="K83" s="1810"/>
      <c r="L83" s="2126" t="str" cm="1">
        <f t="array" ref="L83">IF(B71&lt;=0,0,ROUNDUP(SUMPRODUCT(LEN(C83:K83))/B71,0))&amp;" ligne(s)"</f>
        <v>0 ligne(s)</v>
      </c>
      <c r="N83" s="103" t="str">
        <f t="shared" si="18"/>
        <v>A</v>
      </c>
      <c r="O83" s="31" t="str">
        <f>O73</f>
        <v>B BEIGNETS D'ACACIA | pâtisserie--Beignets| Auteur &gt; 750 Grammes</v>
      </c>
      <c r="P83" s="32">
        <f>P73</f>
        <v>4</v>
      </c>
      <c r="Q83" s="31" t="str">
        <f>Q73</f>
        <v>personnes</v>
      </c>
      <c r="R83" s="33" t="str">
        <f>R73</f>
        <v>Recette mère ► Beignets d'acacia</v>
      </c>
      <c r="S83" s="89"/>
      <c r="T83" s="108"/>
      <c r="U83" s="1363" t="str">
        <f t="shared" si="16"/>
        <v/>
      </c>
      <c r="V83" s="92">
        <v>20</v>
      </c>
      <c r="W83" s="93" t="s">
        <v>144</v>
      </c>
      <c r="X83" s="130">
        <v>1</v>
      </c>
      <c r="Y83" s="1813" t="str">
        <f>ROWS(Y77:Y83)&amp;" ►"</f>
        <v>7 ►</v>
      </c>
      <c r="Z83" s="1580" t="s">
        <v>8278</v>
      </c>
      <c r="AA83" s="95">
        <f>IF(AC89=0,0,(AC83/AC89)*AB76*1000)</f>
        <v>270.27027027027026</v>
      </c>
      <c r="AB83" s="105">
        <f>IF(AC89=0, 0, (S83*X83)/(AC89*AB76))</f>
        <v>0</v>
      </c>
      <c r="AC83" s="97" cm="1">
        <f t="array" ref="AC83">IFERROR(_xlfn.XLOOKUP(UPPER(TRIM(W83)),UPPER(TRIM(S90:AG90)),S91:AG91,_xlfn.XLOOKUP(UPPER(TRIM(W83)),UPPER(TRIM(S92:AG92)),S93:AG93,0))*V83*IF(S83&gt;0,S83,1),0)</f>
        <v>0.2</v>
      </c>
      <c r="AD83" s="106">
        <f>IF(AF72&lt;&gt;0,S83*X83*X72,0)</f>
        <v>0</v>
      </c>
      <c r="AE83" s="1747">
        <f t="shared" si="17"/>
        <v>0</v>
      </c>
      <c r="AF83" s="99">
        <f>IF(OR(ISBLANK(AF72),AF72=0),0,AC83*X83*X72)</f>
        <v>2.5</v>
      </c>
      <c r="AG83" s="107" t="str">
        <f>IF(W83="","",IF(COUNTIF(Z90:AG90,SUBSTITUTE(TRIM(W83)," (s)",""))+COUNTIF(Z92:AG92,SUBSTITUTE(TRIM(W83)," (s)",""))&gt;0,IF(ROUND(AF83,3)&gt;=1,ROUND(AF83,3)&amp;" L",MAX(1,ROUND(AF83*100,0))&amp;" cl"),IF(COUNTIF(S90:X90,SUBSTITUTE(TRIM(W83)," (s)",""))+COUNTIF(S92:X92,SUBSTITUTE(TRIM(W83)," (s)",""))&gt;0,IF(ROUND(AF83,3)&gt;=1,ROUND(AF83,3)&amp;" Kg",MAX(1,ROUND(AF83*1000,0))&amp;" g"),"")))</f>
        <v>2.5 L</v>
      </c>
      <c r="AJ83" s="103" t="str">
        <f t="shared" si="15"/>
        <v>A</v>
      </c>
      <c r="AK83" s="1616"/>
      <c r="AL83" s="1333" t="s">
        <v>21</v>
      </c>
      <c r="AM83" s="273" t="s">
        <v>95</v>
      </c>
      <c r="AN83" s="6610"/>
      <c r="AO83" s="6483"/>
      <c r="AP83" s="6483"/>
      <c r="AQ83" s="6485"/>
      <c r="AR83" s="6488"/>
      <c r="AS83" s="6489"/>
      <c r="AV83" s="3">
        <v>1</v>
      </c>
    </row>
    <row r="84" spans="2:48" ht="21" customHeight="1">
      <c r="B84" s="1610" cm="1">
        <f t="array" ref="B84">SUMPRODUCT(LEN(C84:K84))</f>
        <v>0</v>
      </c>
      <c r="C84" s="1810"/>
      <c r="D84" s="1810"/>
      <c r="E84" s="1810"/>
      <c r="F84" s="1810"/>
      <c r="G84" s="1810"/>
      <c r="H84" s="1810"/>
      <c r="I84" s="1810"/>
      <c r="J84" s="1810"/>
      <c r="K84" s="1810"/>
      <c r="L84" s="2126" t="str" cm="1">
        <f t="array" ref="L84">IF(B71&lt;=0,0,ROUNDUP(SUMPRODUCT(LEN(C84:K84))/B71,0))&amp;" ligne(s)"</f>
        <v>0 ligne(s)</v>
      </c>
      <c r="N84" s="103" t="str">
        <f t="shared" si="18"/>
        <v>A</v>
      </c>
      <c r="O84" s="31" t="str">
        <f>O73</f>
        <v>B BEIGNETS D'ACACIA | pâtisserie--Beignets| Auteur &gt; 750 Grammes</v>
      </c>
      <c r="P84" s="32">
        <f>P73</f>
        <v>4</v>
      </c>
      <c r="Q84" s="31" t="str">
        <f>Q73</f>
        <v>personnes</v>
      </c>
      <c r="R84" s="33" t="str">
        <f>R73</f>
        <v>Recette mère ► Beignets d'acacia</v>
      </c>
      <c r="S84" s="89">
        <v>2</v>
      </c>
      <c r="T84" s="108" t="s">
        <v>491</v>
      </c>
      <c r="U84" s="91" t="str">
        <f t="shared" si="16"/>
        <v>de</v>
      </c>
      <c r="V84" s="92">
        <v>50</v>
      </c>
      <c r="W84" s="104" t="s">
        <v>100</v>
      </c>
      <c r="X84" s="130">
        <v>1</v>
      </c>
      <c r="Y84" s="1813" t="str">
        <f>ROWS(Y77:Y84)&amp;" ►"</f>
        <v>8 ►</v>
      </c>
      <c r="Z84" s="1580" t="s">
        <v>8280</v>
      </c>
      <c r="AA84" s="95">
        <f>IF(AC89=0,0,(AC84/AC89)*AB76*1000)</f>
        <v>135.13513513513513</v>
      </c>
      <c r="AB84" s="105">
        <f>IF(AC89=0, 0, (S84*X84)/(AC89*AB76))</f>
        <v>2.7027027027027026</v>
      </c>
      <c r="AC84" s="97" cm="1">
        <f t="array" ref="AC84">IFERROR(_xlfn.XLOOKUP(UPPER(TRIM(W84)),UPPER(TRIM(S90:AG90)),S91:AG91,_xlfn.XLOOKUP(UPPER(TRIM(W84)),UPPER(TRIM(S92:AG92)),S93:AG93,0))*V84*IF(S84&gt;0,S84,1),0)</f>
        <v>0.1</v>
      </c>
      <c r="AD84" s="110">
        <f>IF(AF72&lt;&gt;0,S84*X84*X72,0)</f>
        <v>25</v>
      </c>
      <c r="AE84" s="1748" t="str">
        <f t="shared" si="17"/>
        <v>œufs</v>
      </c>
      <c r="AF84" s="99">
        <f>IF(OR(ISBLANK(AF72),AF72=0),0,AC84*X84*X72)</f>
        <v>1.25</v>
      </c>
      <c r="AG84" s="129" t="str">
        <f>IF(W84="","",IF(COUNTIF(Z90:AG90,SUBSTITUTE(TRIM(W84)," (s)",""))+COUNTIF(Z92:AG92,SUBSTITUTE(TRIM(W84)," (s)",""))&gt;0,IF(ROUND(AF84,3)&gt;=1,ROUND(AF84,3)&amp;" L",MAX(1,ROUND(AF84*100,0))&amp;" cl"),IF(COUNTIF(S90:X90,SUBSTITUTE(TRIM(W84)," (s)",""))+COUNTIF(S92:X92,SUBSTITUTE(TRIM(W84)," (s)",""))&gt;0,IF(ROUND(AF84,3)&gt;=1,ROUND(AF84,3)&amp;" Kg",MAX(1,ROUND(AF84*1000,0))&amp;" g"),"")))</f>
        <v>1.25 Kg</v>
      </c>
      <c r="AJ84" s="103" t="str">
        <f t="shared" si="15"/>
        <v>A</v>
      </c>
      <c r="AK84" s="1616"/>
      <c r="AL84" s="1333" t="s">
        <v>21</v>
      </c>
      <c r="AM84" s="274" t="s">
        <v>281</v>
      </c>
      <c r="AN84" s="275">
        <v>1.1100000000000001</v>
      </c>
      <c r="AO84" s="276" t="s">
        <v>282</v>
      </c>
      <c r="AP84" s="277" t="s">
        <v>283</v>
      </c>
      <c r="AQ84" s="278">
        <v>20</v>
      </c>
      <c r="AR84" s="279">
        <v>0.88800000000000012</v>
      </c>
      <c r="AS84" s="280" t="s">
        <v>284</v>
      </c>
      <c r="AV84" s="3">
        <v>1</v>
      </c>
    </row>
    <row r="85" spans="2:48" ht="21" customHeight="1">
      <c r="B85" s="1610" cm="1">
        <f t="array" ref="B85">SUMPRODUCT(LEN(C85:K85))</f>
        <v>0</v>
      </c>
      <c r="C85" s="1810"/>
      <c r="D85" s="1810"/>
      <c r="E85" s="1810"/>
      <c r="F85" s="1810"/>
      <c r="G85" s="1810"/>
      <c r="H85" s="1810"/>
      <c r="I85" s="1810"/>
      <c r="J85" s="1810"/>
      <c r="K85" s="1810"/>
      <c r="L85" s="2126" t="str" cm="1">
        <f t="array" ref="L85">IF(B71&lt;=0,0,ROUNDUP(SUMPRODUCT(LEN(C85:K85))/B71,0))&amp;" ligne(s)"</f>
        <v>0 ligne(s)</v>
      </c>
      <c r="N85" s="103" t="str">
        <f t="shared" si="18"/>
        <v>A</v>
      </c>
      <c r="O85" s="31" t="str">
        <f>O73</f>
        <v>B BEIGNETS D'ACACIA | pâtisserie--Beignets| Auteur &gt; 750 Grammes</v>
      </c>
      <c r="P85" s="32">
        <f>P73</f>
        <v>4</v>
      </c>
      <c r="Q85" s="31" t="str">
        <f>Q73</f>
        <v>personnes</v>
      </c>
      <c r="R85" s="33" t="str">
        <f>R73</f>
        <v>Recette mère ► Beignets d'acacia</v>
      </c>
      <c r="S85" s="89"/>
      <c r="T85" s="108" t="s">
        <v>8252</v>
      </c>
      <c r="U85" s="1363" t="str">
        <f t="shared" si="16"/>
        <v/>
      </c>
      <c r="V85" s="92"/>
      <c r="W85" s="1364"/>
      <c r="X85" s="130">
        <v>1</v>
      </c>
      <c r="Y85" s="1813" t="str">
        <f>ROWS(Y77:Y85)&amp;" ►"</f>
        <v>9 ►</v>
      </c>
      <c r="Z85" s="1580" t="s">
        <v>8282</v>
      </c>
      <c r="AA85" s="95">
        <f>IF(AC89=0,0,(AC85/AC89)*AB76*1000)</f>
        <v>0</v>
      </c>
      <c r="AB85" s="105">
        <f>IF(AC89=0, 0, (S85*X85)/(AC89*AB76))</f>
        <v>0</v>
      </c>
      <c r="AC85" s="97" cm="1">
        <f t="array" ref="AC85">IFERROR(_xlfn.XLOOKUP(UPPER(TRIM(W85)),UPPER(TRIM(S90:AG90)),S91:AG91,_xlfn.XLOOKUP(UPPER(TRIM(W85)),UPPER(TRIM(S92:AG92)),S93:AG93,0))*V85*IF(S85&gt;0,S85,1),0)</f>
        <v>0</v>
      </c>
      <c r="AD85" s="106">
        <f>IF(AF72&lt;&gt;0,S85*X85*X72,0)</f>
        <v>0</v>
      </c>
      <c r="AE85" s="1747" t="str">
        <f t="shared" si="17"/>
        <v>PM</v>
      </c>
      <c r="AF85" s="99">
        <f>IF(OR(ISBLANK(AF72),AF72=0),0,AC85*X85*X72)</f>
        <v>0</v>
      </c>
      <c r="AG85" s="107" t="str">
        <f>IF(W85="","",IF(COUNTIF(Z90:AG90,SUBSTITUTE(TRIM(W85)," (s)",""))+COUNTIF(Z92:AG92,SUBSTITUTE(TRIM(W85)," (s)",""))&gt;0,IF(ROUND(AF85,3)&gt;=1,ROUND(AF85,3)&amp;" L",MAX(1,ROUND(AF85*100,0))&amp;" cl"),IF(COUNTIF(S90:X90,SUBSTITUTE(TRIM(W85)," (s)",""))+COUNTIF(S92:X92,SUBSTITUTE(TRIM(W85)," (s)",""))&gt;0,IF(ROUND(AF85,3)&gt;=1,ROUND(AF85,3)&amp;" Kg",MAX(1,ROUND(AF85*1000,0))&amp;" g"),"")))</f>
        <v/>
      </c>
      <c r="AJ85" s="103" t="str">
        <f t="shared" si="15"/>
        <v>A</v>
      </c>
      <c r="AK85" s="1616"/>
      <c r="AL85" s="1333" t="s">
        <v>21</v>
      </c>
      <c r="AM85" s="274" t="s">
        <v>288</v>
      </c>
      <c r="AN85" s="281">
        <v>0.13319999999999999</v>
      </c>
      <c r="AO85" s="276" t="s">
        <v>289</v>
      </c>
      <c r="AP85" s="277" t="s">
        <v>290</v>
      </c>
      <c r="AQ85" s="278">
        <v>10</v>
      </c>
      <c r="AR85" s="282">
        <v>0.11987999999999999</v>
      </c>
      <c r="AS85" s="283" t="s">
        <v>291</v>
      </c>
      <c r="AV85" s="3">
        <v>1</v>
      </c>
    </row>
    <row r="86" spans="2:48" ht="21" customHeight="1">
      <c r="B86" s="1610" cm="1">
        <f t="array" ref="B86">SUMPRODUCT(LEN(C86:K86))</f>
        <v>0</v>
      </c>
      <c r="C86" s="1810"/>
      <c r="D86" s="1810"/>
      <c r="E86" s="1810"/>
      <c r="F86" s="1810"/>
      <c r="G86" s="1810"/>
      <c r="H86" s="1810"/>
      <c r="I86" s="1810"/>
      <c r="J86" s="1810"/>
      <c r="K86" s="1810"/>
      <c r="L86" s="2126" t="str" cm="1">
        <f t="array" ref="L86">IF(B71&lt;=0,0,ROUNDUP(SUMPRODUCT(LEN(C86:K86))/B71,0))&amp;" ligne(s)"</f>
        <v>0 ligne(s)</v>
      </c>
      <c r="N86" s="103" t="str">
        <f t="shared" si="18"/>
        <v>A</v>
      </c>
      <c r="O86" s="31" t="str">
        <f>O73</f>
        <v>B BEIGNETS D'ACACIA | pâtisserie--Beignets| Auteur &gt; 750 Grammes</v>
      </c>
      <c r="P86" s="32">
        <f>P73</f>
        <v>4</v>
      </c>
      <c r="Q86" s="31" t="str">
        <f>Q73</f>
        <v>personnes</v>
      </c>
      <c r="R86" s="33" t="str">
        <f>R73</f>
        <v>Recette mère ► Beignets d'acacia</v>
      </c>
      <c r="S86" s="89">
        <v>1</v>
      </c>
      <c r="T86" s="108" t="s">
        <v>8283</v>
      </c>
      <c r="U86" s="91" t="str">
        <f t="shared" si="16"/>
        <v/>
      </c>
      <c r="V86" s="92"/>
      <c r="W86" s="1364"/>
      <c r="X86" s="130">
        <v>1</v>
      </c>
      <c r="Y86" s="1813" t="str">
        <f>ROWS(Y77:Y86)&amp;" ►"</f>
        <v>10 ►</v>
      </c>
      <c r="Z86" s="1580" t="s">
        <v>8284</v>
      </c>
      <c r="AA86" s="95">
        <f>IF(AC89=0,0,(AC86/AC89)*AB76*1000)</f>
        <v>0</v>
      </c>
      <c r="AB86" s="105">
        <f>IF(AC89=0, 0, (S86*X86)/(AC89*AB76))</f>
        <v>1.3513513513513513</v>
      </c>
      <c r="AC86" s="97" cm="1">
        <f t="array" ref="AC86">IFERROR(_xlfn.XLOOKUP(UPPER(TRIM(W86)),UPPER(TRIM(S90:AG90)),S91:AG91,_xlfn.XLOOKUP(UPPER(TRIM(W86)),UPPER(TRIM(S92:AG92)),S93:AG93,0))*V86*IF(S86&gt;0,S86,1),0)</f>
        <v>0</v>
      </c>
      <c r="AD86" s="110">
        <f>IF(AF72&lt;&gt;0,S86*X86*X72,0)</f>
        <v>12.5</v>
      </c>
      <c r="AE86" s="1748" t="str">
        <f t="shared" si="17"/>
        <v>pincée(s)</v>
      </c>
      <c r="AF86" s="99">
        <f>IF(OR(ISBLANK(AF72),AF72=0),0,AC86*X86*X72)</f>
        <v>0</v>
      </c>
      <c r="AG86" s="129" t="str">
        <f>IF(W86="","",IF(COUNTIF(Z90:AG90,SUBSTITUTE(TRIM(W86)," (s)",""))+COUNTIF(Z92:AG92,SUBSTITUTE(TRIM(W86)," (s)",""))&gt;0,IF(ROUND(AF86,3)&gt;=1,ROUND(AF86,3)&amp;" L",MAX(1,ROUND(AF86*100,0))&amp;" cl"),IF(COUNTIF(S90:X90,SUBSTITUTE(TRIM(W86)," (s)",""))+COUNTIF(S92:X92,SUBSTITUTE(TRIM(W86)," (s)",""))&gt;0,IF(ROUND(AF86,3)&gt;=1,ROUND(AF86,3)&amp;" Kg",MAX(1,ROUND(AF86*1000,0))&amp;" g"),"")))</f>
        <v/>
      </c>
      <c r="AJ86" s="103" t="str">
        <f t="shared" si="15"/>
        <v>A</v>
      </c>
      <c r="AK86" s="1616"/>
      <c r="AL86" s="1333" t="s">
        <v>21</v>
      </c>
      <c r="AM86" s="274" t="s">
        <v>293</v>
      </c>
      <c r="AN86" s="281">
        <v>8.3249999999999993</v>
      </c>
      <c r="AO86" s="276" t="s">
        <v>294</v>
      </c>
      <c r="AP86" s="277" t="s">
        <v>295</v>
      </c>
      <c r="AQ86" s="278">
        <v>30</v>
      </c>
      <c r="AR86" s="282">
        <v>5.8274999999999997</v>
      </c>
      <c r="AS86" s="283" t="s">
        <v>296</v>
      </c>
      <c r="AV86" s="3">
        <v>1</v>
      </c>
    </row>
    <row r="87" spans="2:48" ht="21" customHeight="1">
      <c r="B87" s="1610" cm="1">
        <f t="array" ref="B87">SUMPRODUCT(LEN(C87:K87))</f>
        <v>0</v>
      </c>
      <c r="C87" s="1810"/>
      <c r="D87" s="1810"/>
      <c r="E87" s="1810"/>
      <c r="F87" s="1810"/>
      <c r="G87" s="1810"/>
      <c r="H87" s="1810"/>
      <c r="I87" s="1810"/>
      <c r="J87" s="1810"/>
      <c r="K87" s="1810"/>
      <c r="L87" s="2126" t="str" cm="1">
        <f t="array" ref="L87">IF(B71&lt;=0,0,ROUNDUP(SUMPRODUCT(LEN(C87:K87))/B71,0))&amp;" ligne(s)"</f>
        <v>0 ligne(s)</v>
      </c>
      <c r="N87" s="103" t="str">
        <f t="shared" si="18"/>
        <v>►</v>
      </c>
      <c r="O87" s="31" t="str">
        <f>O73</f>
        <v>B BEIGNETS D'ACACIA | pâtisserie--Beignets| Auteur &gt; 750 Grammes</v>
      </c>
      <c r="P87" s="32">
        <f>P73</f>
        <v>4</v>
      </c>
      <c r="Q87" s="31" t="str">
        <f>Q73</f>
        <v>personnes</v>
      </c>
      <c r="R87" s="33" t="str">
        <f>R73</f>
        <v>Recette mère ► Beignets d'acacia</v>
      </c>
      <c r="S87" s="89"/>
      <c r="T87" s="108"/>
      <c r="U87" s="91" t="str">
        <f t="shared" ref="U87:U88" si="19">IF(OR(ISTEXT(S87), S87&lt;=0, V87&lt;=0), "", "de")</f>
        <v/>
      </c>
      <c r="V87" s="92"/>
      <c r="W87" s="128"/>
      <c r="X87" s="130">
        <v>1</v>
      </c>
      <c r="Y87" s="1813" t="str">
        <f>ROWS(Y77:Y87)&amp;" ►"</f>
        <v>11 ►</v>
      </c>
      <c r="Z87" s="1580"/>
      <c r="AA87" s="95">
        <f>IF(AC89=0,0,(AC87/AC89)*AB76*1000)</f>
        <v>0</v>
      </c>
      <c r="AB87" s="105">
        <f>IF(AC89=0, 0, (S87*X87)/(AC89*AB76))</f>
        <v>0</v>
      </c>
      <c r="AC87" s="97" cm="1">
        <f t="array" ref="AC87">IFERROR(_xlfn.XLOOKUP(UPPER(TRIM(W87)),UPPER(TRIM(S90:AG90)),S91:AG91,_xlfn.XLOOKUP(UPPER(TRIM(W87)),UPPER(TRIM(S92:AG92)),S93:AG93,0))*V87*IF(S87&gt;0,S87,1),0)</f>
        <v>0</v>
      </c>
      <c r="AD87" s="110">
        <f>IF(AF72&lt;&gt;0,S87*X87*X72,0)</f>
        <v>0</v>
      </c>
      <c r="AE87" s="1748">
        <f t="shared" si="17"/>
        <v>0</v>
      </c>
      <c r="AF87" s="99">
        <f>IF(OR(ISBLANK(AF72),AF72=0),0,AC87*X87*X72)</f>
        <v>0</v>
      </c>
      <c r="AG87" s="129" t="str">
        <f>IF(W87="","",IF(COUNTIF(Z90:AG90,SUBSTITUTE(TRIM(W87)," (s)",""))+COUNTIF(Z92:AG92,SUBSTITUTE(TRIM(W87)," (s)",""))&gt;0,IF(ROUND(AF87,3)&gt;=1,ROUND(AF87,3)&amp;" L",MAX(1,ROUND(AF87*100,0))&amp;" cl"),IF(COUNTIF(S90:X90,SUBSTITUTE(TRIM(W87)," (s)",""))+COUNTIF(S92:X92,SUBSTITUTE(TRIM(W87)," (s)",""))&gt;0,IF(ROUND(AF87,3)&gt;=1,ROUND(AF87,3)&amp;" Kg",MAX(1,ROUND(AF87*1000,0))&amp;" g"),"")))</f>
        <v/>
      </c>
      <c r="AJ87" s="103" t="str">
        <f t="shared" si="15"/>
        <v>►</v>
      </c>
      <c r="AK87" s="1616"/>
      <c r="AL87" s="1333" t="s">
        <v>21</v>
      </c>
      <c r="AM87" s="284"/>
      <c r="AN87" s="285"/>
      <c r="AO87" s="286"/>
      <c r="AP87" s="277"/>
      <c r="AQ87" s="287"/>
      <c r="AR87" s="288"/>
      <c r="AS87" s="289"/>
      <c r="AV87" s="3">
        <v>1</v>
      </c>
    </row>
    <row r="88" spans="2:48" ht="21" customHeight="1">
      <c r="B88" s="1610" cm="1">
        <f t="array" ref="B88">SUMPRODUCT(LEN(C88:K88))</f>
        <v>0</v>
      </c>
      <c r="C88" s="1810"/>
      <c r="D88" s="1810"/>
      <c r="E88" s="1810"/>
      <c r="F88" s="1810"/>
      <c r="G88" s="1810"/>
      <c r="H88" s="1810"/>
      <c r="I88" s="1810"/>
      <c r="J88" s="1810"/>
      <c r="K88" s="1810"/>
      <c r="L88" s="2126" t="str" cm="1">
        <f t="array" ref="L88">IF(B71&lt;=0,0,ROUNDUP(SUMPRODUCT(LEN(C88:K88))/B71,0))&amp;" ligne(s)"</f>
        <v>0 ligne(s)</v>
      </c>
      <c r="N88" s="1635" t="s">
        <v>10</v>
      </c>
      <c r="O88" s="31" t="str">
        <f>O73</f>
        <v>B BEIGNETS D'ACACIA | pâtisserie--Beignets| Auteur &gt; 750 Grammes</v>
      </c>
      <c r="P88" s="32">
        <f>P73</f>
        <v>4</v>
      </c>
      <c r="Q88" s="31" t="str">
        <f>Q73</f>
        <v>personnes</v>
      </c>
      <c r="R88" s="33" t="str">
        <f>R73</f>
        <v>Recette mère ► Beignets d'acacia</v>
      </c>
      <c r="S88" s="1198"/>
      <c r="T88" s="1199"/>
      <c r="U88" s="91" t="str">
        <f t="shared" si="19"/>
        <v/>
      </c>
      <c r="V88" s="1200"/>
      <c r="W88" s="128"/>
      <c r="X88" s="1201">
        <v>1</v>
      </c>
      <c r="Y88" s="1813" t="str">
        <f>ROWS(Y77:Y88)&amp;" ►"</f>
        <v>12 ►</v>
      </c>
      <c r="Z88" s="1580"/>
      <c r="AA88" s="95">
        <f>IF(AC89=0,0,(AC88/AC89)*AB76*1000)</f>
        <v>0</v>
      </c>
      <c r="AB88" s="105">
        <f>IF(AC89=0, 0, (S88*X88)/(AC89*AB76))</f>
        <v>0</v>
      </c>
      <c r="AC88" s="97" cm="1">
        <f t="array" ref="AC88">IFERROR(_xlfn.XLOOKUP(UPPER(TRIM(W88)),UPPER(TRIM(S90:AG90)),S91:AG91,_xlfn.XLOOKUP(UPPER(TRIM(W88)),UPPER(TRIM(S92:AG92)),S93:AG93,0))*V88*IF(S88&gt;0,S88,1),0)</f>
        <v>0</v>
      </c>
      <c r="AD88" s="110">
        <f>IF(AF72&lt;&gt;0,S88*X88*X72,0)</f>
        <v>0</v>
      </c>
      <c r="AE88" s="1748">
        <f t="shared" si="17"/>
        <v>0</v>
      </c>
      <c r="AF88" s="99">
        <f>IF(OR(ISBLANK(AF72),AF72=0),0,AC88*X88*X72)</f>
        <v>0</v>
      </c>
      <c r="AG88" s="129" t="str">
        <f>IF(W88="","",IF(COUNTIF(Z90:AG90,SUBSTITUTE(TRIM(W88)," (s)",""))+COUNTIF(Z92:AG92,SUBSTITUTE(TRIM(W88)," (s)",""))&gt;0,IF(ROUND(AF88,3)&gt;=1,ROUND(AF88,3)&amp;" L",MAX(1,ROUND(AF88*100,0))&amp;" cl"),IF(COUNTIF(S90:X90,SUBSTITUTE(TRIM(W88)," (s)",""))+COUNTIF(S92:X92,SUBSTITUTE(TRIM(W88)," (s)",""))&gt;0,IF(ROUND(AF88,3)&gt;=1,ROUND(AF88,3)&amp;" Kg",MAX(1,ROUND(AF88*1000,0))&amp;" g"),"")))</f>
        <v/>
      </c>
      <c r="AJ88" s="1635" t="str">
        <f t="shared" si="15"/>
        <v>A</v>
      </c>
      <c r="AK88" s="1616"/>
      <c r="AL88" s="1333" t="s">
        <v>21</v>
      </c>
      <c r="AM88" s="264"/>
      <c r="AN88" s="290"/>
      <c r="AO88" s="291"/>
      <c r="AP88" s="290"/>
      <c r="AQ88" s="290"/>
      <c r="AR88" s="290"/>
      <c r="AS88" s="292"/>
      <c r="AV88" s="3">
        <v>1</v>
      </c>
    </row>
    <row r="89" spans="2:48" ht="21" customHeight="1">
      <c r="B89" s="1610" cm="1">
        <f t="array" ref="B89">SUMPRODUCT(LEN(C89:K89))</f>
        <v>0</v>
      </c>
      <c r="C89" s="1810"/>
      <c r="D89" s="1810"/>
      <c r="E89" s="1810"/>
      <c r="F89" s="1810"/>
      <c r="G89" s="1810"/>
      <c r="H89" s="1810"/>
      <c r="I89" s="1810"/>
      <c r="J89" s="1810"/>
      <c r="K89" s="1810"/>
      <c r="L89" s="2126" t="str" cm="1">
        <f t="array" ref="L89">IF(B71&lt;=0,0,ROUNDUP(SUMPRODUCT(LEN(C89:K89))/B71,0))&amp;" ligne(s)"</f>
        <v>0 ligne(s)</v>
      </c>
      <c r="N89" s="1635" t="s">
        <v>10</v>
      </c>
      <c r="O89" s="31" t="str">
        <f>O73</f>
        <v>B BEIGNETS D'ACACIA | pâtisserie--Beignets| Auteur &gt; 750 Grammes</v>
      </c>
      <c r="P89" s="32">
        <f>P73</f>
        <v>4</v>
      </c>
      <c r="Q89" s="31" t="str">
        <f>Q73</f>
        <v>personnes</v>
      </c>
      <c r="R89" s="33" t="str">
        <f>R73</f>
        <v>Recette mère ► Beignets d'acacia</v>
      </c>
      <c r="S89" s="680" t="s">
        <v>8411</v>
      </c>
      <c r="T89" s="474"/>
      <c r="U89" s="474"/>
      <c r="V89" s="474"/>
      <c r="W89" s="474"/>
      <c r="X89" s="681"/>
      <c r="Y89" s="681"/>
      <c r="Z89" s="1984" t="s">
        <v>8652</v>
      </c>
      <c r="AA89" s="682"/>
      <c r="AB89" s="682"/>
      <c r="AC89" s="1197">
        <f>SUM(AC77:AC88)</f>
        <v>0.74</v>
      </c>
      <c r="AD89" s="683"/>
      <c r="AE89" s="683" t="str">
        <f>"Total " &amp; AF74&amp;" &gt;"</f>
        <v>Total Col.19 &gt;</v>
      </c>
      <c r="AF89" s="1835">
        <f>SUM(AF77:AF88)</f>
        <v>9.25</v>
      </c>
      <c r="AG89" s="684"/>
      <c r="AJ89" s="1635" t="str">
        <f t="shared" si="15"/>
        <v>A</v>
      </c>
      <c r="AK89" s="1616"/>
      <c r="AL89" s="1333" t="s">
        <v>21</v>
      </c>
      <c r="AM89" s="44"/>
      <c r="AN89" s="45"/>
      <c r="AO89" s="45"/>
      <c r="AP89" s="45"/>
      <c r="AQ89" s="45"/>
      <c r="AR89" s="45"/>
      <c r="AS89" s="46"/>
      <c r="AV89" s="3">
        <v>1</v>
      </c>
    </row>
    <row r="90" spans="2:48" ht="21" customHeight="1">
      <c r="B90" s="1610" cm="1">
        <f t="array" ref="B90">SUMPRODUCT(LEN(C90:K90))</f>
        <v>0</v>
      </c>
      <c r="C90" s="1810"/>
      <c r="D90" s="1810"/>
      <c r="E90" s="1810"/>
      <c r="F90" s="1810"/>
      <c r="G90" s="1810"/>
      <c r="H90" s="1810"/>
      <c r="I90" s="1810"/>
      <c r="J90" s="1810"/>
      <c r="K90" s="1810"/>
      <c r="L90" s="2126" t="str" cm="1">
        <f t="array" ref="L90">IF(B71&lt;=0,0,ROUNDUP(SUMPRODUCT(LEN(C90:K90))/B71,0))&amp;" ligne(s)"</f>
        <v>0 ligne(s)</v>
      </c>
      <c r="N90" s="1635" t="s">
        <v>10</v>
      </c>
      <c r="O90" s="31" t="str">
        <f>O73</f>
        <v>B BEIGNETS D'ACACIA | pâtisserie--Beignets| Auteur &gt; 750 Grammes</v>
      </c>
      <c r="P90" s="32">
        <f>P73</f>
        <v>4</v>
      </c>
      <c r="Q90" s="31" t="str">
        <f>Q73</f>
        <v>personnes</v>
      </c>
      <c r="R90" s="33" t="str">
        <f>R73</f>
        <v>Recette mère ► Beignets d'acacia</v>
      </c>
      <c r="S90" s="142" t="s">
        <v>140</v>
      </c>
      <c r="T90" s="104" t="s">
        <v>100</v>
      </c>
      <c r="U90" s="143" t="s">
        <v>141</v>
      </c>
      <c r="V90" s="144" t="s">
        <v>142</v>
      </c>
      <c r="W90" s="118" t="s">
        <v>143</v>
      </c>
      <c r="X90" s="118" t="s">
        <v>109</v>
      </c>
      <c r="Y90" s="143" t="s">
        <v>141</v>
      </c>
      <c r="Z90" s="93" t="s">
        <v>0</v>
      </c>
      <c r="AA90" s="93" t="s">
        <v>97</v>
      </c>
      <c r="AB90" s="93" t="s">
        <v>144</v>
      </c>
      <c r="AC90" s="93" t="s">
        <v>145</v>
      </c>
      <c r="AD90" s="109" t="s">
        <v>104</v>
      </c>
      <c r="AE90" s="109" t="s">
        <v>359</v>
      </c>
      <c r="AF90" s="335" t="s">
        <v>146</v>
      </c>
      <c r="AG90" s="109" t="s">
        <v>147</v>
      </c>
      <c r="AJ90" s="1635" t="str">
        <f t="shared" si="15"/>
        <v>A</v>
      </c>
      <c r="AK90" s="1616"/>
      <c r="AL90" s="1333" t="s">
        <v>21</v>
      </c>
      <c r="AM90" s="226"/>
      <c r="AN90" s="293" t="s">
        <v>299</v>
      </c>
      <c r="AO90" s="158"/>
      <c r="AP90" s="158"/>
      <c r="AQ90" s="294"/>
      <c r="AR90" s="268"/>
      <c r="AS90" s="46"/>
      <c r="AV90" s="3">
        <v>1</v>
      </c>
    </row>
    <row r="91" spans="2:48" ht="21" customHeight="1">
      <c r="B91" s="1610" cm="1">
        <f t="array" ref="B91">SUMPRODUCT(LEN(C91:K91))</f>
        <v>0</v>
      </c>
      <c r="C91" s="1810"/>
      <c r="D91" s="1810"/>
      <c r="E91" s="1810"/>
      <c r="F91" s="1810"/>
      <c r="G91" s="1810"/>
      <c r="H91" s="1810"/>
      <c r="I91" s="1810"/>
      <c r="J91" s="1810"/>
      <c r="K91" s="1810"/>
      <c r="L91" s="2126" t="str" cm="1">
        <f t="array" ref="L91">IF(B71&lt;=0,0,ROUNDUP(SUMPRODUCT(LEN(C91:K91))/B71,0))&amp;" ligne(s)"</f>
        <v>0 ligne(s)</v>
      </c>
      <c r="N91" s="1635" t="s">
        <v>10</v>
      </c>
      <c r="O91" s="31" t="str">
        <f>O73</f>
        <v>B BEIGNETS D'ACACIA | pâtisserie--Beignets| Auteur &gt; 750 Grammes</v>
      </c>
      <c r="P91" s="32">
        <f>P73</f>
        <v>4</v>
      </c>
      <c r="Q91" s="31" t="str">
        <f>Q73</f>
        <v>personnes</v>
      </c>
      <c r="R91" s="33" t="str">
        <f>R73</f>
        <v>Recette mère ► Beignets d'acacia</v>
      </c>
      <c r="S91" s="685">
        <v>1</v>
      </c>
      <c r="T91" s="686">
        <v>1E-3</v>
      </c>
      <c r="U91" s="687">
        <v>0</v>
      </c>
      <c r="V91" s="686">
        <v>0.25</v>
      </c>
      <c r="W91" s="686">
        <v>0.33332999999999996</v>
      </c>
      <c r="X91" s="686">
        <v>0.5</v>
      </c>
      <c r="Y91" s="687">
        <v>0</v>
      </c>
      <c r="Z91" s="688">
        <v>1</v>
      </c>
      <c r="AA91" s="688">
        <v>0.1</v>
      </c>
      <c r="AB91" s="688">
        <v>0.01</v>
      </c>
      <c r="AC91" s="688">
        <v>1E-3</v>
      </c>
      <c r="AD91" s="688">
        <v>0.5</v>
      </c>
      <c r="AE91" s="688">
        <v>0.25</v>
      </c>
      <c r="AF91" s="688">
        <v>0.33300000000000002</v>
      </c>
      <c r="AG91" s="1756">
        <v>0.2</v>
      </c>
      <c r="AJ91" s="1635" t="str">
        <f t="shared" si="15"/>
        <v>A</v>
      </c>
      <c r="AK91" s="1616"/>
      <c r="AL91" s="1333" t="s">
        <v>21</v>
      </c>
      <c r="AM91" s="222" t="s">
        <v>208</v>
      </c>
      <c r="AN91" s="268"/>
      <c r="AO91" s="268"/>
      <c r="AP91" s="268"/>
      <c r="AQ91" s="45"/>
      <c r="AR91" s="268"/>
      <c r="AS91" s="46"/>
      <c r="AV91" s="3">
        <v>1</v>
      </c>
    </row>
    <row r="92" spans="2:48" ht="21" customHeight="1" thickBot="1">
      <c r="B92" s="1610" cm="1">
        <f t="array" ref="B92">SUMPRODUCT(LEN(C92:K92))</f>
        <v>67</v>
      </c>
      <c r="C92" s="1810" t="s">
        <v>8279</v>
      </c>
      <c r="D92" s="1810"/>
      <c r="E92" s="1810"/>
      <c r="F92" s="1810"/>
      <c r="G92" s="1810"/>
      <c r="H92" s="1810"/>
      <c r="I92" s="1810"/>
      <c r="J92" s="1810"/>
      <c r="K92" s="1810"/>
      <c r="L92" s="2126" t="str" cm="1">
        <f t="array" ref="L92">IF(B71&lt;=0,0,ROUNDUP(SUMPRODUCT(LEN(C92:K92))/B71,0))&amp;" ligne(s)"</f>
        <v>1 ligne(s)</v>
      </c>
      <c r="N92" s="1635" t="s">
        <v>10</v>
      </c>
      <c r="O92" s="31" t="str">
        <f>O73</f>
        <v>B BEIGNETS D'ACACIA | pâtisserie--Beignets| Auteur &gt; 750 Grammes</v>
      </c>
      <c r="P92" s="32">
        <f>P73</f>
        <v>4</v>
      </c>
      <c r="Q92" s="31" t="str">
        <f>Q73</f>
        <v>personnes</v>
      </c>
      <c r="R92" s="33" t="str">
        <f>R73</f>
        <v>Recette mère ► Beignets d'acacia</v>
      </c>
      <c r="S92" s="121" t="s">
        <v>155</v>
      </c>
      <c r="T92" s="121" t="s">
        <v>156</v>
      </c>
      <c r="U92" s="143" t="s">
        <v>141</v>
      </c>
      <c r="V92" s="121" t="s">
        <v>110</v>
      </c>
      <c r="W92" s="121" t="s">
        <v>157</v>
      </c>
      <c r="X92" s="121" t="s">
        <v>158</v>
      </c>
      <c r="Y92" s="143" t="s">
        <v>141</v>
      </c>
      <c r="Z92" s="125" t="s">
        <v>115</v>
      </c>
      <c r="AA92" s="155" t="s">
        <v>159</v>
      </c>
      <c r="AB92" s="155" t="s">
        <v>160</v>
      </c>
      <c r="AC92" s="109" t="s">
        <v>161</v>
      </c>
      <c r="AD92" s="109" t="s">
        <v>162</v>
      </c>
      <c r="AE92" s="109" t="s">
        <v>105</v>
      </c>
      <c r="AF92" s="1758" t="s">
        <v>1689</v>
      </c>
      <c r="AG92" s="697" t="s">
        <v>163</v>
      </c>
      <c r="AJ92" s="1635" t="str">
        <f t="shared" si="15"/>
        <v>A</v>
      </c>
      <c r="AK92" s="1616"/>
      <c r="AL92" s="1333" t="s">
        <v>21</v>
      </c>
      <c r="AM92" s="226" t="s">
        <v>211</v>
      </c>
      <c r="AN92" s="45"/>
      <c r="AO92" s="45"/>
      <c r="AP92" s="45"/>
      <c r="AQ92" s="45"/>
      <c r="AR92" s="45"/>
      <c r="AS92" s="46"/>
      <c r="AV92" s="3">
        <v>1</v>
      </c>
    </row>
    <row r="93" spans="2:48" ht="21" customHeight="1" thickTop="1">
      <c r="B93" s="1610" cm="1">
        <f t="array" ref="B93">SUMPRODUCT(LEN(C93:K93))</f>
        <v>29</v>
      </c>
      <c r="C93" s="1810" t="s">
        <v>8281</v>
      </c>
      <c r="D93" s="1810"/>
      <c r="E93" s="1810"/>
      <c r="F93" s="1810"/>
      <c r="G93" s="1810"/>
      <c r="H93" s="1810"/>
      <c r="I93" s="1810"/>
      <c r="J93" s="1810"/>
      <c r="K93" s="1810"/>
      <c r="L93" s="2126" t="str" cm="1">
        <f t="array" ref="L93">IF(B71&lt;=0,0,ROUNDUP(SUMPRODUCT(LEN(C93:K93))/B71,0))&amp;" ligne(s)"</f>
        <v>1 ligne(s)</v>
      </c>
      <c r="N93" s="1635" t="s">
        <v>10</v>
      </c>
      <c r="O93" s="31" t="str">
        <f>O73</f>
        <v>B BEIGNETS D'ACACIA | pâtisserie--Beignets| Auteur &gt; 750 Grammes</v>
      </c>
      <c r="P93" s="32">
        <f>P73</f>
        <v>4</v>
      </c>
      <c r="Q93" s="31" t="str">
        <f>Q73</f>
        <v>personnes</v>
      </c>
      <c r="R93" s="33" t="str">
        <f>R73</f>
        <v>Recette mère ► Beignets d'acacia</v>
      </c>
      <c r="S93" s="685">
        <v>2.835E-2</v>
      </c>
      <c r="T93" s="686">
        <v>0.13</v>
      </c>
      <c r="U93" s="687">
        <v>0</v>
      </c>
      <c r="V93" s="686">
        <v>0.2</v>
      </c>
      <c r="W93" s="686">
        <v>0.23</v>
      </c>
      <c r="X93" s="686">
        <v>0.22500000000000001</v>
      </c>
      <c r="Y93" s="687">
        <v>0</v>
      </c>
      <c r="Z93" s="688">
        <v>0.35</v>
      </c>
      <c r="AA93" s="688">
        <v>5.0000000000000001E-3</v>
      </c>
      <c r="AB93" s="688">
        <v>5.0000000000000001E-3</v>
      </c>
      <c r="AC93" s="688">
        <v>1.4999999999999999E-2</v>
      </c>
      <c r="AD93" s="688">
        <v>0.1</v>
      </c>
      <c r="AE93" s="688">
        <v>0.22500000000000001</v>
      </c>
      <c r="AF93" s="688">
        <v>4.0000000000000001E-3</v>
      </c>
      <c r="AG93" s="1757">
        <v>1E-3</v>
      </c>
      <c r="AJ93" s="1635" t="str">
        <f t="shared" si="15"/>
        <v>A</v>
      </c>
      <c r="AK93" s="1616"/>
      <c r="AL93" s="1333" t="s">
        <v>21</v>
      </c>
      <c r="AM93" s="295" t="s">
        <v>78</v>
      </c>
      <c r="AN93" s="296" t="s">
        <v>79</v>
      </c>
      <c r="AO93" s="297"/>
      <c r="AP93" s="6490" t="s">
        <v>80</v>
      </c>
      <c r="AQ93" s="6613" t="s">
        <v>81</v>
      </c>
      <c r="AR93" s="298" t="s">
        <v>83</v>
      </c>
      <c r="AS93" s="46"/>
      <c r="AV93" s="3">
        <v>1</v>
      </c>
    </row>
    <row r="94" spans="2:48" ht="21" customHeight="1">
      <c r="B94" s="1610" cm="1">
        <f t="array" ref="B94">SUMPRODUCT(LEN(C94:K94))</f>
        <v>0</v>
      </c>
      <c r="C94" s="1810"/>
      <c r="D94" s="1810"/>
      <c r="E94" s="1810"/>
      <c r="F94" s="1810"/>
      <c r="G94" s="1810"/>
      <c r="H94" s="1810"/>
      <c r="I94" s="1810"/>
      <c r="J94" s="1810"/>
      <c r="K94" s="1810"/>
      <c r="L94" s="2126" t="str" cm="1">
        <f t="array" ref="L94">IF(B71&lt;=0,0,ROUNDUP(SUMPRODUCT(LEN(C94:K94))/B71,0))&amp;" ligne(s)"</f>
        <v>0 ligne(s)</v>
      </c>
      <c r="N94" s="1635" t="s">
        <v>15</v>
      </c>
      <c r="O94" s="5592" t="str">
        <f t="shared" ref="O94:AG94" si="20">SUBSTITUTE(ADDRESS(1,COLUMN(),4),"1","")</f>
        <v>O</v>
      </c>
      <c r="P94" s="5592" t="str">
        <f t="shared" si="20"/>
        <v>P</v>
      </c>
      <c r="Q94" s="5592" t="str">
        <f t="shared" si="20"/>
        <v>Q</v>
      </c>
      <c r="R94" s="5592" t="str">
        <f t="shared" si="20"/>
        <v>R</v>
      </c>
      <c r="S94" s="5592" t="str">
        <f t="shared" si="20"/>
        <v>S</v>
      </c>
      <c r="T94" s="5592" t="str">
        <f t="shared" si="20"/>
        <v>T</v>
      </c>
      <c r="U94" s="5592" t="str">
        <f t="shared" si="20"/>
        <v>U</v>
      </c>
      <c r="V94" s="5592" t="str">
        <f t="shared" si="20"/>
        <v>V</v>
      </c>
      <c r="W94" s="5592" t="str">
        <f t="shared" si="20"/>
        <v>W</v>
      </c>
      <c r="X94" s="5592" t="str">
        <f t="shared" si="20"/>
        <v>X</v>
      </c>
      <c r="Y94" s="6010" t="str">
        <f t="shared" si="20"/>
        <v>Y</v>
      </c>
      <c r="Z94" s="5594" t="str">
        <f t="shared" si="20"/>
        <v>Z</v>
      </c>
      <c r="AA94" s="5594" t="str">
        <f t="shared" si="20"/>
        <v>AA</v>
      </c>
      <c r="AB94" s="5594" t="str">
        <f t="shared" si="20"/>
        <v>AB</v>
      </c>
      <c r="AC94" s="5594" t="str">
        <f t="shared" si="20"/>
        <v>AC</v>
      </c>
      <c r="AD94" s="6010" t="str">
        <f t="shared" si="20"/>
        <v>AD</v>
      </c>
      <c r="AE94" s="5594" t="str">
        <f t="shared" si="20"/>
        <v>AE</v>
      </c>
      <c r="AF94" s="5594" t="str">
        <f t="shared" si="20"/>
        <v>AF</v>
      </c>
      <c r="AG94" s="6012" t="str">
        <f t="shared" si="20"/>
        <v>AG</v>
      </c>
      <c r="AH94" s="6628" t="s">
        <v>8774</v>
      </c>
      <c r="AJ94" s="1635" t="str">
        <f t="shared" si="15"/>
        <v>►</v>
      </c>
      <c r="AK94" s="1616"/>
      <c r="AL94" s="1333" t="s">
        <v>21</v>
      </c>
      <c r="AM94" s="299" t="s">
        <v>92</v>
      </c>
      <c r="AN94" s="243" t="s">
        <v>93</v>
      </c>
      <c r="AO94" s="91" t="s">
        <v>94</v>
      </c>
      <c r="AP94" s="6612"/>
      <c r="AQ94" s="6614"/>
      <c r="AR94" s="300" t="s">
        <v>95</v>
      </c>
      <c r="AS94" s="46"/>
      <c r="AV94" s="3">
        <v>1</v>
      </c>
    </row>
    <row r="95" spans="2:48" ht="21" customHeight="1">
      <c r="B95" s="1610" cm="1">
        <f t="array" ref="B95">SUMPRODUCT(LEN(C95:K95))</f>
        <v>127</v>
      </c>
      <c r="C95" s="1810" t="s">
        <v>8285</v>
      </c>
      <c r="D95" s="1810"/>
      <c r="E95" s="1810"/>
      <c r="F95" s="1810"/>
      <c r="G95" s="1810"/>
      <c r="H95" s="1810"/>
      <c r="I95" s="1810"/>
      <c r="J95" s="1810"/>
      <c r="K95" s="1810"/>
      <c r="L95" s="2126" t="str" cm="1">
        <f t="array" ref="L95">IF(B71&lt;=0,0,ROUNDUP(SUMPRODUCT(LEN(C95:K95))/B71,0))&amp;" ligne(s)"</f>
        <v>2 ligne(s)</v>
      </c>
      <c r="N95" s="1635" t="s">
        <v>10</v>
      </c>
      <c r="O95" s="5593">
        <f t="shared" ref="O95:AG95" ca="1" si="21">CELL("largeur",O95)</f>
        <v>3</v>
      </c>
      <c r="P95" s="5593">
        <f t="shared" ca="1" si="21"/>
        <v>3</v>
      </c>
      <c r="Q95" s="5593">
        <f t="shared" ca="1" si="21"/>
        <v>3</v>
      </c>
      <c r="R95" s="5593">
        <f t="shared" ca="1" si="21"/>
        <v>5</v>
      </c>
      <c r="S95" s="5593">
        <f t="shared" ca="1" si="21"/>
        <v>12</v>
      </c>
      <c r="T95" s="5593">
        <f t="shared" ca="1" si="21"/>
        <v>12</v>
      </c>
      <c r="U95" s="5593">
        <f t="shared" ca="1" si="21"/>
        <v>3</v>
      </c>
      <c r="V95" s="5593">
        <f t="shared" ca="1" si="21"/>
        <v>9</v>
      </c>
      <c r="W95" s="5593">
        <f t="shared" ca="1" si="21"/>
        <v>12</v>
      </c>
      <c r="X95" s="5593">
        <f t="shared" ca="1" si="21"/>
        <v>9</v>
      </c>
      <c r="Y95" s="6011">
        <f t="shared" ca="1" si="21"/>
        <v>6</v>
      </c>
      <c r="Z95" s="5595">
        <f t="shared" ca="1" si="21"/>
        <v>40</v>
      </c>
      <c r="AA95" s="5595">
        <f t="shared" ca="1" si="21"/>
        <v>10</v>
      </c>
      <c r="AB95" s="5595">
        <f t="shared" ca="1" si="21"/>
        <v>9</v>
      </c>
      <c r="AC95" s="5595">
        <f t="shared" ca="1" si="21"/>
        <v>11</v>
      </c>
      <c r="AD95" s="6011">
        <f t="shared" ca="1" si="21"/>
        <v>13</v>
      </c>
      <c r="AE95" s="5595">
        <f t="shared" ca="1" si="21"/>
        <v>13</v>
      </c>
      <c r="AF95" s="5595">
        <f t="shared" ca="1" si="21"/>
        <v>13</v>
      </c>
      <c r="AG95" s="6013">
        <f t="shared" ca="1" si="21"/>
        <v>17</v>
      </c>
      <c r="AH95" s="6628"/>
      <c r="AJ95" s="1635" t="str">
        <f t="shared" si="15"/>
        <v>A</v>
      </c>
      <c r="AK95" s="1616"/>
      <c r="AL95" s="1333" t="s">
        <v>21</v>
      </c>
      <c r="AM95" s="301">
        <v>0.25</v>
      </c>
      <c r="AN95" s="302" t="s">
        <v>303</v>
      </c>
      <c r="AO95" s="303"/>
      <c r="AP95" s="304"/>
      <c r="AQ95" s="305"/>
      <c r="AR95" s="306" t="s">
        <v>304</v>
      </c>
      <c r="AS95" s="46"/>
      <c r="AV95" s="3">
        <v>1</v>
      </c>
    </row>
    <row r="96" spans="2:48" ht="21" customHeight="1">
      <c r="B96" s="1610" cm="1">
        <f t="array" ref="B96">SUMPRODUCT(LEN(C96:K96))</f>
        <v>168</v>
      </c>
      <c r="C96" s="1810" t="s">
        <v>8286</v>
      </c>
      <c r="D96" s="1810"/>
      <c r="E96" s="1810"/>
      <c r="F96" s="1810"/>
      <c r="G96" s="1810"/>
      <c r="H96" s="1810"/>
      <c r="I96" s="1810"/>
      <c r="J96" s="1810"/>
      <c r="K96" s="1810"/>
      <c r="L96" s="2126" t="str" cm="1">
        <f t="array" ref="L96">IF(B71&lt;=0,0,ROUNDUP(SUMPRODUCT(LEN(C96:K96))/B71,0))&amp;" ligne(s)"</f>
        <v>2 ligne(s)</v>
      </c>
      <c r="N96" s="1642" t="s">
        <v>10</v>
      </c>
      <c r="O96" s="1370" t="str">
        <f>O73</f>
        <v>B BEIGNETS D'ACACIA | pâtisserie--Beignets| Auteur &gt; 750 Grammes</v>
      </c>
      <c r="P96" s="1348">
        <f>P73</f>
        <v>4</v>
      </c>
      <c r="Q96" s="1349" t="str">
        <f>Q73</f>
        <v>personnes</v>
      </c>
      <c r="R96" s="1350" t="str">
        <f>R73</f>
        <v>Recette mère ► Beignets d'acacia</v>
      </c>
      <c r="S96" s="5997" t="str">
        <f ca="1">"largeur de "&amp;Y94&amp;" à "&amp;AG94&amp;" = "&amp;SUM(Y95:AG95)</f>
        <v>largeur de Y à AG = 132</v>
      </c>
      <c r="T96" s="5998"/>
      <c r="U96" s="1986"/>
      <c r="V96" s="1986"/>
      <c r="W96" s="1986"/>
      <c r="X96" s="1987" t="s">
        <v>8145</v>
      </c>
      <c r="Y96" s="1988" t="s">
        <v>821</v>
      </c>
      <c r="Z96" s="1941"/>
      <c r="AA96" s="5999" t="str">
        <f ca="1">"largeur mini  = "&amp;SUM(Y95:AD95)</f>
        <v>largeur mini  = 89</v>
      </c>
      <c r="AB96" s="6000" t="str">
        <f ca="1">"largeur maxi  = "&amp;SUM(Y95:AG95)</f>
        <v>largeur maxi  = 132</v>
      </c>
      <c r="AC96" s="1942"/>
      <c r="AD96" s="1942"/>
      <c r="AE96" s="1989"/>
      <c r="AF96" s="2101"/>
      <c r="AG96" s="1990" t="s">
        <v>218</v>
      </c>
      <c r="AJ96" s="1642" t="str">
        <f t="shared" si="15"/>
        <v>A</v>
      </c>
      <c r="AK96" s="1616"/>
      <c r="AL96" s="1333" t="s">
        <v>21</v>
      </c>
      <c r="AM96" s="301">
        <v>0.5</v>
      </c>
      <c r="AN96" s="302" t="s">
        <v>309</v>
      </c>
      <c r="AO96" s="303"/>
      <c r="AP96" s="304"/>
      <c r="AQ96" s="305"/>
      <c r="AR96" s="306" t="s">
        <v>310</v>
      </c>
      <c r="AS96" s="46"/>
      <c r="AV96" s="3">
        <v>1</v>
      </c>
    </row>
    <row r="97" spans="2:48" ht="21" customHeight="1">
      <c r="B97" s="1610" cm="1">
        <f t="array" ref="B97">SUMPRODUCT(LEN(C97:K97))</f>
        <v>0</v>
      </c>
      <c r="C97" s="1810"/>
      <c r="D97" s="1810"/>
      <c r="E97" s="1810"/>
      <c r="F97" s="1810"/>
      <c r="G97" s="1810"/>
      <c r="H97" s="1810"/>
      <c r="I97" s="1810"/>
      <c r="J97" s="1810"/>
      <c r="K97" s="1810"/>
      <c r="L97" s="2126" t="str" cm="1">
        <f t="array" ref="L97">IF(B71&lt;=0,0,ROUNDUP(SUMPRODUCT(LEN(C97:K97))/B71,0))&amp;" ligne(s)"</f>
        <v>0 ligne(s)</v>
      </c>
      <c r="N97" s="1642" t="s">
        <v>10</v>
      </c>
      <c r="O97" s="163" t="str">
        <f>O73</f>
        <v>B BEIGNETS D'ACACIA | pâtisserie--Beignets| Auteur &gt; 750 Grammes</v>
      </c>
      <c r="P97" s="163">
        <f>P73</f>
        <v>4</v>
      </c>
      <c r="Q97" s="164" t="str">
        <f>Q73</f>
        <v>personnes</v>
      </c>
      <c r="R97" s="165" t="str">
        <f>R73</f>
        <v>Recette mère ► Beignets d'acacia</v>
      </c>
      <c r="S97" s="508"/>
      <c r="T97" s="508"/>
      <c r="U97" s="2063"/>
      <c r="V97" s="2064" t="s">
        <v>8865</v>
      </c>
      <c r="W97" s="2065">
        <f ca="1">SUM(Y95:AG95)</f>
        <v>132</v>
      </c>
      <c r="X97" s="1374">
        <v>0</v>
      </c>
      <c r="Y97" s="1375" t="s">
        <v>8270</v>
      </c>
      <c r="Z97" s="1810"/>
      <c r="AA97" s="1810"/>
      <c r="AB97" s="1810"/>
      <c r="AC97" s="1810"/>
      <c r="AD97" s="1810"/>
      <c r="AE97" s="9"/>
      <c r="AF97" s="5993" t="s">
        <v>164</v>
      </c>
      <c r="AG97" s="1330" t="s">
        <v>165</v>
      </c>
      <c r="AJ97" s="1642" t="str">
        <f t="shared" si="15"/>
        <v>A</v>
      </c>
      <c r="AK97" s="1616"/>
      <c r="AL97" s="1333" t="s">
        <v>21</v>
      </c>
      <c r="AM97" s="301">
        <v>0.75</v>
      </c>
      <c r="AN97" s="302" t="s">
        <v>316</v>
      </c>
      <c r="AO97" s="303"/>
      <c r="AP97" s="304"/>
      <c r="AQ97" s="305"/>
      <c r="AR97" s="306" t="s">
        <v>317</v>
      </c>
      <c r="AS97" s="46"/>
      <c r="AV97" s="3">
        <v>1</v>
      </c>
    </row>
    <row r="98" spans="2:48" ht="21" customHeight="1">
      <c r="B98" s="1610" cm="1">
        <f t="array" ref="B98">SUMPRODUCT(LEN(C98:K98))</f>
        <v>68</v>
      </c>
      <c r="C98" s="1810" t="s">
        <v>8287</v>
      </c>
      <c r="D98" s="1810"/>
      <c r="E98" s="1810"/>
      <c r="F98" s="1810"/>
      <c r="G98" s="1810"/>
      <c r="H98" s="1810"/>
      <c r="I98" s="1810"/>
      <c r="J98" s="1810"/>
      <c r="K98" s="1810"/>
      <c r="L98" s="2126" t="str" cm="1">
        <f t="array" ref="L98">IF(B71&lt;=0,0,ROUNDUP(SUMPRODUCT(LEN(C98:K98))/B71,0))&amp;" ligne(s)"</f>
        <v>1 ligne(s)</v>
      </c>
      <c r="N98" s="1642" t="s">
        <v>10</v>
      </c>
      <c r="O98" s="163" t="str">
        <f>O73</f>
        <v>B BEIGNETS D'ACACIA | pâtisserie--Beignets| Auteur &gt; 750 Grammes</v>
      </c>
      <c r="P98" s="163">
        <f>P73</f>
        <v>4</v>
      </c>
      <c r="Q98" s="164" t="str">
        <f>Q73</f>
        <v>personnes</v>
      </c>
      <c r="R98" s="165" t="str">
        <f>R73</f>
        <v>Recette mère ► Beignets d'acacia</v>
      </c>
      <c r="S98" s="1548"/>
      <c r="T98" s="2189" t="s">
        <v>8771</v>
      </c>
      <c r="U98" s="2190">
        <f>ROWS(Y98:Y98)</f>
        <v>1</v>
      </c>
      <c r="V98" s="5549" t="str" cm="1">
        <f t="array" ref="V98">IF(SUMPRODUCT((Y98:AD98&lt;&gt;"")*1)=0,"",SUMPRODUCT((Y98:AD98&lt;&gt;"")*(LEN(TRIM(SUBSTITUTE(Y98:AD98,CHAR(160)," "))) - LEN(SUBSTITUTE(TRIM(SUBSTITUTE(Y98:AD98,CHAR(160)," "))," ","")) + 1)) &amp; " mot" &amp; IF(SUMPRODUCT((Y98:AD98&lt;&gt;"")*(LEN(TRIM(SUBSTITUTE(Y98:AD98,CHAR(160)," "))) - LEN(SUBSTITUTE(TRIM(SUBSTITUTE(Y98:AD98,CHAR(160)," "))," ","")) + 1))&gt;1,"s",""))</f>
        <v>12 mots</v>
      </c>
      <c r="W98" s="5550" t="str" cm="1">
        <f t="array" ref="W98">SUMPRODUCT(--(Y98:AD98&lt;&gt;""), LEN(TRIM(SUBSTITUTE(Y98:AD98, CHAR(160), "")))) &amp; " Car."</f>
        <v>67 Car.</v>
      </c>
      <c r="X98" s="1376">
        <f>IF(ISBLANK(Y98),"",LARGE(X97:X97,1)+1)</f>
        <v>1</v>
      </c>
      <c r="Y98" s="1810" t="s">
        <v>8279</v>
      </c>
      <c r="Z98" s="1810"/>
      <c r="AA98" s="1810"/>
      <c r="AB98" s="1810"/>
      <c r="AC98" s="1810"/>
      <c r="AD98" s="1810"/>
      <c r="AE98" s="9"/>
      <c r="AF98" s="5993" t="s">
        <v>167</v>
      </c>
      <c r="AG98" s="1330" t="s">
        <v>165</v>
      </c>
      <c r="AJ98" s="1642" t="str">
        <f t="shared" si="15"/>
        <v>A</v>
      </c>
      <c r="AK98" s="1616"/>
      <c r="AL98" s="1333" t="s">
        <v>21</v>
      </c>
      <c r="AM98" s="311">
        <v>2</v>
      </c>
      <c r="AN98" s="312" t="s">
        <v>293</v>
      </c>
      <c r="AO98" s="303"/>
      <c r="AP98" s="304"/>
      <c r="AQ98" s="305"/>
      <c r="AR98" s="306"/>
      <c r="AS98" s="46"/>
      <c r="AV98" s="3">
        <v>1</v>
      </c>
    </row>
    <row r="99" spans="2:48" ht="21" customHeight="1">
      <c r="B99" s="1610" cm="1">
        <f t="array" ref="B99">SUMPRODUCT(LEN(C99:K99))</f>
        <v>132</v>
      </c>
      <c r="C99" s="1810" t="s">
        <v>8288</v>
      </c>
      <c r="D99" s="1810"/>
      <c r="E99" s="1810"/>
      <c r="F99" s="1810"/>
      <c r="G99" s="1810"/>
      <c r="H99" s="1810"/>
      <c r="I99" s="1810"/>
      <c r="J99" s="1810"/>
      <c r="K99" s="1810"/>
      <c r="L99" s="2126" t="str" cm="1">
        <f t="array" ref="L99">IF(B71&lt;=0,0,ROUNDUP(SUMPRODUCT(LEN(C99:K99))/B71,0))&amp;" ligne(s)"</f>
        <v>2 ligne(s)</v>
      </c>
      <c r="N99" s="1642" t="s">
        <v>10</v>
      </c>
      <c r="O99" s="163" t="str">
        <f>O73</f>
        <v>B BEIGNETS D'ACACIA | pâtisserie--Beignets| Auteur &gt; 750 Grammes</v>
      </c>
      <c r="P99" s="163">
        <f>P73</f>
        <v>4</v>
      </c>
      <c r="Q99" s="164" t="str">
        <f>Q73</f>
        <v>personnes</v>
      </c>
      <c r="R99" s="165" t="str">
        <f>R73</f>
        <v>Recette mère ► Beignets d'acacia</v>
      </c>
      <c r="S99" s="1548"/>
      <c r="T99" s="1548"/>
      <c r="U99" s="2190">
        <f>ROWS(Y98:Y99)</f>
        <v>2</v>
      </c>
      <c r="V99" s="5549" t="str" cm="1">
        <f t="array" ref="V99">IF(SUMPRODUCT((Y99:AD99&lt;&gt;"")*1)=0,"",SUMPRODUCT((Y99:AD99&lt;&gt;"")*(LEN(TRIM(SUBSTITUTE(Y99:AD99,CHAR(160)," "))) - LEN(SUBSTITUTE(TRIM(SUBSTITUTE(Y99:AD99,CHAR(160)," "))," ","")) + 1)) &amp; " mot" &amp; IF(SUMPRODUCT((Y99:AD99&lt;&gt;"")*(LEN(TRIM(SUBSTITUTE(Y99:AD99,CHAR(160)," "))) - LEN(SUBSTITUTE(TRIM(SUBSTITUTE(Y99:AD99,CHAR(160)," "))," ","")) + 1))&gt;1,"s",""))</f>
        <v>5 mots</v>
      </c>
      <c r="W99" s="5550" t="str" cm="1">
        <f t="array" ref="W99">SUMPRODUCT(--(Y99:AD99&lt;&gt;""), LEN(TRIM(SUBSTITUTE(Y99:AD99, CHAR(160), "")))) &amp; " Car."</f>
        <v>29 Car.</v>
      </c>
      <c r="X99" s="1376">
        <f>IF(ISBLANK(Y99),"",LARGE(X97:X98,1)+1)</f>
        <v>2</v>
      </c>
      <c r="Y99" s="1810" t="s">
        <v>8281</v>
      </c>
      <c r="Z99" s="1810"/>
      <c r="AA99" s="1810"/>
      <c r="AB99" s="1810"/>
      <c r="AC99" s="1810"/>
      <c r="AD99" s="1810"/>
      <c r="AE99" s="1810"/>
      <c r="AF99" s="5994" t="s">
        <v>171</v>
      </c>
      <c r="AG99" s="5564">
        <v>3.472222222222222E-3</v>
      </c>
      <c r="AJ99" s="1642" t="str">
        <f t="shared" si="15"/>
        <v>A</v>
      </c>
      <c r="AK99" s="1616"/>
      <c r="AL99" s="1333" t="s">
        <v>21</v>
      </c>
      <c r="AM99" s="314"/>
      <c r="AN99" s="315"/>
      <c r="AO99" s="316"/>
      <c r="AP99" s="317"/>
      <c r="AQ99" s="318"/>
      <c r="AR99" s="319"/>
      <c r="AS99" s="46"/>
      <c r="AV99" s="3">
        <v>1</v>
      </c>
    </row>
    <row r="100" spans="2:48" ht="21" customHeight="1">
      <c r="B100" s="1610" cm="1">
        <f t="array" ref="B100">SUMPRODUCT(LEN(C100:K100))</f>
        <v>0</v>
      </c>
      <c r="C100" s="1810"/>
      <c r="D100" s="1810"/>
      <c r="E100" s="1810"/>
      <c r="F100" s="1810"/>
      <c r="G100" s="1810"/>
      <c r="H100" s="1810"/>
      <c r="I100" s="1810"/>
      <c r="J100" s="1810"/>
      <c r="K100" s="1810"/>
      <c r="L100" s="2126" t="str" cm="1">
        <f t="array" ref="L100">IF(B71&lt;=0,0,ROUNDUP(SUMPRODUCT(LEN(C100:K100))/B71,0))&amp;" ligne(s)"</f>
        <v>0 ligne(s)</v>
      </c>
      <c r="N100" s="1642" t="s">
        <v>10</v>
      </c>
      <c r="O100" s="163" t="str">
        <f>O73</f>
        <v>B BEIGNETS D'ACACIA | pâtisserie--Beignets| Auteur &gt; 750 Grammes</v>
      </c>
      <c r="P100" s="163">
        <f>P73</f>
        <v>4</v>
      </c>
      <c r="Q100" s="164" t="str">
        <f>Q73</f>
        <v>personnes</v>
      </c>
      <c r="R100" s="165" t="str">
        <f>R73</f>
        <v>Recette mère ► Beignets d'acacia</v>
      </c>
      <c r="S100" s="1548"/>
      <c r="T100" s="1548"/>
      <c r="U100" s="2190">
        <f>ROWS(Y98:Y100)</f>
        <v>3</v>
      </c>
      <c r="V100" s="5549" t="str" cm="1">
        <f t="array" ref="V100">IF(SUMPRODUCT((Y100:AD100&lt;&gt;"")*1)=0,"",SUMPRODUCT((Y100:AD100&lt;&gt;"")*(LEN(TRIM(SUBSTITUTE(Y100:AD100,CHAR(160)," "))) - LEN(SUBSTITUTE(TRIM(SUBSTITUTE(Y100:AD100,CHAR(160)," "))," ","")) + 1)) &amp; " mot" &amp; IF(SUMPRODUCT((Y100:AD100&lt;&gt;"")*(LEN(TRIM(SUBSTITUTE(Y100:AD100,CHAR(160)," "))) - LEN(SUBSTITUTE(TRIM(SUBSTITUTE(Y100:AD100,CHAR(160)," "))," ","")) + 1))&gt;1,"s",""))</f>
        <v/>
      </c>
      <c r="W100" s="5550" t="str" cm="1">
        <f t="array" ref="W100">SUMPRODUCT(--(Y100:AD100&lt;&gt;""), LEN(TRIM(SUBSTITUTE(Y100:AD100, CHAR(160), "")))) &amp; " Car."</f>
        <v>0 Car.</v>
      </c>
      <c r="X100" s="1376" t="str">
        <f>IF(ISBLANK(Y100),"",LARGE(X97:X99,1)+1)</f>
        <v/>
      </c>
      <c r="Y100" s="1810"/>
      <c r="Z100" s="1810"/>
      <c r="AA100" s="1810"/>
      <c r="AB100" s="1810"/>
      <c r="AC100" s="1810"/>
      <c r="AD100" s="1810"/>
      <c r="AE100" s="1810"/>
      <c r="AF100" s="5994" t="s">
        <v>173</v>
      </c>
      <c r="AG100" s="5565">
        <v>1.0416666666666666E-2</v>
      </c>
      <c r="AJ100" s="1642" t="str">
        <f t="shared" si="15"/>
        <v>A</v>
      </c>
      <c r="AK100" s="1616"/>
      <c r="AL100" s="1333" t="s">
        <v>21</v>
      </c>
      <c r="AM100" s="321" t="s">
        <v>215</v>
      </c>
      <c r="AN100" s="148"/>
      <c r="AO100" s="148"/>
      <c r="AP100" s="45"/>
      <c r="AQ100" s="45"/>
      <c r="AR100" s="45"/>
      <c r="AS100" s="46"/>
      <c r="AV100" s="3">
        <v>1</v>
      </c>
    </row>
    <row r="101" spans="2:48" ht="21" customHeight="1">
      <c r="B101" s="1610" cm="1">
        <f t="array" ref="B101">SUMPRODUCT(LEN(C101:K101))</f>
        <v>33</v>
      </c>
      <c r="C101" s="1810" t="s">
        <v>8289</v>
      </c>
      <c r="D101" s="1810"/>
      <c r="E101" s="1810"/>
      <c r="F101" s="1810"/>
      <c r="G101" s="1810"/>
      <c r="H101" s="1810"/>
      <c r="I101" s="1810"/>
      <c r="J101" s="1810"/>
      <c r="K101" s="1810"/>
      <c r="L101" s="2126" t="str" cm="1">
        <f t="array" ref="L101">IF(B71&lt;=0,0,ROUNDUP(SUMPRODUCT(LEN(C101:K101))/B71,0))&amp;" ligne(s)"</f>
        <v>1 ligne(s)</v>
      </c>
      <c r="N101" s="1642" t="s">
        <v>10</v>
      </c>
      <c r="O101" s="163" t="str">
        <f>O73</f>
        <v>B BEIGNETS D'ACACIA | pâtisserie--Beignets| Auteur &gt; 750 Grammes</v>
      </c>
      <c r="P101" s="163">
        <f>P73</f>
        <v>4</v>
      </c>
      <c r="Q101" s="164" t="str">
        <f>Q73</f>
        <v>personnes</v>
      </c>
      <c r="R101" s="165" t="str">
        <f>R73</f>
        <v>Recette mère ► Beignets d'acacia</v>
      </c>
      <c r="S101" s="1548"/>
      <c r="T101" s="1548"/>
      <c r="U101" s="2190">
        <f>ROWS(Y98:Y101)</f>
        <v>4</v>
      </c>
      <c r="V101" s="5549" t="str" cm="1">
        <f t="array" ref="V101">IF(SUMPRODUCT((Y101:AD101&lt;&gt;"")*1)=0,"",SUMPRODUCT((Y101:AD101&lt;&gt;"")*(LEN(TRIM(SUBSTITUTE(Y101:AD101,CHAR(160)," "))) - LEN(SUBSTITUTE(TRIM(SUBSTITUTE(Y101:AD101,CHAR(160)," "))," ","")) + 1)) &amp; " mot" &amp; IF(SUMPRODUCT((Y101:AD101&lt;&gt;"")*(LEN(TRIM(SUBSTITUTE(Y101:AD101,CHAR(160)," "))) - LEN(SUBSTITUTE(TRIM(SUBSTITUTE(Y101:AD101,CHAR(160)," "))," ","")) + 1))&gt;1,"s",""))</f>
        <v>13 mots</v>
      </c>
      <c r="W101" s="5550" t="str" cm="1">
        <f t="array" ref="W101">SUMPRODUCT(--(Y101:AD101&lt;&gt;""), LEN(TRIM(SUBSTITUTE(Y101:AD101, CHAR(160), "")))) &amp; " Car."</f>
        <v>81 Car.</v>
      </c>
      <c r="X101" s="1376">
        <f>IF(ISBLANK(Y101),"",LARGE(X97:X100,1)+1)</f>
        <v>3</v>
      </c>
      <c r="Y101" s="1810" t="s">
        <v>14166</v>
      </c>
      <c r="Z101" s="1833"/>
      <c r="AA101" s="1810"/>
      <c r="AB101" s="1810"/>
      <c r="AC101" s="1810"/>
      <c r="AD101" s="1810"/>
      <c r="AE101" s="1810"/>
      <c r="AF101" s="5994" t="s">
        <v>181</v>
      </c>
      <c r="AG101" s="178">
        <v>2.0833333333333332E-2</v>
      </c>
      <c r="AJ101" s="1642" t="str">
        <f t="shared" si="15"/>
        <v>A</v>
      </c>
      <c r="AK101" s="1616"/>
      <c r="AL101" s="1333" t="s">
        <v>21</v>
      </c>
      <c r="AM101" s="321"/>
      <c r="AN101" s="148"/>
      <c r="AO101" s="148"/>
      <c r="AP101" s="45"/>
      <c r="AQ101" s="45"/>
      <c r="AR101" s="45"/>
      <c r="AS101" s="46"/>
      <c r="AV101" s="3">
        <v>1</v>
      </c>
    </row>
    <row r="102" spans="2:48" ht="21" customHeight="1">
      <c r="B102" s="1610" cm="1">
        <f t="array" ref="B102">SUMPRODUCT(LEN(C102:K102))</f>
        <v>0</v>
      </c>
      <c r="C102" s="1810"/>
      <c r="D102" s="1810"/>
      <c r="E102" s="1810"/>
      <c r="F102" s="1810"/>
      <c r="G102" s="1810"/>
      <c r="H102" s="1810"/>
      <c r="I102" s="1810"/>
      <c r="J102" s="1810"/>
      <c r="K102" s="1810"/>
      <c r="L102" s="2126" t="str" cm="1">
        <f t="array" ref="L102">IF(B71&lt;=0,0,ROUNDUP(SUMPRODUCT(LEN(C102:K102))/B71,0))&amp;" ligne(s)"</f>
        <v>0 ligne(s)</v>
      </c>
      <c r="N102" s="1642" t="s">
        <v>10</v>
      </c>
      <c r="O102" s="163" t="str">
        <f>O73</f>
        <v>B BEIGNETS D'ACACIA | pâtisserie--Beignets| Auteur &gt; 750 Grammes</v>
      </c>
      <c r="P102" s="163">
        <f>P73</f>
        <v>4</v>
      </c>
      <c r="Q102" s="164" t="str">
        <f>Q73</f>
        <v>personnes</v>
      </c>
      <c r="R102" s="165" t="str">
        <f>R73</f>
        <v>Recette mère ► Beignets d'acacia</v>
      </c>
      <c r="S102" s="1548"/>
      <c r="T102" s="1548"/>
      <c r="U102" s="2190">
        <f>ROWS(Y98:Y102)</f>
        <v>5</v>
      </c>
      <c r="V102" s="5549" t="str" cm="1">
        <f t="array" ref="V102">IF(SUMPRODUCT((Y102:AD102&lt;&gt;"")*1)=0,"",SUMPRODUCT((Y102:AD102&lt;&gt;"")*(LEN(TRIM(SUBSTITUTE(Y102:AD102,CHAR(160)," "))) - LEN(SUBSTITUTE(TRIM(SUBSTITUTE(Y102:AD102,CHAR(160)," "))," ","")) + 1)) &amp; " mot" &amp; IF(SUMPRODUCT((Y102:AD102&lt;&gt;"")*(LEN(TRIM(SUBSTITUTE(Y102:AD102,CHAR(160)," "))) - LEN(SUBSTITUTE(TRIM(SUBSTITUTE(Y102:AD102,CHAR(160)," "))," ","")) + 1))&gt;1,"s",""))</f>
        <v>8 mots</v>
      </c>
      <c r="W102" s="5550" t="str" cm="1">
        <f t="array" ref="W102">SUMPRODUCT(--(Y102:AD102&lt;&gt;""), LEN(TRIM(SUBSTITUTE(Y102:AD102, CHAR(160), "")))) &amp; " Car."</f>
        <v>45 Car.</v>
      </c>
      <c r="X102" s="1376" t="str">
        <f>IF(ISBLANK(Y102),"",LARGE(X97:X101,1)+1)</f>
        <v/>
      </c>
      <c r="Y102" s="1810"/>
      <c r="Z102" s="1810" t="s">
        <v>14167</v>
      </c>
      <c r="AA102" s="1810"/>
      <c r="AB102" s="1810"/>
      <c r="AC102" s="1810"/>
      <c r="AD102" s="1810"/>
      <c r="AE102" s="1810"/>
      <c r="AF102" s="179" t="s">
        <v>182</v>
      </c>
      <c r="AG102" s="180">
        <f>AG99+AG100+AG101</f>
        <v>3.4722222222222224E-2</v>
      </c>
      <c r="AJ102" s="1642" t="str">
        <f t="shared" si="15"/>
        <v>A</v>
      </c>
      <c r="AK102" s="1616"/>
      <c r="AL102" s="1333" t="s">
        <v>21</v>
      </c>
      <c r="AM102" s="322"/>
      <c r="AN102" s="323" t="s">
        <v>331</v>
      </c>
      <c r="AO102" s="148"/>
      <c r="AP102" s="45"/>
      <c r="AQ102" s="45"/>
      <c r="AR102" s="45"/>
      <c r="AS102" s="46"/>
      <c r="AV102" s="3">
        <v>1</v>
      </c>
    </row>
    <row r="103" spans="2:48" ht="21" customHeight="1">
      <c r="B103" s="1610" cm="1">
        <f t="array" ref="B103">SUMPRODUCT(LEN(C103:K103))</f>
        <v>52</v>
      </c>
      <c r="C103" s="1810" t="s">
        <v>8290</v>
      </c>
      <c r="D103" s="1810"/>
      <c r="E103" s="1810"/>
      <c r="F103" s="1810"/>
      <c r="G103" s="1810"/>
      <c r="H103" s="1810"/>
      <c r="I103" s="1810"/>
      <c r="J103" s="1810"/>
      <c r="K103" s="1810"/>
      <c r="L103" s="2126" t="str" cm="1">
        <f t="array" ref="L103">IF(B71&lt;=0,0,ROUNDUP(SUMPRODUCT(LEN(C103:K103))/B71,0))&amp;" ligne(s)"</f>
        <v>1 ligne(s)</v>
      </c>
      <c r="N103" s="1642" t="s">
        <v>10</v>
      </c>
      <c r="O103" s="163" t="str">
        <f>O73</f>
        <v>B BEIGNETS D'ACACIA | pâtisserie--Beignets| Auteur &gt; 750 Grammes</v>
      </c>
      <c r="P103" s="163">
        <f>P73</f>
        <v>4</v>
      </c>
      <c r="Q103" s="164" t="str">
        <f>Q73</f>
        <v>personnes</v>
      </c>
      <c r="R103" s="165" t="str">
        <f>R73</f>
        <v>Recette mère ► Beignets d'acacia</v>
      </c>
      <c r="S103" s="1548"/>
      <c r="T103" s="1548"/>
      <c r="U103" s="2190">
        <f>ROWS(Y98:Y103)</f>
        <v>6</v>
      </c>
      <c r="V103" s="5549" t="str" cm="1">
        <f t="array" ref="V103">IF(SUMPRODUCT((Y103:AD103&lt;&gt;"")*1)=0,"",SUMPRODUCT((Y103:AD103&lt;&gt;"")*(LEN(TRIM(SUBSTITUTE(Y103:AD103,CHAR(160)," "))) - LEN(SUBSTITUTE(TRIM(SUBSTITUTE(Y103:AD103,CHAR(160)," "))," ","")) + 1)) &amp; " mot" &amp; IF(SUMPRODUCT((Y103:AD103&lt;&gt;"")*(LEN(TRIM(SUBSTITUTE(Y103:AD103,CHAR(160)," "))) - LEN(SUBSTITUTE(TRIM(SUBSTITUTE(Y103:AD103,CHAR(160)," "))," ","")) + 1))&gt;1,"s",""))</f>
        <v>22 mots</v>
      </c>
      <c r="W103" s="5550" t="str" cm="1">
        <f t="array" ref="W103">SUMPRODUCT(--(Y103:AD103&lt;&gt;""), LEN(TRIM(SUBSTITUTE(Y103:AD103, CHAR(160), "")))) &amp; " Car."</f>
        <v>119 Car.</v>
      </c>
      <c r="X103" s="1376">
        <f>IF(ISBLANK(Y103),"",LARGE(X97:X102,1)+1)</f>
        <v>4</v>
      </c>
      <c r="Y103" s="1810" t="s">
        <v>8294</v>
      </c>
      <c r="Z103" s="1833"/>
      <c r="AA103" s="1810"/>
      <c r="AB103" s="1810"/>
      <c r="AC103" s="1810"/>
      <c r="AD103" s="1810"/>
      <c r="AE103" s="1810"/>
      <c r="AF103" s="1810"/>
      <c r="AG103" s="1811"/>
      <c r="AJ103" s="1642" t="str">
        <f t="shared" si="15"/>
        <v>A</v>
      </c>
      <c r="AK103" s="1616"/>
      <c r="AL103" s="1333" t="s">
        <v>21</v>
      </c>
      <c r="AM103" s="324" t="s">
        <v>336</v>
      </c>
      <c r="AN103" s="323"/>
      <c r="AO103" s="148"/>
      <c r="AP103" s="45"/>
      <c r="AQ103" s="45"/>
      <c r="AR103" s="45"/>
      <c r="AS103" s="46"/>
      <c r="AV103" s="3">
        <v>1</v>
      </c>
    </row>
    <row r="104" spans="2:48" ht="21" customHeight="1">
      <c r="B104" s="1610" cm="1">
        <f t="array" ref="B104">SUMPRODUCT(LEN(C104:K104))</f>
        <v>13</v>
      </c>
      <c r="C104" s="1810" t="s">
        <v>8291</v>
      </c>
      <c r="D104" s="1810"/>
      <c r="E104" s="1810"/>
      <c r="F104" s="1810"/>
      <c r="G104" s="1810"/>
      <c r="H104" s="1810"/>
      <c r="I104" s="1810"/>
      <c r="J104" s="1810"/>
      <c r="K104" s="1810"/>
      <c r="L104" s="2126" t="str" cm="1">
        <f t="array" ref="L104">IF(B71&lt;=0,0,ROUNDUP(SUMPRODUCT(LEN(C104:K104))/B71,0))&amp;" ligne(s)"</f>
        <v>1 ligne(s)</v>
      </c>
      <c r="N104" s="1642" t="s">
        <v>10</v>
      </c>
      <c r="O104" s="163" t="str">
        <f>O73</f>
        <v>B BEIGNETS D'ACACIA | pâtisserie--Beignets| Auteur &gt; 750 Grammes</v>
      </c>
      <c r="P104" s="163">
        <f>P73</f>
        <v>4</v>
      </c>
      <c r="Q104" s="164" t="str">
        <f>Q73</f>
        <v>personnes</v>
      </c>
      <c r="R104" s="165" t="str">
        <f>R73</f>
        <v>Recette mère ► Beignets d'acacia</v>
      </c>
      <c r="S104" s="1548"/>
      <c r="T104" s="1548"/>
      <c r="U104" s="2190">
        <f>ROWS(Y98:Y104)</f>
        <v>7</v>
      </c>
      <c r="V104" s="5549" t="str" cm="1">
        <f t="array" ref="V104">IF(SUMPRODUCT((Y104:AD104&lt;&gt;"")*1)=0,"",SUMPRODUCT((Y104:AD104&lt;&gt;"")*(LEN(TRIM(SUBSTITUTE(Y104:AD104,CHAR(160)," "))) - LEN(SUBSTITUTE(TRIM(SUBSTITUTE(Y104:AD104,CHAR(160)," "))," ","")) + 1)) &amp; " mot" &amp; IF(SUMPRODUCT((Y104:AD104&lt;&gt;"")*(LEN(TRIM(SUBSTITUTE(Y104:AD104,CHAR(160)," "))) - LEN(SUBSTITUTE(TRIM(SUBSTITUTE(Y104:AD104,CHAR(160)," "))," ","")) + 1))&gt;1,"s",""))</f>
        <v>9 mots</v>
      </c>
      <c r="W104" s="5550" t="str" cm="1">
        <f t="array" ref="W104">SUMPRODUCT(--(Y104:AD104&lt;&gt;""), LEN(TRIM(SUBSTITUTE(Y104:AD104, CHAR(160), "")))) &amp; " Car."</f>
        <v>48 Car.</v>
      </c>
      <c r="X104" s="1376" t="str">
        <f>IF(ISBLANK(Y104),"",LARGE(X97:X103,1)+1)</f>
        <v/>
      </c>
      <c r="Y104" s="1810"/>
      <c r="Z104" s="1810" t="s">
        <v>8295</v>
      </c>
      <c r="AA104" s="1810"/>
      <c r="AB104" s="1810"/>
      <c r="AC104" s="1810"/>
      <c r="AD104" s="1810"/>
      <c r="AE104" s="1810"/>
      <c r="AF104" s="1810"/>
      <c r="AG104" s="1811"/>
      <c r="AJ104" s="1642" t="str">
        <f t="shared" si="15"/>
        <v>A</v>
      </c>
      <c r="AK104" s="1616"/>
      <c r="AL104" s="1333" t="s">
        <v>21</v>
      </c>
      <c r="AM104" s="44"/>
      <c r="AN104" s="325" t="s">
        <v>341</v>
      </c>
      <c r="AO104" s="45"/>
      <c r="AP104" s="45"/>
      <c r="AQ104" s="45"/>
      <c r="AR104" s="45"/>
      <c r="AS104" s="46"/>
      <c r="AV104" s="3">
        <v>1</v>
      </c>
    </row>
    <row r="105" spans="2:48" ht="21" customHeight="1">
      <c r="B105" s="1610" cm="1">
        <f t="array" ref="B105">SUMPRODUCT(LEN(C105:K105))</f>
        <v>0</v>
      </c>
      <c r="C105" s="1810"/>
      <c r="D105" s="1810"/>
      <c r="E105" s="1810"/>
      <c r="F105" s="1810"/>
      <c r="G105" s="1810"/>
      <c r="H105" s="1810"/>
      <c r="I105" s="1810"/>
      <c r="J105" s="1810"/>
      <c r="K105" s="1810"/>
      <c r="L105" s="2126" t="str" cm="1">
        <f t="array" ref="L105">IF(B71&lt;=0,0,ROUNDUP(SUMPRODUCT(LEN(C105:K105))/B71,0))&amp;" ligne(s)"</f>
        <v>0 ligne(s)</v>
      </c>
      <c r="N105" s="1642" t="s">
        <v>10</v>
      </c>
      <c r="O105" s="163" t="str">
        <f>O73</f>
        <v>B BEIGNETS D'ACACIA | pâtisserie--Beignets| Auteur &gt; 750 Grammes</v>
      </c>
      <c r="P105" s="163">
        <f>P73</f>
        <v>4</v>
      </c>
      <c r="Q105" s="164" t="str">
        <f>Q73</f>
        <v>personnes</v>
      </c>
      <c r="R105" s="165" t="str">
        <f>R73</f>
        <v>Recette mère ► Beignets d'acacia</v>
      </c>
      <c r="S105" s="1548"/>
      <c r="T105" s="1548"/>
      <c r="U105" s="2190">
        <f>ROWS(Y98:Y105)</f>
        <v>8</v>
      </c>
      <c r="V105" s="5549" t="str" cm="1">
        <f t="array" ref="V105">IF(SUMPRODUCT((Y105:AD105&lt;&gt;"")*1)=0,"",SUMPRODUCT((Y105:AD105&lt;&gt;"")*(LEN(TRIM(SUBSTITUTE(Y105:AD105,CHAR(160)," "))) - LEN(SUBSTITUTE(TRIM(SUBSTITUTE(Y105:AD105,CHAR(160)," "))," ","")) + 1)) &amp; " mot" &amp; IF(SUMPRODUCT((Y105:AD105&lt;&gt;"")*(LEN(TRIM(SUBSTITUTE(Y105:AD105,CHAR(160)," "))) - LEN(SUBSTITUTE(TRIM(SUBSTITUTE(Y105:AD105,CHAR(160)," "))," ","")) + 1))&gt;1,"s",""))</f>
        <v/>
      </c>
      <c r="W105" s="5550" t="str" cm="1">
        <f t="array" ref="W105">SUMPRODUCT(--(Y105:AD105&lt;&gt;""), LEN(TRIM(SUBSTITUTE(Y105:AD105, CHAR(160), "")))) &amp; " Car."</f>
        <v>0 Car.</v>
      </c>
      <c r="X105" s="1376" t="str">
        <f>IF(ISBLANK(Y105),"",LARGE(X97:X104,1)+1)</f>
        <v/>
      </c>
      <c r="Y105" s="1810"/>
      <c r="Z105" s="1810"/>
      <c r="AA105" s="1810"/>
      <c r="AB105" s="1810"/>
      <c r="AC105" s="1810"/>
      <c r="AD105" s="1810"/>
      <c r="AE105" s="1810"/>
      <c r="AF105" s="1810"/>
      <c r="AG105" s="1811"/>
      <c r="AJ105" s="1642" t="str">
        <f t="shared" si="15"/>
        <v>A</v>
      </c>
      <c r="AK105" s="1616"/>
      <c r="AL105" s="1333" t="s">
        <v>21</v>
      </c>
      <c r="AM105" s="327" t="s">
        <v>344</v>
      </c>
      <c r="AN105" s="45"/>
      <c r="AO105" s="45"/>
      <c r="AP105" s="45"/>
      <c r="AQ105" s="45"/>
      <c r="AR105" s="45"/>
      <c r="AS105" s="46"/>
      <c r="AV105" s="3">
        <v>1</v>
      </c>
    </row>
    <row r="106" spans="2:48" ht="21" customHeight="1" thickBot="1">
      <c r="B106" s="1610" cm="1">
        <f t="array" ref="B106">SUMPRODUCT(LEN(C106:K106))</f>
        <v>104</v>
      </c>
      <c r="C106" s="1810" t="s">
        <v>8292</v>
      </c>
      <c r="D106" s="1810"/>
      <c r="E106" s="1810"/>
      <c r="F106" s="1810"/>
      <c r="G106" s="1810"/>
      <c r="H106" s="1810"/>
      <c r="I106" s="1810"/>
      <c r="J106" s="1810"/>
      <c r="K106" s="1810"/>
      <c r="L106" s="2126" t="str" cm="1">
        <f t="array" ref="L106">IF(B71&lt;=0,0,ROUNDUP(SUMPRODUCT(LEN(C106:K106))/B71,0))&amp;" ligne(s)"</f>
        <v>2 ligne(s)</v>
      </c>
      <c r="N106" s="1642" t="s">
        <v>10</v>
      </c>
      <c r="O106" s="163" t="str">
        <f>O73</f>
        <v>B BEIGNETS D'ACACIA | pâtisserie--Beignets| Auteur &gt; 750 Grammes</v>
      </c>
      <c r="P106" s="163">
        <f>P73</f>
        <v>4</v>
      </c>
      <c r="Q106" s="164" t="str">
        <f>Q73</f>
        <v>personnes</v>
      </c>
      <c r="R106" s="165" t="str">
        <f>R73</f>
        <v>Recette mère ► Beignets d'acacia</v>
      </c>
      <c r="S106" s="1548"/>
      <c r="T106" s="1548"/>
      <c r="U106" s="2190">
        <f>ROWS(Y98:Y106)</f>
        <v>9</v>
      </c>
      <c r="V106" s="5549" t="str" cm="1">
        <f t="array" ref="V106">IF(SUMPRODUCT((Y106:AD106&lt;&gt;"")*1)=0,"",SUMPRODUCT((Y106:AD106&lt;&gt;"")*(LEN(TRIM(SUBSTITUTE(Y106:AD106,CHAR(160)," "))) - LEN(SUBSTITUTE(TRIM(SUBSTITUTE(Y106:AD106,CHAR(160)," "))," ","")) + 1)) &amp; " mot" &amp; IF(SUMPRODUCT((Y106:AD106&lt;&gt;"")*(LEN(TRIM(SUBSTITUTE(Y106:AD106,CHAR(160)," "))) - LEN(SUBSTITUTE(TRIM(SUBSTITUTE(Y106:AD106,CHAR(160)," "))," ","")) + 1))&gt;1,"s",""))</f>
        <v>11 mots</v>
      </c>
      <c r="W106" s="5550" t="str" cm="1">
        <f t="array" ref="W106">SUMPRODUCT(--(Y106:AD106&lt;&gt;""), LEN(TRIM(SUBSTITUTE(Y106:AD106, CHAR(160), "")))) &amp; " Car."</f>
        <v>67 Car.</v>
      </c>
      <c r="X106" s="1376">
        <f>IF(ISBLANK(Y106),"",LARGE(X97:X105,1)+1)</f>
        <v>5</v>
      </c>
      <c r="Y106" s="1810" t="s">
        <v>8287</v>
      </c>
      <c r="Z106" s="1810"/>
      <c r="AA106" s="1810"/>
      <c r="AB106" s="1810"/>
      <c r="AC106" s="1810"/>
      <c r="AD106" s="1810"/>
      <c r="AE106" s="1810"/>
      <c r="AF106" s="1810"/>
      <c r="AG106" s="1811"/>
      <c r="AJ106" s="1642" t="str">
        <f t="shared" si="15"/>
        <v>A</v>
      </c>
      <c r="AK106" s="1616"/>
      <c r="AL106" s="1333" t="s">
        <v>21</v>
      </c>
      <c r="AM106" s="44"/>
      <c r="AN106" s="45"/>
      <c r="AO106" s="45"/>
      <c r="AP106" s="45"/>
      <c r="AQ106" s="45"/>
      <c r="AR106" s="45"/>
      <c r="AS106" s="46"/>
      <c r="AV106" s="3">
        <v>1</v>
      </c>
    </row>
    <row r="107" spans="2:48" ht="21" customHeight="1" thickTop="1">
      <c r="B107" s="1610" cm="1">
        <f t="array" ref="B107">SUMPRODUCT(LEN(C107:K107))</f>
        <v>71</v>
      </c>
      <c r="C107" s="1810" t="s">
        <v>8293</v>
      </c>
      <c r="D107" s="1810"/>
      <c r="E107" s="1810"/>
      <c r="F107" s="1810"/>
      <c r="G107" s="1810"/>
      <c r="H107" s="1810"/>
      <c r="I107" s="1810"/>
      <c r="J107" s="1810"/>
      <c r="K107" s="1810"/>
      <c r="L107" s="2126" t="str" cm="1">
        <f t="array" ref="L107">IF(B71&lt;=0,0,ROUNDUP(SUMPRODUCT(LEN(C107:K107))/B71,0))&amp;" ligne(s)"</f>
        <v>1 ligne(s)</v>
      </c>
      <c r="N107" s="1642" t="s">
        <v>10</v>
      </c>
      <c r="O107" s="163" t="str">
        <f>O73</f>
        <v>B BEIGNETS D'ACACIA | pâtisserie--Beignets| Auteur &gt; 750 Grammes</v>
      </c>
      <c r="P107" s="163">
        <f>P73</f>
        <v>4</v>
      </c>
      <c r="Q107" s="164" t="str">
        <f>Q73</f>
        <v>personnes</v>
      </c>
      <c r="R107" s="165" t="str">
        <f>R73</f>
        <v>Recette mère ► Beignets d'acacia</v>
      </c>
      <c r="S107" s="1548"/>
      <c r="T107" s="1548"/>
      <c r="U107" s="2190">
        <f>ROWS(Y98:Y107)</f>
        <v>10</v>
      </c>
      <c r="V107" s="5549" t="str" cm="1">
        <f t="array" ref="V107">IF(SUMPRODUCT((Y107:AD107&lt;&gt;"")*1)=0,"",SUMPRODUCT((Y107:AD107&lt;&gt;"")*(LEN(TRIM(SUBSTITUTE(Y107:AD107,CHAR(160)," "))) - LEN(SUBSTITUTE(TRIM(SUBSTITUTE(Y107:AD107,CHAR(160)," "))," ","")) + 1)) &amp; " mot" &amp; IF(SUMPRODUCT((Y107:AD107&lt;&gt;"")*(LEN(TRIM(SUBSTITUTE(Y107:AD107,CHAR(160)," "))) - LEN(SUBSTITUTE(TRIM(SUBSTITUTE(Y107:AD107,CHAR(160)," "))," ","")) + 1))&gt;1,"s",""))</f>
        <v>16 mots</v>
      </c>
      <c r="W107" s="5550" t="str" cm="1">
        <f t="array" ref="W107">SUMPRODUCT(--(Y107:AD107&lt;&gt;""), LEN(TRIM(SUBSTITUTE(Y107:AD107, CHAR(160), "")))) &amp; " Car."</f>
        <v>91 Car.</v>
      </c>
      <c r="X107" s="1376">
        <f>IF(ISBLANK(Y107),"",LARGE(X97:X106,1)+1)</f>
        <v>6</v>
      </c>
      <c r="Y107" s="1810" t="s">
        <v>8296</v>
      </c>
      <c r="Z107" s="1810"/>
      <c r="AA107" s="1810"/>
      <c r="AB107" s="1810"/>
      <c r="AC107" s="1810"/>
      <c r="AD107" s="1810"/>
      <c r="AE107" s="1810"/>
      <c r="AF107" s="1810"/>
      <c r="AG107" s="1811"/>
      <c r="AJ107" s="1642" t="str">
        <f t="shared" si="15"/>
        <v>A</v>
      </c>
      <c r="AK107" s="1616"/>
      <c r="AL107" s="1333" t="s">
        <v>21</v>
      </c>
      <c r="AM107" s="44"/>
      <c r="AN107" s="6497" t="s">
        <v>351</v>
      </c>
      <c r="AO107" s="6498"/>
      <c r="AP107" s="6496" t="s">
        <v>352</v>
      </c>
      <c r="AQ107" s="6496"/>
      <c r="AR107" s="45"/>
      <c r="AS107" s="46"/>
      <c r="AV107" s="3">
        <v>1</v>
      </c>
    </row>
    <row r="108" spans="2:48" ht="21" customHeight="1">
      <c r="B108" s="1610" cm="1">
        <f t="array" ref="B108">SUMPRODUCT(LEN(C108:K108))</f>
        <v>0</v>
      </c>
      <c r="C108" s="1810"/>
      <c r="D108" s="1810"/>
      <c r="E108" s="1810"/>
      <c r="F108" s="1810"/>
      <c r="G108" s="1810"/>
      <c r="H108" s="1810"/>
      <c r="I108" s="1810"/>
      <c r="J108" s="1810"/>
      <c r="K108" s="1810"/>
      <c r="L108" s="2126" t="str" cm="1">
        <f t="array" ref="L108">IF(B71&lt;=0,0,ROUNDUP(SUMPRODUCT(LEN(C108:K108))/B71,0))&amp;" ligne(s)"</f>
        <v>0 ligne(s)</v>
      </c>
      <c r="N108" s="1642" t="s">
        <v>10</v>
      </c>
      <c r="O108" s="163" t="str">
        <f>O73</f>
        <v>B BEIGNETS D'ACACIA | pâtisserie--Beignets| Auteur &gt; 750 Grammes</v>
      </c>
      <c r="P108" s="1943">
        <f>P73</f>
        <v>4</v>
      </c>
      <c r="Q108" s="164" t="str">
        <f>Q73</f>
        <v>personnes</v>
      </c>
      <c r="R108" s="165" t="str">
        <f>R73</f>
        <v>Recette mère ► Beignets d'acacia</v>
      </c>
      <c r="S108" s="1548"/>
      <c r="T108" s="1548"/>
      <c r="U108" s="2190">
        <f>ROWS(Y98:Y108)</f>
        <v>11</v>
      </c>
      <c r="V108" s="5549" t="str" cm="1">
        <f t="array" ref="V108">IF(SUMPRODUCT((Y108:AD108&lt;&gt;"")*1)=0,"",SUMPRODUCT((Y108:AD108&lt;&gt;"")*(LEN(TRIM(SUBSTITUTE(Y108:AD108,CHAR(160)," "))) - LEN(SUBSTITUTE(TRIM(SUBSTITUTE(Y108:AD108,CHAR(160)," "))," ","")) + 1)) &amp; " mot" &amp; IF(SUMPRODUCT((Y108:AD108&lt;&gt;"")*(LEN(TRIM(SUBSTITUTE(Y108:AD108,CHAR(160)," "))) - LEN(SUBSTITUTE(TRIM(SUBSTITUTE(Y108:AD108,CHAR(160)," "))," ","")) + 1))&gt;1,"s",""))</f>
        <v>6 mots</v>
      </c>
      <c r="W108" s="5550" t="str" cm="1">
        <f t="array" ref="W108">SUMPRODUCT(--(Y108:AD108&lt;&gt;""), LEN(TRIM(SUBSTITUTE(Y108:AD108, CHAR(160), "")))) &amp; " Car."</f>
        <v>40 Car.</v>
      </c>
      <c r="X108" s="1376" t="str">
        <f>IF(ISBLANK(Y108),"",LARGE(X97:X107,1)+1)</f>
        <v/>
      </c>
      <c r="Y108" s="1810"/>
      <c r="Z108" s="1810" t="s">
        <v>8297</v>
      </c>
      <c r="AA108" s="1810"/>
      <c r="AB108" s="1810"/>
      <c r="AC108" s="1810"/>
      <c r="AD108" s="1810"/>
      <c r="AE108" s="1810"/>
      <c r="AF108" s="1810"/>
      <c r="AG108" s="1811"/>
      <c r="AJ108" s="1642" t="str">
        <f t="shared" si="15"/>
        <v>A</v>
      </c>
      <c r="AK108" s="1616"/>
      <c r="AL108" s="1333" t="s">
        <v>21</v>
      </c>
      <c r="AM108" s="44"/>
      <c r="AN108" s="335" t="s">
        <v>104</v>
      </c>
      <c r="AO108" s="336" t="s">
        <v>359</v>
      </c>
      <c r="AP108" s="337" t="s">
        <v>360</v>
      </c>
      <c r="AQ108" s="338" t="s">
        <v>361</v>
      </c>
      <c r="AR108" s="45"/>
      <c r="AS108" s="46"/>
      <c r="AV108" s="3">
        <v>1</v>
      </c>
    </row>
    <row r="109" spans="2:48" ht="21" customHeight="1">
      <c r="B109" s="1610" cm="1">
        <f t="array" ref="B109">SUMPRODUCT(LEN(C109:K109))</f>
        <v>0</v>
      </c>
      <c r="C109" s="1810"/>
      <c r="D109" s="1810"/>
      <c r="E109" s="1810"/>
      <c r="F109" s="1810"/>
      <c r="G109" s="1810"/>
      <c r="H109" s="1810"/>
      <c r="I109" s="1810"/>
      <c r="J109" s="1810"/>
      <c r="K109" s="1810"/>
      <c r="L109" s="2126" t="str" cm="1">
        <f t="array" ref="L109">IF(B71&lt;=0,0,ROUNDUP(SUMPRODUCT(LEN(C109:K109))/B71,0))&amp;" ligne(s)"</f>
        <v>0 ligne(s)</v>
      </c>
      <c r="N109" s="1642" t="s">
        <v>10</v>
      </c>
      <c r="O109" s="163" t="str">
        <f>O73</f>
        <v>B BEIGNETS D'ACACIA | pâtisserie--Beignets| Auteur &gt; 750 Grammes</v>
      </c>
      <c r="P109" s="163">
        <f>P73</f>
        <v>4</v>
      </c>
      <c r="Q109" s="164" t="str">
        <f>Q73</f>
        <v>personnes</v>
      </c>
      <c r="R109" s="165" t="str">
        <f>R73</f>
        <v>Recette mère ► Beignets d'acacia</v>
      </c>
      <c r="S109" s="1548"/>
      <c r="T109" s="1548"/>
      <c r="U109" s="2190">
        <f>ROWS(Y98:Y109)</f>
        <v>12</v>
      </c>
      <c r="V109" s="5549" t="str" cm="1">
        <f t="array" ref="V109">IF(SUMPRODUCT((Y109:AD109&lt;&gt;"")*1)=0,"",SUMPRODUCT((Y109:AD109&lt;&gt;"")*(LEN(TRIM(SUBSTITUTE(Y109:AD109,CHAR(160)," "))) - LEN(SUBSTITUTE(TRIM(SUBSTITUTE(Y109:AD109,CHAR(160)," "))," ","")) + 1)) &amp; " mot" &amp; IF(SUMPRODUCT((Y109:AD109&lt;&gt;"")*(LEN(TRIM(SUBSTITUTE(Y109:AD109,CHAR(160)," "))) - LEN(SUBSTITUTE(TRIM(SUBSTITUTE(Y109:AD109,CHAR(160)," "))," ","")) + 1))&gt;1,"s",""))</f>
        <v>5 mots</v>
      </c>
      <c r="W109" s="5550" t="str" cm="1">
        <f t="array" ref="W109">SUMPRODUCT(--(Y109:AD109&lt;&gt;""), LEN(TRIM(SUBSTITUTE(Y109:AD109, CHAR(160), "")))) &amp; " Car."</f>
        <v>33 Car.</v>
      </c>
      <c r="X109" s="1376">
        <f>IF(ISBLANK(Y109),"",LARGE(X97:X108,1)+1)</f>
        <v>7</v>
      </c>
      <c r="Y109" s="1810" t="s">
        <v>8289</v>
      </c>
      <c r="Z109" s="1810"/>
      <c r="AA109" s="1810"/>
      <c r="AB109" s="1810"/>
      <c r="AC109" s="1810"/>
      <c r="AD109" s="1810"/>
      <c r="AE109" s="1810"/>
      <c r="AF109" s="1810"/>
      <c r="AG109" s="1811"/>
      <c r="AJ109" s="1642" t="str">
        <f t="shared" si="15"/>
        <v>A</v>
      </c>
      <c r="AK109" s="1616"/>
      <c r="AL109" s="1333" t="s">
        <v>21</v>
      </c>
      <c r="AM109" s="44"/>
      <c r="AN109" s="339">
        <v>0.25</v>
      </c>
      <c r="AO109" s="340">
        <v>0.5</v>
      </c>
      <c r="AP109" s="341" t="s">
        <v>364</v>
      </c>
      <c r="AQ109" s="342"/>
      <c r="AR109" s="45"/>
      <c r="AS109" s="46"/>
      <c r="AV109" s="3">
        <v>1</v>
      </c>
    </row>
    <row r="110" spans="2:48" ht="21" customHeight="1">
      <c r="B110" s="1610" cm="1">
        <f t="array" ref="B110">SUMPRODUCT(LEN(C110:K110))</f>
        <v>0</v>
      </c>
      <c r="C110" s="1810"/>
      <c r="D110" s="1810"/>
      <c r="E110" s="1810"/>
      <c r="F110" s="1810"/>
      <c r="G110" s="1810"/>
      <c r="H110" s="1810"/>
      <c r="I110" s="1810"/>
      <c r="J110" s="1810"/>
      <c r="K110" s="1810"/>
      <c r="L110" s="2126" t="str" cm="1">
        <f t="array" ref="L110">IF(B71&lt;=0,0,ROUNDUP(SUMPRODUCT(LEN(C110:K110))/B71,0))&amp;" ligne(s)"</f>
        <v>0 ligne(s)</v>
      </c>
      <c r="N110" s="1642" t="s">
        <v>10</v>
      </c>
      <c r="O110" s="163" t="str">
        <f>O73</f>
        <v>B BEIGNETS D'ACACIA | pâtisserie--Beignets| Auteur &gt; 750 Grammes</v>
      </c>
      <c r="P110" s="163">
        <f>P73</f>
        <v>4</v>
      </c>
      <c r="Q110" s="164" t="str">
        <f>Q73</f>
        <v>personnes</v>
      </c>
      <c r="R110" s="165" t="str">
        <f>R73</f>
        <v>Recette mère ► Beignets d'acacia</v>
      </c>
      <c r="S110" s="1548"/>
      <c r="T110" s="1548"/>
      <c r="U110" s="2190">
        <f>ROWS(Y98:Y110)</f>
        <v>13</v>
      </c>
      <c r="V110" s="5549" t="str" cm="1">
        <f t="array" ref="V110">IF(SUMPRODUCT((Y110:AD110&lt;&gt;"")*1)=0,"",SUMPRODUCT((Y110:AD110&lt;&gt;"")*(LEN(TRIM(SUBSTITUTE(Y110:AD110,CHAR(160)," "))) - LEN(SUBSTITUTE(TRIM(SUBSTITUTE(Y110:AD110,CHAR(160)," "))," ","")) + 1)) &amp; " mot" &amp; IF(SUMPRODUCT((Y110:AD110&lt;&gt;"")*(LEN(TRIM(SUBSTITUTE(Y110:AD110,CHAR(160)," "))) - LEN(SUBSTITUTE(TRIM(SUBSTITUTE(Y110:AD110,CHAR(160)," "))," ","")) + 1))&gt;1,"s",""))</f>
        <v/>
      </c>
      <c r="W110" s="5550" t="str" cm="1">
        <f t="array" ref="W110">SUMPRODUCT(--(Y110:AD110&lt;&gt;""), LEN(TRIM(SUBSTITUTE(Y110:AD110, CHAR(160), "")))) &amp; " Car."</f>
        <v>0 Car.</v>
      </c>
      <c r="X110" s="1376" t="str">
        <f>IF(ISBLANK(Y110),"",LARGE(X97:X109,1)+1)</f>
        <v/>
      </c>
      <c r="Y110" s="1810"/>
      <c r="Z110" s="1810"/>
      <c r="AA110" s="1810"/>
      <c r="AB110" s="1810"/>
      <c r="AC110" s="1810"/>
      <c r="AD110" s="1810"/>
      <c r="AE110" s="1810"/>
      <c r="AF110" s="1810"/>
      <c r="AG110" s="1811"/>
      <c r="AJ110" s="1642" t="str">
        <f t="shared" si="15"/>
        <v>A</v>
      </c>
      <c r="AK110" s="1616"/>
      <c r="AL110" s="1333" t="s">
        <v>21</v>
      </c>
      <c r="AM110" s="44"/>
      <c r="AN110" s="343" t="s">
        <v>366</v>
      </c>
      <c r="AO110" s="344" t="s">
        <v>367</v>
      </c>
      <c r="AP110" s="337" t="s">
        <v>368</v>
      </c>
      <c r="AQ110" s="345" t="s">
        <v>369</v>
      </c>
      <c r="AR110" s="45"/>
      <c r="AS110" s="46"/>
      <c r="AV110" s="3">
        <v>1</v>
      </c>
    </row>
    <row r="111" spans="2:48" ht="21" customHeight="1">
      <c r="B111" s="1610" cm="1">
        <f t="array" ref="B111">SUMPRODUCT(LEN(C111:K111))</f>
        <v>0</v>
      </c>
      <c r="C111" s="1810"/>
      <c r="D111" s="1810"/>
      <c r="E111" s="1810"/>
      <c r="F111" s="1810"/>
      <c r="G111" s="1810"/>
      <c r="H111" s="1810"/>
      <c r="I111" s="1810"/>
      <c r="J111" s="1810"/>
      <c r="K111" s="1810"/>
      <c r="L111" s="2126" t="str" cm="1">
        <f t="array" ref="L111">IF(B71&lt;=0,0,ROUNDUP(SUMPRODUCT(LEN(C111:K111))/B71,0))&amp;" ligne(s)"</f>
        <v>0 ligne(s)</v>
      </c>
      <c r="N111" s="1642" t="s">
        <v>10</v>
      </c>
      <c r="O111" s="163" t="str">
        <f>O73</f>
        <v>B BEIGNETS D'ACACIA | pâtisserie--Beignets| Auteur &gt; 750 Grammes</v>
      </c>
      <c r="P111" s="163">
        <f>P73</f>
        <v>4</v>
      </c>
      <c r="Q111" s="164" t="str">
        <f>Q73</f>
        <v>personnes</v>
      </c>
      <c r="R111" s="165" t="str">
        <f>R73</f>
        <v>Recette mère ► Beignets d'acacia</v>
      </c>
      <c r="S111" s="1548"/>
      <c r="T111" s="1548"/>
      <c r="U111" s="2190">
        <f>ROWS(Y98:Y111)</f>
        <v>14</v>
      </c>
      <c r="V111" s="5549" t="str" cm="1">
        <f t="array" ref="V111">IF(SUMPRODUCT((Y111:AD111&lt;&gt;"")*1)=0,"",SUMPRODUCT((Y111:AD111&lt;&gt;"")*(LEN(TRIM(SUBSTITUTE(Y111:AD111,CHAR(160)," "))) - LEN(SUBSTITUTE(TRIM(SUBSTITUTE(Y111:AD111,CHAR(160)," "))," ","")) + 1)) &amp; " mot" &amp; IF(SUMPRODUCT((Y111:AD111&lt;&gt;"")*(LEN(TRIM(SUBSTITUTE(Y111:AD111,CHAR(160)," "))) - LEN(SUBSTITUTE(TRIM(SUBSTITUTE(Y111:AD111,CHAR(160)," "))," ","")) + 1))&gt;1,"s",""))</f>
        <v>10 mots</v>
      </c>
      <c r="W111" s="5550" t="str" cm="1">
        <f t="array" ref="W111">SUMPRODUCT(--(Y111:AD111&lt;&gt;""), LEN(TRIM(SUBSTITUTE(Y111:AD111, CHAR(160), "")))) &amp; " Car."</f>
        <v>52 Car.</v>
      </c>
      <c r="X111" s="1376">
        <f>IF(ISBLANK(Y111),"",LARGE(X97:X110,1)+1)</f>
        <v>8</v>
      </c>
      <c r="Y111" s="1810" t="s">
        <v>8290</v>
      </c>
      <c r="Z111" s="1810"/>
      <c r="AA111" s="1810"/>
      <c r="AB111" s="1810"/>
      <c r="AC111" s="1810"/>
      <c r="AD111" s="1810"/>
      <c r="AE111" s="1810"/>
      <c r="AF111" s="1810"/>
      <c r="AG111" s="1811"/>
      <c r="AJ111" s="1642" t="str">
        <f t="shared" si="15"/>
        <v>A</v>
      </c>
      <c r="AK111" s="1616"/>
      <c r="AL111" s="1333" t="s">
        <v>21</v>
      </c>
      <c r="AM111" s="44"/>
      <c r="AN111" s="339">
        <v>0.25</v>
      </c>
      <c r="AO111" s="340">
        <v>0.5</v>
      </c>
      <c r="AP111" s="341" t="s">
        <v>370</v>
      </c>
      <c r="AQ111" s="342"/>
      <c r="AR111" s="45"/>
      <c r="AS111" s="46"/>
      <c r="AV111" s="3">
        <v>1</v>
      </c>
    </row>
    <row r="112" spans="2:48" ht="21" customHeight="1">
      <c r="B112" s="1610" cm="1">
        <f t="array" ref="B112">SUMPRODUCT(LEN(C112:K112))</f>
        <v>0</v>
      </c>
      <c r="C112" s="1810"/>
      <c r="D112" s="1810"/>
      <c r="E112" s="1810"/>
      <c r="F112" s="1810"/>
      <c r="G112" s="1810"/>
      <c r="H112" s="1810"/>
      <c r="I112" s="1810"/>
      <c r="J112" s="1810"/>
      <c r="K112" s="1810"/>
      <c r="L112" s="2126" t="str" cm="1">
        <f t="array" ref="L112">IF(B71&lt;=0,0,ROUNDUP(SUMPRODUCT(LEN(C112:K112))/B71,0))&amp;" ligne(s)"</f>
        <v>0 ligne(s)</v>
      </c>
      <c r="N112" s="1642" t="s">
        <v>10</v>
      </c>
      <c r="O112" s="163" t="str">
        <f>O73</f>
        <v>B BEIGNETS D'ACACIA | pâtisserie--Beignets| Auteur &gt; 750 Grammes</v>
      </c>
      <c r="P112" s="163">
        <f>P73</f>
        <v>4</v>
      </c>
      <c r="Q112" s="164" t="str">
        <f>Q73</f>
        <v>personnes</v>
      </c>
      <c r="R112" s="165" t="str">
        <f>R73</f>
        <v>Recette mère ► Beignets d'acacia</v>
      </c>
      <c r="S112" s="1548"/>
      <c r="T112" s="1548"/>
      <c r="U112" s="2190">
        <f>ROWS(Y98:Y112)</f>
        <v>15</v>
      </c>
      <c r="V112" s="5549" t="str" cm="1">
        <f t="array" ref="V112">IF(SUMPRODUCT((Y112:AD112&lt;&gt;"")*1)=0,"",SUMPRODUCT((Y112:AD112&lt;&gt;"")*(LEN(TRIM(SUBSTITUTE(Y112:AD112,CHAR(160)," "))) - LEN(SUBSTITUTE(TRIM(SUBSTITUTE(Y112:AD112,CHAR(160)," "))," ","")) + 1)) &amp; " mot" &amp; IF(SUMPRODUCT((Y112:AD112&lt;&gt;"")*(LEN(TRIM(SUBSTITUTE(Y112:AD112,CHAR(160)," "))) - LEN(SUBSTITUTE(TRIM(SUBSTITUTE(Y112:AD112,CHAR(160)," "))," ","")) + 1))&gt;1,"s",""))</f>
        <v>11 mots</v>
      </c>
      <c r="W112" s="5550" t="str" cm="1">
        <f t="array" ref="W112">SUMPRODUCT(--(Y112:AD112&lt;&gt;""), LEN(TRIM(SUBSTITUTE(Y112:AD112, CHAR(160), "")))) &amp; " Car."</f>
        <v>70 Car.</v>
      </c>
      <c r="X112" s="1376" t="str">
        <f>IF(ISBLANK(Y112),"",LARGE(X97:X111,1)+1)</f>
        <v/>
      </c>
      <c r="Y112" s="1810"/>
      <c r="Z112" s="1810" t="s">
        <v>8293</v>
      </c>
      <c r="AA112" s="1810"/>
      <c r="AB112" s="1810"/>
      <c r="AC112" s="1810"/>
      <c r="AD112" s="1810"/>
      <c r="AE112" s="1810"/>
      <c r="AF112" s="1810"/>
      <c r="AG112" s="1811"/>
      <c r="AJ112" s="1642" t="str">
        <f t="shared" si="15"/>
        <v>A</v>
      </c>
      <c r="AK112" s="1616"/>
      <c r="AL112" s="1333" t="s">
        <v>21</v>
      </c>
      <c r="AM112" s="44"/>
      <c r="AN112" s="349" t="s">
        <v>371</v>
      </c>
      <c r="AO112" s="350" t="s">
        <v>372</v>
      </c>
      <c r="AP112" s="350"/>
      <c r="AQ112" s="350"/>
      <c r="AR112" s="45"/>
      <c r="AS112" s="46"/>
      <c r="AV112" s="3">
        <v>1</v>
      </c>
    </row>
    <row r="113" spans="2:48" ht="21" customHeight="1">
      <c r="B113" s="1610" cm="1">
        <f t="array" ref="B113">SUMPRODUCT(LEN(C113:K113))</f>
        <v>0</v>
      </c>
      <c r="C113" s="1810"/>
      <c r="D113" s="1810"/>
      <c r="E113" s="1810"/>
      <c r="F113" s="1810"/>
      <c r="G113" s="1810"/>
      <c r="H113" s="1810"/>
      <c r="I113" s="1810"/>
      <c r="J113" s="1810"/>
      <c r="K113" s="1810"/>
      <c r="L113" s="2126" t="str" cm="1">
        <f t="array" ref="L113">IF(B71&lt;=0,0,ROUNDUP(SUMPRODUCT(LEN(C113:K113))/B71,0))&amp;" ligne(s)"</f>
        <v>0 ligne(s)</v>
      </c>
      <c r="N113" s="1642" t="s">
        <v>10</v>
      </c>
      <c r="O113" s="163" t="str">
        <f>O73</f>
        <v>B BEIGNETS D'ACACIA | pâtisserie--Beignets| Auteur &gt; 750 Grammes</v>
      </c>
      <c r="P113" s="163">
        <f>P73</f>
        <v>4</v>
      </c>
      <c r="Q113" s="164" t="str">
        <f>Q73</f>
        <v>personnes</v>
      </c>
      <c r="R113" s="165" t="str">
        <f>R73</f>
        <v>Recette mère ► Beignets d'acacia</v>
      </c>
      <c r="S113" s="1548"/>
      <c r="T113" s="1548"/>
      <c r="U113" s="2190">
        <f>ROWS(Y98:Y113)</f>
        <v>16</v>
      </c>
      <c r="V113" s="5549" t="str" cm="1">
        <f t="array" ref="V113">IF(SUMPRODUCT((Y113:AD113&lt;&gt;"")*1)=0,"",SUMPRODUCT((Y113:AD113&lt;&gt;"")*(LEN(TRIM(SUBSTITUTE(Y113:AD113,CHAR(160)," "))) - LEN(SUBSTITUTE(TRIM(SUBSTITUTE(Y113:AD113,CHAR(160)," "))," ","")) + 1)) &amp; " mot" &amp; IF(SUMPRODUCT((Y113:AD113&lt;&gt;"")*(LEN(TRIM(SUBSTITUTE(Y113:AD113,CHAR(160)," "))) - LEN(SUBSTITUTE(TRIM(SUBSTITUTE(Y113:AD113,CHAR(160)," "))," ","")) + 1))&gt;1,"s",""))</f>
        <v/>
      </c>
      <c r="W113" s="5550" t="str" cm="1">
        <f t="array" ref="W113">SUMPRODUCT(--(Y113:AD113&lt;&gt;""), LEN(TRIM(SUBSTITUTE(Y113:AD113, CHAR(160), "")))) &amp; " Car."</f>
        <v>0 Car.</v>
      </c>
      <c r="X113" s="1376" t="str">
        <f>IF(ISBLANK(Y113),"",LARGE(X97:X112,1)+1)</f>
        <v/>
      </c>
      <c r="Y113" s="1810"/>
      <c r="Z113" s="1810"/>
      <c r="AA113" s="1810"/>
      <c r="AB113" s="1810"/>
      <c r="AC113" s="1810"/>
      <c r="AD113" s="1810"/>
      <c r="AE113" s="1810"/>
      <c r="AF113" s="1810"/>
      <c r="AG113" s="1811"/>
      <c r="AJ113" s="1642" t="str">
        <f t="shared" si="15"/>
        <v>A</v>
      </c>
      <c r="AK113" s="1616"/>
      <c r="AL113" s="1333" t="s">
        <v>21</v>
      </c>
      <c r="AM113" s="44"/>
      <c r="AN113" s="351" t="s">
        <v>377</v>
      </c>
      <c r="AO113" s="352"/>
      <c r="AP113" s="353"/>
      <c r="AQ113" s="353"/>
      <c r="AR113" s="45"/>
      <c r="AS113" s="46"/>
      <c r="AV113" s="3">
        <v>1</v>
      </c>
    </row>
    <row r="114" spans="2:48" ht="21" customHeight="1">
      <c r="B114" s="1610" cm="1">
        <f t="array" ref="B114">SUMPRODUCT(LEN(C114:K114))</f>
        <v>0</v>
      </c>
      <c r="C114" s="1810"/>
      <c r="D114" s="1810"/>
      <c r="E114" s="1810"/>
      <c r="F114" s="1810"/>
      <c r="G114" s="1810"/>
      <c r="H114" s="1810"/>
      <c r="I114" s="1810"/>
      <c r="J114" s="1810"/>
      <c r="K114" s="1810"/>
      <c r="L114" s="2126" t="str" cm="1">
        <f t="array" ref="L114">IF(B71&lt;=0,0,ROUNDUP(SUMPRODUCT(LEN(C114:K114))/B71,0))&amp;" ligne(s)"</f>
        <v>0 ligne(s)</v>
      </c>
      <c r="N114" s="1642" t="s">
        <v>10</v>
      </c>
      <c r="O114" s="163" t="str">
        <f>O73</f>
        <v>B BEIGNETS D'ACACIA | pâtisserie--Beignets| Auteur &gt; 750 Grammes</v>
      </c>
      <c r="P114" s="163">
        <f>P73</f>
        <v>4</v>
      </c>
      <c r="Q114" s="164" t="str">
        <f>Q73</f>
        <v>personnes</v>
      </c>
      <c r="R114" s="165" t="str">
        <f>R73</f>
        <v>Recette mère ► Beignets d'acacia</v>
      </c>
      <c r="S114" s="1548"/>
      <c r="T114" s="1548"/>
      <c r="U114" s="2190">
        <f>ROWS(Y98:Y114)</f>
        <v>17</v>
      </c>
      <c r="V114" s="5549" t="str" cm="1">
        <f t="array" ref="V114">IF(SUMPRODUCT((Y114:AD114&lt;&gt;"")*1)=0,"",SUMPRODUCT((Y114:AD114&lt;&gt;"")*(LEN(TRIM(SUBSTITUTE(Y114:AD114,CHAR(160)," "))) - LEN(SUBSTITUTE(TRIM(SUBSTITUTE(Y114:AD114,CHAR(160)," "))," ","")) + 1)) &amp; " mot" &amp; IF(SUMPRODUCT((Y114:AD114&lt;&gt;"")*(LEN(TRIM(SUBSTITUTE(Y114:AD114,CHAR(160)," "))) - LEN(SUBSTITUTE(TRIM(SUBSTITUTE(Y114:AD114,CHAR(160)," "))," ","")) + 1))&gt;1,"s",""))</f>
        <v/>
      </c>
      <c r="W114" s="5550" t="str" cm="1">
        <f t="array" ref="W114">SUMPRODUCT(--(Y114:AD114&lt;&gt;""), LEN(TRIM(SUBSTITUTE(Y114:AD114, CHAR(160), "")))) &amp; " Car."</f>
        <v>0 Car.</v>
      </c>
      <c r="X114" s="1376"/>
      <c r="Y114" s="1810"/>
      <c r="Z114" s="1810"/>
      <c r="AA114" s="1810"/>
      <c r="AB114" s="1810"/>
      <c r="AC114" s="1810"/>
      <c r="AD114" s="1810"/>
      <c r="AE114" s="1810"/>
      <c r="AF114" s="1810"/>
      <c r="AG114" s="1811"/>
      <c r="AJ114" s="1642" t="str">
        <f t="shared" si="15"/>
        <v>A</v>
      </c>
      <c r="AK114" s="1616"/>
      <c r="AL114" s="1333" t="s">
        <v>21</v>
      </c>
      <c r="AM114" s="44"/>
      <c r="AN114" s="45"/>
      <c r="AO114" s="45"/>
      <c r="AP114" s="45"/>
      <c r="AQ114" s="45"/>
      <c r="AR114" s="45"/>
      <c r="AS114" s="46"/>
      <c r="AV114" s="3">
        <v>1</v>
      </c>
    </row>
    <row r="115" spans="2:48" ht="21" customHeight="1">
      <c r="B115" s="1610" cm="1">
        <f t="array" ref="B115">SUMPRODUCT(LEN(C115:K115))</f>
        <v>0</v>
      </c>
      <c r="C115" s="1810"/>
      <c r="D115" s="1810"/>
      <c r="E115" s="1810"/>
      <c r="F115" s="1810"/>
      <c r="G115" s="1810"/>
      <c r="H115" s="1810"/>
      <c r="I115" s="1810"/>
      <c r="J115" s="1810"/>
      <c r="K115" s="1810"/>
      <c r="L115" s="2126" t="str" cm="1">
        <f t="array" ref="L115">IF(B71&lt;=0,0,ROUNDUP(SUMPRODUCT(LEN(C115:K115))/B71,0))&amp;" ligne(s)"</f>
        <v>0 ligne(s)</v>
      </c>
      <c r="N115" s="1642" t="s">
        <v>10</v>
      </c>
      <c r="O115" s="163" t="str">
        <f>O73</f>
        <v>B BEIGNETS D'ACACIA | pâtisserie--Beignets| Auteur &gt; 750 Grammes</v>
      </c>
      <c r="P115" s="163">
        <f>P73</f>
        <v>4</v>
      </c>
      <c r="Q115" s="164" t="str">
        <f>Q73</f>
        <v>personnes</v>
      </c>
      <c r="R115" s="165" t="str">
        <f>R73</f>
        <v>Recette mère ► Beignets d'acacia</v>
      </c>
      <c r="S115" s="1548"/>
      <c r="T115" s="1548"/>
      <c r="U115" s="2190">
        <f>ROWS(Y98:Y115)</f>
        <v>18</v>
      </c>
      <c r="V115" s="5549" t="str" cm="1">
        <f t="array" ref="V115">IF(SUMPRODUCT((Y115:AD115&lt;&gt;"")*1)=0,"",SUMPRODUCT((Y115:AD115&lt;&gt;"")*(LEN(TRIM(SUBSTITUTE(Y115:AD115,CHAR(160)," "))) - LEN(SUBSTITUTE(TRIM(SUBSTITUTE(Y115:AD115,CHAR(160)," "))," ","")) + 1)) &amp; " mot" &amp; IF(SUMPRODUCT((Y115:AD115&lt;&gt;"")*(LEN(TRIM(SUBSTITUTE(Y115:AD115,CHAR(160)," "))) - LEN(SUBSTITUTE(TRIM(SUBSTITUTE(Y115:AD115,CHAR(160)," "))," ","")) + 1))&gt;1,"s",""))</f>
        <v/>
      </c>
      <c r="W115" s="5550" t="str" cm="1">
        <f t="array" ref="W115">SUMPRODUCT(--(Y115:AD115&lt;&gt;""), LEN(TRIM(SUBSTITUTE(Y115:AD115, CHAR(160), "")))) &amp; " Car."</f>
        <v>0 Car.</v>
      </c>
      <c r="X115" s="1376"/>
      <c r="Y115" s="1810"/>
      <c r="Z115" s="1810"/>
      <c r="AA115" s="1810"/>
      <c r="AB115" s="1810"/>
      <c r="AC115" s="1810"/>
      <c r="AD115" s="1810"/>
      <c r="AE115" s="1810"/>
      <c r="AF115" s="1810"/>
      <c r="AG115" s="1811"/>
      <c r="AJ115" s="1642" t="str">
        <f t="shared" si="15"/>
        <v>A</v>
      </c>
      <c r="AK115" s="1616"/>
      <c r="AL115" s="1333" t="s">
        <v>21</v>
      </c>
      <c r="AM115" s="157"/>
      <c r="AN115" s="158"/>
      <c r="AO115" s="159"/>
      <c r="AP115" s="158"/>
      <c r="AQ115" s="158"/>
      <c r="AR115" s="158"/>
      <c r="AS115" s="160"/>
      <c r="AV115" s="3">
        <v>1</v>
      </c>
    </row>
    <row r="116" spans="2:48" ht="21" customHeight="1">
      <c r="B116" s="1610" cm="1">
        <f t="array" ref="B116">SUMPRODUCT(LEN(C116:K116))</f>
        <v>0</v>
      </c>
      <c r="C116" s="1810"/>
      <c r="D116" s="1810"/>
      <c r="E116" s="1810"/>
      <c r="F116" s="1810"/>
      <c r="G116" s="1810"/>
      <c r="H116" s="1810"/>
      <c r="I116" s="1810"/>
      <c r="J116" s="1810"/>
      <c r="K116" s="1810"/>
      <c r="L116" s="2126" t="str" cm="1">
        <f t="array" ref="L116">IF(B71&lt;=0,0,ROUNDUP(SUMPRODUCT(LEN(C116:K116))/B71,0))&amp;" ligne(s)"</f>
        <v>0 ligne(s)</v>
      </c>
      <c r="N116" s="1642" t="s">
        <v>10</v>
      </c>
      <c r="O116" s="163" t="str">
        <f>O73</f>
        <v>B BEIGNETS D'ACACIA | pâtisserie--Beignets| Auteur &gt; 750 Grammes</v>
      </c>
      <c r="P116" s="163">
        <f>P73</f>
        <v>4</v>
      </c>
      <c r="Q116" s="164" t="str">
        <f>Q73</f>
        <v>personnes</v>
      </c>
      <c r="R116" s="165" t="str">
        <f>R73</f>
        <v>Recette mère ► Beignets d'acacia</v>
      </c>
      <c r="S116" s="1548"/>
      <c r="T116" s="1548"/>
      <c r="U116" s="2190">
        <f>ROWS(Y98:Y116)</f>
        <v>19</v>
      </c>
      <c r="V116" s="5549" t="str" cm="1">
        <f t="array" ref="V116">IF(SUMPRODUCT((Y116:AD116&lt;&gt;"")*1)=0,"",SUMPRODUCT((Y116:AD116&lt;&gt;"")*(LEN(TRIM(SUBSTITUTE(Y116:AD116,CHAR(160)," "))) - LEN(SUBSTITUTE(TRIM(SUBSTITUTE(Y116:AD116,CHAR(160)," "))," ","")) + 1)) &amp; " mot" &amp; IF(SUMPRODUCT((Y116:AD116&lt;&gt;"")*(LEN(TRIM(SUBSTITUTE(Y116:AD116,CHAR(160)," "))) - LEN(SUBSTITUTE(TRIM(SUBSTITUTE(Y116:AD116,CHAR(160)," "))," ","")) + 1))&gt;1,"s",""))</f>
        <v/>
      </c>
      <c r="W116" s="5550" t="str" cm="1">
        <f t="array" ref="W116">SUMPRODUCT(--(Y116:AD116&lt;&gt;""), LEN(TRIM(SUBSTITUTE(Y116:AD116, CHAR(160), "")))) &amp; " Car."</f>
        <v>0 Car.</v>
      </c>
      <c r="X116" s="1376" t="str">
        <f>IF(ISBLANK(Y116),"",LARGE(X97:X115,1)+1)</f>
        <v/>
      </c>
      <c r="Y116" s="1810"/>
      <c r="Z116" s="1810"/>
      <c r="AA116" s="1810"/>
      <c r="AB116" s="1810"/>
      <c r="AC116" s="1810"/>
      <c r="AD116" s="1810"/>
      <c r="AE116" s="1810"/>
      <c r="AF116" s="1810"/>
      <c r="AG116" s="1811"/>
      <c r="AJ116" s="1642" t="str">
        <f t="shared" si="15"/>
        <v>A</v>
      </c>
      <c r="AK116" s="1616"/>
      <c r="AL116" s="1333" t="s">
        <v>21</v>
      </c>
      <c r="AM116" s="264"/>
      <c r="AN116" s="290"/>
      <c r="AO116" s="291"/>
      <c r="AP116" s="290"/>
      <c r="AQ116" s="290"/>
      <c r="AR116" s="290"/>
      <c r="AS116" s="292"/>
      <c r="AV116" s="3">
        <v>1</v>
      </c>
    </row>
    <row r="117" spans="2:48" ht="21" customHeight="1">
      <c r="B117" s="1610" cm="1">
        <f t="array" ref="B117">SUMPRODUCT(LEN(C117:K117))</f>
        <v>0</v>
      </c>
      <c r="C117" s="1810"/>
      <c r="D117" s="1810"/>
      <c r="E117" s="1810"/>
      <c r="F117" s="1810"/>
      <c r="G117" s="1810"/>
      <c r="H117" s="1810"/>
      <c r="I117" s="1810"/>
      <c r="J117" s="1810"/>
      <c r="K117" s="1810"/>
      <c r="L117" s="2126" t="str" cm="1">
        <f t="array" ref="L117">IF(B71&lt;=0,0,ROUNDUP(SUMPRODUCT(LEN(C117:K117))/B71,0))&amp;" ligne(s)"</f>
        <v>0 ligne(s)</v>
      </c>
      <c r="N117" s="1642" t="s">
        <v>10</v>
      </c>
      <c r="O117" s="163" t="str">
        <f>O73</f>
        <v>B BEIGNETS D'ACACIA | pâtisserie--Beignets| Auteur &gt; 750 Grammes</v>
      </c>
      <c r="P117" s="163">
        <f>P73</f>
        <v>4</v>
      </c>
      <c r="Q117" s="164" t="str">
        <f>Q73</f>
        <v>personnes</v>
      </c>
      <c r="R117" s="165" t="str">
        <f>R73</f>
        <v>Recette mère ► Beignets d'acacia</v>
      </c>
      <c r="S117" s="1548"/>
      <c r="T117" s="1548"/>
      <c r="U117" s="2190">
        <f>ROWS(Y98:Y117)</f>
        <v>20</v>
      </c>
      <c r="V117" s="5549" t="str" cm="1">
        <f t="array" ref="V117">IF(SUMPRODUCT((Y117:AD117&lt;&gt;"")*1)=0,"",SUMPRODUCT((Y117:AD117&lt;&gt;"")*(LEN(TRIM(SUBSTITUTE(Y117:AD117,CHAR(160)," "))) - LEN(SUBSTITUTE(TRIM(SUBSTITUTE(Y117:AD117,CHAR(160)," "))," ","")) + 1)) &amp; " mot" &amp; IF(SUMPRODUCT((Y117:AD117&lt;&gt;"")*(LEN(TRIM(SUBSTITUTE(Y117:AD117,CHAR(160)," "))) - LEN(SUBSTITUTE(TRIM(SUBSTITUTE(Y117:AD117,CHAR(160)," "))," ","")) + 1))&gt;1,"s",""))</f>
        <v>13 mots</v>
      </c>
      <c r="W117" s="5550" t="str" cm="1">
        <f t="array" ref="W117">SUMPRODUCT(--(Y117:AD117&lt;&gt;""), LEN(TRIM(SUBSTITUTE(Y117:AD117, CHAR(160), "")))) &amp; " Car."</f>
        <v>80 Car.</v>
      </c>
      <c r="X117" s="1376" t="str">
        <f>IF(ISBLANK(Y117),"",LARGE(X97:X116,1)+1)</f>
        <v/>
      </c>
      <c r="Y117" s="1810"/>
      <c r="Z117" s="1810" t="s">
        <v>14252</v>
      </c>
      <c r="AA117" s="1810"/>
      <c r="AB117" s="1810"/>
      <c r="AC117" s="1810"/>
      <c r="AD117" s="1810"/>
      <c r="AE117" s="1810"/>
      <c r="AF117" s="1810"/>
      <c r="AG117" s="1811"/>
      <c r="AJ117" s="1642" t="str">
        <f t="shared" si="15"/>
        <v>A</v>
      </c>
      <c r="AK117" s="1616"/>
      <c r="AL117" s="1333" t="s">
        <v>21</v>
      </c>
      <c r="AM117" s="356" t="s">
        <v>69</v>
      </c>
      <c r="AN117" s="357" t="s">
        <v>381</v>
      </c>
      <c r="AO117" s="45"/>
      <c r="AP117" s="45"/>
      <c r="AQ117" s="45"/>
      <c r="AR117" s="45"/>
      <c r="AS117" s="46"/>
      <c r="AV117" s="3">
        <v>1</v>
      </c>
    </row>
    <row r="118" spans="2:48" ht="21" customHeight="1" thickBot="1">
      <c r="B118" s="1610" cm="1">
        <f t="array" ref="B118">SUMPRODUCT(LEN(C118:K118))</f>
        <v>0</v>
      </c>
      <c r="C118" s="1810"/>
      <c r="D118" s="1810"/>
      <c r="E118" s="1810"/>
      <c r="F118" s="1810"/>
      <c r="G118" s="1810"/>
      <c r="H118" s="1810"/>
      <c r="I118" s="1810"/>
      <c r="J118" s="1810"/>
      <c r="K118" s="1810"/>
      <c r="L118" s="2126" t="str" cm="1">
        <f t="array" ref="L118">IF(B71&lt;=0,0,ROUNDUP(SUMPRODUCT(LEN(C118:K118))/B71,0))&amp;" ligne(s)"</f>
        <v>0 ligne(s)</v>
      </c>
      <c r="N118" s="1642" t="s">
        <v>10</v>
      </c>
      <c r="O118" s="163" t="str">
        <f>O73</f>
        <v>B BEIGNETS D'ACACIA | pâtisserie--Beignets| Auteur &gt; 750 Grammes</v>
      </c>
      <c r="P118" s="163">
        <f>P73</f>
        <v>4</v>
      </c>
      <c r="Q118" s="164" t="str">
        <f>Q73</f>
        <v>personnes</v>
      </c>
      <c r="R118" s="165" t="str">
        <f>R73</f>
        <v>Recette mère ► Beignets d'acacia</v>
      </c>
      <c r="S118" s="172"/>
      <c r="T118" s="1378" t="s">
        <v>207</v>
      </c>
      <c r="U118" s="1712" t="s">
        <v>8475</v>
      </c>
      <c r="V118" s="176"/>
      <c r="W118" s="176"/>
      <c r="X118" s="176"/>
      <c r="Y118" s="176"/>
      <c r="Z118" s="176"/>
      <c r="AA118" s="176"/>
      <c r="AB118" s="176"/>
      <c r="AC118" s="176"/>
      <c r="AD118" s="176"/>
      <c r="AE118" s="176"/>
      <c r="AF118" s="176"/>
      <c r="AG118" s="884"/>
      <c r="AJ118" s="1642" t="str">
        <f t="shared" si="15"/>
        <v>A</v>
      </c>
      <c r="AK118" s="1616"/>
      <c r="AL118" s="1333" t="s">
        <v>21</v>
      </c>
      <c r="AM118" s="324" t="s">
        <v>336</v>
      </c>
      <c r="AN118" s="45"/>
      <c r="AO118" s="45"/>
      <c r="AP118" s="45"/>
      <c r="AQ118" s="45"/>
      <c r="AR118" s="45"/>
      <c r="AS118" s="46"/>
      <c r="AV118" s="3">
        <v>1</v>
      </c>
    </row>
    <row r="119" spans="2:48" ht="21" customHeight="1">
      <c r="B119" s="1610" cm="1">
        <f t="array" ref="B119">SUMPRODUCT(LEN(C119:K119))</f>
        <v>0</v>
      </c>
      <c r="C119" s="1810"/>
      <c r="D119" s="1810"/>
      <c r="E119" s="1810"/>
      <c r="F119" s="1810"/>
      <c r="G119" s="1810"/>
      <c r="H119" s="1810"/>
      <c r="I119" s="1810"/>
      <c r="J119" s="1810"/>
      <c r="K119" s="1810"/>
      <c r="L119" s="2126" t="str" cm="1">
        <f t="array" ref="L119">IF(B71&lt;=0,0,ROUNDUP(SUMPRODUCT(LEN(C119:K119))/B71,0))&amp;" ligne(s)"</f>
        <v>0 ligne(s)</v>
      </c>
      <c r="N119" s="1642" t="s">
        <v>10</v>
      </c>
      <c r="O119" s="163" t="str">
        <f>O73</f>
        <v>B BEIGNETS D'ACACIA | pâtisserie--Beignets| Auteur &gt; 750 Grammes</v>
      </c>
      <c r="P119" s="163">
        <f>P73</f>
        <v>4</v>
      </c>
      <c r="Q119" s="164" t="str">
        <f>Q73</f>
        <v>personnes</v>
      </c>
      <c r="R119" s="165" t="str">
        <f>R73</f>
        <v>Recette mère ► Beignets d'acacia</v>
      </c>
      <c r="S119" s="1379"/>
      <c r="T119" s="1380"/>
      <c r="U119" s="1380"/>
      <c r="V119" s="1380"/>
      <c r="W119" s="1380"/>
      <c r="X119" s="1380"/>
      <c r="Y119" s="1380"/>
      <c r="Z119" s="1381" t="s">
        <v>196</v>
      </c>
      <c r="AA119" s="202"/>
      <c r="AB119" s="202"/>
      <c r="AC119" s="202"/>
      <c r="AD119" s="202"/>
      <c r="AE119" s="202"/>
      <c r="AF119" s="202"/>
      <c r="AG119" s="885"/>
      <c r="AJ119" s="1642" t="str">
        <f t="shared" si="15"/>
        <v>A</v>
      </c>
      <c r="AK119" s="1616"/>
      <c r="AL119" s="1333" t="s">
        <v>21</v>
      </c>
      <c r="AM119" s="44"/>
      <c r="AN119" s="45"/>
      <c r="AO119" s="45"/>
      <c r="AP119" s="45"/>
      <c r="AQ119" s="45"/>
      <c r="AR119" s="45"/>
      <c r="AS119" s="46"/>
      <c r="AV119" s="3">
        <v>1</v>
      </c>
    </row>
    <row r="120" spans="2:48" ht="21" customHeight="1" thickBot="1">
      <c r="B120" s="1610" cm="1">
        <f t="array" ref="B120">SUMPRODUCT(LEN(C120:K120))</f>
        <v>0</v>
      </c>
      <c r="C120" s="1810"/>
      <c r="D120" s="1810"/>
      <c r="E120" s="1810"/>
      <c r="F120" s="1810"/>
      <c r="G120" s="1810"/>
      <c r="H120" s="1810"/>
      <c r="I120" s="1810"/>
      <c r="J120" s="1810"/>
      <c r="K120" s="1810"/>
      <c r="L120" s="2126" t="str" cm="1">
        <f t="array" ref="L120">IF(B71&lt;=0,0,ROUNDUP(SUMPRODUCT(LEN(C120:K120))/B71,0))&amp;" ligne(s)"</f>
        <v>0 ligne(s)</v>
      </c>
      <c r="N120" s="1642" t="s">
        <v>10</v>
      </c>
      <c r="O120" s="163" t="str">
        <f>O73</f>
        <v>B BEIGNETS D'ACACIA | pâtisserie--Beignets| Auteur &gt; 750 Grammes</v>
      </c>
      <c r="P120" s="163">
        <f>P73</f>
        <v>4</v>
      </c>
      <c r="Q120" s="164" t="str">
        <f>Q73</f>
        <v>personnes</v>
      </c>
      <c r="R120" s="165" t="str">
        <f>R73</f>
        <v>Recette mère ► Beignets d'acacia</v>
      </c>
      <c r="S120" s="2139"/>
      <c r="T120" s="2124"/>
      <c r="U120" s="2138"/>
      <c r="V120" s="2140" t="s">
        <v>8860</v>
      </c>
      <c r="W120" s="2065">
        <f ca="1">W97</f>
        <v>132</v>
      </c>
      <c r="X120" s="886" t="s">
        <v>200</v>
      </c>
      <c r="Y120" s="2137"/>
      <c r="Z120" s="2137"/>
      <c r="AA120" s="2137"/>
      <c r="AB120" s="472"/>
      <c r="AC120" s="472"/>
      <c r="AD120" s="472"/>
      <c r="AE120" s="2260" t="str">
        <f>IF(Y121="","",(LEN(TRIM(SUBSTITUTE(Y121,CHAR(160)," ")))-LEN(SUBSTITUTE(TRIM(SUBSTITUTE(Y121,CHAR(160)," "))," ",""))+1)&amp;" mot"&amp;IF((LEN(TRIM(SUBSTITUTE(Y121,CHAR(160)," ")))-LEN(SUBSTITUTE(TRIM(SUBSTITUTE(Y121,CHAR(160)," "))," ",""))+1)&gt;1,"s",""))</f>
        <v>17 mots</v>
      </c>
      <c r="AF120" s="2259" t="str">
        <f>IF(Y121="","",LEN(TRIM(SUBSTITUTE(Y121,CHAR(160),""))))&amp;" Car."</f>
        <v>123 Car.</v>
      </c>
      <c r="AG120" s="2261" t="s">
        <v>8863</v>
      </c>
      <c r="AJ120" s="1642" t="str">
        <f t="shared" si="15"/>
        <v>A</v>
      </c>
      <c r="AK120" s="1616"/>
      <c r="AL120" s="1333" t="s">
        <v>21</v>
      </c>
      <c r="AM120" s="157"/>
      <c r="AN120" s="158"/>
      <c r="AO120" s="159"/>
      <c r="AP120" s="158"/>
      <c r="AQ120" s="158"/>
      <c r="AR120" s="158"/>
      <c r="AS120" s="160"/>
      <c r="AV120" s="3">
        <v>1</v>
      </c>
    </row>
    <row r="121" spans="2:48" ht="21" customHeight="1" thickBot="1">
      <c r="B121" s="1610" cm="1">
        <f t="array" ref="B121">SUMPRODUCT(LEN(C121:K121))</f>
        <v>0</v>
      </c>
      <c r="C121" s="1810"/>
      <c r="D121" s="1810"/>
      <c r="E121" s="1810"/>
      <c r="F121" s="1810"/>
      <c r="G121" s="1810"/>
      <c r="H121" s="1810"/>
      <c r="I121" s="1810"/>
      <c r="J121" s="1810"/>
      <c r="K121" s="1810"/>
      <c r="L121" s="2126" t="str" cm="1">
        <f t="array" ref="L121">IF(B71&lt;=0,0,ROUNDUP(SUMPRODUCT(LEN(C121:K121))/B71,0))&amp;" ligne(s)"</f>
        <v>0 ligne(s)</v>
      </c>
      <c r="N121" s="2105" t="s">
        <v>10</v>
      </c>
      <c r="O121" s="209" t="str">
        <f>O73</f>
        <v>B BEIGNETS D'ACACIA | pâtisserie--Beignets| Auteur &gt; 750 Grammes</v>
      </c>
      <c r="P121" s="209">
        <f>P73</f>
        <v>4</v>
      </c>
      <c r="Q121" s="210" t="str">
        <f>Q73</f>
        <v>personnes</v>
      </c>
      <c r="R121" s="211" t="str">
        <f>R73</f>
        <v>Recette mère ► Beignets d'acacia</v>
      </c>
      <c r="S121" s="2129"/>
      <c r="T121" s="2130"/>
      <c r="U121" s="2131"/>
      <c r="V121" s="2132"/>
      <c r="W121" s="2133"/>
      <c r="X121" s="2133" t="s">
        <v>8864</v>
      </c>
      <c r="Y121" s="2258" t="s">
        <v>8866</v>
      </c>
      <c r="Z121" s="2136"/>
      <c r="AA121" s="2134"/>
      <c r="AB121" s="2134"/>
      <c r="AC121" s="2134"/>
      <c r="AD121" s="2134"/>
      <c r="AE121" s="2134"/>
      <c r="AF121" s="2134"/>
      <c r="AG121" s="2135"/>
      <c r="AJ121" s="2105" t="str">
        <f t="shared" si="15"/>
        <v>A</v>
      </c>
      <c r="AK121" s="1616"/>
      <c r="AL121" s="1333" t="s">
        <v>21</v>
      </c>
      <c r="AM121" s="264"/>
      <c r="AN121" s="290"/>
      <c r="AO121" s="291"/>
      <c r="AP121" s="290"/>
      <c r="AQ121" s="290"/>
      <c r="AR121" s="290"/>
      <c r="AS121" s="292"/>
      <c r="AV121" s="3">
        <v>1</v>
      </c>
    </row>
    <row r="122" spans="2:48" ht="21" customHeight="1" thickBot="1">
      <c r="B122" s="2143"/>
      <c r="C122" s="2142">
        <v>6</v>
      </c>
      <c r="D122" s="2142">
        <v>40</v>
      </c>
      <c r="E122" s="2142">
        <v>10</v>
      </c>
      <c r="F122" s="2142">
        <v>9</v>
      </c>
      <c r="G122" s="2142">
        <v>18</v>
      </c>
      <c r="H122" s="2142">
        <v>13</v>
      </c>
      <c r="I122" s="2142">
        <v>13</v>
      </c>
      <c r="J122" s="2142">
        <v>13</v>
      </c>
      <c r="K122" s="2142">
        <v>17</v>
      </c>
      <c r="L122" s="2144"/>
      <c r="N122" s="1644" t="s">
        <v>10</v>
      </c>
      <c r="O122" s="1645"/>
      <c r="P122" s="1645"/>
      <c r="Q122" s="1645"/>
      <c r="R122" s="1646"/>
      <c r="S122" s="1643" t="s">
        <v>207</v>
      </c>
      <c r="T122" s="2161" t="str">
        <f ca="1">CELL("nomfichier")</f>
        <v>D:\Données\1.UPRT\0-UPRT.fait\1-UPRT.FR-SITE-WEB\ff-fiches-fabrications\ff.fiches.fabrication.2023\ffr.restaurant.2023\[ff.FICHE.TRILINGUE.20.COLONNES.05.01.2026.xlsx]Couleurs.pour.vos.documents</v>
      </c>
      <c r="U122" s="1647"/>
      <c r="V122" s="1647"/>
      <c r="W122" s="1647"/>
      <c r="X122" s="1647"/>
      <c r="Y122" s="1647"/>
      <c r="Z122" s="1647"/>
      <c r="AA122" s="1647"/>
      <c r="AB122" s="1647"/>
      <c r="AC122" s="1647"/>
      <c r="AD122" s="1647"/>
      <c r="AE122" s="1647"/>
      <c r="AF122" s="1647"/>
      <c r="AG122" s="1648"/>
      <c r="AJ122" s="1644" t="str">
        <f t="shared" si="15"/>
        <v>A</v>
      </c>
      <c r="AK122" s="1616"/>
      <c r="AL122" s="1333" t="s">
        <v>21</v>
      </c>
      <c r="AM122" s="6588" t="s">
        <v>388</v>
      </c>
      <c r="AN122" s="365">
        <v>1</v>
      </c>
      <c r="AO122" s="366" t="s">
        <v>389</v>
      </c>
      <c r="AP122" s="45"/>
      <c r="AQ122" s="45"/>
      <c r="AR122" s="45"/>
      <c r="AS122" s="46"/>
      <c r="AV122" s="3">
        <v>1</v>
      </c>
    </row>
    <row r="123" spans="2:48" ht="21" customHeight="1" thickBot="1">
      <c r="B123" s="1216" t="s">
        <v>10</v>
      </c>
      <c r="C123" s="1218" t="s">
        <v>2394</v>
      </c>
      <c r="D123" s="1217"/>
      <c r="E123" s="1217"/>
      <c r="F123" s="1217"/>
      <c r="G123" s="1218"/>
      <c r="H123" s="1217"/>
      <c r="I123" s="1217"/>
      <c r="J123" s="1217"/>
      <c r="K123" s="1217"/>
      <c r="L123" s="1224" t="s">
        <v>1755</v>
      </c>
      <c r="N123" s="1216" t="s">
        <v>10</v>
      </c>
      <c r="O123" s="1217" t="s">
        <v>10</v>
      </c>
      <c r="P123" s="1217" t="s">
        <v>10</v>
      </c>
      <c r="Q123" s="1217" t="s">
        <v>10</v>
      </c>
      <c r="R123" s="1217" t="s">
        <v>10</v>
      </c>
      <c r="S123" s="1218" t="s">
        <v>2394</v>
      </c>
      <c r="T123" s="1219"/>
      <c r="U123" s="1220"/>
      <c r="V123" s="1221"/>
      <c r="W123" s="1222"/>
      <c r="X123" s="1223"/>
      <c r="Y123" s="1223"/>
      <c r="Z123" s="1221"/>
      <c r="AA123" s="1221"/>
      <c r="AB123" s="1219"/>
      <c r="AC123" s="1219"/>
      <c r="AD123" s="1219"/>
      <c r="AE123" s="1219"/>
      <c r="AF123" s="1219"/>
      <c r="AG123" s="1224" t="s">
        <v>1755</v>
      </c>
      <c r="AJ123" s="1216" t="str">
        <f t="shared" si="15"/>
        <v>A</v>
      </c>
      <c r="AK123" s="1616"/>
      <c r="AL123" s="1333" t="s">
        <v>21</v>
      </c>
      <c r="AM123" s="6588"/>
      <c r="AN123" s="94">
        <v>2</v>
      </c>
      <c r="AO123" s="366" t="s">
        <v>393</v>
      </c>
      <c r="AP123" s="45"/>
      <c r="AQ123" s="45"/>
      <c r="AR123" s="45"/>
      <c r="AS123" s="46"/>
      <c r="AV123" s="3">
        <v>1</v>
      </c>
    </row>
    <row r="124" spans="2:48" ht="21" customHeight="1">
      <c r="B124" s="6945" t="s">
        <v>2397</v>
      </c>
      <c r="C124" s="6946"/>
      <c r="D124" s="6946"/>
      <c r="E124" s="6946"/>
      <c r="F124" s="6946"/>
      <c r="G124" s="6946"/>
      <c r="H124" s="6946"/>
      <c r="I124" s="6946"/>
      <c r="J124" s="6946"/>
      <c r="K124" s="6946"/>
      <c r="L124" s="6947"/>
      <c r="N124" s="19" t="s">
        <v>10</v>
      </c>
      <c r="O124" s="2162" t="str">
        <f>O130</f>
        <v>B BEIGNETS D'ACACIA | pâtisserie--Beignets| Auteur &gt; Journal des Femmes</v>
      </c>
      <c r="P124" s="2163">
        <f>P130</f>
        <v>6</v>
      </c>
      <c r="Q124" s="2163" t="str">
        <f>Q130</f>
        <v>personnes</v>
      </c>
      <c r="R124" s="2164" t="str">
        <f>R130</f>
        <v>Recette mère ► Beignets d'acacia</v>
      </c>
      <c r="S124" s="1649" t="s">
        <v>21</v>
      </c>
      <c r="T124" s="1650" t="s">
        <v>22</v>
      </c>
      <c r="U124" s="1650"/>
      <c r="V124" s="6952" t="s">
        <v>8231</v>
      </c>
      <c r="W124" s="6952"/>
      <c r="X124" s="6952"/>
      <c r="Y124" s="6952"/>
      <c r="Z124" s="6952"/>
      <c r="AA124" s="6952"/>
      <c r="AB124" s="6952"/>
      <c r="AC124" s="6952"/>
      <c r="AD124" s="6952"/>
      <c r="AE124" s="6636" t="s">
        <v>8232</v>
      </c>
      <c r="AF124" s="6636"/>
      <c r="AG124" s="6956" t="str">
        <f>UPPER(LEFT(V124,1))</f>
        <v>B</v>
      </c>
      <c r="AJ124" s="19" t="str">
        <f t="shared" si="15"/>
        <v>A</v>
      </c>
      <c r="AK124" s="1616"/>
      <c r="AL124" s="1333" t="s">
        <v>21</v>
      </c>
      <c r="AM124" s="6588"/>
      <c r="AN124" s="369" t="s">
        <v>396</v>
      </c>
      <c r="AO124" s="370"/>
      <c r="AP124" s="45"/>
      <c r="AQ124" s="45"/>
      <c r="AR124" s="45"/>
      <c r="AS124" s="46"/>
      <c r="AV124" s="3">
        <v>1</v>
      </c>
    </row>
    <row r="125" spans="2:48" ht="21" customHeight="1">
      <c r="B125" s="2158">
        <f t="shared" ref="B125:L125" ca="1" si="22">CELL("largeur",B125)</f>
        <v>11</v>
      </c>
      <c r="C125" s="2141">
        <f t="shared" ca="1" si="22"/>
        <v>6</v>
      </c>
      <c r="D125" s="2141">
        <f t="shared" ca="1" si="22"/>
        <v>40</v>
      </c>
      <c r="E125" s="2141">
        <f t="shared" ca="1" si="22"/>
        <v>10</v>
      </c>
      <c r="F125" s="2141">
        <f t="shared" ca="1" si="22"/>
        <v>9</v>
      </c>
      <c r="G125" s="2141">
        <f t="shared" ca="1" si="22"/>
        <v>18</v>
      </c>
      <c r="H125" s="2141">
        <f t="shared" ca="1" si="22"/>
        <v>13</v>
      </c>
      <c r="I125" s="2141">
        <f t="shared" ca="1" si="22"/>
        <v>13</v>
      </c>
      <c r="J125" s="2141">
        <f t="shared" ca="1" si="22"/>
        <v>13</v>
      </c>
      <c r="K125" s="2141">
        <f t="shared" ca="1" si="22"/>
        <v>17</v>
      </c>
      <c r="L125" s="2157">
        <f t="shared" ca="1" si="22"/>
        <v>11</v>
      </c>
      <c r="N125" s="1651" t="s">
        <v>10</v>
      </c>
      <c r="O125" s="2165" t="str">
        <f>O130</f>
        <v>B BEIGNETS D'ACACIA | pâtisserie--Beignets| Auteur &gt; Journal des Femmes</v>
      </c>
      <c r="P125" s="2166">
        <f>P130</f>
        <v>6</v>
      </c>
      <c r="Q125" s="2166" t="str">
        <f>Q130</f>
        <v>personnes</v>
      </c>
      <c r="R125" s="2167" t="str">
        <f>R130</f>
        <v>Recette mère ► Beignets d'acacia</v>
      </c>
      <c r="S125" s="1652" t="s">
        <v>28</v>
      </c>
      <c r="T125" s="1653" t="s">
        <v>831</v>
      </c>
      <c r="U125" s="1653"/>
      <c r="V125" s="6953"/>
      <c r="W125" s="6953"/>
      <c r="X125" s="6953"/>
      <c r="Y125" s="6953"/>
      <c r="Z125" s="6953"/>
      <c r="AA125" s="6953"/>
      <c r="AB125" s="6953"/>
      <c r="AC125" s="6953"/>
      <c r="AD125" s="6953"/>
      <c r="AE125" s="6637"/>
      <c r="AF125" s="6637"/>
      <c r="AG125" s="6957"/>
      <c r="AJ125" s="1651" t="str">
        <f t="shared" si="15"/>
        <v>A</v>
      </c>
      <c r="AK125" s="1616"/>
      <c r="AL125" s="1333" t="s">
        <v>21</v>
      </c>
      <c r="AM125" s="6588"/>
      <c r="AN125" s="373" t="s">
        <v>397</v>
      </c>
      <c r="AO125" s="374"/>
      <c r="AP125" s="45"/>
      <c r="AQ125" s="45"/>
      <c r="AR125" s="45"/>
      <c r="AS125" s="46"/>
      <c r="AV125" s="3">
        <v>1</v>
      </c>
    </row>
    <row r="126" spans="2:48" ht="21" customHeight="1">
      <c r="B126" s="2146"/>
      <c r="C126" s="2147"/>
      <c r="D126" s="2147"/>
      <c r="E126" s="2147"/>
      <c r="F126" s="2148"/>
      <c r="G126" s="2147"/>
      <c r="H126" s="2149"/>
      <c r="I126" s="2149"/>
      <c r="J126" s="2149"/>
      <c r="K126" s="2150" t="s">
        <v>8876</v>
      </c>
      <c r="L126" s="2145">
        <f ca="1">SUM(C125:K125)</f>
        <v>139</v>
      </c>
      <c r="N126" s="1651" t="s">
        <v>10</v>
      </c>
      <c r="O126" s="31" t="str">
        <f>O130</f>
        <v>B BEIGNETS D'ACACIA | pâtisserie--Beignets| Auteur &gt; Journal des Femmes</v>
      </c>
      <c r="P126" s="32">
        <f>P130</f>
        <v>6</v>
      </c>
      <c r="Q126" s="32" t="str">
        <f>Q130</f>
        <v>personnes</v>
      </c>
      <c r="R126" s="33" t="str">
        <f>R130</f>
        <v>Recette mère ► Beignets d'acacia</v>
      </c>
      <c r="S126" s="1357"/>
      <c r="T126" s="1358" t="s">
        <v>30</v>
      </c>
      <c r="U126" s="34"/>
      <c r="V126" s="35" t="s">
        <v>31</v>
      </c>
      <c r="W126" s="36" t="s">
        <v>8298</v>
      </c>
      <c r="X126" s="9"/>
      <c r="Y126" s="9"/>
      <c r="Z126" s="36"/>
      <c r="AA126" s="36"/>
      <c r="AB126" s="36"/>
      <c r="AC126" s="37"/>
      <c r="AD126" s="9"/>
      <c r="AE126" s="9"/>
      <c r="AF126" s="9"/>
      <c r="AG126" s="2062" t="str" cm="1">
        <f t="array" aca="1" ref="AG126" ca="1">IF(COUNTIF(O152:AG152,"&lt;0.5")=0,"Aucune colonne masquée ",COUNTIF(O152:AG152,"&lt;0.5") &amp; " " &amp; IF(COUNTIF(O152:AG152,"&lt;0.5")&gt;1,"colonnes masquées","colonne masquée") &amp; " " &amp; _xlfn.TEXTJOIN(" ", TRUE, IF(O152:AG152&lt;0.5,O151:AG151,"")))&amp;" "</f>
        <v xml:space="preserve">Aucune colonne masquée  </v>
      </c>
      <c r="AJ126" s="1651" t="str">
        <f t="shared" si="15"/>
        <v>A</v>
      </c>
      <c r="AK126" s="1616"/>
      <c r="AL126" s="1333" t="s">
        <v>21</v>
      </c>
      <c r="AM126" s="6588"/>
      <c r="AN126" s="373" t="s">
        <v>400</v>
      </c>
      <c r="AO126" s="374"/>
      <c r="AP126" s="45"/>
      <c r="AQ126" s="45"/>
      <c r="AR126" s="45"/>
      <c r="AS126" s="46"/>
      <c r="AV126" s="3">
        <v>1</v>
      </c>
    </row>
    <row r="127" spans="2:48" ht="21" customHeight="1">
      <c r="B127" s="2146"/>
      <c r="C127" s="2151" t="s">
        <v>8875</v>
      </c>
      <c r="D127" s="2147"/>
      <c r="E127" s="2147"/>
      <c r="F127" s="2148"/>
      <c r="G127" s="2152"/>
      <c r="H127" s="2152"/>
      <c r="I127" s="2152"/>
      <c r="J127" s="2152"/>
      <c r="K127" s="2153" t="s">
        <v>8863</v>
      </c>
      <c r="L127" s="2154" t="s">
        <v>21</v>
      </c>
      <c r="N127" s="1651" t="s">
        <v>10</v>
      </c>
      <c r="O127" s="31" t="str">
        <f>O130</f>
        <v>B BEIGNETS D'ACACIA | pâtisserie--Beignets| Auteur &gt; Journal des Femmes</v>
      </c>
      <c r="P127" s="32">
        <f>P130</f>
        <v>6</v>
      </c>
      <c r="Q127" s="32" t="str">
        <f>Q130</f>
        <v>personnes</v>
      </c>
      <c r="R127" s="33" t="str">
        <f>R130</f>
        <v>Recette mère ► Beignets d'acacia</v>
      </c>
      <c r="S127" s="39" t="s">
        <v>32</v>
      </c>
      <c r="T127" s="40"/>
      <c r="U127" s="40"/>
      <c r="V127" s="41" t="s">
        <v>33</v>
      </c>
      <c r="W127" s="6736" t="str">
        <f>Y130&amp;" "&amp;Z130&amp;" ► Famille = "&amp;AE124&amp;" ► "&amp;V124&amp;" "&amp;AC127&amp;" "&amp;AE127&amp;" "&amp;AF127&amp;" "&amp;AG127</f>
        <v>Recette mère ► Beignets d'acacia ► Famille = pâtisserie--Beignets ► BEIGNETS D'ACACIA  ⓫  Dupliquée pour 50 personnes</v>
      </c>
      <c r="X127" s="6736"/>
      <c r="Y127" s="6736"/>
      <c r="Z127" s="6736"/>
      <c r="AA127" s="6736"/>
      <c r="AB127" s="6736"/>
      <c r="AC127" s="6736"/>
      <c r="AD127" s="1359"/>
      <c r="AE127" s="1359" t="s">
        <v>35</v>
      </c>
      <c r="AF127" s="140">
        <v>50</v>
      </c>
      <c r="AG127" s="43" t="str">
        <f>AG129</f>
        <v>personnes</v>
      </c>
      <c r="AJ127" s="1651" t="str">
        <f t="shared" si="15"/>
        <v>A</v>
      </c>
      <c r="AK127" s="1616"/>
      <c r="AL127" s="1333" t="s">
        <v>21</v>
      </c>
      <c r="AM127" s="6588"/>
      <c r="AN127" s="148" t="s">
        <v>404</v>
      </c>
      <c r="AO127" s="374"/>
      <c r="AP127" s="45"/>
      <c r="AQ127" s="45"/>
      <c r="AR127" s="45"/>
      <c r="AS127" s="46"/>
      <c r="AV127" s="3">
        <v>1</v>
      </c>
    </row>
    <row r="128" spans="2:48" ht="21" customHeight="1">
      <c r="B128" s="2155">
        <f>IF(C128="","",LEN(TRIM(SUBSTITUTE(C128,CHAR(160),""))))</f>
        <v>89</v>
      </c>
      <c r="C128" s="2128" t="s">
        <v>8874</v>
      </c>
      <c r="D128" s="2136"/>
      <c r="E128" s="2136"/>
      <c r="F128" s="2136"/>
      <c r="G128" s="2136"/>
      <c r="H128" s="2136"/>
      <c r="I128" s="2136"/>
      <c r="J128" s="2136"/>
      <c r="K128" s="2156"/>
      <c r="L128" s="2126" t="str" cm="1">
        <f t="array" ref="L128">IF(B128&lt;=0,0,ROUNDUP(SUMPRODUCT(LEN(C128:K128))/B128,0))&amp;" ligne(s)"</f>
        <v>1 ligne(s)</v>
      </c>
      <c r="N128" s="1651" t="s">
        <v>10</v>
      </c>
      <c r="O128" s="31" t="str">
        <f>O130</f>
        <v>B BEIGNETS D'ACACIA | pâtisserie--Beignets| Auteur &gt; Journal des Femmes</v>
      </c>
      <c r="P128" s="32">
        <f>P130</f>
        <v>6</v>
      </c>
      <c r="Q128" s="32" t="str">
        <f>Q130</f>
        <v>personnes</v>
      </c>
      <c r="R128" s="33" t="str">
        <f>R130</f>
        <v>Recette mère ► Beignets d'acacia</v>
      </c>
      <c r="S128" s="1360">
        <v>6</v>
      </c>
      <c r="T128" s="1361" t="s">
        <v>8237</v>
      </c>
      <c r="U128" s="39"/>
      <c r="V128" s="39"/>
      <c r="W128" s="6736"/>
      <c r="X128" s="6736"/>
      <c r="Y128" s="6736"/>
      <c r="Z128" s="6736"/>
      <c r="AA128" s="6736"/>
      <c r="AB128" s="6736"/>
      <c r="AC128" s="6736"/>
      <c r="AD128" s="696"/>
      <c r="AE128" s="696"/>
      <c r="AF128" s="47" t="s">
        <v>40</v>
      </c>
      <c r="AG128" s="48" t="s">
        <v>41</v>
      </c>
      <c r="AJ128" s="1651" t="str">
        <f t="shared" si="15"/>
        <v>A</v>
      </c>
      <c r="AK128" s="1616"/>
      <c r="AL128" s="1333" t="s">
        <v>21</v>
      </c>
      <c r="AM128" s="6588"/>
      <c r="AN128" s="378" t="s">
        <v>408</v>
      </c>
      <c r="AO128" s="374"/>
      <c r="AP128" s="45"/>
      <c r="AQ128" s="45"/>
      <c r="AR128" s="45"/>
      <c r="AS128" s="46"/>
      <c r="AV128" s="3">
        <v>1</v>
      </c>
    </row>
    <row r="129" spans="2:48" ht="21" customHeight="1">
      <c r="B129" s="6939" t="s">
        <v>1527</v>
      </c>
      <c r="C129" s="6940" t="s">
        <v>8234</v>
      </c>
      <c r="D129" s="6940"/>
      <c r="E129" s="6940"/>
      <c r="F129" s="6940"/>
      <c r="G129" s="6940"/>
      <c r="H129" s="6940"/>
      <c r="I129" s="6940"/>
      <c r="J129" s="6940"/>
      <c r="K129" s="6940"/>
      <c r="L129" s="6942" t="s">
        <v>8859</v>
      </c>
      <c r="N129" s="1651" t="s">
        <v>10</v>
      </c>
      <c r="O129" s="31" t="str">
        <f>O130</f>
        <v>B BEIGNETS D'ACACIA | pâtisserie--Beignets| Auteur &gt; Journal des Femmes</v>
      </c>
      <c r="P129" s="32">
        <f>P130</f>
        <v>6</v>
      </c>
      <c r="Q129" s="32" t="str">
        <f>Q130</f>
        <v>personnes</v>
      </c>
      <c r="R129" s="33" t="str">
        <f>R130</f>
        <v>Recette mère ► Beignets d'acacia</v>
      </c>
      <c r="S129" s="53"/>
      <c r="T129" s="1323" t="s">
        <v>8094</v>
      </c>
      <c r="U129" s="6737">
        <f>AC146</f>
        <v>0.7</v>
      </c>
      <c r="V129" s="6737"/>
      <c r="W129" s="1324" t="str" cm="1">
        <f t="array" ref="W129">"1= "&amp;IF(OR(S128&lt;=0,U129=""),"",_xlfn.LET(_xlpm.kg,IF(ISNUMBER(U129),U129,VALEUR(SUBSTITUTE(SUBSTITUTE(SUBSTITUTE(LOWER(U129),"kg",""),",",".")," ",""))),TEXT(ROUND(_xlpm.kg*1000/S128,2),"0.##")&amp;" g"))</f>
        <v>1= 116.67 g</v>
      </c>
      <c r="X129" s="1325">
        <f>IFERROR(AF127/AF129,0)</f>
        <v>8.3333333333333339</v>
      </c>
      <c r="Y129" s="1817" t="s">
        <v>8230</v>
      </c>
      <c r="Z129" s="579"/>
      <c r="AA129" s="55"/>
      <c r="AB129" s="55"/>
      <c r="AD129" s="1362"/>
      <c r="AE129" s="1362" t="s">
        <v>50</v>
      </c>
      <c r="AF129" s="154">
        <v>6</v>
      </c>
      <c r="AG129" s="56" t="s">
        <v>8237</v>
      </c>
      <c r="AJ129" s="1651" t="str">
        <f t="shared" si="15"/>
        <v>A</v>
      </c>
      <c r="AK129" s="1616"/>
      <c r="AL129" s="1333" t="s">
        <v>21</v>
      </c>
      <c r="AM129" s="6588"/>
      <c r="AN129" s="373" t="s">
        <v>412</v>
      </c>
      <c r="AO129" s="379"/>
      <c r="AP129" s="45"/>
      <c r="AQ129" s="45"/>
      <c r="AR129" s="45"/>
      <c r="AS129" s="46"/>
      <c r="AV129" s="3">
        <v>1</v>
      </c>
    </row>
    <row r="130" spans="2:48" ht="21" customHeight="1">
      <c r="B130" s="6939"/>
      <c r="C130" s="6941"/>
      <c r="D130" s="6941"/>
      <c r="E130" s="6941"/>
      <c r="F130" s="6941"/>
      <c r="G130" s="6941"/>
      <c r="H130" s="6941"/>
      <c r="I130" s="6941"/>
      <c r="J130" s="6941"/>
      <c r="K130" s="6941"/>
      <c r="L130" s="6942"/>
      <c r="N130" s="1651" t="s">
        <v>10</v>
      </c>
      <c r="O130" s="61" t="str">
        <f>S130</f>
        <v>B BEIGNETS D'ACACIA | pâtisserie--Beignets| Auteur &gt; Journal des Femmes</v>
      </c>
      <c r="P130" s="62">
        <f>S128</f>
        <v>6</v>
      </c>
      <c r="Q130" s="61" t="str">
        <f>T128</f>
        <v>personnes</v>
      </c>
      <c r="R130" s="63" t="str">
        <f>Y130&amp;" "&amp;Z130</f>
        <v>Recette mère ► Beignets d'acacia</v>
      </c>
      <c r="S130" s="64" t="str">
        <f>UPPER(LEFT(V124,1))&amp;" "&amp;V124&amp;" | "&amp;AE124&amp;"| "&amp;V126&amp;" "&amp;W126</f>
        <v>B BEIGNETS D'ACACIA | pâtisserie--Beignets| Auteur &gt; Journal des Femmes</v>
      </c>
      <c r="T130" s="65" t="s">
        <v>53</v>
      </c>
      <c r="U130" s="6735" t="s">
        <v>54</v>
      </c>
      <c r="V130" s="6735"/>
      <c r="W130" s="6735"/>
      <c r="X130" s="66"/>
      <c r="Y130" s="66" t="str">
        <f>IF(ISTEXT(Z130),"Recette mère ►",T130)</f>
        <v>Recette mère ►</v>
      </c>
      <c r="Z130" s="67" t="s">
        <v>8142</v>
      </c>
      <c r="AA130" s="67"/>
      <c r="AB130" s="67"/>
      <c r="AC130" s="883"/>
      <c r="AD130" s="68"/>
      <c r="AE130" s="68"/>
      <c r="AF130" s="68"/>
      <c r="AG130"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J130" s="1651" t="str">
        <f t="shared" si="15"/>
        <v>A</v>
      </c>
      <c r="AK130" s="1616"/>
      <c r="AL130" s="1333" t="s">
        <v>21</v>
      </c>
      <c r="AM130" s="44"/>
      <c r="AN130" s="45"/>
      <c r="AO130" s="45"/>
      <c r="AP130" s="45"/>
      <c r="AQ130" s="45"/>
      <c r="AR130" s="45"/>
      <c r="AS130" s="46"/>
      <c r="AV130" s="3">
        <v>1</v>
      </c>
    </row>
    <row r="131" spans="2:48" ht="21" customHeight="1">
      <c r="B131" s="1610" cm="1">
        <f t="array" ref="B131">SUMPRODUCT(LEN(C131:K131))</f>
        <v>0</v>
      </c>
      <c r="C131" s="1837"/>
      <c r="D131" s="1837"/>
      <c r="E131" s="1837"/>
      <c r="F131" s="1837"/>
      <c r="G131" s="1837"/>
      <c r="H131" s="1837"/>
      <c r="I131" s="1837"/>
      <c r="J131" s="1837"/>
      <c r="K131" s="1837"/>
      <c r="L131" s="2126" t="str" cm="1">
        <f t="array" ref="L131">IF(B128&lt;=0,0,ROUNDUP(SUMPRODUCT(LEN(C131:K131))/B128,0))&amp;" ligne(s)"</f>
        <v>0 ligne(s)</v>
      </c>
      <c r="N131" s="1651" t="s">
        <v>10</v>
      </c>
      <c r="O131" s="70" t="str">
        <f>O130</f>
        <v>B BEIGNETS D'ACACIA | pâtisserie--Beignets| Auteur &gt; Journal des Femmes</v>
      </c>
      <c r="P131" s="70">
        <f>P130</f>
        <v>6</v>
      </c>
      <c r="Q131" s="70" t="str">
        <f>Q130</f>
        <v>personnes</v>
      </c>
      <c r="R131" s="71" t="str">
        <f>R130</f>
        <v>Recette mère ► Beignets d'acacia</v>
      </c>
      <c r="S131" s="12" t="s">
        <v>65</v>
      </c>
      <c r="T131" s="12" t="s">
        <v>66</v>
      </c>
      <c r="U131" s="12" t="s">
        <v>67</v>
      </c>
      <c r="V131" s="12" t="s">
        <v>68</v>
      </c>
      <c r="W131" s="72" t="s">
        <v>69</v>
      </c>
      <c r="X131" s="73" t="s">
        <v>70</v>
      </c>
      <c r="Y131" s="12" t="s">
        <v>71</v>
      </c>
      <c r="Z131" s="12" t="s">
        <v>72</v>
      </c>
      <c r="AA131" s="12" t="s">
        <v>73</v>
      </c>
      <c r="AB131" s="12" t="s">
        <v>74</v>
      </c>
      <c r="AC131" s="12" t="s">
        <v>75</v>
      </c>
      <c r="AD131" s="12" t="s">
        <v>76</v>
      </c>
      <c r="AE131" s="12" t="s">
        <v>77</v>
      </c>
      <c r="AF131" s="12" t="s">
        <v>8143</v>
      </c>
      <c r="AG131" s="74" t="s">
        <v>8407</v>
      </c>
      <c r="AJ131" s="1651" t="str">
        <f t="shared" si="15"/>
        <v>A</v>
      </c>
      <c r="AK131" s="1616"/>
      <c r="AL131" s="1333" t="s">
        <v>21</v>
      </c>
      <c r="AM131" s="44"/>
      <c r="AN131" s="45"/>
      <c r="AO131" s="45"/>
      <c r="AP131" s="45"/>
      <c r="AQ131" s="45"/>
      <c r="AR131" s="45"/>
      <c r="AS131" s="46"/>
      <c r="AV131" s="3">
        <v>1</v>
      </c>
    </row>
    <row r="132" spans="2:48" ht="21" customHeight="1">
      <c r="B132" s="1610" cm="1">
        <f t="array" ref="B132">SUMPRODUCT(LEN(C132:K132))</f>
        <v>36</v>
      </c>
      <c r="C132" s="1810"/>
      <c r="D132" s="1810"/>
      <c r="E132" s="2125" t="s">
        <v>8299</v>
      </c>
      <c r="F132" s="2125"/>
      <c r="G132" s="1810"/>
      <c r="H132" s="1810"/>
      <c r="I132" s="1810"/>
      <c r="J132" s="1810"/>
      <c r="K132" s="1810"/>
      <c r="L132" s="2126" t="str" cm="1">
        <f t="array" ref="L132">IF(B128&lt;=0,0,ROUNDUP(SUMPRODUCT(LEN(C132:K132))/B128,0))&amp;" ligne(s)"</f>
        <v>1 ligne(s)</v>
      </c>
      <c r="N132" s="1651" t="s">
        <v>10</v>
      </c>
      <c r="O132" s="31" t="str">
        <f>O130</f>
        <v>B BEIGNETS D'ACACIA | pâtisserie--Beignets| Auteur &gt; Journal des Femmes</v>
      </c>
      <c r="P132" s="32">
        <f>P130</f>
        <v>6</v>
      </c>
      <c r="Q132" s="31" t="str">
        <f>Q130</f>
        <v>personnes</v>
      </c>
      <c r="R132" s="33" t="str">
        <f>R130</f>
        <v>Recette mère ► Beignets d'acacia</v>
      </c>
      <c r="S132" s="76" t="s">
        <v>78</v>
      </c>
      <c r="T132" s="77" t="s">
        <v>79</v>
      </c>
      <c r="U132" s="78"/>
      <c r="V132" s="6612" t="s">
        <v>80</v>
      </c>
      <c r="W132" s="6730" t="s">
        <v>81</v>
      </c>
      <c r="X132" s="6732" t="s">
        <v>82</v>
      </c>
      <c r="Y132" s="6738" t="s">
        <v>8575</v>
      </c>
      <c r="Z132" s="79" t="s">
        <v>83</v>
      </c>
      <c r="AA132" s="80" t="s">
        <v>49</v>
      </c>
      <c r="AB132" s="81" t="s">
        <v>84</v>
      </c>
      <c r="AC132" s="6607" t="s">
        <v>85</v>
      </c>
      <c r="AD132" s="6582" t="s">
        <v>84</v>
      </c>
      <c r="AE132" s="6727" t="s">
        <v>8405</v>
      </c>
      <c r="AF132" s="6584" t="s">
        <v>86</v>
      </c>
      <c r="AG132" s="6728" t="s">
        <v>87</v>
      </c>
      <c r="AJ132" s="1651" t="str">
        <f t="shared" si="15"/>
        <v>A</v>
      </c>
      <c r="AK132" s="1616"/>
      <c r="AL132" s="1333" t="s">
        <v>21</v>
      </c>
      <c r="AM132" s="44"/>
      <c r="AN132" s="45"/>
      <c r="AO132" s="45"/>
      <c r="AP132" s="45"/>
      <c r="AQ132" s="45"/>
      <c r="AR132" s="45"/>
      <c r="AS132" s="46"/>
      <c r="AV132" s="3">
        <v>1</v>
      </c>
    </row>
    <row r="133" spans="2:48" ht="21" customHeight="1">
      <c r="B133" s="1610" cm="1">
        <f t="array" ref="B133">SUMPRODUCT(LEN(C133:K133))</f>
        <v>0</v>
      </c>
      <c r="C133" s="1810"/>
      <c r="D133" s="1810"/>
      <c r="E133" s="1810"/>
      <c r="F133" s="1810"/>
      <c r="G133" s="1810"/>
      <c r="H133" s="1810"/>
      <c r="I133" s="1810"/>
      <c r="J133" s="1810"/>
      <c r="K133" s="1810"/>
      <c r="L133" s="2126" t="str" cm="1">
        <f t="array" ref="L133">IF(B128&lt;=0,0,ROUNDUP(SUMPRODUCT(LEN(C133:K133))/B128,0))&amp;" ligne(s)"</f>
        <v>0 ligne(s)</v>
      </c>
      <c r="N133" s="1651" t="s">
        <v>10</v>
      </c>
      <c r="O133" s="31" t="str">
        <f>O130</f>
        <v>B BEIGNETS D'ACACIA | pâtisserie--Beignets| Auteur &gt; Journal des Femmes</v>
      </c>
      <c r="P133" s="32">
        <f>P130</f>
        <v>6</v>
      </c>
      <c r="Q133" s="31" t="str">
        <f>Q130</f>
        <v>personnes</v>
      </c>
      <c r="R133" s="33" t="str">
        <f>R130</f>
        <v>Recette mère ► Beignets d'acacia</v>
      </c>
      <c r="S133" s="83" t="s">
        <v>92</v>
      </c>
      <c r="T133" s="84" t="s">
        <v>93</v>
      </c>
      <c r="U133" s="85" t="s">
        <v>94</v>
      </c>
      <c r="V133" s="6577"/>
      <c r="W133" s="6471"/>
      <c r="X133" s="6606"/>
      <c r="Y133" s="6739"/>
      <c r="Z133" s="86" t="s">
        <v>95</v>
      </c>
      <c r="AA133" s="87" t="s">
        <v>96</v>
      </c>
      <c r="AB133" s="88">
        <v>1</v>
      </c>
      <c r="AC133" s="6608"/>
      <c r="AD133" s="6583"/>
      <c r="AE133" s="6583"/>
      <c r="AF133" s="6585"/>
      <c r="AG133" s="6786"/>
      <c r="AJ133" s="1651" t="str">
        <f t="shared" si="15"/>
        <v>A</v>
      </c>
      <c r="AK133" s="1616"/>
      <c r="AL133" s="1333" t="s">
        <v>21</v>
      </c>
      <c r="AM133" s="44"/>
      <c r="AN133" s="45"/>
      <c r="AO133" s="45"/>
      <c r="AP133" s="45"/>
      <c r="AQ133" s="45"/>
      <c r="AR133" s="45"/>
      <c r="AS133" s="46"/>
      <c r="AV133" s="3">
        <v>1</v>
      </c>
    </row>
    <row r="134" spans="2:48" ht="21" customHeight="1">
      <c r="B134" s="1610" cm="1">
        <f t="array" ref="B134">SUMPRODUCT(LEN(C134:K134))</f>
        <v>0</v>
      </c>
      <c r="C134" s="1810"/>
      <c r="D134" s="1810"/>
      <c r="E134" s="1810"/>
      <c r="F134" s="1810"/>
      <c r="G134" s="1810"/>
      <c r="H134" s="1810"/>
      <c r="I134" s="1810"/>
      <c r="J134" s="1810"/>
      <c r="K134" s="1810"/>
      <c r="L134" s="2126" t="str" cm="1">
        <f t="array" ref="L134">IF(B128&lt;=0,0,ROUNDUP(SUMPRODUCT(LEN(C134:K134))/B128,0))&amp;" ligne(s)"</f>
        <v>0 ligne(s)</v>
      </c>
      <c r="N134" s="1651" t="s">
        <v>10</v>
      </c>
      <c r="O134" s="31" t="str">
        <f>O130</f>
        <v>B BEIGNETS D'ACACIA | pâtisserie--Beignets| Auteur &gt; Journal des Femmes</v>
      </c>
      <c r="P134" s="32">
        <f>P130</f>
        <v>6</v>
      </c>
      <c r="Q134" s="31" t="str">
        <f>Q130</f>
        <v>personnes</v>
      </c>
      <c r="R134" s="33" t="str">
        <f>R130</f>
        <v>Recette mère ► Beignets d'acacia</v>
      </c>
      <c r="S134" s="89"/>
      <c r="T134" s="108"/>
      <c r="U134" s="1363" t="str">
        <f t="shared" ref="U134:U142" si="23">IF(AND(S134&gt;0,V134&gt;0),"de","")</f>
        <v/>
      </c>
      <c r="V134" s="92"/>
      <c r="W134" s="1364"/>
      <c r="X134" s="130">
        <v>1</v>
      </c>
      <c r="Y134" s="1812" t="str">
        <f>ROWS(Y134:Y134)&amp;" ►"</f>
        <v>1 ►</v>
      </c>
      <c r="Z134" s="1580"/>
      <c r="AA134" s="95">
        <f>IF(AC146=0,0,(AC134/AC146)*AB133*1000)</f>
        <v>0</v>
      </c>
      <c r="AB134" s="96">
        <f>IF(AC146=0, 0, (S134*X134)/(AC146*AB133))</f>
        <v>0</v>
      </c>
      <c r="AC134" s="97" cm="1">
        <f t="array" ref="AC134">IFERROR(_xlfn.XLOOKUP(UPPER(TRIM(W134)),UPPER(TRIM(S147:AG147)),S148:AG148,_xlfn.XLOOKUP(UPPER(TRIM(W134)),UPPER(TRIM(S149:AG149)),S150:AG150,0))*V134*IF(S134&gt;0,S134,1),0)</f>
        <v>0</v>
      </c>
      <c r="AD134" s="98">
        <f>IF(AF129&lt;&gt;0,S134*X134*X129,0)</f>
        <v>0</v>
      </c>
      <c r="AE134" s="1834">
        <f>T134</f>
        <v>0</v>
      </c>
      <c r="AF134" s="99">
        <f>IF(OR(ISBLANK(AF129),AF129=0),0,AC134*X134*X129)</f>
        <v>0</v>
      </c>
      <c r="AG134" s="100" t="str">
        <f>IF(W134="","",IF(COUNTIF(Z147:AG147,SUBSTITUTE(TRIM(W134)," (s)",""))+COUNTIF(Z149:AG149,SUBSTITUTE(TRIM(W134)," (s)",""))&gt;0,IF(ROUND(AF134,3)&gt;=1,ROUND(AF134,3)&amp;" L",MAX(1,ROUND(AF134*100,0))&amp;" cl"),IF(COUNTIF(S147:X147,SUBSTITUTE(TRIM(W134)," (s)",""))+COUNTIF(S149:X149,SUBSTITUTE(TRIM(W134)," (s)",""))&gt;0,IF(ROUND(AF134,3)&gt;=1,ROUND(AF134,3)&amp;" Kg",MAX(1,ROUND(AF134*1000,0))&amp;" g"),"")))</f>
        <v/>
      </c>
      <c r="AJ134" s="1651" t="str">
        <f t="shared" si="15"/>
        <v>A</v>
      </c>
      <c r="AK134" s="1616"/>
      <c r="AL134" s="1333" t="s">
        <v>21</v>
      </c>
      <c r="AM134" s="44"/>
      <c r="AN134" s="45"/>
      <c r="AO134" s="45"/>
      <c r="AP134" s="45"/>
      <c r="AQ134" s="45"/>
      <c r="AR134" s="45"/>
      <c r="AS134" s="46"/>
      <c r="AV134" s="3">
        <v>1</v>
      </c>
    </row>
    <row r="135" spans="2:48" ht="21" customHeight="1">
      <c r="B135" s="1610" cm="1">
        <f t="array" ref="B135">SUMPRODUCT(LEN(C135:K135))</f>
        <v>0</v>
      </c>
      <c r="C135" s="1810"/>
      <c r="D135" s="1810"/>
      <c r="E135" s="1810"/>
      <c r="F135" s="1810"/>
      <c r="G135" s="1810"/>
      <c r="H135" s="1810"/>
      <c r="I135" s="1810"/>
      <c r="J135" s="1810"/>
      <c r="K135" s="1810"/>
      <c r="L135" s="2126" t="str" cm="1">
        <f t="array" ref="L135">IF(B128&lt;=0,0,ROUNDUP(SUMPRODUCT(LEN(C135:K135))/B128,0))&amp;" ligne(s)"</f>
        <v>0 ligne(s)</v>
      </c>
      <c r="N135" s="103" t="str">
        <f>IF(Z135&lt;&gt;"","A","►")</f>
        <v>A</v>
      </c>
      <c r="O135" s="31" t="str">
        <f>O130</f>
        <v>B BEIGNETS D'ACACIA | pâtisserie--Beignets| Auteur &gt; Journal des Femmes</v>
      </c>
      <c r="P135" s="32">
        <f>P130</f>
        <v>6</v>
      </c>
      <c r="Q135" s="31" t="str">
        <f>Q130</f>
        <v>personnes</v>
      </c>
      <c r="R135" s="33" t="str">
        <f>R130</f>
        <v>Recette mère ► Beignets d'acacia</v>
      </c>
      <c r="S135" s="89">
        <v>20</v>
      </c>
      <c r="T135" s="108" t="s">
        <v>8276</v>
      </c>
      <c r="U135" s="91" t="str">
        <f t="shared" si="23"/>
        <v/>
      </c>
      <c r="V135" s="92"/>
      <c r="W135" s="1364"/>
      <c r="X135" s="130">
        <v>1</v>
      </c>
      <c r="Y135" s="1813" t="str">
        <f>ROWS(Y134:Y135)&amp;" ►"</f>
        <v>2 ►</v>
      </c>
      <c r="Z135" s="1580" t="s">
        <v>8277</v>
      </c>
      <c r="AA135" s="95">
        <f>IF(AC146=0,0,(AC135/AC146)*AB133*1000)</f>
        <v>0</v>
      </c>
      <c r="AB135" s="105">
        <f>IF(AC146=0, 0, (S135*X135)/(AC146*AB133))</f>
        <v>28.571428571428573</v>
      </c>
      <c r="AC135" s="97" cm="1">
        <f t="array" ref="AC135">IFERROR(_xlfn.XLOOKUP(UPPER(TRIM(W135)),UPPER(TRIM(S147:AG147)),S148:AG148,_xlfn.XLOOKUP(UPPER(TRIM(W135)),UPPER(TRIM(S149:AG149)),S150:AG150,0))*V135*IF(S135&gt;0,S135,1),0)</f>
        <v>0</v>
      </c>
      <c r="AD135" s="110">
        <f>IF(AF129&lt;&gt;0,S135*X135*X129,0)</f>
        <v>166.66666666666669</v>
      </c>
      <c r="AE135" s="1748" t="str">
        <f t="shared" ref="AE135:AE145" si="24">T135</f>
        <v>grappes</v>
      </c>
      <c r="AF135" s="99">
        <f>IF(OR(ISBLANK(AF129),AF129=0),0,AC135*X135*X129)</f>
        <v>0</v>
      </c>
      <c r="AG135" s="111" t="str">
        <f>IF(W135="","",IF(COUNTIF(Z147:AG147,SUBSTITUTE(TRIM(W135)," (s)",""))+COUNTIF(Z149:AG149,SUBSTITUTE(TRIM(W135)," (s)",""))&gt;0,IF(ROUND(AF135,3)&gt;=1,ROUND(AF135,3)&amp;" L",MAX(1,ROUND(AF135*100,0))&amp;" cl"),IF(COUNTIF(S147:X147,SUBSTITUTE(TRIM(W135)," (s)",""))+COUNTIF(S149:X149,SUBSTITUTE(TRIM(W135)," (s)",""))&gt;0,IF(ROUND(AF135,3)&gt;=1,ROUND(AF135,3)&amp;" Kg",MAX(1,ROUND(AF135*1000,0))&amp;" g"),"")))</f>
        <v/>
      </c>
      <c r="AJ135" s="103" t="str">
        <f t="shared" si="15"/>
        <v>A</v>
      </c>
      <c r="AK135" s="1616"/>
      <c r="AL135" s="1333" t="s">
        <v>21</v>
      </c>
      <c r="AM135" s="44"/>
      <c r="AN135" s="45"/>
      <c r="AO135" s="45"/>
      <c r="AP135" s="45"/>
      <c r="AQ135" s="45"/>
      <c r="AR135" s="45"/>
      <c r="AS135" s="46"/>
      <c r="AV135" s="3">
        <v>1</v>
      </c>
    </row>
    <row r="136" spans="2:48" ht="21" customHeight="1">
      <c r="B136" s="1610" cm="1">
        <f t="array" ref="B136">SUMPRODUCT(LEN(C136:K136))</f>
        <v>0</v>
      </c>
      <c r="C136" s="1810"/>
      <c r="D136" s="1810"/>
      <c r="E136" s="1810"/>
      <c r="F136" s="1810"/>
      <c r="G136" s="1810"/>
      <c r="H136" s="1810"/>
      <c r="I136" s="1810"/>
      <c r="J136" s="1810"/>
      <c r="K136" s="1810"/>
      <c r="L136" s="2126" t="str" cm="1">
        <f t="array" ref="L136">IF(B128&lt;=0,0,ROUNDUP(SUMPRODUCT(LEN(C136:K136))/B128,0))&amp;" ligne(s)"</f>
        <v>0 ligne(s)</v>
      </c>
      <c r="N136" s="103" t="str">
        <f t="shared" ref="N136:N144" si="25">IF(Z136&lt;&gt;"","A","►")</f>
        <v>A</v>
      </c>
      <c r="O136" s="31" t="str">
        <f>O130</f>
        <v>B BEIGNETS D'ACACIA | pâtisserie--Beignets| Auteur &gt; Journal des Femmes</v>
      </c>
      <c r="P136" s="32">
        <f>P130</f>
        <v>6</v>
      </c>
      <c r="Q136" s="31" t="str">
        <f>Q130</f>
        <v>personnes</v>
      </c>
      <c r="R136" s="33" t="str">
        <f>R130</f>
        <v>Recette mère ► Beignets d'acacia</v>
      </c>
      <c r="S136" s="89"/>
      <c r="T136" s="108"/>
      <c r="U136" s="1363" t="str">
        <f t="shared" si="23"/>
        <v/>
      </c>
      <c r="V136" s="92">
        <v>0.5</v>
      </c>
      <c r="W136" s="93" t="s">
        <v>0</v>
      </c>
      <c r="X136" s="130">
        <v>1</v>
      </c>
      <c r="Y136" s="1813" t="str">
        <f>ROWS(Y134:Y136)&amp;" ►"</f>
        <v>3 ►</v>
      </c>
      <c r="Z136" s="1580" t="s">
        <v>8246</v>
      </c>
      <c r="AA136" s="95">
        <f>IF(AC146=0,0,(AC136/AC146)*AB133*1000)</f>
        <v>714.28571428571433</v>
      </c>
      <c r="AB136" s="105">
        <f>IF(AC146=0, 0, (S136*X136)/(AC146*AB133))</f>
        <v>0</v>
      </c>
      <c r="AC136" s="97" cm="1">
        <f t="array" ref="AC136">IFERROR(_xlfn.XLOOKUP(UPPER(TRIM(W136)),UPPER(TRIM(S147:AG147)),S148:AG148,_xlfn.XLOOKUP(UPPER(TRIM(W136)),UPPER(TRIM(S149:AG149)),S150:AG150,0))*V136*IF(S136&gt;0,S136,1),0)</f>
        <v>0.5</v>
      </c>
      <c r="AD136" s="106">
        <f>IF(AF129&lt;&gt;0,S136*X136*X129,0)</f>
        <v>0</v>
      </c>
      <c r="AE136" s="1747">
        <f t="shared" si="24"/>
        <v>0</v>
      </c>
      <c r="AF136" s="99">
        <f>IF(OR(ISBLANK(AF129),AF129=0),0,AC136*X136*X129)</f>
        <v>4.166666666666667</v>
      </c>
      <c r="AG136" s="107" t="str">
        <f>IF(W136="","",IF(COUNTIF(Z147:AG147,SUBSTITUTE(TRIM(W136)," (s)",""))+COUNTIF(Z149:AG149,SUBSTITUTE(TRIM(W136)," (s)",""))&gt;0,IF(ROUND(AF136,3)&gt;=1,ROUND(AF136,3)&amp;" L",MAX(1,ROUND(AF136*100,0))&amp;" cl"),IF(COUNTIF(S147:X147,SUBSTITUTE(TRIM(W136)," (s)",""))+COUNTIF(S149:X149,SUBSTITUTE(TRIM(W136)," (s)",""))&gt;0,IF(ROUND(AF136,3)&gt;=1,ROUND(AF136,3)&amp;" Kg",MAX(1,ROUND(AF136*1000,0))&amp;" g"),"")))</f>
        <v>4.167 L</v>
      </c>
      <c r="AJ136" s="103" t="str">
        <f t="shared" si="15"/>
        <v>A</v>
      </c>
      <c r="AK136" s="1616"/>
      <c r="AL136" s="1333" t="s">
        <v>21</v>
      </c>
      <c r="AM136" s="44"/>
      <c r="AN136" s="45"/>
      <c r="AO136" s="45"/>
      <c r="AP136" s="45"/>
      <c r="AQ136" s="45"/>
      <c r="AR136" s="45"/>
      <c r="AS136" s="46"/>
      <c r="AV136" s="3">
        <v>1</v>
      </c>
    </row>
    <row r="137" spans="2:48" ht="21" customHeight="1">
      <c r="B137" s="1610" cm="1">
        <f t="array" ref="B137">SUMPRODUCT(LEN(C137:K137))</f>
        <v>0</v>
      </c>
      <c r="C137" s="1810"/>
      <c r="D137" s="1810"/>
      <c r="E137" s="1810"/>
      <c r="F137" s="1810"/>
      <c r="G137" s="1810"/>
      <c r="H137" s="1810"/>
      <c r="I137" s="1810"/>
      <c r="J137" s="1810"/>
      <c r="K137" s="1810"/>
      <c r="L137" s="2126" t="str" cm="1">
        <f t="array" ref="L137">IF(B128&lt;=0,0,ROUNDUP(SUMPRODUCT(LEN(C137:K137))/B128,0))&amp;" ligne(s)"</f>
        <v>0 ligne(s)</v>
      </c>
      <c r="N137" s="103" t="str">
        <f t="shared" si="25"/>
        <v>A</v>
      </c>
      <c r="O137" s="31" t="str">
        <f>O130</f>
        <v>B BEIGNETS D'ACACIA | pâtisserie--Beignets| Auteur &gt; Journal des Femmes</v>
      </c>
      <c r="P137" s="32">
        <f>P130</f>
        <v>6</v>
      </c>
      <c r="Q137" s="31" t="str">
        <f>Q130</f>
        <v>personnes</v>
      </c>
      <c r="R137" s="33" t="str">
        <f>R130</f>
        <v>Recette mère ► Beignets d'acacia</v>
      </c>
      <c r="S137" s="89">
        <v>1</v>
      </c>
      <c r="T137" s="108" t="s">
        <v>8300</v>
      </c>
      <c r="U137" s="91" t="str">
        <f t="shared" si="23"/>
        <v>de</v>
      </c>
      <c r="V137" s="92">
        <v>100</v>
      </c>
      <c r="W137" s="104" t="s">
        <v>100</v>
      </c>
      <c r="X137" s="130">
        <v>1</v>
      </c>
      <c r="Y137" s="1813" t="str">
        <f>ROWS(Y134:Y137)&amp;" ►"</f>
        <v>4 ►</v>
      </c>
      <c r="Z137" s="1580" t="s">
        <v>8243</v>
      </c>
      <c r="AA137" s="95">
        <f>IF(AC146=0,0,(AC137/AC146)*AB133*1000)</f>
        <v>142.85714285714289</v>
      </c>
      <c r="AB137" s="105">
        <f>IF(AC146=0, 0, (S137*X137)/(AC146*AB133))</f>
        <v>1.4285714285714286</v>
      </c>
      <c r="AC137" s="97" cm="1">
        <f t="array" ref="AC137">IFERROR(_xlfn.XLOOKUP(UPPER(TRIM(W137)),UPPER(TRIM(S147:AG147)),S148:AG148,_xlfn.XLOOKUP(UPPER(TRIM(W137)),UPPER(TRIM(S149:AG149)),S150:AG150,0))*V137*IF(S137&gt;0,S137,1),0)</f>
        <v>0.1</v>
      </c>
      <c r="AD137" s="110">
        <f>IF(AF129&lt;&gt;0,S137*X137*X129,0)</f>
        <v>8.3333333333333339</v>
      </c>
      <c r="AE137" s="1748" t="str">
        <f t="shared" si="24"/>
        <v>verre</v>
      </c>
      <c r="AF137" s="99">
        <f>IF(OR(ISBLANK(AF129),AF129=0),0,AC137*X137*X129)</f>
        <v>0.83333333333333348</v>
      </c>
      <c r="AG137" s="129" t="str">
        <f>IF(W137="","",IF(COUNTIF(Z147:AG147,SUBSTITUTE(TRIM(W137)," (s)",""))+COUNTIF(Z149:AG149,SUBSTITUTE(TRIM(W137)," (s)",""))&gt;0,IF(ROUND(AF137,3)&gt;=1,ROUND(AF137,3)&amp;" L",MAX(1,ROUND(AF137*100,0))&amp;" cl"),IF(COUNTIF(S147:X147,SUBSTITUTE(TRIM(W137)," (s)",""))+COUNTIF(S149:X149,SUBSTITUTE(TRIM(W137)," (s)",""))&gt;0,IF(ROUND(AF137,3)&gt;=1,ROUND(AF137,3)&amp;" Kg",MAX(1,ROUND(AF137*1000,0))&amp;" g"),"")))</f>
        <v>833 g</v>
      </c>
      <c r="AJ137" s="103" t="str">
        <f t="shared" si="15"/>
        <v>A</v>
      </c>
      <c r="AK137" s="1616"/>
      <c r="AL137" s="1333" t="s">
        <v>21</v>
      </c>
      <c r="AM137" s="44"/>
      <c r="AN137" s="45"/>
      <c r="AO137" s="45"/>
      <c r="AP137" s="45"/>
      <c r="AQ137" s="45"/>
      <c r="AR137" s="45"/>
      <c r="AS137" s="46"/>
      <c r="AV137" s="3">
        <v>1</v>
      </c>
    </row>
    <row r="138" spans="2:48" ht="21" customHeight="1">
      <c r="B138" s="1610" cm="1">
        <f t="array" ref="B138">SUMPRODUCT(LEN(C138:K138))</f>
        <v>0</v>
      </c>
      <c r="C138" s="1810"/>
      <c r="D138" s="1810"/>
      <c r="E138" s="1810"/>
      <c r="F138" s="1810"/>
      <c r="G138" s="1810"/>
      <c r="H138" s="1810"/>
      <c r="I138" s="1810"/>
      <c r="J138" s="1810"/>
      <c r="K138" s="1810"/>
      <c r="L138" s="2126" t="str" cm="1">
        <f t="array" ref="L138">IF(B128&lt;=0,0,ROUNDUP(SUMPRODUCT(LEN(C138:K138))/B128,0))&amp;" ligne(s)"</f>
        <v>0 ligne(s)</v>
      </c>
      <c r="N138" s="103" t="str">
        <f t="shared" si="25"/>
        <v>A</v>
      </c>
      <c r="O138" s="31" t="str">
        <f>O130</f>
        <v>B BEIGNETS D'ACACIA | pâtisserie--Beignets| Auteur &gt; Journal des Femmes</v>
      </c>
      <c r="P138" s="32">
        <f>P130</f>
        <v>6</v>
      </c>
      <c r="Q138" s="31" t="str">
        <f>Q130</f>
        <v>personnes</v>
      </c>
      <c r="R138" s="33" t="str">
        <f>R130</f>
        <v>Recette mère ► Beignets d'acacia</v>
      </c>
      <c r="S138" s="89">
        <v>2</v>
      </c>
      <c r="T138" s="108" t="s">
        <v>491</v>
      </c>
      <c r="U138" s="1363" t="str">
        <f t="shared" si="23"/>
        <v>de</v>
      </c>
      <c r="V138" s="92">
        <v>50</v>
      </c>
      <c r="W138" s="104" t="s">
        <v>100</v>
      </c>
      <c r="X138" s="130">
        <v>1</v>
      </c>
      <c r="Y138" s="1813" t="str">
        <f>ROWS(Y134:Y138)&amp;" ►"</f>
        <v>5 ►</v>
      </c>
      <c r="Z138" s="1580" t="s">
        <v>8301</v>
      </c>
      <c r="AA138" s="95">
        <f>IF(AC146=0,0,(AC138/AC146)*AB133*1000)</f>
        <v>142.85714285714289</v>
      </c>
      <c r="AB138" s="105">
        <f>IF(AC146=0, 0, (S138*X138)/(AC146*AB133))</f>
        <v>2.8571428571428572</v>
      </c>
      <c r="AC138" s="97" cm="1">
        <f t="array" ref="AC138">IFERROR(_xlfn.XLOOKUP(UPPER(TRIM(W138)),UPPER(TRIM(S147:AG147)),S148:AG148,_xlfn.XLOOKUP(UPPER(TRIM(W138)),UPPER(TRIM(S149:AG149)),S150:AG150,0))*V138*IF(S138&gt;0,S138,1),0)</f>
        <v>0.1</v>
      </c>
      <c r="AD138" s="106">
        <f>IF(AF129&lt;&gt;0,S138*X138*X129,0)</f>
        <v>16.666666666666668</v>
      </c>
      <c r="AE138" s="1747" t="str">
        <f t="shared" si="24"/>
        <v>œufs</v>
      </c>
      <c r="AF138" s="99">
        <f>IF(OR(ISBLANK(AF129),AF129=0),0,AC138*X138*X129)</f>
        <v>0.83333333333333348</v>
      </c>
      <c r="AG138" s="107" t="str">
        <f>IF(W138="","",IF(COUNTIF(Z147:AG147,SUBSTITUTE(TRIM(W138)," (s)",""))+COUNTIF(Z149:AG149,SUBSTITUTE(TRIM(W138)," (s)",""))&gt;0,IF(ROUND(AF138,3)&gt;=1,ROUND(AF138,3)&amp;" L",MAX(1,ROUND(AF138*100,0))&amp;" cl"),IF(COUNTIF(S147:X147,SUBSTITUTE(TRIM(W138)," (s)",""))+COUNTIF(S149:X149,SUBSTITUTE(TRIM(W138)," (s)",""))&gt;0,IF(ROUND(AF138,3)&gt;=1,ROUND(AF138,3)&amp;" Kg",MAX(1,ROUND(AF138*1000,0))&amp;" g"),"")))</f>
        <v>833 g</v>
      </c>
      <c r="AJ138" s="103" t="str">
        <f t="shared" si="15"/>
        <v>A</v>
      </c>
      <c r="AK138" s="1616"/>
      <c r="AL138" s="1333" t="s">
        <v>21</v>
      </c>
      <c r="AM138" s="44"/>
      <c r="AN138" s="45"/>
      <c r="AO138" s="45"/>
      <c r="AP138" s="45"/>
      <c r="AQ138" s="45"/>
      <c r="AR138" s="45"/>
      <c r="AS138" s="46"/>
      <c r="AV138" s="3">
        <v>1</v>
      </c>
    </row>
    <row r="139" spans="2:48" ht="21" customHeight="1">
      <c r="B139" s="1610" cm="1">
        <f t="array" ref="B139">SUMPRODUCT(LEN(C139:K139))</f>
        <v>0</v>
      </c>
      <c r="C139" s="1810"/>
      <c r="D139" s="1810"/>
      <c r="E139" s="1810"/>
      <c r="F139" s="1810"/>
      <c r="G139" s="1810"/>
      <c r="H139" s="1810"/>
      <c r="I139" s="1810"/>
      <c r="J139" s="1810"/>
      <c r="K139" s="1810"/>
      <c r="L139" s="2126" t="str" cm="1">
        <f t="array" ref="L139">IF(B128&lt;=0,0,ROUNDUP(SUMPRODUCT(LEN(C139:K139))/B128,0))&amp;" ligne(s)"</f>
        <v>0 ligne(s)</v>
      </c>
      <c r="N139" s="103" t="str">
        <f t="shared" si="25"/>
        <v>A</v>
      </c>
      <c r="O139" s="31" t="str">
        <f>O130</f>
        <v>B BEIGNETS D'ACACIA | pâtisserie--Beignets| Auteur &gt; Journal des Femmes</v>
      </c>
      <c r="P139" s="32">
        <f>P130</f>
        <v>6</v>
      </c>
      <c r="Q139" s="31" t="str">
        <f>Q130</f>
        <v>personnes</v>
      </c>
      <c r="R139" s="33" t="str">
        <f>R130</f>
        <v>Recette mère ► Beignets d'acacia</v>
      </c>
      <c r="S139" s="89"/>
      <c r="T139" s="108" t="s">
        <v>8302</v>
      </c>
      <c r="U139" s="91" t="str">
        <f t="shared" si="23"/>
        <v/>
      </c>
      <c r="V139" s="92"/>
      <c r="W139" s="1364"/>
      <c r="X139" s="130">
        <v>1</v>
      </c>
      <c r="Y139" s="1813" t="str">
        <f>ROWS(Y134:Y139)&amp;" ►"</f>
        <v>6 ►</v>
      </c>
      <c r="Z139" s="1580" t="s">
        <v>8249</v>
      </c>
      <c r="AA139" s="95">
        <f>IF(AC146=0,0,(AC139/AC146)*AB133*1000)</f>
        <v>0</v>
      </c>
      <c r="AB139" s="105">
        <f>IF(AC146=0, 0, (S139*X139)/(AC146*AB133))</f>
        <v>0</v>
      </c>
      <c r="AC139" s="97" cm="1">
        <f t="array" ref="AC139">IFERROR(_xlfn.XLOOKUP(UPPER(TRIM(W139)),UPPER(TRIM(S147:AG147)),S148:AG148,_xlfn.XLOOKUP(UPPER(TRIM(W139)),UPPER(TRIM(S149:AG149)),S150:AG150,0))*V139*IF(S139&gt;0,S139,1),0)</f>
        <v>0</v>
      </c>
      <c r="AD139" s="110">
        <f>IF(AF129&lt;&gt;0,S139*X139*X129,0)</f>
        <v>0</v>
      </c>
      <c r="AE139" s="1748" t="str">
        <f t="shared" si="24"/>
        <v>un peu</v>
      </c>
      <c r="AF139" s="99">
        <f>IF(OR(ISBLANK(AF129),AF129=0),0,AC139*X139*X129)</f>
        <v>0</v>
      </c>
      <c r="AG139" s="129" t="str">
        <f>IF(W139="","",IF(COUNTIF(Z147:AG147,SUBSTITUTE(TRIM(W139)," (s)",""))+COUNTIF(Z149:AG149,SUBSTITUTE(TRIM(W139)," (s)",""))&gt;0,IF(ROUND(AF139,3)&gt;=1,ROUND(AF139,3)&amp;" L",MAX(1,ROUND(AF139*100,0))&amp;" cl"),IF(COUNTIF(S147:X147,SUBSTITUTE(TRIM(W139)," (s)",""))+COUNTIF(S149:X149,SUBSTITUTE(TRIM(W139)," (s)",""))&gt;0,IF(ROUND(AF139,3)&gt;=1,ROUND(AF139,3)&amp;" Kg",MAX(1,ROUND(AF139*1000,0))&amp;" g"),"")))</f>
        <v/>
      </c>
      <c r="AJ139" s="103" t="str">
        <f t="shared" ref="AJ139:AJ202" si="26">N139</f>
        <v>A</v>
      </c>
      <c r="AK139" s="1616"/>
      <c r="AL139" s="1333" t="s">
        <v>21</v>
      </c>
      <c r="AM139" s="44"/>
      <c r="AN139" s="45"/>
      <c r="AO139" s="45"/>
      <c r="AP139" s="45"/>
      <c r="AQ139" s="45"/>
      <c r="AR139" s="45"/>
      <c r="AS139" s="46"/>
      <c r="AV139" s="3">
        <v>1</v>
      </c>
    </row>
    <row r="140" spans="2:48" ht="21" customHeight="1">
      <c r="B140" s="1610" cm="1">
        <f t="array" ref="B140">SUMPRODUCT(LEN(C140:K140))</f>
        <v>0</v>
      </c>
      <c r="C140" s="1810"/>
      <c r="D140" s="1810"/>
      <c r="E140" s="1810"/>
      <c r="F140" s="1810"/>
      <c r="G140" s="1810"/>
      <c r="H140" s="1810"/>
      <c r="I140" s="1810"/>
      <c r="J140" s="1810"/>
      <c r="K140" s="1810"/>
      <c r="L140" s="2126" t="str" cm="1">
        <f t="array" ref="L140">IF(B128&lt;=0,0,ROUNDUP(SUMPRODUCT(LEN(C140:K140))/B128,0))&amp;" ligne(s)"</f>
        <v>0 ligne(s)</v>
      </c>
      <c r="N140" s="103" t="str">
        <f t="shared" si="25"/>
        <v>A</v>
      </c>
      <c r="O140" s="31" t="str">
        <f>O130</f>
        <v>B BEIGNETS D'ACACIA | pâtisserie--Beignets| Auteur &gt; Journal des Femmes</v>
      </c>
      <c r="P140" s="32">
        <f>P130</f>
        <v>6</v>
      </c>
      <c r="Q140" s="31" t="str">
        <f>Q130</f>
        <v>personnes</v>
      </c>
      <c r="R140" s="33" t="str">
        <f>R130</f>
        <v>Recette mère ► Beignets d'acacia</v>
      </c>
      <c r="S140" s="89">
        <v>2</v>
      </c>
      <c r="T140" s="108" t="s">
        <v>8303</v>
      </c>
      <c r="U140" s="1363" t="str">
        <f t="shared" si="23"/>
        <v/>
      </c>
      <c r="V140" s="92"/>
      <c r="W140" s="1364"/>
      <c r="X140" s="130">
        <v>1</v>
      </c>
      <c r="Y140" s="1813" t="str">
        <f>ROWS(Y134:Y140)&amp;" ►"</f>
        <v>7 ►</v>
      </c>
      <c r="Z140" s="1580" t="s">
        <v>8304</v>
      </c>
      <c r="AA140" s="95">
        <f>IF(AC146=0,0,(AC140/AC146)*AB133*1000)</f>
        <v>0</v>
      </c>
      <c r="AB140" s="105">
        <f>IF(AC146=0, 0, (S140*X140)/(AC146*AB133))</f>
        <v>2.8571428571428572</v>
      </c>
      <c r="AC140" s="97" cm="1">
        <f t="array" ref="AC140">IFERROR(_xlfn.XLOOKUP(UPPER(TRIM(W140)),UPPER(TRIM(S147:AG147)),S148:AG148,_xlfn.XLOOKUP(UPPER(TRIM(W140)),UPPER(TRIM(S149:AG149)),S150:AG150,0))*V140*IF(S140&gt;0,S140,1),0)</f>
        <v>0</v>
      </c>
      <c r="AD140" s="106">
        <f>IF(AF129&lt;&gt;0,S140*X140*X129,0)</f>
        <v>16.666666666666668</v>
      </c>
      <c r="AE140" s="1747" t="str">
        <f t="shared" si="24"/>
        <v>C/soupe</v>
      </c>
      <c r="AF140" s="99">
        <f>IF(OR(ISBLANK(AF129),AF129=0),0,AC140*X140*X129)</f>
        <v>0</v>
      </c>
      <c r="AG140" s="107" t="str">
        <f>IF(W140="","",IF(COUNTIF(Z147:AG147,SUBSTITUTE(TRIM(W140)," (s)",""))+COUNTIF(Z149:AG149,SUBSTITUTE(TRIM(W140)," (s)",""))&gt;0,IF(ROUND(AF140,3)&gt;=1,ROUND(AF140,3)&amp;" L",MAX(1,ROUND(AF140*100,0))&amp;" cl"),IF(COUNTIF(S147:X147,SUBSTITUTE(TRIM(W140)," (s)",""))+COUNTIF(S149:X149,SUBSTITUTE(TRIM(W140)," (s)",""))&gt;0,IF(ROUND(AF140,3)&gt;=1,ROUND(AF140,3)&amp;" Kg",MAX(1,ROUND(AF140*1000,0))&amp;" g"),"")))</f>
        <v/>
      </c>
      <c r="AJ140" s="103" t="str">
        <f t="shared" si="26"/>
        <v>A</v>
      </c>
      <c r="AK140" s="1616"/>
      <c r="AL140" s="1333" t="s">
        <v>21</v>
      </c>
      <c r="AM140" s="44"/>
      <c r="AN140" s="45"/>
      <c r="AO140" s="45"/>
      <c r="AP140" s="45"/>
      <c r="AQ140" s="45"/>
      <c r="AR140" s="45"/>
      <c r="AS140" s="46"/>
      <c r="AV140" s="3">
        <v>1</v>
      </c>
    </row>
    <row r="141" spans="2:48" ht="21" customHeight="1">
      <c r="B141" s="1610" cm="1">
        <f t="array" ref="B141">SUMPRODUCT(LEN(C141:K141))</f>
        <v>0</v>
      </c>
      <c r="C141" s="1810"/>
      <c r="D141" s="1810"/>
      <c r="E141" s="1810"/>
      <c r="F141" s="1810"/>
      <c r="G141" s="1810"/>
      <c r="H141" s="1810"/>
      <c r="I141" s="1810"/>
      <c r="J141" s="1810"/>
      <c r="K141" s="1810"/>
      <c r="L141" s="2126" t="str" cm="1">
        <f t="array" ref="L141">IF(B128&lt;=0,0,ROUNDUP(SUMPRODUCT(LEN(C141:K141))/B128,0))&amp;" ligne(s)"</f>
        <v>0 ligne(s)</v>
      </c>
      <c r="N141" s="103" t="str">
        <f t="shared" si="25"/>
        <v>A</v>
      </c>
      <c r="O141" s="31" t="str">
        <f>O130</f>
        <v>B BEIGNETS D'ACACIA | pâtisserie--Beignets| Auteur &gt; Journal des Femmes</v>
      </c>
      <c r="P141" s="32">
        <f>P130</f>
        <v>6</v>
      </c>
      <c r="Q141" s="31" t="str">
        <f>Q130</f>
        <v>personnes</v>
      </c>
      <c r="R141" s="33" t="str">
        <f>R130</f>
        <v>Recette mère ► Beignets d'acacia</v>
      </c>
      <c r="S141" s="89"/>
      <c r="T141" s="108" t="s">
        <v>8252</v>
      </c>
      <c r="U141" s="91" t="str">
        <f t="shared" si="23"/>
        <v/>
      </c>
      <c r="V141" s="92"/>
      <c r="W141" s="1364"/>
      <c r="X141" s="130">
        <v>1</v>
      </c>
      <c r="Y141" s="1813" t="str">
        <f>ROWS(Y134:Y141)&amp;" ►"</f>
        <v>8 ►</v>
      </c>
      <c r="Z141" s="1580" t="s">
        <v>8282</v>
      </c>
      <c r="AA141" s="95">
        <f>IF(AC146=0,0,(AC141/AC146)*AB133*1000)</f>
        <v>0</v>
      </c>
      <c r="AB141" s="105">
        <f>IF(AC146=0, 0, (S141*X141)/(AC146*AB133))</f>
        <v>0</v>
      </c>
      <c r="AC141" s="97" cm="1">
        <f t="array" ref="AC141">IFERROR(_xlfn.XLOOKUP(UPPER(TRIM(W141)),UPPER(TRIM(S147:AG147)),S148:AG148,_xlfn.XLOOKUP(UPPER(TRIM(W141)),UPPER(TRIM(S149:AG149)),S150:AG150,0))*V141*IF(S141&gt;0,S141,1),0)</f>
        <v>0</v>
      </c>
      <c r="AD141" s="110">
        <f>IF(AF129&lt;&gt;0,S141*X141*X129,0)</f>
        <v>0</v>
      </c>
      <c r="AE141" s="1748" t="str">
        <f t="shared" si="24"/>
        <v>PM</v>
      </c>
      <c r="AF141" s="99">
        <f>IF(OR(ISBLANK(AF129),AF129=0),0,AC141*X141*X129)</f>
        <v>0</v>
      </c>
      <c r="AG141" s="129" t="str">
        <f>IF(W141="","",IF(COUNTIF(Z147:AG147,SUBSTITUTE(TRIM(W141)," (s)",""))+COUNTIF(Z149:AG149,SUBSTITUTE(TRIM(W141)," (s)",""))&gt;0,IF(ROUND(AF141,3)&gt;=1,ROUND(AF141,3)&amp;" L",MAX(1,ROUND(AF141*100,0))&amp;" cl"),IF(COUNTIF(S147:X147,SUBSTITUTE(TRIM(W141)," (s)",""))+COUNTIF(S149:X149,SUBSTITUTE(TRIM(W141)," (s)",""))&gt;0,IF(ROUND(AF141,3)&gt;=1,ROUND(AF141,3)&amp;" Kg",MAX(1,ROUND(AF141*1000,0))&amp;" g"),"")))</f>
        <v/>
      </c>
      <c r="AJ141" s="103" t="str">
        <f t="shared" si="26"/>
        <v>A</v>
      </c>
      <c r="AK141" s="1616"/>
      <c r="AL141" s="1333" t="s">
        <v>21</v>
      </c>
      <c r="AM141" s="44"/>
      <c r="AN141" s="45"/>
      <c r="AO141" s="45"/>
      <c r="AP141" s="45"/>
      <c r="AQ141" s="45"/>
      <c r="AR141" s="45"/>
      <c r="AS141" s="46"/>
      <c r="AV141" s="3">
        <v>1</v>
      </c>
    </row>
    <row r="142" spans="2:48" ht="21" customHeight="1">
      <c r="B142" s="1610" cm="1">
        <f t="array" ref="B142">SUMPRODUCT(LEN(C142:K142))</f>
        <v>0</v>
      </c>
      <c r="C142" s="1810"/>
      <c r="D142" s="1810"/>
      <c r="E142" s="1810"/>
      <c r="F142" s="1810"/>
      <c r="G142" s="1810"/>
      <c r="H142" s="1810"/>
      <c r="I142" s="1810"/>
      <c r="J142" s="1810"/>
      <c r="K142" s="1810"/>
      <c r="L142" s="2126" t="str" cm="1">
        <f t="array" ref="L142">IF(B128&lt;=0,0,ROUNDUP(SUMPRODUCT(LEN(C142:K142))/B128,0))&amp;" ligne(s)"</f>
        <v>0 ligne(s)</v>
      </c>
      <c r="N142" s="103" t="str">
        <f t="shared" si="25"/>
        <v>A</v>
      </c>
      <c r="O142" s="31" t="str">
        <f>O130</f>
        <v>B BEIGNETS D'ACACIA | pâtisserie--Beignets| Auteur &gt; Journal des Femmes</v>
      </c>
      <c r="P142" s="32">
        <f>P130</f>
        <v>6</v>
      </c>
      <c r="Q142" s="31" t="str">
        <f>Q130</f>
        <v>personnes</v>
      </c>
      <c r="R142" s="33" t="str">
        <f>R130</f>
        <v>Recette mère ► Beignets d'acacia</v>
      </c>
      <c r="S142" s="89"/>
      <c r="T142" s="108" t="s">
        <v>8252</v>
      </c>
      <c r="U142" s="1363" t="str">
        <f t="shared" si="23"/>
        <v/>
      </c>
      <c r="V142" s="92"/>
      <c r="W142" s="1364"/>
      <c r="X142" s="130">
        <v>1</v>
      </c>
      <c r="Y142" s="1813" t="str">
        <f>ROWS(Y134:Y142)&amp;" ►"</f>
        <v>9 ►</v>
      </c>
      <c r="Z142" s="1580" t="s">
        <v>8253</v>
      </c>
      <c r="AA142" s="95">
        <f>IF(AC146=0,0,(AC142/AC146)*AB133*1000)</f>
        <v>0</v>
      </c>
      <c r="AB142" s="105">
        <f>IF(AC146=0, 0, (S142*X142)/(AC146*AB133))</f>
        <v>0</v>
      </c>
      <c r="AC142" s="97" cm="1">
        <f t="array" ref="AC142">IFERROR(_xlfn.XLOOKUP(UPPER(TRIM(W142)),UPPER(TRIM(S147:AG147)),S148:AG148,_xlfn.XLOOKUP(UPPER(TRIM(W142)),UPPER(TRIM(S149:AG149)),S150:AG150,0))*V142*IF(S142&gt;0,S142,1),0)</f>
        <v>0</v>
      </c>
      <c r="AD142" s="106">
        <f>IF(AF129&lt;&gt;0,S142*X142*X129,0)</f>
        <v>0</v>
      </c>
      <c r="AE142" s="1747" t="str">
        <f t="shared" si="24"/>
        <v>PM</v>
      </c>
      <c r="AF142" s="99">
        <f>IF(OR(ISBLANK(AF129),AF129=0),0,AC142*X142*X129)</f>
        <v>0</v>
      </c>
      <c r="AG142" s="107" t="str">
        <f>IF(W142="","",IF(COUNTIF(Z147:AG147,SUBSTITUTE(TRIM(W142)," (s)",""))+COUNTIF(Z149:AG149,SUBSTITUTE(TRIM(W142)," (s)",""))&gt;0,IF(ROUND(AF142,3)&gt;=1,ROUND(AF142,3)&amp;" L",MAX(1,ROUND(AF142*100,0))&amp;" cl"),IF(COUNTIF(S147:X147,SUBSTITUTE(TRIM(W142)," (s)",""))+COUNTIF(S149:X149,SUBSTITUTE(TRIM(W142)," (s)",""))&gt;0,IF(ROUND(AF142,3)&gt;=1,ROUND(AF142,3)&amp;" Kg",MAX(1,ROUND(AF142*1000,0))&amp;" g"),"")))</f>
        <v/>
      </c>
      <c r="AJ142" s="103" t="str">
        <f t="shared" si="26"/>
        <v>A</v>
      </c>
      <c r="AK142" s="1616"/>
      <c r="AL142" s="1333" t="s">
        <v>21</v>
      </c>
      <c r="AM142" s="44"/>
      <c r="AN142" s="386" t="s">
        <v>70</v>
      </c>
      <c r="AO142" s="350" t="s">
        <v>82</v>
      </c>
      <c r="AP142" s="45"/>
      <c r="AQ142" s="45"/>
      <c r="AR142" s="45"/>
      <c r="AS142" s="46"/>
      <c r="AV142" s="3">
        <v>1</v>
      </c>
    </row>
    <row r="143" spans="2:48" ht="21" customHeight="1">
      <c r="B143" s="1610" cm="1">
        <f t="array" ref="B143">SUMPRODUCT(LEN(C143:K143))</f>
        <v>0</v>
      </c>
      <c r="C143" s="1810"/>
      <c r="D143" s="1810"/>
      <c r="E143" s="1810"/>
      <c r="F143" s="1810"/>
      <c r="G143" s="1810"/>
      <c r="H143" s="1810"/>
      <c r="I143" s="1810"/>
      <c r="J143" s="1810"/>
      <c r="K143" s="1810"/>
      <c r="L143" s="2126" t="str" cm="1">
        <f t="array" ref="L143">IF(B128&lt;=0,0,ROUNDUP(SUMPRODUCT(LEN(C143:K143))/B128,0))&amp;" ligne(s)"</f>
        <v>0 ligne(s)</v>
      </c>
      <c r="N143" s="103" t="str">
        <f t="shared" si="25"/>
        <v>►</v>
      </c>
      <c r="O143" s="31" t="str">
        <f>O130</f>
        <v>B BEIGNETS D'ACACIA | pâtisserie--Beignets| Auteur &gt; Journal des Femmes</v>
      </c>
      <c r="P143" s="32">
        <f>P130</f>
        <v>6</v>
      </c>
      <c r="Q143" s="31" t="str">
        <f>Q130</f>
        <v>personnes</v>
      </c>
      <c r="R143" s="33" t="str">
        <f>R130</f>
        <v>Recette mère ► Beignets d'acacia</v>
      </c>
      <c r="S143" s="89"/>
      <c r="T143" s="108"/>
      <c r="U143" s="91" t="str">
        <f t="shared" ref="U143:U145" si="27">IF(OR(ISTEXT(S143), S143&lt;=0, V143&lt;=0), "", "de")</f>
        <v/>
      </c>
      <c r="V143" s="92"/>
      <c r="W143" s="128"/>
      <c r="X143" s="130">
        <v>1</v>
      </c>
      <c r="Y143" s="1813" t="str">
        <f>ROWS(Y134:Y143)&amp;" ►"</f>
        <v>10 ►</v>
      </c>
      <c r="Z143" s="1580"/>
      <c r="AA143" s="95">
        <f>IF(AC146=0,0,(AC143/AC146)*AB133*1000)</f>
        <v>0</v>
      </c>
      <c r="AB143" s="105">
        <f>IF(AC146=0, 0, (S143*X143)/(AC146*AB133))</f>
        <v>0</v>
      </c>
      <c r="AC143" s="97" cm="1">
        <f t="array" ref="AC143">IFERROR(_xlfn.XLOOKUP(UPPER(TRIM(W143)),UPPER(TRIM(S147:AG147)),S148:AG148,_xlfn.XLOOKUP(UPPER(TRIM(W143)),UPPER(TRIM(S149:AG149)),S150:AG150,0))*V143*IF(S143&gt;0,S143,1),0)</f>
        <v>0</v>
      </c>
      <c r="AD143" s="110">
        <f>IF(AF129&lt;&gt;0,S143*X143*X129,0)</f>
        <v>0</v>
      </c>
      <c r="AE143" s="1748">
        <f t="shared" si="24"/>
        <v>0</v>
      </c>
      <c r="AF143" s="99">
        <f>IF(OR(ISBLANK(AF129),AF129=0),0,AC143*X143*X129)</f>
        <v>0</v>
      </c>
      <c r="AG143" s="129" t="str">
        <f>IF(W143="","",IF(COUNTIF(Z147:AG147,SUBSTITUTE(TRIM(W143)," (s)",""))+COUNTIF(Z149:AG149,SUBSTITUTE(TRIM(W143)," (s)",""))&gt;0,IF(ROUND(AF143,3)&gt;=1,ROUND(AF143,3)&amp;" L",MAX(1,ROUND(AF143*100,0))&amp;" cl"),IF(COUNTIF(S147:X147,SUBSTITUTE(TRIM(W143)," (s)",""))+COUNTIF(S149:X149,SUBSTITUTE(TRIM(W143)," (s)",""))&gt;0,IF(ROUND(AF143,3)&gt;=1,ROUND(AF143,3)&amp;" Kg",MAX(1,ROUND(AF143*1000,0))&amp;" g"),"")))</f>
        <v/>
      </c>
      <c r="AJ143" s="103" t="str">
        <f t="shared" si="26"/>
        <v>►</v>
      </c>
      <c r="AK143" s="1616"/>
      <c r="AL143" s="1333" t="s">
        <v>21</v>
      </c>
      <c r="AM143" s="44"/>
      <c r="AN143" s="350"/>
      <c r="AO143" s="350"/>
      <c r="AP143" s="45"/>
      <c r="AQ143" s="45"/>
      <c r="AR143" s="45"/>
      <c r="AS143" s="46"/>
      <c r="AV143" s="3">
        <v>1</v>
      </c>
    </row>
    <row r="144" spans="2:48" ht="21" customHeight="1">
      <c r="B144" s="1610" cm="1">
        <f t="array" ref="B144">SUMPRODUCT(LEN(C144:K144))</f>
        <v>0</v>
      </c>
      <c r="C144" s="1810"/>
      <c r="D144" s="1810"/>
      <c r="E144" s="1810"/>
      <c r="F144" s="1810"/>
      <c r="G144" s="1810"/>
      <c r="H144" s="1810"/>
      <c r="I144" s="1810"/>
      <c r="J144" s="1810"/>
      <c r="K144" s="1810"/>
      <c r="L144" s="2126" t="str" cm="1">
        <f t="array" ref="L144">IF(B128&lt;=0,0,ROUNDUP(SUMPRODUCT(LEN(C144:K144))/B128,0))&amp;" ligne(s)"</f>
        <v>0 ligne(s)</v>
      </c>
      <c r="N144" s="103" t="str">
        <f t="shared" si="25"/>
        <v>►</v>
      </c>
      <c r="O144" s="31" t="str">
        <f>O130</f>
        <v>B BEIGNETS D'ACACIA | pâtisserie--Beignets| Auteur &gt; Journal des Femmes</v>
      </c>
      <c r="P144" s="32">
        <f>P130</f>
        <v>6</v>
      </c>
      <c r="Q144" s="31" t="str">
        <f>Q130</f>
        <v>personnes</v>
      </c>
      <c r="R144" s="33" t="str">
        <f>R130</f>
        <v>Recette mère ► Beignets d'acacia</v>
      </c>
      <c r="S144" s="89"/>
      <c r="T144" s="108"/>
      <c r="U144" s="91" t="str">
        <f t="shared" si="27"/>
        <v/>
      </c>
      <c r="V144" s="92"/>
      <c r="W144" s="128"/>
      <c r="X144" s="130">
        <v>1</v>
      </c>
      <c r="Y144" s="1813" t="str">
        <f>ROWS(Y134:Y144)&amp;" ►"</f>
        <v>11 ►</v>
      </c>
      <c r="Z144" s="1580"/>
      <c r="AA144" s="95">
        <f>IF(AC146=0,0,(AC144/AC146)*AB133*1000)</f>
        <v>0</v>
      </c>
      <c r="AB144" s="105">
        <f>IF(AC146=0, 0, (S144*X144)/(AC146*AB133))</f>
        <v>0</v>
      </c>
      <c r="AC144" s="97" cm="1">
        <f t="array" ref="AC144">IFERROR(_xlfn.XLOOKUP(UPPER(TRIM(W144)),UPPER(TRIM(S147:AG147)),S148:AG148,_xlfn.XLOOKUP(UPPER(TRIM(W144)),UPPER(TRIM(S149:AG149)),S150:AG150,0))*V144*IF(S144&gt;0,S144,1),0)</f>
        <v>0</v>
      </c>
      <c r="AD144" s="110">
        <f>IF(AF129&lt;&gt;0,S144*X144*X129,0)</f>
        <v>0</v>
      </c>
      <c r="AE144" s="1748">
        <f t="shared" si="24"/>
        <v>0</v>
      </c>
      <c r="AF144" s="99">
        <f>IF(OR(ISBLANK(AF129),AF129=0),0,AC144*X144*X129)</f>
        <v>0</v>
      </c>
      <c r="AG144" s="129" t="str">
        <f>IF(W144="","",IF(COUNTIF(Z147:AG147,SUBSTITUTE(TRIM(W144)," (s)",""))+COUNTIF(Z149:AG149,SUBSTITUTE(TRIM(W144)," (s)",""))&gt;0,IF(ROUND(AF144,3)&gt;=1,ROUND(AF144,3)&amp;" L",MAX(1,ROUND(AF144*100,0))&amp;" cl"),IF(COUNTIF(S147:X147,SUBSTITUTE(TRIM(W144)," (s)",""))+COUNTIF(S149:X149,SUBSTITUTE(TRIM(W144)," (s)",""))&gt;0,IF(ROUND(AF144,3)&gt;=1,ROUND(AF144,3)&amp;" Kg",MAX(1,ROUND(AF144*1000,0))&amp;" g"),"")))</f>
        <v/>
      </c>
      <c r="AJ144" s="103" t="str">
        <f t="shared" si="26"/>
        <v>►</v>
      </c>
      <c r="AK144" s="1616"/>
      <c r="AL144" s="1333" t="s">
        <v>21</v>
      </c>
      <c r="AM144" s="44"/>
      <c r="AN144" s="387" t="s">
        <v>428</v>
      </c>
      <c r="AO144" s="388" t="s">
        <v>429</v>
      </c>
      <c r="AP144" s="45"/>
      <c r="AQ144" s="45"/>
      <c r="AR144" s="45"/>
      <c r="AS144" s="46"/>
      <c r="AV144" s="3">
        <v>1</v>
      </c>
    </row>
    <row r="145" spans="2:48" ht="21" customHeight="1">
      <c r="B145" s="1610" cm="1">
        <f t="array" ref="B145">SUMPRODUCT(LEN(C145:K145))</f>
        <v>0</v>
      </c>
      <c r="C145" s="1810"/>
      <c r="D145" s="1810"/>
      <c r="E145" s="1810"/>
      <c r="F145" s="1810"/>
      <c r="G145" s="1810"/>
      <c r="H145" s="1810"/>
      <c r="I145" s="1810"/>
      <c r="J145" s="1810"/>
      <c r="K145" s="1810"/>
      <c r="L145" s="2126" t="str" cm="1">
        <f t="array" ref="L145">IF(B128&lt;=0,0,ROUNDUP(SUMPRODUCT(LEN(C145:K145))/B128,0))&amp;" ligne(s)"</f>
        <v>0 ligne(s)</v>
      </c>
      <c r="N145" s="1651" t="s">
        <v>10</v>
      </c>
      <c r="O145" s="31" t="str">
        <f>O130</f>
        <v>B BEIGNETS D'ACACIA | pâtisserie--Beignets| Auteur &gt; Journal des Femmes</v>
      </c>
      <c r="P145" s="32">
        <f>P130</f>
        <v>6</v>
      </c>
      <c r="Q145" s="31" t="str">
        <f>Q130</f>
        <v>personnes</v>
      </c>
      <c r="R145" s="33" t="str">
        <f>R130</f>
        <v>Recette mère ► Beignets d'acacia</v>
      </c>
      <c r="S145" s="1198"/>
      <c r="T145" s="1199"/>
      <c r="U145" s="91" t="str">
        <f t="shared" si="27"/>
        <v/>
      </c>
      <c r="V145" s="1200"/>
      <c r="W145" s="128"/>
      <c r="X145" s="1201">
        <v>1</v>
      </c>
      <c r="Y145" s="1813" t="str">
        <f>ROWS(Y134:Y145)&amp;" ►"</f>
        <v>12 ►</v>
      </c>
      <c r="Z145" s="1580"/>
      <c r="AA145" s="95">
        <f>IF(AC146=0,0,(AC145/AC146)*AB133*1000)</f>
        <v>0</v>
      </c>
      <c r="AB145" s="105">
        <f>IF(AC146=0, 0, (S145*X145)/(AC146*AB133))</f>
        <v>0</v>
      </c>
      <c r="AC145" s="97" cm="1">
        <f t="array" ref="AC145">IFERROR(_xlfn.XLOOKUP(UPPER(TRIM(W145)),UPPER(TRIM(S147:AG147)),S148:AG148,_xlfn.XLOOKUP(UPPER(TRIM(W145)),UPPER(TRIM(S149:AG149)),S150:AG150,0))*V145*IF(S145&gt;0,S145,1),0)</f>
        <v>0</v>
      </c>
      <c r="AD145" s="110">
        <f>IF(AF129&lt;&gt;0,S145*X145*X129,0)</f>
        <v>0</v>
      </c>
      <c r="AE145" s="1748">
        <f t="shared" si="24"/>
        <v>0</v>
      </c>
      <c r="AF145" s="99">
        <f>IF(OR(ISBLANK(AF129),AF129=0),0,AC145*X145*X129)</f>
        <v>0</v>
      </c>
      <c r="AG145" s="129" t="str">
        <f>IF(W145="","",IF(COUNTIF(Z147:AG147,SUBSTITUTE(TRIM(W145)," (s)",""))+COUNTIF(Z149:AG149,SUBSTITUTE(TRIM(W145)," (s)",""))&gt;0,IF(ROUND(AF145,3)&gt;=1,ROUND(AF145,3)&amp;" L",MAX(1,ROUND(AF145*100,0))&amp;" cl"),IF(COUNTIF(S147:X147,SUBSTITUTE(TRIM(W145)," (s)",""))+COUNTIF(S149:X149,SUBSTITUTE(TRIM(W145)," (s)",""))&gt;0,IF(ROUND(AF145,3)&gt;=1,ROUND(AF145,3)&amp;" Kg",MAX(1,ROUND(AF145*1000,0))&amp;" g"),"")))</f>
        <v/>
      </c>
      <c r="AJ145" s="1651" t="str">
        <f t="shared" si="26"/>
        <v>A</v>
      </c>
      <c r="AK145" s="1616"/>
      <c r="AL145" s="1333" t="s">
        <v>21</v>
      </c>
      <c r="AM145" s="44"/>
      <c r="AN145" s="389"/>
      <c r="AO145" s="388" t="s">
        <v>433</v>
      </c>
      <c r="AP145" s="45"/>
      <c r="AQ145" s="45"/>
      <c r="AR145" s="45"/>
      <c r="AS145" s="46"/>
      <c r="AV145" s="3">
        <v>1</v>
      </c>
    </row>
    <row r="146" spans="2:48" ht="21" customHeight="1">
      <c r="B146" s="1610" cm="1">
        <f t="array" ref="B146">SUMPRODUCT(LEN(C146:K146))</f>
        <v>0</v>
      </c>
      <c r="C146" s="1810"/>
      <c r="D146" s="1810"/>
      <c r="E146" s="1810"/>
      <c r="F146" s="1810"/>
      <c r="G146" s="1810"/>
      <c r="H146" s="1810"/>
      <c r="I146" s="1810"/>
      <c r="J146" s="1810"/>
      <c r="K146" s="1810"/>
      <c r="L146" s="2126" t="str" cm="1">
        <f t="array" ref="L146">IF(B128&lt;=0,0,ROUNDUP(SUMPRODUCT(LEN(C146:K146))/B128,0))&amp;" ligne(s)"</f>
        <v>0 ligne(s)</v>
      </c>
      <c r="N146" s="1651" t="s">
        <v>10</v>
      </c>
      <c r="O146" s="31" t="str">
        <f>O130</f>
        <v>B BEIGNETS D'ACACIA | pâtisserie--Beignets| Auteur &gt; Journal des Femmes</v>
      </c>
      <c r="P146" s="32">
        <f>P130</f>
        <v>6</v>
      </c>
      <c r="Q146" s="31" t="str">
        <f>Q130</f>
        <v>personnes</v>
      </c>
      <c r="R146" s="33" t="str">
        <f>R130</f>
        <v>Recette mère ► Beignets d'acacia</v>
      </c>
      <c r="S146" s="680" t="s">
        <v>8411</v>
      </c>
      <c r="T146" s="474"/>
      <c r="U146" s="474"/>
      <c r="V146" s="474"/>
      <c r="W146" s="474"/>
      <c r="X146" s="681"/>
      <c r="Y146" s="681"/>
      <c r="Z146" s="1984" t="s">
        <v>8652</v>
      </c>
      <c r="AA146" s="682"/>
      <c r="AB146" s="682"/>
      <c r="AC146" s="1197">
        <f>SUM(AC134:AC145)</f>
        <v>0.7</v>
      </c>
      <c r="AD146" s="683"/>
      <c r="AE146" s="683" t="str">
        <f>"Total " &amp; AF131&amp;" &gt;"</f>
        <v>Total Col.19 &gt;</v>
      </c>
      <c r="AF146" s="1835">
        <f>SUM(AF134:AF145)</f>
        <v>5.8333333333333339</v>
      </c>
      <c r="AG146" s="684"/>
      <c r="AJ146" s="1651" t="str">
        <f t="shared" si="26"/>
        <v>A</v>
      </c>
      <c r="AK146" s="1616"/>
      <c r="AL146" s="1333" t="s">
        <v>21</v>
      </c>
      <c r="AM146" s="44"/>
      <c r="AN146" s="388"/>
      <c r="AO146" s="350"/>
      <c r="AP146" s="45"/>
      <c r="AQ146" s="45"/>
      <c r="AR146" s="45"/>
      <c r="AS146" s="46"/>
      <c r="AV146" s="3">
        <v>1</v>
      </c>
    </row>
    <row r="147" spans="2:48" ht="21" customHeight="1">
      <c r="B147" s="1610" cm="1">
        <f t="array" ref="B147">SUMPRODUCT(LEN(C147:K147))</f>
        <v>0</v>
      </c>
      <c r="C147" s="1810"/>
      <c r="D147" s="1810"/>
      <c r="E147" s="1810"/>
      <c r="F147" s="1810"/>
      <c r="G147" s="1810"/>
      <c r="H147" s="1810"/>
      <c r="I147" s="1810"/>
      <c r="J147" s="1810"/>
      <c r="K147" s="1810"/>
      <c r="L147" s="2126" t="str" cm="1">
        <f t="array" ref="L147">IF(B128&lt;=0,0,ROUNDUP(SUMPRODUCT(LEN(C147:K147))/B128,0))&amp;" ligne(s)"</f>
        <v>0 ligne(s)</v>
      </c>
      <c r="N147" s="1651" t="s">
        <v>10</v>
      </c>
      <c r="O147" s="31" t="str">
        <f>O130</f>
        <v>B BEIGNETS D'ACACIA | pâtisserie--Beignets| Auteur &gt; Journal des Femmes</v>
      </c>
      <c r="P147" s="32">
        <f>P130</f>
        <v>6</v>
      </c>
      <c r="Q147" s="31" t="str">
        <f>Q130</f>
        <v>personnes</v>
      </c>
      <c r="R147" s="33" t="str">
        <f>R130</f>
        <v>Recette mère ► Beignets d'acacia</v>
      </c>
      <c r="S147" s="142" t="s">
        <v>140</v>
      </c>
      <c r="T147" s="104" t="s">
        <v>100</v>
      </c>
      <c r="U147" s="143" t="s">
        <v>141</v>
      </c>
      <c r="V147" s="144" t="s">
        <v>142</v>
      </c>
      <c r="W147" s="118" t="s">
        <v>143</v>
      </c>
      <c r="X147" s="118" t="s">
        <v>109</v>
      </c>
      <c r="Y147" s="143" t="s">
        <v>141</v>
      </c>
      <c r="Z147" s="93" t="s">
        <v>0</v>
      </c>
      <c r="AA147" s="93" t="s">
        <v>97</v>
      </c>
      <c r="AB147" s="93" t="s">
        <v>144</v>
      </c>
      <c r="AC147" s="93" t="s">
        <v>145</v>
      </c>
      <c r="AD147" s="109" t="s">
        <v>104</v>
      </c>
      <c r="AE147" s="109" t="s">
        <v>359</v>
      </c>
      <c r="AF147" s="335" t="s">
        <v>146</v>
      </c>
      <c r="AG147" s="109" t="s">
        <v>147</v>
      </c>
      <c r="AJ147" s="1651" t="str">
        <f t="shared" si="26"/>
        <v>A</v>
      </c>
      <c r="AK147" s="1616"/>
      <c r="AL147" s="1333" t="s">
        <v>21</v>
      </c>
      <c r="AM147" s="157"/>
      <c r="AN147" s="158"/>
      <c r="AO147" s="159"/>
      <c r="AP147" s="158"/>
      <c r="AQ147" s="158"/>
      <c r="AR147" s="158"/>
      <c r="AS147" s="160"/>
      <c r="AV147" s="3">
        <v>1</v>
      </c>
    </row>
    <row r="148" spans="2:48" ht="21" customHeight="1" thickBot="1">
      <c r="B148" s="1610" cm="1">
        <f t="array" ref="B148">SUMPRODUCT(LEN(C148:K148))</f>
        <v>0</v>
      </c>
      <c r="C148" s="1810"/>
      <c r="D148" s="1810"/>
      <c r="E148" s="1810"/>
      <c r="F148" s="1810"/>
      <c r="G148" s="1810"/>
      <c r="H148" s="1810"/>
      <c r="I148" s="1810"/>
      <c r="J148" s="1810"/>
      <c r="K148" s="1810"/>
      <c r="L148" s="2126" t="str" cm="1">
        <f t="array" ref="L148">IF(B128&lt;=0,0,ROUNDUP(SUMPRODUCT(LEN(C148:K148))/B128,0))&amp;" ligne(s)"</f>
        <v>0 ligne(s)</v>
      </c>
      <c r="N148" s="1651" t="s">
        <v>10</v>
      </c>
      <c r="O148" s="31" t="str">
        <f>O130</f>
        <v>B BEIGNETS D'ACACIA | pâtisserie--Beignets| Auteur &gt; Journal des Femmes</v>
      </c>
      <c r="P148" s="32">
        <f>P130</f>
        <v>6</v>
      </c>
      <c r="Q148" s="31" t="str">
        <f>Q130</f>
        <v>personnes</v>
      </c>
      <c r="R148" s="33" t="str">
        <f>R130</f>
        <v>Recette mère ► Beignets d'acacia</v>
      </c>
      <c r="S148" s="685">
        <v>1</v>
      </c>
      <c r="T148" s="686">
        <v>1E-3</v>
      </c>
      <c r="U148" s="687">
        <v>0</v>
      </c>
      <c r="V148" s="686">
        <v>0.25</v>
      </c>
      <c r="W148" s="686">
        <v>0.33332999999999996</v>
      </c>
      <c r="X148" s="686">
        <v>0.5</v>
      </c>
      <c r="Y148" s="687">
        <v>0</v>
      </c>
      <c r="Z148" s="688">
        <v>1</v>
      </c>
      <c r="AA148" s="688">
        <v>0.1</v>
      </c>
      <c r="AB148" s="688">
        <v>0.01</v>
      </c>
      <c r="AC148" s="688">
        <v>1E-3</v>
      </c>
      <c r="AD148" s="688">
        <v>0.5</v>
      </c>
      <c r="AE148" s="688">
        <v>0.25</v>
      </c>
      <c r="AF148" s="688">
        <v>0.33300000000000002</v>
      </c>
      <c r="AG148" s="1756">
        <v>0.2</v>
      </c>
      <c r="AJ148" s="1651" t="str">
        <f t="shared" si="26"/>
        <v>A</v>
      </c>
      <c r="AK148" s="1616"/>
      <c r="AL148" s="1333" t="s">
        <v>21</v>
      </c>
      <c r="AM148" s="390"/>
      <c r="AN148" s="391"/>
      <c r="AO148" s="392"/>
      <c r="AP148" s="391"/>
      <c r="AQ148" s="391"/>
      <c r="AR148" s="391"/>
      <c r="AS148" s="393"/>
      <c r="AV148" s="3">
        <v>1</v>
      </c>
    </row>
    <row r="149" spans="2:48" ht="21" customHeight="1" thickTop="1">
      <c r="B149" s="1610" cm="1">
        <f t="array" ref="B149">SUMPRODUCT(LEN(C149:K149))</f>
        <v>135</v>
      </c>
      <c r="C149" s="1810" t="s">
        <v>8305</v>
      </c>
      <c r="D149" s="1810"/>
      <c r="E149" s="1810"/>
      <c r="F149" s="1810"/>
      <c r="G149" s="1810"/>
      <c r="H149" s="1810"/>
      <c r="I149" s="1810"/>
      <c r="J149" s="1810"/>
      <c r="K149" s="1810"/>
      <c r="L149" s="2126" t="str" cm="1">
        <f t="array" ref="L149">IF(B128&lt;=0,0,ROUNDUP(SUMPRODUCT(LEN(C149:K149))/B128,0))&amp;" ligne(s)"</f>
        <v>2 ligne(s)</v>
      </c>
      <c r="N149" s="1651" t="s">
        <v>10</v>
      </c>
      <c r="O149" s="31" t="str">
        <f>O130</f>
        <v>B BEIGNETS D'ACACIA | pâtisserie--Beignets| Auteur &gt; Journal des Femmes</v>
      </c>
      <c r="P149" s="32">
        <f>P130</f>
        <v>6</v>
      </c>
      <c r="Q149" s="31" t="str">
        <f>Q130</f>
        <v>personnes</v>
      </c>
      <c r="R149" s="33" t="str">
        <f>R130</f>
        <v>Recette mère ► Beignets d'acacia</v>
      </c>
      <c r="S149" s="121" t="s">
        <v>155</v>
      </c>
      <c r="T149" s="121" t="s">
        <v>156</v>
      </c>
      <c r="U149" s="143" t="s">
        <v>141</v>
      </c>
      <c r="V149" s="121" t="s">
        <v>110</v>
      </c>
      <c r="W149" s="121" t="s">
        <v>157</v>
      </c>
      <c r="X149" s="121" t="s">
        <v>158</v>
      </c>
      <c r="Y149" s="143" t="s">
        <v>141</v>
      </c>
      <c r="Z149" s="125" t="s">
        <v>115</v>
      </c>
      <c r="AA149" s="155" t="s">
        <v>159</v>
      </c>
      <c r="AB149" s="155" t="s">
        <v>160</v>
      </c>
      <c r="AC149" s="109" t="s">
        <v>161</v>
      </c>
      <c r="AD149" s="109" t="s">
        <v>162</v>
      </c>
      <c r="AE149" s="109" t="s">
        <v>105</v>
      </c>
      <c r="AF149" s="1758" t="s">
        <v>1689</v>
      </c>
      <c r="AG149" s="697" t="s">
        <v>163</v>
      </c>
      <c r="AJ149" s="1651" t="str">
        <f t="shared" si="26"/>
        <v>A</v>
      </c>
      <c r="AK149" s="1616"/>
      <c r="AL149" s="1333" t="s">
        <v>21</v>
      </c>
      <c r="AM149" s="394"/>
      <c r="AN149" s="395" t="s">
        <v>84</v>
      </c>
      <c r="AO149" s="396" t="s">
        <v>49</v>
      </c>
      <c r="AP149" s="186"/>
      <c r="AQ149" s="9"/>
      <c r="AR149" s="186"/>
      <c r="AS149" s="191"/>
      <c r="AV149" s="3">
        <v>1</v>
      </c>
    </row>
    <row r="150" spans="2:48" ht="21" customHeight="1">
      <c r="B150" s="1610" cm="1">
        <f t="array" ref="B150">SUMPRODUCT(LEN(C150:K150))</f>
        <v>163</v>
      </c>
      <c r="C150" s="1810" t="s">
        <v>8306</v>
      </c>
      <c r="D150" s="1810"/>
      <c r="E150" s="1810"/>
      <c r="F150" s="1810"/>
      <c r="G150" s="1810"/>
      <c r="H150" s="1810"/>
      <c r="I150" s="1810"/>
      <c r="J150" s="1810"/>
      <c r="K150" s="1810"/>
      <c r="L150" s="2126" t="str" cm="1">
        <f t="array" ref="L150">IF(B128&lt;=0,0,ROUNDUP(SUMPRODUCT(LEN(C150:K150))/B128,0))&amp;" ligne(s)"</f>
        <v>2 ligne(s)</v>
      </c>
      <c r="N150" s="1651" t="s">
        <v>10</v>
      </c>
      <c r="O150" s="31" t="str">
        <f>O130</f>
        <v>B BEIGNETS D'ACACIA | pâtisserie--Beignets| Auteur &gt; Journal des Femmes</v>
      </c>
      <c r="P150" s="32">
        <f>P130</f>
        <v>6</v>
      </c>
      <c r="Q150" s="31" t="str">
        <f>Q130</f>
        <v>personnes</v>
      </c>
      <c r="R150" s="33" t="str">
        <f>R130</f>
        <v>Recette mère ► Beignets d'acacia</v>
      </c>
      <c r="S150" s="685">
        <v>2.835E-2</v>
      </c>
      <c r="T150" s="686">
        <v>0.13</v>
      </c>
      <c r="U150" s="687">
        <v>0</v>
      </c>
      <c r="V150" s="686">
        <v>0.2</v>
      </c>
      <c r="W150" s="686">
        <v>0.23</v>
      </c>
      <c r="X150" s="686">
        <v>0.22500000000000001</v>
      </c>
      <c r="Y150" s="687">
        <v>0</v>
      </c>
      <c r="Z150" s="688">
        <v>0.35</v>
      </c>
      <c r="AA150" s="688">
        <v>5.0000000000000001E-3</v>
      </c>
      <c r="AB150" s="688">
        <v>5.0000000000000001E-3</v>
      </c>
      <c r="AC150" s="688">
        <v>1.4999999999999999E-2</v>
      </c>
      <c r="AD150" s="688">
        <v>0.1</v>
      </c>
      <c r="AE150" s="688">
        <v>0.22500000000000001</v>
      </c>
      <c r="AF150" s="688">
        <v>4.0000000000000001E-3</v>
      </c>
      <c r="AG150" s="1757">
        <v>1E-3</v>
      </c>
      <c r="AJ150" s="1651" t="str">
        <f t="shared" si="26"/>
        <v>A</v>
      </c>
      <c r="AK150" s="1616"/>
      <c r="AL150" s="1333" t="s">
        <v>21</v>
      </c>
      <c r="AM150" s="394"/>
      <c r="AN150" s="397" t="s">
        <v>96</v>
      </c>
      <c r="AO150" s="88">
        <v>1</v>
      </c>
      <c r="AP150" s="186"/>
      <c r="AQ150" s="9"/>
      <c r="AR150" s="186"/>
      <c r="AS150" s="191"/>
      <c r="AV150" s="3">
        <v>1</v>
      </c>
    </row>
    <row r="151" spans="2:48" ht="21" customHeight="1">
      <c r="B151" s="1610" cm="1">
        <f t="array" ref="B151">SUMPRODUCT(LEN(C151:K151))</f>
        <v>0</v>
      </c>
      <c r="C151" s="1810"/>
      <c r="D151" s="1810"/>
      <c r="E151" s="1810"/>
      <c r="F151" s="1810"/>
      <c r="G151" s="1810"/>
      <c r="H151" s="1810"/>
      <c r="I151" s="1810"/>
      <c r="J151" s="1810"/>
      <c r="K151" s="1810"/>
      <c r="L151" s="2126" t="str" cm="1">
        <f t="array" ref="L151">IF(B128&lt;=0,0,ROUNDUP(SUMPRODUCT(LEN(C151:K151))/B128,0))&amp;" ligne(s)"</f>
        <v>0 ligne(s)</v>
      </c>
      <c r="N151" s="1651" t="s">
        <v>15</v>
      </c>
      <c r="O151" s="5588" t="str">
        <f t="shared" ref="O151:AG151" si="28">SUBSTITUTE(ADDRESS(1,COLUMN(),4),"1","")</f>
        <v>O</v>
      </c>
      <c r="P151" s="5588" t="str">
        <f t="shared" si="28"/>
        <v>P</v>
      </c>
      <c r="Q151" s="5588" t="str">
        <f t="shared" si="28"/>
        <v>Q</v>
      </c>
      <c r="R151" s="5588" t="str">
        <f t="shared" si="28"/>
        <v>R</v>
      </c>
      <c r="S151" s="5588" t="str">
        <f t="shared" si="28"/>
        <v>S</v>
      </c>
      <c r="T151" s="5588" t="str">
        <f t="shared" si="28"/>
        <v>T</v>
      </c>
      <c r="U151" s="5588" t="str">
        <f t="shared" si="28"/>
        <v>U</v>
      </c>
      <c r="V151" s="5588" t="str">
        <f t="shared" si="28"/>
        <v>V</v>
      </c>
      <c r="W151" s="5588" t="str">
        <f t="shared" si="28"/>
        <v>W</v>
      </c>
      <c r="X151" s="5588" t="str">
        <f t="shared" si="28"/>
        <v>X</v>
      </c>
      <c r="Y151" s="6014" t="str">
        <f t="shared" si="28"/>
        <v>Y</v>
      </c>
      <c r="Z151" s="5590" t="str">
        <f t="shared" si="28"/>
        <v>Z</v>
      </c>
      <c r="AA151" s="5590" t="str">
        <f t="shared" si="28"/>
        <v>AA</v>
      </c>
      <c r="AB151" s="5590" t="str">
        <f t="shared" si="28"/>
        <v>AB</v>
      </c>
      <c r="AC151" s="5590" t="str">
        <f t="shared" si="28"/>
        <v>AC</v>
      </c>
      <c r="AD151" s="6014" t="str">
        <f t="shared" si="28"/>
        <v>AD</v>
      </c>
      <c r="AE151" s="5590" t="str">
        <f t="shared" si="28"/>
        <v>AE</v>
      </c>
      <c r="AF151" s="5590" t="str">
        <f t="shared" si="28"/>
        <v>AF</v>
      </c>
      <c r="AG151" s="6016" t="str">
        <f t="shared" si="28"/>
        <v>AG</v>
      </c>
      <c r="AH151" s="6628" t="s">
        <v>8774</v>
      </c>
      <c r="AJ151" s="1651" t="str">
        <f t="shared" si="26"/>
        <v>►</v>
      </c>
      <c r="AK151" s="1616"/>
      <c r="AL151" s="1333" t="s">
        <v>21</v>
      </c>
      <c r="AM151" s="394"/>
      <c r="AN151" s="398" t="s">
        <v>438</v>
      </c>
      <c r="AO151" s="9"/>
      <c r="AP151" s="9"/>
      <c r="AQ151" s="9"/>
      <c r="AR151" s="186"/>
      <c r="AS151" s="191"/>
      <c r="AV151" s="3">
        <v>1</v>
      </c>
    </row>
    <row r="152" spans="2:48" ht="21" customHeight="1">
      <c r="B152" s="1610" cm="1">
        <f t="array" ref="B152">SUMPRODUCT(LEN(C152:K152))</f>
        <v>343</v>
      </c>
      <c r="C152" s="1810" t="s">
        <v>8307</v>
      </c>
      <c r="D152" s="1810"/>
      <c r="E152" s="1810"/>
      <c r="F152" s="1810"/>
      <c r="G152" s="1810"/>
      <c r="H152" s="1810"/>
      <c r="I152" s="1810"/>
      <c r="J152" s="1810"/>
      <c r="K152" s="1810"/>
      <c r="L152" s="2126" t="str" cm="1">
        <f t="array" ref="L152">IF(B128&lt;=0,0,ROUNDUP(SUMPRODUCT(LEN(C152:K152))/B128,0))&amp;" ligne(s)"</f>
        <v>4 ligne(s)</v>
      </c>
      <c r="N152" s="1651" t="s">
        <v>10</v>
      </c>
      <c r="O152" s="5589">
        <f t="shared" ref="O152:AG152" ca="1" si="29">CELL("largeur",O152)</f>
        <v>3</v>
      </c>
      <c r="P152" s="5589">
        <f t="shared" ca="1" si="29"/>
        <v>3</v>
      </c>
      <c r="Q152" s="5589">
        <f t="shared" ca="1" si="29"/>
        <v>3</v>
      </c>
      <c r="R152" s="5589">
        <f t="shared" ca="1" si="29"/>
        <v>5</v>
      </c>
      <c r="S152" s="5589">
        <f t="shared" ca="1" si="29"/>
        <v>12</v>
      </c>
      <c r="T152" s="5589">
        <f t="shared" ca="1" si="29"/>
        <v>12</v>
      </c>
      <c r="U152" s="5589">
        <f t="shared" ca="1" si="29"/>
        <v>3</v>
      </c>
      <c r="V152" s="5589">
        <f t="shared" ca="1" si="29"/>
        <v>9</v>
      </c>
      <c r="W152" s="5589">
        <f t="shared" ca="1" si="29"/>
        <v>12</v>
      </c>
      <c r="X152" s="5589">
        <f t="shared" ca="1" si="29"/>
        <v>9</v>
      </c>
      <c r="Y152" s="6015">
        <f t="shared" ca="1" si="29"/>
        <v>6</v>
      </c>
      <c r="Z152" s="5591">
        <f t="shared" ca="1" si="29"/>
        <v>40</v>
      </c>
      <c r="AA152" s="5591">
        <f t="shared" ca="1" si="29"/>
        <v>10</v>
      </c>
      <c r="AB152" s="5591">
        <f t="shared" ca="1" si="29"/>
        <v>9</v>
      </c>
      <c r="AC152" s="5591">
        <f t="shared" ca="1" si="29"/>
        <v>11</v>
      </c>
      <c r="AD152" s="6015">
        <f t="shared" ca="1" si="29"/>
        <v>13</v>
      </c>
      <c r="AE152" s="5591">
        <f t="shared" ca="1" si="29"/>
        <v>13</v>
      </c>
      <c r="AF152" s="5591">
        <f t="shared" ca="1" si="29"/>
        <v>13</v>
      </c>
      <c r="AG152" s="6017">
        <f t="shared" ca="1" si="29"/>
        <v>17</v>
      </c>
      <c r="AH152" s="6628"/>
      <c r="AJ152" s="1651" t="str">
        <f t="shared" si="26"/>
        <v>A</v>
      </c>
      <c r="AK152" s="1616"/>
      <c r="AL152" s="1333" t="s">
        <v>21</v>
      </c>
      <c r="AM152" s="394"/>
      <c r="AN152" s="398" t="s">
        <v>441</v>
      </c>
      <c r="AO152" s="9"/>
      <c r="AP152" s="9"/>
      <c r="AQ152" s="9"/>
      <c r="AR152" s="186"/>
      <c r="AS152" s="191"/>
      <c r="AV152" s="3">
        <v>1</v>
      </c>
    </row>
    <row r="153" spans="2:48" ht="21" customHeight="1">
      <c r="B153" s="1610" cm="1">
        <f t="array" ref="B153">SUMPRODUCT(LEN(C153:K153))</f>
        <v>59</v>
      </c>
      <c r="C153" s="1810" t="s">
        <v>8308</v>
      </c>
      <c r="D153" s="1810"/>
      <c r="E153" s="1810"/>
      <c r="F153" s="1810"/>
      <c r="G153" s="1810"/>
      <c r="H153" s="1810"/>
      <c r="I153" s="1810"/>
      <c r="J153" s="1810"/>
      <c r="K153" s="1810"/>
      <c r="L153" s="2126" t="str" cm="1">
        <f t="array" ref="L153">IF(B128&lt;=0,0,ROUNDUP(SUMPRODUCT(LEN(C153:K153))/B128,0))&amp;" ligne(s)"</f>
        <v>1 ligne(s)</v>
      </c>
      <c r="N153" s="1654" t="s">
        <v>10</v>
      </c>
      <c r="O153" s="1370" t="str">
        <f>O130</f>
        <v>B BEIGNETS D'ACACIA | pâtisserie--Beignets| Auteur &gt; Journal des Femmes</v>
      </c>
      <c r="P153" s="1348">
        <f>P130</f>
        <v>6</v>
      </c>
      <c r="Q153" s="1349" t="str">
        <f>Q130</f>
        <v>personnes</v>
      </c>
      <c r="R153" s="1350" t="str">
        <f>R130</f>
        <v>Recette mère ► Beignets d'acacia</v>
      </c>
      <c r="S153" s="5997" t="str">
        <f ca="1">"largeur de "&amp;Y151&amp;" à "&amp;AG151&amp;" = "&amp;SUM(Y152:AG152)</f>
        <v>largeur de Y à AG = 132</v>
      </c>
      <c r="T153" s="5998"/>
      <c r="U153" s="1986"/>
      <c r="V153" s="1986"/>
      <c r="W153" s="1986"/>
      <c r="X153" s="1987" t="s">
        <v>8145</v>
      </c>
      <c r="Y153" s="1988" t="s">
        <v>821</v>
      </c>
      <c r="Z153" s="1941"/>
      <c r="AA153" s="5999" t="str">
        <f ca="1">"largeur mini  = "&amp;SUM(Y152:AD152)</f>
        <v>largeur mini  = 89</v>
      </c>
      <c r="AB153" s="6000" t="str">
        <f ca="1">"largeur maxi  = "&amp;SUM(Y152:AG152)</f>
        <v>largeur maxi  = 132</v>
      </c>
      <c r="AC153" s="1942"/>
      <c r="AD153" s="1942"/>
      <c r="AE153" s="1989"/>
      <c r="AF153" s="2101"/>
      <c r="AG153" s="1990" t="s">
        <v>218</v>
      </c>
      <c r="AJ153" s="1654" t="str">
        <f t="shared" si="26"/>
        <v>A</v>
      </c>
      <c r="AK153" s="1616"/>
      <c r="AL153" s="1333" t="s">
        <v>21</v>
      </c>
      <c r="AM153" s="394"/>
      <c r="AN153" s="398" t="s">
        <v>444</v>
      </c>
      <c r="AO153" s="9"/>
      <c r="AP153" s="9"/>
      <c r="AQ153" s="9"/>
      <c r="AR153" s="186"/>
      <c r="AS153" s="191"/>
      <c r="AV153" s="3">
        <v>1</v>
      </c>
    </row>
    <row r="154" spans="2:48" ht="21" customHeight="1">
      <c r="B154" s="1610" cm="1">
        <f t="array" ref="B154">SUMPRODUCT(LEN(C154:K154))</f>
        <v>0</v>
      </c>
      <c r="C154" s="1810"/>
      <c r="D154" s="1810"/>
      <c r="E154" s="1810"/>
      <c r="F154" s="1810"/>
      <c r="G154" s="1810"/>
      <c r="H154" s="1810"/>
      <c r="I154" s="1810"/>
      <c r="J154" s="1810"/>
      <c r="K154" s="1810"/>
      <c r="L154" s="2126" t="str" cm="1">
        <f t="array" ref="L154">IF(B128&lt;=0,0,ROUNDUP(SUMPRODUCT(LEN(C154:K154))/B128,0))&amp;" ligne(s)"</f>
        <v>0 ligne(s)</v>
      </c>
      <c r="N154" s="1654" t="s">
        <v>10</v>
      </c>
      <c r="O154" s="163" t="str">
        <f>O130</f>
        <v>B BEIGNETS D'ACACIA | pâtisserie--Beignets| Auteur &gt; Journal des Femmes</v>
      </c>
      <c r="P154" s="163">
        <f>P130</f>
        <v>6</v>
      </c>
      <c r="Q154" s="164" t="str">
        <f>Q130</f>
        <v>personnes</v>
      </c>
      <c r="R154" s="165" t="str">
        <f>R130</f>
        <v>Recette mère ► Beignets d'acacia</v>
      </c>
      <c r="S154" s="508"/>
      <c r="T154" s="508"/>
      <c r="U154" s="2063"/>
      <c r="V154" s="2064" t="s">
        <v>8865</v>
      </c>
      <c r="W154" s="2065">
        <f ca="1">SUM(Y152:AG152)</f>
        <v>132</v>
      </c>
      <c r="X154" s="1374">
        <v>0</v>
      </c>
      <c r="Y154" s="1375" t="s">
        <v>8298</v>
      </c>
      <c r="Z154" s="1810"/>
      <c r="AA154" s="1810"/>
      <c r="AB154" s="1810"/>
      <c r="AC154" s="1810"/>
      <c r="AD154" s="1810"/>
      <c r="AE154" s="9"/>
      <c r="AF154" s="5993" t="s">
        <v>164</v>
      </c>
      <c r="AG154" s="1330" t="s">
        <v>165</v>
      </c>
      <c r="AJ154" s="1654" t="str">
        <f t="shared" si="26"/>
        <v>A</v>
      </c>
      <c r="AK154" s="1616"/>
      <c r="AL154" s="1333" t="s">
        <v>21</v>
      </c>
      <c r="AM154" s="394"/>
      <c r="AN154" s="398" t="s">
        <v>447</v>
      </c>
      <c r="AO154" s="9"/>
      <c r="AP154" s="9"/>
      <c r="AQ154" s="9"/>
      <c r="AR154" s="186"/>
      <c r="AS154" s="191"/>
      <c r="AV154" s="3">
        <v>1</v>
      </c>
    </row>
    <row r="155" spans="2:48" ht="21" customHeight="1">
      <c r="B155" s="1610" cm="1">
        <f t="array" ref="B155">SUMPRODUCT(LEN(C155:K155))</f>
        <v>0</v>
      </c>
      <c r="C155" s="1810"/>
      <c r="D155" s="1810"/>
      <c r="E155" s="1810"/>
      <c r="F155" s="1810"/>
      <c r="G155" s="1810"/>
      <c r="H155" s="1810"/>
      <c r="I155" s="1810"/>
      <c r="J155" s="1810"/>
      <c r="K155" s="1810"/>
      <c r="L155" s="2126" t="str" cm="1">
        <f t="array" ref="L155">IF(B128&lt;=0,0,ROUNDUP(SUMPRODUCT(LEN(C155:K155))/B128,0))&amp;" ligne(s)"</f>
        <v>0 ligne(s)</v>
      </c>
      <c r="N155" s="1654" t="s">
        <v>10</v>
      </c>
      <c r="O155" s="163" t="str">
        <f>O130</f>
        <v>B BEIGNETS D'ACACIA | pâtisserie--Beignets| Auteur &gt; Journal des Femmes</v>
      </c>
      <c r="P155" s="163">
        <f>P130</f>
        <v>6</v>
      </c>
      <c r="Q155" s="164" t="str">
        <f>Q130</f>
        <v>personnes</v>
      </c>
      <c r="R155" s="165" t="str">
        <f>R130</f>
        <v>Recette mère ► Beignets d'acacia</v>
      </c>
      <c r="S155" s="1548"/>
      <c r="T155" s="2189" t="s">
        <v>8771</v>
      </c>
      <c r="U155" s="2190">
        <f>ROWS(Y155:Y155)</f>
        <v>1</v>
      </c>
      <c r="V155" s="5549" t="str" cm="1">
        <f t="array" ref="V155">IF(SUMPRODUCT((Y155:AD155&lt;&gt;"")*1)=0,"",SUMPRODUCT((Y155:AD155&lt;&gt;"")*(LEN(TRIM(SUBSTITUTE(Y155:AD155,CHAR(160)," "))) - LEN(SUBSTITUTE(TRIM(SUBSTITUTE(Y155:AD155,CHAR(160)," "))," ","")) + 1)) &amp; " mot" &amp; IF(SUMPRODUCT((Y155:AD155&lt;&gt;"")*(LEN(TRIM(SUBSTITUTE(Y155:AD155,CHAR(160)," "))) - LEN(SUBSTITUTE(TRIM(SUBSTITUTE(Y155:AD155,CHAR(160)," "))," ","")) + 1))&gt;1,"s",""))</f>
        <v>14 mots</v>
      </c>
      <c r="W155" s="5550" t="str" cm="1">
        <f t="array" ref="W155">SUMPRODUCT(--(Y155:AD155&lt;&gt;""), LEN(TRIM(SUBSTITUTE(Y155:AD155, CHAR(160), "")))) &amp; " Car."</f>
        <v>85 Car.</v>
      </c>
      <c r="X155" s="1376">
        <f>IF(ISBLANK(Y155),"",LARGE(X154:X154,1)+1)</f>
        <v>1</v>
      </c>
      <c r="Y155" s="1810" t="s">
        <v>8309</v>
      </c>
      <c r="Z155" s="1810"/>
      <c r="AA155" s="1810"/>
      <c r="AB155" s="1810"/>
      <c r="AC155" s="1810"/>
      <c r="AD155" s="1810"/>
      <c r="AE155" s="9"/>
      <c r="AF155" s="5993" t="s">
        <v>167</v>
      </c>
      <c r="AG155" s="1330" t="s">
        <v>165</v>
      </c>
      <c r="AJ155" s="1654" t="str">
        <f t="shared" si="26"/>
        <v>A</v>
      </c>
      <c r="AK155" s="1616"/>
      <c r="AL155" s="1333" t="s">
        <v>21</v>
      </c>
      <c r="AM155" s="394"/>
      <c r="AN155" s="398"/>
      <c r="AO155" s="9"/>
      <c r="AP155" s="9"/>
      <c r="AQ155" s="9"/>
      <c r="AR155" s="186"/>
      <c r="AS155" s="191"/>
      <c r="AV155" s="3">
        <v>1</v>
      </c>
    </row>
    <row r="156" spans="2:48" ht="21" customHeight="1">
      <c r="B156" s="1610" cm="1">
        <f t="array" ref="B156">SUMPRODUCT(LEN(C156:K156))</f>
        <v>0</v>
      </c>
      <c r="C156" s="1810"/>
      <c r="D156" s="1810"/>
      <c r="E156" s="1810"/>
      <c r="F156" s="1810"/>
      <c r="G156" s="1810"/>
      <c r="H156" s="1810"/>
      <c r="I156" s="1810"/>
      <c r="J156" s="1810"/>
      <c r="K156" s="1810"/>
      <c r="L156" s="2126" t="str" cm="1">
        <f t="array" ref="L156">IF(B128&lt;=0,0,ROUNDUP(SUMPRODUCT(LEN(C156:K156))/B128,0))&amp;" ligne(s)"</f>
        <v>0 ligne(s)</v>
      </c>
      <c r="N156" s="1654" t="s">
        <v>10</v>
      </c>
      <c r="O156" s="163" t="str">
        <f>O130</f>
        <v>B BEIGNETS D'ACACIA | pâtisserie--Beignets| Auteur &gt; Journal des Femmes</v>
      </c>
      <c r="P156" s="163">
        <f>P130</f>
        <v>6</v>
      </c>
      <c r="Q156" s="164" t="str">
        <f>Q130</f>
        <v>personnes</v>
      </c>
      <c r="R156" s="165" t="str">
        <f>R130</f>
        <v>Recette mère ► Beignets d'acacia</v>
      </c>
      <c r="S156" s="1548"/>
      <c r="T156" s="1548"/>
      <c r="U156" s="2190">
        <f>ROWS(Y155:Y156)</f>
        <v>2</v>
      </c>
      <c r="V156" s="5549" t="str" cm="1">
        <f t="array" ref="V156">IF(SUMPRODUCT((Y156:AD156&lt;&gt;"")*1)=0,"",SUMPRODUCT((Y156:AD156&lt;&gt;"")*(LEN(TRIM(SUBSTITUTE(Y156:AD156,CHAR(160)," "))) - LEN(SUBSTITUTE(TRIM(SUBSTITUTE(Y156:AD156,CHAR(160)," "))," ","")) + 1)) &amp; " mot" &amp; IF(SUMPRODUCT((Y156:AD156&lt;&gt;"")*(LEN(TRIM(SUBSTITUTE(Y156:AD156,CHAR(160)," "))) - LEN(SUBSTITUTE(TRIM(SUBSTITUTE(Y156:AD156,CHAR(160)," "))," ","")) + 1))&gt;1,"s",""))</f>
        <v>8 mots</v>
      </c>
      <c r="W156" s="5550" t="str" cm="1">
        <f t="array" ref="W156">SUMPRODUCT(--(Y156:AD156&lt;&gt;""), LEN(TRIM(SUBSTITUTE(Y156:AD156, CHAR(160), "")))) &amp; " Car."</f>
        <v>49 Car.</v>
      </c>
      <c r="X156" s="1376" t="str">
        <f>IF(ISBLANK(Y156),"",LARGE(X154:X155,1)+1)</f>
        <v/>
      </c>
      <c r="Y156" s="1810"/>
      <c r="Z156" s="1810" t="s">
        <v>8310</v>
      </c>
      <c r="AA156" s="1810"/>
      <c r="AB156" s="1810"/>
      <c r="AC156" s="1810"/>
      <c r="AD156" s="1810"/>
      <c r="AE156" s="1810"/>
      <c r="AF156" s="5994" t="s">
        <v>171</v>
      </c>
      <c r="AG156" s="5564">
        <v>3.472222222222222E-3</v>
      </c>
      <c r="AJ156" s="1654" t="str">
        <f t="shared" si="26"/>
        <v>A</v>
      </c>
      <c r="AK156" s="1616"/>
      <c r="AL156" s="1333" t="s">
        <v>21</v>
      </c>
      <c r="AM156" s="157"/>
      <c r="AN156" s="158"/>
      <c r="AO156" s="159"/>
      <c r="AP156" s="158"/>
      <c r="AQ156" s="158"/>
      <c r="AR156" s="158"/>
      <c r="AS156" s="160"/>
      <c r="AV156" s="3">
        <v>1</v>
      </c>
    </row>
    <row r="157" spans="2:48" ht="21" customHeight="1">
      <c r="B157" s="1610" cm="1">
        <f t="array" ref="B157">SUMPRODUCT(LEN(C157:K157))</f>
        <v>0</v>
      </c>
      <c r="C157" s="1810"/>
      <c r="D157" s="1810"/>
      <c r="E157" s="1810"/>
      <c r="F157" s="1810"/>
      <c r="G157" s="1810"/>
      <c r="H157" s="1810"/>
      <c r="I157" s="1810"/>
      <c r="J157" s="1810"/>
      <c r="K157" s="1810"/>
      <c r="L157" s="2126" t="str" cm="1">
        <f t="array" ref="L157">IF(B128&lt;=0,0,ROUNDUP(SUMPRODUCT(LEN(C157:K157))/B128,0))&amp;" ligne(s)"</f>
        <v>0 ligne(s)</v>
      </c>
      <c r="N157" s="1654" t="s">
        <v>10</v>
      </c>
      <c r="O157" s="163" t="str">
        <f>O130</f>
        <v>B BEIGNETS D'ACACIA | pâtisserie--Beignets| Auteur &gt; Journal des Femmes</v>
      </c>
      <c r="P157" s="163">
        <f>P130</f>
        <v>6</v>
      </c>
      <c r="Q157" s="164" t="str">
        <f>Q130</f>
        <v>personnes</v>
      </c>
      <c r="R157" s="165" t="str">
        <f>R130</f>
        <v>Recette mère ► Beignets d'acacia</v>
      </c>
      <c r="S157" s="1548"/>
      <c r="T157" s="1548"/>
      <c r="U157" s="2190">
        <f>ROWS(Y155:Y157)</f>
        <v>3</v>
      </c>
      <c r="V157" s="5549" t="str" cm="1">
        <f t="array" ref="V157">IF(SUMPRODUCT((Y157:AD157&lt;&gt;"")*1)=0,"",SUMPRODUCT((Y157:AD157&lt;&gt;"")*(LEN(TRIM(SUBSTITUTE(Y157:AD157,CHAR(160)," "))) - LEN(SUBSTITUTE(TRIM(SUBSTITUTE(Y157:AD157,CHAR(160)," "))," ","")) + 1)) &amp; " mot" &amp; IF(SUMPRODUCT((Y157:AD157&lt;&gt;"")*(LEN(TRIM(SUBSTITUTE(Y157:AD157,CHAR(160)," "))) - LEN(SUBSTITUTE(TRIM(SUBSTITUTE(Y157:AD157,CHAR(160)," "))," ","")) + 1))&gt;1,"s",""))</f>
        <v>13 mots</v>
      </c>
      <c r="W157" s="5550" t="str" cm="1">
        <f t="array" ref="W157">SUMPRODUCT(--(Y157:AD157&lt;&gt;""), LEN(TRIM(SUBSTITUTE(Y157:AD157, CHAR(160), "")))) &amp; " Car."</f>
        <v>66 Car.</v>
      </c>
      <c r="X157" s="1376">
        <f>IF(ISBLANK(Y157),"",LARGE(X154:X156,1)+1)</f>
        <v>2</v>
      </c>
      <c r="Y157" s="1810" t="s">
        <v>8311</v>
      </c>
      <c r="Z157" s="1810"/>
      <c r="AA157" s="1810"/>
      <c r="AB157" s="1810"/>
      <c r="AC157" s="1810"/>
      <c r="AD157" s="1810"/>
      <c r="AE157" s="1810"/>
      <c r="AF157" s="5994" t="s">
        <v>173</v>
      </c>
      <c r="AG157" s="5565">
        <v>1.0416666666666666E-2</v>
      </c>
      <c r="AJ157" s="1654" t="str">
        <f t="shared" si="26"/>
        <v>A</v>
      </c>
      <c r="AK157" s="1616"/>
      <c r="AL157" s="1333" t="s">
        <v>21</v>
      </c>
      <c r="AM157" s="390"/>
      <c r="AN157" s="391"/>
      <c r="AO157" s="392"/>
      <c r="AP157" s="391"/>
      <c r="AQ157" s="391"/>
      <c r="AR157" s="391"/>
      <c r="AS157" s="393"/>
      <c r="AV157" s="3">
        <v>1</v>
      </c>
    </row>
    <row r="158" spans="2:48" ht="21" customHeight="1">
      <c r="B158" s="1610" cm="1">
        <f t="array" ref="B158">SUMPRODUCT(LEN(C158:K158))</f>
        <v>0</v>
      </c>
      <c r="C158" s="1810"/>
      <c r="D158" s="1810"/>
      <c r="E158" s="1810"/>
      <c r="F158" s="1810"/>
      <c r="G158" s="1810"/>
      <c r="H158" s="1810"/>
      <c r="I158" s="1810"/>
      <c r="J158" s="1810"/>
      <c r="K158" s="1810"/>
      <c r="L158" s="2126" t="str" cm="1">
        <f t="array" ref="L158">IF(B128&lt;=0,0,ROUNDUP(SUMPRODUCT(LEN(C158:K158))/B128,0))&amp;" ligne(s)"</f>
        <v>0 ligne(s)</v>
      </c>
      <c r="N158" s="1654" t="s">
        <v>10</v>
      </c>
      <c r="O158" s="163" t="str">
        <f>O130</f>
        <v>B BEIGNETS D'ACACIA | pâtisserie--Beignets| Auteur &gt; Journal des Femmes</v>
      </c>
      <c r="P158" s="163">
        <f>P130</f>
        <v>6</v>
      </c>
      <c r="Q158" s="164" t="str">
        <f>Q130</f>
        <v>personnes</v>
      </c>
      <c r="R158" s="165" t="str">
        <f>R130</f>
        <v>Recette mère ► Beignets d'acacia</v>
      </c>
      <c r="S158" s="1548"/>
      <c r="T158" s="1548"/>
      <c r="U158" s="2190">
        <f>ROWS(Y155:Y158)</f>
        <v>4</v>
      </c>
      <c r="V158" s="5549" t="str" cm="1">
        <f t="array" ref="V158">IF(SUMPRODUCT((Y158:AD158&lt;&gt;"")*1)=0,"",SUMPRODUCT((Y158:AD158&lt;&gt;"")*(LEN(TRIM(SUBSTITUTE(Y158:AD158,CHAR(160)," "))) - LEN(SUBSTITUTE(TRIM(SUBSTITUTE(Y158:AD158,CHAR(160)," "))," ","")) + 1)) &amp; " mot" &amp; IF(SUMPRODUCT((Y158:AD158&lt;&gt;"")*(LEN(TRIM(SUBSTITUTE(Y158:AD158,CHAR(160)," "))) - LEN(SUBSTITUTE(TRIM(SUBSTITUTE(Y158:AD158,CHAR(160)," "))," ","")) + 1))&gt;1,"s",""))</f>
        <v/>
      </c>
      <c r="W158" s="5550" t="str" cm="1">
        <f t="array" ref="W158">SUMPRODUCT(--(Y158:AD158&lt;&gt;""), LEN(TRIM(SUBSTITUTE(Y158:AD158, CHAR(160), "")))) &amp; " Car."</f>
        <v>0 Car.</v>
      </c>
      <c r="X158" s="1376" t="str">
        <f>IF(ISBLANK(Y158),"",LARGE(X154:X157,1)+1)</f>
        <v/>
      </c>
      <c r="Y158" s="1810"/>
      <c r="Z158" s="1833"/>
      <c r="AA158" s="1810"/>
      <c r="AB158" s="1810"/>
      <c r="AC158" s="1810"/>
      <c r="AD158" s="1810"/>
      <c r="AE158" s="1810"/>
      <c r="AF158" s="5994" t="s">
        <v>181</v>
      </c>
      <c r="AG158" s="178">
        <v>2.0833333333333332E-2</v>
      </c>
      <c r="AJ158" s="1654" t="str">
        <f t="shared" si="26"/>
        <v>A</v>
      </c>
      <c r="AK158" s="1616"/>
      <c r="AL158" s="1333" t="s">
        <v>21</v>
      </c>
      <c r="AM158" s="6973" t="s">
        <v>453</v>
      </c>
      <c r="AN158" s="404" t="s">
        <v>454</v>
      </c>
      <c r="AO158" s="405"/>
      <c r="AP158" s="406"/>
      <c r="AQ158" s="9"/>
      <c r="AR158" s="186"/>
      <c r="AS158" s="191"/>
      <c r="AV158" s="3">
        <v>1</v>
      </c>
    </row>
    <row r="159" spans="2:48" ht="21" customHeight="1">
      <c r="B159" s="1610" cm="1">
        <f t="array" ref="B159">SUMPRODUCT(LEN(C159:K159))</f>
        <v>0</v>
      </c>
      <c r="C159" s="1810"/>
      <c r="D159" s="1810"/>
      <c r="E159" s="1810"/>
      <c r="F159" s="1810"/>
      <c r="G159" s="1810"/>
      <c r="H159" s="1810"/>
      <c r="I159" s="1810"/>
      <c r="J159" s="1810"/>
      <c r="K159" s="1810"/>
      <c r="L159" s="2126" t="str" cm="1">
        <f t="array" ref="L159">IF(B128&lt;=0,0,ROUNDUP(SUMPRODUCT(LEN(C159:K159))/B128,0))&amp;" ligne(s)"</f>
        <v>0 ligne(s)</v>
      </c>
      <c r="N159" s="1654" t="s">
        <v>10</v>
      </c>
      <c r="O159" s="163" t="str">
        <f>O130</f>
        <v>B BEIGNETS D'ACACIA | pâtisserie--Beignets| Auteur &gt; Journal des Femmes</v>
      </c>
      <c r="P159" s="163">
        <f>P130</f>
        <v>6</v>
      </c>
      <c r="Q159" s="164" t="str">
        <f>Q130</f>
        <v>personnes</v>
      </c>
      <c r="R159" s="165" t="str">
        <f>R130</f>
        <v>Recette mère ► Beignets d'acacia</v>
      </c>
      <c r="S159" s="1548"/>
      <c r="T159" s="1548"/>
      <c r="U159" s="2190">
        <f>ROWS(Y155:Y159)</f>
        <v>5</v>
      </c>
      <c r="V159" s="5549" t="str" cm="1">
        <f t="array" ref="V159">IF(SUMPRODUCT((Y159:AD159&lt;&gt;"")*1)=0,"",SUMPRODUCT((Y159:AD159&lt;&gt;"")*(LEN(TRIM(SUBSTITUTE(Y159:AD159,CHAR(160)," "))) - LEN(SUBSTITUTE(TRIM(SUBSTITUTE(Y159:AD159,CHAR(160)," "))," ","")) + 1)) &amp; " mot" &amp; IF(SUMPRODUCT((Y159:AD159&lt;&gt;"")*(LEN(TRIM(SUBSTITUTE(Y159:AD159,CHAR(160)," "))) - LEN(SUBSTITUTE(TRIM(SUBSTITUTE(Y159:AD159,CHAR(160)," "))," ","")) + 1))&gt;1,"s",""))</f>
        <v/>
      </c>
      <c r="W159" s="5550" t="str" cm="1">
        <f t="array" ref="W159">SUMPRODUCT(--(Y159:AD159&lt;&gt;""), LEN(TRIM(SUBSTITUTE(Y159:AD159, CHAR(160), "")))) &amp; " Car."</f>
        <v>0 Car.</v>
      </c>
      <c r="X159" s="1376" t="str">
        <f>IF(ISBLANK(Y159),"",LARGE(X154:X158,1)+1)</f>
        <v/>
      </c>
      <c r="Y159" s="1810"/>
      <c r="Z159" s="1810"/>
      <c r="AA159" s="1810"/>
      <c r="AB159" s="1810"/>
      <c r="AC159" s="1810"/>
      <c r="AD159" s="1810"/>
      <c r="AE159" s="1810"/>
      <c r="AF159" s="179" t="s">
        <v>182</v>
      </c>
      <c r="AG159" s="180">
        <f>AG156+AG157+AG158</f>
        <v>3.4722222222222224E-2</v>
      </c>
      <c r="AJ159" s="1654" t="str">
        <f t="shared" si="26"/>
        <v>A</v>
      </c>
      <c r="AK159" s="1616"/>
      <c r="AL159" s="1333" t="s">
        <v>21</v>
      </c>
      <c r="AM159" s="6973"/>
      <c r="AN159" s="407" t="s">
        <v>32</v>
      </c>
      <c r="AO159" s="405"/>
      <c r="AP159" s="406"/>
      <c r="AQ159" s="9"/>
      <c r="AR159" s="186"/>
      <c r="AS159" s="191"/>
      <c r="AV159" s="3">
        <v>1</v>
      </c>
    </row>
    <row r="160" spans="2:48" ht="21" customHeight="1">
      <c r="B160" s="1610" cm="1">
        <f t="array" ref="B160">SUMPRODUCT(LEN(C160:K160))</f>
        <v>0</v>
      </c>
      <c r="C160" s="1810"/>
      <c r="D160" s="1810"/>
      <c r="E160" s="1810"/>
      <c r="F160" s="1810"/>
      <c r="G160" s="1810"/>
      <c r="H160" s="1810"/>
      <c r="I160" s="1810"/>
      <c r="J160" s="1810"/>
      <c r="K160" s="1810"/>
      <c r="L160" s="2126" t="str" cm="1">
        <f t="array" ref="L160">IF(B128&lt;=0,0,ROUNDUP(SUMPRODUCT(LEN(C160:K160))/B128,0))&amp;" ligne(s)"</f>
        <v>0 ligne(s)</v>
      </c>
      <c r="N160" s="1654" t="s">
        <v>10</v>
      </c>
      <c r="O160" s="163" t="str">
        <f>O130</f>
        <v>B BEIGNETS D'ACACIA | pâtisserie--Beignets| Auteur &gt; Journal des Femmes</v>
      </c>
      <c r="P160" s="163">
        <f>P130</f>
        <v>6</v>
      </c>
      <c r="Q160" s="164" t="str">
        <f>Q130</f>
        <v>personnes</v>
      </c>
      <c r="R160" s="165" t="str">
        <f>R130</f>
        <v>Recette mère ► Beignets d'acacia</v>
      </c>
      <c r="S160" s="1548"/>
      <c r="T160" s="1548"/>
      <c r="U160" s="2190">
        <f>ROWS(Y155:Y160)</f>
        <v>6</v>
      </c>
      <c r="V160" s="5549" t="str" cm="1">
        <f t="array" ref="V160">IF(SUMPRODUCT((Y160:AD160&lt;&gt;"")*1)=0,"",SUMPRODUCT((Y160:AD160&lt;&gt;"")*(LEN(TRIM(SUBSTITUTE(Y160:AD160,CHAR(160)," "))) - LEN(SUBSTITUTE(TRIM(SUBSTITUTE(Y160:AD160,CHAR(160)," "))," ","")) + 1)) &amp; " mot" &amp; IF(SUMPRODUCT((Y160:AD160&lt;&gt;"")*(LEN(TRIM(SUBSTITUTE(Y160:AD160,CHAR(160)," "))) - LEN(SUBSTITUTE(TRIM(SUBSTITUTE(Y160:AD160,CHAR(160)," "))," ","")) + 1))&gt;1,"s",""))</f>
        <v/>
      </c>
      <c r="W160" s="5550" t="str" cm="1">
        <f t="array" ref="W160">SUMPRODUCT(--(Y160:AD160&lt;&gt;""), LEN(TRIM(SUBSTITUTE(Y160:AD160, CHAR(160), "")))) &amp; " Car."</f>
        <v>0 Car.</v>
      </c>
      <c r="X160" s="1376" t="str">
        <f>IF(ISBLANK(Y160),"",LARGE(X154:X159,1)+1)</f>
        <v/>
      </c>
      <c r="Y160" s="1810"/>
      <c r="Z160" s="1833"/>
      <c r="AA160" s="1810"/>
      <c r="AB160" s="1810"/>
      <c r="AC160" s="1810"/>
      <c r="AD160" s="1810"/>
      <c r="AE160" s="1810"/>
      <c r="AF160" s="1810"/>
      <c r="AG160" s="1811"/>
      <c r="AJ160" s="1654" t="str">
        <f t="shared" si="26"/>
        <v>A</v>
      </c>
      <c r="AK160" s="1616"/>
      <c r="AL160" s="1333" t="s">
        <v>21</v>
      </c>
      <c r="AM160" s="6973"/>
      <c r="AN160" s="408">
        <v>1</v>
      </c>
      <c r="AO160" s="409" t="s">
        <v>457</v>
      </c>
      <c r="AP160" s="406"/>
      <c r="AQ160" s="9"/>
      <c r="AR160" s="186"/>
      <c r="AS160" s="191"/>
      <c r="AV160" s="3">
        <v>1</v>
      </c>
    </row>
    <row r="161" spans="2:48" ht="21" customHeight="1">
      <c r="B161" s="1610" cm="1">
        <f t="array" ref="B161">SUMPRODUCT(LEN(C161:K161))</f>
        <v>0</v>
      </c>
      <c r="C161" s="1810"/>
      <c r="D161" s="1810"/>
      <c r="E161" s="1810"/>
      <c r="F161" s="1810"/>
      <c r="G161" s="1810"/>
      <c r="H161" s="1810"/>
      <c r="I161" s="1810"/>
      <c r="J161" s="1810"/>
      <c r="K161" s="1810"/>
      <c r="L161" s="2126" t="str" cm="1">
        <f t="array" ref="L161">IF(B128&lt;=0,0,ROUNDUP(SUMPRODUCT(LEN(C161:K161))/B128,0))&amp;" ligne(s)"</f>
        <v>0 ligne(s)</v>
      </c>
      <c r="N161" s="1654" t="s">
        <v>10</v>
      </c>
      <c r="O161" s="163" t="str">
        <f>O130</f>
        <v>B BEIGNETS D'ACACIA | pâtisserie--Beignets| Auteur &gt; Journal des Femmes</v>
      </c>
      <c r="P161" s="163">
        <f>P130</f>
        <v>6</v>
      </c>
      <c r="Q161" s="164" t="str">
        <f>Q130</f>
        <v>personnes</v>
      </c>
      <c r="R161" s="165" t="str">
        <f>R130</f>
        <v>Recette mère ► Beignets d'acacia</v>
      </c>
      <c r="S161" s="1548"/>
      <c r="T161" s="1548"/>
      <c r="U161" s="2190">
        <f>ROWS(Y155:Y161)</f>
        <v>7</v>
      </c>
      <c r="V161" s="5549" t="str" cm="1">
        <f t="array" ref="V161">IF(SUMPRODUCT((Y161:AD161&lt;&gt;"")*1)=0,"",SUMPRODUCT((Y161:AD161&lt;&gt;"")*(LEN(TRIM(SUBSTITUTE(Y161:AD161,CHAR(160)," "))) - LEN(SUBSTITUTE(TRIM(SUBSTITUTE(Y161:AD161,CHAR(160)," "))," ","")) + 1)) &amp; " mot" &amp; IF(SUMPRODUCT((Y161:AD161&lt;&gt;"")*(LEN(TRIM(SUBSTITUTE(Y161:AD161,CHAR(160)," "))) - LEN(SUBSTITUTE(TRIM(SUBSTITUTE(Y161:AD161,CHAR(160)," "))," ","")) + 1))&gt;1,"s",""))</f>
        <v>10 mots</v>
      </c>
      <c r="W161" s="5550" t="str" cm="1">
        <f t="array" ref="W161">SUMPRODUCT(--(Y161:AD161&lt;&gt;""), LEN(TRIM(SUBSTITUTE(Y161:AD161, CHAR(160), "")))) &amp; " Car."</f>
        <v>62 Car.</v>
      </c>
      <c r="X161" s="1376">
        <f>IF(ISBLANK(Y161),"",LARGE(X154:X160,1)+1)</f>
        <v>3</v>
      </c>
      <c r="Y161" s="1810" t="s">
        <v>8312</v>
      </c>
      <c r="Z161" s="1810"/>
      <c r="AA161" s="1810"/>
      <c r="AB161" s="1810"/>
      <c r="AC161" s="1810"/>
      <c r="AD161" s="1810"/>
      <c r="AE161" s="1810"/>
      <c r="AF161" s="1810"/>
      <c r="AG161" s="1811"/>
      <c r="AJ161" s="1654" t="str">
        <f t="shared" si="26"/>
        <v>A</v>
      </c>
      <c r="AK161" s="1616"/>
      <c r="AL161" s="1333" t="s">
        <v>21</v>
      </c>
      <c r="AM161" s="6973"/>
      <c r="AN161" s="408">
        <v>3</v>
      </c>
      <c r="AO161" s="409" t="s">
        <v>458</v>
      </c>
      <c r="AP161" s="406"/>
      <c r="AQ161" s="9"/>
      <c r="AR161" s="186"/>
      <c r="AS161" s="191"/>
      <c r="AV161" s="3">
        <v>1</v>
      </c>
    </row>
    <row r="162" spans="2:48" ht="21" customHeight="1">
      <c r="B162" s="1610" cm="1">
        <f t="array" ref="B162">SUMPRODUCT(LEN(C162:K162))</f>
        <v>0</v>
      </c>
      <c r="C162" s="1810"/>
      <c r="D162" s="1810"/>
      <c r="E162" s="1810"/>
      <c r="F162" s="1810"/>
      <c r="G162" s="1810"/>
      <c r="H162" s="1810"/>
      <c r="I162" s="1810"/>
      <c r="J162" s="1810"/>
      <c r="K162" s="1810"/>
      <c r="L162" s="2126" t="str" cm="1">
        <f t="array" ref="L162">IF(B128&lt;=0,0,ROUNDUP(SUMPRODUCT(LEN(C162:K162))/B128,0))&amp;" ligne(s)"</f>
        <v>0 ligne(s)</v>
      </c>
      <c r="N162" s="1654" t="s">
        <v>10</v>
      </c>
      <c r="O162" s="163" t="str">
        <f>O130</f>
        <v>B BEIGNETS D'ACACIA | pâtisserie--Beignets| Auteur &gt; Journal des Femmes</v>
      </c>
      <c r="P162" s="163">
        <f>P130</f>
        <v>6</v>
      </c>
      <c r="Q162" s="164" t="str">
        <f>Q130</f>
        <v>personnes</v>
      </c>
      <c r="R162" s="165" t="str">
        <f>R130</f>
        <v>Recette mère ► Beignets d'acacia</v>
      </c>
      <c r="S162" s="1548"/>
      <c r="T162" s="1548"/>
      <c r="U162" s="2190">
        <f>ROWS(Y155:Y162)</f>
        <v>8</v>
      </c>
      <c r="V162" s="5549" t="str" cm="1">
        <f t="array" ref="V162">IF(SUMPRODUCT((Y162:AD162&lt;&gt;"")*1)=0,"",SUMPRODUCT((Y162:AD162&lt;&gt;"")*(LEN(TRIM(SUBSTITUTE(Y162:AD162,CHAR(160)," "))) - LEN(SUBSTITUTE(TRIM(SUBSTITUTE(Y162:AD162,CHAR(160)," "))," ","")) + 1)) &amp; " mot" &amp; IF(SUMPRODUCT((Y162:AD162&lt;&gt;"")*(LEN(TRIM(SUBSTITUTE(Y162:AD162,CHAR(160)," "))) - LEN(SUBSTITUTE(TRIM(SUBSTITUTE(Y162:AD162,CHAR(160)," "))," ","")) + 1))&gt;1,"s",""))</f>
        <v/>
      </c>
      <c r="W162" s="5550" t="str" cm="1">
        <f t="array" ref="W162">SUMPRODUCT(--(Y162:AD162&lt;&gt;""), LEN(TRIM(SUBSTITUTE(Y162:AD162, CHAR(160), "")))) &amp; " Car."</f>
        <v>0 Car.</v>
      </c>
      <c r="X162" s="1376" t="str">
        <f>IF(ISBLANK(Y162),"",LARGE(X154:X161,1)+1)</f>
        <v/>
      </c>
      <c r="Y162" s="1810"/>
      <c r="Z162" s="1810"/>
      <c r="AA162" s="1810"/>
      <c r="AB162" s="1810"/>
      <c r="AC162" s="1810"/>
      <c r="AD162" s="1810"/>
      <c r="AE162" s="1810"/>
      <c r="AF162" s="1810"/>
      <c r="AG162" s="1811"/>
      <c r="AJ162" s="1654" t="str">
        <f t="shared" si="26"/>
        <v>A</v>
      </c>
      <c r="AK162" s="1616"/>
      <c r="AL162" s="1333" t="s">
        <v>21</v>
      </c>
      <c r="AM162" s="403"/>
      <c r="AN162" s="410"/>
      <c r="AO162" s="411"/>
      <c r="AP162" s="406"/>
      <c r="AQ162" s="9"/>
      <c r="AR162" s="186"/>
      <c r="AS162" s="191"/>
      <c r="AV162" s="3">
        <v>1</v>
      </c>
    </row>
    <row r="163" spans="2:48" ht="21" customHeight="1">
      <c r="B163" s="1610" cm="1">
        <f t="array" ref="B163">SUMPRODUCT(LEN(C163:K163))</f>
        <v>0</v>
      </c>
      <c r="C163" s="1810"/>
      <c r="D163" s="1810"/>
      <c r="E163" s="1810"/>
      <c r="F163" s="1810"/>
      <c r="G163" s="1810"/>
      <c r="H163" s="1810"/>
      <c r="I163" s="1810"/>
      <c r="J163" s="1810"/>
      <c r="K163" s="1810"/>
      <c r="L163" s="2126" t="str" cm="1">
        <f t="array" ref="L163">IF(B128&lt;=0,0,ROUNDUP(SUMPRODUCT(LEN(C163:K163))/B128,0))&amp;" ligne(s)"</f>
        <v>0 ligne(s)</v>
      </c>
      <c r="N163" s="1654" t="s">
        <v>10</v>
      </c>
      <c r="O163" s="163" t="str">
        <f>O130</f>
        <v>B BEIGNETS D'ACACIA | pâtisserie--Beignets| Auteur &gt; Journal des Femmes</v>
      </c>
      <c r="P163" s="163">
        <f>P130</f>
        <v>6</v>
      </c>
      <c r="Q163" s="164" t="str">
        <f>Q130</f>
        <v>personnes</v>
      </c>
      <c r="R163" s="165" t="str">
        <f>R130</f>
        <v>Recette mère ► Beignets d'acacia</v>
      </c>
      <c r="S163" s="1548"/>
      <c r="T163" s="1548"/>
      <c r="U163" s="2190">
        <f>ROWS(Y155:Y163)</f>
        <v>9</v>
      </c>
      <c r="V163" s="5549" t="str" cm="1">
        <f t="array" ref="V163">IF(SUMPRODUCT((Y163:AD163&lt;&gt;"")*1)=0,"",SUMPRODUCT((Y163:AD163&lt;&gt;"")*(LEN(TRIM(SUBSTITUTE(Y163:AD163,CHAR(160)," "))) - LEN(SUBSTITUTE(TRIM(SUBSTITUTE(Y163:AD163,CHAR(160)," "))," ","")) + 1)) &amp; " mot" &amp; IF(SUMPRODUCT((Y163:AD163&lt;&gt;"")*(LEN(TRIM(SUBSTITUTE(Y163:AD163,CHAR(160)," "))) - LEN(SUBSTITUTE(TRIM(SUBSTITUTE(Y163:AD163,CHAR(160)," "))," ","")) + 1))&gt;1,"s",""))</f>
        <v>17 mots</v>
      </c>
      <c r="W163" s="5550" t="str" cm="1">
        <f t="array" ref="W163">SUMPRODUCT(--(Y163:AD163&lt;&gt;""), LEN(TRIM(SUBSTITUTE(Y163:AD163, CHAR(160), "")))) &amp; " Car."</f>
        <v>85 Car.</v>
      </c>
      <c r="X163" s="1376">
        <f>IF(ISBLANK(Y163),"",LARGE(X154:X162,1)+1)</f>
        <v>4</v>
      </c>
      <c r="Y163" s="1810" t="s">
        <v>8313</v>
      </c>
      <c r="Z163" s="1810"/>
      <c r="AA163" s="1810"/>
      <c r="AB163" s="1810"/>
      <c r="AC163" s="1810"/>
      <c r="AD163" s="1810"/>
      <c r="AE163" s="1810"/>
      <c r="AF163" s="1810"/>
      <c r="AG163" s="1811"/>
      <c r="AJ163" s="1654" t="str">
        <f t="shared" si="26"/>
        <v>A</v>
      </c>
      <c r="AK163" s="1616"/>
      <c r="AL163" s="1333" t="s">
        <v>21</v>
      </c>
      <c r="AM163" s="157"/>
      <c r="AN163" s="158"/>
      <c r="AO163" s="159"/>
      <c r="AP163" s="158"/>
      <c r="AQ163" s="158"/>
      <c r="AR163" s="158"/>
      <c r="AS163" s="160"/>
      <c r="AV163" s="3">
        <v>1</v>
      </c>
    </row>
    <row r="164" spans="2:48" ht="21" customHeight="1">
      <c r="B164" s="1610" cm="1">
        <f t="array" ref="B164">SUMPRODUCT(LEN(C164:K164))</f>
        <v>0</v>
      </c>
      <c r="C164" s="1810"/>
      <c r="D164" s="1810"/>
      <c r="E164" s="1810"/>
      <c r="F164" s="1810"/>
      <c r="G164" s="1810"/>
      <c r="H164" s="1810"/>
      <c r="I164" s="1810"/>
      <c r="J164" s="1810"/>
      <c r="K164" s="1810"/>
      <c r="L164" s="2126" t="str" cm="1">
        <f t="array" ref="L164">IF(B128&lt;=0,0,ROUNDUP(SUMPRODUCT(LEN(C164:K164))/B128,0))&amp;" ligne(s)"</f>
        <v>0 ligne(s)</v>
      </c>
      <c r="N164" s="1654" t="s">
        <v>10</v>
      </c>
      <c r="O164" s="163" t="str">
        <f>O130</f>
        <v>B BEIGNETS D'ACACIA | pâtisserie--Beignets| Auteur &gt; Journal des Femmes</v>
      </c>
      <c r="P164" s="163">
        <f>P130</f>
        <v>6</v>
      </c>
      <c r="Q164" s="164" t="str">
        <f>Q130</f>
        <v>personnes</v>
      </c>
      <c r="R164" s="165" t="str">
        <f>R130</f>
        <v>Recette mère ► Beignets d'acacia</v>
      </c>
      <c r="S164" s="1548"/>
      <c r="T164" s="1548"/>
      <c r="U164" s="2190">
        <f>ROWS(Y155:Y164)</f>
        <v>10</v>
      </c>
      <c r="V164" s="5549" t="str" cm="1">
        <f t="array" ref="V164">IF(SUMPRODUCT((Y164:AD164&lt;&gt;"")*1)=0,"",SUMPRODUCT((Y164:AD164&lt;&gt;"")*(LEN(TRIM(SUBSTITUTE(Y164:AD164,CHAR(160)," "))) - LEN(SUBSTITUTE(TRIM(SUBSTITUTE(Y164:AD164,CHAR(160)," "))," ","")) + 1)) &amp; " mot" &amp; IF(SUMPRODUCT((Y164:AD164&lt;&gt;"")*(LEN(TRIM(SUBSTITUTE(Y164:AD164,CHAR(160)," "))) - LEN(SUBSTITUTE(TRIM(SUBSTITUTE(Y164:AD164,CHAR(160)," "))," ","")) + 1))&gt;1,"s",""))</f>
        <v>21 mots</v>
      </c>
      <c r="W164" s="5550" t="str" cm="1">
        <f t="array" ref="W164">SUMPRODUCT(--(Y164:AD164&lt;&gt;""), LEN(TRIM(SUBSTITUTE(Y164:AD164, CHAR(160), "")))) &amp; " Car."</f>
        <v>124 Car.</v>
      </c>
      <c r="X164" s="1376">
        <f>IF(ISBLANK(Y164),"",LARGE(X154:X163,1)+1)</f>
        <v>5</v>
      </c>
      <c r="Y164" s="1810" t="s">
        <v>8314</v>
      </c>
      <c r="Z164" s="1810"/>
      <c r="AA164" s="1810"/>
      <c r="AB164" s="1810"/>
      <c r="AC164" s="1810"/>
      <c r="AD164" s="1810"/>
      <c r="AE164" s="1810"/>
      <c r="AF164" s="1810"/>
      <c r="AG164" s="1811"/>
      <c r="AJ164" s="1654" t="str">
        <f t="shared" si="26"/>
        <v>A</v>
      </c>
      <c r="AK164" s="1616"/>
      <c r="AL164" s="1333" t="s">
        <v>21</v>
      </c>
      <c r="AM164" s="390"/>
      <c r="AN164" s="391"/>
      <c r="AO164" s="392"/>
      <c r="AP164" s="391"/>
      <c r="AQ164" s="391"/>
      <c r="AR164" s="391"/>
      <c r="AS164" s="393"/>
      <c r="AV164" s="3">
        <v>1</v>
      </c>
    </row>
    <row r="165" spans="2:48" ht="21" customHeight="1">
      <c r="B165" s="1610" cm="1">
        <f t="array" ref="B165">SUMPRODUCT(LEN(C165:K165))</f>
        <v>0</v>
      </c>
      <c r="C165" s="1810"/>
      <c r="D165" s="1810"/>
      <c r="E165" s="1810"/>
      <c r="F165" s="1810"/>
      <c r="G165" s="1810"/>
      <c r="H165" s="1810"/>
      <c r="I165" s="1810"/>
      <c r="J165" s="1810"/>
      <c r="K165" s="1810"/>
      <c r="L165" s="2126" t="str" cm="1">
        <f t="array" ref="L165">IF(B128&lt;=0,0,ROUNDUP(SUMPRODUCT(LEN(C165:K165))/B128,0))&amp;" ligne(s)"</f>
        <v>0 ligne(s)</v>
      </c>
      <c r="N165" s="1654" t="s">
        <v>10</v>
      </c>
      <c r="O165" s="163" t="str">
        <f>O130</f>
        <v>B BEIGNETS D'ACACIA | pâtisserie--Beignets| Auteur &gt; Journal des Femmes</v>
      </c>
      <c r="P165" s="1943">
        <f>P130</f>
        <v>6</v>
      </c>
      <c r="Q165" s="164" t="str">
        <f>Q130</f>
        <v>personnes</v>
      </c>
      <c r="R165" s="165" t="str">
        <f>R130</f>
        <v>Recette mère ► Beignets d'acacia</v>
      </c>
      <c r="S165" s="1548"/>
      <c r="T165" s="1548"/>
      <c r="U165" s="2190">
        <f>ROWS(Y155:Y165)</f>
        <v>11</v>
      </c>
      <c r="V165" s="5549" t="str" cm="1">
        <f t="array" ref="V165">IF(SUMPRODUCT((Y165:AD165&lt;&gt;"")*1)=0,"",SUMPRODUCT((Y165:AD165&lt;&gt;"")*(LEN(TRIM(SUBSTITUTE(Y165:AD165,CHAR(160)," "))) - LEN(SUBSTITUTE(TRIM(SUBSTITUTE(Y165:AD165,CHAR(160)," "))," ","")) + 1)) &amp; " mot" &amp; IF(SUMPRODUCT((Y165:AD165&lt;&gt;"")*(LEN(TRIM(SUBSTITUTE(Y165:AD165,CHAR(160)," "))) - LEN(SUBSTITUTE(TRIM(SUBSTITUTE(Y165:AD165,CHAR(160)," "))," ","")) + 1))&gt;1,"s",""))</f>
        <v/>
      </c>
      <c r="W165" s="5550" t="str" cm="1">
        <f t="array" ref="W165">SUMPRODUCT(--(Y165:AD165&lt;&gt;""), LEN(TRIM(SUBSTITUTE(Y165:AD165, CHAR(160), "")))) &amp; " Car."</f>
        <v>0 Car.</v>
      </c>
      <c r="X165" s="1376" t="str">
        <f>IF(ISBLANK(Y165),"",LARGE(X154:X164,1)+1)</f>
        <v/>
      </c>
      <c r="Y165" s="1810"/>
      <c r="Z165" s="1810"/>
      <c r="AA165" s="1810"/>
      <c r="AB165" s="1810"/>
      <c r="AC165" s="1810"/>
      <c r="AD165" s="1810"/>
      <c r="AE165" s="1810"/>
      <c r="AF165" s="1810"/>
      <c r="AG165" s="1811"/>
      <c r="AJ165" s="1654" t="str">
        <f t="shared" si="26"/>
        <v>A</v>
      </c>
      <c r="AK165" s="1616"/>
      <c r="AL165" s="1333" t="s">
        <v>21</v>
      </c>
      <c r="AM165" s="412"/>
      <c r="AN165" s="413" t="s">
        <v>50</v>
      </c>
      <c r="AO165" s="414"/>
      <c r="AP165" s="9"/>
      <c r="AQ165" s="9"/>
      <c r="AR165" s="186"/>
      <c r="AS165" s="191"/>
      <c r="AV165" s="3">
        <v>1</v>
      </c>
    </row>
    <row r="166" spans="2:48" ht="21" customHeight="1">
      <c r="B166" s="1610" cm="1">
        <f t="array" ref="B166">SUMPRODUCT(LEN(C166:K166))</f>
        <v>0</v>
      </c>
      <c r="C166" s="1810"/>
      <c r="D166" s="1810"/>
      <c r="E166" s="1810"/>
      <c r="F166" s="1810"/>
      <c r="G166" s="1810"/>
      <c r="H166" s="1810"/>
      <c r="I166" s="1810"/>
      <c r="J166" s="1810"/>
      <c r="K166" s="1810"/>
      <c r="L166" s="2126" t="str" cm="1">
        <f t="array" ref="L166">IF(B128&lt;=0,0,ROUNDUP(SUMPRODUCT(LEN(C166:K166))/B128,0))&amp;" ligne(s)"</f>
        <v>0 ligne(s)</v>
      </c>
      <c r="N166" s="1654" t="s">
        <v>10</v>
      </c>
      <c r="O166" s="163" t="str">
        <f>O130</f>
        <v>B BEIGNETS D'ACACIA | pâtisserie--Beignets| Auteur &gt; Journal des Femmes</v>
      </c>
      <c r="P166" s="163">
        <f>P130</f>
        <v>6</v>
      </c>
      <c r="Q166" s="164" t="str">
        <f>Q130</f>
        <v>personnes</v>
      </c>
      <c r="R166" s="165" t="str">
        <f>R130</f>
        <v>Recette mère ► Beignets d'acacia</v>
      </c>
      <c r="S166" s="1548"/>
      <c r="T166" s="1548"/>
      <c r="U166" s="2190">
        <f>ROWS(Y155:Y166)</f>
        <v>12</v>
      </c>
      <c r="V166" s="5549" t="str" cm="1">
        <f t="array" ref="V166">IF(SUMPRODUCT((Y166:AD166&lt;&gt;"")*1)=0,"",SUMPRODUCT((Y166:AD166&lt;&gt;"")*(LEN(TRIM(SUBSTITUTE(Y166:AD166,CHAR(160)," "))) - LEN(SUBSTITUTE(TRIM(SUBSTITUTE(Y166:AD166,CHAR(160)," "))," ","")) + 1)) &amp; " mot" &amp; IF(SUMPRODUCT((Y166:AD166&lt;&gt;"")*(LEN(TRIM(SUBSTITUTE(Y166:AD166,CHAR(160)," "))) - LEN(SUBSTITUTE(TRIM(SUBSTITUTE(Y166:AD166,CHAR(160)," "))," ","")) + 1))&gt;1,"s",""))</f>
        <v/>
      </c>
      <c r="W166" s="5550" t="str" cm="1">
        <f t="array" ref="W166">SUMPRODUCT(--(Y166:AD166&lt;&gt;""), LEN(TRIM(SUBSTITUTE(Y166:AD166, CHAR(160), "")))) &amp; " Car."</f>
        <v>0 Car.</v>
      </c>
      <c r="X166" s="1376" t="str">
        <f>IF(ISBLANK(Y166),"",LARGE(X154:X165,1)+1)</f>
        <v/>
      </c>
      <c r="Y166" s="1810"/>
      <c r="Z166" s="1810"/>
      <c r="AA166" s="1810"/>
      <c r="AB166" s="1810"/>
      <c r="AC166" s="1810"/>
      <c r="AD166" s="1810"/>
      <c r="AE166" s="1810"/>
      <c r="AF166" s="1810"/>
      <c r="AG166" s="1811"/>
      <c r="AJ166" s="1654" t="str">
        <f t="shared" si="26"/>
        <v>A</v>
      </c>
      <c r="AK166" s="1616"/>
      <c r="AL166" s="1333" t="s">
        <v>21</v>
      </c>
      <c r="AM166" s="412"/>
      <c r="AN166" s="404" t="s">
        <v>461</v>
      </c>
      <c r="AO166" s="414"/>
      <c r="AP166" s="9"/>
      <c r="AQ166" s="9"/>
      <c r="AR166" s="186"/>
      <c r="AS166" s="191"/>
      <c r="AV166" s="3">
        <v>1</v>
      </c>
    </row>
    <row r="167" spans="2:48" ht="21" customHeight="1">
      <c r="B167" s="1610" cm="1">
        <f t="array" ref="B167">SUMPRODUCT(LEN(C167:K167))</f>
        <v>0</v>
      </c>
      <c r="C167" s="1810"/>
      <c r="D167" s="1810"/>
      <c r="E167" s="1810"/>
      <c r="F167" s="1810"/>
      <c r="G167" s="1810"/>
      <c r="H167" s="1810"/>
      <c r="I167" s="1810"/>
      <c r="J167" s="1810"/>
      <c r="K167" s="1810"/>
      <c r="L167" s="2126" t="str" cm="1">
        <f t="array" ref="L167">IF(B128&lt;=0,0,ROUNDUP(SUMPRODUCT(LEN(C167:K167))/B128,0))&amp;" ligne(s)"</f>
        <v>0 ligne(s)</v>
      </c>
      <c r="N167" s="1654" t="s">
        <v>10</v>
      </c>
      <c r="O167" s="163" t="str">
        <f>O130</f>
        <v>B BEIGNETS D'ACACIA | pâtisserie--Beignets| Auteur &gt; Journal des Femmes</v>
      </c>
      <c r="P167" s="163">
        <f>P130</f>
        <v>6</v>
      </c>
      <c r="Q167" s="164" t="str">
        <f>Q130</f>
        <v>personnes</v>
      </c>
      <c r="R167" s="165" t="str">
        <f>R130</f>
        <v>Recette mère ► Beignets d'acacia</v>
      </c>
      <c r="S167" s="1548"/>
      <c r="T167" s="1548"/>
      <c r="U167" s="2190">
        <f>ROWS(Y155:Y167)</f>
        <v>13</v>
      </c>
      <c r="V167" s="5549" t="str" cm="1">
        <f t="array" ref="V167">IF(SUMPRODUCT((Y167:AD167&lt;&gt;"")*1)=0,"",SUMPRODUCT((Y167:AD167&lt;&gt;"")*(LEN(TRIM(SUBSTITUTE(Y167:AD167,CHAR(160)," "))) - LEN(SUBSTITUTE(TRIM(SUBSTITUTE(Y167:AD167,CHAR(160)," "))," ","")) + 1)) &amp; " mot" &amp; IF(SUMPRODUCT((Y167:AD167&lt;&gt;"")*(LEN(TRIM(SUBSTITUTE(Y167:AD167,CHAR(160)," "))) - LEN(SUBSTITUTE(TRIM(SUBSTITUTE(Y167:AD167,CHAR(160)," "))," ","")) + 1))&gt;1,"s",""))</f>
        <v>9 mots</v>
      </c>
      <c r="W167" s="5550" t="str" cm="1">
        <f t="array" ref="W167">SUMPRODUCT(--(Y167:AD167&lt;&gt;""), LEN(TRIM(SUBSTITUTE(Y167:AD167, CHAR(160), "")))) &amp; " Car."</f>
        <v>57 Car.</v>
      </c>
      <c r="X167" s="1376">
        <f>IF(ISBLANK(Y167),"",LARGE(X154:X166,1)+1)</f>
        <v>6</v>
      </c>
      <c r="Y167" s="1810" t="s">
        <v>8315</v>
      </c>
      <c r="Z167" s="1810"/>
      <c r="AA167" s="1810"/>
      <c r="AB167" s="1810"/>
      <c r="AC167" s="1810"/>
      <c r="AD167" s="1810"/>
      <c r="AE167" s="1810"/>
      <c r="AF167" s="1810"/>
      <c r="AG167" s="1811"/>
      <c r="AJ167" s="1654" t="str">
        <f t="shared" si="26"/>
        <v>A</v>
      </c>
      <c r="AK167" s="1616"/>
      <c r="AL167" s="1333" t="s">
        <v>21</v>
      </c>
      <c r="AM167" s="412"/>
      <c r="AN167" s="398" t="s">
        <v>464</v>
      </c>
      <c r="AO167" s="415"/>
      <c r="AP167" s="9"/>
      <c r="AQ167" s="9"/>
      <c r="AR167" s="186"/>
      <c r="AS167" s="191"/>
      <c r="AV167" s="3">
        <v>1</v>
      </c>
    </row>
    <row r="168" spans="2:48" ht="21" customHeight="1">
      <c r="B168" s="1610" cm="1">
        <f t="array" ref="B168">SUMPRODUCT(LEN(C168:K168))</f>
        <v>0</v>
      </c>
      <c r="C168" s="1810"/>
      <c r="D168" s="1810"/>
      <c r="E168" s="1810"/>
      <c r="F168" s="1810"/>
      <c r="G168" s="1810"/>
      <c r="H168" s="1810"/>
      <c r="I168" s="1810"/>
      <c r="J168" s="1810"/>
      <c r="K168" s="1810"/>
      <c r="L168" s="2126" t="str" cm="1">
        <f t="array" ref="L168">IF(B128&lt;=0,0,ROUNDUP(SUMPRODUCT(LEN(C168:K168))/B128,0))&amp;" ligne(s)"</f>
        <v>0 ligne(s)</v>
      </c>
      <c r="N168" s="1654" t="s">
        <v>10</v>
      </c>
      <c r="O168" s="163" t="str">
        <f>O130</f>
        <v>B BEIGNETS D'ACACIA | pâtisserie--Beignets| Auteur &gt; Journal des Femmes</v>
      </c>
      <c r="P168" s="163">
        <f>P130</f>
        <v>6</v>
      </c>
      <c r="Q168" s="164" t="str">
        <f>Q130</f>
        <v>personnes</v>
      </c>
      <c r="R168" s="165" t="str">
        <f>R130</f>
        <v>Recette mère ► Beignets d'acacia</v>
      </c>
      <c r="S168" s="1548"/>
      <c r="T168" s="1548"/>
      <c r="U168" s="2190">
        <f>ROWS(Y155:Y168)</f>
        <v>14</v>
      </c>
      <c r="V168" s="5549" t="str" cm="1">
        <f t="array" ref="V168">IF(SUMPRODUCT((Y168:AD168&lt;&gt;"")*1)=0,"",SUMPRODUCT((Y168:AD168&lt;&gt;"")*(LEN(TRIM(SUBSTITUTE(Y168:AD168,CHAR(160)," "))) - LEN(SUBSTITUTE(TRIM(SUBSTITUTE(Y168:AD168,CHAR(160)," "))," ","")) + 1)) &amp; " mot" &amp; IF(SUMPRODUCT((Y168:AD168&lt;&gt;"")*(LEN(TRIM(SUBSTITUTE(Y168:AD168,CHAR(160)," "))) - LEN(SUBSTITUTE(TRIM(SUBSTITUTE(Y168:AD168,CHAR(160)," "))," ","")) + 1))&gt;1,"s",""))</f>
        <v/>
      </c>
      <c r="W168" s="5550" t="str" cm="1">
        <f t="array" ref="W168">SUMPRODUCT(--(Y168:AD168&lt;&gt;""), LEN(TRIM(SUBSTITUTE(Y168:AD168, CHAR(160), "")))) &amp; " Car."</f>
        <v>0 Car.</v>
      </c>
      <c r="X168" s="1376" t="str">
        <f>IF(ISBLANK(Y168),"",LARGE(X154:X167,1)+1)</f>
        <v/>
      </c>
      <c r="Y168" s="1810"/>
      <c r="Z168" s="1810"/>
      <c r="AA168" s="1810"/>
      <c r="AB168" s="1810"/>
      <c r="AC168" s="1810"/>
      <c r="AD168" s="1810"/>
      <c r="AE168" s="1810"/>
      <c r="AF168" s="1810"/>
      <c r="AG168" s="1811"/>
      <c r="AJ168" s="1654" t="str">
        <f t="shared" si="26"/>
        <v>A</v>
      </c>
      <c r="AK168" s="1616"/>
      <c r="AL168" s="1333" t="s">
        <v>21</v>
      </c>
      <c r="AM168" s="412"/>
      <c r="AN168" s="416">
        <v>1</v>
      </c>
      <c r="AO168" s="417" t="s">
        <v>467</v>
      </c>
      <c r="AP168" s="9"/>
      <c r="AQ168" s="9"/>
      <c r="AR168" s="186"/>
      <c r="AS168" s="191"/>
      <c r="AV168" s="3">
        <v>1</v>
      </c>
    </row>
    <row r="169" spans="2:48" ht="21" customHeight="1">
      <c r="B169" s="1610" cm="1">
        <f t="array" ref="B169">SUMPRODUCT(LEN(C169:K169))</f>
        <v>0</v>
      </c>
      <c r="C169" s="1810"/>
      <c r="D169" s="1810"/>
      <c r="E169" s="1810"/>
      <c r="F169" s="1810"/>
      <c r="G169" s="1810"/>
      <c r="H169" s="1810"/>
      <c r="I169" s="1810"/>
      <c r="J169" s="1810"/>
      <c r="K169" s="1810"/>
      <c r="L169" s="2126" t="str" cm="1">
        <f t="array" ref="L169">IF(B128&lt;=0,0,ROUNDUP(SUMPRODUCT(LEN(C169:K169))/B128,0))&amp;" ligne(s)"</f>
        <v>0 ligne(s)</v>
      </c>
      <c r="N169" s="1654" t="s">
        <v>10</v>
      </c>
      <c r="O169" s="163" t="str">
        <f>O130</f>
        <v>B BEIGNETS D'ACACIA | pâtisserie--Beignets| Auteur &gt; Journal des Femmes</v>
      </c>
      <c r="P169" s="163">
        <f>P130</f>
        <v>6</v>
      </c>
      <c r="Q169" s="164" t="str">
        <f>Q130</f>
        <v>personnes</v>
      </c>
      <c r="R169" s="165" t="str">
        <f>R130</f>
        <v>Recette mère ► Beignets d'acacia</v>
      </c>
      <c r="S169" s="1548"/>
      <c r="T169" s="1548"/>
      <c r="U169" s="2190">
        <f>ROWS(Y155:Y169)</f>
        <v>15</v>
      </c>
      <c r="V169" s="5549" t="str" cm="1">
        <f t="array" ref="V169">IF(SUMPRODUCT((Y169:AD169&lt;&gt;"")*1)=0,"",SUMPRODUCT((Y169:AD169&lt;&gt;"")*(LEN(TRIM(SUBSTITUTE(Y169:AD169,CHAR(160)," "))) - LEN(SUBSTITUTE(TRIM(SUBSTITUTE(Y169:AD169,CHAR(160)," "))," ","")) + 1)) &amp; " mot" &amp; IF(SUMPRODUCT((Y169:AD169&lt;&gt;"")*(LEN(TRIM(SUBSTITUTE(Y169:AD169,CHAR(160)," "))) - LEN(SUBSTITUTE(TRIM(SUBSTITUTE(Y169:AD169,CHAR(160)," "))," ","")) + 1))&gt;1,"s",""))</f>
        <v/>
      </c>
      <c r="W169" s="5550" t="str" cm="1">
        <f t="array" ref="W169">SUMPRODUCT(--(Y169:AD169&lt;&gt;""), LEN(TRIM(SUBSTITUTE(Y169:AD169, CHAR(160), "")))) &amp; " Car."</f>
        <v>0 Car.</v>
      </c>
      <c r="X169" s="1376" t="str">
        <f>IF(ISBLANK(Y169),"",LARGE(X154:X168,1)+1)</f>
        <v/>
      </c>
      <c r="Y169" s="1810"/>
      <c r="Z169" s="1810"/>
      <c r="AA169" s="1810"/>
      <c r="AB169" s="1810"/>
      <c r="AC169" s="1810"/>
      <c r="AD169" s="1810"/>
      <c r="AE169" s="1810"/>
      <c r="AF169" s="1810"/>
      <c r="AG169" s="1811"/>
      <c r="AJ169" s="1654" t="str">
        <f t="shared" si="26"/>
        <v>A</v>
      </c>
      <c r="AK169" s="1616"/>
      <c r="AL169" s="1333" t="s">
        <v>21</v>
      </c>
      <c r="AM169" s="412"/>
      <c r="AN169" s="416">
        <v>4</v>
      </c>
      <c r="AO169" s="417" t="s">
        <v>470</v>
      </c>
      <c r="AP169" s="9"/>
      <c r="AQ169" s="9"/>
      <c r="AR169" s="186"/>
      <c r="AS169" s="191"/>
      <c r="AV169" s="3">
        <v>1</v>
      </c>
    </row>
    <row r="170" spans="2:48" ht="21" customHeight="1">
      <c r="B170" s="1610" cm="1">
        <f t="array" ref="B170">SUMPRODUCT(LEN(C170:K170))</f>
        <v>0</v>
      </c>
      <c r="C170" s="1810"/>
      <c r="D170" s="1810"/>
      <c r="E170" s="1810"/>
      <c r="F170" s="1810"/>
      <c r="G170" s="1810"/>
      <c r="H170" s="1810"/>
      <c r="I170" s="1810"/>
      <c r="J170" s="1810"/>
      <c r="K170" s="1810"/>
      <c r="L170" s="2126" t="str" cm="1">
        <f t="array" ref="L170">IF(B128&lt;=0,0,ROUNDUP(SUMPRODUCT(LEN(C170:K170))/B128,0))&amp;" ligne(s)"</f>
        <v>0 ligne(s)</v>
      </c>
      <c r="N170" s="1654" t="s">
        <v>10</v>
      </c>
      <c r="O170" s="163" t="str">
        <f>O130</f>
        <v>B BEIGNETS D'ACACIA | pâtisserie--Beignets| Auteur &gt; Journal des Femmes</v>
      </c>
      <c r="P170" s="163">
        <f>P130</f>
        <v>6</v>
      </c>
      <c r="Q170" s="164" t="str">
        <f>Q130</f>
        <v>personnes</v>
      </c>
      <c r="R170" s="165" t="str">
        <f>R130</f>
        <v>Recette mère ► Beignets d'acacia</v>
      </c>
      <c r="S170" s="1548"/>
      <c r="T170" s="1548"/>
      <c r="U170" s="2190">
        <f>ROWS(Y155:Y170)</f>
        <v>16</v>
      </c>
      <c r="V170" s="5549" t="str" cm="1">
        <f t="array" ref="V170">IF(SUMPRODUCT((Y170:AD170&lt;&gt;"")*1)=0,"",SUMPRODUCT((Y170:AD170&lt;&gt;"")*(LEN(TRIM(SUBSTITUTE(Y170:AD170,CHAR(160)," "))) - LEN(SUBSTITUTE(TRIM(SUBSTITUTE(Y170:AD170,CHAR(160)," "))," ","")) + 1)) &amp; " mot" &amp; IF(SUMPRODUCT((Y170:AD170&lt;&gt;"")*(LEN(TRIM(SUBSTITUTE(Y170:AD170,CHAR(160)," "))) - LEN(SUBSTITUTE(TRIM(SUBSTITUTE(Y170:AD170,CHAR(160)," "))," ","")) + 1))&gt;1,"s",""))</f>
        <v/>
      </c>
      <c r="W170" s="5550" t="str" cm="1">
        <f t="array" ref="W170">SUMPRODUCT(--(Y170:AD170&lt;&gt;""), LEN(TRIM(SUBSTITUTE(Y170:AD170, CHAR(160), "")))) &amp; " Car."</f>
        <v>0 Car.</v>
      </c>
      <c r="X170" s="1376" t="str">
        <f>IF(ISBLANK(Y170),"",LARGE(X154:X169,1)+1)</f>
        <v/>
      </c>
      <c r="Y170" s="1810"/>
      <c r="Z170" s="1810"/>
      <c r="AA170" s="1810"/>
      <c r="AB170" s="1810"/>
      <c r="AC170" s="1810"/>
      <c r="AD170" s="1810"/>
      <c r="AE170" s="1810"/>
      <c r="AF170" s="1810"/>
      <c r="AG170" s="1811"/>
      <c r="AJ170" s="1654" t="str">
        <f t="shared" si="26"/>
        <v>A</v>
      </c>
      <c r="AK170" s="1616"/>
      <c r="AL170" s="1333" t="s">
        <v>21</v>
      </c>
      <c r="AM170" s="412"/>
      <c r="AN170" s="416">
        <v>10</v>
      </c>
      <c r="AO170" s="417" t="s">
        <v>36</v>
      </c>
      <c r="AP170" s="9"/>
      <c r="AQ170" s="9"/>
      <c r="AR170" s="186"/>
      <c r="AS170" s="191"/>
      <c r="AV170" s="3">
        <v>1</v>
      </c>
    </row>
    <row r="171" spans="2:48" ht="21" customHeight="1">
      <c r="B171" s="1610" cm="1">
        <f t="array" ref="B171">SUMPRODUCT(LEN(C171:K171))</f>
        <v>0</v>
      </c>
      <c r="C171" s="1810"/>
      <c r="D171" s="1810"/>
      <c r="E171" s="1810"/>
      <c r="F171" s="1810"/>
      <c r="G171" s="1810"/>
      <c r="H171" s="1810"/>
      <c r="I171" s="1810"/>
      <c r="J171" s="1810"/>
      <c r="K171" s="1810"/>
      <c r="L171" s="2126" t="str" cm="1">
        <f t="array" ref="L171">IF(B128&lt;=0,0,ROUNDUP(SUMPRODUCT(LEN(C171:K171))/B128,0))&amp;" ligne(s)"</f>
        <v>0 ligne(s)</v>
      </c>
      <c r="N171" s="1654" t="s">
        <v>10</v>
      </c>
      <c r="O171" s="163" t="str">
        <f>O130</f>
        <v>B BEIGNETS D'ACACIA | pâtisserie--Beignets| Auteur &gt; Journal des Femmes</v>
      </c>
      <c r="P171" s="163">
        <f>P130</f>
        <v>6</v>
      </c>
      <c r="Q171" s="164" t="str">
        <f>Q130</f>
        <v>personnes</v>
      </c>
      <c r="R171" s="165" t="str">
        <f>R130</f>
        <v>Recette mère ► Beignets d'acacia</v>
      </c>
      <c r="S171" s="1548"/>
      <c r="T171" s="1548"/>
      <c r="U171" s="2190">
        <f>ROWS(Y155:Y171)</f>
        <v>17</v>
      </c>
      <c r="V171" s="5549" t="str" cm="1">
        <f t="array" ref="V171">IF(SUMPRODUCT((Y171:AD171&lt;&gt;"")*1)=0,"",SUMPRODUCT((Y171:AD171&lt;&gt;"")*(LEN(TRIM(SUBSTITUTE(Y171:AD171,CHAR(160)," "))) - LEN(SUBSTITUTE(TRIM(SUBSTITUTE(Y171:AD171,CHAR(160)," "))," ","")) + 1)) &amp; " mot" &amp; IF(SUMPRODUCT((Y171:AD171&lt;&gt;"")*(LEN(TRIM(SUBSTITUTE(Y171:AD171,CHAR(160)," "))) - LEN(SUBSTITUTE(TRIM(SUBSTITUTE(Y171:AD171,CHAR(160)," "))," ","")) + 1))&gt;1,"s",""))</f>
        <v/>
      </c>
      <c r="W171" s="5550" t="str" cm="1">
        <f t="array" ref="W171">SUMPRODUCT(--(Y171:AD171&lt;&gt;""), LEN(TRIM(SUBSTITUTE(Y171:AD171, CHAR(160), "")))) &amp; " Car."</f>
        <v>0 Car.</v>
      </c>
      <c r="X171" s="1376"/>
      <c r="Y171" s="1810"/>
      <c r="Z171" s="1810"/>
      <c r="AA171" s="1810"/>
      <c r="AB171" s="1810"/>
      <c r="AC171" s="1810"/>
      <c r="AD171" s="1810"/>
      <c r="AE171" s="1810"/>
      <c r="AF171" s="1810"/>
      <c r="AG171" s="1811"/>
      <c r="AJ171" s="1654" t="str">
        <f t="shared" si="26"/>
        <v>A</v>
      </c>
      <c r="AK171" s="1616"/>
      <c r="AL171" s="1333" t="s">
        <v>21</v>
      </c>
      <c r="AM171" s="412"/>
      <c r="AN171" s="398" t="s">
        <v>475</v>
      </c>
      <c r="AO171" s="414"/>
      <c r="AP171" s="414"/>
      <c r="AQ171" s="414"/>
      <c r="AR171" s="414"/>
      <c r="AS171" s="418"/>
      <c r="AV171" s="3">
        <v>1</v>
      </c>
    </row>
    <row r="172" spans="2:48" ht="21" customHeight="1">
      <c r="B172" s="1610" cm="1">
        <f t="array" ref="B172">SUMPRODUCT(LEN(C172:K172))</f>
        <v>0</v>
      </c>
      <c r="C172" s="1810"/>
      <c r="D172" s="1810"/>
      <c r="E172" s="1810"/>
      <c r="F172" s="1810"/>
      <c r="G172" s="1810"/>
      <c r="H172" s="1810"/>
      <c r="I172" s="1810"/>
      <c r="J172" s="1810"/>
      <c r="K172" s="1810"/>
      <c r="L172" s="2126" t="str" cm="1">
        <f t="array" ref="L172">IF(B128&lt;=0,0,ROUNDUP(SUMPRODUCT(LEN(C172:K172))/B128,0))&amp;" ligne(s)"</f>
        <v>0 ligne(s)</v>
      </c>
      <c r="N172" s="1654" t="s">
        <v>10</v>
      </c>
      <c r="O172" s="163" t="str">
        <f>O130</f>
        <v>B BEIGNETS D'ACACIA | pâtisserie--Beignets| Auteur &gt; Journal des Femmes</v>
      </c>
      <c r="P172" s="163">
        <f>P130</f>
        <v>6</v>
      </c>
      <c r="Q172" s="164" t="str">
        <f>Q130</f>
        <v>personnes</v>
      </c>
      <c r="R172" s="165" t="str">
        <f>R130</f>
        <v>Recette mère ► Beignets d'acacia</v>
      </c>
      <c r="S172" s="1548"/>
      <c r="T172" s="1548"/>
      <c r="U172" s="2190">
        <f>ROWS(Y155:Y172)</f>
        <v>18</v>
      </c>
      <c r="V172" s="5549" t="str" cm="1">
        <f t="array" ref="V172">IF(SUMPRODUCT((Y172:AD172&lt;&gt;"")*1)=0,"",SUMPRODUCT((Y172:AD172&lt;&gt;"")*(LEN(TRIM(SUBSTITUTE(Y172:AD172,CHAR(160)," "))) - LEN(SUBSTITUTE(TRIM(SUBSTITUTE(Y172:AD172,CHAR(160)," "))," ","")) + 1)) &amp; " mot" &amp; IF(SUMPRODUCT((Y172:AD172&lt;&gt;"")*(LEN(TRIM(SUBSTITUTE(Y172:AD172,CHAR(160)," "))) - LEN(SUBSTITUTE(TRIM(SUBSTITUTE(Y172:AD172,CHAR(160)," "))," ","")) + 1))&gt;1,"s",""))</f>
        <v/>
      </c>
      <c r="W172" s="5550" t="str" cm="1">
        <f t="array" ref="W172">SUMPRODUCT(--(Y172:AD172&lt;&gt;""), LEN(TRIM(SUBSTITUTE(Y172:AD172, CHAR(160), "")))) &amp; " Car."</f>
        <v>0 Car.</v>
      </c>
      <c r="X172" s="1376"/>
      <c r="Y172" s="1810"/>
      <c r="Z172" s="1810"/>
      <c r="AA172" s="1810"/>
      <c r="AB172" s="1810"/>
      <c r="AC172" s="1810"/>
      <c r="AD172" s="1810"/>
      <c r="AE172" s="1810"/>
      <c r="AF172" s="1810"/>
      <c r="AG172" s="1811"/>
      <c r="AJ172" s="1654" t="str">
        <f t="shared" si="26"/>
        <v>A</v>
      </c>
      <c r="AK172" s="1616"/>
      <c r="AL172" s="1333" t="s">
        <v>21</v>
      </c>
      <c r="AM172" s="412"/>
      <c r="AN172" s="6468" t="s">
        <v>478</v>
      </c>
      <c r="AO172" s="6468"/>
      <c r="AP172" s="6468"/>
      <c r="AQ172" s="6468"/>
      <c r="AR172" s="6468"/>
      <c r="AS172" s="6469"/>
      <c r="AV172" s="3">
        <v>1</v>
      </c>
    </row>
    <row r="173" spans="2:48" ht="21" customHeight="1">
      <c r="B173" s="1610" cm="1">
        <f t="array" ref="B173">SUMPRODUCT(LEN(C173:K173))</f>
        <v>0</v>
      </c>
      <c r="C173" s="1810"/>
      <c r="D173" s="1810"/>
      <c r="E173" s="1810"/>
      <c r="F173" s="1810"/>
      <c r="G173" s="1810"/>
      <c r="H173" s="1810"/>
      <c r="I173" s="1810"/>
      <c r="J173" s="1810"/>
      <c r="K173" s="1810"/>
      <c r="L173" s="2126" t="str" cm="1">
        <f t="array" ref="L173">IF(B128&lt;=0,0,ROUNDUP(SUMPRODUCT(LEN(C173:K173))/B128,0))&amp;" ligne(s)"</f>
        <v>0 ligne(s)</v>
      </c>
      <c r="N173" s="1654" t="s">
        <v>10</v>
      </c>
      <c r="O173" s="163" t="str">
        <f>O130</f>
        <v>B BEIGNETS D'ACACIA | pâtisserie--Beignets| Auteur &gt; Journal des Femmes</v>
      </c>
      <c r="P173" s="163">
        <f>P130</f>
        <v>6</v>
      </c>
      <c r="Q173" s="164" t="str">
        <f>Q130</f>
        <v>personnes</v>
      </c>
      <c r="R173" s="165" t="str">
        <f>R130</f>
        <v>Recette mère ► Beignets d'acacia</v>
      </c>
      <c r="S173" s="1548"/>
      <c r="T173" s="1548"/>
      <c r="U173" s="2190">
        <f>ROWS(Y155:Y173)</f>
        <v>19</v>
      </c>
      <c r="V173" s="5549" t="str" cm="1">
        <f t="array" ref="V173">IF(SUMPRODUCT((Y173:AD173&lt;&gt;"")*1)=0,"",SUMPRODUCT((Y173:AD173&lt;&gt;"")*(LEN(TRIM(SUBSTITUTE(Y173:AD173,CHAR(160)," "))) - LEN(SUBSTITUTE(TRIM(SUBSTITUTE(Y173:AD173,CHAR(160)," "))," ","")) + 1)) &amp; " mot" &amp; IF(SUMPRODUCT((Y173:AD173&lt;&gt;"")*(LEN(TRIM(SUBSTITUTE(Y173:AD173,CHAR(160)," "))) - LEN(SUBSTITUTE(TRIM(SUBSTITUTE(Y173:AD173,CHAR(160)," "))," ","")) + 1))&gt;1,"s",""))</f>
        <v/>
      </c>
      <c r="W173" s="5550" t="str" cm="1">
        <f t="array" ref="W173">SUMPRODUCT(--(Y173:AD173&lt;&gt;""), LEN(TRIM(SUBSTITUTE(Y173:AD173, CHAR(160), "")))) &amp; " Car."</f>
        <v>0 Car.</v>
      </c>
      <c r="X173" s="1376" t="str">
        <f>IF(ISBLANK(Y173),"",LARGE(X154:X172,1)+1)</f>
        <v/>
      </c>
      <c r="Y173" s="1810"/>
      <c r="Z173" s="1810"/>
      <c r="AA173" s="1810"/>
      <c r="AB173" s="1810"/>
      <c r="AC173" s="1810"/>
      <c r="AD173" s="1810"/>
      <c r="AE173" s="1810"/>
      <c r="AF173" s="1810"/>
      <c r="AG173" s="1811"/>
      <c r="AJ173" s="1654" t="str">
        <f t="shared" si="26"/>
        <v>A</v>
      </c>
      <c r="AK173" s="1616"/>
      <c r="AL173" s="1333" t="s">
        <v>21</v>
      </c>
      <c r="AM173" s="412"/>
      <c r="AN173" s="416">
        <v>5</v>
      </c>
      <c r="AO173" s="417" t="s">
        <v>481</v>
      </c>
      <c r="AP173" s="9"/>
      <c r="AQ173" s="9"/>
      <c r="AR173" s="9"/>
      <c r="AS173" s="191"/>
      <c r="AV173" s="3">
        <v>1</v>
      </c>
    </row>
    <row r="174" spans="2:48" ht="21" customHeight="1">
      <c r="B174" s="1610" cm="1">
        <f t="array" ref="B174">SUMPRODUCT(LEN(C174:K174))</f>
        <v>0</v>
      </c>
      <c r="C174" s="1810"/>
      <c r="D174" s="1810"/>
      <c r="E174" s="1810"/>
      <c r="F174" s="1810"/>
      <c r="G174" s="1810"/>
      <c r="H174" s="1810"/>
      <c r="I174" s="1810"/>
      <c r="J174" s="1810"/>
      <c r="K174" s="1810"/>
      <c r="L174" s="2126" t="str" cm="1">
        <f t="array" ref="L174">IF(B128&lt;=0,0,ROUNDUP(SUMPRODUCT(LEN(C174:K174))/B128,0))&amp;" ligne(s)"</f>
        <v>0 ligne(s)</v>
      </c>
      <c r="N174" s="1654" t="s">
        <v>10</v>
      </c>
      <c r="O174" s="163" t="str">
        <f>O130</f>
        <v>B BEIGNETS D'ACACIA | pâtisserie--Beignets| Auteur &gt; Journal des Femmes</v>
      </c>
      <c r="P174" s="163">
        <f>P130</f>
        <v>6</v>
      </c>
      <c r="Q174" s="164" t="str">
        <f>Q130</f>
        <v>personnes</v>
      </c>
      <c r="R174" s="165" t="str">
        <f>R130</f>
        <v>Recette mère ► Beignets d'acacia</v>
      </c>
      <c r="S174" s="1548"/>
      <c r="T174" s="1548"/>
      <c r="U174" s="2190">
        <f>ROWS(Y155:Y174)</f>
        <v>20</v>
      </c>
      <c r="V174" s="5549" t="str" cm="1">
        <f t="array" ref="V174">IF(SUMPRODUCT((Y174:AD174&lt;&gt;"")*1)=0,"",SUMPRODUCT((Y174:AD174&lt;&gt;"")*(LEN(TRIM(SUBSTITUTE(Y174:AD174,CHAR(160)," "))) - LEN(SUBSTITUTE(TRIM(SUBSTITUTE(Y174:AD174,CHAR(160)," "))," ","")) + 1)) &amp; " mot" &amp; IF(SUMPRODUCT((Y174:AD174&lt;&gt;"")*(LEN(TRIM(SUBSTITUTE(Y174:AD174,CHAR(160)," "))) - LEN(SUBSTITUTE(TRIM(SUBSTITUTE(Y174:AD174,CHAR(160)," "))," ","")) + 1))&gt;1,"s",""))</f>
        <v>13 mots</v>
      </c>
      <c r="W174" s="5550" t="str" cm="1">
        <f t="array" ref="W174">SUMPRODUCT(--(Y174:AD174&lt;&gt;""), LEN(TRIM(SUBSTITUTE(Y174:AD174, CHAR(160), "")))) &amp; " Car."</f>
        <v>80 Car.</v>
      </c>
      <c r="X174" s="1376" t="str">
        <f>IF(ISBLANK(Y174),"",LARGE(X154:X173,1)+1)</f>
        <v/>
      </c>
      <c r="Y174" s="1810"/>
      <c r="Z174" s="1810" t="s">
        <v>14252</v>
      </c>
      <c r="AA174" s="1810"/>
      <c r="AB174" s="1810"/>
      <c r="AC174" s="1810"/>
      <c r="AD174" s="1810"/>
      <c r="AE174" s="1810"/>
      <c r="AF174" s="1810"/>
      <c r="AG174" s="1811"/>
      <c r="AJ174" s="1654" t="str">
        <f t="shared" si="26"/>
        <v>A</v>
      </c>
      <c r="AK174" s="1616"/>
      <c r="AL174" s="1333" t="s">
        <v>21</v>
      </c>
      <c r="AM174" s="412"/>
      <c r="AN174" s="416">
        <v>8</v>
      </c>
      <c r="AO174" s="417" t="s">
        <v>484</v>
      </c>
      <c r="AP174" s="9"/>
      <c r="AQ174" s="9"/>
      <c r="AR174" s="9"/>
      <c r="AS174" s="191"/>
      <c r="AV174" s="3">
        <v>1</v>
      </c>
    </row>
    <row r="175" spans="2:48" ht="21" customHeight="1" thickBot="1">
      <c r="B175" s="1610" cm="1">
        <f t="array" ref="B175">SUMPRODUCT(LEN(C175:K175))</f>
        <v>0</v>
      </c>
      <c r="C175" s="1810"/>
      <c r="D175" s="1810"/>
      <c r="E175" s="1810"/>
      <c r="F175" s="1810"/>
      <c r="G175" s="1810"/>
      <c r="H175" s="1810"/>
      <c r="I175" s="1810"/>
      <c r="J175" s="1810"/>
      <c r="K175" s="1810"/>
      <c r="L175" s="2126" t="str" cm="1">
        <f t="array" ref="L175">IF(B128&lt;=0,0,ROUNDUP(SUMPRODUCT(LEN(C175:K175))/B128,0))&amp;" ligne(s)"</f>
        <v>0 ligne(s)</v>
      </c>
      <c r="N175" s="1654" t="s">
        <v>10</v>
      </c>
      <c r="O175" s="163" t="str">
        <f>O130</f>
        <v>B BEIGNETS D'ACACIA | pâtisserie--Beignets| Auteur &gt; Journal des Femmes</v>
      </c>
      <c r="P175" s="163">
        <f>P130</f>
        <v>6</v>
      </c>
      <c r="Q175" s="164" t="str">
        <f>Q130</f>
        <v>personnes</v>
      </c>
      <c r="R175" s="165" t="str">
        <f>R130</f>
        <v>Recette mère ► Beignets d'acacia</v>
      </c>
      <c r="S175" s="172"/>
      <c r="T175" s="1378" t="s">
        <v>207</v>
      </c>
      <c r="U175" s="1712" t="s">
        <v>8475</v>
      </c>
      <c r="V175" s="176"/>
      <c r="W175" s="176"/>
      <c r="X175" s="176"/>
      <c r="Y175" s="176"/>
      <c r="Z175" s="176"/>
      <c r="AA175" s="176"/>
      <c r="AB175" s="176"/>
      <c r="AC175" s="176"/>
      <c r="AD175" s="176"/>
      <c r="AE175" s="176"/>
      <c r="AF175" s="176"/>
      <c r="AG175" s="884"/>
      <c r="AJ175" s="1654" t="str">
        <f t="shared" si="26"/>
        <v>A</v>
      </c>
      <c r="AK175" s="1616"/>
      <c r="AL175" s="1333" t="s">
        <v>21</v>
      </c>
      <c r="AM175" s="412"/>
      <c r="AN175" s="416">
        <v>1.5</v>
      </c>
      <c r="AO175" s="417" t="s">
        <v>487</v>
      </c>
      <c r="AP175" s="9"/>
      <c r="AQ175" s="9"/>
      <c r="AR175" s="9"/>
      <c r="AS175" s="191"/>
      <c r="AV175" s="3">
        <v>1</v>
      </c>
    </row>
    <row r="176" spans="2:48" ht="21" customHeight="1">
      <c r="B176" s="1610" cm="1">
        <f t="array" ref="B176">SUMPRODUCT(LEN(C176:K176))</f>
        <v>0</v>
      </c>
      <c r="C176" s="1810"/>
      <c r="D176" s="1810"/>
      <c r="E176" s="1810"/>
      <c r="F176" s="1810"/>
      <c r="G176" s="1810"/>
      <c r="H176" s="1810"/>
      <c r="I176" s="1810"/>
      <c r="J176" s="1810"/>
      <c r="K176" s="1810"/>
      <c r="L176" s="2126" t="str" cm="1">
        <f t="array" ref="L176">IF(B128&lt;=0,0,ROUNDUP(SUMPRODUCT(LEN(C176:K176))/B128,0))&amp;" ligne(s)"</f>
        <v>0 ligne(s)</v>
      </c>
      <c r="N176" s="1654" t="s">
        <v>10</v>
      </c>
      <c r="O176" s="163" t="str">
        <f>O130</f>
        <v>B BEIGNETS D'ACACIA | pâtisserie--Beignets| Auteur &gt; Journal des Femmes</v>
      </c>
      <c r="P176" s="163">
        <f>P130</f>
        <v>6</v>
      </c>
      <c r="Q176" s="164" t="str">
        <f>Q130</f>
        <v>personnes</v>
      </c>
      <c r="R176" s="165" t="str">
        <f>R130</f>
        <v>Recette mère ► Beignets d'acacia</v>
      </c>
      <c r="S176" s="1379"/>
      <c r="T176" s="1380"/>
      <c r="U176" s="1380"/>
      <c r="V176" s="1380"/>
      <c r="W176" s="1380"/>
      <c r="X176" s="1380"/>
      <c r="Y176" s="1380"/>
      <c r="Z176" s="1381" t="s">
        <v>196</v>
      </c>
      <c r="AA176" s="202"/>
      <c r="AB176" s="202"/>
      <c r="AC176" s="202"/>
      <c r="AD176" s="202"/>
      <c r="AE176" s="202"/>
      <c r="AF176" s="202"/>
      <c r="AG176" s="885"/>
      <c r="AJ176" s="1654" t="str">
        <f t="shared" si="26"/>
        <v>A</v>
      </c>
      <c r="AK176" s="1616"/>
      <c r="AL176" s="1333" t="s">
        <v>21</v>
      </c>
      <c r="AM176" s="412"/>
      <c r="AN176" s="416">
        <v>3</v>
      </c>
      <c r="AO176" s="417" t="s">
        <v>491</v>
      </c>
      <c r="AP176" s="9"/>
      <c r="AQ176" s="9"/>
      <c r="AR176" s="9"/>
      <c r="AS176" s="191"/>
      <c r="AV176" s="3">
        <v>1</v>
      </c>
    </row>
    <row r="177" spans="2:48" ht="21" customHeight="1" thickBot="1">
      <c r="B177" s="1610" cm="1">
        <f t="array" ref="B177">SUMPRODUCT(LEN(C177:K177))</f>
        <v>0</v>
      </c>
      <c r="C177" s="1810"/>
      <c r="D177" s="1810"/>
      <c r="E177" s="1810"/>
      <c r="F177" s="1810"/>
      <c r="G177" s="1810"/>
      <c r="H177" s="1810"/>
      <c r="I177" s="1810"/>
      <c r="J177" s="1810"/>
      <c r="K177" s="1810"/>
      <c r="L177" s="2126" t="str" cm="1">
        <f t="array" ref="L177">IF(B128&lt;=0,0,ROUNDUP(SUMPRODUCT(LEN(C177:K177))/B128,0))&amp;" ligne(s)"</f>
        <v>0 ligne(s)</v>
      </c>
      <c r="N177" s="1654" t="s">
        <v>10</v>
      </c>
      <c r="O177" s="163" t="str">
        <f>O130</f>
        <v>B BEIGNETS D'ACACIA | pâtisserie--Beignets| Auteur &gt; Journal des Femmes</v>
      </c>
      <c r="P177" s="163">
        <f>P130</f>
        <v>6</v>
      </c>
      <c r="Q177" s="164" t="str">
        <f>Q130</f>
        <v>personnes</v>
      </c>
      <c r="R177" s="165" t="str">
        <f>R130</f>
        <v>Recette mère ► Beignets d'acacia</v>
      </c>
      <c r="S177" s="2139"/>
      <c r="T177" s="2124"/>
      <c r="U177" s="2138"/>
      <c r="V177" s="2140" t="s">
        <v>8860</v>
      </c>
      <c r="W177" s="2065">
        <f ca="1">W154</f>
        <v>132</v>
      </c>
      <c r="X177" s="886" t="s">
        <v>200</v>
      </c>
      <c r="Y177" s="2137"/>
      <c r="Z177" s="2137"/>
      <c r="AA177" s="2137"/>
      <c r="AB177" s="472"/>
      <c r="AC177" s="472"/>
      <c r="AD177" s="472"/>
      <c r="AE177" s="2260" t="str">
        <f>IF(Y178="","",(LEN(TRIM(SUBSTITUTE(Y178,CHAR(160)," ")))-LEN(SUBSTITUTE(TRIM(SUBSTITUTE(Y178,CHAR(160)," "))," ",""))+1)&amp;" mot"&amp;IF((LEN(TRIM(SUBSTITUTE(Y178,CHAR(160)," ")))-LEN(SUBSTITUTE(TRIM(SUBSTITUTE(Y178,CHAR(160)," "))," ",""))+1)&gt;1,"s",""))</f>
        <v>17 mots</v>
      </c>
      <c r="AF177" s="2259" t="str">
        <f>IF(Y178="","",LEN(TRIM(SUBSTITUTE(Y178,CHAR(160),""))))&amp;" Car."</f>
        <v>123 Car.</v>
      </c>
      <c r="AG177" s="2261" t="s">
        <v>8863</v>
      </c>
      <c r="AJ177" s="1654" t="str">
        <f t="shared" si="26"/>
        <v>A</v>
      </c>
      <c r="AK177" s="1616"/>
      <c r="AL177" s="1333" t="s">
        <v>21</v>
      </c>
      <c r="AM177" s="412"/>
      <c r="AN177" s="423" t="s">
        <v>495</v>
      </c>
      <c r="AO177" s="423"/>
      <c r="AP177" s="9"/>
      <c r="AQ177" s="9"/>
      <c r="AR177" s="9"/>
      <c r="AS177" s="191"/>
      <c r="AV177" s="3">
        <v>1</v>
      </c>
    </row>
    <row r="178" spans="2:48" ht="21" customHeight="1" thickBot="1">
      <c r="B178" s="1610" cm="1">
        <f t="array" ref="B178">SUMPRODUCT(LEN(C178:K178))</f>
        <v>0</v>
      </c>
      <c r="C178" s="1810"/>
      <c r="D178" s="1810"/>
      <c r="E178" s="1810"/>
      <c r="F178" s="1810"/>
      <c r="G178" s="1810"/>
      <c r="H178" s="1810"/>
      <c r="I178" s="1810"/>
      <c r="J178" s="1810"/>
      <c r="K178" s="1810"/>
      <c r="L178" s="2126" t="str" cm="1">
        <f t="array" ref="L178">IF(B128&lt;=0,0,ROUNDUP(SUMPRODUCT(LEN(C178:K178))/B128,0))&amp;" ligne(s)"</f>
        <v>0 ligne(s)</v>
      </c>
      <c r="N178" s="2106" t="s">
        <v>10</v>
      </c>
      <c r="O178" s="209" t="str">
        <f>O130</f>
        <v>B BEIGNETS D'ACACIA | pâtisserie--Beignets| Auteur &gt; Journal des Femmes</v>
      </c>
      <c r="P178" s="209">
        <f>P130</f>
        <v>6</v>
      </c>
      <c r="Q178" s="210" t="str">
        <f>Q130</f>
        <v>personnes</v>
      </c>
      <c r="R178" s="211" t="str">
        <f>R130</f>
        <v>Recette mère ► Beignets d'acacia</v>
      </c>
      <c r="S178" s="2129"/>
      <c r="T178" s="2130"/>
      <c r="U178" s="2131"/>
      <c r="V178" s="2132"/>
      <c r="W178" s="2133"/>
      <c r="X178" s="2133" t="s">
        <v>8864</v>
      </c>
      <c r="Y178" s="2258" t="s">
        <v>8866</v>
      </c>
      <c r="Z178" s="2136"/>
      <c r="AA178" s="2134"/>
      <c r="AB178" s="2134"/>
      <c r="AC178" s="2134"/>
      <c r="AD178" s="2134"/>
      <c r="AE178" s="2134"/>
      <c r="AF178" s="2134"/>
      <c r="AG178" s="2135"/>
      <c r="AJ178" s="2106" t="str">
        <f t="shared" si="26"/>
        <v>A</v>
      </c>
      <c r="AK178" s="1616"/>
      <c r="AL178" s="1333" t="s">
        <v>21</v>
      </c>
      <c r="AM178" s="424"/>
      <c r="AN178" s="425" t="s">
        <v>498</v>
      </c>
      <c r="AO178" s="426" t="s">
        <v>499</v>
      </c>
      <c r="AP178" s="9"/>
      <c r="AQ178" s="9"/>
      <c r="AR178" s="9"/>
      <c r="AS178" s="191"/>
      <c r="AV178" s="3">
        <v>1</v>
      </c>
    </row>
    <row r="179" spans="2:48" ht="21" customHeight="1" thickBot="1">
      <c r="B179" s="2143"/>
      <c r="C179" s="2142">
        <v>6</v>
      </c>
      <c r="D179" s="2142">
        <v>40</v>
      </c>
      <c r="E179" s="2142">
        <v>10</v>
      </c>
      <c r="F179" s="2142">
        <v>9</v>
      </c>
      <c r="G179" s="2142">
        <v>18</v>
      </c>
      <c r="H179" s="2142">
        <v>13</v>
      </c>
      <c r="I179" s="2142">
        <v>13</v>
      </c>
      <c r="J179" s="2142">
        <v>13</v>
      </c>
      <c r="K179" s="2142">
        <v>17</v>
      </c>
      <c r="L179" s="2144"/>
      <c r="N179" s="1656" t="s">
        <v>10</v>
      </c>
      <c r="O179" s="1657"/>
      <c r="P179" s="1657"/>
      <c r="Q179" s="1657"/>
      <c r="R179" s="1658"/>
      <c r="S179" s="1655" t="s">
        <v>207</v>
      </c>
      <c r="T179" s="2168" t="str">
        <f ca="1">CELL("nomfichier")</f>
        <v>D:\Données\1.UPRT\0-UPRT.fait\1-UPRT.FR-SITE-WEB\ff-fiches-fabrications\ff.fiches.fabrication.2023\ffr.restaurant.2023\[ff.FICHE.TRILINGUE.20.COLONNES.05.01.2026.xlsx]Couleurs.pour.vos.documents</v>
      </c>
      <c r="U179" s="1659"/>
      <c r="V179" s="1659"/>
      <c r="W179" s="1659"/>
      <c r="X179" s="1659"/>
      <c r="Y179" s="1659"/>
      <c r="Z179" s="1659"/>
      <c r="AA179" s="1659"/>
      <c r="AB179" s="1659"/>
      <c r="AC179" s="1659"/>
      <c r="AD179" s="1659"/>
      <c r="AE179" s="1659"/>
      <c r="AF179" s="1659"/>
      <c r="AG179" s="1660"/>
      <c r="AJ179" s="1656" t="str">
        <f t="shared" si="26"/>
        <v>A</v>
      </c>
      <c r="AK179" s="1616"/>
      <c r="AL179" s="1333" t="s">
        <v>21</v>
      </c>
      <c r="AM179" s="6547" t="s">
        <v>505</v>
      </c>
      <c r="AN179" s="6548"/>
      <c r="AO179" s="6548"/>
      <c r="AP179" s="6548"/>
      <c r="AQ179" s="6548"/>
      <c r="AR179" s="6548"/>
      <c r="AS179" s="6549"/>
      <c r="AV179" s="3">
        <v>1</v>
      </c>
    </row>
    <row r="180" spans="2:48" ht="21" customHeight="1" thickBot="1">
      <c r="B180" s="1216" t="s">
        <v>10</v>
      </c>
      <c r="C180" s="1218" t="s">
        <v>2394</v>
      </c>
      <c r="D180" s="1217"/>
      <c r="E180" s="1217"/>
      <c r="F180" s="1217"/>
      <c r="G180" s="1218"/>
      <c r="H180" s="1217"/>
      <c r="I180" s="1217"/>
      <c r="J180" s="1217"/>
      <c r="K180" s="1217"/>
      <c r="L180" s="1224" t="s">
        <v>1755</v>
      </c>
      <c r="N180" s="1216" t="s">
        <v>10</v>
      </c>
      <c r="O180" s="1217" t="s">
        <v>10</v>
      </c>
      <c r="P180" s="1217" t="s">
        <v>10</v>
      </c>
      <c r="Q180" s="1217" t="s">
        <v>10</v>
      </c>
      <c r="R180" s="1217" t="s">
        <v>10</v>
      </c>
      <c r="S180" s="1218" t="s">
        <v>2394</v>
      </c>
      <c r="T180" s="1219"/>
      <c r="U180" s="1220"/>
      <c r="V180" s="1221"/>
      <c r="W180" s="1222"/>
      <c r="X180" s="1223"/>
      <c r="Y180" s="1223"/>
      <c r="Z180" s="1221"/>
      <c r="AA180" s="1221"/>
      <c r="AB180" s="1219"/>
      <c r="AC180" s="1219"/>
      <c r="AD180" s="1219"/>
      <c r="AE180" s="1219"/>
      <c r="AF180" s="1219"/>
      <c r="AG180" s="1224" t="s">
        <v>1755</v>
      </c>
      <c r="AJ180" s="1216" t="str">
        <f t="shared" si="26"/>
        <v>A</v>
      </c>
      <c r="AK180" s="1616"/>
      <c r="AL180" s="1333" t="s">
        <v>21</v>
      </c>
      <c r="AM180" s="6547"/>
      <c r="AN180" s="6548"/>
      <c r="AO180" s="6548"/>
      <c r="AP180" s="6548"/>
      <c r="AQ180" s="6548"/>
      <c r="AR180" s="6548"/>
      <c r="AS180" s="6549"/>
      <c r="AV180" s="3">
        <v>1</v>
      </c>
    </row>
    <row r="181" spans="2:48" ht="21" customHeight="1">
      <c r="B181" s="6945" t="s">
        <v>2397</v>
      </c>
      <c r="C181" s="6946"/>
      <c r="D181" s="6946"/>
      <c r="E181" s="6946"/>
      <c r="F181" s="6946"/>
      <c r="G181" s="6946"/>
      <c r="H181" s="6946"/>
      <c r="I181" s="6946"/>
      <c r="J181" s="6946"/>
      <c r="K181" s="6946"/>
      <c r="L181" s="6947"/>
      <c r="N181" s="19" t="s">
        <v>10</v>
      </c>
      <c r="O181" s="1661" t="str">
        <f>O187</f>
        <v>B BEIGNETS D'ACACIA | pâtisserie--Beignets| Auteur &gt; Catherine et Pascal Roger</v>
      </c>
      <c r="P181" s="1662">
        <f>P187</f>
        <v>6</v>
      </c>
      <c r="Q181" s="1662" t="str">
        <f>Q187</f>
        <v>couverts</v>
      </c>
      <c r="R181" s="1663" t="str">
        <f>R187</f>
        <v>Recette mère ► Beignets d'acacia</v>
      </c>
      <c r="S181" s="1664" t="s">
        <v>21</v>
      </c>
      <c r="T181" s="1665" t="s">
        <v>22</v>
      </c>
      <c r="U181" s="1665"/>
      <c r="V181" s="6980" t="s">
        <v>8231</v>
      </c>
      <c r="W181" s="6980"/>
      <c r="X181" s="6980"/>
      <c r="Y181" s="6980"/>
      <c r="Z181" s="6980"/>
      <c r="AA181" s="6980"/>
      <c r="AB181" s="6980"/>
      <c r="AC181" s="6980"/>
      <c r="AD181" s="6980"/>
      <c r="AE181" s="6636" t="s">
        <v>8232</v>
      </c>
      <c r="AF181" s="6636"/>
      <c r="AG181" s="6974" t="str">
        <f>UPPER(LEFT(V181,1))</f>
        <v>B</v>
      </c>
      <c r="AJ181" s="19" t="str">
        <f t="shared" si="26"/>
        <v>A</v>
      </c>
      <c r="AK181" s="1616"/>
      <c r="AL181" s="1333" t="s">
        <v>21</v>
      </c>
      <c r="AM181" s="6547"/>
      <c r="AN181" s="6548"/>
      <c r="AO181" s="6548"/>
      <c r="AP181" s="6548"/>
      <c r="AQ181" s="6548"/>
      <c r="AR181" s="6548"/>
      <c r="AS181" s="6549"/>
      <c r="AV181" s="3">
        <v>1</v>
      </c>
    </row>
    <row r="182" spans="2:48" ht="21" customHeight="1">
      <c r="B182" s="2158">
        <f t="shared" ref="B182:L182" ca="1" si="30">CELL("largeur",B182)</f>
        <v>11</v>
      </c>
      <c r="C182" s="2141">
        <f t="shared" ca="1" si="30"/>
        <v>6</v>
      </c>
      <c r="D182" s="2141">
        <f t="shared" ca="1" si="30"/>
        <v>40</v>
      </c>
      <c r="E182" s="2141">
        <f t="shared" ca="1" si="30"/>
        <v>10</v>
      </c>
      <c r="F182" s="2141">
        <f t="shared" ca="1" si="30"/>
        <v>9</v>
      </c>
      <c r="G182" s="2141">
        <f t="shared" ca="1" si="30"/>
        <v>18</v>
      </c>
      <c r="H182" s="2141">
        <f t="shared" ca="1" si="30"/>
        <v>13</v>
      </c>
      <c r="I182" s="2141">
        <f t="shared" ca="1" si="30"/>
        <v>13</v>
      </c>
      <c r="J182" s="2141">
        <f t="shared" ca="1" si="30"/>
        <v>13</v>
      </c>
      <c r="K182" s="2141">
        <f t="shared" ca="1" si="30"/>
        <v>17</v>
      </c>
      <c r="L182" s="2157">
        <f t="shared" ca="1" si="30"/>
        <v>11</v>
      </c>
      <c r="N182" s="1666" t="s">
        <v>10</v>
      </c>
      <c r="O182" s="1667" t="str">
        <f>O187</f>
        <v>B BEIGNETS D'ACACIA | pâtisserie--Beignets| Auteur &gt; Catherine et Pascal Roger</v>
      </c>
      <c r="P182" s="1668">
        <f>P187</f>
        <v>6</v>
      </c>
      <c r="Q182" s="1668" t="str">
        <f>Q187</f>
        <v>couverts</v>
      </c>
      <c r="R182" s="1669" t="str">
        <f>R187</f>
        <v>Recette mère ► Beignets d'acacia</v>
      </c>
      <c r="S182" s="1670" t="s">
        <v>28</v>
      </c>
      <c r="T182" s="1671" t="s">
        <v>831</v>
      </c>
      <c r="U182" s="1671"/>
      <c r="V182" s="6981"/>
      <c r="W182" s="6981"/>
      <c r="X182" s="6981"/>
      <c r="Y182" s="6981"/>
      <c r="Z182" s="6981"/>
      <c r="AA182" s="6981"/>
      <c r="AB182" s="6981"/>
      <c r="AC182" s="6981"/>
      <c r="AD182" s="6981"/>
      <c r="AE182" s="6637"/>
      <c r="AF182" s="6637"/>
      <c r="AG182" s="6975"/>
      <c r="AJ182" s="1666" t="str">
        <f t="shared" si="26"/>
        <v>A</v>
      </c>
      <c r="AK182" s="1616"/>
      <c r="AL182" s="1333" t="s">
        <v>21</v>
      </c>
      <c r="AM182" s="157"/>
      <c r="AN182" s="158"/>
      <c r="AO182" s="159"/>
      <c r="AP182" s="158"/>
      <c r="AQ182" s="158"/>
      <c r="AR182" s="158"/>
      <c r="AS182" s="160"/>
      <c r="AV182" s="3">
        <v>1</v>
      </c>
    </row>
    <row r="183" spans="2:48" ht="21" customHeight="1">
      <c r="B183" s="2146"/>
      <c r="C183" s="2147"/>
      <c r="D183" s="2147"/>
      <c r="E183" s="2147"/>
      <c r="F183" s="2148"/>
      <c r="G183" s="2147"/>
      <c r="H183" s="2149"/>
      <c r="I183" s="2149"/>
      <c r="J183" s="2149"/>
      <c r="K183" s="2150" t="s">
        <v>8876</v>
      </c>
      <c r="L183" s="2145">
        <f ca="1">SUM(C182:K182)</f>
        <v>139</v>
      </c>
      <c r="N183" s="1666" t="s">
        <v>10</v>
      </c>
      <c r="O183" s="31" t="str">
        <f>O187</f>
        <v>B BEIGNETS D'ACACIA | pâtisserie--Beignets| Auteur &gt; Catherine et Pascal Roger</v>
      </c>
      <c r="P183" s="32">
        <f>P187</f>
        <v>6</v>
      </c>
      <c r="Q183" s="32" t="str">
        <f>Q187</f>
        <v>couverts</v>
      </c>
      <c r="R183" s="33" t="str">
        <f>R187</f>
        <v>Recette mère ► Beignets d'acacia</v>
      </c>
      <c r="S183" s="1357"/>
      <c r="T183" s="1358" t="s">
        <v>30</v>
      </c>
      <c r="U183" s="34"/>
      <c r="V183" s="35" t="s">
        <v>31</v>
      </c>
      <c r="W183" s="36" t="s">
        <v>8881</v>
      </c>
      <c r="X183" s="9"/>
      <c r="Y183" s="9"/>
      <c r="Z183" s="36"/>
      <c r="AA183" s="36"/>
      <c r="AB183" s="36"/>
      <c r="AC183" s="37"/>
      <c r="AD183" s="9"/>
      <c r="AE183" s="9"/>
      <c r="AF183" s="9"/>
      <c r="AG183" s="2062" t="str" cm="1">
        <f t="array" aca="1" ref="AG183" ca="1">IF(COUNTIF(O206:AG206,"&lt;0.5")=0,"Aucune colonne masquée ",COUNTIF(O206:AG206,"&lt;0.5") &amp; " " &amp; IF(COUNTIF(O206:AG206,"&lt;0.5")&gt;1,"colonnes masquées","colonne masquée") &amp; " " &amp; _xlfn.TEXTJOIN(" ", TRUE, IF(O206:AG206&lt;0.5,O205:AG205,"")))&amp;" "</f>
        <v xml:space="preserve">Aucune colonne masquée  </v>
      </c>
      <c r="AJ183" s="1666" t="str">
        <f t="shared" si="26"/>
        <v>A</v>
      </c>
      <c r="AK183" s="1616"/>
      <c r="AL183" s="1333" t="s">
        <v>21</v>
      </c>
      <c r="AM183" s="390"/>
      <c r="AN183" s="391"/>
      <c r="AO183" s="392"/>
      <c r="AP183" s="391"/>
      <c r="AQ183" s="391"/>
      <c r="AR183" s="391"/>
      <c r="AS183" s="393"/>
      <c r="AV183" s="3">
        <v>1</v>
      </c>
    </row>
    <row r="184" spans="2:48" ht="21" customHeight="1">
      <c r="B184" s="2146"/>
      <c r="C184" s="2151" t="s">
        <v>8875</v>
      </c>
      <c r="D184" s="2147"/>
      <c r="E184" s="2147"/>
      <c r="F184" s="2148"/>
      <c r="G184" s="2152"/>
      <c r="H184" s="2152"/>
      <c r="I184" s="2152"/>
      <c r="J184" s="2152"/>
      <c r="K184" s="2153" t="s">
        <v>8863</v>
      </c>
      <c r="L184" s="2154" t="s">
        <v>21</v>
      </c>
      <c r="N184" s="1666" t="s">
        <v>10</v>
      </c>
      <c r="O184" s="31" t="str">
        <f>O187</f>
        <v>B BEIGNETS D'ACACIA | pâtisserie--Beignets| Auteur &gt; Catherine et Pascal Roger</v>
      </c>
      <c r="P184" s="32">
        <f>P187</f>
        <v>6</v>
      </c>
      <c r="Q184" s="32" t="str">
        <f>Q187</f>
        <v>couverts</v>
      </c>
      <c r="R184" s="33" t="str">
        <f>R187</f>
        <v>Recette mère ► Beignets d'acacia</v>
      </c>
      <c r="S184" s="39" t="s">
        <v>32</v>
      </c>
      <c r="T184" s="40"/>
      <c r="U184" s="40"/>
      <c r="V184" s="41" t="s">
        <v>33</v>
      </c>
      <c r="W184" s="6736" t="str">
        <f>Y187&amp;" "&amp;Z187&amp;" ► Famille = "&amp;AE181&amp;" ► "&amp;V181&amp;" "&amp;AC184&amp;" "&amp;AE184&amp;" "&amp;AF184&amp;" "&amp;AG184</f>
        <v>Recette mère ► Beignets d'acacia ► Famille = pâtisserie--Beignets ► BEIGNETS D'ACACIA  ⓫  Dupliquée pour 50 couverts</v>
      </c>
      <c r="X184" s="6736"/>
      <c r="Y184" s="6736"/>
      <c r="Z184" s="6736"/>
      <c r="AA184" s="6736"/>
      <c r="AB184" s="6736"/>
      <c r="AC184" s="6736"/>
      <c r="AD184" s="1359"/>
      <c r="AE184" s="1359" t="s">
        <v>35</v>
      </c>
      <c r="AF184" s="140">
        <v>50</v>
      </c>
      <c r="AG184" s="43" t="str">
        <f>AG186</f>
        <v>couverts</v>
      </c>
      <c r="AJ184" s="1666" t="str">
        <f t="shared" si="26"/>
        <v>A</v>
      </c>
      <c r="AK184" s="1616"/>
      <c r="AL184" s="1333" t="s">
        <v>21</v>
      </c>
      <c r="AM184" s="6550" t="s">
        <v>509</v>
      </c>
      <c r="AN184" s="428" t="s">
        <v>510</v>
      </c>
      <c r="AO184" s="429"/>
      <c r="AP184" s="430"/>
      <c r="AQ184" s="430"/>
      <c r="AR184" s="9"/>
      <c r="AS184" s="191"/>
      <c r="AV184" s="3">
        <v>1</v>
      </c>
    </row>
    <row r="185" spans="2:48" ht="21" customHeight="1">
      <c r="B185" s="2155">
        <f>IF(C185="","",LEN(TRIM(SUBSTITUTE(C185,CHAR(160),""))))</f>
        <v>89</v>
      </c>
      <c r="C185" s="2128" t="s">
        <v>8874</v>
      </c>
      <c r="D185" s="2136"/>
      <c r="E185" s="2136"/>
      <c r="F185" s="2136"/>
      <c r="G185" s="2136"/>
      <c r="H185" s="2136"/>
      <c r="I185" s="2136"/>
      <c r="J185" s="2136"/>
      <c r="K185" s="2156"/>
      <c r="L185" s="2126" t="str" cm="1">
        <f t="array" ref="L185">IF(B185&lt;=0,0,ROUNDUP(SUMPRODUCT(LEN(C185:K185))/B185,0))&amp;" ligne(s)"</f>
        <v>1 ligne(s)</v>
      </c>
      <c r="N185" s="1666" t="s">
        <v>10</v>
      </c>
      <c r="O185" s="31" t="str">
        <f>O187</f>
        <v>B BEIGNETS D'ACACIA | pâtisserie--Beignets| Auteur &gt; Catherine et Pascal Roger</v>
      </c>
      <c r="P185" s="32">
        <f>P187</f>
        <v>6</v>
      </c>
      <c r="Q185" s="32" t="str">
        <f>Q187</f>
        <v>couverts</v>
      </c>
      <c r="R185" s="33" t="str">
        <f>R187</f>
        <v>Recette mère ► Beignets d'acacia</v>
      </c>
      <c r="S185" s="1360">
        <v>6</v>
      </c>
      <c r="T185" s="1361" t="s">
        <v>36</v>
      </c>
      <c r="U185" s="39"/>
      <c r="V185" s="39"/>
      <c r="W185" s="6736"/>
      <c r="X185" s="6736"/>
      <c r="Y185" s="6736"/>
      <c r="Z185" s="6736"/>
      <c r="AA185" s="6736"/>
      <c r="AB185" s="6736"/>
      <c r="AC185" s="6736"/>
      <c r="AD185" s="696"/>
      <c r="AE185" s="696"/>
      <c r="AF185" s="47" t="s">
        <v>40</v>
      </c>
      <c r="AG185" s="48" t="s">
        <v>41</v>
      </c>
      <c r="AJ185" s="1666" t="str">
        <f t="shared" si="26"/>
        <v>A</v>
      </c>
      <c r="AK185" s="1616"/>
      <c r="AL185" s="1333" t="s">
        <v>21</v>
      </c>
      <c r="AM185" s="6550"/>
      <c r="AN185" s="431" t="s">
        <v>513</v>
      </c>
      <c r="AO185" s="432"/>
      <c r="AP185" s="432"/>
      <c r="AQ185" s="433"/>
      <c r="AR185" s="9"/>
      <c r="AS185" s="191"/>
      <c r="AV185" s="3">
        <v>1</v>
      </c>
    </row>
    <row r="186" spans="2:48" ht="21" customHeight="1">
      <c r="B186" s="6939" t="s">
        <v>1527</v>
      </c>
      <c r="C186" s="6940" t="s">
        <v>8234</v>
      </c>
      <c r="D186" s="6940"/>
      <c r="E186" s="6940"/>
      <c r="F186" s="6940"/>
      <c r="G186" s="6940"/>
      <c r="H186" s="6940"/>
      <c r="I186" s="6940"/>
      <c r="J186" s="6940"/>
      <c r="K186" s="6940"/>
      <c r="L186" s="6942" t="s">
        <v>8859</v>
      </c>
      <c r="N186" s="1666" t="s">
        <v>10</v>
      </c>
      <c r="O186" s="31" t="str">
        <f>O187</f>
        <v>B BEIGNETS D'ACACIA | pâtisserie--Beignets| Auteur &gt; Catherine et Pascal Roger</v>
      </c>
      <c r="P186" s="32">
        <f>P187</f>
        <v>6</v>
      </c>
      <c r="Q186" s="32" t="str">
        <f>Q187</f>
        <v>couverts</v>
      </c>
      <c r="R186" s="33" t="str">
        <f>R187</f>
        <v>Recette mère ► Beignets d'acacia</v>
      </c>
      <c r="S186" s="53"/>
      <c r="T186" s="1323" t="s">
        <v>8094</v>
      </c>
      <c r="U186" s="6737">
        <f>AC200</f>
        <v>0.32499999999999996</v>
      </c>
      <c r="V186" s="6737"/>
      <c r="W186" s="1324" t="str" cm="1">
        <f t="array" ref="W186">"1= "&amp;IF(OR(S185&lt;=0,U186=""),"",_xlfn.LET(_xlpm.kg,IF(ISNUMBER(U186),U186,VALEUR(SUBSTITUTE(SUBSTITUTE(SUBSTITUTE(LOWER(U186),"kg",""),",",".")," ",""))),TEXT(ROUND(_xlpm.kg*1000/S185,2),"0.##")&amp;" g"))</f>
        <v>1= 54.17 g</v>
      </c>
      <c r="X186" s="1325">
        <f>IFERROR(AF184/AF186,0)</f>
        <v>8.3333333333333339</v>
      </c>
      <c r="Y186" s="1817" t="s">
        <v>8230</v>
      </c>
      <c r="Z186" s="579"/>
      <c r="AA186" s="55"/>
      <c r="AB186" s="55"/>
      <c r="AD186" s="1362"/>
      <c r="AE186" s="1362" t="s">
        <v>50</v>
      </c>
      <c r="AF186" s="154">
        <v>6</v>
      </c>
      <c r="AG186" s="56" t="s">
        <v>36</v>
      </c>
      <c r="AJ186" s="1666" t="str">
        <f t="shared" si="26"/>
        <v>A</v>
      </c>
      <c r="AK186" s="1616"/>
      <c r="AL186" s="1333" t="s">
        <v>21</v>
      </c>
      <c r="AM186" s="6550"/>
      <c r="AN186" s="434">
        <v>16</v>
      </c>
      <c r="AO186" s="435" t="s">
        <v>481</v>
      </c>
      <c r="AP186" s="433"/>
      <c r="AQ186" s="433"/>
      <c r="AR186" s="9"/>
      <c r="AS186" s="191"/>
      <c r="AV186" s="3">
        <v>1</v>
      </c>
    </row>
    <row r="187" spans="2:48" ht="21" customHeight="1">
      <c r="B187" s="6939"/>
      <c r="C187" s="6941"/>
      <c r="D187" s="6941"/>
      <c r="E187" s="6941"/>
      <c r="F187" s="6941"/>
      <c r="G187" s="6941"/>
      <c r="H187" s="6941"/>
      <c r="I187" s="6941"/>
      <c r="J187" s="6941"/>
      <c r="K187" s="6941"/>
      <c r="L187" s="6942"/>
      <c r="N187" s="1666" t="s">
        <v>10</v>
      </c>
      <c r="O187" s="61" t="str">
        <f>S187</f>
        <v>B BEIGNETS D'ACACIA | pâtisserie--Beignets| Auteur &gt; Catherine et Pascal Roger</v>
      </c>
      <c r="P187" s="62">
        <f>S185</f>
        <v>6</v>
      </c>
      <c r="Q187" s="61" t="str">
        <f>T185</f>
        <v>couverts</v>
      </c>
      <c r="R187" s="63" t="str">
        <f>Y187&amp;" "&amp;Z187</f>
        <v>Recette mère ► Beignets d'acacia</v>
      </c>
      <c r="S187" s="64" t="str">
        <f>UPPER(LEFT(V181,1))&amp;" "&amp;V181&amp;" | "&amp;AE181&amp;"| "&amp;V183&amp;" "&amp;W183</f>
        <v>B BEIGNETS D'ACACIA | pâtisserie--Beignets| Auteur &gt; Catherine et Pascal Roger</v>
      </c>
      <c r="T187" s="65" t="s">
        <v>53</v>
      </c>
      <c r="U187" s="6735" t="s">
        <v>54</v>
      </c>
      <c r="V187" s="6735"/>
      <c r="W187" s="6735"/>
      <c r="X187" s="66"/>
      <c r="Y187" s="66" t="str">
        <f>IF(ISTEXT(Z187),"Recette mère ►",T187)</f>
        <v>Recette mère ►</v>
      </c>
      <c r="Z187" s="67" t="s">
        <v>8142</v>
      </c>
      <c r="AA187" s="67"/>
      <c r="AB187" s="67"/>
      <c r="AC187" s="883"/>
      <c r="AD187" s="68"/>
      <c r="AE187" s="68"/>
      <c r="AF187" s="68"/>
      <c r="AG187"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J187" s="1666" t="str">
        <f t="shared" si="26"/>
        <v>A</v>
      </c>
      <c r="AK187" s="1616"/>
      <c r="AL187" s="1333" t="s">
        <v>21</v>
      </c>
      <c r="AM187" s="6550"/>
      <c r="AN187" s="434">
        <v>25</v>
      </c>
      <c r="AO187" s="435" t="s">
        <v>484</v>
      </c>
      <c r="AP187" s="433"/>
      <c r="AQ187" s="433"/>
      <c r="AR187" s="9"/>
      <c r="AS187" s="191"/>
      <c r="AV187" s="3">
        <v>1</v>
      </c>
    </row>
    <row r="188" spans="2:48" ht="21" customHeight="1">
      <c r="B188" s="1610" cm="1">
        <f t="array" ref="B188">SUMPRODUCT(LEN(C188:K188))</f>
        <v>0</v>
      </c>
      <c r="C188" s="1837"/>
      <c r="D188" s="1837"/>
      <c r="E188" s="1837"/>
      <c r="F188" s="1837"/>
      <c r="G188" s="1837"/>
      <c r="H188" s="1837"/>
      <c r="I188" s="1837"/>
      <c r="J188" s="1837"/>
      <c r="K188" s="1837"/>
      <c r="L188" s="2126" t="str" cm="1">
        <f t="array" ref="L188">IF(B185&lt;=0,0,ROUNDUP(SUMPRODUCT(LEN(C188:K188))/B185,0))&amp;" ligne(s)"</f>
        <v>0 ligne(s)</v>
      </c>
      <c r="N188" s="1666" t="s">
        <v>10</v>
      </c>
      <c r="O188" s="70" t="str">
        <f>O187</f>
        <v>B BEIGNETS D'ACACIA | pâtisserie--Beignets| Auteur &gt; Catherine et Pascal Roger</v>
      </c>
      <c r="P188" s="70">
        <f>P187</f>
        <v>6</v>
      </c>
      <c r="Q188" s="70" t="str">
        <f>Q187</f>
        <v>couverts</v>
      </c>
      <c r="R188" s="71" t="str">
        <f>R187</f>
        <v>Recette mère ► Beignets d'acacia</v>
      </c>
      <c r="S188" s="12" t="s">
        <v>65</v>
      </c>
      <c r="T188" s="12" t="s">
        <v>66</v>
      </c>
      <c r="U188" s="12" t="s">
        <v>67</v>
      </c>
      <c r="V188" s="12" t="s">
        <v>68</v>
      </c>
      <c r="W188" s="72" t="s">
        <v>69</v>
      </c>
      <c r="X188" s="73" t="s">
        <v>70</v>
      </c>
      <c r="Y188" s="12" t="s">
        <v>71</v>
      </c>
      <c r="Z188" s="12" t="s">
        <v>72</v>
      </c>
      <c r="AA188" s="12" t="s">
        <v>73</v>
      </c>
      <c r="AB188" s="12" t="s">
        <v>74</v>
      </c>
      <c r="AC188" s="12" t="s">
        <v>75</v>
      </c>
      <c r="AD188" s="12" t="s">
        <v>76</v>
      </c>
      <c r="AE188" s="12" t="s">
        <v>77</v>
      </c>
      <c r="AF188" s="12" t="s">
        <v>8143</v>
      </c>
      <c r="AG188" s="74" t="s">
        <v>8407</v>
      </c>
      <c r="AJ188" s="1666" t="str">
        <f t="shared" si="26"/>
        <v>A</v>
      </c>
      <c r="AK188" s="1616"/>
      <c r="AL188" s="1333" t="s">
        <v>21</v>
      </c>
      <c r="AM188" s="6550"/>
      <c r="AN188" s="434">
        <v>12</v>
      </c>
      <c r="AO188" s="437" t="s">
        <v>487</v>
      </c>
      <c r="AP188" s="433"/>
      <c r="AQ188" s="433"/>
      <c r="AR188" s="9"/>
      <c r="AS188" s="191"/>
      <c r="AV188" s="3">
        <v>1</v>
      </c>
    </row>
    <row r="189" spans="2:48" ht="21" customHeight="1">
      <c r="B189" s="1610" cm="1">
        <f t="array" ref="B189">SUMPRODUCT(LEN(C189:K189))</f>
        <v>147</v>
      </c>
      <c r="C189" s="1810"/>
      <c r="D189" s="1810"/>
      <c r="E189" s="2159" t="s">
        <v>8317</v>
      </c>
      <c r="F189" s="2125"/>
      <c r="G189" s="1810"/>
      <c r="H189" s="1810"/>
      <c r="I189" s="1810"/>
      <c r="J189" s="1810"/>
      <c r="K189" s="1810" t="s">
        <v>21</v>
      </c>
      <c r="L189" s="2126" t="str" cm="1">
        <f t="array" ref="L189">IF(B185&lt;=0,0,ROUNDUP(SUMPRODUCT(LEN(C189:K189))/B185,0))&amp;" ligne(s)"</f>
        <v>2 ligne(s)</v>
      </c>
      <c r="N189" s="1666" t="s">
        <v>10</v>
      </c>
      <c r="O189" s="31" t="str">
        <f>O187</f>
        <v>B BEIGNETS D'ACACIA | pâtisserie--Beignets| Auteur &gt; Catherine et Pascal Roger</v>
      </c>
      <c r="P189" s="32">
        <f>P187</f>
        <v>6</v>
      </c>
      <c r="Q189" s="31" t="str">
        <f>Q187</f>
        <v>couverts</v>
      </c>
      <c r="R189" s="33" t="str">
        <f>R187</f>
        <v>Recette mère ► Beignets d'acacia</v>
      </c>
      <c r="S189" s="76" t="s">
        <v>78</v>
      </c>
      <c r="T189" s="77" t="s">
        <v>79</v>
      </c>
      <c r="U189" s="78"/>
      <c r="V189" s="6612" t="s">
        <v>80</v>
      </c>
      <c r="W189" s="6730" t="s">
        <v>81</v>
      </c>
      <c r="X189" s="6732" t="s">
        <v>82</v>
      </c>
      <c r="Y189" s="6738" t="s">
        <v>8575</v>
      </c>
      <c r="Z189" s="79" t="s">
        <v>83</v>
      </c>
      <c r="AA189" s="80" t="s">
        <v>49</v>
      </c>
      <c r="AB189" s="81" t="s">
        <v>84</v>
      </c>
      <c r="AC189" s="6607" t="s">
        <v>85</v>
      </c>
      <c r="AD189" s="6582" t="s">
        <v>84</v>
      </c>
      <c r="AE189" s="6727" t="s">
        <v>8405</v>
      </c>
      <c r="AF189" s="6584" t="s">
        <v>86</v>
      </c>
      <c r="AG189" s="6728" t="s">
        <v>87</v>
      </c>
      <c r="AJ189" s="1666" t="str">
        <f t="shared" si="26"/>
        <v>A</v>
      </c>
      <c r="AK189" s="1616"/>
      <c r="AL189" s="1333" t="s">
        <v>21</v>
      </c>
      <c r="AM189" s="6550"/>
      <c r="AN189" s="434">
        <v>7</v>
      </c>
      <c r="AO189" s="437" t="s">
        <v>491</v>
      </c>
      <c r="AP189" s="433"/>
      <c r="AQ189" s="433"/>
      <c r="AR189" s="9"/>
      <c r="AS189" s="191"/>
      <c r="AV189" s="3">
        <v>1</v>
      </c>
    </row>
    <row r="190" spans="2:48" ht="21" customHeight="1">
      <c r="B190" s="1610" cm="1">
        <f t="array" ref="B190">SUMPRODUCT(LEN(C190:K190))</f>
        <v>0</v>
      </c>
      <c r="C190" s="1810"/>
      <c r="D190" s="1810"/>
      <c r="E190" s="1810"/>
      <c r="F190" s="1810"/>
      <c r="G190" s="1810"/>
      <c r="H190" s="1810"/>
      <c r="I190" s="1810"/>
      <c r="J190" s="1810"/>
      <c r="K190" s="1810"/>
      <c r="L190" s="2126" t="str" cm="1">
        <f t="array" ref="L190">IF(B185&lt;=0,0,ROUNDUP(SUMPRODUCT(LEN(C190:K190))/B185,0))&amp;" ligne(s)"</f>
        <v>0 ligne(s)</v>
      </c>
      <c r="N190" s="1666" t="s">
        <v>10</v>
      </c>
      <c r="O190" s="31" t="str">
        <f>O187</f>
        <v>B BEIGNETS D'ACACIA | pâtisserie--Beignets| Auteur &gt; Catherine et Pascal Roger</v>
      </c>
      <c r="P190" s="32">
        <f>P187</f>
        <v>6</v>
      </c>
      <c r="Q190" s="31" t="str">
        <f>Q187</f>
        <v>couverts</v>
      </c>
      <c r="R190" s="33" t="str">
        <f>R187</f>
        <v>Recette mère ► Beignets d'acacia</v>
      </c>
      <c r="S190" s="83" t="s">
        <v>92</v>
      </c>
      <c r="T190" s="84" t="s">
        <v>93</v>
      </c>
      <c r="U190" s="85" t="s">
        <v>94</v>
      </c>
      <c r="V190" s="6577"/>
      <c r="W190" s="6471"/>
      <c r="X190" s="6606"/>
      <c r="Y190" s="6739"/>
      <c r="Z190" s="86" t="s">
        <v>95</v>
      </c>
      <c r="AA190" s="87" t="s">
        <v>96</v>
      </c>
      <c r="AB190" s="88">
        <v>1</v>
      </c>
      <c r="AC190" s="6608"/>
      <c r="AD190" s="6583"/>
      <c r="AE190" s="6583"/>
      <c r="AF190" s="6585"/>
      <c r="AG190" s="6786"/>
      <c r="AJ190" s="1666" t="str">
        <f t="shared" si="26"/>
        <v>A</v>
      </c>
      <c r="AK190" s="1616"/>
      <c r="AL190" s="1333" t="s">
        <v>21</v>
      </c>
      <c r="AM190" s="6550"/>
      <c r="AN190" s="438" t="s">
        <v>516</v>
      </c>
      <c r="AO190" s="438"/>
      <c r="AP190" s="438"/>
      <c r="AQ190" s="438"/>
      <c r="AR190" s="9"/>
      <c r="AS190" s="191"/>
      <c r="AV190" s="3">
        <v>1</v>
      </c>
    </row>
    <row r="191" spans="2:48" ht="21" customHeight="1">
      <c r="B191" s="1610" cm="1">
        <f t="array" ref="B191">SUMPRODUCT(LEN(C191:K191))</f>
        <v>0</v>
      </c>
      <c r="C191" s="1810"/>
      <c r="D191" s="1810"/>
      <c r="E191" s="1810"/>
      <c r="F191" s="1810"/>
      <c r="G191" s="1810"/>
      <c r="H191" s="1810"/>
      <c r="I191" s="1810"/>
      <c r="J191" s="1810"/>
      <c r="K191" s="1810"/>
      <c r="L191" s="2126" t="str" cm="1">
        <f t="array" ref="L191">IF(B185&lt;=0,0,ROUNDUP(SUMPRODUCT(LEN(C191:K191))/B185,0))&amp;" ligne(s)"</f>
        <v>0 ligne(s)</v>
      </c>
      <c r="N191" s="1666" t="s">
        <v>10</v>
      </c>
      <c r="O191" s="31" t="str">
        <f>O187</f>
        <v>B BEIGNETS D'ACACIA | pâtisserie--Beignets| Auteur &gt; Catherine et Pascal Roger</v>
      </c>
      <c r="P191" s="32">
        <f>P187</f>
        <v>6</v>
      </c>
      <c r="Q191" s="31" t="str">
        <f>Q187</f>
        <v>couverts</v>
      </c>
      <c r="R191" s="33" t="str">
        <f>R187</f>
        <v>Recette mère ► Beignets d'acacia</v>
      </c>
      <c r="S191" s="89"/>
      <c r="T191" s="108"/>
      <c r="U191" s="1363" t="str">
        <f t="shared" ref="U191:U197" si="31">IF(AND(S191&gt;0,V191&gt;0),"de","")</f>
        <v/>
      </c>
      <c r="V191" s="92">
        <v>125</v>
      </c>
      <c r="W191" s="104" t="s">
        <v>100</v>
      </c>
      <c r="X191" s="130">
        <v>1</v>
      </c>
      <c r="Y191" s="1812" t="str">
        <f>ROWS(Y191:Y191)&amp;" ►"</f>
        <v>1 ►</v>
      </c>
      <c r="Z191" s="1580" t="s">
        <v>8243</v>
      </c>
      <c r="AA191" s="95">
        <f>IF(AC200=0,0,(AC191/AC200)*AB190*1000)</f>
        <v>384.6153846153847</v>
      </c>
      <c r="AB191" s="96">
        <f>IF(AC200=0, 0, (S191*X191)/(AC200*AB190))</f>
        <v>0</v>
      </c>
      <c r="AC191" s="97" cm="1">
        <f t="array" ref="AC191">IFERROR(_xlfn.XLOOKUP(UPPER(TRIM(W191)),UPPER(TRIM(S201:AG201)),S202:AG202,_xlfn.XLOOKUP(UPPER(TRIM(W191)),UPPER(TRIM(S203:AG203)),S204:AG204,0))*V191*IF(S191&gt;0,S191,1),0)</f>
        <v>0.125</v>
      </c>
      <c r="AD191" s="98">
        <f>IF(AF186&lt;&gt;0,S191*X191*X186,0)</f>
        <v>0</v>
      </c>
      <c r="AE191" s="1834">
        <f>T191</f>
        <v>0</v>
      </c>
      <c r="AF191" s="99">
        <f>IF(OR(ISBLANK(AF186),AF186=0),0,AC191*X191*X186)</f>
        <v>1.0416666666666667</v>
      </c>
      <c r="AG191" s="100" t="str">
        <f>IF(W191="","",IF(COUNTIF(Z201:AG201,SUBSTITUTE(TRIM(W191)," (s)",""))+COUNTIF(Z203:AG203,SUBSTITUTE(TRIM(W191)," (s)",""))&gt;0,IF(ROUND(AF191,3)&gt;=1,ROUND(AF191,3)&amp;" L",MAX(1,ROUND(AF191*100,0))&amp;" cl"),IF(COUNTIF(S201:X201,SUBSTITUTE(TRIM(W191)," (s)",""))+COUNTIF(S203:X203,SUBSTITUTE(TRIM(W191)," (s)",""))&gt;0,IF(ROUND(AF191,3)&gt;=1,ROUND(AF191,3)&amp;" Kg",MAX(1,ROUND(AF191*1000,0))&amp;" g"),"")))</f>
        <v>1.042 Kg</v>
      </c>
      <c r="AJ191" s="1666" t="str">
        <f t="shared" si="26"/>
        <v>A</v>
      </c>
      <c r="AK191" s="1616"/>
      <c r="AL191" s="1333" t="s">
        <v>21</v>
      </c>
      <c r="AM191" s="427"/>
      <c r="AN191" s="438"/>
      <c r="AO191" s="438"/>
      <c r="AP191" s="438"/>
      <c r="AQ191" s="438"/>
      <c r="AR191" s="9"/>
      <c r="AS191" s="191"/>
      <c r="AV191" s="3">
        <v>1</v>
      </c>
    </row>
    <row r="192" spans="2:48" ht="21" customHeight="1">
      <c r="B192" s="1610" cm="1">
        <f t="array" ref="B192">SUMPRODUCT(LEN(C192:K192))</f>
        <v>0</v>
      </c>
      <c r="C192" s="1810"/>
      <c r="D192" s="1810"/>
      <c r="E192" s="1810"/>
      <c r="F192" s="1810"/>
      <c r="G192" s="1810"/>
      <c r="H192" s="1810"/>
      <c r="I192" s="1810"/>
      <c r="J192" s="1810"/>
      <c r="K192" s="1810"/>
      <c r="L192" s="2126" t="str" cm="1">
        <f t="array" ref="L192">IF(B185&lt;=0,0,ROUNDUP(SUMPRODUCT(LEN(C192:K192))/B185,0))&amp;" ligne(s)"</f>
        <v>0 ligne(s)</v>
      </c>
      <c r="N192" s="103" t="str">
        <f>IF(Z192&lt;&gt;"","A","►")</f>
        <v>A</v>
      </c>
      <c r="O192" s="31" t="str">
        <f>O187</f>
        <v>B BEIGNETS D'ACACIA | pâtisserie--Beignets| Auteur &gt; Catherine et Pascal Roger</v>
      </c>
      <c r="P192" s="32">
        <f>P187</f>
        <v>6</v>
      </c>
      <c r="Q192" s="31" t="str">
        <f>Q187</f>
        <v>couverts</v>
      </c>
      <c r="R192" s="33" t="str">
        <f>R187</f>
        <v>Recette mère ► Beignets d'acacia</v>
      </c>
      <c r="S192" s="89">
        <v>1</v>
      </c>
      <c r="T192" s="108" t="s">
        <v>8303</v>
      </c>
      <c r="U192" s="91" t="str">
        <f t="shared" si="31"/>
        <v/>
      </c>
      <c r="V192" s="92"/>
      <c r="W192" s="1364"/>
      <c r="X192" s="130">
        <v>1</v>
      </c>
      <c r="Y192" s="1813" t="str">
        <f>ROWS(Y191:Y192)&amp;" ►"</f>
        <v>2 ►</v>
      </c>
      <c r="Z192" s="1580" t="s">
        <v>8318</v>
      </c>
      <c r="AA192" s="95">
        <f>IF(AC200=0,0,(AC192/AC200)*AB190*1000)</f>
        <v>0</v>
      </c>
      <c r="AB192" s="105">
        <f>IF(AC200=0, 0, (S192*X192)/(AC200*AB190))</f>
        <v>3.0769230769230775</v>
      </c>
      <c r="AC192" s="97" cm="1">
        <f t="array" ref="AC192">IFERROR(_xlfn.XLOOKUP(UPPER(TRIM(W192)),UPPER(TRIM(S201:AG201)),S202:AG202,_xlfn.XLOOKUP(UPPER(TRIM(W192)),UPPER(TRIM(S203:AG203)),S204:AG204,0))*V192*IF(S192&gt;0,S192,1),0)</f>
        <v>0</v>
      </c>
      <c r="AD192" s="110">
        <f>IF(AF186&lt;&gt;0,S192*X192*X186,0)</f>
        <v>8.3333333333333339</v>
      </c>
      <c r="AE192" s="1748" t="str">
        <f t="shared" ref="AE192:AE199" si="32">T192</f>
        <v>C/soupe</v>
      </c>
      <c r="AF192" s="99">
        <f>IF(OR(ISBLANK(AF186),AF186=0),0,AC192*X192*X186)</f>
        <v>0</v>
      </c>
      <c r="AG192" s="111" t="str">
        <f>IF(W192="","",IF(COUNTIF(Z201:AG201,SUBSTITUTE(TRIM(W192)," (s)",""))+COUNTIF(Z203:AG203,SUBSTITUTE(TRIM(W192)," (s)",""))&gt;0,IF(ROUND(AF192,3)&gt;=1,ROUND(AF192,3)&amp;" L",MAX(1,ROUND(AF192*100,0))&amp;" cl"),IF(COUNTIF(S201:X201,SUBSTITUTE(TRIM(W192)," (s)",""))+COUNTIF(S203:X203,SUBSTITUTE(TRIM(W192)," (s)",""))&gt;0,IF(ROUND(AF192,3)&gt;=1,ROUND(AF192,3)&amp;" Kg",MAX(1,ROUND(AF192*1000,0))&amp;" g"),"")))</f>
        <v/>
      </c>
      <c r="AJ192" s="103" t="str">
        <f t="shared" si="26"/>
        <v>A</v>
      </c>
      <c r="AK192" s="1616"/>
      <c r="AL192" s="1333" t="s">
        <v>21</v>
      </c>
      <c r="AM192" s="157"/>
      <c r="AN192" s="158"/>
      <c r="AO192" s="159"/>
      <c r="AP192" s="158"/>
      <c r="AQ192" s="158"/>
      <c r="AR192" s="158"/>
      <c r="AS192" s="160"/>
      <c r="AV192" s="3">
        <v>1</v>
      </c>
    </row>
    <row r="193" spans="2:48" ht="21" customHeight="1">
      <c r="B193" s="1610" cm="1">
        <f t="array" ref="B193">SUMPRODUCT(LEN(C193:K193))</f>
        <v>0</v>
      </c>
      <c r="C193" s="1810"/>
      <c r="D193" s="1810"/>
      <c r="E193" s="1810"/>
      <c r="F193" s="1810"/>
      <c r="G193" s="1810"/>
      <c r="H193" s="1810"/>
      <c r="I193" s="1810"/>
      <c r="J193" s="1810"/>
      <c r="K193" s="1810"/>
      <c r="L193" s="2126" t="str" cm="1">
        <f t="array" ref="L193">IF(B185&lt;=0,0,ROUNDUP(SUMPRODUCT(LEN(C193:K193))/B185,0))&amp;" ligne(s)"</f>
        <v>0 ligne(s)</v>
      </c>
      <c r="N193" s="103" t="str">
        <f t="shared" ref="N193:N198" si="33">IF(Z193&lt;&gt;"","A","►")</f>
        <v>A</v>
      </c>
      <c r="O193" s="31" t="str">
        <f>O187</f>
        <v>B BEIGNETS D'ACACIA | pâtisserie--Beignets| Auteur &gt; Catherine et Pascal Roger</v>
      </c>
      <c r="P193" s="32">
        <f>P187</f>
        <v>6</v>
      </c>
      <c r="Q193" s="31" t="str">
        <f>Q187</f>
        <v>couverts</v>
      </c>
      <c r="R193" s="33" t="str">
        <f>R187</f>
        <v>Recette mère ► Beignets d'acacia</v>
      </c>
      <c r="S193" s="89">
        <v>1</v>
      </c>
      <c r="T193" s="108" t="s">
        <v>8245</v>
      </c>
      <c r="U193" s="1363" t="str">
        <f t="shared" si="31"/>
        <v>de</v>
      </c>
      <c r="V193" s="92">
        <v>50</v>
      </c>
      <c r="W193" s="104" t="s">
        <v>100</v>
      </c>
      <c r="X193" s="130">
        <v>1</v>
      </c>
      <c r="Y193" s="1813" t="str">
        <f>ROWS(Y191:Y193)&amp;" ►"</f>
        <v>3 ►</v>
      </c>
      <c r="Z193" s="1580" t="s">
        <v>8280</v>
      </c>
      <c r="AA193" s="95">
        <f>IF(AC200=0,0,(AC193/AC200)*AB190*1000)</f>
        <v>153.8461538461539</v>
      </c>
      <c r="AB193" s="105">
        <f>IF(AC200=0, 0, (S193*X193)/(AC200*AB190))</f>
        <v>3.0769230769230775</v>
      </c>
      <c r="AC193" s="97" cm="1">
        <f t="array" ref="AC193">IFERROR(_xlfn.XLOOKUP(UPPER(TRIM(W193)),UPPER(TRIM(S201:AG201)),S202:AG202,_xlfn.XLOOKUP(UPPER(TRIM(W193)),UPPER(TRIM(S203:AG203)),S204:AG204,0))*V193*IF(S193&gt;0,S193,1),0)</f>
        <v>0.05</v>
      </c>
      <c r="AD193" s="106">
        <f>IF(AF186&lt;&gt;0,S193*X193*X186,0)</f>
        <v>8.3333333333333339</v>
      </c>
      <c r="AE193" s="1747" t="str">
        <f t="shared" si="32"/>
        <v>œuf</v>
      </c>
      <c r="AF193" s="99">
        <f>IF(OR(ISBLANK(AF186),AF186=0),0,AC193*X193*X186)</f>
        <v>0.41666666666666674</v>
      </c>
      <c r="AG193" s="107" t="str">
        <f>IF(W193="","",IF(COUNTIF(Z201:AG201,SUBSTITUTE(TRIM(W193)," (s)",""))+COUNTIF(Z203:AG203,SUBSTITUTE(TRIM(W193)," (s)",""))&gt;0,IF(ROUND(AF193,3)&gt;=1,ROUND(AF193,3)&amp;" L",MAX(1,ROUND(AF193*100,0))&amp;" cl"),IF(COUNTIF(S201:X201,SUBSTITUTE(TRIM(W193)," (s)",""))+COUNTIF(S203:X203,SUBSTITUTE(TRIM(W193)," (s)",""))&gt;0,IF(ROUND(AF193,3)&gt;=1,ROUND(AF193,3)&amp;" Kg",MAX(1,ROUND(AF193*1000,0))&amp;" g"),"")))</f>
        <v>417 g</v>
      </c>
      <c r="AJ193" s="103" t="str">
        <f t="shared" si="26"/>
        <v>A</v>
      </c>
      <c r="AK193" s="1616"/>
      <c r="AL193" s="1333" t="s">
        <v>21</v>
      </c>
      <c r="AM193" s="6551" t="s">
        <v>522</v>
      </c>
      <c r="AN193" s="6552"/>
      <c r="AO193" s="6552"/>
      <c r="AP193" s="6552"/>
      <c r="AQ193" s="6552"/>
      <c r="AR193" s="6552"/>
      <c r="AS193" s="6553"/>
      <c r="AV193" s="3">
        <v>1</v>
      </c>
    </row>
    <row r="194" spans="2:48" ht="21" customHeight="1">
      <c r="B194" s="1610" cm="1">
        <f t="array" ref="B194">SUMPRODUCT(LEN(C194:K194))</f>
        <v>0</v>
      </c>
      <c r="C194" s="1810"/>
      <c r="D194" s="1810"/>
      <c r="E194" s="1810"/>
      <c r="F194" s="1810"/>
      <c r="G194" s="1810"/>
      <c r="H194" s="1810"/>
      <c r="I194" s="1810"/>
      <c r="J194" s="1810"/>
      <c r="K194" s="1810"/>
      <c r="L194" s="2126" t="str" cm="1">
        <f t="array" ref="L194">IF(B185&lt;=0,0,ROUNDUP(SUMPRODUCT(LEN(C194:K194))/B185,0))&amp;" ligne(s)"</f>
        <v>0 ligne(s)</v>
      </c>
      <c r="N194" s="103" t="str">
        <f t="shared" si="33"/>
        <v>A</v>
      </c>
      <c r="O194" s="31" t="str">
        <f>O187</f>
        <v>B BEIGNETS D'ACACIA | pâtisserie--Beignets| Auteur &gt; Catherine et Pascal Roger</v>
      </c>
      <c r="P194" s="32">
        <f>P187</f>
        <v>6</v>
      </c>
      <c r="Q194" s="31" t="str">
        <f>Q187</f>
        <v>couverts</v>
      </c>
      <c r="R194" s="33" t="str">
        <f>R187</f>
        <v>Recette mère ► Beignets d'acacia</v>
      </c>
      <c r="S194" s="89">
        <v>1</v>
      </c>
      <c r="T194" s="108" t="s">
        <v>8283</v>
      </c>
      <c r="U194" s="91" t="str">
        <f t="shared" si="31"/>
        <v/>
      </c>
      <c r="V194" s="92"/>
      <c r="W194" s="1364"/>
      <c r="X194" s="130">
        <v>1</v>
      </c>
      <c r="Y194" s="1813" t="str">
        <f>ROWS(Y191:Y194)&amp;" ►"</f>
        <v>4 ►</v>
      </c>
      <c r="Z194" s="1580" t="s">
        <v>8284</v>
      </c>
      <c r="AA194" s="95">
        <f>IF(AC200=0,0,(AC194/AC200)*AB190*1000)</f>
        <v>0</v>
      </c>
      <c r="AB194" s="105">
        <f>IF(AC200=0, 0, (S194*X194)/(AC200*AB190))</f>
        <v>3.0769230769230775</v>
      </c>
      <c r="AC194" s="97" cm="1">
        <f t="array" ref="AC194">IFERROR(_xlfn.XLOOKUP(UPPER(TRIM(W194)),UPPER(TRIM(S201:AG201)),S202:AG202,_xlfn.XLOOKUP(UPPER(TRIM(W194)),UPPER(TRIM(S203:AG203)),S204:AG204,0))*V194*IF(S194&gt;0,S194,1),0)</f>
        <v>0</v>
      </c>
      <c r="AD194" s="110">
        <f>IF(AF186&lt;&gt;0,S194*X194*X186,0)</f>
        <v>8.3333333333333339</v>
      </c>
      <c r="AE194" s="1748" t="str">
        <f t="shared" si="32"/>
        <v>pincée(s)</v>
      </c>
      <c r="AF194" s="99">
        <f>IF(OR(ISBLANK(AF186),AF186=0),0,AC194*X194*X186)</f>
        <v>0</v>
      </c>
      <c r="AG194" s="129" t="str">
        <f>IF(W194="","",IF(COUNTIF(Z201:AG201,SUBSTITUTE(TRIM(W194)," (s)",""))+COUNTIF(Z203:AG203,SUBSTITUTE(TRIM(W194)," (s)",""))&gt;0,IF(ROUND(AF194,3)&gt;=1,ROUND(AF194,3)&amp;" L",MAX(1,ROUND(AF194*100,0))&amp;" cl"),IF(COUNTIF(S201:X201,SUBSTITUTE(TRIM(W194)," (s)",""))+COUNTIF(S203:X203,SUBSTITUTE(TRIM(W194)," (s)",""))&gt;0,IF(ROUND(AF194,3)&gt;=1,ROUND(AF194,3)&amp;" Kg",MAX(1,ROUND(AF194*1000,0))&amp;" g"),"")))</f>
        <v/>
      </c>
      <c r="AJ194" s="103" t="str">
        <f t="shared" si="26"/>
        <v>A</v>
      </c>
      <c r="AK194" s="1616"/>
      <c r="AL194" s="1333" t="s">
        <v>21</v>
      </c>
      <c r="AM194" s="6551"/>
      <c r="AN194" s="6552"/>
      <c r="AO194" s="6552"/>
      <c r="AP194" s="6552"/>
      <c r="AQ194" s="6552"/>
      <c r="AR194" s="6552"/>
      <c r="AS194" s="6553"/>
      <c r="AV194" s="3">
        <v>1</v>
      </c>
    </row>
    <row r="195" spans="2:48" ht="21" customHeight="1" thickBot="1">
      <c r="B195" s="1610" cm="1">
        <f t="array" ref="B195">SUMPRODUCT(LEN(C195:K195))</f>
        <v>0</v>
      </c>
      <c r="C195" s="1810"/>
      <c r="D195" s="1810"/>
      <c r="E195" s="1810"/>
      <c r="F195" s="1810"/>
      <c r="G195" s="1810"/>
      <c r="H195" s="1810"/>
      <c r="I195" s="1810"/>
      <c r="J195" s="1810"/>
      <c r="K195" s="1810"/>
      <c r="L195" s="2126" t="str" cm="1">
        <f t="array" ref="L195">IF(B185&lt;=0,0,ROUNDUP(SUMPRODUCT(LEN(C195:K195))/B185,0))&amp;" ligne(s)"</f>
        <v>0 ligne(s)</v>
      </c>
      <c r="N195" s="103" t="str">
        <f t="shared" si="33"/>
        <v>A</v>
      </c>
      <c r="O195" s="31" t="str">
        <f>O187</f>
        <v>B BEIGNETS D'ACACIA | pâtisserie--Beignets| Auteur &gt; Catherine et Pascal Roger</v>
      </c>
      <c r="P195" s="32">
        <f>P187</f>
        <v>6</v>
      </c>
      <c r="Q195" s="31" t="str">
        <f>Q187</f>
        <v>couverts</v>
      </c>
      <c r="R195" s="33" t="str">
        <f>R187</f>
        <v>Recette mère ► Beignets d'acacia</v>
      </c>
      <c r="S195" s="89">
        <v>1</v>
      </c>
      <c r="T195" s="108" t="s">
        <v>8300</v>
      </c>
      <c r="U195" s="1363" t="str">
        <f t="shared" si="31"/>
        <v>de</v>
      </c>
      <c r="V195" s="92">
        <v>15</v>
      </c>
      <c r="W195" s="93" t="s">
        <v>144</v>
      </c>
      <c r="X195" s="130">
        <v>1</v>
      </c>
      <c r="Y195" s="1813" t="str">
        <f>ROWS(Y191:Y195)&amp;" ►"</f>
        <v>5 ►</v>
      </c>
      <c r="Z195" s="1580" t="s">
        <v>8319</v>
      </c>
      <c r="AA195" s="95">
        <f>IF(AC200=0,0,(AC195/AC200)*AB190*1000)</f>
        <v>461.53846153846155</v>
      </c>
      <c r="AB195" s="105">
        <f>IF(AC200=0, 0, (S195*X195)/(AC200*AB190))</f>
        <v>3.0769230769230775</v>
      </c>
      <c r="AC195" s="97" cm="1">
        <f t="array" ref="AC195">IFERROR(_xlfn.XLOOKUP(UPPER(TRIM(W195)),UPPER(TRIM(S201:AG201)),S202:AG202,_xlfn.XLOOKUP(UPPER(TRIM(W195)),UPPER(TRIM(S203:AG203)),S204:AG204,0))*V195*IF(S195&gt;0,S195,1),0)</f>
        <v>0.15</v>
      </c>
      <c r="AD195" s="106">
        <f>IF(AF186&lt;&gt;0,S195*X195*X186,0)</f>
        <v>8.3333333333333339</v>
      </c>
      <c r="AE195" s="1747" t="str">
        <f t="shared" si="32"/>
        <v>verre</v>
      </c>
      <c r="AF195" s="99">
        <f>IF(OR(ISBLANK(AF186),AF186=0),0,AC195*X195*X186)</f>
        <v>1.25</v>
      </c>
      <c r="AG195" s="107" t="str">
        <f>IF(W195="","",IF(COUNTIF(Z201:AG201,SUBSTITUTE(TRIM(W195)," (s)",""))+COUNTIF(Z203:AG203,SUBSTITUTE(TRIM(W195)," (s)",""))&gt;0,IF(ROUND(AF195,3)&gt;=1,ROUND(AF195,3)&amp;" L",MAX(1,ROUND(AF195*100,0))&amp;" cl"),IF(COUNTIF(S201:X201,SUBSTITUTE(TRIM(W195)," (s)",""))+COUNTIF(S203:X203,SUBSTITUTE(TRIM(W195)," (s)",""))&gt;0,IF(ROUND(AF195,3)&gt;=1,ROUND(AF195,3)&amp;" Kg",MAX(1,ROUND(AF195*1000,0))&amp;" g"),"")))</f>
        <v>1.25 L</v>
      </c>
      <c r="AJ195" s="103" t="str">
        <f t="shared" si="26"/>
        <v>A</v>
      </c>
      <c r="AK195" s="1616"/>
      <c r="AL195" s="1333" t="s">
        <v>21</v>
      </c>
      <c r="AM195" s="412"/>
      <c r="AN195" s="449" t="s">
        <v>529</v>
      </c>
      <c r="AO195" s="398" t="s">
        <v>530</v>
      </c>
      <c r="AP195" s="229"/>
      <c r="AQ195" s="9"/>
      <c r="AR195" s="9"/>
      <c r="AS195" s="191"/>
      <c r="AV195" s="3">
        <v>1</v>
      </c>
    </row>
    <row r="196" spans="2:48" ht="21" customHeight="1" thickTop="1">
      <c r="B196" s="1610" cm="1">
        <f t="array" ref="B196">SUMPRODUCT(LEN(C196:K196))</f>
        <v>0</v>
      </c>
      <c r="C196" s="1810"/>
      <c r="D196" s="1810"/>
      <c r="E196" s="1810"/>
      <c r="F196" s="1810"/>
      <c r="G196" s="1810"/>
      <c r="H196" s="1810"/>
      <c r="I196" s="1810"/>
      <c r="J196" s="1810"/>
      <c r="K196" s="1810"/>
      <c r="L196" s="2126" t="str" cm="1">
        <f t="array" ref="L196">IF(B185&lt;=0,0,ROUNDUP(SUMPRODUCT(LEN(C196:K196))/B185,0))&amp;" ligne(s)"</f>
        <v>0 ligne(s)</v>
      </c>
      <c r="N196" s="103" t="str">
        <f t="shared" si="33"/>
        <v>A</v>
      </c>
      <c r="O196" s="31" t="str">
        <f>O187</f>
        <v>B BEIGNETS D'ACACIA | pâtisserie--Beignets| Auteur &gt; Catherine et Pascal Roger</v>
      </c>
      <c r="P196" s="32">
        <f>P187</f>
        <v>6</v>
      </c>
      <c r="Q196" s="31" t="str">
        <f>Q187</f>
        <v>couverts</v>
      </c>
      <c r="R196" s="33" t="str">
        <f>R187</f>
        <v>Recette mère ► Beignets d'acacia</v>
      </c>
      <c r="S196" s="89">
        <v>1</v>
      </c>
      <c r="T196" s="108" t="s">
        <v>8283</v>
      </c>
      <c r="U196" s="91" t="str">
        <f t="shared" si="31"/>
        <v/>
      </c>
      <c r="V196" s="92"/>
      <c r="W196" s="1364"/>
      <c r="X196" s="130">
        <v>1</v>
      </c>
      <c r="Y196" s="1813" t="str">
        <f>ROWS(Y191:Y196)&amp;" ►"</f>
        <v>6 ►</v>
      </c>
      <c r="Z196" s="1580" t="s">
        <v>8248</v>
      </c>
      <c r="AA196" s="95">
        <f>IF(AC200=0,0,(AC196/AC200)*AB190*1000)</f>
        <v>0</v>
      </c>
      <c r="AB196" s="105">
        <f>IF(AC200=0, 0, (S196*X196)/(AC200*AB190))</f>
        <v>3.0769230769230775</v>
      </c>
      <c r="AC196" s="97" cm="1">
        <f t="array" ref="AC196">IFERROR(_xlfn.XLOOKUP(UPPER(TRIM(W196)),UPPER(TRIM(S201:AG201)),S202:AG202,_xlfn.XLOOKUP(UPPER(TRIM(W196)),UPPER(TRIM(S203:AG203)),S204:AG204,0))*V196*IF(S196&gt;0,S196,1),0)</f>
        <v>0</v>
      </c>
      <c r="AD196" s="110">
        <f>IF(AF186&lt;&gt;0,S196*X196*X186,0)</f>
        <v>8.3333333333333339</v>
      </c>
      <c r="AE196" s="1748" t="str">
        <f t="shared" si="32"/>
        <v>pincée(s)</v>
      </c>
      <c r="AF196" s="99">
        <f>IF(OR(ISBLANK(AF186),AF186=0),0,AC196*X196*X186)</f>
        <v>0</v>
      </c>
      <c r="AG196" s="129" t="str">
        <f>IF(W196="","",IF(COUNTIF(Z201:AG201,SUBSTITUTE(TRIM(W196)," (s)",""))+COUNTIF(Z203:AG203,SUBSTITUTE(TRIM(W196)," (s)",""))&gt;0,IF(ROUND(AF196,3)&gt;=1,ROUND(AF196,3)&amp;" L",MAX(1,ROUND(AF196*100,0))&amp;" cl"),IF(COUNTIF(S201:X201,SUBSTITUTE(TRIM(W196)," (s)",""))+COUNTIF(S203:X203,SUBSTITUTE(TRIM(W196)," (s)",""))&gt;0,IF(ROUND(AF196,3)&gt;=1,ROUND(AF196,3)&amp;" Kg",MAX(1,ROUND(AF196*1000,0))&amp;" g"),"")))</f>
        <v/>
      </c>
      <c r="AJ196" s="103" t="str">
        <f t="shared" si="26"/>
        <v>A</v>
      </c>
      <c r="AK196" s="1616"/>
      <c r="AL196" s="1333" t="s">
        <v>21</v>
      </c>
      <c r="AM196" s="454"/>
      <c r="AN196" s="455" t="s">
        <v>182</v>
      </c>
      <c r="AO196" s="456">
        <v>18.824999999999999</v>
      </c>
      <c r="AP196" s="457" t="s">
        <v>537</v>
      </c>
      <c r="AQ196" s="458">
        <v>0.15687499999999999</v>
      </c>
      <c r="AR196" s="9"/>
      <c r="AS196" s="38"/>
      <c r="AV196" s="3">
        <v>1</v>
      </c>
    </row>
    <row r="197" spans="2:48" ht="21" customHeight="1">
      <c r="B197" s="1610" cm="1">
        <f t="array" ref="B197">SUMPRODUCT(LEN(C197:K197))</f>
        <v>0</v>
      </c>
      <c r="C197" s="1810"/>
      <c r="D197" s="1810"/>
      <c r="E197" s="1810"/>
      <c r="F197" s="1810"/>
      <c r="G197" s="1810"/>
      <c r="H197" s="1810"/>
      <c r="I197" s="1810"/>
      <c r="J197" s="1810"/>
      <c r="K197" s="1810"/>
      <c r="L197" s="2126" t="str" cm="1">
        <f t="array" ref="L197">IF(B185&lt;=0,0,ROUNDUP(SUMPRODUCT(LEN(C197:K197))/B185,0))&amp;" ligne(s)"</f>
        <v>0 ligne(s)</v>
      </c>
      <c r="N197" s="103" t="str">
        <f t="shared" si="33"/>
        <v>A</v>
      </c>
      <c r="O197" s="31" t="str">
        <f>O187</f>
        <v>B BEIGNETS D'ACACIA | pâtisserie--Beignets| Auteur &gt; Catherine et Pascal Roger</v>
      </c>
      <c r="P197" s="32">
        <f>P187</f>
        <v>6</v>
      </c>
      <c r="Q197" s="31" t="str">
        <f>Q187</f>
        <v>couverts</v>
      </c>
      <c r="R197" s="33" t="str">
        <f>R187</f>
        <v>Recette mère ► Beignets d'acacia</v>
      </c>
      <c r="S197" s="89"/>
      <c r="T197" s="108" t="s">
        <v>8252</v>
      </c>
      <c r="U197" s="1363" t="str">
        <f t="shared" si="31"/>
        <v/>
      </c>
      <c r="V197" s="92"/>
      <c r="W197" s="1364"/>
      <c r="X197" s="130">
        <v>1</v>
      </c>
      <c r="Y197" s="1813" t="str">
        <f>ROWS(Y191:Y197)&amp;" ►"</f>
        <v>7 ►</v>
      </c>
      <c r="Z197" s="1580" t="s">
        <v>8320</v>
      </c>
      <c r="AA197" s="95">
        <f>IF(AC200=0,0,(AC197/AC200)*AB190*1000)</f>
        <v>0</v>
      </c>
      <c r="AB197" s="105">
        <f>IF(AC200=0, 0, (S197*X197)/(AC200*AB190))</f>
        <v>0</v>
      </c>
      <c r="AC197" s="97" cm="1">
        <f t="array" ref="AC197">IFERROR(_xlfn.XLOOKUP(UPPER(TRIM(W197)),UPPER(TRIM(S201:AG201)),S202:AG202,_xlfn.XLOOKUP(UPPER(TRIM(W197)),UPPER(TRIM(S203:AG203)),S204:AG204,0))*V197*IF(S197&gt;0,S197,1),0)</f>
        <v>0</v>
      </c>
      <c r="AD197" s="106">
        <f>IF(AF186&lt;&gt;0,S197*X197*X186,0)</f>
        <v>0</v>
      </c>
      <c r="AE197" s="1747" t="str">
        <f t="shared" si="32"/>
        <v>PM</v>
      </c>
      <c r="AF197" s="99">
        <f>IF(OR(ISBLANK(AF186),AF186=0),0,AC197*X197*X186)</f>
        <v>0</v>
      </c>
      <c r="AG197" s="107" t="str">
        <f>IF(W197="","",IF(COUNTIF(Z201:AG201,SUBSTITUTE(TRIM(W197)," (s)",""))+COUNTIF(Z203:AG203,SUBSTITUTE(TRIM(W197)," (s)",""))&gt;0,IF(ROUND(AF197,3)&gt;=1,ROUND(AF197,3)&amp;" L",MAX(1,ROUND(AF197*100,0))&amp;" cl"),IF(COUNTIF(S201:X201,SUBSTITUTE(TRIM(W197)," (s)",""))+COUNTIF(S203:X203,SUBSTITUTE(TRIM(W197)," (s)",""))&gt;0,IF(ROUND(AF197,3)&gt;=1,ROUND(AF197,3)&amp;" Kg",MAX(1,ROUND(AF197*1000,0))&amp;" g"),"")))</f>
        <v/>
      </c>
      <c r="AJ197" s="103" t="str">
        <f t="shared" si="26"/>
        <v>A</v>
      </c>
      <c r="AK197" s="1616"/>
      <c r="AL197" s="1333" t="s">
        <v>21</v>
      </c>
      <c r="AM197" s="459"/>
      <c r="AN197" s="460" t="s">
        <v>529</v>
      </c>
      <c r="AO197" s="461" t="s">
        <v>539</v>
      </c>
      <c r="AP197" s="437"/>
      <c r="AQ197" s="437"/>
      <c r="AR197" s="9"/>
      <c r="AS197" s="38"/>
      <c r="AV197" s="3">
        <v>1</v>
      </c>
    </row>
    <row r="198" spans="2:48" ht="21" customHeight="1">
      <c r="B198" s="1610" cm="1">
        <f t="array" ref="B198">SUMPRODUCT(LEN(C198:K198))</f>
        <v>0</v>
      </c>
      <c r="C198" s="1810"/>
      <c r="D198" s="1810"/>
      <c r="E198" s="1810"/>
      <c r="F198" s="1810"/>
      <c r="G198" s="1810"/>
      <c r="H198" s="1810"/>
      <c r="I198" s="1810"/>
      <c r="J198" s="1810"/>
      <c r="K198" s="1810"/>
      <c r="L198" s="2126" t="str" cm="1">
        <f t="array" ref="L198">IF(B185&lt;=0,0,ROUNDUP(SUMPRODUCT(LEN(C198:K198))/B185,0))&amp;" ligne(s)"</f>
        <v>0 ligne(s)</v>
      </c>
      <c r="N198" s="103" t="str">
        <f t="shared" si="33"/>
        <v>►</v>
      </c>
      <c r="O198" s="31" t="str">
        <f>O187</f>
        <v>B BEIGNETS D'ACACIA | pâtisserie--Beignets| Auteur &gt; Catherine et Pascal Roger</v>
      </c>
      <c r="P198" s="32">
        <f>P187</f>
        <v>6</v>
      </c>
      <c r="Q198" s="31" t="str">
        <f>Q187</f>
        <v>couverts</v>
      </c>
      <c r="R198" s="33" t="str">
        <f>R187</f>
        <v>Recette mère ► Beignets d'acacia</v>
      </c>
      <c r="S198" s="89"/>
      <c r="T198" s="108"/>
      <c r="U198" s="91" t="str">
        <f t="shared" ref="U198:U199" si="34">IF(OR(ISTEXT(S198), S198&lt;=0, V198&lt;=0), "", "de")</f>
        <v/>
      </c>
      <c r="V198" s="92"/>
      <c r="W198" s="128"/>
      <c r="X198" s="130">
        <v>1</v>
      </c>
      <c r="Y198" s="1813" t="str">
        <f>ROWS(Y191:Y198)&amp;" ►"</f>
        <v>8 ►</v>
      </c>
      <c r="Z198" s="1580"/>
      <c r="AA198" s="95">
        <f>IF(AC200=0,0,(AC198/AC200)*AB190*1000)</f>
        <v>0</v>
      </c>
      <c r="AB198" s="105">
        <f>IF(AC200=0, 0, (S198*X198)/(AC200*AB190))</f>
        <v>0</v>
      </c>
      <c r="AC198" s="97" cm="1">
        <f t="array" ref="AC198">IFERROR(_xlfn.XLOOKUP(UPPER(TRIM(W198)),UPPER(TRIM(S201:AG201)),S202:AG202,_xlfn.XLOOKUP(UPPER(TRIM(W198)),UPPER(TRIM(S203:AG203)),S204:AG204,0))*V198*IF(S198&gt;0,S198,1),0)</f>
        <v>0</v>
      </c>
      <c r="AD198" s="110">
        <f>IF(AF186&lt;&gt;0,S198*X198*X186,0)</f>
        <v>0</v>
      </c>
      <c r="AE198" s="1748">
        <f t="shared" si="32"/>
        <v>0</v>
      </c>
      <c r="AF198" s="99">
        <f>IF(OR(ISBLANK(AF186),AF186=0),0,AC198*X198*X186)</f>
        <v>0</v>
      </c>
      <c r="AG198" s="129" t="str">
        <f>IF(W198="","",IF(COUNTIF(Z201:AG201,SUBSTITUTE(TRIM(W198)," (s)",""))+COUNTIF(Z203:AG203,SUBSTITUTE(TRIM(W198)," (s)",""))&gt;0,IF(ROUND(AF198,3)&gt;=1,ROUND(AF198,3)&amp;" L",MAX(1,ROUND(AF198*100,0))&amp;" cl"),IF(COUNTIF(S201:X201,SUBSTITUTE(TRIM(W198)," (s)",""))+COUNTIF(S203:X203,SUBSTITUTE(TRIM(W198)," (s)",""))&gt;0,IF(ROUND(AF198,3)&gt;=1,ROUND(AF198,3)&amp;" Kg",MAX(1,ROUND(AF198*1000,0))&amp;" g"),"")))</f>
        <v/>
      </c>
      <c r="AJ198" s="103" t="str">
        <f t="shared" si="26"/>
        <v>►</v>
      </c>
      <c r="AK198" s="1616"/>
      <c r="AL198" s="1333" t="s">
        <v>21</v>
      </c>
      <c r="AM198" s="459"/>
      <c r="AN198" s="462">
        <v>1</v>
      </c>
      <c r="AO198" s="463">
        <v>1.5</v>
      </c>
      <c r="AP198" s="437"/>
      <c r="AQ198" s="437"/>
      <c r="AR198" s="9"/>
      <c r="AS198" s="38"/>
      <c r="AV198" s="3">
        <v>1</v>
      </c>
    </row>
    <row r="199" spans="2:48" ht="21" customHeight="1">
      <c r="B199" s="1610" cm="1">
        <f t="array" ref="B199">SUMPRODUCT(LEN(C199:K199))</f>
        <v>0</v>
      </c>
      <c r="C199" s="1810"/>
      <c r="D199" s="1810"/>
      <c r="E199" s="1810"/>
      <c r="F199" s="1810"/>
      <c r="G199" s="1810"/>
      <c r="H199" s="1810"/>
      <c r="I199" s="1810"/>
      <c r="J199" s="1810"/>
      <c r="K199" s="1810"/>
      <c r="L199" s="2126" t="str" cm="1">
        <f t="array" ref="L199">IF(B185&lt;=0,0,ROUNDUP(SUMPRODUCT(LEN(C199:K199))/B185,0))&amp;" ligne(s)"</f>
        <v>0 ligne(s)</v>
      </c>
      <c r="N199" s="1666" t="s">
        <v>10</v>
      </c>
      <c r="O199" s="31" t="str">
        <f>O187</f>
        <v>B BEIGNETS D'ACACIA | pâtisserie--Beignets| Auteur &gt; Catherine et Pascal Roger</v>
      </c>
      <c r="P199" s="32">
        <f>P187</f>
        <v>6</v>
      </c>
      <c r="Q199" s="31" t="str">
        <f>Q187</f>
        <v>couverts</v>
      </c>
      <c r="R199" s="33" t="str">
        <f>R187</f>
        <v>Recette mère ► Beignets d'acacia</v>
      </c>
      <c r="S199" s="1198"/>
      <c r="T199" s="1199"/>
      <c r="U199" s="91" t="str">
        <f t="shared" si="34"/>
        <v/>
      </c>
      <c r="V199" s="1200"/>
      <c r="W199" s="128"/>
      <c r="X199" s="1201">
        <v>1</v>
      </c>
      <c r="Y199" s="1813" t="str">
        <f>ROWS(Y191:Y199)&amp;" ►"</f>
        <v>9 ►</v>
      </c>
      <c r="Z199" s="1580"/>
      <c r="AA199" s="95">
        <f>IF(AC200=0,0,(AC199/AC200)*AB190*1000)</f>
        <v>0</v>
      </c>
      <c r="AB199" s="105">
        <f>IF(AC200=0, 0, (S199*X199)/(AC200*AB190))</f>
        <v>0</v>
      </c>
      <c r="AC199" s="97" cm="1">
        <f t="array" ref="AC199">IFERROR(_xlfn.XLOOKUP(UPPER(TRIM(W199)),UPPER(TRIM(S201:AG201)),S202:AG202,_xlfn.XLOOKUP(UPPER(TRIM(W199)),UPPER(TRIM(S203:AG203)),S204:AG204,0))*V199*IF(S199&gt;0,S199,1),0)</f>
        <v>0</v>
      </c>
      <c r="AD199" s="110">
        <f>IF(AF186&lt;&gt;0,S199*X199*X186,0)</f>
        <v>0</v>
      </c>
      <c r="AE199" s="1748">
        <f t="shared" si="32"/>
        <v>0</v>
      </c>
      <c r="AF199" s="99">
        <f>IF(OR(ISBLANK(AF186),AF186=0),0,AC199*X199*X186)</f>
        <v>0</v>
      </c>
      <c r="AG199" s="129" t="str">
        <f>IF(W199="","",IF(COUNTIF(Z201:AG201,SUBSTITUTE(TRIM(W199)," (s)",""))+COUNTIF(Z203:AG203,SUBSTITUTE(TRIM(W199)," (s)",""))&gt;0,IF(ROUND(AF199,3)&gt;=1,ROUND(AF199,3)&amp;" L",MAX(1,ROUND(AF199*100,0))&amp;" cl"),IF(COUNTIF(S201:X201,SUBSTITUTE(TRIM(W199)," (s)",""))+COUNTIF(S203:X203,SUBSTITUTE(TRIM(W199)," (s)",""))&gt;0,IF(ROUND(AF199,3)&gt;=1,ROUND(AF199,3)&amp;" Kg",MAX(1,ROUND(AF199*1000,0))&amp;" g"),"")))</f>
        <v/>
      </c>
      <c r="AJ199" s="1666" t="str">
        <f t="shared" si="26"/>
        <v>A</v>
      </c>
      <c r="AK199" s="1616"/>
      <c r="AL199" s="1333" t="s">
        <v>21</v>
      </c>
      <c r="AM199" s="459"/>
      <c r="AN199" s="9"/>
      <c r="AO199" s="9"/>
      <c r="AP199" s="9"/>
      <c r="AQ199" s="9"/>
      <c r="AR199" s="9"/>
      <c r="AS199" s="38"/>
      <c r="AV199" s="3">
        <v>1</v>
      </c>
    </row>
    <row r="200" spans="2:48" ht="21" customHeight="1">
      <c r="B200" s="1610" cm="1">
        <f t="array" ref="B200">SUMPRODUCT(LEN(C200:K200))</f>
        <v>0</v>
      </c>
      <c r="C200" s="1810"/>
      <c r="D200" s="1810"/>
      <c r="E200" s="1810"/>
      <c r="F200" s="1810"/>
      <c r="G200" s="1810"/>
      <c r="H200" s="1810"/>
      <c r="I200" s="1810"/>
      <c r="J200" s="1810"/>
      <c r="K200" s="1810"/>
      <c r="L200" s="2126" t="str" cm="1">
        <f t="array" ref="L200">IF(B185&lt;=0,0,ROUNDUP(SUMPRODUCT(LEN(C200:K200))/B185,0))&amp;" ligne(s)"</f>
        <v>0 ligne(s)</v>
      </c>
      <c r="N200" s="1666" t="s">
        <v>10</v>
      </c>
      <c r="O200" s="31" t="str">
        <f>O187</f>
        <v>B BEIGNETS D'ACACIA | pâtisserie--Beignets| Auteur &gt; Catherine et Pascal Roger</v>
      </c>
      <c r="P200" s="32">
        <f>P187</f>
        <v>6</v>
      </c>
      <c r="Q200" s="31" t="str">
        <f>Q187</f>
        <v>couverts</v>
      </c>
      <c r="R200" s="33" t="str">
        <f>R187</f>
        <v>Recette mère ► Beignets d'acacia</v>
      </c>
      <c r="S200" s="680" t="s">
        <v>8411</v>
      </c>
      <c r="T200" s="474"/>
      <c r="U200" s="474"/>
      <c r="V200" s="474"/>
      <c r="W200" s="474"/>
      <c r="X200" s="681"/>
      <c r="Y200" s="681"/>
      <c r="Z200" s="1984" t="s">
        <v>8652</v>
      </c>
      <c r="AA200" s="682"/>
      <c r="AB200" s="682"/>
      <c r="AC200" s="1197">
        <f>SUM(AC191:AC199)</f>
        <v>0.32499999999999996</v>
      </c>
      <c r="AD200" s="683"/>
      <c r="AE200" s="683" t="str">
        <f>"Total " &amp; AF188&amp;" &gt;"</f>
        <v>Total Col.19 &gt;</v>
      </c>
      <c r="AF200" s="1835">
        <f>SUM(AF191:AF199)</f>
        <v>2.7083333333333335</v>
      </c>
      <c r="AG200" s="684"/>
      <c r="AJ200" s="1666" t="str">
        <f t="shared" si="26"/>
        <v>A</v>
      </c>
      <c r="AK200" s="1616"/>
      <c r="AL200" s="1333" t="s">
        <v>21</v>
      </c>
      <c r="AM200" s="412"/>
      <c r="AN200" s="464" t="s">
        <v>544</v>
      </c>
      <c r="AO200" s="465"/>
      <c r="AP200" s="229"/>
      <c r="AQ200" s="9"/>
      <c r="AR200" s="9"/>
      <c r="AS200" s="191"/>
      <c r="AV200" s="3">
        <v>1</v>
      </c>
    </row>
    <row r="201" spans="2:48" ht="21" customHeight="1" thickBot="1">
      <c r="B201" s="1610" cm="1">
        <f t="array" ref="B201">SUMPRODUCT(LEN(C201:K201))</f>
        <v>0</v>
      </c>
      <c r="C201" s="1810"/>
      <c r="D201" s="1810"/>
      <c r="E201" s="1810"/>
      <c r="F201" s="1810"/>
      <c r="G201" s="1810"/>
      <c r="H201" s="1810"/>
      <c r="I201" s="1810"/>
      <c r="J201" s="1810"/>
      <c r="K201" s="1810"/>
      <c r="L201" s="2126" t="str" cm="1">
        <f t="array" ref="L201">IF(B185&lt;=0,0,ROUNDUP(SUMPRODUCT(LEN(C201:K201))/B185,0))&amp;" ligne(s)"</f>
        <v>0 ligne(s)</v>
      </c>
      <c r="N201" s="1666" t="s">
        <v>10</v>
      </c>
      <c r="O201" s="31" t="str">
        <f>O187</f>
        <v>B BEIGNETS D'ACACIA | pâtisserie--Beignets| Auteur &gt; Catherine et Pascal Roger</v>
      </c>
      <c r="P201" s="32">
        <f>P187</f>
        <v>6</v>
      </c>
      <c r="Q201" s="31" t="str">
        <f>Q187</f>
        <v>couverts</v>
      </c>
      <c r="R201" s="33" t="str">
        <f>R187</f>
        <v>Recette mère ► Beignets d'acacia</v>
      </c>
      <c r="S201" s="142" t="s">
        <v>140</v>
      </c>
      <c r="T201" s="104" t="s">
        <v>100</v>
      </c>
      <c r="U201" s="143" t="s">
        <v>141</v>
      </c>
      <c r="V201" s="144" t="s">
        <v>142</v>
      </c>
      <c r="W201" s="118" t="s">
        <v>143</v>
      </c>
      <c r="X201" s="118" t="s">
        <v>109</v>
      </c>
      <c r="Y201" s="143" t="s">
        <v>141</v>
      </c>
      <c r="Z201" s="93" t="s">
        <v>0</v>
      </c>
      <c r="AA201" s="93" t="s">
        <v>97</v>
      </c>
      <c r="AB201" s="93" t="s">
        <v>144</v>
      </c>
      <c r="AC201" s="93" t="s">
        <v>145</v>
      </c>
      <c r="AD201" s="109" t="s">
        <v>104</v>
      </c>
      <c r="AE201" s="109" t="s">
        <v>359</v>
      </c>
      <c r="AF201" s="335" t="s">
        <v>146</v>
      </c>
      <c r="AG201" s="109" t="s">
        <v>147</v>
      </c>
      <c r="AJ201" s="1666" t="str">
        <f t="shared" si="26"/>
        <v>A</v>
      </c>
      <c r="AK201" s="1616"/>
      <c r="AL201" s="1333" t="s">
        <v>21</v>
      </c>
      <c r="AM201" s="412"/>
      <c r="AN201" s="465" t="s">
        <v>547</v>
      </c>
      <c r="AO201" s="437"/>
      <c r="AP201" s="437"/>
      <c r="AQ201" s="9"/>
      <c r="AR201" s="9"/>
      <c r="AS201" s="191"/>
      <c r="AV201" s="3">
        <v>1</v>
      </c>
    </row>
    <row r="202" spans="2:48" ht="21" customHeight="1" thickTop="1">
      <c r="B202" s="1610" cm="1">
        <f t="array" ref="B202">SUMPRODUCT(LEN(C202:K202))</f>
        <v>0</v>
      </c>
      <c r="C202" s="1810"/>
      <c r="D202" s="1810"/>
      <c r="E202" s="1810"/>
      <c r="F202" s="1810"/>
      <c r="G202" s="1810"/>
      <c r="H202" s="1810"/>
      <c r="I202" s="1810"/>
      <c r="J202" s="1810"/>
      <c r="K202" s="1810"/>
      <c r="L202" s="2126" t="str" cm="1">
        <f t="array" ref="L202">IF(B185&lt;=0,0,ROUNDUP(SUMPRODUCT(LEN(C202:K202))/B185,0))&amp;" ligne(s)"</f>
        <v>0 ligne(s)</v>
      </c>
      <c r="N202" s="1666" t="s">
        <v>10</v>
      </c>
      <c r="O202" s="31" t="str">
        <f>O187</f>
        <v>B BEIGNETS D'ACACIA | pâtisserie--Beignets| Auteur &gt; Catherine et Pascal Roger</v>
      </c>
      <c r="P202" s="32">
        <f>P187</f>
        <v>6</v>
      </c>
      <c r="Q202" s="31" t="str">
        <f>Q187</f>
        <v>couverts</v>
      </c>
      <c r="R202" s="33" t="str">
        <f>R187</f>
        <v>Recette mère ► Beignets d'acacia</v>
      </c>
      <c r="S202" s="685">
        <v>1</v>
      </c>
      <c r="T202" s="686">
        <v>1E-3</v>
      </c>
      <c r="U202" s="687">
        <v>0</v>
      </c>
      <c r="V202" s="686">
        <v>0.25</v>
      </c>
      <c r="W202" s="686">
        <v>0.33332999999999996</v>
      </c>
      <c r="X202" s="686">
        <v>0.5</v>
      </c>
      <c r="Y202" s="687">
        <v>0</v>
      </c>
      <c r="Z202" s="688">
        <v>1</v>
      </c>
      <c r="AA202" s="688">
        <v>0.1</v>
      </c>
      <c r="AB202" s="688">
        <v>0.01</v>
      </c>
      <c r="AC202" s="688">
        <v>1E-3</v>
      </c>
      <c r="AD202" s="688">
        <v>0.5</v>
      </c>
      <c r="AE202" s="688">
        <v>0.25</v>
      </c>
      <c r="AF202" s="688">
        <v>0.33300000000000002</v>
      </c>
      <c r="AG202" s="1756">
        <v>0.2</v>
      </c>
      <c r="AJ202" s="1666" t="str">
        <f t="shared" si="26"/>
        <v>A</v>
      </c>
      <c r="AK202" s="1616"/>
      <c r="AL202" s="1333" t="s">
        <v>21</v>
      </c>
      <c r="AM202" s="412"/>
      <c r="AN202" s="466"/>
      <c r="AO202" s="467"/>
      <c r="AP202" s="6554" t="s">
        <v>549</v>
      </c>
      <c r="AQ202" s="9"/>
      <c r="AR202" s="9"/>
      <c r="AS202" s="191"/>
      <c r="AV202" s="3">
        <v>1</v>
      </c>
    </row>
    <row r="203" spans="2:48" ht="21" customHeight="1">
      <c r="B203" s="1610" cm="1">
        <f t="array" ref="B203">SUMPRODUCT(LEN(C203:K203))</f>
        <v>0</v>
      </c>
      <c r="C203" s="1810"/>
      <c r="D203" s="1810"/>
      <c r="E203" s="1810"/>
      <c r="F203" s="1810"/>
      <c r="G203" s="1810"/>
      <c r="H203" s="1810"/>
      <c r="I203" s="1810"/>
      <c r="J203" s="1810"/>
      <c r="K203" s="1810"/>
      <c r="L203" s="2126" t="str" cm="1">
        <f t="array" ref="L203">IF(B185&lt;=0,0,ROUNDUP(SUMPRODUCT(LEN(C203:K203))/B185,0))&amp;" ligne(s)"</f>
        <v>0 ligne(s)</v>
      </c>
      <c r="N203" s="1666" t="s">
        <v>10</v>
      </c>
      <c r="O203" s="31" t="str">
        <f>O187</f>
        <v>B BEIGNETS D'ACACIA | pâtisserie--Beignets| Auteur &gt; Catherine et Pascal Roger</v>
      </c>
      <c r="P203" s="32">
        <f>P187</f>
        <v>6</v>
      </c>
      <c r="Q203" s="31" t="str">
        <f>Q187</f>
        <v>couverts</v>
      </c>
      <c r="R203" s="33" t="str">
        <f>R187</f>
        <v>Recette mère ► Beignets d'acacia</v>
      </c>
      <c r="S203" s="121" t="s">
        <v>155</v>
      </c>
      <c r="T203" s="121" t="s">
        <v>156</v>
      </c>
      <c r="U203" s="143" t="s">
        <v>141</v>
      </c>
      <c r="V203" s="121" t="s">
        <v>110</v>
      </c>
      <c r="W203" s="121" t="s">
        <v>157</v>
      </c>
      <c r="X203" s="121" t="s">
        <v>158</v>
      </c>
      <c r="Y203" s="143" t="s">
        <v>141</v>
      </c>
      <c r="Z203" s="125" t="s">
        <v>115</v>
      </c>
      <c r="AA203" s="155" t="s">
        <v>159</v>
      </c>
      <c r="AB203" s="155" t="s">
        <v>160</v>
      </c>
      <c r="AC203" s="109" t="s">
        <v>161</v>
      </c>
      <c r="AD203" s="109" t="s">
        <v>162</v>
      </c>
      <c r="AE203" s="109" t="s">
        <v>105</v>
      </c>
      <c r="AF203" s="1758" t="s">
        <v>1689</v>
      </c>
      <c r="AG203" s="697" t="s">
        <v>163</v>
      </c>
      <c r="AJ203" s="1666" t="str">
        <f t="shared" ref="AJ203:AJ266" si="35">N203</f>
        <v>A</v>
      </c>
      <c r="AK203" s="1616"/>
      <c r="AL203" s="1333" t="s">
        <v>21</v>
      </c>
      <c r="AM203" s="412"/>
      <c r="AN203" s="468" t="s">
        <v>270</v>
      </c>
      <c r="AO203" s="469" t="s">
        <v>553</v>
      </c>
      <c r="AP203" s="6555"/>
      <c r="AQ203" s="229"/>
      <c r="AR203" s="9"/>
      <c r="AS203" s="191"/>
      <c r="AV203" s="3">
        <v>1</v>
      </c>
    </row>
    <row r="204" spans="2:48" ht="21" customHeight="1">
      <c r="B204" s="1610" cm="1">
        <f t="array" ref="B204">SUMPRODUCT(LEN(C204:K204))</f>
        <v>0</v>
      </c>
      <c r="C204" s="1810"/>
      <c r="D204" s="1810"/>
      <c r="E204" s="1810"/>
      <c r="F204" s="1810"/>
      <c r="G204" s="1810"/>
      <c r="H204" s="1810"/>
      <c r="I204" s="1810"/>
      <c r="J204" s="1810"/>
      <c r="K204" s="1810"/>
      <c r="L204" s="2126" t="str" cm="1">
        <f t="array" ref="L204">IF(B185&lt;=0,0,ROUNDUP(SUMPRODUCT(LEN(C204:K204))/B185,0))&amp;" ligne(s)"</f>
        <v>0 ligne(s)</v>
      </c>
      <c r="N204" s="1666" t="s">
        <v>10</v>
      </c>
      <c r="O204" s="31" t="str">
        <f>O187</f>
        <v>B BEIGNETS D'ACACIA | pâtisserie--Beignets| Auteur &gt; Catherine et Pascal Roger</v>
      </c>
      <c r="P204" s="32">
        <f>P187</f>
        <v>6</v>
      </c>
      <c r="Q204" s="31" t="str">
        <f>Q187</f>
        <v>couverts</v>
      </c>
      <c r="R204" s="33" t="str">
        <f>R187</f>
        <v>Recette mère ► Beignets d'acacia</v>
      </c>
      <c r="S204" s="685">
        <v>2.835E-2</v>
      </c>
      <c r="T204" s="686">
        <v>0.13</v>
      </c>
      <c r="U204" s="687">
        <v>0</v>
      </c>
      <c r="V204" s="686">
        <v>0.2</v>
      </c>
      <c r="W204" s="686">
        <v>0.23</v>
      </c>
      <c r="X204" s="686">
        <v>0.22500000000000001</v>
      </c>
      <c r="Y204" s="687">
        <v>0</v>
      </c>
      <c r="Z204" s="688">
        <v>0.35</v>
      </c>
      <c r="AA204" s="688">
        <v>5.0000000000000001E-3</v>
      </c>
      <c r="AB204" s="688">
        <v>5.0000000000000001E-3</v>
      </c>
      <c r="AC204" s="688">
        <v>1.4999999999999999E-2</v>
      </c>
      <c r="AD204" s="688">
        <v>0.1</v>
      </c>
      <c r="AE204" s="688">
        <v>0.22500000000000001</v>
      </c>
      <c r="AF204" s="688">
        <v>4.0000000000000001E-3</v>
      </c>
      <c r="AG204" s="1757">
        <v>1E-3</v>
      </c>
      <c r="AJ204" s="1666" t="str">
        <f t="shared" si="35"/>
        <v>A</v>
      </c>
      <c r="AK204" s="1616"/>
      <c r="AL204" s="1333" t="s">
        <v>21</v>
      </c>
      <c r="AM204" s="412"/>
      <c r="AN204" s="470">
        <v>20</v>
      </c>
      <c r="AO204" s="99">
        <v>0.75</v>
      </c>
      <c r="AP204" s="471" t="s">
        <v>556</v>
      </c>
      <c r="AQ204" s="229"/>
      <c r="AR204" s="9"/>
      <c r="AS204" s="191"/>
      <c r="AV204" s="3">
        <v>1</v>
      </c>
    </row>
    <row r="205" spans="2:48" ht="21" customHeight="1">
      <c r="B205" s="1610" cm="1">
        <f t="array" ref="B205">SUMPRODUCT(LEN(C205:K205))</f>
        <v>0</v>
      </c>
      <c r="C205" s="1810"/>
      <c r="D205" s="1810"/>
      <c r="E205" s="1810"/>
      <c r="F205" s="1810"/>
      <c r="G205" s="1810"/>
      <c r="H205" s="1810"/>
      <c r="I205" s="1810"/>
      <c r="J205" s="1810"/>
      <c r="K205" s="1810"/>
      <c r="L205" s="2126" t="str" cm="1">
        <f t="array" ref="L205">IF(B185&lt;=0,0,ROUNDUP(SUMPRODUCT(LEN(C205:K205))/B185,0))&amp;" ligne(s)"</f>
        <v>0 ligne(s)</v>
      </c>
      <c r="N205" s="1666" t="s">
        <v>15</v>
      </c>
      <c r="O205" s="5584" t="str">
        <f t="shared" ref="O205:AG205" si="36">SUBSTITUTE(ADDRESS(1,COLUMN(),4),"1","")</f>
        <v>O</v>
      </c>
      <c r="P205" s="5584" t="str">
        <f t="shared" si="36"/>
        <v>P</v>
      </c>
      <c r="Q205" s="5584" t="str">
        <f t="shared" si="36"/>
        <v>Q</v>
      </c>
      <c r="R205" s="5584" t="str">
        <f t="shared" si="36"/>
        <v>R</v>
      </c>
      <c r="S205" s="5584" t="str">
        <f t="shared" si="36"/>
        <v>S</v>
      </c>
      <c r="T205" s="5584" t="str">
        <f t="shared" si="36"/>
        <v>T</v>
      </c>
      <c r="U205" s="5584" t="str">
        <f t="shared" si="36"/>
        <v>U</v>
      </c>
      <c r="V205" s="5584" t="str">
        <f t="shared" si="36"/>
        <v>V</v>
      </c>
      <c r="W205" s="5584" t="str">
        <f t="shared" si="36"/>
        <v>W</v>
      </c>
      <c r="X205" s="5584" t="str">
        <f t="shared" si="36"/>
        <v>X</v>
      </c>
      <c r="Y205" s="6018" t="str">
        <f t="shared" si="36"/>
        <v>Y</v>
      </c>
      <c r="Z205" s="5586" t="str">
        <f t="shared" si="36"/>
        <v>Z</v>
      </c>
      <c r="AA205" s="5586" t="str">
        <f t="shared" si="36"/>
        <v>AA</v>
      </c>
      <c r="AB205" s="5586" t="str">
        <f t="shared" si="36"/>
        <v>AB</v>
      </c>
      <c r="AC205" s="5586" t="str">
        <f t="shared" si="36"/>
        <v>AC</v>
      </c>
      <c r="AD205" s="6018" t="str">
        <f t="shared" si="36"/>
        <v>AD</v>
      </c>
      <c r="AE205" s="5586" t="str">
        <f t="shared" si="36"/>
        <v>AE</v>
      </c>
      <c r="AF205" s="5586" t="str">
        <f t="shared" si="36"/>
        <v>AF</v>
      </c>
      <c r="AG205" s="6020" t="str">
        <f t="shared" si="36"/>
        <v>AG</v>
      </c>
      <c r="AH205" s="6628" t="s">
        <v>8774</v>
      </c>
      <c r="AJ205" s="1666" t="str">
        <f t="shared" si="35"/>
        <v>►</v>
      </c>
      <c r="AK205" s="1616"/>
      <c r="AL205" s="1333" t="s">
        <v>21</v>
      </c>
      <c r="AM205" s="412"/>
      <c r="AN205" s="433" t="s">
        <v>557</v>
      </c>
      <c r="AO205" s="472"/>
      <c r="AP205" s="472"/>
      <c r="AQ205" s="229"/>
      <c r="AR205" s="9"/>
      <c r="AS205" s="191"/>
      <c r="AV205" s="3">
        <v>1</v>
      </c>
    </row>
    <row r="206" spans="2:48" ht="21" customHeight="1">
      <c r="B206" s="1610" cm="1">
        <f t="array" ref="B206">SUMPRODUCT(LEN(C206:K206))</f>
        <v>0</v>
      </c>
      <c r="C206" s="1810"/>
      <c r="D206" s="1810"/>
      <c r="E206" s="1810"/>
      <c r="F206" s="1810"/>
      <c r="G206" s="1810"/>
      <c r="H206" s="1810"/>
      <c r="I206" s="1810"/>
      <c r="J206" s="1810"/>
      <c r="K206" s="1810"/>
      <c r="L206" s="2126" t="str" cm="1">
        <f t="array" ref="L206">IF(B185&lt;=0,0,ROUNDUP(SUMPRODUCT(LEN(C206:K206))/B185,0))&amp;" ligne(s)"</f>
        <v>0 ligne(s)</v>
      </c>
      <c r="N206" s="1666" t="s">
        <v>10</v>
      </c>
      <c r="O206" s="5585">
        <f t="shared" ref="O206:AG206" ca="1" si="37">CELL("largeur",O206)</f>
        <v>3</v>
      </c>
      <c r="P206" s="5585">
        <f t="shared" ca="1" si="37"/>
        <v>3</v>
      </c>
      <c r="Q206" s="5585">
        <f t="shared" ca="1" si="37"/>
        <v>3</v>
      </c>
      <c r="R206" s="5585">
        <f t="shared" ca="1" si="37"/>
        <v>5</v>
      </c>
      <c r="S206" s="5585">
        <f t="shared" ca="1" si="37"/>
        <v>12</v>
      </c>
      <c r="T206" s="5585">
        <f t="shared" ca="1" si="37"/>
        <v>12</v>
      </c>
      <c r="U206" s="5585">
        <f t="shared" ca="1" si="37"/>
        <v>3</v>
      </c>
      <c r="V206" s="5585">
        <f t="shared" ca="1" si="37"/>
        <v>9</v>
      </c>
      <c r="W206" s="5585">
        <f t="shared" ca="1" si="37"/>
        <v>12</v>
      </c>
      <c r="X206" s="5585">
        <f t="shared" ca="1" si="37"/>
        <v>9</v>
      </c>
      <c r="Y206" s="6019">
        <f t="shared" ca="1" si="37"/>
        <v>6</v>
      </c>
      <c r="Z206" s="5587">
        <f t="shared" ca="1" si="37"/>
        <v>40</v>
      </c>
      <c r="AA206" s="5587">
        <f t="shared" ca="1" si="37"/>
        <v>10</v>
      </c>
      <c r="AB206" s="5587">
        <f t="shared" ca="1" si="37"/>
        <v>9</v>
      </c>
      <c r="AC206" s="5587">
        <f t="shared" ca="1" si="37"/>
        <v>11</v>
      </c>
      <c r="AD206" s="6019">
        <f t="shared" ca="1" si="37"/>
        <v>13</v>
      </c>
      <c r="AE206" s="5587">
        <f t="shared" ca="1" si="37"/>
        <v>13</v>
      </c>
      <c r="AF206" s="5587">
        <f t="shared" ca="1" si="37"/>
        <v>13</v>
      </c>
      <c r="AG206" s="6021">
        <f t="shared" ca="1" si="37"/>
        <v>17</v>
      </c>
      <c r="AH206" s="6628"/>
      <c r="AJ206" s="1666" t="str">
        <f t="shared" si="35"/>
        <v>A</v>
      </c>
      <c r="AK206" s="1616"/>
      <c r="AL206" s="1333" t="s">
        <v>21</v>
      </c>
      <c r="AM206" s="412"/>
      <c r="AN206" s="433" t="s">
        <v>560</v>
      </c>
      <c r="AO206" s="472"/>
      <c r="AP206" s="472"/>
      <c r="AQ206" s="229"/>
      <c r="AR206" s="9"/>
      <c r="AS206" s="191"/>
      <c r="AV206" s="3">
        <v>1</v>
      </c>
    </row>
    <row r="207" spans="2:48" ht="21" customHeight="1">
      <c r="B207" s="1610" cm="1">
        <f t="array" ref="B207">SUMPRODUCT(LEN(C207:K207))</f>
        <v>0</v>
      </c>
      <c r="C207" s="1810"/>
      <c r="D207" s="1810"/>
      <c r="E207" s="1810"/>
      <c r="F207" s="1810"/>
      <c r="G207" s="1810"/>
      <c r="H207" s="1810"/>
      <c r="I207" s="1810"/>
      <c r="J207" s="1810"/>
      <c r="K207" s="1810"/>
      <c r="L207" s="2126" t="str" cm="1">
        <f t="array" ref="L207">IF(B185&lt;=0,0,ROUNDUP(SUMPRODUCT(LEN(C207:K207))/B185,0))&amp;" ligne(s)"</f>
        <v>0 ligne(s)</v>
      </c>
      <c r="N207" s="1672" t="s">
        <v>10</v>
      </c>
      <c r="O207" s="1370" t="str">
        <f>O187</f>
        <v>B BEIGNETS D'ACACIA | pâtisserie--Beignets| Auteur &gt; Catherine et Pascal Roger</v>
      </c>
      <c r="P207" s="1348">
        <f>P187</f>
        <v>6</v>
      </c>
      <c r="Q207" s="1349" t="str">
        <f>Q187</f>
        <v>couverts</v>
      </c>
      <c r="R207" s="1350" t="str">
        <f>R187</f>
        <v>Recette mère ► Beignets d'acacia</v>
      </c>
      <c r="S207" s="5997" t="str">
        <f ca="1">"largeur de "&amp;Y205&amp;" à "&amp;AG205&amp;" = "&amp;SUM(Y206:AG206)</f>
        <v>largeur de Y à AG = 132</v>
      </c>
      <c r="T207" s="5998"/>
      <c r="U207" s="1986"/>
      <c r="V207" s="1986"/>
      <c r="W207" s="1986"/>
      <c r="X207" s="1987" t="s">
        <v>8145</v>
      </c>
      <c r="Y207" s="1988" t="s">
        <v>821</v>
      </c>
      <c r="Z207" s="1941"/>
      <c r="AA207" s="5999" t="str">
        <f ca="1">"largeur mini  = "&amp;SUM(Y206:AD206)</f>
        <v>largeur mini  = 89</v>
      </c>
      <c r="AB207" s="6000" t="str">
        <f ca="1">"largeur maxi  = "&amp;SUM(Y206:AG206)</f>
        <v>largeur maxi  = 132</v>
      </c>
      <c r="AC207" s="1942"/>
      <c r="AD207" s="1942"/>
      <c r="AE207" s="1989"/>
      <c r="AF207" s="2101"/>
      <c r="AG207" s="1990" t="s">
        <v>218</v>
      </c>
      <c r="AJ207" s="1672" t="str">
        <f t="shared" si="35"/>
        <v>A</v>
      </c>
      <c r="AK207" s="1616"/>
      <c r="AL207" s="1333" t="s">
        <v>21</v>
      </c>
      <c r="AM207" s="412"/>
      <c r="AQ207" s="229"/>
      <c r="AR207" s="9"/>
      <c r="AS207" s="191"/>
      <c r="AV207" s="3">
        <v>1</v>
      </c>
    </row>
    <row r="208" spans="2:48" ht="21" customHeight="1">
      <c r="B208" s="1610" cm="1">
        <f t="array" ref="B208">SUMPRODUCT(LEN(C208:K208))</f>
        <v>0</v>
      </c>
      <c r="C208" s="1810"/>
      <c r="D208" s="1810"/>
      <c r="E208" s="1810"/>
      <c r="F208" s="1810"/>
      <c r="G208" s="1810"/>
      <c r="H208" s="1810"/>
      <c r="I208" s="1810"/>
      <c r="J208" s="1810"/>
      <c r="K208" s="1810"/>
      <c r="L208" s="2126" t="str" cm="1">
        <f t="array" ref="L208">IF(B185&lt;=0,0,ROUNDUP(SUMPRODUCT(LEN(C208:K208))/B185,0))&amp;" ligne(s)"</f>
        <v>0 ligne(s)</v>
      </c>
      <c r="N208" s="1672" t="s">
        <v>10</v>
      </c>
      <c r="O208" s="163" t="str">
        <f>O187</f>
        <v>B BEIGNETS D'ACACIA | pâtisserie--Beignets| Auteur &gt; Catherine et Pascal Roger</v>
      </c>
      <c r="P208" s="163">
        <f>P187</f>
        <v>6</v>
      </c>
      <c r="Q208" s="164" t="str">
        <f>Q187</f>
        <v>couverts</v>
      </c>
      <c r="R208" s="165" t="str">
        <f>R187</f>
        <v>Recette mère ► Beignets d'acacia</v>
      </c>
      <c r="S208" s="508"/>
      <c r="T208" s="508"/>
      <c r="U208" s="2063"/>
      <c r="V208" s="2064" t="s">
        <v>8865</v>
      </c>
      <c r="W208" s="2065">
        <f ca="1">SUM(Y206:AG206)</f>
        <v>132</v>
      </c>
      <c r="X208" s="1374">
        <v>0</v>
      </c>
      <c r="Y208" s="1375" t="s">
        <v>8316</v>
      </c>
      <c r="Z208" s="1810"/>
      <c r="AA208" s="1810"/>
      <c r="AB208" s="1810"/>
      <c r="AC208" s="1810"/>
      <c r="AD208" s="1810"/>
      <c r="AE208" s="9"/>
      <c r="AF208" s="5993" t="s">
        <v>164</v>
      </c>
      <c r="AG208" s="1330" t="s">
        <v>165</v>
      </c>
      <c r="AJ208" s="1672" t="str">
        <f t="shared" si="35"/>
        <v>A</v>
      </c>
      <c r="AK208" s="1616"/>
      <c r="AL208" s="1333" t="s">
        <v>21</v>
      </c>
      <c r="AM208" s="473" t="s">
        <v>563</v>
      </c>
      <c r="AN208" s="474"/>
      <c r="AO208" s="474"/>
      <c r="AP208" s="474"/>
      <c r="AQ208" s="474"/>
      <c r="AR208" s="474"/>
      <c r="AS208" s="46"/>
      <c r="AV208" s="3">
        <v>1</v>
      </c>
    </row>
    <row r="209" spans="2:48" ht="21" customHeight="1">
      <c r="B209" s="1610" cm="1">
        <f t="array" ref="B209">SUMPRODUCT(LEN(C209:K209))</f>
        <v>0</v>
      </c>
      <c r="C209" s="1810"/>
      <c r="D209" s="1810"/>
      <c r="E209" s="1810"/>
      <c r="F209" s="1810"/>
      <c r="G209" s="1810"/>
      <c r="H209" s="1810"/>
      <c r="I209" s="1810"/>
      <c r="J209" s="1810"/>
      <c r="K209" s="1810"/>
      <c r="L209" s="2126" t="str" cm="1">
        <f t="array" ref="L209">IF(B185&lt;=0,0,ROUNDUP(SUMPRODUCT(LEN(C209:K209))/B185,0))&amp;" ligne(s)"</f>
        <v>0 ligne(s)</v>
      </c>
      <c r="N209" s="1672" t="s">
        <v>10</v>
      </c>
      <c r="O209" s="163" t="str">
        <f>O187</f>
        <v>B BEIGNETS D'ACACIA | pâtisserie--Beignets| Auteur &gt; Catherine et Pascal Roger</v>
      </c>
      <c r="P209" s="163">
        <f>P187</f>
        <v>6</v>
      </c>
      <c r="Q209" s="164" t="str">
        <f>Q187</f>
        <v>couverts</v>
      </c>
      <c r="R209" s="165" t="str">
        <f>R187</f>
        <v>Recette mère ► Beignets d'acacia</v>
      </c>
      <c r="S209" s="1548"/>
      <c r="T209" s="2189" t="s">
        <v>8771</v>
      </c>
      <c r="U209" s="2190">
        <f>ROWS(Y209:Y209)</f>
        <v>1</v>
      </c>
      <c r="V209" s="5549" t="str" cm="1">
        <f t="array" ref="V209">IF(SUMPRODUCT((Y209:AD209&lt;&gt;"")*1)=0,"",SUMPRODUCT((Y209:AD209&lt;&gt;"")*(LEN(TRIM(SUBSTITUTE(Y209:AD209,CHAR(160)," "))) - LEN(SUBSTITUTE(TRIM(SUBSTITUTE(Y209:AD209,CHAR(160)," "))," ","")) + 1)) &amp; " mot" &amp; IF(SUMPRODUCT((Y209:AD209&lt;&gt;"")*(LEN(TRIM(SUBSTITUTE(Y209:AD209,CHAR(160)," "))) - LEN(SUBSTITUTE(TRIM(SUBSTITUTE(Y209:AD209,CHAR(160)," "))," ","")) + 1))&gt;1,"s",""))</f>
        <v>9 mots</v>
      </c>
      <c r="W209" s="5550" t="str" cm="1">
        <f t="array" ref="W209">SUMPRODUCT(--(Y209:AD209&lt;&gt;""), LEN(TRIM(SUBSTITUTE(Y209:AD209, CHAR(160), "")))) &amp; " Car."</f>
        <v>58 Car.</v>
      </c>
      <c r="X209" s="1376">
        <f>IF(ISBLANK(Y209),"",LARGE(X208:X208,1)+1)</f>
        <v>1</v>
      </c>
      <c r="Y209" s="1810" t="s">
        <v>8321</v>
      </c>
      <c r="Z209" s="1810"/>
      <c r="AA209" s="1810"/>
      <c r="AB209" s="1810"/>
      <c r="AC209" s="1810"/>
      <c r="AD209" s="1810"/>
      <c r="AE209" s="9"/>
      <c r="AF209" s="5993" t="s">
        <v>167</v>
      </c>
      <c r="AG209" s="1330" t="s">
        <v>165</v>
      </c>
      <c r="AJ209" s="1672" t="str">
        <f t="shared" si="35"/>
        <v>A</v>
      </c>
      <c r="AK209" s="1616"/>
      <c r="AL209" s="1333" t="s">
        <v>21</v>
      </c>
      <c r="AM209" s="475"/>
      <c r="AN209" s="45"/>
      <c r="AO209" s="45"/>
      <c r="AP209" s="45"/>
      <c r="AQ209" s="45"/>
      <c r="AR209" s="45"/>
      <c r="AS209" s="46"/>
      <c r="AV209" s="3">
        <v>1</v>
      </c>
    </row>
    <row r="210" spans="2:48" ht="21" customHeight="1">
      <c r="B210" s="1610" cm="1">
        <f t="array" ref="B210">SUMPRODUCT(LEN(C210:K210))</f>
        <v>0</v>
      </c>
      <c r="C210" s="1810"/>
      <c r="D210" s="1810"/>
      <c r="E210" s="1810"/>
      <c r="F210" s="1810"/>
      <c r="G210" s="1810"/>
      <c r="H210" s="1810"/>
      <c r="I210" s="1810"/>
      <c r="J210" s="1810"/>
      <c r="K210" s="1810"/>
      <c r="L210" s="2126" t="str" cm="1">
        <f t="array" ref="L210">IF(B185&lt;=0,0,ROUNDUP(SUMPRODUCT(LEN(C210:K210))/B185,0))&amp;" ligne(s)"</f>
        <v>0 ligne(s)</v>
      </c>
      <c r="N210" s="1672" t="s">
        <v>10</v>
      </c>
      <c r="O210" s="163" t="str">
        <f>O187</f>
        <v>B BEIGNETS D'ACACIA | pâtisserie--Beignets| Auteur &gt; Catherine et Pascal Roger</v>
      </c>
      <c r="P210" s="163">
        <f>P187</f>
        <v>6</v>
      </c>
      <c r="Q210" s="164" t="str">
        <f>Q187</f>
        <v>couverts</v>
      </c>
      <c r="R210" s="165" t="str">
        <f>R187</f>
        <v>Recette mère ► Beignets d'acacia</v>
      </c>
      <c r="S210" s="1548"/>
      <c r="T210" s="1548"/>
      <c r="U210" s="2190">
        <f>ROWS(Y209:Y210)</f>
        <v>2</v>
      </c>
      <c r="V210" s="5549" t="str" cm="1">
        <f t="array" ref="V210">IF(SUMPRODUCT((Y210:AD210&lt;&gt;"")*1)=0,"",SUMPRODUCT((Y210:AD210&lt;&gt;"")*(LEN(TRIM(SUBSTITUTE(Y210:AD210,CHAR(160)," "))) - LEN(SUBSTITUTE(TRIM(SUBSTITUTE(Y210:AD210,CHAR(160)," "))," ","")) + 1)) &amp; " mot" &amp; IF(SUMPRODUCT((Y210:AD210&lt;&gt;"")*(LEN(TRIM(SUBSTITUTE(Y210:AD210,CHAR(160)," "))) - LEN(SUBSTITUTE(TRIM(SUBSTITUTE(Y210:AD210,CHAR(160)," "))," ","")) + 1))&gt;1,"s",""))</f>
        <v>6 mots</v>
      </c>
      <c r="W210" s="5550" t="str" cm="1">
        <f t="array" ref="W210">SUMPRODUCT(--(Y210:AD210&lt;&gt;""), LEN(TRIM(SUBSTITUTE(Y210:AD210, CHAR(160), "")))) &amp; " Car."</f>
        <v>36 Car.</v>
      </c>
      <c r="X210" s="1376">
        <f>IF(ISBLANK(Y210),"",LARGE(X208:X209,1)+1)</f>
        <v>2</v>
      </c>
      <c r="Y210" s="1810" t="s">
        <v>8322</v>
      </c>
      <c r="Z210" s="1810"/>
      <c r="AA210" s="1810"/>
      <c r="AB210" s="1810"/>
      <c r="AC210" s="1810"/>
      <c r="AD210" s="1810"/>
      <c r="AE210" s="1810"/>
      <c r="AF210" s="5994" t="s">
        <v>171</v>
      </c>
      <c r="AG210" s="5564">
        <v>3.472222222222222E-3</v>
      </c>
      <c r="AJ210" s="1672" t="str">
        <f t="shared" si="35"/>
        <v>A</v>
      </c>
      <c r="AK210" s="1616"/>
      <c r="AL210" s="1333" t="s">
        <v>21</v>
      </c>
      <c r="AM210" s="476" t="s">
        <v>564</v>
      </c>
      <c r="AN210" s="45"/>
      <c r="AO210" s="45"/>
      <c r="AP210" s="45"/>
      <c r="AQ210" s="45"/>
      <c r="AR210" s="45"/>
      <c r="AS210" s="46"/>
      <c r="AV210" s="3">
        <v>1</v>
      </c>
    </row>
    <row r="211" spans="2:48" ht="21" customHeight="1">
      <c r="B211" s="1610" cm="1">
        <f t="array" ref="B211">SUMPRODUCT(LEN(C211:K211))</f>
        <v>0</v>
      </c>
      <c r="C211" s="1810"/>
      <c r="D211" s="1810"/>
      <c r="E211" s="1810"/>
      <c r="F211" s="1810"/>
      <c r="G211" s="1810"/>
      <c r="H211" s="1810"/>
      <c r="I211" s="1810"/>
      <c r="J211" s="1810"/>
      <c r="K211" s="1810"/>
      <c r="L211" s="2126" t="str" cm="1">
        <f t="array" ref="L211">IF(B185&lt;=0,0,ROUNDUP(SUMPRODUCT(LEN(C211:K211))/B185,0))&amp;" ligne(s)"</f>
        <v>0 ligne(s)</v>
      </c>
      <c r="N211" s="1672" t="s">
        <v>10</v>
      </c>
      <c r="O211" s="163" t="str">
        <f>O187</f>
        <v>B BEIGNETS D'ACACIA | pâtisserie--Beignets| Auteur &gt; Catherine et Pascal Roger</v>
      </c>
      <c r="P211" s="163">
        <f>P187</f>
        <v>6</v>
      </c>
      <c r="Q211" s="164" t="str">
        <f>Q187</f>
        <v>couverts</v>
      </c>
      <c r="R211" s="165" t="str">
        <f>R187</f>
        <v>Recette mère ► Beignets d'acacia</v>
      </c>
      <c r="S211" s="1548"/>
      <c r="T211" s="1548"/>
      <c r="U211" s="2190">
        <f>ROWS(Y209:Y211)</f>
        <v>3</v>
      </c>
      <c r="V211" s="5549" t="str" cm="1">
        <f t="array" ref="V211">IF(SUMPRODUCT((Y211:AD211&lt;&gt;"")*1)=0,"",SUMPRODUCT((Y211:AD211&lt;&gt;"")*(LEN(TRIM(SUBSTITUTE(Y211:AD211,CHAR(160)," "))) - LEN(SUBSTITUTE(TRIM(SUBSTITUTE(Y211:AD211,CHAR(160)," "))," ","")) + 1)) &amp; " mot" &amp; IF(SUMPRODUCT((Y211:AD211&lt;&gt;"")*(LEN(TRIM(SUBSTITUTE(Y211:AD211,CHAR(160)," "))) - LEN(SUBSTITUTE(TRIM(SUBSTITUTE(Y211:AD211,CHAR(160)," "))," ","")) + 1))&gt;1,"s",""))</f>
        <v>22 mots</v>
      </c>
      <c r="W211" s="5550" t="str" cm="1">
        <f t="array" ref="W211">SUMPRODUCT(--(Y211:AD211&lt;&gt;""), LEN(TRIM(SUBSTITUTE(Y211:AD211, CHAR(160), "")))) &amp; " Car."</f>
        <v>113 Car.</v>
      </c>
      <c r="X211" s="1376">
        <f>IF(ISBLANK(Y211),"",LARGE(X208:X210,1)+1)</f>
        <v>3</v>
      </c>
      <c r="Y211" s="1810" t="s">
        <v>8323</v>
      </c>
      <c r="Z211" s="1810"/>
      <c r="AA211" s="1810"/>
      <c r="AB211" s="1810"/>
      <c r="AC211" s="1810"/>
      <c r="AD211" s="1810"/>
      <c r="AE211" s="1810"/>
      <c r="AF211" s="5994" t="s">
        <v>173</v>
      </c>
      <c r="AG211" s="5565">
        <v>1.0416666666666666E-2</v>
      </c>
      <c r="AJ211" s="1672" t="str">
        <f t="shared" si="35"/>
        <v>A</v>
      </c>
      <c r="AK211" s="1616"/>
      <c r="AL211" s="1333" t="s">
        <v>21</v>
      </c>
      <c r="AM211" s="476"/>
      <c r="AN211" s="45"/>
      <c r="AO211" s="45"/>
      <c r="AP211" s="45"/>
      <c r="AQ211" s="45"/>
      <c r="AR211" s="45"/>
      <c r="AS211" s="46"/>
      <c r="AV211" s="3">
        <v>1</v>
      </c>
    </row>
    <row r="212" spans="2:48" ht="21" customHeight="1">
      <c r="B212" s="1610" cm="1">
        <f t="array" ref="B212">SUMPRODUCT(LEN(C212:K212))</f>
        <v>0</v>
      </c>
      <c r="C212" s="1810"/>
      <c r="D212" s="1810"/>
      <c r="E212" s="1810"/>
      <c r="F212" s="1810"/>
      <c r="G212" s="1810"/>
      <c r="H212" s="1810"/>
      <c r="I212" s="1810"/>
      <c r="J212" s="1810"/>
      <c r="K212" s="1810"/>
      <c r="L212" s="2126" t="str" cm="1">
        <f t="array" ref="L212">IF(B185&lt;=0,0,ROUNDUP(SUMPRODUCT(LEN(C212:K212))/B185,0))&amp;" ligne(s)"</f>
        <v>0 ligne(s)</v>
      </c>
      <c r="N212" s="1672" t="s">
        <v>10</v>
      </c>
      <c r="O212" s="163" t="str">
        <f>O187</f>
        <v>B BEIGNETS D'ACACIA | pâtisserie--Beignets| Auteur &gt; Catherine et Pascal Roger</v>
      </c>
      <c r="P212" s="163">
        <f>P187</f>
        <v>6</v>
      </c>
      <c r="Q212" s="164" t="str">
        <f>Q187</f>
        <v>couverts</v>
      </c>
      <c r="R212" s="165" t="str">
        <f>R187</f>
        <v>Recette mère ► Beignets d'acacia</v>
      </c>
      <c r="S212" s="1548"/>
      <c r="T212" s="1548"/>
      <c r="U212" s="2190">
        <f>ROWS(Y209:Y212)</f>
        <v>4</v>
      </c>
      <c r="V212" s="5549" t="str" cm="1">
        <f t="array" ref="V212">IF(SUMPRODUCT((Y212:AD212&lt;&gt;"")*1)=0,"",SUMPRODUCT((Y212:AD212&lt;&gt;"")*(LEN(TRIM(SUBSTITUTE(Y212:AD212,CHAR(160)," "))) - LEN(SUBSTITUTE(TRIM(SUBSTITUTE(Y212:AD212,CHAR(160)," "))," ","")) + 1)) &amp; " mot" &amp; IF(SUMPRODUCT((Y212:AD212&lt;&gt;"")*(LEN(TRIM(SUBSTITUTE(Y212:AD212,CHAR(160)," "))) - LEN(SUBSTITUTE(TRIM(SUBSTITUTE(Y212:AD212,CHAR(160)," "))," ","")) + 1))&gt;1,"s",""))</f>
        <v>13 mots</v>
      </c>
      <c r="W212" s="5550" t="str" cm="1">
        <f t="array" ref="W212">SUMPRODUCT(--(Y212:AD212&lt;&gt;""), LEN(TRIM(SUBSTITUTE(Y212:AD212, CHAR(160), "")))) &amp; " Car."</f>
        <v>69 Car.</v>
      </c>
      <c r="X212" s="1376">
        <f>IF(ISBLANK(Y212),"",LARGE(X208:X211,1)+1)</f>
        <v>4</v>
      </c>
      <c r="Y212" s="1810" t="s">
        <v>8324</v>
      </c>
      <c r="Z212" s="1833"/>
      <c r="AA212" s="1810"/>
      <c r="AB212" s="1810"/>
      <c r="AC212" s="1810"/>
      <c r="AD212" s="1810"/>
      <c r="AE212" s="1810"/>
      <c r="AF212" s="5994" t="s">
        <v>181</v>
      </c>
      <c r="AG212" s="178">
        <v>2.0833333333333332E-2</v>
      </c>
      <c r="AJ212" s="1672" t="str">
        <f t="shared" si="35"/>
        <v>A</v>
      </c>
      <c r="AK212" s="1616"/>
      <c r="AL212" s="1333" t="s">
        <v>21</v>
      </c>
      <c r="AM212" s="480" t="s">
        <v>65</v>
      </c>
      <c r="AN212" s="12" t="s">
        <v>66</v>
      </c>
      <c r="AO212" s="12" t="s">
        <v>67</v>
      </c>
      <c r="AP212" s="12" t="s">
        <v>68</v>
      </c>
      <c r="AQ212" s="12" t="s">
        <v>69</v>
      </c>
      <c r="AR212" s="12" t="s">
        <v>70</v>
      </c>
      <c r="AS212" s="46"/>
      <c r="AV212" s="3">
        <v>1</v>
      </c>
    </row>
    <row r="213" spans="2:48" ht="21" customHeight="1">
      <c r="B213" s="1610" cm="1">
        <f t="array" ref="B213">SUMPRODUCT(LEN(C213:K213))</f>
        <v>0</v>
      </c>
      <c r="C213" s="1810"/>
      <c r="D213" s="1810"/>
      <c r="E213" s="1810"/>
      <c r="F213" s="1810"/>
      <c r="G213" s="1810"/>
      <c r="H213" s="1810"/>
      <c r="I213" s="1810"/>
      <c r="J213" s="1810"/>
      <c r="K213" s="1810"/>
      <c r="L213" s="2126" t="str" cm="1">
        <f t="array" ref="L213">IF(B185&lt;=0,0,ROUNDUP(SUMPRODUCT(LEN(C213:K213))/B185,0))&amp;" ligne(s)"</f>
        <v>0 ligne(s)</v>
      </c>
      <c r="N213" s="1672" t="s">
        <v>10</v>
      </c>
      <c r="O213" s="163" t="str">
        <f>O187</f>
        <v>B BEIGNETS D'ACACIA | pâtisserie--Beignets| Auteur &gt; Catherine et Pascal Roger</v>
      </c>
      <c r="P213" s="163">
        <f>P187</f>
        <v>6</v>
      </c>
      <c r="Q213" s="164" t="str">
        <f>Q187</f>
        <v>couverts</v>
      </c>
      <c r="R213" s="165" t="str">
        <f>R187</f>
        <v>Recette mère ► Beignets d'acacia</v>
      </c>
      <c r="S213" s="1548"/>
      <c r="T213" s="1548"/>
      <c r="U213" s="2190">
        <f>ROWS(Y209:Y213)</f>
        <v>5</v>
      </c>
      <c r="V213" s="5549" t="str" cm="1">
        <f t="array" ref="V213">IF(SUMPRODUCT((Y213:AD213&lt;&gt;"")*1)=0,"",SUMPRODUCT((Y213:AD213&lt;&gt;"")*(LEN(TRIM(SUBSTITUTE(Y213:AD213,CHAR(160)," "))) - LEN(SUBSTITUTE(TRIM(SUBSTITUTE(Y213:AD213,CHAR(160)," "))," ","")) + 1)) &amp; " mot" &amp; IF(SUMPRODUCT((Y213:AD213&lt;&gt;"")*(LEN(TRIM(SUBSTITUTE(Y213:AD213,CHAR(160)," "))) - LEN(SUBSTITUTE(TRIM(SUBSTITUTE(Y213:AD213,CHAR(160)," "))," ","")) + 1))&gt;1,"s",""))</f>
        <v>20 mots</v>
      </c>
      <c r="W213" s="5550" t="str" cm="1">
        <f t="array" ref="W213">SUMPRODUCT(--(Y213:AD213&lt;&gt;""), LEN(TRIM(SUBSTITUTE(Y213:AD213, CHAR(160), "")))) &amp; " Car."</f>
        <v>115 Car.</v>
      </c>
      <c r="X213" s="1376">
        <f>IF(ISBLANK(Y213),"",LARGE(X208:X212,1)+1)</f>
        <v>5</v>
      </c>
      <c r="Y213" s="1810" t="s">
        <v>8325</v>
      </c>
      <c r="Z213" s="1810"/>
      <c r="AA213" s="1810"/>
      <c r="AB213" s="1810"/>
      <c r="AC213" s="1810"/>
      <c r="AD213" s="1810"/>
      <c r="AE213" s="1810"/>
      <c r="AF213" s="179" t="s">
        <v>182</v>
      </c>
      <c r="AG213" s="180">
        <f>AG210+AG211+AG212</f>
        <v>3.4722222222222224E-2</v>
      </c>
      <c r="AJ213" s="1672" t="str">
        <f t="shared" si="35"/>
        <v>A</v>
      </c>
      <c r="AK213" s="1616"/>
      <c r="AL213" s="1333" t="s">
        <v>21</v>
      </c>
      <c r="AM213" s="481" t="s">
        <v>140</v>
      </c>
      <c r="AN213" s="104" t="s">
        <v>100</v>
      </c>
      <c r="AO213" s="143" t="s">
        <v>141</v>
      </c>
      <c r="AP213" s="144" t="s">
        <v>142</v>
      </c>
      <c r="AQ213" s="118" t="s">
        <v>143</v>
      </c>
      <c r="AR213" s="118" t="s">
        <v>109</v>
      </c>
      <c r="AS213" s="46"/>
      <c r="AV213" s="3">
        <v>1</v>
      </c>
    </row>
    <row r="214" spans="2:48" ht="21" customHeight="1">
      <c r="B214" s="1610" cm="1">
        <f t="array" ref="B214">SUMPRODUCT(LEN(C214:K214))</f>
        <v>0</v>
      </c>
      <c r="C214" s="1810"/>
      <c r="D214" s="1810"/>
      <c r="E214" s="1810"/>
      <c r="F214" s="1810"/>
      <c r="G214" s="1810"/>
      <c r="H214" s="1810"/>
      <c r="I214" s="1810"/>
      <c r="J214" s="1810"/>
      <c r="K214" s="1810"/>
      <c r="L214" s="2126" t="str" cm="1">
        <f t="array" ref="L214">IF(B185&lt;=0,0,ROUNDUP(SUMPRODUCT(LEN(C214:K214))/B185,0))&amp;" ligne(s)"</f>
        <v>0 ligne(s)</v>
      </c>
      <c r="N214" s="1672" t="s">
        <v>10</v>
      </c>
      <c r="O214" s="163" t="str">
        <f>O187</f>
        <v>B BEIGNETS D'ACACIA | pâtisserie--Beignets| Auteur &gt; Catherine et Pascal Roger</v>
      </c>
      <c r="P214" s="163">
        <f>P187</f>
        <v>6</v>
      </c>
      <c r="Q214" s="164" t="str">
        <f>Q187</f>
        <v>couverts</v>
      </c>
      <c r="R214" s="165" t="str">
        <f>R187</f>
        <v>Recette mère ► Beignets d'acacia</v>
      </c>
      <c r="S214" s="1548"/>
      <c r="T214" s="1548"/>
      <c r="U214" s="2190">
        <f>ROWS(Y209:Y214)</f>
        <v>6</v>
      </c>
      <c r="V214" s="5549" t="str" cm="1">
        <f t="array" ref="V214">IF(SUMPRODUCT((Y214:AD214&lt;&gt;"")*1)=0,"",SUMPRODUCT((Y214:AD214&lt;&gt;"")*(LEN(TRIM(SUBSTITUTE(Y214:AD214,CHAR(160)," "))) - LEN(SUBSTITUTE(TRIM(SUBSTITUTE(Y214:AD214,CHAR(160)," "))," ","")) + 1)) &amp; " mot" &amp; IF(SUMPRODUCT((Y214:AD214&lt;&gt;"")*(LEN(TRIM(SUBSTITUTE(Y214:AD214,CHAR(160)," "))) - LEN(SUBSTITUTE(TRIM(SUBSTITUTE(Y214:AD214,CHAR(160)," "))," ","")) + 1))&gt;1,"s",""))</f>
        <v>16 mots</v>
      </c>
      <c r="W214" s="5550" t="str" cm="1">
        <f t="array" ref="W214">SUMPRODUCT(--(Y214:AD214&lt;&gt;""), LEN(TRIM(SUBSTITUTE(Y214:AD214, CHAR(160), "")))) &amp; " Car."</f>
        <v>98 Car.</v>
      </c>
      <c r="X214" s="1376">
        <f>IF(ISBLANK(Y214),"",LARGE(X208:X213,1)+1)</f>
        <v>6</v>
      </c>
      <c r="Y214" s="1810" t="s">
        <v>8326</v>
      </c>
      <c r="Z214" s="1833"/>
      <c r="AA214" s="1810"/>
      <c r="AB214" s="1810"/>
      <c r="AC214" s="1810"/>
      <c r="AD214" s="1810"/>
      <c r="AE214" s="1810"/>
      <c r="AF214" s="1810"/>
      <c r="AG214" s="1811"/>
      <c r="AJ214" s="1672" t="str">
        <f t="shared" si="35"/>
        <v>A</v>
      </c>
      <c r="AK214" s="1616"/>
      <c r="AL214" s="1333" t="s">
        <v>21</v>
      </c>
      <c r="AM214" s="482" t="s">
        <v>155</v>
      </c>
      <c r="AN214" s="121" t="s">
        <v>156</v>
      </c>
      <c r="AO214" s="143" t="s">
        <v>141</v>
      </c>
      <c r="AP214" s="121" t="s">
        <v>110</v>
      </c>
      <c r="AQ214" s="121" t="s">
        <v>157</v>
      </c>
      <c r="AR214" s="121" t="s">
        <v>158</v>
      </c>
      <c r="AS214" s="46"/>
      <c r="AV214" s="3">
        <v>1</v>
      </c>
    </row>
    <row r="215" spans="2:48" ht="21" customHeight="1">
      <c r="B215" s="1610" cm="1">
        <f t="array" ref="B215">SUMPRODUCT(LEN(C215:K215))</f>
        <v>0</v>
      </c>
      <c r="C215" s="1810"/>
      <c r="D215" s="1810"/>
      <c r="E215" s="1810"/>
      <c r="F215" s="1810"/>
      <c r="G215" s="1810"/>
      <c r="H215" s="1810"/>
      <c r="I215" s="1810"/>
      <c r="J215" s="1810"/>
      <c r="K215" s="1810"/>
      <c r="L215" s="2126" t="str" cm="1">
        <f t="array" ref="L215">IF(B185&lt;=0,0,ROUNDUP(SUMPRODUCT(LEN(C215:K215))/B185,0))&amp;" ligne(s)"</f>
        <v>0 ligne(s)</v>
      </c>
      <c r="N215" s="1672" t="s">
        <v>10</v>
      </c>
      <c r="O215" s="163" t="str">
        <f>O187</f>
        <v>B BEIGNETS D'ACACIA | pâtisserie--Beignets| Auteur &gt; Catherine et Pascal Roger</v>
      </c>
      <c r="P215" s="163">
        <f>P187</f>
        <v>6</v>
      </c>
      <c r="Q215" s="164" t="str">
        <f>Q187</f>
        <v>couverts</v>
      </c>
      <c r="R215" s="165" t="str">
        <f>R187</f>
        <v>Recette mère ► Beignets d'acacia</v>
      </c>
      <c r="S215" s="1548"/>
      <c r="T215" s="1548"/>
      <c r="U215" s="2190">
        <f>ROWS(Y209:Y215)</f>
        <v>7</v>
      </c>
      <c r="V215" s="5549" t="str" cm="1">
        <f t="array" ref="V215">IF(SUMPRODUCT((Y215:AD215&lt;&gt;"")*1)=0,"",SUMPRODUCT((Y215:AD215&lt;&gt;"")*(LEN(TRIM(SUBSTITUTE(Y215:AD215,CHAR(160)," "))) - LEN(SUBSTITUTE(TRIM(SUBSTITUTE(Y215:AD215,CHAR(160)," "))," ","")) + 1)) &amp; " mot" &amp; IF(SUMPRODUCT((Y215:AD215&lt;&gt;"")*(LEN(TRIM(SUBSTITUTE(Y215:AD215,CHAR(160)," "))) - LEN(SUBSTITUTE(TRIM(SUBSTITUTE(Y215:AD215,CHAR(160)," "))," ","")) + 1))&gt;1,"s",""))</f>
        <v>8 mots</v>
      </c>
      <c r="W215" s="5550" t="str" cm="1">
        <f t="array" ref="W215">SUMPRODUCT(--(Y215:AD215&lt;&gt;""), LEN(TRIM(SUBSTITUTE(Y215:AD215, CHAR(160), "")))) &amp; " Car."</f>
        <v>56 Car.</v>
      </c>
      <c r="X215" s="1376">
        <f>IF(ISBLANK(Y215),"",LARGE(X208:X214,1)+1)</f>
        <v>7</v>
      </c>
      <c r="Y215" s="1810" t="s">
        <v>8327</v>
      </c>
      <c r="Z215" s="1810"/>
      <c r="AA215" s="1810"/>
      <c r="AB215" s="1810"/>
      <c r="AC215" s="1810"/>
      <c r="AD215" s="1810"/>
      <c r="AE215" s="1810"/>
      <c r="AF215" s="1810"/>
      <c r="AG215" s="1811"/>
      <c r="AJ215" s="1672" t="str">
        <f t="shared" si="35"/>
        <v>A</v>
      </c>
      <c r="AK215" s="1616"/>
      <c r="AL215" s="1333" t="s">
        <v>21</v>
      </c>
      <c r="AM215" s="476"/>
      <c r="AN215" s="483" t="s">
        <v>571</v>
      </c>
      <c r="AO215" s="45"/>
      <c r="AP215" s="45"/>
      <c r="AQ215" s="45"/>
      <c r="AR215" s="45"/>
      <c r="AS215" s="46"/>
      <c r="AV215" s="3">
        <v>1</v>
      </c>
    </row>
    <row r="216" spans="2:48" ht="21" customHeight="1">
      <c r="B216" s="1610" cm="1">
        <f t="array" ref="B216">SUMPRODUCT(LEN(C216:K216))</f>
        <v>0</v>
      </c>
      <c r="C216" s="1810"/>
      <c r="D216" s="1810"/>
      <c r="E216" s="1810"/>
      <c r="F216" s="1810"/>
      <c r="G216" s="1810"/>
      <c r="H216" s="1810"/>
      <c r="I216" s="1810"/>
      <c r="J216" s="1810"/>
      <c r="K216" s="1810"/>
      <c r="L216" s="2126" t="str" cm="1">
        <f t="array" ref="L216">IF(B185&lt;=0,0,ROUNDUP(SUMPRODUCT(LEN(C216:K216))/B185,0))&amp;" ligne(s)"</f>
        <v>0 ligne(s)</v>
      </c>
      <c r="N216" s="1672" t="s">
        <v>10</v>
      </c>
      <c r="O216" s="163" t="str">
        <f>O187</f>
        <v>B BEIGNETS D'ACACIA | pâtisserie--Beignets| Auteur &gt; Catherine et Pascal Roger</v>
      </c>
      <c r="P216" s="163">
        <f>P187</f>
        <v>6</v>
      </c>
      <c r="Q216" s="164" t="str">
        <f>Q187</f>
        <v>couverts</v>
      </c>
      <c r="R216" s="165" t="str">
        <f>R187</f>
        <v>Recette mère ► Beignets d'acacia</v>
      </c>
      <c r="S216" s="1548"/>
      <c r="T216" s="1548"/>
      <c r="U216" s="2190">
        <f>ROWS(Y209:Y216)</f>
        <v>8</v>
      </c>
      <c r="V216" s="5549" t="str" cm="1">
        <f t="array" ref="V216">IF(SUMPRODUCT((Y216:AD216&lt;&gt;"")*1)=0,"",SUMPRODUCT((Y216:AD216&lt;&gt;"")*(LEN(TRIM(SUBSTITUTE(Y216:AD216,CHAR(160)," "))) - LEN(SUBSTITUTE(TRIM(SUBSTITUTE(Y216:AD216,CHAR(160)," "))," ","")) + 1)) &amp; " mot" &amp; IF(SUMPRODUCT((Y216:AD216&lt;&gt;"")*(LEN(TRIM(SUBSTITUTE(Y216:AD216,CHAR(160)," "))) - LEN(SUBSTITUTE(TRIM(SUBSTITUTE(Y216:AD216,CHAR(160)," "))," ","")) + 1))&gt;1,"s",""))</f>
        <v>4 mots</v>
      </c>
      <c r="W216" s="5550" t="str" cm="1">
        <f t="array" ref="W216">SUMPRODUCT(--(Y216:AD216&lt;&gt;""), LEN(TRIM(SUBSTITUTE(Y216:AD216, CHAR(160), "")))) &amp; " Car."</f>
        <v>19 Car.</v>
      </c>
      <c r="X216" s="1376" t="str">
        <f>IF(ISBLANK(Y216),"",LARGE(X208:X215,1)+1)</f>
        <v/>
      </c>
      <c r="Y216" s="1810"/>
      <c r="Z216" s="1810" t="s">
        <v>8328</v>
      </c>
      <c r="AA216" s="1810"/>
      <c r="AB216" s="1810"/>
      <c r="AC216" s="1810"/>
      <c r="AD216" s="1810"/>
      <c r="AE216" s="1810"/>
      <c r="AF216" s="1810"/>
      <c r="AG216" s="1811"/>
      <c r="AJ216" s="1672" t="str">
        <f t="shared" si="35"/>
        <v>A</v>
      </c>
      <c r="AK216" s="1616"/>
      <c r="AL216" s="1333" t="s">
        <v>21</v>
      </c>
      <c r="AM216" s="484"/>
      <c r="AN216" s="268" t="s">
        <v>573</v>
      </c>
      <c r="AO216" s="268"/>
      <c r="AP216" s="268"/>
      <c r="AQ216" s="268"/>
      <c r="AR216" s="268"/>
      <c r="AS216" s="46"/>
      <c r="AV216" s="3">
        <v>1</v>
      </c>
    </row>
    <row r="217" spans="2:48" ht="21" customHeight="1">
      <c r="B217" s="1610" cm="1">
        <f t="array" ref="B217">SUMPRODUCT(LEN(C217:K217))</f>
        <v>0</v>
      </c>
      <c r="C217" s="1810"/>
      <c r="D217" s="1810"/>
      <c r="E217" s="1810"/>
      <c r="F217" s="1810"/>
      <c r="G217" s="1810"/>
      <c r="H217" s="1810"/>
      <c r="I217" s="1810"/>
      <c r="J217" s="1810"/>
      <c r="K217" s="1810"/>
      <c r="L217" s="2126" t="str" cm="1">
        <f t="array" ref="L217">IF(B185&lt;=0,0,ROUNDUP(SUMPRODUCT(LEN(C217:K217))/B185,0))&amp;" ligne(s)"</f>
        <v>0 ligne(s)</v>
      </c>
      <c r="N217" s="1672" t="s">
        <v>10</v>
      </c>
      <c r="O217" s="163" t="str">
        <f>O187</f>
        <v>B BEIGNETS D'ACACIA | pâtisserie--Beignets| Auteur &gt; Catherine et Pascal Roger</v>
      </c>
      <c r="P217" s="163">
        <f>P187</f>
        <v>6</v>
      </c>
      <c r="Q217" s="164" t="str">
        <f>Q187</f>
        <v>couverts</v>
      </c>
      <c r="R217" s="165" t="str">
        <f>R187</f>
        <v>Recette mère ► Beignets d'acacia</v>
      </c>
      <c r="S217" s="1548"/>
      <c r="T217" s="1548"/>
      <c r="U217" s="2190">
        <f>ROWS(Y209:Y217)</f>
        <v>9</v>
      </c>
      <c r="V217" s="5549" t="str" cm="1">
        <f t="array" ref="V217">IF(SUMPRODUCT((Y217:AD217&lt;&gt;"")*1)=0,"",SUMPRODUCT((Y217:AD217&lt;&gt;"")*(LEN(TRIM(SUBSTITUTE(Y217:AD217,CHAR(160)," "))) - LEN(SUBSTITUTE(TRIM(SUBSTITUTE(Y217:AD217,CHAR(160)," "))," ","")) + 1)) &amp; " mot" &amp; IF(SUMPRODUCT((Y217:AD217&lt;&gt;"")*(LEN(TRIM(SUBSTITUTE(Y217:AD217,CHAR(160)," "))) - LEN(SUBSTITUTE(TRIM(SUBSTITUTE(Y217:AD217,CHAR(160)," "))," ","")) + 1))&gt;1,"s",""))</f>
        <v>22 mots</v>
      </c>
      <c r="W217" s="5550" t="str" cm="1">
        <f t="array" ref="W217">SUMPRODUCT(--(Y217:AD217&lt;&gt;""), LEN(TRIM(SUBSTITUTE(Y217:AD217, CHAR(160), "")))) &amp; " Car."</f>
        <v>110 Car.</v>
      </c>
      <c r="X217" s="1376">
        <f>IF(ISBLANK(Y217),"",LARGE(X208:X216,1)+1)</f>
        <v>8</v>
      </c>
      <c r="Y217" s="1810" t="s">
        <v>8329</v>
      </c>
      <c r="Z217" s="1810"/>
      <c r="AA217" s="1810"/>
      <c r="AB217" s="1810"/>
      <c r="AC217" s="1810"/>
      <c r="AD217" s="1810"/>
      <c r="AE217" s="1810"/>
      <c r="AF217" s="1810"/>
      <c r="AG217" s="1811"/>
      <c r="AJ217" s="1672" t="str">
        <f t="shared" si="35"/>
        <v>A</v>
      </c>
      <c r="AK217" s="1616"/>
      <c r="AL217" s="1333" t="s">
        <v>21</v>
      </c>
      <c r="AM217" s="485"/>
      <c r="AN217" s="486" t="s">
        <v>576</v>
      </c>
      <c r="AO217" s="268"/>
      <c r="AP217" s="268"/>
      <c r="AQ217" s="268"/>
      <c r="AR217" s="268"/>
      <c r="AS217" s="46"/>
      <c r="AV217" s="3">
        <v>1</v>
      </c>
    </row>
    <row r="218" spans="2:48" ht="21" customHeight="1">
      <c r="B218" s="1610" cm="1">
        <f t="array" ref="B218">SUMPRODUCT(LEN(C218:K218))</f>
        <v>215</v>
      </c>
      <c r="C218" s="1810" t="s">
        <v>8877</v>
      </c>
      <c r="D218" s="1810"/>
      <c r="E218" s="1810"/>
      <c r="F218" s="1810"/>
      <c r="G218" s="1810"/>
      <c r="H218" s="1810"/>
      <c r="I218" s="1810"/>
      <c r="J218" s="1810"/>
      <c r="K218" s="1810"/>
      <c r="L218" s="2126" t="str" cm="1">
        <f t="array" ref="L218">IF(B185&lt;=0,0,ROUNDUP(SUMPRODUCT(LEN(C218:K218))/B185,0))&amp;" ligne(s)"</f>
        <v>3 ligne(s)</v>
      </c>
      <c r="N218" s="1672" t="s">
        <v>10</v>
      </c>
      <c r="O218" s="163" t="str">
        <f>O187</f>
        <v>B BEIGNETS D'ACACIA | pâtisserie--Beignets| Auteur &gt; Catherine et Pascal Roger</v>
      </c>
      <c r="P218" s="163">
        <f>P187</f>
        <v>6</v>
      </c>
      <c r="Q218" s="164" t="str">
        <f>Q187</f>
        <v>couverts</v>
      </c>
      <c r="R218" s="165" t="str">
        <f>R187</f>
        <v>Recette mère ► Beignets d'acacia</v>
      </c>
      <c r="S218" s="1548"/>
      <c r="T218" s="1548"/>
      <c r="U218" s="2190">
        <f>ROWS(Y209:Y218)</f>
        <v>10</v>
      </c>
      <c r="V218" s="5549" t="str" cm="1">
        <f t="array" ref="V218">IF(SUMPRODUCT((Y218:AD218&lt;&gt;"")*1)=0,"",SUMPRODUCT((Y218:AD218&lt;&gt;"")*(LEN(TRIM(SUBSTITUTE(Y218:AD218,CHAR(160)," "))) - LEN(SUBSTITUTE(TRIM(SUBSTITUTE(Y218:AD218,CHAR(160)," "))," ","")) + 1)) &amp; " mot" &amp; IF(SUMPRODUCT((Y218:AD218&lt;&gt;"")*(LEN(TRIM(SUBSTITUTE(Y218:AD218,CHAR(160)," "))) - LEN(SUBSTITUTE(TRIM(SUBSTITUTE(Y218:AD218,CHAR(160)," "))," ","")) + 1))&gt;1,"s",""))</f>
        <v>14 mots</v>
      </c>
      <c r="W218" s="5550" t="str" cm="1">
        <f t="array" ref="W218">SUMPRODUCT(--(Y218:AD218&lt;&gt;""), LEN(TRIM(SUBSTITUTE(Y218:AD218, CHAR(160), "")))) &amp; " Car."</f>
        <v>74 Car.</v>
      </c>
      <c r="X218" s="1376">
        <f>IF(ISBLANK(Y218),"",LARGE(X208:X217,1)+1)</f>
        <v>9</v>
      </c>
      <c r="Y218" s="1810" t="s">
        <v>8330</v>
      </c>
      <c r="Z218" s="1810"/>
      <c r="AA218" s="1810"/>
      <c r="AB218" s="1810"/>
      <c r="AC218" s="1810"/>
      <c r="AD218" s="1810"/>
      <c r="AE218" s="1810"/>
      <c r="AF218" s="1810"/>
      <c r="AG218" s="1811"/>
      <c r="AJ218" s="1672" t="str">
        <f t="shared" si="35"/>
        <v>A</v>
      </c>
      <c r="AK218" s="1616"/>
      <c r="AL218" s="1333" t="s">
        <v>21</v>
      </c>
      <c r="AM218" s="485"/>
      <c r="AN218" s="486" t="s">
        <v>580</v>
      </c>
      <c r="AO218" s="268"/>
      <c r="AP218" s="268"/>
      <c r="AQ218" s="268"/>
      <c r="AR218" s="268"/>
      <c r="AS218" s="46"/>
      <c r="AV218" s="3">
        <v>1</v>
      </c>
    </row>
    <row r="219" spans="2:48" ht="21" customHeight="1">
      <c r="B219" s="1610" cm="1">
        <f t="array" ref="B219">SUMPRODUCT(LEN(C219:K219))</f>
        <v>209</v>
      </c>
      <c r="C219" s="1810" t="s">
        <v>8878</v>
      </c>
      <c r="D219" s="1810"/>
      <c r="E219" s="1810"/>
      <c r="F219" s="1810"/>
      <c r="G219" s="1810"/>
      <c r="H219" s="1810"/>
      <c r="I219" s="1810"/>
      <c r="J219" s="1810"/>
      <c r="K219" s="1810"/>
      <c r="L219" s="2126" t="str" cm="1">
        <f t="array" ref="L219">IF(B185&lt;=0,0,ROUNDUP(SUMPRODUCT(LEN(C219:K219))/B185,0))&amp;" ligne(s)"</f>
        <v>3 ligne(s)</v>
      </c>
      <c r="N219" s="1672" t="s">
        <v>10</v>
      </c>
      <c r="O219" s="163" t="str">
        <f>O187</f>
        <v>B BEIGNETS D'ACACIA | pâtisserie--Beignets| Auteur &gt; Catherine et Pascal Roger</v>
      </c>
      <c r="P219" s="1943">
        <f>P187</f>
        <v>6</v>
      </c>
      <c r="Q219" s="164" t="str">
        <f>Q187</f>
        <v>couverts</v>
      </c>
      <c r="R219" s="165" t="str">
        <f>R187</f>
        <v>Recette mère ► Beignets d'acacia</v>
      </c>
      <c r="S219" s="1548"/>
      <c r="T219" s="1548"/>
      <c r="U219" s="2190">
        <f>ROWS(Y209:Y219)</f>
        <v>11</v>
      </c>
      <c r="V219" s="5549" t="str" cm="1">
        <f t="array" ref="V219">IF(SUMPRODUCT((Y219:AD219&lt;&gt;"")*1)=0,"",SUMPRODUCT((Y219:AD219&lt;&gt;"")*(LEN(TRIM(SUBSTITUTE(Y219:AD219,CHAR(160)," "))) - LEN(SUBSTITUTE(TRIM(SUBSTITUTE(Y219:AD219,CHAR(160)," "))," ","")) + 1)) &amp; " mot" &amp; IF(SUMPRODUCT((Y219:AD219&lt;&gt;"")*(LEN(TRIM(SUBSTITUTE(Y219:AD219,CHAR(160)," "))) - LEN(SUBSTITUTE(TRIM(SUBSTITUTE(Y219:AD219,CHAR(160)," "))," ","")) + 1))&gt;1,"s",""))</f>
        <v>10 mots</v>
      </c>
      <c r="W219" s="5550" t="str" cm="1">
        <f t="array" ref="W219">SUMPRODUCT(--(Y219:AD219&lt;&gt;""), LEN(TRIM(SUBSTITUTE(Y219:AD219, CHAR(160), "")))) &amp; " Car."</f>
        <v>65 Car.</v>
      </c>
      <c r="X219" s="1376">
        <f>IF(ISBLANK(Y219),"",LARGE(X208:X218,1)+1)</f>
        <v>10</v>
      </c>
      <c r="Y219" s="1810" t="s">
        <v>8331</v>
      </c>
      <c r="Z219" s="1810"/>
      <c r="AA219" s="1810"/>
      <c r="AB219" s="1810"/>
      <c r="AC219" s="1810"/>
      <c r="AD219" s="1810"/>
      <c r="AE219" s="1810"/>
      <c r="AF219" s="1810"/>
      <c r="AG219" s="1811"/>
      <c r="AJ219" s="1672" t="str">
        <f t="shared" si="35"/>
        <v>A</v>
      </c>
      <c r="AK219" s="1616"/>
      <c r="AL219" s="1333" t="s">
        <v>21</v>
      </c>
      <c r="AM219" s="44"/>
      <c r="AN219" s="268"/>
      <c r="AO219" s="268"/>
      <c r="AP219" s="268"/>
      <c r="AQ219" s="268"/>
      <c r="AR219" s="268"/>
      <c r="AS219" s="487"/>
      <c r="AV219" s="3">
        <v>1</v>
      </c>
    </row>
    <row r="220" spans="2:48" ht="21" customHeight="1">
      <c r="B220" s="1610" cm="1">
        <f t="array" ref="B220">SUMPRODUCT(LEN(C220:K220))</f>
        <v>186</v>
      </c>
      <c r="C220" s="1810" t="s">
        <v>8879</v>
      </c>
      <c r="D220" s="1810"/>
      <c r="E220" s="1810"/>
      <c r="F220" s="1810"/>
      <c r="G220" s="1810"/>
      <c r="H220" s="1810"/>
      <c r="I220" s="1810"/>
      <c r="J220" s="1810"/>
      <c r="K220" s="1810"/>
      <c r="L220" s="2126" t="str" cm="1">
        <f t="array" ref="L220">IF(B185&lt;=0,0,ROUNDUP(SUMPRODUCT(LEN(C220:K220))/B185,0))&amp;" ligne(s)"</f>
        <v>3 ligne(s)</v>
      </c>
      <c r="N220" s="1672" t="s">
        <v>10</v>
      </c>
      <c r="O220" s="163" t="str">
        <f>O187</f>
        <v>B BEIGNETS D'ACACIA | pâtisserie--Beignets| Auteur &gt; Catherine et Pascal Roger</v>
      </c>
      <c r="P220" s="163">
        <f>P187</f>
        <v>6</v>
      </c>
      <c r="Q220" s="164" t="str">
        <f>Q187</f>
        <v>couverts</v>
      </c>
      <c r="R220" s="165" t="str">
        <f>R187</f>
        <v>Recette mère ► Beignets d'acacia</v>
      </c>
      <c r="S220" s="1548"/>
      <c r="T220" s="1548"/>
      <c r="U220" s="2190">
        <f>ROWS(Y209:Y220)</f>
        <v>12</v>
      </c>
      <c r="V220" s="5549" t="str" cm="1">
        <f t="array" ref="V220">IF(SUMPRODUCT((Y220:AD220&lt;&gt;"")*1)=0,"",SUMPRODUCT((Y220:AD220&lt;&gt;"")*(LEN(TRIM(SUBSTITUTE(Y220:AD220,CHAR(160)," "))) - LEN(SUBSTITUTE(TRIM(SUBSTITUTE(Y220:AD220,CHAR(160)," "))," ","")) + 1)) &amp; " mot" &amp; IF(SUMPRODUCT((Y220:AD220&lt;&gt;"")*(LEN(TRIM(SUBSTITUTE(Y220:AD220,CHAR(160)," "))) - LEN(SUBSTITUTE(TRIM(SUBSTITUTE(Y220:AD220,CHAR(160)," "))," ","")) + 1))&gt;1,"s",""))</f>
        <v>8 mots</v>
      </c>
      <c r="W220" s="5550" t="str" cm="1">
        <f t="array" ref="W220">SUMPRODUCT(--(Y220:AD220&lt;&gt;""), LEN(TRIM(SUBSTITUTE(Y220:AD220, CHAR(160), "")))) &amp; " Car."</f>
        <v>63 Car.</v>
      </c>
      <c r="X220" s="1376" t="str">
        <f>IF(ISBLANK(Y220),"",LARGE(X208:X219,1)+1)</f>
        <v/>
      </c>
      <c r="Y220" s="1810"/>
      <c r="Z220" s="1810" t="s">
        <v>8332</v>
      </c>
      <c r="AA220" s="1810"/>
      <c r="AB220" s="1810"/>
      <c r="AC220" s="1810"/>
      <c r="AD220" s="1810"/>
      <c r="AE220" s="1810"/>
      <c r="AF220" s="1810"/>
      <c r="AG220" s="1811"/>
      <c r="AJ220" s="1672" t="str">
        <f t="shared" si="35"/>
        <v>A</v>
      </c>
      <c r="AK220" s="1616"/>
      <c r="AL220" s="1333" t="s">
        <v>21</v>
      </c>
      <c r="AM220" s="473" t="s">
        <v>563</v>
      </c>
      <c r="AN220" s="474"/>
      <c r="AO220" s="474"/>
      <c r="AP220" s="474"/>
      <c r="AQ220" s="474"/>
      <c r="AR220" s="474"/>
      <c r="AS220" s="488"/>
      <c r="AV220" s="3">
        <v>1</v>
      </c>
    </row>
    <row r="221" spans="2:48" ht="21" customHeight="1">
      <c r="B221" s="1610" cm="1">
        <f t="array" ref="B221">SUMPRODUCT(LEN(C221:K221))</f>
        <v>156</v>
      </c>
      <c r="C221" s="1810" t="s">
        <v>8880</v>
      </c>
      <c r="D221" s="1810"/>
      <c r="E221" s="1810"/>
      <c r="F221" s="1810"/>
      <c r="G221" s="1810"/>
      <c r="H221" s="1810"/>
      <c r="I221" s="1810"/>
      <c r="J221" s="1810"/>
      <c r="K221" s="1810"/>
      <c r="L221" s="2126" t="str" cm="1">
        <f t="array" ref="L221">IF(B185&lt;=0,0,ROUNDUP(SUMPRODUCT(LEN(C221:K221))/B185,0))&amp;" ligne(s)"</f>
        <v>2 ligne(s)</v>
      </c>
      <c r="N221" s="1672" t="s">
        <v>10</v>
      </c>
      <c r="O221" s="163" t="str">
        <f>O187</f>
        <v>B BEIGNETS D'ACACIA | pâtisserie--Beignets| Auteur &gt; Catherine et Pascal Roger</v>
      </c>
      <c r="P221" s="163">
        <f>P187</f>
        <v>6</v>
      </c>
      <c r="Q221" s="164" t="str">
        <f>Q187</f>
        <v>couverts</v>
      </c>
      <c r="R221" s="165" t="str">
        <f>R187</f>
        <v>Recette mère ► Beignets d'acacia</v>
      </c>
      <c r="S221" s="1548"/>
      <c r="T221" s="1548"/>
      <c r="U221" s="2190">
        <f>ROWS(Y209:Y221)</f>
        <v>13</v>
      </c>
      <c r="V221" s="5549" t="str" cm="1">
        <f t="array" ref="V221">IF(SUMPRODUCT((Y221:AD221&lt;&gt;"")*1)=0,"",SUMPRODUCT((Y221:AD221&lt;&gt;"")*(LEN(TRIM(SUBSTITUTE(Y221:AD221,CHAR(160)," "))) - LEN(SUBSTITUTE(TRIM(SUBSTITUTE(Y221:AD221,CHAR(160)," "))," ","")) + 1)) &amp; " mot" &amp; IF(SUMPRODUCT((Y221:AD221&lt;&gt;"")*(LEN(TRIM(SUBSTITUTE(Y221:AD221,CHAR(160)," "))) - LEN(SUBSTITUTE(TRIM(SUBSTITUTE(Y221:AD221,CHAR(160)," "))," ","")) + 1))&gt;1,"s",""))</f>
        <v>7 mots</v>
      </c>
      <c r="W221" s="5550" t="str" cm="1">
        <f t="array" ref="W221">SUMPRODUCT(--(Y221:AD221&lt;&gt;""), LEN(TRIM(SUBSTITUTE(Y221:AD221, CHAR(160), "")))) &amp; " Car."</f>
        <v>48 Car.</v>
      </c>
      <c r="X221" s="1376" t="str">
        <f>IF(ISBLANK(Y221),"",LARGE(X208:X220,1)+1)</f>
        <v/>
      </c>
      <c r="Y221" s="1810"/>
      <c r="Z221" s="1810" t="s">
        <v>8333</v>
      </c>
      <c r="AA221" s="1810"/>
      <c r="AB221" s="1810"/>
      <c r="AC221" s="1810"/>
      <c r="AD221" s="1810"/>
      <c r="AE221" s="1810"/>
      <c r="AF221" s="1810"/>
      <c r="AG221" s="1811"/>
      <c r="AJ221" s="1672" t="str">
        <f t="shared" si="35"/>
        <v>A</v>
      </c>
      <c r="AK221" s="1616"/>
      <c r="AL221" s="1333" t="s">
        <v>21</v>
      </c>
      <c r="AM221" s="475"/>
      <c r="AN221" s="45"/>
      <c r="AO221" s="45"/>
      <c r="AP221" s="45"/>
      <c r="AQ221" s="45"/>
      <c r="AR221" s="45"/>
      <c r="AS221" s="46"/>
      <c r="AV221" s="3">
        <v>1</v>
      </c>
    </row>
    <row r="222" spans="2:48" ht="21" customHeight="1">
      <c r="B222" s="1610" cm="1">
        <f t="array" ref="B222">SUMPRODUCT(LEN(C222:K222))</f>
        <v>0</v>
      </c>
      <c r="C222" s="1810"/>
      <c r="D222" s="1810"/>
      <c r="E222" s="1810"/>
      <c r="F222" s="1810"/>
      <c r="G222" s="1810"/>
      <c r="H222" s="1810"/>
      <c r="I222" s="1810"/>
      <c r="J222" s="1810"/>
      <c r="K222" s="1810"/>
      <c r="L222" s="2126" t="str" cm="1">
        <f t="array" ref="L222">IF(B185&lt;=0,0,ROUNDUP(SUMPRODUCT(LEN(C222:K222))/B185,0))&amp;" ligne(s)"</f>
        <v>0 ligne(s)</v>
      </c>
      <c r="N222" s="1672" t="s">
        <v>10</v>
      </c>
      <c r="O222" s="163" t="str">
        <f>O187</f>
        <v>B BEIGNETS D'ACACIA | pâtisserie--Beignets| Auteur &gt; Catherine et Pascal Roger</v>
      </c>
      <c r="P222" s="163">
        <f>P187</f>
        <v>6</v>
      </c>
      <c r="Q222" s="164" t="str">
        <f>Q187</f>
        <v>couverts</v>
      </c>
      <c r="R222" s="165" t="str">
        <f>R187</f>
        <v>Recette mère ► Beignets d'acacia</v>
      </c>
      <c r="S222" s="1548"/>
      <c r="T222" s="1548"/>
      <c r="U222" s="2190">
        <f>ROWS(Y209:Y222)</f>
        <v>14</v>
      </c>
      <c r="V222" s="5549" t="str" cm="1">
        <f t="array" ref="V222">IF(SUMPRODUCT((Y222:AD222&lt;&gt;"")*1)=0,"",SUMPRODUCT((Y222:AD222&lt;&gt;"")*(LEN(TRIM(SUBSTITUTE(Y222:AD222,CHAR(160)," "))) - LEN(SUBSTITUTE(TRIM(SUBSTITUTE(Y222:AD222,CHAR(160)," "))," ","")) + 1)) &amp; " mot" &amp; IF(SUMPRODUCT((Y222:AD222&lt;&gt;"")*(LEN(TRIM(SUBSTITUTE(Y222:AD222,CHAR(160)," "))) - LEN(SUBSTITUTE(TRIM(SUBSTITUTE(Y222:AD222,CHAR(160)," "))," ","")) + 1))&gt;1,"s",""))</f>
        <v/>
      </c>
      <c r="W222" s="5550" t="str" cm="1">
        <f t="array" ref="W222">SUMPRODUCT(--(Y222:AD222&lt;&gt;""), LEN(TRIM(SUBSTITUTE(Y222:AD222, CHAR(160), "")))) &amp; " Car."</f>
        <v>0 Car.</v>
      </c>
      <c r="X222" s="1376" t="str">
        <f>IF(ISBLANK(Y222),"",LARGE(X208:X221,1)+1)</f>
        <v/>
      </c>
      <c r="Y222" s="1810"/>
      <c r="Z222" s="1810"/>
      <c r="AA222" s="1810"/>
      <c r="AB222" s="1810"/>
      <c r="AC222" s="1810"/>
      <c r="AD222" s="1810"/>
      <c r="AE222" s="1810"/>
      <c r="AF222" s="1810"/>
      <c r="AG222" s="1811"/>
      <c r="AJ222" s="1672" t="str">
        <f t="shared" si="35"/>
        <v>A</v>
      </c>
      <c r="AK222" s="1616"/>
      <c r="AL222" s="1333" t="s">
        <v>21</v>
      </c>
      <c r="AM222" s="476"/>
      <c r="AN222" s="357" t="s">
        <v>588</v>
      </c>
      <c r="AO222" s="45"/>
      <c r="AP222" s="45"/>
      <c r="AQ222" s="45"/>
      <c r="AR222" s="45"/>
      <c r="AS222" s="46"/>
      <c r="AV222" s="3">
        <v>1</v>
      </c>
    </row>
    <row r="223" spans="2:48" ht="21" customHeight="1">
      <c r="B223" s="1610" cm="1">
        <f t="array" ref="B223">SUMPRODUCT(LEN(C223:K223))</f>
        <v>0</v>
      </c>
      <c r="C223" s="1810"/>
      <c r="D223" s="1810"/>
      <c r="E223" s="1810"/>
      <c r="F223" s="1810"/>
      <c r="G223" s="1810"/>
      <c r="H223" s="1810"/>
      <c r="I223" s="1810"/>
      <c r="J223" s="1810"/>
      <c r="K223" s="1810"/>
      <c r="L223" s="2126" t="str" cm="1">
        <f t="array" ref="L223">IF(B185&lt;=0,0,ROUNDUP(SUMPRODUCT(LEN(C223:K223))/B185,0))&amp;" ligne(s)"</f>
        <v>0 ligne(s)</v>
      </c>
      <c r="N223" s="1672" t="s">
        <v>10</v>
      </c>
      <c r="O223" s="163" t="str">
        <f>O187</f>
        <v>B BEIGNETS D'ACACIA | pâtisserie--Beignets| Auteur &gt; Catherine et Pascal Roger</v>
      </c>
      <c r="P223" s="163">
        <f>P187</f>
        <v>6</v>
      </c>
      <c r="Q223" s="164" t="str">
        <f>Q187</f>
        <v>couverts</v>
      </c>
      <c r="R223" s="165" t="str">
        <f>R187</f>
        <v>Recette mère ► Beignets d'acacia</v>
      </c>
      <c r="S223" s="1548"/>
      <c r="T223" s="1548"/>
      <c r="U223" s="2190">
        <f>ROWS(Y209:Y223)</f>
        <v>15</v>
      </c>
      <c r="V223" s="5549" t="str" cm="1">
        <f t="array" ref="V223">IF(SUMPRODUCT((Y223:AD223&lt;&gt;"")*1)=0,"",SUMPRODUCT((Y223:AD223&lt;&gt;"")*(LEN(TRIM(SUBSTITUTE(Y223:AD223,CHAR(160)," "))) - LEN(SUBSTITUTE(TRIM(SUBSTITUTE(Y223:AD223,CHAR(160)," "))," ","")) + 1)) &amp; " mot" &amp; IF(SUMPRODUCT((Y223:AD223&lt;&gt;"")*(LEN(TRIM(SUBSTITUTE(Y223:AD223,CHAR(160)," "))) - LEN(SUBSTITUTE(TRIM(SUBSTITUTE(Y223:AD223,CHAR(160)," "))," ","")) + 1))&gt;1,"s",""))</f>
        <v/>
      </c>
      <c r="W223" s="5550" t="str" cm="1">
        <f t="array" ref="W223">SUMPRODUCT(--(Y223:AD223&lt;&gt;""), LEN(TRIM(SUBSTITUTE(Y223:AD223, CHAR(160), "")))) &amp; " Car."</f>
        <v>0 Car.</v>
      </c>
      <c r="X223" s="1376" t="str">
        <f>IF(ISBLANK(Y223),"",LARGE(X208:X222,1)+1)</f>
        <v/>
      </c>
      <c r="Y223" s="1810"/>
      <c r="Z223" s="1810"/>
      <c r="AA223" s="1810"/>
      <c r="AB223" s="1810"/>
      <c r="AC223" s="1810"/>
      <c r="AD223" s="1810"/>
      <c r="AE223" s="1810"/>
      <c r="AF223" s="1810"/>
      <c r="AG223" s="1811"/>
      <c r="AJ223" s="1672" t="str">
        <f t="shared" si="35"/>
        <v>A</v>
      </c>
      <c r="AK223" s="1616"/>
      <c r="AL223" s="1333" t="s">
        <v>21</v>
      </c>
      <c r="AM223" s="476"/>
      <c r="AN223" s="357"/>
      <c r="AO223" s="45"/>
      <c r="AP223" s="45"/>
      <c r="AQ223" s="45"/>
      <c r="AR223" s="45"/>
      <c r="AS223" s="46"/>
      <c r="AV223" s="3">
        <v>1</v>
      </c>
    </row>
    <row r="224" spans="2:48" ht="21" customHeight="1">
      <c r="B224" s="1610" cm="1">
        <f t="array" ref="B224">SUMPRODUCT(LEN(C224:K224))</f>
        <v>0</v>
      </c>
      <c r="C224" s="1810"/>
      <c r="D224" s="1810"/>
      <c r="E224" s="1810"/>
      <c r="F224" s="1810"/>
      <c r="G224" s="1810"/>
      <c r="H224" s="1810"/>
      <c r="I224" s="1810"/>
      <c r="J224" s="1810"/>
      <c r="K224" s="1810"/>
      <c r="L224" s="2126" t="str" cm="1">
        <f t="array" ref="L224">IF(B185&lt;=0,0,ROUNDUP(SUMPRODUCT(LEN(C224:K224))/B185,0))&amp;" ligne(s)"</f>
        <v>0 ligne(s)</v>
      </c>
      <c r="N224" s="1672" t="s">
        <v>10</v>
      </c>
      <c r="O224" s="163" t="str">
        <f>O187</f>
        <v>B BEIGNETS D'ACACIA | pâtisserie--Beignets| Auteur &gt; Catherine et Pascal Roger</v>
      </c>
      <c r="P224" s="163">
        <f>P187</f>
        <v>6</v>
      </c>
      <c r="Q224" s="164" t="str">
        <f>Q187</f>
        <v>couverts</v>
      </c>
      <c r="R224" s="165" t="str">
        <f>R187</f>
        <v>Recette mère ► Beignets d'acacia</v>
      </c>
      <c r="S224" s="1548"/>
      <c r="T224" s="1548"/>
      <c r="U224" s="2190">
        <f>ROWS(Y209:Y224)</f>
        <v>16</v>
      </c>
      <c r="V224" s="5549" t="str" cm="1">
        <f t="array" ref="V224">IF(SUMPRODUCT((Y224:AD224&lt;&gt;"")*1)=0,"",SUMPRODUCT((Y224:AD224&lt;&gt;"")*(LEN(TRIM(SUBSTITUTE(Y224:AD224,CHAR(160)," "))) - LEN(SUBSTITUTE(TRIM(SUBSTITUTE(Y224:AD224,CHAR(160)," "))," ","")) + 1)) &amp; " mot" &amp; IF(SUMPRODUCT((Y224:AD224&lt;&gt;"")*(LEN(TRIM(SUBSTITUTE(Y224:AD224,CHAR(160)," "))) - LEN(SUBSTITUTE(TRIM(SUBSTITUTE(Y224:AD224,CHAR(160)," "))," ","")) + 1))&gt;1,"s",""))</f>
        <v/>
      </c>
      <c r="W224" s="5550" t="str" cm="1">
        <f t="array" ref="W224">SUMPRODUCT(--(Y224:AD224&lt;&gt;""), LEN(TRIM(SUBSTITUTE(Y224:AD224, CHAR(160), "")))) &amp; " Car."</f>
        <v>0 Car.</v>
      </c>
      <c r="X224" s="1376" t="str">
        <f>IF(ISBLANK(Y224),"",LARGE(X208:X223,1)+1)</f>
        <v/>
      </c>
      <c r="Y224" s="1810"/>
      <c r="Z224" s="1810"/>
      <c r="AA224" s="1810"/>
      <c r="AB224" s="1810"/>
      <c r="AC224" s="1810"/>
      <c r="AD224" s="1810"/>
      <c r="AE224" s="1810"/>
      <c r="AF224" s="1810"/>
      <c r="AG224" s="1811"/>
      <c r="AJ224" s="1672" t="str">
        <f t="shared" si="35"/>
        <v>A</v>
      </c>
      <c r="AK224" s="1616"/>
      <c r="AL224" s="1333" t="s">
        <v>21</v>
      </c>
      <c r="AM224" s="480" t="s">
        <v>71</v>
      </c>
      <c r="AN224" s="12" t="s">
        <v>72</v>
      </c>
      <c r="AO224" s="12" t="s">
        <v>73</v>
      </c>
      <c r="AP224" s="12" t="s">
        <v>74</v>
      </c>
      <c r="AQ224" s="12" t="s">
        <v>75</v>
      </c>
      <c r="AR224" s="12" t="s">
        <v>76</v>
      </c>
      <c r="AS224" s="492" t="s">
        <v>77</v>
      </c>
      <c r="AV224" s="3">
        <v>1</v>
      </c>
    </row>
    <row r="225" spans="2:48" ht="21" customHeight="1">
      <c r="B225" s="1610" cm="1">
        <f t="array" ref="B225">SUMPRODUCT(LEN(C225:K225))</f>
        <v>0</v>
      </c>
      <c r="C225" s="1810"/>
      <c r="D225" s="1810"/>
      <c r="E225" s="1810"/>
      <c r="F225" s="1810"/>
      <c r="G225" s="1810"/>
      <c r="H225" s="1810"/>
      <c r="I225" s="1810"/>
      <c r="J225" s="1810"/>
      <c r="K225" s="1810"/>
      <c r="L225" s="2126" t="str" cm="1">
        <f t="array" ref="L225">IF(B185&lt;=0,0,ROUNDUP(SUMPRODUCT(LEN(C225:K225))/B185,0))&amp;" ligne(s)"</f>
        <v>0 ligne(s)</v>
      </c>
      <c r="N225" s="1672" t="s">
        <v>10</v>
      </c>
      <c r="O225" s="163" t="str">
        <f>O187</f>
        <v>B BEIGNETS D'ACACIA | pâtisserie--Beignets| Auteur &gt; Catherine et Pascal Roger</v>
      </c>
      <c r="P225" s="163">
        <f>P187</f>
        <v>6</v>
      </c>
      <c r="Q225" s="164" t="str">
        <f>Q187</f>
        <v>couverts</v>
      </c>
      <c r="R225" s="165" t="str">
        <f>R187</f>
        <v>Recette mère ► Beignets d'acacia</v>
      </c>
      <c r="S225" s="1548"/>
      <c r="T225" s="1548"/>
      <c r="U225" s="2190">
        <f>ROWS(Y209:Y225)</f>
        <v>17</v>
      </c>
      <c r="V225" s="5549" t="str" cm="1">
        <f t="array" ref="V225">IF(SUMPRODUCT((Y225:AD225&lt;&gt;"")*1)=0,"",SUMPRODUCT((Y225:AD225&lt;&gt;"")*(LEN(TRIM(SUBSTITUTE(Y225:AD225,CHAR(160)," "))) - LEN(SUBSTITUTE(TRIM(SUBSTITUTE(Y225:AD225,CHAR(160)," "))," ","")) + 1)) &amp; " mot" &amp; IF(SUMPRODUCT((Y225:AD225&lt;&gt;"")*(LEN(TRIM(SUBSTITUTE(Y225:AD225,CHAR(160)," "))) - LEN(SUBSTITUTE(TRIM(SUBSTITUTE(Y225:AD225,CHAR(160)," "))," ","")) + 1))&gt;1,"s",""))</f>
        <v/>
      </c>
      <c r="W225" s="5550" t="str" cm="1">
        <f t="array" ref="W225">SUMPRODUCT(--(Y225:AD225&lt;&gt;""), LEN(TRIM(SUBSTITUTE(Y225:AD225, CHAR(160), "")))) &amp; " Car."</f>
        <v>0 Car.</v>
      </c>
      <c r="X225" s="1376"/>
      <c r="Y225" s="1810"/>
      <c r="Z225" s="1810"/>
      <c r="AA225" s="1810"/>
      <c r="AB225" s="1810"/>
      <c r="AC225" s="1810"/>
      <c r="AD225" s="1810"/>
      <c r="AE225" s="1810"/>
      <c r="AF225" s="1810"/>
      <c r="AG225" s="1811"/>
      <c r="AJ225" s="1672" t="str">
        <f t="shared" si="35"/>
        <v>A</v>
      </c>
      <c r="AK225" s="1616"/>
      <c r="AL225" s="1333" t="s">
        <v>21</v>
      </c>
      <c r="AM225" s="493" t="s">
        <v>0</v>
      </c>
      <c r="AN225" s="93" t="s">
        <v>97</v>
      </c>
      <c r="AO225" s="93" t="s">
        <v>144</v>
      </c>
      <c r="AP225" s="93" t="s">
        <v>145</v>
      </c>
      <c r="AQ225" s="109" t="s">
        <v>104</v>
      </c>
      <c r="AR225" s="109" t="s">
        <v>146</v>
      </c>
      <c r="AS225" s="494" t="s">
        <v>147</v>
      </c>
      <c r="AV225" s="3">
        <v>1</v>
      </c>
    </row>
    <row r="226" spans="2:48" ht="21" customHeight="1">
      <c r="B226" s="1610" cm="1">
        <f t="array" ref="B226">SUMPRODUCT(LEN(C226:K226))</f>
        <v>0</v>
      </c>
      <c r="C226" s="1810"/>
      <c r="D226" s="1810"/>
      <c r="E226" s="1810"/>
      <c r="F226" s="1810"/>
      <c r="G226" s="1810"/>
      <c r="H226" s="1810"/>
      <c r="I226" s="1810"/>
      <c r="J226" s="1810"/>
      <c r="K226" s="1810"/>
      <c r="L226" s="2126" t="str" cm="1">
        <f t="array" ref="L226">IF(B185&lt;=0,0,ROUNDUP(SUMPRODUCT(LEN(C226:K226))/B185,0))&amp;" ligne(s)"</f>
        <v>0 ligne(s)</v>
      </c>
      <c r="N226" s="1672" t="s">
        <v>10</v>
      </c>
      <c r="O226" s="163" t="str">
        <f>O187</f>
        <v>B BEIGNETS D'ACACIA | pâtisserie--Beignets| Auteur &gt; Catherine et Pascal Roger</v>
      </c>
      <c r="P226" s="163">
        <f>P187</f>
        <v>6</v>
      </c>
      <c r="Q226" s="164" t="str">
        <f>Q187</f>
        <v>couverts</v>
      </c>
      <c r="R226" s="165" t="str">
        <f>R187</f>
        <v>Recette mère ► Beignets d'acacia</v>
      </c>
      <c r="S226" s="1548"/>
      <c r="T226" s="1548"/>
      <c r="U226" s="2190">
        <f>ROWS(Y209:Y226)</f>
        <v>18</v>
      </c>
      <c r="V226" s="5549" t="str" cm="1">
        <f t="array" ref="V226">IF(SUMPRODUCT((Y226:AD226&lt;&gt;"")*1)=0,"",SUMPRODUCT((Y226:AD226&lt;&gt;"")*(LEN(TRIM(SUBSTITUTE(Y226:AD226,CHAR(160)," "))) - LEN(SUBSTITUTE(TRIM(SUBSTITUTE(Y226:AD226,CHAR(160)," "))," ","")) + 1)) &amp; " mot" &amp; IF(SUMPRODUCT((Y226:AD226&lt;&gt;"")*(LEN(TRIM(SUBSTITUTE(Y226:AD226,CHAR(160)," "))) - LEN(SUBSTITUTE(TRIM(SUBSTITUTE(Y226:AD226,CHAR(160)," "))," ","")) + 1))&gt;1,"s",""))</f>
        <v/>
      </c>
      <c r="W226" s="5550" t="str" cm="1">
        <f t="array" ref="W226">SUMPRODUCT(--(Y226:AD226&lt;&gt;""), LEN(TRIM(SUBSTITUTE(Y226:AD226, CHAR(160), "")))) &amp; " Car."</f>
        <v>0 Car.</v>
      </c>
      <c r="X226" s="1376"/>
      <c r="Y226" s="1810"/>
      <c r="Z226" s="1810"/>
      <c r="AA226" s="1810"/>
      <c r="AB226" s="1810"/>
      <c r="AC226" s="1810"/>
      <c r="AD226" s="1810"/>
      <c r="AE226" s="1810"/>
      <c r="AF226" s="1810"/>
      <c r="AG226" s="1811"/>
      <c r="AJ226" s="1672" t="str">
        <f t="shared" si="35"/>
        <v>A</v>
      </c>
      <c r="AK226" s="1616"/>
      <c r="AL226" s="1333" t="s">
        <v>21</v>
      </c>
      <c r="AM226" s="495" t="s">
        <v>115</v>
      </c>
      <c r="AN226" s="155" t="s">
        <v>159</v>
      </c>
      <c r="AO226" s="155" t="s">
        <v>160</v>
      </c>
      <c r="AP226" s="109" t="s">
        <v>161</v>
      </c>
      <c r="AQ226" s="109" t="s">
        <v>162</v>
      </c>
      <c r="AR226" s="109" t="s">
        <v>105</v>
      </c>
      <c r="AS226" s="156" t="s">
        <v>163</v>
      </c>
      <c r="AV226" s="3">
        <v>1</v>
      </c>
    </row>
    <row r="227" spans="2:48" ht="21" customHeight="1">
      <c r="B227" s="1610" cm="1">
        <f t="array" ref="B227">SUMPRODUCT(LEN(C227:K227))</f>
        <v>0</v>
      </c>
      <c r="C227" s="1810"/>
      <c r="D227" s="1810"/>
      <c r="E227" s="1810"/>
      <c r="F227" s="1810"/>
      <c r="G227" s="1810"/>
      <c r="H227" s="1810"/>
      <c r="I227" s="1810"/>
      <c r="J227" s="1810"/>
      <c r="K227" s="1810"/>
      <c r="L227" s="2126" t="str" cm="1">
        <f t="array" ref="L227">IF(B185&lt;=0,0,ROUNDUP(SUMPRODUCT(LEN(C227:K227))/B185,0))&amp;" ligne(s)"</f>
        <v>0 ligne(s)</v>
      </c>
      <c r="N227" s="1672" t="s">
        <v>10</v>
      </c>
      <c r="O227" s="163" t="str">
        <f>O187</f>
        <v>B BEIGNETS D'ACACIA | pâtisserie--Beignets| Auteur &gt; Catherine et Pascal Roger</v>
      </c>
      <c r="P227" s="163">
        <f>P187</f>
        <v>6</v>
      </c>
      <c r="Q227" s="164" t="str">
        <f>Q187</f>
        <v>couverts</v>
      </c>
      <c r="R227" s="165" t="str">
        <f>R187</f>
        <v>Recette mère ► Beignets d'acacia</v>
      </c>
      <c r="S227" s="1548"/>
      <c r="T227" s="1548"/>
      <c r="U227" s="2190">
        <f>ROWS(Y209:Y227)</f>
        <v>19</v>
      </c>
      <c r="V227" s="5549" t="str" cm="1">
        <f t="array" ref="V227">IF(SUMPRODUCT((Y227:AD227&lt;&gt;"")*1)=0,"",SUMPRODUCT((Y227:AD227&lt;&gt;"")*(LEN(TRIM(SUBSTITUTE(Y227:AD227,CHAR(160)," "))) - LEN(SUBSTITUTE(TRIM(SUBSTITUTE(Y227:AD227,CHAR(160)," "))," ","")) + 1)) &amp; " mot" &amp; IF(SUMPRODUCT((Y227:AD227&lt;&gt;"")*(LEN(TRIM(SUBSTITUTE(Y227:AD227,CHAR(160)," "))) - LEN(SUBSTITUTE(TRIM(SUBSTITUTE(Y227:AD227,CHAR(160)," "))," ","")) + 1))&gt;1,"s",""))</f>
        <v/>
      </c>
      <c r="W227" s="5550" t="str" cm="1">
        <f t="array" ref="W227">SUMPRODUCT(--(Y227:AD227&lt;&gt;""), LEN(TRIM(SUBSTITUTE(Y227:AD227, CHAR(160), "")))) &amp; " Car."</f>
        <v>0 Car.</v>
      </c>
      <c r="X227" s="1376" t="str">
        <f>IF(ISBLANK(Y227),"",LARGE(X208:X226,1)+1)</f>
        <v/>
      </c>
      <c r="Y227" s="1810"/>
      <c r="Z227" s="1810"/>
      <c r="AA227" s="1810"/>
      <c r="AB227" s="1810"/>
      <c r="AC227" s="1810"/>
      <c r="AD227" s="1810"/>
      <c r="AE227" s="1810"/>
      <c r="AF227" s="1810"/>
      <c r="AG227" s="1811"/>
      <c r="AJ227" s="1672" t="str">
        <f t="shared" si="35"/>
        <v>A</v>
      </c>
      <c r="AK227" s="1616"/>
      <c r="AL227" s="1333" t="s">
        <v>21</v>
      </c>
      <c r="AM227" s="476"/>
      <c r="AN227" s="483" t="s">
        <v>592</v>
      </c>
      <c r="AO227" s="45"/>
      <c r="AP227" s="45"/>
      <c r="AQ227" s="45"/>
      <c r="AR227" s="45"/>
      <c r="AS227" s="46"/>
      <c r="AV227" s="3">
        <v>1</v>
      </c>
    </row>
    <row r="228" spans="2:48" ht="21" customHeight="1">
      <c r="B228" s="1610" cm="1">
        <f t="array" ref="B228">SUMPRODUCT(LEN(C228:K228))</f>
        <v>0</v>
      </c>
      <c r="C228" s="1810"/>
      <c r="D228" s="1810"/>
      <c r="E228" s="1810"/>
      <c r="F228" s="1810"/>
      <c r="G228" s="1810"/>
      <c r="H228" s="1810"/>
      <c r="I228" s="1810"/>
      <c r="J228" s="1810"/>
      <c r="K228" s="1810"/>
      <c r="L228" s="2126" t="str" cm="1">
        <f t="array" ref="L228">IF(B185&lt;=0,0,ROUNDUP(SUMPRODUCT(LEN(C228:K228))/B185,0))&amp;" ligne(s)"</f>
        <v>0 ligne(s)</v>
      </c>
      <c r="N228" s="1672" t="s">
        <v>10</v>
      </c>
      <c r="O228" s="163" t="str">
        <f>O187</f>
        <v>B BEIGNETS D'ACACIA | pâtisserie--Beignets| Auteur &gt; Catherine et Pascal Roger</v>
      </c>
      <c r="P228" s="163">
        <f>P187</f>
        <v>6</v>
      </c>
      <c r="Q228" s="164" t="str">
        <f>Q187</f>
        <v>couverts</v>
      </c>
      <c r="R228" s="165" t="str">
        <f>R187</f>
        <v>Recette mère ► Beignets d'acacia</v>
      </c>
      <c r="S228" s="1548"/>
      <c r="T228" s="1548"/>
      <c r="U228" s="2190">
        <f>ROWS(Y209:Y228)</f>
        <v>20</v>
      </c>
      <c r="V228" s="5549" t="str" cm="1">
        <f t="array" ref="V228">IF(SUMPRODUCT((Y228:AD228&lt;&gt;"")*1)=0,"",SUMPRODUCT((Y228:AD228&lt;&gt;"")*(LEN(TRIM(SUBSTITUTE(Y228:AD228,CHAR(160)," "))) - LEN(SUBSTITUTE(TRIM(SUBSTITUTE(Y228:AD228,CHAR(160)," "))," ","")) + 1)) &amp; " mot" &amp; IF(SUMPRODUCT((Y228:AD228&lt;&gt;"")*(LEN(TRIM(SUBSTITUTE(Y228:AD228,CHAR(160)," "))) - LEN(SUBSTITUTE(TRIM(SUBSTITUTE(Y228:AD228,CHAR(160)," "))," ","")) + 1))&gt;1,"s",""))</f>
        <v>13 mots</v>
      </c>
      <c r="W228" s="5550" t="str" cm="1">
        <f t="array" ref="W228">SUMPRODUCT(--(Y228:AD228&lt;&gt;""), LEN(TRIM(SUBSTITUTE(Y228:AD228, CHAR(160), "")))) &amp; " Car."</f>
        <v>80 Car.</v>
      </c>
      <c r="X228" s="1376" t="str">
        <f>IF(ISBLANK(Y228),"",LARGE(X208:X227,1)+1)</f>
        <v/>
      </c>
      <c r="Y228" s="1810"/>
      <c r="Z228" s="1810" t="s">
        <v>14252</v>
      </c>
      <c r="AA228" s="1810"/>
      <c r="AB228" s="1810"/>
      <c r="AC228" s="1810"/>
      <c r="AD228" s="1810"/>
      <c r="AE228" s="1810"/>
      <c r="AF228" s="1810"/>
      <c r="AG228" s="1811"/>
      <c r="AJ228" s="1672" t="str">
        <f t="shared" si="35"/>
        <v>A</v>
      </c>
      <c r="AK228" s="1616"/>
      <c r="AL228" s="1333" t="s">
        <v>21</v>
      </c>
      <c r="AM228" s="484"/>
      <c r="AN228" s="268" t="s">
        <v>593</v>
      </c>
      <c r="AO228" s="45"/>
      <c r="AP228" s="45"/>
      <c r="AQ228" s="45"/>
      <c r="AR228" s="45"/>
      <c r="AS228" s="46"/>
      <c r="AV228" s="3">
        <v>1</v>
      </c>
    </row>
    <row r="229" spans="2:48" ht="21" customHeight="1" thickBot="1">
      <c r="B229" s="1610" cm="1">
        <f t="array" ref="B229">SUMPRODUCT(LEN(C229:K229))</f>
        <v>0</v>
      </c>
      <c r="C229" s="1810"/>
      <c r="D229" s="1810"/>
      <c r="E229" s="1810"/>
      <c r="F229" s="1810"/>
      <c r="G229" s="1810"/>
      <c r="H229" s="1810"/>
      <c r="I229" s="1810"/>
      <c r="J229" s="1810"/>
      <c r="K229" s="1810"/>
      <c r="L229" s="2126" t="str" cm="1">
        <f t="array" ref="L229">IF(B185&lt;=0,0,ROUNDUP(SUMPRODUCT(LEN(C229:K229))/B185,0))&amp;" ligne(s)"</f>
        <v>0 ligne(s)</v>
      </c>
      <c r="N229" s="1672" t="s">
        <v>10</v>
      </c>
      <c r="O229" s="163" t="str">
        <f>O187</f>
        <v>B BEIGNETS D'ACACIA | pâtisserie--Beignets| Auteur &gt; Catherine et Pascal Roger</v>
      </c>
      <c r="P229" s="163">
        <f>P187</f>
        <v>6</v>
      </c>
      <c r="Q229" s="164" t="str">
        <f>Q187</f>
        <v>couverts</v>
      </c>
      <c r="R229" s="165" t="str">
        <f>R187</f>
        <v>Recette mère ► Beignets d'acacia</v>
      </c>
      <c r="S229" s="172"/>
      <c r="T229" s="1378" t="s">
        <v>207</v>
      </c>
      <c r="U229" s="1712" t="s">
        <v>8475</v>
      </c>
      <c r="V229" s="176"/>
      <c r="W229" s="176"/>
      <c r="X229" s="176"/>
      <c r="Y229" s="176"/>
      <c r="Z229" s="176"/>
      <c r="AA229" s="176"/>
      <c r="AB229" s="176"/>
      <c r="AC229" s="176"/>
      <c r="AD229" s="176"/>
      <c r="AE229" s="176"/>
      <c r="AF229" s="176"/>
      <c r="AG229" s="884"/>
      <c r="AJ229" s="1672" t="str">
        <f t="shared" si="35"/>
        <v>A</v>
      </c>
      <c r="AK229" s="1616"/>
      <c r="AL229" s="1333" t="s">
        <v>21</v>
      </c>
      <c r="AM229" s="485"/>
      <c r="AN229" s="486" t="s">
        <v>596</v>
      </c>
      <c r="AO229" s="45"/>
      <c r="AP229" s="45"/>
      <c r="AQ229" s="45"/>
      <c r="AR229" s="45"/>
      <c r="AS229" s="46"/>
      <c r="AV229" s="3">
        <v>1</v>
      </c>
    </row>
    <row r="230" spans="2:48" ht="21" customHeight="1">
      <c r="B230" s="1610" cm="1">
        <f t="array" ref="B230">SUMPRODUCT(LEN(C230:K230))</f>
        <v>0</v>
      </c>
      <c r="C230" s="1810"/>
      <c r="D230" s="1810"/>
      <c r="E230" s="1810"/>
      <c r="F230" s="1810"/>
      <c r="G230" s="1810"/>
      <c r="H230" s="1810"/>
      <c r="I230" s="1810"/>
      <c r="J230" s="1810"/>
      <c r="K230" s="1810"/>
      <c r="L230" s="2126" t="str" cm="1">
        <f t="array" ref="L230">IF(B185&lt;=0,0,ROUNDUP(SUMPRODUCT(LEN(C230:K230))/B185,0))&amp;" ligne(s)"</f>
        <v>0 ligne(s)</v>
      </c>
      <c r="N230" s="1672" t="s">
        <v>10</v>
      </c>
      <c r="O230" s="163" t="str">
        <f>O187</f>
        <v>B BEIGNETS D'ACACIA | pâtisserie--Beignets| Auteur &gt; Catherine et Pascal Roger</v>
      </c>
      <c r="P230" s="163">
        <f>P187</f>
        <v>6</v>
      </c>
      <c r="Q230" s="164" t="str">
        <f>Q187</f>
        <v>couverts</v>
      </c>
      <c r="R230" s="165" t="str">
        <f>R187</f>
        <v>Recette mère ► Beignets d'acacia</v>
      </c>
      <c r="S230" s="1379"/>
      <c r="T230" s="1380"/>
      <c r="U230" s="1380"/>
      <c r="V230" s="1380"/>
      <c r="W230" s="1380"/>
      <c r="X230" s="1380"/>
      <c r="Y230" s="1380"/>
      <c r="Z230" s="1381" t="s">
        <v>196</v>
      </c>
      <c r="AA230" s="202"/>
      <c r="AB230" s="202"/>
      <c r="AC230" s="202"/>
      <c r="AD230" s="202"/>
      <c r="AE230" s="202"/>
      <c r="AF230" s="202"/>
      <c r="AG230" s="885"/>
      <c r="AJ230" s="1672" t="str">
        <f t="shared" si="35"/>
        <v>A</v>
      </c>
      <c r="AK230" s="1616"/>
      <c r="AL230" s="1333" t="s">
        <v>21</v>
      </c>
      <c r="AM230" s="485"/>
      <c r="AN230" s="486" t="s">
        <v>599</v>
      </c>
      <c r="AO230" s="45"/>
      <c r="AP230" s="45"/>
      <c r="AQ230" s="45"/>
      <c r="AR230" s="45"/>
      <c r="AS230" s="46"/>
      <c r="AV230" s="3">
        <v>1</v>
      </c>
    </row>
    <row r="231" spans="2:48" ht="21" customHeight="1" thickBot="1">
      <c r="B231" s="1610" cm="1">
        <f t="array" ref="B231">SUMPRODUCT(LEN(C231:K231))</f>
        <v>0</v>
      </c>
      <c r="C231" s="1810"/>
      <c r="D231" s="1810"/>
      <c r="E231" s="1810"/>
      <c r="F231" s="1810"/>
      <c r="G231" s="1810"/>
      <c r="H231" s="1810"/>
      <c r="I231" s="1810"/>
      <c r="J231" s="1810"/>
      <c r="K231" s="1810"/>
      <c r="L231" s="2126" t="str" cm="1">
        <f t="array" ref="L231">IF(B185&lt;=0,0,ROUNDUP(SUMPRODUCT(LEN(C231:K231))/B185,0))&amp;" ligne(s)"</f>
        <v>0 ligne(s)</v>
      </c>
      <c r="N231" s="1672" t="s">
        <v>10</v>
      </c>
      <c r="O231" s="163" t="str">
        <f>O187</f>
        <v>B BEIGNETS D'ACACIA | pâtisserie--Beignets| Auteur &gt; Catherine et Pascal Roger</v>
      </c>
      <c r="P231" s="163">
        <f>P187</f>
        <v>6</v>
      </c>
      <c r="Q231" s="164" t="str">
        <f>Q187</f>
        <v>couverts</v>
      </c>
      <c r="R231" s="165" t="str">
        <f>R187</f>
        <v>Recette mère ► Beignets d'acacia</v>
      </c>
      <c r="S231" s="2139"/>
      <c r="T231" s="2124"/>
      <c r="U231" s="2138"/>
      <c r="V231" s="2140" t="s">
        <v>8860</v>
      </c>
      <c r="W231" s="2065">
        <f ca="1">W208</f>
        <v>132</v>
      </c>
      <c r="X231" s="886" t="s">
        <v>200</v>
      </c>
      <c r="Y231" s="2137"/>
      <c r="Z231" s="2137"/>
      <c r="AA231" s="2137"/>
      <c r="AB231" s="472"/>
      <c r="AC231" s="472"/>
      <c r="AD231" s="472"/>
      <c r="AE231" s="2260" t="str">
        <f>IF(Y232="","",(LEN(TRIM(SUBSTITUTE(Y232,CHAR(160)," ")))-LEN(SUBSTITUTE(TRIM(SUBSTITUTE(Y232,CHAR(160)," "))," ",""))+1)&amp;" mot"&amp;IF((LEN(TRIM(SUBSTITUTE(Y232,CHAR(160)," ")))-LEN(SUBSTITUTE(TRIM(SUBSTITUTE(Y232,CHAR(160)," "))," ",""))+1)&gt;1,"s",""))</f>
        <v>17 mots</v>
      </c>
      <c r="AF231" s="2259" t="str">
        <f>IF(Y232="","",LEN(TRIM(SUBSTITUTE(Y232,CHAR(160),""))))&amp;" Car."</f>
        <v>123 Car.</v>
      </c>
      <c r="AG231" s="2261" t="s">
        <v>8863</v>
      </c>
      <c r="AJ231" s="1672" t="str">
        <f t="shared" si="35"/>
        <v>A</v>
      </c>
      <c r="AK231" s="1616"/>
      <c r="AL231" s="1333" t="s">
        <v>21</v>
      </c>
      <c r="AM231" s="485"/>
      <c r="AN231" s="45"/>
      <c r="AO231" s="45"/>
      <c r="AP231" s="45"/>
      <c r="AQ231" s="45"/>
      <c r="AR231" s="45"/>
      <c r="AS231" s="46"/>
      <c r="AV231" s="3">
        <v>1</v>
      </c>
    </row>
    <row r="232" spans="2:48" ht="21" customHeight="1" thickBot="1">
      <c r="B232" s="1610" cm="1">
        <f t="array" ref="B232">SUMPRODUCT(LEN(C232:K232))</f>
        <v>0</v>
      </c>
      <c r="C232" s="1810"/>
      <c r="D232" s="1810"/>
      <c r="E232" s="1810"/>
      <c r="F232" s="1810"/>
      <c r="G232" s="1810"/>
      <c r="H232" s="1810"/>
      <c r="I232" s="1810"/>
      <c r="J232" s="1810"/>
      <c r="K232" s="1810"/>
      <c r="L232" s="2126" t="str" cm="1">
        <f t="array" ref="L232">IF(B185&lt;=0,0,ROUNDUP(SUMPRODUCT(LEN(C232:K232))/B185,0))&amp;" ligne(s)"</f>
        <v>0 ligne(s)</v>
      </c>
      <c r="N232" s="2107" t="s">
        <v>10</v>
      </c>
      <c r="O232" s="209" t="str">
        <f>O187</f>
        <v>B BEIGNETS D'ACACIA | pâtisserie--Beignets| Auteur &gt; Catherine et Pascal Roger</v>
      </c>
      <c r="P232" s="209">
        <f>P187</f>
        <v>6</v>
      </c>
      <c r="Q232" s="210" t="str">
        <f>Q187</f>
        <v>couverts</v>
      </c>
      <c r="R232" s="211" t="str">
        <f>R187</f>
        <v>Recette mère ► Beignets d'acacia</v>
      </c>
      <c r="S232" s="2129"/>
      <c r="T232" s="2130"/>
      <c r="U232" s="2131"/>
      <c r="V232" s="2132"/>
      <c r="W232" s="2133"/>
      <c r="X232" s="2133" t="s">
        <v>8864</v>
      </c>
      <c r="Y232" s="2258" t="s">
        <v>8866</v>
      </c>
      <c r="Z232" s="2136"/>
      <c r="AA232" s="2134"/>
      <c r="AB232" s="2134"/>
      <c r="AC232" s="2134"/>
      <c r="AD232" s="2134"/>
      <c r="AE232" s="2134"/>
      <c r="AF232" s="2134"/>
      <c r="AG232" s="2135"/>
      <c r="AJ232" s="2107" t="str">
        <f t="shared" si="35"/>
        <v>A</v>
      </c>
      <c r="AK232" s="1616"/>
      <c r="AL232" s="1333" t="s">
        <v>21</v>
      </c>
      <c r="AM232" s="496" t="s">
        <v>604</v>
      </c>
      <c r="AN232" s="45"/>
      <c r="AO232" s="45"/>
      <c r="AP232" s="45"/>
      <c r="AQ232" s="45"/>
      <c r="AR232" s="45"/>
      <c r="AS232" s="46"/>
      <c r="AV232" s="3">
        <v>1</v>
      </c>
    </row>
    <row r="233" spans="2:48" ht="21" customHeight="1" thickBot="1">
      <c r="B233" s="2143"/>
      <c r="C233" s="2142">
        <v>6</v>
      </c>
      <c r="D233" s="2142">
        <v>40</v>
      </c>
      <c r="E233" s="2142">
        <v>10</v>
      </c>
      <c r="F233" s="2142">
        <v>9</v>
      </c>
      <c r="G233" s="2142">
        <v>18</v>
      </c>
      <c r="H233" s="2142">
        <v>13</v>
      </c>
      <c r="I233" s="2142">
        <v>13</v>
      </c>
      <c r="J233" s="2142">
        <v>13</v>
      </c>
      <c r="K233" s="2142">
        <v>17</v>
      </c>
      <c r="L233" s="2144"/>
      <c r="N233" s="1674" t="s">
        <v>10</v>
      </c>
      <c r="O233" s="1675"/>
      <c r="P233" s="1675"/>
      <c r="Q233" s="1675"/>
      <c r="R233" s="1676"/>
      <c r="S233" s="1673" t="s">
        <v>207</v>
      </c>
      <c r="T233" s="1677" t="str">
        <f ca="1">CELL("nomfichier")</f>
        <v>D:\Données\1.UPRT\0-UPRT.fait\1-UPRT.FR-SITE-WEB\ff-fiches-fabrications\ff.fiches.fabrication.2023\ffr.restaurant.2023\[ff.FICHE.TRILINGUE.20.COLONNES.05.01.2026.xlsx]Couleurs.pour.vos.documents</v>
      </c>
      <c r="U233" s="1677"/>
      <c r="V233" s="1677"/>
      <c r="W233" s="1677"/>
      <c r="X233" s="1677"/>
      <c r="Y233" s="1677"/>
      <c r="Z233" s="1677"/>
      <c r="AA233" s="1677"/>
      <c r="AB233" s="1677"/>
      <c r="AC233" s="1677"/>
      <c r="AD233" s="1677"/>
      <c r="AE233" s="1677"/>
      <c r="AF233" s="1677"/>
      <c r="AG233" s="1678"/>
      <c r="AJ233" s="1674" t="str">
        <f t="shared" si="35"/>
        <v>A</v>
      </c>
      <c r="AK233" s="1616"/>
      <c r="AL233" s="1333" t="s">
        <v>21</v>
      </c>
      <c r="AM233" s="500" t="s">
        <v>607</v>
      </c>
      <c r="AN233" s="480" t="s">
        <v>5</v>
      </c>
      <c r="AO233" s="480" t="s">
        <v>6</v>
      </c>
      <c r="AP233" s="480" t="s">
        <v>7</v>
      </c>
      <c r="AQ233" s="480" t="s">
        <v>8</v>
      </c>
      <c r="AR233" s="501" t="s">
        <v>608</v>
      </c>
      <c r="AS233" s="46"/>
      <c r="AV233" s="3">
        <v>1</v>
      </c>
    </row>
    <row r="234" spans="2:48" ht="21" customHeight="1" thickBot="1">
      <c r="B234" s="1216" t="s">
        <v>10</v>
      </c>
      <c r="C234" s="1218" t="s">
        <v>2394</v>
      </c>
      <c r="D234" s="1217"/>
      <c r="E234" s="1217"/>
      <c r="F234" s="1217"/>
      <c r="G234" s="1218"/>
      <c r="H234" s="1217"/>
      <c r="I234" s="1217"/>
      <c r="J234" s="1217"/>
      <c r="K234" s="1217"/>
      <c r="L234" s="1224" t="s">
        <v>1755</v>
      </c>
      <c r="N234" s="1216" t="s">
        <v>10</v>
      </c>
      <c r="O234" s="1217" t="s">
        <v>10</v>
      </c>
      <c r="P234" s="1217" t="s">
        <v>10</v>
      </c>
      <c r="Q234" s="1217" t="s">
        <v>10</v>
      </c>
      <c r="R234" s="1217" t="s">
        <v>10</v>
      </c>
      <c r="S234" s="1218" t="s">
        <v>2394</v>
      </c>
      <c r="T234" s="1219"/>
      <c r="U234" s="1220"/>
      <c r="V234" s="1221"/>
      <c r="W234" s="1222"/>
      <c r="X234" s="1223"/>
      <c r="Y234" s="1223"/>
      <c r="Z234" s="1221"/>
      <c r="AA234" s="1221"/>
      <c r="AB234" s="1219"/>
      <c r="AC234" s="1219"/>
      <c r="AD234" s="1219"/>
      <c r="AE234" s="1219"/>
      <c r="AF234" s="1219"/>
      <c r="AG234" s="1224" t="s">
        <v>1755</v>
      </c>
      <c r="AJ234" s="1216" t="str">
        <f t="shared" si="35"/>
        <v>A</v>
      </c>
      <c r="AK234" s="1616"/>
      <c r="AL234" s="1333" t="s">
        <v>21</v>
      </c>
      <c r="AM234" s="504"/>
      <c r="AN234" s="505" t="s">
        <v>612</v>
      </c>
      <c r="AO234" s="506"/>
      <c r="AP234" s="506"/>
      <c r="AQ234" s="45"/>
      <c r="AR234" s="45"/>
      <c r="AS234" s="46"/>
      <c r="AV234" s="3">
        <v>1</v>
      </c>
    </row>
    <row r="235" spans="2:48" ht="21" customHeight="1">
      <c r="B235" s="6945" t="s">
        <v>2397</v>
      </c>
      <c r="C235" s="6946"/>
      <c r="D235" s="6946"/>
      <c r="E235" s="6946"/>
      <c r="F235" s="6946"/>
      <c r="G235" s="6946"/>
      <c r="H235" s="6946"/>
      <c r="I235" s="6946"/>
      <c r="J235" s="6946"/>
      <c r="K235" s="6946"/>
      <c r="L235" s="6947"/>
      <c r="N235" s="19" t="s">
        <v>10</v>
      </c>
      <c r="O235" s="1679" t="str">
        <f>O241</f>
        <v>B BEIGNETS D'ACACIA | pâtisserie--Beignets| Auteur &gt; Supertoinette</v>
      </c>
      <c r="P235" s="1680">
        <f>P241</f>
        <v>6</v>
      </c>
      <c r="Q235" s="1680" t="str">
        <f>Q241</f>
        <v>personnes</v>
      </c>
      <c r="R235" s="1681" t="str">
        <f>R241</f>
        <v>Recette mère ► Beignets d'acacia</v>
      </c>
      <c r="S235" s="1682" t="s">
        <v>21</v>
      </c>
      <c r="T235" s="1683" t="s">
        <v>22</v>
      </c>
      <c r="U235" s="1683"/>
      <c r="V235" s="6954" t="s">
        <v>8231</v>
      </c>
      <c r="W235" s="6954"/>
      <c r="X235" s="6954"/>
      <c r="Y235" s="6954"/>
      <c r="Z235" s="6954"/>
      <c r="AA235" s="6954"/>
      <c r="AB235" s="6954"/>
      <c r="AC235" s="6954"/>
      <c r="AD235" s="6954"/>
      <c r="AE235" s="6636" t="s">
        <v>8232</v>
      </c>
      <c r="AF235" s="6636"/>
      <c r="AG235" s="6976" t="str">
        <f>UPPER(LEFT(V235,1))</f>
        <v>B</v>
      </c>
      <c r="AJ235" s="19" t="str">
        <f t="shared" si="35"/>
        <v>A</v>
      </c>
      <c r="AK235" s="1616"/>
      <c r="AL235" s="1333" t="s">
        <v>21</v>
      </c>
      <c r="AM235" s="485"/>
      <c r="AN235" s="6589" t="s">
        <v>18</v>
      </c>
      <c r="AO235" s="6590">
        <v>10</v>
      </c>
      <c r="AP235" s="6591" t="s">
        <v>19</v>
      </c>
      <c r="AQ235" s="6589" t="s">
        <v>20</v>
      </c>
      <c r="AR235" s="45"/>
      <c r="AS235" s="46"/>
      <c r="AV235" s="3">
        <v>1</v>
      </c>
    </row>
    <row r="236" spans="2:48" ht="21" customHeight="1">
      <c r="B236" s="2158">
        <f t="shared" ref="B236:L236" ca="1" si="38">CELL("largeur",B236)</f>
        <v>11</v>
      </c>
      <c r="C236" s="2141">
        <f t="shared" ca="1" si="38"/>
        <v>6</v>
      </c>
      <c r="D236" s="2141">
        <f t="shared" ca="1" si="38"/>
        <v>40</v>
      </c>
      <c r="E236" s="2141">
        <f t="shared" ca="1" si="38"/>
        <v>10</v>
      </c>
      <c r="F236" s="2141">
        <f t="shared" ca="1" si="38"/>
        <v>9</v>
      </c>
      <c r="G236" s="2141">
        <f t="shared" ca="1" si="38"/>
        <v>18</v>
      </c>
      <c r="H236" s="2141">
        <f t="shared" ca="1" si="38"/>
        <v>13</v>
      </c>
      <c r="I236" s="2141">
        <f t="shared" ca="1" si="38"/>
        <v>13</v>
      </c>
      <c r="J236" s="2141">
        <f t="shared" ca="1" si="38"/>
        <v>13</v>
      </c>
      <c r="K236" s="2141">
        <f t="shared" ca="1" si="38"/>
        <v>17</v>
      </c>
      <c r="L236" s="2157">
        <f t="shared" ca="1" si="38"/>
        <v>11</v>
      </c>
      <c r="N236" s="1684" t="s">
        <v>10</v>
      </c>
      <c r="O236" s="1685" t="str">
        <f>O241</f>
        <v>B BEIGNETS D'ACACIA | pâtisserie--Beignets| Auteur &gt; Supertoinette</v>
      </c>
      <c r="P236" s="1686">
        <f>P241</f>
        <v>6</v>
      </c>
      <c r="Q236" s="1686" t="str">
        <f>Q241</f>
        <v>personnes</v>
      </c>
      <c r="R236" s="1687" t="str">
        <f>R241</f>
        <v>Recette mère ► Beignets d'acacia</v>
      </c>
      <c r="S236" s="1688" t="s">
        <v>28</v>
      </c>
      <c r="T236" s="1689" t="s">
        <v>831</v>
      </c>
      <c r="U236" s="1689"/>
      <c r="V236" s="6955"/>
      <c r="W236" s="6955"/>
      <c r="X236" s="6955"/>
      <c r="Y236" s="6955"/>
      <c r="Z236" s="6955"/>
      <c r="AA236" s="6955"/>
      <c r="AB236" s="6955"/>
      <c r="AC236" s="6955"/>
      <c r="AD236" s="6955"/>
      <c r="AE236" s="6637"/>
      <c r="AF236" s="6637"/>
      <c r="AG236" s="6977"/>
      <c r="AJ236" s="1684" t="str">
        <f t="shared" si="35"/>
        <v>A</v>
      </c>
      <c r="AK236" s="1616"/>
      <c r="AL236" s="1333" t="s">
        <v>21</v>
      </c>
      <c r="AM236" s="485"/>
      <c r="AN236" s="6589"/>
      <c r="AO236" s="6590"/>
      <c r="AP236" s="6591"/>
      <c r="AQ236" s="6589"/>
      <c r="AR236" s="45"/>
      <c r="AS236" s="46"/>
      <c r="AV236" s="3">
        <v>1</v>
      </c>
    </row>
    <row r="237" spans="2:48" ht="21" customHeight="1">
      <c r="B237" s="2146"/>
      <c r="C237" s="2147"/>
      <c r="D237" s="2147"/>
      <c r="E237" s="2147"/>
      <c r="F237" s="2148"/>
      <c r="G237" s="2147"/>
      <c r="H237" s="2149"/>
      <c r="I237" s="2149"/>
      <c r="J237" s="2149"/>
      <c r="K237" s="2150" t="s">
        <v>8876</v>
      </c>
      <c r="L237" s="2145">
        <f ca="1">SUM(C236:K236)</f>
        <v>139</v>
      </c>
      <c r="N237" s="1684" t="s">
        <v>10</v>
      </c>
      <c r="O237" s="31" t="str">
        <f>O241</f>
        <v>B BEIGNETS D'ACACIA | pâtisserie--Beignets| Auteur &gt; Supertoinette</v>
      </c>
      <c r="P237" s="32">
        <f>P241</f>
        <v>6</v>
      </c>
      <c r="Q237" s="32" t="str">
        <f>Q241</f>
        <v>personnes</v>
      </c>
      <c r="R237" s="33" t="str">
        <f>R241</f>
        <v>Recette mère ► Beignets d'acacia</v>
      </c>
      <c r="S237" s="1357"/>
      <c r="T237" s="1358" t="s">
        <v>30</v>
      </c>
      <c r="U237" s="34"/>
      <c r="V237" s="35" t="s">
        <v>31</v>
      </c>
      <c r="W237" s="36" t="s">
        <v>8334</v>
      </c>
      <c r="X237" s="9"/>
      <c r="Y237" s="9"/>
      <c r="Z237" s="36"/>
      <c r="AA237" s="36"/>
      <c r="AB237" s="36"/>
      <c r="AC237" s="37"/>
      <c r="AD237" s="9"/>
      <c r="AE237" s="9"/>
      <c r="AF237" s="9"/>
      <c r="AG237" s="2062" t="str" cm="1">
        <f t="array" aca="1" ref="AG237" ca="1">IF(COUNTIF(O263:AG263,"&lt;0.5")=0,"Aucune colonne masquée ",COUNTIF(O263:AG263,"&lt;0.5") &amp; " " &amp; IF(COUNTIF(O263:AG263,"&lt;0.5")&gt;1,"colonnes masquées","colonne masquée") &amp; " " &amp; _xlfn.TEXTJOIN(" ", TRUE, IF(O263:AG263&lt;0.5,O262:AG262,"")))&amp;" "</f>
        <v xml:space="preserve">Aucune colonne masquée  </v>
      </c>
      <c r="AJ237" s="1684" t="str">
        <f t="shared" si="35"/>
        <v>A</v>
      </c>
      <c r="AK237" s="1616"/>
      <c r="AL237" s="1333" t="s">
        <v>21</v>
      </c>
      <c r="AM237" s="485"/>
      <c r="AN237" s="6589"/>
      <c r="AO237" s="6590"/>
      <c r="AP237" s="6591"/>
      <c r="AQ237" s="6589"/>
      <c r="AR237" s="45"/>
      <c r="AS237" s="46"/>
      <c r="AV237" s="3">
        <v>1</v>
      </c>
    </row>
    <row r="238" spans="2:48" ht="21" customHeight="1">
      <c r="B238" s="2146"/>
      <c r="C238" s="2151" t="s">
        <v>8875</v>
      </c>
      <c r="D238" s="2147"/>
      <c r="E238" s="2147"/>
      <c r="F238" s="2148"/>
      <c r="G238" s="2152"/>
      <c r="H238" s="2152"/>
      <c r="I238" s="2152"/>
      <c r="J238" s="2152"/>
      <c r="K238" s="2153" t="s">
        <v>8863</v>
      </c>
      <c r="L238" s="2154" t="s">
        <v>21</v>
      </c>
      <c r="N238" s="1684" t="s">
        <v>10</v>
      </c>
      <c r="O238" s="31" t="str">
        <f>O241</f>
        <v>B BEIGNETS D'ACACIA | pâtisserie--Beignets| Auteur &gt; Supertoinette</v>
      </c>
      <c r="P238" s="32">
        <f>P241</f>
        <v>6</v>
      </c>
      <c r="Q238" s="32" t="str">
        <f>Q241</f>
        <v>personnes</v>
      </c>
      <c r="R238" s="33" t="str">
        <f>R241</f>
        <v>Recette mère ► Beignets d'acacia</v>
      </c>
      <c r="S238" s="39" t="s">
        <v>32</v>
      </c>
      <c r="T238" s="40"/>
      <c r="U238" s="40"/>
      <c r="V238" s="41" t="s">
        <v>33</v>
      </c>
      <c r="W238" s="6736" t="str">
        <f>Y241&amp;" "&amp;Z241&amp;" ► Famille = "&amp;AE235&amp;" ► "&amp;V235&amp;" "&amp;AC238&amp;" "&amp;AE238&amp;" "&amp;AF238&amp;" "&amp;AG238</f>
        <v>Recette mère ► Beignets d'acacia ► Famille = pâtisserie--Beignets ► BEIGNETS D'ACACIA  ⓫  Dupliquée pour 50 personnes</v>
      </c>
      <c r="X238" s="6736"/>
      <c r="Y238" s="6736"/>
      <c r="Z238" s="6736"/>
      <c r="AA238" s="6736"/>
      <c r="AB238" s="6736"/>
      <c r="AC238" s="6736"/>
      <c r="AD238" s="1359"/>
      <c r="AE238" s="1359" t="s">
        <v>35</v>
      </c>
      <c r="AF238" s="140">
        <v>50</v>
      </c>
      <c r="AG238" s="43" t="str">
        <f>AG240</f>
        <v>personnes</v>
      </c>
      <c r="AJ238" s="1684" t="str">
        <f t="shared" si="35"/>
        <v>A</v>
      </c>
      <c r="AK238" s="1616"/>
      <c r="AL238" s="1333" t="s">
        <v>21</v>
      </c>
      <c r="AM238" s="485"/>
      <c r="AN238" s="6589"/>
      <c r="AO238" s="6590"/>
      <c r="AP238" s="6591"/>
      <c r="AQ238" s="6589"/>
      <c r="AR238" s="45"/>
      <c r="AS238" s="46"/>
      <c r="AV238" s="3">
        <v>1</v>
      </c>
    </row>
    <row r="239" spans="2:48" ht="21" customHeight="1">
      <c r="B239" s="2155">
        <f>IF(C239="","",LEN(TRIM(SUBSTITUTE(C239,CHAR(160),""))))</f>
        <v>89</v>
      </c>
      <c r="C239" s="2128" t="s">
        <v>8874</v>
      </c>
      <c r="D239" s="2136"/>
      <c r="E239" s="2136"/>
      <c r="F239" s="2136"/>
      <c r="G239" s="2136"/>
      <c r="H239" s="2136"/>
      <c r="I239" s="2136"/>
      <c r="J239" s="2136"/>
      <c r="K239" s="2156"/>
      <c r="L239" s="2126" t="str" cm="1">
        <f t="array" ref="L239">IF(B239&lt;=0,0,ROUNDUP(SUMPRODUCT(LEN(C239:K239))/B239,0))&amp;" ligne(s)"</f>
        <v>1 ligne(s)</v>
      </c>
      <c r="N239" s="1684" t="s">
        <v>10</v>
      </c>
      <c r="O239" s="31" t="str">
        <f>O241</f>
        <v>B BEIGNETS D'ACACIA | pâtisserie--Beignets| Auteur &gt; Supertoinette</v>
      </c>
      <c r="P239" s="32">
        <f>P241</f>
        <v>6</v>
      </c>
      <c r="Q239" s="32" t="str">
        <f>Q241</f>
        <v>personnes</v>
      </c>
      <c r="R239" s="33" t="str">
        <f>R241</f>
        <v>Recette mère ► Beignets d'acacia</v>
      </c>
      <c r="S239" s="1360">
        <v>6</v>
      </c>
      <c r="T239" s="1361" t="s">
        <v>8237</v>
      </c>
      <c r="U239" s="39"/>
      <c r="V239" s="39"/>
      <c r="W239" s="6736"/>
      <c r="X239" s="6736"/>
      <c r="Y239" s="6736"/>
      <c r="Z239" s="6736"/>
      <c r="AA239" s="6736"/>
      <c r="AB239" s="6736"/>
      <c r="AC239" s="6736"/>
      <c r="AD239" s="696"/>
      <c r="AE239" s="696"/>
      <c r="AF239" s="47" t="s">
        <v>40</v>
      </c>
      <c r="AG239" s="48" t="s">
        <v>41</v>
      </c>
      <c r="AJ239" s="1684" t="str">
        <f t="shared" si="35"/>
        <v>A</v>
      </c>
      <c r="AK239" s="1616"/>
      <c r="AL239" s="1333" t="s">
        <v>21</v>
      </c>
      <c r="AM239" s="485"/>
      <c r="AN239" s="6589"/>
      <c r="AO239" s="6590"/>
      <c r="AP239" s="6591"/>
      <c r="AQ239" s="6589"/>
      <c r="AR239" s="45"/>
      <c r="AS239" s="46"/>
      <c r="AV239" s="3">
        <v>1</v>
      </c>
    </row>
    <row r="240" spans="2:48" ht="21" customHeight="1">
      <c r="B240" s="6939" t="s">
        <v>1527</v>
      </c>
      <c r="C240" s="6940" t="s">
        <v>8234</v>
      </c>
      <c r="D240" s="6940"/>
      <c r="E240" s="6940"/>
      <c r="F240" s="6940"/>
      <c r="G240" s="6940"/>
      <c r="H240" s="6940"/>
      <c r="I240" s="6940"/>
      <c r="J240" s="6940"/>
      <c r="K240" s="6940"/>
      <c r="L240" s="6942" t="s">
        <v>8859</v>
      </c>
      <c r="N240" s="1684" t="s">
        <v>10</v>
      </c>
      <c r="O240" s="31" t="str">
        <f>O241</f>
        <v>B BEIGNETS D'ACACIA | pâtisserie--Beignets| Auteur &gt; Supertoinette</v>
      </c>
      <c r="P240" s="32">
        <f>P241</f>
        <v>6</v>
      </c>
      <c r="Q240" s="32" t="str">
        <f>Q241</f>
        <v>personnes</v>
      </c>
      <c r="R240" s="33" t="str">
        <f>R241</f>
        <v>Recette mère ► Beignets d'acacia</v>
      </c>
      <c r="S240" s="53"/>
      <c r="T240" s="1323" t="s">
        <v>8094</v>
      </c>
      <c r="U240" s="6737">
        <f>AC257</f>
        <v>0.75719999999999998</v>
      </c>
      <c r="V240" s="6737"/>
      <c r="W240" s="1324" t="str" cm="1">
        <f t="array" ref="W240">"1= "&amp;IF(OR(S239&lt;=0,U240=""),"",_xlfn.LET(_xlpm.kg,IF(ISNUMBER(U240),U240,VALEUR(SUBSTITUTE(SUBSTITUTE(SUBSTITUTE(LOWER(U240),"kg",""),",",".")," ",""))),TEXT(ROUND(_xlpm.kg*1000/S239,2),"0.##")&amp;" g"))</f>
        <v>1= 126.2 g</v>
      </c>
      <c r="X240" s="1325">
        <f>IFERROR(AF238/AF240,0)</f>
        <v>8.3333333333333339</v>
      </c>
      <c r="Y240" s="1817" t="s">
        <v>8230</v>
      </c>
      <c r="Z240" s="579"/>
      <c r="AA240" s="55"/>
      <c r="AB240" s="55"/>
      <c r="AD240" s="1362"/>
      <c r="AE240" s="1362" t="s">
        <v>50</v>
      </c>
      <c r="AF240" s="154">
        <v>6</v>
      </c>
      <c r="AG240" s="56" t="s">
        <v>8237</v>
      </c>
      <c r="AJ240" s="1684" t="str">
        <f t="shared" si="35"/>
        <v>A</v>
      </c>
      <c r="AK240" s="1616"/>
      <c r="AL240" s="1333" t="s">
        <v>21</v>
      </c>
      <c r="AM240" s="485"/>
      <c r="AN240" s="6589"/>
      <c r="AO240" s="6590"/>
      <c r="AP240" s="6591"/>
      <c r="AQ240" s="6589"/>
      <c r="AR240" s="45"/>
      <c r="AS240" s="46"/>
      <c r="AV240" s="3">
        <v>1</v>
      </c>
    </row>
    <row r="241" spans="2:48" ht="21" customHeight="1">
      <c r="B241" s="6939"/>
      <c r="C241" s="6941"/>
      <c r="D241" s="6941"/>
      <c r="E241" s="6941"/>
      <c r="F241" s="6941"/>
      <c r="G241" s="6941"/>
      <c r="H241" s="6941"/>
      <c r="I241" s="6941"/>
      <c r="J241" s="6941"/>
      <c r="K241" s="6941"/>
      <c r="L241" s="6942"/>
      <c r="N241" s="1684" t="s">
        <v>10</v>
      </c>
      <c r="O241" s="61" t="str">
        <f>S241</f>
        <v>B BEIGNETS D'ACACIA | pâtisserie--Beignets| Auteur &gt; Supertoinette</v>
      </c>
      <c r="P241" s="62">
        <f>S239</f>
        <v>6</v>
      </c>
      <c r="Q241" s="61" t="str">
        <f>T239</f>
        <v>personnes</v>
      </c>
      <c r="R241" s="63" t="str">
        <f>Y241&amp;" "&amp;Z241</f>
        <v>Recette mère ► Beignets d'acacia</v>
      </c>
      <c r="S241" s="64" t="str">
        <f>UPPER(LEFT(V235,1))&amp;" "&amp;V235&amp;" | "&amp;AE235&amp;"| "&amp;V237&amp;" "&amp;W237</f>
        <v>B BEIGNETS D'ACACIA | pâtisserie--Beignets| Auteur &gt; Supertoinette</v>
      </c>
      <c r="T241" s="65" t="s">
        <v>53</v>
      </c>
      <c r="U241" s="6735" t="s">
        <v>54</v>
      </c>
      <c r="V241" s="6735"/>
      <c r="W241" s="6735"/>
      <c r="X241" s="66"/>
      <c r="Y241" s="66" t="str">
        <f>IF(ISTEXT(Z241),"Recette mère ►",T241)</f>
        <v>Recette mère ►</v>
      </c>
      <c r="Z241" s="67" t="s">
        <v>8142</v>
      </c>
      <c r="AA241" s="67"/>
      <c r="AB241" s="67"/>
      <c r="AC241" s="883"/>
      <c r="AD241" s="68"/>
      <c r="AE241" s="68"/>
      <c r="AF241" s="68"/>
      <c r="AG241"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J241" s="1684" t="str">
        <f t="shared" si="35"/>
        <v>A</v>
      </c>
      <c r="AK241" s="1616"/>
      <c r="AL241" s="1333" t="s">
        <v>21</v>
      </c>
      <c r="AM241" s="485"/>
      <c r="AN241" s="6589"/>
      <c r="AO241" s="6590"/>
      <c r="AP241" s="6591"/>
      <c r="AQ241" s="6589"/>
      <c r="AR241" s="45"/>
      <c r="AS241" s="46"/>
      <c r="AV241" s="3">
        <v>1</v>
      </c>
    </row>
    <row r="242" spans="2:48" ht="21" customHeight="1">
      <c r="B242" s="1610" cm="1">
        <f t="array" ref="B242">SUMPRODUCT(LEN(C242:K242))</f>
        <v>0</v>
      </c>
      <c r="C242" s="1837"/>
      <c r="D242" s="1837"/>
      <c r="E242" s="1837"/>
      <c r="F242" s="1837"/>
      <c r="G242" s="1837"/>
      <c r="H242" s="1837"/>
      <c r="I242" s="1837"/>
      <c r="J242" s="1837"/>
      <c r="K242" s="1837"/>
      <c r="L242" s="2126" t="str" cm="1">
        <f t="array" ref="L242">IF(B239&lt;=0,0,ROUNDUP(SUMPRODUCT(LEN(C242:K242))/B239,0))&amp;" ligne(s)"</f>
        <v>0 ligne(s)</v>
      </c>
      <c r="N242" s="1684" t="s">
        <v>10</v>
      </c>
      <c r="O242" s="70" t="str">
        <f>O241</f>
        <v>B BEIGNETS D'ACACIA | pâtisserie--Beignets| Auteur &gt; Supertoinette</v>
      </c>
      <c r="P242" s="70">
        <f>P241</f>
        <v>6</v>
      </c>
      <c r="Q242" s="70" t="str">
        <f>Q241</f>
        <v>personnes</v>
      </c>
      <c r="R242" s="71" t="str">
        <f>R241</f>
        <v>Recette mère ► Beignets d'acacia</v>
      </c>
      <c r="S242" s="12" t="s">
        <v>65</v>
      </c>
      <c r="T242" s="12" t="s">
        <v>66</v>
      </c>
      <c r="U242" s="12" t="s">
        <v>67</v>
      </c>
      <c r="V242" s="12" t="s">
        <v>68</v>
      </c>
      <c r="W242" s="72" t="s">
        <v>69</v>
      </c>
      <c r="X242" s="73" t="s">
        <v>70</v>
      </c>
      <c r="Y242" s="12" t="s">
        <v>71</v>
      </c>
      <c r="Z242" s="12" t="s">
        <v>72</v>
      </c>
      <c r="AA242" s="12" t="s">
        <v>73</v>
      </c>
      <c r="AB242" s="12" t="s">
        <v>74</v>
      </c>
      <c r="AC242" s="12" t="s">
        <v>75</v>
      </c>
      <c r="AD242" s="12" t="s">
        <v>76</v>
      </c>
      <c r="AE242" s="12" t="s">
        <v>77</v>
      </c>
      <c r="AF242" s="12" t="s">
        <v>8143</v>
      </c>
      <c r="AG242" s="74" t="s">
        <v>8407</v>
      </c>
      <c r="AJ242" s="1684" t="str">
        <f t="shared" si="35"/>
        <v>A</v>
      </c>
      <c r="AK242" s="1616"/>
      <c r="AL242" s="1333" t="s">
        <v>21</v>
      </c>
      <c r="AM242" s="485"/>
      <c r="AN242" s="6589"/>
      <c r="AO242" s="508"/>
      <c r="AP242" s="508"/>
      <c r="AQ242" s="6589"/>
      <c r="AR242" s="45"/>
      <c r="AS242" s="46"/>
      <c r="AV242" s="3">
        <v>1</v>
      </c>
    </row>
    <row r="243" spans="2:48" ht="21" customHeight="1">
      <c r="B243" s="1610" cm="1">
        <f t="array" ref="B243">SUMPRODUCT(LEN(C243:K243))</f>
        <v>31</v>
      </c>
      <c r="C243" s="1810"/>
      <c r="D243" s="1810"/>
      <c r="E243" s="2125" t="s">
        <v>8335</v>
      </c>
      <c r="F243" s="2125"/>
      <c r="G243" s="1810"/>
      <c r="H243" s="1810"/>
      <c r="I243" s="1810"/>
      <c r="J243" s="1810"/>
      <c r="K243" s="1810"/>
      <c r="L243" s="2126" t="str" cm="1">
        <f t="array" ref="L243">IF(B239&lt;=0,0,ROUNDUP(SUMPRODUCT(LEN(C243:K243))/B239,0))&amp;" ligne(s)"</f>
        <v>1 ligne(s)</v>
      </c>
      <c r="N243" s="1684" t="s">
        <v>10</v>
      </c>
      <c r="O243" s="31" t="str">
        <f>O241</f>
        <v>B BEIGNETS D'ACACIA | pâtisserie--Beignets| Auteur &gt; Supertoinette</v>
      </c>
      <c r="P243" s="32">
        <f>P241</f>
        <v>6</v>
      </c>
      <c r="Q243" s="31" t="str">
        <f>Q241</f>
        <v>personnes</v>
      </c>
      <c r="R243" s="33" t="str">
        <f>R241</f>
        <v>Recette mère ► Beignets d'acacia</v>
      </c>
      <c r="S243" s="76" t="s">
        <v>78</v>
      </c>
      <c r="T243" s="77" t="s">
        <v>79</v>
      </c>
      <c r="U243" s="78"/>
      <c r="V243" s="6612" t="s">
        <v>80</v>
      </c>
      <c r="W243" s="6730" t="s">
        <v>81</v>
      </c>
      <c r="X243" s="6732" t="s">
        <v>82</v>
      </c>
      <c r="Y243" s="6738" t="s">
        <v>8575</v>
      </c>
      <c r="Z243" s="79" t="s">
        <v>83</v>
      </c>
      <c r="AA243" s="80" t="s">
        <v>49</v>
      </c>
      <c r="AB243" s="81" t="s">
        <v>84</v>
      </c>
      <c r="AC243" s="6607" t="s">
        <v>85</v>
      </c>
      <c r="AD243" s="6582" t="s">
        <v>84</v>
      </c>
      <c r="AE243" s="6727" t="s">
        <v>8405</v>
      </c>
      <c r="AF243" s="6584" t="s">
        <v>86</v>
      </c>
      <c r="AG243" s="6728" t="s">
        <v>87</v>
      </c>
      <c r="AJ243" s="1684" t="str">
        <f t="shared" si="35"/>
        <v>A</v>
      </c>
      <c r="AK243" s="1616"/>
      <c r="AL243" s="1333" t="s">
        <v>21</v>
      </c>
      <c r="AM243" s="887" t="s">
        <v>794</v>
      </c>
      <c r="AN243" s="1204" t="s">
        <v>3082</v>
      </c>
      <c r="AO243" s="1202"/>
      <c r="AP243" s="1202"/>
      <c r="AQ243" s="1203" t="s">
        <v>3049</v>
      </c>
      <c r="AR243" s="1202"/>
      <c r="AS243" s="46"/>
      <c r="AV243" s="3">
        <v>1</v>
      </c>
    </row>
    <row r="244" spans="2:48" ht="21" customHeight="1">
      <c r="B244" s="1610" cm="1">
        <f t="array" ref="B244">SUMPRODUCT(LEN(C244:K244))</f>
        <v>0</v>
      </c>
      <c r="C244" s="1810"/>
      <c r="D244" s="1810"/>
      <c r="E244" s="1810"/>
      <c r="F244" s="1810"/>
      <c r="G244" s="1810"/>
      <c r="H244" s="1810"/>
      <c r="I244" s="1810"/>
      <c r="J244" s="1810"/>
      <c r="K244" s="1810"/>
      <c r="L244" s="2126" t="str" cm="1">
        <f t="array" ref="L244">IF(B239&lt;=0,0,ROUNDUP(SUMPRODUCT(LEN(C244:K244))/B239,0))&amp;" ligne(s)"</f>
        <v>0 ligne(s)</v>
      </c>
      <c r="N244" s="1684" t="s">
        <v>10</v>
      </c>
      <c r="O244" s="31" t="str">
        <f>O241</f>
        <v>B BEIGNETS D'ACACIA | pâtisserie--Beignets| Auteur &gt; Supertoinette</v>
      </c>
      <c r="P244" s="32">
        <f>P241</f>
        <v>6</v>
      </c>
      <c r="Q244" s="31" t="str">
        <f>Q241</f>
        <v>personnes</v>
      </c>
      <c r="R244" s="33" t="str">
        <f>R241</f>
        <v>Recette mère ► Beignets d'acacia</v>
      </c>
      <c r="S244" s="83" t="s">
        <v>92</v>
      </c>
      <c r="T244" s="84" t="s">
        <v>93</v>
      </c>
      <c r="U244" s="85" t="s">
        <v>94</v>
      </c>
      <c r="V244" s="6577"/>
      <c r="W244" s="6471"/>
      <c r="X244" s="6606"/>
      <c r="Y244" s="6739"/>
      <c r="Z244" s="86" t="s">
        <v>95</v>
      </c>
      <c r="AA244" s="87" t="s">
        <v>96</v>
      </c>
      <c r="AB244" s="88">
        <v>1</v>
      </c>
      <c r="AC244" s="6608"/>
      <c r="AD244" s="6583"/>
      <c r="AE244" s="6583"/>
      <c r="AF244" s="6585"/>
      <c r="AG244" s="6786"/>
      <c r="AJ244" s="1684" t="str">
        <f t="shared" si="35"/>
        <v>A</v>
      </c>
      <c r="AK244" s="1616"/>
      <c r="AL244" s="1333" t="s">
        <v>21</v>
      </c>
      <c r="AM244" s="888" t="s">
        <v>1776</v>
      </c>
      <c r="AN244" s="45"/>
      <c r="AO244" s="45"/>
      <c r="AP244" s="45"/>
      <c r="AQ244" s="45"/>
      <c r="AR244" s="45"/>
      <c r="AS244" s="46"/>
      <c r="AV244" s="3">
        <v>1</v>
      </c>
    </row>
    <row r="245" spans="2:48" ht="21" customHeight="1">
      <c r="B245" s="1610" cm="1">
        <f t="array" ref="B245">SUMPRODUCT(LEN(C245:K245))</f>
        <v>0</v>
      </c>
      <c r="C245" s="1810"/>
      <c r="D245" s="1810"/>
      <c r="E245" s="1810"/>
      <c r="F245" s="1810"/>
      <c r="G245" s="1810"/>
      <c r="H245" s="1810"/>
      <c r="I245" s="1810"/>
      <c r="J245" s="1810"/>
      <c r="K245" s="1810"/>
      <c r="L245" s="2126" t="str" cm="1">
        <f t="array" ref="L245">IF(B239&lt;=0,0,ROUNDUP(SUMPRODUCT(LEN(C245:K245))/B239,0))&amp;" ligne(s)"</f>
        <v>0 ligne(s)</v>
      </c>
      <c r="N245" s="1684" t="s">
        <v>10</v>
      </c>
      <c r="O245" s="31" t="str">
        <f>O241</f>
        <v>B BEIGNETS D'ACACIA | pâtisserie--Beignets| Auteur &gt; Supertoinette</v>
      </c>
      <c r="P245" s="32">
        <f>P241</f>
        <v>6</v>
      </c>
      <c r="Q245" s="31" t="str">
        <f>Q241</f>
        <v>personnes</v>
      </c>
      <c r="R245" s="33" t="str">
        <f>R241</f>
        <v>Recette mère ► Beignets d'acacia</v>
      </c>
      <c r="S245" s="89"/>
      <c r="T245" s="108"/>
      <c r="U245" s="1363" t="str">
        <f t="shared" ref="U245:U253" si="39">IF(AND(S245&gt;0,V245&gt;0),"de","")</f>
        <v/>
      </c>
      <c r="V245" s="92">
        <v>250</v>
      </c>
      <c r="W245" s="104" t="s">
        <v>100</v>
      </c>
      <c r="X245" s="130">
        <v>1</v>
      </c>
      <c r="Y245" s="1812" t="str">
        <f>ROWS(Y245:Y245)&amp;" ►"</f>
        <v>1 ►</v>
      </c>
      <c r="Z245" s="1580" t="s">
        <v>8243</v>
      </c>
      <c r="AA245" s="95">
        <f>IF(AC257=0,0,(AC245/AC257)*AB244*1000)</f>
        <v>330.1637612255679</v>
      </c>
      <c r="AB245" s="96">
        <f>IF(AC257=0, 0, (S245*X245)/(AC257*AB244))</f>
        <v>0</v>
      </c>
      <c r="AC245" s="97" cm="1">
        <f t="array" ref="AC245">IFERROR(_xlfn.XLOOKUP(UPPER(TRIM(W245)),UPPER(TRIM(S258:AG258)),S259:AG259,_xlfn.XLOOKUP(UPPER(TRIM(W245)),UPPER(TRIM(S260:AG260)),S261:AG261,0))*V245*IF(S245&gt;0,S245,1),0)</f>
        <v>0.25</v>
      </c>
      <c r="AD245" s="98">
        <f>IF(AF240&lt;&gt;0,S245*X245*X240,0)</f>
        <v>0</v>
      </c>
      <c r="AE245" s="1834">
        <f>T245</f>
        <v>0</v>
      </c>
      <c r="AF245" s="99">
        <f>IF(OR(ISBLANK(AF240),AF240=0),0,AC245*X245*X240)</f>
        <v>2.0833333333333335</v>
      </c>
      <c r="AG245" s="100" t="str">
        <f>IF(W245="","",IF(COUNTIF(Z258:AG258,SUBSTITUTE(TRIM(W245)," (s)",""))+COUNTIF(Z260:AG260,SUBSTITUTE(TRIM(W245)," (s)",""))&gt;0,IF(ROUND(AF245,3)&gt;=1,ROUND(AF245,3)&amp;" L",MAX(1,ROUND(AF245*100,0))&amp;" cl"),IF(COUNTIF(S258:X258,SUBSTITUTE(TRIM(W245)," (s)",""))+COUNTIF(S260:X260,SUBSTITUTE(TRIM(W245)," (s)",""))&gt;0,IF(ROUND(AF245,3)&gt;=1,ROUND(AF245,3)&amp;" Kg",MAX(1,ROUND(AF245*1000,0))&amp;" g"),"")))</f>
        <v>2.083 Kg</v>
      </c>
      <c r="AJ245" s="1684" t="str">
        <f t="shared" si="35"/>
        <v>A</v>
      </c>
      <c r="AK245" s="1616"/>
      <c r="AL245" s="1333" t="s">
        <v>21</v>
      </c>
      <c r="AM245" s="6592" t="s">
        <v>1785</v>
      </c>
      <c r="AN245" s="6593"/>
      <c r="AO245" s="6593"/>
      <c r="AP245" s="6593"/>
      <c r="AQ245" s="6593"/>
      <c r="AR245" s="6593"/>
      <c r="AS245" s="6594"/>
      <c r="AV245" s="3">
        <v>1</v>
      </c>
    </row>
    <row r="246" spans="2:48" ht="21" customHeight="1">
      <c r="B246" s="1610" cm="1">
        <f t="array" ref="B246">SUMPRODUCT(LEN(C246:K246))</f>
        <v>0</v>
      </c>
      <c r="C246" s="1810"/>
      <c r="D246" s="1810"/>
      <c r="E246" s="1810"/>
      <c r="F246" s="1810"/>
      <c r="G246" s="1810"/>
      <c r="H246" s="1810"/>
      <c r="I246" s="1810"/>
      <c r="J246" s="1810"/>
      <c r="K246" s="1810"/>
      <c r="L246" s="2126" t="str" cm="1">
        <f t="array" ref="L246">IF(B239&lt;=0,0,ROUNDUP(SUMPRODUCT(LEN(C246:K246))/B239,0))&amp;" ligne(s)"</f>
        <v>0 ligne(s)</v>
      </c>
      <c r="N246" s="103" t="str">
        <f>IF(Z246&lt;&gt;"","A","►")</f>
        <v>A</v>
      </c>
      <c r="O246" s="31" t="str">
        <f>O241</f>
        <v>B BEIGNETS D'ACACIA | pâtisserie--Beignets| Auteur &gt; Supertoinette</v>
      </c>
      <c r="P246" s="32">
        <f>P241</f>
        <v>6</v>
      </c>
      <c r="Q246" s="31" t="str">
        <f>Q241</f>
        <v>personnes</v>
      </c>
      <c r="R246" s="33" t="str">
        <f>R241</f>
        <v>Recette mère ► Beignets d'acacia</v>
      </c>
      <c r="S246" s="89">
        <v>1</v>
      </c>
      <c r="T246" s="108" t="s">
        <v>8245</v>
      </c>
      <c r="U246" s="91" t="str">
        <f t="shared" si="39"/>
        <v>de</v>
      </c>
      <c r="V246" s="92">
        <v>75</v>
      </c>
      <c r="W246" s="104" t="s">
        <v>100</v>
      </c>
      <c r="X246" s="130">
        <v>1</v>
      </c>
      <c r="Y246" s="1813" t="str">
        <f>ROWS(Y245:Y246)&amp;" ►"</f>
        <v>2 ►</v>
      </c>
      <c r="Z246" s="1580" t="s">
        <v>8336</v>
      </c>
      <c r="AA246" s="95">
        <f>IF(AC257=0,0,(AC246/AC257)*AB244*1000)</f>
        <v>99.049128367670363</v>
      </c>
      <c r="AB246" s="105">
        <f>IF(AC257=0, 0, (S246*X246)/(AC257*AB244))</f>
        <v>1.3206550449022716</v>
      </c>
      <c r="AC246" s="97" cm="1">
        <f t="array" ref="AC246">IFERROR(_xlfn.XLOOKUP(UPPER(TRIM(W246)),UPPER(TRIM(S258:AG258)),S259:AG259,_xlfn.XLOOKUP(UPPER(TRIM(W246)),UPPER(TRIM(S260:AG260)),S261:AG261,0))*V246*IF(S246&gt;0,S246,1),0)</f>
        <v>7.4999999999999997E-2</v>
      </c>
      <c r="AD246" s="110">
        <f>IF(AF240&lt;&gt;0,S246*X246*X240,0)</f>
        <v>8.3333333333333339</v>
      </c>
      <c r="AE246" s="1748" t="str">
        <f t="shared" ref="AE246:AE256" si="40">T246</f>
        <v>œuf</v>
      </c>
      <c r="AF246" s="99">
        <f>IF(OR(ISBLANK(AF240),AF240=0),0,AC246*X246*X240)</f>
        <v>0.625</v>
      </c>
      <c r="AG246" s="111" t="str">
        <f>IF(W246="","",IF(COUNTIF(Z258:AG258,SUBSTITUTE(TRIM(W246)," (s)",""))+COUNTIF(Z260:AG260,SUBSTITUTE(TRIM(W246)," (s)",""))&gt;0,IF(ROUND(AF246,3)&gt;=1,ROUND(AF246,3)&amp;" L",MAX(1,ROUND(AF246*100,0))&amp;" cl"),IF(COUNTIF(S258:X258,SUBSTITUTE(TRIM(W246)," (s)",""))+COUNTIF(S260:X260,SUBSTITUTE(TRIM(W246)," (s)",""))&gt;0,IF(ROUND(AF246,3)&gt;=1,ROUND(AF246,3)&amp;" Kg",MAX(1,ROUND(AF246*1000,0))&amp;" g"),"")))</f>
        <v>625 g</v>
      </c>
      <c r="AJ246" s="103" t="str">
        <f t="shared" si="35"/>
        <v>A</v>
      </c>
      <c r="AK246" s="1616"/>
      <c r="AL246" s="1333" t="s">
        <v>21</v>
      </c>
      <c r="AM246" s="6592"/>
      <c r="AN246" s="6593"/>
      <c r="AO246" s="6593"/>
      <c r="AP246" s="6593"/>
      <c r="AQ246" s="6593"/>
      <c r="AR246" s="6593"/>
      <c r="AS246" s="6594"/>
      <c r="AV246" s="3">
        <v>1</v>
      </c>
    </row>
    <row r="247" spans="2:48" ht="21" customHeight="1">
      <c r="B247" s="1610" cm="1">
        <f t="array" ref="B247">SUMPRODUCT(LEN(C247:K247))</f>
        <v>0</v>
      </c>
      <c r="C247" s="1810"/>
      <c r="D247" s="1810"/>
      <c r="E247" s="1810"/>
      <c r="F247" s="1810"/>
      <c r="G247" s="1810"/>
      <c r="H247" s="1810"/>
      <c r="I247" s="1810"/>
      <c r="J247" s="1810"/>
      <c r="K247" s="1810"/>
      <c r="L247" s="2126" t="str" cm="1">
        <f t="array" ref="L247">IF(B239&lt;=0,0,ROUNDUP(SUMPRODUCT(LEN(C247:K247))/B239,0))&amp;" ligne(s)"</f>
        <v>0 ligne(s)</v>
      </c>
      <c r="N247" s="103" t="str">
        <f t="shared" ref="N247:N255" si="41">IF(Z247&lt;&gt;"","A","►")</f>
        <v>A</v>
      </c>
      <c r="O247" s="31" t="str">
        <f>O241</f>
        <v>B BEIGNETS D'ACACIA | pâtisserie--Beignets| Auteur &gt; Supertoinette</v>
      </c>
      <c r="P247" s="32">
        <f>P241</f>
        <v>6</v>
      </c>
      <c r="Q247" s="31" t="str">
        <f>Q241</f>
        <v>personnes</v>
      </c>
      <c r="R247" s="33" t="str">
        <f>R241</f>
        <v>Recette mère ► Beignets d'acacia</v>
      </c>
      <c r="S247" s="89"/>
      <c r="T247" s="108"/>
      <c r="U247" s="1363" t="str">
        <f t="shared" si="39"/>
        <v/>
      </c>
      <c r="V247" s="92">
        <v>1.2</v>
      </c>
      <c r="W247" s="104" t="s">
        <v>100</v>
      </c>
      <c r="X247" s="130">
        <v>1</v>
      </c>
      <c r="Y247" s="1813" t="str">
        <f>ROWS(Y245:Y247)&amp;" ►"</f>
        <v>3 ►</v>
      </c>
      <c r="Z247" s="1580" t="s">
        <v>8337</v>
      </c>
      <c r="AA247" s="95">
        <f>IF(AC257=0,0,(AC247/AC257)*AB244*1000)</f>
        <v>1.5847860538827256</v>
      </c>
      <c r="AB247" s="105">
        <f>IF(AC257=0, 0, (S247*X247)/(AC257*AB244))</f>
        <v>0</v>
      </c>
      <c r="AC247" s="97" cm="1">
        <f t="array" ref="AC247">IFERROR(_xlfn.XLOOKUP(UPPER(TRIM(W247)),UPPER(TRIM(S258:AG258)),S259:AG259,_xlfn.XLOOKUP(UPPER(TRIM(W247)),UPPER(TRIM(S260:AG260)),S261:AG261,0))*V247*IF(S247&gt;0,S247,1),0)</f>
        <v>1.1999999999999999E-3</v>
      </c>
      <c r="AD247" s="106">
        <f>IF(AF240&lt;&gt;0,S247*X247*X240,0)</f>
        <v>0</v>
      </c>
      <c r="AE247" s="1747">
        <f t="shared" si="40"/>
        <v>0</v>
      </c>
      <c r="AF247" s="99">
        <f>IF(OR(ISBLANK(AF240),AF240=0),0,AC247*X247*X240)</f>
        <v>0.01</v>
      </c>
      <c r="AG247" s="107" t="str">
        <f>IF(W247="","",IF(COUNTIF(Z258:AG258,SUBSTITUTE(TRIM(W247)," (s)",""))+COUNTIF(Z260:AG260,SUBSTITUTE(TRIM(W247)," (s)",""))&gt;0,IF(ROUND(AF247,3)&gt;=1,ROUND(AF247,3)&amp;" L",MAX(1,ROUND(AF247*100,0))&amp;" cl"),IF(COUNTIF(S258:X258,SUBSTITUTE(TRIM(W247)," (s)",""))+COUNTIF(S260:X260,SUBSTITUTE(TRIM(W247)," (s)",""))&gt;0,IF(ROUND(AF247,3)&gt;=1,ROUND(AF247,3)&amp;" Kg",MAX(1,ROUND(AF247*1000,0))&amp;" g"),"")))</f>
        <v>10 g</v>
      </c>
      <c r="AJ247" s="103" t="str">
        <f t="shared" si="35"/>
        <v>A</v>
      </c>
      <c r="AK247" s="1616"/>
      <c r="AL247" s="1333" t="s">
        <v>21</v>
      </c>
      <c r="AM247" s="888" t="s">
        <v>1786</v>
      </c>
      <c r="AN247" s="45"/>
      <c r="AO247" s="45"/>
      <c r="AP247" s="45"/>
      <c r="AQ247" s="45"/>
      <c r="AR247" s="45"/>
      <c r="AS247" s="46"/>
      <c r="AV247" s="3">
        <v>1</v>
      </c>
    </row>
    <row r="248" spans="2:48" ht="21" customHeight="1">
      <c r="B248" s="1610" cm="1">
        <f t="array" ref="B248">SUMPRODUCT(LEN(C248:K248))</f>
        <v>0</v>
      </c>
      <c r="C248" s="1810"/>
      <c r="D248" s="1810"/>
      <c r="E248" s="1810"/>
      <c r="F248" s="1810"/>
      <c r="G248" s="1810"/>
      <c r="H248" s="1810"/>
      <c r="I248" s="1810"/>
      <c r="J248" s="1810"/>
      <c r="K248" s="1810"/>
      <c r="L248" s="2126" t="str" cm="1">
        <f t="array" ref="L248">IF(B239&lt;=0,0,ROUNDUP(SUMPRODUCT(LEN(C248:K248))/B239,0))&amp;" ligne(s)"</f>
        <v>0 ligne(s)</v>
      </c>
      <c r="N248" s="103" t="str">
        <f t="shared" si="41"/>
        <v>A</v>
      </c>
      <c r="O248" s="31" t="str">
        <f>O241</f>
        <v>B BEIGNETS D'ACACIA | pâtisserie--Beignets| Auteur &gt; Supertoinette</v>
      </c>
      <c r="P248" s="32">
        <f>P241</f>
        <v>6</v>
      </c>
      <c r="Q248" s="31" t="str">
        <f>Q241</f>
        <v>personnes</v>
      </c>
      <c r="R248" s="33" t="str">
        <f>R241</f>
        <v>Recette mère ► Beignets d'acacia</v>
      </c>
      <c r="S248" s="89"/>
      <c r="T248" s="108"/>
      <c r="U248" s="91" t="str">
        <f t="shared" si="39"/>
        <v/>
      </c>
      <c r="V248" s="92">
        <v>6</v>
      </c>
      <c r="W248" s="104" t="s">
        <v>100</v>
      </c>
      <c r="X248" s="130">
        <v>1</v>
      </c>
      <c r="Y248" s="1813" t="str">
        <f>ROWS(Y245:Y248)&amp;" ►"</f>
        <v>4 ►</v>
      </c>
      <c r="Z248" s="1580" t="s">
        <v>8338</v>
      </c>
      <c r="AA248" s="95">
        <f>IF(AC257=0,0,(AC248/AC257)*AB244*1000)</f>
        <v>7.9239302694136295</v>
      </c>
      <c r="AB248" s="105">
        <f>IF(AC257=0, 0, (S248*X248)/(AC257*AB244))</f>
        <v>0</v>
      </c>
      <c r="AC248" s="97" cm="1">
        <f t="array" ref="AC248">IFERROR(_xlfn.XLOOKUP(UPPER(TRIM(W248)),UPPER(TRIM(S258:AG258)),S259:AG259,_xlfn.XLOOKUP(UPPER(TRIM(W248)),UPPER(TRIM(S260:AG260)),S261:AG261,0))*V248*IF(S248&gt;0,S248,1),0)</f>
        <v>6.0000000000000001E-3</v>
      </c>
      <c r="AD248" s="110">
        <f>IF(AF240&lt;&gt;0,S248*X248*X240,0)</f>
        <v>0</v>
      </c>
      <c r="AE248" s="1748">
        <f t="shared" si="40"/>
        <v>0</v>
      </c>
      <c r="AF248" s="99">
        <f>IF(OR(ISBLANK(AF240),AF240=0),0,AC248*X248*X240)</f>
        <v>0.05</v>
      </c>
      <c r="AG248" s="129" t="str">
        <f>IF(W248="","",IF(COUNTIF(Z258:AG258,SUBSTITUTE(TRIM(W248)," (s)",""))+COUNTIF(Z260:AG260,SUBSTITUTE(TRIM(W248)," (s)",""))&gt;0,IF(ROUND(AF248,3)&gt;=1,ROUND(AF248,3)&amp;" L",MAX(1,ROUND(AF248*100,0))&amp;" cl"),IF(COUNTIF(S258:X258,SUBSTITUTE(TRIM(W248)," (s)",""))+COUNTIF(S260:X260,SUBSTITUTE(TRIM(W248)," (s)",""))&gt;0,IF(ROUND(AF248,3)&gt;=1,ROUND(AF248,3)&amp;" Kg",MAX(1,ROUND(AF248*1000,0))&amp;" g"),"")))</f>
        <v>50 g</v>
      </c>
      <c r="AJ248" s="103" t="str">
        <f t="shared" si="35"/>
        <v>A</v>
      </c>
      <c r="AK248" s="1616"/>
      <c r="AL248" s="1333" t="s">
        <v>21</v>
      </c>
      <c r="AM248" s="888" t="s">
        <v>8192</v>
      </c>
      <c r="AN248" s="45"/>
      <c r="AO248" s="45"/>
      <c r="AP248" s="45"/>
      <c r="AQ248" s="45"/>
      <c r="AR248" s="45"/>
      <c r="AS248" s="46"/>
      <c r="AV248" s="3">
        <v>1</v>
      </c>
    </row>
    <row r="249" spans="2:48" ht="21" customHeight="1">
      <c r="B249" s="1610" cm="1">
        <f t="array" ref="B249">SUMPRODUCT(LEN(C249:K249))</f>
        <v>0</v>
      </c>
      <c r="C249" s="1810"/>
      <c r="D249" s="1810"/>
      <c r="E249" s="1810"/>
      <c r="F249" s="1810"/>
      <c r="G249" s="1810"/>
      <c r="H249" s="1810"/>
      <c r="I249" s="1810"/>
      <c r="J249" s="1810"/>
      <c r="K249" s="1810"/>
      <c r="L249" s="2126" t="str" cm="1">
        <f t="array" ref="L249">IF(B239&lt;=0,0,ROUNDUP(SUMPRODUCT(LEN(C249:K249))/B239,0))&amp;" ligne(s)"</f>
        <v>0 ligne(s)</v>
      </c>
      <c r="N249" s="103" t="str">
        <f t="shared" si="41"/>
        <v>A</v>
      </c>
      <c r="O249" s="31" t="str">
        <f>O241</f>
        <v>B BEIGNETS D'ACACIA | pâtisserie--Beignets| Auteur &gt; Supertoinette</v>
      </c>
      <c r="P249" s="32">
        <f>P241</f>
        <v>6</v>
      </c>
      <c r="Q249" s="31" t="str">
        <f>Q241</f>
        <v>personnes</v>
      </c>
      <c r="R249" s="33" t="str">
        <f>R241</f>
        <v>Recette mère ► Beignets d'acacia</v>
      </c>
      <c r="S249" s="89"/>
      <c r="T249" s="108"/>
      <c r="U249" s="1363" t="str">
        <f t="shared" si="39"/>
        <v/>
      </c>
      <c r="V249" s="92">
        <v>15</v>
      </c>
      <c r="W249" s="104" t="s">
        <v>100</v>
      </c>
      <c r="X249" s="130">
        <v>1</v>
      </c>
      <c r="Y249" s="1813" t="str">
        <f>ROWS(Y245:Y249)&amp;" ►"</f>
        <v>5 ►</v>
      </c>
      <c r="Z249" s="1580" t="s">
        <v>8339</v>
      </c>
      <c r="AA249" s="95">
        <f>IF(AC257=0,0,(AC249/AC257)*AB244*1000)</f>
        <v>19.809825673534071</v>
      </c>
      <c r="AB249" s="105">
        <f>IF(AC257=0, 0, (S249*X249)/(AC257*AB244))</f>
        <v>0</v>
      </c>
      <c r="AC249" s="97" cm="1">
        <f t="array" ref="AC249">IFERROR(_xlfn.XLOOKUP(UPPER(TRIM(W249)),UPPER(TRIM(S258:AG258)),S259:AG259,_xlfn.XLOOKUP(UPPER(TRIM(W249)),UPPER(TRIM(S260:AG260)),S261:AG261,0))*V249*IF(S249&gt;0,S249,1),0)</f>
        <v>1.4999999999999999E-2</v>
      </c>
      <c r="AD249" s="106">
        <f>IF(AF240&lt;&gt;0,S249*X249*X240,0)</f>
        <v>0</v>
      </c>
      <c r="AE249" s="1747">
        <f t="shared" si="40"/>
        <v>0</v>
      </c>
      <c r="AF249" s="99">
        <f>IF(OR(ISBLANK(AF240),AF240=0),0,AC249*X249*X240)</f>
        <v>0.125</v>
      </c>
      <c r="AG249" s="107" t="str">
        <f>IF(W249="","",IF(COUNTIF(Z258:AG258,SUBSTITUTE(TRIM(W249)," (s)",""))+COUNTIF(Z260:AG260,SUBSTITUTE(TRIM(W249)," (s)",""))&gt;0,IF(ROUND(AF249,3)&gt;=1,ROUND(AF249,3)&amp;" L",MAX(1,ROUND(AF249*100,0))&amp;" cl"),IF(COUNTIF(S258:X258,SUBSTITUTE(TRIM(W249)," (s)",""))+COUNTIF(S260:X260,SUBSTITUTE(TRIM(W249)," (s)",""))&gt;0,IF(ROUND(AF249,3)&gt;=1,ROUND(AF249,3)&amp;" Kg",MAX(1,ROUND(AF249*1000,0))&amp;" g"),"")))</f>
        <v>125 g</v>
      </c>
      <c r="AJ249" s="103" t="str">
        <f t="shared" si="35"/>
        <v>A</v>
      </c>
      <c r="AK249" s="1616"/>
      <c r="AL249" s="1333" t="s">
        <v>21</v>
      </c>
      <c r="AM249" s="888" t="s">
        <v>1787</v>
      </c>
      <c r="AN249" s="509"/>
      <c r="AO249" s="45"/>
      <c r="AP249" s="45"/>
      <c r="AQ249" s="45"/>
      <c r="AR249" s="45"/>
      <c r="AS249" s="46"/>
      <c r="AV249" s="3">
        <v>1</v>
      </c>
    </row>
    <row r="250" spans="2:48" ht="21" customHeight="1">
      <c r="B250" s="1610" cm="1">
        <f t="array" ref="B250">SUMPRODUCT(LEN(C250:K250))</f>
        <v>0</v>
      </c>
      <c r="C250" s="1810"/>
      <c r="D250" s="1810"/>
      <c r="E250" s="1810"/>
      <c r="F250" s="1810"/>
      <c r="G250" s="1810"/>
      <c r="H250" s="1810"/>
      <c r="I250" s="1810"/>
      <c r="J250" s="1810"/>
      <c r="K250" s="1810"/>
      <c r="L250" s="2126" t="str" cm="1">
        <f t="array" ref="L250">IF(B239&lt;=0,0,ROUNDUP(SUMPRODUCT(LEN(C250:K250))/B239,0))&amp;" ligne(s)"</f>
        <v>0 ligne(s)</v>
      </c>
      <c r="N250" s="103" t="str">
        <f t="shared" si="41"/>
        <v>A</v>
      </c>
      <c r="O250" s="31" t="str">
        <f>O241</f>
        <v>B BEIGNETS D'ACACIA | pâtisserie--Beignets| Auteur &gt; Supertoinette</v>
      </c>
      <c r="P250" s="32">
        <f>P241</f>
        <v>6</v>
      </c>
      <c r="Q250" s="31" t="str">
        <f>Q241</f>
        <v>personnes</v>
      </c>
      <c r="R250" s="33" t="str">
        <f>R241</f>
        <v>Recette mère ► Beignets d'acacia</v>
      </c>
      <c r="S250" s="89"/>
      <c r="T250" s="108"/>
      <c r="U250" s="91" t="str">
        <f t="shared" si="39"/>
        <v/>
      </c>
      <c r="V250" s="92">
        <v>250</v>
      </c>
      <c r="W250" s="104" t="s">
        <v>100</v>
      </c>
      <c r="X250" s="130">
        <v>1</v>
      </c>
      <c r="Y250" s="1813" t="str">
        <f>ROWS(Y245:Y250)&amp;" ►"</f>
        <v>6 ►</v>
      </c>
      <c r="Z250" s="1580" t="s">
        <v>8340</v>
      </c>
      <c r="AA250" s="95">
        <f>IF(AC257=0,0,(AC250/AC257)*AB244*1000)</f>
        <v>330.1637612255679</v>
      </c>
      <c r="AB250" s="105">
        <f>IF(AC257=0, 0, (S250*X250)/(AC257*AB244))</f>
        <v>0</v>
      </c>
      <c r="AC250" s="97" cm="1">
        <f t="array" ref="AC250">IFERROR(_xlfn.XLOOKUP(UPPER(TRIM(W250)),UPPER(TRIM(S258:AG258)),S259:AG259,_xlfn.XLOOKUP(UPPER(TRIM(W250)),UPPER(TRIM(S260:AG260)),S261:AG261,0))*V250*IF(S250&gt;0,S250,1),0)</f>
        <v>0.25</v>
      </c>
      <c r="AD250" s="110">
        <f>IF(AF240&lt;&gt;0,S250*X250*X240,0)</f>
        <v>0</v>
      </c>
      <c r="AE250" s="1748">
        <f t="shared" si="40"/>
        <v>0</v>
      </c>
      <c r="AF250" s="99">
        <f>IF(OR(ISBLANK(AF240),AF240=0),0,AC250*X250*X240)</f>
        <v>2.0833333333333335</v>
      </c>
      <c r="AG250" s="129" t="str">
        <f>IF(W250="","",IF(COUNTIF(Z258:AG258,SUBSTITUTE(TRIM(W250)," (s)",""))+COUNTIF(Z260:AG260,SUBSTITUTE(TRIM(W250)," (s)",""))&gt;0,IF(ROUND(AF250,3)&gt;=1,ROUND(AF250,3)&amp;" L",MAX(1,ROUND(AF250*100,0))&amp;" cl"),IF(COUNTIF(S258:X258,SUBSTITUTE(TRIM(W250)," (s)",""))+COUNTIF(S260:X260,SUBSTITUTE(TRIM(W250)," (s)",""))&gt;0,IF(ROUND(AF250,3)&gt;=1,ROUND(AF250,3)&amp;" Kg",MAX(1,ROUND(AF250*1000,0))&amp;" g"),"")))</f>
        <v>2.083 Kg</v>
      </c>
      <c r="AJ250" s="103" t="str">
        <f t="shared" si="35"/>
        <v>A</v>
      </c>
      <c r="AK250" s="1616"/>
      <c r="AL250" s="1333" t="s">
        <v>21</v>
      </c>
      <c r="AM250" s="510" t="s">
        <v>8</v>
      </c>
      <c r="AN250" s="511"/>
      <c r="AO250" s="512"/>
      <c r="AP250" s="513"/>
      <c r="AQ250" s="513"/>
      <c r="AR250" s="514"/>
      <c r="AS250" s="515"/>
      <c r="AV250" s="3">
        <v>1</v>
      </c>
    </row>
    <row r="251" spans="2:48" ht="21" customHeight="1">
      <c r="B251" s="1610" cm="1">
        <f t="array" ref="B251">SUMPRODUCT(LEN(C251:K251))</f>
        <v>0</v>
      </c>
      <c r="C251" s="1810"/>
      <c r="D251" s="1810"/>
      <c r="E251" s="1810"/>
      <c r="F251" s="1810"/>
      <c r="G251" s="1810"/>
      <c r="H251" s="1810"/>
      <c r="I251" s="1810"/>
      <c r="J251" s="1810"/>
      <c r="K251" s="1810"/>
      <c r="L251" s="2126" t="str" cm="1">
        <f t="array" ref="L251">IF(B239&lt;=0,0,ROUNDUP(SUMPRODUCT(LEN(C251:K251))/B239,0))&amp;" ligne(s)"</f>
        <v>0 ligne(s)</v>
      </c>
      <c r="N251" s="103" t="str">
        <f t="shared" si="41"/>
        <v>A</v>
      </c>
      <c r="O251" s="31" t="str">
        <f>O241</f>
        <v>B BEIGNETS D'ACACIA | pâtisserie--Beignets| Auteur &gt; Supertoinette</v>
      </c>
      <c r="P251" s="32">
        <f>P241</f>
        <v>6</v>
      </c>
      <c r="Q251" s="31" t="str">
        <f>Q241</f>
        <v>personnes</v>
      </c>
      <c r="R251" s="33" t="str">
        <f>R241</f>
        <v>Recette mère ► Beignets d'acacia</v>
      </c>
      <c r="S251" s="89"/>
      <c r="T251" s="108"/>
      <c r="U251" s="1363" t="str">
        <f t="shared" si="39"/>
        <v/>
      </c>
      <c r="V251" s="92">
        <v>20</v>
      </c>
      <c r="W251" s="104" t="s">
        <v>100</v>
      </c>
      <c r="X251" s="130">
        <v>1</v>
      </c>
      <c r="Y251" s="1813" t="str">
        <f>ROWS(Y245:Y251)&amp;" ►"</f>
        <v>7 ►</v>
      </c>
      <c r="Z251" s="1580" t="s">
        <v>8304</v>
      </c>
      <c r="AA251" s="95">
        <f>IF(AC257=0,0,(AC251/AC257)*AB244*1000)</f>
        <v>26.413100898045432</v>
      </c>
      <c r="AB251" s="105">
        <f>IF(AC257=0, 0, (S251*X251)/(AC257*AB244))</f>
        <v>0</v>
      </c>
      <c r="AC251" s="97" cm="1">
        <f t="array" ref="AC251">IFERROR(_xlfn.XLOOKUP(UPPER(TRIM(W251)),UPPER(TRIM(S258:AG258)),S259:AG259,_xlfn.XLOOKUP(UPPER(TRIM(W251)),UPPER(TRIM(S260:AG260)),S261:AG261,0))*V251*IF(S251&gt;0,S251,1),0)</f>
        <v>0.02</v>
      </c>
      <c r="AD251" s="106">
        <f>IF(AF240&lt;&gt;0,S251*X251*X240,0)</f>
        <v>0</v>
      </c>
      <c r="AE251" s="1747">
        <f t="shared" si="40"/>
        <v>0</v>
      </c>
      <c r="AF251" s="99">
        <f>IF(OR(ISBLANK(AF240),AF240=0),0,AC251*X251*X240)</f>
        <v>0.16666666666666669</v>
      </c>
      <c r="AG251" s="107" t="str">
        <f>IF(W251="","",IF(COUNTIF(Z258:AG258,SUBSTITUTE(TRIM(W251)," (s)",""))+COUNTIF(Z260:AG260,SUBSTITUTE(TRIM(W251)," (s)",""))&gt;0,IF(ROUND(AF251,3)&gt;=1,ROUND(AF251,3)&amp;" L",MAX(1,ROUND(AF251*100,0))&amp;" cl"),IF(COUNTIF(S258:X258,SUBSTITUTE(TRIM(W251)," (s)",""))+COUNTIF(S260:X260,SUBSTITUTE(TRIM(W251)," (s)",""))&gt;0,IF(ROUND(AF251,3)&gt;=1,ROUND(AF251,3)&amp;" Kg",MAX(1,ROUND(AF251*1000,0))&amp;" g"),"")))</f>
        <v>167 g</v>
      </c>
      <c r="AJ251" s="103" t="str">
        <f t="shared" si="35"/>
        <v>A</v>
      </c>
      <c r="AK251" s="1616"/>
      <c r="AL251" s="1333" t="s">
        <v>21</v>
      </c>
      <c r="AM251" s="1690" t="s">
        <v>8346</v>
      </c>
      <c r="AN251" s="1691"/>
      <c r="AO251" s="1691"/>
      <c r="AP251" s="167"/>
      <c r="AQ251" s="167"/>
      <c r="AR251" s="167"/>
      <c r="AS251" s="516"/>
      <c r="AV251" s="3">
        <v>1</v>
      </c>
    </row>
    <row r="252" spans="2:48" ht="21" customHeight="1">
      <c r="B252" s="1610" cm="1">
        <f t="array" ref="B252">SUMPRODUCT(LEN(C252:K252))</f>
        <v>0</v>
      </c>
      <c r="C252" s="1810"/>
      <c r="D252" s="1810"/>
      <c r="E252" s="1810"/>
      <c r="F252" s="1810"/>
      <c r="G252" s="1810"/>
      <c r="H252" s="1810"/>
      <c r="I252" s="1810"/>
      <c r="J252" s="1810"/>
      <c r="K252" s="1810"/>
      <c r="L252" s="2126" t="str" cm="1">
        <f t="array" ref="L252">IF(B239&lt;=0,0,ROUNDUP(SUMPRODUCT(LEN(C252:K252))/B239,0))&amp;" ligne(s)"</f>
        <v>0 ligne(s)</v>
      </c>
      <c r="N252" s="103" t="str">
        <f t="shared" si="41"/>
        <v>A</v>
      </c>
      <c r="O252" s="31" t="str">
        <f>O241</f>
        <v>B BEIGNETS D'ACACIA | pâtisserie--Beignets| Auteur &gt; Supertoinette</v>
      </c>
      <c r="P252" s="32">
        <f>P241</f>
        <v>6</v>
      </c>
      <c r="Q252" s="31" t="str">
        <f>Q241</f>
        <v>personnes</v>
      </c>
      <c r="R252" s="33" t="str">
        <f>R241</f>
        <v>Recette mère ► Beignets d'acacia</v>
      </c>
      <c r="S252" s="89"/>
      <c r="T252" s="108"/>
      <c r="U252" s="91" t="str">
        <f t="shared" si="39"/>
        <v/>
      </c>
      <c r="V252" s="92">
        <v>120</v>
      </c>
      <c r="W252" s="104" t="s">
        <v>100</v>
      </c>
      <c r="X252" s="130">
        <v>1</v>
      </c>
      <c r="Y252" s="1813" t="str">
        <f>ROWS(Y245:Y252)&amp;" ►"</f>
        <v>8 ►</v>
      </c>
      <c r="Z252" s="1580" t="s">
        <v>8242</v>
      </c>
      <c r="AA252" s="95">
        <f>IF(AC257=0,0,(AC252/AC257)*AB244*1000)</f>
        <v>158.47860538827257</v>
      </c>
      <c r="AB252" s="105">
        <f>IF(AC257=0, 0, (S252*X252)/(AC257*AB244))</f>
        <v>0</v>
      </c>
      <c r="AC252" s="97" cm="1">
        <f t="array" ref="AC252">IFERROR(_xlfn.XLOOKUP(UPPER(TRIM(W252)),UPPER(TRIM(S258:AG258)),S259:AG259,_xlfn.XLOOKUP(UPPER(TRIM(W252)),UPPER(TRIM(S260:AG260)),S261:AG261,0))*V252*IF(S252&gt;0,S252,1),0)</f>
        <v>0.12</v>
      </c>
      <c r="AD252" s="110">
        <f>IF(AF240&lt;&gt;0,S252*X252*X240,0)</f>
        <v>0</v>
      </c>
      <c r="AE252" s="1748">
        <f t="shared" si="40"/>
        <v>0</v>
      </c>
      <c r="AF252" s="99">
        <f>IF(OR(ISBLANK(AF240),AF240=0),0,AC252*X252*X240)</f>
        <v>1</v>
      </c>
      <c r="AG252" s="129" t="str">
        <f>IF(W252="","",IF(COUNTIF(Z258:AG258,SUBSTITUTE(TRIM(W252)," (s)",""))+COUNTIF(Z260:AG260,SUBSTITUTE(TRIM(W252)," (s)",""))&gt;0,IF(ROUND(AF252,3)&gt;=1,ROUND(AF252,3)&amp;" L",MAX(1,ROUND(AF252*100,0))&amp;" cl"),IF(COUNTIF(S258:X258,SUBSTITUTE(TRIM(W252)," (s)",""))+COUNTIF(S260:X260,SUBSTITUTE(TRIM(W252)," (s)",""))&gt;0,IF(ROUND(AF252,3)&gt;=1,ROUND(AF252,3)&amp;" Kg",MAX(1,ROUND(AF252*1000,0))&amp;" g"),"")))</f>
        <v>1 Kg</v>
      </c>
      <c r="AJ252" s="103" t="str">
        <f t="shared" si="35"/>
        <v>A</v>
      </c>
      <c r="AK252" s="1616"/>
      <c r="AL252" s="1333" t="s">
        <v>21</v>
      </c>
      <c r="AM252" s="517" t="s">
        <v>821</v>
      </c>
      <c r="AN252" s="173"/>
      <c r="AO252" s="173"/>
      <c r="AP252" s="173"/>
      <c r="AQ252" s="173"/>
      <c r="AR252" s="173"/>
      <c r="AS252" s="518"/>
      <c r="AV252" s="3">
        <v>1</v>
      </c>
    </row>
    <row r="253" spans="2:48" ht="21" customHeight="1">
      <c r="B253" s="1610" cm="1">
        <f t="array" ref="B253">SUMPRODUCT(LEN(C253:K253))</f>
        <v>0</v>
      </c>
      <c r="C253" s="1810"/>
      <c r="D253" s="1810"/>
      <c r="E253" s="1810"/>
      <c r="F253" s="1810"/>
      <c r="G253" s="1810"/>
      <c r="H253" s="1810"/>
      <c r="I253" s="1810"/>
      <c r="J253" s="1810"/>
      <c r="K253" s="1810"/>
      <c r="L253" s="2126" t="str" cm="1">
        <f t="array" ref="L253">IF(B239&lt;=0,0,ROUNDUP(SUMPRODUCT(LEN(C253:K253))/B239,0))&amp;" ligne(s)"</f>
        <v>0 ligne(s)</v>
      </c>
      <c r="N253" s="103" t="str">
        <f t="shared" si="41"/>
        <v>A</v>
      </c>
      <c r="O253" s="31" t="str">
        <f>O241</f>
        <v>B BEIGNETS D'ACACIA | pâtisserie--Beignets| Auteur &gt; Supertoinette</v>
      </c>
      <c r="P253" s="32">
        <f>P241</f>
        <v>6</v>
      </c>
      <c r="Q253" s="31" t="str">
        <f>Q241</f>
        <v>personnes</v>
      </c>
      <c r="R253" s="33" t="str">
        <f>R241</f>
        <v>Recette mère ► Beignets d'acacia</v>
      </c>
      <c r="S253" s="89"/>
      <c r="T253" s="108"/>
      <c r="U253" s="1363" t="str">
        <f t="shared" si="39"/>
        <v/>
      </c>
      <c r="V253" s="92">
        <v>20</v>
      </c>
      <c r="W253" s="104" t="s">
        <v>100</v>
      </c>
      <c r="X253" s="130">
        <v>1</v>
      </c>
      <c r="Y253" s="1813" t="str">
        <f>ROWS(Y245:Y253)&amp;" ►"</f>
        <v>9 ►</v>
      </c>
      <c r="Z253" s="1580" t="s">
        <v>8253</v>
      </c>
      <c r="AA253" s="95">
        <f>IF(AC257=0,0,(AC253/AC257)*AB244*1000)</f>
        <v>26.413100898045432</v>
      </c>
      <c r="AB253" s="105">
        <f>IF(AC257=0, 0, (S253*X253)/(AC257*AB244))</f>
        <v>0</v>
      </c>
      <c r="AC253" s="97" cm="1">
        <f t="array" ref="AC253">IFERROR(_xlfn.XLOOKUP(UPPER(TRIM(W253)),UPPER(TRIM(S258:AG258)),S259:AG259,_xlfn.XLOOKUP(UPPER(TRIM(W253)),UPPER(TRIM(S260:AG260)),S261:AG261,0))*V253*IF(S253&gt;0,S253,1),0)</f>
        <v>0.02</v>
      </c>
      <c r="AD253" s="106">
        <f>IF(AF240&lt;&gt;0,S253*X253*X240,0)</f>
        <v>0</v>
      </c>
      <c r="AE253" s="1747">
        <f t="shared" si="40"/>
        <v>0</v>
      </c>
      <c r="AF253" s="99">
        <f>IF(OR(ISBLANK(AF240),AF240=0),0,AC253*X253*X240)</f>
        <v>0.16666666666666669</v>
      </c>
      <c r="AG253" s="107" t="str">
        <f>IF(W253="","",IF(COUNTIF(Z258:AG258,SUBSTITUTE(TRIM(W253)," (s)",""))+COUNTIF(Z260:AG260,SUBSTITUTE(TRIM(W253)," (s)",""))&gt;0,IF(ROUND(AF253,3)&gt;=1,ROUND(AF253,3)&amp;" L",MAX(1,ROUND(AF253*100,0))&amp;" cl"),IF(COUNTIF(S258:X258,SUBSTITUTE(TRIM(W253)," (s)",""))+COUNTIF(S260:X260,SUBSTITUTE(TRIM(W253)," (s)",""))&gt;0,IF(ROUND(AF253,3)&gt;=1,ROUND(AF253,3)&amp;" Kg",MAX(1,ROUND(AF253*1000,0))&amp;" g"),"")))</f>
        <v>167 g</v>
      </c>
      <c r="AJ253" s="103" t="str">
        <f t="shared" si="35"/>
        <v>A</v>
      </c>
      <c r="AK253" s="1616"/>
      <c r="AL253" s="1333" t="s">
        <v>21</v>
      </c>
      <c r="AM253" s="519" t="s">
        <v>172</v>
      </c>
      <c r="AN253" s="176"/>
      <c r="AO253" s="176"/>
      <c r="AP253" s="176"/>
      <c r="AQ253" s="176"/>
      <c r="AR253" s="176"/>
      <c r="AS253" s="520"/>
      <c r="AV253" s="3">
        <v>1</v>
      </c>
    </row>
    <row r="254" spans="2:48" ht="21" customHeight="1">
      <c r="B254" s="1610" cm="1">
        <f t="array" ref="B254">SUMPRODUCT(LEN(C254:K254))</f>
        <v>0</v>
      </c>
      <c r="C254" s="1810"/>
      <c r="D254" s="1810"/>
      <c r="E254" s="1810"/>
      <c r="F254" s="1810"/>
      <c r="G254" s="1810"/>
      <c r="H254" s="1810"/>
      <c r="I254" s="1810"/>
      <c r="J254" s="1810"/>
      <c r="K254" s="1810"/>
      <c r="L254" s="2126" t="str" cm="1">
        <f t="array" ref="L254">IF(B239&lt;=0,0,ROUNDUP(SUMPRODUCT(LEN(C254:K254))/B239,0))&amp;" ligne(s)"</f>
        <v>0 ligne(s)</v>
      </c>
      <c r="N254" s="103" t="str">
        <f t="shared" si="41"/>
        <v>►</v>
      </c>
      <c r="O254" s="31" t="str">
        <f>O241</f>
        <v>B BEIGNETS D'ACACIA | pâtisserie--Beignets| Auteur &gt; Supertoinette</v>
      </c>
      <c r="P254" s="32">
        <f>P241</f>
        <v>6</v>
      </c>
      <c r="Q254" s="31" t="str">
        <f>Q241</f>
        <v>personnes</v>
      </c>
      <c r="R254" s="33" t="str">
        <f>R241</f>
        <v>Recette mère ► Beignets d'acacia</v>
      </c>
      <c r="S254" s="89"/>
      <c r="T254" s="108"/>
      <c r="U254" s="91" t="str">
        <f t="shared" ref="U254:U256" si="42">IF(OR(ISTEXT(S254), S254&lt;=0, V254&lt;=0), "", "de")</f>
        <v/>
      </c>
      <c r="V254" s="92"/>
      <c r="W254" s="128"/>
      <c r="X254" s="130">
        <v>1</v>
      </c>
      <c r="Y254" s="1813" t="str">
        <f>ROWS(Y245:Y254)&amp;" ►"</f>
        <v>10 ►</v>
      </c>
      <c r="Z254" s="1580"/>
      <c r="AA254" s="95">
        <f>IF(AC257=0,0,(AC254/AC257)*AB244*1000)</f>
        <v>0</v>
      </c>
      <c r="AB254" s="105">
        <f>IF(AC257=0, 0, (S254*X254)/(AC257*AB244))</f>
        <v>0</v>
      </c>
      <c r="AC254" s="97" cm="1">
        <f t="array" ref="AC254">IFERROR(_xlfn.XLOOKUP(UPPER(TRIM(W254)),UPPER(TRIM(S258:AG258)),S259:AG259,_xlfn.XLOOKUP(UPPER(TRIM(W254)),UPPER(TRIM(S260:AG260)),S261:AG261,0))*V254*IF(S254&gt;0,S254,1),0)</f>
        <v>0</v>
      </c>
      <c r="AD254" s="110">
        <f>IF(AF240&lt;&gt;0,S254*X254*X240,0)</f>
        <v>0</v>
      </c>
      <c r="AE254" s="1748">
        <f t="shared" si="40"/>
        <v>0</v>
      </c>
      <c r="AF254" s="99">
        <f>IF(OR(ISBLANK(AF240),AF240=0),0,AC254*X254*X240)</f>
        <v>0</v>
      </c>
      <c r="AG254" s="129" t="str">
        <f>IF(W254="","",IF(COUNTIF(Z258:AG258,SUBSTITUTE(TRIM(W254)," (s)",""))+COUNTIF(Z260:AG260,SUBSTITUTE(TRIM(W254)," (s)",""))&gt;0,IF(ROUND(AF254,3)&gt;=1,ROUND(AF254,3)&amp;" L",MAX(1,ROUND(AF254*100,0))&amp;" cl"),IF(COUNTIF(S258:X258,SUBSTITUTE(TRIM(W254)," (s)",""))+COUNTIF(S260:X260,SUBSTITUTE(TRIM(W254)," (s)",""))&gt;0,IF(ROUND(AF254,3)&gt;=1,ROUND(AF254,3)&amp;" Kg",MAX(1,ROUND(AF254*1000,0))&amp;" g"),"")))</f>
        <v/>
      </c>
      <c r="AJ254" s="103" t="str">
        <f t="shared" si="35"/>
        <v>►</v>
      </c>
      <c r="AK254" s="1616"/>
      <c r="AL254" s="1333" t="s">
        <v>21</v>
      </c>
      <c r="AM254" s="519" t="s">
        <v>180</v>
      </c>
      <c r="AN254" s="176"/>
      <c r="AO254" s="176"/>
      <c r="AP254" s="176"/>
      <c r="AQ254" s="176"/>
      <c r="AR254" s="176"/>
      <c r="AS254" s="520"/>
      <c r="AV254" s="3">
        <v>1</v>
      </c>
    </row>
    <row r="255" spans="2:48" ht="21" customHeight="1">
      <c r="B255" s="1610" cm="1">
        <f t="array" ref="B255">SUMPRODUCT(LEN(C255:K255))</f>
        <v>0</v>
      </c>
      <c r="C255" s="1810"/>
      <c r="D255" s="1810"/>
      <c r="E255" s="1810"/>
      <c r="F255" s="1810"/>
      <c r="G255" s="1810"/>
      <c r="H255" s="1810"/>
      <c r="I255" s="1810"/>
      <c r="J255" s="1810"/>
      <c r="K255" s="1810"/>
      <c r="L255" s="2126" t="str" cm="1">
        <f t="array" ref="L255">IF(B239&lt;=0,0,ROUNDUP(SUMPRODUCT(LEN(C255:K255))/B239,0))&amp;" ligne(s)"</f>
        <v>0 ligne(s)</v>
      </c>
      <c r="N255" s="103" t="str">
        <f t="shared" si="41"/>
        <v>►</v>
      </c>
      <c r="O255" s="31" t="str">
        <f>O241</f>
        <v>B BEIGNETS D'ACACIA | pâtisserie--Beignets| Auteur &gt; Supertoinette</v>
      </c>
      <c r="P255" s="32">
        <f>P241</f>
        <v>6</v>
      </c>
      <c r="Q255" s="31" t="str">
        <f>Q241</f>
        <v>personnes</v>
      </c>
      <c r="R255" s="33" t="str">
        <f>R241</f>
        <v>Recette mère ► Beignets d'acacia</v>
      </c>
      <c r="S255" s="89"/>
      <c r="T255" s="108"/>
      <c r="U255" s="91" t="str">
        <f t="shared" si="42"/>
        <v/>
      </c>
      <c r="V255" s="92"/>
      <c r="W255" s="128"/>
      <c r="X255" s="130">
        <v>1</v>
      </c>
      <c r="Y255" s="1813" t="str">
        <f>ROWS(Y245:Y255)&amp;" ►"</f>
        <v>11 ►</v>
      </c>
      <c r="Z255" s="1580"/>
      <c r="AA255" s="95">
        <f>IF(AC257=0,0,(AC255/AC257)*AB244*1000)</f>
        <v>0</v>
      </c>
      <c r="AB255" s="105">
        <f>IF(AC257=0, 0, (S255*X255)/(AC257*AB244))</f>
        <v>0</v>
      </c>
      <c r="AC255" s="97" cm="1">
        <f t="array" ref="AC255">IFERROR(_xlfn.XLOOKUP(UPPER(TRIM(W255)),UPPER(TRIM(S258:AG258)),S259:AG259,_xlfn.XLOOKUP(UPPER(TRIM(W255)),UPPER(TRIM(S260:AG260)),S261:AG261,0))*V255*IF(S255&gt;0,S255,1),0)</f>
        <v>0</v>
      </c>
      <c r="AD255" s="106">
        <f>IF(AF240&lt;&gt;0,S255*X255*X240,0)</f>
        <v>0</v>
      </c>
      <c r="AE255" s="1747">
        <f t="shared" si="40"/>
        <v>0</v>
      </c>
      <c r="AF255" s="99">
        <f>IF(OR(ISBLANK(AF240),AF240=0),0,AC255*X255*X240)</f>
        <v>0</v>
      </c>
      <c r="AG255" s="107" t="str">
        <f>IF(W255="","",IF(COUNTIF(Z258:AG258,SUBSTITUTE(TRIM(W255)," (s)",""))+COUNTIF(Z260:AG260,SUBSTITUTE(TRIM(W255)," (s)",""))&gt;0,IF(ROUND(AF255,3)&gt;=1,ROUND(AF255,3)&amp;" L",MAX(1,ROUND(AF255*100,0))&amp;" cl"),IF(COUNTIF(S258:X258,SUBSTITUTE(TRIM(W255)," (s)",""))+COUNTIF(S260:X260,SUBSTITUTE(TRIM(W255)," (s)",""))&gt;0,IF(ROUND(AF255,3)&gt;=1,ROUND(AF255,3)&amp;" Kg",MAX(1,ROUND(AF255*1000,0))&amp;" g"),"")))</f>
        <v/>
      </c>
      <c r="AJ255" s="103" t="str">
        <f t="shared" si="35"/>
        <v>►</v>
      </c>
      <c r="AK255" s="1616"/>
      <c r="AL255" s="1333" t="s">
        <v>21</v>
      </c>
      <c r="AM255" s="521" t="s">
        <v>196</v>
      </c>
      <c r="AN255" s="176"/>
      <c r="AO255" s="176"/>
      <c r="AP255" s="176"/>
      <c r="AQ255" s="176"/>
      <c r="AR255" s="176"/>
      <c r="AS255" s="522"/>
      <c r="AV255" s="3">
        <v>1</v>
      </c>
    </row>
    <row r="256" spans="2:48" ht="21" customHeight="1">
      <c r="B256" s="1610" cm="1">
        <f t="array" ref="B256">SUMPRODUCT(LEN(C256:K256))</f>
        <v>0</v>
      </c>
      <c r="C256" s="1810"/>
      <c r="D256" s="1810"/>
      <c r="E256" s="1810"/>
      <c r="F256" s="1810"/>
      <c r="G256" s="1810"/>
      <c r="H256" s="1810"/>
      <c r="I256" s="1810"/>
      <c r="J256" s="1810"/>
      <c r="K256" s="1810"/>
      <c r="L256" s="2126" t="str" cm="1">
        <f t="array" ref="L256">IF(B239&lt;=0,0,ROUNDUP(SUMPRODUCT(LEN(C256:K256))/B239,0))&amp;" ligne(s)"</f>
        <v>0 ligne(s)</v>
      </c>
      <c r="N256" s="1684" t="s">
        <v>10</v>
      </c>
      <c r="O256" s="31" t="str">
        <f>O241</f>
        <v>B BEIGNETS D'ACACIA | pâtisserie--Beignets| Auteur &gt; Supertoinette</v>
      </c>
      <c r="P256" s="32">
        <f>P241</f>
        <v>6</v>
      </c>
      <c r="Q256" s="31" t="str">
        <f>Q241</f>
        <v>personnes</v>
      </c>
      <c r="R256" s="33" t="str">
        <f>R241</f>
        <v>Recette mère ► Beignets d'acacia</v>
      </c>
      <c r="S256" s="1198"/>
      <c r="T256" s="1199"/>
      <c r="U256" s="91" t="str">
        <f t="shared" si="42"/>
        <v/>
      </c>
      <c r="V256" s="1200"/>
      <c r="W256" s="128"/>
      <c r="X256" s="1201">
        <v>1</v>
      </c>
      <c r="Y256" s="1813" t="str">
        <f>ROWS(Y245:Y256)&amp;" ►"</f>
        <v>12 ►</v>
      </c>
      <c r="Z256" s="1580"/>
      <c r="AA256" s="95">
        <f>IF(AC257=0,0,(AC256/AC257)*AB244*1000)</f>
        <v>0</v>
      </c>
      <c r="AB256" s="105">
        <f>IF(AC257=0, 0, (S256*X256)/(AC257*AB244))</f>
        <v>0</v>
      </c>
      <c r="AC256" s="97" cm="1">
        <f t="array" ref="AC256">IFERROR(_xlfn.XLOOKUP(UPPER(TRIM(W256)),UPPER(TRIM(S258:AG258)),S259:AG259,_xlfn.XLOOKUP(UPPER(TRIM(W256)),UPPER(TRIM(S260:AG260)),S261:AG261,0))*V256*IF(S256&gt;0,S256,1),0)</f>
        <v>0</v>
      </c>
      <c r="AD256" s="110">
        <f>IF(AF240&lt;&gt;0,S256*X256*X240,0)</f>
        <v>0</v>
      </c>
      <c r="AE256" s="1748">
        <f t="shared" si="40"/>
        <v>0</v>
      </c>
      <c r="AF256" s="99">
        <f>IF(OR(ISBLANK(AF240),AF240=0),0,AC256*X256*X240)</f>
        <v>0</v>
      </c>
      <c r="AG256" s="129" t="str">
        <f>IF(W256="","",IF(COUNTIF(Z258:AG258,SUBSTITUTE(TRIM(W256)," (s)",""))+COUNTIF(Z260:AG260,SUBSTITUTE(TRIM(W256)," (s)",""))&gt;0,IF(ROUND(AF256,3)&gt;=1,ROUND(AF256,3)&amp;" L",MAX(1,ROUND(AF256*100,0))&amp;" cl"),IF(COUNTIF(S258:X258,SUBSTITUTE(TRIM(W256)," (s)",""))+COUNTIF(S260:X260,SUBSTITUTE(TRIM(W256)," (s)",""))&gt;0,IF(ROUND(AF256,3)&gt;=1,ROUND(AF256,3)&amp;" Kg",MAX(1,ROUND(AF256*1000,0))&amp;" g"),"")))</f>
        <v/>
      </c>
      <c r="AJ256" s="1684" t="str">
        <f t="shared" si="35"/>
        <v>A</v>
      </c>
      <c r="AK256" s="1616"/>
      <c r="AL256" s="1333" t="s">
        <v>21</v>
      </c>
      <c r="AM256" s="521"/>
      <c r="AN256" s="176"/>
      <c r="AO256" s="176"/>
      <c r="AP256" s="176"/>
      <c r="AQ256" s="176"/>
      <c r="AR256" s="176"/>
      <c r="AS256" s="522"/>
      <c r="AV256" s="3">
        <v>1</v>
      </c>
    </row>
    <row r="257" spans="2:48" ht="21" customHeight="1">
      <c r="B257" s="1610" cm="1">
        <f t="array" ref="B257">SUMPRODUCT(LEN(C257:K257))</f>
        <v>0</v>
      </c>
      <c r="C257" s="1810"/>
      <c r="D257" s="1810"/>
      <c r="E257" s="1810"/>
      <c r="F257" s="1810"/>
      <c r="G257" s="1810"/>
      <c r="H257" s="1810"/>
      <c r="I257" s="1810"/>
      <c r="J257" s="1810"/>
      <c r="K257" s="1810"/>
      <c r="L257" s="2126" t="str" cm="1">
        <f t="array" ref="L257">IF(B239&lt;=0,0,ROUNDUP(SUMPRODUCT(LEN(C257:K257))/B239,0))&amp;" ligne(s)"</f>
        <v>0 ligne(s)</v>
      </c>
      <c r="N257" s="1684" t="s">
        <v>10</v>
      </c>
      <c r="O257" s="31" t="str">
        <f>O241</f>
        <v>B BEIGNETS D'ACACIA | pâtisserie--Beignets| Auteur &gt; Supertoinette</v>
      </c>
      <c r="P257" s="32">
        <f>P241</f>
        <v>6</v>
      </c>
      <c r="Q257" s="31" t="str">
        <f>Q241</f>
        <v>personnes</v>
      </c>
      <c r="R257" s="33" t="str">
        <f>R241</f>
        <v>Recette mère ► Beignets d'acacia</v>
      </c>
      <c r="S257" s="680" t="s">
        <v>8411</v>
      </c>
      <c r="T257" s="474"/>
      <c r="U257" s="474"/>
      <c r="V257" s="474"/>
      <c r="W257" s="474"/>
      <c r="X257" s="681"/>
      <c r="Y257" s="681"/>
      <c r="Z257" s="1984" t="s">
        <v>8652</v>
      </c>
      <c r="AA257" s="682"/>
      <c r="AB257" s="682"/>
      <c r="AC257" s="1197">
        <f>SUM(AC245:AC256)</f>
        <v>0.75719999999999998</v>
      </c>
      <c r="AD257" s="683"/>
      <c r="AE257" s="683" t="str">
        <f>"Total " &amp; AF242&amp;" &gt;"</f>
        <v>Total Col.19 &gt;</v>
      </c>
      <c r="AF257" s="1835">
        <f>SUM(AF245:AF256)</f>
        <v>6.3100000000000005</v>
      </c>
      <c r="AG257" s="684"/>
      <c r="AJ257" s="1684" t="str">
        <f t="shared" si="35"/>
        <v>A</v>
      </c>
      <c r="AK257" s="1616"/>
      <c r="AL257" s="1333" t="s">
        <v>21</v>
      </c>
      <c r="AM257" s="528"/>
      <c r="AN257" s="204"/>
      <c r="AO257" s="204" t="s">
        <v>200</v>
      </c>
      <c r="AP257" s="1205" t="s">
        <v>637</v>
      </c>
      <c r="AQ257" s="206"/>
      <c r="AR257" s="206"/>
      <c r="AS257" s="529"/>
      <c r="AV257" s="3">
        <v>1</v>
      </c>
    </row>
    <row r="258" spans="2:48" ht="21" customHeight="1">
      <c r="B258" s="1610" cm="1">
        <f t="array" ref="B258">SUMPRODUCT(LEN(C258:K258))</f>
        <v>0</v>
      </c>
      <c r="C258" s="1810"/>
      <c r="D258" s="1810"/>
      <c r="E258" s="1810"/>
      <c r="F258" s="1810"/>
      <c r="G258" s="1810"/>
      <c r="H258" s="1810"/>
      <c r="I258" s="1810"/>
      <c r="J258" s="1810"/>
      <c r="K258" s="1810"/>
      <c r="L258" s="2126" t="str" cm="1">
        <f t="array" ref="L258">IF(B239&lt;=0,0,ROUNDUP(SUMPRODUCT(LEN(C258:K258))/B239,0))&amp;" ligne(s)"</f>
        <v>0 ligne(s)</v>
      </c>
      <c r="N258" s="1684" t="s">
        <v>10</v>
      </c>
      <c r="O258" s="31" t="str">
        <f>O241</f>
        <v>B BEIGNETS D'ACACIA | pâtisserie--Beignets| Auteur &gt; Supertoinette</v>
      </c>
      <c r="P258" s="32">
        <f>P241</f>
        <v>6</v>
      </c>
      <c r="Q258" s="31" t="str">
        <f>Q241</f>
        <v>personnes</v>
      </c>
      <c r="R258" s="33" t="str">
        <f>R241</f>
        <v>Recette mère ► Beignets d'acacia</v>
      </c>
      <c r="S258" s="142" t="s">
        <v>140</v>
      </c>
      <c r="T258" s="104" t="s">
        <v>100</v>
      </c>
      <c r="U258" s="143" t="s">
        <v>141</v>
      </c>
      <c r="V258" s="144" t="s">
        <v>142</v>
      </c>
      <c r="W258" s="118" t="s">
        <v>143</v>
      </c>
      <c r="X258" s="118" t="s">
        <v>109</v>
      </c>
      <c r="Y258" s="143" t="s">
        <v>141</v>
      </c>
      <c r="Z258" s="93" t="s">
        <v>0</v>
      </c>
      <c r="AA258" s="93" t="s">
        <v>97</v>
      </c>
      <c r="AB258" s="93" t="s">
        <v>144</v>
      </c>
      <c r="AC258" s="93" t="s">
        <v>145</v>
      </c>
      <c r="AD258" s="109" t="s">
        <v>104</v>
      </c>
      <c r="AE258" s="109" t="s">
        <v>359</v>
      </c>
      <c r="AF258" s="335" t="s">
        <v>146</v>
      </c>
      <c r="AG258" s="109" t="s">
        <v>147</v>
      </c>
      <c r="AJ258" s="1684" t="str">
        <f t="shared" si="35"/>
        <v>A</v>
      </c>
      <c r="AK258" s="1616"/>
      <c r="AL258" s="1333" t="s">
        <v>21</v>
      </c>
      <c r="AM258" s="533"/>
      <c r="AN258" s="534"/>
      <c r="AO258" s="535"/>
      <c r="AP258" s="536"/>
      <c r="AQ258" s="472"/>
      <c r="AR258" s="472"/>
      <c r="AS258" s="537"/>
      <c r="AV258" s="3">
        <v>1</v>
      </c>
    </row>
    <row r="259" spans="2:48" ht="21" customHeight="1">
      <c r="B259" s="1610" cm="1">
        <f t="array" ref="B259">SUMPRODUCT(LEN(C259:K259))</f>
        <v>0</v>
      </c>
      <c r="C259" s="1810"/>
      <c r="D259" s="1810"/>
      <c r="E259" s="1810"/>
      <c r="F259" s="1810"/>
      <c r="G259" s="1810"/>
      <c r="H259" s="1810"/>
      <c r="I259" s="1810"/>
      <c r="J259" s="1810"/>
      <c r="K259" s="1810"/>
      <c r="L259" s="2126" t="str" cm="1">
        <f t="array" ref="L259">IF(B239&lt;=0,0,ROUNDUP(SUMPRODUCT(LEN(C259:K259))/B239,0))&amp;" ligne(s)"</f>
        <v>0 ligne(s)</v>
      </c>
      <c r="N259" s="1684" t="s">
        <v>10</v>
      </c>
      <c r="O259" s="31" t="str">
        <f>O241</f>
        <v>B BEIGNETS D'ACACIA | pâtisserie--Beignets| Auteur &gt; Supertoinette</v>
      </c>
      <c r="P259" s="32">
        <f>P241</f>
        <v>6</v>
      </c>
      <c r="Q259" s="31" t="str">
        <f>Q241</f>
        <v>personnes</v>
      </c>
      <c r="R259" s="33" t="str">
        <f>R241</f>
        <v>Recette mère ► Beignets d'acacia</v>
      </c>
      <c r="S259" s="685">
        <v>1</v>
      </c>
      <c r="T259" s="686">
        <v>1E-3</v>
      </c>
      <c r="U259" s="687">
        <v>0</v>
      </c>
      <c r="V259" s="686">
        <v>0.25</v>
      </c>
      <c r="W259" s="686">
        <v>0.33332999999999996</v>
      </c>
      <c r="X259" s="686">
        <v>0.5</v>
      </c>
      <c r="Y259" s="687">
        <v>0</v>
      </c>
      <c r="Z259" s="688">
        <v>1</v>
      </c>
      <c r="AA259" s="688">
        <v>0.1</v>
      </c>
      <c r="AB259" s="688">
        <v>0.01</v>
      </c>
      <c r="AC259" s="688">
        <v>1E-3</v>
      </c>
      <c r="AD259" s="688">
        <v>0.5</v>
      </c>
      <c r="AE259" s="688">
        <v>0.25</v>
      </c>
      <c r="AF259" s="688">
        <v>0.33300000000000002</v>
      </c>
      <c r="AG259" s="1756">
        <v>0.2</v>
      </c>
      <c r="AJ259" s="1684" t="str">
        <f t="shared" si="35"/>
        <v>A</v>
      </c>
      <c r="AK259" s="1616"/>
      <c r="AL259" s="1333" t="s">
        <v>21</v>
      </c>
      <c r="AM259" s="540"/>
      <c r="AN259" s="212"/>
      <c r="AO259" s="213"/>
      <c r="AP259" s="214"/>
      <c r="AQ259" s="213"/>
      <c r="AR259" s="213"/>
      <c r="AS259" s="541"/>
      <c r="AV259" s="3">
        <v>1</v>
      </c>
    </row>
    <row r="260" spans="2:48" ht="21" customHeight="1">
      <c r="B260" s="1610" cm="1">
        <f t="array" ref="B260">SUMPRODUCT(LEN(C260:K260))</f>
        <v>0</v>
      </c>
      <c r="C260" s="1810"/>
      <c r="D260" s="1810"/>
      <c r="E260" s="1810"/>
      <c r="F260" s="1810"/>
      <c r="G260" s="1810"/>
      <c r="H260" s="1810"/>
      <c r="I260" s="1810"/>
      <c r="J260" s="1810"/>
      <c r="K260" s="1810"/>
      <c r="L260" s="2126" t="str" cm="1">
        <f t="array" ref="L260">IF(B239&lt;=0,0,ROUNDUP(SUMPRODUCT(LEN(C260:K260))/B239,0))&amp;" ligne(s)"</f>
        <v>0 ligne(s)</v>
      </c>
      <c r="N260" s="1684" t="s">
        <v>10</v>
      </c>
      <c r="O260" s="31" t="str">
        <f>O241</f>
        <v>B BEIGNETS D'ACACIA | pâtisserie--Beignets| Auteur &gt; Supertoinette</v>
      </c>
      <c r="P260" s="32">
        <f>P241</f>
        <v>6</v>
      </c>
      <c r="Q260" s="31" t="str">
        <f>Q241</f>
        <v>personnes</v>
      </c>
      <c r="R260" s="33" t="str">
        <f>R241</f>
        <v>Recette mère ► Beignets d'acacia</v>
      </c>
      <c r="S260" s="121" t="s">
        <v>155</v>
      </c>
      <c r="T260" s="121" t="s">
        <v>156</v>
      </c>
      <c r="U260" s="143" t="s">
        <v>141</v>
      </c>
      <c r="V260" s="121" t="s">
        <v>110</v>
      </c>
      <c r="W260" s="121" t="s">
        <v>157</v>
      </c>
      <c r="X260" s="121" t="s">
        <v>158</v>
      </c>
      <c r="Y260" s="143" t="s">
        <v>141</v>
      </c>
      <c r="Z260" s="125" t="s">
        <v>115</v>
      </c>
      <c r="AA260" s="155" t="s">
        <v>159</v>
      </c>
      <c r="AB260" s="155" t="s">
        <v>160</v>
      </c>
      <c r="AC260" s="109" t="s">
        <v>161</v>
      </c>
      <c r="AD260" s="109" t="s">
        <v>162</v>
      </c>
      <c r="AE260" s="109" t="s">
        <v>105</v>
      </c>
      <c r="AF260" s="1758" t="s">
        <v>1689</v>
      </c>
      <c r="AG260" s="697" t="s">
        <v>163</v>
      </c>
      <c r="AJ260" s="1684" t="str">
        <f t="shared" si="35"/>
        <v>A</v>
      </c>
      <c r="AK260" s="1616"/>
      <c r="AL260" s="1333" t="s">
        <v>21</v>
      </c>
      <c r="AM260" s="459"/>
      <c r="AR260" s="9"/>
      <c r="AS260" s="38"/>
      <c r="AV260" s="3">
        <v>1</v>
      </c>
    </row>
    <row r="261" spans="2:48" ht="21" customHeight="1">
      <c r="B261" s="1610" cm="1">
        <f t="array" ref="B261">SUMPRODUCT(LEN(C261:K261))</f>
        <v>162</v>
      </c>
      <c r="C261" s="1810" t="s">
        <v>8341</v>
      </c>
      <c r="D261" s="1810"/>
      <c r="E261" s="1810"/>
      <c r="F261" s="1810"/>
      <c r="G261" s="1810"/>
      <c r="H261" s="1810"/>
      <c r="I261" s="1810"/>
      <c r="J261" s="1810"/>
      <c r="K261" s="1810"/>
      <c r="L261" s="2126" t="str" cm="1">
        <f t="array" ref="L261">IF(B239&lt;=0,0,ROUNDUP(SUMPRODUCT(LEN(C261:K261))/B239,0))&amp;" ligne(s)"</f>
        <v>2 ligne(s)</v>
      </c>
      <c r="N261" s="1684" t="s">
        <v>10</v>
      </c>
      <c r="O261" s="31" t="str">
        <f>O241</f>
        <v>B BEIGNETS D'ACACIA | pâtisserie--Beignets| Auteur &gt; Supertoinette</v>
      </c>
      <c r="P261" s="32">
        <f>P241</f>
        <v>6</v>
      </c>
      <c r="Q261" s="31" t="str">
        <f>Q241</f>
        <v>personnes</v>
      </c>
      <c r="R261" s="33" t="str">
        <f>R241</f>
        <v>Recette mère ► Beignets d'acacia</v>
      </c>
      <c r="S261" s="685">
        <v>2.835E-2</v>
      </c>
      <c r="T261" s="686">
        <v>0.13</v>
      </c>
      <c r="U261" s="687">
        <v>0</v>
      </c>
      <c r="V261" s="686">
        <v>0.2</v>
      </c>
      <c r="W261" s="686">
        <v>0.23</v>
      </c>
      <c r="X261" s="686">
        <v>0.22500000000000001</v>
      </c>
      <c r="Y261" s="687">
        <v>0</v>
      </c>
      <c r="Z261" s="688">
        <v>0.35</v>
      </c>
      <c r="AA261" s="688">
        <v>5.0000000000000001E-3</v>
      </c>
      <c r="AB261" s="688">
        <v>5.0000000000000001E-3</v>
      </c>
      <c r="AC261" s="688">
        <v>1.4999999999999999E-2</v>
      </c>
      <c r="AD261" s="688">
        <v>0.1</v>
      </c>
      <c r="AE261" s="688">
        <v>0.22500000000000001</v>
      </c>
      <c r="AF261" s="688">
        <v>4.0000000000000001E-3</v>
      </c>
      <c r="AG261" s="1757">
        <v>1E-3</v>
      </c>
      <c r="AJ261" s="1684" t="str">
        <f t="shared" si="35"/>
        <v>A</v>
      </c>
      <c r="AK261" s="1616"/>
      <c r="AL261" s="1333" t="s">
        <v>21</v>
      </c>
      <c r="AM261" s="459"/>
      <c r="AN261" s="543"/>
      <c r="AO261" s="544"/>
      <c r="AP261" s="545" t="s">
        <v>164</v>
      </c>
      <c r="AQ261" s="546" t="s">
        <v>643</v>
      </c>
      <c r="AR261" s="9"/>
      <c r="AS261" s="38"/>
      <c r="AV261" s="3">
        <v>1</v>
      </c>
    </row>
    <row r="262" spans="2:48" ht="21" customHeight="1">
      <c r="B262" s="1610" cm="1">
        <f t="array" ref="B262">SUMPRODUCT(LEN(C262:K262))</f>
        <v>0</v>
      </c>
      <c r="C262" s="1810"/>
      <c r="D262" s="1810"/>
      <c r="E262" s="1810"/>
      <c r="F262" s="1810"/>
      <c r="G262" s="1810"/>
      <c r="H262" s="1810"/>
      <c r="I262" s="1810"/>
      <c r="J262" s="1810"/>
      <c r="K262" s="1810"/>
      <c r="L262" s="2126" t="str" cm="1">
        <f t="array" ref="L262">IF(B239&lt;=0,0,ROUNDUP(SUMPRODUCT(LEN(C262:K262))/B239,0))&amp;" ligne(s)"</f>
        <v>0 ligne(s)</v>
      </c>
      <c r="N262" s="1684" t="s">
        <v>15</v>
      </c>
      <c r="O262" s="2262" t="str">
        <f t="shared" ref="O262:AG262" si="43">SUBSTITUTE(ADDRESS(1,COLUMN(),4),"1","")</f>
        <v>O</v>
      </c>
      <c r="P262" s="2262" t="str">
        <f t="shared" si="43"/>
        <v>P</v>
      </c>
      <c r="Q262" s="2262" t="str">
        <f t="shared" si="43"/>
        <v>Q</v>
      </c>
      <c r="R262" s="2262" t="str">
        <f t="shared" si="43"/>
        <v>R</v>
      </c>
      <c r="S262" s="2262" t="str">
        <f t="shared" si="43"/>
        <v>S</v>
      </c>
      <c r="T262" s="2262" t="str">
        <f t="shared" si="43"/>
        <v>T</v>
      </c>
      <c r="U262" s="2262" t="str">
        <f t="shared" si="43"/>
        <v>U</v>
      </c>
      <c r="V262" s="2262" t="str">
        <f t="shared" si="43"/>
        <v>V</v>
      </c>
      <c r="W262" s="2262" t="str">
        <f t="shared" si="43"/>
        <v>W</v>
      </c>
      <c r="X262" s="2262" t="str">
        <f t="shared" si="43"/>
        <v>X</v>
      </c>
      <c r="Y262" s="6022" t="str">
        <f t="shared" si="43"/>
        <v>Y</v>
      </c>
      <c r="Z262" s="5573" t="str">
        <f t="shared" si="43"/>
        <v>Z</v>
      </c>
      <c r="AA262" s="5573" t="str">
        <f t="shared" si="43"/>
        <v>AA</v>
      </c>
      <c r="AB262" s="5573" t="str">
        <f t="shared" si="43"/>
        <v>AB</v>
      </c>
      <c r="AC262" s="5573" t="str">
        <f t="shared" si="43"/>
        <v>AC</v>
      </c>
      <c r="AD262" s="6022" t="str">
        <f t="shared" si="43"/>
        <v>AD</v>
      </c>
      <c r="AE262" s="5573" t="str">
        <f t="shared" si="43"/>
        <v>AE</v>
      </c>
      <c r="AF262" s="5573" t="str">
        <f t="shared" si="43"/>
        <v>AF</v>
      </c>
      <c r="AG262" s="6024" t="str">
        <f t="shared" si="43"/>
        <v>AG</v>
      </c>
      <c r="AH262" s="6628" t="s">
        <v>8774</v>
      </c>
      <c r="AJ262" s="1684" t="str">
        <f t="shared" si="35"/>
        <v>►</v>
      </c>
      <c r="AK262" s="1616"/>
      <c r="AL262" s="1333" t="s">
        <v>21</v>
      </c>
      <c r="AM262" s="459"/>
      <c r="AN262" s="549"/>
      <c r="AO262" s="168"/>
      <c r="AP262" s="169" t="s">
        <v>167</v>
      </c>
      <c r="AQ262" s="550" t="s">
        <v>165</v>
      </c>
      <c r="AR262" s="9"/>
      <c r="AS262" s="38"/>
      <c r="AV262" s="3">
        <v>1</v>
      </c>
    </row>
    <row r="263" spans="2:48" ht="21" customHeight="1">
      <c r="B263" s="1610" cm="1">
        <f t="array" ref="B263">SUMPRODUCT(LEN(C263:K263))</f>
        <v>155</v>
      </c>
      <c r="C263" s="1810" t="s">
        <v>8342</v>
      </c>
      <c r="D263" s="1810"/>
      <c r="E263" s="1810"/>
      <c r="F263" s="1810"/>
      <c r="G263" s="1810"/>
      <c r="H263" s="1810"/>
      <c r="I263" s="1810"/>
      <c r="J263" s="1810"/>
      <c r="K263" s="1810"/>
      <c r="L263" s="2126" t="str" cm="1">
        <f t="array" ref="L263">IF(B239&lt;=0,0,ROUNDUP(SUMPRODUCT(LEN(C263:K263))/B239,0))&amp;" ligne(s)"</f>
        <v>2 ligne(s)</v>
      </c>
      <c r="N263" s="1684" t="s">
        <v>10</v>
      </c>
      <c r="O263" s="5578">
        <f t="shared" ref="O263:AG263" ca="1" si="44">CELL("largeur",O263)</f>
        <v>3</v>
      </c>
      <c r="P263" s="5578">
        <f t="shared" ca="1" si="44"/>
        <v>3</v>
      </c>
      <c r="Q263" s="5578">
        <f t="shared" ca="1" si="44"/>
        <v>3</v>
      </c>
      <c r="R263" s="5578">
        <f t="shared" ca="1" si="44"/>
        <v>5</v>
      </c>
      <c r="S263" s="5578">
        <f t="shared" ca="1" si="44"/>
        <v>12</v>
      </c>
      <c r="T263" s="5578">
        <f t="shared" ca="1" si="44"/>
        <v>12</v>
      </c>
      <c r="U263" s="5578">
        <f t="shared" ca="1" si="44"/>
        <v>3</v>
      </c>
      <c r="V263" s="5578">
        <f t="shared" ca="1" si="44"/>
        <v>9</v>
      </c>
      <c r="W263" s="5578">
        <f t="shared" ca="1" si="44"/>
        <v>12</v>
      </c>
      <c r="X263" s="5578">
        <f t="shared" ca="1" si="44"/>
        <v>9</v>
      </c>
      <c r="Y263" s="6023">
        <f t="shared" ca="1" si="44"/>
        <v>6</v>
      </c>
      <c r="Z263" s="5579">
        <f t="shared" ca="1" si="44"/>
        <v>40</v>
      </c>
      <c r="AA263" s="5579">
        <f t="shared" ca="1" si="44"/>
        <v>10</v>
      </c>
      <c r="AB263" s="5579">
        <f t="shared" ca="1" si="44"/>
        <v>9</v>
      </c>
      <c r="AC263" s="5579">
        <f t="shared" ca="1" si="44"/>
        <v>11</v>
      </c>
      <c r="AD263" s="6023">
        <f t="shared" ca="1" si="44"/>
        <v>13</v>
      </c>
      <c r="AE263" s="5579">
        <f t="shared" ca="1" si="44"/>
        <v>13</v>
      </c>
      <c r="AF263" s="5579">
        <f t="shared" ca="1" si="44"/>
        <v>13</v>
      </c>
      <c r="AG263" s="6025">
        <f t="shared" ca="1" si="44"/>
        <v>17</v>
      </c>
      <c r="AH263" s="6628"/>
      <c r="AJ263" s="1684" t="str">
        <f t="shared" si="35"/>
        <v>A</v>
      </c>
      <c r="AK263" s="1616"/>
      <c r="AL263" s="1333" t="s">
        <v>21</v>
      </c>
      <c r="AM263" s="459"/>
      <c r="AN263" s="553"/>
      <c r="AO263" s="9"/>
      <c r="AP263" s="174" t="s">
        <v>171</v>
      </c>
      <c r="AQ263" s="554">
        <v>1.7361111111111112E-2</v>
      </c>
      <c r="AR263" s="9"/>
      <c r="AS263" s="38"/>
      <c r="AV263" s="3">
        <v>1</v>
      </c>
    </row>
    <row r="264" spans="2:48" ht="21" customHeight="1">
      <c r="B264" s="1610" cm="1">
        <f t="array" ref="B264">SUMPRODUCT(LEN(C264:K264))</f>
        <v>0</v>
      </c>
      <c r="C264" s="1810"/>
      <c r="D264" s="1810"/>
      <c r="E264" s="1810"/>
      <c r="F264" s="1810"/>
      <c r="G264" s="1810"/>
      <c r="H264" s="1810"/>
      <c r="I264" s="1810"/>
      <c r="J264" s="1810"/>
      <c r="K264" s="1810"/>
      <c r="L264" s="2126" t="str" cm="1">
        <f t="array" ref="L264">IF(B239&lt;=0,0,ROUNDUP(SUMPRODUCT(LEN(C264:K264))/B239,0))&amp;" ligne(s)"</f>
        <v>0 ligne(s)</v>
      </c>
      <c r="N264" s="1692" t="s">
        <v>10</v>
      </c>
      <c r="O264" s="1370" t="str">
        <f>O241</f>
        <v>B BEIGNETS D'ACACIA | pâtisserie--Beignets| Auteur &gt; Supertoinette</v>
      </c>
      <c r="P264" s="1348">
        <f>P241</f>
        <v>6</v>
      </c>
      <c r="Q264" s="1349" t="str">
        <f>Q241</f>
        <v>personnes</v>
      </c>
      <c r="R264" s="1350" t="str">
        <f>R241</f>
        <v>Recette mère ► Beignets d'acacia</v>
      </c>
      <c r="S264" s="5997" t="str">
        <f ca="1">"largeur de "&amp;Y262&amp;" à "&amp;AG262&amp;" = "&amp;SUM(Y263:AG263)</f>
        <v>largeur de Y à AG = 132</v>
      </c>
      <c r="T264" s="5998"/>
      <c r="U264" s="1986"/>
      <c r="V264" s="1986"/>
      <c r="W264" s="1986"/>
      <c r="X264" s="1987" t="s">
        <v>8145</v>
      </c>
      <c r="Y264" s="1988" t="s">
        <v>821</v>
      </c>
      <c r="Z264" s="1941"/>
      <c r="AA264" s="5999" t="str">
        <f ca="1">"largeur mini  = "&amp;SUM(Y263:AD263)</f>
        <v>largeur mini  = 89</v>
      </c>
      <c r="AB264" s="6000" t="str">
        <f ca="1">"largeur maxi  = "&amp;SUM(Y263:AG263)</f>
        <v>largeur maxi  = 132</v>
      </c>
      <c r="AC264" s="1942"/>
      <c r="AD264" s="1942"/>
      <c r="AE264" s="1989"/>
      <c r="AF264" s="2101"/>
      <c r="AG264" s="1990" t="s">
        <v>218</v>
      </c>
      <c r="AJ264" s="1692" t="str">
        <f t="shared" si="35"/>
        <v>A</v>
      </c>
      <c r="AK264" s="1616"/>
      <c r="AL264" s="1333" t="s">
        <v>21</v>
      </c>
      <c r="AM264" s="459"/>
      <c r="AN264" s="553"/>
      <c r="AO264" s="9"/>
      <c r="AP264" s="174" t="s">
        <v>173</v>
      </c>
      <c r="AQ264" s="556">
        <v>1.0416666666666666E-2</v>
      </c>
      <c r="AR264" s="9"/>
      <c r="AS264" s="38"/>
      <c r="AV264" s="3">
        <v>1</v>
      </c>
    </row>
    <row r="265" spans="2:48" ht="21" customHeight="1">
      <c r="B265" s="1610" cm="1">
        <f t="array" ref="B265">SUMPRODUCT(LEN(C265:K265))</f>
        <v>131</v>
      </c>
      <c r="C265" s="1810" t="s">
        <v>8343</v>
      </c>
      <c r="D265" s="1810"/>
      <c r="E265" s="1810"/>
      <c r="F265" s="1810"/>
      <c r="G265" s="1810"/>
      <c r="H265" s="1810"/>
      <c r="I265" s="1810"/>
      <c r="J265" s="1810"/>
      <c r="K265" s="1810"/>
      <c r="L265" s="2126" t="str" cm="1">
        <f t="array" ref="L265">IF(B239&lt;=0,0,ROUNDUP(SUMPRODUCT(LEN(C265:K265))/B239,0))&amp;" ligne(s)"</f>
        <v>2 ligne(s)</v>
      </c>
      <c r="N265" s="1692" t="s">
        <v>10</v>
      </c>
      <c r="O265" s="163" t="str">
        <f>O241</f>
        <v>B BEIGNETS D'ACACIA | pâtisserie--Beignets| Auteur &gt; Supertoinette</v>
      </c>
      <c r="P265" s="163">
        <f>P241</f>
        <v>6</v>
      </c>
      <c r="Q265" s="164" t="str">
        <f>Q241</f>
        <v>personnes</v>
      </c>
      <c r="R265" s="165" t="str">
        <f>R241</f>
        <v>Recette mère ► Beignets d'acacia</v>
      </c>
      <c r="S265" s="508"/>
      <c r="T265" s="508"/>
      <c r="U265" s="2063"/>
      <c r="V265" s="2064" t="s">
        <v>8865</v>
      </c>
      <c r="W265" s="2065">
        <f ca="1">SUM(Y263:AG263)</f>
        <v>132</v>
      </c>
      <c r="X265" s="1374">
        <v>0</v>
      </c>
      <c r="Y265" s="1375" t="s">
        <v>8334</v>
      </c>
      <c r="Z265" s="1810"/>
      <c r="AA265" s="1810"/>
      <c r="AB265" s="1810"/>
      <c r="AC265" s="1810"/>
      <c r="AD265" s="1810"/>
      <c r="AE265" s="9"/>
      <c r="AF265" s="5993" t="s">
        <v>164</v>
      </c>
      <c r="AG265" s="1330" t="s">
        <v>165</v>
      </c>
      <c r="AJ265" s="1692" t="str">
        <f t="shared" si="35"/>
        <v>A</v>
      </c>
      <c r="AK265" s="1616"/>
      <c r="AL265" s="1333" t="s">
        <v>21</v>
      </c>
      <c r="AM265" s="459"/>
      <c r="AN265" s="553"/>
      <c r="AO265" s="9"/>
      <c r="AP265" s="174" t="s">
        <v>181</v>
      </c>
      <c r="AQ265" s="557">
        <v>6.25E-2</v>
      </c>
      <c r="AR265" s="9"/>
      <c r="AS265" s="38"/>
      <c r="AV265" s="3">
        <v>1</v>
      </c>
    </row>
    <row r="266" spans="2:48" ht="21" customHeight="1">
      <c r="B266" s="1610" cm="1">
        <f t="array" ref="B266">SUMPRODUCT(LEN(C266:K266))</f>
        <v>0</v>
      </c>
      <c r="C266" s="1810"/>
      <c r="D266" s="1810"/>
      <c r="E266" s="1810"/>
      <c r="F266" s="1810"/>
      <c r="G266" s="1810"/>
      <c r="H266" s="1810"/>
      <c r="I266" s="1810"/>
      <c r="J266" s="1810"/>
      <c r="K266" s="1810"/>
      <c r="L266" s="2126" t="str" cm="1">
        <f t="array" ref="L266">IF(B239&lt;=0,0,ROUNDUP(SUMPRODUCT(LEN(C266:K266))/B239,0))&amp;" ligne(s)"</f>
        <v>0 ligne(s)</v>
      </c>
      <c r="N266" s="1692" t="s">
        <v>10</v>
      </c>
      <c r="O266" s="163" t="str">
        <f>O241</f>
        <v>B BEIGNETS D'ACACIA | pâtisserie--Beignets| Auteur &gt; Supertoinette</v>
      </c>
      <c r="P266" s="163">
        <f>P241</f>
        <v>6</v>
      </c>
      <c r="Q266" s="164" t="str">
        <f>Q241</f>
        <v>personnes</v>
      </c>
      <c r="R266" s="165" t="str">
        <f>R241</f>
        <v>Recette mère ► Beignets d'acacia</v>
      </c>
      <c r="S266" s="1548"/>
      <c r="T266" s="2189" t="s">
        <v>8771</v>
      </c>
      <c r="U266" s="2190">
        <f>ROWS(Y266:Y266)</f>
        <v>1</v>
      </c>
      <c r="V266" s="5549" t="str" cm="1">
        <f t="array" ref="V266">IF(SUMPRODUCT((Y266:AD266&lt;&gt;"")*1)=0,"",SUMPRODUCT((Y266:AD266&lt;&gt;"")*(LEN(TRIM(SUBSTITUTE(Y266:AD266,CHAR(160)," "))) - LEN(SUBSTITUTE(TRIM(SUBSTITUTE(Y266:AD266,CHAR(160)," "))," ","")) + 1)) &amp; " mot" &amp; IF(SUMPRODUCT((Y266:AD266&lt;&gt;"")*(LEN(TRIM(SUBSTITUTE(Y266:AD266,CHAR(160)," "))) - LEN(SUBSTITUTE(TRIM(SUBSTITUTE(Y266:AD266,CHAR(160)," "))," ","")) + 1))&gt;1,"s",""))</f>
        <v>15 mots</v>
      </c>
      <c r="W266" s="5550" t="str" cm="1">
        <f t="array" ref="W266">SUMPRODUCT(--(Y266:AD266&lt;&gt;""), LEN(TRIM(SUBSTITUTE(Y266:AD266, CHAR(160), "")))) &amp; " Car."</f>
        <v>98 Car.</v>
      </c>
      <c r="X266" s="1376">
        <f>IF(ISBLANK(Y266),"",LARGE(X265:X265,1)+1)</f>
        <v>1</v>
      </c>
      <c r="Y266" s="1810" t="s">
        <v>8347</v>
      </c>
      <c r="Z266" s="1810"/>
      <c r="AA266" s="1810"/>
      <c r="AB266" s="1810"/>
      <c r="AC266" s="1810"/>
      <c r="AD266" s="1810"/>
      <c r="AE266" s="9"/>
      <c r="AF266" s="5993" t="s">
        <v>167</v>
      </c>
      <c r="AG266" s="1330" t="s">
        <v>165</v>
      </c>
      <c r="AJ266" s="1692" t="str">
        <f t="shared" si="35"/>
        <v>A</v>
      </c>
      <c r="AK266" s="1616"/>
      <c r="AL266" s="1333" t="s">
        <v>21</v>
      </c>
      <c r="AM266" s="459"/>
      <c r="AN266" s="553"/>
      <c r="AO266" s="9"/>
      <c r="AP266" s="179" t="s">
        <v>182</v>
      </c>
      <c r="AQ266" s="558">
        <f>AQ263+AQ264+AQ265</f>
        <v>9.0277777777777776E-2</v>
      </c>
      <c r="AR266" s="9"/>
      <c r="AS266" s="38"/>
      <c r="AV266" s="3">
        <v>1</v>
      </c>
    </row>
    <row r="267" spans="2:48" ht="21" customHeight="1">
      <c r="B267" s="1610" cm="1">
        <f t="array" ref="B267">SUMPRODUCT(LEN(C267:K267))</f>
        <v>168</v>
      </c>
      <c r="C267" s="1810" t="s">
        <v>8344</v>
      </c>
      <c r="D267" s="1810"/>
      <c r="E267" s="1810"/>
      <c r="F267" s="1810"/>
      <c r="G267" s="1810"/>
      <c r="H267" s="1810"/>
      <c r="I267" s="1810"/>
      <c r="J267" s="1810"/>
      <c r="K267" s="1810"/>
      <c r="L267" s="2126" t="str" cm="1">
        <f t="array" ref="L267">IF(B239&lt;=0,0,ROUNDUP(SUMPRODUCT(LEN(C267:K267))/B239,0))&amp;" ligne(s)"</f>
        <v>2 ligne(s)</v>
      </c>
      <c r="N267" s="1692" t="s">
        <v>10</v>
      </c>
      <c r="O267" s="163" t="str">
        <f>O241</f>
        <v>B BEIGNETS D'ACACIA | pâtisserie--Beignets| Auteur &gt; Supertoinette</v>
      </c>
      <c r="P267" s="163">
        <f>P241</f>
        <v>6</v>
      </c>
      <c r="Q267" s="164" t="str">
        <f>Q241</f>
        <v>personnes</v>
      </c>
      <c r="R267" s="165" t="str">
        <f>R241</f>
        <v>Recette mère ► Beignets d'acacia</v>
      </c>
      <c r="S267" s="1548"/>
      <c r="T267" s="1548"/>
      <c r="U267" s="2190">
        <f>ROWS(Y266:Y267)</f>
        <v>2</v>
      </c>
      <c r="V267" s="5549" t="str" cm="1">
        <f t="array" ref="V267">IF(SUMPRODUCT((Y267:AD267&lt;&gt;"")*1)=0,"",SUMPRODUCT((Y267:AD267&lt;&gt;"")*(LEN(TRIM(SUBSTITUTE(Y267:AD267,CHAR(160)," "))) - LEN(SUBSTITUTE(TRIM(SUBSTITUTE(Y267:AD267,CHAR(160)," "))," ","")) + 1)) &amp; " mot" &amp; IF(SUMPRODUCT((Y267:AD267&lt;&gt;"")*(LEN(TRIM(SUBSTITUTE(Y267:AD267,CHAR(160)," "))) - LEN(SUBSTITUTE(TRIM(SUBSTITUTE(Y267:AD267,CHAR(160)," "))," ","")) + 1))&gt;1,"s",""))</f>
        <v>8 mots</v>
      </c>
      <c r="W267" s="5550" t="str" cm="1">
        <f t="array" ref="W267">SUMPRODUCT(--(Y267:AD267&lt;&gt;""), LEN(TRIM(SUBSTITUTE(Y267:AD267, CHAR(160), "")))) &amp; " Car."</f>
        <v>60 Car.</v>
      </c>
      <c r="X267" s="1376">
        <f>IF(ISBLANK(Y267),"",LARGE(X265:X266,1)+1)</f>
        <v>2</v>
      </c>
      <c r="Y267" s="1810" t="s">
        <v>8348</v>
      </c>
      <c r="Z267" s="1810"/>
      <c r="AA267" s="1810"/>
      <c r="AB267" s="1810"/>
      <c r="AC267" s="1810"/>
      <c r="AD267" s="1810"/>
      <c r="AE267" s="1810"/>
      <c r="AF267" s="5994" t="s">
        <v>171</v>
      </c>
      <c r="AG267" s="5564">
        <v>3.472222222222222E-3</v>
      </c>
      <c r="AJ267" s="1692" t="str">
        <f t="shared" ref="AJ267:AJ330" si="45">N267</f>
        <v>A</v>
      </c>
      <c r="AK267" s="1616"/>
      <c r="AL267" s="1333" t="s">
        <v>21</v>
      </c>
      <c r="AM267" s="459"/>
      <c r="AN267" s="6622" t="s">
        <v>1651</v>
      </c>
      <c r="AO267" s="6596"/>
      <c r="AP267" s="6596"/>
      <c r="AQ267" s="6597"/>
      <c r="AR267" s="9"/>
      <c r="AS267" s="38"/>
      <c r="AV267" s="3">
        <v>1</v>
      </c>
    </row>
    <row r="268" spans="2:48" ht="21" customHeight="1">
      <c r="B268" s="1610" cm="1">
        <f t="array" ref="B268">SUMPRODUCT(LEN(C268:K268))</f>
        <v>0</v>
      </c>
      <c r="C268" s="1810"/>
      <c r="D268" s="1810"/>
      <c r="E268" s="1810"/>
      <c r="F268" s="1810"/>
      <c r="G268" s="1810"/>
      <c r="H268" s="1810"/>
      <c r="I268" s="1810"/>
      <c r="J268" s="1810"/>
      <c r="K268" s="1810"/>
      <c r="L268" s="2126" t="str" cm="1">
        <f t="array" ref="L268">IF(B239&lt;=0,0,ROUNDUP(SUMPRODUCT(LEN(C268:K268))/B239,0))&amp;" ligne(s)"</f>
        <v>0 ligne(s)</v>
      </c>
      <c r="N268" s="1692" t="s">
        <v>10</v>
      </c>
      <c r="O268" s="163" t="str">
        <f>O241</f>
        <v>B BEIGNETS D'ACACIA | pâtisserie--Beignets| Auteur &gt; Supertoinette</v>
      </c>
      <c r="P268" s="163">
        <f>P241</f>
        <v>6</v>
      </c>
      <c r="Q268" s="164" t="str">
        <f>Q241</f>
        <v>personnes</v>
      </c>
      <c r="R268" s="165" t="str">
        <f>R241</f>
        <v>Recette mère ► Beignets d'acacia</v>
      </c>
      <c r="S268" s="1548"/>
      <c r="T268" s="1548"/>
      <c r="U268" s="2190">
        <f>ROWS(Y266:Y268)</f>
        <v>3</v>
      </c>
      <c r="V268" s="5549" t="str" cm="1">
        <f t="array" ref="V268">IF(SUMPRODUCT((Y268:AD268&lt;&gt;"")*1)=0,"",SUMPRODUCT((Y268:AD268&lt;&gt;"")*(LEN(TRIM(SUBSTITUTE(Y268:AD268,CHAR(160)," "))) - LEN(SUBSTITUTE(TRIM(SUBSTITUTE(Y268:AD268,CHAR(160)," "))," ","")) + 1)) &amp; " mot" &amp; IF(SUMPRODUCT((Y268:AD268&lt;&gt;"")*(LEN(TRIM(SUBSTITUTE(Y268:AD268,CHAR(160)," "))) - LEN(SUBSTITUTE(TRIM(SUBSTITUTE(Y268:AD268,CHAR(160)," "))," ","")) + 1))&gt;1,"s",""))</f>
        <v>17 mots</v>
      </c>
      <c r="W268" s="5550" t="str" cm="1">
        <f t="array" ref="W268">SUMPRODUCT(--(Y268:AD268&lt;&gt;""), LEN(TRIM(SUBSTITUTE(Y268:AD268, CHAR(160), "")))) &amp; " Car."</f>
        <v>98 Car.</v>
      </c>
      <c r="X268" s="1376">
        <f>IF(ISBLANK(Y268),"",LARGE(X265:X267,1)+1)</f>
        <v>3</v>
      </c>
      <c r="Y268" s="1810" t="s">
        <v>14168</v>
      </c>
      <c r="Z268" s="1810"/>
      <c r="AA268" s="1810"/>
      <c r="AB268" s="1810"/>
      <c r="AC268" s="1810"/>
      <c r="AD268" s="1810"/>
      <c r="AE268" s="1810"/>
      <c r="AF268" s="5994" t="s">
        <v>173</v>
      </c>
      <c r="AG268" s="5565">
        <v>1.0416666666666666E-2</v>
      </c>
      <c r="AJ268" s="1692" t="str">
        <f t="shared" si="45"/>
        <v>A</v>
      </c>
      <c r="AK268" s="1616"/>
      <c r="AL268" s="1333" t="s">
        <v>21</v>
      </c>
      <c r="AM268" s="459"/>
      <c r="AN268" s="185" t="s">
        <v>190</v>
      </c>
      <c r="AO268" s="186"/>
      <c r="AP268" s="819" t="s">
        <v>191</v>
      </c>
      <c r="AQ268" s="195">
        <f>AN271*AN269</f>
        <v>225</v>
      </c>
      <c r="AR268" s="9"/>
      <c r="AS268" s="38"/>
      <c r="AV268" s="3">
        <v>1</v>
      </c>
    </row>
    <row r="269" spans="2:48" ht="21" customHeight="1">
      <c r="B269" s="1610" cm="1">
        <f t="array" ref="B269">SUMPRODUCT(LEN(C269:K269))</f>
        <v>163</v>
      </c>
      <c r="C269" s="1810" t="s">
        <v>8345</v>
      </c>
      <c r="D269" s="1810"/>
      <c r="E269" s="1810"/>
      <c r="F269" s="1810"/>
      <c r="G269" s="1810"/>
      <c r="H269" s="1810"/>
      <c r="I269" s="1810"/>
      <c r="J269" s="1810"/>
      <c r="K269" s="1810"/>
      <c r="L269" s="2126" t="str" cm="1">
        <f t="array" ref="L269">IF(B239&lt;=0,0,ROUNDUP(SUMPRODUCT(LEN(C269:K269))/B239,0))&amp;" ligne(s)"</f>
        <v>2 ligne(s)</v>
      </c>
      <c r="N269" s="1692" t="s">
        <v>10</v>
      </c>
      <c r="O269" s="163" t="str">
        <f>O241</f>
        <v>B BEIGNETS D'ACACIA | pâtisserie--Beignets| Auteur &gt; Supertoinette</v>
      </c>
      <c r="P269" s="163">
        <f>P241</f>
        <v>6</v>
      </c>
      <c r="Q269" s="164" t="str">
        <f>Q241</f>
        <v>personnes</v>
      </c>
      <c r="R269" s="165" t="str">
        <f>R241</f>
        <v>Recette mère ► Beignets d'acacia</v>
      </c>
      <c r="S269" s="1548"/>
      <c r="T269" s="1548"/>
      <c r="U269" s="2190">
        <f>ROWS(Y266:Y269)</f>
        <v>4</v>
      </c>
      <c r="V269" s="5549" t="str" cm="1">
        <f t="array" ref="V269">IF(SUMPRODUCT((Y269:AD269&lt;&gt;"")*1)=0,"",SUMPRODUCT((Y269:AD269&lt;&gt;"")*(LEN(TRIM(SUBSTITUTE(Y269:AD269,CHAR(160)," "))) - LEN(SUBSTITUTE(TRIM(SUBSTITUTE(Y269:AD269,CHAR(160)," "))," ","")) + 1)) &amp; " mot" &amp; IF(SUMPRODUCT((Y269:AD269&lt;&gt;"")*(LEN(TRIM(SUBSTITUTE(Y269:AD269,CHAR(160)," "))) - LEN(SUBSTITUTE(TRIM(SUBSTITUTE(Y269:AD269,CHAR(160)," "))," ","")) + 1))&gt;1,"s",""))</f>
        <v>10 mots</v>
      </c>
      <c r="W269" s="5550" t="str" cm="1">
        <f t="array" ref="W269">SUMPRODUCT(--(Y269:AD269&lt;&gt;""), LEN(TRIM(SUBSTITUTE(Y269:AD269, CHAR(160), "")))) &amp; " Car."</f>
        <v>53 Car.</v>
      </c>
      <c r="X269" s="1376" t="str">
        <f>IF(ISBLANK(Y269),"",LARGE(X265:X268,1)+1)</f>
        <v/>
      </c>
      <c r="Y269" s="1810"/>
      <c r="Z269" s="1833" t="s">
        <v>14169</v>
      </c>
      <c r="AA269" s="1810"/>
      <c r="AB269" s="1810"/>
      <c r="AC269" s="1810"/>
      <c r="AD269" s="1810"/>
      <c r="AE269" s="1810"/>
      <c r="AF269" s="5994" t="s">
        <v>181</v>
      </c>
      <c r="AG269" s="178">
        <v>2.0833333333333332E-2</v>
      </c>
      <c r="AJ269" s="1692" t="str">
        <f t="shared" si="45"/>
        <v>A</v>
      </c>
      <c r="AK269" s="1616"/>
      <c r="AL269" s="1333" t="s">
        <v>21</v>
      </c>
      <c r="AM269" s="459"/>
      <c r="AN269" s="187">
        <v>150</v>
      </c>
      <c r="AO269" s="188" t="s">
        <v>192</v>
      </c>
      <c r="AP269" s="6598" t="s">
        <v>884</v>
      </c>
      <c r="AQ269" s="6599"/>
      <c r="AR269" s="9"/>
      <c r="AS269" s="38"/>
      <c r="AV269" s="3">
        <v>1</v>
      </c>
    </row>
    <row r="270" spans="2:48" ht="21" customHeight="1">
      <c r="B270" s="1610" cm="1">
        <f t="array" ref="B270">SUMPRODUCT(LEN(C270:K270))</f>
        <v>0</v>
      </c>
      <c r="C270" s="1810"/>
      <c r="D270" s="1810"/>
      <c r="E270" s="1810"/>
      <c r="F270" s="1810"/>
      <c r="G270" s="1810"/>
      <c r="H270" s="1810"/>
      <c r="I270" s="1810"/>
      <c r="J270" s="1810"/>
      <c r="K270" s="1810"/>
      <c r="L270" s="2126" t="str" cm="1">
        <f t="array" ref="L270">IF(B239&lt;=0,0,ROUNDUP(SUMPRODUCT(LEN(C270:K270))/B239,0))&amp;" ligne(s)"</f>
        <v>0 ligne(s)</v>
      </c>
      <c r="N270" s="1692" t="s">
        <v>10</v>
      </c>
      <c r="O270" s="163" t="str">
        <f>O241</f>
        <v>B BEIGNETS D'ACACIA | pâtisserie--Beignets| Auteur &gt; Supertoinette</v>
      </c>
      <c r="P270" s="163">
        <f>P241</f>
        <v>6</v>
      </c>
      <c r="Q270" s="164" t="str">
        <f>Q241</f>
        <v>personnes</v>
      </c>
      <c r="R270" s="165" t="str">
        <f>R241</f>
        <v>Recette mère ► Beignets d'acacia</v>
      </c>
      <c r="S270" s="1548"/>
      <c r="T270" s="1548"/>
      <c r="U270" s="2190">
        <f>ROWS(Y266:Y270)</f>
        <v>5</v>
      </c>
      <c r="V270" s="5549" t="str" cm="1">
        <f t="array" ref="V270">IF(SUMPRODUCT((Y270:AD270&lt;&gt;"")*1)=0,"",SUMPRODUCT((Y270:AD270&lt;&gt;"")*(LEN(TRIM(SUBSTITUTE(Y270:AD270,CHAR(160)," "))) - LEN(SUBSTITUTE(TRIM(SUBSTITUTE(Y270:AD270,CHAR(160)," "))," ","")) + 1)) &amp; " mot" &amp; IF(SUMPRODUCT((Y270:AD270&lt;&gt;"")*(LEN(TRIM(SUBSTITUTE(Y270:AD270,CHAR(160)," "))) - LEN(SUBSTITUTE(TRIM(SUBSTITUTE(Y270:AD270,CHAR(160)," "))," ","")) + 1))&gt;1,"s",""))</f>
        <v>18 mots</v>
      </c>
      <c r="W270" s="5550" t="str" cm="1">
        <f t="array" ref="W270">SUMPRODUCT(--(Y270:AD270&lt;&gt;""), LEN(TRIM(SUBSTITUTE(Y270:AD270, CHAR(160), "")))) &amp; " Car."</f>
        <v>101 Car.</v>
      </c>
      <c r="X270" s="1376">
        <f>IF(ISBLANK(Y270),"",LARGE(X265:X269,1)+1)</f>
        <v>4</v>
      </c>
      <c r="Y270" s="1810" t="s">
        <v>8349</v>
      </c>
      <c r="Z270" s="1810"/>
      <c r="AA270" s="1810"/>
      <c r="AB270" s="1810"/>
      <c r="AC270" s="1810"/>
      <c r="AD270" s="1810"/>
      <c r="AE270" s="1810"/>
      <c r="AF270" s="179" t="s">
        <v>182</v>
      </c>
      <c r="AG270" s="180">
        <f>AG267+AG268+AG269</f>
        <v>3.4722222222222224E-2</v>
      </c>
      <c r="AJ270" s="1692" t="str">
        <f t="shared" si="45"/>
        <v>A</v>
      </c>
      <c r="AK270" s="1616"/>
      <c r="AL270" s="1333" t="s">
        <v>21</v>
      </c>
      <c r="AM270" s="459"/>
      <c r="AN270" s="6972" t="s">
        <v>422</v>
      </c>
      <c r="AO270" s="6601"/>
      <c r="AP270" s="821" t="s">
        <v>1652</v>
      </c>
      <c r="AQ270" s="191"/>
      <c r="AR270" s="9"/>
      <c r="AS270" s="38"/>
      <c r="AV270" s="3">
        <v>1</v>
      </c>
    </row>
    <row r="271" spans="2:48" ht="21" customHeight="1">
      <c r="B271" s="1610" cm="1">
        <f t="array" ref="B271">SUMPRODUCT(LEN(C271:K271))</f>
        <v>0</v>
      </c>
      <c r="C271" s="1810"/>
      <c r="D271" s="1810"/>
      <c r="E271" s="1810"/>
      <c r="F271" s="1810"/>
      <c r="G271" s="1810"/>
      <c r="H271" s="1810"/>
      <c r="I271" s="1810"/>
      <c r="J271" s="1810"/>
      <c r="K271" s="1810"/>
      <c r="L271" s="2126" t="str" cm="1">
        <f t="array" ref="L271">IF(B239&lt;=0,0,ROUNDUP(SUMPRODUCT(LEN(C271:K271))/B239,0))&amp;" ligne(s)"</f>
        <v>0 ligne(s)</v>
      </c>
      <c r="N271" s="1692" t="s">
        <v>10</v>
      </c>
      <c r="O271" s="163" t="str">
        <f>O241</f>
        <v>B BEIGNETS D'ACACIA | pâtisserie--Beignets| Auteur &gt; Supertoinette</v>
      </c>
      <c r="P271" s="163">
        <f>P241</f>
        <v>6</v>
      </c>
      <c r="Q271" s="164" t="str">
        <f>Q241</f>
        <v>personnes</v>
      </c>
      <c r="R271" s="165" t="str">
        <f>R241</f>
        <v>Recette mère ► Beignets d'acacia</v>
      </c>
      <c r="S271" s="1548"/>
      <c r="T271" s="1548"/>
      <c r="U271" s="2190">
        <f>ROWS(Y266:Y271)</f>
        <v>6</v>
      </c>
      <c r="V271" s="5549" t="str" cm="1">
        <f t="array" ref="V271">IF(SUMPRODUCT((Y271:AD271&lt;&gt;"")*1)=0,"",SUMPRODUCT((Y271:AD271&lt;&gt;"")*(LEN(TRIM(SUBSTITUTE(Y271:AD271,CHAR(160)," "))) - LEN(SUBSTITUTE(TRIM(SUBSTITUTE(Y271:AD271,CHAR(160)," "))," ","")) + 1)) &amp; " mot" &amp; IF(SUMPRODUCT((Y271:AD271&lt;&gt;"")*(LEN(TRIM(SUBSTITUTE(Y271:AD271,CHAR(160)," "))) - LEN(SUBSTITUTE(TRIM(SUBSTITUTE(Y271:AD271,CHAR(160)," "))," ","")) + 1))&gt;1,"s",""))</f>
        <v>4 mots</v>
      </c>
      <c r="W271" s="5550" t="str" cm="1">
        <f t="array" ref="W271">SUMPRODUCT(--(Y271:AD271&lt;&gt;""), LEN(TRIM(SUBSTITUTE(Y271:AD271, CHAR(160), "")))) &amp; " Car."</f>
        <v>25 Car.</v>
      </c>
      <c r="X271" s="1376">
        <f>IF(ISBLANK(Y271),"",LARGE(X265:X270,1)+1)</f>
        <v>5</v>
      </c>
      <c r="Y271" s="1810" t="s">
        <v>8350</v>
      </c>
      <c r="Z271" s="1833"/>
      <c r="AA271" s="1810"/>
      <c r="AB271" s="1810"/>
      <c r="AC271" s="1810"/>
      <c r="AD271" s="1810"/>
      <c r="AE271" s="1810"/>
      <c r="AF271" s="1810"/>
      <c r="AG271" s="1811"/>
      <c r="AJ271" s="1692" t="str">
        <f t="shared" si="45"/>
        <v>A</v>
      </c>
      <c r="AK271" s="1616"/>
      <c r="AL271" s="1333" t="s">
        <v>21</v>
      </c>
      <c r="AM271" s="459"/>
      <c r="AN271" s="192">
        <v>1.5</v>
      </c>
      <c r="AO271" s="193" t="str">
        <f>"&lt; Nb de "&amp;AP269&amp;" par personne "</f>
        <v xml:space="preserve">&lt; Nb de tranches par personne </v>
      </c>
      <c r="AP271" s="194"/>
      <c r="AQ271" s="592"/>
      <c r="AR271" s="9"/>
      <c r="AS271" s="38"/>
      <c r="AV271" s="3">
        <v>1</v>
      </c>
    </row>
    <row r="272" spans="2:48" ht="21" customHeight="1">
      <c r="B272" s="1610" cm="1">
        <f t="array" ref="B272">SUMPRODUCT(LEN(C272:K272))</f>
        <v>0</v>
      </c>
      <c r="C272" s="1810"/>
      <c r="D272" s="1810"/>
      <c r="E272" s="1810"/>
      <c r="F272" s="1810"/>
      <c r="G272" s="1810"/>
      <c r="H272" s="1810"/>
      <c r="I272" s="1810"/>
      <c r="J272" s="1810"/>
      <c r="K272" s="1810"/>
      <c r="L272" s="2126" t="str" cm="1">
        <f t="array" ref="L272">IF(B239&lt;=0,0,ROUNDUP(SUMPRODUCT(LEN(C272:K272))/B239,0))&amp;" ligne(s)"</f>
        <v>0 ligne(s)</v>
      </c>
      <c r="N272" s="1692" t="s">
        <v>10</v>
      </c>
      <c r="O272" s="163" t="str">
        <f>O241</f>
        <v>B BEIGNETS D'ACACIA | pâtisserie--Beignets| Auteur &gt; Supertoinette</v>
      </c>
      <c r="P272" s="163">
        <f>P241</f>
        <v>6</v>
      </c>
      <c r="Q272" s="164" t="str">
        <f>Q241</f>
        <v>personnes</v>
      </c>
      <c r="R272" s="165" t="str">
        <f>R241</f>
        <v>Recette mère ► Beignets d'acacia</v>
      </c>
      <c r="S272" s="1548"/>
      <c r="T272" s="1548"/>
      <c r="U272" s="2190">
        <f>ROWS(Y266:Y272)</f>
        <v>7</v>
      </c>
      <c r="V272" s="5549" t="str" cm="1">
        <f t="array" ref="V272">IF(SUMPRODUCT((Y272:AD272&lt;&gt;"")*1)=0,"",SUMPRODUCT((Y272:AD272&lt;&gt;"")*(LEN(TRIM(SUBSTITUTE(Y272:AD272,CHAR(160)," "))) - LEN(SUBSTITUTE(TRIM(SUBSTITUTE(Y272:AD272,CHAR(160)," "))," ","")) + 1)) &amp; " mot" &amp; IF(SUMPRODUCT((Y272:AD272&lt;&gt;"")*(LEN(TRIM(SUBSTITUTE(Y272:AD272,CHAR(160)," "))) - LEN(SUBSTITUTE(TRIM(SUBSTITUTE(Y272:AD272,CHAR(160)," "))," ","")) + 1))&gt;1,"s",""))</f>
        <v>17 mots</v>
      </c>
      <c r="W272" s="5550" t="str" cm="1">
        <f t="array" ref="W272">SUMPRODUCT(--(Y272:AD272&lt;&gt;""), LEN(TRIM(SUBSTITUTE(Y272:AD272, CHAR(160), "")))) &amp; " Car."</f>
        <v>96 Car.</v>
      </c>
      <c r="X272" s="1376">
        <f>IF(ISBLANK(Y272),"",LARGE(X265:X271,1)+1)</f>
        <v>6</v>
      </c>
      <c r="Y272" s="1810" t="s">
        <v>8351</v>
      </c>
      <c r="Z272" s="1810"/>
      <c r="AA272" s="1810"/>
      <c r="AB272" s="1810"/>
      <c r="AC272" s="1810"/>
      <c r="AD272" s="1810"/>
      <c r="AE272" s="1810"/>
      <c r="AF272" s="1810"/>
      <c r="AG272" s="1811"/>
      <c r="AJ272" s="1692" t="str">
        <f t="shared" si="45"/>
        <v>A</v>
      </c>
      <c r="AK272" s="1616"/>
      <c r="AL272" s="1333" t="s">
        <v>21</v>
      </c>
      <c r="AM272" s="459"/>
      <c r="AN272" s="196">
        <v>27</v>
      </c>
      <c r="AO272" s="193" t="str">
        <f>"&lt; Nb "&amp;AP269&amp;" dans 1 " &amp;AN270</f>
        <v>&lt; Nb tranches dans 1 Gastro 1/1</v>
      </c>
      <c r="AP272" s="197"/>
      <c r="AQ272" s="195"/>
      <c r="AR272" s="9"/>
      <c r="AS272" s="38"/>
      <c r="AV272" s="3">
        <v>1</v>
      </c>
    </row>
    <row r="273" spans="2:48" ht="21" customHeight="1">
      <c r="B273" s="1610" cm="1">
        <f t="array" ref="B273">SUMPRODUCT(LEN(C273:K273))</f>
        <v>0</v>
      </c>
      <c r="C273" s="1810"/>
      <c r="D273" s="1810"/>
      <c r="E273" s="1810"/>
      <c r="F273" s="1810"/>
      <c r="G273" s="1810"/>
      <c r="H273" s="1810"/>
      <c r="I273" s="1810"/>
      <c r="J273" s="1810"/>
      <c r="K273" s="1810"/>
      <c r="L273" s="2126" t="str" cm="1">
        <f t="array" ref="L273">IF(B239&lt;=0,0,ROUNDUP(SUMPRODUCT(LEN(C273:K273))/B239,0))&amp;" ligne(s)"</f>
        <v>0 ligne(s)</v>
      </c>
      <c r="N273" s="1692" t="s">
        <v>10</v>
      </c>
      <c r="O273" s="163" t="str">
        <f>O241</f>
        <v>B BEIGNETS D'ACACIA | pâtisserie--Beignets| Auteur &gt; Supertoinette</v>
      </c>
      <c r="P273" s="163">
        <f>P241</f>
        <v>6</v>
      </c>
      <c r="Q273" s="164" t="str">
        <f>Q241</f>
        <v>personnes</v>
      </c>
      <c r="R273" s="165" t="str">
        <f>R241</f>
        <v>Recette mère ► Beignets d'acacia</v>
      </c>
      <c r="S273" s="1548"/>
      <c r="T273" s="1548"/>
      <c r="U273" s="2190">
        <f>ROWS(Y266:Y273)</f>
        <v>8</v>
      </c>
      <c r="V273" s="5549" t="str" cm="1">
        <f t="array" ref="V273">IF(SUMPRODUCT((Y273:AD273&lt;&gt;"")*1)=0,"",SUMPRODUCT((Y273:AD273&lt;&gt;"")*(LEN(TRIM(SUBSTITUTE(Y273:AD273,CHAR(160)," "))) - LEN(SUBSTITUTE(TRIM(SUBSTITUTE(Y273:AD273,CHAR(160)," "))," ","")) + 1)) &amp; " mot" &amp; IF(SUMPRODUCT((Y273:AD273&lt;&gt;"")*(LEN(TRIM(SUBSTITUTE(Y273:AD273,CHAR(160)," "))) - LEN(SUBSTITUTE(TRIM(SUBSTITUTE(Y273:AD273,CHAR(160)," "))," ","")) + 1))&gt;1,"s",""))</f>
        <v>10 mots</v>
      </c>
      <c r="W273" s="5550" t="str" cm="1">
        <f t="array" ref="W273">SUMPRODUCT(--(Y273:AD273&lt;&gt;""), LEN(TRIM(SUBSTITUTE(Y273:AD273, CHAR(160), "")))) &amp; " Car."</f>
        <v>68 Car.</v>
      </c>
      <c r="X273" s="1376" t="str">
        <f>IF(ISBLANK(Y273),"",LARGE(X265:X272,1)+1)</f>
        <v/>
      </c>
      <c r="Y273" s="1810"/>
      <c r="Z273" s="1810" t="s">
        <v>8352</v>
      </c>
      <c r="AA273" s="1810"/>
      <c r="AB273" s="1810"/>
      <c r="AC273" s="1810"/>
      <c r="AD273" s="1810"/>
      <c r="AE273" s="1810"/>
      <c r="AF273" s="1810"/>
      <c r="AG273" s="1811"/>
      <c r="AJ273" s="1692" t="str">
        <f t="shared" si="45"/>
        <v>A</v>
      </c>
      <c r="AK273" s="1616"/>
      <c r="AL273" s="1333" t="s">
        <v>21</v>
      </c>
      <c r="AM273" s="459"/>
      <c r="AN273" s="6556" t="str">
        <f>IF(OR(AN272="",AQ268=0),"",INT(AQ268/AN272) &amp; " " &amp; AN270 &amp; " de " &amp; AN272 &amp; " " &amp; AP269 &amp; IF(MOD(AQ268,AN272)&gt;0," + 1 " &amp; AN270 &amp; " de " &amp; TEXT(MOD(AQ268,AN272),"0.00") &amp; " " &amp; AP269,""))</f>
        <v>8 Gastro 1/1 de 27 tranches + 1 Gastro 1/1 de 9.00 tranches</v>
      </c>
      <c r="AO273" s="6557"/>
      <c r="AP273" s="6557"/>
      <c r="AQ273" s="6558"/>
      <c r="AR273" s="9"/>
      <c r="AS273" s="38"/>
      <c r="AV273" s="3">
        <v>1</v>
      </c>
    </row>
    <row r="274" spans="2:48" ht="21" customHeight="1">
      <c r="B274" s="1610" cm="1">
        <f t="array" ref="B274">SUMPRODUCT(LEN(C274:K274))</f>
        <v>0</v>
      </c>
      <c r="C274" s="1810"/>
      <c r="D274" s="1810"/>
      <c r="E274" s="1810"/>
      <c r="F274" s="1810"/>
      <c r="G274" s="1810"/>
      <c r="H274" s="1810"/>
      <c r="I274" s="1810"/>
      <c r="J274" s="1810"/>
      <c r="K274" s="1810"/>
      <c r="L274" s="2126" t="str" cm="1">
        <f t="array" ref="L274">IF(B239&lt;=0,0,ROUNDUP(SUMPRODUCT(LEN(C274:K274))/B239,0))&amp;" ligne(s)"</f>
        <v>0 ligne(s)</v>
      </c>
      <c r="N274" s="1692" t="s">
        <v>10</v>
      </c>
      <c r="O274" s="163" t="str">
        <f>O241</f>
        <v>B BEIGNETS D'ACACIA | pâtisserie--Beignets| Auteur &gt; Supertoinette</v>
      </c>
      <c r="P274" s="163">
        <f>P241</f>
        <v>6</v>
      </c>
      <c r="Q274" s="164" t="str">
        <f>Q241</f>
        <v>personnes</v>
      </c>
      <c r="R274" s="165" t="str">
        <f>R241</f>
        <v>Recette mère ► Beignets d'acacia</v>
      </c>
      <c r="S274" s="1548"/>
      <c r="T274" s="1548"/>
      <c r="U274" s="2190">
        <f>ROWS(Y266:Y274)</f>
        <v>9</v>
      </c>
      <c r="V274" s="5549" t="str" cm="1">
        <f t="array" ref="V274">IF(SUMPRODUCT((Y274:AD274&lt;&gt;"")*1)=0,"",SUMPRODUCT((Y274:AD274&lt;&gt;"")*(LEN(TRIM(SUBSTITUTE(Y274:AD274,CHAR(160)," "))) - LEN(SUBSTITUTE(TRIM(SUBSTITUTE(Y274:AD274,CHAR(160)," "))," ","")) + 1)) &amp; " mot" &amp; IF(SUMPRODUCT((Y274:AD274&lt;&gt;"")*(LEN(TRIM(SUBSTITUTE(Y274:AD274,CHAR(160)," "))) - LEN(SUBSTITUTE(TRIM(SUBSTITUTE(Y274:AD274,CHAR(160)," "))," ","")) + 1))&gt;1,"s",""))</f>
        <v>13 mots</v>
      </c>
      <c r="W274" s="5550" t="str" cm="1">
        <f t="array" ref="W274">SUMPRODUCT(--(Y274:AD274&lt;&gt;""), LEN(TRIM(SUBSTITUTE(Y274:AD274, CHAR(160), "")))) &amp; " Car."</f>
        <v>74 Car.</v>
      </c>
      <c r="X274" s="1376">
        <f>IF(ISBLANK(Y274),"",LARGE(X265:X273,1)+1)</f>
        <v>7</v>
      </c>
      <c r="Y274" s="1810" t="s">
        <v>8353</v>
      </c>
      <c r="Z274" s="1810"/>
      <c r="AA274" s="1810"/>
      <c r="AB274" s="1810"/>
      <c r="AC274" s="1810"/>
      <c r="AD274" s="1810"/>
      <c r="AE274" s="1810"/>
      <c r="AF274" s="1810"/>
      <c r="AG274" s="1811"/>
      <c r="AJ274" s="1692" t="str">
        <f t="shared" si="45"/>
        <v>A</v>
      </c>
      <c r="AK274" s="1616"/>
      <c r="AL274" s="1333" t="s">
        <v>21</v>
      </c>
      <c r="AM274" s="459"/>
      <c r="AN274" s="6559"/>
      <c r="AO274" s="6560"/>
      <c r="AP274" s="6560"/>
      <c r="AQ274" s="6561"/>
      <c r="AR274" s="9"/>
      <c r="AS274" s="38"/>
      <c r="AV274" s="3">
        <v>1</v>
      </c>
    </row>
    <row r="275" spans="2:48" ht="21" customHeight="1">
      <c r="B275" s="1610" cm="1">
        <f t="array" ref="B275">SUMPRODUCT(LEN(C275:K275))</f>
        <v>0</v>
      </c>
      <c r="C275" s="1810"/>
      <c r="D275" s="1810"/>
      <c r="E275" s="1810"/>
      <c r="F275" s="1810"/>
      <c r="G275" s="1810"/>
      <c r="H275" s="1810"/>
      <c r="I275" s="1810"/>
      <c r="J275" s="1810"/>
      <c r="K275" s="1810"/>
      <c r="L275" s="2126" t="str" cm="1">
        <f t="array" ref="L275">IF(B239&lt;=0,0,ROUNDUP(SUMPRODUCT(LEN(C275:K275))/B239,0))&amp;" ligne(s)"</f>
        <v>0 ligne(s)</v>
      </c>
      <c r="N275" s="1692" t="s">
        <v>10</v>
      </c>
      <c r="O275" s="163" t="str">
        <f>O241</f>
        <v>B BEIGNETS D'ACACIA | pâtisserie--Beignets| Auteur &gt; Supertoinette</v>
      </c>
      <c r="P275" s="163">
        <f>P241</f>
        <v>6</v>
      </c>
      <c r="Q275" s="164" t="str">
        <f>Q241</f>
        <v>personnes</v>
      </c>
      <c r="R275" s="165" t="str">
        <f>R241</f>
        <v>Recette mère ► Beignets d'acacia</v>
      </c>
      <c r="S275" s="1548"/>
      <c r="T275" s="1548"/>
      <c r="U275" s="2190">
        <f>ROWS(Y266:Y275)</f>
        <v>10</v>
      </c>
      <c r="V275" s="5549" t="str" cm="1">
        <f t="array" ref="V275">IF(SUMPRODUCT((Y275:AD275&lt;&gt;"")*1)=0,"",SUMPRODUCT((Y275:AD275&lt;&gt;"")*(LEN(TRIM(SUBSTITUTE(Y275:AD275,CHAR(160)," "))) - LEN(SUBSTITUTE(TRIM(SUBSTITUTE(Y275:AD275,CHAR(160)," "))," ","")) + 1)) &amp; " mot" &amp; IF(SUMPRODUCT((Y275:AD275&lt;&gt;"")*(LEN(TRIM(SUBSTITUTE(Y275:AD275,CHAR(160)," "))) - LEN(SUBSTITUTE(TRIM(SUBSTITUTE(Y275:AD275,CHAR(160)," "))," ","")) + 1))&gt;1,"s",""))</f>
        <v>12 mots</v>
      </c>
      <c r="W275" s="5550" t="str" cm="1">
        <f t="array" ref="W275">SUMPRODUCT(--(Y275:AD275&lt;&gt;""), LEN(TRIM(SUBSTITUTE(Y275:AD275, CHAR(160), "")))) &amp; " Car."</f>
        <v>85 Car.</v>
      </c>
      <c r="X275" s="1376">
        <f>IF(ISBLANK(Y275),"",LARGE(X265:X274,1)+1)</f>
        <v>8</v>
      </c>
      <c r="Y275" s="1810" t="s">
        <v>8354</v>
      </c>
      <c r="Z275" s="1810"/>
      <c r="AA275" s="1810"/>
      <c r="AB275" s="1810"/>
      <c r="AC275" s="1810"/>
      <c r="AD275" s="1810"/>
      <c r="AE275" s="1810"/>
      <c r="AF275" s="1810"/>
      <c r="AG275" s="1811"/>
      <c r="AJ275" s="1692" t="str">
        <f t="shared" si="45"/>
        <v>A</v>
      </c>
      <c r="AK275" s="1616"/>
      <c r="AL275" s="1333" t="s">
        <v>21</v>
      </c>
      <c r="AM275" s="459"/>
      <c r="AN275" s="199">
        <v>120</v>
      </c>
      <c r="AO275" s="200" t="s">
        <v>198</v>
      </c>
      <c r="AP275" s="186"/>
      <c r="AQ275" s="201">
        <f>(AN275*AN269)/1000</f>
        <v>18</v>
      </c>
      <c r="AR275" s="9"/>
      <c r="AS275" s="38"/>
      <c r="AV275" s="3">
        <v>1</v>
      </c>
    </row>
    <row r="276" spans="2:48" ht="21" customHeight="1">
      <c r="B276" s="1610" cm="1">
        <f t="array" ref="B276">SUMPRODUCT(LEN(C276:K276))</f>
        <v>0</v>
      </c>
      <c r="C276" s="1810"/>
      <c r="D276" s="1810"/>
      <c r="E276" s="1810"/>
      <c r="F276" s="1810"/>
      <c r="G276" s="1810"/>
      <c r="H276" s="1810"/>
      <c r="I276" s="1810"/>
      <c r="J276" s="1810"/>
      <c r="K276" s="1810"/>
      <c r="L276" s="2126" t="str" cm="1">
        <f t="array" ref="L276">IF(B239&lt;=0,0,ROUNDUP(SUMPRODUCT(LEN(C276:K276))/B239,0))&amp;" ligne(s)"</f>
        <v>0 ligne(s)</v>
      </c>
      <c r="N276" s="1692" t="s">
        <v>10</v>
      </c>
      <c r="O276" s="163" t="str">
        <f>O241</f>
        <v>B BEIGNETS D'ACACIA | pâtisserie--Beignets| Auteur &gt; Supertoinette</v>
      </c>
      <c r="P276" s="1943">
        <f>P241</f>
        <v>6</v>
      </c>
      <c r="Q276" s="164" t="str">
        <f>Q241</f>
        <v>personnes</v>
      </c>
      <c r="R276" s="165" t="str">
        <f>R241</f>
        <v>Recette mère ► Beignets d'acacia</v>
      </c>
      <c r="S276" s="1548"/>
      <c r="T276" s="1548"/>
      <c r="U276" s="2190">
        <f>ROWS(Y266:Y276)</f>
        <v>11</v>
      </c>
      <c r="V276" s="5549" t="str" cm="1">
        <f t="array" ref="V276">IF(SUMPRODUCT((Y276:AD276&lt;&gt;"")*1)=0,"",SUMPRODUCT((Y276:AD276&lt;&gt;"")*(LEN(TRIM(SUBSTITUTE(Y276:AD276,CHAR(160)," "))) - LEN(SUBSTITUTE(TRIM(SUBSTITUTE(Y276:AD276,CHAR(160)," "))," ","")) + 1)) &amp; " mot" &amp; IF(SUMPRODUCT((Y276:AD276&lt;&gt;"")*(LEN(TRIM(SUBSTITUTE(Y276:AD276,CHAR(160)," "))) - LEN(SUBSTITUTE(TRIM(SUBSTITUTE(Y276:AD276,CHAR(160)," "))," ","")) + 1))&gt;1,"s",""))</f>
        <v>13 mots</v>
      </c>
      <c r="W276" s="5550" t="str" cm="1">
        <f t="array" ref="W276">SUMPRODUCT(--(Y276:AD276&lt;&gt;""), LEN(TRIM(SUBSTITUTE(Y276:AD276, CHAR(160), "")))) &amp; " Car."</f>
        <v>71 Car.</v>
      </c>
      <c r="X276" s="1376" t="str">
        <f>IF(ISBLANK(Y276),"",LARGE(X265:X275,1)+1)</f>
        <v/>
      </c>
      <c r="Y276" s="1810"/>
      <c r="Z276" s="1810" t="s">
        <v>8355</v>
      </c>
      <c r="AA276" s="1810"/>
      <c r="AB276" s="1810"/>
      <c r="AC276" s="1810"/>
      <c r="AD276" s="1810"/>
      <c r="AE276" s="1810"/>
      <c r="AF276" s="1810"/>
      <c r="AG276" s="1811"/>
      <c r="AJ276" s="1692" t="str">
        <f t="shared" si="45"/>
        <v>A</v>
      </c>
      <c r="AK276" s="1616"/>
      <c r="AL276" s="1333" t="s">
        <v>21</v>
      </c>
      <c r="AM276" s="459"/>
      <c r="AN276" s="827">
        <v>2.7</v>
      </c>
      <c r="AO276" s="203" t="str">
        <f>"poids par "&amp; AN270</f>
        <v>poids par Gastro 1/1</v>
      </c>
      <c r="AP276" s="186"/>
      <c r="AQ276" s="191"/>
      <c r="AR276" s="9"/>
      <c r="AS276" s="38"/>
      <c r="AV276" s="3">
        <v>1</v>
      </c>
    </row>
    <row r="277" spans="2:48" ht="21" customHeight="1">
      <c r="B277" s="1610" cm="1">
        <f t="array" ref="B277">SUMPRODUCT(LEN(C277:K277))</f>
        <v>0</v>
      </c>
      <c r="C277" s="1810"/>
      <c r="D277" s="1810"/>
      <c r="E277" s="1810"/>
      <c r="F277" s="1810"/>
      <c r="G277" s="1810"/>
      <c r="H277" s="1810"/>
      <c r="I277" s="1810"/>
      <c r="J277" s="1810"/>
      <c r="K277" s="1810"/>
      <c r="L277" s="2126" t="str" cm="1">
        <f t="array" ref="L277">IF(B239&lt;=0,0,ROUNDUP(SUMPRODUCT(LEN(C277:K277))/B239,0))&amp;" ligne(s)"</f>
        <v>0 ligne(s)</v>
      </c>
      <c r="N277" s="1692" t="s">
        <v>10</v>
      </c>
      <c r="O277" s="163" t="str">
        <f>O241</f>
        <v>B BEIGNETS D'ACACIA | pâtisserie--Beignets| Auteur &gt; Supertoinette</v>
      </c>
      <c r="P277" s="163">
        <f>P241</f>
        <v>6</v>
      </c>
      <c r="Q277" s="164" t="str">
        <f>Q241</f>
        <v>personnes</v>
      </c>
      <c r="R277" s="165" t="str">
        <f>R241</f>
        <v>Recette mère ► Beignets d'acacia</v>
      </c>
      <c r="S277" s="1548"/>
      <c r="T277" s="1548"/>
      <c r="U277" s="2190">
        <f>ROWS(Y266:Y277)</f>
        <v>12</v>
      </c>
      <c r="V277" s="5549" t="str" cm="1">
        <f t="array" ref="V277">IF(SUMPRODUCT((Y277:AD277&lt;&gt;"")*1)=0,"",SUMPRODUCT((Y277:AD277&lt;&gt;"")*(LEN(TRIM(SUBSTITUTE(Y277:AD277,CHAR(160)," "))) - LEN(SUBSTITUTE(TRIM(SUBSTITUTE(Y277:AD277,CHAR(160)," "))," ","")) + 1)) &amp; " mot" &amp; IF(SUMPRODUCT((Y277:AD277&lt;&gt;"")*(LEN(TRIM(SUBSTITUTE(Y277:AD277,CHAR(160)," "))) - LEN(SUBSTITUTE(TRIM(SUBSTITUTE(Y277:AD277,CHAR(160)," "))," ","")) + 1))&gt;1,"s",""))</f>
        <v>10 mots</v>
      </c>
      <c r="W277" s="5550" t="str" cm="1">
        <f t="array" ref="W277">SUMPRODUCT(--(Y277:AD277&lt;&gt;""), LEN(TRIM(SUBSTITUTE(Y277:AD277, CHAR(160), "")))) &amp; " Car."</f>
        <v>51 Car.</v>
      </c>
      <c r="X277" s="1376" t="str">
        <f>IF(ISBLANK(Y277),"",LARGE(X265:X276,1)+1)</f>
        <v/>
      </c>
      <c r="Y277" s="1810"/>
      <c r="Z277" s="1810" t="s">
        <v>8356</v>
      </c>
      <c r="AA277" s="1810"/>
      <c r="AB277" s="1810"/>
      <c r="AC277" s="1810"/>
      <c r="AD277" s="1810"/>
      <c r="AE277" s="1810"/>
      <c r="AF277" s="1810"/>
      <c r="AG277" s="1811"/>
      <c r="AJ277" s="1692" t="str">
        <f t="shared" si="45"/>
        <v>A</v>
      </c>
      <c r="AK277" s="1616"/>
      <c r="AL277" s="1333" t="s">
        <v>21</v>
      </c>
      <c r="AM277" s="459"/>
      <c r="AN277" s="6523" t="str">
        <f>IF(OR(AQ275&lt;=0,AN276&lt;=0),"",_xlfn.LET(_xlpm.n,ROUND(AQ275/AN276,9),_xlpm.q,INT(_xlpm.n),_xlpm.r,ROUND(AQ275-_xlpm.q*AN276,9),_xlpm.base,_xlpm.q&amp;" "&amp;AN270&amp;" de "&amp;TEXT(AN276,"0.000")&amp;" kg",IF(_xlpm.r&lt;=0.000000001,_xlpm.base,_xlpm.base&amp;" + 1 "&amp;AN270&amp;" de "&amp;TEXT(_xlpm.r,"0.000")&amp;" kg")))</f>
        <v>6 Gastro 1/1 de 2.700 kg + 1 Gastro 1/1 de 1.800 kg</v>
      </c>
      <c r="AO277" s="6524"/>
      <c r="AP277" s="6524"/>
      <c r="AQ277" s="6525"/>
      <c r="AR277" s="9"/>
      <c r="AS277" s="38"/>
      <c r="AV277" s="3">
        <v>1</v>
      </c>
    </row>
    <row r="278" spans="2:48" ht="21" customHeight="1">
      <c r="B278" s="1610" cm="1">
        <f t="array" ref="B278">SUMPRODUCT(LEN(C278:K278))</f>
        <v>0</v>
      </c>
      <c r="C278" s="1810"/>
      <c r="D278" s="1810"/>
      <c r="E278" s="1810"/>
      <c r="F278" s="1810"/>
      <c r="G278" s="1810"/>
      <c r="H278" s="1810"/>
      <c r="I278" s="1810"/>
      <c r="J278" s="1810"/>
      <c r="K278" s="1810"/>
      <c r="L278" s="2126" t="str" cm="1">
        <f t="array" ref="L278">IF(B239&lt;=0,0,ROUNDUP(SUMPRODUCT(LEN(C278:K278))/B239,0))&amp;" ligne(s)"</f>
        <v>0 ligne(s)</v>
      </c>
      <c r="N278" s="1692" t="s">
        <v>10</v>
      </c>
      <c r="O278" s="163" t="str">
        <f>O241</f>
        <v>B BEIGNETS D'ACACIA | pâtisserie--Beignets| Auteur &gt; Supertoinette</v>
      </c>
      <c r="P278" s="163">
        <f>P241</f>
        <v>6</v>
      </c>
      <c r="Q278" s="164" t="str">
        <f>Q241</f>
        <v>personnes</v>
      </c>
      <c r="R278" s="165" t="str">
        <f>R241</f>
        <v>Recette mère ► Beignets d'acacia</v>
      </c>
      <c r="S278" s="1548"/>
      <c r="T278" s="1548"/>
      <c r="U278" s="2190">
        <f>ROWS(Y266:Y278)</f>
        <v>13</v>
      </c>
      <c r="V278" s="5549" t="str" cm="1">
        <f t="array" ref="V278">IF(SUMPRODUCT((Y278:AD278&lt;&gt;"")*1)=0,"",SUMPRODUCT((Y278:AD278&lt;&gt;"")*(LEN(TRIM(SUBSTITUTE(Y278:AD278,CHAR(160)," "))) - LEN(SUBSTITUTE(TRIM(SUBSTITUTE(Y278:AD278,CHAR(160)," "))," ","")) + 1)) &amp; " mot" &amp; IF(SUMPRODUCT((Y278:AD278&lt;&gt;"")*(LEN(TRIM(SUBSTITUTE(Y278:AD278,CHAR(160)," "))) - LEN(SUBSTITUTE(TRIM(SUBSTITUTE(Y278:AD278,CHAR(160)," "))," ","")) + 1))&gt;1,"s",""))</f>
        <v>15 mots</v>
      </c>
      <c r="W278" s="5550" t="str" cm="1">
        <f t="array" ref="W278">SUMPRODUCT(--(Y278:AD278&lt;&gt;""), LEN(TRIM(SUBSTITUTE(Y278:AD278, CHAR(160), "")))) &amp; " Car."</f>
        <v>81 Car.</v>
      </c>
      <c r="X278" s="1376" t="str">
        <f>IF(ISBLANK(Y278),"",LARGE(X265:X277,1)+1)</f>
        <v/>
      </c>
      <c r="Y278" s="1810"/>
      <c r="Z278" s="1810" t="s">
        <v>8357</v>
      </c>
      <c r="AA278" s="1810"/>
      <c r="AB278" s="1810"/>
      <c r="AC278" s="1810"/>
      <c r="AD278" s="1810"/>
      <c r="AE278" s="1810"/>
      <c r="AF278" s="1810"/>
      <c r="AG278" s="1811"/>
      <c r="AJ278" s="1692" t="str">
        <f t="shared" si="45"/>
        <v>A</v>
      </c>
      <c r="AK278" s="1616"/>
      <c r="AL278" s="1333" t="s">
        <v>21</v>
      </c>
      <c r="AM278" s="459"/>
      <c r="AN278" s="6526"/>
      <c r="AO278" s="6970"/>
      <c r="AP278" s="6970"/>
      <c r="AQ278" s="6971"/>
      <c r="AR278" s="9"/>
      <c r="AS278" s="38"/>
      <c r="AV278" s="3">
        <v>1</v>
      </c>
    </row>
    <row r="279" spans="2:48" ht="21" customHeight="1">
      <c r="B279" s="1610" cm="1">
        <f t="array" ref="B279">SUMPRODUCT(LEN(C279:K279))</f>
        <v>0</v>
      </c>
      <c r="C279" s="1810"/>
      <c r="D279" s="1810"/>
      <c r="E279" s="1810"/>
      <c r="F279" s="1810"/>
      <c r="G279" s="1810"/>
      <c r="H279" s="1810"/>
      <c r="I279" s="1810"/>
      <c r="J279" s="1810"/>
      <c r="K279" s="1810"/>
      <c r="L279" s="2126" t="str" cm="1">
        <f t="array" ref="L279">IF(B239&lt;=0,0,ROUNDUP(SUMPRODUCT(LEN(C279:K279))/B239,0))&amp;" ligne(s)"</f>
        <v>0 ligne(s)</v>
      </c>
      <c r="N279" s="1692" t="s">
        <v>10</v>
      </c>
      <c r="O279" s="163" t="str">
        <f>O241</f>
        <v>B BEIGNETS D'ACACIA | pâtisserie--Beignets| Auteur &gt; Supertoinette</v>
      </c>
      <c r="P279" s="163">
        <f>P241</f>
        <v>6</v>
      </c>
      <c r="Q279" s="164" t="str">
        <f>Q241</f>
        <v>personnes</v>
      </c>
      <c r="R279" s="165" t="str">
        <f>R241</f>
        <v>Recette mère ► Beignets d'acacia</v>
      </c>
      <c r="S279" s="1548"/>
      <c r="T279" s="1548"/>
      <c r="U279" s="2190">
        <f>ROWS(Y266:Y279)</f>
        <v>14</v>
      </c>
      <c r="V279" s="5549" t="str" cm="1">
        <f t="array" ref="V279">IF(SUMPRODUCT((Y279:AD279&lt;&gt;"")*1)=0,"",SUMPRODUCT((Y279:AD279&lt;&gt;"")*(LEN(TRIM(SUBSTITUTE(Y279:AD279,CHAR(160)," "))) - LEN(SUBSTITUTE(TRIM(SUBSTITUTE(Y279:AD279,CHAR(160)," "))," ","")) + 1)) &amp; " mot" &amp; IF(SUMPRODUCT((Y279:AD279&lt;&gt;"")*(LEN(TRIM(SUBSTITUTE(Y279:AD279,CHAR(160)," "))) - LEN(SUBSTITUTE(TRIM(SUBSTITUTE(Y279:AD279,CHAR(160)," "))," ","")) + 1))&gt;1,"s",""))</f>
        <v>12 mots</v>
      </c>
      <c r="W279" s="5550" t="str" cm="1">
        <f t="array" ref="W279">SUMPRODUCT(--(Y279:AD279&lt;&gt;""), LEN(TRIM(SUBSTITUTE(Y279:AD279, CHAR(160), "")))) &amp; " Car."</f>
        <v>65 Car.</v>
      </c>
      <c r="X279" s="1376" t="str">
        <f>IF(ISBLANK(Y279),"",LARGE(X265:X278,1)+1)</f>
        <v/>
      </c>
      <c r="Y279" s="1810"/>
      <c r="Z279" s="1810" t="s">
        <v>8358</v>
      </c>
      <c r="AA279" s="1810"/>
      <c r="AB279" s="1810"/>
      <c r="AC279" s="1810"/>
      <c r="AD279" s="1810"/>
      <c r="AE279" s="1810"/>
      <c r="AF279" s="1810"/>
      <c r="AG279" s="1811"/>
      <c r="AJ279" s="1692" t="str">
        <f t="shared" si="45"/>
        <v>A</v>
      </c>
      <c r="AK279" s="1616"/>
      <c r="AL279" s="1333" t="s">
        <v>21</v>
      </c>
      <c r="AM279" s="459"/>
      <c r="AN279" s="9"/>
      <c r="AO279" s="9"/>
      <c r="AP279" s="9"/>
      <c r="AQ279" s="9"/>
      <c r="AR279" s="9"/>
      <c r="AS279" s="38"/>
      <c r="AV279" s="3">
        <v>1</v>
      </c>
    </row>
    <row r="280" spans="2:48" ht="21" customHeight="1">
      <c r="B280" s="1610" cm="1">
        <f t="array" ref="B280">SUMPRODUCT(LEN(C280:K280))</f>
        <v>0</v>
      </c>
      <c r="C280" s="1810"/>
      <c r="D280" s="1810"/>
      <c r="E280" s="1810"/>
      <c r="F280" s="1810"/>
      <c r="G280" s="1810"/>
      <c r="H280" s="1810"/>
      <c r="I280" s="1810"/>
      <c r="J280" s="1810"/>
      <c r="K280" s="1810"/>
      <c r="L280" s="2126" t="str" cm="1">
        <f t="array" ref="L280">IF(B239&lt;=0,0,ROUNDUP(SUMPRODUCT(LEN(C280:K280))/B239,0))&amp;" ligne(s)"</f>
        <v>0 ligne(s)</v>
      </c>
      <c r="N280" s="1692" t="s">
        <v>10</v>
      </c>
      <c r="O280" s="163" t="str">
        <f>O241</f>
        <v>B BEIGNETS D'ACACIA | pâtisserie--Beignets| Auteur &gt; Supertoinette</v>
      </c>
      <c r="P280" s="163">
        <f>P241</f>
        <v>6</v>
      </c>
      <c r="Q280" s="164" t="str">
        <f>Q241</f>
        <v>personnes</v>
      </c>
      <c r="R280" s="165" t="str">
        <f>R241</f>
        <v>Recette mère ► Beignets d'acacia</v>
      </c>
      <c r="S280" s="1548"/>
      <c r="T280" s="1548"/>
      <c r="U280" s="2190">
        <f>ROWS(Y266:Y280)</f>
        <v>15</v>
      </c>
      <c r="V280" s="5549" t="str" cm="1">
        <f t="array" ref="V280">IF(SUMPRODUCT((Y280:AD280&lt;&gt;"")*1)=0,"",SUMPRODUCT((Y280:AD280&lt;&gt;"")*(LEN(TRIM(SUBSTITUTE(Y280:AD280,CHAR(160)," "))) - LEN(SUBSTITUTE(TRIM(SUBSTITUTE(Y280:AD280,CHAR(160)," "))," ","")) + 1)) &amp; " mot" &amp; IF(SUMPRODUCT((Y280:AD280&lt;&gt;"")*(LEN(TRIM(SUBSTITUTE(Y280:AD280,CHAR(160)," "))) - LEN(SUBSTITUTE(TRIM(SUBSTITUTE(Y280:AD280,CHAR(160)," "))," ","")) + 1))&gt;1,"s",""))</f>
        <v>7 mots</v>
      </c>
      <c r="W280" s="5550" t="str" cm="1">
        <f t="array" ref="W280">SUMPRODUCT(--(Y280:AD280&lt;&gt;""), LEN(TRIM(SUBSTITUTE(Y280:AD280, CHAR(160), "")))) &amp; " Car."</f>
        <v>36 Car.</v>
      </c>
      <c r="X280" s="1376" t="str">
        <f>IF(ISBLANK(Y280),"",LARGE(X265:X279,1)+1)</f>
        <v/>
      </c>
      <c r="Y280" s="1810"/>
      <c r="Z280" s="1810" t="s">
        <v>8359</v>
      </c>
      <c r="AA280" s="1810"/>
      <c r="AB280" s="1810"/>
      <c r="AC280" s="1810"/>
      <c r="AD280" s="1810"/>
      <c r="AE280" s="1810"/>
      <c r="AF280" s="1810"/>
      <c r="AG280" s="1811"/>
      <c r="AJ280" s="1692" t="str">
        <f t="shared" si="45"/>
        <v>A</v>
      </c>
      <c r="AK280" s="1616"/>
      <c r="AL280" s="1333" t="s">
        <v>21</v>
      </c>
      <c r="AM280" s="459"/>
      <c r="AN280" s="570" t="s">
        <v>186</v>
      </c>
      <c r="AO280" s="9"/>
      <c r="AP280" s="9"/>
      <c r="AQ280" s="188" t="s">
        <v>684</v>
      </c>
      <c r="AR280" s="9"/>
      <c r="AS280" s="38"/>
      <c r="AV280" s="3">
        <v>1</v>
      </c>
    </row>
    <row r="281" spans="2:48" ht="21" customHeight="1">
      <c r="B281" s="1610" cm="1">
        <f t="array" ref="B281">SUMPRODUCT(LEN(C281:K281))</f>
        <v>0</v>
      </c>
      <c r="C281" s="1810"/>
      <c r="D281" s="1810"/>
      <c r="E281" s="1810"/>
      <c r="F281" s="1810"/>
      <c r="G281" s="1810"/>
      <c r="H281" s="1810"/>
      <c r="I281" s="1810"/>
      <c r="J281" s="1810"/>
      <c r="K281" s="1810"/>
      <c r="L281" s="2126" t="str" cm="1">
        <f t="array" ref="L281">IF(B239&lt;=0,0,ROUNDUP(SUMPRODUCT(LEN(C281:K281))/B239,0))&amp;" ligne(s)"</f>
        <v>0 ligne(s)</v>
      </c>
      <c r="N281" s="1692" t="s">
        <v>10</v>
      </c>
      <c r="O281" s="163" t="str">
        <f>O241</f>
        <v>B BEIGNETS D'ACACIA | pâtisserie--Beignets| Auteur &gt; Supertoinette</v>
      </c>
      <c r="P281" s="163">
        <f>P241</f>
        <v>6</v>
      </c>
      <c r="Q281" s="164" t="str">
        <f>Q241</f>
        <v>personnes</v>
      </c>
      <c r="R281" s="165" t="str">
        <f>R241</f>
        <v>Recette mère ► Beignets d'acacia</v>
      </c>
      <c r="S281" s="1548"/>
      <c r="T281" s="1548"/>
      <c r="U281" s="2190">
        <f>ROWS(Y266:Y281)</f>
        <v>16</v>
      </c>
      <c r="V281" s="5549" t="str" cm="1">
        <f t="array" ref="V281">IF(SUMPRODUCT((Y281:AD281&lt;&gt;"")*1)=0,"",SUMPRODUCT((Y281:AD281&lt;&gt;"")*(LEN(TRIM(SUBSTITUTE(Y281:AD281,CHAR(160)," "))) - LEN(SUBSTITUTE(TRIM(SUBSTITUTE(Y281:AD281,CHAR(160)," "))," ","")) + 1)) &amp; " mot" &amp; IF(SUMPRODUCT((Y281:AD281&lt;&gt;"")*(LEN(TRIM(SUBSTITUTE(Y281:AD281,CHAR(160)," "))) - LEN(SUBSTITUTE(TRIM(SUBSTITUTE(Y281:AD281,CHAR(160)," "))," ","")) + 1))&gt;1,"s",""))</f>
        <v>13 mots</v>
      </c>
      <c r="W281" s="5550" t="str" cm="1">
        <f t="array" ref="W281">SUMPRODUCT(--(Y281:AD281&lt;&gt;""), LEN(TRIM(SUBSTITUTE(Y281:AD281, CHAR(160), "")))) &amp; " Car."</f>
        <v>71 Car.</v>
      </c>
      <c r="X281" s="1376" t="str">
        <f>IF(ISBLANK(Y281),"",LARGE(X265:X280,1)+1)</f>
        <v/>
      </c>
      <c r="Y281" s="1810"/>
      <c r="Z281" s="1810" t="s">
        <v>8360</v>
      </c>
      <c r="AA281" s="1810"/>
      <c r="AB281" s="1810"/>
      <c r="AC281" s="1810"/>
      <c r="AD281" s="1810"/>
      <c r="AE281" s="1810"/>
      <c r="AF281" s="1810"/>
      <c r="AG281" s="1811"/>
      <c r="AJ281" s="1692" t="str">
        <f t="shared" si="45"/>
        <v>A</v>
      </c>
      <c r="AK281" s="1616"/>
      <c r="AL281" s="1333" t="s">
        <v>21</v>
      </c>
      <c r="AM281" s="459"/>
      <c r="AN281" s="572" t="s">
        <v>687</v>
      </c>
      <c r="AO281" s="9"/>
      <c r="AP281" s="9"/>
      <c r="AQ281" s="573" t="s">
        <v>197</v>
      </c>
      <c r="AR281" s="9"/>
      <c r="AS281" s="38"/>
      <c r="AV281" s="3">
        <v>1</v>
      </c>
    </row>
    <row r="282" spans="2:48" ht="21" customHeight="1">
      <c r="B282" s="1610" cm="1">
        <f t="array" ref="B282">SUMPRODUCT(LEN(C282:K282))</f>
        <v>0</v>
      </c>
      <c r="C282" s="1810"/>
      <c r="D282" s="1810"/>
      <c r="E282" s="1810"/>
      <c r="F282" s="1810"/>
      <c r="G282" s="1810"/>
      <c r="H282" s="1810"/>
      <c r="I282" s="1810"/>
      <c r="J282" s="1810"/>
      <c r="K282" s="1810"/>
      <c r="L282" s="2126" t="str" cm="1">
        <f t="array" ref="L282">IF(B239&lt;=0,0,ROUNDUP(SUMPRODUCT(LEN(C282:K282))/B239,0))&amp;" ligne(s)"</f>
        <v>0 ligne(s)</v>
      </c>
      <c r="N282" s="1692" t="s">
        <v>10</v>
      </c>
      <c r="O282" s="163" t="str">
        <f>O241</f>
        <v>B BEIGNETS D'ACACIA | pâtisserie--Beignets| Auteur &gt; Supertoinette</v>
      </c>
      <c r="P282" s="163">
        <f>P241</f>
        <v>6</v>
      </c>
      <c r="Q282" s="164" t="str">
        <f>Q241</f>
        <v>personnes</v>
      </c>
      <c r="R282" s="165" t="str">
        <f>R241</f>
        <v>Recette mère ► Beignets d'acacia</v>
      </c>
      <c r="S282" s="1548"/>
      <c r="T282" s="1548"/>
      <c r="U282" s="2190">
        <f>ROWS(Y266:Y282)</f>
        <v>17</v>
      </c>
      <c r="V282" s="5549" t="str" cm="1">
        <f t="array" ref="V282">IF(SUMPRODUCT((Y282:AD282&lt;&gt;"")*1)=0,"",SUMPRODUCT((Y282:AD282&lt;&gt;"")*(LEN(TRIM(SUBSTITUTE(Y282:AD282,CHAR(160)," "))) - LEN(SUBSTITUTE(TRIM(SUBSTITUTE(Y282:AD282,CHAR(160)," "))," ","")) + 1)) &amp; " mot" &amp; IF(SUMPRODUCT((Y282:AD282&lt;&gt;"")*(LEN(TRIM(SUBSTITUTE(Y282:AD282,CHAR(160)," "))) - LEN(SUBSTITUTE(TRIM(SUBSTITUTE(Y282:AD282,CHAR(160)," "))," ","")) + 1))&gt;1,"s",""))</f>
        <v/>
      </c>
      <c r="W282" s="5550" t="str" cm="1">
        <f t="array" ref="W282">SUMPRODUCT(--(Y282:AD282&lt;&gt;""), LEN(TRIM(SUBSTITUTE(Y282:AD282, CHAR(160), "")))) &amp; " Car."</f>
        <v>0 Car.</v>
      </c>
      <c r="X282" s="1376"/>
      <c r="Y282" s="1810"/>
      <c r="Z282" s="1810"/>
      <c r="AA282" s="1810"/>
      <c r="AB282" s="1810"/>
      <c r="AC282" s="1810"/>
      <c r="AD282" s="1810"/>
      <c r="AE282" s="1810"/>
      <c r="AF282" s="1810"/>
      <c r="AG282" s="1811"/>
      <c r="AJ282" s="1692" t="str">
        <f t="shared" si="45"/>
        <v>A</v>
      </c>
      <c r="AK282" s="1616"/>
      <c r="AL282" s="1333" t="s">
        <v>21</v>
      </c>
      <c r="AM282" s="459"/>
      <c r="AN282" s="574" t="s">
        <v>692</v>
      </c>
      <c r="AO282" s="9"/>
      <c r="AP282" s="9"/>
      <c r="AQ282" s="573" t="s">
        <v>199</v>
      </c>
      <c r="AR282" s="9"/>
      <c r="AS282" s="38"/>
      <c r="AV282" s="3">
        <v>1</v>
      </c>
    </row>
    <row r="283" spans="2:48" ht="21" customHeight="1">
      <c r="B283" s="1610" cm="1">
        <f t="array" ref="B283">SUMPRODUCT(LEN(C283:K283))</f>
        <v>0</v>
      </c>
      <c r="C283" s="1810"/>
      <c r="D283" s="1810"/>
      <c r="E283" s="1810"/>
      <c r="F283" s="1810"/>
      <c r="G283" s="1810"/>
      <c r="H283" s="1810"/>
      <c r="I283" s="1810"/>
      <c r="J283" s="1810"/>
      <c r="K283" s="1810"/>
      <c r="L283" s="2126" t="str" cm="1">
        <f t="array" ref="L283">IF(B239&lt;=0,0,ROUNDUP(SUMPRODUCT(LEN(C283:K283))/B239,0))&amp;" ligne(s)"</f>
        <v>0 ligne(s)</v>
      </c>
      <c r="N283" s="1692" t="s">
        <v>10</v>
      </c>
      <c r="O283" s="163" t="str">
        <f>O241</f>
        <v>B BEIGNETS D'ACACIA | pâtisserie--Beignets| Auteur &gt; Supertoinette</v>
      </c>
      <c r="P283" s="163">
        <f>P241</f>
        <v>6</v>
      </c>
      <c r="Q283" s="164" t="str">
        <f>Q241</f>
        <v>personnes</v>
      </c>
      <c r="R283" s="165" t="str">
        <f>R241</f>
        <v>Recette mère ► Beignets d'acacia</v>
      </c>
      <c r="S283" s="1548"/>
      <c r="T283" s="1548"/>
      <c r="U283" s="2190">
        <f>ROWS(Y266:Y283)</f>
        <v>18</v>
      </c>
      <c r="V283" s="5549" t="str" cm="1">
        <f t="array" ref="V283">IF(SUMPRODUCT((Y283:AD283&lt;&gt;"")*1)=0,"",SUMPRODUCT((Y283:AD283&lt;&gt;"")*(LEN(TRIM(SUBSTITUTE(Y283:AD283,CHAR(160)," "))) - LEN(SUBSTITUTE(TRIM(SUBSTITUTE(Y283:AD283,CHAR(160)," "))," ","")) + 1)) &amp; " mot" &amp; IF(SUMPRODUCT((Y283:AD283&lt;&gt;"")*(LEN(TRIM(SUBSTITUTE(Y283:AD283,CHAR(160)," "))) - LEN(SUBSTITUTE(TRIM(SUBSTITUTE(Y283:AD283,CHAR(160)," "))," ","")) + 1))&gt;1,"s",""))</f>
        <v/>
      </c>
      <c r="W283" s="5550" t="str" cm="1">
        <f t="array" ref="W283">SUMPRODUCT(--(Y283:AD283&lt;&gt;""), LEN(TRIM(SUBSTITUTE(Y283:AD283, CHAR(160), "")))) &amp; " Car."</f>
        <v>0 Car.</v>
      </c>
      <c r="X283" s="1376"/>
      <c r="Y283" s="1810"/>
      <c r="Z283" s="1810"/>
      <c r="AA283" s="1810"/>
      <c r="AB283" s="1810"/>
      <c r="AC283" s="1810"/>
      <c r="AD283" s="1810"/>
      <c r="AE283" s="1810"/>
      <c r="AF283" s="1810"/>
      <c r="AG283" s="1811"/>
      <c r="AJ283" s="1692" t="str">
        <f t="shared" si="45"/>
        <v>A</v>
      </c>
      <c r="AK283" s="1616"/>
      <c r="AL283" s="1333" t="s">
        <v>21</v>
      </c>
      <c r="AM283" s="459"/>
      <c r="AN283" s="188" t="s">
        <v>697</v>
      </c>
      <c r="AO283" s="9"/>
      <c r="AP283" s="9"/>
      <c r="AQ283" s="573" t="s">
        <v>698</v>
      </c>
      <c r="AR283" s="9"/>
      <c r="AS283" s="38"/>
      <c r="AV283" s="3">
        <v>1</v>
      </c>
    </row>
    <row r="284" spans="2:48" ht="21" customHeight="1">
      <c r="B284" s="1610" cm="1">
        <f t="array" ref="B284">SUMPRODUCT(LEN(C284:K284))</f>
        <v>0</v>
      </c>
      <c r="C284" s="1810"/>
      <c r="D284" s="1810"/>
      <c r="E284" s="1810"/>
      <c r="F284" s="1810"/>
      <c r="G284" s="1810"/>
      <c r="H284" s="1810"/>
      <c r="I284" s="1810"/>
      <c r="J284" s="1810"/>
      <c r="K284" s="1810"/>
      <c r="L284" s="2126" t="str" cm="1">
        <f t="array" ref="L284">IF(B239&lt;=0,0,ROUNDUP(SUMPRODUCT(LEN(C284:K284))/B239,0))&amp;" ligne(s)"</f>
        <v>0 ligne(s)</v>
      </c>
      <c r="N284" s="103" t="str">
        <f t="shared" ref="N284" si="46">IF(Y284&lt;&gt;"","A","►")</f>
        <v>►</v>
      </c>
      <c r="O284" s="163" t="str">
        <f>O241</f>
        <v>B BEIGNETS D'ACACIA | pâtisserie--Beignets| Auteur &gt; Supertoinette</v>
      </c>
      <c r="P284" s="163">
        <f>P241</f>
        <v>6</v>
      </c>
      <c r="Q284" s="164" t="str">
        <f>Q241</f>
        <v>personnes</v>
      </c>
      <c r="R284" s="165" t="str">
        <f>R241</f>
        <v>Recette mère ► Beignets d'acacia</v>
      </c>
      <c r="S284" s="1548"/>
      <c r="T284" s="1548"/>
      <c r="U284" s="2190">
        <f>ROWS(Y266:Y284)</f>
        <v>19</v>
      </c>
      <c r="V284" s="5549" t="str" cm="1">
        <f t="array" ref="V284">IF(SUMPRODUCT((Y284:AD284&lt;&gt;"")*1)=0,"",SUMPRODUCT((Y284:AD284&lt;&gt;"")*(LEN(TRIM(SUBSTITUTE(Y284:AD284,CHAR(160)," "))) - LEN(SUBSTITUTE(TRIM(SUBSTITUTE(Y284:AD284,CHAR(160)," "))," ","")) + 1)) &amp; " mot" &amp; IF(SUMPRODUCT((Y284:AD284&lt;&gt;"")*(LEN(TRIM(SUBSTITUTE(Y284:AD284,CHAR(160)," "))) - LEN(SUBSTITUTE(TRIM(SUBSTITUTE(Y284:AD284,CHAR(160)," "))," ","")) + 1))&gt;1,"s",""))</f>
        <v/>
      </c>
      <c r="W284" s="5550" t="str" cm="1">
        <f t="array" ref="W284">SUMPRODUCT(--(Y284:AD284&lt;&gt;""), LEN(TRIM(SUBSTITUTE(Y284:AD284, CHAR(160), "")))) &amp; " Car."</f>
        <v>0 Car.</v>
      </c>
      <c r="X284" s="1376" t="str">
        <f>IF(ISBLANK(Y284),"",LARGE(X265:X283,1)+1)</f>
        <v/>
      </c>
      <c r="Y284" s="1810"/>
      <c r="Z284" s="1810"/>
      <c r="AA284" s="1810"/>
      <c r="AB284" s="1810"/>
      <c r="AC284" s="1810"/>
      <c r="AD284" s="1810"/>
      <c r="AE284" s="1810"/>
      <c r="AF284" s="1810"/>
      <c r="AG284" s="1811"/>
      <c r="AJ284" s="103" t="str">
        <f t="shared" si="45"/>
        <v>►</v>
      </c>
      <c r="AK284" s="1616"/>
      <c r="AL284" s="1333" t="s">
        <v>21</v>
      </c>
      <c r="AM284" s="459"/>
      <c r="AN284" s="188"/>
      <c r="AO284" s="9"/>
      <c r="AP284" s="9"/>
      <c r="AQ284" s="573" t="s">
        <v>703</v>
      </c>
      <c r="AR284" s="9"/>
      <c r="AS284" s="38"/>
      <c r="AV284" s="3">
        <v>1</v>
      </c>
    </row>
    <row r="285" spans="2:48" ht="21" customHeight="1">
      <c r="B285" s="1610" cm="1">
        <f t="array" ref="B285">SUMPRODUCT(LEN(C285:K285))</f>
        <v>0</v>
      </c>
      <c r="C285" s="1810"/>
      <c r="D285" s="1810"/>
      <c r="E285" s="1810"/>
      <c r="F285" s="1810"/>
      <c r="G285" s="1810"/>
      <c r="H285" s="1810"/>
      <c r="I285" s="1810"/>
      <c r="J285" s="1810"/>
      <c r="K285" s="1810"/>
      <c r="L285" s="2126" t="str" cm="1">
        <f t="array" ref="L285">IF(B239&lt;=0,0,ROUNDUP(SUMPRODUCT(LEN(C285:K285))/B239,0))&amp;" ligne(s)"</f>
        <v>0 ligne(s)</v>
      </c>
      <c r="N285" s="1692" t="s">
        <v>10</v>
      </c>
      <c r="O285" s="163" t="str">
        <f>O241</f>
        <v>B BEIGNETS D'ACACIA | pâtisserie--Beignets| Auteur &gt; Supertoinette</v>
      </c>
      <c r="P285" s="163">
        <f>P241</f>
        <v>6</v>
      </c>
      <c r="Q285" s="164" t="str">
        <f>Q241</f>
        <v>personnes</v>
      </c>
      <c r="R285" s="165" t="str">
        <f>R241</f>
        <v>Recette mère ► Beignets d'acacia</v>
      </c>
      <c r="S285" s="1548"/>
      <c r="T285" s="1548"/>
      <c r="U285" s="2190">
        <f>ROWS(Y266:Y285)</f>
        <v>20</v>
      </c>
      <c r="V285" s="5549" t="str" cm="1">
        <f t="array" ref="V285">IF(SUMPRODUCT((Y285:AD285&lt;&gt;"")*1)=0,"",SUMPRODUCT((Y285:AD285&lt;&gt;"")*(LEN(TRIM(SUBSTITUTE(Y285:AD285,CHAR(160)," "))) - LEN(SUBSTITUTE(TRIM(SUBSTITUTE(Y285:AD285,CHAR(160)," "))," ","")) + 1)) &amp; " mot" &amp; IF(SUMPRODUCT((Y285:AD285&lt;&gt;"")*(LEN(TRIM(SUBSTITUTE(Y285:AD285,CHAR(160)," "))) - LEN(SUBSTITUTE(TRIM(SUBSTITUTE(Y285:AD285,CHAR(160)," "))," ","")) + 1))&gt;1,"s",""))</f>
        <v/>
      </c>
      <c r="W285" s="5550" t="str" cm="1">
        <f t="array" ref="W285">SUMPRODUCT(--(Y285:AD285&lt;&gt;""), LEN(TRIM(SUBSTITUTE(Y285:AD285, CHAR(160), "")))) &amp; " Car."</f>
        <v>0 Car.</v>
      </c>
      <c r="X285" s="1376" t="str">
        <f>IF(ISBLANK(Y285),"",LARGE(X265:X284,1)+1)</f>
        <v/>
      </c>
      <c r="Y285" s="1810"/>
      <c r="Z285" s="1810"/>
      <c r="AA285" s="1810"/>
      <c r="AB285" s="1810"/>
      <c r="AC285" s="1810"/>
      <c r="AD285" s="1810"/>
      <c r="AE285" s="1810"/>
      <c r="AF285" s="1810"/>
      <c r="AG285" s="1811"/>
      <c r="AJ285" s="1692" t="str">
        <f t="shared" si="45"/>
        <v>A</v>
      </c>
      <c r="AK285" s="1616"/>
      <c r="AL285" s="1333" t="s">
        <v>21</v>
      </c>
      <c r="AM285" s="575"/>
      <c r="AN285" s="9"/>
      <c r="AO285" s="9"/>
      <c r="AP285" s="9"/>
      <c r="AQ285" s="9"/>
      <c r="AR285" s="9"/>
      <c r="AS285" s="38"/>
      <c r="AV285" s="3">
        <v>1</v>
      </c>
    </row>
    <row r="286" spans="2:48" ht="21" customHeight="1">
      <c r="B286" s="1610" cm="1">
        <f t="array" ref="B286">SUMPRODUCT(LEN(C286:K286))</f>
        <v>0</v>
      </c>
      <c r="C286" s="1810"/>
      <c r="D286" s="1810"/>
      <c r="E286" s="1810"/>
      <c r="F286" s="1810"/>
      <c r="G286" s="1810"/>
      <c r="H286" s="1810"/>
      <c r="I286" s="1810"/>
      <c r="J286" s="1810"/>
      <c r="K286" s="1810"/>
      <c r="L286" s="2126" t="str" cm="1">
        <f t="array" ref="L286">IF(B239&lt;=0,0,ROUNDUP(SUMPRODUCT(LEN(C286:K286))/B239,0))&amp;" ligne(s)"</f>
        <v>0 ligne(s)</v>
      </c>
      <c r="N286" s="1692" t="s">
        <v>10</v>
      </c>
      <c r="O286" s="163" t="str">
        <f>O241</f>
        <v>B BEIGNETS D'ACACIA | pâtisserie--Beignets| Auteur &gt; Supertoinette</v>
      </c>
      <c r="P286" s="163">
        <f>P241</f>
        <v>6</v>
      </c>
      <c r="Q286" s="164" t="str">
        <f>Q241</f>
        <v>personnes</v>
      </c>
      <c r="R286" s="165" t="str">
        <f>R241</f>
        <v>Recette mère ► Beignets d'acacia</v>
      </c>
      <c r="S286" s="1548"/>
      <c r="T286" s="1548"/>
      <c r="U286" s="2190">
        <f>ROWS(Y266:Y286)</f>
        <v>21</v>
      </c>
      <c r="V286" s="5549" t="str" cm="1">
        <f t="array" ref="V286">IF(SUMPRODUCT((Y286:AD286&lt;&gt;"")*1)=0,"",SUMPRODUCT((Y286:AD286&lt;&gt;"")*(LEN(TRIM(SUBSTITUTE(Y286:AD286,CHAR(160)," "))) - LEN(SUBSTITUTE(TRIM(SUBSTITUTE(Y286:AD286,CHAR(160)," "))," ","")) + 1)) &amp; " mot" &amp; IF(SUMPRODUCT((Y286:AD286&lt;&gt;"")*(LEN(TRIM(SUBSTITUTE(Y286:AD286,CHAR(160)," "))) - LEN(SUBSTITUTE(TRIM(SUBSTITUTE(Y286:AD286,CHAR(160)," "))," ","")) + 1))&gt;1,"s",""))</f>
        <v>13 mots</v>
      </c>
      <c r="W286" s="5550" t="str" cm="1">
        <f t="array" ref="W286">SUMPRODUCT(--(Y286:AD286&lt;&gt;""), LEN(TRIM(SUBSTITUTE(Y286:AD286, CHAR(160), "")))) &amp; " Car."</f>
        <v>80 Car.</v>
      </c>
      <c r="X286" s="1376" t="str">
        <f>IF(ISBLANK(Y286),"",LARGE(X265:X285,1)+1)</f>
        <v/>
      </c>
      <c r="Y286" s="1810"/>
      <c r="Z286" s="1810" t="s">
        <v>14252</v>
      </c>
      <c r="AA286" s="1810"/>
      <c r="AB286" s="1810"/>
      <c r="AC286" s="1810"/>
      <c r="AD286" s="1810"/>
      <c r="AE286" s="1810"/>
      <c r="AF286" s="1810"/>
      <c r="AG286" s="1811"/>
      <c r="AJ286" s="1692" t="str">
        <f t="shared" si="45"/>
        <v>A</v>
      </c>
      <c r="AK286" s="1616"/>
      <c r="AL286" s="1333" t="s">
        <v>21</v>
      </c>
      <c r="AM286" s="576"/>
      <c r="AN286" s="577"/>
      <c r="AO286" s="577" t="s">
        <v>207</v>
      </c>
      <c r="AP286" s="578"/>
      <c r="AQ286" s="578"/>
      <c r="AR286" s="578"/>
      <c r="AS286" s="38"/>
      <c r="AV286" s="3">
        <v>1</v>
      </c>
    </row>
    <row r="287" spans="2:48" ht="21" customHeight="1" thickBot="1">
      <c r="B287" s="1610" cm="1">
        <f t="array" ref="B287">SUMPRODUCT(LEN(C287:K287))</f>
        <v>0</v>
      </c>
      <c r="C287" s="1810"/>
      <c r="D287" s="1810"/>
      <c r="E287" s="1810"/>
      <c r="F287" s="1810"/>
      <c r="G287" s="1810"/>
      <c r="H287" s="1810"/>
      <c r="I287" s="1810"/>
      <c r="J287" s="1810"/>
      <c r="K287" s="1810"/>
      <c r="L287" s="2126" t="str" cm="1">
        <f t="array" ref="L287">IF(B239&lt;=0,0,ROUNDUP(SUMPRODUCT(LEN(C287:K287))/B239,0))&amp;" ligne(s)"</f>
        <v>0 ligne(s)</v>
      </c>
      <c r="N287" s="1692" t="s">
        <v>10</v>
      </c>
      <c r="O287" s="163" t="str">
        <f>O241</f>
        <v>B BEIGNETS D'ACACIA | pâtisserie--Beignets| Auteur &gt; Supertoinette</v>
      </c>
      <c r="P287" s="163">
        <f>P241</f>
        <v>6</v>
      </c>
      <c r="Q287" s="164" t="str">
        <f>Q241</f>
        <v>personnes</v>
      </c>
      <c r="R287" s="165" t="str">
        <f>R241</f>
        <v>Recette mère ► Beignets d'acacia</v>
      </c>
      <c r="S287" s="172"/>
      <c r="T287" s="1378" t="s">
        <v>207</v>
      </c>
      <c r="U287" s="1712" t="s">
        <v>8475</v>
      </c>
      <c r="V287" s="176"/>
      <c r="W287" s="176"/>
      <c r="X287" s="176"/>
      <c r="Y287" s="176"/>
      <c r="Z287" s="176"/>
      <c r="AA287" s="176"/>
      <c r="AB287" s="176"/>
      <c r="AC287" s="176"/>
      <c r="AD287" s="176"/>
      <c r="AE287" s="176"/>
      <c r="AF287" s="176"/>
      <c r="AG287" s="884"/>
      <c r="AJ287" s="1692" t="str">
        <f t="shared" si="45"/>
        <v>A</v>
      </c>
      <c r="AK287" s="1616"/>
      <c r="AL287" s="1333" t="s">
        <v>21</v>
      </c>
      <c r="AM287" s="575"/>
      <c r="AN287" s="9"/>
      <c r="AO287" s="535" t="s">
        <v>706</v>
      </c>
      <c r="AP287" s="9"/>
      <c r="AQ287" s="9"/>
      <c r="AR287" s="9"/>
      <c r="AS287" s="38"/>
      <c r="AV287" s="3">
        <v>1</v>
      </c>
    </row>
    <row r="288" spans="2:48" ht="21" customHeight="1">
      <c r="B288" s="1610" cm="1">
        <f t="array" ref="B288">SUMPRODUCT(LEN(C288:K288))</f>
        <v>0</v>
      </c>
      <c r="C288" s="1810"/>
      <c r="D288" s="1810"/>
      <c r="E288" s="1810"/>
      <c r="F288" s="1810"/>
      <c r="G288" s="1810"/>
      <c r="H288" s="1810"/>
      <c r="I288" s="1810"/>
      <c r="J288" s="1810"/>
      <c r="K288" s="1810"/>
      <c r="L288" s="2126" t="str" cm="1">
        <f t="array" ref="L288">IF(B239&lt;=0,0,ROUNDUP(SUMPRODUCT(LEN(C288:K288))/B239,0))&amp;" ligne(s)"</f>
        <v>0 ligne(s)</v>
      </c>
      <c r="N288" s="1692" t="s">
        <v>10</v>
      </c>
      <c r="O288" s="163" t="str">
        <f>O241</f>
        <v>B BEIGNETS D'ACACIA | pâtisserie--Beignets| Auteur &gt; Supertoinette</v>
      </c>
      <c r="P288" s="163">
        <f>P241</f>
        <v>6</v>
      </c>
      <c r="Q288" s="164" t="str">
        <f>Q241</f>
        <v>personnes</v>
      </c>
      <c r="R288" s="165" t="str">
        <f>R241</f>
        <v>Recette mère ► Beignets d'acacia</v>
      </c>
      <c r="S288" s="1379"/>
      <c r="T288" s="1380"/>
      <c r="U288" s="1380"/>
      <c r="V288" s="1380"/>
      <c r="W288" s="1380"/>
      <c r="X288" s="1380"/>
      <c r="Y288" s="1380"/>
      <c r="Z288" s="1381" t="s">
        <v>196</v>
      </c>
      <c r="AA288" s="202"/>
      <c r="AB288" s="202"/>
      <c r="AC288" s="202"/>
      <c r="AD288" s="202"/>
      <c r="AE288" s="202"/>
      <c r="AF288" s="202"/>
      <c r="AG288" s="885"/>
      <c r="AJ288" s="1692" t="str">
        <f t="shared" si="45"/>
        <v>A</v>
      </c>
      <c r="AK288" s="1616"/>
      <c r="AL288" s="1333" t="s">
        <v>21</v>
      </c>
      <c r="AM288" s="575"/>
      <c r="AN288" s="9"/>
      <c r="AO288" s="579" t="s">
        <v>709</v>
      </c>
      <c r="AP288" s="9"/>
      <c r="AQ288" s="9"/>
      <c r="AR288" s="9"/>
      <c r="AS288" s="38"/>
      <c r="AV288" s="3">
        <v>1</v>
      </c>
    </row>
    <row r="289" spans="2:48" ht="21" customHeight="1" thickBot="1">
      <c r="B289" s="1610" cm="1">
        <f t="array" ref="B289">SUMPRODUCT(LEN(C289:K289))</f>
        <v>0</v>
      </c>
      <c r="C289" s="1810"/>
      <c r="D289" s="1810"/>
      <c r="E289" s="1810"/>
      <c r="F289" s="1810"/>
      <c r="G289" s="1810"/>
      <c r="H289" s="1810"/>
      <c r="I289" s="1810"/>
      <c r="J289" s="1810"/>
      <c r="K289" s="1810"/>
      <c r="L289" s="2126" t="str" cm="1">
        <f t="array" ref="L289">IF(B239&lt;=0,0,ROUNDUP(SUMPRODUCT(LEN(C289:K289))/B239,0))&amp;" ligne(s)"</f>
        <v>0 ligne(s)</v>
      </c>
      <c r="N289" s="1692" t="s">
        <v>10</v>
      </c>
      <c r="O289" s="163" t="str">
        <f>O241</f>
        <v>B BEIGNETS D'ACACIA | pâtisserie--Beignets| Auteur &gt; Supertoinette</v>
      </c>
      <c r="P289" s="163">
        <f>P241</f>
        <v>6</v>
      </c>
      <c r="Q289" s="164" t="str">
        <f>Q241</f>
        <v>personnes</v>
      </c>
      <c r="R289" s="165" t="str">
        <f>R241</f>
        <v>Recette mère ► Beignets d'acacia</v>
      </c>
      <c r="S289" s="2139"/>
      <c r="T289" s="2124"/>
      <c r="U289" s="2138"/>
      <c r="V289" s="2140" t="s">
        <v>8860</v>
      </c>
      <c r="W289" s="2065">
        <f ca="1">W265</f>
        <v>132</v>
      </c>
      <c r="X289" s="886" t="s">
        <v>200</v>
      </c>
      <c r="Y289" s="2137"/>
      <c r="Z289" s="2137"/>
      <c r="AA289" s="2137"/>
      <c r="AB289" s="472"/>
      <c r="AC289" s="472"/>
      <c r="AD289" s="472"/>
      <c r="AE289" s="2260" t="str">
        <f>IF(Y290="","",(LEN(TRIM(SUBSTITUTE(Y290,CHAR(160)," ")))-LEN(SUBSTITUTE(TRIM(SUBSTITUTE(Y290,CHAR(160)," "))," ",""))+1)&amp;" mot"&amp;IF((LEN(TRIM(SUBSTITUTE(Y290,CHAR(160)," ")))-LEN(SUBSTITUTE(TRIM(SUBSTITUTE(Y290,CHAR(160)," "))," ",""))+1)&gt;1,"s",""))</f>
        <v>17 mots</v>
      </c>
      <c r="AF289" s="2259" t="str">
        <f>IF(Y290="","",LEN(TRIM(SUBSTITUTE(Y290,CHAR(160),""))))&amp;" Car."</f>
        <v>123 Car.</v>
      </c>
      <c r="AG289" s="2261" t="s">
        <v>8863</v>
      </c>
      <c r="AJ289" s="1692" t="str">
        <f t="shared" si="45"/>
        <v>A</v>
      </c>
      <c r="AK289" s="1616"/>
      <c r="AL289" s="1333" t="s">
        <v>21</v>
      </c>
      <c r="AM289" s="575"/>
      <c r="AN289" s="9"/>
      <c r="AO289" s="9"/>
      <c r="AP289" s="9"/>
      <c r="AQ289" s="9"/>
      <c r="AR289" s="9"/>
      <c r="AS289" s="38"/>
      <c r="AV289" s="3">
        <v>1</v>
      </c>
    </row>
    <row r="290" spans="2:48" ht="21" customHeight="1" thickBot="1">
      <c r="B290" s="1610" cm="1">
        <f t="array" ref="B290">SUMPRODUCT(LEN(C290:K290))</f>
        <v>0</v>
      </c>
      <c r="C290" s="1810"/>
      <c r="D290" s="1810"/>
      <c r="E290" s="1810"/>
      <c r="F290" s="1810"/>
      <c r="G290" s="1810"/>
      <c r="H290" s="1810"/>
      <c r="I290" s="1810"/>
      <c r="J290" s="1810"/>
      <c r="K290" s="1810"/>
      <c r="L290" s="2126" t="str" cm="1">
        <f t="array" ref="L290">IF(B239&lt;=0,0,ROUNDUP(SUMPRODUCT(LEN(C290:K290))/B239,0))&amp;" ligne(s)"</f>
        <v>0 ligne(s)</v>
      </c>
      <c r="N290" s="2108" t="s">
        <v>10</v>
      </c>
      <c r="O290" s="209" t="str">
        <f>O241</f>
        <v>B BEIGNETS D'ACACIA | pâtisserie--Beignets| Auteur &gt; Supertoinette</v>
      </c>
      <c r="P290" s="209">
        <f>P241</f>
        <v>6</v>
      </c>
      <c r="Q290" s="210" t="str">
        <f>Q241</f>
        <v>personnes</v>
      </c>
      <c r="R290" s="211" t="str">
        <f>R241</f>
        <v>Recette mère ► Beignets d'acacia</v>
      </c>
      <c r="S290" s="2129"/>
      <c r="T290" s="2130"/>
      <c r="U290" s="2131"/>
      <c r="V290" s="2132"/>
      <c r="W290" s="2133"/>
      <c r="X290" s="2133" t="s">
        <v>8864</v>
      </c>
      <c r="Y290" s="2258" t="s">
        <v>8866</v>
      </c>
      <c r="Z290" s="2136"/>
      <c r="AA290" s="2134"/>
      <c r="AB290" s="2134"/>
      <c r="AC290" s="2134"/>
      <c r="AD290" s="2134"/>
      <c r="AE290" s="2134"/>
      <c r="AF290" s="2134"/>
      <c r="AG290" s="2135"/>
      <c r="AJ290" s="2108" t="str">
        <f t="shared" si="45"/>
        <v>A</v>
      </c>
      <c r="AK290" s="1616"/>
      <c r="AL290" s="1333" t="s">
        <v>21</v>
      </c>
      <c r="AM290" s="157"/>
      <c r="AN290" s="158"/>
      <c r="AO290" s="159"/>
      <c r="AP290" s="158"/>
      <c r="AQ290" s="158"/>
      <c r="AR290" s="158"/>
      <c r="AS290" s="160"/>
      <c r="AV290" s="3">
        <v>1</v>
      </c>
    </row>
    <row r="291" spans="2:48" ht="21" customHeight="1" thickBot="1">
      <c r="B291" s="2143"/>
      <c r="C291" s="2142">
        <v>6</v>
      </c>
      <c r="D291" s="2142">
        <v>40</v>
      </c>
      <c r="E291" s="2142">
        <v>10</v>
      </c>
      <c r="F291" s="2142">
        <v>9</v>
      </c>
      <c r="G291" s="2142">
        <v>18</v>
      </c>
      <c r="H291" s="2142">
        <v>13</v>
      </c>
      <c r="I291" s="2142">
        <v>13</v>
      </c>
      <c r="J291" s="2142">
        <v>13</v>
      </c>
      <c r="K291" s="2142">
        <v>17</v>
      </c>
      <c r="L291" s="2144"/>
      <c r="N291" s="1694" t="s">
        <v>10</v>
      </c>
      <c r="O291" s="1695"/>
      <c r="P291" s="1695"/>
      <c r="Q291" s="1695"/>
      <c r="R291" s="1696"/>
      <c r="S291" s="1693" t="s">
        <v>207</v>
      </c>
      <c r="T291" s="2169" t="str">
        <f ca="1">CELL("nomfichier")</f>
        <v>D:\Données\1.UPRT\0-UPRT.fait\1-UPRT.FR-SITE-WEB\ff-fiches-fabrications\ff.fiches.fabrication.2023\ffr.restaurant.2023\[ff.FICHE.TRILINGUE.20.COLONNES.05.01.2026.xlsx]Couleurs.pour.vos.documents</v>
      </c>
      <c r="U291" s="1697"/>
      <c r="V291" s="1697"/>
      <c r="W291" s="1697"/>
      <c r="X291" s="1697"/>
      <c r="Y291" s="1697"/>
      <c r="Z291" s="1697"/>
      <c r="AA291" s="1697"/>
      <c r="AB291" s="1697"/>
      <c r="AC291" s="1697"/>
      <c r="AD291" s="1697"/>
      <c r="AE291" s="1697"/>
      <c r="AF291" s="1697"/>
      <c r="AG291" s="1698"/>
      <c r="AJ291" s="1694" t="str">
        <f t="shared" si="45"/>
        <v>A</v>
      </c>
      <c r="AK291" s="1616"/>
      <c r="AL291" s="1333" t="s">
        <v>21</v>
      </c>
      <c r="AM291" s="2191" t="s">
        <v>8882</v>
      </c>
      <c r="AN291" s="9"/>
      <c r="AO291" s="9"/>
      <c r="AP291" s="9"/>
      <c r="AQ291" s="9"/>
      <c r="AR291" s="9"/>
      <c r="AS291" s="38"/>
      <c r="AV291" s="3">
        <v>1</v>
      </c>
    </row>
    <row r="292" spans="2:48" ht="21" customHeight="1" thickBot="1">
      <c r="B292" s="1216" t="s">
        <v>10</v>
      </c>
      <c r="C292" s="1218" t="s">
        <v>2394</v>
      </c>
      <c r="D292" s="1217"/>
      <c r="E292" s="1217"/>
      <c r="F292" s="1217"/>
      <c r="G292" s="1218"/>
      <c r="H292" s="1217"/>
      <c r="I292" s="1217"/>
      <c r="J292" s="1217"/>
      <c r="K292" s="1217"/>
      <c r="L292" s="1224" t="s">
        <v>1755</v>
      </c>
      <c r="N292" s="1216" t="s">
        <v>10</v>
      </c>
      <c r="O292" s="1217" t="s">
        <v>10</v>
      </c>
      <c r="P292" s="1217" t="s">
        <v>10</v>
      </c>
      <c r="Q292" s="1217" t="s">
        <v>10</v>
      </c>
      <c r="R292" s="1217" t="s">
        <v>10</v>
      </c>
      <c r="S292" s="1218" t="s">
        <v>2394</v>
      </c>
      <c r="T292" s="1219"/>
      <c r="U292" s="1220"/>
      <c r="V292" s="1221"/>
      <c r="W292" s="1222"/>
      <c r="X292" s="1223"/>
      <c r="Y292" s="1223"/>
      <c r="Z292" s="1221"/>
      <c r="AA292" s="1221"/>
      <c r="AB292" s="1219"/>
      <c r="AC292" s="1219"/>
      <c r="AD292" s="1219"/>
      <c r="AE292" s="1219"/>
      <c r="AF292" s="1219"/>
      <c r="AG292" s="1224" t="s">
        <v>1755</v>
      </c>
      <c r="AJ292" s="1216" t="str">
        <f t="shared" si="45"/>
        <v>A</v>
      </c>
      <c r="AK292" s="1616"/>
      <c r="AL292" s="1333" t="s">
        <v>21</v>
      </c>
      <c r="AM292" s="2212" t="s">
        <v>8940</v>
      </c>
      <c r="AN292" s="9"/>
      <c r="AO292" s="2213" t="s">
        <v>8883</v>
      </c>
      <c r="AP292" s="9"/>
      <c r="AQ292" s="9"/>
      <c r="AR292" s="9"/>
      <c r="AS292" s="38"/>
      <c r="AV292" s="3">
        <v>1</v>
      </c>
    </row>
    <row r="293" spans="2:48" ht="21" customHeight="1">
      <c r="B293" s="6945" t="s">
        <v>2397</v>
      </c>
      <c r="C293" s="6946"/>
      <c r="D293" s="6946"/>
      <c r="E293" s="6946"/>
      <c r="F293" s="6946"/>
      <c r="G293" s="6946"/>
      <c r="H293" s="6946"/>
      <c r="I293" s="6946"/>
      <c r="J293" s="6946"/>
      <c r="K293" s="6946"/>
      <c r="L293" s="6947"/>
      <c r="N293" s="19" t="s">
        <v>10</v>
      </c>
      <c r="O293" s="1699" t="str">
        <f>O299</f>
        <v>B BEIGNETS D'ACACIA | pâtisserie--Beignets| Auteur &gt; Au Féminin.com</v>
      </c>
      <c r="P293" s="1700">
        <f>P299</f>
        <v>4</v>
      </c>
      <c r="Q293" s="1700" t="str">
        <f>Q299</f>
        <v>personnes</v>
      </c>
      <c r="R293" s="1701" t="str">
        <f>R299</f>
        <v>Recette mère ► Beignets d'acacia</v>
      </c>
      <c r="S293" s="1702" t="s">
        <v>21</v>
      </c>
      <c r="T293" s="1703" t="s">
        <v>22</v>
      </c>
      <c r="U293" s="1703"/>
      <c r="V293" s="6950" t="s">
        <v>8231</v>
      </c>
      <c r="W293" s="6950"/>
      <c r="X293" s="6950"/>
      <c r="Y293" s="6950"/>
      <c r="Z293" s="6950"/>
      <c r="AA293" s="6950"/>
      <c r="AB293" s="6950"/>
      <c r="AC293" s="6950"/>
      <c r="AD293" s="6950"/>
      <c r="AE293" s="6636" t="s">
        <v>8232</v>
      </c>
      <c r="AF293" s="6636"/>
      <c r="AG293" s="6935" t="str">
        <f>UPPER(LEFT(V293,1))</f>
        <v>B</v>
      </c>
      <c r="AJ293" s="19" t="str">
        <f t="shared" si="45"/>
        <v>A</v>
      </c>
      <c r="AK293" s="1616"/>
      <c r="AL293" s="1333" t="s">
        <v>21</v>
      </c>
      <c r="AM293" s="394" t="str">
        <f t="shared" ref="AM293:AM319" si="47">TRIM(LEFT(AO293,FIND(" .",AO293&amp;" .")-1))</f>
        <v>Navarin d’agneau</v>
      </c>
      <c r="AN293" s="186"/>
      <c r="AO293" s="186" t="s">
        <v>8884</v>
      </c>
      <c r="AP293" s="186"/>
      <c r="AQ293" s="186"/>
      <c r="AR293" s="186"/>
      <c r="AS293" s="191"/>
      <c r="AV293" s="3">
        <v>1</v>
      </c>
    </row>
    <row r="294" spans="2:48" ht="21" customHeight="1">
      <c r="B294" s="2158">
        <f t="shared" ref="B294:L294" ca="1" si="48">CELL("largeur",B294)</f>
        <v>11</v>
      </c>
      <c r="C294" s="2141">
        <f t="shared" ca="1" si="48"/>
        <v>6</v>
      </c>
      <c r="D294" s="2141">
        <f t="shared" ca="1" si="48"/>
        <v>40</v>
      </c>
      <c r="E294" s="2141">
        <f t="shared" ca="1" si="48"/>
        <v>10</v>
      </c>
      <c r="F294" s="2141">
        <f t="shared" ca="1" si="48"/>
        <v>9</v>
      </c>
      <c r="G294" s="2141">
        <f t="shared" ca="1" si="48"/>
        <v>18</v>
      </c>
      <c r="H294" s="2141">
        <f t="shared" ca="1" si="48"/>
        <v>13</v>
      </c>
      <c r="I294" s="2141">
        <f t="shared" ca="1" si="48"/>
        <v>13</v>
      </c>
      <c r="J294" s="2141">
        <f t="shared" ca="1" si="48"/>
        <v>13</v>
      </c>
      <c r="K294" s="2141">
        <f t="shared" ca="1" si="48"/>
        <v>17</v>
      </c>
      <c r="L294" s="2157">
        <f t="shared" ca="1" si="48"/>
        <v>11</v>
      </c>
      <c r="N294" s="1704" t="s">
        <v>10</v>
      </c>
      <c r="O294" s="1705" t="str">
        <f>O299</f>
        <v>B BEIGNETS D'ACACIA | pâtisserie--Beignets| Auteur &gt; Au Féminin.com</v>
      </c>
      <c r="P294" s="1706">
        <f>P299</f>
        <v>4</v>
      </c>
      <c r="Q294" s="1706" t="str">
        <f>Q299</f>
        <v>personnes</v>
      </c>
      <c r="R294" s="1707" t="str">
        <f>R299</f>
        <v>Recette mère ► Beignets d'acacia</v>
      </c>
      <c r="S294" s="1708" t="s">
        <v>28</v>
      </c>
      <c r="T294" s="1709" t="s">
        <v>831</v>
      </c>
      <c r="U294" s="1709"/>
      <c r="V294" s="6951"/>
      <c r="W294" s="6951"/>
      <c r="X294" s="6951"/>
      <c r="Y294" s="6951"/>
      <c r="Z294" s="6951"/>
      <c r="AA294" s="6951"/>
      <c r="AB294" s="6951"/>
      <c r="AC294" s="6951"/>
      <c r="AD294" s="6951"/>
      <c r="AE294" s="6637"/>
      <c r="AF294" s="6637"/>
      <c r="AG294" s="6936"/>
      <c r="AJ294" s="1704" t="str">
        <f t="shared" si="45"/>
        <v>A</v>
      </c>
      <c r="AK294" s="1616"/>
      <c r="AL294" s="1333" t="s">
        <v>21</v>
      </c>
      <c r="AM294" s="394" t="str">
        <f t="shared" si="47"/>
        <v>Éléments pour la cuisson du navarin</v>
      </c>
      <c r="AN294" s="186"/>
      <c r="AO294" s="186" t="s">
        <v>8885</v>
      </c>
      <c r="AP294" s="186"/>
      <c r="AQ294" s="186"/>
      <c r="AR294" s="186"/>
      <c r="AS294" s="191"/>
      <c r="AV294" s="3">
        <v>1</v>
      </c>
    </row>
    <row r="295" spans="2:48" ht="21" customHeight="1">
      <c r="B295" s="2146"/>
      <c r="C295" s="2147"/>
      <c r="D295" s="2147"/>
      <c r="E295" s="2147"/>
      <c r="F295" s="2148"/>
      <c r="G295" s="2147"/>
      <c r="H295" s="2149"/>
      <c r="I295" s="2149"/>
      <c r="J295" s="2149"/>
      <c r="K295" s="2150" t="s">
        <v>8876</v>
      </c>
      <c r="L295" s="2145">
        <f ca="1">SUM(C294:K294)</f>
        <v>139</v>
      </c>
      <c r="N295" s="1704" t="s">
        <v>10</v>
      </c>
      <c r="O295" s="31" t="str">
        <f>O299</f>
        <v>B BEIGNETS D'ACACIA | pâtisserie--Beignets| Auteur &gt; Au Féminin.com</v>
      </c>
      <c r="P295" s="32">
        <f>P299</f>
        <v>4</v>
      </c>
      <c r="Q295" s="32" t="str">
        <f>Q299</f>
        <v>personnes</v>
      </c>
      <c r="R295" s="33" t="str">
        <f>R299</f>
        <v>Recette mère ► Beignets d'acacia</v>
      </c>
      <c r="S295" s="1357"/>
      <c r="T295" s="1358" t="s">
        <v>30</v>
      </c>
      <c r="U295" s="34"/>
      <c r="V295" s="35" t="s">
        <v>31</v>
      </c>
      <c r="W295" s="36" t="s">
        <v>8361</v>
      </c>
      <c r="X295" s="9"/>
      <c r="Y295" s="9"/>
      <c r="Z295" s="36"/>
      <c r="AA295" s="36"/>
      <c r="AB295" s="36"/>
      <c r="AC295" s="37"/>
      <c r="AD295" s="9"/>
      <c r="AE295" s="9"/>
      <c r="AF295" s="9"/>
      <c r="AG295" s="2062" t="str" cm="1">
        <f t="array" aca="1" ref="AG295" ca="1">IF(COUNTIF(O320:AG320,"&lt;0.5")=0,"Aucune colonne masquée ",COUNTIF(O320:AG320,"&lt;0.5") &amp; " " &amp; IF(COUNTIF(O320:AG320,"&lt;0.5")&gt;1,"colonnes masquées","colonne masquée") &amp; " " &amp; _xlfn.TEXTJOIN(" ", TRUE, IF(O320:AG320&lt;0.5,O319:AG319,"")))&amp;" "</f>
        <v xml:space="preserve">Aucune colonne masquée  </v>
      </c>
      <c r="AJ295" s="1704" t="str">
        <f t="shared" si="45"/>
        <v>A</v>
      </c>
      <c r="AK295" s="1616"/>
      <c r="AL295" s="1333" t="s">
        <v>21</v>
      </c>
      <c r="AM295" s="394" t="str">
        <f t="shared" si="47"/>
        <v>Oignons</v>
      </c>
      <c r="AN295" s="186"/>
      <c r="AO295" s="186" t="s">
        <v>8886</v>
      </c>
      <c r="AP295" s="186"/>
      <c r="AQ295" s="186"/>
      <c r="AR295" s="186"/>
      <c r="AS295" s="191"/>
      <c r="AV295" s="3">
        <v>1</v>
      </c>
    </row>
    <row r="296" spans="2:48" ht="21" customHeight="1">
      <c r="B296" s="2146"/>
      <c r="C296" s="2151" t="s">
        <v>8875</v>
      </c>
      <c r="D296" s="2147"/>
      <c r="E296" s="2147"/>
      <c r="F296" s="2148"/>
      <c r="G296" s="2152"/>
      <c r="H296" s="2152"/>
      <c r="I296" s="2152"/>
      <c r="J296" s="2152"/>
      <c r="K296" s="2153" t="s">
        <v>8863</v>
      </c>
      <c r="L296" s="2154" t="s">
        <v>21</v>
      </c>
      <c r="N296" s="1704" t="s">
        <v>10</v>
      </c>
      <c r="O296" s="31" t="str">
        <f>O299</f>
        <v>B BEIGNETS D'ACACIA | pâtisserie--Beignets| Auteur &gt; Au Féminin.com</v>
      </c>
      <c r="P296" s="32">
        <f>P299</f>
        <v>4</v>
      </c>
      <c r="Q296" s="32" t="str">
        <f>Q299</f>
        <v>personnes</v>
      </c>
      <c r="R296" s="33" t="str">
        <f>R299</f>
        <v>Recette mère ► Beignets d'acacia</v>
      </c>
      <c r="S296" s="39" t="s">
        <v>32</v>
      </c>
      <c r="T296" s="40"/>
      <c r="U296" s="40"/>
      <c r="V296" s="41" t="s">
        <v>33</v>
      </c>
      <c r="W296" s="6736" t="str">
        <f>Y299&amp;" "&amp;Z299&amp;" ► Famille = "&amp;AE293&amp;" ► "&amp;V293&amp;" "&amp;AC296&amp;" "&amp;AE296&amp;" "&amp;AF296&amp;" "&amp;AG296</f>
        <v>Recette mère ► Beignets d'acacia ► Famille = pâtisserie--Beignets ► BEIGNETS D'ACACIA  ⓫  Dupliquée pour 50 personnes</v>
      </c>
      <c r="X296" s="6736"/>
      <c r="Y296" s="6736"/>
      <c r="Z296" s="6736"/>
      <c r="AA296" s="6736"/>
      <c r="AB296" s="6736"/>
      <c r="AC296" s="6736"/>
      <c r="AD296" s="1359"/>
      <c r="AE296" s="1359" t="s">
        <v>35</v>
      </c>
      <c r="AF296" s="140">
        <v>50</v>
      </c>
      <c r="AG296" s="43" t="str">
        <f>AG298</f>
        <v>personnes</v>
      </c>
      <c r="AJ296" s="1704" t="str">
        <f t="shared" si="45"/>
        <v>A</v>
      </c>
      <c r="AK296" s="1616"/>
      <c r="AL296" s="1333" t="s">
        <v>21</v>
      </c>
      <c r="AM296" s="394" t="str">
        <f t="shared" si="47"/>
        <v>Concentré de tomate</v>
      </c>
      <c r="AN296" s="186"/>
      <c r="AO296" s="186" t="s">
        <v>8887</v>
      </c>
      <c r="AP296" s="186"/>
      <c r="AQ296" s="186"/>
      <c r="AR296" s="186"/>
      <c r="AS296" s="191"/>
      <c r="AV296" s="3">
        <v>1</v>
      </c>
    </row>
    <row r="297" spans="2:48" ht="21" customHeight="1">
      <c r="B297" s="2155">
        <f>IF(C297="","",LEN(TRIM(SUBSTITUTE(C297,CHAR(160),""))))</f>
        <v>89</v>
      </c>
      <c r="C297" s="2128" t="s">
        <v>8874</v>
      </c>
      <c r="D297" s="2136"/>
      <c r="E297" s="2136"/>
      <c r="F297" s="2136"/>
      <c r="G297" s="2136"/>
      <c r="H297" s="2136"/>
      <c r="I297" s="2136"/>
      <c r="J297" s="2136"/>
      <c r="K297" s="2156"/>
      <c r="L297" s="2126" t="str" cm="1">
        <f t="array" ref="L297">IF(B297&lt;=0,0,ROUNDUP(SUMPRODUCT(LEN(C297:K297))/B297,0))&amp;" ligne(s)"</f>
        <v>1 ligne(s)</v>
      </c>
      <c r="N297" s="1704" t="s">
        <v>10</v>
      </c>
      <c r="O297" s="31" t="str">
        <f>O299</f>
        <v>B BEIGNETS D'ACACIA | pâtisserie--Beignets| Auteur &gt; Au Féminin.com</v>
      </c>
      <c r="P297" s="32">
        <f>P299</f>
        <v>4</v>
      </c>
      <c r="Q297" s="32" t="str">
        <f>Q299</f>
        <v>personnes</v>
      </c>
      <c r="R297" s="33" t="str">
        <f>R299</f>
        <v>Recette mère ► Beignets d'acacia</v>
      </c>
      <c r="S297" s="1360">
        <v>4</v>
      </c>
      <c r="T297" s="1361" t="s">
        <v>8237</v>
      </c>
      <c r="U297" s="39"/>
      <c r="V297" s="39"/>
      <c r="W297" s="6736"/>
      <c r="X297" s="6736"/>
      <c r="Y297" s="6736"/>
      <c r="Z297" s="6736"/>
      <c r="AA297" s="6736"/>
      <c r="AB297" s="6736"/>
      <c r="AC297" s="6736"/>
      <c r="AD297" s="696"/>
      <c r="AE297" s="696"/>
      <c r="AF297" s="47" t="s">
        <v>40</v>
      </c>
      <c r="AG297" s="48" t="s">
        <v>41</v>
      </c>
      <c r="AJ297" s="1704" t="str">
        <f t="shared" si="45"/>
        <v>A</v>
      </c>
      <c r="AK297" s="1616"/>
      <c r="AL297" s="1333" t="s">
        <v>21</v>
      </c>
      <c r="AM297" s="394" t="str">
        <f t="shared" si="47"/>
        <v>Ail haché surgelé</v>
      </c>
      <c r="AN297" s="186"/>
      <c r="AO297" s="186" t="s">
        <v>8888</v>
      </c>
      <c r="AP297" s="186"/>
      <c r="AQ297" s="186"/>
      <c r="AR297" s="186"/>
      <c r="AS297" s="191"/>
      <c r="AV297" s="3">
        <v>1</v>
      </c>
    </row>
    <row r="298" spans="2:48" ht="21" customHeight="1">
      <c r="B298" s="6939" t="s">
        <v>1527</v>
      </c>
      <c r="C298" s="6940" t="s">
        <v>8234</v>
      </c>
      <c r="D298" s="6940"/>
      <c r="E298" s="6940"/>
      <c r="F298" s="6940"/>
      <c r="G298" s="6940"/>
      <c r="H298" s="6940"/>
      <c r="I298" s="6940"/>
      <c r="J298" s="6940"/>
      <c r="K298" s="6940"/>
      <c r="L298" s="6942" t="s">
        <v>8859</v>
      </c>
      <c r="N298" s="1704" t="s">
        <v>10</v>
      </c>
      <c r="O298" s="31" t="str">
        <f>O299</f>
        <v>B BEIGNETS D'ACACIA | pâtisserie--Beignets| Auteur &gt; Au Féminin.com</v>
      </c>
      <c r="P298" s="32">
        <f>P299</f>
        <v>4</v>
      </c>
      <c r="Q298" s="32" t="str">
        <f>Q299</f>
        <v>personnes</v>
      </c>
      <c r="R298" s="33" t="str">
        <f>R299</f>
        <v>Recette mère ► Beignets d'acacia</v>
      </c>
      <c r="S298" s="53"/>
      <c r="T298" s="1323" t="s">
        <v>8094</v>
      </c>
      <c r="U298" s="6737">
        <f>AC314</f>
        <v>0.71</v>
      </c>
      <c r="V298" s="6737"/>
      <c r="W298" s="1324" t="str" cm="1">
        <f t="array" ref="W298">"1= "&amp;IF(OR(S297&lt;=0,U298=""),"",_xlfn.LET(_xlpm.kg,IF(ISNUMBER(U298),U298,VALEUR(SUBSTITUTE(SUBSTITUTE(SUBSTITUTE(LOWER(U298),"kg",""),",",".")," ",""))),TEXT(ROUND(_xlpm.kg*1000/S297,2),"0.##")&amp;" g"))</f>
        <v>1= 177.5 g</v>
      </c>
      <c r="X298" s="1325">
        <f>IFERROR(AF296/AF298,0)</f>
        <v>12.5</v>
      </c>
      <c r="Y298" s="1817" t="s">
        <v>8230</v>
      </c>
      <c r="Z298" s="579"/>
      <c r="AA298" s="55"/>
      <c r="AB298" s="55"/>
      <c r="AD298" s="1362"/>
      <c r="AE298" s="1362" t="s">
        <v>50</v>
      </c>
      <c r="AF298" s="154">
        <v>4</v>
      </c>
      <c r="AG298" s="56" t="s">
        <v>8237</v>
      </c>
      <c r="AJ298" s="1704" t="str">
        <f t="shared" si="45"/>
        <v>A</v>
      </c>
      <c r="AK298" s="1616"/>
      <c r="AL298" s="1333" t="s">
        <v>21</v>
      </c>
      <c r="AM298" s="394" t="str">
        <f t="shared" si="47"/>
        <v>Farine</v>
      </c>
      <c r="AN298" s="186"/>
      <c r="AO298" s="186" t="s">
        <v>8889</v>
      </c>
      <c r="AP298" s="186"/>
      <c r="AQ298" s="186"/>
      <c r="AR298" s="186"/>
      <c r="AS298" s="191"/>
      <c r="AV298" s="3">
        <v>1</v>
      </c>
    </row>
    <row r="299" spans="2:48" ht="21" customHeight="1">
      <c r="B299" s="6939"/>
      <c r="C299" s="6941"/>
      <c r="D299" s="6941"/>
      <c r="E299" s="6941"/>
      <c r="F299" s="6941"/>
      <c r="G299" s="6941"/>
      <c r="H299" s="6941"/>
      <c r="I299" s="6941"/>
      <c r="J299" s="6941"/>
      <c r="K299" s="6941"/>
      <c r="L299" s="6942"/>
      <c r="N299" s="1704" t="s">
        <v>10</v>
      </c>
      <c r="O299" s="61" t="str">
        <f>S299</f>
        <v>B BEIGNETS D'ACACIA | pâtisserie--Beignets| Auteur &gt; Au Féminin.com</v>
      </c>
      <c r="P299" s="62">
        <f>S297</f>
        <v>4</v>
      </c>
      <c r="Q299" s="61" t="str">
        <f>T297</f>
        <v>personnes</v>
      </c>
      <c r="R299" s="63" t="str">
        <f>Y299&amp;" "&amp;Z299</f>
        <v>Recette mère ► Beignets d'acacia</v>
      </c>
      <c r="S299" s="64" t="str">
        <f>UPPER(LEFT(V293,1))&amp;" "&amp;V293&amp;" | "&amp;AE293&amp;"| "&amp;V295&amp;" "&amp;W295</f>
        <v>B BEIGNETS D'ACACIA | pâtisserie--Beignets| Auteur &gt; Au Féminin.com</v>
      </c>
      <c r="T299" s="65" t="s">
        <v>53</v>
      </c>
      <c r="U299" s="6735" t="s">
        <v>54</v>
      </c>
      <c r="V299" s="6735"/>
      <c r="W299" s="6735"/>
      <c r="X299" s="66"/>
      <c r="Y299" s="66" t="str">
        <f>IF(ISTEXT(Z299),"Recette mère ►",T299)</f>
        <v>Recette mère ►</v>
      </c>
      <c r="Z299" s="67" t="s">
        <v>8142</v>
      </c>
      <c r="AA299" s="67"/>
      <c r="AB299" s="67"/>
      <c r="AC299" s="883"/>
      <c r="AD299" s="68"/>
      <c r="AE299" s="68"/>
      <c r="AF299" s="68"/>
      <c r="AG299"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J299" s="1704" t="str">
        <f t="shared" si="45"/>
        <v>A</v>
      </c>
      <c r="AK299" s="1616"/>
      <c r="AL299" s="1333" t="s">
        <v>21</v>
      </c>
      <c r="AM299" s="394" t="str">
        <f t="shared" si="47"/>
        <v>Bouquet garni</v>
      </c>
      <c r="AN299" s="186"/>
      <c r="AO299" s="186" t="s">
        <v>8890</v>
      </c>
      <c r="AP299" s="186"/>
      <c r="AQ299" s="186"/>
      <c r="AR299" s="186"/>
      <c r="AS299" s="191"/>
      <c r="AV299" s="3">
        <v>1</v>
      </c>
    </row>
    <row r="300" spans="2:48" ht="21" customHeight="1">
      <c r="B300" s="1610" cm="1">
        <f t="array" ref="B300">SUMPRODUCT(LEN(C300:K300))</f>
        <v>0</v>
      </c>
      <c r="C300" s="1837"/>
      <c r="D300" s="1837"/>
      <c r="E300" s="1837"/>
      <c r="F300" s="1837"/>
      <c r="G300" s="1837"/>
      <c r="H300" s="1837"/>
      <c r="I300" s="1837"/>
      <c r="J300" s="1837"/>
      <c r="K300" s="1837"/>
      <c r="L300" s="2126" t="str" cm="1">
        <f t="array" ref="L300">IF(B297&lt;=0,0,ROUNDUP(SUMPRODUCT(LEN(C300:K300))/B297,0))&amp;" ligne(s)"</f>
        <v>0 ligne(s)</v>
      </c>
      <c r="N300" s="1704" t="s">
        <v>10</v>
      </c>
      <c r="O300" s="70" t="str">
        <f>O299</f>
        <v>B BEIGNETS D'ACACIA | pâtisserie--Beignets| Auteur &gt; Au Féminin.com</v>
      </c>
      <c r="P300" s="70">
        <f>P299</f>
        <v>4</v>
      </c>
      <c r="Q300" s="70" t="str">
        <f>Q299</f>
        <v>personnes</v>
      </c>
      <c r="R300" s="71" t="str">
        <f>R299</f>
        <v>Recette mère ► Beignets d'acacia</v>
      </c>
      <c r="S300" s="12" t="s">
        <v>65</v>
      </c>
      <c r="T300" s="12" t="s">
        <v>66</v>
      </c>
      <c r="U300" s="12" t="s">
        <v>67</v>
      </c>
      <c r="V300" s="12" t="s">
        <v>68</v>
      </c>
      <c r="W300" s="72" t="s">
        <v>69</v>
      </c>
      <c r="X300" s="73" t="s">
        <v>70</v>
      </c>
      <c r="Y300" s="12" t="s">
        <v>71</v>
      </c>
      <c r="Z300" s="12" t="s">
        <v>72</v>
      </c>
      <c r="AA300" s="12" t="s">
        <v>73</v>
      </c>
      <c r="AB300" s="12" t="s">
        <v>74</v>
      </c>
      <c r="AC300" s="12" t="s">
        <v>75</v>
      </c>
      <c r="AD300" s="12" t="s">
        <v>76</v>
      </c>
      <c r="AE300" s="12" t="s">
        <v>77</v>
      </c>
      <c r="AF300" s="12" t="s">
        <v>8143</v>
      </c>
      <c r="AG300" s="74" t="s">
        <v>8407</v>
      </c>
      <c r="AJ300" s="1704" t="str">
        <f t="shared" si="45"/>
        <v>A</v>
      </c>
      <c r="AK300" s="1616"/>
      <c r="AL300" s="1333" t="s">
        <v>21</v>
      </c>
      <c r="AM300" s="394" t="str">
        <f t="shared" si="47"/>
        <v>Fond brun clair de veau</v>
      </c>
      <c r="AN300" s="186"/>
      <c r="AO300" s="186" t="s">
        <v>8891</v>
      </c>
      <c r="AP300" s="186"/>
      <c r="AQ300" s="186"/>
      <c r="AR300" s="186"/>
      <c r="AS300" s="191"/>
      <c r="AV300" s="3">
        <v>1</v>
      </c>
    </row>
    <row r="301" spans="2:48" ht="21" customHeight="1">
      <c r="B301" s="1610" cm="1">
        <f t="array" ref="B301">SUMPRODUCT(LEN(C301:K301))</f>
        <v>32</v>
      </c>
      <c r="C301" s="1810"/>
      <c r="D301" s="1810"/>
      <c r="E301" s="2125" t="s">
        <v>8362</v>
      </c>
      <c r="F301" s="2125"/>
      <c r="G301" s="1810"/>
      <c r="H301" s="1810"/>
      <c r="I301" s="1810"/>
      <c r="J301" s="1810"/>
      <c r="K301" s="1810"/>
      <c r="L301" s="2126" t="str" cm="1">
        <f t="array" ref="L301">IF(B297&lt;=0,0,ROUNDUP(SUMPRODUCT(LEN(C301:K301))/B297,0))&amp;" ligne(s)"</f>
        <v>1 ligne(s)</v>
      </c>
      <c r="N301" s="1704" t="s">
        <v>10</v>
      </c>
      <c r="O301" s="31" t="str">
        <f>O299</f>
        <v>B BEIGNETS D'ACACIA | pâtisserie--Beignets| Auteur &gt; Au Féminin.com</v>
      </c>
      <c r="P301" s="32">
        <f>P299</f>
        <v>4</v>
      </c>
      <c r="Q301" s="31" t="str">
        <f>Q299</f>
        <v>personnes</v>
      </c>
      <c r="R301" s="33" t="str">
        <f>R299</f>
        <v>Recette mère ► Beignets d'acacia</v>
      </c>
      <c r="S301" s="76" t="s">
        <v>78</v>
      </c>
      <c r="T301" s="77" t="s">
        <v>79</v>
      </c>
      <c r="U301" s="78"/>
      <c r="V301" s="6612" t="s">
        <v>80</v>
      </c>
      <c r="W301" s="6730" t="s">
        <v>81</v>
      </c>
      <c r="X301" s="6732" t="s">
        <v>82</v>
      </c>
      <c r="Y301" s="6738" t="s">
        <v>8575</v>
      </c>
      <c r="Z301" s="79" t="s">
        <v>83</v>
      </c>
      <c r="AA301" s="80" t="s">
        <v>49</v>
      </c>
      <c r="AB301" s="81" t="s">
        <v>84</v>
      </c>
      <c r="AC301" s="6607" t="s">
        <v>85</v>
      </c>
      <c r="AD301" s="6582" t="s">
        <v>84</v>
      </c>
      <c r="AE301" s="6727" t="s">
        <v>8405</v>
      </c>
      <c r="AF301" s="6584" t="s">
        <v>86</v>
      </c>
      <c r="AG301" s="6728" t="s">
        <v>87</v>
      </c>
      <c r="AJ301" s="1704" t="str">
        <f t="shared" si="45"/>
        <v>A</v>
      </c>
      <c r="AK301" s="1616"/>
      <c r="AL301" s="1333" t="s">
        <v>21</v>
      </c>
      <c r="AM301" s="394" t="str">
        <f t="shared" si="47"/>
        <v>Haricots blancs (coco)</v>
      </c>
      <c r="AN301" s="186"/>
      <c r="AO301" s="186" t="s">
        <v>8892</v>
      </c>
      <c r="AP301" s="186"/>
      <c r="AQ301" s="186"/>
      <c r="AR301" s="186"/>
      <c r="AS301" s="191"/>
      <c r="AV301" s="3">
        <v>1</v>
      </c>
    </row>
    <row r="302" spans="2:48" ht="21" customHeight="1">
      <c r="B302" s="1610" cm="1">
        <f t="array" ref="B302">SUMPRODUCT(LEN(C302:K302))</f>
        <v>0</v>
      </c>
      <c r="C302" s="1810"/>
      <c r="D302" s="1810"/>
      <c r="E302" s="1810"/>
      <c r="F302" s="1810"/>
      <c r="G302" s="1810"/>
      <c r="H302" s="1810"/>
      <c r="I302" s="1810"/>
      <c r="J302" s="1810"/>
      <c r="K302" s="1810"/>
      <c r="L302" s="2126" t="str" cm="1">
        <f t="array" ref="L302">IF(B297&lt;=0,0,ROUNDUP(SUMPRODUCT(LEN(C302:K302))/B297,0))&amp;" ligne(s)"</f>
        <v>0 ligne(s)</v>
      </c>
      <c r="N302" s="1704" t="s">
        <v>10</v>
      </c>
      <c r="O302" s="31" t="str">
        <f>O299</f>
        <v>B BEIGNETS D'ACACIA | pâtisserie--Beignets| Auteur &gt; Au Féminin.com</v>
      </c>
      <c r="P302" s="32">
        <f>P299</f>
        <v>4</v>
      </c>
      <c r="Q302" s="31" t="str">
        <f>Q299</f>
        <v>personnes</v>
      </c>
      <c r="R302" s="33" t="str">
        <f>R299</f>
        <v>Recette mère ► Beignets d'acacia</v>
      </c>
      <c r="S302" s="83" t="s">
        <v>92</v>
      </c>
      <c r="T302" s="84" t="s">
        <v>93</v>
      </c>
      <c r="U302" s="85" t="s">
        <v>94</v>
      </c>
      <c r="V302" s="6577"/>
      <c r="W302" s="6471"/>
      <c r="X302" s="6606"/>
      <c r="Y302" s="6739"/>
      <c r="Z302" s="86" t="s">
        <v>95</v>
      </c>
      <c r="AA302" s="87" t="s">
        <v>96</v>
      </c>
      <c r="AB302" s="88">
        <v>1</v>
      </c>
      <c r="AC302" s="6608"/>
      <c r="AD302" s="6583"/>
      <c r="AE302" s="6583"/>
      <c r="AF302" s="6585"/>
      <c r="AG302" s="6786"/>
      <c r="AJ302" s="1704" t="str">
        <f t="shared" si="45"/>
        <v>A</v>
      </c>
      <c r="AK302" s="1616"/>
      <c r="AL302" s="1333" t="s">
        <v>21</v>
      </c>
      <c r="AM302" s="394" t="str">
        <f t="shared" si="47"/>
        <v>Éléments de la garniture aromatique des</v>
      </c>
      <c r="AN302" s="186"/>
      <c r="AO302" s="186" t="s">
        <v>8893</v>
      </c>
      <c r="AP302" s="186"/>
      <c r="AQ302" s="186"/>
      <c r="AR302" s="186"/>
      <c r="AS302" s="191"/>
      <c r="AV302" s="3">
        <v>1</v>
      </c>
    </row>
    <row r="303" spans="2:48" ht="21" customHeight="1">
      <c r="B303" s="1610" cm="1">
        <f t="array" ref="B303">SUMPRODUCT(LEN(C303:K303))</f>
        <v>0</v>
      </c>
      <c r="C303" s="1810"/>
      <c r="D303" s="1810"/>
      <c r="E303" s="1810"/>
      <c r="F303" s="1810"/>
      <c r="G303" s="1810"/>
      <c r="H303" s="1810"/>
      <c r="I303" s="1810"/>
      <c r="J303" s="1810"/>
      <c r="K303" s="1810"/>
      <c r="L303" s="2126" t="str" cm="1">
        <f t="array" ref="L303">IF(B297&lt;=0,0,ROUNDUP(SUMPRODUCT(LEN(C303:K303))/B297,0))&amp;" ligne(s)"</f>
        <v>0 ligne(s)</v>
      </c>
      <c r="N303" s="1704" t="s">
        <v>10</v>
      </c>
      <c r="O303" s="31" t="str">
        <f>O299</f>
        <v>B BEIGNETS D'ACACIA | pâtisserie--Beignets| Auteur &gt; Au Féminin.com</v>
      </c>
      <c r="P303" s="32">
        <f>P299</f>
        <v>4</v>
      </c>
      <c r="Q303" s="31" t="str">
        <f>Q299</f>
        <v>personnes</v>
      </c>
      <c r="R303" s="33" t="str">
        <f>R299</f>
        <v>Recette mère ► Beignets d'acacia</v>
      </c>
      <c r="S303" s="89"/>
      <c r="T303" s="108"/>
      <c r="U303" s="1363" t="str">
        <f t="shared" ref="U303:U310" si="49">IF(AND(S303&gt;0,V303&gt;0),"de","")</f>
        <v/>
      </c>
      <c r="V303" s="92"/>
      <c r="W303" s="1364"/>
      <c r="X303" s="130">
        <v>1</v>
      </c>
      <c r="Y303" s="1812" t="str">
        <f>ROWS(Y303:Y303)&amp;" ►"</f>
        <v>1 ►</v>
      </c>
      <c r="Z303" s="1580" t="s">
        <v>8363</v>
      </c>
      <c r="AA303" s="95">
        <f>IF(AC314=0,0,(AC303/AC314)*AB302*1000)</f>
        <v>0</v>
      </c>
      <c r="AB303" s="96">
        <f>IF(AC314=0, 0, (S303*X303)/(AC314*AB302))</f>
        <v>0</v>
      </c>
      <c r="AC303" s="97" cm="1">
        <f t="array" ref="AC303">IFERROR(_xlfn.XLOOKUP(UPPER(TRIM(W303)),UPPER(TRIM(S315:AG315)),S316:AG316,_xlfn.XLOOKUP(UPPER(TRIM(W303)),UPPER(TRIM(S317:AG317)),S318:AG318,0))*V303*IF(S303&gt;0,S303,1),0)</f>
        <v>0</v>
      </c>
      <c r="AD303" s="98">
        <f>IF(AF298&lt;&gt;0,S303*X303*X298,0)</f>
        <v>0</v>
      </c>
      <c r="AE303" s="1834">
        <f>T303</f>
        <v>0</v>
      </c>
      <c r="AF303" s="99">
        <f>IF(OR(ISBLANK(AF298),AF298=0),0,AC303*X303*X298)</f>
        <v>0</v>
      </c>
      <c r="AG303" s="100" t="str">
        <f>IF(W303="","",IF(COUNTIF(Z315:AG315,SUBSTITUTE(TRIM(W303)," (s)",""))+COUNTIF(Z317:AG317,SUBSTITUTE(TRIM(W303)," (s)",""))&gt;0,IF(ROUND(AF303,3)&gt;=1,ROUND(AF303,3)&amp;" L",MAX(1,ROUND(AF303*100,0))&amp;" cl"),IF(COUNTIF(S315:X315,SUBSTITUTE(TRIM(W303)," (s)",""))+COUNTIF(S317:X317,SUBSTITUTE(TRIM(W303)," (s)",""))&gt;0,IF(ROUND(AF303,3)&gt;=1,ROUND(AF303,3)&amp;" Kg",MAX(1,ROUND(AF303*1000,0))&amp;" g"),"")))</f>
        <v/>
      </c>
      <c r="AJ303" s="1704" t="str">
        <f t="shared" si="45"/>
        <v>A</v>
      </c>
      <c r="AK303" s="1616"/>
      <c r="AL303" s="1333" t="s">
        <v>21</v>
      </c>
      <c r="AM303" s="394" t="str">
        <f t="shared" si="47"/>
        <v>haricots</v>
      </c>
      <c r="AN303" s="186"/>
      <c r="AO303" s="186" t="s">
        <v>8894</v>
      </c>
      <c r="AP303" s="186"/>
      <c r="AQ303" s="186"/>
      <c r="AR303" s="186"/>
      <c r="AS303" s="191"/>
      <c r="AV303" s="3">
        <v>1</v>
      </c>
    </row>
    <row r="304" spans="2:48" ht="21" customHeight="1">
      <c r="B304" s="1610" cm="1">
        <f t="array" ref="B304">SUMPRODUCT(LEN(C304:K304))</f>
        <v>0</v>
      </c>
      <c r="C304" s="1810"/>
      <c r="D304" s="1810"/>
      <c r="E304" s="1810"/>
      <c r="F304" s="1810"/>
      <c r="G304" s="1810"/>
      <c r="H304" s="1810"/>
      <c r="I304" s="1810"/>
      <c r="J304" s="1810"/>
      <c r="K304" s="1810"/>
      <c r="L304" s="2126" t="str" cm="1">
        <f t="array" ref="L304">IF(B297&lt;=0,0,ROUNDUP(SUMPRODUCT(LEN(C304:K304))/B297,0))&amp;" ligne(s)"</f>
        <v>0 ligne(s)</v>
      </c>
      <c r="N304" s="103" t="str">
        <f>IF(Z304&lt;&gt;"","A","►")</f>
        <v>A</v>
      </c>
      <c r="O304" s="31" t="str">
        <f>O299</f>
        <v>B BEIGNETS D'ACACIA | pâtisserie--Beignets| Auteur &gt; Au Féminin.com</v>
      </c>
      <c r="P304" s="32">
        <f>P299</f>
        <v>4</v>
      </c>
      <c r="Q304" s="31" t="str">
        <f>Q299</f>
        <v>personnes</v>
      </c>
      <c r="R304" s="33" t="str">
        <f>R299</f>
        <v>Recette mère ► Beignets d'acacia</v>
      </c>
      <c r="S304" s="89"/>
      <c r="T304" s="108"/>
      <c r="U304" s="91" t="str">
        <f t="shared" si="49"/>
        <v/>
      </c>
      <c r="V304" s="92">
        <v>20</v>
      </c>
      <c r="W304" s="104" t="s">
        <v>100</v>
      </c>
      <c r="X304" s="130">
        <v>1</v>
      </c>
      <c r="Y304" s="1813" t="str">
        <f>ROWS(Y303:Y304)&amp;" ►"</f>
        <v>2 ►</v>
      </c>
      <c r="Z304" s="1580" t="s">
        <v>8249</v>
      </c>
      <c r="AA304" s="95">
        <f>IF(AC314=0,0,(AC304/AC314)*AB302*1000)</f>
        <v>28.169014084507044</v>
      </c>
      <c r="AB304" s="105">
        <f>IF(AC314=0, 0, (S304*X304)/(AC314*AB302))</f>
        <v>0</v>
      </c>
      <c r="AC304" s="97" cm="1">
        <f t="array" ref="AC304">IFERROR(_xlfn.XLOOKUP(UPPER(TRIM(W304)),UPPER(TRIM(S315:AG315)),S316:AG316,_xlfn.XLOOKUP(UPPER(TRIM(W304)),UPPER(TRIM(S317:AG317)),S318:AG318,0))*V304*IF(S304&gt;0,S304,1),0)</f>
        <v>0.02</v>
      </c>
      <c r="AD304" s="110">
        <f>IF(AF298&lt;&gt;0,S304*X304*X298,0)</f>
        <v>0</v>
      </c>
      <c r="AE304" s="1748">
        <f t="shared" ref="AE304:AE313" si="50">T304</f>
        <v>0</v>
      </c>
      <c r="AF304" s="99">
        <f>IF(OR(ISBLANK(AF298),AF298=0),0,AC304*X304*X298)</f>
        <v>0.25</v>
      </c>
      <c r="AG304" s="111" t="str">
        <f>IF(W304="","",IF(COUNTIF(Z315:AG315,SUBSTITUTE(TRIM(W304)," (s)",""))+COUNTIF(Z317:AG317,SUBSTITUTE(TRIM(W304)," (s)",""))&gt;0,IF(ROUND(AF304,3)&gt;=1,ROUND(AF304,3)&amp;" L",MAX(1,ROUND(AF304*100,0))&amp;" cl"),IF(COUNTIF(S315:X315,SUBSTITUTE(TRIM(W304)," (s)",""))+COUNTIF(S317:X317,SUBSTITUTE(TRIM(W304)," (s)",""))&gt;0,IF(ROUND(AF304,3)&gt;=1,ROUND(AF304,3)&amp;" Kg",MAX(1,ROUND(AF304*1000,0))&amp;" g"),"")))</f>
        <v>250 g</v>
      </c>
      <c r="AJ304" s="103" t="str">
        <f t="shared" si="45"/>
        <v>A</v>
      </c>
      <c r="AK304" s="1616"/>
      <c r="AL304" s="1333" t="s">
        <v>21</v>
      </c>
      <c r="AM304" s="394" t="str">
        <f t="shared" si="47"/>
        <v>Oignons</v>
      </c>
      <c r="AN304" s="186"/>
      <c r="AO304" s="186" t="s">
        <v>8895</v>
      </c>
      <c r="AP304" s="186"/>
      <c r="AQ304" s="186"/>
      <c r="AR304" s="186"/>
      <c r="AS304" s="191"/>
      <c r="AV304" s="3">
        <v>1</v>
      </c>
    </row>
    <row r="305" spans="2:48" ht="21" customHeight="1">
      <c r="B305" s="1610" cm="1">
        <f t="array" ref="B305">SUMPRODUCT(LEN(C305:K305))</f>
        <v>0</v>
      </c>
      <c r="C305" s="1810"/>
      <c r="D305" s="1810"/>
      <c r="E305" s="1810"/>
      <c r="F305" s="1810"/>
      <c r="G305" s="1810"/>
      <c r="H305" s="1810"/>
      <c r="I305" s="1810"/>
      <c r="J305" s="1810"/>
      <c r="K305" s="1810"/>
      <c r="L305" s="2126" t="str" cm="1">
        <f t="array" ref="L305">IF(B297&lt;=0,0,ROUNDUP(SUMPRODUCT(LEN(C305:K305))/B297,0))&amp;" ligne(s)"</f>
        <v>0 ligne(s)</v>
      </c>
      <c r="N305" s="103" t="str">
        <f t="shared" ref="N305:N312" si="51">IF(Z305&lt;&gt;"","A","►")</f>
        <v>►</v>
      </c>
      <c r="O305" s="31" t="str">
        <f>O299</f>
        <v>B BEIGNETS D'ACACIA | pâtisserie--Beignets| Auteur &gt; Au Féminin.com</v>
      </c>
      <c r="P305" s="32">
        <f>P299</f>
        <v>4</v>
      </c>
      <c r="Q305" s="31" t="str">
        <f>Q299</f>
        <v>personnes</v>
      </c>
      <c r="R305" s="33" t="str">
        <f>R299</f>
        <v>Recette mère ► Beignets d'acacia</v>
      </c>
      <c r="S305" s="89"/>
      <c r="T305" s="108"/>
      <c r="U305" s="1363" t="str">
        <f t="shared" si="49"/>
        <v/>
      </c>
      <c r="V305" s="92"/>
      <c r="W305" s="1364"/>
      <c r="X305" s="130">
        <v>1</v>
      </c>
      <c r="Y305" s="1813" t="str">
        <f>ROWS(Y303:Y305)&amp;" ►"</f>
        <v>3 ►</v>
      </c>
      <c r="Z305" s="1580"/>
      <c r="AA305" s="95">
        <f>IF(AC314=0,0,(AC305/AC314)*AB302*1000)</f>
        <v>0</v>
      </c>
      <c r="AB305" s="105">
        <f>IF(AC314=0, 0, (S305*X305)/(AC314*AB302))</f>
        <v>0</v>
      </c>
      <c r="AC305" s="97" cm="1">
        <f t="array" ref="AC305">IFERROR(_xlfn.XLOOKUP(UPPER(TRIM(W305)),UPPER(TRIM(S315:AG315)),S316:AG316,_xlfn.XLOOKUP(UPPER(TRIM(W305)),UPPER(TRIM(S317:AG317)),S318:AG318,0))*V305*IF(S305&gt;0,S305,1),0)</f>
        <v>0</v>
      </c>
      <c r="AD305" s="106">
        <f>IF(AF298&lt;&gt;0,S305*X305*X298,0)</f>
        <v>0</v>
      </c>
      <c r="AE305" s="1747">
        <f t="shared" si="50"/>
        <v>0</v>
      </c>
      <c r="AF305" s="99">
        <f>IF(OR(ISBLANK(AF298),AF298=0),0,AC305*X305*X298)</f>
        <v>0</v>
      </c>
      <c r="AG305" s="107" t="str">
        <f>IF(W305="","",IF(COUNTIF(Z315:AG315,SUBSTITUTE(TRIM(W305)," (s)",""))+COUNTIF(Z317:AG317,SUBSTITUTE(TRIM(W305)," (s)",""))&gt;0,IF(ROUND(AF305,3)&gt;=1,ROUND(AF305,3)&amp;" L",MAX(1,ROUND(AF305*100,0))&amp;" cl"),IF(COUNTIF(S315:X315,SUBSTITUTE(TRIM(W305)," (s)",""))+COUNTIF(S317:X317,SUBSTITUTE(TRIM(W305)," (s)",""))&gt;0,IF(ROUND(AF305,3)&gt;=1,ROUND(AF305,3)&amp;" Kg",MAX(1,ROUND(AF305*1000,0))&amp;" g"),"")))</f>
        <v/>
      </c>
      <c r="AJ305" s="103" t="str">
        <f t="shared" si="45"/>
        <v>►</v>
      </c>
      <c r="AK305" s="1616"/>
      <c r="AL305" s="1333" t="s">
        <v>21</v>
      </c>
      <c r="AM305" s="394" t="str">
        <f t="shared" si="47"/>
        <v>Carottes</v>
      </c>
      <c r="AN305" s="186"/>
      <c r="AO305" s="186" t="s">
        <v>8896</v>
      </c>
      <c r="AP305" s="186"/>
      <c r="AQ305" s="186"/>
      <c r="AR305" s="186"/>
      <c r="AS305" s="191"/>
      <c r="AV305" s="3">
        <v>1</v>
      </c>
    </row>
    <row r="306" spans="2:48" ht="21" customHeight="1">
      <c r="B306" s="1610" cm="1">
        <f t="array" ref="B306">SUMPRODUCT(LEN(C306:K306))</f>
        <v>0</v>
      </c>
      <c r="C306" s="1810"/>
      <c r="D306" s="1810"/>
      <c r="E306" s="1810"/>
      <c r="F306" s="1810"/>
      <c r="G306" s="1810"/>
      <c r="H306" s="1810"/>
      <c r="I306" s="1810"/>
      <c r="J306" s="1810"/>
      <c r="K306" s="1810"/>
      <c r="L306" s="2126" t="str" cm="1">
        <f t="array" ref="L306">IF(B297&lt;=0,0,ROUNDUP(SUMPRODUCT(LEN(C306:K306))/B297,0))&amp;" ligne(s)"</f>
        <v>0 ligne(s)</v>
      </c>
      <c r="N306" s="103" t="str">
        <f t="shared" si="51"/>
        <v>A</v>
      </c>
      <c r="O306" s="31" t="str">
        <f>O299</f>
        <v>B BEIGNETS D'ACACIA | pâtisserie--Beignets| Auteur &gt; Au Féminin.com</v>
      </c>
      <c r="P306" s="32">
        <f>P299</f>
        <v>4</v>
      </c>
      <c r="Q306" s="31" t="str">
        <f>Q299</f>
        <v>personnes</v>
      </c>
      <c r="R306" s="33" t="str">
        <f>R299</f>
        <v>Recette mère ► Beignets d'acacia</v>
      </c>
      <c r="S306" s="89"/>
      <c r="T306" s="108"/>
      <c r="U306" s="91" t="str">
        <f t="shared" si="49"/>
        <v/>
      </c>
      <c r="V306" s="92"/>
      <c r="W306" s="1364"/>
      <c r="X306" s="130">
        <v>1</v>
      </c>
      <c r="Y306" s="1813" t="str">
        <f>ROWS(Y303:Y306)&amp;" ►"</f>
        <v>4 ►</v>
      </c>
      <c r="Z306" s="1580" t="s">
        <v>8364</v>
      </c>
      <c r="AA306" s="95">
        <f>IF(AC314=0,0,(AC306/AC314)*AB302*1000)</f>
        <v>0</v>
      </c>
      <c r="AB306" s="105">
        <f>IF(AC314=0, 0, (S306*X306)/(AC314*AB302))</f>
        <v>0</v>
      </c>
      <c r="AC306" s="97" cm="1">
        <f t="array" ref="AC306">IFERROR(_xlfn.XLOOKUP(UPPER(TRIM(W306)),UPPER(TRIM(S315:AG315)),S316:AG316,_xlfn.XLOOKUP(UPPER(TRIM(W306)),UPPER(TRIM(S317:AG317)),S318:AG318,0))*V306*IF(S306&gt;0,S306,1),0)</f>
        <v>0</v>
      </c>
      <c r="AD306" s="110">
        <f>IF(AF298&lt;&gt;0,S306*X306*X298,0)</f>
        <v>0</v>
      </c>
      <c r="AE306" s="1748">
        <f t="shared" si="50"/>
        <v>0</v>
      </c>
      <c r="AF306" s="99">
        <f>IF(OR(ISBLANK(AF298),AF298=0),0,AC306*X306*X298)</f>
        <v>0</v>
      </c>
      <c r="AG306" s="129" t="str">
        <f>IF(W306="","",IF(COUNTIF(Z315:AG315,SUBSTITUTE(TRIM(W306)," (s)",""))+COUNTIF(Z317:AG317,SUBSTITUTE(TRIM(W306)," (s)",""))&gt;0,IF(ROUND(AF306,3)&gt;=1,ROUND(AF306,3)&amp;" L",MAX(1,ROUND(AF306*100,0))&amp;" cl"),IF(COUNTIF(S315:X315,SUBSTITUTE(TRIM(W306)," (s)",""))+COUNTIF(S317:X317,SUBSTITUTE(TRIM(W306)," (s)",""))&gt;0,IF(ROUND(AF306,3)&gt;=1,ROUND(AF306,3)&amp;" Kg",MAX(1,ROUND(AF306*1000,0))&amp;" g"),"")))</f>
        <v/>
      </c>
      <c r="AJ306" s="103" t="str">
        <f t="shared" si="45"/>
        <v>A</v>
      </c>
      <c r="AK306" s="1616"/>
      <c r="AL306" s="1333" t="s">
        <v>21</v>
      </c>
      <c r="AM306" s="394" t="str">
        <f t="shared" si="47"/>
        <v>Bouquet garni</v>
      </c>
      <c r="AN306" s="186"/>
      <c r="AO306" s="186" t="s">
        <v>8890</v>
      </c>
      <c r="AP306" s="186"/>
      <c r="AQ306" s="186"/>
      <c r="AR306" s="186"/>
      <c r="AS306" s="191"/>
      <c r="AV306" s="3">
        <v>1</v>
      </c>
    </row>
    <row r="307" spans="2:48" ht="21" customHeight="1">
      <c r="B307" s="1610" cm="1">
        <f t="array" ref="B307">SUMPRODUCT(LEN(C307:K307))</f>
        <v>0</v>
      </c>
      <c r="C307" s="1810"/>
      <c r="D307" s="1810"/>
      <c r="E307" s="1810"/>
      <c r="F307" s="1810"/>
      <c r="G307" s="1810"/>
      <c r="H307" s="1810"/>
      <c r="I307" s="1810"/>
      <c r="J307" s="1810"/>
      <c r="K307" s="1810"/>
      <c r="L307" s="2126" t="str" cm="1">
        <f t="array" ref="L307">IF(B297&lt;=0,0,ROUNDUP(SUMPRODUCT(LEN(C307:K307))/B297,0))&amp;" ligne(s)"</f>
        <v>0 ligne(s)</v>
      </c>
      <c r="N307" s="103" t="str">
        <f t="shared" si="51"/>
        <v>A</v>
      </c>
      <c r="O307" s="31" t="str">
        <f>O299</f>
        <v>B BEIGNETS D'ACACIA | pâtisserie--Beignets| Auteur &gt; Au Féminin.com</v>
      </c>
      <c r="P307" s="32">
        <f>P299</f>
        <v>4</v>
      </c>
      <c r="Q307" s="31" t="str">
        <f>Q299</f>
        <v>personnes</v>
      </c>
      <c r="R307" s="33" t="str">
        <f>R299</f>
        <v>Recette mère ► Beignets d'acacia</v>
      </c>
      <c r="S307" s="89"/>
      <c r="T307" s="108"/>
      <c r="U307" s="1363" t="str">
        <f t="shared" si="49"/>
        <v/>
      </c>
      <c r="V307" s="92">
        <v>250</v>
      </c>
      <c r="W307" s="104" t="s">
        <v>100</v>
      </c>
      <c r="X307" s="130">
        <v>1</v>
      </c>
      <c r="Y307" s="1813" t="str">
        <f>ROWS(Y303:Y307)&amp;" ►"</f>
        <v>5 ►</v>
      </c>
      <c r="Z307" s="1580" t="s">
        <v>8243</v>
      </c>
      <c r="AA307" s="95">
        <f>IF(AC314=0,0,(AC307/AC314)*AB302*1000)</f>
        <v>352.11267605633805</v>
      </c>
      <c r="AB307" s="105">
        <f>IF(AC314=0, 0, (S307*X307)/(AC314*AB302))</f>
        <v>0</v>
      </c>
      <c r="AC307" s="97" cm="1">
        <f t="array" ref="AC307">IFERROR(_xlfn.XLOOKUP(UPPER(TRIM(W307)),UPPER(TRIM(S315:AG315)),S316:AG316,_xlfn.XLOOKUP(UPPER(TRIM(W307)),UPPER(TRIM(S317:AG317)),S318:AG318,0))*V307*IF(S307&gt;0,S307,1),0)</f>
        <v>0.25</v>
      </c>
      <c r="AD307" s="106">
        <f>IF(AF298&lt;&gt;0,S307*X307*X298,0)</f>
        <v>0</v>
      </c>
      <c r="AE307" s="1747">
        <f t="shared" si="50"/>
        <v>0</v>
      </c>
      <c r="AF307" s="99">
        <f>IF(OR(ISBLANK(AF298),AF298=0),0,AC307*X307*X298)</f>
        <v>3.125</v>
      </c>
      <c r="AG307" s="107" t="str">
        <f>IF(W307="","",IF(COUNTIF(Z315:AG315,SUBSTITUTE(TRIM(W307)," (s)",""))+COUNTIF(Z317:AG317,SUBSTITUTE(TRIM(W307)," (s)",""))&gt;0,IF(ROUND(AF307,3)&gt;=1,ROUND(AF307,3)&amp;" L",MAX(1,ROUND(AF307*100,0))&amp;" cl"),IF(COUNTIF(S315:X315,SUBSTITUTE(TRIM(W307)," (s)",""))+COUNTIF(S317:X317,SUBSTITUTE(TRIM(W307)," (s)",""))&gt;0,IF(ROUND(AF307,3)&gt;=1,ROUND(AF307,3)&amp;" Kg",MAX(1,ROUND(AF307*1000,0))&amp;" g"),"")))</f>
        <v>3.125 Kg</v>
      </c>
      <c r="AJ307" s="103" t="str">
        <f t="shared" si="45"/>
        <v>A</v>
      </c>
      <c r="AK307" s="1616"/>
      <c r="AL307" s="1333" t="s">
        <v>21</v>
      </c>
      <c r="AM307" s="394" t="str">
        <f t="shared" si="47"/>
        <v>Clous de girofle</v>
      </c>
      <c r="AN307" s="186"/>
      <c r="AO307" s="186" t="s">
        <v>8897</v>
      </c>
      <c r="AP307" s="186"/>
      <c r="AQ307" s="186"/>
      <c r="AR307" s="186"/>
      <c r="AS307" s="191"/>
      <c r="AV307" s="3">
        <v>1</v>
      </c>
    </row>
    <row r="308" spans="2:48" ht="21" customHeight="1">
      <c r="B308" s="1610" cm="1">
        <f t="array" ref="B308">SUMPRODUCT(LEN(C308:K308))</f>
        <v>0</v>
      </c>
      <c r="C308" s="1810"/>
      <c r="D308" s="1810"/>
      <c r="E308" s="1810"/>
      <c r="F308" s="1810"/>
      <c r="G308" s="1810"/>
      <c r="H308" s="1810"/>
      <c r="I308" s="1810"/>
      <c r="J308" s="1810"/>
      <c r="K308" s="1810"/>
      <c r="L308" s="2126" t="str" cm="1">
        <f t="array" ref="L308">IF(B297&lt;=0,0,ROUNDUP(SUMPRODUCT(LEN(C308:K308))/B297,0))&amp;" ligne(s)"</f>
        <v>0 ligne(s)</v>
      </c>
      <c r="N308" s="103" t="str">
        <f t="shared" si="51"/>
        <v>A</v>
      </c>
      <c r="O308" s="31" t="str">
        <f>O299</f>
        <v>B BEIGNETS D'ACACIA | pâtisserie--Beignets| Auteur &gt; Au Féminin.com</v>
      </c>
      <c r="P308" s="32">
        <f>P299</f>
        <v>4</v>
      </c>
      <c r="Q308" s="31" t="str">
        <f>Q299</f>
        <v>personnes</v>
      </c>
      <c r="R308" s="33" t="str">
        <f>R299</f>
        <v>Recette mère ► Beignets d'acacia</v>
      </c>
      <c r="S308" s="89">
        <v>2</v>
      </c>
      <c r="T308" s="108" t="s">
        <v>491</v>
      </c>
      <c r="U308" s="91" t="str">
        <f t="shared" si="49"/>
        <v>de</v>
      </c>
      <c r="V308" s="92">
        <v>50</v>
      </c>
      <c r="W308" s="104" t="s">
        <v>100</v>
      </c>
      <c r="X308" s="130">
        <v>1</v>
      </c>
      <c r="Y308" s="1813" t="str">
        <f>ROWS(Y303:Y308)&amp;" ►"</f>
        <v>6 ►</v>
      </c>
      <c r="Z308" s="1580" t="s">
        <v>8365</v>
      </c>
      <c r="AA308" s="95">
        <f>IF(AC314=0,0,(AC308/AC314)*AB302*1000)</f>
        <v>140.84507042253523</v>
      </c>
      <c r="AB308" s="105">
        <f>IF(AC314=0, 0, (S308*X308)/(AC314*AB302))</f>
        <v>2.8169014084507045</v>
      </c>
      <c r="AC308" s="97" cm="1">
        <f t="array" ref="AC308">IFERROR(_xlfn.XLOOKUP(UPPER(TRIM(W308)),UPPER(TRIM(S315:AG315)),S316:AG316,_xlfn.XLOOKUP(UPPER(TRIM(W308)),UPPER(TRIM(S317:AG317)),S318:AG318,0))*V308*IF(S308&gt;0,S308,1),0)</f>
        <v>0.1</v>
      </c>
      <c r="AD308" s="110">
        <f>IF(AF298&lt;&gt;0,S308*X308*X298,0)</f>
        <v>25</v>
      </c>
      <c r="AE308" s="1748" t="str">
        <f t="shared" si="50"/>
        <v>œufs</v>
      </c>
      <c r="AF308" s="99">
        <f>IF(OR(ISBLANK(AF298),AF298=0),0,AC308*X308*X298)</f>
        <v>1.25</v>
      </c>
      <c r="AG308" s="129" t="str">
        <f>IF(W308="","",IF(COUNTIF(Z315:AG315,SUBSTITUTE(TRIM(W308)," (s)",""))+COUNTIF(Z317:AG317,SUBSTITUTE(TRIM(W308)," (s)",""))&gt;0,IF(ROUND(AF308,3)&gt;=1,ROUND(AF308,3)&amp;" L",MAX(1,ROUND(AF308*100,0))&amp;" cl"),IF(COUNTIF(S315:X315,SUBSTITUTE(TRIM(W308)," (s)",""))+COUNTIF(S317:X317,SUBSTITUTE(TRIM(W308)," (s)",""))&gt;0,IF(ROUND(AF308,3)&gt;=1,ROUND(AF308,3)&amp;" Kg",MAX(1,ROUND(AF308*1000,0))&amp;" g"),"")))</f>
        <v>1.25 Kg</v>
      </c>
      <c r="AJ308" s="103" t="str">
        <f t="shared" si="45"/>
        <v>A</v>
      </c>
      <c r="AK308" s="1616"/>
      <c r="AL308" s="1333" t="s">
        <v>21</v>
      </c>
      <c r="AM308" s="394" t="str">
        <f t="shared" si="47"/>
        <v>Éléments de la garniture du cassoulet</v>
      </c>
      <c r="AN308" s="186"/>
      <c r="AO308" s="186" t="s">
        <v>8898</v>
      </c>
      <c r="AP308" s="186"/>
      <c r="AQ308" s="186"/>
      <c r="AR308" s="186"/>
      <c r="AS308" s="191"/>
      <c r="AV308" s="3">
        <v>1</v>
      </c>
    </row>
    <row r="309" spans="2:48" ht="21" customHeight="1">
      <c r="B309" s="1610" cm="1">
        <f t="array" ref="B309">SUMPRODUCT(LEN(C309:K309))</f>
        <v>0</v>
      </c>
      <c r="C309" s="1810"/>
      <c r="D309" s="1810"/>
      <c r="E309" s="1810"/>
      <c r="F309" s="1810"/>
      <c r="G309" s="1810"/>
      <c r="H309" s="1810"/>
      <c r="I309" s="1810"/>
      <c r="J309" s="1810"/>
      <c r="K309" s="1810"/>
      <c r="L309" s="2126" t="str" cm="1">
        <f t="array" ref="L309">IF(B297&lt;=0,0,ROUNDUP(SUMPRODUCT(LEN(C309:K309))/B297,0))&amp;" ligne(s)"</f>
        <v>0 ligne(s)</v>
      </c>
      <c r="N309" s="103" t="str">
        <f t="shared" si="51"/>
        <v>A</v>
      </c>
      <c r="O309" s="31" t="str">
        <f>O299</f>
        <v>B BEIGNETS D'ACACIA | pâtisserie--Beignets| Auteur &gt; Au Féminin.com</v>
      </c>
      <c r="P309" s="32">
        <f>P299</f>
        <v>4</v>
      </c>
      <c r="Q309" s="31" t="str">
        <f>Q299</f>
        <v>personnes</v>
      </c>
      <c r="R309" s="33" t="str">
        <f>R299</f>
        <v>Recette mère ► Beignets d'acacia</v>
      </c>
      <c r="S309" s="89">
        <v>3</v>
      </c>
      <c r="T309" s="108" t="s">
        <v>3055</v>
      </c>
      <c r="U309" s="1363" t="str">
        <f t="shared" si="49"/>
        <v>de</v>
      </c>
      <c r="V309" s="92">
        <v>30</v>
      </c>
      <c r="W309" s="104" t="s">
        <v>100</v>
      </c>
      <c r="X309" s="130">
        <v>1</v>
      </c>
      <c r="Y309" s="1813" t="str">
        <f>ROWS(Y303:Y309)&amp;" ►"</f>
        <v>7 ►</v>
      </c>
      <c r="Z309" s="1580" t="s">
        <v>3061</v>
      </c>
      <c r="AA309" s="95">
        <f>IF(AC314=0,0,(AC309/AC314)*AB302*1000)</f>
        <v>126.76056338028168</v>
      </c>
      <c r="AB309" s="105">
        <f>IF(AC314=0, 0, (S309*X309)/(AC314*AB302))</f>
        <v>4.2253521126760569</v>
      </c>
      <c r="AC309" s="97" cm="1">
        <f t="array" ref="AC309">IFERROR(_xlfn.XLOOKUP(UPPER(TRIM(W309)),UPPER(TRIM(S315:AG315)),S316:AG316,_xlfn.XLOOKUP(UPPER(TRIM(W309)),UPPER(TRIM(S317:AG317)),S318:AG318,0))*V309*IF(S309&gt;0,S309,1),0)</f>
        <v>0.09</v>
      </c>
      <c r="AD309" s="106">
        <f>IF(AF298&lt;&gt;0,S309*X309*X298,0)</f>
        <v>37.5</v>
      </c>
      <c r="AE309" s="1747" t="str">
        <f t="shared" si="50"/>
        <v>blancs</v>
      </c>
      <c r="AF309" s="99">
        <f>IF(OR(ISBLANK(AF298),AF298=0),0,AC309*X309*X298)</f>
        <v>1.125</v>
      </c>
      <c r="AG309" s="107" t="str">
        <f>IF(W309="","",IF(COUNTIF(Z315:AG315,SUBSTITUTE(TRIM(W309)," (s)",""))+COUNTIF(Z317:AG317,SUBSTITUTE(TRIM(W309)," (s)",""))&gt;0,IF(ROUND(AF309,3)&gt;=1,ROUND(AF309,3)&amp;" L",MAX(1,ROUND(AF309*100,0))&amp;" cl"),IF(COUNTIF(S315:X315,SUBSTITUTE(TRIM(W309)," (s)",""))+COUNTIF(S317:X317,SUBSTITUTE(TRIM(W309)," (s)",""))&gt;0,IF(ROUND(AF309,3)&gt;=1,ROUND(AF309,3)&amp;" Kg",MAX(1,ROUND(AF309*1000,0))&amp;" g"),"")))</f>
        <v>1.125 Kg</v>
      </c>
      <c r="AJ309" s="103" t="str">
        <f t="shared" si="45"/>
        <v>A</v>
      </c>
      <c r="AK309" s="1616"/>
      <c r="AL309" s="1333" t="s">
        <v>21</v>
      </c>
      <c r="AM309" s="394" t="str">
        <f t="shared" si="47"/>
        <v>Poitrine fraîche</v>
      </c>
      <c r="AN309" s="186"/>
      <c r="AO309" s="186" t="s">
        <v>8899</v>
      </c>
      <c r="AP309" s="186"/>
      <c r="AQ309" s="186"/>
      <c r="AR309" s="186"/>
      <c r="AS309" s="191"/>
      <c r="AV309" s="3">
        <v>1</v>
      </c>
    </row>
    <row r="310" spans="2:48" ht="21" customHeight="1">
      <c r="B310" s="1610" cm="1">
        <f t="array" ref="B310">SUMPRODUCT(LEN(C310:K310))</f>
        <v>0</v>
      </c>
      <c r="C310" s="1810"/>
      <c r="D310" s="1810"/>
      <c r="E310" s="1810"/>
      <c r="F310" s="1810"/>
      <c r="G310" s="1810"/>
      <c r="H310" s="1810"/>
      <c r="I310" s="1810"/>
      <c r="J310" s="1810"/>
      <c r="K310" s="1810"/>
      <c r="L310" s="2126" t="str" cm="1">
        <f t="array" ref="L310">IF(B297&lt;=0,0,ROUNDUP(SUMPRODUCT(LEN(C310:K310))/B297,0))&amp;" ligne(s)"</f>
        <v>0 ligne(s)</v>
      </c>
      <c r="N310" s="103" t="str">
        <f t="shared" si="51"/>
        <v>A</v>
      </c>
      <c r="O310" s="31" t="str">
        <f>O299</f>
        <v>B BEIGNETS D'ACACIA | pâtisserie--Beignets| Auteur &gt; Au Féminin.com</v>
      </c>
      <c r="P310" s="32">
        <f>P299</f>
        <v>4</v>
      </c>
      <c r="Q310" s="31" t="str">
        <f>Q299</f>
        <v>personnes</v>
      </c>
      <c r="R310" s="33" t="str">
        <f>R299</f>
        <v>Recette mère ► Beignets d'acacia</v>
      </c>
      <c r="S310" s="89"/>
      <c r="T310" s="108"/>
      <c r="U310" s="91" t="str">
        <f t="shared" si="49"/>
        <v/>
      </c>
      <c r="V310" s="1710">
        <v>0.25</v>
      </c>
      <c r="W310" s="93" t="s">
        <v>0</v>
      </c>
      <c r="X310" s="130">
        <v>1</v>
      </c>
      <c r="Y310" s="1813" t="str">
        <f>ROWS(Y303:Y310)&amp;" ►"</f>
        <v>8 ►</v>
      </c>
      <c r="Z310" s="1580" t="s">
        <v>8366</v>
      </c>
      <c r="AA310" s="95">
        <f>IF(AC314=0,0,(AC310/AC314)*AB302*1000)</f>
        <v>352.11267605633805</v>
      </c>
      <c r="AB310" s="105">
        <f>IF(AC314=0, 0, (S310*X310)/(AC314*AB302))</f>
        <v>0</v>
      </c>
      <c r="AC310" s="97" cm="1">
        <f t="array" ref="AC310">IFERROR(_xlfn.XLOOKUP(UPPER(TRIM(W310)),UPPER(TRIM(S315:AG315)),S316:AG316,_xlfn.XLOOKUP(UPPER(TRIM(W310)),UPPER(TRIM(S317:AG317)),S318:AG318,0))*V310*IF(S310&gt;0,S310,1),0)</f>
        <v>0.25</v>
      </c>
      <c r="AD310" s="110">
        <f>IF(AF298&lt;&gt;0,S310*X310*X298,0)</f>
        <v>0</v>
      </c>
      <c r="AE310" s="1748">
        <f t="shared" si="50"/>
        <v>0</v>
      </c>
      <c r="AF310" s="99">
        <f>IF(OR(ISBLANK(AF298),AF298=0),0,AC310*X310*X298)</f>
        <v>3.125</v>
      </c>
      <c r="AG310" s="129" t="str">
        <f>IF(W310="","",IF(COUNTIF(Z315:AG315,SUBSTITUTE(TRIM(W310)," (s)",""))+COUNTIF(Z317:AG317,SUBSTITUTE(TRIM(W310)," (s)",""))&gt;0,IF(ROUND(AF310,3)&gt;=1,ROUND(AF310,3)&amp;" L",MAX(1,ROUND(AF310*100,0))&amp;" cl"),IF(COUNTIF(S315:X315,SUBSTITUTE(TRIM(W310)," (s)",""))+COUNTIF(S317:X317,SUBSTITUTE(TRIM(W310)," (s)",""))&gt;0,IF(ROUND(AF310,3)&gt;=1,ROUND(AF310,3)&amp;" Kg",MAX(1,ROUND(AF310*1000,0))&amp;" g"),"")))</f>
        <v>3.125 L</v>
      </c>
      <c r="AJ310" s="103" t="str">
        <f t="shared" si="45"/>
        <v>A</v>
      </c>
      <c r="AK310" s="1616"/>
      <c r="AL310" s="1333" t="s">
        <v>21</v>
      </c>
      <c r="AM310" s="394" t="str">
        <f t="shared" si="47"/>
        <v>Saucisson à l’ail</v>
      </c>
      <c r="AN310" s="186"/>
      <c r="AO310" s="186" t="s">
        <v>8900</v>
      </c>
      <c r="AP310" s="186"/>
      <c r="AQ310" s="186"/>
      <c r="AR310" s="186"/>
      <c r="AS310" s="191"/>
      <c r="AV310" s="3">
        <v>1</v>
      </c>
    </row>
    <row r="311" spans="2:48" ht="21" customHeight="1">
      <c r="B311" s="1610" cm="1">
        <f t="array" ref="B311">SUMPRODUCT(LEN(C311:K311))</f>
        <v>0</v>
      </c>
      <c r="C311" s="1810"/>
      <c r="D311" s="1810"/>
      <c r="E311" s="1810"/>
      <c r="F311" s="1810"/>
      <c r="G311" s="1810"/>
      <c r="H311" s="1810"/>
      <c r="I311" s="1810"/>
      <c r="J311" s="1810"/>
      <c r="K311" s="1810"/>
      <c r="L311" s="2126" t="str" cm="1">
        <f t="array" ref="L311">IF(B297&lt;=0,0,ROUNDUP(SUMPRODUCT(LEN(C311:K311))/B297,0))&amp;" ligne(s)"</f>
        <v>0 ligne(s)</v>
      </c>
      <c r="N311" s="103" t="str">
        <f t="shared" si="51"/>
        <v>►</v>
      </c>
      <c r="O311" s="31" t="str">
        <f>O299</f>
        <v>B BEIGNETS D'ACACIA | pâtisserie--Beignets| Auteur &gt; Au Féminin.com</v>
      </c>
      <c r="P311" s="32">
        <f>P299</f>
        <v>4</v>
      </c>
      <c r="Q311" s="31" t="str">
        <f>Q299</f>
        <v>personnes</v>
      </c>
      <c r="R311" s="33" t="str">
        <f>R299</f>
        <v>Recette mère ► Beignets d'acacia</v>
      </c>
      <c r="S311" s="89"/>
      <c r="T311" s="108"/>
      <c r="U311" s="91" t="str">
        <f t="shared" ref="U311:U313" si="52">IF(OR(ISTEXT(S311), S311&lt;=0, V311&lt;=0), "", "de")</f>
        <v/>
      </c>
      <c r="V311" s="92"/>
      <c r="W311" s="128"/>
      <c r="X311" s="130">
        <v>1</v>
      </c>
      <c r="Y311" s="1813" t="str">
        <f>ROWS(Y303:Y311)&amp;" ►"</f>
        <v>9 ►</v>
      </c>
      <c r="Z311" s="1580"/>
      <c r="AA311" s="95">
        <f>IF(AC314=0,0,(AC311/AC314)*AB302*1000)</f>
        <v>0</v>
      </c>
      <c r="AB311" s="105">
        <f>IF(AC314=0, 0, (S311*X311)/(AC314*AB302))</f>
        <v>0</v>
      </c>
      <c r="AC311" s="97" cm="1">
        <f t="array" ref="AC311">IFERROR(_xlfn.XLOOKUP(UPPER(TRIM(W311)),UPPER(TRIM(S315:AG315)),S316:AG316,_xlfn.XLOOKUP(UPPER(TRIM(W311)),UPPER(TRIM(S317:AG317)),S318:AG318,0))*V311*IF(S311&gt;0,S311,1),0)</f>
        <v>0</v>
      </c>
      <c r="AD311" s="106">
        <f>IF(AF298&lt;&gt;0,S311*X311*X298,0)</f>
        <v>0</v>
      </c>
      <c r="AE311" s="1747">
        <f t="shared" si="50"/>
        <v>0</v>
      </c>
      <c r="AF311" s="99">
        <f>IF(OR(ISBLANK(AF298),AF298=0),0,AC311*X311*X298)</f>
        <v>0</v>
      </c>
      <c r="AG311" s="107" t="str">
        <f>IF(W311="","",IF(COUNTIF(Z315:AG315,SUBSTITUTE(TRIM(W311)," (s)",""))+COUNTIF(Z317:AG317,SUBSTITUTE(TRIM(W311)," (s)",""))&gt;0,IF(ROUND(AF311,3)&gt;=1,ROUND(AF311,3)&amp;" L",MAX(1,ROUND(AF311*100,0))&amp;" cl"),IF(COUNTIF(S315:X315,SUBSTITUTE(TRIM(W311)," (s)",""))+COUNTIF(S317:X317,SUBSTITUTE(TRIM(W311)," (s)",""))&gt;0,IF(ROUND(AF311,3)&gt;=1,ROUND(AF311,3)&amp;" Kg",MAX(1,ROUND(AF311*1000,0))&amp;" g"),"")))</f>
        <v/>
      </c>
      <c r="AJ311" s="103" t="str">
        <f t="shared" si="45"/>
        <v>►</v>
      </c>
      <c r="AK311" s="1616"/>
      <c r="AL311" s="1333" t="s">
        <v>21</v>
      </c>
      <c r="AM311" s="394" t="str">
        <f t="shared" si="47"/>
        <v>ou saucisse de Toulouse</v>
      </c>
      <c r="AN311" s="186"/>
      <c r="AO311" s="186" t="s">
        <v>8901</v>
      </c>
      <c r="AP311" s="186"/>
      <c r="AQ311" s="186"/>
      <c r="AR311" s="186"/>
      <c r="AS311" s="191"/>
      <c r="AV311" s="3">
        <v>1</v>
      </c>
    </row>
    <row r="312" spans="2:48" ht="21" customHeight="1">
      <c r="B312" s="1610" cm="1">
        <f t="array" ref="B312">SUMPRODUCT(LEN(C312:K312))</f>
        <v>0</v>
      </c>
      <c r="C312" s="1810"/>
      <c r="D312" s="1810"/>
      <c r="E312" s="1810"/>
      <c r="F312" s="1810"/>
      <c r="G312" s="1810"/>
      <c r="H312" s="1810"/>
      <c r="I312" s="1810"/>
      <c r="J312" s="1810"/>
      <c r="K312" s="1810"/>
      <c r="L312" s="2126" t="str" cm="1">
        <f t="array" ref="L312">IF(B297&lt;=0,0,ROUNDUP(SUMPRODUCT(LEN(C312:K312))/B297,0))&amp;" ligne(s)"</f>
        <v>0 ligne(s)</v>
      </c>
      <c r="N312" s="103" t="str">
        <f t="shared" si="51"/>
        <v>►</v>
      </c>
      <c r="O312" s="31" t="str">
        <f>O299</f>
        <v>B BEIGNETS D'ACACIA | pâtisserie--Beignets| Auteur &gt; Au Féminin.com</v>
      </c>
      <c r="P312" s="32">
        <f>P299</f>
        <v>4</v>
      </c>
      <c r="Q312" s="31" t="str">
        <f>Q299</f>
        <v>personnes</v>
      </c>
      <c r="R312" s="33" t="str">
        <f>R299</f>
        <v>Recette mère ► Beignets d'acacia</v>
      </c>
      <c r="S312" s="89"/>
      <c r="T312" s="108"/>
      <c r="U312" s="91" t="str">
        <f t="shared" si="52"/>
        <v/>
      </c>
      <c r="V312" s="92"/>
      <c r="W312" s="128"/>
      <c r="X312" s="130">
        <v>1</v>
      </c>
      <c r="Y312" s="1813" t="str">
        <f>ROWS(Y303:Y312)&amp;" ►"</f>
        <v>10 ►</v>
      </c>
      <c r="Z312" s="1580"/>
      <c r="AA312" s="95">
        <f>IF(AC314=0,0,(AC312/AC314)*AB302*1000)</f>
        <v>0</v>
      </c>
      <c r="AB312" s="105">
        <f>IF(AC314=0, 0, (S312*X312)/(AC314*AB302))</f>
        <v>0</v>
      </c>
      <c r="AC312" s="97" cm="1">
        <f t="array" ref="AC312">IFERROR(_xlfn.XLOOKUP(UPPER(TRIM(W312)),UPPER(TRIM(S315:AG315)),S316:AG316,_xlfn.XLOOKUP(UPPER(TRIM(W312)),UPPER(TRIM(S317:AG317)),S318:AG318,0))*V312*IF(S312&gt;0,S312,1),0)</f>
        <v>0</v>
      </c>
      <c r="AD312" s="110">
        <f>IF(AF298&lt;&gt;0,S312*X312*X298,0)</f>
        <v>0</v>
      </c>
      <c r="AE312" s="1748">
        <f t="shared" si="50"/>
        <v>0</v>
      </c>
      <c r="AF312" s="99">
        <f>IF(OR(ISBLANK(AF298),AF298=0),0,AC312*X312*X298)</f>
        <v>0</v>
      </c>
      <c r="AG312" s="129" t="str">
        <f>IF(W312="","",IF(COUNTIF(Z315:AG315,SUBSTITUTE(TRIM(W312)," (s)",""))+COUNTIF(Z317:AG317,SUBSTITUTE(TRIM(W312)," (s)",""))&gt;0,IF(ROUND(AF312,3)&gt;=1,ROUND(AF312,3)&amp;" L",MAX(1,ROUND(AF312*100,0))&amp;" cl"),IF(COUNTIF(S315:X315,SUBSTITUTE(TRIM(W312)," (s)",""))+COUNTIF(S317:X317,SUBSTITUTE(TRIM(W312)," (s)",""))&gt;0,IF(ROUND(AF312,3)&gt;=1,ROUND(AF312,3)&amp;" Kg",MAX(1,ROUND(AF312*1000,0))&amp;" g"),"")))</f>
        <v/>
      </c>
      <c r="AJ312" s="103" t="str">
        <f t="shared" si="45"/>
        <v>►</v>
      </c>
      <c r="AK312" s="1616"/>
      <c r="AL312" s="1333" t="s">
        <v>21</v>
      </c>
      <c r="AM312" s="394" t="str">
        <f t="shared" si="47"/>
        <v>Oignons</v>
      </c>
      <c r="AN312" s="186"/>
      <c r="AO312" s="186" t="s">
        <v>8886</v>
      </c>
      <c r="AP312" s="186"/>
      <c r="AQ312" s="186"/>
      <c r="AR312" s="186"/>
      <c r="AS312" s="191"/>
      <c r="AV312" s="3">
        <v>1</v>
      </c>
    </row>
    <row r="313" spans="2:48" ht="21" customHeight="1">
      <c r="B313" s="1610" cm="1">
        <f t="array" ref="B313">SUMPRODUCT(LEN(C313:K313))</f>
        <v>0</v>
      </c>
      <c r="C313" s="1810"/>
      <c r="D313" s="1810"/>
      <c r="E313" s="1810"/>
      <c r="F313" s="1810"/>
      <c r="G313" s="1810"/>
      <c r="H313" s="1810"/>
      <c r="I313" s="1810"/>
      <c r="J313" s="1810"/>
      <c r="K313" s="1810"/>
      <c r="L313" s="2126" t="str" cm="1">
        <f t="array" ref="L313">IF(B297&lt;=0,0,ROUNDUP(SUMPRODUCT(LEN(C313:K313))/B297,0))&amp;" ligne(s)"</f>
        <v>0 ligne(s)</v>
      </c>
      <c r="N313" s="1704" t="s">
        <v>10</v>
      </c>
      <c r="O313" s="31" t="str">
        <f>O299</f>
        <v>B BEIGNETS D'ACACIA | pâtisserie--Beignets| Auteur &gt; Au Féminin.com</v>
      </c>
      <c r="P313" s="32">
        <f>P299</f>
        <v>4</v>
      </c>
      <c r="Q313" s="31" t="str">
        <f>Q299</f>
        <v>personnes</v>
      </c>
      <c r="R313" s="33" t="str">
        <f>R299</f>
        <v>Recette mère ► Beignets d'acacia</v>
      </c>
      <c r="S313" s="1198"/>
      <c r="T313" s="1199"/>
      <c r="U313" s="91" t="str">
        <f t="shared" si="52"/>
        <v/>
      </c>
      <c r="V313" s="1200"/>
      <c r="W313" s="128"/>
      <c r="X313" s="1201">
        <v>1</v>
      </c>
      <c r="Y313" s="1813" t="str">
        <f>ROWS(Y303:Y313)&amp;" ►"</f>
        <v>11 ►</v>
      </c>
      <c r="Z313" s="1580"/>
      <c r="AA313" s="95">
        <f>IF(AC314=0,0,(AC313/AC314)*AB302*1000)</f>
        <v>0</v>
      </c>
      <c r="AB313" s="105">
        <f>IF(AC314=0, 0, (S313*X313)/(AC314*AB302))</f>
        <v>0</v>
      </c>
      <c r="AC313" s="97" cm="1">
        <f t="array" ref="AC313">IFERROR(_xlfn.XLOOKUP(UPPER(TRIM(W313)),UPPER(TRIM(S315:AG315)),S316:AG316,_xlfn.XLOOKUP(UPPER(TRIM(W313)),UPPER(TRIM(S317:AG317)),S318:AG318,0))*V313*IF(S313&gt;0,S313,1),0)</f>
        <v>0</v>
      </c>
      <c r="AD313" s="110">
        <f>IF(AF298&lt;&gt;0,S313*X313*X298,0)</f>
        <v>0</v>
      </c>
      <c r="AE313" s="1748">
        <f t="shared" si="50"/>
        <v>0</v>
      </c>
      <c r="AF313" s="99">
        <f>IF(OR(ISBLANK(AF298),AF298=0),0,AC313*X313*X298)</f>
        <v>0</v>
      </c>
      <c r="AG313" s="129" t="str">
        <f>IF(W313="","",IF(COUNTIF(Z315:AG315,SUBSTITUTE(TRIM(W313)," (s)",""))+COUNTIF(Z317:AG317,SUBSTITUTE(TRIM(W313)," (s)",""))&gt;0,IF(ROUND(AF313,3)&gt;=1,ROUND(AF313,3)&amp;" L",MAX(1,ROUND(AF313*100,0))&amp;" cl"),IF(COUNTIF(S315:X315,SUBSTITUTE(TRIM(W313)," (s)",""))+COUNTIF(S317:X317,SUBSTITUTE(TRIM(W313)," (s)",""))&gt;0,IF(ROUND(AF313,3)&gt;=1,ROUND(AF313,3)&amp;" Kg",MAX(1,ROUND(AF313*1000,0))&amp;" g"),"")))</f>
        <v/>
      </c>
      <c r="AJ313" s="1704" t="str">
        <f t="shared" si="45"/>
        <v>A</v>
      </c>
      <c r="AK313" s="1616"/>
      <c r="AL313" s="1333" t="s">
        <v>21</v>
      </c>
      <c r="AM313" s="394" t="str">
        <f t="shared" si="47"/>
        <v>Dés de tomates surgelés</v>
      </c>
      <c r="AN313" s="186"/>
      <c r="AO313" s="186" t="s">
        <v>8902</v>
      </c>
      <c r="AP313" s="186"/>
      <c r="AQ313" s="186"/>
      <c r="AR313" s="186"/>
      <c r="AS313" s="191"/>
      <c r="AV313" s="3">
        <v>1</v>
      </c>
    </row>
    <row r="314" spans="2:48" ht="21" customHeight="1">
      <c r="B314" s="1610" cm="1">
        <f t="array" ref="B314">SUMPRODUCT(LEN(C314:K314))</f>
        <v>0</v>
      </c>
      <c r="C314" s="1810"/>
      <c r="D314" s="1810"/>
      <c r="E314" s="1810"/>
      <c r="F314" s="1810"/>
      <c r="G314" s="1810"/>
      <c r="H314" s="1810"/>
      <c r="I314" s="1810"/>
      <c r="J314" s="1810"/>
      <c r="K314" s="1810"/>
      <c r="L314" s="2126" t="str" cm="1">
        <f t="array" ref="L314">IF(B297&lt;=0,0,ROUNDUP(SUMPRODUCT(LEN(C314:K314))/B297,0))&amp;" ligne(s)"</f>
        <v>0 ligne(s)</v>
      </c>
      <c r="N314" s="1704" t="s">
        <v>10</v>
      </c>
      <c r="O314" s="31" t="str">
        <f>O299</f>
        <v>B BEIGNETS D'ACACIA | pâtisserie--Beignets| Auteur &gt; Au Féminin.com</v>
      </c>
      <c r="P314" s="32">
        <f>P299</f>
        <v>4</v>
      </c>
      <c r="Q314" s="31" t="str">
        <f>Q299</f>
        <v>personnes</v>
      </c>
      <c r="R314" s="33" t="str">
        <f>R299</f>
        <v>Recette mère ► Beignets d'acacia</v>
      </c>
      <c r="S314" s="680" t="s">
        <v>8411</v>
      </c>
      <c r="T314" s="474"/>
      <c r="U314" s="474"/>
      <c r="V314" s="474"/>
      <c r="W314" s="474"/>
      <c r="X314" s="681"/>
      <c r="Y314" s="681"/>
      <c r="Z314" s="1984" t="s">
        <v>8652</v>
      </c>
      <c r="AA314" s="682"/>
      <c r="AB314" s="682"/>
      <c r="AC314" s="1197">
        <f>SUM(AC303:AC313)</f>
        <v>0.71</v>
      </c>
      <c r="AD314" s="683"/>
      <c r="AE314" s="683" t="str">
        <f>"Total " &amp; AF300&amp;" &gt;"</f>
        <v>Total Col.19 &gt;</v>
      </c>
      <c r="AF314" s="1835">
        <f>SUM(AF303:AF313)</f>
        <v>8.875</v>
      </c>
      <c r="AG314" s="684"/>
      <c r="AJ314" s="1704" t="str">
        <f t="shared" si="45"/>
        <v>A</v>
      </c>
      <c r="AK314" s="1616"/>
      <c r="AL314" s="1333" t="s">
        <v>21</v>
      </c>
      <c r="AM314" s="394" t="str">
        <f t="shared" si="47"/>
        <v>Tomate concentrée</v>
      </c>
      <c r="AN314" s="186"/>
      <c r="AO314" s="186" t="s">
        <v>8903</v>
      </c>
      <c r="AP314" s="186"/>
      <c r="AQ314" s="186"/>
      <c r="AR314" s="186"/>
      <c r="AS314" s="191"/>
      <c r="AV314" s="3">
        <v>1</v>
      </c>
    </row>
    <row r="315" spans="2:48" ht="21" customHeight="1">
      <c r="B315" s="1610" cm="1">
        <f t="array" ref="B315">SUMPRODUCT(LEN(C315:K315))</f>
        <v>0</v>
      </c>
      <c r="C315" s="1810"/>
      <c r="D315" s="1810"/>
      <c r="E315" s="1810"/>
      <c r="F315" s="1810"/>
      <c r="G315" s="1810"/>
      <c r="H315" s="1810"/>
      <c r="I315" s="1810"/>
      <c r="J315" s="1810"/>
      <c r="K315" s="1810"/>
      <c r="L315" s="2126" t="str" cm="1">
        <f t="array" ref="L315">IF(B297&lt;=0,0,ROUNDUP(SUMPRODUCT(LEN(C315:K315))/B297,0))&amp;" ligne(s)"</f>
        <v>0 ligne(s)</v>
      </c>
      <c r="N315" s="1704" t="s">
        <v>10</v>
      </c>
      <c r="O315" s="31" t="str">
        <f>O299</f>
        <v>B BEIGNETS D'ACACIA | pâtisserie--Beignets| Auteur &gt; Au Féminin.com</v>
      </c>
      <c r="P315" s="32">
        <f>P299</f>
        <v>4</v>
      </c>
      <c r="Q315" s="31" t="str">
        <f>Q299</f>
        <v>personnes</v>
      </c>
      <c r="R315" s="33" t="str">
        <f>R299</f>
        <v>Recette mère ► Beignets d'acacia</v>
      </c>
      <c r="S315" s="142" t="s">
        <v>140</v>
      </c>
      <c r="T315" s="104" t="s">
        <v>100</v>
      </c>
      <c r="U315" s="143" t="s">
        <v>141</v>
      </c>
      <c r="V315" s="144" t="s">
        <v>142</v>
      </c>
      <c r="W315" s="118" t="s">
        <v>143</v>
      </c>
      <c r="X315" s="118" t="s">
        <v>109</v>
      </c>
      <c r="Y315" s="143" t="s">
        <v>141</v>
      </c>
      <c r="Z315" s="93" t="s">
        <v>0</v>
      </c>
      <c r="AA315" s="93" t="s">
        <v>97</v>
      </c>
      <c r="AB315" s="93" t="s">
        <v>144</v>
      </c>
      <c r="AC315" s="93" t="s">
        <v>145</v>
      </c>
      <c r="AD315" s="109" t="s">
        <v>104</v>
      </c>
      <c r="AE315" s="109" t="s">
        <v>359</v>
      </c>
      <c r="AF315" s="335" t="s">
        <v>146</v>
      </c>
      <c r="AG315" s="109" t="s">
        <v>147</v>
      </c>
      <c r="AJ315" s="1704" t="str">
        <f t="shared" si="45"/>
        <v>A</v>
      </c>
      <c r="AK315" s="1616"/>
      <c r="AL315" s="1333" t="s">
        <v>21</v>
      </c>
      <c r="AM315" s="394" t="str">
        <f t="shared" si="47"/>
        <v>Ail haché surgelé</v>
      </c>
      <c r="AN315" s="186"/>
      <c r="AO315" s="186" t="s">
        <v>8904</v>
      </c>
      <c r="AP315" s="186"/>
      <c r="AQ315" s="186"/>
      <c r="AR315" s="186"/>
      <c r="AS315" s="191"/>
      <c r="AV315" s="3">
        <v>1</v>
      </c>
    </row>
    <row r="316" spans="2:48" ht="21" customHeight="1">
      <c r="B316" s="1610" cm="1">
        <f t="array" ref="B316">SUMPRODUCT(LEN(C316:K316))</f>
        <v>0</v>
      </c>
      <c r="C316" s="1810"/>
      <c r="D316" s="1810"/>
      <c r="E316" s="1810"/>
      <c r="F316" s="1810"/>
      <c r="G316" s="1810"/>
      <c r="H316" s="1810"/>
      <c r="I316" s="1810"/>
      <c r="J316" s="1810"/>
      <c r="K316" s="1810"/>
      <c r="L316" s="2126" t="str" cm="1">
        <f t="array" ref="L316">IF(B297&lt;=0,0,ROUNDUP(SUMPRODUCT(LEN(C316:K316))/B297,0))&amp;" ligne(s)"</f>
        <v>0 ligne(s)</v>
      </c>
      <c r="N316" s="1704" t="s">
        <v>10</v>
      </c>
      <c r="O316" s="31" t="str">
        <f>O299</f>
        <v>B BEIGNETS D'ACACIA | pâtisserie--Beignets| Auteur &gt; Au Féminin.com</v>
      </c>
      <c r="P316" s="32">
        <f>P299</f>
        <v>4</v>
      </c>
      <c r="Q316" s="31" t="str">
        <f>Q299</f>
        <v>personnes</v>
      </c>
      <c r="R316" s="33" t="str">
        <f>R299</f>
        <v>Recette mère ► Beignets d'acacia</v>
      </c>
      <c r="S316" s="685">
        <v>1</v>
      </c>
      <c r="T316" s="686">
        <v>1E-3</v>
      </c>
      <c r="U316" s="687">
        <v>0</v>
      </c>
      <c r="V316" s="686">
        <v>0.25</v>
      </c>
      <c r="W316" s="686">
        <v>0.33332999999999996</v>
      </c>
      <c r="X316" s="686">
        <v>0.5</v>
      </c>
      <c r="Y316" s="687">
        <v>0</v>
      </c>
      <c r="Z316" s="688">
        <v>1</v>
      </c>
      <c r="AA316" s="688">
        <v>0.1</v>
      </c>
      <c r="AB316" s="688">
        <v>0.01</v>
      </c>
      <c r="AC316" s="688">
        <v>1E-3</v>
      </c>
      <c r="AD316" s="688">
        <v>0.5</v>
      </c>
      <c r="AE316" s="688">
        <v>0.25</v>
      </c>
      <c r="AF316" s="688">
        <v>0.33300000000000002</v>
      </c>
      <c r="AG316" s="1756">
        <v>0.2</v>
      </c>
      <c r="AJ316" s="1704" t="str">
        <f t="shared" si="45"/>
        <v>A</v>
      </c>
      <c r="AK316" s="1616"/>
      <c r="AL316" s="1333" t="s">
        <v>21</v>
      </c>
      <c r="AM316" s="394" t="str">
        <f t="shared" si="47"/>
        <v>Herbes de Provence</v>
      </c>
      <c r="AN316" s="186"/>
      <c r="AO316" s="186" t="s">
        <v>8905</v>
      </c>
      <c r="AP316" s="186"/>
      <c r="AQ316" s="186"/>
      <c r="AR316" s="186"/>
      <c r="AS316" s="191"/>
      <c r="AV316" s="3">
        <v>1</v>
      </c>
    </row>
    <row r="317" spans="2:48" ht="21" customHeight="1">
      <c r="B317" s="1610" cm="1">
        <f t="array" ref="B317">SUMPRODUCT(LEN(C317:K317))</f>
        <v>0</v>
      </c>
      <c r="C317" s="1810"/>
      <c r="D317" s="1810"/>
      <c r="E317" s="1810"/>
      <c r="F317" s="1810"/>
      <c r="G317" s="1810"/>
      <c r="H317" s="1810"/>
      <c r="I317" s="1810"/>
      <c r="J317" s="1810"/>
      <c r="K317" s="1810"/>
      <c r="L317" s="2126" t="str" cm="1">
        <f t="array" ref="L317">IF(B297&lt;=0,0,ROUNDUP(SUMPRODUCT(LEN(C317:K317))/B297,0))&amp;" ligne(s)"</f>
        <v>0 ligne(s)</v>
      </c>
      <c r="N317" s="1704" t="s">
        <v>10</v>
      </c>
      <c r="O317" s="31" t="str">
        <f>O299</f>
        <v>B BEIGNETS D'ACACIA | pâtisserie--Beignets| Auteur &gt; Au Féminin.com</v>
      </c>
      <c r="P317" s="32">
        <f>P299</f>
        <v>4</v>
      </c>
      <c r="Q317" s="31" t="str">
        <f>Q299</f>
        <v>personnes</v>
      </c>
      <c r="R317" s="33" t="str">
        <f>R299</f>
        <v>Recette mère ► Beignets d'acacia</v>
      </c>
      <c r="S317" s="121" t="s">
        <v>155</v>
      </c>
      <c r="T317" s="121" t="s">
        <v>156</v>
      </c>
      <c r="U317" s="143" t="s">
        <v>141</v>
      </c>
      <c r="V317" s="121" t="s">
        <v>110</v>
      </c>
      <c r="W317" s="121" t="s">
        <v>157</v>
      </c>
      <c r="X317" s="121" t="s">
        <v>158</v>
      </c>
      <c r="Y317" s="143" t="s">
        <v>141</v>
      </c>
      <c r="Z317" s="125" t="s">
        <v>115</v>
      </c>
      <c r="AA317" s="155" t="s">
        <v>159</v>
      </c>
      <c r="AB317" s="155" t="s">
        <v>160</v>
      </c>
      <c r="AC317" s="109" t="s">
        <v>161</v>
      </c>
      <c r="AD317" s="109" t="s">
        <v>162</v>
      </c>
      <c r="AE317" s="109" t="s">
        <v>105</v>
      </c>
      <c r="AF317" s="1758" t="s">
        <v>1689</v>
      </c>
      <c r="AG317" s="697" t="s">
        <v>163</v>
      </c>
      <c r="AJ317" s="1704" t="str">
        <f t="shared" si="45"/>
        <v>A</v>
      </c>
      <c r="AK317" s="1616"/>
      <c r="AL317" s="1333" t="s">
        <v>21</v>
      </c>
      <c r="AM317" s="394" t="str">
        <f t="shared" si="47"/>
        <v>Sel</v>
      </c>
      <c r="AN317" s="186"/>
      <c r="AO317" s="186" t="s">
        <v>8906</v>
      </c>
      <c r="AP317" s="186"/>
      <c r="AQ317" s="186"/>
      <c r="AR317" s="186"/>
      <c r="AS317" s="191"/>
      <c r="AV317" s="3">
        <v>1</v>
      </c>
    </row>
    <row r="318" spans="2:48" ht="21" customHeight="1">
      <c r="B318" s="1610" cm="1">
        <f t="array" ref="B318">SUMPRODUCT(LEN(C318:K318))</f>
        <v>0</v>
      </c>
      <c r="C318" s="1810"/>
      <c r="D318" s="1810"/>
      <c r="E318" s="1810"/>
      <c r="F318" s="1810"/>
      <c r="G318" s="1810"/>
      <c r="H318" s="1810"/>
      <c r="I318" s="1810"/>
      <c r="J318" s="1810"/>
      <c r="K318" s="1810"/>
      <c r="L318" s="2126" t="str" cm="1">
        <f t="array" ref="L318">IF(B297&lt;=0,0,ROUNDUP(SUMPRODUCT(LEN(C318:K318))/B297,0))&amp;" ligne(s)"</f>
        <v>0 ligne(s)</v>
      </c>
      <c r="N318" s="1704" t="s">
        <v>10</v>
      </c>
      <c r="O318" s="31" t="str">
        <f>O299</f>
        <v>B BEIGNETS D'ACACIA | pâtisserie--Beignets| Auteur &gt; Au Féminin.com</v>
      </c>
      <c r="P318" s="32">
        <f>P299</f>
        <v>4</v>
      </c>
      <c r="Q318" s="31" t="str">
        <f>Q299</f>
        <v>personnes</v>
      </c>
      <c r="R318" s="33" t="str">
        <f>R299</f>
        <v>Recette mère ► Beignets d'acacia</v>
      </c>
      <c r="S318" s="685">
        <v>2.835E-2</v>
      </c>
      <c r="T318" s="686">
        <v>0.13</v>
      </c>
      <c r="U318" s="687">
        <v>0</v>
      </c>
      <c r="V318" s="686">
        <v>0.2</v>
      </c>
      <c r="W318" s="686">
        <v>0.23</v>
      </c>
      <c r="X318" s="686">
        <v>0.22500000000000001</v>
      </c>
      <c r="Y318" s="687">
        <v>0</v>
      </c>
      <c r="Z318" s="688">
        <v>0.35</v>
      </c>
      <c r="AA318" s="688">
        <v>5.0000000000000001E-3</v>
      </c>
      <c r="AB318" s="688">
        <v>5.0000000000000001E-3</v>
      </c>
      <c r="AC318" s="688">
        <v>1.4999999999999999E-2</v>
      </c>
      <c r="AD318" s="688">
        <v>0.1</v>
      </c>
      <c r="AE318" s="688">
        <v>0.22500000000000001</v>
      </c>
      <c r="AF318" s="688">
        <v>4.0000000000000001E-3</v>
      </c>
      <c r="AG318" s="1757">
        <v>1E-3</v>
      </c>
      <c r="AJ318" s="1704" t="str">
        <f t="shared" si="45"/>
        <v>A</v>
      </c>
      <c r="AK318" s="1616"/>
      <c r="AL318" s="1333" t="s">
        <v>21</v>
      </c>
      <c r="AM318" s="394" t="str">
        <f t="shared" si="47"/>
        <v>Poivre</v>
      </c>
      <c r="AN318" s="186"/>
      <c r="AO318" s="186" t="s">
        <v>8907</v>
      </c>
      <c r="AP318" s="186"/>
      <c r="AQ318" s="186"/>
      <c r="AR318" s="186"/>
      <c r="AS318" s="191"/>
      <c r="AV318" s="3">
        <v>1</v>
      </c>
    </row>
    <row r="319" spans="2:48" ht="21" customHeight="1">
      <c r="B319" s="1610" cm="1">
        <f t="array" ref="B319">SUMPRODUCT(LEN(C319:K319))</f>
        <v>0</v>
      </c>
      <c r="C319" s="1810"/>
      <c r="D319" s="1810"/>
      <c r="E319" s="1810"/>
      <c r="F319" s="1810"/>
      <c r="G319" s="1810"/>
      <c r="H319" s="1810"/>
      <c r="I319" s="1810"/>
      <c r="J319" s="1810"/>
      <c r="K319" s="1810"/>
      <c r="L319" s="2126" t="str" cm="1">
        <f t="array" ref="L319">IF(B297&lt;=0,0,ROUNDUP(SUMPRODUCT(LEN(C319:K319))/B297,0))&amp;" ligne(s)"</f>
        <v>0 ligne(s)</v>
      </c>
      <c r="N319" s="1704" t="s">
        <v>15</v>
      </c>
      <c r="O319" s="5574" t="str">
        <f t="shared" ref="O319:AG319" si="53">SUBSTITUTE(ADDRESS(1,COLUMN(),4),"1","")</f>
        <v>O</v>
      </c>
      <c r="P319" s="5574" t="str">
        <f t="shared" si="53"/>
        <v>P</v>
      </c>
      <c r="Q319" s="5574" t="str">
        <f t="shared" si="53"/>
        <v>Q</v>
      </c>
      <c r="R319" s="5574" t="str">
        <f t="shared" si="53"/>
        <v>R</v>
      </c>
      <c r="S319" s="5574" t="str">
        <f t="shared" si="53"/>
        <v>S</v>
      </c>
      <c r="T319" s="5574" t="str">
        <f t="shared" si="53"/>
        <v>T</v>
      </c>
      <c r="U319" s="5574" t="str">
        <f t="shared" si="53"/>
        <v>U</v>
      </c>
      <c r="V319" s="5574" t="str">
        <f t="shared" si="53"/>
        <v>V</v>
      </c>
      <c r="W319" s="5574" t="str">
        <f t="shared" si="53"/>
        <v>W</v>
      </c>
      <c r="X319" s="5574" t="str">
        <f t="shared" si="53"/>
        <v>X</v>
      </c>
      <c r="Y319" s="6026" t="str">
        <f t="shared" si="53"/>
        <v>Y</v>
      </c>
      <c r="Z319" s="5575" t="str">
        <f t="shared" si="53"/>
        <v>Z</v>
      </c>
      <c r="AA319" s="5575" t="str">
        <f t="shared" si="53"/>
        <v>AA</v>
      </c>
      <c r="AB319" s="5575" t="str">
        <f t="shared" si="53"/>
        <v>AB</v>
      </c>
      <c r="AC319" s="5575" t="str">
        <f t="shared" si="53"/>
        <v>AC</v>
      </c>
      <c r="AD319" s="6026" t="str">
        <f t="shared" si="53"/>
        <v>AD</v>
      </c>
      <c r="AE319" s="5575" t="str">
        <f t="shared" si="53"/>
        <v>AE</v>
      </c>
      <c r="AF319" s="5575" t="str">
        <f t="shared" si="53"/>
        <v>AF</v>
      </c>
      <c r="AG319" s="6028" t="str">
        <f t="shared" si="53"/>
        <v>AG</v>
      </c>
      <c r="AH319" s="6628" t="s">
        <v>8774</v>
      </c>
      <c r="AJ319" s="1704" t="str">
        <f t="shared" si="45"/>
        <v>►</v>
      </c>
      <c r="AK319" s="1616"/>
      <c r="AL319" s="1333" t="s">
        <v>21</v>
      </c>
      <c r="AM319" s="394" t="str">
        <f t="shared" si="47"/>
        <v>Chapelure</v>
      </c>
      <c r="AN319" s="186"/>
      <c r="AO319" s="186" t="s">
        <v>8908</v>
      </c>
      <c r="AP319" s="186"/>
      <c r="AQ319" s="186"/>
      <c r="AR319" s="186"/>
      <c r="AS319" s="191"/>
      <c r="AV319" s="3">
        <v>1</v>
      </c>
    </row>
    <row r="320" spans="2:48" ht="21" customHeight="1">
      <c r="B320" s="1610" cm="1">
        <f t="array" ref="B320">SUMPRODUCT(LEN(C320:K320))</f>
        <v>151</v>
      </c>
      <c r="C320" s="1810" t="s">
        <v>8367</v>
      </c>
      <c r="D320" s="1810"/>
      <c r="E320" s="1810"/>
      <c r="F320" s="1810"/>
      <c r="G320" s="1810"/>
      <c r="H320" s="1810"/>
      <c r="I320" s="1810"/>
      <c r="J320" s="1810"/>
      <c r="K320" s="1810"/>
      <c r="L320" s="2126" t="str" cm="1">
        <f t="array" ref="L320">IF(B297&lt;=0,0,ROUNDUP(SUMPRODUCT(LEN(C320:K320))/B297,0))&amp;" ligne(s)"</f>
        <v>2 ligne(s)</v>
      </c>
      <c r="N320" s="1704" t="s">
        <v>10</v>
      </c>
      <c r="O320" s="5580">
        <f t="shared" ref="O320:AG320" ca="1" si="54">CELL("largeur",O320)</f>
        <v>3</v>
      </c>
      <c r="P320" s="5580">
        <f t="shared" ca="1" si="54"/>
        <v>3</v>
      </c>
      <c r="Q320" s="5580">
        <f t="shared" ca="1" si="54"/>
        <v>3</v>
      </c>
      <c r="R320" s="5580">
        <f t="shared" ca="1" si="54"/>
        <v>5</v>
      </c>
      <c r="S320" s="5580">
        <f t="shared" ca="1" si="54"/>
        <v>12</v>
      </c>
      <c r="T320" s="5580">
        <f t="shared" ca="1" si="54"/>
        <v>12</v>
      </c>
      <c r="U320" s="5580">
        <f t="shared" ca="1" si="54"/>
        <v>3</v>
      </c>
      <c r="V320" s="5580">
        <f t="shared" ca="1" si="54"/>
        <v>9</v>
      </c>
      <c r="W320" s="5580">
        <f t="shared" ca="1" si="54"/>
        <v>12</v>
      </c>
      <c r="X320" s="5580">
        <f t="shared" ca="1" si="54"/>
        <v>9</v>
      </c>
      <c r="Y320" s="6027">
        <f t="shared" ca="1" si="54"/>
        <v>6</v>
      </c>
      <c r="Z320" s="5581">
        <f t="shared" ca="1" si="54"/>
        <v>40</v>
      </c>
      <c r="AA320" s="5581">
        <f t="shared" ca="1" si="54"/>
        <v>10</v>
      </c>
      <c r="AB320" s="5581">
        <f t="shared" ca="1" si="54"/>
        <v>9</v>
      </c>
      <c r="AC320" s="5581">
        <f t="shared" ca="1" si="54"/>
        <v>11</v>
      </c>
      <c r="AD320" s="6027">
        <f t="shared" ca="1" si="54"/>
        <v>13</v>
      </c>
      <c r="AE320" s="5581">
        <f t="shared" ca="1" si="54"/>
        <v>13</v>
      </c>
      <c r="AF320" s="5581">
        <f t="shared" ca="1" si="54"/>
        <v>13</v>
      </c>
      <c r="AG320" s="6029">
        <f t="shared" ca="1" si="54"/>
        <v>17</v>
      </c>
      <c r="AH320" s="6628"/>
      <c r="AJ320" s="1704" t="str">
        <f t="shared" si="45"/>
        <v>A</v>
      </c>
      <c r="AK320" s="1616"/>
      <c r="AL320" s="1333" t="s">
        <v>21</v>
      </c>
      <c r="AM320" s="394"/>
      <c r="AN320" s="186"/>
      <c r="AO320" s="186"/>
      <c r="AP320" s="186"/>
      <c r="AQ320" s="186"/>
      <c r="AR320" s="186"/>
      <c r="AS320" s="191"/>
      <c r="AV320" s="3">
        <v>1</v>
      </c>
    </row>
    <row r="321" spans="2:48" ht="21" customHeight="1">
      <c r="B321" s="1610" cm="1">
        <f t="array" ref="B321">SUMPRODUCT(LEN(C321:K321))</f>
        <v>0</v>
      </c>
      <c r="C321" s="1810"/>
      <c r="D321" s="1810"/>
      <c r="E321" s="1810"/>
      <c r="F321" s="1810"/>
      <c r="G321" s="1810"/>
      <c r="H321" s="1810"/>
      <c r="I321" s="1810"/>
      <c r="J321" s="1810"/>
      <c r="K321" s="1810"/>
      <c r="L321" s="2126" t="str" cm="1">
        <f t="array" ref="L321">IF(B297&lt;=0,0,ROUNDUP(SUMPRODUCT(LEN(C321:K321))/B297,0))&amp;" ligne(s)"</f>
        <v>0 ligne(s)</v>
      </c>
      <c r="N321" s="1711" t="s">
        <v>10</v>
      </c>
      <c r="O321" s="1370" t="str">
        <f>O299</f>
        <v>B BEIGNETS D'ACACIA | pâtisserie--Beignets| Auteur &gt; Au Féminin.com</v>
      </c>
      <c r="P321" s="1348">
        <f>P299</f>
        <v>4</v>
      </c>
      <c r="Q321" s="1349" t="str">
        <f>Q299</f>
        <v>personnes</v>
      </c>
      <c r="R321" s="1350" t="str">
        <f>R299</f>
        <v>Recette mère ► Beignets d'acacia</v>
      </c>
      <c r="S321" s="5997" t="str">
        <f ca="1">"largeur de "&amp;Y319&amp;" à "&amp;AG319&amp;" = "&amp;SUM(Y320:AG320)</f>
        <v>largeur de Y à AG = 132</v>
      </c>
      <c r="T321" s="5998"/>
      <c r="U321" s="1986"/>
      <c r="V321" s="1986"/>
      <c r="W321" s="1986"/>
      <c r="X321" s="1987" t="s">
        <v>8145</v>
      </c>
      <c r="Y321" s="1988" t="s">
        <v>821</v>
      </c>
      <c r="Z321" s="1941"/>
      <c r="AA321" s="5999" t="str">
        <f ca="1">"largeur mini  = "&amp;SUM(Y320:AD320)</f>
        <v>largeur mini  = 89</v>
      </c>
      <c r="AB321" s="6000" t="str">
        <f ca="1">"largeur maxi  = "&amp;SUM(Y320:AG320)</f>
        <v>largeur maxi  = 132</v>
      </c>
      <c r="AC321" s="1942"/>
      <c r="AD321" s="1942"/>
      <c r="AE321" s="1989"/>
      <c r="AF321" s="2101"/>
      <c r="AG321" s="1990" t="s">
        <v>218</v>
      </c>
      <c r="AJ321" s="1711" t="str">
        <f t="shared" si="45"/>
        <v>A</v>
      </c>
      <c r="AK321" s="1616"/>
      <c r="AL321" s="1333" t="s">
        <v>21</v>
      </c>
      <c r="AM321" s="2212" t="s">
        <v>8909</v>
      </c>
      <c r="AN321" s="186"/>
      <c r="AO321" s="186"/>
      <c r="AP321" s="186"/>
      <c r="AQ321" s="186"/>
      <c r="AR321" s="186"/>
      <c r="AS321" s="191"/>
      <c r="AV321" s="3">
        <v>1</v>
      </c>
    </row>
    <row r="322" spans="2:48" ht="21" customHeight="1">
      <c r="B322" s="1610" cm="1">
        <f t="array" ref="B322">SUMPRODUCT(LEN(C322:K322))</f>
        <v>57</v>
      </c>
      <c r="C322" s="1810" t="s">
        <v>8368</v>
      </c>
      <c r="D322" s="1810"/>
      <c r="E322" s="1810"/>
      <c r="F322" s="1810"/>
      <c r="G322" s="1810"/>
      <c r="H322" s="1810"/>
      <c r="I322" s="1810"/>
      <c r="J322" s="1810"/>
      <c r="K322" s="1810"/>
      <c r="L322" s="2126" t="str" cm="1">
        <f t="array" ref="L322">IF(B297&lt;=0,0,ROUNDUP(SUMPRODUCT(LEN(C322:K322))/B297,0))&amp;" ligne(s)"</f>
        <v>1 ligne(s)</v>
      </c>
      <c r="N322" s="1711" t="s">
        <v>10</v>
      </c>
      <c r="O322" s="163" t="str">
        <f>O299</f>
        <v>B BEIGNETS D'ACACIA | pâtisserie--Beignets| Auteur &gt; Au Féminin.com</v>
      </c>
      <c r="P322" s="163">
        <f>P299</f>
        <v>4</v>
      </c>
      <c r="Q322" s="164" t="str">
        <f>Q299</f>
        <v>personnes</v>
      </c>
      <c r="R322" s="165" t="str">
        <f>R299</f>
        <v>Recette mère ► Beignets d'acacia</v>
      </c>
      <c r="S322" s="508"/>
      <c r="T322" s="508"/>
      <c r="U322" s="2063"/>
      <c r="V322" s="2064" t="s">
        <v>8865</v>
      </c>
      <c r="W322" s="2065">
        <f ca="1">SUM(Y320:AG320)</f>
        <v>132</v>
      </c>
      <c r="X322" s="1374">
        <v>0</v>
      </c>
      <c r="Y322" s="1375" t="s">
        <v>8361</v>
      </c>
      <c r="Z322" s="1810"/>
      <c r="AA322" s="1810"/>
      <c r="AB322" s="1810"/>
      <c r="AC322" s="1810"/>
      <c r="AD322" s="1810"/>
      <c r="AE322" s="9"/>
      <c r="AF322" s="5993" t="s">
        <v>164</v>
      </c>
      <c r="AG322" s="1330" t="s">
        <v>165</v>
      </c>
      <c r="AJ322" s="1711" t="str">
        <f t="shared" si="45"/>
        <v>A</v>
      </c>
      <c r="AK322" s="1616"/>
      <c r="AL322" s="1333" t="s">
        <v>21</v>
      </c>
      <c r="AM322" s="394" t="s">
        <v>8910</v>
      </c>
      <c r="AN322" s="186"/>
      <c r="AO322" s="186"/>
      <c r="AP322" s="186"/>
      <c r="AQ322" s="186"/>
      <c r="AR322" s="186"/>
      <c r="AS322" s="191"/>
      <c r="AV322" s="3">
        <v>1</v>
      </c>
    </row>
    <row r="323" spans="2:48" ht="21" customHeight="1">
      <c r="B323" s="1610" cm="1">
        <f t="array" ref="B323">SUMPRODUCT(LEN(C323:K323))</f>
        <v>0</v>
      </c>
      <c r="C323" s="1810"/>
      <c r="D323" s="1810"/>
      <c r="E323" s="1810"/>
      <c r="F323" s="1810"/>
      <c r="G323" s="1810"/>
      <c r="H323" s="1810"/>
      <c r="I323" s="1810"/>
      <c r="J323" s="1810"/>
      <c r="K323" s="1810"/>
      <c r="L323" s="2126" t="str" cm="1">
        <f t="array" ref="L323">IF(B297&lt;=0,0,ROUNDUP(SUMPRODUCT(LEN(C323:K323))/B297,0))&amp;" ligne(s)"</f>
        <v>0 ligne(s)</v>
      </c>
      <c r="N323" s="1711" t="s">
        <v>10</v>
      </c>
      <c r="O323" s="163" t="str">
        <f>O299</f>
        <v>B BEIGNETS D'ACACIA | pâtisserie--Beignets| Auteur &gt; Au Féminin.com</v>
      </c>
      <c r="P323" s="163">
        <f>P299</f>
        <v>4</v>
      </c>
      <c r="Q323" s="164" t="str">
        <f>Q299</f>
        <v>personnes</v>
      </c>
      <c r="R323" s="165" t="str">
        <f>R299</f>
        <v>Recette mère ► Beignets d'acacia</v>
      </c>
      <c r="S323" s="1548"/>
      <c r="T323" s="2189" t="s">
        <v>8771</v>
      </c>
      <c r="U323" s="2190">
        <f>ROWS(Y323:Y323)</f>
        <v>1</v>
      </c>
      <c r="V323" s="5549" t="str" cm="1">
        <f t="array" ref="V323">IF(SUMPRODUCT((Y323:AD323&lt;&gt;"")*1)=0,"",SUMPRODUCT((Y323:AD323&lt;&gt;"")*(LEN(TRIM(SUBSTITUTE(Y323:AD323,CHAR(160)," "))) - LEN(SUBSTITUTE(TRIM(SUBSTITUTE(Y323:AD323,CHAR(160)," "))," ","")) + 1)) &amp; " mot" &amp; IF(SUMPRODUCT((Y323:AD323&lt;&gt;"")*(LEN(TRIM(SUBSTITUTE(Y323:AD323,CHAR(160)," "))) - LEN(SUBSTITUTE(TRIM(SUBSTITUTE(Y323:AD323,CHAR(160)," "))," ","")) + 1))&gt;1,"s",""))</f>
        <v>12 mots</v>
      </c>
      <c r="W323" s="5550" t="str" cm="1">
        <f t="array" ref="W323">SUMPRODUCT(--(Y323:AD323&lt;&gt;""), LEN(TRIM(SUBSTITUTE(Y323:AD323, CHAR(160), "")))) &amp; " Car."</f>
        <v>78 Car.</v>
      </c>
      <c r="X323" s="1376">
        <f>IF(ISBLANK(Y323),"",LARGE(X322:X322,1)+1)</f>
        <v>1</v>
      </c>
      <c r="Y323" s="1810" t="s">
        <v>14170</v>
      </c>
      <c r="Z323" s="1810"/>
      <c r="AA323" s="1810"/>
      <c r="AB323" s="1810"/>
      <c r="AC323" s="1810"/>
      <c r="AD323" s="1810"/>
      <c r="AE323" s="9"/>
      <c r="AF323" s="5993" t="s">
        <v>167</v>
      </c>
      <c r="AG323" s="1330" t="s">
        <v>165</v>
      </c>
      <c r="AJ323" s="1711" t="str">
        <f t="shared" si="45"/>
        <v>A</v>
      </c>
      <c r="AK323" s="1616"/>
      <c r="AL323" s="1333" t="s">
        <v>21</v>
      </c>
      <c r="AM323" s="394" t="e" cm="1">
        <f t="array" ref="AM323">- La veille : faire tremper les haricots.</f>
        <v>#NAME?</v>
      </c>
      <c r="AN323" s="186"/>
      <c r="AO323" s="186" t="str">
        <f ca="1">_xlfn.FORMULATEXT(AM323)</f>
        <v>=- La veille : faire tremper les haricots.</v>
      </c>
      <c r="AP323" s="186"/>
      <c r="AQ323" s="186"/>
      <c r="AR323" s="186"/>
      <c r="AS323" s="191"/>
      <c r="AV323" s="3">
        <v>1</v>
      </c>
    </row>
    <row r="324" spans="2:48" ht="21" customHeight="1">
      <c r="B324" s="1610" cm="1">
        <f t="array" ref="B324">SUMPRODUCT(LEN(C324:K324))</f>
        <v>164</v>
      </c>
      <c r="C324" s="1810" t="s">
        <v>8369</v>
      </c>
      <c r="D324" s="1810"/>
      <c r="E324" s="1810"/>
      <c r="F324" s="1810"/>
      <c r="G324" s="1810"/>
      <c r="H324" s="1810"/>
      <c r="I324" s="1810"/>
      <c r="J324" s="1810"/>
      <c r="K324" s="1810"/>
      <c r="L324" s="2126" t="str" cm="1">
        <f t="array" ref="L324">IF(B297&lt;=0,0,ROUNDUP(SUMPRODUCT(LEN(C324:K324))/B297,0))&amp;" ligne(s)"</f>
        <v>2 ligne(s)</v>
      </c>
      <c r="N324" s="1711" t="s">
        <v>10</v>
      </c>
      <c r="O324" s="163" t="str">
        <f>O299</f>
        <v>B BEIGNETS D'ACACIA | pâtisserie--Beignets| Auteur &gt; Au Féminin.com</v>
      </c>
      <c r="P324" s="163">
        <f>P299</f>
        <v>4</v>
      </c>
      <c r="Q324" s="164" t="str">
        <f>Q299</f>
        <v>personnes</v>
      </c>
      <c r="R324" s="165" t="str">
        <f>R299</f>
        <v>Recette mère ► Beignets d'acacia</v>
      </c>
      <c r="S324" s="1548"/>
      <c r="T324" s="1548"/>
      <c r="U324" s="2190">
        <f>ROWS(Y323:Y324)</f>
        <v>2</v>
      </c>
      <c r="V324" s="5549" t="str" cm="1">
        <f t="array" ref="V324">IF(SUMPRODUCT((Y324:AD324&lt;&gt;"")*1)=0,"",SUMPRODUCT((Y324:AD324&lt;&gt;"")*(LEN(TRIM(SUBSTITUTE(Y324:AD324,CHAR(160)," "))) - LEN(SUBSTITUTE(TRIM(SUBSTITUTE(Y324:AD324,CHAR(160)," "))," ","")) + 1)) &amp; " mot" &amp; IF(SUMPRODUCT((Y324:AD324&lt;&gt;"")*(LEN(TRIM(SUBSTITUTE(Y324:AD324,CHAR(160)," "))) - LEN(SUBSTITUTE(TRIM(SUBSTITUTE(Y324:AD324,CHAR(160)," "))," ","")) + 1))&gt;1,"s",""))</f>
        <v>5 mots</v>
      </c>
      <c r="W324" s="5550" t="str" cm="1">
        <f t="array" ref="W324">SUMPRODUCT(--(Y324:AD324&lt;&gt;""), LEN(TRIM(SUBSTITUTE(Y324:AD324, CHAR(160), "")))) &amp; " Car."</f>
        <v>42 Car.</v>
      </c>
      <c r="X324" s="1376" t="str">
        <f>IF(ISBLANK(Y324),"",LARGE(X322:X323,1)+1)</f>
        <v/>
      </c>
      <c r="Y324" s="1810"/>
      <c r="Z324" s="1810" t="s">
        <v>14171</v>
      </c>
      <c r="AA324" s="1810"/>
      <c r="AB324" s="1810"/>
      <c r="AC324" s="1810"/>
      <c r="AD324" s="1810"/>
      <c r="AE324" s="1810"/>
      <c r="AF324" s="5994" t="s">
        <v>171</v>
      </c>
      <c r="AG324" s="5564">
        <v>3.472222222222222E-3</v>
      </c>
      <c r="AJ324" s="1711" t="str">
        <f t="shared" si="45"/>
        <v>A</v>
      </c>
      <c r="AK324" s="1616"/>
      <c r="AL324" s="1333" t="s">
        <v>21</v>
      </c>
      <c r="AM324" s="394" t="s">
        <v>8911</v>
      </c>
      <c r="AN324" s="186"/>
      <c r="AO324" s="186"/>
      <c r="AP324" s="186"/>
      <c r="AQ324" s="186"/>
      <c r="AR324" s="186"/>
      <c r="AS324" s="191"/>
      <c r="AV324" s="3">
        <v>1</v>
      </c>
    </row>
    <row r="325" spans="2:48" ht="21" customHeight="1">
      <c r="B325" s="1610" cm="1">
        <f t="array" ref="B325">SUMPRODUCT(LEN(C325:K325))</f>
        <v>0</v>
      </c>
      <c r="C325" s="1810"/>
      <c r="D325" s="1810"/>
      <c r="E325" s="1810"/>
      <c r="F325" s="1810"/>
      <c r="G325" s="1810"/>
      <c r="H325" s="1810"/>
      <c r="I325" s="1810"/>
      <c r="J325" s="1810"/>
      <c r="K325" s="1810"/>
      <c r="L325" s="2126" t="str" cm="1">
        <f t="array" ref="L325">IF(B297&lt;=0,0,ROUNDUP(SUMPRODUCT(LEN(C325:K325))/B297,0))&amp;" ligne(s)"</f>
        <v>0 ligne(s)</v>
      </c>
      <c r="N325" s="1711" t="s">
        <v>10</v>
      </c>
      <c r="O325" s="163" t="str">
        <f>O299</f>
        <v>B BEIGNETS D'ACACIA | pâtisserie--Beignets| Auteur &gt; Au Féminin.com</v>
      </c>
      <c r="P325" s="163">
        <f>P299</f>
        <v>4</v>
      </c>
      <c r="Q325" s="164" t="str">
        <f>Q299</f>
        <v>personnes</v>
      </c>
      <c r="R325" s="165" t="str">
        <f>R299</f>
        <v>Recette mère ► Beignets d'acacia</v>
      </c>
      <c r="S325" s="1548"/>
      <c r="T325" s="1548"/>
      <c r="U325" s="2190">
        <f>ROWS(Y323:Y325)</f>
        <v>3</v>
      </c>
      <c r="V325" s="5549" t="str" cm="1">
        <f t="array" ref="V325">IF(SUMPRODUCT((Y325:AD325&lt;&gt;"")*1)=0,"",SUMPRODUCT((Y325:AD325&lt;&gt;"")*(LEN(TRIM(SUBSTITUTE(Y325:AD325,CHAR(160)," "))) - LEN(SUBSTITUTE(TRIM(SUBSTITUTE(Y325:AD325,CHAR(160)," "))," ","")) + 1)) &amp; " mot" &amp; IF(SUMPRODUCT((Y325:AD325&lt;&gt;"")*(LEN(TRIM(SUBSTITUTE(Y325:AD325,CHAR(160)," "))) - LEN(SUBSTITUTE(TRIM(SUBSTITUTE(Y325:AD325,CHAR(160)," "))," ","")) + 1))&gt;1,"s",""))</f>
        <v>5 mots</v>
      </c>
      <c r="W325" s="5550" t="str" cm="1">
        <f t="array" ref="W325">SUMPRODUCT(--(Y325:AD325&lt;&gt;""), LEN(TRIM(SUBSTITUTE(Y325:AD325, CHAR(160), "")))) &amp; " Car."</f>
        <v>29 Car.</v>
      </c>
      <c r="X325" s="1376" t="str">
        <f>IF(ISBLANK(Y325),"",LARGE(X322:X324,1)+1)</f>
        <v/>
      </c>
      <c r="Y325" s="1810"/>
      <c r="Z325" s="1810" t="s">
        <v>8374</v>
      </c>
      <c r="AA325" s="1810"/>
      <c r="AB325" s="1810"/>
      <c r="AC325" s="1810"/>
      <c r="AD325" s="1810"/>
      <c r="AE325" s="1810"/>
      <c r="AF325" s="5994" t="s">
        <v>173</v>
      </c>
      <c r="AG325" s="5565">
        <v>1.0416666666666666E-2</v>
      </c>
      <c r="AJ325" s="1711" t="str">
        <f t="shared" si="45"/>
        <v>A</v>
      </c>
      <c r="AK325" s="1616"/>
      <c r="AL325" s="1333" t="s">
        <v>21</v>
      </c>
      <c r="AM325" s="394"/>
      <c r="AN325" s="186"/>
      <c r="AO325" s="186"/>
      <c r="AP325" s="186"/>
      <c r="AQ325" s="186"/>
      <c r="AR325" s="186"/>
      <c r="AS325" s="191"/>
      <c r="AV325" s="3">
        <v>1</v>
      </c>
    </row>
    <row r="326" spans="2:48" ht="21" customHeight="1">
      <c r="B326" s="1610" cm="1">
        <f t="array" ref="B326">SUMPRODUCT(LEN(C326:K326))</f>
        <v>74</v>
      </c>
      <c r="C326" s="1810" t="s">
        <v>8370</v>
      </c>
      <c r="D326" s="1810"/>
      <c r="E326" s="1810"/>
      <c r="F326" s="1810"/>
      <c r="G326" s="1810"/>
      <c r="H326" s="1810"/>
      <c r="I326" s="1810"/>
      <c r="J326" s="1810"/>
      <c r="K326" s="1810"/>
      <c r="L326" s="2126" t="str" cm="1">
        <f t="array" ref="L326">IF(B297&lt;=0,0,ROUNDUP(SUMPRODUCT(LEN(C326:K326))/B297,0))&amp;" ligne(s)"</f>
        <v>1 ligne(s)</v>
      </c>
      <c r="N326" s="1711" t="s">
        <v>10</v>
      </c>
      <c r="O326" s="163" t="str">
        <f>O299</f>
        <v>B BEIGNETS D'ACACIA | pâtisserie--Beignets| Auteur &gt; Au Féminin.com</v>
      </c>
      <c r="P326" s="163">
        <f>P299</f>
        <v>4</v>
      </c>
      <c r="Q326" s="164" t="str">
        <f>Q299</f>
        <v>personnes</v>
      </c>
      <c r="R326" s="165" t="str">
        <f>R299</f>
        <v>Recette mère ► Beignets d'acacia</v>
      </c>
      <c r="S326" s="1548"/>
      <c r="T326" s="1548"/>
      <c r="U326" s="2190">
        <f>ROWS(Y323:Y326)</f>
        <v>4</v>
      </c>
      <c r="V326" s="5549" t="str" cm="1">
        <f t="array" ref="V326">IF(SUMPRODUCT((Y326:AD326&lt;&gt;"")*1)=0,"",SUMPRODUCT((Y326:AD326&lt;&gt;"")*(LEN(TRIM(SUBSTITUTE(Y326:AD326,CHAR(160)," "))) - LEN(SUBSTITUTE(TRIM(SUBSTITUTE(Y326:AD326,CHAR(160)," "))," ","")) + 1)) &amp; " mot" &amp; IF(SUMPRODUCT((Y326:AD326&lt;&gt;"")*(LEN(TRIM(SUBSTITUTE(Y326:AD326,CHAR(160)," "))) - LEN(SUBSTITUTE(TRIM(SUBSTITUTE(Y326:AD326,CHAR(160)," "))," ","")) + 1))&gt;1,"s",""))</f>
        <v>10 mots</v>
      </c>
      <c r="W326" s="5550" t="str" cm="1">
        <f t="array" ref="W326">SUMPRODUCT(--(Y326:AD326&lt;&gt;""), LEN(TRIM(SUBSTITUTE(Y326:AD326, CHAR(160), "")))) &amp; " Car."</f>
        <v>57 Car.</v>
      </c>
      <c r="X326" s="1376">
        <f>IF(ISBLANK(Y326),"",LARGE(X322:X325,1)+1)</f>
        <v>2</v>
      </c>
      <c r="Y326" s="1810" t="s">
        <v>8368</v>
      </c>
      <c r="Z326" s="1833"/>
      <c r="AA326" s="1810"/>
      <c r="AB326" s="1810"/>
      <c r="AC326" s="1810"/>
      <c r="AD326" s="1810"/>
      <c r="AE326" s="1810"/>
      <c r="AF326" s="5994" t="s">
        <v>181</v>
      </c>
      <c r="AG326" s="178">
        <v>2.0833333333333332E-2</v>
      </c>
      <c r="AJ326" s="1711" t="str">
        <f t="shared" si="45"/>
        <v>A</v>
      </c>
      <c r="AK326" s="1616"/>
      <c r="AL326" s="1333" t="s">
        <v>21</v>
      </c>
      <c r="AM326" s="459"/>
      <c r="AN326" s="2211" t="s">
        <v>8912</v>
      </c>
      <c r="AO326" s="2192"/>
      <c r="AP326" s="2192"/>
      <c r="AQ326" s="9"/>
      <c r="AR326" s="9"/>
      <c r="AS326" s="38"/>
      <c r="AV326" s="3">
        <v>1</v>
      </c>
    </row>
    <row r="327" spans="2:48" ht="21" customHeight="1">
      <c r="B327" s="1610" cm="1">
        <f t="array" ref="B327">SUMPRODUCT(LEN(C327:K327))</f>
        <v>0</v>
      </c>
      <c r="C327" s="1810"/>
      <c r="D327" s="1810"/>
      <c r="E327" s="1810"/>
      <c r="F327" s="1810"/>
      <c r="G327" s="1810"/>
      <c r="H327" s="1810"/>
      <c r="I327" s="1810"/>
      <c r="J327" s="1810"/>
      <c r="K327" s="1810"/>
      <c r="L327" s="2126" t="str" cm="1">
        <f t="array" ref="L327">IF(B297&lt;=0,0,ROUNDUP(SUMPRODUCT(LEN(C327:K327))/B297,0))&amp;" ligne(s)"</f>
        <v>0 ligne(s)</v>
      </c>
      <c r="N327" s="1711" t="s">
        <v>10</v>
      </c>
      <c r="O327" s="163" t="str">
        <f>O299</f>
        <v>B BEIGNETS D'ACACIA | pâtisserie--Beignets| Auteur &gt; Au Féminin.com</v>
      </c>
      <c r="P327" s="163">
        <f>P299</f>
        <v>4</v>
      </c>
      <c r="Q327" s="164" t="str">
        <f>Q299</f>
        <v>personnes</v>
      </c>
      <c r="R327" s="165" t="str">
        <f>R299</f>
        <v>Recette mère ► Beignets d'acacia</v>
      </c>
      <c r="S327" s="1548"/>
      <c r="T327" s="1548"/>
      <c r="U327" s="2190">
        <f>ROWS(Y323:Y327)</f>
        <v>5</v>
      </c>
      <c r="V327" s="5549" t="str" cm="1">
        <f t="array" ref="V327">IF(SUMPRODUCT((Y327:AD327&lt;&gt;"")*1)=0,"",SUMPRODUCT((Y327:AD327&lt;&gt;"")*(LEN(TRIM(SUBSTITUTE(Y327:AD327,CHAR(160)," "))) - LEN(SUBSTITUTE(TRIM(SUBSTITUTE(Y327:AD327,CHAR(160)," "))," ","")) + 1)) &amp; " mot" &amp; IF(SUMPRODUCT((Y327:AD327&lt;&gt;"")*(LEN(TRIM(SUBSTITUTE(Y327:AD327,CHAR(160)," "))) - LEN(SUBSTITUTE(TRIM(SUBSTITUTE(Y327:AD327,CHAR(160)," "))," ","")) + 1))&gt;1,"s",""))</f>
        <v/>
      </c>
      <c r="W327" s="5550" t="str" cm="1">
        <f t="array" ref="W327">SUMPRODUCT(--(Y327:AD327&lt;&gt;""), LEN(TRIM(SUBSTITUTE(Y327:AD327, CHAR(160), "")))) &amp; " Car."</f>
        <v>0 Car.</v>
      </c>
      <c r="X327" s="1376" t="str">
        <f>IF(ISBLANK(Y327),"",LARGE(X322:X326,1)+1)</f>
        <v/>
      </c>
      <c r="Y327" s="1810"/>
      <c r="Z327" s="1810"/>
      <c r="AA327" s="1810"/>
      <c r="AB327" s="1810"/>
      <c r="AC327" s="1810"/>
      <c r="AD327" s="1810"/>
      <c r="AE327" s="1810"/>
      <c r="AF327" s="179" t="s">
        <v>182</v>
      </c>
      <c r="AG327" s="180">
        <f>AG324+AG325+AG326</f>
        <v>3.4722222222222224E-2</v>
      </c>
      <c r="AJ327" s="1711" t="str">
        <f t="shared" si="45"/>
        <v>A</v>
      </c>
      <c r="AK327" s="1616"/>
      <c r="AL327" s="1333" t="s">
        <v>21</v>
      </c>
      <c r="AM327" s="459"/>
      <c r="AN327" s="6602" t="s">
        <v>8913</v>
      </c>
      <c r="AO327" s="2193" t="s">
        <v>8914</v>
      </c>
      <c r="AP327" s="2194"/>
      <c r="AQ327" s="9"/>
      <c r="AR327" s="9"/>
      <c r="AS327" s="38"/>
      <c r="AV327" s="3">
        <v>1</v>
      </c>
    </row>
    <row r="328" spans="2:48" ht="21" customHeight="1">
      <c r="B328" s="1610" cm="1">
        <f t="array" ref="B328">SUMPRODUCT(LEN(C328:K328))</f>
        <v>59</v>
      </c>
      <c r="C328" s="1810" t="s">
        <v>8371</v>
      </c>
      <c r="D328" s="1810"/>
      <c r="E328" s="1810"/>
      <c r="F328" s="1810"/>
      <c r="G328" s="1810"/>
      <c r="H328" s="1810"/>
      <c r="I328" s="1810"/>
      <c r="J328" s="1810"/>
      <c r="K328" s="1810"/>
      <c r="L328" s="2126" t="str" cm="1">
        <f t="array" ref="L328">IF(B297&lt;=0,0,ROUNDUP(SUMPRODUCT(LEN(C328:K328))/B297,0))&amp;" ligne(s)"</f>
        <v>1 ligne(s)</v>
      </c>
      <c r="N328" s="1711" t="s">
        <v>10</v>
      </c>
      <c r="O328" s="163" t="str">
        <f>O299</f>
        <v>B BEIGNETS D'ACACIA | pâtisserie--Beignets| Auteur &gt; Au Féminin.com</v>
      </c>
      <c r="P328" s="163">
        <f>P299</f>
        <v>4</v>
      </c>
      <c r="Q328" s="164" t="str">
        <f>Q299</f>
        <v>personnes</v>
      </c>
      <c r="R328" s="165" t="str">
        <f>R299</f>
        <v>Recette mère ► Beignets d'acacia</v>
      </c>
      <c r="S328" s="1548"/>
      <c r="T328" s="1548"/>
      <c r="U328" s="2190">
        <f>ROWS(Y323:Y328)</f>
        <v>6</v>
      </c>
      <c r="V328" s="5549" t="str" cm="1">
        <f t="array" ref="V328">IF(SUMPRODUCT((Y328:AD328&lt;&gt;"")*1)=0,"",SUMPRODUCT((Y328:AD328&lt;&gt;"")*(LEN(TRIM(SUBSTITUTE(Y328:AD328,CHAR(160)," "))) - LEN(SUBSTITUTE(TRIM(SUBSTITUTE(Y328:AD328,CHAR(160)," "))," ","")) + 1)) &amp; " mot" &amp; IF(SUMPRODUCT((Y328:AD328&lt;&gt;"")*(LEN(TRIM(SUBSTITUTE(Y328:AD328,CHAR(160)," "))) - LEN(SUBSTITUTE(TRIM(SUBSTITUTE(Y328:AD328,CHAR(160)," "))," ","")) + 1))&gt;1,"s",""))</f>
        <v>7 mots</v>
      </c>
      <c r="W328" s="5550" t="str" cm="1">
        <f t="array" ref="W328">SUMPRODUCT(--(Y328:AD328&lt;&gt;""), LEN(TRIM(SUBSTITUTE(Y328:AD328, CHAR(160), "")))) &amp; " Car."</f>
        <v>49 Car.</v>
      </c>
      <c r="X328" s="1376">
        <f>IF(ISBLANK(Y328),"",LARGE(X322:X327,1)+1)</f>
        <v>3</v>
      </c>
      <c r="Y328" s="1810" t="s">
        <v>8377</v>
      </c>
      <c r="Z328" s="1833"/>
      <c r="AA328" s="1810"/>
      <c r="AB328" s="1810"/>
      <c r="AC328" s="1810"/>
      <c r="AD328" s="1810"/>
      <c r="AE328" s="1810"/>
      <c r="AF328" s="1810"/>
      <c r="AG328" s="1811"/>
      <c r="AJ328" s="1711" t="str">
        <f t="shared" si="45"/>
        <v>A</v>
      </c>
      <c r="AK328" s="1616"/>
      <c r="AL328" s="1333" t="s">
        <v>21</v>
      </c>
      <c r="AM328" s="459"/>
      <c r="AN328" s="6602"/>
      <c r="AO328" s="2193" t="s">
        <v>8915</v>
      </c>
      <c r="AP328" s="2194"/>
      <c r="AQ328" s="9"/>
      <c r="AR328" s="9"/>
      <c r="AS328" s="38"/>
      <c r="AV328" s="3">
        <v>1</v>
      </c>
    </row>
    <row r="329" spans="2:48" ht="21" customHeight="1">
      <c r="B329" s="1610" cm="1">
        <f t="array" ref="B329">SUMPRODUCT(LEN(C329:K329))</f>
        <v>0</v>
      </c>
      <c r="C329" s="1810"/>
      <c r="D329" s="1810"/>
      <c r="E329" s="1810"/>
      <c r="F329" s="1810"/>
      <c r="G329" s="1810"/>
      <c r="H329" s="1810"/>
      <c r="I329" s="1810"/>
      <c r="J329" s="1810"/>
      <c r="K329" s="1810"/>
      <c r="L329" s="2126" t="str" cm="1">
        <f t="array" ref="L329">IF(B297&lt;=0,0,ROUNDUP(SUMPRODUCT(LEN(C329:K329))/B297,0))&amp;" ligne(s)"</f>
        <v>0 ligne(s)</v>
      </c>
      <c r="N329" s="1711" t="s">
        <v>10</v>
      </c>
      <c r="O329" s="163" t="str">
        <f>O299</f>
        <v>B BEIGNETS D'ACACIA | pâtisserie--Beignets| Auteur &gt; Au Féminin.com</v>
      </c>
      <c r="P329" s="163">
        <f>P299</f>
        <v>4</v>
      </c>
      <c r="Q329" s="164" t="str">
        <f>Q299</f>
        <v>personnes</v>
      </c>
      <c r="R329" s="165" t="str">
        <f>R299</f>
        <v>Recette mère ► Beignets d'acacia</v>
      </c>
      <c r="S329" s="1548"/>
      <c r="T329" s="1548"/>
      <c r="U329" s="2190">
        <f>ROWS(Y323:Y329)</f>
        <v>7</v>
      </c>
      <c r="V329" s="5549" t="str" cm="1">
        <f t="array" ref="V329">IF(SUMPRODUCT((Y329:AD329&lt;&gt;"")*1)=0,"",SUMPRODUCT((Y329:AD329&lt;&gt;"")*(LEN(TRIM(SUBSTITUTE(Y329:AD329,CHAR(160)," "))) - LEN(SUBSTITUTE(TRIM(SUBSTITUTE(Y329:AD329,CHAR(160)," "))," ","")) + 1)) &amp; " mot" &amp; IF(SUMPRODUCT((Y329:AD329&lt;&gt;"")*(LEN(TRIM(SUBSTITUTE(Y329:AD329,CHAR(160)," "))) - LEN(SUBSTITUTE(TRIM(SUBSTITUTE(Y329:AD329,CHAR(160)," "))," ","")) + 1))&gt;1,"s",""))</f>
        <v>15 mots</v>
      </c>
      <c r="W329" s="5550" t="str" cm="1">
        <f t="array" ref="W329">SUMPRODUCT(--(Y329:AD329&lt;&gt;""), LEN(TRIM(SUBSTITUTE(Y329:AD329, CHAR(160), "")))) &amp; " Car."</f>
        <v>77 Car.</v>
      </c>
      <c r="X329" s="1376" t="str">
        <f>IF(ISBLANK(Y329),"",LARGE(X322:X328,1)+1)</f>
        <v/>
      </c>
      <c r="Y329" s="1810"/>
      <c r="Z329" s="1810" t="s">
        <v>8378</v>
      </c>
      <c r="AA329" s="1810"/>
      <c r="AB329" s="1810"/>
      <c r="AC329" s="1810"/>
      <c r="AD329" s="1810"/>
      <c r="AE329" s="1810"/>
      <c r="AF329" s="1810"/>
      <c r="AG329" s="1811"/>
      <c r="AJ329" s="1711" t="str">
        <f t="shared" si="45"/>
        <v>A</v>
      </c>
      <c r="AK329" s="1616"/>
      <c r="AL329" s="1333" t="s">
        <v>21</v>
      </c>
      <c r="AM329" s="459"/>
      <c r="AN329" s="6602"/>
      <c r="AO329" s="2193" t="s">
        <v>8916</v>
      </c>
      <c r="AP329" s="2194"/>
      <c r="AQ329" s="9"/>
      <c r="AR329" s="9"/>
      <c r="AS329" s="38"/>
      <c r="AV329" s="3">
        <v>1</v>
      </c>
    </row>
    <row r="330" spans="2:48" ht="21" customHeight="1">
      <c r="B330" s="1610" cm="1">
        <f t="array" ref="B330">SUMPRODUCT(LEN(C330:K330))</f>
        <v>97</v>
      </c>
      <c r="C330" s="1810" t="s">
        <v>8372</v>
      </c>
      <c r="D330" s="1810"/>
      <c r="E330" s="1810"/>
      <c r="F330" s="1810"/>
      <c r="G330" s="1810"/>
      <c r="H330" s="1810"/>
      <c r="I330" s="1810"/>
      <c r="J330" s="1810"/>
      <c r="K330" s="1810"/>
      <c r="L330" s="2126" t="str" cm="1">
        <f t="array" ref="L330">IF(B297&lt;=0,0,ROUNDUP(SUMPRODUCT(LEN(C330:K330))/B297,0))&amp;" ligne(s)"</f>
        <v>2 ligne(s)</v>
      </c>
      <c r="N330" s="1711" t="s">
        <v>10</v>
      </c>
      <c r="O330" s="163" t="str">
        <f>O299</f>
        <v>B BEIGNETS D'ACACIA | pâtisserie--Beignets| Auteur &gt; Au Féminin.com</v>
      </c>
      <c r="P330" s="163">
        <f>P299</f>
        <v>4</v>
      </c>
      <c r="Q330" s="164" t="str">
        <f>Q299</f>
        <v>personnes</v>
      </c>
      <c r="R330" s="165" t="str">
        <f>R299</f>
        <v>Recette mère ► Beignets d'acacia</v>
      </c>
      <c r="S330" s="1548"/>
      <c r="T330" s="1548"/>
      <c r="U330" s="2190">
        <f>ROWS(Y323:Y330)</f>
        <v>8</v>
      </c>
      <c r="V330" s="5549" t="str" cm="1">
        <f t="array" ref="V330">IF(SUMPRODUCT((Y330:AD330&lt;&gt;"")*1)=0,"",SUMPRODUCT((Y330:AD330&lt;&gt;"")*(LEN(TRIM(SUBSTITUTE(Y330:AD330,CHAR(160)," "))) - LEN(SUBSTITUTE(TRIM(SUBSTITUTE(Y330:AD330,CHAR(160)," "))," ","")) + 1)) &amp; " mot" &amp; IF(SUMPRODUCT((Y330:AD330&lt;&gt;"")*(LEN(TRIM(SUBSTITUTE(Y330:AD330,CHAR(160)," "))) - LEN(SUBSTITUTE(TRIM(SUBSTITUTE(Y330:AD330,CHAR(160)," "))," ","")) + 1))&gt;1,"s",""))</f>
        <v>5 mots</v>
      </c>
      <c r="W330" s="5550" t="str" cm="1">
        <f t="array" ref="W330">SUMPRODUCT(--(Y330:AD330&lt;&gt;""), LEN(TRIM(SUBSTITUTE(Y330:AD330, CHAR(160), "")))) &amp; " Car."</f>
        <v>36 Car.</v>
      </c>
      <c r="X330" s="1376" t="str">
        <f>IF(ISBLANK(Y330),"",LARGE(X322:X329,1)+1)</f>
        <v/>
      </c>
      <c r="Y330" s="1810"/>
      <c r="Z330" s="1810" t="s">
        <v>8380</v>
      </c>
      <c r="AA330" s="1810"/>
      <c r="AB330" s="1810"/>
      <c r="AC330" s="1810"/>
      <c r="AD330" s="1810"/>
      <c r="AE330" s="1810"/>
      <c r="AF330" s="1810"/>
      <c r="AG330" s="1811"/>
      <c r="AJ330" s="1711" t="str">
        <f t="shared" si="45"/>
        <v>A</v>
      </c>
      <c r="AK330" s="1616"/>
      <c r="AL330" s="1333" t="s">
        <v>21</v>
      </c>
      <c r="AM330" s="459"/>
      <c r="AN330" s="6602"/>
      <c r="AO330" s="6603" t="s">
        <v>8917</v>
      </c>
      <c r="AP330" s="6603"/>
      <c r="AQ330" s="9"/>
      <c r="AR330" s="9"/>
      <c r="AS330" s="38"/>
      <c r="AV330" s="3">
        <v>1</v>
      </c>
    </row>
    <row r="331" spans="2:48" ht="21" customHeight="1">
      <c r="B331" s="1610" cm="1">
        <f t="array" ref="B331">SUMPRODUCT(LEN(C331:K331))</f>
        <v>0</v>
      </c>
      <c r="C331" s="1810"/>
      <c r="D331" s="1810"/>
      <c r="E331" s="1810"/>
      <c r="F331" s="1810"/>
      <c r="G331" s="1810"/>
      <c r="H331" s="1810"/>
      <c r="I331" s="1810"/>
      <c r="J331" s="1810"/>
      <c r="K331" s="1810"/>
      <c r="L331" s="2126" t="str" cm="1">
        <f t="array" ref="L331">IF(B297&lt;=0,0,ROUNDUP(SUMPRODUCT(LEN(C331:K331))/B297,0))&amp;" ligne(s)"</f>
        <v>0 ligne(s)</v>
      </c>
      <c r="N331" s="1711" t="s">
        <v>10</v>
      </c>
      <c r="O331" s="163" t="str">
        <f>O299</f>
        <v>B BEIGNETS D'ACACIA | pâtisserie--Beignets| Auteur &gt; Au Féminin.com</v>
      </c>
      <c r="P331" s="163">
        <f>P299</f>
        <v>4</v>
      </c>
      <c r="Q331" s="164" t="str">
        <f>Q299</f>
        <v>personnes</v>
      </c>
      <c r="R331" s="165" t="str">
        <f>R299</f>
        <v>Recette mère ► Beignets d'acacia</v>
      </c>
      <c r="S331" s="1548"/>
      <c r="T331" s="1548"/>
      <c r="U331" s="2190">
        <f>ROWS(Y323:Y331)</f>
        <v>9</v>
      </c>
      <c r="V331" s="5549" t="str" cm="1">
        <f t="array" ref="V331">IF(SUMPRODUCT((Y331:AD331&lt;&gt;"")*1)=0,"",SUMPRODUCT((Y331:AD331&lt;&gt;"")*(LEN(TRIM(SUBSTITUTE(Y331:AD331,CHAR(160)," "))) - LEN(SUBSTITUTE(TRIM(SUBSTITUTE(Y331:AD331,CHAR(160)," "))," ","")) + 1)) &amp; " mot" &amp; IF(SUMPRODUCT((Y331:AD331&lt;&gt;"")*(LEN(TRIM(SUBSTITUTE(Y331:AD331,CHAR(160)," "))) - LEN(SUBSTITUTE(TRIM(SUBSTITUTE(Y331:AD331,CHAR(160)," "))," ","")) + 1))&gt;1,"s",""))</f>
        <v>13 mots</v>
      </c>
      <c r="W331" s="5550" t="str" cm="1">
        <f t="array" ref="W331">SUMPRODUCT(--(Y331:AD331&lt;&gt;""), LEN(TRIM(SUBSTITUTE(Y331:AD331, CHAR(160), "")))) &amp; " Car."</f>
        <v>74 Car.</v>
      </c>
      <c r="X331" s="1376">
        <f>IF(ISBLANK(Y331),"",LARGE(X322:X330,1)+1)</f>
        <v>4</v>
      </c>
      <c r="Y331" s="1810" t="s">
        <v>8370</v>
      </c>
      <c r="Z331" s="1810"/>
      <c r="AA331" s="1810"/>
      <c r="AB331" s="1810"/>
      <c r="AC331" s="1810"/>
      <c r="AD331" s="1810"/>
      <c r="AE331" s="1810"/>
      <c r="AF331" s="1810"/>
      <c r="AG331" s="1811"/>
      <c r="AJ331" s="1711" t="str">
        <f t="shared" ref="AJ331:AJ394" si="55">N331</f>
        <v>A</v>
      </c>
      <c r="AK331" s="1616"/>
      <c r="AL331" s="1333" t="s">
        <v>21</v>
      </c>
      <c r="AM331" s="459"/>
      <c r="AN331" s="6602"/>
      <c r="AO331" s="6603"/>
      <c r="AP331" s="6603"/>
      <c r="AQ331" s="2210"/>
      <c r="AR331" s="9"/>
      <c r="AS331" s="38"/>
      <c r="AV331" s="3">
        <v>1</v>
      </c>
    </row>
    <row r="332" spans="2:48" ht="21" customHeight="1">
      <c r="B332" s="1610" cm="1">
        <f t="array" ref="B332">SUMPRODUCT(LEN(C332:K332))</f>
        <v>69</v>
      </c>
      <c r="C332" s="1810" t="s">
        <v>8373</v>
      </c>
      <c r="D332" s="1810"/>
      <c r="E332" s="1810"/>
      <c r="F332" s="1810"/>
      <c r="G332" s="1810"/>
      <c r="H332" s="1810"/>
      <c r="I332" s="1810"/>
      <c r="J332" s="1810"/>
      <c r="K332" s="1810"/>
      <c r="L332" s="2126" t="str" cm="1">
        <f t="array" ref="L332">IF(B297&lt;=0,0,ROUNDUP(SUMPRODUCT(LEN(C332:K332))/B297,0))&amp;" ligne(s)"</f>
        <v>1 ligne(s)</v>
      </c>
      <c r="N332" s="1711" t="s">
        <v>10</v>
      </c>
      <c r="O332" s="163" t="str">
        <f>O299</f>
        <v>B BEIGNETS D'ACACIA | pâtisserie--Beignets| Auteur &gt; Au Féminin.com</v>
      </c>
      <c r="P332" s="163">
        <f>P299</f>
        <v>4</v>
      </c>
      <c r="Q332" s="164" t="str">
        <f>Q299</f>
        <v>personnes</v>
      </c>
      <c r="R332" s="165" t="str">
        <f>R299</f>
        <v>Recette mère ► Beignets d'acacia</v>
      </c>
      <c r="S332" s="1548"/>
      <c r="T332" s="1548"/>
      <c r="U332" s="2190">
        <f>ROWS(Y323:Y332)</f>
        <v>10</v>
      </c>
      <c r="V332" s="5549" t="str" cm="1">
        <f t="array" ref="V332">IF(SUMPRODUCT((Y332:AD332&lt;&gt;"")*1)=0,"",SUMPRODUCT((Y332:AD332&lt;&gt;"")*(LEN(TRIM(SUBSTITUTE(Y332:AD332,CHAR(160)," "))) - LEN(SUBSTITUTE(TRIM(SUBSTITUTE(Y332:AD332,CHAR(160)," "))," ","")) + 1)) &amp; " mot" &amp; IF(SUMPRODUCT((Y332:AD332&lt;&gt;"")*(LEN(TRIM(SUBSTITUTE(Y332:AD332,CHAR(160)," "))) - LEN(SUBSTITUTE(TRIM(SUBSTITUTE(Y332:AD332,CHAR(160)," "))," ","")) + 1))&gt;1,"s",""))</f>
        <v>8 mots</v>
      </c>
      <c r="W332" s="5550" t="str" cm="1">
        <f t="array" ref="W332">SUMPRODUCT(--(Y332:AD332&lt;&gt;""), LEN(TRIM(SUBSTITUTE(Y332:AD332, CHAR(160), "")))) &amp; " Car."</f>
        <v>59 Car.</v>
      </c>
      <c r="X332" s="1376">
        <f>IF(ISBLANK(Y332),"",LARGE(X322:X331,1)+1)</f>
        <v>5</v>
      </c>
      <c r="Y332" s="1810" t="s">
        <v>8371</v>
      </c>
      <c r="Z332" s="1810"/>
      <c r="AA332" s="1810"/>
      <c r="AB332" s="1810"/>
      <c r="AC332" s="1810"/>
      <c r="AD332" s="1810"/>
      <c r="AE332" s="1810"/>
      <c r="AF332" s="1810"/>
      <c r="AG332" s="1811"/>
      <c r="AJ332" s="1711" t="str">
        <f t="shared" si="55"/>
        <v>A</v>
      </c>
      <c r="AK332" s="1616"/>
      <c r="AL332" s="1333" t="s">
        <v>21</v>
      </c>
      <c r="AM332" s="459"/>
      <c r="AN332" s="6602"/>
      <c r="AO332" s="2195" t="s">
        <v>8918</v>
      </c>
      <c r="AP332" s="2194"/>
      <c r="AQ332" s="2210"/>
      <c r="AR332" s="9"/>
      <c r="AS332" s="38"/>
      <c r="AV332" s="3">
        <v>1</v>
      </c>
    </row>
    <row r="333" spans="2:48" ht="21" customHeight="1">
      <c r="B333" s="1610" cm="1">
        <f t="array" ref="B333">SUMPRODUCT(LEN(C333:K333))</f>
        <v>0</v>
      </c>
      <c r="C333" s="1810"/>
      <c r="D333" s="1810"/>
      <c r="E333" s="1810"/>
      <c r="F333" s="1810"/>
      <c r="G333" s="1810"/>
      <c r="H333" s="1810"/>
      <c r="I333" s="1810"/>
      <c r="J333" s="1810"/>
      <c r="K333" s="1810"/>
      <c r="L333" s="2126" t="str" cm="1">
        <f t="array" ref="L333">IF(B297&lt;=0,0,ROUNDUP(SUMPRODUCT(LEN(C333:K333))/B297,0))&amp;" ligne(s)"</f>
        <v>0 ligne(s)</v>
      </c>
      <c r="N333" s="1711" t="s">
        <v>10</v>
      </c>
      <c r="O333" s="163" t="str">
        <f>O299</f>
        <v>B BEIGNETS D'ACACIA | pâtisserie--Beignets| Auteur &gt; Au Féminin.com</v>
      </c>
      <c r="P333" s="1943">
        <f>P299</f>
        <v>4</v>
      </c>
      <c r="Q333" s="164" t="str">
        <f>Q299</f>
        <v>personnes</v>
      </c>
      <c r="R333" s="165" t="str">
        <f>R299</f>
        <v>Recette mère ► Beignets d'acacia</v>
      </c>
      <c r="S333" s="1548"/>
      <c r="T333" s="1548"/>
      <c r="U333" s="2190">
        <f>ROWS(Y323:Y333)</f>
        <v>11</v>
      </c>
      <c r="V333" s="5549" t="str" cm="1">
        <f t="array" ref="V333">IF(SUMPRODUCT((Y333:AD333&lt;&gt;"")*1)=0,"",SUMPRODUCT((Y333:AD333&lt;&gt;"")*(LEN(TRIM(SUBSTITUTE(Y333:AD333,CHAR(160)," "))) - LEN(SUBSTITUTE(TRIM(SUBSTITUTE(Y333:AD333,CHAR(160)," "))," ","")) + 1)) &amp; " mot" &amp; IF(SUMPRODUCT((Y333:AD333&lt;&gt;"")*(LEN(TRIM(SUBSTITUTE(Y333:AD333,CHAR(160)," "))) - LEN(SUBSTITUTE(TRIM(SUBSTITUTE(Y333:AD333,CHAR(160)," "))," ","")) + 1))&gt;1,"s",""))</f>
        <v/>
      </c>
      <c r="W333" s="5550" t="str" cm="1">
        <f t="array" ref="W333">SUMPRODUCT(--(Y333:AD333&lt;&gt;""), LEN(TRIM(SUBSTITUTE(Y333:AD333, CHAR(160), "")))) &amp; " Car."</f>
        <v>0 Car.</v>
      </c>
      <c r="X333" s="1376" t="str">
        <f>IF(ISBLANK(Y333),"",LARGE(X322:X332,1)+1)</f>
        <v/>
      </c>
      <c r="Y333" s="1810"/>
      <c r="Z333" s="1810"/>
      <c r="AA333" s="1810"/>
      <c r="AB333" s="1810"/>
      <c r="AC333" s="1810"/>
      <c r="AD333" s="1810"/>
      <c r="AE333" s="1810"/>
      <c r="AF333" s="1810"/>
      <c r="AG333" s="1811"/>
      <c r="AJ333" s="1711" t="str">
        <f t="shared" si="55"/>
        <v>A</v>
      </c>
      <c r="AK333" s="1616"/>
      <c r="AL333" s="1333" t="s">
        <v>21</v>
      </c>
      <c r="AM333" s="459"/>
      <c r="AN333" s="6602"/>
      <c r="AO333" s="2195" t="s">
        <v>8919</v>
      </c>
      <c r="AP333" s="2196"/>
      <c r="AQ333" s="2210"/>
      <c r="AR333" s="9"/>
      <c r="AS333" s="38"/>
      <c r="AV333" s="3">
        <v>1</v>
      </c>
    </row>
    <row r="334" spans="2:48" ht="21" customHeight="1">
      <c r="B334" s="1610" cm="1">
        <f t="array" ref="B334">SUMPRODUCT(LEN(C334:K334))</f>
        <v>80</v>
      </c>
      <c r="C334" s="1810" t="s">
        <v>8375</v>
      </c>
      <c r="D334" s="1810"/>
      <c r="E334" s="1810"/>
      <c r="F334" s="1810"/>
      <c r="G334" s="1810"/>
      <c r="H334" s="1810"/>
      <c r="I334" s="1810"/>
      <c r="J334" s="1810"/>
      <c r="K334" s="1810"/>
      <c r="L334" s="2126" t="str" cm="1">
        <f t="array" ref="L334">IF(B297&lt;=0,0,ROUNDUP(SUMPRODUCT(LEN(C334:K334))/B297,0))&amp;" ligne(s)"</f>
        <v>1 ligne(s)</v>
      </c>
      <c r="N334" s="1711" t="s">
        <v>10</v>
      </c>
      <c r="O334" s="163" t="str">
        <f>O299</f>
        <v>B BEIGNETS D'ACACIA | pâtisserie--Beignets| Auteur &gt; Au Féminin.com</v>
      </c>
      <c r="P334" s="163">
        <f>P299</f>
        <v>4</v>
      </c>
      <c r="Q334" s="164" t="str">
        <f>Q299</f>
        <v>personnes</v>
      </c>
      <c r="R334" s="165" t="str">
        <f>R299</f>
        <v>Recette mère ► Beignets d'acacia</v>
      </c>
      <c r="S334" s="1548"/>
      <c r="T334" s="1548"/>
      <c r="U334" s="2190">
        <f>ROWS(Y323:Y334)</f>
        <v>12</v>
      </c>
      <c r="V334" s="5549" t="str" cm="1">
        <f t="array" ref="V334">IF(SUMPRODUCT((Y334:AD334&lt;&gt;"")*1)=0,"",SUMPRODUCT((Y334:AD334&lt;&gt;"")*(LEN(TRIM(SUBSTITUTE(Y334:AD334,CHAR(160)," "))) - LEN(SUBSTITUTE(TRIM(SUBSTITUTE(Y334:AD334,CHAR(160)," "))," ","")) + 1)) &amp; " mot" &amp; IF(SUMPRODUCT((Y334:AD334&lt;&gt;"")*(LEN(TRIM(SUBSTITUTE(Y334:AD334,CHAR(160)," "))) - LEN(SUBSTITUTE(TRIM(SUBSTITUTE(Y334:AD334,CHAR(160)," "))," ","")) + 1))&gt;1,"s",""))</f>
        <v>18 mots</v>
      </c>
      <c r="W334" s="5550" t="str" cm="1">
        <f t="array" ref="W334">SUMPRODUCT(--(Y334:AD334&lt;&gt;""), LEN(TRIM(SUBSTITUTE(Y334:AD334, CHAR(160), "")))) &amp; " Car."</f>
        <v>97 Car.</v>
      </c>
      <c r="X334" s="1376">
        <f>IF(ISBLANK(Y334),"",LARGE(X322:X333,1)+1)</f>
        <v>6</v>
      </c>
      <c r="Y334" s="1810" t="s">
        <v>8372</v>
      </c>
      <c r="Z334" s="1810"/>
      <c r="AA334" s="1810"/>
      <c r="AB334" s="1810"/>
      <c r="AC334" s="1810"/>
      <c r="AD334" s="1810"/>
      <c r="AE334" s="1810"/>
      <c r="AF334" s="1810"/>
      <c r="AG334" s="1811"/>
      <c r="AJ334" s="1711" t="str">
        <f t="shared" si="55"/>
        <v>A</v>
      </c>
      <c r="AK334" s="1616"/>
      <c r="AL334" s="1333" t="s">
        <v>21</v>
      </c>
      <c r="AM334" s="459"/>
      <c r="AN334" s="6602"/>
      <c r="AO334" s="2197" t="s">
        <v>8920</v>
      </c>
      <c r="AP334" s="2196"/>
      <c r="AQ334" s="2210"/>
      <c r="AR334" s="9"/>
      <c r="AS334" s="38"/>
      <c r="AV334" s="3">
        <v>1</v>
      </c>
    </row>
    <row r="335" spans="2:48" ht="21" customHeight="1">
      <c r="B335" s="1610" cm="1">
        <f t="array" ref="B335">SUMPRODUCT(LEN(C335:K335))</f>
        <v>0</v>
      </c>
      <c r="C335" s="1810"/>
      <c r="D335" s="1810"/>
      <c r="E335" s="1810"/>
      <c r="F335" s="1810"/>
      <c r="G335" s="1810"/>
      <c r="H335" s="1810"/>
      <c r="I335" s="1810"/>
      <c r="J335" s="1810"/>
      <c r="K335" s="1810"/>
      <c r="L335" s="2126" t="str" cm="1">
        <f t="array" ref="L335">IF(B297&lt;=0,0,ROUNDUP(SUMPRODUCT(LEN(C335:K335))/B297,0))&amp;" ligne(s)"</f>
        <v>0 ligne(s)</v>
      </c>
      <c r="N335" s="1711" t="s">
        <v>10</v>
      </c>
      <c r="O335" s="163" t="str">
        <f>O299</f>
        <v>B BEIGNETS D'ACACIA | pâtisserie--Beignets| Auteur &gt; Au Féminin.com</v>
      </c>
      <c r="P335" s="163">
        <f>P299</f>
        <v>4</v>
      </c>
      <c r="Q335" s="164" t="str">
        <f>Q299</f>
        <v>personnes</v>
      </c>
      <c r="R335" s="165" t="str">
        <f>R299</f>
        <v>Recette mère ► Beignets d'acacia</v>
      </c>
      <c r="S335" s="1548"/>
      <c r="T335" s="1548"/>
      <c r="U335" s="2190">
        <f>ROWS(Y323:Y335)</f>
        <v>13</v>
      </c>
      <c r="V335" s="5549" t="str" cm="1">
        <f t="array" ref="V335">IF(SUMPRODUCT((Y335:AD335&lt;&gt;"")*1)=0,"",SUMPRODUCT((Y335:AD335&lt;&gt;"")*(LEN(TRIM(SUBSTITUTE(Y335:AD335,CHAR(160)," "))) - LEN(SUBSTITUTE(TRIM(SUBSTITUTE(Y335:AD335,CHAR(160)," "))," ","")) + 1)) &amp; " mot" &amp; IF(SUMPRODUCT((Y335:AD335&lt;&gt;"")*(LEN(TRIM(SUBSTITUTE(Y335:AD335,CHAR(160)," "))) - LEN(SUBSTITUTE(TRIM(SUBSTITUTE(Y335:AD335,CHAR(160)," "))," ","")) + 1))&gt;1,"s",""))</f>
        <v/>
      </c>
      <c r="W335" s="5550" t="str" cm="1">
        <f t="array" ref="W335">SUMPRODUCT(--(Y335:AD335&lt;&gt;""), LEN(TRIM(SUBSTITUTE(Y335:AD335, CHAR(160), "")))) &amp; " Car."</f>
        <v>0 Car.</v>
      </c>
      <c r="X335" s="1376" t="str">
        <f>IF(ISBLANK(Y335),"",LARGE(X322:X334,1)+1)</f>
        <v/>
      </c>
      <c r="Y335" s="1810"/>
      <c r="Z335" s="1810"/>
      <c r="AA335" s="1810"/>
      <c r="AB335" s="1810"/>
      <c r="AC335" s="1810"/>
      <c r="AD335" s="1810"/>
      <c r="AE335" s="1810"/>
      <c r="AF335" s="1810"/>
      <c r="AG335" s="1811"/>
      <c r="AJ335" s="1711" t="str">
        <f t="shared" si="55"/>
        <v>A</v>
      </c>
      <c r="AK335" s="1616"/>
      <c r="AL335" s="1333" t="s">
        <v>21</v>
      </c>
      <c r="AM335" s="459"/>
      <c r="AN335" s="6602"/>
      <c r="AO335" s="2197" t="s">
        <v>8921</v>
      </c>
      <c r="AP335" s="2194"/>
      <c r="AQ335" s="2210"/>
      <c r="AR335" s="9"/>
      <c r="AS335" s="38"/>
      <c r="AV335" s="3">
        <v>1</v>
      </c>
    </row>
    <row r="336" spans="2:48" ht="21" customHeight="1">
      <c r="B336" s="1610" cm="1">
        <f t="array" ref="B336">SUMPRODUCT(LEN(C336:K336))</f>
        <v>92</v>
      </c>
      <c r="C336" s="1810" t="s">
        <v>8376</v>
      </c>
      <c r="D336" s="1810"/>
      <c r="E336" s="1810"/>
      <c r="F336" s="1810"/>
      <c r="G336" s="1810"/>
      <c r="H336" s="1810"/>
      <c r="I336" s="1810"/>
      <c r="J336" s="1810"/>
      <c r="K336" s="1810"/>
      <c r="L336" s="2126" t="str" cm="1">
        <f t="array" ref="L336">IF(B297&lt;=0,0,ROUNDUP(SUMPRODUCT(LEN(C336:K336))/B297,0))&amp;" ligne(s)"</f>
        <v>2 ligne(s)</v>
      </c>
      <c r="N336" s="1711" t="s">
        <v>10</v>
      </c>
      <c r="O336" s="163" t="str">
        <f>O299</f>
        <v>B BEIGNETS D'ACACIA | pâtisserie--Beignets| Auteur &gt; Au Féminin.com</v>
      </c>
      <c r="P336" s="163">
        <f>P299</f>
        <v>4</v>
      </c>
      <c r="Q336" s="164" t="str">
        <f>Q299</f>
        <v>personnes</v>
      </c>
      <c r="R336" s="165" t="str">
        <f>R299</f>
        <v>Recette mère ► Beignets d'acacia</v>
      </c>
      <c r="S336" s="1548"/>
      <c r="T336" s="1548"/>
      <c r="U336" s="2190">
        <f>ROWS(Y323:Y336)</f>
        <v>14</v>
      </c>
      <c r="V336" s="5549" t="str" cm="1">
        <f t="array" ref="V336">IF(SUMPRODUCT((Y336:AD336&lt;&gt;"")*1)=0,"",SUMPRODUCT((Y336:AD336&lt;&gt;"")*(LEN(TRIM(SUBSTITUTE(Y336:AD336,CHAR(160)," "))) - LEN(SUBSTITUTE(TRIM(SUBSTITUTE(Y336:AD336,CHAR(160)," "))," ","")) + 1)) &amp; " mot" &amp; IF(SUMPRODUCT((Y336:AD336&lt;&gt;"")*(LEN(TRIM(SUBSTITUTE(Y336:AD336,CHAR(160)," "))) - LEN(SUBSTITUTE(TRIM(SUBSTITUTE(Y336:AD336,CHAR(160)," "))," ","")) + 1))&gt;1,"s",""))</f>
        <v/>
      </c>
      <c r="W336" s="5550" t="str" cm="1">
        <f t="array" ref="W336">SUMPRODUCT(--(Y336:AD336&lt;&gt;""), LEN(TRIM(SUBSTITUTE(Y336:AD336, CHAR(160), "")))) &amp; " Car."</f>
        <v>0 Car.</v>
      </c>
      <c r="X336" s="1376" t="str">
        <f>IF(ISBLANK(Y336),"",LARGE(X322:X335,1)+1)</f>
        <v/>
      </c>
      <c r="Y336" s="1810"/>
      <c r="Z336" s="1810"/>
      <c r="AA336" s="1810"/>
      <c r="AB336" s="1810"/>
      <c r="AC336" s="1810"/>
      <c r="AD336" s="1810"/>
      <c r="AE336" s="1810"/>
      <c r="AF336" s="1810"/>
      <c r="AG336" s="1811"/>
      <c r="AJ336" s="1711" t="str">
        <f t="shared" si="55"/>
        <v>A</v>
      </c>
      <c r="AK336" s="1616"/>
      <c r="AL336" s="1333" t="s">
        <v>21</v>
      </c>
      <c r="AM336" s="459"/>
      <c r="AN336" s="6602"/>
      <c r="AO336" s="2198" t="s">
        <v>8922</v>
      </c>
      <c r="AP336" s="2194"/>
      <c r="AQ336" s="2210"/>
      <c r="AR336" s="9"/>
      <c r="AS336" s="38"/>
      <c r="AV336" s="3">
        <v>1</v>
      </c>
    </row>
    <row r="337" spans="2:48" ht="21" customHeight="1">
      <c r="B337" s="1610" cm="1">
        <f t="array" ref="B337">SUMPRODUCT(LEN(C337:K337))</f>
        <v>0</v>
      </c>
      <c r="C337" s="1810"/>
      <c r="D337" s="1810"/>
      <c r="E337" s="1810"/>
      <c r="F337" s="1810"/>
      <c r="G337" s="1810"/>
      <c r="H337" s="1810"/>
      <c r="I337" s="1810"/>
      <c r="J337" s="1810"/>
      <c r="K337" s="1810"/>
      <c r="L337" s="2126" t="str" cm="1">
        <f t="array" ref="L337">IF(B297&lt;=0,0,ROUNDUP(SUMPRODUCT(LEN(C337:K337))/B297,0))&amp;" ligne(s)"</f>
        <v>0 ligne(s)</v>
      </c>
      <c r="N337" s="1711" t="s">
        <v>10</v>
      </c>
      <c r="O337" s="163" t="str">
        <f>O299</f>
        <v>B BEIGNETS D'ACACIA | pâtisserie--Beignets| Auteur &gt; Au Féminin.com</v>
      </c>
      <c r="P337" s="163">
        <f>P299</f>
        <v>4</v>
      </c>
      <c r="Q337" s="164" t="str">
        <f>Q299</f>
        <v>personnes</v>
      </c>
      <c r="R337" s="165" t="str">
        <f>R299</f>
        <v>Recette mère ► Beignets d'acacia</v>
      </c>
      <c r="S337" s="1548"/>
      <c r="T337" s="1548"/>
      <c r="U337" s="2190">
        <f>ROWS(Y323:Y337)</f>
        <v>15</v>
      </c>
      <c r="V337" s="5549" t="str" cm="1">
        <f t="array" ref="V337">IF(SUMPRODUCT((Y337:AD337&lt;&gt;"")*1)=0,"",SUMPRODUCT((Y337:AD337&lt;&gt;"")*(LEN(TRIM(SUBSTITUTE(Y337:AD337,CHAR(160)," "))) - LEN(SUBSTITUTE(TRIM(SUBSTITUTE(Y337:AD337,CHAR(160)," "))," ","")) + 1)) &amp; " mot" &amp; IF(SUMPRODUCT((Y337:AD337&lt;&gt;"")*(LEN(TRIM(SUBSTITUTE(Y337:AD337,CHAR(160)," "))) - LEN(SUBSTITUTE(TRIM(SUBSTITUTE(Y337:AD337,CHAR(160)," "))," ","")) + 1))&gt;1,"s",""))</f>
        <v/>
      </c>
      <c r="W337" s="5550" t="str" cm="1">
        <f t="array" ref="W337">SUMPRODUCT(--(Y337:AD337&lt;&gt;""), LEN(TRIM(SUBSTITUTE(Y337:AD337, CHAR(160), "")))) &amp; " Car."</f>
        <v>0 Car.</v>
      </c>
      <c r="X337" s="1376" t="str">
        <f>IF(ISBLANK(Y337),"",LARGE(X322:X336,1)+1)</f>
        <v/>
      </c>
      <c r="Y337" s="1810"/>
      <c r="Z337" s="1810"/>
      <c r="AA337" s="1810"/>
      <c r="AB337" s="1810"/>
      <c r="AC337" s="1810"/>
      <c r="AD337" s="1810"/>
      <c r="AE337" s="1810"/>
      <c r="AF337" s="1810"/>
      <c r="AG337" s="1811"/>
      <c r="AJ337" s="1711" t="str">
        <f t="shared" si="55"/>
        <v>A</v>
      </c>
      <c r="AK337" s="1616"/>
      <c r="AL337" s="1333" t="s">
        <v>21</v>
      </c>
      <c r="AM337" s="459"/>
      <c r="AN337" s="6602"/>
      <c r="AO337" s="2198" t="s">
        <v>8923</v>
      </c>
      <c r="AP337" s="2194"/>
      <c r="AQ337" s="2210"/>
      <c r="AR337" s="9"/>
      <c r="AS337" s="38"/>
      <c r="AV337" s="3">
        <v>1</v>
      </c>
    </row>
    <row r="338" spans="2:48" ht="21" customHeight="1">
      <c r="B338" s="1610" cm="1">
        <f t="array" ref="B338">SUMPRODUCT(LEN(C338:K338))</f>
        <v>92</v>
      </c>
      <c r="C338" s="1810" t="s">
        <v>8379</v>
      </c>
      <c r="D338" s="1810"/>
      <c r="E338" s="1810"/>
      <c r="F338" s="1810"/>
      <c r="G338" s="1810"/>
      <c r="H338" s="1810"/>
      <c r="I338" s="1810"/>
      <c r="J338" s="1810"/>
      <c r="K338" s="1810"/>
      <c r="L338" s="2126" t="str" cm="1">
        <f t="array" ref="L338">IF(B297&lt;=0,0,ROUNDUP(SUMPRODUCT(LEN(C338:K338))/B297,0))&amp;" ligne(s)"</f>
        <v>2 ligne(s)</v>
      </c>
      <c r="N338" s="1711" t="s">
        <v>10</v>
      </c>
      <c r="O338" s="163" t="str">
        <f>O299</f>
        <v>B BEIGNETS D'ACACIA | pâtisserie--Beignets| Auteur &gt; Au Féminin.com</v>
      </c>
      <c r="P338" s="163">
        <f>P299</f>
        <v>4</v>
      </c>
      <c r="Q338" s="164" t="str">
        <f>Q299</f>
        <v>personnes</v>
      </c>
      <c r="R338" s="165" t="str">
        <f>R299</f>
        <v>Recette mère ► Beignets d'acacia</v>
      </c>
      <c r="S338" s="1548"/>
      <c r="T338" s="1548"/>
      <c r="U338" s="2190">
        <f>ROWS(Y323:Y338)</f>
        <v>16</v>
      </c>
      <c r="V338" s="5549" t="str" cm="1">
        <f t="array" ref="V338">IF(SUMPRODUCT((Y338:AD338&lt;&gt;"")*1)=0,"",SUMPRODUCT((Y338:AD338&lt;&gt;"")*(LEN(TRIM(SUBSTITUTE(Y338:AD338,CHAR(160)," "))) - LEN(SUBSTITUTE(TRIM(SUBSTITUTE(Y338:AD338,CHAR(160)," "))," ","")) + 1)) &amp; " mot" &amp; IF(SUMPRODUCT((Y338:AD338&lt;&gt;"")*(LEN(TRIM(SUBSTITUTE(Y338:AD338,CHAR(160)," "))) - LEN(SUBSTITUTE(TRIM(SUBSTITUTE(Y338:AD338,CHAR(160)," "))," ","")) + 1))&gt;1,"s",""))</f>
        <v/>
      </c>
      <c r="W338" s="5550" t="str" cm="1">
        <f t="array" ref="W338">SUMPRODUCT(--(Y338:AD338&lt;&gt;""), LEN(TRIM(SUBSTITUTE(Y338:AD338, CHAR(160), "")))) &amp; " Car."</f>
        <v>0 Car.</v>
      </c>
      <c r="X338" s="1376" t="str">
        <f>IF(ISBLANK(Y338),"",LARGE(X322:X337,1)+1)</f>
        <v/>
      </c>
      <c r="Y338" s="1810"/>
      <c r="Z338" s="1810"/>
      <c r="AA338" s="1810"/>
      <c r="AB338" s="1810"/>
      <c r="AC338" s="1810"/>
      <c r="AD338" s="1810"/>
      <c r="AE338" s="1810"/>
      <c r="AF338" s="1810"/>
      <c r="AG338" s="1811"/>
      <c r="AJ338" s="1711" t="str">
        <f t="shared" si="55"/>
        <v>A</v>
      </c>
      <c r="AK338" s="1616"/>
      <c r="AL338" s="1333" t="s">
        <v>21</v>
      </c>
      <c r="AM338" s="459"/>
      <c r="AN338" s="6602"/>
      <c r="AO338" s="2199"/>
      <c r="AP338" s="2194"/>
      <c r="AQ338" s="2210"/>
      <c r="AR338" s="9"/>
      <c r="AS338" s="38"/>
      <c r="AV338" s="3">
        <v>1</v>
      </c>
    </row>
    <row r="339" spans="2:48" ht="21" customHeight="1">
      <c r="B339" s="1610" cm="1">
        <f t="array" ref="B339">SUMPRODUCT(LEN(C339:K339))</f>
        <v>0</v>
      </c>
      <c r="C339" s="1810"/>
      <c r="D339" s="1810"/>
      <c r="E339" s="1810"/>
      <c r="F339" s="1810"/>
      <c r="G339" s="1810"/>
      <c r="H339" s="1810"/>
      <c r="I339" s="1810"/>
      <c r="J339" s="1810"/>
      <c r="K339" s="1810"/>
      <c r="L339" s="2126" t="str" cm="1">
        <f t="array" ref="L339">IF(B297&lt;=0,0,ROUNDUP(SUMPRODUCT(LEN(C339:K339))/B297,0))&amp;" ligne(s)"</f>
        <v>0 ligne(s)</v>
      </c>
      <c r="N339" s="1711" t="s">
        <v>10</v>
      </c>
      <c r="O339" s="163" t="str">
        <f>O299</f>
        <v>B BEIGNETS D'ACACIA | pâtisserie--Beignets| Auteur &gt; Au Féminin.com</v>
      </c>
      <c r="P339" s="163">
        <f>P299</f>
        <v>4</v>
      </c>
      <c r="Q339" s="164" t="str">
        <f>Q299</f>
        <v>personnes</v>
      </c>
      <c r="R339" s="165" t="str">
        <f>R299</f>
        <v>Recette mère ► Beignets d'acacia</v>
      </c>
      <c r="S339" s="1548"/>
      <c r="T339" s="1548"/>
      <c r="U339" s="2190">
        <f>ROWS(Y323:Y339)</f>
        <v>17</v>
      </c>
      <c r="V339" s="5549" t="str" cm="1">
        <f t="array" ref="V339">IF(SUMPRODUCT((Y339:AD339&lt;&gt;"")*1)=0,"",SUMPRODUCT((Y339:AD339&lt;&gt;"")*(LEN(TRIM(SUBSTITUTE(Y339:AD339,CHAR(160)," "))) - LEN(SUBSTITUTE(TRIM(SUBSTITUTE(Y339:AD339,CHAR(160)," "))," ","")) + 1)) &amp; " mot" &amp; IF(SUMPRODUCT((Y339:AD339&lt;&gt;"")*(LEN(TRIM(SUBSTITUTE(Y339:AD339,CHAR(160)," "))) - LEN(SUBSTITUTE(TRIM(SUBSTITUTE(Y339:AD339,CHAR(160)," "))," ","")) + 1))&gt;1,"s",""))</f>
        <v/>
      </c>
      <c r="W339" s="5550" t="str" cm="1">
        <f t="array" ref="W339">SUMPRODUCT(--(Y339:AD339&lt;&gt;""), LEN(TRIM(SUBSTITUTE(Y339:AD339, CHAR(160), "")))) &amp; " Car."</f>
        <v>0 Car.</v>
      </c>
      <c r="X339" s="1376"/>
      <c r="Y339" s="1810"/>
      <c r="Z339" s="1810"/>
      <c r="AA339" s="1810"/>
      <c r="AB339" s="1810"/>
      <c r="AC339" s="1810"/>
      <c r="AD339" s="1810"/>
      <c r="AE339" s="1810"/>
      <c r="AF339" s="1810"/>
      <c r="AG339" s="1811"/>
      <c r="AJ339" s="1711" t="str">
        <f t="shared" si="55"/>
        <v>A</v>
      </c>
      <c r="AK339" s="1616"/>
      <c r="AL339" s="1333" t="s">
        <v>21</v>
      </c>
      <c r="AM339" s="459"/>
      <c r="AN339" s="2216" t="s">
        <v>8924</v>
      </c>
      <c r="AO339" s="2200"/>
      <c r="AP339" s="2200"/>
      <c r="AQ339" s="2210"/>
      <c r="AR339" s="9"/>
      <c r="AS339" s="38"/>
      <c r="AV339" s="3">
        <v>1</v>
      </c>
    </row>
    <row r="340" spans="2:48" ht="21" customHeight="1">
      <c r="B340" s="1610" cm="1">
        <f t="array" ref="B340">SUMPRODUCT(LEN(C340:K340))</f>
        <v>82</v>
      </c>
      <c r="C340" s="1810" t="s">
        <v>8381</v>
      </c>
      <c r="D340" s="1810"/>
      <c r="E340" s="1810"/>
      <c r="F340" s="1810"/>
      <c r="G340" s="1810"/>
      <c r="H340" s="1810"/>
      <c r="I340" s="1810"/>
      <c r="J340" s="1810"/>
      <c r="K340" s="1810"/>
      <c r="L340" s="2126" t="str" cm="1">
        <f t="array" ref="L340">IF(B297&lt;=0,0,ROUNDUP(SUMPRODUCT(LEN(C340:K340))/B297,0))&amp;" ligne(s)"</f>
        <v>1 ligne(s)</v>
      </c>
      <c r="N340" s="1711" t="s">
        <v>10</v>
      </c>
      <c r="O340" s="163" t="str">
        <f>O299</f>
        <v>B BEIGNETS D'ACACIA | pâtisserie--Beignets| Auteur &gt; Au Féminin.com</v>
      </c>
      <c r="P340" s="163">
        <f>P299</f>
        <v>4</v>
      </c>
      <c r="Q340" s="164" t="str">
        <f>Q299</f>
        <v>personnes</v>
      </c>
      <c r="R340" s="165" t="str">
        <f>R299</f>
        <v>Recette mère ► Beignets d'acacia</v>
      </c>
      <c r="S340" s="1548"/>
      <c r="T340" s="1548"/>
      <c r="U340" s="2190">
        <f>ROWS(Y323:Y340)</f>
        <v>18</v>
      </c>
      <c r="V340" s="5549" t="str" cm="1">
        <f t="array" ref="V340">IF(SUMPRODUCT((Y340:AD340&lt;&gt;"")*1)=0,"",SUMPRODUCT((Y340:AD340&lt;&gt;"")*(LEN(TRIM(SUBSTITUTE(Y340:AD340,CHAR(160)," "))) - LEN(SUBSTITUTE(TRIM(SUBSTITUTE(Y340:AD340,CHAR(160)," "))," ","")) + 1)) &amp; " mot" &amp; IF(SUMPRODUCT((Y340:AD340&lt;&gt;"")*(LEN(TRIM(SUBSTITUTE(Y340:AD340,CHAR(160)," "))) - LEN(SUBSTITUTE(TRIM(SUBSTITUTE(Y340:AD340,CHAR(160)," "))," ","")) + 1))&gt;1,"s",""))</f>
        <v/>
      </c>
      <c r="W340" s="5550" t="str" cm="1">
        <f t="array" ref="W340">SUMPRODUCT(--(Y340:AD340&lt;&gt;""), LEN(TRIM(SUBSTITUTE(Y340:AD340, CHAR(160), "")))) &amp; " Car."</f>
        <v>0 Car.</v>
      </c>
      <c r="X340" s="1376"/>
      <c r="Y340" s="1810"/>
      <c r="Z340" s="1810"/>
      <c r="AA340" s="1810"/>
      <c r="AB340" s="1810"/>
      <c r="AC340" s="1810"/>
      <c r="AD340" s="1810"/>
      <c r="AE340" s="1810"/>
      <c r="AF340" s="1810"/>
      <c r="AG340" s="1811"/>
      <c r="AJ340" s="1711" t="str">
        <f t="shared" si="55"/>
        <v>A</v>
      </c>
      <c r="AK340" s="1616"/>
      <c r="AL340" s="1333" t="s">
        <v>21</v>
      </c>
      <c r="AM340" s="459"/>
      <c r="AN340" s="9"/>
      <c r="AO340" s="9"/>
      <c r="AP340" s="9"/>
      <c r="AQ340" s="9"/>
      <c r="AR340" s="9"/>
      <c r="AS340" s="38"/>
      <c r="AV340" s="3">
        <v>1</v>
      </c>
    </row>
    <row r="341" spans="2:48" ht="21" customHeight="1">
      <c r="B341" s="1610" cm="1">
        <f t="array" ref="B341">SUMPRODUCT(LEN(C341:K341))</f>
        <v>98</v>
      </c>
      <c r="C341" s="1810" t="s">
        <v>8382</v>
      </c>
      <c r="D341" s="1810"/>
      <c r="E341" s="1810"/>
      <c r="F341" s="1810"/>
      <c r="G341" s="1810"/>
      <c r="H341" s="1810"/>
      <c r="I341" s="1810"/>
      <c r="J341" s="1810"/>
      <c r="K341" s="1810"/>
      <c r="L341" s="2126" t="str" cm="1">
        <f t="array" ref="L341">IF(B297&lt;=0,0,ROUNDUP(SUMPRODUCT(LEN(C341:K341))/B297,0))&amp;" ligne(s)"</f>
        <v>2 ligne(s)</v>
      </c>
      <c r="N341" s="1711" t="s">
        <v>10</v>
      </c>
      <c r="O341" s="163" t="str">
        <f>O299</f>
        <v>B BEIGNETS D'ACACIA | pâtisserie--Beignets| Auteur &gt; Au Féminin.com</v>
      </c>
      <c r="P341" s="163">
        <f>P299</f>
        <v>4</v>
      </c>
      <c r="Q341" s="164" t="str">
        <f>Q299</f>
        <v>personnes</v>
      </c>
      <c r="R341" s="165" t="str">
        <f>R299</f>
        <v>Recette mère ► Beignets d'acacia</v>
      </c>
      <c r="S341" s="1548"/>
      <c r="T341" s="1548"/>
      <c r="U341" s="2190">
        <f>ROWS(Y323:Y341)</f>
        <v>19</v>
      </c>
      <c r="V341" s="5549" t="str" cm="1">
        <f t="array" ref="V341">IF(SUMPRODUCT((Y341:AD341&lt;&gt;"")*1)=0,"",SUMPRODUCT((Y341:AD341&lt;&gt;"")*(LEN(TRIM(SUBSTITUTE(Y341:AD341,CHAR(160)," "))) - LEN(SUBSTITUTE(TRIM(SUBSTITUTE(Y341:AD341,CHAR(160)," "))," ","")) + 1)) &amp; " mot" &amp; IF(SUMPRODUCT((Y341:AD341&lt;&gt;"")*(LEN(TRIM(SUBSTITUTE(Y341:AD341,CHAR(160)," "))) - LEN(SUBSTITUTE(TRIM(SUBSTITUTE(Y341:AD341,CHAR(160)," "))," ","")) + 1))&gt;1,"s",""))</f>
        <v/>
      </c>
      <c r="W341" s="5550" t="str" cm="1">
        <f t="array" ref="W341">SUMPRODUCT(--(Y341:AD341&lt;&gt;""), LEN(TRIM(SUBSTITUTE(Y341:AD341, CHAR(160), "")))) &amp; " Car."</f>
        <v>0 Car.</v>
      </c>
      <c r="X341" s="1376" t="str">
        <f>IF(ISBLANK(Y341),"",LARGE(X322:X340,1)+1)</f>
        <v/>
      </c>
      <c r="Y341" s="1810"/>
      <c r="Z341" s="1810"/>
      <c r="AA341" s="1810"/>
      <c r="AB341" s="1810"/>
      <c r="AC341" s="1810"/>
      <c r="AD341" s="1810"/>
      <c r="AE341" s="1810"/>
      <c r="AF341" s="1810"/>
      <c r="AG341" s="1811"/>
      <c r="AJ341" s="1711" t="str">
        <f t="shared" si="55"/>
        <v>A</v>
      </c>
      <c r="AK341" s="1616"/>
      <c r="AL341" s="1333" t="s">
        <v>21</v>
      </c>
      <c r="AM341" s="459"/>
      <c r="AN341" s="2214" t="s">
        <v>8925</v>
      </c>
      <c r="AO341" s="2192"/>
      <c r="AP341" s="9"/>
      <c r="AQ341" s="9"/>
      <c r="AR341" s="9"/>
      <c r="AS341" s="38"/>
      <c r="AV341" s="3">
        <v>1</v>
      </c>
    </row>
    <row r="342" spans="2:48" ht="21" customHeight="1">
      <c r="B342" s="1610" cm="1">
        <f t="array" ref="B342">SUMPRODUCT(LEN(C342:K342))</f>
        <v>79</v>
      </c>
      <c r="C342" s="1810" t="s">
        <v>8383</v>
      </c>
      <c r="D342" s="1810"/>
      <c r="E342" s="1810"/>
      <c r="F342" s="1810"/>
      <c r="G342" s="1810"/>
      <c r="H342" s="1810"/>
      <c r="I342" s="1810"/>
      <c r="J342" s="1810"/>
      <c r="K342" s="1810"/>
      <c r="L342" s="2126" t="str" cm="1">
        <f t="array" ref="L342">IF(B297&lt;=0,0,ROUNDUP(SUMPRODUCT(LEN(C342:K342))/B297,0))&amp;" ligne(s)"</f>
        <v>1 ligne(s)</v>
      </c>
      <c r="N342" s="1711" t="s">
        <v>10</v>
      </c>
      <c r="O342" s="163" t="str">
        <f>O299</f>
        <v>B BEIGNETS D'ACACIA | pâtisserie--Beignets| Auteur &gt; Au Féminin.com</v>
      </c>
      <c r="P342" s="163">
        <f>P299</f>
        <v>4</v>
      </c>
      <c r="Q342" s="164" t="str">
        <f>Q299</f>
        <v>personnes</v>
      </c>
      <c r="R342" s="165" t="str">
        <f>R299</f>
        <v>Recette mère ► Beignets d'acacia</v>
      </c>
      <c r="S342" s="1548"/>
      <c r="T342" s="1548"/>
      <c r="U342" s="2190">
        <f>ROWS(Y323:Y342)</f>
        <v>20</v>
      </c>
      <c r="V342" s="5549" t="str" cm="1">
        <f t="array" ref="V342">IF(SUMPRODUCT((Y342:AD342&lt;&gt;"")*1)=0,"",SUMPRODUCT((Y342:AD342&lt;&gt;"")*(LEN(TRIM(SUBSTITUTE(Y342:AD342,CHAR(160)," "))) - LEN(SUBSTITUTE(TRIM(SUBSTITUTE(Y342:AD342,CHAR(160)," "))," ","")) + 1)) &amp; " mot" &amp; IF(SUMPRODUCT((Y342:AD342&lt;&gt;"")*(LEN(TRIM(SUBSTITUTE(Y342:AD342,CHAR(160)," "))) - LEN(SUBSTITUTE(TRIM(SUBSTITUTE(Y342:AD342,CHAR(160)," "))," ","")) + 1))&gt;1,"s",""))</f>
        <v>13 mots</v>
      </c>
      <c r="W342" s="5550" t="str" cm="1">
        <f t="array" ref="W342">SUMPRODUCT(--(Y342:AD342&lt;&gt;""), LEN(TRIM(SUBSTITUTE(Y342:AD342, CHAR(160), "")))) &amp; " Car."</f>
        <v>80 Car.</v>
      </c>
      <c r="X342" s="1376" t="str">
        <f>IF(ISBLANK(Y342),"",LARGE(X322:X341,1)+1)</f>
        <v/>
      </c>
      <c r="Y342" s="1810"/>
      <c r="Z342" s="1810" t="s">
        <v>14252</v>
      </c>
      <c r="AA342" s="1810"/>
      <c r="AB342" s="1810"/>
      <c r="AC342" s="1810"/>
      <c r="AD342" s="1810"/>
      <c r="AE342" s="1810"/>
      <c r="AF342" s="1810"/>
      <c r="AG342" s="1811"/>
      <c r="AJ342" s="1711" t="str">
        <f t="shared" si="55"/>
        <v>A</v>
      </c>
      <c r="AK342" s="1616"/>
      <c r="AL342" s="1333" t="s">
        <v>21</v>
      </c>
      <c r="AM342" s="459"/>
      <c r="AN342" s="2215" t="s">
        <v>2535</v>
      </c>
      <c r="AO342" s="2192"/>
      <c r="AP342" s="9"/>
      <c r="AQ342" s="9"/>
      <c r="AR342" s="9"/>
      <c r="AS342" s="38"/>
      <c r="AV342" s="3">
        <v>1</v>
      </c>
    </row>
    <row r="343" spans="2:48" ht="21" customHeight="1" thickBot="1">
      <c r="B343" s="1610" cm="1">
        <f t="array" ref="B343">SUMPRODUCT(LEN(C343:K343))</f>
        <v>73</v>
      </c>
      <c r="C343" s="1810" t="s">
        <v>8384</v>
      </c>
      <c r="D343" s="1810"/>
      <c r="E343" s="1810"/>
      <c r="F343" s="1810"/>
      <c r="G343" s="1810"/>
      <c r="H343" s="1810"/>
      <c r="I343" s="1810"/>
      <c r="J343" s="1810"/>
      <c r="K343" s="1810"/>
      <c r="L343" s="2126" t="str" cm="1">
        <f t="array" ref="L343">IF(B297&lt;=0,0,ROUNDUP(SUMPRODUCT(LEN(C343:K343))/B297,0))&amp;" ligne(s)"</f>
        <v>1 ligne(s)</v>
      </c>
      <c r="N343" s="1711" t="s">
        <v>10</v>
      </c>
      <c r="O343" s="163" t="str">
        <f>O299</f>
        <v>B BEIGNETS D'ACACIA | pâtisserie--Beignets| Auteur &gt; Au Féminin.com</v>
      </c>
      <c r="P343" s="163">
        <f>P299</f>
        <v>4</v>
      </c>
      <c r="Q343" s="164" t="str">
        <f>Q299</f>
        <v>personnes</v>
      </c>
      <c r="R343" s="165" t="str">
        <f>R299</f>
        <v>Recette mère ► Beignets d'acacia</v>
      </c>
      <c r="S343" s="172"/>
      <c r="T343" s="1378" t="s">
        <v>207</v>
      </c>
      <c r="U343" s="1712" t="s">
        <v>8475</v>
      </c>
      <c r="V343" s="176"/>
      <c r="W343" s="176"/>
      <c r="X343" s="176"/>
      <c r="Y343" s="176"/>
      <c r="Z343" s="176"/>
      <c r="AA343" s="176"/>
      <c r="AB343" s="176"/>
      <c r="AC343" s="176"/>
      <c r="AD343" s="176"/>
      <c r="AE343" s="176"/>
      <c r="AF343" s="176"/>
      <c r="AG343" s="884"/>
      <c r="AJ343" s="1711" t="str">
        <f t="shared" si="55"/>
        <v>A</v>
      </c>
      <c r="AK343" s="1616"/>
      <c r="AL343" s="1333" t="s">
        <v>21</v>
      </c>
      <c r="AM343" s="459"/>
      <c r="AN343" s="2192"/>
      <c r="AO343" s="2192"/>
      <c r="AP343" s="9"/>
      <c r="AQ343" s="9"/>
      <c r="AR343" s="9"/>
      <c r="AS343" s="38"/>
      <c r="AV343" s="3">
        <v>1</v>
      </c>
    </row>
    <row r="344" spans="2:48" ht="21" customHeight="1">
      <c r="B344" s="1610" cm="1">
        <f t="array" ref="B344">SUMPRODUCT(LEN(C344:K344))</f>
        <v>52</v>
      </c>
      <c r="C344" s="1810" t="s">
        <v>8385</v>
      </c>
      <c r="D344" s="1810"/>
      <c r="E344" s="1810"/>
      <c r="F344" s="1810"/>
      <c r="G344" s="1810"/>
      <c r="H344" s="1810"/>
      <c r="I344" s="1810"/>
      <c r="J344" s="1810"/>
      <c r="K344" s="1810"/>
      <c r="L344" s="2126" t="str" cm="1">
        <f t="array" ref="L344">IF(B297&lt;=0,0,ROUNDUP(SUMPRODUCT(LEN(C344:K344))/B297,0))&amp;" ligne(s)"</f>
        <v>1 ligne(s)</v>
      </c>
      <c r="N344" s="1711" t="s">
        <v>10</v>
      </c>
      <c r="O344" s="163" t="str">
        <f>O299</f>
        <v>B BEIGNETS D'ACACIA | pâtisserie--Beignets| Auteur &gt; Au Féminin.com</v>
      </c>
      <c r="P344" s="163">
        <f>P299</f>
        <v>4</v>
      </c>
      <c r="Q344" s="164" t="str">
        <f>Q299</f>
        <v>personnes</v>
      </c>
      <c r="R344" s="165" t="str">
        <f>R299</f>
        <v>Recette mère ► Beignets d'acacia</v>
      </c>
      <c r="S344" s="1379"/>
      <c r="T344" s="1380"/>
      <c r="U344" s="1380"/>
      <c r="V344" s="1380"/>
      <c r="W344" s="1380"/>
      <c r="X344" s="1380"/>
      <c r="Y344" s="1380"/>
      <c r="Z344" s="1381" t="s">
        <v>196</v>
      </c>
      <c r="AA344" s="202"/>
      <c r="AB344" s="202"/>
      <c r="AC344" s="202"/>
      <c r="AD344" s="202"/>
      <c r="AE344" s="202"/>
      <c r="AF344" s="202"/>
      <c r="AG344" s="885"/>
      <c r="AJ344" s="1711" t="str">
        <f t="shared" si="55"/>
        <v>A</v>
      </c>
      <c r="AK344" s="1616"/>
      <c r="AL344" s="1333" t="s">
        <v>21</v>
      </c>
      <c r="AM344" s="2201"/>
      <c r="AN344" s="186" t="s">
        <v>8926</v>
      </c>
      <c r="AO344" s="186"/>
      <c r="AP344" s="186"/>
      <c r="AQ344" s="9"/>
      <c r="AR344" s="9"/>
      <c r="AS344" s="38"/>
      <c r="AV344" s="3">
        <v>1</v>
      </c>
    </row>
    <row r="345" spans="2:48" ht="21" customHeight="1" thickBot="1">
      <c r="B345" s="1610" cm="1">
        <f t="array" ref="B345">SUMPRODUCT(LEN(C345:K345))</f>
        <v>0</v>
      </c>
      <c r="C345" s="1810"/>
      <c r="D345" s="1810"/>
      <c r="E345" s="1810"/>
      <c r="F345" s="1810"/>
      <c r="G345" s="1810"/>
      <c r="H345" s="1810"/>
      <c r="I345" s="1810"/>
      <c r="J345" s="1810"/>
      <c r="K345" s="1810"/>
      <c r="L345" s="2126" t="str" cm="1">
        <f t="array" ref="L345">IF(B297&lt;=0,0,ROUNDUP(SUMPRODUCT(LEN(C345:K345))/B297,0))&amp;" ligne(s)"</f>
        <v>0 ligne(s)</v>
      </c>
      <c r="N345" s="1711" t="s">
        <v>10</v>
      </c>
      <c r="O345" s="163" t="str">
        <f>O299</f>
        <v>B BEIGNETS D'ACACIA | pâtisserie--Beignets| Auteur &gt; Au Féminin.com</v>
      </c>
      <c r="P345" s="163">
        <f>P299</f>
        <v>4</v>
      </c>
      <c r="Q345" s="164" t="str">
        <f>Q299</f>
        <v>personnes</v>
      </c>
      <c r="R345" s="165" t="str">
        <f>R299</f>
        <v>Recette mère ► Beignets d'acacia</v>
      </c>
      <c r="S345" s="2139"/>
      <c r="T345" s="2124"/>
      <c r="U345" s="2138"/>
      <c r="V345" s="2140" t="s">
        <v>8860</v>
      </c>
      <c r="W345" s="2065">
        <f ca="1">W322</f>
        <v>132</v>
      </c>
      <c r="X345" s="886" t="s">
        <v>200</v>
      </c>
      <c r="Y345" s="2137"/>
      <c r="Z345" s="2137"/>
      <c r="AA345" s="2137"/>
      <c r="AB345" s="472"/>
      <c r="AC345" s="472"/>
      <c r="AD345" s="472"/>
      <c r="AE345" s="2260" t="str">
        <f>IF(Y346="","",(LEN(TRIM(SUBSTITUTE(Y346,CHAR(160)," ")))-LEN(SUBSTITUTE(TRIM(SUBSTITUTE(Y346,CHAR(160)," "))," ",""))+1)&amp;" mot"&amp;IF((LEN(TRIM(SUBSTITUTE(Y346,CHAR(160)," ")))-LEN(SUBSTITUTE(TRIM(SUBSTITUTE(Y346,CHAR(160)," "))," ",""))+1)&gt;1,"s",""))</f>
        <v>17 mots</v>
      </c>
      <c r="AF345" s="2259" t="str">
        <f>IF(Y346="","",LEN(TRIM(SUBSTITUTE(Y346,CHAR(160),""))))&amp;" Car."</f>
        <v>123 Car.</v>
      </c>
      <c r="AG345" s="2261" t="s">
        <v>8863</v>
      </c>
      <c r="AJ345" s="1711" t="str">
        <f t="shared" si="55"/>
        <v>A</v>
      </c>
      <c r="AK345" s="1616"/>
      <c r="AL345" s="1333" t="s">
        <v>21</v>
      </c>
      <c r="AM345" s="2201"/>
      <c r="AN345" s="2202">
        <v>12</v>
      </c>
      <c r="AO345" s="186" t="s">
        <v>8927</v>
      </c>
      <c r="AP345" s="186"/>
      <c r="AQ345" s="9"/>
      <c r="AR345" s="9"/>
      <c r="AS345" s="38"/>
      <c r="AV345" s="3">
        <v>1</v>
      </c>
    </row>
    <row r="346" spans="2:48" ht="21" customHeight="1" thickBot="1">
      <c r="B346" s="1610" cm="1">
        <f t="array" ref="B346">SUMPRODUCT(LEN(C346:K346))</f>
        <v>0</v>
      </c>
      <c r="C346" s="1810"/>
      <c r="D346" s="1810"/>
      <c r="E346" s="1810"/>
      <c r="F346" s="1810"/>
      <c r="G346" s="1810"/>
      <c r="H346" s="1810"/>
      <c r="I346" s="1810"/>
      <c r="J346" s="1810"/>
      <c r="K346" s="1810"/>
      <c r="L346" s="2126" t="str" cm="1">
        <f t="array" ref="L346">IF(B297&lt;=0,0,ROUNDUP(SUMPRODUCT(LEN(C346:K346))/B297,0))&amp;" ligne(s)"</f>
        <v>0 ligne(s)</v>
      </c>
      <c r="N346" s="2170" t="s">
        <v>10</v>
      </c>
      <c r="O346" s="209" t="str">
        <f>O299</f>
        <v>B BEIGNETS D'ACACIA | pâtisserie--Beignets| Auteur &gt; Au Féminin.com</v>
      </c>
      <c r="P346" s="209">
        <f>P299</f>
        <v>4</v>
      </c>
      <c r="Q346" s="210" t="str">
        <f>Q299</f>
        <v>personnes</v>
      </c>
      <c r="R346" s="211" t="str">
        <f>R299</f>
        <v>Recette mère ► Beignets d'acacia</v>
      </c>
      <c r="S346" s="2129"/>
      <c r="T346" s="2130"/>
      <c r="U346" s="2131"/>
      <c r="V346" s="2132"/>
      <c r="W346" s="2133"/>
      <c r="X346" s="2133" t="s">
        <v>8864</v>
      </c>
      <c r="Y346" s="2258" t="s">
        <v>8866</v>
      </c>
      <c r="Z346" s="2136"/>
      <c r="AA346" s="2134"/>
      <c r="AB346" s="2134"/>
      <c r="AC346" s="2134"/>
      <c r="AD346" s="2134"/>
      <c r="AE346" s="2134"/>
      <c r="AF346" s="2134"/>
      <c r="AG346" s="2135"/>
      <c r="AJ346" s="2170" t="str">
        <f t="shared" si="55"/>
        <v>A</v>
      </c>
      <c r="AK346" s="1616"/>
      <c r="AL346" s="1333" t="s">
        <v>21</v>
      </c>
      <c r="AM346" s="2201"/>
      <c r="AN346" s="632">
        <f ca="1">CELL("largeur",AN346)</f>
        <v>18</v>
      </c>
      <c r="AO346" s="186" t="s">
        <v>8928</v>
      </c>
      <c r="AP346" s="186"/>
      <c r="AQ346" s="9"/>
      <c r="AR346" s="9"/>
      <c r="AS346" s="38"/>
      <c r="AV346" s="3">
        <v>1</v>
      </c>
    </row>
    <row r="347" spans="2:48" ht="21" customHeight="1" thickBot="1">
      <c r="B347" s="2143"/>
      <c r="C347" s="2142">
        <v>6</v>
      </c>
      <c r="D347" s="2142">
        <v>40</v>
      </c>
      <c r="E347" s="2142">
        <v>10</v>
      </c>
      <c r="F347" s="2142">
        <v>9</v>
      </c>
      <c r="G347" s="2142">
        <v>18</v>
      </c>
      <c r="H347" s="2142">
        <v>13</v>
      </c>
      <c r="I347" s="2142">
        <v>13</v>
      </c>
      <c r="J347" s="2142">
        <v>13</v>
      </c>
      <c r="K347" s="2142">
        <v>17</v>
      </c>
      <c r="L347" s="2144"/>
      <c r="N347" s="1714" t="s">
        <v>10</v>
      </c>
      <c r="O347" s="1715"/>
      <c r="P347" s="1715"/>
      <c r="Q347" s="1715"/>
      <c r="R347" s="1716"/>
      <c r="S347" s="1713" t="s">
        <v>207</v>
      </c>
      <c r="T347" s="2171" t="str">
        <f ca="1">CELL("nomfichier")</f>
        <v>D:\Données\1.UPRT\0-UPRT.fait\1-UPRT.FR-SITE-WEB\ff-fiches-fabrications\ff.fiches.fabrication.2023\ffr.restaurant.2023\[ff.FICHE.TRILINGUE.20.COLONNES.05.01.2026.xlsx]Couleurs.pour.vos.documents</v>
      </c>
      <c r="U347" s="1717"/>
      <c r="V347" s="1717"/>
      <c r="W347" s="1717"/>
      <c r="X347" s="1717"/>
      <c r="Y347" s="1717"/>
      <c r="Z347" s="1717"/>
      <c r="AA347" s="1717"/>
      <c r="AB347" s="1717"/>
      <c r="AC347" s="1717"/>
      <c r="AD347" s="1717"/>
      <c r="AE347" s="1717"/>
      <c r="AF347" s="1717"/>
      <c r="AG347" s="1718"/>
      <c r="AJ347" s="1714" t="str">
        <f t="shared" si="55"/>
        <v>A</v>
      </c>
      <c r="AK347" s="1616"/>
      <c r="AL347" s="1333" t="s">
        <v>21</v>
      </c>
      <c r="AM347" s="2201"/>
      <c r="AN347" s="186" t="s">
        <v>8929</v>
      </c>
      <c r="AO347" s="186"/>
      <c r="AP347" s="186"/>
      <c r="AQ347" s="9"/>
      <c r="AR347" s="9"/>
      <c r="AS347" s="38"/>
      <c r="AV347" s="3">
        <v>1</v>
      </c>
    </row>
    <row r="348" spans="2:48" ht="21" customHeight="1" thickBot="1">
      <c r="B348" s="1216" t="s">
        <v>10</v>
      </c>
      <c r="C348" s="1218" t="s">
        <v>2394</v>
      </c>
      <c r="D348" s="1217"/>
      <c r="E348" s="1217"/>
      <c r="F348" s="1217"/>
      <c r="G348" s="1218"/>
      <c r="H348" s="1217"/>
      <c r="I348" s="1217"/>
      <c r="J348" s="1217"/>
      <c r="K348" s="1217"/>
      <c r="L348" s="1224" t="s">
        <v>1755</v>
      </c>
      <c r="N348" s="1216" t="s">
        <v>10</v>
      </c>
      <c r="O348" s="1217" t="s">
        <v>10</v>
      </c>
      <c r="P348" s="1217" t="s">
        <v>10</v>
      </c>
      <c r="Q348" s="1217" t="s">
        <v>10</v>
      </c>
      <c r="R348" s="1217" t="s">
        <v>10</v>
      </c>
      <c r="S348" s="1218" t="s">
        <v>2394</v>
      </c>
      <c r="T348" s="1219"/>
      <c r="U348" s="1220"/>
      <c r="V348" s="1221"/>
      <c r="W348" s="1222"/>
      <c r="X348" s="1223"/>
      <c r="Y348" s="1223"/>
      <c r="Z348" s="1221"/>
      <c r="AA348" s="1221"/>
      <c r="AB348" s="1219"/>
      <c r="AC348" s="1219"/>
      <c r="AD348" s="1219"/>
      <c r="AE348" s="1219"/>
      <c r="AF348" s="1219"/>
      <c r="AG348" s="1224" t="s">
        <v>1755</v>
      </c>
      <c r="AJ348" s="1216" t="str">
        <f t="shared" si="55"/>
        <v>A</v>
      </c>
      <c r="AK348" s="1616"/>
      <c r="AL348" s="1333" t="s">
        <v>21</v>
      </c>
      <c r="AM348" s="2201"/>
      <c r="AN348" s="186" t="s">
        <v>8930</v>
      </c>
      <c r="AO348" s="186"/>
      <c r="AP348" s="186"/>
      <c r="AQ348" s="9"/>
      <c r="AR348" s="9"/>
      <c r="AS348" s="38"/>
      <c r="AV348" s="3">
        <v>1</v>
      </c>
    </row>
    <row r="349" spans="2:48" ht="21" customHeight="1">
      <c r="B349" s="6945" t="s">
        <v>2397</v>
      </c>
      <c r="C349" s="6946"/>
      <c r="D349" s="6946"/>
      <c r="E349" s="6946"/>
      <c r="F349" s="6946"/>
      <c r="G349" s="6946"/>
      <c r="H349" s="6946"/>
      <c r="I349" s="6946"/>
      <c r="J349" s="6946"/>
      <c r="K349" s="6946"/>
      <c r="L349" s="6947"/>
      <c r="N349" s="19" t="s">
        <v>10</v>
      </c>
      <c r="O349" s="2109" t="str">
        <f>O355</f>
        <v>B BEIGNETS D'ACACIA | pâtisserie--Beignets| Auteur &gt; Délice de Celeste</v>
      </c>
      <c r="P349" s="2110">
        <f>P355</f>
        <v>6</v>
      </c>
      <c r="Q349" s="2110" t="str">
        <f>Q355</f>
        <v>couverts</v>
      </c>
      <c r="R349" s="2111" t="str">
        <f>R355</f>
        <v>Recette mère ► Beignets d'acacia</v>
      </c>
      <c r="S349" s="2112" t="s">
        <v>21</v>
      </c>
      <c r="T349" s="1355" t="s">
        <v>22</v>
      </c>
      <c r="U349" s="1355"/>
      <c r="V349" s="6948" t="s">
        <v>8231</v>
      </c>
      <c r="W349" s="6948"/>
      <c r="X349" s="6948"/>
      <c r="Y349" s="6948"/>
      <c r="Z349" s="6948"/>
      <c r="AA349" s="6948"/>
      <c r="AB349" s="6948"/>
      <c r="AC349" s="6948"/>
      <c r="AD349" s="6948"/>
      <c r="AE349" s="6636" t="s">
        <v>8232</v>
      </c>
      <c r="AF349" s="6636"/>
      <c r="AG349" s="6937" t="str">
        <f>UPPER(LEFT(V349,1))</f>
        <v>B</v>
      </c>
      <c r="AJ349" s="19" t="str">
        <f t="shared" si="55"/>
        <v>A</v>
      </c>
      <c r="AK349" s="1616"/>
      <c r="AL349" s="1333" t="s">
        <v>21</v>
      </c>
      <c r="AM349" s="2201"/>
      <c r="AN349" s="186" t="s">
        <v>8931</v>
      </c>
      <c r="AO349" s="2203"/>
      <c r="AP349" s="2203"/>
      <c r="AQ349" s="9"/>
      <c r="AR349" s="9"/>
      <c r="AS349" s="38"/>
      <c r="AV349" s="3">
        <v>1</v>
      </c>
    </row>
    <row r="350" spans="2:48" ht="21" customHeight="1">
      <c r="B350" s="2158">
        <f t="shared" ref="B350:L350" ca="1" si="56">CELL("largeur",B350)</f>
        <v>11</v>
      </c>
      <c r="C350" s="2141">
        <f t="shared" ca="1" si="56"/>
        <v>6</v>
      </c>
      <c r="D350" s="2141">
        <f t="shared" ca="1" si="56"/>
        <v>40</v>
      </c>
      <c r="E350" s="2141">
        <f t="shared" ca="1" si="56"/>
        <v>10</v>
      </c>
      <c r="F350" s="2141">
        <f t="shared" ca="1" si="56"/>
        <v>9</v>
      </c>
      <c r="G350" s="2141">
        <f t="shared" ca="1" si="56"/>
        <v>18</v>
      </c>
      <c r="H350" s="2141">
        <f t="shared" ca="1" si="56"/>
        <v>13</v>
      </c>
      <c r="I350" s="2141">
        <f t="shared" ca="1" si="56"/>
        <v>13</v>
      </c>
      <c r="J350" s="2141">
        <f t="shared" ca="1" si="56"/>
        <v>13</v>
      </c>
      <c r="K350" s="2141">
        <f t="shared" ca="1" si="56"/>
        <v>17</v>
      </c>
      <c r="L350" s="2157">
        <f t="shared" ca="1" si="56"/>
        <v>11</v>
      </c>
      <c r="N350" s="2117" t="s">
        <v>10</v>
      </c>
      <c r="O350" s="2113" t="str">
        <f>O355</f>
        <v>B BEIGNETS D'ACACIA | pâtisserie--Beignets| Auteur &gt; Délice de Celeste</v>
      </c>
      <c r="P350" s="2114">
        <f>P355</f>
        <v>6</v>
      </c>
      <c r="Q350" s="2114" t="str">
        <f>Q355</f>
        <v>couverts</v>
      </c>
      <c r="R350" s="2115" t="str">
        <f>R355</f>
        <v>Recette mère ► Beignets d'acacia</v>
      </c>
      <c r="S350" s="2116" t="s">
        <v>28</v>
      </c>
      <c r="T350" s="1356" t="s">
        <v>831</v>
      </c>
      <c r="U350" s="1356"/>
      <c r="V350" s="6949"/>
      <c r="W350" s="6949"/>
      <c r="X350" s="6949"/>
      <c r="Y350" s="6949"/>
      <c r="Z350" s="6949"/>
      <c r="AA350" s="6949"/>
      <c r="AB350" s="6949"/>
      <c r="AC350" s="6949"/>
      <c r="AD350" s="6949"/>
      <c r="AE350" s="6637"/>
      <c r="AF350" s="6637"/>
      <c r="AG350" s="6938"/>
      <c r="AJ350" s="2117" t="str">
        <f t="shared" si="55"/>
        <v>A</v>
      </c>
      <c r="AK350" s="1616"/>
      <c r="AL350" s="1333" t="s">
        <v>21</v>
      </c>
      <c r="AM350" s="2201"/>
      <c r="AN350" s="2203"/>
      <c r="AO350" s="2203"/>
      <c r="AP350" s="2203"/>
      <c r="AQ350" s="9"/>
      <c r="AR350" s="9"/>
      <c r="AS350" s="38"/>
      <c r="AV350" s="3">
        <v>1</v>
      </c>
    </row>
    <row r="351" spans="2:48" ht="21" customHeight="1">
      <c r="B351" s="2146"/>
      <c r="C351" s="2147"/>
      <c r="D351" s="2147"/>
      <c r="E351" s="2147"/>
      <c r="F351" s="2148"/>
      <c r="G351" s="2147"/>
      <c r="H351" s="2149"/>
      <c r="I351" s="2149"/>
      <c r="J351" s="2149"/>
      <c r="K351" s="2150" t="s">
        <v>8876</v>
      </c>
      <c r="L351" s="2145">
        <f ca="1">SUM(C350:K350)</f>
        <v>139</v>
      </c>
      <c r="N351" s="2117" t="s">
        <v>10</v>
      </c>
      <c r="O351" s="31" t="str">
        <f>O355</f>
        <v>B BEIGNETS D'ACACIA | pâtisserie--Beignets| Auteur &gt; Délice de Celeste</v>
      </c>
      <c r="P351" s="32">
        <f>P355</f>
        <v>6</v>
      </c>
      <c r="Q351" s="32" t="str">
        <f>Q355</f>
        <v>couverts</v>
      </c>
      <c r="R351" s="33" t="str">
        <f>R355</f>
        <v>Recette mère ► Beignets d'acacia</v>
      </c>
      <c r="S351" s="1357"/>
      <c r="T351" s="1358" t="s">
        <v>30</v>
      </c>
      <c r="U351" s="34"/>
      <c r="V351" s="35" t="s">
        <v>31</v>
      </c>
      <c r="W351" s="36" t="s">
        <v>8148</v>
      </c>
      <c r="X351" s="9"/>
      <c r="Y351" s="9"/>
      <c r="Z351" s="36"/>
      <c r="AA351" s="36"/>
      <c r="AB351" s="36"/>
      <c r="AC351" s="37"/>
      <c r="AD351" s="9"/>
      <c r="AE351" s="9"/>
      <c r="AF351" s="9"/>
      <c r="AG351" s="2062" t="str" cm="1">
        <f t="array" aca="1" ref="AG351" ca="1">IF(COUNTIF(O378:AG378,"&lt;0.5")=0,"Aucune colonne masquée ",COUNTIF(O378:AG378,"&lt;0.5") &amp; " " &amp; IF(COUNTIF(O378:AG378,"&lt;0.5")&gt;1,"colonnes masquées","colonne masquée") &amp; " " &amp; _xlfn.TEXTJOIN(" ", TRUE, IF(O378:AG378&lt;0.5,O377:AG377,"")))&amp;" "</f>
        <v xml:space="preserve">Aucune colonne masquée  </v>
      </c>
      <c r="AJ351" s="2117" t="str">
        <f t="shared" si="55"/>
        <v>A</v>
      </c>
      <c r="AK351" s="1616"/>
      <c r="AL351" s="1333" t="s">
        <v>21</v>
      </c>
      <c r="AM351" s="394"/>
      <c r="AN351" s="2204" t="s">
        <v>15</v>
      </c>
      <c r="AO351" s="1265" t="s">
        <v>8932</v>
      </c>
      <c r="AP351" s="2203"/>
      <c r="AQ351" s="9"/>
      <c r="AR351" s="9"/>
      <c r="AS351" s="38"/>
      <c r="AV351" s="3">
        <v>1</v>
      </c>
    </row>
    <row r="352" spans="2:48" ht="21" customHeight="1">
      <c r="B352" s="2146"/>
      <c r="C352" s="2151" t="s">
        <v>8875</v>
      </c>
      <c r="D352" s="2147"/>
      <c r="E352" s="2147"/>
      <c r="F352" s="2148"/>
      <c r="G352" s="2152"/>
      <c r="H352" s="2152"/>
      <c r="I352" s="2152"/>
      <c r="J352" s="2152"/>
      <c r="K352" s="2153" t="s">
        <v>8863</v>
      </c>
      <c r="L352" s="2154" t="s">
        <v>21</v>
      </c>
      <c r="N352" s="2117" t="s">
        <v>10</v>
      </c>
      <c r="O352" s="31" t="str">
        <f>O355</f>
        <v>B BEIGNETS D'ACACIA | pâtisserie--Beignets| Auteur &gt; Délice de Celeste</v>
      </c>
      <c r="P352" s="32">
        <f>P355</f>
        <v>6</v>
      </c>
      <c r="Q352" s="32" t="str">
        <f>Q355</f>
        <v>couverts</v>
      </c>
      <c r="R352" s="33" t="str">
        <f>R355</f>
        <v>Recette mère ► Beignets d'acacia</v>
      </c>
      <c r="S352" s="39" t="s">
        <v>32</v>
      </c>
      <c r="T352" s="40"/>
      <c r="U352" s="40"/>
      <c r="V352" s="41" t="s">
        <v>33</v>
      </c>
      <c r="W352" s="6736" t="str">
        <f>Y355&amp;" "&amp;Z355&amp;" ► Famille = "&amp;AE349&amp;" ► "&amp;V349&amp;" "&amp;AC352&amp;" "&amp;AE352&amp;" "&amp;AF352&amp;" "&amp;AG352</f>
        <v>Recette mère ► Beignets d'acacia ► Famille = pâtisserie--Beignets ► BEIGNETS D'ACACIA  ⓫  Dupliquée pour 50 couverts</v>
      </c>
      <c r="X352" s="6736"/>
      <c r="Y352" s="6736"/>
      <c r="Z352" s="6736"/>
      <c r="AA352" s="6736"/>
      <c r="AB352" s="6736"/>
      <c r="AC352" s="6736"/>
      <c r="AD352" s="1359"/>
      <c r="AE352" s="1359" t="s">
        <v>35</v>
      </c>
      <c r="AF352" s="140">
        <v>50</v>
      </c>
      <c r="AG352" s="43" t="str">
        <f>AG354</f>
        <v>couverts</v>
      </c>
      <c r="AJ352" s="2117" t="str">
        <f t="shared" si="55"/>
        <v>A</v>
      </c>
      <c r="AK352" s="1616"/>
      <c r="AL352" s="1333" t="s">
        <v>21</v>
      </c>
      <c r="AM352" s="394"/>
      <c r="AN352" s="1298" t="s">
        <v>8933</v>
      </c>
      <c r="AO352" s="9"/>
      <c r="AP352" s="2203"/>
      <c r="AQ352" s="9"/>
      <c r="AR352" s="9"/>
      <c r="AS352" s="38"/>
      <c r="AV352" s="3">
        <v>1</v>
      </c>
    </row>
    <row r="353" spans="2:48" ht="21" customHeight="1">
      <c r="B353" s="2155">
        <f>IF(C353="","",LEN(TRIM(SUBSTITUTE(C353,CHAR(160),""))))</f>
        <v>89</v>
      </c>
      <c r="C353" s="2128" t="s">
        <v>8874</v>
      </c>
      <c r="D353" s="2136"/>
      <c r="E353" s="2136"/>
      <c r="F353" s="2136"/>
      <c r="G353" s="2136"/>
      <c r="H353" s="2136"/>
      <c r="I353" s="2136"/>
      <c r="J353" s="2136"/>
      <c r="K353" s="2156"/>
      <c r="L353" s="2126" t="str" cm="1">
        <f t="array" ref="L353">IF(B353&lt;=0,0,ROUNDUP(SUMPRODUCT(LEN(C353:K353))/B353,0))&amp;" ligne(s)"</f>
        <v>1 ligne(s)</v>
      </c>
      <c r="N353" s="2117" t="s">
        <v>10</v>
      </c>
      <c r="O353" s="31" t="str">
        <f>O355</f>
        <v>B BEIGNETS D'ACACIA | pâtisserie--Beignets| Auteur &gt; Délice de Celeste</v>
      </c>
      <c r="P353" s="32">
        <f>P355</f>
        <v>6</v>
      </c>
      <c r="Q353" s="32" t="str">
        <f>Q355</f>
        <v>couverts</v>
      </c>
      <c r="R353" s="33" t="str">
        <f>R355</f>
        <v>Recette mère ► Beignets d'acacia</v>
      </c>
      <c r="S353" s="1360">
        <v>6</v>
      </c>
      <c r="T353" s="1361" t="s">
        <v>36</v>
      </c>
      <c r="U353" s="39"/>
      <c r="V353" s="39"/>
      <c r="W353" s="6736"/>
      <c r="X353" s="6736"/>
      <c r="Y353" s="6736"/>
      <c r="Z353" s="6736"/>
      <c r="AA353" s="6736"/>
      <c r="AB353" s="6736"/>
      <c r="AC353" s="6736"/>
      <c r="AD353" s="696"/>
      <c r="AE353" s="696"/>
      <c r="AF353" s="47" t="s">
        <v>40</v>
      </c>
      <c r="AG353" s="48" t="s">
        <v>41</v>
      </c>
      <c r="AJ353" s="2117" t="str">
        <f t="shared" si="55"/>
        <v>A</v>
      </c>
      <c r="AK353" s="1616"/>
      <c r="AL353" s="1333" t="s">
        <v>21</v>
      </c>
      <c r="AM353" s="394"/>
      <c r="AN353" s="2205" t="s">
        <v>8934</v>
      </c>
      <c r="AO353" s="9"/>
      <c r="AP353" s="2203"/>
      <c r="AQ353" s="9"/>
      <c r="AR353" s="9"/>
      <c r="AS353" s="38"/>
      <c r="AV353" s="3">
        <v>1</v>
      </c>
    </row>
    <row r="354" spans="2:48" ht="21" customHeight="1">
      <c r="B354" s="6939" t="s">
        <v>1527</v>
      </c>
      <c r="C354" s="6940" t="s">
        <v>8234</v>
      </c>
      <c r="D354" s="6940"/>
      <c r="E354" s="6940"/>
      <c r="F354" s="6940"/>
      <c r="G354" s="6940"/>
      <c r="H354" s="6940"/>
      <c r="I354" s="6940"/>
      <c r="J354" s="6940"/>
      <c r="K354" s="6940"/>
      <c r="L354" s="6942" t="s">
        <v>8859</v>
      </c>
      <c r="N354" s="2117" t="s">
        <v>10</v>
      </c>
      <c r="O354" s="31" t="str">
        <f>O355</f>
        <v>B BEIGNETS D'ACACIA | pâtisserie--Beignets| Auteur &gt; Délice de Celeste</v>
      </c>
      <c r="P354" s="32">
        <f>P355</f>
        <v>6</v>
      </c>
      <c r="Q354" s="32" t="str">
        <f>Q355</f>
        <v>couverts</v>
      </c>
      <c r="R354" s="33" t="str">
        <f>R355</f>
        <v>Recette mère ► Beignets d'acacia</v>
      </c>
      <c r="S354" s="53"/>
      <c r="T354" s="1323" t="s">
        <v>8094</v>
      </c>
      <c r="U354" s="6737">
        <f>AC372</f>
        <v>0.53</v>
      </c>
      <c r="V354" s="6737"/>
      <c r="W354" s="1324" t="str" cm="1">
        <f t="array" ref="W354">"1= "&amp;IF(OR(S353&lt;=0,U354=""),"",_xlfn.LET(_xlpm.kg,IF(ISNUMBER(U354),U354,VALEUR(SUBSTITUTE(SUBSTITUTE(SUBSTITUTE(LOWER(U354),"kg",""),",",".")," ",""))),TEXT(ROUND(_xlpm.kg*1000/S353,2),"0.##")&amp;" g"))</f>
        <v>1= 88.33 g</v>
      </c>
      <c r="X354" s="1325">
        <f>IFERROR(AF352/AF354,0)</f>
        <v>8.3333333333333339</v>
      </c>
      <c r="Y354" s="1817" t="s">
        <v>8230</v>
      </c>
      <c r="Z354" s="579"/>
      <c r="AA354" s="55"/>
      <c r="AB354" s="55"/>
      <c r="AD354" s="1362"/>
      <c r="AE354" s="1362" t="s">
        <v>50</v>
      </c>
      <c r="AF354" s="154">
        <v>6</v>
      </c>
      <c r="AG354" s="56" t="s">
        <v>36</v>
      </c>
      <c r="AJ354" s="2117" t="str">
        <f t="shared" si="55"/>
        <v>A</v>
      </c>
      <c r="AK354" s="1616"/>
      <c r="AL354" s="1333" t="s">
        <v>21</v>
      </c>
      <c r="AM354" s="394"/>
      <c r="AN354" s="2206"/>
      <c r="AO354" s="2203"/>
      <c r="AP354" s="2203"/>
      <c r="AQ354" s="9"/>
      <c r="AR354" s="9"/>
      <c r="AS354" s="38"/>
      <c r="AV354" s="3">
        <v>1</v>
      </c>
    </row>
    <row r="355" spans="2:48" ht="21" customHeight="1">
      <c r="B355" s="6939"/>
      <c r="C355" s="6941"/>
      <c r="D355" s="6941"/>
      <c r="E355" s="6941"/>
      <c r="F355" s="6941"/>
      <c r="G355" s="6941"/>
      <c r="H355" s="6941"/>
      <c r="I355" s="6941"/>
      <c r="J355" s="6941"/>
      <c r="K355" s="6941"/>
      <c r="L355" s="6942"/>
      <c r="N355" s="2117" t="s">
        <v>10</v>
      </c>
      <c r="O355" s="61" t="str">
        <f>S355</f>
        <v>B BEIGNETS D'ACACIA | pâtisserie--Beignets| Auteur &gt; Délice de Celeste</v>
      </c>
      <c r="P355" s="62">
        <f>S353</f>
        <v>6</v>
      </c>
      <c r="Q355" s="61" t="str">
        <f>T353</f>
        <v>couverts</v>
      </c>
      <c r="R355" s="63" t="str">
        <f>Y355&amp;" "&amp;Z355</f>
        <v>Recette mère ► Beignets d'acacia</v>
      </c>
      <c r="S355" s="64" t="str">
        <f>UPPER(LEFT(V349,1))&amp;" "&amp;V349&amp;" | "&amp;AE349&amp;"| "&amp;V351&amp;" "&amp;W351</f>
        <v>B BEIGNETS D'ACACIA | pâtisserie--Beignets| Auteur &gt; Délice de Celeste</v>
      </c>
      <c r="T355" s="65" t="s">
        <v>53</v>
      </c>
      <c r="U355" s="6735" t="s">
        <v>54</v>
      </c>
      <c r="V355" s="6735"/>
      <c r="W355" s="6735"/>
      <c r="X355" s="66"/>
      <c r="Y355" s="66" t="str">
        <f>IF(ISTEXT(Z355),"Recette mère ►",T355)</f>
        <v>Recette mère ►</v>
      </c>
      <c r="Z355" s="67" t="s">
        <v>8142</v>
      </c>
      <c r="AA355" s="67"/>
      <c r="AB355" s="67"/>
      <c r="AC355" s="883"/>
      <c r="AD355" s="68"/>
      <c r="AE355" s="68"/>
      <c r="AF355" s="68"/>
      <c r="AG355"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J355" s="2117" t="str">
        <f t="shared" si="55"/>
        <v>A</v>
      </c>
      <c r="AK355" s="1616"/>
      <c r="AL355" s="1333" t="s">
        <v>21</v>
      </c>
      <c r="AM355" s="394"/>
      <c r="AN355" s="1298" t="s">
        <v>8935</v>
      </c>
      <c r="AO355" s="2203"/>
      <c r="AP355" s="9"/>
      <c r="AQ355" s="9"/>
      <c r="AR355" s="9"/>
      <c r="AS355" s="38"/>
      <c r="AV355" s="3">
        <v>1</v>
      </c>
    </row>
    <row r="356" spans="2:48" ht="21" customHeight="1">
      <c r="B356" s="1610" cm="1">
        <f t="array" ref="B356">SUMPRODUCT(LEN(C356:K356))</f>
        <v>0</v>
      </c>
      <c r="C356" s="1837"/>
      <c r="D356" s="1837"/>
      <c r="E356" s="1837"/>
      <c r="F356" s="1837"/>
      <c r="G356" s="1837"/>
      <c r="H356" s="1837"/>
      <c r="I356" s="1837"/>
      <c r="J356" s="1837"/>
      <c r="K356" s="1837"/>
      <c r="L356" s="2126" t="str" cm="1">
        <f t="array" ref="L356">IF(B353&lt;=0,0,ROUNDUP(SUMPRODUCT(LEN(C356:K356))/B353,0))&amp;" ligne(s)"</f>
        <v>0 ligne(s)</v>
      </c>
      <c r="N356" s="2117" t="s">
        <v>10</v>
      </c>
      <c r="O356" s="70" t="str">
        <f>O355</f>
        <v>B BEIGNETS D'ACACIA | pâtisserie--Beignets| Auteur &gt; Délice de Celeste</v>
      </c>
      <c r="P356" s="70">
        <f>P355</f>
        <v>6</v>
      </c>
      <c r="Q356" s="70" t="str">
        <f>Q355</f>
        <v>couverts</v>
      </c>
      <c r="R356" s="71" t="str">
        <f>R355</f>
        <v>Recette mère ► Beignets d'acacia</v>
      </c>
      <c r="S356" s="12" t="s">
        <v>65</v>
      </c>
      <c r="T356" s="12" t="s">
        <v>66</v>
      </c>
      <c r="U356" s="12" t="s">
        <v>67</v>
      </c>
      <c r="V356" s="12" t="s">
        <v>68</v>
      </c>
      <c r="W356" s="72" t="s">
        <v>69</v>
      </c>
      <c r="X356" s="73" t="s">
        <v>70</v>
      </c>
      <c r="Y356" s="12" t="s">
        <v>71</v>
      </c>
      <c r="Z356" s="12" t="s">
        <v>72</v>
      </c>
      <c r="AA356" s="12" t="s">
        <v>73</v>
      </c>
      <c r="AB356" s="12" t="s">
        <v>74</v>
      </c>
      <c r="AC356" s="12" t="s">
        <v>75</v>
      </c>
      <c r="AD356" s="12" t="s">
        <v>76</v>
      </c>
      <c r="AE356" s="12" t="s">
        <v>77</v>
      </c>
      <c r="AF356" s="12" t="s">
        <v>8143</v>
      </c>
      <c r="AG356" s="74" t="s">
        <v>8407</v>
      </c>
      <c r="AJ356" s="2117" t="str">
        <f t="shared" si="55"/>
        <v>A</v>
      </c>
      <c r="AK356" s="1616"/>
      <c r="AL356" s="1333" t="s">
        <v>21</v>
      </c>
      <c r="AM356" s="394"/>
      <c r="AN356" s="1298"/>
      <c r="AO356" s="2203"/>
      <c r="AP356" s="9"/>
      <c r="AQ356" s="9"/>
      <c r="AR356" s="9"/>
      <c r="AS356" s="38"/>
      <c r="AV356" s="3">
        <v>1</v>
      </c>
    </row>
    <row r="357" spans="2:48" ht="21" customHeight="1">
      <c r="B357" s="1610" cm="1">
        <f t="array" ref="B357">SUMPRODUCT(LEN(C357:K357))</f>
        <v>35</v>
      </c>
      <c r="C357" s="1810"/>
      <c r="D357" s="1810"/>
      <c r="E357" s="2125" t="s">
        <v>8386</v>
      </c>
      <c r="F357" s="2125"/>
      <c r="G357" s="1810"/>
      <c r="H357" s="1810"/>
      <c r="I357" s="1810"/>
      <c r="J357" s="1810"/>
      <c r="K357" s="1810"/>
      <c r="L357" s="2126" t="str" cm="1">
        <f t="array" ref="L357">IF(B353&lt;=0,0,ROUNDUP(SUMPRODUCT(LEN(C357:K357))/B353,0))&amp;" ligne(s)"</f>
        <v>1 ligne(s)</v>
      </c>
      <c r="N357" s="2117" t="s">
        <v>10</v>
      </c>
      <c r="O357" s="31" t="str">
        <f>O355</f>
        <v>B BEIGNETS D'ACACIA | pâtisserie--Beignets| Auteur &gt; Délice de Celeste</v>
      </c>
      <c r="P357" s="32">
        <f>P355</f>
        <v>6</v>
      </c>
      <c r="Q357" s="31" t="str">
        <f>Q355</f>
        <v>couverts</v>
      </c>
      <c r="R357" s="33" t="str">
        <f>R355</f>
        <v>Recette mère ► Beignets d'acacia</v>
      </c>
      <c r="S357" s="76" t="s">
        <v>78</v>
      </c>
      <c r="T357" s="77" t="s">
        <v>79</v>
      </c>
      <c r="U357" s="78"/>
      <c r="V357" s="6612" t="s">
        <v>80</v>
      </c>
      <c r="W357" s="6730" t="s">
        <v>81</v>
      </c>
      <c r="X357" s="6732" t="s">
        <v>82</v>
      </c>
      <c r="Y357" s="6738" t="s">
        <v>8575</v>
      </c>
      <c r="Z357" s="79" t="s">
        <v>83</v>
      </c>
      <c r="AA357" s="80" t="s">
        <v>49</v>
      </c>
      <c r="AB357" s="81" t="s">
        <v>84</v>
      </c>
      <c r="AC357" s="6607" t="s">
        <v>85</v>
      </c>
      <c r="AD357" s="6582" t="s">
        <v>84</v>
      </c>
      <c r="AE357" s="6727" t="s">
        <v>8405</v>
      </c>
      <c r="AF357" s="6584" t="s">
        <v>86</v>
      </c>
      <c r="AG357" s="6728" t="s">
        <v>87</v>
      </c>
      <c r="AJ357" s="2117" t="str">
        <f t="shared" si="55"/>
        <v>A</v>
      </c>
      <c r="AK357" s="1616"/>
      <c r="AL357" s="1333" t="s">
        <v>21</v>
      </c>
      <c r="AM357" s="394"/>
      <c r="AN357" s="1298" t="s">
        <v>8936</v>
      </c>
      <c r="AO357" s="2203"/>
      <c r="AP357" s="9"/>
      <c r="AQ357" s="9"/>
      <c r="AR357" s="9"/>
      <c r="AS357" s="38"/>
      <c r="AV357" s="3">
        <v>1</v>
      </c>
    </row>
    <row r="358" spans="2:48" ht="21" customHeight="1">
      <c r="B358" s="1610" cm="1">
        <f t="array" ref="B358">SUMPRODUCT(LEN(C358:K358))</f>
        <v>0</v>
      </c>
      <c r="C358" s="1810"/>
      <c r="D358" s="1810"/>
      <c r="E358" s="1810"/>
      <c r="F358" s="1810"/>
      <c r="G358" s="1810"/>
      <c r="H358" s="1810"/>
      <c r="I358" s="1810"/>
      <c r="J358" s="1810"/>
      <c r="K358" s="1810"/>
      <c r="L358" s="2126" t="str" cm="1">
        <f t="array" ref="L358">IF(B353&lt;=0,0,ROUNDUP(SUMPRODUCT(LEN(C358:K358))/B353,0))&amp;" ligne(s)"</f>
        <v>0 ligne(s)</v>
      </c>
      <c r="N358" s="2117" t="s">
        <v>10</v>
      </c>
      <c r="O358" s="31" t="str">
        <f>O355</f>
        <v>B BEIGNETS D'ACACIA | pâtisserie--Beignets| Auteur &gt; Délice de Celeste</v>
      </c>
      <c r="P358" s="32">
        <f>P355</f>
        <v>6</v>
      </c>
      <c r="Q358" s="31" t="str">
        <f>Q355</f>
        <v>couverts</v>
      </c>
      <c r="R358" s="33" t="str">
        <f>R355</f>
        <v>Recette mère ► Beignets d'acacia</v>
      </c>
      <c r="S358" s="83" t="s">
        <v>92</v>
      </c>
      <c r="T358" s="84" t="s">
        <v>93</v>
      </c>
      <c r="U358" s="85" t="s">
        <v>94</v>
      </c>
      <c r="V358" s="6577"/>
      <c r="W358" s="6471"/>
      <c r="X358" s="6606"/>
      <c r="Y358" s="6739"/>
      <c r="Z358" s="86" t="s">
        <v>95</v>
      </c>
      <c r="AA358" s="87" t="s">
        <v>96</v>
      </c>
      <c r="AB358" s="88">
        <v>1</v>
      </c>
      <c r="AC358" s="6608"/>
      <c r="AD358" s="6583"/>
      <c r="AE358" s="6583"/>
      <c r="AF358" s="6585"/>
      <c r="AG358" s="6786"/>
      <c r="AJ358" s="2117" t="str">
        <f t="shared" si="55"/>
        <v>A</v>
      </c>
      <c r="AK358" s="1616"/>
      <c r="AL358" s="1333" t="s">
        <v>21</v>
      </c>
      <c r="AM358" s="394"/>
      <c r="AN358" s="1298" t="s">
        <v>8937</v>
      </c>
      <c r="AO358" s="2203"/>
      <c r="AP358" s="9"/>
      <c r="AQ358" s="9"/>
      <c r="AR358" s="9"/>
      <c r="AS358" s="38"/>
      <c r="AV358" s="3">
        <v>1</v>
      </c>
    </row>
    <row r="359" spans="2:48" ht="21" customHeight="1">
      <c r="B359" s="1610" cm="1">
        <f t="array" ref="B359">SUMPRODUCT(LEN(C359:K359))</f>
        <v>0</v>
      </c>
      <c r="C359" s="1810"/>
      <c r="D359" s="1810"/>
      <c r="E359" s="1810"/>
      <c r="F359" s="1810"/>
      <c r="G359" s="1810"/>
      <c r="H359" s="1810"/>
      <c r="I359" s="1810"/>
      <c r="J359" s="1810"/>
      <c r="K359" s="1810"/>
      <c r="L359" s="2126" t="str" cm="1">
        <f t="array" ref="L359">IF(B353&lt;=0,0,ROUNDUP(SUMPRODUCT(LEN(C359:K359))/B353,0))&amp;" ligne(s)"</f>
        <v>0 ligne(s)</v>
      </c>
      <c r="N359" s="2117" t="s">
        <v>10</v>
      </c>
      <c r="O359" s="31" t="str">
        <f>O355</f>
        <v>B BEIGNETS D'ACACIA | pâtisserie--Beignets| Auteur &gt; Délice de Celeste</v>
      </c>
      <c r="P359" s="32">
        <f>P355</f>
        <v>6</v>
      </c>
      <c r="Q359" s="31" t="str">
        <f>Q355</f>
        <v>couverts</v>
      </c>
      <c r="R359" s="33" t="str">
        <f>R355</f>
        <v>Recette mère ► Beignets d'acacia</v>
      </c>
      <c r="S359" s="89"/>
      <c r="T359" s="108"/>
      <c r="U359" s="1363" t="str">
        <f t="shared" ref="U359:U365" si="57">IF(AND(S359&gt;0,V359&gt;0),"de","")</f>
        <v/>
      </c>
      <c r="V359" s="92">
        <v>180</v>
      </c>
      <c r="W359" s="104" t="s">
        <v>100</v>
      </c>
      <c r="X359" s="130">
        <v>1</v>
      </c>
      <c r="Y359" s="1812" t="str">
        <f>ROWS(Y359:Y359)&amp;" ►"</f>
        <v>1 ►</v>
      </c>
      <c r="Z359" s="1580" t="s">
        <v>8144</v>
      </c>
      <c r="AA359" s="95">
        <f>IF(AC372=0,0,(AC359/AC372)*AB358*1000)</f>
        <v>339.62264150943395</v>
      </c>
      <c r="AB359" s="96">
        <f>IF(AC372=0, 0, (S359*X359)/(AC372*AB358))</f>
        <v>0</v>
      </c>
      <c r="AC359" s="97" cm="1">
        <f t="array" ref="AC359">IFERROR(_xlfn.XLOOKUP(UPPER(TRIM(W359)),UPPER(TRIM(S373:AG373)),S374:AG374,_xlfn.XLOOKUP(UPPER(TRIM(W359)),UPPER(TRIM(S375:AG375)),S376:AG376,0))*V359*IF(S359&gt;0,S359,1),0)</f>
        <v>0.18</v>
      </c>
      <c r="AD359" s="98">
        <f>IF(AF354&lt;&gt;0,S359*X359*X354,0)</f>
        <v>0</v>
      </c>
      <c r="AE359" s="1834">
        <f>T359</f>
        <v>0</v>
      </c>
      <c r="AF359" s="99">
        <f>IF(OR(ISBLANK(AF354),AF354=0),0,AC359*X359*X354)</f>
        <v>1.5</v>
      </c>
      <c r="AG359" s="100" t="str">
        <f>IF(W359="","",IF(COUNTIF(Z373:AG373,SUBSTITUTE(TRIM(W359)," (s)",""))+COUNTIF(Z375:AG375,SUBSTITUTE(TRIM(W359)," (s)",""))&gt;0,IF(ROUND(AF359,3)&gt;=1,ROUND(AF359,3)&amp;" L",MAX(1,ROUND(AF359*100,0))&amp;" cl"),IF(COUNTIF(S373:X373,SUBSTITUTE(TRIM(W359)," (s)",""))+COUNTIF(S375:X375,SUBSTITUTE(TRIM(W359)," (s)",""))&gt;0,IF(ROUND(AF359,3)&gt;=1,ROUND(AF359,3)&amp;" Kg",MAX(1,ROUND(AF359*1000,0))&amp;" g"),"")))</f>
        <v>1.5 Kg</v>
      </c>
      <c r="AJ359" s="2117" t="str">
        <f t="shared" si="55"/>
        <v>A</v>
      </c>
      <c r="AK359" s="1616"/>
      <c r="AL359" s="1333" t="s">
        <v>21</v>
      </c>
      <c r="AM359" s="394"/>
      <c r="AN359" s="2207" t="s">
        <v>10</v>
      </c>
      <c r="AO359" s="2208" t="s">
        <v>15</v>
      </c>
      <c r="AP359" s="9"/>
      <c r="AQ359" s="9"/>
      <c r="AR359" s="9"/>
      <c r="AS359" s="38"/>
      <c r="AV359" s="3">
        <v>1</v>
      </c>
    </row>
    <row r="360" spans="2:48" ht="21" customHeight="1">
      <c r="B360" s="1610" cm="1">
        <f t="array" ref="B360">SUMPRODUCT(LEN(C360:K360))</f>
        <v>0</v>
      </c>
      <c r="C360" s="1810"/>
      <c r="D360" s="1810"/>
      <c r="E360" s="1810"/>
      <c r="F360" s="1810"/>
      <c r="G360" s="1810"/>
      <c r="H360" s="1810"/>
      <c r="I360" s="1810"/>
      <c r="J360" s="1810"/>
      <c r="K360" s="1810"/>
      <c r="L360" s="2126" t="str" cm="1">
        <f t="array" ref="L360">IF(B353&lt;=0,0,ROUNDUP(SUMPRODUCT(LEN(C360:K360))/B353,0))&amp;" ligne(s)"</f>
        <v>0 ligne(s)</v>
      </c>
      <c r="N360" s="103" t="str">
        <f>IF(Z360&lt;&gt;"","A","►")</f>
        <v>A</v>
      </c>
      <c r="O360" s="31" t="str">
        <f>O355</f>
        <v>B BEIGNETS D'ACACIA | pâtisserie--Beignets| Auteur &gt; Délice de Celeste</v>
      </c>
      <c r="P360" s="32">
        <f>P355</f>
        <v>6</v>
      </c>
      <c r="Q360" s="31" t="str">
        <f>Q355</f>
        <v>couverts</v>
      </c>
      <c r="R360" s="33" t="str">
        <f>R355</f>
        <v>Recette mère ► Beignets d'acacia</v>
      </c>
      <c r="S360" s="89">
        <v>1</v>
      </c>
      <c r="T360" s="108" t="s">
        <v>8387</v>
      </c>
      <c r="U360" s="91" t="str">
        <f t="shared" si="57"/>
        <v>de</v>
      </c>
      <c r="V360" s="92">
        <v>50</v>
      </c>
      <c r="W360" s="104" t="s">
        <v>100</v>
      </c>
      <c r="X360" s="130">
        <v>1</v>
      </c>
      <c r="Y360" s="1813" t="str">
        <f>ROWS(Y359:Y360)&amp;" ►"</f>
        <v>2 ►</v>
      </c>
      <c r="Z360" s="1580" t="s">
        <v>8388</v>
      </c>
      <c r="AA360" s="95">
        <f>IF(AC372=0,0,(AC360/AC372)*AB358*1000)</f>
        <v>94.339622641509436</v>
      </c>
      <c r="AB360" s="105">
        <f>IF(AC372=0, 0, (S360*X360)/(AC372*AB358))</f>
        <v>1.8867924528301885</v>
      </c>
      <c r="AC360" s="97" cm="1">
        <f t="array" ref="AC360">IFERROR(_xlfn.XLOOKUP(UPPER(TRIM(W360)),UPPER(TRIM(S373:AG373)),S374:AG374,_xlfn.XLOOKUP(UPPER(TRIM(W360)),UPPER(TRIM(S375:AG375)),S376:AG376,0))*V360*IF(S360&gt;0,S360,1),0)</f>
        <v>0.05</v>
      </c>
      <c r="AD360" s="110">
        <f>IF(AF354&lt;&gt;0,S360*X360*X354,0)</f>
        <v>8.3333333333333339</v>
      </c>
      <c r="AE360" s="1748" t="str">
        <f t="shared" ref="AE360:AE371" si="58">T360</f>
        <v>œuf(s)</v>
      </c>
      <c r="AF360" s="99">
        <f>IF(OR(ISBLANK(AF354),AF354=0),0,AC360*X360*X354)</f>
        <v>0.41666666666666674</v>
      </c>
      <c r="AG360" s="111" t="str">
        <f>IF(W360="","",IF(COUNTIF(Z373:AG373,SUBSTITUTE(TRIM(W360)," (s)",""))+COUNTIF(Z375:AG375,SUBSTITUTE(TRIM(W360)," (s)",""))&gt;0,IF(ROUND(AF360,3)&gt;=1,ROUND(AF360,3)&amp;" L",MAX(1,ROUND(AF360*100,0))&amp;" cl"),IF(COUNTIF(S373:X373,SUBSTITUTE(TRIM(W360)," (s)",""))+COUNTIF(S375:X375,SUBSTITUTE(TRIM(W360)," (s)",""))&gt;0,IF(ROUND(AF360,3)&gt;=1,ROUND(AF360,3)&amp;" Kg",MAX(1,ROUND(AF360*1000,0))&amp;" g"),"")))</f>
        <v>417 g</v>
      </c>
      <c r="AJ360" s="103" t="str">
        <f t="shared" si="55"/>
        <v>A</v>
      </c>
      <c r="AK360" s="1616"/>
      <c r="AL360" s="1333" t="s">
        <v>21</v>
      </c>
      <c r="AM360" s="394"/>
      <c r="AN360" s="186"/>
      <c r="AO360" s="186"/>
      <c r="AP360" s="9"/>
      <c r="AQ360" s="9"/>
      <c r="AR360" s="9"/>
      <c r="AS360" s="38"/>
      <c r="AV360" s="3">
        <v>1</v>
      </c>
    </row>
    <row r="361" spans="2:48" ht="21" customHeight="1">
      <c r="B361" s="1610" cm="1">
        <f t="array" ref="B361">SUMPRODUCT(LEN(C361:K361))</f>
        <v>0</v>
      </c>
      <c r="C361" s="1810"/>
      <c r="D361" s="1810"/>
      <c r="E361" s="1810"/>
      <c r="F361" s="1810"/>
      <c r="G361" s="1810"/>
      <c r="H361" s="1810"/>
      <c r="I361" s="1810"/>
      <c r="J361" s="1810"/>
      <c r="K361" s="1810"/>
      <c r="L361" s="2126" t="str" cm="1">
        <f t="array" ref="L361">IF(B353&lt;=0,0,ROUNDUP(SUMPRODUCT(LEN(C361:K361))/B353,0))&amp;" ligne(s)"</f>
        <v>0 ligne(s)</v>
      </c>
      <c r="N361" s="103" t="str">
        <f t="shared" ref="N361:N370" si="59">IF(Z361&lt;&gt;"","A","►")</f>
        <v>A</v>
      </c>
      <c r="O361" s="31" t="str">
        <f>O355</f>
        <v>B BEIGNETS D'ACACIA | pâtisserie--Beignets| Auteur &gt; Délice de Celeste</v>
      </c>
      <c r="P361" s="32">
        <f>P355</f>
        <v>6</v>
      </c>
      <c r="Q361" s="31" t="str">
        <f>Q355</f>
        <v>couverts</v>
      </c>
      <c r="R361" s="33" t="str">
        <f>R355</f>
        <v>Recette mère ► Beignets d'acacia</v>
      </c>
      <c r="S361" s="89"/>
      <c r="T361" s="108"/>
      <c r="U361" s="1363" t="str">
        <f t="shared" si="57"/>
        <v/>
      </c>
      <c r="V361" s="92">
        <v>50</v>
      </c>
      <c r="W361" s="104" t="s">
        <v>100</v>
      </c>
      <c r="X361" s="130">
        <v>1</v>
      </c>
      <c r="Y361" s="1813" t="str">
        <f>ROWS(Y359:Y361)&amp;" ►"</f>
        <v>3 ►</v>
      </c>
      <c r="Z361" s="1580" t="s">
        <v>8389</v>
      </c>
      <c r="AA361" s="95">
        <f>IF(AC372=0,0,(AC361/AC372)*AB358*1000)</f>
        <v>94.339622641509436</v>
      </c>
      <c r="AB361" s="105">
        <f>IF(AC372=0, 0, (S361*X361)/(AC372*AB358))</f>
        <v>0</v>
      </c>
      <c r="AC361" s="97" cm="1">
        <f t="array" ref="AC361">IFERROR(_xlfn.XLOOKUP(UPPER(TRIM(W361)),UPPER(TRIM(S373:AG373)),S374:AG374,_xlfn.XLOOKUP(UPPER(TRIM(W361)),UPPER(TRIM(S375:AG375)),S376:AG376,0))*V361*IF(S361&gt;0,S361,1),0)</f>
        <v>0.05</v>
      </c>
      <c r="AD361" s="106">
        <f>IF(AF354&lt;&gt;0,S361*X361*X354,0)</f>
        <v>0</v>
      </c>
      <c r="AE361" s="1747">
        <f t="shared" si="58"/>
        <v>0</v>
      </c>
      <c r="AF361" s="99">
        <f>IF(OR(ISBLANK(AF354),AF354=0),0,AC361*X361*X354)</f>
        <v>0.41666666666666674</v>
      </c>
      <c r="AG361" s="107" t="str">
        <f>IF(W361="","",IF(COUNTIF(Z373:AG373,SUBSTITUTE(TRIM(W361)," (s)",""))+COUNTIF(Z375:AG375,SUBSTITUTE(TRIM(W361)," (s)",""))&gt;0,IF(ROUND(AF361,3)&gt;=1,ROUND(AF361,3)&amp;" L",MAX(1,ROUND(AF361*100,0))&amp;" cl"),IF(COUNTIF(S373:X373,SUBSTITUTE(TRIM(W361)," (s)",""))+COUNTIF(S375:X375,SUBSTITUTE(TRIM(W361)," (s)",""))&gt;0,IF(ROUND(AF361,3)&gt;=1,ROUND(AF361,3)&amp;" Kg",MAX(1,ROUND(AF361*1000,0))&amp;" g"),"")))</f>
        <v>417 g</v>
      </c>
      <c r="AJ361" s="103" t="str">
        <f t="shared" si="55"/>
        <v>A</v>
      </c>
      <c r="AK361" s="1616"/>
      <c r="AL361" s="1333" t="s">
        <v>21</v>
      </c>
      <c r="AM361" s="2209"/>
      <c r="AN361" s="437" t="s">
        <v>8938</v>
      </c>
      <c r="AO361" s="437"/>
      <c r="AP361" s="437"/>
      <c r="AQ361" s="9"/>
      <c r="AR361" s="9"/>
      <c r="AS361" s="38"/>
      <c r="AV361" s="3">
        <v>1</v>
      </c>
    </row>
    <row r="362" spans="2:48" ht="21" customHeight="1">
      <c r="B362" s="1610" cm="1">
        <f t="array" ref="B362">SUMPRODUCT(LEN(C362:K362))</f>
        <v>0</v>
      </c>
      <c r="C362" s="1810"/>
      <c r="D362" s="1810"/>
      <c r="E362" s="1810"/>
      <c r="F362" s="1810"/>
      <c r="G362" s="1810"/>
      <c r="H362" s="1810"/>
      <c r="I362" s="1810"/>
      <c r="J362" s="1810"/>
      <c r="K362" s="1810"/>
      <c r="L362" s="2126" t="str" cm="1">
        <f t="array" ref="L362">IF(B353&lt;=0,0,ROUNDUP(SUMPRODUCT(LEN(C362:K362))/B353,0))&amp;" ligne(s)"</f>
        <v>0 ligne(s)</v>
      </c>
      <c r="N362" s="103" t="str">
        <f t="shared" si="59"/>
        <v>A</v>
      </c>
      <c r="O362" s="31" t="str">
        <f>O355</f>
        <v>B BEIGNETS D'ACACIA | pâtisserie--Beignets| Auteur &gt; Délice de Celeste</v>
      </c>
      <c r="P362" s="32">
        <f>P355</f>
        <v>6</v>
      </c>
      <c r="Q362" s="31" t="str">
        <f>Q355</f>
        <v>couverts</v>
      </c>
      <c r="R362" s="33" t="str">
        <f>R355</f>
        <v>Recette mère ► Beignets d'acacia</v>
      </c>
      <c r="S362" s="89"/>
      <c r="T362" s="108"/>
      <c r="U362" s="91" t="str">
        <f t="shared" si="57"/>
        <v/>
      </c>
      <c r="V362" s="92">
        <v>100</v>
      </c>
      <c r="W362" s="93" t="s">
        <v>145</v>
      </c>
      <c r="X362" s="130">
        <v>1</v>
      </c>
      <c r="Y362" s="1813" t="str">
        <f>ROWS(Y359:Y362)&amp;" ►"</f>
        <v>4 ►</v>
      </c>
      <c r="Z362" s="1580" t="s">
        <v>8390</v>
      </c>
      <c r="AA362" s="95">
        <f>IF(AC372=0,0,(AC362/AC372)*AB358*1000)</f>
        <v>188.67924528301887</v>
      </c>
      <c r="AB362" s="105">
        <f>IF(AC372=0, 0, (S362*X362)/(AC372*AB358))</f>
        <v>0</v>
      </c>
      <c r="AC362" s="97" cm="1">
        <f t="array" ref="AC362">IFERROR(_xlfn.XLOOKUP(UPPER(TRIM(W362)),UPPER(TRIM(S373:AG373)),S374:AG374,_xlfn.XLOOKUP(UPPER(TRIM(W362)),UPPER(TRIM(S375:AG375)),S376:AG376,0))*V362*IF(S362&gt;0,S362,1),0)</f>
        <v>0.1</v>
      </c>
      <c r="AD362" s="110">
        <f>IF(AF354&lt;&gt;0,S362*X362*X354,0)</f>
        <v>0</v>
      </c>
      <c r="AE362" s="1748">
        <f t="shared" si="58"/>
        <v>0</v>
      </c>
      <c r="AF362" s="99">
        <f>IF(OR(ISBLANK(AF354),AF354=0),0,AC362*X362*X354)</f>
        <v>0.83333333333333348</v>
      </c>
      <c r="AG362" s="129" t="str">
        <f>IF(W362="","",IF(COUNTIF(Z373:AG373,SUBSTITUTE(TRIM(W362)," (s)",""))+COUNTIF(Z375:AG375,SUBSTITUTE(TRIM(W362)," (s)",""))&gt;0,IF(ROUND(AF362,3)&gt;=1,ROUND(AF362,3)&amp;" L",MAX(1,ROUND(AF362*100,0))&amp;" cl"),IF(COUNTIF(S373:X373,SUBSTITUTE(TRIM(W362)," (s)",""))+COUNTIF(S375:X375,SUBSTITUTE(TRIM(W362)," (s)",""))&gt;0,IF(ROUND(AF362,3)&gt;=1,ROUND(AF362,3)&amp;" Kg",MAX(1,ROUND(AF362*1000,0))&amp;" g"),"")))</f>
        <v>83 cl</v>
      </c>
      <c r="AJ362" s="103" t="str">
        <f t="shared" si="55"/>
        <v>A</v>
      </c>
      <c r="AK362" s="1616"/>
      <c r="AL362" s="1333" t="s">
        <v>21</v>
      </c>
      <c r="AM362" s="2209"/>
      <c r="AN362" s="437" t="s">
        <v>8939</v>
      </c>
      <c r="AO362" s="437"/>
      <c r="AP362" s="437"/>
      <c r="AQ362" s="9"/>
      <c r="AR362" s="9"/>
      <c r="AS362" s="38"/>
      <c r="AV362" s="3">
        <v>1</v>
      </c>
    </row>
    <row r="363" spans="2:48" ht="21" customHeight="1">
      <c r="B363" s="1610" cm="1">
        <f t="array" ref="B363">SUMPRODUCT(LEN(C363:K363))</f>
        <v>0</v>
      </c>
      <c r="C363" s="1810"/>
      <c r="D363" s="1810"/>
      <c r="E363" s="1810"/>
      <c r="F363" s="1810"/>
      <c r="G363" s="1810"/>
      <c r="H363" s="1810"/>
      <c r="I363" s="1810"/>
      <c r="J363" s="1810"/>
      <c r="K363" s="1810"/>
      <c r="L363" s="2126" t="str" cm="1">
        <f t="array" ref="L363">IF(B353&lt;=0,0,ROUNDUP(SUMPRODUCT(LEN(C363:K363))/B353,0))&amp;" ligne(s)"</f>
        <v>0 ligne(s)</v>
      </c>
      <c r="N363" s="103" t="str">
        <f t="shared" si="59"/>
        <v>A</v>
      </c>
      <c r="O363" s="31" t="str">
        <f>O355</f>
        <v>B BEIGNETS D'ACACIA | pâtisserie--Beignets| Auteur &gt; Délice de Celeste</v>
      </c>
      <c r="P363" s="32">
        <f>P355</f>
        <v>6</v>
      </c>
      <c r="Q363" s="31" t="str">
        <f>Q355</f>
        <v>couverts</v>
      </c>
      <c r="R363" s="33" t="str">
        <f>R355</f>
        <v>Recette mère ► Beignets d'acacia</v>
      </c>
      <c r="S363" s="89"/>
      <c r="T363" s="108"/>
      <c r="U363" s="1363" t="str">
        <f t="shared" si="57"/>
        <v/>
      </c>
      <c r="V363" s="92">
        <v>150</v>
      </c>
      <c r="W363" s="93" t="s">
        <v>145</v>
      </c>
      <c r="X363" s="130">
        <v>1</v>
      </c>
      <c r="Y363" s="1813" t="str">
        <f>ROWS(Y359:Y363)&amp;" ►"</f>
        <v>5 ►</v>
      </c>
      <c r="Z363" s="1580" t="s">
        <v>8391</v>
      </c>
      <c r="AA363" s="95">
        <f>IF(AC372=0,0,(AC363/AC372)*AB358*1000)</f>
        <v>283.01886792452831</v>
      </c>
      <c r="AB363" s="105">
        <f>IF(AC372=0, 0, (S363*X363)/(AC372*AB358))</f>
        <v>0</v>
      </c>
      <c r="AC363" s="97" cm="1">
        <f t="array" ref="AC363">IFERROR(_xlfn.XLOOKUP(UPPER(TRIM(W363)),UPPER(TRIM(S373:AG373)),S374:AG374,_xlfn.XLOOKUP(UPPER(TRIM(W363)),UPPER(TRIM(S375:AG375)),S376:AG376,0))*V363*IF(S363&gt;0,S363,1),0)</f>
        <v>0.15</v>
      </c>
      <c r="AD363" s="106">
        <f>IF(AF354&lt;&gt;0,S363*X363*X354,0)</f>
        <v>0</v>
      </c>
      <c r="AE363" s="1747">
        <f t="shared" si="58"/>
        <v>0</v>
      </c>
      <c r="AF363" s="99">
        <f>IF(OR(ISBLANK(AF354),AF354=0),0,AC363*X363*X354)</f>
        <v>1.25</v>
      </c>
      <c r="AG363" s="107" t="str">
        <f>IF(W363="","",IF(COUNTIF(Z373:AG373,SUBSTITUTE(TRIM(W363)," (s)",""))+COUNTIF(Z375:AG375,SUBSTITUTE(TRIM(W363)," (s)",""))&gt;0,IF(ROUND(AF363,3)&gt;=1,ROUND(AF363,3)&amp;" L",MAX(1,ROUND(AF363*100,0))&amp;" cl"),IF(COUNTIF(S373:X373,SUBSTITUTE(TRIM(W363)," (s)",""))+COUNTIF(S375:X375,SUBSTITUTE(TRIM(W363)," (s)",""))&gt;0,IF(ROUND(AF363,3)&gt;=1,ROUND(AF363,3)&amp;" Kg",MAX(1,ROUND(AF363*1000,0))&amp;" g"),"")))</f>
        <v>1.25 L</v>
      </c>
      <c r="AJ363" s="103" t="str">
        <f t="shared" si="55"/>
        <v>A</v>
      </c>
      <c r="AK363" s="1616"/>
      <c r="AL363" s="1333" t="s">
        <v>21</v>
      </c>
      <c r="AM363" s="157"/>
      <c r="AN363" s="158"/>
      <c r="AO363" s="159"/>
      <c r="AP363" s="158"/>
      <c r="AQ363" s="158"/>
      <c r="AR363" s="158"/>
      <c r="AS363" s="160"/>
      <c r="AV363" s="3">
        <v>1</v>
      </c>
    </row>
    <row r="364" spans="2:48" ht="21" customHeight="1">
      <c r="B364" s="1610" cm="1">
        <f t="array" ref="B364">SUMPRODUCT(LEN(C364:K364))</f>
        <v>0</v>
      </c>
      <c r="C364" s="1810"/>
      <c r="D364" s="1810"/>
      <c r="E364" s="1810"/>
      <c r="F364" s="1810"/>
      <c r="G364" s="1810"/>
      <c r="H364" s="1810"/>
      <c r="I364" s="1810"/>
      <c r="J364" s="1810"/>
      <c r="K364" s="1810"/>
      <c r="L364" s="2126" t="str" cm="1">
        <f t="array" ref="L364">IF(B353&lt;=0,0,ROUNDUP(SUMPRODUCT(LEN(C364:K364))/B353,0))&amp;" ligne(s)"</f>
        <v>0 ligne(s)</v>
      </c>
      <c r="N364" s="103" t="str">
        <f t="shared" si="59"/>
        <v>A</v>
      </c>
      <c r="O364" s="31" t="str">
        <f>O355</f>
        <v>B BEIGNETS D'ACACIA | pâtisserie--Beignets| Auteur &gt; Délice de Celeste</v>
      </c>
      <c r="P364" s="32">
        <f>P355</f>
        <v>6</v>
      </c>
      <c r="Q364" s="31" t="str">
        <f>Q355</f>
        <v>couverts</v>
      </c>
      <c r="R364" s="33" t="str">
        <f>R355</f>
        <v>Recette mère ► Beignets d'acacia</v>
      </c>
      <c r="S364" s="89">
        <v>1</v>
      </c>
      <c r="T364" s="108" t="s">
        <v>8274</v>
      </c>
      <c r="U364" s="91" t="str">
        <f t="shared" si="57"/>
        <v/>
      </c>
      <c r="V364" s="92"/>
      <c r="W364" s="1364"/>
      <c r="X364" s="130">
        <v>1</v>
      </c>
      <c r="Y364" s="1813" t="str">
        <f>ROWS(Y359:Y364)&amp;" ►"</f>
        <v>6 ►</v>
      </c>
      <c r="Z364" s="1580" t="s">
        <v>8394</v>
      </c>
      <c r="AA364" s="95">
        <f>IF(AC372=0,0,(AC364/AC372)*AB358*1000)</f>
        <v>0</v>
      </c>
      <c r="AB364" s="105">
        <f>IF(AC372=0, 0, (S364*X364)/(AC372*AB358))</f>
        <v>1.8867924528301885</v>
      </c>
      <c r="AC364" s="97" cm="1">
        <f t="array" ref="AC364">IFERROR(_xlfn.XLOOKUP(UPPER(TRIM(W364)),UPPER(TRIM(S373:AG373)),S374:AG374,_xlfn.XLOOKUP(UPPER(TRIM(W364)),UPPER(TRIM(S375:AG375)),S376:AG376,0))*V364*IF(S364&gt;0,S364,1),0)</f>
        <v>0</v>
      </c>
      <c r="AD364" s="110">
        <f>IF(AF354&lt;&gt;0,S364*X364*X354,0)</f>
        <v>8.3333333333333339</v>
      </c>
      <c r="AE364" s="1748" t="str">
        <f t="shared" si="58"/>
        <v>sachet(s)</v>
      </c>
      <c r="AF364" s="99">
        <f>IF(OR(ISBLANK(AF354),AF354=0),0,AC364*X364*X354)</f>
        <v>0</v>
      </c>
      <c r="AG364" s="129" t="str">
        <f>IF(W364="","",IF(COUNTIF(Z373:AG373,SUBSTITUTE(TRIM(W364)," (s)",""))+COUNTIF(Z375:AG375,SUBSTITUTE(TRIM(W364)," (s)",""))&gt;0,IF(ROUND(AF364,3)&gt;=1,ROUND(AF364,3)&amp;" L",MAX(1,ROUND(AF364*100,0))&amp;" cl"),IF(COUNTIF(S373:X373,SUBSTITUTE(TRIM(W364)," (s)",""))+COUNTIF(S375:X375,SUBSTITUTE(TRIM(W364)," (s)",""))&gt;0,IF(ROUND(AF364,3)&gt;=1,ROUND(AF364,3)&amp;" Kg",MAX(1,ROUND(AF364*1000,0))&amp;" g"),"")))</f>
        <v/>
      </c>
      <c r="AJ364" s="103" t="str">
        <f t="shared" si="55"/>
        <v>A</v>
      </c>
      <c r="AK364" s="1616"/>
      <c r="AL364" s="1333" t="s">
        <v>21</v>
      </c>
      <c r="AM364" s="575"/>
      <c r="AN364" s="9"/>
      <c r="AO364" s="9"/>
      <c r="AP364" s="9"/>
      <c r="AQ364" s="9"/>
      <c r="AR364" s="9"/>
      <c r="AS364" s="38"/>
      <c r="AV364" s="3">
        <v>1</v>
      </c>
    </row>
    <row r="365" spans="2:48" ht="21" customHeight="1">
      <c r="B365" s="1610" cm="1">
        <f t="array" ref="B365">SUMPRODUCT(LEN(C365:K365))</f>
        <v>0</v>
      </c>
      <c r="C365" s="1810"/>
      <c r="D365" s="1810"/>
      <c r="E365" s="1810"/>
      <c r="F365" s="1810"/>
      <c r="G365" s="1810"/>
      <c r="H365" s="1810"/>
      <c r="I365" s="1810"/>
      <c r="J365" s="1810"/>
      <c r="K365" s="1810"/>
      <c r="L365" s="2126" t="str" cm="1">
        <f t="array" ref="L365">IF(B353&lt;=0,0,ROUNDUP(SUMPRODUCT(LEN(C365:K365))/B353,0))&amp;" ligne(s)"</f>
        <v>0 ligne(s)</v>
      </c>
      <c r="N365" s="103" t="str">
        <f t="shared" si="59"/>
        <v>A</v>
      </c>
      <c r="O365" s="31" t="str">
        <f>O355</f>
        <v>B BEIGNETS D'ACACIA | pâtisserie--Beignets| Auteur &gt; Délice de Celeste</v>
      </c>
      <c r="P365" s="32">
        <f>P355</f>
        <v>6</v>
      </c>
      <c r="Q365" s="31" t="str">
        <f>Q355</f>
        <v>couverts</v>
      </c>
      <c r="R365" s="33" t="str">
        <f>R355</f>
        <v>Recette mère ► Beignets d'acacia</v>
      </c>
      <c r="S365" s="89">
        <v>1</v>
      </c>
      <c r="T365" s="108" t="s">
        <v>8283</v>
      </c>
      <c r="U365" s="1363" t="str">
        <f t="shared" si="57"/>
        <v/>
      </c>
      <c r="V365" s="92"/>
      <c r="W365" s="1364"/>
      <c r="X365" s="130">
        <v>1</v>
      </c>
      <c r="Y365" s="1813" t="str">
        <f>ROWS(Y359:Y365)&amp;" ►"</f>
        <v>7 ►</v>
      </c>
      <c r="Z365" s="1580" t="s">
        <v>8396</v>
      </c>
      <c r="AA365" s="95">
        <f>IF(AC372=0,0,(AC365/AC372)*AB358*1000)</f>
        <v>0</v>
      </c>
      <c r="AB365" s="105">
        <f>IF(AC372=0, 0, (S365*X365)/(AC372*AB358))</f>
        <v>1.8867924528301885</v>
      </c>
      <c r="AC365" s="97" cm="1">
        <f t="array" ref="AC365">IFERROR(_xlfn.XLOOKUP(UPPER(TRIM(W365)),UPPER(TRIM(S373:AG373)),S374:AG374,_xlfn.XLOOKUP(UPPER(TRIM(W365)),UPPER(TRIM(S375:AG375)),S376:AG376,0))*V365*IF(S365&gt;0,S365,1),0)</f>
        <v>0</v>
      </c>
      <c r="AD365" s="106">
        <f>IF(AF354&lt;&gt;0,S365*X365*X354,0)</f>
        <v>8.3333333333333339</v>
      </c>
      <c r="AE365" s="1747" t="str">
        <f t="shared" si="58"/>
        <v>pincée(s)</v>
      </c>
      <c r="AF365" s="99">
        <f>IF(OR(ISBLANK(AF354),AF354=0),0,AC365*X365*X354)</f>
        <v>0</v>
      </c>
      <c r="AG365" s="107" t="str">
        <f>IF(W365="","",IF(COUNTIF(Z373:AG373,SUBSTITUTE(TRIM(W365)," (s)",""))+COUNTIF(Z375:AG375,SUBSTITUTE(TRIM(W365)," (s)",""))&gt;0,IF(ROUND(AF365,3)&gt;=1,ROUND(AF365,3)&amp;" L",MAX(1,ROUND(AF365*100,0))&amp;" cl"),IF(COUNTIF(S373:X373,SUBSTITUTE(TRIM(W365)," (s)",""))+COUNTIF(S375:X375,SUBSTITUTE(TRIM(W365)," (s)",""))&gt;0,IF(ROUND(AF365,3)&gt;=1,ROUND(AF365,3)&amp;" Kg",MAX(1,ROUND(AF365*1000,0))&amp;" g"),"")))</f>
        <v/>
      </c>
      <c r="AJ365" s="103" t="str">
        <f t="shared" si="55"/>
        <v>A</v>
      </c>
      <c r="AK365" s="1616"/>
      <c r="AL365" s="1333" t="s">
        <v>21</v>
      </c>
      <c r="AM365" s="6978" t="str">
        <f>"Ligne "&amp;ROW(V409)&amp;" colonne X vous avez des tableaux à coller"</f>
        <v>Ligne 409 colonne X vous avez des tableaux à coller</v>
      </c>
      <c r="AN365" s="6979"/>
      <c r="AO365" s="6960" t="s">
        <v>713</v>
      </c>
      <c r="AP365" s="6960"/>
      <c r="AQ365" s="9"/>
      <c r="AR365" s="9"/>
      <c r="AS365" s="38"/>
      <c r="AV365" s="3">
        <v>1</v>
      </c>
    </row>
    <row r="366" spans="2:48" ht="21" customHeight="1">
      <c r="B366" s="1610" cm="1">
        <f t="array" ref="B366">SUMPRODUCT(LEN(C366:K366))</f>
        <v>0</v>
      </c>
      <c r="C366" s="1810"/>
      <c r="D366" s="1810"/>
      <c r="E366" s="1810"/>
      <c r="F366" s="1810"/>
      <c r="G366" s="1810"/>
      <c r="H366" s="1810"/>
      <c r="I366" s="1810"/>
      <c r="J366" s="1810"/>
      <c r="K366" s="1810"/>
      <c r="L366" s="2126" t="str" cm="1">
        <f t="array" ref="L366">IF(B353&lt;=0,0,ROUNDUP(SUMPRODUCT(LEN(C366:K366))/B353,0))&amp;" ligne(s)"</f>
        <v>0 ligne(s)</v>
      </c>
      <c r="N366" s="103" t="str">
        <f t="shared" si="59"/>
        <v>A</v>
      </c>
      <c r="O366" s="31" t="str">
        <f>O355</f>
        <v>B BEIGNETS D'ACACIA | pâtisserie--Beignets| Auteur &gt; Délice de Celeste</v>
      </c>
      <c r="P366" s="32">
        <f>P355</f>
        <v>6</v>
      </c>
      <c r="Q366" s="31" t="str">
        <f>Q355</f>
        <v>couverts</v>
      </c>
      <c r="R366" s="33" t="str">
        <f>R355</f>
        <v>Recette mère ► Beignets d'acacia</v>
      </c>
      <c r="S366" s="89"/>
      <c r="T366" s="108"/>
      <c r="U366" s="91" t="str">
        <f>IF(OR(ISTEXT(S366), S366&lt;=0, V366&lt;=0), "", "de")</f>
        <v/>
      </c>
      <c r="V366" s="92"/>
      <c r="W366" s="128"/>
      <c r="X366" s="130">
        <v>1</v>
      </c>
      <c r="Y366" s="1813" t="str">
        <f>ROWS(Y359:Y366)&amp;" ►"</f>
        <v>8 ►</v>
      </c>
      <c r="Z366" s="1580" t="s">
        <v>8398</v>
      </c>
      <c r="AA366" s="95">
        <f>IF(AC372=0,0,(AC366/AC372)*AB358*1000)</f>
        <v>0</v>
      </c>
      <c r="AB366" s="105">
        <f>IF(AC372=0, 0, (S366*X366)/(AC372*AB358))</f>
        <v>0</v>
      </c>
      <c r="AC366" s="97" cm="1">
        <f t="array" ref="AC366">IFERROR(_xlfn.XLOOKUP(UPPER(TRIM(W366)),UPPER(TRIM(S373:AG373)),S374:AG374,_xlfn.XLOOKUP(UPPER(TRIM(W366)),UPPER(TRIM(S375:AG375)),S376:AG376,0))*V366*IF(S366&gt;0,S366,1),0)</f>
        <v>0</v>
      </c>
      <c r="AD366" s="110">
        <f>IF(AF354&lt;&gt;0,S366*X366*X354,0)</f>
        <v>0</v>
      </c>
      <c r="AE366" s="1748">
        <f t="shared" si="58"/>
        <v>0</v>
      </c>
      <c r="AF366" s="99">
        <f>IF(OR(ISBLANK(AF354),AF354=0),0,AC366*X366*X354)</f>
        <v>0</v>
      </c>
      <c r="AG366" s="129" t="str">
        <f>IF(W366="","",IF(COUNTIF(Z373:AG373,SUBSTITUTE(TRIM(W366)," (s)",""))+COUNTIF(Z375:AG375,SUBSTITUTE(TRIM(W366)," (s)",""))&gt;0,IF(ROUND(AF366,3)&gt;=1,ROUND(AF366,3)&amp;" L",MAX(1,ROUND(AF366*100,0))&amp;" cl"),IF(COUNTIF(S373:X373,SUBSTITUTE(TRIM(W366)," (s)",""))+COUNTIF(S375:X375,SUBSTITUTE(TRIM(W366)," (s)",""))&gt;0,IF(ROUND(AF366,3)&gt;=1,ROUND(AF366,3)&amp;" Kg",MAX(1,ROUND(AF366*1000,0))&amp;" g"),"")))</f>
        <v/>
      </c>
      <c r="AJ366" s="103" t="str">
        <f t="shared" si="55"/>
        <v>A</v>
      </c>
      <c r="AK366" s="1616"/>
      <c r="AL366" s="1333" t="s">
        <v>21</v>
      </c>
      <c r="AM366" s="6978"/>
      <c r="AN366" s="6979"/>
      <c r="AO366" s="6960"/>
      <c r="AP366" s="6960"/>
      <c r="AQ366" s="9"/>
      <c r="AR366" s="9"/>
      <c r="AS366" s="38"/>
      <c r="AV366" s="3">
        <v>1</v>
      </c>
    </row>
    <row r="367" spans="2:48" ht="21" customHeight="1">
      <c r="B367" s="1610" cm="1">
        <f t="array" ref="B367">SUMPRODUCT(LEN(C367:K367))</f>
        <v>0</v>
      </c>
      <c r="C367" s="1810"/>
      <c r="D367" s="1810"/>
      <c r="E367" s="1810"/>
      <c r="F367" s="1810"/>
      <c r="G367" s="1810"/>
      <c r="H367" s="1810"/>
      <c r="I367" s="1810"/>
      <c r="J367" s="1810"/>
      <c r="K367" s="1810"/>
      <c r="L367" s="2126" t="str" cm="1">
        <f t="array" ref="L367">IF(B353&lt;=0,0,ROUNDUP(SUMPRODUCT(LEN(C367:K367))/B353,0))&amp;" ligne(s)"</f>
        <v>0 ligne(s)</v>
      </c>
      <c r="N367" s="103" t="str">
        <f t="shared" si="59"/>
        <v>►</v>
      </c>
      <c r="O367" s="31" t="str">
        <f>O355</f>
        <v>B BEIGNETS D'ACACIA | pâtisserie--Beignets| Auteur &gt; Délice de Celeste</v>
      </c>
      <c r="P367" s="32">
        <f>P355</f>
        <v>6</v>
      </c>
      <c r="Q367" s="31" t="str">
        <f>Q355</f>
        <v>couverts</v>
      </c>
      <c r="R367" s="33" t="str">
        <f>R355</f>
        <v>Recette mère ► Beignets d'acacia</v>
      </c>
      <c r="S367" s="89"/>
      <c r="T367" s="108"/>
      <c r="U367" s="91" t="str">
        <f t="shared" ref="U367:U371" si="60">IF(OR(ISTEXT(S367), S367&lt;=0, V367&lt;=0), "", "de")</f>
        <v/>
      </c>
      <c r="V367" s="92"/>
      <c r="W367" s="128"/>
      <c r="X367" s="130">
        <v>1</v>
      </c>
      <c r="Y367" s="1813" t="str">
        <f>ROWS(Y359:Y367)&amp;" ►"</f>
        <v>9 ►</v>
      </c>
      <c r="Z367" s="1580"/>
      <c r="AA367" s="95">
        <f>IF(AC372=0,0,(AC367/AC372)*AB358*1000)</f>
        <v>0</v>
      </c>
      <c r="AB367" s="105">
        <f>IF(AC372=0, 0, (S367*X367)/(AC372*AB358))</f>
        <v>0</v>
      </c>
      <c r="AC367" s="97" cm="1">
        <f t="array" ref="AC367">IFERROR(_xlfn.XLOOKUP(UPPER(TRIM(W367)),UPPER(TRIM(S373:AG373)),S374:AG374,_xlfn.XLOOKUP(UPPER(TRIM(W367)),UPPER(TRIM(S375:AG375)),S376:AG376,0))*V367*IF(S367&gt;0,S367,1),0)</f>
        <v>0</v>
      </c>
      <c r="AD367" s="106">
        <f>IF(AF354&lt;&gt;0,S367*X367*X354,0)</f>
        <v>0</v>
      </c>
      <c r="AE367" s="1747">
        <f t="shared" si="58"/>
        <v>0</v>
      </c>
      <c r="AF367" s="99">
        <f>IF(OR(ISBLANK(AF354),AF354=0),0,AC367*X367*X354)</f>
        <v>0</v>
      </c>
      <c r="AG367" s="107" t="str">
        <f>IF(W367="","",IF(COUNTIF(Z373:AG373,SUBSTITUTE(TRIM(W367)," (s)",""))+COUNTIF(Z375:AG375,SUBSTITUTE(TRIM(W367)," (s)",""))&gt;0,IF(ROUND(AF367,3)&gt;=1,ROUND(AF367,3)&amp;" L",MAX(1,ROUND(AF367*100,0))&amp;" cl"),IF(COUNTIF(S373:X373,SUBSTITUTE(TRIM(W367)," (s)",""))+COUNTIF(S375:X375,SUBSTITUTE(TRIM(W367)," (s)",""))&gt;0,IF(ROUND(AF367,3)&gt;=1,ROUND(AF367,3)&amp;" Kg",MAX(1,ROUND(AF367*1000,0))&amp;" g"),"")))</f>
        <v/>
      </c>
      <c r="AJ367" s="103" t="str">
        <f t="shared" si="55"/>
        <v>►</v>
      </c>
      <c r="AK367" s="1616"/>
      <c r="AL367" s="1333" t="s">
        <v>21</v>
      </c>
      <c r="AM367" s="580" t="s">
        <v>8941</v>
      </c>
      <c r="AN367" s="9"/>
      <c r="AO367" s="9"/>
      <c r="AP367" s="9"/>
      <c r="AQ367" s="9"/>
      <c r="AR367" s="9"/>
      <c r="AS367" s="38"/>
      <c r="AV367" s="3">
        <v>1</v>
      </c>
    </row>
    <row r="368" spans="2:48" ht="21" customHeight="1">
      <c r="B368" s="1610" cm="1">
        <f t="array" ref="B368">SUMPRODUCT(LEN(C368:K368))</f>
        <v>0</v>
      </c>
      <c r="C368" s="1810"/>
      <c r="D368" s="1810"/>
      <c r="E368" s="1810"/>
      <c r="F368" s="1810"/>
      <c r="G368" s="1810"/>
      <c r="H368" s="1810"/>
      <c r="I368" s="1810"/>
      <c r="J368" s="1810"/>
      <c r="K368" s="1810"/>
      <c r="L368" s="2126" t="str" cm="1">
        <f t="array" ref="L368">IF(B353&lt;=0,0,ROUNDUP(SUMPRODUCT(LEN(C368:K368))/B353,0))&amp;" ligne(s)"</f>
        <v>0 ligne(s)</v>
      </c>
      <c r="N368" s="103" t="str">
        <f t="shared" si="59"/>
        <v>►</v>
      </c>
      <c r="O368" s="31" t="str">
        <f>O355</f>
        <v>B BEIGNETS D'ACACIA | pâtisserie--Beignets| Auteur &gt; Délice de Celeste</v>
      </c>
      <c r="P368" s="32">
        <f>P355</f>
        <v>6</v>
      </c>
      <c r="Q368" s="31" t="str">
        <f>Q355</f>
        <v>couverts</v>
      </c>
      <c r="R368" s="33" t="str">
        <f>R355</f>
        <v>Recette mère ► Beignets d'acacia</v>
      </c>
      <c r="S368" s="89"/>
      <c r="T368" s="108"/>
      <c r="U368" s="91" t="str">
        <f t="shared" si="60"/>
        <v/>
      </c>
      <c r="V368" s="92"/>
      <c r="W368" s="128"/>
      <c r="X368" s="130">
        <v>1</v>
      </c>
      <c r="Y368" s="1813" t="str">
        <f>ROWS(Y359:Y368)&amp;" ►"</f>
        <v>10 ►</v>
      </c>
      <c r="Z368" s="1580"/>
      <c r="AA368" s="95">
        <f>IF(AC372=0,0,(AC368/AC372)*AB358*1000)</f>
        <v>0</v>
      </c>
      <c r="AB368" s="105">
        <f>IF(AC372=0, 0, (S368*X368)/(AC372*AB358))</f>
        <v>0</v>
      </c>
      <c r="AC368" s="97" cm="1">
        <f t="array" ref="AC368">IFERROR(_xlfn.XLOOKUP(UPPER(TRIM(W368)),UPPER(TRIM(S373:AG373)),S374:AG374,_xlfn.XLOOKUP(UPPER(TRIM(W368)),UPPER(TRIM(S375:AG375)),S376:AG376,0))*V368*IF(S368&gt;0,S368,1),0)</f>
        <v>0</v>
      </c>
      <c r="AD368" s="110">
        <f>IF(AF354&lt;&gt;0,S368*X368*X354,0)</f>
        <v>0</v>
      </c>
      <c r="AE368" s="1748">
        <f t="shared" si="58"/>
        <v>0</v>
      </c>
      <c r="AF368" s="99">
        <f>IF(OR(ISBLANK(AF354),AF354=0),0,AC368*X368*X354)</f>
        <v>0</v>
      </c>
      <c r="AG368" s="129" t="str">
        <f>IF(W368="","",IF(COUNTIF(Z373:AG373,SUBSTITUTE(TRIM(W368)," (s)",""))+COUNTIF(Z375:AG375,SUBSTITUTE(TRIM(W368)," (s)",""))&gt;0,IF(ROUND(AF368,3)&gt;=1,ROUND(AF368,3)&amp;" L",MAX(1,ROUND(AF368*100,0))&amp;" cl"),IF(COUNTIF(S373:X373,SUBSTITUTE(TRIM(W368)," (s)",""))+COUNTIF(S375:X375,SUBSTITUTE(TRIM(W368)," (s)",""))&gt;0,IF(ROUND(AF368,3)&gt;=1,ROUND(AF368,3)&amp;" Kg",MAX(1,ROUND(AF368*1000,0))&amp;" g"),"")))</f>
        <v/>
      </c>
      <c r="AJ368" s="103" t="str">
        <f t="shared" si="55"/>
        <v>►</v>
      </c>
      <c r="AK368" s="1616"/>
      <c r="AL368" s="1333" t="s">
        <v>21</v>
      </c>
      <c r="AM368" s="459"/>
      <c r="AN368" s="229"/>
      <c r="AO368" s="9"/>
      <c r="AP368" s="9"/>
      <c r="AQ368" s="9"/>
      <c r="AR368" s="9"/>
      <c r="AS368" s="38"/>
      <c r="AV368" s="3">
        <v>1</v>
      </c>
    </row>
    <row r="369" spans="2:48" ht="21" customHeight="1">
      <c r="B369" s="1610" cm="1">
        <f t="array" ref="B369">SUMPRODUCT(LEN(C369:K369))</f>
        <v>0</v>
      </c>
      <c r="C369" s="1810"/>
      <c r="D369" s="1810"/>
      <c r="E369" s="1810"/>
      <c r="F369" s="1810"/>
      <c r="G369" s="1810"/>
      <c r="H369" s="1810"/>
      <c r="I369" s="1810"/>
      <c r="J369" s="1810"/>
      <c r="K369" s="1810"/>
      <c r="L369" s="2126" t="str" cm="1">
        <f t="array" ref="L369">IF(B353&lt;=0,0,ROUNDUP(SUMPRODUCT(LEN(C369:K369))/B353,0))&amp;" ligne(s)"</f>
        <v>0 ligne(s)</v>
      </c>
      <c r="N369" s="103" t="str">
        <f t="shared" si="59"/>
        <v>►</v>
      </c>
      <c r="O369" s="31" t="str">
        <f>O355</f>
        <v>B BEIGNETS D'ACACIA | pâtisserie--Beignets| Auteur &gt; Délice de Celeste</v>
      </c>
      <c r="P369" s="32">
        <f>P355</f>
        <v>6</v>
      </c>
      <c r="Q369" s="31" t="str">
        <f>Q355</f>
        <v>couverts</v>
      </c>
      <c r="R369" s="33" t="str">
        <f>R355</f>
        <v>Recette mère ► Beignets d'acacia</v>
      </c>
      <c r="S369" s="89"/>
      <c r="T369" s="108"/>
      <c r="U369" s="91" t="str">
        <f t="shared" si="60"/>
        <v/>
      </c>
      <c r="V369" s="92"/>
      <c r="W369" s="128"/>
      <c r="X369" s="130">
        <v>1</v>
      </c>
      <c r="Y369" s="1813" t="str">
        <f>ROWS(Y359:Y369)&amp;" ►"</f>
        <v>11 ►</v>
      </c>
      <c r="Z369" s="1580"/>
      <c r="AA369" s="95">
        <f>IF(AC372=0,0,(AC369/AC372)*AB358*1000)</f>
        <v>0</v>
      </c>
      <c r="AB369" s="105">
        <f>IF(AC372=0, 0, (S369*X369)/(AC372*AB358))</f>
        <v>0</v>
      </c>
      <c r="AC369" s="97" cm="1">
        <f t="array" ref="AC369">IFERROR(_xlfn.XLOOKUP(UPPER(TRIM(W369)),UPPER(TRIM(S373:AG373)),S374:AG374,_xlfn.XLOOKUP(UPPER(TRIM(W369)),UPPER(TRIM(S375:AG375)),S376:AG376,0))*V369*IF(S369&gt;0,S369,1),0)</f>
        <v>0</v>
      </c>
      <c r="AD369" s="106">
        <f>IF(AF354&lt;&gt;0,S369*X369*X354,0)</f>
        <v>0</v>
      </c>
      <c r="AE369" s="1747">
        <f t="shared" si="58"/>
        <v>0</v>
      </c>
      <c r="AF369" s="99">
        <f>IF(OR(ISBLANK(AF354),AF354=0),0,AC369*X369*X354)</f>
        <v>0</v>
      </c>
      <c r="AG369" s="107" t="str">
        <f>IF(W369="","",IF(COUNTIF(Z373:AG373,SUBSTITUTE(TRIM(W369)," (s)",""))+COUNTIF(Z375:AG375,SUBSTITUTE(TRIM(W369)," (s)",""))&gt;0,IF(ROUND(AF369,3)&gt;=1,ROUND(AF369,3)&amp;" L",MAX(1,ROUND(AF369*100,0))&amp;" cl"),IF(COUNTIF(S373:X373,SUBSTITUTE(TRIM(W369)," (s)",""))+COUNTIF(S375:X375,SUBSTITUTE(TRIM(W369)," (s)",""))&gt;0,IF(ROUND(AF369,3)&gt;=1,ROUND(AF369,3)&amp;" Kg",MAX(1,ROUND(AF369*1000,0))&amp;" g"),"")))</f>
        <v/>
      </c>
      <c r="AJ369" s="103" t="str">
        <f t="shared" si="55"/>
        <v>►</v>
      </c>
      <c r="AK369" s="1616"/>
      <c r="AL369" s="1333" t="s">
        <v>21</v>
      </c>
      <c r="AM369" s="2217" t="s">
        <v>8145</v>
      </c>
      <c r="AN369" s="230"/>
      <c r="AO369" s="230"/>
      <c r="AP369" s="230"/>
      <c r="AQ369" s="230"/>
      <c r="AR369" s="231"/>
      <c r="AS369" s="585" t="s">
        <v>218</v>
      </c>
      <c r="AV369" s="3">
        <v>1</v>
      </c>
    </row>
    <row r="370" spans="2:48" ht="21" customHeight="1">
      <c r="B370" s="1610" cm="1">
        <f t="array" ref="B370">SUMPRODUCT(LEN(C370:K370))</f>
        <v>0</v>
      </c>
      <c r="C370" s="1810"/>
      <c r="D370" s="1810"/>
      <c r="E370" s="1810"/>
      <c r="F370" s="1810"/>
      <c r="G370" s="1810"/>
      <c r="H370" s="1810"/>
      <c r="I370" s="1810"/>
      <c r="J370" s="1810"/>
      <c r="K370" s="1810"/>
      <c r="L370" s="2126" t="str" cm="1">
        <f t="array" ref="L370">IF(B353&lt;=0,0,ROUNDUP(SUMPRODUCT(LEN(C370:K370))/B353,0))&amp;" ligne(s)"</f>
        <v>0 ligne(s)</v>
      </c>
      <c r="N370" s="103" t="str">
        <f t="shared" si="59"/>
        <v>►</v>
      </c>
      <c r="O370" s="31" t="str">
        <f>O355</f>
        <v>B BEIGNETS D'ACACIA | pâtisserie--Beignets| Auteur &gt; Délice de Celeste</v>
      </c>
      <c r="P370" s="32">
        <f>P355</f>
        <v>6</v>
      </c>
      <c r="Q370" s="31" t="str">
        <f>Q355</f>
        <v>couverts</v>
      </c>
      <c r="R370" s="33" t="str">
        <f>R355</f>
        <v>Recette mère ► Beignets d'acacia</v>
      </c>
      <c r="S370" s="89"/>
      <c r="T370" s="108"/>
      <c r="U370" s="91" t="str">
        <f t="shared" si="60"/>
        <v/>
      </c>
      <c r="V370" s="92"/>
      <c r="W370" s="128"/>
      <c r="X370" s="130">
        <v>1</v>
      </c>
      <c r="Y370" s="1813" t="str">
        <f>ROWS(Y359:Y370)&amp;" ►"</f>
        <v>12 ►</v>
      </c>
      <c r="Z370" s="1580"/>
      <c r="AA370" s="95">
        <f>IF(AC372=0,0,(AC370/AC372)*AB358*1000)</f>
        <v>0</v>
      </c>
      <c r="AB370" s="105">
        <f>IF(AC372=0, 0, (S370*X370)/(AC372*AB358))</f>
        <v>0</v>
      </c>
      <c r="AC370" s="97" cm="1">
        <f t="array" ref="AC370">IFERROR(_xlfn.XLOOKUP(UPPER(TRIM(W370)),UPPER(TRIM(S373:AG373)),S374:AG374,_xlfn.XLOOKUP(UPPER(TRIM(W370)),UPPER(TRIM(S375:AG375)),S376:AG376,0))*V370*IF(S370&gt;0,S370,1),0)</f>
        <v>0</v>
      </c>
      <c r="AD370" s="110">
        <f>IF(AF354&lt;&gt;0,S370*X370*X354,0)</f>
        <v>0</v>
      </c>
      <c r="AE370" s="1748">
        <f t="shared" si="58"/>
        <v>0</v>
      </c>
      <c r="AF370" s="99">
        <f>IF(OR(ISBLANK(AF354),AF354=0),0,AC370*X370*X354)</f>
        <v>0</v>
      </c>
      <c r="AG370" s="129" t="str">
        <f>IF(W370="","",IF(COUNTIF(Z373:AG373,SUBSTITUTE(TRIM(W370)," (s)",""))+COUNTIF(Z375:AG375,SUBSTITUTE(TRIM(W370)," (s)",""))&gt;0,IF(ROUND(AF370,3)&gt;=1,ROUND(AF370,3)&amp;" L",MAX(1,ROUND(AF370*100,0))&amp;" cl"),IF(COUNTIF(S373:X373,SUBSTITUTE(TRIM(W370)," (s)",""))+COUNTIF(S375:X375,SUBSTITUTE(TRIM(W370)," (s)",""))&gt;0,IF(ROUND(AF370,3)&gt;=1,ROUND(AF370,3)&amp;" Kg",MAX(1,ROUND(AF370*1000,0))&amp;" g"),"")))</f>
        <v/>
      </c>
      <c r="AJ370" s="103" t="str">
        <f t="shared" si="55"/>
        <v>►</v>
      </c>
      <c r="AK370" s="1616"/>
      <c r="AL370" s="1333" t="s">
        <v>21</v>
      </c>
      <c r="AM370" s="587" t="s">
        <v>219</v>
      </c>
      <c r="AN370" s="233" t="s">
        <v>220</v>
      </c>
      <c r="AO370" s="186"/>
      <c r="AP370" s="186"/>
      <c r="AQ370" s="186"/>
      <c r="AR370" s="186"/>
      <c r="AS370" s="191"/>
      <c r="AV370" s="3">
        <v>1</v>
      </c>
    </row>
    <row r="371" spans="2:48" ht="21" customHeight="1">
      <c r="B371" s="1610" cm="1">
        <f t="array" ref="B371">SUMPRODUCT(LEN(C371:K371))</f>
        <v>0</v>
      </c>
      <c r="C371" s="1810"/>
      <c r="D371" s="1810"/>
      <c r="E371" s="1810"/>
      <c r="F371" s="1810"/>
      <c r="G371" s="1810"/>
      <c r="H371" s="1810"/>
      <c r="I371" s="1810"/>
      <c r="J371" s="1810"/>
      <c r="K371" s="1810"/>
      <c r="L371" s="2126" t="str" cm="1">
        <f t="array" ref="L371">IF(B353&lt;=0,0,ROUNDUP(SUMPRODUCT(LEN(C371:K371))/B353,0))&amp;" ligne(s)"</f>
        <v>0 ligne(s)</v>
      </c>
      <c r="N371" s="2117" t="s">
        <v>10</v>
      </c>
      <c r="O371" s="31" t="str">
        <f>O355</f>
        <v>B BEIGNETS D'ACACIA | pâtisserie--Beignets| Auteur &gt; Délice de Celeste</v>
      </c>
      <c r="P371" s="32">
        <f>P355</f>
        <v>6</v>
      </c>
      <c r="Q371" s="31" t="str">
        <f>Q355</f>
        <v>couverts</v>
      </c>
      <c r="R371" s="33" t="str">
        <f>R355</f>
        <v>Recette mère ► Beignets d'acacia</v>
      </c>
      <c r="S371" s="1198"/>
      <c r="T371" s="1199"/>
      <c r="U371" s="91" t="str">
        <f t="shared" si="60"/>
        <v/>
      </c>
      <c r="V371" s="1200"/>
      <c r="W371" s="128"/>
      <c r="X371" s="1201">
        <v>1</v>
      </c>
      <c r="Y371" s="1813" t="str">
        <f>ROWS(Y359:Y371)&amp;" ►"</f>
        <v>13 ►</v>
      </c>
      <c r="Z371" s="1580"/>
      <c r="AA371" s="95">
        <f>IF(AC372=0,0,(AC371/AC372)*AB358*1000)</f>
        <v>0</v>
      </c>
      <c r="AB371" s="105">
        <f>IF(AC372=0, 0, (S371*X371)/(AC372*AB358))</f>
        <v>0</v>
      </c>
      <c r="AC371" s="97" cm="1">
        <f t="array" ref="AC371">IFERROR(_xlfn.XLOOKUP(UPPER(TRIM(W371)),UPPER(TRIM(S373:AG373)),S374:AG374,_xlfn.XLOOKUP(UPPER(TRIM(W371)),UPPER(TRIM(S375:AG375)),S376:AG376,0))*V371*IF(S371&gt;0,S371,1),0)</f>
        <v>0</v>
      </c>
      <c r="AD371" s="110">
        <f>IF(AF354&lt;&gt;0,S371*X371*X354,0)</f>
        <v>0</v>
      </c>
      <c r="AE371" s="1748">
        <f t="shared" si="58"/>
        <v>0</v>
      </c>
      <c r="AF371" s="99">
        <f>IF(OR(ISBLANK(AF354),AF354=0),0,AC371*X371*X354)</f>
        <v>0</v>
      </c>
      <c r="AG371" s="129" t="str">
        <f>IF(W371="","",IF(COUNTIF(Z373:AG373,SUBSTITUTE(TRIM(W371)," (s)",""))+COUNTIF(Z375:AG375,SUBSTITUTE(TRIM(W371)," (s)",""))&gt;0,IF(ROUND(AF371,3)&gt;=1,ROUND(AF371,3)&amp;" L",MAX(1,ROUND(AF371*100,0))&amp;" cl"),IF(COUNTIF(S373:X373,SUBSTITUTE(TRIM(W371)," (s)",""))+COUNTIF(S375:X375,SUBSTITUTE(TRIM(W371)," (s)",""))&gt;0,IF(ROUND(AF371,3)&gt;=1,ROUND(AF371,3)&amp;" Kg",MAX(1,ROUND(AF371*1000,0))&amp;" g"),"")))</f>
        <v/>
      </c>
      <c r="AJ371" s="2117" t="str">
        <f t="shared" si="55"/>
        <v>A</v>
      </c>
      <c r="AK371" s="1616"/>
      <c r="AL371" s="1333" t="s">
        <v>21</v>
      </c>
      <c r="AM371" s="587" t="s">
        <v>219</v>
      </c>
      <c r="AN371" s="233" t="s">
        <v>224</v>
      </c>
      <c r="AO371" s="176"/>
      <c r="AP371" s="176"/>
      <c r="AQ371" s="236"/>
      <c r="AR371" s="198"/>
      <c r="AS371" s="588"/>
      <c r="AV371" s="3">
        <v>1</v>
      </c>
    </row>
    <row r="372" spans="2:48" ht="21" customHeight="1">
      <c r="B372" s="1610" cm="1">
        <f t="array" ref="B372">SUMPRODUCT(LEN(C372:K372))</f>
        <v>43</v>
      </c>
      <c r="C372" s="1810" t="s">
        <v>8392</v>
      </c>
      <c r="D372" s="1810"/>
      <c r="E372" s="1810"/>
      <c r="F372" s="1810"/>
      <c r="G372" s="1810"/>
      <c r="H372" s="1810"/>
      <c r="I372" s="1810"/>
      <c r="J372" s="1810"/>
      <c r="K372" s="1810"/>
      <c r="L372" s="2126" t="str" cm="1">
        <f t="array" ref="L372">IF(B353&lt;=0,0,ROUNDUP(SUMPRODUCT(LEN(C372:K372))/B353,0))&amp;" ligne(s)"</f>
        <v>1 ligne(s)</v>
      </c>
      <c r="N372" s="2117" t="s">
        <v>10</v>
      </c>
      <c r="O372" s="31" t="str">
        <f>O355</f>
        <v>B BEIGNETS D'ACACIA | pâtisserie--Beignets| Auteur &gt; Délice de Celeste</v>
      </c>
      <c r="P372" s="32">
        <f>P355</f>
        <v>6</v>
      </c>
      <c r="Q372" s="31" t="str">
        <f>Q355</f>
        <v>couverts</v>
      </c>
      <c r="R372" s="33" t="str">
        <f>R355</f>
        <v>Recette mère ► Beignets d'acacia</v>
      </c>
      <c r="S372" s="680" t="s">
        <v>8411</v>
      </c>
      <c r="T372" s="474"/>
      <c r="U372" s="474"/>
      <c r="V372" s="474"/>
      <c r="W372" s="474"/>
      <c r="X372" s="681"/>
      <c r="Y372" s="681"/>
      <c r="Z372" s="1984" t="s">
        <v>8652</v>
      </c>
      <c r="AA372" s="682"/>
      <c r="AB372" s="682"/>
      <c r="AC372" s="1197">
        <f>SUM(AC359:AC371)</f>
        <v>0.53</v>
      </c>
      <c r="AD372" s="683"/>
      <c r="AE372" s="683" t="str">
        <f>"Total " &amp; AF356&amp;" &gt;"</f>
        <v>Total Col.19 &gt;</v>
      </c>
      <c r="AF372" s="1835">
        <f>SUM(AF359:AF371)</f>
        <v>4.416666666666667</v>
      </c>
      <c r="AG372" s="684"/>
      <c r="AJ372" s="2117" t="str">
        <f t="shared" si="55"/>
        <v>A</v>
      </c>
      <c r="AK372" s="1616"/>
      <c r="AL372" s="1333" t="s">
        <v>21</v>
      </c>
      <c r="AM372" s="587" t="s">
        <v>219</v>
      </c>
      <c r="AN372" s="233" t="s">
        <v>225</v>
      </c>
      <c r="AO372" s="186"/>
      <c r="AP372" s="186"/>
      <c r="AQ372" s="198"/>
      <c r="AR372" s="198"/>
      <c r="AS372" s="588"/>
      <c r="AV372" s="3">
        <v>1</v>
      </c>
    </row>
    <row r="373" spans="2:48" ht="21" customHeight="1">
      <c r="B373" s="1610" cm="1">
        <f t="array" ref="B373">SUMPRODUCT(LEN(C373:K373))</f>
        <v>67</v>
      </c>
      <c r="C373" s="1810" t="s">
        <v>8395</v>
      </c>
      <c r="D373" s="1810"/>
      <c r="E373" s="1810"/>
      <c r="F373" s="1810"/>
      <c r="G373" s="1810"/>
      <c r="H373" s="1810"/>
      <c r="I373" s="1810"/>
      <c r="J373" s="1810"/>
      <c r="K373" s="1810"/>
      <c r="L373" s="2126" t="str" cm="1">
        <f t="array" ref="L373">IF(B353&lt;=0,0,ROUNDUP(SUMPRODUCT(LEN(C373:K373))/B353,0))&amp;" ligne(s)"</f>
        <v>1 ligne(s)</v>
      </c>
      <c r="N373" s="2117" t="s">
        <v>10</v>
      </c>
      <c r="O373" s="31" t="str">
        <f>O355</f>
        <v>B BEIGNETS D'ACACIA | pâtisserie--Beignets| Auteur &gt; Délice de Celeste</v>
      </c>
      <c r="P373" s="32">
        <f>P355</f>
        <v>6</v>
      </c>
      <c r="Q373" s="31" t="str">
        <f>Q355</f>
        <v>couverts</v>
      </c>
      <c r="R373" s="33" t="str">
        <f>R355</f>
        <v>Recette mère ► Beignets d'acacia</v>
      </c>
      <c r="S373" s="142" t="s">
        <v>140</v>
      </c>
      <c r="T373" s="104" t="s">
        <v>100</v>
      </c>
      <c r="U373" s="143" t="s">
        <v>141</v>
      </c>
      <c r="V373" s="144" t="s">
        <v>142</v>
      </c>
      <c r="W373" s="118" t="s">
        <v>143</v>
      </c>
      <c r="X373" s="118" t="s">
        <v>109</v>
      </c>
      <c r="Y373" s="143" t="s">
        <v>141</v>
      </c>
      <c r="Z373" s="93" t="s">
        <v>0</v>
      </c>
      <c r="AA373" s="93" t="s">
        <v>97</v>
      </c>
      <c r="AB373" s="93" t="s">
        <v>144</v>
      </c>
      <c r="AC373" s="93" t="s">
        <v>145</v>
      </c>
      <c r="AD373" s="109" t="s">
        <v>104</v>
      </c>
      <c r="AE373" s="109" t="s">
        <v>359</v>
      </c>
      <c r="AF373" s="335" t="s">
        <v>146</v>
      </c>
      <c r="AG373" s="109" t="s">
        <v>147</v>
      </c>
      <c r="AJ373" s="2117" t="str">
        <f t="shared" si="55"/>
        <v>A</v>
      </c>
      <c r="AK373" s="1616"/>
      <c r="AL373" s="1333" t="s">
        <v>21</v>
      </c>
      <c r="AM373" s="575"/>
      <c r="AN373" s="176"/>
      <c r="AO373" s="176"/>
      <c r="AP373" s="176"/>
      <c r="AQ373" s="176"/>
      <c r="AR373" s="176"/>
      <c r="AS373" s="522" t="s">
        <v>196</v>
      </c>
      <c r="AV373" s="3">
        <v>1</v>
      </c>
    </row>
    <row r="374" spans="2:48" ht="21" customHeight="1">
      <c r="B374" s="1610" cm="1">
        <f t="array" ref="B374">SUMPRODUCT(LEN(C374:K374))</f>
        <v>89</v>
      </c>
      <c r="C374" s="1810" t="s">
        <v>8397</v>
      </c>
      <c r="D374" s="1810"/>
      <c r="E374" s="1810"/>
      <c r="F374" s="1810"/>
      <c r="G374" s="1810"/>
      <c r="H374" s="1810"/>
      <c r="I374" s="1810"/>
      <c r="J374" s="1810"/>
      <c r="K374" s="1810"/>
      <c r="L374" s="2126" t="str" cm="1">
        <f t="array" ref="L374">IF(B353&lt;=0,0,ROUNDUP(SUMPRODUCT(LEN(C374:K374))/B353,0))&amp;" ligne(s)"</f>
        <v>1 ligne(s)</v>
      </c>
      <c r="N374" s="2117" t="s">
        <v>10</v>
      </c>
      <c r="O374" s="31" t="str">
        <f>O355</f>
        <v>B BEIGNETS D'ACACIA | pâtisserie--Beignets| Auteur &gt; Délice de Celeste</v>
      </c>
      <c r="P374" s="32">
        <f>P355</f>
        <v>6</v>
      </c>
      <c r="Q374" s="31" t="str">
        <f>Q355</f>
        <v>couverts</v>
      </c>
      <c r="R374" s="33" t="str">
        <f>R355</f>
        <v>Recette mère ► Beignets d'acacia</v>
      </c>
      <c r="S374" s="685">
        <v>1</v>
      </c>
      <c r="T374" s="686">
        <v>1E-3</v>
      </c>
      <c r="U374" s="687">
        <v>0</v>
      </c>
      <c r="V374" s="686">
        <v>0.25</v>
      </c>
      <c r="W374" s="686">
        <v>0.33332999999999996</v>
      </c>
      <c r="X374" s="686">
        <v>0.5</v>
      </c>
      <c r="Y374" s="687">
        <v>0</v>
      </c>
      <c r="Z374" s="688">
        <v>1</v>
      </c>
      <c r="AA374" s="688">
        <v>0.1</v>
      </c>
      <c r="AB374" s="688">
        <v>0.01</v>
      </c>
      <c r="AC374" s="688">
        <v>1E-3</v>
      </c>
      <c r="AD374" s="688">
        <v>0.5</v>
      </c>
      <c r="AE374" s="688">
        <v>0.25</v>
      </c>
      <c r="AF374" s="688">
        <v>0.33300000000000002</v>
      </c>
      <c r="AG374" s="1756">
        <v>0.2</v>
      </c>
      <c r="AJ374" s="2117" t="str">
        <f t="shared" si="55"/>
        <v>A</v>
      </c>
      <c r="AK374" s="1616"/>
      <c r="AL374" s="1333" t="s">
        <v>21</v>
      </c>
      <c r="AM374" s="528"/>
      <c r="AN374" s="204"/>
      <c r="AO374" s="204" t="s">
        <v>200</v>
      </c>
      <c r="AP374" s="205"/>
      <c r="AQ374" s="206"/>
      <c r="AR374" s="206"/>
      <c r="AS374" s="529"/>
      <c r="AV374" s="3">
        <v>1</v>
      </c>
    </row>
    <row r="375" spans="2:48" ht="21" customHeight="1" thickBot="1">
      <c r="B375" s="1610" cm="1">
        <f t="array" ref="B375">SUMPRODUCT(LEN(C375:K375))</f>
        <v>153</v>
      </c>
      <c r="C375" s="1810" t="s">
        <v>8399</v>
      </c>
      <c r="D375" s="1810"/>
      <c r="E375" s="1810"/>
      <c r="F375" s="1810"/>
      <c r="G375" s="1810"/>
      <c r="H375" s="1810"/>
      <c r="I375" s="1810"/>
      <c r="J375" s="1810"/>
      <c r="K375" s="1810"/>
      <c r="L375" s="2126" t="str" cm="1">
        <f t="array" ref="L375">IF(B353&lt;=0,0,ROUNDUP(SUMPRODUCT(LEN(C375:K375))/B353,0))&amp;" ligne(s)"</f>
        <v>2 ligne(s)</v>
      </c>
      <c r="N375" s="2117" t="s">
        <v>10</v>
      </c>
      <c r="O375" s="31" t="str">
        <f>O355</f>
        <v>B BEIGNETS D'ACACIA | pâtisserie--Beignets| Auteur &gt; Délice de Celeste</v>
      </c>
      <c r="P375" s="32">
        <f>P355</f>
        <v>6</v>
      </c>
      <c r="Q375" s="31" t="str">
        <f>Q355</f>
        <v>couverts</v>
      </c>
      <c r="R375" s="33" t="str">
        <f>R355</f>
        <v>Recette mère ► Beignets d'acacia</v>
      </c>
      <c r="S375" s="121" t="s">
        <v>155</v>
      </c>
      <c r="T375" s="121" t="s">
        <v>156</v>
      </c>
      <c r="U375" s="143" t="s">
        <v>141</v>
      </c>
      <c r="V375" s="121" t="s">
        <v>110</v>
      </c>
      <c r="W375" s="121" t="s">
        <v>157</v>
      </c>
      <c r="X375" s="121" t="s">
        <v>158</v>
      </c>
      <c r="Y375" s="143" t="s">
        <v>141</v>
      </c>
      <c r="Z375" s="125" t="s">
        <v>115</v>
      </c>
      <c r="AA375" s="155" t="s">
        <v>159</v>
      </c>
      <c r="AB375" s="155" t="s">
        <v>160</v>
      </c>
      <c r="AC375" s="109" t="s">
        <v>161</v>
      </c>
      <c r="AD375" s="109" t="s">
        <v>162</v>
      </c>
      <c r="AE375" s="109" t="s">
        <v>105</v>
      </c>
      <c r="AF375" s="1758" t="s">
        <v>1689</v>
      </c>
      <c r="AG375" s="697" t="s">
        <v>163</v>
      </c>
      <c r="AJ375" s="2117" t="str">
        <f t="shared" si="55"/>
        <v>A</v>
      </c>
      <c r="AK375" s="1616"/>
      <c r="AL375" s="1333" t="s">
        <v>21</v>
      </c>
      <c r="AM375" s="590" t="s">
        <v>258</v>
      </c>
      <c r="AN375" s="261"/>
      <c r="AO375" s="262"/>
      <c r="AP375" s="263"/>
      <c r="AQ375" s="262"/>
      <c r="AR375" s="262"/>
      <c r="AS375" s="591"/>
      <c r="AV375" s="3">
        <v>1</v>
      </c>
    </row>
    <row r="376" spans="2:48" ht="21" customHeight="1">
      <c r="B376" s="1610" cm="1">
        <f t="array" ref="B376">SUMPRODUCT(LEN(C376:K376))</f>
        <v>52</v>
      </c>
      <c r="C376" s="1810" t="s">
        <v>8400</v>
      </c>
      <c r="D376" s="1810"/>
      <c r="E376" s="1810"/>
      <c r="F376" s="1810"/>
      <c r="G376" s="1810"/>
      <c r="H376" s="1810"/>
      <c r="I376" s="1810"/>
      <c r="J376" s="1810"/>
      <c r="K376" s="1810"/>
      <c r="L376" s="2126" t="str" cm="1">
        <f t="array" ref="L376">IF(B353&lt;=0,0,ROUNDUP(SUMPRODUCT(LEN(C376:K376))/B353,0))&amp;" ligne(s)"</f>
        <v>1 ligne(s)</v>
      </c>
      <c r="N376" s="2117" t="s">
        <v>10</v>
      </c>
      <c r="O376" s="31" t="str">
        <f>O355</f>
        <v>B BEIGNETS D'ACACIA | pâtisserie--Beignets| Auteur &gt; Délice de Celeste</v>
      </c>
      <c r="P376" s="32">
        <f>P355</f>
        <v>6</v>
      </c>
      <c r="Q376" s="31" t="str">
        <f>Q355</f>
        <v>couverts</v>
      </c>
      <c r="R376" s="33" t="str">
        <f>R355</f>
        <v>Recette mère ► Beignets d'acacia</v>
      </c>
      <c r="S376" s="685">
        <v>2.835E-2</v>
      </c>
      <c r="T376" s="686">
        <v>0.13</v>
      </c>
      <c r="U376" s="687">
        <v>0</v>
      </c>
      <c r="V376" s="686">
        <v>0.2</v>
      </c>
      <c r="W376" s="686">
        <v>0.23</v>
      </c>
      <c r="X376" s="686">
        <v>0.22500000000000001</v>
      </c>
      <c r="Y376" s="687">
        <v>0</v>
      </c>
      <c r="Z376" s="688">
        <v>0.35</v>
      </c>
      <c r="AA376" s="688">
        <v>5.0000000000000001E-3</v>
      </c>
      <c r="AB376" s="688">
        <v>5.0000000000000001E-3</v>
      </c>
      <c r="AC376" s="688">
        <v>1.4999999999999999E-2</v>
      </c>
      <c r="AD376" s="688">
        <v>0.1</v>
      </c>
      <c r="AE376" s="688">
        <v>0.22500000000000001</v>
      </c>
      <c r="AF376" s="688">
        <v>4.0000000000000001E-3</v>
      </c>
      <c r="AG376" s="1757">
        <v>1E-3</v>
      </c>
      <c r="AJ376" s="2117" t="str">
        <f t="shared" si="55"/>
        <v>A</v>
      </c>
      <c r="AK376" s="1616"/>
      <c r="AL376" s="1333" t="s">
        <v>21</v>
      </c>
      <c r="AM376" s="454"/>
      <c r="AS376" s="592"/>
      <c r="AV376" s="3">
        <v>1</v>
      </c>
    </row>
    <row r="377" spans="2:48" ht="21" customHeight="1">
      <c r="B377" s="1610" cm="1">
        <f t="array" ref="B377">SUMPRODUCT(LEN(C377:K377))</f>
        <v>164</v>
      </c>
      <c r="C377" s="1810" t="s">
        <v>8401</v>
      </c>
      <c r="D377" s="1810"/>
      <c r="E377" s="1810"/>
      <c r="F377" s="1810"/>
      <c r="G377" s="1810"/>
      <c r="H377" s="1810"/>
      <c r="I377" s="1810"/>
      <c r="J377" s="1810"/>
      <c r="K377" s="1810"/>
      <c r="L377" s="2126" t="str" cm="1">
        <f t="array" ref="L377">IF(B353&lt;=0,0,ROUNDUP(SUMPRODUCT(LEN(C377:K377))/B353,0))&amp;" ligne(s)"</f>
        <v>2 ligne(s)</v>
      </c>
      <c r="N377" s="2117" t="s">
        <v>15</v>
      </c>
      <c r="O377" s="5576" t="str">
        <f t="shared" ref="O377:AG377" si="61">SUBSTITUTE(ADDRESS(1,COLUMN(),4),"1","")</f>
        <v>O</v>
      </c>
      <c r="P377" s="5576" t="str">
        <f t="shared" si="61"/>
        <v>P</v>
      </c>
      <c r="Q377" s="5576" t="str">
        <f t="shared" si="61"/>
        <v>Q</v>
      </c>
      <c r="R377" s="5576" t="str">
        <f t="shared" si="61"/>
        <v>R</v>
      </c>
      <c r="S377" s="5576" t="str">
        <f t="shared" si="61"/>
        <v>S</v>
      </c>
      <c r="T377" s="5576" t="str">
        <f t="shared" si="61"/>
        <v>T</v>
      </c>
      <c r="U377" s="5576" t="str">
        <f t="shared" si="61"/>
        <v>U</v>
      </c>
      <c r="V377" s="5576" t="str">
        <f t="shared" si="61"/>
        <v>V</v>
      </c>
      <c r="W377" s="5576" t="str">
        <f t="shared" si="61"/>
        <v>W</v>
      </c>
      <c r="X377" s="5576" t="str">
        <f t="shared" si="61"/>
        <v>X</v>
      </c>
      <c r="Y377" s="6030" t="str">
        <f t="shared" si="61"/>
        <v>Y</v>
      </c>
      <c r="Z377" s="5577" t="str">
        <f t="shared" si="61"/>
        <v>Z</v>
      </c>
      <c r="AA377" s="5577" t="str">
        <f t="shared" si="61"/>
        <v>AA</v>
      </c>
      <c r="AB377" s="5577" t="str">
        <f t="shared" si="61"/>
        <v>AB</v>
      </c>
      <c r="AC377" s="5577" t="str">
        <f t="shared" si="61"/>
        <v>AC</v>
      </c>
      <c r="AD377" s="6030" t="str">
        <f t="shared" si="61"/>
        <v>AD</v>
      </c>
      <c r="AE377" s="5577" t="str">
        <f t="shared" si="61"/>
        <v>AE</v>
      </c>
      <c r="AF377" s="5577" t="str">
        <f t="shared" si="61"/>
        <v>AF</v>
      </c>
      <c r="AG377" s="6032" t="str">
        <f t="shared" si="61"/>
        <v>AG</v>
      </c>
      <c r="AH377" s="6628" t="s">
        <v>8774</v>
      </c>
      <c r="AJ377" s="2117" t="str">
        <f t="shared" si="55"/>
        <v>►</v>
      </c>
      <c r="AK377" s="1616"/>
      <c r="AL377" s="1333" t="s">
        <v>21</v>
      </c>
      <c r="AM377" s="2217" t="s">
        <v>8145</v>
      </c>
      <c r="AN377" s="230"/>
      <c r="AO377" s="230"/>
      <c r="AP377" s="230"/>
      <c r="AQ377" s="230"/>
      <c r="AR377" s="231"/>
      <c r="AS377" s="585" t="s">
        <v>260</v>
      </c>
      <c r="AV377" s="3">
        <v>1</v>
      </c>
    </row>
    <row r="378" spans="2:48" ht="21" customHeight="1">
      <c r="B378" s="1610" cm="1">
        <f t="array" ref="B378">SUMPRODUCT(LEN(C378:K378))</f>
        <v>141</v>
      </c>
      <c r="C378" s="1810" t="s">
        <v>8402</v>
      </c>
      <c r="D378" s="1810"/>
      <c r="E378" s="1810"/>
      <c r="F378" s="1810"/>
      <c r="G378" s="1810"/>
      <c r="H378" s="1810"/>
      <c r="I378" s="1810"/>
      <c r="J378" s="1810"/>
      <c r="K378" s="1810"/>
      <c r="L378" s="2126" t="str" cm="1">
        <f t="array" ref="L378">IF(B353&lt;=0,0,ROUNDUP(SUMPRODUCT(LEN(C378:K378))/B353,0))&amp;" ligne(s)"</f>
        <v>2 ligne(s)</v>
      </c>
      <c r="N378" s="2117" t="s">
        <v>10</v>
      </c>
      <c r="O378" s="5582">
        <f t="shared" ref="O378:AG378" ca="1" si="62">CELL("largeur",O378)</f>
        <v>3</v>
      </c>
      <c r="P378" s="5582">
        <f t="shared" ca="1" si="62"/>
        <v>3</v>
      </c>
      <c r="Q378" s="5582">
        <f t="shared" ca="1" si="62"/>
        <v>3</v>
      </c>
      <c r="R378" s="5582">
        <f t="shared" ca="1" si="62"/>
        <v>5</v>
      </c>
      <c r="S378" s="5582">
        <f t="shared" ca="1" si="62"/>
        <v>12</v>
      </c>
      <c r="T378" s="5582">
        <f t="shared" ca="1" si="62"/>
        <v>12</v>
      </c>
      <c r="U378" s="5582">
        <f t="shared" ca="1" si="62"/>
        <v>3</v>
      </c>
      <c r="V378" s="5582">
        <f t="shared" ca="1" si="62"/>
        <v>9</v>
      </c>
      <c r="W378" s="5582">
        <f t="shared" ca="1" si="62"/>
        <v>12</v>
      </c>
      <c r="X378" s="5582">
        <f t="shared" ca="1" si="62"/>
        <v>9</v>
      </c>
      <c r="Y378" s="6031">
        <f t="shared" ca="1" si="62"/>
        <v>6</v>
      </c>
      <c r="Z378" s="5583">
        <f t="shared" ca="1" si="62"/>
        <v>40</v>
      </c>
      <c r="AA378" s="5583">
        <f t="shared" ca="1" si="62"/>
        <v>10</v>
      </c>
      <c r="AB378" s="5583">
        <f t="shared" ca="1" si="62"/>
        <v>9</v>
      </c>
      <c r="AC378" s="5583">
        <f t="shared" ca="1" si="62"/>
        <v>11</v>
      </c>
      <c r="AD378" s="6031">
        <f t="shared" ca="1" si="62"/>
        <v>13</v>
      </c>
      <c r="AE378" s="5583">
        <f t="shared" ca="1" si="62"/>
        <v>13</v>
      </c>
      <c r="AF378" s="5583">
        <f t="shared" ca="1" si="62"/>
        <v>13</v>
      </c>
      <c r="AG378" s="6033">
        <f t="shared" ca="1" si="62"/>
        <v>17</v>
      </c>
      <c r="AH378" s="6628"/>
      <c r="AJ378" s="2117" t="str">
        <f t="shared" si="55"/>
        <v>A</v>
      </c>
      <c r="AK378" s="1616"/>
      <c r="AL378" s="1333" t="s">
        <v>21</v>
      </c>
      <c r="AM378" s="593" t="s">
        <v>264</v>
      </c>
      <c r="AN378" s="186"/>
      <c r="AO378" s="269"/>
      <c r="AP378" s="229"/>
      <c r="AQ378" s="229"/>
      <c r="AR378" s="229"/>
      <c r="AS378" s="191"/>
      <c r="AV378" s="3">
        <v>1</v>
      </c>
    </row>
    <row r="379" spans="2:48" ht="21" customHeight="1">
      <c r="B379" s="1610" cm="1">
        <f t="array" ref="B379">SUMPRODUCT(LEN(C379:K379))</f>
        <v>0</v>
      </c>
      <c r="C379" s="1810"/>
      <c r="D379" s="1810"/>
      <c r="E379" s="1810"/>
      <c r="F379" s="1810"/>
      <c r="G379" s="1810"/>
      <c r="H379" s="1810"/>
      <c r="I379" s="1810"/>
      <c r="J379" s="1810"/>
      <c r="K379" s="1810"/>
      <c r="L379" s="2126" t="str" cm="1">
        <f t="array" ref="L379">IF(B353&lt;=0,0,ROUNDUP(SUMPRODUCT(LEN(C379:K379))/B353,0))&amp;" ligne(s)"</f>
        <v>0 ligne(s)</v>
      </c>
      <c r="N379" s="2118" t="s">
        <v>10</v>
      </c>
      <c r="O379" s="1370" t="str">
        <f>O355</f>
        <v>B BEIGNETS D'ACACIA | pâtisserie--Beignets| Auteur &gt; Délice de Celeste</v>
      </c>
      <c r="P379" s="1348">
        <f>P355</f>
        <v>6</v>
      </c>
      <c r="Q379" s="1349" t="str">
        <f>Q355</f>
        <v>couverts</v>
      </c>
      <c r="R379" s="1350" t="str">
        <f>R355</f>
        <v>Recette mère ► Beignets d'acacia</v>
      </c>
      <c r="S379" s="5997" t="str">
        <f ca="1">"largeur de "&amp;Y377&amp;" à "&amp;AG377&amp;" = "&amp;SUM(Y378:AG378)</f>
        <v>largeur de Y à AG = 132</v>
      </c>
      <c r="T379" s="5998"/>
      <c r="U379" s="1986"/>
      <c r="V379" s="1986"/>
      <c r="W379" s="1986"/>
      <c r="X379" s="1987" t="s">
        <v>8145</v>
      </c>
      <c r="Y379" s="1988" t="s">
        <v>821</v>
      </c>
      <c r="Z379" s="1941"/>
      <c r="AA379" s="5999" t="str">
        <f ca="1">"largeur mini  = "&amp;SUM(Y378:AD378)</f>
        <v>largeur mini  = 89</v>
      </c>
      <c r="AB379" s="6000" t="str">
        <f ca="1">"largeur maxi  = "&amp;SUM(Y378:AG378)</f>
        <v>largeur maxi  = 132</v>
      </c>
      <c r="AC379" s="1942"/>
      <c r="AD379" s="1942"/>
      <c r="AE379" s="1989"/>
      <c r="AF379" s="2101"/>
      <c r="AG379" s="1990" t="s">
        <v>218</v>
      </c>
      <c r="AJ379" s="2118" t="str">
        <f t="shared" si="55"/>
        <v>A</v>
      </c>
      <c r="AK379" s="1616"/>
      <c r="AL379" s="1333" t="s">
        <v>21</v>
      </c>
      <c r="AM379" s="6961" t="s">
        <v>265</v>
      </c>
      <c r="AN379" s="6962"/>
      <c r="AO379" s="6962"/>
      <c r="AP379" s="6962"/>
      <c r="AQ379" s="6962"/>
      <c r="AR379" s="6962"/>
      <c r="AS379" s="6963"/>
      <c r="AV379" s="3">
        <v>1</v>
      </c>
    </row>
    <row r="380" spans="2:48" ht="21" customHeight="1">
      <c r="B380" s="1610" cm="1">
        <f t="array" ref="B380">SUMPRODUCT(LEN(C380:K380))</f>
        <v>0</v>
      </c>
      <c r="C380" s="1810"/>
      <c r="D380" s="1810"/>
      <c r="E380" s="1810"/>
      <c r="F380" s="1810"/>
      <c r="G380" s="1810"/>
      <c r="H380" s="1810"/>
      <c r="I380" s="1810"/>
      <c r="J380" s="1810"/>
      <c r="K380" s="1810"/>
      <c r="L380" s="2126" t="str" cm="1">
        <f t="array" ref="L380">IF(B353&lt;=0,0,ROUNDUP(SUMPRODUCT(LEN(C380:K380))/B353,0))&amp;" ligne(s)"</f>
        <v>0 ligne(s)</v>
      </c>
      <c r="N380" s="2118" t="s">
        <v>10</v>
      </c>
      <c r="O380" s="163" t="str">
        <f>O355</f>
        <v>B BEIGNETS D'ACACIA | pâtisserie--Beignets| Auteur &gt; Délice de Celeste</v>
      </c>
      <c r="P380" s="163">
        <f>P355</f>
        <v>6</v>
      </c>
      <c r="Q380" s="164" t="str">
        <f>Q355</f>
        <v>couverts</v>
      </c>
      <c r="R380" s="165" t="str">
        <f>R355</f>
        <v>Recette mère ► Beignets d'acacia</v>
      </c>
      <c r="S380" s="508"/>
      <c r="T380" s="508"/>
      <c r="U380" s="2063"/>
      <c r="V380" s="2064" t="s">
        <v>8865</v>
      </c>
      <c r="W380" s="2065">
        <f ca="1">SUM(Y378:AG378)</f>
        <v>132</v>
      </c>
      <c r="X380" s="1374">
        <v>0</v>
      </c>
      <c r="Y380" s="1375" t="s">
        <v>8148</v>
      </c>
      <c r="Z380" s="1810"/>
      <c r="AA380" s="1810"/>
      <c r="AB380" s="1810"/>
      <c r="AC380" s="1810"/>
      <c r="AD380" s="1810"/>
      <c r="AE380" s="9"/>
      <c r="AF380" s="5993" t="s">
        <v>164</v>
      </c>
      <c r="AG380" s="1330" t="s">
        <v>165</v>
      </c>
      <c r="AJ380" s="2118" t="str">
        <f t="shared" si="55"/>
        <v>A</v>
      </c>
      <c r="AK380" s="1616"/>
      <c r="AL380" s="1333" t="s">
        <v>21</v>
      </c>
      <c r="AM380" s="6961"/>
      <c r="AN380" s="6962"/>
      <c r="AO380" s="6962"/>
      <c r="AP380" s="6962"/>
      <c r="AQ380" s="6962"/>
      <c r="AR380" s="6962"/>
      <c r="AS380" s="6963"/>
      <c r="AV380" s="3">
        <v>1</v>
      </c>
    </row>
    <row r="381" spans="2:48" ht="21" customHeight="1">
      <c r="B381" s="1610" cm="1">
        <f t="array" ref="B381">SUMPRODUCT(LEN(C381:K381))</f>
        <v>0</v>
      </c>
      <c r="C381" s="1810"/>
      <c r="D381" s="1810"/>
      <c r="E381" s="1810"/>
      <c r="F381" s="1810"/>
      <c r="G381" s="1810"/>
      <c r="H381" s="1810"/>
      <c r="I381" s="1810"/>
      <c r="J381" s="1810"/>
      <c r="K381" s="1810"/>
      <c r="L381" s="2126" t="str" cm="1">
        <f t="array" ref="L381">IF(B353&lt;=0,0,ROUNDUP(SUMPRODUCT(LEN(C381:K381))/B353,0))&amp;" ligne(s)"</f>
        <v>0 ligne(s)</v>
      </c>
      <c r="N381" s="2118" t="s">
        <v>10</v>
      </c>
      <c r="O381" s="163" t="str">
        <f>O355</f>
        <v>B BEIGNETS D'ACACIA | pâtisserie--Beignets| Auteur &gt; Délice de Celeste</v>
      </c>
      <c r="P381" s="163">
        <f>P355</f>
        <v>6</v>
      </c>
      <c r="Q381" s="164" t="str">
        <f>Q355</f>
        <v>couverts</v>
      </c>
      <c r="R381" s="165" t="str">
        <f>R355</f>
        <v>Recette mère ► Beignets d'acacia</v>
      </c>
      <c r="S381" s="1548"/>
      <c r="T381" s="2189" t="s">
        <v>8771</v>
      </c>
      <c r="U381" s="2190">
        <f>ROWS(Y381:Y381)</f>
        <v>1</v>
      </c>
      <c r="V381" s="5549" t="str" cm="1">
        <f t="array" ref="V381">IF(SUMPRODUCT((Y381:AD381&lt;&gt;"")*1)=0,"",SUMPRODUCT((Y381:AD381&lt;&gt;"")*(LEN(TRIM(SUBSTITUTE(Y381:AD381,CHAR(160)," "))) - LEN(SUBSTITUTE(TRIM(SUBSTITUTE(Y381:AD381,CHAR(160)," "))," ","")) + 1)) &amp; " mot" &amp; IF(SUMPRODUCT((Y381:AD381&lt;&gt;"")*(LEN(TRIM(SUBSTITUTE(Y381:AD381,CHAR(160)," "))) - LEN(SUBSTITUTE(TRIM(SUBSTITUTE(Y381:AD381,CHAR(160)," "))," ","")) + 1))&gt;1,"s",""))</f>
        <v>8 mots</v>
      </c>
      <c r="W381" s="5550" t="str" cm="1">
        <f t="array" ref="W381">SUMPRODUCT(--(Y381:AD381&lt;&gt;""), LEN(TRIM(SUBSTITUTE(Y381:AD381, CHAR(160), "")))) &amp; " Car."</f>
        <v>40 Car.</v>
      </c>
      <c r="X381" s="1376">
        <f>IF(ISBLANK(Y381),"",LARGE(X380:X380,1)+1)</f>
        <v>1</v>
      </c>
      <c r="Y381" s="1810" t="s">
        <v>8149</v>
      </c>
      <c r="Z381" s="1810"/>
      <c r="AA381" s="1810"/>
      <c r="AB381" s="1810"/>
      <c r="AC381" s="1810"/>
      <c r="AD381" s="1810"/>
      <c r="AE381" s="9"/>
      <c r="AF381" s="5993" t="s">
        <v>167</v>
      </c>
      <c r="AG381" s="1330" t="s">
        <v>165</v>
      </c>
      <c r="AJ381" s="2118" t="str">
        <f t="shared" si="55"/>
        <v>A</v>
      </c>
      <c r="AK381" s="1616"/>
      <c r="AL381" s="1333" t="s">
        <v>21</v>
      </c>
      <c r="AM381" s="594" t="s">
        <v>278</v>
      </c>
      <c r="AN381" s="198"/>
      <c r="AO381" s="198"/>
      <c r="AP381" s="198"/>
      <c r="AQ381" s="198"/>
      <c r="AR381" s="198"/>
      <c r="AS381" s="588"/>
      <c r="AV381" s="3">
        <v>1</v>
      </c>
    </row>
    <row r="382" spans="2:48" ht="21" customHeight="1">
      <c r="B382" s="1610" cm="1">
        <f t="array" ref="B382">SUMPRODUCT(LEN(C382:K382))</f>
        <v>0</v>
      </c>
      <c r="C382" s="1810"/>
      <c r="D382" s="1810"/>
      <c r="E382" s="1810"/>
      <c r="F382" s="1810"/>
      <c r="G382" s="1810"/>
      <c r="H382" s="1810"/>
      <c r="I382" s="1810"/>
      <c r="J382" s="1810"/>
      <c r="K382" s="1810"/>
      <c r="L382" s="2126" t="str" cm="1">
        <f t="array" ref="L382">IF(B353&lt;=0,0,ROUNDUP(SUMPRODUCT(LEN(C382:K382))/B353,0))&amp;" ligne(s)"</f>
        <v>0 ligne(s)</v>
      </c>
      <c r="N382" s="2118" t="s">
        <v>10</v>
      </c>
      <c r="O382" s="163" t="str">
        <f>O355</f>
        <v>B BEIGNETS D'ACACIA | pâtisserie--Beignets| Auteur &gt; Délice de Celeste</v>
      </c>
      <c r="P382" s="163">
        <f>P355</f>
        <v>6</v>
      </c>
      <c r="Q382" s="164" t="str">
        <f>Q355</f>
        <v>couverts</v>
      </c>
      <c r="R382" s="165" t="str">
        <f>R355</f>
        <v>Recette mère ► Beignets d'acacia</v>
      </c>
      <c r="S382" s="1548"/>
      <c r="T382" s="1548"/>
      <c r="U382" s="2190">
        <f>ROWS(Y381:Y382)</f>
        <v>2</v>
      </c>
      <c r="V382" s="5549" t="str" cm="1">
        <f t="array" ref="V382">IF(SUMPRODUCT((Y382:AD382&lt;&gt;"")*1)=0,"",SUMPRODUCT((Y382:AD382&lt;&gt;"")*(LEN(TRIM(SUBSTITUTE(Y382:AD382,CHAR(160)," "))) - LEN(SUBSTITUTE(TRIM(SUBSTITUTE(Y382:AD382,CHAR(160)," "))," ","")) + 1)) &amp; " mot" &amp; IF(SUMPRODUCT((Y382:AD382&lt;&gt;"")*(LEN(TRIM(SUBSTITUTE(Y382:AD382,CHAR(160)," "))) - LEN(SUBSTITUTE(TRIM(SUBSTITUTE(Y382:AD382,CHAR(160)," "))," ","")) + 1))&gt;1,"s",""))</f>
        <v>11 mots</v>
      </c>
      <c r="W382" s="5550" t="str" cm="1">
        <f t="array" ref="W382">SUMPRODUCT(--(Y382:AD382&lt;&gt;""), LEN(TRIM(SUBSTITUTE(Y382:AD382, CHAR(160), "")))) &amp; " Car."</f>
        <v>64 Car.</v>
      </c>
      <c r="X382" s="1376">
        <f>IF(ISBLANK(Y382),"",LARGE(X380:X381,1)+1)</f>
        <v>2</v>
      </c>
      <c r="Y382" s="1810" t="s">
        <v>8150</v>
      </c>
      <c r="Z382" s="1810"/>
      <c r="AA382" s="1810"/>
      <c r="AB382" s="1810"/>
      <c r="AC382" s="1810"/>
      <c r="AD382" s="1810"/>
      <c r="AE382" s="1810"/>
      <c r="AF382" s="5994" t="s">
        <v>171</v>
      </c>
      <c r="AG382" s="5564">
        <v>3.472222222222222E-3</v>
      </c>
      <c r="AJ382" s="2118" t="str">
        <f t="shared" si="55"/>
        <v>A</v>
      </c>
      <c r="AK382" s="1616"/>
      <c r="AM382" s="517" t="s">
        <v>280</v>
      </c>
      <c r="AN382" s="173"/>
      <c r="AO382" s="173"/>
      <c r="AP382" s="173"/>
      <c r="AQ382" s="173"/>
      <c r="AR382" s="173"/>
      <c r="AS382" s="595"/>
      <c r="AV382" s="3">
        <v>1</v>
      </c>
    </row>
    <row r="383" spans="2:48" ht="21" customHeight="1">
      <c r="B383" s="1610" cm="1">
        <f t="array" ref="B383">SUMPRODUCT(LEN(C383:K383))</f>
        <v>0</v>
      </c>
      <c r="C383" s="1810"/>
      <c r="D383" s="1810"/>
      <c r="E383" s="1810"/>
      <c r="F383" s="1810"/>
      <c r="G383" s="1810"/>
      <c r="H383" s="1810"/>
      <c r="I383" s="1810"/>
      <c r="J383" s="1810"/>
      <c r="K383" s="1810"/>
      <c r="L383" s="2126" t="str" cm="1">
        <f t="array" ref="L383">IF(B353&lt;=0,0,ROUNDUP(SUMPRODUCT(LEN(C383:K383))/B353,0))&amp;" ligne(s)"</f>
        <v>0 ligne(s)</v>
      </c>
      <c r="N383" s="2118" t="s">
        <v>10</v>
      </c>
      <c r="O383" s="163" t="str">
        <f>O355</f>
        <v>B BEIGNETS D'ACACIA | pâtisserie--Beignets| Auteur &gt; Délice de Celeste</v>
      </c>
      <c r="P383" s="163">
        <f>P355</f>
        <v>6</v>
      </c>
      <c r="Q383" s="164" t="str">
        <f>Q355</f>
        <v>couverts</v>
      </c>
      <c r="R383" s="165" t="str">
        <f>R355</f>
        <v>Recette mère ► Beignets d'acacia</v>
      </c>
      <c r="S383" s="1548"/>
      <c r="T383" s="1548"/>
      <c r="U383" s="2190">
        <f>ROWS(Y381:Y383)</f>
        <v>3</v>
      </c>
      <c r="V383" s="5549" t="str" cm="1">
        <f t="array" ref="V383">IF(SUMPRODUCT((Y383:AD383&lt;&gt;"")*1)=0,"",SUMPRODUCT((Y383:AD383&lt;&gt;"")*(LEN(TRIM(SUBSTITUTE(Y383:AD383,CHAR(160)," "))) - LEN(SUBSTITUTE(TRIM(SUBSTITUTE(Y383:AD383,CHAR(160)," "))," ","")) + 1)) &amp; " mot" &amp; IF(SUMPRODUCT((Y383:AD383&lt;&gt;"")*(LEN(TRIM(SUBSTITUTE(Y383:AD383,CHAR(160)," "))) - LEN(SUBSTITUTE(TRIM(SUBSTITUTE(Y383:AD383,CHAR(160)," "))," ","")) + 1))&gt;1,"s",""))</f>
        <v>14 mots</v>
      </c>
      <c r="W383" s="5550" t="str" cm="1">
        <f t="array" ref="W383">SUMPRODUCT(--(Y383:AD383&lt;&gt;""), LEN(TRIM(SUBSTITUTE(Y383:AD383, CHAR(160), "")))) &amp; " Car."</f>
        <v>86 Car.</v>
      </c>
      <c r="X383" s="1376">
        <f>IF(ISBLANK(Y383),"",LARGE(X380:X382,1)+1)</f>
        <v>3</v>
      </c>
      <c r="Y383" s="1810" t="s">
        <v>8151</v>
      </c>
      <c r="Z383" s="1810"/>
      <c r="AA383" s="1810"/>
      <c r="AB383" s="1810"/>
      <c r="AC383" s="1810"/>
      <c r="AD383" s="1810"/>
      <c r="AE383" s="1810"/>
      <c r="AF383" s="5994" t="s">
        <v>173</v>
      </c>
      <c r="AG383" s="5565">
        <v>1.0416666666666666E-2</v>
      </c>
      <c r="AJ383" s="2118" t="str">
        <f t="shared" si="55"/>
        <v>A</v>
      </c>
      <c r="AK383" s="1616"/>
      <c r="AM383" s="6964" t="s">
        <v>287</v>
      </c>
      <c r="AN383" s="6965"/>
      <c r="AO383" s="6965"/>
      <c r="AP383" s="6965"/>
      <c r="AQ383" s="6965"/>
      <c r="AR383" s="6965"/>
      <c r="AS383" s="6966"/>
      <c r="AV383" s="3">
        <v>1</v>
      </c>
    </row>
    <row r="384" spans="2:48" ht="21" customHeight="1">
      <c r="B384" s="1610" cm="1">
        <f t="array" ref="B384">SUMPRODUCT(LEN(C384:K384))</f>
        <v>0</v>
      </c>
      <c r="C384" s="1810"/>
      <c r="D384" s="1810"/>
      <c r="E384" s="1810"/>
      <c r="F384" s="1810"/>
      <c r="G384" s="1810"/>
      <c r="H384" s="1810"/>
      <c r="I384" s="1810"/>
      <c r="J384" s="1810"/>
      <c r="K384" s="1810"/>
      <c r="L384" s="2126" t="str" cm="1">
        <f t="array" ref="L384">IF(B353&lt;=0,0,ROUNDUP(SUMPRODUCT(LEN(C384:K384))/B353,0))&amp;" ligne(s)"</f>
        <v>0 ligne(s)</v>
      </c>
      <c r="N384" s="2118" t="s">
        <v>10</v>
      </c>
      <c r="O384" s="163" t="str">
        <f>O355</f>
        <v>B BEIGNETS D'ACACIA | pâtisserie--Beignets| Auteur &gt; Délice de Celeste</v>
      </c>
      <c r="P384" s="163">
        <f>P355</f>
        <v>6</v>
      </c>
      <c r="Q384" s="164" t="str">
        <f>Q355</f>
        <v>couverts</v>
      </c>
      <c r="R384" s="165" t="str">
        <f>R355</f>
        <v>Recette mère ► Beignets d'acacia</v>
      </c>
      <c r="S384" s="1548"/>
      <c r="T384" s="1548"/>
      <c r="U384" s="2190">
        <f>ROWS(Y381:Y384)</f>
        <v>4</v>
      </c>
      <c r="V384" s="5549" t="str" cm="1">
        <f t="array" ref="V384">IF(SUMPRODUCT((Y384:AD384&lt;&gt;"")*1)=0,"",SUMPRODUCT((Y384:AD384&lt;&gt;"")*(LEN(TRIM(SUBSTITUTE(Y384:AD384,CHAR(160)," "))) - LEN(SUBSTITUTE(TRIM(SUBSTITUTE(Y384:AD384,CHAR(160)," "))," ","")) + 1)) &amp; " mot" &amp; IF(SUMPRODUCT((Y384:AD384&lt;&gt;"")*(LEN(TRIM(SUBSTITUTE(Y384:AD384,CHAR(160)," "))) - LEN(SUBSTITUTE(TRIM(SUBSTITUTE(Y384:AD384,CHAR(160)," "))," ","")) + 1))&gt;1,"s",""))</f>
        <v>11 mots</v>
      </c>
      <c r="W384" s="5550" t="str" cm="1">
        <f t="array" ref="W384">SUMPRODUCT(--(Y384:AD384&lt;&gt;""), LEN(TRIM(SUBSTITUTE(Y384:AD384, CHAR(160), "")))) &amp; " Car."</f>
        <v>66 Car.</v>
      </c>
      <c r="X384" s="1376">
        <f>IF(ISBLANK(Y384),"",LARGE(X380:X383,1)+1)</f>
        <v>4</v>
      </c>
      <c r="Y384" s="1810" t="s">
        <v>8152</v>
      </c>
      <c r="Z384" s="1833"/>
      <c r="AA384" s="1810"/>
      <c r="AB384" s="1810"/>
      <c r="AC384" s="1810"/>
      <c r="AD384" s="1810"/>
      <c r="AE384" s="1810"/>
      <c r="AF384" s="5994" t="s">
        <v>181</v>
      </c>
      <c r="AG384" s="178">
        <v>2.0833333333333332E-2</v>
      </c>
      <c r="AJ384" s="2118" t="str">
        <f t="shared" si="55"/>
        <v>A</v>
      </c>
      <c r="AK384" s="1616"/>
      <c r="AM384" s="6964"/>
      <c r="AN384" s="6965"/>
      <c r="AO384" s="6965"/>
      <c r="AP384" s="6965"/>
      <c r="AQ384" s="6965"/>
      <c r="AR384" s="6965"/>
      <c r="AS384" s="6966"/>
      <c r="AV384" s="3">
        <v>1</v>
      </c>
    </row>
    <row r="385" spans="2:48" ht="21" customHeight="1">
      <c r="B385" s="1610" cm="1">
        <f t="array" ref="B385">SUMPRODUCT(LEN(C385:K385))</f>
        <v>0</v>
      </c>
      <c r="C385" s="1810"/>
      <c r="D385" s="1810"/>
      <c r="E385" s="1810"/>
      <c r="F385" s="1810"/>
      <c r="G385" s="1810"/>
      <c r="H385" s="1810"/>
      <c r="I385" s="1810"/>
      <c r="J385" s="1810"/>
      <c r="K385" s="1810"/>
      <c r="L385" s="2126" t="str" cm="1">
        <f t="array" ref="L385">IF(B353&lt;=0,0,ROUNDUP(SUMPRODUCT(LEN(C385:K385))/B353,0))&amp;" ligne(s)"</f>
        <v>0 ligne(s)</v>
      </c>
      <c r="N385" s="2118" t="s">
        <v>10</v>
      </c>
      <c r="O385" s="163" t="str">
        <f>O355</f>
        <v>B BEIGNETS D'ACACIA | pâtisserie--Beignets| Auteur &gt; Délice de Celeste</v>
      </c>
      <c r="P385" s="163">
        <f>P355</f>
        <v>6</v>
      </c>
      <c r="Q385" s="164" t="str">
        <f>Q355</f>
        <v>couverts</v>
      </c>
      <c r="R385" s="165" t="str">
        <f>R355</f>
        <v>Recette mère ► Beignets d'acacia</v>
      </c>
      <c r="S385" s="1548"/>
      <c r="T385" s="1548"/>
      <c r="U385" s="2190">
        <f>ROWS(Y381:Y385)</f>
        <v>5</v>
      </c>
      <c r="V385" s="5549" t="str" cm="1">
        <f t="array" ref="V385">IF(SUMPRODUCT((Y385:AD385&lt;&gt;"")*1)=0,"",SUMPRODUCT((Y385:AD385&lt;&gt;"")*(LEN(TRIM(SUBSTITUTE(Y385:AD385,CHAR(160)," "))) - LEN(SUBSTITUTE(TRIM(SUBSTITUTE(Y385:AD385,CHAR(160)," "))," ","")) + 1)) &amp; " mot" &amp; IF(SUMPRODUCT((Y385:AD385&lt;&gt;"")*(LEN(TRIM(SUBSTITUTE(Y385:AD385,CHAR(160)," "))) - LEN(SUBSTITUTE(TRIM(SUBSTITUTE(Y385:AD385,CHAR(160)," "))," ","")) + 1))&gt;1,"s",""))</f>
        <v>14 mots</v>
      </c>
      <c r="W385" s="5550" t="str" cm="1">
        <f t="array" ref="W385">SUMPRODUCT(--(Y385:AD385&lt;&gt;""), LEN(TRIM(SUBSTITUTE(Y385:AD385, CHAR(160), "")))) &amp; " Car."</f>
        <v>83 Car.</v>
      </c>
      <c r="X385" s="1376" t="str">
        <f>IF(ISBLANK(Y385),"",LARGE(X380:X384,1)+1)</f>
        <v/>
      </c>
      <c r="Y385" s="1810"/>
      <c r="Z385" s="1810" t="s">
        <v>8153</v>
      </c>
      <c r="AA385" s="1810"/>
      <c r="AB385" s="1810"/>
      <c r="AC385" s="1810"/>
      <c r="AD385" s="1810"/>
      <c r="AE385" s="1810"/>
      <c r="AF385" s="179" t="s">
        <v>182</v>
      </c>
      <c r="AG385" s="180">
        <f>AG382+AG383+AG384</f>
        <v>3.4722222222222224E-2</v>
      </c>
      <c r="AJ385" s="2118" t="str">
        <f t="shared" si="55"/>
        <v>A</v>
      </c>
      <c r="AK385" s="1616"/>
      <c r="AM385" s="6964"/>
      <c r="AN385" s="6965"/>
      <c r="AO385" s="6965"/>
      <c r="AP385" s="6965"/>
      <c r="AQ385" s="6965"/>
      <c r="AR385" s="6965"/>
      <c r="AS385" s="6966"/>
      <c r="AV385" s="3">
        <v>1</v>
      </c>
    </row>
    <row r="386" spans="2:48" ht="21" customHeight="1">
      <c r="B386" s="1610" cm="1">
        <f t="array" ref="B386">SUMPRODUCT(LEN(C386:K386))</f>
        <v>0</v>
      </c>
      <c r="C386" s="1810"/>
      <c r="D386" s="1810"/>
      <c r="E386" s="1810"/>
      <c r="F386" s="1810"/>
      <c r="G386" s="1810"/>
      <c r="H386" s="1810"/>
      <c r="I386" s="1810"/>
      <c r="J386" s="1810"/>
      <c r="K386" s="1810"/>
      <c r="L386" s="2126" t="str" cm="1">
        <f t="array" ref="L386">IF(B353&lt;=0,0,ROUNDUP(SUMPRODUCT(LEN(C386:K386))/B353,0))&amp;" ligne(s)"</f>
        <v>0 ligne(s)</v>
      </c>
      <c r="N386" s="2118" t="s">
        <v>10</v>
      </c>
      <c r="O386" s="163" t="str">
        <f>O355</f>
        <v>B BEIGNETS D'ACACIA | pâtisserie--Beignets| Auteur &gt; Délice de Celeste</v>
      </c>
      <c r="P386" s="163">
        <f>P355</f>
        <v>6</v>
      </c>
      <c r="Q386" s="164" t="str">
        <f>Q355</f>
        <v>couverts</v>
      </c>
      <c r="R386" s="165" t="str">
        <f>R355</f>
        <v>Recette mère ► Beignets d'acacia</v>
      </c>
      <c r="S386" s="1548"/>
      <c r="T386" s="1548"/>
      <c r="U386" s="2190">
        <f>ROWS(Y381:Y386)</f>
        <v>6</v>
      </c>
      <c r="V386" s="5549" t="str" cm="1">
        <f t="array" ref="V386">IF(SUMPRODUCT((Y386:AD386&lt;&gt;"")*1)=0,"",SUMPRODUCT((Y386:AD386&lt;&gt;"")*(LEN(TRIM(SUBSTITUTE(Y386:AD386,CHAR(160)," "))) - LEN(SUBSTITUTE(TRIM(SUBSTITUTE(Y386:AD386,CHAR(160)," "))," ","")) + 1)) &amp; " mot" &amp; IF(SUMPRODUCT((Y386:AD386&lt;&gt;"")*(LEN(TRIM(SUBSTITUTE(Y386:AD386,CHAR(160)," "))) - LEN(SUBSTITUTE(TRIM(SUBSTITUTE(Y386:AD386,CHAR(160)," "))," ","")) + 1))&gt;1,"s",""))</f>
        <v>7 mots</v>
      </c>
      <c r="W386" s="5550" t="str" cm="1">
        <f t="array" ref="W386">SUMPRODUCT(--(Y386:AD386&lt;&gt;""), LEN(TRIM(SUBSTITUTE(Y386:AD386, CHAR(160), "")))) &amp; " Car."</f>
        <v>49 Car.</v>
      </c>
      <c r="X386" s="1376">
        <f>IF(ISBLANK(Y386),"",LARGE(X380:X385,1)+1)</f>
        <v>5</v>
      </c>
      <c r="Y386" s="1810" t="s">
        <v>8154</v>
      </c>
      <c r="Z386" s="1833"/>
      <c r="AA386" s="1810"/>
      <c r="AB386" s="1810"/>
      <c r="AC386" s="1810"/>
      <c r="AD386" s="1810"/>
      <c r="AE386" s="1810"/>
      <c r="AF386" s="1810"/>
      <c r="AG386" s="1811"/>
      <c r="AJ386" s="2118" t="str">
        <f t="shared" si="55"/>
        <v>A</v>
      </c>
      <c r="AK386" s="1616"/>
      <c r="AM386" s="6967"/>
      <c r="AN386" s="6968"/>
      <c r="AO386" s="6968"/>
      <c r="AP386" s="6968"/>
      <c r="AQ386" s="6968"/>
      <c r="AR386" s="6968"/>
      <c r="AS386" s="6969"/>
      <c r="AV386" s="3">
        <v>1</v>
      </c>
    </row>
    <row r="387" spans="2:48" ht="21" customHeight="1" thickBot="1">
      <c r="B387" s="1610" cm="1">
        <f t="array" ref="B387">SUMPRODUCT(LEN(C387:K387))</f>
        <v>0</v>
      </c>
      <c r="C387" s="1810"/>
      <c r="D387" s="1810"/>
      <c r="E387" s="1810"/>
      <c r="F387" s="1810"/>
      <c r="G387" s="1810"/>
      <c r="H387" s="1810"/>
      <c r="I387" s="1810"/>
      <c r="J387" s="1810"/>
      <c r="K387" s="1810"/>
      <c r="L387" s="2126" t="str" cm="1">
        <f t="array" ref="L387">IF(B353&lt;=0,0,ROUNDUP(SUMPRODUCT(LEN(C387:K387))/B353,0))&amp;" ligne(s)"</f>
        <v>0 ligne(s)</v>
      </c>
      <c r="N387" s="2118" t="s">
        <v>10</v>
      </c>
      <c r="O387" s="163" t="str">
        <f>O355</f>
        <v>B BEIGNETS D'ACACIA | pâtisserie--Beignets| Auteur &gt; Délice de Celeste</v>
      </c>
      <c r="P387" s="163">
        <f>P355</f>
        <v>6</v>
      </c>
      <c r="Q387" s="164" t="str">
        <f>Q355</f>
        <v>couverts</v>
      </c>
      <c r="R387" s="165" t="str">
        <f>R355</f>
        <v>Recette mère ► Beignets d'acacia</v>
      </c>
      <c r="S387" s="1548"/>
      <c r="T387" s="1548"/>
      <c r="U387" s="2190">
        <f>ROWS(Y381:Y387)</f>
        <v>7</v>
      </c>
      <c r="V387" s="5549" t="str" cm="1">
        <f t="array" ref="V387">IF(SUMPRODUCT((Y387:AD387&lt;&gt;"")*1)=0,"",SUMPRODUCT((Y387:AD387&lt;&gt;"")*(LEN(TRIM(SUBSTITUTE(Y387:AD387,CHAR(160)," "))) - LEN(SUBSTITUTE(TRIM(SUBSTITUTE(Y387:AD387,CHAR(160)," "))," ","")) + 1)) &amp; " mot" &amp; IF(SUMPRODUCT((Y387:AD387&lt;&gt;"")*(LEN(TRIM(SUBSTITUTE(Y387:AD387,CHAR(160)," "))) - LEN(SUBSTITUTE(TRIM(SUBSTITUTE(Y387:AD387,CHAR(160)," "))," ","")) + 1))&gt;1,"s",""))</f>
        <v>15 mots</v>
      </c>
      <c r="W387" s="5550" t="str" cm="1">
        <f t="array" ref="W387">SUMPRODUCT(--(Y387:AD387&lt;&gt;""), LEN(TRIM(SUBSTITUTE(Y387:AD387, CHAR(160), "")))) &amp; " Car."</f>
        <v>87 Car.</v>
      </c>
      <c r="X387" s="1376">
        <f>IF(ISBLANK(Y387),"",LARGE(X380:X386,1)+1)</f>
        <v>6</v>
      </c>
      <c r="Y387" s="1810" t="s">
        <v>8155</v>
      </c>
      <c r="Z387" s="1810"/>
      <c r="AA387" s="1810"/>
      <c r="AB387" s="1810"/>
      <c r="AC387" s="1810"/>
      <c r="AD387" s="1810"/>
      <c r="AE387" s="1810"/>
      <c r="AF387" s="1810"/>
      <c r="AG387" s="1811"/>
      <c r="AJ387" s="2118" t="str">
        <f t="shared" si="55"/>
        <v>A</v>
      </c>
      <c r="AK387" s="1616"/>
      <c r="AM387" s="590" t="s">
        <v>258</v>
      </c>
      <c r="AN387" s="261"/>
      <c r="AO387" s="262"/>
      <c r="AP387" s="263"/>
      <c r="AQ387" s="262"/>
      <c r="AR387" s="262"/>
      <c r="AS387" s="591"/>
      <c r="AV387" s="3">
        <v>1</v>
      </c>
    </row>
    <row r="388" spans="2:48" ht="21" customHeight="1">
      <c r="B388" s="1610" cm="1">
        <f t="array" ref="B388">SUMPRODUCT(LEN(C388:K388))</f>
        <v>0</v>
      </c>
      <c r="C388" s="1810"/>
      <c r="D388" s="1810"/>
      <c r="E388" s="1810"/>
      <c r="F388" s="1810"/>
      <c r="G388" s="1810"/>
      <c r="H388" s="1810"/>
      <c r="I388" s="1810"/>
      <c r="J388" s="1810"/>
      <c r="K388" s="1810"/>
      <c r="L388" s="2126" t="str" cm="1">
        <f t="array" ref="L388">IF(B353&lt;=0,0,ROUNDUP(SUMPRODUCT(LEN(C388:K388))/B353,0))&amp;" ligne(s)"</f>
        <v>0 ligne(s)</v>
      </c>
      <c r="N388" s="2118" t="s">
        <v>10</v>
      </c>
      <c r="O388" s="163" t="str">
        <f>O355</f>
        <v>B BEIGNETS D'ACACIA | pâtisserie--Beignets| Auteur &gt; Délice de Celeste</v>
      </c>
      <c r="P388" s="163">
        <f>P355</f>
        <v>6</v>
      </c>
      <c r="Q388" s="164" t="str">
        <f>Q355</f>
        <v>couverts</v>
      </c>
      <c r="R388" s="165" t="str">
        <f>R355</f>
        <v>Recette mère ► Beignets d'acacia</v>
      </c>
      <c r="S388" s="1548"/>
      <c r="T388" s="1548"/>
      <c r="U388" s="2190">
        <f>ROWS(Y381:Y388)</f>
        <v>8</v>
      </c>
      <c r="V388" s="5549" t="str" cm="1">
        <f t="array" ref="V388">IF(SUMPRODUCT((Y388:AD388&lt;&gt;"")*1)=0,"",SUMPRODUCT((Y388:AD388&lt;&gt;"")*(LEN(TRIM(SUBSTITUTE(Y388:AD388,CHAR(160)," "))) - LEN(SUBSTITUTE(TRIM(SUBSTITUTE(Y388:AD388,CHAR(160)," "))," ","")) + 1)) &amp; " mot" &amp; IF(SUMPRODUCT((Y388:AD388&lt;&gt;"")*(LEN(TRIM(SUBSTITUTE(Y388:AD388,CHAR(160)," "))) - LEN(SUBSTITUTE(TRIM(SUBSTITUTE(Y388:AD388,CHAR(160)," "))," ","")) + 1))&gt;1,"s",""))</f>
        <v>15 mots</v>
      </c>
      <c r="W388" s="5550" t="str" cm="1">
        <f t="array" ref="W388">SUMPRODUCT(--(Y388:AD388&lt;&gt;""), LEN(TRIM(SUBSTITUTE(Y388:AD388, CHAR(160), "")))) &amp; " Car."</f>
        <v>73 Car.</v>
      </c>
      <c r="X388" s="1376" t="str">
        <f>IF(ISBLANK(Y388),"",LARGE(X380:X387,1)+1)</f>
        <v/>
      </c>
      <c r="Y388" s="1810"/>
      <c r="Z388" s="1810" t="s">
        <v>8156</v>
      </c>
      <c r="AA388" s="1810"/>
      <c r="AB388" s="1810"/>
      <c r="AC388" s="1810"/>
      <c r="AD388" s="1810"/>
      <c r="AE388" s="1810"/>
      <c r="AF388" s="1810"/>
      <c r="AG388" s="1811"/>
      <c r="AJ388" s="2118" t="str">
        <f t="shared" si="55"/>
        <v>A</v>
      </c>
      <c r="AK388" s="1616"/>
      <c r="AM388" s="454"/>
      <c r="AS388" s="592"/>
      <c r="AV388" s="3">
        <v>1</v>
      </c>
    </row>
    <row r="389" spans="2:48" ht="21" customHeight="1">
      <c r="B389" s="1610" cm="1">
        <f t="array" ref="B389">SUMPRODUCT(LEN(C389:K389))</f>
        <v>0</v>
      </c>
      <c r="C389" s="1810"/>
      <c r="D389" s="1810"/>
      <c r="E389" s="1810"/>
      <c r="F389" s="1810"/>
      <c r="G389" s="1810"/>
      <c r="H389" s="1810"/>
      <c r="I389" s="1810"/>
      <c r="J389" s="1810"/>
      <c r="K389" s="1810"/>
      <c r="L389" s="2126" t="str" cm="1">
        <f t="array" ref="L389">IF(B353&lt;=0,0,ROUNDUP(SUMPRODUCT(LEN(C389:K389))/B353,0))&amp;" ligne(s)"</f>
        <v>0 ligne(s)</v>
      </c>
      <c r="N389" s="2118" t="s">
        <v>10</v>
      </c>
      <c r="O389" s="163" t="str">
        <f>O355</f>
        <v>B BEIGNETS D'ACACIA | pâtisserie--Beignets| Auteur &gt; Délice de Celeste</v>
      </c>
      <c r="P389" s="163">
        <f>P355</f>
        <v>6</v>
      </c>
      <c r="Q389" s="164" t="str">
        <f>Q355</f>
        <v>couverts</v>
      </c>
      <c r="R389" s="165" t="str">
        <f>R355</f>
        <v>Recette mère ► Beignets d'acacia</v>
      </c>
      <c r="S389" s="1548"/>
      <c r="T389" s="1548"/>
      <c r="U389" s="2190">
        <f>ROWS(Y381:Y389)</f>
        <v>9</v>
      </c>
      <c r="V389" s="5549" t="str" cm="1">
        <f t="array" ref="V389">IF(SUMPRODUCT((Y389:AD389&lt;&gt;"")*1)=0,"",SUMPRODUCT((Y389:AD389&lt;&gt;"")*(LEN(TRIM(SUBSTITUTE(Y389:AD389,CHAR(160)," "))) - LEN(SUBSTITUTE(TRIM(SUBSTITUTE(Y389:AD389,CHAR(160)," "))," ","")) + 1)) &amp; " mot" &amp; IF(SUMPRODUCT((Y389:AD389&lt;&gt;"")*(LEN(TRIM(SUBSTITUTE(Y389:AD389,CHAR(160)," "))) - LEN(SUBSTITUTE(TRIM(SUBSTITUTE(Y389:AD389,CHAR(160)," "))," ","")) + 1))&gt;1,"s",""))</f>
        <v>11 mots</v>
      </c>
      <c r="W389" s="5550" t="str" cm="1">
        <f t="array" ref="W389">SUMPRODUCT(--(Y389:AD389&lt;&gt;""), LEN(TRIM(SUBSTITUTE(Y389:AD389, CHAR(160), "")))) &amp; " Car."</f>
        <v>74 Car.</v>
      </c>
      <c r="X389" s="1376">
        <f>IF(ISBLANK(Y389),"",LARGE(X380:X388,1)+1)</f>
        <v>7</v>
      </c>
      <c r="Y389" s="1810" t="s">
        <v>8157</v>
      </c>
      <c r="Z389" s="1810"/>
      <c r="AA389" s="1810"/>
      <c r="AB389" s="1810"/>
      <c r="AC389" s="1810"/>
      <c r="AD389" s="1810"/>
      <c r="AE389" s="1810"/>
      <c r="AF389" s="1810"/>
      <c r="AG389" s="1811"/>
      <c r="AJ389" s="2118" t="str">
        <f t="shared" si="55"/>
        <v>A</v>
      </c>
      <c r="AK389" s="1616"/>
      <c r="AM389" s="2217" t="s">
        <v>8145</v>
      </c>
      <c r="AN389" s="307"/>
      <c r="AO389" s="307"/>
      <c r="AP389" s="307"/>
      <c r="AQ389" s="307"/>
      <c r="AR389" s="307"/>
      <c r="AS389" s="585" t="s">
        <v>315</v>
      </c>
      <c r="AV389" s="3">
        <v>1</v>
      </c>
    </row>
    <row r="390" spans="2:48" ht="21" customHeight="1">
      <c r="B390" s="1610" cm="1">
        <f t="array" ref="B390">SUMPRODUCT(LEN(C390:K390))</f>
        <v>0</v>
      </c>
      <c r="C390" s="1810"/>
      <c r="D390" s="1810"/>
      <c r="E390" s="1810"/>
      <c r="F390" s="1810"/>
      <c r="G390" s="1810"/>
      <c r="H390" s="1810"/>
      <c r="I390" s="1810"/>
      <c r="J390" s="1810"/>
      <c r="K390" s="1810"/>
      <c r="L390" s="2126" t="str" cm="1">
        <f t="array" ref="L390">IF(B353&lt;=0,0,ROUNDUP(SUMPRODUCT(LEN(C390:K390))/B353,0))&amp;" ligne(s)"</f>
        <v>0 ligne(s)</v>
      </c>
      <c r="N390" s="2118" t="s">
        <v>10</v>
      </c>
      <c r="O390" s="163" t="str">
        <f>O355</f>
        <v>B BEIGNETS D'ACACIA | pâtisserie--Beignets| Auteur &gt; Délice de Celeste</v>
      </c>
      <c r="P390" s="163">
        <f>P355</f>
        <v>6</v>
      </c>
      <c r="Q390" s="164" t="str">
        <f>Q355</f>
        <v>couverts</v>
      </c>
      <c r="R390" s="165" t="str">
        <f>R355</f>
        <v>Recette mère ► Beignets d'acacia</v>
      </c>
      <c r="S390" s="1548"/>
      <c r="T390" s="1548"/>
      <c r="U390" s="2190">
        <f>ROWS(Y381:Y390)</f>
        <v>10</v>
      </c>
      <c r="V390" s="5549" t="str" cm="1">
        <f t="array" ref="V390">IF(SUMPRODUCT((Y390:AD390&lt;&gt;"")*1)=0,"",SUMPRODUCT((Y390:AD390&lt;&gt;"")*(LEN(TRIM(SUBSTITUTE(Y390:AD390,CHAR(160)," "))) - LEN(SUBSTITUTE(TRIM(SUBSTITUTE(Y390:AD390,CHAR(160)," "))," ","")) + 1)) &amp; " mot" &amp; IF(SUMPRODUCT((Y390:AD390&lt;&gt;"")*(LEN(TRIM(SUBSTITUTE(Y390:AD390,CHAR(160)," "))) - LEN(SUBSTITUTE(TRIM(SUBSTITUTE(Y390:AD390,CHAR(160)," "))," ","")) + 1))&gt;1,"s",""))</f>
        <v>10 mots</v>
      </c>
      <c r="W390" s="5550" t="str" cm="1">
        <f t="array" ref="W390">SUMPRODUCT(--(Y390:AD390&lt;&gt;""), LEN(TRIM(SUBSTITUTE(Y390:AD390, CHAR(160), "")))) &amp; " Car."</f>
        <v>63 Car.</v>
      </c>
      <c r="X390" s="1376">
        <f>IF(ISBLANK(Y390),"",LARGE(X380:X389,1)+1)</f>
        <v>8</v>
      </c>
      <c r="Y390" s="1810" t="s">
        <v>8158</v>
      </c>
      <c r="Z390" s="1810"/>
      <c r="AA390" s="1810"/>
      <c r="AB390" s="1810"/>
      <c r="AC390" s="1810"/>
      <c r="AD390" s="1810"/>
      <c r="AE390" s="1810"/>
      <c r="AF390" s="1810"/>
      <c r="AG390" s="1811"/>
      <c r="AJ390" s="2118" t="str">
        <f t="shared" si="55"/>
        <v>A</v>
      </c>
      <c r="AK390" s="1616"/>
      <c r="AM390" s="596"/>
      <c r="AN390" s="309" t="s">
        <v>322</v>
      </c>
      <c r="AO390" s="236"/>
      <c r="AP390" s="236"/>
      <c r="AQ390" s="236"/>
      <c r="AR390" s="310" t="s">
        <v>323</v>
      </c>
      <c r="AS390" s="597"/>
      <c r="AV390" s="3">
        <v>1</v>
      </c>
    </row>
    <row r="391" spans="2:48" ht="21" customHeight="1">
      <c r="B391" s="1610" cm="1">
        <f t="array" ref="B391">SUMPRODUCT(LEN(C391:K391))</f>
        <v>0</v>
      </c>
      <c r="C391" s="1810"/>
      <c r="D391" s="1810"/>
      <c r="E391" s="1810"/>
      <c r="F391" s="1810"/>
      <c r="G391" s="1810"/>
      <c r="H391" s="1810"/>
      <c r="I391" s="1810"/>
      <c r="J391" s="1810"/>
      <c r="K391" s="1810"/>
      <c r="L391" s="2126" t="str" cm="1">
        <f t="array" ref="L391">IF(B353&lt;=0,0,ROUNDUP(SUMPRODUCT(LEN(C391:K391))/B353,0))&amp;" ligne(s)"</f>
        <v>0 ligne(s)</v>
      </c>
      <c r="N391" s="2118" t="s">
        <v>10</v>
      </c>
      <c r="O391" s="163" t="str">
        <f>O355</f>
        <v>B BEIGNETS D'ACACIA | pâtisserie--Beignets| Auteur &gt; Délice de Celeste</v>
      </c>
      <c r="P391" s="1943">
        <f>P355</f>
        <v>6</v>
      </c>
      <c r="Q391" s="164" t="str">
        <f>Q355</f>
        <v>couverts</v>
      </c>
      <c r="R391" s="165" t="str">
        <f>R355</f>
        <v>Recette mère ► Beignets d'acacia</v>
      </c>
      <c r="S391" s="1548"/>
      <c r="T391" s="1548"/>
      <c r="U391" s="2190">
        <f>ROWS(Y381:Y391)</f>
        <v>11</v>
      </c>
      <c r="V391" s="5549" t="str" cm="1">
        <f t="array" ref="V391">IF(SUMPRODUCT((Y391:AD391&lt;&gt;"")*1)=0,"",SUMPRODUCT((Y391:AD391&lt;&gt;"")*(LEN(TRIM(SUBSTITUTE(Y391:AD391,CHAR(160)," "))) - LEN(SUBSTITUTE(TRIM(SUBSTITUTE(Y391:AD391,CHAR(160)," "))," ","")) + 1)) &amp; " mot" &amp; IF(SUMPRODUCT((Y391:AD391&lt;&gt;"")*(LEN(TRIM(SUBSTITUTE(Y391:AD391,CHAR(160)," "))) - LEN(SUBSTITUTE(TRIM(SUBSTITUTE(Y391:AD391,CHAR(160)," "))," ","")) + 1))&gt;1,"s",""))</f>
        <v/>
      </c>
      <c r="W391" s="5550" t="str" cm="1">
        <f t="array" ref="W391">SUMPRODUCT(--(Y391:AD391&lt;&gt;""), LEN(TRIM(SUBSTITUTE(Y391:AD391, CHAR(160), "")))) &amp; " Car."</f>
        <v>0 Car.</v>
      </c>
      <c r="X391" s="1376" t="str">
        <f>IF(ISBLANK(Y391),"",LARGE(X380:X390,1)+1)</f>
        <v/>
      </c>
      <c r="Y391" s="1810"/>
      <c r="Z391" s="1810"/>
      <c r="AA391" s="1810"/>
      <c r="AB391" s="1810"/>
      <c r="AC391" s="1810"/>
      <c r="AD391" s="1810"/>
      <c r="AE391" s="1810"/>
      <c r="AF391" s="1810"/>
      <c r="AG391" s="1811"/>
      <c r="AJ391" s="2118" t="str">
        <f t="shared" si="55"/>
        <v>A</v>
      </c>
      <c r="AK391" s="1616"/>
      <c r="AM391" s="596">
        <v>3</v>
      </c>
      <c r="AN391" s="313" t="s">
        <v>324</v>
      </c>
      <c r="AO391" s="198"/>
      <c r="AP391" s="198"/>
      <c r="AQ391" s="198"/>
      <c r="AR391" s="232" t="s">
        <v>219</v>
      </c>
      <c r="AS391" s="598" t="s">
        <v>325</v>
      </c>
      <c r="AV391" s="3">
        <v>1</v>
      </c>
    </row>
    <row r="392" spans="2:48" ht="21" customHeight="1" thickBot="1">
      <c r="B392" s="1610" cm="1">
        <f t="array" ref="B392">SUMPRODUCT(LEN(C392:K392))</f>
        <v>0</v>
      </c>
      <c r="C392" s="1810"/>
      <c r="D392" s="1810"/>
      <c r="E392" s="1810"/>
      <c r="F392" s="1810"/>
      <c r="G392" s="1810"/>
      <c r="H392" s="1810"/>
      <c r="I392" s="1810"/>
      <c r="J392" s="1810"/>
      <c r="K392" s="1810"/>
      <c r="L392" s="2126" t="str" cm="1">
        <f t="array" ref="L392">IF(B353&lt;=0,0,ROUNDUP(SUMPRODUCT(LEN(C392:K392))/B353,0))&amp;" ligne(s)"</f>
        <v>0 ligne(s)</v>
      </c>
      <c r="N392" s="2118" t="s">
        <v>10</v>
      </c>
      <c r="O392" s="163" t="str">
        <f>O355</f>
        <v>B BEIGNETS D'ACACIA | pâtisserie--Beignets| Auteur &gt; Délice de Celeste</v>
      </c>
      <c r="P392" s="163">
        <f>P355</f>
        <v>6</v>
      </c>
      <c r="Q392" s="164" t="str">
        <f>Q355</f>
        <v>couverts</v>
      </c>
      <c r="R392" s="165" t="str">
        <f>R355</f>
        <v>Recette mère ► Beignets d'acacia</v>
      </c>
      <c r="S392" s="1548"/>
      <c r="T392" s="1548"/>
      <c r="U392" s="2190">
        <f>ROWS(Y381:Y392)</f>
        <v>12</v>
      </c>
      <c r="V392" s="5549" t="str" cm="1">
        <f t="array" ref="V392">IF(SUMPRODUCT((Y392:AD392&lt;&gt;"")*1)=0,"",SUMPRODUCT((Y392:AD392&lt;&gt;"")*(LEN(TRIM(SUBSTITUTE(Y392:AD392,CHAR(160)," "))) - LEN(SUBSTITUTE(TRIM(SUBSTITUTE(Y392:AD392,CHAR(160)," "))," ","")) + 1)) &amp; " mot" &amp; IF(SUMPRODUCT((Y392:AD392&lt;&gt;"")*(LEN(TRIM(SUBSTITUTE(Y392:AD392,CHAR(160)," "))) - LEN(SUBSTITUTE(TRIM(SUBSTITUTE(Y392:AD392,CHAR(160)," "))," ","")) + 1))&gt;1,"s",""))</f>
        <v/>
      </c>
      <c r="W392" s="5550" t="str" cm="1">
        <f t="array" ref="W392">SUMPRODUCT(--(Y392:AD392&lt;&gt;""), LEN(TRIM(SUBSTITUTE(Y392:AD392, CHAR(160), "")))) &amp; " Car."</f>
        <v>0 Car.</v>
      </c>
      <c r="X392" s="1376" t="str">
        <f>IF(ISBLANK(Y392),"",LARGE(X380:X391,1)+1)</f>
        <v/>
      </c>
      <c r="Y392" s="1810"/>
      <c r="Z392" s="1810"/>
      <c r="AA392" s="1810"/>
      <c r="AB392" s="1810"/>
      <c r="AC392" s="1810"/>
      <c r="AD392" s="1810"/>
      <c r="AE392" s="1810"/>
      <c r="AF392" s="1810"/>
      <c r="AG392" s="1811"/>
      <c r="AJ392" s="2118" t="str">
        <f t="shared" si="55"/>
        <v>A</v>
      </c>
      <c r="AK392" s="1616"/>
      <c r="AM392" s="596"/>
      <c r="AN392" s="313" t="s">
        <v>326</v>
      </c>
      <c r="AO392" s="198"/>
      <c r="AP392" s="198"/>
      <c r="AQ392" s="198"/>
      <c r="AR392" s="320"/>
      <c r="AS392" s="598" t="s">
        <v>327</v>
      </c>
      <c r="AV392" s="3">
        <v>1</v>
      </c>
    </row>
    <row r="393" spans="2:48" ht="21" customHeight="1" thickTop="1">
      <c r="B393" s="1610" cm="1">
        <f t="array" ref="B393">SUMPRODUCT(LEN(C393:K393))</f>
        <v>0</v>
      </c>
      <c r="C393" s="1810"/>
      <c r="D393" s="1810"/>
      <c r="E393" s="1810"/>
      <c r="F393" s="1810"/>
      <c r="G393" s="1810"/>
      <c r="H393" s="1810"/>
      <c r="I393" s="1810"/>
      <c r="J393" s="1810"/>
      <c r="K393" s="1810"/>
      <c r="L393" s="2126" t="str" cm="1">
        <f t="array" ref="L393">IF(B353&lt;=0,0,ROUNDUP(SUMPRODUCT(LEN(C393:K393))/B353,0))&amp;" ligne(s)"</f>
        <v>0 ligne(s)</v>
      </c>
      <c r="N393" s="2118" t="s">
        <v>10</v>
      </c>
      <c r="O393" s="163" t="str">
        <f>O355</f>
        <v>B BEIGNETS D'ACACIA | pâtisserie--Beignets| Auteur &gt; Délice de Celeste</v>
      </c>
      <c r="P393" s="163">
        <f>P355</f>
        <v>6</v>
      </c>
      <c r="Q393" s="164" t="str">
        <f>Q355</f>
        <v>couverts</v>
      </c>
      <c r="R393" s="165" t="str">
        <f>R355</f>
        <v>Recette mère ► Beignets d'acacia</v>
      </c>
      <c r="S393" s="1548"/>
      <c r="T393" s="1548"/>
      <c r="U393" s="2190">
        <f>ROWS(Y381:Y393)</f>
        <v>13</v>
      </c>
      <c r="V393" s="5549" t="str" cm="1">
        <f t="array" ref="V393">IF(SUMPRODUCT((Y393:AD393&lt;&gt;"")*1)=0,"",SUMPRODUCT((Y393:AD393&lt;&gt;"")*(LEN(TRIM(SUBSTITUTE(Y393:AD393,CHAR(160)," "))) - LEN(SUBSTITUTE(TRIM(SUBSTITUTE(Y393:AD393,CHAR(160)," "))," ","")) + 1)) &amp; " mot" &amp; IF(SUMPRODUCT((Y393:AD393&lt;&gt;"")*(LEN(TRIM(SUBSTITUTE(Y393:AD393,CHAR(160)," "))) - LEN(SUBSTITUTE(TRIM(SUBSTITUTE(Y393:AD393,CHAR(160)," "))," ","")) + 1))&gt;1,"s",""))</f>
        <v/>
      </c>
      <c r="W393" s="5550" t="str" cm="1">
        <f t="array" ref="W393">SUMPRODUCT(--(Y393:AD393&lt;&gt;""), LEN(TRIM(SUBSTITUTE(Y393:AD393, CHAR(160), "")))) &amp; " Car."</f>
        <v>0 Car.</v>
      </c>
      <c r="X393" s="1376" t="str">
        <f>IF(ISBLANK(Y393),"",LARGE(X380:X392,1)+1)</f>
        <v/>
      </c>
      <c r="Y393" s="1810"/>
      <c r="Z393" s="1810"/>
      <c r="AA393" s="1810"/>
      <c r="AB393" s="1810"/>
      <c r="AC393" s="1810"/>
      <c r="AD393" s="1810"/>
      <c r="AE393" s="1810"/>
      <c r="AF393" s="1810"/>
      <c r="AG393" s="1811"/>
      <c r="AJ393" s="2118" t="str">
        <f t="shared" si="55"/>
        <v>A</v>
      </c>
      <c r="AK393" s="1616"/>
      <c r="AM393" s="599" t="str">
        <f>SUM(AM390:AM392) &amp; " / " &amp; (COUNTA(AM390:AM392) * 3)</f>
        <v>3 / 3</v>
      </c>
      <c r="AN393" s="198" t="s">
        <v>347</v>
      </c>
      <c r="AO393" s="198"/>
      <c r="AP393" s="198"/>
      <c r="AQ393" s="198"/>
      <c r="AR393" s="329" t="s">
        <v>348</v>
      </c>
      <c r="AS393" s="598" t="s">
        <v>349</v>
      </c>
      <c r="AV393" s="3">
        <v>1</v>
      </c>
    </row>
    <row r="394" spans="2:48" ht="21" customHeight="1">
      <c r="B394" s="1610" cm="1">
        <f t="array" ref="B394">SUMPRODUCT(LEN(C394:K394))</f>
        <v>0</v>
      </c>
      <c r="C394" s="1810"/>
      <c r="D394" s="1810"/>
      <c r="E394" s="1810"/>
      <c r="F394" s="1810"/>
      <c r="G394" s="1810"/>
      <c r="H394" s="1810"/>
      <c r="I394" s="1810"/>
      <c r="J394" s="1810"/>
      <c r="K394" s="1810"/>
      <c r="L394" s="2126" t="str" cm="1">
        <f t="array" ref="L394">IF(B353&lt;=0,0,ROUNDUP(SUMPRODUCT(LEN(C394:K394))/B353,0))&amp;" ligne(s)"</f>
        <v>0 ligne(s)</v>
      </c>
      <c r="N394" s="2118" t="s">
        <v>10</v>
      </c>
      <c r="O394" s="163" t="str">
        <f>O355</f>
        <v>B BEIGNETS D'ACACIA | pâtisserie--Beignets| Auteur &gt; Délice de Celeste</v>
      </c>
      <c r="P394" s="163">
        <f>P355</f>
        <v>6</v>
      </c>
      <c r="Q394" s="164" t="str">
        <f>Q355</f>
        <v>couverts</v>
      </c>
      <c r="R394" s="165" t="str">
        <f>R355</f>
        <v>Recette mère ► Beignets d'acacia</v>
      </c>
      <c r="S394" s="1548"/>
      <c r="T394" s="1548"/>
      <c r="U394" s="2190">
        <f>ROWS(Y381:Y394)</f>
        <v>14</v>
      </c>
      <c r="V394" s="5549" t="str" cm="1">
        <f t="array" ref="V394">IF(SUMPRODUCT((Y394:AD394&lt;&gt;"")*1)=0,"",SUMPRODUCT((Y394:AD394&lt;&gt;"")*(LEN(TRIM(SUBSTITUTE(Y394:AD394,CHAR(160)," "))) - LEN(SUBSTITUTE(TRIM(SUBSTITUTE(Y394:AD394,CHAR(160)," "))," ","")) + 1)) &amp; " mot" &amp; IF(SUMPRODUCT((Y394:AD394&lt;&gt;"")*(LEN(TRIM(SUBSTITUTE(Y394:AD394,CHAR(160)," "))) - LEN(SUBSTITUTE(TRIM(SUBSTITUTE(Y394:AD394,CHAR(160)," "))," ","")) + 1))&gt;1,"s",""))</f>
        <v/>
      </c>
      <c r="W394" s="5550" t="str" cm="1">
        <f t="array" ref="W394">SUMPRODUCT(--(Y394:AD394&lt;&gt;""), LEN(TRIM(SUBSTITUTE(Y394:AD394, CHAR(160), "")))) &amp; " Car."</f>
        <v>0 Car.</v>
      </c>
      <c r="X394" s="1376" t="str">
        <f>IF(ISBLANK(Y394),"",LARGE(X380:X393,1)+1)</f>
        <v/>
      </c>
      <c r="Y394" s="1810"/>
      <c r="Z394" s="1810"/>
      <c r="AA394" s="1810"/>
      <c r="AB394" s="1810"/>
      <c r="AC394" s="1810"/>
      <c r="AD394" s="1810"/>
      <c r="AE394" s="1810"/>
      <c r="AF394" s="1810"/>
      <c r="AG394" s="1811"/>
      <c r="AJ394" s="2118" t="str">
        <f t="shared" si="55"/>
        <v>A</v>
      </c>
      <c r="AK394" s="1616"/>
      <c r="AM394" s="600" t="str">
        <f>SUM(AM390:AM392) &amp;"/ "&amp;AM395</f>
        <v>3/ 24</v>
      </c>
      <c r="AN394" s="331" t="s">
        <v>350</v>
      </c>
      <c r="AO394" s="198"/>
      <c r="AP394" s="198"/>
      <c r="AQ394" s="198"/>
      <c r="AR394" s="320"/>
      <c r="AS394" s="598" t="s">
        <v>327</v>
      </c>
      <c r="AV394" s="3">
        <v>1</v>
      </c>
    </row>
    <row r="395" spans="2:48" ht="21" customHeight="1" thickBot="1">
      <c r="B395" s="1610" cm="1">
        <f t="array" ref="B395">SUMPRODUCT(LEN(C395:K395))</f>
        <v>0</v>
      </c>
      <c r="C395" s="1810"/>
      <c r="D395" s="1810"/>
      <c r="E395" s="1810"/>
      <c r="F395" s="1810"/>
      <c r="G395" s="1810"/>
      <c r="H395" s="1810"/>
      <c r="I395" s="1810"/>
      <c r="J395" s="1810"/>
      <c r="K395" s="1810"/>
      <c r="L395" s="2126" t="str" cm="1">
        <f t="array" ref="L395">IF(B353&lt;=0,0,ROUNDUP(SUMPRODUCT(LEN(C395:K395))/B353,0))&amp;" ligne(s)"</f>
        <v>0 ligne(s)</v>
      </c>
      <c r="N395" s="2118" t="s">
        <v>10</v>
      </c>
      <c r="O395" s="163" t="str">
        <f>O355</f>
        <v>B BEIGNETS D'ACACIA | pâtisserie--Beignets| Auteur &gt; Délice de Celeste</v>
      </c>
      <c r="P395" s="163">
        <f>P355</f>
        <v>6</v>
      </c>
      <c r="Q395" s="164" t="str">
        <f>Q355</f>
        <v>couverts</v>
      </c>
      <c r="R395" s="165" t="str">
        <f>R355</f>
        <v>Recette mère ► Beignets d'acacia</v>
      </c>
      <c r="S395" s="1548"/>
      <c r="T395" s="1548"/>
      <c r="U395" s="2190">
        <f>ROWS(Y381:Y395)</f>
        <v>15</v>
      </c>
      <c r="V395" s="5549" t="str" cm="1">
        <f t="array" ref="V395">IF(SUMPRODUCT((Y395:AD395&lt;&gt;"")*1)=0,"",SUMPRODUCT((Y395:AD395&lt;&gt;"")*(LEN(TRIM(SUBSTITUTE(Y395:AD395,CHAR(160)," "))) - LEN(SUBSTITUTE(TRIM(SUBSTITUTE(Y395:AD395,CHAR(160)," "))," ","")) + 1)) &amp; " mot" &amp; IF(SUMPRODUCT((Y395:AD395&lt;&gt;"")*(LEN(TRIM(SUBSTITUTE(Y395:AD395,CHAR(160)," "))) - LEN(SUBSTITUTE(TRIM(SUBSTITUTE(Y395:AD395,CHAR(160)," "))," ","")) + 1))&gt;1,"s",""))</f>
        <v/>
      </c>
      <c r="W395" s="5550" t="str" cm="1">
        <f t="array" ref="W395">SUMPRODUCT(--(Y395:AD395&lt;&gt;""), LEN(TRIM(SUBSTITUTE(Y395:AD395, CHAR(160), "")))) &amp; " Car."</f>
        <v>0 Car.</v>
      </c>
      <c r="X395" s="1376" t="str">
        <f>IF(ISBLANK(Y395),"",LARGE(X380:X394,1)+1)</f>
        <v/>
      </c>
      <c r="Y395" s="1810"/>
      <c r="Z395" s="1810"/>
      <c r="AA395" s="1810"/>
      <c r="AB395" s="1810"/>
      <c r="AC395" s="1810"/>
      <c r="AD395" s="1810"/>
      <c r="AE395" s="1810"/>
      <c r="AF395" s="1810"/>
      <c r="AG395" s="1811"/>
      <c r="AJ395" s="2118" t="str">
        <f t="shared" ref="AJ395:AJ406" si="63">N395</f>
        <v>A</v>
      </c>
      <c r="AK395" s="1616"/>
      <c r="AM395" s="601">
        <v>24</v>
      </c>
      <c r="AN395" s="333" t="s">
        <v>357</v>
      </c>
      <c r="AO395" s="198"/>
      <c r="AP395" s="198"/>
      <c r="AQ395" s="198"/>
      <c r="AR395" s="334"/>
      <c r="AS395" s="602" t="s">
        <v>358</v>
      </c>
      <c r="AV395" s="3">
        <v>1</v>
      </c>
    </row>
    <row r="396" spans="2:48" ht="21" customHeight="1" thickTop="1">
      <c r="B396" s="1610" cm="1">
        <f t="array" ref="B396">SUMPRODUCT(LEN(C396:K396))</f>
        <v>0</v>
      </c>
      <c r="C396" s="1810"/>
      <c r="D396" s="1810"/>
      <c r="E396" s="1810"/>
      <c r="F396" s="1810"/>
      <c r="G396" s="1810"/>
      <c r="H396" s="1810"/>
      <c r="I396" s="1810"/>
      <c r="J396" s="1810"/>
      <c r="K396" s="1810"/>
      <c r="L396" s="2126" t="str" cm="1">
        <f t="array" ref="L396">IF(B353&lt;=0,0,ROUNDUP(SUMPRODUCT(LEN(C396:K396))/B353,0))&amp;" ligne(s)"</f>
        <v>0 ligne(s)</v>
      </c>
      <c r="N396" s="2118" t="s">
        <v>10</v>
      </c>
      <c r="O396" s="163" t="str">
        <f>O355</f>
        <v>B BEIGNETS D'ACACIA | pâtisserie--Beignets| Auteur &gt; Délice de Celeste</v>
      </c>
      <c r="P396" s="163">
        <f>P355</f>
        <v>6</v>
      </c>
      <c r="Q396" s="164" t="str">
        <f>Q355</f>
        <v>couverts</v>
      </c>
      <c r="R396" s="165" t="str">
        <f>R355</f>
        <v>Recette mère ► Beignets d'acacia</v>
      </c>
      <c r="S396" s="1548"/>
      <c r="T396" s="1548"/>
      <c r="U396" s="2190">
        <f>ROWS(Y381:Y396)</f>
        <v>16</v>
      </c>
      <c r="V396" s="5549" t="str" cm="1">
        <f t="array" ref="V396">IF(SUMPRODUCT((Y396:AD396&lt;&gt;"")*1)=0,"",SUMPRODUCT((Y396:AD396&lt;&gt;"")*(LEN(TRIM(SUBSTITUTE(Y396:AD396,CHAR(160)," "))) - LEN(SUBSTITUTE(TRIM(SUBSTITUTE(Y396:AD396,CHAR(160)," "))," ","")) + 1)) &amp; " mot" &amp; IF(SUMPRODUCT((Y396:AD396&lt;&gt;"")*(LEN(TRIM(SUBSTITUTE(Y396:AD396,CHAR(160)," "))) - LEN(SUBSTITUTE(TRIM(SUBSTITUTE(Y396:AD396,CHAR(160)," "))," ","")) + 1))&gt;1,"s",""))</f>
        <v/>
      </c>
      <c r="W396" s="5550" t="str" cm="1">
        <f t="array" ref="W396">SUMPRODUCT(--(Y396:AD396&lt;&gt;""), LEN(TRIM(SUBSTITUTE(Y396:AD396, CHAR(160), "")))) &amp; " Car."</f>
        <v>0 Car.</v>
      </c>
      <c r="X396" s="1376" t="str">
        <f>IF(ISBLANK(Y396),"",LARGE(X380:X395,1)+1)</f>
        <v/>
      </c>
      <c r="Y396" s="1810"/>
      <c r="Z396" s="1810"/>
      <c r="AA396" s="1810"/>
      <c r="AB396" s="1810"/>
      <c r="AC396" s="1810"/>
      <c r="AD396" s="1810"/>
      <c r="AE396" s="1810"/>
      <c r="AF396" s="1810"/>
      <c r="AG396" s="1811"/>
      <c r="AJ396" s="2118" t="str">
        <f t="shared" si="63"/>
        <v>A</v>
      </c>
      <c r="AK396" s="1616"/>
      <c r="AM396" s="575" t="s">
        <v>362</v>
      </c>
      <c r="AN396" s="198"/>
      <c r="AO396" s="198"/>
      <c r="AP396" s="198"/>
      <c r="AQ396" s="198"/>
      <c r="AR396" s="320"/>
      <c r="AS396" s="598" t="s">
        <v>363</v>
      </c>
      <c r="AV396" s="3">
        <v>1</v>
      </c>
    </row>
    <row r="397" spans="2:48" ht="21" customHeight="1">
      <c r="B397" s="1610" cm="1">
        <f t="array" ref="B397">SUMPRODUCT(LEN(C397:K397))</f>
        <v>0</v>
      </c>
      <c r="C397" s="1810"/>
      <c r="D397" s="1810"/>
      <c r="E397" s="1810"/>
      <c r="F397" s="1810"/>
      <c r="G397" s="1810"/>
      <c r="H397" s="1810"/>
      <c r="I397" s="1810"/>
      <c r="J397" s="1810"/>
      <c r="K397" s="1810"/>
      <c r="L397" s="2126" t="str" cm="1">
        <f t="array" ref="L397">IF(B353&lt;=0,0,ROUNDUP(SUMPRODUCT(LEN(C397:K397))/B353,0))&amp;" ligne(s)"</f>
        <v>0 ligne(s)</v>
      </c>
      <c r="N397" s="2118" t="s">
        <v>10</v>
      </c>
      <c r="O397" s="163" t="str">
        <f>O355</f>
        <v>B BEIGNETS D'ACACIA | pâtisserie--Beignets| Auteur &gt; Délice de Celeste</v>
      </c>
      <c r="P397" s="163">
        <f>P355</f>
        <v>6</v>
      </c>
      <c r="Q397" s="164" t="str">
        <f>Q355</f>
        <v>couverts</v>
      </c>
      <c r="R397" s="165" t="str">
        <f>R355</f>
        <v>Recette mère ► Beignets d'acacia</v>
      </c>
      <c r="S397" s="1548"/>
      <c r="T397" s="1548"/>
      <c r="U397" s="2190">
        <f>ROWS(Y381:Y397)</f>
        <v>17</v>
      </c>
      <c r="V397" s="5549" t="str" cm="1">
        <f t="array" ref="V397">IF(SUMPRODUCT((Y397:AD397&lt;&gt;"")*1)=0,"",SUMPRODUCT((Y397:AD397&lt;&gt;"")*(LEN(TRIM(SUBSTITUTE(Y397:AD397,CHAR(160)," "))) - LEN(SUBSTITUTE(TRIM(SUBSTITUTE(Y397:AD397,CHAR(160)," "))," ","")) + 1)) &amp; " mot" &amp; IF(SUMPRODUCT((Y397:AD397&lt;&gt;"")*(LEN(TRIM(SUBSTITUTE(Y397:AD397,CHAR(160)," "))) - LEN(SUBSTITUTE(TRIM(SUBSTITUTE(Y397:AD397,CHAR(160)," "))," ","")) + 1))&gt;1,"s",""))</f>
        <v/>
      </c>
      <c r="W397" s="5550" t="str" cm="1">
        <f t="array" ref="W397">SUMPRODUCT(--(Y397:AD397&lt;&gt;""), LEN(TRIM(SUBSTITUTE(Y397:AD397, CHAR(160), "")))) &amp; " Car."</f>
        <v>0 Car.</v>
      </c>
      <c r="X397" s="1376"/>
      <c r="Y397" s="1810"/>
      <c r="Z397" s="1810"/>
      <c r="AA397" s="1810"/>
      <c r="AB397" s="1810"/>
      <c r="AC397" s="1810"/>
      <c r="AD397" s="1810"/>
      <c r="AE397" s="1810"/>
      <c r="AF397" s="1810"/>
      <c r="AG397" s="1811"/>
      <c r="AJ397" s="2118" t="str">
        <f t="shared" si="63"/>
        <v>A</v>
      </c>
      <c r="AK397" s="1616"/>
      <c r="AM397" s="603"/>
      <c r="AN397" s="604"/>
      <c r="AO397" s="604"/>
      <c r="AP397" s="605"/>
      <c r="AQ397" s="605"/>
      <c r="AR397" s="606"/>
      <c r="AS397" s="607" t="s">
        <v>365</v>
      </c>
      <c r="AV397" s="3">
        <v>1</v>
      </c>
    </row>
    <row r="398" spans="2:48" ht="21" customHeight="1" thickBot="1">
      <c r="B398" s="1610" cm="1">
        <f t="array" ref="B398">SUMPRODUCT(LEN(C398:K398))</f>
        <v>0</v>
      </c>
      <c r="C398" s="1810"/>
      <c r="D398" s="1810"/>
      <c r="E398" s="1810"/>
      <c r="F398" s="1810"/>
      <c r="G398" s="1810"/>
      <c r="H398" s="1810"/>
      <c r="I398" s="1810"/>
      <c r="J398" s="1810"/>
      <c r="K398" s="1810"/>
      <c r="L398" s="2126" t="str" cm="1">
        <f t="array" ref="L398">IF(B353&lt;=0,0,ROUNDUP(SUMPRODUCT(LEN(C398:K398))/B353,0))&amp;" ligne(s)"</f>
        <v>0 ligne(s)</v>
      </c>
      <c r="N398" s="2118" t="s">
        <v>10</v>
      </c>
      <c r="O398" s="163" t="str">
        <f>O355</f>
        <v>B BEIGNETS D'ACACIA | pâtisserie--Beignets| Auteur &gt; Délice de Celeste</v>
      </c>
      <c r="P398" s="163">
        <f>P355</f>
        <v>6</v>
      </c>
      <c r="Q398" s="164" t="str">
        <f>Q355</f>
        <v>couverts</v>
      </c>
      <c r="R398" s="165" t="str">
        <f>R355</f>
        <v>Recette mère ► Beignets d'acacia</v>
      </c>
      <c r="S398" s="1548"/>
      <c r="T398" s="1548"/>
      <c r="U398" s="2190">
        <f>ROWS(Y381:Y398)</f>
        <v>18</v>
      </c>
      <c r="V398" s="5549" t="str" cm="1">
        <f t="array" ref="V398">IF(SUMPRODUCT((Y398:AD398&lt;&gt;"")*1)=0,"",SUMPRODUCT((Y398:AD398&lt;&gt;"")*(LEN(TRIM(SUBSTITUTE(Y398:AD398,CHAR(160)," "))) - LEN(SUBSTITUTE(TRIM(SUBSTITUTE(Y398:AD398,CHAR(160)," "))," ","")) + 1)) &amp; " mot" &amp; IF(SUMPRODUCT((Y398:AD398&lt;&gt;"")*(LEN(TRIM(SUBSTITUTE(Y398:AD398,CHAR(160)," "))) - LEN(SUBSTITUTE(TRIM(SUBSTITUTE(Y398:AD398,CHAR(160)," "))," ","")) + 1))&gt;1,"s",""))</f>
        <v/>
      </c>
      <c r="W398" s="5550" t="str" cm="1">
        <f t="array" ref="W398">SUMPRODUCT(--(Y398:AD398&lt;&gt;""), LEN(TRIM(SUBSTITUTE(Y398:AD398, CHAR(160), "")))) &amp; " Car."</f>
        <v>0 Car.</v>
      </c>
      <c r="X398" s="1376"/>
      <c r="Y398" s="1810"/>
      <c r="Z398" s="1810"/>
      <c r="AA398" s="1810"/>
      <c r="AB398" s="1810"/>
      <c r="AC398" s="1810"/>
      <c r="AD398" s="1810"/>
      <c r="AE398" s="1810"/>
      <c r="AF398" s="1810"/>
      <c r="AG398" s="1811"/>
      <c r="AJ398" s="2118" t="str">
        <f t="shared" si="63"/>
        <v>A</v>
      </c>
      <c r="AK398" s="1616"/>
      <c r="AM398" s="590" t="s">
        <v>258</v>
      </c>
      <c r="AN398" s="261"/>
      <c r="AO398" s="262"/>
      <c r="AP398" s="263"/>
      <c r="AQ398" s="262"/>
      <c r="AR398" s="262"/>
      <c r="AS398" s="591"/>
      <c r="AV398" s="3">
        <v>1</v>
      </c>
    </row>
    <row r="399" spans="2:48" ht="21" customHeight="1">
      <c r="B399" s="1610" cm="1">
        <f t="array" ref="B399">SUMPRODUCT(LEN(C399:K399))</f>
        <v>0</v>
      </c>
      <c r="C399" s="1810"/>
      <c r="D399" s="1810"/>
      <c r="E399" s="1810"/>
      <c r="F399" s="1810"/>
      <c r="G399" s="1810"/>
      <c r="H399" s="1810"/>
      <c r="I399" s="1810"/>
      <c r="J399" s="1810"/>
      <c r="K399" s="1810"/>
      <c r="L399" s="2126" t="str" cm="1">
        <f t="array" ref="L399">IF(B353&lt;=0,0,ROUNDUP(SUMPRODUCT(LEN(C399:K399))/B353,0))&amp;" ligne(s)"</f>
        <v>0 ligne(s)</v>
      </c>
      <c r="N399" s="103" t="str">
        <f t="shared" ref="N399" si="64">IF(Y399&lt;&gt;"","A","►")</f>
        <v>►</v>
      </c>
      <c r="O399" s="163" t="str">
        <f>O355</f>
        <v>B BEIGNETS D'ACACIA | pâtisserie--Beignets| Auteur &gt; Délice de Celeste</v>
      </c>
      <c r="P399" s="163">
        <f>P355</f>
        <v>6</v>
      </c>
      <c r="Q399" s="164" t="str">
        <f>Q355</f>
        <v>couverts</v>
      </c>
      <c r="R399" s="165" t="str">
        <f>R355</f>
        <v>Recette mère ► Beignets d'acacia</v>
      </c>
      <c r="S399" s="1548"/>
      <c r="T399" s="1548"/>
      <c r="U399" s="2190">
        <f>ROWS(Y381:Y399)</f>
        <v>19</v>
      </c>
      <c r="V399" s="5549" t="str" cm="1">
        <f t="array" ref="V399">IF(SUMPRODUCT((Y399:AD399&lt;&gt;"")*1)=0,"",SUMPRODUCT((Y399:AD399&lt;&gt;"")*(LEN(TRIM(SUBSTITUTE(Y399:AD399,CHAR(160)," "))) - LEN(SUBSTITUTE(TRIM(SUBSTITUTE(Y399:AD399,CHAR(160)," "))," ","")) + 1)) &amp; " mot" &amp; IF(SUMPRODUCT((Y399:AD399&lt;&gt;"")*(LEN(TRIM(SUBSTITUTE(Y399:AD399,CHAR(160)," "))) - LEN(SUBSTITUTE(TRIM(SUBSTITUTE(Y399:AD399,CHAR(160)," "))," ","")) + 1))&gt;1,"s",""))</f>
        <v/>
      </c>
      <c r="W399" s="5550" t="str" cm="1">
        <f t="array" ref="W399">SUMPRODUCT(--(Y399:AD399&lt;&gt;""), LEN(TRIM(SUBSTITUTE(Y399:AD399, CHAR(160), "")))) &amp; " Car."</f>
        <v>0 Car.</v>
      </c>
      <c r="X399" s="1376" t="str">
        <f>IF(ISBLANK(Y399),"",LARGE(X380:X398,1)+1)</f>
        <v/>
      </c>
      <c r="Y399" s="1810"/>
      <c r="Z399" s="1810"/>
      <c r="AA399" s="1810"/>
      <c r="AB399" s="1810"/>
      <c r="AC399" s="1810"/>
      <c r="AD399" s="1810"/>
      <c r="AE399" s="1810"/>
      <c r="AF399" s="1810"/>
      <c r="AG399" s="1811"/>
      <c r="AJ399" s="103" t="str">
        <f t="shared" si="63"/>
        <v>►</v>
      </c>
      <c r="AK399" s="1616"/>
      <c r="AM399" s="454"/>
      <c r="AS399" s="592"/>
      <c r="AV399" s="3">
        <v>1</v>
      </c>
    </row>
    <row r="400" spans="2:48" ht="21" customHeight="1">
      <c r="B400" s="1610" cm="1">
        <f t="array" ref="B400">SUMPRODUCT(LEN(C400:K400))</f>
        <v>0</v>
      </c>
      <c r="C400" s="1810"/>
      <c r="D400" s="1810"/>
      <c r="E400" s="1810"/>
      <c r="F400" s="1810"/>
      <c r="G400" s="1810"/>
      <c r="H400" s="1810"/>
      <c r="I400" s="1810"/>
      <c r="J400" s="1810"/>
      <c r="K400" s="1810"/>
      <c r="L400" s="2126" t="str" cm="1">
        <f t="array" ref="L400">IF(B353&lt;=0,0,ROUNDUP(SUMPRODUCT(LEN(C400:K400))/B353,0))&amp;" ligne(s)"</f>
        <v>0 ligne(s)</v>
      </c>
      <c r="N400" s="2118" t="s">
        <v>10</v>
      </c>
      <c r="O400" s="163" t="str">
        <f>O355</f>
        <v>B BEIGNETS D'ACACIA | pâtisserie--Beignets| Auteur &gt; Délice de Celeste</v>
      </c>
      <c r="P400" s="163">
        <f>P355</f>
        <v>6</v>
      </c>
      <c r="Q400" s="164" t="str">
        <f>Q355</f>
        <v>couverts</v>
      </c>
      <c r="R400" s="165" t="str">
        <f>R355</f>
        <v>Recette mère ► Beignets d'acacia</v>
      </c>
      <c r="S400" s="1548"/>
      <c r="T400" s="1548"/>
      <c r="U400" s="2190">
        <f>ROWS(Y381:Y400)</f>
        <v>20</v>
      </c>
      <c r="V400" s="5549" t="str" cm="1">
        <f t="array" ref="V400">IF(SUMPRODUCT((Y400:AD400&lt;&gt;"")*1)=0,"",SUMPRODUCT((Y400:AD400&lt;&gt;"")*(LEN(TRIM(SUBSTITUTE(Y400:AD400,CHAR(160)," "))) - LEN(SUBSTITUTE(TRIM(SUBSTITUTE(Y400:AD400,CHAR(160)," "))," ","")) + 1)) &amp; " mot" &amp; IF(SUMPRODUCT((Y400:AD400&lt;&gt;"")*(LEN(TRIM(SUBSTITUTE(Y400:AD400,CHAR(160)," "))) - LEN(SUBSTITUTE(TRIM(SUBSTITUTE(Y400:AD400,CHAR(160)," "))," ","")) + 1))&gt;1,"s",""))</f>
        <v/>
      </c>
      <c r="W400" s="5550" t="str" cm="1">
        <f t="array" ref="W400">SUMPRODUCT(--(Y400:AD400&lt;&gt;""), LEN(TRIM(SUBSTITUTE(Y400:AD400, CHAR(160), "")))) &amp; " Car."</f>
        <v>0 Car.</v>
      </c>
      <c r="X400" s="1376" t="str">
        <f>IF(ISBLANK(Y400),"",LARGE(X380:X399,1)+1)</f>
        <v/>
      </c>
      <c r="Y400" s="1810"/>
      <c r="Z400" s="1810"/>
      <c r="AA400" s="1810"/>
      <c r="AB400" s="1810"/>
      <c r="AC400" s="1810"/>
      <c r="AD400" s="1810"/>
      <c r="AE400" s="1810"/>
      <c r="AF400" s="1810"/>
      <c r="AG400" s="1811"/>
      <c r="AJ400" s="2118" t="str">
        <f t="shared" si="63"/>
        <v>A</v>
      </c>
      <c r="AK400" s="1616"/>
      <c r="AM400" s="2217" t="s">
        <v>8145</v>
      </c>
      <c r="AN400" s="354"/>
      <c r="AO400" s="354"/>
      <c r="AP400" s="354"/>
      <c r="AQ400" s="354"/>
      <c r="AR400" s="354"/>
      <c r="AS400" s="608" t="s">
        <v>315</v>
      </c>
      <c r="AV400" s="3">
        <v>1</v>
      </c>
    </row>
    <row r="401" spans="2:48" ht="21" customHeight="1">
      <c r="B401" s="1610" cm="1">
        <f t="array" ref="B401">SUMPRODUCT(LEN(C401:K401))</f>
        <v>0</v>
      </c>
      <c r="C401" s="1810"/>
      <c r="D401" s="1810"/>
      <c r="E401" s="1810"/>
      <c r="F401" s="1810"/>
      <c r="G401" s="1810"/>
      <c r="H401" s="1810"/>
      <c r="I401" s="1810"/>
      <c r="J401" s="1810"/>
      <c r="K401" s="1810"/>
      <c r="L401" s="2126" t="str" cm="1">
        <f t="array" ref="L401">IF(B353&lt;=0,0,ROUNDUP(SUMPRODUCT(LEN(C401:K401))/B353,0))&amp;" ligne(s)"</f>
        <v>0 ligne(s)</v>
      </c>
      <c r="N401" s="2118" t="s">
        <v>10</v>
      </c>
      <c r="O401" s="163" t="str">
        <f>O355</f>
        <v>B BEIGNETS D'ACACIA | pâtisserie--Beignets| Auteur &gt; Délice de Celeste</v>
      </c>
      <c r="P401" s="163">
        <f>P355</f>
        <v>6</v>
      </c>
      <c r="Q401" s="164" t="str">
        <f>Q355</f>
        <v>couverts</v>
      </c>
      <c r="R401" s="165" t="str">
        <f>R355</f>
        <v>Recette mère ► Beignets d'acacia</v>
      </c>
      <c r="S401" s="1548"/>
      <c r="T401" s="1548"/>
      <c r="U401" s="2190">
        <f>ROWS(Y381:Y401)</f>
        <v>21</v>
      </c>
      <c r="V401" s="5549" t="str" cm="1">
        <f t="array" ref="V401">IF(SUMPRODUCT((Y401:AD401&lt;&gt;"")*1)=0,"",SUMPRODUCT((Y401:AD401&lt;&gt;"")*(LEN(TRIM(SUBSTITUTE(Y401:AD401,CHAR(160)," "))) - LEN(SUBSTITUTE(TRIM(SUBSTITUTE(Y401:AD401,CHAR(160)," "))," ","")) + 1)) &amp; " mot" &amp; IF(SUMPRODUCT((Y401:AD401&lt;&gt;"")*(LEN(TRIM(SUBSTITUTE(Y401:AD401,CHAR(160)," "))) - LEN(SUBSTITUTE(TRIM(SUBSTITUTE(Y401:AD401,CHAR(160)," "))," ","")) + 1))&gt;1,"s",""))</f>
        <v>13 mots</v>
      </c>
      <c r="W401" s="5550" t="str" cm="1">
        <f t="array" ref="W401">SUMPRODUCT(--(Y401:AD401&lt;&gt;""), LEN(TRIM(SUBSTITUTE(Y401:AD401, CHAR(160), "")))) &amp; " Car."</f>
        <v>80 Car.</v>
      </c>
      <c r="X401" s="1376" t="str">
        <f>IF(ISBLANK(Y401),"",LARGE(X380:X400,1)+1)</f>
        <v/>
      </c>
      <c r="Y401" s="1810"/>
      <c r="Z401" s="1810" t="s">
        <v>14252</v>
      </c>
      <c r="AA401" s="1810"/>
      <c r="AB401" s="1810"/>
      <c r="AC401" s="1810"/>
      <c r="AD401" s="1810"/>
      <c r="AE401" s="1810"/>
      <c r="AF401" s="1810"/>
      <c r="AG401" s="1811"/>
      <c r="AJ401" s="2118" t="str">
        <f t="shared" si="63"/>
        <v>A</v>
      </c>
      <c r="AK401" s="1616"/>
      <c r="AM401" s="609"/>
      <c r="AN401" s="355"/>
      <c r="AO401" s="355"/>
      <c r="AP401" s="355"/>
      <c r="AQ401" s="355"/>
      <c r="AR401" s="355"/>
      <c r="AS401" s="610" t="s">
        <v>380</v>
      </c>
      <c r="AV401" s="3">
        <v>1</v>
      </c>
    </row>
    <row r="402" spans="2:48" ht="21" customHeight="1" thickBot="1">
      <c r="B402" s="1610" cm="1">
        <f t="array" ref="B402">SUMPRODUCT(LEN(C402:K402))</f>
        <v>0</v>
      </c>
      <c r="C402" s="1810"/>
      <c r="D402" s="1810"/>
      <c r="E402" s="1810"/>
      <c r="F402" s="1810"/>
      <c r="G402" s="1810"/>
      <c r="H402" s="1810"/>
      <c r="I402" s="1810"/>
      <c r="J402" s="1810"/>
      <c r="K402" s="1810"/>
      <c r="L402" s="2126" t="str" cm="1">
        <f t="array" ref="L402">IF(B353&lt;=0,0,ROUNDUP(SUMPRODUCT(LEN(C402:K402))/B353,0))&amp;" ligne(s)"</f>
        <v>0 ligne(s)</v>
      </c>
      <c r="N402" s="2118" t="s">
        <v>10</v>
      </c>
      <c r="O402" s="163" t="str">
        <f>O355</f>
        <v>B BEIGNETS D'ACACIA | pâtisserie--Beignets| Auteur &gt; Délice de Celeste</v>
      </c>
      <c r="P402" s="163">
        <f>P355</f>
        <v>6</v>
      </c>
      <c r="Q402" s="164" t="str">
        <f>Q355</f>
        <v>couverts</v>
      </c>
      <c r="R402" s="165" t="str">
        <f>R355</f>
        <v>Recette mère ► Beignets d'acacia</v>
      </c>
      <c r="S402" s="172"/>
      <c r="T402" s="1378" t="s">
        <v>207</v>
      </c>
      <c r="U402" s="1712" t="s">
        <v>8475</v>
      </c>
      <c r="V402" s="176"/>
      <c r="W402" s="176"/>
      <c r="X402" s="176"/>
      <c r="Y402" s="176"/>
      <c r="Z402" s="176"/>
      <c r="AA402" s="176"/>
      <c r="AB402" s="176"/>
      <c r="AC402" s="176"/>
      <c r="AD402" s="176"/>
      <c r="AE402" s="176"/>
      <c r="AF402" s="176"/>
      <c r="AG402" s="884"/>
      <c r="AJ402" s="2118" t="str">
        <f t="shared" si="63"/>
        <v>A</v>
      </c>
      <c r="AK402" s="1616"/>
      <c r="AM402" s="611" t="s">
        <v>384</v>
      </c>
      <c r="AN402" s="358" t="s">
        <v>385</v>
      </c>
      <c r="AO402" s="236"/>
      <c r="AP402" s="359" t="s">
        <v>386</v>
      </c>
      <c r="AQ402" s="360" t="s">
        <v>387</v>
      </c>
      <c r="AR402" s="198"/>
      <c r="AS402" s="588"/>
      <c r="AV402" s="3">
        <v>1</v>
      </c>
    </row>
    <row r="403" spans="2:48" ht="21" customHeight="1">
      <c r="B403" s="1610" cm="1">
        <f t="array" ref="B403">SUMPRODUCT(LEN(C403:K403))</f>
        <v>0</v>
      </c>
      <c r="C403" s="1810"/>
      <c r="D403" s="1810"/>
      <c r="E403" s="1810"/>
      <c r="F403" s="1810"/>
      <c r="G403" s="1810"/>
      <c r="H403" s="1810"/>
      <c r="I403" s="1810"/>
      <c r="J403" s="1810"/>
      <c r="K403" s="1810"/>
      <c r="L403" s="2126" t="str" cm="1">
        <f t="array" ref="L403">IF(B353&lt;=0,0,ROUNDUP(SUMPRODUCT(LEN(C403:K403))/B353,0))&amp;" ligne(s)"</f>
        <v>0 ligne(s)</v>
      </c>
      <c r="N403" s="2118" t="s">
        <v>10</v>
      </c>
      <c r="O403" s="163" t="str">
        <f>O355</f>
        <v>B BEIGNETS D'ACACIA | pâtisserie--Beignets| Auteur &gt; Délice de Celeste</v>
      </c>
      <c r="P403" s="163">
        <f>P355</f>
        <v>6</v>
      </c>
      <c r="Q403" s="164" t="str">
        <f>Q355</f>
        <v>couverts</v>
      </c>
      <c r="R403" s="165" t="str">
        <f>R355</f>
        <v>Recette mère ► Beignets d'acacia</v>
      </c>
      <c r="S403" s="1379"/>
      <c r="T403" s="1380"/>
      <c r="U403" s="1380"/>
      <c r="V403" s="1380"/>
      <c r="W403" s="1380"/>
      <c r="X403" s="1380"/>
      <c r="Y403" s="1380"/>
      <c r="Z403" s="1381" t="s">
        <v>196</v>
      </c>
      <c r="AA403" s="202"/>
      <c r="AB403" s="202"/>
      <c r="AC403" s="202"/>
      <c r="AD403" s="202"/>
      <c r="AE403" s="202"/>
      <c r="AF403" s="202"/>
      <c r="AG403" s="885"/>
      <c r="AJ403" s="2118" t="str">
        <f t="shared" si="63"/>
        <v>A</v>
      </c>
      <c r="AK403" s="1616"/>
      <c r="AM403" s="612"/>
      <c r="AN403" s="361"/>
      <c r="AO403" s="198"/>
      <c r="AP403" s="362"/>
      <c r="AQ403" s="363"/>
      <c r="AR403" s="364" t="s">
        <v>322</v>
      </c>
      <c r="AS403" s="588"/>
      <c r="AV403" s="3">
        <v>1</v>
      </c>
    </row>
    <row r="404" spans="2:48" ht="21" customHeight="1" thickBot="1">
      <c r="B404" s="1610" cm="1">
        <f t="array" ref="B404">SUMPRODUCT(LEN(C404:K404))</f>
        <v>0</v>
      </c>
      <c r="C404" s="1810"/>
      <c r="D404" s="1810"/>
      <c r="E404" s="1810"/>
      <c r="F404" s="1810"/>
      <c r="G404" s="1810"/>
      <c r="H404" s="1810"/>
      <c r="I404" s="1810"/>
      <c r="J404" s="1810"/>
      <c r="K404" s="1810"/>
      <c r="L404" s="2126" t="str" cm="1">
        <f t="array" ref="L404">IF(B353&lt;=0,0,ROUNDUP(SUMPRODUCT(LEN(C404:K404))/B353,0))&amp;" ligne(s)"</f>
        <v>0 ligne(s)</v>
      </c>
      <c r="N404" s="2118" t="s">
        <v>10</v>
      </c>
      <c r="O404" s="163" t="str">
        <f>O355</f>
        <v>B BEIGNETS D'ACACIA | pâtisserie--Beignets| Auteur &gt; Délice de Celeste</v>
      </c>
      <c r="P404" s="163">
        <f>P355</f>
        <v>6</v>
      </c>
      <c r="Q404" s="164" t="str">
        <f>Q355</f>
        <v>couverts</v>
      </c>
      <c r="R404" s="165" t="str">
        <f>R355</f>
        <v>Recette mère ► Beignets d'acacia</v>
      </c>
      <c r="S404" s="2139"/>
      <c r="T404" s="2124"/>
      <c r="U404" s="2138"/>
      <c r="V404" s="2140" t="s">
        <v>8860</v>
      </c>
      <c r="W404" s="2065">
        <f ca="1">W380</f>
        <v>132</v>
      </c>
      <c r="X404" s="886" t="s">
        <v>200</v>
      </c>
      <c r="Y404" s="2137"/>
      <c r="Z404" s="2137"/>
      <c r="AA404" s="2137"/>
      <c r="AB404" s="472"/>
      <c r="AC404" s="472"/>
      <c r="AD404" s="472"/>
      <c r="AE404" s="2260" t="str">
        <f>IF(Y405="","",(LEN(TRIM(SUBSTITUTE(Y405,CHAR(160)," ")))-LEN(SUBSTITUTE(TRIM(SUBSTITUTE(Y405,CHAR(160)," "))," ",""))+1)&amp;" mot"&amp;IF((LEN(TRIM(SUBSTITUTE(Y405,CHAR(160)," ")))-LEN(SUBSTITUTE(TRIM(SUBSTITUTE(Y405,CHAR(160)," "))," ",""))+1)&gt;1,"s",""))</f>
        <v>17 mots</v>
      </c>
      <c r="AF404" s="2259" t="str">
        <f>IF(Y405="","",LEN(TRIM(SUBSTITUTE(Y405,CHAR(160),""))))&amp;" Car."</f>
        <v>123 Car.</v>
      </c>
      <c r="AG404" s="2261" t="s">
        <v>8863</v>
      </c>
      <c r="AJ404" s="2118" t="str">
        <f t="shared" si="63"/>
        <v>A</v>
      </c>
      <c r="AK404" s="1616"/>
      <c r="AM404" s="612">
        <v>3</v>
      </c>
      <c r="AN404" s="361"/>
      <c r="AO404" s="198"/>
      <c r="AP404" s="362"/>
      <c r="AQ404" s="363"/>
      <c r="AR404" s="364" t="s">
        <v>324</v>
      </c>
      <c r="AS404" s="588"/>
      <c r="AV404" s="3">
        <v>1</v>
      </c>
    </row>
    <row r="405" spans="2:48" ht="21" customHeight="1" thickBot="1">
      <c r="B405" s="1610" cm="1">
        <f t="array" ref="B405">SUMPRODUCT(LEN(C405:K405))</f>
        <v>0</v>
      </c>
      <c r="C405" s="1810"/>
      <c r="D405" s="1810"/>
      <c r="E405" s="1810"/>
      <c r="F405" s="1810"/>
      <c r="G405" s="1810"/>
      <c r="H405" s="1810"/>
      <c r="I405" s="1810"/>
      <c r="J405" s="1810"/>
      <c r="K405" s="1810"/>
      <c r="L405" s="2126" t="str" cm="1">
        <f t="array" ref="L405">IF(B353&lt;=0,0,ROUNDUP(SUMPRODUCT(LEN(C405:K405))/B353,0))&amp;" ligne(s)"</f>
        <v>0 ligne(s)</v>
      </c>
      <c r="N405" s="2119" t="s">
        <v>10</v>
      </c>
      <c r="O405" s="209" t="str">
        <f>O355</f>
        <v>B BEIGNETS D'ACACIA | pâtisserie--Beignets| Auteur &gt; Délice de Celeste</v>
      </c>
      <c r="P405" s="209">
        <f>P355</f>
        <v>6</v>
      </c>
      <c r="Q405" s="210" t="str">
        <f>Q355</f>
        <v>couverts</v>
      </c>
      <c r="R405" s="211" t="str">
        <f>R355</f>
        <v>Recette mère ► Beignets d'acacia</v>
      </c>
      <c r="S405" s="2129"/>
      <c r="T405" s="2130"/>
      <c r="U405" s="2131"/>
      <c r="V405" s="2132"/>
      <c r="W405" s="2133"/>
      <c r="X405" s="2133" t="s">
        <v>8864</v>
      </c>
      <c r="Y405" s="2258" t="s">
        <v>8866</v>
      </c>
      <c r="Z405" s="2136"/>
      <c r="AA405" s="2134"/>
      <c r="AB405" s="2134"/>
      <c r="AC405" s="2134"/>
      <c r="AD405" s="2134"/>
      <c r="AE405" s="2134"/>
      <c r="AF405" s="2134"/>
      <c r="AG405" s="2135"/>
      <c r="AJ405" s="2119" t="str">
        <f t="shared" si="63"/>
        <v>A</v>
      </c>
      <c r="AK405" s="1616"/>
      <c r="AM405" s="613" t="str">
        <f>SUM(AM403:AM404) &amp; " / " &amp; (COUNTA(AM403:AM404) * 3)</f>
        <v>3 / 3</v>
      </c>
      <c r="AN405" s="368" t="str">
        <f>SUM(AN403:AN404) &amp; " / " &amp; (COUNTA(AN403:AN404) * 3)</f>
        <v>0 / 0</v>
      </c>
      <c r="AO405" s="198"/>
      <c r="AP405" s="367" t="str">
        <f>SUM(AP403:AP404) &amp; " / " &amp; (COUNTA(AP403:AP404) * 3)</f>
        <v>0 / 0</v>
      </c>
      <c r="AQ405" s="368" t="str">
        <f>SUM(AQ403:AQ404) &amp; " / " &amp; (COUNTA(AQ403:AQ404) * 3)</f>
        <v>0 / 0</v>
      </c>
      <c r="AR405" s="198" t="s">
        <v>347</v>
      </c>
      <c r="AS405" s="588"/>
      <c r="AV405" s="3">
        <v>1</v>
      </c>
    </row>
    <row r="406" spans="2:48" ht="21" customHeight="1" thickBot="1">
      <c r="B406" s="2143"/>
      <c r="C406" s="2142">
        <v>6</v>
      </c>
      <c r="D406" s="2142">
        <v>40</v>
      </c>
      <c r="E406" s="2142">
        <v>10</v>
      </c>
      <c r="F406" s="2142">
        <v>9</v>
      </c>
      <c r="G406" s="2142">
        <v>18</v>
      </c>
      <c r="H406" s="2142">
        <v>13</v>
      </c>
      <c r="I406" s="2142">
        <v>13</v>
      </c>
      <c r="J406" s="2142">
        <v>13</v>
      </c>
      <c r="K406" s="2142">
        <v>17</v>
      </c>
      <c r="L406" s="2144"/>
      <c r="N406" s="2120" t="s">
        <v>10</v>
      </c>
      <c r="O406" s="2121"/>
      <c r="P406" s="2121"/>
      <c r="Q406" s="2121"/>
      <c r="R406" s="2122"/>
      <c r="S406" s="2123" t="s">
        <v>207</v>
      </c>
      <c r="T406" s="2172" t="str">
        <f ca="1">CELL("nomfichier")</f>
        <v>D:\Données\1.UPRT\0-UPRT.fait\1-UPRT.FR-SITE-WEB\ff-fiches-fabrications\ff.fiches.fabrication.2023\ffr.restaurant.2023\[ff.FICHE.TRILINGUE.20.COLONNES.05.01.2026.xlsx]Couleurs.pour.vos.documents</v>
      </c>
      <c r="U406" s="1382"/>
      <c r="V406" s="1382"/>
      <c r="W406" s="1382"/>
      <c r="X406" s="1382"/>
      <c r="Y406" s="1382"/>
      <c r="Z406" s="1382"/>
      <c r="AA406" s="1382"/>
      <c r="AB406" s="1382"/>
      <c r="AC406" s="1382"/>
      <c r="AD406" s="1382"/>
      <c r="AE406" s="1382"/>
      <c r="AF406" s="1382"/>
      <c r="AG406" s="1383"/>
      <c r="AJ406" s="2120" t="str">
        <f t="shared" si="63"/>
        <v>A</v>
      </c>
      <c r="AK406" s="1616"/>
      <c r="AM406" s="614" t="str">
        <f>SUM(AM403:AM404) &amp;"/ "&amp;AM407</f>
        <v>3/ 15</v>
      </c>
      <c r="AN406" s="372" t="str">
        <f>SUM(AN403:AN404) &amp;"/ "&amp;AN407</f>
        <v>0/ 15</v>
      </c>
      <c r="AO406" s="198"/>
      <c r="AP406" s="371" t="str">
        <f>SUM(AP403:AP404) &amp;"/ "&amp;AP407</f>
        <v>0/ 15</v>
      </c>
      <c r="AQ406" s="372" t="str">
        <f>SUM(AQ403:AQ404) &amp;"/ "&amp;AQ407</f>
        <v>0/ 15</v>
      </c>
      <c r="AR406" s="331" t="s">
        <v>350</v>
      </c>
      <c r="AS406" s="588"/>
      <c r="AV406" s="3">
        <v>1</v>
      </c>
    </row>
    <row r="407" spans="2:48" ht="21" customHeight="1" thickBot="1">
      <c r="B407" s="1216" t="s">
        <v>10</v>
      </c>
      <c r="C407" s="1218" t="s">
        <v>2394</v>
      </c>
      <c r="D407" s="1217"/>
      <c r="E407" s="1217"/>
      <c r="F407" s="1217"/>
      <c r="G407" s="1218"/>
      <c r="H407" s="1217"/>
      <c r="I407" s="1217"/>
      <c r="J407" s="1217"/>
      <c r="K407" s="1217"/>
      <c r="L407" s="1224" t="s">
        <v>1755</v>
      </c>
      <c r="N407" s="1216" t="s">
        <v>10</v>
      </c>
      <c r="O407" s="1217" t="s">
        <v>10</v>
      </c>
      <c r="P407" s="1217" t="s">
        <v>10</v>
      </c>
      <c r="Q407" s="1217" t="s">
        <v>10</v>
      </c>
      <c r="R407" s="1217" t="s">
        <v>10</v>
      </c>
      <c r="S407" s="1218" t="s">
        <v>2394</v>
      </c>
      <c r="T407" s="1219"/>
      <c r="U407" s="1220"/>
      <c r="V407" s="1221"/>
      <c r="W407" s="1222"/>
      <c r="X407" s="1223"/>
      <c r="Y407" s="1223"/>
      <c r="Z407" s="1221"/>
      <c r="AA407" s="1221"/>
      <c r="AB407" s="1219"/>
      <c r="AC407" s="1219"/>
      <c r="AD407" s="1219"/>
      <c r="AE407" s="1219"/>
      <c r="AF407" s="1219"/>
      <c r="AG407" s="1224" t="s">
        <v>1755</v>
      </c>
      <c r="AJ407" s="2181">
        <v>4</v>
      </c>
      <c r="AK407" s="2181">
        <v>49</v>
      </c>
      <c r="AM407" s="615">
        <v>15</v>
      </c>
      <c r="AN407" s="376">
        <v>15</v>
      </c>
      <c r="AO407" s="198"/>
      <c r="AP407" s="375">
        <v>15</v>
      </c>
      <c r="AQ407" s="376">
        <v>15</v>
      </c>
      <c r="AR407" s="333" t="s">
        <v>357</v>
      </c>
      <c r="AS407" s="588"/>
      <c r="AV407" s="3">
        <v>1</v>
      </c>
    </row>
    <row r="408" spans="2:48" ht="21" customHeight="1">
      <c r="W408" s="9"/>
      <c r="X408" s="9"/>
      <c r="Y408" s="9"/>
      <c r="Z408" s="9"/>
      <c r="AA408" s="9"/>
      <c r="AB408" s="9"/>
      <c r="AC408" s="9"/>
      <c r="AD408" s="9"/>
      <c r="AE408" s="9"/>
      <c r="AF408" s="9"/>
      <c r="AG408" s="9"/>
      <c r="AJ408" s="632">
        <f ca="1">CELL("largeur",AJ408)</f>
        <v>4</v>
      </c>
      <c r="AK408" s="632">
        <f ca="1">CELL("largeur",AK408)</f>
        <v>49</v>
      </c>
      <c r="AM408" s="616" t="s">
        <v>403</v>
      </c>
      <c r="AP408" s="377"/>
      <c r="AQ408" s="377"/>
      <c r="AR408" s="377"/>
      <c r="AS408" s="617"/>
      <c r="AV408" s="3">
        <v>1</v>
      </c>
    </row>
    <row r="409" spans="2:48" ht="21" customHeight="1">
      <c r="V409" s="1333">
        <f>ROW()</f>
        <v>409</v>
      </c>
      <c r="W409" s="228" t="s">
        <v>8147</v>
      </c>
      <c r="X409" s="1387" t="s">
        <v>214</v>
      </c>
      <c r="Y409" s="1387"/>
      <c r="AB409" s="227"/>
      <c r="AC409" s="1387" t="s">
        <v>8800</v>
      </c>
      <c r="AD409" s="227"/>
      <c r="AE409" s="227"/>
      <c r="AF409" s="227"/>
      <c r="AG409" s="227"/>
      <c r="AM409" s="618" t="s">
        <v>407</v>
      </c>
      <c r="AP409" s="377"/>
      <c r="AQ409" s="377"/>
      <c r="AR409" s="377"/>
      <c r="AS409" s="617"/>
      <c r="AV409" s="3">
        <v>1</v>
      </c>
    </row>
    <row r="410" spans="2:48" ht="21" customHeight="1">
      <c r="W410" s="14"/>
      <c r="X410" s="1372" t="s">
        <v>8145</v>
      </c>
      <c r="Y410" s="419" t="s">
        <v>821</v>
      </c>
      <c r="Z410" s="1824"/>
      <c r="AA410" s="1825"/>
      <c r="AB410" s="1825"/>
      <c r="AC410" s="1826"/>
      <c r="AD410" s="544"/>
      <c r="AE410" s="544"/>
      <c r="AF410" s="6005" t="s">
        <v>164</v>
      </c>
      <c r="AG410" s="1373" t="s">
        <v>165</v>
      </c>
      <c r="AM410" s="618" t="s">
        <v>411</v>
      </c>
      <c r="AP410" s="377"/>
      <c r="AQ410" s="377"/>
      <c r="AR410" s="377"/>
      <c r="AS410" s="617"/>
      <c r="AV410" s="3">
        <v>1</v>
      </c>
    </row>
    <row r="411" spans="2:48" ht="21" customHeight="1" thickBot="1">
      <c r="W411" s="14"/>
      <c r="X411" s="1392">
        <v>0</v>
      </c>
      <c r="Y411" s="1375" t="s">
        <v>8148</v>
      </c>
      <c r="Z411" s="1329"/>
      <c r="AA411" s="1329"/>
      <c r="AB411" s="1329"/>
      <c r="AC411" s="9"/>
      <c r="AD411" s="9"/>
      <c r="AE411" s="9"/>
      <c r="AF411" s="5993" t="s">
        <v>167</v>
      </c>
      <c r="AG411" s="1330" t="s">
        <v>165</v>
      </c>
      <c r="AM411" s="590" t="s">
        <v>258</v>
      </c>
      <c r="AN411" s="261"/>
      <c r="AO411" s="262"/>
      <c r="AP411" s="263"/>
      <c r="AQ411" s="262"/>
      <c r="AR411" s="262"/>
      <c r="AS411" s="591"/>
      <c r="AV411" s="3">
        <v>1</v>
      </c>
    </row>
    <row r="412" spans="2:48" ht="21" customHeight="1">
      <c r="W412" s="14"/>
      <c r="X412" s="1619">
        <f>IF(ISBLANK(Y412),"",LARGE(X411:X411,1)+1)</f>
        <v>1</v>
      </c>
      <c r="Y412" s="1886" t="s">
        <v>8149</v>
      </c>
      <c r="Z412" s="1886"/>
      <c r="AA412" s="1886"/>
      <c r="AB412" s="1886"/>
      <c r="AC412" s="1886"/>
      <c r="AD412" s="1886"/>
      <c r="AE412" s="1886"/>
      <c r="AF412" s="5994" t="s">
        <v>171</v>
      </c>
      <c r="AG412" s="5564">
        <v>3.472222222222222E-3</v>
      </c>
      <c r="AM412" s="1719"/>
      <c r="AN412" s="1720"/>
      <c r="AO412" s="1720"/>
      <c r="AP412" s="1720"/>
      <c r="AQ412" s="1720"/>
      <c r="AR412" s="1720"/>
      <c r="AS412" s="1721"/>
      <c r="AV412" s="3">
        <v>1</v>
      </c>
    </row>
    <row r="413" spans="2:48" ht="21" customHeight="1">
      <c r="W413" s="14"/>
      <c r="X413" s="1619">
        <f>IF(ISBLANK(Y413),"",LARGE(X411:X412,1)+1)</f>
        <v>2</v>
      </c>
      <c r="Y413" s="1886" t="s">
        <v>8150</v>
      </c>
      <c r="Z413" s="1886"/>
      <c r="AA413" s="1886"/>
      <c r="AB413" s="1886"/>
      <c r="AC413" s="1886"/>
      <c r="AD413" s="1886"/>
      <c r="AE413" s="1886"/>
      <c r="AF413" s="5994" t="s">
        <v>173</v>
      </c>
      <c r="AG413" s="5565">
        <v>1.0416666666666666E-2</v>
      </c>
      <c r="AM413" s="619" t="s">
        <v>792</v>
      </c>
      <c r="AN413" s="9"/>
      <c r="AO413" s="9"/>
      <c r="AP413" s="9"/>
      <c r="AQ413" s="9"/>
      <c r="AR413" s="9"/>
      <c r="AS413" s="38"/>
      <c r="AV413" s="3">
        <v>1</v>
      </c>
    </row>
    <row r="414" spans="2:48" ht="21" customHeight="1">
      <c r="W414" s="14"/>
      <c r="X414" s="1619">
        <f>IF(ISBLANK(Y414),"",LARGE(X411:X413,1)+1)</f>
        <v>3</v>
      </c>
      <c r="Y414" s="1886" t="s">
        <v>8151</v>
      </c>
      <c r="Z414" s="1886"/>
      <c r="AA414" s="1886"/>
      <c r="AB414" s="1886"/>
      <c r="AC414" s="1886"/>
      <c r="AD414" s="1886"/>
      <c r="AE414" s="1886"/>
      <c r="AF414" s="5994" t="s">
        <v>181</v>
      </c>
      <c r="AG414" s="178">
        <v>2.0833333333333332E-2</v>
      </c>
      <c r="AM414" s="459"/>
      <c r="AN414" s="9"/>
      <c r="AO414" s="9"/>
      <c r="AP414" s="9"/>
      <c r="AQ414" s="9"/>
      <c r="AR414" s="9"/>
      <c r="AS414" s="38"/>
      <c r="AV414" s="3">
        <v>1</v>
      </c>
    </row>
    <row r="415" spans="2:48" ht="21" customHeight="1">
      <c r="W415" s="14"/>
      <c r="X415" s="1619">
        <f>IF(ISBLANK(Y415),"",LARGE(X411:X414,1)+1)</f>
        <v>4</v>
      </c>
      <c r="Y415" s="1886" t="s">
        <v>8152</v>
      </c>
      <c r="Z415" s="1886"/>
      <c r="AA415" s="1886"/>
      <c r="AB415" s="1886"/>
      <c r="AC415" s="1886"/>
      <c r="AD415" s="1886"/>
      <c r="AE415" s="1886"/>
      <c r="AF415" s="179" t="s">
        <v>182</v>
      </c>
      <c r="AG415" s="180">
        <f>AG412+AG413+AG414</f>
        <v>3.4722222222222224E-2</v>
      </c>
      <c r="AM415" s="1722" t="str">
        <f>"▼ colonne "&amp;SUBSTITUTE(ADDRESS(1,COLUMN(),4),"1","")</f>
        <v>▼ colonne AM</v>
      </c>
      <c r="AN415" s="9"/>
      <c r="AO415" s="9"/>
      <c r="AP415" s="9"/>
      <c r="AQ415" s="9"/>
      <c r="AR415" s="9"/>
      <c r="AS415" s="38"/>
      <c r="AV415" s="3">
        <v>1</v>
      </c>
    </row>
    <row r="416" spans="2:48" ht="21" customHeight="1">
      <c r="W416" s="14"/>
      <c r="X416" s="1619" t="str">
        <f>IF(ISBLANK(Y416),"",LARGE(X411:X415,1)+1)</f>
        <v/>
      </c>
      <c r="Y416" s="1886"/>
      <c r="Z416" s="1886" t="s">
        <v>8153</v>
      </c>
      <c r="AA416" s="1886"/>
      <c r="AB416" s="1886"/>
      <c r="AC416" s="1886"/>
      <c r="AD416" s="1886"/>
      <c r="AE416" s="1886"/>
      <c r="AF416" s="1886"/>
      <c r="AG416" s="1887"/>
      <c r="AM416" s="1723" t="s">
        <v>838</v>
      </c>
      <c r="AN416" s="1724"/>
      <c r="AO416" s="1724"/>
      <c r="AP416" s="1724"/>
      <c r="AQ416" s="1724"/>
      <c r="AR416" s="1724"/>
      <c r="AS416" s="1725"/>
      <c r="AV416" s="3">
        <v>1</v>
      </c>
    </row>
    <row r="417" spans="23:48" ht="21" customHeight="1">
      <c r="W417" s="14"/>
      <c r="X417" s="1619">
        <f>IF(ISBLANK(Y417),"",LARGE(X411:X416,1)+1)</f>
        <v>5</v>
      </c>
      <c r="Y417" s="1886" t="s">
        <v>8154</v>
      </c>
      <c r="Z417" s="1886"/>
      <c r="AA417" s="1886"/>
      <c r="AB417" s="1886"/>
      <c r="AC417" s="1886"/>
      <c r="AD417" s="1886"/>
      <c r="AE417" s="1886"/>
      <c r="AF417" s="1886"/>
      <c r="AG417" s="1887"/>
      <c r="AM417" s="2219" t="str">
        <f>"cliquez sur la colonne "&amp;SUBSTITUTE(ADDRESS(1,COLUMN(),4),"1","")</f>
        <v>cliquez sur la colonne AM</v>
      </c>
      <c r="AN417" s="1727"/>
      <c r="AO417" s="1727"/>
      <c r="AP417" s="1727"/>
      <c r="AQ417" s="1727"/>
      <c r="AR417" s="1724"/>
      <c r="AS417" s="1725"/>
      <c r="AV417" s="3">
        <v>1</v>
      </c>
    </row>
    <row r="418" spans="23:48" ht="21" customHeight="1">
      <c r="W418" s="14"/>
      <c r="X418" s="1619">
        <f>IF(ISBLANK(Y418),"",LARGE(X411:X417,1)+1)</f>
        <v>6</v>
      </c>
      <c r="Y418" s="1886" t="s">
        <v>8155</v>
      </c>
      <c r="Z418" s="1886"/>
      <c r="AA418" s="1886"/>
      <c r="AB418" s="1886"/>
      <c r="AC418" s="1886"/>
      <c r="AD418" s="1886"/>
      <c r="AE418" s="1886"/>
      <c r="AF418" s="1886"/>
      <c r="AG418" s="1887"/>
      <c r="AM418" s="2218" t="s">
        <v>8393</v>
      </c>
      <c r="AN418" s="1727"/>
      <c r="AO418" s="1727"/>
      <c r="AP418" s="1727"/>
      <c r="AQ418" s="1727"/>
      <c r="AR418" s="1724"/>
      <c r="AS418" s="1725"/>
      <c r="AV418" s="3">
        <v>1</v>
      </c>
    </row>
    <row r="419" spans="23:48" ht="21" customHeight="1">
      <c r="W419" s="14"/>
      <c r="X419" s="1619" t="str">
        <f>IF(ISBLANK(Y419),"",LARGE(X411:X418,1)+1)</f>
        <v/>
      </c>
      <c r="Y419" s="1886"/>
      <c r="Z419" s="1886" t="s">
        <v>8156</v>
      </c>
      <c r="AA419" s="1886"/>
      <c r="AB419" s="1886"/>
      <c r="AC419" s="1886"/>
      <c r="AD419" s="1886"/>
      <c r="AE419" s="1886"/>
      <c r="AF419" s="1886"/>
      <c r="AG419" s="1887"/>
      <c r="AM419" s="1726"/>
      <c r="AN419" s="1727"/>
      <c r="AO419" s="1727"/>
      <c r="AP419" s="1727"/>
      <c r="AQ419" s="1727"/>
      <c r="AR419" s="1724"/>
      <c r="AS419" s="1725"/>
      <c r="AV419" s="3">
        <v>1</v>
      </c>
    </row>
    <row r="420" spans="23:48" ht="21" customHeight="1">
      <c r="W420" s="14"/>
      <c r="X420" s="1619">
        <f>IF(ISBLANK(Y420),"",LARGE(X411:X419,1)+1)</f>
        <v>7</v>
      </c>
      <c r="Y420" s="1886" t="s">
        <v>8157</v>
      </c>
      <c r="Z420" s="1886"/>
      <c r="AA420" s="1886"/>
      <c r="AB420" s="1886"/>
      <c r="AC420" s="1886"/>
      <c r="AD420" s="1886"/>
      <c r="AE420" s="1886"/>
      <c r="AF420" s="1886"/>
      <c r="AG420" s="1887"/>
      <c r="AM420" s="1728" t="s">
        <v>839</v>
      </c>
      <c r="AN420" s="1729"/>
      <c r="AO420" s="1729"/>
      <c r="AP420" s="1729"/>
      <c r="AQ420" s="1729"/>
      <c r="AR420" s="1724"/>
      <c r="AS420" s="1725"/>
      <c r="AV420" s="3">
        <v>1</v>
      </c>
    </row>
    <row r="421" spans="23:48" ht="21" customHeight="1">
      <c r="W421" s="14"/>
      <c r="X421" s="1619">
        <f>IF(ISBLANK(Y421),"",LARGE(X411:X420,1)+1)</f>
        <v>8</v>
      </c>
      <c r="Y421" s="1886" t="s">
        <v>8158</v>
      </c>
      <c r="Z421" s="1886"/>
      <c r="AA421" s="1886"/>
      <c r="AB421" s="1886"/>
      <c r="AC421" s="1886"/>
      <c r="AD421" s="1886"/>
      <c r="AE421" s="1886"/>
      <c r="AF421" s="1886"/>
      <c r="AG421" s="1887"/>
      <c r="AM421" s="1730" t="s">
        <v>2532</v>
      </c>
      <c r="AN421" s="1731"/>
      <c r="AO421" s="1731"/>
      <c r="AP421" s="1731"/>
      <c r="AQ421" s="1731"/>
      <c r="AR421" s="1724"/>
      <c r="AS421" s="1725"/>
      <c r="AV421" s="3">
        <v>1</v>
      </c>
    </row>
    <row r="422" spans="23:48" ht="21" customHeight="1">
      <c r="W422" s="14"/>
      <c r="X422" s="1619" t="str">
        <f>IF(ISBLANK(Y422),"",LARGE(X411:X421,1)+1)</f>
        <v/>
      </c>
      <c r="Y422" s="1886"/>
      <c r="Z422" s="1886"/>
      <c r="AA422" s="1886"/>
      <c r="AB422" s="1886"/>
      <c r="AC422" s="1886"/>
      <c r="AD422" s="1886"/>
      <c r="AE422" s="1886"/>
      <c r="AF422" s="1886"/>
      <c r="AG422" s="1887"/>
      <c r="AM422" s="1730" t="s">
        <v>2534</v>
      </c>
      <c r="AN422" s="1731"/>
      <c r="AO422" s="1731"/>
      <c r="AP422" s="1731"/>
      <c r="AQ422" s="1731"/>
      <c r="AR422" s="1724"/>
      <c r="AS422" s="1725"/>
      <c r="AV422" s="3">
        <v>1</v>
      </c>
    </row>
    <row r="423" spans="23:48" ht="21" customHeight="1">
      <c r="W423" s="14"/>
      <c r="X423" s="1619" t="str">
        <f>IF(ISBLANK(Y423),"",LARGE(X411:X422,1)+1)</f>
        <v/>
      </c>
      <c r="Y423" s="1886"/>
      <c r="Z423" s="1886"/>
      <c r="AA423" s="1886"/>
      <c r="AB423" s="1886"/>
      <c r="AC423" s="1886"/>
      <c r="AD423" s="1886"/>
      <c r="AE423" s="1886"/>
      <c r="AF423" s="1886"/>
      <c r="AG423" s="1887"/>
      <c r="AM423" s="1728" t="s">
        <v>2536</v>
      </c>
      <c r="AN423" s="1729"/>
      <c r="AO423" s="1729"/>
      <c r="AP423" s="1729"/>
      <c r="AQ423" s="1729"/>
      <c r="AR423" s="1724"/>
      <c r="AS423" s="1725"/>
      <c r="AV423" s="3">
        <v>1</v>
      </c>
    </row>
    <row r="424" spans="23:48" ht="21" customHeight="1">
      <c r="W424" s="14"/>
      <c r="X424" s="1619" t="str">
        <f>IF(ISBLANK(Y424),"",LARGE(X411:X423,1)+1)</f>
        <v/>
      </c>
      <c r="Y424" s="1886"/>
      <c r="Z424" s="1886"/>
      <c r="AA424" s="1886"/>
      <c r="AB424" s="1886"/>
      <c r="AC424" s="1886"/>
      <c r="AD424" s="1886"/>
      <c r="AE424" s="1886"/>
      <c r="AF424" s="1886"/>
      <c r="AG424" s="1887"/>
      <c r="AM424" s="1728" t="s">
        <v>2537</v>
      </c>
      <c r="AN424" s="1729"/>
      <c r="AO424" s="1729"/>
      <c r="AP424" s="1729"/>
      <c r="AQ424" s="1729"/>
      <c r="AR424" s="1724"/>
      <c r="AS424" s="1725"/>
      <c r="AV424" s="3">
        <v>1</v>
      </c>
    </row>
    <row r="425" spans="23:48" ht="21" customHeight="1">
      <c r="W425" s="14"/>
      <c r="X425" s="1619" t="str">
        <f>IF(ISBLANK(Y425),"",LARGE(X411:X424,1)+1)</f>
        <v/>
      </c>
      <c r="Y425" s="1886"/>
      <c r="Z425" s="1886"/>
      <c r="AA425" s="1886"/>
      <c r="AB425" s="1886"/>
      <c r="AC425" s="1886"/>
      <c r="AD425" s="1886"/>
      <c r="AE425" s="1886"/>
      <c r="AF425" s="1886"/>
      <c r="AG425" s="1887"/>
      <c r="AM425" s="1732"/>
      <c r="AN425" s="1733" t="s">
        <v>15</v>
      </c>
      <c r="AO425" s="1733" t="s">
        <v>1755</v>
      </c>
      <c r="AP425" s="1733" t="s">
        <v>1756</v>
      </c>
      <c r="AQ425" s="1733" t="s">
        <v>829</v>
      </c>
      <c r="AR425" s="1724"/>
      <c r="AS425" s="1725"/>
      <c r="AV425" s="3">
        <v>1</v>
      </c>
    </row>
    <row r="426" spans="23:48" ht="21" customHeight="1">
      <c r="W426" s="14"/>
      <c r="X426" s="1619" t="str">
        <f>IF(ISBLANK(Y426),"",LARGE(X411:X425,1)+1)</f>
        <v/>
      </c>
      <c r="Y426" s="1886"/>
      <c r="Z426" s="1886"/>
      <c r="AA426" s="1886"/>
      <c r="AB426" s="1886"/>
      <c r="AC426" s="1886"/>
      <c r="AD426" s="1886"/>
      <c r="AE426" s="1886"/>
      <c r="AF426" s="1886"/>
      <c r="AG426" s="1887"/>
      <c r="AM426" s="620">
        <v>19</v>
      </c>
      <c r="AN426" s="621">
        <v>18</v>
      </c>
      <c r="AO426" s="621">
        <v>25</v>
      </c>
      <c r="AP426" s="621">
        <v>16</v>
      </c>
      <c r="AQ426" s="621">
        <v>16</v>
      </c>
      <c r="AR426" s="621">
        <v>31</v>
      </c>
      <c r="AS426" s="622">
        <v>36</v>
      </c>
      <c r="AV426" s="3">
        <v>1</v>
      </c>
    </row>
    <row r="427" spans="23:48" ht="21" customHeight="1" thickBot="1">
      <c r="W427" s="14"/>
      <c r="X427" s="1619" t="str">
        <f>IF(ISBLANK(Y427),"",LARGE(X411:X426,1)+1)</f>
        <v/>
      </c>
      <c r="Y427" s="1886"/>
      <c r="Z427" s="1886"/>
      <c r="AA427" s="1886"/>
      <c r="AB427" s="1886"/>
      <c r="AC427" s="1886"/>
      <c r="AD427" s="1886"/>
      <c r="AE427" s="1886"/>
      <c r="AF427" s="1886"/>
      <c r="AG427" s="1887"/>
      <c r="AM427" s="623">
        <f t="shared" ref="AM427:AS427" ca="1" si="65">CELL("largeur",AM427)</f>
        <v>19</v>
      </c>
      <c r="AN427" s="624">
        <f t="shared" ca="1" si="65"/>
        <v>18</v>
      </c>
      <c r="AO427" s="624">
        <f t="shared" ca="1" si="65"/>
        <v>25</v>
      </c>
      <c r="AP427" s="624">
        <f t="shared" ca="1" si="65"/>
        <v>18</v>
      </c>
      <c r="AQ427" s="624">
        <f t="shared" ca="1" si="65"/>
        <v>16</v>
      </c>
      <c r="AR427" s="624">
        <f t="shared" ca="1" si="65"/>
        <v>31</v>
      </c>
      <c r="AS427" s="625">
        <f t="shared" ca="1" si="65"/>
        <v>36</v>
      </c>
      <c r="AV427" s="3">
        <v>1</v>
      </c>
    </row>
    <row r="428" spans="23:48" ht="21" customHeight="1">
      <c r="W428" s="14"/>
      <c r="X428" s="1619" t="str">
        <f>IF(ISBLANK(Y428),"",LARGE(X411:X427,1)+1)</f>
        <v/>
      </c>
      <c r="Y428" s="1886"/>
      <c r="Z428" s="1886"/>
      <c r="AA428" s="1886"/>
      <c r="AB428" s="1886"/>
      <c r="AC428" s="1886"/>
      <c r="AD428" s="1886"/>
      <c r="AE428" s="1886"/>
      <c r="AF428" s="1886"/>
      <c r="AG428" s="1887"/>
      <c r="AV428" s="3">
        <v>1</v>
      </c>
    </row>
    <row r="429" spans="23:48" ht="21" customHeight="1">
      <c r="W429" s="14"/>
      <c r="X429" s="1619" t="str">
        <f>IF(ISBLANK(Y429),"",LARGE(X411:X428,1)+1)</f>
        <v/>
      </c>
      <c r="Y429" s="1886"/>
      <c r="Z429" s="1886"/>
      <c r="AA429" s="1886"/>
      <c r="AB429" s="1886"/>
      <c r="AC429" s="1886"/>
      <c r="AD429" s="1886"/>
      <c r="AE429" s="1886"/>
      <c r="AF429" s="1886"/>
      <c r="AG429" s="1887"/>
      <c r="AV429" s="3">
        <v>1</v>
      </c>
    </row>
    <row r="430" spans="23:48" ht="21" customHeight="1">
      <c r="W430" s="14"/>
      <c r="X430" s="1963" t="s">
        <v>8629</v>
      </c>
      <c r="Y430" s="1844"/>
      <c r="Z430" s="1844"/>
      <c r="AA430" s="1844"/>
      <c r="AB430" s="1844"/>
      <c r="AC430" s="1844"/>
      <c r="AD430" s="1844"/>
      <c r="AE430" s="1844"/>
      <c r="AF430" s="1844"/>
      <c r="AG430" s="1964" t="s">
        <v>8629</v>
      </c>
      <c r="AV430" s="3">
        <v>1</v>
      </c>
    </row>
    <row r="431" spans="23:48" ht="21" customHeight="1">
      <c r="W431" s="14"/>
      <c r="X431" s="1388" t="s">
        <v>8145</v>
      </c>
      <c r="Y431" s="1428" t="s">
        <v>821</v>
      </c>
      <c r="Z431" s="1824"/>
      <c r="AA431" s="1825"/>
      <c r="AB431" s="1825"/>
      <c r="AC431" s="1789"/>
      <c r="AD431" s="1389"/>
      <c r="AE431" s="1389"/>
      <c r="AF431" s="1390" t="s">
        <v>164</v>
      </c>
      <c r="AG431" s="1391" t="s">
        <v>165</v>
      </c>
      <c r="AV431" s="3">
        <v>1</v>
      </c>
    </row>
    <row r="432" spans="23:48" ht="21" customHeight="1">
      <c r="W432" s="14"/>
      <c r="X432" s="1392">
        <v>0</v>
      </c>
      <c r="Y432" s="1393" t="s">
        <v>8148</v>
      </c>
      <c r="Z432" s="1329"/>
      <c r="AA432" s="1329"/>
      <c r="AB432" s="1329"/>
      <c r="AC432" s="1790"/>
      <c r="AD432" s="168"/>
      <c r="AE432" s="168"/>
      <c r="AF432" s="169" t="s">
        <v>167</v>
      </c>
      <c r="AG432" s="170" t="s">
        <v>165</v>
      </c>
      <c r="AV432" s="3">
        <v>1</v>
      </c>
    </row>
    <row r="433" spans="23:48" ht="21" customHeight="1">
      <c r="W433" s="14"/>
      <c r="X433" s="1394">
        <f>IF(ISBLANK(Y433),"",LARGE(X432:X432,1)+1)</f>
        <v>1</v>
      </c>
      <c r="Y433" s="1869" t="s">
        <v>8149</v>
      </c>
      <c r="Z433" s="1810"/>
      <c r="AA433" s="1810"/>
      <c r="AB433" s="1810"/>
      <c r="AC433" s="1791"/>
      <c r="AD433" s="9"/>
      <c r="AE433" s="9"/>
      <c r="AF433" s="174" t="s">
        <v>171</v>
      </c>
      <c r="AG433" s="175">
        <v>3.472222222222222E-3</v>
      </c>
      <c r="AV433" s="3">
        <v>1</v>
      </c>
    </row>
    <row r="434" spans="23:48" ht="21" customHeight="1">
      <c r="W434" s="14"/>
      <c r="X434" s="1394">
        <f>IF(ISBLANK(Y434),"",LARGE(X432:X433,1)+1)</f>
        <v>2</v>
      </c>
      <c r="Y434" s="1869" t="s">
        <v>8150</v>
      </c>
      <c r="Z434" s="1810"/>
      <c r="AA434" s="1810"/>
      <c r="AB434" s="1810"/>
      <c r="AC434" s="1791"/>
      <c r="AD434" s="9"/>
      <c r="AE434" s="9"/>
      <c r="AF434" s="174" t="s">
        <v>173</v>
      </c>
      <c r="AG434" s="177">
        <v>1.0416666666666666E-2</v>
      </c>
      <c r="AV434" s="3">
        <v>1</v>
      </c>
    </row>
    <row r="435" spans="23:48" ht="21" customHeight="1">
      <c r="W435" s="14"/>
      <c r="X435" s="1394" t="str">
        <f>IF(ISBLANK(Y435),"",LARGE(X432:X434,1)+1)</f>
        <v/>
      </c>
      <c r="Y435" s="1869"/>
      <c r="Z435" s="1810"/>
      <c r="AA435" s="1810"/>
      <c r="AB435" s="1810"/>
      <c r="AC435" s="1791"/>
      <c r="AD435" s="9"/>
      <c r="AE435" s="9"/>
      <c r="AF435" s="174" t="s">
        <v>181</v>
      </c>
      <c r="AG435" s="178">
        <v>2.0833333333333332E-2</v>
      </c>
      <c r="AV435" s="3">
        <v>1</v>
      </c>
    </row>
    <row r="436" spans="23:48" ht="21" customHeight="1">
      <c r="W436" s="14"/>
      <c r="X436" s="1394" t="str">
        <f>IF(ISBLANK(Y436),"",LARGE(X432:X435,1)+1)</f>
        <v/>
      </c>
      <c r="Y436" s="1869"/>
      <c r="Z436" s="1810"/>
      <c r="AA436" s="1810"/>
      <c r="AB436" s="1810"/>
      <c r="AC436" s="1791"/>
      <c r="AD436" s="9"/>
      <c r="AE436" s="9"/>
      <c r="AF436" s="179" t="s">
        <v>182</v>
      </c>
      <c r="AG436" s="180">
        <f>AG433+AG434+AG435</f>
        <v>3.4722222222222224E-2</v>
      </c>
      <c r="AV436" s="3">
        <v>1</v>
      </c>
    </row>
    <row r="437" spans="23:48" ht="21" customHeight="1">
      <c r="W437" s="14"/>
      <c r="X437" s="1394" t="str">
        <f>IF(ISBLANK(Y437),"",LARGE(X432:X436,1)+1)</f>
        <v/>
      </c>
      <c r="Y437" s="1869"/>
      <c r="Z437" s="1810"/>
      <c r="AA437" s="1810"/>
      <c r="AB437" s="1810"/>
      <c r="AC437" s="1792" t="s">
        <v>1651</v>
      </c>
      <c r="AD437" s="1395"/>
      <c r="AE437" s="1395"/>
      <c r="AF437" s="1395"/>
      <c r="AG437" s="1396"/>
      <c r="AV437" s="3">
        <v>1</v>
      </c>
    </row>
    <row r="438" spans="23:48" ht="21" customHeight="1">
      <c r="W438" s="14"/>
      <c r="X438" s="1394" t="str">
        <f>IF(ISBLANK(Y438),"",LARGE(X432:X437,1)+1)</f>
        <v/>
      </c>
      <c r="Y438" s="1869"/>
      <c r="Z438" s="1810"/>
      <c r="AA438" s="1810"/>
      <c r="AB438" s="1810"/>
      <c r="AC438" s="1793" t="s">
        <v>190</v>
      </c>
      <c r="AD438" s="186"/>
      <c r="AE438" s="186"/>
      <c r="AF438" s="819" t="s">
        <v>191</v>
      </c>
      <c r="AG438" s="195">
        <f>AC441*AC439</f>
        <v>225</v>
      </c>
      <c r="AJ438"/>
      <c r="AK438"/>
      <c r="AV438" s="3">
        <v>1</v>
      </c>
    </row>
    <row r="439" spans="23:48" ht="21" customHeight="1">
      <c r="W439" s="14"/>
      <c r="X439" s="1394" t="str">
        <f>IF(ISBLANK(Y439),"",LARGE(X432:X438,1)+1)</f>
        <v/>
      </c>
      <c r="Y439" s="1869"/>
      <c r="Z439" s="1810"/>
      <c r="AA439" s="1810"/>
      <c r="AB439" s="1810"/>
      <c r="AC439" s="1794">
        <v>150</v>
      </c>
      <c r="AD439" s="188" t="s">
        <v>192</v>
      </c>
      <c r="AE439" s="188"/>
      <c r="AF439" s="1385" t="s">
        <v>884</v>
      </c>
      <c r="AG439" s="1386"/>
      <c r="AJ439"/>
      <c r="AK439"/>
      <c r="AV439" s="3">
        <v>1</v>
      </c>
    </row>
    <row r="440" spans="23:48" ht="21" customHeight="1">
      <c r="W440" s="14"/>
      <c r="X440" s="1394" t="str">
        <f>IF(ISBLANK(Y440),"",LARGE(X432:X439,1)+1)</f>
        <v/>
      </c>
      <c r="Y440" s="1869"/>
      <c r="Z440" s="1810"/>
      <c r="AA440" s="1810"/>
      <c r="AB440" s="1810"/>
      <c r="AC440" s="1795" t="s">
        <v>422</v>
      </c>
      <c r="AD440" s="821" t="s">
        <v>1652</v>
      </c>
      <c r="AE440" s="821"/>
      <c r="AF440" s="821"/>
      <c r="AG440" s="191"/>
      <c r="AJ440"/>
      <c r="AK440"/>
      <c r="AV440" s="3">
        <v>1</v>
      </c>
    </row>
    <row r="441" spans="23:48" ht="21" customHeight="1">
      <c r="W441" s="14"/>
      <c r="X441" s="1394" t="str">
        <f>IF(ISBLANK(Y441),"",LARGE(X432:X440,1)+1)</f>
        <v/>
      </c>
      <c r="Y441" s="1869"/>
      <c r="Z441" s="1810"/>
      <c r="AA441" s="1810"/>
      <c r="AB441" s="1810"/>
      <c r="AC441" s="1796">
        <v>1.5</v>
      </c>
      <c r="AD441" s="193" t="str">
        <f>"&lt; Nb de "&amp;AF439&amp;" par personne "</f>
        <v xml:space="preserve">&lt; Nb de tranches par personne </v>
      </c>
      <c r="AE441" s="193"/>
      <c r="AF441" s="194"/>
      <c r="AG441" s="592"/>
      <c r="AJ441"/>
      <c r="AK441"/>
      <c r="AV441" s="3">
        <v>1</v>
      </c>
    </row>
    <row r="442" spans="23:48" ht="21" customHeight="1">
      <c r="W442" s="14"/>
      <c r="X442" s="1394" t="str">
        <f>IF(ISBLANK(Y442),"",LARGE(X432:X441,1)+1)</f>
        <v/>
      </c>
      <c r="Y442" s="1869"/>
      <c r="Z442" s="1810"/>
      <c r="AA442" s="1810"/>
      <c r="AB442" s="1810"/>
      <c r="AC442" s="1797">
        <v>27</v>
      </c>
      <c r="AD442" s="193" t="str">
        <f>"&lt; Nb "&amp;AF439&amp;" dans 1 " &amp;AC440</f>
        <v>&lt; Nb tranches dans 1 Gastro 1/1</v>
      </c>
      <c r="AE442" s="193"/>
      <c r="AF442" s="197"/>
      <c r="AG442" s="195"/>
      <c r="AJ442"/>
      <c r="AK442"/>
      <c r="AV442" s="3">
        <v>1</v>
      </c>
    </row>
    <row r="443" spans="23:48" ht="21" customHeight="1">
      <c r="W443" s="14"/>
      <c r="X443" s="1394" t="str">
        <f>IF(ISBLANK(Y443),"",LARGE(X432:X442,1)+1)</f>
        <v/>
      </c>
      <c r="Y443" s="1869"/>
      <c r="Z443" s="1810"/>
      <c r="AA443" s="1810"/>
      <c r="AB443" s="1810"/>
      <c r="AC443" s="6776" t="str">
        <f>IF(OR(AC442="",AG438=0),"",INT(AG438/AC442) &amp; " " &amp; AC440 &amp; " de " &amp; AC442 &amp; " " &amp; AF439 &amp; IF(MOD(AG438,AC442)&gt;0," + 1 " &amp; AC440 &amp; " de " &amp; TEXT(MOD(AG438,AC442),"0.00") &amp; " " &amp; AF439,""))</f>
        <v>8 Gastro 1/1 de 27 tranches + 1 Gastro 1/1 de 9.00 tranches</v>
      </c>
      <c r="AD443" s="6557"/>
      <c r="AE443" s="6557"/>
      <c r="AF443" s="6557"/>
      <c r="AG443" s="6558"/>
      <c r="AJ443"/>
      <c r="AK443"/>
      <c r="AV443" s="3">
        <v>1</v>
      </c>
    </row>
    <row r="444" spans="23:48" ht="21" customHeight="1">
      <c r="W444" s="14"/>
      <c r="X444" s="1394" t="str">
        <f>IF(ISBLANK(Y444),"",LARGE(X432:X443,1)+1)</f>
        <v/>
      </c>
      <c r="Y444" s="1869"/>
      <c r="Z444" s="1810"/>
      <c r="AA444" s="1810"/>
      <c r="AB444" s="1810"/>
      <c r="AC444" s="6777"/>
      <c r="AD444" s="6560"/>
      <c r="AE444" s="6560"/>
      <c r="AF444" s="6560"/>
      <c r="AG444" s="6561"/>
      <c r="AJ444"/>
      <c r="AK444"/>
      <c r="AV444" s="3">
        <v>1</v>
      </c>
    </row>
    <row r="445" spans="23:48" ht="21" customHeight="1">
      <c r="W445" s="14"/>
      <c r="X445" s="1394" t="str">
        <f>IF(ISBLANK(Y445),"",LARGE(X432:X444,1)+1)</f>
        <v/>
      </c>
      <c r="Y445" s="1869"/>
      <c r="Z445" s="1810"/>
      <c r="AA445" s="1810"/>
      <c r="AB445" s="1810"/>
      <c r="AC445" s="1798">
        <v>120</v>
      </c>
      <c r="AD445" s="200" t="s">
        <v>198</v>
      </c>
      <c r="AE445" s="200"/>
      <c r="AF445" s="186"/>
      <c r="AG445" s="201">
        <f>(AC445*AC439)/1000</f>
        <v>18</v>
      </c>
      <c r="AJ445"/>
      <c r="AK445"/>
      <c r="AV445" s="3">
        <v>1</v>
      </c>
    </row>
    <row r="446" spans="23:48" ht="21" customHeight="1">
      <c r="W446" s="14"/>
      <c r="X446" s="1394" t="str">
        <f>IF(ISBLANK(Y446),"",LARGE(X432:X445,1)+1)</f>
        <v/>
      </c>
      <c r="Y446" s="1869"/>
      <c r="Z446" s="1810"/>
      <c r="AA446" s="1810"/>
      <c r="AB446" s="1810"/>
      <c r="AC446" s="1799">
        <v>2.7</v>
      </c>
      <c r="AD446" s="203" t="str">
        <f>"poids par "&amp; AC440</f>
        <v>poids par Gastro 1/1</v>
      </c>
      <c r="AE446" s="203"/>
      <c r="AF446" s="186"/>
      <c r="AG446" s="191"/>
      <c r="AJ446"/>
      <c r="AK446"/>
      <c r="AV446" s="3">
        <v>1</v>
      </c>
    </row>
    <row r="447" spans="23:48" ht="21" customHeight="1">
      <c r="W447" s="14"/>
      <c r="X447" s="1394" t="str">
        <f>IF(ISBLANK(Y447),"",LARGE(X432:X446,1)+1)</f>
        <v/>
      </c>
      <c r="Y447" s="1869"/>
      <c r="Z447" s="1810"/>
      <c r="AA447" s="1810"/>
      <c r="AB447" s="1810"/>
      <c r="AC447" s="6780" t="str">
        <f>IF(OR(AG445&lt;=0,AC446&lt;=0),"",_xlfn.LET(_xlpm.n,ROUND(AG445/AC446,9),_xlpm.q,INT(_xlpm.n),_xlpm.r,ROUND(AG445-_xlpm.q*AC446,9),_xlpm.base,_xlpm.q&amp;" "&amp;AC440&amp;" de "&amp;TEXT(AC446,"0.000")&amp;" kg",IF(_xlpm.r&lt;=0.000000001,_xlpm.base,_xlpm.base&amp;" + 1 "&amp;AC440&amp;" de "&amp;TEXT(_xlpm.r,"0.000")&amp;" kg")))</f>
        <v>6 Gastro 1/1 de 2.700 kg + 1 Gastro 1/1 de 1.800 kg</v>
      </c>
      <c r="AD447" s="6524"/>
      <c r="AE447" s="6524"/>
      <c r="AF447" s="6524"/>
      <c r="AG447" s="6525"/>
      <c r="AJ447"/>
      <c r="AK447"/>
      <c r="AV447" s="3">
        <v>1</v>
      </c>
    </row>
    <row r="448" spans="23:48" ht="21" customHeight="1">
      <c r="W448" s="14"/>
      <c r="X448" s="1394" t="str">
        <f>IF(ISBLANK(Y448),"",LARGE(X432:X447,1)+1)</f>
        <v/>
      </c>
      <c r="Y448" s="1869"/>
      <c r="Z448" s="1810"/>
      <c r="AA448" s="1810"/>
      <c r="AB448" s="1810"/>
      <c r="AC448" s="6780"/>
      <c r="AD448" s="6524"/>
      <c r="AE448" s="6524"/>
      <c r="AF448" s="6524"/>
      <c r="AG448" s="6525"/>
      <c r="AJ448"/>
      <c r="AK448"/>
      <c r="AV448" s="3">
        <v>1</v>
      </c>
    </row>
    <row r="449" spans="23:48" ht="21" customHeight="1">
      <c r="W449" s="14"/>
      <c r="X449" s="1394" t="str">
        <f>IF(ISBLANK(Y449),"",LARGE(X432:X448,1)+1)</f>
        <v/>
      </c>
      <c r="Y449" s="1869"/>
      <c r="Z449" s="1810"/>
      <c r="AA449" s="1810"/>
      <c r="AB449" s="1810"/>
      <c r="AC449" s="1837"/>
      <c r="AD449" s="1837"/>
      <c r="AE449" s="1837"/>
      <c r="AF449" s="1837"/>
      <c r="AG449" s="1838"/>
      <c r="AJ449"/>
      <c r="AK449"/>
      <c r="AV449" s="3">
        <v>1</v>
      </c>
    </row>
    <row r="450" spans="23:48" ht="21" customHeight="1">
      <c r="W450" s="14"/>
      <c r="X450" s="1394" t="str">
        <f>IF(ISBLANK(Y450),"",LARGE(X432:X449,1)+1)</f>
        <v/>
      </c>
      <c r="Y450" s="1869"/>
      <c r="Z450" s="1810"/>
      <c r="AA450" s="1810"/>
      <c r="AB450" s="1810"/>
      <c r="AC450" s="1810"/>
      <c r="AD450" s="1810"/>
      <c r="AE450" s="1810"/>
      <c r="AF450" s="1810"/>
      <c r="AG450" s="1811"/>
      <c r="AJ450"/>
      <c r="AK450"/>
      <c r="AV450" s="3">
        <v>1</v>
      </c>
    </row>
    <row r="451" spans="23:48" ht="21" customHeight="1">
      <c r="W451" s="14"/>
      <c r="X451" s="1963" t="s">
        <v>8629</v>
      </c>
      <c r="Y451" s="1844"/>
      <c r="Z451" s="1844"/>
      <c r="AA451" s="1844"/>
      <c r="AB451" s="1844"/>
      <c r="AC451" s="1844"/>
      <c r="AD451" s="1844"/>
      <c r="AE451" s="1844"/>
      <c r="AF451" s="1844"/>
      <c r="AG451" s="1964" t="s">
        <v>8629</v>
      </c>
      <c r="AJ451"/>
      <c r="AK451"/>
      <c r="AV451" s="3">
        <v>1</v>
      </c>
    </row>
    <row r="452" spans="23:48" ht="21" customHeight="1">
      <c r="W452" s="14"/>
      <c r="X452" s="1372" t="s">
        <v>8145</v>
      </c>
      <c r="Y452" s="419" t="s">
        <v>821</v>
      </c>
      <c r="Z452" s="230"/>
      <c r="AA452" s="230"/>
      <c r="AB452" s="230"/>
      <c r="AC452" s="230"/>
      <c r="AD452" s="231"/>
      <c r="AE452" s="231"/>
      <c r="AF452" s="231"/>
      <c r="AG452" s="585" t="s">
        <v>218</v>
      </c>
      <c r="AJ452"/>
      <c r="AK452"/>
      <c r="AV452" s="3">
        <v>1</v>
      </c>
    </row>
    <row r="453" spans="23:48" ht="21" customHeight="1">
      <c r="W453" s="14"/>
      <c r="X453" s="1392">
        <v>0</v>
      </c>
      <c r="Y453" s="1375"/>
      <c r="Z453" s="1329"/>
      <c r="AA453" s="1329"/>
      <c r="AB453" s="1398" t="s">
        <v>220</v>
      </c>
      <c r="AC453" s="232" t="s">
        <v>219</v>
      </c>
      <c r="AD453" s="1397"/>
      <c r="AE453" s="1397"/>
      <c r="AF453" s="1399"/>
      <c r="AG453" s="1400"/>
      <c r="AJ453"/>
      <c r="AK453"/>
      <c r="AV453" s="3">
        <v>1</v>
      </c>
    </row>
    <row r="454" spans="23:48" ht="21" customHeight="1">
      <c r="W454" s="14"/>
      <c r="X454" s="1619" t="str">
        <f>IF(ISBLANK(Y454),"",LARGE(X453:X453,1)+1)</f>
        <v/>
      </c>
      <c r="Y454" s="1810"/>
      <c r="Z454" s="1810"/>
      <c r="AA454" s="1810"/>
      <c r="AB454" s="1398" t="s">
        <v>224</v>
      </c>
      <c r="AC454" s="232" t="s">
        <v>219</v>
      </c>
      <c r="AD454" s="1401"/>
      <c r="AE454" s="1401"/>
      <c r="AF454" s="1402"/>
      <c r="AG454" s="1400"/>
      <c r="AJ454"/>
      <c r="AK454"/>
      <c r="AV454" s="3">
        <v>1</v>
      </c>
    </row>
    <row r="455" spans="23:48" ht="21" customHeight="1">
      <c r="W455" s="14"/>
      <c r="X455" s="1619" t="str">
        <f>IF(ISBLANK(Y455),"",LARGE(X453:X454,1)+1)</f>
        <v/>
      </c>
      <c r="Y455" s="1810"/>
      <c r="Z455" s="1810"/>
      <c r="AA455" s="1810"/>
      <c r="AB455" s="1398" t="s">
        <v>225</v>
      </c>
      <c r="AC455" s="232" t="s">
        <v>219</v>
      </c>
      <c r="AD455" s="1401"/>
      <c r="AE455" s="1401"/>
      <c r="AF455" s="1402"/>
      <c r="AG455" s="1400"/>
      <c r="AJ455"/>
      <c r="AK455"/>
      <c r="AV455" s="3">
        <v>1</v>
      </c>
    </row>
    <row r="456" spans="23:48" ht="21" customHeight="1">
      <c r="W456" s="14"/>
      <c r="X456" s="1619" t="str">
        <f>IF(ISBLANK(Y456),"",LARGE(X453:X455,1)+1)</f>
        <v/>
      </c>
      <c r="Y456" s="1810"/>
      <c r="Z456" s="1810"/>
      <c r="AA456" s="1810"/>
      <c r="AB456" s="1398" t="s">
        <v>228</v>
      </c>
      <c r="AC456" s="232" t="s">
        <v>219</v>
      </c>
      <c r="AD456" s="1401"/>
      <c r="AE456" s="1401"/>
      <c r="AF456" s="1402"/>
      <c r="AG456" s="1400"/>
      <c r="AJ456"/>
      <c r="AK456"/>
      <c r="AV456" s="3">
        <v>1</v>
      </c>
    </row>
    <row r="457" spans="23:48" ht="21" customHeight="1">
      <c r="W457" s="14"/>
      <c r="X457" s="1619" t="str">
        <f>IF(ISBLANK(Y457),"",LARGE(X453:X456,1)+1)</f>
        <v/>
      </c>
      <c r="Y457" s="1810"/>
      <c r="Z457" s="1810"/>
      <c r="AA457" s="1810"/>
      <c r="AB457" s="1398" t="s">
        <v>234</v>
      </c>
      <c r="AC457" s="232" t="s">
        <v>219</v>
      </c>
      <c r="AD457" s="1401"/>
      <c r="AE457" s="1401"/>
      <c r="AF457" s="1402"/>
      <c r="AG457" s="1400"/>
      <c r="AJ457"/>
      <c r="AK457"/>
      <c r="AV457" s="3">
        <v>1</v>
      </c>
    </row>
    <row r="458" spans="23:48" ht="21" customHeight="1">
      <c r="W458" s="14"/>
      <c r="X458" s="1619" t="str">
        <f>IF(ISBLANK(Y458),"",LARGE(X453:X457,1)+1)</f>
        <v/>
      </c>
      <c r="Y458" s="1810"/>
      <c r="Z458" s="1810"/>
      <c r="AA458" s="1810"/>
      <c r="AB458" s="1403" t="s">
        <v>237</v>
      </c>
      <c r="AC458" s="232" t="s">
        <v>219</v>
      </c>
      <c r="AD458" s="1401"/>
      <c r="AE458" s="1401"/>
      <c r="AF458" s="1402"/>
      <c r="AG458" s="1400"/>
      <c r="AJ458"/>
      <c r="AK458"/>
      <c r="AV458" s="3">
        <v>1</v>
      </c>
    </row>
    <row r="459" spans="23:48" ht="21" customHeight="1">
      <c r="W459" s="14"/>
      <c r="X459" s="1619" t="str">
        <f>IF(ISBLANK(Y459),"",LARGE(X453:X458,1)+1)</f>
        <v/>
      </c>
      <c r="Y459" s="1810"/>
      <c r="Z459" s="1810"/>
      <c r="AA459" s="1810"/>
      <c r="AB459" s="1398" t="s">
        <v>240</v>
      </c>
      <c r="AC459" s="232" t="s">
        <v>219</v>
      </c>
      <c r="AD459" s="1401"/>
      <c r="AE459" s="1401"/>
      <c r="AF459" s="1402"/>
      <c r="AG459" s="1400"/>
      <c r="AJ459"/>
      <c r="AK459"/>
      <c r="AV459" s="3">
        <v>1</v>
      </c>
    </row>
    <row r="460" spans="23:48" ht="21" customHeight="1">
      <c r="W460" s="14"/>
      <c r="X460" s="1619" t="str">
        <f>IF(ISBLANK(Y460),"",LARGE(X453:X459,1)+1)</f>
        <v/>
      </c>
      <c r="Y460" s="1810"/>
      <c r="Z460" s="1810"/>
      <c r="AA460" s="1810"/>
      <c r="AB460" s="1398" t="s">
        <v>241</v>
      </c>
      <c r="AC460" s="232" t="s">
        <v>219</v>
      </c>
      <c r="AD460" s="1401"/>
      <c r="AE460" s="1401"/>
      <c r="AF460" s="1402"/>
      <c r="AG460" s="1400"/>
      <c r="AJ460"/>
      <c r="AK460"/>
      <c r="AV460" s="3">
        <v>1</v>
      </c>
    </row>
    <row r="461" spans="23:48" ht="21" customHeight="1">
      <c r="W461" s="14"/>
      <c r="X461" s="1619" t="str">
        <f>IF(ISBLANK(Y461),"",LARGE(X453:X460,1)+1)</f>
        <v/>
      </c>
      <c r="Y461" s="1810"/>
      <c r="Z461" s="1810"/>
      <c r="AA461" s="1810"/>
      <c r="AB461" s="1398" t="s">
        <v>251</v>
      </c>
      <c r="AC461" s="232" t="s">
        <v>219</v>
      </c>
      <c r="AD461" s="1401"/>
      <c r="AE461" s="1401"/>
      <c r="AF461" s="1402"/>
      <c r="AG461" s="1400"/>
      <c r="AJ461"/>
      <c r="AK461"/>
      <c r="AV461" s="3">
        <v>1</v>
      </c>
    </row>
    <row r="462" spans="23:48" ht="21" customHeight="1">
      <c r="W462" s="14"/>
      <c r="X462" s="1619" t="str">
        <f>IF(ISBLANK(Y462),"",LARGE(X453:X461,1)+1)</f>
        <v/>
      </c>
      <c r="Y462" s="1810"/>
      <c r="Z462" s="1810"/>
      <c r="AA462" s="1810"/>
      <c r="AB462" s="1398" t="s">
        <v>252</v>
      </c>
      <c r="AC462" s="232" t="s">
        <v>219</v>
      </c>
      <c r="AD462" s="1401"/>
      <c r="AE462" s="1401"/>
      <c r="AF462" s="1402"/>
      <c r="AG462" s="1400"/>
      <c r="AJ462"/>
      <c r="AK462"/>
      <c r="AV462" s="3">
        <v>1</v>
      </c>
    </row>
    <row r="463" spans="23:48" ht="21" customHeight="1">
      <c r="W463" s="14"/>
      <c r="X463" s="1619" t="str">
        <f>IF(ISBLANK(Y463),"",LARGE(X453:X462,1)+1)</f>
        <v/>
      </c>
      <c r="Y463" s="1810"/>
      <c r="Z463" s="1810"/>
      <c r="AA463" s="1810"/>
      <c r="AB463" s="1398" t="s">
        <v>253</v>
      </c>
      <c r="AC463" s="232" t="s">
        <v>219</v>
      </c>
      <c r="AD463" s="1401"/>
      <c r="AE463" s="1401"/>
      <c r="AF463" s="1402"/>
      <c r="AG463" s="1400"/>
      <c r="AJ463"/>
      <c r="AK463"/>
      <c r="AV463" s="3">
        <v>1</v>
      </c>
    </row>
    <row r="464" spans="23:48" ht="21" customHeight="1">
      <c r="W464" s="14"/>
      <c r="X464" s="1619" t="str">
        <f>IF(ISBLANK(Y464),"",LARGE(X453:X463,1)+1)</f>
        <v/>
      </c>
      <c r="Y464" s="1810"/>
      <c r="Z464" s="1810"/>
      <c r="AA464" s="1810"/>
      <c r="AB464" s="1398" t="s">
        <v>254</v>
      </c>
      <c r="AC464" s="232" t="s">
        <v>219</v>
      </c>
      <c r="AD464" s="1401"/>
      <c r="AE464" s="1401"/>
      <c r="AF464" s="1402"/>
      <c r="AG464" s="1400"/>
      <c r="AJ464"/>
      <c r="AK464"/>
      <c r="AV464" s="3">
        <v>1</v>
      </c>
    </row>
    <row r="465" spans="23:48" ht="21" customHeight="1">
      <c r="W465" s="14"/>
      <c r="X465" s="1619" t="str">
        <f>IF(ISBLANK(Y465),"",LARGE(X453:X464,1)+1)</f>
        <v/>
      </c>
      <c r="Y465" s="1810"/>
      <c r="Z465" s="1810"/>
      <c r="AA465" s="1810"/>
      <c r="AB465" s="1398" t="s">
        <v>257</v>
      </c>
      <c r="AC465" s="232" t="s">
        <v>219</v>
      </c>
      <c r="AD465" s="1401"/>
      <c r="AE465" s="1401"/>
      <c r="AF465" s="1402"/>
      <c r="AG465" s="1400"/>
      <c r="AJ465"/>
      <c r="AK465"/>
      <c r="AV465" s="3">
        <v>1</v>
      </c>
    </row>
    <row r="466" spans="23:48" ht="21" customHeight="1">
      <c r="W466" s="14"/>
      <c r="X466" s="1619" t="str">
        <f>IF(ISBLANK(Y466),"",LARGE(X453:X465,1)+1)</f>
        <v/>
      </c>
      <c r="Y466" s="1810"/>
      <c r="Z466" s="1810"/>
      <c r="AA466" s="1810"/>
      <c r="AB466" s="1810"/>
      <c r="AC466" s="1404" t="s">
        <v>8159</v>
      </c>
      <c r="AD466" s="227"/>
      <c r="AE466" s="227"/>
      <c r="AF466" s="1405"/>
      <c r="AG466" s="1406" t="s">
        <v>8159</v>
      </c>
      <c r="AJ466"/>
      <c r="AK466"/>
      <c r="AV466" s="3">
        <v>1</v>
      </c>
    </row>
    <row r="467" spans="23:48" ht="21" customHeight="1">
      <c r="W467" s="14"/>
      <c r="X467" s="1619" t="str">
        <f>IF(ISBLANK(Y467),"",LARGE(X453:X466,1)+1)</f>
        <v/>
      </c>
      <c r="Y467" s="1810"/>
      <c r="Z467" s="1810"/>
      <c r="AA467" s="1810"/>
      <c r="AB467" s="1810"/>
      <c r="AC467" s="436"/>
      <c r="AD467" s="436"/>
      <c r="AE467" s="436"/>
      <c r="AF467" s="348"/>
      <c r="AG467" s="1407"/>
      <c r="AJ467"/>
      <c r="AK467"/>
      <c r="AV467" s="3">
        <v>1</v>
      </c>
    </row>
    <row r="468" spans="23:48" ht="21" customHeight="1">
      <c r="W468" s="14"/>
      <c r="X468" s="1619" t="str">
        <f>IF(ISBLANK(Y468),"",LARGE(X453:X467,1)+1)</f>
        <v/>
      </c>
      <c r="Y468" s="1810"/>
      <c r="Z468" s="1810"/>
      <c r="AA468" s="1810"/>
      <c r="AB468" s="1810"/>
      <c r="AC468" s="436"/>
      <c r="AD468" s="436"/>
      <c r="AE468" s="436"/>
      <c r="AF468" s="348"/>
      <c r="AG468" s="1407"/>
      <c r="AJ468"/>
      <c r="AK468"/>
      <c r="AV468" s="3">
        <v>1</v>
      </c>
    </row>
    <row r="469" spans="23:48" ht="21" customHeight="1">
      <c r="W469" s="14"/>
      <c r="X469" s="1619" t="str">
        <f>IF(ISBLANK(Y469),"",LARGE(X453:X468,1)+1)</f>
        <v/>
      </c>
      <c r="Y469" s="1810"/>
      <c r="Z469" s="1810"/>
      <c r="AA469" s="1810"/>
      <c r="AB469" s="1810"/>
      <c r="AC469" s="436"/>
      <c r="AD469" s="436"/>
      <c r="AE469" s="436"/>
      <c r="AF469" s="348"/>
      <c r="AG469" s="1407" t="s">
        <v>196</v>
      </c>
      <c r="AJ469"/>
      <c r="AK469"/>
      <c r="AV469" s="3">
        <v>1</v>
      </c>
    </row>
    <row r="470" spans="23:48" ht="21" customHeight="1">
      <c r="W470" s="14"/>
      <c r="X470" s="1394"/>
      <c r="Y470" s="1840" t="s">
        <v>821</v>
      </c>
      <c r="Z470" s="1841"/>
      <c r="AA470" s="1842"/>
      <c r="AB470" s="1842"/>
      <c r="AC470" s="1842"/>
      <c r="AD470" s="1842"/>
      <c r="AE470" s="1842"/>
      <c r="AF470" s="1842"/>
      <c r="AG470" s="1843"/>
      <c r="AJ470"/>
      <c r="AK470"/>
      <c r="AV470" s="3">
        <v>1</v>
      </c>
    </row>
    <row r="471" spans="23:48" ht="21" customHeight="1">
      <c r="W471" s="14"/>
      <c r="X471" s="1394"/>
      <c r="Y471" s="1821" t="s">
        <v>8146</v>
      </c>
      <c r="Z471" s="14"/>
      <c r="AA471" s="1810"/>
      <c r="AB471" s="1810"/>
      <c r="AC471" s="1810"/>
      <c r="AD471" s="1810"/>
      <c r="AE471" s="1810"/>
      <c r="AF471" s="1810"/>
      <c r="AG471" s="1811"/>
      <c r="AJ471"/>
      <c r="AK471"/>
      <c r="AV471" s="3">
        <v>1</v>
      </c>
    </row>
    <row r="472" spans="23:48" ht="21" customHeight="1">
      <c r="W472" s="14"/>
      <c r="X472" s="1963" t="s">
        <v>8629</v>
      </c>
      <c r="Y472" s="1844"/>
      <c r="Z472" s="1844"/>
      <c r="AA472" s="1844"/>
      <c r="AB472" s="1844"/>
      <c r="AC472" s="1844"/>
      <c r="AD472" s="1844"/>
      <c r="AE472" s="1844"/>
      <c r="AF472" s="1844"/>
      <c r="AG472" s="1964" t="s">
        <v>8629</v>
      </c>
      <c r="AJ472"/>
      <c r="AK472"/>
      <c r="AV472" s="3">
        <v>1</v>
      </c>
    </row>
    <row r="473" spans="23:48" ht="21" customHeight="1">
      <c r="W473" s="14"/>
      <c r="X473" s="1372" t="s">
        <v>8145</v>
      </c>
      <c r="Y473" s="1428"/>
      <c r="Z473" s="419"/>
      <c r="AA473" s="419"/>
      <c r="AB473" s="419"/>
      <c r="AC473" s="419"/>
      <c r="AD473" s="420"/>
      <c r="AE473" s="420"/>
      <c r="AF473" s="420"/>
      <c r="AG473" s="608" t="s">
        <v>260</v>
      </c>
      <c r="AJ473"/>
      <c r="AK473"/>
      <c r="AV473" s="3">
        <v>1</v>
      </c>
    </row>
    <row r="474" spans="23:48" ht="21" customHeight="1">
      <c r="W474" s="14"/>
      <c r="X474" s="1392">
        <v>0</v>
      </c>
      <c r="Y474" s="1866"/>
      <c r="Z474" s="1929" t="s">
        <v>264</v>
      </c>
      <c r="AA474" s="229"/>
      <c r="AB474" s="186"/>
      <c r="AC474" s="14"/>
      <c r="AD474" s="14"/>
      <c r="AE474" s="14"/>
      <c r="AF474" s="14"/>
      <c r="AG474" s="1409"/>
      <c r="AJ474"/>
      <c r="AK474"/>
      <c r="AV474" s="3">
        <v>1</v>
      </c>
    </row>
    <row r="475" spans="23:48" ht="21" customHeight="1">
      <c r="W475" s="14"/>
      <c r="X475" s="1394" t="str">
        <f>IF(ISBLANK(Y475),"",LARGE(X474:X474,1)+1)</f>
        <v/>
      </c>
      <c r="Y475" s="1869"/>
      <c r="Z475" s="6773" t="s">
        <v>265</v>
      </c>
      <c r="AA475" s="6773"/>
      <c r="AB475" s="6773"/>
      <c r="AC475" s="6773"/>
      <c r="AD475" s="6773"/>
      <c r="AE475" s="6773"/>
      <c r="AF475" s="6773"/>
      <c r="AG475" s="6774"/>
      <c r="AJ475"/>
      <c r="AK475"/>
      <c r="AV475" s="3">
        <v>1</v>
      </c>
    </row>
    <row r="476" spans="23:48" ht="21" customHeight="1">
      <c r="W476" s="14"/>
      <c r="X476" s="1394" t="str">
        <f>IF(ISBLANK(Y476),"",LARGE(X474:X475,1)+1)</f>
        <v/>
      </c>
      <c r="Y476" s="1869"/>
      <c r="Z476" s="6773"/>
      <c r="AA476" s="6773"/>
      <c r="AB476" s="6773"/>
      <c r="AC476" s="6773"/>
      <c r="AD476" s="6773"/>
      <c r="AE476" s="6773"/>
      <c r="AF476" s="6773"/>
      <c r="AG476" s="6774"/>
      <c r="AJ476"/>
      <c r="AK476"/>
      <c r="AV476" s="3">
        <v>1</v>
      </c>
    </row>
    <row r="477" spans="23:48" ht="21" customHeight="1">
      <c r="W477" s="14"/>
      <c r="X477" s="1394" t="str">
        <f>IF(ISBLANK(Y477),"",LARGE(X474:X476,1)+1)</f>
        <v/>
      </c>
      <c r="Y477" s="1869"/>
      <c r="Z477" s="6773"/>
      <c r="AA477" s="6773"/>
      <c r="AB477" s="6773"/>
      <c r="AC477" s="6773"/>
      <c r="AD477" s="6773"/>
      <c r="AE477" s="6773"/>
      <c r="AF477" s="6773"/>
      <c r="AG477" s="6774"/>
      <c r="AJ477"/>
      <c r="AK477"/>
      <c r="AV477" s="3">
        <v>1</v>
      </c>
    </row>
    <row r="478" spans="23:48" ht="21" customHeight="1">
      <c r="W478" s="14"/>
      <c r="X478" s="1394" t="str">
        <f>IF(ISBLANK(Y478),"",LARGE(X474:X477,1)+1)</f>
        <v/>
      </c>
      <c r="Y478" s="1869"/>
      <c r="Z478" s="1927" t="s">
        <v>278</v>
      </c>
      <c r="AA478" s="198"/>
      <c r="AB478" s="198"/>
      <c r="AC478" s="14"/>
      <c r="AD478" s="14"/>
      <c r="AE478" s="14"/>
      <c r="AF478" s="14"/>
      <c r="AG478" s="1409"/>
      <c r="AJ478"/>
      <c r="AK478"/>
      <c r="AV478" s="3">
        <v>1</v>
      </c>
    </row>
    <row r="479" spans="23:48" ht="21" customHeight="1">
      <c r="W479" s="14"/>
      <c r="X479" s="1394" t="str">
        <f>IF(ISBLANK(Y479),"",LARGE(X474:X478,1)+1)</f>
        <v/>
      </c>
      <c r="Y479" s="1869"/>
      <c r="Z479" s="1416" t="s">
        <v>280</v>
      </c>
      <c r="AA479" s="173"/>
      <c r="AB479" s="173"/>
      <c r="AC479" s="14"/>
      <c r="AD479" s="14"/>
      <c r="AE479" s="14"/>
      <c r="AF479" s="14"/>
      <c r="AG479" s="1409"/>
      <c r="AJ479"/>
      <c r="AK479"/>
      <c r="AV479" s="3">
        <v>1</v>
      </c>
    </row>
    <row r="480" spans="23:48" ht="21" customHeight="1">
      <c r="W480" s="14"/>
      <c r="X480" s="1394" t="str">
        <f>IF(ISBLANK(Y480),"",LARGE(X474:X479,1)+1)</f>
        <v/>
      </c>
      <c r="Y480" s="1869"/>
      <c r="Z480" s="6762" t="s">
        <v>287</v>
      </c>
      <c r="AA480" s="6762"/>
      <c r="AB480" s="6762"/>
      <c r="AC480" s="6762"/>
      <c r="AD480" s="6762"/>
      <c r="AE480" s="6762"/>
      <c r="AF480" s="6762"/>
      <c r="AG480" s="6763"/>
      <c r="AJ480"/>
      <c r="AK480"/>
      <c r="AV480" s="3">
        <v>1</v>
      </c>
    </row>
    <row r="481" spans="23:48" ht="21" customHeight="1">
      <c r="W481" s="14"/>
      <c r="X481" s="1394" t="str">
        <f>IF(ISBLANK(Y481),"",LARGE(X474:X480,1)+1)</f>
        <v/>
      </c>
      <c r="Y481" s="1869"/>
      <c r="Z481" s="6762"/>
      <c r="AA481" s="6762"/>
      <c r="AB481" s="6762"/>
      <c r="AC481" s="6762"/>
      <c r="AD481" s="6762"/>
      <c r="AE481" s="6762"/>
      <c r="AF481" s="6762"/>
      <c r="AG481" s="6763"/>
      <c r="AJ481"/>
      <c r="AK481"/>
      <c r="AV481" s="3">
        <v>1</v>
      </c>
    </row>
    <row r="482" spans="23:48" ht="21" customHeight="1">
      <c r="W482" s="14"/>
      <c r="X482" s="1394" t="str">
        <f>IF(ISBLANK(Y482),"",LARGE(X474:X481,1)+1)</f>
        <v/>
      </c>
      <c r="Y482" s="1869"/>
      <c r="Z482" s="6762"/>
      <c r="AA482" s="6762"/>
      <c r="AB482" s="6762"/>
      <c r="AC482" s="6762"/>
      <c r="AD482" s="6762"/>
      <c r="AE482" s="6762"/>
      <c r="AF482" s="6762"/>
      <c r="AG482" s="6763"/>
      <c r="AJ482"/>
      <c r="AK482"/>
      <c r="AV482" s="3">
        <v>1</v>
      </c>
    </row>
    <row r="483" spans="23:48" ht="21" customHeight="1">
      <c r="W483" s="14"/>
      <c r="X483" s="1394" t="str">
        <f>IF(ISBLANK(Y483),"",LARGE(X474:X482,1)+1)</f>
        <v/>
      </c>
      <c r="Y483" s="1869"/>
      <c r="Z483" s="6764"/>
      <c r="AA483" s="6764"/>
      <c r="AB483" s="6764"/>
      <c r="AC483" s="6764"/>
      <c r="AD483" s="6764"/>
      <c r="AE483" s="6764"/>
      <c r="AF483" s="6764"/>
      <c r="AG483" s="6765"/>
      <c r="AJ483"/>
      <c r="AK483"/>
      <c r="AV483" s="3">
        <v>1</v>
      </c>
    </row>
    <row r="484" spans="23:48" ht="21" customHeight="1">
      <c r="W484" s="14"/>
      <c r="X484" s="1394"/>
      <c r="Y484" s="1865" t="s">
        <v>821</v>
      </c>
      <c r="Z484" s="1841"/>
      <c r="AA484" s="1924"/>
      <c r="AB484" s="1924"/>
      <c r="AC484" s="1924"/>
      <c r="AD484" s="1924"/>
      <c r="AE484" s="1924"/>
      <c r="AF484" s="1924"/>
      <c r="AG484" s="1925" t="s">
        <v>1378</v>
      </c>
      <c r="AJ484"/>
      <c r="AK484"/>
      <c r="AV484" s="3">
        <v>1</v>
      </c>
    </row>
    <row r="485" spans="23:48" ht="21" customHeight="1">
      <c r="W485" s="14"/>
      <c r="X485" s="1394"/>
      <c r="Y485" s="1866" t="s">
        <v>8146</v>
      </c>
      <c r="Z485" s="1928"/>
      <c r="AA485" s="1886"/>
      <c r="AB485" s="1886"/>
      <c r="AC485" s="1886"/>
      <c r="AD485" s="1886"/>
      <c r="AE485" s="1886"/>
      <c r="AF485" s="1886"/>
      <c r="AG485" s="1887"/>
      <c r="AJ485"/>
      <c r="AK485"/>
      <c r="AV485" s="3">
        <v>1</v>
      </c>
    </row>
    <row r="486" spans="23:48" ht="21" customHeight="1">
      <c r="W486" s="14"/>
      <c r="X486" s="1394" t="str">
        <f>IF(ISBLANK(Y486),"",LARGE(X474:X485,1)+1)</f>
        <v/>
      </c>
      <c r="Y486" s="1912"/>
      <c r="Z486" s="1883"/>
      <c r="AA486" s="1883"/>
      <c r="AB486" s="1884"/>
      <c r="AC486" s="1884"/>
      <c r="AD486" s="1884"/>
      <c r="AE486" s="1884"/>
      <c r="AF486" s="1884"/>
      <c r="AG486" s="1885"/>
      <c r="AJ486"/>
      <c r="AK486"/>
      <c r="AV486" s="3">
        <v>1</v>
      </c>
    </row>
    <row r="487" spans="23:48" ht="21" customHeight="1">
      <c r="W487" s="14"/>
      <c r="X487" s="1394" t="str">
        <f>IF(ISBLANK(Y487),"",LARGE(X474:X486,1)+1)</f>
        <v/>
      </c>
      <c r="Y487" s="1912"/>
      <c r="Z487" s="1883"/>
      <c r="AA487" s="1883"/>
      <c r="AB487" s="1884"/>
      <c r="AC487" s="1884"/>
      <c r="AD487" s="1884"/>
      <c r="AE487" s="1884"/>
      <c r="AF487" s="1884"/>
      <c r="AG487" s="1885"/>
      <c r="AJ487"/>
      <c r="AK487"/>
      <c r="AV487" s="3">
        <v>1</v>
      </c>
    </row>
    <row r="488" spans="23:48" ht="21" customHeight="1">
      <c r="W488" s="14"/>
      <c r="X488" s="1394" t="str">
        <f>IF(ISBLANK(Y488),"",LARGE(X474:X487,1)+1)</f>
        <v/>
      </c>
      <c r="Y488" s="1912"/>
      <c r="Z488" s="1883"/>
      <c r="AA488" s="1883"/>
      <c r="AB488" s="1884"/>
      <c r="AC488" s="1884"/>
      <c r="AD488" s="1884"/>
      <c r="AE488" s="1884"/>
      <c r="AF488" s="1884"/>
      <c r="AG488" s="1885"/>
      <c r="AJ488"/>
      <c r="AK488"/>
      <c r="AV488" s="3">
        <v>1</v>
      </c>
    </row>
    <row r="489" spans="23:48" ht="21" customHeight="1">
      <c r="W489" s="14"/>
      <c r="X489" s="1394" t="str">
        <f>IF(ISBLANK(Y489),"",LARGE(X474:X488,1)+1)</f>
        <v/>
      </c>
      <c r="Y489" s="1912"/>
      <c r="Z489" s="1883"/>
      <c r="AA489" s="1883"/>
      <c r="AB489" s="1884"/>
      <c r="AC489" s="1884"/>
      <c r="AD489" s="1884"/>
      <c r="AE489" s="1884"/>
      <c r="AF489" s="1884"/>
      <c r="AG489" s="1885"/>
      <c r="AJ489"/>
      <c r="AK489"/>
      <c r="AV489" s="3">
        <v>1</v>
      </c>
    </row>
    <row r="490" spans="23:48" ht="21" customHeight="1">
      <c r="W490" s="14"/>
      <c r="X490" s="1394" t="str">
        <f>IF(ISBLANK(Y490),"",LARGE(X474:X489,1)+1)</f>
        <v/>
      </c>
      <c r="Y490" s="1912"/>
      <c r="Z490" s="1883"/>
      <c r="AA490" s="1883"/>
      <c r="AB490" s="1884"/>
      <c r="AC490" s="1884"/>
      <c r="AD490" s="1884"/>
      <c r="AE490" s="1884"/>
      <c r="AF490" s="1884"/>
      <c r="AG490" s="1885"/>
      <c r="AJ490"/>
      <c r="AK490"/>
      <c r="AV490" s="3">
        <v>1</v>
      </c>
    </row>
    <row r="491" spans="23:48" ht="21" customHeight="1">
      <c r="W491" s="14"/>
      <c r="X491" s="1394" t="str">
        <f>IF(ISBLANK(Y491),"",LARGE(X474:X490,1)+1)</f>
        <v/>
      </c>
      <c r="Y491" s="1912"/>
      <c r="Z491" s="1883"/>
      <c r="AA491" s="1883"/>
      <c r="AB491" s="1884"/>
      <c r="AC491" s="1884"/>
      <c r="AD491" s="1884"/>
      <c r="AE491" s="1884"/>
      <c r="AF491" s="1884"/>
      <c r="AG491" s="1885"/>
      <c r="AJ491"/>
      <c r="AK491"/>
      <c r="AV491" s="3">
        <v>1</v>
      </c>
    </row>
    <row r="492" spans="23:48" ht="21" customHeight="1">
      <c r="W492" s="14"/>
      <c r="X492" s="1394" t="str">
        <f>IF(ISBLANK(Y492),"",LARGE(X474:X491,1)+1)</f>
        <v/>
      </c>
      <c r="Y492" s="1912"/>
      <c r="Z492" s="1883"/>
      <c r="AA492" s="1883"/>
      <c r="AB492" s="1884"/>
      <c r="AC492" s="1884"/>
      <c r="AD492" s="1884"/>
      <c r="AE492" s="1884"/>
      <c r="AF492" s="1884"/>
      <c r="AG492" s="1885"/>
      <c r="AJ492"/>
      <c r="AK492"/>
      <c r="AV492" s="3">
        <v>1</v>
      </c>
    </row>
    <row r="493" spans="23:48" ht="21" customHeight="1">
      <c r="W493" s="14"/>
      <c r="X493" s="1963" t="s">
        <v>8629</v>
      </c>
      <c r="Y493" s="1844"/>
      <c r="Z493" s="1844"/>
      <c r="AA493" s="1844"/>
      <c r="AB493" s="1844"/>
      <c r="AC493" s="1844"/>
      <c r="AD493" s="1844"/>
      <c r="AE493" s="1844"/>
      <c r="AF493" s="1844"/>
      <c r="AG493" s="1964" t="s">
        <v>8629</v>
      </c>
      <c r="AJ493"/>
      <c r="AK493"/>
      <c r="AV493" s="3">
        <v>1</v>
      </c>
    </row>
    <row r="494" spans="23:48" ht="21" customHeight="1">
      <c r="W494" s="14"/>
      <c r="X494" s="1372" t="s">
        <v>8145</v>
      </c>
      <c r="Y494" s="1827"/>
      <c r="Z494" s="230"/>
      <c r="AA494" s="230"/>
      <c r="AB494" s="230"/>
      <c r="AC494" s="230"/>
      <c r="AD494" s="231"/>
      <c r="AE494" s="231"/>
      <c r="AF494" s="231"/>
      <c r="AG494" s="585" t="s">
        <v>315</v>
      </c>
      <c r="AJ494"/>
      <c r="AK494"/>
      <c r="AV494" s="3">
        <v>1</v>
      </c>
    </row>
    <row r="495" spans="23:48" ht="21" customHeight="1">
      <c r="W495" s="14"/>
      <c r="X495" s="1392">
        <v>0</v>
      </c>
      <c r="Y495" s="1912"/>
      <c r="Z495" s="1919"/>
      <c r="AA495" s="1920"/>
      <c r="AB495" s="1917" t="s">
        <v>322</v>
      </c>
      <c r="AC495" s="308"/>
      <c r="AD495" s="1412"/>
      <c r="AE495" s="1738"/>
      <c r="AF495" s="1412"/>
      <c r="AG495" s="1926" t="s">
        <v>323</v>
      </c>
      <c r="AJ495"/>
      <c r="AK495"/>
      <c r="AV495" s="3">
        <v>1</v>
      </c>
    </row>
    <row r="496" spans="23:48" ht="21" customHeight="1">
      <c r="W496" s="14"/>
      <c r="X496" s="1394" t="str">
        <f>IF(ISBLANK(Y496),"",LARGE(X495:X495,1)+1)</f>
        <v/>
      </c>
      <c r="Y496" s="1912"/>
      <c r="Z496" s="1886"/>
      <c r="AA496" s="1920"/>
      <c r="AB496" s="1766" t="s">
        <v>324</v>
      </c>
      <c r="AC496" s="308">
        <v>3</v>
      </c>
      <c r="AD496" s="1413"/>
      <c r="AE496" s="1413"/>
      <c r="AF496" s="1413" t="s">
        <v>325</v>
      </c>
      <c r="AG496" s="1400" t="s">
        <v>219</v>
      </c>
      <c r="AJ496"/>
      <c r="AK496"/>
      <c r="AV496" s="3">
        <v>1</v>
      </c>
    </row>
    <row r="497" spans="23:48" ht="21" customHeight="1">
      <c r="W497" s="14"/>
      <c r="X497" s="1394" t="str">
        <f>IF(ISBLANK(Y497),"",LARGE(X495:X496,1)+1)</f>
        <v/>
      </c>
      <c r="Y497" s="1912"/>
      <c r="Z497" s="1886"/>
      <c r="AA497" s="1920"/>
      <c r="AB497" s="1766" t="s">
        <v>326</v>
      </c>
      <c r="AC497" s="308"/>
      <c r="AD497" s="1413"/>
      <c r="AE497" s="1413"/>
      <c r="AF497" s="1413" t="s">
        <v>327</v>
      </c>
      <c r="AG497" s="1770"/>
      <c r="AJ497"/>
      <c r="AK497"/>
      <c r="AV497" s="3">
        <v>1</v>
      </c>
    </row>
    <row r="498" spans="23:48" ht="21" customHeight="1">
      <c r="W498" s="14"/>
      <c r="X498" s="1394" t="str">
        <f>IF(ISBLANK(Y498),"",LARGE(X495:X497,1)+1)</f>
        <v/>
      </c>
      <c r="Y498" s="1912"/>
      <c r="Z498" s="1886"/>
      <c r="AA498" s="1920"/>
      <c r="AB498" s="1766" t="s">
        <v>328</v>
      </c>
      <c r="AC498" s="308">
        <v>1</v>
      </c>
      <c r="AD498" s="1414"/>
      <c r="AE498" s="1414"/>
      <c r="AF498" s="1414" t="s">
        <v>329</v>
      </c>
      <c r="AG498" s="1771"/>
      <c r="AJ498"/>
      <c r="AK498"/>
      <c r="AV498" s="3">
        <v>1</v>
      </c>
    </row>
    <row r="499" spans="23:48" ht="21" customHeight="1">
      <c r="W499" s="14"/>
      <c r="X499" s="1394" t="str">
        <f>IF(ISBLANK(Y499),"",LARGE(X495:X498,1)+1)</f>
        <v/>
      </c>
      <c r="Y499" s="1912"/>
      <c r="Z499" s="1886"/>
      <c r="AA499" s="1920"/>
      <c r="AB499" s="1766" t="s">
        <v>330</v>
      </c>
      <c r="AC499" s="308"/>
      <c r="AD499" s="1413"/>
      <c r="AE499" s="1413"/>
      <c r="AF499" s="1413" t="s">
        <v>325</v>
      </c>
      <c r="AG499" s="1770"/>
      <c r="AJ499"/>
      <c r="AK499"/>
      <c r="AV499" s="3">
        <v>1</v>
      </c>
    </row>
    <row r="500" spans="23:48" ht="21" customHeight="1">
      <c r="W500" s="14"/>
      <c r="X500" s="1394" t="str">
        <f>IF(ISBLANK(Y500),"",LARGE(X495:X499,1)+1)</f>
        <v/>
      </c>
      <c r="Y500" s="1912"/>
      <c r="Z500" s="1886"/>
      <c r="AA500" s="1920"/>
      <c r="AB500" s="1766" t="s">
        <v>334</v>
      </c>
      <c r="AC500" s="308"/>
      <c r="AD500" s="1413"/>
      <c r="AE500" s="1413"/>
      <c r="AF500" s="1413" t="s">
        <v>335</v>
      </c>
      <c r="AG500" s="1770"/>
      <c r="AJ500"/>
      <c r="AK500"/>
      <c r="AV500" s="3">
        <v>1</v>
      </c>
    </row>
    <row r="501" spans="23:48" ht="21" customHeight="1">
      <c r="W501" s="14"/>
      <c r="X501" s="1394" t="str">
        <f>IF(ISBLANK(Y501),"",LARGE(X495:X500,1)+1)</f>
        <v/>
      </c>
      <c r="Y501" s="1912"/>
      <c r="Z501" s="1886"/>
      <c r="AA501" s="1920"/>
      <c r="AB501" s="1766" t="s">
        <v>339</v>
      </c>
      <c r="AC501" s="308"/>
      <c r="AD501" s="1413"/>
      <c r="AE501" s="1413"/>
      <c r="AF501" s="1413" t="s">
        <v>327</v>
      </c>
      <c r="AG501" s="1772" t="s">
        <v>340</v>
      </c>
      <c r="AJ501"/>
      <c r="AK501"/>
      <c r="AV501" s="3">
        <v>1</v>
      </c>
    </row>
    <row r="502" spans="23:48" ht="21" customHeight="1" thickBot="1">
      <c r="W502" s="14"/>
      <c r="X502" s="1394" t="str">
        <f>IF(ISBLANK(Y502),"",LARGE(X495:X501,1)+1)</f>
        <v/>
      </c>
      <c r="Y502" s="1912"/>
      <c r="Z502" s="1886"/>
      <c r="AA502" s="1920"/>
      <c r="AB502" s="1766" t="s">
        <v>342</v>
      </c>
      <c r="AC502" s="326"/>
      <c r="AD502" s="1415"/>
      <c r="AE502" s="1415"/>
      <c r="AF502" s="1415" t="s">
        <v>343</v>
      </c>
      <c r="AG502" s="1771"/>
      <c r="AJ502"/>
      <c r="AK502"/>
      <c r="AV502" s="3">
        <v>1</v>
      </c>
    </row>
    <row r="503" spans="23:48" ht="21" customHeight="1" thickTop="1">
      <c r="W503" s="14"/>
      <c r="X503" s="1394" t="str">
        <f>IF(ISBLANK(Y503),"",LARGE(X495:X502,1)+1)</f>
        <v/>
      </c>
      <c r="Y503" s="1912"/>
      <c r="Z503" s="1886"/>
      <c r="AA503" s="1920"/>
      <c r="AB503" s="1767" t="s">
        <v>347</v>
      </c>
      <c r="AC503" s="328" t="str">
        <f>SUM(AC495:AC502) &amp; " / " &amp; (COUNTA(AC495:AC502) * 3)</f>
        <v>4 / 6</v>
      </c>
      <c r="AD503" s="1413"/>
      <c r="AE503" s="1413"/>
      <c r="AF503" s="1413" t="s">
        <v>349</v>
      </c>
      <c r="AG503" s="1446" t="s">
        <v>348</v>
      </c>
      <c r="AJ503"/>
      <c r="AK503"/>
      <c r="AV503" s="3">
        <v>1</v>
      </c>
    </row>
    <row r="504" spans="23:48" ht="21" customHeight="1">
      <c r="W504" s="14"/>
      <c r="X504" s="1394" t="str">
        <f>IF(ISBLANK(Y504),"",LARGE(X495:X503,1)+1)</f>
        <v/>
      </c>
      <c r="Y504" s="1912"/>
      <c r="Z504" s="1886"/>
      <c r="AA504" s="1920"/>
      <c r="AB504" s="1768" t="s">
        <v>350</v>
      </c>
      <c r="AC504" s="330" t="str">
        <f>SUM(AC495:AC502) &amp;"/ "&amp;AC505</f>
        <v>4/ 24</v>
      </c>
      <c r="AD504" s="1413"/>
      <c r="AE504" s="1413"/>
      <c r="AF504" s="1413" t="s">
        <v>327</v>
      </c>
      <c r="AG504" s="1770"/>
      <c r="AJ504"/>
      <c r="AK504"/>
      <c r="AV504" s="3">
        <v>1</v>
      </c>
    </row>
    <row r="505" spans="23:48" ht="21" customHeight="1" thickBot="1">
      <c r="W505" s="14"/>
      <c r="X505" s="1394" t="str">
        <f>IF(ISBLANK(Y505),"",LARGE(X495:X504,1)+1)</f>
        <v/>
      </c>
      <c r="Y505" s="1912"/>
      <c r="Z505" s="1886"/>
      <c r="AA505" s="1920"/>
      <c r="AB505" s="1769" t="s">
        <v>357</v>
      </c>
      <c r="AC505" s="332">
        <v>24</v>
      </c>
      <c r="AD505" s="1415"/>
      <c r="AE505" s="1415"/>
      <c r="AF505" s="1415" t="s">
        <v>358</v>
      </c>
      <c r="AG505" s="1773"/>
      <c r="AV505" s="3">
        <v>1</v>
      </c>
    </row>
    <row r="506" spans="23:48" ht="21" customHeight="1" thickTop="1">
      <c r="W506" s="14"/>
      <c r="X506" s="1394" t="str">
        <f>IF(ISBLANK(Y506),"",LARGE(X495:X505,1)+1)</f>
        <v/>
      </c>
      <c r="Y506" s="1912"/>
      <c r="Z506" s="1886"/>
      <c r="AA506" s="436"/>
      <c r="AB506" s="1922"/>
      <c r="AC506" s="1922"/>
      <c r="AD506" s="1922"/>
      <c r="AE506" s="1920"/>
      <c r="AF506" s="9"/>
      <c r="AG506" s="1774" t="s">
        <v>772</v>
      </c>
      <c r="AV506" s="3">
        <v>1</v>
      </c>
    </row>
    <row r="507" spans="23:48" ht="21" customHeight="1">
      <c r="W507" s="14"/>
      <c r="X507" s="1394" t="str">
        <f>IF(ISBLANK(Y507),"",LARGE(X495:X506,1)+1)</f>
        <v/>
      </c>
      <c r="Y507" s="1912"/>
      <c r="Z507" s="1886"/>
      <c r="AA507" s="1919"/>
      <c r="AB507" s="1922"/>
      <c r="AC507" s="1922"/>
      <c r="AD507" s="1923"/>
      <c r="AE507" s="1921"/>
      <c r="AF507" s="1413" t="s">
        <v>363</v>
      </c>
      <c r="AG507" s="1770"/>
      <c r="AV507" s="3">
        <v>1</v>
      </c>
    </row>
    <row r="508" spans="23:48" ht="21" customHeight="1">
      <c r="W508" s="14"/>
      <c r="X508" s="1394" t="str">
        <f>IF(ISBLANK(Y508),"",LARGE(X495:X507,1)+1)</f>
        <v/>
      </c>
      <c r="Y508" s="1912"/>
      <c r="Z508" s="1886"/>
      <c r="AA508" s="1919"/>
      <c r="AB508" s="436"/>
      <c r="AC508" s="436"/>
      <c r="AD508" s="1923"/>
      <c r="AE508" s="1921"/>
      <c r="AF508" s="1417" t="s">
        <v>365</v>
      </c>
      <c r="AG508" s="1770"/>
      <c r="AV508" s="3">
        <v>1</v>
      </c>
    </row>
    <row r="509" spans="23:48" ht="21" customHeight="1">
      <c r="W509" s="14"/>
      <c r="X509" s="1394" t="str">
        <f>IF(ISBLANK(Y509),"",LARGE(X495:X508,1)+1)</f>
        <v/>
      </c>
      <c r="Y509" s="1912"/>
      <c r="Z509" s="1886"/>
      <c r="AA509" s="1919"/>
      <c r="AB509" s="436"/>
      <c r="AC509" s="436"/>
      <c r="AD509" s="436"/>
      <c r="AE509" s="1418"/>
      <c r="AF509" s="1418"/>
      <c r="AG509" s="1407"/>
      <c r="AV509" s="3">
        <v>1</v>
      </c>
    </row>
    <row r="510" spans="23:48" ht="21" customHeight="1">
      <c r="W510" s="14"/>
      <c r="X510" s="1394" t="str">
        <f>IF(ISBLANK(Y510),"",LARGE(X495:X509,1)+1)</f>
        <v/>
      </c>
      <c r="Y510" s="1912"/>
      <c r="Z510" s="1886"/>
      <c r="AA510" s="1919"/>
      <c r="AB510" s="436"/>
      <c r="AC510" s="436"/>
      <c r="AD510" s="436"/>
      <c r="AE510" s="1418"/>
      <c r="AF510" s="1404" t="s">
        <v>8159</v>
      </c>
      <c r="AG510" s="1406" t="s">
        <v>8159</v>
      </c>
      <c r="AV510" s="3">
        <v>1</v>
      </c>
    </row>
    <row r="511" spans="23:48" ht="21" customHeight="1">
      <c r="W511" s="14"/>
      <c r="X511" s="1394" t="str">
        <f>IF(ISBLANK(Y511),"",LARGE(X495:X510,1)+1)</f>
        <v/>
      </c>
      <c r="Y511" s="1918"/>
      <c r="Z511" s="1886"/>
      <c r="AA511" s="346"/>
      <c r="AB511" s="346"/>
      <c r="AC511" s="346"/>
      <c r="AD511" s="346"/>
      <c r="AE511" s="346"/>
      <c r="AF511" s="347"/>
      <c r="AG511" s="1408"/>
      <c r="AV511" s="3">
        <v>1</v>
      </c>
    </row>
    <row r="512" spans="23:48" ht="21" customHeight="1">
      <c r="W512" s="14"/>
      <c r="X512" s="1394"/>
      <c r="Y512" s="1865" t="s">
        <v>821</v>
      </c>
      <c r="Z512" s="1841"/>
      <c r="AA512" s="1924"/>
      <c r="AB512" s="1924"/>
      <c r="AC512" s="1924"/>
      <c r="AD512" s="1924"/>
      <c r="AE512" s="1924"/>
      <c r="AF512" s="1924"/>
      <c r="AG512" s="1925" t="s">
        <v>1378</v>
      </c>
      <c r="AV512" s="3">
        <v>1</v>
      </c>
    </row>
    <row r="513" spans="23:48" ht="21" customHeight="1">
      <c r="W513" s="14"/>
      <c r="X513" s="1394"/>
      <c r="Y513" s="1866" t="s">
        <v>8146</v>
      </c>
      <c r="Z513" s="14"/>
      <c r="AA513" s="1810"/>
      <c r="AB513" s="1810"/>
      <c r="AC513" s="1810"/>
      <c r="AD513" s="1810"/>
      <c r="AE513" s="1810"/>
      <c r="AF513" s="1810"/>
      <c r="AG513" s="1811"/>
      <c r="AV513" s="3">
        <v>1</v>
      </c>
    </row>
    <row r="514" spans="23:48" ht="21" customHeight="1">
      <c r="W514" s="14"/>
      <c r="X514" s="1963" t="s">
        <v>8629</v>
      </c>
      <c r="Y514" s="1844"/>
      <c r="Z514" s="1844"/>
      <c r="AA514" s="1844"/>
      <c r="AB514" s="1844"/>
      <c r="AC514" s="1844"/>
      <c r="AD514" s="1844"/>
      <c r="AE514" s="1844"/>
      <c r="AF514" s="1844"/>
      <c r="AG514" s="1964" t="s">
        <v>8629</v>
      </c>
      <c r="AV514" s="3">
        <v>1</v>
      </c>
    </row>
    <row r="515" spans="23:48" ht="21" customHeight="1">
      <c r="W515" s="14"/>
      <c r="X515" s="1372" t="s">
        <v>8145</v>
      </c>
      <c r="Y515" s="1428"/>
      <c r="Z515" s="419"/>
      <c r="AA515" s="419"/>
      <c r="AB515" s="419"/>
      <c r="AC515" s="419"/>
      <c r="AD515" s="420"/>
      <c r="AE515" s="420"/>
      <c r="AF515" s="420"/>
      <c r="AG515" s="608" t="s">
        <v>218</v>
      </c>
      <c r="AV515" s="3">
        <v>1</v>
      </c>
    </row>
    <row r="516" spans="23:48" ht="21" customHeight="1">
      <c r="W516" s="14"/>
      <c r="X516" s="1392">
        <v>0</v>
      </c>
      <c r="Y516" s="1820"/>
      <c r="Z516" s="1819"/>
      <c r="AA516" s="1819" t="s">
        <v>415</v>
      </c>
      <c r="AB516" s="1419" t="s">
        <v>416</v>
      </c>
      <c r="AC516" s="698" t="s">
        <v>417</v>
      </c>
      <c r="AD516" s="380" t="s">
        <v>418</v>
      </c>
      <c r="AE516" s="380" t="s">
        <v>419</v>
      </c>
      <c r="AF516" s="1911" t="s">
        <v>8160</v>
      </c>
      <c r="AG516" s="1749"/>
      <c r="AV516" s="3">
        <v>1</v>
      </c>
    </row>
    <row r="517" spans="23:48" ht="21" customHeight="1">
      <c r="W517" s="14"/>
      <c r="X517" s="1394" t="str">
        <f>IF(ISBLANK(Y517),"",LARGE(X516:X516,1)+1)</f>
        <v/>
      </c>
      <c r="Y517" s="1420"/>
      <c r="Z517" s="1421"/>
      <c r="AA517" s="1421" t="s">
        <v>8161</v>
      </c>
      <c r="AB517" s="1422">
        <v>2.4305555555555556E-2</v>
      </c>
      <c r="AC517" s="381">
        <v>100</v>
      </c>
      <c r="AD517" s="382">
        <v>0.6</v>
      </c>
      <c r="AE517" s="383" t="s">
        <v>420</v>
      </c>
      <c r="AF517" s="1750" t="s">
        <v>421</v>
      </c>
      <c r="AG517" s="1751"/>
      <c r="AV517" s="3">
        <v>1</v>
      </c>
    </row>
    <row r="518" spans="23:48" ht="21" customHeight="1">
      <c r="W518" s="14"/>
      <c r="X518" s="1394" t="str">
        <f>IF(ISBLANK(Y518),"",LARGE(X516:X517,1)+1)</f>
        <v/>
      </c>
      <c r="Y518" s="1420"/>
      <c r="Z518" s="1421"/>
      <c r="AA518" s="1421" t="s">
        <v>422</v>
      </c>
      <c r="AB518" s="1422">
        <v>1.0416666666666666E-2</v>
      </c>
      <c r="AC518" s="381">
        <v>100</v>
      </c>
      <c r="AD518" s="382">
        <v>0.6</v>
      </c>
      <c r="AE518" s="383" t="s">
        <v>423</v>
      </c>
      <c r="AF518" s="1750" t="s">
        <v>424</v>
      </c>
      <c r="AG518" s="1751"/>
      <c r="AV518" s="3">
        <v>1</v>
      </c>
    </row>
    <row r="519" spans="23:48" ht="21" customHeight="1">
      <c r="W519" s="14"/>
      <c r="X519" s="1394" t="str">
        <f>IF(ISBLANK(Y519),"",LARGE(X516:X518,1)+1)</f>
        <v/>
      </c>
      <c r="Y519" s="1420"/>
      <c r="Z519" s="1421"/>
      <c r="AA519" s="1421" t="s">
        <v>425</v>
      </c>
      <c r="AB519" s="1422">
        <v>5.2083333333333301E-2</v>
      </c>
      <c r="AC519" s="381">
        <v>100</v>
      </c>
      <c r="AD519" s="382">
        <v>0.6</v>
      </c>
      <c r="AE519" s="383" t="s">
        <v>420</v>
      </c>
      <c r="AF519" s="1750" t="s">
        <v>426</v>
      </c>
      <c r="AG519" s="1751"/>
      <c r="AV519" s="3">
        <v>1</v>
      </c>
    </row>
    <row r="520" spans="23:48" ht="21" customHeight="1">
      <c r="W520" s="14"/>
      <c r="X520" s="1394" t="str">
        <f>IF(ISBLANK(Y520),"",LARGE(X516:X519,1)+1)</f>
        <v/>
      </c>
      <c r="Y520" s="1420"/>
      <c r="Z520" s="1421"/>
      <c r="AA520" s="1421" t="s">
        <v>19</v>
      </c>
      <c r="AB520" s="1422">
        <v>9.375E-2</v>
      </c>
      <c r="AC520" s="381">
        <v>100</v>
      </c>
      <c r="AD520" s="382">
        <v>0.6</v>
      </c>
      <c r="AE520" s="383" t="s">
        <v>423</v>
      </c>
      <c r="AF520" s="1750" t="s">
        <v>427</v>
      </c>
      <c r="AG520" s="1751"/>
      <c r="AV520" s="3">
        <v>1</v>
      </c>
    </row>
    <row r="521" spans="23:48" ht="21" customHeight="1">
      <c r="W521" s="14"/>
      <c r="X521" s="1394" t="str">
        <f>IF(ISBLANK(Y521),"",LARGE(X516:X520,1)+1)</f>
        <v/>
      </c>
      <c r="Y521" s="384"/>
      <c r="Z521" s="385"/>
      <c r="AA521" s="385"/>
      <c r="AB521" s="1913">
        <f>SUM(AB517:AB520)</f>
        <v>0.18055555555555552</v>
      </c>
      <c r="AC521" s="385"/>
      <c r="AD521" s="385"/>
      <c r="AE521" s="385"/>
      <c r="AF521" s="385"/>
      <c r="AG521" s="1454"/>
      <c r="AV521" s="3">
        <v>1</v>
      </c>
    </row>
    <row r="522" spans="23:48" ht="21" customHeight="1">
      <c r="W522" s="14"/>
      <c r="X522" s="1394"/>
      <c r="Y522" s="1914" t="s">
        <v>821</v>
      </c>
      <c r="Z522" s="1845"/>
      <c r="AA522" s="1891"/>
      <c r="AB522" s="1891"/>
      <c r="AC522" s="1891"/>
      <c r="AD522" s="1891"/>
      <c r="AE522" s="1891"/>
      <c r="AF522" s="1915"/>
      <c r="AG522" s="1916" t="s">
        <v>196</v>
      </c>
      <c r="AV522" s="3">
        <v>1</v>
      </c>
    </row>
    <row r="523" spans="23:48" ht="21" customHeight="1">
      <c r="W523" s="14"/>
      <c r="X523" s="1394"/>
      <c r="Y523" s="1866" t="s">
        <v>8146</v>
      </c>
      <c r="Z523" s="1377"/>
      <c r="AA523" s="1377"/>
      <c r="AB523" s="1377"/>
      <c r="AC523" s="1377"/>
      <c r="AD523" s="1377"/>
      <c r="AE523" s="1410"/>
      <c r="AF523" s="1410"/>
      <c r="AG523" s="1411"/>
      <c r="AV523" s="3">
        <v>1</v>
      </c>
    </row>
    <row r="524" spans="23:48" ht="21" customHeight="1">
      <c r="W524" s="14"/>
      <c r="X524" s="1394" t="str">
        <f>IF(ISBLANK(Y524),"",LARGE(X516:X523,1)+1)</f>
        <v/>
      </c>
      <c r="Y524" s="1912"/>
      <c r="Z524" s="1883"/>
      <c r="AA524" s="1883"/>
      <c r="AB524" s="1883"/>
      <c r="AC524" s="1883"/>
      <c r="AD524" s="1883"/>
      <c r="AE524" s="1884"/>
      <c r="AF524" s="1884"/>
      <c r="AG524" s="1885"/>
      <c r="AV524" s="3">
        <v>1</v>
      </c>
    </row>
    <row r="525" spans="23:48" ht="21" customHeight="1">
      <c r="W525" s="14"/>
      <c r="X525" s="1394" t="str">
        <f>IF(ISBLANK(Y525),"",LARGE(X516:X524,1)+1)</f>
        <v/>
      </c>
      <c r="Y525" s="1912"/>
      <c r="Z525" s="1883"/>
      <c r="AA525" s="1883"/>
      <c r="AB525" s="1883"/>
      <c r="AC525" s="1883"/>
      <c r="AD525" s="1883"/>
      <c r="AE525" s="1884"/>
      <c r="AF525" s="1884"/>
      <c r="AG525" s="1885"/>
      <c r="AL525" s="1734"/>
      <c r="AM525" s="1734"/>
      <c r="AN525" s="1734"/>
      <c r="AO525" s="1734"/>
      <c r="AV525" s="3">
        <v>1</v>
      </c>
    </row>
    <row r="526" spans="23:48" ht="21" customHeight="1">
      <c r="W526" s="14"/>
      <c r="X526" s="1394" t="str">
        <f>IF(ISBLANK(Y526),"",LARGE(X516:X525,1)+1)</f>
        <v/>
      </c>
      <c r="Y526" s="1912"/>
      <c r="Z526" s="1883"/>
      <c r="AA526" s="1883"/>
      <c r="AB526" s="1883"/>
      <c r="AC526" s="1883"/>
      <c r="AD526" s="1883"/>
      <c r="AE526" s="1884"/>
      <c r="AF526" s="1884"/>
      <c r="AG526" s="1885"/>
      <c r="AL526" s="1734"/>
      <c r="AM526" s="1734"/>
      <c r="AN526" s="1734"/>
      <c r="AO526" s="1734"/>
      <c r="AV526" s="3">
        <v>1</v>
      </c>
    </row>
    <row r="527" spans="23:48" ht="21" customHeight="1">
      <c r="W527" s="14"/>
      <c r="X527" s="1394" t="str">
        <f>IF(ISBLANK(Y527),"",LARGE(X516:X526,1)+1)</f>
        <v/>
      </c>
      <c r="Y527" s="1912"/>
      <c r="Z527" s="1883"/>
      <c r="AA527" s="1883"/>
      <c r="AB527" s="1883"/>
      <c r="AC527" s="1883"/>
      <c r="AD527" s="1883"/>
      <c r="AE527" s="1884"/>
      <c r="AF527" s="1884"/>
      <c r="AG527" s="1885"/>
      <c r="AL527" s="1734"/>
      <c r="AM527" s="1734"/>
      <c r="AN527" s="1734"/>
      <c r="AO527" s="1734"/>
      <c r="AV527" s="3">
        <v>1</v>
      </c>
    </row>
    <row r="528" spans="23:48" ht="21" customHeight="1">
      <c r="W528" s="14"/>
      <c r="X528" s="1394" t="str">
        <f>IF(ISBLANK(Y528),"",LARGE(X516:X527,1)+1)</f>
        <v/>
      </c>
      <c r="Y528" s="1912"/>
      <c r="Z528" s="1883"/>
      <c r="AA528" s="1883"/>
      <c r="AB528" s="1883"/>
      <c r="AC528" s="1883"/>
      <c r="AD528" s="1883"/>
      <c r="AE528" s="1884"/>
      <c r="AF528" s="1884"/>
      <c r="AG528" s="1885"/>
      <c r="AL528" s="1734"/>
      <c r="AM528" s="1734"/>
      <c r="AN528" s="1734"/>
      <c r="AO528" s="1734"/>
      <c r="AV528" s="3">
        <v>1</v>
      </c>
    </row>
    <row r="529" spans="23:48" ht="21" customHeight="1">
      <c r="W529" s="14"/>
      <c r="X529" s="1394" t="str">
        <f>IF(ISBLANK(Y529),"",LARGE(X516:X528,1)+1)</f>
        <v/>
      </c>
      <c r="Y529" s="1912"/>
      <c r="Z529" s="1883"/>
      <c r="AA529" s="1883"/>
      <c r="AB529" s="1883"/>
      <c r="AC529" s="1883"/>
      <c r="AD529" s="1883"/>
      <c r="AE529" s="1884"/>
      <c r="AF529" s="1884"/>
      <c r="AG529" s="1885"/>
      <c r="AL529" s="1734"/>
      <c r="AM529" s="1734"/>
      <c r="AN529" s="1734"/>
      <c r="AO529" s="1734"/>
      <c r="AV529" s="3">
        <v>1</v>
      </c>
    </row>
    <row r="530" spans="23:48" ht="21" customHeight="1">
      <c r="W530" s="14"/>
      <c r="X530" s="1394" t="str">
        <f>IF(ISBLANK(Y530),"",LARGE(X516:X529,1)+1)</f>
        <v/>
      </c>
      <c r="Y530" s="1912"/>
      <c r="Z530" s="1883"/>
      <c r="AA530" s="1883"/>
      <c r="AB530" s="1883"/>
      <c r="AC530" s="1883"/>
      <c r="AD530" s="1883"/>
      <c r="AE530" s="1884"/>
      <c r="AF530" s="1884"/>
      <c r="AG530" s="1885"/>
      <c r="AV530" s="3">
        <v>1</v>
      </c>
    </row>
    <row r="531" spans="23:48" ht="21" customHeight="1">
      <c r="W531" s="14"/>
      <c r="X531" s="1394" t="str">
        <f>IF(ISBLANK(Y531),"",LARGE(X516:X530,1)+1)</f>
        <v/>
      </c>
      <c r="Y531" s="1912"/>
      <c r="Z531" s="1883"/>
      <c r="AA531" s="1883"/>
      <c r="AB531" s="1883"/>
      <c r="AC531" s="1883"/>
      <c r="AD531" s="1883"/>
      <c r="AE531" s="1884"/>
      <c r="AF531" s="1884"/>
      <c r="AG531" s="1885"/>
      <c r="AV531" s="3">
        <v>1</v>
      </c>
    </row>
    <row r="532" spans="23:48" ht="21" customHeight="1">
      <c r="W532" s="14"/>
      <c r="X532" s="1394" t="str">
        <f>IF(ISBLANK(Y532),"",LARGE(X516:X531,1)+1)</f>
        <v/>
      </c>
      <c r="Y532" s="1912"/>
      <c r="Z532" s="1883"/>
      <c r="AA532" s="1883"/>
      <c r="AB532" s="1883"/>
      <c r="AC532" s="1883"/>
      <c r="AD532" s="1883"/>
      <c r="AE532" s="1884"/>
      <c r="AF532" s="1884"/>
      <c r="AG532" s="1885"/>
      <c r="AV532" s="3">
        <v>1</v>
      </c>
    </row>
    <row r="533" spans="23:48" ht="21" customHeight="1">
      <c r="W533" s="14"/>
      <c r="X533" s="1394" t="str">
        <f>IF(ISBLANK(Y533),"",LARGE(X516:X532,1)+1)</f>
        <v/>
      </c>
      <c r="Y533" s="1912"/>
      <c r="Z533" s="1883"/>
      <c r="AA533" s="1883"/>
      <c r="AB533" s="1883"/>
      <c r="AC533" s="1883"/>
      <c r="AD533" s="1883"/>
      <c r="AE533" s="1884"/>
      <c r="AF533" s="1884"/>
      <c r="AG533" s="1885"/>
      <c r="AV533" s="3">
        <v>1</v>
      </c>
    </row>
    <row r="534" spans="23:48" ht="21" customHeight="1">
      <c r="W534" s="14"/>
      <c r="X534" s="1394" t="str">
        <f>IF(ISBLANK(Y534),"",LARGE(X516:X533,1)+1)</f>
        <v/>
      </c>
      <c r="Y534" s="1912"/>
      <c r="Z534" s="1883"/>
      <c r="AA534" s="1883"/>
      <c r="AB534" s="1883"/>
      <c r="AC534" s="1883"/>
      <c r="AD534" s="1883"/>
      <c r="AE534" s="1884"/>
      <c r="AF534" s="1884"/>
      <c r="AG534" s="1885"/>
      <c r="AV534" s="3">
        <v>1</v>
      </c>
    </row>
    <row r="535" spans="23:48" ht="21" customHeight="1">
      <c r="W535" s="14"/>
      <c r="X535" s="1963" t="s">
        <v>8629</v>
      </c>
      <c r="Y535" s="1844"/>
      <c r="Z535" s="1844"/>
      <c r="AA535" s="1844"/>
      <c r="AB535" s="1844"/>
      <c r="AC535" s="1844"/>
      <c r="AD535" s="1844"/>
      <c r="AE535" s="1844"/>
      <c r="AF535" s="1844"/>
      <c r="AG535" s="1964" t="s">
        <v>8629</v>
      </c>
      <c r="AV535" s="3">
        <v>1</v>
      </c>
    </row>
    <row r="536" spans="23:48" ht="21" customHeight="1">
      <c r="W536" s="14"/>
      <c r="X536" s="1388" t="s">
        <v>8145</v>
      </c>
      <c r="Y536" s="1428"/>
      <c r="Z536" s="419"/>
      <c r="AA536" s="419"/>
      <c r="AB536" s="419"/>
      <c r="AC536" s="419"/>
      <c r="AD536" s="420"/>
      <c r="AE536" s="420"/>
      <c r="AF536" s="420"/>
      <c r="AG536" s="608" t="s">
        <v>218</v>
      </c>
      <c r="AV536" s="3">
        <v>1</v>
      </c>
    </row>
    <row r="537" spans="23:48" ht="21" customHeight="1">
      <c r="W537" s="14"/>
      <c r="X537" s="1822">
        <v>0</v>
      </c>
      <c r="Y537" s="1821"/>
      <c r="Z537" s="174"/>
      <c r="AA537" s="174"/>
      <c r="AB537" s="174"/>
      <c r="AC537" s="174" t="s">
        <v>171</v>
      </c>
      <c r="AD537" s="1888">
        <v>3.472222222222222E-3</v>
      </c>
      <c r="AE537" s="399">
        <v>100</v>
      </c>
      <c r="AF537" s="400" t="s">
        <v>450</v>
      </c>
      <c r="AG537" s="1889"/>
      <c r="AV537" s="3">
        <v>1</v>
      </c>
    </row>
    <row r="538" spans="23:48" ht="21" customHeight="1">
      <c r="W538" s="14"/>
      <c r="X538" s="1823" t="str">
        <f>IF(ISBLANK(Y538),"",LARGE(X537:X537,1)+1)</f>
        <v/>
      </c>
      <c r="Y538" s="1810"/>
      <c r="Z538" s="174"/>
      <c r="AA538" s="174"/>
      <c r="AB538" s="174"/>
      <c r="AC538" s="174" t="s">
        <v>173</v>
      </c>
      <c r="AD538" s="1423">
        <v>1.0416666666666666E-2</v>
      </c>
      <c r="AE538" s="381">
        <v>90</v>
      </c>
      <c r="AF538" s="401" t="s">
        <v>451</v>
      </c>
      <c r="AG538" s="1424"/>
      <c r="AV538" s="3">
        <v>1</v>
      </c>
    </row>
    <row r="539" spans="23:48" ht="21" customHeight="1">
      <c r="W539" s="14"/>
      <c r="X539" s="1823" t="str">
        <f>IF(ISBLANK(Y539),"",LARGE(X537:X538,1)+1)</f>
        <v/>
      </c>
      <c r="Y539" s="1810"/>
      <c r="Z539" s="174"/>
      <c r="AA539" s="174"/>
      <c r="AB539" s="174"/>
      <c r="AC539" s="174" t="s">
        <v>452</v>
      </c>
      <c r="AD539" s="1425">
        <v>2.0833333333333332E-2</v>
      </c>
      <c r="AE539" s="402" t="s">
        <v>165</v>
      </c>
      <c r="AF539" s="1426" t="s">
        <v>164</v>
      </c>
      <c r="AG539" s="1427"/>
      <c r="AV539" s="3">
        <v>1</v>
      </c>
    </row>
    <row r="540" spans="23:48" ht="21" customHeight="1">
      <c r="W540" s="14"/>
      <c r="X540" s="1823" t="str">
        <f>IF(ISBLANK(Y540),"",LARGE(X537:X539,1)+1)</f>
        <v/>
      </c>
      <c r="Y540" s="1810"/>
      <c r="Z540" s="179"/>
      <c r="AA540" s="179"/>
      <c r="AB540" s="179"/>
      <c r="AC540" s="179" t="s">
        <v>182</v>
      </c>
      <c r="AD540" s="1893">
        <f>AD537+AD538+AD539</f>
        <v>3.4722222222222224E-2</v>
      </c>
      <c r="AE540" s="402" t="s">
        <v>165</v>
      </c>
      <c r="AF540" s="1426" t="s">
        <v>167</v>
      </c>
      <c r="AG540" s="1894"/>
      <c r="AV540" s="3">
        <v>1</v>
      </c>
    </row>
    <row r="541" spans="23:48" ht="21" customHeight="1">
      <c r="W541" s="14"/>
      <c r="X541" s="1823"/>
      <c r="Y541" s="1839" t="s">
        <v>821</v>
      </c>
      <c r="Z541" s="1839"/>
      <c r="AA541" s="1890"/>
      <c r="AB541" s="1890"/>
      <c r="AC541" s="1890"/>
      <c r="AD541" s="1890"/>
      <c r="AE541" s="1890"/>
      <c r="AF541" s="1895"/>
      <c r="AG541" s="1892" t="s">
        <v>196</v>
      </c>
      <c r="AV541" s="3">
        <v>1</v>
      </c>
    </row>
    <row r="542" spans="23:48" ht="21" customHeight="1">
      <c r="W542" s="14"/>
      <c r="X542" s="1823"/>
      <c r="Y542" s="1821" t="s">
        <v>8146</v>
      </c>
      <c r="Z542" s="1377"/>
      <c r="AA542" s="1377"/>
      <c r="AB542" s="1377"/>
      <c r="AC542" s="1377"/>
      <c r="AD542" s="1377"/>
      <c r="AE542" s="1410"/>
      <c r="AF542" s="1410"/>
      <c r="AG542" s="1411"/>
      <c r="AV542" s="3">
        <v>1</v>
      </c>
    </row>
    <row r="543" spans="23:48" ht="21" customHeight="1">
      <c r="W543" s="14"/>
      <c r="X543" s="1823" t="str">
        <f>IF(ISBLANK(Y543),"",LARGE(X537:X542,1)+1)</f>
        <v/>
      </c>
      <c r="Y543" s="1886"/>
      <c r="Z543" s="1883"/>
      <c r="AA543" s="1883"/>
      <c r="AB543" s="1883"/>
      <c r="AC543" s="1883"/>
      <c r="AD543" s="1883"/>
      <c r="AE543" s="1884"/>
      <c r="AF543" s="1884"/>
      <c r="AG543" s="1885"/>
      <c r="AV543" s="3">
        <v>1</v>
      </c>
    </row>
    <row r="544" spans="23:48" ht="21" customHeight="1">
      <c r="W544" s="14"/>
      <c r="X544" s="1823" t="str">
        <f>IF(ISBLANK(Y544),"",LARGE(X537:X543,1)+1)</f>
        <v/>
      </c>
      <c r="Y544" s="1886"/>
      <c r="Z544" s="1883"/>
      <c r="AA544" s="1883"/>
      <c r="AB544" s="1883"/>
      <c r="AC544" s="1883"/>
      <c r="AD544" s="1883"/>
      <c r="AE544" s="1884"/>
      <c r="AF544" s="1884"/>
      <c r="AG544" s="1885"/>
      <c r="AV544" s="3">
        <v>1</v>
      </c>
    </row>
    <row r="545" spans="23:48" ht="21" customHeight="1">
      <c r="W545" s="14"/>
      <c r="X545" s="1823" t="str">
        <f>IF(ISBLANK(Y545),"",LARGE(X537:X544,1)+1)</f>
        <v/>
      </c>
      <c r="Y545" s="1886"/>
      <c r="Z545" s="1883"/>
      <c r="AA545" s="1883"/>
      <c r="AB545" s="1883"/>
      <c r="AC545" s="1883"/>
      <c r="AD545" s="1883"/>
      <c r="AE545" s="1884"/>
      <c r="AF545" s="1884"/>
      <c r="AG545" s="1885"/>
      <c r="AV545" s="3">
        <v>1</v>
      </c>
    </row>
    <row r="546" spans="23:48" ht="21" customHeight="1">
      <c r="W546" s="14"/>
      <c r="X546" s="1823" t="str">
        <f>IF(ISBLANK(Y546),"",LARGE(X537:X545,1)+1)</f>
        <v/>
      </c>
      <c r="Y546" s="1886"/>
      <c r="Z546" s="1883"/>
      <c r="AA546" s="1883"/>
      <c r="AB546" s="1883"/>
      <c r="AC546" s="1883"/>
      <c r="AD546" s="1883"/>
      <c r="AE546" s="1884"/>
      <c r="AF546" s="1884"/>
      <c r="AG546" s="1885"/>
      <c r="AV546" s="3">
        <v>1</v>
      </c>
    </row>
    <row r="547" spans="23:48" ht="21" customHeight="1">
      <c r="W547" s="14"/>
      <c r="X547" s="1823" t="str">
        <f>IF(ISBLANK(Y547),"",LARGE(X537:X546,1)+1)</f>
        <v/>
      </c>
      <c r="Y547" s="1886"/>
      <c r="Z547" s="1883"/>
      <c r="AA547" s="1883"/>
      <c r="AB547" s="1883"/>
      <c r="AC547" s="1883"/>
      <c r="AD547" s="1883"/>
      <c r="AE547" s="1884"/>
      <c r="AF547" s="1884"/>
      <c r="AG547" s="1885"/>
      <c r="AV547" s="3">
        <v>1</v>
      </c>
    </row>
    <row r="548" spans="23:48" ht="21" customHeight="1">
      <c r="W548" s="14"/>
      <c r="X548" s="1823" t="str">
        <f>IF(ISBLANK(Y548),"",LARGE(X537:X547,1)+1)</f>
        <v/>
      </c>
      <c r="Y548" s="1886"/>
      <c r="Z548" s="1883"/>
      <c r="AA548" s="1883"/>
      <c r="AB548" s="1883"/>
      <c r="AC548" s="1883"/>
      <c r="AD548" s="1883"/>
      <c r="AE548" s="1884"/>
      <c r="AF548" s="1884"/>
      <c r="AG548" s="1885"/>
      <c r="AV548" s="3">
        <v>1</v>
      </c>
    </row>
    <row r="549" spans="23:48" ht="21" customHeight="1">
      <c r="W549" s="14"/>
      <c r="X549" s="1823" t="str">
        <f>IF(ISBLANK(Y549),"",LARGE(X537:X548,1)+1)</f>
        <v/>
      </c>
      <c r="Y549" s="1886"/>
      <c r="Z549" s="1883"/>
      <c r="AA549" s="1883"/>
      <c r="AB549" s="1883"/>
      <c r="AC549" s="1883"/>
      <c r="AD549" s="1883"/>
      <c r="AE549" s="1884"/>
      <c r="AF549" s="1884"/>
      <c r="AG549" s="1885"/>
      <c r="AV549" s="3">
        <v>1</v>
      </c>
    </row>
    <row r="550" spans="23:48" ht="21" customHeight="1">
      <c r="W550" s="14"/>
      <c r="X550" s="1823" t="str">
        <f>IF(ISBLANK(Y550),"",LARGE(X537:X549,1)+1)</f>
        <v/>
      </c>
      <c r="Y550" s="1886"/>
      <c r="Z550" s="1883"/>
      <c r="AA550" s="1883"/>
      <c r="AB550" s="1883"/>
      <c r="AC550" s="1883"/>
      <c r="AD550" s="1883"/>
      <c r="AE550" s="1884"/>
      <c r="AF550" s="1884"/>
      <c r="AG550" s="1885"/>
      <c r="AV550" s="3">
        <v>1</v>
      </c>
    </row>
    <row r="551" spans="23:48" ht="21" customHeight="1">
      <c r="W551" s="14"/>
      <c r="X551" s="1823" t="str">
        <f>IF(ISBLANK(Y551),"",LARGE(X537:X550,1)+1)</f>
        <v/>
      </c>
      <c r="Y551" s="1886"/>
      <c r="Z551" s="1883"/>
      <c r="AA551" s="1883"/>
      <c r="AB551" s="1883"/>
      <c r="AC551" s="1883"/>
      <c r="AD551" s="1883"/>
      <c r="AE551" s="1884"/>
      <c r="AF551" s="1884"/>
      <c r="AG551" s="1885"/>
      <c r="AV551" s="3">
        <v>1</v>
      </c>
    </row>
    <row r="552" spans="23:48" ht="21" customHeight="1">
      <c r="W552" s="14"/>
      <c r="X552" s="1823" t="str">
        <f>IF(ISBLANK(Y552),"",LARGE(X537:X551,1)+1)</f>
        <v/>
      </c>
      <c r="Y552" s="1886"/>
      <c r="Z552" s="1883"/>
      <c r="AA552" s="1883"/>
      <c r="AB552" s="1883"/>
      <c r="AC552" s="1883"/>
      <c r="AD552" s="1883"/>
      <c r="AE552" s="1884"/>
      <c r="AF552" s="1884"/>
      <c r="AG552" s="1885"/>
      <c r="AV552" s="3">
        <v>1</v>
      </c>
    </row>
    <row r="553" spans="23:48" ht="21" customHeight="1">
      <c r="W553" s="14"/>
      <c r="X553" s="1823" t="str">
        <f>IF(ISBLANK(Y553),"",LARGE(X537:X552,1)+1)</f>
        <v/>
      </c>
      <c r="Y553" s="1886"/>
      <c r="Z553" s="1883"/>
      <c r="AA553" s="1883"/>
      <c r="AB553" s="1883"/>
      <c r="AC553" s="1883"/>
      <c r="AD553" s="1883"/>
      <c r="AE553" s="1884"/>
      <c r="AF553" s="1884"/>
      <c r="AG553" s="1885"/>
      <c r="AV553" s="3">
        <v>1</v>
      </c>
    </row>
    <row r="554" spans="23:48" ht="21" customHeight="1">
      <c r="W554" s="14"/>
      <c r="X554" s="1823" t="str">
        <f>IF(ISBLANK(Y554),"",LARGE(X537:X553,1)+1)</f>
        <v/>
      </c>
      <c r="Y554" s="1886"/>
      <c r="Z554" s="1883"/>
      <c r="AA554" s="1883"/>
      <c r="AB554" s="1883"/>
      <c r="AC554" s="1883"/>
      <c r="AD554" s="1883"/>
      <c r="AE554" s="1884"/>
      <c r="AF554" s="1884"/>
      <c r="AG554" s="1885"/>
      <c r="AV554" s="3">
        <v>1</v>
      </c>
    </row>
    <row r="555" spans="23:48" ht="21" customHeight="1">
      <c r="W555" s="14"/>
      <c r="X555" s="1823" t="str">
        <f>IF(ISBLANK(Y555),"",LARGE(X537:X554,1)+1)</f>
        <v/>
      </c>
      <c r="Y555" s="1886"/>
      <c r="Z555" s="1883"/>
      <c r="AA555" s="1883"/>
      <c r="AB555" s="1883"/>
      <c r="AC555" s="1883"/>
      <c r="AD555" s="1883"/>
      <c r="AE555" s="1884"/>
      <c r="AF555" s="1884"/>
      <c r="AG555" s="1885"/>
      <c r="AV555" s="3">
        <v>1</v>
      </c>
    </row>
    <row r="556" spans="23:48" ht="21" customHeight="1">
      <c r="W556" s="14"/>
      <c r="X556" s="1963" t="s">
        <v>8629</v>
      </c>
      <c r="Y556" s="1844"/>
      <c r="Z556" s="1844"/>
      <c r="AA556" s="1844"/>
      <c r="AB556" s="1844"/>
      <c r="AC556" s="1844"/>
      <c r="AD556" s="1844"/>
      <c r="AE556" s="1844"/>
      <c r="AF556" s="1844"/>
      <c r="AG556" s="1964" t="s">
        <v>8629</v>
      </c>
      <c r="AV556" s="3">
        <v>1</v>
      </c>
    </row>
    <row r="557" spans="23:48" ht="21" customHeight="1">
      <c r="W557" s="14"/>
      <c r="X557" s="1372" t="s">
        <v>8145</v>
      </c>
      <c r="Y557" s="419"/>
      <c r="Z557" s="230"/>
      <c r="AA557" s="230"/>
      <c r="AB557" s="230"/>
      <c r="AC557" s="230"/>
      <c r="AD557" s="231"/>
      <c r="AE557" s="231"/>
      <c r="AF557" s="231"/>
      <c r="AG557" s="585" t="s">
        <v>8576</v>
      </c>
      <c r="AV557" s="3">
        <v>1</v>
      </c>
    </row>
    <row r="558" spans="23:48" ht="21" customHeight="1">
      <c r="W558" s="14"/>
      <c r="X558" s="1392">
        <v>0</v>
      </c>
      <c r="Y558" s="6769"/>
      <c r="Z558" s="6771" t="s">
        <v>95</v>
      </c>
      <c r="AA558" s="76" t="s">
        <v>78</v>
      </c>
      <c r="AB558" s="6612" t="s">
        <v>80</v>
      </c>
      <c r="AC558" s="6614" t="s">
        <v>81</v>
      </c>
      <c r="AD558" s="6767" t="s">
        <v>49</v>
      </c>
      <c r="AE558" s="6609" t="s">
        <v>87</v>
      </c>
      <c r="AF558" s="1787"/>
      <c r="AG558" s="1760"/>
      <c r="AV558" s="3">
        <v>1</v>
      </c>
    </row>
    <row r="559" spans="23:48" ht="21" customHeight="1">
      <c r="W559" s="14"/>
      <c r="X559" s="1394" t="str">
        <f>IF(ISBLANK(Y559),"",LARGE(X558:X558,1)+1)</f>
        <v/>
      </c>
      <c r="Y559" s="6770"/>
      <c r="Z559" s="6772"/>
      <c r="AA559" s="83" t="s">
        <v>84</v>
      </c>
      <c r="AB559" s="6577"/>
      <c r="AC559" s="6766"/>
      <c r="AD559" s="6768"/>
      <c r="AE559" s="6587"/>
      <c r="AF559" s="1787"/>
      <c r="AG559" s="1760"/>
      <c r="AV559" s="3">
        <v>1</v>
      </c>
    </row>
    <row r="560" spans="23:48" ht="21" customHeight="1">
      <c r="W560" s="14"/>
      <c r="X560" s="1394" t="str">
        <f>IF(ISBLANK(Y560),"",LARGE(X558:X559,1)+1)</f>
        <v/>
      </c>
      <c r="Y560" s="1429"/>
      <c r="Z560" s="1875" t="s">
        <v>490</v>
      </c>
      <c r="AA560" s="1800"/>
      <c r="AB560" s="1430">
        <v>350</v>
      </c>
      <c r="AC560" s="1431" t="s">
        <v>100</v>
      </c>
      <c r="AD560" s="421">
        <f>IFERROR(INDEX(AA566:AG566,MATCH(AC560,AA565:AG565,0)) * AB560 * IF(ISBLANK(AA560), 1, AA560), 0)</f>
        <v>0.35000000000000003</v>
      </c>
      <c r="AE560" s="1432" t="str">
        <f>IF(AC560="","",IF(COUNTIF(AC565:AG565,SUBSTITUTE(TRIM(AC560)," (s)",""))&gt;0,IF(ROUND(AD560,3)&gt;=1,ROUND(AD560,3)&amp;" L",MAX(1,ROUND(AD560*100,0))&amp;" cl"),IF(COUNTIF(AA565:AB565,SUBSTITUTE(TRIM(AC560)," (s)",""))&gt;0,IF(ROUND(AD560,3)&gt;=1,ROUND(AD560,3)&amp;" Kg",MAX(1,ROUND(AD560*1000,0))&amp;" g"),"")))</f>
        <v>350 g</v>
      </c>
      <c r="AF560" s="1787"/>
      <c r="AG560" s="1760"/>
      <c r="AV560" s="3">
        <v>1</v>
      </c>
    </row>
    <row r="561" spans="23:48" ht="21" customHeight="1">
      <c r="W561" s="14"/>
      <c r="X561" s="1394" t="str">
        <f>IF(ISBLANK(Y561),"",LARGE(X558:X560,1)+1)</f>
        <v/>
      </c>
      <c r="Y561" s="1433"/>
      <c r="Z561" s="1876" t="s">
        <v>494</v>
      </c>
      <c r="AA561" s="1801"/>
      <c r="AB561" s="1434">
        <v>1.2</v>
      </c>
      <c r="AC561" s="422" t="s">
        <v>140</v>
      </c>
      <c r="AD561" s="421">
        <f>IFERROR(INDEX(AA566:AG566,MATCH(AC561,AA565:AG565,0)) * AB561 * IF(ISBLANK(AA561), 1, AA561), 0)</f>
        <v>1.2</v>
      </c>
      <c r="AE561" s="1432" t="str">
        <f>IF(AC561="","",IF(COUNTIF(AC565:AG565,SUBSTITUTE(TRIM(AC561)," (s)",""))&gt;0,IF(ROUND(AD561,3)&gt;=1,ROUND(AD561,3)&amp;" L",MAX(1,ROUND(AD561*100,0))&amp;" cl"),IF(COUNTIF(AA565:AB565,SUBSTITUTE(TRIM(AC561)," (s)",""))&gt;0,IF(ROUND(AD561,3)&gt;=1,ROUND(AD561,3)&amp;" Kg",MAX(1,ROUND(AD561*1000,0))&amp;" g"),"")))</f>
        <v>1.2 Kg</v>
      </c>
      <c r="AF561" s="1787"/>
      <c r="AG561" s="1760"/>
      <c r="AV561" s="3">
        <v>1</v>
      </c>
    </row>
    <row r="562" spans="23:48" ht="21" customHeight="1">
      <c r="W562" s="14"/>
      <c r="X562" s="1394" t="str">
        <f>IF(ISBLANK(Y562),"",LARGE(X558:X561,1)+1)</f>
        <v/>
      </c>
      <c r="Y562" s="1435"/>
      <c r="Z562" s="1877" t="s">
        <v>491</v>
      </c>
      <c r="AA562" s="1801">
        <v>2</v>
      </c>
      <c r="AB562" s="1436">
        <v>50</v>
      </c>
      <c r="AC562" s="104" t="s">
        <v>100</v>
      </c>
      <c r="AD562" s="421">
        <f>IFERROR(INDEX(AA566:AG566,MATCH(AC562,AA565:AG565,0)) * AB562 * IF(ISBLANK(AA562), 1, AA562), 0)</f>
        <v>0.1</v>
      </c>
      <c r="AE562" s="1432" t="str">
        <f>IF(AC562="","",IF(COUNTIF(AC565:AG565,SUBSTITUTE(TRIM(AC562)," (s)",""))&gt;0,IF(ROUND(AD562,3)&gt;=1,ROUND(AD562,3)&amp;" L",MAX(1,ROUND(AD562*100,0))&amp;" cl"),IF(COUNTIF(AA565:AB565,SUBSTITUTE(TRIM(AC562)," (s)",""))&gt;0,IF(ROUND(AD562,3)&gt;=1,ROUND(AD562,3)&amp;" Kg",MAX(1,ROUND(AD562*1000,0))&amp;" g"),"")))</f>
        <v>100 g</v>
      </c>
      <c r="AF562" s="1787"/>
      <c r="AG562" s="1760"/>
      <c r="AV562" s="3">
        <v>1</v>
      </c>
    </row>
    <row r="563" spans="23:48" ht="21" customHeight="1">
      <c r="W563" s="14"/>
      <c r="X563" s="1394" t="str">
        <f>IF(ISBLANK(Y563),"",LARGE(X558:X562,1)+1)</f>
        <v/>
      </c>
      <c r="Y563" s="1433"/>
      <c r="Z563" s="1876" t="s">
        <v>504</v>
      </c>
      <c r="AA563" s="1801"/>
      <c r="AB563" s="1436">
        <v>15</v>
      </c>
      <c r="AC563" s="109" t="s">
        <v>1323</v>
      </c>
      <c r="AD563" s="421">
        <f>IFERROR(INDEX(AA566:AG566,MATCH(AC563,AA565:AG565,0)) * AB563 * IF(ISBLANK(AA563), 1, AA563), 0)</f>
        <v>7.5</v>
      </c>
      <c r="AE563" s="1432" t="str">
        <f>IF(AC563="","",IF(COUNTIF(AC565:AG565,SUBSTITUTE(TRIM(AC563)," (s)",""))&gt;0,IF(ROUND(AD563,3)&gt;=1,ROUND(AD563,3)&amp;" L",MAX(1,ROUND(AD563*100,0))&amp;" cl"),IF(COUNTIF(AA565:AB565,SUBSTITUTE(TRIM(AC563)," (s)",""))&gt;0,IF(ROUND(AD563,3)&gt;=1,ROUND(AD563,3)&amp;" Kg",MAX(1,ROUND(AD563*1000,0))&amp;" g"),"")))</f>
        <v>7.5 L</v>
      </c>
      <c r="AF563" s="1787"/>
      <c r="AG563" s="1760"/>
      <c r="AV563" s="3">
        <v>1</v>
      </c>
    </row>
    <row r="564" spans="23:48" ht="21" customHeight="1">
      <c r="W564" s="14"/>
      <c r="X564" s="1394" t="str">
        <f>IF(ISBLANK(Y564),"",LARGE(X558:X563,1)+1)</f>
        <v/>
      </c>
      <c r="Y564" s="1437"/>
      <c r="Z564" s="1878" t="s">
        <v>508</v>
      </c>
      <c r="AA564" s="1438"/>
      <c r="AB564" s="1439"/>
      <c r="AC564" s="198"/>
      <c r="AD564" s="198"/>
      <c r="AE564" s="198"/>
      <c r="AF564" s="1759"/>
      <c r="AG564" s="1788"/>
      <c r="AV564" s="3">
        <v>1</v>
      </c>
    </row>
    <row r="565" spans="23:48" ht="21" customHeight="1">
      <c r="W565" s="14"/>
      <c r="X565" s="1394" t="str">
        <f>IF(ISBLANK(Y565),"",LARGE(X558:X564,1)+1)</f>
        <v/>
      </c>
      <c r="Y565" s="1440"/>
      <c r="Z565" s="1879" t="s">
        <v>8162</v>
      </c>
      <c r="AA565" s="422" t="s">
        <v>140</v>
      </c>
      <c r="AB565" s="104" t="s">
        <v>100</v>
      </c>
      <c r="AC565" s="643" t="s">
        <v>0</v>
      </c>
      <c r="AD565" s="93" t="s">
        <v>97</v>
      </c>
      <c r="AE565" s="93" t="s">
        <v>144</v>
      </c>
      <c r="AF565" s="643" t="s">
        <v>145</v>
      </c>
      <c r="AG565" s="109" t="s">
        <v>1323</v>
      </c>
      <c r="AV565" s="3">
        <v>1</v>
      </c>
    </row>
    <row r="566" spans="23:48" ht="21" customHeight="1">
      <c r="W566" s="14"/>
      <c r="X566" s="1394" t="str">
        <f>IF(ISBLANK(Y566),"",LARGE(X558:X565,1)+1)</f>
        <v/>
      </c>
      <c r="Y566" s="1441"/>
      <c r="Z566" s="9"/>
      <c r="AA566" s="1880">
        <v>1</v>
      </c>
      <c r="AB566" s="1881">
        <v>1E-3</v>
      </c>
      <c r="AC566" s="1882">
        <v>1</v>
      </c>
      <c r="AD566" s="1882">
        <v>0.1</v>
      </c>
      <c r="AE566" s="1882">
        <v>0.01</v>
      </c>
      <c r="AF566" s="1882">
        <v>1E-3</v>
      </c>
      <c r="AG566" s="1908">
        <v>0.5</v>
      </c>
      <c r="AV566" s="3">
        <v>1</v>
      </c>
    </row>
    <row r="567" spans="23:48" ht="21" customHeight="1">
      <c r="W567" s="14"/>
      <c r="X567" s="1823"/>
      <c r="Y567" s="1845" t="s">
        <v>821</v>
      </c>
      <c r="Z567" s="1845"/>
      <c r="AA567" s="1909"/>
      <c r="AB567" s="1909"/>
      <c r="AC567" s="1909"/>
      <c r="AD567" s="1909"/>
      <c r="AE567" s="1909"/>
      <c r="AF567" s="1909"/>
      <c r="AG567" s="1907" t="s">
        <v>196</v>
      </c>
      <c r="AV567" s="3">
        <v>1</v>
      </c>
    </row>
    <row r="568" spans="23:48" ht="21" customHeight="1">
      <c r="W568" s="14"/>
      <c r="X568" s="1823"/>
      <c r="Y568" s="1910" t="s">
        <v>8146</v>
      </c>
      <c r="Z568" s="1883"/>
      <c r="AA568" s="1883"/>
      <c r="AB568" s="1883"/>
      <c r="AC568" s="1883"/>
      <c r="AD568" s="1883"/>
      <c r="AE568" s="1883"/>
      <c r="AF568" s="1883"/>
      <c r="AG568" s="1885"/>
      <c r="AV568" s="3">
        <v>1</v>
      </c>
    </row>
    <row r="569" spans="23:48" ht="21" customHeight="1">
      <c r="W569" s="14"/>
      <c r="X569" s="1823" t="str">
        <f>IF(ISBLANK(Y569),"",LARGE(X558:X568,1)+1)</f>
        <v/>
      </c>
      <c r="Y569" s="1883"/>
      <c r="Z569" s="1883"/>
      <c r="AA569" s="1883"/>
      <c r="AB569" s="1883"/>
      <c r="AC569" s="1883"/>
      <c r="AD569" s="1883"/>
      <c r="AE569" s="1884"/>
      <c r="AF569" s="1884"/>
      <c r="AG569" s="1885"/>
      <c r="AV569" s="3">
        <v>1</v>
      </c>
    </row>
    <row r="570" spans="23:48" ht="21" customHeight="1">
      <c r="W570" s="14"/>
      <c r="X570" s="1823" t="str">
        <f>IF(ISBLANK(Y570),"",LARGE(X558:X569,1)+1)</f>
        <v/>
      </c>
      <c r="Y570" s="1883"/>
      <c r="Z570" s="1883"/>
      <c r="AA570" s="1883"/>
      <c r="AB570" s="1883"/>
      <c r="AC570" s="1883"/>
      <c r="AD570" s="1883"/>
      <c r="AE570" s="1884"/>
      <c r="AF570" s="1884"/>
      <c r="AG570" s="1885"/>
      <c r="AV570" s="3">
        <v>1</v>
      </c>
    </row>
    <row r="571" spans="23:48" ht="21" customHeight="1">
      <c r="W571" s="14"/>
      <c r="X571" s="1823" t="str">
        <f>IF(ISBLANK(Y571),"",LARGE(X558:X570,1)+1)</f>
        <v/>
      </c>
      <c r="Y571" s="1883"/>
      <c r="Z571" s="1883"/>
      <c r="AA571" s="1883"/>
      <c r="AB571" s="1883"/>
      <c r="AC571" s="1883"/>
      <c r="AD571" s="1883"/>
      <c r="AE571" s="1884"/>
      <c r="AF571" s="1884"/>
      <c r="AG571" s="1885"/>
      <c r="AV571" s="3">
        <v>1</v>
      </c>
    </row>
    <row r="572" spans="23:48" ht="21" customHeight="1">
      <c r="W572" s="14"/>
      <c r="X572" s="1823" t="str">
        <f>IF(ISBLANK(Y572),"",LARGE(X558:X571,1)+1)</f>
        <v/>
      </c>
      <c r="Y572" s="1883"/>
      <c r="Z572" s="1883"/>
      <c r="AA572" s="1883"/>
      <c r="AB572" s="1883"/>
      <c r="AC572" s="1883"/>
      <c r="AD572" s="1883"/>
      <c r="AE572" s="1884"/>
      <c r="AF572" s="1884"/>
      <c r="AG572" s="1885"/>
      <c r="AV572" s="3">
        <v>1</v>
      </c>
    </row>
    <row r="573" spans="23:48" ht="21" customHeight="1">
      <c r="W573" s="14"/>
      <c r="X573" s="1823" t="str">
        <f>IF(ISBLANK(Y573),"",LARGE(X558:X572,1)+1)</f>
        <v/>
      </c>
      <c r="Y573" s="1883"/>
      <c r="Z573" s="1883"/>
      <c r="AA573" s="1883"/>
      <c r="AB573" s="1883"/>
      <c r="AC573" s="1883"/>
      <c r="AD573" s="1883"/>
      <c r="AE573" s="1884"/>
      <c r="AF573" s="1884"/>
      <c r="AG573" s="1885"/>
      <c r="AV573" s="3">
        <v>1</v>
      </c>
    </row>
    <row r="574" spans="23:48" ht="21" customHeight="1">
      <c r="W574" s="14"/>
      <c r="X574" s="1823" t="str">
        <f>IF(ISBLANK(Y574),"",LARGE(X558:X573,1)+1)</f>
        <v/>
      </c>
      <c r="Y574" s="1883"/>
      <c r="Z574" s="1883"/>
      <c r="AA574" s="1883"/>
      <c r="AB574" s="1883"/>
      <c r="AC574" s="1883"/>
      <c r="AD574" s="1883"/>
      <c r="AE574" s="1884"/>
      <c r="AF574" s="1884"/>
      <c r="AG574" s="1885"/>
      <c r="AV574" s="3">
        <v>1</v>
      </c>
    </row>
    <row r="575" spans="23:48" ht="21" customHeight="1">
      <c r="W575" s="14"/>
      <c r="X575" s="1823" t="str">
        <f>IF(ISBLANK(Y575),"",LARGE(X558:X574,1)+1)</f>
        <v/>
      </c>
      <c r="Y575" s="1883"/>
      <c r="Z575" s="1883"/>
      <c r="AA575" s="1883"/>
      <c r="AB575" s="1883"/>
      <c r="AC575" s="1883"/>
      <c r="AD575" s="1883"/>
      <c r="AE575" s="1884"/>
      <c r="AF575" s="1884"/>
      <c r="AG575" s="1885"/>
      <c r="AV575" s="3">
        <v>1</v>
      </c>
    </row>
    <row r="576" spans="23:48" ht="21" customHeight="1">
      <c r="W576" s="14"/>
      <c r="X576" s="1823" t="str">
        <f>IF(ISBLANK(Y576),"",LARGE(X558:X575,1)+1)</f>
        <v/>
      </c>
      <c r="Y576" s="1883"/>
      <c r="Z576" s="1883"/>
      <c r="AA576" s="1883"/>
      <c r="AB576" s="1883"/>
      <c r="AC576" s="1883"/>
      <c r="AD576" s="1883"/>
      <c r="AE576" s="1884"/>
      <c r="AF576" s="1884"/>
      <c r="AG576" s="1885"/>
      <c r="AV576" s="3">
        <v>1</v>
      </c>
    </row>
    <row r="577" spans="23:48" ht="21" customHeight="1">
      <c r="W577" s="14"/>
      <c r="X577" s="1963" t="s">
        <v>8629</v>
      </c>
      <c r="Y577" s="1844"/>
      <c r="Z577" s="1844"/>
      <c r="AA577" s="1844"/>
      <c r="AB577" s="1844"/>
      <c r="AC577" s="1844"/>
      <c r="AD577" s="1844"/>
      <c r="AE577" s="1844"/>
      <c r="AF577" s="1844"/>
      <c r="AG577" s="1964" t="s">
        <v>8629</v>
      </c>
      <c r="AV577" s="3">
        <v>1</v>
      </c>
    </row>
    <row r="578" spans="23:48" ht="21" customHeight="1">
      <c r="W578" s="14"/>
      <c r="X578" s="1388" t="s">
        <v>8145</v>
      </c>
      <c r="Y578" s="1428" t="s">
        <v>821</v>
      </c>
      <c r="Z578" s="419"/>
      <c r="AA578" s="419"/>
      <c r="AB578" s="419"/>
      <c r="AC578" s="230"/>
      <c r="AD578" s="231"/>
      <c r="AE578" s="231"/>
      <c r="AF578" s="231"/>
      <c r="AG578" s="585" t="s">
        <v>218</v>
      </c>
      <c r="AV578" s="3">
        <v>1</v>
      </c>
    </row>
    <row r="579" spans="23:48" ht="21" customHeight="1">
      <c r="W579" s="14"/>
      <c r="X579" s="1392">
        <v>0</v>
      </c>
      <c r="Y579" s="1866" t="s">
        <v>8146</v>
      </c>
      <c r="Z579" s="1416"/>
      <c r="AA579" s="1761"/>
      <c r="AB579" s="1762"/>
      <c r="AC579" s="439" t="s">
        <v>519</v>
      </c>
      <c r="AD579" s="441" t="s">
        <v>416</v>
      </c>
      <c r="AE579" s="441" t="s">
        <v>520</v>
      </c>
      <c r="AF579" s="441" t="s">
        <v>521</v>
      </c>
      <c r="AG579" s="1782"/>
      <c r="AV579" s="3">
        <v>1</v>
      </c>
    </row>
    <row r="580" spans="23:48" ht="21" customHeight="1">
      <c r="W580" s="14"/>
      <c r="X580" s="1394" t="str">
        <f>IF(ISBLANK(Y580),"",LARGE(X579:X579,1)+1)</f>
        <v/>
      </c>
      <c r="Y580" s="1896"/>
      <c r="Z580" s="1883"/>
      <c r="AA580" s="1883"/>
      <c r="AB580" s="1883"/>
      <c r="AC580" s="442" t="s">
        <v>525</v>
      </c>
      <c r="AD580" s="443">
        <v>4.1666666666666699E-2</v>
      </c>
      <c r="AE580" s="444">
        <v>220</v>
      </c>
      <c r="AF580" s="445" t="s">
        <v>526</v>
      </c>
      <c r="AG580" s="1783"/>
      <c r="AV580" s="3">
        <v>1</v>
      </c>
    </row>
    <row r="581" spans="23:48" ht="21" customHeight="1">
      <c r="W581" s="14"/>
      <c r="X581" s="1394" t="str">
        <f>IF(ISBLANK(Y581),"",LARGE(X579:X580,1)+1)</f>
        <v/>
      </c>
      <c r="Y581" s="1896"/>
      <c r="Z581" s="1883"/>
      <c r="AA581" s="1883"/>
      <c r="AB581" s="1883"/>
      <c r="AC581" s="446" t="s">
        <v>519</v>
      </c>
      <c r="AD581" s="447"/>
      <c r="AE581" s="447" t="s">
        <v>527</v>
      </c>
      <c r="AF581" s="448" t="s">
        <v>528</v>
      </c>
      <c r="AG581" s="1784"/>
      <c r="AV581" s="3">
        <v>1</v>
      </c>
    </row>
    <row r="582" spans="23:48" ht="21" customHeight="1">
      <c r="W582" s="14"/>
      <c r="X582" s="1394" t="str">
        <f>IF(ISBLANK(Y582),"",LARGE(X579:X581,1)+1)</f>
        <v/>
      </c>
      <c r="Y582" s="1896"/>
      <c r="Z582" s="1883"/>
      <c r="AA582" s="1883"/>
      <c r="AB582" s="1883"/>
      <c r="AC582" s="450" t="s">
        <v>535</v>
      </c>
      <c r="AD582" s="451"/>
      <c r="AE582" s="452">
        <v>250</v>
      </c>
      <c r="AF582" s="453" t="s">
        <v>536</v>
      </c>
      <c r="AG582" s="1785"/>
      <c r="AV582" s="3">
        <v>1</v>
      </c>
    </row>
    <row r="583" spans="23:48" ht="21" customHeight="1">
      <c r="W583" s="14"/>
      <c r="X583" s="1394" t="str">
        <f>IF(ISBLANK(Y583),"",LARGE(X579:X582,1)+1)</f>
        <v/>
      </c>
      <c r="Y583" s="1896"/>
      <c r="Z583" s="1883"/>
      <c r="AA583" s="1883"/>
      <c r="AB583" s="1883"/>
      <c r="AC583" s="446" t="s">
        <v>519</v>
      </c>
      <c r="AD583" s="447"/>
      <c r="AE583" s="447" t="s">
        <v>527</v>
      </c>
      <c r="AF583" s="448" t="s">
        <v>528</v>
      </c>
      <c r="AG583" s="1784"/>
      <c r="AV583" s="3">
        <v>1</v>
      </c>
    </row>
    <row r="584" spans="23:48" ht="21" customHeight="1">
      <c r="W584" s="14"/>
      <c r="X584" s="1394" t="str">
        <f>IF(ISBLANK(Y584),"",LARGE(X579:X583,1)+1)</f>
        <v/>
      </c>
      <c r="Y584" s="1896"/>
      <c r="Z584" s="1883"/>
      <c r="AA584" s="1883"/>
      <c r="AB584" s="1883"/>
      <c r="AC584" s="450" t="s">
        <v>535</v>
      </c>
      <c r="AD584" s="451">
        <v>4.8611111111111112E-3</v>
      </c>
      <c r="AE584" s="452">
        <v>250</v>
      </c>
      <c r="AF584" s="453" t="s">
        <v>542</v>
      </c>
      <c r="AG584" s="1785"/>
      <c r="AV584" s="3">
        <v>1</v>
      </c>
    </row>
    <row r="585" spans="23:48" ht="21" customHeight="1">
      <c r="W585" s="14"/>
      <c r="X585" s="1394" t="str">
        <f>IF(ISBLANK(Y585),"",LARGE(X579:X584,1)+1)</f>
        <v/>
      </c>
      <c r="Y585" s="1896"/>
      <c r="Z585" s="1883"/>
      <c r="AA585" s="1883"/>
      <c r="AB585" s="1883"/>
      <c r="AC585" s="446" t="s">
        <v>519</v>
      </c>
      <c r="AD585" s="447"/>
      <c r="AE585" s="447" t="s">
        <v>527</v>
      </c>
      <c r="AF585" s="448" t="s">
        <v>528</v>
      </c>
      <c r="AG585" s="1784"/>
      <c r="AV585" s="3">
        <v>1</v>
      </c>
    </row>
    <row r="586" spans="23:48" ht="21" customHeight="1">
      <c r="W586" s="14"/>
      <c r="X586" s="1394" t="str">
        <f>IF(ISBLANK(Y586),"",LARGE(X579:X585,1)+1)</f>
        <v/>
      </c>
      <c r="Y586" s="1896"/>
      <c r="Z586" s="1883"/>
      <c r="AA586" s="1883"/>
      <c r="AB586" s="1883"/>
      <c r="AC586" s="450" t="s">
        <v>535</v>
      </c>
      <c r="AD586" s="451">
        <v>0.10416666666666667</v>
      </c>
      <c r="AE586" s="452">
        <v>170</v>
      </c>
      <c r="AF586" s="1443" t="s">
        <v>543</v>
      </c>
      <c r="AG586" s="1786"/>
      <c r="AV586" s="3">
        <v>1</v>
      </c>
    </row>
    <row r="587" spans="23:48" ht="21" customHeight="1">
      <c r="W587" s="14"/>
      <c r="X587" s="1394" t="str">
        <f>IF(ISBLANK(Y587),"",LARGE(X579:X586,1)+1)</f>
        <v/>
      </c>
      <c r="Y587" s="1896"/>
      <c r="Z587" s="1883"/>
      <c r="AA587" s="1883"/>
      <c r="AB587" s="1883"/>
      <c r="AC587" s="446" t="s">
        <v>519</v>
      </c>
      <c r="AD587" s="447"/>
      <c r="AE587" s="447" t="s">
        <v>527</v>
      </c>
      <c r="AF587" s="448" t="s">
        <v>546</v>
      </c>
      <c r="AG587" s="1784"/>
      <c r="AV587" s="3">
        <v>1</v>
      </c>
    </row>
    <row r="588" spans="23:48" ht="21" customHeight="1">
      <c r="W588" s="14"/>
      <c r="X588" s="1394" t="str">
        <f>IF(ISBLANK(Y588),"",LARGE(X579:X587,1)+1)</f>
        <v/>
      </c>
      <c r="Y588" s="1896"/>
      <c r="Z588" s="1883"/>
      <c r="AA588" s="1883"/>
      <c r="AB588" s="1883"/>
      <c r="AC588" s="450" t="s">
        <v>535</v>
      </c>
      <c r="AD588" s="451">
        <v>4.8611111111111112E-3</v>
      </c>
      <c r="AE588" s="452">
        <v>100</v>
      </c>
      <c r="AF588" s="453"/>
      <c r="AG588" s="1785"/>
      <c r="AV588" s="3">
        <v>1</v>
      </c>
    </row>
    <row r="589" spans="23:48" ht="21" customHeight="1">
      <c r="W589" s="14"/>
      <c r="X589" s="1394" t="str">
        <f>IF(ISBLANK(Y589),"",LARGE(X579:X588,1)+1)</f>
        <v/>
      </c>
      <c r="Y589" s="1896"/>
      <c r="Z589" s="1883"/>
      <c r="AA589" s="1883"/>
      <c r="AB589" s="1883"/>
      <c r="AC589" s="446" t="s">
        <v>519</v>
      </c>
      <c r="AD589" s="447"/>
      <c r="AE589" s="447" t="s">
        <v>527</v>
      </c>
      <c r="AF589" s="448" t="s">
        <v>552</v>
      </c>
      <c r="AG589" s="1784"/>
      <c r="AV589" s="3">
        <v>1</v>
      </c>
    </row>
    <row r="590" spans="23:48" ht="21" customHeight="1">
      <c r="W590" s="14"/>
      <c r="X590" s="1394" t="str">
        <f>IF(ISBLANK(Y590),"",LARGE(X579:X589,1)+1)</f>
        <v/>
      </c>
      <c r="Y590" s="1896"/>
      <c r="Z590" s="1883"/>
      <c r="AA590" s="1883"/>
      <c r="AB590" s="1883"/>
      <c r="AC590" s="442" t="s">
        <v>535</v>
      </c>
      <c r="AD590" s="443">
        <v>4.8611111111111112E-3</v>
      </c>
      <c r="AE590" s="444">
        <v>110</v>
      </c>
      <c r="AF590" s="445"/>
      <c r="AG590" s="1783"/>
      <c r="AV590" s="3">
        <v>1</v>
      </c>
    </row>
    <row r="591" spans="23:48" ht="21" customHeight="1">
      <c r="W591" s="14"/>
      <c r="X591" s="1394" t="str">
        <f>IF(ISBLANK(Y591),"",LARGE(X579:X590,1)+1)</f>
        <v/>
      </c>
      <c r="Y591" s="1896"/>
      <c r="Z591" s="1883"/>
      <c r="AA591" s="1883"/>
      <c r="AB591" s="1883"/>
      <c r="AC591" s="446" t="s">
        <v>519</v>
      </c>
      <c r="AD591" s="447"/>
      <c r="AE591" s="447" t="s">
        <v>527</v>
      </c>
      <c r="AF591" s="448" t="s">
        <v>552</v>
      </c>
      <c r="AG591" s="1784"/>
      <c r="AV591" s="3">
        <v>1</v>
      </c>
    </row>
    <row r="592" spans="23:48" ht="21" customHeight="1">
      <c r="W592" s="14"/>
      <c r="X592" s="1394" t="str">
        <f>IF(ISBLANK(Y592),"",LARGE(X579:X591,1)+1)</f>
        <v/>
      </c>
      <c r="Y592" s="1896"/>
      <c r="Z592" s="1883"/>
      <c r="AA592" s="1883"/>
      <c r="AB592" s="1883"/>
      <c r="AC592" s="442" t="s">
        <v>535</v>
      </c>
      <c r="AD592" s="443">
        <v>4.8611111111111112E-3</v>
      </c>
      <c r="AE592" s="444">
        <v>110</v>
      </c>
      <c r="AF592" s="445"/>
      <c r="AG592" s="1783"/>
      <c r="AV592" s="3">
        <v>1</v>
      </c>
    </row>
    <row r="593" spans="23:48" ht="21" customHeight="1">
      <c r="W593" s="14"/>
      <c r="X593" s="1394" t="str">
        <f>IF(ISBLANK(Y593),"",LARGE(X579:X592,1)+1)</f>
        <v/>
      </c>
      <c r="Y593" s="1896"/>
      <c r="Z593" s="1883"/>
      <c r="AA593" s="1883"/>
      <c r="AB593" s="1883"/>
      <c r="AC593" s="446" t="s">
        <v>519</v>
      </c>
      <c r="AD593" s="447"/>
      <c r="AE593" s="447" t="s">
        <v>527</v>
      </c>
      <c r="AF593" s="448" t="s">
        <v>552</v>
      </c>
      <c r="AG593" s="1784"/>
      <c r="AV593" s="3">
        <v>1</v>
      </c>
    </row>
    <row r="594" spans="23:48" ht="21" customHeight="1">
      <c r="W594" s="14"/>
      <c r="X594" s="1394" t="str">
        <f>IF(ISBLANK(Y594),"",LARGE(X579:X593,1)+1)</f>
        <v/>
      </c>
      <c r="Y594" s="1896"/>
      <c r="Z594" s="1883"/>
      <c r="AA594" s="1883"/>
      <c r="AB594" s="1883"/>
      <c r="AC594" s="450" t="s">
        <v>535</v>
      </c>
      <c r="AD594" s="451">
        <v>4.8611111111111112E-3</v>
      </c>
      <c r="AE594" s="452">
        <v>110</v>
      </c>
      <c r="AF594" s="453"/>
      <c r="AG594" s="1785"/>
      <c r="AV594" s="3">
        <v>1</v>
      </c>
    </row>
    <row r="595" spans="23:48" ht="21" customHeight="1">
      <c r="W595" s="14"/>
      <c r="X595" s="1394" t="str">
        <f>IF(ISBLANK(Y595),"",LARGE(X579:X594,1)+1)</f>
        <v/>
      </c>
      <c r="Y595" s="1896"/>
      <c r="Z595" s="1883"/>
      <c r="AA595" s="1883"/>
      <c r="AB595" s="1883"/>
      <c r="AC595" s="1389"/>
      <c r="AD595" s="1389"/>
      <c r="AE595" s="1389"/>
      <c r="AF595" s="1389"/>
      <c r="AG595" s="1874"/>
      <c r="AV595" s="3">
        <v>1</v>
      </c>
    </row>
    <row r="596" spans="23:48" ht="21" customHeight="1">
      <c r="W596" s="14"/>
      <c r="X596" s="1394" t="str">
        <f>IF(ISBLANK(Y596),"",LARGE(X579:X595,1)+1)</f>
        <v/>
      </c>
      <c r="Y596" s="1896"/>
      <c r="Z596" s="1883"/>
      <c r="AA596" s="1883"/>
      <c r="AB596" s="1883"/>
      <c r="AC596" s="1810"/>
      <c r="AD596" s="1810"/>
      <c r="AE596" s="1810"/>
      <c r="AF596" s="1810"/>
      <c r="AG596" s="1811"/>
      <c r="AV596" s="3">
        <v>1</v>
      </c>
    </row>
    <row r="597" spans="23:48" ht="21" customHeight="1">
      <c r="W597" s="14"/>
      <c r="X597" s="1394" t="str">
        <f>IF(ISBLANK(Y597),"",LARGE(X579:X596,1)+1)</f>
        <v/>
      </c>
      <c r="Y597" s="1869"/>
      <c r="Z597" s="1761"/>
      <c r="AA597" s="1761"/>
      <c r="AB597" s="1762"/>
      <c r="AC597" s="1810"/>
      <c r="AD597" s="1810"/>
      <c r="AE597" s="1810"/>
      <c r="AF597" s="1810"/>
      <c r="AG597" s="1408" t="s">
        <v>196</v>
      </c>
      <c r="AV597" s="3">
        <v>1</v>
      </c>
    </row>
    <row r="598" spans="23:48" ht="21" customHeight="1">
      <c r="W598" s="14"/>
      <c r="X598" s="1963" t="s">
        <v>8629</v>
      </c>
      <c r="Y598" s="1844"/>
      <c r="Z598" s="1844"/>
      <c r="AA598" s="1844"/>
      <c r="AB598" s="1844"/>
      <c r="AC598" s="1844"/>
      <c r="AD598" s="1844"/>
      <c r="AE598" s="1844"/>
      <c r="AF598" s="1844"/>
      <c r="AG598" s="1964" t="s">
        <v>8629</v>
      </c>
      <c r="AV598" s="3">
        <v>1</v>
      </c>
    </row>
    <row r="599" spans="23:48" ht="21" customHeight="1">
      <c r="W599" s="14"/>
      <c r="X599" s="1372" t="s">
        <v>8145</v>
      </c>
      <c r="Y599" s="1428" t="s">
        <v>821</v>
      </c>
      <c r="Z599" s="419"/>
      <c r="AA599" s="419"/>
      <c r="AB599" s="419"/>
      <c r="AC599" s="419"/>
      <c r="AD599" s="420"/>
      <c r="AE599" s="420"/>
      <c r="AF599" s="420"/>
      <c r="AG599" s="585" t="s">
        <v>218</v>
      </c>
      <c r="AV599" s="3">
        <v>1</v>
      </c>
    </row>
    <row r="600" spans="23:48" ht="21" customHeight="1">
      <c r="W600" s="14"/>
      <c r="X600" s="1392">
        <v>0</v>
      </c>
      <c r="Y600" s="1866" t="s">
        <v>8146</v>
      </c>
      <c r="Z600" s="1416"/>
      <c r="AA600" s="1883"/>
      <c r="AB600" s="1883"/>
      <c r="AC600" s="1883"/>
      <c r="AD600" s="440" t="s">
        <v>567</v>
      </c>
      <c r="AE600" s="477">
        <v>1.7361111111111112E-2</v>
      </c>
      <c r="AF600" s="478">
        <v>3</v>
      </c>
      <c r="AG600" s="1445" t="s">
        <v>348</v>
      </c>
      <c r="AV600" s="3">
        <v>1</v>
      </c>
    </row>
    <row r="601" spans="23:48" ht="21" customHeight="1">
      <c r="W601" s="14"/>
      <c r="X601" s="1394" t="str">
        <f>IF(ISBLANK(Y601),"",LARGE(X600:X600,1)+1)</f>
        <v/>
      </c>
      <c r="Y601" s="1896"/>
      <c r="Z601" s="1883"/>
      <c r="AA601" s="1883"/>
      <c r="AB601" s="1883"/>
      <c r="AC601" s="1883"/>
      <c r="AD601" s="440" t="s">
        <v>568</v>
      </c>
      <c r="AE601" s="477">
        <v>1.7361111111111112E-2</v>
      </c>
      <c r="AF601" s="478">
        <v>3</v>
      </c>
      <c r="AG601" s="1446" t="s">
        <v>348</v>
      </c>
      <c r="AV601" s="3">
        <v>1</v>
      </c>
    </row>
    <row r="602" spans="23:48" ht="21" customHeight="1">
      <c r="W602" s="14"/>
      <c r="X602" s="1394" t="str">
        <f>IF(ISBLANK(Y602),"",LARGE(X600:X601,1)+1)</f>
        <v/>
      </c>
      <c r="Y602" s="1896"/>
      <c r="Z602" s="1883"/>
      <c r="AA602" s="1883"/>
      <c r="AB602" s="1883"/>
      <c r="AC602" s="1883"/>
      <c r="AD602" s="440" t="s">
        <v>569</v>
      </c>
      <c r="AE602" s="477">
        <v>5.9027777777777797E-2</v>
      </c>
      <c r="AF602" s="478">
        <v>3</v>
      </c>
      <c r="AG602" s="1446" t="s">
        <v>348</v>
      </c>
      <c r="AV602" s="3">
        <v>1</v>
      </c>
    </row>
    <row r="603" spans="23:48" ht="21" customHeight="1">
      <c r="W603" s="14"/>
      <c r="X603" s="1394" t="str">
        <f>IF(ISBLANK(Y603),"",LARGE(X600:X602,1)+1)</f>
        <v/>
      </c>
      <c r="Y603" s="1896"/>
      <c r="Z603" s="1883"/>
      <c r="AA603" s="1883"/>
      <c r="AB603" s="1883"/>
      <c r="AC603" s="1883"/>
      <c r="AD603" s="440" t="s">
        <v>570</v>
      </c>
      <c r="AE603" s="477">
        <v>2.4305555555555556E-2</v>
      </c>
      <c r="AF603" s="478">
        <v>3</v>
      </c>
      <c r="AG603" s="1446" t="s">
        <v>348</v>
      </c>
      <c r="AV603" s="3">
        <v>1</v>
      </c>
    </row>
    <row r="604" spans="23:48" ht="21" customHeight="1">
      <c r="W604" s="14"/>
      <c r="X604" s="1394" t="str">
        <f>IF(ISBLANK(Y604),"",LARGE(X600:X603,1)+1)</f>
        <v/>
      </c>
      <c r="Y604" s="1896"/>
      <c r="Z604" s="1883"/>
      <c r="AA604" s="1883"/>
      <c r="AB604" s="1883"/>
      <c r="AC604" s="1883"/>
      <c r="AD604" s="440" t="s">
        <v>572</v>
      </c>
      <c r="AE604" s="477">
        <v>1.0416666666666666E-2</v>
      </c>
      <c r="AF604" s="478">
        <v>170</v>
      </c>
      <c r="AG604" s="1446" t="s">
        <v>348</v>
      </c>
      <c r="AV604" s="3">
        <v>1</v>
      </c>
    </row>
    <row r="605" spans="23:48" ht="21" customHeight="1">
      <c r="W605" s="14"/>
      <c r="X605" s="1394" t="str">
        <f>IF(ISBLANK(Y605),"",LARGE(X600:X604,1)+1)</f>
        <v/>
      </c>
      <c r="Y605" s="1896"/>
      <c r="Z605" s="1883"/>
      <c r="AA605" s="1883"/>
      <c r="AB605" s="1883"/>
      <c r="AC605" s="1883"/>
      <c r="AD605" s="440" t="s">
        <v>536</v>
      </c>
      <c r="AE605" s="477">
        <v>6.9444444444444441E-3</v>
      </c>
      <c r="AF605" s="478">
        <v>150</v>
      </c>
      <c r="AG605" s="1446" t="s">
        <v>348</v>
      </c>
      <c r="AV605" s="3">
        <v>1</v>
      </c>
    </row>
    <row r="606" spans="23:48" ht="21" customHeight="1">
      <c r="W606" s="14"/>
      <c r="X606" s="1394" t="str">
        <f>IF(ISBLANK(Y606),"",LARGE(X600:X605,1)+1)</f>
        <v/>
      </c>
      <c r="Y606" s="1896"/>
      <c r="Z606" s="1883"/>
      <c r="AA606" s="1883"/>
      <c r="AB606" s="1883"/>
      <c r="AC606" s="1883"/>
      <c r="AD606" s="440" t="s">
        <v>579</v>
      </c>
      <c r="AE606" s="477">
        <v>0.10069444444444445</v>
      </c>
      <c r="AF606" s="478">
        <v>120</v>
      </c>
      <c r="AG606" s="1446" t="s">
        <v>348</v>
      </c>
      <c r="AV606" s="3">
        <v>1</v>
      </c>
    </row>
    <row r="607" spans="23:48" ht="21" customHeight="1">
      <c r="W607" s="14"/>
      <c r="X607" s="1394" t="str">
        <f>IF(ISBLANK(Y607),"",LARGE(X600:X606,1)+1)</f>
        <v/>
      </c>
      <c r="Y607" s="1896"/>
      <c r="Z607" s="1883"/>
      <c r="AA607" s="1883"/>
      <c r="AB607" s="1883"/>
      <c r="AC607" s="1883"/>
      <c r="AD607" s="440" t="s">
        <v>583</v>
      </c>
      <c r="AE607" s="477">
        <v>1.3888888888888888E-2</v>
      </c>
      <c r="AF607" s="478">
        <v>120</v>
      </c>
      <c r="AG607" s="1446" t="s">
        <v>348</v>
      </c>
      <c r="AV607" s="3">
        <v>1</v>
      </c>
    </row>
    <row r="608" spans="23:48" ht="21" customHeight="1">
      <c r="W608" s="14"/>
      <c r="X608" s="1394" t="str">
        <f>IF(ISBLANK(Y608),"",LARGE(X600:X607,1)+1)</f>
        <v/>
      </c>
      <c r="Y608" s="1896"/>
      <c r="Z608" s="1883"/>
      <c r="AA608" s="1883"/>
      <c r="AB608" s="1883"/>
      <c r="AC608" s="1883"/>
      <c r="AD608" s="440" t="s">
        <v>584</v>
      </c>
      <c r="AE608" s="477">
        <v>2.4305555555555556E-2</v>
      </c>
      <c r="AF608" s="478"/>
      <c r="AG608" s="1446" t="s">
        <v>348</v>
      </c>
      <c r="AV608" s="3">
        <v>1</v>
      </c>
    </row>
    <row r="609" spans="23:48" ht="21" customHeight="1">
      <c r="W609" s="14"/>
      <c r="X609" s="1394" t="str">
        <f>IF(ISBLANK(Y609),"",LARGE(X600:X608,1)+1)</f>
        <v/>
      </c>
      <c r="Y609" s="1896"/>
      <c r="Z609" s="1883"/>
      <c r="AA609" s="1883"/>
      <c r="AB609" s="1883"/>
      <c r="AC609" s="1883"/>
      <c r="AD609" s="440" t="s">
        <v>586</v>
      </c>
      <c r="AE609" s="477">
        <v>7.2916666666666671E-2</v>
      </c>
      <c r="AF609" s="489" t="s">
        <v>585</v>
      </c>
      <c r="AG609" s="1446" t="s">
        <v>348</v>
      </c>
      <c r="AV609" s="3">
        <v>1</v>
      </c>
    </row>
    <row r="610" spans="23:48" ht="21" customHeight="1">
      <c r="W610" s="14"/>
      <c r="X610" s="1394" t="str">
        <f>IF(ISBLANK(Y610),"",LARGE(X600:X609,1)+1)</f>
        <v/>
      </c>
      <c r="Y610" s="1896"/>
      <c r="Z610" s="1883"/>
      <c r="AA610" s="1883"/>
      <c r="AB610" s="1883"/>
      <c r="AC610" s="1883"/>
      <c r="AD610" s="440"/>
      <c r="AE610" s="1351" t="s">
        <v>587</v>
      </c>
      <c r="AF610" s="381">
        <v>65</v>
      </c>
      <c r="AG610" s="1446" t="s">
        <v>348</v>
      </c>
      <c r="AV610" s="3">
        <v>1</v>
      </c>
    </row>
    <row r="611" spans="23:48" ht="21" customHeight="1">
      <c r="W611" s="14"/>
      <c r="X611" s="1394" t="str">
        <f>IF(ISBLANK(Y611),"",LARGE(X600:X610,1)+1)</f>
        <v/>
      </c>
      <c r="Y611" s="1896"/>
      <c r="Z611" s="1883"/>
      <c r="AA611" s="1883"/>
      <c r="AB611" s="1883"/>
      <c r="AC611" s="1883"/>
      <c r="AD611" s="440"/>
      <c r="AE611" s="1447" t="s">
        <v>591</v>
      </c>
      <c r="AF611" s="399">
        <v>3</v>
      </c>
      <c r="AG611" s="1446" t="s">
        <v>348</v>
      </c>
      <c r="AV611" s="3">
        <v>1</v>
      </c>
    </row>
    <row r="612" spans="23:48" ht="21" customHeight="1">
      <c r="W612" s="14"/>
      <c r="X612" s="1394" t="str">
        <f>IF(ISBLANK(Y612),"",LARGE(X600:X611,1)+1)</f>
        <v/>
      </c>
      <c r="Y612" s="1896"/>
      <c r="Z612" s="1883"/>
      <c r="AA612" s="1883"/>
      <c r="AB612" s="1883"/>
      <c r="AC612" s="1883"/>
      <c r="AD612" s="1448" t="s">
        <v>182</v>
      </c>
      <c r="AE612" s="1449">
        <f>SUM(AE600:AE609)</f>
        <v>0.34722222222222227</v>
      </c>
      <c r="AF612" s="417"/>
      <c r="AG612" s="1406" t="s">
        <v>8159</v>
      </c>
      <c r="AV612" s="3">
        <v>1</v>
      </c>
    </row>
    <row r="613" spans="23:48" ht="21" customHeight="1">
      <c r="W613" s="14"/>
      <c r="X613" s="1394" t="str">
        <f>IF(ISBLANK(Y613),"",LARGE(X600:X612,1)+1)</f>
        <v/>
      </c>
      <c r="Y613" s="1896"/>
      <c r="Z613" s="1883"/>
      <c r="AA613" s="1883"/>
      <c r="AB613" s="1883"/>
      <c r="AC613" s="1883"/>
      <c r="AD613" s="1883"/>
      <c r="AE613" s="1883"/>
      <c r="AF613" s="1883"/>
      <c r="AG613" s="1897"/>
      <c r="AV613" s="3">
        <v>1</v>
      </c>
    </row>
    <row r="614" spans="23:48" ht="21" customHeight="1">
      <c r="W614" s="14"/>
      <c r="X614" s="1394" t="str">
        <f>IF(ISBLANK(Y614),"",LARGE(X600:X613,1)+1)</f>
        <v/>
      </c>
      <c r="Y614" s="1896"/>
      <c r="Z614" s="1883"/>
      <c r="AA614" s="1883"/>
      <c r="AB614" s="1883"/>
      <c r="AC614" s="1883"/>
      <c r="AD614" s="1883"/>
      <c r="AE614" s="1883"/>
      <c r="AF614" s="1883"/>
      <c r="AG614" s="1898"/>
      <c r="AV614" s="3">
        <v>1</v>
      </c>
    </row>
    <row r="615" spans="23:48" ht="21" customHeight="1">
      <c r="W615" s="14"/>
      <c r="X615" s="1394" t="str">
        <f>IF(ISBLANK(Y615),"",LARGE(X600:X614,1)+1)</f>
        <v/>
      </c>
      <c r="Y615" s="1896"/>
      <c r="Z615" s="1883"/>
      <c r="AA615" s="1883"/>
      <c r="AB615" s="1883"/>
      <c r="AC615" s="1883"/>
      <c r="AD615" s="1883"/>
      <c r="AE615" s="1883"/>
      <c r="AF615" s="1883"/>
      <c r="AG615" s="1898"/>
      <c r="AV615" s="3">
        <v>1</v>
      </c>
    </row>
    <row r="616" spans="23:48" ht="21" customHeight="1">
      <c r="W616" s="14"/>
      <c r="X616" s="1394" t="str">
        <f>IF(ISBLANK(Y616),"",LARGE(X600:X615,1)+1)</f>
        <v/>
      </c>
      <c r="Y616" s="1896"/>
      <c r="Z616" s="1883"/>
      <c r="AA616" s="1883"/>
      <c r="AB616" s="1883"/>
      <c r="AC616" s="1883"/>
      <c r="AD616" s="1883"/>
      <c r="AE616" s="1883"/>
      <c r="AF616" s="1883"/>
      <c r="AG616" s="1898"/>
      <c r="AV616" s="3">
        <v>1</v>
      </c>
    </row>
    <row r="617" spans="23:48" ht="21" customHeight="1">
      <c r="W617" s="14"/>
      <c r="X617" s="1394" t="str">
        <f>IF(ISBLANK(Y617),"",LARGE(X600:X616,1)+1)</f>
        <v/>
      </c>
      <c r="Y617" s="1896"/>
      <c r="Z617" s="1883"/>
      <c r="AA617" s="1883"/>
      <c r="AB617" s="1883"/>
      <c r="AC617" s="1883"/>
      <c r="AD617" s="1883"/>
      <c r="AE617" s="1883"/>
      <c r="AF617" s="1883"/>
      <c r="AG617" s="1898"/>
      <c r="AV617" s="3">
        <v>1</v>
      </c>
    </row>
    <row r="618" spans="23:48" ht="21" customHeight="1">
      <c r="W618" s="14"/>
      <c r="X618" s="1394" t="str">
        <f>IF(ISBLANK(Y618),"",LARGE(X600:X617,1)+1)</f>
        <v/>
      </c>
      <c r="Y618" s="1896"/>
      <c r="Z618" s="1883"/>
      <c r="AA618" s="1883"/>
      <c r="AB618" s="1883"/>
      <c r="AC618" s="1883"/>
      <c r="AD618" s="1883"/>
      <c r="AE618" s="1883"/>
      <c r="AF618" s="1883"/>
      <c r="AG618" s="1898"/>
      <c r="AV618" s="3">
        <v>1</v>
      </c>
    </row>
    <row r="619" spans="23:48" ht="21" customHeight="1">
      <c r="W619" s="14"/>
      <c r="X619" s="1963" t="s">
        <v>8629</v>
      </c>
      <c r="Y619" s="1844"/>
      <c r="Z619" s="1844"/>
      <c r="AA619" s="1844"/>
      <c r="AB619" s="1844"/>
      <c r="AC619" s="1844"/>
      <c r="AD619" s="1844"/>
      <c r="AE619" s="1844"/>
      <c r="AF619" s="1844"/>
      <c r="AG619" s="1964" t="s">
        <v>8629</v>
      </c>
      <c r="AV619" s="3">
        <v>1</v>
      </c>
    </row>
    <row r="620" spans="23:48" ht="21" customHeight="1">
      <c r="W620" s="14"/>
      <c r="X620" s="1372" t="s">
        <v>8145</v>
      </c>
      <c r="Y620" s="419"/>
      <c r="Z620" s="419" t="s">
        <v>673</v>
      </c>
      <c r="AA620" s="419"/>
      <c r="AB620" s="419"/>
      <c r="AC620" s="419"/>
      <c r="AD620" s="420"/>
      <c r="AE620" s="420"/>
      <c r="AF620" s="420"/>
      <c r="AG620" s="608" t="s">
        <v>672</v>
      </c>
      <c r="AV620" s="3">
        <v>1</v>
      </c>
    </row>
    <row r="621" spans="23:48" ht="21" customHeight="1">
      <c r="W621" s="14"/>
      <c r="X621" s="1392">
        <v>0</v>
      </c>
      <c r="Y621" s="1869"/>
      <c r="Z621" s="1416"/>
      <c r="AA621" s="229"/>
      <c r="AB621" s="229"/>
      <c r="AC621" s="9"/>
      <c r="AD621" s="560" t="s">
        <v>676</v>
      </c>
      <c r="AE621" s="560"/>
      <c r="AF621" s="227"/>
      <c r="AG621" s="1780"/>
      <c r="AV621" s="3">
        <v>1</v>
      </c>
    </row>
    <row r="622" spans="23:48" ht="21" customHeight="1">
      <c r="W622" s="14"/>
      <c r="X622" s="1394" t="str">
        <f>IF(ISBLANK(Y622),"",LARGE(X621:X621,1)+1)</f>
        <v/>
      </c>
      <c r="Y622" s="1869"/>
      <c r="Z622" s="1872" t="s">
        <v>677</v>
      </c>
      <c r="AA622" s="562" t="s">
        <v>678</v>
      </c>
      <c r="AB622" s="1384" t="s">
        <v>93</v>
      </c>
      <c r="AC622" s="9"/>
      <c r="AD622" s="563" t="s">
        <v>679</v>
      </c>
      <c r="AE622" s="563"/>
      <c r="AF622" s="560" t="s">
        <v>415</v>
      </c>
      <c r="AG622" s="1451"/>
      <c r="AV622" s="3">
        <v>1</v>
      </c>
    </row>
    <row r="623" spans="23:48" ht="21" customHeight="1">
      <c r="W623" s="14"/>
      <c r="X623" s="1394" t="str">
        <f>IF(ISBLANK(Y623),"",LARGE(X621:X622,1)+1)</f>
        <v/>
      </c>
      <c r="Y623" s="1869"/>
      <c r="Z623" s="6756">
        <v>750</v>
      </c>
      <c r="AA623" s="564">
        <v>1</v>
      </c>
      <c r="AB623" s="1385" t="s">
        <v>680</v>
      </c>
      <c r="AC623" s="1781"/>
      <c r="AD623" s="565">
        <v>16</v>
      </c>
      <c r="AE623" s="1450">
        <f>AA623*Z623</f>
        <v>750</v>
      </c>
      <c r="AF623" s="189" t="s">
        <v>681</v>
      </c>
      <c r="AG623" s="1452"/>
      <c r="AV623" s="3">
        <v>1</v>
      </c>
    </row>
    <row r="624" spans="23:48" ht="21" customHeight="1">
      <c r="W624" s="14"/>
      <c r="X624" s="1394" t="str">
        <f>IF(ISBLANK(Y624),"",LARGE(X621:X623,1)+1)</f>
        <v/>
      </c>
      <c r="Y624" s="1869"/>
      <c r="Z624" s="6756"/>
      <c r="AA624" s="566">
        <v>120</v>
      </c>
      <c r="AB624" s="567" t="s">
        <v>682</v>
      </c>
      <c r="AD624" s="568">
        <v>1.2</v>
      </c>
      <c r="AE624" s="1582">
        <f>(AA624*Z623)/1000</f>
        <v>90</v>
      </c>
      <c r="AF624" s="6758" t="s">
        <v>683</v>
      </c>
      <c r="AG624" s="6759"/>
      <c r="AV624" s="3">
        <v>1</v>
      </c>
    </row>
    <row r="625" spans="23:48" ht="21" customHeight="1">
      <c r="W625" s="14"/>
      <c r="X625" s="1394" t="str">
        <f>IF(ISBLANK(Y625),"",LARGE(X621:X624,1)+1)</f>
        <v/>
      </c>
      <c r="Y625" s="1869"/>
      <c r="Z625" s="1873" t="str">
        <f>INT(AE623/AD623) &amp; " " &amp; AF623 &amp; " de " &amp; AD623 &amp; " " &amp; AB623 &amp; IF(MOD(AE623,AD623)&gt;0, " + 1 "&amp;AF623&amp;" de " &amp; TEXT(MOD(AE623,AD623), "0.00") &amp; " " &amp; AB623, "")</f>
        <v>46 Assiette(s) de 16 madeleine(s) + 1 Assiette(s) de 14.00 madeleine(s)</v>
      </c>
      <c r="AA625" s="9"/>
      <c r="AB625" s="9"/>
      <c r="AC625" s="9"/>
      <c r="AD625" s="198"/>
      <c r="AE625" s="198"/>
      <c r="AF625" s="6758"/>
      <c r="AG625" s="6759"/>
      <c r="AV625" s="3">
        <v>1</v>
      </c>
    </row>
    <row r="626" spans="23:48" ht="21" customHeight="1">
      <c r="W626" s="14"/>
      <c r="X626" s="1394" t="str">
        <f>IF(ISBLANK(Y626),"",LARGE(X621:X625,1)+1)</f>
        <v/>
      </c>
      <c r="Y626" s="1869"/>
      <c r="Z626" s="229" t="str">
        <f>IF(MOD(AE624, AD624) = 0, INT(AE624/AD624) &amp; " " &amp; AF623 &amp; " de " &amp; AD624 &amp; " kg", INT(AE624/AD624) &amp; " " &amp; AF623 &amp; " de " &amp; AD624 &amp; " kg" &amp; " + 1 "&amp;AF623&amp;" de " &amp; TEXT(MOD(AE624, AD624), "0.00") &amp; " kg")</f>
        <v>75 Assiette(s) de 1.2 kg + 1 Assiette(s) de 0.00 kg</v>
      </c>
      <c r="AA626" s="9"/>
      <c r="AB626" s="9"/>
      <c r="AC626" s="9"/>
      <c r="AD626" s="198"/>
      <c r="AE626" s="198"/>
      <c r="AF626" s="198"/>
      <c r="AG626" s="1453"/>
      <c r="AV626" s="3">
        <v>1</v>
      </c>
    </row>
    <row r="627" spans="23:48" ht="21" customHeight="1">
      <c r="W627" s="14"/>
      <c r="X627" s="1394" t="str">
        <f>IF(ISBLANK(Y627),"",LARGE(X621:X626,1)+1)</f>
        <v/>
      </c>
      <c r="Y627" s="258"/>
      <c r="Z627" s="198"/>
      <c r="AA627" s="198"/>
      <c r="AB627" s="198"/>
      <c r="AC627" s="198"/>
      <c r="AD627" s="198"/>
      <c r="AE627" s="198"/>
      <c r="AF627" s="198"/>
      <c r="AG627" s="588"/>
      <c r="AV627" s="3">
        <v>1</v>
      </c>
    </row>
    <row r="628" spans="23:48" ht="21" customHeight="1">
      <c r="W628" s="14"/>
      <c r="X628" s="1394"/>
      <c r="Y628" s="1865" t="s">
        <v>821</v>
      </c>
      <c r="Z628" s="1841"/>
      <c r="AA628" s="1841"/>
      <c r="AB628" s="1841"/>
      <c r="AC628" s="1841"/>
      <c r="AD628" s="1841"/>
      <c r="AE628" s="1841"/>
      <c r="AF628" s="1841"/>
      <c r="AG628" s="1906" t="s">
        <v>196</v>
      </c>
      <c r="AV628" s="3">
        <v>1</v>
      </c>
    </row>
    <row r="629" spans="23:48" ht="21" customHeight="1">
      <c r="W629" s="14"/>
      <c r="X629" s="1394"/>
      <c r="Y629" s="1866" t="s">
        <v>8146</v>
      </c>
      <c r="Z629" s="1416"/>
      <c r="AA629" s="1883"/>
      <c r="AB629" s="1883"/>
      <c r="AC629" s="1883"/>
      <c r="AD629" s="1883"/>
      <c r="AE629" s="1883"/>
      <c r="AF629" s="1883"/>
      <c r="AG629" s="1898"/>
      <c r="AV629" s="3">
        <v>1</v>
      </c>
    </row>
    <row r="630" spans="23:48" ht="21" customHeight="1">
      <c r="W630" s="14"/>
      <c r="X630" s="1394" t="str">
        <f>IF(ISBLANK(Y630),"",LARGE(X621:X629,1)+1)</f>
        <v/>
      </c>
      <c r="Y630" s="1896"/>
      <c r="Z630" s="1883"/>
      <c r="AA630" s="1883"/>
      <c r="AB630" s="1883"/>
      <c r="AC630" s="1883"/>
      <c r="AD630" s="1883"/>
      <c r="AE630" s="1883"/>
      <c r="AF630" s="1883"/>
      <c r="AG630" s="1898"/>
      <c r="AV630" s="3">
        <v>1</v>
      </c>
    </row>
    <row r="631" spans="23:48" ht="21" customHeight="1">
      <c r="W631" s="14"/>
      <c r="X631" s="1394" t="str">
        <f>IF(ISBLANK(Y631),"",LARGE(X621:X630,1)+1)</f>
        <v/>
      </c>
      <c r="Y631" s="1896"/>
      <c r="Z631" s="1883"/>
      <c r="AA631" s="1883"/>
      <c r="AB631" s="1883"/>
      <c r="AC631" s="1883"/>
      <c r="AD631" s="1883"/>
      <c r="AE631" s="1883"/>
      <c r="AF631" s="1883"/>
      <c r="AG631" s="1898"/>
      <c r="AV631" s="3">
        <v>1</v>
      </c>
    </row>
    <row r="632" spans="23:48" ht="21" customHeight="1">
      <c r="W632" s="14"/>
      <c r="X632" s="1394" t="str">
        <f>IF(ISBLANK(Y632),"",LARGE(X621:X631,1)+1)</f>
        <v/>
      </c>
      <c r="Y632" s="1896"/>
      <c r="Z632" s="1883"/>
      <c r="AA632" s="1883"/>
      <c r="AB632" s="1883"/>
      <c r="AC632" s="1883"/>
      <c r="AD632" s="1883"/>
      <c r="AE632" s="1883"/>
      <c r="AF632" s="1883"/>
      <c r="AG632" s="1898"/>
      <c r="AV632" s="3">
        <v>1</v>
      </c>
    </row>
    <row r="633" spans="23:48" ht="21" customHeight="1">
      <c r="W633" s="14"/>
      <c r="X633" s="1394" t="str">
        <f>IF(ISBLANK(Y633),"",LARGE(X621:X632,1)+1)</f>
        <v/>
      </c>
      <c r="Y633" s="1896"/>
      <c r="Z633" s="1883"/>
      <c r="AA633" s="1883"/>
      <c r="AB633" s="1883"/>
      <c r="AC633" s="1883"/>
      <c r="AD633" s="1883"/>
      <c r="AE633" s="1883"/>
      <c r="AF633" s="1883"/>
      <c r="AG633" s="1898"/>
      <c r="AV633" s="3">
        <v>1</v>
      </c>
    </row>
    <row r="634" spans="23:48" ht="21" customHeight="1">
      <c r="W634" s="14"/>
      <c r="X634" s="1394" t="str">
        <f>IF(ISBLANK(Y634),"",LARGE(X621:X633,1)+1)</f>
        <v/>
      </c>
      <c r="Y634" s="1896"/>
      <c r="Z634" s="1883"/>
      <c r="AA634" s="1883"/>
      <c r="AB634" s="1883"/>
      <c r="AC634" s="1883"/>
      <c r="AD634" s="1883"/>
      <c r="AE634" s="1883"/>
      <c r="AF634" s="1883"/>
      <c r="AG634" s="1898"/>
      <c r="AV634" s="3">
        <v>1</v>
      </c>
    </row>
    <row r="635" spans="23:48" ht="21" customHeight="1">
      <c r="W635" s="14"/>
      <c r="X635" s="1394" t="str">
        <f>IF(ISBLANK(Y635),"",LARGE(X621:X634,1)+1)</f>
        <v/>
      </c>
      <c r="Y635" s="1896"/>
      <c r="Z635" s="1883"/>
      <c r="AA635" s="1883"/>
      <c r="AB635" s="1883"/>
      <c r="AC635" s="1883"/>
      <c r="AD635" s="1883"/>
      <c r="AE635" s="1883"/>
      <c r="AF635" s="1883"/>
      <c r="AG635" s="1898"/>
      <c r="AV635" s="3">
        <v>1</v>
      </c>
    </row>
    <row r="636" spans="23:48" ht="21" customHeight="1">
      <c r="W636" s="14"/>
      <c r="X636" s="1394" t="str">
        <f>IF(ISBLANK(Y636),"",LARGE(X621:X635,1)+1)</f>
        <v/>
      </c>
      <c r="Y636" s="1896"/>
      <c r="Z636" s="1883"/>
      <c r="AA636" s="1883"/>
      <c r="AB636" s="1883"/>
      <c r="AC636" s="1883"/>
      <c r="AD636" s="1883"/>
      <c r="AE636" s="1883"/>
      <c r="AF636" s="1883"/>
      <c r="AG636" s="1898"/>
      <c r="AV636" s="3">
        <v>1</v>
      </c>
    </row>
    <row r="637" spans="23:48" ht="21" customHeight="1">
      <c r="W637" s="14"/>
      <c r="X637" s="1394" t="str">
        <f>IF(ISBLANK(Y637),"",LARGE(X621:X636,1)+1)</f>
        <v/>
      </c>
      <c r="Y637" s="1896"/>
      <c r="Z637" s="1883"/>
      <c r="AA637" s="1883"/>
      <c r="AB637" s="1883"/>
      <c r="AC637" s="1883"/>
      <c r="AD637" s="1883"/>
      <c r="AE637" s="1883"/>
      <c r="AF637" s="1883"/>
      <c r="AG637" s="1898"/>
      <c r="AV637" s="3">
        <v>1</v>
      </c>
    </row>
    <row r="638" spans="23:48" ht="21" customHeight="1">
      <c r="W638" s="14"/>
      <c r="X638" s="1394" t="str">
        <f>IF(ISBLANK(Y638),"",LARGE(X621:X637,1)+1)</f>
        <v/>
      </c>
      <c r="Y638" s="1896"/>
      <c r="Z638" s="1883"/>
      <c r="AA638" s="1883"/>
      <c r="AB638" s="1883"/>
      <c r="AC638" s="1883"/>
      <c r="AD638" s="1883"/>
      <c r="AE638" s="1883"/>
      <c r="AF638" s="1883"/>
      <c r="AG638" s="1898"/>
      <c r="AV638" s="3">
        <v>1</v>
      </c>
    </row>
    <row r="639" spans="23:48" ht="21" customHeight="1">
      <c r="W639" s="14"/>
      <c r="X639" s="1394" t="str">
        <f>IF(ISBLANK(Y639),"",LARGE(X621:X638,1)+1)</f>
        <v/>
      </c>
      <c r="Y639" s="1896"/>
      <c r="Z639" s="1883"/>
      <c r="AA639" s="347"/>
      <c r="AB639" s="1883"/>
      <c r="AC639" s="1883"/>
      <c r="AD639" s="1883"/>
      <c r="AE639" s="1883"/>
      <c r="AF639" s="1883"/>
      <c r="AG639" s="1898"/>
      <c r="AV639" s="3">
        <v>1</v>
      </c>
    </row>
    <row r="640" spans="23:48" ht="21" customHeight="1">
      <c r="W640" s="14"/>
      <c r="X640" s="1963" t="s">
        <v>8629</v>
      </c>
      <c r="Y640" s="1844"/>
      <c r="Z640" s="1844"/>
      <c r="AA640" s="1844"/>
      <c r="AB640" s="1844"/>
      <c r="AC640" s="1844"/>
      <c r="AD640" s="1844"/>
      <c r="AE640" s="1844"/>
      <c r="AF640" s="1844"/>
      <c r="AG640" s="1964" t="s">
        <v>8629</v>
      </c>
      <c r="AV640" s="3">
        <v>1</v>
      </c>
    </row>
    <row r="641" spans="13:48" ht="21" customHeight="1">
      <c r="W641" s="14"/>
      <c r="X641" s="1372" t="s">
        <v>8145</v>
      </c>
      <c r="Y641" s="1428" t="s">
        <v>821</v>
      </c>
      <c r="Z641" s="1824"/>
      <c r="AA641" s="419"/>
      <c r="AB641" s="419"/>
      <c r="AC641" s="419"/>
      <c r="AD641" s="420"/>
      <c r="AE641" s="420"/>
      <c r="AF641" s="420" t="s">
        <v>654</v>
      </c>
      <c r="AG641" s="608" t="s">
        <v>718</v>
      </c>
      <c r="AV641" s="3">
        <v>1</v>
      </c>
    </row>
    <row r="642" spans="13:48" ht="21" customHeight="1">
      <c r="W642" s="14"/>
      <c r="X642" s="1392">
        <v>0</v>
      </c>
      <c r="Y642" s="1866" t="s">
        <v>8146</v>
      </c>
      <c r="Z642" s="1416"/>
      <c r="AA642" s="14"/>
      <c r="AB642" s="186"/>
      <c r="AC642" s="186"/>
      <c r="AD642" s="186"/>
      <c r="AE642" s="186"/>
      <c r="AF642" s="555"/>
      <c r="AG642" s="1407" t="s">
        <v>196</v>
      </c>
      <c r="AV642" s="3">
        <v>1</v>
      </c>
    </row>
    <row r="643" spans="13:48" ht="21" customHeight="1">
      <c r="W643" s="14"/>
      <c r="X643" s="1394" t="str">
        <f>IF(ISBLANK(Y643),"",LARGE(X642:X642,1)+1)</f>
        <v/>
      </c>
      <c r="Y643" s="1866"/>
      <c r="Z643" s="1416"/>
      <c r="AA643" s="1883"/>
      <c r="AB643" s="1883"/>
      <c r="AC643" s="1883"/>
      <c r="AD643" s="1883"/>
      <c r="AE643" s="1883"/>
      <c r="AF643" s="582">
        <v>10</v>
      </c>
      <c r="AG643" s="1456" t="s">
        <v>722</v>
      </c>
      <c r="AV643" s="3">
        <v>1</v>
      </c>
    </row>
    <row r="644" spans="13:48" ht="21" customHeight="1">
      <c r="W644" s="14"/>
      <c r="X644" s="1394" t="str">
        <f>IF(ISBLANK(Y644),"",LARGE(X642:X643,1)+1)</f>
        <v/>
      </c>
      <c r="Y644" s="1896"/>
      <c r="Z644" s="1883"/>
      <c r="AA644" s="1883"/>
      <c r="AB644" s="1883"/>
      <c r="AC644" s="1883"/>
      <c r="AD644" s="1883"/>
      <c r="AE644" s="1883"/>
      <c r="AF644" s="584">
        <v>15</v>
      </c>
      <c r="AG644" s="1457" t="s">
        <v>724</v>
      </c>
      <c r="AV644" s="3">
        <v>1</v>
      </c>
    </row>
    <row r="645" spans="13:48" ht="21" customHeight="1">
      <c r="W645" s="14"/>
      <c r="X645" s="1394" t="str">
        <f>IF(ISBLANK(Y645),"",LARGE(X642:X644,1)+1)</f>
        <v/>
      </c>
      <c r="Y645" s="1896"/>
      <c r="Z645" s="1883"/>
      <c r="AA645" s="1883"/>
      <c r="AB645" s="1883"/>
      <c r="AC645" s="1883"/>
      <c r="AD645" s="1883"/>
      <c r="AE645" s="1883"/>
      <c r="AF645" s="1458">
        <f>IF(AF643=0,0,IF(AF644=0,0,AF644-AF643))</f>
        <v>5</v>
      </c>
      <c r="AG645" s="1459" t="s">
        <v>728</v>
      </c>
      <c r="AV645" s="3">
        <v>1</v>
      </c>
    </row>
    <row r="646" spans="13:48" ht="21" customHeight="1">
      <c r="W646" s="14"/>
      <c r="X646" s="1394" t="str">
        <f>IF(ISBLANK(Y646),"",LARGE(X642:X645,1)+1)</f>
        <v/>
      </c>
      <c r="Y646" s="1896"/>
      <c r="Z646" s="1883"/>
      <c r="AA646" s="1883"/>
      <c r="AB646" s="1883"/>
      <c r="AC646" s="1883"/>
      <c r="AD646" s="1883"/>
      <c r="AE646" s="1883"/>
      <c r="AF646" s="1460">
        <f>IF(AF643=0,0,IF(ISBLANK(AF643),0,(AF645/AF643)*100))</f>
        <v>50</v>
      </c>
      <c r="AG646" s="1459" t="s">
        <v>732</v>
      </c>
      <c r="AV646" s="3">
        <v>1</v>
      </c>
    </row>
    <row r="647" spans="13:48" ht="21" customHeight="1">
      <c r="W647" s="14"/>
      <c r="X647" s="1394" t="str">
        <f>IF(ISBLANK(Y647),"",LARGE(X642:X646,1)+1)</f>
        <v/>
      </c>
      <c r="Y647" s="1896"/>
      <c r="Z647" s="1883"/>
      <c r="AA647" s="1883"/>
      <c r="AB647" s="1883"/>
      <c r="AC647" s="1883"/>
      <c r="AD647" s="1883"/>
      <c r="AE647" s="1883"/>
      <c r="AF647" s="582">
        <v>10</v>
      </c>
      <c r="AG647" s="1456" t="s">
        <v>722</v>
      </c>
      <c r="AV647" s="3">
        <v>1</v>
      </c>
    </row>
    <row r="648" spans="13:48" ht="21" customHeight="1">
      <c r="W648" s="14"/>
      <c r="X648" s="1394" t="str">
        <f>IF(ISBLANK(Y648),"",LARGE(X642:X647,1)+1)</f>
        <v/>
      </c>
      <c r="Y648" s="1896"/>
      <c r="Z648" s="1883"/>
      <c r="AA648" s="1883"/>
      <c r="AB648" s="1883"/>
      <c r="AC648" s="1883"/>
      <c r="AD648" s="1883"/>
      <c r="AE648" s="1883"/>
      <c r="AF648" s="1461">
        <v>50</v>
      </c>
      <c r="AG648" s="1462" t="s">
        <v>732</v>
      </c>
      <c r="AV648" s="3">
        <v>1</v>
      </c>
    </row>
    <row r="649" spans="13:48" ht="21" customHeight="1">
      <c r="W649" s="14"/>
      <c r="X649" s="1394" t="str">
        <f>IF(ISBLANK(Y649),"",LARGE(X642:X648,1)+1)</f>
        <v/>
      </c>
      <c r="Y649" s="1896"/>
      <c r="Z649" s="1883"/>
      <c r="AA649" s="1883"/>
      <c r="AB649" s="1883"/>
      <c r="AC649" s="1883"/>
      <c r="AD649" s="1883"/>
      <c r="AE649" s="1883"/>
      <c r="AF649" s="1458">
        <f>AF647*AF648%</f>
        <v>5</v>
      </c>
      <c r="AG649" s="1459" t="s">
        <v>728</v>
      </c>
      <c r="AV649" s="3">
        <v>1</v>
      </c>
    </row>
    <row r="650" spans="13:48" ht="21" customHeight="1">
      <c r="W650" s="14"/>
      <c r="X650" s="1394" t="str">
        <f>IF(ISBLANK(Y650),"",LARGE(X642:X649,1)+1)</f>
        <v/>
      </c>
      <c r="Y650" s="1896"/>
      <c r="Z650" s="1883"/>
      <c r="AA650" s="1883"/>
      <c r="AB650" s="1883"/>
      <c r="AC650" s="1883"/>
      <c r="AD650" s="1883"/>
      <c r="AE650" s="1883"/>
      <c r="AF650" s="586">
        <f>((AF647*AF648)/100)+AF647</f>
        <v>15</v>
      </c>
      <c r="AG650" s="1463" t="s">
        <v>724</v>
      </c>
      <c r="AV650" s="3">
        <v>1</v>
      </c>
    </row>
    <row r="651" spans="13:48" ht="21" customHeight="1">
      <c r="W651" s="14"/>
      <c r="X651" s="1394" t="str">
        <f>IF(ISBLANK(Y651),"",LARGE(X642:X650,1)+1)</f>
        <v/>
      </c>
      <c r="Y651" s="1896"/>
      <c r="Z651" s="1883"/>
      <c r="AA651" s="1883"/>
      <c r="AB651" s="1883"/>
      <c r="AC651" s="1883"/>
      <c r="AD651" s="1883"/>
      <c r="AE651" s="1883"/>
      <c r="AF651" s="1464"/>
      <c r="AG651" s="1465"/>
      <c r="AV651" s="3">
        <v>1</v>
      </c>
    </row>
    <row r="652" spans="13:48" ht="21" customHeight="1">
      <c r="W652" s="14"/>
      <c r="X652" s="1394" t="str">
        <f>IF(ISBLANK(Y652),"",LARGE(X642:X651,1)+1)</f>
        <v/>
      </c>
      <c r="Y652" s="1896"/>
      <c r="Z652" s="1883"/>
      <c r="AA652" s="1883"/>
      <c r="AB652" s="1883"/>
      <c r="AC652" s="1883"/>
      <c r="AD652" s="1883"/>
      <c r="AE652" s="1883"/>
      <c r="AF652" s="581">
        <v>2</v>
      </c>
      <c r="AG652" s="1466" t="s">
        <v>721</v>
      </c>
      <c r="AV652" s="3">
        <v>1</v>
      </c>
    </row>
    <row r="653" spans="13:48" ht="21" customHeight="1">
      <c r="W653" s="14"/>
      <c r="X653" s="1394" t="str">
        <f>IF(ISBLANK(Y653),"",LARGE(X642:X652,1)+1)</f>
        <v/>
      </c>
      <c r="Y653" s="1896"/>
      <c r="Z653" s="1883"/>
      <c r="AA653" s="1883"/>
      <c r="AB653" s="1883"/>
      <c r="AC653" s="1883"/>
      <c r="AD653" s="1883"/>
      <c r="AE653" s="1883"/>
      <c r="AF653" s="583">
        <v>1</v>
      </c>
      <c r="AG653" s="1467" t="s">
        <v>723</v>
      </c>
      <c r="AV653" s="3">
        <v>1</v>
      </c>
    </row>
    <row r="654" spans="13:48" ht="21" customHeight="1">
      <c r="W654" s="14"/>
      <c r="X654" s="1394" t="str">
        <f>IF(ISBLANK(Y654),"",LARGE(X642:X653,1)+1)</f>
        <v/>
      </c>
      <c r="Y654" s="1896"/>
      <c r="Z654" s="1883"/>
      <c r="AA654" s="1883"/>
      <c r="AB654" s="1883"/>
      <c r="AC654" s="1883"/>
      <c r="AD654" s="1883"/>
      <c r="AE654" s="1883"/>
      <c r="AF654" s="1468">
        <f>IF(AF652=0,0,IF(AF653=0,0,AF652-AF653))</f>
        <v>1</v>
      </c>
      <c r="AG654" s="1459" t="s">
        <v>727</v>
      </c>
      <c r="AV654" s="3">
        <v>1</v>
      </c>
    </row>
    <row r="655" spans="13:48" ht="21" customHeight="1">
      <c r="M655" s="1735" t="str">
        <f>"◄ LIGNE "&amp;ROW()</f>
        <v>◄ LIGNE 655</v>
      </c>
      <c r="W655" s="14"/>
      <c r="X655" s="1394" t="str">
        <f>IF(ISBLANK(Y655),"",LARGE(X642:X654,1)+1)</f>
        <v/>
      </c>
      <c r="Y655" s="1896"/>
      <c r="Z655" s="1883"/>
      <c r="AA655" s="1883"/>
      <c r="AB655" s="1883"/>
      <c r="AC655" s="1883"/>
      <c r="AD655" s="1883"/>
      <c r="AE655" s="1883"/>
      <c r="AF655" s="1469">
        <f>IF(AF652=0,0,AF654/AF652)</f>
        <v>0.5</v>
      </c>
      <c r="AG655" s="1459" t="s">
        <v>731</v>
      </c>
      <c r="AH655" s="1735"/>
      <c r="AI655" s="1735"/>
      <c r="AV655" s="3">
        <v>1</v>
      </c>
    </row>
    <row r="656" spans="13:48" ht="21" customHeight="1">
      <c r="M656" s="1736" t="str">
        <f>"◄ LIGNE "&amp;ROW()</f>
        <v>◄ LIGNE 656</v>
      </c>
      <c r="W656" s="14"/>
      <c r="X656" s="1394" t="str">
        <f>IF(ISBLANK(Y656),"",LARGE(X642:X655,1)+1)</f>
        <v/>
      </c>
      <c r="Y656" s="1896"/>
      <c r="Z656" s="1883"/>
      <c r="AA656" s="1883"/>
      <c r="AB656" s="1883"/>
      <c r="AC656" s="1883"/>
      <c r="AD656" s="1883"/>
      <c r="AE656" s="1883"/>
      <c r="AF656" s="589">
        <v>50</v>
      </c>
      <c r="AG656" s="1467" t="s">
        <v>735</v>
      </c>
      <c r="AH656" s="1736"/>
      <c r="AI656" s="1736"/>
      <c r="AV656" s="3">
        <v>1</v>
      </c>
    </row>
    <row r="657" spans="13:48" ht="21" customHeight="1">
      <c r="M657" s="630"/>
      <c r="W657" s="14"/>
      <c r="X657" s="1394" t="str">
        <f>IF(ISBLANK(Y657),"",LARGE(X642:X656,1)+1)</f>
        <v/>
      </c>
      <c r="Y657" s="1896"/>
      <c r="Z657" s="1883"/>
      <c r="AA657" s="1883"/>
      <c r="AB657" s="1883"/>
      <c r="AC657" s="1883"/>
      <c r="AD657" s="1883"/>
      <c r="AE657" s="1883"/>
      <c r="AF657" s="1468">
        <f>AF652*AF656%</f>
        <v>1</v>
      </c>
      <c r="AG657" s="1459" t="s">
        <v>727</v>
      </c>
      <c r="AH657" s="630"/>
      <c r="AI657" s="630"/>
      <c r="AV657" s="3">
        <v>1</v>
      </c>
    </row>
    <row r="658" spans="13:48" ht="21" customHeight="1">
      <c r="W658" s="14"/>
      <c r="X658" s="1394" t="str">
        <f>IF(ISBLANK(Y658),"",LARGE(X642:X657,1)+1)</f>
        <v/>
      </c>
      <c r="Y658" s="1896"/>
      <c r="Z658" s="1883"/>
      <c r="AA658" s="1883"/>
      <c r="AB658" s="1883"/>
      <c r="AC658" s="1883"/>
      <c r="AD658" s="1883"/>
      <c r="AE658" s="1883"/>
      <c r="AF658" s="1468">
        <f>AF652-AF657</f>
        <v>1</v>
      </c>
      <c r="AG658" s="1459" t="s">
        <v>738</v>
      </c>
      <c r="AV658" s="3">
        <v>1</v>
      </c>
    </row>
    <row r="659" spans="13:48" ht="21" customHeight="1">
      <c r="W659" s="14"/>
      <c r="X659" s="1394"/>
      <c r="Y659" s="1896"/>
      <c r="Z659" s="1883"/>
      <c r="AA659" s="1883"/>
      <c r="AB659" s="1883"/>
      <c r="AC659" s="1883"/>
      <c r="AD659" s="1883"/>
      <c r="AE659" s="1883"/>
      <c r="AF659" s="1870"/>
      <c r="AG659" s="1871"/>
      <c r="AV659" s="3">
        <v>1</v>
      </c>
    </row>
    <row r="660" spans="13:48" ht="21" customHeight="1">
      <c r="W660" s="14"/>
      <c r="X660" s="1394"/>
      <c r="Y660" s="1896"/>
      <c r="Z660" s="1883"/>
      <c r="AA660" s="1883"/>
      <c r="AB660" s="1883"/>
      <c r="AC660" s="1883"/>
      <c r="AD660" s="1883"/>
      <c r="AE660" s="1883"/>
      <c r="AF660" s="1870"/>
      <c r="AG660" s="1871"/>
      <c r="AV660" s="3">
        <v>1</v>
      </c>
    </row>
    <row r="661" spans="13:48" ht="21" customHeight="1">
      <c r="W661" s="14"/>
      <c r="X661" s="1963" t="s">
        <v>8629</v>
      </c>
      <c r="Y661" s="1844"/>
      <c r="Z661" s="1844"/>
      <c r="AA661" s="1844"/>
      <c r="AB661" s="1844"/>
      <c r="AC661" s="1844"/>
      <c r="AD661" s="1844"/>
      <c r="AE661" s="1844"/>
      <c r="AF661" s="1844"/>
      <c r="AG661" s="1964" t="s">
        <v>8629</v>
      </c>
      <c r="AV661" s="3">
        <v>1</v>
      </c>
    </row>
    <row r="662" spans="13:48" ht="21" customHeight="1">
      <c r="W662" s="14"/>
      <c r="X662" s="1498" t="s">
        <v>8145</v>
      </c>
      <c r="Y662" s="1428"/>
      <c r="Z662" s="419"/>
      <c r="AA662" s="419"/>
      <c r="AB662" s="419"/>
      <c r="AC662" s="419"/>
      <c r="AD662" s="420"/>
      <c r="AE662" s="420"/>
      <c r="AF662" s="420"/>
      <c r="AG662" s="608" t="s">
        <v>8163</v>
      </c>
      <c r="AV662" s="3">
        <v>1</v>
      </c>
    </row>
    <row r="663" spans="13:48" ht="21" customHeight="1">
      <c r="W663" s="14"/>
      <c r="X663" s="1822">
        <v>0</v>
      </c>
      <c r="Y663" s="1868"/>
      <c r="Z663" s="1867"/>
      <c r="AA663" s="497" t="s">
        <v>8164</v>
      </c>
      <c r="AB663" s="498">
        <v>175</v>
      </c>
      <c r="AC663" s="499" t="s">
        <v>36</v>
      </c>
      <c r="AD663" s="198"/>
      <c r="AE663" s="198"/>
      <c r="AF663" s="348"/>
      <c r="AG663" s="1407"/>
      <c r="AV663" s="3">
        <v>1</v>
      </c>
    </row>
    <row r="664" spans="13:48" ht="21" customHeight="1">
      <c r="W664" s="14"/>
      <c r="X664" s="1823"/>
      <c r="Y664" s="1815"/>
      <c r="Z664" s="1471"/>
      <c r="AA664" s="1472" t="s">
        <v>602</v>
      </c>
      <c r="AB664" s="1473" t="s">
        <v>8165</v>
      </c>
      <c r="AC664" s="1474" t="s">
        <v>8166</v>
      </c>
      <c r="AD664" s="198"/>
      <c r="AE664" s="198"/>
      <c r="AF664" s="1475"/>
      <c r="AG664" s="1476" t="s">
        <v>8167</v>
      </c>
      <c r="AV664" s="3">
        <v>1</v>
      </c>
    </row>
    <row r="665" spans="13:48" ht="21" customHeight="1">
      <c r="W665" s="14"/>
      <c r="X665" s="1823"/>
      <c r="Y665" s="1816">
        <f>AB665*AB663</f>
        <v>262.5</v>
      </c>
      <c r="Z665" s="1477" t="s">
        <v>603</v>
      </c>
      <c r="AA665" s="1478">
        <v>12</v>
      </c>
      <c r="AB665" s="1479">
        <v>1.5</v>
      </c>
      <c r="AC665" s="1480" t="s">
        <v>8168</v>
      </c>
      <c r="AD665" s="1481" t="str">
        <f t="shared" ref="AD665:AD673" si="66">IF(OR(AA665="",Y665=0),"",INT(Y665/AA665) &amp;""&amp; " de " &amp; AA665 &amp;" "&amp;AC665&amp;  IF(MOD(Y665,AA665)&gt;0," + 1 " &amp; "de " &amp; TEXT(MOD(Y665,AA665)&amp;""&amp;AC665,"0.00"),""))</f>
        <v>21 de 12 cuisse + 1 de 10.5cuisse</v>
      </c>
      <c r="AE665" s="1481"/>
      <c r="AF665" s="1482"/>
      <c r="AG665" s="1483" t="s">
        <v>615</v>
      </c>
      <c r="AV665" s="3">
        <v>1</v>
      </c>
    </row>
    <row r="666" spans="13:48" ht="21" customHeight="1">
      <c r="W666" s="14"/>
      <c r="X666" s="1823"/>
      <c r="Y666" s="1816">
        <f>AB666*AB663</f>
        <v>175</v>
      </c>
      <c r="Z666" s="1477" t="s">
        <v>606</v>
      </c>
      <c r="AA666" s="1478">
        <v>24</v>
      </c>
      <c r="AB666" s="1479">
        <v>1</v>
      </c>
      <c r="AC666" s="1480" t="s">
        <v>8168</v>
      </c>
      <c r="AD666" s="1481" t="str">
        <f t="shared" si="66"/>
        <v>7 de 24 cuisse + 1 de 7cuisse</v>
      </c>
      <c r="AE666" s="1481"/>
      <c r="AF666" s="1482"/>
      <c r="AG666" s="1483" t="s">
        <v>616</v>
      </c>
      <c r="AV666" s="3">
        <v>1</v>
      </c>
    </row>
    <row r="667" spans="13:48" ht="21" customHeight="1">
      <c r="W667" s="14"/>
      <c r="X667" s="1823"/>
      <c r="Y667" s="1816">
        <f>AB667*AB663</f>
        <v>175</v>
      </c>
      <c r="Z667" s="1477" t="s">
        <v>611</v>
      </c>
      <c r="AA667" s="1478">
        <v>25</v>
      </c>
      <c r="AB667" s="1479">
        <v>1</v>
      </c>
      <c r="AC667" s="1480" t="s">
        <v>8169</v>
      </c>
      <c r="AD667" s="1481" t="str">
        <f t="shared" si="66"/>
        <v>7 de 25 escalope</v>
      </c>
      <c r="AE667" s="1481"/>
      <c r="AF667" s="1482"/>
      <c r="AG667" s="1483" t="s">
        <v>618</v>
      </c>
      <c r="AV667" s="3">
        <v>1</v>
      </c>
    </row>
    <row r="668" spans="13:48" ht="21" customHeight="1">
      <c r="W668" s="14"/>
      <c r="X668" s="1823"/>
      <c r="Y668" s="1816">
        <f>AB668*AB663</f>
        <v>175</v>
      </c>
      <c r="Z668" s="1477" t="s">
        <v>8170</v>
      </c>
      <c r="AA668" s="1478">
        <v>60</v>
      </c>
      <c r="AB668" s="1479">
        <v>1</v>
      </c>
      <c r="AC668" s="1480" t="s">
        <v>8171</v>
      </c>
      <c r="AD668" s="1481" t="str">
        <f t="shared" si="66"/>
        <v>2 de 60 tranche + 1 de 55tranche</v>
      </c>
      <c r="AE668" s="1481"/>
      <c r="AF668" s="1482"/>
      <c r="AG668" s="1483" t="s">
        <v>620</v>
      </c>
      <c r="AV668" s="3">
        <v>1</v>
      </c>
    </row>
    <row r="669" spans="13:48" ht="21" customHeight="1">
      <c r="W669" s="14"/>
      <c r="X669" s="1823"/>
      <c r="Y669" s="1816">
        <f>AB669*AB663</f>
        <v>175</v>
      </c>
      <c r="Z669" s="1477" t="s">
        <v>617</v>
      </c>
      <c r="AA669" s="1478">
        <v>25</v>
      </c>
      <c r="AB669" s="1479">
        <v>1</v>
      </c>
      <c r="AC669" s="1480" t="s">
        <v>8172</v>
      </c>
      <c r="AD669" s="1481" t="str">
        <f t="shared" si="66"/>
        <v>7 de 25 paupiettes</v>
      </c>
      <c r="AE669" s="1481"/>
      <c r="AF669" s="1482"/>
      <c r="AG669" s="1483" t="s">
        <v>622</v>
      </c>
      <c r="AV669" s="3">
        <v>1</v>
      </c>
    </row>
    <row r="670" spans="13:48" ht="21" customHeight="1">
      <c r="W670" s="14"/>
      <c r="X670" s="1823"/>
      <c r="Y670" s="1816">
        <f>AB670*AB663</f>
        <v>175</v>
      </c>
      <c r="Z670" s="1477" t="s">
        <v>619</v>
      </c>
      <c r="AA670" s="1478">
        <v>20</v>
      </c>
      <c r="AB670" s="1479">
        <v>1</v>
      </c>
      <c r="AC670" s="1480" t="s">
        <v>8173</v>
      </c>
      <c r="AD670" s="1481" t="str">
        <f t="shared" si="66"/>
        <v>8 de 20 tomates + 1 de 15tomates</v>
      </c>
      <c r="AE670" s="1481"/>
      <c r="AF670" s="348"/>
      <c r="AG670" s="1483" t="s">
        <v>615</v>
      </c>
      <c r="AV670" s="3">
        <v>1</v>
      </c>
    </row>
    <row r="671" spans="13:48" ht="21" customHeight="1">
      <c r="W671" s="14"/>
      <c r="X671" s="1823"/>
      <c r="Y671" s="1816">
        <f>AB671*AB663</f>
        <v>31.5</v>
      </c>
      <c r="Z671" s="1477" t="s">
        <v>621</v>
      </c>
      <c r="AA671" s="1478">
        <v>7.2</v>
      </c>
      <c r="AB671" s="1479">
        <v>0.18</v>
      </c>
      <c r="AC671" s="1480" t="s">
        <v>140</v>
      </c>
      <c r="AD671" s="1481" t="str">
        <f t="shared" si="66"/>
        <v>4 de 7.2 kg + 1 de 2.7kg</v>
      </c>
      <c r="AE671" s="1481"/>
      <c r="AF671" s="348"/>
      <c r="AG671" s="1483" t="s">
        <v>616</v>
      </c>
      <c r="AV671" s="3">
        <v>1</v>
      </c>
    </row>
    <row r="672" spans="13:48" ht="21" customHeight="1">
      <c r="W672" s="14"/>
      <c r="X672" s="1823"/>
      <c r="Y672" s="1816">
        <f>AB672*AB663</f>
        <v>31.5</v>
      </c>
      <c r="Z672" s="1477" t="s">
        <v>623</v>
      </c>
      <c r="AA672" s="1478">
        <v>4</v>
      </c>
      <c r="AB672" s="1479">
        <v>0.18</v>
      </c>
      <c r="AC672" s="1480" t="s">
        <v>140</v>
      </c>
      <c r="AD672" s="1481" t="str">
        <f t="shared" si="66"/>
        <v>7 de 4 kg + 1 de 3.5kg</v>
      </c>
      <c r="AE672" s="1481"/>
      <c r="AF672" s="348"/>
      <c r="AG672" s="1483" t="s">
        <v>618</v>
      </c>
      <c r="AV672" s="3">
        <v>1</v>
      </c>
    </row>
    <row r="673" spans="23:48" ht="21" customHeight="1">
      <c r="W673" s="14"/>
      <c r="X673" s="1823"/>
      <c r="Y673" s="1816">
        <f>AB673*AB663</f>
        <v>31.5</v>
      </c>
      <c r="Z673" s="1477" t="s">
        <v>624</v>
      </c>
      <c r="AA673" s="1478">
        <v>3</v>
      </c>
      <c r="AB673" s="1479">
        <v>0.18</v>
      </c>
      <c r="AC673" s="1480" t="s">
        <v>140</v>
      </c>
      <c r="AD673" s="1481" t="str">
        <f t="shared" si="66"/>
        <v>10 de 3 kg + 1 de 1.5kg</v>
      </c>
      <c r="AE673" s="1481"/>
      <c r="AF673" s="348"/>
      <c r="AG673" s="1483" t="s">
        <v>620</v>
      </c>
      <c r="AV673" s="3">
        <v>1</v>
      </c>
    </row>
    <row r="674" spans="23:48" ht="21" customHeight="1">
      <c r="W674" s="14"/>
      <c r="X674" s="1823"/>
      <c r="Y674" s="1865" t="s">
        <v>821</v>
      </c>
      <c r="Z674" s="1841"/>
      <c r="AA674" s="1899"/>
      <c r="AB674" s="1899"/>
      <c r="AC674" s="1899"/>
      <c r="AD674" s="1899"/>
      <c r="AE674" s="1900" t="s">
        <v>196</v>
      </c>
      <c r="AF674" s="1902"/>
      <c r="AG674" s="1901" t="s">
        <v>8174</v>
      </c>
      <c r="AV674" s="3">
        <v>1</v>
      </c>
    </row>
    <row r="675" spans="23:48" ht="21" customHeight="1">
      <c r="W675" s="14"/>
      <c r="X675" s="1823"/>
      <c r="Y675" s="1866" t="s">
        <v>8146</v>
      </c>
      <c r="Z675" s="14"/>
      <c r="AA675" s="198"/>
      <c r="AB675" s="198"/>
      <c r="AC675" s="198"/>
      <c r="AD675" s="198"/>
      <c r="AE675" s="1883"/>
      <c r="AF675" s="1883"/>
      <c r="AG675" s="1483" t="s">
        <v>616</v>
      </c>
      <c r="AV675" s="3">
        <v>1</v>
      </c>
    </row>
    <row r="676" spans="23:48" ht="21" customHeight="1">
      <c r="W676" s="14"/>
      <c r="X676" s="1823" t="str">
        <f>IF(ISBLANK(Y676),"",LARGE(X663:X675,1)+1)</f>
        <v/>
      </c>
      <c r="Y676" s="1896"/>
      <c r="Z676" s="1883"/>
      <c r="AA676" s="1883"/>
      <c r="AB676" s="1883"/>
      <c r="AC676" s="1883"/>
      <c r="AD676" s="1883"/>
      <c r="AE676" s="1883"/>
      <c r="AF676" s="1883"/>
      <c r="AG676" s="1483" t="s">
        <v>618</v>
      </c>
      <c r="AV676" s="3">
        <v>1</v>
      </c>
    </row>
    <row r="677" spans="23:48" ht="21" customHeight="1">
      <c r="W677" s="14"/>
      <c r="X677" s="1823" t="str">
        <f>IF(ISBLANK(Y677),"",LARGE(X663:X676,1)+1)</f>
        <v/>
      </c>
      <c r="Y677" s="1896"/>
      <c r="Z677" s="1883"/>
      <c r="AA677" s="1883"/>
      <c r="AB677" s="1883"/>
      <c r="AC677" s="1883"/>
      <c r="AD677" s="1883"/>
      <c r="AE677" s="1883"/>
      <c r="AF677" s="1883"/>
      <c r="AG677" s="1483" t="s">
        <v>620</v>
      </c>
      <c r="AV677" s="3">
        <v>1</v>
      </c>
    </row>
    <row r="678" spans="23:48" ht="21" customHeight="1">
      <c r="W678" s="14"/>
      <c r="X678" s="1823" t="str">
        <f>IF(ISBLANK(Y678),"",LARGE(X663:X677,1)+1)</f>
        <v/>
      </c>
      <c r="Y678" s="1896"/>
      <c r="Z678" s="1883"/>
      <c r="AA678" s="1883"/>
      <c r="AB678" s="1883"/>
      <c r="AC678" s="1883"/>
      <c r="AD678" s="1883"/>
      <c r="AE678" s="1883"/>
      <c r="AF678" s="1883"/>
      <c r="AG678" s="1483" t="s">
        <v>622</v>
      </c>
      <c r="AV678" s="3">
        <v>1</v>
      </c>
    </row>
    <row r="679" spans="23:48" ht="21" customHeight="1">
      <c r="W679" s="14"/>
      <c r="X679" s="1823" t="str">
        <f>IF(ISBLANK(Y679),"",LARGE(X663:X678,1)+1)</f>
        <v/>
      </c>
      <c r="Y679" s="1896"/>
      <c r="Z679" s="1883"/>
      <c r="AA679" s="1883"/>
      <c r="AB679" s="1883"/>
      <c r="AC679" s="1883"/>
      <c r="AD679" s="1883"/>
      <c r="AE679" s="1883"/>
      <c r="AF679" s="1883"/>
      <c r="AG679" s="1483" t="s">
        <v>615</v>
      </c>
      <c r="AV679" s="3">
        <v>1</v>
      </c>
    </row>
    <row r="680" spans="23:48" ht="21" customHeight="1">
      <c r="W680" s="14"/>
      <c r="X680" s="1823" t="str">
        <f>IF(ISBLANK(Y680),"",LARGE(X663:X679,1)+1)</f>
        <v/>
      </c>
      <c r="Y680" s="1896"/>
      <c r="Z680" s="1883"/>
      <c r="AA680" s="1883"/>
      <c r="AB680" s="1883"/>
      <c r="AC680" s="1883"/>
      <c r="AD680" s="1883"/>
      <c r="AE680" s="1883"/>
      <c r="AF680" s="1883"/>
      <c r="AG680" s="1898"/>
      <c r="AV680" s="3">
        <v>1</v>
      </c>
    </row>
    <row r="681" spans="23:48" ht="21" customHeight="1">
      <c r="W681" s="14"/>
      <c r="X681" s="1823" t="str">
        <f>IF(ISBLANK(Y681),"",LARGE(X663:X680,1)+1)</f>
        <v/>
      </c>
      <c r="Y681" s="1896"/>
      <c r="Z681" s="1883"/>
      <c r="AA681" s="1883"/>
      <c r="AB681" s="1883"/>
      <c r="AC681" s="1883"/>
      <c r="AD681" s="1883"/>
      <c r="AE681" s="1883"/>
      <c r="AF681" s="1883"/>
      <c r="AG681" s="1898"/>
      <c r="AV681" s="3">
        <v>1</v>
      </c>
    </row>
    <row r="682" spans="23:48" ht="21" customHeight="1">
      <c r="W682" s="14"/>
      <c r="X682" s="1963" t="s">
        <v>8629</v>
      </c>
      <c r="Y682" s="1844"/>
      <c r="Z682" s="1844"/>
      <c r="AA682" s="1844"/>
      <c r="AB682" s="1844"/>
      <c r="AC682" s="1844"/>
      <c r="AD682" s="1844"/>
      <c r="AE682" s="1844"/>
      <c r="AF682" s="1844"/>
      <c r="AG682" s="1964" t="s">
        <v>8629</v>
      </c>
      <c r="AV682" s="3">
        <v>1</v>
      </c>
    </row>
    <row r="683" spans="23:48" ht="21" customHeight="1">
      <c r="W683" s="14"/>
      <c r="X683" s="1372" t="s">
        <v>8145</v>
      </c>
      <c r="Y683" s="230"/>
      <c r="Z683" s="230"/>
      <c r="AA683" s="230"/>
      <c r="AB683" s="1904" t="s">
        <v>654</v>
      </c>
      <c r="AC683" s="230"/>
      <c r="AD683" s="231"/>
      <c r="AE683" s="231"/>
      <c r="AF683" s="231"/>
      <c r="AG683" s="585" t="s">
        <v>631</v>
      </c>
      <c r="AV683" s="3">
        <v>1</v>
      </c>
    </row>
    <row r="684" spans="23:48" ht="21" customHeight="1">
      <c r="W684" s="14"/>
      <c r="X684" s="1392">
        <v>0</v>
      </c>
      <c r="Y684" s="1484"/>
      <c r="Z684" s="161"/>
      <c r="AA684" s="161"/>
      <c r="AB684" s="1485" t="s">
        <v>636</v>
      </c>
      <c r="AC684" s="523" t="s">
        <v>1</v>
      </c>
      <c r="AD684" s="524" t="s">
        <v>2</v>
      </c>
      <c r="AE684" s="525" t="s">
        <v>634</v>
      </c>
      <c r="AF684" s="524" t="s">
        <v>10</v>
      </c>
      <c r="AG684" s="1775" t="s">
        <v>635</v>
      </c>
      <c r="AV684" s="3">
        <v>1</v>
      </c>
    </row>
    <row r="685" spans="23:48" ht="21" customHeight="1">
      <c r="W685" s="14"/>
      <c r="X685" s="1394" t="str">
        <f>IF(ISBLANK(Y685),"",LARGE(X684:X684,1)+1)</f>
        <v/>
      </c>
      <c r="Y685" s="1441"/>
      <c r="Z685" s="9"/>
      <c r="AA685" s="9"/>
      <c r="AB685" s="1763">
        <v>1</v>
      </c>
      <c r="AC685" s="526" t="str">
        <f>"◄ cellule "&amp;ADDRESS(ROW(AB685),COLUMN(AB685),4)&amp;"  vous pouvez saisir un autre poids"</f>
        <v>◄ cellule AB685  vous pouvez saisir un autre poids</v>
      </c>
      <c r="AD685" s="527"/>
      <c r="AE685" s="229"/>
      <c r="AF685" s="527"/>
      <c r="AG685" s="592"/>
      <c r="AV685" s="3">
        <v>1</v>
      </c>
    </row>
    <row r="686" spans="23:48" ht="21" customHeight="1">
      <c r="W686" s="14"/>
      <c r="X686" s="1394" t="str">
        <f>IF(ISBLANK(Y686),"",LARGE(X684:X685,1)+1)</f>
        <v/>
      </c>
      <c r="Y686" s="1441"/>
      <c r="Z686" s="9"/>
      <c r="AA686" s="9"/>
      <c r="AB686" s="1486" t="s">
        <v>8199</v>
      </c>
      <c r="AC686" s="530">
        <v>100</v>
      </c>
      <c r="AD686" s="531">
        <v>120</v>
      </c>
      <c r="AE686" s="531">
        <v>180</v>
      </c>
      <c r="AF686" s="531">
        <v>180</v>
      </c>
      <c r="AG686" s="1487">
        <v>200</v>
      </c>
      <c r="AV686" s="3">
        <v>1</v>
      </c>
    </row>
    <row r="687" spans="23:48" ht="21" customHeight="1">
      <c r="W687" s="14"/>
      <c r="X687" s="1394" t="str">
        <f>IF(ISBLANK(Y687),"",LARGE(X684:X686,1)+1)</f>
        <v/>
      </c>
      <c r="Y687" s="1441"/>
      <c r="Z687" s="9"/>
      <c r="AA687" s="9"/>
      <c r="AB687" s="1488" t="s">
        <v>642</v>
      </c>
      <c r="AC687" s="538">
        <f>IF(MOD(AB685*1000/AC686,1)=0,AB685*1000/AC686,IF(MOD(AB685*1000/AC686,1)&lt;0.5,INT(AB685*1000/AC686),INT(AB685*1000/AC686)+1))</f>
        <v>10</v>
      </c>
      <c r="AD687" s="539">
        <f>IF(MOD(AB685*1000/AD686,1)=0,AB685*1000/AD686,IF(MOD(AB685*1000/AD686,1)&lt;0.5,INT(AB685*1000/AD686),INT(AB685*1000/AD686)+1))</f>
        <v>8</v>
      </c>
      <c r="AE687" s="539">
        <f>IF(MOD(AB685*1000/AE686,1)=0,AB685*1000/AE686,IF(MOD(AB685*1000/AE686,1)&lt;0.5,INT(AB685*1000/AE686),INT(AB685*1000/AE686)+1))</f>
        <v>6</v>
      </c>
      <c r="AF687" s="539">
        <f>IF(MOD(AB685*1000/AF686,1)=0,AB685*1000/AF686,IF(MOD(AB685*1000/AF686,1)&lt;0.5,INT(AB685*1000/AF686),INT(AB685*1000/AF686)+1))</f>
        <v>6</v>
      </c>
      <c r="AG687" s="1489">
        <f>IF(MOD(AB685*1000/AG686,1)=0,AB685*1000/AG686,IF(MOD(AB685*1000/AG686,1)&lt;0.5,INT(AB685*1000/AG686),INT(AB685*1000/AG686)+1))</f>
        <v>5</v>
      </c>
      <c r="AV687" s="3">
        <v>1</v>
      </c>
    </row>
    <row r="688" spans="23:48" ht="21" customHeight="1">
      <c r="W688" s="14"/>
      <c r="X688" s="1394" t="str">
        <f>IF(ISBLANK(Y688),"",LARGE(X684:X687,1)+1)</f>
        <v/>
      </c>
      <c r="Y688" s="1441"/>
      <c r="Z688" s="9"/>
      <c r="AA688" s="9"/>
      <c r="AB688" s="1490">
        <v>1</v>
      </c>
      <c r="AC688" s="526" t="str">
        <f>"◄ cellule "&amp;ADDRESS(ROW(AB688),COLUMN(AB688),4)&amp;"  vous pouvez saisir un autre poids"</f>
        <v>◄ cellule AB688  vous pouvez saisir un autre poids</v>
      </c>
      <c r="AD688" s="532"/>
      <c r="AE688" s="9"/>
      <c r="AF688" s="532"/>
      <c r="AG688" s="592"/>
      <c r="AV688" s="3">
        <v>1</v>
      </c>
    </row>
    <row r="689" spans="23:48" ht="21" customHeight="1">
      <c r="W689" s="14"/>
      <c r="X689" s="1394" t="str">
        <f>IF(ISBLANK(Y689),"",LARGE(X684:X688,1)+1)</f>
        <v/>
      </c>
      <c r="Y689" s="1441"/>
      <c r="Z689" s="9"/>
      <c r="AA689" s="9"/>
      <c r="AB689" s="1491" t="s">
        <v>8200</v>
      </c>
      <c r="AC689" s="542">
        <v>10</v>
      </c>
      <c r="AD689" s="502">
        <v>8</v>
      </c>
      <c r="AE689" s="502">
        <v>5</v>
      </c>
      <c r="AF689" s="502">
        <v>6</v>
      </c>
      <c r="AG689" s="1492">
        <v>10</v>
      </c>
      <c r="AV689" s="3">
        <v>1</v>
      </c>
    </row>
    <row r="690" spans="23:48" ht="21" customHeight="1">
      <c r="W690" s="14"/>
      <c r="X690" s="1394" t="str">
        <f>IF(ISBLANK(Y690),"",LARGE(X684:X689,1)+1)</f>
        <v/>
      </c>
      <c r="Y690" s="1441"/>
      <c r="Z690" s="9"/>
      <c r="AA690" s="9"/>
      <c r="AB690" s="1493" t="s">
        <v>1458</v>
      </c>
      <c r="AC690" s="547">
        <f>AB688/AC689*1000</f>
        <v>100</v>
      </c>
      <c r="AD690" s="548">
        <f>AB688/AD689*1000</f>
        <v>125</v>
      </c>
      <c r="AE690" s="548">
        <f>AB688/AE689*1000</f>
        <v>200</v>
      </c>
      <c r="AF690" s="548">
        <f>AB688/AF689*1000</f>
        <v>166.66666666666666</v>
      </c>
      <c r="AG690" s="1494">
        <f>AB688/AG689*1000</f>
        <v>100</v>
      </c>
      <c r="AV690" s="3">
        <v>1</v>
      </c>
    </row>
    <row r="691" spans="23:48" ht="21" customHeight="1">
      <c r="W691" s="14"/>
      <c r="X691" s="1394" t="str">
        <f>IF(ISBLANK(Y691),"",LARGE(X684:X690,1)+1)</f>
        <v/>
      </c>
      <c r="Y691" s="1441"/>
      <c r="Z691" s="9"/>
      <c r="AA691" s="1495" t="s">
        <v>8175</v>
      </c>
      <c r="AB691" s="552" t="s">
        <v>652</v>
      </c>
      <c r="AC691" s="551"/>
      <c r="AD691" s="552" t="s">
        <v>648</v>
      </c>
      <c r="AE691" s="552"/>
      <c r="AF691" s="699" t="s">
        <v>653</v>
      </c>
      <c r="AG691" s="1496"/>
      <c r="AV691" s="3">
        <v>1</v>
      </c>
    </row>
    <row r="692" spans="23:48" ht="21" customHeight="1">
      <c r="W692" s="14"/>
      <c r="X692" s="1394" t="str">
        <f>IF(ISBLANK(Y692),"",LARGE(X684:X691,1)+1)</f>
        <v/>
      </c>
      <c r="Y692" s="1905"/>
      <c r="Z692" s="1495"/>
      <c r="AA692" s="552"/>
      <c r="AB692" s="555"/>
      <c r="AC692" s="551"/>
      <c r="AD692" s="552" t="s">
        <v>649</v>
      </c>
      <c r="AE692" s="552"/>
      <c r="AF692" s="552" t="s">
        <v>8176</v>
      </c>
      <c r="AG692" s="1455"/>
      <c r="AV692" s="3">
        <v>1</v>
      </c>
    </row>
    <row r="693" spans="23:48" ht="21" customHeight="1">
      <c r="W693" s="14"/>
      <c r="X693" s="1394"/>
      <c r="Y693" s="1865" t="s">
        <v>821</v>
      </c>
      <c r="Z693" s="1841"/>
      <c r="AA693" s="1899"/>
      <c r="AB693" s="1899"/>
      <c r="AC693" s="1899"/>
      <c r="AD693" s="1899"/>
      <c r="AE693" s="1899"/>
      <c r="AF693" s="1899"/>
      <c r="AG693" s="1903" t="s">
        <v>196</v>
      </c>
      <c r="AV693" s="3">
        <v>1</v>
      </c>
    </row>
    <row r="694" spans="23:48" ht="21" customHeight="1">
      <c r="W694" s="14"/>
      <c r="X694" s="1394"/>
      <c r="Y694" s="1866" t="s">
        <v>8146</v>
      </c>
      <c r="Z694" s="14"/>
      <c r="AA694" s="1883"/>
      <c r="AB694" s="1883"/>
      <c r="AC694" s="1883"/>
      <c r="AD694" s="1883"/>
      <c r="AE694" s="1883"/>
      <c r="AF694" s="1883"/>
      <c r="AG694" s="1898"/>
      <c r="AV694" s="3">
        <v>1</v>
      </c>
    </row>
    <row r="695" spans="23:48" ht="21" customHeight="1">
      <c r="W695" s="14"/>
      <c r="X695" s="1394" t="str">
        <f>IF(ISBLANK(Y695),"",LARGE(X684:X694,1)+1)</f>
        <v/>
      </c>
      <c r="Y695" s="1896"/>
      <c r="Z695" s="1883"/>
      <c r="AA695" s="1883"/>
      <c r="AB695" s="1883"/>
      <c r="AC695" s="1883"/>
      <c r="AD695" s="1883"/>
      <c r="AE695" s="1883"/>
      <c r="AF695" s="1883"/>
      <c r="AG695" s="1898"/>
      <c r="AV695" s="3">
        <v>1</v>
      </c>
    </row>
    <row r="696" spans="23:48" ht="21" customHeight="1">
      <c r="W696" s="14"/>
      <c r="X696" s="1394" t="str">
        <f>IF(ISBLANK(Y696),"",LARGE(X684:X695,1)+1)</f>
        <v/>
      </c>
      <c r="Y696" s="1896"/>
      <c r="Z696" s="1883"/>
      <c r="AA696" s="1883"/>
      <c r="AB696" s="1883"/>
      <c r="AC696" s="1883"/>
      <c r="AD696" s="1883"/>
      <c r="AE696" s="1883"/>
      <c r="AF696" s="1883"/>
      <c r="AG696" s="1898"/>
      <c r="AV696" s="3">
        <v>1</v>
      </c>
    </row>
    <row r="697" spans="23:48" ht="21" customHeight="1">
      <c r="W697" s="14"/>
      <c r="X697" s="1394" t="str">
        <f>IF(ISBLANK(Y697),"",LARGE(X684:X696,1)+1)</f>
        <v/>
      </c>
      <c r="Y697" s="1896"/>
      <c r="Z697" s="1883"/>
      <c r="AA697" s="1883"/>
      <c r="AB697" s="1883"/>
      <c r="AC697" s="1883"/>
      <c r="AD697" s="1883"/>
      <c r="AE697" s="1883"/>
      <c r="AF697" s="1883"/>
      <c r="AG697" s="1898"/>
      <c r="AV697" s="3">
        <v>1</v>
      </c>
    </row>
    <row r="698" spans="23:48" ht="21" customHeight="1">
      <c r="W698" s="14"/>
      <c r="X698" s="1394" t="str">
        <f>IF(ISBLANK(Y698),"",LARGE(X684:X697,1)+1)</f>
        <v/>
      </c>
      <c r="Y698" s="1896"/>
      <c r="Z698" s="1883"/>
      <c r="AA698" s="1883"/>
      <c r="AB698" s="1883"/>
      <c r="AC698" s="1883"/>
      <c r="AD698" s="1883"/>
      <c r="AE698" s="1883"/>
      <c r="AF698" s="1883"/>
      <c r="AG698" s="1898"/>
      <c r="AV698" s="3">
        <v>1</v>
      </c>
    </row>
    <row r="699" spans="23:48" ht="21" customHeight="1">
      <c r="W699" s="14"/>
      <c r="X699" s="1394" t="str">
        <f>IF(ISBLANK(Y699),"",LARGE(X684:X698,1)+1)</f>
        <v/>
      </c>
      <c r="Y699" s="1896"/>
      <c r="Z699" s="1883"/>
      <c r="AA699" s="1883"/>
      <c r="AB699" s="1883"/>
      <c r="AC699" s="1883"/>
      <c r="AD699" s="1883"/>
      <c r="AE699" s="1883"/>
      <c r="AF699" s="1883"/>
      <c r="AG699" s="1898"/>
      <c r="AV699" s="3">
        <v>1</v>
      </c>
    </row>
    <row r="700" spans="23:48" ht="21" customHeight="1">
      <c r="W700" s="14"/>
      <c r="X700" s="1394" t="str">
        <f>IF(ISBLANK(Y700),"",LARGE(X684:X699,1)+1)</f>
        <v/>
      </c>
      <c r="Y700" s="1896"/>
      <c r="Z700" s="1883"/>
      <c r="AA700" s="1883"/>
      <c r="AB700" s="1883"/>
      <c r="AC700" s="1883"/>
      <c r="AD700" s="1883"/>
      <c r="AE700" s="1883"/>
      <c r="AF700" s="1883"/>
      <c r="AG700" s="1898"/>
      <c r="AV700" s="3">
        <v>1</v>
      </c>
    </row>
    <row r="701" spans="23:48" ht="21" customHeight="1">
      <c r="W701" s="14"/>
      <c r="X701" s="1394" t="str">
        <f>IF(ISBLANK(Y701),"",LARGE(X684:X700,1)+1)</f>
        <v/>
      </c>
      <c r="Y701" s="1896"/>
      <c r="Z701" s="1883"/>
      <c r="AA701" s="1883"/>
      <c r="AB701" s="1883"/>
      <c r="AC701" s="1883"/>
      <c r="AD701" s="1883"/>
      <c r="AE701" s="1883"/>
      <c r="AF701" s="1883"/>
      <c r="AG701" s="1898"/>
      <c r="AV701" s="3">
        <v>1</v>
      </c>
    </row>
    <row r="702" spans="23:48" ht="21" customHeight="1">
      <c r="W702" s="14"/>
      <c r="X702" s="1394" t="str">
        <f>IF(ISBLANK(Y702),"",LARGE(X684:X701,1)+1)</f>
        <v/>
      </c>
      <c r="Y702" s="1896"/>
      <c r="Z702" s="1883"/>
      <c r="AA702" s="1883"/>
      <c r="AB702" s="1883"/>
      <c r="AC702" s="1883"/>
      <c r="AD702" s="1883"/>
      <c r="AE702" s="1883"/>
      <c r="AF702" s="1883"/>
      <c r="AG702" s="1898"/>
      <c r="AV702" s="3">
        <v>1</v>
      </c>
    </row>
    <row r="703" spans="23:48" ht="21" customHeight="1">
      <c r="W703" s="14"/>
      <c r="X703" s="1963" t="s">
        <v>8629</v>
      </c>
      <c r="Y703" s="1844"/>
      <c r="Z703" s="1844"/>
      <c r="AA703" s="1844"/>
      <c r="AB703" s="1844"/>
      <c r="AC703" s="1844"/>
      <c r="AD703" s="1844"/>
      <c r="AE703" s="1844"/>
      <c r="AF703" s="1844"/>
      <c r="AG703" s="1964" t="s">
        <v>8629</v>
      </c>
      <c r="AV703" s="3">
        <v>1</v>
      </c>
    </row>
    <row r="704" spans="23:48" ht="21" customHeight="1">
      <c r="W704" s="14"/>
      <c r="X704" s="1372" t="s">
        <v>8145</v>
      </c>
      <c r="Y704" s="419"/>
      <c r="Z704" s="419"/>
      <c r="AA704" s="419"/>
      <c r="AB704" s="419"/>
      <c r="AC704" s="419"/>
      <c r="AD704" s="420"/>
      <c r="AE704" s="420"/>
      <c r="AF704" s="420"/>
      <c r="AG704" s="608" t="s">
        <v>8163</v>
      </c>
      <c r="AV704" s="3">
        <v>1</v>
      </c>
    </row>
    <row r="705" spans="23:48" ht="21" customHeight="1">
      <c r="W705" s="14"/>
      <c r="X705" s="1392">
        <v>0</v>
      </c>
      <c r="Y705" s="1499"/>
      <c r="Z705" s="1850" t="s">
        <v>8177</v>
      </c>
      <c r="AA705" s="1500" t="s">
        <v>8178</v>
      </c>
      <c r="AB705" s="544"/>
      <c r="AC705" s="544"/>
      <c r="AD705" s="1501">
        <v>25</v>
      </c>
      <c r="AE705" s="1501"/>
      <c r="AF705" s="1502" t="str">
        <f>"&lt; ③ quantité dans 1"&amp;" "&amp;AA706</f>
        <v>&lt; ③ quantité dans 1 Gastro 1/1</v>
      </c>
      <c r="AG705" s="1503"/>
      <c r="AV705" s="3">
        <v>1</v>
      </c>
    </row>
    <row r="706" spans="23:48" ht="21" customHeight="1">
      <c r="W706" s="14"/>
      <c r="X706" s="1394" t="str">
        <f>IF(ISBLANK(Y706),"",LARGE(X705:X705,1)+1)</f>
        <v/>
      </c>
      <c r="Y706" s="1504"/>
      <c r="Z706" s="1851" t="s">
        <v>8179</v>
      </c>
      <c r="AA706" s="1505" t="s">
        <v>422</v>
      </c>
      <c r="AB706" s="9"/>
      <c r="AC706" s="9"/>
      <c r="AD706" s="1506" t="s">
        <v>8180</v>
      </c>
      <c r="AE706" s="1506"/>
      <c r="AF706" s="1507" t="s">
        <v>8181</v>
      </c>
      <c r="AG706" s="38"/>
      <c r="AV706" s="3">
        <v>1</v>
      </c>
    </row>
    <row r="707" spans="23:48" ht="21" customHeight="1">
      <c r="W707" s="14"/>
      <c r="X707" s="1394" t="str">
        <f>IF(ISBLANK(Y707),"",LARGE(X705:X706,1)+1)</f>
        <v/>
      </c>
      <c r="Y707" s="1508"/>
      <c r="AA707" s="1509"/>
      <c r="AB707" s="1510" t="s">
        <v>8182</v>
      </c>
      <c r="AC707" s="1511">
        <v>120</v>
      </c>
      <c r="AD707" s="1512">
        <v>2.7</v>
      </c>
      <c r="AE707" s="1512"/>
      <c r="AF707" s="1513" t="str">
        <f>"&lt; ⑥ poids par "&amp; AA706</f>
        <v>&lt; ⑥ poids par Gastro 1/1</v>
      </c>
      <c r="AG707" s="38"/>
      <c r="AV707" s="3">
        <v>1</v>
      </c>
    </row>
    <row r="708" spans="23:48" ht="21" customHeight="1">
      <c r="W708" s="14"/>
      <c r="X708" s="1394" t="str">
        <f>IF(ISBLANK(Y708),"",LARGE(X705:X707,1)+1)</f>
        <v/>
      </c>
      <c r="Y708" s="1860"/>
      <c r="Z708" s="1852" t="s">
        <v>8183</v>
      </c>
      <c r="AA708" s="1515" t="s">
        <v>8184</v>
      </c>
      <c r="AB708" s="1516" t="s">
        <v>8185</v>
      </c>
      <c r="AC708" s="1517" t="s">
        <v>8186</v>
      </c>
      <c r="AD708" s="6760" t="s">
        <v>8187</v>
      </c>
      <c r="AE708" s="1739"/>
      <c r="AF708" s="1518">
        <f>Z710*Z709</f>
        <v>225</v>
      </c>
      <c r="AG708" s="1519" t="str">
        <f>Z711</f>
        <v>escalopes</v>
      </c>
      <c r="AV708" s="3">
        <v>1</v>
      </c>
    </row>
    <row r="709" spans="23:48" ht="21" customHeight="1">
      <c r="W709" s="14"/>
      <c r="X709" s="1394" t="str">
        <f>IF(ISBLANK(Y709),"",LARGE(X705:X708,1)+1)</f>
        <v/>
      </c>
      <c r="Y709" s="1861"/>
      <c r="Z709" s="1853">
        <v>450</v>
      </c>
      <c r="AA709" s="1521">
        <v>1230</v>
      </c>
      <c r="AB709" s="1521">
        <v>220</v>
      </c>
      <c r="AC709" s="1522">
        <v>95</v>
      </c>
      <c r="AD709" s="6761"/>
      <c r="AE709" s="1740"/>
      <c r="AF709" s="1523"/>
      <c r="AG709" s="1524">
        <f>AC716</f>
        <v>54</v>
      </c>
      <c r="AV709" s="3">
        <v>1</v>
      </c>
    </row>
    <row r="710" spans="23:48" ht="21" customHeight="1">
      <c r="W710" s="14"/>
      <c r="X710" s="1394" t="str">
        <f>IF(ISBLANK(Y710),"",LARGE(X705:X709,1)+1)</f>
        <v/>
      </c>
      <c r="Y710" s="1862"/>
      <c r="Z710" s="1854">
        <v>0.5</v>
      </c>
      <c r="AA710" s="1526">
        <v>0.75</v>
      </c>
      <c r="AB710" s="1526">
        <v>1</v>
      </c>
      <c r="AC710" s="1526">
        <v>1</v>
      </c>
      <c r="AD710" s="6750" t="s">
        <v>8188</v>
      </c>
      <c r="AE710" s="1741"/>
      <c r="AF710" s="1527">
        <f>AA710*AA709</f>
        <v>922.5</v>
      </c>
      <c r="AG710" s="1528" t="str">
        <f>AA711</f>
        <v>escalopes</v>
      </c>
      <c r="AV710" s="3">
        <v>1</v>
      </c>
    </row>
    <row r="711" spans="23:48" ht="21" customHeight="1">
      <c r="W711" s="14"/>
      <c r="X711" s="1394" t="str">
        <f>IF(ISBLANK(Y711),"",LARGE(X705:X710,1)+1)</f>
        <v/>
      </c>
      <c r="Y711" s="1863"/>
      <c r="Z711" s="1855" t="str">
        <f>AD706</f>
        <v>escalopes</v>
      </c>
      <c r="AA711" s="1530" t="str">
        <f>AD706</f>
        <v>escalopes</v>
      </c>
      <c r="AB711" s="1530" t="str">
        <f>AD706</f>
        <v>escalopes</v>
      </c>
      <c r="AC711" s="1530" t="str">
        <f>AD706</f>
        <v>escalopes</v>
      </c>
      <c r="AD711" s="6751"/>
      <c r="AE711" s="1742"/>
      <c r="AF711" s="1531"/>
      <c r="AG711" s="1532">
        <f>AC717</f>
        <v>147.6</v>
      </c>
      <c r="AV711" s="3">
        <v>1</v>
      </c>
    </row>
    <row r="712" spans="23:48" ht="21" customHeight="1">
      <c r="W712" s="14"/>
      <c r="X712" s="1394" t="str">
        <f>IF(ISBLANK(Y712),"",LARGE(X705:X711,1)+1)</f>
        <v/>
      </c>
      <c r="Y712" s="1864"/>
      <c r="Z712" s="1856">
        <f>Z710*Z709</f>
        <v>225</v>
      </c>
      <c r="AA712" s="1534">
        <f>AA710*AA709</f>
        <v>922.5</v>
      </c>
      <c r="AB712" s="1534">
        <f>AB710*AB709</f>
        <v>220</v>
      </c>
      <c r="AC712" s="1534">
        <f>AC710*AC709</f>
        <v>95</v>
      </c>
      <c r="AD712" s="6752" t="s">
        <v>8189</v>
      </c>
      <c r="AE712" s="1743"/>
      <c r="AF712" s="1535">
        <f>AB710*AB709</f>
        <v>220</v>
      </c>
      <c r="AG712" s="1536" t="str">
        <f>AB711</f>
        <v>escalopes</v>
      </c>
      <c r="AV712" s="3">
        <v>1</v>
      </c>
    </row>
    <row r="713" spans="23:48" ht="21" customHeight="1">
      <c r="W713" s="14"/>
      <c r="X713" s="1394" t="str">
        <f>IF(ISBLANK(Y713),"",LARGE(X705:X712,1)+1)</f>
        <v/>
      </c>
      <c r="Y713" s="1537"/>
      <c r="Z713" s="1857"/>
      <c r="AA713" s="1538">
        <f>IFERROR(SUM(Z709:AC709),0)</f>
        <v>1995</v>
      </c>
      <c r="AB713" s="479" t="s">
        <v>8190</v>
      </c>
      <c r="AC713" s="1539"/>
      <c r="AD713" s="6753"/>
      <c r="AE713" s="1744"/>
      <c r="AF713" s="1540"/>
      <c r="AG713" s="1541">
        <f>AC718</f>
        <v>26.4</v>
      </c>
      <c r="AV713" s="3">
        <v>1</v>
      </c>
    </row>
    <row r="714" spans="23:48" ht="21" customHeight="1">
      <c r="W714" s="14"/>
      <c r="X714" s="1394" t="str">
        <f>IF(ISBLANK(Y714),"",LARGE(X705:X713,1)+1)</f>
        <v/>
      </c>
      <c r="Y714" s="1542"/>
      <c r="Z714" s="1858">
        <f>AC720</f>
        <v>239.4</v>
      </c>
      <c r="AA714" s="1543">
        <f>IFERROR(SUM(AF708,AF710,AF712,AF714),0)</f>
        <v>1462.5</v>
      </c>
      <c r="AB714" s="479" t="str">
        <f>AD706</f>
        <v>escalopes</v>
      </c>
      <c r="AC714" s="1544"/>
      <c r="AD714" s="6754" t="s">
        <v>8191</v>
      </c>
      <c r="AE714" s="1745"/>
      <c r="AF714" s="1545">
        <f>AC710*AC709</f>
        <v>95</v>
      </c>
      <c r="AG714" s="1546" t="str">
        <f>AC711</f>
        <v>escalopes</v>
      </c>
      <c r="AU714"/>
      <c r="AV714" s="3">
        <v>1</v>
      </c>
    </row>
    <row r="715" spans="23:48" ht="21" customHeight="1">
      <c r="W715" s="14"/>
      <c r="X715" s="1394" t="str">
        <f>IF(ISBLANK(Y715),"",LARGE(X705:X714,1)+1)</f>
        <v/>
      </c>
      <c r="Y715" s="1547"/>
      <c r="Z715" s="1859" t="str">
        <f>"Saisissez ①②③④⑤⑥⑦ plus effectifs ligne "&amp;ROW(Z709)&amp;" et quantité ligne " &amp; ROW(Z710)</f>
        <v>Saisissez ①②③④⑤⑥⑦ plus effectifs ligne 709 et quantité ligne 710</v>
      </c>
      <c r="AA715" s="1548"/>
      <c r="AB715" s="507"/>
      <c r="AC715" s="1549"/>
      <c r="AD715" s="6755"/>
      <c r="AE715" s="1746"/>
      <c r="AF715" s="1550"/>
      <c r="AG715" s="1551">
        <f>AC719</f>
        <v>11.4</v>
      </c>
      <c r="AV715" s="3">
        <v>1</v>
      </c>
    </row>
    <row r="716" spans="23:48" ht="21" customHeight="1">
      <c r="W716" s="14"/>
      <c r="X716" s="1394" t="str">
        <f>IF(ISBLANK(Y716),"",LARGE(X705:X715,1)+1)</f>
        <v/>
      </c>
      <c r="Y716" s="1846"/>
      <c r="Z716" s="1553" t="str">
        <f>IF(OR(AD705="",Z712=0),"",INT(Z712/AD705) &amp; " " &amp; AA706 &amp; " de " &amp; AD705 &amp; " " &amp; AD706 &amp; IF(MOD(Z712,AD705)&gt;0," + 1 " &amp; AA706 &amp; " de " &amp; TEXT(MOD(Z712,AD705),"0.00") &amp; " " &amp; AD706,""))</f>
        <v>9 Gastro 1/1 de 25 escalopes</v>
      </c>
      <c r="AA716" s="1553"/>
      <c r="AB716" s="1554"/>
      <c r="AC716" s="1555">
        <f>(AC707*Z709)/1000</f>
        <v>54</v>
      </c>
      <c r="AD716" s="1556" t="str">
        <f>IF(OR(AC716&lt;=0,AD707&lt;=0),"",_xlfn.LET(_xlpm.n,ROUND(AC716/AD707,9),_xlpm.q,INT(_xlpm.n),_xlpm.r,ROUND(AC716-_xlpm.q*AD707,9),_xlpm.base,_xlpm.q&amp;" "&amp;AA706&amp;" de "&amp;TEXT(AD707,"0.000")&amp;" kg",IF(_xlpm.r&lt;=0.000000001,_xlpm.base,_xlpm.base&amp;" + 1 "&amp;AA706&amp;" de "&amp;TEXT(_xlpm.r,"0.000")&amp;" kg")))</f>
        <v>20 Gastro 1/1 de 2.700 kg</v>
      </c>
      <c r="AE716" s="1556"/>
      <c r="AF716" s="1557"/>
      <c r="AG716" s="1558"/>
      <c r="AV716" s="3">
        <v>1</v>
      </c>
    </row>
    <row r="717" spans="23:48" ht="21" customHeight="1">
      <c r="W717" s="14"/>
      <c r="X717" s="1394" t="str">
        <f>IF(ISBLANK(Y717),"",LARGE(X705:X716,1)+1)</f>
        <v/>
      </c>
      <c r="Y717" s="1847"/>
      <c r="Z717" s="1560" t="str">
        <f>IF(OR(AD705="",AA712=0),"",INT(AA712/AD705) &amp; " " &amp; AA706 &amp; " de " &amp; AD705 &amp; " " &amp; AD706 &amp; IF(MOD(AA712,AD705)&gt;0," + 1 " &amp; AA706 &amp; " de " &amp; TEXT(MOD(AA712,AD705),"0.00") &amp; " " &amp; AD706,""))</f>
        <v>36 Gastro 1/1 de 25 escalopes + 1 Gastro 1/1 de 22.50 escalopes</v>
      </c>
      <c r="AA717" s="1560"/>
      <c r="AB717" s="1561"/>
      <c r="AC717" s="1562">
        <f>(AC707*AA709)/1000</f>
        <v>147.6</v>
      </c>
      <c r="AD717" s="1563" t="str">
        <f>IF(OR(AC717&lt;=0,AD707&lt;=0),"",_xlfn.LET(_xlpm.n,ROUND(AC717/AD707,9),_xlpm.q,INT(_xlpm.n),_xlpm.r,ROUND(AC717-_xlpm.q*AD707,9),_xlpm.base,_xlpm.q&amp;" "&amp;AA706&amp;" de "&amp;TEXT(AD707,"0.000")&amp;" kg",IF(_xlpm.r&lt;=0.000000001,_xlpm.base,_xlpm.base&amp;" + 1 "&amp;AA706&amp;" de "&amp;TEXT(_xlpm.r,"0.000")&amp;" kg")))</f>
        <v>54 Gastro 1/1 de 2.700 kg + 1 Gastro 1/1 de 1.800 kg</v>
      </c>
      <c r="AE717" s="1563"/>
      <c r="AF717" s="1564"/>
      <c r="AG717" s="1565"/>
      <c r="AV717" s="3">
        <v>1</v>
      </c>
    </row>
    <row r="718" spans="23:48" ht="21" customHeight="1">
      <c r="W718" s="14"/>
      <c r="X718" s="1394" t="str">
        <f>IF(ISBLANK(Y718),"",LARGE(X705:X717,1)+1)</f>
        <v/>
      </c>
      <c r="Y718" s="1848"/>
      <c r="Z718" s="1567" t="str">
        <f>IF(OR(AD705="",AB712=0),"",INT(AB712/AD705) &amp; " " &amp; AA706 &amp; " de " &amp; AD705 &amp; " " &amp; AD706 &amp; IF(MOD(AB712,AD705)&gt;0," + 1 " &amp; AA706 &amp; " de " &amp; TEXT(MOD(AB712,AD705),"0.00") &amp; " " &amp; AD706,""))</f>
        <v>8 Gastro 1/1 de 25 escalopes + 1 Gastro 1/1 de 20.00 escalopes</v>
      </c>
      <c r="AA718" s="1567"/>
      <c r="AB718" s="1568"/>
      <c r="AC718" s="1569">
        <f>(AC707*AB709)/1000</f>
        <v>26.4</v>
      </c>
      <c r="AD718" s="1570" t="str">
        <f>IF(OR(AC718&lt;=0,AD707&lt;=0),"",_xlfn.LET(_xlpm.n,ROUND(AC718/AD707,9),_xlpm.q,INT(_xlpm.n),_xlpm.r,ROUND(AC718-_xlpm.q*AD707,9),_xlpm.base,_xlpm.q&amp;" "&amp;AA706&amp;" de "&amp;TEXT(AD707,"0.000")&amp;" kg",IF(_xlpm.r&lt;=0.000000001,_xlpm.base,_xlpm.base&amp;" + 1 "&amp;AA706&amp;" de "&amp;TEXT(_xlpm.r,"0.000")&amp;" kg")))</f>
        <v>9 Gastro 1/1 de 2.700 kg + 1 Gastro 1/1 de 2.100 kg</v>
      </c>
      <c r="AE718" s="1570"/>
      <c r="AF718" s="1571"/>
      <c r="AG718" s="1572"/>
      <c r="AV718" s="3">
        <v>1</v>
      </c>
    </row>
    <row r="719" spans="23:48" ht="21" customHeight="1">
      <c r="W719" s="14"/>
      <c r="X719" s="1394" t="str">
        <f>IF(ISBLANK(Y719),"",LARGE(X705:X718,1)+1)</f>
        <v/>
      </c>
      <c r="Y719" s="1849"/>
      <c r="Z719" s="1574" t="str">
        <f>IF(OR(AD705="",AC712=0),"",INT(AC712/AD705) &amp; " " &amp; AA706 &amp; " de " &amp; AD705 &amp; " " &amp; AD706 &amp; IF(MOD(AC712,AD705)&gt;0," + 1 " &amp; AA706 &amp; " de " &amp; TEXT(MOD(AC712,AD705),"0.00") &amp; " " &amp; AD706,""))</f>
        <v>3 Gastro 1/1 de 25 escalopes + 1 Gastro 1/1 de 20.00 escalopes</v>
      </c>
      <c r="AA719" s="1574"/>
      <c r="AB719" s="1575"/>
      <c r="AC719" s="1576">
        <f>(AC707*AC709)/1000</f>
        <v>11.4</v>
      </c>
      <c r="AD719" s="1577" t="str">
        <f>IF(OR(AC719&lt;=0,AD707&lt;=0),"",_xlfn.LET(_xlpm.n,ROUND(AC719/AD707,9),_xlpm.q,INT(_xlpm.n),_xlpm.r,ROUND(AC719-_xlpm.q*AD707,9),_xlpm.base,_xlpm.q&amp;" "&amp;AA706&amp;" de "&amp;TEXT(AD707,"0.000")&amp;" kg",IF(_xlpm.r&lt;=0.000000001,_xlpm.base,_xlpm.base&amp;" + 1 "&amp;AA706&amp;" de "&amp;TEXT(_xlpm.r,"0.000")&amp;" kg")))</f>
        <v>4 Gastro 1/1 de 2.700 kg + 1 Gastro 1/1 de 0.600 kg</v>
      </c>
      <c r="AE719" s="1577"/>
      <c r="AF719" s="1578"/>
      <c r="AG719" s="1579"/>
      <c r="AV719" s="3">
        <v>1</v>
      </c>
    </row>
    <row r="720" spans="23:48" ht="21" customHeight="1">
      <c r="W720" s="14"/>
      <c r="X720" s="1394" t="str">
        <f>IF(ISBLANK(Y720),"",LARGE(X705:X719,1)+1)</f>
        <v/>
      </c>
      <c r="Y720" s="6746"/>
      <c r="Z720" s="6742" t="str">
        <f>AA714&amp;" "&amp;AB714&amp;" "&amp;SUM(
   IFERROR(LEFT(Z716, FIND(" ", Z716) - 1), 0) + IFERROR(IF(FIND("+", Z716), MID(Z716, FIND("+", Z716) + 2, FIND(" ", Z716, FIND("+", Z716) + 2) - FIND("+", Z716) - 2), 0), 0),
   IFERROR(LEFT(Z717, FIND(" ", Z717) - 1), 0) + IFERROR(IF(FIND("+", Z717), MID(Z717, FIND("+", Z717) + 2, FIND(" ", Z717, FIND("+", Z717) + 2) - FIND("+", Z717) - 2), 0), 0),
   IFERROR(LEFT(Z718, FIND(" ", Z718) - 1), 0) + IFERROR(IF(FIND("+", Z718), MID(Z718, FIND("+", Z718) + 2, FIND(" ", Z718, FIND("+", Z718) + 2) - FIND("+", Z718) - 2), 0), 0),
   IFERROR(LEFT(Z719, FIND(" ", Z719) - 1), 0) + IFERROR(IF(FIND("+", Z719), MID(Z719, FIND("+", Z719) + 2, FIND(" ", Z719, FIND("+", Z719) + 2) - FIND("+", Z719) - 2), 0), 0))&amp;" "&amp;AA706</f>
        <v>1462.5 escalopes 59 Gastro 1/1</v>
      </c>
      <c r="AA720" s="6742"/>
      <c r="AB720" s="6748"/>
      <c r="AC720" s="6740">
        <f>SUM(AC716:AC719)</f>
        <v>239.4</v>
      </c>
      <c r="AD720" s="6742" t="str">
        <f>SUM(
   IFERROR(LEFT(AD716, FIND(" ", AD716) - 1), 0) + IFERROR(IF(FIND("+", AD716), MID(AD716, FIND("+", AD716) + 2, FIND(" ", AD716, FIND("+", AD716) + 2) - FIND("+", AD716) - 2), 0), 0),
   IFERROR(LEFT(AD717, FIND(" ", AD717) - 1), 0) + IFERROR(IF(FIND("+", AD717), MID(AD717, FIND("+", AD717) + 2, FIND(" ", AD717, FIND("+", AD717) + 2) - FIND("+", AD717) - 2), 0), 0),
   IFERROR(LEFT(AD718, FIND(" ", AD718) - 1), 0) + IFERROR(IF(FIND("+", AD718), MID(AD718, FIND("+", AD718) + 2, FIND(" ", AD718, FIND("+", AD718) + 2) - FIND("+", AD718) - 2), 0), 0),
   IFERROR(LEFT(AD719, FIND(" ", AD719) - 1), 0) + IFERROR(IF(FIND("+", AD719), MID(AD719, FIND("+", AD719) + 2, FIND(" ", AD719, FIND("+", AD719) + 2) - FIND("+", AD719) - 2), 0), 0))&amp;" "&amp;AA706</f>
        <v>90 Gastro 1/1</v>
      </c>
      <c r="AE720" s="6742"/>
      <c r="AF720" s="6742"/>
      <c r="AG720" s="6743"/>
      <c r="AV720" s="3">
        <v>1</v>
      </c>
    </row>
    <row r="721" spans="1:50" ht="21" customHeight="1">
      <c r="W721" s="14"/>
      <c r="X721" s="1394" t="str">
        <f>IF(ISBLANK(Y721),"",LARGE(X705:X720,1)+1)</f>
        <v/>
      </c>
      <c r="Y721" s="6747"/>
      <c r="Z721" s="6742"/>
      <c r="AA721" s="6742"/>
      <c r="AB721" s="6748"/>
      <c r="AC721" s="6741"/>
      <c r="AD721" s="6744"/>
      <c r="AE721" s="6744"/>
      <c r="AF721" s="6744"/>
      <c r="AG721" s="6745"/>
      <c r="AU721"/>
      <c r="AV721" s="3">
        <v>1</v>
      </c>
    </row>
    <row r="722" spans="1:50" ht="15.75" customHeight="1">
      <c r="X722" s="1394"/>
      <c r="Y722" s="1865" t="s">
        <v>821</v>
      </c>
      <c r="Z722" s="1841"/>
      <c r="AA722" s="1899"/>
      <c r="AB722" s="1899"/>
      <c r="AC722" s="1899"/>
      <c r="AD722" s="1899"/>
      <c r="AE722" s="1899"/>
      <c r="AF722" s="1899"/>
      <c r="AG722" s="1903" t="s">
        <v>196</v>
      </c>
      <c r="AJ722"/>
      <c r="AK722"/>
      <c r="AU722"/>
      <c r="AV722" s="3">
        <v>1</v>
      </c>
    </row>
    <row r="723" spans="1:50" ht="18.75">
      <c r="X723" s="1394"/>
      <c r="Y723" s="1866" t="s">
        <v>8146</v>
      </c>
      <c r="Z723" s="14"/>
      <c r="AA723" s="1883"/>
      <c r="AB723" s="1883"/>
      <c r="AC723" s="1883"/>
      <c r="AD723" s="1883"/>
      <c r="AE723" s="1883"/>
      <c r="AF723" s="1883"/>
      <c r="AG723" s="1898"/>
      <c r="AU723"/>
      <c r="AV723" s="3">
        <v>1</v>
      </c>
    </row>
    <row r="724" spans="1:50" ht="15.75">
      <c r="X724" s="1963" t="s">
        <v>8629</v>
      </c>
      <c r="Y724" s="1844"/>
      <c r="Z724" s="1844"/>
      <c r="AA724" s="1844"/>
      <c r="AB724" s="1844"/>
      <c r="AC724" s="1844"/>
      <c r="AD724" s="1844"/>
      <c r="AE724" s="1844"/>
      <c r="AF724" s="1844"/>
      <c r="AG724" s="1964" t="s">
        <v>8629</v>
      </c>
      <c r="AU724"/>
      <c r="AV724" s="3">
        <v>1</v>
      </c>
    </row>
    <row r="725" spans="1:50">
      <c r="W725" s="227"/>
      <c r="X725" s="227"/>
      <c r="Y725" s="227"/>
      <c r="Z725" s="227"/>
      <c r="AA725" s="227"/>
      <c r="AB725" s="227"/>
      <c r="AC725" s="227"/>
      <c r="AD725" s="227"/>
      <c r="AE725" s="227"/>
      <c r="AF725" s="227"/>
      <c r="AG725" s="227"/>
      <c r="AV725" s="1148" t="s">
        <v>793</v>
      </c>
    </row>
    <row r="726" spans="1:50">
      <c r="A726" s="3">
        <v>1</v>
      </c>
      <c r="B726" s="3">
        <v>1</v>
      </c>
      <c r="C726" s="3">
        <v>1</v>
      </c>
      <c r="D726" s="3">
        <v>1</v>
      </c>
      <c r="E726" s="3">
        <v>1</v>
      </c>
      <c r="F726" s="3">
        <v>1</v>
      </c>
      <c r="G726" s="3">
        <v>1</v>
      </c>
      <c r="H726" s="3">
        <v>1</v>
      </c>
      <c r="I726" s="3">
        <v>1</v>
      </c>
      <c r="J726" s="3">
        <v>1</v>
      </c>
      <c r="K726" s="3">
        <v>1</v>
      </c>
      <c r="L726" s="3">
        <v>1</v>
      </c>
      <c r="M726" s="3">
        <v>1</v>
      </c>
      <c r="N726" s="3">
        <v>1</v>
      </c>
      <c r="O726" s="3">
        <v>1</v>
      </c>
      <c r="P726" s="3">
        <v>1</v>
      </c>
      <c r="Q726" s="3">
        <v>1</v>
      </c>
      <c r="R726" s="3">
        <v>1</v>
      </c>
      <c r="S726" s="3">
        <v>1</v>
      </c>
      <c r="T726" s="3">
        <v>1</v>
      </c>
      <c r="U726" s="3">
        <v>1</v>
      </c>
      <c r="V726" s="3">
        <v>1</v>
      </c>
      <c r="W726" s="3">
        <v>1</v>
      </c>
      <c r="X726" s="3">
        <v>1</v>
      </c>
      <c r="Y726" s="3">
        <v>1</v>
      </c>
      <c r="Z726" s="3">
        <v>1</v>
      </c>
      <c r="AA726" s="3">
        <v>1</v>
      </c>
      <c r="AB726" s="3">
        <v>1</v>
      </c>
      <c r="AC726" s="3">
        <v>1</v>
      </c>
      <c r="AD726" s="3">
        <v>1</v>
      </c>
      <c r="AE726" s="3">
        <v>1</v>
      </c>
      <c r="AF726" s="3">
        <v>1</v>
      </c>
      <c r="AG726" s="3">
        <v>1</v>
      </c>
      <c r="AH726" s="3">
        <v>1</v>
      </c>
      <c r="AI726" s="3">
        <v>1</v>
      </c>
      <c r="AJ726" s="3">
        <v>1</v>
      </c>
      <c r="AK726" s="3">
        <v>1</v>
      </c>
      <c r="AL726" s="3">
        <v>1</v>
      </c>
      <c r="AM726" s="3">
        <v>1</v>
      </c>
      <c r="AN726" s="3">
        <v>1</v>
      </c>
      <c r="AO726" s="3">
        <v>1</v>
      </c>
      <c r="AP726" s="3">
        <v>1</v>
      </c>
      <c r="AQ726" s="3">
        <v>1</v>
      </c>
      <c r="AR726" s="3">
        <v>1</v>
      </c>
      <c r="AS726" s="3">
        <v>1</v>
      </c>
      <c r="AT726" s="3">
        <v>1</v>
      </c>
      <c r="AU726" s="3">
        <v>1</v>
      </c>
      <c r="AV726" s="1" t="str">
        <f>ADDRESS(ROW(),COLUMN(),4)</f>
        <v>AV726</v>
      </c>
      <c r="AW726" s="628"/>
      <c r="AX726" s="629" t="str">
        <f>ADDRESS(ROW(),COLUMN(),4)</f>
        <v>AX726</v>
      </c>
    </row>
  </sheetData>
  <mergeCells count="220">
    <mergeCell ref="V11:AD12"/>
    <mergeCell ref="AE11:AF12"/>
    <mergeCell ref="W14:AC15"/>
    <mergeCell ref="U16:V16"/>
    <mergeCell ref="U17:W17"/>
    <mergeCell ref="V19:V20"/>
    <mergeCell ref="AE235:AF236"/>
    <mergeCell ref="AG235:AG236"/>
    <mergeCell ref="AM365:AN366"/>
    <mergeCell ref="U186:V186"/>
    <mergeCell ref="U187:W187"/>
    <mergeCell ref="V189:V190"/>
    <mergeCell ref="W189:W190"/>
    <mergeCell ref="X189:X190"/>
    <mergeCell ref="Y189:Y190"/>
    <mergeCell ref="AC189:AC190"/>
    <mergeCell ref="AD189:AD190"/>
    <mergeCell ref="AE189:AE190"/>
    <mergeCell ref="AF189:AF190"/>
    <mergeCell ref="V181:AD182"/>
    <mergeCell ref="AE181:AF182"/>
    <mergeCell ref="W184:AC185"/>
    <mergeCell ref="AM40:AM43"/>
    <mergeCell ref="AN40:AS41"/>
    <mergeCell ref="AO365:AP366"/>
    <mergeCell ref="AN327:AN338"/>
    <mergeCell ref="AO330:AP331"/>
    <mergeCell ref="AM379:AS380"/>
    <mergeCell ref="AM383:AS386"/>
    <mergeCell ref="AG19:AG20"/>
    <mergeCell ref="AN273:AQ274"/>
    <mergeCell ref="AN277:AQ278"/>
    <mergeCell ref="AP235:AP241"/>
    <mergeCell ref="AQ235:AQ242"/>
    <mergeCell ref="AM245:AS246"/>
    <mergeCell ref="AN267:AQ267"/>
    <mergeCell ref="AP269:AQ269"/>
    <mergeCell ref="AN270:AO270"/>
    <mergeCell ref="AN235:AN242"/>
    <mergeCell ref="AO235:AO241"/>
    <mergeCell ref="AP202:AP203"/>
    <mergeCell ref="AG189:AG190"/>
    <mergeCell ref="AN172:AS172"/>
    <mergeCell ref="AM158:AM161"/>
    <mergeCell ref="AM179:AS181"/>
    <mergeCell ref="AG181:AG182"/>
    <mergeCell ref="AM184:AM190"/>
    <mergeCell ref="AM193:AS194"/>
    <mergeCell ref="AQ74:AS76"/>
    <mergeCell ref="AN82:AP83"/>
    <mergeCell ref="AQ82:AQ83"/>
    <mergeCell ref="AR82:AS83"/>
    <mergeCell ref="AP93:AP94"/>
    <mergeCell ref="AQ93:AQ94"/>
    <mergeCell ref="AN107:AO107"/>
    <mergeCell ref="AP107:AQ107"/>
    <mergeCell ref="AM122:AM129"/>
    <mergeCell ref="AP61:AP62"/>
    <mergeCell ref="AQ61:AQ62"/>
    <mergeCell ref="AR61:AR62"/>
    <mergeCell ref="AO66:AO67"/>
    <mergeCell ref="AP66:AP67"/>
    <mergeCell ref="AQ66:AQ67"/>
    <mergeCell ref="AR66:AR67"/>
    <mergeCell ref="B16:B17"/>
    <mergeCell ref="C16:K17"/>
    <mergeCell ref="L16:L17"/>
    <mergeCell ref="AK18:AK19"/>
    <mergeCell ref="AK20:AK21"/>
    <mergeCell ref="W19:W20"/>
    <mergeCell ref="X19:X20"/>
    <mergeCell ref="Y19:Y20"/>
    <mergeCell ref="AC19:AC20"/>
    <mergeCell ref="AD19:AD20"/>
    <mergeCell ref="AE19:AE20"/>
    <mergeCell ref="AF19:AF20"/>
    <mergeCell ref="AK35:AK38"/>
    <mergeCell ref="AK52:AK54"/>
    <mergeCell ref="AK55:AK57"/>
    <mergeCell ref="AH37:AH38"/>
    <mergeCell ref="AM8:AS10"/>
    <mergeCell ref="V67:AD68"/>
    <mergeCell ref="AE67:AF68"/>
    <mergeCell ref="AG67:AG68"/>
    <mergeCell ref="W70:AC71"/>
    <mergeCell ref="U72:V72"/>
    <mergeCell ref="U73:W73"/>
    <mergeCell ref="V75:V76"/>
    <mergeCell ref="W75:W76"/>
    <mergeCell ref="X75:X76"/>
    <mergeCell ref="Y75:Y76"/>
    <mergeCell ref="AC75:AC76"/>
    <mergeCell ref="AD75:AD76"/>
    <mergeCell ref="AE75:AE76"/>
    <mergeCell ref="AF75:AF76"/>
    <mergeCell ref="AG75:AG76"/>
    <mergeCell ref="AG11:AG12"/>
    <mergeCell ref="AN16:AQ17"/>
    <mergeCell ref="AK13:AK14"/>
    <mergeCell ref="AS14:AS16"/>
    <mergeCell ref="AK22:AK24"/>
    <mergeCell ref="AN25:AN30"/>
    <mergeCell ref="AK27:AK29"/>
    <mergeCell ref="AK43:AK46"/>
    <mergeCell ref="U241:W241"/>
    <mergeCell ref="V243:V244"/>
    <mergeCell ref="W243:W244"/>
    <mergeCell ref="X243:X244"/>
    <mergeCell ref="Y243:Y244"/>
    <mergeCell ref="AC243:AC244"/>
    <mergeCell ref="AD243:AD244"/>
    <mergeCell ref="AE124:AF125"/>
    <mergeCell ref="AG124:AG125"/>
    <mergeCell ref="W127:AC128"/>
    <mergeCell ref="U129:V129"/>
    <mergeCell ref="U130:W130"/>
    <mergeCell ref="V132:V133"/>
    <mergeCell ref="W132:W133"/>
    <mergeCell ref="X132:X133"/>
    <mergeCell ref="Y132:Y133"/>
    <mergeCell ref="AC132:AC133"/>
    <mergeCell ref="AD132:AD133"/>
    <mergeCell ref="AE132:AE133"/>
    <mergeCell ref="AF132:AF133"/>
    <mergeCell ref="AG132:AG133"/>
    <mergeCell ref="U354:V354"/>
    <mergeCell ref="U355:W355"/>
    <mergeCell ref="V357:V358"/>
    <mergeCell ref="W357:W358"/>
    <mergeCell ref="X357:X358"/>
    <mergeCell ref="Y357:Y358"/>
    <mergeCell ref="AC357:AC358"/>
    <mergeCell ref="AD357:AD358"/>
    <mergeCell ref="AE357:AE358"/>
    <mergeCell ref="B72:B73"/>
    <mergeCell ref="C72:K73"/>
    <mergeCell ref="L72:L73"/>
    <mergeCell ref="B124:L124"/>
    <mergeCell ref="B129:B130"/>
    <mergeCell ref="C129:K130"/>
    <mergeCell ref="L129:L130"/>
    <mergeCell ref="B181:L181"/>
    <mergeCell ref="V349:AD350"/>
    <mergeCell ref="V301:V302"/>
    <mergeCell ref="W301:W302"/>
    <mergeCell ref="X301:X302"/>
    <mergeCell ref="Y301:Y302"/>
    <mergeCell ref="AC301:AC302"/>
    <mergeCell ref="AD301:AD302"/>
    <mergeCell ref="V293:AD294"/>
    <mergeCell ref="V124:AD125"/>
    <mergeCell ref="V235:AD236"/>
    <mergeCell ref="B349:L349"/>
    <mergeCell ref="W296:AC297"/>
    <mergeCell ref="U298:V298"/>
    <mergeCell ref="U299:W299"/>
    <mergeCell ref="W238:AC239"/>
    <mergeCell ref="U240:V240"/>
    <mergeCell ref="B354:B355"/>
    <mergeCell ref="C354:K355"/>
    <mergeCell ref="L354:L355"/>
    <mergeCell ref="L1:M2"/>
    <mergeCell ref="L3:M3"/>
    <mergeCell ref="AH1:AI2"/>
    <mergeCell ref="AH3:AI3"/>
    <mergeCell ref="AF5:AG5"/>
    <mergeCell ref="AF6:AG8"/>
    <mergeCell ref="AF9:AG9"/>
    <mergeCell ref="O5:AE6"/>
    <mergeCell ref="B186:B187"/>
    <mergeCell ref="C186:K187"/>
    <mergeCell ref="L186:L187"/>
    <mergeCell ref="B235:L235"/>
    <mergeCell ref="B240:B241"/>
    <mergeCell ref="C240:K241"/>
    <mergeCell ref="L240:L241"/>
    <mergeCell ref="B293:L293"/>
    <mergeCell ref="B298:B299"/>
    <mergeCell ref="C298:K299"/>
    <mergeCell ref="L298:L299"/>
    <mergeCell ref="B67:L67"/>
    <mergeCell ref="AE349:AF350"/>
    <mergeCell ref="AD710:AD711"/>
    <mergeCell ref="AD712:AD713"/>
    <mergeCell ref="AD714:AD715"/>
    <mergeCell ref="Y720:Y721"/>
    <mergeCell ref="Z720:AB721"/>
    <mergeCell ref="AC720:AC721"/>
    <mergeCell ref="AD720:AG721"/>
    <mergeCell ref="AG349:AG350"/>
    <mergeCell ref="W352:AC353"/>
    <mergeCell ref="AF357:AF358"/>
    <mergeCell ref="AG357:AG358"/>
    <mergeCell ref="AC443:AG444"/>
    <mergeCell ref="AC447:AG448"/>
    <mergeCell ref="Z475:AG477"/>
    <mergeCell ref="Z480:AG483"/>
    <mergeCell ref="Y558:Y559"/>
    <mergeCell ref="Z558:Z559"/>
    <mergeCell ref="AB558:AB559"/>
    <mergeCell ref="AC558:AC559"/>
    <mergeCell ref="AD558:AD559"/>
    <mergeCell ref="AE558:AE559"/>
    <mergeCell ref="AH94:AH95"/>
    <mergeCell ref="AH151:AH152"/>
    <mergeCell ref="AH205:AH206"/>
    <mergeCell ref="AH262:AH263"/>
    <mergeCell ref="AH319:AH320"/>
    <mergeCell ref="AH377:AH378"/>
    <mergeCell ref="Z623:Z624"/>
    <mergeCell ref="AF624:AG625"/>
    <mergeCell ref="AD708:AD709"/>
    <mergeCell ref="AE301:AE302"/>
    <mergeCell ref="AF301:AF302"/>
    <mergeCell ref="AG301:AG302"/>
    <mergeCell ref="AE243:AE244"/>
    <mergeCell ref="AF243:AF244"/>
    <mergeCell ref="AG243:AG244"/>
    <mergeCell ref="AE293:AF294"/>
    <mergeCell ref="AG293:AG294"/>
  </mergeCells>
  <conditionalFormatting sqref="X21:X31">
    <cfRule type="cellIs" dxfId="51" priority="7" operator="notEqual">
      <formula>1</formula>
    </cfRule>
  </conditionalFormatting>
  <conditionalFormatting sqref="X77:X88">
    <cfRule type="cellIs" dxfId="50" priority="6" operator="notEqual">
      <formula>1</formula>
    </cfRule>
  </conditionalFormatting>
  <conditionalFormatting sqref="X134:X145">
    <cfRule type="cellIs" dxfId="49" priority="5" operator="notEqual">
      <formula>1</formula>
    </cfRule>
  </conditionalFormatting>
  <conditionalFormatting sqref="X191:X199">
    <cfRule type="cellIs" dxfId="48" priority="4" operator="notEqual">
      <formula>1</formula>
    </cfRule>
  </conditionalFormatting>
  <conditionalFormatting sqref="X245:X256">
    <cfRule type="cellIs" dxfId="47" priority="3" operator="notEqual">
      <formula>1</formula>
    </cfRule>
  </conditionalFormatting>
  <conditionalFormatting sqref="X303:X313">
    <cfRule type="cellIs" dxfId="46" priority="2" operator="notEqual">
      <formula>1</formula>
    </cfRule>
  </conditionalFormatting>
  <conditionalFormatting sqref="X359:X371">
    <cfRule type="cellIs" dxfId="45" priority="1" operator="notEqual">
      <formula>1</formula>
    </cfRule>
  </conditionalFormatting>
  <conditionalFormatting sqref="AN122:AN123">
    <cfRule type="cellIs" dxfId="44" priority="17" operator="notEqual">
      <formula>1</formula>
    </cfRule>
  </conditionalFormatting>
  <conditionalFormatting sqref="AR63:AR64">
    <cfRule type="cellIs" dxfId="43" priority="16" operator="notEqual">
      <formula>1</formula>
    </cfRule>
  </conditionalFormatting>
  <hyperlinks>
    <hyperlink ref="AK68" r:id="rId1" xr:uid="{43161DCB-A083-49A8-A510-127200EFA6BB}"/>
    <hyperlink ref="AK76" r:id="rId2" xr:uid="{092169BB-3312-4D82-8BBA-269FCA103295}"/>
    <hyperlink ref="AK79" r:id="rId3" xr:uid="{131DD595-792A-4714-9008-2A771222E96A}"/>
    <hyperlink ref="AK71" r:id="rId4" xr:uid="{EA8B3F07-F51E-4551-A6E9-D5260BDB6AC9}"/>
    <hyperlink ref="AQ243" r:id="rId5" xr:uid="{45E4ED05-2C74-463E-837C-BC8CC1E7E5BA}"/>
    <hyperlink ref="E189" r:id="rId6" xr:uid="{EDF449F6-E447-4EB6-92BB-CA8A91352FE2}"/>
    <hyperlink ref="AN342" r:id="rId7" xr:uid="{2B094C7B-1C44-4F68-A220-6CFAFD9F5DFF}"/>
  </hyperlinks>
  <pageMargins left="0.7" right="0.7" top="0.75" bottom="0.75" header="0.3" footer="0.3"/>
  <drawing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F9DB-3CAA-4A20-B1C9-372BFF6A9D82}">
  <dimension ref="A1:DK552"/>
  <sheetViews>
    <sheetView showZeros="0" zoomScaleNormal="100" workbookViewId="0">
      <selection activeCell="AK25" sqref="AK25"/>
    </sheetView>
  </sheetViews>
  <sheetFormatPr baseColWidth="10" defaultColWidth="11.42578125" defaultRowHeight="15"/>
  <cols>
    <col min="1" max="1" width="6.85546875" style="227" customWidth="1"/>
    <col min="2" max="2" width="11.7109375" customWidth="1"/>
    <col min="3" max="3" width="9.7109375" customWidth="1"/>
    <col min="4" max="4" width="6.7109375" customWidth="1"/>
    <col min="5" max="5" width="40.7109375" customWidth="1"/>
    <col min="6" max="6" width="10.7109375" customWidth="1"/>
    <col min="7" max="7" width="9.7109375" customWidth="1"/>
    <col min="8" max="8" width="11.7109375" customWidth="1"/>
    <col min="9" max="11" width="13.7109375" customWidth="1"/>
    <col min="12" max="12" width="17.7109375" customWidth="1"/>
    <col min="13" max="13" width="12.140625" customWidth="1"/>
    <col min="14" max="14" width="4.7109375" style="1734" customWidth="1"/>
    <col min="15" max="15" width="49.42578125" style="1734" customWidth="1"/>
    <col min="16" max="16" width="4.140625" customWidth="1"/>
    <col min="17" max="20" width="3.7109375" style="227" customWidth="1"/>
    <col min="21" max="21" width="5.7109375" style="227" customWidth="1"/>
    <col min="22" max="23" width="12.7109375" style="227" customWidth="1"/>
    <col min="24" max="24" width="3.7109375" style="227" customWidth="1"/>
    <col min="25" max="25" width="9.7109375" style="227" customWidth="1"/>
    <col min="26" max="26" width="12.7109375" style="227" customWidth="1"/>
    <col min="27" max="27" width="9.7109375" style="227" customWidth="1"/>
    <col min="28" max="28" width="6.7109375" style="227" customWidth="1"/>
    <col min="29" max="29" width="40.7109375" style="227" customWidth="1"/>
    <col min="30" max="30" width="10.7109375" style="227" customWidth="1"/>
    <col min="31" max="31" width="9.7109375" style="227" customWidth="1"/>
    <col min="32" max="32" width="11.7109375" style="227" customWidth="1"/>
    <col min="33" max="35" width="13.7109375" style="881" customWidth="1"/>
    <col min="36" max="36" width="17.7109375" style="881" customWidth="1"/>
    <col min="37" max="37" width="18.85546875" style="700" customWidth="1"/>
    <col min="38" max="38" width="10.7109375" style="227" customWidth="1"/>
    <col min="39" max="39" width="23.85546875" style="227" customWidth="1"/>
    <col min="40" max="43" width="5.7109375" style="227" customWidth="1"/>
    <col min="44" max="44" width="11.7109375" style="227" customWidth="1"/>
    <col min="45" max="45" width="7.140625" style="227" customWidth="1"/>
    <col min="46" max="46" width="15.28515625" style="227" customWidth="1"/>
    <col min="47" max="47" width="12.7109375" style="227" customWidth="1"/>
    <col min="48" max="48" width="14.140625" style="881" customWidth="1"/>
    <col min="49" max="49" width="11.7109375" style="881" customWidth="1"/>
    <col min="50" max="50" width="24.5703125" style="881" customWidth="1"/>
    <col min="51" max="51" width="10.140625" style="881" customWidth="1"/>
    <col min="52" max="52" width="9.7109375" style="881" customWidth="1"/>
    <col min="53" max="53" width="11.7109375" style="881" customWidth="1"/>
    <col min="54" max="54" width="12.85546875" style="881" customWidth="1"/>
    <col min="55" max="55" width="33" style="881" customWidth="1"/>
    <col min="56" max="56" width="12.7109375" style="881" customWidth="1"/>
    <col min="57" max="57" width="10.28515625" style="881" customWidth="1"/>
    <col min="58" max="58" width="9" style="881" customWidth="1"/>
    <col min="59" max="59" width="11.7109375" customWidth="1"/>
    <col min="60" max="61" width="17.7109375" style="227" customWidth="1"/>
    <col min="62" max="62" width="14.140625" style="227" customWidth="1"/>
    <col min="63" max="63" width="45" style="881" customWidth="1"/>
    <col min="64" max="64" width="4.5703125" style="881" customWidth="1"/>
    <col min="65" max="65" width="6.85546875" style="227" customWidth="1"/>
    <col min="66" max="66" width="15.7109375" style="633" customWidth="1"/>
    <col min="67" max="67" width="11.7109375" style="633" customWidth="1"/>
    <col min="68" max="70" width="14.7109375" style="633" customWidth="1"/>
    <col min="71" max="73" width="11.7109375" style="633" customWidth="1"/>
    <col min="74" max="74" width="20.42578125" style="633" customWidth="1"/>
    <col min="75" max="75" width="17.7109375" style="227" customWidth="1"/>
    <col min="76" max="80" width="14.7109375" customWidth="1"/>
    <col min="81" max="81" width="5.5703125" customWidth="1"/>
    <col min="82" max="82" width="11.5703125" customWidth="1"/>
    <col min="83" max="83" width="16.7109375" customWidth="1"/>
    <col min="84" max="84" width="17" bestFit="1" customWidth="1"/>
    <col min="85" max="85" width="11.7109375" customWidth="1"/>
    <col min="86" max="86" width="41" customWidth="1"/>
    <col min="87" max="87" width="11.42578125" style="227"/>
    <col min="88" max="88" width="3.7109375" style="227" customWidth="1"/>
    <col min="89" max="89" width="19.7109375" customWidth="1"/>
    <col min="90" max="90" width="18.7109375" customWidth="1"/>
    <col min="91" max="91" width="10.7109375" customWidth="1"/>
    <col min="92" max="92" width="16.7109375" customWidth="1"/>
    <col min="93" max="93" width="17" bestFit="1" customWidth="1"/>
    <col min="94" max="94" width="11.7109375" customWidth="1"/>
    <col min="95" max="95" width="46.7109375" customWidth="1"/>
    <col min="96" max="96" width="4.85546875" style="227" customWidth="1"/>
    <col min="97" max="97" width="19.7109375" customWidth="1"/>
    <col min="98" max="98" width="18.7109375" customWidth="1"/>
    <col min="99" max="99" width="10.7109375" customWidth="1"/>
    <col min="100" max="100" width="16.7109375" customWidth="1"/>
    <col min="101" max="101" width="17" bestFit="1" customWidth="1"/>
    <col min="102" max="102" width="11.7109375" customWidth="1"/>
    <col min="103" max="103" width="46.7109375" customWidth="1"/>
    <col min="104" max="104" width="4.85546875" style="227" customWidth="1"/>
    <col min="105" max="105" width="19.7109375" customWidth="1"/>
    <col min="106" max="106" width="18.7109375" customWidth="1"/>
    <col min="107" max="107" width="10.7109375" customWidth="1"/>
    <col min="108" max="108" width="16.7109375" customWidth="1"/>
    <col min="109" max="109" width="17" bestFit="1" customWidth="1"/>
    <col min="110" max="110" width="11.7109375" customWidth="1"/>
    <col min="111" max="111" width="46.7109375" customWidth="1"/>
    <col min="112" max="112" width="17.7109375" style="227" customWidth="1"/>
    <col min="113" max="113" width="7.28515625" style="227" customWidth="1"/>
    <col min="114" max="114" width="11.42578125" style="627"/>
    <col min="115" max="115" width="78.42578125" style="627" customWidth="1"/>
    <col min="116" max="16384" width="11.42578125" style="227"/>
  </cols>
  <sheetData>
    <row r="1" spans="1:115" ht="15" customHeight="1" thickTop="1">
      <c r="A1" s="1" t="str">
        <f>ADDRESS(ROW(),COLUMN(),4)</f>
        <v>A1</v>
      </c>
      <c r="B1" s="2" t="str">
        <f t="shared" ref="B1:L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6628" t="s">
        <v>8774</v>
      </c>
      <c r="N1" s="4" t="str">
        <f>SUBSTITUTE(ADDRESS(1,COLUMN(),4),"1","")</f>
        <v>N</v>
      </c>
      <c r="O1" s="4" t="str">
        <f>SUBSTITUTE(ADDRESS(1,COLUMN(),4),"1","")</f>
        <v>O</v>
      </c>
      <c r="P1" s="2278"/>
      <c r="Q1" s="2" t="str">
        <f t="shared" ref="Q1:AJ1" si="1">SUBSTITUTE(ADDRESS(1,COLUMN(),4),"1","")</f>
        <v>Q</v>
      </c>
      <c r="R1" s="2" t="str">
        <f t="shared" si="1"/>
        <v>R</v>
      </c>
      <c r="S1" s="2" t="str">
        <f t="shared" si="1"/>
        <v>S</v>
      </c>
      <c r="T1" s="2" t="str">
        <f t="shared" si="1"/>
        <v>T</v>
      </c>
      <c r="U1" s="2" t="str">
        <f t="shared" si="1"/>
        <v>U</v>
      </c>
      <c r="V1" s="2" t="str">
        <f t="shared" si="1"/>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2" t="str">
        <f t="shared" si="1"/>
        <v>AH</v>
      </c>
      <c r="AI1" s="2" t="str">
        <f t="shared" si="1"/>
        <v>AI</v>
      </c>
      <c r="AJ1" s="2" t="str">
        <f t="shared" si="1"/>
        <v>AJ</v>
      </c>
      <c r="AK1" s="6982" t="s">
        <v>8774</v>
      </c>
      <c r="AL1" s="2" t="str">
        <f t="shared" ref="AL1:BK1" si="2">SUBSTITUTE(ADDRESS(1,COLUMN(),4),"1","")</f>
        <v>AL</v>
      </c>
      <c r="AM1" s="2" t="str">
        <f t="shared" si="2"/>
        <v>AM</v>
      </c>
      <c r="AN1" s="2" t="str">
        <f t="shared" si="2"/>
        <v>AN</v>
      </c>
      <c r="AO1" s="2" t="str">
        <f t="shared" si="2"/>
        <v>AO</v>
      </c>
      <c r="AP1" s="2" t="str">
        <f t="shared" si="2"/>
        <v>AP</v>
      </c>
      <c r="AQ1" s="2" t="str">
        <f t="shared" si="2"/>
        <v>AQ</v>
      </c>
      <c r="AR1" s="2" t="str">
        <f t="shared" si="2"/>
        <v>AR</v>
      </c>
      <c r="AS1" s="2" t="str">
        <f t="shared" si="2"/>
        <v>AS</v>
      </c>
      <c r="AT1" s="2" t="str">
        <f t="shared" si="2"/>
        <v>AT</v>
      </c>
      <c r="AU1" s="2" t="str">
        <f t="shared" si="2"/>
        <v>AU</v>
      </c>
      <c r="AV1" s="2" t="str">
        <f t="shared" si="2"/>
        <v>AV</v>
      </c>
      <c r="AW1" s="2" t="str">
        <f t="shared" si="2"/>
        <v>AW</v>
      </c>
      <c r="AX1" s="2" t="str">
        <f t="shared" si="2"/>
        <v>AX</v>
      </c>
      <c r="AY1" s="2" t="str">
        <f t="shared" si="2"/>
        <v>AY</v>
      </c>
      <c r="AZ1" s="2" t="str">
        <f t="shared" si="2"/>
        <v>AZ</v>
      </c>
      <c r="BA1" s="2" t="str">
        <f t="shared" si="2"/>
        <v>BA</v>
      </c>
      <c r="BB1" s="2" t="str">
        <f t="shared" si="2"/>
        <v>BB</v>
      </c>
      <c r="BC1" s="2" t="str">
        <f t="shared" si="2"/>
        <v>BC</v>
      </c>
      <c r="BD1" s="2" t="str">
        <f t="shared" si="2"/>
        <v>BD</v>
      </c>
      <c r="BE1" s="2" t="str">
        <f t="shared" si="2"/>
        <v>BE</v>
      </c>
      <c r="BF1" s="2" t="str">
        <f t="shared" si="2"/>
        <v>BF</v>
      </c>
      <c r="BG1" s="2" t="str">
        <f t="shared" si="2"/>
        <v>BG</v>
      </c>
      <c r="BH1" s="2" t="str">
        <f t="shared" si="2"/>
        <v>BH</v>
      </c>
      <c r="BI1" s="2" t="str">
        <f t="shared" si="2"/>
        <v>BI</v>
      </c>
      <c r="BJ1" s="2" t="str">
        <f t="shared" si="2"/>
        <v>BJ</v>
      </c>
      <c r="BK1" s="2" t="str">
        <f t="shared" si="2"/>
        <v>BK</v>
      </c>
      <c r="BL1" s="631"/>
      <c r="BM1" s="700"/>
      <c r="BN1" s="4" t="str">
        <f>SUBSTITUTE(ADDRESS(1,COLUMN(),4),"1","")</f>
        <v>BN</v>
      </c>
      <c r="BO1" s="4" t="str">
        <f>SUBSTITUTE(ADDRESS(1,COLUMN(),4),"1","")</f>
        <v>BO</v>
      </c>
      <c r="BP1" s="4" t="str">
        <f>SUBSTITUTE(ADDRESS(1,COLUMN(),4),"1","")</f>
        <v>BP</v>
      </c>
      <c r="BQ1" s="4"/>
      <c r="BR1" s="4"/>
      <c r="BS1" s="4" t="str">
        <f>SUBSTITUTE(ADDRESS(1,COLUMN(),4),"1","")</f>
        <v>BS</v>
      </c>
      <c r="BT1" s="4" t="str">
        <f>SUBSTITUTE(ADDRESS(1,COLUMN(),4),"1","")</f>
        <v>BT</v>
      </c>
      <c r="BU1" s="4" t="str">
        <f>SUBSTITUTE(ADDRESS(1,COLUMN(),4),"1","")</f>
        <v>BU</v>
      </c>
      <c r="BV1" s="4" t="str">
        <f>SUBSTITUTE(ADDRESS(1,COLUMN(),4),"1","")</f>
        <v>BV</v>
      </c>
      <c r="BW1" s="4" t="str">
        <f>SUBSTITUTE(ADDRESS(1,COLUMN(),4),"1","")</f>
        <v>BW</v>
      </c>
      <c r="CD1" s="4" t="str">
        <f t="shared" ref="CD1:CI1" si="3">SUBSTITUTE(ADDRESS(1,COLUMN(),4),"1","")</f>
        <v>CD</v>
      </c>
      <c r="CE1" s="4" t="str">
        <f t="shared" si="3"/>
        <v>CE</v>
      </c>
      <c r="CF1" s="4" t="str">
        <f t="shared" si="3"/>
        <v>CF</v>
      </c>
      <c r="CG1" s="4" t="str">
        <f t="shared" si="3"/>
        <v>CG</v>
      </c>
      <c r="CH1" s="4" t="str">
        <f t="shared" si="3"/>
        <v>CH</v>
      </c>
      <c r="CI1" s="4" t="str">
        <f t="shared" si="3"/>
        <v>CI</v>
      </c>
      <c r="CK1" s="2" t="str">
        <f t="shared" ref="CK1:CQ1" si="4">SUBSTITUTE(ADDRESS(1,COLUMN(),4),"1","")</f>
        <v>CK</v>
      </c>
      <c r="CL1" s="2" t="str">
        <f t="shared" si="4"/>
        <v>CL</v>
      </c>
      <c r="CM1" s="2" t="str">
        <f t="shared" si="4"/>
        <v>CM</v>
      </c>
      <c r="CN1" s="2" t="str">
        <f t="shared" si="4"/>
        <v>CN</v>
      </c>
      <c r="CO1" s="2" t="str">
        <f t="shared" si="4"/>
        <v>CO</v>
      </c>
      <c r="CP1" s="2" t="str">
        <f t="shared" si="4"/>
        <v>CP</v>
      </c>
      <c r="CQ1" s="2" t="str">
        <f t="shared" si="4"/>
        <v>CQ</v>
      </c>
      <c r="CS1" s="2" t="str">
        <f t="shared" ref="CS1:CY1" si="5">SUBSTITUTE(ADDRESS(1,COLUMN(),4),"1","")</f>
        <v>CS</v>
      </c>
      <c r="CT1" s="2" t="str">
        <f t="shared" si="5"/>
        <v>CT</v>
      </c>
      <c r="CU1" s="2" t="str">
        <f t="shared" si="5"/>
        <v>CU</v>
      </c>
      <c r="CV1" s="2" t="str">
        <f t="shared" si="5"/>
        <v>CV</v>
      </c>
      <c r="CW1" s="2" t="str">
        <f t="shared" si="5"/>
        <v>CW</v>
      </c>
      <c r="CX1" s="2" t="str">
        <f t="shared" si="5"/>
        <v>CX</v>
      </c>
      <c r="CY1" s="2" t="str">
        <f t="shared" si="5"/>
        <v>CY</v>
      </c>
      <c r="DA1" s="2" t="str">
        <f t="shared" ref="DA1:DG1" si="6">SUBSTITUTE(ADDRESS(1,COLUMN(),4),"1","")</f>
        <v>DA</v>
      </c>
      <c r="DB1" s="2" t="str">
        <f t="shared" si="6"/>
        <v>DB</v>
      </c>
      <c r="DC1" s="2" t="str">
        <f t="shared" si="6"/>
        <v>DC</v>
      </c>
      <c r="DD1" s="2" t="str">
        <f t="shared" si="6"/>
        <v>DD</v>
      </c>
      <c r="DE1" s="2" t="str">
        <f t="shared" si="6"/>
        <v>DE</v>
      </c>
      <c r="DF1" s="2" t="str">
        <f t="shared" si="6"/>
        <v>DF</v>
      </c>
      <c r="DG1" s="2" t="str">
        <f t="shared" si="6"/>
        <v>DG</v>
      </c>
      <c r="DH1" s="2"/>
      <c r="DI1" s="3">
        <v>1</v>
      </c>
      <c r="DJ1" s="4" t="str">
        <f>SUBSTITUTE(ADDRESS(1,COLUMN(),4),"1","")</f>
        <v>DJ</v>
      </c>
      <c r="DK1" s="5" t="str">
        <f>SUBSTITUTE(ADDRESS(1,COLUMN(),4),"1","")</f>
        <v>DK</v>
      </c>
    </row>
    <row r="2" spans="1:115" ht="23.25" customHeight="1" thickBot="1">
      <c r="B2" s="694">
        <f t="shared" ref="B2:L2" ca="1" si="7">CELL("largeur",B2)</f>
        <v>11</v>
      </c>
      <c r="C2" s="694">
        <f t="shared" ca="1" si="7"/>
        <v>9</v>
      </c>
      <c r="D2" s="694">
        <f t="shared" ca="1" si="7"/>
        <v>6</v>
      </c>
      <c r="E2" s="694">
        <f t="shared" ca="1" si="7"/>
        <v>40</v>
      </c>
      <c r="F2" s="694">
        <f t="shared" ca="1" si="7"/>
        <v>10</v>
      </c>
      <c r="G2" s="694">
        <f t="shared" ca="1" si="7"/>
        <v>9</v>
      </c>
      <c r="H2" s="694">
        <f t="shared" ca="1" si="7"/>
        <v>11</v>
      </c>
      <c r="I2" s="694">
        <f t="shared" ca="1" si="7"/>
        <v>13</v>
      </c>
      <c r="J2" s="694">
        <f t="shared" ca="1" si="7"/>
        <v>13</v>
      </c>
      <c r="K2" s="694">
        <f t="shared" ca="1" si="7"/>
        <v>13</v>
      </c>
      <c r="L2" s="694">
        <f t="shared" ca="1" si="7"/>
        <v>17</v>
      </c>
      <c r="M2" s="6628"/>
      <c r="N2" s="632">
        <f ca="1">CELL("largeur",N2)</f>
        <v>4</v>
      </c>
      <c r="O2" s="632">
        <f ca="1">CELL("largeur",O2)</f>
        <v>49</v>
      </c>
      <c r="P2" s="2278"/>
      <c r="Q2" s="694">
        <f t="shared" ref="Q2:AJ2" ca="1" si="8">CELL("largeur",Q2)</f>
        <v>3</v>
      </c>
      <c r="R2" s="694">
        <f t="shared" ca="1" si="8"/>
        <v>3</v>
      </c>
      <c r="S2" s="694">
        <f t="shared" ca="1" si="8"/>
        <v>3</v>
      </c>
      <c r="T2" s="694">
        <f t="shared" ca="1" si="8"/>
        <v>3</v>
      </c>
      <c r="U2" s="694">
        <f t="shared" ca="1" si="8"/>
        <v>5</v>
      </c>
      <c r="V2" s="694">
        <f t="shared" ca="1" si="8"/>
        <v>12</v>
      </c>
      <c r="W2" s="694">
        <f t="shared" ca="1" si="8"/>
        <v>12</v>
      </c>
      <c r="X2" s="694">
        <f t="shared" ca="1" si="8"/>
        <v>3</v>
      </c>
      <c r="Y2" s="694">
        <f t="shared" ca="1" si="8"/>
        <v>9</v>
      </c>
      <c r="Z2" s="694">
        <f t="shared" ca="1" si="8"/>
        <v>12</v>
      </c>
      <c r="AA2" s="694">
        <f t="shared" ca="1" si="8"/>
        <v>9</v>
      </c>
      <c r="AB2" s="694">
        <f t="shared" ca="1" si="8"/>
        <v>6</v>
      </c>
      <c r="AC2" s="694">
        <f t="shared" ca="1" si="8"/>
        <v>40</v>
      </c>
      <c r="AD2" s="694">
        <f t="shared" ca="1" si="8"/>
        <v>10</v>
      </c>
      <c r="AE2" s="694">
        <f t="shared" ca="1" si="8"/>
        <v>9</v>
      </c>
      <c r="AF2" s="694">
        <f t="shared" ca="1" si="8"/>
        <v>11</v>
      </c>
      <c r="AG2" s="694">
        <f t="shared" ca="1" si="8"/>
        <v>13</v>
      </c>
      <c r="AH2" s="694">
        <f t="shared" ca="1" si="8"/>
        <v>13</v>
      </c>
      <c r="AI2" s="694">
        <f t="shared" ca="1" si="8"/>
        <v>13</v>
      </c>
      <c r="AJ2" s="694">
        <f t="shared" ca="1" si="8"/>
        <v>17</v>
      </c>
      <c r="AK2" s="6982"/>
      <c r="AL2" s="694">
        <f t="shared" ref="AL2:BK2" ca="1" si="9">CELL("largeur",AL2)</f>
        <v>10</v>
      </c>
      <c r="AM2" s="694">
        <f t="shared" ca="1" si="9"/>
        <v>23</v>
      </c>
      <c r="AN2" s="694">
        <f t="shared" ca="1" si="9"/>
        <v>5</v>
      </c>
      <c r="AO2" s="694">
        <f t="shared" ca="1" si="9"/>
        <v>5</v>
      </c>
      <c r="AP2" s="694">
        <f t="shared" ca="1" si="9"/>
        <v>5</v>
      </c>
      <c r="AQ2" s="694">
        <f t="shared" ca="1" si="9"/>
        <v>5</v>
      </c>
      <c r="AR2" s="694">
        <f t="shared" ca="1" si="9"/>
        <v>11</v>
      </c>
      <c r="AS2" s="694">
        <f t="shared" ca="1" si="9"/>
        <v>6</v>
      </c>
      <c r="AT2" s="694">
        <f t="shared" ca="1" si="9"/>
        <v>15</v>
      </c>
      <c r="AU2" s="694">
        <f t="shared" ca="1" si="9"/>
        <v>12</v>
      </c>
      <c r="AV2" s="694">
        <f t="shared" ca="1" si="9"/>
        <v>13</v>
      </c>
      <c r="AW2" s="694">
        <f t="shared" ca="1" si="9"/>
        <v>11</v>
      </c>
      <c r="AX2" s="694">
        <f t="shared" ca="1" si="9"/>
        <v>24</v>
      </c>
      <c r="AY2" s="694">
        <f t="shared" ca="1" si="9"/>
        <v>9</v>
      </c>
      <c r="AZ2" s="694">
        <f t="shared" ca="1" si="9"/>
        <v>9</v>
      </c>
      <c r="BA2" s="694">
        <f t="shared" ca="1" si="9"/>
        <v>11</v>
      </c>
      <c r="BB2" s="694">
        <f t="shared" ca="1" si="9"/>
        <v>12</v>
      </c>
      <c r="BC2" s="694">
        <f t="shared" ca="1" si="9"/>
        <v>32</v>
      </c>
      <c r="BD2" s="694">
        <f t="shared" ca="1" si="9"/>
        <v>12</v>
      </c>
      <c r="BE2" s="694">
        <f t="shared" ca="1" si="9"/>
        <v>10</v>
      </c>
      <c r="BF2" s="694">
        <f t="shared" ca="1" si="9"/>
        <v>8</v>
      </c>
      <c r="BG2" s="694">
        <f t="shared" ca="1" si="9"/>
        <v>11</v>
      </c>
      <c r="BH2" s="694">
        <f t="shared" ca="1" si="9"/>
        <v>17</v>
      </c>
      <c r="BI2" s="694">
        <f t="shared" ca="1" si="9"/>
        <v>17</v>
      </c>
      <c r="BJ2" s="694">
        <f t="shared" ca="1" si="9"/>
        <v>13</v>
      </c>
      <c r="BK2" s="694">
        <f t="shared" ca="1" si="9"/>
        <v>44</v>
      </c>
      <c r="BL2" s="631"/>
      <c r="BM2" s="700"/>
      <c r="BN2" s="632">
        <f ca="1">CELL("largeur",BN2)</f>
        <v>15</v>
      </c>
      <c r="BO2" s="632">
        <f ca="1">CELL("largeur",BO2)</f>
        <v>11</v>
      </c>
      <c r="BP2" s="632">
        <f ca="1">CELL("largeur",BP2)</f>
        <v>14</v>
      </c>
      <c r="BQ2" s="632"/>
      <c r="BR2" s="632"/>
      <c r="BS2" s="632">
        <f ca="1">CELL("largeur",BS2)</f>
        <v>11</v>
      </c>
      <c r="BT2" s="632">
        <f ca="1">CELL("largeur",BT2)</f>
        <v>11</v>
      </c>
      <c r="BU2" s="632">
        <f ca="1">CELL("largeur",BU2)</f>
        <v>11</v>
      </c>
      <c r="BV2" s="632">
        <f ca="1">CELL("largeur",BV2)</f>
        <v>20</v>
      </c>
      <c r="BW2" s="632">
        <f ca="1">CELL("largeur",BW2)</f>
        <v>17</v>
      </c>
      <c r="CD2" s="632">
        <f t="shared" ref="CD2:CI2" ca="1" si="10">CELL("largeur",CD2)</f>
        <v>11</v>
      </c>
      <c r="CE2" s="632">
        <f t="shared" ca="1" si="10"/>
        <v>16</v>
      </c>
      <c r="CF2" s="632">
        <f t="shared" ca="1" si="10"/>
        <v>16</v>
      </c>
      <c r="CG2" s="632">
        <f t="shared" ca="1" si="10"/>
        <v>11</v>
      </c>
      <c r="CH2" s="632">
        <f t="shared" ca="1" si="10"/>
        <v>40</v>
      </c>
      <c r="CI2" s="632">
        <f t="shared" ca="1" si="10"/>
        <v>11</v>
      </c>
      <c r="CK2" s="694">
        <f t="shared" ref="CK2:CQ2" ca="1" si="11">CELL("largeur",CK2)</f>
        <v>19</v>
      </c>
      <c r="CL2" s="694">
        <f t="shared" ca="1" si="11"/>
        <v>18</v>
      </c>
      <c r="CM2" s="694">
        <f t="shared" ca="1" si="11"/>
        <v>10</v>
      </c>
      <c r="CN2" s="694">
        <f t="shared" ca="1" si="11"/>
        <v>16</v>
      </c>
      <c r="CO2" s="694">
        <f t="shared" ca="1" si="11"/>
        <v>16</v>
      </c>
      <c r="CP2" s="694">
        <f t="shared" ca="1" si="11"/>
        <v>11</v>
      </c>
      <c r="CQ2" s="694">
        <f t="shared" ca="1" si="11"/>
        <v>46</v>
      </c>
      <c r="CS2" s="694">
        <f t="shared" ref="CS2:CY2" ca="1" si="12">CELL("largeur",CS2)</f>
        <v>19</v>
      </c>
      <c r="CT2" s="694">
        <f t="shared" ca="1" si="12"/>
        <v>18</v>
      </c>
      <c r="CU2" s="694">
        <f t="shared" ca="1" si="12"/>
        <v>10</v>
      </c>
      <c r="CV2" s="694">
        <f t="shared" ca="1" si="12"/>
        <v>16</v>
      </c>
      <c r="CW2" s="694">
        <f t="shared" ca="1" si="12"/>
        <v>16</v>
      </c>
      <c r="CX2" s="694">
        <f t="shared" ca="1" si="12"/>
        <v>11</v>
      </c>
      <c r="CY2" s="694">
        <f t="shared" ca="1" si="12"/>
        <v>46</v>
      </c>
      <c r="DA2" s="694">
        <f t="shared" ref="DA2:DG2" ca="1" si="13">CELL("largeur",DA2)</f>
        <v>19</v>
      </c>
      <c r="DB2" s="694">
        <f t="shared" ca="1" si="13"/>
        <v>18</v>
      </c>
      <c r="DC2" s="694">
        <f t="shared" ca="1" si="13"/>
        <v>10</v>
      </c>
      <c r="DD2" s="694">
        <f t="shared" ca="1" si="13"/>
        <v>16</v>
      </c>
      <c r="DE2" s="694">
        <f t="shared" ca="1" si="13"/>
        <v>16</v>
      </c>
      <c r="DF2" s="694">
        <f t="shared" ca="1" si="13"/>
        <v>11</v>
      </c>
      <c r="DG2" s="694">
        <f t="shared" ca="1" si="13"/>
        <v>46</v>
      </c>
      <c r="DH2" s="2313" t="s">
        <v>8774</v>
      </c>
      <c r="DI2" s="3">
        <v>1</v>
      </c>
      <c r="DJ2" s="7" t="s">
        <v>3</v>
      </c>
      <c r="DK2" s="8"/>
    </row>
    <row r="3" spans="1:115" ht="23.25" customHeight="1" thickBot="1">
      <c r="B3" s="2069">
        <v>11</v>
      </c>
      <c r="C3" s="2069">
        <v>9</v>
      </c>
      <c r="D3" s="2069">
        <v>6</v>
      </c>
      <c r="E3" s="2069">
        <v>40</v>
      </c>
      <c r="F3" s="2069">
        <v>10</v>
      </c>
      <c r="G3" s="2069">
        <v>9</v>
      </c>
      <c r="H3" s="2069">
        <v>11</v>
      </c>
      <c r="I3" s="2069">
        <v>13</v>
      </c>
      <c r="J3" s="2069">
        <v>13</v>
      </c>
      <c r="K3" s="2069">
        <v>13</v>
      </c>
      <c r="L3" s="2069">
        <v>17</v>
      </c>
      <c r="M3" s="2277" t="s">
        <v>8779</v>
      </c>
      <c r="N3" s="1583"/>
      <c r="O3" s="1583"/>
      <c r="P3" s="2277"/>
      <c r="Q3" s="695">
        <v>3</v>
      </c>
      <c r="R3" s="695">
        <v>3</v>
      </c>
      <c r="S3" s="695">
        <v>3</v>
      </c>
      <c r="T3" s="695">
        <v>3</v>
      </c>
      <c r="U3" s="695">
        <v>5</v>
      </c>
      <c r="V3" s="695">
        <v>12</v>
      </c>
      <c r="W3" s="695">
        <v>12</v>
      </c>
      <c r="X3" s="695">
        <v>3</v>
      </c>
      <c r="Y3" s="695">
        <v>9</v>
      </c>
      <c r="Z3" s="695">
        <v>12</v>
      </c>
      <c r="AA3" s="695">
        <v>9</v>
      </c>
      <c r="AB3" s="695">
        <v>6</v>
      </c>
      <c r="AC3" s="695">
        <v>40</v>
      </c>
      <c r="AD3" s="695">
        <v>10</v>
      </c>
      <c r="AE3" s="695">
        <v>9</v>
      </c>
      <c r="AF3" s="695">
        <v>11</v>
      </c>
      <c r="AG3" s="695">
        <v>13</v>
      </c>
      <c r="AH3" s="695">
        <v>13</v>
      </c>
      <c r="AI3" s="695">
        <v>13</v>
      </c>
      <c r="AJ3" s="695">
        <v>17</v>
      </c>
      <c r="AK3" s="2066" t="s">
        <v>8779</v>
      </c>
      <c r="AL3" s="2069">
        <v>10</v>
      </c>
      <c r="AM3" s="2069">
        <v>21</v>
      </c>
      <c r="AN3" s="2069">
        <v>5</v>
      </c>
      <c r="AO3" s="2069">
        <v>5</v>
      </c>
      <c r="AP3" s="2069">
        <v>5</v>
      </c>
      <c r="AQ3" s="2069">
        <v>5</v>
      </c>
      <c r="AR3" s="2069">
        <v>11</v>
      </c>
      <c r="AS3" s="2069">
        <v>6</v>
      </c>
      <c r="AT3" s="2069">
        <v>15</v>
      </c>
      <c r="AU3" s="2069">
        <v>12</v>
      </c>
      <c r="AV3" s="2069">
        <v>13</v>
      </c>
      <c r="AW3" s="2069">
        <v>11</v>
      </c>
      <c r="AX3" s="2069">
        <v>24</v>
      </c>
      <c r="AY3" s="2069">
        <v>9</v>
      </c>
      <c r="AZ3" s="2069">
        <v>9</v>
      </c>
      <c r="BA3" s="2069">
        <v>11</v>
      </c>
      <c r="BB3" s="2069">
        <v>12</v>
      </c>
      <c r="BC3" s="2069">
        <v>32</v>
      </c>
      <c r="BD3" s="2069">
        <v>12</v>
      </c>
      <c r="BE3" s="2069">
        <v>10</v>
      </c>
      <c r="BF3" s="2069">
        <v>8</v>
      </c>
      <c r="BG3" s="2069">
        <v>11</v>
      </c>
      <c r="BH3" s="2069">
        <v>17</v>
      </c>
      <c r="BI3" s="2069">
        <v>17</v>
      </c>
      <c r="BJ3" s="2069">
        <v>13</v>
      </c>
      <c r="BK3" s="2069">
        <v>44</v>
      </c>
      <c r="BL3" s="2069"/>
      <c r="BM3" s="700"/>
      <c r="BN3" s="2069">
        <v>15</v>
      </c>
      <c r="BO3" s="2069">
        <v>11</v>
      </c>
      <c r="BP3" s="2069">
        <v>14</v>
      </c>
      <c r="BQ3" s="2069"/>
      <c r="BR3" s="2069"/>
      <c r="BS3" s="2069">
        <v>11</v>
      </c>
      <c r="BT3" s="2069">
        <v>11</v>
      </c>
      <c r="BU3" s="2069">
        <v>11</v>
      </c>
      <c r="BV3" s="2069">
        <v>20</v>
      </c>
      <c r="BW3" s="2069">
        <v>17</v>
      </c>
      <c r="CD3" s="2069">
        <v>11</v>
      </c>
      <c r="CE3" s="2069">
        <v>16</v>
      </c>
      <c r="CF3" s="2069">
        <v>16</v>
      </c>
      <c r="CG3" s="2069">
        <v>11</v>
      </c>
      <c r="CH3" s="2069">
        <v>40</v>
      </c>
      <c r="CI3" s="2069">
        <v>11</v>
      </c>
      <c r="CJ3"/>
      <c r="CK3" s="695">
        <v>19</v>
      </c>
      <c r="CL3" s="695">
        <v>18</v>
      </c>
      <c r="CM3" s="695">
        <v>10</v>
      </c>
      <c r="CN3" s="695">
        <v>16</v>
      </c>
      <c r="CO3" s="695">
        <v>16</v>
      </c>
      <c r="CP3" s="695">
        <v>11</v>
      </c>
      <c r="CQ3" s="695">
        <v>46</v>
      </c>
      <c r="CS3" s="695">
        <v>19</v>
      </c>
      <c r="CT3" s="695">
        <v>18</v>
      </c>
      <c r="CU3" s="695">
        <v>10</v>
      </c>
      <c r="CV3" s="695">
        <v>16</v>
      </c>
      <c r="CW3" s="695">
        <v>16</v>
      </c>
      <c r="CX3" s="695">
        <v>11</v>
      </c>
      <c r="CY3" s="695">
        <v>46</v>
      </c>
      <c r="DA3" s="695">
        <v>19</v>
      </c>
      <c r="DB3" s="695">
        <v>18</v>
      </c>
      <c r="DC3" s="695">
        <v>10</v>
      </c>
      <c r="DD3" s="695">
        <v>16</v>
      </c>
      <c r="DE3" s="695">
        <v>16</v>
      </c>
      <c r="DF3" s="695">
        <v>11</v>
      </c>
      <c r="DG3" s="695">
        <v>46</v>
      </c>
      <c r="DH3" s="2312" t="s">
        <v>8779</v>
      </c>
      <c r="DI3" s="3">
        <v>1</v>
      </c>
      <c r="DJ3" s="10">
        <f ca="1">COUNTA(A1:DI552) + COUNTBLANK(A1:DI552)</f>
        <v>70305</v>
      </c>
      <c r="DK3" s="11" t="str">
        <f>"cellules entre -cells -celdas  "&amp;" " &amp;A1&amp;" et  "&amp;DI552</f>
        <v>cellules entre -cells -celdas   A1 et  DI552</v>
      </c>
    </row>
    <row r="4" spans="1:115" s="700" customFormat="1" ht="23.25" customHeight="1">
      <c r="A4" s="701" t="s">
        <v>21</v>
      </c>
      <c r="B4" s="9"/>
      <c r="C4" s="9"/>
      <c r="D4" s="9"/>
      <c r="E4" s="9"/>
      <c r="F4" s="9"/>
      <c r="G4" s="2275"/>
      <c r="H4" s="2275"/>
      <c r="I4" s="2275"/>
      <c r="J4" s="2275"/>
      <c r="K4" s="2275"/>
      <c r="L4" s="2275"/>
      <c r="M4" s="2275"/>
      <c r="N4" s="1584"/>
      <c r="O4" s="1584"/>
      <c r="P4" s="2275"/>
      <c r="Q4" s="2275"/>
      <c r="R4" s="1322" t="s">
        <v>8093</v>
      </c>
      <c r="S4" s="703" t="s">
        <v>8092</v>
      </c>
      <c r="T4" s="703"/>
      <c r="U4" s="703"/>
      <c r="V4" s="703"/>
      <c r="W4" s="702"/>
      <c r="X4" s="702"/>
      <c r="Y4" s="702"/>
      <c r="Z4" s="702"/>
      <c r="AA4" s="702" t="s">
        <v>829</v>
      </c>
      <c r="AB4" s="2275"/>
      <c r="AC4" s="2275"/>
      <c r="AD4" s="2275"/>
      <c r="AE4" s="2275"/>
      <c r="AF4" s="2275"/>
      <c r="AG4" s="2275"/>
      <c r="AH4" s="2275"/>
      <c r="AI4" s="2275"/>
      <c r="AJ4" s="2275"/>
      <c r="AK4" s="631"/>
      <c r="AN4" s="5500" t="s">
        <v>13814</v>
      </c>
      <c r="AO4" s="5500"/>
      <c r="AP4" s="5500"/>
      <c r="AQ4" s="5500"/>
      <c r="AR4" s="5500"/>
      <c r="AS4" s="5500"/>
      <c r="AT4" s="5500"/>
      <c r="AU4" s="5500"/>
      <c r="AV4" s="702" t="s">
        <v>829</v>
      </c>
      <c r="AW4" s="704" t="s">
        <v>1490</v>
      </c>
      <c r="AX4" s="631"/>
      <c r="AY4" s="631"/>
      <c r="AZ4" s="631"/>
      <c r="BA4" s="631"/>
      <c r="BB4" s="631"/>
      <c r="BC4" s="631"/>
      <c r="BD4" s="631"/>
      <c r="BE4" s="631"/>
      <c r="BF4" s="6908" t="s">
        <v>3110</v>
      </c>
      <c r="BG4" s="6908"/>
      <c r="BH4" s="6908"/>
      <c r="BI4" s="6908"/>
      <c r="BJ4" s="6908"/>
      <c r="BK4" s="6908"/>
      <c r="BL4" s="631"/>
      <c r="BN4"/>
      <c r="BS4" s="633"/>
      <c r="BT4" s="633"/>
      <c r="BU4" s="633"/>
      <c r="BV4" s="633"/>
      <c r="BW4" s="227"/>
      <c r="BX4"/>
      <c r="BY4"/>
      <c r="BZ4"/>
      <c r="CA4"/>
      <c r="CB4"/>
      <c r="CC4"/>
      <c r="CD4" s="227"/>
      <c r="CE4" s="227"/>
      <c r="CF4" s="227"/>
      <c r="CG4" s="227"/>
      <c r="CH4" s="227"/>
      <c r="CI4" s="227"/>
      <c r="CJ4" s="227"/>
      <c r="CK4"/>
      <c r="CL4"/>
      <c r="CM4"/>
      <c r="CN4"/>
      <c r="CO4"/>
      <c r="CP4"/>
      <c r="CQ4"/>
      <c r="CR4"/>
      <c r="CT4"/>
      <c r="CU4"/>
      <c r="CV4"/>
      <c r="CW4"/>
      <c r="CX4"/>
      <c r="CY4"/>
      <c r="CZ4" s="227"/>
      <c r="DA4"/>
      <c r="DB4"/>
      <c r="DC4"/>
      <c r="DD4" s="705" t="s">
        <v>1491</v>
      </c>
      <c r="DE4" s="706" t="str">
        <f>DI552</f>
        <v>DI552</v>
      </c>
      <c r="DF4"/>
      <c r="DG4" s="707" t="str">
        <f ca="1">"Page "&amp;_xlfn.SHEET()&amp;" sur "&amp;_xlfn.SHEETS()</f>
        <v>Page 16 sur 27</v>
      </c>
      <c r="DH4" s="227"/>
      <c r="DI4" s="3">
        <v>1</v>
      </c>
      <c r="DJ4" s="10">
        <f ca="1">COUNTA(A1:DI552)</f>
        <v>18846</v>
      </c>
      <c r="DK4" s="11" t="s">
        <v>9</v>
      </c>
    </row>
    <row r="5" spans="1:115" ht="24.75" customHeight="1" thickBot="1">
      <c r="A5" s="701" t="s">
        <v>21</v>
      </c>
      <c r="B5" s="2180" t="s">
        <v>1489</v>
      </c>
      <c r="C5" s="2180"/>
      <c r="D5" s="2180"/>
      <c r="E5" s="2180"/>
      <c r="F5" s="2180"/>
      <c r="G5" s="9"/>
      <c r="H5" s="9"/>
      <c r="I5" s="9"/>
      <c r="J5" s="9"/>
      <c r="K5" s="9"/>
      <c r="L5" s="9"/>
      <c r="M5" s="9"/>
      <c r="N5" s="1584"/>
      <c r="O5" s="1584"/>
      <c r="P5" s="9"/>
      <c r="Q5" s="709"/>
      <c r="R5" s="709"/>
      <c r="S5" s="709"/>
      <c r="T5" s="709"/>
      <c r="U5" s="709"/>
      <c r="V5" s="709"/>
      <c r="W5" s="709"/>
      <c r="X5" s="709"/>
      <c r="Y5" s="2301" t="s">
        <v>8971</v>
      </c>
      <c r="Z5" s="709"/>
      <c r="AA5" s="709"/>
      <c r="AB5" s="709"/>
      <c r="AC5" s="709"/>
      <c r="AD5" s="709"/>
      <c r="AE5" s="709"/>
      <c r="AF5" s="709"/>
      <c r="AG5" s="709"/>
      <c r="AH5" s="709"/>
      <c r="AI5" s="709"/>
      <c r="AJ5" s="709"/>
      <c r="AK5" s="406"/>
      <c r="AL5" s="710"/>
      <c r="AM5" s="710"/>
      <c r="AN5" s="710"/>
      <c r="AO5" s="710"/>
      <c r="AP5" s="710"/>
      <c r="AQ5" s="710"/>
      <c r="AR5" s="711"/>
      <c r="AS5" s="711"/>
      <c r="AT5" s="711"/>
      <c r="AV5" s="712" t="s">
        <v>8091</v>
      </c>
      <c r="AW5" s="711" t="s">
        <v>1493</v>
      </c>
      <c r="AX5" s="406"/>
      <c r="AY5" s="406"/>
      <c r="AZ5" s="406"/>
      <c r="BA5" s="406"/>
      <c r="BB5" s="406"/>
      <c r="BC5" s="406"/>
      <c r="BD5" s="406"/>
      <c r="BE5" s="406"/>
      <c r="BF5" s="6909"/>
      <c r="BG5" s="6909"/>
      <c r="BH5" s="6909"/>
      <c r="BI5" s="6909"/>
      <c r="BJ5" s="6909"/>
      <c r="BK5" s="6909"/>
      <c r="BL5" s="406"/>
      <c r="BN5"/>
      <c r="BO5" s="227"/>
      <c r="BW5" s="633"/>
      <c r="BX5" s="633"/>
      <c r="CD5" s="227"/>
      <c r="CE5" s="227"/>
      <c r="CF5" s="227"/>
      <c r="CG5" s="713" t="s">
        <v>1494</v>
      </c>
      <c r="CH5" s="227"/>
      <c r="CR5" s="700"/>
      <c r="CZ5" s="700"/>
      <c r="DD5" s="714" t="s">
        <v>1495</v>
      </c>
      <c r="DH5" s="700"/>
      <c r="DI5" s="3">
        <v>1</v>
      </c>
      <c r="DJ5" s="10">
        <f ca="1">COUNTBLANK(A1:DI552)</f>
        <v>51459</v>
      </c>
      <c r="DK5" s="11" t="s">
        <v>12</v>
      </c>
    </row>
    <row r="6" spans="1:115" ht="21" customHeight="1">
      <c r="A6" s="701" t="s">
        <v>21</v>
      </c>
      <c r="B6" s="2221" t="s">
        <v>1492</v>
      </c>
      <c r="C6" s="14"/>
      <c r="D6" s="14"/>
      <c r="E6" s="14"/>
      <c r="F6" s="14"/>
      <c r="G6" s="9"/>
      <c r="H6" s="9"/>
      <c r="I6" s="9"/>
      <c r="J6" s="9"/>
      <c r="K6" s="9"/>
      <c r="L6" s="9"/>
      <c r="M6" s="9"/>
      <c r="N6" s="1584"/>
      <c r="O6" s="1584"/>
      <c r="P6" s="9"/>
      <c r="Q6" s="15" t="s">
        <v>10</v>
      </c>
      <c r="R6" s="2292" t="s">
        <v>11</v>
      </c>
      <c r="S6" s="2293"/>
      <c r="T6" s="2293"/>
      <c r="U6" s="2293"/>
      <c r="V6" s="2294"/>
      <c r="W6" s="2294"/>
      <c r="X6" s="2294"/>
      <c r="Y6" s="2294"/>
      <c r="Z6" s="2294"/>
      <c r="AA6" s="2294"/>
      <c r="AB6" s="2294"/>
      <c r="AC6" s="2294"/>
      <c r="AD6" s="2294"/>
      <c r="AE6" s="2294"/>
      <c r="AF6" s="2294"/>
      <c r="AG6" s="2294"/>
      <c r="AH6" s="2294"/>
      <c r="AI6" s="2295"/>
      <c r="AJ6" s="1229" t="s">
        <v>3109</v>
      </c>
      <c r="AK6" s="6120" t="str">
        <f t="shared" ref="AK6:AK16" si="14">IF(AND(IFERROR(SEARCH("►",AB6),0)&gt;0,ISNUMBER(IFERROR(VALUE(TRIM(SUBSTITUTE(AB6,"►",""))),NA())),AC6&lt;&gt;""),"A","►")</f>
        <v>►</v>
      </c>
      <c r="AL6" s="715" t="s">
        <v>10</v>
      </c>
      <c r="AM6" s="1321" t="s">
        <v>1496</v>
      </c>
      <c r="AN6" s="1321"/>
      <c r="AO6" s="1321"/>
      <c r="AP6" s="1321"/>
      <c r="AQ6" s="6910" t="s">
        <v>1497</v>
      </c>
      <c r="AR6" s="6910"/>
      <c r="AS6" s="6912" t="s">
        <v>14279</v>
      </c>
      <c r="AT6" s="6912"/>
      <c r="AU6" s="6912"/>
      <c r="AV6" s="6912"/>
      <c r="AW6" s="6912"/>
      <c r="AX6" s="6912"/>
      <c r="AY6" s="6912"/>
      <c r="AZ6" s="6912"/>
      <c r="BA6" s="6912"/>
      <c r="BB6" s="6912"/>
      <c r="BC6" s="6912"/>
      <c r="BD6" s="6912"/>
      <c r="BE6" s="6912"/>
      <c r="BF6" s="6913"/>
      <c r="BG6" s="6913"/>
      <c r="BH6" s="6656" t="s">
        <v>1349</v>
      </c>
      <c r="BI6" s="6656"/>
      <c r="BJ6" s="6914" t="str">
        <f>LEFT(AS6,1)</f>
        <v>N</v>
      </c>
      <c r="BK6" s="6915">
        <v>8</v>
      </c>
      <c r="BL6" s="227"/>
      <c r="BN6"/>
      <c r="BO6" s="227"/>
      <c r="BV6" s="227"/>
      <c r="CD6" s="715" t="str">
        <f t="shared" ref="CD6:CD69" si="15">AL6</f>
        <v>A</v>
      </c>
      <c r="CE6" s="716" t="s">
        <v>1496</v>
      </c>
      <c r="CF6" s="717"/>
      <c r="CG6" s="717">
        <f>BK7</f>
        <v>0</v>
      </c>
      <c r="CH6" s="718"/>
      <c r="CI6" s="718"/>
      <c r="CJ6" s="719"/>
      <c r="CK6" s="6562" t="s">
        <v>1498</v>
      </c>
      <c r="CL6" s="6563"/>
      <c r="CM6" s="6563"/>
      <c r="CN6" s="6563"/>
      <c r="CO6" s="6563"/>
      <c r="CP6" s="6563"/>
      <c r="CQ6" s="6564"/>
      <c r="CS6" s="6562" t="s">
        <v>1499</v>
      </c>
      <c r="CT6" s="6563"/>
      <c r="CU6" s="6563"/>
      <c r="CV6" s="6563"/>
      <c r="CW6" s="6563"/>
      <c r="CX6" s="6563"/>
      <c r="CY6" s="6564"/>
      <c r="DA6" s="6562" t="s">
        <v>1500</v>
      </c>
      <c r="DB6" s="6563"/>
      <c r="DC6" s="6563"/>
      <c r="DD6" s="6563"/>
      <c r="DE6" s="6563"/>
      <c r="DF6" s="6563"/>
      <c r="DG6" s="6564"/>
      <c r="DI6" s="3">
        <v>1</v>
      </c>
      <c r="DJ6" s="10">
        <f>SUM(A552:DI552)+2</f>
        <v>114</v>
      </c>
      <c r="DK6" s="11" t="s">
        <v>14</v>
      </c>
    </row>
    <row r="7" spans="1:115" ht="21" customHeight="1" thickBot="1">
      <c r="A7" s="701" t="s">
        <v>21</v>
      </c>
      <c r="B7" s="2227"/>
      <c r="C7" s="2228"/>
      <c r="D7" s="2227"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7" s="2228"/>
      <c r="F7" s="2229"/>
      <c r="G7" s="9"/>
      <c r="H7" s="9"/>
      <c r="I7" s="9"/>
      <c r="J7" s="9"/>
      <c r="K7" s="9"/>
      <c r="L7" s="9"/>
      <c r="M7" s="9"/>
      <c r="N7" s="1584"/>
      <c r="O7" s="1584"/>
      <c r="P7" s="9"/>
      <c r="Q7" s="15" t="s">
        <v>10</v>
      </c>
      <c r="R7" s="16" t="s">
        <v>13</v>
      </c>
      <c r="S7" s="17"/>
      <c r="T7" s="17"/>
      <c r="U7" s="17"/>
      <c r="V7" s="14"/>
      <c r="W7" s="14"/>
      <c r="X7" s="14"/>
      <c r="Y7" s="14"/>
      <c r="Z7" s="14"/>
      <c r="AA7" s="14"/>
      <c r="AB7" s="14"/>
      <c r="AC7" s="14"/>
      <c r="AD7" s="14"/>
      <c r="AE7" s="14"/>
      <c r="AF7" s="14"/>
      <c r="AG7" s="14"/>
      <c r="AH7" s="14"/>
      <c r="AI7" s="14"/>
      <c r="AJ7" s="1228" t="s">
        <v>3108</v>
      </c>
      <c r="AK7" s="6120" t="str">
        <f t="shared" si="14"/>
        <v>►</v>
      </c>
      <c r="AL7" s="720" t="s">
        <v>10</v>
      </c>
      <c r="AM7" s="1320" t="s">
        <v>1501</v>
      </c>
      <c r="AN7" s="1320"/>
      <c r="AO7" s="1320"/>
      <c r="AP7" s="1320"/>
      <c r="AQ7" s="6911"/>
      <c r="AR7" s="6911"/>
      <c r="AS7" s="6913"/>
      <c r="AT7" s="6913"/>
      <c r="AU7" s="6913"/>
      <c r="AV7" s="6913"/>
      <c r="AW7" s="6913"/>
      <c r="AX7" s="6913"/>
      <c r="AY7" s="6913"/>
      <c r="AZ7" s="6913"/>
      <c r="BA7" s="6913"/>
      <c r="BB7" s="6913"/>
      <c r="BC7" s="6913"/>
      <c r="BD7" s="6913"/>
      <c r="BE7" s="6913"/>
      <c r="BF7" s="6913"/>
      <c r="BG7" s="6913"/>
      <c r="BH7" s="6656"/>
      <c r="BI7" s="6656"/>
      <c r="BJ7" s="6914"/>
      <c r="BK7" s="6915"/>
      <c r="BL7" s="227"/>
      <c r="BN7"/>
      <c r="BO7" s="227"/>
      <c r="BP7" s="227"/>
      <c r="BQ7" s="227"/>
      <c r="BR7" s="227"/>
      <c r="BS7" s="227"/>
      <c r="BT7" s="227"/>
      <c r="BU7" s="227"/>
      <c r="BV7" s="227"/>
      <c r="BX7" s="227"/>
      <c r="BY7" s="227"/>
      <c r="BZ7" s="227"/>
      <c r="CA7" s="227"/>
      <c r="CB7" s="227"/>
      <c r="CC7" s="227"/>
      <c r="CD7" s="720" t="str">
        <f t="shared" si="15"/>
        <v>A</v>
      </c>
      <c r="CE7" s="6929" t="s">
        <v>1502</v>
      </c>
      <c r="CF7" s="6929"/>
      <c r="CG7" s="6929"/>
      <c r="CH7" s="6929"/>
      <c r="CI7" s="6929"/>
      <c r="CJ7" s="719"/>
      <c r="CK7" s="6565"/>
      <c r="CL7" s="6566"/>
      <c r="CM7" s="6566"/>
      <c r="CN7" s="6566"/>
      <c r="CO7" s="6566"/>
      <c r="CP7" s="6566"/>
      <c r="CQ7" s="6567"/>
      <c r="CS7" s="6565"/>
      <c r="CT7" s="6566"/>
      <c r="CU7" s="6566"/>
      <c r="CV7" s="6566"/>
      <c r="CW7" s="6566"/>
      <c r="CX7" s="6566"/>
      <c r="CY7" s="6567"/>
      <c r="DA7" s="6565"/>
      <c r="DB7" s="6566"/>
      <c r="DC7" s="6566"/>
      <c r="DD7" s="6566"/>
      <c r="DE7" s="6566"/>
      <c r="DF7" s="6566"/>
      <c r="DG7" s="6567"/>
      <c r="DI7" s="3">
        <v>1</v>
      </c>
      <c r="DJ7" s="10">
        <f>SUM(A552:DI552)+1</f>
        <v>113</v>
      </c>
      <c r="DK7" s="11" t="s">
        <v>17</v>
      </c>
    </row>
    <row r="8" spans="1:115" ht="21" customHeight="1" thickBot="1">
      <c r="A8" s="701" t="s">
        <v>21</v>
      </c>
      <c r="B8" s="6923" t="s">
        <v>8952</v>
      </c>
      <c r="C8" s="6924"/>
      <c r="D8" s="6924"/>
      <c r="E8" s="6924"/>
      <c r="F8" s="6924"/>
      <c r="G8" s="6924"/>
      <c r="H8" s="6924"/>
      <c r="I8" s="6924"/>
      <c r="J8" s="6924"/>
      <c r="K8" s="6924"/>
      <c r="L8" s="6925"/>
      <c r="M8" s="9"/>
      <c r="N8" s="1584"/>
      <c r="O8" s="1584"/>
      <c r="P8" s="9"/>
      <c r="Q8" s="15" t="s">
        <v>10</v>
      </c>
      <c r="R8" s="631" t="s">
        <v>1503</v>
      </c>
      <c r="S8" s="2067"/>
      <c r="T8" s="2067"/>
      <c r="U8" s="2067"/>
      <c r="V8" s="2067"/>
      <c r="W8" s="2067"/>
      <c r="X8" s="2067"/>
      <c r="Y8" s="2067"/>
      <c r="Z8" s="2067"/>
      <c r="AA8" s="2067"/>
      <c r="AB8" s="2067"/>
      <c r="AC8" s="2067"/>
      <c r="AD8" s="2067"/>
      <c r="AE8" s="2067"/>
      <c r="AF8" s="2067"/>
      <c r="AG8" s="2067"/>
      <c r="AH8" s="2067"/>
      <c r="AI8" s="2067"/>
      <c r="AJ8" s="2062" t="str" cm="1">
        <f t="array" aca="1" ref="AJ8" ca="1">IF(COUNTIF(Q2:AJ2,"&lt;0.5")=0,"Aucune colonne masquée ",COUNTIF(Q2:AJ2,"&lt;0.5") &amp; " " &amp; IF(COUNTIF(Q2:AJ2,"&lt;0.5")&gt;1,"colonnes masquées","colonne masquée") &amp; " " &amp; _xlfn.TEXTJOIN(" ", TRUE, IF(Q2:AJ2&lt;0.5,Q1:AJ2,"")))&amp;" "</f>
        <v xml:space="preserve">Aucune colonne masquée  </v>
      </c>
      <c r="AK8" s="6120" t="str">
        <f t="shared" si="14"/>
        <v>►</v>
      </c>
      <c r="AL8" s="720" t="s">
        <v>10</v>
      </c>
      <c r="AM8" s="6930" t="s">
        <v>1505</v>
      </c>
      <c r="AN8" s="6930"/>
      <c r="AO8" s="6930"/>
      <c r="AP8" s="6930"/>
      <c r="AQ8" s="6930"/>
      <c r="AR8" s="6931" t="s">
        <v>1504</v>
      </c>
      <c r="AS8" s="6932" t="s">
        <v>57</v>
      </c>
      <c r="AT8" s="6932"/>
      <c r="AU8" s="6932"/>
      <c r="AV8" s="6932"/>
      <c r="AW8" s="6932"/>
      <c r="AX8" s="6932"/>
      <c r="AY8" s="6932"/>
      <c r="AZ8" s="6932"/>
      <c r="BA8" s="6932"/>
      <c r="BB8" s="6932"/>
      <c r="BC8" s="6932"/>
      <c r="BD8" s="6932"/>
      <c r="BE8" s="6932"/>
      <c r="BF8" s="6932"/>
      <c r="BG8" s="6932"/>
      <c r="BH8" s="6933" t="s">
        <v>1506</v>
      </c>
      <c r="BI8" s="6933"/>
      <c r="BJ8" s="6934" t="s">
        <v>1507</v>
      </c>
      <c r="BK8" s="6915"/>
      <c r="BL8" s="227"/>
      <c r="BN8"/>
      <c r="BO8" s="227"/>
      <c r="BP8" s="1808" t="s">
        <v>8406</v>
      </c>
      <c r="BQ8" s="227"/>
      <c r="BR8" s="227"/>
      <c r="BS8" s="227"/>
      <c r="BT8" s="227"/>
      <c r="BU8" s="227"/>
      <c r="BV8" s="227"/>
      <c r="BX8" s="227"/>
      <c r="BY8" s="227"/>
      <c r="BZ8" s="227"/>
      <c r="CA8" s="227"/>
      <c r="CB8" s="227"/>
      <c r="CC8" s="227"/>
      <c r="CD8" s="720" t="str">
        <f t="shared" si="15"/>
        <v>A</v>
      </c>
      <c r="CE8" s="6929"/>
      <c r="CF8" s="6929"/>
      <c r="CG8" s="6929"/>
      <c r="CH8" s="6929"/>
      <c r="CI8" s="6929"/>
      <c r="CJ8" s="719"/>
      <c r="CK8" s="6917"/>
      <c r="CL8" s="6918"/>
      <c r="CM8" s="6918"/>
      <c r="CN8" s="6918"/>
      <c r="CO8" s="6918"/>
      <c r="CP8" s="6918"/>
      <c r="CQ8" s="6919"/>
      <c r="CS8" s="6917"/>
      <c r="CT8" s="6918"/>
      <c r="CU8" s="6918"/>
      <c r="CV8" s="6918"/>
      <c r="CW8" s="6918"/>
      <c r="CX8" s="6918"/>
      <c r="CY8" s="6919"/>
      <c r="DA8" s="6917"/>
      <c r="DB8" s="6918"/>
      <c r="DC8" s="6918"/>
      <c r="DD8" s="6918"/>
      <c r="DE8" s="6918"/>
      <c r="DF8" s="6918"/>
      <c r="DG8" s="6919"/>
      <c r="DI8" s="3">
        <v>1</v>
      </c>
    </row>
    <row r="9" spans="1:115" ht="21" customHeight="1" thickTop="1">
      <c r="A9" s="701" t="s">
        <v>21</v>
      </c>
      <c r="B9" s="6926" t="s">
        <v>8953</v>
      </c>
      <c r="C9" s="6927"/>
      <c r="D9" s="6927"/>
      <c r="E9" s="6927"/>
      <c r="F9" s="6927"/>
      <c r="G9" s="6927"/>
      <c r="H9" s="6927"/>
      <c r="I9" s="6927"/>
      <c r="J9" s="6927"/>
      <c r="K9" s="6927"/>
      <c r="L9" s="6928"/>
      <c r="M9" s="9"/>
      <c r="N9" s="1808" t="s">
        <v>14280</v>
      </c>
      <c r="O9" s="1584"/>
      <c r="P9" s="9"/>
      <c r="Q9" s="15" t="s">
        <v>10</v>
      </c>
      <c r="R9" s="631" t="s">
        <v>1509</v>
      </c>
      <c r="S9" s="2067"/>
      <c r="T9" s="2067"/>
      <c r="U9" s="2067"/>
      <c r="V9" s="2067"/>
      <c r="W9" s="2067"/>
      <c r="X9" s="2067"/>
      <c r="Y9" s="2067"/>
      <c r="Z9" s="2067"/>
      <c r="AA9" s="2067"/>
      <c r="AB9" s="2067"/>
      <c r="AC9" s="2067"/>
      <c r="AD9" s="2067"/>
      <c r="AE9" s="2067"/>
      <c r="AF9" s="2067"/>
      <c r="AG9" s="2067"/>
      <c r="AH9" s="2067"/>
      <c r="AI9" s="2067"/>
      <c r="AJ9" s="2068"/>
      <c r="AK9" s="6120" t="str">
        <f t="shared" si="14"/>
        <v>►</v>
      </c>
      <c r="AL9" s="720" t="s">
        <v>10</v>
      </c>
      <c r="AM9" s="6930"/>
      <c r="AN9" s="6930"/>
      <c r="AO9" s="6930"/>
      <c r="AP9" s="6930"/>
      <c r="AQ9" s="6930"/>
      <c r="AR9" s="6931"/>
      <c r="AS9" s="6932"/>
      <c r="AT9" s="6932"/>
      <c r="AU9" s="6932"/>
      <c r="AV9" s="6932"/>
      <c r="AW9" s="6932"/>
      <c r="AX9" s="6932"/>
      <c r="AY9" s="6932"/>
      <c r="AZ9" s="6932"/>
      <c r="BA9" s="6932"/>
      <c r="BB9" s="6932"/>
      <c r="BC9" s="6932"/>
      <c r="BD9" s="6932"/>
      <c r="BE9" s="6932"/>
      <c r="BF9" s="6932"/>
      <c r="BG9" s="6932"/>
      <c r="BH9" s="6933"/>
      <c r="BI9" s="6933"/>
      <c r="BJ9" s="6934"/>
      <c r="BK9" s="6916"/>
      <c r="BL9" s="227"/>
      <c r="BN9"/>
      <c r="BO9" s="227"/>
      <c r="BP9" s="227"/>
      <c r="BQ9" s="227"/>
      <c r="BR9" s="227"/>
      <c r="BS9" s="227"/>
      <c r="BT9" s="227"/>
      <c r="BU9" s="227"/>
      <c r="BV9" s="227"/>
      <c r="BX9" s="227"/>
      <c r="BY9" s="227"/>
      <c r="BZ9" s="227"/>
      <c r="CA9" s="227"/>
      <c r="CB9" s="227"/>
      <c r="CC9" s="227"/>
      <c r="CD9" s="720" t="str">
        <f t="shared" si="15"/>
        <v>A</v>
      </c>
      <c r="CE9" s="723" t="s">
        <v>1510</v>
      </c>
      <c r="CF9" s="723"/>
      <c r="CG9" s="634"/>
      <c r="CH9" s="635"/>
      <c r="CI9" s="635"/>
      <c r="CJ9" s="719"/>
      <c r="CK9" s="6508"/>
      <c r="CL9" s="6509"/>
      <c r="CM9" s="6509"/>
      <c r="CN9" s="6509"/>
      <c r="CO9" s="6509"/>
      <c r="CP9" s="6509"/>
      <c r="CQ9" s="6510"/>
      <c r="CS9" s="6508"/>
      <c r="CT9" s="6509"/>
      <c r="CU9" s="6509"/>
      <c r="CV9" s="6509"/>
      <c r="CW9" s="6509"/>
      <c r="CX9" s="6509"/>
      <c r="CY9" s="6510"/>
      <c r="DA9" s="6508"/>
      <c r="DB9" s="6509"/>
      <c r="DC9" s="6509"/>
      <c r="DD9" s="6509"/>
      <c r="DE9" s="6509"/>
      <c r="DF9" s="6509"/>
      <c r="DG9" s="6510"/>
      <c r="DI9" s="3">
        <v>1</v>
      </c>
    </row>
    <row r="10" spans="1:115" s="627" customFormat="1" ht="21" customHeight="1">
      <c r="A10" s="701" t="s">
        <v>21</v>
      </c>
      <c r="B10" s="6903" t="s">
        <v>1508</v>
      </c>
      <c r="C10" s="6904"/>
      <c r="D10" s="6904"/>
      <c r="E10" s="6904"/>
      <c r="F10" s="6904"/>
      <c r="G10" s="6904"/>
      <c r="H10" s="6904"/>
      <c r="I10" s="6904"/>
      <c r="J10" s="6904"/>
      <c r="K10" s="6904"/>
      <c r="L10" s="6905"/>
      <c r="M10" s="9"/>
      <c r="N10" s="1584"/>
      <c r="O10" s="1584"/>
      <c r="P10" s="9"/>
      <c r="Q10" s="15" t="s">
        <v>10</v>
      </c>
      <c r="R10" s="1347"/>
      <c r="S10" s="1340"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T10" s="1347"/>
      <c r="U10" s="1347"/>
      <c r="V10" s="1347"/>
      <c r="W10" s="1347"/>
      <c r="X10" s="1347"/>
      <c r="Y10" s="1347"/>
      <c r="Z10" s="1347"/>
      <c r="AA10" s="1347"/>
      <c r="AB10" s="1347"/>
      <c r="AC10" s="1347"/>
      <c r="AD10" s="1347"/>
      <c r="AE10" s="1347"/>
      <c r="AF10" s="1347"/>
      <c r="AG10" s="1347"/>
      <c r="AH10" s="1347"/>
      <c r="AI10" s="1347"/>
      <c r="AJ10" s="2296"/>
      <c r="AK10" s="6120" t="str">
        <f t="shared" si="14"/>
        <v>►</v>
      </c>
      <c r="AL10" s="720" t="s">
        <v>10</v>
      </c>
      <c r="AM10" s="725"/>
      <c r="AN10" s="725"/>
      <c r="AO10" s="725"/>
      <c r="AP10" s="725"/>
      <c r="AQ10" s="725"/>
      <c r="AR10" s="725"/>
      <c r="AS10" s="724"/>
      <c r="AT10" s="724"/>
      <c r="AU10" s="724"/>
      <c r="AV10" s="6920" t="s">
        <v>1511</v>
      </c>
      <c r="AW10" s="6920"/>
      <c r="AX10" s="6920"/>
      <c r="AY10" s="6921">
        <v>20</v>
      </c>
      <c r="AZ10" s="6922" t="s">
        <v>3107</v>
      </c>
      <c r="BA10" s="6922"/>
      <c r="BB10" s="726" t="s">
        <v>136</v>
      </c>
      <c r="BC10" s="18"/>
      <c r="BD10" s="18"/>
      <c r="BE10" s="18"/>
      <c r="BF10" s="727"/>
      <c r="BG10" s="727"/>
      <c r="BH10" s="727"/>
      <c r="BI10" s="726"/>
      <c r="BJ10" s="726"/>
      <c r="BK10" s="2302" t="s">
        <v>8965</v>
      </c>
      <c r="BL10" s="227"/>
      <c r="BM10" s="227"/>
      <c r="BN10"/>
      <c r="BO10" s="227"/>
      <c r="BP10" s="227"/>
      <c r="BQ10" s="227"/>
      <c r="BR10" s="227"/>
      <c r="BS10" s="227"/>
      <c r="BT10" s="227"/>
      <c r="BU10" s="227"/>
      <c r="BV10" s="227"/>
      <c r="BW10" s="227"/>
      <c r="BX10" s="227"/>
      <c r="BY10" s="227"/>
      <c r="BZ10" s="227"/>
      <c r="CA10" s="227"/>
      <c r="CB10" s="227"/>
      <c r="CC10" s="227"/>
      <c r="CD10" s="720" t="str">
        <f t="shared" si="15"/>
        <v>A</v>
      </c>
      <c r="CE10" s="723" t="s">
        <v>1512</v>
      </c>
      <c r="CF10" s="634"/>
      <c r="CG10" s="634"/>
      <c r="CH10" s="635"/>
      <c r="CI10" s="635"/>
      <c r="CJ10" s="719"/>
      <c r="CK10" s="6514" t="s">
        <v>1513</v>
      </c>
      <c r="CL10" s="6515"/>
      <c r="CM10" s="6515"/>
      <c r="CN10" s="6515"/>
      <c r="CO10" s="6515"/>
      <c r="CP10" s="6515"/>
      <c r="CQ10" s="6516"/>
      <c r="CR10" s="227"/>
      <c r="CS10" s="6514" t="s">
        <v>1514</v>
      </c>
      <c r="CT10" s="6515"/>
      <c r="CU10" s="6515"/>
      <c r="CV10" s="6515"/>
      <c r="CW10" s="6515"/>
      <c r="CX10" s="6515"/>
      <c r="CY10" s="6516"/>
      <c r="CZ10" s="227"/>
      <c r="DA10" s="6514" t="s">
        <v>1515</v>
      </c>
      <c r="DB10" s="6515"/>
      <c r="DC10" s="6515"/>
      <c r="DD10" s="6515"/>
      <c r="DE10" s="6515"/>
      <c r="DF10" s="6515"/>
      <c r="DG10" s="6516"/>
      <c r="DH10" s="227"/>
      <c r="DI10" s="3">
        <v>1</v>
      </c>
      <c r="DK10" s="198" t="s">
        <v>14241</v>
      </c>
    </row>
    <row r="11" spans="1:115" s="627" customFormat="1" ht="21" customHeight="1">
      <c r="A11" s="701" t="s">
        <v>21</v>
      </c>
      <c r="B11" s="2222" t="str">
        <f>IF(ISNUMBER(IFERROR(VALUE("0,5"),"")),"On this computer, type a COMMA as the decimal separator",IF(ISNUMBER(IFERROR(VALUE("0.5"),"")),"On this computer, type a POINT as the decimal separator","Unable to determine the decimal separator"))</f>
        <v>On this computer, type a POINT as the decimal separator</v>
      </c>
      <c r="C11" s="1344"/>
      <c r="D11" s="1344"/>
      <c r="E11" s="14"/>
      <c r="F11" s="9"/>
      <c r="G11" s="9"/>
      <c r="H11" s="9"/>
      <c r="I11" s="9"/>
      <c r="J11" s="9"/>
      <c r="K11" s="9"/>
      <c r="L11" s="222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M11" s="9"/>
      <c r="N11" s="1584"/>
      <c r="O11" s="1584"/>
      <c r="P11" s="9"/>
      <c r="Q11" s="15" t="s">
        <v>10</v>
      </c>
      <c r="R11" s="2280"/>
      <c r="S11" s="2280"/>
      <c r="T11" s="2280"/>
      <c r="U11" s="2280"/>
      <c r="V11" s="2281"/>
      <c r="W11" s="784"/>
      <c r="X11" s="784"/>
      <c r="Y11" s="2282"/>
      <c r="Z11" s="2282"/>
      <c r="AA11" s="2282"/>
      <c r="AB11" s="2282"/>
      <c r="AC11" s="2282"/>
      <c r="AD11" s="2282"/>
      <c r="AE11" s="2282"/>
      <c r="AF11" s="2282"/>
      <c r="AG11" s="2282"/>
      <c r="AH11" s="2283"/>
      <c r="AI11" s="2283"/>
      <c r="AJ11" s="2284"/>
      <c r="AK11" s="6120" t="str">
        <f t="shared" si="14"/>
        <v>►</v>
      </c>
      <c r="AL11" s="720" t="s">
        <v>10</v>
      </c>
      <c r="AM11" s="725"/>
      <c r="AN11" s="725"/>
      <c r="AO11" s="725"/>
      <c r="AP11" s="725"/>
      <c r="AQ11" s="725"/>
      <c r="AR11" s="725"/>
      <c r="AS11" s="18"/>
      <c r="AT11" s="18"/>
      <c r="AU11" s="18"/>
      <c r="AV11" s="6920"/>
      <c r="AW11" s="6920"/>
      <c r="AX11" s="6920"/>
      <c r="AY11" s="6921"/>
      <c r="AZ11" s="6922"/>
      <c r="BA11" s="6922"/>
      <c r="BB11" s="726" t="s">
        <v>139</v>
      </c>
      <c r="BC11" s="18"/>
      <c r="BD11" s="18"/>
      <c r="BE11" s="18"/>
      <c r="BF11" s="18"/>
      <c r="BG11" s="727"/>
      <c r="BH11" s="727"/>
      <c r="BI11" s="726"/>
      <c r="BJ11" s="726"/>
      <c r="BK11" s="2303" t="s">
        <v>8966</v>
      </c>
      <c r="BL11" s="227"/>
      <c r="BM11" s="227"/>
      <c r="BN11" s="227"/>
      <c r="BO11" s="227"/>
      <c r="BP11" s="728" t="s">
        <v>563</v>
      </c>
      <c r="BQ11" s="728"/>
      <c r="BR11" s="728"/>
      <c r="BS11" s="728"/>
      <c r="BT11" s="728"/>
      <c r="BU11" s="728"/>
      <c r="BV11" s="728"/>
      <c r="BW11" s="728"/>
      <c r="BX11" s="227"/>
      <c r="BY11" s="227"/>
      <c r="BZ11" s="227"/>
      <c r="CA11" s="227"/>
      <c r="CB11" s="227"/>
      <c r="CC11" s="227"/>
      <c r="CD11" s="720" t="str">
        <f t="shared" si="15"/>
        <v>A</v>
      </c>
      <c r="CE11" s="636"/>
      <c r="CF11" s="634"/>
      <c r="CG11" s="634"/>
      <c r="CH11" s="635"/>
      <c r="CI11" s="635"/>
      <c r="CJ11" s="719"/>
      <c r="CK11" s="6517"/>
      <c r="CL11" s="6518"/>
      <c r="CM11" s="6518"/>
      <c r="CN11" s="6518"/>
      <c r="CO11" s="6518"/>
      <c r="CP11" s="6518"/>
      <c r="CQ11" s="6519"/>
      <c r="CR11" s="227"/>
      <c r="CS11" s="6517"/>
      <c r="CT11" s="6518"/>
      <c r="CU11" s="6518"/>
      <c r="CV11" s="6518"/>
      <c r="CW11" s="6518"/>
      <c r="CX11" s="6518"/>
      <c r="CY11" s="6519"/>
      <c r="CZ11" s="227"/>
      <c r="DA11" s="6517"/>
      <c r="DB11" s="6518"/>
      <c r="DC11" s="6518"/>
      <c r="DD11" s="6518"/>
      <c r="DE11" s="6518"/>
      <c r="DF11" s="6518"/>
      <c r="DG11" s="6519"/>
      <c r="DH11" s="227"/>
      <c r="DI11" s="3">
        <v>1</v>
      </c>
      <c r="DK11" s="198" t="s">
        <v>14229</v>
      </c>
    </row>
    <row r="12" spans="1:115" s="627" customFormat="1" ht="21" customHeight="1">
      <c r="A12" s="701" t="s">
        <v>21</v>
      </c>
      <c r="B12" s="227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12" s="2273"/>
      <c r="D12" s="2273"/>
      <c r="E12" s="2273"/>
      <c r="F12" s="2273"/>
      <c r="G12" s="2273"/>
      <c r="H12" s="2273"/>
      <c r="I12" s="2273"/>
      <c r="J12" s="2273"/>
      <c r="K12" s="2273"/>
      <c r="L12" s="2274"/>
      <c r="M12" s="9"/>
      <c r="N12" s="1593"/>
      <c r="O12" s="1594" t="str" cm="1">
        <f t="array" aca="1" ref="O12" ca="1">IF(COUNTIF(Q2:AJ2,"&lt;0.5")=0,"Aucune colonne masquée ",COUNTIF(Q2:AJ2,"&lt;0.5") &amp; " " &amp; IF(COUNTIF(Q2:AJ2,"&lt;0.5")&gt;1,"colonnes masquées","colonne masquée") &amp; " " &amp; _xlfn.TEXTJOIN(" ", TRUE, IF(Q2:AJ2&lt;0.5,Q1:AJ1,"")))&amp;" "</f>
        <v xml:space="preserve">Aucune colonne masquée  </v>
      </c>
      <c r="P12" s="9"/>
      <c r="Q12" s="15" t="s">
        <v>10</v>
      </c>
      <c r="R12" s="2280"/>
      <c r="S12" s="2280"/>
      <c r="T12" s="2280"/>
      <c r="U12" s="2280"/>
      <c r="V12" s="2285"/>
      <c r="W12" s="784"/>
      <c r="X12" s="784"/>
      <c r="Y12" s="2282"/>
      <c r="Z12" s="2282"/>
      <c r="AA12" s="2282"/>
      <c r="AB12" s="2282"/>
      <c r="AC12" s="2282"/>
      <c r="AD12" s="2282"/>
      <c r="AE12" s="2282"/>
      <c r="AF12" s="2282"/>
      <c r="AG12" s="2282"/>
      <c r="AH12" s="2283"/>
      <c r="AI12" s="2283"/>
      <c r="AJ12" s="2284"/>
      <c r="AK12" s="6120" t="str">
        <f t="shared" si="14"/>
        <v>►</v>
      </c>
      <c r="AL12" s="720" t="s">
        <v>10</v>
      </c>
      <c r="AM12" s="725"/>
      <c r="AN12" s="725"/>
      <c r="AO12" s="725"/>
      <c r="AP12" s="725"/>
      <c r="AQ12" s="725"/>
      <c r="AR12" s="725"/>
      <c r="AS12" s="18"/>
      <c r="AT12" s="18"/>
      <c r="AU12" s="18"/>
      <c r="AV12" s="18"/>
      <c r="AW12" s="18"/>
      <c r="AX12" s="729" t="s">
        <v>1517</v>
      </c>
      <c r="AY12" s="18"/>
      <c r="AZ12" s="730" t="s">
        <v>1518</v>
      </c>
      <c r="BA12" s="18"/>
      <c r="BB12" s="726"/>
      <c r="BC12" s="18"/>
      <c r="BD12" s="18"/>
      <c r="BE12" s="18"/>
      <c r="BF12" s="18"/>
      <c r="BG12" s="18"/>
      <c r="BH12" s="18"/>
      <c r="BI12" s="726"/>
      <c r="BJ12" s="726"/>
      <c r="BK12" s="2303" t="s">
        <v>8967</v>
      </c>
      <c r="BL12" s="227"/>
      <c r="BM12" s="227"/>
      <c r="BN12" s="227"/>
      <c r="BO12" s="227"/>
      <c r="BP12" s="9" t="s">
        <v>1519</v>
      </c>
      <c r="BQ12" s="9" t="s">
        <v>1519</v>
      </c>
      <c r="BR12" s="9" t="s">
        <v>1519</v>
      </c>
      <c r="BS12" s="9" t="s">
        <v>1519</v>
      </c>
      <c r="BT12" s="9" t="s">
        <v>1520</v>
      </c>
      <c r="BU12" s="9"/>
      <c r="BV12" s="9" t="s">
        <v>1521</v>
      </c>
      <c r="BW12" s="9" t="s">
        <v>1522</v>
      </c>
      <c r="BX12" s="227"/>
      <c r="BY12" s="227"/>
      <c r="BZ12" s="227"/>
      <c r="CA12" s="227"/>
      <c r="CB12" s="227"/>
      <c r="CC12" s="227"/>
      <c r="CD12" s="720" t="str">
        <f t="shared" si="15"/>
        <v>A</v>
      </c>
      <c r="CE12" s="637" t="s">
        <v>1523</v>
      </c>
      <c r="CF12" s="634"/>
      <c r="CG12" s="634"/>
      <c r="CH12" s="635"/>
      <c r="CI12" s="635"/>
      <c r="CJ12" s="719"/>
      <c r="CK12" s="6520" t="s">
        <v>1524</v>
      </c>
      <c r="CL12" s="6521"/>
      <c r="CM12" s="6521"/>
      <c r="CN12" s="6521"/>
      <c r="CO12" s="6521"/>
      <c r="CP12" s="6521"/>
      <c r="CQ12" s="6522"/>
      <c r="CR12" s="227"/>
      <c r="CS12" s="6520" t="s">
        <v>1525</v>
      </c>
      <c r="CT12" s="6521"/>
      <c r="CU12" s="6521"/>
      <c r="CV12" s="6521"/>
      <c r="CW12" s="6521"/>
      <c r="CX12" s="6521"/>
      <c r="CY12" s="6522"/>
      <c r="CZ12" s="227"/>
      <c r="DA12" s="6520" t="s">
        <v>1526</v>
      </c>
      <c r="DB12" s="6521"/>
      <c r="DC12" s="6521"/>
      <c r="DD12" s="6521"/>
      <c r="DE12" s="6521"/>
      <c r="DF12" s="6521"/>
      <c r="DG12" s="6522"/>
      <c r="DH12" s="227"/>
      <c r="DI12" s="3">
        <v>1</v>
      </c>
      <c r="DK12" s="198"/>
    </row>
    <row r="13" spans="1:115" s="627" customFormat="1" ht="21" customHeight="1" thickBot="1">
      <c r="A13" s="701" t="s">
        <v>21</v>
      </c>
      <c r="B13" s="2271">
        <f>SUM(D11:L11)</f>
        <v>0</v>
      </c>
      <c r="C13" s="78">
        <v>0</v>
      </c>
      <c r="D13" s="6906" t="s">
        <v>2397</v>
      </c>
      <c r="E13" s="6906"/>
      <c r="F13" s="6906"/>
      <c r="G13" s="6906"/>
      <c r="H13" s="6906"/>
      <c r="I13" s="6906"/>
      <c r="J13" s="6906"/>
      <c r="K13" s="6906"/>
      <c r="L13" s="6907"/>
      <c r="M13" s="9"/>
      <c r="N13" s="1584"/>
      <c r="O13" s="1584"/>
      <c r="P13" s="9"/>
      <c r="Q13" s="15" t="s">
        <v>10</v>
      </c>
      <c r="R13" s="2286"/>
      <c r="S13" s="2286"/>
      <c r="T13" s="2286"/>
      <c r="U13" s="2286"/>
      <c r="V13" s="2282"/>
      <c r="W13" s="2282"/>
      <c r="X13" s="2282"/>
      <c r="Y13" s="2287"/>
      <c r="Z13" s="2288"/>
      <c r="AA13" s="2289"/>
      <c r="AB13" s="2289"/>
      <c r="AC13" s="2288"/>
      <c r="AD13" s="2288"/>
      <c r="AE13" s="2288"/>
      <c r="AF13" s="2290"/>
      <c r="AG13" s="2289"/>
      <c r="AH13" s="2289"/>
      <c r="AI13" s="2289"/>
      <c r="AJ13" s="2291"/>
      <c r="AK13" s="6120" t="str">
        <f t="shared" si="14"/>
        <v>►</v>
      </c>
      <c r="AL13" s="720" t="s">
        <v>10</v>
      </c>
      <c r="AM13" s="731"/>
      <c r="AN13" s="731"/>
      <c r="AO13" s="731"/>
      <c r="AP13" s="731"/>
      <c r="AQ13" s="731"/>
      <c r="AR13" s="732"/>
      <c r="AS13" s="732"/>
      <c r="AT13" s="732"/>
      <c r="AU13" s="732"/>
      <c r="AV13" s="732"/>
      <c r="AW13" s="732"/>
      <c r="AX13" s="733"/>
      <c r="AY13" s="732"/>
      <c r="AZ13" s="732" t="s">
        <v>1528</v>
      </c>
      <c r="BA13" s="732"/>
      <c r="BB13" s="732"/>
      <c r="BC13" s="732"/>
      <c r="BD13" s="732"/>
      <c r="BE13" s="732"/>
      <c r="BF13" s="732"/>
      <c r="BG13" s="732"/>
      <c r="BH13" s="732"/>
      <c r="BI13" s="732"/>
      <c r="BJ13" s="732"/>
      <c r="BK13" s="734" t="str" cm="1">
        <f t="array" aca="1" ref="BK13" ca="1">IF(COUNTIF(AL2:BK2,"&gt;0.5")=0,"Aucune",COUNTIF(AL2:BK2,"&lt;0.5") &amp; " " &amp; IF(COUNTIF(AL2:BK2,"&lt;0.5")&gt;1,"colonnes masquées","colonne masquée") &amp; " " &amp; _xlfn.TEXTJOIN(" ", TRUE, IF(AL2:BK2&lt;0.5,AL1:BK1,"")))&amp;" "</f>
        <v xml:space="preserve">0 colonne masquée  </v>
      </c>
      <c r="BL13" s="227"/>
      <c r="BM13" s="735" t="s">
        <v>1529</v>
      </c>
      <c r="BN13" s="736"/>
      <c r="BO13" s="227"/>
      <c r="BP13" s="229" t="s">
        <v>1530</v>
      </c>
      <c r="BQ13" s="229" t="s">
        <v>1530</v>
      </c>
      <c r="BR13" s="229" t="s">
        <v>1530</v>
      </c>
      <c r="BS13" s="229" t="s">
        <v>1519</v>
      </c>
      <c r="BT13" s="229" t="s">
        <v>1531</v>
      </c>
      <c r="BU13" s="229"/>
      <c r="BV13" s="229" t="s">
        <v>1532</v>
      </c>
      <c r="BW13" s="229" t="s">
        <v>1533</v>
      </c>
      <c r="BX13" s="227"/>
      <c r="BY13" s="227"/>
      <c r="BZ13" s="227"/>
      <c r="CA13" s="227"/>
      <c r="CB13" s="227"/>
      <c r="CC13" s="227"/>
      <c r="CD13" s="720" t="str">
        <f t="shared" si="15"/>
        <v>A</v>
      </c>
      <c r="CE13" s="638"/>
      <c r="CF13" s="634"/>
      <c r="CG13" s="634"/>
      <c r="CH13" s="635"/>
      <c r="CI13" s="635"/>
      <c r="CJ13" s="719"/>
      <c r="CK13" s="737" t="s">
        <v>1534</v>
      </c>
      <c r="CL13" s="738"/>
      <c r="CM13" s="738"/>
      <c r="CN13" s="738"/>
      <c r="CO13" s="738"/>
      <c r="CP13" s="738"/>
      <c r="CQ13" s="739"/>
      <c r="CR13" s="227"/>
      <c r="CS13" s="737" t="s">
        <v>1535</v>
      </c>
      <c r="CT13" s="738"/>
      <c r="CU13" s="738"/>
      <c r="CV13" s="738"/>
      <c r="CW13" s="738"/>
      <c r="CX13" s="738"/>
      <c r="CY13" s="739"/>
      <c r="CZ13" s="227"/>
      <c r="DA13" s="737" t="s">
        <v>1536</v>
      </c>
      <c r="DB13" s="738"/>
      <c r="DC13" s="738"/>
      <c r="DD13" s="738"/>
      <c r="DE13" s="738"/>
      <c r="DF13" s="738"/>
      <c r="DG13" s="739"/>
      <c r="DH13" s="227"/>
      <c r="DI13" s="3">
        <v>1</v>
      </c>
      <c r="DK13" s="198" t="s">
        <v>14232</v>
      </c>
    </row>
    <row r="14" spans="1:115" s="627" customFormat="1" ht="21" customHeight="1" thickBot="1">
      <c r="A14" s="701" t="s">
        <v>21</v>
      </c>
      <c r="B14" s="2265" t="str" cm="1">
        <f t="array" ref="B14">SUMPRODUCT(--(D14:J14&lt;&gt;""), LEN(TRIM(SUBSTITUTE(D14:J14, CHAR(160), "")))) &amp; " Car."</f>
        <v>0 Car.</v>
      </c>
      <c r="C14" s="1376" t="str">
        <f>IF(ISBLANK(D14),"",LARGE(C13:C13,1)+1)</f>
        <v/>
      </c>
      <c r="D14" s="1833"/>
      <c r="E14" s="1810"/>
      <c r="F14" s="1810"/>
      <c r="G14" s="1810"/>
      <c r="H14" s="1810"/>
      <c r="I14" s="1810"/>
      <c r="J14" s="1810"/>
      <c r="K14" s="1810"/>
      <c r="L14" s="1811"/>
      <c r="M14" s="9"/>
      <c r="N14" s="19" t="str">
        <f t="shared" ref="N14:N77" si="16">Q14</f>
        <v>A</v>
      </c>
      <c r="O14" s="1603" t="s">
        <v>15</v>
      </c>
      <c r="P14" s="9"/>
      <c r="Q14" s="19" t="s">
        <v>10</v>
      </c>
      <c r="R14" s="20"/>
      <c r="S14" s="21"/>
      <c r="T14" s="21"/>
      <c r="U14" s="22"/>
      <c r="V14" s="23"/>
      <c r="W14" s="24"/>
      <c r="X14" s="24"/>
      <c r="Y14" s="5432" t="s">
        <v>14278</v>
      </c>
      <c r="Z14" s="5431"/>
      <c r="AA14" s="5431"/>
      <c r="AB14" s="5431"/>
      <c r="AC14" s="51"/>
      <c r="AD14" s="51"/>
      <c r="AE14" s="51"/>
      <c r="AF14" s="51"/>
      <c r="AG14" s="51"/>
      <c r="AH14" s="916"/>
      <c r="AI14" s="916"/>
      <c r="AJ14" s="917"/>
      <c r="AK14" s="6120" t="str">
        <f t="shared" si="14"/>
        <v>►</v>
      </c>
      <c r="AL14" s="720" t="s">
        <v>10</v>
      </c>
      <c r="AM14" s="731"/>
      <c r="AN14" s="731"/>
      <c r="AO14" s="731"/>
      <c r="AP14" s="731"/>
      <c r="AQ14" s="731"/>
      <c r="AR14" s="740"/>
      <c r="AS14" s="732"/>
      <c r="AT14" s="732"/>
      <c r="AU14" s="732"/>
      <c r="AV14" s="732"/>
      <c r="AW14" s="732"/>
      <c r="AX14" s="732"/>
      <c r="AY14" s="732"/>
      <c r="AZ14" s="732"/>
      <c r="BA14" s="732"/>
      <c r="BB14" s="732"/>
      <c r="BC14" s="732"/>
      <c r="BD14" s="732"/>
      <c r="BE14" s="732" t="s">
        <v>14277</v>
      </c>
      <c r="BF14" s="732"/>
      <c r="BG14" s="732"/>
      <c r="BH14" s="732"/>
      <c r="BI14" s="732"/>
      <c r="BJ14" s="732"/>
      <c r="BK14" s="734" t="str">
        <f>ROWS(Q6:Q551)-SUBTOTAL(103,Q6:Q551)&amp;" "&amp;"Lignes masquées"</f>
        <v>0 Lignes masquées</v>
      </c>
      <c r="BL14" s="227"/>
      <c r="BM14" s="735" t="s">
        <v>1537</v>
      </c>
      <c r="BN14" s="736"/>
      <c r="BO14" s="227"/>
      <c r="BP14" s="741" t="s">
        <v>1538</v>
      </c>
      <c r="BQ14" s="741" t="s">
        <v>1539</v>
      </c>
      <c r="BR14" s="741" t="s">
        <v>1540</v>
      </c>
      <c r="BS14" s="741" t="s">
        <v>1541</v>
      </c>
      <c r="BT14" s="742" t="s">
        <v>1542</v>
      </c>
      <c r="BU14" s="742"/>
      <c r="BV14" s="741" t="s">
        <v>1543</v>
      </c>
      <c r="BW14" s="741" t="s">
        <v>1544</v>
      </c>
      <c r="BX14" s="227"/>
      <c r="BY14" s="227"/>
      <c r="BZ14" s="227"/>
      <c r="CA14" s="227"/>
      <c r="CB14" s="227"/>
      <c r="CC14" s="227"/>
      <c r="CD14" s="720" t="str">
        <f t="shared" si="15"/>
        <v>A</v>
      </c>
      <c r="CE14" s="637" t="s">
        <v>1545</v>
      </c>
      <c r="CF14" s="634"/>
      <c r="CG14" s="634"/>
      <c r="CH14" s="635"/>
      <c r="CI14" s="635"/>
      <c r="CJ14" s="719"/>
      <c r="CK14" s="743" t="s">
        <v>1546</v>
      </c>
      <c r="CL14" s="744"/>
      <c r="CM14" s="744"/>
      <c r="CN14" s="744"/>
      <c r="CO14" s="744"/>
      <c r="CP14" s="744"/>
      <c r="CQ14" s="745"/>
      <c r="CR14" s="227"/>
      <c r="CS14" s="743" t="s">
        <v>1547</v>
      </c>
      <c r="CT14" s="744"/>
      <c r="CU14" s="744"/>
      <c r="CV14" s="744"/>
      <c r="CW14" s="744"/>
      <c r="CX14" s="744"/>
      <c r="CY14" s="745"/>
      <c r="CZ14" s="227"/>
      <c r="DA14" s="743" t="s">
        <v>1548</v>
      </c>
      <c r="DB14" s="744"/>
      <c r="DC14" s="744"/>
      <c r="DD14" s="744"/>
      <c r="DE14" s="744"/>
      <c r="DF14" s="744"/>
      <c r="DG14" s="745"/>
      <c r="DH14" s="227"/>
      <c r="DI14" s="3">
        <v>1</v>
      </c>
      <c r="DK14" s="198" t="s">
        <v>14235</v>
      </c>
    </row>
    <row r="15" spans="1:115" s="627" customFormat="1" ht="21" customHeight="1" thickTop="1" thickBot="1">
      <c r="A15" s="701" t="s">
        <v>21</v>
      </c>
      <c r="B15" s="2265" t="str" cm="1">
        <f t="array" ref="B15">SUMPRODUCT(--(D15:J15&lt;&gt;""), LEN(TRIM(SUBSTITUTE(D15:J15, CHAR(160), "")))) &amp; " Car."</f>
        <v>0 Car.</v>
      </c>
      <c r="C15" s="1376" t="str">
        <f>IF(ISBLANK(D15),"",LARGE(C13:C14,1)+1)</f>
        <v/>
      </c>
      <c r="D15" s="1833"/>
      <c r="E15" s="1810"/>
      <c r="F15" s="1810"/>
      <c r="G15" s="1810"/>
      <c r="H15" s="1810"/>
      <c r="I15" s="1810"/>
      <c r="J15" s="1810"/>
      <c r="K15" s="1810"/>
      <c r="L15" s="1811"/>
      <c r="M15" s="9"/>
      <c r="N15" s="25" t="str">
        <f t="shared" si="16"/>
        <v>►</v>
      </c>
      <c r="O15" s="1609" t="s">
        <v>8233</v>
      </c>
      <c r="P15" s="9"/>
      <c r="Q15" s="25" t="s">
        <v>15</v>
      </c>
      <c r="R15" s="2237"/>
      <c r="S15" s="2237"/>
      <c r="T15" s="2237"/>
      <c r="U15" s="2237"/>
      <c r="V15" s="2240"/>
      <c r="W15" s="2241"/>
      <c r="X15" s="2239"/>
      <c r="Y15" s="2242"/>
      <c r="Z15" s="2250"/>
      <c r="AA15" s="2244"/>
      <c r="AB15" s="2244"/>
      <c r="AC15" s="2245"/>
      <c r="AD15" s="2246"/>
      <c r="AE15" s="2247"/>
      <c r="AF15" s="2248"/>
      <c r="AG15" s="2249"/>
      <c r="AH15" s="2249"/>
      <c r="AI15" s="2238"/>
      <c r="AJ15" s="2264"/>
      <c r="AK15" s="6120" t="str">
        <f t="shared" si="14"/>
        <v>►</v>
      </c>
      <c r="AL15" s="720" t="s">
        <v>10</v>
      </c>
      <c r="AM15" s="6866" t="s">
        <v>832</v>
      </c>
      <c r="AN15" s="1225"/>
      <c r="AO15" s="1225"/>
      <c r="AP15" s="1225"/>
      <c r="AQ15" s="746"/>
      <c r="AR15" s="6872" t="s">
        <v>1549</v>
      </c>
      <c r="AS15" s="6873"/>
      <c r="AT15" s="6873"/>
      <c r="AU15" s="6873"/>
      <c r="AV15" s="6873"/>
      <c r="AW15" s="6879" t="s">
        <v>1550</v>
      </c>
      <c r="AX15" s="6879"/>
      <c r="AY15" s="6900" t="s">
        <v>8090</v>
      </c>
      <c r="AZ15" s="6900"/>
      <c r="BA15" s="6883" t="s">
        <v>1551</v>
      </c>
      <c r="BB15" s="6883"/>
      <c r="BC15" s="6486" t="s">
        <v>1552</v>
      </c>
      <c r="BD15" s="6860" t="s">
        <v>1553</v>
      </c>
      <c r="BE15" s="6862" t="s">
        <v>1554</v>
      </c>
      <c r="BF15" s="6863"/>
      <c r="BG15" s="6891" t="s">
        <v>242</v>
      </c>
      <c r="BH15" s="6496" t="s">
        <v>1555</v>
      </c>
      <c r="BI15" s="6894" t="s">
        <v>1556</v>
      </c>
      <c r="BJ15" s="6896" t="s">
        <v>1557</v>
      </c>
      <c r="BK15" s="6889" t="s">
        <v>832</v>
      </c>
      <c r="BL15" s="227"/>
      <c r="BM15" s="735" t="s">
        <v>1558</v>
      </c>
      <c r="BN15" s="736"/>
      <c r="BO15" s="227"/>
      <c r="BP15" s="747" t="str">
        <f t="shared" ref="BP15:BW15" si="17">SUBSTITUTE(ADDRESS(1,COLUMN(),4),"1","")</f>
        <v>BP</v>
      </c>
      <c r="BQ15" s="747" t="str">
        <f t="shared" si="17"/>
        <v>BQ</v>
      </c>
      <c r="BR15" s="747" t="str">
        <f t="shared" si="17"/>
        <v>BR</v>
      </c>
      <c r="BS15" s="747" t="str">
        <f t="shared" si="17"/>
        <v>BS</v>
      </c>
      <c r="BT15" s="747" t="str">
        <f t="shared" si="17"/>
        <v>BT</v>
      </c>
      <c r="BU15" s="747" t="str">
        <f t="shared" si="17"/>
        <v>BU</v>
      </c>
      <c r="BV15" s="747" t="str">
        <f t="shared" si="17"/>
        <v>BV</v>
      </c>
      <c r="BW15" s="747" t="str">
        <f t="shared" si="17"/>
        <v>BW</v>
      </c>
      <c r="BX15" s="227" t="s">
        <v>8089</v>
      </c>
      <c r="BY15" s="227"/>
      <c r="BZ15" s="227"/>
      <c r="CA15" s="227"/>
      <c r="CB15" s="227"/>
      <c r="CC15" s="227"/>
      <c r="CD15" s="720" t="str">
        <f t="shared" si="15"/>
        <v>A</v>
      </c>
      <c r="CE15" s="638"/>
      <c r="CF15" s="638"/>
      <c r="CG15" s="634"/>
      <c r="CH15" s="635"/>
      <c r="CI15" s="635"/>
      <c r="CJ15" s="719"/>
      <c r="CK15" s="639"/>
      <c r="CL15" s="638"/>
      <c r="CM15" s="638"/>
      <c r="CN15" s="638"/>
      <c r="CO15" s="638"/>
      <c r="CP15" s="638"/>
      <c r="CQ15" s="748"/>
      <c r="CR15" s="227"/>
      <c r="CS15" s="639"/>
      <c r="CT15" s="638"/>
      <c r="CU15" s="638"/>
      <c r="CV15" s="638"/>
      <c r="CW15" s="638"/>
      <c r="CX15" s="638"/>
      <c r="CY15" s="748"/>
      <c r="CZ15" s="227"/>
      <c r="DA15" s="639"/>
      <c r="DB15" s="638"/>
      <c r="DC15" s="638"/>
      <c r="DD15" s="638"/>
      <c r="DE15" s="638"/>
      <c r="DF15" s="638"/>
      <c r="DG15" s="748"/>
      <c r="DH15" s="227"/>
      <c r="DI15" s="3">
        <v>1</v>
      </c>
      <c r="DK15"/>
    </row>
    <row r="16" spans="1:115" s="627" customFormat="1" ht="21" customHeight="1" thickBot="1">
      <c r="A16" s="701" t="s">
        <v>21</v>
      </c>
      <c r="B16" s="2265" t="str" cm="1">
        <f t="array" ref="B16">SUMPRODUCT(--(D16:J16&lt;&gt;""), LEN(TRIM(SUBSTITUTE(D16:J16, CHAR(160), "")))) &amp; " Car."</f>
        <v>0 Car.</v>
      </c>
      <c r="C16" s="1376" t="str">
        <f>IF(ISBLANK(D16),"",LARGE(C13:C15,1)+1)</f>
        <v/>
      </c>
      <c r="D16" s="1833"/>
      <c r="E16" s="1810"/>
      <c r="F16" s="1810"/>
      <c r="G16" s="1810"/>
      <c r="H16" s="1810"/>
      <c r="I16" s="1810"/>
      <c r="J16" s="1810"/>
      <c r="K16" s="1810"/>
      <c r="L16" s="1811"/>
      <c r="M16" s="9"/>
      <c r="N16" s="25" t="str">
        <f t="shared" si="16"/>
        <v>►</v>
      </c>
      <c r="O16" s="6840">
        <f>SUBTOTAL(103,N14:N551)</f>
        <v>538</v>
      </c>
      <c r="P16" s="9"/>
      <c r="Q16" s="25" t="s">
        <v>15</v>
      </c>
      <c r="R16" s="2237"/>
      <c r="S16" s="2237"/>
      <c r="T16" s="2237"/>
      <c r="U16" s="2237"/>
      <c r="V16" s="2240"/>
      <c r="W16" s="2241"/>
      <c r="X16" s="2239"/>
      <c r="Y16" s="2242"/>
      <c r="Z16" s="2250"/>
      <c r="AA16" s="2244"/>
      <c r="AB16" s="2244"/>
      <c r="AC16" s="2245"/>
      <c r="AD16" s="2246"/>
      <c r="AE16" s="2247"/>
      <c r="AF16" s="2248"/>
      <c r="AG16" s="2249"/>
      <c r="AH16" s="2249"/>
      <c r="AI16" s="2238"/>
      <c r="AJ16" s="2264"/>
      <c r="AK16" s="6120" t="str">
        <f t="shared" si="14"/>
        <v>►</v>
      </c>
      <c r="AL16" s="720" t="s">
        <v>10</v>
      </c>
      <c r="AM16" s="6902"/>
      <c r="AN16" s="1227"/>
      <c r="AO16" s="1227"/>
      <c r="AP16" s="1227"/>
      <c r="AQ16" s="749"/>
      <c r="AR16" s="6875"/>
      <c r="AS16" s="6876"/>
      <c r="AT16" s="6876"/>
      <c r="AU16" s="6876"/>
      <c r="AV16" s="6876"/>
      <c r="AW16" s="6881"/>
      <c r="AX16" s="6881"/>
      <c r="AY16" s="6901"/>
      <c r="AZ16" s="6901"/>
      <c r="BA16" s="6884"/>
      <c r="BB16" s="6884"/>
      <c r="BC16" s="6898"/>
      <c r="BD16" s="6861"/>
      <c r="BE16" s="6864"/>
      <c r="BF16" s="6865"/>
      <c r="BG16" s="6892"/>
      <c r="BH16" s="6893"/>
      <c r="BI16" s="6895"/>
      <c r="BJ16" s="6897"/>
      <c r="BK16" s="6890"/>
      <c r="BL16" s="227"/>
      <c r="BM16" s="735" t="s">
        <v>1559</v>
      </c>
      <c r="BN16" s="736"/>
      <c r="BP16" s="750" t="s">
        <v>3106</v>
      </c>
      <c r="BQ16" s="750" t="s">
        <v>3105</v>
      </c>
      <c r="BR16" s="750" t="s">
        <v>3104</v>
      </c>
      <c r="BS16" s="751">
        <v>1</v>
      </c>
      <c r="BT16" s="640" t="s">
        <v>1562</v>
      </c>
      <c r="BU16" s="640"/>
      <c r="BV16" s="752">
        <f t="shared" ref="BV16:BV25" si="18">ROUND(1/BS16,0)</f>
        <v>1</v>
      </c>
      <c r="BW16" s="753"/>
      <c r="BX16" s="750" t="s">
        <v>833</v>
      </c>
      <c r="BY16" s="750" t="s">
        <v>1560</v>
      </c>
      <c r="BZ16" s="750" t="s">
        <v>1561</v>
      </c>
      <c r="CA16" s="1226">
        <v>0.5</v>
      </c>
      <c r="CB16" s="227"/>
      <c r="CC16" s="227"/>
      <c r="CD16" s="720" t="str">
        <f t="shared" si="15"/>
        <v>A</v>
      </c>
      <c r="CE16" s="637" t="s">
        <v>1563</v>
      </c>
      <c r="CF16" s="634"/>
      <c r="CG16" s="634"/>
      <c r="CH16" s="635"/>
      <c r="CI16" s="635"/>
      <c r="CJ16" s="719"/>
      <c r="CK16" s="2309" t="s">
        <v>8975</v>
      </c>
      <c r="CL16" s="2305"/>
      <c r="CM16" s="350"/>
      <c r="CN16" s="350"/>
      <c r="CO16" s="2305" t="s">
        <v>8958</v>
      </c>
      <c r="CP16" s="2308"/>
      <c r="CQ16" s="780"/>
      <c r="CS16" s="2309" t="s">
        <v>8983</v>
      </c>
      <c r="CT16" s="2305"/>
      <c r="CU16" s="350"/>
      <c r="CV16" s="350"/>
      <c r="CW16" s="2305" t="s">
        <v>9002</v>
      </c>
      <c r="CX16" s="2308"/>
      <c r="CY16" s="780"/>
      <c r="DA16" s="2309" t="s">
        <v>8984</v>
      </c>
      <c r="DB16" s="2305"/>
      <c r="DC16" s="350"/>
      <c r="DD16" s="350"/>
      <c r="DE16" s="2305" t="s">
        <v>9008</v>
      </c>
      <c r="DF16" s="2308"/>
      <c r="DG16" s="780"/>
      <c r="DH16" s="227"/>
      <c r="DI16" s="3">
        <v>1</v>
      </c>
      <c r="DK16"/>
    </row>
    <row r="17" spans="1:115" s="627" customFormat="1" ht="21" customHeight="1" thickTop="1">
      <c r="A17" s="701" t="s">
        <v>21</v>
      </c>
      <c r="B17" s="2265" t="str" cm="1">
        <f t="array" ref="B17">SUMPRODUCT(--(D17:J17&lt;&gt;""), LEN(TRIM(SUBSTITUTE(D17:J17, CHAR(160), "")))) &amp; " Car."</f>
        <v>0 Car.</v>
      </c>
      <c r="C17" s="1376" t="str">
        <f>IF(ISBLANK(D17),"",LARGE(C13:C16,1)+1)</f>
        <v/>
      </c>
      <c r="D17" s="1833"/>
      <c r="E17" s="1810"/>
      <c r="F17" s="1810"/>
      <c r="G17" s="1810"/>
      <c r="H17" s="1810"/>
      <c r="I17" s="1810"/>
      <c r="J17" s="1810"/>
      <c r="K17" s="1810"/>
      <c r="L17" s="1811"/>
      <c r="M17" s="9"/>
      <c r="N17" s="25" t="str">
        <f t="shared" si="16"/>
        <v>►</v>
      </c>
      <c r="O17" s="6840"/>
      <c r="P17" s="9"/>
      <c r="Q17" s="25" t="s">
        <v>15</v>
      </c>
      <c r="R17" s="2237"/>
      <c r="S17" s="2237"/>
      <c r="T17" s="2237"/>
      <c r="U17" s="2237"/>
      <c r="V17" s="2240"/>
      <c r="W17" s="2241"/>
      <c r="X17" s="2239"/>
      <c r="Y17" s="2242"/>
      <c r="Z17" s="2250"/>
      <c r="AA17" s="2244"/>
      <c r="AB17" s="2244"/>
      <c r="AC17" s="2245"/>
      <c r="AD17" s="2246"/>
      <c r="AE17" s="2247"/>
      <c r="AF17" s="2248"/>
      <c r="AG17" s="2249"/>
      <c r="AH17" s="2249"/>
      <c r="AI17" s="2238"/>
      <c r="AJ17" s="2264"/>
      <c r="AK17" s="6120" t="str">
        <f t="shared" ref="AK17:AK80" si="19">IF(AND(IFERROR(SEARCH("►",AB17),0)&gt;0,ISNUMBER(IFERROR(VALUE(TRIM(SUBSTITUTE(AB17,"►",""))),NA())),AC17&lt;&gt;""),"A","►")</f>
        <v>►</v>
      </c>
      <c r="AL17" s="720" t="s">
        <v>10</v>
      </c>
      <c r="AM17" s="6866" t="s">
        <v>834</v>
      </c>
      <c r="AN17" s="1225"/>
      <c r="AO17" s="1225"/>
      <c r="AP17" s="1225"/>
      <c r="AQ17" s="746"/>
      <c r="AR17" s="6872" t="s">
        <v>1567</v>
      </c>
      <c r="AS17" s="6873"/>
      <c r="AT17" s="6873"/>
      <c r="AU17" s="6873"/>
      <c r="AV17" s="6873"/>
      <c r="AW17" s="6879" t="s">
        <v>1568</v>
      </c>
      <c r="AX17" s="6879"/>
      <c r="AY17" s="6900" t="s">
        <v>8088</v>
      </c>
      <c r="AZ17" s="6900"/>
      <c r="BA17" s="6883" t="s">
        <v>1569</v>
      </c>
      <c r="BB17" s="6883"/>
      <c r="BC17" s="6486" t="s">
        <v>1570</v>
      </c>
      <c r="BD17" s="6860" t="s">
        <v>1571</v>
      </c>
      <c r="BE17" s="6862" t="s">
        <v>1572</v>
      </c>
      <c r="BF17" s="6863"/>
      <c r="BG17" s="6891" t="s">
        <v>247</v>
      </c>
      <c r="BH17" s="6496" t="s">
        <v>1573</v>
      </c>
      <c r="BI17" s="6894" t="s">
        <v>1574</v>
      </c>
      <c r="BJ17" s="6896" t="s">
        <v>1575</v>
      </c>
      <c r="BK17" s="6889" t="s">
        <v>834</v>
      </c>
      <c r="BL17" s="227"/>
      <c r="BM17" s="227"/>
      <c r="BN17" s="227"/>
      <c r="BP17" s="750" t="s">
        <v>835</v>
      </c>
      <c r="BQ17" s="750" t="s">
        <v>1576</v>
      </c>
      <c r="BR17" s="750" t="s">
        <v>1577</v>
      </c>
      <c r="BS17" s="756">
        <v>0.25</v>
      </c>
      <c r="BT17" s="641" t="s">
        <v>1562</v>
      </c>
      <c r="BU17" s="641"/>
      <c r="BV17" s="757">
        <f t="shared" si="18"/>
        <v>4</v>
      </c>
      <c r="BW17" s="758"/>
      <c r="BY17" s="630"/>
      <c r="BZ17" s="630"/>
      <c r="CA17" s="630"/>
      <c r="CB17" s="630"/>
      <c r="CC17" s="630"/>
      <c r="CD17" s="720" t="str">
        <f t="shared" si="15"/>
        <v>A</v>
      </c>
      <c r="CE17" s="759"/>
      <c r="CF17" s="759"/>
      <c r="CG17" s="759"/>
      <c r="CH17" s="759"/>
      <c r="CI17" s="759"/>
      <c r="CJ17" s="719"/>
      <c r="CK17" s="2310" t="s">
        <v>8976</v>
      </c>
      <c r="CL17" s="2306"/>
      <c r="CM17" s="350"/>
      <c r="CN17" s="350"/>
      <c r="CO17" s="388" t="s">
        <v>8949</v>
      </c>
      <c r="CP17" s="266"/>
      <c r="CQ17" s="780"/>
      <c r="CS17" s="2310" t="s">
        <v>8992</v>
      </c>
      <c r="CT17" s="2306"/>
      <c r="CU17" s="350"/>
      <c r="CV17" s="350"/>
      <c r="CW17" s="388" t="s">
        <v>9003</v>
      </c>
      <c r="CX17" s="266"/>
      <c r="CY17" s="780"/>
      <c r="DA17" s="2310" t="s">
        <v>8985</v>
      </c>
      <c r="DB17" s="2306"/>
      <c r="DC17" s="350"/>
      <c r="DD17" s="350"/>
      <c r="DE17" s="388" t="s">
        <v>9009</v>
      </c>
      <c r="DF17" s="266"/>
      <c r="DG17" s="780"/>
      <c r="DH17" s="227"/>
      <c r="DI17" s="3">
        <v>1</v>
      </c>
      <c r="DK17" s="198" t="s">
        <v>14242</v>
      </c>
    </row>
    <row r="18" spans="1:115" s="627" customFormat="1" ht="21" customHeight="1" thickBot="1">
      <c r="A18" s="701" t="s">
        <v>21</v>
      </c>
      <c r="B18" s="2265" t="str" cm="1">
        <f t="array" ref="B18">SUMPRODUCT(--(D18:J18&lt;&gt;""), LEN(TRIM(SUBSTITUTE(D18:J18, CHAR(160), "")))) &amp; " Car."</f>
        <v>0 Car.</v>
      </c>
      <c r="C18" s="1376" t="str">
        <f>IF(ISBLANK(D18),"",LARGE(C13:C17,1)+1)</f>
        <v/>
      </c>
      <c r="D18" s="1833"/>
      <c r="E18" s="1810"/>
      <c r="F18" s="1810"/>
      <c r="G18" s="1810"/>
      <c r="H18" s="1810"/>
      <c r="I18" s="1810"/>
      <c r="J18" s="1810"/>
      <c r="K18" s="1810"/>
      <c r="L18" s="1811"/>
      <c r="M18" s="9"/>
      <c r="N18" s="25" t="str">
        <f t="shared" si="16"/>
        <v>►</v>
      </c>
      <c r="O18" s="1611" t="s">
        <v>8238</v>
      </c>
      <c r="P18" s="9"/>
      <c r="Q18" s="25" t="s">
        <v>15</v>
      </c>
      <c r="R18" s="2237"/>
      <c r="S18" s="2237"/>
      <c r="T18" s="2237"/>
      <c r="U18" s="2237"/>
      <c r="V18" s="2240"/>
      <c r="W18" s="2241"/>
      <c r="X18" s="2239"/>
      <c r="Y18" s="2242"/>
      <c r="Z18" s="2250"/>
      <c r="AA18" s="2244"/>
      <c r="AB18" s="2244"/>
      <c r="AC18" s="2245"/>
      <c r="AD18" s="2246"/>
      <c r="AE18" s="2247"/>
      <c r="AF18" s="2248"/>
      <c r="AG18" s="2249"/>
      <c r="AH18" s="2249"/>
      <c r="AI18" s="2238"/>
      <c r="AJ18" s="2264"/>
      <c r="AK18" s="6120" t="str">
        <f t="shared" si="19"/>
        <v>►</v>
      </c>
      <c r="AL18" s="720" t="s">
        <v>10</v>
      </c>
      <c r="AM18" s="6899"/>
      <c r="AN18" s="731"/>
      <c r="AO18" s="731"/>
      <c r="AP18" s="731"/>
      <c r="AQ18" s="760"/>
      <c r="AR18" s="6875"/>
      <c r="AS18" s="6876"/>
      <c r="AT18" s="6876"/>
      <c r="AU18" s="6876"/>
      <c r="AV18" s="6876"/>
      <c r="AW18" s="6881"/>
      <c r="AX18" s="6881"/>
      <c r="AY18" s="6901"/>
      <c r="AZ18" s="6901"/>
      <c r="BA18" s="6884"/>
      <c r="BB18" s="6884"/>
      <c r="BC18" s="6898"/>
      <c r="BD18" s="6861"/>
      <c r="BE18" s="6864"/>
      <c r="BF18" s="6865"/>
      <c r="BG18" s="6892"/>
      <c r="BH18" s="6893"/>
      <c r="BI18" s="6895"/>
      <c r="BJ18" s="6897"/>
      <c r="BK18" s="6890"/>
      <c r="BL18" s="227"/>
      <c r="BM18" s="227"/>
      <c r="BN18" s="227"/>
      <c r="BP18" s="750" t="s">
        <v>836</v>
      </c>
      <c r="BQ18" s="750" t="s">
        <v>1578</v>
      </c>
      <c r="BR18" s="750" t="s">
        <v>1579</v>
      </c>
      <c r="BS18" s="756">
        <v>0.33</v>
      </c>
      <c r="BT18" s="641" t="s">
        <v>1562</v>
      </c>
      <c r="BU18" s="641"/>
      <c r="BV18" s="757">
        <f t="shared" si="18"/>
        <v>3</v>
      </c>
      <c r="BW18" s="758"/>
      <c r="BY18" s="630"/>
      <c r="BZ18" s="630"/>
      <c r="CA18" s="630"/>
      <c r="CB18" s="630"/>
      <c r="CC18" s="630"/>
      <c r="CD18" s="720" t="str">
        <f t="shared" si="15"/>
        <v>A</v>
      </c>
      <c r="CE18" s="761" t="s">
        <v>1580</v>
      </c>
      <c r="CF18" s="638"/>
      <c r="CG18" s="638"/>
      <c r="CH18" s="638"/>
      <c r="CI18" s="638"/>
      <c r="CJ18" s="719"/>
      <c r="CK18" s="2311" t="s">
        <v>8991</v>
      </c>
      <c r="CL18" s="2307"/>
      <c r="CM18" s="350"/>
      <c r="CN18" s="350"/>
      <c r="CO18" s="2307" t="s">
        <v>8945</v>
      </c>
      <c r="CP18" s="266"/>
      <c r="CQ18" s="780"/>
      <c r="CS18" s="2311" t="s">
        <v>9001</v>
      </c>
      <c r="CT18" s="2307"/>
      <c r="CU18" s="350"/>
      <c r="CV18" s="350"/>
      <c r="CW18" s="2307" t="s">
        <v>9004</v>
      </c>
      <c r="CX18" s="266"/>
      <c r="CY18" s="780"/>
      <c r="DA18" s="2311" t="s">
        <v>8998</v>
      </c>
      <c r="DB18" s="2307"/>
      <c r="DC18" s="350"/>
      <c r="DD18" s="350"/>
      <c r="DE18" s="2307" t="s">
        <v>9010</v>
      </c>
      <c r="DF18" s="266"/>
      <c r="DG18" s="780"/>
      <c r="DH18" s="227"/>
      <c r="DI18" s="3">
        <v>1</v>
      </c>
      <c r="DK18" s="198" t="s">
        <v>14230</v>
      </c>
    </row>
    <row r="19" spans="1:115" s="627" customFormat="1" ht="21" customHeight="1" thickTop="1" thickBot="1">
      <c r="A19" s="701" t="s">
        <v>21</v>
      </c>
      <c r="B19" s="2265" t="str" cm="1">
        <f t="array" ref="B19">SUMPRODUCT(--(D19:J19&lt;&gt;""), LEN(TRIM(SUBSTITUTE(D19:J19, CHAR(160), "")))) &amp; " Car."</f>
        <v>0 Car.</v>
      </c>
      <c r="C19" s="1376" t="str">
        <f>IF(ISBLANK(D19),"",LARGE(C13:C18,1)+1)</f>
        <v/>
      </c>
      <c r="D19" s="1833"/>
      <c r="E19" s="1810"/>
      <c r="F19" s="1810"/>
      <c r="G19" s="1810"/>
      <c r="H19" s="1810"/>
      <c r="I19" s="1810"/>
      <c r="J19" s="1810"/>
      <c r="K19" s="1810"/>
      <c r="L19" s="1811"/>
      <c r="M19" s="9"/>
      <c r="N19" s="25" t="str">
        <f t="shared" si="16"/>
        <v>►</v>
      </c>
      <c r="O19" s="1611" t="str">
        <f>IF(O16=O21,"Aucunes",O21-O16)</f>
        <v>Aucunes</v>
      </c>
      <c r="P19" s="9"/>
      <c r="Q19" s="25" t="s">
        <v>15</v>
      </c>
      <c r="R19" s="2237"/>
      <c r="S19" s="2237"/>
      <c r="T19" s="2237"/>
      <c r="U19" s="2237"/>
      <c r="V19" s="2240"/>
      <c r="W19" s="2241"/>
      <c r="X19" s="2239"/>
      <c r="Y19" s="2242"/>
      <c r="Z19" s="2250"/>
      <c r="AA19" s="2244"/>
      <c r="AB19" s="2244"/>
      <c r="AC19" s="2245"/>
      <c r="AD19" s="2246"/>
      <c r="AE19" s="2247"/>
      <c r="AF19" s="2248"/>
      <c r="AG19" s="2249"/>
      <c r="AH19" s="2249"/>
      <c r="AI19" s="2238"/>
      <c r="AJ19" s="2264"/>
      <c r="AK19" s="6120" t="str">
        <f t="shared" si="19"/>
        <v>►</v>
      </c>
      <c r="AL19" s="720" t="s">
        <v>10</v>
      </c>
      <c r="AM19" s="764" t="str">
        <f t="shared" ref="AM19:BK19" si="20">SUBSTITUTE(ADDRESS(1,COLUMN(),4),"1","")</f>
        <v>AM</v>
      </c>
      <c r="AN19" s="764" t="str">
        <f t="shared" si="20"/>
        <v>AN</v>
      </c>
      <c r="AO19" s="764" t="str">
        <f t="shared" si="20"/>
        <v>AO</v>
      </c>
      <c r="AP19" s="764" t="str">
        <f t="shared" si="20"/>
        <v>AP</v>
      </c>
      <c r="AQ19" s="764" t="str">
        <f t="shared" si="20"/>
        <v>AQ</v>
      </c>
      <c r="AR19" s="764" t="str">
        <f t="shared" si="20"/>
        <v>AR</v>
      </c>
      <c r="AS19" s="764" t="str">
        <f t="shared" si="20"/>
        <v>AS</v>
      </c>
      <c r="AT19" s="764" t="str">
        <f t="shared" si="20"/>
        <v>AT</v>
      </c>
      <c r="AU19" s="765" t="str">
        <f t="shared" si="20"/>
        <v>AU</v>
      </c>
      <c r="AV19" s="765" t="str">
        <f t="shared" si="20"/>
        <v>AV</v>
      </c>
      <c r="AW19" s="765" t="str">
        <f t="shared" si="20"/>
        <v>AW</v>
      </c>
      <c r="AX19" s="765" t="str">
        <f t="shared" si="20"/>
        <v>AX</v>
      </c>
      <c r="AY19" s="765" t="str">
        <f t="shared" si="20"/>
        <v>AY</v>
      </c>
      <c r="AZ19" s="765" t="str">
        <f t="shared" si="20"/>
        <v>AZ</v>
      </c>
      <c r="BA19" s="765" t="str">
        <f t="shared" si="20"/>
        <v>BA</v>
      </c>
      <c r="BB19" s="765" t="str">
        <f t="shared" si="20"/>
        <v>BB</v>
      </c>
      <c r="BC19" s="765" t="str">
        <f t="shared" si="20"/>
        <v>BC</v>
      </c>
      <c r="BD19" s="765" t="str">
        <f t="shared" si="20"/>
        <v>BD</v>
      </c>
      <c r="BE19" s="765" t="str">
        <f t="shared" si="20"/>
        <v>BE</v>
      </c>
      <c r="BF19" s="765" t="str">
        <f t="shared" si="20"/>
        <v>BF</v>
      </c>
      <c r="BG19" s="765" t="str">
        <f t="shared" si="20"/>
        <v>BG</v>
      </c>
      <c r="BH19" s="765" t="str">
        <f t="shared" si="20"/>
        <v>BH</v>
      </c>
      <c r="BI19" s="765" t="str">
        <f t="shared" si="20"/>
        <v>BI</v>
      </c>
      <c r="BJ19" s="765" t="str">
        <f t="shared" si="20"/>
        <v>BJ</v>
      </c>
      <c r="BK19" s="765" t="str">
        <f t="shared" si="20"/>
        <v>BK</v>
      </c>
      <c r="BL19" s="227"/>
      <c r="BM19" s="766" t="str">
        <f>SUBSTITUTE(ADDRESS(1,COLUMN(),4),"1","")</f>
        <v>BM</v>
      </c>
      <c r="BN19" s="766" t="str">
        <f>SUBSTITUTE(ADDRESS(1,COLUMN(),4),"1","")</f>
        <v>BN</v>
      </c>
      <c r="BP19" s="422" t="s">
        <v>140</v>
      </c>
      <c r="BQ19" s="422" t="s">
        <v>140</v>
      </c>
      <c r="BR19" s="422" t="s">
        <v>140</v>
      </c>
      <c r="BS19" s="767">
        <f>BW19 / 1000</f>
        <v>1</v>
      </c>
      <c r="BT19" s="642" t="s">
        <v>837</v>
      </c>
      <c r="BU19" s="642" t="s">
        <v>1584</v>
      </c>
      <c r="BV19" s="757">
        <f t="shared" si="18"/>
        <v>1</v>
      </c>
      <c r="BW19" s="768">
        <v>1000</v>
      </c>
      <c r="BY19" s="630"/>
      <c r="BZ19" s="630"/>
      <c r="CA19" s="630"/>
      <c r="CB19" s="630"/>
      <c r="CC19" s="630"/>
      <c r="CD19" s="720" t="str">
        <f t="shared" si="15"/>
        <v>A</v>
      </c>
      <c r="CE19" s="761"/>
      <c r="CF19" s="634"/>
      <c r="CG19" s="638"/>
      <c r="CH19" s="638"/>
      <c r="CI19" s="638"/>
      <c r="CJ19" s="719"/>
      <c r="CK19" s="2311" t="s">
        <v>8982</v>
      </c>
      <c r="CL19" s="2307"/>
      <c r="CM19" s="350"/>
      <c r="CN19" s="350"/>
      <c r="CO19" s="2307" t="s">
        <v>8946</v>
      </c>
      <c r="CP19" s="266"/>
      <c r="CQ19" s="780"/>
      <c r="CS19" s="2311" t="s">
        <v>9000</v>
      </c>
      <c r="CT19" s="2307"/>
      <c r="CU19" s="350"/>
      <c r="CV19" s="350"/>
      <c r="CW19" s="2307" t="s">
        <v>9005</v>
      </c>
      <c r="CX19" s="266"/>
      <c r="CY19" s="780"/>
      <c r="DA19" s="2311" t="s">
        <v>8986</v>
      </c>
      <c r="DB19" s="2307"/>
      <c r="DC19" s="350"/>
      <c r="DD19" s="350"/>
      <c r="DE19" s="2307" t="s">
        <v>9011</v>
      </c>
      <c r="DF19" s="266"/>
      <c r="DG19" s="780"/>
      <c r="DI19" s="3">
        <v>1</v>
      </c>
      <c r="DK19" s="198"/>
    </row>
    <row r="20" spans="1:115" s="627" customFormat="1" ht="21" customHeight="1" thickTop="1" thickBot="1">
      <c r="A20" s="701" t="s">
        <v>21</v>
      </c>
      <c r="B20" s="2265" t="str" cm="1">
        <f t="array" ref="B20">SUMPRODUCT(--(D20:J20&lt;&gt;""), LEN(TRIM(SUBSTITUTE(D20:J20, CHAR(160), "")))) &amp; " Car."</f>
        <v>0 Car.</v>
      </c>
      <c r="C20" s="1376" t="str">
        <f>IF(ISBLANK(D20),"",LARGE(C13:C19,1)+1)</f>
        <v/>
      </c>
      <c r="D20" s="1833"/>
      <c r="E20" s="1810"/>
      <c r="F20" s="1810"/>
      <c r="G20" s="1810"/>
      <c r="H20" s="1810"/>
      <c r="I20" s="1810"/>
      <c r="J20" s="1810"/>
      <c r="K20" s="1810"/>
      <c r="L20" s="1811"/>
      <c r="M20" s="9"/>
      <c r="N20" s="25" t="str">
        <f t="shared" si="16"/>
        <v>►</v>
      </c>
      <c r="O20" s="1612" t="s">
        <v>8239</v>
      </c>
      <c r="P20" s="9"/>
      <c r="Q20" s="25" t="s">
        <v>15</v>
      </c>
      <c r="R20" s="2237"/>
      <c r="S20" s="2237"/>
      <c r="T20" s="2237"/>
      <c r="U20" s="2237"/>
      <c r="V20" s="2240"/>
      <c r="W20" s="2241"/>
      <c r="X20" s="2239"/>
      <c r="Y20" s="2242"/>
      <c r="Z20" s="2250"/>
      <c r="AA20" s="2244"/>
      <c r="AB20" s="2244"/>
      <c r="AC20" s="2245"/>
      <c r="AD20" s="2246"/>
      <c r="AE20" s="2247"/>
      <c r="AF20" s="2248"/>
      <c r="AG20" s="2249"/>
      <c r="AH20" s="2249"/>
      <c r="AI20" s="2238"/>
      <c r="AJ20" s="2264"/>
      <c r="AK20" s="6120" t="str">
        <f t="shared" si="19"/>
        <v>►</v>
      </c>
      <c r="AL20" s="720" t="s">
        <v>10</v>
      </c>
      <c r="AM20" s="769" t="s">
        <v>1585</v>
      </c>
      <c r="AN20" s="769" t="s">
        <v>1586</v>
      </c>
      <c r="AO20" s="769" t="s">
        <v>1587</v>
      </c>
      <c r="AP20" s="769" t="s">
        <v>1588</v>
      </c>
      <c r="AQ20" s="769" t="s">
        <v>1589</v>
      </c>
      <c r="AR20" s="769" t="s">
        <v>1590</v>
      </c>
      <c r="AS20" s="769" t="s">
        <v>1591</v>
      </c>
      <c r="AT20" s="769" t="s">
        <v>1592</v>
      </c>
      <c r="AU20" s="769" t="s">
        <v>1593</v>
      </c>
      <c r="AV20" s="769" t="s">
        <v>1594</v>
      </c>
      <c r="AW20" s="770" t="s">
        <v>1595</v>
      </c>
      <c r="AX20" s="769" t="s">
        <v>1596</v>
      </c>
      <c r="AY20" s="770" t="s">
        <v>1597</v>
      </c>
      <c r="AZ20" s="770" t="s">
        <v>1598</v>
      </c>
      <c r="BA20" s="770" t="s">
        <v>1599</v>
      </c>
      <c r="BB20" s="770" t="s">
        <v>1600</v>
      </c>
      <c r="BC20" s="770" t="s">
        <v>1601</v>
      </c>
      <c r="BD20" s="770" t="s">
        <v>1602</v>
      </c>
      <c r="BE20" s="771" t="s">
        <v>1603</v>
      </c>
      <c r="BF20" s="770" t="s">
        <v>1604</v>
      </c>
      <c r="BG20" s="770" t="s">
        <v>3103</v>
      </c>
      <c r="BH20" s="770" t="s">
        <v>3102</v>
      </c>
      <c r="BI20" s="770" t="s">
        <v>3101</v>
      </c>
      <c r="BJ20" s="770" t="s">
        <v>3100</v>
      </c>
      <c r="BK20" s="772" t="s">
        <v>8087</v>
      </c>
      <c r="BL20" s="227"/>
      <c r="BM20" s="773" t="s">
        <v>84</v>
      </c>
      <c r="BN20" s="774" t="s">
        <v>1605</v>
      </c>
      <c r="BO20" s="630"/>
      <c r="BP20" s="104" t="s">
        <v>100</v>
      </c>
      <c r="BQ20" s="104" t="s">
        <v>100</v>
      </c>
      <c r="BR20" s="104" t="s">
        <v>100</v>
      </c>
      <c r="BS20" s="767">
        <f>BW20 / 1000</f>
        <v>1E-3</v>
      </c>
      <c r="BT20" s="642" t="s">
        <v>837</v>
      </c>
      <c r="BU20" s="642" t="s">
        <v>1584</v>
      </c>
      <c r="BV20" s="757">
        <f t="shared" si="18"/>
        <v>1000</v>
      </c>
      <c r="BW20" s="768">
        <v>1</v>
      </c>
      <c r="BX20" s="630"/>
      <c r="BY20" s="630"/>
      <c r="BZ20" s="630"/>
      <c r="CA20" s="630"/>
      <c r="CB20" s="630"/>
      <c r="CC20" s="630"/>
      <c r="CD20" s="720" t="str">
        <f t="shared" si="15"/>
        <v>A</v>
      </c>
      <c r="CE20" s="761" t="s">
        <v>1606</v>
      </c>
      <c r="CF20" s="638"/>
      <c r="CG20" s="638"/>
      <c r="CH20" s="638"/>
      <c r="CI20" s="638"/>
      <c r="CJ20" s="719"/>
      <c r="CK20" s="2311" t="s">
        <v>8977</v>
      </c>
      <c r="CL20" s="2307"/>
      <c r="CM20" s="350"/>
      <c r="CN20" s="350"/>
      <c r="CO20" s="2307" t="s">
        <v>8950</v>
      </c>
      <c r="CP20" s="266"/>
      <c r="CQ20" s="780"/>
      <c r="CS20" s="2311" t="s">
        <v>8993</v>
      </c>
      <c r="CT20" s="2307"/>
      <c r="CU20" s="350"/>
      <c r="CV20" s="350"/>
      <c r="CW20" s="2307" t="s">
        <v>9006</v>
      </c>
      <c r="CX20" s="266"/>
      <c r="CY20" s="780"/>
      <c r="DA20" s="2311" t="s">
        <v>8999</v>
      </c>
      <c r="DB20" s="2307"/>
      <c r="DC20" s="350"/>
      <c r="DD20" s="350"/>
      <c r="DE20" s="2307" t="s">
        <v>9012</v>
      </c>
      <c r="DF20" s="266"/>
      <c r="DG20" s="780"/>
      <c r="DI20" s="3">
        <v>1</v>
      </c>
      <c r="DK20" s="198" t="s">
        <v>14233</v>
      </c>
    </row>
    <row r="21" spans="1:115" s="627" customFormat="1" ht="21" customHeight="1" thickTop="1">
      <c r="A21" s="701" t="s">
        <v>21</v>
      </c>
      <c r="B21" s="2265" t="str" cm="1">
        <f t="array" ref="B21">SUMPRODUCT(--(D21:J21&lt;&gt;""), LEN(TRIM(SUBSTITUTE(D21:J21, CHAR(160), "")))) &amp; " Car."</f>
        <v>0 Car.</v>
      </c>
      <c r="C21" s="1376" t="str">
        <f>IF(ISBLANK(D21),"",LARGE(C13:C20,1)+1)</f>
        <v/>
      </c>
      <c r="D21" s="1833"/>
      <c r="E21" s="1810"/>
      <c r="F21" s="1810"/>
      <c r="G21" s="1810"/>
      <c r="H21" s="1810"/>
      <c r="I21" s="1810"/>
      <c r="J21" s="1810"/>
      <c r="K21" s="1810"/>
      <c r="L21" s="1811"/>
      <c r="M21" s="9"/>
      <c r="N21" s="25" t="str">
        <f t="shared" si="16"/>
        <v>►</v>
      </c>
      <c r="O21" s="6841">
        <f>ROWS(N14:N551)</f>
        <v>538</v>
      </c>
      <c r="P21" s="9"/>
      <c r="Q21" s="25" t="s">
        <v>15</v>
      </c>
      <c r="R21" s="2237"/>
      <c r="S21" s="2237"/>
      <c r="T21" s="2237"/>
      <c r="U21" s="2237"/>
      <c r="V21" s="2240"/>
      <c r="W21" s="2241"/>
      <c r="X21" s="2239"/>
      <c r="Y21" s="2242"/>
      <c r="Z21" s="2250"/>
      <c r="AA21" s="2244"/>
      <c r="AB21" s="2244"/>
      <c r="AC21" s="2245"/>
      <c r="AD21" s="2246"/>
      <c r="AE21" s="2247"/>
      <c r="AF21" s="2248"/>
      <c r="AG21" s="2249"/>
      <c r="AH21" s="2249"/>
      <c r="AI21" s="2238"/>
      <c r="AJ21" s="2264"/>
      <c r="AK21" s="6120" t="str">
        <f t="shared" si="19"/>
        <v>►</v>
      </c>
      <c r="AL21" s="720" t="s">
        <v>10</v>
      </c>
      <c r="AM21" s="6866" t="s">
        <v>1607</v>
      </c>
      <c r="AN21" s="6867"/>
      <c r="AO21" s="6867"/>
      <c r="AP21" s="6867"/>
      <c r="AQ21" s="6868"/>
      <c r="AR21" s="6872" t="s">
        <v>32</v>
      </c>
      <c r="AS21" s="6873"/>
      <c r="AT21" s="6873"/>
      <c r="AU21" s="6873"/>
      <c r="AV21" s="6874"/>
      <c r="AW21" s="6878" t="s">
        <v>1608</v>
      </c>
      <c r="AX21" s="6879"/>
      <c r="AY21" s="6882" t="s">
        <v>8086</v>
      </c>
      <c r="AZ21" s="6882"/>
      <c r="BA21" s="6883" t="s">
        <v>1609</v>
      </c>
      <c r="BB21" s="6883"/>
      <c r="BC21" s="6885" t="s">
        <v>1610</v>
      </c>
      <c r="BD21" s="6860" t="s">
        <v>1611</v>
      </c>
      <c r="BE21" s="6862" t="s">
        <v>1554</v>
      </c>
      <c r="BF21" s="6863"/>
      <c r="BG21" s="6891" t="s">
        <v>84</v>
      </c>
      <c r="BH21" s="6496" t="s">
        <v>1612</v>
      </c>
      <c r="BI21" s="6894" t="s">
        <v>1613</v>
      </c>
      <c r="BJ21" s="6896" t="s">
        <v>1614</v>
      </c>
      <c r="BK21" s="6889" t="s">
        <v>95</v>
      </c>
      <c r="BL21" s="227" t="s">
        <v>21</v>
      </c>
      <c r="BM21" s="773">
        <f>IFERROR(_xlfn.LET(_xlpm.b,(V21*#REF!)/AU15,IF(ISNUMBER(AY15),_xlpm.b*AY15,IF(OR(ISBLANK(AY15),AY15=""),_xlpm.b*AW15,IF(AND(BN21=0,ISNUMBER(V21)),_xlpm.b/AW15,0)))),0)</f>
        <v>0</v>
      </c>
      <c r="BN21" s="774">
        <f>IF(AR15&lt;=0,0,IF(ISBLANK(AY15),IFERROR(AW15/AU15,0),IFERROR(AY15/AU15,0)))</f>
        <v>0</v>
      </c>
      <c r="BO21" s="630"/>
      <c r="BP21" s="118" t="s">
        <v>142</v>
      </c>
      <c r="BQ21" s="118" t="s">
        <v>1320</v>
      </c>
      <c r="BR21" s="118" t="s">
        <v>1301</v>
      </c>
      <c r="BS21" s="767">
        <f>BW21 / 1000</f>
        <v>0.25</v>
      </c>
      <c r="BT21" s="642" t="s">
        <v>837</v>
      </c>
      <c r="BU21" s="642" t="s">
        <v>1584</v>
      </c>
      <c r="BV21" s="757">
        <f t="shared" si="18"/>
        <v>4</v>
      </c>
      <c r="BW21" s="776">
        <v>250</v>
      </c>
      <c r="BX21" s="630"/>
      <c r="BY21" s="630"/>
      <c r="BZ21" s="630"/>
      <c r="CA21" s="630"/>
      <c r="CB21" s="630"/>
      <c r="CC21" s="630"/>
      <c r="CD21" s="720" t="str">
        <f t="shared" si="15"/>
        <v>A</v>
      </c>
      <c r="CE21" s="761"/>
      <c r="CF21" s="634"/>
      <c r="CG21" s="634"/>
      <c r="CH21" s="635"/>
      <c r="CI21" s="635"/>
      <c r="CJ21" s="719"/>
      <c r="CK21" s="2311" t="s">
        <v>8978</v>
      </c>
      <c r="CL21" s="2307"/>
      <c r="CM21" s="350"/>
      <c r="CN21" s="350"/>
      <c r="CO21" s="2307" t="s">
        <v>8947</v>
      </c>
      <c r="CP21" s="266"/>
      <c r="CQ21" s="780"/>
      <c r="CS21" s="2311" t="s">
        <v>8994</v>
      </c>
      <c r="CT21" s="2307"/>
      <c r="CU21" s="350"/>
      <c r="CV21" s="350"/>
      <c r="CW21" s="2307" t="s">
        <v>9007</v>
      </c>
      <c r="CX21" s="266"/>
      <c r="CY21" s="780"/>
      <c r="DA21" s="2311" t="s">
        <v>8987</v>
      </c>
      <c r="DB21" s="2307"/>
      <c r="DC21" s="350"/>
      <c r="DD21" s="350"/>
      <c r="DE21" s="2307" t="s">
        <v>9013</v>
      </c>
      <c r="DF21" s="266"/>
      <c r="DG21" s="780"/>
      <c r="DI21" s="3">
        <v>1</v>
      </c>
      <c r="DK21" s="198" t="s">
        <v>14236</v>
      </c>
    </row>
    <row r="22" spans="1:115" s="627" customFormat="1" ht="21" customHeight="1" thickBot="1">
      <c r="A22" s="701" t="s">
        <v>21</v>
      </c>
      <c r="B22" s="2265" t="str" cm="1">
        <f t="array" ref="B22">SUMPRODUCT(--(D22:J22&lt;&gt;""), LEN(TRIM(SUBSTITUTE(D22:J22, CHAR(160), "")))) &amp; " Car."</f>
        <v>0 Car.</v>
      </c>
      <c r="C22" s="1376" t="str">
        <f>IF(ISBLANK(D22),"",LARGE(C13:C21,1)+1)</f>
        <v/>
      </c>
      <c r="D22" s="1833"/>
      <c r="E22" s="1810"/>
      <c r="F22" s="1810"/>
      <c r="G22" s="1810"/>
      <c r="H22" s="1810"/>
      <c r="I22" s="1810"/>
      <c r="J22" s="1810"/>
      <c r="K22" s="1810"/>
      <c r="L22" s="1811"/>
      <c r="M22" s="9"/>
      <c r="N22" s="25" t="str">
        <f t="shared" si="16"/>
        <v>►</v>
      </c>
      <c r="O22" s="6841"/>
      <c r="P22" s="9"/>
      <c r="Q22" s="25" t="s">
        <v>15</v>
      </c>
      <c r="R22" s="2237"/>
      <c r="S22" s="2237"/>
      <c r="T22" s="2237"/>
      <c r="U22" s="2237"/>
      <c r="V22" s="2240"/>
      <c r="W22" s="2241"/>
      <c r="X22" s="2239"/>
      <c r="Y22" s="2242"/>
      <c r="Z22" s="2250"/>
      <c r="AA22" s="2244"/>
      <c r="AB22" s="2244"/>
      <c r="AC22" s="2245"/>
      <c r="AD22" s="2246"/>
      <c r="AE22" s="2247"/>
      <c r="AF22" s="2248"/>
      <c r="AG22" s="2249"/>
      <c r="AH22" s="2249"/>
      <c r="AI22" s="2238"/>
      <c r="AJ22" s="2264"/>
      <c r="AK22" s="6120" t="str">
        <f t="shared" si="19"/>
        <v>►</v>
      </c>
      <c r="AL22" s="720" t="s">
        <v>10</v>
      </c>
      <c r="AM22" s="6869"/>
      <c r="AN22" s="6870"/>
      <c r="AO22" s="6870"/>
      <c r="AP22" s="6870"/>
      <c r="AQ22" s="6871"/>
      <c r="AR22" s="6875"/>
      <c r="AS22" s="6876"/>
      <c r="AT22" s="6876"/>
      <c r="AU22" s="6876"/>
      <c r="AV22" s="6877"/>
      <c r="AW22" s="6880"/>
      <c r="AX22" s="6881"/>
      <c r="AY22" s="1319" t="s">
        <v>8085</v>
      </c>
      <c r="AZ22" s="1318" t="s">
        <v>8084</v>
      </c>
      <c r="BA22" s="6884"/>
      <c r="BB22" s="6884"/>
      <c r="BC22" s="6886"/>
      <c r="BD22" s="6861"/>
      <c r="BE22" s="6864"/>
      <c r="BF22" s="6865"/>
      <c r="BG22" s="6892"/>
      <c r="BH22" s="6893"/>
      <c r="BI22" s="6895"/>
      <c r="BJ22" s="6897"/>
      <c r="BK22" s="6890"/>
      <c r="BL22" s="227" t="s">
        <v>21</v>
      </c>
      <c r="BM22" s="773">
        <f>IFERROR(_xlfn.LET(_xlpm.b,(V22*#REF!)/AU16,IF(ISNUMBER(AY16),_xlpm.b*AY16,IF(OR(ISBLANK(AY16),AY16=""),_xlpm.b*AW16,IF(AND(BN22=0,ISNUMBER(V22)),_xlpm.b/AW16,0)))),0)</f>
        <v>0</v>
      </c>
      <c r="BN22" s="774">
        <f>IF(AR16&lt;=0,0,IF(ISBLANK(AY16),IFERROR(AW16/AU16,0),IFERROR(AY16/AU16,0)))</f>
        <v>0</v>
      </c>
      <c r="BO22" s="630"/>
      <c r="BP22" s="118" t="s">
        <v>109</v>
      </c>
      <c r="BQ22" s="118" t="s">
        <v>1322</v>
      </c>
      <c r="BR22" s="118" t="s">
        <v>1303</v>
      </c>
      <c r="BS22" s="767">
        <f>BW22 / 1000</f>
        <v>0.5</v>
      </c>
      <c r="BT22" s="642" t="s">
        <v>837</v>
      </c>
      <c r="BU22" s="642" t="s">
        <v>1584</v>
      </c>
      <c r="BV22" s="757">
        <f t="shared" si="18"/>
        <v>2</v>
      </c>
      <c r="BW22" s="776">
        <v>500</v>
      </c>
      <c r="BX22" s="630"/>
      <c r="BY22" s="630"/>
      <c r="BZ22" s="630"/>
      <c r="CA22" s="630"/>
      <c r="CB22" s="630"/>
      <c r="CC22" s="630"/>
      <c r="CD22" s="720" t="str">
        <f t="shared" si="15"/>
        <v>A</v>
      </c>
      <c r="CE22" s="761" t="s">
        <v>1615</v>
      </c>
      <c r="CF22" s="634"/>
      <c r="CG22" s="634"/>
      <c r="CH22" s="635"/>
      <c r="CI22" s="635"/>
      <c r="CJ22" s="719"/>
      <c r="CK22" s="2311" t="s">
        <v>8979</v>
      </c>
      <c r="CL22" s="2307"/>
      <c r="CM22" s="350"/>
      <c r="CN22" s="350"/>
      <c r="CO22" s="2307"/>
      <c r="CP22" s="350"/>
      <c r="CQ22" s="780"/>
      <c r="CS22" s="2311" t="s">
        <v>8995</v>
      </c>
      <c r="CT22" s="2307"/>
      <c r="CU22" s="350"/>
      <c r="CV22" s="350"/>
      <c r="CW22" s="2307"/>
      <c r="CX22" s="350"/>
      <c r="CY22" s="780"/>
      <c r="DA22" s="2311" t="s">
        <v>8988</v>
      </c>
      <c r="DB22" s="2307"/>
      <c r="DC22" s="350"/>
      <c r="DD22" s="350"/>
      <c r="DE22" s="2307"/>
      <c r="DF22" s="350"/>
      <c r="DG22" s="780"/>
      <c r="DI22" s="3">
        <v>1</v>
      </c>
      <c r="DK22"/>
    </row>
    <row r="23" spans="1:115" s="627" customFormat="1" ht="21" customHeight="1" thickTop="1">
      <c r="A23" s="701" t="s">
        <v>21</v>
      </c>
      <c r="B23" s="2265" t="str" cm="1">
        <f t="array" ref="B23">SUMPRODUCT(--(D23:J23&lt;&gt;""), LEN(TRIM(SUBSTITUTE(D23:J23, CHAR(160), "")))) &amp; " Car."</f>
        <v>0 Car.</v>
      </c>
      <c r="C23" s="1376" t="str">
        <f>IF(ISBLANK(D23),"",LARGE(C13:C22,1)+1)</f>
        <v/>
      </c>
      <c r="D23" s="1833"/>
      <c r="E23" s="1810"/>
      <c r="F23" s="1810"/>
      <c r="G23" s="1810"/>
      <c r="H23" s="1810"/>
      <c r="I23" s="1810"/>
      <c r="J23" s="1810"/>
      <c r="K23" s="1810"/>
      <c r="L23" s="1811"/>
      <c r="M23" s="9"/>
      <c r="N23" s="25" t="str">
        <f t="shared" si="16"/>
        <v>►</v>
      </c>
      <c r="O23" s="6842" t="s">
        <v>8240</v>
      </c>
      <c r="P23" s="9"/>
      <c r="Q23" s="25" t="s">
        <v>15</v>
      </c>
      <c r="R23" s="2237"/>
      <c r="S23" s="2237"/>
      <c r="T23" s="2237"/>
      <c r="U23" s="2237"/>
      <c r="V23" s="2240"/>
      <c r="W23" s="2241"/>
      <c r="X23" s="2239"/>
      <c r="Y23" s="2242"/>
      <c r="Z23" s="2250"/>
      <c r="AA23" s="2244"/>
      <c r="AB23" s="2244"/>
      <c r="AC23" s="2245"/>
      <c r="AD23" s="2246"/>
      <c r="AE23" s="2247"/>
      <c r="AF23" s="2248"/>
      <c r="AG23" s="2249"/>
      <c r="AH23" s="2249"/>
      <c r="AI23" s="2238"/>
      <c r="AJ23" s="2264"/>
      <c r="AK23" s="6120" t="str">
        <f t="shared" si="19"/>
        <v>►</v>
      </c>
      <c r="AL23" s="781" t="str">
        <f t="shared" ref="AL23:AL86" si="21">IF(OR(AU23&gt;0,TRIM(AM23)="▼ recette suivante"),"A","►")</f>
        <v>►</v>
      </c>
      <c r="AM23" s="5497" t="str">
        <f t="shared" ref="AM23:AM86" si="22">IF(IFERROR(SEARCH("Adresse PC",TRIM(SUBSTITUTE(W23,CHAR(160)," "))),0)&gt;0,"▼ recette suivante",IF(AK23="A",R23,""))</f>
        <v/>
      </c>
      <c r="AN23" s="783" t="str">
        <f t="shared" ref="AN23" si="23">IF(AK23="A",S23,"")</f>
        <v/>
      </c>
      <c r="AO23" s="782" t="str">
        <f t="shared" ref="AO23:AO86" si="24">IF(AK23="A",T23,"")</f>
        <v/>
      </c>
      <c r="AP23" s="783" t="str">
        <f t="shared" ref="AP23:AP86" si="25">IF(AK23="A",Z23,"")</f>
        <v/>
      </c>
      <c r="AQ23" s="2083" t="b">
        <f>AND(Q23="A",COUNTIF(BP16:BR63,TRIM(Z23))&gt;0)</f>
        <v>0</v>
      </c>
      <c r="AR23" s="797" t="str">
        <f>IF(AL23&lt;&gt;"A","",IFERROR(IFERROR(_xlfn.XLOOKUP(TRIM(SUBSTITUTE(Z23,CHAR(160)," ")),BP16:BP63,BS16:BS63),IFERROR(_xlfn.XLOOKUP(TRIM(SUBSTITUTE(Z23,CHAR(160)," ")),BQ16:BQ63,BS16:BS63),_xlfn.XLOOKUP(TRIM(SUBSTITUTE(Z23,CHAR(160)," ")),BR16:BR63,BS16:BS63)))*Y23*IF(ISBLANK(V23),1,V23),0))</f>
        <v/>
      </c>
      <c r="AS23" s="784" t="str">
        <f t="shared" ref="AS23:AS86" si="26">IF(AK23="A",IF(AND(AQ23,AR23&gt;0),"Kg",""),"")</f>
        <v/>
      </c>
      <c r="AT23" s="1315" t="str">
        <f t="shared" ref="AT23:AT86" si="27">IF(AK23="A","❾ Author reference &gt;","")</f>
        <v/>
      </c>
      <c r="AU23" s="785">
        <f t="shared" ref="AU23:AU86" si="28">IF(AK23="A",S23,0)</f>
        <v>0</v>
      </c>
      <c r="AV23" s="785">
        <f t="shared" ref="AV23:AV86" si="29">IF(AK23="A",T23,0)</f>
        <v>0</v>
      </c>
      <c r="AW23" s="786">
        <f>IF(AK23="A",AY10,0)</f>
        <v>0</v>
      </c>
      <c r="AX23" s="5495" t="str">
        <f>IF(IFERROR(SEARCH("Adresse PC",TRIM(W23)),0)&gt;0,"▼ receta siguiente",IF(AK23="A",IF(AZ10&lt;&gt;"",AZ10&amp;" - ou.or.o ❾ + or - &gt;",""),""))</f>
        <v/>
      </c>
      <c r="AY23" s="1317"/>
      <c r="AZ23" s="1317"/>
      <c r="BA23" s="788" t="str">
        <f t="shared" ref="BA23:BA82" si="30">IF(AK23="A",IF(UPPER(TRIM(SUBSTITUTE(AS23,CHAR(160),"")))="KG",N(AR23)*N(BN23),0),"")</f>
        <v/>
      </c>
      <c r="BB23" s="789" t="str">
        <f>IF(AK23="A",IF(AQ23,IF(AND(AW23&lt;&gt;"",N(AW23)&gt;0),IFERROR(IFERROR(_xlfn.XLOOKUP(AP23,BP10:BP57,BT10:BT57),IFERROR(_xlfn.XLOOKUP(AP23,BQ10:BQ57,BT10:BT57),_xlfn.XLOOKUP(AP23,BR10:BR57,BT10:BT57,""))),""),""),""),"")</f>
        <v/>
      </c>
      <c r="BC23" s="811" cm="1">
        <f t="array" ref="BC23">IF(NOT(AQ23),0,IF(OR(BA23="",N(BA23)&lt;=0.000000001),"",IF(OR(AU23="",N(AU23)&lt;=0.000000001),0,IF(ISNUMBER(BA23),IFERROR(_xlfn.LET(_xlpm.ai_test,TRIM(AP23),_xlpm.r,IFERROR(_xlfn.XLOOKUP(_xlpm.ai_test,BP16:BP63,ROW(BP16:BP63),0,1),IFERROR(_xlfn.XLOOKUP(_xlpm.ai_test,BQ16:BQ63,ROW(BQ16:BQ63),0,1),_xlfn.XLOOKUP(_xlpm.ai_test,BR16:BR63,ROW(BR16:BR63),0,1))),_xlpm.p,_xlpm.r-MIN(ROW(BP16:BP63))+1,_xlpm.f,INDEX(BS16:BS63,_xlpm.p),_xlpm.u,INDEX(BT16:BT63,_xlpm.p),_xlpm.s,INDEX(BV16:BV63,_xlpm.p),_xlpm.q,N(BA23)/_xlpm.f,IF(_xlpm.q&gt;=_xlpm.s,ROUND(_xlpm.q,1)&amp;" "&amp;_xlpm.ai_test&amp;" = "&amp;ROUND(_xlpm.q*_xlpm.f,1)&amp;" "&amp;_xlpm.u,ROUND(_xlpm.q,1)&amp;" "&amp;_xlpm.ai_test)),""),""))))</f>
        <v>0</v>
      </c>
      <c r="BD23" s="801"/>
      <c r="BE23" s="788" t="str">
        <f t="shared" ref="BE23:BE85" si="31">IF(IFERROR(SEARCH("Adresse PC",TRIM(W23)),0)&gt;0,"▼next ricipe ",IF(BA23="","",IF(AK23="A",IF(ISBLANK(BD23),BA23,ROUND(BA23*(1-MIN(1,MAX(0,IF(BD23&gt;1,BD23/100,BD23)))),3)))))</f>
        <v/>
      </c>
      <c r="BF23" s="789" t="str">
        <f t="shared" ref="BF23:BF30" si="32">IF(AQ23,BB23,"")</f>
        <v/>
      </c>
      <c r="BG23" s="790">
        <f t="shared" ref="BG23:BG30" si="33">IF(AND(ISNUMBER(BM23),ABS(BM23)&gt;0.000000001),BM23,0)</f>
        <v>0</v>
      </c>
      <c r="BH23" s="791" t="str">
        <f t="shared" ref="BH23:BH30" si="34">IF(AND(AQ23, N(BG23)&gt;0.000000001), W23, "")</f>
        <v/>
      </c>
      <c r="BI23" s="792">
        <v>1</v>
      </c>
      <c r="BJ23" s="793">
        <f t="shared" ref="BJ23:BJ30" si="35">IF(OR(AU23=0,ISBLANK(BI23),ISTEXT(BG23)),0,(IF(BA23=0,BG23,BA23)*BI23))</f>
        <v>0</v>
      </c>
      <c r="BK23" s="794" t="str">
        <f>IF(AK23="A",IF(IFERROR(SEARCH("Adresse PC",TRIM(W23)),0)&gt;0,"▼recette suivante ",IF(BE23&gt;0,AC23,"")),"")</f>
        <v/>
      </c>
      <c r="BL23" s="227" t="s">
        <v>21</v>
      </c>
      <c r="BM23" s="773">
        <f t="shared" ref="BM23:BM86" si="36">IFERROR(_xlfn.LET(_xlpm.EPS,0.000000001,_xlpm.b,V23/AU23,IF(ISNUMBER(AY23),_xlpm.b*AY23,IF(OR(ISBLANK(AY23),AY23=""),_xlpm.b*AW23,IF(AND(BN23=0,ISNUMBER(V23)),_xlpm.b/AW23,0)))),0)</f>
        <v>0</v>
      </c>
      <c r="BN23" s="774">
        <f t="shared" ref="BN23:BN86" si="37">IF(AR23&gt;0,IFERROR(IF(OR(ISBLANK(AY23),AY23=""),AW23,AY23)/AU23,0),0)</f>
        <v>0</v>
      </c>
      <c r="BO23" s="630"/>
      <c r="BP23" s="118" t="s">
        <v>143</v>
      </c>
      <c r="BQ23" s="118" t="s">
        <v>1321</v>
      </c>
      <c r="BR23" s="118" t="s">
        <v>1302</v>
      </c>
      <c r="BS23" s="767">
        <f>BW23 / 1000</f>
        <v>0.33300000000000002</v>
      </c>
      <c r="BT23" s="642" t="s">
        <v>837</v>
      </c>
      <c r="BU23" s="642" t="s">
        <v>1584</v>
      </c>
      <c r="BV23" s="757">
        <f t="shared" si="18"/>
        <v>3</v>
      </c>
      <c r="BW23" s="776">
        <v>333</v>
      </c>
      <c r="BX23" s="630"/>
      <c r="BY23" s="630"/>
      <c r="BZ23" s="630"/>
      <c r="CA23" s="630"/>
      <c r="CB23" s="630"/>
      <c r="CC23" s="630"/>
      <c r="CD23" s="781" t="str">
        <f t="shared" si="15"/>
        <v>►</v>
      </c>
      <c r="CE23" s="636"/>
      <c r="CF23" s="634"/>
      <c r="CG23" s="634"/>
      <c r="CH23" s="635"/>
      <c r="CI23" s="635"/>
      <c r="CJ23" s="719"/>
      <c r="CK23" s="2311" t="s">
        <v>8980</v>
      </c>
      <c r="CL23" s="2307"/>
      <c r="CM23" s="350"/>
      <c r="CN23" s="350"/>
      <c r="CO23" s="2307"/>
      <c r="CP23" s="350"/>
      <c r="CQ23" s="780"/>
      <c r="CS23" s="2311" t="s">
        <v>8996</v>
      </c>
      <c r="CT23" s="2307"/>
      <c r="CU23" s="350"/>
      <c r="CV23" s="350"/>
      <c r="CW23" s="2307"/>
      <c r="CX23" s="350"/>
      <c r="CY23" s="780"/>
      <c r="DA23" s="2311" t="s">
        <v>8989</v>
      </c>
      <c r="DB23" s="2307"/>
      <c r="DC23" s="350"/>
      <c r="DD23" s="350"/>
      <c r="DE23" s="2307"/>
      <c r="DF23" s="350"/>
      <c r="DG23" s="780"/>
      <c r="DI23" s="3">
        <v>1</v>
      </c>
      <c r="DK23"/>
    </row>
    <row r="24" spans="1:115" s="627" customFormat="1" ht="21" customHeight="1">
      <c r="A24" s="701" t="s">
        <v>21</v>
      </c>
      <c r="B24" s="2265" t="str" cm="1">
        <f t="array" ref="B24">SUMPRODUCT(--(D24:J24&lt;&gt;""), LEN(TRIM(SUBSTITUTE(D24:J24, CHAR(160), "")))) &amp; " Car."</f>
        <v>0 Car.</v>
      </c>
      <c r="C24" s="1376" t="str">
        <f>IF(ISBLANK(D24),"",LARGE(C13:C23,1)+1)</f>
        <v/>
      </c>
      <c r="D24" s="1833"/>
      <c r="E24" s="1810"/>
      <c r="F24" s="1810"/>
      <c r="G24" s="1810"/>
      <c r="H24" s="1810"/>
      <c r="I24" s="1810"/>
      <c r="J24" s="1810"/>
      <c r="K24" s="1810"/>
      <c r="L24" s="1811"/>
      <c r="M24" s="9"/>
      <c r="N24" s="25" t="str">
        <f t="shared" si="16"/>
        <v>►</v>
      </c>
      <c r="O24" s="6842"/>
      <c r="P24" s="9"/>
      <c r="Q24" s="25" t="s">
        <v>15</v>
      </c>
      <c r="R24" s="2237"/>
      <c r="S24" s="2237"/>
      <c r="T24" s="2237"/>
      <c r="U24" s="2237"/>
      <c r="V24" s="2240"/>
      <c r="W24" s="2241"/>
      <c r="X24" s="2239"/>
      <c r="Y24" s="2242"/>
      <c r="Z24" s="2250"/>
      <c r="AA24" s="2244"/>
      <c r="AB24" s="2244"/>
      <c r="AC24" s="2245"/>
      <c r="AD24" s="2246"/>
      <c r="AE24" s="2247"/>
      <c r="AF24" s="2248"/>
      <c r="AG24" s="2249"/>
      <c r="AH24" s="2249"/>
      <c r="AI24" s="2238"/>
      <c r="AJ24" s="2264"/>
      <c r="AK24" s="6120" t="str">
        <f t="shared" si="19"/>
        <v>►</v>
      </c>
      <c r="AL24" s="781" t="str">
        <f t="shared" si="21"/>
        <v>►</v>
      </c>
      <c r="AM24" s="5498" t="str">
        <f t="shared" si="22"/>
        <v/>
      </c>
      <c r="AN24" s="783" t="str">
        <f t="shared" ref="AN24:AN86" si="38">IF(AK24="A",S24,"")</f>
        <v/>
      </c>
      <c r="AO24" s="782" t="str">
        <f t="shared" si="24"/>
        <v/>
      </c>
      <c r="AP24" s="783" t="str">
        <f t="shared" si="25"/>
        <v/>
      </c>
      <c r="AQ24" s="2083" t="b">
        <f>AND(Q24="A",COUNTIF(BP16:BR63,TRIM(Z24))&gt;0)</f>
        <v>0</v>
      </c>
      <c r="AR24" s="797" t="str">
        <f>IF(AL24&lt;&gt;"A","",IFERROR(IFERROR(_xlfn.XLOOKUP(TRIM(SUBSTITUTE(Z24,CHAR(160)," ")),BP16:BP63,BS16:BS63),IFERROR(_xlfn.XLOOKUP(TRIM(SUBSTITUTE(Z24,CHAR(160)," ")),BQ16:BQ63,BS16:BS63),_xlfn.XLOOKUP(TRIM(SUBSTITUTE(Z24,CHAR(160)," ")),BR16:BR63,BS16:BS63)))*Y24*IF(ISBLANK(V24),1,V24),0))</f>
        <v/>
      </c>
      <c r="AS24" s="784" t="str">
        <f t="shared" si="26"/>
        <v/>
      </c>
      <c r="AT24" s="1315" t="str">
        <f t="shared" si="27"/>
        <v/>
      </c>
      <c r="AU24" s="785">
        <f t="shared" si="28"/>
        <v>0</v>
      </c>
      <c r="AV24" s="785">
        <f t="shared" si="29"/>
        <v>0</v>
      </c>
      <c r="AW24" s="798">
        <f>IF(AK24="A",AY10,0)</f>
        <v>0</v>
      </c>
      <c r="AX24" s="5496" t="str">
        <f>IF(IFERROR(SEARCH("Adresse PC",TRIM(W24)),0)&gt;0,"▼ receta siguiente",IF(AK24="A",IF(AZ10&lt;&gt;"",AZ10&amp;" - ou.or.o ❾ + or - &gt;",""),""))</f>
        <v/>
      </c>
      <c r="AY24" s="787"/>
      <c r="AZ24" s="787"/>
      <c r="BA24" s="799" t="str">
        <f t="shared" si="30"/>
        <v/>
      </c>
      <c r="BB24" s="800" t="str">
        <f>IF(AK24="A",IF(AQ24,IF(AND(AW24&lt;&gt;"",N(AW24)&gt;0),IFERROR(IFERROR(_xlfn.XLOOKUP(AP24,BP10:BP57,BT10:BT57),IFERROR(_xlfn.XLOOKUP(AP24,BQ10:BQ57,BT10:BT57),_xlfn.XLOOKUP(AP24,BR10:BR57,BT10:BT57,""))),""),""),""),"")</f>
        <v/>
      </c>
      <c r="BC24" s="813" cm="1">
        <f t="array" ref="BC24">IF(NOT(AQ24),0,IF(OR(BA24="",N(BA24)&lt;=0.000000001),"",IF(OR(AU24="",N(AU24)&lt;=0.000000001),0,IF(ISNUMBER(BA24),IFERROR(_xlfn.LET(_xlpm.ai_test,TRIM(AP24),_xlpm.r,IFERROR(_xlfn.XLOOKUP(_xlpm.ai_test,BP16:BP63,ROW(BP16:BP63),0,1),IFERROR(_xlfn.XLOOKUP(_xlpm.ai_test,BQ16:BQ63,ROW(BQ16:BQ63),0,1),_xlfn.XLOOKUP(_xlpm.ai_test,BR16:BR63,ROW(BR16:BR63),0,1))),_xlpm.p,_xlpm.r-MIN(ROW(BP16:BP63))+1,_xlpm.f,INDEX(BS16:BS63,_xlpm.p),_xlpm.u,INDEX(BT16:BT63,_xlpm.p),_xlpm.s,INDEX(BV16:BV63,_xlpm.p),_xlpm.q,N(BA24)/_xlpm.f,IF(_xlpm.q&gt;=_xlpm.s,ROUND(_xlpm.q,1)&amp;" "&amp;_xlpm.ai_test&amp;" = "&amp;ROUND(_xlpm.q*_xlpm.f,1)&amp;" "&amp;_xlpm.u,ROUND(_xlpm.q,1)&amp;" "&amp;_xlpm.ai_test)),""),""))))</f>
        <v>0</v>
      </c>
      <c r="BD24" s="801"/>
      <c r="BE24" s="799" t="str">
        <f t="shared" si="31"/>
        <v/>
      </c>
      <c r="BF24" s="800" t="str">
        <f t="shared" si="32"/>
        <v/>
      </c>
      <c r="BG24" s="802">
        <f t="shared" si="33"/>
        <v>0</v>
      </c>
      <c r="BH24" s="803" t="str">
        <f t="shared" si="34"/>
        <v/>
      </c>
      <c r="BI24" s="792"/>
      <c r="BJ24" s="804">
        <f t="shared" si="35"/>
        <v>0</v>
      </c>
      <c r="BK24" s="794" t="str">
        <f t="shared" ref="BK24:BK87" si="39">IF(AK24="A",IF(IFERROR(SEARCH("Adresse PC",TRIM(W24)),0)&gt;0,"▼recette suivante ",IF(BE24&gt;0,AC24,"")),"")</f>
        <v/>
      </c>
      <c r="BL24" s="227" t="s">
        <v>21</v>
      </c>
      <c r="BM24" s="773">
        <f t="shared" si="36"/>
        <v>0</v>
      </c>
      <c r="BN24" s="774">
        <f t="shared" si="37"/>
        <v>0</v>
      </c>
      <c r="BO24" s="630"/>
      <c r="BP24" s="643" t="s">
        <v>0</v>
      </c>
      <c r="BQ24" s="643" t="s">
        <v>0</v>
      </c>
      <c r="BR24" s="643" t="s">
        <v>0</v>
      </c>
      <c r="BS24" s="767">
        <v>1</v>
      </c>
      <c r="BT24" s="805" t="s">
        <v>1621</v>
      </c>
      <c r="BU24" s="805" t="s">
        <v>1622</v>
      </c>
      <c r="BV24" s="757">
        <f t="shared" si="18"/>
        <v>1</v>
      </c>
      <c r="BW24" s="806">
        <v>1000</v>
      </c>
      <c r="BX24" s="630"/>
      <c r="BY24" s="630"/>
      <c r="BZ24" s="630"/>
      <c r="CA24" s="630"/>
      <c r="CB24" s="630"/>
      <c r="CC24" s="630"/>
      <c r="CD24" s="781" t="str">
        <f t="shared" si="15"/>
        <v>►</v>
      </c>
      <c r="CE24" s="638"/>
      <c r="CF24" s="638"/>
      <c r="CG24" s="638"/>
      <c r="CH24" s="638"/>
      <c r="CI24" s="638"/>
      <c r="CJ24" s="719"/>
      <c r="CK24" s="2311" t="s">
        <v>8981</v>
      </c>
      <c r="CL24" s="2307"/>
      <c r="CM24" s="350"/>
      <c r="CN24" s="350"/>
      <c r="CO24" s="350"/>
      <c r="CP24" s="350"/>
      <c r="CQ24" s="780"/>
      <c r="CS24" s="2311" t="s">
        <v>8997</v>
      </c>
      <c r="CT24" s="2307"/>
      <c r="CU24" s="350"/>
      <c r="CV24" s="350"/>
      <c r="CW24" s="350"/>
      <c r="CX24" s="350"/>
      <c r="CY24" s="780"/>
      <c r="DA24" s="2311" t="s">
        <v>8990</v>
      </c>
      <c r="DB24" s="2307"/>
      <c r="DC24" s="350"/>
      <c r="DD24" s="350"/>
      <c r="DE24" s="350"/>
      <c r="DF24" s="350"/>
      <c r="DG24" s="780"/>
      <c r="DI24" s="3">
        <v>1</v>
      </c>
      <c r="DK24" s="198" t="s">
        <v>14243</v>
      </c>
    </row>
    <row r="25" spans="1:115" s="627" customFormat="1" ht="21" customHeight="1">
      <c r="A25" s="701" t="s">
        <v>21</v>
      </c>
      <c r="B25" s="2265" t="str" cm="1">
        <f t="array" ref="B25">SUMPRODUCT(--(D25:J25&lt;&gt;""), LEN(TRIM(SUBSTITUTE(D25:J25, CHAR(160), "")))) &amp; " Car."</f>
        <v>0 Car.</v>
      </c>
      <c r="C25" s="1376" t="str">
        <f>IF(ISBLANK(D25),"",LARGE(C13:C24,1)+1)</f>
        <v/>
      </c>
      <c r="D25" s="1833"/>
      <c r="E25" s="1810"/>
      <c r="F25" s="1810"/>
      <c r="G25" s="1810"/>
      <c r="H25" s="1810"/>
      <c r="I25" s="1810"/>
      <c r="J25" s="1810"/>
      <c r="K25" s="1810"/>
      <c r="L25" s="1811"/>
      <c r="M25" s="9"/>
      <c r="N25" s="103" t="str">
        <f t="shared" si="16"/>
        <v>►</v>
      </c>
      <c r="O25" s="6843" t="s">
        <v>8244</v>
      </c>
      <c r="P25" s="9"/>
      <c r="Q25" s="25" t="s">
        <v>15</v>
      </c>
      <c r="R25" s="2237"/>
      <c r="S25" s="2237"/>
      <c r="T25" s="2237"/>
      <c r="U25" s="2237"/>
      <c r="V25" s="2240"/>
      <c r="W25" s="2241"/>
      <c r="X25" s="2239"/>
      <c r="Y25" s="2242"/>
      <c r="Z25" s="2250"/>
      <c r="AA25" s="2244"/>
      <c r="AB25" s="2244"/>
      <c r="AC25" s="2245"/>
      <c r="AD25" s="2246"/>
      <c r="AE25" s="2247"/>
      <c r="AF25" s="2248"/>
      <c r="AG25" s="2249"/>
      <c r="AH25" s="2249"/>
      <c r="AI25" s="2238"/>
      <c r="AJ25" s="2264"/>
      <c r="AK25" s="6120" t="str">
        <f t="shared" si="19"/>
        <v>►</v>
      </c>
      <c r="AL25" s="781" t="str">
        <f t="shared" si="21"/>
        <v>►</v>
      </c>
      <c r="AM25" s="5499" t="str">
        <f t="shared" si="22"/>
        <v/>
      </c>
      <c r="AN25" s="783" t="str">
        <f t="shared" si="38"/>
        <v/>
      </c>
      <c r="AO25" s="782" t="str">
        <f t="shared" si="24"/>
        <v/>
      </c>
      <c r="AP25" s="783" t="str">
        <f t="shared" si="25"/>
        <v/>
      </c>
      <c r="AQ25" s="2083" t="b">
        <f>AND(Q25="A",COUNTIF(BP16:BR63,TRIM(Z25))&gt;0)</f>
        <v>0</v>
      </c>
      <c r="AR25" s="797" t="str">
        <f>IF(AL25&lt;&gt;"A","",IFERROR(IFERROR(_xlfn.XLOOKUP(TRIM(SUBSTITUTE(Z25,CHAR(160)," ")),BP16:BP63,BS16:BS63),IFERROR(_xlfn.XLOOKUP(TRIM(SUBSTITUTE(Z25,CHAR(160)," ")),BQ16:BQ63,BS16:BS63),_xlfn.XLOOKUP(TRIM(SUBSTITUTE(Z25,CHAR(160)," ")),BR16:BR63,BS16:BS63)))*Y25*IF(ISBLANK(V25),1,V25),0))</f>
        <v/>
      </c>
      <c r="AS25" s="784" t="str">
        <f t="shared" si="26"/>
        <v/>
      </c>
      <c r="AT25" s="1315" t="str">
        <f t="shared" si="27"/>
        <v/>
      </c>
      <c r="AU25" s="785">
        <f t="shared" si="28"/>
        <v>0</v>
      </c>
      <c r="AV25" s="785">
        <f t="shared" si="29"/>
        <v>0</v>
      </c>
      <c r="AW25" s="786">
        <f>IF(AK25="A",AY10,0)</f>
        <v>0</v>
      </c>
      <c r="AX25" s="5495" t="str">
        <f>IF(IFERROR(SEARCH("Adresse PC",TRIM(W25)),0)&gt;0,"▼ receta siguiente",IF(AK25="A",IF(AZ10&lt;&gt;"",AZ10&amp;" - ou.or.o ❾ + or - &gt;",""),""))</f>
        <v/>
      </c>
      <c r="AY25" s="787"/>
      <c r="AZ25" s="787"/>
      <c r="BA25" s="788" t="str">
        <f t="shared" si="30"/>
        <v/>
      </c>
      <c r="BB25" s="789" t="str">
        <f>IF(AK25="A",IF(AQ25,IF(AND(AW25&lt;&gt;"",N(AW25)&gt;0),IFERROR(IFERROR(_xlfn.XLOOKUP(AP25,BP10:BP57,BT10:BT57),IFERROR(_xlfn.XLOOKUP(AP25,BQ10:BQ57,BT10:BT57),_xlfn.XLOOKUP(AP25,BR10:BR57,BT10:BT57,""))),""),""),""),"")</f>
        <v/>
      </c>
      <c r="BC25" s="811" cm="1">
        <f t="array" ref="BC25">IF(NOT(AQ25),0,IF(OR(BA25="",N(BA25)&lt;=0.000000001),"",IF(OR(AU25="",N(AU25)&lt;=0.000000001),0,IF(ISNUMBER(BA25),IFERROR(_xlfn.LET(_xlpm.ai_test,TRIM(AP25),_xlpm.r,IFERROR(_xlfn.XLOOKUP(_xlpm.ai_test,BP16:BP63,ROW(BP16:BP63),0,1),IFERROR(_xlfn.XLOOKUP(_xlpm.ai_test,BQ16:BQ63,ROW(BQ16:BQ63),0,1),_xlfn.XLOOKUP(_xlpm.ai_test,BR16:BR63,ROW(BR16:BR63),0,1))),_xlpm.p,_xlpm.r-MIN(ROW(BP16:BP63))+1,_xlpm.f,INDEX(BS16:BS63,_xlpm.p),_xlpm.u,INDEX(BT16:BT63,_xlpm.p),_xlpm.s,INDEX(BV16:BV63,_xlpm.p),_xlpm.q,N(BA25)/_xlpm.f,IF(_xlpm.q&gt;=_xlpm.s,ROUND(_xlpm.q,1)&amp;" "&amp;_xlpm.ai_test&amp;" = "&amp;ROUND(_xlpm.q*_xlpm.f,1)&amp;" "&amp;_xlpm.u,ROUND(_xlpm.q,1)&amp;" "&amp;_xlpm.ai_test)),""),""))))</f>
        <v>0</v>
      </c>
      <c r="BD25" s="801"/>
      <c r="BE25" s="788" t="str">
        <f t="shared" si="31"/>
        <v/>
      </c>
      <c r="BF25" s="789" t="str">
        <f t="shared" si="32"/>
        <v/>
      </c>
      <c r="BG25" s="790">
        <f t="shared" si="33"/>
        <v>0</v>
      </c>
      <c r="BH25" s="791" t="str">
        <f t="shared" si="34"/>
        <v/>
      </c>
      <c r="BI25" s="792"/>
      <c r="BJ25" s="793">
        <f t="shared" si="35"/>
        <v>0</v>
      </c>
      <c r="BK25" s="794" t="str">
        <f t="shared" si="39"/>
        <v/>
      </c>
      <c r="BL25" s="227" t="s">
        <v>21</v>
      </c>
      <c r="BM25" s="773">
        <f t="shared" si="36"/>
        <v>0</v>
      </c>
      <c r="BN25" s="774">
        <f t="shared" si="37"/>
        <v>0</v>
      </c>
      <c r="BO25" s="630"/>
      <c r="BP25" s="93" t="s">
        <v>97</v>
      </c>
      <c r="BQ25" s="93" t="s">
        <v>97</v>
      </c>
      <c r="BR25" s="93" t="s">
        <v>97</v>
      </c>
      <c r="BS25" s="767">
        <v>0.1</v>
      </c>
      <c r="BT25" s="805" t="s">
        <v>1621</v>
      </c>
      <c r="BU25" s="805" t="s">
        <v>1622</v>
      </c>
      <c r="BV25" s="757">
        <f t="shared" si="18"/>
        <v>10</v>
      </c>
      <c r="BW25" s="806">
        <v>100</v>
      </c>
      <c r="BX25" s="630"/>
      <c r="BY25" s="630"/>
      <c r="BZ25" s="630"/>
      <c r="CA25" s="630"/>
      <c r="CB25" s="630"/>
      <c r="CC25" s="630"/>
      <c r="CD25" s="781" t="str">
        <f t="shared" si="15"/>
        <v>►</v>
      </c>
      <c r="CE25" s="638"/>
      <c r="CF25" s="638"/>
      <c r="CG25" s="638"/>
      <c r="CH25" s="638"/>
      <c r="CI25" s="638"/>
      <c r="CJ25" s="719"/>
      <c r="CK25" s="795"/>
      <c r="CL25" s="350"/>
      <c r="CM25" s="350"/>
      <c r="CN25" s="350"/>
      <c r="CO25" s="350"/>
      <c r="CP25" s="350"/>
      <c r="CQ25" s="780"/>
      <c r="CS25" s="795"/>
      <c r="CT25" s="350"/>
      <c r="CU25" s="350"/>
      <c r="CV25" s="350"/>
      <c r="CW25" s="350"/>
      <c r="CX25" s="350"/>
      <c r="CY25" s="780"/>
      <c r="DA25" s="795"/>
      <c r="DB25" s="350"/>
      <c r="DC25" s="350"/>
      <c r="DD25" s="350"/>
      <c r="DE25" s="350"/>
      <c r="DF25" s="350"/>
      <c r="DG25" s="780"/>
      <c r="DI25" s="3">
        <v>1</v>
      </c>
      <c r="DK25" s="198" t="s">
        <v>14231</v>
      </c>
    </row>
    <row r="26" spans="1:115" s="627" customFormat="1" ht="21" customHeight="1">
      <c r="A26" s="701" t="s">
        <v>21</v>
      </c>
      <c r="B26" s="2265" t="str" cm="1">
        <f t="array" ref="B26">SUMPRODUCT(--(D26:J26&lt;&gt;""), LEN(TRIM(SUBSTITUTE(D26:J26, CHAR(160), "")))) &amp; " Car."</f>
        <v>0 Car.</v>
      </c>
      <c r="C26" s="1376" t="str">
        <f>IF(ISBLANK(D26),"",LARGE(C13:C25,1)+1)</f>
        <v/>
      </c>
      <c r="D26" s="1833"/>
      <c r="E26" s="1810"/>
      <c r="F26" s="1810"/>
      <c r="G26" s="1810"/>
      <c r="H26" s="1810"/>
      <c r="I26" s="1810"/>
      <c r="J26" s="1810"/>
      <c r="K26" s="1810"/>
      <c r="L26" s="1811"/>
      <c r="M26" s="9"/>
      <c r="N26" s="103" t="str">
        <f t="shared" si="16"/>
        <v>►</v>
      </c>
      <c r="O26" s="6843"/>
      <c r="P26" s="9"/>
      <c r="Q26" s="25" t="s">
        <v>15</v>
      </c>
      <c r="R26" s="2237"/>
      <c r="S26" s="2237"/>
      <c r="T26" s="2237"/>
      <c r="U26" s="2237"/>
      <c r="V26" s="2240"/>
      <c r="W26" s="2241"/>
      <c r="X26" s="2239"/>
      <c r="Y26" s="2242"/>
      <c r="Z26" s="2250"/>
      <c r="AA26" s="2244"/>
      <c r="AB26" s="2244"/>
      <c r="AC26" s="2245"/>
      <c r="AD26" s="2246"/>
      <c r="AE26" s="2247"/>
      <c r="AF26" s="2248"/>
      <c r="AG26" s="2249"/>
      <c r="AH26" s="2249"/>
      <c r="AI26" s="2238"/>
      <c r="AJ26" s="2264"/>
      <c r="AK26" s="6120" t="str">
        <f t="shared" si="19"/>
        <v>►</v>
      </c>
      <c r="AL26" s="781" t="str">
        <f t="shared" si="21"/>
        <v>►</v>
      </c>
      <c r="AM26" s="5498" t="str">
        <f t="shared" si="22"/>
        <v/>
      </c>
      <c r="AN26" s="783" t="str">
        <f t="shared" si="38"/>
        <v/>
      </c>
      <c r="AO26" s="782" t="str">
        <f t="shared" si="24"/>
        <v/>
      </c>
      <c r="AP26" s="783" t="str">
        <f t="shared" si="25"/>
        <v/>
      </c>
      <c r="AQ26" s="2083" t="b">
        <f>AND(Q26="A",COUNTIF(BP16:BR63,TRIM(Z26))&gt;0)</f>
        <v>0</v>
      </c>
      <c r="AR26" s="797" t="str">
        <f>IF(AL26&lt;&gt;"A","",IFERROR(IFERROR(_xlfn.XLOOKUP(TRIM(SUBSTITUTE(Z26,CHAR(160)," ")),BP16:BP63,BS16:BS63),IFERROR(_xlfn.XLOOKUP(TRIM(SUBSTITUTE(Z26,CHAR(160)," ")),BQ16:BQ63,BS16:BS63),_xlfn.XLOOKUP(TRIM(SUBSTITUTE(Z26,CHAR(160)," ")),BR16:BR63,BS16:BS63)))*Y26*IF(ISBLANK(V26),1,V26),0))</f>
        <v/>
      </c>
      <c r="AS26" s="784" t="str">
        <f t="shared" si="26"/>
        <v/>
      </c>
      <c r="AT26" s="1315" t="str">
        <f t="shared" si="27"/>
        <v/>
      </c>
      <c r="AU26" s="785">
        <f t="shared" si="28"/>
        <v>0</v>
      </c>
      <c r="AV26" s="785">
        <f t="shared" si="29"/>
        <v>0</v>
      </c>
      <c r="AW26" s="798">
        <f>IF(AK26="A",AY10,0)</f>
        <v>0</v>
      </c>
      <c r="AX26" s="5496" t="str">
        <f>IF(IFERROR(SEARCH("Adresse PC",TRIM(W26)),0)&gt;0,"▼ receta siguiente",IF(AK26="A",IF(AZ10&lt;&gt;"",AZ10&amp;" - ou.or.o ❾ + or - &gt;",""),""))</f>
        <v/>
      </c>
      <c r="AY26" s="787"/>
      <c r="AZ26" s="787"/>
      <c r="BA26" s="799" t="str">
        <f t="shared" si="30"/>
        <v/>
      </c>
      <c r="BB26" s="800" t="str">
        <f>IF(AK26="A",IF(AQ26,IF(AND(AW26&lt;&gt;"",N(AW26)&gt;0),IFERROR(IFERROR(_xlfn.XLOOKUP(AP26,BP10:BP57,BT10:BT57),IFERROR(_xlfn.XLOOKUP(AP26,BQ10:BQ57,BT10:BT57),_xlfn.XLOOKUP(AP26,BR10:BR57,BT10:BT57,""))),""),""),""),"")</f>
        <v/>
      </c>
      <c r="BC26" s="813" cm="1">
        <f t="array" ref="BC26">IF(NOT(AQ26),0,IF(OR(BA26="",N(BA26)&lt;=0.000000001),"",IF(OR(AU26="",N(AU26)&lt;=0.000000001),0,IF(ISNUMBER(BA26),IFERROR(_xlfn.LET(_xlpm.ai_test,TRIM(AP26),_xlpm.r,IFERROR(_xlfn.XLOOKUP(_xlpm.ai_test,BP16:BP63,ROW(BP16:BP63),0,1),IFERROR(_xlfn.XLOOKUP(_xlpm.ai_test,BQ16:BQ63,ROW(BQ16:BQ63),0,1),_xlfn.XLOOKUP(_xlpm.ai_test,BR16:BR63,ROW(BR16:BR63),0,1))),_xlpm.p,_xlpm.r-MIN(ROW(BP16:BP63))+1,_xlpm.f,INDEX(BS16:BS63,_xlpm.p),_xlpm.u,INDEX(BT16:BT63,_xlpm.p),_xlpm.s,INDEX(BV16:BV63,_xlpm.p),_xlpm.q,N(BA26)/_xlpm.f,IF(_xlpm.q&gt;=_xlpm.s,ROUND(_xlpm.q,1)&amp;" "&amp;_xlpm.ai_test&amp;" = "&amp;ROUND(_xlpm.q*_xlpm.f,1)&amp;" "&amp;_xlpm.u,ROUND(_xlpm.q,1)&amp;" "&amp;_xlpm.ai_test)),""),""))))</f>
        <v>0</v>
      </c>
      <c r="BD26" s="801"/>
      <c r="BE26" s="799" t="str">
        <f t="shared" si="31"/>
        <v/>
      </c>
      <c r="BF26" s="800" t="str">
        <f t="shared" si="32"/>
        <v/>
      </c>
      <c r="BG26" s="802">
        <f t="shared" si="33"/>
        <v>0</v>
      </c>
      <c r="BH26" s="803" t="str">
        <f t="shared" si="34"/>
        <v/>
      </c>
      <c r="BI26" s="792"/>
      <c r="BJ26" s="804">
        <f t="shared" si="35"/>
        <v>0</v>
      </c>
      <c r="BK26" s="794" t="str">
        <f t="shared" si="39"/>
        <v/>
      </c>
      <c r="BL26" s="227" t="s">
        <v>21</v>
      </c>
      <c r="BM26" s="773">
        <f t="shared" si="36"/>
        <v>0</v>
      </c>
      <c r="BN26" s="774">
        <f t="shared" si="37"/>
        <v>0</v>
      </c>
      <c r="BO26" s="630"/>
      <c r="BP26" s="93" t="s">
        <v>144</v>
      </c>
      <c r="BQ26" s="93" t="s">
        <v>144</v>
      </c>
      <c r="BR26" s="93" t="s">
        <v>144</v>
      </c>
      <c r="BS26" s="767">
        <v>0.01</v>
      </c>
      <c r="BT26" s="805" t="s">
        <v>1621</v>
      </c>
      <c r="BU26" s="805" t="s">
        <v>1622</v>
      </c>
      <c r="BV26" s="641">
        <v>100</v>
      </c>
      <c r="BW26" s="806">
        <v>10</v>
      </c>
      <c r="BX26" s="630"/>
      <c r="BZ26" s="630"/>
      <c r="CA26" s="630"/>
      <c r="CB26" s="630"/>
      <c r="CC26" s="630"/>
      <c r="CD26" s="781" t="str">
        <f t="shared" si="15"/>
        <v>►</v>
      </c>
      <c r="CE26" s="638"/>
      <c r="CF26" s="638"/>
      <c r="CG26" s="638"/>
      <c r="CH26" s="638"/>
      <c r="CI26" s="638"/>
      <c r="CJ26" s="719"/>
      <c r="CK26" s="639" t="s">
        <v>1564</v>
      </c>
      <c r="CL26" s="754"/>
      <c r="CM26" s="754"/>
      <c r="CN26" s="754"/>
      <c r="CO26" s="754"/>
      <c r="CP26" s="754"/>
      <c r="CQ26" s="755"/>
      <c r="CR26" s="227"/>
      <c r="CS26" s="639" t="s">
        <v>1565</v>
      </c>
      <c r="CT26" s="754"/>
      <c r="CU26" s="754"/>
      <c r="CV26" s="754"/>
      <c r="CW26" s="754"/>
      <c r="CX26" s="754"/>
      <c r="CY26" s="755"/>
      <c r="CZ26" s="227"/>
      <c r="DA26" s="639" t="s">
        <v>1566</v>
      </c>
      <c r="DB26" s="754"/>
      <c r="DC26" s="754"/>
      <c r="DD26" s="754"/>
      <c r="DE26" s="754"/>
      <c r="DF26" s="754"/>
      <c r="DG26" s="755"/>
      <c r="DI26" s="3">
        <v>1</v>
      </c>
      <c r="DK26" s="198"/>
    </row>
    <row r="27" spans="1:115" s="627" customFormat="1" ht="21" customHeight="1">
      <c r="A27" s="701" t="s">
        <v>21</v>
      </c>
      <c r="B27" s="2265" t="str" cm="1">
        <f t="array" ref="B27">SUMPRODUCT(--(D27:J27&lt;&gt;""), LEN(TRIM(SUBSTITUTE(D27:J27, CHAR(160), "")))) &amp; " Car."</f>
        <v>0 Car.</v>
      </c>
      <c r="C27" s="1376" t="str">
        <f>IF(ISBLANK(D27),"",LARGE(C13:C26,1)+1)</f>
        <v/>
      </c>
      <c r="D27" s="1833"/>
      <c r="E27" s="1810"/>
      <c r="F27" s="1810"/>
      <c r="G27" s="1810"/>
      <c r="H27" s="1810"/>
      <c r="I27" s="1810"/>
      <c r="J27" s="1810"/>
      <c r="K27" s="1810"/>
      <c r="L27" s="1811"/>
      <c r="M27" s="9"/>
      <c r="N27" s="103" t="str">
        <f t="shared" si="16"/>
        <v>►</v>
      </c>
      <c r="O27" s="6843"/>
      <c r="P27" s="9"/>
      <c r="Q27" s="25" t="s">
        <v>15</v>
      </c>
      <c r="R27" s="2237"/>
      <c r="S27" s="2237"/>
      <c r="T27" s="2237"/>
      <c r="U27" s="2237"/>
      <c r="V27" s="2240"/>
      <c r="W27" s="2241"/>
      <c r="X27" s="2239"/>
      <c r="Y27" s="2242"/>
      <c r="Z27" s="2250"/>
      <c r="AA27" s="2244"/>
      <c r="AB27" s="2244"/>
      <c r="AC27" s="2245"/>
      <c r="AD27" s="2246"/>
      <c r="AE27" s="2247"/>
      <c r="AF27" s="2248"/>
      <c r="AG27" s="2249"/>
      <c r="AH27" s="2249"/>
      <c r="AI27" s="2238"/>
      <c r="AJ27" s="2264"/>
      <c r="AK27" s="6120" t="str">
        <f t="shared" si="19"/>
        <v>►</v>
      </c>
      <c r="AL27" s="781" t="str">
        <f t="shared" si="21"/>
        <v>►</v>
      </c>
      <c r="AM27" s="5499" t="str">
        <f t="shared" si="22"/>
        <v/>
      </c>
      <c r="AN27" s="783" t="str">
        <f t="shared" si="38"/>
        <v/>
      </c>
      <c r="AO27" s="782" t="str">
        <f t="shared" si="24"/>
        <v/>
      </c>
      <c r="AP27" s="783" t="str">
        <f t="shared" si="25"/>
        <v/>
      </c>
      <c r="AQ27" s="2083" t="b">
        <f>AND(Q27="A",COUNTIF(BP16:BR63,TRIM(Z27))&gt;0)</f>
        <v>0</v>
      </c>
      <c r="AR27" s="797" t="str">
        <f>IF(AL27&lt;&gt;"A","",IFERROR(IFERROR(_xlfn.XLOOKUP(TRIM(SUBSTITUTE(Z27,CHAR(160)," ")),BP16:BP63,BS16:BS63),IFERROR(_xlfn.XLOOKUP(TRIM(SUBSTITUTE(Z27,CHAR(160)," ")),BQ16:BQ63,BS16:BS63),_xlfn.XLOOKUP(TRIM(SUBSTITUTE(Z27,CHAR(160)," ")),BR16:BR63,BS16:BS63)))*Y27*IF(ISBLANK(V27),1,V27),0))</f>
        <v/>
      </c>
      <c r="AS27" s="784" t="str">
        <f t="shared" si="26"/>
        <v/>
      </c>
      <c r="AT27" s="1315" t="str">
        <f t="shared" si="27"/>
        <v/>
      </c>
      <c r="AU27" s="785">
        <f t="shared" si="28"/>
        <v>0</v>
      </c>
      <c r="AV27" s="785">
        <f t="shared" si="29"/>
        <v>0</v>
      </c>
      <c r="AW27" s="786">
        <f>IF(AK27="A",AY10,0)</f>
        <v>0</v>
      </c>
      <c r="AX27" s="5495" t="str">
        <f>IF(IFERROR(SEARCH("Adresse PC",TRIM(W27)),0)&gt;0,"▼ receta siguiente",IF(AK27="A",IF(AZ10&lt;&gt;"",AZ10&amp;" - ou.or.o ❾ + or - &gt;",""),""))</f>
        <v/>
      </c>
      <c r="AY27" s="787"/>
      <c r="AZ27" s="787"/>
      <c r="BA27" s="788" t="str">
        <f t="shared" si="30"/>
        <v/>
      </c>
      <c r="BB27" s="789" t="str">
        <f>IF(AK27="A",IF(AQ27,IF(AND(AW27&lt;&gt;"",N(AW27)&gt;0),IFERROR(IFERROR(_xlfn.XLOOKUP(AP27,BP10:BP57,BT10:BT57),IFERROR(_xlfn.XLOOKUP(AP27,BQ10:BQ57,BT10:BT57),_xlfn.XLOOKUP(AP27,BR10:BR57,BT10:BT57,""))),""),""),""),"")</f>
        <v/>
      </c>
      <c r="BC27" s="811" cm="1">
        <f t="array" ref="BC27">IF(NOT(AQ27),0,IF(OR(BA27="",N(BA27)&lt;=0.000000001),"",IF(OR(AU27="",N(AU27)&lt;=0.000000001),0,IF(ISNUMBER(BA27),IFERROR(_xlfn.LET(_xlpm.ai_test,TRIM(AP27),_xlpm.r,IFERROR(_xlfn.XLOOKUP(_xlpm.ai_test,BP16:BP63,ROW(BP16:BP63),0,1),IFERROR(_xlfn.XLOOKUP(_xlpm.ai_test,BQ16:BQ63,ROW(BQ16:BQ63),0,1),_xlfn.XLOOKUP(_xlpm.ai_test,BR16:BR63,ROW(BR16:BR63),0,1))),_xlpm.p,_xlpm.r-MIN(ROW(BP16:BP63))+1,_xlpm.f,INDEX(BS16:BS63,_xlpm.p),_xlpm.u,INDEX(BT16:BT63,_xlpm.p),_xlpm.s,INDEX(BV16:BV63,_xlpm.p),_xlpm.q,N(BA27)/_xlpm.f,IF(_xlpm.q&gt;=_xlpm.s,ROUND(_xlpm.q,1)&amp;" "&amp;_xlpm.ai_test&amp;" = "&amp;ROUND(_xlpm.q*_xlpm.f,1)&amp;" "&amp;_xlpm.u,ROUND(_xlpm.q,1)&amp;" "&amp;_xlpm.ai_test)),""),""))))</f>
        <v>0</v>
      </c>
      <c r="BD27" s="801"/>
      <c r="BE27" s="788" t="str">
        <f t="shared" si="31"/>
        <v/>
      </c>
      <c r="BF27" s="789" t="str">
        <f t="shared" si="32"/>
        <v/>
      </c>
      <c r="BG27" s="790">
        <f t="shared" si="33"/>
        <v>0</v>
      </c>
      <c r="BH27" s="791" t="str">
        <f t="shared" si="34"/>
        <v/>
      </c>
      <c r="BI27" s="792"/>
      <c r="BJ27" s="793">
        <f t="shared" si="35"/>
        <v>0</v>
      </c>
      <c r="BK27" s="794" t="str">
        <f t="shared" si="39"/>
        <v/>
      </c>
      <c r="BL27" s="227" t="s">
        <v>21</v>
      </c>
      <c r="BM27" s="773">
        <f t="shared" si="36"/>
        <v>0</v>
      </c>
      <c r="BN27" s="774">
        <f t="shared" si="37"/>
        <v>0</v>
      </c>
      <c r="BO27" s="630"/>
      <c r="BP27" s="643" t="s">
        <v>145</v>
      </c>
      <c r="BQ27" s="643" t="s">
        <v>145</v>
      </c>
      <c r="BR27" s="643" t="s">
        <v>145</v>
      </c>
      <c r="BS27" s="767">
        <v>1E-3</v>
      </c>
      <c r="BT27" s="805" t="s">
        <v>1621</v>
      </c>
      <c r="BU27" s="805" t="s">
        <v>1622</v>
      </c>
      <c r="BV27" s="757">
        <f t="shared" ref="BV27:BV63" si="40">ROUND(1/BS27,0)</f>
        <v>1000</v>
      </c>
      <c r="BW27" s="806">
        <v>1</v>
      </c>
      <c r="BX27" s="630"/>
      <c r="BZ27" s="630"/>
      <c r="CA27" s="630"/>
      <c r="CB27" s="630"/>
      <c r="CC27" s="630"/>
      <c r="CD27" s="781" t="str">
        <f t="shared" si="15"/>
        <v>►</v>
      </c>
      <c r="CE27" s="638"/>
      <c r="CF27" s="638"/>
      <c r="CG27" s="638"/>
      <c r="CH27" s="638"/>
      <c r="CI27" s="638"/>
      <c r="CJ27" s="719"/>
      <c r="CK27" s="639"/>
      <c r="CL27" s="754"/>
      <c r="CM27" s="754"/>
      <c r="CN27" s="754"/>
      <c r="CO27" s="754"/>
      <c r="CP27" s="754"/>
      <c r="CQ27" s="755"/>
      <c r="CR27" s="227"/>
      <c r="CS27" s="639"/>
      <c r="CT27" s="754"/>
      <c r="CU27" s="754"/>
      <c r="CV27" s="754"/>
      <c r="CW27" s="754"/>
      <c r="CX27" s="754"/>
      <c r="CY27" s="755"/>
      <c r="CZ27" s="227"/>
      <c r="DA27" s="639"/>
      <c r="DB27" s="754"/>
      <c r="DC27" s="754"/>
      <c r="DD27" s="754"/>
      <c r="DE27" s="754"/>
      <c r="DF27" s="754"/>
      <c r="DG27" s="755"/>
      <c r="DI27" s="3">
        <v>1</v>
      </c>
      <c r="DK27" s="198" t="s">
        <v>14234</v>
      </c>
    </row>
    <row r="28" spans="1:115" s="627" customFormat="1" ht="21" customHeight="1">
      <c r="A28" s="701" t="s">
        <v>21</v>
      </c>
      <c r="B28" s="2265" t="str" cm="1">
        <f t="array" ref="B28">SUMPRODUCT(--(D28:J28&lt;&gt;""), LEN(TRIM(SUBSTITUTE(D28:J28, CHAR(160), "")))) &amp; " Car."</f>
        <v>0 Car.</v>
      </c>
      <c r="C28" s="1376" t="str">
        <f>IF(ISBLANK(D28),"",LARGE(C13:C27,1)+1)</f>
        <v/>
      </c>
      <c r="D28" s="1833"/>
      <c r="E28" s="1810"/>
      <c r="F28" s="1810"/>
      <c r="G28" s="1810"/>
      <c r="H28" s="1810"/>
      <c r="I28" s="1810"/>
      <c r="J28" s="1810"/>
      <c r="K28" s="1810"/>
      <c r="L28" s="1811"/>
      <c r="M28" s="9"/>
      <c r="N28" s="103" t="str">
        <f t="shared" si="16"/>
        <v>►</v>
      </c>
      <c r="O28" s="1613"/>
      <c r="P28" s="9"/>
      <c r="Q28" s="25" t="s">
        <v>15</v>
      </c>
      <c r="R28" s="2237"/>
      <c r="S28" s="2237"/>
      <c r="T28" s="2237"/>
      <c r="U28" s="2237"/>
      <c r="V28" s="2240"/>
      <c r="W28" s="2241"/>
      <c r="X28" s="2239"/>
      <c r="Y28" s="2242"/>
      <c r="Z28" s="2250"/>
      <c r="AA28" s="2244"/>
      <c r="AB28" s="2244"/>
      <c r="AC28" s="2245"/>
      <c r="AD28" s="2246"/>
      <c r="AE28" s="2247"/>
      <c r="AF28" s="2248"/>
      <c r="AG28" s="2249"/>
      <c r="AH28" s="2249"/>
      <c r="AI28" s="2238"/>
      <c r="AJ28" s="2264"/>
      <c r="AK28" s="6120" t="str">
        <f t="shared" si="19"/>
        <v>►</v>
      </c>
      <c r="AL28" s="781" t="str">
        <f t="shared" si="21"/>
        <v>►</v>
      </c>
      <c r="AM28" s="5498" t="str">
        <f t="shared" si="22"/>
        <v/>
      </c>
      <c r="AN28" s="783" t="str">
        <f t="shared" si="38"/>
        <v/>
      </c>
      <c r="AO28" s="782" t="str">
        <f t="shared" si="24"/>
        <v/>
      </c>
      <c r="AP28" s="783" t="str">
        <f t="shared" si="25"/>
        <v/>
      </c>
      <c r="AQ28" s="2083" t="b">
        <f>AND(Q28="A",COUNTIF(BP16:BR63,TRIM(Z28))&gt;0)</f>
        <v>0</v>
      </c>
      <c r="AR28" s="797" t="str">
        <f>IF(AL28&lt;&gt;"A","",IFERROR(IFERROR(_xlfn.XLOOKUP(TRIM(SUBSTITUTE(Z28,CHAR(160)," ")),BP16:BP63,BS16:BS63),IFERROR(_xlfn.XLOOKUP(TRIM(SUBSTITUTE(Z28,CHAR(160)," ")),BQ16:BQ63,BS16:BS63),_xlfn.XLOOKUP(TRIM(SUBSTITUTE(Z28,CHAR(160)," ")),BR16:BR63,BS16:BS63)))*Y28*IF(ISBLANK(V28),1,V28),0))</f>
        <v/>
      </c>
      <c r="AS28" s="784" t="str">
        <f t="shared" si="26"/>
        <v/>
      </c>
      <c r="AT28" s="1315" t="str">
        <f t="shared" si="27"/>
        <v/>
      </c>
      <c r="AU28" s="785">
        <f t="shared" si="28"/>
        <v>0</v>
      </c>
      <c r="AV28" s="785">
        <f t="shared" si="29"/>
        <v>0</v>
      </c>
      <c r="AW28" s="798">
        <f>IF(AK28="A",AY10,0)</f>
        <v>0</v>
      </c>
      <c r="AX28" s="5496" t="str">
        <f>IF(IFERROR(SEARCH("Adresse PC",TRIM(W28)),0)&gt;0,"▼ receta siguiente",IF(AK28="A",IF(AZ10&lt;&gt;"",AZ10&amp;" - ou.or.o ❾ + or - &gt;",""),""))</f>
        <v/>
      </c>
      <c r="AY28" s="787"/>
      <c r="AZ28" s="787"/>
      <c r="BA28" s="799" t="str">
        <f t="shared" si="30"/>
        <v/>
      </c>
      <c r="BB28" s="800" t="str">
        <f>IF(AK28="A",IF(AQ28,IF(AND(AW28&lt;&gt;"",N(AW28)&gt;0),IFERROR(IFERROR(_xlfn.XLOOKUP(AP28,BP10:BP57,BT10:BT57),IFERROR(_xlfn.XLOOKUP(AP28,BQ10:BQ57,BT10:BT57),_xlfn.XLOOKUP(AP28,BR10:BR57,BT10:BT57,""))),""),""),""),"")</f>
        <v/>
      </c>
      <c r="BC28" s="813" cm="1">
        <f t="array" ref="BC28">IF(NOT(AQ28),0,IF(OR(BA28="",N(BA28)&lt;=0.000000001),"",IF(OR(AU28="",N(AU28)&lt;=0.000000001),0,IF(ISNUMBER(BA28),IFERROR(_xlfn.LET(_xlpm.ai_test,TRIM(AP28),_xlpm.r,IFERROR(_xlfn.XLOOKUP(_xlpm.ai_test,BP16:BP63,ROW(BP16:BP63),0,1),IFERROR(_xlfn.XLOOKUP(_xlpm.ai_test,BQ16:BQ63,ROW(BQ16:BQ63),0,1),_xlfn.XLOOKUP(_xlpm.ai_test,BR16:BR63,ROW(BR16:BR63),0,1))),_xlpm.p,_xlpm.r-MIN(ROW(BP16:BP63))+1,_xlpm.f,INDEX(BS16:BS63,_xlpm.p),_xlpm.u,INDEX(BT16:BT63,_xlpm.p),_xlpm.s,INDEX(BV16:BV63,_xlpm.p),_xlpm.q,N(BA28)/_xlpm.f,IF(_xlpm.q&gt;=_xlpm.s,ROUND(_xlpm.q,1)&amp;" "&amp;_xlpm.ai_test&amp;" = "&amp;ROUND(_xlpm.q*_xlpm.f,1)&amp;" "&amp;_xlpm.u,ROUND(_xlpm.q,1)&amp;" "&amp;_xlpm.ai_test)),""),""))))</f>
        <v>0</v>
      </c>
      <c r="BD28" s="801"/>
      <c r="BE28" s="799" t="str">
        <f t="shared" si="31"/>
        <v/>
      </c>
      <c r="BF28" s="800" t="str">
        <f t="shared" si="32"/>
        <v/>
      </c>
      <c r="BG28" s="802">
        <f t="shared" si="33"/>
        <v>0</v>
      </c>
      <c r="BH28" s="803" t="str">
        <f t="shared" si="34"/>
        <v/>
      </c>
      <c r="BI28" s="792"/>
      <c r="BJ28" s="804">
        <f t="shared" si="35"/>
        <v>0</v>
      </c>
      <c r="BK28" s="794" t="str">
        <f t="shared" si="39"/>
        <v/>
      </c>
      <c r="BL28" s="227" t="s">
        <v>21</v>
      </c>
      <c r="BM28" s="773">
        <f t="shared" si="36"/>
        <v>0</v>
      </c>
      <c r="BN28" s="774">
        <f t="shared" si="37"/>
        <v>0</v>
      </c>
      <c r="BO28" s="630"/>
      <c r="BP28" s="109" t="s">
        <v>359</v>
      </c>
      <c r="BQ28" s="109" t="s">
        <v>1341</v>
      </c>
      <c r="BR28" s="109" t="s">
        <v>1342</v>
      </c>
      <c r="BS28" s="767">
        <f t="shared" ref="BS28:BS63" si="41">BW28 / 1000</f>
        <v>0.25</v>
      </c>
      <c r="BT28" s="805" t="s">
        <v>1621</v>
      </c>
      <c r="BU28" s="805" t="s">
        <v>1622</v>
      </c>
      <c r="BV28" s="757">
        <f t="shared" si="40"/>
        <v>4</v>
      </c>
      <c r="BW28" s="806">
        <v>250</v>
      </c>
      <c r="BX28" s="630"/>
      <c r="BZ28" s="630"/>
      <c r="CA28" s="630"/>
      <c r="CB28" s="630"/>
      <c r="CC28" s="630"/>
      <c r="CD28" s="781" t="str">
        <f t="shared" si="15"/>
        <v>►</v>
      </c>
      <c r="CE28" s="638"/>
      <c r="CF28" s="638"/>
      <c r="CG28" s="638"/>
      <c r="CH28" s="638"/>
      <c r="CI28" s="638"/>
      <c r="CJ28" s="719"/>
      <c r="CK28" s="762" t="s">
        <v>1581</v>
      </c>
      <c r="CL28" s="763"/>
      <c r="CM28" s="754"/>
      <c r="CN28" s="754"/>
      <c r="CO28" s="754"/>
      <c r="CP28" s="754"/>
      <c r="CQ28" s="755"/>
      <c r="CR28" s="227"/>
      <c r="CS28" s="762" t="s">
        <v>1582</v>
      </c>
      <c r="CT28" s="763"/>
      <c r="CU28" s="754"/>
      <c r="CV28" s="754"/>
      <c r="CW28" s="754"/>
      <c r="CX28" s="754"/>
      <c r="CY28" s="755"/>
      <c r="CZ28" s="227"/>
      <c r="DA28" s="762" t="s">
        <v>1583</v>
      </c>
      <c r="DB28" s="763"/>
      <c r="DC28" s="754"/>
      <c r="DD28" s="754"/>
      <c r="DE28" s="754"/>
      <c r="DF28" s="754"/>
      <c r="DG28" s="755"/>
      <c r="DI28" s="3">
        <v>1</v>
      </c>
      <c r="DK28" s="198" t="s">
        <v>14237</v>
      </c>
    </row>
    <row r="29" spans="1:115" s="627" customFormat="1" ht="21" customHeight="1">
      <c r="A29" s="701" t="s">
        <v>21</v>
      </c>
      <c r="B29" s="2265" t="str" cm="1">
        <f t="array" ref="B29">SUMPRODUCT(--(D29:J29&lt;&gt;""), LEN(TRIM(SUBSTITUTE(D29:J29, CHAR(160), "")))) &amp; " Car."</f>
        <v>0 Car.</v>
      </c>
      <c r="C29" s="1376" t="str">
        <f>IF(ISBLANK(D29),"",LARGE(C13:C28,1)+1)</f>
        <v/>
      </c>
      <c r="D29" s="1833"/>
      <c r="E29" s="1810"/>
      <c r="F29" s="1810"/>
      <c r="G29" s="1810"/>
      <c r="H29" s="1810"/>
      <c r="I29" s="1810"/>
      <c r="J29" s="1810"/>
      <c r="K29" s="1810"/>
      <c r="L29" s="1811"/>
      <c r="M29" s="9"/>
      <c r="N29" s="103" t="str">
        <f t="shared" si="16"/>
        <v>►</v>
      </c>
      <c r="O29" s="1614" t="s">
        <v>8250</v>
      </c>
      <c r="P29" s="9"/>
      <c r="Q29" s="25" t="s">
        <v>15</v>
      </c>
      <c r="R29" s="2237"/>
      <c r="S29" s="2237"/>
      <c r="T29" s="2237"/>
      <c r="U29" s="2237"/>
      <c r="V29" s="2240"/>
      <c r="W29" s="2241"/>
      <c r="X29" s="2239"/>
      <c r="Y29" s="2242"/>
      <c r="Z29" s="2250"/>
      <c r="AA29" s="2244"/>
      <c r="AB29" s="2244"/>
      <c r="AC29" s="2245"/>
      <c r="AD29" s="2246"/>
      <c r="AE29" s="2247"/>
      <c r="AF29" s="2248"/>
      <c r="AG29" s="2249"/>
      <c r="AH29" s="2249"/>
      <c r="AI29" s="2238"/>
      <c r="AJ29" s="2264"/>
      <c r="AK29" s="6120" t="str">
        <f t="shared" si="19"/>
        <v>►</v>
      </c>
      <c r="AL29" s="781" t="str">
        <f t="shared" si="21"/>
        <v>►</v>
      </c>
      <c r="AM29" s="5499" t="str">
        <f t="shared" si="22"/>
        <v/>
      </c>
      <c r="AN29" s="783" t="str">
        <f t="shared" si="38"/>
        <v/>
      </c>
      <c r="AO29" s="782" t="str">
        <f t="shared" si="24"/>
        <v/>
      </c>
      <c r="AP29" s="783" t="str">
        <f t="shared" si="25"/>
        <v/>
      </c>
      <c r="AQ29" s="2083" t="b">
        <f>AND(Q29="A",COUNTIF(BP16:BR63,TRIM(Z29))&gt;0)</f>
        <v>0</v>
      </c>
      <c r="AR29" s="797" t="str">
        <f>IF(AL29&lt;&gt;"A","",IFERROR(IFERROR(_xlfn.XLOOKUP(TRIM(SUBSTITUTE(Z29,CHAR(160)," ")),BP16:BP63,BS16:BS63),IFERROR(_xlfn.XLOOKUP(TRIM(SUBSTITUTE(Z29,CHAR(160)," ")),BQ16:BQ63,BS16:BS63),_xlfn.XLOOKUP(TRIM(SUBSTITUTE(Z29,CHAR(160)," ")),BR16:BR63,BS16:BS63)))*Y29*IF(ISBLANK(V29),1,V29),0))</f>
        <v/>
      </c>
      <c r="AS29" s="784" t="str">
        <f t="shared" si="26"/>
        <v/>
      </c>
      <c r="AT29" s="1315" t="str">
        <f t="shared" si="27"/>
        <v/>
      </c>
      <c r="AU29" s="785">
        <f t="shared" si="28"/>
        <v>0</v>
      </c>
      <c r="AV29" s="785">
        <f t="shared" si="29"/>
        <v>0</v>
      </c>
      <c r="AW29" s="786">
        <f>IF(AK29="A",AY10,0)</f>
        <v>0</v>
      </c>
      <c r="AX29" s="5495" t="str">
        <f>IF(IFERROR(SEARCH("Adresse PC",TRIM(W29)),0)&gt;0,"▼ receta siguiente",IF(AK29="A",IF(AZ10&lt;&gt;"",AZ10&amp;" - ou.or.o ❾ + or - &gt;",""),""))</f>
        <v/>
      </c>
      <c r="AY29" s="787"/>
      <c r="AZ29" s="787"/>
      <c r="BA29" s="788" t="str">
        <f t="shared" si="30"/>
        <v/>
      </c>
      <c r="BB29" s="789" t="str">
        <f>IF(AK29="A",IF(AQ29,IF(AND(AW29&lt;&gt;"",N(AW29)&gt;0),IFERROR(IFERROR(_xlfn.XLOOKUP(AP29,BP10:BP57,BT10:BT57),IFERROR(_xlfn.XLOOKUP(AP29,BQ10:BQ57,BT10:BT57),_xlfn.XLOOKUP(AP29,BR10:BR57,BT10:BT57,""))),""),""),""),"")</f>
        <v/>
      </c>
      <c r="BC29" s="811" cm="1">
        <f t="array" ref="BC29">IF(NOT(AQ29),0,IF(OR(BA29="",N(BA29)&lt;=0.000000001),"",IF(OR(AU29="",N(AU29)&lt;=0.000000001),0,IF(ISNUMBER(BA29),IFERROR(_xlfn.LET(_xlpm.ai_test,TRIM(AP29),_xlpm.r,IFERROR(_xlfn.XLOOKUP(_xlpm.ai_test,BP16:BP63,ROW(BP16:BP63),0,1),IFERROR(_xlfn.XLOOKUP(_xlpm.ai_test,BQ16:BQ63,ROW(BQ16:BQ63),0,1),_xlfn.XLOOKUP(_xlpm.ai_test,BR16:BR63,ROW(BR16:BR63),0,1))),_xlpm.p,_xlpm.r-MIN(ROW(BP16:BP63))+1,_xlpm.f,INDEX(BS16:BS63,_xlpm.p),_xlpm.u,INDEX(BT16:BT63,_xlpm.p),_xlpm.s,INDEX(BV16:BV63,_xlpm.p),_xlpm.q,N(BA29)/_xlpm.f,IF(_xlpm.q&gt;=_xlpm.s,ROUND(_xlpm.q,1)&amp;" "&amp;_xlpm.ai_test&amp;" = "&amp;ROUND(_xlpm.q*_xlpm.f,1)&amp;" "&amp;_xlpm.u,ROUND(_xlpm.q,1)&amp;" "&amp;_xlpm.ai_test)),""),""))))</f>
        <v>0</v>
      </c>
      <c r="BD29" s="801"/>
      <c r="BE29" s="788" t="str">
        <f t="shared" si="31"/>
        <v/>
      </c>
      <c r="BF29" s="789" t="str">
        <f t="shared" si="32"/>
        <v/>
      </c>
      <c r="BG29" s="790">
        <f t="shared" si="33"/>
        <v>0</v>
      </c>
      <c r="BH29" s="791" t="str">
        <f t="shared" si="34"/>
        <v/>
      </c>
      <c r="BI29" s="792"/>
      <c r="BJ29" s="793">
        <f t="shared" si="35"/>
        <v>0</v>
      </c>
      <c r="BK29" s="794" t="str">
        <f t="shared" si="39"/>
        <v/>
      </c>
      <c r="BL29" s="227" t="s">
        <v>21</v>
      </c>
      <c r="BM29" s="773">
        <f t="shared" si="36"/>
        <v>0</v>
      </c>
      <c r="BN29" s="774">
        <f t="shared" si="37"/>
        <v>0</v>
      </c>
      <c r="BO29" s="630"/>
      <c r="BP29" s="109" t="s">
        <v>104</v>
      </c>
      <c r="BQ29" s="109" t="s">
        <v>1323</v>
      </c>
      <c r="BR29" s="109" t="s">
        <v>1304</v>
      </c>
      <c r="BS29" s="767">
        <f t="shared" si="41"/>
        <v>0.5</v>
      </c>
      <c r="BT29" s="805" t="s">
        <v>1621</v>
      </c>
      <c r="BU29" s="805" t="s">
        <v>1622</v>
      </c>
      <c r="BV29" s="757">
        <f t="shared" si="40"/>
        <v>2</v>
      </c>
      <c r="BW29" s="806">
        <v>500</v>
      </c>
      <c r="BX29" s="630"/>
      <c r="BY29" s="630"/>
      <c r="BZ29" s="630"/>
      <c r="CA29" s="630"/>
      <c r="CB29" s="630"/>
      <c r="CC29" s="630"/>
      <c r="CD29" s="781" t="str">
        <f t="shared" si="15"/>
        <v>►</v>
      </c>
      <c r="CE29" s="761"/>
      <c r="CF29" s="634"/>
      <c r="CG29" s="634"/>
      <c r="CH29" s="635"/>
      <c r="CI29" s="635"/>
      <c r="CJ29" s="719"/>
      <c r="CK29" s="762"/>
      <c r="CL29" s="763"/>
      <c r="CM29" s="754"/>
      <c r="CN29" s="754"/>
      <c r="CO29" s="754"/>
      <c r="CP29" s="754"/>
      <c r="CQ29" s="755"/>
      <c r="CS29" s="762"/>
      <c r="CT29" s="763"/>
      <c r="CU29" s="754"/>
      <c r="CV29" s="754"/>
      <c r="CW29" s="754"/>
      <c r="CX29" s="754"/>
      <c r="CY29" s="755"/>
      <c r="DA29" s="762"/>
      <c r="DB29" s="763"/>
      <c r="DC29" s="754"/>
      <c r="DD29" s="754"/>
      <c r="DE29" s="754"/>
      <c r="DF29" s="754"/>
      <c r="DG29" s="755"/>
      <c r="DI29" s="3">
        <v>1</v>
      </c>
    </row>
    <row r="30" spans="1:115" s="627" customFormat="1" ht="21" customHeight="1">
      <c r="A30" s="701" t="s">
        <v>21</v>
      </c>
      <c r="B30" s="2265" t="str" cm="1">
        <f t="array" ref="B30">SUMPRODUCT(--(D30:J30&lt;&gt;""), LEN(TRIM(SUBSTITUTE(D30:J30, CHAR(160), "")))) &amp; " Car."</f>
        <v>0 Car.</v>
      </c>
      <c r="C30" s="1376" t="str">
        <f>IF(ISBLANK(D30),"",LARGE(C13:C29,1)+1)</f>
        <v/>
      </c>
      <c r="D30" s="1833"/>
      <c r="E30" s="1810"/>
      <c r="F30" s="1810"/>
      <c r="G30" s="1810"/>
      <c r="H30" s="1810"/>
      <c r="I30" s="1810"/>
      <c r="J30" s="1810"/>
      <c r="K30" s="1810"/>
      <c r="L30" s="1811"/>
      <c r="M30" s="9"/>
      <c r="N30" s="103" t="str">
        <f t="shared" si="16"/>
        <v>►</v>
      </c>
      <c r="O30" s="6844" t="s">
        <v>8251</v>
      </c>
      <c r="P30" s="9"/>
      <c r="Q30" s="25" t="s">
        <v>15</v>
      </c>
      <c r="R30" s="2237"/>
      <c r="S30" s="2237"/>
      <c r="T30" s="2237"/>
      <c r="U30" s="2237"/>
      <c r="V30" s="2240"/>
      <c r="W30" s="2241"/>
      <c r="X30" s="2239"/>
      <c r="Y30" s="2242"/>
      <c r="Z30" s="2250"/>
      <c r="AA30" s="2244"/>
      <c r="AB30" s="2244"/>
      <c r="AC30" s="2245"/>
      <c r="AD30" s="2246"/>
      <c r="AE30" s="2247"/>
      <c r="AF30" s="2248"/>
      <c r="AG30" s="2249"/>
      <c r="AH30" s="2249"/>
      <c r="AI30" s="2238"/>
      <c r="AJ30" s="2264"/>
      <c r="AK30" s="6120" t="str">
        <f t="shared" si="19"/>
        <v>►</v>
      </c>
      <c r="AL30" s="781" t="str">
        <f t="shared" si="21"/>
        <v>►</v>
      </c>
      <c r="AM30" s="5498" t="str">
        <f t="shared" si="22"/>
        <v/>
      </c>
      <c r="AN30" s="783" t="str">
        <f t="shared" si="38"/>
        <v/>
      </c>
      <c r="AO30" s="782" t="str">
        <f t="shared" si="24"/>
        <v/>
      </c>
      <c r="AP30" s="783" t="str">
        <f t="shared" si="25"/>
        <v/>
      </c>
      <c r="AQ30" s="2083" t="b">
        <f>AND(Q30="A",COUNTIF(BP16:BR63,TRIM(Z30))&gt;0)</f>
        <v>0</v>
      </c>
      <c r="AR30" s="797" t="str">
        <f>IF(AL30&lt;&gt;"A","",IFERROR(IFERROR(_xlfn.XLOOKUP(TRIM(SUBSTITUTE(Z30,CHAR(160)," ")),BP16:BP63,BS16:BS63),IFERROR(_xlfn.XLOOKUP(TRIM(SUBSTITUTE(Z30,CHAR(160)," ")),BQ16:BQ63,BS16:BS63),_xlfn.XLOOKUP(TRIM(SUBSTITUTE(Z30,CHAR(160)," ")),BR16:BR63,BS16:BS63)))*Y30*IF(ISBLANK(V30),1,V30),0))</f>
        <v/>
      </c>
      <c r="AS30" s="784" t="str">
        <f t="shared" si="26"/>
        <v/>
      </c>
      <c r="AT30" s="1315" t="str">
        <f t="shared" si="27"/>
        <v/>
      </c>
      <c r="AU30" s="785">
        <f t="shared" si="28"/>
        <v>0</v>
      </c>
      <c r="AV30" s="785">
        <f t="shared" si="29"/>
        <v>0</v>
      </c>
      <c r="AW30" s="798">
        <f>IF(AK30="A",AY10,0)</f>
        <v>0</v>
      </c>
      <c r="AX30" s="5496" t="str">
        <f>IF(IFERROR(SEARCH("Adresse PC",TRIM(W30)),0)&gt;0,"▼ receta siguiente",IF(AK30="A",IF(AZ10&lt;&gt;"",AZ10&amp;" - ou.or.o ❾ + or - &gt;",""),""))</f>
        <v/>
      </c>
      <c r="AY30" s="787"/>
      <c r="AZ30" s="787"/>
      <c r="BA30" s="799" t="str">
        <f t="shared" si="30"/>
        <v/>
      </c>
      <c r="BB30" s="800" t="str">
        <f>IF(AK30="A",IF(AQ30,IF(AND(AW30&lt;&gt;"",N(AW30)&gt;0),IFERROR(IFERROR(_xlfn.XLOOKUP(AP30,BP10:BP57,BT10:BT57),IFERROR(_xlfn.XLOOKUP(AP30,BQ10:BQ57,BT10:BT57),_xlfn.XLOOKUP(AP30,BR10:BR57,BT10:BT57,""))),""),""),""),"")</f>
        <v/>
      </c>
      <c r="BC30" s="813" cm="1">
        <f t="array" ref="BC30">IF(NOT(AQ30),0,IF(OR(BA30="",N(BA30)&lt;=0.000000001),"",IF(OR(AU30="",N(AU30)&lt;=0.000000001),0,IF(ISNUMBER(BA30),IFERROR(_xlfn.LET(_xlpm.ai_test,TRIM(AP30),_xlpm.r,IFERROR(_xlfn.XLOOKUP(_xlpm.ai_test,BP16:BP63,ROW(BP16:BP63),0,1),IFERROR(_xlfn.XLOOKUP(_xlpm.ai_test,BQ16:BQ63,ROW(BQ16:BQ63),0,1),_xlfn.XLOOKUP(_xlpm.ai_test,BR16:BR63,ROW(BR16:BR63),0,1))),_xlpm.p,_xlpm.r-MIN(ROW(BP16:BP63))+1,_xlpm.f,INDEX(BS16:BS63,_xlpm.p),_xlpm.u,INDEX(BT16:BT63,_xlpm.p),_xlpm.s,INDEX(BV16:BV63,_xlpm.p),_xlpm.q,N(BA30)/_xlpm.f,IF(_xlpm.q&gt;=_xlpm.s,ROUND(_xlpm.q,1)&amp;" "&amp;_xlpm.ai_test&amp;" = "&amp;ROUND(_xlpm.q*_xlpm.f,1)&amp;" "&amp;_xlpm.u,ROUND(_xlpm.q,1)&amp;" "&amp;_xlpm.ai_test)),""),""))))</f>
        <v>0</v>
      </c>
      <c r="BD30" s="801"/>
      <c r="BE30" s="799" t="str">
        <f t="shared" si="31"/>
        <v/>
      </c>
      <c r="BF30" s="800" t="str">
        <f t="shared" si="32"/>
        <v/>
      </c>
      <c r="BG30" s="802">
        <f t="shared" si="33"/>
        <v>0</v>
      </c>
      <c r="BH30" s="803" t="str">
        <f t="shared" si="34"/>
        <v/>
      </c>
      <c r="BI30" s="792"/>
      <c r="BJ30" s="804">
        <f t="shared" si="35"/>
        <v>0</v>
      </c>
      <c r="BK30" s="794" t="str">
        <f t="shared" si="39"/>
        <v/>
      </c>
      <c r="BL30" s="227" t="s">
        <v>21</v>
      </c>
      <c r="BM30" s="773">
        <f t="shared" si="36"/>
        <v>0</v>
      </c>
      <c r="BN30" s="774">
        <f t="shared" si="37"/>
        <v>0</v>
      </c>
      <c r="BO30" s="630"/>
      <c r="BP30" s="109" t="s">
        <v>162</v>
      </c>
      <c r="BQ30" s="109" t="s">
        <v>1334</v>
      </c>
      <c r="BR30" s="109" t="s">
        <v>1317</v>
      </c>
      <c r="BS30" s="767">
        <f t="shared" si="41"/>
        <v>0.1</v>
      </c>
      <c r="BT30" s="805" t="s">
        <v>1621</v>
      </c>
      <c r="BU30" s="805" t="s">
        <v>1622</v>
      </c>
      <c r="BV30" s="757">
        <f t="shared" si="40"/>
        <v>10</v>
      </c>
      <c r="BW30" s="806">
        <v>100</v>
      </c>
      <c r="BX30" s="630"/>
      <c r="BY30" s="630"/>
      <c r="BZ30" s="630"/>
      <c r="CA30" s="630"/>
      <c r="CB30" s="630"/>
      <c r="CC30" s="630"/>
      <c r="CD30" s="781" t="str">
        <f t="shared" si="15"/>
        <v>►</v>
      </c>
      <c r="CE30" s="761" t="s">
        <v>1626</v>
      </c>
      <c r="CF30" s="634"/>
      <c r="CG30" s="634"/>
      <c r="CH30" s="635"/>
      <c r="CI30" s="635"/>
      <c r="CJ30" s="719"/>
      <c r="CK30" s="775" t="s">
        <v>8960</v>
      </c>
      <c r="CL30" s="763"/>
      <c r="CM30" s="754"/>
      <c r="CN30" s="754"/>
      <c r="CO30" s="754"/>
      <c r="CP30" s="754"/>
      <c r="CQ30" s="755"/>
      <c r="CS30" s="775" t="s">
        <v>8959</v>
      </c>
      <c r="CT30" s="763"/>
      <c r="CU30" s="754"/>
      <c r="CV30" s="754"/>
      <c r="CW30" s="754"/>
      <c r="CX30" s="754"/>
      <c r="CY30" s="755"/>
      <c r="DA30" s="775" t="s">
        <v>8961</v>
      </c>
      <c r="DB30" s="763"/>
      <c r="DC30" s="754"/>
      <c r="DD30" s="754"/>
      <c r="DE30" s="754"/>
      <c r="DF30" s="754"/>
      <c r="DG30" s="755"/>
      <c r="DI30" s="3">
        <v>1</v>
      </c>
    </row>
    <row r="31" spans="1:115" s="627" customFormat="1" ht="21" customHeight="1">
      <c r="A31" s="701" t="s">
        <v>21</v>
      </c>
      <c r="B31" s="2265" t="str" cm="1">
        <f t="array" ref="B31">SUMPRODUCT(--(D31:J31&lt;&gt;""), LEN(TRIM(SUBSTITUTE(D31:J31, CHAR(160), "")))) &amp; " Car."</f>
        <v>0 Car.</v>
      </c>
      <c r="C31" s="1376" t="str">
        <f>IF(ISBLANK(D31),"",LARGE(C13:C30,1)+1)</f>
        <v/>
      </c>
      <c r="D31" s="1833"/>
      <c r="E31" s="1810"/>
      <c r="F31" s="1810"/>
      <c r="G31" s="1810"/>
      <c r="H31" s="1810"/>
      <c r="I31" s="1810"/>
      <c r="J31" s="1810"/>
      <c r="K31" s="1810"/>
      <c r="L31" s="1811"/>
      <c r="M31" s="9"/>
      <c r="N31" s="2082" t="str">
        <f t="shared" si="16"/>
        <v>►</v>
      </c>
      <c r="O31" s="6844"/>
      <c r="P31" s="9"/>
      <c r="Q31" s="25" t="s">
        <v>15</v>
      </c>
      <c r="R31" s="2237"/>
      <c r="S31" s="2237"/>
      <c r="T31" s="2237"/>
      <c r="U31" s="2237"/>
      <c r="V31" s="2240"/>
      <c r="W31" s="2241"/>
      <c r="X31" s="2239"/>
      <c r="Y31" s="2242"/>
      <c r="Z31" s="2250"/>
      <c r="AA31" s="2244"/>
      <c r="AB31" s="2244"/>
      <c r="AC31" s="2245"/>
      <c r="AD31" s="2246"/>
      <c r="AE31" s="2247"/>
      <c r="AF31" s="2248"/>
      <c r="AG31" s="2249"/>
      <c r="AH31" s="2249"/>
      <c r="AI31" s="2238"/>
      <c r="AJ31" s="2264"/>
      <c r="AK31" s="6120" t="str">
        <f t="shared" si="19"/>
        <v>►</v>
      </c>
      <c r="AL31" s="781" t="str">
        <f t="shared" si="21"/>
        <v>►</v>
      </c>
      <c r="AM31" s="5499" t="str">
        <f t="shared" si="22"/>
        <v/>
      </c>
      <c r="AN31" s="783" t="str">
        <f t="shared" si="38"/>
        <v/>
      </c>
      <c r="AO31" s="782" t="str">
        <f t="shared" si="24"/>
        <v/>
      </c>
      <c r="AP31" s="783" t="str">
        <f t="shared" si="25"/>
        <v/>
      </c>
      <c r="AQ31" s="2083" t="b">
        <f>AND(Q31="A",COUNTIF(BP16:BR63,TRIM(Z31))&gt;0)</f>
        <v>0</v>
      </c>
      <c r="AR31" s="797" t="str">
        <f>IF(AL31&lt;&gt;"A","",IFERROR(IFERROR(_xlfn.XLOOKUP(TRIM(SUBSTITUTE(Z31,CHAR(160)," ")),BP16:BP63,BS16:BS63),IFERROR(_xlfn.XLOOKUP(TRIM(SUBSTITUTE(Z31,CHAR(160)," ")),BQ16:BQ63,BS16:BS63),_xlfn.XLOOKUP(TRIM(SUBSTITUTE(Z31,CHAR(160)," ")),BR16:BR63,BS16:BS63)))*Y31*IF(ISBLANK(V31),1,V31),0))</f>
        <v/>
      </c>
      <c r="AS31" s="784" t="str">
        <f t="shared" si="26"/>
        <v/>
      </c>
      <c r="AT31" s="1315" t="str">
        <f t="shared" si="27"/>
        <v/>
      </c>
      <c r="AU31" s="785">
        <f t="shared" si="28"/>
        <v>0</v>
      </c>
      <c r="AV31" s="785">
        <f t="shared" si="29"/>
        <v>0</v>
      </c>
      <c r="AW31" s="786">
        <f>IF(AK31="A",AY10,0)</f>
        <v>0</v>
      </c>
      <c r="AX31" s="5495" t="str">
        <f>IF(IFERROR(SEARCH("Adresse PC",TRIM(W31)),0)&gt;0,"▼ receta siguiente",IF(AK31="A",IF(AZ10&lt;&gt;"",AZ10&amp;" - ou.or.o ❾ + or - &gt;",""),""))</f>
        <v/>
      </c>
      <c r="AY31" s="787"/>
      <c r="AZ31" s="787"/>
      <c r="BA31" s="788" t="str">
        <f t="shared" si="30"/>
        <v/>
      </c>
      <c r="BB31" s="789" t="str">
        <f>IF(AK31="A",IF(AQ31,IF(AND(AW31&lt;&gt;"",N(AW31)&gt;0),IFERROR(IFERROR(_xlfn.XLOOKUP(AP31,BP10:BP57,BT10:BT57),IFERROR(_xlfn.XLOOKUP(AP31,BQ10:BQ57,BT10:BT57),_xlfn.XLOOKUP(AP31,BR10:BR57,BT10:BT57,""))),""),""),""),"")</f>
        <v/>
      </c>
      <c r="BC31" s="811" cm="1">
        <f t="array" ref="BC31">IF(NOT(AQ31),0,IF(OR(BA31="",N(BA31)&lt;=0.000000001),"",IF(OR(AU31="",N(AU31)&lt;=0.000000001),0,IF(ISNUMBER(BA31),IFERROR(_xlfn.LET(_xlpm.ai_test,TRIM(AP31),_xlpm.r,IFERROR(_xlfn.XLOOKUP(_xlpm.ai_test,BP16:BP63,ROW(BP16:BP63),0,1),IFERROR(_xlfn.XLOOKUP(_xlpm.ai_test,BQ16:BQ63,ROW(BQ16:BQ63),0,1),_xlfn.XLOOKUP(_xlpm.ai_test,BR16:BR63,ROW(BR16:BR63),0,1))),_xlpm.p,_xlpm.r-MIN(ROW(BP16:BP63))+1,_xlpm.f,INDEX(BS16:BS63,_xlpm.p),_xlpm.u,INDEX(BT16:BT63,_xlpm.p),_xlpm.s,INDEX(BV16:BV63,_xlpm.p),_xlpm.q,N(BA31)/_xlpm.f,IF(_xlpm.q&gt;=_xlpm.s,ROUND(_xlpm.q,1)&amp;" "&amp;_xlpm.ai_test&amp;" = "&amp;ROUND(_xlpm.q*_xlpm.f,1)&amp;" "&amp;_xlpm.u,ROUND(_xlpm.q,1)&amp;" "&amp;_xlpm.ai_test)),""),""))))</f>
        <v>0</v>
      </c>
      <c r="BD31" s="801"/>
      <c r="BE31" s="788" t="str">
        <f t="shared" si="31"/>
        <v/>
      </c>
      <c r="BF31" s="789" t="str">
        <f>IF(AQ31,BB31,"")</f>
        <v/>
      </c>
      <c r="BG31" s="790">
        <f>IF(AND(ISNUMBER(BM31),ABS(BM31)&gt;0.000000001),BM31,0)</f>
        <v>0</v>
      </c>
      <c r="BH31" s="791" t="str">
        <f>IF(AND(AQ31, N(BG31)&gt;0.000000001), W31, "")</f>
        <v/>
      </c>
      <c r="BI31" s="792"/>
      <c r="BJ31" s="793">
        <f>IF(OR(AU31=0,ISBLANK(BI31),ISTEXT(BG31)),0,(IF(BA31=0,BG31,BA31)*BI31))</f>
        <v>0</v>
      </c>
      <c r="BK31" s="794" t="str">
        <f t="shared" si="39"/>
        <v/>
      </c>
      <c r="BL31" s="227" t="s">
        <v>21</v>
      </c>
      <c r="BM31" s="773">
        <f t="shared" si="36"/>
        <v>0</v>
      </c>
      <c r="BN31" s="774">
        <f t="shared" si="37"/>
        <v>0</v>
      </c>
      <c r="BO31" s="630"/>
      <c r="BP31" s="109" t="s">
        <v>146</v>
      </c>
      <c r="BQ31" s="109" t="s">
        <v>1324</v>
      </c>
      <c r="BR31" s="109" t="s">
        <v>1305</v>
      </c>
      <c r="BS31" s="767">
        <f t="shared" si="41"/>
        <v>0.33300000000000002</v>
      </c>
      <c r="BT31" s="805" t="s">
        <v>1621</v>
      </c>
      <c r="BU31" s="805" t="s">
        <v>1622</v>
      </c>
      <c r="BV31" s="757">
        <f t="shared" si="40"/>
        <v>3</v>
      </c>
      <c r="BW31" s="812">
        <v>333</v>
      </c>
      <c r="BX31" s="630"/>
      <c r="BY31" s="630"/>
      <c r="BZ31" s="630"/>
      <c r="CA31" s="630"/>
      <c r="CB31" s="630"/>
      <c r="CC31" s="630"/>
      <c r="CD31" s="781" t="str">
        <f t="shared" si="15"/>
        <v>►</v>
      </c>
      <c r="CE31" s="6858" t="s">
        <v>1627</v>
      </c>
      <c r="CF31" s="6858"/>
      <c r="CG31" s="6858"/>
      <c r="CH31" s="6858"/>
      <c r="CI31" s="6858"/>
      <c r="CJ31" s="719"/>
      <c r="CK31" s="775"/>
      <c r="CL31" s="763"/>
      <c r="CM31" s="754"/>
      <c r="CN31" s="754"/>
      <c r="CO31" s="754"/>
      <c r="CP31" s="754"/>
      <c r="CQ31" s="755"/>
      <c r="CS31" s="775"/>
      <c r="CT31" s="763"/>
      <c r="CU31" s="754"/>
      <c r="CV31" s="754"/>
      <c r="CW31" s="754"/>
      <c r="CX31" s="754"/>
      <c r="CY31" s="755"/>
      <c r="DA31" s="775"/>
      <c r="DB31" s="763"/>
      <c r="DC31" s="754"/>
      <c r="DD31" s="754"/>
      <c r="DE31" s="754"/>
      <c r="DF31" s="754"/>
      <c r="DG31" s="755"/>
      <c r="DI31" s="3">
        <v>1</v>
      </c>
    </row>
    <row r="32" spans="1:115" s="627" customFormat="1" ht="21" customHeight="1">
      <c r="A32" s="701" t="s">
        <v>21</v>
      </c>
      <c r="B32" s="2265" t="str" cm="1">
        <f t="array" ref="B32">SUMPRODUCT(--(D32:J32&lt;&gt;""), LEN(TRIM(SUBSTITUTE(D32:J32, CHAR(160), "")))) &amp; " Car."</f>
        <v>0 Car.</v>
      </c>
      <c r="C32" s="1376" t="str">
        <f>IF(ISBLANK(D32),"",LARGE(C13:C31,1)+1)</f>
        <v/>
      </c>
      <c r="D32" s="1833"/>
      <c r="E32" s="1810"/>
      <c r="F32" s="1810"/>
      <c r="G32" s="1810"/>
      <c r="H32" s="1810"/>
      <c r="I32" s="1810"/>
      <c r="J32" s="1810"/>
      <c r="K32" s="1810"/>
      <c r="L32" s="1811"/>
      <c r="M32" s="9"/>
      <c r="N32" s="103" t="str">
        <f t="shared" si="16"/>
        <v>►</v>
      </c>
      <c r="O32" s="6844"/>
      <c r="P32" s="9"/>
      <c r="Q32" s="25" t="s">
        <v>15</v>
      </c>
      <c r="R32" s="2237"/>
      <c r="S32" s="2237"/>
      <c r="T32" s="2237"/>
      <c r="U32" s="2237"/>
      <c r="V32" s="2240"/>
      <c r="W32" s="2241"/>
      <c r="X32" s="2239"/>
      <c r="Y32" s="2242"/>
      <c r="Z32" s="2250"/>
      <c r="AA32" s="2244"/>
      <c r="AB32" s="2244"/>
      <c r="AC32" s="2245"/>
      <c r="AD32" s="2246"/>
      <c r="AE32" s="2247"/>
      <c r="AF32" s="2248"/>
      <c r="AG32" s="2249"/>
      <c r="AH32" s="2249"/>
      <c r="AI32" s="2238"/>
      <c r="AJ32" s="2264"/>
      <c r="AK32" s="6120" t="str">
        <f t="shared" si="19"/>
        <v>►</v>
      </c>
      <c r="AL32" s="781" t="str">
        <f t="shared" si="21"/>
        <v>►</v>
      </c>
      <c r="AM32" s="5498" t="str">
        <f t="shared" si="22"/>
        <v/>
      </c>
      <c r="AN32" s="783" t="str">
        <f t="shared" si="38"/>
        <v/>
      </c>
      <c r="AO32" s="782" t="str">
        <f t="shared" si="24"/>
        <v/>
      </c>
      <c r="AP32" s="783" t="str">
        <f t="shared" si="25"/>
        <v/>
      </c>
      <c r="AQ32" s="2083" t="b">
        <f>AND(Q32="A",COUNTIF(BP16:BR63,TRIM(Z32))&gt;0)</f>
        <v>0</v>
      </c>
      <c r="AR32" s="797" t="str">
        <f>IF(AL32&lt;&gt;"A","",IFERROR(IFERROR(_xlfn.XLOOKUP(TRIM(SUBSTITUTE(Z32,CHAR(160)," ")),BP16:BP63,BS16:BS63),IFERROR(_xlfn.XLOOKUP(TRIM(SUBSTITUTE(Z32,CHAR(160)," ")),BQ16:BQ63,BS16:BS63),_xlfn.XLOOKUP(TRIM(SUBSTITUTE(Z32,CHAR(160)," ")),BR16:BR63,BS16:BS63)))*Y32*IF(ISBLANK(V32),1,V32),0))</f>
        <v/>
      </c>
      <c r="AS32" s="784" t="str">
        <f t="shared" si="26"/>
        <v/>
      </c>
      <c r="AT32" s="1315" t="str">
        <f t="shared" si="27"/>
        <v/>
      </c>
      <c r="AU32" s="785">
        <f t="shared" si="28"/>
        <v>0</v>
      </c>
      <c r="AV32" s="785">
        <f t="shared" si="29"/>
        <v>0</v>
      </c>
      <c r="AW32" s="798">
        <f>IF(AK32="A",AY10,0)</f>
        <v>0</v>
      </c>
      <c r="AX32" s="5496" t="str">
        <f>IF(IFERROR(SEARCH("Adresse PC",TRIM(W32)),0)&gt;0,"▼ receta siguiente",IF(AK32="A",IF(AZ10&lt;&gt;"",AZ10&amp;" - ou.or.o ❾ + or - &gt;",""),""))</f>
        <v/>
      </c>
      <c r="AY32" s="810"/>
      <c r="AZ32" s="810"/>
      <c r="BA32" s="799" t="str">
        <f t="shared" si="30"/>
        <v/>
      </c>
      <c r="BB32" s="800" t="str">
        <f>IF(AK32="A",IF(AQ32,IF(AND(AW32&lt;&gt;"",N(AW32)&gt;0),IFERROR(IFERROR(_xlfn.XLOOKUP(AP32,BP10:BP57,BT10:BT57),IFERROR(_xlfn.XLOOKUP(AP32,BQ10:BQ57,BT10:BT57),_xlfn.XLOOKUP(AP32,BR10:BR57,BT10:BT57,""))),""),""),""),"")</f>
        <v/>
      </c>
      <c r="BC32" s="813" cm="1">
        <f t="array" ref="BC32">IF(NOT(AQ32),0,IF(OR(BA32="",N(BA32)&lt;=0.000000001),"",IF(OR(AU32="",N(AU32)&lt;=0.000000001),0,IF(ISNUMBER(BA32),IFERROR(_xlfn.LET(_xlpm.ai_test,TRIM(AP32),_xlpm.r,IFERROR(_xlfn.XLOOKUP(_xlpm.ai_test,BP16:BP63,ROW(BP16:BP63),0,1),IFERROR(_xlfn.XLOOKUP(_xlpm.ai_test,BQ16:BQ63,ROW(BQ16:BQ63),0,1),_xlfn.XLOOKUP(_xlpm.ai_test,BR16:BR63,ROW(BR16:BR63),0,1))),_xlpm.p,_xlpm.r-MIN(ROW(BP16:BP63))+1,_xlpm.f,INDEX(BS16:BS63,_xlpm.p),_xlpm.u,INDEX(BT16:BT63,_xlpm.p),_xlpm.s,INDEX(BV16:BV63,_xlpm.p),_xlpm.q,N(BA32)/_xlpm.f,IF(_xlpm.q&gt;=_xlpm.s,ROUND(_xlpm.q,1)&amp;" "&amp;_xlpm.ai_test&amp;" = "&amp;ROUND(_xlpm.q*_xlpm.f,1)&amp;" "&amp;_xlpm.u,ROUND(_xlpm.q,1)&amp;" "&amp;_xlpm.ai_test)),""),""))))</f>
        <v>0</v>
      </c>
      <c r="BD32" s="801"/>
      <c r="BE32" s="799" t="str">
        <f t="shared" si="31"/>
        <v/>
      </c>
      <c r="BF32" s="800" t="str">
        <f t="shared" ref="BF32:BF86" si="42">IF(AQ32,BB32,"")</f>
        <v/>
      </c>
      <c r="BG32" s="802">
        <f t="shared" ref="BG32:BG95" si="43">IF(AND(ISNUMBER(BM32),ABS(BM32)&gt;0.000000001),BM32,0)</f>
        <v>0</v>
      </c>
      <c r="BH32" s="803" t="str">
        <f t="shared" ref="BH32:BH95" si="44">IF(AND(AQ32, N(BG32)&gt;0.000000001), W32, "")</f>
        <v/>
      </c>
      <c r="BI32" s="792"/>
      <c r="BJ32" s="804">
        <f t="shared" ref="BJ32:BJ92" si="45">IF(OR(AU32=0,ISBLANK(BI32),ISTEXT(BG32)),0,(IF(BA32=0,BG32,BA32)*BI32))</f>
        <v>0</v>
      </c>
      <c r="BK32" s="794" t="str">
        <f t="shared" si="39"/>
        <v/>
      </c>
      <c r="BL32" s="227" t="s">
        <v>21</v>
      </c>
      <c r="BM32" s="773">
        <f t="shared" si="36"/>
        <v>0</v>
      </c>
      <c r="BN32" s="774">
        <f t="shared" si="37"/>
        <v>0</v>
      </c>
      <c r="BO32" s="630"/>
      <c r="BP32" s="109" t="s">
        <v>161</v>
      </c>
      <c r="BQ32" s="109" t="s">
        <v>1333</v>
      </c>
      <c r="BR32" s="109" t="s">
        <v>1316</v>
      </c>
      <c r="BS32" s="767">
        <f t="shared" si="41"/>
        <v>1.4999999999999999E-2</v>
      </c>
      <c r="BT32" s="805" t="s">
        <v>1621</v>
      </c>
      <c r="BU32" s="805" t="s">
        <v>1622</v>
      </c>
      <c r="BV32" s="757">
        <f t="shared" si="40"/>
        <v>67</v>
      </c>
      <c r="BW32" s="806">
        <v>15</v>
      </c>
      <c r="BX32" s="630"/>
      <c r="BY32" s="630"/>
      <c r="BZ32" s="630"/>
      <c r="CA32" s="630"/>
      <c r="CB32" s="630"/>
      <c r="CC32" s="630"/>
      <c r="CD32" s="781" t="str">
        <f t="shared" si="15"/>
        <v>►</v>
      </c>
      <c r="CE32" s="6858"/>
      <c r="CF32" s="6858"/>
      <c r="CG32" s="6858"/>
      <c r="CH32" s="6858"/>
      <c r="CI32" s="6858"/>
      <c r="CJ32" s="719"/>
      <c r="CK32" s="777" t="s">
        <v>1511</v>
      </c>
      <c r="CL32" s="754"/>
      <c r="CM32" s="754"/>
      <c r="CN32" s="778">
        <v>45</v>
      </c>
      <c r="CO32" s="779" t="s">
        <v>19</v>
      </c>
      <c r="CP32" s="350"/>
      <c r="CQ32" s="780"/>
      <c r="CS32" s="777" t="s">
        <v>1616</v>
      </c>
      <c r="CT32" s="754"/>
      <c r="CU32" s="754"/>
      <c r="CV32" s="778">
        <v>45</v>
      </c>
      <c r="CW32" s="779" t="s">
        <v>136</v>
      </c>
      <c r="CX32" s="350"/>
      <c r="CY32" s="780"/>
      <c r="DA32" s="777" t="s">
        <v>1617</v>
      </c>
      <c r="DB32" s="754"/>
      <c r="DC32" s="754"/>
      <c r="DD32" s="778">
        <v>45</v>
      </c>
      <c r="DE32" s="779" t="s">
        <v>139</v>
      </c>
      <c r="DF32" s="350"/>
      <c r="DG32" s="780"/>
      <c r="DI32" s="3">
        <v>1</v>
      </c>
    </row>
    <row r="33" spans="1:113" s="627" customFormat="1" ht="21" customHeight="1">
      <c r="A33" s="701" t="s">
        <v>21</v>
      </c>
      <c r="B33" s="2265" t="str" cm="1">
        <f t="array" ref="B33">SUMPRODUCT(--(D33:J33&lt;&gt;""), LEN(TRIM(SUBSTITUTE(D33:J33, CHAR(160), "")))) &amp; " Car."</f>
        <v>0 Car.</v>
      </c>
      <c r="C33" s="1376" t="str">
        <f>IF(ISBLANK(D33),"",LARGE(C13:C32,1)+1)</f>
        <v/>
      </c>
      <c r="D33" s="1833"/>
      <c r="E33" s="1810"/>
      <c r="F33" s="1810"/>
      <c r="G33" s="1810"/>
      <c r="H33" s="1810"/>
      <c r="I33" s="1810"/>
      <c r="J33" s="1810"/>
      <c r="K33" s="1810"/>
      <c r="L33" s="1811"/>
      <c r="M33" s="9"/>
      <c r="N33" s="103" t="str">
        <f t="shared" si="16"/>
        <v>►</v>
      </c>
      <c r="O33" s="1616">
        <v>1</v>
      </c>
      <c r="P33" s="9"/>
      <c r="Q33" s="25" t="s">
        <v>15</v>
      </c>
      <c r="R33" s="2237"/>
      <c r="S33" s="2237"/>
      <c r="T33" s="2237"/>
      <c r="U33" s="2237"/>
      <c r="V33" s="2240"/>
      <c r="W33" s="2241"/>
      <c r="X33" s="2239"/>
      <c r="Y33" s="2242"/>
      <c r="Z33" s="2250"/>
      <c r="AA33" s="2244"/>
      <c r="AB33" s="2244"/>
      <c r="AC33" s="2245"/>
      <c r="AD33" s="2246"/>
      <c r="AE33" s="2247"/>
      <c r="AF33" s="2248"/>
      <c r="AG33" s="2249"/>
      <c r="AH33" s="2249"/>
      <c r="AI33" s="2238"/>
      <c r="AJ33" s="2264"/>
      <c r="AK33" s="6120" t="str">
        <f t="shared" si="19"/>
        <v>►</v>
      </c>
      <c r="AL33" s="781" t="str">
        <f t="shared" si="21"/>
        <v>►</v>
      </c>
      <c r="AM33" s="5499" t="str">
        <f t="shared" si="22"/>
        <v/>
      </c>
      <c r="AN33" s="783" t="str">
        <f t="shared" si="38"/>
        <v/>
      </c>
      <c r="AO33" s="782" t="str">
        <f t="shared" si="24"/>
        <v/>
      </c>
      <c r="AP33" s="783" t="str">
        <f t="shared" si="25"/>
        <v/>
      </c>
      <c r="AQ33" s="2083" t="b">
        <f>AND(Q33="A",COUNTIF(BP16:BR63,TRIM(Z33))&gt;0)</f>
        <v>0</v>
      </c>
      <c r="AR33" s="797" t="str">
        <f>IF(AL33&lt;&gt;"A","",IFERROR(IFERROR(_xlfn.XLOOKUP(TRIM(SUBSTITUTE(Z33,CHAR(160)," ")),BP16:BP63,BS16:BS63),IFERROR(_xlfn.XLOOKUP(TRIM(SUBSTITUTE(Z33,CHAR(160)," ")),BQ16:BQ63,BS16:BS63),_xlfn.XLOOKUP(TRIM(SUBSTITUTE(Z33,CHAR(160)," ")),BR16:BR63,BS16:BS63)))*Y33*IF(ISBLANK(V33),1,V33),0))</f>
        <v/>
      </c>
      <c r="AS33" s="784" t="str">
        <f t="shared" si="26"/>
        <v/>
      </c>
      <c r="AT33" s="1315" t="str">
        <f t="shared" si="27"/>
        <v/>
      </c>
      <c r="AU33" s="785">
        <f t="shared" si="28"/>
        <v>0</v>
      </c>
      <c r="AV33" s="785">
        <f t="shared" si="29"/>
        <v>0</v>
      </c>
      <c r="AW33" s="786">
        <f>IF(AK33="A",AY10,0)</f>
        <v>0</v>
      </c>
      <c r="AX33" s="5495" t="str">
        <f>IF(IFERROR(SEARCH("Adresse PC",TRIM(W33)),0)&gt;0,"▼ receta siguiente",IF(AK33="A",IF(AZ10&lt;&gt;"",AZ10&amp;" - ou.or.o ❾ + or - &gt;",""),""))</f>
        <v/>
      </c>
      <c r="AY33" s="810"/>
      <c r="AZ33" s="810"/>
      <c r="BA33" s="788" t="str">
        <f t="shared" si="30"/>
        <v/>
      </c>
      <c r="BB33" s="789" t="str">
        <f>IF(AK33="A",IF(AQ33,IF(AND(AW33&lt;&gt;"",N(AW33)&gt;0),IFERROR(IFERROR(_xlfn.XLOOKUP(AP33,BP10:BP57,BT10:BT57),IFERROR(_xlfn.XLOOKUP(AP33,BQ10:BQ57,BT10:BT57),_xlfn.XLOOKUP(AP33,BR10:BR57,BT10:BT57,""))),""),""),""),"")</f>
        <v/>
      </c>
      <c r="BC33" s="811" cm="1">
        <f t="array" ref="BC33">IF(NOT(AQ33),0,IF(OR(BA33="",N(BA33)&lt;=0.000000001),"",IF(OR(AU33="",N(AU33)&lt;=0.000000001),0,IF(ISNUMBER(BA33),IFERROR(_xlfn.LET(_xlpm.ai_test,TRIM(AP33),_xlpm.r,IFERROR(_xlfn.XLOOKUP(_xlpm.ai_test,BP16:BP63,ROW(BP16:BP63),0,1),IFERROR(_xlfn.XLOOKUP(_xlpm.ai_test,BQ16:BQ63,ROW(BQ16:BQ63),0,1),_xlfn.XLOOKUP(_xlpm.ai_test,BR16:BR63,ROW(BR16:BR63),0,1))),_xlpm.p,_xlpm.r-MIN(ROW(BP16:BP63))+1,_xlpm.f,INDEX(BS16:BS63,_xlpm.p),_xlpm.u,INDEX(BT16:BT63,_xlpm.p),_xlpm.s,INDEX(BV16:BV63,_xlpm.p),_xlpm.q,N(BA33)/_xlpm.f,IF(_xlpm.q&gt;=_xlpm.s,ROUND(_xlpm.q,1)&amp;" "&amp;_xlpm.ai_test&amp;" = "&amp;ROUND(_xlpm.q*_xlpm.f,1)&amp;" "&amp;_xlpm.u,ROUND(_xlpm.q,1)&amp;" "&amp;_xlpm.ai_test)),""),""))))</f>
        <v>0</v>
      </c>
      <c r="BD33" s="801"/>
      <c r="BE33" s="788" t="str">
        <f t="shared" si="31"/>
        <v/>
      </c>
      <c r="BF33" s="789" t="str">
        <f t="shared" si="42"/>
        <v/>
      </c>
      <c r="BG33" s="790">
        <f t="shared" si="43"/>
        <v>0</v>
      </c>
      <c r="BH33" s="791" t="str">
        <f t="shared" si="44"/>
        <v/>
      </c>
      <c r="BI33" s="792"/>
      <c r="BJ33" s="793">
        <f t="shared" si="45"/>
        <v>0</v>
      </c>
      <c r="BK33" s="794" t="str">
        <f t="shared" si="39"/>
        <v/>
      </c>
      <c r="BL33" s="227" t="s">
        <v>21</v>
      </c>
      <c r="BM33" s="773">
        <f t="shared" si="36"/>
        <v>0</v>
      </c>
      <c r="BN33" s="774">
        <f t="shared" si="37"/>
        <v>0</v>
      </c>
      <c r="BO33" s="630"/>
      <c r="BP33" s="109" t="s">
        <v>147</v>
      </c>
      <c r="BQ33" s="109" t="s">
        <v>1325</v>
      </c>
      <c r="BR33" s="145" t="s">
        <v>1306</v>
      </c>
      <c r="BS33" s="767">
        <f t="shared" si="41"/>
        <v>0.2</v>
      </c>
      <c r="BT33" s="805" t="s">
        <v>1621</v>
      </c>
      <c r="BU33" s="805" t="s">
        <v>1622</v>
      </c>
      <c r="BV33" s="757">
        <f t="shared" si="40"/>
        <v>5</v>
      </c>
      <c r="BW33" s="806">
        <v>200</v>
      </c>
      <c r="BX33" s="630"/>
      <c r="BY33" s="630"/>
      <c r="BZ33" s="630"/>
      <c r="CA33" s="630"/>
      <c r="CB33" s="630"/>
      <c r="CC33" s="630"/>
      <c r="CD33" s="781" t="str">
        <f t="shared" si="15"/>
        <v>►</v>
      </c>
      <c r="CE33" s="814"/>
      <c r="CF33" s="814"/>
      <c r="CG33" s="814"/>
      <c r="CH33" s="814"/>
      <c r="CI33" s="814"/>
      <c r="CJ33" s="719"/>
      <c r="CK33" s="795"/>
      <c r="CL33" s="350"/>
      <c r="CM33" s="350"/>
      <c r="CN33" s="350"/>
      <c r="CO33" s="796" t="s">
        <v>1618</v>
      </c>
      <c r="CP33" s="350"/>
      <c r="CQ33" s="780"/>
      <c r="CS33" s="795"/>
      <c r="CT33" s="350"/>
      <c r="CU33" s="350"/>
      <c r="CV33" s="350"/>
      <c r="CW33" s="796" t="s">
        <v>1619</v>
      </c>
      <c r="CX33" s="350"/>
      <c r="CY33" s="780"/>
      <c r="DA33" s="795"/>
      <c r="DB33" s="350"/>
      <c r="DC33" s="350"/>
      <c r="DD33" s="350"/>
      <c r="DE33" s="796" t="s">
        <v>1620</v>
      </c>
      <c r="DF33" s="350"/>
      <c r="DG33" s="780"/>
      <c r="DI33" s="3">
        <v>1</v>
      </c>
    </row>
    <row r="34" spans="1:113" s="627" customFormat="1" ht="21" customHeight="1">
      <c r="A34" s="701" t="s">
        <v>21</v>
      </c>
      <c r="B34" s="2265" t="str" cm="1">
        <f t="array" ref="B34">SUMPRODUCT(--(D34:J34&lt;&gt;""), LEN(TRIM(SUBSTITUTE(D34:J34, CHAR(160), "")))) &amp; " Car."</f>
        <v>0 Car.</v>
      </c>
      <c r="C34" s="1376" t="str">
        <f>IF(ISBLANK(D34),"",LARGE(C13:C33,1)+1)</f>
        <v/>
      </c>
      <c r="D34" s="1833"/>
      <c r="E34" s="1810"/>
      <c r="F34" s="1810"/>
      <c r="G34" s="1810"/>
      <c r="H34" s="1810"/>
      <c r="I34" s="1810"/>
      <c r="J34" s="1810"/>
      <c r="K34" s="1810"/>
      <c r="L34" s="1811"/>
      <c r="M34" s="9"/>
      <c r="N34" s="103" t="str">
        <f t="shared" si="16"/>
        <v>►</v>
      </c>
      <c r="O34" s="1616"/>
      <c r="P34" s="9"/>
      <c r="Q34" s="25" t="s">
        <v>15</v>
      </c>
      <c r="R34" s="2237"/>
      <c r="S34" s="2237"/>
      <c r="T34" s="2237"/>
      <c r="U34" s="2237"/>
      <c r="V34" s="2240"/>
      <c r="W34" s="2241"/>
      <c r="X34" s="2239"/>
      <c r="Y34" s="2242"/>
      <c r="Z34" s="2250"/>
      <c r="AA34" s="2244"/>
      <c r="AB34" s="2244"/>
      <c r="AC34" s="2245"/>
      <c r="AD34" s="2246"/>
      <c r="AE34" s="2247"/>
      <c r="AF34" s="2248"/>
      <c r="AG34" s="2249"/>
      <c r="AH34" s="2249"/>
      <c r="AI34" s="2238"/>
      <c r="AJ34" s="2264"/>
      <c r="AK34" s="6120" t="str">
        <f t="shared" si="19"/>
        <v>►</v>
      </c>
      <c r="AL34" s="781" t="str">
        <f t="shared" si="21"/>
        <v>►</v>
      </c>
      <c r="AM34" s="5498" t="str">
        <f t="shared" si="22"/>
        <v/>
      </c>
      <c r="AN34" s="783" t="str">
        <f t="shared" si="38"/>
        <v/>
      </c>
      <c r="AO34" s="782" t="str">
        <f t="shared" si="24"/>
        <v/>
      </c>
      <c r="AP34" s="783" t="str">
        <f t="shared" si="25"/>
        <v/>
      </c>
      <c r="AQ34" s="2083" t="b">
        <f>AND(Q34="A",COUNTIF(BP16:BR63,TRIM(Z34))&gt;0)</f>
        <v>0</v>
      </c>
      <c r="AR34" s="797" t="str">
        <f>IF(AL34&lt;&gt;"A","",IFERROR(IFERROR(_xlfn.XLOOKUP(TRIM(SUBSTITUTE(Z34,CHAR(160)," ")),BP16:BP63,BS16:BS63),IFERROR(_xlfn.XLOOKUP(TRIM(SUBSTITUTE(Z34,CHAR(160)," ")),BQ16:BQ63,BS16:BS63),_xlfn.XLOOKUP(TRIM(SUBSTITUTE(Z34,CHAR(160)," ")),BR16:BR63,BS16:BS63)))*Y34*IF(ISBLANK(V34),1,V34),0))</f>
        <v/>
      </c>
      <c r="AS34" s="784" t="str">
        <f t="shared" si="26"/>
        <v/>
      </c>
      <c r="AT34" s="1315" t="str">
        <f t="shared" si="27"/>
        <v/>
      </c>
      <c r="AU34" s="785">
        <f t="shared" si="28"/>
        <v>0</v>
      </c>
      <c r="AV34" s="785">
        <f t="shared" si="29"/>
        <v>0</v>
      </c>
      <c r="AW34" s="798">
        <f>IF(AK34="A",AY10,0)</f>
        <v>0</v>
      </c>
      <c r="AX34" s="5496" t="str">
        <f>IF(IFERROR(SEARCH("Adresse PC",TRIM(W34)),0)&gt;0,"▼ receta siguiente",IF(AK34="A",IF(AZ10&lt;&gt;"",AZ10&amp;" - ou.or.o ❾ + or - &gt;",""),""))</f>
        <v/>
      </c>
      <c r="AY34" s="810"/>
      <c r="AZ34" s="810"/>
      <c r="BA34" s="799" t="str">
        <f t="shared" si="30"/>
        <v/>
      </c>
      <c r="BB34" s="800" t="str">
        <f>IF(AK34="A",IF(AQ34,IF(AND(AW34&lt;&gt;"",N(AW34)&gt;0),IFERROR(IFERROR(_xlfn.XLOOKUP(AP34,BP10:BP57,BT10:BT57),IFERROR(_xlfn.XLOOKUP(AP34,BQ10:BQ57,BT10:BT57),_xlfn.XLOOKUP(AP34,BR10:BR57,BT10:BT57,""))),""),""),""),"")</f>
        <v/>
      </c>
      <c r="BC34" s="813" cm="1">
        <f t="array" ref="BC34">IF(NOT(AQ34),0,IF(OR(BA34="",N(BA34)&lt;=0.000000001),"",IF(OR(AU34="",N(AU34)&lt;=0.000000001),0,IF(ISNUMBER(BA34),IFERROR(_xlfn.LET(_xlpm.ai_test,TRIM(AP34),_xlpm.r,IFERROR(_xlfn.XLOOKUP(_xlpm.ai_test,BP16:BP63,ROW(BP16:BP63),0,1),IFERROR(_xlfn.XLOOKUP(_xlpm.ai_test,BQ16:BQ63,ROW(BQ16:BQ63),0,1),_xlfn.XLOOKUP(_xlpm.ai_test,BR16:BR63,ROW(BR16:BR63),0,1))),_xlpm.p,_xlpm.r-MIN(ROW(BP16:BP63))+1,_xlpm.f,INDEX(BS16:BS63,_xlpm.p),_xlpm.u,INDEX(BT16:BT63,_xlpm.p),_xlpm.s,INDEX(BV16:BV63,_xlpm.p),_xlpm.q,N(BA34)/_xlpm.f,IF(_xlpm.q&gt;=_xlpm.s,ROUND(_xlpm.q,1)&amp;" "&amp;_xlpm.ai_test&amp;" = "&amp;ROUND(_xlpm.q*_xlpm.f,1)&amp;" "&amp;_xlpm.u,ROUND(_xlpm.q,1)&amp;" "&amp;_xlpm.ai_test)),""),""))))</f>
        <v>0</v>
      </c>
      <c r="BD34" s="801"/>
      <c r="BE34" s="799" t="str">
        <f t="shared" si="31"/>
        <v/>
      </c>
      <c r="BF34" s="800" t="str">
        <f t="shared" si="42"/>
        <v/>
      </c>
      <c r="BG34" s="802">
        <f t="shared" si="43"/>
        <v>0</v>
      </c>
      <c r="BH34" s="803" t="str">
        <f t="shared" si="44"/>
        <v/>
      </c>
      <c r="BI34" s="792"/>
      <c r="BJ34" s="804">
        <f t="shared" si="45"/>
        <v>0</v>
      </c>
      <c r="BK34" s="794" t="str">
        <f t="shared" si="39"/>
        <v/>
      </c>
      <c r="BL34" s="227" t="s">
        <v>21</v>
      </c>
      <c r="BM34" s="773">
        <f t="shared" si="36"/>
        <v>0</v>
      </c>
      <c r="BN34" s="774">
        <f t="shared" si="37"/>
        <v>0</v>
      </c>
      <c r="BO34" s="630"/>
      <c r="BP34" s="109" t="s">
        <v>105</v>
      </c>
      <c r="BQ34" s="109" t="s">
        <v>1335</v>
      </c>
      <c r="BR34" s="109" t="s">
        <v>1318</v>
      </c>
      <c r="BS34" s="767">
        <f t="shared" si="41"/>
        <v>0.22500000000000001</v>
      </c>
      <c r="BT34" s="805" t="s">
        <v>1621</v>
      </c>
      <c r="BU34" s="805" t="s">
        <v>1622</v>
      </c>
      <c r="BV34" s="757">
        <f t="shared" si="40"/>
        <v>4</v>
      </c>
      <c r="BW34" s="806">
        <v>225</v>
      </c>
      <c r="BX34" s="630"/>
      <c r="BY34" s="630"/>
      <c r="BZ34" s="630"/>
      <c r="CA34" s="630"/>
      <c r="CB34" s="630"/>
      <c r="CC34" s="630"/>
      <c r="CD34" s="781" t="str">
        <f t="shared" si="15"/>
        <v>►</v>
      </c>
      <c r="CE34" s="6887" t="s">
        <v>1629</v>
      </c>
      <c r="CF34" s="6887"/>
      <c r="CG34" s="6887"/>
      <c r="CH34" s="6887"/>
      <c r="CI34" s="6887"/>
      <c r="CJ34" s="719"/>
      <c r="CK34" s="795"/>
      <c r="CL34" s="350"/>
      <c r="CM34" s="350"/>
      <c r="CN34" s="350"/>
      <c r="CO34" s="807" t="s">
        <v>1623</v>
      </c>
      <c r="CP34" s="350"/>
      <c r="CQ34" s="780"/>
      <c r="CS34" s="795"/>
      <c r="CT34" s="350"/>
      <c r="CU34" s="350"/>
      <c r="CV34" s="350"/>
      <c r="CW34" s="796" t="s">
        <v>1624</v>
      </c>
      <c r="CX34" s="350"/>
      <c r="CY34" s="780"/>
      <c r="DA34" s="795"/>
      <c r="DB34" s="350"/>
      <c r="DC34" s="350"/>
      <c r="DD34" s="350"/>
      <c r="DE34" s="807" t="s">
        <v>1625</v>
      </c>
      <c r="DF34" s="350"/>
      <c r="DG34" s="780"/>
      <c r="DI34" s="3">
        <v>1</v>
      </c>
    </row>
    <row r="35" spans="1:113" s="627" customFormat="1" ht="21" customHeight="1">
      <c r="A35" s="701" t="s">
        <v>21</v>
      </c>
      <c r="B35" s="2265" t="str" cm="1">
        <f t="array" ref="B35">SUMPRODUCT(--(D35:J35&lt;&gt;""), LEN(TRIM(SUBSTITUTE(D35:J35, CHAR(160), "")))) &amp; " Car."</f>
        <v>0 Car.</v>
      </c>
      <c r="C35" s="1376" t="str">
        <f>IF(ISBLANK(D35),"",LARGE(C13:C34,1)+1)</f>
        <v/>
      </c>
      <c r="D35" s="1833"/>
      <c r="E35" s="1810"/>
      <c r="F35" s="1810"/>
      <c r="G35" s="1810"/>
      <c r="H35" s="1810"/>
      <c r="I35" s="1810"/>
      <c r="J35" s="1810"/>
      <c r="K35" s="1810"/>
      <c r="L35" s="1811"/>
      <c r="M35" s="9"/>
      <c r="N35" s="103" t="str">
        <f t="shared" si="16"/>
        <v>►</v>
      </c>
      <c r="O35" s="1616"/>
      <c r="P35" s="9"/>
      <c r="Q35" s="25" t="s">
        <v>15</v>
      </c>
      <c r="R35" s="2237"/>
      <c r="S35" s="2237"/>
      <c r="T35" s="2237"/>
      <c r="U35" s="2237"/>
      <c r="V35" s="2240"/>
      <c r="W35" s="2241"/>
      <c r="X35" s="2239"/>
      <c r="Y35" s="2242"/>
      <c r="Z35" s="2250"/>
      <c r="AA35" s="2244"/>
      <c r="AB35" s="2244"/>
      <c r="AC35" s="2245"/>
      <c r="AD35" s="2246"/>
      <c r="AE35" s="2247"/>
      <c r="AF35" s="2248"/>
      <c r="AG35" s="2249"/>
      <c r="AH35" s="2249"/>
      <c r="AI35" s="2238"/>
      <c r="AJ35" s="2264"/>
      <c r="AK35" s="6120" t="str">
        <f t="shared" si="19"/>
        <v>►</v>
      </c>
      <c r="AL35" s="781" t="str">
        <f t="shared" si="21"/>
        <v>►</v>
      </c>
      <c r="AM35" s="5499" t="str">
        <f t="shared" si="22"/>
        <v/>
      </c>
      <c r="AN35" s="783" t="str">
        <f t="shared" si="38"/>
        <v/>
      </c>
      <c r="AO35" s="782" t="str">
        <f t="shared" si="24"/>
        <v/>
      </c>
      <c r="AP35" s="783" t="str">
        <f t="shared" si="25"/>
        <v/>
      </c>
      <c r="AQ35" s="2083" t="b">
        <f>AND(Q35="A",COUNTIF(BP16:BR63,TRIM(Z35))&gt;0)</f>
        <v>0</v>
      </c>
      <c r="AR35" s="797" t="str">
        <f>IF(AL35&lt;&gt;"A","",IFERROR(IFERROR(_xlfn.XLOOKUP(TRIM(SUBSTITUTE(Z35,CHAR(160)," ")),BP16:BP63,BS16:BS63),IFERROR(_xlfn.XLOOKUP(TRIM(SUBSTITUTE(Z35,CHAR(160)," ")),BQ16:BQ63,BS16:BS63),_xlfn.XLOOKUP(TRIM(SUBSTITUTE(Z35,CHAR(160)," ")),BR16:BR63,BS16:BS63)))*Y35*IF(ISBLANK(V35),1,V35),0))</f>
        <v/>
      </c>
      <c r="AS35" s="784" t="str">
        <f t="shared" si="26"/>
        <v/>
      </c>
      <c r="AT35" s="1315" t="str">
        <f t="shared" si="27"/>
        <v/>
      </c>
      <c r="AU35" s="785">
        <f t="shared" si="28"/>
        <v>0</v>
      </c>
      <c r="AV35" s="785">
        <f t="shared" si="29"/>
        <v>0</v>
      </c>
      <c r="AW35" s="786">
        <f>IF(AK35="A",AY10,0)</f>
        <v>0</v>
      </c>
      <c r="AX35" s="5495" t="str">
        <f>IF(IFERROR(SEARCH("Adresse PC",TRIM(W35)),0)&gt;0,"▼ receta siguiente",IF(AK35="A",IF(AZ10&lt;&gt;"",AZ10&amp;" - ou.or.o ❾ + or - &gt;",""),""))</f>
        <v/>
      </c>
      <c r="AY35" s="810"/>
      <c r="AZ35" s="810"/>
      <c r="BA35" s="788" t="str">
        <f t="shared" si="30"/>
        <v/>
      </c>
      <c r="BB35" s="789" t="str">
        <f>IF(AK35="A",IF(AQ35,IF(AND(AW35&lt;&gt;"",N(AW35)&gt;0),IFERROR(IFERROR(_xlfn.XLOOKUP(AP35,BP10:BP57,BT10:BT57),IFERROR(_xlfn.XLOOKUP(AP35,BQ10:BQ57,BT10:BT57),_xlfn.XLOOKUP(AP35,BR10:BR57,BT10:BT57,""))),""),""),""),"")</f>
        <v/>
      </c>
      <c r="BC35" s="811" cm="1">
        <f t="array" ref="BC35">IF(NOT(AQ35),0,IF(OR(BA35="",N(BA35)&lt;=0.000000001),"",IF(OR(AU35="",N(AU35)&lt;=0.000000001),0,IF(ISNUMBER(BA35),IFERROR(_xlfn.LET(_xlpm.ai_test,TRIM(AP35),_xlpm.r,IFERROR(_xlfn.XLOOKUP(_xlpm.ai_test,BP16:BP63,ROW(BP16:BP63),0,1),IFERROR(_xlfn.XLOOKUP(_xlpm.ai_test,BQ16:BQ63,ROW(BQ16:BQ63),0,1),_xlfn.XLOOKUP(_xlpm.ai_test,BR16:BR63,ROW(BR16:BR63),0,1))),_xlpm.p,_xlpm.r-MIN(ROW(BP16:BP63))+1,_xlpm.f,INDEX(BS16:BS63,_xlpm.p),_xlpm.u,INDEX(BT16:BT63,_xlpm.p),_xlpm.s,INDEX(BV16:BV63,_xlpm.p),_xlpm.q,N(BA35)/_xlpm.f,IF(_xlpm.q&gt;=_xlpm.s,ROUND(_xlpm.q,1)&amp;" "&amp;_xlpm.ai_test&amp;" = "&amp;ROUND(_xlpm.q*_xlpm.f,1)&amp;" "&amp;_xlpm.u,ROUND(_xlpm.q,1)&amp;" "&amp;_xlpm.ai_test)),""),""))))</f>
        <v>0</v>
      </c>
      <c r="BD35" s="801"/>
      <c r="BE35" s="788" t="str">
        <f t="shared" si="31"/>
        <v/>
      </c>
      <c r="BF35" s="789" t="str">
        <f t="shared" si="42"/>
        <v/>
      </c>
      <c r="BG35" s="790">
        <f t="shared" si="43"/>
        <v>0</v>
      </c>
      <c r="BH35" s="791" t="str">
        <f t="shared" si="44"/>
        <v/>
      </c>
      <c r="BI35" s="792"/>
      <c r="BJ35" s="793">
        <f t="shared" si="45"/>
        <v>0</v>
      </c>
      <c r="BK35" s="794" t="str">
        <f t="shared" si="39"/>
        <v/>
      </c>
      <c r="BL35" s="227" t="s">
        <v>21</v>
      </c>
      <c r="BM35" s="773">
        <f t="shared" si="36"/>
        <v>0</v>
      </c>
      <c r="BN35" s="774">
        <f t="shared" si="37"/>
        <v>0</v>
      </c>
      <c r="BO35" s="630"/>
      <c r="BP35" s="815" t="s">
        <v>1635</v>
      </c>
      <c r="BQ35" s="815" t="s">
        <v>1636</v>
      </c>
      <c r="BR35" s="815" t="s">
        <v>1637</v>
      </c>
      <c r="BS35" s="767">
        <f t="shared" si="41"/>
        <v>0.11799999999999999</v>
      </c>
      <c r="BT35" s="805" t="s">
        <v>1621</v>
      </c>
      <c r="BU35" s="805" t="s">
        <v>1622</v>
      </c>
      <c r="BV35" s="757">
        <f t="shared" si="40"/>
        <v>8</v>
      </c>
      <c r="BW35" s="806">
        <v>118</v>
      </c>
      <c r="BX35" s="630"/>
      <c r="BY35" s="630"/>
      <c r="BZ35" s="630"/>
      <c r="CA35" s="630"/>
      <c r="CB35" s="630"/>
      <c r="CC35" s="630"/>
      <c r="CD35" s="781" t="str">
        <f t="shared" si="15"/>
        <v>►</v>
      </c>
      <c r="CE35" s="6887"/>
      <c r="CF35" s="6887"/>
      <c r="CG35" s="6887"/>
      <c r="CH35" s="6887"/>
      <c r="CI35" s="6887"/>
      <c r="CJ35" s="719"/>
      <c r="CK35" s="762"/>
      <c r="CL35" s="808"/>
      <c r="CM35" s="754"/>
      <c r="CN35" s="809" t="s">
        <v>8962</v>
      </c>
      <c r="CO35" s="754"/>
      <c r="CP35" s="754"/>
      <c r="CQ35" s="755"/>
      <c r="CS35" s="762"/>
      <c r="CT35" s="808"/>
      <c r="CU35" s="754"/>
      <c r="CV35" s="809" t="s">
        <v>8963</v>
      </c>
      <c r="CW35" s="754"/>
      <c r="CX35" s="754"/>
      <c r="CY35" s="755"/>
      <c r="DA35" s="762"/>
      <c r="DB35" s="808"/>
      <c r="DC35" s="754"/>
      <c r="DD35" s="809" t="s">
        <v>8964</v>
      </c>
      <c r="DE35" s="754"/>
      <c r="DF35" s="754"/>
      <c r="DG35" s="755"/>
      <c r="DI35" s="3">
        <v>1</v>
      </c>
    </row>
    <row r="36" spans="1:113" s="627" customFormat="1" ht="21" customHeight="1">
      <c r="A36" s="701" t="s">
        <v>21</v>
      </c>
      <c r="B36" s="2265" t="str" cm="1">
        <f t="array" ref="B36">SUMPRODUCT(--(D36:J36&lt;&gt;""), LEN(TRIM(SUBSTITUTE(D36:J36, CHAR(160), "")))) &amp; " Car."</f>
        <v>0 Car.</v>
      </c>
      <c r="C36" s="1376" t="str">
        <f>IF(ISBLANK(D36),"",LARGE(C13:C35,1)+1)</f>
        <v/>
      </c>
      <c r="D36" s="1833"/>
      <c r="E36" s="1810"/>
      <c r="F36" s="1810"/>
      <c r="G36" s="1810"/>
      <c r="H36" s="1810"/>
      <c r="I36" s="1810"/>
      <c r="J36" s="1810"/>
      <c r="K36" s="1810"/>
      <c r="L36" s="1811"/>
      <c r="M36" s="9"/>
      <c r="N36" s="103" t="str">
        <f t="shared" si="16"/>
        <v>►</v>
      </c>
      <c r="O36" s="1616"/>
      <c r="P36" s="9"/>
      <c r="Q36" s="25" t="s">
        <v>15</v>
      </c>
      <c r="R36" s="2237"/>
      <c r="S36" s="2237"/>
      <c r="T36" s="2237"/>
      <c r="U36" s="2237"/>
      <c r="V36" s="2240"/>
      <c r="W36" s="2241"/>
      <c r="X36" s="2239"/>
      <c r="Y36" s="2242"/>
      <c r="Z36" s="2250"/>
      <c r="AA36" s="2244"/>
      <c r="AB36" s="2244"/>
      <c r="AC36" s="2245"/>
      <c r="AD36" s="2246"/>
      <c r="AE36" s="2247"/>
      <c r="AF36" s="2248"/>
      <c r="AG36" s="2249"/>
      <c r="AH36" s="2249"/>
      <c r="AI36" s="2238"/>
      <c r="AJ36" s="2264"/>
      <c r="AK36" s="6120" t="str">
        <f t="shared" si="19"/>
        <v>►</v>
      </c>
      <c r="AL36" s="781" t="str">
        <f t="shared" si="21"/>
        <v>►</v>
      </c>
      <c r="AM36" s="5498" t="str">
        <f t="shared" si="22"/>
        <v/>
      </c>
      <c r="AN36" s="783" t="str">
        <f t="shared" si="38"/>
        <v/>
      </c>
      <c r="AO36" s="782" t="str">
        <f t="shared" si="24"/>
        <v/>
      </c>
      <c r="AP36" s="783" t="str">
        <f t="shared" si="25"/>
        <v/>
      </c>
      <c r="AQ36" s="2083" t="b">
        <f>AND(Q36="A",COUNTIF(BP16:BR63,TRIM(Z36))&gt;0)</f>
        <v>0</v>
      </c>
      <c r="AR36" s="797" t="str">
        <f>IF(AL36&lt;&gt;"A","",IFERROR(IFERROR(_xlfn.XLOOKUP(TRIM(SUBSTITUTE(Z36,CHAR(160)," ")),BP16:BP63,BS16:BS63),IFERROR(_xlfn.XLOOKUP(TRIM(SUBSTITUTE(Z36,CHAR(160)," ")),BQ16:BQ63,BS16:BS63),_xlfn.XLOOKUP(TRIM(SUBSTITUTE(Z36,CHAR(160)," ")),BR16:BR63,BS16:BS63)))*Y36*IF(ISBLANK(V36),1,V36),0))</f>
        <v/>
      </c>
      <c r="AS36" s="784" t="str">
        <f t="shared" si="26"/>
        <v/>
      </c>
      <c r="AT36" s="1315" t="str">
        <f t="shared" si="27"/>
        <v/>
      </c>
      <c r="AU36" s="785">
        <f t="shared" si="28"/>
        <v>0</v>
      </c>
      <c r="AV36" s="785">
        <f t="shared" si="29"/>
        <v>0</v>
      </c>
      <c r="AW36" s="798">
        <f>IF(AK36="A",AY10,0)</f>
        <v>0</v>
      </c>
      <c r="AX36" s="5496" t="str">
        <f>IF(IFERROR(SEARCH("Adresse PC",TRIM(W36)),0)&gt;0,"▼ receta siguiente",IF(AK36="A",IF(AZ10&lt;&gt;"",AZ10&amp;" - ou.or.o ❾ + or - &gt;",""),""))</f>
        <v/>
      </c>
      <c r="AY36" s="810"/>
      <c r="AZ36" s="810"/>
      <c r="BA36" s="799" t="str">
        <f t="shared" si="30"/>
        <v/>
      </c>
      <c r="BB36" s="800" t="str">
        <f>IF(AK36="A",IF(AQ36,IF(AND(AW36&lt;&gt;"",N(AW36)&gt;0),IFERROR(IFERROR(_xlfn.XLOOKUP(AP36,BP10:BP57,BT10:BT57),IFERROR(_xlfn.XLOOKUP(AP36,BQ10:BQ57,BT10:BT57),_xlfn.XLOOKUP(AP36,BR10:BR57,BT10:BT57,""))),""),""),""),"")</f>
        <v/>
      </c>
      <c r="BC36" s="813" cm="1">
        <f t="array" ref="BC36">IF(NOT(AQ36),0,IF(OR(BA36="",N(BA36)&lt;=0.000000001),"",IF(OR(AU36="",N(AU36)&lt;=0.000000001),0,IF(ISNUMBER(BA36),IFERROR(_xlfn.LET(_xlpm.ai_test,TRIM(AP36),_xlpm.r,IFERROR(_xlfn.XLOOKUP(_xlpm.ai_test,BP16:BP63,ROW(BP16:BP63),0,1),IFERROR(_xlfn.XLOOKUP(_xlpm.ai_test,BQ16:BQ63,ROW(BQ16:BQ63),0,1),_xlfn.XLOOKUP(_xlpm.ai_test,BR16:BR63,ROW(BR16:BR63),0,1))),_xlpm.p,_xlpm.r-MIN(ROW(BP16:BP63))+1,_xlpm.f,INDEX(BS16:BS63,_xlpm.p),_xlpm.u,INDEX(BT16:BT63,_xlpm.p),_xlpm.s,INDEX(BV16:BV63,_xlpm.p),_xlpm.q,N(BA36)/_xlpm.f,IF(_xlpm.q&gt;=_xlpm.s,ROUND(_xlpm.q,1)&amp;" "&amp;_xlpm.ai_test&amp;" = "&amp;ROUND(_xlpm.q*_xlpm.f,1)&amp;" "&amp;_xlpm.u,ROUND(_xlpm.q,1)&amp;" "&amp;_xlpm.ai_test)),""),""))))</f>
        <v>0</v>
      </c>
      <c r="BD36" s="801"/>
      <c r="BE36" s="799" t="str">
        <f t="shared" si="31"/>
        <v/>
      </c>
      <c r="BF36" s="800" t="str">
        <f t="shared" si="42"/>
        <v/>
      </c>
      <c r="BG36" s="802">
        <f t="shared" si="43"/>
        <v>0</v>
      </c>
      <c r="BH36" s="803" t="str">
        <f t="shared" si="44"/>
        <v/>
      </c>
      <c r="BI36" s="792"/>
      <c r="BJ36" s="804">
        <f t="shared" si="45"/>
        <v>0</v>
      </c>
      <c r="BK36" s="794" t="str">
        <f t="shared" si="39"/>
        <v/>
      </c>
      <c r="BL36" s="227" t="s">
        <v>21</v>
      </c>
      <c r="BM36" s="773">
        <f t="shared" si="36"/>
        <v>0</v>
      </c>
      <c r="BN36" s="774">
        <f t="shared" si="37"/>
        <v>0</v>
      </c>
      <c r="BO36" s="630"/>
      <c r="BP36" s="815" t="s">
        <v>1638</v>
      </c>
      <c r="BQ36" s="815" t="s">
        <v>1639</v>
      </c>
      <c r="BR36" s="815" t="s">
        <v>1640</v>
      </c>
      <c r="BS36" s="767">
        <f t="shared" si="41"/>
        <v>0.25</v>
      </c>
      <c r="BT36" s="805" t="s">
        <v>1621</v>
      </c>
      <c r="BU36" s="805" t="s">
        <v>1622</v>
      </c>
      <c r="BV36" s="757">
        <f t="shared" si="40"/>
        <v>4</v>
      </c>
      <c r="BW36" s="806">
        <v>250</v>
      </c>
      <c r="BX36" s="630"/>
      <c r="BY36" s="630"/>
      <c r="BZ36" s="630"/>
      <c r="CA36" s="630"/>
      <c r="CB36" s="630"/>
      <c r="CC36" s="630"/>
      <c r="CD36" s="781" t="str">
        <f t="shared" si="15"/>
        <v>►</v>
      </c>
      <c r="CE36" s="761"/>
      <c r="CF36" s="634"/>
      <c r="CG36" s="634"/>
      <c r="CH36" s="635"/>
      <c r="CI36" s="635"/>
      <c r="CJ36" s="719"/>
      <c r="CK36" s="775"/>
      <c r="CL36" s="763"/>
      <c r="CM36" s="754"/>
      <c r="CN36" s="754"/>
      <c r="CO36" s="754"/>
      <c r="CP36" s="754"/>
      <c r="CQ36" s="755"/>
      <c r="CS36" s="775"/>
      <c r="CT36" s="763"/>
      <c r="CU36" s="754"/>
      <c r="CV36" s="754"/>
      <c r="CW36" s="754"/>
      <c r="CX36" s="754"/>
      <c r="CY36" s="755"/>
      <c r="DA36" s="775"/>
      <c r="DB36" s="763"/>
      <c r="DC36" s="754"/>
      <c r="DD36" s="754"/>
      <c r="DE36" s="754"/>
      <c r="DF36" s="754"/>
      <c r="DG36" s="755"/>
      <c r="DI36" s="3">
        <v>1</v>
      </c>
    </row>
    <row r="37" spans="1:113" s="627" customFormat="1" ht="21" customHeight="1">
      <c r="A37" s="701" t="s">
        <v>21</v>
      </c>
      <c r="B37" s="2265" t="str" cm="1">
        <f t="array" ref="B37">SUMPRODUCT(--(D37:J37&lt;&gt;""), LEN(TRIM(SUBSTITUTE(D37:J37, CHAR(160), "")))) &amp; " Car."</f>
        <v>0 Car.</v>
      </c>
      <c r="C37" s="1376" t="str">
        <f>IF(ISBLANK(D37),"",LARGE(C13:C36,1)+1)</f>
        <v/>
      </c>
      <c r="D37" s="1833"/>
      <c r="E37" s="1810"/>
      <c r="F37" s="1810"/>
      <c r="G37" s="1810"/>
      <c r="H37" s="1810"/>
      <c r="I37" s="1810"/>
      <c r="J37" s="1810"/>
      <c r="K37" s="1810"/>
      <c r="L37" s="1811"/>
      <c r="M37" s="9"/>
      <c r="N37" s="103" t="str">
        <f t="shared" si="16"/>
        <v>►</v>
      </c>
      <c r="O37" s="1616"/>
      <c r="P37" s="9"/>
      <c r="Q37" s="25" t="s">
        <v>15</v>
      </c>
      <c r="R37" s="2237"/>
      <c r="S37" s="2237"/>
      <c r="T37" s="2237"/>
      <c r="U37" s="2237"/>
      <c r="V37" s="2240"/>
      <c r="W37" s="2241"/>
      <c r="X37" s="2239"/>
      <c r="Y37" s="2242"/>
      <c r="Z37" s="2250"/>
      <c r="AA37" s="2244"/>
      <c r="AB37" s="2244"/>
      <c r="AC37" s="2245"/>
      <c r="AD37" s="2246"/>
      <c r="AE37" s="2247"/>
      <c r="AF37" s="2248"/>
      <c r="AG37" s="2249"/>
      <c r="AH37" s="2249"/>
      <c r="AI37" s="2238"/>
      <c r="AJ37" s="2264"/>
      <c r="AK37" s="6120" t="str">
        <f t="shared" si="19"/>
        <v>►</v>
      </c>
      <c r="AL37" s="781" t="str">
        <f t="shared" si="21"/>
        <v>►</v>
      </c>
      <c r="AM37" s="5499" t="str">
        <f t="shared" si="22"/>
        <v/>
      </c>
      <c r="AN37" s="783" t="str">
        <f t="shared" si="38"/>
        <v/>
      </c>
      <c r="AO37" s="782" t="str">
        <f t="shared" si="24"/>
        <v/>
      </c>
      <c r="AP37" s="783" t="str">
        <f t="shared" si="25"/>
        <v/>
      </c>
      <c r="AQ37" s="2083" t="b">
        <f>AND(Q37="A",COUNTIF(BP16:BR63,TRIM(Z37))&gt;0)</f>
        <v>0</v>
      </c>
      <c r="AR37" s="797" t="str">
        <f>IF(AL37&lt;&gt;"A","",IFERROR(IFERROR(_xlfn.XLOOKUP(TRIM(SUBSTITUTE(Z37,CHAR(160)," ")),BP16:BP63,BS16:BS63),IFERROR(_xlfn.XLOOKUP(TRIM(SUBSTITUTE(Z37,CHAR(160)," ")),BQ16:BQ63,BS16:BS63),_xlfn.XLOOKUP(TRIM(SUBSTITUTE(Z37,CHAR(160)," ")),BR16:BR63,BS16:BS63)))*Y37*IF(ISBLANK(V37),1,V37),0))</f>
        <v/>
      </c>
      <c r="AS37" s="784" t="str">
        <f t="shared" si="26"/>
        <v/>
      </c>
      <c r="AT37" s="1315" t="str">
        <f t="shared" si="27"/>
        <v/>
      </c>
      <c r="AU37" s="785">
        <f t="shared" si="28"/>
        <v>0</v>
      </c>
      <c r="AV37" s="785">
        <f t="shared" si="29"/>
        <v>0</v>
      </c>
      <c r="AW37" s="786">
        <f>IF(AK37="A",AY10,0)</f>
        <v>0</v>
      </c>
      <c r="AX37" s="5495" t="str">
        <f>IF(IFERROR(SEARCH("Adresse PC",TRIM(W37)),0)&gt;0,"▼ receta siguiente",IF(AK37="A",IF(AZ10&lt;&gt;"",AZ10&amp;" - ou.or.o ❾ + or - &gt;",""),""))</f>
        <v/>
      </c>
      <c r="AY37" s="810"/>
      <c r="AZ37" s="810"/>
      <c r="BA37" s="788" t="str">
        <f t="shared" si="30"/>
        <v/>
      </c>
      <c r="BB37" s="789" t="str">
        <f>IF(AK37="A",IF(AQ37,IF(AND(AW37&lt;&gt;"",N(AW37)&gt;0),IFERROR(IFERROR(_xlfn.XLOOKUP(AP37,BP10:BP57,BT10:BT57),IFERROR(_xlfn.XLOOKUP(AP37,BQ10:BQ57,BT10:BT57),_xlfn.XLOOKUP(AP37,BR10:BR57,BT10:BT57,""))),""),""),""),"")</f>
        <v/>
      </c>
      <c r="BC37" s="811" cm="1">
        <f t="array" ref="BC37">IF(NOT(AQ37),0,IF(OR(BA37="",N(BA37)&lt;=0.000000001),"",IF(OR(AU37="",N(AU37)&lt;=0.000000001),0,IF(ISNUMBER(BA37),IFERROR(_xlfn.LET(_xlpm.ai_test,TRIM(AP37),_xlpm.r,IFERROR(_xlfn.XLOOKUP(_xlpm.ai_test,BP16:BP63,ROW(BP16:BP63),0,1),IFERROR(_xlfn.XLOOKUP(_xlpm.ai_test,BQ16:BQ63,ROW(BQ16:BQ63),0,1),_xlfn.XLOOKUP(_xlpm.ai_test,BR16:BR63,ROW(BR16:BR63),0,1))),_xlpm.p,_xlpm.r-MIN(ROW(BP16:BP63))+1,_xlpm.f,INDEX(BS16:BS63,_xlpm.p),_xlpm.u,INDEX(BT16:BT63,_xlpm.p),_xlpm.s,INDEX(BV16:BV63,_xlpm.p),_xlpm.q,N(BA37)/_xlpm.f,IF(_xlpm.q&gt;=_xlpm.s,ROUND(_xlpm.q,1)&amp;" "&amp;_xlpm.ai_test&amp;" = "&amp;ROUND(_xlpm.q*_xlpm.f,1)&amp;" "&amp;_xlpm.u,ROUND(_xlpm.q,1)&amp;" "&amp;_xlpm.ai_test)),""),""))))</f>
        <v>0</v>
      </c>
      <c r="BD37" s="801"/>
      <c r="BE37" s="788" t="str">
        <f t="shared" si="31"/>
        <v/>
      </c>
      <c r="BF37" s="789" t="str">
        <f t="shared" si="42"/>
        <v/>
      </c>
      <c r="BG37" s="790">
        <f t="shared" si="43"/>
        <v>0</v>
      </c>
      <c r="BH37" s="791" t="str">
        <f t="shared" si="44"/>
        <v/>
      </c>
      <c r="BI37" s="792"/>
      <c r="BJ37" s="793">
        <f t="shared" si="45"/>
        <v>0</v>
      </c>
      <c r="BK37" s="794" t="str">
        <f t="shared" si="39"/>
        <v/>
      </c>
      <c r="BL37" s="227" t="s">
        <v>21</v>
      </c>
      <c r="BM37" s="773">
        <f t="shared" si="36"/>
        <v>0</v>
      </c>
      <c r="BN37" s="774">
        <f t="shared" si="37"/>
        <v>0</v>
      </c>
      <c r="BO37" s="630"/>
      <c r="BP37" s="815" t="s">
        <v>1644</v>
      </c>
      <c r="BQ37" s="815" t="s">
        <v>1645</v>
      </c>
      <c r="BR37" s="815" t="s">
        <v>1646</v>
      </c>
      <c r="BS37" s="767">
        <f t="shared" si="41"/>
        <v>0.15</v>
      </c>
      <c r="BT37" s="805" t="s">
        <v>1621</v>
      </c>
      <c r="BU37" s="805" t="s">
        <v>1622</v>
      </c>
      <c r="BV37" s="757">
        <f t="shared" si="40"/>
        <v>7</v>
      </c>
      <c r="BW37" s="806">
        <v>150</v>
      </c>
      <c r="BX37" s="630"/>
      <c r="BY37" s="630"/>
      <c r="BZ37" s="630"/>
      <c r="CA37" s="630"/>
      <c r="CB37" s="630"/>
      <c r="CC37" s="630"/>
      <c r="CD37" s="781" t="str">
        <f t="shared" si="15"/>
        <v>►</v>
      </c>
      <c r="CE37" s="6888" t="s">
        <v>1647</v>
      </c>
      <c r="CF37" s="6888"/>
      <c r="CG37" s="6888"/>
      <c r="CH37" s="6888"/>
      <c r="CI37" s="6888"/>
      <c r="CJ37" s="719"/>
      <c r="CK37" s="6511" t="s">
        <v>8965</v>
      </c>
      <c r="CL37" s="6512"/>
      <c r="CM37" s="6512"/>
      <c r="CN37" s="6512"/>
      <c r="CO37" s="6512"/>
      <c r="CP37" s="6512"/>
      <c r="CQ37" s="6513"/>
      <c r="CS37" s="6511" t="s">
        <v>8966</v>
      </c>
      <c r="CT37" s="6512"/>
      <c r="CU37" s="6512"/>
      <c r="CV37" s="6512"/>
      <c r="CW37" s="6512"/>
      <c r="CX37" s="6512"/>
      <c r="CY37" s="6513"/>
      <c r="DA37" s="6511" t="s">
        <v>8967</v>
      </c>
      <c r="DB37" s="6512"/>
      <c r="DC37" s="6512"/>
      <c r="DD37" s="6512"/>
      <c r="DE37" s="6512"/>
      <c r="DF37" s="6512"/>
      <c r="DG37" s="6513"/>
      <c r="DI37" s="3">
        <v>1</v>
      </c>
    </row>
    <row r="38" spans="1:113" s="627" customFormat="1" ht="21" customHeight="1">
      <c r="A38" s="701" t="s">
        <v>21</v>
      </c>
      <c r="B38" s="2265" t="str" cm="1">
        <f t="array" ref="B38">SUMPRODUCT(--(D38:J38&lt;&gt;""), LEN(TRIM(SUBSTITUTE(D38:J38, CHAR(160), "")))) &amp; " Car."</f>
        <v>0 Car.</v>
      </c>
      <c r="C38" s="1376" t="str">
        <f>IF(ISBLANK(D38),"",LARGE(C13:C37,1)+1)</f>
        <v/>
      </c>
      <c r="D38" s="1833"/>
      <c r="E38" s="1810"/>
      <c r="F38" s="1810"/>
      <c r="G38" s="1810"/>
      <c r="H38" s="1810"/>
      <c r="I38" s="1810"/>
      <c r="J38" s="1810"/>
      <c r="K38" s="1810"/>
      <c r="L38" s="1811"/>
      <c r="M38" s="9"/>
      <c r="N38" s="25" t="str">
        <f t="shared" si="16"/>
        <v>►</v>
      </c>
      <c r="O38" s="6845" t="s">
        <v>8255</v>
      </c>
      <c r="P38" s="9"/>
      <c r="Q38" s="25" t="s">
        <v>15</v>
      </c>
      <c r="R38" s="2237"/>
      <c r="S38" s="2237"/>
      <c r="T38" s="2237"/>
      <c r="U38" s="2237"/>
      <c r="V38" s="2240"/>
      <c r="W38" s="2241"/>
      <c r="X38" s="2239"/>
      <c r="Y38" s="2242"/>
      <c r="Z38" s="2250"/>
      <c r="AA38" s="2244"/>
      <c r="AB38" s="2244"/>
      <c r="AC38" s="2245"/>
      <c r="AD38" s="2246"/>
      <c r="AE38" s="2247"/>
      <c r="AF38" s="2248"/>
      <c r="AG38" s="2249"/>
      <c r="AH38" s="2249"/>
      <c r="AI38" s="2238"/>
      <c r="AJ38" s="2264"/>
      <c r="AK38" s="6120" t="str">
        <f t="shared" si="19"/>
        <v>►</v>
      </c>
      <c r="AL38" s="781" t="str">
        <f t="shared" si="21"/>
        <v>►</v>
      </c>
      <c r="AM38" s="5498" t="str">
        <f t="shared" si="22"/>
        <v/>
      </c>
      <c r="AN38" s="783" t="str">
        <f t="shared" si="38"/>
        <v/>
      </c>
      <c r="AO38" s="782" t="str">
        <f t="shared" si="24"/>
        <v/>
      </c>
      <c r="AP38" s="783" t="str">
        <f t="shared" si="25"/>
        <v/>
      </c>
      <c r="AQ38" s="2083" t="b">
        <f>AND(Q38="A",COUNTIF(BP16:BR63,TRIM(Z38))&gt;0)</f>
        <v>0</v>
      </c>
      <c r="AR38" s="797" t="str">
        <f>IF(AL38&lt;&gt;"A","",IFERROR(IFERROR(_xlfn.XLOOKUP(TRIM(SUBSTITUTE(Z38,CHAR(160)," ")),BP16:BP63,BS16:BS63),IFERROR(_xlfn.XLOOKUP(TRIM(SUBSTITUTE(Z38,CHAR(160)," ")),BQ16:BQ63,BS16:BS63),_xlfn.XLOOKUP(TRIM(SUBSTITUTE(Z38,CHAR(160)," ")),BR16:BR63,BS16:BS63)))*Y38*IF(ISBLANK(V38),1,V38),0))</f>
        <v/>
      </c>
      <c r="AS38" s="784" t="str">
        <f t="shared" si="26"/>
        <v/>
      </c>
      <c r="AT38" s="1315" t="str">
        <f t="shared" si="27"/>
        <v/>
      </c>
      <c r="AU38" s="785">
        <f t="shared" si="28"/>
        <v>0</v>
      </c>
      <c r="AV38" s="785">
        <f t="shared" si="29"/>
        <v>0</v>
      </c>
      <c r="AW38" s="798">
        <f>IF(AK38="A",AY10,0)</f>
        <v>0</v>
      </c>
      <c r="AX38" s="5496" t="str">
        <f>IF(IFERROR(SEARCH("Adresse PC",TRIM(W38)),0)&gt;0,"▼ receta siguiente",IF(AK38="A",IF(AZ10&lt;&gt;"",AZ10&amp;" - ou.or.o ❾ + or - &gt;",""),""))</f>
        <v/>
      </c>
      <c r="AY38" s="810"/>
      <c r="AZ38" s="810"/>
      <c r="BA38" s="799" t="str">
        <f t="shared" si="30"/>
        <v/>
      </c>
      <c r="BB38" s="800" t="str">
        <f>IF(AK38="A",IF(AQ38,IF(AND(AW38&lt;&gt;"",N(AW38)&gt;0),IFERROR(IFERROR(_xlfn.XLOOKUP(AP38,BP10:BP57,BT10:BT57),IFERROR(_xlfn.XLOOKUP(AP38,BQ10:BQ57,BT10:BT57),_xlfn.XLOOKUP(AP38,BR10:BR57,BT10:BT57,""))),""),""),""),"")</f>
        <v/>
      </c>
      <c r="BC38" s="813" cm="1">
        <f t="array" ref="BC38">IF(NOT(AQ38),0,IF(OR(BA38="",N(BA38)&lt;=0.000000001),"",IF(OR(AU38="",N(AU38)&lt;=0.000000001),0,IF(ISNUMBER(BA38),IFERROR(_xlfn.LET(_xlpm.ai_test,TRIM(AP38),_xlpm.r,IFERROR(_xlfn.XLOOKUP(_xlpm.ai_test,BP16:BP63,ROW(BP16:BP63),0,1),IFERROR(_xlfn.XLOOKUP(_xlpm.ai_test,BQ16:BQ63,ROW(BQ16:BQ63),0,1),_xlfn.XLOOKUP(_xlpm.ai_test,BR16:BR63,ROW(BR16:BR63),0,1))),_xlpm.p,_xlpm.r-MIN(ROW(BP16:BP63))+1,_xlpm.f,INDEX(BS16:BS63,_xlpm.p),_xlpm.u,INDEX(BT16:BT63,_xlpm.p),_xlpm.s,INDEX(BV16:BV63,_xlpm.p),_xlpm.q,N(BA38)/_xlpm.f,IF(_xlpm.q&gt;=_xlpm.s,ROUND(_xlpm.q,1)&amp;" "&amp;_xlpm.ai_test&amp;" = "&amp;ROUND(_xlpm.q*_xlpm.f,1)&amp;" "&amp;_xlpm.u,ROUND(_xlpm.q,1)&amp;" "&amp;_xlpm.ai_test)),""),""))))</f>
        <v>0</v>
      </c>
      <c r="BD38" s="801"/>
      <c r="BE38" s="799" t="str">
        <f t="shared" si="31"/>
        <v/>
      </c>
      <c r="BF38" s="800" t="str">
        <f t="shared" si="42"/>
        <v/>
      </c>
      <c r="BG38" s="802">
        <f t="shared" si="43"/>
        <v>0</v>
      </c>
      <c r="BH38" s="803" t="str">
        <f t="shared" si="44"/>
        <v/>
      </c>
      <c r="BI38" s="792"/>
      <c r="BJ38" s="804">
        <f t="shared" si="45"/>
        <v>0</v>
      </c>
      <c r="BK38" s="794" t="str">
        <f t="shared" si="39"/>
        <v/>
      </c>
      <c r="BL38" s="227" t="s">
        <v>21</v>
      </c>
      <c r="BM38" s="773">
        <f t="shared" si="36"/>
        <v>0</v>
      </c>
      <c r="BN38" s="774">
        <f t="shared" si="37"/>
        <v>0</v>
      </c>
      <c r="BO38" s="630"/>
      <c r="BP38" s="815" t="s">
        <v>115</v>
      </c>
      <c r="BQ38" s="155" t="s">
        <v>1330</v>
      </c>
      <c r="BR38" s="125" t="s">
        <v>1313</v>
      </c>
      <c r="BS38" s="767">
        <f t="shared" si="41"/>
        <v>0.35</v>
      </c>
      <c r="BT38" s="805" t="s">
        <v>1621</v>
      </c>
      <c r="BU38" s="805" t="s">
        <v>1622</v>
      </c>
      <c r="BV38" s="757">
        <f t="shared" si="40"/>
        <v>3</v>
      </c>
      <c r="BW38" s="806">
        <v>350</v>
      </c>
      <c r="BX38" s="630"/>
      <c r="BY38" s="630"/>
      <c r="BZ38" s="630"/>
      <c r="CA38" s="630"/>
      <c r="CB38" s="630"/>
      <c r="CC38" s="630"/>
      <c r="CD38" s="781" t="str">
        <f t="shared" si="15"/>
        <v>►</v>
      </c>
      <c r="CE38" s="6888"/>
      <c r="CF38" s="6888"/>
      <c r="CG38" s="6888"/>
      <c r="CH38" s="6888"/>
      <c r="CI38" s="6888"/>
      <c r="CJ38" s="719"/>
      <c r="CK38" s="6511"/>
      <c r="CL38" s="6512"/>
      <c r="CM38" s="6512"/>
      <c r="CN38" s="6512"/>
      <c r="CO38" s="6512"/>
      <c r="CP38" s="6512"/>
      <c r="CQ38" s="6513"/>
      <c r="CS38" s="6511"/>
      <c r="CT38" s="6512"/>
      <c r="CU38" s="6512"/>
      <c r="CV38" s="6512"/>
      <c r="CW38" s="6512"/>
      <c r="CX38" s="6512"/>
      <c r="CY38" s="6513"/>
      <c r="DA38" s="6511"/>
      <c r="DB38" s="6512"/>
      <c r="DC38" s="6512"/>
      <c r="DD38" s="6512"/>
      <c r="DE38" s="6512"/>
      <c r="DF38" s="6512"/>
      <c r="DG38" s="6513"/>
      <c r="DI38" s="3">
        <v>1</v>
      </c>
    </row>
    <row r="39" spans="1:113" s="627" customFormat="1" ht="21" customHeight="1">
      <c r="A39" s="701" t="s">
        <v>21</v>
      </c>
      <c r="B39" s="2265" t="str" cm="1">
        <f t="array" ref="B39">SUMPRODUCT(--(D39:J39&lt;&gt;""), LEN(TRIM(SUBSTITUTE(D39:J39, CHAR(160), "")))) &amp; " Car."</f>
        <v>0 Car.</v>
      </c>
      <c r="C39" s="1376" t="str">
        <f>IF(ISBLANK(D39),"",LARGE(C13:C38,1)+1)</f>
        <v/>
      </c>
      <c r="D39" s="1833"/>
      <c r="E39" s="1810"/>
      <c r="F39" s="1810"/>
      <c r="G39" s="1810"/>
      <c r="H39" s="1810"/>
      <c r="I39" s="1810"/>
      <c r="J39" s="1810"/>
      <c r="K39" s="1810"/>
      <c r="L39" s="1811"/>
      <c r="M39" s="9"/>
      <c r="N39" s="25" t="str">
        <f t="shared" si="16"/>
        <v>►</v>
      </c>
      <c r="O39" s="6845"/>
      <c r="P39" s="9"/>
      <c r="Q39" s="25" t="s">
        <v>15</v>
      </c>
      <c r="R39" s="2237"/>
      <c r="S39" s="2237"/>
      <c r="T39" s="2237"/>
      <c r="U39" s="2237"/>
      <c r="V39" s="2240"/>
      <c r="W39" s="2241"/>
      <c r="X39" s="2239"/>
      <c r="Y39" s="2242"/>
      <c r="Z39" s="2250"/>
      <c r="AA39" s="2244"/>
      <c r="AB39" s="2244"/>
      <c r="AC39" s="2245"/>
      <c r="AD39" s="2246"/>
      <c r="AE39" s="2247"/>
      <c r="AF39" s="2248"/>
      <c r="AG39" s="2249"/>
      <c r="AH39" s="2249"/>
      <c r="AI39" s="2238"/>
      <c r="AJ39" s="2264"/>
      <c r="AK39" s="6120" t="str">
        <f t="shared" si="19"/>
        <v>►</v>
      </c>
      <c r="AL39" s="781" t="str">
        <f t="shared" si="21"/>
        <v>►</v>
      </c>
      <c r="AM39" s="5499" t="str">
        <f t="shared" si="22"/>
        <v/>
      </c>
      <c r="AN39" s="783" t="str">
        <f t="shared" si="38"/>
        <v/>
      </c>
      <c r="AO39" s="782" t="str">
        <f t="shared" si="24"/>
        <v/>
      </c>
      <c r="AP39" s="783" t="str">
        <f t="shared" si="25"/>
        <v/>
      </c>
      <c r="AQ39" s="2083" t="b">
        <f>AND(Q39="A",COUNTIF(BP16:BR63,TRIM(Z39))&gt;0)</f>
        <v>0</v>
      </c>
      <c r="AR39" s="797" t="str">
        <f>IF(AL39&lt;&gt;"A","",IFERROR(IFERROR(_xlfn.XLOOKUP(TRIM(SUBSTITUTE(Z39,CHAR(160)," ")),BP16:BP63,BS16:BS63),IFERROR(_xlfn.XLOOKUP(TRIM(SUBSTITUTE(Z39,CHAR(160)," ")),BQ16:BQ63,BS16:BS63),_xlfn.XLOOKUP(TRIM(SUBSTITUTE(Z39,CHAR(160)," ")),BR16:BR63,BS16:BS63)))*Y39*IF(ISBLANK(V39),1,V39),0))</f>
        <v/>
      </c>
      <c r="AS39" s="784" t="str">
        <f t="shared" si="26"/>
        <v/>
      </c>
      <c r="AT39" s="1315" t="str">
        <f t="shared" si="27"/>
        <v/>
      </c>
      <c r="AU39" s="785">
        <f t="shared" si="28"/>
        <v>0</v>
      </c>
      <c r="AV39" s="785">
        <f t="shared" si="29"/>
        <v>0</v>
      </c>
      <c r="AW39" s="786">
        <f>IF(AK39="A",AY10,0)</f>
        <v>0</v>
      </c>
      <c r="AX39" s="5495" t="str">
        <f>IF(IFERROR(SEARCH("Adresse PC",TRIM(W39)),0)&gt;0,"▼ receta siguiente",IF(AK39="A",IF(AZ10&lt;&gt;"",AZ10&amp;" - ou.or.o ❾ + or - &gt;",""),""))</f>
        <v/>
      </c>
      <c r="AY39" s="810"/>
      <c r="AZ39" s="810"/>
      <c r="BA39" s="788" t="str">
        <f t="shared" si="30"/>
        <v/>
      </c>
      <c r="BB39" s="789" t="str">
        <f>IF(AK39="A",IF(AQ39,IF(AND(AW39&lt;&gt;"",N(AW39)&gt;0),IFERROR(IFERROR(_xlfn.XLOOKUP(AP39,BP10:BP57,BT10:BT57),IFERROR(_xlfn.XLOOKUP(AP39,BQ10:BQ57,BT10:BT57),_xlfn.XLOOKUP(AP39,BR10:BR57,BT10:BT57,""))),""),""),""),"")</f>
        <v/>
      </c>
      <c r="BC39" s="811" cm="1">
        <f t="array" ref="BC39">IF(NOT(AQ39),0,IF(OR(BA39="",N(BA39)&lt;=0.000000001),"",IF(OR(AU39="",N(AU39)&lt;=0.000000001),0,IF(ISNUMBER(BA39),IFERROR(_xlfn.LET(_xlpm.ai_test,TRIM(AP39),_xlpm.r,IFERROR(_xlfn.XLOOKUP(_xlpm.ai_test,BP16:BP63,ROW(BP16:BP63),0,1),IFERROR(_xlfn.XLOOKUP(_xlpm.ai_test,BQ16:BQ63,ROW(BQ16:BQ63),0,1),_xlfn.XLOOKUP(_xlpm.ai_test,BR16:BR63,ROW(BR16:BR63),0,1))),_xlpm.p,_xlpm.r-MIN(ROW(BP16:BP63))+1,_xlpm.f,INDEX(BS16:BS63,_xlpm.p),_xlpm.u,INDEX(BT16:BT63,_xlpm.p),_xlpm.s,INDEX(BV16:BV63,_xlpm.p),_xlpm.q,N(BA39)/_xlpm.f,IF(_xlpm.q&gt;=_xlpm.s,ROUND(_xlpm.q,1)&amp;" "&amp;_xlpm.ai_test&amp;" = "&amp;ROUND(_xlpm.q*_xlpm.f,1)&amp;" "&amp;_xlpm.u,ROUND(_xlpm.q,1)&amp;" "&amp;_xlpm.ai_test)),""),""))))</f>
        <v>0</v>
      </c>
      <c r="BD39" s="801"/>
      <c r="BE39" s="788" t="str">
        <f t="shared" si="31"/>
        <v/>
      </c>
      <c r="BF39" s="789" t="str">
        <f t="shared" si="42"/>
        <v/>
      </c>
      <c r="BG39" s="790">
        <f t="shared" si="43"/>
        <v>0</v>
      </c>
      <c r="BH39" s="791" t="str">
        <f t="shared" si="44"/>
        <v/>
      </c>
      <c r="BI39" s="792"/>
      <c r="BJ39" s="793">
        <f t="shared" si="45"/>
        <v>0</v>
      </c>
      <c r="BK39" s="794" t="str">
        <f t="shared" si="39"/>
        <v/>
      </c>
      <c r="BL39" s="227" t="s">
        <v>21</v>
      </c>
      <c r="BM39" s="773">
        <f t="shared" si="36"/>
        <v>0</v>
      </c>
      <c r="BN39" s="774">
        <f t="shared" si="37"/>
        <v>0</v>
      </c>
      <c r="BO39" s="630"/>
      <c r="BP39" s="815" t="s">
        <v>159</v>
      </c>
      <c r="BQ39" s="155" t="s">
        <v>1331</v>
      </c>
      <c r="BR39" s="155" t="s">
        <v>1314</v>
      </c>
      <c r="BS39" s="767">
        <f t="shared" si="41"/>
        <v>4.9299999999999995E-3</v>
      </c>
      <c r="BT39" s="805" t="s">
        <v>1621</v>
      </c>
      <c r="BU39" s="805" t="s">
        <v>1622</v>
      </c>
      <c r="BV39" s="757">
        <f t="shared" si="40"/>
        <v>203</v>
      </c>
      <c r="BW39" s="812">
        <v>4.93</v>
      </c>
      <c r="BX39" s="630"/>
      <c r="BY39" s="630"/>
      <c r="BZ39" s="630"/>
      <c r="CA39" s="630"/>
      <c r="CB39" s="630"/>
      <c r="CC39" s="630"/>
      <c r="CD39" s="781" t="str">
        <f t="shared" si="15"/>
        <v>►</v>
      </c>
      <c r="CE39" s="818"/>
      <c r="CF39" s="634"/>
      <c r="CG39" s="634"/>
      <c r="CH39" s="635"/>
      <c r="CI39" s="635"/>
      <c r="CJ39" s="719"/>
      <c r="CK39" s="6511"/>
      <c r="CL39" s="6512"/>
      <c r="CM39" s="6512"/>
      <c r="CN39" s="6512"/>
      <c r="CO39" s="6512"/>
      <c r="CP39" s="6512"/>
      <c r="CQ39" s="6513"/>
      <c r="CS39" s="6511"/>
      <c r="CT39" s="6512"/>
      <c r="CU39" s="6512"/>
      <c r="CV39" s="6512"/>
      <c r="CW39" s="6512"/>
      <c r="CX39" s="6512"/>
      <c r="CY39" s="6513"/>
      <c r="DA39" s="6511"/>
      <c r="DB39" s="6512"/>
      <c r="DC39" s="6512"/>
      <c r="DD39" s="6512"/>
      <c r="DE39" s="6512"/>
      <c r="DF39" s="6512"/>
      <c r="DG39" s="6513"/>
      <c r="DI39" s="3">
        <v>1</v>
      </c>
    </row>
    <row r="40" spans="1:113" s="627" customFormat="1" ht="21" customHeight="1">
      <c r="A40" s="701" t="s">
        <v>21</v>
      </c>
      <c r="B40" s="2265" t="str" cm="1">
        <f t="array" ref="B40">SUMPRODUCT(--(D40:J40&lt;&gt;""), LEN(TRIM(SUBSTITUTE(D40:J40, CHAR(160), "")))) &amp; " Car."</f>
        <v>0 Car.</v>
      </c>
      <c r="C40" s="1376" t="str">
        <f>IF(ISBLANK(D40),"",LARGE(C13:C39,1)+1)</f>
        <v/>
      </c>
      <c r="D40" s="1833"/>
      <c r="E40" s="1810"/>
      <c r="F40" s="1810"/>
      <c r="G40" s="1810"/>
      <c r="H40" s="1810"/>
      <c r="I40" s="1810"/>
      <c r="J40" s="1810"/>
      <c r="K40" s="1810"/>
      <c r="L40" s="1811"/>
      <c r="M40" s="9"/>
      <c r="N40" s="25" t="str">
        <f t="shared" si="16"/>
        <v>►</v>
      </c>
      <c r="O40" s="6845"/>
      <c r="P40" s="9"/>
      <c r="Q40" s="25" t="s">
        <v>15</v>
      </c>
      <c r="R40" s="2237"/>
      <c r="S40" s="2237"/>
      <c r="T40" s="2237"/>
      <c r="U40" s="2237"/>
      <c r="V40" s="2240"/>
      <c r="W40" s="2241"/>
      <c r="X40" s="2239"/>
      <c r="Y40" s="2242"/>
      <c r="Z40" s="2250"/>
      <c r="AA40" s="2244"/>
      <c r="AB40" s="2244"/>
      <c r="AC40" s="2245"/>
      <c r="AD40" s="2246"/>
      <c r="AE40" s="2247"/>
      <c r="AF40" s="2248"/>
      <c r="AG40" s="2249"/>
      <c r="AH40" s="2249"/>
      <c r="AI40" s="2238"/>
      <c r="AJ40" s="2264"/>
      <c r="AK40" s="6120" t="str">
        <f t="shared" si="19"/>
        <v>►</v>
      </c>
      <c r="AL40" s="781" t="str">
        <f t="shared" si="21"/>
        <v>►</v>
      </c>
      <c r="AM40" s="5498" t="str">
        <f t="shared" si="22"/>
        <v/>
      </c>
      <c r="AN40" s="783" t="str">
        <f t="shared" si="38"/>
        <v/>
      </c>
      <c r="AO40" s="782" t="str">
        <f t="shared" si="24"/>
        <v/>
      </c>
      <c r="AP40" s="783" t="str">
        <f t="shared" si="25"/>
        <v/>
      </c>
      <c r="AQ40" s="2083" t="b">
        <f>AND(Q40="A",COUNTIF(BP16:BR63,TRIM(Z40))&gt;0)</f>
        <v>0</v>
      </c>
      <c r="AR40" s="797" t="str">
        <f>IF(AL40&lt;&gt;"A","",IFERROR(IFERROR(_xlfn.XLOOKUP(TRIM(SUBSTITUTE(Z40,CHAR(160)," ")),BP16:BP63,BS16:BS63),IFERROR(_xlfn.XLOOKUP(TRIM(SUBSTITUTE(Z40,CHAR(160)," ")),BQ16:BQ63,BS16:BS63),_xlfn.XLOOKUP(TRIM(SUBSTITUTE(Z40,CHAR(160)," ")),BR16:BR63,BS16:BS63)))*Y40*IF(ISBLANK(V40),1,V40),0))</f>
        <v/>
      </c>
      <c r="AS40" s="784" t="str">
        <f t="shared" si="26"/>
        <v/>
      </c>
      <c r="AT40" s="1315" t="str">
        <f t="shared" si="27"/>
        <v/>
      </c>
      <c r="AU40" s="785">
        <f t="shared" si="28"/>
        <v>0</v>
      </c>
      <c r="AV40" s="785">
        <f t="shared" si="29"/>
        <v>0</v>
      </c>
      <c r="AW40" s="798">
        <f>IF(AK40="A",AY10,0)</f>
        <v>0</v>
      </c>
      <c r="AX40" s="5496" t="str">
        <f>IF(IFERROR(SEARCH("Adresse PC",TRIM(W40)),0)&gt;0,"▼ receta siguiente",IF(AK40="A",IF(AZ10&lt;&gt;"",AZ10&amp;" - ou.or.o ❾ + or - &gt;",""),""))</f>
        <v/>
      </c>
      <c r="AY40" s="810"/>
      <c r="AZ40" s="810"/>
      <c r="BA40" s="799" t="str">
        <f t="shared" si="30"/>
        <v/>
      </c>
      <c r="BB40" s="800" t="str">
        <f>IF(AK40="A",IF(AQ40,IF(AND(AW40&lt;&gt;"",N(AW40)&gt;0),IFERROR(IFERROR(_xlfn.XLOOKUP(AP40,BP10:BP57,BT10:BT57),IFERROR(_xlfn.XLOOKUP(AP40,BQ10:BQ57,BT10:BT57),_xlfn.XLOOKUP(AP40,BR10:BR57,BT10:BT57,""))),""),""),""),"")</f>
        <v/>
      </c>
      <c r="BC40" s="813" cm="1">
        <f t="array" ref="BC40">IF(NOT(AQ40),0,IF(OR(BA40="",N(BA40)&lt;=0.000000001),"",IF(OR(AU40="",N(AU40)&lt;=0.000000001),0,IF(ISNUMBER(BA40),IFERROR(_xlfn.LET(_xlpm.ai_test,TRIM(AP40),_xlpm.r,IFERROR(_xlfn.XLOOKUP(_xlpm.ai_test,BP16:BP63,ROW(BP16:BP63),0,1),IFERROR(_xlfn.XLOOKUP(_xlpm.ai_test,BQ16:BQ63,ROW(BQ16:BQ63),0,1),_xlfn.XLOOKUP(_xlpm.ai_test,BR16:BR63,ROW(BR16:BR63),0,1))),_xlpm.p,_xlpm.r-MIN(ROW(BP16:BP63))+1,_xlpm.f,INDEX(BS16:BS63,_xlpm.p),_xlpm.u,INDEX(BT16:BT63,_xlpm.p),_xlpm.s,INDEX(BV16:BV63,_xlpm.p),_xlpm.q,N(BA40)/_xlpm.f,IF(_xlpm.q&gt;=_xlpm.s,ROUND(_xlpm.q,1)&amp;" "&amp;_xlpm.ai_test&amp;" = "&amp;ROUND(_xlpm.q*_xlpm.f,1)&amp;" "&amp;_xlpm.u,ROUND(_xlpm.q,1)&amp;" "&amp;_xlpm.ai_test)),""),""))))</f>
        <v>0</v>
      </c>
      <c r="BD40" s="801"/>
      <c r="BE40" s="799" t="str">
        <f t="shared" si="31"/>
        <v/>
      </c>
      <c r="BF40" s="800" t="str">
        <f t="shared" si="42"/>
        <v/>
      </c>
      <c r="BG40" s="802">
        <f t="shared" si="43"/>
        <v>0</v>
      </c>
      <c r="BH40" s="803" t="str">
        <f t="shared" si="44"/>
        <v/>
      </c>
      <c r="BI40" s="792"/>
      <c r="BJ40" s="804">
        <f t="shared" si="45"/>
        <v>0</v>
      </c>
      <c r="BK40" s="794" t="str">
        <f t="shared" si="39"/>
        <v/>
      </c>
      <c r="BL40" s="227" t="s">
        <v>21</v>
      </c>
      <c r="BM40" s="773">
        <f t="shared" si="36"/>
        <v>0</v>
      </c>
      <c r="BN40" s="774">
        <f t="shared" si="37"/>
        <v>0</v>
      </c>
      <c r="BO40" s="630"/>
      <c r="BP40" s="815" t="s">
        <v>160</v>
      </c>
      <c r="BQ40" s="155" t="s">
        <v>1332</v>
      </c>
      <c r="BR40" s="155" t="s">
        <v>1315</v>
      </c>
      <c r="BS40" s="767">
        <f t="shared" si="41"/>
        <v>5.0000000000000001E-3</v>
      </c>
      <c r="BT40" s="805" t="s">
        <v>1621</v>
      </c>
      <c r="BU40" s="805" t="s">
        <v>1622</v>
      </c>
      <c r="BV40" s="757">
        <f t="shared" si="40"/>
        <v>200</v>
      </c>
      <c r="BW40" s="806">
        <v>5</v>
      </c>
      <c r="BX40" s="630"/>
      <c r="BY40" s="630"/>
      <c r="BZ40" s="630"/>
      <c r="CA40" s="630"/>
      <c r="CB40" s="630"/>
      <c r="CC40" s="630"/>
      <c r="CD40" s="781" t="str">
        <f t="shared" si="15"/>
        <v>►</v>
      </c>
      <c r="CE40" s="818"/>
      <c r="CF40" s="634"/>
      <c r="CG40" s="634"/>
      <c r="CH40" s="635"/>
      <c r="CI40" s="635"/>
      <c r="CJ40" s="719"/>
      <c r="CK40" s="762"/>
      <c r="CL40" s="808" t="s">
        <v>8968</v>
      </c>
      <c r="CM40" s="754"/>
      <c r="CN40" s="754"/>
      <c r="CO40" s="754"/>
      <c r="CP40" s="754"/>
      <c r="CQ40" s="755"/>
      <c r="CS40" s="762"/>
      <c r="CT40" s="808" t="s">
        <v>8969</v>
      </c>
      <c r="CU40" s="754"/>
      <c r="CV40" s="754"/>
      <c r="CW40" s="754"/>
      <c r="CX40" s="754"/>
      <c r="CY40" s="755"/>
      <c r="DA40" s="762"/>
      <c r="DB40" s="808" t="s">
        <v>8970</v>
      </c>
      <c r="DC40" s="754"/>
      <c r="DD40" s="754"/>
      <c r="DE40" s="754"/>
      <c r="DF40" s="754"/>
      <c r="DG40" s="755"/>
      <c r="DI40" s="3">
        <v>1</v>
      </c>
    </row>
    <row r="41" spans="1:113" s="627" customFormat="1" ht="21" customHeight="1">
      <c r="A41" s="701" t="s">
        <v>21</v>
      </c>
      <c r="B41" s="2265" t="str" cm="1">
        <f t="array" ref="B41">SUMPRODUCT(--(D41:J41&lt;&gt;""), LEN(TRIM(SUBSTITUTE(D41:J41, CHAR(160), "")))) &amp; " Car."</f>
        <v>0 Car.</v>
      </c>
      <c r="C41" s="1376" t="str">
        <f>IF(ISBLANK(D41),"",LARGE(C13:C40,1)+1)</f>
        <v/>
      </c>
      <c r="D41" s="1833"/>
      <c r="E41" s="1810"/>
      <c r="F41" s="1810"/>
      <c r="G41" s="1810"/>
      <c r="H41" s="1810"/>
      <c r="I41" s="1810"/>
      <c r="J41" s="1810"/>
      <c r="K41" s="1810"/>
      <c r="L41" s="1811"/>
      <c r="M41" s="9"/>
      <c r="N41" s="25" t="str">
        <f t="shared" si="16"/>
        <v>►</v>
      </c>
      <c r="O41" s="6845"/>
      <c r="P41" s="9"/>
      <c r="Q41" s="25" t="s">
        <v>15</v>
      </c>
      <c r="R41" s="2237"/>
      <c r="S41" s="2237"/>
      <c r="T41" s="2237"/>
      <c r="U41" s="2237"/>
      <c r="V41" s="2240"/>
      <c r="W41" s="2241"/>
      <c r="X41" s="2239"/>
      <c r="Y41" s="2242"/>
      <c r="Z41" s="2250"/>
      <c r="AA41" s="2244"/>
      <c r="AB41" s="2244"/>
      <c r="AC41" s="2245"/>
      <c r="AD41" s="2246"/>
      <c r="AE41" s="2247"/>
      <c r="AF41" s="2248"/>
      <c r="AG41" s="2249"/>
      <c r="AH41" s="2249"/>
      <c r="AI41" s="2238"/>
      <c r="AJ41" s="2264"/>
      <c r="AK41" s="6120" t="str">
        <f t="shared" si="19"/>
        <v>►</v>
      </c>
      <c r="AL41" s="781" t="str">
        <f t="shared" si="21"/>
        <v>►</v>
      </c>
      <c r="AM41" s="5499" t="str">
        <f t="shared" si="22"/>
        <v/>
      </c>
      <c r="AN41" s="783" t="str">
        <f t="shared" si="38"/>
        <v/>
      </c>
      <c r="AO41" s="782" t="str">
        <f t="shared" si="24"/>
        <v/>
      </c>
      <c r="AP41" s="783" t="str">
        <f t="shared" si="25"/>
        <v/>
      </c>
      <c r="AQ41" s="2083" t="b">
        <f>AND(Q41="A",COUNTIF(BP16:BR63,TRIM(Z41))&gt;0)</f>
        <v>0</v>
      </c>
      <c r="AR41" s="797" t="str">
        <f>IF(AL41&lt;&gt;"A","",IFERROR(IFERROR(_xlfn.XLOOKUP(TRIM(SUBSTITUTE(Z41,CHAR(160)," ")),BP16:BP63,BS16:BS63),IFERROR(_xlfn.XLOOKUP(TRIM(SUBSTITUTE(Z41,CHAR(160)," ")),BQ16:BQ63,BS16:BS63),_xlfn.XLOOKUP(TRIM(SUBSTITUTE(Z41,CHAR(160)," ")),BR16:BR63,BS16:BS63)))*Y41*IF(ISBLANK(V41),1,V41),0))</f>
        <v/>
      </c>
      <c r="AS41" s="784" t="str">
        <f t="shared" si="26"/>
        <v/>
      </c>
      <c r="AT41" s="1315" t="str">
        <f t="shared" si="27"/>
        <v/>
      </c>
      <c r="AU41" s="785">
        <f t="shared" si="28"/>
        <v>0</v>
      </c>
      <c r="AV41" s="785">
        <f t="shared" si="29"/>
        <v>0</v>
      </c>
      <c r="AW41" s="786">
        <f>IF(AK41="A",AY10,0)</f>
        <v>0</v>
      </c>
      <c r="AX41" s="5495" t="str">
        <f>IF(IFERROR(SEARCH("Adresse PC",TRIM(W41)),0)&gt;0,"▼ receta siguiente",IF(AK41="A",IF(AZ10&lt;&gt;"",AZ10&amp;" - ou.or.o ❾ + or - &gt;",""),""))</f>
        <v/>
      </c>
      <c r="AY41" s="810"/>
      <c r="AZ41" s="810"/>
      <c r="BA41" s="788" t="str">
        <f t="shared" si="30"/>
        <v/>
      </c>
      <c r="BB41" s="789" t="str">
        <f>IF(AK41="A",IF(AQ41,IF(AND(AW41&lt;&gt;"",N(AW41)&gt;0),IFERROR(IFERROR(_xlfn.XLOOKUP(AP41,BP10:BP57,BT10:BT57),IFERROR(_xlfn.XLOOKUP(AP41,BQ10:BQ57,BT10:BT57),_xlfn.XLOOKUP(AP41,BR10:BR57,BT10:BT57,""))),""),""),""),"")</f>
        <v/>
      </c>
      <c r="BC41" s="811" cm="1">
        <f t="array" ref="BC41">IF(NOT(AQ41),0,IF(OR(BA41="",N(BA41)&lt;=0.000000001),"",IF(OR(AU41="",N(AU41)&lt;=0.000000001),0,IF(ISNUMBER(BA41),IFERROR(_xlfn.LET(_xlpm.ai_test,TRIM(AP41),_xlpm.r,IFERROR(_xlfn.XLOOKUP(_xlpm.ai_test,BP16:BP63,ROW(BP16:BP63),0,1),IFERROR(_xlfn.XLOOKUP(_xlpm.ai_test,BQ16:BQ63,ROW(BQ16:BQ63),0,1),_xlfn.XLOOKUP(_xlpm.ai_test,BR16:BR63,ROW(BR16:BR63),0,1))),_xlpm.p,_xlpm.r-MIN(ROW(BP16:BP63))+1,_xlpm.f,INDEX(BS16:BS63,_xlpm.p),_xlpm.u,INDEX(BT16:BT63,_xlpm.p),_xlpm.s,INDEX(BV16:BV63,_xlpm.p),_xlpm.q,N(BA41)/_xlpm.f,IF(_xlpm.q&gt;=_xlpm.s,ROUND(_xlpm.q,1)&amp;" "&amp;_xlpm.ai_test&amp;" = "&amp;ROUND(_xlpm.q*_xlpm.f,1)&amp;" "&amp;_xlpm.u,ROUND(_xlpm.q,1)&amp;" "&amp;_xlpm.ai_test)),""),""))))</f>
        <v>0</v>
      </c>
      <c r="BD41" s="801"/>
      <c r="BE41" s="788" t="str">
        <f t="shared" si="31"/>
        <v/>
      </c>
      <c r="BF41" s="789" t="str">
        <f t="shared" si="42"/>
        <v/>
      </c>
      <c r="BG41" s="790">
        <f t="shared" si="43"/>
        <v>0</v>
      </c>
      <c r="BH41" s="791" t="str">
        <f t="shared" si="44"/>
        <v/>
      </c>
      <c r="BI41" s="792"/>
      <c r="BJ41" s="793">
        <f t="shared" si="45"/>
        <v>0</v>
      </c>
      <c r="BK41" s="794" t="str">
        <f t="shared" si="39"/>
        <v/>
      </c>
      <c r="BL41" s="227" t="s">
        <v>21</v>
      </c>
      <c r="BM41" s="773">
        <f t="shared" si="36"/>
        <v>0</v>
      </c>
      <c r="BN41" s="774">
        <f t="shared" si="37"/>
        <v>0</v>
      </c>
      <c r="BO41" s="630"/>
      <c r="BP41" s="121" t="s">
        <v>155</v>
      </c>
      <c r="BQ41" s="121" t="s">
        <v>155</v>
      </c>
      <c r="BR41" s="121" t="s">
        <v>1307</v>
      </c>
      <c r="BS41" s="767">
        <f t="shared" si="41"/>
        <v>2.835E-2</v>
      </c>
      <c r="BT41" s="642" t="s">
        <v>837</v>
      </c>
      <c r="BU41" s="642" t="s">
        <v>1584</v>
      </c>
      <c r="BV41" s="757">
        <f t="shared" si="40"/>
        <v>35</v>
      </c>
      <c r="BW41" s="820">
        <v>28.35</v>
      </c>
      <c r="BX41" s="630"/>
      <c r="BY41" s="630"/>
      <c r="BZ41" s="630"/>
      <c r="CA41" s="630"/>
      <c r="CB41" s="630"/>
      <c r="CC41" s="630"/>
      <c r="CD41" s="781" t="str">
        <f t="shared" si="15"/>
        <v>►</v>
      </c>
      <c r="CE41" s="818"/>
      <c r="CF41" s="634"/>
      <c r="CG41" s="634"/>
      <c r="CH41" s="635"/>
      <c r="CI41" s="635"/>
      <c r="CJ41" s="719"/>
      <c r="CK41" s="762"/>
      <c r="CL41" s="808" t="s">
        <v>8083</v>
      </c>
      <c r="CM41" s="754"/>
      <c r="CN41" s="754"/>
      <c r="CO41" s="754"/>
      <c r="CP41" s="754"/>
      <c r="CQ41" s="755"/>
      <c r="CS41" s="762"/>
      <c r="CT41" s="808" t="s">
        <v>1628</v>
      </c>
      <c r="CU41" s="754"/>
      <c r="CV41" s="754"/>
      <c r="CW41" s="754"/>
      <c r="CX41" s="754"/>
      <c r="CY41" s="755"/>
      <c r="DA41" s="762"/>
      <c r="DB41" s="808" t="s">
        <v>8082</v>
      </c>
      <c r="DC41" s="754"/>
      <c r="DD41" s="754"/>
      <c r="DE41" s="754"/>
      <c r="DF41" s="754"/>
      <c r="DG41" s="755"/>
      <c r="DI41" s="3">
        <v>1</v>
      </c>
    </row>
    <row r="42" spans="1:113" s="627" customFormat="1" ht="21" customHeight="1">
      <c r="A42" s="701" t="s">
        <v>21</v>
      </c>
      <c r="B42" s="2265" t="str" cm="1">
        <f t="array" ref="B42">SUMPRODUCT(--(D42:J42&lt;&gt;""), LEN(TRIM(SUBSTITUTE(D42:J42, CHAR(160), "")))) &amp; " Car."</f>
        <v>0 Car.</v>
      </c>
      <c r="C42" s="1376" t="str">
        <f>IF(ISBLANK(D42),"",LARGE(C13:C41,1)+1)</f>
        <v/>
      </c>
      <c r="D42" s="1833"/>
      <c r="E42" s="1810"/>
      <c r="F42" s="1810"/>
      <c r="G42" s="1810"/>
      <c r="H42" s="1810"/>
      <c r="I42" s="1810"/>
      <c r="J42" s="1810"/>
      <c r="K42" s="1810"/>
      <c r="L42" s="1811"/>
      <c r="M42" s="9"/>
      <c r="N42" s="25" t="str">
        <f t="shared" si="16"/>
        <v>►</v>
      </c>
      <c r="O42" s="1616">
        <v>1</v>
      </c>
      <c r="P42" s="9"/>
      <c r="Q42" s="25" t="s">
        <v>15</v>
      </c>
      <c r="R42" s="2237"/>
      <c r="S42" s="2237"/>
      <c r="T42" s="2237"/>
      <c r="U42" s="2237"/>
      <c r="V42" s="2240"/>
      <c r="W42" s="2241"/>
      <c r="X42" s="2239"/>
      <c r="Y42" s="2242"/>
      <c r="Z42" s="2250"/>
      <c r="AA42" s="2244"/>
      <c r="AB42" s="2244"/>
      <c r="AC42" s="2245"/>
      <c r="AD42" s="2246"/>
      <c r="AE42" s="2247"/>
      <c r="AF42" s="2248"/>
      <c r="AG42" s="2249"/>
      <c r="AH42" s="2249"/>
      <c r="AI42" s="2238"/>
      <c r="AJ42" s="2264"/>
      <c r="AK42" s="6120" t="str">
        <f t="shared" si="19"/>
        <v>►</v>
      </c>
      <c r="AL42" s="781" t="str">
        <f t="shared" si="21"/>
        <v>►</v>
      </c>
      <c r="AM42" s="5498" t="str">
        <f t="shared" si="22"/>
        <v/>
      </c>
      <c r="AN42" s="783" t="str">
        <f t="shared" si="38"/>
        <v/>
      </c>
      <c r="AO42" s="782" t="str">
        <f t="shared" si="24"/>
        <v/>
      </c>
      <c r="AP42" s="783" t="str">
        <f t="shared" si="25"/>
        <v/>
      </c>
      <c r="AQ42" s="2083" t="b">
        <f>AND(Q42="A",COUNTIF(BP16:BR63,TRIM(Z42))&gt;0)</f>
        <v>0</v>
      </c>
      <c r="AR42" s="797" t="str">
        <f>IF(AL42&lt;&gt;"A","",IFERROR(IFERROR(_xlfn.XLOOKUP(TRIM(SUBSTITUTE(Z42,CHAR(160)," ")),BP16:BP63,BS16:BS63),IFERROR(_xlfn.XLOOKUP(TRIM(SUBSTITUTE(Z42,CHAR(160)," ")),BQ16:BQ63,BS16:BS63),_xlfn.XLOOKUP(TRIM(SUBSTITUTE(Z42,CHAR(160)," ")),BR16:BR63,BS16:BS63)))*Y42*IF(ISBLANK(V42),1,V42),0))</f>
        <v/>
      </c>
      <c r="AS42" s="784" t="str">
        <f t="shared" si="26"/>
        <v/>
      </c>
      <c r="AT42" s="1315" t="str">
        <f t="shared" si="27"/>
        <v/>
      </c>
      <c r="AU42" s="785">
        <f t="shared" si="28"/>
        <v>0</v>
      </c>
      <c r="AV42" s="785">
        <f t="shared" si="29"/>
        <v>0</v>
      </c>
      <c r="AW42" s="798">
        <f>IF(AK42="A",AY10,0)</f>
        <v>0</v>
      </c>
      <c r="AX42" s="5496" t="str">
        <f>IF(IFERROR(SEARCH("Adresse PC",TRIM(W42)),0)&gt;0,"▼ receta siguiente",IF(AK42="A",IF(AZ10&lt;&gt;"",AZ10&amp;" - ou.or.o ❾ + or - &gt;",""),""))</f>
        <v/>
      </c>
      <c r="AY42" s="810"/>
      <c r="AZ42" s="810"/>
      <c r="BA42" s="799" t="str">
        <f t="shared" si="30"/>
        <v/>
      </c>
      <c r="BB42" s="800" t="str">
        <f>IF(AK42="A",IF(AQ42,IF(AND(AW42&lt;&gt;"",N(AW42)&gt;0),IFERROR(IFERROR(_xlfn.XLOOKUP(AP42,BP10:BP57,BT10:BT57),IFERROR(_xlfn.XLOOKUP(AP42,BQ10:BQ57,BT10:BT57),_xlfn.XLOOKUP(AP42,BR10:BR57,BT10:BT57,""))),""),""),""),"")</f>
        <v/>
      </c>
      <c r="BC42" s="813" cm="1">
        <f t="array" ref="BC42">IF(NOT(AQ42),0,IF(OR(BA42="",N(BA42)&lt;=0.000000001),"",IF(OR(AU42="",N(AU42)&lt;=0.000000001),0,IF(ISNUMBER(BA42),IFERROR(_xlfn.LET(_xlpm.ai_test,TRIM(AP42),_xlpm.r,IFERROR(_xlfn.XLOOKUP(_xlpm.ai_test,BP16:BP63,ROW(BP16:BP63),0,1),IFERROR(_xlfn.XLOOKUP(_xlpm.ai_test,BQ16:BQ63,ROW(BQ16:BQ63),0,1),_xlfn.XLOOKUP(_xlpm.ai_test,BR16:BR63,ROW(BR16:BR63),0,1))),_xlpm.p,_xlpm.r-MIN(ROW(BP16:BP63))+1,_xlpm.f,INDEX(BS16:BS63,_xlpm.p),_xlpm.u,INDEX(BT16:BT63,_xlpm.p),_xlpm.s,INDEX(BV16:BV63,_xlpm.p),_xlpm.q,N(BA42)/_xlpm.f,IF(_xlpm.q&gt;=_xlpm.s,ROUND(_xlpm.q,1)&amp;" "&amp;_xlpm.ai_test&amp;" = "&amp;ROUND(_xlpm.q*_xlpm.f,1)&amp;" "&amp;_xlpm.u,ROUND(_xlpm.q,1)&amp;" "&amp;_xlpm.ai_test)),""),""))))</f>
        <v>0</v>
      </c>
      <c r="BD42" s="801"/>
      <c r="BE42" s="799" t="str">
        <f t="shared" si="31"/>
        <v/>
      </c>
      <c r="BF42" s="800" t="str">
        <f t="shared" si="42"/>
        <v/>
      </c>
      <c r="BG42" s="802">
        <f t="shared" si="43"/>
        <v>0</v>
      </c>
      <c r="BH42" s="803" t="str">
        <f t="shared" si="44"/>
        <v/>
      </c>
      <c r="BI42" s="792"/>
      <c r="BJ42" s="804">
        <f t="shared" si="45"/>
        <v>0</v>
      </c>
      <c r="BK42" s="794" t="str">
        <f t="shared" si="39"/>
        <v/>
      </c>
      <c r="BL42" s="227" t="s">
        <v>21</v>
      </c>
      <c r="BM42" s="773">
        <f t="shared" si="36"/>
        <v>0</v>
      </c>
      <c r="BN42" s="774">
        <f t="shared" si="37"/>
        <v>0</v>
      </c>
      <c r="BO42" s="630"/>
      <c r="BP42" s="822" t="s">
        <v>1653</v>
      </c>
      <c r="BQ42" s="822" t="s">
        <v>1654</v>
      </c>
      <c r="BR42" s="822" t="s">
        <v>1655</v>
      </c>
      <c r="BS42" s="767">
        <f t="shared" si="41"/>
        <v>1.4E-2</v>
      </c>
      <c r="BT42" s="805" t="s">
        <v>1621</v>
      </c>
      <c r="BU42" s="805" t="s">
        <v>1622</v>
      </c>
      <c r="BV42" s="757">
        <f t="shared" si="40"/>
        <v>71</v>
      </c>
      <c r="BW42" s="806">
        <v>14</v>
      </c>
      <c r="BX42" s="630"/>
      <c r="BY42" s="630"/>
      <c r="BZ42" s="630"/>
      <c r="CA42" s="630"/>
      <c r="CB42" s="630"/>
      <c r="CC42" s="630"/>
      <c r="CD42" s="781" t="str">
        <f t="shared" si="15"/>
        <v>►</v>
      </c>
      <c r="CE42" s="818"/>
      <c r="CF42" s="634"/>
      <c r="CG42" s="634"/>
      <c r="CH42" s="635"/>
      <c r="CI42" s="635"/>
      <c r="CJ42" s="719"/>
      <c r="CK42" s="762"/>
      <c r="CL42" s="808" t="s">
        <v>8081</v>
      </c>
      <c r="CM42" s="754"/>
      <c r="CN42" s="754"/>
      <c r="CO42" s="754"/>
      <c r="CP42" s="754"/>
      <c r="CQ42" s="755"/>
      <c r="CS42" s="762"/>
      <c r="CT42" s="808" t="s">
        <v>8080</v>
      </c>
      <c r="CU42" s="754"/>
      <c r="CV42" s="754"/>
      <c r="CW42" s="754"/>
      <c r="CX42" s="754"/>
      <c r="CY42" s="755"/>
      <c r="DA42" s="762"/>
      <c r="DB42" s="808" t="s">
        <v>8079</v>
      </c>
      <c r="DC42" s="754"/>
      <c r="DD42" s="754"/>
      <c r="DE42" s="754"/>
      <c r="DF42" s="754"/>
      <c r="DG42" s="755"/>
      <c r="DI42" s="3">
        <v>1</v>
      </c>
    </row>
    <row r="43" spans="1:113" s="627" customFormat="1" ht="21" customHeight="1">
      <c r="A43" s="701" t="s">
        <v>21</v>
      </c>
      <c r="B43" s="2265" t="str" cm="1">
        <f t="array" ref="B43">SUMPRODUCT(--(D43:J43&lt;&gt;""), LEN(TRIM(SUBSTITUTE(D43:J43, CHAR(160), "")))) &amp; " Car."</f>
        <v>0 Car.</v>
      </c>
      <c r="C43" s="1376" t="str">
        <f>IF(ISBLANK(D43),"",LARGE(C13:C42,1)+1)</f>
        <v/>
      </c>
      <c r="D43" s="1833"/>
      <c r="E43" s="1810"/>
      <c r="F43" s="1810"/>
      <c r="G43" s="1810"/>
      <c r="H43" s="1810"/>
      <c r="I43" s="1810"/>
      <c r="J43" s="1810"/>
      <c r="K43" s="1810"/>
      <c r="L43" s="1811"/>
      <c r="M43" s="9"/>
      <c r="N43" s="25" t="str">
        <f t="shared" si="16"/>
        <v>►</v>
      </c>
      <c r="O43" s="1616">
        <v>1</v>
      </c>
      <c r="P43" s="9"/>
      <c r="Q43" s="25" t="s">
        <v>15</v>
      </c>
      <c r="R43" s="2237"/>
      <c r="S43" s="2237"/>
      <c r="T43" s="2237"/>
      <c r="U43" s="2237"/>
      <c r="V43" s="2240"/>
      <c r="W43" s="2241"/>
      <c r="X43" s="2239"/>
      <c r="Y43" s="2242"/>
      <c r="Z43" s="2250"/>
      <c r="AA43" s="2244"/>
      <c r="AB43" s="2244"/>
      <c r="AC43" s="2245"/>
      <c r="AD43" s="2246"/>
      <c r="AE43" s="2247"/>
      <c r="AF43" s="2248"/>
      <c r="AG43" s="2249"/>
      <c r="AH43" s="2249"/>
      <c r="AI43" s="2238"/>
      <c r="AJ43" s="2264"/>
      <c r="AK43" s="6120" t="str">
        <f t="shared" si="19"/>
        <v>►</v>
      </c>
      <c r="AL43" s="781" t="str">
        <f t="shared" si="21"/>
        <v>►</v>
      </c>
      <c r="AM43" s="5499" t="str">
        <f t="shared" si="22"/>
        <v/>
      </c>
      <c r="AN43" s="783" t="str">
        <f t="shared" si="38"/>
        <v/>
      </c>
      <c r="AO43" s="782" t="str">
        <f t="shared" si="24"/>
        <v/>
      </c>
      <c r="AP43" s="783" t="str">
        <f t="shared" si="25"/>
        <v/>
      </c>
      <c r="AQ43" s="2083" t="b">
        <f>AND(Q43="A",COUNTIF(BP16:BR63,TRIM(Z43))&gt;0)</f>
        <v>0</v>
      </c>
      <c r="AR43" s="797" t="str">
        <f>IF(AL43&lt;&gt;"A","",IFERROR(IFERROR(_xlfn.XLOOKUP(TRIM(SUBSTITUTE(Z43,CHAR(160)," ")),BP16:BP63,BS16:BS63),IFERROR(_xlfn.XLOOKUP(TRIM(SUBSTITUTE(Z43,CHAR(160)," ")),BQ16:BQ63,BS16:BS63),_xlfn.XLOOKUP(TRIM(SUBSTITUTE(Z43,CHAR(160)," ")),BR16:BR63,BS16:BS63)))*Y43*IF(ISBLANK(V43),1,V43),0))</f>
        <v/>
      </c>
      <c r="AS43" s="784" t="str">
        <f t="shared" si="26"/>
        <v/>
      </c>
      <c r="AT43" s="1315" t="str">
        <f t="shared" si="27"/>
        <v/>
      </c>
      <c r="AU43" s="785">
        <f t="shared" si="28"/>
        <v>0</v>
      </c>
      <c r="AV43" s="785">
        <f t="shared" si="29"/>
        <v>0</v>
      </c>
      <c r="AW43" s="786">
        <f>IF(AK43="A",AY10,0)</f>
        <v>0</v>
      </c>
      <c r="AX43" s="5495" t="str">
        <f>IF(IFERROR(SEARCH("Adresse PC",TRIM(W43)),0)&gt;0,"▼ receta siguiente",IF(AK43="A",IF(AZ10&lt;&gt;"",AZ10&amp;" - ou.or.o ❾ + or - &gt;",""),""))</f>
        <v/>
      </c>
      <c r="AY43" s="810"/>
      <c r="AZ43" s="810"/>
      <c r="BA43" s="788" t="str">
        <f t="shared" si="30"/>
        <v/>
      </c>
      <c r="BB43" s="789" t="str">
        <f>IF(AK43="A",IF(AQ43,IF(AND(AW43&lt;&gt;"",N(AW43)&gt;0),IFERROR(IFERROR(_xlfn.XLOOKUP(AP43,BP10:BP57,BT10:BT57),IFERROR(_xlfn.XLOOKUP(AP43,BQ10:BQ57,BT10:BT57),_xlfn.XLOOKUP(AP43,BR10:BR57,BT10:BT57,""))),""),""),""),"")</f>
        <v/>
      </c>
      <c r="BC43" s="811" cm="1">
        <f t="array" ref="BC43">IF(NOT(AQ43),0,IF(OR(BA43="",N(BA43)&lt;=0.000000001),"",IF(OR(AU43="",N(AU43)&lt;=0.000000001),0,IF(ISNUMBER(BA43),IFERROR(_xlfn.LET(_xlpm.ai_test,TRIM(AP43),_xlpm.r,IFERROR(_xlfn.XLOOKUP(_xlpm.ai_test,BP16:BP63,ROW(BP16:BP63),0,1),IFERROR(_xlfn.XLOOKUP(_xlpm.ai_test,BQ16:BQ63,ROW(BQ16:BQ63),0,1),_xlfn.XLOOKUP(_xlpm.ai_test,BR16:BR63,ROW(BR16:BR63),0,1))),_xlpm.p,_xlpm.r-MIN(ROW(BP16:BP63))+1,_xlpm.f,INDEX(BS16:BS63,_xlpm.p),_xlpm.u,INDEX(BT16:BT63,_xlpm.p),_xlpm.s,INDEX(BV16:BV63,_xlpm.p),_xlpm.q,N(BA43)/_xlpm.f,IF(_xlpm.q&gt;=_xlpm.s,ROUND(_xlpm.q,1)&amp;" "&amp;_xlpm.ai_test&amp;" = "&amp;ROUND(_xlpm.q*_xlpm.f,1)&amp;" "&amp;_xlpm.u,ROUND(_xlpm.q,1)&amp;" "&amp;_xlpm.ai_test)),""),""))))</f>
        <v>0</v>
      </c>
      <c r="BD43" s="801"/>
      <c r="BE43" s="788" t="str">
        <f t="shared" si="31"/>
        <v/>
      </c>
      <c r="BF43" s="789" t="str">
        <f t="shared" si="42"/>
        <v/>
      </c>
      <c r="BG43" s="790">
        <f t="shared" si="43"/>
        <v>0</v>
      </c>
      <c r="BH43" s="791" t="str">
        <f t="shared" si="44"/>
        <v/>
      </c>
      <c r="BI43" s="792"/>
      <c r="BJ43" s="793">
        <f t="shared" si="45"/>
        <v>0</v>
      </c>
      <c r="BK43" s="794" t="str">
        <f t="shared" si="39"/>
        <v/>
      </c>
      <c r="BL43" s="227" t="s">
        <v>21</v>
      </c>
      <c r="BM43" s="773">
        <f t="shared" si="36"/>
        <v>0</v>
      </c>
      <c r="BN43" s="774">
        <f t="shared" si="37"/>
        <v>0</v>
      </c>
      <c r="BO43" s="630"/>
      <c r="BP43" s="822" t="s">
        <v>158</v>
      </c>
      <c r="BQ43" s="121" t="s">
        <v>1343</v>
      </c>
      <c r="BR43" s="121" t="s">
        <v>1312</v>
      </c>
      <c r="BS43" s="767">
        <f t="shared" si="41"/>
        <v>0.22500000000000001</v>
      </c>
      <c r="BT43" s="805" t="s">
        <v>1621</v>
      </c>
      <c r="BU43" s="805" t="s">
        <v>1622</v>
      </c>
      <c r="BV43" s="757">
        <f t="shared" si="40"/>
        <v>4</v>
      </c>
      <c r="BW43" s="806">
        <v>225</v>
      </c>
      <c r="BX43" s="630"/>
      <c r="BY43" s="630"/>
      <c r="BZ43" s="630"/>
      <c r="CA43" s="630"/>
      <c r="CB43" s="630"/>
      <c r="CC43" s="630"/>
      <c r="CD43" s="781" t="str">
        <f t="shared" si="15"/>
        <v>►</v>
      </c>
      <c r="CE43" s="818"/>
      <c r="CF43" s="634"/>
      <c r="CG43" s="634"/>
      <c r="CH43" s="635"/>
      <c r="CI43" s="635"/>
      <c r="CJ43" s="719"/>
      <c r="CK43" s="762"/>
      <c r="CL43" s="808" t="s">
        <v>8078</v>
      </c>
      <c r="CM43" s="754"/>
      <c r="CN43" s="754"/>
      <c r="CO43" s="754"/>
      <c r="CP43" s="754"/>
      <c r="CQ43" s="755"/>
      <c r="CS43" s="762"/>
      <c r="CT43" s="808" t="s">
        <v>8077</v>
      </c>
      <c r="CU43" s="754"/>
      <c r="CV43" s="754"/>
      <c r="CW43" s="754"/>
      <c r="CX43" s="754"/>
      <c r="CY43" s="755"/>
      <c r="DA43" s="762"/>
      <c r="DB43" s="754" t="s">
        <v>8076</v>
      </c>
      <c r="DC43" s="754"/>
      <c r="DD43" s="754"/>
      <c r="DE43" s="754"/>
      <c r="DF43" s="754"/>
      <c r="DG43" s="755"/>
      <c r="DI43" s="3">
        <v>1</v>
      </c>
    </row>
    <row r="44" spans="1:113" s="627" customFormat="1" ht="21" customHeight="1">
      <c r="A44" s="701" t="s">
        <v>21</v>
      </c>
      <c r="B44" s="2265" t="str" cm="1">
        <f t="array" ref="B44">SUMPRODUCT(--(D44:J44&lt;&gt;""), LEN(TRIM(SUBSTITUTE(D44:J44, CHAR(160), "")))) &amp; " Car."</f>
        <v>0 Car.</v>
      </c>
      <c r="C44" s="1376" t="str">
        <f>IF(ISBLANK(D44),"",LARGE(C13:C43,1)+1)</f>
        <v/>
      </c>
      <c r="D44" s="1833"/>
      <c r="E44" s="1810"/>
      <c r="F44" s="1810"/>
      <c r="G44" s="1810"/>
      <c r="H44" s="1810"/>
      <c r="I44" s="1810"/>
      <c r="J44" s="1810"/>
      <c r="K44" s="1810"/>
      <c r="L44" s="1811"/>
      <c r="M44" s="9"/>
      <c r="N44" s="25" t="str">
        <f t="shared" si="16"/>
        <v>►</v>
      </c>
      <c r="O44" s="1616">
        <v>1</v>
      </c>
      <c r="P44" s="9"/>
      <c r="Q44" s="25" t="s">
        <v>15</v>
      </c>
      <c r="R44" s="2237"/>
      <c r="S44" s="2237"/>
      <c r="T44" s="2237"/>
      <c r="U44" s="2237"/>
      <c r="V44" s="2240"/>
      <c r="W44" s="2241"/>
      <c r="X44" s="2239"/>
      <c r="Y44" s="2242"/>
      <c r="Z44" s="2250"/>
      <c r="AA44" s="2244"/>
      <c r="AB44" s="2244"/>
      <c r="AC44" s="2245"/>
      <c r="AD44" s="2246"/>
      <c r="AE44" s="2247"/>
      <c r="AF44" s="2248"/>
      <c r="AG44" s="2249"/>
      <c r="AH44" s="2249"/>
      <c r="AI44" s="2238"/>
      <c r="AJ44" s="2264"/>
      <c r="AK44" s="6120" t="str">
        <f t="shared" si="19"/>
        <v>►</v>
      </c>
      <c r="AL44" s="781" t="str">
        <f t="shared" si="21"/>
        <v>►</v>
      </c>
      <c r="AM44" s="5498" t="str">
        <f t="shared" si="22"/>
        <v/>
      </c>
      <c r="AN44" s="783" t="str">
        <f t="shared" si="38"/>
        <v/>
      </c>
      <c r="AO44" s="782" t="str">
        <f t="shared" si="24"/>
        <v/>
      </c>
      <c r="AP44" s="783" t="str">
        <f t="shared" si="25"/>
        <v/>
      </c>
      <c r="AQ44" s="2083" t="b">
        <f>AND(Q44="A",COUNTIF(BP16:BR63,TRIM(Z44))&gt;0)</f>
        <v>0</v>
      </c>
      <c r="AR44" s="797" t="str">
        <f>IF(AL44&lt;&gt;"A","",IFERROR(IFERROR(_xlfn.XLOOKUP(TRIM(SUBSTITUTE(Z44,CHAR(160)," ")),BP16:BP63,BS16:BS63),IFERROR(_xlfn.XLOOKUP(TRIM(SUBSTITUTE(Z44,CHAR(160)," ")),BQ16:BQ63,BS16:BS63),_xlfn.XLOOKUP(TRIM(SUBSTITUTE(Z44,CHAR(160)," ")),BR16:BR63,BS16:BS63)))*Y44*IF(ISBLANK(V44),1,V44),0))</f>
        <v/>
      </c>
      <c r="AS44" s="784" t="str">
        <f t="shared" si="26"/>
        <v/>
      </c>
      <c r="AT44" s="1315" t="str">
        <f t="shared" si="27"/>
        <v/>
      </c>
      <c r="AU44" s="785">
        <f t="shared" si="28"/>
        <v>0</v>
      </c>
      <c r="AV44" s="785">
        <f t="shared" si="29"/>
        <v>0</v>
      </c>
      <c r="AW44" s="798">
        <f>IF(AK44="A",AY10,0)</f>
        <v>0</v>
      </c>
      <c r="AX44" s="5496" t="str">
        <f>IF(IFERROR(SEARCH("Adresse PC",TRIM(W44)),0)&gt;0,"▼ receta siguiente",IF(AK44="A",IF(AZ10&lt;&gt;"",AZ10&amp;" - ou.or.o ❾ + or - &gt;",""),""))</f>
        <v/>
      </c>
      <c r="AY44" s="810"/>
      <c r="AZ44" s="810"/>
      <c r="BA44" s="799" t="str">
        <f t="shared" si="30"/>
        <v/>
      </c>
      <c r="BB44" s="800" t="str">
        <f>IF(AK44="A",IF(AQ44,IF(AND(AW44&lt;&gt;"",N(AW44)&gt;0),IFERROR(IFERROR(_xlfn.XLOOKUP(AP44,BP10:BP57,BT10:BT57),IFERROR(_xlfn.XLOOKUP(AP44,BQ10:BQ57,BT10:BT57),_xlfn.XLOOKUP(AP44,BR10:BR57,BT10:BT57,""))),""),""),""),"")</f>
        <v/>
      </c>
      <c r="BC44" s="813" cm="1">
        <f t="array" ref="BC44">IF(NOT(AQ44),0,IF(OR(BA44="",N(BA44)&lt;=0.000000001),"",IF(OR(AU44="",N(AU44)&lt;=0.000000001),0,IF(ISNUMBER(BA44),IFERROR(_xlfn.LET(_xlpm.ai_test,TRIM(AP44),_xlpm.r,IFERROR(_xlfn.XLOOKUP(_xlpm.ai_test,BP16:BP63,ROW(BP16:BP63),0,1),IFERROR(_xlfn.XLOOKUP(_xlpm.ai_test,BQ16:BQ63,ROW(BQ16:BQ63),0,1),_xlfn.XLOOKUP(_xlpm.ai_test,BR16:BR63,ROW(BR16:BR63),0,1))),_xlpm.p,_xlpm.r-MIN(ROW(BP16:BP63))+1,_xlpm.f,INDEX(BS16:BS63,_xlpm.p),_xlpm.u,INDEX(BT16:BT63,_xlpm.p),_xlpm.s,INDEX(BV16:BV63,_xlpm.p),_xlpm.q,N(BA44)/_xlpm.f,IF(_xlpm.q&gt;=_xlpm.s,ROUND(_xlpm.q,1)&amp;" "&amp;_xlpm.ai_test&amp;" = "&amp;ROUND(_xlpm.q*_xlpm.f,1)&amp;" "&amp;_xlpm.u,ROUND(_xlpm.q,1)&amp;" "&amp;_xlpm.ai_test)),""),""))))</f>
        <v>0</v>
      </c>
      <c r="BD44" s="801"/>
      <c r="BE44" s="799" t="str">
        <f t="shared" si="31"/>
        <v/>
      </c>
      <c r="BF44" s="800" t="str">
        <f t="shared" si="42"/>
        <v/>
      </c>
      <c r="BG44" s="802">
        <f t="shared" si="43"/>
        <v>0</v>
      </c>
      <c r="BH44" s="803" t="str">
        <f t="shared" si="44"/>
        <v/>
      </c>
      <c r="BI44" s="792"/>
      <c r="BJ44" s="804">
        <f t="shared" si="45"/>
        <v>0</v>
      </c>
      <c r="BK44" s="794" t="str">
        <f t="shared" si="39"/>
        <v/>
      </c>
      <c r="BL44" s="227" t="s">
        <v>21</v>
      </c>
      <c r="BM44" s="773">
        <f t="shared" si="36"/>
        <v>0</v>
      </c>
      <c r="BN44" s="774">
        <f t="shared" si="37"/>
        <v>0</v>
      </c>
      <c r="BO44" s="630"/>
      <c r="BP44" s="822" t="s">
        <v>1661</v>
      </c>
      <c r="BQ44" s="822" t="s">
        <v>1661</v>
      </c>
      <c r="BR44" s="822" t="s">
        <v>1662</v>
      </c>
      <c r="BS44" s="767">
        <f t="shared" si="41"/>
        <v>0.11799999999999999</v>
      </c>
      <c r="BT44" s="805" t="s">
        <v>1621</v>
      </c>
      <c r="BU44" s="805" t="s">
        <v>1622</v>
      </c>
      <c r="BV44" s="757">
        <f t="shared" si="40"/>
        <v>8</v>
      </c>
      <c r="BW44" s="806">
        <v>118</v>
      </c>
      <c r="BX44" s="630"/>
      <c r="BY44" s="630"/>
      <c r="BZ44" s="630"/>
      <c r="CA44" s="630"/>
      <c r="CB44" s="630"/>
      <c r="CC44" s="630"/>
      <c r="CD44" s="781" t="str">
        <f t="shared" si="15"/>
        <v>►</v>
      </c>
      <c r="CE44" s="818"/>
      <c r="CF44" s="634"/>
      <c r="CG44" s="634"/>
      <c r="CH44" s="635"/>
      <c r="CI44" s="635"/>
      <c r="CJ44" s="719"/>
      <c r="CK44" s="762" t="s">
        <v>1611</v>
      </c>
      <c r="CL44" s="808" t="s">
        <v>1630</v>
      </c>
      <c r="CM44" s="754"/>
      <c r="CN44" s="754"/>
      <c r="CO44" s="754"/>
      <c r="CP44" s="754"/>
      <c r="CQ44" s="755"/>
      <c r="CS44" s="762" t="s">
        <v>1631</v>
      </c>
      <c r="CT44" s="808" t="s">
        <v>1632</v>
      </c>
      <c r="CU44" s="754"/>
      <c r="CV44" s="754"/>
      <c r="CW44" s="754"/>
      <c r="CX44" s="754"/>
      <c r="CY44" s="755"/>
      <c r="DA44" s="762" t="s">
        <v>1633</v>
      </c>
      <c r="DB44" s="808" t="s">
        <v>1634</v>
      </c>
      <c r="DC44" s="754"/>
      <c r="DD44" s="754"/>
      <c r="DE44" s="754"/>
      <c r="DF44" s="754"/>
      <c r="DG44" s="755"/>
      <c r="DI44" s="3">
        <v>1</v>
      </c>
    </row>
    <row r="45" spans="1:113" s="627" customFormat="1" ht="21" customHeight="1">
      <c r="A45" s="701" t="s">
        <v>21</v>
      </c>
      <c r="B45" s="2265" t="str" cm="1">
        <f t="array" ref="B45">SUMPRODUCT(--(D45:J45&lt;&gt;""), LEN(TRIM(SUBSTITUTE(D45:J45, CHAR(160), "")))) &amp; " Car."</f>
        <v>0 Car.</v>
      </c>
      <c r="C45" s="1376" t="str">
        <f>IF(ISBLANK(D45),"",LARGE(C13:C44,1)+1)</f>
        <v/>
      </c>
      <c r="D45" s="1833"/>
      <c r="E45" s="1810"/>
      <c r="F45" s="1810"/>
      <c r="G45" s="1810"/>
      <c r="H45" s="1810"/>
      <c r="I45" s="1810"/>
      <c r="J45" s="1810"/>
      <c r="K45" s="1810"/>
      <c r="L45" s="1811"/>
      <c r="M45" s="9"/>
      <c r="N45" s="25" t="str">
        <f t="shared" si="16"/>
        <v>►</v>
      </c>
      <c r="O45" s="1616">
        <v>1</v>
      </c>
      <c r="P45" s="9"/>
      <c r="Q45" s="25" t="s">
        <v>15</v>
      </c>
      <c r="R45" s="2237"/>
      <c r="S45" s="2237"/>
      <c r="T45" s="2237"/>
      <c r="U45" s="2237"/>
      <c r="V45" s="2240"/>
      <c r="W45" s="2241"/>
      <c r="X45" s="2239"/>
      <c r="Y45" s="2242"/>
      <c r="Z45" s="2250"/>
      <c r="AA45" s="2244"/>
      <c r="AB45" s="2244"/>
      <c r="AC45" s="2245"/>
      <c r="AD45" s="2246"/>
      <c r="AE45" s="2247"/>
      <c r="AF45" s="2248"/>
      <c r="AG45" s="2249"/>
      <c r="AH45" s="2249"/>
      <c r="AI45" s="2238"/>
      <c r="AJ45" s="2264"/>
      <c r="AK45" s="6120" t="str">
        <f t="shared" si="19"/>
        <v>►</v>
      </c>
      <c r="AL45" s="781" t="str">
        <f t="shared" si="21"/>
        <v>►</v>
      </c>
      <c r="AM45" s="5499" t="str">
        <f t="shared" si="22"/>
        <v/>
      </c>
      <c r="AN45" s="783" t="str">
        <f t="shared" si="38"/>
        <v/>
      </c>
      <c r="AO45" s="782" t="str">
        <f t="shared" si="24"/>
        <v/>
      </c>
      <c r="AP45" s="783" t="str">
        <f t="shared" si="25"/>
        <v/>
      </c>
      <c r="AQ45" s="2083" t="b">
        <f>AND(Q45="A",COUNTIF(BP16:BR63,TRIM(Z45))&gt;0)</f>
        <v>0</v>
      </c>
      <c r="AR45" s="797" t="str">
        <f>IF(AL45&lt;&gt;"A","",IFERROR(IFERROR(_xlfn.XLOOKUP(TRIM(SUBSTITUTE(Z45,CHAR(160)," ")),BP16:BP63,BS16:BS63),IFERROR(_xlfn.XLOOKUP(TRIM(SUBSTITUTE(Z45,CHAR(160)," ")),BQ16:BQ63,BS16:BS63),_xlfn.XLOOKUP(TRIM(SUBSTITUTE(Z45,CHAR(160)," ")),BR16:BR63,BS16:BS63)))*Y45*IF(ISBLANK(V45),1,V45),0))</f>
        <v/>
      </c>
      <c r="AS45" s="784" t="str">
        <f t="shared" si="26"/>
        <v/>
      </c>
      <c r="AT45" s="1315" t="str">
        <f t="shared" si="27"/>
        <v/>
      </c>
      <c r="AU45" s="785">
        <f t="shared" si="28"/>
        <v>0</v>
      </c>
      <c r="AV45" s="785">
        <f t="shared" si="29"/>
        <v>0</v>
      </c>
      <c r="AW45" s="786">
        <f>IF(AK45="A",AY10,0)</f>
        <v>0</v>
      </c>
      <c r="AX45" s="5495" t="str">
        <f>IF(IFERROR(SEARCH("Adresse PC",TRIM(W45)),0)&gt;0,"▼ receta siguiente",IF(AK45="A",IF(AZ10&lt;&gt;"",AZ10&amp;" - ou.or.o ❾ + or - &gt;",""),""))</f>
        <v/>
      </c>
      <c r="AY45" s="810"/>
      <c r="AZ45" s="810"/>
      <c r="BA45" s="788" t="str">
        <f t="shared" si="30"/>
        <v/>
      </c>
      <c r="BB45" s="789" t="str">
        <f>IF(AK45="A",IF(AQ45,IF(AND(AW45&lt;&gt;"",N(AW45)&gt;0),IFERROR(IFERROR(_xlfn.XLOOKUP(AP45,BP10:BP57,BT10:BT57),IFERROR(_xlfn.XLOOKUP(AP45,BQ10:BQ57,BT10:BT57),_xlfn.XLOOKUP(AP45,BR10:BR57,BT10:BT57,""))),""),""),""),"")</f>
        <v/>
      </c>
      <c r="BC45" s="811" cm="1">
        <f t="array" ref="BC45">IF(NOT(AQ45),0,IF(OR(BA45="",N(BA45)&lt;=0.000000001),"",IF(OR(AU45="",N(AU45)&lt;=0.000000001),0,IF(ISNUMBER(BA45),IFERROR(_xlfn.LET(_xlpm.ai_test,TRIM(AP45),_xlpm.r,IFERROR(_xlfn.XLOOKUP(_xlpm.ai_test,BP16:BP63,ROW(BP16:BP63),0,1),IFERROR(_xlfn.XLOOKUP(_xlpm.ai_test,BQ16:BQ63,ROW(BQ16:BQ63),0,1),_xlfn.XLOOKUP(_xlpm.ai_test,BR16:BR63,ROW(BR16:BR63),0,1))),_xlpm.p,_xlpm.r-MIN(ROW(BP16:BP63))+1,_xlpm.f,INDEX(BS16:BS63,_xlpm.p),_xlpm.u,INDEX(BT16:BT63,_xlpm.p),_xlpm.s,INDEX(BV16:BV63,_xlpm.p),_xlpm.q,N(BA45)/_xlpm.f,IF(_xlpm.q&gt;=_xlpm.s,ROUND(_xlpm.q,1)&amp;" "&amp;_xlpm.ai_test&amp;" = "&amp;ROUND(_xlpm.q*_xlpm.f,1)&amp;" "&amp;_xlpm.u,ROUND(_xlpm.q,1)&amp;" "&amp;_xlpm.ai_test)),""),""))))</f>
        <v>0</v>
      </c>
      <c r="BD45" s="801"/>
      <c r="BE45" s="788" t="str">
        <f t="shared" si="31"/>
        <v/>
      </c>
      <c r="BF45" s="789" t="str">
        <f t="shared" si="42"/>
        <v/>
      </c>
      <c r="BG45" s="790">
        <f t="shared" si="43"/>
        <v>0</v>
      </c>
      <c r="BH45" s="791" t="str">
        <f t="shared" si="44"/>
        <v/>
      </c>
      <c r="BI45" s="792"/>
      <c r="BJ45" s="793">
        <f t="shared" si="45"/>
        <v>0</v>
      </c>
      <c r="BK45" s="794" t="str">
        <f t="shared" si="39"/>
        <v/>
      </c>
      <c r="BL45" s="227" t="s">
        <v>21</v>
      </c>
      <c r="BM45" s="773">
        <f t="shared" si="36"/>
        <v>0</v>
      </c>
      <c r="BN45" s="774">
        <f t="shared" si="37"/>
        <v>0</v>
      </c>
      <c r="BO45" s="630"/>
      <c r="BP45" s="822" t="s">
        <v>1663</v>
      </c>
      <c r="BQ45" s="822" t="s">
        <v>1663</v>
      </c>
      <c r="BR45" s="822" t="s">
        <v>1664</v>
      </c>
      <c r="BS45" s="767">
        <f t="shared" si="41"/>
        <v>5.8999999999999997E-2</v>
      </c>
      <c r="BT45" s="805" t="s">
        <v>1621</v>
      </c>
      <c r="BU45" s="805" t="s">
        <v>1622</v>
      </c>
      <c r="BV45" s="757">
        <f t="shared" si="40"/>
        <v>17</v>
      </c>
      <c r="BW45" s="806">
        <v>59</v>
      </c>
      <c r="BX45" s="630"/>
      <c r="BY45" s="630"/>
      <c r="BZ45" s="630"/>
      <c r="CA45" s="630"/>
      <c r="CB45" s="630"/>
      <c r="CC45" s="630"/>
      <c r="CD45" s="781" t="str">
        <f t="shared" si="15"/>
        <v>►</v>
      </c>
      <c r="CE45" s="818"/>
      <c r="CF45" s="634"/>
      <c r="CG45" s="634"/>
      <c r="CH45" s="635"/>
      <c r="CI45" s="635"/>
      <c r="CJ45" s="719"/>
      <c r="CK45" s="762"/>
      <c r="CL45" s="808"/>
      <c r="CM45" s="754"/>
      <c r="CN45" s="754"/>
      <c r="CO45" s="754"/>
      <c r="CP45" s="754"/>
      <c r="CQ45" s="755"/>
      <c r="CS45" s="762"/>
      <c r="CT45" s="808"/>
      <c r="CU45" s="754"/>
      <c r="CV45" s="754"/>
      <c r="CW45" s="754"/>
      <c r="CX45" s="754"/>
      <c r="CY45" s="755"/>
      <c r="DA45" s="762"/>
      <c r="DB45" s="808"/>
      <c r="DC45" s="754"/>
      <c r="DD45" s="754"/>
      <c r="DE45" s="754"/>
      <c r="DF45" s="754"/>
      <c r="DG45" s="755"/>
      <c r="DI45" s="3">
        <v>1</v>
      </c>
    </row>
    <row r="46" spans="1:113" s="627" customFormat="1" ht="21" customHeight="1">
      <c r="A46" s="701" t="s">
        <v>21</v>
      </c>
      <c r="B46" s="2265" t="str" cm="1">
        <f t="array" ref="B46">SUMPRODUCT(--(D46:J46&lt;&gt;""), LEN(TRIM(SUBSTITUTE(D46:J46, CHAR(160), "")))) &amp; " Car."</f>
        <v>0 Car.</v>
      </c>
      <c r="C46" s="1376" t="str">
        <f>IF(ISBLANK(D46),"",LARGE(C13:C45,1)+1)</f>
        <v/>
      </c>
      <c r="D46" s="1833"/>
      <c r="E46" s="1810"/>
      <c r="F46" s="1810"/>
      <c r="G46" s="1810"/>
      <c r="H46" s="1810"/>
      <c r="I46" s="1810"/>
      <c r="J46" s="1810"/>
      <c r="K46" s="1810"/>
      <c r="L46" s="1811"/>
      <c r="M46" s="9"/>
      <c r="N46" s="162" t="str">
        <f t="shared" si="16"/>
        <v>►</v>
      </c>
      <c r="O46" s="6845" t="s">
        <v>8260</v>
      </c>
      <c r="P46" s="9"/>
      <c r="Q46" s="25" t="s">
        <v>15</v>
      </c>
      <c r="R46" s="2237"/>
      <c r="S46" s="2237"/>
      <c r="T46" s="2237"/>
      <c r="U46" s="2237"/>
      <c r="V46" s="2240"/>
      <c r="W46" s="2241"/>
      <c r="X46" s="2239"/>
      <c r="Y46" s="2242"/>
      <c r="Z46" s="2250"/>
      <c r="AA46" s="2244"/>
      <c r="AB46" s="2244"/>
      <c r="AC46" s="2245"/>
      <c r="AD46" s="2246"/>
      <c r="AE46" s="2247"/>
      <c r="AF46" s="2248"/>
      <c r="AG46" s="2249"/>
      <c r="AH46" s="2249"/>
      <c r="AI46" s="2238"/>
      <c r="AJ46" s="2264"/>
      <c r="AK46" s="6120" t="str">
        <f t="shared" si="19"/>
        <v>►</v>
      </c>
      <c r="AL46" s="781" t="str">
        <f t="shared" si="21"/>
        <v>►</v>
      </c>
      <c r="AM46" s="5498" t="str">
        <f t="shared" si="22"/>
        <v/>
      </c>
      <c r="AN46" s="783" t="str">
        <f t="shared" si="38"/>
        <v/>
      </c>
      <c r="AO46" s="782" t="str">
        <f t="shared" si="24"/>
        <v/>
      </c>
      <c r="AP46" s="783" t="str">
        <f t="shared" si="25"/>
        <v/>
      </c>
      <c r="AQ46" s="2083" t="b">
        <f>AND(Q46="A",COUNTIF(BP16:BR63,TRIM(Z46))&gt;0)</f>
        <v>0</v>
      </c>
      <c r="AR46" s="797" t="str">
        <f>IF(AL46&lt;&gt;"A","",IFERROR(IFERROR(_xlfn.XLOOKUP(TRIM(SUBSTITUTE(Z46,CHAR(160)," ")),BP16:BP63,BS16:BS63),IFERROR(_xlfn.XLOOKUP(TRIM(SUBSTITUTE(Z46,CHAR(160)," ")),BQ16:BQ63,BS16:BS63),_xlfn.XLOOKUP(TRIM(SUBSTITUTE(Z46,CHAR(160)," ")),BR16:BR63,BS16:BS63)))*Y46*IF(ISBLANK(V46),1,V46),0))</f>
        <v/>
      </c>
      <c r="AS46" s="784" t="str">
        <f t="shared" si="26"/>
        <v/>
      </c>
      <c r="AT46" s="1315" t="str">
        <f t="shared" si="27"/>
        <v/>
      </c>
      <c r="AU46" s="785">
        <f t="shared" si="28"/>
        <v>0</v>
      </c>
      <c r="AV46" s="785">
        <f t="shared" si="29"/>
        <v>0</v>
      </c>
      <c r="AW46" s="798">
        <f>IF(AK46="A",AY10,0)</f>
        <v>0</v>
      </c>
      <c r="AX46" s="5496" t="str">
        <f>IF(IFERROR(SEARCH("Adresse PC",TRIM(W46)),0)&gt;0,"▼ receta siguiente",IF(AK46="A",IF(AZ10&lt;&gt;"",AZ10&amp;" - ou.or.o ❾ + or - &gt;",""),""))</f>
        <v/>
      </c>
      <c r="AY46" s="810"/>
      <c r="AZ46" s="810"/>
      <c r="BA46" s="799" t="str">
        <f t="shared" si="30"/>
        <v/>
      </c>
      <c r="BB46" s="800" t="str">
        <f>IF(AK46="A",IF(AQ46,IF(AND(AW46&lt;&gt;"",N(AW46)&gt;0),IFERROR(IFERROR(_xlfn.XLOOKUP(AP46,BP10:BP57,BT10:BT57),IFERROR(_xlfn.XLOOKUP(AP46,BQ10:BQ57,BT10:BT57),_xlfn.XLOOKUP(AP46,BR10:BR57,BT10:BT57,""))),""),""),""),"")</f>
        <v/>
      </c>
      <c r="BC46" s="813" cm="1">
        <f t="array" ref="BC46">IF(NOT(AQ46),0,IF(OR(BA46="",N(BA46)&lt;=0.000000001),"",IF(OR(AU46="",N(AU46)&lt;=0.000000001),0,IF(ISNUMBER(BA46),IFERROR(_xlfn.LET(_xlpm.ai_test,TRIM(AP46),_xlpm.r,IFERROR(_xlfn.XLOOKUP(_xlpm.ai_test,BP16:BP63,ROW(BP16:BP63),0,1),IFERROR(_xlfn.XLOOKUP(_xlpm.ai_test,BQ16:BQ63,ROW(BQ16:BQ63),0,1),_xlfn.XLOOKUP(_xlpm.ai_test,BR16:BR63,ROW(BR16:BR63),0,1))),_xlpm.p,_xlpm.r-MIN(ROW(BP16:BP63))+1,_xlpm.f,INDEX(BS16:BS63,_xlpm.p),_xlpm.u,INDEX(BT16:BT63,_xlpm.p),_xlpm.s,INDEX(BV16:BV63,_xlpm.p),_xlpm.q,N(BA46)/_xlpm.f,IF(_xlpm.q&gt;=_xlpm.s,ROUND(_xlpm.q,1)&amp;" "&amp;_xlpm.ai_test&amp;" = "&amp;ROUND(_xlpm.q*_xlpm.f,1)&amp;" "&amp;_xlpm.u,ROUND(_xlpm.q,1)&amp;" "&amp;_xlpm.ai_test)),""),""))))</f>
        <v>0</v>
      </c>
      <c r="BD46" s="801"/>
      <c r="BE46" s="799" t="str">
        <f t="shared" si="31"/>
        <v/>
      </c>
      <c r="BF46" s="800" t="str">
        <f t="shared" si="42"/>
        <v/>
      </c>
      <c r="BG46" s="802">
        <f t="shared" si="43"/>
        <v>0</v>
      </c>
      <c r="BH46" s="803" t="str">
        <f t="shared" si="44"/>
        <v/>
      </c>
      <c r="BI46" s="792"/>
      <c r="BJ46" s="804">
        <f t="shared" si="45"/>
        <v>0</v>
      </c>
      <c r="BK46" s="794" t="str">
        <f t="shared" si="39"/>
        <v/>
      </c>
      <c r="BL46" s="227" t="s">
        <v>21</v>
      </c>
      <c r="BM46" s="773">
        <f t="shared" si="36"/>
        <v>0</v>
      </c>
      <c r="BN46" s="774">
        <f t="shared" si="37"/>
        <v>0</v>
      </c>
      <c r="BO46" s="630"/>
      <c r="BP46" s="121" t="s">
        <v>157</v>
      </c>
      <c r="BQ46" s="121" t="s">
        <v>1329</v>
      </c>
      <c r="BR46" s="121" t="s">
        <v>1311</v>
      </c>
      <c r="BS46" s="767">
        <f t="shared" si="41"/>
        <v>0.23</v>
      </c>
      <c r="BT46" s="642" t="s">
        <v>837</v>
      </c>
      <c r="BU46" s="642" t="s">
        <v>1584</v>
      </c>
      <c r="BV46" s="757">
        <f t="shared" si="40"/>
        <v>4</v>
      </c>
      <c r="BW46" s="776">
        <v>230</v>
      </c>
      <c r="BX46" s="630"/>
      <c r="BY46" s="630"/>
      <c r="BZ46" s="630"/>
      <c r="CA46" s="630"/>
      <c r="CB46" s="630"/>
      <c r="CC46" s="630"/>
      <c r="CD46" s="781" t="str">
        <f t="shared" si="15"/>
        <v>►</v>
      </c>
      <c r="CE46" s="6858" t="s">
        <v>1668</v>
      </c>
      <c r="CF46" s="6858"/>
      <c r="CG46" s="6858"/>
      <c r="CH46" s="6858"/>
      <c r="CI46" s="6858"/>
      <c r="CJ46" s="719"/>
      <c r="CK46" s="777" t="s">
        <v>1613</v>
      </c>
      <c r="CL46" s="808" t="s">
        <v>1641</v>
      </c>
      <c r="CM46" s="754"/>
      <c r="CN46" s="754"/>
      <c r="CO46" s="754"/>
      <c r="CP46" s="754"/>
      <c r="CQ46" s="755"/>
      <c r="CS46" s="777" t="s">
        <v>1556</v>
      </c>
      <c r="CT46" s="808" t="s">
        <v>1642</v>
      </c>
      <c r="CU46" s="754"/>
      <c r="CV46" s="754"/>
      <c r="CW46" s="754"/>
      <c r="CX46" s="754"/>
      <c r="CY46" s="755"/>
      <c r="DA46" s="777" t="s">
        <v>1574</v>
      </c>
      <c r="DB46" s="808" t="s">
        <v>1643</v>
      </c>
      <c r="DC46" s="754"/>
      <c r="DD46" s="754"/>
      <c r="DE46" s="754"/>
      <c r="DF46" s="754"/>
      <c r="DG46" s="755"/>
      <c r="DI46" s="3">
        <v>1</v>
      </c>
    </row>
    <row r="47" spans="1:113" s="627" customFormat="1" ht="21" customHeight="1">
      <c r="A47" s="701" t="s">
        <v>21</v>
      </c>
      <c r="B47" s="2265" t="str" cm="1">
        <f t="array" ref="B47">SUMPRODUCT(--(D47:J47&lt;&gt;""), LEN(TRIM(SUBSTITUTE(D47:J47, CHAR(160), "")))) &amp; " Car."</f>
        <v>0 Car.</v>
      </c>
      <c r="C47" s="1376" t="str">
        <f>IF(ISBLANK(D47),"",LARGE(C13:C46,1)+1)</f>
        <v/>
      </c>
      <c r="D47" s="1833"/>
      <c r="E47" s="1810"/>
      <c r="F47" s="1810"/>
      <c r="G47" s="1810"/>
      <c r="H47" s="1810"/>
      <c r="I47" s="1810"/>
      <c r="J47" s="1810"/>
      <c r="K47" s="1810"/>
      <c r="L47" s="1811"/>
      <c r="M47" s="9"/>
      <c r="N47" s="162" t="str">
        <f t="shared" si="16"/>
        <v>►</v>
      </c>
      <c r="O47" s="6845"/>
      <c r="P47" s="9"/>
      <c r="Q47" s="25" t="s">
        <v>15</v>
      </c>
      <c r="R47" s="2237"/>
      <c r="S47" s="2237"/>
      <c r="T47" s="2237"/>
      <c r="U47" s="2237"/>
      <c r="V47" s="2240"/>
      <c r="W47" s="2241"/>
      <c r="X47" s="2239"/>
      <c r="Y47" s="2242"/>
      <c r="Z47" s="2250"/>
      <c r="AA47" s="2244"/>
      <c r="AB47" s="2244"/>
      <c r="AC47" s="2245"/>
      <c r="AD47" s="2246"/>
      <c r="AE47" s="2247"/>
      <c r="AF47" s="2248"/>
      <c r="AG47" s="2249"/>
      <c r="AH47" s="2249"/>
      <c r="AI47" s="2238"/>
      <c r="AJ47" s="2264"/>
      <c r="AK47" s="6120" t="str">
        <f t="shared" si="19"/>
        <v>►</v>
      </c>
      <c r="AL47" s="781" t="str">
        <f t="shared" si="21"/>
        <v>►</v>
      </c>
      <c r="AM47" s="5499" t="str">
        <f t="shared" si="22"/>
        <v/>
      </c>
      <c r="AN47" s="783" t="str">
        <f t="shared" si="38"/>
        <v/>
      </c>
      <c r="AO47" s="782" t="str">
        <f t="shared" si="24"/>
        <v/>
      </c>
      <c r="AP47" s="783" t="str">
        <f t="shared" si="25"/>
        <v/>
      </c>
      <c r="AQ47" s="2083" t="b">
        <f>AND(Q47="A",COUNTIF(BP16:BR63,TRIM(Z47))&gt;0)</f>
        <v>0</v>
      </c>
      <c r="AR47" s="797" t="str">
        <f>IF(AL47&lt;&gt;"A","",IFERROR(IFERROR(_xlfn.XLOOKUP(TRIM(SUBSTITUTE(Z47,CHAR(160)," ")),BP16:BP63,BS16:BS63),IFERROR(_xlfn.XLOOKUP(TRIM(SUBSTITUTE(Z47,CHAR(160)," ")),BQ16:BQ63,BS16:BS63),_xlfn.XLOOKUP(TRIM(SUBSTITUTE(Z47,CHAR(160)," ")),BR16:BR63,BS16:BS63)))*Y47*IF(ISBLANK(V47),1,V47),0))</f>
        <v/>
      </c>
      <c r="AS47" s="784" t="str">
        <f t="shared" si="26"/>
        <v/>
      </c>
      <c r="AT47" s="1315" t="str">
        <f t="shared" si="27"/>
        <v/>
      </c>
      <c r="AU47" s="785">
        <f t="shared" si="28"/>
        <v>0</v>
      </c>
      <c r="AV47" s="785">
        <f t="shared" si="29"/>
        <v>0</v>
      </c>
      <c r="AW47" s="786">
        <f>IF(AK47="A",AY10,0)</f>
        <v>0</v>
      </c>
      <c r="AX47" s="5495" t="str">
        <f>IF(IFERROR(SEARCH("Adresse PC",TRIM(W47)),0)&gt;0,"▼ receta siguiente",IF(AK47="A",IF(AZ10&lt;&gt;"",AZ10&amp;" - ou.or.o ❾ + or - &gt;",""),""))</f>
        <v/>
      </c>
      <c r="AY47" s="810"/>
      <c r="AZ47" s="810"/>
      <c r="BA47" s="788" t="str">
        <f t="shared" si="30"/>
        <v/>
      </c>
      <c r="BB47" s="789" t="str">
        <f>IF(AK47="A",IF(AQ47,IF(AND(AW47&lt;&gt;"",N(AW47)&gt;0),IFERROR(IFERROR(_xlfn.XLOOKUP(AP47,BP10:BP57,BT10:BT57),IFERROR(_xlfn.XLOOKUP(AP47,BQ10:BQ57,BT10:BT57),_xlfn.XLOOKUP(AP47,BR10:BR57,BT10:BT57,""))),""),""),""),"")</f>
        <v/>
      </c>
      <c r="BC47" s="811" cm="1">
        <f t="array" ref="BC47">IF(NOT(AQ47),0,IF(OR(BA47="",N(BA47)&lt;=0.000000001),"",IF(OR(AU47="",N(AU47)&lt;=0.000000001),0,IF(ISNUMBER(BA47),IFERROR(_xlfn.LET(_xlpm.ai_test,TRIM(AP47),_xlpm.r,IFERROR(_xlfn.XLOOKUP(_xlpm.ai_test,BP16:BP63,ROW(BP16:BP63),0,1),IFERROR(_xlfn.XLOOKUP(_xlpm.ai_test,BQ16:BQ63,ROW(BQ16:BQ63),0,1),_xlfn.XLOOKUP(_xlpm.ai_test,BR16:BR63,ROW(BR16:BR63),0,1))),_xlpm.p,_xlpm.r-MIN(ROW(BP16:BP63))+1,_xlpm.f,INDEX(BS16:BS63,_xlpm.p),_xlpm.u,INDEX(BT16:BT63,_xlpm.p),_xlpm.s,INDEX(BV16:BV63,_xlpm.p),_xlpm.q,N(BA47)/_xlpm.f,IF(_xlpm.q&gt;=_xlpm.s,ROUND(_xlpm.q,1)&amp;" "&amp;_xlpm.ai_test&amp;" = "&amp;ROUND(_xlpm.q*_xlpm.f,1)&amp;" "&amp;_xlpm.u,ROUND(_xlpm.q,1)&amp;" "&amp;_xlpm.ai_test)),""),""))))</f>
        <v>0</v>
      </c>
      <c r="BD47" s="801"/>
      <c r="BE47" s="788" t="str">
        <f t="shared" si="31"/>
        <v/>
      </c>
      <c r="BF47" s="789" t="str">
        <f t="shared" si="42"/>
        <v/>
      </c>
      <c r="BG47" s="790">
        <f t="shared" si="43"/>
        <v>0</v>
      </c>
      <c r="BH47" s="791" t="str">
        <f t="shared" si="44"/>
        <v/>
      </c>
      <c r="BI47" s="792"/>
      <c r="BJ47" s="793">
        <f t="shared" si="45"/>
        <v>0</v>
      </c>
      <c r="BK47" s="794" t="str">
        <f t="shared" si="39"/>
        <v/>
      </c>
      <c r="BL47" s="227" t="s">
        <v>21</v>
      </c>
      <c r="BM47" s="773">
        <f t="shared" si="36"/>
        <v>0</v>
      </c>
      <c r="BN47" s="774">
        <f t="shared" si="37"/>
        <v>0</v>
      </c>
      <c r="BO47" s="630"/>
      <c r="BP47" s="121" t="s">
        <v>156</v>
      </c>
      <c r="BQ47" s="121" t="s">
        <v>1326</v>
      </c>
      <c r="BR47" s="121" t="s">
        <v>1308</v>
      </c>
      <c r="BS47" s="767">
        <f t="shared" si="41"/>
        <v>0.13</v>
      </c>
      <c r="BT47" s="642" t="s">
        <v>837</v>
      </c>
      <c r="BU47" s="642" t="s">
        <v>1584</v>
      </c>
      <c r="BV47" s="757">
        <f t="shared" si="40"/>
        <v>8</v>
      </c>
      <c r="BW47" s="768">
        <v>130</v>
      </c>
      <c r="BX47" s="630"/>
      <c r="BY47" s="630"/>
      <c r="BZ47" s="630"/>
      <c r="CA47" s="630"/>
      <c r="CB47" s="630"/>
      <c r="CC47" s="630"/>
      <c r="CD47" s="781" t="str">
        <f t="shared" si="15"/>
        <v>►</v>
      </c>
      <c r="CE47" s="6858"/>
      <c r="CF47" s="6858"/>
      <c r="CG47" s="6858"/>
      <c r="CH47" s="6858"/>
      <c r="CI47" s="6858"/>
      <c r="CJ47" s="719"/>
      <c r="CK47" s="762"/>
      <c r="CL47" s="808"/>
      <c r="CM47" s="754"/>
      <c r="CN47" s="754"/>
      <c r="CO47" s="754"/>
      <c r="CP47" s="754"/>
      <c r="CQ47" s="755"/>
      <c r="CS47" s="762"/>
      <c r="CT47" s="808"/>
      <c r="CU47" s="754"/>
      <c r="CV47" s="754"/>
      <c r="CW47" s="754"/>
      <c r="CX47" s="754"/>
      <c r="CY47" s="755"/>
      <c r="DA47" s="762"/>
      <c r="DB47" s="808"/>
      <c r="DC47" s="754"/>
      <c r="DD47" s="754"/>
      <c r="DE47" s="754"/>
      <c r="DF47" s="754"/>
      <c r="DG47" s="755"/>
      <c r="DI47" s="3">
        <v>1</v>
      </c>
    </row>
    <row r="48" spans="1:113" s="627" customFormat="1" ht="21" customHeight="1">
      <c r="A48" s="701" t="s">
        <v>21</v>
      </c>
      <c r="B48" s="2265" t="str" cm="1">
        <f t="array" ref="B48">SUMPRODUCT(--(D48:J48&lt;&gt;""), LEN(TRIM(SUBSTITUTE(D48:J48, CHAR(160), "")))) &amp; " Car."</f>
        <v>0 Car.</v>
      </c>
      <c r="C48" s="1376" t="str">
        <f>IF(ISBLANK(D48),"",LARGE(C13:C47,1)+1)</f>
        <v/>
      </c>
      <c r="D48" s="1833"/>
      <c r="E48" s="1810"/>
      <c r="F48" s="1810"/>
      <c r="G48" s="1810"/>
      <c r="H48" s="1810"/>
      <c r="I48" s="1810"/>
      <c r="J48" s="1810"/>
      <c r="K48" s="1810"/>
      <c r="L48" s="1811"/>
      <c r="M48" s="9"/>
      <c r="N48" s="162" t="str">
        <f t="shared" si="16"/>
        <v>►</v>
      </c>
      <c r="O48" s="6845"/>
      <c r="P48" s="9"/>
      <c r="Q48" s="25" t="s">
        <v>15</v>
      </c>
      <c r="R48" s="2237"/>
      <c r="S48" s="2237"/>
      <c r="T48" s="2237"/>
      <c r="U48" s="2237"/>
      <c r="V48" s="2240"/>
      <c r="W48" s="2241"/>
      <c r="X48" s="2239"/>
      <c r="Y48" s="2242"/>
      <c r="Z48" s="2250"/>
      <c r="AA48" s="2244"/>
      <c r="AB48" s="2244"/>
      <c r="AC48" s="2245"/>
      <c r="AD48" s="2246"/>
      <c r="AE48" s="2247"/>
      <c r="AF48" s="2248"/>
      <c r="AG48" s="2249"/>
      <c r="AH48" s="2249"/>
      <c r="AI48" s="2238"/>
      <c r="AJ48" s="2264"/>
      <c r="AK48" s="6120" t="str">
        <f t="shared" si="19"/>
        <v>►</v>
      </c>
      <c r="AL48" s="781" t="str">
        <f t="shared" si="21"/>
        <v>►</v>
      </c>
      <c r="AM48" s="5498" t="str">
        <f t="shared" si="22"/>
        <v/>
      </c>
      <c r="AN48" s="783" t="str">
        <f t="shared" si="38"/>
        <v/>
      </c>
      <c r="AO48" s="782" t="str">
        <f t="shared" si="24"/>
        <v/>
      </c>
      <c r="AP48" s="783" t="str">
        <f t="shared" si="25"/>
        <v/>
      </c>
      <c r="AQ48" s="2083" t="b">
        <f>AND(Q48="A",COUNTIF(BP16:BR63,TRIM(Z48))&gt;0)</f>
        <v>0</v>
      </c>
      <c r="AR48" s="797" t="str">
        <f>IF(AL48&lt;&gt;"A","",IFERROR(IFERROR(_xlfn.XLOOKUP(TRIM(SUBSTITUTE(Z48,CHAR(160)," ")),BP16:BP63,BS16:BS63),IFERROR(_xlfn.XLOOKUP(TRIM(SUBSTITUTE(Z48,CHAR(160)," ")),BQ16:BQ63,BS16:BS63),_xlfn.XLOOKUP(TRIM(SUBSTITUTE(Z48,CHAR(160)," ")),BR16:BR63,BS16:BS63)))*Y48*IF(ISBLANK(V48),1,V48),0))</f>
        <v/>
      </c>
      <c r="AS48" s="784" t="str">
        <f t="shared" si="26"/>
        <v/>
      </c>
      <c r="AT48" s="1315" t="str">
        <f t="shared" si="27"/>
        <v/>
      </c>
      <c r="AU48" s="785">
        <f t="shared" si="28"/>
        <v>0</v>
      </c>
      <c r="AV48" s="785">
        <f t="shared" si="29"/>
        <v>0</v>
      </c>
      <c r="AW48" s="798">
        <f>IF(AK48="A",AY10,0)</f>
        <v>0</v>
      </c>
      <c r="AX48" s="5496" t="str">
        <f>IF(IFERROR(SEARCH("Adresse PC",TRIM(W48)),0)&gt;0,"▼ receta siguiente",IF(AK48="A",IF(AZ10&lt;&gt;"",AZ10&amp;" - ou.or.o ❾ + or - &gt;",""),""))</f>
        <v/>
      </c>
      <c r="AY48" s="810"/>
      <c r="AZ48" s="810"/>
      <c r="BA48" s="799" t="str">
        <f t="shared" si="30"/>
        <v/>
      </c>
      <c r="BB48" s="800" t="str">
        <f>IF(AK48="A",IF(AQ48,IF(AND(AW48&lt;&gt;"",N(AW48)&gt;0),IFERROR(IFERROR(_xlfn.XLOOKUP(AP48,BP10:BP57,BT10:BT57),IFERROR(_xlfn.XLOOKUP(AP48,BQ10:BQ57,BT10:BT57),_xlfn.XLOOKUP(AP48,BR10:BR57,BT10:BT57,""))),""),""),""),"")</f>
        <v/>
      </c>
      <c r="BC48" s="813" cm="1">
        <f t="array" ref="BC48">IF(NOT(AQ48),0,IF(OR(BA48="",N(BA48)&lt;=0.000000001),"",IF(OR(AU48="",N(AU48)&lt;=0.000000001),0,IF(ISNUMBER(BA48),IFERROR(_xlfn.LET(_xlpm.ai_test,TRIM(AP48),_xlpm.r,IFERROR(_xlfn.XLOOKUP(_xlpm.ai_test,BP16:BP63,ROW(BP16:BP63),0,1),IFERROR(_xlfn.XLOOKUP(_xlpm.ai_test,BQ16:BQ63,ROW(BQ16:BQ63),0,1),_xlfn.XLOOKUP(_xlpm.ai_test,BR16:BR63,ROW(BR16:BR63),0,1))),_xlpm.p,_xlpm.r-MIN(ROW(BP16:BP63))+1,_xlpm.f,INDEX(BS16:BS63,_xlpm.p),_xlpm.u,INDEX(BT16:BT63,_xlpm.p),_xlpm.s,INDEX(BV16:BV63,_xlpm.p),_xlpm.q,N(BA48)/_xlpm.f,IF(_xlpm.q&gt;=_xlpm.s,ROUND(_xlpm.q,1)&amp;" "&amp;_xlpm.ai_test&amp;" = "&amp;ROUND(_xlpm.q*_xlpm.f,1)&amp;" "&amp;_xlpm.u,ROUND(_xlpm.q,1)&amp;" "&amp;_xlpm.ai_test)),""),""))))</f>
        <v>0</v>
      </c>
      <c r="BD48" s="801"/>
      <c r="BE48" s="799" t="str">
        <f t="shared" si="31"/>
        <v/>
      </c>
      <c r="BF48" s="800" t="str">
        <f t="shared" si="42"/>
        <v/>
      </c>
      <c r="BG48" s="802">
        <f t="shared" si="43"/>
        <v>0</v>
      </c>
      <c r="BH48" s="803" t="str">
        <f t="shared" si="44"/>
        <v/>
      </c>
      <c r="BI48" s="792"/>
      <c r="BJ48" s="804">
        <f t="shared" si="45"/>
        <v>0</v>
      </c>
      <c r="BK48" s="794" t="str">
        <f t="shared" si="39"/>
        <v/>
      </c>
      <c r="BL48" s="227" t="s">
        <v>21</v>
      </c>
      <c r="BM48" s="773">
        <f t="shared" si="36"/>
        <v>0</v>
      </c>
      <c r="BN48" s="774">
        <f t="shared" si="37"/>
        <v>0</v>
      </c>
      <c r="BO48" s="630"/>
      <c r="BP48" s="121" t="s">
        <v>110</v>
      </c>
      <c r="BQ48" s="121" t="s">
        <v>1328</v>
      </c>
      <c r="BR48" s="121" t="s">
        <v>1310</v>
      </c>
      <c r="BS48" s="767">
        <f t="shared" si="41"/>
        <v>0.2</v>
      </c>
      <c r="BT48" s="642" t="s">
        <v>837</v>
      </c>
      <c r="BU48" s="642" t="s">
        <v>1584</v>
      </c>
      <c r="BV48" s="757">
        <f t="shared" si="40"/>
        <v>5</v>
      </c>
      <c r="BW48" s="768">
        <v>200</v>
      </c>
      <c r="BX48" s="630"/>
      <c r="BY48" s="630"/>
      <c r="BZ48" s="630"/>
      <c r="CA48" s="630"/>
      <c r="CB48" s="630"/>
      <c r="CC48" s="630"/>
      <c r="CD48" s="781" t="str">
        <f t="shared" si="15"/>
        <v>►</v>
      </c>
      <c r="CE48" s="818"/>
      <c r="CF48" s="634"/>
      <c r="CG48" s="634"/>
      <c r="CH48" s="635"/>
      <c r="CI48" s="635"/>
      <c r="CJ48" s="719"/>
      <c r="CK48" s="816" t="s">
        <v>1648</v>
      </c>
      <c r="CL48" s="817"/>
      <c r="CM48" s="817"/>
      <c r="CN48" s="117"/>
      <c r="CO48" s="117"/>
      <c r="CP48" s="117"/>
      <c r="CQ48" s="644"/>
      <c r="CS48" s="816" t="s">
        <v>1649</v>
      </c>
      <c r="CT48" s="817"/>
      <c r="CU48" s="817"/>
      <c r="CV48" s="117"/>
      <c r="CW48" s="117"/>
      <c r="CX48" s="117"/>
      <c r="CY48" s="644"/>
      <c r="DA48" s="816" t="s">
        <v>1650</v>
      </c>
      <c r="DB48" s="817"/>
      <c r="DC48" s="817"/>
      <c r="DD48" s="117"/>
      <c r="DE48" s="117"/>
      <c r="DF48" s="117"/>
      <c r="DG48" s="644"/>
      <c r="DI48" s="3">
        <v>1</v>
      </c>
    </row>
    <row r="49" spans="1:113" s="627" customFormat="1" ht="21" customHeight="1">
      <c r="A49" s="701" t="s">
        <v>21</v>
      </c>
      <c r="B49" s="2265" t="str" cm="1">
        <f t="array" ref="B49">SUMPRODUCT(--(D49:J49&lt;&gt;""), LEN(TRIM(SUBSTITUTE(D49:J49, CHAR(160), "")))) &amp; " Car."</f>
        <v>0 Car.</v>
      </c>
      <c r="C49" s="1376" t="str">
        <f>IF(ISBLANK(D49),"",LARGE(C13:C48,1)+1)</f>
        <v/>
      </c>
      <c r="D49" s="1833"/>
      <c r="E49" s="1810"/>
      <c r="F49" s="1810"/>
      <c r="G49" s="1810"/>
      <c r="H49" s="1810"/>
      <c r="I49" s="1810"/>
      <c r="J49" s="1810"/>
      <c r="K49" s="1810"/>
      <c r="L49" s="1811"/>
      <c r="M49" s="9"/>
      <c r="N49" s="162" t="str">
        <f t="shared" si="16"/>
        <v>►</v>
      </c>
      <c r="O49" s="6845"/>
      <c r="P49" s="9"/>
      <c r="Q49" s="25" t="s">
        <v>15</v>
      </c>
      <c r="R49" s="2237"/>
      <c r="S49" s="2237"/>
      <c r="T49" s="2237"/>
      <c r="U49" s="2237"/>
      <c r="V49" s="2240"/>
      <c r="W49" s="2241"/>
      <c r="X49" s="2239"/>
      <c r="Y49" s="2242"/>
      <c r="Z49" s="2250"/>
      <c r="AA49" s="2244"/>
      <c r="AB49" s="2244"/>
      <c r="AC49" s="2245"/>
      <c r="AD49" s="2246"/>
      <c r="AE49" s="2247"/>
      <c r="AF49" s="2248"/>
      <c r="AG49" s="2249"/>
      <c r="AH49" s="2249"/>
      <c r="AI49" s="2238"/>
      <c r="AJ49" s="2264"/>
      <c r="AK49" s="6120" t="str">
        <f t="shared" si="19"/>
        <v>►</v>
      </c>
      <c r="AL49" s="781" t="str">
        <f t="shared" si="21"/>
        <v>►</v>
      </c>
      <c r="AM49" s="5499" t="str">
        <f t="shared" si="22"/>
        <v/>
      </c>
      <c r="AN49" s="783" t="str">
        <f t="shared" si="38"/>
        <v/>
      </c>
      <c r="AO49" s="782" t="str">
        <f t="shared" si="24"/>
        <v/>
      </c>
      <c r="AP49" s="783" t="str">
        <f t="shared" si="25"/>
        <v/>
      </c>
      <c r="AQ49" s="2083" t="b">
        <f>AND(Q49="A",COUNTIF(BP16:BR63,TRIM(Z49))&gt;0)</f>
        <v>0</v>
      </c>
      <c r="AR49" s="797" t="str">
        <f>IF(AL49&lt;&gt;"A","",IFERROR(IFERROR(_xlfn.XLOOKUP(TRIM(SUBSTITUTE(Z49,CHAR(160)," ")),BP16:BP63,BS16:BS63),IFERROR(_xlfn.XLOOKUP(TRIM(SUBSTITUTE(Z49,CHAR(160)," ")),BQ16:BQ63,BS16:BS63),_xlfn.XLOOKUP(TRIM(SUBSTITUTE(Z49,CHAR(160)," ")),BR16:BR63,BS16:BS63)))*Y49*IF(ISBLANK(V49),1,V49),0))</f>
        <v/>
      </c>
      <c r="AS49" s="784" t="str">
        <f t="shared" si="26"/>
        <v/>
      </c>
      <c r="AT49" s="1315" t="str">
        <f t="shared" si="27"/>
        <v/>
      </c>
      <c r="AU49" s="785">
        <f t="shared" si="28"/>
        <v>0</v>
      </c>
      <c r="AV49" s="785">
        <f t="shared" si="29"/>
        <v>0</v>
      </c>
      <c r="AW49" s="786">
        <f>IF(AK49="A",AY10,0)</f>
        <v>0</v>
      </c>
      <c r="AX49" s="5495" t="str">
        <f>IF(IFERROR(SEARCH("Adresse PC",TRIM(W49)),0)&gt;0,"▼ receta siguiente",IF(AK49="A",IF(AZ10&lt;&gt;"",AZ10&amp;" - ou.or.o ❾ + or - &gt;",""),""))</f>
        <v/>
      </c>
      <c r="AY49" s="810"/>
      <c r="AZ49" s="810"/>
      <c r="BA49" s="788" t="str">
        <f t="shared" si="30"/>
        <v/>
      </c>
      <c r="BB49" s="789" t="str">
        <f>IF(AK49="A",IF(AQ49,IF(AND(AW49&lt;&gt;"",N(AW49)&gt;0),IFERROR(IFERROR(_xlfn.XLOOKUP(AP49,BP10:BP57,BT10:BT57),IFERROR(_xlfn.XLOOKUP(AP49,BQ10:BQ57,BT10:BT57),_xlfn.XLOOKUP(AP49,BR10:BR57,BT10:BT57,""))),""),""),""),"")</f>
        <v/>
      </c>
      <c r="BC49" s="811" cm="1">
        <f t="array" ref="BC49">IF(NOT(AQ49),0,IF(OR(BA49="",N(BA49)&lt;=0.000000001),"",IF(OR(AU49="",N(AU49)&lt;=0.000000001),0,IF(ISNUMBER(BA49),IFERROR(_xlfn.LET(_xlpm.ai_test,TRIM(AP49),_xlpm.r,IFERROR(_xlfn.XLOOKUP(_xlpm.ai_test,BP16:BP63,ROW(BP16:BP63),0,1),IFERROR(_xlfn.XLOOKUP(_xlpm.ai_test,BQ16:BQ63,ROW(BQ16:BQ63),0,1),_xlfn.XLOOKUP(_xlpm.ai_test,BR16:BR63,ROW(BR16:BR63),0,1))),_xlpm.p,_xlpm.r-MIN(ROW(BP16:BP63))+1,_xlpm.f,INDEX(BS16:BS63,_xlpm.p),_xlpm.u,INDEX(BT16:BT63,_xlpm.p),_xlpm.s,INDEX(BV16:BV63,_xlpm.p),_xlpm.q,N(BA49)/_xlpm.f,IF(_xlpm.q&gt;=_xlpm.s,ROUND(_xlpm.q,1)&amp;" "&amp;_xlpm.ai_test&amp;" = "&amp;ROUND(_xlpm.q*_xlpm.f,1)&amp;" "&amp;_xlpm.u,ROUND(_xlpm.q,1)&amp;" "&amp;_xlpm.ai_test)),""),""))))</f>
        <v>0</v>
      </c>
      <c r="BD49" s="801"/>
      <c r="BE49" s="788" t="str">
        <f t="shared" si="31"/>
        <v/>
      </c>
      <c r="BF49" s="789" t="str">
        <f t="shared" si="42"/>
        <v/>
      </c>
      <c r="BG49" s="790">
        <f t="shared" si="43"/>
        <v>0</v>
      </c>
      <c r="BH49" s="791" t="str">
        <f t="shared" si="44"/>
        <v/>
      </c>
      <c r="BI49" s="792"/>
      <c r="BJ49" s="793">
        <f t="shared" si="45"/>
        <v>0</v>
      </c>
      <c r="BK49" s="794" t="str">
        <f t="shared" si="39"/>
        <v/>
      </c>
      <c r="BL49" s="227" t="s">
        <v>21</v>
      </c>
      <c r="BM49" s="773">
        <f t="shared" si="36"/>
        <v>0</v>
      </c>
      <c r="BN49" s="774">
        <f t="shared" si="37"/>
        <v>0</v>
      </c>
      <c r="BO49" s="630"/>
      <c r="BP49" s="829" t="s">
        <v>163</v>
      </c>
      <c r="BQ49" s="697" t="s">
        <v>1336</v>
      </c>
      <c r="BR49" s="697" t="s">
        <v>1319</v>
      </c>
      <c r="BS49" s="767">
        <f t="shared" si="41"/>
        <v>1E-3</v>
      </c>
      <c r="BT49" s="805" t="s">
        <v>1621</v>
      </c>
      <c r="BU49" s="805" t="s">
        <v>1622</v>
      </c>
      <c r="BV49" s="757">
        <f t="shared" si="40"/>
        <v>1000</v>
      </c>
      <c r="BW49" s="806">
        <v>1</v>
      </c>
      <c r="BX49" s="630"/>
      <c r="BY49" s="630"/>
      <c r="BZ49" s="630"/>
      <c r="CA49" s="630"/>
      <c r="CB49" s="630"/>
      <c r="CC49" s="630"/>
      <c r="CD49" s="781" t="str">
        <f t="shared" si="15"/>
        <v>►</v>
      </c>
      <c r="CE49" s="6858" t="s">
        <v>1678</v>
      </c>
      <c r="CF49" s="6858"/>
      <c r="CG49" s="6858"/>
      <c r="CH49" s="6858"/>
      <c r="CI49" s="6858"/>
      <c r="CJ49" s="719"/>
      <c r="CK49" s="6465" t="s">
        <v>13815</v>
      </c>
      <c r="CL49" s="6466"/>
      <c r="CM49" s="6466"/>
      <c r="CN49" s="6466"/>
      <c r="CO49" s="6466"/>
      <c r="CP49" s="6466"/>
      <c r="CQ49" s="6467"/>
      <c r="CS49" s="6465" t="s">
        <v>13816</v>
      </c>
      <c r="CT49" s="6466"/>
      <c r="CU49" s="6466"/>
      <c r="CV49" s="6466"/>
      <c r="CW49" s="6466"/>
      <c r="CX49" s="6466"/>
      <c r="CY49" s="6467"/>
      <c r="DA49" s="6465" t="s">
        <v>13817</v>
      </c>
      <c r="DB49" s="6466"/>
      <c r="DC49" s="6466"/>
      <c r="DD49" s="6466"/>
      <c r="DE49" s="6466"/>
      <c r="DF49" s="6466"/>
      <c r="DG49" s="6467"/>
      <c r="DI49" s="3">
        <v>1</v>
      </c>
    </row>
    <row r="50" spans="1:113" s="627" customFormat="1" ht="21" customHeight="1">
      <c r="A50" s="701" t="s">
        <v>21</v>
      </c>
      <c r="B50" s="2265" t="str" cm="1">
        <f t="array" ref="B50">SUMPRODUCT(--(D50:J50&lt;&gt;""), LEN(TRIM(SUBSTITUTE(D50:J50, CHAR(160), "")))) &amp; " Car."</f>
        <v>0 Car.</v>
      </c>
      <c r="C50" s="1376" t="str">
        <f>IF(ISBLANK(D50),"",LARGE(C13:C49,1)+1)</f>
        <v/>
      </c>
      <c r="D50" s="1833"/>
      <c r="E50" s="1810"/>
      <c r="F50" s="1810"/>
      <c r="G50" s="1810"/>
      <c r="H50" s="1810"/>
      <c r="I50" s="1810"/>
      <c r="J50" s="1810"/>
      <c r="K50" s="1810"/>
      <c r="L50" s="1811"/>
      <c r="M50" s="9"/>
      <c r="N50" s="162" t="str">
        <f t="shared" si="16"/>
        <v>►</v>
      </c>
      <c r="O50" s="1616">
        <v>1</v>
      </c>
      <c r="P50" s="9"/>
      <c r="Q50" s="25" t="s">
        <v>15</v>
      </c>
      <c r="R50" s="2237"/>
      <c r="S50" s="2237"/>
      <c r="T50" s="2237"/>
      <c r="U50" s="2237"/>
      <c r="V50" s="2240"/>
      <c r="W50" s="2241"/>
      <c r="X50" s="2239"/>
      <c r="Y50" s="2242"/>
      <c r="Z50" s="2250"/>
      <c r="AA50" s="2244"/>
      <c r="AB50" s="2244"/>
      <c r="AC50" s="2245"/>
      <c r="AD50" s="2246"/>
      <c r="AE50" s="2247"/>
      <c r="AF50" s="2248"/>
      <c r="AG50" s="2249"/>
      <c r="AH50" s="2249"/>
      <c r="AI50" s="2238"/>
      <c r="AJ50" s="2264"/>
      <c r="AK50" s="6120" t="str">
        <f t="shared" si="19"/>
        <v>►</v>
      </c>
      <c r="AL50" s="781" t="str">
        <f t="shared" si="21"/>
        <v>►</v>
      </c>
      <c r="AM50" s="5498" t="str">
        <f t="shared" si="22"/>
        <v/>
      </c>
      <c r="AN50" s="783" t="str">
        <f t="shared" si="38"/>
        <v/>
      </c>
      <c r="AO50" s="782" t="str">
        <f t="shared" si="24"/>
        <v/>
      </c>
      <c r="AP50" s="783" t="str">
        <f t="shared" si="25"/>
        <v/>
      </c>
      <c r="AQ50" s="2083" t="b">
        <f>AND(Q50="A",COUNTIF(BP16:BR63,TRIM(Z50))&gt;0)</f>
        <v>0</v>
      </c>
      <c r="AR50" s="797" t="str">
        <f>IF(AL50&lt;&gt;"A","",IFERROR(IFERROR(_xlfn.XLOOKUP(TRIM(SUBSTITUTE(Z50,CHAR(160)," ")),BP16:BP63,BS16:BS63),IFERROR(_xlfn.XLOOKUP(TRIM(SUBSTITUTE(Z50,CHAR(160)," ")),BQ16:BQ63,BS16:BS63),_xlfn.XLOOKUP(TRIM(SUBSTITUTE(Z50,CHAR(160)," ")),BR16:BR63,BS16:BS63)))*Y50*IF(ISBLANK(V50),1,V50),0))</f>
        <v/>
      </c>
      <c r="AS50" s="784" t="str">
        <f t="shared" si="26"/>
        <v/>
      </c>
      <c r="AT50" s="1315" t="str">
        <f t="shared" si="27"/>
        <v/>
      </c>
      <c r="AU50" s="785">
        <f t="shared" si="28"/>
        <v>0</v>
      </c>
      <c r="AV50" s="785">
        <f t="shared" si="29"/>
        <v>0</v>
      </c>
      <c r="AW50" s="798">
        <f>IF(AK50="A",AY10,0)</f>
        <v>0</v>
      </c>
      <c r="AX50" s="5496" t="str">
        <f>IF(IFERROR(SEARCH("Adresse PC",TRIM(W50)),0)&gt;0,"▼ receta siguiente",IF(AK50="A",IF(AZ10&lt;&gt;"",AZ10&amp;" - ou.or.o ❾ + or - &gt;",""),""))</f>
        <v/>
      </c>
      <c r="AY50" s="810"/>
      <c r="AZ50" s="810"/>
      <c r="BA50" s="799" t="str">
        <f t="shared" si="30"/>
        <v/>
      </c>
      <c r="BB50" s="800" t="str">
        <f>IF(AK50="A",IF(AQ50,IF(AND(AW50&lt;&gt;"",N(AW50)&gt;0),IFERROR(IFERROR(_xlfn.XLOOKUP(AP50,BP10:BP57,BT10:BT57),IFERROR(_xlfn.XLOOKUP(AP50,BQ10:BQ57,BT10:BT57),_xlfn.XLOOKUP(AP50,BR10:BR57,BT10:BT57,""))),""),""),""),"")</f>
        <v/>
      </c>
      <c r="BC50" s="813" cm="1">
        <f t="array" ref="BC50">IF(NOT(AQ50),0,IF(OR(BA50="",N(BA50)&lt;=0.000000001),"",IF(OR(AU50="",N(AU50)&lt;=0.000000001),0,IF(ISNUMBER(BA50),IFERROR(_xlfn.LET(_xlpm.ai_test,TRIM(AP50),_xlpm.r,IFERROR(_xlfn.XLOOKUP(_xlpm.ai_test,BP16:BP63,ROW(BP16:BP63),0,1),IFERROR(_xlfn.XLOOKUP(_xlpm.ai_test,BQ16:BQ63,ROW(BQ16:BQ63),0,1),_xlfn.XLOOKUP(_xlpm.ai_test,BR16:BR63,ROW(BR16:BR63),0,1))),_xlpm.p,_xlpm.r-MIN(ROW(BP16:BP63))+1,_xlpm.f,INDEX(BS16:BS63,_xlpm.p),_xlpm.u,INDEX(BT16:BT63,_xlpm.p),_xlpm.s,INDEX(BV16:BV63,_xlpm.p),_xlpm.q,N(BA50)/_xlpm.f,IF(_xlpm.q&gt;=_xlpm.s,ROUND(_xlpm.q,1)&amp;" "&amp;_xlpm.ai_test&amp;" = "&amp;ROUND(_xlpm.q*_xlpm.f,1)&amp;" "&amp;_xlpm.u,ROUND(_xlpm.q,1)&amp;" "&amp;_xlpm.ai_test)),""),""))))</f>
        <v>0</v>
      </c>
      <c r="BD50" s="801"/>
      <c r="BE50" s="799" t="str">
        <f t="shared" si="31"/>
        <v/>
      </c>
      <c r="BF50" s="800" t="str">
        <f t="shared" si="42"/>
        <v/>
      </c>
      <c r="BG50" s="802">
        <f t="shared" si="43"/>
        <v>0</v>
      </c>
      <c r="BH50" s="803" t="str">
        <f t="shared" si="44"/>
        <v/>
      </c>
      <c r="BI50" s="792"/>
      <c r="BJ50" s="804">
        <f t="shared" si="45"/>
        <v>0</v>
      </c>
      <c r="BK50" s="794" t="str">
        <f t="shared" si="39"/>
        <v/>
      </c>
      <c r="BL50" s="227" t="s">
        <v>21</v>
      </c>
      <c r="BM50" s="773">
        <f t="shared" si="36"/>
        <v>0</v>
      </c>
      <c r="BN50" s="774">
        <f t="shared" si="37"/>
        <v>0</v>
      </c>
      <c r="BO50" s="630"/>
      <c r="BP50" s="829" t="s">
        <v>1682</v>
      </c>
      <c r="BQ50" s="697" t="s">
        <v>1336</v>
      </c>
      <c r="BR50" s="697" t="s">
        <v>1319</v>
      </c>
      <c r="BS50" s="767">
        <f t="shared" si="41"/>
        <v>2.5000000000000001E-3</v>
      </c>
      <c r="BT50" s="805" t="s">
        <v>1621</v>
      </c>
      <c r="BU50" s="805" t="s">
        <v>1622</v>
      </c>
      <c r="BV50" s="757">
        <f t="shared" si="40"/>
        <v>400</v>
      </c>
      <c r="BW50" s="812">
        <v>2.5</v>
      </c>
      <c r="BX50" s="630"/>
      <c r="BY50" s="630"/>
      <c r="BZ50" s="630"/>
      <c r="CA50" s="630"/>
      <c r="CB50" s="630"/>
      <c r="CC50" s="630"/>
      <c r="CD50" s="781" t="str">
        <f t="shared" si="15"/>
        <v>►</v>
      </c>
      <c r="CE50" s="6858"/>
      <c r="CF50" s="6858"/>
      <c r="CG50" s="6858"/>
      <c r="CH50" s="6858"/>
      <c r="CI50" s="6858"/>
      <c r="CJ50" s="719"/>
      <c r="CK50" s="6465"/>
      <c r="CL50" s="6466"/>
      <c r="CM50" s="6466"/>
      <c r="CN50" s="6466"/>
      <c r="CO50" s="6466"/>
      <c r="CP50" s="6466"/>
      <c r="CQ50" s="6467"/>
      <c r="CS50" s="6465"/>
      <c r="CT50" s="6466"/>
      <c r="CU50" s="6466"/>
      <c r="CV50" s="6466"/>
      <c r="CW50" s="6466"/>
      <c r="CX50" s="6466"/>
      <c r="CY50" s="6467"/>
      <c r="DA50" s="6465"/>
      <c r="DB50" s="6466"/>
      <c r="DC50" s="6466"/>
      <c r="DD50" s="6466"/>
      <c r="DE50" s="6466"/>
      <c r="DF50" s="6466"/>
      <c r="DG50" s="6467"/>
      <c r="DI50" s="3">
        <v>1</v>
      </c>
    </row>
    <row r="51" spans="1:113" s="627" customFormat="1" ht="21" customHeight="1">
      <c r="A51" s="701" t="s">
        <v>21</v>
      </c>
      <c r="B51" s="2265" t="str" cm="1">
        <f t="array" ref="B51">SUMPRODUCT(--(D51:J51&lt;&gt;""), LEN(TRIM(SUBSTITUTE(D51:J51, CHAR(160), "")))) &amp; " Car."</f>
        <v>0 Car.</v>
      </c>
      <c r="C51" s="1376" t="str">
        <f>IF(ISBLANK(D51),"",LARGE(C13:C50,1)+1)</f>
        <v/>
      </c>
      <c r="D51" s="1833"/>
      <c r="E51" s="1810"/>
      <c r="F51" s="1810"/>
      <c r="G51" s="1810"/>
      <c r="H51" s="1810"/>
      <c r="I51" s="1810"/>
      <c r="J51" s="1810"/>
      <c r="K51" s="1810"/>
      <c r="L51" s="1811"/>
      <c r="M51" s="9"/>
      <c r="N51" s="162" t="str">
        <f t="shared" si="16"/>
        <v>►</v>
      </c>
      <c r="O51" s="1616">
        <v>1</v>
      </c>
      <c r="P51" s="9"/>
      <c r="Q51" s="25" t="s">
        <v>15</v>
      </c>
      <c r="R51" s="2237"/>
      <c r="S51" s="2237"/>
      <c r="T51" s="2237"/>
      <c r="U51" s="2237"/>
      <c r="V51" s="2240"/>
      <c r="W51" s="2241"/>
      <c r="X51" s="2239"/>
      <c r="Y51" s="2242"/>
      <c r="Z51" s="2250"/>
      <c r="AA51" s="2244"/>
      <c r="AB51" s="2244"/>
      <c r="AC51" s="2245"/>
      <c r="AD51" s="2246"/>
      <c r="AE51" s="2247"/>
      <c r="AF51" s="2248"/>
      <c r="AG51" s="2249"/>
      <c r="AH51" s="2249"/>
      <c r="AI51" s="2238"/>
      <c r="AJ51" s="2264"/>
      <c r="AK51" s="6120" t="str">
        <f t="shared" si="19"/>
        <v>►</v>
      </c>
      <c r="AL51" s="781" t="str">
        <f t="shared" si="21"/>
        <v>►</v>
      </c>
      <c r="AM51" s="5499" t="str">
        <f t="shared" si="22"/>
        <v/>
      </c>
      <c r="AN51" s="783" t="str">
        <f t="shared" si="38"/>
        <v/>
      </c>
      <c r="AO51" s="782" t="str">
        <f t="shared" si="24"/>
        <v/>
      </c>
      <c r="AP51" s="783" t="str">
        <f t="shared" si="25"/>
        <v/>
      </c>
      <c r="AQ51" s="2083" t="b">
        <f>AND(Q51="A",COUNTIF(BP16:BR63,TRIM(Z51))&gt;0)</f>
        <v>0</v>
      </c>
      <c r="AR51" s="797" t="str">
        <f>IF(AL51&lt;&gt;"A","",IFERROR(IFERROR(_xlfn.XLOOKUP(TRIM(SUBSTITUTE(Z51,CHAR(160)," ")),BP16:BP63,BS16:BS63),IFERROR(_xlfn.XLOOKUP(TRIM(SUBSTITUTE(Z51,CHAR(160)," ")),BQ16:BQ63,BS16:BS63),_xlfn.XLOOKUP(TRIM(SUBSTITUTE(Z51,CHAR(160)," ")),BR16:BR63,BS16:BS63)))*Y51*IF(ISBLANK(V51),1,V51),0))</f>
        <v/>
      </c>
      <c r="AS51" s="784" t="str">
        <f t="shared" si="26"/>
        <v/>
      </c>
      <c r="AT51" s="1315" t="str">
        <f t="shared" si="27"/>
        <v/>
      </c>
      <c r="AU51" s="785">
        <f t="shared" si="28"/>
        <v>0</v>
      </c>
      <c r="AV51" s="785">
        <f t="shared" si="29"/>
        <v>0</v>
      </c>
      <c r="AW51" s="786">
        <f>IF(AK51="A",AY10,0)</f>
        <v>0</v>
      </c>
      <c r="AX51" s="5495" t="str">
        <f>IF(IFERROR(SEARCH("Adresse PC",TRIM(W51)),0)&gt;0,"▼ receta siguiente",IF(AK51="A",IF(AZ10&lt;&gt;"",AZ10&amp;" - ou.or.o ❾ + or - &gt;",""),""))</f>
        <v/>
      </c>
      <c r="AY51" s="810"/>
      <c r="AZ51" s="810"/>
      <c r="BA51" s="788" t="str">
        <f t="shared" si="30"/>
        <v/>
      </c>
      <c r="BB51" s="789" t="str">
        <f>IF(AK51="A",IF(AQ51,IF(AND(AW51&lt;&gt;"",N(AW51)&gt;0),IFERROR(IFERROR(_xlfn.XLOOKUP(AP51,BP10:BP57,BT10:BT57),IFERROR(_xlfn.XLOOKUP(AP51,BQ10:BQ57,BT10:BT57),_xlfn.XLOOKUP(AP51,BR10:BR57,BT10:BT57,""))),""),""),""),"")</f>
        <v/>
      </c>
      <c r="BC51" s="811" cm="1">
        <f t="array" ref="BC51">IF(NOT(AQ51),0,IF(OR(BA51="",N(BA51)&lt;=0.000000001),"",IF(OR(AU51="",N(AU51)&lt;=0.000000001),0,IF(ISNUMBER(BA51),IFERROR(_xlfn.LET(_xlpm.ai_test,TRIM(AP51),_xlpm.r,IFERROR(_xlfn.XLOOKUP(_xlpm.ai_test,BP16:BP63,ROW(BP16:BP63),0,1),IFERROR(_xlfn.XLOOKUP(_xlpm.ai_test,BQ16:BQ63,ROW(BQ16:BQ63),0,1),_xlfn.XLOOKUP(_xlpm.ai_test,BR16:BR63,ROW(BR16:BR63),0,1))),_xlpm.p,_xlpm.r-MIN(ROW(BP16:BP63))+1,_xlpm.f,INDEX(BS16:BS63,_xlpm.p),_xlpm.u,INDEX(BT16:BT63,_xlpm.p),_xlpm.s,INDEX(BV16:BV63,_xlpm.p),_xlpm.q,N(BA51)/_xlpm.f,IF(_xlpm.q&gt;=_xlpm.s,ROUND(_xlpm.q,1)&amp;" "&amp;_xlpm.ai_test&amp;" = "&amp;ROUND(_xlpm.q*_xlpm.f,1)&amp;" "&amp;_xlpm.u,ROUND(_xlpm.q,1)&amp;" "&amp;_xlpm.ai_test)),""),""))))</f>
        <v>0</v>
      </c>
      <c r="BD51" s="801"/>
      <c r="BE51" s="788" t="str">
        <f t="shared" si="31"/>
        <v/>
      </c>
      <c r="BF51" s="789" t="str">
        <f t="shared" si="42"/>
        <v/>
      </c>
      <c r="BG51" s="790">
        <f t="shared" si="43"/>
        <v>0</v>
      </c>
      <c r="BH51" s="791" t="str">
        <f t="shared" si="44"/>
        <v/>
      </c>
      <c r="BI51" s="792"/>
      <c r="BJ51" s="793">
        <f t="shared" si="45"/>
        <v>0</v>
      </c>
      <c r="BK51" s="794" t="str">
        <f t="shared" si="39"/>
        <v/>
      </c>
      <c r="BL51" s="227" t="s">
        <v>21</v>
      </c>
      <c r="BM51" s="773">
        <f t="shared" si="36"/>
        <v>0</v>
      </c>
      <c r="BN51" s="774">
        <f t="shared" si="37"/>
        <v>0</v>
      </c>
      <c r="BO51" s="630"/>
      <c r="BP51" s="829" t="s">
        <v>1683</v>
      </c>
      <c r="BQ51" s="829" t="s">
        <v>1684</v>
      </c>
      <c r="BR51" s="829" t="s">
        <v>1685</v>
      </c>
      <c r="BS51" s="767">
        <f t="shared" si="41"/>
        <v>4.4999999999999997E-3</v>
      </c>
      <c r="BT51" s="805" t="s">
        <v>1621</v>
      </c>
      <c r="BU51" s="805" t="s">
        <v>1622</v>
      </c>
      <c r="BV51" s="757">
        <f t="shared" si="40"/>
        <v>222</v>
      </c>
      <c r="BW51" s="831">
        <v>4.5</v>
      </c>
      <c r="BX51" s="630"/>
      <c r="BY51" s="630"/>
      <c r="BZ51" s="630"/>
      <c r="CA51" s="630"/>
      <c r="CB51" s="630"/>
      <c r="CC51" s="630"/>
      <c r="CD51" s="781" t="str">
        <f t="shared" si="15"/>
        <v>►</v>
      </c>
      <c r="CE51" s="818"/>
      <c r="CF51" s="634"/>
      <c r="CG51" s="634"/>
      <c r="CH51" s="635"/>
      <c r="CI51" s="635"/>
      <c r="CJ51" s="719"/>
      <c r="CK51" s="459"/>
      <c r="CL51" s="9"/>
      <c r="CM51" s="9"/>
      <c r="CN51" s="9"/>
      <c r="CO51" s="9"/>
      <c r="CP51" s="9"/>
      <c r="CQ51" s="38"/>
      <c r="CS51" s="459"/>
      <c r="CT51" s="9"/>
      <c r="CU51" s="9"/>
      <c r="CV51" s="9"/>
      <c r="CW51" s="9"/>
      <c r="CX51" s="9"/>
      <c r="CY51" s="38"/>
      <c r="DA51" s="459"/>
      <c r="DB51" s="9"/>
      <c r="DC51" s="9"/>
      <c r="DD51" s="9"/>
      <c r="DE51" s="9"/>
      <c r="DF51" s="9"/>
      <c r="DG51" s="38"/>
      <c r="DI51" s="3">
        <v>1</v>
      </c>
    </row>
    <row r="52" spans="1:113" s="627" customFormat="1" ht="21" customHeight="1">
      <c r="A52" s="701" t="s">
        <v>21</v>
      </c>
      <c r="B52" s="2265" t="str" cm="1">
        <f t="array" ref="B52">SUMPRODUCT(--(D52:J52&lt;&gt;""), LEN(TRIM(SUBSTITUTE(D52:J52, CHAR(160), "")))) &amp; " Car."</f>
        <v>0 Car.</v>
      </c>
      <c r="C52" s="1376" t="str">
        <f>IF(ISBLANK(D52),"",LARGE(C13:C51,1)+1)</f>
        <v/>
      </c>
      <c r="D52" s="1833"/>
      <c r="E52" s="1810"/>
      <c r="F52" s="1810"/>
      <c r="G52" s="1810"/>
      <c r="H52" s="1810"/>
      <c r="I52" s="1810"/>
      <c r="J52" s="1810"/>
      <c r="K52" s="1810"/>
      <c r="L52" s="1811"/>
      <c r="M52" s="9"/>
      <c r="N52" s="162" t="str">
        <f t="shared" si="16"/>
        <v>►</v>
      </c>
      <c r="O52" s="1616">
        <v>1</v>
      </c>
      <c r="P52" s="9"/>
      <c r="Q52" s="25" t="s">
        <v>15</v>
      </c>
      <c r="R52" s="2237"/>
      <c r="S52" s="2237"/>
      <c r="T52" s="2237"/>
      <c r="U52" s="2237"/>
      <c r="V52" s="2240"/>
      <c r="W52" s="2241"/>
      <c r="X52" s="2239"/>
      <c r="Y52" s="2242"/>
      <c r="Z52" s="2250"/>
      <c r="AA52" s="2244"/>
      <c r="AB52" s="2244"/>
      <c r="AC52" s="2245"/>
      <c r="AD52" s="2246"/>
      <c r="AE52" s="2247"/>
      <c r="AF52" s="2248"/>
      <c r="AG52" s="2249"/>
      <c r="AH52" s="2249"/>
      <c r="AI52" s="2238"/>
      <c r="AJ52" s="2264"/>
      <c r="AK52" s="6120" t="str">
        <f t="shared" si="19"/>
        <v>►</v>
      </c>
      <c r="AL52" s="781" t="str">
        <f t="shared" si="21"/>
        <v>►</v>
      </c>
      <c r="AM52" s="5498" t="str">
        <f t="shared" si="22"/>
        <v/>
      </c>
      <c r="AN52" s="783" t="str">
        <f t="shared" si="38"/>
        <v/>
      </c>
      <c r="AO52" s="782" t="str">
        <f t="shared" si="24"/>
        <v/>
      </c>
      <c r="AP52" s="783" t="str">
        <f t="shared" si="25"/>
        <v/>
      </c>
      <c r="AQ52" s="2083" t="b">
        <f>AND(Q52="A",COUNTIF(BP16:BR63,TRIM(Z52))&gt;0)</f>
        <v>0</v>
      </c>
      <c r="AR52" s="797" t="str">
        <f>IF(AL52&lt;&gt;"A","",IFERROR(IFERROR(_xlfn.XLOOKUP(TRIM(SUBSTITUTE(Z52,CHAR(160)," ")),BP16:BP63,BS16:BS63),IFERROR(_xlfn.XLOOKUP(TRIM(SUBSTITUTE(Z52,CHAR(160)," ")),BQ16:BQ63,BS16:BS63),_xlfn.XLOOKUP(TRIM(SUBSTITUTE(Z52,CHAR(160)," ")),BR16:BR63,BS16:BS63)))*Y52*IF(ISBLANK(V52),1,V52),0))</f>
        <v/>
      </c>
      <c r="AS52" s="784" t="str">
        <f t="shared" si="26"/>
        <v/>
      </c>
      <c r="AT52" s="1315" t="str">
        <f t="shared" si="27"/>
        <v/>
      </c>
      <c r="AU52" s="785">
        <f t="shared" si="28"/>
        <v>0</v>
      </c>
      <c r="AV52" s="785">
        <f t="shared" si="29"/>
        <v>0</v>
      </c>
      <c r="AW52" s="798">
        <f>IF(AK52="A",AY10,0)</f>
        <v>0</v>
      </c>
      <c r="AX52" s="5496" t="str">
        <f>IF(IFERROR(SEARCH("Adresse PC",TRIM(W52)),0)&gt;0,"▼ receta siguiente",IF(AK52="A",IF(AZ10&lt;&gt;"",AZ10&amp;" - ou.or.o ❾ + or - &gt;",""),""))</f>
        <v/>
      </c>
      <c r="AY52" s="810"/>
      <c r="AZ52" s="810"/>
      <c r="BA52" s="799" t="str">
        <f t="shared" si="30"/>
        <v/>
      </c>
      <c r="BB52" s="800" t="str">
        <f>IF(AK52="A",IF(AQ52,IF(AND(AW52&lt;&gt;"",N(AW52)&gt;0),IFERROR(IFERROR(_xlfn.XLOOKUP(AP52,BP10:BP57,BT10:BT57),IFERROR(_xlfn.XLOOKUP(AP52,BQ10:BQ57,BT10:BT57),_xlfn.XLOOKUP(AP52,BR10:BR57,BT10:BT57,""))),""),""),""),"")</f>
        <v/>
      </c>
      <c r="BC52" s="813" cm="1">
        <f t="array" ref="BC52">IF(NOT(AQ52),0,IF(OR(BA52="",N(BA52)&lt;=0.000000001),"",IF(OR(AU52="",N(AU52)&lt;=0.000000001),0,IF(ISNUMBER(BA52),IFERROR(_xlfn.LET(_xlpm.ai_test,TRIM(AP52),_xlpm.r,IFERROR(_xlfn.XLOOKUP(_xlpm.ai_test,BP16:BP63,ROW(BP16:BP63),0,1),IFERROR(_xlfn.XLOOKUP(_xlpm.ai_test,BQ16:BQ63,ROW(BQ16:BQ63),0,1),_xlfn.XLOOKUP(_xlpm.ai_test,BR16:BR63,ROW(BR16:BR63),0,1))),_xlpm.p,_xlpm.r-MIN(ROW(BP16:BP63))+1,_xlpm.f,INDEX(BS16:BS63,_xlpm.p),_xlpm.u,INDEX(BT16:BT63,_xlpm.p),_xlpm.s,INDEX(BV16:BV63,_xlpm.p),_xlpm.q,N(BA52)/_xlpm.f,IF(_xlpm.q&gt;=_xlpm.s,ROUND(_xlpm.q,1)&amp;" "&amp;_xlpm.ai_test&amp;" = "&amp;ROUND(_xlpm.q*_xlpm.f,1)&amp;" "&amp;_xlpm.u,ROUND(_xlpm.q,1)&amp;" "&amp;_xlpm.ai_test)),""),""))))</f>
        <v>0</v>
      </c>
      <c r="BD52" s="801"/>
      <c r="BE52" s="799" t="str">
        <f t="shared" si="31"/>
        <v/>
      </c>
      <c r="BF52" s="800" t="str">
        <f t="shared" si="42"/>
        <v/>
      </c>
      <c r="BG52" s="802">
        <f t="shared" si="43"/>
        <v>0</v>
      </c>
      <c r="BH52" s="803" t="str">
        <f t="shared" si="44"/>
        <v/>
      </c>
      <c r="BI52" s="792"/>
      <c r="BJ52" s="804">
        <f t="shared" si="45"/>
        <v>0</v>
      </c>
      <c r="BK52" s="794" t="str">
        <f t="shared" si="39"/>
        <v/>
      </c>
      <c r="BL52" s="227" t="s">
        <v>21</v>
      </c>
      <c r="BM52" s="773">
        <f t="shared" si="36"/>
        <v>0</v>
      </c>
      <c r="BN52" s="774">
        <f t="shared" si="37"/>
        <v>0</v>
      </c>
      <c r="BO52" s="630"/>
      <c r="BP52" s="829" t="s">
        <v>1689</v>
      </c>
      <c r="BQ52" s="829" t="s">
        <v>1690</v>
      </c>
      <c r="BR52" s="829" t="s">
        <v>1691</v>
      </c>
      <c r="BS52" s="767">
        <f t="shared" si="41"/>
        <v>5.9000000000000007E-3</v>
      </c>
      <c r="BT52" s="805" t="s">
        <v>1621</v>
      </c>
      <c r="BU52" s="805" t="s">
        <v>1622</v>
      </c>
      <c r="BV52" s="757">
        <f t="shared" si="40"/>
        <v>169</v>
      </c>
      <c r="BW52" s="812">
        <v>5.9</v>
      </c>
      <c r="BX52" s="630"/>
      <c r="BY52" s="630"/>
      <c r="BZ52" s="630"/>
      <c r="CA52" s="630"/>
      <c r="CB52" s="630"/>
      <c r="CC52" s="630"/>
      <c r="CD52" s="781" t="str">
        <f t="shared" si="15"/>
        <v>►</v>
      </c>
      <c r="CE52" s="761" t="s">
        <v>1692</v>
      </c>
      <c r="CF52" s="634"/>
      <c r="CG52" s="634"/>
      <c r="CH52" s="635"/>
      <c r="CI52" s="635"/>
      <c r="CJ52" s="719"/>
      <c r="CK52" s="823" t="s">
        <v>1656</v>
      </c>
      <c r="CL52" s="9"/>
      <c r="CM52" s="9"/>
      <c r="CN52" s="9"/>
      <c r="CO52" s="9"/>
      <c r="CP52" s="9"/>
      <c r="CQ52" s="38"/>
      <c r="CS52" s="823" t="s">
        <v>1657</v>
      </c>
      <c r="CT52" s="9"/>
      <c r="CU52" s="9"/>
      <c r="CV52" s="9"/>
      <c r="CW52" s="9"/>
      <c r="CX52" s="9"/>
      <c r="CY52" s="38"/>
      <c r="DA52" s="823" t="s">
        <v>1658</v>
      </c>
      <c r="DB52" s="9"/>
      <c r="DC52" s="9"/>
      <c r="DD52" s="9"/>
      <c r="DE52" s="9"/>
      <c r="DF52" s="9"/>
      <c r="DG52" s="38"/>
      <c r="DI52" s="3">
        <v>1</v>
      </c>
    </row>
    <row r="53" spans="1:113" s="627" customFormat="1" ht="21" customHeight="1">
      <c r="A53" s="701" t="s">
        <v>21</v>
      </c>
      <c r="B53" s="2265" t="str" cm="1">
        <f t="array" ref="B53">SUMPRODUCT(--(D53:J53&lt;&gt;""), LEN(TRIM(SUBSTITUTE(D53:J53, CHAR(160), "")))) &amp; " Car."</f>
        <v>0 Car.</v>
      </c>
      <c r="C53" s="1376" t="str">
        <f>IF(ISBLANK(D53),"",LARGE(C13:C52,1)+1)</f>
        <v/>
      </c>
      <c r="D53" s="1833"/>
      <c r="E53" s="1810"/>
      <c r="F53" s="1810"/>
      <c r="G53" s="1810"/>
      <c r="H53" s="1810"/>
      <c r="I53" s="1810"/>
      <c r="J53" s="1810"/>
      <c r="K53" s="1810"/>
      <c r="L53" s="1811"/>
      <c r="M53" s="9"/>
      <c r="N53" s="162" t="str">
        <f t="shared" si="16"/>
        <v>►</v>
      </c>
      <c r="O53" s="1616">
        <v>1</v>
      </c>
      <c r="P53" s="9"/>
      <c r="Q53" s="25" t="s">
        <v>15</v>
      </c>
      <c r="R53" s="2237"/>
      <c r="S53" s="2237"/>
      <c r="T53" s="2237"/>
      <c r="U53" s="2237"/>
      <c r="V53" s="2240"/>
      <c r="W53" s="2241"/>
      <c r="X53" s="2239"/>
      <c r="Y53" s="2242"/>
      <c r="Z53" s="2250"/>
      <c r="AA53" s="2244"/>
      <c r="AB53" s="2244"/>
      <c r="AC53" s="2245"/>
      <c r="AD53" s="2246"/>
      <c r="AE53" s="2247"/>
      <c r="AF53" s="2248"/>
      <c r="AG53" s="2249"/>
      <c r="AH53" s="2249"/>
      <c r="AI53" s="2238"/>
      <c r="AJ53" s="2264"/>
      <c r="AK53" s="6120" t="str">
        <f t="shared" si="19"/>
        <v>►</v>
      </c>
      <c r="AL53" s="781" t="str">
        <f t="shared" si="21"/>
        <v>►</v>
      </c>
      <c r="AM53" s="5499" t="str">
        <f t="shared" si="22"/>
        <v/>
      </c>
      <c r="AN53" s="783" t="str">
        <f t="shared" si="38"/>
        <v/>
      </c>
      <c r="AO53" s="782" t="str">
        <f t="shared" si="24"/>
        <v/>
      </c>
      <c r="AP53" s="783" t="str">
        <f t="shared" si="25"/>
        <v/>
      </c>
      <c r="AQ53" s="2083" t="b">
        <f>AND(Q53="A",COUNTIF(BP16:BR63,TRIM(Z53))&gt;0)</f>
        <v>0</v>
      </c>
      <c r="AR53" s="797" t="str">
        <f>IF(AL53&lt;&gt;"A","",IFERROR(IFERROR(_xlfn.XLOOKUP(TRIM(SUBSTITUTE(Z53,CHAR(160)," ")),BP16:BP63,BS16:BS63),IFERROR(_xlfn.XLOOKUP(TRIM(SUBSTITUTE(Z53,CHAR(160)," ")),BQ16:BQ63,BS16:BS63),_xlfn.XLOOKUP(TRIM(SUBSTITUTE(Z53,CHAR(160)," ")),BR16:BR63,BS16:BS63)))*Y53*IF(ISBLANK(V53),1,V53),0))</f>
        <v/>
      </c>
      <c r="AS53" s="784" t="str">
        <f t="shared" si="26"/>
        <v/>
      </c>
      <c r="AT53" s="1315" t="str">
        <f t="shared" si="27"/>
        <v/>
      </c>
      <c r="AU53" s="785">
        <f t="shared" si="28"/>
        <v>0</v>
      </c>
      <c r="AV53" s="785">
        <f t="shared" si="29"/>
        <v>0</v>
      </c>
      <c r="AW53" s="786">
        <f>IF(AK53="A",AY10,0)</f>
        <v>0</v>
      </c>
      <c r="AX53" s="5495" t="str">
        <f>IF(IFERROR(SEARCH("Adresse PC",TRIM(W53)),0)&gt;0,"▼ receta siguiente",IF(AK53="A",IF(AZ10&lt;&gt;"",AZ10&amp;" - ou.or.o ❾ + or - &gt;",""),""))</f>
        <v/>
      </c>
      <c r="AY53" s="810"/>
      <c r="AZ53" s="810"/>
      <c r="BA53" s="788" t="str">
        <f t="shared" si="30"/>
        <v/>
      </c>
      <c r="BB53" s="789" t="str">
        <f>IF(AK53="A",IF(AQ53,IF(AND(AW53&lt;&gt;"",N(AW53)&gt;0),IFERROR(IFERROR(_xlfn.XLOOKUP(AP53,BP10:BP57,BT10:BT57),IFERROR(_xlfn.XLOOKUP(AP53,BQ10:BQ57,BT10:BT57),_xlfn.XLOOKUP(AP53,BR10:BR57,BT10:BT57,""))),""),""),""),"")</f>
        <v/>
      </c>
      <c r="BC53" s="811" cm="1">
        <f t="array" ref="BC53">IF(NOT(AQ53),0,IF(OR(BA53="",N(BA53)&lt;=0.000000001),"",IF(OR(AU53="",N(AU53)&lt;=0.000000001),0,IF(ISNUMBER(BA53),IFERROR(_xlfn.LET(_xlpm.ai_test,TRIM(AP53),_xlpm.r,IFERROR(_xlfn.XLOOKUP(_xlpm.ai_test,BP16:BP63,ROW(BP16:BP63),0,1),IFERROR(_xlfn.XLOOKUP(_xlpm.ai_test,BQ16:BQ63,ROW(BQ16:BQ63),0,1),_xlfn.XLOOKUP(_xlpm.ai_test,BR16:BR63,ROW(BR16:BR63),0,1))),_xlpm.p,_xlpm.r-MIN(ROW(BP16:BP63))+1,_xlpm.f,INDEX(BS16:BS63,_xlpm.p),_xlpm.u,INDEX(BT16:BT63,_xlpm.p),_xlpm.s,INDEX(BV16:BV63,_xlpm.p),_xlpm.q,N(BA53)/_xlpm.f,IF(_xlpm.q&gt;=_xlpm.s,ROUND(_xlpm.q,1)&amp;" "&amp;_xlpm.ai_test&amp;" = "&amp;ROUND(_xlpm.q*_xlpm.f,1)&amp;" "&amp;_xlpm.u,ROUND(_xlpm.q,1)&amp;" "&amp;_xlpm.ai_test)),""),""))))</f>
        <v>0</v>
      </c>
      <c r="BD53" s="801"/>
      <c r="BE53" s="788" t="str">
        <f t="shared" si="31"/>
        <v/>
      </c>
      <c r="BF53" s="789" t="str">
        <f t="shared" si="42"/>
        <v/>
      </c>
      <c r="BG53" s="790">
        <f t="shared" si="43"/>
        <v>0</v>
      </c>
      <c r="BH53" s="791" t="str">
        <f t="shared" si="44"/>
        <v/>
      </c>
      <c r="BI53" s="792"/>
      <c r="BJ53" s="793">
        <f t="shared" si="45"/>
        <v>0</v>
      </c>
      <c r="BK53" s="794" t="str">
        <f t="shared" si="39"/>
        <v/>
      </c>
      <c r="BL53" s="227" t="s">
        <v>21</v>
      </c>
      <c r="BM53" s="773">
        <f t="shared" si="36"/>
        <v>0</v>
      </c>
      <c r="BN53" s="774">
        <f t="shared" si="37"/>
        <v>0</v>
      </c>
      <c r="BO53" s="630"/>
      <c r="BP53" s="829" t="s">
        <v>1697</v>
      </c>
      <c r="BQ53" s="829" t="s">
        <v>1697</v>
      </c>
      <c r="BR53" s="829" t="s">
        <v>1698</v>
      </c>
      <c r="BS53" s="767">
        <f t="shared" si="41"/>
        <v>0.04</v>
      </c>
      <c r="BT53" s="805" t="s">
        <v>1621</v>
      </c>
      <c r="BU53" s="805" t="s">
        <v>1622</v>
      </c>
      <c r="BV53" s="757">
        <f t="shared" si="40"/>
        <v>25</v>
      </c>
      <c r="BW53" s="806">
        <v>40</v>
      </c>
      <c r="BX53" s="630"/>
      <c r="BY53" s="630"/>
      <c r="BZ53" s="630"/>
      <c r="CA53" s="630"/>
      <c r="CB53" s="630"/>
      <c r="CC53" s="630"/>
      <c r="CD53" s="781" t="str">
        <f t="shared" si="15"/>
        <v>►</v>
      </c>
      <c r="CE53" s="818"/>
      <c r="CF53" s="634"/>
      <c r="CG53" s="634"/>
      <c r="CH53" s="635"/>
      <c r="CI53" s="635"/>
      <c r="CJ53" s="719"/>
      <c r="CK53" s="824" t="s">
        <v>1493</v>
      </c>
      <c r="CL53" s="9"/>
      <c r="CM53" s="9"/>
      <c r="CN53" s="9"/>
      <c r="CO53" s="9"/>
      <c r="CP53" s="9"/>
      <c r="CQ53" s="38"/>
      <c r="CS53" s="824" t="s">
        <v>1659</v>
      </c>
      <c r="CT53" s="9"/>
      <c r="CU53" s="9"/>
      <c r="CV53" s="9"/>
      <c r="CW53" s="9"/>
      <c r="CX53" s="9"/>
      <c r="CY53" s="38"/>
      <c r="DA53" s="824" t="s">
        <v>1660</v>
      </c>
      <c r="DB53" s="9"/>
      <c r="DC53" s="9"/>
      <c r="DD53" s="9"/>
      <c r="DE53" s="9"/>
      <c r="DF53" s="9"/>
      <c r="DG53" s="38"/>
      <c r="DI53" s="3">
        <v>1</v>
      </c>
    </row>
    <row r="54" spans="1:113" s="627" customFormat="1" ht="21" customHeight="1">
      <c r="A54" s="701" t="s">
        <v>21</v>
      </c>
      <c r="B54" s="2265" t="str" cm="1">
        <f t="array" ref="B54">SUMPRODUCT(--(D54:J54&lt;&gt;""), LEN(TRIM(SUBSTITUTE(D54:J54, CHAR(160), "")))) &amp; " Car."</f>
        <v>0 Car.</v>
      </c>
      <c r="C54" s="1376" t="str">
        <f>IF(ISBLANK(D54),"",LARGE(C13:C53,1)+1)</f>
        <v/>
      </c>
      <c r="D54" s="1833"/>
      <c r="E54" s="1810"/>
      <c r="F54" s="1810"/>
      <c r="G54" s="1810"/>
      <c r="H54" s="1810"/>
      <c r="I54" s="1810"/>
      <c r="J54" s="1810"/>
      <c r="K54" s="1810"/>
      <c r="L54" s="1811"/>
      <c r="M54" s="9"/>
      <c r="N54" s="162" t="str">
        <f t="shared" si="16"/>
        <v>►</v>
      </c>
      <c r="O54" s="1616"/>
      <c r="P54" s="9"/>
      <c r="Q54" s="25" t="s">
        <v>15</v>
      </c>
      <c r="R54" s="2237"/>
      <c r="S54" s="2237"/>
      <c r="T54" s="2237"/>
      <c r="U54" s="2237"/>
      <c r="V54" s="2240"/>
      <c r="W54" s="2241"/>
      <c r="X54" s="2239"/>
      <c r="Y54" s="2242"/>
      <c r="Z54" s="2250"/>
      <c r="AA54" s="2244"/>
      <c r="AB54" s="2244"/>
      <c r="AC54" s="2245"/>
      <c r="AD54" s="2246"/>
      <c r="AE54" s="2247"/>
      <c r="AF54" s="2248"/>
      <c r="AG54" s="2249"/>
      <c r="AH54" s="2249"/>
      <c r="AI54" s="2238"/>
      <c r="AJ54" s="2264"/>
      <c r="AK54" s="6120" t="str">
        <f t="shared" si="19"/>
        <v>►</v>
      </c>
      <c r="AL54" s="781" t="str">
        <f t="shared" si="21"/>
        <v>►</v>
      </c>
      <c r="AM54" s="5498" t="str">
        <f t="shared" si="22"/>
        <v/>
      </c>
      <c r="AN54" s="783" t="str">
        <f t="shared" si="38"/>
        <v/>
      </c>
      <c r="AO54" s="782" t="str">
        <f t="shared" si="24"/>
        <v/>
      </c>
      <c r="AP54" s="783" t="str">
        <f t="shared" si="25"/>
        <v/>
      </c>
      <c r="AQ54" s="2083" t="b">
        <f>AND(Q54="A",COUNTIF(BP16:BR63,TRIM(Z54))&gt;0)</f>
        <v>0</v>
      </c>
      <c r="AR54" s="797" t="str">
        <f>IF(AL54&lt;&gt;"A","",IFERROR(IFERROR(_xlfn.XLOOKUP(TRIM(SUBSTITUTE(Z54,CHAR(160)," ")),BP16:BP63,BS16:BS63),IFERROR(_xlfn.XLOOKUP(TRIM(SUBSTITUTE(Z54,CHAR(160)," ")),BQ16:BQ63,BS16:BS63),_xlfn.XLOOKUP(TRIM(SUBSTITUTE(Z54,CHAR(160)," ")),BR16:BR63,BS16:BS63)))*Y54*IF(ISBLANK(V54),1,V54),0))</f>
        <v/>
      </c>
      <c r="AS54" s="784" t="str">
        <f t="shared" si="26"/>
        <v/>
      </c>
      <c r="AT54" s="1315" t="str">
        <f t="shared" si="27"/>
        <v/>
      </c>
      <c r="AU54" s="785">
        <f t="shared" si="28"/>
        <v>0</v>
      </c>
      <c r="AV54" s="785">
        <f t="shared" si="29"/>
        <v>0</v>
      </c>
      <c r="AW54" s="798">
        <f>IF(AK54="A",AY10,0)</f>
        <v>0</v>
      </c>
      <c r="AX54" s="5496" t="str">
        <f>IF(IFERROR(SEARCH("Adresse PC",TRIM(W54)),0)&gt;0,"▼ receta siguiente",IF(AK54="A",IF(AZ10&lt;&gt;"",AZ10&amp;" - ou.or.o ❾ + or - &gt;",""),""))</f>
        <v/>
      </c>
      <c r="AY54" s="810"/>
      <c r="AZ54" s="810"/>
      <c r="BA54" s="799" t="str">
        <f t="shared" si="30"/>
        <v/>
      </c>
      <c r="BB54" s="800" t="str">
        <f>IF(AK54="A",IF(AQ54,IF(AND(AW54&lt;&gt;"",N(AW54)&gt;0),IFERROR(IFERROR(_xlfn.XLOOKUP(AP54,BP10:BP57,BT10:BT57),IFERROR(_xlfn.XLOOKUP(AP54,BQ10:BQ57,BT10:BT57),_xlfn.XLOOKUP(AP54,BR10:BR57,BT10:BT57,""))),""),""),""),"")</f>
        <v/>
      </c>
      <c r="BC54" s="813" cm="1">
        <f t="array" ref="BC54">IF(NOT(AQ54),0,IF(OR(BA54="",N(BA54)&lt;=0.000000001),"",IF(OR(AU54="",N(AU54)&lt;=0.000000001),0,IF(ISNUMBER(BA54),IFERROR(_xlfn.LET(_xlpm.ai_test,TRIM(AP54),_xlpm.r,IFERROR(_xlfn.XLOOKUP(_xlpm.ai_test,BP16:BP63,ROW(BP16:BP63),0,1),IFERROR(_xlfn.XLOOKUP(_xlpm.ai_test,BQ16:BQ63,ROW(BQ16:BQ63),0,1),_xlfn.XLOOKUP(_xlpm.ai_test,BR16:BR63,ROW(BR16:BR63),0,1))),_xlpm.p,_xlpm.r-MIN(ROW(BP16:BP63))+1,_xlpm.f,INDEX(BS16:BS63,_xlpm.p),_xlpm.u,INDEX(BT16:BT63,_xlpm.p),_xlpm.s,INDEX(BV16:BV63,_xlpm.p),_xlpm.q,N(BA54)/_xlpm.f,IF(_xlpm.q&gt;=_xlpm.s,ROUND(_xlpm.q,1)&amp;" "&amp;_xlpm.ai_test&amp;" = "&amp;ROUND(_xlpm.q*_xlpm.f,1)&amp;" "&amp;_xlpm.u,ROUND(_xlpm.q,1)&amp;" "&amp;_xlpm.ai_test)),""),""))))</f>
        <v>0</v>
      </c>
      <c r="BD54" s="801"/>
      <c r="BE54" s="799" t="str">
        <f t="shared" si="31"/>
        <v/>
      </c>
      <c r="BF54" s="800" t="str">
        <f t="shared" si="42"/>
        <v/>
      </c>
      <c r="BG54" s="802">
        <f t="shared" si="43"/>
        <v>0</v>
      </c>
      <c r="BH54" s="803" t="str">
        <f t="shared" si="44"/>
        <v/>
      </c>
      <c r="BI54" s="792"/>
      <c r="BJ54" s="804">
        <f t="shared" si="45"/>
        <v>0</v>
      </c>
      <c r="BK54" s="794" t="str">
        <f t="shared" si="39"/>
        <v/>
      </c>
      <c r="BL54" s="227" t="s">
        <v>21</v>
      </c>
      <c r="BM54" s="773">
        <f t="shared" si="36"/>
        <v>0</v>
      </c>
      <c r="BN54" s="774">
        <f t="shared" si="37"/>
        <v>0</v>
      </c>
      <c r="BO54" s="630"/>
      <c r="BP54" s="829" t="s">
        <v>1699</v>
      </c>
      <c r="BQ54" s="829" t="s">
        <v>1699</v>
      </c>
      <c r="BR54" s="829" t="s">
        <v>1699</v>
      </c>
      <c r="BS54" s="767">
        <f t="shared" si="41"/>
        <v>4.4999999999999998E-2</v>
      </c>
      <c r="BT54" s="805" t="s">
        <v>1621</v>
      </c>
      <c r="BU54" s="805" t="s">
        <v>1622</v>
      </c>
      <c r="BV54" s="757">
        <f t="shared" si="40"/>
        <v>22</v>
      </c>
      <c r="BW54" s="806">
        <v>45</v>
      </c>
      <c r="BX54" s="630"/>
      <c r="BY54" s="630"/>
      <c r="BZ54" s="630"/>
      <c r="CA54" s="630"/>
      <c r="CB54" s="630"/>
      <c r="CC54" s="630"/>
      <c r="CD54" s="781" t="str">
        <f t="shared" si="15"/>
        <v>►</v>
      </c>
      <c r="CE54" s="818"/>
      <c r="CF54" s="634"/>
      <c r="CG54" s="634"/>
      <c r="CH54" s="635"/>
      <c r="CI54" s="635"/>
      <c r="CJ54" s="719"/>
      <c r="CK54" s="459"/>
      <c r="CL54" s="9"/>
      <c r="CM54" s="9"/>
      <c r="CN54" s="9"/>
      <c r="CO54" s="9"/>
      <c r="CP54" s="9"/>
      <c r="CQ54" s="38"/>
      <c r="CS54" s="459"/>
      <c r="CT54" s="9"/>
      <c r="CU54" s="9"/>
      <c r="CV54" s="9"/>
      <c r="CW54" s="9"/>
      <c r="CX54" s="9"/>
      <c r="CY54" s="38"/>
      <c r="DA54" s="459"/>
      <c r="DB54" s="9"/>
      <c r="DC54" s="9"/>
      <c r="DD54" s="9"/>
      <c r="DE54" s="9"/>
      <c r="DF54" s="9"/>
      <c r="DG54" s="38"/>
      <c r="DI54" s="3">
        <v>1</v>
      </c>
    </row>
    <row r="55" spans="1:113" s="627" customFormat="1" ht="21" customHeight="1">
      <c r="A55" s="701" t="s">
        <v>21</v>
      </c>
      <c r="B55" s="2265" t="str" cm="1">
        <f t="array" ref="B55">SUMPRODUCT(--(D55:J55&lt;&gt;""), LEN(TRIM(SUBSTITUTE(D55:J55, CHAR(160), "")))) &amp; " Car."</f>
        <v>0 Car.</v>
      </c>
      <c r="C55" s="1376" t="str">
        <f>IF(ISBLANK(D55),"",LARGE(C13:C54,1)+1)</f>
        <v/>
      </c>
      <c r="D55" s="1833"/>
      <c r="E55" s="1810"/>
      <c r="F55" s="1810"/>
      <c r="G55" s="1810"/>
      <c r="H55" s="1810"/>
      <c r="I55" s="1810"/>
      <c r="J55" s="1810"/>
      <c r="K55" s="1810"/>
      <c r="L55" s="1811"/>
      <c r="M55" s="9"/>
      <c r="N55" s="162" t="str">
        <f t="shared" si="16"/>
        <v>►</v>
      </c>
      <c r="O55" s="6839" t="s">
        <v>8264</v>
      </c>
      <c r="P55" s="9"/>
      <c r="Q55" s="25" t="s">
        <v>15</v>
      </c>
      <c r="R55" s="2237"/>
      <c r="S55" s="2237"/>
      <c r="T55" s="2237"/>
      <c r="U55" s="2237"/>
      <c r="V55" s="2240"/>
      <c r="W55" s="2241"/>
      <c r="X55" s="2239"/>
      <c r="Y55" s="2242"/>
      <c r="Z55" s="2250"/>
      <c r="AA55" s="2244"/>
      <c r="AB55" s="2244"/>
      <c r="AC55" s="2245"/>
      <c r="AD55" s="2246"/>
      <c r="AE55" s="2247"/>
      <c r="AF55" s="2248"/>
      <c r="AG55" s="2249"/>
      <c r="AH55" s="2249"/>
      <c r="AI55" s="2238"/>
      <c r="AJ55" s="2264"/>
      <c r="AK55" s="6120" t="str">
        <f t="shared" si="19"/>
        <v>►</v>
      </c>
      <c r="AL55" s="781" t="str">
        <f t="shared" si="21"/>
        <v>►</v>
      </c>
      <c r="AM55" s="5499" t="str">
        <f t="shared" si="22"/>
        <v/>
      </c>
      <c r="AN55" s="783" t="str">
        <f t="shared" si="38"/>
        <v/>
      </c>
      <c r="AO55" s="782" t="str">
        <f t="shared" si="24"/>
        <v/>
      </c>
      <c r="AP55" s="783" t="str">
        <f t="shared" si="25"/>
        <v/>
      </c>
      <c r="AQ55" s="2083" t="b">
        <f>AND(Q55="A",COUNTIF(BP16:BR63,TRIM(Z55))&gt;0)</f>
        <v>0</v>
      </c>
      <c r="AR55" s="797" t="str">
        <f>IF(AL55&lt;&gt;"A","",IFERROR(IFERROR(_xlfn.XLOOKUP(TRIM(SUBSTITUTE(Z55,CHAR(160)," ")),BP16:BP63,BS16:BS63),IFERROR(_xlfn.XLOOKUP(TRIM(SUBSTITUTE(Z55,CHAR(160)," ")),BQ16:BQ63,BS16:BS63),_xlfn.XLOOKUP(TRIM(SUBSTITUTE(Z55,CHAR(160)," ")),BR16:BR63,BS16:BS63)))*Y55*IF(ISBLANK(V55),1,V55),0))</f>
        <v/>
      </c>
      <c r="AS55" s="784" t="str">
        <f t="shared" si="26"/>
        <v/>
      </c>
      <c r="AT55" s="1315" t="str">
        <f t="shared" si="27"/>
        <v/>
      </c>
      <c r="AU55" s="785">
        <f t="shared" si="28"/>
        <v>0</v>
      </c>
      <c r="AV55" s="785">
        <f t="shared" si="29"/>
        <v>0</v>
      </c>
      <c r="AW55" s="786">
        <f>IF(AK55="A",AY10,0)</f>
        <v>0</v>
      </c>
      <c r="AX55" s="5495" t="str">
        <f>IF(IFERROR(SEARCH("Adresse PC",TRIM(W55)),0)&gt;0,"▼ receta siguiente",IF(AK55="A",IF(AZ10&lt;&gt;"",AZ10&amp;" - ou.or.o ❾ + or - &gt;",""),""))</f>
        <v/>
      </c>
      <c r="AY55" s="810"/>
      <c r="AZ55" s="810"/>
      <c r="BA55" s="788" t="str">
        <f t="shared" si="30"/>
        <v/>
      </c>
      <c r="BB55" s="789" t="str">
        <f>IF(AK55="A",IF(AQ55,IF(AND(AW55&lt;&gt;"",N(AW55)&gt;0),IFERROR(IFERROR(_xlfn.XLOOKUP(AP55,BP10:BP57,BT10:BT57),IFERROR(_xlfn.XLOOKUP(AP55,BQ10:BQ57,BT10:BT57),_xlfn.XLOOKUP(AP55,BR10:BR57,BT10:BT57,""))),""),""),""),"")</f>
        <v/>
      </c>
      <c r="BC55" s="811" cm="1">
        <f t="array" ref="BC55">IF(NOT(AQ55),0,IF(OR(BA55="",N(BA55)&lt;=0.000000001),"",IF(OR(AU55="",N(AU55)&lt;=0.000000001),0,IF(ISNUMBER(BA55),IFERROR(_xlfn.LET(_xlpm.ai_test,TRIM(AP55),_xlpm.r,IFERROR(_xlfn.XLOOKUP(_xlpm.ai_test,BP16:BP63,ROW(BP16:BP63),0,1),IFERROR(_xlfn.XLOOKUP(_xlpm.ai_test,BQ16:BQ63,ROW(BQ16:BQ63),0,1),_xlfn.XLOOKUP(_xlpm.ai_test,BR16:BR63,ROW(BR16:BR63),0,1))),_xlpm.p,_xlpm.r-MIN(ROW(BP16:BP63))+1,_xlpm.f,INDEX(BS16:BS63,_xlpm.p),_xlpm.u,INDEX(BT16:BT63,_xlpm.p),_xlpm.s,INDEX(BV16:BV63,_xlpm.p),_xlpm.q,N(BA55)/_xlpm.f,IF(_xlpm.q&gt;=_xlpm.s,ROUND(_xlpm.q,1)&amp;" "&amp;_xlpm.ai_test&amp;" = "&amp;ROUND(_xlpm.q*_xlpm.f,1)&amp;" "&amp;_xlpm.u,ROUND(_xlpm.q,1)&amp;" "&amp;_xlpm.ai_test)),""),""))))</f>
        <v>0</v>
      </c>
      <c r="BD55" s="801"/>
      <c r="BE55" s="788" t="str">
        <f t="shared" si="31"/>
        <v/>
      </c>
      <c r="BF55" s="789" t="str">
        <f t="shared" si="42"/>
        <v/>
      </c>
      <c r="BG55" s="790">
        <f t="shared" si="43"/>
        <v>0</v>
      </c>
      <c r="BH55" s="791" t="str">
        <f t="shared" si="44"/>
        <v/>
      </c>
      <c r="BI55" s="792"/>
      <c r="BJ55" s="793">
        <f t="shared" si="45"/>
        <v>0</v>
      </c>
      <c r="BK55" s="794" t="str">
        <f t="shared" si="39"/>
        <v/>
      </c>
      <c r="BL55" s="227" t="s">
        <v>21</v>
      </c>
      <c r="BM55" s="773">
        <f t="shared" si="36"/>
        <v>0</v>
      </c>
      <c r="BN55" s="774">
        <f t="shared" si="37"/>
        <v>0</v>
      </c>
      <c r="BO55" s="630"/>
      <c r="BP55" s="829" t="s">
        <v>1703</v>
      </c>
      <c r="BQ55" s="829" t="s">
        <v>1703</v>
      </c>
      <c r="BR55" s="829" t="s">
        <v>1703</v>
      </c>
      <c r="BS55" s="767">
        <f t="shared" si="41"/>
        <v>0.15</v>
      </c>
      <c r="BT55" s="805" t="s">
        <v>1621</v>
      </c>
      <c r="BU55" s="805" t="s">
        <v>1622</v>
      </c>
      <c r="BV55" s="757">
        <f t="shared" si="40"/>
        <v>7</v>
      </c>
      <c r="BW55" s="806">
        <v>150</v>
      </c>
      <c r="BX55" s="630"/>
      <c r="BY55" s="630"/>
      <c r="BZ55" s="630"/>
      <c r="CA55" s="630"/>
      <c r="CB55" s="630"/>
      <c r="CC55" s="630"/>
      <c r="CD55" s="781" t="str">
        <f t="shared" si="15"/>
        <v>►</v>
      </c>
      <c r="CE55" s="818"/>
      <c r="CF55" s="634"/>
      <c r="CG55" s="634"/>
      <c r="CH55" s="635"/>
      <c r="CI55" s="635"/>
      <c r="CJ55" s="719"/>
      <c r="CK55" s="825" t="s">
        <v>1665</v>
      </c>
      <c r="CL55" s="9"/>
      <c r="CM55" s="9"/>
      <c r="CN55" s="9"/>
      <c r="CO55" s="9"/>
      <c r="CP55" s="9"/>
      <c r="CQ55" s="38"/>
      <c r="CS55" s="825" t="s">
        <v>1666</v>
      </c>
      <c r="CT55" s="9"/>
      <c r="CU55" s="9"/>
      <c r="CV55" s="9"/>
      <c r="CW55" s="9"/>
      <c r="CX55" s="9"/>
      <c r="CY55" s="38"/>
      <c r="DA55" s="825" t="s">
        <v>1667</v>
      </c>
      <c r="DB55" s="9"/>
      <c r="DC55" s="9"/>
      <c r="DD55" s="9"/>
      <c r="DE55" s="9"/>
      <c r="DF55" s="9"/>
      <c r="DG55" s="38"/>
      <c r="DI55" s="3">
        <v>1</v>
      </c>
    </row>
    <row r="56" spans="1:113" s="627" customFormat="1" ht="21" customHeight="1">
      <c r="A56" s="701" t="s">
        <v>21</v>
      </c>
      <c r="B56" s="2265" t="str" cm="1">
        <f t="array" ref="B56">SUMPRODUCT(--(D56:J56&lt;&gt;""), LEN(TRIM(SUBSTITUTE(D56:J56, CHAR(160), "")))) &amp; " Car."</f>
        <v>0 Car.</v>
      </c>
      <c r="C56" s="1376" t="str">
        <f>IF(ISBLANK(D56),"",LARGE(C13:C55,1)+1)</f>
        <v/>
      </c>
      <c r="D56" s="1833"/>
      <c r="E56" s="1810"/>
      <c r="F56" s="1810"/>
      <c r="G56" s="1810"/>
      <c r="H56" s="1810"/>
      <c r="I56" s="1810"/>
      <c r="J56" s="1810"/>
      <c r="K56" s="1810"/>
      <c r="L56" s="1811"/>
      <c r="M56" s="9"/>
      <c r="N56" s="162" t="str">
        <f t="shared" si="16"/>
        <v>►</v>
      </c>
      <c r="O56" s="6839"/>
      <c r="P56" s="9"/>
      <c r="Q56" s="25" t="s">
        <v>15</v>
      </c>
      <c r="R56" s="2237"/>
      <c r="S56" s="2237"/>
      <c r="T56" s="2237"/>
      <c r="U56" s="2237"/>
      <c r="V56" s="2240"/>
      <c r="W56" s="2241"/>
      <c r="X56" s="2239"/>
      <c r="Y56" s="2242"/>
      <c r="Z56" s="2250"/>
      <c r="AA56" s="2244"/>
      <c r="AB56" s="2244"/>
      <c r="AC56" s="2245"/>
      <c r="AD56" s="2246"/>
      <c r="AE56" s="2247"/>
      <c r="AF56" s="2248"/>
      <c r="AG56" s="2249"/>
      <c r="AH56" s="2249"/>
      <c r="AI56" s="2238"/>
      <c r="AJ56" s="2264"/>
      <c r="AK56" s="6120" t="str">
        <f t="shared" si="19"/>
        <v>►</v>
      </c>
      <c r="AL56" s="781" t="str">
        <f t="shared" si="21"/>
        <v>►</v>
      </c>
      <c r="AM56" s="5498" t="str">
        <f t="shared" si="22"/>
        <v/>
      </c>
      <c r="AN56" s="783" t="str">
        <f t="shared" si="38"/>
        <v/>
      </c>
      <c r="AO56" s="782" t="str">
        <f t="shared" si="24"/>
        <v/>
      </c>
      <c r="AP56" s="783" t="str">
        <f t="shared" si="25"/>
        <v/>
      </c>
      <c r="AQ56" s="2083" t="b">
        <f>AND(Q56="A",COUNTIF(BP16:BR63,TRIM(Z56))&gt;0)</f>
        <v>0</v>
      </c>
      <c r="AR56" s="797" t="str">
        <f>IF(AL56&lt;&gt;"A","",IFERROR(IFERROR(_xlfn.XLOOKUP(TRIM(SUBSTITUTE(Z56,CHAR(160)," ")),BP16:BP63,BS16:BS63),IFERROR(_xlfn.XLOOKUP(TRIM(SUBSTITUTE(Z56,CHAR(160)," ")),BQ16:BQ63,BS16:BS63),_xlfn.XLOOKUP(TRIM(SUBSTITUTE(Z56,CHAR(160)," ")),BR16:BR63,BS16:BS63)))*Y56*IF(ISBLANK(V56),1,V56),0))</f>
        <v/>
      </c>
      <c r="AS56" s="784" t="str">
        <f t="shared" si="26"/>
        <v/>
      </c>
      <c r="AT56" s="1315" t="str">
        <f t="shared" si="27"/>
        <v/>
      </c>
      <c r="AU56" s="785">
        <f t="shared" si="28"/>
        <v>0</v>
      </c>
      <c r="AV56" s="785">
        <f t="shared" si="29"/>
        <v>0</v>
      </c>
      <c r="AW56" s="798">
        <f>IF(AK56="A",AY10,0)</f>
        <v>0</v>
      </c>
      <c r="AX56" s="5496" t="str">
        <f>IF(IFERROR(SEARCH("Adresse PC",TRIM(W56)),0)&gt;0,"▼ receta siguiente",IF(AK56="A",IF(AZ10&lt;&gt;"",AZ10&amp;" - ou.or.o ❾ + or - &gt;",""),""))</f>
        <v/>
      </c>
      <c r="AY56" s="810"/>
      <c r="AZ56" s="810"/>
      <c r="BA56" s="799" t="str">
        <f t="shared" si="30"/>
        <v/>
      </c>
      <c r="BB56" s="800" t="str">
        <f>IF(AK56="A",IF(AQ56,IF(AND(AW56&lt;&gt;"",N(AW56)&gt;0),IFERROR(IFERROR(_xlfn.XLOOKUP(AP56,BP10:BP57,BT10:BT57),IFERROR(_xlfn.XLOOKUP(AP56,BQ10:BQ57,BT10:BT57),_xlfn.XLOOKUP(AP56,BR10:BR57,BT10:BT57,""))),""),""),""),"")</f>
        <v/>
      </c>
      <c r="BC56" s="813" cm="1">
        <f t="array" ref="BC56">IF(NOT(AQ56),0,IF(OR(BA56="",N(BA56)&lt;=0.000000001),"",IF(OR(AU56="",N(AU56)&lt;=0.000000001),0,IF(ISNUMBER(BA56),IFERROR(_xlfn.LET(_xlpm.ai_test,TRIM(AP56),_xlpm.r,IFERROR(_xlfn.XLOOKUP(_xlpm.ai_test,BP16:BP63,ROW(BP16:BP63),0,1),IFERROR(_xlfn.XLOOKUP(_xlpm.ai_test,BQ16:BQ63,ROW(BQ16:BQ63),0,1),_xlfn.XLOOKUP(_xlpm.ai_test,BR16:BR63,ROW(BR16:BR63),0,1))),_xlpm.p,_xlpm.r-MIN(ROW(BP16:BP63))+1,_xlpm.f,INDEX(BS16:BS63,_xlpm.p),_xlpm.u,INDEX(BT16:BT63,_xlpm.p),_xlpm.s,INDEX(BV16:BV63,_xlpm.p),_xlpm.q,N(BA56)/_xlpm.f,IF(_xlpm.q&gt;=_xlpm.s,ROUND(_xlpm.q,1)&amp;" "&amp;_xlpm.ai_test&amp;" = "&amp;ROUND(_xlpm.q*_xlpm.f,1)&amp;" "&amp;_xlpm.u,ROUND(_xlpm.q,1)&amp;" "&amp;_xlpm.ai_test)),""),""))))</f>
        <v>0</v>
      </c>
      <c r="BD56" s="801"/>
      <c r="BE56" s="799" t="str">
        <f t="shared" si="31"/>
        <v/>
      </c>
      <c r="BF56" s="800" t="str">
        <f t="shared" si="42"/>
        <v/>
      </c>
      <c r="BG56" s="802">
        <f t="shared" si="43"/>
        <v>0</v>
      </c>
      <c r="BH56" s="803" t="str">
        <f t="shared" si="44"/>
        <v/>
      </c>
      <c r="BI56" s="792"/>
      <c r="BJ56" s="804">
        <f t="shared" si="45"/>
        <v>0</v>
      </c>
      <c r="BK56" s="794" t="str">
        <f t="shared" si="39"/>
        <v/>
      </c>
      <c r="BL56" s="227" t="s">
        <v>21</v>
      </c>
      <c r="BM56" s="773">
        <f t="shared" si="36"/>
        <v>0</v>
      </c>
      <c r="BN56" s="774">
        <f t="shared" si="37"/>
        <v>0</v>
      </c>
      <c r="BO56" s="630"/>
      <c r="BP56" s="829" t="s">
        <v>1710</v>
      </c>
      <c r="BQ56" s="829" t="s">
        <v>1710</v>
      </c>
      <c r="BR56" s="829" t="s">
        <v>1711</v>
      </c>
      <c r="BS56" s="767">
        <f t="shared" si="41"/>
        <v>0.25</v>
      </c>
      <c r="BT56" s="805" t="s">
        <v>1621</v>
      </c>
      <c r="BU56" s="805" t="s">
        <v>1622</v>
      </c>
      <c r="BV56" s="757">
        <f t="shared" si="40"/>
        <v>4</v>
      </c>
      <c r="BW56" s="806">
        <v>250</v>
      </c>
      <c r="BX56" s="630"/>
      <c r="BY56" s="630"/>
      <c r="BZ56" s="630"/>
      <c r="CA56" s="630"/>
      <c r="CB56" s="630"/>
      <c r="CC56" s="630"/>
      <c r="CD56" s="781" t="str">
        <f t="shared" si="15"/>
        <v>►</v>
      </c>
      <c r="CE56" s="818"/>
      <c r="CF56" s="634"/>
      <c r="CG56" s="634"/>
      <c r="CH56" s="635"/>
      <c r="CI56" s="635"/>
      <c r="CJ56" s="719"/>
      <c r="CK56" s="826" t="s">
        <v>1669</v>
      </c>
      <c r="CL56" s="9"/>
      <c r="CM56" s="9"/>
      <c r="CN56" s="9"/>
      <c r="CO56" s="9"/>
      <c r="CP56" s="9"/>
      <c r="CQ56" s="38"/>
      <c r="CS56" s="826" t="s">
        <v>1670</v>
      </c>
      <c r="CT56" s="9"/>
      <c r="CU56" s="9"/>
      <c r="CV56" s="9"/>
      <c r="CW56" s="9"/>
      <c r="CX56" s="9"/>
      <c r="CY56" s="38"/>
      <c r="DA56" s="826" t="s">
        <v>1671</v>
      </c>
      <c r="DB56" s="9"/>
      <c r="DC56" s="9"/>
      <c r="DD56" s="9"/>
      <c r="DE56" s="9"/>
      <c r="DF56" s="9"/>
      <c r="DG56" s="38"/>
      <c r="DI56" s="3">
        <v>1</v>
      </c>
    </row>
    <row r="57" spans="1:113" s="627" customFormat="1" ht="21" customHeight="1">
      <c r="A57" s="701" t="s">
        <v>21</v>
      </c>
      <c r="B57" s="2265" t="str" cm="1">
        <f t="array" ref="B57">SUMPRODUCT(--(D57:J57&lt;&gt;""), LEN(TRIM(SUBSTITUTE(D57:J57, CHAR(160), "")))) &amp; " Car."</f>
        <v>0 Car.</v>
      </c>
      <c r="C57" s="1376" t="str">
        <f>IF(ISBLANK(D57),"",LARGE(C13:C56,1)+1)</f>
        <v/>
      </c>
      <c r="D57" s="1833"/>
      <c r="E57" s="1810"/>
      <c r="F57" s="1810"/>
      <c r="G57" s="1810"/>
      <c r="H57" s="1810"/>
      <c r="I57" s="1810"/>
      <c r="J57" s="1810"/>
      <c r="K57" s="1810"/>
      <c r="L57" s="1811"/>
      <c r="M57" s="9"/>
      <c r="N57" s="162" t="str">
        <f t="shared" si="16"/>
        <v>►</v>
      </c>
      <c r="O57" s="6839"/>
      <c r="P57" s="9"/>
      <c r="Q57" s="25" t="s">
        <v>15</v>
      </c>
      <c r="R57" s="2237"/>
      <c r="S57" s="2237"/>
      <c r="T57" s="2237"/>
      <c r="U57" s="2237"/>
      <c r="V57" s="2240"/>
      <c r="W57" s="2241"/>
      <c r="X57" s="2239"/>
      <c r="Y57" s="2242"/>
      <c r="Z57" s="2250"/>
      <c r="AA57" s="2244"/>
      <c r="AB57" s="2244"/>
      <c r="AC57" s="2245"/>
      <c r="AD57" s="2246"/>
      <c r="AE57" s="2247"/>
      <c r="AF57" s="2248"/>
      <c r="AG57" s="2249"/>
      <c r="AH57" s="2249"/>
      <c r="AI57" s="2238"/>
      <c r="AJ57" s="2264"/>
      <c r="AK57" s="6120" t="str">
        <f t="shared" si="19"/>
        <v>►</v>
      </c>
      <c r="AL57" s="781" t="str">
        <f t="shared" si="21"/>
        <v>►</v>
      </c>
      <c r="AM57" s="5499" t="str">
        <f t="shared" si="22"/>
        <v/>
      </c>
      <c r="AN57" s="783" t="str">
        <f t="shared" si="38"/>
        <v/>
      </c>
      <c r="AO57" s="782" t="str">
        <f t="shared" si="24"/>
        <v/>
      </c>
      <c r="AP57" s="783" t="str">
        <f t="shared" si="25"/>
        <v/>
      </c>
      <c r="AQ57" s="2083" t="b">
        <f>AND(Q57="A",COUNTIF(BP16:BR63,TRIM(Z57))&gt;0)</f>
        <v>0</v>
      </c>
      <c r="AR57" s="797" t="str">
        <f>IF(AL57&lt;&gt;"A","",IFERROR(IFERROR(_xlfn.XLOOKUP(TRIM(SUBSTITUTE(Z57,CHAR(160)," ")),BP16:BP63,BS16:BS63),IFERROR(_xlfn.XLOOKUP(TRIM(SUBSTITUTE(Z57,CHAR(160)," ")),BQ16:BQ63,BS16:BS63),_xlfn.XLOOKUP(TRIM(SUBSTITUTE(Z57,CHAR(160)," ")),BR16:BR63,BS16:BS63)))*Y57*IF(ISBLANK(V57),1,V57),0))</f>
        <v/>
      </c>
      <c r="AS57" s="784" t="str">
        <f t="shared" si="26"/>
        <v/>
      </c>
      <c r="AT57" s="1315" t="str">
        <f t="shared" si="27"/>
        <v/>
      </c>
      <c r="AU57" s="785">
        <f t="shared" si="28"/>
        <v>0</v>
      </c>
      <c r="AV57" s="785">
        <f t="shared" si="29"/>
        <v>0</v>
      </c>
      <c r="AW57" s="786">
        <f>IF(AK57="A",AY10,0)</f>
        <v>0</v>
      </c>
      <c r="AX57" s="5495" t="str">
        <f>IF(IFERROR(SEARCH("Adresse PC",TRIM(W57)),0)&gt;0,"▼ receta siguiente",IF(AK57="A",IF(AZ10&lt;&gt;"",AZ10&amp;" - ou.or.o ❾ + or - &gt;",""),""))</f>
        <v/>
      </c>
      <c r="AY57" s="810"/>
      <c r="AZ57" s="810"/>
      <c r="BA57" s="788" t="str">
        <f t="shared" si="30"/>
        <v/>
      </c>
      <c r="BB57" s="789" t="str">
        <f>IF(AK57="A",IF(AQ57,IF(AND(AW57&lt;&gt;"",N(AW57)&gt;0),IFERROR(IFERROR(_xlfn.XLOOKUP(AP57,BP10:BP57,BT10:BT57),IFERROR(_xlfn.XLOOKUP(AP57,BQ10:BQ57,BT10:BT57),_xlfn.XLOOKUP(AP57,BR10:BR57,BT10:BT57,""))),""),""),""),"")</f>
        <v/>
      </c>
      <c r="BC57" s="811" cm="1">
        <f t="array" ref="BC57">IF(NOT(AQ57),0,IF(OR(BA57="",N(BA57)&lt;=0.000000001),"",IF(OR(AU57="",N(AU57)&lt;=0.000000001),0,IF(ISNUMBER(BA57),IFERROR(_xlfn.LET(_xlpm.ai_test,TRIM(AP57),_xlpm.r,IFERROR(_xlfn.XLOOKUP(_xlpm.ai_test,BP16:BP63,ROW(BP16:BP63),0,1),IFERROR(_xlfn.XLOOKUP(_xlpm.ai_test,BQ16:BQ63,ROW(BQ16:BQ63),0,1),_xlfn.XLOOKUP(_xlpm.ai_test,BR16:BR63,ROW(BR16:BR63),0,1))),_xlpm.p,_xlpm.r-MIN(ROW(BP16:BP63))+1,_xlpm.f,INDEX(BS16:BS63,_xlpm.p),_xlpm.u,INDEX(BT16:BT63,_xlpm.p),_xlpm.s,INDEX(BV16:BV63,_xlpm.p),_xlpm.q,N(BA57)/_xlpm.f,IF(_xlpm.q&gt;=_xlpm.s,ROUND(_xlpm.q,1)&amp;" "&amp;_xlpm.ai_test&amp;" = "&amp;ROUND(_xlpm.q*_xlpm.f,1)&amp;" "&amp;_xlpm.u,ROUND(_xlpm.q,1)&amp;" "&amp;_xlpm.ai_test)),""),""))))</f>
        <v>0</v>
      </c>
      <c r="BD57" s="801"/>
      <c r="BE57" s="788" t="str">
        <f t="shared" si="31"/>
        <v/>
      </c>
      <c r="BF57" s="789" t="str">
        <f t="shared" si="42"/>
        <v/>
      </c>
      <c r="BG57" s="790">
        <f t="shared" si="43"/>
        <v>0</v>
      </c>
      <c r="BH57" s="791" t="str">
        <f t="shared" si="44"/>
        <v/>
      </c>
      <c r="BI57" s="792"/>
      <c r="BJ57" s="793">
        <f t="shared" si="45"/>
        <v>0</v>
      </c>
      <c r="BK57" s="794" t="str">
        <f t="shared" si="39"/>
        <v/>
      </c>
      <c r="BL57" s="227" t="s">
        <v>21</v>
      </c>
      <c r="BM57" s="773">
        <f t="shared" si="36"/>
        <v>0</v>
      </c>
      <c r="BN57" s="774">
        <f t="shared" si="37"/>
        <v>0</v>
      </c>
      <c r="BO57" s="630"/>
      <c r="BP57" s="829" t="s">
        <v>1718</v>
      </c>
      <c r="BQ57" s="829" t="s">
        <v>1719</v>
      </c>
      <c r="BR57" s="829" t="s">
        <v>1720</v>
      </c>
      <c r="BS57" s="767">
        <f t="shared" si="41"/>
        <v>0.23699999999999999</v>
      </c>
      <c r="BT57" s="805" t="s">
        <v>1621</v>
      </c>
      <c r="BU57" s="805" t="s">
        <v>1622</v>
      </c>
      <c r="BV57" s="757">
        <f t="shared" si="40"/>
        <v>4</v>
      </c>
      <c r="BW57" s="806">
        <v>237</v>
      </c>
      <c r="BX57" s="630"/>
      <c r="BY57" s="630"/>
      <c r="BZ57" s="630"/>
      <c r="CA57" s="630"/>
      <c r="CB57" s="630"/>
      <c r="CC57" s="630"/>
      <c r="CD57" s="781" t="str">
        <f t="shared" si="15"/>
        <v>►</v>
      </c>
      <c r="CE57" s="818"/>
      <c r="CF57" s="634"/>
      <c r="CG57" s="634"/>
      <c r="CH57" s="635"/>
      <c r="CI57" s="635"/>
      <c r="CJ57" s="719"/>
      <c r="CK57" s="826" t="s">
        <v>1672</v>
      </c>
      <c r="CL57" s="9"/>
      <c r="CM57" s="9"/>
      <c r="CN57" s="9"/>
      <c r="CO57" s="9"/>
      <c r="CP57" s="9"/>
      <c r="CQ57" s="38"/>
      <c r="CS57" s="826" t="s">
        <v>1673</v>
      </c>
      <c r="CT57" s="9"/>
      <c r="CU57" s="9"/>
      <c r="CV57" s="9"/>
      <c r="CW57" s="9"/>
      <c r="CX57" s="9"/>
      <c r="CY57" s="38"/>
      <c r="DA57" s="826" t="s">
        <v>1674</v>
      </c>
      <c r="DB57" s="9"/>
      <c r="DC57" s="9"/>
      <c r="DD57" s="9"/>
      <c r="DE57" s="9"/>
      <c r="DF57" s="9"/>
      <c r="DG57" s="38"/>
      <c r="DI57" s="3">
        <v>1</v>
      </c>
    </row>
    <row r="58" spans="1:113" s="627" customFormat="1" ht="21" customHeight="1">
      <c r="A58" s="701" t="s">
        <v>21</v>
      </c>
      <c r="B58" s="2265" t="str" cm="1">
        <f t="array" ref="B58">SUMPRODUCT(--(D58:J58&lt;&gt;""), LEN(TRIM(SUBSTITUTE(D58:J58, CHAR(160), "")))) &amp; " Car."</f>
        <v>0 Car.</v>
      </c>
      <c r="C58" s="1376" t="str">
        <f>IF(ISBLANK(D58),"",LARGE(C13:C57,1)+1)</f>
        <v/>
      </c>
      <c r="D58" s="1833"/>
      <c r="E58" s="1810"/>
      <c r="F58" s="1810"/>
      <c r="G58" s="1810"/>
      <c r="H58" s="1810"/>
      <c r="I58" s="1810"/>
      <c r="J58" s="1810"/>
      <c r="K58" s="1810"/>
      <c r="L58" s="1811"/>
      <c r="M58" s="9"/>
      <c r="N58" s="162" t="str">
        <f t="shared" si="16"/>
        <v>►</v>
      </c>
      <c r="O58" s="6839" t="s">
        <v>8265</v>
      </c>
      <c r="P58" s="9"/>
      <c r="Q58" s="25" t="s">
        <v>15</v>
      </c>
      <c r="R58" s="2237"/>
      <c r="S58" s="2237"/>
      <c r="T58" s="2237"/>
      <c r="U58" s="2237"/>
      <c r="V58" s="2240"/>
      <c r="W58" s="2241"/>
      <c r="X58" s="2239"/>
      <c r="Y58" s="2242"/>
      <c r="Z58" s="2250"/>
      <c r="AA58" s="2244"/>
      <c r="AB58" s="2244"/>
      <c r="AC58" s="2245"/>
      <c r="AD58" s="2246"/>
      <c r="AE58" s="2247"/>
      <c r="AF58" s="2248"/>
      <c r="AG58" s="2249"/>
      <c r="AH58" s="2249"/>
      <c r="AI58" s="2238"/>
      <c r="AJ58" s="2264"/>
      <c r="AK58" s="6120" t="str">
        <f t="shared" si="19"/>
        <v>►</v>
      </c>
      <c r="AL58" s="781" t="str">
        <f t="shared" si="21"/>
        <v>►</v>
      </c>
      <c r="AM58" s="5498" t="str">
        <f t="shared" si="22"/>
        <v/>
      </c>
      <c r="AN58" s="783" t="str">
        <f t="shared" si="38"/>
        <v/>
      </c>
      <c r="AO58" s="782" t="str">
        <f t="shared" si="24"/>
        <v/>
      </c>
      <c r="AP58" s="783" t="str">
        <f t="shared" si="25"/>
        <v/>
      </c>
      <c r="AQ58" s="2083" t="b">
        <f>AND(Q58="A",COUNTIF(BP16:BR63,TRIM(Z58))&gt;0)</f>
        <v>0</v>
      </c>
      <c r="AR58" s="797" t="str">
        <f>IF(AL58&lt;&gt;"A","",IFERROR(IFERROR(_xlfn.XLOOKUP(TRIM(SUBSTITUTE(Z58,CHAR(160)," ")),BP16:BP63,BS16:BS63),IFERROR(_xlfn.XLOOKUP(TRIM(SUBSTITUTE(Z58,CHAR(160)," ")),BQ16:BQ63,BS16:BS63),_xlfn.XLOOKUP(TRIM(SUBSTITUTE(Z58,CHAR(160)," ")),BR16:BR63,BS16:BS63)))*Y58*IF(ISBLANK(V58),1,V58),0))</f>
        <v/>
      </c>
      <c r="AS58" s="784" t="str">
        <f t="shared" si="26"/>
        <v/>
      </c>
      <c r="AT58" s="1315" t="str">
        <f t="shared" si="27"/>
        <v/>
      </c>
      <c r="AU58" s="785">
        <f t="shared" si="28"/>
        <v>0</v>
      </c>
      <c r="AV58" s="785">
        <f t="shared" si="29"/>
        <v>0</v>
      </c>
      <c r="AW58" s="798">
        <f>IF(AK58="A",AY10,0)</f>
        <v>0</v>
      </c>
      <c r="AX58" s="5496" t="str">
        <f>IF(IFERROR(SEARCH("Adresse PC",TRIM(W58)),0)&gt;0,"▼ receta siguiente",IF(AK58="A",IF(AZ10&lt;&gt;"",AZ10&amp;" - ou.or.o ❾ + or - &gt;",""),""))</f>
        <v/>
      </c>
      <c r="AY58" s="810"/>
      <c r="AZ58" s="810"/>
      <c r="BA58" s="799" t="str">
        <f t="shared" si="30"/>
        <v/>
      </c>
      <c r="BB58" s="800" t="str">
        <f>IF(AK58="A",IF(AQ58,IF(AND(AW58&lt;&gt;"",N(AW58)&gt;0),IFERROR(IFERROR(_xlfn.XLOOKUP(AP58,BP10:BP57,BT10:BT57),IFERROR(_xlfn.XLOOKUP(AP58,BQ10:BQ57,BT10:BT57),_xlfn.XLOOKUP(AP58,BR10:BR57,BT10:BT57,""))),""),""),""),"")</f>
        <v/>
      </c>
      <c r="BC58" s="813" cm="1">
        <f t="array" ref="BC58">IF(NOT(AQ58),0,IF(OR(BA58="",N(BA58)&lt;=0.000000001),"",IF(OR(AU58="",N(AU58)&lt;=0.000000001),0,IF(ISNUMBER(BA58),IFERROR(_xlfn.LET(_xlpm.ai_test,TRIM(AP58),_xlpm.r,IFERROR(_xlfn.XLOOKUP(_xlpm.ai_test,BP16:BP63,ROW(BP16:BP63),0,1),IFERROR(_xlfn.XLOOKUP(_xlpm.ai_test,BQ16:BQ63,ROW(BQ16:BQ63),0,1),_xlfn.XLOOKUP(_xlpm.ai_test,BR16:BR63,ROW(BR16:BR63),0,1))),_xlpm.p,_xlpm.r-MIN(ROW(BP16:BP63))+1,_xlpm.f,INDEX(BS16:BS63,_xlpm.p),_xlpm.u,INDEX(BT16:BT63,_xlpm.p),_xlpm.s,INDEX(BV16:BV63,_xlpm.p),_xlpm.q,N(BA58)/_xlpm.f,IF(_xlpm.q&gt;=_xlpm.s,ROUND(_xlpm.q,1)&amp;" "&amp;_xlpm.ai_test&amp;" = "&amp;ROUND(_xlpm.q*_xlpm.f,1)&amp;" "&amp;_xlpm.u,ROUND(_xlpm.q,1)&amp;" "&amp;_xlpm.ai_test)),""),""))))</f>
        <v>0</v>
      </c>
      <c r="BD58" s="801"/>
      <c r="BE58" s="799" t="str">
        <f t="shared" si="31"/>
        <v/>
      </c>
      <c r="BF58" s="800" t="str">
        <f t="shared" si="42"/>
        <v/>
      </c>
      <c r="BG58" s="802">
        <f t="shared" si="43"/>
        <v>0</v>
      </c>
      <c r="BH58" s="803" t="str">
        <f t="shared" si="44"/>
        <v/>
      </c>
      <c r="BI58" s="792"/>
      <c r="BJ58" s="804">
        <f t="shared" si="45"/>
        <v>0</v>
      </c>
      <c r="BK58" s="794" t="str">
        <f t="shared" si="39"/>
        <v/>
      </c>
      <c r="BL58" s="227" t="s">
        <v>21</v>
      </c>
      <c r="BM58" s="773">
        <f t="shared" si="36"/>
        <v>0</v>
      </c>
      <c r="BN58" s="774">
        <f t="shared" si="37"/>
        <v>0</v>
      </c>
      <c r="BO58" s="630"/>
      <c r="BP58" s="829" t="s">
        <v>1725</v>
      </c>
      <c r="BQ58" s="829" t="s">
        <v>1725</v>
      </c>
      <c r="BR58" s="829" t="s">
        <v>1726</v>
      </c>
      <c r="BS58" s="767">
        <f t="shared" si="41"/>
        <v>0.47299999999999998</v>
      </c>
      <c r="BT58" s="805" t="s">
        <v>1621</v>
      </c>
      <c r="BU58" s="805" t="s">
        <v>1622</v>
      </c>
      <c r="BV58" s="757">
        <f t="shared" si="40"/>
        <v>2</v>
      </c>
      <c r="BW58" s="806">
        <v>473</v>
      </c>
      <c r="BX58"/>
      <c r="BY58"/>
      <c r="BZ58"/>
      <c r="CA58"/>
      <c r="CB58"/>
      <c r="CC58"/>
      <c r="CD58" s="781" t="str">
        <f t="shared" si="15"/>
        <v>►</v>
      </c>
      <c r="CE58" s="818"/>
      <c r="CF58" s="634"/>
      <c r="CG58" s="634"/>
      <c r="CH58" s="635"/>
      <c r="CI58" s="635"/>
      <c r="CJ58" s="719"/>
      <c r="CK58" s="828" t="s">
        <v>1675</v>
      </c>
      <c r="CL58" s="9"/>
      <c r="CM58" s="9"/>
      <c r="CN58" s="9"/>
      <c r="CO58" s="9"/>
      <c r="CP58" s="9"/>
      <c r="CQ58" s="38"/>
      <c r="CS58" s="828" t="s">
        <v>1676</v>
      </c>
      <c r="CT58" s="9"/>
      <c r="CU58" s="9"/>
      <c r="CV58" s="9"/>
      <c r="CW58" s="9"/>
      <c r="CX58" s="9"/>
      <c r="CY58" s="38"/>
      <c r="DA58" s="828" t="s">
        <v>1677</v>
      </c>
      <c r="DB58" s="9"/>
      <c r="DC58" s="9"/>
      <c r="DD58" s="9"/>
      <c r="DE58" s="9"/>
      <c r="DF58" s="9"/>
      <c r="DG58" s="38"/>
      <c r="DI58" s="3">
        <v>1</v>
      </c>
    </row>
    <row r="59" spans="1:113" s="627" customFormat="1" ht="21" customHeight="1">
      <c r="A59" s="701" t="s">
        <v>21</v>
      </c>
      <c r="B59" s="2265" t="str" cm="1">
        <f t="array" ref="B59">SUMPRODUCT(--(D59:J59&lt;&gt;""), LEN(TRIM(SUBSTITUTE(D59:J59, CHAR(160), "")))) &amp; " Car."</f>
        <v>0 Car.</v>
      </c>
      <c r="C59" s="1376" t="str">
        <f>IF(ISBLANK(D59),"",LARGE(C13:C58,1)+1)</f>
        <v/>
      </c>
      <c r="D59" s="1833"/>
      <c r="E59" s="1810"/>
      <c r="F59" s="1810"/>
      <c r="G59" s="1810"/>
      <c r="H59" s="1810"/>
      <c r="I59" s="1810"/>
      <c r="J59" s="1810"/>
      <c r="K59" s="1810"/>
      <c r="L59" s="1811"/>
      <c r="M59" s="9"/>
      <c r="N59" s="162" t="str">
        <f t="shared" si="16"/>
        <v>►</v>
      </c>
      <c r="O59" s="6839"/>
      <c r="P59" s="9"/>
      <c r="Q59" s="25" t="s">
        <v>15</v>
      </c>
      <c r="R59" s="2237"/>
      <c r="S59" s="2237"/>
      <c r="T59" s="2237"/>
      <c r="U59" s="2237"/>
      <c r="V59" s="2240"/>
      <c r="W59" s="2241"/>
      <c r="X59" s="2239"/>
      <c r="Y59" s="2242"/>
      <c r="Z59" s="2250"/>
      <c r="AA59" s="2244"/>
      <c r="AB59" s="2244"/>
      <c r="AC59" s="2245"/>
      <c r="AD59" s="2246"/>
      <c r="AE59" s="2247"/>
      <c r="AF59" s="2248"/>
      <c r="AG59" s="2249"/>
      <c r="AH59" s="2249"/>
      <c r="AI59" s="2238"/>
      <c r="AJ59" s="2264"/>
      <c r="AK59" s="6120" t="str">
        <f t="shared" si="19"/>
        <v>►</v>
      </c>
      <c r="AL59" s="781" t="str">
        <f t="shared" si="21"/>
        <v>►</v>
      </c>
      <c r="AM59" s="5499" t="str">
        <f t="shared" si="22"/>
        <v/>
      </c>
      <c r="AN59" s="783" t="str">
        <f t="shared" si="38"/>
        <v/>
      </c>
      <c r="AO59" s="782" t="str">
        <f t="shared" si="24"/>
        <v/>
      </c>
      <c r="AP59" s="783" t="str">
        <f t="shared" si="25"/>
        <v/>
      </c>
      <c r="AQ59" s="2083" t="b">
        <f>AND(Q59="A",COUNTIF(BP16:BR63,TRIM(Z59))&gt;0)</f>
        <v>0</v>
      </c>
      <c r="AR59" s="797" t="str">
        <f>IF(AL59&lt;&gt;"A","",IFERROR(IFERROR(_xlfn.XLOOKUP(TRIM(SUBSTITUTE(Z59,CHAR(160)," ")),BP16:BP63,BS16:BS63),IFERROR(_xlfn.XLOOKUP(TRIM(SUBSTITUTE(Z59,CHAR(160)," ")),BQ16:BQ63,BS16:BS63),_xlfn.XLOOKUP(TRIM(SUBSTITUTE(Z59,CHAR(160)," ")),BR16:BR63,BS16:BS63)))*Y59*IF(ISBLANK(V59),1,V59),0))</f>
        <v/>
      </c>
      <c r="AS59" s="784" t="str">
        <f t="shared" si="26"/>
        <v/>
      </c>
      <c r="AT59" s="1315" t="str">
        <f t="shared" si="27"/>
        <v/>
      </c>
      <c r="AU59" s="785">
        <f t="shared" si="28"/>
        <v>0</v>
      </c>
      <c r="AV59" s="785">
        <f t="shared" si="29"/>
        <v>0</v>
      </c>
      <c r="AW59" s="786">
        <f>IF(AK59="A",AY10,0)</f>
        <v>0</v>
      </c>
      <c r="AX59" s="5495" t="str">
        <f>IF(IFERROR(SEARCH("Adresse PC",TRIM(W59)),0)&gt;0,"▼ receta siguiente",IF(AK59="A",IF(AZ10&lt;&gt;"",AZ10&amp;" - ou.or.o ❾ + or - &gt;",""),""))</f>
        <v/>
      </c>
      <c r="AY59" s="810"/>
      <c r="AZ59" s="810"/>
      <c r="BA59" s="788" t="str">
        <f t="shared" si="30"/>
        <v/>
      </c>
      <c r="BB59" s="789" t="str">
        <f>IF(AK59="A",IF(AQ59,IF(AND(AW59&lt;&gt;"",N(AW59)&gt;0),IFERROR(IFERROR(_xlfn.XLOOKUP(AP59,BP10:BP57,BT10:BT57),IFERROR(_xlfn.XLOOKUP(AP59,BQ10:BQ57,BT10:BT57),_xlfn.XLOOKUP(AP59,BR10:BR57,BT10:BT57,""))),""),""),""),"")</f>
        <v/>
      </c>
      <c r="BC59" s="811" cm="1">
        <f t="array" ref="BC59">IF(NOT(AQ59),0,IF(OR(BA59="",N(BA59)&lt;=0.000000001),"",IF(OR(AU59="",N(AU59)&lt;=0.000000001),0,IF(ISNUMBER(BA59),IFERROR(_xlfn.LET(_xlpm.ai_test,TRIM(AP59),_xlpm.r,IFERROR(_xlfn.XLOOKUP(_xlpm.ai_test,BP16:BP63,ROW(BP16:BP63),0,1),IFERROR(_xlfn.XLOOKUP(_xlpm.ai_test,BQ16:BQ63,ROW(BQ16:BQ63),0,1),_xlfn.XLOOKUP(_xlpm.ai_test,BR16:BR63,ROW(BR16:BR63),0,1))),_xlpm.p,_xlpm.r-MIN(ROW(BP16:BP63))+1,_xlpm.f,INDEX(BS16:BS63,_xlpm.p),_xlpm.u,INDEX(BT16:BT63,_xlpm.p),_xlpm.s,INDEX(BV16:BV63,_xlpm.p),_xlpm.q,N(BA59)/_xlpm.f,IF(_xlpm.q&gt;=_xlpm.s,ROUND(_xlpm.q,1)&amp;" "&amp;_xlpm.ai_test&amp;" = "&amp;ROUND(_xlpm.q*_xlpm.f,1)&amp;" "&amp;_xlpm.u,ROUND(_xlpm.q,1)&amp;" "&amp;_xlpm.ai_test)),""),""))))</f>
        <v>0</v>
      </c>
      <c r="BD59" s="801"/>
      <c r="BE59" s="788" t="str">
        <f t="shared" si="31"/>
        <v/>
      </c>
      <c r="BF59" s="789" t="str">
        <f t="shared" si="42"/>
        <v/>
      </c>
      <c r="BG59" s="790">
        <f t="shared" si="43"/>
        <v>0</v>
      </c>
      <c r="BH59" s="791" t="str">
        <f t="shared" si="44"/>
        <v/>
      </c>
      <c r="BI59" s="792"/>
      <c r="BJ59" s="793">
        <f t="shared" si="45"/>
        <v>0</v>
      </c>
      <c r="BK59" s="794" t="str">
        <f t="shared" si="39"/>
        <v/>
      </c>
      <c r="BL59" s="227" t="s">
        <v>21</v>
      </c>
      <c r="BM59" s="773">
        <f t="shared" si="36"/>
        <v>0</v>
      </c>
      <c r="BN59" s="774">
        <f t="shared" si="37"/>
        <v>0</v>
      </c>
      <c r="BO59" s="630"/>
      <c r="BP59" s="829" t="s">
        <v>1728</v>
      </c>
      <c r="BQ59" s="829" t="s">
        <v>1729</v>
      </c>
      <c r="BR59" s="829" t="s">
        <v>1730</v>
      </c>
      <c r="BS59" s="767">
        <f t="shared" si="41"/>
        <v>0.47299999999999998</v>
      </c>
      <c r="BT59" s="805" t="s">
        <v>1621</v>
      </c>
      <c r="BU59" s="805" t="s">
        <v>1622</v>
      </c>
      <c r="BV59" s="757">
        <f t="shared" si="40"/>
        <v>2</v>
      </c>
      <c r="BW59" s="806">
        <v>473</v>
      </c>
      <c r="BX59"/>
      <c r="BY59"/>
      <c r="BZ59"/>
      <c r="CA59"/>
      <c r="CB59"/>
      <c r="CC59"/>
      <c r="CD59" s="781" t="str">
        <f t="shared" si="15"/>
        <v>►</v>
      </c>
      <c r="CE59" s="6859" t="s">
        <v>1731</v>
      </c>
      <c r="CF59" s="6859"/>
      <c r="CG59" s="6859"/>
      <c r="CH59" s="6859"/>
      <c r="CI59" s="6859"/>
      <c r="CJ59" s="719"/>
      <c r="CK59" s="828" t="s">
        <v>1679</v>
      </c>
      <c r="CL59" s="9"/>
      <c r="CM59" s="9"/>
      <c r="CN59" s="9"/>
      <c r="CO59" s="9"/>
      <c r="CP59" s="9"/>
      <c r="CQ59" s="38"/>
      <c r="CS59" s="828" t="s">
        <v>1680</v>
      </c>
      <c r="CT59" s="9"/>
      <c r="CU59" s="9"/>
      <c r="CV59" s="9"/>
      <c r="CW59" s="9"/>
      <c r="CX59" s="9"/>
      <c r="CY59" s="38"/>
      <c r="DA59" s="828" t="s">
        <v>1681</v>
      </c>
      <c r="DB59" s="9"/>
      <c r="DC59" s="9"/>
      <c r="DD59" s="9"/>
      <c r="DE59" s="9"/>
      <c r="DF59" s="9"/>
      <c r="DG59" s="38"/>
      <c r="DI59" s="3">
        <v>1</v>
      </c>
    </row>
    <row r="60" spans="1:113" s="627" customFormat="1" ht="21" customHeight="1">
      <c r="A60" s="701" t="s">
        <v>21</v>
      </c>
      <c r="B60" s="2265" t="str" cm="1">
        <f t="array" ref="B60">SUMPRODUCT(--(D60:J60&lt;&gt;""), LEN(TRIM(SUBSTITUTE(D60:J60, CHAR(160), "")))) &amp; " Car."</f>
        <v>0 Car.</v>
      </c>
      <c r="C60" s="1376" t="str">
        <f>IF(ISBLANK(D60),"",LARGE(C13:C59,1)+1)</f>
        <v/>
      </c>
      <c r="D60" s="1833"/>
      <c r="E60" s="1810"/>
      <c r="F60" s="1810"/>
      <c r="G60" s="1810"/>
      <c r="H60" s="1810"/>
      <c r="I60" s="1810"/>
      <c r="J60" s="1810"/>
      <c r="K60" s="1810"/>
      <c r="L60" s="1811"/>
      <c r="M60" s="9"/>
      <c r="N60" s="162" t="str">
        <f t="shared" si="16"/>
        <v>►</v>
      </c>
      <c r="O60" s="6839"/>
      <c r="P60" s="9"/>
      <c r="Q60" s="25" t="s">
        <v>15</v>
      </c>
      <c r="R60" s="2237"/>
      <c r="S60" s="2237"/>
      <c r="T60" s="2237"/>
      <c r="U60" s="2237"/>
      <c r="V60" s="2240"/>
      <c r="W60" s="2241"/>
      <c r="X60" s="2239"/>
      <c r="Y60" s="2242"/>
      <c r="Z60" s="2250"/>
      <c r="AA60" s="2244"/>
      <c r="AB60" s="2244"/>
      <c r="AC60" s="2245"/>
      <c r="AD60" s="2246"/>
      <c r="AE60" s="2247"/>
      <c r="AF60" s="2248"/>
      <c r="AG60" s="2249"/>
      <c r="AH60" s="2249"/>
      <c r="AI60" s="2238"/>
      <c r="AJ60" s="2264"/>
      <c r="AK60" s="6120" t="str">
        <f t="shared" si="19"/>
        <v>►</v>
      </c>
      <c r="AL60" s="781" t="str">
        <f t="shared" si="21"/>
        <v>►</v>
      </c>
      <c r="AM60" s="5498" t="str">
        <f t="shared" si="22"/>
        <v/>
      </c>
      <c r="AN60" s="783" t="str">
        <f t="shared" si="38"/>
        <v/>
      </c>
      <c r="AO60" s="782" t="str">
        <f t="shared" si="24"/>
        <v/>
      </c>
      <c r="AP60" s="783" t="str">
        <f t="shared" si="25"/>
        <v/>
      </c>
      <c r="AQ60" s="2083" t="b">
        <f>AND(Q60="A",COUNTIF(BP16:BR63,TRIM(Z60))&gt;0)</f>
        <v>0</v>
      </c>
      <c r="AR60" s="797" t="str">
        <f>IF(AL60&lt;&gt;"A","",IFERROR(IFERROR(_xlfn.XLOOKUP(TRIM(SUBSTITUTE(Z60,CHAR(160)," ")),BP16:BP63,BS16:BS63),IFERROR(_xlfn.XLOOKUP(TRIM(SUBSTITUTE(Z60,CHAR(160)," ")),BQ16:BQ63,BS16:BS63),_xlfn.XLOOKUP(TRIM(SUBSTITUTE(Z60,CHAR(160)," ")),BR16:BR63,BS16:BS63)))*Y60*IF(ISBLANK(V60),1,V60),0))</f>
        <v/>
      </c>
      <c r="AS60" s="784" t="str">
        <f t="shared" si="26"/>
        <v/>
      </c>
      <c r="AT60" s="1315" t="str">
        <f t="shared" si="27"/>
        <v/>
      </c>
      <c r="AU60" s="785">
        <f t="shared" si="28"/>
        <v>0</v>
      </c>
      <c r="AV60" s="785">
        <f t="shared" si="29"/>
        <v>0</v>
      </c>
      <c r="AW60" s="798">
        <f>IF(AK60="A",AY10,0)</f>
        <v>0</v>
      </c>
      <c r="AX60" s="5496" t="str">
        <f>IF(IFERROR(SEARCH("Adresse PC",TRIM(W60)),0)&gt;0,"▼ receta siguiente",IF(AK60="A",IF(AZ10&lt;&gt;"",AZ10&amp;" - ou.or.o ❾ + or - &gt;",""),""))</f>
        <v/>
      </c>
      <c r="AY60" s="810"/>
      <c r="AZ60" s="810"/>
      <c r="BA60" s="799" t="str">
        <f t="shared" si="30"/>
        <v/>
      </c>
      <c r="BB60" s="800" t="str">
        <f>IF(AK60="A",IF(AQ60,IF(AND(AW60&lt;&gt;"",N(AW60)&gt;0),IFERROR(IFERROR(_xlfn.XLOOKUP(AP60,BP10:BP57,BT10:BT57),IFERROR(_xlfn.XLOOKUP(AP60,BQ10:BQ57,BT10:BT57),_xlfn.XLOOKUP(AP60,BR10:BR57,BT10:BT57,""))),""),""),""),"")</f>
        <v/>
      </c>
      <c r="BC60" s="813" cm="1">
        <f t="array" ref="BC60">IF(NOT(AQ60),0,IF(OR(BA60="",N(BA60)&lt;=0.000000001),"",IF(OR(AU60="",N(AU60)&lt;=0.000000001),0,IF(ISNUMBER(BA60),IFERROR(_xlfn.LET(_xlpm.ai_test,TRIM(AP60),_xlpm.r,IFERROR(_xlfn.XLOOKUP(_xlpm.ai_test,BP16:BP63,ROW(BP16:BP63),0,1),IFERROR(_xlfn.XLOOKUP(_xlpm.ai_test,BQ16:BQ63,ROW(BQ16:BQ63),0,1),_xlfn.XLOOKUP(_xlpm.ai_test,BR16:BR63,ROW(BR16:BR63),0,1))),_xlpm.p,_xlpm.r-MIN(ROW(BP16:BP63))+1,_xlpm.f,INDEX(BS16:BS63,_xlpm.p),_xlpm.u,INDEX(BT16:BT63,_xlpm.p),_xlpm.s,INDEX(BV16:BV63,_xlpm.p),_xlpm.q,N(BA60)/_xlpm.f,IF(_xlpm.q&gt;=_xlpm.s,ROUND(_xlpm.q,1)&amp;" "&amp;_xlpm.ai_test&amp;" = "&amp;ROUND(_xlpm.q*_xlpm.f,1)&amp;" "&amp;_xlpm.u,ROUND(_xlpm.q,1)&amp;" "&amp;_xlpm.ai_test)),""),""))))</f>
        <v>0</v>
      </c>
      <c r="BD60" s="801"/>
      <c r="BE60" s="799" t="str">
        <f t="shared" si="31"/>
        <v/>
      </c>
      <c r="BF60" s="800" t="str">
        <f t="shared" si="42"/>
        <v/>
      </c>
      <c r="BG60" s="802">
        <f t="shared" si="43"/>
        <v>0</v>
      </c>
      <c r="BH60" s="803" t="str">
        <f t="shared" si="44"/>
        <v/>
      </c>
      <c r="BI60" s="792"/>
      <c r="BJ60" s="804">
        <f t="shared" si="45"/>
        <v>0</v>
      </c>
      <c r="BK60" s="794" t="str">
        <f t="shared" si="39"/>
        <v/>
      </c>
      <c r="BL60" s="227" t="s">
        <v>21</v>
      </c>
      <c r="BM60" s="773">
        <f t="shared" si="36"/>
        <v>0</v>
      </c>
      <c r="BN60" s="774">
        <f t="shared" si="37"/>
        <v>0</v>
      </c>
      <c r="BO60" s="630"/>
      <c r="BP60" s="829" t="s">
        <v>1732</v>
      </c>
      <c r="BQ60" s="829" t="s">
        <v>1733</v>
      </c>
      <c r="BR60" s="829" t="s">
        <v>1734</v>
      </c>
      <c r="BS60" s="767">
        <f t="shared" si="41"/>
        <v>0.56799999999999995</v>
      </c>
      <c r="BT60" s="805" t="s">
        <v>1621</v>
      </c>
      <c r="BU60" s="805" t="s">
        <v>1622</v>
      </c>
      <c r="BV60" s="757">
        <f t="shared" si="40"/>
        <v>2</v>
      </c>
      <c r="BW60" s="806">
        <v>568</v>
      </c>
      <c r="BX60"/>
      <c r="BY60"/>
      <c r="BZ60"/>
      <c r="CA60"/>
      <c r="CB60"/>
      <c r="CC60"/>
      <c r="CD60" s="781" t="str">
        <f t="shared" si="15"/>
        <v>►</v>
      </c>
      <c r="CE60" s="6859"/>
      <c r="CF60" s="6859"/>
      <c r="CG60" s="6859"/>
      <c r="CH60" s="6859"/>
      <c r="CI60" s="6859"/>
      <c r="CJ60" s="719"/>
      <c r="CK60" s="830"/>
      <c r="CL60" s="9"/>
      <c r="CM60" s="9"/>
      <c r="CN60" s="9"/>
      <c r="CO60" s="9"/>
      <c r="CP60" s="9"/>
      <c r="CQ60" s="38"/>
      <c r="CS60" s="830"/>
      <c r="CT60" s="9"/>
      <c r="CU60" s="9"/>
      <c r="CV60" s="9"/>
      <c r="CW60" s="9"/>
      <c r="CX60" s="9"/>
      <c r="CY60" s="38"/>
      <c r="DA60" s="830"/>
      <c r="DB60" s="9"/>
      <c r="DC60" s="9"/>
      <c r="DD60" s="9"/>
      <c r="DE60" s="9"/>
      <c r="DF60" s="9"/>
      <c r="DG60" s="38"/>
      <c r="DI60" s="3">
        <v>1</v>
      </c>
    </row>
    <row r="61" spans="1:113" s="627" customFormat="1" ht="21" customHeight="1">
      <c r="A61" s="701" t="s">
        <v>21</v>
      </c>
      <c r="B61" s="2265" t="str" cm="1">
        <f t="array" ref="B61">SUMPRODUCT(--(D61:J61&lt;&gt;""), LEN(TRIM(SUBSTITUTE(D61:J61, CHAR(160), "")))) &amp; " Car."</f>
        <v>0 Car.</v>
      </c>
      <c r="C61" s="1376" t="str">
        <f>IF(ISBLANK(D61),"",LARGE(C13:C60,1)+1)</f>
        <v/>
      </c>
      <c r="D61" s="1833"/>
      <c r="E61" s="1810"/>
      <c r="F61" s="1810"/>
      <c r="G61" s="1810"/>
      <c r="H61" s="1810"/>
      <c r="I61" s="1810"/>
      <c r="J61" s="1810"/>
      <c r="K61" s="1810"/>
      <c r="L61" s="1811"/>
      <c r="M61" s="9"/>
      <c r="N61" s="162" t="str">
        <f t="shared" si="16"/>
        <v>►</v>
      </c>
      <c r="O61" s="2220" t="s">
        <v>8411</v>
      </c>
      <c r="P61" s="9"/>
      <c r="Q61" s="25" t="s">
        <v>15</v>
      </c>
      <c r="R61" s="2237"/>
      <c r="S61" s="2237"/>
      <c r="T61" s="2237"/>
      <c r="U61" s="2237"/>
      <c r="V61" s="2240"/>
      <c r="W61" s="2241"/>
      <c r="X61" s="2239"/>
      <c r="Y61" s="2242"/>
      <c r="Z61" s="2250"/>
      <c r="AA61" s="2244"/>
      <c r="AB61" s="2244"/>
      <c r="AC61" s="2245"/>
      <c r="AD61" s="2246"/>
      <c r="AE61" s="2247"/>
      <c r="AF61" s="2248"/>
      <c r="AG61" s="2249"/>
      <c r="AH61" s="2249"/>
      <c r="AI61" s="2238"/>
      <c r="AJ61" s="2264"/>
      <c r="AK61" s="6120" t="str">
        <f t="shared" si="19"/>
        <v>►</v>
      </c>
      <c r="AL61" s="781" t="str">
        <f t="shared" si="21"/>
        <v>►</v>
      </c>
      <c r="AM61" s="5499" t="str">
        <f t="shared" si="22"/>
        <v/>
      </c>
      <c r="AN61" s="783" t="str">
        <f t="shared" si="38"/>
        <v/>
      </c>
      <c r="AO61" s="782" t="str">
        <f t="shared" si="24"/>
        <v/>
      </c>
      <c r="AP61" s="783" t="str">
        <f t="shared" si="25"/>
        <v/>
      </c>
      <c r="AQ61" s="2083" t="b">
        <f>AND(Q61="A",COUNTIF(BP16:BR63,TRIM(Z61))&gt;0)</f>
        <v>0</v>
      </c>
      <c r="AR61" s="797" t="str">
        <f>IF(AL61&lt;&gt;"A","",IFERROR(IFERROR(_xlfn.XLOOKUP(TRIM(SUBSTITUTE(Z61,CHAR(160)," ")),BP16:BP63,BS16:BS63),IFERROR(_xlfn.XLOOKUP(TRIM(SUBSTITUTE(Z61,CHAR(160)," ")),BQ16:BQ63,BS16:BS63),_xlfn.XLOOKUP(TRIM(SUBSTITUTE(Z61,CHAR(160)," ")),BR16:BR63,BS16:BS63)))*Y61*IF(ISBLANK(V61),1,V61),0))</f>
        <v/>
      </c>
      <c r="AS61" s="784" t="str">
        <f t="shared" si="26"/>
        <v/>
      </c>
      <c r="AT61" s="1315" t="str">
        <f t="shared" si="27"/>
        <v/>
      </c>
      <c r="AU61" s="785">
        <f t="shared" si="28"/>
        <v>0</v>
      </c>
      <c r="AV61" s="785">
        <f t="shared" si="29"/>
        <v>0</v>
      </c>
      <c r="AW61" s="786">
        <f>IF(AK61="A",AY10,0)</f>
        <v>0</v>
      </c>
      <c r="AX61" s="5495" t="str">
        <f>IF(IFERROR(SEARCH("Adresse PC",TRIM(W61)),0)&gt;0,"▼ receta siguiente",IF(AK61="A",IF(AZ10&lt;&gt;"",AZ10&amp;" - ou.or.o ❾ + or - &gt;",""),""))</f>
        <v/>
      </c>
      <c r="AY61" s="810"/>
      <c r="AZ61" s="810"/>
      <c r="BA61" s="788" t="str">
        <f t="shared" si="30"/>
        <v/>
      </c>
      <c r="BB61" s="789" t="str">
        <f>IF(AK61="A",IF(AQ61,IF(AND(AW61&lt;&gt;"",N(AW61)&gt;0),IFERROR(IFERROR(_xlfn.XLOOKUP(AP61,BP10:BP57,BT10:BT57),IFERROR(_xlfn.XLOOKUP(AP61,BQ10:BQ57,BT10:BT57),_xlfn.XLOOKUP(AP61,BR10:BR57,BT10:BT57,""))),""),""),""),"")</f>
        <v/>
      </c>
      <c r="BC61" s="811" cm="1">
        <f t="array" ref="BC61">IF(NOT(AQ61),0,IF(OR(BA61="",N(BA61)&lt;=0.000000001),"",IF(OR(AU61="",N(AU61)&lt;=0.000000001),0,IF(ISNUMBER(BA61),IFERROR(_xlfn.LET(_xlpm.ai_test,TRIM(AP61),_xlpm.r,IFERROR(_xlfn.XLOOKUP(_xlpm.ai_test,BP16:BP63,ROW(BP16:BP63),0,1),IFERROR(_xlfn.XLOOKUP(_xlpm.ai_test,BQ16:BQ63,ROW(BQ16:BQ63),0,1),_xlfn.XLOOKUP(_xlpm.ai_test,BR16:BR63,ROW(BR16:BR63),0,1))),_xlpm.p,_xlpm.r-MIN(ROW(BP16:BP63))+1,_xlpm.f,INDEX(BS16:BS63,_xlpm.p),_xlpm.u,INDEX(BT16:BT63,_xlpm.p),_xlpm.s,INDEX(BV16:BV63,_xlpm.p),_xlpm.q,N(BA61)/_xlpm.f,IF(_xlpm.q&gt;=_xlpm.s,ROUND(_xlpm.q,1)&amp;" "&amp;_xlpm.ai_test&amp;" = "&amp;ROUND(_xlpm.q*_xlpm.f,1)&amp;" "&amp;_xlpm.u,ROUND(_xlpm.q,1)&amp;" "&amp;_xlpm.ai_test)),""),""))))</f>
        <v>0</v>
      </c>
      <c r="BD61" s="801"/>
      <c r="BE61" s="788" t="str">
        <f t="shared" si="31"/>
        <v/>
      </c>
      <c r="BF61" s="789" t="str">
        <f t="shared" si="42"/>
        <v/>
      </c>
      <c r="BG61" s="790">
        <f t="shared" si="43"/>
        <v>0</v>
      </c>
      <c r="BH61" s="791" t="str">
        <f t="shared" si="44"/>
        <v/>
      </c>
      <c r="BI61" s="792"/>
      <c r="BJ61" s="793">
        <f t="shared" si="45"/>
        <v>0</v>
      </c>
      <c r="BK61" s="794" t="str">
        <f t="shared" si="39"/>
        <v/>
      </c>
      <c r="BL61" s="227" t="s">
        <v>21</v>
      </c>
      <c r="BM61" s="773">
        <f t="shared" si="36"/>
        <v>0</v>
      </c>
      <c r="BN61" s="774">
        <f t="shared" si="37"/>
        <v>0</v>
      </c>
      <c r="BO61" s="630"/>
      <c r="BP61" s="829" t="s">
        <v>1738</v>
      </c>
      <c r="BQ61" s="829" t="s">
        <v>1738</v>
      </c>
      <c r="BR61" s="829" t="s">
        <v>1739</v>
      </c>
      <c r="BS61" s="767">
        <f t="shared" si="41"/>
        <v>0.94599999999999995</v>
      </c>
      <c r="BT61" s="805" t="s">
        <v>1621</v>
      </c>
      <c r="BU61" s="805" t="s">
        <v>1622</v>
      </c>
      <c r="BV61" s="757">
        <f t="shared" si="40"/>
        <v>1</v>
      </c>
      <c r="BW61" s="806">
        <v>946</v>
      </c>
      <c r="BX61"/>
      <c r="BY61"/>
      <c r="BZ61"/>
      <c r="CA61"/>
      <c r="CB61"/>
      <c r="CC61"/>
      <c r="CD61" s="781" t="str">
        <f t="shared" si="15"/>
        <v>►</v>
      </c>
      <c r="CE61" s="818"/>
      <c r="CF61" s="634"/>
      <c r="CG61" s="634"/>
      <c r="CH61" s="635"/>
      <c r="CI61" s="635"/>
      <c r="CJ61" s="719"/>
      <c r="CK61" s="825" t="s">
        <v>1686</v>
      </c>
      <c r="CL61" s="9"/>
      <c r="CM61" s="9"/>
      <c r="CN61" s="9"/>
      <c r="CO61" s="9"/>
      <c r="CP61" s="9"/>
      <c r="CQ61" s="38"/>
      <c r="CS61" s="825" t="s">
        <v>1687</v>
      </c>
      <c r="CT61" s="9"/>
      <c r="CU61" s="9"/>
      <c r="CV61" s="9"/>
      <c r="CW61" s="9"/>
      <c r="CX61" s="9"/>
      <c r="CY61" s="38"/>
      <c r="DA61" s="825" t="s">
        <v>1688</v>
      </c>
      <c r="DB61" s="9"/>
      <c r="DC61" s="9"/>
      <c r="DD61" s="9"/>
      <c r="DE61" s="9"/>
      <c r="DF61" s="9"/>
      <c r="DG61" s="38"/>
      <c r="DI61" s="3">
        <v>1</v>
      </c>
    </row>
    <row r="62" spans="1:113" s="627" customFormat="1" ht="21" customHeight="1">
      <c r="A62" s="701" t="s">
        <v>21</v>
      </c>
      <c r="B62" s="2265" t="str" cm="1">
        <f t="array" ref="B62">SUMPRODUCT(--(D62:J62&lt;&gt;""), LEN(TRIM(SUBSTITUTE(D62:J62, CHAR(160), "")))) &amp; " Car."</f>
        <v>0 Car.</v>
      </c>
      <c r="C62" s="1376" t="str">
        <f>IF(ISBLANK(D62),"",LARGE(C13:C61,1)+1)</f>
        <v/>
      </c>
      <c r="D62" s="1833"/>
      <c r="E62" s="1810"/>
      <c r="F62" s="1810"/>
      <c r="G62" s="1810"/>
      <c r="H62" s="1810"/>
      <c r="I62" s="1810"/>
      <c r="J62" s="1810"/>
      <c r="K62" s="1810"/>
      <c r="L62" s="1811"/>
      <c r="M62" s="9"/>
      <c r="N62" s="162" t="str">
        <f t="shared" si="16"/>
        <v>►</v>
      </c>
      <c r="O62" s="1616">
        <v>1</v>
      </c>
      <c r="P62" s="9"/>
      <c r="Q62" s="25" t="s">
        <v>15</v>
      </c>
      <c r="R62" s="2237"/>
      <c r="S62" s="2237"/>
      <c r="T62" s="2237"/>
      <c r="U62" s="2237"/>
      <c r="V62" s="2240"/>
      <c r="W62" s="2241"/>
      <c r="X62" s="2239"/>
      <c r="Y62" s="2242"/>
      <c r="Z62" s="2250"/>
      <c r="AA62" s="2244"/>
      <c r="AB62" s="2244"/>
      <c r="AC62" s="2245"/>
      <c r="AD62" s="2246"/>
      <c r="AE62" s="2247"/>
      <c r="AF62" s="2248"/>
      <c r="AG62" s="2249"/>
      <c r="AH62" s="2249"/>
      <c r="AI62" s="2238"/>
      <c r="AJ62" s="2264"/>
      <c r="AK62" s="6120" t="str">
        <f t="shared" si="19"/>
        <v>►</v>
      </c>
      <c r="AL62" s="781" t="str">
        <f t="shared" si="21"/>
        <v>►</v>
      </c>
      <c r="AM62" s="5498" t="str">
        <f t="shared" si="22"/>
        <v/>
      </c>
      <c r="AN62" s="783" t="str">
        <f t="shared" si="38"/>
        <v/>
      </c>
      <c r="AO62" s="782" t="str">
        <f t="shared" si="24"/>
        <v/>
      </c>
      <c r="AP62" s="783" t="str">
        <f t="shared" si="25"/>
        <v/>
      </c>
      <c r="AQ62" s="2083" t="b">
        <f>AND(Q62="A",COUNTIF(BP16:BR63,TRIM(Z62))&gt;0)</f>
        <v>0</v>
      </c>
      <c r="AR62" s="797" t="str">
        <f>IF(AL62&lt;&gt;"A","",IFERROR(IFERROR(_xlfn.XLOOKUP(TRIM(SUBSTITUTE(Z62,CHAR(160)," ")),BP16:BP63,BS16:BS63),IFERROR(_xlfn.XLOOKUP(TRIM(SUBSTITUTE(Z62,CHAR(160)," ")),BQ16:BQ63,BS16:BS63),_xlfn.XLOOKUP(TRIM(SUBSTITUTE(Z62,CHAR(160)," ")),BR16:BR63,BS16:BS63)))*Y62*IF(ISBLANK(V62),1,V62),0))</f>
        <v/>
      </c>
      <c r="AS62" s="784" t="str">
        <f t="shared" si="26"/>
        <v/>
      </c>
      <c r="AT62" s="1315" t="str">
        <f t="shared" si="27"/>
        <v/>
      </c>
      <c r="AU62" s="785">
        <f t="shared" si="28"/>
        <v>0</v>
      </c>
      <c r="AV62" s="785">
        <f t="shared" si="29"/>
        <v>0</v>
      </c>
      <c r="AW62" s="798">
        <f>IF(AK62="A",AY10,0)</f>
        <v>0</v>
      </c>
      <c r="AX62" s="5496" t="str">
        <f>IF(IFERROR(SEARCH("Adresse PC",TRIM(W62)),0)&gt;0,"▼ receta siguiente",IF(AK62="A",IF(AZ10&lt;&gt;"",AZ10&amp;" - ou.or.o ❾ + or - &gt;",""),""))</f>
        <v/>
      </c>
      <c r="AY62" s="810"/>
      <c r="AZ62" s="810"/>
      <c r="BA62" s="799" t="str">
        <f t="shared" si="30"/>
        <v/>
      </c>
      <c r="BB62" s="800" t="str">
        <f>IF(AK62="A",IF(AQ62,IF(AND(AW62&lt;&gt;"",N(AW62)&gt;0),IFERROR(IFERROR(_xlfn.XLOOKUP(AP62,BP10:BP57,BT10:BT57),IFERROR(_xlfn.XLOOKUP(AP62,BQ10:BQ57,BT10:BT57),_xlfn.XLOOKUP(AP62,BR10:BR57,BT10:BT57,""))),""),""),""),"")</f>
        <v/>
      </c>
      <c r="BC62" s="813" cm="1">
        <f t="array" ref="BC62">IF(NOT(AQ62),0,IF(OR(BA62="",N(BA62)&lt;=0.000000001),"",IF(OR(AU62="",N(AU62)&lt;=0.000000001),0,IF(ISNUMBER(BA62),IFERROR(_xlfn.LET(_xlpm.ai_test,TRIM(AP62),_xlpm.r,IFERROR(_xlfn.XLOOKUP(_xlpm.ai_test,BP16:BP63,ROW(BP16:BP63),0,1),IFERROR(_xlfn.XLOOKUP(_xlpm.ai_test,BQ16:BQ63,ROW(BQ16:BQ63),0,1),_xlfn.XLOOKUP(_xlpm.ai_test,BR16:BR63,ROW(BR16:BR63),0,1))),_xlpm.p,_xlpm.r-MIN(ROW(BP16:BP63))+1,_xlpm.f,INDEX(BS16:BS63,_xlpm.p),_xlpm.u,INDEX(BT16:BT63,_xlpm.p),_xlpm.s,INDEX(BV16:BV63,_xlpm.p),_xlpm.q,N(BA62)/_xlpm.f,IF(_xlpm.q&gt;=_xlpm.s,ROUND(_xlpm.q,1)&amp;" "&amp;_xlpm.ai_test&amp;" = "&amp;ROUND(_xlpm.q*_xlpm.f,1)&amp;" "&amp;_xlpm.u,ROUND(_xlpm.q,1)&amp;" "&amp;_xlpm.ai_test)),""),""))))</f>
        <v>0</v>
      </c>
      <c r="BD62" s="801"/>
      <c r="BE62" s="799" t="str">
        <f t="shared" si="31"/>
        <v/>
      </c>
      <c r="BF62" s="800" t="str">
        <f t="shared" si="42"/>
        <v/>
      </c>
      <c r="BG62" s="802">
        <f t="shared" si="43"/>
        <v>0</v>
      </c>
      <c r="BH62" s="803" t="str">
        <f t="shared" si="44"/>
        <v/>
      </c>
      <c r="BI62" s="792"/>
      <c r="BJ62" s="804">
        <f t="shared" si="45"/>
        <v>0</v>
      </c>
      <c r="BK62" s="794" t="str">
        <f t="shared" si="39"/>
        <v/>
      </c>
      <c r="BL62" s="227" t="s">
        <v>21</v>
      </c>
      <c r="BM62" s="773">
        <f t="shared" si="36"/>
        <v>0</v>
      </c>
      <c r="BN62" s="774">
        <f t="shared" si="37"/>
        <v>0</v>
      </c>
      <c r="BO62" s="630"/>
      <c r="BP62" s="829" t="s">
        <v>1740</v>
      </c>
      <c r="BQ62" s="829" t="s">
        <v>1740</v>
      </c>
      <c r="BR62" s="829" t="s">
        <v>1741</v>
      </c>
      <c r="BS62" s="767">
        <f t="shared" si="41"/>
        <v>3.7850000000000001</v>
      </c>
      <c r="BT62" s="805" t="s">
        <v>1621</v>
      </c>
      <c r="BU62" s="805" t="s">
        <v>1622</v>
      </c>
      <c r="BV62" s="757">
        <f t="shared" si="40"/>
        <v>0</v>
      </c>
      <c r="BW62" s="806">
        <v>3785</v>
      </c>
      <c r="BX62"/>
      <c r="BY62"/>
      <c r="BZ62"/>
      <c r="CA62"/>
      <c r="CB62"/>
      <c r="CC62"/>
      <c r="CD62" s="781" t="str">
        <f t="shared" si="15"/>
        <v>►</v>
      </c>
      <c r="CE62" s="6855" t="s">
        <v>8075</v>
      </c>
      <c r="CF62" s="6855"/>
      <c r="CG62" s="6855"/>
      <c r="CH62" s="6855"/>
      <c r="CI62" s="6855"/>
      <c r="CJ62" s="719"/>
      <c r="CK62" s="832" t="s">
        <v>1693</v>
      </c>
      <c r="CL62" s="833" t="s">
        <v>1694</v>
      </c>
      <c r="CM62" s="834"/>
      <c r="CN62" s="834"/>
      <c r="CO62" s="834"/>
      <c r="CP62"/>
      <c r="CQ62" s="592"/>
      <c r="CS62" s="832" t="s">
        <v>1695</v>
      </c>
      <c r="CT62" s="833" t="s">
        <v>1694</v>
      </c>
      <c r="CU62" s="834"/>
      <c r="CV62" s="834"/>
      <c r="CW62" s="834"/>
      <c r="CX62"/>
      <c r="CY62" s="592"/>
      <c r="DA62" s="832" t="s">
        <v>1696</v>
      </c>
      <c r="DB62" s="833" t="s">
        <v>1694</v>
      </c>
      <c r="DC62" s="834"/>
      <c r="DD62" s="834"/>
      <c r="DE62" s="834"/>
      <c r="DF62"/>
      <c r="DG62" s="592"/>
      <c r="DI62" s="3">
        <v>1</v>
      </c>
    </row>
    <row r="63" spans="1:113" s="627" customFormat="1" ht="21" customHeight="1" thickBot="1">
      <c r="A63" s="701" t="s">
        <v>21</v>
      </c>
      <c r="B63" s="2265" t="str" cm="1">
        <f t="array" ref="B63">SUMPRODUCT(--(D63:J63&lt;&gt;""), LEN(TRIM(SUBSTITUTE(D63:J63, CHAR(160), "")))) &amp; " Car."</f>
        <v>0 Car.</v>
      </c>
      <c r="C63" s="1376" t="str">
        <f>IF(ISBLANK(D63),"",LARGE(C13:C62,1)+1)</f>
        <v/>
      </c>
      <c r="D63" s="1833"/>
      <c r="E63" s="1810"/>
      <c r="F63" s="1810"/>
      <c r="G63" s="1810"/>
      <c r="H63" s="1810"/>
      <c r="I63" s="1810"/>
      <c r="J63" s="1810"/>
      <c r="K63" s="1810"/>
      <c r="L63" s="1811"/>
      <c r="M63" s="9"/>
      <c r="N63" s="162" t="str">
        <f t="shared" si="16"/>
        <v>►</v>
      </c>
      <c r="O63" s="1616">
        <v>1</v>
      </c>
      <c r="P63" s="9"/>
      <c r="Q63" s="25" t="s">
        <v>15</v>
      </c>
      <c r="R63" s="2237"/>
      <c r="S63" s="2237"/>
      <c r="T63" s="2237"/>
      <c r="U63" s="2237"/>
      <c r="V63" s="2240"/>
      <c r="W63" s="2241"/>
      <c r="X63" s="2239"/>
      <c r="Y63" s="2242"/>
      <c r="Z63" s="2250"/>
      <c r="AA63" s="2244"/>
      <c r="AB63" s="2244"/>
      <c r="AC63" s="2245"/>
      <c r="AD63" s="2246"/>
      <c r="AE63" s="2247"/>
      <c r="AF63" s="2248"/>
      <c r="AG63" s="2249"/>
      <c r="AH63" s="2249"/>
      <c r="AI63" s="2238"/>
      <c r="AJ63" s="2264"/>
      <c r="AK63" s="6120" t="str">
        <f t="shared" si="19"/>
        <v>►</v>
      </c>
      <c r="AL63" s="781" t="str">
        <f t="shared" si="21"/>
        <v>►</v>
      </c>
      <c r="AM63" s="5499" t="str">
        <f t="shared" si="22"/>
        <v/>
      </c>
      <c r="AN63" s="783" t="str">
        <f t="shared" si="38"/>
        <v/>
      </c>
      <c r="AO63" s="782" t="str">
        <f t="shared" si="24"/>
        <v/>
      </c>
      <c r="AP63" s="783" t="str">
        <f t="shared" si="25"/>
        <v/>
      </c>
      <c r="AQ63" s="2083" t="b">
        <f>AND(Q63="A",COUNTIF(BP16:BR63,TRIM(Z63))&gt;0)</f>
        <v>0</v>
      </c>
      <c r="AR63" s="797" t="str">
        <f>IF(AL63&lt;&gt;"A","",IFERROR(IFERROR(_xlfn.XLOOKUP(TRIM(SUBSTITUTE(Z63,CHAR(160)," ")),BP16:BP63,BS16:BS63),IFERROR(_xlfn.XLOOKUP(TRIM(SUBSTITUTE(Z63,CHAR(160)," ")),BQ16:BQ63,BS16:BS63),_xlfn.XLOOKUP(TRIM(SUBSTITUTE(Z63,CHAR(160)," ")),BR16:BR63,BS16:BS63)))*Y63*IF(ISBLANK(V63),1,V63),0))</f>
        <v/>
      </c>
      <c r="AS63" s="784" t="str">
        <f t="shared" si="26"/>
        <v/>
      </c>
      <c r="AT63" s="1315" t="str">
        <f t="shared" si="27"/>
        <v/>
      </c>
      <c r="AU63" s="785">
        <f t="shared" si="28"/>
        <v>0</v>
      </c>
      <c r="AV63" s="785">
        <f t="shared" si="29"/>
        <v>0</v>
      </c>
      <c r="AW63" s="786">
        <f>IF(AK63="A",AY10,0)</f>
        <v>0</v>
      </c>
      <c r="AX63" s="5495" t="str">
        <f>IF(IFERROR(SEARCH("Adresse PC",TRIM(W63)),0)&gt;0,"▼ receta siguiente",IF(AK63="A",IF(AZ10&lt;&gt;"",AZ10&amp;" - ou.or.o ❾ + or - &gt;",""),""))</f>
        <v/>
      </c>
      <c r="AY63" s="810"/>
      <c r="AZ63" s="810"/>
      <c r="BA63" s="788" t="str">
        <f t="shared" si="30"/>
        <v/>
      </c>
      <c r="BB63" s="789" t="str">
        <f>IF(AK63="A",IF(AQ63,IF(AND(AW63&lt;&gt;"",N(AW63)&gt;0),IFERROR(IFERROR(_xlfn.XLOOKUP(AP63,BP10:BP57,BT10:BT57),IFERROR(_xlfn.XLOOKUP(AP63,BQ10:BQ57,BT10:BT57),_xlfn.XLOOKUP(AP63,BR10:BR57,BT10:BT57,""))),""),""),""),"")</f>
        <v/>
      </c>
      <c r="BC63" s="811" cm="1">
        <f t="array" ref="BC63">IF(NOT(AQ63),0,IF(OR(BA63="",N(BA63)&lt;=0.000000001),"",IF(OR(AU63="",N(AU63)&lt;=0.000000001),0,IF(ISNUMBER(BA63),IFERROR(_xlfn.LET(_xlpm.ai_test,TRIM(AP63),_xlpm.r,IFERROR(_xlfn.XLOOKUP(_xlpm.ai_test,BP16:BP63,ROW(BP16:BP63),0,1),IFERROR(_xlfn.XLOOKUP(_xlpm.ai_test,BQ16:BQ63,ROW(BQ16:BQ63),0,1),_xlfn.XLOOKUP(_xlpm.ai_test,BR16:BR63,ROW(BR16:BR63),0,1))),_xlpm.p,_xlpm.r-MIN(ROW(BP16:BP63))+1,_xlpm.f,INDEX(BS16:BS63,_xlpm.p),_xlpm.u,INDEX(BT16:BT63,_xlpm.p),_xlpm.s,INDEX(BV16:BV63,_xlpm.p),_xlpm.q,N(BA63)/_xlpm.f,IF(_xlpm.q&gt;=_xlpm.s,ROUND(_xlpm.q,1)&amp;" "&amp;_xlpm.ai_test&amp;" = "&amp;ROUND(_xlpm.q*_xlpm.f,1)&amp;" "&amp;_xlpm.u,ROUND(_xlpm.q,1)&amp;" "&amp;_xlpm.ai_test)),""),""))))</f>
        <v>0</v>
      </c>
      <c r="BD63" s="801"/>
      <c r="BE63" s="788" t="str">
        <f t="shared" si="31"/>
        <v/>
      </c>
      <c r="BF63" s="789" t="str">
        <f t="shared" si="42"/>
        <v/>
      </c>
      <c r="BG63" s="790">
        <f t="shared" si="43"/>
        <v>0</v>
      </c>
      <c r="BH63" s="791" t="str">
        <f t="shared" si="44"/>
        <v/>
      </c>
      <c r="BI63" s="792"/>
      <c r="BJ63" s="793">
        <f t="shared" si="45"/>
        <v>0</v>
      </c>
      <c r="BK63" s="794" t="str">
        <f t="shared" si="39"/>
        <v/>
      </c>
      <c r="BL63" s="227" t="s">
        <v>21</v>
      </c>
      <c r="BM63" s="773">
        <f t="shared" si="36"/>
        <v>0</v>
      </c>
      <c r="BN63" s="774">
        <f t="shared" si="37"/>
        <v>0</v>
      </c>
      <c r="BO63" s="630"/>
      <c r="BP63" s="829" t="s">
        <v>1742</v>
      </c>
      <c r="BQ63" s="829" t="s">
        <v>1742</v>
      </c>
      <c r="BR63" s="829" t="s">
        <v>1743</v>
      </c>
      <c r="BS63" s="847">
        <f t="shared" si="41"/>
        <v>2.9569999999999999E-2</v>
      </c>
      <c r="BT63" s="848" t="s">
        <v>1621</v>
      </c>
      <c r="BU63" s="848" t="s">
        <v>1622</v>
      </c>
      <c r="BV63" s="849">
        <f t="shared" si="40"/>
        <v>34</v>
      </c>
      <c r="BW63" s="850">
        <v>29.57</v>
      </c>
      <c r="BX63"/>
      <c r="BY63"/>
      <c r="BZ63"/>
      <c r="CA63"/>
      <c r="CB63"/>
      <c r="CC63"/>
      <c r="CD63" s="781" t="str">
        <f t="shared" si="15"/>
        <v>►</v>
      </c>
      <c r="CE63" s="6855"/>
      <c r="CF63" s="6855"/>
      <c r="CG63" s="6855"/>
      <c r="CH63" s="6855"/>
      <c r="CI63" s="6855"/>
      <c r="CJ63" s="719"/>
      <c r="CK63" s="645"/>
      <c r="CL63" s="117"/>
      <c r="CM63" s="117"/>
      <c r="CN63" s="117"/>
      <c r="CO63" s="117"/>
      <c r="CP63" s="117"/>
      <c r="CQ63" s="644"/>
      <c r="CS63" s="645"/>
      <c r="CT63" s="117"/>
      <c r="CU63" s="117"/>
      <c r="CV63" s="117"/>
      <c r="CW63" s="117"/>
      <c r="CX63" s="117"/>
      <c r="CY63" s="644"/>
      <c r="DA63" s="645"/>
      <c r="DB63" s="117"/>
      <c r="DC63" s="117"/>
      <c r="DD63" s="117"/>
      <c r="DE63" s="117"/>
      <c r="DF63" s="117"/>
      <c r="DG63" s="644"/>
      <c r="DI63" s="3">
        <v>1</v>
      </c>
    </row>
    <row r="64" spans="1:113" s="627" customFormat="1" ht="21" customHeight="1">
      <c r="A64" s="701" t="s">
        <v>21</v>
      </c>
      <c r="B64" s="2265" t="str" cm="1">
        <f t="array" ref="B64">SUMPRODUCT(--(D64:J64&lt;&gt;""), LEN(TRIM(SUBSTITUTE(D64:J64, CHAR(160), "")))) &amp; " Car."</f>
        <v>0 Car.</v>
      </c>
      <c r="C64" s="1376" t="str">
        <f>IF(ISBLANK(D64),"",LARGE(C13:C63,1)+1)</f>
        <v/>
      </c>
      <c r="D64" s="1833"/>
      <c r="E64" s="1810"/>
      <c r="F64" s="1810"/>
      <c r="G64" s="1810"/>
      <c r="H64" s="1810"/>
      <c r="I64" s="1810"/>
      <c r="J64" s="1810"/>
      <c r="K64" s="1810"/>
      <c r="L64" s="1811"/>
      <c r="M64" s="9"/>
      <c r="N64" s="162" t="str">
        <f t="shared" si="16"/>
        <v>►</v>
      </c>
      <c r="O64" s="2188"/>
      <c r="P64" s="9"/>
      <c r="Q64" s="25" t="s">
        <v>15</v>
      </c>
      <c r="R64" s="2237"/>
      <c r="S64" s="2237"/>
      <c r="T64" s="2237"/>
      <c r="U64" s="2237"/>
      <c r="V64" s="2240"/>
      <c r="W64" s="2241"/>
      <c r="X64" s="2239"/>
      <c r="Y64" s="2242"/>
      <c r="Z64" s="2250"/>
      <c r="AA64" s="2244"/>
      <c r="AB64" s="2244"/>
      <c r="AC64" s="2245"/>
      <c r="AD64" s="2246"/>
      <c r="AE64" s="2247"/>
      <c r="AF64" s="2248"/>
      <c r="AG64" s="2249"/>
      <c r="AH64" s="2249"/>
      <c r="AI64" s="2238"/>
      <c r="AJ64" s="2264"/>
      <c r="AK64" s="6120" t="str">
        <f t="shared" si="19"/>
        <v>►</v>
      </c>
      <c r="AL64" s="781" t="str">
        <f t="shared" si="21"/>
        <v>►</v>
      </c>
      <c r="AM64" s="5498" t="str">
        <f t="shared" si="22"/>
        <v/>
      </c>
      <c r="AN64" s="783" t="str">
        <f t="shared" si="38"/>
        <v/>
      </c>
      <c r="AO64" s="782" t="str">
        <f t="shared" si="24"/>
        <v/>
      </c>
      <c r="AP64" s="783" t="str">
        <f t="shared" si="25"/>
        <v/>
      </c>
      <c r="AQ64" s="2083" t="b">
        <f>AND(Q64="A",COUNTIF(BP16:BR63,TRIM(Z64))&gt;0)</f>
        <v>0</v>
      </c>
      <c r="AR64" s="797" t="str">
        <f>IF(AL64&lt;&gt;"A","",IFERROR(IFERROR(_xlfn.XLOOKUP(TRIM(SUBSTITUTE(Z64,CHAR(160)," ")),BP16:BP63,BS16:BS63),IFERROR(_xlfn.XLOOKUP(TRIM(SUBSTITUTE(Z64,CHAR(160)," ")),BQ16:BQ63,BS16:BS63),_xlfn.XLOOKUP(TRIM(SUBSTITUTE(Z64,CHAR(160)," ")),BR16:BR63,BS16:BS63)))*Y64*IF(ISBLANK(V64),1,V64),0))</f>
        <v/>
      </c>
      <c r="AS64" s="784" t="str">
        <f t="shared" si="26"/>
        <v/>
      </c>
      <c r="AT64" s="1315" t="str">
        <f t="shared" si="27"/>
        <v/>
      </c>
      <c r="AU64" s="785">
        <f t="shared" si="28"/>
        <v>0</v>
      </c>
      <c r="AV64" s="785">
        <f t="shared" si="29"/>
        <v>0</v>
      </c>
      <c r="AW64" s="798">
        <f>IF(AK64="A",AY10,0)</f>
        <v>0</v>
      </c>
      <c r="AX64" s="5496" t="str">
        <f>IF(IFERROR(SEARCH("Adresse PC",TRIM(W64)),0)&gt;0,"▼ receta siguiente",IF(AK64="A",IF(AZ10&lt;&gt;"",AZ10&amp;" - ou.or.o ❾ + or - &gt;",""),""))</f>
        <v/>
      </c>
      <c r="AY64" s="810"/>
      <c r="AZ64" s="810"/>
      <c r="BA64" s="799" t="str">
        <f t="shared" si="30"/>
        <v/>
      </c>
      <c r="BB64" s="800" t="str">
        <f>IF(AK64="A",IF(AQ64,IF(AND(AW64&lt;&gt;"",N(AW64)&gt;0),IFERROR(IFERROR(_xlfn.XLOOKUP(AP64,BP10:BP57,BT10:BT57),IFERROR(_xlfn.XLOOKUP(AP64,BQ10:BQ57,BT10:BT57),_xlfn.XLOOKUP(AP64,BR10:BR57,BT10:BT57,""))),""),""),""),"")</f>
        <v/>
      </c>
      <c r="BC64" s="813" cm="1">
        <f t="array" ref="BC64">IF(NOT(AQ64),0,IF(OR(BA64="",N(BA64)&lt;=0.000000001),"",IF(OR(AU64="",N(AU64)&lt;=0.000000001),0,IF(ISNUMBER(BA64),IFERROR(_xlfn.LET(_xlpm.ai_test,TRIM(AP64),_xlpm.r,IFERROR(_xlfn.XLOOKUP(_xlpm.ai_test,BP16:BP63,ROW(BP16:BP63),0,1),IFERROR(_xlfn.XLOOKUP(_xlpm.ai_test,BQ16:BQ63,ROW(BQ16:BQ63),0,1),_xlfn.XLOOKUP(_xlpm.ai_test,BR16:BR63,ROW(BR16:BR63),0,1))),_xlpm.p,_xlpm.r-MIN(ROW(BP16:BP63))+1,_xlpm.f,INDEX(BS16:BS63,_xlpm.p),_xlpm.u,INDEX(BT16:BT63,_xlpm.p),_xlpm.s,INDEX(BV16:BV63,_xlpm.p),_xlpm.q,N(BA64)/_xlpm.f,IF(_xlpm.q&gt;=_xlpm.s,ROUND(_xlpm.q,1)&amp;" "&amp;_xlpm.ai_test&amp;" = "&amp;ROUND(_xlpm.q*_xlpm.f,1)&amp;" "&amp;_xlpm.u,ROUND(_xlpm.q,1)&amp;" "&amp;_xlpm.ai_test)),""),""))))</f>
        <v>0</v>
      </c>
      <c r="BD64" s="801"/>
      <c r="BE64" s="799" t="str">
        <f t="shared" si="31"/>
        <v/>
      </c>
      <c r="BF64" s="800" t="str">
        <f t="shared" si="42"/>
        <v/>
      </c>
      <c r="BG64" s="802">
        <f t="shared" si="43"/>
        <v>0</v>
      </c>
      <c r="BH64" s="803" t="str">
        <f t="shared" si="44"/>
        <v/>
      </c>
      <c r="BI64" s="792"/>
      <c r="BJ64" s="804">
        <f t="shared" si="45"/>
        <v>0</v>
      </c>
      <c r="BK64" s="794" t="str">
        <f t="shared" si="39"/>
        <v/>
      </c>
      <c r="BL64" s="227" t="s">
        <v>21</v>
      </c>
      <c r="BM64" s="773">
        <f t="shared" si="36"/>
        <v>0</v>
      </c>
      <c r="BN64" s="774">
        <f t="shared" si="37"/>
        <v>0</v>
      </c>
      <c r="BO64" s="630"/>
      <c r="BP64" s="6856" t="s">
        <v>1751</v>
      </c>
      <c r="BQ64" s="6856"/>
      <c r="BR64" s="6856"/>
      <c r="BS64" s="6856"/>
      <c r="BT64" s="6856"/>
      <c r="BU64" s="6856"/>
      <c r="BV64" s="6856"/>
      <c r="BW64" s="6856"/>
      <c r="BX64"/>
      <c r="BY64"/>
      <c r="BZ64"/>
      <c r="CA64"/>
      <c r="CB64"/>
      <c r="CC64"/>
      <c r="CD64" s="781" t="str">
        <f t="shared" si="15"/>
        <v>►</v>
      </c>
      <c r="CE64" s="818"/>
      <c r="CF64" s="634"/>
      <c r="CG64" s="634"/>
      <c r="CH64" s="635"/>
      <c r="CI64" s="635"/>
      <c r="CJ64" s="719"/>
      <c r="CK64" s="835" t="s">
        <v>1700</v>
      </c>
      <c r="CL64" s="836"/>
      <c r="CM64" s="836"/>
      <c r="CN64" s="836"/>
      <c r="CO64" s="836"/>
      <c r="CP64" s="836"/>
      <c r="CQ64" s="837"/>
      <c r="CS64" s="835" t="s">
        <v>1701</v>
      </c>
      <c r="CT64" s="836"/>
      <c r="CU64" s="836"/>
      <c r="CV64" s="836"/>
      <c r="CW64" s="836"/>
      <c r="CX64" s="836"/>
      <c r="CY64" s="837"/>
      <c r="DA64" s="835" t="s">
        <v>1702</v>
      </c>
      <c r="DB64" s="836"/>
      <c r="DC64" s="836"/>
      <c r="DD64" s="836"/>
      <c r="DE64" s="836"/>
      <c r="DF64" s="836"/>
      <c r="DG64" s="837"/>
      <c r="DI64" s="3">
        <v>1</v>
      </c>
    </row>
    <row r="65" spans="1:113" s="627" customFormat="1" ht="21" customHeight="1">
      <c r="A65" s="701" t="s">
        <v>21</v>
      </c>
      <c r="B65" s="2265" t="str" cm="1">
        <f t="array" ref="B65">SUMPRODUCT(--(D65:J65&lt;&gt;""), LEN(TRIM(SUBSTITUTE(D65:J65, CHAR(160), "")))) &amp; " Car."</f>
        <v>0 Car.</v>
      </c>
      <c r="C65" s="1376" t="str">
        <f>IF(ISBLANK(D65),"",LARGE(C13:C64,1)+1)</f>
        <v/>
      </c>
      <c r="D65" s="1833"/>
      <c r="E65" s="1810"/>
      <c r="F65" s="1810"/>
      <c r="G65" s="1810"/>
      <c r="H65" s="1810"/>
      <c r="I65" s="1810"/>
      <c r="J65" s="1810"/>
      <c r="K65" s="1810"/>
      <c r="L65" s="1811"/>
      <c r="M65" s="9"/>
      <c r="N65" s="162" t="str">
        <f t="shared" si="16"/>
        <v>►</v>
      </c>
      <c r="O65" s="2188"/>
      <c r="P65" s="9"/>
      <c r="Q65" s="25" t="s">
        <v>15</v>
      </c>
      <c r="R65" s="2237"/>
      <c r="S65" s="2237"/>
      <c r="T65" s="2237"/>
      <c r="U65" s="2237"/>
      <c r="V65" s="2240"/>
      <c r="W65" s="2241"/>
      <c r="X65" s="2239"/>
      <c r="Y65" s="2242"/>
      <c r="Z65" s="2250"/>
      <c r="AA65" s="2244"/>
      <c r="AB65" s="2244"/>
      <c r="AC65" s="2245"/>
      <c r="AD65" s="2246"/>
      <c r="AE65" s="2247"/>
      <c r="AF65" s="2248"/>
      <c r="AG65" s="2249"/>
      <c r="AH65" s="2249"/>
      <c r="AI65" s="2238"/>
      <c r="AJ65" s="2264"/>
      <c r="AK65" s="6120" t="str">
        <f t="shared" si="19"/>
        <v>►</v>
      </c>
      <c r="AL65" s="781" t="str">
        <f t="shared" si="21"/>
        <v>►</v>
      </c>
      <c r="AM65" s="5499" t="str">
        <f t="shared" si="22"/>
        <v/>
      </c>
      <c r="AN65" s="783" t="str">
        <f t="shared" si="38"/>
        <v/>
      </c>
      <c r="AO65" s="782" t="str">
        <f t="shared" si="24"/>
        <v/>
      </c>
      <c r="AP65" s="783" t="str">
        <f t="shared" si="25"/>
        <v/>
      </c>
      <c r="AQ65" s="2083" t="b">
        <f>AND(Q65="A",COUNTIF(BP16:BR63,TRIM(Z65))&gt;0)</f>
        <v>0</v>
      </c>
      <c r="AR65" s="797" t="str">
        <f>IF(AL65&lt;&gt;"A","",IFERROR(IFERROR(_xlfn.XLOOKUP(TRIM(SUBSTITUTE(Z65,CHAR(160)," ")),BP16:BP63,BS16:BS63),IFERROR(_xlfn.XLOOKUP(TRIM(SUBSTITUTE(Z65,CHAR(160)," ")),BQ16:BQ63,BS16:BS63),_xlfn.XLOOKUP(TRIM(SUBSTITUTE(Z65,CHAR(160)," ")),BR16:BR63,BS16:BS63)))*Y65*IF(ISBLANK(V65),1,V65),0))</f>
        <v/>
      </c>
      <c r="AS65" s="784" t="str">
        <f t="shared" si="26"/>
        <v/>
      </c>
      <c r="AT65" s="1315" t="str">
        <f t="shared" si="27"/>
        <v/>
      </c>
      <c r="AU65" s="785">
        <f t="shared" si="28"/>
        <v>0</v>
      </c>
      <c r="AV65" s="785">
        <f t="shared" si="29"/>
        <v>0</v>
      </c>
      <c r="AW65" s="786">
        <f>IF(AK65="A",AY10,0)</f>
        <v>0</v>
      </c>
      <c r="AX65" s="5495" t="str">
        <f>IF(IFERROR(SEARCH("Adresse PC",TRIM(W65)),0)&gt;0,"▼ receta siguiente",IF(AK65="A",IF(AZ10&lt;&gt;"",AZ10&amp;" - ou.or.o ❾ + or - &gt;",""),""))</f>
        <v/>
      </c>
      <c r="AY65" s="810"/>
      <c r="AZ65" s="810"/>
      <c r="BA65" s="788" t="str">
        <f t="shared" si="30"/>
        <v/>
      </c>
      <c r="BB65" s="789" t="str">
        <f>IF(AK65="A",IF(AQ65,IF(AND(AW65&lt;&gt;"",N(AW65)&gt;0),IFERROR(IFERROR(_xlfn.XLOOKUP(AP65,BP10:BP57,BT10:BT57),IFERROR(_xlfn.XLOOKUP(AP65,BQ10:BQ57,BT10:BT57),_xlfn.XLOOKUP(AP65,BR10:BR57,BT10:BT57,""))),""),""),""),"")</f>
        <v/>
      </c>
      <c r="BC65" s="811" cm="1">
        <f t="array" ref="BC65">IF(NOT(AQ65),0,IF(OR(BA65="",N(BA65)&lt;=0.000000001),"",IF(OR(AU65="",N(AU65)&lt;=0.000000001),0,IF(ISNUMBER(BA65),IFERROR(_xlfn.LET(_xlpm.ai_test,TRIM(AP65),_xlpm.r,IFERROR(_xlfn.XLOOKUP(_xlpm.ai_test,BP16:BP63,ROW(BP16:BP63),0,1),IFERROR(_xlfn.XLOOKUP(_xlpm.ai_test,BQ16:BQ63,ROW(BQ16:BQ63),0,1),_xlfn.XLOOKUP(_xlpm.ai_test,BR16:BR63,ROW(BR16:BR63),0,1))),_xlpm.p,_xlpm.r-MIN(ROW(BP16:BP63))+1,_xlpm.f,INDEX(BS16:BS63,_xlpm.p),_xlpm.u,INDEX(BT16:BT63,_xlpm.p),_xlpm.s,INDEX(BV16:BV63,_xlpm.p),_xlpm.q,N(BA65)/_xlpm.f,IF(_xlpm.q&gt;=_xlpm.s,ROUND(_xlpm.q,1)&amp;" "&amp;_xlpm.ai_test&amp;" = "&amp;ROUND(_xlpm.q*_xlpm.f,1)&amp;" "&amp;_xlpm.u,ROUND(_xlpm.q,1)&amp;" "&amp;_xlpm.ai_test)),""),""))))</f>
        <v>0</v>
      </c>
      <c r="BD65" s="801"/>
      <c r="BE65" s="788" t="str">
        <f t="shared" si="31"/>
        <v/>
      </c>
      <c r="BF65" s="789" t="str">
        <f t="shared" si="42"/>
        <v/>
      </c>
      <c r="BG65" s="790">
        <f t="shared" si="43"/>
        <v>0</v>
      </c>
      <c r="BH65" s="791" t="str">
        <f t="shared" si="44"/>
        <v/>
      </c>
      <c r="BI65" s="792"/>
      <c r="BJ65" s="793">
        <f t="shared" si="45"/>
        <v>0</v>
      </c>
      <c r="BK65" s="794" t="str">
        <f t="shared" si="39"/>
        <v/>
      </c>
      <c r="BL65" s="227" t="s">
        <v>21</v>
      </c>
      <c r="BM65" s="773">
        <f t="shared" si="36"/>
        <v>0</v>
      </c>
      <c r="BN65" s="774">
        <f t="shared" si="37"/>
        <v>0</v>
      </c>
      <c r="BO65" s="630"/>
      <c r="BP65" s="6856"/>
      <c r="BQ65" s="6856"/>
      <c r="BR65" s="6856"/>
      <c r="BS65" s="6856"/>
      <c r="BT65" s="6856"/>
      <c r="BU65" s="6856"/>
      <c r="BV65" s="6856"/>
      <c r="BW65" s="6856"/>
      <c r="BX65"/>
      <c r="BY65"/>
      <c r="BZ65"/>
      <c r="CA65"/>
      <c r="CB65"/>
      <c r="CC65"/>
      <c r="CD65" s="781" t="str">
        <f t="shared" si="15"/>
        <v>►</v>
      </c>
      <c r="CE65" s="6857" t="s">
        <v>8074</v>
      </c>
      <c r="CF65" s="6857"/>
      <c r="CG65" s="6857"/>
      <c r="CH65" s="6857"/>
      <c r="CI65" s="6857"/>
      <c r="CJ65" s="719"/>
      <c r="CK65" s="838" t="s">
        <v>1704</v>
      </c>
      <c r="CL65" s="836"/>
      <c r="CM65" s="836"/>
      <c r="CN65" s="836"/>
      <c r="CO65" s="836"/>
      <c r="CP65" s="836"/>
      <c r="CQ65" s="839" t="s">
        <v>1705</v>
      </c>
      <c r="CS65" s="838" t="s">
        <v>1706</v>
      </c>
      <c r="CT65" s="836"/>
      <c r="CU65" s="836"/>
      <c r="CV65" s="836"/>
      <c r="CW65" s="836"/>
      <c r="CX65" s="836"/>
      <c r="CY65" s="839" t="s">
        <v>1707</v>
      </c>
      <c r="DA65" s="838" t="s">
        <v>1708</v>
      </c>
      <c r="DB65" s="836"/>
      <c r="DC65" s="836"/>
      <c r="DD65" s="836"/>
      <c r="DE65" s="836"/>
      <c r="DF65" s="836"/>
      <c r="DG65" s="839" t="s">
        <v>1709</v>
      </c>
      <c r="DI65" s="3">
        <v>1</v>
      </c>
    </row>
    <row r="66" spans="1:113" s="627" customFormat="1" ht="21" customHeight="1">
      <c r="A66" s="701" t="s">
        <v>21</v>
      </c>
      <c r="B66" s="2265" t="str" cm="1">
        <f t="array" ref="B66">SUMPRODUCT(--(D66:J66&lt;&gt;""), LEN(TRIM(SUBSTITUTE(D66:J66, CHAR(160), "")))) &amp; " Car."</f>
        <v>0 Car.</v>
      </c>
      <c r="C66" s="1376" t="str">
        <f>IF(ISBLANK(D66),"",LARGE(C13:C65,1)+1)</f>
        <v/>
      </c>
      <c r="D66" s="1833"/>
      <c r="E66" s="1810"/>
      <c r="F66" s="1810"/>
      <c r="G66" s="1810"/>
      <c r="H66" s="1810"/>
      <c r="I66" s="1810"/>
      <c r="J66" s="1810"/>
      <c r="K66" s="1810"/>
      <c r="L66" s="1811"/>
      <c r="M66" s="9"/>
      <c r="N66" s="162" t="str">
        <f t="shared" si="16"/>
        <v>►</v>
      </c>
      <c r="O66" s="2188"/>
      <c r="P66" s="9"/>
      <c r="Q66" s="25" t="s">
        <v>15</v>
      </c>
      <c r="R66" s="2237"/>
      <c r="S66" s="2237"/>
      <c r="T66" s="2237"/>
      <c r="U66" s="2237"/>
      <c r="V66" s="2240"/>
      <c r="W66" s="2241"/>
      <c r="X66" s="2239"/>
      <c r="Y66" s="2242"/>
      <c r="Z66" s="2250"/>
      <c r="AA66" s="2244"/>
      <c r="AB66" s="2244"/>
      <c r="AC66" s="2245"/>
      <c r="AD66" s="2246"/>
      <c r="AE66" s="2247"/>
      <c r="AF66" s="2248"/>
      <c r="AG66" s="2249"/>
      <c r="AH66" s="2249"/>
      <c r="AI66" s="2238"/>
      <c r="AJ66" s="2264"/>
      <c r="AK66" s="6120" t="str">
        <f t="shared" si="19"/>
        <v>►</v>
      </c>
      <c r="AL66" s="781" t="str">
        <f t="shared" si="21"/>
        <v>►</v>
      </c>
      <c r="AM66" s="5498" t="str">
        <f t="shared" si="22"/>
        <v/>
      </c>
      <c r="AN66" s="783" t="str">
        <f t="shared" si="38"/>
        <v/>
      </c>
      <c r="AO66" s="782" t="str">
        <f t="shared" si="24"/>
        <v/>
      </c>
      <c r="AP66" s="783" t="str">
        <f t="shared" si="25"/>
        <v/>
      </c>
      <c r="AQ66" s="2083" t="b">
        <f>AND(Q66="A",COUNTIF(BP16:BR63,TRIM(Z66))&gt;0)</f>
        <v>0</v>
      </c>
      <c r="AR66" s="797" t="str">
        <f>IF(AL66&lt;&gt;"A","",IFERROR(IFERROR(_xlfn.XLOOKUP(TRIM(SUBSTITUTE(Z66,CHAR(160)," ")),BP16:BP63,BS16:BS63),IFERROR(_xlfn.XLOOKUP(TRIM(SUBSTITUTE(Z66,CHAR(160)," ")),BQ16:BQ63,BS16:BS63),_xlfn.XLOOKUP(TRIM(SUBSTITUTE(Z66,CHAR(160)," ")),BR16:BR63,BS16:BS63)))*Y66*IF(ISBLANK(V66),1,V66),0))</f>
        <v/>
      </c>
      <c r="AS66" s="784" t="str">
        <f t="shared" si="26"/>
        <v/>
      </c>
      <c r="AT66" s="1315" t="str">
        <f t="shared" si="27"/>
        <v/>
      </c>
      <c r="AU66" s="785">
        <f t="shared" si="28"/>
        <v>0</v>
      </c>
      <c r="AV66" s="785">
        <f t="shared" si="29"/>
        <v>0</v>
      </c>
      <c r="AW66" s="798">
        <f>IF(AK66="A",AY10,0)</f>
        <v>0</v>
      </c>
      <c r="AX66" s="5496" t="str">
        <f>IF(IFERROR(SEARCH("Adresse PC",TRIM(W66)),0)&gt;0,"▼ receta siguiente",IF(AK66="A",IF(AZ10&lt;&gt;"",AZ10&amp;" - ou.or.o ❾ + or - &gt;",""),""))</f>
        <v/>
      </c>
      <c r="AY66" s="810"/>
      <c r="AZ66" s="810"/>
      <c r="BA66" s="799" t="str">
        <f t="shared" si="30"/>
        <v/>
      </c>
      <c r="BB66" s="800" t="str">
        <f>IF(AK66="A",IF(AQ66,IF(AND(AW66&lt;&gt;"",N(AW66)&gt;0),IFERROR(IFERROR(_xlfn.XLOOKUP(AP66,BP10:BP57,BT10:BT57),IFERROR(_xlfn.XLOOKUP(AP66,BQ10:BQ57,BT10:BT57),_xlfn.XLOOKUP(AP66,BR10:BR57,BT10:BT57,""))),""),""),""),"")</f>
        <v/>
      </c>
      <c r="BC66" s="813" cm="1">
        <f t="array" ref="BC66">IF(NOT(AQ66),0,IF(OR(BA66="",N(BA66)&lt;=0.000000001),"",IF(OR(AU66="",N(AU66)&lt;=0.000000001),0,IF(ISNUMBER(BA66),IFERROR(_xlfn.LET(_xlpm.ai_test,TRIM(AP66),_xlpm.r,IFERROR(_xlfn.XLOOKUP(_xlpm.ai_test,BP16:BP63,ROW(BP16:BP63),0,1),IFERROR(_xlfn.XLOOKUP(_xlpm.ai_test,BQ16:BQ63,ROW(BQ16:BQ63),0,1),_xlfn.XLOOKUP(_xlpm.ai_test,BR16:BR63,ROW(BR16:BR63),0,1))),_xlpm.p,_xlpm.r-MIN(ROW(BP16:BP63))+1,_xlpm.f,INDEX(BS16:BS63,_xlpm.p),_xlpm.u,INDEX(BT16:BT63,_xlpm.p),_xlpm.s,INDEX(BV16:BV63,_xlpm.p),_xlpm.q,N(BA66)/_xlpm.f,IF(_xlpm.q&gt;=_xlpm.s,ROUND(_xlpm.q,1)&amp;" "&amp;_xlpm.ai_test&amp;" = "&amp;ROUND(_xlpm.q*_xlpm.f,1)&amp;" "&amp;_xlpm.u,ROUND(_xlpm.q,1)&amp;" "&amp;_xlpm.ai_test)),""),""))))</f>
        <v>0</v>
      </c>
      <c r="BD66" s="801"/>
      <c r="BE66" s="799" t="str">
        <f t="shared" si="31"/>
        <v/>
      </c>
      <c r="BF66" s="800" t="str">
        <f t="shared" si="42"/>
        <v/>
      </c>
      <c r="BG66" s="802">
        <f t="shared" si="43"/>
        <v>0</v>
      </c>
      <c r="BH66" s="803" t="str">
        <f t="shared" si="44"/>
        <v/>
      </c>
      <c r="BI66" s="792"/>
      <c r="BJ66" s="804">
        <f t="shared" si="45"/>
        <v>0</v>
      </c>
      <c r="BK66" s="794" t="str">
        <f t="shared" si="39"/>
        <v/>
      </c>
      <c r="BL66" s="227" t="s">
        <v>21</v>
      </c>
      <c r="BM66" s="773">
        <f t="shared" si="36"/>
        <v>0</v>
      </c>
      <c r="BN66" s="774">
        <f t="shared" si="37"/>
        <v>0</v>
      </c>
      <c r="BO66" s="855"/>
      <c r="BP66" s="856" t="s">
        <v>1758</v>
      </c>
      <c r="BQ66" s="856"/>
      <c r="BR66" s="856"/>
      <c r="BS66" s="857"/>
      <c r="BT66" s="858"/>
      <c r="BU66" s="858"/>
      <c r="BV66" s="858"/>
      <c r="BX66"/>
      <c r="BY66"/>
      <c r="BZ66"/>
      <c r="CA66"/>
      <c r="CB66"/>
      <c r="CC66"/>
      <c r="CD66" s="781" t="str">
        <f t="shared" si="15"/>
        <v>►</v>
      </c>
      <c r="CE66" s="6857"/>
      <c r="CF66" s="6857"/>
      <c r="CG66" s="6857"/>
      <c r="CH66" s="6857"/>
      <c r="CI66" s="6857"/>
      <c r="CJ66" s="719"/>
      <c r="CK66" s="838" t="s">
        <v>1712</v>
      </c>
      <c r="CL66" s="836"/>
      <c r="CM66" s="836"/>
      <c r="CN66" s="836"/>
      <c r="CO66" s="836"/>
      <c r="CP66" s="836"/>
      <c r="CQ66" s="839" t="s">
        <v>1713</v>
      </c>
      <c r="CS66" s="838" t="s">
        <v>1714</v>
      </c>
      <c r="CT66" s="836"/>
      <c r="CU66" s="836"/>
      <c r="CV66" s="836"/>
      <c r="CW66" s="836"/>
      <c r="CX66" s="836"/>
      <c r="CY66" s="839" t="s">
        <v>1715</v>
      </c>
      <c r="DA66" s="838" t="s">
        <v>1716</v>
      </c>
      <c r="DB66" s="836"/>
      <c r="DC66" s="836"/>
      <c r="DD66" s="836"/>
      <c r="DE66" s="836"/>
      <c r="DF66" s="836"/>
      <c r="DG66" s="839" t="s">
        <v>1717</v>
      </c>
      <c r="DI66" s="3">
        <v>1</v>
      </c>
    </row>
    <row r="67" spans="1:113" s="627" customFormat="1" ht="21" customHeight="1">
      <c r="A67" s="701" t="s">
        <v>21</v>
      </c>
      <c r="B67" s="2265" t="str" cm="1">
        <f t="array" ref="B67">SUMPRODUCT(--(D67:J67&lt;&gt;""), LEN(TRIM(SUBSTITUTE(D67:J67, CHAR(160), "")))) &amp; " Car."</f>
        <v>0 Car.</v>
      </c>
      <c r="C67" s="1376" t="str">
        <f>IF(ISBLANK(D67),"",LARGE(C13:C66,1)+1)</f>
        <v/>
      </c>
      <c r="D67" s="1833"/>
      <c r="E67" s="1810"/>
      <c r="F67" s="1810"/>
      <c r="G67" s="1810"/>
      <c r="H67" s="1810"/>
      <c r="I67" s="1810"/>
      <c r="J67" s="1810"/>
      <c r="K67" s="1810"/>
      <c r="L67" s="1811"/>
      <c r="M67" s="9"/>
      <c r="N67" s="162" t="str">
        <f t="shared" si="16"/>
        <v>►</v>
      </c>
      <c r="O67" s="2188"/>
      <c r="P67" s="9"/>
      <c r="Q67" s="25" t="s">
        <v>15</v>
      </c>
      <c r="R67" s="2237"/>
      <c r="S67" s="2237"/>
      <c r="T67" s="2237"/>
      <c r="U67" s="2237"/>
      <c r="V67" s="2240"/>
      <c r="W67" s="2241"/>
      <c r="X67" s="2239"/>
      <c r="Y67" s="2242"/>
      <c r="Z67" s="2250"/>
      <c r="AA67" s="2244"/>
      <c r="AB67" s="2244"/>
      <c r="AC67" s="2245"/>
      <c r="AD67" s="2246"/>
      <c r="AE67" s="2247"/>
      <c r="AF67" s="2248"/>
      <c r="AG67" s="2249"/>
      <c r="AH67" s="2249"/>
      <c r="AI67" s="2238"/>
      <c r="AJ67" s="2264"/>
      <c r="AK67" s="6120" t="str">
        <f t="shared" si="19"/>
        <v>►</v>
      </c>
      <c r="AL67" s="781" t="str">
        <f t="shared" si="21"/>
        <v>►</v>
      </c>
      <c r="AM67" s="5499" t="str">
        <f t="shared" si="22"/>
        <v/>
      </c>
      <c r="AN67" s="783" t="str">
        <f t="shared" si="38"/>
        <v/>
      </c>
      <c r="AO67" s="782" t="str">
        <f t="shared" si="24"/>
        <v/>
      </c>
      <c r="AP67" s="783" t="str">
        <f t="shared" si="25"/>
        <v/>
      </c>
      <c r="AQ67" s="2083" t="b">
        <f>AND(Q67="A",COUNTIF(BP16:BR63,TRIM(Z67))&gt;0)</f>
        <v>0</v>
      </c>
      <c r="AR67" s="797" t="str">
        <f>IF(AL67&lt;&gt;"A","",IFERROR(IFERROR(_xlfn.XLOOKUP(TRIM(SUBSTITUTE(Z67,CHAR(160)," ")),BP16:BP63,BS16:BS63),IFERROR(_xlfn.XLOOKUP(TRIM(SUBSTITUTE(Z67,CHAR(160)," ")),BQ16:BQ63,BS16:BS63),_xlfn.XLOOKUP(TRIM(SUBSTITUTE(Z67,CHAR(160)," ")),BR16:BR63,BS16:BS63)))*Y67*IF(ISBLANK(V67),1,V67),0))</f>
        <v/>
      </c>
      <c r="AS67" s="784" t="str">
        <f t="shared" si="26"/>
        <v/>
      </c>
      <c r="AT67" s="1315" t="str">
        <f t="shared" si="27"/>
        <v/>
      </c>
      <c r="AU67" s="785">
        <f t="shared" si="28"/>
        <v>0</v>
      </c>
      <c r="AV67" s="785">
        <f t="shared" si="29"/>
        <v>0</v>
      </c>
      <c r="AW67" s="786">
        <f>IF(AK67="A",AY10,0)</f>
        <v>0</v>
      </c>
      <c r="AX67" s="5495" t="str">
        <f>IF(IFERROR(SEARCH("Adresse PC",TRIM(W67)),0)&gt;0,"▼ receta siguiente",IF(AK67="A",IF(AZ10&lt;&gt;"",AZ10&amp;" - ou.or.o ❾ + or - &gt;",""),""))</f>
        <v/>
      </c>
      <c r="AY67" s="810"/>
      <c r="AZ67" s="810"/>
      <c r="BA67" s="788" t="str">
        <f t="shared" si="30"/>
        <v/>
      </c>
      <c r="BB67" s="789" t="str">
        <f>IF(AK67="A",IF(AQ67,IF(AND(AW67&lt;&gt;"",N(AW67)&gt;0),IFERROR(IFERROR(_xlfn.XLOOKUP(AP67,BP10:BP57,BT10:BT57),IFERROR(_xlfn.XLOOKUP(AP67,BQ10:BQ57,BT10:BT57),_xlfn.XLOOKUP(AP67,BR10:BR57,BT10:BT57,""))),""),""),""),"")</f>
        <v/>
      </c>
      <c r="BC67" s="811" cm="1">
        <f t="array" ref="BC67">IF(NOT(AQ67),0,IF(OR(BA67="",N(BA67)&lt;=0.000000001),"",IF(OR(AU67="",N(AU67)&lt;=0.000000001),0,IF(ISNUMBER(BA67),IFERROR(_xlfn.LET(_xlpm.ai_test,TRIM(AP67),_xlpm.r,IFERROR(_xlfn.XLOOKUP(_xlpm.ai_test,BP16:BP63,ROW(BP16:BP63),0,1),IFERROR(_xlfn.XLOOKUP(_xlpm.ai_test,BQ16:BQ63,ROW(BQ16:BQ63),0,1),_xlfn.XLOOKUP(_xlpm.ai_test,BR16:BR63,ROW(BR16:BR63),0,1))),_xlpm.p,_xlpm.r-MIN(ROW(BP16:BP63))+1,_xlpm.f,INDEX(BS16:BS63,_xlpm.p),_xlpm.u,INDEX(BT16:BT63,_xlpm.p),_xlpm.s,INDEX(BV16:BV63,_xlpm.p),_xlpm.q,N(BA67)/_xlpm.f,IF(_xlpm.q&gt;=_xlpm.s,ROUND(_xlpm.q,1)&amp;" "&amp;_xlpm.ai_test&amp;" = "&amp;ROUND(_xlpm.q*_xlpm.f,1)&amp;" "&amp;_xlpm.u,ROUND(_xlpm.q,1)&amp;" "&amp;_xlpm.ai_test)),""),""))))</f>
        <v>0</v>
      </c>
      <c r="BD67" s="801"/>
      <c r="BE67" s="788" t="str">
        <f t="shared" si="31"/>
        <v/>
      </c>
      <c r="BF67" s="789" t="str">
        <f t="shared" si="42"/>
        <v/>
      </c>
      <c r="BG67" s="790">
        <f t="shared" si="43"/>
        <v>0</v>
      </c>
      <c r="BH67" s="791" t="str">
        <f t="shared" si="44"/>
        <v/>
      </c>
      <c r="BI67" s="792"/>
      <c r="BJ67" s="793">
        <f t="shared" si="45"/>
        <v>0</v>
      </c>
      <c r="BK67" s="794" t="str">
        <f t="shared" si="39"/>
        <v/>
      </c>
      <c r="BL67" s="227" t="s">
        <v>21</v>
      </c>
      <c r="BM67" s="773">
        <f t="shared" si="36"/>
        <v>0</v>
      </c>
      <c r="BN67" s="774">
        <f t="shared" si="37"/>
        <v>0</v>
      </c>
      <c r="BO67" s="855"/>
      <c r="BP67" s="229"/>
      <c r="BQ67" s="229"/>
      <c r="BR67" s="229"/>
      <c r="BS67" s="229"/>
      <c r="BT67" s="229"/>
      <c r="BU67" s="229"/>
      <c r="BV67" s="229"/>
      <c r="BW67" s="229"/>
      <c r="BX67"/>
      <c r="BY67"/>
      <c r="BZ67"/>
      <c r="CA67"/>
      <c r="CB67"/>
      <c r="CC67"/>
      <c r="CD67" s="781" t="str">
        <f t="shared" si="15"/>
        <v>►</v>
      </c>
      <c r="CE67" s="818"/>
      <c r="CF67" s="634"/>
      <c r="CG67" s="634"/>
      <c r="CH67" s="635"/>
      <c r="CI67" s="635"/>
      <c r="CJ67" s="719"/>
      <c r="CK67" s="838" t="s">
        <v>1721</v>
      </c>
      <c r="CL67" s="836"/>
      <c r="CM67" s="836"/>
      <c r="CN67" s="836"/>
      <c r="CO67" s="836"/>
      <c r="CP67" s="836"/>
      <c r="CQ67" s="837"/>
      <c r="CS67" s="838" t="s">
        <v>1722</v>
      </c>
      <c r="CT67" s="836"/>
      <c r="CU67" s="836"/>
      <c r="CV67" s="836"/>
      <c r="CW67" s="836"/>
      <c r="CX67" s="836"/>
      <c r="CY67" s="839" t="s">
        <v>1723</v>
      </c>
      <c r="DA67" s="838" t="s">
        <v>1724</v>
      </c>
      <c r="DB67" s="836"/>
      <c r="DC67" s="836"/>
      <c r="DD67" s="836"/>
      <c r="DE67" s="836"/>
      <c r="DF67" s="836"/>
      <c r="DG67" s="839"/>
      <c r="DI67" s="3">
        <v>1</v>
      </c>
    </row>
    <row r="68" spans="1:113" s="627" customFormat="1" ht="21" customHeight="1">
      <c r="A68" s="701" t="s">
        <v>21</v>
      </c>
      <c r="B68" s="2265" t="str" cm="1">
        <f t="array" ref="B68">SUMPRODUCT(--(D68:J68&lt;&gt;""), LEN(TRIM(SUBSTITUTE(D68:J68, CHAR(160), "")))) &amp; " Car."</f>
        <v>0 Car.</v>
      </c>
      <c r="C68" s="1376" t="str">
        <f>IF(ISBLANK(D68),"",LARGE(C13:C67,1)+1)</f>
        <v/>
      </c>
      <c r="D68" s="1833"/>
      <c r="E68" s="1810"/>
      <c r="F68" s="1810"/>
      <c r="G68" s="1810"/>
      <c r="H68" s="1810"/>
      <c r="I68" s="1810"/>
      <c r="J68" s="1810"/>
      <c r="K68" s="1810"/>
      <c r="L68" s="1811"/>
      <c r="M68" s="9"/>
      <c r="N68" s="162" t="str">
        <f t="shared" si="16"/>
        <v>►</v>
      </c>
      <c r="O68" s="2188"/>
      <c r="P68" s="9"/>
      <c r="Q68" s="25" t="s">
        <v>15</v>
      </c>
      <c r="R68" s="2237"/>
      <c r="S68" s="2237"/>
      <c r="T68" s="2237"/>
      <c r="U68" s="2237"/>
      <c r="V68" s="2240"/>
      <c r="W68" s="2241"/>
      <c r="X68" s="2239"/>
      <c r="Y68" s="2242"/>
      <c r="Z68" s="2250"/>
      <c r="AA68" s="2244"/>
      <c r="AB68" s="2244"/>
      <c r="AC68" s="2245"/>
      <c r="AD68" s="2246"/>
      <c r="AE68" s="2247"/>
      <c r="AF68" s="2248"/>
      <c r="AG68" s="2249"/>
      <c r="AH68" s="2249"/>
      <c r="AI68" s="2238"/>
      <c r="AJ68" s="2264"/>
      <c r="AK68" s="6120" t="str">
        <f t="shared" si="19"/>
        <v>►</v>
      </c>
      <c r="AL68" s="781" t="str">
        <f t="shared" si="21"/>
        <v>►</v>
      </c>
      <c r="AM68" s="5498" t="str">
        <f t="shared" si="22"/>
        <v/>
      </c>
      <c r="AN68" s="783" t="str">
        <f t="shared" si="38"/>
        <v/>
      </c>
      <c r="AO68" s="782" t="str">
        <f t="shared" si="24"/>
        <v/>
      </c>
      <c r="AP68" s="783" t="str">
        <f t="shared" si="25"/>
        <v/>
      </c>
      <c r="AQ68" s="2083" t="b">
        <f>AND(Q68="A",COUNTIF(BP16:BR63,TRIM(Z68))&gt;0)</f>
        <v>0</v>
      </c>
      <c r="AR68" s="797" t="str">
        <f>IF(AL68&lt;&gt;"A","",IFERROR(IFERROR(_xlfn.XLOOKUP(TRIM(SUBSTITUTE(Z68,CHAR(160)," ")),BP16:BP63,BS16:BS63),IFERROR(_xlfn.XLOOKUP(TRIM(SUBSTITUTE(Z68,CHAR(160)," ")),BQ16:BQ63,BS16:BS63),_xlfn.XLOOKUP(TRIM(SUBSTITUTE(Z68,CHAR(160)," ")),BR16:BR63,BS16:BS63)))*Y68*IF(ISBLANK(V68),1,V68),0))</f>
        <v/>
      </c>
      <c r="AS68" s="784" t="str">
        <f t="shared" si="26"/>
        <v/>
      </c>
      <c r="AT68" s="1315" t="str">
        <f t="shared" si="27"/>
        <v/>
      </c>
      <c r="AU68" s="785">
        <f t="shared" si="28"/>
        <v>0</v>
      </c>
      <c r="AV68" s="785">
        <f t="shared" si="29"/>
        <v>0</v>
      </c>
      <c r="AW68" s="798">
        <f>IF(AK68="A",AY10,0)</f>
        <v>0</v>
      </c>
      <c r="AX68" s="5496" t="str">
        <f>IF(IFERROR(SEARCH("Adresse PC",TRIM(W68)),0)&gt;0,"▼ receta siguiente",IF(AK68="A",IF(AZ10&lt;&gt;"",AZ10&amp;" - ou.or.o ❾ + or - &gt;",""),""))</f>
        <v/>
      </c>
      <c r="AY68" s="810"/>
      <c r="AZ68" s="810"/>
      <c r="BA68" s="799" t="str">
        <f t="shared" si="30"/>
        <v/>
      </c>
      <c r="BB68" s="800" t="str">
        <f>IF(AK68="A",IF(AQ68,IF(AND(AW68&lt;&gt;"",N(AW68)&gt;0),IFERROR(IFERROR(_xlfn.XLOOKUP(AP68,BP10:BP57,BT10:BT57),IFERROR(_xlfn.XLOOKUP(AP68,BQ10:BQ57,BT10:BT57),_xlfn.XLOOKUP(AP68,BR10:BR57,BT10:BT57,""))),""),""),""),"")</f>
        <v/>
      </c>
      <c r="BC68" s="813" cm="1">
        <f t="array" ref="BC68">IF(NOT(AQ68),0,IF(OR(BA68="",N(BA68)&lt;=0.000000001),"",IF(OR(AU68="",N(AU68)&lt;=0.000000001),0,IF(ISNUMBER(BA68),IFERROR(_xlfn.LET(_xlpm.ai_test,TRIM(AP68),_xlpm.r,IFERROR(_xlfn.XLOOKUP(_xlpm.ai_test,BP16:BP63,ROW(BP16:BP63),0,1),IFERROR(_xlfn.XLOOKUP(_xlpm.ai_test,BQ16:BQ63,ROW(BQ16:BQ63),0,1),_xlfn.XLOOKUP(_xlpm.ai_test,BR16:BR63,ROW(BR16:BR63),0,1))),_xlpm.p,_xlpm.r-MIN(ROW(BP16:BP63))+1,_xlpm.f,INDEX(BS16:BS63,_xlpm.p),_xlpm.u,INDEX(BT16:BT63,_xlpm.p),_xlpm.s,INDEX(BV16:BV63,_xlpm.p),_xlpm.q,N(BA68)/_xlpm.f,IF(_xlpm.q&gt;=_xlpm.s,ROUND(_xlpm.q,1)&amp;" "&amp;_xlpm.ai_test&amp;" = "&amp;ROUND(_xlpm.q*_xlpm.f,1)&amp;" "&amp;_xlpm.u,ROUND(_xlpm.q,1)&amp;" "&amp;_xlpm.ai_test)),""),""))))</f>
        <v>0</v>
      </c>
      <c r="BD68" s="801"/>
      <c r="BE68" s="799" t="str">
        <f t="shared" si="31"/>
        <v/>
      </c>
      <c r="BF68" s="800" t="str">
        <f t="shared" si="42"/>
        <v/>
      </c>
      <c r="BG68" s="802">
        <f t="shared" si="43"/>
        <v>0</v>
      </c>
      <c r="BH68" s="803" t="str">
        <f t="shared" si="44"/>
        <v/>
      </c>
      <c r="BI68" s="792"/>
      <c r="BJ68" s="804">
        <f t="shared" si="45"/>
        <v>0</v>
      </c>
      <c r="BK68" s="794" t="str">
        <f t="shared" si="39"/>
        <v/>
      </c>
      <c r="BL68" s="227" t="s">
        <v>21</v>
      </c>
      <c r="BM68" s="773">
        <f t="shared" si="36"/>
        <v>0</v>
      </c>
      <c r="BN68" s="774">
        <f t="shared" si="37"/>
        <v>0</v>
      </c>
      <c r="BO68"/>
      <c r="BP68" s="6846" t="s">
        <v>1759</v>
      </c>
      <c r="BQ68" s="6846"/>
      <c r="BR68" s="6846"/>
      <c r="BS68" s="6846"/>
      <c r="BT68" s="6846"/>
      <c r="BU68" s="6846"/>
      <c r="BV68" s="6846"/>
      <c r="BW68" s="6846"/>
      <c r="BX68"/>
      <c r="BY68"/>
      <c r="BZ68"/>
      <c r="CA68"/>
      <c r="CB68"/>
      <c r="CC68"/>
      <c r="CD68" s="781" t="str">
        <f t="shared" si="15"/>
        <v>►</v>
      </c>
      <c r="CE68" s="6847" t="s">
        <v>8073</v>
      </c>
      <c r="CF68" s="6847"/>
      <c r="CG68" s="6847"/>
      <c r="CH68" s="6847"/>
      <c r="CI68" s="6847"/>
      <c r="CJ68" s="719"/>
      <c r="CK68" s="645"/>
      <c r="CL68" s="117"/>
      <c r="CM68" s="117"/>
      <c r="CN68" s="117"/>
      <c r="CO68" s="117"/>
      <c r="CP68" s="117"/>
      <c r="CQ68" s="644"/>
      <c r="CS68" s="645"/>
      <c r="CT68" s="117"/>
      <c r="CU68" s="117"/>
      <c r="CV68" s="117"/>
      <c r="CW68" s="117"/>
      <c r="CX68" s="117"/>
      <c r="CY68" s="644"/>
      <c r="DA68" s="645"/>
      <c r="DB68" s="117"/>
      <c r="DC68" s="117"/>
      <c r="DD68" s="117"/>
      <c r="DE68" s="117"/>
      <c r="DF68" s="117"/>
      <c r="DG68" s="840" t="s">
        <v>1727</v>
      </c>
      <c r="DI68" s="3">
        <v>1</v>
      </c>
    </row>
    <row r="69" spans="1:113" s="627" customFormat="1" ht="21" customHeight="1">
      <c r="A69" s="701" t="s">
        <v>21</v>
      </c>
      <c r="B69" s="2265" t="str" cm="1">
        <f t="array" ref="B69">SUMPRODUCT(--(D69:J69&lt;&gt;""), LEN(TRIM(SUBSTITUTE(D69:J69, CHAR(160), "")))) &amp; " Car."</f>
        <v>0 Car.</v>
      </c>
      <c r="C69" s="1376" t="str">
        <f>IF(ISBLANK(D69),"",LARGE(C13:C68,1)+1)</f>
        <v/>
      </c>
      <c r="D69" s="1833"/>
      <c r="E69" s="1810"/>
      <c r="F69" s="1810"/>
      <c r="G69" s="1810"/>
      <c r="H69" s="1810"/>
      <c r="I69" s="1810"/>
      <c r="J69" s="1810"/>
      <c r="K69" s="1810"/>
      <c r="L69" s="1811"/>
      <c r="M69" s="9"/>
      <c r="N69" s="162" t="str">
        <f t="shared" si="16"/>
        <v>►</v>
      </c>
      <c r="O69" s="2188"/>
      <c r="P69" s="9"/>
      <c r="Q69" s="25" t="s">
        <v>15</v>
      </c>
      <c r="R69" s="2237"/>
      <c r="S69" s="2237"/>
      <c r="T69" s="2237"/>
      <c r="U69" s="2237"/>
      <c r="V69" s="2240"/>
      <c r="W69" s="2241"/>
      <c r="X69" s="2239"/>
      <c r="Y69" s="2242"/>
      <c r="Z69" s="2250"/>
      <c r="AA69" s="2244"/>
      <c r="AB69" s="2244"/>
      <c r="AC69" s="2245"/>
      <c r="AD69" s="2246"/>
      <c r="AE69" s="2247"/>
      <c r="AF69" s="2248"/>
      <c r="AG69" s="2249"/>
      <c r="AH69" s="2249"/>
      <c r="AI69" s="2238"/>
      <c r="AJ69" s="2264"/>
      <c r="AK69" s="6120" t="str">
        <f t="shared" si="19"/>
        <v>►</v>
      </c>
      <c r="AL69" s="781" t="str">
        <f t="shared" si="21"/>
        <v>►</v>
      </c>
      <c r="AM69" s="5499" t="str">
        <f t="shared" si="22"/>
        <v/>
      </c>
      <c r="AN69" s="783" t="str">
        <f t="shared" si="38"/>
        <v/>
      </c>
      <c r="AO69" s="782" t="str">
        <f t="shared" si="24"/>
        <v/>
      </c>
      <c r="AP69" s="783" t="str">
        <f t="shared" si="25"/>
        <v/>
      </c>
      <c r="AQ69" s="2083" t="b">
        <f>AND(Q69="A",COUNTIF(BP16:BR63,TRIM(Z69))&gt;0)</f>
        <v>0</v>
      </c>
      <c r="AR69" s="797" t="str">
        <f>IF(AL69&lt;&gt;"A","",IFERROR(IFERROR(_xlfn.XLOOKUP(TRIM(SUBSTITUTE(Z69,CHAR(160)," ")),BP16:BP63,BS16:BS63),IFERROR(_xlfn.XLOOKUP(TRIM(SUBSTITUTE(Z69,CHAR(160)," ")),BQ16:BQ63,BS16:BS63),_xlfn.XLOOKUP(TRIM(SUBSTITUTE(Z69,CHAR(160)," ")),BR16:BR63,BS16:BS63)))*Y69*IF(ISBLANK(V69),1,V69),0))</f>
        <v/>
      </c>
      <c r="AS69" s="784" t="str">
        <f t="shared" si="26"/>
        <v/>
      </c>
      <c r="AT69" s="1315" t="str">
        <f t="shared" si="27"/>
        <v/>
      </c>
      <c r="AU69" s="785">
        <f t="shared" si="28"/>
        <v>0</v>
      </c>
      <c r="AV69" s="785">
        <f t="shared" si="29"/>
        <v>0</v>
      </c>
      <c r="AW69" s="786">
        <f>IF(AK69="A",AY10,0)</f>
        <v>0</v>
      </c>
      <c r="AX69" s="5495" t="str">
        <f>IF(IFERROR(SEARCH("Adresse PC",TRIM(W69)),0)&gt;0,"▼ receta siguiente",IF(AK69="A",IF(AZ10&lt;&gt;"",AZ10&amp;" - ou.or.o ❾ + or - &gt;",""),""))</f>
        <v/>
      </c>
      <c r="AY69" s="810"/>
      <c r="AZ69" s="810"/>
      <c r="BA69" s="788" t="str">
        <f t="shared" si="30"/>
        <v/>
      </c>
      <c r="BB69" s="789" t="str">
        <f>IF(AK69="A",IF(AQ69,IF(AND(AW69&lt;&gt;"",N(AW69)&gt;0),IFERROR(IFERROR(_xlfn.XLOOKUP(AP69,BP10:BP57,BT10:BT57),IFERROR(_xlfn.XLOOKUP(AP69,BQ10:BQ57,BT10:BT57),_xlfn.XLOOKUP(AP69,BR10:BR57,BT10:BT57,""))),""),""),""),"")</f>
        <v/>
      </c>
      <c r="BC69" s="811" cm="1">
        <f t="array" ref="BC69">IF(NOT(AQ69),0,IF(OR(BA69="",N(BA69)&lt;=0.000000001),"",IF(OR(AU69="",N(AU69)&lt;=0.000000001),0,IF(ISNUMBER(BA69),IFERROR(_xlfn.LET(_xlpm.ai_test,TRIM(AP69),_xlpm.r,IFERROR(_xlfn.XLOOKUP(_xlpm.ai_test,BP16:BP63,ROW(BP16:BP63),0,1),IFERROR(_xlfn.XLOOKUP(_xlpm.ai_test,BQ16:BQ63,ROW(BQ16:BQ63),0,1),_xlfn.XLOOKUP(_xlpm.ai_test,BR16:BR63,ROW(BR16:BR63),0,1))),_xlpm.p,_xlpm.r-MIN(ROW(BP16:BP63))+1,_xlpm.f,INDEX(BS16:BS63,_xlpm.p),_xlpm.u,INDEX(BT16:BT63,_xlpm.p),_xlpm.s,INDEX(BV16:BV63,_xlpm.p),_xlpm.q,N(BA69)/_xlpm.f,IF(_xlpm.q&gt;=_xlpm.s,ROUND(_xlpm.q,1)&amp;" "&amp;_xlpm.ai_test&amp;" = "&amp;ROUND(_xlpm.q*_xlpm.f,1)&amp;" "&amp;_xlpm.u,ROUND(_xlpm.q,1)&amp;" "&amp;_xlpm.ai_test)),""),""))))</f>
        <v>0</v>
      </c>
      <c r="BD69" s="801"/>
      <c r="BE69" s="788" t="str">
        <f t="shared" si="31"/>
        <v/>
      </c>
      <c r="BF69" s="789" t="str">
        <f t="shared" si="42"/>
        <v/>
      </c>
      <c r="BG69" s="790">
        <f t="shared" si="43"/>
        <v>0</v>
      </c>
      <c r="BH69" s="791" t="str">
        <f t="shared" si="44"/>
        <v/>
      </c>
      <c r="BI69" s="792"/>
      <c r="BJ69" s="793">
        <f t="shared" si="45"/>
        <v>0</v>
      </c>
      <c r="BK69" s="794" t="str">
        <f t="shared" si="39"/>
        <v/>
      </c>
      <c r="BL69" s="227" t="s">
        <v>21</v>
      </c>
      <c r="BM69" s="773">
        <f t="shared" si="36"/>
        <v>0</v>
      </c>
      <c r="BN69" s="774">
        <f t="shared" si="37"/>
        <v>0</v>
      </c>
      <c r="BO69"/>
      <c r="BP69" s="6846"/>
      <c r="BQ69" s="6846"/>
      <c r="BR69" s="6846"/>
      <c r="BS69" s="6846"/>
      <c r="BT69" s="6846"/>
      <c r="BU69" s="6846"/>
      <c r="BV69" s="6846"/>
      <c r="BW69" s="6846"/>
      <c r="BX69"/>
      <c r="BY69"/>
      <c r="BZ69"/>
      <c r="CA69"/>
      <c r="CB69"/>
      <c r="CC69"/>
      <c r="CD69" s="781" t="str">
        <f t="shared" si="15"/>
        <v>►</v>
      </c>
      <c r="CE69" s="6847"/>
      <c r="CF69" s="6847"/>
      <c r="CG69" s="6847"/>
      <c r="CH69" s="6847"/>
      <c r="CI69" s="6847"/>
      <c r="CJ69" s="719"/>
      <c r="CK69" s="841" t="s">
        <v>838</v>
      </c>
      <c r="CL69" s="842"/>
      <c r="CM69" s="842"/>
      <c r="CN69" s="842"/>
      <c r="CO69" s="842"/>
      <c r="CP69" s="842"/>
      <c r="CQ69" s="843"/>
      <c r="CS69" s="841" t="s">
        <v>838</v>
      </c>
      <c r="CT69" s="842"/>
      <c r="CU69" s="842"/>
      <c r="CV69" s="842"/>
      <c r="CW69" s="842"/>
      <c r="CX69" s="842"/>
      <c r="CY69" s="843"/>
      <c r="DA69" s="841" t="s">
        <v>838</v>
      </c>
      <c r="DB69" s="842"/>
      <c r="DC69" s="842"/>
      <c r="DD69" s="842"/>
      <c r="DE69" s="842"/>
      <c r="DF69" s="842"/>
      <c r="DG69" s="843"/>
      <c r="DI69" s="3">
        <v>1</v>
      </c>
    </row>
    <row r="70" spans="1:113" s="627" customFormat="1" ht="21" customHeight="1">
      <c r="A70" s="701" t="s">
        <v>21</v>
      </c>
      <c r="B70" s="2265" t="str" cm="1">
        <f t="array" ref="B70">SUMPRODUCT(--(D70:J70&lt;&gt;""), LEN(TRIM(SUBSTITUTE(D70:J70, CHAR(160), "")))) &amp; " Car."</f>
        <v>0 Car.</v>
      </c>
      <c r="C70" s="1376" t="str">
        <f>IF(ISBLANK(D70),"",LARGE(C13:C69,1)+1)</f>
        <v/>
      </c>
      <c r="D70" s="1833"/>
      <c r="E70" s="1810"/>
      <c r="F70" s="1810"/>
      <c r="G70" s="1810"/>
      <c r="H70" s="1810"/>
      <c r="I70" s="1810"/>
      <c r="J70" s="1810"/>
      <c r="K70" s="1810"/>
      <c r="L70" s="1811"/>
      <c r="M70" s="9"/>
      <c r="N70" s="162" t="str">
        <f t="shared" si="16"/>
        <v>►</v>
      </c>
      <c r="O70" s="1621" t="s">
        <v>8266</v>
      </c>
      <c r="P70" s="9"/>
      <c r="Q70" s="25" t="s">
        <v>15</v>
      </c>
      <c r="R70" s="2237"/>
      <c r="S70" s="2237"/>
      <c r="T70" s="2237"/>
      <c r="U70" s="2237"/>
      <c r="V70" s="2240"/>
      <c r="W70" s="2241"/>
      <c r="X70" s="2239"/>
      <c r="Y70" s="2242"/>
      <c r="Z70" s="2250"/>
      <c r="AA70" s="2244"/>
      <c r="AB70" s="2244"/>
      <c r="AC70" s="2245"/>
      <c r="AD70" s="2246"/>
      <c r="AE70" s="2247"/>
      <c r="AF70" s="2248"/>
      <c r="AG70" s="2249"/>
      <c r="AH70" s="2249"/>
      <c r="AI70" s="2238"/>
      <c r="AJ70" s="2264"/>
      <c r="AK70" s="6120" t="str">
        <f t="shared" si="19"/>
        <v>►</v>
      </c>
      <c r="AL70" s="781" t="str">
        <f t="shared" si="21"/>
        <v>►</v>
      </c>
      <c r="AM70" s="5498" t="str">
        <f t="shared" si="22"/>
        <v/>
      </c>
      <c r="AN70" s="783" t="str">
        <f t="shared" si="38"/>
        <v/>
      </c>
      <c r="AO70" s="782" t="str">
        <f t="shared" si="24"/>
        <v/>
      </c>
      <c r="AP70" s="783" t="str">
        <f t="shared" si="25"/>
        <v/>
      </c>
      <c r="AQ70" s="2083" t="b">
        <f>AND(Q70="A",COUNTIF(BP16:BR63,TRIM(Z70))&gt;0)</f>
        <v>0</v>
      </c>
      <c r="AR70" s="797" t="str">
        <f>IF(AL70&lt;&gt;"A","",IFERROR(IFERROR(_xlfn.XLOOKUP(TRIM(SUBSTITUTE(Z70,CHAR(160)," ")),BP16:BP63,BS16:BS63),IFERROR(_xlfn.XLOOKUP(TRIM(SUBSTITUTE(Z70,CHAR(160)," ")),BQ16:BQ63,BS16:BS63),_xlfn.XLOOKUP(TRIM(SUBSTITUTE(Z70,CHAR(160)," ")),BR16:BR63,BS16:BS63)))*Y70*IF(ISBLANK(V70),1,V70),0))</f>
        <v/>
      </c>
      <c r="AS70" s="784" t="str">
        <f t="shared" si="26"/>
        <v/>
      </c>
      <c r="AT70" s="1315" t="str">
        <f t="shared" si="27"/>
        <v/>
      </c>
      <c r="AU70" s="785">
        <f t="shared" si="28"/>
        <v>0</v>
      </c>
      <c r="AV70" s="785">
        <f t="shared" si="29"/>
        <v>0</v>
      </c>
      <c r="AW70" s="798">
        <f>IF(AK70="A",AY10,0)</f>
        <v>0</v>
      </c>
      <c r="AX70" s="5496" t="str">
        <f>IF(IFERROR(SEARCH("Adresse PC",TRIM(W70)),0)&gt;0,"▼ receta siguiente",IF(AK70="A",IF(AZ10&lt;&gt;"",AZ10&amp;" - ou.or.o ❾ + or - &gt;",""),""))</f>
        <v/>
      </c>
      <c r="AY70" s="810"/>
      <c r="AZ70" s="810"/>
      <c r="BA70" s="799" t="str">
        <f t="shared" si="30"/>
        <v/>
      </c>
      <c r="BB70" s="800" t="str">
        <f>IF(AK70="A",IF(AQ70,IF(AND(AW70&lt;&gt;"",N(AW70)&gt;0),IFERROR(IFERROR(_xlfn.XLOOKUP(AP70,BP10:BP57,BT10:BT57),IFERROR(_xlfn.XLOOKUP(AP70,BQ10:BQ57,BT10:BT57),_xlfn.XLOOKUP(AP70,BR10:BR57,BT10:BT57,""))),""),""),""),"")</f>
        <v/>
      </c>
      <c r="BC70" s="813" cm="1">
        <f t="array" ref="BC70">IF(NOT(AQ70),0,IF(OR(BA70="",N(BA70)&lt;=0.000000001),"",IF(OR(AU70="",N(AU70)&lt;=0.000000001),0,IF(ISNUMBER(BA70),IFERROR(_xlfn.LET(_xlpm.ai_test,TRIM(AP70),_xlpm.r,IFERROR(_xlfn.XLOOKUP(_xlpm.ai_test,BP16:BP63,ROW(BP16:BP63),0,1),IFERROR(_xlfn.XLOOKUP(_xlpm.ai_test,BQ16:BQ63,ROW(BQ16:BQ63),0,1),_xlfn.XLOOKUP(_xlpm.ai_test,BR16:BR63,ROW(BR16:BR63),0,1))),_xlpm.p,_xlpm.r-MIN(ROW(BP16:BP63))+1,_xlpm.f,INDEX(BS16:BS63,_xlpm.p),_xlpm.u,INDEX(BT16:BT63,_xlpm.p),_xlpm.s,INDEX(BV16:BV63,_xlpm.p),_xlpm.q,N(BA70)/_xlpm.f,IF(_xlpm.q&gt;=_xlpm.s,ROUND(_xlpm.q,1)&amp;" "&amp;_xlpm.ai_test&amp;" = "&amp;ROUND(_xlpm.q*_xlpm.f,1)&amp;" "&amp;_xlpm.u,ROUND(_xlpm.q,1)&amp;" "&amp;_xlpm.ai_test)),""),""))))</f>
        <v>0</v>
      </c>
      <c r="BD70" s="801"/>
      <c r="BE70" s="799" t="str">
        <f t="shared" si="31"/>
        <v/>
      </c>
      <c r="BF70" s="800" t="str">
        <f t="shared" si="42"/>
        <v/>
      </c>
      <c r="BG70" s="802">
        <f t="shared" si="43"/>
        <v>0</v>
      </c>
      <c r="BH70" s="803" t="str">
        <f t="shared" si="44"/>
        <v/>
      </c>
      <c r="BI70" s="792"/>
      <c r="BJ70" s="804">
        <f t="shared" si="45"/>
        <v>0</v>
      </c>
      <c r="BK70" s="794" t="str">
        <f t="shared" si="39"/>
        <v/>
      </c>
      <c r="BL70" s="227" t="s">
        <v>21</v>
      </c>
      <c r="BM70" s="773">
        <f t="shared" si="36"/>
        <v>0</v>
      </c>
      <c r="BN70" s="774">
        <f t="shared" si="37"/>
        <v>0</v>
      </c>
      <c r="BP70" s="6846" t="s">
        <v>1760</v>
      </c>
      <c r="BQ70" s="6846"/>
      <c r="BR70" s="6846"/>
      <c r="BS70" s="6846"/>
      <c r="BT70" s="6846"/>
      <c r="BU70" s="6846"/>
      <c r="BV70" s="6846"/>
      <c r="BW70" s="6846"/>
      <c r="BX70"/>
      <c r="BY70"/>
      <c r="BZ70"/>
      <c r="CA70"/>
      <c r="CB70"/>
      <c r="CC70"/>
      <c r="CD70" s="781" t="str">
        <f t="shared" ref="CD70:CD133" si="46">AL70</f>
        <v>►</v>
      </c>
      <c r="CE70" s="6847"/>
      <c r="CF70" s="6847"/>
      <c r="CG70" s="6847"/>
      <c r="CH70" s="6847"/>
      <c r="CI70" s="6847"/>
      <c r="CJ70" s="719"/>
      <c r="CK70" s="6472" t="s">
        <v>1735</v>
      </c>
      <c r="CL70" s="6473"/>
      <c r="CM70" s="6473"/>
      <c r="CN70" s="6473"/>
      <c r="CO70" s="6473"/>
      <c r="CP70" s="6473"/>
      <c r="CQ70" s="6474"/>
      <c r="CS70" s="6472" t="s">
        <v>1736</v>
      </c>
      <c r="CT70" s="6473"/>
      <c r="CU70" s="6473"/>
      <c r="CV70" s="6473"/>
      <c r="CW70" s="6473"/>
      <c r="CX70" s="6473"/>
      <c r="CY70" s="6474"/>
      <c r="DA70" s="6472" t="s">
        <v>1737</v>
      </c>
      <c r="DB70" s="6473"/>
      <c r="DC70" s="6473"/>
      <c r="DD70" s="6473"/>
      <c r="DE70" s="6473"/>
      <c r="DF70" s="6473"/>
      <c r="DG70" s="6474"/>
      <c r="DI70" s="3">
        <v>1</v>
      </c>
    </row>
    <row r="71" spans="1:113" s="627" customFormat="1" ht="21" customHeight="1">
      <c r="A71" s="701" t="s">
        <v>21</v>
      </c>
      <c r="B71" s="2265" t="str" cm="1">
        <f t="array" ref="B71">SUMPRODUCT(--(D71:J71&lt;&gt;""), LEN(TRIM(SUBSTITUTE(D71:J71, CHAR(160), "")))) &amp; " Car."</f>
        <v>0 Car.</v>
      </c>
      <c r="C71" s="1376" t="str">
        <f>IF(ISBLANK(D71),"",LARGE(C13:C70,1)+1)</f>
        <v/>
      </c>
      <c r="D71" s="1833"/>
      <c r="E71" s="1810"/>
      <c r="F71" s="1810"/>
      <c r="G71" s="1810"/>
      <c r="H71" s="1810"/>
      <c r="I71" s="1810"/>
      <c r="J71" s="1810"/>
      <c r="K71" s="1810"/>
      <c r="L71" s="1811"/>
      <c r="M71" s="9"/>
      <c r="N71" s="1814" t="str">
        <f t="shared" si="16"/>
        <v>►</v>
      </c>
      <c r="O71" s="1622" t="s">
        <v>8267</v>
      </c>
      <c r="P71" s="9"/>
      <c r="Q71" s="25" t="s">
        <v>15</v>
      </c>
      <c r="R71" s="2237"/>
      <c r="S71" s="2237"/>
      <c r="T71" s="2237"/>
      <c r="U71" s="2237"/>
      <c r="V71" s="2240"/>
      <c r="W71" s="2241"/>
      <c r="X71" s="2239"/>
      <c r="Y71" s="2242"/>
      <c r="Z71" s="2250"/>
      <c r="AA71" s="2244"/>
      <c r="AB71" s="2244"/>
      <c r="AC71" s="2245"/>
      <c r="AD71" s="2246"/>
      <c r="AE71" s="2247"/>
      <c r="AF71" s="2248"/>
      <c r="AG71" s="2249"/>
      <c r="AH71" s="2249"/>
      <c r="AI71" s="2238"/>
      <c r="AJ71" s="2264"/>
      <c r="AK71" s="6120" t="str">
        <f t="shared" si="19"/>
        <v>►</v>
      </c>
      <c r="AL71" s="781" t="str">
        <f t="shared" si="21"/>
        <v>►</v>
      </c>
      <c r="AM71" s="5499" t="str">
        <f t="shared" si="22"/>
        <v/>
      </c>
      <c r="AN71" s="783" t="str">
        <f t="shared" si="38"/>
        <v/>
      </c>
      <c r="AO71" s="782" t="str">
        <f t="shared" si="24"/>
        <v/>
      </c>
      <c r="AP71" s="783" t="str">
        <f t="shared" si="25"/>
        <v/>
      </c>
      <c r="AQ71" s="2083" t="b">
        <f>AND(Q71="A",COUNTIF(BP16:BR63,TRIM(Z71))&gt;0)</f>
        <v>0</v>
      </c>
      <c r="AR71" s="797" t="str">
        <f>IF(AL71&lt;&gt;"A","",IFERROR(IFERROR(_xlfn.XLOOKUP(TRIM(SUBSTITUTE(Z71,CHAR(160)," ")),BP16:BP63,BS16:BS63),IFERROR(_xlfn.XLOOKUP(TRIM(SUBSTITUTE(Z71,CHAR(160)," ")),BQ16:BQ63,BS16:BS63),_xlfn.XLOOKUP(TRIM(SUBSTITUTE(Z71,CHAR(160)," ")),BR16:BR63,BS16:BS63)))*Y71*IF(ISBLANK(V71),1,V71),0))</f>
        <v/>
      </c>
      <c r="AS71" s="784" t="str">
        <f t="shared" si="26"/>
        <v/>
      </c>
      <c r="AT71" s="1315" t="str">
        <f t="shared" si="27"/>
        <v/>
      </c>
      <c r="AU71" s="785">
        <f t="shared" si="28"/>
        <v>0</v>
      </c>
      <c r="AV71" s="785">
        <f t="shared" si="29"/>
        <v>0</v>
      </c>
      <c r="AW71" s="786">
        <f>IF(AK71="A",AY10,0)</f>
        <v>0</v>
      </c>
      <c r="AX71" s="5495" t="str">
        <f>IF(IFERROR(SEARCH("Adresse PC",TRIM(W71)),0)&gt;0,"▼ receta siguiente",IF(AK71="A",IF(AZ10&lt;&gt;"",AZ10&amp;" - ou.or.o ❾ + or - &gt;",""),""))</f>
        <v/>
      </c>
      <c r="AY71" s="810"/>
      <c r="AZ71" s="810"/>
      <c r="BA71" s="788" t="str">
        <f t="shared" si="30"/>
        <v/>
      </c>
      <c r="BB71" s="789" t="str">
        <f>IF(AK71="A",IF(AQ71,IF(AND(AW71&lt;&gt;"",N(AW71)&gt;0),IFERROR(IFERROR(_xlfn.XLOOKUP(AP71,BP10:BP57,BT10:BT57),IFERROR(_xlfn.XLOOKUP(AP71,BQ10:BQ57,BT10:BT57),_xlfn.XLOOKUP(AP71,BR10:BR57,BT10:BT57,""))),""),""),""),"")</f>
        <v/>
      </c>
      <c r="BC71" s="811" cm="1">
        <f t="array" ref="BC71">IF(NOT(AQ71),0,IF(OR(BA71="",N(BA71)&lt;=0.000000001),"",IF(OR(AU71="",N(AU71)&lt;=0.000000001),0,IF(ISNUMBER(BA71),IFERROR(_xlfn.LET(_xlpm.ai_test,TRIM(AP71),_xlpm.r,IFERROR(_xlfn.XLOOKUP(_xlpm.ai_test,BP16:BP63,ROW(BP16:BP63),0,1),IFERROR(_xlfn.XLOOKUP(_xlpm.ai_test,BQ16:BQ63,ROW(BQ16:BQ63),0,1),_xlfn.XLOOKUP(_xlpm.ai_test,BR16:BR63,ROW(BR16:BR63),0,1))),_xlpm.p,_xlpm.r-MIN(ROW(BP16:BP63))+1,_xlpm.f,INDEX(BS16:BS63,_xlpm.p),_xlpm.u,INDEX(BT16:BT63,_xlpm.p),_xlpm.s,INDEX(BV16:BV63,_xlpm.p),_xlpm.q,N(BA71)/_xlpm.f,IF(_xlpm.q&gt;=_xlpm.s,ROUND(_xlpm.q,1)&amp;" "&amp;_xlpm.ai_test&amp;" = "&amp;ROUND(_xlpm.q*_xlpm.f,1)&amp;" "&amp;_xlpm.u,ROUND(_xlpm.q,1)&amp;" "&amp;_xlpm.ai_test)),""),""))))</f>
        <v>0</v>
      </c>
      <c r="BD71" s="801"/>
      <c r="BE71" s="788" t="str">
        <f t="shared" si="31"/>
        <v/>
      </c>
      <c r="BF71" s="789" t="str">
        <f t="shared" si="42"/>
        <v/>
      </c>
      <c r="BG71" s="790">
        <f t="shared" si="43"/>
        <v>0</v>
      </c>
      <c r="BH71" s="791" t="str">
        <f t="shared" si="44"/>
        <v/>
      </c>
      <c r="BI71" s="792"/>
      <c r="BJ71" s="793">
        <f t="shared" si="45"/>
        <v>0</v>
      </c>
      <c r="BK71" s="794" t="str">
        <f t="shared" si="39"/>
        <v/>
      </c>
      <c r="BL71" s="227" t="s">
        <v>21</v>
      </c>
      <c r="BM71" s="773">
        <f t="shared" si="36"/>
        <v>0</v>
      </c>
      <c r="BN71" s="774">
        <f t="shared" si="37"/>
        <v>0</v>
      </c>
      <c r="BP71" s="6846"/>
      <c r="BQ71" s="6846"/>
      <c r="BR71" s="6846"/>
      <c r="BS71" s="6846"/>
      <c r="BT71" s="6846"/>
      <c r="BU71" s="6846"/>
      <c r="BV71" s="6846"/>
      <c r="BW71" s="6846"/>
      <c r="BX71"/>
      <c r="BY71"/>
      <c r="BZ71"/>
      <c r="CA71"/>
      <c r="CB71"/>
      <c r="CC71"/>
      <c r="CD71" s="781" t="str">
        <f t="shared" si="46"/>
        <v>►</v>
      </c>
      <c r="CE71" s="818"/>
      <c r="CF71" s="634"/>
      <c r="CG71" s="634"/>
      <c r="CH71" s="635"/>
      <c r="CI71" s="635"/>
      <c r="CJ71" s="719"/>
      <c r="CK71" s="6472"/>
      <c r="CL71" s="6473"/>
      <c r="CM71" s="6473"/>
      <c r="CN71" s="6473"/>
      <c r="CO71" s="6473"/>
      <c r="CP71" s="6473"/>
      <c r="CQ71" s="6474"/>
      <c r="CS71" s="6472"/>
      <c r="CT71" s="6473"/>
      <c r="CU71" s="6473"/>
      <c r="CV71" s="6473"/>
      <c r="CW71" s="6473"/>
      <c r="CX71" s="6473"/>
      <c r="CY71" s="6474"/>
      <c r="DA71" s="6472"/>
      <c r="DB71" s="6473"/>
      <c r="DC71" s="6473"/>
      <c r="DD71" s="6473"/>
      <c r="DE71" s="6473"/>
      <c r="DF71" s="6473"/>
      <c r="DG71" s="6474"/>
      <c r="DI71" s="3">
        <v>1</v>
      </c>
    </row>
    <row r="72" spans="1:113" s="627" customFormat="1" ht="21" customHeight="1" thickBot="1">
      <c r="A72" s="701" t="s">
        <v>21</v>
      </c>
      <c r="B72" s="2265" t="str" cm="1">
        <f t="array" ref="B72">SUMPRODUCT(--(D72:J72&lt;&gt;""), LEN(TRIM(SUBSTITUTE(D72:J72, CHAR(160), "")))) &amp; " Car."</f>
        <v>0 Car.</v>
      </c>
      <c r="C72" s="1376" t="str">
        <f>IF(ISBLANK(D72),"",LARGE(C13:C71,1)+1)</f>
        <v/>
      </c>
      <c r="D72" s="1833"/>
      <c r="E72" s="1810"/>
      <c r="F72" s="1810"/>
      <c r="G72" s="1810"/>
      <c r="H72" s="1810"/>
      <c r="I72" s="1810"/>
      <c r="J72" s="1810"/>
      <c r="K72" s="1810"/>
      <c r="L72" s="1811"/>
      <c r="M72" s="9"/>
      <c r="N72" s="215" t="str">
        <f t="shared" si="16"/>
        <v>►</v>
      </c>
      <c r="O72" s="1616"/>
      <c r="P72" s="9"/>
      <c r="Q72" s="25" t="s">
        <v>15</v>
      </c>
      <c r="R72" s="2237"/>
      <c r="S72" s="2237"/>
      <c r="T72" s="2237"/>
      <c r="U72" s="2237"/>
      <c r="V72" s="2240"/>
      <c r="W72" s="2241"/>
      <c r="X72" s="2239"/>
      <c r="Y72" s="2242"/>
      <c r="Z72" s="2250"/>
      <c r="AA72" s="2244"/>
      <c r="AB72" s="2244"/>
      <c r="AC72" s="2245"/>
      <c r="AD72" s="2246"/>
      <c r="AE72" s="2247"/>
      <c r="AF72" s="2248"/>
      <c r="AG72" s="2249"/>
      <c r="AH72" s="2249"/>
      <c r="AI72" s="2238"/>
      <c r="AJ72" s="2264"/>
      <c r="AK72" s="6120" t="str">
        <f t="shared" si="19"/>
        <v>►</v>
      </c>
      <c r="AL72" s="781" t="str">
        <f t="shared" si="21"/>
        <v>►</v>
      </c>
      <c r="AM72" s="5498" t="str">
        <f t="shared" si="22"/>
        <v/>
      </c>
      <c r="AN72" s="783" t="str">
        <f t="shared" si="38"/>
        <v/>
      </c>
      <c r="AO72" s="782" t="str">
        <f t="shared" si="24"/>
        <v/>
      </c>
      <c r="AP72" s="783" t="str">
        <f t="shared" si="25"/>
        <v/>
      </c>
      <c r="AQ72" s="2083" t="b">
        <f>AND(Q72="A",COUNTIF(BP16:BR63,TRIM(Z72))&gt;0)</f>
        <v>0</v>
      </c>
      <c r="AR72" s="797" t="str">
        <f>IF(AL72&lt;&gt;"A","",IFERROR(IFERROR(_xlfn.XLOOKUP(TRIM(SUBSTITUTE(Z72,CHAR(160)," ")),BP16:BP63,BS16:BS63),IFERROR(_xlfn.XLOOKUP(TRIM(SUBSTITUTE(Z72,CHAR(160)," ")),BQ16:BQ63,BS16:BS63),_xlfn.XLOOKUP(TRIM(SUBSTITUTE(Z72,CHAR(160)," ")),BR16:BR63,BS16:BS63)))*Y72*IF(ISBLANK(V72),1,V72),0))</f>
        <v/>
      </c>
      <c r="AS72" s="784" t="str">
        <f t="shared" si="26"/>
        <v/>
      </c>
      <c r="AT72" s="1315" t="str">
        <f t="shared" si="27"/>
        <v/>
      </c>
      <c r="AU72" s="785">
        <f t="shared" si="28"/>
        <v>0</v>
      </c>
      <c r="AV72" s="785">
        <f t="shared" si="29"/>
        <v>0</v>
      </c>
      <c r="AW72" s="798">
        <f>IF(AK72="A",AY10,0)</f>
        <v>0</v>
      </c>
      <c r="AX72" s="5496" t="str">
        <f>IF(IFERROR(SEARCH("Adresse PC",TRIM(W72)),0)&gt;0,"▼ receta siguiente",IF(AK72="A",IF(AZ10&lt;&gt;"",AZ10&amp;" - ou.or.o ❾ + or - &gt;",""),""))</f>
        <v/>
      </c>
      <c r="AY72" s="1316"/>
      <c r="AZ72" s="787"/>
      <c r="BA72" s="799" t="str">
        <f t="shared" si="30"/>
        <v/>
      </c>
      <c r="BB72" s="800" t="str">
        <f>IF(AK72="A",IF(AQ72,IF(AND(AW72&lt;&gt;"",N(AW72)&gt;0),IFERROR(IFERROR(_xlfn.XLOOKUP(AP72,BP10:BP57,BT10:BT57),IFERROR(_xlfn.XLOOKUP(AP72,BQ10:BQ57,BT10:BT57),_xlfn.XLOOKUP(AP72,BR10:BR57,BT10:BT57,""))),""),""),""),"")</f>
        <v/>
      </c>
      <c r="BC72" s="813" cm="1">
        <f t="array" ref="BC72">IF(NOT(AQ72),0,IF(OR(BA72="",N(BA72)&lt;=0.000000001),"",IF(OR(AU72="",N(AU72)&lt;=0.000000001),0,IF(ISNUMBER(BA72),IFERROR(_xlfn.LET(_xlpm.ai_test,TRIM(AP72),_xlpm.r,IFERROR(_xlfn.XLOOKUP(_xlpm.ai_test,BP16:BP63,ROW(BP16:BP63),0,1),IFERROR(_xlfn.XLOOKUP(_xlpm.ai_test,BQ16:BQ63,ROW(BQ16:BQ63),0,1),_xlfn.XLOOKUP(_xlpm.ai_test,BR16:BR63,ROW(BR16:BR63),0,1))),_xlpm.p,_xlpm.r-MIN(ROW(BP16:BP63))+1,_xlpm.f,INDEX(BS16:BS63,_xlpm.p),_xlpm.u,INDEX(BT16:BT63,_xlpm.p),_xlpm.s,INDEX(BV16:BV63,_xlpm.p),_xlpm.q,N(BA72)/_xlpm.f,IF(_xlpm.q&gt;=_xlpm.s,ROUND(_xlpm.q,1)&amp;" "&amp;_xlpm.ai_test&amp;" = "&amp;ROUND(_xlpm.q*_xlpm.f,1)&amp;" "&amp;_xlpm.u,ROUND(_xlpm.q,1)&amp;" "&amp;_xlpm.ai_test)),""),""))))</f>
        <v>0</v>
      </c>
      <c r="BD72" s="801"/>
      <c r="BE72" s="799" t="str">
        <f t="shared" si="31"/>
        <v/>
      </c>
      <c r="BF72" s="800" t="str">
        <f t="shared" si="42"/>
        <v/>
      </c>
      <c r="BG72" s="802">
        <f t="shared" si="43"/>
        <v>0</v>
      </c>
      <c r="BH72" s="803" t="str">
        <f t="shared" si="44"/>
        <v/>
      </c>
      <c r="BI72" s="792"/>
      <c r="BJ72" s="804">
        <f t="shared" si="45"/>
        <v>0</v>
      </c>
      <c r="BK72" s="794" t="str">
        <f t="shared" si="39"/>
        <v/>
      </c>
      <c r="BL72" s="227" t="s">
        <v>21</v>
      </c>
      <c r="BM72" s="773">
        <f t="shared" si="36"/>
        <v>0</v>
      </c>
      <c r="BN72" s="774">
        <f t="shared" si="37"/>
        <v>0</v>
      </c>
      <c r="BP72" s="229" t="s">
        <v>1761</v>
      </c>
      <c r="BQ72" s="229"/>
      <c r="BR72" s="229"/>
      <c r="BS72" s="229"/>
      <c r="BT72" s="229"/>
      <c r="BU72" s="229"/>
      <c r="BV72" s="229"/>
      <c r="BW72" s="229"/>
      <c r="BX72"/>
      <c r="BY72"/>
      <c r="BZ72"/>
      <c r="CA72"/>
      <c r="CB72"/>
      <c r="CC72"/>
      <c r="CD72" s="781" t="str">
        <f t="shared" si="46"/>
        <v>►</v>
      </c>
      <c r="CE72" s="646" t="s">
        <v>840</v>
      </c>
      <c r="CF72" s="634"/>
      <c r="CG72" s="638"/>
      <c r="CH72" s="638"/>
      <c r="CI72" s="638"/>
      <c r="CJ72" s="719"/>
      <c r="CK72" s="844" t="s">
        <v>839</v>
      </c>
      <c r="CL72" s="845"/>
      <c r="CM72" s="845"/>
      <c r="CN72" s="845"/>
      <c r="CO72" s="845"/>
      <c r="CP72" s="845"/>
      <c r="CQ72" s="846"/>
      <c r="CS72" s="844" t="s">
        <v>839</v>
      </c>
      <c r="CT72" s="845"/>
      <c r="CU72" s="845"/>
      <c r="CV72" s="845"/>
      <c r="CW72" s="845"/>
      <c r="CX72" s="845"/>
      <c r="CY72" s="846"/>
      <c r="DA72" s="844" t="s">
        <v>839</v>
      </c>
      <c r="DB72" s="845"/>
      <c r="DC72" s="845"/>
      <c r="DD72" s="845"/>
      <c r="DE72" s="845"/>
      <c r="DF72" s="845"/>
      <c r="DG72" s="899" t="s">
        <v>2398</v>
      </c>
      <c r="DI72" s="3">
        <v>1</v>
      </c>
    </row>
    <row r="73" spans="1:113" s="627" customFormat="1" ht="21" customHeight="1" thickBot="1">
      <c r="A73" s="701" t="s">
        <v>21</v>
      </c>
      <c r="B73" s="2265" t="str" cm="1">
        <f t="array" ref="B73">SUMPRODUCT(--(D73:J73&lt;&gt;""), LEN(TRIM(SUBSTITUTE(D73:J73, CHAR(160), "")))) &amp; " Car."</f>
        <v>0 Car.</v>
      </c>
      <c r="C73" s="1376" t="str">
        <f>IF(ISBLANK(D73),"",LARGE(C13:C72,1)+1)</f>
        <v/>
      </c>
      <c r="D73" s="1833"/>
      <c r="E73" s="1810"/>
      <c r="F73" s="1810"/>
      <c r="G73" s="1810"/>
      <c r="H73" s="1810"/>
      <c r="I73" s="1810"/>
      <c r="J73" s="1810"/>
      <c r="K73" s="1810"/>
      <c r="L73" s="1811"/>
      <c r="M73" s="9"/>
      <c r="N73" s="1216" t="str">
        <f t="shared" si="16"/>
        <v>►</v>
      </c>
      <c r="O73" s="1628" t="s">
        <v>8268</v>
      </c>
      <c r="P73" s="9"/>
      <c r="Q73" s="25" t="s">
        <v>15</v>
      </c>
      <c r="R73" s="2237"/>
      <c r="S73" s="2237"/>
      <c r="T73" s="2237"/>
      <c r="U73" s="2237"/>
      <c r="V73" s="2240"/>
      <c r="W73" s="2241"/>
      <c r="X73" s="2239"/>
      <c r="Y73" s="2242"/>
      <c r="Z73" s="2250"/>
      <c r="AA73" s="2244"/>
      <c r="AB73" s="2244"/>
      <c r="AC73" s="2245"/>
      <c r="AD73" s="2246"/>
      <c r="AE73" s="2247"/>
      <c r="AF73" s="2248"/>
      <c r="AG73" s="2249"/>
      <c r="AH73" s="2249"/>
      <c r="AI73" s="2238"/>
      <c r="AJ73" s="2264"/>
      <c r="AK73" s="6120" t="str">
        <f t="shared" si="19"/>
        <v>►</v>
      </c>
      <c r="AL73" s="781" t="str">
        <f t="shared" si="21"/>
        <v>►</v>
      </c>
      <c r="AM73" s="5499" t="str">
        <f t="shared" si="22"/>
        <v/>
      </c>
      <c r="AN73" s="783" t="str">
        <f t="shared" si="38"/>
        <v/>
      </c>
      <c r="AO73" s="782" t="str">
        <f t="shared" si="24"/>
        <v/>
      </c>
      <c r="AP73" s="783" t="str">
        <f t="shared" si="25"/>
        <v/>
      </c>
      <c r="AQ73" s="2083" t="b">
        <f>AND(Q73="A",COUNTIF(BP16:BR63,TRIM(Z73))&gt;0)</f>
        <v>0</v>
      </c>
      <c r="AR73" s="797" t="str">
        <f>IF(AL73&lt;&gt;"A","",IFERROR(IFERROR(_xlfn.XLOOKUP(TRIM(SUBSTITUTE(Z73,CHAR(160)," ")),BP16:BP63,BS16:BS63),IFERROR(_xlfn.XLOOKUP(TRIM(SUBSTITUTE(Z73,CHAR(160)," ")),BQ16:BQ63,BS16:BS63),_xlfn.XLOOKUP(TRIM(SUBSTITUTE(Z73,CHAR(160)," ")),BR16:BR63,BS16:BS63)))*Y73*IF(ISBLANK(V73),1,V73),0))</f>
        <v/>
      </c>
      <c r="AS73" s="784" t="str">
        <f t="shared" si="26"/>
        <v/>
      </c>
      <c r="AT73" s="1315" t="str">
        <f t="shared" si="27"/>
        <v/>
      </c>
      <c r="AU73" s="785">
        <f t="shared" si="28"/>
        <v>0</v>
      </c>
      <c r="AV73" s="785">
        <f t="shared" si="29"/>
        <v>0</v>
      </c>
      <c r="AW73" s="786">
        <f>IF(AK73="A",AY10,0)</f>
        <v>0</v>
      </c>
      <c r="AX73" s="5495" t="str">
        <f>IF(IFERROR(SEARCH("Adresse PC",TRIM(W73)),0)&gt;0,"▼ receta siguiente",IF(AK73="A",IF(AZ10&lt;&gt;"",AZ10&amp;" - ou.or.o ❾ + or - &gt;",""),""))</f>
        <v/>
      </c>
      <c r="AY73" s="1316"/>
      <c r="AZ73" s="787"/>
      <c r="BA73" s="788" t="str">
        <f t="shared" si="30"/>
        <v/>
      </c>
      <c r="BB73" s="789" t="str">
        <f>IF(AK73="A",IF(AQ73,IF(AND(AW73&lt;&gt;"",N(AW73)&gt;0),IFERROR(IFERROR(_xlfn.XLOOKUP(AP73,BP10:BP57,BT10:BT57),IFERROR(_xlfn.XLOOKUP(AP73,BQ10:BQ57,BT10:BT57),_xlfn.XLOOKUP(AP73,BR10:BR57,BT10:BT57,""))),""),""),""),"")</f>
        <v/>
      </c>
      <c r="BC73" s="811" cm="1">
        <f t="array" ref="BC73">IF(NOT(AQ73),0,IF(OR(BA73="",N(BA73)&lt;=0.000000001),"",IF(OR(AU73="",N(AU73)&lt;=0.000000001),0,IF(ISNUMBER(BA73),IFERROR(_xlfn.LET(_xlpm.ai_test,TRIM(AP73),_xlpm.r,IFERROR(_xlfn.XLOOKUP(_xlpm.ai_test,BP16:BP63,ROW(BP16:BP63),0,1),IFERROR(_xlfn.XLOOKUP(_xlpm.ai_test,BQ16:BQ63,ROW(BQ16:BQ63),0,1),_xlfn.XLOOKUP(_xlpm.ai_test,BR16:BR63,ROW(BR16:BR63),0,1))),_xlpm.p,_xlpm.r-MIN(ROW(BP16:BP63))+1,_xlpm.f,INDEX(BS16:BS63,_xlpm.p),_xlpm.u,INDEX(BT16:BT63,_xlpm.p),_xlpm.s,INDEX(BV16:BV63,_xlpm.p),_xlpm.q,N(BA73)/_xlpm.f,IF(_xlpm.q&gt;=_xlpm.s,ROUND(_xlpm.q,1)&amp;" "&amp;_xlpm.ai_test&amp;" = "&amp;ROUND(_xlpm.q*_xlpm.f,1)&amp;" "&amp;_xlpm.u,ROUND(_xlpm.q,1)&amp;" "&amp;_xlpm.ai_test)),""),""))))</f>
        <v>0</v>
      </c>
      <c r="BD73" s="801"/>
      <c r="BE73" s="788" t="str">
        <f t="shared" si="31"/>
        <v/>
      </c>
      <c r="BF73" s="789" t="str">
        <f t="shared" si="42"/>
        <v/>
      </c>
      <c r="BG73" s="790">
        <f t="shared" si="43"/>
        <v>0</v>
      </c>
      <c r="BH73" s="791" t="str">
        <f t="shared" si="44"/>
        <v/>
      </c>
      <c r="BI73" s="792">
        <v>1.5</v>
      </c>
      <c r="BJ73" s="793">
        <f t="shared" si="45"/>
        <v>0</v>
      </c>
      <c r="BK73" s="794" t="str">
        <f t="shared" si="39"/>
        <v/>
      </c>
      <c r="BL73" s="227" t="s">
        <v>21</v>
      </c>
      <c r="BM73" s="773">
        <f t="shared" si="36"/>
        <v>0</v>
      </c>
      <c r="BN73" s="774">
        <f t="shared" si="37"/>
        <v>0</v>
      </c>
      <c r="BP73" s="229" t="s">
        <v>1762</v>
      </c>
      <c r="BQ73" s="229"/>
      <c r="BR73" s="229"/>
      <c r="BS73" s="229"/>
      <c r="BT73" s="229"/>
      <c r="BU73" s="229"/>
      <c r="BV73" s="229"/>
      <c r="BW73" s="229"/>
      <c r="BX73"/>
      <c r="BY73"/>
      <c r="BZ73"/>
      <c r="CA73"/>
      <c r="CB73"/>
      <c r="CC73"/>
      <c r="CD73" s="781" t="str">
        <f t="shared" si="46"/>
        <v>►</v>
      </c>
      <c r="CE73" s="646"/>
      <c r="CF73" s="634"/>
      <c r="CG73" s="638"/>
      <c r="CH73" s="638"/>
      <c r="CI73" s="638"/>
      <c r="CJ73" s="719"/>
      <c r="CK73" s="851" t="s">
        <v>1744</v>
      </c>
      <c r="CL73" s="852" t="s">
        <v>1745</v>
      </c>
      <c r="CM73" s="853" t="s">
        <v>1746</v>
      </c>
      <c r="CN73" s="852" t="s">
        <v>1747</v>
      </c>
      <c r="CO73" s="852" t="s">
        <v>1748</v>
      </c>
      <c r="CP73" s="852" t="s">
        <v>1749</v>
      </c>
      <c r="CQ73" s="854" t="s">
        <v>1750</v>
      </c>
      <c r="CS73" s="851" t="s">
        <v>1744</v>
      </c>
      <c r="CT73" s="852" t="s">
        <v>1745</v>
      </c>
      <c r="CU73" s="853" t="s">
        <v>1746</v>
      </c>
      <c r="CV73" s="852" t="s">
        <v>1747</v>
      </c>
      <c r="CW73" s="852" t="s">
        <v>1748</v>
      </c>
      <c r="CX73" s="852" t="s">
        <v>1749</v>
      </c>
      <c r="CY73" s="854" t="s">
        <v>1750</v>
      </c>
      <c r="DA73" s="851" t="s">
        <v>1744</v>
      </c>
      <c r="DB73" s="852" t="s">
        <v>1745</v>
      </c>
      <c r="DC73" s="853" t="s">
        <v>1746</v>
      </c>
      <c r="DD73" s="852" t="s">
        <v>1747</v>
      </c>
      <c r="DE73" s="852" t="s">
        <v>1748</v>
      </c>
      <c r="DF73" s="852" t="s">
        <v>1749</v>
      </c>
      <c r="DG73" s="854" t="s">
        <v>1750</v>
      </c>
      <c r="DI73" s="3">
        <v>1</v>
      </c>
    </row>
    <row r="74" spans="1:113" s="627" customFormat="1" ht="21" customHeight="1" thickBot="1">
      <c r="A74" s="701" t="s">
        <v>21</v>
      </c>
      <c r="B74" s="2265" t="str" cm="1">
        <f t="array" ref="B74">SUMPRODUCT(--(D74:J74&lt;&gt;""), LEN(TRIM(SUBSTITUTE(D74:J74, CHAR(160), "")))) &amp; " Car."</f>
        <v>0 Car.</v>
      </c>
      <c r="C74" s="1376" t="str">
        <f>IF(ISBLANK(D74),"",LARGE(C13:C73,1)+1)</f>
        <v/>
      </c>
      <c r="D74" s="1833"/>
      <c r="E74" s="1810"/>
      <c r="F74" s="1810"/>
      <c r="G74" s="1810"/>
      <c r="H74" s="1810"/>
      <c r="I74" s="1810"/>
      <c r="J74" s="1810"/>
      <c r="K74" s="1810"/>
      <c r="L74" s="1811"/>
      <c r="M74" s="9"/>
      <c r="N74" s="19" t="str">
        <f t="shared" si="16"/>
        <v>►</v>
      </c>
      <c r="O74" s="1634" t="s">
        <v>8269</v>
      </c>
      <c r="P74" s="9"/>
      <c r="Q74" s="25" t="s">
        <v>15</v>
      </c>
      <c r="R74" s="2237"/>
      <c r="S74" s="2237"/>
      <c r="T74" s="2237"/>
      <c r="U74" s="2237"/>
      <c r="V74" s="2240"/>
      <c r="W74" s="2241"/>
      <c r="X74" s="2239"/>
      <c r="Y74" s="2242"/>
      <c r="Z74" s="2250"/>
      <c r="AA74" s="2244"/>
      <c r="AB74" s="2244"/>
      <c r="AC74" s="2245"/>
      <c r="AD74" s="2246"/>
      <c r="AE74" s="2247"/>
      <c r="AF74" s="2248"/>
      <c r="AG74" s="2249"/>
      <c r="AH74" s="2249"/>
      <c r="AI74" s="2238"/>
      <c r="AJ74" s="2264"/>
      <c r="AK74" s="6120" t="str">
        <f t="shared" si="19"/>
        <v>►</v>
      </c>
      <c r="AL74" s="781" t="str">
        <f t="shared" si="21"/>
        <v>►</v>
      </c>
      <c r="AM74" s="5498" t="str">
        <f t="shared" si="22"/>
        <v/>
      </c>
      <c r="AN74" s="783" t="str">
        <f t="shared" si="38"/>
        <v/>
      </c>
      <c r="AO74" s="782" t="str">
        <f t="shared" si="24"/>
        <v/>
      </c>
      <c r="AP74" s="783" t="str">
        <f t="shared" si="25"/>
        <v/>
      </c>
      <c r="AQ74" s="2083" t="b">
        <f>AND(Q74="A",COUNTIF(BP16:BR63,TRIM(Z74))&gt;0)</f>
        <v>0</v>
      </c>
      <c r="AR74" s="797" t="str">
        <f>IF(AL74&lt;&gt;"A","",IFERROR(IFERROR(_xlfn.XLOOKUP(TRIM(SUBSTITUTE(Z74,CHAR(160)," ")),BP16:BP63,BS16:BS63),IFERROR(_xlfn.XLOOKUP(TRIM(SUBSTITUTE(Z74,CHAR(160)," ")),BQ16:BQ63,BS16:BS63),_xlfn.XLOOKUP(TRIM(SUBSTITUTE(Z74,CHAR(160)," ")),BR16:BR63,BS16:BS63)))*Y74*IF(ISBLANK(V74),1,V74),0))</f>
        <v/>
      </c>
      <c r="AS74" s="784" t="str">
        <f t="shared" si="26"/>
        <v/>
      </c>
      <c r="AT74" s="1315" t="str">
        <f t="shared" si="27"/>
        <v/>
      </c>
      <c r="AU74" s="785">
        <f t="shared" si="28"/>
        <v>0</v>
      </c>
      <c r="AV74" s="785">
        <f t="shared" si="29"/>
        <v>0</v>
      </c>
      <c r="AW74" s="798">
        <f>IF(AK74="A",AY10,0)</f>
        <v>0</v>
      </c>
      <c r="AX74" s="5496" t="str">
        <f>IF(IFERROR(SEARCH("Adresse PC",TRIM(W74)),0)&gt;0,"▼ receta siguiente",IF(AK74="A",IF(AZ10&lt;&gt;"",AZ10&amp;" - ou.or.o ❾ + or - &gt;",""),""))</f>
        <v/>
      </c>
      <c r="AY74" s="1316"/>
      <c r="AZ74" s="787"/>
      <c r="BA74" s="799" t="str">
        <f t="shared" si="30"/>
        <v/>
      </c>
      <c r="BB74" s="800" t="str">
        <f>IF(AK74="A",IF(AQ74,IF(AND(AW74&lt;&gt;"",N(AW74)&gt;0),IFERROR(IFERROR(_xlfn.XLOOKUP(AP74,BP10:BP57,BT10:BT57),IFERROR(_xlfn.XLOOKUP(AP74,BQ10:BQ57,BT10:BT57),_xlfn.XLOOKUP(AP74,BR10:BR57,BT10:BT57,""))),""),""),""),"")</f>
        <v/>
      </c>
      <c r="BC74" s="813" cm="1">
        <f t="array" ref="BC74">IF(NOT(AQ74),0,IF(OR(BA74="",N(BA74)&lt;=0.000000001),"",IF(OR(AU74="",N(AU74)&lt;=0.000000001),0,IF(ISNUMBER(BA74),IFERROR(_xlfn.LET(_xlpm.ai_test,TRIM(AP74),_xlpm.r,IFERROR(_xlfn.XLOOKUP(_xlpm.ai_test,BP16:BP63,ROW(BP16:BP63),0,1),IFERROR(_xlfn.XLOOKUP(_xlpm.ai_test,BQ16:BQ63,ROW(BQ16:BQ63),0,1),_xlfn.XLOOKUP(_xlpm.ai_test,BR16:BR63,ROW(BR16:BR63),0,1))),_xlpm.p,_xlpm.r-MIN(ROW(BP16:BP63))+1,_xlpm.f,INDEX(BS16:BS63,_xlpm.p),_xlpm.u,INDEX(BT16:BT63,_xlpm.p),_xlpm.s,INDEX(BV16:BV63,_xlpm.p),_xlpm.q,N(BA74)/_xlpm.f,IF(_xlpm.q&gt;=_xlpm.s,ROUND(_xlpm.q,1)&amp;" "&amp;_xlpm.ai_test&amp;" = "&amp;ROUND(_xlpm.q*_xlpm.f,1)&amp;" "&amp;_xlpm.u,ROUND(_xlpm.q,1)&amp;" "&amp;_xlpm.ai_test)),""),""))))</f>
        <v>0</v>
      </c>
      <c r="BD74" s="801"/>
      <c r="BE74" s="799" t="str">
        <f t="shared" si="31"/>
        <v/>
      </c>
      <c r="BF74" s="800" t="str">
        <f t="shared" si="42"/>
        <v/>
      </c>
      <c r="BG74" s="802">
        <f t="shared" si="43"/>
        <v>0</v>
      </c>
      <c r="BH74" s="803" t="str">
        <f t="shared" si="44"/>
        <v/>
      </c>
      <c r="BI74" s="792">
        <v>1.5</v>
      </c>
      <c r="BJ74" s="804">
        <f t="shared" si="45"/>
        <v>0</v>
      </c>
      <c r="BK74" s="794" t="str">
        <f t="shared" si="39"/>
        <v/>
      </c>
      <c r="BL74" s="227" t="s">
        <v>21</v>
      </c>
      <c r="BM74" s="773">
        <f t="shared" si="36"/>
        <v>0</v>
      </c>
      <c r="BN74" s="774">
        <f t="shared" si="37"/>
        <v>0</v>
      </c>
      <c r="BX74"/>
      <c r="BY74"/>
      <c r="BZ74"/>
      <c r="CA74"/>
      <c r="CB74"/>
      <c r="CC74"/>
      <c r="CD74" s="781" t="str">
        <f t="shared" si="46"/>
        <v>►</v>
      </c>
      <c r="CE74" s="865" t="s">
        <v>841</v>
      </c>
      <c r="CF74" s="638"/>
      <c r="CG74" s="638"/>
      <c r="CH74" s="638"/>
      <c r="CI74" s="638"/>
      <c r="CJ74" s="719"/>
      <c r="CK74" s="851" t="s">
        <v>1752</v>
      </c>
      <c r="CL74" s="852" t="s">
        <v>1753</v>
      </c>
      <c r="CM74" s="852" t="s">
        <v>1754</v>
      </c>
      <c r="CN74" s="852" t="s">
        <v>15</v>
      </c>
      <c r="CO74" s="852" t="s">
        <v>1755</v>
      </c>
      <c r="CP74" s="852" t="s">
        <v>829</v>
      </c>
      <c r="CQ74" s="854" t="s">
        <v>1756</v>
      </c>
      <c r="CS74" s="851" t="s">
        <v>1752</v>
      </c>
      <c r="CT74" s="852" t="s">
        <v>1753</v>
      </c>
      <c r="CU74" s="852" t="s">
        <v>1754</v>
      </c>
      <c r="CV74" s="852" t="s">
        <v>15</v>
      </c>
      <c r="CW74" s="852" t="s">
        <v>1755</v>
      </c>
      <c r="CX74" s="852" t="s">
        <v>829</v>
      </c>
      <c r="CY74" s="854" t="s">
        <v>1756</v>
      </c>
      <c r="DA74" s="851" t="s">
        <v>1752</v>
      </c>
      <c r="DB74" s="852" t="s">
        <v>1753</v>
      </c>
      <c r="DC74" s="852" t="s">
        <v>1754</v>
      </c>
      <c r="DD74" s="852" t="s">
        <v>15</v>
      </c>
      <c r="DE74" s="852" t="s">
        <v>1755</v>
      </c>
      <c r="DF74" s="852" t="s">
        <v>829</v>
      </c>
      <c r="DG74" s="854" t="s">
        <v>1756</v>
      </c>
      <c r="DI74" s="3">
        <v>1</v>
      </c>
    </row>
    <row r="75" spans="1:113" s="627" customFormat="1" ht="21" customHeight="1">
      <c r="A75" s="701" t="s">
        <v>21</v>
      </c>
      <c r="B75" s="2265" t="str" cm="1">
        <f t="array" ref="B75">SUMPRODUCT(--(D75:J75&lt;&gt;""), LEN(TRIM(SUBSTITUTE(D75:J75, CHAR(160), "")))) &amp; " Car."</f>
        <v>0 Car.</v>
      </c>
      <c r="C75" s="1376" t="str">
        <f>IF(ISBLANK(D75),"",LARGE(C13:C74,1)+1)</f>
        <v/>
      </c>
      <c r="D75" s="1833"/>
      <c r="E75" s="1810"/>
      <c r="F75" s="1810"/>
      <c r="G75" s="1810"/>
      <c r="H75" s="1810"/>
      <c r="I75" s="1810"/>
      <c r="J75" s="1810"/>
      <c r="K75" s="1810"/>
      <c r="L75" s="1811"/>
      <c r="M75" s="9"/>
      <c r="N75" s="25" t="str">
        <f t="shared" si="16"/>
        <v>►</v>
      </c>
      <c r="O75" s="1616"/>
      <c r="P75" s="9"/>
      <c r="Q75" s="25" t="s">
        <v>15</v>
      </c>
      <c r="R75" s="2237"/>
      <c r="S75" s="2237"/>
      <c r="T75" s="2237"/>
      <c r="U75" s="2237"/>
      <c r="V75" s="2240"/>
      <c r="W75" s="2241"/>
      <c r="X75" s="2239"/>
      <c r="Y75" s="2242"/>
      <c r="Z75" s="2250"/>
      <c r="AA75" s="2244"/>
      <c r="AB75" s="2244"/>
      <c r="AC75" s="2245"/>
      <c r="AD75" s="2246"/>
      <c r="AE75" s="2247"/>
      <c r="AF75" s="2248"/>
      <c r="AG75" s="2249"/>
      <c r="AH75" s="2249"/>
      <c r="AI75" s="2238"/>
      <c r="AJ75" s="2264"/>
      <c r="AK75" s="6120" t="str">
        <f t="shared" si="19"/>
        <v>►</v>
      </c>
      <c r="AL75" s="781" t="str">
        <f t="shared" si="21"/>
        <v>►</v>
      </c>
      <c r="AM75" s="5499" t="str">
        <f t="shared" si="22"/>
        <v/>
      </c>
      <c r="AN75" s="783" t="str">
        <f t="shared" si="38"/>
        <v/>
      </c>
      <c r="AO75" s="782" t="str">
        <f t="shared" si="24"/>
        <v/>
      </c>
      <c r="AP75" s="783" t="str">
        <f t="shared" si="25"/>
        <v/>
      </c>
      <c r="AQ75" s="2083" t="b">
        <f>AND(Q75="A",COUNTIF(BP16:BR63,TRIM(Z75))&gt;0)</f>
        <v>0</v>
      </c>
      <c r="AR75" s="797" t="str">
        <f>IF(AL75&lt;&gt;"A","",IFERROR(IFERROR(_xlfn.XLOOKUP(TRIM(SUBSTITUTE(Z75,CHAR(160)," ")),BP16:BP63,BS16:BS63),IFERROR(_xlfn.XLOOKUP(TRIM(SUBSTITUTE(Z75,CHAR(160)," ")),BQ16:BQ63,BS16:BS63),_xlfn.XLOOKUP(TRIM(SUBSTITUTE(Z75,CHAR(160)," ")),BR16:BR63,BS16:BS63)))*Y75*IF(ISBLANK(V75),1,V75),0))</f>
        <v/>
      </c>
      <c r="AS75" s="784" t="str">
        <f t="shared" si="26"/>
        <v/>
      </c>
      <c r="AT75" s="1315" t="str">
        <f t="shared" si="27"/>
        <v/>
      </c>
      <c r="AU75" s="785">
        <f t="shared" si="28"/>
        <v>0</v>
      </c>
      <c r="AV75" s="785">
        <f t="shared" si="29"/>
        <v>0</v>
      </c>
      <c r="AW75" s="786">
        <f>IF(AK75="A",AY10,0)</f>
        <v>0</v>
      </c>
      <c r="AX75" s="5495" t="str">
        <f>IF(IFERROR(SEARCH("Adresse PC",TRIM(W75)),0)&gt;0,"▼ receta siguiente",IF(AK75="A",IF(AZ10&lt;&gt;"",AZ10&amp;" - ou.or.o ❾ + or - &gt;",""),""))</f>
        <v/>
      </c>
      <c r="AY75" s="1316"/>
      <c r="AZ75" s="787"/>
      <c r="BA75" s="788" t="str">
        <f t="shared" si="30"/>
        <v/>
      </c>
      <c r="BB75" s="789" t="str">
        <f>IF(AK75="A",IF(AQ75,IF(AND(AW75&lt;&gt;"",N(AW75)&gt;0),IFERROR(IFERROR(_xlfn.XLOOKUP(AP75,BP10:BP57,BT10:BT57),IFERROR(_xlfn.XLOOKUP(AP75,BQ10:BQ57,BT10:BT57),_xlfn.XLOOKUP(AP75,BR10:BR57,BT10:BT57,""))),""),""),""),"")</f>
        <v/>
      </c>
      <c r="BC75" s="811" cm="1">
        <f t="array" ref="BC75">IF(NOT(AQ75),0,IF(OR(BA75="",N(BA75)&lt;=0.000000001),"",IF(OR(AU75="",N(AU75)&lt;=0.000000001),0,IF(ISNUMBER(BA75),IFERROR(_xlfn.LET(_xlpm.ai_test,TRIM(AP75),_xlpm.r,IFERROR(_xlfn.XLOOKUP(_xlpm.ai_test,BP16:BP63,ROW(BP16:BP63),0,1),IFERROR(_xlfn.XLOOKUP(_xlpm.ai_test,BQ16:BQ63,ROW(BQ16:BQ63),0,1),_xlfn.XLOOKUP(_xlpm.ai_test,BR16:BR63,ROW(BR16:BR63),0,1))),_xlpm.p,_xlpm.r-MIN(ROW(BP16:BP63))+1,_xlpm.f,INDEX(BS16:BS63,_xlpm.p),_xlpm.u,INDEX(BT16:BT63,_xlpm.p),_xlpm.s,INDEX(BV16:BV63,_xlpm.p),_xlpm.q,N(BA75)/_xlpm.f,IF(_xlpm.q&gt;=_xlpm.s,ROUND(_xlpm.q,1)&amp;" "&amp;_xlpm.ai_test&amp;" = "&amp;ROUND(_xlpm.q*_xlpm.f,1)&amp;" "&amp;_xlpm.u,ROUND(_xlpm.q,1)&amp;" "&amp;_xlpm.ai_test)),""),""))))</f>
        <v>0</v>
      </c>
      <c r="BD75" s="801"/>
      <c r="BE75" s="788" t="str">
        <f t="shared" si="31"/>
        <v/>
      </c>
      <c r="BF75" s="789" t="str">
        <f t="shared" si="42"/>
        <v/>
      </c>
      <c r="BG75" s="790">
        <f t="shared" si="43"/>
        <v>0</v>
      </c>
      <c r="BH75" s="791" t="str">
        <f t="shared" si="44"/>
        <v/>
      </c>
      <c r="BI75" s="792">
        <v>1.5</v>
      </c>
      <c r="BJ75" s="793">
        <f t="shared" si="45"/>
        <v>0</v>
      </c>
      <c r="BK75" s="794" t="str">
        <f t="shared" si="39"/>
        <v/>
      </c>
      <c r="BL75" s="227" t="s">
        <v>21</v>
      </c>
      <c r="BM75" s="773">
        <f t="shared" si="36"/>
        <v>0</v>
      </c>
      <c r="BN75" s="774">
        <f t="shared" si="37"/>
        <v>0</v>
      </c>
      <c r="BP75" s="6848" t="s">
        <v>1763</v>
      </c>
      <c r="BQ75" s="6849"/>
      <c r="BR75" s="6849"/>
      <c r="BS75" s="6849"/>
      <c r="BT75" s="6849"/>
      <c r="BU75" s="6849"/>
      <c r="BV75" s="6849"/>
      <c r="BW75" s="6849"/>
      <c r="BX75" s="6849"/>
      <c r="BY75" s="6849"/>
      <c r="BZ75" s="6849"/>
      <c r="CA75" s="6849"/>
      <c r="CB75" s="6850"/>
      <c r="CC75"/>
      <c r="CD75" s="781" t="str">
        <f t="shared" si="46"/>
        <v>►</v>
      </c>
      <c r="CE75" s="866">
        <v>1</v>
      </c>
      <c r="CF75" s="638"/>
      <c r="CG75" s="638"/>
      <c r="CH75" s="638"/>
      <c r="CI75" s="638"/>
      <c r="CJ75" s="719"/>
      <c r="CK75" s="645"/>
      <c r="CL75" s="117"/>
      <c r="CM75" s="117"/>
      <c r="CN75" s="117"/>
      <c r="CO75" s="117"/>
      <c r="CP75" s="117"/>
      <c r="CQ75" s="840" t="s">
        <v>2398</v>
      </c>
      <c r="CS75" s="645"/>
      <c r="CT75" s="117"/>
      <c r="CU75" s="117"/>
      <c r="CV75" s="117"/>
      <c r="CW75" s="117"/>
      <c r="CX75" s="117"/>
      <c r="CY75" s="840" t="s">
        <v>2398</v>
      </c>
      <c r="DA75" s="6475" t="s">
        <v>1757</v>
      </c>
      <c r="DB75" s="6476"/>
      <c r="DC75" s="6476"/>
      <c r="DD75" s="6476"/>
      <c r="DE75" s="6476"/>
      <c r="DF75" s="6476"/>
      <c r="DG75" s="6477"/>
      <c r="DI75" s="3">
        <v>1</v>
      </c>
    </row>
    <row r="76" spans="1:113" s="627" customFormat="1" ht="21" customHeight="1">
      <c r="A76" s="701" t="s">
        <v>21</v>
      </c>
      <c r="B76" s="2265" t="str" cm="1">
        <f t="array" ref="B76">SUMPRODUCT(--(D76:J76&lt;&gt;""), LEN(TRIM(SUBSTITUTE(D76:J76, CHAR(160), "")))) &amp; " Car."</f>
        <v>0 Car.</v>
      </c>
      <c r="C76" s="1376" t="str">
        <f>IF(ISBLANK(D76),"",LARGE(C13:C75,1)+1)</f>
        <v/>
      </c>
      <c r="D76" s="1833"/>
      <c r="E76" s="1810"/>
      <c r="F76" s="1810"/>
      <c r="G76" s="1810"/>
      <c r="H76" s="1810"/>
      <c r="I76" s="1810"/>
      <c r="J76" s="1810"/>
      <c r="K76" s="1810"/>
      <c r="L76" s="1811"/>
      <c r="M76" s="9"/>
      <c r="N76" s="25" t="str">
        <f t="shared" si="16"/>
        <v>►</v>
      </c>
      <c r="O76" s="1613"/>
      <c r="P76" s="9"/>
      <c r="Q76" s="25" t="s">
        <v>15</v>
      </c>
      <c r="R76" s="2237"/>
      <c r="S76" s="2237"/>
      <c r="T76" s="2237"/>
      <c r="U76" s="2237"/>
      <c r="V76" s="2240"/>
      <c r="W76" s="2241"/>
      <c r="X76" s="2239"/>
      <c r="Y76" s="2242"/>
      <c r="Z76" s="2250"/>
      <c r="AA76" s="2244"/>
      <c r="AB76" s="2244"/>
      <c r="AC76" s="2245"/>
      <c r="AD76" s="2246"/>
      <c r="AE76" s="2247"/>
      <c r="AF76" s="2248"/>
      <c r="AG76" s="2249"/>
      <c r="AH76" s="2249"/>
      <c r="AI76" s="2238"/>
      <c r="AJ76" s="2264"/>
      <c r="AK76" s="6120" t="str">
        <f t="shared" si="19"/>
        <v>►</v>
      </c>
      <c r="AL76" s="781" t="str">
        <f t="shared" si="21"/>
        <v>►</v>
      </c>
      <c r="AM76" s="5498" t="str">
        <f t="shared" si="22"/>
        <v/>
      </c>
      <c r="AN76" s="783" t="str">
        <f t="shared" si="38"/>
        <v/>
      </c>
      <c r="AO76" s="782" t="str">
        <f t="shared" si="24"/>
        <v/>
      </c>
      <c r="AP76" s="783" t="str">
        <f t="shared" si="25"/>
        <v/>
      </c>
      <c r="AQ76" s="2083" t="b">
        <f>AND(Q76="A",COUNTIF(BP16:BR63,TRIM(Z76))&gt;0)</f>
        <v>0</v>
      </c>
      <c r="AR76" s="797" t="str">
        <f>IF(AL76&lt;&gt;"A","",IFERROR(IFERROR(_xlfn.XLOOKUP(TRIM(SUBSTITUTE(Z76,CHAR(160)," ")),BP16:BP63,BS16:BS63),IFERROR(_xlfn.XLOOKUP(TRIM(SUBSTITUTE(Z76,CHAR(160)," ")),BQ16:BQ63,BS16:BS63),_xlfn.XLOOKUP(TRIM(SUBSTITUTE(Z76,CHAR(160)," ")),BR16:BR63,BS16:BS63)))*Y76*IF(ISBLANK(V76),1,V76),0))</f>
        <v/>
      </c>
      <c r="AS76" s="784" t="str">
        <f t="shared" si="26"/>
        <v/>
      </c>
      <c r="AT76" s="1315" t="str">
        <f t="shared" si="27"/>
        <v/>
      </c>
      <c r="AU76" s="785">
        <f t="shared" si="28"/>
        <v>0</v>
      </c>
      <c r="AV76" s="785">
        <f t="shared" si="29"/>
        <v>0</v>
      </c>
      <c r="AW76" s="798">
        <f>IF(AK76="A",AY10,0)</f>
        <v>0</v>
      </c>
      <c r="AX76" s="5496" t="str">
        <f>IF(IFERROR(SEARCH("Adresse PC",TRIM(W76)),0)&gt;0,"▼ receta siguiente",IF(AK76="A",IF(AZ10&lt;&gt;"",AZ10&amp;" - ou.or.o ❾ + or - &gt;",""),""))</f>
        <v/>
      </c>
      <c r="AY76" s="1316"/>
      <c r="AZ76" s="787"/>
      <c r="BA76" s="799" t="str">
        <f t="shared" si="30"/>
        <v/>
      </c>
      <c r="BB76" s="800" t="str">
        <f>IF(AK76="A",IF(AQ76,IF(AND(AW76&lt;&gt;"",N(AW76)&gt;0),IFERROR(IFERROR(_xlfn.XLOOKUP(AP76,BP10:BP57,BT10:BT57),IFERROR(_xlfn.XLOOKUP(AP76,BQ10:BQ57,BT10:BT57),_xlfn.XLOOKUP(AP76,BR10:BR57,BT10:BT57,""))),""),""),""),"")</f>
        <v/>
      </c>
      <c r="BC76" s="813" cm="1">
        <f t="array" ref="BC76">IF(NOT(AQ76),0,IF(OR(BA76="",N(BA76)&lt;=0.000000001),"",IF(OR(AU76="",N(AU76)&lt;=0.000000001),0,IF(ISNUMBER(BA76),IFERROR(_xlfn.LET(_xlpm.ai_test,TRIM(AP76),_xlpm.r,IFERROR(_xlfn.XLOOKUP(_xlpm.ai_test,BP16:BP63,ROW(BP16:BP63),0,1),IFERROR(_xlfn.XLOOKUP(_xlpm.ai_test,BQ16:BQ63,ROW(BQ16:BQ63),0,1),_xlfn.XLOOKUP(_xlpm.ai_test,BR16:BR63,ROW(BR16:BR63),0,1))),_xlpm.p,_xlpm.r-MIN(ROW(BP16:BP63))+1,_xlpm.f,INDEX(BS16:BS63,_xlpm.p),_xlpm.u,INDEX(BT16:BT63,_xlpm.p),_xlpm.s,INDEX(BV16:BV63,_xlpm.p),_xlpm.q,N(BA76)/_xlpm.f,IF(_xlpm.q&gt;=_xlpm.s,ROUND(_xlpm.q,1)&amp;" "&amp;_xlpm.ai_test&amp;" = "&amp;ROUND(_xlpm.q*_xlpm.f,1)&amp;" "&amp;_xlpm.u,ROUND(_xlpm.q,1)&amp;" "&amp;_xlpm.ai_test)),""),""))))</f>
        <v>0</v>
      </c>
      <c r="BD76" s="801"/>
      <c r="BE76" s="799" t="str">
        <f t="shared" si="31"/>
        <v/>
      </c>
      <c r="BF76" s="800" t="str">
        <f t="shared" si="42"/>
        <v/>
      </c>
      <c r="BG76" s="802">
        <f t="shared" si="43"/>
        <v>0</v>
      </c>
      <c r="BH76" s="803" t="str">
        <f t="shared" si="44"/>
        <v/>
      </c>
      <c r="BI76" s="792">
        <v>1.5</v>
      </c>
      <c r="BJ76" s="804">
        <f t="shared" si="45"/>
        <v>0</v>
      </c>
      <c r="BK76" s="794" t="str">
        <f t="shared" si="39"/>
        <v/>
      </c>
      <c r="BL76" s="227" t="s">
        <v>21</v>
      </c>
      <c r="BM76" s="773">
        <f t="shared" si="36"/>
        <v>0</v>
      </c>
      <c r="BN76" s="774">
        <f t="shared" si="37"/>
        <v>0</v>
      </c>
      <c r="BP76" s="6851"/>
      <c r="BQ76" s="6852"/>
      <c r="BR76" s="6852"/>
      <c r="BS76" s="6852"/>
      <c r="BT76" s="6852"/>
      <c r="BU76" s="6852"/>
      <c r="BV76" s="6852"/>
      <c r="BW76" s="6852"/>
      <c r="BX76" s="6852"/>
      <c r="BY76" s="6852"/>
      <c r="BZ76" s="6852"/>
      <c r="CA76" s="6852"/>
      <c r="CB76" s="6853"/>
      <c r="CC76"/>
      <c r="CD76" s="781" t="str">
        <f t="shared" si="46"/>
        <v>►</v>
      </c>
      <c r="CE76" s="646" t="s">
        <v>842</v>
      </c>
      <c r="CF76" s="638"/>
      <c r="CG76" s="638"/>
      <c r="CH76" s="638"/>
      <c r="CI76" s="638"/>
      <c r="CJ76" s="719"/>
      <c r="CK76" s="645"/>
      <c r="CL76" s="117"/>
      <c r="CM76" s="117"/>
      <c r="CN76" s="117"/>
      <c r="CO76" s="117"/>
      <c r="CP76" s="117"/>
      <c r="CQ76" s="840"/>
      <c r="CS76" s="645"/>
      <c r="CT76" s="117"/>
      <c r="CU76" s="117"/>
      <c r="CV76" s="117"/>
      <c r="CW76" s="117"/>
      <c r="CX76" s="117"/>
      <c r="CY76" s="840"/>
      <c r="DA76" s="6475"/>
      <c r="DB76" s="6476"/>
      <c r="DC76" s="6476"/>
      <c r="DD76" s="6476"/>
      <c r="DE76" s="6476"/>
      <c r="DF76" s="6476"/>
      <c r="DG76" s="6477"/>
      <c r="DI76" s="3">
        <v>1</v>
      </c>
    </row>
    <row r="77" spans="1:113" s="627" customFormat="1" ht="21" customHeight="1">
      <c r="A77" s="701" t="s">
        <v>21</v>
      </c>
      <c r="B77" s="2265" t="str" cm="1">
        <f t="array" ref="B77">SUMPRODUCT(--(D77:J77&lt;&gt;""), LEN(TRIM(SUBSTITUTE(D77:J77, CHAR(160), "")))) &amp; " Car."</f>
        <v>0 Car.</v>
      </c>
      <c r="C77" s="1376" t="str">
        <f>IF(ISBLANK(D77),"",LARGE(C13:C76,1)+1)</f>
        <v/>
      </c>
      <c r="D77" s="1833"/>
      <c r="E77" s="1810"/>
      <c r="F77" s="1810"/>
      <c r="G77" s="1810"/>
      <c r="H77" s="1810"/>
      <c r="I77" s="1810"/>
      <c r="J77" s="1810"/>
      <c r="K77" s="1810"/>
      <c r="L77" s="1811"/>
      <c r="M77" s="9"/>
      <c r="N77" s="25" t="str">
        <f t="shared" si="16"/>
        <v>►</v>
      </c>
      <c r="O77" s="1621" t="s">
        <v>8271</v>
      </c>
      <c r="P77" s="9"/>
      <c r="Q77" s="25" t="s">
        <v>15</v>
      </c>
      <c r="R77" s="2237"/>
      <c r="S77" s="2237"/>
      <c r="T77" s="2237"/>
      <c r="U77" s="2237"/>
      <c r="V77" s="2240"/>
      <c r="W77" s="2241"/>
      <c r="X77" s="2239"/>
      <c r="Y77" s="2242"/>
      <c r="Z77" s="2250"/>
      <c r="AA77" s="2244"/>
      <c r="AB77" s="2244"/>
      <c r="AC77" s="2245"/>
      <c r="AD77" s="2246"/>
      <c r="AE77" s="2247"/>
      <c r="AF77" s="2248"/>
      <c r="AG77" s="2249"/>
      <c r="AH77" s="2249"/>
      <c r="AI77" s="2238"/>
      <c r="AJ77" s="2264"/>
      <c r="AK77" s="6120" t="str">
        <f t="shared" si="19"/>
        <v>►</v>
      </c>
      <c r="AL77" s="781" t="str">
        <f t="shared" si="21"/>
        <v>►</v>
      </c>
      <c r="AM77" s="5499" t="str">
        <f t="shared" si="22"/>
        <v/>
      </c>
      <c r="AN77" s="783" t="str">
        <f t="shared" si="38"/>
        <v/>
      </c>
      <c r="AO77" s="782" t="str">
        <f t="shared" si="24"/>
        <v/>
      </c>
      <c r="AP77" s="783" t="str">
        <f t="shared" si="25"/>
        <v/>
      </c>
      <c r="AQ77" s="2083" t="b">
        <f>AND(Q77="A",COUNTIF(BP16:BR63,TRIM(Z77))&gt;0)</f>
        <v>0</v>
      </c>
      <c r="AR77" s="797" t="str">
        <f>IF(AL77&lt;&gt;"A","",IFERROR(IFERROR(_xlfn.XLOOKUP(TRIM(SUBSTITUTE(Z77,CHAR(160)," ")),BP16:BP63,BS16:BS63),IFERROR(_xlfn.XLOOKUP(TRIM(SUBSTITUTE(Z77,CHAR(160)," ")),BQ16:BQ63,BS16:BS63),_xlfn.XLOOKUP(TRIM(SUBSTITUTE(Z77,CHAR(160)," ")),BR16:BR63,BS16:BS63)))*Y77*IF(ISBLANK(V77),1,V77),0))</f>
        <v/>
      </c>
      <c r="AS77" s="784" t="str">
        <f t="shared" si="26"/>
        <v/>
      </c>
      <c r="AT77" s="1315" t="str">
        <f t="shared" si="27"/>
        <v/>
      </c>
      <c r="AU77" s="785">
        <f t="shared" si="28"/>
        <v>0</v>
      </c>
      <c r="AV77" s="785">
        <f t="shared" si="29"/>
        <v>0</v>
      </c>
      <c r="AW77" s="786">
        <f>IF(AK77="A",AY10,0)</f>
        <v>0</v>
      </c>
      <c r="AX77" s="5495" t="str">
        <f>IF(IFERROR(SEARCH("Adresse PC",TRIM(W77)),0)&gt;0,"▼ receta siguiente",IF(AK77="A",IF(AZ10&lt;&gt;"",AZ10&amp;" - ou.or.o ❾ + or - &gt;",""),""))</f>
        <v/>
      </c>
      <c r="AY77" s="1316"/>
      <c r="AZ77" s="787"/>
      <c r="BA77" s="788" t="str">
        <f t="shared" si="30"/>
        <v/>
      </c>
      <c r="BB77" s="789" t="str">
        <f>IF(AK77="A",IF(AQ77,IF(AND(AW77&lt;&gt;"",N(AW77)&gt;0),IFERROR(IFERROR(_xlfn.XLOOKUP(AP77,BP10:BP57,BT10:BT57),IFERROR(_xlfn.XLOOKUP(AP77,BQ10:BQ57,BT10:BT57),_xlfn.XLOOKUP(AP77,BR10:BR57,BT10:BT57,""))),""),""),""),"")</f>
        <v/>
      </c>
      <c r="BC77" s="811" cm="1">
        <f t="array" ref="BC77">IF(NOT(AQ77),0,IF(OR(BA77="",N(BA77)&lt;=0.000000001),"",IF(OR(AU77="",N(AU77)&lt;=0.000000001),0,IF(ISNUMBER(BA77),IFERROR(_xlfn.LET(_xlpm.ai_test,TRIM(AP77),_xlpm.r,IFERROR(_xlfn.XLOOKUP(_xlpm.ai_test,BP16:BP63,ROW(BP16:BP63),0,1),IFERROR(_xlfn.XLOOKUP(_xlpm.ai_test,BQ16:BQ63,ROW(BQ16:BQ63),0,1),_xlfn.XLOOKUP(_xlpm.ai_test,BR16:BR63,ROW(BR16:BR63),0,1))),_xlpm.p,_xlpm.r-MIN(ROW(BP16:BP63))+1,_xlpm.f,INDEX(BS16:BS63,_xlpm.p),_xlpm.u,INDEX(BT16:BT63,_xlpm.p),_xlpm.s,INDEX(BV16:BV63,_xlpm.p),_xlpm.q,N(BA77)/_xlpm.f,IF(_xlpm.q&gt;=_xlpm.s,ROUND(_xlpm.q,1)&amp;" "&amp;_xlpm.ai_test&amp;" = "&amp;ROUND(_xlpm.q*_xlpm.f,1)&amp;" "&amp;_xlpm.u,ROUND(_xlpm.q,1)&amp;" "&amp;_xlpm.ai_test)),""),""))))</f>
        <v>0</v>
      </c>
      <c r="BD77" s="801"/>
      <c r="BE77" s="788" t="str">
        <f t="shared" si="31"/>
        <v/>
      </c>
      <c r="BF77" s="789" t="str">
        <f t="shared" si="42"/>
        <v/>
      </c>
      <c r="BG77" s="790">
        <f t="shared" si="43"/>
        <v>0</v>
      </c>
      <c r="BH77" s="791" t="str">
        <f t="shared" si="44"/>
        <v/>
      </c>
      <c r="BI77" s="792">
        <v>1.5</v>
      </c>
      <c r="BJ77" s="793">
        <f t="shared" si="45"/>
        <v>0</v>
      </c>
      <c r="BK77" s="794" t="str">
        <f t="shared" si="39"/>
        <v/>
      </c>
      <c r="BL77" s="227" t="s">
        <v>21</v>
      </c>
      <c r="BM77" s="773">
        <f t="shared" si="36"/>
        <v>0</v>
      </c>
      <c r="BN77" s="774">
        <f t="shared" si="37"/>
        <v>0</v>
      </c>
      <c r="BP77" s="627" t="s">
        <v>2400</v>
      </c>
      <c r="CC77"/>
      <c r="CD77" s="781" t="str">
        <f t="shared" si="46"/>
        <v>►</v>
      </c>
      <c r="CE77" s="647" t="s">
        <v>843</v>
      </c>
      <c r="CF77" s="638"/>
      <c r="CG77" s="638"/>
      <c r="CH77" s="638"/>
      <c r="CI77" s="638"/>
      <c r="CJ77" s="719"/>
      <c r="CK77" s="859">
        <v>19</v>
      </c>
      <c r="CL77" s="860">
        <v>18</v>
      </c>
      <c r="CM77" s="860">
        <v>10</v>
      </c>
      <c r="CN77" s="860">
        <v>16</v>
      </c>
      <c r="CO77" s="860">
        <v>16</v>
      </c>
      <c r="CP77" s="860">
        <v>11</v>
      </c>
      <c r="CQ77" s="861">
        <v>40</v>
      </c>
      <c r="CS77" s="859">
        <v>19</v>
      </c>
      <c r="CT77" s="860">
        <v>18</v>
      </c>
      <c r="CU77" s="860">
        <v>10</v>
      </c>
      <c r="CV77" s="860">
        <v>16</v>
      </c>
      <c r="CW77" s="860">
        <v>16</v>
      </c>
      <c r="CX77" s="860">
        <v>11</v>
      </c>
      <c r="CY77" s="861">
        <v>40</v>
      </c>
      <c r="DA77" s="859">
        <v>19</v>
      </c>
      <c r="DB77" s="860">
        <v>18</v>
      </c>
      <c r="DC77" s="860">
        <v>10</v>
      </c>
      <c r="DD77" s="860">
        <v>16</v>
      </c>
      <c r="DE77" s="860">
        <v>16</v>
      </c>
      <c r="DF77" s="860">
        <v>11</v>
      </c>
      <c r="DG77" s="861">
        <v>40</v>
      </c>
      <c r="DI77" s="3">
        <v>1</v>
      </c>
    </row>
    <row r="78" spans="1:113" s="627" customFormat="1" ht="21" customHeight="1" thickBot="1">
      <c r="A78" s="701" t="s">
        <v>21</v>
      </c>
      <c r="B78" s="2265" t="str" cm="1">
        <f t="array" ref="B78">SUMPRODUCT(--(D78:J78&lt;&gt;""), LEN(TRIM(SUBSTITUTE(D78:J78, CHAR(160), "")))) &amp; " Car."</f>
        <v>0 Car.</v>
      </c>
      <c r="C78" s="1376" t="str">
        <f>IF(ISBLANK(D78),"",LARGE(C13:C77,1)+1)</f>
        <v/>
      </c>
      <c r="D78" s="1833"/>
      <c r="E78" s="1810"/>
      <c r="F78" s="1810"/>
      <c r="G78" s="1810"/>
      <c r="H78" s="1810"/>
      <c r="I78" s="1810"/>
      <c r="J78" s="1810"/>
      <c r="K78" s="1810"/>
      <c r="L78" s="1811"/>
      <c r="M78" s="9"/>
      <c r="N78" s="25" t="str">
        <f t="shared" ref="N78:N141" si="47">Q78</f>
        <v>►</v>
      </c>
      <c r="O78" s="1621" t="s">
        <v>840</v>
      </c>
      <c r="P78" s="9"/>
      <c r="Q78" s="25" t="s">
        <v>15</v>
      </c>
      <c r="R78" s="2237"/>
      <c r="S78" s="2237"/>
      <c r="T78" s="2237"/>
      <c r="U78" s="2237"/>
      <c r="V78" s="2240"/>
      <c r="W78" s="2241"/>
      <c r="X78" s="2239"/>
      <c r="Y78" s="2242"/>
      <c r="Z78" s="2250"/>
      <c r="AA78" s="2244"/>
      <c r="AB78" s="2244"/>
      <c r="AC78" s="2245"/>
      <c r="AD78" s="2246"/>
      <c r="AE78" s="2247"/>
      <c r="AF78" s="2248"/>
      <c r="AG78" s="2249"/>
      <c r="AH78" s="2249"/>
      <c r="AI78" s="2238"/>
      <c r="AJ78" s="2264"/>
      <c r="AK78" s="6120" t="str">
        <f t="shared" si="19"/>
        <v>►</v>
      </c>
      <c r="AL78" s="781" t="str">
        <f t="shared" si="21"/>
        <v>►</v>
      </c>
      <c r="AM78" s="5498" t="str">
        <f t="shared" si="22"/>
        <v/>
      </c>
      <c r="AN78" s="783" t="str">
        <f t="shared" si="38"/>
        <v/>
      </c>
      <c r="AO78" s="782" t="str">
        <f t="shared" si="24"/>
        <v/>
      </c>
      <c r="AP78" s="783" t="str">
        <f t="shared" si="25"/>
        <v/>
      </c>
      <c r="AQ78" s="2083" t="b">
        <f>AND(Q78="A",COUNTIF(BP16:BR63,TRIM(Z78))&gt;0)</f>
        <v>0</v>
      </c>
      <c r="AR78" s="797" t="str">
        <f>IF(AL78&lt;&gt;"A","",IFERROR(IFERROR(_xlfn.XLOOKUP(TRIM(SUBSTITUTE(Z78,CHAR(160)," ")),BP16:BP63,BS16:BS63),IFERROR(_xlfn.XLOOKUP(TRIM(SUBSTITUTE(Z78,CHAR(160)," ")),BQ16:BQ63,BS16:BS63),_xlfn.XLOOKUP(TRIM(SUBSTITUTE(Z78,CHAR(160)," ")),BR16:BR63,BS16:BS63)))*Y78*IF(ISBLANK(V78),1,V78),0))</f>
        <v/>
      </c>
      <c r="AS78" s="784" t="str">
        <f t="shared" si="26"/>
        <v/>
      </c>
      <c r="AT78" s="1315" t="str">
        <f t="shared" si="27"/>
        <v/>
      </c>
      <c r="AU78" s="785">
        <f t="shared" si="28"/>
        <v>0</v>
      </c>
      <c r="AV78" s="785">
        <f t="shared" si="29"/>
        <v>0</v>
      </c>
      <c r="AW78" s="798">
        <f>IF(AK78="A",AY10,0)</f>
        <v>0</v>
      </c>
      <c r="AX78" s="5496" t="str">
        <f>IF(IFERROR(SEARCH("Adresse PC",TRIM(W78)),0)&gt;0,"▼ receta siguiente",IF(AK78="A",IF(AZ10&lt;&gt;"",AZ10&amp;" - ou.or.o ❾ + or - &gt;",""),""))</f>
        <v/>
      </c>
      <c r="AY78" s="1316"/>
      <c r="AZ78" s="787"/>
      <c r="BA78" s="799" t="str">
        <f t="shared" si="30"/>
        <v/>
      </c>
      <c r="BB78" s="800" t="str">
        <f>IF(AK78="A",IF(AQ78,IF(AND(AW78&lt;&gt;"",N(AW78)&gt;0),IFERROR(IFERROR(_xlfn.XLOOKUP(AP78,BP10:BP57,BT10:BT57),IFERROR(_xlfn.XLOOKUP(AP78,BQ10:BQ57,BT10:BT57),_xlfn.XLOOKUP(AP78,BR10:BR57,BT10:BT57,""))),""),""),""),"")</f>
        <v/>
      </c>
      <c r="BC78" s="813" cm="1">
        <f t="array" ref="BC78">IF(NOT(AQ78),0,IF(OR(BA78="",N(BA78)&lt;=0.000000001),"",IF(OR(AU78="",N(AU78)&lt;=0.000000001),0,IF(ISNUMBER(BA78),IFERROR(_xlfn.LET(_xlpm.ai_test,TRIM(AP78),_xlpm.r,IFERROR(_xlfn.XLOOKUP(_xlpm.ai_test,BP16:BP63,ROW(BP16:BP63),0,1),IFERROR(_xlfn.XLOOKUP(_xlpm.ai_test,BQ16:BQ63,ROW(BQ16:BQ63),0,1),_xlfn.XLOOKUP(_xlpm.ai_test,BR16:BR63,ROW(BR16:BR63),0,1))),_xlpm.p,_xlpm.r-MIN(ROW(BP16:BP63))+1,_xlpm.f,INDEX(BS16:BS63,_xlpm.p),_xlpm.u,INDEX(BT16:BT63,_xlpm.p),_xlpm.s,INDEX(BV16:BV63,_xlpm.p),_xlpm.q,N(BA78)/_xlpm.f,IF(_xlpm.q&gt;=_xlpm.s,ROUND(_xlpm.q,1)&amp;" "&amp;_xlpm.ai_test&amp;" = "&amp;ROUND(_xlpm.q*_xlpm.f,1)&amp;" "&amp;_xlpm.u,ROUND(_xlpm.q,1)&amp;" "&amp;_xlpm.ai_test)),""),""))))</f>
        <v>0</v>
      </c>
      <c r="BD78" s="801"/>
      <c r="BE78" s="799" t="str">
        <f t="shared" si="31"/>
        <v/>
      </c>
      <c r="BF78" s="800" t="str">
        <f t="shared" si="42"/>
        <v/>
      </c>
      <c r="BG78" s="802">
        <f t="shared" si="43"/>
        <v>0</v>
      </c>
      <c r="BH78" s="803" t="str">
        <f t="shared" si="44"/>
        <v/>
      </c>
      <c r="BI78" s="792">
        <v>1.5</v>
      </c>
      <c r="BJ78" s="804">
        <f t="shared" si="45"/>
        <v>0</v>
      </c>
      <c r="BK78" s="794" t="str">
        <f t="shared" si="39"/>
        <v/>
      </c>
      <c r="BL78" s="227" t="s">
        <v>21</v>
      </c>
      <c r="BM78" s="773">
        <f t="shared" si="36"/>
        <v>0</v>
      </c>
      <c r="BN78" s="774">
        <f t="shared" si="37"/>
        <v>0</v>
      </c>
      <c r="BP78" s="142" t="s">
        <v>140</v>
      </c>
      <c r="BQ78" s="104" t="s">
        <v>100</v>
      </c>
      <c r="BR78" s="143" t="s">
        <v>141</v>
      </c>
      <c r="BS78" s="144" t="s">
        <v>142</v>
      </c>
      <c r="BT78" s="118" t="s">
        <v>143</v>
      </c>
      <c r="BU78" s="118" t="s">
        <v>109</v>
      </c>
      <c r="BV78" s="93" t="s">
        <v>0</v>
      </c>
      <c r="BW78" s="93" t="s">
        <v>97</v>
      </c>
      <c r="BX78" s="93" t="s">
        <v>144</v>
      </c>
      <c r="BY78" s="93" t="s">
        <v>145</v>
      </c>
      <c r="BZ78" s="109" t="s">
        <v>104</v>
      </c>
      <c r="CA78" s="109" t="s">
        <v>146</v>
      </c>
      <c r="CB78" s="145" t="s">
        <v>147</v>
      </c>
      <c r="CC78"/>
      <c r="CD78" s="781" t="str">
        <f t="shared" si="46"/>
        <v>►</v>
      </c>
      <c r="CE78" s="866">
        <v>1</v>
      </c>
      <c r="CF78" s="638"/>
      <c r="CG78" s="638"/>
      <c r="CH78" s="638"/>
      <c r="CI78" s="638"/>
      <c r="CJ78" s="719"/>
      <c r="CK78" s="862">
        <f t="shared" ref="CK78:CQ78" ca="1" si="48">CELL("largeur",CK78)</f>
        <v>19</v>
      </c>
      <c r="CL78" s="863">
        <f t="shared" ca="1" si="48"/>
        <v>18</v>
      </c>
      <c r="CM78" s="863">
        <f t="shared" ca="1" si="48"/>
        <v>10</v>
      </c>
      <c r="CN78" s="863">
        <f t="shared" ca="1" si="48"/>
        <v>16</v>
      </c>
      <c r="CO78" s="863">
        <f t="shared" ca="1" si="48"/>
        <v>16</v>
      </c>
      <c r="CP78" s="863">
        <f t="shared" ca="1" si="48"/>
        <v>11</v>
      </c>
      <c r="CQ78" s="864">
        <f t="shared" ca="1" si="48"/>
        <v>46</v>
      </c>
      <c r="CS78" s="862">
        <f t="shared" ref="CS78:CY78" ca="1" si="49">CELL("largeur",CS78)</f>
        <v>19</v>
      </c>
      <c r="CT78" s="863">
        <f t="shared" ca="1" si="49"/>
        <v>18</v>
      </c>
      <c r="CU78" s="863">
        <f t="shared" ca="1" si="49"/>
        <v>10</v>
      </c>
      <c r="CV78" s="863">
        <f t="shared" ca="1" si="49"/>
        <v>16</v>
      </c>
      <c r="CW78" s="863">
        <f t="shared" ca="1" si="49"/>
        <v>16</v>
      </c>
      <c r="CX78" s="863">
        <f t="shared" ca="1" si="49"/>
        <v>11</v>
      </c>
      <c r="CY78" s="864">
        <f t="shared" ca="1" si="49"/>
        <v>46</v>
      </c>
      <c r="DA78" s="862">
        <f t="shared" ref="DA78:DG78" ca="1" si="50">CELL("largeur",DA78)</f>
        <v>19</v>
      </c>
      <c r="DB78" s="863">
        <f t="shared" ca="1" si="50"/>
        <v>18</v>
      </c>
      <c r="DC78" s="863">
        <f t="shared" ca="1" si="50"/>
        <v>10</v>
      </c>
      <c r="DD78" s="863">
        <f t="shared" ca="1" si="50"/>
        <v>16</v>
      </c>
      <c r="DE78" s="863">
        <f t="shared" ca="1" si="50"/>
        <v>16</v>
      </c>
      <c r="DF78" s="863">
        <f t="shared" ca="1" si="50"/>
        <v>11</v>
      </c>
      <c r="DG78" s="864">
        <f t="shared" ca="1" si="50"/>
        <v>46</v>
      </c>
      <c r="DI78" s="3">
        <v>1</v>
      </c>
    </row>
    <row r="79" spans="1:113" s="627" customFormat="1" ht="21" customHeight="1">
      <c r="A79" s="701" t="s">
        <v>21</v>
      </c>
      <c r="B79" s="2265" t="str" cm="1">
        <f t="array" ref="B79">SUMPRODUCT(--(D79:J79&lt;&gt;""), LEN(TRIM(SUBSTITUTE(D79:J79, CHAR(160), "")))) &amp; " Car."</f>
        <v>0 Car.</v>
      </c>
      <c r="C79" s="1376" t="str">
        <f>IF(ISBLANK(D79),"",LARGE(C13:C78,1)+1)</f>
        <v/>
      </c>
      <c r="D79" s="1833"/>
      <c r="E79" s="1810"/>
      <c r="F79" s="1810"/>
      <c r="G79" s="1810"/>
      <c r="H79" s="1810"/>
      <c r="I79" s="1810"/>
      <c r="J79" s="1810"/>
      <c r="K79" s="1810"/>
      <c r="L79" s="1811"/>
      <c r="M79" s="9"/>
      <c r="N79" s="25" t="str">
        <f t="shared" si="47"/>
        <v>►</v>
      </c>
      <c r="O79" s="1622" t="s">
        <v>841</v>
      </c>
      <c r="P79" s="9"/>
      <c r="Q79" s="25" t="s">
        <v>15</v>
      </c>
      <c r="R79" s="2237"/>
      <c r="S79" s="2237"/>
      <c r="T79" s="2237"/>
      <c r="U79" s="2237"/>
      <c r="V79" s="2240"/>
      <c r="W79" s="2241"/>
      <c r="X79" s="2239"/>
      <c r="Y79" s="2242"/>
      <c r="Z79" s="2250"/>
      <c r="AA79" s="2244"/>
      <c r="AB79" s="2244"/>
      <c r="AC79" s="2245"/>
      <c r="AD79" s="2246"/>
      <c r="AE79" s="2247"/>
      <c r="AF79" s="2248"/>
      <c r="AG79" s="2249"/>
      <c r="AH79" s="2249"/>
      <c r="AI79" s="2238"/>
      <c r="AJ79" s="2264"/>
      <c r="AK79" s="6120" t="str">
        <f t="shared" si="19"/>
        <v>►</v>
      </c>
      <c r="AL79" s="781" t="str">
        <f t="shared" si="21"/>
        <v>►</v>
      </c>
      <c r="AM79" s="5499" t="str">
        <f t="shared" si="22"/>
        <v/>
      </c>
      <c r="AN79" s="783" t="str">
        <f t="shared" si="38"/>
        <v/>
      </c>
      <c r="AO79" s="782" t="str">
        <f t="shared" si="24"/>
        <v/>
      </c>
      <c r="AP79" s="783" t="str">
        <f t="shared" si="25"/>
        <v/>
      </c>
      <c r="AQ79" s="2083" t="b">
        <f>AND(Q79="A",COUNTIF(BP16:BR63,TRIM(Z79))&gt;0)</f>
        <v>0</v>
      </c>
      <c r="AR79" s="797" t="str">
        <f>IF(AL79&lt;&gt;"A","",IFERROR(IFERROR(_xlfn.XLOOKUP(TRIM(SUBSTITUTE(Z79,CHAR(160)," ")),BP16:BP63,BS16:BS63),IFERROR(_xlfn.XLOOKUP(TRIM(SUBSTITUTE(Z79,CHAR(160)," ")),BQ16:BQ63,BS16:BS63),_xlfn.XLOOKUP(TRIM(SUBSTITUTE(Z79,CHAR(160)," ")),BR16:BR63,BS16:BS63)))*Y79*IF(ISBLANK(V79),1,V79),0))</f>
        <v/>
      </c>
      <c r="AS79" s="784" t="str">
        <f t="shared" si="26"/>
        <v/>
      </c>
      <c r="AT79" s="1315" t="str">
        <f t="shared" si="27"/>
        <v/>
      </c>
      <c r="AU79" s="785">
        <f t="shared" si="28"/>
        <v>0</v>
      </c>
      <c r="AV79" s="785">
        <f t="shared" si="29"/>
        <v>0</v>
      </c>
      <c r="AW79" s="786">
        <f>IF(AK79="A",AY10,0)</f>
        <v>0</v>
      </c>
      <c r="AX79" s="5495" t="str">
        <f>IF(IFERROR(SEARCH("Adresse PC",TRIM(W79)),0)&gt;0,"▼ receta siguiente",IF(AK79="A",IF(AZ10&lt;&gt;"",AZ10&amp;" - ou.or.o ❾ + or - &gt;",""),""))</f>
        <v/>
      </c>
      <c r="AY79" s="1316"/>
      <c r="AZ79" s="787"/>
      <c r="BA79" s="788" t="str">
        <f t="shared" si="30"/>
        <v/>
      </c>
      <c r="BB79" s="789" t="str">
        <f>IF(AK79="A",IF(AQ79,IF(AND(AW79&lt;&gt;"",N(AW79)&gt;0),IFERROR(IFERROR(_xlfn.XLOOKUP(AP79,BP10:BP57,BT10:BT57),IFERROR(_xlfn.XLOOKUP(AP79,BQ10:BQ57,BT10:BT57),_xlfn.XLOOKUP(AP79,BR10:BR57,BT10:BT57,""))),""),""),""),"")</f>
        <v/>
      </c>
      <c r="BC79" s="811" cm="1">
        <f t="array" ref="BC79">IF(NOT(AQ79),0,IF(OR(BA79="",N(BA79)&lt;=0.000000001),"",IF(OR(AU79="",N(AU79)&lt;=0.000000001),0,IF(ISNUMBER(BA79),IFERROR(_xlfn.LET(_xlpm.ai_test,TRIM(AP79),_xlpm.r,IFERROR(_xlfn.XLOOKUP(_xlpm.ai_test,BP16:BP63,ROW(BP16:BP63),0,1),IFERROR(_xlfn.XLOOKUP(_xlpm.ai_test,BQ16:BQ63,ROW(BQ16:BQ63),0,1),_xlfn.XLOOKUP(_xlpm.ai_test,BR16:BR63,ROW(BR16:BR63),0,1))),_xlpm.p,_xlpm.r-MIN(ROW(BP16:BP63))+1,_xlpm.f,INDEX(BS16:BS63,_xlpm.p),_xlpm.u,INDEX(BT16:BT63,_xlpm.p),_xlpm.s,INDEX(BV16:BV63,_xlpm.p),_xlpm.q,N(BA79)/_xlpm.f,IF(_xlpm.q&gt;=_xlpm.s,ROUND(_xlpm.q,1)&amp;" "&amp;_xlpm.ai_test&amp;" = "&amp;ROUND(_xlpm.q*_xlpm.f,1)&amp;" "&amp;_xlpm.u,ROUND(_xlpm.q,1)&amp;" "&amp;_xlpm.ai_test)),""),""))))</f>
        <v>0</v>
      </c>
      <c r="BD79" s="801"/>
      <c r="BE79" s="788" t="str">
        <f t="shared" si="31"/>
        <v/>
      </c>
      <c r="BF79" s="789" t="str">
        <f t="shared" si="42"/>
        <v/>
      </c>
      <c r="BG79" s="790">
        <f t="shared" si="43"/>
        <v>0</v>
      </c>
      <c r="BH79" s="791" t="str">
        <f t="shared" si="44"/>
        <v/>
      </c>
      <c r="BI79" s="792">
        <v>1.5</v>
      </c>
      <c r="BJ79" s="793">
        <f t="shared" si="45"/>
        <v>0</v>
      </c>
      <c r="BK79" s="794" t="str">
        <f t="shared" si="39"/>
        <v/>
      </c>
      <c r="BL79" s="227" t="s">
        <v>21</v>
      </c>
      <c r="BM79" s="773">
        <f t="shared" si="36"/>
        <v>0</v>
      </c>
      <c r="BN79" s="774">
        <f t="shared" si="37"/>
        <v>0</v>
      </c>
      <c r="BP79" s="685">
        <v>1</v>
      </c>
      <c r="BQ79" s="686">
        <v>1E-3</v>
      </c>
      <c r="BR79" s="687">
        <v>0</v>
      </c>
      <c r="BS79" s="686">
        <v>0.25</v>
      </c>
      <c r="BT79" s="686">
        <v>0.33332999999999996</v>
      </c>
      <c r="BU79" s="686">
        <v>0.5</v>
      </c>
      <c r="BV79" s="688">
        <v>1</v>
      </c>
      <c r="BW79" s="688">
        <v>0.1</v>
      </c>
      <c r="BX79" s="688">
        <v>0.01</v>
      </c>
      <c r="BY79" s="688">
        <v>1E-3</v>
      </c>
      <c r="BZ79" s="688">
        <v>0.5</v>
      </c>
      <c r="CA79" s="688">
        <v>0.33300000000000002</v>
      </c>
      <c r="CB79" s="689">
        <v>0.2</v>
      </c>
      <c r="CC79"/>
      <c r="CD79" s="781" t="str">
        <f t="shared" si="46"/>
        <v>►</v>
      </c>
      <c r="CE79" s="646" t="s">
        <v>844</v>
      </c>
      <c r="CF79" s="638"/>
      <c r="CG79" s="638"/>
      <c r="CH79" s="638"/>
      <c r="CI79" s="638"/>
      <c r="CJ79" s="719"/>
      <c r="DI79" s="3">
        <v>1</v>
      </c>
    </row>
    <row r="80" spans="1:113" s="627" customFormat="1" ht="21" customHeight="1">
      <c r="A80" s="701" t="s">
        <v>21</v>
      </c>
      <c r="B80" s="2265" t="str" cm="1">
        <f t="array" ref="B80">SUMPRODUCT(--(D80:J80&lt;&gt;""), LEN(TRIM(SUBSTITUTE(D80:J80, CHAR(160), "")))) &amp; " Car."</f>
        <v>0 Car.</v>
      </c>
      <c r="C80" s="1376" t="str">
        <f>IF(ISBLANK(D80),"",LARGE(C13:C79,1)+1)</f>
        <v/>
      </c>
      <c r="D80" s="1833"/>
      <c r="E80" s="1810"/>
      <c r="F80" s="1810"/>
      <c r="G80" s="1810"/>
      <c r="H80" s="1810"/>
      <c r="I80" s="1810"/>
      <c r="J80" s="1810"/>
      <c r="K80" s="1810"/>
      <c r="L80" s="1811"/>
      <c r="M80" s="9"/>
      <c r="N80" s="25" t="str">
        <f t="shared" si="47"/>
        <v>►</v>
      </c>
      <c r="O80" s="1616">
        <v>1</v>
      </c>
      <c r="P80" s="9"/>
      <c r="Q80" s="25" t="s">
        <v>15</v>
      </c>
      <c r="R80" s="2237"/>
      <c r="S80" s="2237"/>
      <c r="T80" s="2237"/>
      <c r="U80" s="2237"/>
      <c r="V80" s="2240"/>
      <c r="W80" s="2241"/>
      <c r="X80" s="2239"/>
      <c r="Y80" s="2242"/>
      <c r="Z80" s="2250"/>
      <c r="AA80" s="2244"/>
      <c r="AB80" s="2244"/>
      <c r="AC80" s="2245"/>
      <c r="AD80" s="2246"/>
      <c r="AE80" s="2247"/>
      <c r="AF80" s="2248"/>
      <c r="AG80" s="2249"/>
      <c r="AH80" s="2249"/>
      <c r="AI80" s="2238"/>
      <c r="AJ80" s="2264"/>
      <c r="AK80" s="6120" t="str">
        <f t="shared" si="19"/>
        <v>►</v>
      </c>
      <c r="AL80" s="781" t="str">
        <f t="shared" si="21"/>
        <v>►</v>
      </c>
      <c r="AM80" s="5498" t="str">
        <f t="shared" si="22"/>
        <v/>
      </c>
      <c r="AN80" s="783" t="str">
        <f t="shared" si="38"/>
        <v/>
      </c>
      <c r="AO80" s="782" t="str">
        <f t="shared" si="24"/>
        <v/>
      </c>
      <c r="AP80" s="783" t="str">
        <f t="shared" si="25"/>
        <v/>
      </c>
      <c r="AQ80" s="2083" t="b">
        <f>AND(Q80="A",COUNTIF(BP16:BR63,TRIM(Z80))&gt;0)</f>
        <v>0</v>
      </c>
      <c r="AR80" s="797" t="str">
        <f>IF(AL80&lt;&gt;"A","",IFERROR(IFERROR(_xlfn.XLOOKUP(TRIM(SUBSTITUTE(Z80,CHAR(160)," ")),BP16:BP63,BS16:BS63),IFERROR(_xlfn.XLOOKUP(TRIM(SUBSTITUTE(Z80,CHAR(160)," ")),BQ16:BQ63,BS16:BS63),_xlfn.XLOOKUP(TRIM(SUBSTITUTE(Z80,CHAR(160)," ")),BR16:BR63,BS16:BS63)))*Y80*IF(ISBLANK(V80),1,V80),0))</f>
        <v/>
      </c>
      <c r="AS80" s="784" t="str">
        <f t="shared" si="26"/>
        <v/>
      </c>
      <c r="AT80" s="1315" t="str">
        <f t="shared" si="27"/>
        <v/>
      </c>
      <c r="AU80" s="785">
        <f t="shared" si="28"/>
        <v>0</v>
      </c>
      <c r="AV80" s="785">
        <f t="shared" si="29"/>
        <v>0</v>
      </c>
      <c r="AW80" s="798">
        <f>IF(AK80="A",AY10,0)</f>
        <v>0</v>
      </c>
      <c r="AX80" s="5496" t="str">
        <f>IF(IFERROR(SEARCH("Adresse PC",TRIM(W80)),0)&gt;0,"▼ receta siguiente",IF(AK80="A",IF(AZ10&lt;&gt;"",AZ10&amp;" - ou.or.o ❾ + or - &gt;",""),""))</f>
        <v/>
      </c>
      <c r="AY80" s="1316"/>
      <c r="AZ80" s="787"/>
      <c r="BA80" s="799" t="str">
        <f t="shared" si="30"/>
        <v/>
      </c>
      <c r="BB80" s="800" t="str">
        <f>IF(AK80="A",IF(AQ80,IF(AND(AW80&lt;&gt;"",N(AW80)&gt;0),IFERROR(IFERROR(_xlfn.XLOOKUP(AP80,BP10:BP57,BT10:BT57),IFERROR(_xlfn.XLOOKUP(AP80,BQ10:BQ57,BT10:BT57),_xlfn.XLOOKUP(AP80,BR10:BR57,BT10:BT57,""))),""),""),""),"")</f>
        <v/>
      </c>
      <c r="BC80" s="813" cm="1">
        <f t="array" ref="BC80">IF(NOT(AQ80),0,IF(OR(BA80="",N(BA80)&lt;=0.000000001),"",IF(OR(AU80="",N(AU80)&lt;=0.000000001),0,IF(ISNUMBER(BA80),IFERROR(_xlfn.LET(_xlpm.ai_test,TRIM(AP80),_xlpm.r,IFERROR(_xlfn.XLOOKUP(_xlpm.ai_test,BP16:BP63,ROW(BP16:BP63),0,1),IFERROR(_xlfn.XLOOKUP(_xlpm.ai_test,BQ16:BQ63,ROW(BQ16:BQ63),0,1),_xlfn.XLOOKUP(_xlpm.ai_test,BR16:BR63,ROW(BR16:BR63),0,1))),_xlpm.p,_xlpm.r-MIN(ROW(BP16:BP63))+1,_xlpm.f,INDEX(BS16:BS63,_xlpm.p),_xlpm.u,INDEX(BT16:BT63,_xlpm.p),_xlpm.s,INDEX(BV16:BV63,_xlpm.p),_xlpm.q,N(BA80)/_xlpm.f,IF(_xlpm.q&gt;=_xlpm.s,ROUND(_xlpm.q,1)&amp;" "&amp;_xlpm.ai_test&amp;" = "&amp;ROUND(_xlpm.q*_xlpm.f,1)&amp;" "&amp;_xlpm.u,ROUND(_xlpm.q,1)&amp;" "&amp;_xlpm.ai_test)),""),""))))</f>
        <v>0</v>
      </c>
      <c r="BD80" s="801"/>
      <c r="BE80" s="799" t="str">
        <f t="shared" si="31"/>
        <v/>
      </c>
      <c r="BF80" s="800" t="str">
        <f t="shared" si="42"/>
        <v/>
      </c>
      <c r="BG80" s="802">
        <f t="shared" si="43"/>
        <v>0</v>
      </c>
      <c r="BH80" s="803" t="str">
        <f t="shared" si="44"/>
        <v/>
      </c>
      <c r="BI80" s="792">
        <v>1.5</v>
      </c>
      <c r="BJ80" s="804">
        <f t="shared" si="45"/>
        <v>0</v>
      </c>
      <c r="BK80" s="794" t="str">
        <f t="shared" si="39"/>
        <v/>
      </c>
      <c r="BL80" s="227" t="s">
        <v>21</v>
      </c>
      <c r="BM80" s="773">
        <f t="shared" si="36"/>
        <v>0</v>
      </c>
      <c r="BN80" s="774">
        <f t="shared" si="37"/>
        <v>0</v>
      </c>
      <c r="BP80" s="121" t="s">
        <v>155</v>
      </c>
      <c r="BQ80" s="121" t="s">
        <v>156</v>
      </c>
      <c r="BR80" s="143" t="s">
        <v>141</v>
      </c>
      <c r="BS80" s="121" t="s">
        <v>110</v>
      </c>
      <c r="BT80" s="121" t="s">
        <v>157</v>
      </c>
      <c r="BU80" s="121" t="s">
        <v>158</v>
      </c>
      <c r="BV80" s="125" t="s">
        <v>115</v>
      </c>
      <c r="BW80" s="155" t="s">
        <v>159</v>
      </c>
      <c r="BX80" s="155" t="s">
        <v>160</v>
      </c>
      <c r="BY80" s="109" t="s">
        <v>161</v>
      </c>
      <c r="BZ80" s="109" t="s">
        <v>162</v>
      </c>
      <c r="CA80" s="109" t="s">
        <v>105</v>
      </c>
      <c r="CB80" s="156" t="s">
        <v>163</v>
      </c>
      <c r="CC80"/>
      <c r="CD80" s="781" t="str">
        <f t="shared" si="46"/>
        <v>►</v>
      </c>
      <c r="CE80" s="647" t="s">
        <v>845</v>
      </c>
      <c r="CF80" s="638"/>
      <c r="CG80" s="638"/>
      <c r="CH80" s="638"/>
      <c r="CI80" s="638"/>
      <c r="CJ80" s="719"/>
      <c r="DA80"/>
      <c r="DB80"/>
      <c r="DC80"/>
      <c r="DD80"/>
      <c r="DE80"/>
      <c r="DF80"/>
      <c r="DG80"/>
      <c r="DI80" s="3">
        <v>1</v>
      </c>
    </row>
    <row r="81" spans="1:113" s="627" customFormat="1" ht="21" customHeight="1">
      <c r="A81" s="701" t="s">
        <v>21</v>
      </c>
      <c r="B81" s="2265" t="str" cm="1">
        <f t="array" ref="B81">SUMPRODUCT(--(D81:J81&lt;&gt;""), LEN(TRIM(SUBSTITUTE(D81:J81, CHAR(160), "")))) &amp; " Car."</f>
        <v>0 Car.</v>
      </c>
      <c r="C81" s="1376" t="str">
        <f>IF(ISBLANK(D81),"",LARGE(C13:C80,1)+1)</f>
        <v/>
      </c>
      <c r="D81" s="1833"/>
      <c r="E81" s="1810"/>
      <c r="F81" s="1810"/>
      <c r="G81" s="1810"/>
      <c r="H81" s="1810"/>
      <c r="I81" s="1810"/>
      <c r="J81" s="1810"/>
      <c r="K81" s="1810"/>
      <c r="L81" s="1811"/>
      <c r="M81" s="9"/>
      <c r="N81" s="25" t="str">
        <f t="shared" si="47"/>
        <v>►</v>
      </c>
      <c r="O81" s="1641" t="s">
        <v>842</v>
      </c>
      <c r="P81" s="9"/>
      <c r="Q81" s="25" t="s">
        <v>15</v>
      </c>
      <c r="R81" s="31"/>
      <c r="S81" s="32"/>
      <c r="T81" s="31"/>
      <c r="U81" s="33"/>
      <c r="V81" s="1967"/>
      <c r="W81" s="1805"/>
      <c r="X81" s="91"/>
      <c r="Y81" s="1806"/>
      <c r="Z81" s="1968"/>
      <c r="AA81" s="2244"/>
      <c r="AB81" s="1969"/>
      <c r="AC81" s="1365"/>
      <c r="AD81" s="95"/>
      <c r="AE81" s="1326"/>
      <c r="AF81" s="97"/>
      <c r="AG81" s="1737"/>
      <c r="AH81" s="1970"/>
      <c r="AI81" s="99"/>
      <c r="AJ81" s="1809"/>
      <c r="AK81" s="6120" t="str">
        <f t="shared" ref="AK81:AK144" si="51">IF(AND(IFERROR(SEARCH("►",AB81),0)&gt;0,ISNUMBER(IFERROR(VALUE(TRIM(SUBSTITUTE(AB81,"►",""))),NA())),AC81&lt;&gt;""),"A","►")</f>
        <v>►</v>
      </c>
      <c r="AL81" s="781" t="str">
        <f t="shared" si="21"/>
        <v>►</v>
      </c>
      <c r="AM81" s="5499" t="str">
        <f t="shared" si="22"/>
        <v/>
      </c>
      <c r="AN81" s="783" t="str">
        <f t="shared" si="38"/>
        <v/>
      </c>
      <c r="AO81" s="782" t="str">
        <f t="shared" si="24"/>
        <v/>
      </c>
      <c r="AP81" s="783" t="str">
        <f t="shared" si="25"/>
        <v/>
      </c>
      <c r="AQ81" s="2083" t="b">
        <f>AND(Q81="A",COUNTIF(BP16:BR63,TRIM(Z81))&gt;0)</f>
        <v>0</v>
      </c>
      <c r="AR81" s="797" t="str">
        <f>IF(AL81&lt;&gt;"A","",IFERROR(IFERROR(_xlfn.XLOOKUP(TRIM(SUBSTITUTE(Z81,CHAR(160)," ")),BP16:BP63,BS16:BS63),IFERROR(_xlfn.XLOOKUP(TRIM(SUBSTITUTE(Z81,CHAR(160)," ")),BQ16:BQ63,BS16:BS63),_xlfn.XLOOKUP(TRIM(SUBSTITUTE(Z81,CHAR(160)," ")),BR16:BR63,BS16:BS63)))*Y81*IF(ISBLANK(V81),1,V81),0))</f>
        <v/>
      </c>
      <c r="AS81" s="784" t="str">
        <f t="shared" si="26"/>
        <v/>
      </c>
      <c r="AT81" s="1315" t="str">
        <f t="shared" si="27"/>
        <v/>
      </c>
      <c r="AU81" s="785">
        <f t="shared" si="28"/>
        <v>0</v>
      </c>
      <c r="AV81" s="785">
        <f t="shared" si="29"/>
        <v>0</v>
      </c>
      <c r="AW81" s="786">
        <f>IF(AK81="A",AY10,0)</f>
        <v>0</v>
      </c>
      <c r="AX81" s="5495" t="str">
        <f>IF(IFERROR(SEARCH("Adresse PC",TRIM(W81)),0)&gt;0,"▼ receta siguiente",IF(AK81="A",IF(AZ10&lt;&gt;"",AZ10&amp;" - ou.or.o ❾ + or - &gt;",""),""))</f>
        <v/>
      </c>
      <c r="AY81" s="1316"/>
      <c r="AZ81" s="787"/>
      <c r="BA81" s="788" t="str">
        <f t="shared" si="30"/>
        <v/>
      </c>
      <c r="BB81" s="789" t="str">
        <f>IF(AK81="A",IF(AQ81,IF(AND(AW81&lt;&gt;"",N(AW81)&gt;0),IFERROR(IFERROR(_xlfn.XLOOKUP(AP81,BP10:BP57,BT10:BT57),IFERROR(_xlfn.XLOOKUP(AP81,BQ10:BQ57,BT10:BT57),_xlfn.XLOOKUP(AP81,BR10:BR57,BT10:BT57,""))),""),""),""),"")</f>
        <v/>
      </c>
      <c r="BC81" s="811" cm="1">
        <f t="array" ref="BC81">IF(NOT(AQ81),0,IF(OR(BA81="",N(BA81)&lt;=0.000000001),"",IF(OR(AU81="",N(AU81)&lt;=0.000000001),0,IF(ISNUMBER(BA81),IFERROR(_xlfn.LET(_xlpm.ai_test,TRIM(AP81),_xlpm.r,IFERROR(_xlfn.XLOOKUP(_xlpm.ai_test,BP16:BP63,ROW(BP16:BP63),0,1),IFERROR(_xlfn.XLOOKUP(_xlpm.ai_test,BQ16:BQ63,ROW(BQ16:BQ63),0,1),_xlfn.XLOOKUP(_xlpm.ai_test,BR16:BR63,ROW(BR16:BR63),0,1))),_xlpm.p,_xlpm.r-MIN(ROW(BP16:BP63))+1,_xlpm.f,INDEX(BS16:BS63,_xlpm.p),_xlpm.u,INDEX(BT16:BT63,_xlpm.p),_xlpm.s,INDEX(BV16:BV63,_xlpm.p),_xlpm.q,N(BA81)/_xlpm.f,IF(_xlpm.q&gt;=_xlpm.s,ROUND(_xlpm.q,1)&amp;" "&amp;_xlpm.ai_test&amp;" = "&amp;ROUND(_xlpm.q*_xlpm.f,1)&amp;" "&amp;_xlpm.u,ROUND(_xlpm.q,1)&amp;" "&amp;_xlpm.ai_test)),""),""))))</f>
        <v>0</v>
      </c>
      <c r="BD81" s="801"/>
      <c r="BE81" s="788" t="str">
        <f t="shared" si="31"/>
        <v/>
      </c>
      <c r="BF81" s="789" t="str">
        <f t="shared" si="42"/>
        <v/>
      </c>
      <c r="BG81" s="790">
        <f t="shared" si="43"/>
        <v>0</v>
      </c>
      <c r="BH81" s="791" t="str">
        <f t="shared" si="44"/>
        <v/>
      </c>
      <c r="BI81" s="792">
        <v>1.5</v>
      </c>
      <c r="BJ81" s="793">
        <f t="shared" si="45"/>
        <v>0</v>
      </c>
      <c r="BK81" s="794" t="str">
        <f t="shared" si="39"/>
        <v/>
      </c>
      <c r="BL81" s="227" t="s">
        <v>21</v>
      </c>
      <c r="BM81" s="773">
        <f t="shared" si="36"/>
        <v>0</v>
      </c>
      <c r="BN81" s="774">
        <f t="shared" si="37"/>
        <v>0</v>
      </c>
      <c r="BP81" s="685">
        <v>2.835E-2</v>
      </c>
      <c r="BQ81" s="686">
        <v>0.13</v>
      </c>
      <c r="BR81" s="687">
        <v>0</v>
      </c>
      <c r="BS81" s="686">
        <v>0.2</v>
      </c>
      <c r="BT81" s="686">
        <v>0.23</v>
      </c>
      <c r="BU81" s="686">
        <v>0.22500000000000001</v>
      </c>
      <c r="BV81" s="688">
        <v>0.35</v>
      </c>
      <c r="BW81" s="688">
        <v>5.0000000000000001E-3</v>
      </c>
      <c r="BX81" s="688">
        <v>5.0000000000000001E-3</v>
      </c>
      <c r="BY81" s="688">
        <v>1.4999999999999999E-2</v>
      </c>
      <c r="BZ81" s="688">
        <v>0.1</v>
      </c>
      <c r="CA81" s="688">
        <v>0.22500000000000001</v>
      </c>
      <c r="CB81" s="689">
        <v>1E-3</v>
      </c>
      <c r="CC81"/>
      <c r="CD81" s="781" t="str">
        <f t="shared" si="46"/>
        <v>►</v>
      </c>
      <c r="CE81" s="350"/>
      <c r="CF81" s="350"/>
      <c r="CG81" s="350"/>
      <c r="CH81" s="350"/>
      <c r="CI81" s="350"/>
      <c r="CJ81" s="719"/>
      <c r="DA81"/>
      <c r="DB81"/>
      <c r="DC81"/>
      <c r="DD81"/>
      <c r="DE81"/>
      <c r="DF81"/>
      <c r="DG81"/>
      <c r="DI81" s="3">
        <v>1</v>
      </c>
    </row>
    <row r="82" spans="1:113" s="627" customFormat="1" ht="21" customHeight="1" thickBot="1">
      <c r="A82" s="701" t="s">
        <v>21</v>
      </c>
      <c r="B82" s="2265" t="str" cm="1">
        <f t="array" ref="B82">SUMPRODUCT(--(D82:J82&lt;&gt;""), LEN(TRIM(SUBSTITUTE(D82:J82, CHAR(160), "")))) &amp; " Car."</f>
        <v>0 Car.</v>
      </c>
      <c r="C82" s="1376" t="str">
        <f>IF(ISBLANK(D82),"",LARGE(C13:C81,1)+1)</f>
        <v/>
      </c>
      <c r="D82" s="1833"/>
      <c r="E82" s="1810"/>
      <c r="F82" s="1810"/>
      <c r="G82" s="1810"/>
      <c r="H82" s="1810"/>
      <c r="I82" s="1810"/>
      <c r="J82" s="1810"/>
      <c r="K82" s="1810"/>
      <c r="L82" s="1811"/>
      <c r="M82" s="9"/>
      <c r="N82" s="25" t="str">
        <f t="shared" si="47"/>
        <v>►</v>
      </c>
      <c r="O82" s="1622" t="s">
        <v>843</v>
      </c>
      <c r="P82" s="9"/>
      <c r="Q82" s="25" t="s">
        <v>15</v>
      </c>
      <c r="R82" s="31"/>
      <c r="S82" s="32"/>
      <c r="T82" s="31"/>
      <c r="U82" s="33"/>
      <c r="V82" s="1967"/>
      <c r="W82" s="1805"/>
      <c r="X82" s="91"/>
      <c r="Y82" s="1806"/>
      <c r="Z82" s="1968"/>
      <c r="AA82" s="2244"/>
      <c r="AB82" s="1969"/>
      <c r="AC82" s="1365"/>
      <c r="AD82" s="95"/>
      <c r="AE82" s="1326"/>
      <c r="AF82" s="97"/>
      <c r="AG82" s="1737"/>
      <c r="AH82" s="1970"/>
      <c r="AI82" s="99"/>
      <c r="AJ82" s="1809"/>
      <c r="AK82" s="6120" t="str">
        <f t="shared" si="51"/>
        <v>►</v>
      </c>
      <c r="AL82" s="781" t="str">
        <f t="shared" si="21"/>
        <v>►</v>
      </c>
      <c r="AM82" s="5498" t="str">
        <f t="shared" si="22"/>
        <v/>
      </c>
      <c r="AN82" s="783" t="str">
        <f t="shared" si="38"/>
        <v/>
      </c>
      <c r="AO82" s="782" t="str">
        <f t="shared" si="24"/>
        <v/>
      </c>
      <c r="AP82" s="783" t="str">
        <f t="shared" si="25"/>
        <v/>
      </c>
      <c r="AQ82" s="2083" t="b">
        <f>AND(Q82="A",COUNTIF(BP16:BR63,TRIM(Z82))&gt;0)</f>
        <v>0</v>
      </c>
      <c r="AR82" s="797" t="str">
        <f>IF(AL82&lt;&gt;"A","",IFERROR(IFERROR(_xlfn.XLOOKUP(TRIM(SUBSTITUTE(Z82,CHAR(160)," ")),BP16:BP63,BS16:BS63),IFERROR(_xlfn.XLOOKUP(TRIM(SUBSTITUTE(Z82,CHAR(160)," ")),BQ16:BQ63,BS16:BS63),_xlfn.XLOOKUP(TRIM(SUBSTITUTE(Z82,CHAR(160)," ")),BR16:BR63,BS16:BS63)))*Y82*IF(ISBLANK(V82),1,V82),0))</f>
        <v/>
      </c>
      <c r="AS82" s="784" t="str">
        <f t="shared" si="26"/>
        <v/>
      </c>
      <c r="AT82" s="1315" t="str">
        <f t="shared" si="27"/>
        <v/>
      </c>
      <c r="AU82" s="785">
        <f t="shared" si="28"/>
        <v>0</v>
      </c>
      <c r="AV82" s="785">
        <f t="shared" si="29"/>
        <v>0</v>
      </c>
      <c r="AW82" s="798">
        <f>IF(AK82="A",AY10,0)</f>
        <v>0</v>
      </c>
      <c r="AX82" s="5496" t="str">
        <f>IF(IFERROR(SEARCH("Adresse PC",TRIM(W82)),0)&gt;0,"▼ receta siguiente",IF(AK82="A",IF(AZ10&lt;&gt;"",AZ10&amp;" - ou.or.o ❾ + or - &gt;",""),""))</f>
        <v/>
      </c>
      <c r="AY82" s="1316"/>
      <c r="AZ82" s="787"/>
      <c r="BA82" s="799" t="str">
        <f t="shared" si="30"/>
        <v/>
      </c>
      <c r="BB82" s="800" t="str">
        <f>IF(AK82="A",IF(AQ82,IF(AND(AW82&lt;&gt;"",N(AW82)&gt;0),IFERROR(IFERROR(_xlfn.XLOOKUP(AP82,BP10:BP57,BT10:BT57),IFERROR(_xlfn.XLOOKUP(AP82,BQ10:BQ57,BT10:BT57),_xlfn.XLOOKUP(AP82,BR10:BR57,BT10:BT57,""))),""),""),""),"")</f>
        <v/>
      </c>
      <c r="BC82" s="813" cm="1">
        <f t="array" ref="BC82">IF(NOT(AQ82),0,IF(OR(BA82="",N(BA82)&lt;=0.000000001),"",IF(OR(AU82="",N(AU82)&lt;=0.000000001),0,IF(ISNUMBER(BA82),IFERROR(_xlfn.LET(_xlpm.ai_test,TRIM(AP82),_xlpm.r,IFERROR(_xlfn.XLOOKUP(_xlpm.ai_test,BP16:BP63,ROW(BP16:BP63),0,1),IFERROR(_xlfn.XLOOKUP(_xlpm.ai_test,BQ16:BQ63,ROW(BQ16:BQ63),0,1),_xlfn.XLOOKUP(_xlpm.ai_test,BR16:BR63,ROW(BR16:BR63),0,1))),_xlpm.p,_xlpm.r-MIN(ROW(BP16:BP63))+1,_xlpm.f,INDEX(BS16:BS63,_xlpm.p),_xlpm.u,INDEX(BT16:BT63,_xlpm.p),_xlpm.s,INDEX(BV16:BV63,_xlpm.p),_xlpm.q,N(BA82)/_xlpm.f,IF(_xlpm.q&gt;=_xlpm.s,ROUND(_xlpm.q,1)&amp;" "&amp;_xlpm.ai_test&amp;" = "&amp;ROUND(_xlpm.q*_xlpm.f,1)&amp;" "&amp;_xlpm.u,ROUND(_xlpm.q,1)&amp;" "&amp;_xlpm.ai_test)),""),""))))</f>
        <v>0</v>
      </c>
      <c r="BD82" s="801"/>
      <c r="BE82" s="799" t="str">
        <f t="shared" si="31"/>
        <v/>
      </c>
      <c r="BF82" s="800" t="str">
        <f t="shared" si="42"/>
        <v/>
      </c>
      <c r="BG82" s="802">
        <f t="shared" si="43"/>
        <v>0</v>
      </c>
      <c r="BH82" s="803" t="str">
        <f t="shared" si="44"/>
        <v/>
      </c>
      <c r="BI82" s="792">
        <v>1.5</v>
      </c>
      <c r="BJ82" s="804">
        <f t="shared" si="45"/>
        <v>0</v>
      </c>
      <c r="BK82" s="794" t="str">
        <f t="shared" si="39"/>
        <v/>
      </c>
      <c r="BL82" s="227" t="s">
        <v>21</v>
      </c>
      <c r="BM82" s="773">
        <f t="shared" si="36"/>
        <v>0</v>
      </c>
      <c r="BN82" s="774">
        <f t="shared" si="37"/>
        <v>0</v>
      </c>
      <c r="BP82"/>
      <c r="BQ82"/>
      <c r="BR82"/>
      <c r="BS82"/>
      <c r="BT82"/>
      <c r="BU82"/>
      <c r="BV82"/>
      <c r="BW82"/>
      <c r="BX82"/>
      <c r="BY82"/>
      <c r="BZ82"/>
      <c r="CA82"/>
      <c r="CB82"/>
      <c r="CC82"/>
      <c r="CD82" s="781" t="str">
        <f t="shared" si="46"/>
        <v>►</v>
      </c>
      <c r="CE82" s="350"/>
      <c r="CF82" s="350"/>
      <c r="CG82" s="350"/>
      <c r="CH82" s="350"/>
      <c r="CI82" s="350"/>
      <c r="CJ82" s="719"/>
      <c r="CK82"/>
      <c r="CL82"/>
      <c r="CM82"/>
      <c r="CN82"/>
      <c r="CO82"/>
      <c r="CP82"/>
      <c r="CQ82"/>
      <c r="CS82"/>
      <c r="CT82"/>
      <c r="CU82"/>
      <c r="CV82"/>
      <c r="CW82"/>
      <c r="CX82"/>
      <c r="CY82"/>
      <c r="DA82"/>
      <c r="DB82"/>
      <c r="DC82"/>
      <c r="DD82"/>
      <c r="DE82"/>
      <c r="DF82"/>
      <c r="DG82"/>
      <c r="DI82" s="3">
        <v>1</v>
      </c>
    </row>
    <row r="83" spans="1:113" s="627" customFormat="1" ht="21" customHeight="1">
      <c r="A83" s="701" t="s">
        <v>21</v>
      </c>
      <c r="B83" s="2265" t="str" cm="1">
        <f t="array" ref="B83">SUMPRODUCT(--(D83:J83&lt;&gt;""), LEN(TRIM(SUBSTITUTE(D83:J83, CHAR(160), "")))) &amp; " Car."</f>
        <v>0 Car.</v>
      </c>
      <c r="C83" s="1376" t="str">
        <f>IF(ISBLANK(D83),"",LARGE(C13:C82,1)+1)</f>
        <v/>
      </c>
      <c r="D83" s="1833"/>
      <c r="E83" s="1810"/>
      <c r="F83" s="1810"/>
      <c r="G83" s="1810"/>
      <c r="H83" s="1810"/>
      <c r="I83" s="1810"/>
      <c r="J83" s="1810"/>
      <c r="K83" s="1810"/>
      <c r="L83" s="1811"/>
      <c r="M83" s="9"/>
      <c r="N83" s="25" t="str">
        <f t="shared" si="47"/>
        <v>►</v>
      </c>
      <c r="O83" s="1616"/>
      <c r="P83" s="9"/>
      <c r="Q83" s="25" t="s">
        <v>15</v>
      </c>
      <c r="R83" s="31"/>
      <c r="S83" s="32"/>
      <c r="T83" s="31"/>
      <c r="U83" s="33"/>
      <c r="V83" s="1967"/>
      <c r="W83" s="1805"/>
      <c r="X83" s="91"/>
      <c r="Y83" s="1806"/>
      <c r="Z83" s="1968"/>
      <c r="AA83" s="2244"/>
      <c r="AB83" s="1969"/>
      <c r="AC83" s="1365"/>
      <c r="AD83" s="95"/>
      <c r="AE83" s="1326"/>
      <c r="AF83" s="97"/>
      <c r="AG83" s="1737"/>
      <c r="AH83" s="1970"/>
      <c r="AI83" s="99"/>
      <c r="AJ83" s="1809"/>
      <c r="AK83" s="6120" t="str">
        <f t="shared" si="51"/>
        <v>►</v>
      </c>
      <c r="AL83" s="781" t="str">
        <f t="shared" si="21"/>
        <v>►</v>
      </c>
      <c r="AM83" s="5499" t="str">
        <f t="shared" si="22"/>
        <v/>
      </c>
      <c r="AN83" s="783" t="str">
        <f t="shared" si="38"/>
        <v/>
      </c>
      <c r="AO83" s="782" t="str">
        <f t="shared" si="24"/>
        <v/>
      </c>
      <c r="AP83" s="783" t="str">
        <f t="shared" si="25"/>
        <v/>
      </c>
      <c r="AQ83" s="2083" t="b">
        <f>AND(Q83="A",COUNTIF(BP16:BR63,TRIM(Z83))&gt;0)</f>
        <v>0</v>
      </c>
      <c r="AR83" s="797" t="str">
        <f>IF(AL83&lt;&gt;"A","",IFERROR(IFERROR(_xlfn.XLOOKUP(TRIM(SUBSTITUTE(Z83,CHAR(160)," ")),BP16:BP63,BS16:BS63),IFERROR(_xlfn.XLOOKUP(TRIM(SUBSTITUTE(Z83,CHAR(160)," ")),BQ16:BQ63,BS16:BS63),_xlfn.XLOOKUP(TRIM(SUBSTITUTE(Z83,CHAR(160)," ")),BR16:BR63,BS16:BS63)))*Y83*IF(ISBLANK(V83),1,V83),0))</f>
        <v/>
      </c>
      <c r="AS83" s="784" t="str">
        <f t="shared" si="26"/>
        <v/>
      </c>
      <c r="AT83" s="1315" t="str">
        <f t="shared" si="27"/>
        <v/>
      </c>
      <c r="AU83" s="785">
        <f t="shared" si="28"/>
        <v>0</v>
      </c>
      <c r="AV83" s="785">
        <f t="shared" si="29"/>
        <v>0</v>
      </c>
      <c r="AW83" s="786">
        <f>IF(AK83="A",AY10,0)</f>
        <v>0</v>
      </c>
      <c r="AX83" s="5495" t="str">
        <f>IF(IFERROR(SEARCH("Adresse PC",TRIM(W83)),0)&gt;0,"▼ receta siguiente",IF(AK83="A",IF(AZ10&lt;&gt;"",AZ10&amp;" - ou.or.o ❾ + or - &gt;",""),""))</f>
        <v/>
      </c>
      <c r="AY83" s="1316"/>
      <c r="AZ83" s="787"/>
      <c r="BA83" s="788" t="str">
        <f>IF(AK83="A",IF(UPPER(TRIM(SUBSTITUTE(AS83,CHAR(160),"")))="KG",N(AR83)*N(BN83),0),"")</f>
        <v/>
      </c>
      <c r="BB83" s="789" t="str">
        <f>IF(AK83="A",IF(AQ83,IF(AND(AW83&lt;&gt;"",N(AW83)&gt;0),IFERROR(IFERROR(_xlfn.XLOOKUP(AP83,BP10:BP57,BT10:BT57),IFERROR(_xlfn.XLOOKUP(AP83,BQ10:BQ57,BT10:BT57),_xlfn.XLOOKUP(AP83,BR10:BR57,BT10:BT57,""))),""),""),""),"")</f>
        <v/>
      </c>
      <c r="BC83" s="811" cm="1">
        <f t="array" ref="BC83">IF(NOT(AQ83),0,IF(OR(BA83="",N(BA83)&lt;=0.000000001),"",IF(OR(AU83="",N(AU83)&lt;=0.000000001),0,IF(ISNUMBER(BA83),IFERROR(_xlfn.LET(_xlpm.ai_test,TRIM(AP83),_xlpm.r,IFERROR(_xlfn.XLOOKUP(_xlpm.ai_test,BP16:BP63,ROW(BP16:BP63),0,1),IFERROR(_xlfn.XLOOKUP(_xlpm.ai_test,BQ16:BQ63,ROW(BQ16:BQ63),0,1),_xlfn.XLOOKUP(_xlpm.ai_test,BR16:BR63,ROW(BR16:BR63),0,1))),_xlpm.p,_xlpm.r-MIN(ROW(BP16:BP63))+1,_xlpm.f,INDEX(BS16:BS63,_xlpm.p),_xlpm.u,INDEX(BT16:BT63,_xlpm.p),_xlpm.s,INDEX(BV16:BV63,_xlpm.p),_xlpm.q,N(BA83)/_xlpm.f,IF(_xlpm.q&gt;=_xlpm.s,ROUND(_xlpm.q,1)&amp;" "&amp;_xlpm.ai_test&amp;" = "&amp;ROUND(_xlpm.q*_xlpm.f,1)&amp;" "&amp;_xlpm.u,ROUND(_xlpm.q,1)&amp;" "&amp;_xlpm.ai_test)),""),""))))</f>
        <v>0</v>
      </c>
      <c r="BD83" s="801"/>
      <c r="BE83" s="788" t="str">
        <f t="shared" si="31"/>
        <v/>
      </c>
      <c r="BF83" s="789" t="str">
        <f t="shared" si="42"/>
        <v/>
      </c>
      <c r="BG83" s="790">
        <f t="shared" si="43"/>
        <v>0</v>
      </c>
      <c r="BH83" s="791" t="str">
        <f t="shared" si="44"/>
        <v/>
      </c>
      <c r="BI83" s="792">
        <v>1.5</v>
      </c>
      <c r="BJ83" s="793">
        <f t="shared" si="45"/>
        <v>0</v>
      </c>
      <c r="BK83" s="794" t="str">
        <f t="shared" si="39"/>
        <v/>
      </c>
      <c r="BL83" s="227" t="s">
        <v>21</v>
      </c>
      <c r="BM83" s="773">
        <f t="shared" si="36"/>
        <v>0</v>
      </c>
      <c r="BN83" s="774">
        <f t="shared" si="37"/>
        <v>0</v>
      </c>
      <c r="BP83" s="6848" t="s">
        <v>1764</v>
      </c>
      <c r="BQ83" s="6849"/>
      <c r="BR83" s="6849"/>
      <c r="BS83" s="6849"/>
      <c r="BT83" s="6849"/>
      <c r="BU83" s="6849"/>
      <c r="BV83" s="6849"/>
      <c r="BW83" s="6849"/>
      <c r="BX83" s="6849"/>
      <c r="BY83" s="6849"/>
      <c r="BZ83" s="6849"/>
      <c r="CA83" s="6849"/>
      <c r="CB83" s="6850"/>
      <c r="CC83"/>
      <c r="CD83" s="781" t="str">
        <f t="shared" si="46"/>
        <v>►</v>
      </c>
      <c r="CE83" s="350"/>
      <c r="CF83" s="350"/>
      <c r="CG83" s="350"/>
      <c r="CH83" s="350"/>
      <c r="CI83" s="350"/>
      <c r="CJ83" s="719"/>
      <c r="CK83"/>
      <c r="CL83"/>
      <c r="CM83"/>
      <c r="CN83"/>
      <c r="CO83"/>
      <c r="CP83"/>
      <c r="CQ83"/>
      <c r="CS83"/>
      <c r="CT83"/>
      <c r="CU83"/>
      <c r="CV83"/>
      <c r="CW83"/>
      <c r="CX83"/>
      <c r="CY83"/>
      <c r="DA83"/>
      <c r="DB83"/>
      <c r="DC83"/>
      <c r="DD83"/>
      <c r="DE83"/>
      <c r="DF83"/>
      <c r="DG83"/>
      <c r="DI83" s="3">
        <v>1</v>
      </c>
    </row>
    <row r="84" spans="1:113" s="627" customFormat="1" ht="21" customHeight="1">
      <c r="A84" s="701" t="s">
        <v>21</v>
      </c>
      <c r="B84" s="2265" t="str" cm="1">
        <f t="array" ref="B84">SUMPRODUCT(--(D84:J84&lt;&gt;""), LEN(TRIM(SUBSTITUTE(D84:J84, CHAR(160), "")))) &amp; " Car."</f>
        <v>0 Car.</v>
      </c>
      <c r="C84" s="1376" t="str">
        <f>IF(ISBLANK(D84),"",LARGE(C13:C83,1)+1)</f>
        <v/>
      </c>
      <c r="D84" s="1833"/>
      <c r="E84" s="1810"/>
      <c r="F84" s="1810"/>
      <c r="G84" s="1810"/>
      <c r="H84" s="1810"/>
      <c r="I84" s="1810"/>
      <c r="J84" s="1810"/>
      <c r="K84" s="1810"/>
      <c r="L84" s="1811"/>
      <c r="M84" s="9"/>
      <c r="N84" s="25" t="str">
        <f t="shared" si="47"/>
        <v>►</v>
      </c>
      <c r="O84" s="1616"/>
      <c r="P84" s="9"/>
      <c r="Q84" s="25" t="s">
        <v>15</v>
      </c>
      <c r="R84" s="31"/>
      <c r="S84" s="32"/>
      <c r="T84" s="31"/>
      <c r="U84" s="33"/>
      <c r="V84" s="1967"/>
      <c r="W84" s="1805"/>
      <c r="X84" s="91"/>
      <c r="Y84" s="1806"/>
      <c r="Z84" s="1968"/>
      <c r="AA84" s="2244"/>
      <c r="AB84" s="1969"/>
      <c r="AC84" s="1365"/>
      <c r="AD84" s="95"/>
      <c r="AE84" s="1326"/>
      <c r="AF84" s="97"/>
      <c r="AG84" s="1737"/>
      <c r="AH84" s="1970"/>
      <c r="AI84" s="99"/>
      <c r="AJ84" s="1809"/>
      <c r="AK84" s="6120" t="str">
        <f t="shared" si="51"/>
        <v>►</v>
      </c>
      <c r="AL84" s="781" t="str">
        <f t="shared" si="21"/>
        <v>►</v>
      </c>
      <c r="AM84" s="5498" t="str">
        <f t="shared" si="22"/>
        <v/>
      </c>
      <c r="AN84" s="783" t="str">
        <f t="shared" si="38"/>
        <v/>
      </c>
      <c r="AO84" s="782" t="str">
        <f t="shared" si="24"/>
        <v/>
      </c>
      <c r="AP84" s="783" t="str">
        <f t="shared" si="25"/>
        <v/>
      </c>
      <c r="AQ84" s="2083" t="b">
        <f>AND(Q84="A",COUNTIF(BP16:BR63,TRIM(Z84))&gt;0)</f>
        <v>0</v>
      </c>
      <c r="AR84" s="797" t="str">
        <f>IF(AL84&lt;&gt;"A","",IFERROR(IFERROR(_xlfn.XLOOKUP(TRIM(SUBSTITUTE(Z84,CHAR(160)," ")),BP16:BP63,BS16:BS63),IFERROR(_xlfn.XLOOKUP(TRIM(SUBSTITUTE(Z84,CHAR(160)," ")),BQ16:BQ63,BS16:BS63),_xlfn.XLOOKUP(TRIM(SUBSTITUTE(Z84,CHAR(160)," ")),BR16:BR63,BS16:BS63)))*Y84*IF(ISBLANK(V84),1,V84),0))</f>
        <v/>
      </c>
      <c r="AS84" s="784" t="str">
        <f t="shared" si="26"/>
        <v/>
      </c>
      <c r="AT84" s="1315" t="str">
        <f t="shared" si="27"/>
        <v/>
      </c>
      <c r="AU84" s="785">
        <f t="shared" si="28"/>
        <v>0</v>
      </c>
      <c r="AV84" s="785">
        <f t="shared" si="29"/>
        <v>0</v>
      </c>
      <c r="AW84" s="798">
        <f>IF(AK84="A",AY10,0)</f>
        <v>0</v>
      </c>
      <c r="AX84" s="5496" t="str">
        <f>IF(IFERROR(SEARCH("Adresse PC",TRIM(W84)),0)&gt;0,"▼ receta siguiente",IF(AK84="A",IF(AZ10&lt;&gt;"",AZ10&amp;" - ou.or.o ❾ + or - &gt;",""),""))</f>
        <v/>
      </c>
      <c r="AY84" s="810"/>
      <c r="AZ84" s="810"/>
      <c r="BA84" s="799" t="str">
        <f t="shared" ref="BA84:BA147" si="52">IF(AK84="A",IF(UPPER(TRIM(SUBSTITUTE(AS84,CHAR(160),"")))="KG",N(AR84)*N(BN84),0),"")</f>
        <v/>
      </c>
      <c r="BB84" s="800" t="str">
        <f>IF(AK84="A",IF(AQ84,IF(AND(AW84&lt;&gt;"",N(AW84)&gt;0),IFERROR(IFERROR(_xlfn.XLOOKUP(AP84,BP10:BP57,BT10:BT57),IFERROR(_xlfn.XLOOKUP(AP84,BQ10:BQ57,BT10:BT57),_xlfn.XLOOKUP(AP84,BR10:BR57,BT10:BT57,""))),""),""),""),"")</f>
        <v/>
      </c>
      <c r="BC84" s="813" cm="1">
        <f t="array" ref="BC84">IF(NOT(AQ84),0,IF(OR(BA84="",N(BA84)&lt;=0.000000001),"",IF(OR(AU84="",N(AU84)&lt;=0.000000001),0,IF(ISNUMBER(BA84),IFERROR(_xlfn.LET(_xlpm.ai_test,TRIM(AP84),_xlpm.r,IFERROR(_xlfn.XLOOKUP(_xlpm.ai_test,BP16:BP63,ROW(BP16:BP63),0,1),IFERROR(_xlfn.XLOOKUP(_xlpm.ai_test,BQ16:BQ63,ROW(BQ16:BQ63),0,1),_xlfn.XLOOKUP(_xlpm.ai_test,BR16:BR63,ROW(BR16:BR63),0,1))),_xlpm.p,_xlpm.r-MIN(ROW(BP16:BP63))+1,_xlpm.f,INDEX(BS16:BS63,_xlpm.p),_xlpm.u,INDEX(BT16:BT63,_xlpm.p),_xlpm.s,INDEX(BV16:BV63,_xlpm.p),_xlpm.q,N(BA84)/_xlpm.f,IF(_xlpm.q&gt;=_xlpm.s,ROUND(_xlpm.q,1)&amp;" "&amp;_xlpm.ai_test&amp;" = "&amp;ROUND(_xlpm.q*_xlpm.f,1)&amp;" "&amp;_xlpm.u,ROUND(_xlpm.q,1)&amp;" "&amp;_xlpm.ai_test)),""),""))))</f>
        <v>0</v>
      </c>
      <c r="BD84" s="801"/>
      <c r="BE84" s="799" t="str">
        <f t="shared" si="31"/>
        <v/>
      </c>
      <c r="BF84" s="800" t="str">
        <f t="shared" si="42"/>
        <v/>
      </c>
      <c r="BG84" s="802">
        <f t="shared" si="43"/>
        <v>0</v>
      </c>
      <c r="BH84" s="803" t="str">
        <f t="shared" si="44"/>
        <v/>
      </c>
      <c r="BI84" s="792">
        <v>1.5</v>
      </c>
      <c r="BJ84" s="804">
        <f t="shared" si="45"/>
        <v>0</v>
      </c>
      <c r="BK84" s="794" t="str">
        <f t="shared" si="39"/>
        <v/>
      </c>
      <c r="BL84" s="227" t="s">
        <v>21</v>
      </c>
      <c r="BM84" s="773">
        <f t="shared" si="36"/>
        <v>0</v>
      </c>
      <c r="BN84" s="774">
        <f t="shared" si="37"/>
        <v>0</v>
      </c>
      <c r="BP84" s="6851"/>
      <c r="BQ84" s="6852"/>
      <c r="BR84" s="6852"/>
      <c r="BS84" s="6852"/>
      <c r="BT84" s="6852"/>
      <c r="BU84" s="6852"/>
      <c r="BV84" s="6852"/>
      <c r="BW84" s="6852"/>
      <c r="BX84" s="6852"/>
      <c r="BY84" s="6852"/>
      <c r="BZ84" s="6852"/>
      <c r="CA84" s="6852"/>
      <c r="CB84" s="6853"/>
      <c r="CC84"/>
      <c r="CD84" s="781" t="str">
        <f t="shared" si="46"/>
        <v>►</v>
      </c>
      <c r="CE84" s="350"/>
      <c r="CF84" s="350"/>
      <c r="CG84" s="350"/>
      <c r="CH84" s="350"/>
      <c r="CI84" s="350"/>
      <c r="CJ84" s="719"/>
      <c r="CK84"/>
      <c r="CL84"/>
      <c r="CM84"/>
      <c r="CN84"/>
      <c r="CO84"/>
      <c r="CP84"/>
      <c r="CQ84"/>
      <c r="CS84"/>
      <c r="CT84"/>
      <c r="CU84"/>
      <c r="CV84"/>
      <c r="CW84"/>
      <c r="CX84"/>
      <c r="CY84"/>
      <c r="DA84"/>
      <c r="DB84"/>
      <c r="DC84"/>
      <c r="DD84"/>
      <c r="DE84"/>
      <c r="DF84"/>
      <c r="DG84"/>
      <c r="DI84" s="3">
        <v>1</v>
      </c>
    </row>
    <row r="85" spans="1:113" s="627" customFormat="1" ht="21" customHeight="1">
      <c r="A85" s="701" t="s">
        <v>21</v>
      </c>
      <c r="B85" s="2265" t="str" cm="1">
        <f t="array" ref="B85">SUMPRODUCT(--(D85:J85&lt;&gt;""), LEN(TRIM(SUBSTITUTE(D85:J85, CHAR(160), "")))) &amp; " Car."</f>
        <v>0 Car.</v>
      </c>
      <c r="C85" s="1376" t="str">
        <f>IF(ISBLANK(D85),"",LARGE(C13:C84,1)+1)</f>
        <v/>
      </c>
      <c r="D85" s="1833"/>
      <c r="E85" s="1810"/>
      <c r="F85" s="1810"/>
      <c r="G85" s="1810"/>
      <c r="H85" s="1810"/>
      <c r="I85" s="1810"/>
      <c r="J85" s="1810"/>
      <c r="K85" s="1810"/>
      <c r="L85" s="1811"/>
      <c r="M85" s="9"/>
      <c r="N85" s="103" t="str">
        <f t="shared" si="47"/>
        <v>►</v>
      </c>
      <c r="O85" s="1616"/>
      <c r="P85" s="9"/>
      <c r="Q85" s="25" t="s">
        <v>15</v>
      </c>
      <c r="R85" s="31"/>
      <c r="S85" s="32"/>
      <c r="T85" s="31"/>
      <c r="U85" s="33"/>
      <c r="V85" s="1967"/>
      <c r="W85" s="1805"/>
      <c r="X85" s="91"/>
      <c r="Y85" s="1806"/>
      <c r="Z85" s="1968"/>
      <c r="AA85" s="2244"/>
      <c r="AB85" s="1969"/>
      <c r="AC85" s="1365"/>
      <c r="AD85" s="95"/>
      <c r="AE85" s="1326"/>
      <c r="AF85" s="97"/>
      <c r="AG85" s="1737"/>
      <c r="AH85" s="1970"/>
      <c r="AI85" s="99"/>
      <c r="AJ85" s="1809"/>
      <c r="AK85" s="6120" t="str">
        <f t="shared" si="51"/>
        <v>►</v>
      </c>
      <c r="AL85" s="781" t="str">
        <f t="shared" si="21"/>
        <v>►</v>
      </c>
      <c r="AM85" s="5499" t="str">
        <f t="shared" si="22"/>
        <v/>
      </c>
      <c r="AN85" s="783" t="str">
        <f t="shared" si="38"/>
        <v/>
      </c>
      <c r="AO85" s="782" t="str">
        <f t="shared" si="24"/>
        <v/>
      </c>
      <c r="AP85" s="783" t="str">
        <f t="shared" si="25"/>
        <v/>
      </c>
      <c r="AQ85" s="2083" t="b">
        <f>AND(Q85="A",COUNTIF(BP16:BR63,TRIM(Z85))&gt;0)</f>
        <v>0</v>
      </c>
      <c r="AR85" s="797" t="str">
        <f>IF(AL85&lt;&gt;"A","",IFERROR(IFERROR(_xlfn.XLOOKUP(TRIM(SUBSTITUTE(Z85,CHAR(160)," ")),BP16:BP63,BS16:BS63),IFERROR(_xlfn.XLOOKUP(TRIM(SUBSTITUTE(Z85,CHAR(160)," ")),BQ16:BQ63,BS16:BS63),_xlfn.XLOOKUP(TRIM(SUBSTITUTE(Z85,CHAR(160)," ")),BR16:BR63,BS16:BS63)))*Y85*IF(ISBLANK(V85),1,V85),0))</f>
        <v/>
      </c>
      <c r="AS85" s="784" t="str">
        <f t="shared" si="26"/>
        <v/>
      </c>
      <c r="AT85" s="1315" t="str">
        <f t="shared" si="27"/>
        <v/>
      </c>
      <c r="AU85" s="785">
        <f t="shared" si="28"/>
        <v>0</v>
      </c>
      <c r="AV85" s="785">
        <f t="shared" si="29"/>
        <v>0</v>
      </c>
      <c r="AW85" s="786">
        <f>IF(AK85="A",AY10,0)</f>
        <v>0</v>
      </c>
      <c r="AX85" s="5495" t="str">
        <f>IF(IFERROR(SEARCH("Adresse PC",TRIM(W85)),0)&gt;0,"▼ receta siguiente",IF(AK85="A",IF(AZ10&lt;&gt;"",AZ10&amp;" - ou.or.o ❾ + or - &gt;",""),""))</f>
        <v/>
      </c>
      <c r="AY85" s="810"/>
      <c r="AZ85" s="810"/>
      <c r="BA85" s="788" t="str">
        <f t="shared" si="52"/>
        <v/>
      </c>
      <c r="BB85" s="789" t="str">
        <f>IF(AK85="A",IF(AQ85,IF(AND(AW85&lt;&gt;"",N(AW85)&gt;0),IFERROR(IFERROR(_xlfn.XLOOKUP(AP85,BP10:BP57,BT10:BT57),IFERROR(_xlfn.XLOOKUP(AP85,BQ10:BQ57,BT10:BT57),_xlfn.XLOOKUP(AP85,BR10:BR57,BT10:BT57,""))),""),""),""),"")</f>
        <v/>
      </c>
      <c r="BC85" s="811" cm="1">
        <f t="array" ref="BC85">IF(NOT(AQ85),0,IF(OR(BA85="",N(BA85)&lt;=0.000000001),"",IF(OR(AU85="",N(AU85)&lt;=0.000000001),0,IF(ISNUMBER(BA85),IFERROR(_xlfn.LET(_xlpm.ai_test,TRIM(AP85),_xlpm.r,IFERROR(_xlfn.XLOOKUP(_xlpm.ai_test,BP16:BP63,ROW(BP16:BP63),0,1),IFERROR(_xlfn.XLOOKUP(_xlpm.ai_test,BQ16:BQ63,ROW(BQ16:BQ63),0,1),_xlfn.XLOOKUP(_xlpm.ai_test,BR16:BR63,ROW(BR16:BR63),0,1))),_xlpm.p,_xlpm.r-MIN(ROW(BP16:BP63))+1,_xlpm.f,INDEX(BS16:BS63,_xlpm.p),_xlpm.u,INDEX(BT16:BT63,_xlpm.p),_xlpm.s,INDEX(BV16:BV63,_xlpm.p),_xlpm.q,N(BA85)/_xlpm.f,IF(_xlpm.q&gt;=_xlpm.s,ROUND(_xlpm.q,1)&amp;" "&amp;_xlpm.ai_test&amp;" = "&amp;ROUND(_xlpm.q*_xlpm.f,1)&amp;" "&amp;_xlpm.u,ROUND(_xlpm.q,1)&amp;" "&amp;_xlpm.ai_test)),""),""))))</f>
        <v>0</v>
      </c>
      <c r="BD85" s="801"/>
      <c r="BE85" s="788" t="str">
        <f t="shared" si="31"/>
        <v/>
      </c>
      <c r="BF85" s="789" t="str">
        <f t="shared" si="42"/>
        <v/>
      </c>
      <c r="BG85" s="790">
        <f t="shared" si="43"/>
        <v>0</v>
      </c>
      <c r="BH85" s="791" t="str">
        <f t="shared" si="44"/>
        <v/>
      </c>
      <c r="BI85" s="792">
        <v>1.5</v>
      </c>
      <c r="BJ85" s="793">
        <f t="shared" si="45"/>
        <v>0</v>
      </c>
      <c r="BK85" s="794" t="str">
        <f t="shared" si="39"/>
        <v/>
      </c>
      <c r="BL85" s="227" t="s">
        <v>21</v>
      </c>
      <c r="BM85" s="773">
        <f t="shared" si="36"/>
        <v>0</v>
      </c>
      <c r="BN85" s="774">
        <f t="shared" si="37"/>
        <v>0</v>
      </c>
      <c r="BP85" s="627" t="s">
        <v>2399</v>
      </c>
      <c r="CC85"/>
      <c r="CD85" s="781" t="str">
        <f t="shared" si="46"/>
        <v>►</v>
      </c>
      <c r="CE85" s="867" t="s">
        <v>1765</v>
      </c>
      <c r="CF85" s="268"/>
      <c r="CG85" s="268"/>
      <c r="CH85" s="268"/>
      <c r="CI85" s="268"/>
      <c r="CJ85" s="719"/>
      <c r="CK85"/>
      <c r="CL85"/>
      <c r="CM85"/>
      <c r="CN85"/>
      <c r="CO85"/>
      <c r="CP85"/>
      <c r="CQ85"/>
      <c r="CS85"/>
      <c r="CT85"/>
      <c r="CU85"/>
      <c r="CV85"/>
      <c r="CW85"/>
      <c r="CX85"/>
      <c r="CY85"/>
      <c r="DA85"/>
      <c r="DB85"/>
      <c r="DC85"/>
      <c r="DD85"/>
      <c r="DE85"/>
      <c r="DF85"/>
      <c r="DG85"/>
      <c r="DI85" s="3">
        <v>1</v>
      </c>
    </row>
    <row r="86" spans="1:113" s="627" customFormat="1" ht="21" customHeight="1">
      <c r="A86" s="701" t="s">
        <v>21</v>
      </c>
      <c r="B86" s="2265" t="str" cm="1">
        <f t="array" ref="B86">SUMPRODUCT(--(D86:J86&lt;&gt;""), LEN(TRIM(SUBSTITUTE(D86:J86, CHAR(160), "")))) &amp; " Car."</f>
        <v>0 Car.</v>
      </c>
      <c r="C86" s="1376" t="str">
        <f>IF(ISBLANK(D86),"",LARGE(C13:C85,1)+1)</f>
        <v/>
      </c>
      <c r="D86" s="1833"/>
      <c r="E86" s="1810"/>
      <c r="F86" s="1810"/>
      <c r="G86" s="1810"/>
      <c r="H86" s="1810"/>
      <c r="I86" s="1810"/>
      <c r="J86" s="1810"/>
      <c r="K86" s="1810"/>
      <c r="L86" s="1811"/>
      <c r="M86" s="9"/>
      <c r="N86" s="103" t="str">
        <f t="shared" si="47"/>
        <v>►</v>
      </c>
      <c r="O86" s="1616"/>
      <c r="P86" s="9"/>
      <c r="Q86" s="25" t="s">
        <v>15</v>
      </c>
      <c r="R86" s="31"/>
      <c r="S86" s="32"/>
      <c r="T86" s="31"/>
      <c r="U86" s="33"/>
      <c r="V86" s="1967"/>
      <c r="W86" s="1805"/>
      <c r="X86" s="91"/>
      <c r="Y86" s="1806"/>
      <c r="Z86" s="1968"/>
      <c r="AA86" s="2244"/>
      <c r="AB86" s="1969"/>
      <c r="AC86" s="1365"/>
      <c r="AD86" s="95"/>
      <c r="AE86" s="1326"/>
      <c r="AF86" s="97"/>
      <c r="AG86" s="1737"/>
      <c r="AH86" s="1970"/>
      <c r="AI86" s="99"/>
      <c r="AJ86" s="1809"/>
      <c r="AK86" s="6120" t="str">
        <f t="shared" si="51"/>
        <v>►</v>
      </c>
      <c r="AL86" s="781" t="str">
        <f t="shared" si="21"/>
        <v>►</v>
      </c>
      <c r="AM86" s="5498" t="str">
        <f t="shared" si="22"/>
        <v/>
      </c>
      <c r="AN86" s="783" t="str">
        <f t="shared" si="38"/>
        <v/>
      </c>
      <c r="AO86" s="782" t="str">
        <f t="shared" si="24"/>
        <v/>
      </c>
      <c r="AP86" s="783" t="str">
        <f t="shared" si="25"/>
        <v/>
      </c>
      <c r="AQ86" s="2083" t="b">
        <f>AND(Q86="A",COUNTIF(BP16:BR63,TRIM(Z86))&gt;0)</f>
        <v>0</v>
      </c>
      <c r="AR86" s="797" t="str">
        <f>IF(AL86&lt;&gt;"A","",IFERROR(IFERROR(_xlfn.XLOOKUP(TRIM(SUBSTITUTE(Z86,CHAR(160)," ")),BP16:BP63,BS16:BS63),IFERROR(_xlfn.XLOOKUP(TRIM(SUBSTITUTE(Z86,CHAR(160)," ")),BQ16:BQ63,BS16:BS63),_xlfn.XLOOKUP(TRIM(SUBSTITUTE(Z86,CHAR(160)," ")),BR16:BR63,BS16:BS63)))*Y86*IF(ISBLANK(V86),1,V86),0))</f>
        <v/>
      </c>
      <c r="AS86" s="784" t="str">
        <f t="shared" si="26"/>
        <v/>
      </c>
      <c r="AT86" s="1315" t="str">
        <f t="shared" si="27"/>
        <v/>
      </c>
      <c r="AU86" s="785">
        <f t="shared" si="28"/>
        <v>0</v>
      </c>
      <c r="AV86" s="785">
        <f t="shared" si="29"/>
        <v>0</v>
      </c>
      <c r="AW86" s="798">
        <f>IF(AK86="A",AY10,0)</f>
        <v>0</v>
      </c>
      <c r="AX86" s="5496" t="str">
        <f>IF(IFERROR(SEARCH("Adresse PC",TRIM(W86)),0)&gt;0,"▼ receta siguiente",IF(AK86="A",IF(AZ10&lt;&gt;"",AZ10&amp;" - ou.or.o ❾ + or - &gt;",""),""))</f>
        <v/>
      </c>
      <c r="AY86" s="1316"/>
      <c r="AZ86" s="787"/>
      <c r="BA86" s="799" t="str">
        <f t="shared" si="52"/>
        <v/>
      </c>
      <c r="BB86" s="800" t="str">
        <f>IF(AK86="A",IF(AQ86,IF(AND(AW86&lt;&gt;"",N(AW86)&gt;0),IFERROR(IFERROR(_xlfn.XLOOKUP(AP86,BP10:BP57,BT10:BT57),IFERROR(_xlfn.XLOOKUP(AP86,BQ10:BQ57,BT10:BT57),_xlfn.XLOOKUP(AP86,BR10:BR57,BT10:BT57,""))),""),""),""),"")</f>
        <v/>
      </c>
      <c r="BC86" s="813" cm="1">
        <f t="array" ref="BC86">IF(NOT(AQ86),0,IF(OR(BA86="",N(BA86)&lt;=0.000000001),"",IF(OR(AU86="",N(AU86)&lt;=0.000000001),0,IF(ISNUMBER(BA86),IFERROR(_xlfn.LET(_xlpm.ai_test,TRIM(AP86),_xlpm.r,IFERROR(_xlfn.XLOOKUP(_xlpm.ai_test,BP16:BP63,ROW(BP16:BP63),0,1),IFERROR(_xlfn.XLOOKUP(_xlpm.ai_test,BQ16:BQ63,ROW(BQ16:BQ63),0,1),_xlfn.XLOOKUP(_xlpm.ai_test,BR16:BR63,ROW(BR16:BR63),0,1))),_xlpm.p,_xlpm.r-MIN(ROW(BP16:BP63))+1,_xlpm.f,INDEX(BS16:BS63,_xlpm.p),_xlpm.u,INDEX(BT16:BT63,_xlpm.p),_xlpm.s,INDEX(BV16:BV63,_xlpm.p),_xlpm.q,N(BA86)/_xlpm.f,IF(_xlpm.q&gt;=_xlpm.s,ROUND(_xlpm.q,1)&amp;" "&amp;_xlpm.ai_test&amp;" = "&amp;ROUND(_xlpm.q*_xlpm.f,1)&amp;" "&amp;_xlpm.u,ROUND(_xlpm.q,1)&amp;" "&amp;_xlpm.ai_test)),""),""))))</f>
        <v>0</v>
      </c>
      <c r="BD86" s="801"/>
      <c r="BE86" s="799" t="str">
        <f>IF(IFERROR(SEARCH("Adresse PC",TRIM(W86)),0)&gt;0,"▼next ricipe ",IF(BA86="","",IF(AK86="A",IF(ISBLANK(BD86),BA86,ROUND(BA86*(1-MIN(1,MAX(0,IF(BD86&gt;1,BD86/100,BD86)))),3)))))</f>
        <v/>
      </c>
      <c r="BF86" s="800" t="str">
        <f t="shared" si="42"/>
        <v/>
      </c>
      <c r="BG86" s="802">
        <f t="shared" si="43"/>
        <v>0</v>
      </c>
      <c r="BH86" s="803" t="str">
        <f t="shared" si="44"/>
        <v/>
      </c>
      <c r="BI86" s="792">
        <v>1.5</v>
      </c>
      <c r="BJ86" s="804">
        <f t="shared" si="45"/>
        <v>0</v>
      </c>
      <c r="BK86" s="794" t="str">
        <f t="shared" si="39"/>
        <v/>
      </c>
      <c r="BL86" s="227" t="s">
        <v>21</v>
      </c>
      <c r="BM86" s="773">
        <f t="shared" si="36"/>
        <v>0</v>
      </c>
      <c r="BN86" s="774">
        <f t="shared" si="37"/>
        <v>0</v>
      </c>
      <c r="BP86" s="422" t="s">
        <v>140</v>
      </c>
      <c r="BQ86" s="104" t="s">
        <v>100</v>
      </c>
      <c r="BR86" s="143" t="s">
        <v>1327</v>
      </c>
      <c r="BS86" s="118" t="s">
        <v>1320</v>
      </c>
      <c r="BT86" s="118" t="s">
        <v>1321</v>
      </c>
      <c r="BU86" s="118" t="s">
        <v>1322</v>
      </c>
      <c r="BV86" s="643" t="s">
        <v>0</v>
      </c>
      <c r="BW86" s="93" t="s">
        <v>97</v>
      </c>
      <c r="BX86" s="93" t="s">
        <v>144</v>
      </c>
      <c r="BY86" s="643" t="s">
        <v>145</v>
      </c>
      <c r="BZ86" s="109" t="s">
        <v>1323</v>
      </c>
      <c r="CA86" s="109" t="s">
        <v>1324</v>
      </c>
      <c r="CB86" s="109" t="s">
        <v>1325</v>
      </c>
      <c r="CC86"/>
      <c r="CD86" s="781" t="str">
        <f t="shared" si="46"/>
        <v>►</v>
      </c>
      <c r="CE86" s="868" t="s">
        <v>1766</v>
      </c>
      <c r="CF86" s="268"/>
      <c r="CG86" s="268"/>
      <c r="CH86" s="268"/>
      <c r="CI86" s="268"/>
      <c r="CJ86" s="719"/>
      <c r="CK86"/>
      <c r="CL86"/>
      <c r="CM86"/>
      <c r="CN86"/>
      <c r="CO86"/>
      <c r="CP86"/>
      <c r="CQ86"/>
      <c r="CS86"/>
      <c r="CT86"/>
      <c r="CU86"/>
      <c r="CV86"/>
      <c r="CW86"/>
      <c r="CX86"/>
      <c r="CY86"/>
      <c r="DA86"/>
      <c r="DB86"/>
      <c r="DC86"/>
      <c r="DD86"/>
      <c r="DE86"/>
      <c r="DF86"/>
      <c r="DG86"/>
      <c r="DI86" s="3">
        <v>1</v>
      </c>
    </row>
    <row r="87" spans="1:113" s="627" customFormat="1" ht="21" customHeight="1">
      <c r="A87" s="701" t="s">
        <v>21</v>
      </c>
      <c r="B87" s="2265" t="str" cm="1">
        <f t="array" ref="B87">SUMPRODUCT(--(D87:J87&lt;&gt;""), LEN(TRIM(SUBSTITUTE(D87:J87, CHAR(160), "")))) &amp; " Car."</f>
        <v>0 Car.</v>
      </c>
      <c r="C87" s="1376" t="str">
        <f>IF(ISBLANK(D87),"",LARGE(C13:C86,1)+1)</f>
        <v/>
      </c>
      <c r="D87" s="1833"/>
      <c r="E87" s="1810"/>
      <c r="F87" s="1810"/>
      <c r="G87" s="1810"/>
      <c r="H87" s="1810"/>
      <c r="I87" s="1810"/>
      <c r="J87" s="1810"/>
      <c r="K87" s="1810"/>
      <c r="L87" s="1811"/>
      <c r="M87" s="9"/>
      <c r="N87" s="103" t="str">
        <f t="shared" si="47"/>
        <v>►</v>
      </c>
      <c r="O87" s="6118">
        <f>R87</f>
        <v>0</v>
      </c>
      <c r="P87" s="9"/>
      <c r="Q87" s="25" t="s">
        <v>15</v>
      </c>
      <c r="R87" s="31"/>
      <c r="S87" s="32"/>
      <c r="T87" s="31"/>
      <c r="U87" s="33"/>
      <c r="V87" s="1967"/>
      <c r="W87" s="1805"/>
      <c r="X87" s="91"/>
      <c r="Y87" s="1806"/>
      <c r="Z87" s="1968"/>
      <c r="AA87" s="2244"/>
      <c r="AB87" s="1969"/>
      <c r="AC87" s="1365"/>
      <c r="AD87" s="95"/>
      <c r="AE87" s="1326"/>
      <c r="AF87" s="97"/>
      <c r="AG87" s="1737"/>
      <c r="AH87" s="1970"/>
      <c r="AI87" s="99"/>
      <c r="AJ87" s="1809"/>
      <c r="AK87" s="6120" t="str">
        <f t="shared" si="51"/>
        <v>►</v>
      </c>
      <c r="AL87" s="781" t="str">
        <f t="shared" ref="AL87:AL150" si="53">IF(OR(AU87&gt;0,TRIM(AM87)="▼ recette suivante"),"A","►")</f>
        <v>►</v>
      </c>
      <c r="AM87" s="5499" t="str">
        <f>IF(IFERROR(SEARCH("Adresse PC",TRIM(SUBSTITUTE(W87,CHAR(160)," "))),0)&gt;0,"▼ recette suivante",IF(AK87="A",R87,""))</f>
        <v/>
      </c>
      <c r="AN87" s="783" t="str">
        <f>IF(AK87="A",S87,"")</f>
        <v/>
      </c>
      <c r="AO87" s="782" t="str">
        <f>IF(AK87="A",T87,"")</f>
        <v/>
      </c>
      <c r="AP87" s="783" t="str">
        <f>IF(AK87="A",Z87,"")</f>
        <v/>
      </c>
      <c r="AQ87" s="2083" t="b">
        <f>AND(Q87="A",COUNTIF(BP16:BR63,TRIM(Z87))&gt;0)</f>
        <v>0</v>
      </c>
      <c r="AR87" s="797" t="str">
        <f>IF(AL87&lt;&gt;"A","",IFERROR(IFERROR(_xlfn.XLOOKUP(TRIM(SUBSTITUTE(Z87,CHAR(160)," ")),BP16:BP63,BS16:BS63),IFERROR(_xlfn.XLOOKUP(TRIM(SUBSTITUTE(Z87,CHAR(160)," ")),BQ16:BQ63,BS16:BS63),_xlfn.XLOOKUP(TRIM(SUBSTITUTE(Z87,CHAR(160)," ")),BR16:BR63,BS16:BS63)))*Y87*IF(ISBLANK(V87),1,V87),0))</f>
        <v/>
      </c>
      <c r="AS87" s="784" t="str">
        <f t="shared" ref="AS87:AS133" si="54">IF(AK87="A",IF(AND(AQ87,AR87&gt;0),"Kg",""),"")</f>
        <v/>
      </c>
      <c r="AT87" s="1315" t="str">
        <f>IF(AK87="A","❾ Author reference &gt;","")</f>
        <v/>
      </c>
      <c r="AU87" s="785">
        <f>IF(AK87="A",S87,0)</f>
        <v>0</v>
      </c>
      <c r="AV87" s="785">
        <f>IF(AK87="A",T87,0)</f>
        <v>0</v>
      </c>
      <c r="AW87" s="786">
        <f>IF(AK87="A",AY10,0)</f>
        <v>0</v>
      </c>
      <c r="AX87" s="5495" t="str">
        <f>IF(IFERROR(SEARCH("Adresse PC",TRIM(W87)),0)&gt;0,"▼ receta siguiente",IF(AK87="A",IF(AZ10&lt;&gt;"",AZ10&amp;" - ou.or.o ❾ + or - &gt;",""),""))</f>
        <v/>
      </c>
      <c r="AY87" s="1316"/>
      <c r="AZ87" s="787"/>
      <c r="BA87" s="788" t="str">
        <f t="shared" si="52"/>
        <v/>
      </c>
      <c r="BB87" s="789" t="str">
        <f>IF(AK87="A",IF(AQ87,IF(AND(AW87&lt;&gt;"",N(AW87)&gt;0),IFERROR(IFERROR(_xlfn.XLOOKUP(AP87,BP10:BP57,BT10:BT57),IFERROR(_xlfn.XLOOKUP(AP87,BQ10:BQ57,BT10:BT57),_xlfn.XLOOKUP(AP87,BR10:BR57,BT10:BT57,""))),""),""),""),"")</f>
        <v/>
      </c>
      <c r="BC87" s="811" cm="1">
        <f t="array" ref="BC87">IF(NOT(AQ87),0,IF(OR(BA87="",N(BA87)&lt;=0.000000001),"",IF(OR(AU87="",N(AU87)&lt;=0.000000001),0,IF(ISNUMBER(BA87),IFERROR(_xlfn.LET(_xlpm.ai_test,TRIM(AP87),_xlpm.r,IFERROR(_xlfn.XLOOKUP(_xlpm.ai_test,BP17:BP64,ROW(BP17:BP64),0,1),IFERROR(_xlfn.XLOOKUP(_xlpm.ai_test,BQ17:BQ64,ROW(BQ17:BQ64),0,1),_xlfn.XLOOKUP(_xlpm.ai_test,BR17:BR64,ROW(BR17:BR64),0,1))),_xlpm.p,_xlpm.r-MIN(ROW(BP17:BP64))+1,_xlpm.f,INDEX(BS17:BS64,_xlpm.p),_xlpm.u,INDEX(BT17:BT64,_xlpm.p),_xlpm.s,INDEX(BV17:BV64,_xlpm.p),_xlpm.q,N(BA87)/_xlpm.f,IF(_xlpm.q&gt;=_xlpm.s,ROUND(_xlpm.q,1)&amp;" "&amp;_xlpm.ai_test&amp;" = "&amp;ROUND(_xlpm.q*_xlpm.f,1)&amp;" "&amp;_xlpm.u,ROUND(_xlpm.q,1)&amp;" "&amp;_xlpm.ai_test)),""),""))))</f>
        <v>0</v>
      </c>
      <c r="BD87" s="801"/>
      <c r="BE87" s="788" t="str">
        <f>IF(IFERROR(SEARCH("Adresse PC",TRIM(W87)),0)&gt;0,"▼next ricipe ",IF(BA87="","",IF(AK87="A",IF(ISBLANK(BD87),BA87,ROUND(BA87*(1-MIN(1,MAX(0,IF(BD87&gt;1,BD87/100,BD87)))),3)))))</f>
        <v/>
      </c>
      <c r="BF87" s="789" t="str">
        <f>IF(AK87="A",BB87,"")</f>
        <v/>
      </c>
      <c r="BG87" s="790">
        <f t="shared" si="43"/>
        <v>0</v>
      </c>
      <c r="BH87" s="791" t="str">
        <f t="shared" si="44"/>
        <v/>
      </c>
      <c r="BI87" s="792"/>
      <c r="BJ87" s="793">
        <f t="shared" si="45"/>
        <v>0</v>
      </c>
      <c r="BK87" s="794" t="str">
        <f t="shared" si="39"/>
        <v/>
      </c>
      <c r="BL87" s="227" t="s">
        <v>21</v>
      </c>
      <c r="BM87" s="773">
        <f t="shared" ref="BM87:BM150" si="55">IFERROR(_xlfn.LET(_xlpm.EPS,0.000000001,_xlpm.b,V87/AU87,IF(ISNUMBER(AY87),_xlpm.b*AY87,IF(OR(ISBLANK(AY87),AY87=""),_xlpm.b*AW87,IF(AND(BN87=0,ISNUMBER(V87)),_xlpm.b/AW87,0)))),0)</f>
        <v>0</v>
      </c>
      <c r="BN87" s="774">
        <f t="shared" ref="BN87:BN150" si="56">IF(AR87&gt;0,IFERROR(IF(OR(ISBLANK(AY87),AY87=""),AW87,AY87)/AU87,0),0)</f>
        <v>0</v>
      </c>
      <c r="BP87" s="685">
        <v>1</v>
      </c>
      <c r="BQ87" s="686">
        <v>1E-3</v>
      </c>
      <c r="BR87" s="687">
        <v>0</v>
      </c>
      <c r="BS87" s="686">
        <v>0.25</v>
      </c>
      <c r="BT87" s="686">
        <v>0.33332999999999996</v>
      </c>
      <c r="BU87" s="686">
        <v>0.5</v>
      </c>
      <c r="BV87" s="688">
        <v>1</v>
      </c>
      <c r="BW87" s="688">
        <v>0.1</v>
      </c>
      <c r="BX87" s="688">
        <v>0.01</v>
      </c>
      <c r="BY87" s="688">
        <v>1E-3</v>
      </c>
      <c r="BZ87" s="688">
        <v>0.5</v>
      </c>
      <c r="CA87" s="688">
        <v>0.33300000000000002</v>
      </c>
      <c r="CB87" s="689">
        <v>0.2</v>
      </c>
      <c r="CC87"/>
      <c r="CD87" s="781" t="str">
        <f t="shared" si="46"/>
        <v>►</v>
      </c>
      <c r="CE87" s="869" t="s">
        <v>1767</v>
      </c>
      <c r="CF87" s="268"/>
      <c r="CG87" s="268"/>
      <c r="CH87" s="268"/>
      <c r="CI87" s="268"/>
      <c r="CJ87" s="719"/>
      <c r="CK87"/>
      <c r="CL87"/>
      <c r="CM87"/>
      <c r="CN87"/>
      <c r="CO87"/>
      <c r="CP87"/>
      <c r="CQ87"/>
      <c r="CS87"/>
      <c r="CT87"/>
      <c r="CU87"/>
      <c r="CV87"/>
      <c r="CW87"/>
      <c r="CX87"/>
      <c r="CY87"/>
      <c r="DA87"/>
      <c r="DB87"/>
      <c r="DC87"/>
      <c r="DD87"/>
      <c r="DE87"/>
      <c r="DF87"/>
      <c r="DG87"/>
      <c r="DI87" s="3">
        <v>1</v>
      </c>
    </row>
    <row r="88" spans="1:113" s="627" customFormat="1" ht="21" customHeight="1">
      <c r="A88" s="701" t="s">
        <v>21</v>
      </c>
      <c r="B88" s="2265" t="str" cm="1">
        <f t="array" ref="B88">SUMPRODUCT(--(D88:J88&lt;&gt;""), LEN(TRIM(SUBSTITUTE(D88:J88, CHAR(160), "")))) &amp; " Car."</f>
        <v>0 Car.</v>
      </c>
      <c r="C88" s="1376" t="str">
        <f>IF(ISBLANK(D88),"",LARGE(C13:C87,1)+1)</f>
        <v/>
      </c>
      <c r="D88" s="1833"/>
      <c r="E88" s="1810"/>
      <c r="F88" s="1810"/>
      <c r="G88" s="1810"/>
      <c r="H88" s="1810"/>
      <c r="I88" s="1810"/>
      <c r="J88" s="1810"/>
      <c r="K88" s="1810"/>
      <c r="L88" s="1811"/>
      <c r="M88" s="9"/>
      <c r="N88" s="103" t="str">
        <f t="shared" si="47"/>
        <v>►</v>
      </c>
      <c r="O88" s="1616"/>
      <c r="P88" s="9"/>
      <c r="Q88" s="25" t="s">
        <v>15</v>
      </c>
      <c r="R88" s="31"/>
      <c r="S88" s="32"/>
      <c r="T88" s="31"/>
      <c r="U88" s="33"/>
      <c r="V88" s="1967"/>
      <c r="W88" s="1805"/>
      <c r="X88" s="91"/>
      <c r="Y88" s="1806"/>
      <c r="Z88" s="1968"/>
      <c r="AA88" s="2244"/>
      <c r="AB88" s="1969"/>
      <c r="AC88" s="1365"/>
      <c r="AD88" s="95"/>
      <c r="AE88" s="1326"/>
      <c r="AF88" s="97"/>
      <c r="AG88" s="1737"/>
      <c r="AH88" s="1970"/>
      <c r="AI88" s="99"/>
      <c r="AJ88" s="1809"/>
      <c r="AK88" s="6120" t="str">
        <f t="shared" si="51"/>
        <v>►</v>
      </c>
      <c r="AL88" s="781" t="str">
        <f t="shared" si="53"/>
        <v>►</v>
      </c>
      <c r="AM88" s="5498" t="str">
        <f t="shared" ref="AM88:AM151" si="57">IF(IFERROR(SEARCH("Adresse PC",TRIM(SUBSTITUTE(W88,CHAR(160)," "))),0)&gt;0,"▼ recette suivante",IF(AK88="A",R88,""))</f>
        <v/>
      </c>
      <c r="AN88" s="783" t="str">
        <f t="shared" ref="AN88:AN151" si="58">IF(AK88="A",S88,"")</f>
        <v/>
      </c>
      <c r="AO88" s="782" t="str">
        <f t="shared" ref="AO88:AO151" si="59">IF(AK88="A",T88,"")</f>
        <v/>
      </c>
      <c r="AP88" s="783" t="str">
        <f t="shared" ref="AP88:AP151" si="60">IF(AK88="A",Z88,"")</f>
        <v/>
      </c>
      <c r="AQ88" s="2083" t="b">
        <f>AND(Q88="A",COUNTIF(BP16:BR63,TRIM(Z88))&gt;0)</f>
        <v>0</v>
      </c>
      <c r="AR88" s="797" t="str">
        <f>IF(AL88&lt;&gt;"A","",IFERROR(IFERROR(_xlfn.XLOOKUP(TRIM(SUBSTITUTE(Z88,CHAR(160)," ")),BP16:BP63,BS16:BS63),IFERROR(_xlfn.XLOOKUP(TRIM(SUBSTITUTE(Z88,CHAR(160)," ")),BQ16:BQ63,BS16:BS63),_xlfn.XLOOKUP(TRIM(SUBSTITUTE(Z88,CHAR(160)," ")),BR16:BR63,BS16:BS63)))*Y88*IF(ISBLANK(V88),1,V88),0))</f>
        <v/>
      </c>
      <c r="AS88" s="784" t="str">
        <f t="shared" si="54"/>
        <v/>
      </c>
      <c r="AT88" s="1315" t="str">
        <f t="shared" ref="AT88:AT151" si="61">IF(AK88="A","❾ Author reference &gt;","")</f>
        <v/>
      </c>
      <c r="AU88" s="785">
        <f t="shared" ref="AU88:AU151" si="62">IF(AK88="A",S88,0)</f>
        <v>0</v>
      </c>
      <c r="AV88" s="785">
        <f t="shared" ref="AV88:AV151" si="63">IF(AK88="A",T88,0)</f>
        <v>0</v>
      </c>
      <c r="AW88" s="798">
        <f>IF(AK88="A",AY10,0)</f>
        <v>0</v>
      </c>
      <c r="AX88" s="5496" t="str">
        <f>IF(IFERROR(SEARCH("Adresse PC",TRIM(W88)),0)&gt;0,"▼ receta siguiente",IF(AK88="A",IF(AZ10&lt;&gt;"",AZ10&amp;" - ou.or.o ❾ + or - &gt;",""),""))</f>
        <v/>
      </c>
      <c r="AY88" s="1316"/>
      <c r="AZ88" s="787"/>
      <c r="BA88" s="799" t="str">
        <f t="shared" si="52"/>
        <v/>
      </c>
      <c r="BB88" s="800" t="str">
        <f>IF(AK88="A",IF(AQ88,IF(AND(AW88&lt;&gt;"",N(AW88)&gt;0),IFERROR(IFERROR(_xlfn.XLOOKUP(AP88,BP10:BP57,BT10:BT57),IFERROR(_xlfn.XLOOKUP(AP88,BQ10:BQ57,BT10:BT57),_xlfn.XLOOKUP(AP88,BR10:BR57,BT10:BT57,""))),""),""),""),"")</f>
        <v/>
      </c>
      <c r="BC88" s="813" cm="1">
        <f t="array" ref="BC88">IF(NOT(AQ88),0,IF(OR(BA88="",N(BA88)&lt;=0.000000001),"",IF(OR(AU88="",N(AU88)&lt;=0.000000001),0,IF(ISNUMBER(BA88),IFERROR(_xlfn.LET(_xlpm.ai_test,TRIM(AP88),_xlpm.r,IFERROR(_xlfn.XLOOKUP(_xlpm.ai_test,BP16:BP63,ROW(BP16:BP63),0,1),IFERROR(_xlfn.XLOOKUP(_xlpm.ai_test,BQ16:BQ63,ROW(BQ16:BQ63),0,1),_xlfn.XLOOKUP(_xlpm.ai_test,BR16:BR63,ROW(BR16:BR63),0,1))),_xlpm.p,_xlpm.r-MIN(ROW(BP16:BP63))+1,_xlpm.f,INDEX(BS16:BS63,_xlpm.p),_xlpm.u,INDEX(BT16:BT63,_xlpm.p),_xlpm.s,INDEX(BV16:BV63,_xlpm.p),_xlpm.q,N(BA88)/_xlpm.f,IF(_xlpm.q&gt;=_xlpm.s,ROUND(_xlpm.q,1)&amp;" "&amp;_xlpm.ai_test&amp;" = "&amp;ROUND(_xlpm.q*_xlpm.f,1)&amp;" "&amp;_xlpm.u,ROUND(_xlpm.q,1)&amp;" "&amp;_xlpm.ai_test)),""),""))))</f>
        <v>0</v>
      </c>
      <c r="BD88" s="801"/>
      <c r="BE88" s="799" t="str">
        <f t="shared" ref="BE88:BE151" si="64">IF(IFERROR(SEARCH("Adresse PC",TRIM(W88)),0)&gt;0,"▼next ricipe ",IF(BA88="","",IF(AK88="A",IF(ISBLANK(BD88),BA88,ROUND(BA88*(1-MIN(1,MAX(0,IF(BD88&gt;1,BD88/100,BD88)))),3)))))</f>
        <v/>
      </c>
      <c r="BF88" s="800" t="str">
        <f t="shared" ref="BF88:BF151" si="65">IF(AQ88,BB88,"")</f>
        <v/>
      </c>
      <c r="BG88" s="802">
        <f t="shared" si="43"/>
        <v>0</v>
      </c>
      <c r="BH88" s="803" t="str">
        <f t="shared" si="44"/>
        <v/>
      </c>
      <c r="BI88" s="792"/>
      <c r="BJ88" s="804">
        <f t="shared" si="45"/>
        <v>0</v>
      </c>
      <c r="BK88" s="794" t="str">
        <f t="shared" ref="BK88:BK151" si="66">IF(AK88="A",IF(IFERROR(SEARCH("Adresse PC",TRIM(W88)),0)&gt;0,"▼recette suivante ",IF(BE88&gt;0,AC88,"")),"")</f>
        <v/>
      </c>
      <c r="BL88" s="227" t="s">
        <v>21</v>
      </c>
      <c r="BM88" s="773">
        <f t="shared" si="55"/>
        <v>0</v>
      </c>
      <c r="BN88" s="774">
        <f t="shared" si="56"/>
        <v>0</v>
      </c>
      <c r="BP88" s="121" t="s">
        <v>155</v>
      </c>
      <c r="BQ88" s="121" t="s">
        <v>1326</v>
      </c>
      <c r="BR88" s="143" t="s">
        <v>1327</v>
      </c>
      <c r="BS88" s="121" t="s">
        <v>1328</v>
      </c>
      <c r="BT88" s="121" t="s">
        <v>1329</v>
      </c>
      <c r="BU88" s="121" t="s">
        <v>1343</v>
      </c>
      <c r="BV88" s="155" t="s">
        <v>1330</v>
      </c>
      <c r="BW88" s="155" t="s">
        <v>1331</v>
      </c>
      <c r="BX88" s="155" t="s">
        <v>1332</v>
      </c>
      <c r="BY88" s="109" t="s">
        <v>1333</v>
      </c>
      <c r="BZ88" s="109" t="s">
        <v>1334</v>
      </c>
      <c r="CA88" s="109" t="s">
        <v>1335</v>
      </c>
      <c r="CB88" s="697" t="s">
        <v>1336</v>
      </c>
      <c r="CC88"/>
      <c r="CD88" s="781" t="str">
        <f t="shared" si="46"/>
        <v>►</v>
      </c>
      <c r="CE88" s="868" t="s">
        <v>1768</v>
      </c>
      <c r="CF88" s="268"/>
      <c r="CG88" s="268"/>
      <c r="CH88" s="268"/>
      <c r="CI88" s="268"/>
      <c r="CJ88" s="719"/>
      <c r="CK88"/>
      <c r="CL88"/>
      <c r="CM88"/>
      <c r="CN88"/>
      <c r="CO88"/>
      <c r="CP88"/>
      <c r="CQ88"/>
      <c r="CS88"/>
      <c r="CT88"/>
      <c r="CU88"/>
      <c r="CV88"/>
      <c r="CW88"/>
      <c r="CX88"/>
      <c r="CY88"/>
      <c r="DA88"/>
      <c r="DB88"/>
      <c r="DC88"/>
      <c r="DD88"/>
      <c r="DE88"/>
      <c r="DF88"/>
      <c r="DG88"/>
      <c r="DI88" s="3">
        <v>1</v>
      </c>
    </row>
    <row r="89" spans="1:113" s="627" customFormat="1" ht="21" customHeight="1">
      <c r="A89" s="701" t="s">
        <v>21</v>
      </c>
      <c r="B89" s="2265" t="str" cm="1">
        <f t="array" ref="B89">SUMPRODUCT(--(D89:J89&lt;&gt;""), LEN(TRIM(SUBSTITUTE(D89:J89, CHAR(160), "")))) &amp; " Car."</f>
        <v>0 Car.</v>
      </c>
      <c r="C89" s="1376" t="str">
        <f>IF(ISBLANK(D89),"",LARGE(C13:C88,1)+1)</f>
        <v/>
      </c>
      <c r="D89" s="1833"/>
      <c r="E89" s="1810"/>
      <c r="F89" s="1810"/>
      <c r="G89" s="1810"/>
      <c r="H89" s="1810"/>
      <c r="I89" s="1810"/>
      <c r="J89" s="1810"/>
      <c r="K89" s="1810"/>
      <c r="L89" s="1811"/>
      <c r="M89" s="9"/>
      <c r="N89" s="25" t="str">
        <f t="shared" si="47"/>
        <v>►</v>
      </c>
      <c r="O89" s="1616"/>
      <c r="P89" s="9"/>
      <c r="Q89" s="25" t="s">
        <v>15</v>
      </c>
      <c r="R89" s="31"/>
      <c r="S89" s="32"/>
      <c r="T89" s="31"/>
      <c r="U89" s="33"/>
      <c r="V89" s="1967"/>
      <c r="W89" s="1805"/>
      <c r="X89" s="91"/>
      <c r="Y89" s="1806"/>
      <c r="Z89" s="1968"/>
      <c r="AA89" s="2244"/>
      <c r="AB89" s="1969"/>
      <c r="AC89" s="1365"/>
      <c r="AD89" s="95"/>
      <c r="AE89" s="1326"/>
      <c r="AF89" s="97"/>
      <c r="AG89" s="1737"/>
      <c r="AH89" s="1970"/>
      <c r="AI89" s="99"/>
      <c r="AJ89" s="1809"/>
      <c r="AK89" s="6120" t="str">
        <f t="shared" si="51"/>
        <v>►</v>
      </c>
      <c r="AL89" s="781" t="str">
        <f t="shared" si="53"/>
        <v>►</v>
      </c>
      <c r="AM89" s="5499" t="str">
        <f t="shared" si="57"/>
        <v/>
      </c>
      <c r="AN89" s="783" t="str">
        <f t="shared" si="58"/>
        <v/>
      </c>
      <c r="AO89" s="782" t="str">
        <f t="shared" si="59"/>
        <v/>
      </c>
      <c r="AP89" s="783" t="str">
        <f t="shared" si="60"/>
        <v/>
      </c>
      <c r="AQ89" s="2083" t="b">
        <f>AND(Q89="A",COUNTIF(BP16:BR63,TRIM(Z89))&gt;0)</f>
        <v>0</v>
      </c>
      <c r="AR89" s="797" t="str">
        <f>IF(AL89&lt;&gt;"A","",IFERROR(IFERROR(_xlfn.XLOOKUP(TRIM(SUBSTITUTE(Z89,CHAR(160)," ")),BP16:BP63,BS16:BS63),IFERROR(_xlfn.XLOOKUP(TRIM(SUBSTITUTE(Z89,CHAR(160)," ")),BQ16:BQ63,BS16:BS63),_xlfn.XLOOKUP(TRIM(SUBSTITUTE(Z89,CHAR(160)," ")),BR16:BR63,BS16:BS63)))*Y89*IF(ISBLANK(V89),1,V89),0))</f>
        <v/>
      </c>
      <c r="AS89" s="784" t="str">
        <f t="shared" si="54"/>
        <v/>
      </c>
      <c r="AT89" s="1315" t="str">
        <f t="shared" si="61"/>
        <v/>
      </c>
      <c r="AU89" s="785">
        <f t="shared" si="62"/>
        <v>0</v>
      </c>
      <c r="AV89" s="785">
        <f t="shared" si="63"/>
        <v>0</v>
      </c>
      <c r="AW89" s="786">
        <f>IF(AK89="A",AY10,0)</f>
        <v>0</v>
      </c>
      <c r="AX89" s="5495" t="str">
        <f>IF(IFERROR(SEARCH("Adresse PC",TRIM(W89)),0)&gt;0,"▼ receta siguiente",IF(AK89="A",IF(AZ10&lt;&gt;"",AZ10&amp;" - ou.or.o ❾ + or - &gt;",""),""))</f>
        <v/>
      </c>
      <c r="AY89" s="1316"/>
      <c r="AZ89" s="787"/>
      <c r="BA89" s="788" t="str">
        <f t="shared" si="52"/>
        <v/>
      </c>
      <c r="BB89" s="789" t="str">
        <f>IF(AK89="A",IF(AQ89,IF(AND(AW89&lt;&gt;"",N(AW89)&gt;0),IFERROR(IFERROR(_xlfn.XLOOKUP(AP89,BP10:BP57,BT10:BT57),IFERROR(_xlfn.XLOOKUP(AP89,BQ10:BQ57,BT10:BT57),_xlfn.XLOOKUP(AP89,BR10:BR57,BT10:BT57,""))),""),""),""),"")</f>
        <v/>
      </c>
      <c r="BC89" s="811" cm="1">
        <f t="array" ref="BC89">IF(NOT(AQ89),0,IF(OR(BA89="",N(BA89)&lt;=0.000000001),"",IF(OR(AU89="",N(AU89)&lt;=0.000000001),0,IF(ISNUMBER(BA89),IFERROR(_xlfn.LET(_xlpm.ai_test,TRIM(AP89),_xlpm.r,IFERROR(_xlfn.XLOOKUP(_xlpm.ai_test,BP16:BP63,ROW(BP16:BP63),0,1),IFERROR(_xlfn.XLOOKUP(_xlpm.ai_test,BQ16:BQ63,ROW(BQ16:BQ63),0,1),_xlfn.XLOOKUP(_xlpm.ai_test,BR16:BR63,ROW(BR16:BR63),0,1))),_xlpm.p,_xlpm.r-MIN(ROW(BP16:BP63))+1,_xlpm.f,INDEX(BS16:BS63,_xlpm.p),_xlpm.u,INDEX(BT16:BT63,_xlpm.p),_xlpm.s,INDEX(BV16:BV63,_xlpm.p),_xlpm.q,N(BA89)/_xlpm.f,IF(_xlpm.q&gt;=_xlpm.s,ROUND(_xlpm.q,1)&amp;" "&amp;_xlpm.ai_test&amp;" = "&amp;ROUND(_xlpm.q*_xlpm.f,1)&amp;" "&amp;_xlpm.u,ROUND(_xlpm.q,1)&amp;" "&amp;_xlpm.ai_test)),""),""))))</f>
        <v>0</v>
      </c>
      <c r="BD89" s="801"/>
      <c r="BE89" s="788" t="str">
        <f t="shared" si="64"/>
        <v/>
      </c>
      <c r="BF89" s="789" t="str">
        <f t="shared" si="65"/>
        <v/>
      </c>
      <c r="BG89" s="790">
        <f t="shared" si="43"/>
        <v>0</v>
      </c>
      <c r="BH89" s="791" t="str">
        <f t="shared" si="44"/>
        <v/>
      </c>
      <c r="BI89" s="792"/>
      <c r="BJ89" s="793">
        <f t="shared" si="45"/>
        <v>0</v>
      </c>
      <c r="BK89" s="794" t="str">
        <f t="shared" si="66"/>
        <v/>
      </c>
      <c r="BL89" s="227" t="s">
        <v>21</v>
      </c>
      <c r="BM89" s="773">
        <f t="shared" si="55"/>
        <v>0</v>
      </c>
      <c r="BN89" s="774">
        <f t="shared" si="56"/>
        <v>0</v>
      </c>
      <c r="BP89" s="690">
        <v>2.835E-2</v>
      </c>
      <c r="BQ89" s="691">
        <v>0.13</v>
      </c>
      <c r="BR89" s="692">
        <v>0</v>
      </c>
      <c r="BS89" s="691">
        <v>0.2</v>
      </c>
      <c r="BT89" s="691">
        <v>0.23</v>
      </c>
      <c r="BU89" s="691">
        <v>0.22500000000000001</v>
      </c>
      <c r="BV89" s="688">
        <v>0.35</v>
      </c>
      <c r="BW89" s="688">
        <v>5.0000000000000001E-3</v>
      </c>
      <c r="BX89" s="688">
        <v>5.0000000000000001E-3</v>
      </c>
      <c r="BY89" s="688">
        <v>1.4999999999999999E-2</v>
      </c>
      <c r="BZ89" s="688">
        <v>0.1</v>
      </c>
      <c r="CA89" s="688">
        <v>0.22500000000000001</v>
      </c>
      <c r="CB89" s="689">
        <v>1E-3</v>
      </c>
      <c r="CC89"/>
      <c r="CD89" s="781" t="str">
        <f t="shared" si="46"/>
        <v>►</v>
      </c>
      <c r="CE89" s="870" t="s">
        <v>1769</v>
      </c>
      <c r="CF89" s="268"/>
      <c r="CG89" s="268"/>
      <c r="CH89" s="268"/>
      <c r="CI89" s="268"/>
      <c r="CJ89" s="719"/>
      <c r="CK89"/>
      <c r="CL89"/>
      <c r="CM89"/>
      <c r="CN89"/>
      <c r="CO89"/>
      <c r="CP89"/>
      <c r="CQ89"/>
      <c r="CS89"/>
      <c r="CT89"/>
      <c r="CU89"/>
      <c r="CV89"/>
      <c r="CW89"/>
      <c r="CX89"/>
      <c r="CY89"/>
      <c r="DA89"/>
      <c r="DB89"/>
      <c r="DC89"/>
      <c r="DD89"/>
      <c r="DE89"/>
      <c r="DF89"/>
      <c r="DG89"/>
      <c r="DI89" s="3">
        <v>1</v>
      </c>
    </row>
    <row r="90" spans="1:113" s="627" customFormat="1" ht="21" customHeight="1" thickBot="1">
      <c r="A90" s="701" t="s">
        <v>21</v>
      </c>
      <c r="B90" s="2265" t="str" cm="1">
        <f t="array" ref="B90">SUMPRODUCT(--(D90:J90&lt;&gt;""), LEN(TRIM(SUBSTITUTE(D90:J90, CHAR(160), "")))) &amp; " Car."</f>
        <v>0 Car.</v>
      </c>
      <c r="C90" s="1376" t="str">
        <f>IF(ISBLANK(D90),"",LARGE(C13:C89,1)+1)</f>
        <v/>
      </c>
      <c r="D90" s="1833"/>
      <c r="E90" s="1810"/>
      <c r="F90" s="1810"/>
      <c r="G90" s="1810"/>
      <c r="H90" s="1810"/>
      <c r="I90" s="1810"/>
      <c r="J90" s="1810"/>
      <c r="K90" s="1810"/>
      <c r="L90" s="1811"/>
      <c r="M90" s="9"/>
      <c r="N90" s="25" t="str">
        <f t="shared" si="47"/>
        <v>►</v>
      </c>
      <c r="O90" s="1616"/>
      <c r="P90" s="9"/>
      <c r="Q90" s="25" t="s">
        <v>15</v>
      </c>
      <c r="R90" s="31"/>
      <c r="S90" s="32"/>
      <c r="T90" s="31"/>
      <c r="U90" s="33"/>
      <c r="V90" s="1967"/>
      <c r="W90" s="1805"/>
      <c r="X90" s="91"/>
      <c r="Y90" s="1806"/>
      <c r="Z90" s="1968"/>
      <c r="AA90" s="2244"/>
      <c r="AB90" s="1969"/>
      <c r="AC90" s="1365"/>
      <c r="AD90" s="95"/>
      <c r="AE90" s="1326"/>
      <c r="AF90" s="97"/>
      <c r="AG90" s="1737"/>
      <c r="AH90" s="1970"/>
      <c r="AI90" s="99"/>
      <c r="AJ90" s="1809"/>
      <c r="AK90" s="6120" t="str">
        <f t="shared" si="51"/>
        <v>►</v>
      </c>
      <c r="AL90" s="781" t="str">
        <f t="shared" si="53"/>
        <v>►</v>
      </c>
      <c r="AM90" s="5498" t="str">
        <f t="shared" si="57"/>
        <v/>
      </c>
      <c r="AN90" s="783" t="str">
        <f t="shared" si="58"/>
        <v/>
      </c>
      <c r="AO90" s="782" t="str">
        <f t="shared" si="59"/>
        <v/>
      </c>
      <c r="AP90" s="783" t="str">
        <f t="shared" si="60"/>
        <v/>
      </c>
      <c r="AQ90" s="2083" t="b">
        <f>AND(Q90="A",COUNTIF(BP16:BR63,TRIM(Z90))&gt;0)</f>
        <v>0</v>
      </c>
      <c r="AR90" s="797" t="str">
        <f>IF(AL90&lt;&gt;"A","",IFERROR(IFERROR(_xlfn.XLOOKUP(TRIM(SUBSTITUTE(Z90,CHAR(160)," ")),BP16:BP63,BS16:BS63),IFERROR(_xlfn.XLOOKUP(TRIM(SUBSTITUTE(Z90,CHAR(160)," ")),BQ16:BQ63,BS16:BS63),_xlfn.XLOOKUP(TRIM(SUBSTITUTE(Z90,CHAR(160)," ")),BR16:BR63,BS16:BS63)))*Y90*IF(ISBLANK(V90),1,V90),0))</f>
        <v/>
      </c>
      <c r="AS90" s="784" t="str">
        <f t="shared" si="54"/>
        <v/>
      </c>
      <c r="AT90" s="1315" t="str">
        <f t="shared" si="61"/>
        <v/>
      </c>
      <c r="AU90" s="785">
        <f t="shared" si="62"/>
        <v>0</v>
      </c>
      <c r="AV90" s="785">
        <f t="shared" si="63"/>
        <v>0</v>
      </c>
      <c r="AW90" s="798">
        <f>IF(AK90="A",AY10,0)</f>
        <v>0</v>
      </c>
      <c r="AX90" s="5496" t="str">
        <f>IF(IFERROR(SEARCH("Adresse PC",TRIM(W90)),0)&gt;0,"▼ receta siguiente",IF(AK90="A",IF(AZ10&lt;&gt;"",AZ10&amp;" - ou.or.o ❾ + or - &gt;",""),""))</f>
        <v/>
      </c>
      <c r="AY90" s="1316"/>
      <c r="AZ90" s="787"/>
      <c r="BA90" s="799" t="str">
        <f t="shared" si="52"/>
        <v/>
      </c>
      <c r="BB90" s="800" t="str">
        <f>IF(AK90="A",IF(AQ90,IF(AND(AW90&lt;&gt;"",N(AW90)&gt;0),IFERROR(IFERROR(_xlfn.XLOOKUP(AP90,BP10:BP57,BT10:BT57),IFERROR(_xlfn.XLOOKUP(AP90,BQ10:BQ57,BT10:BT57),_xlfn.XLOOKUP(AP90,BR10:BR57,BT10:BT57,""))),""),""),""),"")</f>
        <v/>
      </c>
      <c r="BC90" s="813" cm="1">
        <f t="array" ref="BC90">IF(NOT(AQ90),0,IF(OR(BA90="",N(BA90)&lt;=0.000000001),"",IF(OR(AU90="",N(AU90)&lt;=0.000000001),0,IF(ISNUMBER(BA90),IFERROR(_xlfn.LET(_xlpm.ai_test,TRIM(AP90),_xlpm.r,IFERROR(_xlfn.XLOOKUP(_xlpm.ai_test,BP16:BP63,ROW(BP16:BP63),0,1),IFERROR(_xlfn.XLOOKUP(_xlpm.ai_test,BQ16:BQ63,ROW(BQ16:BQ63),0,1),_xlfn.XLOOKUP(_xlpm.ai_test,BR16:BR63,ROW(BR16:BR63),0,1))),_xlpm.p,_xlpm.r-MIN(ROW(BP16:BP63))+1,_xlpm.f,INDEX(BS16:BS63,_xlpm.p),_xlpm.u,INDEX(BT16:BT63,_xlpm.p),_xlpm.s,INDEX(BV16:BV63,_xlpm.p),_xlpm.q,N(BA90)/_xlpm.f,IF(_xlpm.q&gt;=_xlpm.s,ROUND(_xlpm.q,1)&amp;" "&amp;_xlpm.ai_test&amp;" = "&amp;ROUND(_xlpm.q*_xlpm.f,1)&amp;" "&amp;_xlpm.u,ROUND(_xlpm.q,1)&amp;" "&amp;_xlpm.ai_test)),""),""))))</f>
        <v>0</v>
      </c>
      <c r="BD90" s="801"/>
      <c r="BE90" s="799" t="str">
        <f t="shared" si="64"/>
        <v/>
      </c>
      <c r="BF90" s="800" t="str">
        <f t="shared" si="65"/>
        <v/>
      </c>
      <c r="BG90" s="802">
        <f t="shared" si="43"/>
        <v>0</v>
      </c>
      <c r="BH90" s="803" t="str">
        <f t="shared" si="44"/>
        <v/>
      </c>
      <c r="BI90" s="792"/>
      <c r="BJ90" s="804">
        <f t="shared" si="45"/>
        <v>0</v>
      </c>
      <c r="BK90" s="794" t="str">
        <f t="shared" si="66"/>
        <v/>
      </c>
      <c r="BL90" s="227" t="s">
        <v>21</v>
      </c>
      <c r="BM90" s="773">
        <f t="shared" si="55"/>
        <v>0</v>
      </c>
      <c r="BN90" s="774">
        <f t="shared" si="56"/>
        <v>0</v>
      </c>
      <c r="CC90"/>
      <c r="CD90" s="781" t="str">
        <f t="shared" si="46"/>
        <v>►</v>
      </c>
      <c r="CE90" s="871"/>
      <c r="CF90" s="268"/>
      <c r="CG90" s="268"/>
      <c r="CH90" s="268"/>
      <c r="CI90" s="268"/>
      <c r="CJ90" s="719"/>
      <c r="CK90"/>
      <c r="CL90"/>
      <c r="CM90"/>
      <c r="CN90"/>
      <c r="CO90"/>
      <c r="CP90"/>
      <c r="CQ90"/>
      <c r="CS90"/>
      <c r="CT90"/>
      <c r="CU90"/>
      <c r="CV90"/>
      <c r="CW90"/>
      <c r="CX90"/>
      <c r="CY90"/>
      <c r="DA90"/>
      <c r="DB90"/>
      <c r="DC90"/>
      <c r="DD90"/>
      <c r="DE90"/>
      <c r="DF90"/>
      <c r="DG90"/>
      <c r="DI90" s="3">
        <v>1</v>
      </c>
    </row>
    <row r="91" spans="1:113" s="627" customFormat="1" ht="21" customHeight="1">
      <c r="A91" s="701" t="s">
        <v>21</v>
      </c>
      <c r="B91" s="2265" t="str" cm="1">
        <f t="array" ref="B91">SUMPRODUCT(--(D91:J91&lt;&gt;""), LEN(TRIM(SUBSTITUTE(D91:J91, CHAR(160), "")))) &amp; " Car."</f>
        <v>0 Car.</v>
      </c>
      <c r="C91" s="1376" t="str">
        <f>IF(ISBLANK(D91),"",LARGE(C13:C90,1)+1)</f>
        <v/>
      </c>
      <c r="D91" s="1833"/>
      <c r="E91" s="1810"/>
      <c r="F91" s="1810"/>
      <c r="G91" s="1810"/>
      <c r="H91" s="1810"/>
      <c r="I91" s="1810"/>
      <c r="J91" s="1810"/>
      <c r="K91" s="1810"/>
      <c r="L91" s="1811"/>
      <c r="M91" s="9"/>
      <c r="N91" s="25" t="str">
        <f t="shared" si="47"/>
        <v>►</v>
      </c>
      <c r="O91" s="1616"/>
      <c r="P91" s="9"/>
      <c r="Q91" s="25" t="s">
        <v>15</v>
      </c>
      <c r="R91" s="31"/>
      <c r="S91" s="32"/>
      <c r="T91" s="31"/>
      <c r="U91" s="33"/>
      <c r="V91" s="1967"/>
      <c r="W91" s="1805"/>
      <c r="X91" s="91"/>
      <c r="Y91" s="1806"/>
      <c r="Z91" s="1968"/>
      <c r="AA91" s="2244"/>
      <c r="AB91" s="1969"/>
      <c r="AC91" s="1365"/>
      <c r="AD91" s="95"/>
      <c r="AE91" s="1326"/>
      <c r="AF91" s="97"/>
      <c r="AG91" s="1737"/>
      <c r="AH91" s="1970"/>
      <c r="AI91" s="99"/>
      <c r="AJ91" s="1809"/>
      <c r="AK91" s="6120" t="str">
        <f t="shared" si="51"/>
        <v>►</v>
      </c>
      <c r="AL91" s="781" t="str">
        <f t="shared" si="53"/>
        <v>►</v>
      </c>
      <c r="AM91" s="5499" t="str">
        <f t="shared" si="57"/>
        <v/>
      </c>
      <c r="AN91" s="783" t="str">
        <f t="shared" si="58"/>
        <v/>
      </c>
      <c r="AO91" s="782" t="str">
        <f t="shared" si="59"/>
        <v/>
      </c>
      <c r="AP91" s="783" t="str">
        <f t="shared" si="60"/>
        <v/>
      </c>
      <c r="AQ91" s="2083" t="b">
        <f t="shared" ref="AQ91:AQ97" si="67">AND(Q91="A",COUNTIF(BP20:BR67,TRIM(Z91))&gt;0)</f>
        <v>0</v>
      </c>
      <c r="AR91" s="797" t="str">
        <f t="shared" ref="AR91:AR97" si="68">IF(AL91&lt;&gt;"A","",IFERROR(IFERROR(_xlfn.XLOOKUP(TRIM(SUBSTITUTE(Z91,CHAR(160)," ")),BP20:BP67,BS20:BS67),IFERROR(_xlfn.XLOOKUP(TRIM(SUBSTITUTE(Z91,CHAR(160)," ")),BQ20:BQ67,BS20:BS67),_xlfn.XLOOKUP(TRIM(SUBSTITUTE(Z91,CHAR(160)," ")),BR20:BR67,BS20:BS67)))*Y91*IF(ISBLANK(V91),1,V91),0))</f>
        <v/>
      </c>
      <c r="AS91" s="784" t="str">
        <f t="shared" si="54"/>
        <v/>
      </c>
      <c r="AT91" s="1315" t="str">
        <f t="shared" si="61"/>
        <v/>
      </c>
      <c r="AU91" s="785">
        <f t="shared" si="62"/>
        <v>0</v>
      </c>
      <c r="AV91" s="785">
        <f t="shared" si="63"/>
        <v>0</v>
      </c>
      <c r="AW91" s="786">
        <f>IF(AK91="A",AY10,0)</f>
        <v>0</v>
      </c>
      <c r="AX91" s="5495" t="str">
        <f>IF(IFERROR(SEARCH("Adresse PC",TRIM(W91)),0)&gt;0,"▼ receta siguiente",IF(AK91="A",IF(AZ10&lt;&gt;"",AZ10&amp;" - ou.or.o ❾ + or - &gt;",""),""))</f>
        <v/>
      </c>
      <c r="AY91" s="1316"/>
      <c r="AZ91" s="787"/>
      <c r="BA91" s="788" t="str">
        <f t="shared" si="52"/>
        <v/>
      </c>
      <c r="BB91" s="789" t="str">
        <f>IF(AK91="A",IF(AQ91,IF(AND(AW91&lt;&gt;"",N(AW91)&gt;0),IFERROR(IFERROR(_xlfn.XLOOKUP(AP91,BP10:BP57,BT10:BT57),IFERROR(_xlfn.XLOOKUP(AP91,BQ10:BQ57,BT10:BT57),_xlfn.XLOOKUP(AP91,BR10:BR57,BT10:BT57,""))),""),""),""),"")</f>
        <v/>
      </c>
      <c r="BC91" s="811" cm="1">
        <f t="array" ref="BC91">IF(NOT(AQ91),0,IF(OR(BA91="",N(BA91)&lt;=0.000000001),"",IF(OR(AU91="",N(AU91)&lt;=0.000000001),0,IF(ISNUMBER(BA91),IFERROR(_xlfn.LET(_xlpm.ai_test,TRIM(AP91),_xlpm.r,IFERROR(_xlfn.XLOOKUP(_xlpm.ai_test,BP21:BP68,ROW(BP21:BP68),0,1),IFERROR(_xlfn.XLOOKUP(_xlpm.ai_test,BQ21:BQ68,ROW(BQ21:BQ68),0,1),_xlfn.XLOOKUP(_xlpm.ai_test,BR21:BR68,ROW(BR21:BR68),0,1))),_xlpm.p,_xlpm.r-MIN(ROW(BP21:BP68))+1,_xlpm.f,INDEX(BS21:BS68,_xlpm.p),_xlpm.u,INDEX(BT21:BT68,_xlpm.p),_xlpm.s,INDEX(BV21:BV68,_xlpm.p),_xlpm.q,N(BA91)/_xlpm.f,IF(_xlpm.q&gt;=_xlpm.s,ROUND(_xlpm.q,1)&amp;" "&amp;_xlpm.ai_test&amp;" = "&amp;ROUND(_xlpm.q*_xlpm.f,1)&amp;" "&amp;_xlpm.u,ROUND(_xlpm.q,1)&amp;" "&amp;_xlpm.ai_test)),""),""))))</f>
        <v>0</v>
      </c>
      <c r="BD91" s="801"/>
      <c r="BE91" s="788" t="str">
        <f t="shared" si="64"/>
        <v/>
      </c>
      <c r="BF91" s="789" t="str">
        <f t="shared" si="65"/>
        <v/>
      </c>
      <c r="BG91" s="790">
        <f t="shared" si="43"/>
        <v>0</v>
      </c>
      <c r="BH91" s="791" t="str">
        <f t="shared" si="44"/>
        <v/>
      </c>
      <c r="BI91" s="792"/>
      <c r="BJ91" s="793">
        <f t="shared" si="45"/>
        <v>0</v>
      </c>
      <c r="BK91" s="794" t="str">
        <f t="shared" si="66"/>
        <v/>
      </c>
      <c r="BL91" s="227" t="s">
        <v>21</v>
      </c>
      <c r="BM91" s="773">
        <f t="shared" si="55"/>
        <v>0</v>
      </c>
      <c r="BN91" s="774">
        <f t="shared" si="56"/>
        <v>0</v>
      </c>
      <c r="BP91" s="6848" t="s">
        <v>1770</v>
      </c>
      <c r="BQ91" s="6849"/>
      <c r="BR91" s="6849"/>
      <c r="BS91" s="6849"/>
      <c r="BT91" s="6849"/>
      <c r="BU91" s="6849"/>
      <c r="BV91" s="6849"/>
      <c r="BW91" s="6849"/>
      <c r="BX91" s="6849"/>
      <c r="BY91" s="6849"/>
      <c r="BZ91" s="6849"/>
      <c r="CA91" s="6849"/>
      <c r="CB91" s="6850"/>
      <c r="CC91"/>
      <c r="CD91" s="781" t="str">
        <f t="shared" si="46"/>
        <v>►</v>
      </c>
      <c r="CE91" s="867" t="s">
        <v>1771</v>
      </c>
      <c r="CF91" s="268"/>
      <c r="CG91" s="268"/>
      <c r="CH91" s="268"/>
      <c r="CI91" s="268"/>
      <c r="CJ91" s="719"/>
      <c r="CK91"/>
      <c r="CL91"/>
      <c r="CM91"/>
      <c r="CN91"/>
      <c r="CO91"/>
      <c r="CP91"/>
      <c r="CQ91"/>
      <c r="CS91"/>
      <c r="CT91"/>
      <c r="CU91"/>
      <c r="CV91"/>
      <c r="CW91"/>
      <c r="CX91"/>
      <c r="CY91"/>
      <c r="DA91"/>
      <c r="DB91"/>
      <c r="DC91"/>
      <c r="DD91"/>
      <c r="DE91"/>
      <c r="DF91"/>
      <c r="DG91"/>
      <c r="DI91" s="3">
        <v>1</v>
      </c>
    </row>
    <row r="92" spans="1:113" s="627" customFormat="1" ht="21" customHeight="1">
      <c r="A92" s="701" t="s">
        <v>21</v>
      </c>
      <c r="B92" s="2265" t="str" cm="1">
        <f t="array" ref="B92">SUMPRODUCT(--(D92:J92&lt;&gt;""), LEN(TRIM(SUBSTITUTE(D92:J92, CHAR(160), "")))) &amp; " Car."</f>
        <v>0 Car.</v>
      </c>
      <c r="C92" s="1376" t="str">
        <f>IF(ISBLANK(D92),"",LARGE(C13:C91,1)+1)</f>
        <v/>
      </c>
      <c r="D92" s="1833"/>
      <c r="E92" s="1810"/>
      <c r="F92" s="1810"/>
      <c r="G92" s="1810"/>
      <c r="H92" s="1810"/>
      <c r="I92" s="1810"/>
      <c r="J92" s="1810"/>
      <c r="K92" s="1810"/>
      <c r="L92" s="1811"/>
      <c r="M92" s="9"/>
      <c r="N92" s="25" t="str">
        <f t="shared" si="47"/>
        <v>►</v>
      </c>
      <c r="O92" s="1616"/>
      <c r="P92" s="9"/>
      <c r="Q92" s="25" t="s">
        <v>15</v>
      </c>
      <c r="R92" s="31"/>
      <c r="S92" s="32"/>
      <c r="T92" s="31"/>
      <c r="U92" s="33"/>
      <c r="V92" s="1967"/>
      <c r="W92" s="1805"/>
      <c r="X92" s="91"/>
      <c r="Y92" s="1806"/>
      <c r="Z92" s="1968"/>
      <c r="AA92" s="2244"/>
      <c r="AB92" s="1969"/>
      <c r="AC92" s="1365"/>
      <c r="AD92" s="95"/>
      <c r="AE92" s="1326"/>
      <c r="AF92" s="97"/>
      <c r="AG92" s="1737"/>
      <c r="AH92" s="1970"/>
      <c r="AI92" s="99"/>
      <c r="AJ92" s="1809"/>
      <c r="AK92" s="6120" t="str">
        <f t="shared" si="51"/>
        <v>►</v>
      </c>
      <c r="AL92" s="781" t="str">
        <f t="shared" si="53"/>
        <v>►</v>
      </c>
      <c r="AM92" s="5498" t="str">
        <f t="shared" si="57"/>
        <v/>
      </c>
      <c r="AN92" s="783" t="str">
        <f t="shared" si="58"/>
        <v/>
      </c>
      <c r="AO92" s="782" t="str">
        <f t="shared" si="59"/>
        <v/>
      </c>
      <c r="AP92" s="783" t="str">
        <f t="shared" si="60"/>
        <v/>
      </c>
      <c r="AQ92" s="2083" t="b">
        <f t="shared" si="67"/>
        <v>0</v>
      </c>
      <c r="AR92" s="797" t="str">
        <f t="shared" si="68"/>
        <v/>
      </c>
      <c r="AS92" s="784" t="str">
        <f t="shared" si="54"/>
        <v/>
      </c>
      <c r="AT92" s="1315" t="str">
        <f t="shared" si="61"/>
        <v/>
      </c>
      <c r="AU92" s="785">
        <f t="shared" si="62"/>
        <v>0</v>
      </c>
      <c r="AV92" s="785">
        <f t="shared" si="63"/>
        <v>0</v>
      </c>
      <c r="AW92" s="798">
        <f>IF(AK92="A",AY10,0)</f>
        <v>0</v>
      </c>
      <c r="AX92" s="5496" t="str">
        <f>IF(IFERROR(SEARCH("Adresse PC",TRIM(W92)),0)&gt;0,"▼ receta siguiente",IF(AK92="A",IF(AZ10&lt;&gt;"",AZ10&amp;" - ou.or.o ❾ + or - &gt;",""),""))</f>
        <v/>
      </c>
      <c r="AY92" s="1316"/>
      <c r="AZ92" s="787"/>
      <c r="BA92" s="799" t="str">
        <f t="shared" si="52"/>
        <v/>
      </c>
      <c r="BB92" s="800" t="str">
        <f>IF(AK92="A",IF(AQ92,IF(AND(AW92&lt;&gt;"",N(AW92)&gt;0),IFERROR(IFERROR(_xlfn.XLOOKUP(AP92,BP10:BP57,BT10:BT57),IFERROR(_xlfn.XLOOKUP(AP92,BQ10:BQ57,BT10:BT57),_xlfn.XLOOKUP(AP92,BR10:BR57,BT10:BT57,""))),""),""),""),"")</f>
        <v/>
      </c>
      <c r="BC92" s="813" cm="1">
        <f t="array" ref="BC92">IF(NOT(AQ92),0,IF(OR(BA92="",N(BA92)&lt;=0.000000001),"",IF(OR(AU92="",N(AU92)&lt;=0.000000001),0,IF(ISNUMBER(BA92),IFERROR(_xlfn.LET(_xlpm.ai_test,TRIM(AP92),_xlpm.r,IFERROR(_xlfn.XLOOKUP(_xlpm.ai_test,BP22:BP69,ROW(BP22:BP69),0,1),IFERROR(_xlfn.XLOOKUP(_xlpm.ai_test,BQ22:BQ69,ROW(BQ22:BQ69),0,1),_xlfn.XLOOKUP(_xlpm.ai_test,BR22:BR69,ROW(BR22:BR69),0,1))),_xlpm.p,_xlpm.r-MIN(ROW(BP22:BP69))+1,_xlpm.f,INDEX(BS22:BS69,_xlpm.p),_xlpm.u,INDEX(BT22:BT69,_xlpm.p),_xlpm.s,INDEX(BV22:BV69,_xlpm.p),_xlpm.q,N(BA92)/_xlpm.f,IF(_xlpm.q&gt;=_xlpm.s,ROUND(_xlpm.q,1)&amp;" "&amp;_xlpm.ai_test&amp;" = "&amp;ROUND(_xlpm.q*_xlpm.f,1)&amp;" "&amp;_xlpm.u,ROUND(_xlpm.q,1)&amp;" "&amp;_xlpm.ai_test)),""),""))))</f>
        <v>0</v>
      </c>
      <c r="BD92" s="801"/>
      <c r="BE92" s="799" t="str">
        <f t="shared" si="64"/>
        <v/>
      </c>
      <c r="BF92" s="800" t="str">
        <f t="shared" si="65"/>
        <v/>
      </c>
      <c r="BG92" s="802">
        <f t="shared" si="43"/>
        <v>0</v>
      </c>
      <c r="BH92" s="803" t="str">
        <f t="shared" si="44"/>
        <v/>
      </c>
      <c r="BI92" s="792"/>
      <c r="BJ92" s="804">
        <f t="shared" si="45"/>
        <v>0</v>
      </c>
      <c r="BK92" s="794" t="str">
        <f t="shared" si="66"/>
        <v/>
      </c>
      <c r="BL92" s="227" t="s">
        <v>21</v>
      </c>
      <c r="BM92" s="773">
        <f t="shared" si="55"/>
        <v>0</v>
      </c>
      <c r="BN92" s="774">
        <f t="shared" si="56"/>
        <v>0</v>
      </c>
      <c r="BP92" s="6851"/>
      <c r="BQ92" s="6852"/>
      <c r="BR92" s="6852"/>
      <c r="BS92" s="6852"/>
      <c r="BT92" s="6852"/>
      <c r="BU92" s="6852"/>
      <c r="BV92" s="6852"/>
      <c r="BW92" s="6852"/>
      <c r="BX92" s="6852"/>
      <c r="BY92" s="6852"/>
      <c r="BZ92" s="6852"/>
      <c r="CA92" s="6852"/>
      <c r="CB92" s="6853"/>
      <c r="CC92"/>
      <c r="CD92" s="781" t="str">
        <f t="shared" si="46"/>
        <v>►</v>
      </c>
      <c r="CE92" s="868" t="s">
        <v>1772</v>
      </c>
      <c r="CF92" s="268"/>
      <c r="CG92" s="268"/>
      <c r="CH92" s="268"/>
      <c r="CI92" s="268"/>
      <c r="CJ92" s="719"/>
      <c r="CK92"/>
      <c r="CL92"/>
      <c r="CM92"/>
      <c r="CN92"/>
      <c r="CO92"/>
      <c r="CP92"/>
      <c r="CQ92"/>
      <c r="CS92"/>
      <c r="CT92"/>
      <c r="CU92"/>
      <c r="CV92"/>
      <c r="CW92"/>
      <c r="CX92"/>
      <c r="CY92"/>
      <c r="DA92"/>
      <c r="DB92"/>
      <c r="DC92"/>
      <c r="DD92"/>
      <c r="DE92"/>
      <c r="DF92"/>
      <c r="DG92"/>
      <c r="DI92" s="3">
        <v>1</v>
      </c>
    </row>
    <row r="93" spans="1:113" s="627" customFormat="1" ht="21" customHeight="1">
      <c r="A93" s="701" t="s">
        <v>21</v>
      </c>
      <c r="B93" s="2265" t="str" cm="1">
        <f t="array" ref="B93">SUMPRODUCT(--(D93:J93&lt;&gt;""), LEN(TRIM(SUBSTITUTE(D93:J93, CHAR(160), "")))) &amp; " Car."</f>
        <v>0 Car.</v>
      </c>
      <c r="C93" s="1376" t="str">
        <f>IF(ISBLANK(D93),"",LARGE(C13:C92,1)+1)</f>
        <v/>
      </c>
      <c r="D93" s="1833"/>
      <c r="E93" s="1810"/>
      <c r="F93" s="1810"/>
      <c r="G93" s="1810"/>
      <c r="H93" s="1810"/>
      <c r="I93" s="1810"/>
      <c r="J93" s="1810"/>
      <c r="K93" s="1810"/>
      <c r="L93" s="1811"/>
      <c r="M93" s="9"/>
      <c r="N93" s="25" t="str">
        <f t="shared" si="47"/>
        <v>►</v>
      </c>
      <c r="O93" s="1616"/>
      <c r="P93" s="9"/>
      <c r="Q93" s="25" t="s">
        <v>15</v>
      </c>
      <c r="R93" s="31"/>
      <c r="S93" s="32"/>
      <c r="T93" s="31"/>
      <c r="U93" s="33"/>
      <c r="V93" s="1967"/>
      <c r="W93" s="1805"/>
      <c r="X93" s="91"/>
      <c r="Y93" s="1806"/>
      <c r="Z93" s="1968"/>
      <c r="AA93" s="2244"/>
      <c r="AB93" s="1969"/>
      <c r="AC93" s="1365"/>
      <c r="AD93" s="95"/>
      <c r="AE93" s="1326"/>
      <c r="AF93" s="97"/>
      <c r="AG93" s="1737"/>
      <c r="AH93" s="1970"/>
      <c r="AI93" s="99"/>
      <c r="AJ93" s="1809"/>
      <c r="AK93" s="6120" t="str">
        <f t="shared" si="51"/>
        <v>►</v>
      </c>
      <c r="AL93" s="781" t="str">
        <f t="shared" si="53"/>
        <v>►</v>
      </c>
      <c r="AM93" s="5499" t="str">
        <f t="shared" si="57"/>
        <v/>
      </c>
      <c r="AN93" s="783" t="str">
        <f t="shared" si="58"/>
        <v/>
      </c>
      <c r="AO93" s="782" t="str">
        <f t="shared" si="59"/>
        <v/>
      </c>
      <c r="AP93" s="783" t="str">
        <f t="shared" si="60"/>
        <v/>
      </c>
      <c r="AQ93" s="2083" t="b">
        <f t="shared" si="67"/>
        <v>0</v>
      </c>
      <c r="AR93" s="797" t="str">
        <f t="shared" si="68"/>
        <v/>
      </c>
      <c r="AS93" s="784" t="str">
        <f t="shared" si="54"/>
        <v/>
      </c>
      <c r="AT93" s="1315" t="str">
        <f t="shared" si="61"/>
        <v/>
      </c>
      <c r="AU93" s="785">
        <f t="shared" si="62"/>
        <v>0</v>
      </c>
      <c r="AV93" s="785">
        <f t="shared" si="63"/>
        <v>0</v>
      </c>
      <c r="AW93" s="786">
        <f>IF(AK93="A",AY10,0)</f>
        <v>0</v>
      </c>
      <c r="AX93" s="5495" t="str">
        <f>IF(IFERROR(SEARCH("Adresse PC",TRIM(W93)),0)&gt;0,"▼ receta siguiente",IF(AK93="A",IF(AZ10&lt;&gt;"",AZ10&amp;" - ou.or.o ❾ + or - &gt;",""),""))</f>
        <v/>
      </c>
      <c r="AY93" s="1316"/>
      <c r="AZ93" s="787"/>
      <c r="BA93" s="788" t="str">
        <f t="shared" si="52"/>
        <v/>
      </c>
      <c r="BB93" s="789" t="str">
        <f>IF(AK93="A",IF(AQ93,IF(AND(AW93&lt;&gt;"",N(AW93)&gt;0),IFERROR(IFERROR(_xlfn.XLOOKUP(AP93,BP10:BP57,BT10:BT57),IFERROR(_xlfn.XLOOKUP(AP93,BQ10:BQ57,BT10:BT57),_xlfn.XLOOKUP(AP93,BR10:BR57,BT10:BT57,""))),""),""),""),"")</f>
        <v/>
      </c>
      <c r="BC93" s="811" cm="1">
        <f t="array" ref="BC93">IF(NOT(AQ93),0,IF(OR(BA93="",N(BA93)&lt;=0.000000001),"",IF(OR(AU93="",N(AU93)&lt;=0.000000001),0,IF(ISNUMBER(BA93),IFERROR(_xlfn.LET(_xlpm.ai_test,TRIM(AP93),_xlpm.r,IFERROR(_xlfn.XLOOKUP(_xlpm.ai_test,BP23:BP70,ROW(BP23:BP70),0,1),IFERROR(_xlfn.XLOOKUP(_xlpm.ai_test,BQ23:BQ70,ROW(BQ23:BQ70),0,1),_xlfn.XLOOKUP(_xlpm.ai_test,BR23:BR70,ROW(BR23:BR70),0,1))),_xlpm.p,_xlpm.r-MIN(ROW(BP23:BP70))+1,_xlpm.f,INDEX(BS23:BS70,_xlpm.p),_xlpm.u,INDEX(BT23:BT70,_xlpm.p),_xlpm.s,INDEX(BV23:BV70,_xlpm.p),_xlpm.q,N(BA93)/_xlpm.f,IF(_xlpm.q&gt;=_xlpm.s,ROUND(_xlpm.q,1)&amp;" "&amp;_xlpm.ai_test&amp;" = "&amp;ROUND(_xlpm.q*_xlpm.f,1)&amp;" "&amp;_xlpm.u,ROUND(_xlpm.q,1)&amp;" "&amp;_xlpm.ai_test)),""),""))))</f>
        <v>0</v>
      </c>
      <c r="BD93" s="801"/>
      <c r="BE93" s="788" t="str">
        <f t="shared" si="64"/>
        <v/>
      </c>
      <c r="BF93" s="789" t="str">
        <f t="shared" si="65"/>
        <v/>
      </c>
      <c r="BG93" s="790">
        <f t="shared" si="43"/>
        <v>0</v>
      </c>
      <c r="BH93" s="791" t="str">
        <f t="shared" si="44"/>
        <v/>
      </c>
      <c r="BI93" s="792"/>
      <c r="BJ93" s="793">
        <f>IF(OR(AU93=0,ISBLANK(BI93),ISTEXT(BG93)),0,(IF(AW93=0,BG93,BA93)*BI93))</f>
        <v>0</v>
      </c>
      <c r="BK93" s="794" t="str">
        <f t="shared" si="66"/>
        <v/>
      </c>
      <c r="BL93" s="227" t="s">
        <v>21</v>
      </c>
      <c r="BM93" s="773">
        <f t="shared" si="55"/>
        <v>0</v>
      </c>
      <c r="BN93" s="774">
        <f t="shared" si="56"/>
        <v>0</v>
      </c>
      <c r="BP93" s="627" t="s">
        <v>2401</v>
      </c>
      <c r="CC93"/>
      <c r="CD93" s="781" t="str">
        <f t="shared" si="46"/>
        <v>►</v>
      </c>
      <c r="CE93" s="869" t="s">
        <v>1773</v>
      </c>
      <c r="CF93" s="268"/>
      <c r="CG93" s="268"/>
      <c r="CH93" s="268"/>
      <c r="CI93" s="268"/>
      <c r="CJ93" s="719"/>
      <c r="CK93"/>
      <c r="CL93"/>
      <c r="CM93"/>
      <c r="CN93"/>
      <c r="CO93"/>
      <c r="CP93"/>
      <c r="CQ93"/>
      <c r="CS93"/>
      <c r="CT93"/>
      <c r="CU93"/>
      <c r="CV93"/>
      <c r="CW93"/>
      <c r="CX93"/>
      <c r="CY93"/>
      <c r="DA93"/>
      <c r="DB93"/>
      <c r="DC93"/>
      <c r="DD93"/>
      <c r="DE93"/>
      <c r="DF93"/>
      <c r="DG93"/>
      <c r="DI93" s="3">
        <v>1</v>
      </c>
    </row>
    <row r="94" spans="1:113" s="627" customFormat="1" ht="21" customHeight="1">
      <c r="A94" s="701" t="s">
        <v>21</v>
      </c>
      <c r="B94" s="2265" t="str" cm="1">
        <f t="array" ref="B94">SUMPRODUCT(--(D94:J94&lt;&gt;""), LEN(TRIM(SUBSTITUTE(D94:J94, CHAR(160), "")))) &amp; " Car."</f>
        <v>0 Car.</v>
      </c>
      <c r="C94" s="1376" t="str">
        <f>IF(ISBLANK(D94),"",LARGE(C13:C93,1)+1)</f>
        <v/>
      </c>
      <c r="D94" s="1833"/>
      <c r="E94" s="1810"/>
      <c r="F94" s="1810"/>
      <c r="G94" s="1810"/>
      <c r="H94" s="1810"/>
      <c r="I94" s="1810"/>
      <c r="J94" s="1810"/>
      <c r="K94" s="1810"/>
      <c r="L94" s="1811"/>
      <c r="M94" s="9"/>
      <c r="N94" s="25" t="str">
        <f t="shared" si="47"/>
        <v>►</v>
      </c>
      <c r="O94" s="1616"/>
      <c r="P94" s="9"/>
      <c r="Q94" s="25" t="s">
        <v>15</v>
      </c>
      <c r="R94" s="31"/>
      <c r="S94" s="32"/>
      <c r="T94" s="31"/>
      <c r="U94" s="33"/>
      <c r="V94" s="1967"/>
      <c r="W94" s="1805"/>
      <c r="X94" s="91"/>
      <c r="Y94" s="1806"/>
      <c r="Z94" s="1968"/>
      <c r="AA94" s="2244"/>
      <c r="AB94" s="1969"/>
      <c r="AC94" s="1365"/>
      <c r="AD94" s="95"/>
      <c r="AE94" s="1326"/>
      <c r="AF94" s="97"/>
      <c r="AG94" s="1737"/>
      <c r="AH94" s="1970"/>
      <c r="AI94" s="99"/>
      <c r="AJ94" s="1809"/>
      <c r="AK94" s="6120" t="str">
        <f t="shared" si="51"/>
        <v>►</v>
      </c>
      <c r="AL94" s="781" t="str">
        <f t="shared" si="53"/>
        <v>►</v>
      </c>
      <c r="AM94" s="5498" t="str">
        <f t="shared" si="57"/>
        <v/>
      </c>
      <c r="AN94" s="783" t="str">
        <f t="shared" si="58"/>
        <v/>
      </c>
      <c r="AO94" s="782" t="str">
        <f t="shared" si="59"/>
        <v/>
      </c>
      <c r="AP94" s="783" t="str">
        <f t="shared" si="60"/>
        <v/>
      </c>
      <c r="AQ94" s="2083" t="b">
        <f t="shared" si="67"/>
        <v>0</v>
      </c>
      <c r="AR94" s="797" t="str">
        <f t="shared" si="68"/>
        <v/>
      </c>
      <c r="AS94" s="784" t="str">
        <f t="shared" si="54"/>
        <v/>
      </c>
      <c r="AT94" s="1315" t="str">
        <f t="shared" si="61"/>
        <v/>
      </c>
      <c r="AU94" s="785">
        <f t="shared" si="62"/>
        <v>0</v>
      </c>
      <c r="AV94" s="785">
        <f t="shared" si="63"/>
        <v>0</v>
      </c>
      <c r="AW94" s="798">
        <f>IF(AK94="A",AY10,0)</f>
        <v>0</v>
      </c>
      <c r="AX94" s="5496" t="str">
        <f>IF(IFERROR(SEARCH("Adresse PC",TRIM(W94)),0)&gt;0,"▼ receta siguiente",IF(AK94="A",IF(AZ10&lt;&gt;"",AZ10&amp;" - ou.or.o ❾ + or - &gt;",""),""))</f>
        <v/>
      </c>
      <c r="AY94" s="1316"/>
      <c r="AZ94" s="787"/>
      <c r="BA94" s="799" t="str">
        <f t="shared" si="52"/>
        <v/>
      </c>
      <c r="BB94" s="800" t="str">
        <f>IF(AK94="A",IF(AQ94,IF(AND(AW94&lt;&gt;"",N(AW94)&gt;0),IFERROR(IFERROR(_xlfn.XLOOKUP(AP94,BP10:BP57,BT10:BT57),IFERROR(_xlfn.XLOOKUP(AP94,BQ10:BQ57,BT10:BT57),_xlfn.XLOOKUP(AP94,BR10:BR57,BT10:BT57,""))),""),""),""),"")</f>
        <v/>
      </c>
      <c r="BC94" s="813" cm="1">
        <f t="array" ref="BC94">IF(NOT(AQ94),0,IF(OR(BA94="",N(BA94)&lt;=0.000000001),"",IF(OR(AU94="",N(AU94)&lt;=0.000000001),0,IF(ISNUMBER(BA94),IFERROR(_xlfn.LET(_xlpm.ai_test,TRIM(AP94),_xlpm.r,IFERROR(_xlfn.XLOOKUP(_xlpm.ai_test,BP24:BP71,ROW(BP24:BP71),0,1),IFERROR(_xlfn.XLOOKUP(_xlpm.ai_test,BQ24:BQ71,ROW(BQ24:BQ71),0,1),_xlfn.XLOOKUP(_xlpm.ai_test,BR24:BR71,ROW(BR24:BR71),0,1))),_xlpm.p,_xlpm.r-MIN(ROW(BP24:BP71))+1,_xlpm.f,INDEX(BS24:BS71,_xlpm.p),_xlpm.u,INDEX(BT24:BT71,_xlpm.p),_xlpm.s,INDEX(BV24:BV71,_xlpm.p),_xlpm.q,N(BA94)/_xlpm.f,IF(_xlpm.q&gt;=_xlpm.s,ROUND(_xlpm.q,1)&amp;" "&amp;_xlpm.ai_test&amp;" = "&amp;ROUND(_xlpm.q*_xlpm.f,1)&amp;" "&amp;_xlpm.u,ROUND(_xlpm.q,1)&amp;" "&amp;_xlpm.ai_test)),""),""))))</f>
        <v>0</v>
      </c>
      <c r="BD94" s="801"/>
      <c r="BE94" s="799" t="str">
        <f t="shared" si="64"/>
        <v/>
      </c>
      <c r="BF94" s="800" t="str">
        <f t="shared" si="65"/>
        <v/>
      </c>
      <c r="BG94" s="802">
        <f t="shared" si="43"/>
        <v>0</v>
      </c>
      <c r="BH94" s="803" t="str">
        <f t="shared" si="44"/>
        <v/>
      </c>
      <c r="BI94" s="792"/>
      <c r="BJ94" s="804">
        <f t="shared" ref="BJ94:BJ157" si="69">IF(OR(AU94=0,ISBLANK(BI94),ISTEXT(BG94)),0,(IF(BA94=0,BG94,BA94)*BI94))</f>
        <v>0</v>
      </c>
      <c r="BK94" s="794" t="str">
        <f t="shared" si="66"/>
        <v/>
      </c>
      <c r="BL94" s="227" t="s">
        <v>21</v>
      </c>
      <c r="BM94" s="773">
        <f t="shared" si="55"/>
        <v>0</v>
      </c>
      <c r="BN94" s="774">
        <f t="shared" si="56"/>
        <v>0</v>
      </c>
      <c r="BP94" s="422" t="s">
        <v>140</v>
      </c>
      <c r="BQ94" s="104" t="s">
        <v>100</v>
      </c>
      <c r="BR94" s="143" t="s">
        <v>1309</v>
      </c>
      <c r="BS94" s="118" t="s">
        <v>1301</v>
      </c>
      <c r="BT94" s="118" t="s">
        <v>1302</v>
      </c>
      <c r="BU94" s="118" t="s">
        <v>1303</v>
      </c>
      <c r="BV94" s="643" t="s">
        <v>0</v>
      </c>
      <c r="BW94" s="93" t="s">
        <v>97</v>
      </c>
      <c r="BX94" s="93" t="s">
        <v>144</v>
      </c>
      <c r="BY94" s="643" t="s">
        <v>145</v>
      </c>
      <c r="BZ94" s="109" t="s">
        <v>1304</v>
      </c>
      <c r="CA94" s="109" t="s">
        <v>1305</v>
      </c>
      <c r="CB94" s="145" t="s">
        <v>1306</v>
      </c>
      <c r="CC94"/>
      <c r="CD94" s="781" t="str">
        <f t="shared" si="46"/>
        <v>►</v>
      </c>
      <c r="CE94" s="868" t="s">
        <v>1774</v>
      </c>
      <c r="CF94" s="268"/>
      <c r="CG94" s="268"/>
      <c r="CH94" s="268"/>
      <c r="CI94" s="268"/>
      <c r="CJ94" s="719"/>
      <c r="CK94"/>
      <c r="CL94"/>
      <c r="CM94"/>
      <c r="CN94"/>
      <c r="CO94"/>
      <c r="CP94"/>
      <c r="CQ94"/>
      <c r="CS94"/>
      <c r="CT94"/>
      <c r="CU94"/>
      <c r="CV94"/>
      <c r="CW94"/>
      <c r="CX94"/>
      <c r="CY94"/>
      <c r="DA94"/>
      <c r="DB94"/>
      <c r="DC94"/>
      <c r="DD94"/>
      <c r="DE94"/>
      <c r="DF94"/>
      <c r="DG94"/>
      <c r="DI94" s="3">
        <v>1</v>
      </c>
    </row>
    <row r="95" spans="1:113" s="627" customFormat="1" ht="21" customHeight="1">
      <c r="A95" s="701" t="s">
        <v>21</v>
      </c>
      <c r="B95" s="2265" t="str" cm="1">
        <f t="array" ref="B95">SUMPRODUCT(--(D95:J95&lt;&gt;""), LEN(TRIM(SUBSTITUTE(D95:J95, CHAR(160), "")))) &amp; " Car."</f>
        <v>0 Car.</v>
      </c>
      <c r="C95" s="1376" t="str">
        <f>IF(ISBLANK(D95),"",LARGE(C13:C94,1)+1)</f>
        <v/>
      </c>
      <c r="D95" s="1833"/>
      <c r="E95" s="1810"/>
      <c r="F95" s="1810"/>
      <c r="G95" s="1810"/>
      <c r="H95" s="1810"/>
      <c r="I95" s="1810"/>
      <c r="J95" s="1810"/>
      <c r="K95" s="1810"/>
      <c r="L95" s="1811"/>
      <c r="M95" s="9"/>
      <c r="N95" s="25" t="str">
        <f t="shared" si="47"/>
        <v>►</v>
      </c>
      <c r="O95" s="1616"/>
      <c r="P95" s="9"/>
      <c r="Q95" s="25" t="s">
        <v>15</v>
      </c>
      <c r="R95" s="31"/>
      <c r="S95" s="32"/>
      <c r="T95" s="31"/>
      <c r="U95" s="33"/>
      <c r="V95" s="1967"/>
      <c r="W95" s="1805"/>
      <c r="X95" s="91"/>
      <c r="Y95" s="1806"/>
      <c r="Z95" s="1968"/>
      <c r="AA95" s="2244"/>
      <c r="AB95" s="1969"/>
      <c r="AC95" s="1365"/>
      <c r="AD95" s="95"/>
      <c r="AE95" s="1326"/>
      <c r="AF95" s="97"/>
      <c r="AG95" s="1737"/>
      <c r="AH95" s="1970"/>
      <c r="AI95" s="99"/>
      <c r="AJ95" s="1809"/>
      <c r="AK95" s="6120" t="str">
        <f t="shared" si="51"/>
        <v>►</v>
      </c>
      <c r="AL95" s="781" t="str">
        <f t="shared" si="53"/>
        <v>►</v>
      </c>
      <c r="AM95" s="5499" t="str">
        <f t="shared" si="57"/>
        <v/>
      </c>
      <c r="AN95" s="783" t="str">
        <f t="shared" si="58"/>
        <v/>
      </c>
      <c r="AO95" s="782" t="str">
        <f t="shared" si="59"/>
        <v/>
      </c>
      <c r="AP95" s="783" t="str">
        <f t="shared" si="60"/>
        <v/>
      </c>
      <c r="AQ95" s="2083" t="b">
        <f t="shared" si="67"/>
        <v>0</v>
      </c>
      <c r="AR95" s="797" t="str">
        <f t="shared" si="68"/>
        <v/>
      </c>
      <c r="AS95" s="784" t="str">
        <f t="shared" si="54"/>
        <v/>
      </c>
      <c r="AT95" s="1315" t="str">
        <f t="shared" si="61"/>
        <v/>
      </c>
      <c r="AU95" s="785">
        <f t="shared" si="62"/>
        <v>0</v>
      </c>
      <c r="AV95" s="785">
        <f t="shared" si="63"/>
        <v>0</v>
      </c>
      <c r="AW95" s="786">
        <f>IF(AK95="A",AY10,0)</f>
        <v>0</v>
      </c>
      <c r="AX95" s="5495" t="str">
        <f>IF(IFERROR(SEARCH("Adresse PC",TRIM(W95)),0)&gt;0,"▼ receta siguiente",IF(AK95="A",IF(AZ10&lt;&gt;"",AZ10&amp;" - ou.or.o ❾ + or - &gt;",""),""))</f>
        <v/>
      </c>
      <c r="AY95" s="1316"/>
      <c r="AZ95" s="787"/>
      <c r="BA95" s="788" t="str">
        <f t="shared" si="52"/>
        <v/>
      </c>
      <c r="BB95" s="789" t="str">
        <f>IF(AK95="A",IF(AQ95,IF(AND(AW95&lt;&gt;"",N(AW95)&gt;0),IFERROR(IFERROR(_xlfn.XLOOKUP(AP95,BP10:BP57,BT10:BT57),IFERROR(_xlfn.XLOOKUP(AP95,BQ10:BQ57,BT10:BT57),_xlfn.XLOOKUP(AP95,BR10:BR57,BT10:BT57,""))),""),""),""),"")</f>
        <v/>
      </c>
      <c r="BC95" s="811" cm="1">
        <f t="array" ref="BC95">IF(NOT(AQ95),0,IF(OR(BA95="",N(BA95)&lt;=0.000000001),"",IF(OR(AU95="",N(AU95)&lt;=0.000000001),0,IF(ISNUMBER(BA95),IFERROR(_xlfn.LET(_xlpm.ai_test,TRIM(AP95),_xlpm.r,IFERROR(_xlfn.XLOOKUP(_xlpm.ai_test,BP25:BP72,ROW(BP25:BP72),0,1),IFERROR(_xlfn.XLOOKUP(_xlpm.ai_test,BQ25:BQ72,ROW(BQ25:BQ72),0,1),_xlfn.XLOOKUP(_xlpm.ai_test,BR25:BR72,ROW(BR25:BR72),0,1))),_xlpm.p,_xlpm.r-MIN(ROW(BP25:BP72))+1,_xlpm.f,INDEX(BS25:BS72,_xlpm.p),_xlpm.u,INDEX(BT25:BT72,_xlpm.p),_xlpm.s,INDEX(BV25:BV72,_xlpm.p),_xlpm.q,N(BA95)/_xlpm.f,IF(_xlpm.q&gt;=_xlpm.s,ROUND(_xlpm.q,1)&amp;" "&amp;_xlpm.ai_test&amp;" = "&amp;ROUND(_xlpm.q*_xlpm.f,1)&amp;" "&amp;_xlpm.u,ROUND(_xlpm.q,1)&amp;" "&amp;_xlpm.ai_test)),""),""))))</f>
        <v>0</v>
      </c>
      <c r="BD95" s="801"/>
      <c r="BE95" s="788" t="str">
        <f t="shared" si="64"/>
        <v/>
      </c>
      <c r="BF95" s="789" t="str">
        <f t="shared" si="65"/>
        <v/>
      </c>
      <c r="BG95" s="790">
        <f t="shared" si="43"/>
        <v>0</v>
      </c>
      <c r="BH95" s="791" t="str">
        <f t="shared" si="44"/>
        <v/>
      </c>
      <c r="BI95" s="792"/>
      <c r="BJ95" s="793">
        <f t="shared" si="69"/>
        <v>0</v>
      </c>
      <c r="BK95" s="794" t="str">
        <f t="shared" si="66"/>
        <v/>
      </c>
      <c r="BL95" s="227" t="s">
        <v>21</v>
      </c>
      <c r="BM95" s="773">
        <f t="shared" si="55"/>
        <v>0</v>
      </c>
      <c r="BN95" s="774">
        <f t="shared" si="56"/>
        <v>0</v>
      </c>
      <c r="BP95" s="685">
        <v>1</v>
      </c>
      <c r="BQ95" s="686">
        <v>1E-3</v>
      </c>
      <c r="BR95" s="687">
        <v>0</v>
      </c>
      <c r="BS95" s="686">
        <v>0.25</v>
      </c>
      <c r="BT95" s="686">
        <v>0.33332999999999996</v>
      </c>
      <c r="BU95" s="686">
        <v>0.5</v>
      </c>
      <c r="BV95" s="688">
        <v>1</v>
      </c>
      <c r="BW95" s="688">
        <v>0.1</v>
      </c>
      <c r="BX95" s="688">
        <v>0.01</v>
      </c>
      <c r="BY95" s="688">
        <v>1E-3</v>
      </c>
      <c r="BZ95" s="688">
        <v>0.5</v>
      </c>
      <c r="CA95" s="688">
        <v>0.33300000000000002</v>
      </c>
      <c r="CB95" s="689">
        <v>0.2</v>
      </c>
      <c r="CC95"/>
      <c r="CD95" s="781" t="str">
        <f t="shared" si="46"/>
        <v>►</v>
      </c>
      <c r="CE95" s="872" t="s">
        <v>1775</v>
      </c>
      <c r="CF95" s="45"/>
      <c r="CG95" s="45"/>
      <c r="CH95" s="45"/>
      <c r="CI95" s="45"/>
      <c r="CJ95" s="719"/>
      <c r="CK95"/>
      <c r="CL95"/>
      <c r="CM95"/>
      <c r="CN95"/>
      <c r="CO95"/>
      <c r="CP95"/>
      <c r="CQ95"/>
      <c r="CR95"/>
      <c r="CS95"/>
      <c r="CT95"/>
      <c r="CU95"/>
      <c r="CV95"/>
      <c r="CW95"/>
      <c r="CX95"/>
      <c r="CY95"/>
      <c r="CZ95"/>
      <c r="DA95"/>
      <c r="DB95"/>
      <c r="DC95"/>
      <c r="DD95"/>
      <c r="DE95"/>
      <c r="DF95"/>
      <c r="DG95"/>
      <c r="DI95" s="3">
        <v>1</v>
      </c>
    </row>
    <row r="96" spans="1:113" s="627" customFormat="1" ht="21" customHeight="1">
      <c r="A96" s="701" t="s">
        <v>21</v>
      </c>
      <c r="B96" s="2265" t="str" cm="1">
        <f t="array" ref="B96">SUMPRODUCT(--(D96:J96&lt;&gt;""), LEN(TRIM(SUBSTITUTE(D96:J96, CHAR(160), "")))) &amp; " Car."</f>
        <v>0 Car.</v>
      </c>
      <c r="C96" s="1376" t="str">
        <f>IF(ISBLANK(D96),"",LARGE(C13:C95,1)+1)</f>
        <v/>
      </c>
      <c r="D96" s="1833"/>
      <c r="E96" s="1810"/>
      <c r="F96" s="1810"/>
      <c r="G96" s="1810"/>
      <c r="H96" s="1810"/>
      <c r="I96" s="1810"/>
      <c r="J96" s="1810"/>
      <c r="K96" s="1810"/>
      <c r="L96" s="1811"/>
      <c r="M96" s="9"/>
      <c r="N96" s="25" t="str">
        <f t="shared" si="47"/>
        <v>►</v>
      </c>
      <c r="O96" s="1616"/>
      <c r="P96" s="9"/>
      <c r="Q96" s="25" t="s">
        <v>15</v>
      </c>
      <c r="R96" s="31"/>
      <c r="S96" s="32"/>
      <c r="T96" s="31"/>
      <c r="U96" s="33"/>
      <c r="V96" s="1967"/>
      <c r="W96" s="1805"/>
      <c r="X96" s="91"/>
      <c r="Y96" s="1806"/>
      <c r="Z96" s="1968"/>
      <c r="AA96" s="2244"/>
      <c r="AB96" s="1969"/>
      <c r="AC96" s="1365"/>
      <c r="AD96" s="95"/>
      <c r="AE96" s="1326"/>
      <c r="AF96" s="97"/>
      <c r="AG96" s="1737"/>
      <c r="AH96" s="1970"/>
      <c r="AI96" s="99"/>
      <c r="AJ96" s="1809"/>
      <c r="AK96" s="6120" t="str">
        <f t="shared" si="51"/>
        <v>►</v>
      </c>
      <c r="AL96" s="781" t="str">
        <f t="shared" si="53"/>
        <v>►</v>
      </c>
      <c r="AM96" s="5498" t="str">
        <f t="shared" si="57"/>
        <v/>
      </c>
      <c r="AN96" s="783" t="str">
        <f t="shared" si="58"/>
        <v/>
      </c>
      <c r="AO96" s="782" t="str">
        <f t="shared" si="59"/>
        <v/>
      </c>
      <c r="AP96" s="783" t="str">
        <f t="shared" si="60"/>
        <v/>
      </c>
      <c r="AQ96" s="2083" t="b">
        <f t="shared" si="67"/>
        <v>0</v>
      </c>
      <c r="AR96" s="797" t="str">
        <f t="shared" si="68"/>
        <v/>
      </c>
      <c r="AS96" s="784" t="str">
        <f t="shared" si="54"/>
        <v/>
      </c>
      <c r="AT96" s="1315" t="str">
        <f t="shared" si="61"/>
        <v/>
      </c>
      <c r="AU96" s="785">
        <f t="shared" si="62"/>
        <v>0</v>
      </c>
      <c r="AV96" s="785">
        <f t="shared" si="63"/>
        <v>0</v>
      </c>
      <c r="AW96" s="798">
        <f>IF(AK96="A",AY10,0)</f>
        <v>0</v>
      </c>
      <c r="AX96" s="5496" t="str">
        <f>IF(IFERROR(SEARCH("Adresse PC",TRIM(W96)),0)&gt;0,"▼ receta siguiente",IF(AK96="A",IF(AZ10&lt;&gt;"",AZ10&amp;" - ou.or.o ❾ + or - &gt;",""),""))</f>
        <v/>
      </c>
      <c r="AY96" s="1316"/>
      <c r="AZ96" s="787"/>
      <c r="BA96" s="799" t="str">
        <f t="shared" si="52"/>
        <v/>
      </c>
      <c r="BB96" s="800" t="str">
        <f>IF(AK96="A",IF(AQ96,IF(AND(AW96&lt;&gt;"",N(AW96)&gt;0),IFERROR(IFERROR(_xlfn.XLOOKUP(AP96,BP10:BP57,BT10:BT57),IFERROR(_xlfn.XLOOKUP(AP96,BQ10:BQ57,BT10:BT57),_xlfn.XLOOKUP(AP96,BR10:BR57,BT10:BT57,""))),""),""),""),"")</f>
        <v/>
      </c>
      <c r="BC96" s="813" cm="1">
        <f t="array" ref="BC96">IF(NOT(AQ96),0,IF(OR(BA96="",N(BA96)&lt;=0.000000001),"",IF(OR(AU96="",N(AU96)&lt;=0.000000001),0,IF(ISNUMBER(BA96),IFERROR(_xlfn.LET(_xlpm.ai_test,TRIM(AP96),_xlpm.r,IFERROR(_xlfn.XLOOKUP(_xlpm.ai_test,BP26:BP73,ROW(BP26:BP73),0,1),IFERROR(_xlfn.XLOOKUP(_xlpm.ai_test,BQ26:BQ73,ROW(BQ26:BQ73),0,1),_xlfn.XLOOKUP(_xlpm.ai_test,BR26:BR73,ROW(BR26:BR73),0,1))),_xlpm.p,_xlpm.r-MIN(ROW(BP26:BP73))+1,_xlpm.f,INDEX(BS26:BS73,_xlpm.p),_xlpm.u,INDEX(BT26:BT73,_xlpm.p),_xlpm.s,INDEX(BV26:BV73,_xlpm.p),_xlpm.q,N(BA96)/_xlpm.f,IF(_xlpm.q&gt;=_xlpm.s,ROUND(_xlpm.q,1)&amp;" "&amp;_xlpm.ai_test&amp;" = "&amp;ROUND(_xlpm.q*_xlpm.f,1)&amp;" "&amp;_xlpm.u,ROUND(_xlpm.q,1)&amp;" "&amp;_xlpm.ai_test)),""),""))))</f>
        <v>0</v>
      </c>
      <c r="BD96" s="801"/>
      <c r="BE96" s="799" t="str">
        <f t="shared" si="64"/>
        <v/>
      </c>
      <c r="BF96" s="800" t="str">
        <f t="shared" si="65"/>
        <v/>
      </c>
      <c r="BG96" s="802">
        <f t="shared" ref="BG96:BG159" si="70">IF(AND(ISNUMBER(BM96),ABS(BM96)&gt;0.000000001),BM96,0)</f>
        <v>0</v>
      </c>
      <c r="BH96" s="803" t="str">
        <f t="shared" ref="BH96:BH159" si="71">IF(AND(AQ96, N(BG96)&gt;0.000000001), W96, "")</f>
        <v/>
      </c>
      <c r="BI96" s="792"/>
      <c r="BJ96" s="804">
        <f t="shared" si="69"/>
        <v>0</v>
      </c>
      <c r="BK96" s="794" t="str">
        <f t="shared" si="66"/>
        <v/>
      </c>
      <c r="BL96" s="227" t="s">
        <v>21</v>
      </c>
      <c r="BM96" s="773">
        <f t="shared" si="55"/>
        <v>0</v>
      </c>
      <c r="BN96" s="774">
        <f t="shared" si="56"/>
        <v>0</v>
      </c>
      <c r="BP96" s="121" t="s">
        <v>1307</v>
      </c>
      <c r="BQ96" s="121" t="s">
        <v>1308</v>
      </c>
      <c r="BR96" s="143" t="s">
        <v>1309</v>
      </c>
      <c r="BS96" s="121" t="s">
        <v>1310</v>
      </c>
      <c r="BT96" s="121" t="s">
        <v>1311</v>
      </c>
      <c r="BU96" s="121" t="s">
        <v>1312</v>
      </c>
      <c r="BV96" s="125" t="s">
        <v>1313</v>
      </c>
      <c r="BW96" s="155" t="s">
        <v>1314</v>
      </c>
      <c r="BX96" s="155" t="s">
        <v>1315</v>
      </c>
      <c r="BY96" s="109" t="s">
        <v>1316</v>
      </c>
      <c r="BZ96" s="109" t="s">
        <v>1317</v>
      </c>
      <c r="CA96" s="109" t="s">
        <v>1318</v>
      </c>
      <c r="CB96" s="697" t="s">
        <v>1319</v>
      </c>
      <c r="CC96"/>
      <c r="CD96" s="781" t="str">
        <f t="shared" si="46"/>
        <v>►</v>
      </c>
      <c r="CE96" s="873" t="s">
        <v>1769</v>
      </c>
      <c r="CF96" s="268"/>
      <c r="CG96" s="268"/>
      <c r="CH96" s="45"/>
      <c r="CI96" s="45"/>
      <c r="CJ96" s="719"/>
      <c r="CK96"/>
      <c r="CL96"/>
      <c r="CM96"/>
      <c r="CN96"/>
      <c r="CO96"/>
      <c r="CP96"/>
      <c r="CQ96"/>
      <c r="CR96"/>
      <c r="CS96"/>
      <c r="CT96"/>
      <c r="CU96"/>
      <c r="CV96"/>
      <c r="CW96"/>
      <c r="CX96"/>
      <c r="CY96"/>
      <c r="CZ96"/>
      <c r="DA96"/>
      <c r="DB96"/>
      <c r="DC96"/>
      <c r="DD96"/>
      <c r="DE96"/>
      <c r="DF96"/>
      <c r="DG96"/>
      <c r="DI96" s="3">
        <v>1</v>
      </c>
    </row>
    <row r="97" spans="1:113" s="627" customFormat="1" ht="21" customHeight="1">
      <c r="A97" s="701" t="s">
        <v>21</v>
      </c>
      <c r="B97" s="2265" t="str" cm="1">
        <f t="array" ref="B97">SUMPRODUCT(--(D97:J97&lt;&gt;""), LEN(TRIM(SUBSTITUTE(D97:J97, CHAR(160), "")))) &amp; " Car."</f>
        <v>0 Car.</v>
      </c>
      <c r="C97" s="1376" t="str">
        <f>IF(ISBLANK(D97),"",LARGE(C13:C96,1)+1)</f>
        <v/>
      </c>
      <c r="D97" s="1833"/>
      <c r="E97" s="1810"/>
      <c r="F97" s="1810"/>
      <c r="G97" s="1810"/>
      <c r="H97" s="1810"/>
      <c r="I97" s="1810"/>
      <c r="J97" s="1810"/>
      <c r="K97" s="1810"/>
      <c r="L97" s="1811"/>
      <c r="M97" s="9"/>
      <c r="N97" s="162" t="str">
        <f t="shared" si="47"/>
        <v>►</v>
      </c>
      <c r="O97" s="1616"/>
      <c r="P97" s="9"/>
      <c r="Q97" s="25" t="s">
        <v>15</v>
      </c>
      <c r="R97" s="31"/>
      <c r="S97" s="32"/>
      <c r="T97" s="31"/>
      <c r="U97" s="33"/>
      <c r="V97" s="1967"/>
      <c r="W97" s="1805"/>
      <c r="X97" s="91"/>
      <c r="Y97" s="1806"/>
      <c r="Z97" s="1968"/>
      <c r="AA97" s="2244"/>
      <c r="AB97" s="1969"/>
      <c r="AC97" s="1365"/>
      <c r="AD97" s="95"/>
      <c r="AE97" s="1326"/>
      <c r="AF97" s="97"/>
      <c r="AG97" s="1737"/>
      <c r="AH97" s="1970"/>
      <c r="AI97" s="99"/>
      <c r="AJ97" s="1809"/>
      <c r="AK97" s="6120" t="str">
        <f t="shared" si="51"/>
        <v>►</v>
      </c>
      <c r="AL97" s="781" t="str">
        <f t="shared" si="53"/>
        <v>►</v>
      </c>
      <c r="AM97" s="5499" t="str">
        <f t="shared" si="57"/>
        <v/>
      </c>
      <c r="AN97" s="783" t="str">
        <f t="shared" si="58"/>
        <v/>
      </c>
      <c r="AO97" s="782" t="str">
        <f t="shared" si="59"/>
        <v/>
      </c>
      <c r="AP97" s="783" t="str">
        <f t="shared" si="60"/>
        <v/>
      </c>
      <c r="AQ97" s="2083" t="b">
        <f t="shared" si="67"/>
        <v>0</v>
      </c>
      <c r="AR97" s="797" t="str">
        <f t="shared" si="68"/>
        <v/>
      </c>
      <c r="AS97" s="784" t="str">
        <f t="shared" si="54"/>
        <v/>
      </c>
      <c r="AT97" s="1315" t="str">
        <f t="shared" si="61"/>
        <v/>
      </c>
      <c r="AU97" s="785">
        <f t="shared" si="62"/>
        <v>0</v>
      </c>
      <c r="AV97" s="785">
        <f t="shared" si="63"/>
        <v>0</v>
      </c>
      <c r="AW97" s="786">
        <f>IF(AK97="A",AY10,0)</f>
        <v>0</v>
      </c>
      <c r="AX97" s="5495" t="str">
        <f>IF(IFERROR(SEARCH("Adresse PC",TRIM(W97)),0)&gt;0,"▼ receta siguiente",IF(AK97="A",IF(AZ10&lt;&gt;"",AZ10&amp;" - ou.or.o ❾ + or - &gt;",""),""))</f>
        <v/>
      </c>
      <c r="AY97" s="1316"/>
      <c r="AZ97" s="787"/>
      <c r="BA97" s="788" t="str">
        <f t="shared" si="52"/>
        <v/>
      </c>
      <c r="BB97" s="789" t="str">
        <f>IF(AK97="A",IF(AQ97,IF(AND(AW97&lt;&gt;"",N(AW97)&gt;0),IFERROR(IFERROR(_xlfn.XLOOKUP(AP97,BP10:BP57,BT10:BT57),IFERROR(_xlfn.XLOOKUP(AP97,BQ10:BQ57,BT10:BT57),_xlfn.XLOOKUP(AP97,BR10:BR57,BT10:BT57,""))),""),""),""),"")</f>
        <v/>
      </c>
      <c r="BC97" s="811" cm="1">
        <f t="array" ref="BC97">IF(NOT(AQ97),0,IF(OR(BA97="",N(BA97)&lt;=0.000000001),"",IF(OR(AU97="",N(AU97)&lt;=0.000000001),0,IF(ISNUMBER(BA97),IFERROR(_xlfn.LET(_xlpm.ai_test,TRIM(AP97),_xlpm.r,IFERROR(_xlfn.XLOOKUP(_xlpm.ai_test,BP27:BP74,ROW(BP27:BP74),0,1),IFERROR(_xlfn.XLOOKUP(_xlpm.ai_test,BQ27:BQ74,ROW(BQ27:BQ74),0,1),_xlfn.XLOOKUP(_xlpm.ai_test,BR27:BR74,ROW(BR27:BR74),0,1))),_xlpm.p,_xlpm.r-MIN(ROW(BP27:BP74))+1,_xlpm.f,INDEX(BS27:BS74,_xlpm.p),_xlpm.u,INDEX(BT27:BT74,_xlpm.p),_xlpm.s,INDEX(BV27:BV74,_xlpm.p),_xlpm.q,N(BA97)/_xlpm.f,IF(_xlpm.q&gt;=_xlpm.s,ROUND(_xlpm.q,1)&amp;" "&amp;_xlpm.ai_test&amp;" = "&amp;ROUND(_xlpm.q*_xlpm.f,1)&amp;" "&amp;_xlpm.u,ROUND(_xlpm.q,1)&amp;" "&amp;_xlpm.ai_test)),""),""))))</f>
        <v>0</v>
      </c>
      <c r="BD97" s="801"/>
      <c r="BE97" s="788" t="str">
        <f t="shared" si="64"/>
        <v/>
      </c>
      <c r="BF97" s="789" t="str">
        <f t="shared" si="65"/>
        <v/>
      </c>
      <c r="BG97" s="790">
        <f t="shared" si="70"/>
        <v>0</v>
      </c>
      <c r="BH97" s="791" t="str">
        <f t="shared" si="71"/>
        <v/>
      </c>
      <c r="BI97" s="792"/>
      <c r="BJ97" s="793">
        <f t="shared" si="69"/>
        <v>0</v>
      </c>
      <c r="BK97" s="794" t="str">
        <f t="shared" si="66"/>
        <v/>
      </c>
      <c r="BL97" s="227" t="s">
        <v>21</v>
      </c>
      <c r="BM97" s="773">
        <f t="shared" si="55"/>
        <v>0</v>
      </c>
      <c r="BN97" s="774">
        <f t="shared" si="56"/>
        <v>0</v>
      </c>
      <c r="BP97" s="685">
        <v>2.835E-2</v>
      </c>
      <c r="BQ97" s="686">
        <v>0.13</v>
      </c>
      <c r="BR97" s="687">
        <v>0</v>
      </c>
      <c r="BS97" s="686">
        <v>0.2</v>
      </c>
      <c r="BT97" s="686">
        <v>0.23</v>
      </c>
      <c r="BU97" s="686">
        <v>0.22500000000000001</v>
      </c>
      <c r="BV97" s="688">
        <v>0.35</v>
      </c>
      <c r="BW97" s="688">
        <v>5.0000000000000001E-3</v>
      </c>
      <c r="BX97" s="688">
        <v>5.0000000000000001E-3</v>
      </c>
      <c r="BY97" s="688">
        <v>1.4999999999999999E-2</v>
      </c>
      <c r="BZ97" s="688">
        <v>0.1</v>
      </c>
      <c r="CA97" s="688">
        <v>0.22500000000000001</v>
      </c>
      <c r="CB97" s="689">
        <v>1E-3</v>
      </c>
      <c r="CC97"/>
      <c r="CD97" s="781" t="str">
        <f t="shared" si="46"/>
        <v>►</v>
      </c>
      <c r="CE97" s="45"/>
      <c r="CF97" s="45"/>
      <c r="CG97" s="45"/>
      <c r="CH97" s="45"/>
      <c r="CI97" s="45"/>
      <c r="CJ97" s="719"/>
      <c r="DI97" s="3">
        <v>1</v>
      </c>
    </row>
    <row r="98" spans="1:113" s="627" customFormat="1" ht="21" customHeight="1">
      <c r="A98" s="701" t="s">
        <v>21</v>
      </c>
      <c r="B98" s="2265" t="str" cm="1">
        <f t="array" ref="B98">SUMPRODUCT(--(D98:J98&lt;&gt;""), LEN(TRIM(SUBSTITUTE(D98:J98, CHAR(160), "")))) &amp; " Car."</f>
        <v>0 Car.</v>
      </c>
      <c r="C98" s="1376" t="str">
        <f>IF(ISBLANK(D98),"",LARGE(C13:C97,1)+1)</f>
        <v/>
      </c>
      <c r="D98" s="1833"/>
      <c r="E98" s="1810"/>
      <c r="F98" s="1810"/>
      <c r="G98" s="1810"/>
      <c r="H98" s="1810"/>
      <c r="I98" s="1810"/>
      <c r="J98" s="1810"/>
      <c r="K98" s="1810"/>
      <c r="L98" s="1811"/>
      <c r="M98" s="9"/>
      <c r="N98" s="162" t="str">
        <f t="shared" si="47"/>
        <v>►</v>
      </c>
      <c r="O98" s="1616"/>
      <c r="P98" s="9"/>
      <c r="Q98" s="25" t="s">
        <v>15</v>
      </c>
      <c r="R98" s="31"/>
      <c r="S98" s="32"/>
      <c r="T98" s="31"/>
      <c r="U98" s="33"/>
      <c r="V98" s="1967"/>
      <c r="W98" s="1805"/>
      <c r="X98" s="91"/>
      <c r="Y98" s="1806"/>
      <c r="Z98" s="1968"/>
      <c r="AA98" s="2244"/>
      <c r="AB98" s="1969"/>
      <c r="AC98" s="1365"/>
      <c r="AD98" s="95"/>
      <c r="AE98" s="1326"/>
      <c r="AF98" s="97"/>
      <c r="AG98" s="1737"/>
      <c r="AH98" s="1970"/>
      <c r="AI98" s="99"/>
      <c r="AJ98" s="1809"/>
      <c r="AK98" s="6120" t="str">
        <f t="shared" si="51"/>
        <v>►</v>
      </c>
      <c r="AL98" s="781" t="str">
        <f t="shared" si="53"/>
        <v>►</v>
      </c>
      <c r="AM98" s="5498" t="str">
        <f t="shared" si="57"/>
        <v/>
      </c>
      <c r="AN98" s="783" t="str">
        <f t="shared" si="58"/>
        <v/>
      </c>
      <c r="AO98" s="782" t="str">
        <f t="shared" si="59"/>
        <v/>
      </c>
      <c r="AP98" s="783" t="str">
        <f t="shared" si="60"/>
        <v/>
      </c>
      <c r="AQ98" s="2083" t="b">
        <f>AND(Q98="A",COUNTIF(BP16:BR63,TRIM(Z98))&gt;0)</f>
        <v>0</v>
      </c>
      <c r="AR98" s="797" t="str">
        <f>IF(AL98&lt;&gt;"A","",IFERROR(IFERROR(_xlfn.XLOOKUP(TRIM(SUBSTITUTE(Z98,CHAR(160)," ")),BP16:BP63,BS16:BS63),IFERROR(_xlfn.XLOOKUP(TRIM(SUBSTITUTE(Z98,CHAR(160)," ")),BQ16:BQ63,BS16:BS63),_xlfn.XLOOKUP(TRIM(SUBSTITUTE(Z98,CHAR(160)," ")),BR16:BR63,BS16:BS63)))*Y98*IF(ISBLANK(V98),1,V98),0))</f>
        <v/>
      </c>
      <c r="AS98" s="784" t="str">
        <f t="shared" si="54"/>
        <v/>
      </c>
      <c r="AT98" s="1315" t="str">
        <f t="shared" si="61"/>
        <v/>
      </c>
      <c r="AU98" s="785">
        <f t="shared" si="62"/>
        <v>0</v>
      </c>
      <c r="AV98" s="785">
        <f t="shared" si="63"/>
        <v>0</v>
      </c>
      <c r="AW98" s="798">
        <f>IF(AK98="A",AY10,0)</f>
        <v>0</v>
      </c>
      <c r="AX98" s="5496" t="str">
        <f>IF(IFERROR(SEARCH("Adresse PC",TRIM(W98)),0)&gt;0,"▼ receta siguiente",IF(AK98="A",IF(AZ10&lt;&gt;"",AZ10&amp;" - ou.or.o ❾ + or - &gt;",""),""))</f>
        <v/>
      </c>
      <c r="AY98" s="810"/>
      <c r="AZ98" s="810"/>
      <c r="BA98" s="799" t="str">
        <f t="shared" si="52"/>
        <v/>
      </c>
      <c r="BB98" s="800" t="str">
        <f>IF(AK98="A",IF(AQ98,IF(AND(AW98&lt;&gt;"",N(AW98)&gt;0),IFERROR(IFERROR(_xlfn.XLOOKUP(AP98,BP10:BP57,BT10:BT57),IFERROR(_xlfn.XLOOKUP(AP98,BQ10:BQ57,BT10:BT57),_xlfn.XLOOKUP(AP98,BR10:BR57,BT10:BT57,""))),""),""),""),"")</f>
        <v/>
      </c>
      <c r="BC98" s="813" cm="1">
        <f t="array" ref="BC98">IF(NOT(AQ98),0,IF(OR(BA98="",N(BA98)&lt;=0.000000001),"",IF(OR(AU98="",N(AU98)&lt;=0.000000001),0,IF(ISNUMBER(BA98),IFERROR(_xlfn.LET(_xlpm.ai_test,TRIM(AP98),_xlpm.r,IFERROR(_xlfn.XLOOKUP(_xlpm.ai_test,BP16:BP63,ROW(BP16:BP63),0,1),IFERROR(_xlfn.XLOOKUP(_xlpm.ai_test,BQ16:BQ63,ROW(BQ16:BQ63),0,1),_xlfn.XLOOKUP(_xlpm.ai_test,BR16:BR63,ROW(BR16:BR63),0,1))),_xlpm.p,_xlpm.r-MIN(ROW(BP16:BP63))+1,_xlpm.f,INDEX(BS16:BS63,_xlpm.p),_xlpm.u,INDEX(BT16:BT63,_xlpm.p),_xlpm.s,INDEX(BV16:BV63,_xlpm.p),_xlpm.q,N(BA98)/_xlpm.f,IF(_xlpm.q&gt;=_xlpm.s,ROUND(_xlpm.q,1)&amp;" "&amp;_xlpm.ai_test&amp;" = "&amp;ROUND(_xlpm.q*_xlpm.f,1)&amp;" "&amp;_xlpm.u,ROUND(_xlpm.q,1)&amp;" "&amp;_xlpm.ai_test)),""),""))))</f>
        <v>0</v>
      </c>
      <c r="BD98" s="801"/>
      <c r="BE98" s="799" t="str">
        <f t="shared" si="64"/>
        <v/>
      </c>
      <c r="BF98" s="800" t="str">
        <f t="shared" si="65"/>
        <v/>
      </c>
      <c r="BG98" s="802">
        <f t="shared" si="70"/>
        <v>0</v>
      </c>
      <c r="BH98" s="803" t="str">
        <f t="shared" si="71"/>
        <v/>
      </c>
      <c r="BI98" s="792"/>
      <c r="BJ98" s="804">
        <f t="shared" si="69"/>
        <v>0</v>
      </c>
      <c r="BK98" s="794" t="str">
        <f t="shared" si="66"/>
        <v/>
      </c>
      <c r="BL98" s="227" t="s">
        <v>21</v>
      </c>
      <c r="BM98" s="773">
        <f t="shared" si="55"/>
        <v>0</v>
      </c>
      <c r="BN98" s="774">
        <f t="shared" si="56"/>
        <v>0</v>
      </c>
      <c r="BP98" s="874" t="s">
        <v>794</v>
      </c>
      <c r="BQ98" s="651"/>
      <c r="BR98" s="651"/>
      <c r="BS98" s="651"/>
      <c r="BT98" s="651"/>
      <c r="BU98" s="651"/>
      <c r="BV98" s="651"/>
      <c r="BW98" s="651"/>
      <c r="BX98" s="651"/>
      <c r="BY98" s="651"/>
      <c r="BZ98" s="651"/>
      <c r="CA98" s="651"/>
      <c r="CB98" s="651"/>
      <c r="CC98"/>
      <c r="CD98" s="781" t="str">
        <f t="shared" si="46"/>
        <v>►</v>
      </c>
      <c r="CE98" s="875"/>
      <c r="CF98" s="876"/>
      <c r="CG98" s="876"/>
      <c r="CH98" s="876"/>
      <c r="CI98" s="45"/>
      <c r="CJ98" s="719"/>
      <c r="DI98" s="3">
        <v>1</v>
      </c>
    </row>
    <row r="99" spans="1:113" s="627" customFormat="1" ht="21" customHeight="1">
      <c r="A99" s="701" t="s">
        <v>21</v>
      </c>
      <c r="B99" s="2265" t="str" cm="1">
        <f t="array" ref="B99">SUMPRODUCT(--(D99:J99&lt;&gt;""), LEN(TRIM(SUBSTITUTE(D99:J99, CHAR(160), "")))) &amp; " Car."</f>
        <v>0 Car.</v>
      </c>
      <c r="C99" s="1376" t="str">
        <f>IF(ISBLANK(D99),"",LARGE(C13:C98,1)+1)</f>
        <v/>
      </c>
      <c r="D99" s="1833"/>
      <c r="E99" s="1810"/>
      <c r="F99" s="1810"/>
      <c r="G99" s="1810"/>
      <c r="H99" s="1810"/>
      <c r="I99" s="1810"/>
      <c r="J99" s="1810"/>
      <c r="K99" s="1810"/>
      <c r="L99" s="1811"/>
      <c r="M99" s="9"/>
      <c r="N99" s="162" t="str">
        <f t="shared" si="47"/>
        <v>►</v>
      </c>
      <c r="O99" s="1616"/>
      <c r="P99" s="9"/>
      <c r="Q99" s="25" t="s">
        <v>15</v>
      </c>
      <c r="R99" s="31"/>
      <c r="S99" s="32"/>
      <c r="T99" s="31"/>
      <c r="U99" s="33"/>
      <c r="V99" s="1967"/>
      <c r="W99" s="1805"/>
      <c r="X99" s="91"/>
      <c r="Y99" s="1806"/>
      <c r="Z99" s="1968"/>
      <c r="AA99" s="2244"/>
      <c r="AB99" s="1969"/>
      <c r="AC99" s="1365"/>
      <c r="AD99" s="95"/>
      <c r="AE99" s="1326"/>
      <c r="AF99" s="97"/>
      <c r="AG99" s="1737"/>
      <c r="AH99" s="1970"/>
      <c r="AI99" s="99"/>
      <c r="AJ99" s="1809"/>
      <c r="AK99" s="6120" t="str">
        <f t="shared" si="51"/>
        <v>►</v>
      </c>
      <c r="AL99" s="781" t="str">
        <f t="shared" si="53"/>
        <v>►</v>
      </c>
      <c r="AM99" s="5499" t="str">
        <f t="shared" si="57"/>
        <v/>
      </c>
      <c r="AN99" s="783" t="str">
        <f t="shared" si="58"/>
        <v/>
      </c>
      <c r="AO99" s="782" t="str">
        <f t="shared" si="59"/>
        <v/>
      </c>
      <c r="AP99" s="783" t="str">
        <f t="shared" si="60"/>
        <v/>
      </c>
      <c r="AQ99" s="2083" t="b">
        <f>AND(Q99="A",COUNTIF(BP16:BR63,TRIM(Z99))&gt;0)</f>
        <v>0</v>
      </c>
      <c r="AR99" s="797" t="str">
        <f>IF(AL99&lt;&gt;"A","",IFERROR(IFERROR(_xlfn.XLOOKUP(TRIM(SUBSTITUTE(Z99,CHAR(160)," ")),BP16:BP63,BS16:BS63),IFERROR(_xlfn.XLOOKUP(TRIM(SUBSTITUTE(Z99,CHAR(160)," ")),BQ16:BQ63,BS16:BS63),_xlfn.XLOOKUP(TRIM(SUBSTITUTE(Z99,CHAR(160)," ")),BR16:BR63,BS16:BS63)))*Y99*IF(ISBLANK(V99),1,V99),0))</f>
        <v/>
      </c>
      <c r="AS99" s="784" t="str">
        <f t="shared" si="54"/>
        <v/>
      </c>
      <c r="AT99" s="1315" t="str">
        <f t="shared" si="61"/>
        <v/>
      </c>
      <c r="AU99" s="785">
        <f t="shared" si="62"/>
        <v>0</v>
      </c>
      <c r="AV99" s="785">
        <f t="shared" si="63"/>
        <v>0</v>
      </c>
      <c r="AW99" s="786">
        <f>IF(AK99="A",AY10,0)</f>
        <v>0</v>
      </c>
      <c r="AX99" s="5495" t="str">
        <f>IF(IFERROR(SEARCH("Adresse PC",TRIM(W99)),0)&gt;0,"▼ receta siguiente",IF(AK99="A",IF(AZ10&lt;&gt;"",AZ10&amp;" - ou.or.o ❾ + or - &gt;",""),""))</f>
        <v/>
      </c>
      <c r="AY99" s="810"/>
      <c r="AZ99" s="810"/>
      <c r="BA99" s="788" t="str">
        <f t="shared" si="52"/>
        <v/>
      </c>
      <c r="BB99" s="789" t="str">
        <f>IF(AK99="A",IF(AQ99,IF(AND(AW99&lt;&gt;"",N(AW99)&gt;0),IFERROR(IFERROR(_xlfn.XLOOKUP(AP99,BP10:BP57,BT10:BT57),IFERROR(_xlfn.XLOOKUP(AP99,BQ10:BQ57,BT10:BT57),_xlfn.XLOOKUP(AP99,BR10:BR57,BT10:BT57,""))),""),""),""),"")</f>
        <v/>
      </c>
      <c r="BC99" s="811" cm="1">
        <f t="array" ref="BC99">IF(NOT(AQ99),0,IF(OR(BA99="",N(BA99)&lt;=0.000000001),"",IF(OR(AU99="",N(AU99)&lt;=0.000000001),0,IF(ISNUMBER(BA99),IFERROR(_xlfn.LET(_xlpm.ai_test,TRIM(AP99),_xlpm.r,IFERROR(_xlfn.XLOOKUP(_xlpm.ai_test,BP16:BP63,ROW(BP16:BP63),0,1),IFERROR(_xlfn.XLOOKUP(_xlpm.ai_test,BQ16:BQ63,ROW(BQ16:BQ63),0,1),_xlfn.XLOOKUP(_xlpm.ai_test,BR16:BR63,ROW(BR16:BR63),0,1))),_xlpm.p,_xlpm.r-MIN(ROW(BP16:BP63))+1,_xlpm.f,INDEX(BS16:BS63,_xlpm.p),_xlpm.u,INDEX(BT16:BT63,_xlpm.p),_xlpm.s,INDEX(BV16:BV63,_xlpm.p),_xlpm.q,N(BA99)/_xlpm.f,IF(_xlpm.q&gt;=_xlpm.s,ROUND(_xlpm.q,1)&amp;" "&amp;_xlpm.ai_test&amp;" = "&amp;ROUND(_xlpm.q*_xlpm.f,1)&amp;" "&amp;_xlpm.u,ROUND(_xlpm.q,1)&amp;" "&amp;_xlpm.ai_test)),""),""))))</f>
        <v>0</v>
      </c>
      <c r="BD99" s="801"/>
      <c r="BE99" s="788" t="str">
        <f t="shared" si="64"/>
        <v/>
      </c>
      <c r="BF99" s="789" t="str">
        <f t="shared" si="65"/>
        <v/>
      </c>
      <c r="BG99" s="790">
        <f t="shared" si="70"/>
        <v>0</v>
      </c>
      <c r="BH99" s="791" t="str">
        <f t="shared" si="71"/>
        <v/>
      </c>
      <c r="BI99" s="792"/>
      <c r="BJ99" s="793">
        <f t="shared" si="69"/>
        <v>0</v>
      </c>
      <c r="BK99" s="794" t="str">
        <f t="shared" si="66"/>
        <v/>
      </c>
      <c r="BL99" s="227" t="s">
        <v>21</v>
      </c>
      <c r="BM99" s="773">
        <f t="shared" si="55"/>
        <v>0</v>
      </c>
      <c r="BN99" s="774">
        <f t="shared" si="56"/>
        <v>0</v>
      </c>
      <c r="BP99" s="877" t="s">
        <v>1776</v>
      </c>
      <c r="BQ99" s="878"/>
      <c r="BR99" s="878"/>
      <c r="BS99" s="878"/>
      <c r="BT99" s="878"/>
      <c r="BU99" s="878"/>
      <c r="BV99" s="878"/>
      <c r="BW99" s="878"/>
      <c r="BX99" s="878"/>
      <c r="BY99" s="878"/>
      <c r="BZ99" s="878"/>
      <c r="CA99" s="878"/>
      <c r="CB99" s="878"/>
      <c r="CC99"/>
      <c r="CD99" s="781" t="str">
        <f t="shared" si="46"/>
        <v>►</v>
      </c>
      <c r="CE99" s="875"/>
      <c r="CF99" s="876"/>
      <c r="CG99" s="876"/>
      <c r="CH99" s="876"/>
      <c r="CI99" s="45"/>
      <c r="CJ99" s="719"/>
      <c r="DI99" s="3">
        <v>1</v>
      </c>
    </row>
    <row r="100" spans="1:113" s="627" customFormat="1" ht="21" customHeight="1">
      <c r="A100" s="701" t="s">
        <v>21</v>
      </c>
      <c r="B100" s="2265" t="str" cm="1">
        <f t="array" ref="B100">SUMPRODUCT(--(D100:J100&lt;&gt;""), LEN(TRIM(SUBSTITUTE(D100:J100, CHAR(160), "")))) &amp; " Car."</f>
        <v>0 Car.</v>
      </c>
      <c r="C100" s="1376" t="str">
        <f>IF(ISBLANK(D100),"",LARGE(C13:C99,1)+1)</f>
        <v/>
      </c>
      <c r="D100" s="1833"/>
      <c r="E100" s="1810"/>
      <c r="F100" s="1810"/>
      <c r="G100" s="1810"/>
      <c r="H100" s="1810"/>
      <c r="I100" s="1810"/>
      <c r="J100" s="1810"/>
      <c r="K100" s="1810"/>
      <c r="L100" s="1811"/>
      <c r="M100" s="9"/>
      <c r="N100" s="162" t="str">
        <f t="shared" si="47"/>
        <v>►</v>
      </c>
      <c r="O100" s="1616"/>
      <c r="P100" s="9"/>
      <c r="Q100" s="25" t="s">
        <v>15</v>
      </c>
      <c r="R100" s="31"/>
      <c r="S100" s="32"/>
      <c r="T100" s="31"/>
      <c r="U100" s="33"/>
      <c r="V100" s="1967"/>
      <c r="W100" s="1805"/>
      <c r="X100" s="91"/>
      <c r="Y100" s="1806"/>
      <c r="Z100" s="1968"/>
      <c r="AA100" s="2244"/>
      <c r="AB100" s="1969"/>
      <c r="AC100" s="1365"/>
      <c r="AD100" s="95"/>
      <c r="AE100" s="1326"/>
      <c r="AF100" s="97"/>
      <c r="AG100" s="1737"/>
      <c r="AH100" s="1970"/>
      <c r="AI100" s="99"/>
      <c r="AJ100" s="1809"/>
      <c r="AK100" s="6120" t="str">
        <f t="shared" si="51"/>
        <v>►</v>
      </c>
      <c r="AL100" s="781" t="str">
        <f t="shared" si="53"/>
        <v>►</v>
      </c>
      <c r="AM100" s="5498" t="str">
        <f t="shared" si="57"/>
        <v/>
      </c>
      <c r="AN100" s="783" t="str">
        <f t="shared" si="58"/>
        <v/>
      </c>
      <c r="AO100" s="782" t="str">
        <f t="shared" si="59"/>
        <v/>
      </c>
      <c r="AP100" s="783" t="str">
        <f t="shared" si="60"/>
        <v/>
      </c>
      <c r="AQ100" s="2083" t="b">
        <f>AND(Q100="A",COUNTIF(BP16:BR63,TRIM(Z100))&gt;0)</f>
        <v>0</v>
      </c>
      <c r="AR100" s="797" t="str">
        <f>IF(AL100&lt;&gt;"A","",IFERROR(IFERROR(_xlfn.XLOOKUP(TRIM(SUBSTITUTE(Z100,CHAR(160)," ")),BP16:BP63,BS16:BS63),IFERROR(_xlfn.XLOOKUP(TRIM(SUBSTITUTE(Z100,CHAR(160)," ")),BQ16:BQ63,BS16:BS63),_xlfn.XLOOKUP(TRIM(SUBSTITUTE(Z100,CHAR(160)," ")),BR16:BR63,BS16:BS63)))*Y100*IF(ISBLANK(V100),1,V100),0))</f>
        <v/>
      </c>
      <c r="AS100" s="784" t="str">
        <f t="shared" si="54"/>
        <v/>
      </c>
      <c r="AT100" s="1315" t="str">
        <f t="shared" si="61"/>
        <v/>
      </c>
      <c r="AU100" s="785">
        <f t="shared" si="62"/>
        <v>0</v>
      </c>
      <c r="AV100" s="785">
        <f t="shared" si="63"/>
        <v>0</v>
      </c>
      <c r="AW100" s="798">
        <f>IF(AK100="A",AY10,0)</f>
        <v>0</v>
      </c>
      <c r="AX100" s="5496" t="str">
        <f>IF(IFERROR(SEARCH("Adresse PC",TRIM(W100)),0)&gt;0,"▼ receta siguiente",IF(AK100="A",IF(AZ10&lt;&gt;"",AZ10&amp;" - ou.or.o ❾ + or - &gt;",""),""))</f>
        <v/>
      </c>
      <c r="AY100" s="810"/>
      <c r="AZ100" s="810"/>
      <c r="BA100" s="799" t="str">
        <f t="shared" si="52"/>
        <v/>
      </c>
      <c r="BB100" s="800" t="str">
        <f>IF(AK100="A",IF(AQ100,IF(AND(AW100&lt;&gt;"",N(AW100)&gt;0),IFERROR(IFERROR(_xlfn.XLOOKUP(AP100,BP10:BP57,BT10:BT57),IFERROR(_xlfn.XLOOKUP(AP100,BQ10:BQ57,BT10:BT57),_xlfn.XLOOKUP(AP100,BR10:BR57,BT10:BT57,""))),""),""),""),"")</f>
        <v/>
      </c>
      <c r="BC100" s="813" cm="1">
        <f t="array" ref="BC100">IF(NOT(AQ100),0,IF(OR(BA100="",N(BA100)&lt;=0.000000001),"",IF(OR(AU100="",N(AU100)&lt;=0.000000001),0,IF(ISNUMBER(BA100),IFERROR(_xlfn.LET(_xlpm.ai_test,TRIM(AP100),_xlpm.r,IFERROR(_xlfn.XLOOKUP(_xlpm.ai_test,BP16:BP63,ROW(BP16:BP63),0,1),IFERROR(_xlfn.XLOOKUP(_xlpm.ai_test,BQ16:BQ63,ROW(BQ16:BQ63),0,1),_xlfn.XLOOKUP(_xlpm.ai_test,BR16:BR63,ROW(BR16:BR63),0,1))),_xlpm.p,_xlpm.r-MIN(ROW(BP16:BP63))+1,_xlpm.f,INDEX(BS16:BS63,_xlpm.p),_xlpm.u,INDEX(BT16:BT63,_xlpm.p),_xlpm.s,INDEX(BV16:BV63,_xlpm.p),_xlpm.q,N(BA100)/_xlpm.f,IF(_xlpm.q&gt;=_xlpm.s,ROUND(_xlpm.q,1)&amp;" "&amp;_xlpm.ai_test&amp;" = "&amp;ROUND(_xlpm.q*_xlpm.f,1)&amp;" "&amp;_xlpm.u,ROUND(_xlpm.q,1)&amp;" "&amp;_xlpm.ai_test)),""),""))))</f>
        <v>0</v>
      </c>
      <c r="BD100" s="801"/>
      <c r="BE100" s="799" t="str">
        <f t="shared" si="64"/>
        <v/>
      </c>
      <c r="BF100" s="800" t="str">
        <f t="shared" si="65"/>
        <v/>
      </c>
      <c r="BG100" s="802">
        <f t="shared" si="70"/>
        <v>0</v>
      </c>
      <c r="BH100" s="803" t="str">
        <f t="shared" si="71"/>
        <v/>
      </c>
      <c r="BI100" s="792"/>
      <c r="BJ100" s="804">
        <f t="shared" si="69"/>
        <v>0</v>
      </c>
      <c r="BK100" s="794" t="str">
        <f t="shared" si="66"/>
        <v/>
      </c>
      <c r="BL100" s="227" t="s">
        <v>21</v>
      </c>
      <c r="BM100" s="773">
        <f t="shared" si="55"/>
        <v>0</v>
      </c>
      <c r="BN100" s="774">
        <f t="shared" si="56"/>
        <v>0</v>
      </c>
      <c r="BP100" s="6854" t="s">
        <v>1777</v>
      </c>
      <c r="BQ100" s="6854"/>
      <c r="BR100" s="6854"/>
      <c r="BS100" s="6854"/>
      <c r="BT100" s="6854"/>
      <c r="BU100" s="6854"/>
      <c r="BV100" s="6854"/>
      <c r="BW100" s="6854"/>
      <c r="BX100" s="6854"/>
      <c r="BY100" s="6854"/>
      <c r="BZ100" s="6854"/>
      <c r="CA100" s="6854"/>
      <c r="CB100" s="6854"/>
      <c r="CC100"/>
      <c r="CD100" s="781" t="str">
        <f t="shared" si="46"/>
        <v>►</v>
      </c>
      <c r="CE100" s="875" t="s">
        <v>2398</v>
      </c>
      <c r="CF100" s="876"/>
      <c r="CG100" s="876"/>
      <c r="CH100" s="876"/>
      <c r="CI100" s="45"/>
      <c r="CJ100" s="719"/>
      <c r="DI100" s="3">
        <v>1</v>
      </c>
    </row>
    <row r="101" spans="1:113" s="627" customFormat="1" ht="21" customHeight="1">
      <c r="A101" s="701" t="s">
        <v>21</v>
      </c>
      <c r="B101" s="2265" t="str" cm="1">
        <f t="array" ref="B101">SUMPRODUCT(--(D101:J101&lt;&gt;""), LEN(TRIM(SUBSTITUTE(D101:J101, CHAR(160), "")))) &amp; " Car."</f>
        <v>0 Car.</v>
      </c>
      <c r="C101" s="1376" t="str">
        <f>IF(ISBLANK(D101),"",LARGE(C13:C100,1)+1)</f>
        <v/>
      </c>
      <c r="D101" s="1833"/>
      <c r="E101" s="1810"/>
      <c r="F101" s="1810"/>
      <c r="G101" s="1810"/>
      <c r="H101" s="1810"/>
      <c r="I101" s="1810"/>
      <c r="J101" s="1810"/>
      <c r="K101" s="1810"/>
      <c r="L101" s="1811"/>
      <c r="M101" s="9"/>
      <c r="N101" s="162" t="str">
        <f t="shared" si="47"/>
        <v>►</v>
      </c>
      <c r="O101" s="1616"/>
      <c r="P101" s="9"/>
      <c r="Q101" s="25" t="s">
        <v>15</v>
      </c>
      <c r="R101" s="31"/>
      <c r="S101" s="32"/>
      <c r="T101" s="31"/>
      <c r="U101" s="33"/>
      <c r="V101" s="1967"/>
      <c r="W101" s="1805"/>
      <c r="X101" s="91"/>
      <c r="Y101" s="1806"/>
      <c r="Z101" s="1968"/>
      <c r="AA101" s="2244"/>
      <c r="AB101" s="1969"/>
      <c r="AC101" s="1365"/>
      <c r="AD101" s="95"/>
      <c r="AE101" s="1326"/>
      <c r="AF101" s="97"/>
      <c r="AG101" s="1737"/>
      <c r="AH101" s="1970"/>
      <c r="AI101" s="99"/>
      <c r="AJ101" s="1809"/>
      <c r="AK101" s="6120" t="str">
        <f t="shared" si="51"/>
        <v>►</v>
      </c>
      <c r="AL101" s="781" t="str">
        <f t="shared" si="53"/>
        <v>►</v>
      </c>
      <c r="AM101" s="5499" t="str">
        <f t="shared" si="57"/>
        <v/>
      </c>
      <c r="AN101" s="783" t="str">
        <f t="shared" si="58"/>
        <v/>
      </c>
      <c r="AO101" s="782" t="str">
        <f t="shared" si="59"/>
        <v/>
      </c>
      <c r="AP101" s="783" t="str">
        <f t="shared" si="60"/>
        <v/>
      </c>
      <c r="AQ101" s="2083" t="b">
        <f>AND(Q101="A",COUNTIF(BP16:BR63,TRIM(Z101))&gt;0)</f>
        <v>0</v>
      </c>
      <c r="AR101" s="797" t="str">
        <f>IF(AL101&lt;&gt;"A","",IFERROR(IFERROR(_xlfn.XLOOKUP(TRIM(SUBSTITUTE(Z101,CHAR(160)," ")),BP16:BP63,BS16:BS63),IFERROR(_xlfn.XLOOKUP(TRIM(SUBSTITUTE(Z101,CHAR(160)," ")),BQ16:BQ63,BS16:BS63),_xlfn.XLOOKUP(TRIM(SUBSTITUTE(Z101,CHAR(160)," ")),BR16:BR63,BS16:BS63)))*Y101*IF(ISBLANK(V101),1,V101),0))</f>
        <v/>
      </c>
      <c r="AS101" s="784" t="str">
        <f t="shared" si="54"/>
        <v/>
      </c>
      <c r="AT101" s="1315" t="str">
        <f t="shared" si="61"/>
        <v/>
      </c>
      <c r="AU101" s="785">
        <f t="shared" si="62"/>
        <v>0</v>
      </c>
      <c r="AV101" s="785">
        <f t="shared" si="63"/>
        <v>0</v>
      </c>
      <c r="AW101" s="786">
        <f>IF(AK101="A",AY10,0)</f>
        <v>0</v>
      </c>
      <c r="AX101" s="5495" t="str">
        <f>IF(IFERROR(SEARCH("Adresse PC",TRIM(W101)),0)&gt;0,"▼ receta siguiente",IF(AK101="A",IF(AZ10&lt;&gt;"",AZ10&amp;" - ou.or.o ❾ + or - &gt;",""),""))</f>
        <v/>
      </c>
      <c r="AY101" s="810"/>
      <c r="AZ101" s="810"/>
      <c r="BA101" s="788" t="str">
        <f t="shared" si="52"/>
        <v/>
      </c>
      <c r="BB101" s="789" t="str">
        <f>IF(AK101="A",IF(AQ101,IF(AND(AW101&lt;&gt;"",N(AW101)&gt;0),IFERROR(IFERROR(_xlfn.XLOOKUP(AP101,BP10:BP57,BT10:BT57),IFERROR(_xlfn.XLOOKUP(AP101,BQ10:BQ57,BT10:BT57),_xlfn.XLOOKUP(AP101,BR10:BR57,BT10:BT57,""))),""),""),""),"")</f>
        <v/>
      </c>
      <c r="BC101" s="811" cm="1">
        <f t="array" ref="BC101">IF(NOT(AQ101),0,IF(OR(BA101="",N(BA101)&lt;=0.000000001),"",IF(OR(AU101="",N(AU101)&lt;=0.000000001),0,IF(ISNUMBER(BA101),IFERROR(_xlfn.LET(_xlpm.ai_test,TRIM(AP101),_xlpm.r,IFERROR(_xlfn.XLOOKUP(_xlpm.ai_test,BP16:BP63,ROW(BP16:BP63),0,1),IFERROR(_xlfn.XLOOKUP(_xlpm.ai_test,BQ16:BQ63,ROW(BQ16:BQ63),0,1),_xlfn.XLOOKUP(_xlpm.ai_test,BR16:BR63,ROW(BR16:BR63),0,1))),_xlpm.p,_xlpm.r-MIN(ROW(BP16:BP63))+1,_xlpm.f,INDEX(BS16:BS63,_xlpm.p),_xlpm.u,INDEX(BT16:BT63,_xlpm.p),_xlpm.s,INDEX(BV16:BV63,_xlpm.p),_xlpm.q,N(BA101)/_xlpm.f,IF(_xlpm.q&gt;=_xlpm.s,ROUND(_xlpm.q,1)&amp;" "&amp;_xlpm.ai_test&amp;" = "&amp;ROUND(_xlpm.q*_xlpm.f,1)&amp;" "&amp;_xlpm.u,ROUND(_xlpm.q,1)&amp;" "&amp;_xlpm.ai_test)),""),""))))</f>
        <v>0</v>
      </c>
      <c r="BD101" s="801"/>
      <c r="BE101" s="788" t="str">
        <f t="shared" si="64"/>
        <v/>
      </c>
      <c r="BF101" s="789" t="str">
        <f t="shared" si="65"/>
        <v/>
      </c>
      <c r="BG101" s="790">
        <f t="shared" si="70"/>
        <v>0</v>
      </c>
      <c r="BH101" s="791" t="str">
        <f t="shared" si="71"/>
        <v/>
      </c>
      <c r="BI101" s="792"/>
      <c r="BJ101" s="793">
        <f t="shared" si="69"/>
        <v>0</v>
      </c>
      <c r="BK101" s="794" t="str">
        <f t="shared" si="66"/>
        <v/>
      </c>
      <c r="BL101" s="227" t="s">
        <v>21</v>
      </c>
      <c r="BM101" s="773">
        <f t="shared" si="55"/>
        <v>0</v>
      </c>
      <c r="BN101" s="774">
        <f t="shared" si="56"/>
        <v>0</v>
      </c>
      <c r="BP101" s="6854"/>
      <c r="BQ101" s="6854"/>
      <c r="BR101" s="6854"/>
      <c r="BS101" s="6854"/>
      <c r="BT101" s="6854"/>
      <c r="BU101" s="6854"/>
      <c r="BV101" s="6854"/>
      <c r="BW101" s="6854"/>
      <c r="BX101" s="6854"/>
      <c r="BY101" s="6854"/>
      <c r="BZ101" s="6854"/>
      <c r="CA101" s="6854"/>
      <c r="CB101" s="6854"/>
      <c r="CC101"/>
      <c r="CD101" s="781" t="str">
        <f t="shared" si="46"/>
        <v>►</v>
      </c>
      <c r="CE101" s="875"/>
      <c r="CF101" s="876"/>
      <c r="CG101" s="876"/>
      <c r="CH101" s="876"/>
      <c r="CI101" s="45"/>
      <c r="CJ101" s="719"/>
      <c r="DI101" s="3">
        <v>1</v>
      </c>
    </row>
    <row r="102" spans="1:113" s="627" customFormat="1" ht="21" customHeight="1">
      <c r="A102" s="701" t="s">
        <v>21</v>
      </c>
      <c r="B102" s="2265" t="str" cm="1">
        <f t="array" ref="B102">SUMPRODUCT(--(D102:J102&lt;&gt;""), LEN(TRIM(SUBSTITUTE(D102:J102, CHAR(160), "")))) &amp; " Car."</f>
        <v>0 Car.</v>
      </c>
      <c r="C102" s="1376" t="str">
        <f>IF(ISBLANK(D102),"",LARGE(C13:C101,1)+1)</f>
        <v/>
      </c>
      <c r="D102" s="1833"/>
      <c r="E102" s="1810"/>
      <c r="F102" s="1810"/>
      <c r="G102" s="1810"/>
      <c r="H102" s="1810"/>
      <c r="I102" s="1810"/>
      <c r="J102" s="1810"/>
      <c r="K102" s="1810"/>
      <c r="L102" s="1811"/>
      <c r="M102" s="9"/>
      <c r="N102" s="162" t="str">
        <f t="shared" si="47"/>
        <v>►</v>
      </c>
      <c r="O102" s="1616"/>
      <c r="P102" s="9"/>
      <c r="Q102" s="25" t="s">
        <v>15</v>
      </c>
      <c r="R102" s="31"/>
      <c r="S102" s="32"/>
      <c r="T102" s="31"/>
      <c r="U102" s="33"/>
      <c r="V102" s="1967"/>
      <c r="W102" s="1805"/>
      <c r="X102" s="91"/>
      <c r="Y102" s="1806"/>
      <c r="Z102" s="1968"/>
      <c r="AA102" s="2244"/>
      <c r="AB102" s="1969"/>
      <c r="AC102" s="1365"/>
      <c r="AD102" s="95"/>
      <c r="AE102" s="1326"/>
      <c r="AF102" s="97"/>
      <c r="AG102" s="1737"/>
      <c r="AH102" s="1970"/>
      <c r="AI102" s="99"/>
      <c r="AJ102" s="1809"/>
      <c r="AK102" s="6120" t="str">
        <f t="shared" si="51"/>
        <v>►</v>
      </c>
      <c r="AL102" s="781" t="str">
        <f t="shared" si="53"/>
        <v>►</v>
      </c>
      <c r="AM102" s="5498" t="str">
        <f t="shared" si="57"/>
        <v/>
      </c>
      <c r="AN102" s="783" t="str">
        <f t="shared" si="58"/>
        <v/>
      </c>
      <c r="AO102" s="782" t="str">
        <f t="shared" si="59"/>
        <v/>
      </c>
      <c r="AP102" s="783" t="str">
        <f t="shared" si="60"/>
        <v/>
      </c>
      <c r="AQ102" s="2083" t="b">
        <f>AND(Q102="A",COUNTIF(BP16:BR63,TRIM(Z102))&gt;0)</f>
        <v>0</v>
      </c>
      <c r="AR102" s="797" t="str">
        <f>IF(AL102&lt;&gt;"A","",IFERROR(IFERROR(_xlfn.XLOOKUP(TRIM(SUBSTITUTE(Z102,CHAR(160)," ")),BP16:BP63,BS16:BS63),IFERROR(_xlfn.XLOOKUP(TRIM(SUBSTITUTE(Z102,CHAR(160)," ")),BQ16:BQ63,BS16:BS63),_xlfn.XLOOKUP(TRIM(SUBSTITUTE(Z102,CHAR(160)," ")),BR16:BR63,BS16:BS63)))*Y102*IF(ISBLANK(V102),1,V102),0))</f>
        <v/>
      </c>
      <c r="AS102" s="784" t="str">
        <f t="shared" si="54"/>
        <v/>
      </c>
      <c r="AT102" s="1315" t="str">
        <f t="shared" si="61"/>
        <v/>
      </c>
      <c r="AU102" s="785">
        <f t="shared" si="62"/>
        <v>0</v>
      </c>
      <c r="AV102" s="785">
        <f t="shared" si="63"/>
        <v>0</v>
      </c>
      <c r="AW102" s="798">
        <f>IF(AK102="A",AY10,0)</f>
        <v>0</v>
      </c>
      <c r="AX102" s="5496" t="str">
        <f>IF(IFERROR(SEARCH("Adresse PC",TRIM(W102)),0)&gt;0,"▼ receta siguiente",IF(AK102="A",IF(AZ10&lt;&gt;"",AZ10&amp;" - ou.or.o ❾ + or - &gt;",""),""))</f>
        <v/>
      </c>
      <c r="AY102" s="810"/>
      <c r="AZ102" s="810"/>
      <c r="BA102" s="799" t="str">
        <f t="shared" si="52"/>
        <v/>
      </c>
      <c r="BB102" s="800" t="str">
        <f>IF(AK102="A",IF(AQ102,IF(AND(AW102&lt;&gt;"",N(AW102)&gt;0),IFERROR(IFERROR(_xlfn.XLOOKUP(AP102,BP10:BP57,BT10:BT57),IFERROR(_xlfn.XLOOKUP(AP102,BQ10:BQ57,BT10:BT57),_xlfn.XLOOKUP(AP102,BR10:BR57,BT10:BT57,""))),""),""),""),"")</f>
        <v/>
      </c>
      <c r="BC102" s="813" cm="1">
        <f t="array" ref="BC102">IF(NOT(AQ102),0,IF(OR(BA102="",N(BA102)&lt;=0.000000001),"",IF(OR(AU102="",N(AU102)&lt;=0.000000001),0,IF(ISNUMBER(BA102),IFERROR(_xlfn.LET(_xlpm.ai_test,TRIM(AP102),_xlpm.r,IFERROR(_xlfn.XLOOKUP(_xlpm.ai_test,BP16:BP63,ROW(BP16:BP63),0,1),IFERROR(_xlfn.XLOOKUP(_xlpm.ai_test,BQ16:BQ63,ROW(BQ16:BQ63),0,1),_xlfn.XLOOKUP(_xlpm.ai_test,BR16:BR63,ROW(BR16:BR63),0,1))),_xlpm.p,_xlpm.r-MIN(ROW(BP16:BP63))+1,_xlpm.f,INDEX(BS16:BS63,_xlpm.p),_xlpm.u,INDEX(BT16:BT63,_xlpm.p),_xlpm.s,INDEX(BV16:BV63,_xlpm.p),_xlpm.q,N(BA102)/_xlpm.f,IF(_xlpm.q&gt;=_xlpm.s,ROUND(_xlpm.q,1)&amp;" "&amp;_xlpm.ai_test&amp;" = "&amp;ROUND(_xlpm.q*_xlpm.f,1)&amp;" "&amp;_xlpm.u,ROUND(_xlpm.q,1)&amp;" "&amp;_xlpm.ai_test)),""),""))))</f>
        <v>0</v>
      </c>
      <c r="BD102" s="801"/>
      <c r="BE102" s="799" t="str">
        <f t="shared" si="64"/>
        <v/>
      </c>
      <c r="BF102" s="800" t="str">
        <f t="shared" si="65"/>
        <v/>
      </c>
      <c r="BG102" s="802">
        <f t="shared" si="70"/>
        <v>0</v>
      </c>
      <c r="BH102" s="803" t="str">
        <f t="shared" si="71"/>
        <v/>
      </c>
      <c r="BI102" s="792"/>
      <c r="BJ102" s="804">
        <f t="shared" si="69"/>
        <v>0</v>
      </c>
      <c r="BK102" s="794" t="str">
        <f t="shared" si="66"/>
        <v/>
      </c>
      <c r="BL102" s="227" t="s">
        <v>21</v>
      </c>
      <c r="BM102" s="773">
        <f t="shared" si="55"/>
        <v>0</v>
      </c>
      <c r="BN102" s="774">
        <f t="shared" si="56"/>
        <v>0</v>
      </c>
      <c r="BP102" s="874" t="s">
        <v>795</v>
      </c>
      <c r="BQ102" s="651"/>
      <c r="BR102" s="651"/>
      <c r="BS102" s="651"/>
      <c r="BT102" s="651"/>
      <c r="BU102" s="651"/>
      <c r="BV102" s="651"/>
      <c r="BW102" s="651"/>
      <c r="BX102" s="651"/>
      <c r="BY102" s="651"/>
      <c r="BZ102" s="651"/>
      <c r="CA102" s="651"/>
      <c r="CB102" s="651"/>
      <c r="CC102"/>
      <c r="CD102" s="781" t="str">
        <f t="shared" si="46"/>
        <v>►</v>
      </c>
      <c r="CE102"/>
      <c r="CF102"/>
      <c r="CG102"/>
      <c r="CH102"/>
      <c r="CI102"/>
      <c r="CJ102" s="719"/>
      <c r="DI102" s="3">
        <v>1</v>
      </c>
    </row>
    <row r="103" spans="1:113" s="627" customFormat="1" ht="21" customHeight="1">
      <c r="A103" s="701" t="s">
        <v>21</v>
      </c>
      <c r="B103" s="2265" t="str" cm="1">
        <f t="array" ref="B103">SUMPRODUCT(--(D103:J103&lt;&gt;""), LEN(TRIM(SUBSTITUTE(D103:J103, CHAR(160), "")))) &amp; " Car."</f>
        <v>0 Car.</v>
      </c>
      <c r="C103" s="1376" t="str">
        <f>IF(ISBLANK(D103),"",LARGE(C13:C102,1)+1)</f>
        <v/>
      </c>
      <c r="D103" s="1833"/>
      <c r="E103" s="1810"/>
      <c r="F103" s="1810"/>
      <c r="G103" s="1810"/>
      <c r="H103" s="1810"/>
      <c r="I103" s="1810"/>
      <c r="J103" s="1810"/>
      <c r="K103" s="1810"/>
      <c r="L103" s="1811"/>
      <c r="M103" s="9"/>
      <c r="N103" s="162" t="str">
        <f t="shared" si="47"/>
        <v>►</v>
      </c>
      <c r="O103" s="1616"/>
      <c r="P103" s="9"/>
      <c r="Q103" s="25" t="s">
        <v>15</v>
      </c>
      <c r="R103" s="31"/>
      <c r="S103" s="32"/>
      <c r="T103" s="31"/>
      <c r="U103" s="33"/>
      <c r="V103" s="1967"/>
      <c r="W103" s="1805"/>
      <c r="X103" s="91"/>
      <c r="Y103" s="1806"/>
      <c r="Z103" s="1968"/>
      <c r="AA103" s="2244"/>
      <c r="AB103" s="1969"/>
      <c r="AC103" s="1365"/>
      <c r="AD103" s="95"/>
      <c r="AE103" s="1326"/>
      <c r="AF103" s="97"/>
      <c r="AG103" s="1737"/>
      <c r="AH103" s="1970"/>
      <c r="AI103" s="99"/>
      <c r="AJ103" s="1809"/>
      <c r="AK103" s="6120" t="str">
        <f t="shared" si="51"/>
        <v>►</v>
      </c>
      <c r="AL103" s="781" t="str">
        <f t="shared" si="53"/>
        <v>►</v>
      </c>
      <c r="AM103" s="5499" t="str">
        <f t="shared" si="57"/>
        <v/>
      </c>
      <c r="AN103" s="783" t="str">
        <f t="shared" si="58"/>
        <v/>
      </c>
      <c r="AO103" s="782" t="str">
        <f t="shared" si="59"/>
        <v/>
      </c>
      <c r="AP103" s="783" t="str">
        <f t="shared" si="60"/>
        <v/>
      </c>
      <c r="AQ103" s="2083" t="b">
        <f>AND(Q103="A",COUNTIF(BP16:BR63,TRIM(Z103))&gt;0)</f>
        <v>0</v>
      </c>
      <c r="AR103" s="797" t="str">
        <f>IF(AL103&lt;&gt;"A","",IFERROR(IFERROR(_xlfn.XLOOKUP(TRIM(SUBSTITUTE(Z103,CHAR(160)," ")),BP16:BP63,BS16:BS63),IFERROR(_xlfn.XLOOKUP(TRIM(SUBSTITUTE(Z103,CHAR(160)," ")),BQ16:BQ63,BS16:BS63),_xlfn.XLOOKUP(TRIM(SUBSTITUTE(Z103,CHAR(160)," ")),BR16:BR63,BS16:BS63)))*Y103*IF(ISBLANK(V103),1,V103),0))</f>
        <v/>
      </c>
      <c r="AS103" s="784" t="str">
        <f t="shared" si="54"/>
        <v/>
      </c>
      <c r="AT103" s="1315" t="str">
        <f t="shared" si="61"/>
        <v/>
      </c>
      <c r="AU103" s="785">
        <f t="shared" si="62"/>
        <v>0</v>
      </c>
      <c r="AV103" s="785">
        <f t="shared" si="63"/>
        <v>0</v>
      </c>
      <c r="AW103" s="786">
        <f>IF(AK103="A",AY10,0)</f>
        <v>0</v>
      </c>
      <c r="AX103" s="5495" t="str">
        <f>IF(IFERROR(SEARCH("Adresse PC",TRIM(W103)),0)&gt;0,"▼ receta siguiente",IF(AK103="A",IF(AZ10&lt;&gt;"",AZ10&amp;" - ou.or.o ❾ + or - &gt;",""),""))</f>
        <v/>
      </c>
      <c r="AY103" s="810"/>
      <c r="AZ103" s="810"/>
      <c r="BA103" s="788" t="str">
        <f t="shared" si="52"/>
        <v/>
      </c>
      <c r="BB103" s="789" t="str">
        <f>IF(AK103="A",IF(AQ103,IF(AND(AW103&lt;&gt;"",N(AW103)&gt;0),IFERROR(IFERROR(_xlfn.XLOOKUP(AP103,BP10:BP57,BT10:BT57),IFERROR(_xlfn.XLOOKUP(AP103,BQ10:BQ57,BT10:BT57),_xlfn.XLOOKUP(AP103,BR10:BR57,BT10:BT57,""))),""),""),""),"")</f>
        <v/>
      </c>
      <c r="BC103" s="811" cm="1">
        <f t="array" ref="BC103">IF(NOT(AQ103),0,IF(OR(BA103="",N(BA103)&lt;=0.000000001),"",IF(OR(AU103="",N(AU103)&lt;=0.000000001),0,IF(ISNUMBER(BA103),IFERROR(_xlfn.LET(_xlpm.ai_test,TRIM(AP103),_xlpm.r,IFERROR(_xlfn.XLOOKUP(_xlpm.ai_test,BP16:BP63,ROW(BP16:BP63),0,1),IFERROR(_xlfn.XLOOKUP(_xlpm.ai_test,BQ16:BQ63,ROW(BQ16:BQ63),0,1),_xlfn.XLOOKUP(_xlpm.ai_test,BR16:BR63,ROW(BR16:BR63),0,1))),_xlpm.p,_xlpm.r-MIN(ROW(BP16:BP63))+1,_xlpm.f,INDEX(BS16:BS63,_xlpm.p),_xlpm.u,INDEX(BT16:BT63,_xlpm.p),_xlpm.s,INDEX(BV16:BV63,_xlpm.p),_xlpm.q,N(BA103)/_xlpm.f,IF(_xlpm.q&gt;=_xlpm.s,ROUND(_xlpm.q,1)&amp;" "&amp;_xlpm.ai_test&amp;" = "&amp;ROUND(_xlpm.q*_xlpm.f,1)&amp;" "&amp;_xlpm.u,ROUND(_xlpm.q,1)&amp;" "&amp;_xlpm.ai_test)),""),""))))</f>
        <v>0</v>
      </c>
      <c r="BD103" s="801"/>
      <c r="BE103" s="788" t="str">
        <f t="shared" si="64"/>
        <v/>
      </c>
      <c r="BF103" s="789" t="str">
        <f t="shared" si="65"/>
        <v/>
      </c>
      <c r="BG103" s="790">
        <f t="shared" si="70"/>
        <v>0</v>
      </c>
      <c r="BH103" s="791" t="str">
        <f t="shared" si="71"/>
        <v/>
      </c>
      <c r="BI103" s="792"/>
      <c r="BJ103" s="793">
        <f t="shared" si="69"/>
        <v>0</v>
      </c>
      <c r="BK103" s="794" t="str">
        <f t="shared" si="66"/>
        <v/>
      </c>
      <c r="BL103" s="227" t="s">
        <v>21</v>
      </c>
      <c r="BM103" s="773">
        <f t="shared" si="55"/>
        <v>0</v>
      </c>
      <c r="BN103" s="774">
        <f t="shared" si="56"/>
        <v>0</v>
      </c>
      <c r="BP103" s="879" t="s">
        <v>1778</v>
      </c>
      <c r="BQ103" s="651"/>
      <c r="BR103" s="651"/>
      <c r="BS103" s="651"/>
      <c r="BT103" s="651"/>
      <c r="BU103" s="651"/>
      <c r="BV103" s="651"/>
      <c r="BW103" s="651"/>
      <c r="BX103" s="651"/>
      <c r="BY103" s="651"/>
      <c r="BZ103" s="651"/>
      <c r="CA103" s="651"/>
      <c r="CB103" s="651"/>
      <c r="CC103"/>
      <c r="CD103" s="781" t="str">
        <f t="shared" si="46"/>
        <v>►</v>
      </c>
      <c r="CE103"/>
      <c r="CF103"/>
      <c r="CG103"/>
      <c r="CH103"/>
      <c r="CI103"/>
      <c r="CJ103" s="719"/>
      <c r="DI103" s="3">
        <v>1</v>
      </c>
    </row>
    <row r="104" spans="1:113" s="627" customFormat="1" ht="21" customHeight="1">
      <c r="A104" s="701" t="s">
        <v>21</v>
      </c>
      <c r="B104" s="2265" t="str" cm="1">
        <f t="array" ref="B104">SUMPRODUCT(--(D104:J104&lt;&gt;""), LEN(TRIM(SUBSTITUTE(D104:J104, CHAR(160), "")))) &amp; " Car."</f>
        <v>0 Car.</v>
      </c>
      <c r="C104" s="1376" t="str">
        <f>IF(ISBLANK(D104),"",LARGE(C13:C103,1)+1)</f>
        <v/>
      </c>
      <c r="D104" s="1833"/>
      <c r="E104" s="1810"/>
      <c r="F104" s="1810"/>
      <c r="G104" s="1810"/>
      <c r="H104" s="1810"/>
      <c r="I104" s="1810"/>
      <c r="J104" s="1810"/>
      <c r="K104" s="1810"/>
      <c r="L104" s="1811"/>
      <c r="M104" s="9"/>
      <c r="N104" s="162" t="str">
        <f t="shared" si="47"/>
        <v>►</v>
      </c>
      <c r="O104" s="1616"/>
      <c r="P104" s="9"/>
      <c r="Q104" s="25" t="s">
        <v>15</v>
      </c>
      <c r="R104" s="31"/>
      <c r="S104" s="32"/>
      <c r="T104" s="31"/>
      <c r="U104" s="33"/>
      <c r="V104" s="1967"/>
      <c r="W104" s="1805"/>
      <c r="X104" s="91"/>
      <c r="Y104" s="1806"/>
      <c r="Z104" s="1968"/>
      <c r="AA104" s="2244"/>
      <c r="AB104" s="1969"/>
      <c r="AC104" s="1365"/>
      <c r="AD104" s="95"/>
      <c r="AE104" s="1326"/>
      <c r="AF104" s="97"/>
      <c r="AG104" s="1737"/>
      <c r="AH104" s="1970"/>
      <c r="AI104" s="99"/>
      <c r="AJ104" s="1809"/>
      <c r="AK104" s="6120" t="str">
        <f t="shared" si="51"/>
        <v>►</v>
      </c>
      <c r="AL104" s="781" t="str">
        <f t="shared" si="53"/>
        <v>►</v>
      </c>
      <c r="AM104" s="5498" t="str">
        <f t="shared" si="57"/>
        <v/>
      </c>
      <c r="AN104" s="783" t="str">
        <f t="shared" si="58"/>
        <v/>
      </c>
      <c r="AO104" s="782" t="str">
        <f t="shared" si="59"/>
        <v/>
      </c>
      <c r="AP104" s="783" t="str">
        <f t="shared" si="60"/>
        <v/>
      </c>
      <c r="AQ104" s="2083" t="b">
        <f>AND(Q104="A",COUNTIF(BP16:BR63,TRIM(Z104))&gt;0)</f>
        <v>0</v>
      </c>
      <c r="AR104" s="797" t="str">
        <f>IF(AL104&lt;&gt;"A","",IFERROR(IFERROR(_xlfn.XLOOKUP(TRIM(SUBSTITUTE(Z104,CHAR(160)," ")),BP16:BP63,BS16:BS63),IFERROR(_xlfn.XLOOKUP(TRIM(SUBSTITUTE(Z104,CHAR(160)," ")),BQ16:BQ63,BS16:BS63),_xlfn.XLOOKUP(TRIM(SUBSTITUTE(Z104,CHAR(160)," ")),BR16:BR63,BS16:BS63)))*Y104*IF(ISBLANK(V104),1,V104),0))</f>
        <v/>
      </c>
      <c r="AS104" s="784" t="str">
        <f t="shared" si="54"/>
        <v/>
      </c>
      <c r="AT104" s="1315" t="str">
        <f t="shared" si="61"/>
        <v/>
      </c>
      <c r="AU104" s="785">
        <f t="shared" si="62"/>
        <v>0</v>
      </c>
      <c r="AV104" s="785">
        <f t="shared" si="63"/>
        <v>0</v>
      </c>
      <c r="AW104" s="798">
        <f>IF(AK104="A",AY10,0)</f>
        <v>0</v>
      </c>
      <c r="AX104" s="5496" t="str">
        <f>IF(IFERROR(SEARCH("Adresse PC",TRIM(W104)),0)&gt;0,"▼ receta siguiente",IF(AK104="A",IF(AZ10&lt;&gt;"",AZ10&amp;" - ou.or.o ❾ + or - &gt;",""),""))</f>
        <v/>
      </c>
      <c r="AY104" s="810"/>
      <c r="AZ104" s="810"/>
      <c r="BA104" s="799" t="str">
        <f t="shared" si="52"/>
        <v/>
      </c>
      <c r="BB104" s="800" t="str">
        <f>IF(AK104="A",IF(AQ104,IF(AND(AW104&lt;&gt;"",N(AW104)&gt;0),IFERROR(IFERROR(_xlfn.XLOOKUP(AP104,BP10:BP57,BT10:BT57),IFERROR(_xlfn.XLOOKUP(AP104,BQ10:BQ57,BT10:BT57),_xlfn.XLOOKUP(AP104,BR10:BR57,BT10:BT57,""))),""),""),""),"")</f>
        <v/>
      </c>
      <c r="BC104" s="813" cm="1">
        <f t="array" ref="BC104">IF(NOT(AQ104),0,IF(OR(BA104="",N(BA104)&lt;=0.000000001),"",IF(OR(AU104="",N(AU104)&lt;=0.000000001),0,IF(ISNUMBER(BA104),IFERROR(_xlfn.LET(_xlpm.ai_test,TRIM(AP104),_xlpm.r,IFERROR(_xlfn.XLOOKUP(_xlpm.ai_test,BP16:BP63,ROW(BP16:BP63),0,1),IFERROR(_xlfn.XLOOKUP(_xlpm.ai_test,BQ16:BQ63,ROW(BQ16:BQ63),0,1),_xlfn.XLOOKUP(_xlpm.ai_test,BR16:BR63,ROW(BR16:BR63),0,1))),_xlpm.p,_xlpm.r-MIN(ROW(BP16:BP63))+1,_xlpm.f,INDEX(BS16:BS63,_xlpm.p),_xlpm.u,INDEX(BT16:BT63,_xlpm.p),_xlpm.s,INDEX(BV16:BV63,_xlpm.p),_xlpm.q,N(BA104)/_xlpm.f,IF(_xlpm.q&gt;=_xlpm.s,ROUND(_xlpm.q,1)&amp;" "&amp;_xlpm.ai_test&amp;" = "&amp;ROUND(_xlpm.q*_xlpm.f,1)&amp;" "&amp;_xlpm.u,ROUND(_xlpm.q,1)&amp;" "&amp;_xlpm.ai_test)),""),""))))</f>
        <v>0</v>
      </c>
      <c r="BD104" s="801"/>
      <c r="BE104" s="799" t="str">
        <f t="shared" si="64"/>
        <v/>
      </c>
      <c r="BF104" s="800" t="str">
        <f t="shared" si="65"/>
        <v/>
      </c>
      <c r="BG104" s="802">
        <f t="shared" si="70"/>
        <v>0</v>
      </c>
      <c r="BH104" s="803" t="str">
        <f t="shared" si="71"/>
        <v/>
      </c>
      <c r="BI104" s="792"/>
      <c r="BJ104" s="804">
        <f t="shared" si="69"/>
        <v>0</v>
      </c>
      <c r="BK104" s="794" t="str">
        <f t="shared" si="66"/>
        <v/>
      </c>
      <c r="BL104" s="227" t="s">
        <v>21</v>
      </c>
      <c r="BM104" s="773">
        <f t="shared" si="55"/>
        <v>0</v>
      </c>
      <c r="BN104" s="774">
        <f t="shared" si="56"/>
        <v>0</v>
      </c>
      <c r="BP104" s="879" t="s">
        <v>1779</v>
      </c>
      <c r="BQ104" s="651"/>
      <c r="BR104" s="651"/>
      <c r="BS104" s="651"/>
      <c r="BT104" s="651"/>
      <c r="BU104" s="651"/>
      <c r="BV104" s="651"/>
      <c r="BW104" s="651"/>
      <c r="BX104" s="651"/>
      <c r="BY104" s="651"/>
      <c r="BZ104" s="651"/>
      <c r="CA104" s="651"/>
      <c r="CB104" s="651"/>
      <c r="CC104"/>
      <c r="CD104" s="781" t="str">
        <f t="shared" si="46"/>
        <v>►</v>
      </c>
      <c r="CE104"/>
      <c r="CF104"/>
      <c r="CG104"/>
      <c r="CH104"/>
      <c r="CI104"/>
      <c r="CJ104" s="719"/>
      <c r="DI104" s="3">
        <v>1</v>
      </c>
    </row>
    <row r="105" spans="1:113" s="627" customFormat="1" ht="21" customHeight="1">
      <c r="A105" s="701" t="s">
        <v>21</v>
      </c>
      <c r="B105" s="2265" t="str" cm="1">
        <f t="array" ref="B105">SUMPRODUCT(--(D105:J105&lt;&gt;""), LEN(TRIM(SUBSTITUTE(D105:J105, CHAR(160), "")))) &amp; " Car."</f>
        <v>0 Car.</v>
      </c>
      <c r="C105" s="1376" t="str">
        <f>IF(ISBLANK(D105),"",LARGE(C13:C104,1)+1)</f>
        <v/>
      </c>
      <c r="D105" s="1833"/>
      <c r="E105" s="1810"/>
      <c r="F105" s="1810"/>
      <c r="G105" s="1810"/>
      <c r="H105" s="1810"/>
      <c r="I105" s="1810"/>
      <c r="J105" s="1810"/>
      <c r="K105" s="1810"/>
      <c r="L105" s="1811"/>
      <c r="M105" s="9"/>
      <c r="N105" s="162" t="str">
        <f t="shared" si="47"/>
        <v>►</v>
      </c>
      <c r="O105" s="1616"/>
      <c r="P105" s="9"/>
      <c r="Q105" s="25" t="s">
        <v>15</v>
      </c>
      <c r="R105" s="31"/>
      <c r="S105" s="32"/>
      <c r="T105" s="31"/>
      <c r="U105" s="33"/>
      <c r="V105" s="1967"/>
      <c r="W105" s="1805"/>
      <c r="X105" s="91"/>
      <c r="Y105" s="1806"/>
      <c r="Z105" s="1968"/>
      <c r="AA105" s="2244"/>
      <c r="AB105" s="1969"/>
      <c r="AC105" s="1365"/>
      <c r="AD105" s="95"/>
      <c r="AE105" s="1326"/>
      <c r="AF105" s="97"/>
      <c r="AG105" s="1737"/>
      <c r="AH105" s="1970"/>
      <c r="AI105" s="99"/>
      <c r="AJ105" s="1809"/>
      <c r="AK105" s="6120" t="str">
        <f t="shared" si="51"/>
        <v>►</v>
      </c>
      <c r="AL105" s="781" t="str">
        <f t="shared" si="53"/>
        <v>►</v>
      </c>
      <c r="AM105" s="5499" t="str">
        <f t="shared" si="57"/>
        <v/>
      </c>
      <c r="AN105" s="783" t="str">
        <f t="shared" si="58"/>
        <v/>
      </c>
      <c r="AO105" s="782" t="str">
        <f t="shared" si="59"/>
        <v/>
      </c>
      <c r="AP105" s="783" t="str">
        <f t="shared" si="60"/>
        <v/>
      </c>
      <c r="AQ105" s="2083" t="b">
        <f>AND(Q105="A",COUNTIF(BP16:BR63,TRIM(Z105))&gt;0)</f>
        <v>0</v>
      </c>
      <c r="AR105" s="797" t="str">
        <f>IF(AL105&lt;&gt;"A","",IFERROR(IFERROR(_xlfn.XLOOKUP(TRIM(SUBSTITUTE(Z105,CHAR(160)," ")),BP16:BP63,BS16:BS63),IFERROR(_xlfn.XLOOKUP(TRIM(SUBSTITUTE(Z105,CHAR(160)," ")),BQ16:BQ63,BS16:BS63),_xlfn.XLOOKUP(TRIM(SUBSTITUTE(Z105,CHAR(160)," ")),BR16:BR63,BS16:BS63)))*Y105*IF(ISBLANK(V105),1,V105),0))</f>
        <v/>
      </c>
      <c r="AS105" s="784" t="str">
        <f t="shared" si="54"/>
        <v/>
      </c>
      <c r="AT105" s="1315" t="str">
        <f t="shared" si="61"/>
        <v/>
      </c>
      <c r="AU105" s="785">
        <f t="shared" si="62"/>
        <v>0</v>
      </c>
      <c r="AV105" s="785">
        <f t="shared" si="63"/>
        <v>0</v>
      </c>
      <c r="AW105" s="786">
        <f>IF(AK105="A",AY10,0)</f>
        <v>0</v>
      </c>
      <c r="AX105" s="5495" t="str">
        <f>IF(IFERROR(SEARCH("Adresse PC",TRIM(W105)),0)&gt;0,"▼ receta siguiente",IF(AK105="A",IF(AZ10&lt;&gt;"",AZ10&amp;" - ou.or.o ❾ + or - &gt;",""),""))</f>
        <v/>
      </c>
      <c r="AY105" s="810"/>
      <c r="AZ105" s="810"/>
      <c r="BA105" s="788" t="str">
        <f t="shared" si="52"/>
        <v/>
      </c>
      <c r="BB105" s="789" t="str">
        <f>IF(AK105="A",IF(AQ105,IF(AND(AW105&lt;&gt;"",N(AW105)&gt;0),IFERROR(IFERROR(_xlfn.XLOOKUP(AP105,BP10:BP57,BT10:BT57),IFERROR(_xlfn.XLOOKUP(AP105,BQ10:BQ57,BT10:BT57),_xlfn.XLOOKUP(AP105,BR10:BR57,BT10:BT57,""))),""),""),""),"")</f>
        <v/>
      </c>
      <c r="BC105" s="811" cm="1">
        <f t="array" ref="BC105">IF(NOT(AQ105),0,IF(OR(BA105="",N(BA105)&lt;=0.000000001),"",IF(OR(AU105="",N(AU105)&lt;=0.000000001),0,IF(ISNUMBER(BA105),IFERROR(_xlfn.LET(_xlpm.ai_test,TRIM(AP105),_xlpm.r,IFERROR(_xlfn.XLOOKUP(_xlpm.ai_test,BP16:BP63,ROW(BP16:BP63),0,1),IFERROR(_xlfn.XLOOKUP(_xlpm.ai_test,BQ16:BQ63,ROW(BQ16:BQ63),0,1),_xlfn.XLOOKUP(_xlpm.ai_test,BR16:BR63,ROW(BR16:BR63),0,1))),_xlpm.p,_xlpm.r-MIN(ROW(BP16:BP63))+1,_xlpm.f,INDEX(BS16:BS63,_xlpm.p),_xlpm.u,INDEX(BT16:BT63,_xlpm.p),_xlpm.s,INDEX(BV16:BV63,_xlpm.p),_xlpm.q,N(BA105)/_xlpm.f,IF(_xlpm.q&gt;=_xlpm.s,ROUND(_xlpm.q,1)&amp;" "&amp;_xlpm.ai_test&amp;" = "&amp;ROUND(_xlpm.q*_xlpm.f,1)&amp;" "&amp;_xlpm.u,ROUND(_xlpm.q,1)&amp;" "&amp;_xlpm.ai_test)),""),""))))</f>
        <v>0</v>
      </c>
      <c r="BD105" s="801"/>
      <c r="BE105" s="788" t="str">
        <f t="shared" si="64"/>
        <v/>
      </c>
      <c r="BF105" s="789" t="str">
        <f t="shared" si="65"/>
        <v/>
      </c>
      <c r="BG105" s="790">
        <f t="shared" si="70"/>
        <v>0</v>
      </c>
      <c r="BH105" s="791" t="str">
        <f t="shared" si="71"/>
        <v/>
      </c>
      <c r="BI105" s="792"/>
      <c r="BJ105" s="793">
        <f t="shared" si="69"/>
        <v>0</v>
      </c>
      <c r="BK105" s="794" t="str">
        <f t="shared" si="66"/>
        <v/>
      </c>
      <c r="BL105" s="227" t="s">
        <v>21</v>
      </c>
      <c r="BM105" s="773">
        <f t="shared" si="55"/>
        <v>0</v>
      </c>
      <c r="BN105" s="774">
        <f t="shared" si="56"/>
        <v>0</v>
      </c>
      <c r="BP105" s="229"/>
      <c r="BQ105" s="229"/>
      <c r="BR105" s="229"/>
      <c r="BS105" s="229"/>
      <c r="BT105" s="229"/>
      <c r="BU105" s="229"/>
      <c r="BV105" s="229"/>
      <c r="BW105" s="229"/>
      <c r="BX105" s="229"/>
      <c r="BY105" s="229"/>
      <c r="BZ105" s="229"/>
      <c r="CA105" s="229"/>
      <c r="CB105" s="229"/>
      <c r="CC105"/>
      <c r="CD105" s="781" t="str">
        <f t="shared" si="46"/>
        <v>►</v>
      </c>
      <c r="CE105"/>
      <c r="CF105"/>
      <c r="CG105"/>
      <c r="CH105"/>
      <c r="CI105"/>
      <c r="CJ105" s="719"/>
      <c r="DI105" s="3">
        <v>1</v>
      </c>
    </row>
    <row r="106" spans="1:113" s="627" customFormat="1" ht="21" customHeight="1">
      <c r="A106" s="701" t="s">
        <v>21</v>
      </c>
      <c r="B106" s="2265" t="str" cm="1">
        <f t="array" ref="B106">SUMPRODUCT(--(D106:J106&lt;&gt;""), LEN(TRIM(SUBSTITUTE(D106:J106, CHAR(160), "")))) &amp; " Car."</f>
        <v>0 Car.</v>
      </c>
      <c r="C106" s="1376" t="str">
        <f>IF(ISBLANK(D106),"",LARGE(C13:C105,1)+1)</f>
        <v/>
      </c>
      <c r="D106" s="1833"/>
      <c r="E106" s="1810"/>
      <c r="F106" s="1810"/>
      <c r="G106" s="1810"/>
      <c r="H106" s="1810"/>
      <c r="I106" s="1810"/>
      <c r="J106" s="1810"/>
      <c r="K106" s="1810"/>
      <c r="L106" s="1811"/>
      <c r="M106" s="9"/>
      <c r="N106" s="162" t="str">
        <f t="shared" si="47"/>
        <v>►</v>
      </c>
      <c r="O106" s="1616"/>
      <c r="P106" s="9"/>
      <c r="Q106" s="25" t="s">
        <v>15</v>
      </c>
      <c r="R106" s="31"/>
      <c r="S106" s="32"/>
      <c r="T106" s="31"/>
      <c r="U106" s="33"/>
      <c r="V106" s="1967"/>
      <c r="W106" s="1805"/>
      <c r="X106" s="91"/>
      <c r="Y106" s="1806"/>
      <c r="Z106" s="1968"/>
      <c r="AA106" s="2244"/>
      <c r="AB106" s="1969"/>
      <c r="AC106" s="1365"/>
      <c r="AD106" s="95"/>
      <c r="AE106" s="1326"/>
      <c r="AF106" s="97"/>
      <c r="AG106" s="1737"/>
      <c r="AH106" s="1970"/>
      <c r="AI106" s="99"/>
      <c r="AJ106" s="1809"/>
      <c r="AK106" s="6120" t="str">
        <f t="shared" si="51"/>
        <v>►</v>
      </c>
      <c r="AL106" s="781" t="str">
        <f t="shared" si="53"/>
        <v>►</v>
      </c>
      <c r="AM106" s="5498" t="str">
        <f t="shared" si="57"/>
        <v/>
      </c>
      <c r="AN106" s="783" t="str">
        <f t="shared" si="58"/>
        <v/>
      </c>
      <c r="AO106" s="782" t="str">
        <f t="shared" si="59"/>
        <v/>
      </c>
      <c r="AP106" s="783" t="str">
        <f t="shared" si="60"/>
        <v/>
      </c>
      <c r="AQ106" s="2083" t="b">
        <f>AND(Q106="A",COUNTIF(BP16:BR63,TRIM(Z106))&gt;0)</f>
        <v>0</v>
      </c>
      <c r="AR106" s="797" t="str">
        <f>IF(AL106&lt;&gt;"A","",IFERROR(IFERROR(_xlfn.XLOOKUP(TRIM(SUBSTITUTE(Z106,CHAR(160)," ")),BP16:BP63,BS16:BS63),IFERROR(_xlfn.XLOOKUP(TRIM(SUBSTITUTE(Z106,CHAR(160)," ")),BQ16:BQ63,BS16:BS63),_xlfn.XLOOKUP(TRIM(SUBSTITUTE(Z106,CHAR(160)," ")),BR16:BR63,BS16:BS63)))*Y106*IF(ISBLANK(V106),1,V106),0))</f>
        <v/>
      </c>
      <c r="AS106" s="784" t="str">
        <f t="shared" si="54"/>
        <v/>
      </c>
      <c r="AT106" s="1315" t="str">
        <f t="shared" si="61"/>
        <v/>
      </c>
      <c r="AU106" s="785">
        <f t="shared" si="62"/>
        <v>0</v>
      </c>
      <c r="AV106" s="785">
        <f t="shared" si="63"/>
        <v>0</v>
      </c>
      <c r="AW106" s="798">
        <f>IF(AK106="A",AY10,0)</f>
        <v>0</v>
      </c>
      <c r="AX106" s="5496" t="str">
        <f>IF(IFERROR(SEARCH("Adresse PC",TRIM(W106)),0)&gt;0,"▼ receta siguiente",IF(AK106="A",IF(AZ10&lt;&gt;"",AZ10&amp;" - ou.or.o ❾ + or - &gt;",""),""))</f>
        <v/>
      </c>
      <c r="AY106" s="810"/>
      <c r="AZ106" s="810"/>
      <c r="BA106" s="799" t="str">
        <f t="shared" si="52"/>
        <v/>
      </c>
      <c r="BB106" s="800" t="str">
        <f>IF(AK106="A",IF(AQ106,IF(AND(AW106&lt;&gt;"",N(AW106)&gt;0),IFERROR(IFERROR(_xlfn.XLOOKUP(AP106,BP10:BP57,BT10:BT57),IFERROR(_xlfn.XLOOKUP(AP106,BQ10:BQ57,BT10:BT57),_xlfn.XLOOKUP(AP106,BR10:BR57,BT10:BT57,""))),""),""),""),"")</f>
        <v/>
      </c>
      <c r="BC106" s="813" cm="1">
        <f t="array" ref="BC106">IF(NOT(AQ106),0,IF(OR(BA106="",N(BA106)&lt;=0.000000001),"",IF(OR(AU106="",N(AU106)&lt;=0.000000001),0,IF(ISNUMBER(BA106),IFERROR(_xlfn.LET(_xlpm.ai_test,TRIM(AP106),_xlpm.r,IFERROR(_xlfn.XLOOKUP(_xlpm.ai_test,BP16:BP63,ROW(BP16:BP63),0,1),IFERROR(_xlfn.XLOOKUP(_xlpm.ai_test,BQ16:BQ63,ROW(BQ16:BQ63),0,1),_xlfn.XLOOKUP(_xlpm.ai_test,BR16:BR63,ROW(BR16:BR63),0,1))),_xlpm.p,_xlpm.r-MIN(ROW(BP16:BP63))+1,_xlpm.f,INDEX(BS16:BS63,_xlpm.p),_xlpm.u,INDEX(BT16:BT63,_xlpm.p),_xlpm.s,INDEX(BV16:BV63,_xlpm.p),_xlpm.q,N(BA106)/_xlpm.f,IF(_xlpm.q&gt;=_xlpm.s,ROUND(_xlpm.q,1)&amp;" "&amp;_xlpm.ai_test&amp;" = "&amp;ROUND(_xlpm.q*_xlpm.f,1)&amp;" "&amp;_xlpm.u,ROUND(_xlpm.q,1)&amp;" "&amp;_xlpm.ai_test)),""),""))))</f>
        <v>0</v>
      </c>
      <c r="BD106" s="801"/>
      <c r="BE106" s="799" t="str">
        <f t="shared" si="64"/>
        <v/>
      </c>
      <c r="BF106" s="800" t="str">
        <f t="shared" si="65"/>
        <v/>
      </c>
      <c r="BG106" s="802">
        <f t="shared" si="70"/>
        <v>0</v>
      </c>
      <c r="BH106" s="803" t="str">
        <f t="shared" si="71"/>
        <v/>
      </c>
      <c r="BI106" s="792"/>
      <c r="BJ106" s="804">
        <f t="shared" si="69"/>
        <v>0</v>
      </c>
      <c r="BK106" s="794" t="str">
        <f t="shared" si="66"/>
        <v/>
      </c>
      <c r="BL106" s="227" t="s">
        <v>21</v>
      </c>
      <c r="BM106" s="773">
        <f t="shared" si="55"/>
        <v>0</v>
      </c>
      <c r="BN106" s="774">
        <f t="shared" si="56"/>
        <v>0</v>
      </c>
      <c r="BP106" s="874" t="s">
        <v>796</v>
      </c>
      <c r="BQ106" s="229"/>
      <c r="BR106" s="229"/>
      <c r="BS106" s="229"/>
      <c r="BT106" s="229"/>
      <c r="BU106" s="229"/>
      <c r="BV106" s="229"/>
      <c r="BW106" s="229"/>
      <c r="BX106" s="229"/>
      <c r="BY106" s="229"/>
      <c r="BZ106" s="229"/>
      <c r="CA106" s="229"/>
      <c r="CB106" s="229"/>
      <c r="CC106"/>
      <c r="CD106" s="781" t="str">
        <f t="shared" si="46"/>
        <v>►</v>
      </c>
      <c r="CE106"/>
      <c r="CF106"/>
      <c r="CG106"/>
      <c r="CH106"/>
      <c r="CI106"/>
      <c r="CJ106" s="719"/>
      <c r="DI106" s="3">
        <v>1</v>
      </c>
    </row>
    <row r="107" spans="1:113" s="627" customFormat="1" ht="21" customHeight="1">
      <c r="A107" s="701" t="s">
        <v>21</v>
      </c>
      <c r="B107" s="2265" t="str" cm="1">
        <f t="array" ref="B107">SUMPRODUCT(--(D107:J107&lt;&gt;""), LEN(TRIM(SUBSTITUTE(D107:J107, CHAR(160), "")))) &amp; " Car."</f>
        <v>0 Car.</v>
      </c>
      <c r="C107" s="1376" t="str">
        <f>IF(ISBLANK(D107),"",LARGE(C13:C106,1)+1)</f>
        <v/>
      </c>
      <c r="D107" s="1833"/>
      <c r="E107" s="1810"/>
      <c r="F107" s="1810"/>
      <c r="G107" s="1810"/>
      <c r="H107" s="1810"/>
      <c r="I107" s="1810"/>
      <c r="J107" s="1810"/>
      <c r="K107" s="1810"/>
      <c r="L107" s="1811"/>
      <c r="M107" s="9"/>
      <c r="N107" s="162" t="str">
        <f t="shared" si="47"/>
        <v>►</v>
      </c>
      <c r="O107" s="1616"/>
      <c r="P107" s="9"/>
      <c r="Q107" s="25" t="s">
        <v>15</v>
      </c>
      <c r="R107" s="31"/>
      <c r="S107" s="32"/>
      <c r="T107" s="31"/>
      <c r="U107" s="33"/>
      <c r="V107" s="1967"/>
      <c r="W107" s="1805"/>
      <c r="X107" s="91"/>
      <c r="Y107" s="1806"/>
      <c r="Z107" s="1968"/>
      <c r="AA107" s="2244"/>
      <c r="AB107" s="1969"/>
      <c r="AC107" s="1365"/>
      <c r="AD107" s="95"/>
      <c r="AE107" s="1326"/>
      <c r="AF107" s="97"/>
      <c r="AG107" s="1737"/>
      <c r="AH107" s="1970"/>
      <c r="AI107" s="99"/>
      <c r="AJ107" s="1809"/>
      <c r="AK107" s="6120" t="str">
        <f t="shared" si="51"/>
        <v>►</v>
      </c>
      <c r="AL107" s="781" t="str">
        <f t="shared" si="53"/>
        <v>►</v>
      </c>
      <c r="AM107" s="5499" t="str">
        <f t="shared" si="57"/>
        <v/>
      </c>
      <c r="AN107" s="783" t="str">
        <f t="shared" si="58"/>
        <v/>
      </c>
      <c r="AO107" s="782" t="str">
        <f t="shared" si="59"/>
        <v/>
      </c>
      <c r="AP107" s="783" t="str">
        <f t="shared" si="60"/>
        <v/>
      </c>
      <c r="AQ107" s="2083" t="b">
        <f>AND(Q107="A",COUNTIF(BP16:BR63,TRIM(Z107))&gt;0)</f>
        <v>0</v>
      </c>
      <c r="AR107" s="797" t="str">
        <f>IF(AL107&lt;&gt;"A","",IFERROR(IFERROR(_xlfn.XLOOKUP(TRIM(SUBSTITUTE(Z107,CHAR(160)," ")),BP16:BP63,BS16:BS63),IFERROR(_xlfn.XLOOKUP(TRIM(SUBSTITUTE(Z107,CHAR(160)," ")),BQ16:BQ63,BS16:BS63),_xlfn.XLOOKUP(TRIM(SUBSTITUTE(Z107,CHAR(160)," ")),BR16:BR63,BS16:BS63)))*Y107*IF(ISBLANK(V107),1,V107),0))</f>
        <v/>
      </c>
      <c r="AS107" s="784" t="str">
        <f t="shared" si="54"/>
        <v/>
      </c>
      <c r="AT107" s="1315" t="str">
        <f t="shared" si="61"/>
        <v/>
      </c>
      <c r="AU107" s="785">
        <f t="shared" si="62"/>
        <v>0</v>
      </c>
      <c r="AV107" s="785">
        <f t="shared" si="63"/>
        <v>0</v>
      </c>
      <c r="AW107" s="786">
        <f>IF(AK107="A",AY10,0)</f>
        <v>0</v>
      </c>
      <c r="AX107" s="5495" t="str">
        <f>IF(IFERROR(SEARCH("Adresse PC",TRIM(W107)),0)&gt;0,"▼ receta siguiente",IF(AK107="A",IF(AZ10&lt;&gt;"",AZ10&amp;" - ou.or.o ❾ + or - &gt;",""),""))</f>
        <v/>
      </c>
      <c r="AY107" s="810"/>
      <c r="AZ107" s="810"/>
      <c r="BA107" s="788" t="str">
        <f t="shared" si="52"/>
        <v/>
      </c>
      <c r="BB107" s="789" t="str">
        <f>IF(AK107="A",IF(AQ107,IF(AND(AW107&lt;&gt;"",N(AW107)&gt;0),IFERROR(IFERROR(_xlfn.XLOOKUP(AP107,BP10:BP57,BT10:BT57),IFERROR(_xlfn.XLOOKUP(AP107,BQ10:BQ57,BT10:BT57),_xlfn.XLOOKUP(AP107,BR10:BR57,BT10:BT57,""))),""),""),""),"")</f>
        <v/>
      </c>
      <c r="BC107" s="811" cm="1">
        <f t="array" ref="BC107">IF(NOT(AQ107),0,IF(OR(BA107="",N(BA107)&lt;=0.000000001),"",IF(OR(AU107="",N(AU107)&lt;=0.000000001),0,IF(ISNUMBER(BA107),IFERROR(_xlfn.LET(_xlpm.ai_test,TRIM(AP107),_xlpm.r,IFERROR(_xlfn.XLOOKUP(_xlpm.ai_test,BP16:BP63,ROW(BP16:BP63),0,1),IFERROR(_xlfn.XLOOKUP(_xlpm.ai_test,BQ16:BQ63,ROW(BQ16:BQ63),0,1),_xlfn.XLOOKUP(_xlpm.ai_test,BR16:BR63,ROW(BR16:BR63),0,1))),_xlpm.p,_xlpm.r-MIN(ROW(BP16:BP63))+1,_xlpm.f,INDEX(BS16:BS63,_xlpm.p),_xlpm.u,INDEX(BT16:BT63,_xlpm.p),_xlpm.s,INDEX(BV16:BV63,_xlpm.p),_xlpm.q,N(BA107)/_xlpm.f,IF(_xlpm.q&gt;=_xlpm.s,ROUND(_xlpm.q,1)&amp;" "&amp;_xlpm.ai_test&amp;" = "&amp;ROUND(_xlpm.q*_xlpm.f,1)&amp;" "&amp;_xlpm.u,ROUND(_xlpm.q,1)&amp;" "&amp;_xlpm.ai_test)),""),""))))</f>
        <v>0</v>
      </c>
      <c r="BD107" s="801"/>
      <c r="BE107" s="788" t="str">
        <f t="shared" si="64"/>
        <v/>
      </c>
      <c r="BF107" s="789" t="str">
        <f t="shared" si="65"/>
        <v/>
      </c>
      <c r="BG107" s="790">
        <f t="shared" si="70"/>
        <v>0</v>
      </c>
      <c r="BH107" s="791" t="str">
        <f t="shared" si="71"/>
        <v/>
      </c>
      <c r="BI107" s="792"/>
      <c r="BJ107" s="793">
        <f t="shared" si="69"/>
        <v>0</v>
      </c>
      <c r="BK107" s="794" t="str">
        <f t="shared" si="66"/>
        <v/>
      </c>
      <c r="BL107" s="227" t="s">
        <v>21</v>
      </c>
      <c r="BM107" s="773">
        <f t="shared" si="55"/>
        <v>0</v>
      </c>
      <c r="BN107" s="774">
        <f t="shared" si="56"/>
        <v>0</v>
      </c>
      <c r="BP107" s="879" t="s">
        <v>1780</v>
      </c>
      <c r="BQ107" s="229"/>
      <c r="BR107" s="229"/>
      <c r="BS107" s="229"/>
      <c r="BT107" s="229"/>
      <c r="BU107" s="229"/>
      <c r="BV107" s="229"/>
      <c r="BW107" s="229"/>
      <c r="BX107" s="229"/>
      <c r="BY107" s="229"/>
      <c r="BZ107" s="229"/>
      <c r="CA107" s="229"/>
      <c r="CB107" s="229"/>
      <c r="CC107"/>
      <c r="CD107" s="781" t="str">
        <f t="shared" si="46"/>
        <v>►</v>
      </c>
      <c r="CE107"/>
      <c r="CF107"/>
      <c r="CG107"/>
      <c r="CH107"/>
      <c r="CI107"/>
      <c r="CJ107" s="719"/>
      <c r="DI107" s="3">
        <v>1</v>
      </c>
    </row>
    <row r="108" spans="1:113" s="627" customFormat="1" ht="21" customHeight="1">
      <c r="A108" s="701" t="s">
        <v>21</v>
      </c>
      <c r="B108" s="2265" t="str" cm="1">
        <f t="array" ref="B108">SUMPRODUCT(--(D108:J108&lt;&gt;""), LEN(TRIM(SUBSTITUTE(D108:J108, CHAR(160), "")))) &amp; " Car."</f>
        <v>0 Car.</v>
      </c>
      <c r="C108" s="1376" t="str">
        <f>IF(ISBLANK(D108),"",LARGE(C13:C107,1)+1)</f>
        <v/>
      </c>
      <c r="D108" s="1833"/>
      <c r="E108" s="1810"/>
      <c r="F108" s="1810"/>
      <c r="G108" s="1810"/>
      <c r="H108" s="1810"/>
      <c r="I108" s="1810"/>
      <c r="J108" s="1810"/>
      <c r="K108" s="1810"/>
      <c r="L108" s="1811"/>
      <c r="M108" s="9"/>
      <c r="N108" s="162" t="str">
        <f t="shared" si="47"/>
        <v>►</v>
      </c>
      <c r="O108" s="1616"/>
      <c r="P108" s="9"/>
      <c r="Q108" s="25" t="s">
        <v>15</v>
      </c>
      <c r="R108" s="31"/>
      <c r="S108" s="32"/>
      <c r="T108" s="31"/>
      <c r="U108" s="33"/>
      <c r="V108" s="1967"/>
      <c r="W108" s="1805"/>
      <c r="X108" s="91"/>
      <c r="Y108" s="1806"/>
      <c r="Z108" s="1968"/>
      <c r="AA108" s="2244"/>
      <c r="AB108" s="1969"/>
      <c r="AC108" s="1365"/>
      <c r="AD108" s="95"/>
      <c r="AE108" s="1326"/>
      <c r="AF108" s="97"/>
      <c r="AG108" s="1737"/>
      <c r="AH108" s="1970"/>
      <c r="AI108" s="99"/>
      <c r="AJ108" s="1809"/>
      <c r="AK108" s="6120" t="str">
        <f t="shared" si="51"/>
        <v>►</v>
      </c>
      <c r="AL108" s="781" t="str">
        <f t="shared" si="53"/>
        <v>►</v>
      </c>
      <c r="AM108" s="5498" t="str">
        <f t="shared" si="57"/>
        <v/>
      </c>
      <c r="AN108" s="783" t="str">
        <f t="shared" si="58"/>
        <v/>
      </c>
      <c r="AO108" s="782" t="str">
        <f t="shared" si="59"/>
        <v/>
      </c>
      <c r="AP108" s="783" t="str">
        <f t="shared" si="60"/>
        <v/>
      </c>
      <c r="AQ108" s="2083" t="b">
        <f>AND(Q108="A",COUNTIF(BP16:BR63,TRIM(Z108))&gt;0)</f>
        <v>0</v>
      </c>
      <c r="AR108" s="797" t="str">
        <f>IF(AL108&lt;&gt;"A","",IFERROR(IFERROR(_xlfn.XLOOKUP(TRIM(SUBSTITUTE(Z108,CHAR(160)," ")),BP16:BP63,BS16:BS63),IFERROR(_xlfn.XLOOKUP(TRIM(SUBSTITUTE(Z108,CHAR(160)," ")),BQ16:BQ63,BS16:BS63),_xlfn.XLOOKUP(TRIM(SUBSTITUTE(Z108,CHAR(160)," ")),BR16:BR63,BS16:BS63)))*Y108*IF(ISBLANK(V108),1,V108),0))</f>
        <v/>
      </c>
      <c r="AS108" s="784" t="str">
        <f t="shared" si="54"/>
        <v/>
      </c>
      <c r="AT108" s="1315" t="str">
        <f t="shared" si="61"/>
        <v/>
      </c>
      <c r="AU108" s="785">
        <f t="shared" si="62"/>
        <v>0</v>
      </c>
      <c r="AV108" s="785">
        <f t="shared" si="63"/>
        <v>0</v>
      </c>
      <c r="AW108" s="798">
        <f>IF(AK108="A",AY10,0)</f>
        <v>0</v>
      </c>
      <c r="AX108" s="5496" t="str">
        <f>IF(IFERROR(SEARCH("Adresse PC",TRIM(W108)),0)&gt;0,"▼ receta siguiente",IF(AK108="A",IF(AZ10&lt;&gt;"",AZ10&amp;" - ou.or.o ❾ + or - &gt;",""),""))</f>
        <v/>
      </c>
      <c r="AY108" s="810"/>
      <c r="AZ108" s="810"/>
      <c r="BA108" s="799" t="str">
        <f t="shared" si="52"/>
        <v/>
      </c>
      <c r="BB108" s="800" t="str">
        <f>IF(AK108="A",IF(AQ108,IF(AND(AW108&lt;&gt;"",N(AW108)&gt;0),IFERROR(IFERROR(_xlfn.XLOOKUP(AP108,BP10:BP57,BT10:BT57),IFERROR(_xlfn.XLOOKUP(AP108,BQ10:BQ57,BT10:BT57),_xlfn.XLOOKUP(AP108,BR10:BR57,BT10:BT57,""))),""),""),""),"")</f>
        <v/>
      </c>
      <c r="BC108" s="813" cm="1">
        <f t="array" ref="BC108">IF(NOT(AQ108),0,IF(OR(BA108="",N(BA108)&lt;=0.000000001),"",IF(OR(AU108="",N(AU108)&lt;=0.000000001),0,IF(ISNUMBER(BA108),IFERROR(_xlfn.LET(_xlpm.ai_test,TRIM(AP108),_xlpm.r,IFERROR(_xlfn.XLOOKUP(_xlpm.ai_test,BP16:BP63,ROW(BP16:BP63),0,1),IFERROR(_xlfn.XLOOKUP(_xlpm.ai_test,BQ16:BQ63,ROW(BQ16:BQ63),0,1),_xlfn.XLOOKUP(_xlpm.ai_test,BR16:BR63,ROW(BR16:BR63),0,1))),_xlpm.p,_xlpm.r-MIN(ROW(BP16:BP63))+1,_xlpm.f,INDEX(BS16:BS63,_xlpm.p),_xlpm.u,INDEX(BT16:BT63,_xlpm.p),_xlpm.s,INDEX(BV16:BV63,_xlpm.p),_xlpm.q,N(BA108)/_xlpm.f,IF(_xlpm.q&gt;=_xlpm.s,ROUND(_xlpm.q,1)&amp;" "&amp;_xlpm.ai_test&amp;" = "&amp;ROUND(_xlpm.q*_xlpm.f,1)&amp;" "&amp;_xlpm.u,ROUND(_xlpm.q,1)&amp;" "&amp;_xlpm.ai_test)),""),""))))</f>
        <v>0</v>
      </c>
      <c r="BD108" s="801"/>
      <c r="BE108" s="799" t="str">
        <f t="shared" si="64"/>
        <v/>
      </c>
      <c r="BF108" s="800" t="str">
        <f t="shared" si="65"/>
        <v/>
      </c>
      <c r="BG108" s="802">
        <f t="shared" si="70"/>
        <v>0</v>
      </c>
      <c r="BH108" s="803" t="str">
        <f t="shared" si="71"/>
        <v/>
      </c>
      <c r="BI108" s="792"/>
      <c r="BJ108" s="804">
        <f t="shared" si="69"/>
        <v>0</v>
      </c>
      <c r="BK108" s="794" t="str">
        <f t="shared" si="66"/>
        <v/>
      </c>
      <c r="BL108" s="227" t="s">
        <v>21</v>
      </c>
      <c r="BM108" s="773">
        <f t="shared" si="55"/>
        <v>0</v>
      </c>
      <c r="BN108" s="774">
        <f t="shared" si="56"/>
        <v>0</v>
      </c>
      <c r="BP108" s="6854" t="s">
        <v>1781</v>
      </c>
      <c r="BQ108" s="6854"/>
      <c r="BR108" s="6854"/>
      <c r="BS108" s="6854"/>
      <c r="BT108" s="6854"/>
      <c r="BU108" s="6854"/>
      <c r="BV108" s="6854"/>
      <c r="BW108" s="6854"/>
      <c r="BX108" s="6854"/>
      <c r="BY108" s="6854"/>
      <c r="BZ108" s="6854"/>
      <c r="CA108" s="6854"/>
      <c r="CB108" s="6854"/>
      <c r="CC108"/>
      <c r="CD108" s="781" t="str">
        <f t="shared" si="46"/>
        <v>►</v>
      </c>
      <c r="CE108"/>
      <c r="CF108"/>
      <c r="CG108"/>
      <c r="CH108"/>
      <c r="CI108"/>
      <c r="CJ108" s="719"/>
      <c r="DI108" s="3">
        <v>1</v>
      </c>
    </row>
    <row r="109" spans="1:113" s="627" customFormat="1" ht="21" customHeight="1">
      <c r="A109" s="701" t="s">
        <v>21</v>
      </c>
      <c r="B109" s="2265" t="str" cm="1">
        <f t="array" ref="B109">SUMPRODUCT(--(D109:J109&lt;&gt;""), LEN(TRIM(SUBSTITUTE(D109:J109, CHAR(160), "")))) &amp; " Car."</f>
        <v>0 Car.</v>
      </c>
      <c r="C109" s="1376" t="str">
        <f>IF(ISBLANK(D109),"",LARGE(C13:C108,1)+1)</f>
        <v/>
      </c>
      <c r="D109" s="1833"/>
      <c r="E109" s="1810"/>
      <c r="F109" s="1810"/>
      <c r="G109" s="1810"/>
      <c r="H109" s="1810"/>
      <c r="I109" s="1810"/>
      <c r="J109" s="1810"/>
      <c r="K109" s="1810"/>
      <c r="L109" s="1811"/>
      <c r="M109" s="9"/>
      <c r="N109" s="162" t="str">
        <f t="shared" si="47"/>
        <v>►</v>
      </c>
      <c r="O109" s="1616"/>
      <c r="P109" s="9"/>
      <c r="Q109" s="25" t="s">
        <v>15</v>
      </c>
      <c r="R109" s="31"/>
      <c r="S109" s="32"/>
      <c r="T109" s="31"/>
      <c r="U109" s="33"/>
      <c r="V109" s="1967"/>
      <c r="W109" s="1805"/>
      <c r="X109" s="91"/>
      <c r="Y109" s="1806"/>
      <c r="Z109" s="1968"/>
      <c r="AA109" s="2244"/>
      <c r="AB109" s="1969"/>
      <c r="AC109" s="1365"/>
      <c r="AD109" s="95"/>
      <c r="AE109" s="1326"/>
      <c r="AF109" s="97"/>
      <c r="AG109" s="1737"/>
      <c r="AH109" s="1970"/>
      <c r="AI109" s="99"/>
      <c r="AJ109" s="1809"/>
      <c r="AK109" s="6120" t="str">
        <f t="shared" si="51"/>
        <v>►</v>
      </c>
      <c r="AL109" s="781" t="str">
        <f t="shared" si="53"/>
        <v>►</v>
      </c>
      <c r="AM109" s="5499" t="str">
        <f t="shared" si="57"/>
        <v/>
      </c>
      <c r="AN109" s="783" t="str">
        <f t="shared" si="58"/>
        <v/>
      </c>
      <c r="AO109" s="782" t="str">
        <f t="shared" si="59"/>
        <v/>
      </c>
      <c r="AP109" s="783" t="str">
        <f t="shared" si="60"/>
        <v/>
      </c>
      <c r="AQ109" s="2083" t="b">
        <f>AND(Q109="A",COUNTIF(BP16:BR63,TRIM(Z109))&gt;0)</f>
        <v>0</v>
      </c>
      <c r="AR109" s="797" t="str">
        <f>IF(AL109&lt;&gt;"A","",IFERROR(IFERROR(_xlfn.XLOOKUP(TRIM(SUBSTITUTE(Z109,CHAR(160)," ")),BP16:BP63,BS16:BS63),IFERROR(_xlfn.XLOOKUP(TRIM(SUBSTITUTE(Z109,CHAR(160)," ")),BQ16:BQ63,BS16:BS63),_xlfn.XLOOKUP(TRIM(SUBSTITUTE(Z109,CHAR(160)," ")),BR16:BR63,BS16:BS63)))*Y109*IF(ISBLANK(V109),1,V109),0))</f>
        <v/>
      </c>
      <c r="AS109" s="784" t="str">
        <f t="shared" si="54"/>
        <v/>
      </c>
      <c r="AT109" s="1315" t="str">
        <f t="shared" si="61"/>
        <v/>
      </c>
      <c r="AU109" s="785">
        <f t="shared" si="62"/>
        <v>0</v>
      </c>
      <c r="AV109" s="785">
        <f t="shared" si="63"/>
        <v>0</v>
      </c>
      <c r="AW109" s="786">
        <f>IF(AK109="A",AY10,0)</f>
        <v>0</v>
      </c>
      <c r="AX109" s="5495" t="str">
        <f>IF(IFERROR(SEARCH("Adresse PC",TRIM(W109)),0)&gt;0,"▼ receta siguiente",IF(AK109="A",IF(AZ10&lt;&gt;"",AZ10&amp;" - ou.or.o ❾ + or - &gt;",""),""))</f>
        <v/>
      </c>
      <c r="AY109" s="810"/>
      <c r="AZ109" s="810"/>
      <c r="BA109" s="788" t="str">
        <f t="shared" si="52"/>
        <v/>
      </c>
      <c r="BB109" s="789" t="str">
        <f>IF(AK109="A",IF(AQ109,IF(AND(AW109&lt;&gt;"",N(AW109)&gt;0),IFERROR(IFERROR(_xlfn.XLOOKUP(AP109,BP10:BP57,BT10:BT57),IFERROR(_xlfn.XLOOKUP(AP109,BQ10:BQ57,BT10:BT57),_xlfn.XLOOKUP(AP109,BR10:BR57,BT10:BT57,""))),""),""),""),"")</f>
        <v/>
      </c>
      <c r="BC109" s="811" cm="1">
        <f t="array" ref="BC109">IF(NOT(AQ109),0,IF(OR(BA109="",N(BA109)&lt;=0.000000001),"",IF(OR(AU109="",N(AU109)&lt;=0.000000001),0,IF(ISNUMBER(BA109),IFERROR(_xlfn.LET(_xlpm.ai_test,TRIM(AP109),_xlpm.r,IFERROR(_xlfn.XLOOKUP(_xlpm.ai_test,BP16:BP63,ROW(BP16:BP63),0,1),IFERROR(_xlfn.XLOOKUP(_xlpm.ai_test,BQ16:BQ63,ROW(BQ16:BQ63),0,1),_xlfn.XLOOKUP(_xlpm.ai_test,BR16:BR63,ROW(BR16:BR63),0,1))),_xlpm.p,_xlpm.r-MIN(ROW(BP16:BP63))+1,_xlpm.f,INDEX(BS16:BS63,_xlpm.p),_xlpm.u,INDEX(BT16:BT63,_xlpm.p),_xlpm.s,INDEX(BV16:BV63,_xlpm.p),_xlpm.q,N(BA109)/_xlpm.f,IF(_xlpm.q&gt;=_xlpm.s,ROUND(_xlpm.q,1)&amp;" "&amp;_xlpm.ai_test&amp;" = "&amp;ROUND(_xlpm.q*_xlpm.f,1)&amp;" "&amp;_xlpm.u,ROUND(_xlpm.q,1)&amp;" "&amp;_xlpm.ai_test)),""),""))))</f>
        <v>0</v>
      </c>
      <c r="BD109" s="801"/>
      <c r="BE109" s="788" t="str">
        <f t="shared" si="64"/>
        <v/>
      </c>
      <c r="BF109" s="789" t="str">
        <f t="shared" si="65"/>
        <v/>
      </c>
      <c r="BG109" s="790">
        <f t="shared" si="70"/>
        <v>0</v>
      </c>
      <c r="BH109" s="791" t="str">
        <f t="shared" si="71"/>
        <v/>
      </c>
      <c r="BI109" s="792"/>
      <c r="BJ109" s="793">
        <f t="shared" si="69"/>
        <v>0</v>
      </c>
      <c r="BK109" s="794" t="str">
        <f t="shared" si="66"/>
        <v/>
      </c>
      <c r="BL109" s="227" t="s">
        <v>21</v>
      </c>
      <c r="BM109" s="773">
        <f t="shared" si="55"/>
        <v>0</v>
      </c>
      <c r="BN109" s="774">
        <f t="shared" si="56"/>
        <v>0</v>
      </c>
      <c r="BP109" s="6854"/>
      <c r="BQ109" s="6854"/>
      <c r="BR109" s="6854"/>
      <c r="BS109" s="6854"/>
      <c r="BT109" s="6854"/>
      <c r="BU109" s="6854"/>
      <c r="BV109" s="6854"/>
      <c r="BW109" s="6854"/>
      <c r="BX109" s="6854"/>
      <c r="BY109" s="6854"/>
      <c r="BZ109" s="6854"/>
      <c r="CA109" s="6854"/>
      <c r="CB109" s="6854"/>
      <c r="CC109"/>
      <c r="CD109" s="781" t="str">
        <f t="shared" si="46"/>
        <v>►</v>
      </c>
      <c r="CE109"/>
      <c r="CF109"/>
      <c r="CG109"/>
      <c r="CH109"/>
      <c r="CI109"/>
      <c r="CJ109" s="719"/>
      <c r="DI109" s="3">
        <v>1</v>
      </c>
    </row>
    <row r="110" spans="1:113" s="627" customFormat="1" ht="21" customHeight="1">
      <c r="A110" s="701" t="s">
        <v>21</v>
      </c>
      <c r="B110" s="2265" t="str" cm="1">
        <f t="array" ref="B110">SUMPRODUCT(--(D110:J110&lt;&gt;""), LEN(TRIM(SUBSTITUTE(D110:J110, CHAR(160), "")))) &amp; " Car."</f>
        <v>0 Car.</v>
      </c>
      <c r="C110" s="1376" t="str">
        <f>IF(ISBLANK(D110),"",LARGE(C13:C109,1)+1)</f>
        <v/>
      </c>
      <c r="D110" s="1833"/>
      <c r="E110" s="1810"/>
      <c r="F110" s="1810"/>
      <c r="G110" s="1810"/>
      <c r="H110" s="1810"/>
      <c r="I110" s="1810"/>
      <c r="J110" s="1810"/>
      <c r="K110" s="1810"/>
      <c r="L110" s="1811"/>
      <c r="M110" s="9"/>
      <c r="N110" s="162" t="str">
        <f t="shared" si="47"/>
        <v>►</v>
      </c>
      <c r="O110" s="1616"/>
      <c r="P110" s="9"/>
      <c r="Q110" s="25" t="s">
        <v>15</v>
      </c>
      <c r="R110" s="31"/>
      <c r="S110" s="32"/>
      <c r="T110" s="31"/>
      <c r="U110" s="33"/>
      <c r="V110" s="1967"/>
      <c r="W110" s="1805"/>
      <c r="X110" s="91"/>
      <c r="Y110" s="1806"/>
      <c r="Z110" s="1968"/>
      <c r="AA110" s="2244"/>
      <c r="AB110" s="1969"/>
      <c r="AC110" s="1365"/>
      <c r="AD110" s="95"/>
      <c r="AE110" s="1326"/>
      <c r="AF110" s="97"/>
      <c r="AG110" s="1737"/>
      <c r="AH110" s="1970"/>
      <c r="AI110" s="99"/>
      <c r="AJ110" s="1809"/>
      <c r="AK110" s="6120" t="str">
        <f t="shared" si="51"/>
        <v>►</v>
      </c>
      <c r="AL110" s="781" t="str">
        <f t="shared" si="53"/>
        <v>►</v>
      </c>
      <c r="AM110" s="5498" t="str">
        <f t="shared" si="57"/>
        <v/>
      </c>
      <c r="AN110" s="783" t="str">
        <f t="shared" si="58"/>
        <v/>
      </c>
      <c r="AO110" s="782" t="str">
        <f t="shared" si="59"/>
        <v/>
      </c>
      <c r="AP110" s="783" t="str">
        <f t="shared" si="60"/>
        <v/>
      </c>
      <c r="AQ110" s="2083" t="b">
        <f>AND(Q110="A",COUNTIF(BP16:BR63,TRIM(Z110))&gt;0)</f>
        <v>0</v>
      </c>
      <c r="AR110" s="797" t="str">
        <f>IF(AL110&lt;&gt;"A","",IFERROR(IFERROR(_xlfn.XLOOKUP(TRIM(SUBSTITUTE(Z110,CHAR(160)," ")),BP16:BP63,BS16:BS63),IFERROR(_xlfn.XLOOKUP(TRIM(SUBSTITUTE(Z110,CHAR(160)," ")),BQ16:BQ63,BS16:BS63),_xlfn.XLOOKUP(TRIM(SUBSTITUTE(Z110,CHAR(160)," ")),BR16:BR63,BS16:BS63)))*Y110*IF(ISBLANK(V110),1,V110),0))</f>
        <v/>
      </c>
      <c r="AS110" s="784" t="str">
        <f t="shared" si="54"/>
        <v/>
      </c>
      <c r="AT110" s="1315" t="str">
        <f t="shared" si="61"/>
        <v/>
      </c>
      <c r="AU110" s="785">
        <f t="shared" si="62"/>
        <v>0</v>
      </c>
      <c r="AV110" s="785">
        <f t="shared" si="63"/>
        <v>0</v>
      </c>
      <c r="AW110" s="798">
        <f>IF(AK110="A",AY10,0)</f>
        <v>0</v>
      </c>
      <c r="AX110" s="5496" t="str">
        <f>IF(IFERROR(SEARCH("Adresse PC",TRIM(W110)),0)&gt;0,"▼ receta siguiente",IF(AK110="A",IF(AZ10&lt;&gt;"",AZ10&amp;" - ou.or.o ❾ + or - &gt;",""),""))</f>
        <v/>
      </c>
      <c r="AY110" s="810"/>
      <c r="AZ110" s="810"/>
      <c r="BA110" s="799" t="str">
        <f t="shared" si="52"/>
        <v/>
      </c>
      <c r="BB110" s="800" t="str">
        <f>IF(AK110="A",IF(AQ110,IF(AND(AW110&lt;&gt;"",N(AW110)&gt;0),IFERROR(IFERROR(_xlfn.XLOOKUP(AP110,BP10:BP57,BT10:BT57),IFERROR(_xlfn.XLOOKUP(AP110,BQ10:BQ57,BT10:BT57),_xlfn.XLOOKUP(AP110,BR10:BR57,BT10:BT57,""))),""),""),""),"")</f>
        <v/>
      </c>
      <c r="BC110" s="813" cm="1">
        <f t="array" ref="BC110">IF(NOT(AQ110),0,IF(OR(BA110="",N(BA110)&lt;=0.000000001),"",IF(OR(AU110="",N(AU110)&lt;=0.000000001),0,IF(ISNUMBER(BA110),IFERROR(_xlfn.LET(_xlpm.ai_test,TRIM(AP110),_xlpm.r,IFERROR(_xlfn.XLOOKUP(_xlpm.ai_test,BP16:BP63,ROW(BP16:BP63),0,1),IFERROR(_xlfn.XLOOKUP(_xlpm.ai_test,BQ16:BQ63,ROW(BQ16:BQ63),0,1),_xlfn.XLOOKUP(_xlpm.ai_test,BR16:BR63,ROW(BR16:BR63),0,1))),_xlpm.p,_xlpm.r-MIN(ROW(BP16:BP63))+1,_xlpm.f,INDEX(BS16:BS63,_xlpm.p),_xlpm.u,INDEX(BT16:BT63,_xlpm.p),_xlpm.s,INDEX(BV16:BV63,_xlpm.p),_xlpm.q,N(BA110)/_xlpm.f,IF(_xlpm.q&gt;=_xlpm.s,ROUND(_xlpm.q,1)&amp;" "&amp;_xlpm.ai_test&amp;" = "&amp;ROUND(_xlpm.q*_xlpm.f,1)&amp;" "&amp;_xlpm.u,ROUND(_xlpm.q,1)&amp;" "&amp;_xlpm.ai_test)),""),""))))</f>
        <v>0</v>
      </c>
      <c r="BD110" s="801"/>
      <c r="BE110" s="799" t="str">
        <f t="shared" si="64"/>
        <v/>
      </c>
      <c r="BF110" s="800" t="str">
        <f t="shared" si="65"/>
        <v/>
      </c>
      <c r="BG110" s="802">
        <f t="shared" si="70"/>
        <v>0</v>
      </c>
      <c r="BH110" s="803" t="str">
        <f t="shared" si="71"/>
        <v/>
      </c>
      <c r="BI110" s="792"/>
      <c r="BJ110" s="804">
        <f t="shared" si="69"/>
        <v>0</v>
      </c>
      <c r="BK110" s="794" t="str">
        <f t="shared" si="66"/>
        <v/>
      </c>
      <c r="BL110" s="227" t="s">
        <v>21</v>
      </c>
      <c r="BM110" s="773">
        <f t="shared" si="55"/>
        <v>0</v>
      </c>
      <c r="BN110" s="774">
        <f t="shared" si="56"/>
        <v>0</v>
      </c>
      <c r="CC110"/>
      <c r="CD110" s="781" t="str">
        <f t="shared" si="46"/>
        <v>►</v>
      </c>
      <c r="CE110"/>
      <c r="CF110"/>
      <c r="CG110"/>
      <c r="CH110"/>
      <c r="CI110"/>
      <c r="CJ110" s="719"/>
      <c r="DI110" s="3">
        <v>1</v>
      </c>
    </row>
    <row r="111" spans="1:113" s="627" customFormat="1" ht="21" customHeight="1">
      <c r="A111" s="701" t="s">
        <v>21</v>
      </c>
      <c r="B111" s="2265" t="str" cm="1">
        <f t="array" ref="B111">SUMPRODUCT(--(D111:J111&lt;&gt;""), LEN(TRIM(SUBSTITUTE(D111:J111, CHAR(160), "")))) &amp; " Car."</f>
        <v>0 Car.</v>
      </c>
      <c r="C111" s="1376" t="str">
        <f>IF(ISBLANK(D111),"",LARGE(C13:C110,1)+1)</f>
        <v/>
      </c>
      <c r="D111" s="1833"/>
      <c r="E111" s="1810"/>
      <c r="F111" s="1810"/>
      <c r="G111" s="1810"/>
      <c r="H111" s="1810"/>
      <c r="I111" s="1810"/>
      <c r="J111" s="1810"/>
      <c r="K111" s="1810"/>
      <c r="L111" s="1811"/>
      <c r="M111" s="9"/>
      <c r="N111" s="162" t="str">
        <f t="shared" si="47"/>
        <v>►</v>
      </c>
      <c r="O111" s="1616"/>
      <c r="P111" s="9"/>
      <c r="Q111" s="25" t="s">
        <v>15</v>
      </c>
      <c r="R111" s="31"/>
      <c r="S111" s="32"/>
      <c r="T111" s="31"/>
      <c r="U111" s="33"/>
      <c r="V111" s="1967"/>
      <c r="W111" s="1805"/>
      <c r="X111" s="91"/>
      <c r="Y111" s="1806"/>
      <c r="Z111" s="1968"/>
      <c r="AA111" s="2244"/>
      <c r="AB111" s="1969"/>
      <c r="AC111" s="1365"/>
      <c r="AD111" s="95"/>
      <c r="AE111" s="1326"/>
      <c r="AF111" s="97"/>
      <c r="AG111" s="1737"/>
      <c r="AH111" s="1970"/>
      <c r="AI111" s="99"/>
      <c r="AJ111" s="1809"/>
      <c r="AK111" s="6120" t="str">
        <f t="shared" si="51"/>
        <v>►</v>
      </c>
      <c r="AL111" s="781" t="str">
        <f t="shared" si="53"/>
        <v>►</v>
      </c>
      <c r="AM111" s="5499" t="str">
        <f t="shared" si="57"/>
        <v/>
      </c>
      <c r="AN111" s="783" t="str">
        <f t="shared" si="58"/>
        <v/>
      </c>
      <c r="AO111" s="782" t="str">
        <f t="shared" si="59"/>
        <v/>
      </c>
      <c r="AP111" s="783" t="str">
        <f t="shared" si="60"/>
        <v/>
      </c>
      <c r="AQ111" s="2083" t="b">
        <f>AND(Q111="A",COUNTIF(BP16:BR63,TRIM(Z111))&gt;0)</f>
        <v>0</v>
      </c>
      <c r="AR111" s="797" t="str">
        <f>IF(AL111&lt;&gt;"A","",IFERROR(IFERROR(_xlfn.XLOOKUP(TRIM(SUBSTITUTE(Z111,CHAR(160)," ")),BP16:BP63,BS16:BS63),IFERROR(_xlfn.XLOOKUP(TRIM(SUBSTITUTE(Z111,CHAR(160)," ")),BQ16:BQ63,BS16:BS63),_xlfn.XLOOKUP(TRIM(SUBSTITUTE(Z111,CHAR(160)," ")),BR16:BR63,BS16:BS63)))*Y111*IF(ISBLANK(V111),1,V111),0))</f>
        <v/>
      </c>
      <c r="AS111" s="784" t="str">
        <f t="shared" si="54"/>
        <v/>
      </c>
      <c r="AT111" s="1315" t="str">
        <f t="shared" si="61"/>
        <v/>
      </c>
      <c r="AU111" s="785">
        <f t="shared" si="62"/>
        <v>0</v>
      </c>
      <c r="AV111" s="785">
        <f t="shared" si="63"/>
        <v>0</v>
      </c>
      <c r="AW111" s="786">
        <f>IF(AK111="A",AY10,0)</f>
        <v>0</v>
      </c>
      <c r="AX111" s="5495" t="str">
        <f>IF(IFERROR(SEARCH("Adresse PC",TRIM(W111)),0)&gt;0,"▼ receta siguiente",IF(AK111="A",IF(AZ10&lt;&gt;"",AZ10&amp;" - ou.or.o ❾ + or - &gt;",""),""))</f>
        <v/>
      </c>
      <c r="AY111" s="810"/>
      <c r="AZ111" s="810"/>
      <c r="BA111" s="788" t="str">
        <f t="shared" si="52"/>
        <v/>
      </c>
      <c r="BB111" s="789" t="str">
        <f>IF(AK111="A",IF(AQ111,IF(AND(AW111&lt;&gt;"",N(AW111)&gt;0),IFERROR(IFERROR(_xlfn.XLOOKUP(AP111,BP10:BP57,BT10:BT57),IFERROR(_xlfn.XLOOKUP(AP111,BQ10:BQ57,BT10:BT57),_xlfn.XLOOKUP(AP111,BR10:BR57,BT10:BT57,""))),""),""),""),"")</f>
        <v/>
      </c>
      <c r="BC111" s="811" cm="1">
        <f t="array" ref="BC111">IF(NOT(AQ111),0,IF(OR(BA111="",N(BA111)&lt;=0.000000001),"",IF(OR(AU111="",N(AU111)&lt;=0.000000001),0,IF(ISNUMBER(BA111),IFERROR(_xlfn.LET(_xlpm.ai_test,TRIM(AP111),_xlpm.r,IFERROR(_xlfn.XLOOKUP(_xlpm.ai_test,BP16:BP63,ROW(BP16:BP63),0,1),IFERROR(_xlfn.XLOOKUP(_xlpm.ai_test,BQ16:BQ63,ROW(BQ16:BQ63),0,1),_xlfn.XLOOKUP(_xlpm.ai_test,BR16:BR63,ROW(BR16:BR63),0,1))),_xlpm.p,_xlpm.r-MIN(ROW(BP16:BP63))+1,_xlpm.f,INDEX(BS16:BS63,_xlpm.p),_xlpm.u,INDEX(BT16:BT63,_xlpm.p),_xlpm.s,INDEX(BV16:BV63,_xlpm.p),_xlpm.q,N(BA111)/_xlpm.f,IF(_xlpm.q&gt;=_xlpm.s,ROUND(_xlpm.q,1)&amp;" "&amp;_xlpm.ai_test&amp;" = "&amp;ROUND(_xlpm.q*_xlpm.f,1)&amp;" "&amp;_xlpm.u,ROUND(_xlpm.q,1)&amp;" "&amp;_xlpm.ai_test)),""),""))))</f>
        <v>0</v>
      </c>
      <c r="BD111" s="801"/>
      <c r="BE111" s="788" t="str">
        <f t="shared" si="64"/>
        <v/>
      </c>
      <c r="BF111" s="789" t="str">
        <f t="shared" si="65"/>
        <v/>
      </c>
      <c r="BG111" s="790">
        <f t="shared" si="70"/>
        <v>0</v>
      </c>
      <c r="BH111" s="791" t="str">
        <f t="shared" si="71"/>
        <v/>
      </c>
      <c r="BI111" s="792"/>
      <c r="BJ111" s="793">
        <f t="shared" si="69"/>
        <v>0</v>
      </c>
      <c r="BK111" s="794" t="str">
        <f t="shared" si="66"/>
        <v/>
      </c>
      <c r="BL111" s="227" t="s">
        <v>21</v>
      </c>
      <c r="BM111" s="773">
        <f t="shared" si="55"/>
        <v>0</v>
      </c>
      <c r="BN111" s="774">
        <f t="shared" si="56"/>
        <v>0</v>
      </c>
      <c r="CC111"/>
      <c r="CD111" s="781" t="str">
        <f t="shared" si="46"/>
        <v>►</v>
      </c>
      <c r="CE111"/>
      <c r="CF111"/>
      <c r="CG111"/>
      <c r="CH111"/>
      <c r="CI111"/>
      <c r="CJ111" s="719"/>
      <c r="DI111" s="3">
        <v>1</v>
      </c>
    </row>
    <row r="112" spans="1:113" s="627" customFormat="1" ht="21" customHeight="1">
      <c r="A112" s="701" t="s">
        <v>21</v>
      </c>
      <c r="B112" s="2265" t="str" cm="1">
        <f t="array" ref="B112">SUMPRODUCT(--(D112:J112&lt;&gt;""), LEN(TRIM(SUBSTITUTE(D112:J112, CHAR(160), "")))) &amp; " Car."</f>
        <v>0 Car.</v>
      </c>
      <c r="C112" s="1376" t="str">
        <f>IF(ISBLANK(D112),"",LARGE(C13:C111,1)+1)</f>
        <v/>
      </c>
      <c r="D112" s="1833"/>
      <c r="E112" s="1810"/>
      <c r="F112" s="1810"/>
      <c r="G112" s="1810"/>
      <c r="H112" s="1810"/>
      <c r="I112" s="1810"/>
      <c r="J112" s="1810"/>
      <c r="K112" s="1810"/>
      <c r="L112" s="1811"/>
      <c r="M112" s="9"/>
      <c r="N112" s="162" t="str">
        <f t="shared" si="47"/>
        <v>►</v>
      </c>
      <c r="O112" s="1616"/>
      <c r="P112" s="9"/>
      <c r="Q112" s="25" t="s">
        <v>15</v>
      </c>
      <c r="R112" s="31"/>
      <c r="S112" s="32"/>
      <c r="T112" s="31"/>
      <c r="U112" s="33"/>
      <c r="V112" s="1967"/>
      <c r="W112" s="1805"/>
      <c r="X112" s="91"/>
      <c r="Y112" s="1806"/>
      <c r="Z112" s="1968"/>
      <c r="AA112" s="2244"/>
      <c r="AB112" s="1969"/>
      <c r="AC112" s="1365"/>
      <c r="AD112" s="95"/>
      <c r="AE112" s="1326"/>
      <c r="AF112" s="97"/>
      <c r="AG112" s="1737"/>
      <c r="AH112" s="1970"/>
      <c r="AI112" s="99"/>
      <c r="AJ112" s="1809"/>
      <c r="AK112" s="6120" t="str">
        <f t="shared" si="51"/>
        <v>►</v>
      </c>
      <c r="AL112" s="781" t="str">
        <f t="shared" si="53"/>
        <v>►</v>
      </c>
      <c r="AM112" s="5498" t="str">
        <f t="shared" si="57"/>
        <v/>
      </c>
      <c r="AN112" s="783" t="str">
        <f t="shared" si="58"/>
        <v/>
      </c>
      <c r="AO112" s="782" t="str">
        <f t="shared" si="59"/>
        <v/>
      </c>
      <c r="AP112" s="783" t="str">
        <f t="shared" si="60"/>
        <v/>
      </c>
      <c r="AQ112" s="2083" t="b">
        <f>AND(Q112="A",COUNTIF(BP16:BR63,TRIM(Z112))&gt;0)</f>
        <v>0</v>
      </c>
      <c r="AR112" s="797" t="str">
        <f>IF(AL112&lt;&gt;"A","",IFERROR(IFERROR(_xlfn.XLOOKUP(TRIM(SUBSTITUTE(Z112,CHAR(160)," ")),BP16:BP63,BS16:BS63),IFERROR(_xlfn.XLOOKUP(TRIM(SUBSTITUTE(Z112,CHAR(160)," ")),BQ16:BQ63,BS16:BS63),_xlfn.XLOOKUP(TRIM(SUBSTITUTE(Z112,CHAR(160)," ")),BR16:BR63,BS16:BS63)))*Y112*IF(ISBLANK(V112),1,V112),0))</f>
        <v/>
      </c>
      <c r="AS112" s="784" t="str">
        <f t="shared" si="54"/>
        <v/>
      </c>
      <c r="AT112" s="1315" t="str">
        <f t="shared" si="61"/>
        <v/>
      </c>
      <c r="AU112" s="785">
        <f t="shared" si="62"/>
        <v>0</v>
      </c>
      <c r="AV112" s="785">
        <f t="shared" si="63"/>
        <v>0</v>
      </c>
      <c r="AW112" s="798">
        <f>IF(AK112="A",AY10,0)</f>
        <v>0</v>
      </c>
      <c r="AX112" s="5496" t="str">
        <f>IF(IFERROR(SEARCH("Adresse PC",TRIM(W112)),0)&gt;0,"▼ receta siguiente",IF(AK112="A",IF(AZ10&lt;&gt;"",AZ10&amp;" - ou.or.o ❾ + or - &gt;",""),""))</f>
        <v/>
      </c>
      <c r="AY112" s="810"/>
      <c r="AZ112" s="810"/>
      <c r="BA112" s="799" t="str">
        <f t="shared" si="52"/>
        <v/>
      </c>
      <c r="BB112" s="800" t="str">
        <f>IF(AK112="A",IF(AQ112,IF(AND(AW112&lt;&gt;"",N(AW112)&gt;0),IFERROR(IFERROR(_xlfn.XLOOKUP(AP112,BP10:BP57,BT10:BT57),IFERROR(_xlfn.XLOOKUP(AP112,BQ10:BQ57,BT10:BT57),_xlfn.XLOOKUP(AP112,BR10:BR57,BT10:BT57,""))),""),""),""),"")</f>
        <v/>
      </c>
      <c r="BC112" s="813" cm="1">
        <f t="array" ref="BC112">IF(NOT(AQ112),0,IF(OR(BA112="",N(BA112)&lt;=0.000000001),"",IF(OR(AU112="",N(AU112)&lt;=0.000000001),0,IF(ISNUMBER(BA112),IFERROR(_xlfn.LET(_xlpm.ai_test,TRIM(AP112),_xlpm.r,IFERROR(_xlfn.XLOOKUP(_xlpm.ai_test,BP16:BP63,ROW(BP16:BP63),0,1),IFERROR(_xlfn.XLOOKUP(_xlpm.ai_test,BQ16:BQ63,ROW(BQ16:BQ63),0,1),_xlfn.XLOOKUP(_xlpm.ai_test,BR16:BR63,ROW(BR16:BR63),0,1))),_xlpm.p,_xlpm.r-MIN(ROW(BP16:BP63))+1,_xlpm.f,INDEX(BS16:BS63,_xlpm.p),_xlpm.u,INDEX(BT16:BT63,_xlpm.p),_xlpm.s,INDEX(BV16:BV63,_xlpm.p),_xlpm.q,N(BA112)/_xlpm.f,IF(_xlpm.q&gt;=_xlpm.s,ROUND(_xlpm.q,1)&amp;" "&amp;_xlpm.ai_test&amp;" = "&amp;ROUND(_xlpm.q*_xlpm.f,1)&amp;" "&amp;_xlpm.u,ROUND(_xlpm.q,1)&amp;" "&amp;_xlpm.ai_test)),""),""))))</f>
        <v>0</v>
      </c>
      <c r="BD112" s="801"/>
      <c r="BE112" s="799" t="str">
        <f t="shared" si="64"/>
        <v/>
      </c>
      <c r="BF112" s="800" t="str">
        <f t="shared" si="65"/>
        <v/>
      </c>
      <c r="BG112" s="802">
        <f t="shared" si="70"/>
        <v>0</v>
      </c>
      <c r="BH112" s="803" t="str">
        <f t="shared" si="71"/>
        <v/>
      </c>
      <c r="BI112" s="792"/>
      <c r="BJ112" s="804">
        <f t="shared" si="69"/>
        <v>0</v>
      </c>
      <c r="BK112" s="794" t="str">
        <f t="shared" si="66"/>
        <v/>
      </c>
      <c r="BL112" s="227" t="s">
        <v>21</v>
      </c>
      <c r="BM112" s="773">
        <f t="shared" si="55"/>
        <v>0</v>
      </c>
      <c r="BN112" s="774">
        <f t="shared" si="56"/>
        <v>0</v>
      </c>
      <c r="CC112"/>
      <c r="CD112" s="781" t="str">
        <f t="shared" si="46"/>
        <v>►</v>
      </c>
      <c r="CE112"/>
      <c r="CF112"/>
      <c r="CG112"/>
      <c r="CH112"/>
      <c r="CI112"/>
      <c r="CJ112" s="719"/>
      <c r="DI112" s="3">
        <v>1</v>
      </c>
    </row>
    <row r="113" spans="1:113" s="627" customFormat="1" ht="21" customHeight="1">
      <c r="A113" s="701" t="s">
        <v>21</v>
      </c>
      <c r="B113" s="2265" t="str" cm="1">
        <f t="array" ref="B113">SUMPRODUCT(--(D113:J113&lt;&gt;""), LEN(TRIM(SUBSTITUTE(D113:J113, CHAR(160), "")))) &amp; " Car."</f>
        <v>0 Car.</v>
      </c>
      <c r="C113" s="1376" t="str">
        <f>IF(ISBLANK(D113),"",LARGE(C13:C112,1)+1)</f>
        <v/>
      </c>
      <c r="D113" s="1833"/>
      <c r="E113" s="1810"/>
      <c r="F113" s="1810"/>
      <c r="G113" s="1810"/>
      <c r="H113" s="1810"/>
      <c r="I113" s="1810"/>
      <c r="J113" s="1810"/>
      <c r="K113" s="1810"/>
      <c r="L113" s="1811"/>
      <c r="M113" s="9"/>
      <c r="N113" s="162" t="str">
        <f t="shared" si="47"/>
        <v>►</v>
      </c>
      <c r="O113" s="1616"/>
      <c r="P113" s="9"/>
      <c r="Q113" s="25" t="s">
        <v>15</v>
      </c>
      <c r="R113" s="31"/>
      <c r="S113" s="32"/>
      <c r="T113" s="31"/>
      <c r="U113" s="33"/>
      <c r="V113" s="1967"/>
      <c r="W113" s="1805"/>
      <c r="X113" s="91"/>
      <c r="Y113" s="1806"/>
      <c r="Z113" s="1968"/>
      <c r="AA113" s="2244"/>
      <c r="AB113" s="1969"/>
      <c r="AC113" s="1365"/>
      <c r="AD113" s="95"/>
      <c r="AE113" s="1326"/>
      <c r="AF113" s="97"/>
      <c r="AG113" s="1737"/>
      <c r="AH113" s="1970"/>
      <c r="AI113" s="99"/>
      <c r="AJ113" s="1809"/>
      <c r="AK113" s="6120" t="str">
        <f t="shared" si="51"/>
        <v>►</v>
      </c>
      <c r="AL113" s="781" t="str">
        <f t="shared" si="53"/>
        <v>►</v>
      </c>
      <c r="AM113" s="5499" t="str">
        <f t="shared" si="57"/>
        <v/>
      </c>
      <c r="AN113" s="783" t="str">
        <f t="shared" si="58"/>
        <v/>
      </c>
      <c r="AO113" s="782" t="str">
        <f t="shared" si="59"/>
        <v/>
      </c>
      <c r="AP113" s="783" t="str">
        <f t="shared" si="60"/>
        <v/>
      </c>
      <c r="AQ113" s="2083" t="b">
        <f>AND(Q113="A",COUNTIF(BP16:BR63,TRIM(Z113))&gt;0)</f>
        <v>0</v>
      </c>
      <c r="AR113" s="797" t="str">
        <f>IF(AL113&lt;&gt;"A","",IFERROR(IFERROR(_xlfn.XLOOKUP(TRIM(SUBSTITUTE(Z113,CHAR(160)," ")),BP16:BP63,BS16:BS63),IFERROR(_xlfn.XLOOKUP(TRIM(SUBSTITUTE(Z113,CHAR(160)," ")),BQ16:BQ63,BS16:BS63),_xlfn.XLOOKUP(TRIM(SUBSTITUTE(Z113,CHAR(160)," ")),BR16:BR63,BS16:BS63)))*Y113*IF(ISBLANK(V113),1,V113),0))</f>
        <v/>
      </c>
      <c r="AS113" s="784" t="str">
        <f t="shared" si="54"/>
        <v/>
      </c>
      <c r="AT113" s="1315" t="str">
        <f t="shared" si="61"/>
        <v/>
      </c>
      <c r="AU113" s="785">
        <f t="shared" si="62"/>
        <v>0</v>
      </c>
      <c r="AV113" s="785">
        <f t="shared" si="63"/>
        <v>0</v>
      </c>
      <c r="AW113" s="786">
        <f>IF(AK113="A",AY10,0)</f>
        <v>0</v>
      </c>
      <c r="AX113" s="5495" t="str">
        <f>IF(IFERROR(SEARCH("Adresse PC",TRIM(W113)),0)&gt;0,"▼ receta siguiente",IF(AK113="A",IF(AZ10&lt;&gt;"",AZ10&amp;" - ou.or.o ❾ + or - &gt;",""),""))</f>
        <v/>
      </c>
      <c r="AY113" s="810"/>
      <c r="AZ113" s="810"/>
      <c r="BA113" s="788" t="str">
        <f t="shared" si="52"/>
        <v/>
      </c>
      <c r="BB113" s="789" t="str">
        <f>IF(AK113="A",IF(AQ113,IF(AND(AW113&lt;&gt;"",N(AW113)&gt;0),IFERROR(IFERROR(_xlfn.XLOOKUP(AP113,BP10:BP57,BT10:BT57),IFERROR(_xlfn.XLOOKUP(AP113,BQ10:BQ57,BT10:BT57),_xlfn.XLOOKUP(AP113,BR10:BR57,BT10:BT57,""))),""),""),""),"")</f>
        <v/>
      </c>
      <c r="BC113" s="811" cm="1">
        <f t="array" ref="BC113">IF(NOT(AQ113),0,IF(OR(BA113="",N(BA113)&lt;=0.000000001),"",IF(OR(AU113="",N(AU113)&lt;=0.000000001),0,IF(ISNUMBER(BA113),IFERROR(_xlfn.LET(_xlpm.ai_test,TRIM(AP113),_xlpm.r,IFERROR(_xlfn.XLOOKUP(_xlpm.ai_test,BP16:BP63,ROW(BP16:BP63),0,1),IFERROR(_xlfn.XLOOKUP(_xlpm.ai_test,BQ16:BQ63,ROW(BQ16:BQ63),0,1),_xlfn.XLOOKUP(_xlpm.ai_test,BR16:BR63,ROW(BR16:BR63),0,1))),_xlpm.p,_xlpm.r-MIN(ROW(BP16:BP63))+1,_xlpm.f,INDEX(BS16:BS63,_xlpm.p),_xlpm.u,INDEX(BT16:BT63,_xlpm.p),_xlpm.s,INDEX(BV16:BV63,_xlpm.p),_xlpm.q,N(BA113)/_xlpm.f,IF(_xlpm.q&gt;=_xlpm.s,ROUND(_xlpm.q,1)&amp;" "&amp;_xlpm.ai_test&amp;" = "&amp;ROUND(_xlpm.q*_xlpm.f,1)&amp;" "&amp;_xlpm.u,ROUND(_xlpm.q,1)&amp;" "&amp;_xlpm.ai_test)),""),""))))</f>
        <v>0</v>
      </c>
      <c r="BD113" s="801"/>
      <c r="BE113" s="788" t="str">
        <f t="shared" si="64"/>
        <v/>
      </c>
      <c r="BF113" s="789" t="str">
        <f t="shared" si="65"/>
        <v/>
      </c>
      <c r="BG113" s="790">
        <f t="shared" si="70"/>
        <v>0</v>
      </c>
      <c r="BH113" s="791" t="str">
        <f t="shared" si="71"/>
        <v/>
      </c>
      <c r="BI113" s="792"/>
      <c r="BJ113" s="793">
        <f t="shared" si="69"/>
        <v>0</v>
      </c>
      <c r="BK113" s="794" t="str">
        <f t="shared" si="66"/>
        <v/>
      </c>
      <c r="BL113" s="227" t="s">
        <v>21</v>
      </c>
      <c r="BM113" s="773">
        <f t="shared" si="55"/>
        <v>0</v>
      </c>
      <c r="BN113" s="774">
        <f t="shared" si="56"/>
        <v>0</v>
      </c>
      <c r="CC113"/>
      <c r="CD113" s="781" t="str">
        <f t="shared" si="46"/>
        <v>►</v>
      </c>
      <c r="CE113"/>
      <c r="CF113"/>
      <c r="CG113"/>
      <c r="CH113"/>
      <c r="CI113"/>
      <c r="CJ113" s="719"/>
      <c r="DI113" s="3">
        <v>1</v>
      </c>
    </row>
    <row r="114" spans="1:113" s="627" customFormat="1" ht="21" customHeight="1">
      <c r="A114" s="701" t="s">
        <v>21</v>
      </c>
      <c r="B114" s="2265" t="str" cm="1">
        <f t="array" ref="B114">SUMPRODUCT(--(D114:J114&lt;&gt;""), LEN(TRIM(SUBSTITUTE(D114:J114, CHAR(160), "")))) &amp; " Car."</f>
        <v>0 Car.</v>
      </c>
      <c r="C114" s="1376" t="str">
        <f>IF(ISBLANK(D114),"",LARGE(C13:C113,1)+1)</f>
        <v/>
      </c>
      <c r="D114" s="1833"/>
      <c r="E114" s="1810"/>
      <c r="F114" s="1810"/>
      <c r="G114" s="1810"/>
      <c r="H114" s="1810"/>
      <c r="I114" s="1810"/>
      <c r="J114" s="1810"/>
      <c r="K114" s="1810"/>
      <c r="L114" s="1811"/>
      <c r="M114" s="9"/>
      <c r="N114" s="1814" t="str">
        <f t="shared" si="47"/>
        <v>►</v>
      </c>
      <c r="O114" s="1616"/>
      <c r="P114" s="9"/>
      <c r="Q114" s="25" t="s">
        <v>15</v>
      </c>
      <c r="R114" s="31"/>
      <c r="S114" s="32"/>
      <c r="T114" s="31"/>
      <c r="U114" s="33"/>
      <c r="V114" s="1967"/>
      <c r="W114" s="1805"/>
      <c r="X114" s="91"/>
      <c r="Y114" s="1806"/>
      <c r="Z114" s="1968"/>
      <c r="AA114" s="2244"/>
      <c r="AB114" s="1969"/>
      <c r="AC114" s="1365"/>
      <c r="AD114" s="95"/>
      <c r="AE114" s="1326"/>
      <c r="AF114" s="97"/>
      <c r="AG114" s="1737"/>
      <c r="AH114" s="1970"/>
      <c r="AI114" s="99"/>
      <c r="AJ114" s="1809"/>
      <c r="AK114" s="6120" t="str">
        <f t="shared" si="51"/>
        <v>►</v>
      </c>
      <c r="AL114" s="781" t="str">
        <f t="shared" si="53"/>
        <v>►</v>
      </c>
      <c r="AM114" s="5498" t="str">
        <f t="shared" si="57"/>
        <v/>
      </c>
      <c r="AN114" s="783" t="str">
        <f t="shared" si="58"/>
        <v/>
      </c>
      <c r="AO114" s="782" t="str">
        <f t="shared" si="59"/>
        <v/>
      </c>
      <c r="AP114" s="783" t="str">
        <f t="shared" si="60"/>
        <v/>
      </c>
      <c r="AQ114" s="2083" t="b">
        <f>AND(Q114="A",COUNTIF(BP16:BR63,TRIM(Z114))&gt;0)</f>
        <v>0</v>
      </c>
      <c r="AR114" s="797" t="str">
        <f>IF(AL114&lt;&gt;"A","",IFERROR(IFERROR(_xlfn.XLOOKUP(TRIM(SUBSTITUTE(Z114,CHAR(160)," ")),BP16:BP63,BS16:BS63),IFERROR(_xlfn.XLOOKUP(TRIM(SUBSTITUTE(Z114,CHAR(160)," ")),BQ16:BQ63,BS16:BS63),_xlfn.XLOOKUP(TRIM(SUBSTITUTE(Z114,CHAR(160)," ")),BR16:BR63,BS16:BS63)))*Y114*IF(ISBLANK(V114),1,V114),0))</f>
        <v/>
      </c>
      <c r="AS114" s="784" t="str">
        <f t="shared" si="54"/>
        <v/>
      </c>
      <c r="AT114" s="1315" t="str">
        <f t="shared" si="61"/>
        <v/>
      </c>
      <c r="AU114" s="785">
        <f t="shared" si="62"/>
        <v>0</v>
      </c>
      <c r="AV114" s="785">
        <f t="shared" si="63"/>
        <v>0</v>
      </c>
      <c r="AW114" s="798">
        <f>IF(AK114="A",AY10,0)</f>
        <v>0</v>
      </c>
      <c r="AX114" s="5496" t="str">
        <f>IF(IFERROR(SEARCH("Adresse PC",TRIM(W114)),0)&gt;0,"▼ receta siguiente",IF(AK114="A",IF(AZ10&lt;&gt;"",AZ10&amp;" - ou.or.o ❾ + or - &gt;",""),""))</f>
        <v/>
      </c>
      <c r="AY114" s="810"/>
      <c r="AZ114" s="810"/>
      <c r="BA114" s="799" t="str">
        <f t="shared" si="52"/>
        <v/>
      </c>
      <c r="BB114" s="800" t="str">
        <f>IF(AK114="A",IF(AQ114,IF(AND(AW114&lt;&gt;"",N(AW114)&gt;0),IFERROR(IFERROR(_xlfn.XLOOKUP(AP114,BP10:BP57,BT10:BT57),IFERROR(_xlfn.XLOOKUP(AP114,BQ10:BQ57,BT10:BT57),_xlfn.XLOOKUP(AP114,BR10:BR57,BT10:BT57,""))),""),""),""),"")</f>
        <v/>
      </c>
      <c r="BC114" s="813" cm="1">
        <f t="array" ref="BC114">IF(NOT(AQ114),0,IF(OR(BA114="",N(BA114)&lt;=0.000000001),"",IF(OR(AU114="",N(AU114)&lt;=0.000000001),0,IF(ISNUMBER(BA114),IFERROR(_xlfn.LET(_xlpm.ai_test,TRIM(AP114),_xlpm.r,IFERROR(_xlfn.XLOOKUP(_xlpm.ai_test,BP16:BP63,ROW(BP16:BP63),0,1),IFERROR(_xlfn.XLOOKUP(_xlpm.ai_test,BQ16:BQ63,ROW(BQ16:BQ63),0,1),_xlfn.XLOOKUP(_xlpm.ai_test,BR16:BR63,ROW(BR16:BR63),0,1))),_xlpm.p,_xlpm.r-MIN(ROW(BP16:BP63))+1,_xlpm.f,INDEX(BS16:BS63,_xlpm.p),_xlpm.u,INDEX(BT16:BT63,_xlpm.p),_xlpm.s,INDEX(BV16:BV63,_xlpm.p),_xlpm.q,N(BA114)/_xlpm.f,IF(_xlpm.q&gt;=_xlpm.s,ROUND(_xlpm.q,1)&amp;" "&amp;_xlpm.ai_test&amp;" = "&amp;ROUND(_xlpm.q*_xlpm.f,1)&amp;" "&amp;_xlpm.u,ROUND(_xlpm.q,1)&amp;" "&amp;_xlpm.ai_test)),""),""))))</f>
        <v>0</v>
      </c>
      <c r="BD114" s="801"/>
      <c r="BE114" s="799" t="str">
        <f t="shared" si="64"/>
        <v/>
      </c>
      <c r="BF114" s="800" t="str">
        <f t="shared" si="65"/>
        <v/>
      </c>
      <c r="BG114" s="802">
        <f t="shared" si="70"/>
        <v>0</v>
      </c>
      <c r="BH114" s="803" t="str">
        <f t="shared" si="71"/>
        <v/>
      </c>
      <c r="BI114" s="792"/>
      <c r="BJ114" s="804">
        <f t="shared" si="69"/>
        <v>0</v>
      </c>
      <c r="BK114" s="794" t="str">
        <f t="shared" si="66"/>
        <v/>
      </c>
      <c r="BL114" s="227" t="s">
        <v>21</v>
      </c>
      <c r="BM114" s="773">
        <f t="shared" si="55"/>
        <v>0</v>
      </c>
      <c r="BN114" s="774">
        <f t="shared" si="56"/>
        <v>0</v>
      </c>
      <c r="CC114"/>
      <c r="CD114" s="781" t="str">
        <f t="shared" si="46"/>
        <v>►</v>
      </c>
      <c r="CE114"/>
      <c r="CF114"/>
      <c r="CG114"/>
      <c r="CH114"/>
      <c r="CI114"/>
      <c r="CJ114" s="719"/>
      <c r="DI114" s="3">
        <v>1</v>
      </c>
    </row>
    <row r="115" spans="1:113" s="627" customFormat="1" ht="21" customHeight="1" thickBot="1">
      <c r="A115" s="701" t="s">
        <v>21</v>
      </c>
      <c r="B115" s="2265" t="str" cm="1">
        <f t="array" ref="B115">SUMPRODUCT(--(D115:J115&lt;&gt;""), LEN(TRIM(SUBSTITUTE(D115:J115, CHAR(160), "")))) &amp; " Car."</f>
        <v>0 Car.</v>
      </c>
      <c r="C115" s="1376" t="str">
        <f>IF(ISBLANK(D115),"",LARGE(C13:C114,1)+1)</f>
        <v/>
      </c>
      <c r="D115" s="1833"/>
      <c r="E115" s="1810"/>
      <c r="F115" s="1810"/>
      <c r="G115" s="1810"/>
      <c r="H115" s="1810"/>
      <c r="I115" s="1810"/>
      <c r="J115" s="1810"/>
      <c r="K115" s="1810"/>
      <c r="L115" s="1811"/>
      <c r="M115" s="9"/>
      <c r="N115" s="215" t="str">
        <f t="shared" si="47"/>
        <v>►</v>
      </c>
      <c r="O115" s="1616"/>
      <c r="P115" s="9"/>
      <c r="Q115" s="25" t="s">
        <v>15</v>
      </c>
      <c r="R115" s="31"/>
      <c r="S115" s="32"/>
      <c r="T115" s="31"/>
      <c r="U115" s="33"/>
      <c r="V115" s="1967"/>
      <c r="W115" s="1805"/>
      <c r="X115" s="91"/>
      <c r="Y115" s="1806"/>
      <c r="Z115" s="1968"/>
      <c r="AA115" s="2244"/>
      <c r="AB115" s="1969"/>
      <c r="AC115" s="1365"/>
      <c r="AD115" s="95"/>
      <c r="AE115" s="1326"/>
      <c r="AF115" s="97"/>
      <c r="AG115" s="1737"/>
      <c r="AH115" s="1970"/>
      <c r="AI115" s="99"/>
      <c r="AJ115" s="1809"/>
      <c r="AK115" s="6120" t="str">
        <f t="shared" si="51"/>
        <v>►</v>
      </c>
      <c r="AL115" s="781" t="str">
        <f t="shared" si="53"/>
        <v>►</v>
      </c>
      <c r="AM115" s="5499" t="str">
        <f t="shared" si="57"/>
        <v/>
      </c>
      <c r="AN115" s="783" t="str">
        <f t="shared" si="58"/>
        <v/>
      </c>
      <c r="AO115" s="782" t="str">
        <f t="shared" si="59"/>
        <v/>
      </c>
      <c r="AP115" s="783" t="str">
        <f t="shared" si="60"/>
        <v/>
      </c>
      <c r="AQ115" s="2083" t="b">
        <f>AND(Q115="A",COUNTIF(BP16:BR63,TRIM(Z115))&gt;0)</f>
        <v>0</v>
      </c>
      <c r="AR115" s="797" t="str">
        <f>IF(AL115&lt;&gt;"A","",IFERROR(IFERROR(_xlfn.XLOOKUP(TRIM(SUBSTITUTE(Z115,CHAR(160)," ")),BP16:BP63,BS16:BS63),IFERROR(_xlfn.XLOOKUP(TRIM(SUBSTITUTE(Z115,CHAR(160)," ")),BQ16:BQ63,BS16:BS63),_xlfn.XLOOKUP(TRIM(SUBSTITUTE(Z115,CHAR(160)," ")),BR16:BR63,BS16:BS63)))*Y115*IF(ISBLANK(V115),1,V115),0))</f>
        <v/>
      </c>
      <c r="AS115" s="784" t="str">
        <f t="shared" si="54"/>
        <v/>
      </c>
      <c r="AT115" s="1315" t="str">
        <f t="shared" si="61"/>
        <v/>
      </c>
      <c r="AU115" s="785">
        <f t="shared" si="62"/>
        <v>0</v>
      </c>
      <c r="AV115" s="785">
        <f t="shared" si="63"/>
        <v>0</v>
      </c>
      <c r="AW115" s="786">
        <f>IF(AK115="A",AY10,0)</f>
        <v>0</v>
      </c>
      <c r="AX115" s="5495" t="str">
        <f>IF(IFERROR(SEARCH("Adresse PC",TRIM(W115)),0)&gt;0,"▼ receta siguiente",IF(AK115="A",IF(AZ10&lt;&gt;"",AZ10&amp;" - ou.or.o ❾ + or - &gt;",""),""))</f>
        <v/>
      </c>
      <c r="AY115" s="810"/>
      <c r="AZ115" s="810"/>
      <c r="BA115" s="788" t="str">
        <f t="shared" si="52"/>
        <v/>
      </c>
      <c r="BB115" s="789" t="str">
        <f>IF(AK115="A",IF(AQ115,IF(AND(AW115&lt;&gt;"",N(AW115)&gt;0),IFERROR(IFERROR(_xlfn.XLOOKUP(AP115,BP10:BP57,BT10:BT57),IFERROR(_xlfn.XLOOKUP(AP115,BQ10:BQ57,BT10:BT57),_xlfn.XLOOKUP(AP115,BR10:BR57,BT10:BT57,""))),""),""),""),"")</f>
        <v/>
      </c>
      <c r="BC115" s="811" cm="1">
        <f t="array" ref="BC115">IF(NOT(AQ115),0,IF(OR(BA115="",N(BA115)&lt;=0.000000001),"",IF(OR(AU115="",N(AU115)&lt;=0.000000001),0,IF(ISNUMBER(BA115),IFERROR(_xlfn.LET(_xlpm.ai_test,TRIM(AP115),_xlpm.r,IFERROR(_xlfn.XLOOKUP(_xlpm.ai_test,BP16:BP63,ROW(BP16:BP63),0,1),IFERROR(_xlfn.XLOOKUP(_xlpm.ai_test,BQ16:BQ63,ROW(BQ16:BQ63),0,1),_xlfn.XLOOKUP(_xlpm.ai_test,BR16:BR63,ROW(BR16:BR63),0,1))),_xlpm.p,_xlpm.r-MIN(ROW(BP16:BP63))+1,_xlpm.f,INDEX(BS16:BS63,_xlpm.p),_xlpm.u,INDEX(BT16:BT63,_xlpm.p),_xlpm.s,INDEX(BV16:BV63,_xlpm.p),_xlpm.q,N(BA115)/_xlpm.f,IF(_xlpm.q&gt;=_xlpm.s,ROUND(_xlpm.q,1)&amp;" "&amp;_xlpm.ai_test&amp;" = "&amp;ROUND(_xlpm.q*_xlpm.f,1)&amp;" "&amp;_xlpm.u,ROUND(_xlpm.q,1)&amp;" "&amp;_xlpm.ai_test)),""),""))))</f>
        <v>0</v>
      </c>
      <c r="BD115" s="801"/>
      <c r="BE115" s="788" t="str">
        <f t="shared" si="64"/>
        <v/>
      </c>
      <c r="BF115" s="789" t="str">
        <f t="shared" si="65"/>
        <v/>
      </c>
      <c r="BG115" s="790">
        <f t="shared" si="70"/>
        <v>0</v>
      </c>
      <c r="BH115" s="791" t="str">
        <f t="shared" si="71"/>
        <v/>
      </c>
      <c r="BI115" s="792"/>
      <c r="BJ115" s="793">
        <f t="shared" si="69"/>
        <v>0</v>
      </c>
      <c r="BK115" s="794" t="str">
        <f t="shared" si="66"/>
        <v/>
      </c>
      <c r="BL115" s="227" t="s">
        <v>21</v>
      </c>
      <c r="BM115" s="773">
        <f t="shared" si="55"/>
        <v>0</v>
      </c>
      <c r="BN115" s="774">
        <f t="shared" si="56"/>
        <v>0</v>
      </c>
      <c r="CC115"/>
      <c r="CD115" s="781" t="str">
        <f t="shared" si="46"/>
        <v>►</v>
      </c>
      <c r="CE115"/>
      <c r="CF115"/>
      <c r="CG115"/>
      <c r="CH115"/>
      <c r="CI115"/>
      <c r="CJ115" s="719"/>
      <c r="DI115" s="3">
        <v>1</v>
      </c>
    </row>
    <row r="116" spans="1:113" s="627" customFormat="1" ht="21" customHeight="1" thickBot="1">
      <c r="A116" s="701" t="s">
        <v>21</v>
      </c>
      <c r="B116" s="2265" t="str" cm="1">
        <f t="array" ref="B116">SUMPRODUCT(--(D116:J116&lt;&gt;""), LEN(TRIM(SUBSTITUTE(D116:J116, CHAR(160), "")))) &amp; " Car."</f>
        <v>0 Car.</v>
      </c>
      <c r="C116" s="1376" t="str">
        <f>IF(ISBLANK(D116),"",LARGE(C13:C115,1)+1)</f>
        <v/>
      </c>
      <c r="D116" s="1833"/>
      <c r="E116" s="1810"/>
      <c r="F116" s="1810"/>
      <c r="G116" s="1810"/>
      <c r="H116" s="1810"/>
      <c r="I116" s="1810"/>
      <c r="J116" s="1810"/>
      <c r="K116" s="1810"/>
      <c r="L116" s="1811"/>
      <c r="M116" s="9"/>
      <c r="N116" s="1216" t="str">
        <f t="shared" si="47"/>
        <v>►</v>
      </c>
      <c r="O116" s="1616"/>
      <c r="P116" s="9"/>
      <c r="Q116" s="25" t="s">
        <v>15</v>
      </c>
      <c r="R116" s="31"/>
      <c r="S116" s="32"/>
      <c r="T116" s="31"/>
      <c r="U116" s="33"/>
      <c r="V116" s="1967"/>
      <c r="W116" s="1805"/>
      <c r="X116" s="91"/>
      <c r="Y116" s="1806"/>
      <c r="Z116" s="1968"/>
      <c r="AA116" s="2244"/>
      <c r="AB116" s="1969"/>
      <c r="AC116" s="1365"/>
      <c r="AD116" s="95"/>
      <c r="AE116" s="1326"/>
      <c r="AF116" s="97"/>
      <c r="AG116" s="1737"/>
      <c r="AH116" s="1970"/>
      <c r="AI116" s="99"/>
      <c r="AJ116" s="1809"/>
      <c r="AK116" s="6120" t="str">
        <f t="shared" si="51"/>
        <v>►</v>
      </c>
      <c r="AL116" s="781" t="str">
        <f t="shared" si="53"/>
        <v>►</v>
      </c>
      <c r="AM116" s="5498" t="str">
        <f t="shared" si="57"/>
        <v/>
      </c>
      <c r="AN116" s="783" t="str">
        <f t="shared" si="58"/>
        <v/>
      </c>
      <c r="AO116" s="782" t="str">
        <f t="shared" si="59"/>
        <v/>
      </c>
      <c r="AP116" s="783" t="str">
        <f t="shared" si="60"/>
        <v/>
      </c>
      <c r="AQ116" s="2083" t="b">
        <f>AND(Q116="A",COUNTIF(BP16:BR63,TRIM(Z116))&gt;0)</f>
        <v>0</v>
      </c>
      <c r="AR116" s="797" t="str">
        <f>IF(AL116&lt;&gt;"A","",IFERROR(IFERROR(_xlfn.XLOOKUP(TRIM(SUBSTITUTE(Z116,CHAR(160)," ")),BP16:BP63,BS16:BS63),IFERROR(_xlfn.XLOOKUP(TRIM(SUBSTITUTE(Z116,CHAR(160)," ")),BQ16:BQ63,BS16:BS63),_xlfn.XLOOKUP(TRIM(SUBSTITUTE(Z116,CHAR(160)," ")),BR16:BR63,BS16:BS63)))*Y116*IF(ISBLANK(V116),1,V116),0))</f>
        <v/>
      </c>
      <c r="AS116" s="784" t="str">
        <f t="shared" si="54"/>
        <v/>
      </c>
      <c r="AT116" s="1315" t="str">
        <f t="shared" si="61"/>
        <v/>
      </c>
      <c r="AU116" s="785">
        <f t="shared" si="62"/>
        <v>0</v>
      </c>
      <c r="AV116" s="785">
        <f t="shared" si="63"/>
        <v>0</v>
      </c>
      <c r="AW116" s="798">
        <f>IF(AK116="A",AY10,0)</f>
        <v>0</v>
      </c>
      <c r="AX116" s="5496" t="str">
        <f>IF(IFERROR(SEARCH("Adresse PC",TRIM(W116)),0)&gt;0,"▼ receta siguiente",IF(AK116="A",IF(AZ10&lt;&gt;"",AZ10&amp;" - ou.or.o ❾ + or - &gt;",""),""))</f>
        <v/>
      </c>
      <c r="AY116" s="810"/>
      <c r="AZ116" s="810"/>
      <c r="BA116" s="799" t="str">
        <f t="shared" si="52"/>
        <v/>
      </c>
      <c r="BB116" s="800" t="str">
        <f>IF(AK116="A",IF(AQ116,IF(AND(AW116&lt;&gt;"",N(AW116)&gt;0),IFERROR(IFERROR(_xlfn.XLOOKUP(AP116,BP10:BP57,BT10:BT57),IFERROR(_xlfn.XLOOKUP(AP116,BQ10:BQ57,BT10:BT57),_xlfn.XLOOKUP(AP116,BR10:BR57,BT10:BT57,""))),""),""),""),"")</f>
        <v/>
      </c>
      <c r="BC116" s="813" cm="1">
        <f t="array" ref="BC116">IF(NOT(AQ116),0,IF(OR(BA116="",N(BA116)&lt;=0.000000001),"",IF(OR(AU116="",N(AU116)&lt;=0.000000001),0,IF(ISNUMBER(BA116),IFERROR(_xlfn.LET(_xlpm.ai_test,TRIM(AP116),_xlpm.r,IFERROR(_xlfn.XLOOKUP(_xlpm.ai_test,BP16:BP63,ROW(BP16:BP63),0,1),IFERROR(_xlfn.XLOOKUP(_xlpm.ai_test,BQ16:BQ63,ROW(BQ16:BQ63),0,1),_xlfn.XLOOKUP(_xlpm.ai_test,BR16:BR63,ROW(BR16:BR63),0,1))),_xlpm.p,_xlpm.r-MIN(ROW(BP16:BP63))+1,_xlpm.f,INDEX(BS16:BS63,_xlpm.p),_xlpm.u,INDEX(BT16:BT63,_xlpm.p),_xlpm.s,INDEX(BV16:BV63,_xlpm.p),_xlpm.q,N(BA116)/_xlpm.f,IF(_xlpm.q&gt;=_xlpm.s,ROUND(_xlpm.q,1)&amp;" "&amp;_xlpm.ai_test&amp;" = "&amp;ROUND(_xlpm.q*_xlpm.f,1)&amp;" "&amp;_xlpm.u,ROUND(_xlpm.q,1)&amp;" "&amp;_xlpm.ai_test)),""),""))))</f>
        <v>0</v>
      </c>
      <c r="BD116" s="801"/>
      <c r="BE116" s="799" t="str">
        <f t="shared" si="64"/>
        <v/>
      </c>
      <c r="BF116" s="800" t="str">
        <f t="shared" si="65"/>
        <v/>
      </c>
      <c r="BG116" s="802">
        <f t="shared" si="70"/>
        <v>0</v>
      </c>
      <c r="BH116" s="803" t="str">
        <f t="shared" si="71"/>
        <v/>
      </c>
      <c r="BI116" s="792"/>
      <c r="BJ116" s="804">
        <f t="shared" si="69"/>
        <v>0</v>
      </c>
      <c r="BK116" s="794" t="str">
        <f t="shared" si="66"/>
        <v/>
      </c>
      <c r="BL116" s="227" t="s">
        <v>21</v>
      </c>
      <c r="BM116" s="773">
        <f t="shared" si="55"/>
        <v>0</v>
      </c>
      <c r="BN116" s="774">
        <f t="shared" si="56"/>
        <v>0</v>
      </c>
      <c r="CC116"/>
      <c r="CD116" s="781" t="str">
        <f t="shared" si="46"/>
        <v>►</v>
      </c>
      <c r="CE116"/>
      <c r="CF116"/>
      <c r="CG116"/>
      <c r="CH116"/>
      <c r="CI116"/>
      <c r="CJ116" s="719"/>
      <c r="DI116" s="3">
        <v>1</v>
      </c>
    </row>
    <row r="117" spans="1:113" s="627" customFormat="1" ht="21" customHeight="1">
      <c r="A117" s="701" t="s">
        <v>21</v>
      </c>
      <c r="B117" s="2265" t="str" cm="1">
        <f t="array" ref="B117">SUMPRODUCT(--(D117:J117&lt;&gt;""), LEN(TRIM(SUBSTITUTE(D117:J117, CHAR(160), "")))) &amp; " Car."</f>
        <v>0 Car.</v>
      </c>
      <c r="C117" s="1376" t="str">
        <f>IF(ISBLANK(D117),"",LARGE(C13:C116,1)+1)</f>
        <v/>
      </c>
      <c r="D117" s="1833"/>
      <c r="E117" s="1810"/>
      <c r="F117" s="1810"/>
      <c r="G117" s="1810"/>
      <c r="H117" s="1810"/>
      <c r="I117" s="1810"/>
      <c r="J117" s="1810"/>
      <c r="K117" s="1810"/>
      <c r="L117" s="1811"/>
      <c r="M117" s="9"/>
      <c r="N117" s="19" t="str">
        <f t="shared" si="47"/>
        <v>►</v>
      </c>
      <c r="O117" s="1616"/>
      <c r="P117" s="9"/>
      <c r="Q117" s="25" t="s">
        <v>15</v>
      </c>
      <c r="R117" s="31"/>
      <c r="S117" s="32"/>
      <c r="T117" s="31"/>
      <c r="U117" s="33"/>
      <c r="V117" s="1967"/>
      <c r="W117" s="1805"/>
      <c r="X117" s="91"/>
      <c r="Y117" s="1806"/>
      <c r="Z117" s="1968"/>
      <c r="AA117" s="2244"/>
      <c r="AB117" s="1969"/>
      <c r="AC117" s="1365"/>
      <c r="AD117" s="95"/>
      <c r="AE117" s="1326"/>
      <c r="AF117" s="97"/>
      <c r="AG117" s="1737"/>
      <c r="AH117" s="1970"/>
      <c r="AI117" s="99"/>
      <c r="AJ117" s="1809"/>
      <c r="AK117" s="6120" t="str">
        <f t="shared" si="51"/>
        <v>►</v>
      </c>
      <c r="AL117" s="781" t="str">
        <f t="shared" si="53"/>
        <v>►</v>
      </c>
      <c r="AM117" s="5499" t="str">
        <f t="shared" si="57"/>
        <v/>
      </c>
      <c r="AN117" s="783" t="str">
        <f t="shared" si="58"/>
        <v/>
      </c>
      <c r="AO117" s="782" t="str">
        <f t="shared" si="59"/>
        <v/>
      </c>
      <c r="AP117" s="783" t="str">
        <f t="shared" si="60"/>
        <v/>
      </c>
      <c r="AQ117" s="2083" t="b">
        <f>AND(Q117="A",COUNTIF(BP16:BR63,TRIM(Z117))&gt;0)</f>
        <v>0</v>
      </c>
      <c r="AR117" s="797" t="str">
        <f>IF(AL117&lt;&gt;"A","",IFERROR(IFERROR(_xlfn.XLOOKUP(TRIM(SUBSTITUTE(Z117,CHAR(160)," ")),BP16:BP63,BS16:BS63),IFERROR(_xlfn.XLOOKUP(TRIM(SUBSTITUTE(Z117,CHAR(160)," ")),BQ16:BQ63,BS16:BS63),_xlfn.XLOOKUP(TRIM(SUBSTITUTE(Z117,CHAR(160)," ")),BR16:BR63,BS16:BS63)))*Y117*IF(ISBLANK(V117),1,V117),0))</f>
        <v/>
      </c>
      <c r="AS117" s="784" t="str">
        <f t="shared" si="54"/>
        <v/>
      </c>
      <c r="AT117" s="1315" t="str">
        <f t="shared" si="61"/>
        <v/>
      </c>
      <c r="AU117" s="785">
        <f t="shared" si="62"/>
        <v>0</v>
      </c>
      <c r="AV117" s="785">
        <f t="shared" si="63"/>
        <v>0</v>
      </c>
      <c r="AW117" s="786">
        <f>IF(AK117="A",AY10,0)</f>
        <v>0</v>
      </c>
      <c r="AX117" s="5495" t="str">
        <f>IF(IFERROR(SEARCH("Adresse PC",TRIM(W117)),0)&gt;0,"▼ receta siguiente",IF(AK117="A",IF(AZ10&lt;&gt;"",AZ10&amp;" - ou.or.o ❾ + or - &gt;",""),""))</f>
        <v/>
      </c>
      <c r="AY117" s="810"/>
      <c r="AZ117" s="810"/>
      <c r="BA117" s="788" t="str">
        <f t="shared" si="52"/>
        <v/>
      </c>
      <c r="BB117" s="789" t="str">
        <f>IF(AK117="A",IF(AQ117,IF(AND(AW117&lt;&gt;"",N(AW117)&gt;0),IFERROR(IFERROR(_xlfn.XLOOKUP(AP117,BP10:BP57,BT10:BT57),IFERROR(_xlfn.XLOOKUP(AP117,BQ10:BQ57,BT10:BT57),_xlfn.XLOOKUP(AP117,BR10:BR57,BT10:BT57,""))),""),""),""),"")</f>
        <v/>
      </c>
      <c r="BC117" s="811" cm="1">
        <f t="array" ref="BC117">IF(NOT(AQ117),0,IF(OR(BA117="",N(BA117)&lt;=0.000000001),"",IF(OR(AU117="",N(AU117)&lt;=0.000000001),0,IF(ISNUMBER(BA117),IFERROR(_xlfn.LET(_xlpm.ai_test,TRIM(AP117),_xlpm.r,IFERROR(_xlfn.XLOOKUP(_xlpm.ai_test,BP16:BP63,ROW(BP16:BP63),0,1),IFERROR(_xlfn.XLOOKUP(_xlpm.ai_test,BQ16:BQ63,ROW(BQ16:BQ63),0,1),_xlfn.XLOOKUP(_xlpm.ai_test,BR16:BR63,ROW(BR16:BR63),0,1))),_xlpm.p,_xlpm.r-MIN(ROW(BP16:BP63))+1,_xlpm.f,INDEX(BS16:BS63,_xlpm.p),_xlpm.u,INDEX(BT16:BT63,_xlpm.p),_xlpm.s,INDEX(BV16:BV63,_xlpm.p),_xlpm.q,N(BA117)/_xlpm.f,IF(_xlpm.q&gt;=_xlpm.s,ROUND(_xlpm.q,1)&amp;" "&amp;_xlpm.ai_test&amp;" = "&amp;ROUND(_xlpm.q*_xlpm.f,1)&amp;" "&amp;_xlpm.u,ROUND(_xlpm.q,1)&amp;" "&amp;_xlpm.ai_test)),""),""))))</f>
        <v>0</v>
      </c>
      <c r="BD117" s="801"/>
      <c r="BE117" s="788" t="str">
        <f t="shared" si="64"/>
        <v/>
      </c>
      <c r="BF117" s="789" t="str">
        <f t="shared" si="65"/>
        <v/>
      </c>
      <c r="BG117" s="790">
        <f t="shared" si="70"/>
        <v>0</v>
      </c>
      <c r="BH117" s="791" t="str">
        <f t="shared" si="71"/>
        <v/>
      </c>
      <c r="BI117" s="792"/>
      <c r="BJ117" s="793">
        <f t="shared" si="69"/>
        <v>0</v>
      </c>
      <c r="BK117" s="794" t="str">
        <f t="shared" si="66"/>
        <v/>
      </c>
      <c r="BL117" s="227" t="s">
        <v>21</v>
      </c>
      <c r="BM117" s="773">
        <f t="shared" si="55"/>
        <v>0</v>
      </c>
      <c r="BN117" s="774">
        <f t="shared" si="56"/>
        <v>0</v>
      </c>
      <c r="CC117"/>
      <c r="CD117" s="781" t="str">
        <f t="shared" si="46"/>
        <v>►</v>
      </c>
      <c r="CJ117" s="719"/>
      <c r="DI117" s="3">
        <v>1</v>
      </c>
    </row>
    <row r="118" spans="1:113" s="627" customFormat="1" ht="21" customHeight="1">
      <c r="A118" s="701" t="s">
        <v>21</v>
      </c>
      <c r="B118" s="2265" t="str" cm="1">
        <f t="array" ref="B118">SUMPRODUCT(--(D118:J118&lt;&gt;""), LEN(TRIM(SUBSTITUTE(D118:J118, CHAR(160), "")))) &amp; " Car."</f>
        <v>0 Car.</v>
      </c>
      <c r="C118" s="1376" t="str">
        <f>IF(ISBLANK(D118),"",LARGE(C13:C117,1)+1)</f>
        <v/>
      </c>
      <c r="D118" s="1833"/>
      <c r="E118" s="1810"/>
      <c r="F118" s="1810"/>
      <c r="G118" s="1810"/>
      <c r="H118" s="1810"/>
      <c r="I118" s="1810"/>
      <c r="J118" s="1810"/>
      <c r="K118" s="1810"/>
      <c r="L118" s="1811"/>
      <c r="M118" s="9"/>
      <c r="N118" s="25" t="str">
        <f t="shared" si="47"/>
        <v>►</v>
      </c>
      <c r="O118" s="1616"/>
      <c r="P118" s="9"/>
      <c r="Q118" s="25" t="s">
        <v>15</v>
      </c>
      <c r="R118" s="31"/>
      <c r="S118" s="32"/>
      <c r="T118" s="31"/>
      <c r="U118" s="33"/>
      <c r="V118" s="1967"/>
      <c r="W118" s="1805"/>
      <c r="X118" s="91"/>
      <c r="Y118" s="1806"/>
      <c r="Z118" s="1968"/>
      <c r="AA118" s="2244"/>
      <c r="AB118" s="1969"/>
      <c r="AC118" s="1365"/>
      <c r="AD118" s="95"/>
      <c r="AE118" s="1326"/>
      <c r="AF118" s="97"/>
      <c r="AG118" s="1737"/>
      <c r="AH118" s="1970"/>
      <c r="AI118" s="99"/>
      <c r="AJ118" s="1809"/>
      <c r="AK118" s="6120" t="str">
        <f t="shared" si="51"/>
        <v>►</v>
      </c>
      <c r="AL118" s="781" t="str">
        <f t="shared" si="53"/>
        <v>►</v>
      </c>
      <c r="AM118" s="5498" t="str">
        <f t="shared" si="57"/>
        <v/>
      </c>
      <c r="AN118" s="783" t="str">
        <f t="shared" si="58"/>
        <v/>
      </c>
      <c r="AO118" s="782" t="str">
        <f t="shared" si="59"/>
        <v/>
      </c>
      <c r="AP118" s="783" t="str">
        <f t="shared" si="60"/>
        <v/>
      </c>
      <c r="AQ118" s="2083" t="b">
        <f>AND(Q118="A",COUNTIF(BP16:BR63,TRIM(Z118))&gt;0)</f>
        <v>0</v>
      </c>
      <c r="AR118" s="797" t="str">
        <f>IF(AL118&lt;&gt;"A","",IFERROR(IFERROR(_xlfn.XLOOKUP(TRIM(SUBSTITUTE(Z118,CHAR(160)," ")),BP16:BP63,BS16:BS63),IFERROR(_xlfn.XLOOKUP(TRIM(SUBSTITUTE(Z118,CHAR(160)," ")),BQ16:BQ63,BS16:BS63),_xlfn.XLOOKUP(TRIM(SUBSTITUTE(Z118,CHAR(160)," ")),BR16:BR63,BS16:BS63)))*Y118*IF(ISBLANK(V118),1,V118),0))</f>
        <v/>
      </c>
      <c r="AS118" s="784" t="str">
        <f t="shared" si="54"/>
        <v/>
      </c>
      <c r="AT118" s="1315" t="str">
        <f t="shared" si="61"/>
        <v/>
      </c>
      <c r="AU118" s="785">
        <f t="shared" si="62"/>
        <v>0</v>
      </c>
      <c r="AV118" s="785">
        <f t="shared" si="63"/>
        <v>0</v>
      </c>
      <c r="AW118" s="798">
        <f>IF(AK118="A",AY10,0)</f>
        <v>0</v>
      </c>
      <c r="AX118" s="5496" t="str">
        <f>IF(IFERROR(SEARCH("Adresse PC",TRIM(W118)),0)&gt;0,"▼ receta siguiente",IF(AK118="A",IF(AZ10&lt;&gt;"",AZ10&amp;" - ou.or.o ❾ + or - &gt;",""),""))</f>
        <v/>
      </c>
      <c r="AY118" s="810"/>
      <c r="AZ118" s="810"/>
      <c r="BA118" s="799" t="str">
        <f t="shared" si="52"/>
        <v/>
      </c>
      <c r="BB118" s="800" t="str">
        <f>IF(AK118="A",IF(AQ118,IF(AND(AW118&lt;&gt;"",N(AW118)&gt;0),IFERROR(IFERROR(_xlfn.XLOOKUP(AP118,BP10:BP57,BT10:BT57),IFERROR(_xlfn.XLOOKUP(AP118,BQ10:BQ57,BT10:BT57),_xlfn.XLOOKUP(AP118,BR10:BR57,BT10:BT57,""))),""),""),""),"")</f>
        <v/>
      </c>
      <c r="BC118" s="813" cm="1">
        <f t="array" ref="BC118">IF(NOT(AQ118),0,IF(OR(BA118="",N(BA118)&lt;=0.000000001),"",IF(OR(AU118="",N(AU118)&lt;=0.000000001),0,IF(ISNUMBER(BA118),IFERROR(_xlfn.LET(_xlpm.ai_test,TRIM(AP118),_xlpm.r,IFERROR(_xlfn.XLOOKUP(_xlpm.ai_test,BP16:BP63,ROW(BP16:BP63),0,1),IFERROR(_xlfn.XLOOKUP(_xlpm.ai_test,BQ16:BQ63,ROW(BQ16:BQ63),0,1),_xlfn.XLOOKUP(_xlpm.ai_test,BR16:BR63,ROW(BR16:BR63),0,1))),_xlpm.p,_xlpm.r-MIN(ROW(BP16:BP63))+1,_xlpm.f,INDEX(BS16:BS63,_xlpm.p),_xlpm.u,INDEX(BT16:BT63,_xlpm.p),_xlpm.s,INDEX(BV16:BV63,_xlpm.p),_xlpm.q,N(BA118)/_xlpm.f,IF(_xlpm.q&gt;=_xlpm.s,ROUND(_xlpm.q,1)&amp;" "&amp;_xlpm.ai_test&amp;" = "&amp;ROUND(_xlpm.q*_xlpm.f,1)&amp;" "&amp;_xlpm.u,ROUND(_xlpm.q,1)&amp;" "&amp;_xlpm.ai_test)),""),""))))</f>
        <v>0</v>
      </c>
      <c r="BD118" s="801"/>
      <c r="BE118" s="799" t="str">
        <f t="shared" si="64"/>
        <v/>
      </c>
      <c r="BF118" s="800" t="str">
        <f t="shared" si="65"/>
        <v/>
      </c>
      <c r="BG118" s="802">
        <f t="shared" si="70"/>
        <v>0</v>
      </c>
      <c r="BH118" s="803" t="str">
        <f t="shared" si="71"/>
        <v/>
      </c>
      <c r="BI118" s="792"/>
      <c r="BJ118" s="804">
        <f t="shared" si="69"/>
        <v>0</v>
      </c>
      <c r="BK118" s="794" t="str">
        <f t="shared" si="66"/>
        <v/>
      </c>
      <c r="BL118" s="227" t="s">
        <v>21</v>
      </c>
      <c r="BM118" s="773">
        <f t="shared" si="55"/>
        <v>0</v>
      </c>
      <c r="BN118" s="774">
        <f t="shared" si="56"/>
        <v>0</v>
      </c>
      <c r="CC118"/>
      <c r="CD118" s="781" t="str">
        <f t="shared" si="46"/>
        <v>►</v>
      </c>
      <c r="CJ118" s="719"/>
      <c r="DI118" s="3">
        <v>1</v>
      </c>
    </row>
    <row r="119" spans="1:113" s="627" customFormat="1" ht="21" customHeight="1">
      <c r="A119" s="701" t="s">
        <v>21</v>
      </c>
      <c r="B119" s="2265" t="str" cm="1">
        <f t="array" ref="B119">SUMPRODUCT(--(D119:J119&lt;&gt;""), LEN(TRIM(SUBSTITUTE(D119:J119, CHAR(160), "")))) &amp; " Car."</f>
        <v>0 Car.</v>
      </c>
      <c r="C119" s="1376" t="str">
        <f>IF(ISBLANK(D119),"",LARGE(C13:C118,1)+1)</f>
        <v/>
      </c>
      <c r="D119" s="1833"/>
      <c r="E119" s="1810"/>
      <c r="F119" s="1810"/>
      <c r="G119" s="1810"/>
      <c r="H119" s="1810"/>
      <c r="I119" s="1810"/>
      <c r="J119" s="1810"/>
      <c r="K119" s="1810"/>
      <c r="L119" s="1811"/>
      <c r="M119" s="9"/>
      <c r="N119" s="25" t="str">
        <f t="shared" si="47"/>
        <v>►</v>
      </c>
      <c r="O119" s="1616"/>
      <c r="P119" s="9"/>
      <c r="Q119" s="25" t="s">
        <v>15</v>
      </c>
      <c r="R119" s="31"/>
      <c r="S119" s="32"/>
      <c r="T119" s="31"/>
      <c r="U119" s="33"/>
      <c r="V119" s="1967"/>
      <c r="W119" s="1805"/>
      <c r="X119" s="91"/>
      <c r="Y119" s="1806"/>
      <c r="Z119" s="1968"/>
      <c r="AA119" s="2244"/>
      <c r="AB119" s="1969"/>
      <c r="AC119" s="1365"/>
      <c r="AD119" s="95"/>
      <c r="AE119" s="1326"/>
      <c r="AF119" s="97"/>
      <c r="AG119" s="1737"/>
      <c r="AH119" s="1970"/>
      <c r="AI119" s="99"/>
      <c r="AJ119" s="1809"/>
      <c r="AK119" s="6120" t="str">
        <f t="shared" si="51"/>
        <v>►</v>
      </c>
      <c r="AL119" s="781" t="str">
        <f t="shared" si="53"/>
        <v>►</v>
      </c>
      <c r="AM119" s="5499" t="str">
        <f t="shared" si="57"/>
        <v/>
      </c>
      <c r="AN119" s="783" t="str">
        <f t="shared" si="58"/>
        <v/>
      </c>
      <c r="AO119" s="782" t="str">
        <f t="shared" si="59"/>
        <v/>
      </c>
      <c r="AP119" s="783" t="str">
        <f t="shared" si="60"/>
        <v/>
      </c>
      <c r="AQ119" s="2083" t="b">
        <f>AND(Q119="A",COUNTIF(BP16:BR63,TRIM(Z119))&gt;0)</f>
        <v>0</v>
      </c>
      <c r="AR119" s="797" t="str">
        <f>IF(AL119&lt;&gt;"A","",IFERROR(IFERROR(_xlfn.XLOOKUP(TRIM(SUBSTITUTE(Z119,CHAR(160)," ")),BP16:BP63,BS16:BS63),IFERROR(_xlfn.XLOOKUP(TRIM(SUBSTITUTE(Z119,CHAR(160)," ")),BQ16:BQ63,BS16:BS63),_xlfn.XLOOKUP(TRIM(SUBSTITUTE(Z119,CHAR(160)," ")),BR16:BR63,BS16:BS63)))*Y119*IF(ISBLANK(V119),1,V119),0))</f>
        <v/>
      </c>
      <c r="AS119" s="784" t="str">
        <f t="shared" si="54"/>
        <v/>
      </c>
      <c r="AT119" s="1315" t="str">
        <f t="shared" si="61"/>
        <v/>
      </c>
      <c r="AU119" s="785">
        <f t="shared" si="62"/>
        <v>0</v>
      </c>
      <c r="AV119" s="785">
        <f t="shared" si="63"/>
        <v>0</v>
      </c>
      <c r="AW119" s="786">
        <f>IF(AK119="A",AY10,0)</f>
        <v>0</v>
      </c>
      <c r="AX119" s="5495" t="str">
        <f>IF(IFERROR(SEARCH("Adresse PC",TRIM(W119)),0)&gt;0,"▼ receta siguiente",IF(AK119="A",IF(AZ10&lt;&gt;"",AZ10&amp;" - ou.or.o ❾ + or - &gt;",""),""))</f>
        <v/>
      </c>
      <c r="AY119" s="810"/>
      <c r="AZ119" s="810"/>
      <c r="BA119" s="788" t="str">
        <f t="shared" si="52"/>
        <v/>
      </c>
      <c r="BB119" s="789" t="str">
        <f>IF(AK119="A",IF(AQ119,IF(AND(AW119&lt;&gt;"",N(AW119)&gt;0),IFERROR(IFERROR(_xlfn.XLOOKUP(AP119,BP10:BP57,BT10:BT57),IFERROR(_xlfn.XLOOKUP(AP119,BQ10:BQ57,BT10:BT57),_xlfn.XLOOKUP(AP119,BR10:BR57,BT10:BT57,""))),""),""),""),"")</f>
        <v/>
      </c>
      <c r="BC119" s="811" cm="1">
        <f t="array" ref="BC119">IF(NOT(AQ119),0,IF(OR(BA119="",N(BA119)&lt;=0.000000001),"",IF(OR(AU119="",N(AU119)&lt;=0.000000001),0,IF(ISNUMBER(BA119),IFERROR(_xlfn.LET(_xlpm.ai_test,TRIM(AP119),_xlpm.r,IFERROR(_xlfn.XLOOKUP(_xlpm.ai_test,BP16:BP63,ROW(BP16:BP63),0,1),IFERROR(_xlfn.XLOOKUP(_xlpm.ai_test,BQ16:BQ63,ROW(BQ16:BQ63),0,1),_xlfn.XLOOKUP(_xlpm.ai_test,BR16:BR63,ROW(BR16:BR63),0,1))),_xlpm.p,_xlpm.r-MIN(ROW(BP16:BP63))+1,_xlpm.f,INDEX(BS16:BS63,_xlpm.p),_xlpm.u,INDEX(BT16:BT63,_xlpm.p),_xlpm.s,INDEX(BV16:BV63,_xlpm.p),_xlpm.q,N(BA119)/_xlpm.f,IF(_xlpm.q&gt;=_xlpm.s,ROUND(_xlpm.q,1)&amp;" "&amp;_xlpm.ai_test&amp;" = "&amp;ROUND(_xlpm.q*_xlpm.f,1)&amp;" "&amp;_xlpm.u,ROUND(_xlpm.q,1)&amp;" "&amp;_xlpm.ai_test)),""),""))))</f>
        <v>0</v>
      </c>
      <c r="BD119" s="801"/>
      <c r="BE119" s="788" t="str">
        <f t="shared" si="64"/>
        <v/>
      </c>
      <c r="BF119" s="789" t="str">
        <f t="shared" si="65"/>
        <v/>
      </c>
      <c r="BG119" s="790">
        <f t="shared" si="70"/>
        <v>0</v>
      </c>
      <c r="BH119" s="791" t="str">
        <f t="shared" si="71"/>
        <v/>
      </c>
      <c r="BI119" s="792"/>
      <c r="BJ119" s="793">
        <f t="shared" si="69"/>
        <v>0</v>
      </c>
      <c r="BK119" s="794" t="str">
        <f t="shared" si="66"/>
        <v/>
      </c>
      <c r="BL119" s="227" t="s">
        <v>21</v>
      </c>
      <c r="BM119" s="773">
        <f t="shared" si="55"/>
        <v>0</v>
      </c>
      <c r="BN119" s="774">
        <f t="shared" si="56"/>
        <v>0</v>
      </c>
      <c r="CC119"/>
      <c r="CD119" s="781" t="str">
        <f t="shared" si="46"/>
        <v>►</v>
      </c>
      <c r="CJ119" s="719"/>
      <c r="DI119" s="3">
        <v>1</v>
      </c>
    </row>
    <row r="120" spans="1:113" s="627" customFormat="1" ht="21" customHeight="1">
      <c r="A120" s="701" t="s">
        <v>21</v>
      </c>
      <c r="B120" s="2265" t="str" cm="1">
        <f t="array" ref="B120">SUMPRODUCT(--(D120:J120&lt;&gt;""), LEN(TRIM(SUBSTITUTE(D120:J120, CHAR(160), "")))) &amp; " Car."</f>
        <v>0 Car.</v>
      </c>
      <c r="C120" s="1376" t="str">
        <f>IF(ISBLANK(D120),"",LARGE(C13:C119,1)+1)</f>
        <v/>
      </c>
      <c r="D120" s="1833"/>
      <c r="E120" s="1810"/>
      <c r="F120" s="1810"/>
      <c r="G120" s="1810"/>
      <c r="H120" s="1810"/>
      <c r="I120" s="1810"/>
      <c r="J120" s="1810"/>
      <c r="K120" s="1810"/>
      <c r="L120" s="1811"/>
      <c r="M120" s="9"/>
      <c r="N120" s="25" t="str">
        <f t="shared" si="47"/>
        <v>►</v>
      </c>
      <c r="O120" s="1616"/>
      <c r="P120" s="9"/>
      <c r="Q120" s="25" t="s">
        <v>15</v>
      </c>
      <c r="R120" s="31"/>
      <c r="S120" s="32"/>
      <c r="T120" s="31"/>
      <c r="U120" s="33"/>
      <c r="V120" s="1967"/>
      <c r="W120" s="1805"/>
      <c r="X120" s="91"/>
      <c r="Y120" s="1806"/>
      <c r="Z120" s="1968"/>
      <c r="AA120" s="2244"/>
      <c r="AB120" s="1969"/>
      <c r="AC120" s="1365"/>
      <c r="AD120" s="95"/>
      <c r="AE120" s="1326"/>
      <c r="AF120" s="97"/>
      <c r="AG120" s="1737"/>
      <c r="AH120" s="1970"/>
      <c r="AI120" s="99"/>
      <c r="AJ120" s="1809"/>
      <c r="AK120" s="6120" t="str">
        <f t="shared" si="51"/>
        <v>►</v>
      </c>
      <c r="AL120" s="781" t="str">
        <f t="shared" si="53"/>
        <v>►</v>
      </c>
      <c r="AM120" s="5498" t="str">
        <f t="shared" si="57"/>
        <v/>
      </c>
      <c r="AN120" s="783" t="str">
        <f t="shared" si="58"/>
        <v/>
      </c>
      <c r="AO120" s="782" t="str">
        <f t="shared" si="59"/>
        <v/>
      </c>
      <c r="AP120" s="783" t="str">
        <f t="shared" si="60"/>
        <v/>
      </c>
      <c r="AQ120" s="2083" t="b">
        <f>AND(Q120="A",COUNTIF(BP16:BR63,TRIM(Z120))&gt;0)</f>
        <v>0</v>
      </c>
      <c r="AR120" s="797" t="str">
        <f>IF(AL120&lt;&gt;"A","",IFERROR(IFERROR(_xlfn.XLOOKUP(TRIM(SUBSTITUTE(Z120,CHAR(160)," ")),BP16:BP63,BS16:BS63),IFERROR(_xlfn.XLOOKUP(TRIM(SUBSTITUTE(Z120,CHAR(160)," ")),BQ16:BQ63,BS16:BS63),_xlfn.XLOOKUP(TRIM(SUBSTITUTE(Z120,CHAR(160)," ")),BR16:BR63,BS16:BS63)))*Y120*IF(ISBLANK(V120),1,V120),0))</f>
        <v/>
      </c>
      <c r="AS120" s="784" t="str">
        <f t="shared" si="54"/>
        <v/>
      </c>
      <c r="AT120" s="1315" t="str">
        <f t="shared" si="61"/>
        <v/>
      </c>
      <c r="AU120" s="785">
        <f t="shared" si="62"/>
        <v>0</v>
      </c>
      <c r="AV120" s="785">
        <f t="shared" si="63"/>
        <v>0</v>
      </c>
      <c r="AW120" s="798">
        <f>IF(AK120="A",AY10,0)</f>
        <v>0</v>
      </c>
      <c r="AX120" s="5496" t="str">
        <f>IF(IFERROR(SEARCH("Adresse PC",TRIM(W120)),0)&gt;0,"▼ receta siguiente",IF(AK120="A",IF(AZ10&lt;&gt;"",AZ10&amp;" - ou.or.o ❾ + or - &gt;",""),""))</f>
        <v/>
      </c>
      <c r="AY120" s="810"/>
      <c r="AZ120" s="810"/>
      <c r="BA120" s="799" t="str">
        <f t="shared" si="52"/>
        <v/>
      </c>
      <c r="BB120" s="800" t="str">
        <f>IF(AK120="A",IF(AQ120,IF(AND(AW120&lt;&gt;"",N(AW120)&gt;0),IFERROR(IFERROR(_xlfn.XLOOKUP(AP120,BP10:BP57,BT10:BT57),IFERROR(_xlfn.XLOOKUP(AP120,BQ10:BQ57,BT10:BT57),_xlfn.XLOOKUP(AP120,BR10:BR57,BT10:BT57,""))),""),""),""),"")</f>
        <v/>
      </c>
      <c r="BC120" s="813" cm="1">
        <f t="array" ref="BC120">IF(NOT(AQ120),0,IF(OR(BA120="",N(BA120)&lt;=0.000000001),"",IF(OR(AU120="",N(AU120)&lt;=0.000000001),0,IF(ISNUMBER(BA120),IFERROR(_xlfn.LET(_xlpm.ai_test,TRIM(AP120),_xlpm.r,IFERROR(_xlfn.XLOOKUP(_xlpm.ai_test,BP16:BP63,ROW(BP16:BP63),0,1),IFERROR(_xlfn.XLOOKUP(_xlpm.ai_test,BQ16:BQ63,ROW(BQ16:BQ63),0,1),_xlfn.XLOOKUP(_xlpm.ai_test,BR16:BR63,ROW(BR16:BR63),0,1))),_xlpm.p,_xlpm.r-MIN(ROW(BP16:BP63))+1,_xlpm.f,INDEX(BS16:BS63,_xlpm.p),_xlpm.u,INDEX(BT16:BT63,_xlpm.p),_xlpm.s,INDEX(BV16:BV63,_xlpm.p),_xlpm.q,N(BA120)/_xlpm.f,IF(_xlpm.q&gt;=_xlpm.s,ROUND(_xlpm.q,1)&amp;" "&amp;_xlpm.ai_test&amp;" = "&amp;ROUND(_xlpm.q*_xlpm.f,1)&amp;" "&amp;_xlpm.u,ROUND(_xlpm.q,1)&amp;" "&amp;_xlpm.ai_test)),""),""))))</f>
        <v>0</v>
      </c>
      <c r="BD120" s="801"/>
      <c r="BE120" s="799" t="str">
        <f t="shared" si="64"/>
        <v/>
      </c>
      <c r="BF120" s="800" t="str">
        <f t="shared" si="65"/>
        <v/>
      </c>
      <c r="BG120" s="802">
        <f t="shared" si="70"/>
        <v>0</v>
      </c>
      <c r="BH120" s="803" t="str">
        <f t="shared" si="71"/>
        <v/>
      </c>
      <c r="BI120" s="792"/>
      <c r="BJ120" s="804">
        <f t="shared" si="69"/>
        <v>0</v>
      </c>
      <c r="BK120" s="794" t="str">
        <f t="shared" si="66"/>
        <v/>
      </c>
      <c r="BL120" s="227" t="s">
        <v>21</v>
      </c>
      <c r="BM120" s="773">
        <f t="shared" si="55"/>
        <v>0</v>
      </c>
      <c r="BN120" s="774">
        <f t="shared" si="56"/>
        <v>0</v>
      </c>
      <c r="CC120"/>
      <c r="CD120" s="781" t="str">
        <f t="shared" si="46"/>
        <v>►</v>
      </c>
      <c r="CJ120" s="719"/>
      <c r="DI120" s="3">
        <v>1</v>
      </c>
    </row>
    <row r="121" spans="1:113" s="627" customFormat="1" ht="21" customHeight="1">
      <c r="A121" s="701" t="s">
        <v>21</v>
      </c>
      <c r="B121" s="2265" t="str" cm="1">
        <f t="array" ref="B121">SUMPRODUCT(--(D121:J121&lt;&gt;""), LEN(TRIM(SUBSTITUTE(D121:J121, CHAR(160), "")))) &amp; " Car."</f>
        <v>0 Car.</v>
      </c>
      <c r="C121" s="1376" t="str">
        <f>IF(ISBLANK(D121),"",LARGE(C13:C120,1)+1)</f>
        <v/>
      </c>
      <c r="D121" s="1833"/>
      <c r="E121" s="1810"/>
      <c r="F121" s="1810"/>
      <c r="G121" s="1810"/>
      <c r="H121" s="1810"/>
      <c r="I121" s="1810"/>
      <c r="J121" s="1810"/>
      <c r="K121" s="1810"/>
      <c r="L121" s="1811"/>
      <c r="M121" s="9"/>
      <c r="N121" s="25" t="str">
        <f t="shared" si="47"/>
        <v>►</v>
      </c>
      <c r="O121" s="1616"/>
      <c r="P121" s="9"/>
      <c r="Q121" s="25" t="s">
        <v>15</v>
      </c>
      <c r="R121" s="31"/>
      <c r="S121" s="32"/>
      <c r="T121" s="31"/>
      <c r="U121" s="33"/>
      <c r="V121" s="1967"/>
      <c r="W121" s="1805"/>
      <c r="X121" s="91"/>
      <c r="Y121" s="1806"/>
      <c r="Z121" s="1968"/>
      <c r="AA121" s="2244"/>
      <c r="AB121" s="1969"/>
      <c r="AC121" s="1365"/>
      <c r="AD121" s="95"/>
      <c r="AE121" s="1326"/>
      <c r="AF121" s="97"/>
      <c r="AG121" s="1737"/>
      <c r="AH121" s="1970"/>
      <c r="AI121" s="99"/>
      <c r="AJ121" s="1809"/>
      <c r="AK121" s="6120" t="str">
        <f t="shared" si="51"/>
        <v>►</v>
      </c>
      <c r="AL121" s="781" t="str">
        <f t="shared" si="53"/>
        <v>►</v>
      </c>
      <c r="AM121" s="5499" t="str">
        <f t="shared" si="57"/>
        <v/>
      </c>
      <c r="AN121" s="783" t="str">
        <f t="shared" si="58"/>
        <v/>
      </c>
      <c r="AO121" s="782" t="str">
        <f t="shared" si="59"/>
        <v/>
      </c>
      <c r="AP121" s="783" t="str">
        <f t="shared" si="60"/>
        <v/>
      </c>
      <c r="AQ121" s="2083" t="b">
        <f>AND(Q121="A",COUNTIF(BP16:BR63,TRIM(Z121))&gt;0)</f>
        <v>0</v>
      </c>
      <c r="AR121" s="797" t="str">
        <f>IF(AL121&lt;&gt;"A","",IFERROR(IFERROR(_xlfn.XLOOKUP(TRIM(SUBSTITUTE(Z121,CHAR(160)," ")),BP16:BP63,BS16:BS63),IFERROR(_xlfn.XLOOKUP(TRIM(SUBSTITUTE(Z121,CHAR(160)," ")),BQ16:BQ63,BS16:BS63),_xlfn.XLOOKUP(TRIM(SUBSTITUTE(Z121,CHAR(160)," ")),BR16:BR63,BS16:BS63)))*Y121*IF(ISBLANK(V121),1,V121),0))</f>
        <v/>
      </c>
      <c r="AS121" s="784" t="str">
        <f t="shared" si="54"/>
        <v/>
      </c>
      <c r="AT121" s="1315" t="str">
        <f t="shared" si="61"/>
        <v/>
      </c>
      <c r="AU121" s="785">
        <f t="shared" si="62"/>
        <v>0</v>
      </c>
      <c r="AV121" s="785">
        <f t="shared" si="63"/>
        <v>0</v>
      </c>
      <c r="AW121" s="786">
        <f>IF(AK121="A",AY10,0)</f>
        <v>0</v>
      </c>
      <c r="AX121" s="5495" t="str">
        <f>IF(IFERROR(SEARCH("Adresse PC",TRIM(W121)),0)&gt;0,"▼ receta siguiente",IF(AK121="A",IF(AZ10&lt;&gt;"",AZ10&amp;" - ou.or.o ❾ + or - &gt;",""),""))</f>
        <v/>
      </c>
      <c r="AY121" s="1316"/>
      <c r="AZ121" s="787"/>
      <c r="BA121" s="788" t="str">
        <f t="shared" si="52"/>
        <v/>
      </c>
      <c r="BB121" s="789" t="str">
        <f>IF(AK121="A",IF(AQ121,IF(AND(AW121&lt;&gt;"",N(AW121)&gt;0),IFERROR(IFERROR(_xlfn.XLOOKUP(AP121,BP10:BP57,BT10:BT57),IFERROR(_xlfn.XLOOKUP(AP121,BQ10:BQ57,BT10:BT57),_xlfn.XLOOKUP(AP121,BR10:BR57,BT10:BT57,""))),""),""),""),"")</f>
        <v/>
      </c>
      <c r="BC121" s="811" cm="1">
        <f t="array" ref="BC121">IF(NOT(AQ121),0,IF(OR(BA121="",N(BA121)&lt;=0.000000001),"",IF(OR(AU121="",N(AU121)&lt;=0.000000001),0,IF(ISNUMBER(BA121),IFERROR(_xlfn.LET(_xlpm.ai_test,TRIM(AP121),_xlpm.r,IFERROR(_xlfn.XLOOKUP(_xlpm.ai_test,BP16:BP63,ROW(BP16:BP63),0,1),IFERROR(_xlfn.XLOOKUP(_xlpm.ai_test,BQ16:BQ63,ROW(BQ16:BQ63),0,1),_xlfn.XLOOKUP(_xlpm.ai_test,BR16:BR63,ROW(BR16:BR63),0,1))),_xlpm.p,_xlpm.r-MIN(ROW(BP16:BP63))+1,_xlpm.f,INDEX(BS16:BS63,_xlpm.p),_xlpm.u,INDEX(BT16:BT63,_xlpm.p),_xlpm.s,INDEX(BV16:BV63,_xlpm.p),_xlpm.q,N(BA121)/_xlpm.f,IF(_xlpm.q&gt;=_xlpm.s,ROUND(_xlpm.q,1)&amp;" "&amp;_xlpm.ai_test&amp;" = "&amp;ROUND(_xlpm.q*_xlpm.f,1)&amp;" "&amp;_xlpm.u,ROUND(_xlpm.q,1)&amp;" "&amp;_xlpm.ai_test)),""),""))))</f>
        <v>0</v>
      </c>
      <c r="BD121" s="801"/>
      <c r="BE121" s="788" t="str">
        <f t="shared" si="64"/>
        <v/>
      </c>
      <c r="BF121" s="789" t="str">
        <f t="shared" si="65"/>
        <v/>
      </c>
      <c r="BG121" s="790">
        <f t="shared" si="70"/>
        <v>0</v>
      </c>
      <c r="BH121" s="791" t="str">
        <f t="shared" si="71"/>
        <v/>
      </c>
      <c r="BI121" s="792"/>
      <c r="BJ121" s="793">
        <f t="shared" si="69"/>
        <v>0</v>
      </c>
      <c r="BK121" s="794" t="str">
        <f t="shared" si="66"/>
        <v/>
      </c>
      <c r="BL121" s="227" t="s">
        <v>21</v>
      </c>
      <c r="BM121" s="773">
        <f t="shared" si="55"/>
        <v>0</v>
      </c>
      <c r="BN121" s="774">
        <f t="shared" si="56"/>
        <v>0</v>
      </c>
      <c r="CC121"/>
      <c r="CD121" s="781" t="str">
        <f t="shared" si="46"/>
        <v>►</v>
      </c>
      <c r="CJ121" s="719"/>
      <c r="DI121" s="3">
        <v>1</v>
      </c>
    </row>
    <row r="122" spans="1:113" s="627" customFormat="1" ht="21" customHeight="1">
      <c r="A122" s="701" t="s">
        <v>21</v>
      </c>
      <c r="B122" s="2265" t="str" cm="1">
        <f t="array" ref="B122">SUMPRODUCT(--(D122:J122&lt;&gt;""), LEN(TRIM(SUBSTITUTE(D122:J122, CHAR(160), "")))) &amp; " Car."</f>
        <v>0 Car.</v>
      </c>
      <c r="C122" s="1376" t="str">
        <f>IF(ISBLANK(D122),"",LARGE(C13:C121,1)+1)</f>
        <v/>
      </c>
      <c r="D122" s="1833"/>
      <c r="E122" s="1810"/>
      <c r="F122" s="1810"/>
      <c r="G122" s="1810"/>
      <c r="H122" s="1810"/>
      <c r="I122" s="1810"/>
      <c r="J122" s="1810"/>
      <c r="K122" s="1810"/>
      <c r="L122" s="1811"/>
      <c r="M122" s="9"/>
      <c r="N122" s="25" t="str">
        <f t="shared" si="47"/>
        <v>►</v>
      </c>
      <c r="O122" s="1616"/>
      <c r="P122" s="9"/>
      <c r="Q122" s="25" t="s">
        <v>15</v>
      </c>
      <c r="R122" s="31"/>
      <c r="S122" s="32"/>
      <c r="T122" s="31"/>
      <c r="U122" s="33"/>
      <c r="V122" s="1967"/>
      <c r="W122" s="1805"/>
      <c r="X122" s="91"/>
      <c r="Y122" s="1806"/>
      <c r="Z122" s="1968"/>
      <c r="AA122" s="2244"/>
      <c r="AB122" s="1969"/>
      <c r="AC122" s="1365"/>
      <c r="AD122" s="95"/>
      <c r="AE122" s="1326"/>
      <c r="AF122" s="97"/>
      <c r="AG122" s="1737"/>
      <c r="AH122" s="1970"/>
      <c r="AI122" s="99"/>
      <c r="AJ122" s="1809"/>
      <c r="AK122" s="6120" t="str">
        <f t="shared" si="51"/>
        <v>►</v>
      </c>
      <c r="AL122" s="781" t="str">
        <f t="shared" si="53"/>
        <v>►</v>
      </c>
      <c r="AM122" s="5498" t="str">
        <f t="shared" si="57"/>
        <v/>
      </c>
      <c r="AN122" s="783" t="str">
        <f t="shared" si="58"/>
        <v/>
      </c>
      <c r="AO122" s="782" t="str">
        <f t="shared" si="59"/>
        <v/>
      </c>
      <c r="AP122" s="783" t="str">
        <f t="shared" si="60"/>
        <v/>
      </c>
      <c r="AQ122" s="2083" t="b">
        <f>AND(Q122="A",COUNTIF(BP16:BR63,TRIM(Z122))&gt;0)</f>
        <v>0</v>
      </c>
      <c r="AR122" s="797" t="str">
        <f>IF(AL122&lt;&gt;"A","",IFERROR(IFERROR(_xlfn.XLOOKUP(TRIM(SUBSTITUTE(Z122,CHAR(160)," ")),BP16:BP63,BS16:BS63),IFERROR(_xlfn.XLOOKUP(TRIM(SUBSTITUTE(Z122,CHAR(160)," ")),BQ16:BQ63,BS16:BS63),_xlfn.XLOOKUP(TRIM(SUBSTITUTE(Z122,CHAR(160)," ")),BR16:BR63,BS16:BS63)))*Y122*IF(ISBLANK(V122),1,V122),0))</f>
        <v/>
      </c>
      <c r="AS122" s="784" t="str">
        <f t="shared" si="54"/>
        <v/>
      </c>
      <c r="AT122" s="1315" t="str">
        <f t="shared" si="61"/>
        <v/>
      </c>
      <c r="AU122" s="785">
        <f t="shared" si="62"/>
        <v>0</v>
      </c>
      <c r="AV122" s="785">
        <f t="shared" si="63"/>
        <v>0</v>
      </c>
      <c r="AW122" s="798">
        <f>IF(AK122="A",AY10,0)</f>
        <v>0</v>
      </c>
      <c r="AX122" s="5496" t="str">
        <f>IF(IFERROR(SEARCH("Adresse PC",TRIM(W122)),0)&gt;0,"▼ receta siguiente",IF(AK122="A",IF(AZ10&lt;&gt;"",AZ10&amp;" - ou.or.o ❾ + or - &gt;",""),""))</f>
        <v/>
      </c>
      <c r="AY122" s="1316"/>
      <c r="AZ122" s="787"/>
      <c r="BA122" s="799" t="str">
        <f t="shared" si="52"/>
        <v/>
      </c>
      <c r="BB122" s="800" t="str">
        <f>IF(AK122="A",IF(AQ122,IF(AND(AW122&lt;&gt;"",N(AW122)&gt;0),IFERROR(IFERROR(_xlfn.XLOOKUP(AP122,BP10:BP57,BT10:BT57),IFERROR(_xlfn.XLOOKUP(AP122,BQ10:BQ57,BT10:BT57),_xlfn.XLOOKUP(AP122,BR10:BR57,BT10:BT57,""))),""),""),""),"")</f>
        <v/>
      </c>
      <c r="BC122" s="813" cm="1">
        <f t="array" ref="BC122">IF(NOT(AQ122),0,IF(OR(BA122="",N(BA122)&lt;=0.000000001),"",IF(OR(AU122="",N(AU122)&lt;=0.000000001),0,IF(ISNUMBER(BA122),IFERROR(_xlfn.LET(_xlpm.ai_test,TRIM(AP122),_xlpm.r,IFERROR(_xlfn.XLOOKUP(_xlpm.ai_test,BP16:BP63,ROW(BP16:BP63),0,1),IFERROR(_xlfn.XLOOKUP(_xlpm.ai_test,BQ16:BQ63,ROW(BQ16:BQ63),0,1),_xlfn.XLOOKUP(_xlpm.ai_test,BR16:BR63,ROW(BR16:BR63),0,1))),_xlpm.p,_xlpm.r-MIN(ROW(BP16:BP63))+1,_xlpm.f,INDEX(BS16:BS63,_xlpm.p),_xlpm.u,INDEX(BT16:BT63,_xlpm.p),_xlpm.s,INDEX(BV16:BV63,_xlpm.p),_xlpm.q,N(BA122)/_xlpm.f,IF(_xlpm.q&gt;=_xlpm.s,ROUND(_xlpm.q,1)&amp;" "&amp;_xlpm.ai_test&amp;" = "&amp;ROUND(_xlpm.q*_xlpm.f,1)&amp;" "&amp;_xlpm.u,ROUND(_xlpm.q,1)&amp;" "&amp;_xlpm.ai_test)),""),""))))</f>
        <v>0</v>
      </c>
      <c r="BD122" s="801"/>
      <c r="BE122" s="799" t="str">
        <f t="shared" si="64"/>
        <v/>
      </c>
      <c r="BF122" s="800" t="str">
        <f t="shared" si="65"/>
        <v/>
      </c>
      <c r="BG122" s="802">
        <f t="shared" si="70"/>
        <v>0</v>
      </c>
      <c r="BH122" s="803" t="str">
        <f t="shared" si="71"/>
        <v/>
      </c>
      <c r="BI122" s="792"/>
      <c r="BJ122" s="804">
        <f t="shared" si="69"/>
        <v>0</v>
      </c>
      <c r="BK122" s="794" t="str">
        <f t="shared" si="66"/>
        <v/>
      </c>
      <c r="BL122" s="227" t="s">
        <v>21</v>
      </c>
      <c r="BM122" s="773">
        <f t="shared" si="55"/>
        <v>0</v>
      </c>
      <c r="BN122" s="774">
        <f t="shared" si="56"/>
        <v>0</v>
      </c>
      <c r="CC122"/>
      <c r="CD122" s="781" t="str">
        <f t="shared" si="46"/>
        <v>►</v>
      </c>
      <c r="CJ122" s="719"/>
      <c r="DI122" s="3">
        <v>1</v>
      </c>
    </row>
    <row r="123" spans="1:113" s="627" customFormat="1" ht="21" customHeight="1">
      <c r="A123" s="701" t="s">
        <v>21</v>
      </c>
      <c r="B123" s="2265" t="str" cm="1">
        <f t="array" ref="B123">SUMPRODUCT(--(D123:J123&lt;&gt;""), LEN(TRIM(SUBSTITUTE(D123:J123, CHAR(160), "")))) &amp; " Car."</f>
        <v>0 Car.</v>
      </c>
      <c r="C123" s="1376" t="str">
        <f>IF(ISBLANK(D123),"",LARGE(C13:C122,1)+1)</f>
        <v/>
      </c>
      <c r="D123" s="1833"/>
      <c r="E123" s="1810"/>
      <c r="F123" s="1810"/>
      <c r="G123" s="1810"/>
      <c r="H123" s="1810"/>
      <c r="I123" s="1810"/>
      <c r="J123" s="1810"/>
      <c r="K123" s="1810"/>
      <c r="L123" s="1811"/>
      <c r="M123" s="9"/>
      <c r="N123" s="25" t="str">
        <f t="shared" si="47"/>
        <v>►</v>
      </c>
      <c r="O123" s="1616"/>
      <c r="P123" s="9"/>
      <c r="Q123" s="25" t="s">
        <v>15</v>
      </c>
      <c r="R123" s="31"/>
      <c r="S123" s="32"/>
      <c r="T123" s="31"/>
      <c r="U123" s="33"/>
      <c r="V123" s="1967"/>
      <c r="W123" s="1805"/>
      <c r="X123" s="91"/>
      <c r="Y123" s="1806"/>
      <c r="Z123" s="1968"/>
      <c r="AA123" s="2244"/>
      <c r="AB123" s="1969"/>
      <c r="AC123" s="1365"/>
      <c r="AD123" s="95"/>
      <c r="AE123" s="1326"/>
      <c r="AF123" s="97"/>
      <c r="AG123" s="1737"/>
      <c r="AH123" s="1970"/>
      <c r="AI123" s="99"/>
      <c r="AJ123" s="1809"/>
      <c r="AK123" s="6120" t="str">
        <f t="shared" si="51"/>
        <v>►</v>
      </c>
      <c r="AL123" s="781" t="str">
        <f t="shared" si="53"/>
        <v>►</v>
      </c>
      <c r="AM123" s="5499" t="str">
        <f t="shared" si="57"/>
        <v/>
      </c>
      <c r="AN123" s="783" t="str">
        <f t="shared" si="58"/>
        <v/>
      </c>
      <c r="AO123" s="782" t="str">
        <f t="shared" si="59"/>
        <v/>
      </c>
      <c r="AP123" s="783" t="str">
        <f t="shared" si="60"/>
        <v/>
      </c>
      <c r="AQ123" s="2083" t="b">
        <f>AND(Q123="A",COUNTIF(BP16:BR63,TRIM(Z123))&gt;0)</f>
        <v>0</v>
      </c>
      <c r="AR123" s="797" t="str">
        <f>IF(AL123&lt;&gt;"A","",IFERROR(IFERROR(_xlfn.XLOOKUP(TRIM(SUBSTITUTE(Z123,CHAR(160)," ")),BP16:BP63,BS16:BS63),IFERROR(_xlfn.XLOOKUP(TRIM(SUBSTITUTE(Z123,CHAR(160)," ")),BQ16:BQ63,BS16:BS63),_xlfn.XLOOKUP(TRIM(SUBSTITUTE(Z123,CHAR(160)," ")),BR16:BR63,BS16:BS63)))*Y123*IF(ISBLANK(V123),1,V123),0))</f>
        <v/>
      </c>
      <c r="AS123" s="784" t="str">
        <f t="shared" si="54"/>
        <v/>
      </c>
      <c r="AT123" s="1315" t="str">
        <f t="shared" si="61"/>
        <v/>
      </c>
      <c r="AU123" s="785">
        <f t="shared" si="62"/>
        <v>0</v>
      </c>
      <c r="AV123" s="785">
        <f t="shared" si="63"/>
        <v>0</v>
      </c>
      <c r="AW123" s="786">
        <f>IF(AK123="A",AY10,0)</f>
        <v>0</v>
      </c>
      <c r="AX123" s="5495" t="str">
        <f>IF(IFERROR(SEARCH("Adresse PC",TRIM(W123)),0)&gt;0,"▼ receta siguiente",IF(AK123="A",IF(AZ10&lt;&gt;"",AZ10&amp;" - ou.or.o ❾ + or - &gt;",""),""))</f>
        <v/>
      </c>
      <c r="AY123" s="1316"/>
      <c r="AZ123" s="787"/>
      <c r="BA123" s="788" t="str">
        <f t="shared" si="52"/>
        <v/>
      </c>
      <c r="BB123" s="789" t="str">
        <f>IF(AK123="A",IF(AQ123,IF(AND(AW123&lt;&gt;"",N(AW123)&gt;0),IFERROR(IFERROR(_xlfn.XLOOKUP(AP123,BP10:BP57,BT10:BT57),IFERROR(_xlfn.XLOOKUP(AP123,BQ10:BQ57,BT10:BT57),_xlfn.XLOOKUP(AP123,BR10:BR57,BT10:BT57,""))),""),""),""),"")</f>
        <v/>
      </c>
      <c r="BC123" s="811" cm="1">
        <f t="array" ref="BC123">IF(NOT(AQ123),0,IF(OR(BA123="",N(BA123)&lt;=0.000000001),"",IF(OR(AU123="",N(AU123)&lt;=0.000000001),0,IF(ISNUMBER(BA123),IFERROR(_xlfn.LET(_xlpm.ai_test,TRIM(AP123),_xlpm.r,IFERROR(_xlfn.XLOOKUP(_xlpm.ai_test,BP16:BP63,ROW(BP16:BP63),0,1),IFERROR(_xlfn.XLOOKUP(_xlpm.ai_test,BQ16:BQ63,ROW(BQ16:BQ63),0,1),_xlfn.XLOOKUP(_xlpm.ai_test,BR16:BR63,ROW(BR16:BR63),0,1))),_xlpm.p,_xlpm.r-MIN(ROW(BP16:BP63))+1,_xlpm.f,INDEX(BS16:BS63,_xlpm.p),_xlpm.u,INDEX(BT16:BT63,_xlpm.p),_xlpm.s,INDEX(BV16:BV63,_xlpm.p),_xlpm.q,N(BA123)/_xlpm.f,IF(_xlpm.q&gt;=_xlpm.s,ROUND(_xlpm.q,1)&amp;" "&amp;_xlpm.ai_test&amp;" = "&amp;ROUND(_xlpm.q*_xlpm.f,1)&amp;" "&amp;_xlpm.u,ROUND(_xlpm.q,1)&amp;" "&amp;_xlpm.ai_test)),""),""))))</f>
        <v>0</v>
      </c>
      <c r="BD123" s="801"/>
      <c r="BE123" s="788" t="str">
        <f t="shared" si="64"/>
        <v/>
      </c>
      <c r="BF123" s="789" t="str">
        <f t="shared" si="65"/>
        <v/>
      </c>
      <c r="BG123" s="790">
        <f t="shared" si="70"/>
        <v>0</v>
      </c>
      <c r="BH123" s="791" t="str">
        <f t="shared" si="71"/>
        <v/>
      </c>
      <c r="BI123" s="792"/>
      <c r="BJ123" s="793">
        <f t="shared" si="69"/>
        <v>0</v>
      </c>
      <c r="BK123" s="794" t="str">
        <f t="shared" si="66"/>
        <v/>
      </c>
      <c r="BL123" s="227" t="s">
        <v>21</v>
      </c>
      <c r="BM123" s="773">
        <f t="shared" si="55"/>
        <v>0</v>
      </c>
      <c r="BN123" s="774">
        <f t="shared" si="56"/>
        <v>0</v>
      </c>
      <c r="CC123"/>
      <c r="CD123" s="781" t="str">
        <f t="shared" si="46"/>
        <v>►</v>
      </c>
      <c r="CJ123" s="719"/>
      <c r="DI123" s="3">
        <v>1</v>
      </c>
    </row>
    <row r="124" spans="1:113" s="627" customFormat="1" ht="21" customHeight="1">
      <c r="A124" s="701" t="s">
        <v>21</v>
      </c>
      <c r="B124" s="2265" t="str" cm="1">
        <f t="array" ref="B124">SUMPRODUCT(--(D124:J124&lt;&gt;""), LEN(TRIM(SUBSTITUTE(D124:J124, CHAR(160), "")))) &amp; " Car."</f>
        <v>0 Car.</v>
      </c>
      <c r="C124" s="1376" t="str">
        <f>IF(ISBLANK(D124),"",LARGE(C13:C123,1)+1)</f>
        <v/>
      </c>
      <c r="D124" s="1833"/>
      <c r="E124" s="1810"/>
      <c r="F124" s="1810"/>
      <c r="G124" s="1810"/>
      <c r="H124" s="1810"/>
      <c r="I124" s="1810"/>
      <c r="J124" s="1810"/>
      <c r="K124" s="1810"/>
      <c r="L124" s="1811"/>
      <c r="M124" s="9"/>
      <c r="N124" s="25" t="str">
        <f t="shared" si="47"/>
        <v>►</v>
      </c>
      <c r="O124" s="1616"/>
      <c r="P124" s="9"/>
      <c r="Q124" s="25" t="s">
        <v>15</v>
      </c>
      <c r="R124" s="31"/>
      <c r="S124" s="32"/>
      <c r="T124" s="31"/>
      <c r="U124" s="33"/>
      <c r="V124" s="1967"/>
      <c r="W124" s="1805"/>
      <c r="X124" s="91"/>
      <c r="Y124" s="1806"/>
      <c r="Z124" s="1968"/>
      <c r="AA124" s="2244"/>
      <c r="AB124" s="1969"/>
      <c r="AC124" s="1365"/>
      <c r="AD124" s="95"/>
      <c r="AE124" s="1326"/>
      <c r="AF124" s="97"/>
      <c r="AG124" s="1737"/>
      <c r="AH124" s="1970"/>
      <c r="AI124" s="99"/>
      <c r="AJ124" s="1809"/>
      <c r="AK124" s="6120" t="str">
        <f t="shared" si="51"/>
        <v>►</v>
      </c>
      <c r="AL124" s="781" t="str">
        <f t="shared" si="53"/>
        <v>►</v>
      </c>
      <c r="AM124" s="5498" t="str">
        <f t="shared" si="57"/>
        <v/>
      </c>
      <c r="AN124" s="783" t="str">
        <f t="shared" si="58"/>
        <v/>
      </c>
      <c r="AO124" s="782" t="str">
        <f t="shared" si="59"/>
        <v/>
      </c>
      <c r="AP124" s="783" t="str">
        <f t="shared" si="60"/>
        <v/>
      </c>
      <c r="AQ124" s="2083" t="b">
        <f>AND(Q124="A",COUNTIF(BP16:BR63,TRIM(Z124))&gt;0)</f>
        <v>0</v>
      </c>
      <c r="AR124" s="797" t="str">
        <f>IF(AL124&lt;&gt;"A","",IFERROR(IFERROR(_xlfn.XLOOKUP(TRIM(SUBSTITUTE(Z124,CHAR(160)," ")),BP16:BP63,BS16:BS63),IFERROR(_xlfn.XLOOKUP(TRIM(SUBSTITUTE(Z124,CHAR(160)," ")),BQ16:BQ63,BS16:BS63),_xlfn.XLOOKUP(TRIM(SUBSTITUTE(Z124,CHAR(160)," ")),BR16:BR63,BS16:BS63)))*Y124*IF(ISBLANK(V124),1,V124),0))</f>
        <v/>
      </c>
      <c r="AS124" s="784" t="str">
        <f t="shared" si="54"/>
        <v/>
      </c>
      <c r="AT124" s="1315" t="str">
        <f t="shared" si="61"/>
        <v/>
      </c>
      <c r="AU124" s="785">
        <f t="shared" si="62"/>
        <v>0</v>
      </c>
      <c r="AV124" s="785">
        <f t="shared" si="63"/>
        <v>0</v>
      </c>
      <c r="AW124" s="798">
        <f>IF(AK124="A",AY10,0)</f>
        <v>0</v>
      </c>
      <c r="AX124" s="5496" t="str">
        <f>IF(IFERROR(SEARCH("Adresse PC",TRIM(W124)),0)&gt;0,"▼ receta siguiente",IF(AK124="A",IF(AZ10&lt;&gt;"",AZ10&amp;" - ou.or.o ❾ + or - &gt;",""),""))</f>
        <v/>
      </c>
      <c r="AY124" s="1316"/>
      <c r="AZ124" s="787"/>
      <c r="BA124" s="799" t="str">
        <f t="shared" si="52"/>
        <v/>
      </c>
      <c r="BB124" s="800" t="str">
        <f>IF(AK124="A",IF(AQ124,IF(AND(AW124&lt;&gt;"",N(AW124)&gt;0),IFERROR(IFERROR(_xlfn.XLOOKUP(AP124,BP10:BP57,BT10:BT57),IFERROR(_xlfn.XLOOKUP(AP124,BQ10:BQ57,BT10:BT57),_xlfn.XLOOKUP(AP124,BR10:BR57,BT10:BT57,""))),""),""),""),"")</f>
        <v/>
      </c>
      <c r="BC124" s="813" cm="1">
        <f t="array" ref="BC124">IF(NOT(AQ124),0,IF(OR(BA124="",N(BA124)&lt;=0.000000001),"",IF(OR(AU124="",N(AU124)&lt;=0.000000001),0,IF(ISNUMBER(BA124),IFERROR(_xlfn.LET(_xlpm.ai_test,TRIM(AP124),_xlpm.r,IFERROR(_xlfn.XLOOKUP(_xlpm.ai_test,BP16:BP63,ROW(BP16:BP63),0,1),IFERROR(_xlfn.XLOOKUP(_xlpm.ai_test,BQ16:BQ63,ROW(BQ16:BQ63),0,1),_xlfn.XLOOKUP(_xlpm.ai_test,BR16:BR63,ROW(BR16:BR63),0,1))),_xlpm.p,_xlpm.r-MIN(ROW(BP16:BP63))+1,_xlpm.f,INDEX(BS16:BS63,_xlpm.p),_xlpm.u,INDEX(BT16:BT63,_xlpm.p),_xlpm.s,INDEX(BV16:BV63,_xlpm.p),_xlpm.q,N(BA124)/_xlpm.f,IF(_xlpm.q&gt;=_xlpm.s,ROUND(_xlpm.q,1)&amp;" "&amp;_xlpm.ai_test&amp;" = "&amp;ROUND(_xlpm.q*_xlpm.f,1)&amp;" "&amp;_xlpm.u,ROUND(_xlpm.q,1)&amp;" "&amp;_xlpm.ai_test)),""),""))))</f>
        <v>0</v>
      </c>
      <c r="BD124" s="801"/>
      <c r="BE124" s="799" t="str">
        <f t="shared" si="64"/>
        <v/>
      </c>
      <c r="BF124" s="800" t="str">
        <f t="shared" si="65"/>
        <v/>
      </c>
      <c r="BG124" s="802">
        <f t="shared" si="70"/>
        <v>0</v>
      </c>
      <c r="BH124" s="803" t="str">
        <f t="shared" si="71"/>
        <v/>
      </c>
      <c r="BI124" s="792"/>
      <c r="BJ124" s="804">
        <f t="shared" si="69"/>
        <v>0</v>
      </c>
      <c r="BK124" s="794" t="str">
        <f t="shared" si="66"/>
        <v/>
      </c>
      <c r="BL124" s="227" t="s">
        <v>21</v>
      </c>
      <c r="BM124" s="773">
        <f t="shared" si="55"/>
        <v>0</v>
      </c>
      <c r="BN124" s="774">
        <f t="shared" si="56"/>
        <v>0</v>
      </c>
      <c r="CC124"/>
      <c r="CD124" s="781" t="str">
        <f t="shared" si="46"/>
        <v>►</v>
      </c>
      <c r="CJ124" s="719"/>
      <c r="DI124" s="3">
        <v>1</v>
      </c>
    </row>
    <row r="125" spans="1:113" s="627" customFormat="1" ht="21" customHeight="1">
      <c r="A125" s="701" t="s">
        <v>21</v>
      </c>
      <c r="B125" s="2265" t="str" cm="1">
        <f t="array" ref="B125">SUMPRODUCT(--(D125:J125&lt;&gt;""), LEN(TRIM(SUBSTITUTE(D125:J125, CHAR(160), "")))) &amp; " Car."</f>
        <v>0 Car.</v>
      </c>
      <c r="C125" s="1376" t="str">
        <f>IF(ISBLANK(D125),"",LARGE(C13:C124,1)+1)</f>
        <v/>
      </c>
      <c r="D125" s="1833"/>
      <c r="E125" s="1810"/>
      <c r="F125" s="1810"/>
      <c r="G125" s="1810"/>
      <c r="H125" s="1810"/>
      <c r="I125" s="1810"/>
      <c r="J125" s="1810"/>
      <c r="K125" s="1810"/>
      <c r="L125" s="1811"/>
      <c r="M125" s="9"/>
      <c r="N125" s="25" t="str">
        <f t="shared" si="47"/>
        <v>►</v>
      </c>
      <c r="O125" s="1616"/>
      <c r="P125" s="9"/>
      <c r="Q125" s="25" t="s">
        <v>15</v>
      </c>
      <c r="R125" s="31"/>
      <c r="S125" s="32"/>
      <c r="T125" s="31"/>
      <c r="U125" s="33"/>
      <c r="V125" s="1967"/>
      <c r="W125" s="1805"/>
      <c r="X125" s="91"/>
      <c r="Y125" s="1806"/>
      <c r="Z125" s="1968"/>
      <c r="AA125" s="2244"/>
      <c r="AB125" s="1969"/>
      <c r="AC125" s="1365"/>
      <c r="AD125" s="95"/>
      <c r="AE125" s="1326"/>
      <c r="AF125" s="97"/>
      <c r="AG125" s="1737"/>
      <c r="AH125" s="1970"/>
      <c r="AI125" s="99"/>
      <c r="AJ125" s="1809"/>
      <c r="AK125" s="6120" t="str">
        <f t="shared" si="51"/>
        <v>►</v>
      </c>
      <c r="AL125" s="781" t="str">
        <f t="shared" si="53"/>
        <v>►</v>
      </c>
      <c r="AM125" s="5499" t="str">
        <f t="shared" si="57"/>
        <v/>
      </c>
      <c r="AN125" s="783" t="str">
        <f t="shared" si="58"/>
        <v/>
      </c>
      <c r="AO125" s="782" t="str">
        <f t="shared" si="59"/>
        <v/>
      </c>
      <c r="AP125" s="783" t="str">
        <f t="shared" si="60"/>
        <v/>
      </c>
      <c r="AQ125" s="2083" t="b">
        <f>AND(Q125="A",COUNTIF(BP16:BR63,TRIM(Z125))&gt;0)</f>
        <v>0</v>
      </c>
      <c r="AR125" s="797" t="str">
        <f>IF(AL125&lt;&gt;"A","",IFERROR(IFERROR(_xlfn.XLOOKUP(TRIM(SUBSTITUTE(Z125,CHAR(160)," ")),BP16:BP63,BS16:BS63),IFERROR(_xlfn.XLOOKUP(TRIM(SUBSTITUTE(Z125,CHAR(160)," ")),BQ16:BQ63,BS16:BS63),_xlfn.XLOOKUP(TRIM(SUBSTITUTE(Z125,CHAR(160)," ")),BR16:BR63,BS16:BS63)))*Y125*IF(ISBLANK(V125),1,V125),0))</f>
        <v/>
      </c>
      <c r="AS125" s="784" t="str">
        <f t="shared" si="54"/>
        <v/>
      </c>
      <c r="AT125" s="1315" t="str">
        <f t="shared" si="61"/>
        <v/>
      </c>
      <c r="AU125" s="785">
        <f t="shared" si="62"/>
        <v>0</v>
      </c>
      <c r="AV125" s="785">
        <f t="shared" si="63"/>
        <v>0</v>
      </c>
      <c r="AW125" s="786">
        <f>IF(AK125="A",AY10,0)</f>
        <v>0</v>
      </c>
      <c r="AX125" s="5495" t="str">
        <f>IF(IFERROR(SEARCH("Adresse PC",TRIM(W125)),0)&gt;0,"▼ receta siguiente",IF(AK125="A",IF(AZ10&lt;&gt;"",AZ10&amp;" - ou.or.o ❾ + or - &gt;",""),""))</f>
        <v/>
      </c>
      <c r="AY125" s="1316"/>
      <c r="AZ125" s="787"/>
      <c r="BA125" s="788" t="str">
        <f t="shared" si="52"/>
        <v/>
      </c>
      <c r="BB125" s="789" t="str">
        <f>IF(AK125="A",IF(AQ125,IF(AND(AW125&lt;&gt;"",N(AW125)&gt;0),IFERROR(IFERROR(_xlfn.XLOOKUP(AP125,BP10:BP57,BT10:BT57),IFERROR(_xlfn.XLOOKUP(AP125,BQ10:BQ57,BT10:BT57),_xlfn.XLOOKUP(AP125,BR10:BR57,BT10:BT57,""))),""),""),""),"")</f>
        <v/>
      </c>
      <c r="BC125" s="811" cm="1">
        <f t="array" ref="BC125">IF(NOT(AQ125),0,IF(OR(BA125="",N(BA125)&lt;=0.000000001),"",IF(OR(AU125="",N(AU125)&lt;=0.000000001),0,IF(ISNUMBER(BA125),IFERROR(_xlfn.LET(_xlpm.ai_test,TRIM(AP125),_xlpm.r,IFERROR(_xlfn.XLOOKUP(_xlpm.ai_test,BP16:BP63,ROW(BP16:BP63),0,1),IFERROR(_xlfn.XLOOKUP(_xlpm.ai_test,BQ16:BQ63,ROW(BQ16:BQ63),0,1),_xlfn.XLOOKUP(_xlpm.ai_test,BR16:BR63,ROW(BR16:BR63),0,1))),_xlpm.p,_xlpm.r-MIN(ROW(BP16:BP63))+1,_xlpm.f,INDEX(BS16:BS63,_xlpm.p),_xlpm.u,INDEX(BT16:BT63,_xlpm.p),_xlpm.s,INDEX(BV16:BV63,_xlpm.p),_xlpm.q,N(BA125)/_xlpm.f,IF(_xlpm.q&gt;=_xlpm.s,ROUND(_xlpm.q,1)&amp;" "&amp;_xlpm.ai_test&amp;" = "&amp;ROUND(_xlpm.q*_xlpm.f,1)&amp;" "&amp;_xlpm.u,ROUND(_xlpm.q,1)&amp;" "&amp;_xlpm.ai_test)),""),""))))</f>
        <v>0</v>
      </c>
      <c r="BD125" s="801"/>
      <c r="BE125" s="788" t="str">
        <f t="shared" si="64"/>
        <v/>
      </c>
      <c r="BF125" s="789" t="str">
        <f t="shared" si="65"/>
        <v/>
      </c>
      <c r="BG125" s="790">
        <f t="shared" si="70"/>
        <v>0</v>
      </c>
      <c r="BH125" s="791" t="str">
        <f t="shared" si="71"/>
        <v/>
      </c>
      <c r="BI125" s="792"/>
      <c r="BJ125" s="793">
        <f t="shared" si="69"/>
        <v>0</v>
      </c>
      <c r="BK125" s="794" t="str">
        <f t="shared" si="66"/>
        <v/>
      </c>
      <c r="BL125" s="227" t="s">
        <v>21</v>
      </c>
      <c r="BM125" s="773">
        <f t="shared" si="55"/>
        <v>0</v>
      </c>
      <c r="BN125" s="774">
        <f t="shared" si="56"/>
        <v>0</v>
      </c>
      <c r="CC125"/>
      <c r="CD125" s="781" t="str">
        <f t="shared" si="46"/>
        <v>►</v>
      </c>
      <c r="CJ125" s="719"/>
      <c r="DI125" s="3">
        <v>1</v>
      </c>
    </row>
    <row r="126" spans="1:113" s="627" customFormat="1" ht="21" customHeight="1">
      <c r="A126" s="701" t="s">
        <v>21</v>
      </c>
      <c r="B126" s="2265" t="str" cm="1">
        <f t="array" ref="B126">SUMPRODUCT(--(D126:J126&lt;&gt;""), LEN(TRIM(SUBSTITUTE(D126:J126, CHAR(160), "")))) &amp; " Car."</f>
        <v>0 Car.</v>
      </c>
      <c r="C126" s="1376" t="str">
        <f>IF(ISBLANK(D126),"",LARGE(C13:C125,1)+1)</f>
        <v/>
      </c>
      <c r="D126" s="1833"/>
      <c r="E126" s="1810"/>
      <c r="F126" s="1810"/>
      <c r="G126" s="1810"/>
      <c r="H126" s="1810"/>
      <c r="I126" s="1810"/>
      <c r="J126" s="1810"/>
      <c r="K126" s="1810"/>
      <c r="L126" s="1811"/>
      <c r="M126" s="9"/>
      <c r="N126" s="25" t="str">
        <f t="shared" si="47"/>
        <v>►</v>
      </c>
      <c r="O126" s="1616"/>
      <c r="P126" s="9"/>
      <c r="Q126" s="25" t="s">
        <v>15</v>
      </c>
      <c r="R126" s="31"/>
      <c r="S126" s="32"/>
      <c r="T126" s="31"/>
      <c r="U126" s="33"/>
      <c r="V126" s="1967"/>
      <c r="W126" s="1805"/>
      <c r="X126" s="91"/>
      <c r="Y126" s="1806"/>
      <c r="Z126" s="1968"/>
      <c r="AA126" s="2244"/>
      <c r="AB126" s="1969"/>
      <c r="AC126" s="1365"/>
      <c r="AD126" s="95"/>
      <c r="AE126" s="1326"/>
      <c r="AF126" s="97"/>
      <c r="AG126" s="1737"/>
      <c r="AH126" s="1970"/>
      <c r="AI126" s="99"/>
      <c r="AJ126" s="1809"/>
      <c r="AK126" s="6120" t="str">
        <f t="shared" si="51"/>
        <v>►</v>
      </c>
      <c r="AL126" s="781" t="str">
        <f t="shared" si="53"/>
        <v>►</v>
      </c>
      <c r="AM126" s="5498" t="str">
        <f t="shared" si="57"/>
        <v/>
      </c>
      <c r="AN126" s="783" t="str">
        <f t="shared" si="58"/>
        <v/>
      </c>
      <c r="AO126" s="782" t="str">
        <f t="shared" si="59"/>
        <v/>
      </c>
      <c r="AP126" s="783" t="str">
        <f t="shared" si="60"/>
        <v/>
      </c>
      <c r="AQ126" s="2083" t="b">
        <f>AND(Q126="A",COUNTIF(BP16:BR63,TRIM(Z126))&gt;0)</f>
        <v>0</v>
      </c>
      <c r="AR126" s="797" t="str">
        <f>IF(AL126&lt;&gt;"A","",IFERROR(IFERROR(_xlfn.XLOOKUP(TRIM(SUBSTITUTE(Z126,CHAR(160)," ")),BP16:BP63,BS16:BS63),IFERROR(_xlfn.XLOOKUP(TRIM(SUBSTITUTE(Z126,CHAR(160)," ")),BQ16:BQ63,BS16:BS63),_xlfn.XLOOKUP(TRIM(SUBSTITUTE(Z126,CHAR(160)," ")),BR16:BR63,BS16:BS63)))*Y126*IF(ISBLANK(V126),1,V126),0))</f>
        <v/>
      </c>
      <c r="AS126" s="784" t="str">
        <f t="shared" si="54"/>
        <v/>
      </c>
      <c r="AT126" s="1315" t="str">
        <f t="shared" si="61"/>
        <v/>
      </c>
      <c r="AU126" s="785">
        <f t="shared" si="62"/>
        <v>0</v>
      </c>
      <c r="AV126" s="785">
        <f t="shared" si="63"/>
        <v>0</v>
      </c>
      <c r="AW126" s="798">
        <f>IF(AK126="A",AY10,0)</f>
        <v>0</v>
      </c>
      <c r="AX126" s="5496" t="str">
        <f>IF(IFERROR(SEARCH("Adresse PC",TRIM(W126)),0)&gt;0,"▼ receta siguiente",IF(AK126="A",IF(AZ10&lt;&gt;"",AZ10&amp;" - ou.or.o ❾ + or - &gt;",""),""))</f>
        <v/>
      </c>
      <c r="AY126" s="1316"/>
      <c r="AZ126" s="787"/>
      <c r="BA126" s="799" t="str">
        <f t="shared" si="52"/>
        <v/>
      </c>
      <c r="BB126" s="800" t="str">
        <f>IF(AK126="A",IF(AQ126,IF(AND(AW126&lt;&gt;"",N(AW126)&gt;0),IFERROR(IFERROR(_xlfn.XLOOKUP(AP126,BP10:BP57,BT10:BT57),IFERROR(_xlfn.XLOOKUP(AP126,BQ10:BQ57,BT10:BT57),_xlfn.XLOOKUP(AP126,BR10:BR57,BT10:BT57,""))),""),""),""),"")</f>
        <v/>
      </c>
      <c r="BC126" s="813" cm="1">
        <f t="array" ref="BC126">IF(NOT(AQ126),0,IF(OR(BA126="",N(BA126)&lt;=0.000000001),"",IF(OR(AU126="",N(AU126)&lt;=0.000000001),0,IF(ISNUMBER(BA126),IFERROR(_xlfn.LET(_xlpm.ai_test,TRIM(AP126),_xlpm.r,IFERROR(_xlfn.XLOOKUP(_xlpm.ai_test,BP16:BP63,ROW(BP16:BP63),0,1),IFERROR(_xlfn.XLOOKUP(_xlpm.ai_test,BQ16:BQ63,ROW(BQ16:BQ63),0,1),_xlfn.XLOOKUP(_xlpm.ai_test,BR16:BR63,ROW(BR16:BR63),0,1))),_xlpm.p,_xlpm.r-MIN(ROW(BP16:BP63))+1,_xlpm.f,INDEX(BS16:BS63,_xlpm.p),_xlpm.u,INDEX(BT16:BT63,_xlpm.p),_xlpm.s,INDEX(BV16:BV63,_xlpm.p),_xlpm.q,N(BA126)/_xlpm.f,IF(_xlpm.q&gt;=_xlpm.s,ROUND(_xlpm.q,1)&amp;" "&amp;_xlpm.ai_test&amp;" = "&amp;ROUND(_xlpm.q*_xlpm.f,1)&amp;" "&amp;_xlpm.u,ROUND(_xlpm.q,1)&amp;" "&amp;_xlpm.ai_test)),""),""))))</f>
        <v>0</v>
      </c>
      <c r="BD126" s="801"/>
      <c r="BE126" s="799" t="str">
        <f t="shared" si="64"/>
        <v/>
      </c>
      <c r="BF126" s="800" t="str">
        <f t="shared" si="65"/>
        <v/>
      </c>
      <c r="BG126" s="802">
        <f t="shared" si="70"/>
        <v>0</v>
      </c>
      <c r="BH126" s="803" t="str">
        <f t="shared" si="71"/>
        <v/>
      </c>
      <c r="BI126" s="792"/>
      <c r="BJ126" s="804">
        <f t="shared" si="69"/>
        <v>0</v>
      </c>
      <c r="BK126" s="794" t="str">
        <f t="shared" si="66"/>
        <v/>
      </c>
      <c r="BL126" s="227" t="s">
        <v>21</v>
      </c>
      <c r="BM126" s="773">
        <f t="shared" si="55"/>
        <v>0</v>
      </c>
      <c r="BN126" s="774">
        <f t="shared" si="56"/>
        <v>0</v>
      </c>
      <c r="CC126"/>
      <c r="CD126" s="781" t="str">
        <f t="shared" si="46"/>
        <v>►</v>
      </c>
      <c r="CJ126" s="719"/>
      <c r="DI126" s="3">
        <v>1</v>
      </c>
    </row>
    <row r="127" spans="1:113" s="627" customFormat="1" ht="21" customHeight="1">
      <c r="A127" s="701" t="s">
        <v>21</v>
      </c>
      <c r="B127" s="2265" t="str" cm="1">
        <f t="array" ref="B127">SUMPRODUCT(--(D127:J127&lt;&gt;""), LEN(TRIM(SUBSTITUTE(D127:J127, CHAR(160), "")))) &amp; " Car."</f>
        <v>0 Car.</v>
      </c>
      <c r="C127" s="1376" t="str">
        <f>IF(ISBLANK(D127),"",LARGE(C13:C126,1)+1)</f>
        <v/>
      </c>
      <c r="D127" s="1833"/>
      <c r="E127" s="1810"/>
      <c r="F127" s="1810"/>
      <c r="G127" s="1810"/>
      <c r="H127" s="1810"/>
      <c r="I127" s="1810"/>
      <c r="J127" s="1810"/>
      <c r="K127" s="1810"/>
      <c r="L127" s="1811"/>
      <c r="M127" s="9"/>
      <c r="N127" s="25" t="str">
        <f t="shared" si="47"/>
        <v>►</v>
      </c>
      <c r="O127" s="1616"/>
      <c r="P127" s="9"/>
      <c r="Q127" s="25" t="s">
        <v>15</v>
      </c>
      <c r="R127" s="31"/>
      <c r="S127" s="32"/>
      <c r="T127" s="31"/>
      <c r="U127" s="33"/>
      <c r="V127" s="1967"/>
      <c r="W127" s="1805"/>
      <c r="X127" s="91"/>
      <c r="Y127" s="1806"/>
      <c r="Z127" s="1968"/>
      <c r="AA127" s="2244"/>
      <c r="AB127" s="1969"/>
      <c r="AC127" s="1365"/>
      <c r="AD127" s="95"/>
      <c r="AE127" s="1326"/>
      <c r="AF127" s="97"/>
      <c r="AG127" s="1737"/>
      <c r="AH127" s="1970"/>
      <c r="AI127" s="99"/>
      <c r="AJ127" s="1809"/>
      <c r="AK127" s="6120" t="str">
        <f t="shared" si="51"/>
        <v>►</v>
      </c>
      <c r="AL127" s="781" t="str">
        <f t="shared" si="53"/>
        <v>►</v>
      </c>
      <c r="AM127" s="5499" t="str">
        <f t="shared" si="57"/>
        <v/>
      </c>
      <c r="AN127" s="783" t="str">
        <f t="shared" si="58"/>
        <v/>
      </c>
      <c r="AO127" s="782" t="str">
        <f t="shared" si="59"/>
        <v/>
      </c>
      <c r="AP127" s="783" t="str">
        <f t="shared" si="60"/>
        <v/>
      </c>
      <c r="AQ127" s="2083" t="b">
        <f>AND(Q127="A",COUNTIF(BP16:BR63,TRIM(Z127))&gt;0)</f>
        <v>0</v>
      </c>
      <c r="AR127" s="797" t="str">
        <f>IF(AL127&lt;&gt;"A","",IFERROR(IFERROR(_xlfn.XLOOKUP(TRIM(SUBSTITUTE(Z127,CHAR(160)," ")),BP16:BP63,BS16:BS63),IFERROR(_xlfn.XLOOKUP(TRIM(SUBSTITUTE(Z127,CHAR(160)," ")),BQ16:BQ63,BS16:BS63),_xlfn.XLOOKUP(TRIM(SUBSTITUTE(Z127,CHAR(160)," ")),BR16:BR63,BS16:BS63)))*Y127*IF(ISBLANK(V127),1,V127),0))</f>
        <v/>
      </c>
      <c r="AS127" s="784" t="str">
        <f t="shared" si="54"/>
        <v/>
      </c>
      <c r="AT127" s="1315" t="str">
        <f t="shared" si="61"/>
        <v/>
      </c>
      <c r="AU127" s="785">
        <f t="shared" si="62"/>
        <v>0</v>
      </c>
      <c r="AV127" s="785">
        <f t="shared" si="63"/>
        <v>0</v>
      </c>
      <c r="AW127" s="786">
        <f>IF(AK127="A",AY10,0)</f>
        <v>0</v>
      </c>
      <c r="AX127" s="5495" t="str">
        <f>IF(IFERROR(SEARCH("Adresse PC",TRIM(W127)),0)&gt;0,"▼ receta siguiente",IF(AK127="A",IF(AZ10&lt;&gt;"",AZ10&amp;" - ou.or.o ❾ + or - &gt;",""),""))</f>
        <v/>
      </c>
      <c r="AY127" s="1316"/>
      <c r="AZ127" s="787"/>
      <c r="BA127" s="788" t="str">
        <f t="shared" si="52"/>
        <v/>
      </c>
      <c r="BB127" s="789" t="str">
        <f>IF(AK127="A",IF(AQ127,IF(AND(AW127&lt;&gt;"",N(AW127)&gt;0),IFERROR(IFERROR(_xlfn.XLOOKUP(AP127,BP10:BP57,BT10:BT57),IFERROR(_xlfn.XLOOKUP(AP127,BQ10:BQ57,BT10:BT57),_xlfn.XLOOKUP(AP127,BR10:BR57,BT10:BT57,""))),""),""),""),"")</f>
        <v/>
      </c>
      <c r="BC127" s="811" cm="1">
        <f t="array" ref="BC127">IF(NOT(AQ127),0,IF(OR(BA127="",N(BA127)&lt;=0.000000001),"",IF(OR(AU127="",N(AU127)&lt;=0.000000001),0,IF(ISNUMBER(BA127),IFERROR(_xlfn.LET(_xlpm.ai_test,TRIM(AP127),_xlpm.r,IFERROR(_xlfn.XLOOKUP(_xlpm.ai_test,BP16:BP63,ROW(BP16:BP63),0,1),IFERROR(_xlfn.XLOOKUP(_xlpm.ai_test,BQ16:BQ63,ROW(BQ16:BQ63),0,1),_xlfn.XLOOKUP(_xlpm.ai_test,BR16:BR63,ROW(BR16:BR63),0,1))),_xlpm.p,_xlpm.r-MIN(ROW(BP16:BP63))+1,_xlpm.f,INDEX(BS16:BS63,_xlpm.p),_xlpm.u,INDEX(BT16:BT63,_xlpm.p),_xlpm.s,INDEX(BV16:BV63,_xlpm.p),_xlpm.q,N(BA127)/_xlpm.f,IF(_xlpm.q&gt;=_xlpm.s,ROUND(_xlpm.q,1)&amp;" "&amp;_xlpm.ai_test&amp;" = "&amp;ROUND(_xlpm.q*_xlpm.f,1)&amp;" "&amp;_xlpm.u,ROUND(_xlpm.q,1)&amp;" "&amp;_xlpm.ai_test)),""),""))))</f>
        <v>0</v>
      </c>
      <c r="BD127" s="801"/>
      <c r="BE127" s="788" t="str">
        <f t="shared" si="64"/>
        <v/>
      </c>
      <c r="BF127" s="789" t="str">
        <f t="shared" si="65"/>
        <v/>
      </c>
      <c r="BG127" s="790">
        <f t="shared" si="70"/>
        <v>0</v>
      </c>
      <c r="BH127" s="791" t="str">
        <f t="shared" si="71"/>
        <v/>
      </c>
      <c r="BI127" s="792"/>
      <c r="BJ127" s="793">
        <f t="shared" si="69"/>
        <v>0</v>
      </c>
      <c r="BK127" s="794" t="str">
        <f t="shared" si="66"/>
        <v/>
      </c>
      <c r="BL127" s="227" t="s">
        <v>21</v>
      </c>
      <c r="BM127" s="773">
        <f t="shared" si="55"/>
        <v>0</v>
      </c>
      <c r="BN127" s="774">
        <f t="shared" si="56"/>
        <v>0</v>
      </c>
      <c r="CC127"/>
      <c r="CD127" s="781" t="str">
        <f t="shared" si="46"/>
        <v>►</v>
      </c>
      <c r="CJ127" s="719"/>
      <c r="DI127" s="3">
        <v>1</v>
      </c>
    </row>
    <row r="128" spans="1:113" s="627" customFormat="1" ht="21" customHeight="1">
      <c r="A128" s="701" t="s">
        <v>21</v>
      </c>
      <c r="B128" s="2265" t="str" cm="1">
        <f t="array" ref="B128">SUMPRODUCT(--(D128:J128&lt;&gt;""), LEN(TRIM(SUBSTITUTE(D128:J128, CHAR(160), "")))) &amp; " Car."</f>
        <v>0 Car.</v>
      </c>
      <c r="C128" s="1376" t="str">
        <f>IF(ISBLANK(D128),"",LARGE(C13:C127,1)+1)</f>
        <v/>
      </c>
      <c r="D128" s="1833"/>
      <c r="E128" s="1810"/>
      <c r="F128" s="1810"/>
      <c r="G128" s="1810"/>
      <c r="H128" s="1810"/>
      <c r="I128" s="1810"/>
      <c r="J128" s="1810"/>
      <c r="K128" s="1810"/>
      <c r="L128" s="1811"/>
      <c r="M128" s="9"/>
      <c r="N128" s="103" t="str">
        <f t="shared" si="47"/>
        <v>►</v>
      </c>
      <c r="O128" s="1616"/>
      <c r="P128" s="9"/>
      <c r="Q128" s="25" t="s">
        <v>15</v>
      </c>
      <c r="R128" s="31"/>
      <c r="S128" s="32"/>
      <c r="T128" s="31"/>
      <c r="U128" s="33"/>
      <c r="V128" s="1967"/>
      <c r="W128" s="1805"/>
      <c r="X128" s="91"/>
      <c r="Y128" s="1806"/>
      <c r="Z128" s="1968"/>
      <c r="AA128" s="2244"/>
      <c r="AB128" s="1969"/>
      <c r="AC128" s="1365"/>
      <c r="AD128" s="95"/>
      <c r="AE128" s="1326"/>
      <c r="AF128" s="97"/>
      <c r="AG128" s="1737"/>
      <c r="AH128" s="1970"/>
      <c r="AI128" s="99"/>
      <c r="AJ128" s="1809"/>
      <c r="AK128" s="6120" t="str">
        <f t="shared" si="51"/>
        <v>►</v>
      </c>
      <c r="AL128" s="781" t="str">
        <f t="shared" si="53"/>
        <v>►</v>
      </c>
      <c r="AM128" s="5498" t="str">
        <f t="shared" si="57"/>
        <v/>
      </c>
      <c r="AN128" s="783" t="str">
        <f t="shared" si="58"/>
        <v/>
      </c>
      <c r="AO128" s="782" t="str">
        <f t="shared" si="59"/>
        <v/>
      </c>
      <c r="AP128" s="783" t="str">
        <f t="shared" si="60"/>
        <v/>
      </c>
      <c r="AQ128" s="2083" t="b">
        <f>AND(Q128="A",COUNTIF(BP16:BR63,TRIM(Z128))&gt;0)</f>
        <v>0</v>
      </c>
      <c r="AR128" s="797" t="str">
        <f>IF(AL128&lt;&gt;"A","",IFERROR(IFERROR(_xlfn.XLOOKUP(TRIM(SUBSTITUTE(Z128,CHAR(160)," ")),BP16:BP63,BS16:BS63),IFERROR(_xlfn.XLOOKUP(TRIM(SUBSTITUTE(Z128,CHAR(160)," ")),BQ16:BQ63,BS16:BS63),_xlfn.XLOOKUP(TRIM(SUBSTITUTE(Z128,CHAR(160)," ")),BR16:BR63,BS16:BS63)))*Y128*IF(ISBLANK(V128),1,V128),0))</f>
        <v/>
      </c>
      <c r="AS128" s="784" t="str">
        <f t="shared" si="54"/>
        <v/>
      </c>
      <c r="AT128" s="1315" t="str">
        <f t="shared" si="61"/>
        <v/>
      </c>
      <c r="AU128" s="785">
        <f t="shared" si="62"/>
        <v>0</v>
      </c>
      <c r="AV128" s="785">
        <f t="shared" si="63"/>
        <v>0</v>
      </c>
      <c r="AW128" s="798">
        <f>IF(AK128="A",AY10,0)</f>
        <v>0</v>
      </c>
      <c r="AX128" s="5496" t="str">
        <f>IF(IFERROR(SEARCH("Adresse PC",TRIM(W128)),0)&gt;0,"▼ receta siguiente",IF(AK128="A",IF(AZ10&lt;&gt;"",AZ10&amp;" - ou.or.o ❾ + or - &gt;",""),""))</f>
        <v/>
      </c>
      <c r="AY128" s="1316"/>
      <c r="AZ128" s="787"/>
      <c r="BA128" s="799" t="str">
        <f t="shared" si="52"/>
        <v/>
      </c>
      <c r="BB128" s="800" t="str">
        <f>IF(AK128="A",IF(AQ128,IF(AND(AW128&lt;&gt;"",N(AW128)&gt;0),IFERROR(IFERROR(_xlfn.XLOOKUP(AP128,BP10:BP57,BT10:BT57),IFERROR(_xlfn.XLOOKUP(AP128,BQ10:BQ57,BT10:BT57),_xlfn.XLOOKUP(AP128,BR10:BR57,BT10:BT57,""))),""),""),""),"")</f>
        <v/>
      </c>
      <c r="BC128" s="813" cm="1">
        <f t="array" ref="BC128">IF(NOT(AQ128),0,IF(OR(BA128="",N(BA128)&lt;=0.000000001),"",IF(OR(AU128="",N(AU128)&lt;=0.000000001),0,IF(ISNUMBER(BA128),IFERROR(_xlfn.LET(_xlpm.ai_test,TRIM(AP128),_xlpm.r,IFERROR(_xlfn.XLOOKUP(_xlpm.ai_test,BP16:BP63,ROW(BP16:BP63),0,1),IFERROR(_xlfn.XLOOKUP(_xlpm.ai_test,BQ16:BQ63,ROW(BQ16:BQ63),0,1),_xlfn.XLOOKUP(_xlpm.ai_test,BR16:BR63,ROW(BR16:BR63),0,1))),_xlpm.p,_xlpm.r-MIN(ROW(BP16:BP63))+1,_xlpm.f,INDEX(BS16:BS63,_xlpm.p),_xlpm.u,INDEX(BT16:BT63,_xlpm.p),_xlpm.s,INDEX(BV16:BV63,_xlpm.p),_xlpm.q,N(BA128)/_xlpm.f,IF(_xlpm.q&gt;=_xlpm.s,ROUND(_xlpm.q,1)&amp;" "&amp;_xlpm.ai_test&amp;" = "&amp;ROUND(_xlpm.q*_xlpm.f,1)&amp;" "&amp;_xlpm.u,ROUND(_xlpm.q,1)&amp;" "&amp;_xlpm.ai_test)),""),""))))</f>
        <v>0</v>
      </c>
      <c r="BD128" s="801"/>
      <c r="BE128" s="799" t="str">
        <f t="shared" si="64"/>
        <v/>
      </c>
      <c r="BF128" s="800" t="str">
        <f t="shared" si="65"/>
        <v/>
      </c>
      <c r="BG128" s="802">
        <f t="shared" si="70"/>
        <v>0</v>
      </c>
      <c r="BH128" s="803" t="str">
        <f t="shared" si="71"/>
        <v/>
      </c>
      <c r="BI128" s="792"/>
      <c r="BJ128" s="804">
        <f t="shared" si="69"/>
        <v>0</v>
      </c>
      <c r="BK128" s="794" t="str">
        <f t="shared" si="66"/>
        <v/>
      </c>
      <c r="BL128" s="227" t="s">
        <v>21</v>
      </c>
      <c r="BM128" s="773">
        <f t="shared" si="55"/>
        <v>0</v>
      </c>
      <c r="BN128" s="774">
        <f t="shared" si="56"/>
        <v>0</v>
      </c>
      <c r="BX128"/>
      <c r="BY128"/>
      <c r="BZ128"/>
      <c r="CA128"/>
      <c r="CB128"/>
      <c r="CC128"/>
      <c r="CD128" s="781" t="str">
        <f t="shared" si="46"/>
        <v>►</v>
      </c>
      <c r="CJ128" s="719"/>
      <c r="DI128" s="3">
        <v>1</v>
      </c>
    </row>
    <row r="129" spans="1:113" s="627" customFormat="1" ht="21" customHeight="1">
      <c r="A129" s="701" t="s">
        <v>21</v>
      </c>
      <c r="B129" s="2265" t="str" cm="1">
        <f t="array" ref="B129">SUMPRODUCT(--(D129:J129&lt;&gt;""), LEN(TRIM(SUBSTITUTE(D129:J129, CHAR(160), "")))) &amp; " Car."</f>
        <v>0 Car.</v>
      </c>
      <c r="C129" s="1376" t="str">
        <f>IF(ISBLANK(D129),"",LARGE(C13:C128,1)+1)</f>
        <v/>
      </c>
      <c r="D129" s="1833"/>
      <c r="E129" s="1810"/>
      <c r="F129" s="1810"/>
      <c r="G129" s="1810"/>
      <c r="H129" s="1810"/>
      <c r="I129" s="1810"/>
      <c r="J129" s="1810"/>
      <c r="K129" s="1810"/>
      <c r="L129" s="1811"/>
      <c r="M129" s="9"/>
      <c r="N129" s="103" t="str">
        <f t="shared" si="47"/>
        <v>►</v>
      </c>
      <c r="O129" s="1616"/>
      <c r="P129" s="9"/>
      <c r="Q129" s="25" t="s">
        <v>15</v>
      </c>
      <c r="R129" s="31"/>
      <c r="S129" s="32"/>
      <c r="T129" s="31"/>
      <c r="U129" s="33"/>
      <c r="V129" s="1967"/>
      <c r="W129" s="1805"/>
      <c r="X129" s="91"/>
      <c r="Y129" s="1806"/>
      <c r="Z129" s="1968"/>
      <c r="AA129" s="2244"/>
      <c r="AB129" s="1969"/>
      <c r="AC129" s="1365"/>
      <c r="AD129" s="95"/>
      <c r="AE129" s="1326"/>
      <c r="AF129" s="97"/>
      <c r="AG129" s="1737"/>
      <c r="AH129" s="1970"/>
      <c r="AI129" s="99"/>
      <c r="AJ129" s="1809"/>
      <c r="AK129" s="6120" t="str">
        <f t="shared" si="51"/>
        <v>►</v>
      </c>
      <c r="AL129" s="781" t="str">
        <f t="shared" si="53"/>
        <v>►</v>
      </c>
      <c r="AM129" s="5499" t="str">
        <f t="shared" si="57"/>
        <v/>
      </c>
      <c r="AN129" s="783" t="str">
        <f t="shared" si="58"/>
        <v/>
      </c>
      <c r="AO129" s="782" t="str">
        <f t="shared" si="59"/>
        <v/>
      </c>
      <c r="AP129" s="783" t="str">
        <f t="shared" si="60"/>
        <v/>
      </c>
      <c r="AQ129" s="2083" t="b">
        <f>AND(Q129="A",COUNTIF(BP16:BR63,TRIM(Z129))&gt;0)</f>
        <v>0</v>
      </c>
      <c r="AR129" s="797" t="str">
        <f>IF(AL129&lt;&gt;"A","",IFERROR(IFERROR(_xlfn.XLOOKUP(TRIM(SUBSTITUTE(Z129,CHAR(160)," ")),BP16:BP63,BS16:BS63),IFERROR(_xlfn.XLOOKUP(TRIM(SUBSTITUTE(Z129,CHAR(160)," ")),BQ16:BQ63,BS16:BS63),_xlfn.XLOOKUP(TRIM(SUBSTITUTE(Z129,CHAR(160)," ")),BR16:BR63,BS16:BS63)))*Y129*IF(ISBLANK(V129),1,V129),0))</f>
        <v/>
      </c>
      <c r="AS129" s="784" t="str">
        <f t="shared" si="54"/>
        <v/>
      </c>
      <c r="AT129" s="1315" t="str">
        <f t="shared" si="61"/>
        <v/>
      </c>
      <c r="AU129" s="785">
        <f t="shared" si="62"/>
        <v>0</v>
      </c>
      <c r="AV129" s="785">
        <f t="shared" si="63"/>
        <v>0</v>
      </c>
      <c r="AW129" s="786">
        <f>IF(AK129="A",AY10,0)</f>
        <v>0</v>
      </c>
      <c r="AX129" s="5495" t="str">
        <f>IF(IFERROR(SEARCH("Adresse PC",TRIM(W129)),0)&gt;0,"▼ receta siguiente",IF(AK129="A",IF(AZ10&lt;&gt;"",AZ10&amp;" - ou.or.o ❾ + or - &gt;",""),""))</f>
        <v/>
      </c>
      <c r="AY129" s="1316"/>
      <c r="AZ129" s="787"/>
      <c r="BA129" s="788" t="str">
        <f t="shared" si="52"/>
        <v/>
      </c>
      <c r="BB129" s="789" t="str">
        <f>IF(AK129="A",IF(AQ129,IF(AND(AW129&lt;&gt;"",N(AW129)&gt;0),IFERROR(IFERROR(_xlfn.XLOOKUP(AP129,BP10:BP57,BT10:BT57),IFERROR(_xlfn.XLOOKUP(AP129,BQ10:BQ57,BT10:BT57),_xlfn.XLOOKUP(AP129,BR10:BR57,BT10:BT57,""))),""),""),""),"")</f>
        <v/>
      </c>
      <c r="BC129" s="811" cm="1">
        <f t="array" ref="BC129">IF(NOT(AQ129),0,IF(OR(BA129="",N(BA129)&lt;=0.000000001),"",IF(OR(AU129="",N(AU129)&lt;=0.000000001),0,IF(ISNUMBER(BA129),IFERROR(_xlfn.LET(_xlpm.ai_test,TRIM(AP129),_xlpm.r,IFERROR(_xlfn.XLOOKUP(_xlpm.ai_test,BP16:BP63,ROW(BP16:BP63),0,1),IFERROR(_xlfn.XLOOKUP(_xlpm.ai_test,BQ16:BQ63,ROW(BQ16:BQ63),0,1),_xlfn.XLOOKUP(_xlpm.ai_test,BR16:BR63,ROW(BR16:BR63),0,1))),_xlpm.p,_xlpm.r-MIN(ROW(BP16:BP63))+1,_xlpm.f,INDEX(BS16:BS63,_xlpm.p),_xlpm.u,INDEX(BT16:BT63,_xlpm.p),_xlpm.s,INDEX(BV16:BV63,_xlpm.p),_xlpm.q,N(BA129)/_xlpm.f,IF(_xlpm.q&gt;=_xlpm.s,ROUND(_xlpm.q,1)&amp;" "&amp;_xlpm.ai_test&amp;" = "&amp;ROUND(_xlpm.q*_xlpm.f,1)&amp;" "&amp;_xlpm.u,ROUND(_xlpm.q,1)&amp;" "&amp;_xlpm.ai_test)),""),""))))</f>
        <v>0</v>
      </c>
      <c r="BD129" s="801"/>
      <c r="BE129" s="788" t="str">
        <f t="shared" si="64"/>
        <v/>
      </c>
      <c r="BF129" s="789" t="str">
        <f t="shared" si="65"/>
        <v/>
      </c>
      <c r="BG129" s="790">
        <f t="shared" si="70"/>
        <v>0</v>
      </c>
      <c r="BH129" s="791" t="str">
        <f t="shared" si="71"/>
        <v/>
      </c>
      <c r="BI129" s="792"/>
      <c r="BJ129" s="793">
        <f t="shared" si="69"/>
        <v>0</v>
      </c>
      <c r="BK129" s="794" t="str">
        <f t="shared" si="66"/>
        <v/>
      </c>
      <c r="BL129" s="227" t="s">
        <v>21</v>
      </c>
      <c r="BM129" s="773">
        <f t="shared" si="55"/>
        <v>0</v>
      </c>
      <c r="BN129" s="774">
        <f t="shared" si="56"/>
        <v>0</v>
      </c>
      <c r="BO129"/>
      <c r="BX129"/>
      <c r="BY129"/>
      <c r="BZ129"/>
      <c r="CA129"/>
      <c r="CB129"/>
      <c r="CC129"/>
      <c r="CD129" s="781" t="str">
        <f t="shared" si="46"/>
        <v>►</v>
      </c>
      <c r="CJ129" s="719"/>
      <c r="DI129" s="3">
        <v>1</v>
      </c>
    </row>
    <row r="130" spans="1:113" s="627" customFormat="1" ht="21" customHeight="1">
      <c r="A130" s="701" t="s">
        <v>21</v>
      </c>
      <c r="B130" s="2265" t="str" cm="1">
        <f t="array" ref="B130">SUMPRODUCT(--(D130:J130&lt;&gt;""), LEN(TRIM(SUBSTITUTE(D130:J130, CHAR(160), "")))) &amp; " Car."</f>
        <v>0 Car.</v>
      </c>
      <c r="C130" s="1376" t="str">
        <f>IF(ISBLANK(D130),"",LARGE(C13:C129,1)+1)</f>
        <v/>
      </c>
      <c r="D130" s="1833"/>
      <c r="E130" s="1810"/>
      <c r="F130" s="1810"/>
      <c r="G130" s="1810"/>
      <c r="H130" s="1810"/>
      <c r="I130" s="1810"/>
      <c r="J130" s="1810"/>
      <c r="K130" s="1810"/>
      <c r="L130" s="1811"/>
      <c r="M130" s="9"/>
      <c r="N130" s="103" t="str">
        <f t="shared" si="47"/>
        <v>►</v>
      </c>
      <c r="O130" s="1616"/>
      <c r="P130" s="9"/>
      <c r="Q130" s="25" t="s">
        <v>15</v>
      </c>
      <c r="R130" s="31"/>
      <c r="S130" s="32"/>
      <c r="T130" s="31"/>
      <c r="U130" s="33"/>
      <c r="V130" s="1967"/>
      <c r="W130" s="1805"/>
      <c r="X130" s="91"/>
      <c r="Y130" s="1806"/>
      <c r="Z130" s="1968"/>
      <c r="AA130" s="2244"/>
      <c r="AB130" s="1969"/>
      <c r="AC130" s="1365"/>
      <c r="AD130" s="95"/>
      <c r="AE130" s="1326"/>
      <c r="AF130" s="97"/>
      <c r="AG130" s="1737"/>
      <c r="AH130" s="1970"/>
      <c r="AI130" s="99"/>
      <c r="AJ130" s="1809"/>
      <c r="AK130" s="6120" t="str">
        <f t="shared" si="51"/>
        <v>►</v>
      </c>
      <c r="AL130" s="781" t="str">
        <f t="shared" si="53"/>
        <v>►</v>
      </c>
      <c r="AM130" s="5498" t="str">
        <f t="shared" si="57"/>
        <v/>
      </c>
      <c r="AN130" s="783" t="str">
        <f t="shared" si="58"/>
        <v/>
      </c>
      <c r="AO130" s="782" t="str">
        <f t="shared" si="59"/>
        <v/>
      </c>
      <c r="AP130" s="783" t="str">
        <f t="shared" si="60"/>
        <v/>
      </c>
      <c r="AQ130" s="2083" t="b">
        <f>AND(Q130="A",COUNTIF(BP16:BR63,TRIM(Z130))&gt;0)</f>
        <v>0</v>
      </c>
      <c r="AR130" s="797" t="str">
        <f>IF(AL130&lt;&gt;"A","",IFERROR(IFERROR(_xlfn.XLOOKUP(TRIM(SUBSTITUTE(Z130,CHAR(160)," ")),BP16:BP63,BS16:BS63),IFERROR(_xlfn.XLOOKUP(TRIM(SUBSTITUTE(Z130,CHAR(160)," ")),BQ16:BQ63,BS16:BS63),_xlfn.XLOOKUP(TRIM(SUBSTITUTE(Z130,CHAR(160)," ")),BR16:BR63,BS16:BS63)))*Y130*IF(ISBLANK(V130),1,V130),0))</f>
        <v/>
      </c>
      <c r="AS130" s="784" t="str">
        <f t="shared" si="54"/>
        <v/>
      </c>
      <c r="AT130" s="1315" t="str">
        <f t="shared" si="61"/>
        <v/>
      </c>
      <c r="AU130" s="785">
        <f t="shared" si="62"/>
        <v>0</v>
      </c>
      <c r="AV130" s="785">
        <f t="shared" si="63"/>
        <v>0</v>
      </c>
      <c r="AW130" s="798">
        <f>IF(AK130="A",AY10,0)</f>
        <v>0</v>
      </c>
      <c r="AX130" s="5496" t="str">
        <f>IF(IFERROR(SEARCH("Adresse PC",TRIM(W130)),0)&gt;0,"▼ receta siguiente",IF(AK130="A",IF(AZ10&lt;&gt;"",AZ10&amp;" - ou.or.o ❾ + or - &gt;",""),""))</f>
        <v/>
      </c>
      <c r="AY130" s="1316"/>
      <c r="AZ130" s="787"/>
      <c r="BA130" s="799" t="str">
        <f t="shared" si="52"/>
        <v/>
      </c>
      <c r="BB130" s="800" t="str">
        <f>IF(AK130="A",IF(AQ130,IF(AND(AW130&lt;&gt;"",N(AW130)&gt;0),IFERROR(IFERROR(_xlfn.XLOOKUP(AP130,BP10:BP57,BT10:BT57),IFERROR(_xlfn.XLOOKUP(AP130,BQ10:BQ57,BT10:BT57),_xlfn.XLOOKUP(AP130,BR10:BR57,BT10:BT57,""))),""),""),""),"")</f>
        <v/>
      </c>
      <c r="BC130" s="813" cm="1">
        <f t="array" ref="BC130">IF(NOT(AQ130),0,IF(OR(BA130="",N(BA130)&lt;=0.000000001),"",IF(OR(AU130="",N(AU130)&lt;=0.000000001),0,IF(ISNUMBER(BA130),IFERROR(_xlfn.LET(_xlpm.ai_test,TRIM(AP130),_xlpm.r,IFERROR(_xlfn.XLOOKUP(_xlpm.ai_test,BP16:BP63,ROW(BP16:BP63),0,1),IFERROR(_xlfn.XLOOKUP(_xlpm.ai_test,BQ16:BQ63,ROW(BQ16:BQ63),0,1),_xlfn.XLOOKUP(_xlpm.ai_test,BR16:BR63,ROW(BR16:BR63),0,1))),_xlpm.p,_xlpm.r-MIN(ROW(BP16:BP63))+1,_xlpm.f,INDEX(BS16:BS63,_xlpm.p),_xlpm.u,INDEX(BT16:BT63,_xlpm.p),_xlpm.s,INDEX(BV16:BV63,_xlpm.p),_xlpm.q,N(BA130)/_xlpm.f,IF(_xlpm.q&gt;=_xlpm.s,ROUND(_xlpm.q,1)&amp;" "&amp;_xlpm.ai_test&amp;" = "&amp;ROUND(_xlpm.q*_xlpm.f,1)&amp;" "&amp;_xlpm.u,ROUND(_xlpm.q,1)&amp;" "&amp;_xlpm.ai_test)),""),""))))</f>
        <v>0</v>
      </c>
      <c r="BD130" s="801"/>
      <c r="BE130" s="799" t="str">
        <f t="shared" si="64"/>
        <v/>
      </c>
      <c r="BF130" s="800" t="str">
        <f t="shared" si="65"/>
        <v/>
      </c>
      <c r="BG130" s="802">
        <f t="shared" si="70"/>
        <v>0</v>
      </c>
      <c r="BH130" s="803" t="str">
        <f t="shared" si="71"/>
        <v/>
      </c>
      <c r="BI130" s="792"/>
      <c r="BJ130" s="804">
        <f t="shared" si="69"/>
        <v>0</v>
      </c>
      <c r="BK130" s="794" t="str">
        <f t="shared" si="66"/>
        <v/>
      </c>
      <c r="BL130" s="227" t="s">
        <v>21</v>
      </c>
      <c r="BM130" s="773">
        <f t="shared" si="55"/>
        <v>0</v>
      </c>
      <c r="BN130" s="774">
        <f t="shared" si="56"/>
        <v>0</v>
      </c>
      <c r="BO130"/>
      <c r="BX130"/>
      <c r="BY130"/>
      <c r="BZ130"/>
      <c r="CA130"/>
      <c r="CB130"/>
      <c r="CC130"/>
      <c r="CD130" s="781" t="str">
        <f t="shared" si="46"/>
        <v>►</v>
      </c>
      <c r="CJ130" s="719"/>
      <c r="DI130" s="3">
        <v>1</v>
      </c>
    </row>
    <row r="131" spans="1:113" s="627" customFormat="1" ht="21" customHeight="1">
      <c r="A131" s="701" t="s">
        <v>21</v>
      </c>
      <c r="B131" s="2265" t="str" cm="1">
        <f t="array" ref="B131">SUMPRODUCT(--(D131:J131&lt;&gt;""), LEN(TRIM(SUBSTITUTE(D131:J131, CHAR(160), "")))) &amp; " Car."</f>
        <v>0 Car.</v>
      </c>
      <c r="C131" s="1376" t="str">
        <f>IF(ISBLANK(D131),"",LARGE(C13:C130,1)+1)</f>
        <v/>
      </c>
      <c r="D131" s="1833"/>
      <c r="E131" s="1810"/>
      <c r="F131" s="1810"/>
      <c r="G131" s="1810"/>
      <c r="H131" s="1810"/>
      <c r="I131" s="1810"/>
      <c r="J131" s="1810"/>
      <c r="K131" s="1810"/>
      <c r="L131" s="1811"/>
      <c r="M131" s="9"/>
      <c r="N131" s="103" t="str">
        <f t="shared" si="47"/>
        <v>►</v>
      </c>
      <c r="O131" s="1616"/>
      <c r="P131" s="9"/>
      <c r="Q131" s="25" t="s">
        <v>15</v>
      </c>
      <c r="R131" s="31"/>
      <c r="S131" s="32"/>
      <c r="T131" s="31"/>
      <c r="U131" s="33"/>
      <c r="V131" s="1967"/>
      <c r="W131" s="1805"/>
      <c r="X131" s="91"/>
      <c r="Y131" s="1806"/>
      <c r="Z131" s="1968"/>
      <c r="AA131" s="2244"/>
      <c r="AB131" s="1969"/>
      <c r="AC131" s="1365"/>
      <c r="AD131" s="95"/>
      <c r="AE131" s="1326"/>
      <c r="AF131" s="97"/>
      <c r="AG131" s="1737"/>
      <c r="AH131" s="1970"/>
      <c r="AI131" s="99"/>
      <c r="AJ131" s="1809"/>
      <c r="AK131" s="6120" t="str">
        <f t="shared" si="51"/>
        <v>►</v>
      </c>
      <c r="AL131" s="781" t="str">
        <f t="shared" si="53"/>
        <v>►</v>
      </c>
      <c r="AM131" s="5499" t="str">
        <f t="shared" si="57"/>
        <v/>
      </c>
      <c r="AN131" s="783" t="str">
        <f t="shared" si="58"/>
        <v/>
      </c>
      <c r="AO131" s="782" t="str">
        <f t="shared" si="59"/>
        <v/>
      </c>
      <c r="AP131" s="783" t="str">
        <f t="shared" si="60"/>
        <v/>
      </c>
      <c r="AQ131" s="2083" t="b">
        <f>AND(Q131="A",COUNTIF(BP16:BR63,TRIM(Z131))&gt;0)</f>
        <v>0</v>
      </c>
      <c r="AR131" s="797" t="str">
        <f>IF(AL131&lt;&gt;"A","",IFERROR(IFERROR(_xlfn.XLOOKUP(TRIM(SUBSTITUTE(Z131,CHAR(160)," ")),BP16:BP63,BS16:BS63),IFERROR(_xlfn.XLOOKUP(TRIM(SUBSTITUTE(Z131,CHAR(160)," ")),BQ16:BQ63,BS16:BS63),_xlfn.XLOOKUP(TRIM(SUBSTITUTE(Z131,CHAR(160)," ")),BR16:BR63,BS16:BS63)))*Y131*IF(ISBLANK(V131),1,V131),0))</f>
        <v/>
      </c>
      <c r="AS131" s="784" t="str">
        <f t="shared" si="54"/>
        <v/>
      </c>
      <c r="AT131" s="1315" t="str">
        <f t="shared" si="61"/>
        <v/>
      </c>
      <c r="AU131" s="785">
        <f t="shared" si="62"/>
        <v>0</v>
      </c>
      <c r="AV131" s="785">
        <f t="shared" si="63"/>
        <v>0</v>
      </c>
      <c r="AW131" s="786">
        <f>IF(AK131="A",AY10,0)</f>
        <v>0</v>
      </c>
      <c r="AX131" s="5495" t="str">
        <f>IF(IFERROR(SEARCH("Adresse PC",TRIM(W131)),0)&gt;0,"▼ receta siguiente",IF(AK131="A",IF(AZ10&lt;&gt;"",AZ10&amp;" - ou.or.o ❾ + or - &gt;",""),""))</f>
        <v/>
      </c>
      <c r="AY131" s="1316"/>
      <c r="AZ131" s="787"/>
      <c r="BA131" s="788" t="str">
        <f t="shared" si="52"/>
        <v/>
      </c>
      <c r="BB131" s="789" t="str">
        <f>IF(AK131="A",IF(AQ131,IF(AND(AW131&lt;&gt;"",N(AW131)&gt;0),IFERROR(IFERROR(_xlfn.XLOOKUP(AP131,BP10:BP57,BT10:BT57),IFERROR(_xlfn.XLOOKUP(AP131,BQ10:BQ57,BT10:BT57),_xlfn.XLOOKUP(AP131,BR10:BR57,BT10:BT57,""))),""),""),""),"")</f>
        <v/>
      </c>
      <c r="BC131" s="811" cm="1">
        <f t="array" ref="BC131">IF(NOT(AQ131),0,IF(OR(BA131="",N(BA131)&lt;=0.000000001),"",IF(OR(AU131="",N(AU131)&lt;=0.000000001),0,IF(ISNUMBER(BA131),IFERROR(_xlfn.LET(_xlpm.ai_test,TRIM(AP131),_xlpm.r,IFERROR(_xlfn.XLOOKUP(_xlpm.ai_test,BP16:BP63,ROW(BP16:BP63),0,1),IFERROR(_xlfn.XLOOKUP(_xlpm.ai_test,BQ16:BQ63,ROW(BQ16:BQ63),0,1),_xlfn.XLOOKUP(_xlpm.ai_test,BR16:BR63,ROW(BR16:BR63),0,1))),_xlpm.p,_xlpm.r-MIN(ROW(BP16:BP63))+1,_xlpm.f,INDEX(BS16:BS63,_xlpm.p),_xlpm.u,INDEX(BT16:BT63,_xlpm.p),_xlpm.s,INDEX(BV16:BV63,_xlpm.p),_xlpm.q,N(BA131)/_xlpm.f,IF(_xlpm.q&gt;=_xlpm.s,ROUND(_xlpm.q,1)&amp;" "&amp;_xlpm.ai_test&amp;" = "&amp;ROUND(_xlpm.q*_xlpm.f,1)&amp;" "&amp;_xlpm.u,ROUND(_xlpm.q,1)&amp;" "&amp;_xlpm.ai_test)),""),""))))</f>
        <v>0</v>
      </c>
      <c r="BD131" s="801"/>
      <c r="BE131" s="788" t="str">
        <f t="shared" si="64"/>
        <v/>
      </c>
      <c r="BF131" s="789" t="str">
        <f t="shared" si="65"/>
        <v/>
      </c>
      <c r="BG131" s="790">
        <f t="shared" si="70"/>
        <v>0</v>
      </c>
      <c r="BH131" s="791" t="str">
        <f t="shared" si="71"/>
        <v/>
      </c>
      <c r="BI131" s="792"/>
      <c r="BJ131" s="793">
        <f t="shared" si="69"/>
        <v>0</v>
      </c>
      <c r="BK131" s="794" t="str">
        <f t="shared" si="66"/>
        <v/>
      </c>
      <c r="BL131" s="227" t="s">
        <v>21</v>
      </c>
      <c r="BM131" s="773">
        <f t="shared" si="55"/>
        <v>0</v>
      </c>
      <c r="BN131" s="774">
        <f t="shared" si="56"/>
        <v>0</v>
      </c>
      <c r="BO131"/>
      <c r="BX131"/>
      <c r="BY131"/>
      <c r="BZ131"/>
      <c r="CA131"/>
      <c r="CB131"/>
      <c r="CC131"/>
      <c r="CD131" s="781" t="str">
        <f t="shared" si="46"/>
        <v>►</v>
      </c>
      <c r="CJ131" s="719"/>
      <c r="DI131" s="3">
        <v>1</v>
      </c>
    </row>
    <row r="132" spans="1:113" s="627" customFormat="1" ht="21" customHeight="1">
      <c r="A132" s="701" t="s">
        <v>21</v>
      </c>
      <c r="B132" s="2265" t="str" cm="1">
        <f t="array" ref="B132">SUMPRODUCT(--(D132:J132&lt;&gt;""), LEN(TRIM(SUBSTITUTE(D132:J132, CHAR(160), "")))) &amp; " Car."</f>
        <v>0 Car.</v>
      </c>
      <c r="C132" s="1376" t="str">
        <f>IF(ISBLANK(D132),"",LARGE(C13:C131,1)+1)</f>
        <v/>
      </c>
      <c r="D132" s="1833"/>
      <c r="E132" s="1810"/>
      <c r="F132" s="1810"/>
      <c r="G132" s="1810"/>
      <c r="H132" s="1810"/>
      <c r="I132" s="1810"/>
      <c r="J132" s="1810"/>
      <c r="K132" s="1810"/>
      <c r="L132" s="1811"/>
      <c r="M132" s="9"/>
      <c r="N132" s="25" t="str">
        <f t="shared" si="47"/>
        <v>►</v>
      </c>
      <c r="O132" s="1616"/>
      <c r="P132" s="9"/>
      <c r="Q132" s="25" t="s">
        <v>15</v>
      </c>
      <c r="R132" s="31"/>
      <c r="S132" s="32"/>
      <c r="T132" s="31"/>
      <c r="U132" s="33"/>
      <c r="V132" s="1967"/>
      <c r="W132" s="1805"/>
      <c r="X132" s="91"/>
      <c r="Y132" s="1806"/>
      <c r="Z132" s="1968"/>
      <c r="AA132" s="2244"/>
      <c r="AB132" s="1969"/>
      <c r="AC132" s="1365"/>
      <c r="AD132" s="95"/>
      <c r="AE132" s="1326"/>
      <c r="AF132" s="97"/>
      <c r="AG132" s="1737"/>
      <c r="AH132" s="1970"/>
      <c r="AI132" s="99"/>
      <c r="AJ132" s="1809"/>
      <c r="AK132" s="6120" t="str">
        <f t="shared" si="51"/>
        <v>►</v>
      </c>
      <c r="AL132" s="781" t="str">
        <f t="shared" si="53"/>
        <v>►</v>
      </c>
      <c r="AM132" s="5498" t="str">
        <f t="shared" si="57"/>
        <v/>
      </c>
      <c r="AN132" s="783" t="str">
        <f t="shared" si="58"/>
        <v/>
      </c>
      <c r="AO132" s="782" t="str">
        <f t="shared" si="59"/>
        <v/>
      </c>
      <c r="AP132" s="783" t="str">
        <f t="shared" si="60"/>
        <v/>
      </c>
      <c r="AQ132" s="2083" t="b">
        <f>AND(Q132="A",COUNTIF(BP16:BR63,TRIM(Z132))&gt;0)</f>
        <v>0</v>
      </c>
      <c r="AR132" s="797" t="str">
        <f>IF(AL132&lt;&gt;"A","",IFERROR(IFERROR(_xlfn.XLOOKUP(TRIM(SUBSTITUTE(Z132,CHAR(160)," ")),BP16:BP63,BS16:BS63),IFERROR(_xlfn.XLOOKUP(TRIM(SUBSTITUTE(Z132,CHAR(160)," ")),BQ16:BQ63,BS16:BS63),_xlfn.XLOOKUP(TRIM(SUBSTITUTE(Z132,CHAR(160)," ")),BR16:BR63,BS16:BS63)))*Y132*IF(ISBLANK(V132),1,V132),0))</f>
        <v/>
      </c>
      <c r="AS132" s="784" t="str">
        <f t="shared" si="54"/>
        <v/>
      </c>
      <c r="AT132" s="1315" t="str">
        <f t="shared" si="61"/>
        <v/>
      </c>
      <c r="AU132" s="785">
        <f t="shared" si="62"/>
        <v>0</v>
      </c>
      <c r="AV132" s="785">
        <f t="shared" si="63"/>
        <v>0</v>
      </c>
      <c r="AW132" s="798">
        <f>IF(AK132="A",AY10,0)</f>
        <v>0</v>
      </c>
      <c r="AX132" s="5496" t="str">
        <f>IF(IFERROR(SEARCH("Adresse PC",TRIM(W132)),0)&gt;0,"▼ receta siguiente",IF(AK132="A",IF(AZ10&lt;&gt;"",AZ10&amp;" - ou.or.o ❾ + or - &gt;",""),""))</f>
        <v/>
      </c>
      <c r="AY132" s="1316"/>
      <c r="AZ132" s="787"/>
      <c r="BA132" s="799" t="str">
        <f t="shared" si="52"/>
        <v/>
      </c>
      <c r="BB132" s="800" t="str">
        <f>IF(AK132="A",IF(AQ132,IF(AND(AW132&lt;&gt;"",N(AW132)&gt;0),IFERROR(IFERROR(_xlfn.XLOOKUP(AP132,BP10:BP57,BT10:BT57),IFERROR(_xlfn.XLOOKUP(AP132,BQ10:BQ57,BT10:BT57),_xlfn.XLOOKUP(AP132,BR10:BR57,BT10:BT57,""))),""),""),""),"")</f>
        <v/>
      </c>
      <c r="BC132" s="813" cm="1">
        <f t="array" ref="BC132">IF(NOT(AQ132),0,IF(OR(BA132="",N(BA132)&lt;=0.000000001),"",IF(OR(AU132="",N(AU132)&lt;=0.000000001),0,IF(ISNUMBER(BA132),IFERROR(_xlfn.LET(_xlpm.ai_test,TRIM(AP132),_xlpm.r,IFERROR(_xlfn.XLOOKUP(_xlpm.ai_test,BP16:BP63,ROW(BP16:BP63),0,1),IFERROR(_xlfn.XLOOKUP(_xlpm.ai_test,BQ16:BQ63,ROW(BQ16:BQ63),0,1),_xlfn.XLOOKUP(_xlpm.ai_test,BR16:BR63,ROW(BR16:BR63),0,1))),_xlpm.p,_xlpm.r-MIN(ROW(BP16:BP63))+1,_xlpm.f,INDEX(BS16:BS63,_xlpm.p),_xlpm.u,INDEX(BT16:BT63,_xlpm.p),_xlpm.s,INDEX(BV16:BV63,_xlpm.p),_xlpm.q,N(BA132)/_xlpm.f,IF(_xlpm.q&gt;=_xlpm.s,ROUND(_xlpm.q,1)&amp;" "&amp;_xlpm.ai_test&amp;" = "&amp;ROUND(_xlpm.q*_xlpm.f,1)&amp;" "&amp;_xlpm.u,ROUND(_xlpm.q,1)&amp;" "&amp;_xlpm.ai_test)),""),""))))</f>
        <v>0</v>
      </c>
      <c r="BD132" s="801"/>
      <c r="BE132" s="799" t="str">
        <f t="shared" si="64"/>
        <v/>
      </c>
      <c r="BF132" s="800" t="str">
        <f t="shared" si="65"/>
        <v/>
      </c>
      <c r="BG132" s="802">
        <f t="shared" si="70"/>
        <v>0</v>
      </c>
      <c r="BH132" s="803" t="str">
        <f t="shared" si="71"/>
        <v/>
      </c>
      <c r="BI132" s="792"/>
      <c r="BJ132" s="804">
        <f t="shared" si="69"/>
        <v>0</v>
      </c>
      <c r="BK132" s="794" t="str">
        <f t="shared" si="66"/>
        <v/>
      </c>
      <c r="BL132" s="227" t="s">
        <v>21</v>
      </c>
      <c r="BM132" s="773">
        <f t="shared" si="55"/>
        <v>0</v>
      </c>
      <c r="BN132" s="774">
        <f t="shared" si="56"/>
        <v>0</v>
      </c>
      <c r="BO132"/>
      <c r="BX132"/>
      <c r="BY132"/>
      <c r="BZ132"/>
      <c r="CA132"/>
      <c r="CB132"/>
      <c r="CC132"/>
      <c r="CD132" s="781" t="str">
        <f t="shared" si="46"/>
        <v>►</v>
      </c>
      <c r="CJ132" s="719"/>
      <c r="DI132" s="3">
        <v>1</v>
      </c>
    </row>
    <row r="133" spans="1:113" s="627" customFormat="1" ht="21" customHeight="1">
      <c r="A133" s="701" t="s">
        <v>21</v>
      </c>
      <c r="B133" s="2265" t="str" cm="1">
        <f t="array" ref="B133">SUMPRODUCT(--(D133:J133&lt;&gt;""), LEN(TRIM(SUBSTITUTE(D133:J133, CHAR(160), "")))) &amp; " Car."</f>
        <v>0 Car.</v>
      </c>
      <c r="C133" s="1376" t="str">
        <f>IF(ISBLANK(D133),"",LARGE(C13:C132,1)+1)</f>
        <v/>
      </c>
      <c r="D133" s="1833"/>
      <c r="E133" s="1810"/>
      <c r="F133" s="1810"/>
      <c r="G133" s="1810"/>
      <c r="H133" s="1810"/>
      <c r="I133" s="1810"/>
      <c r="J133" s="1810"/>
      <c r="K133" s="1810"/>
      <c r="L133" s="1811"/>
      <c r="M133" s="9"/>
      <c r="N133" s="25" t="str">
        <f t="shared" si="47"/>
        <v>►</v>
      </c>
      <c r="O133" s="1616"/>
      <c r="P133" s="9"/>
      <c r="Q133" s="25" t="s">
        <v>15</v>
      </c>
      <c r="R133" s="31"/>
      <c r="S133" s="32"/>
      <c r="T133" s="31"/>
      <c r="U133" s="33"/>
      <c r="V133" s="1967"/>
      <c r="W133" s="1805"/>
      <c r="X133" s="91"/>
      <c r="Y133" s="1806"/>
      <c r="Z133" s="1968"/>
      <c r="AA133" s="2244"/>
      <c r="AB133" s="1969"/>
      <c r="AC133" s="1365"/>
      <c r="AD133" s="95"/>
      <c r="AE133" s="1326"/>
      <c r="AF133" s="97"/>
      <c r="AG133" s="1737"/>
      <c r="AH133" s="1970"/>
      <c r="AI133" s="99"/>
      <c r="AJ133" s="1809"/>
      <c r="AK133" s="6120" t="str">
        <f t="shared" si="51"/>
        <v>►</v>
      </c>
      <c r="AL133" s="781" t="str">
        <f t="shared" si="53"/>
        <v>►</v>
      </c>
      <c r="AM133" s="5499" t="str">
        <f t="shared" si="57"/>
        <v/>
      </c>
      <c r="AN133" s="783" t="str">
        <f t="shared" si="58"/>
        <v/>
      </c>
      <c r="AO133" s="782" t="str">
        <f t="shared" si="59"/>
        <v/>
      </c>
      <c r="AP133" s="783" t="str">
        <f t="shared" si="60"/>
        <v/>
      </c>
      <c r="AQ133" s="2083" t="b">
        <f>AND(Q133="A",COUNTIF(BP16:BR63,TRIM(Z133))&gt;0)</f>
        <v>0</v>
      </c>
      <c r="AR133" s="797" t="str">
        <f>IF(AL133&lt;&gt;"A","",IFERROR(IFERROR(_xlfn.XLOOKUP(TRIM(SUBSTITUTE(Z133,CHAR(160)," ")),BP16:BP63,BS16:BS63),IFERROR(_xlfn.XLOOKUP(TRIM(SUBSTITUTE(Z133,CHAR(160)," ")),BQ16:BQ63,BS16:BS63),_xlfn.XLOOKUP(TRIM(SUBSTITUTE(Z133,CHAR(160)," ")),BR16:BR63,BS16:BS63)))*Y133*IF(ISBLANK(V133),1,V133),0))</f>
        <v/>
      </c>
      <c r="AS133" s="784" t="str">
        <f t="shared" si="54"/>
        <v/>
      </c>
      <c r="AT133" s="1315" t="str">
        <f t="shared" si="61"/>
        <v/>
      </c>
      <c r="AU133" s="785">
        <f t="shared" si="62"/>
        <v>0</v>
      </c>
      <c r="AV133" s="785">
        <f t="shared" si="63"/>
        <v>0</v>
      </c>
      <c r="AW133" s="786">
        <f>IF(AK133="A",AY10,0)</f>
        <v>0</v>
      </c>
      <c r="AX133" s="5495" t="str">
        <f>IF(IFERROR(SEARCH("Adresse PC",TRIM(W133)),0)&gt;0,"▼ receta siguiente",IF(AK133="A",IF(AZ10&lt;&gt;"",AZ10&amp;" - ou.or.o ❾ + or - &gt;",""),""))</f>
        <v/>
      </c>
      <c r="AY133" s="1316"/>
      <c r="AZ133" s="787"/>
      <c r="BA133" s="788" t="str">
        <f t="shared" si="52"/>
        <v/>
      </c>
      <c r="BB133" s="789" t="str">
        <f>IF(AK133="A",IF(AQ133,IF(AND(AW133&lt;&gt;"",N(AW133)&gt;0),IFERROR(IFERROR(_xlfn.XLOOKUP(AP133,BP10:BP57,BT10:BT57),IFERROR(_xlfn.XLOOKUP(AP133,BQ10:BQ57,BT10:BT57),_xlfn.XLOOKUP(AP133,BR10:BR57,BT10:BT57,""))),""),""),""),"")</f>
        <v/>
      </c>
      <c r="BC133" s="811" cm="1">
        <f t="array" ref="BC133">IF(NOT(AQ133),0,IF(OR(BA133="",N(BA133)&lt;=0.000000001),"",IF(OR(AU133="",N(AU133)&lt;=0.000000001),0,IF(ISNUMBER(BA133),IFERROR(_xlfn.LET(_xlpm.ai_test,TRIM(AP133),_xlpm.r,IFERROR(_xlfn.XLOOKUP(_xlpm.ai_test,BP16:BP63,ROW(BP16:BP63),0,1),IFERROR(_xlfn.XLOOKUP(_xlpm.ai_test,BQ16:BQ63,ROW(BQ16:BQ63),0,1),_xlfn.XLOOKUP(_xlpm.ai_test,BR16:BR63,ROW(BR16:BR63),0,1))),_xlpm.p,_xlpm.r-MIN(ROW(BP16:BP63))+1,_xlpm.f,INDEX(BS16:BS63,_xlpm.p),_xlpm.u,INDEX(BT16:BT63,_xlpm.p),_xlpm.s,INDEX(BV16:BV63,_xlpm.p),_xlpm.q,N(BA133)/_xlpm.f,IF(_xlpm.q&gt;=_xlpm.s,ROUND(_xlpm.q,1)&amp;" "&amp;_xlpm.ai_test&amp;" = "&amp;ROUND(_xlpm.q*_xlpm.f,1)&amp;" "&amp;_xlpm.u,ROUND(_xlpm.q,1)&amp;" "&amp;_xlpm.ai_test)),""),""))))</f>
        <v>0</v>
      </c>
      <c r="BD133" s="801"/>
      <c r="BE133" s="788" t="str">
        <f t="shared" si="64"/>
        <v/>
      </c>
      <c r="BF133" s="789" t="str">
        <f t="shared" si="65"/>
        <v/>
      </c>
      <c r="BG133" s="790">
        <f t="shared" si="70"/>
        <v>0</v>
      </c>
      <c r="BH133" s="791" t="str">
        <f t="shared" si="71"/>
        <v/>
      </c>
      <c r="BI133" s="792"/>
      <c r="BJ133" s="793">
        <f t="shared" si="69"/>
        <v>0</v>
      </c>
      <c r="BK133" s="794" t="str">
        <f t="shared" si="66"/>
        <v/>
      </c>
      <c r="BL133" s="227" t="s">
        <v>21</v>
      </c>
      <c r="BM133" s="773">
        <f t="shared" si="55"/>
        <v>0</v>
      </c>
      <c r="BN133" s="774">
        <f t="shared" si="56"/>
        <v>0</v>
      </c>
      <c r="BO133"/>
      <c r="BX133"/>
      <c r="BY133"/>
      <c r="BZ133"/>
      <c r="CA133"/>
      <c r="CB133"/>
      <c r="CC133"/>
      <c r="CD133" s="781" t="str">
        <f t="shared" si="46"/>
        <v>►</v>
      </c>
      <c r="CJ133" s="719"/>
      <c r="DI133" s="3">
        <v>1</v>
      </c>
    </row>
    <row r="134" spans="1:113" s="627" customFormat="1" ht="21" customHeight="1">
      <c r="A134" s="701" t="s">
        <v>21</v>
      </c>
      <c r="B134" s="2265" t="str" cm="1">
        <f t="array" ref="B134">SUMPRODUCT(--(D134:J134&lt;&gt;""), LEN(TRIM(SUBSTITUTE(D134:J134, CHAR(160), "")))) &amp; " Car."</f>
        <v>0 Car.</v>
      </c>
      <c r="C134" s="1376" t="str">
        <f>IF(ISBLANK(D134),"",LARGE(C13:C133,1)+1)</f>
        <v/>
      </c>
      <c r="D134" s="1833"/>
      <c r="E134" s="1810"/>
      <c r="F134" s="1810"/>
      <c r="G134" s="1810"/>
      <c r="H134" s="1810"/>
      <c r="I134" s="1810"/>
      <c r="J134" s="1810"/>
      <c r="K134" s="1810"/>
      <c r="L134" s="1811"/>
      <c r="M134" s="9"/>
      <c r="N134" s="25" t="str">
        <f t="shared" si="47"/>
        <v>►</v>
      </c>
      <c r="O134" s="1616"/>
      <c r="P134" s="9"/>
      <c r="Q134" s="25" t="s">
        <v>15</v>
      </c>
      <c r="R134" s="31"/>
      <c r="S134" s="32"/>
      <c r="T134" s="31"/>
      <c r="U134" s="33"/>
      <c r="V134" s="1967"/>
      <c r="W134" s="1805"/>
      <c r="X134" s="91"/>
      <c r="Y134" s="1806"/>
      <c r="Z134" s="1968"/>
      <c r="AA134" s="2244"/>
      <c r="AB134" s="1969"/>
      <c r="AC134" s="1365"/>
      <c r="AD134" s="95"/>
      <c r="AE134" s="1326"/>
      <c r="AF134" s="97"/>
      <c r="AG134" s="1737"/>
      <c r="AH134" s="1970"/>
      <c r="AI134" s="99"/>
      <c r="AJ134" s="1809"/>
      <c r="AK134" s="6120" t="str">
        <f t="shared" si="51"/>
        <v>►</v>
      </c>
      <c r="AL134" s="781" t="str">
        <f t="shared" si="53"/>
        <v>►</v>
      </c>
      <c r="AM134" s="5498" t="str">
        <f t="shared" si="57"/>
        <v/>
      </c>
      <c r="AN134" s="783" t="str">
        <f t="shared" si="58"/>
        <v/>
      </c>
      <c r="AO134" s="782" t="str">
        <f t="shared" si="59"/>
        <v/>
      </c>
      <c r="AP134" s="783" t="str">
        <f t="shared" si="60"/>
        <v/>
      </c>
      <c r="AQ134" s="2083" t="b">
        <f>AND(Q134="A",COUNTIF(BP16:BR63,TRIM(Z134))&gt;0)</f>
        <v>0</v>
      </c>
      <c r="AR134" s="797" t="str">
        <f>IF(AL134&lt;&gt;"A","",IFERROR(IFERROR(_xlfn.XLOOKUP(TRIM(SUBSTITUTE(Z134,CHAR(160)," ")),BP16:BP63,BS16:BS63),IFERROR(_xlfn.XLOOKUP(TRIM(SUBSTITUTE(Z134,CHAR(160)," ")),BQ16:BQ63,BS16:BS63),_xlfn.XLOOKUP(TRIM(SUBSTITUTE(Z134,CHAR(160)," ")),BR16:BR63,BS16:BS63)))*Y134*IF(ISBLANK(V134),1,V134),0))</f>
        <v/>
      </c>
      <c r="AS134" s="784" t="str">
        <f>IF(AK134="A",IF(AND(AQ134,AR134&gt;0),"Kg",""),"")</f>
        <v/>
      </c>
      <c r="AT134" s="1315" t="str">
        <f t="shared" si="61"/>
        <v/>
      </c>
      <c r="AU134" s="785">
        <f t="shared" si="62"/>
        <v>0</v>
      </c>
      <c r="AV134" s="785">
        <f t="shared" si="63"/>
        <v>0</v>
      </c>
      <c r="AW134" s="798">
        <f>IF(AK134="A",AY10,0)</f>
        <v>0</v>
      </c>
      <c r="AX134" s="5496" t="str">
        <f>IF(IFERROR(SEARCH("Adresse PC",TRIM(W134)),0)&gt;0,"▼ receta siguiente",IF(AK134="A",IF(AZ10&lt;&gt;"",AZ10&amp;" - ou.or.o ❾ + or - &gt;",""),""))</f>
        <v/>
      </c>
      <c r="AY134" s="1316"/>
      <c r="AZ134" s="787"/>
      <c r="BA134" s="799" t="str">
        <f t="shared" si="52"/>
        <v/>
      </c>
      <c r="BB134" s="800" t="str">
        <f>IF(AK134="A",IF(AQ134,IF(AND(AW134&lt;&gt;"",N(AW134)&gt;0),IFERROR(IFERROR(_xlfn.XLOOKUP(AP134,BP10:BP57,BT10:BT57),IFERROR(_xlfn.XLOOKUP(AP134,BQ10:BQ57,BT10:BT57),_xlfn.XLOOKUP(AP134,BR10:BR57,BT10:BT57,""))),""),""),""),"")</f>
        <v/>
      </c>
      <c r="BC134" s="813" cm="1">
        <f t="array" ref="BC134">IF(NOT(AQ134),0,IF(OR(BA134="",N(BA134)&lt;=0.000000001),"",IF(OR(AU134="",N(AU134)&lt;=0.000000001),0,IF(ISNUMBER(BA134),IFERROR(_xlfn.LET(_xlpm.ai_test,TRIM(AP134),_xlpm.r,IFERROR(_xlfn.XLOOKUP(_xlpm.ai_test,BP16:BP63,ROW(BP16:BP63),0,1),IFERROR(_xlfn.XLOOKUP(_xlpm.ai_test,BQ16:BQ63,ROW(BQ16:BQ63),0,1),_xlfn.XLOOKUP(_xlpm.ai_test,BR16:BR63,ROW(BR16:BR63),0,1))),_xlpm.p,_xlpm.r-MIN(ROW(BP16:BP63))+1,_xlpm.f,INDEX(BS16:BS63,_xlpm.p),_xlpm.u,INDEX(BT16:BT63,_xlpm.p),_xlpm.s,INDEX(BV16:BV63,_xlpm.p),_xlpm.q,N(BA134)/_xlpm.f,IF(_xlpm.q&gt;=_xlpm.s,ROUND(_xlpm.q,1)&amp;" "&amp;_xlpm.ai_test&amp;" = "&amp;ROUND(_xlpm.q*_xlpm.f,1)&amp;" "&amp;_xlpm.u,ROUND(_xlpm.q,1)&amp;" "&amp;_xlpm.ai_test)),""),""))))</f>
        <v>0</v>
      </c>
      <c r="BD134" s="801"/>
      <c r="BE134" s="799" t="str">
        <f t="shared" si="64"/>
        <v/>
      </c>
      <c r="BF134" s="800" t="str">
        <f t="shared" si="65"/>
        <v/>
      </c>
      <c r="BG134" s="802">
        <f t="shared" si="70"/>
        <v>0</v>
      </c>
      <c r="BH134" s="803" t="str">
        <f t="shared" si="71"/>
        <v/>
      </c>
      <c r="BI134" s="792"/>
      <c r="BJ134" s="804">
        <f t="shared" si="69"/>
        <v>0</v>
      </c>
      <c r="BK134" s="794" t="str">
        <f t="shared" si="66"/>
        <v/>
      </c>
      <c r="BL134" s="227" t="s">
        <v>21</v>
      </c>
      <c r="BM134" s="773">
        <f t="shared" si="55"/>
        <v>0</v>
      </c>
      <c r="BN134" s="774">
        <f t="shared" si="56"/>
        <v>0</v>
      </c>
      <c r="BO134"/>
      <c r="BX134"/>
      <c r="BY134"/>
      <c r="BZ134"/>
      <c r="CA134"/>
      <c r="CB134"/>
      <c r="CC134"/>
      <c r="CD134" s="781" t="str">
        <f t="shared" ref="CD134:CD197" si="72">AL134</f>
        <v>►</v>
      </c>
      <c r="CJ134" s="719"/>
      <c r="DI134" s="3">
        <v>1</v>
      </c>
    </row>
    <row r="135" spans="1:113" s="627" customFormat="1" ht="21" customHeight="1">
      <c r="A135" s="701" t="s">
        <v>21</v>
      </c>
      <c r="B135" s="2265" t="str" cm="1">
        <f t="array" ref="B135">SUMPRODUCT(--(D135:J135&lt;&gt;""), LEN(TRIM(SUBSTITUTE(D135:J135, CHAR(160), "")))) &amp; " Car."</f>
        <v>0 Car.</v>
      </c>
      <c r="C135" s="1376" t="str">
        <f>IF(ISBLANK(D135),"",LARGE(C13:C134,1)+1)</f>
        <v/>
      </c>
      <c r="D135" s="1833"/>
      <c r="E135" s="1810"/>
      <c r="F135" s="1810"/>
      <c r="G135" s="1810"/>
      <c r="H135" s="1810"/>
      <c r="I135" s="1810"/>
      <c r="J135" s="1810"/>
      <c r="K135" s="1810"/>
      <c r="L135" s="1811"/>
      <c r="M135" s="9"/>
      <c r="N135" s="25" t="str">
        <f t="shared" si="47"/>
        <v>►</v>
      </c>
      <c r="O135" s="1616"/>
      <c r="P135" s="9"/>
      <c r="Q135" s="25" t="s">
        <v>15</v>
      </c>
      <c r="R135" s="31"/>
      <c r="S135" s="32"/>
      <c r="T135" s="31"/>
      <c r="U135" s="33"/>
      <c r="V135" s="1967"/>
      <c r="W135" s="1805"/>
      <c r="X135" s="91"/>
      <c r="Y135" s="1806"/>
      <c r="Z135" s="1968"/>
      <c r="AA135" s="2244"/>
      <c r="AB135" s="1969"/>
      <c r="AC135" s="1365"/>
      <c r="AD135" s="95"/>
      <c r="AE135" s="1326"/>
      <c r="AF135" s="97"/>
      <c r="AG135" s="1737"/>
      <c r="AH135" s="1970"/>
      <c r="AI135" s="99"/>
      <c r="AJ135" s="1809"/>
      <c r="AK135" s="6120" t="str">
        <f t="shared" si="51"/>
        <v>►</v>
      </c>
      <c r="AL135" s="781" t="str">
        <f t="shared" si="53"/>
        <v>►</v>
      </c>
      <c r="AM135" s="5499" t="str">
        <f t="shared" si="57"/>
        <v/>
      </c>
      <c r="AN135" s="783" t="str">
        <f t="shared" si="58"/>
        <v/>
      </c>
      <c r="AO135" s="782" t="str">
        <f t="shared" si="59"/>
        <v/>
      </c>
      <c r="AP135" s="783" t="str">
        <f t="shared" si="60"/>
        <v/>
      </c>
      <c r="AQ135" s="2083" t="b">
        <f>AND(Q135="A",COUNTIF(BP16:BR63,TRIM(Z135))&gt;0)</f>
        <v>0</v>
      </c>
      <c r="AR135" s="797" t="str">
        <f>IF(AL135&lt;&gt;"A","",IFERROR(IFERROR(_xlfn.XLOOKUP(TRIM(SUBSTITUTE(Z135,CHAR(160)," ")),BP16:BP63,BS16:BS63),IFERROR(_xlfn.XLOOKUP(TRIM(SUBSTITUTE(Z135,CHAR(160)," ")),BQ16:BQ63,BS16:BS63),_xlfn.XLOOKUP(TRIM(SUBSTITUTE(Z135,CHAR(160)," ")),BR16:BR63,BS16:BS63)))*Y135*IF(ISBLANK(V135),1,V135),0))</f>
        <v/>
      </c>
      <c r="AS135" s="784" t="str">
        <f t="shared" ref="AS135:AS198" si="73">IF(AK135="A",IF(AND(AQ135,AR135&gt;0),"Kg",""),"")</f>
        <v/>
      </c>
      <c r="AT135" s="1315" t="str">
        <f t="shared" si="61"/>
        <v/>
      </c>
      <c r="AU135" s="785">
        <f t="shared" si="62"/>
        <v>0</v>
      </c>
      <c r="AV135" s="785">
        <f t="shared" si="63"/>
        <v>0</v>
      </c>
      <c r="AW135" s="786">
        <f>IF(AK135="A",AY10,0)</f>
        <v>0</v>
      </c>
      <c r="AX135" s="5495" t="str">
        <f>IF(IFERROR(SEARCH("Adresse PC",TRIM(W135)),0)&gt;0,"▼ receta siguiente",IF(AK135="A",IF(AZ10&lt;&gt;"",AZ10&amp;" - ou.or.o ❾ + or - &gt;",""),""))</f>
        <v/>
      </c>
      <c r="AY135" s="810"/>
      <c r="AZ135" s="810"/>
      <c r="BA135" s="788" t="str">
        <f t="shared" si="52"/>
        <v/>
      </c>
      <c r="BB135" s="789" t="str">
        <f>IF(AK135="A",IF(AQ135,IF(AND(AW135&lt;&gt;"",N(AW135)&gt;0),IFERROR(IFERROR(_xlfn.XLOOKUP(AP135,BP10:BP57,BT10:BT57),IFERROR(_xlfn.XLOOKUP(AP135,BQ10:BQ57,BT10:BT57),_xlfn.XLOOKUP(AP135,BR10:BR57,BT10:BT57,""))),""),""),""),"")</f>
        <v/>
      </c>
      <c r="BC135" s="811" cm="1">
        <f t="array" ref="BC135">IF(NOT(AQ135),0,IF(OR(BA135="",N(BA135)&lt;=0.000000001),"",IF(OR(AU135="",N(AU135)&lt;=0.000000001),0,IF(ISNUMBER(BA135),IFERROR(_xlfn.LET(_xlpm.ai_test,TRIM(AP135),_xlpm.r,IFERROR(_xlfn.XLOOKUP(_xlpm.ai_test,BP16:BP63,ROW(BP16:BP63),0,1),IFERROR(_xlfn.XLOOKUP(_xlpm.ai_test,BQ16:BQ63,ROW(BQ16:BQ63),0,1),_xlfn.XLOOKUP(_xlpm.ai_test,BR16:BR63,ROW(BR16:BR63),0,1))),_xlpm.p,_xlpm.r-MIN(ROW(BP16:BP63))+1,_xlpm.f,INDEX(BS16:BS63,_xlpm.p),_xlpm.u,INDEX(BT16:BT63,_xlpm.p),_xlpm.s,INDEX(BV16:BV63,_xlpm.p),_xlpm.q,N(BA135)/_xlpm.f,IF(_xlpm.q&gt;=_xlpm.s,ROUND(_xlpm.q,1)&amp;" "&amp;_xlpm.ai_test&amp;" = "&amp;ROUND(_xlpm.q*_xlpm.f,1)&amp;" "&amp;_xlpm.u,ROUND(_xlpm.q,1)&amp;" "&amp;_xlpm.ai_test)),""),""))))</f>
        <v>0</v>
      </c>
      <c r="BD135" s="801"/>
      <c r="BE135" s="788" t="str">
        <f t="shared" si="64"/>
        <v/>
      </c>
      <c r="BF135" s="789" t="str">
        <f t="shared" si="65"/>
        <v/>
      </c>
      <c r="BG135" s="790">
        <f t="shared" si="70"/>
        <v>0</v>
      </c>
      <c r="BH135" s="791" t="str">
        <f t="shared" si="71"/>
        <v/>
      </c>
      <c r="BI135" s="792"/>
      <c r="BJ135" s="793">
        <f t="shared" si="69"/>
        <v>0</v>
      </c>
      <c r="BK135" s="794" t="str">
        <f t="shared" si="66"/>
        <v/>
      </c>
      <c r="BL135" s="227" t="s">
        <v>21</v>
      </c>
      <c r="BM135" s="773">
        <f t="shared" si="55"/>
        <v>0</v>
      </c>
      <c r="BN135" s="774">
        <f t="shared" si="56"/>
        <v>0</v>
      </c>
      <c r="BO135"/>
      <c r="BX135"/>
      <c r="BY135"/>
      <c r="BZ135"/>
      <c r="CA135"/>
      <c r="CB135"/>
      <c r="CC135"/>
      <c r="CD135" s="781" t="str">
        <f t="shared" si="72"/>
        <v>►</v>
      </c>
      <c r="CJ135" s="719"/>
      <c r="DI135" s="3">
        <v>1</v>
      </c>
    </row>
    <row r="136" spans="1:113" s="627" customFormat="1" ht="21" customHeight="1">
      <c r="A136" s="701" t="s">
        <v>21</v>
      </c>
      <c r="B136" s="2265" t="str" cm="1">
        <f t="array" ref="B136">SUMPRODUCT(--(D136:J136&lt;&gt;""), LEN(TRIM(SUBSTITUTE(D136:J136, CHAR(160), "")))) &amp; " Car."</f>
        <v>0 Car.</v>
      </c>
      <c r="C136" s="1376" t="str">
        <f>IF(ISBLANK(D136),"",LARGE(C13:C135,1)+1)</f>
        <v/>
      </c>
      <c r="D136" s="1833"/>
      <c r="E136" s="1810"/>
      <c r="F136" s="1810"/>
      <c r="G136" s="1810"/>
      <c r="H136" s="1810"/>
      <c r="I136" s="1810"/>
      <c r="J136" s="1810"/>
      <c r="K136" s="1810"/>
      <c r="L136" s="1811"/>
      <c r="M136" s="9"/>
      <c r="N136" s="25" t="str">
        <f t="shared" si="47"/>
        <v>►</v>
      </c>
      <c r="O136" s="1616"/>
      <c r="P136" s="9"/>
      <c r="Q136" s="25" t="s">
        <v>15</v>
      </c>
      <c r="R136" s="31"/>
      <c r="S136" s="32"/>
      <c r="T136" s="31"/>
      <c r="U136" s="33"/>
      <c r="V136" s="1967"/>
      <c r="W136" s="1805"/>
      <c r="X136" s="91"/>
      <c r="Y136" s="1806"/>
      <c r="Z136" s="1968"/>
      <c r="AA136" s="2244"/>
      <c r="AB136" s="1969"/>
      <c r="AC136" s="1365"/>
      <c r="AD136" s="95"/>
      <c r="AE136" s="1326"/>
      <c r="AF136" s="97"/>
      <c r="AG136" s="1737"/>
      <c r="AH136" s="1970"/>
      <c r="AI136" s="99"/>
      <c r="AJ136" s="1809"/>
      <c r="AK136" s="6120" t="str">
        <f t="shared" si="51"/>
        <v>►</v>
      </c>
      <c r="AL136" s="781" t="str">
        <f t="shared" si="53"/>
        <v>►</v>
      </c>
      <c r="AM136" s="5498" t="str">
        <f t="shared" si="57"/>
        <v/>
      </c>
      <c r="AN136" s="783" t="str">
        <f t="shared" si="58"/>
        <v/>
      </c>
      <c r="AO136" s="782" t="str">
        <f t="shared" si="59"/>
        <v/>
      </c>
      <c r="AP136" s="783" t="str">
        <f t="shared" si="60"/>
        <v/>
      </c>
      <c r="AQ136" s="2083" t="b">
        <f>AND(Q136="A",COUNTIF(BP16:BR63,TRIM(Z136))&gt;0)</f>
        <v>0</v>
      </c>
      <c r="AR136" s="797" t="str">
        <f>IF(AL136&lt;&gt;"A","",IFERROR(IFERROR(_xlfn.XLOOKUP(TRIM(SUBSTITUTE(Z136,CHAR(160)," ")),BP16:BP63,BS16:BS63),IFERROR(_xlfn.XLOOKUP(TRIM(SUBSTITUTE(Z136,CHAR(160)," ")),BQ16:BQ63,BS16:BS63),_xlfn.XLOOKUP(TRIM(SUBSTITUTE(Z136,CHAR(160)," ")),BR16:BR63,BS16:BS63)))*Y136*IF(ISBLANK(V136),1,V136),0))</f>
        <v/>
      </c>
      <c r="AS136" s="784" t="str">
        <f t="shared" si="73"/>
        <v/>
      </c>
      <c r="AT136" s="1315" t="str">
        <f t="shared" si="61"/>
        <v/>
      </c>
      <c r="AU136" s="785">
        <f t="shared" si="62"/>
        <v>0</v>
      </c>
      <c r="AV136" s="785">
        <f t="shared" si="63"/>
        <v>0</v>
      </c>
      <c r="AW136" s="798">
        <f>IF(AK136="A",AY10,0)</f>
        <v>0</v>
      </c>
      <c r="AX136" s="5496" t="str">
        <f>IF(IFERROR(SEARCH("Adresse PC",TRIM(W136)),0)&gt;0,"▼ receta siguiente",IF(AK136="A",IF(AZ10&lt;&gt;"",AZ10&amp;" - ou.or.o ❾ + or - &gt;",""),""))</f>
        <v/>
      </c>
      <c r="AY136" s="810"/>
      <c r="AZ136" s="810"/>
      <c r="BA136" s="799" t="str">
        <f t="shared" si="52"/>
        <v/>
      </c>
      <c r="BB136" s="800" t="str">
        <f>IF(AK136="A",IF(AQ136,IF(AND(AW136&lt;&gt;"",N(AW136)&gt;0),IFERROR(IFERROR(_xlfn.XLOOKUP(AP136,BP10:BP57,BT10:BT57),IFERROR(_xlfn.XLOOKUP(AP136,BQ10:BQ57,BT10:BT57),_xlfn.XLOOKUP(AP136,BR10:BR57,BT10:BT57,""))),""),""),""),"")</f>
        <v/>
      </c>
      <c r="BC136" s="813" cm="1">
        <f t="array" ref="BC136">IF(NOT(AQ136),0,IF(OR(BA136="",N(BA136)&lt;=0.000000001),"",IF(OR(AU136="",N(AU136)&lt;=0.000000001),0,IF(ISNUMBER(BA136),IFERROR(_xlfn.LET(_xlpm.ai_test,TRIM(AP136),_xlpm.r,IFERROR(_xlfn.XLOOKUP(_xlpm.ai_test,BP16:BP63,ROW(BP16:BP63),0,1),IFERROR(_xlfn.XLOOKUP(_xlpm.ai_test,BQ16:BQ63,ROW(BQ16:BQ63),0,1),_xlfn.XLOOKUP(_xlpm.ai_test,BR16:BR63,ROW(BR16:BR63),0,1))),_xlpm.p,_xlpm.r-MIN(ROW(BP16:BP63))+1,_xlpm.f,INDEX(BS16:BS63,_xlpm.p),_xlpm.u,INDEX(BT16:BT63,_xlpm.p),_xlpm.s,INDEX(BV16:BV63,_xlpm.p),_xlpm.q,N(BA136)/_xlpm.f,IF(_xlpm.q&gt;=_xlpm.s,ROUND(_xlpm.q,1)&amp;" "&amp;_xlpm.ai_test&amp;" = "&amp;ROUND(_xlpm.q*_xlpm.f,1)&amp;" "&amp;_xlpm.u,ROUND(_xlpm.q,1)&amp;" "&amp;_xlpm.ai_test)),""),""))))</f>
        <v>0</v>
      </c>
      <c r="BD136" s="801"/>
      <c r="BE136" s="799" t="str">
        <f t="shared" si="64"/>
        <v/>
      </c>
      <c r="BF136" s="800" t="str">
        <f t="shared" si="65"/>
        <v/>
      </c>
      <c r="BG136" s="802">
        <f t="shared" si="70"/>
        <v>0</v>
      </c>
      <c r="BH136" s="803" t="str">
        <f t="shared" si="71"/>
        <v/>
      </c>
      <c r="BI136" s="792"/>
      <c r="BJ136" s="804">
        <f t="shared" si="69"/>
        <v>0</v>
      </c>
      <c r="BK136" s="794" t="str">
        <f t="shared" si="66"/>
        <v/>
      </c>
      <c r="BL136" s="227" t="s">
        <v>21</v>
      </c>
      <c r="BM136" s="773">
        <f t="shared" si="55"/>
        <v>0</v>
      </c>
      <c r="BN136" s="774">
        <f t="shared" si="56"/>
        <v>0</v>
      </c>
      <c r="BO136"/>
      <c r="BX136"/>
      <c r="BY136"/>
      <c r="BZ136"/>
      <c r="CA136"/>
      <c r="CB136"/>
      <c r="CC136"/>
      <c r="CD136" s="781" t="str">
        <f t="shared" si="72"/>
        <v>►</v>
      </c>
      <c r="CJ136" s="719"/>
      <c r="DI136" s="3">
        <v>1</v>
      </c>
    </row>
    <row r="137" spans="1:113" s="627" customFormat="1" ht="21" customHeight="1">
      <c r="A137" s="701" t="s">
        <v>21</v>
      </c>
      <c r="B137" s="2265" t="str" cm="1">
        <f t="array" ref="B137">SUMPRODUCT(--(D137:J137&lt;&gt;""), LEN(TRIM(SUBSTITUTE(D137:J137, CHAR(160), "")))) &amp; " Car."</f>
        <v>0 Car.</v>
      </c>
      <c r="C137" s="1376" t="str">
        <f>IF(ISBLANK(D137),"",LARGE(C13:C136,1)+1)</f>
        <v/>
      </c>
      <c r="D137" s="1833"/>
      <c r="E137" s="1810"/>
      <c r="F137" s="1810"/>
      <c r="G137" s="1810"/>
      <c r="H137" s="1810"/>
      <c r="I137" s="1810"/>
      <c r="J137" s="1810"/>
      <c r="K137" s="1810"/>
      <c r="L137" s="1811"/>
      <c r="M137" s="9"/>
      <c r="N137" s="25" t="str">
        <f t="shared" si="47"/>
        <v>►</v>
      </c>
      <c r="O137" s="1616"/>
      <c r="P137" s="9"/>
      <c r="Q137" s="25" t="s">
        <v>15</v>
      </c>
      <c r="R137" s="31"/>
      <c r="S137" s="32"/>
      <c r="T137" s="31"/>
      <c r="U137" s="33"/>
      <c r="V137" s="1967"/>
      <c r="W137" s="1805"/>
      <c r="X137" s="91"/>
      <c r="Y137" s="1806"/>
      <c r="Z137" s="1968"/>
      <c r="AA137" s="2244"/>
      <c r="AB137" s="1969"/>
      <c r="AC137" s="1365"/>
      <c r="AD137" s="95"/>
      <c r="AE137" s="1326"/>
      <c r="AF137" s="97"/>
      <c r="AG137" s="1737"/>
      <c r="AH137" s="1970"/>
      <c r="AI137" s="99"/>
      <c r="AJ137" s="1809"/>
      <c r="AK137" s="6120" t="str">
        <f t="shared" si="51"/>
        <v>►</v>
      </c>
      <c r="AL137" s="781" t="str">
        <f t="shared" si="53"/>
        <v>►</v>
      </c>
      <c r="AM137" s="5499" t="str">
        <f t="shared" si="57"/>
        <v/>
      </c>
      <c r="AN137" s="783" t="str">
        <f t="shared" si="58"/>
        <v/>
      </c>
      <c r="AO137" s="782" t="str">
        <f t="shared" si="59"/>
        <v/>
      </c>
      <c r="AP137" s="783" t="str">
        <f t="shared" si="60"/>
        <v/>
      </c>
      <c r="AQ137" s="2083" t="b">
        <f>AND(Q137="A",COUNTIF(BP16:BR63,TRIM(Z137))&gt;0)</f>
        <v>0</v>
      </c>
      <c r="AR137" s="797" t="str">
        <f>IF(AL137&lt;&gt;"A","",IFERROR(IFERROR(_xlfn.XLOOKUP(TRIM(SUBSTITUTE(Z137,CHAR(160)," ")),BP16:BP63,BS16:BS63),IFERROR(_xlfn.XLOOKUP(TRIM(SUBSTITUTE(Z137,CHAR(160)," ")),BQ16:BQ63,BS16:BS63),_xlfn.XLOOKUP(TRIM(SUBSTITUTE(Z137,CHAR(160)," ")),BR16:BR63,BS16:BS63)))*Y137*IF(ISBLANK(V137),1,V137),0))</f>
        <v/>
      </c>
      <c r="AS137" s="784" t="str">
        <f t="shared" si="73"/>
        <v/>
      </c>
      <c r="AT137" s="1315" t="str">
        <f t="shared" si="61"/>
        <v/>
      </c>
      <c r="AU137" s="785">
        <f t="shared" si="62"/>
        <v>0</v>
      </c>
      <c r="AV137" s="785">
        <f t="shared" si="63"/>
        <v>0</v>
      </c>
      <c r="AW137" s="786">
        <f>IF(AK137="A",AY10,0)</f>
        <v>0</v>
      </c>
      <c r="AX137" s="5495" t="str">
        <f>IF(IFERROR(SEARCH("Adresse PC",TRIM(W137)),0)&gt;0,"▼ receta siguiente",IF(AK137="A",IF(AZ10&lt;&gt;"",AZ10&amp;" - ou.or.o ❾ + or - &gt;",""),""))</f>
        <v/>
      </c>
      <c r="AY137" s="810"/>
      <c r="AZ137" s="810"/>
      <c r="BA137" s="788" t="str">
        <f t="shared" si="52"/>
        <v/>
      </c>
      <c r="BB137" s="789" t="str">
        <f>IF(AK137="A",IF(AQ137,IF(AND(AW137&lt;&gt;"",N(AW137)&gt;0),IFERROR(IFERROR(_xlfn.XLOOKUP(AP137,BP10:BP57,BT10:BT57),IFERROR(_xlfn.XLOOKUP(AP137,BQ10:BQ57,BT10:BT57),_xlfn.XLOOKUP(AP137,BR10:BR57,BT10:BT57,""))),""),""),""),"")</f>
        <v/>
      </c>
      <c r="BC137" s="811" cm="1">
        <f t="array" ref="BC137">IF(NOT(AQ137),0,IF(OR(BA137="",N(BA137)&lt;=0.000000001),"",IF(OR(AU137="",N(AU137)&lt;=0.000000001),0,IF(ISNUMBER(BA137),IFERROR(_xlfn.LET(_xlpm.ai_test,TRIM(AP137),_xlpm.r,IFERROR(_xlfn.XLOOKUP(_xlpm.ai_test,BP16:BP63,ROW(BP16:BP63),0,1),IFERROR(_xlfn.XLOOKUP(_xlpm.ai_test,BQ16:BQ63,ROW(BQ16:BQ63),0,1),_xlfn.XLOOKUP(_xlpm.ai_test,BR16:BR63,ROW(BR16:BR63),0,1))),_xlpm.p,_xlpm.r-MIN(ROW(BP16:BP63))+1,_xlpm.f,INDEX(BS16:BS63,_xlpm.p),_xlpm.u,INDEX(BT16:BT63,_xlpm.p),_xlpm.s,INDEX(BV16:BV63,_xlpm.p),_xlpm.q,N(BA137)/_xlpm.f,IF(_xlpm.q&gt;=_xlpm.s,ROUND(_xlpm.q,1)&amp;" "&amp;_xlpm.ai_test&amp;" = "&amp;ROUND(_xlpm.q*_xlpm.f,1)&amp;" "&amp;_xlpm.u,ROUND(_xlpm.q,1)&amp;" "&amp;_xlpm.ai_test)),""),""))))</f>
        <v>0</v>
      </c>
      <c r="BD137" s="801"/>
      <c r="BE137" s="788" t="str">
        <f t="shared" si="64"/>
        <v/>
      </c>
      <c r="BF137" s="789" t="str">
        <f t="shared" si="65"/>
        <v/>
      </c>
      <c r="BG137" s="790">
        <f t="shared" si="70"/>
        <v>0</v>
      </c>
      <c r="BH137" s="791" t="str">
        <f t="shared" si="71"/>
        <v/>
      </c>
      <c r="BI137" s="792"/>
      <c r="BJ137" s="793">
        <f t="shared" si="69"/>
        <v>0</v>
      </c>
      <c r="BK137" s="794" t="str">
        <f t="shared" si="66"/>
        <v/>
      </c>
      <c r="BL137" s="227" t="s">
        <v>21</v>
      </c>
      <c r="BM137" s="773">
        <f t="shared" si="55"/>
        <v>0</v>
      </c>
      <c r="BN137" s="774">
        <f t="shared" si="56"/>
        <v>0</v>
      </c>
      <c r="BO137"/>
      <c r="BX137"/>
      <c r="BY137"/>
      <c r="BZ137"/>
      <c r="CA137"/>
      <c r="CB137"/>
      <c r="CC137"/>
      <c r="CD137" s="781" t="str">
        <f t="shared" si="72"/>
        <v>►</v>
      </c>
      <c r="CJ137" s="719"/>
      <c r="DI137" s="3">
        <v>1</v>
      </c>
    </row>
    <row r="138" spans="1:113" s="627" customFormat="1" ht="21" customHeight="1">
      <c r="A138" s="701" t="s">
        <v>21</v>
      </c>
      <c r="B138" s="2265" t="str" cm="1">
        <f t="array" ref="B138">SUMPRODUCT(--(D138:J138&lt;&gt;""), LEN(TRIM(SUBSTITUTE(D138:J138, CHAR(160), "")))) &amp; " Car."</f>
        <v>0 Car.</v>
      </c>
      <c r="C138" s="1376" t="str">
        <f>IF(ISBLANK(D138),"",LARGE(C13:C137,1)+1)</f>
        <v/>
      </c>
      <c r="D138" s="1833"/>
      <c r="E138" s="1810"/>
      <c r="F138" s="1810"/>
      <c r="G138" s="1810"/>
      <c r="H138" s="1810"/>
      <c r="I138" s="1810"/>
      <c r="J138" s="1810"/>
      <c r="K138" s="1810"/>
      <c r="L138" s="1811"/>
      <c r="M138" s="9"/>
      <c r="N138" s="25" t="str">
        <f t="shared" si="47"/>
        <v>►</v>
      </c>
      <c r="O138" s="1616"/>
      <c r="P138" s="9"/>
      <c r="Q138" s="25" t="s">
        <v>15</v>
      </c>
      <c r="R138" s="31"/>
      <c r="S138" s="32"/>
      <c r="T138" s="31"/>
      <c r="U138" s="33"/>
      <c r="V138" s="1967"/>
      <c r="W138" s="1805"/>
      <c r="X138" s="91"/>
      <c r="Y138" s="1806"/>
      <c r="Z138" s="1968"/>
      <c r="AA138" s="2244"/>
      <c r="AB138" s="1969"/>
      <c r="AC138" s="1365"/>
      <c r="AD138" s="95"/>
      <c r="AE138" s="1326"/>
      <c r="AF138" s="97"/>
      <c r="AG138" s="1737"/>
      <c r="AH138" s="1970"/>
      <c r="AI138" s="99"/>
      <c r="AJ138" s="1809"/>
      <c r="AK138" s="6120" t="str">
        <f t="shared" si="51"/>
        <v>►</v>
      </c>
      <c r="AL138" s="781" t="str">
        <f t="shared" si="53"/>
        <v>►</v>
      </c>
      <c r="AM138" s="5498" t="str">
        <f t="shared" si="57"/>
        <v/>
      </c>
      <c r="AN138" s="783" t="str">
        <f t="shared" si="58"/>
        <v/>
      </c>
      <c r="AO138" s="782" t="str">
        <f t="shared" si="59"/>
        <v/>
      </c>
      <c r="AP138" s="783" t="str">
        <f t="shared" si="60"/>
        <v/>
      </c>
      <c r="AQ138" s="2083" t="b">
        <f>AND(Q138="A",COUNTIF(BP16:BR63,TRIM(Z138))&gt;0)</f>
        <v>0</v>
      </c>
      <c r="AR138" s="797" t="str">
        <f>IF(AL138&lt;&gt;"A","",IFERROR(IFERROR(_xlfn.XLOOKUP(TRIM(SUBSTITUTE(Z138,CHAR(160)," ")),BP16:BP63,BS16:BS63),IFERROR(_xlfn.XLOOKUP(TRIM(SUBSTITUTE(Z138,CHAR(160)," ")),BQ16:BQ63,BS16:BS63),_xlfn.XLOOKUP(TRIM(SUBSTITUTE(Z138,CHAR(160)," ")),BR16:BR63,BS16:BS63)))*Y138*IF(ISBLANK(V138),1,V138),0))</f>
        <v/>
      </c>
      <c r="AS138" s="784" t="str">
        <f t="shared" si="73"/>
        <v/>
      </c>
      <c r="AT138" s="1315" t="str">
        <f t="shared" si="61"/>
        <v/>
      </c>
      <c r="AU138" s="785">
        <f t="shared" si="62"/>
        <v>0</v>
      </c>
      <c r="AV138" s="785">
        <f t="shared" si="63"/>
        <v>0</v>
      </c>
      <c r="AW138" s="798">
        <f>IF(AK138="A",AY10,0)</f>
        <v>0</v>
      </c>
      <c r="AX138" s="5496" t="str">
        <f>IF(IFERROR(SEARCH("Adresse PC",TRIM(W138)),0)&gt;0,"▼ receta siguiente",IF(AK138="A",IF(AZ10&lt;&gt;"",AZ10&amp;" - ou.or.o ❾ + or - &gt;",""),""))</f>
        <v/>
      </c>
      <c r="AY138" s="810"/>
      <c r="AZ138" s="810"/>
      <c r="BA138" s="799" t="str">
        <f t="shared" si="52"/>
        <v/>
      </c>
      <c r="BB138" s="800" t="str">
        <f>IF(AK138="A",IF(AQ138,IF(AND(AW138&lt;&gt;"",N(AW138)&gt;0),IFERROR(IFERROR(_xlfn.XLOOKUP(AP138,BP10:BP57,BT10:BT57),IFERROR(_xlfn.XLOOKUP(AP138,BQ10:BQ57,BT10:BT57),_xlfn.XLOOKUP(AP138,BR10:BR57,BT10:BT57,""))),""),""),""),"")</f>
        <v/>
      </c>
      <c r="BC138" s="813" cm="1">
        <f t="array" ref="BC138">IF(NOT(AQ138),0,IF(OR(BA138="",N(BA138)&lt;=0.000000001),"",IF(OR(AU138="",N(AU138)&lt;=0.000000001),0,IF(ISNUMBER(BA138),IFERROR(_xlfn.LET(_xlpm.ai_test,TRIM(AP138),_xlpm.r,IFERROR(_xlfn.XLOOKUP(_xlpm.ai_test,BP16:BP63,ROW(BP16:BP63),0,1),IFERROR(_xlfn.XLOOKUP(_xlpm.ai_test,BQ16:BQ63,ROW(BQ16:BQ63),0,1),_xlfn.XLOOKUP(_xlpm.ai_test,BR16:BR63,ROW(BR16:BR63),0,1))),_xlpm.p,_xlpm.r-MIN(ROW(BP16:BP63))+1,_xlpm.f,INDEX(BS16:BS63,_xlpm.p),_xlpm.u,INDEX(BT16:BT63,_xlpm.p),_xlpm.s,INDEX(BV16:BV63,_xlpm.p),_xlpm.q,N(BA138)/_xlpm.f,IF(_xlpm.q&gt;=_xlpm.s,ROUND(_xlpm.q,1)&amp;" "&amp;_xlpm.ai_test&amp;" = "&amp;ROUND(_xlpm.q*_xlpm.f,1)&amp;" "&amp;_xlpm.u,ROUND(_xlpm.q,1)&amp;" "&amp;_xlpm.ai_test)),""),""))))</f>
        <v>0</v>
      </c>
      <c r="BD138" s="801"/>
      <c r="BE138" s="799" t="str">
        <f t="shared" si="64"/>
        <v/>
      </c>
      <c r="BF138" s="800" t="str">
        <f t="shared" si="65"/>
        <v/>
      </c>
      <c r="BG138" s="802">
        <f t="shared" si="70"/>
        <v>0</v>
      </c>
      <c r="BH138" s="803" t="str">
        <f t="shared" si="71"/>
        <v/>
      </c>
      <c r="BI138" s="792"/>
      <c r="BJ138" s="804">
        <f t="shared" si="69"/>
        <v>0</v>
      </c>
      <c r="BK138" s="794" t="str">
        <f t="shared" si="66"/>
        <v/>
      </c>
      <c r="BL138" s="227" t="s">
        <v>21</v>
      </c>
      <c r="BM138" s="773">
        <f t="shared" si="55"/>
        <v>0</v>
      </c>
      <c r="BN138" s="774">
        <f t="shared" si="56"/>
        <v>0</v>
      </c>
      <c r="BO138"/>
      <c r="BX138"/>
      <c r="BY138"/>
      <c r="BZ138"/>
      <c r="CA138"/>
      <c r="CB138"/>
      <c r="CC138"/>
      <c r="CD138" s="781" t="str">
        <f t="shared" si="72"/>
        <v>►</v>
      </c>
      <c r="CJ138" s="719"/>
      <c r="DI138" s="3">
        <v>1</v>
      </c>
    </row>
    <row r="139" spans="1:113" s="627" customFormat="1" ht="21" customHeight="1">
      <c r="A139" s="701" t="s">
        <v>21</v>
      </c>
      <c r="B139" s="2265" t="str" cm="1">
        <f t="array" ref="B139">SUMPRODUCT(--(D139:J139&lt;&gt;""), LEN(TRIM(SUBSTITUTE(D139:J139, CHAR(160), "")))) &amp; " Car."</f>
        <v>0 Car.</v>
      </c>
      <c r="C139" s="1376" t="str">
        <f>IF(ISBLANK(D139),"",LARGE(C13:C138,1)+1)</f>
        <v/>
      </c>
      <c r="D139" s="1833"/>
      <c r="E139" s="1810"/>
      <c r="F139" s="1810"/>
      <c r="G139" s="1810"/>
      <c r="H139" s="1810"/>
      <c r="I139" s="1810"/>
      <c r="J139" s="1810"/>
      <c r="K139" s="1810"/>
      <c r="L139" s="1811"/>
      <c r="M139" s="9"/>
      <c r="N139" s="25" t="str">
        <f t="shared" si="47"/>
        <v>►</v>
      </c>
      <c r="O139" s="1616"/>
      <c r="P139" s="9"/>
      <c r="Q139" s="25" t="s">
        <v>15</v>
      </c>
      <c r="R139" s="31"/>
      <c r="S139" s="32"/>
      <c r="T139" s="31"/>
      <c r="U139" s="33"/>
      <c r="V139" s="1967"/>
      <c r="W139" s="1805"/>
      <c r="X139" s="91"/>
      <c r="Y139" s="1806"/>
      <c r="Z139" s="1968"/>
      <c r="AA139" s="2244"/>
      <c r="AB139" s="1969"/>
      <c r="AC139" s="1365"/>
      <c r="AD139" s="95"/>
      <c r="AE139" s="1326"/>
      <c r="AF139" s="97"/>
      <c r="AG139" s="1737"/>
      <c r="AH139" s="1970"/>
      <c r="AI139" s="99"/>
      <c r="AJ139" s="1809"/>
      <c r="AK139" s="6120" t="str">
        <f t="shared" si="51"/>
        <v>►</v>
      </c>
      <c r="AL139" s="781" t="str">
        <f t="shared" si="53"/>
        <v>►</v>
      </c>
      <c r="AM139" s="5499" t="str">
        <f t="shared" si="57"/>
        <v/>
      </c>
      <c r="AN139" s="783" t="str">
        <f t="shared" si="58"/>
        <v/>
      </c>
      <c r="AO139" s="782" t="str">
        <f t="shared" si="59"/>
        <v/>
      </c>
      <c r="AP139" s="783" t="str">
        <f t="shared" si="60"/>
        <v/>
      </c>
      <c r="AQ139" s="2083" t="b">
        <f>AND(Q139="A",COUNTIF(BP16:BR63,TRIM(Z139))&gt;0)</f>
        <v>0</v>
      </c>
      <c r="AR139" s="797" t="str">
        <f>IF(AL139&lt;&gt;"A","",IFERROR(IFERROR(_xlfn.XLOOKUP(TRIM(SUBSTITUTE(Z139,CHAR(160)," ")),BP16:BP63,BS16:BS63),IFERROR(_xlfn.XLOOKUP(TRIM(SUBSTITUTE(Z139,CHAR(160)," ")),BQ16:BQ63,BS16:BS63),_xlfn.XLOOKUP(TRIM(SUBSTITUTE(Z139,CHAR(160)," ")),BR16:BR63,BS16:BS63)))*Y139*IF(ISBLANK(V139),1,V139),0))</f>
        <v/>
      </c>
      <c r="AS139" s="784" t="str">
        <f t="shared" si="73"/>
        <v/>
      </c>
      <c r="AT139" s="1315" t="str">
        <f t="shared" si="61"/>
        <v/>
      </c>
      <c r="AU139" s="785">
        <f t="shared" si="62"/>
        <v>0</v>
      </c>
      <c r="AV139" s="785">
        <f t="shared" si="63"/>
        <v>0</v>
      </c>
      <c r="AW139" s="786">
        <f>IF(AK139="A",AY10,0)</f>
        <v>0</v>
      </c>
      <c r="AX139" s="5495" t="str">
        <f>IF(IFERROR(SEARCH("Adresse PC",TRIM(W139)),0)&gt;0,"▼ receta siguiente",IF(AK139="A",IF(AZ10&lt;&gt;"",AZ10&amp;" - ou.or.o ❾ + or - &gt;",""),""))</f>
        <v/>
      </c>
      <c r="AY139" s="810"/>
      <c r="AZ139" s="810"/>
      <c r="BA139" s="788" t="str">
        <f t="shared" si="52"/>
        <v/>
      </c>
      <c r="BB139" s="789" t="str">
        <f>IF(AK139="A",IF(AQ139,IF(AND(AW139&lt;&gt;"",N(AW139)&gt;0),IFERROR(IFERROR(_xlfn.XLOOKUP(AP139,BP10:BP57,BT10:BT57),IFERROR(_xlfn.XLOOKUP(AP139,BQ10:BQ57,BT10:BT57),_xlfn.XLOOKUP(AP139,BR10:BR57,BT10:BT57,""))),""),""),""),"")</f>
        <v/>
      </c>
      <c r="BC139" s="811" cm="1">
        <f t="array" ref="BC139">IF(NOT(AQ139),0,IF(OR(BA139="",N(BA139)&lt;=0.000000001),"",IF(OR(AU139="",N(AU139)&lt;=0.000000001),0,IF(ISNUMBER(BA139),IFERROR(_xlfn.LET(_xlpm.ai_test,TRIM(AP139),_xlpm.r,IFERROR(_xlfn.XLOOKUP(_xlpm.ai_test,BP16:BP63,ROW(BP16:BP63),0,1),IFERROR(_xlfn.XLOOKUP(_xlpm.ai_test,BQ16:BQ63,ROW(BQ16:BQ63),0,1),_xlfn.XLOOKUP(_xlpm.ai_test,BR16:BR63,ROW(BR16:BR63),0,1))),_xlpm.p,_xlpm.r-MIN(ROW(BP16:BP63))+1,_xlpm.f,INDEX(BS16:BS63,_xlpm.p),_xlpm.u,INDEX(BT16:BT63,_xlpm.p),_xlpm.s,INDEX(BV16:BV63,_xlpm.p),_xlpm.q,N(BA139)/_xlpm.f,IF(_xlpm.q&gt;=_xlpm.s,ROUND(_xlpm.q,1)&amp;" "&amp;_xlpm.ai_test&amp;" = "&amp;ROUND(_xlpm.q*_xlpm.f,1)&amp;" "&amp;_xlpm.u,ROUND(_xlpm.q,1)&amp;" "&amp;_xlpm.ai_test)),""),""))))</f>
        <v>0</v>
      </c>
      <c r="BD139" s="801"/>
      <c r="BE139" s="788" t="str">
        <f t="shared" si="64"/>
        <v/>
      </c>
      <c r="BF139" s="789" t="str">
        <f t="shared" si="65"/>
        <v/>
      </c>
      <c r="BG139" s="790">
        <f t="shared" si="70"/>
        <v>0</v>
      </c>
      <c r="BH139" s="791" t="str">
        <f t="shared" si="71"/>
        <v/>
      </c>
      <c r="BI139" s="792"/>
      <c r="BJ139" s="793">
        <f t="shared" si="69"/>
        <v>0</v>
      </c>
      <c r="BK139" s="794" t="str">
        <f t="shared" si="66"/>
        <v/>
      </c>
      <c r="BL139" s="227" t="s">
        <v>21</v>
      </c>
      <c r="BM139" s="773">
        <f t="shared" si="55"/>
        <v>0</v>
      </c>
      <c r="BN139" s="774">
        <f t="shared" si="56"/>
        <v>0</v>
      </c>
      <c r="BO139"/>
      <c r="BX139"/>
      <c r="BY139"/>
      <c r="BZ139"/>
      <c r="CA139"/>
      <c r="CB139"/>
      <c r="CC139"/>
      <c r="CD139" s="781" t="str">
        <f t="shared" si="72"/>
        <v>►</v>
      </c>
      <c r="CJ139" s="719"/>
      <c r="DI139" s="3">
        <v>1</v>
      </c>
    </row>
    <row r="140" spans="1:113" s="627" customFormat="1" ht="21" customHeight="1">
      <c r="A140" s="701" t="s">
        <v>21</v>
      </c>
      <c r="B140" s="2265" t="str" cm="1">
        <f t="array" ref="B140">SUMPRODUCT(--(D140:J140&lt;&gt;""), LEN(TRIM(SUBSTITUTE(D140:J140, CHAR(160), "")))) &amp; " Car."</f>
        <v>0 Car.</v>
      </c>
      <c r="C140" s="1376" t="str">
        <f>IF(ISBLANK(D140),"",LARGE(C13:C139,1)+1)</f>
        <v/>
      </c>
      <c r="D140" s="1833"/>
      <c r="E140" s="1810"/>
      <c r="F140" s="1810"/>
      <c r="G140" s="1810"/>
      <c r="H140" s="1810"/>
      <c r="I140" s="1810"/>
      <c r="J140" s="1810"/>
      <c r="K140" s="1810"/>
      <c r="L140" s="1811"/>
      <c r="M140" s="9"/>
      <c r="N140" s="162" t="str">
        <f t="shared" si="47"/>
        <v>►</v>
      </c>
      <c r="O140" s="1616"/>
      <c r="P140" s="9"/>
      <c r="Q140" s="25" t="s">
        <v>15</v>
      </c>
      <c r="R140" s="31"/>
      <c r="S140" s="32"/>
      <c r="T140" s="31"/>
      <c r="U140" s="33"/>
      <c r="V140" s="1967"/>
      <c r="W140" s="1805"/>
      <c r="X140" s="91"/>
      <c r="Y140" s="1806"/>
      <c r="Z140" s="1968"/>
      <c r="AA140" s="2244"/>
      <c r="AB140" s="1969"/>
      <c r="AC140" s="1365"/>
      <c r="AD140" s="95"/>
      <c r="AE140" s="1326"/>
      <c r="AF140" s="97"/>
      <c r="AG140" s="1737"/>
      <c r="AH140" s="1970"/>
      <c r="AI140" s="99"/>
      <c r="AJ140" s="1809"/>
      <c r="AK140" s="6120" t="str">
        <f t="shared" si="51"/>
        <v>►</v>
      </c>
      <c r="AL140" s="781" t="str">
        <f t="shared" si="53"/>
        <v>►</v>
      </c>
      <c r="AM140" s="5498" t="str">
        <f t="shared" si="57"/>
        <v/>
      </c>
      <c r="AN140" s="783" t="str">
        <f t="shared" si="58"/>
        <v/>
      </c>
      <c r="AO140" s="782" t="str">
        <f t="shared" si="59"/>
        <v/>
      </c>
      <c r="AP140" s="783" t="str">
        <f t="shared" si="60"/>
        <v/>
      </c>
      <c r="AQ140" s="2083" t="b">
        <f>AND(Q140="A",COUNTIF(BP16:BR63,TRIM(Z140))&gt;0)</f>
        <v>0</v>
      </c>
      <c r="AR140" s="797" t="str">
        <f>IF(AL140&lt;&gt;"A","",IFERROR(IFERROR(_xlfn.XLOOKUP(TRIM(SUBSTITUTE(Z140,CHAR(160)," ")),BP16:BP63,BS16:BS63),IFERROR(_xlfn.XLOOKUP(TRIM(SUBSTITUTE(Z140,CHAR(160)," ")),BQ16:BQ63,BS16:BS63),_xlfn.XLOOKUP(TRIM(SUBSTITUTE(Z140,CHAR(160)," ")),BR16:BR63,BS16:BS63)))*Y140*IF(ISBLANK(V140),1,V140),0))</f>
        <v/>
      </c>
      <c r="AS140" s="784" t="str">
        <f t="shared" si="73"/>
        <v/>
      </c>
      <c r="AT140" s="1315" t="str">
        <f t="shared" si="61"/>
        <v/>
      </c>
      <c r="AU140" s="785">
        <f t="shared" si="62"/>
        <v>0</v>
      </c>
      <c r="AV140" s="785">
        <f t="shared" si="63"/>
        <v>0</v>
      </c>
      <c r="AW140" s="798">
        <f>IF(AK140="A",AY10,0)</f>
        <v>0</v>
      </c>
      <c r="AX140" s="5496" t="str">
        <f>IF(IFERROR(SEARCH("Adresse PC",TRIM(W140)),0)&gt;0,"▼ receta siguiente",IF(AK140="A",IF(AZ10&lt;&gt;"",AZ10&amp;" - ou.or.o ❾ + or - &gt;",""),""))</f>
        <v/>
      </c>
      <c r="AY140" s="810"/>
      <c r="AZ140" s="810"/>
      <c r="BA140" s="799" t="str">
        <f t="shared" si="52"/>
        <v/>
      </c>
      <c r="BB140" s="800" t="str">
        <f>IF(AK140="A",IF(AQ140,IF(AND(AW140&lt;&gt;"",N(AW140)&gt;0),IFERROR(IFERROR(_xlfn.XLOOKUP(AP140,BP10:BP57,BT10:BT57),IFERROR(_xlfn.XLOOKUP(AP140,BQ10:BQ57,BT10:BT57),_xlfn.XLOOKUP(AP140,BR10:BR57,BT10:BT57,""))),""),""),""),"")</f>
        <v/>
      </c>
      <c r="BC140" s="813" cm="1">
        <f t="array" ref="BC140">IF(NOT(AQ140),0,IF(OR(BA140="",N(BA140)&lt;=0.000000001),"",IF(OR(AU140="",N(AU140)&lt;=0.000000001),0,IF(ISNUMBER(BA140),IFERROR(_xlfn.LET(_xlpm.ai_test,TRIM(AP140),_xlpm.r,IFERROR(_xlfn.XLOOKUP(_xlpm.ai_test,BP16:BP63,ROW(BP16:BP63),0,1),IFERROR(_xlfn.XLOOKUP(_xlpm.ai_test,BQ16:BQ63,ROW(BQ16:BQ63),0,1),_xlfn.XLOOKUP(_xlpm.ai_test,BR16:BR63,ROW(BR16:BR63),0,1))),_xlpm.p,_xlpm.r-MIN(ROW(BP16:BP63))+1,_xlpm.f,INDEX(BS16:BS63,_xlpm.p),_xlpm.u,INDEX(BT16:BT63,_xlpm.p),_xlpm.s,INDEX(BV16:BV63,_xlpm.p),_xlpm.q,N(BA140)/_xlpm.f,IF(_xlpm.q&gt;=_xlpm.s,ROUND(_xlpm.q,1)&amp;" "&amp;_xlpm.ai_test&amp;" = "&amp;ROUND(_xlpm.q*_xlpm.f,1)&amp;" "&amp;_xlpm.u,ROUND(_xlpm.q,1)&amp;" "&amp;_xlpm.ai_test)),""),""))))</f>
        <v>0</v>
      </c>
      <c r="BD140" s="801"/>
      <c r="BE140" s="799" t="str">
        <f t="shared" si="64"/>
        <v/>
      </c>
      <c r="BF140" s="800" t="str">
        <f t="shared" si="65"/>
        <v/>
      </c>
      <c r="BG140" s="802">
        <f t="shared" si="70"/>
        <v>0</v>
      </c>
      <c r="BH140" s="803" t="str">
        <f t="shared" si="71"/>
        <v/>
      </c>
      <c r="BI140" s="792"/>
      <c r="BJ140" s="804">
        <f t="shared" si="69"/>
        <v>0</v>
      </c>
      <c r="BK140" s="794" t="str">
        <f t="shared" si="66"/>
        <v/>
      </c>
      <c r="BL140" s="227" t="s">
        <v>21</v>
      </c>
      <c r="BM140" s="773">
        <f t="shared" si="55"/>
        <v>0</v>
      </c>
      <c r="BN140" s="774">
        <f t="shared" si="56"/>
        <v>0</v>
      </c>
      <c r="BO140"/>
      <c r="BX140"/>
      <c r="BY140"/>
      <c r="BZ140"/>
      <c r="CA140"/>
      <c r="CB140"/>
      <c r="CC140"/>
      <c r="CD140" s="781" t="str">
        <f t="shared" si="72"/>
        <v>►</v>
      </c>
      <c r="CJ140" s="633"/>
      <c r="DI140" s="3">
        <v>1</v>
      </c>
    </row>
    <row r="141" spans="1:113" s="627" customFormat="1" ht="21" customHeight="1">
      <c r="A141" s="701" t="s">
        <v>21</v>
      </c>
      <c r="B141" s="2265" t="str" cm="1">
        <f t="array" ref="B141">SUMPRODUCT(--(D141:J141&lt;&gt;""), LEN(TRIM(SUBSTITUTE(D141:J141, CHAR(160), "")))) &amp; " Car."</f>
        <v>0 Car.</v>
      </c>
      <c r="C141" s="1376" t="str">
        <f>IF(ISBLANK(D141),"",LARGE(C13:C140,1)+1)</f>
        <v/>
      </c>
      <c r="D141" s="1833"/>
      <c r="E141" s="1810"/>
      <c r="F141" s="1810"/>
      <c r="G141" s="1810"/>
      <c r="H141" s="1810"/>
      <c r="I141" s="1810"/>
      <c r="J141" s="1810"/>
      <c r="K141" s="1810"/>
      <c r="L141" s="1811"/>
      <c r="M141" s="9"/>
      <c r="N141" s="162" t="str">
        <f t="shared" si="47"/>
        <v>►</v>
      </c>
      <c r="O141" s="1616"/>
      <c r="P141" s="9"/>
      <c r="Q141" s="25" t="s">
        <v>15</v>
      </c>
      <c r="R141" s="31"/>
      <c r="S141" s="32"/>
      <c r="T141" s="31"/>
      <c r="U141" s="33"/>
      <c r="V141" s="1967"/>
      <c r="W141" s="1805"/>
      <c r="X141" s="91"/>
      <c r="Y141" s="1806"/>
      <c r="Z141" s="1968"/>
      <c r="AA141" s="2244"/>
      <c r="AB141" s="1969"/>
      <c r="AC141" s="1365"/>
      <c r="AD141" s="95"/>
      <c r="AE141" s="1326"/>
      <c r="AF141" s="97"/>
      <c r="AG141" s="1737"/>
      <c r="AH141" s="1970"/>
      <c r="AI141" s="99"/>
      <c r="AJ141" s="1809"/>
      <c r="AK141" s="6120" t="str">
        <f t="shared" si="51"/>
        <v>►</v>
      </c>
      <c r="AL141" s="781" t="str">
        <f t="shared" si="53"/>
        <v>►</v>
      </c>
      <c r="AM141" s="5499" t="str">
        <f t="shared" si="57"/>
        <v/>
      </c>
      <c r="AN141" s="783" t="str">
        <f t="shared" si="58"/>
        <v/>
      </c>
      <c r="AO141" s="782" t="str">
        <f t="shared" si="59"/>
        <v/>
      </c>
      <c r="AP141" s="783" t="str">
        <f t="shared" si="60"/>
        <v/>
      </c>
      <c r="AQ141" s="2083" t="b">
        <f>AND(Q141="A",COUNTIF(BP16:BR63,TRIM(Z141))&gt;0)</f>
        <v>0</v>
      </c>
      <c r="AR141" s="797" t="str">
        <f>IF(AL141&lt;&gt;"A","",IFERROR(IFERROR(_xlfn.XLOOKUP(TRIM(SUBSTITUTE(Z141,CHAR(160)," ")),BP16:BP63,BS16:BS63),IFERROR(_xlfn.XLOOKUP(TRIM(SUBSTITUTE(Z141,CHAR(160)," ")),BQ16:BQ63,BS16:BS63),_xlfn.XLOOKUP(TRIM(SUBSTITUTE(Z141,CHAR(160)," ")),BR16:BR63,BS16:BS63)))*Y141*IF(ISBLANK(V141),1,V141),0))</f>
        <v/>
      </c>
      <c r="AS141" s="784" t="str">
        <f t="shared" si="73"/>
        <v/>
      </c>
      <c r="AT141" s="1315" t="str">
        <f t="shared" si="61"/>
        <v/>
      </c>
      <c r="AU141" s="785">
        <f t="shared" si="62"/>
        <v>0</v>
      </c>
      <c r="AV141" s="785">
        <f t="shared" si="63"/>
        <v>0</v>
      </c>
      <c r="AW141" s="786">
        <f>IF(AK141="A",AY10,0)</f>
        <v>0</v>
      </c>
      <c r="AX141" s="5495" t="str">
        <f>IF(IFERROR(SEARCH("Adresse PC",TRIM(W141)),0)&gt;0,"▼ receta siguiente",IF(AK141="A",IF(AZ10&lt;&gt;"",AZ10&amp;" - ou.or.o ❾ + or - &gt;",""),""))</f>
        <v/>
      </c>
      <c r="AY141" s="810"/>
      <c r="AZ141" s="810"/>
      <c r="BA141" s="788" t="str">
        <f t="shared" si="52"/>
        <v/>
      </c>
      <c r="BB141" s="789" t="str">
        <f>IF(AK141="A",IF(AQ141,IF(AND(AW141&lt;&gt;"",N(AW141)&gt;0),IFERROR(IFERROR(_xlfn.XLOOKUP(AP141,BP10:BP57,BT10:BT57),IFERROR(_xlfn.XLOOKUP(AP141,BQ10:BQ57,BT10:BT57),_xlfn.XLOOKUP(AP141,BR10:BR57,BT10:BT57,""))),""),""),""),"")</f>
        <v/>
      </c>
      <c r="BC141" s="811" cm="1">
        <f t="array" ref="BC141">IF(NOT(AQ141),0,IF(OR(BA141="",N(BA141)&lt;=0.000000001),"",IF(OR(AU141="",N(AU141)&lt;=0.000000001),0,IF(ISNUMBER(BA141),IFERROR(_xlfn.LET(_xlpm.ai_test,TRIM(AP141),_xlpm.r,IFERROR(_xlfn.XLOOKUP(_xlpm.ai_test,BP16:BP63,ROW(BP16:BP63),0,1),IFERROR(_xlfn.XLOOKUP(_xlpm.ai_test,BQ16:BQ63,ROW(BQ16:BQ63),0,1),_xlfn.XLOOKUP(_xlpm.ai_test,BR16:BR63,ROW(BR16:BR63),0,1))),_xlpm.p,_xlpm.r-MIN(ROW(BP16:BP63))+1,_xlpm.f,INDEX(BS16:BS63,_xlpm.p),_xlpm.u,INDEX(BT16:BT63,_xlpm.p),_xlpm.s,INDEX(BV16:BV63,_xlpm.p),_xlpm.q,N(BA141)/_xlpm.f,IF(_xlpm.q&gt;=_xlpm.s,ROUND(_xlpm.q,1)&amp;" "&amp;_xlpm.ai_test&amp;" = "&amp;ROUND(_xlpm.q*_xlpm.f,1)&amp;" "&amp;_xlpm.u,ROUND(_xlpm.q,1)&amp;" "&amp;_xlpm.ai_test)),""),""))))</f>
        <v>0</v>
      </c>
      <c r="BD141" s="801"/>
      <c r="BE141" s="788" t="str">
        <f t="shared" si="64"/>
        <v/>
      </c>
      <c r="BF141" s="789" t="str">
        <f t="shared" si="65"/>
        <v/>
      </c>
      <c r="BG141" s="790">
        <f t="shared" si="70"/>
        <v>0</v>
      </c>
      <c r="BH141" s="791" t="str">
        <f t="shared" si="71"/>
        <v/>
      </c>
      <c r="BI141" s="792"/>
      <c r="BJ141" s="793">
        <f t="shared" si="69"/>
        <v>0</v>
      </c>
      <c r="BK141" s="794" t="str">
        <f t="shared" si="66"/>
        <v/>
      </c>
      <c r="BL141" s="227" t="s">
        <v>21</v>
      </c>
      <c r="BM141" s="773">
        <f t="shared" si="55"/>
        <v>0</v>
      </c>
      <c r="BN141" s="774">
        <f t="shared" si="56"/>
        <v>0</v>
      </c>
      <c r="BO141"/>
      <c r="BX141"/>
      <c r="BY141"/>
      <c r="BZ141"/>
      <c r="CA141"/>
      <c r="CB141"/>
      <c r="CC141"/>
      <c r="CD141" s="781" t="str">
        <f t="shared" si="72"/>
        <v>►</v>
      </c>
      <c r="CJ141" s="633"/>
      <c r="DI141" s="3">
        <v>1</v>
      </c>
    </row>
    <row r="142" spans="1:113" s="627" customFormat="1" ht="21" customHeight="1">
      <c r="A142" s="701" t="s">
        <v>21</v>
      </c>
      <c r="B142" s="2265" t="str" cm="1">
        <f t="array" ref="B142">SUMPRODUCT(--(D142:J142&lt;&gt;""), LEN(TRIM(SUBSTITUTE(D142:J142, CHAR(160), "")))) &amp; " Car."</f>
        <v>0 Car.</v>
      </c>
      <c r="C142" s="1376" t="str">
        <f>IF(ISBLANK(D142),"",LARGE(C13:C141,1)+1)</f>
        <v/>
      </c>
      <c r="D142" s="1833"/>
      <c r="E142" s="1810"/>
      <c r="F142" s="1810"/>
      <c r="G142" s="1810"/>
      <c r="H142" s="1810"/>
      <c r="I142" s="1810"/>
      <c r="J142" s="1810"/>
      <c r="K142" s="1810"/>
      <c r="L142" s="1811"/>
      <c r="M142" s="9"/>
      <c r="N142" s="162" t="str">
        <f t="shared" ref="N142:N205" si="74">Q142</f>
        <v>►</v>
      </c>
      <c r="O142" s="1616"/>
      <c r="P142" s="9"/>
      <c r="Q142" s="25" t="s">
        <v>15</v>
      </c>
      <c r="R142" s="31"/>
      <c r="S142" s="32"/>
      <c r="T142" s="31"/>
      <c r="U142" s="33"/>
      <c r="V142" s="1967"/>
      <c r="W142" s="1805"/>
      <c r="X142" s="91"/>
      <c r="Y142" s="1806"/>
      <c r="Z142" s="1968"/>
      <c r="AA142" s="2244"/>
      <c r="AB142" s="1969"/>
      <c r="AC142" s="1365"/>
      <c r="AD142" s="95"/>
      <c r="AE142" s="1326"/>
      <c r="AF142" s="97"/>
      <c r="AG142" s="1737"/>
      <c r="AH142" s="1970"/>
      <c r="AI142" s="99"/>
      <c r="AJ142" s="1809"/>
      <c r="AK142" s="6120" t="str">
        <f t="shared" si="51"/>
        <v>►</v>
      </c>
      <c r="AL142" s="781" t="str">
        <f t="shared" si="53"/>
        <v>►</v>
      </c>
      <c r="AM142" s="5498" t="str">
        <f t="shared" si="57"/>
        <v/>
      </c>
      <c r="AN142" s="783" t="str">
        <f t="shared" si="58"/>
        <v/>
      </c>
      <c r="AO142" s="782" t="str">
        <f t="shared" si="59"/>
        <v/>
      </c>
      <c r="AP142" s="783" t="str">
        <f t="shared" si="60"/>
        <v/>
      </c>
      <c r="AQ142" s="2083" t="b">
        <f>AND(Q142="A",COUNTIF(BP16:BR63,TRIM(Z142))&gt;0)</f>
        <v>0</v>
      </c>
      <c r="AR142" s="797" t="str">
        <f>IF(AL142&lt;&gt;"A","",IFERROR(IFERROR(_xlfn.XLOOKUP(TRIM(SUBSTITUTE(Z142,CHAR(160)," ")),BP16:BP63,BS16:BS63),IFERROR(_xlfn.XLOOKUP(TRIM(SUBSTITUTE(Z142,CHAR(160)," ")),BQ16:BQ63,BS16:BS63),_xlfn.XLOOKUP(TRIM(SUBSTITUTE(Z142,CHAR(160)," ")),BR16:BR63,BS16:BS63)))*Y142*IF(ISBLANK(V142),1,V142),0))</f>
        <v/>
      </c>
      <c r="AS142" s="784" t="str">
        <f t="shared" si="73"/>
        <v/>
      </c>
      <c r="AT142" s="1315" t="str">
        <f t="shared" si="61"/>
        <v/>
      </c>
      <c r="AU142" s="785">
        <f t="shared" si="62"/>
        <v>0</v>
      </c>
      <c r="AV142" s="785">
        <f t="shared" si="63"/>
        <v>0</v>
      </c>
      <c r="AW142" s="798">
        <f>IF(AK142="A",AY10,0)</f>
        <v>0</v>
      </c>
      <c r="AX142" s="5496" t="str">
        <f>IF(IFERROR(SEARCH("Adresse PC",TRIM(W142)),0)&gt;0,"▼ receta siguiente",IF(AK142="A",IF(AZ10&lt;&gt;"",AZ10&amp;" - ou.or.o ❾ + or - &gt;",""),""))</f>
        <v/>
      </c>
      <c r="AY142" s="810"/>
      <c r="AZ142" s="810"/>
      <c r="BA142" s="799" t="str">
        <f t="shared" si="52"/>
        <v/>
      </c>
      <c r="BB142" s="800" t="str">
        <f>IF(AK142="A",IF(AQ142,IF(AND(AW142&lt;&gt;"",N(AW142)&gt;0),IFERROR(IFERROR(_xlfn.XLOOKUP(AP142,BP10:BP57,BT10:BT57),IFERROR(_xlfn.XLOOKUP(AP142,BQ10:BQ57,BT10:BT57),_xlfn.XLOOKUP(AP142,BR10:BR57,BT10:BT57,""))),""),""),""),"")</f>
        <v/>
      </c>
      <c r="BC142" s="813" cm="1">
        <f t="array" ref="BC142">IF(NOT(AQ142),0,IF(OR(BA142="",N(BA142)&lt;=0.000000001),"",IF(OR(AU142="",N(AU142)&lt;=0.000000001),0,IF(ISNUMBER(BA142),IFERROR(_xlfn.LET(_xlpm.ai_test,TRIM(AP142),_xlpm.r,IFERROR(_xlfn.XLOOKUP(_xlpm.ai_test,BP16:BP63,ROW(BP16:BP63),0,1),IFERROR(_xlfn.XLOOKUP(_xlpm.ai_test,BQ16:BQ63,ROW(BQ16:BQ63),0,1),_xlfn.XLOOKUP(_xlpm.ai_test,BR16:BR63,ROW(BR16:BR63),0,1))),_xlpm.p,_xlpm.r-MIN(ROW(BP16:BP63))+1,_xlpm.f,INDEX(BS16:BS63,_xlpm.p),_xlpm.u,INDEX(BT16:BT63,_xlpm.p),_xlpm.s,INDEX(BV16:BV63,_xlpm.p),_xlpm.q,N(BA142)/_xlpm.f,IF(_xlpm.q&gt;=_xlpm.s,ROUND(_xlpm.q,1)&amp;" "&amp;_xlpm.ai_test&amp;" = "&amp;ROUND(_xlpm.q*_xlpm.f,1)&amp;" "&amp;_xlpm.u,ROUND(_xlpm.q,1)&amp;" "&amp;_xlpm.ai_test)),""),""))))</f>
        <v>0</v>
      </c>
      <c r="BD142" s="801"/>
      <c r="BE142" s="799" t="str">
        <f t="shared" si="64"/>
        <v/>
      </c>
      <c r="BF142" s="800" t="str">
        <f t="shared" si="65"/>
        <v/>
      </c>
      <c r="BG142" s="802">
        <f t="shared" si="70"/>
        <v>0</v>
      </c>
      <c r="BH142" s="803" t="str">
        <f t="shared" si="71"/>
        <v/>
      </c>
      <c r="BI142" s="792"/>
      <c r="BJ142" s="804">
        <f t="shared" si="69"/>
        <v>0</v>
      </c>
      <c r="BK142" s="794" t="str">
        <f t="shared" si="66"/>
        <v/>
      </c>
      <c r="BL142" s="227" t="s">
        <v>21</v>
      </c>
      <c r="BM142" s="773">
        <f t="shared" si="55"/>
        <v>0</v>
      </c>
      <c r="BN142" s="774">
        <f t="shared" si="56"/>
        <v>0</v>
      </c>
      <c r="BO142"/>
      <c r="BX142"/>
      <c r="BY142"/>
      <c r="BZ142"/>
      <c r="CA142"/>
      <c r="CB142"/>
      <c r="CC142"/>
      <c r="CD142" s="781" t="str">
        <f t="shared" si="72"/>
        <v>►</v>
      </c>
      <c r="CJ142" s="633"/>
      <c r="DI142" s="3">
        <v>1</v>
      </c>
    </row>
    <row r="143" spans="1:113" s="627" customFormat="1" ht="21" customHeight="1">
      <c r="A143" s="701" t="s">
        <v>21</v>
      </c>
      <c r="B143" s="2265" t="str" cm="1">
        <f t="array" ref="B143">SUMPRODUCT(--(D143:J143&lt;&gt;""), LEN(TRIM(SUBSTITUTE(D143:J143, CHAR(160), "")))) &amp; " Car."</f>
        <v>0 Car.</v>
      </c>
      <c r="C143" s="1376" t="str">
        <f>IF(ISBLANK(D143),"",LARGE(C13:C142,1)+1)</f>
        <v/>
      </c>
      <c r="D143" s="1833"/>
      <c r="E143" s="1810"/>
      <c r="F143" s="1810"/>
      <c r="G143" s="1810"/>
      <c r="H143" s="1810"/>
      <c r="I143" s="1810"/>
      <c r="J143" s="1810"/>
      <c r="K143" s="1810"/>
      <c r="L143" s="1811"/>
      <c r="M143" s="9"/>
      <c r="N143" s="162" t="str">
        <f t="shared" si="74"/>
        <v>►</v>
      </c>
      <c r="O143" s="1616"/>
      <c r="P143" s="9"/>
      <c r="Q143" s="25" t="s">
        <v>15</v>
      </c>
      <c r="R143" s="31"/>
      <c r="S143" s="32"/>
      <c r="T143" s="31"/>
      <c r="U143" s="33"/>
      <c r="V143" s="1967"/>
      <c r="W143" s="1805"/>
      <c r="X143" s="91"/>
      <c r="Y143" s="1806"/>
      <c r="Z143" s="1968"/>
      <c r="AA143" s="2244"/>
      <c r="AB143" s="1969"/>
      <c r="AC143" s="1365"/>
      <c r="AD143" s="95"/>
      <c r="AE143" s="1326"/>
      <c r="AF143" s="97"/>
      <c r="AG143" s="1737"/>
      <c r="AH143" s="1970"/>
      <c r="AI143" s="99"/>
      <c r="AJ143" s="1809"/>
      <c r="AK143" s="6120" t="str">
        <f t="shared" si="51"/>
        <v>►</v>
      </c>
      <c r="AL143" s="781" t="str">
        <f t="shared" si="53"/>
        <v>►</v>
      </c>
      <c r="AM143" s="5499" t="str">
        <f t="shared" si="57"/>
        <v/>
      </c>
      <c r="AN143" s="783" t="str">
        <f t="shared" si="58"/>
        <v/>
      </c>
      <c r="AO143" s="782" t="str">
        <f t="shared" si="59"/>
        <v/>
      </c>
      <c r="AP143" s="783" t="str">
        <f t="shared" si="60"/>
        <v/>
      </c>
      <c r="AQ143" s="2083" t="b">
        <f>AND(Q143="A",COUNTIF(BP16:BR63,TRIM(Z143))&gt;0)</f>
        <v>0</v>
      </c>
      <c r="AR143" s="797" t="str">
        <f>IF(AL143&lt;&gt;"A","",IFERROR(IFERROR(_xlfn.XLOOKUP(TRIM(SUBSTITUTE(Z143,CHAR(160)," ")),BP16:BP63,BS16:BS63),IFERROR(_xlfn.XLOOKUP(TRIM(SUBSTITUTE(Z143,CHAR(160)," ")),BQ16:BQ63,BS16:BS63),_xlfn.XLOOKUP(TRIM(SUBSTITUTE(Z143,CHAR(160)," ")),BR16:BR63,BS16:BS63)))*Y143*IF(ISBLANK(V143),1,V143),0))</f>
        <v/>
      </c>
      <c r="AS143" s="784" t="str">
        <f t="shared" si="73"/>
        <v/>
      </c>
      <c r="AT143" s="1315" t="str">
        <f t="shared" si="61"/>
        <v/>
      </c>
      <c r="AU143" s="785">
        <f t="shared" si="62"/>
        <v>0</v>
      </c>
      <c r="AV143" s="785">
        <f t="shared" si="63"/>
        <v>0</v>
      </c>
      <c r="AW143" s="786">
        <f>IF(AK143="A",AY10,0)</f>
        <v>0</v>
      </c>
      <c r="AX143" s="5495" t="str">
        <f>IF(IFERROR(SEARCH("Adresse PC",TRIM(W143)),0)&gt;0,"▼ receta siguiente",IF(AK143="A",IF(AZ10&lt;&gt;"",AZ10&amp;" - ou.or.o ❾ + or - &gt;",""),""))</f>
        <v/>
      </c>
      <c r="AY143" s="810"/>
      <c r="AZ143" s="810"/>
      <c r="BA143" s="788" t="str">
        <f t="shared" si="52"/>
        <v/>
      </c>
      <c r="BB143" s="789" t="str">
        <f>IF(AK143="A",IF(AQ143,IF(AND(AW143&lt;&gt;"",N(AW143)&gt;0),IFERROR(IFERROR(_xlfn.XLOOKUP(AP143,BP10:BP57,BT10:BT57),IFERROR(_xlfn.XLOOKUP(AP143,BQ10:BQ57,BT10:BT57),_xlfn.XLOOKUP(AP143,BR10:BR57,BT10:BT57,""))),""),""),""),"")</f>
        <v/>
      </c>
      <c r="BC143" s="811" cm="1">
        <f t="array" ref="BC143">IF(NOT(AQ143),0,IF(OR(BA143="",N(BA143)&lt;=0.000000001),"",IF(OR(AU143="",N(AU143)&lt;=0.000000001),0,IF(ISNUMBER(BA143),IFERROR(_xlfn.LET(_xlpm.ai_test,TRIM(AP143),_xlpm.r,IFERROR(_xlfn.XLOOKUP(_xlpm.ai_test,BP16:BP63,ROW(BP16:BP63),0,1),IFERROR(_xlfn.XLOOKUP(_xlpm.ai_test,BQ16:BQ63,ROW(BQ16:BQ63),0,1),_xlfn.XLOOKUP(_xlpm.ai_test,BR16:BR63,ROW(BR16:BR63),0,1))),_xlpm.p,_xlpm.r-MIN(ROW(BP16:BP63))+1,_xlpm.f,INDEX(BS16:BS63,_xlpm.p),_xlpm.u,INDEX(BT16:BT63,_xlpm.p),_xlpm.s,INDEX(BV16:BV63,_xlpm.p),_xlpm.q,N(BA143)/_xlpm.f,IF(_xlpm.q&gt;=_xlpm.s,ROUND(_xlpm.q,1)&amp;" "&amp;_xlpm.ai_test&amp;" = "&amp;ROUND(_xlpm.q*_xlpm.f,1)&amp;" "&amp;_xlpm.u,ROUND(_xlpm.q,1)&amp;" "&amp;_xlpm.ai_test)),""),""))))</f>
        <v>0</v>
      </c>
      <c r="BD143" s="801"/>
      <c r="BE143" s="788" t="str">
        <f t="shared" si="64"/>
        <v/>
      </c>
      <c r="BF143" s="789" t="str">
        <f t="shared" si="65"/>
        <v/>
      </c>
      <c r="BG143" s="790">
        <f t="shared" si="70"/>
        <v>0</v>
      </c>
      <c r="BH143" s="791" t="str">
        <f t="shared" si="71"/>
        <v/>
      </c>
      <c r="BI143" s="792"/>
      <c r="BJ143" s="793">
        <f t="shared" si="69"/>
        <v>0</v>
      </c>
      <c r="BK143" s="794" t="str">
        <f t="shared" si="66"/>
        <v/>
      </c>
      <c r="BL143" s="227" t="s">
        <v>21</v>
      </c>
      <c r="BM143" s="773">
        <f t="shared" si="55"/>
        <v>0</v>
      </c>
      <c r="BN143" s="774">
        <f t="shared" si="56"/>
        <v>0</v>
      </c>
      <c r="BO143"/>
      <c r="BX143"/>
      <c r="BY143"/>
      <c r="BZ143"/>
      <c r="CA143"/>
      <c r="CB143"/>
      <c r="CC143"/>
      <c r="CD143" s="781" t="str">
        <f t="shared" si="72"/>
        <v>►</v>
      </c>
      <c r="CJ143" s="633"/>
      <c r="DI143" s="3">
        <v>1</v>
      </c>
    </row>
    <row r="144" spans="1:113" s="627" customFormat="1" ht="21" customHeight="1">
      <c r="A144" s="701" t="s">
        <v>21</v>
      </c>
      <c r="B144" s="2265" t="str" cm="1">
        <f t="array" ref="B144">SUMPRODUCT(--(D144:J144&lt;&gt;""), LEN(TRIM(SUBSTITUTE(D144:J144, CHAR(160), "")))) &amp; " Car."</f>
        <v>0 Car.</v>
      </c>
      <c r="C144" s="1376" t="str">
        <f>IF(ISBLANK(D144),"",LARGE(C13:C143,1)+1)</f>
        <v/>
      </c>
      <c r="D144" s="1833"/>
      <c r="E144" s="1810"/>
      <c r="F144" s="1810"/>
      <c r="G144" s="1810"/>
      <c r="H144" s="1810"/>
      <c r="I144" s="1810"/>
      <c r="J144" s="1810"/>
      <c r="K144" s="1810"/>
      <c r="L144" s="1811"/>
      <c r="M144" s="9"/>
      <c r="N144" s="162" t="str">
        <f t="shared" si="74"/>
        <v>►</v>
      </c>
      <c r="O144" s="1616"/>
      <c r="P144" s="9"/>
      <c r="Q144" s="25" t="s">
        <v>15</v>
      </c>
      <c r="R144" s="31"/>
      <c r="S144" s="32"/>
      <c r="T144" s="31"/>
      <c r="U144" s="33"/>
      <c r="V144" s="1967"/>
      <c r="W144" s="1805"/>
      <c r="X144" s="91"/>
      <c r="Y144" s="1806"/>
      <c r="Z144" s="1968"/>
      <c r="AA144" s="2244"/>
      <c r="AB144" s="1969"/>
      <c r="AC144" s="1365"/>
      <c r="AD144" s="95"/>
      <c r="AE144" s="1326"/>
      <c r="AF144" s="97"/>
      <c r="AG144" s="1737"/>
      <c r="AH144" s="1970"/>
      <c r="AI144" s="99"/>
      <c r="AJ144" s="1809"/>
      <c r="AK144" s="6120" t="str">
        <f t="shared" si="51"/>
        <v>►</v>
      </c>
      <c r="AL144" s="781" t="str">
        <f t="shared" si="53"/>
        <v>►</v>
      </c>
      <c r="AM144" s="5498" t="str">
        <f t="shared" si="57"/>
        <v/>
      </c>
      <c r="AN144" s="783" t="str">
        <f t="shared" si="58"/>
        <v/>
      </c>
      <c r="AO144" s="782" t="str">
        <f t="shared" si="59"/>
        <v/>
      </c>
      <c r="AP144" s="783" t="str">
        <f t="shared" si="60"/>
        <v/>
      </c>
      <c r="AQ144" s="2083" t="b">
        <f>AND(Q144="A",COUNTIF(BP16:BR63,TRIM(Z144))&gt;0)</f>
        <v>0</v>
      </c>
      <c r="AR144" s="797" t="str">
        <f>IF(AL144&lt;&gt;"A","",IFERROR(IFERROR(_xlfn.XLOOKUP(TRIM(SUBSTITUTE(Z144,CHAR(160)," ")),BP16:BP63,BS16:BS63),IFERROR(_xlfn.XLOOKUP(TRIM(SUBSTITUTE(Z144,CHAR(160)," ")),BQ16:BQ63,BS16:BS63),_xlfn.XLOOKUP(TRIM(SUBSTITUTE(Z144,CHAR(160)," ")),BR16:BR63,BS16:BS63)))*Y144*IF(ISBLANK(V144),1,V144),0))</f>
        <v/>
      </c>
      <c r="AS144" s="784" t="str">
        <f t="shared" si="73"/>
        <v/>
      </c>
      <c r="AT144" s="1315" t="str">
        <f t="shared" si="61"/>
        <v/>
      </c>
      <c r="AU144" s="785">
        <f t="shared" si="62"/>
        <v>0</v>
      </c>
      <c r="AV144" s="785">
        <f t="shared" si="63"/>
        <v>0</v>
      </c>
      <c r="AW144" s="798">
        <f>IF(AK144="A",AY10,0)</f>
        <v>0</v>
      </c>
      <c r="AX144" s="5496" t="str">
        <f>IF(IFERROR(SEARCH("Adresse PC",TRIM(W144)),0)&gt;0,"▼ receta siguiente",IF(AK144="A",IF(AZ10&lt;&gt;"",AZ10&amp;" - ou.or.o ❾ + or - &gt;",""),""))</f>
        <v/>
      </c>
      <c r="AY144" s="810"/>
      <c r="AZ144" s="810"/>
      <c r="BA144" s="799" t="str">
        <f t="shared" si="52"/>
        <v/>
      </c>
      <c r="BB144" s="800" t="str">
        <f>IF(AK144="A",IF(AQ144,IF(AND(AW144&lt;&gt;"",N(AW144)&gt;0),IFERROR(IFERROR(_xlfn.XLOOKUP(AP144,BP10:BP57,BT10:BT57),IFERROR(_xlfn.XLOOKUP(AP144,BQ10:BQ57,BT10:BT57),_xlfn.XLOOKUP(AP144,BR10:BR57,BT10:BT57,""))),""),""),""),"")</f>
        <v/>
      </c>
      <c r="BC144" s="813" cm="1">
        <f t="array" ref="BC144">IF(NOT(AQ144),0,IF(OR(BA144="",N(BA144)&lt;=0.000000001),"",IF(OR(AU144="",N(AU144)&lt;=0.000000001),0,IF(ISNUMBER(BA144),IFERROR(_xlfn.LET(_xlpm.ai_test,TRIM(AP144),_xlpm.r,IFERROR(_xlfn.XLOOKUP(_xlpm.ai_test,BP16:BP63,ROW(BP16:BP63),0,1),IFERROR(_xlfn.XLOOKUP(_xlpm.ai_test,BQ16:BQ63,ROW(BQ16:BQ63),0,1),_xlfn.XLOOKUP(_xlpm.ai_test,BR16:BR63,ROW(BR16:BR63),0,1))),_xlpm.p,_xlpm.r-MIN(ROW(BP16:BP63))+1,_xlpm.f,INDEX(BS16:BS63,_xlpm.p),_xlpm.u,INDEX(BT16:BT63,_xlpm.p),_xlpm.s,INDEX(BV16:BV63,_xlpm.p),_xlpm.q,N(BA144)/_xlpm.f,IF(_xlpm.q&gt;=_xlpm.s,ROUND(_xlpm.q,1)&amp;" "&amp;_xlpm.ai_test&amp;" = "&amp;ROUND(_xlpm.q*_xlpm.f,1)&amp;" "&amp;_xlpm.u,ROUND(_xlpm.q,1)&amp;" "&amp;_xlpm.ai_test)),""),""))))</f>
        <v>0</v>
      </c>
      <c r="BD144" s="801"/>
      <c r="BE144" s="799" t="str">
        <f t="shared" si="64"/>
        <v/>
      </c>
      <c r="BF144" s="800" t="str">
        <f t="shared" si="65"/>
        <v/>
      </c>
      <c r="BG144" s="802">
        <f t="shared" si="70"/>
        <v>0</v>
      </c>
      <c r="BH144" s="803" t="str">
        <f t="shared" si="71"/>
        <v/>
      </c>
      <c r="BI144" s="792"/>
      <c r="BJ144" s="804">
        <f t="shared" si="69"/>
        <v>0</v>
      </c>
      <c r="BK144" s="794" t="str">
        <f t="shared" si="66"/>
        <v/>
      </c>
      <c r="BL144" s="227" t="s">
        <v>21</v>
      </c>
      <c r="BM144" s="773">
        <f t="shared" si="55"/>
        <v>0</v>
      </c>
      <c r="BN144" s="774">
        <f t="shared" si="56"/>
        <v>0</v>
      </c>
      <c r="BO144"/>
      <c r="BX144"/>
      <c r="BY144"/>
      <c r="BZ144"/>
      <c r="CA144"/>
      <c r="CB144"/>
      <c r="CC144"/>
      <c r="CD144" s="781" t="str">
        <f t="shared" si="72"/>
        <v>►</v>
      </c>
      <c r="CJ144" s="633"/>
      <c r="DI144" s="3">
        <v>1</v>
      </c>
    </row>
    <row r="145" spans="1:113" s="627" customFormat="1" ht="21" customHeight="1">
      <c r="A145" s="701" t="s">
        <v>21</v>
      </c>
      <c r="B145" s="2265" t="str" cm="1">
        <f t="array" ref="B145">SUMPRODUCT(--(D145:J145&lt;&gt;""), LEN(TRIM(SUBSTITUTE(D145:J145, CHAR(160), "")))) &amp; " Car."</f>
        <v>0 Car.</v>
      </c>
      <c r="C145" s="1376" t="str">
        <f>IF(ISBLANK(D145),"",LARGE(C13:C144,1)+1)</f>
        <v/>
      </c>
      <c r="D145" s="1833"/>
      <c r="E145" s="1810"/>
      <c r="F145" s="1810"/>
      <c r="G145" s="1810"/>
      <c r="H145" s="1810"/>
      <c r="I145" s="1810"/>
      <c r="J145" s="1810"/>
      <c r="K145" s="1810"/>
      <c r="L145" s="1811"/>
      <c r="M145" s="9"/>
      <c r="N145" s="162" t="str">
        <f t="shared" si="74"/>
        <v>►</v>
      </c>
      <c r="O145" s="1616"/>
      <c r="P145" s="9"/>
      <c r="Q145" s="25" t="s">
        <v>15</v>
      </c>
      <c r="R145" s="31"/>
      <c r="S145" s="32"/>
      <c r="T145" s="31"/>
      <c r="U145" s="33"/>
      <c r="V145" s="1967"/>
      <c r="W145" s="1805"/>
      <c r="X145" s="91"/>
      <c r="Y145" s="1806"/>
      <c r="Z145" s="1968"/>
      <c r="AA145" s="2244"/>
      <c r="AB145" s="1969"/>
      <c r="AC145" s="1365"/>
      <c r="AD145" s="95"/>
      <c r="AE145" s="1326"/>
      <c r="AF145" s="97"/>
      <c r="AG145" s="1737"/>
      <c r="AH145" s="1970"/>
      <c r="AI145" s="99"/>
      <c r="AJ145" s="1809"/>
      <c r="AK145" s="6120" t="str">
        <f t="shared" ref="AK145:AK208" si="75">IF(AND(IFERROR(SEARCH("►",AB145),0)&gt;0,ISNUMBER(IFERROR(VALUE(TRIM(SUBSTITUTE(AB145,"►",""))),NA())),AC145&lt;&gt;""),"A","►")</f>
        <v>►</v>
      </c>
      <c r="AL145" s="781" t="str">
        <f t="shared" si="53"/>
        <v>►</v>
      </c>
      <c r="AM145" s="5499" t="str">
        <f t="shared" si="57"/>
        <v/>
      </c>
      <c r="AN145" s="783" t="str">
        <f t="shared" si="58"/>
        <v/>
      </c>
      <c r="AO145" s="782" t="str">
        <f t="shared" si="59"/>
        <v/>
      </c>
      <c r="AP145" s="783" t="str">
        <f t="shared" si="60"/>
        <v/>
      </c>
      <c r="AQ145" s="2083" t="b">
        <f>AND(Q145="A",COUNTIF(BP16:BR63,TRIM(Z145))&gt;0)</f>
        <v>0</v>
      </c>
      <c r="AR145" s="797" t="str">
        <f>IF(AL145&lt;&gt;"A","",IFERROR(IFERROR(_xlfn.XLOOKUP(TRIM(SUBSTITUTE(Z145,CHAR(160)," ")),BP16:BP63,BS16:BS63),IFERROR(_xlfn.XLOOKUP(TRIM(SUBSTITUTE(Z145,CHAR(160)," ")),BQ16:BQ63,BS16:BS63),_xlfn.XLOOKUP(TRIM(SUBSTITUTE(Z145,CHAR(160)," ")),BR16:BR63,BS16:BS63)))*Y145*IF(ISBLANK(V145),1,V145),0))</f>
        <v/>
      </c>
      <c r="AS145" s="784" t="str">
        <f t="shared" si="73"/>
        <v/>
      </c>
      <c r="AT145" s="1315" t="str">
        <f t="shared" si="61"/>
        <v/>
      </c>
      <c r="AU145" s="785">
        <f t="shared" si="62"/>
        <v>0</v>
      </c>
      <c r="AV145" s="785">
        <f t="shared" si="63"/>
        <v>0</v>
      </c>
      <c r="AW145" s="786">
        <f>IF(AK145="A",AY10,0)</f>
        <v>0</v>
      </c>
      <c r="AX145" s="5495" t="str">
        <f>IF(IFERROR(SEARCH("Adresse PC",TRIM(W145)),0)&gt;0,"▼ receta siguiente",IF(AK145="A",IF(AZ10&lt;&gt;"",AZ10&amp;" - ou.or.o ❾ + or - &gt;",""),""))</f>
        <v/>
      </c>
      <c r="AY145" s="810"/>
      <c r="AZ145" s="810"/>
      <c r="BA145" s="788" t="str">
        <f t="shared" si="52"/>
        <v/>
      </c>
      <c r="BB145" s="789" t="str">
        <f>IF(AK145="A",IF(AQ145,IF(AND(AW145&lt;&gt;"",N(AW145)&gt;0),IFERROR(IFERROR(_xlfn.XLOOKUP(AP145,BP10:BP57,BT10:BT57),IFERROR(_xlfn.XLOOKUP(AP145,BQ10:BQ57,BT10:BT57),_xlfn.XLOOKUP(AP145,BR10:BR57,BT10:BT57,""))),""),""),""),"")</f>
        <v/>
      </c>
      <c r="BC145" s="811" cm="1">
        <f t="array" ref="BC145">IF(NOT(AQ145),0,IF(OR(BA145="",N(BA145)&lt;=0.000000001),"",IF(OR(AU145="",N(AU145)&lt;=0.000000001),0,IF(ISNUMBER(BA145),IFERROR(_xlfn.LET(_xlpm.ai_test,TRIM(AP145),_xlpm.r,IFERROR(_xlfn.XLOOKUP(_xlpm.ai_test,BP16:BP63,ROW(BP16:BP63),0,1),IFERROR(_xlfn.XLOOKUP(_xlpm.ai_test,BQ16:BQ63,ROW(BQ16:BQ63),0,1),_xlfn.XLOOKUP(_xlpm.ai_test,BR16:BR63,ROW(BR16:BR63),0,1))),_xlpm.p,_xlpm.r-MIN(ROW(BP16:BP63))+1,_xlpm.f,INDEX(BS16:BS63,_xlpm.p),_xlpm.u,INDEX(BT16:BT63,_xlpm.p),_xlpm.s,INDEX(BV16:BV63,_xlpm.p),_xlpm.q,N(BA145)/_xlpm.f,IF(_xlpm.q&gt;=_xlpm.s,ROUND(_xlpm.q,1)&amp;" "&amp;_xlpm.ai_test&amp;" = "&amp;ROUND(_xlpm.q*_xlpm.f,1)&amp;" "&amp;_xlpm.u,ROUND(_xlpm.q,1)&amp;" "&amp;_xlpm.ai_test)),""),""))))</f>
        <v>0</v>
      </c>
      <c r="BD145" s="801"/>
      <c r="BE145" s="788" t="str">
        <f t="shared" si="64"/>
        <v/>
      </c>
      <c r="BF145" s="789" t="str">
        <f t="shared" si="65"/>
        <v/>
      </c>
      <c r="BG145" s="790">
        <f t="shared" si="70"/>
        <v>0</v>
      </c>
      <c r="BH145" s="791" t="str">
        <f t="shared" si="71"/>
        <v/>
      </c>
      <c r="BI145" s="792"/>
      <c r="BJ145" s="793">
        <f t="shared" si="69"/>
        <v>0</v>
      </c>
      <c r="BK145" s="794" t="str">
        <f t="shared" si="66"/>
        <v/>
      </c>
      <c r="BL145" s="227" t="s">
        <v>21</v>
      </c>
      <c r="BM145" s="773">
        <f t="shared" si="55"/>
        <v>0</v>
      </c>
      <c r="BN145" s="774">
        <f t="shared" si="56"/>
        <v>0</v>
      </c>
      <c r="BO145"/>
      <c r="BX145"/>
      <c r="BY145"/>
      <c r="BZ145"/>
      <c r="CA145"/>
      <c r="CB145"/>
      <c r="CC145"/>
      <c r="CD145" s="781" t="str">
        <f t="shared" si="72"/>
        <v>►</v>
      </c>
      <c r="CJ145" s="633"/>
      <c r="DI145" s="3">
        <v>1</v>
      </c>
    </row>
    <row r="146" spans="1:113" s="627" customFormat="1" ht="21" customHeight="1">
      <c r="A146" s="701" t="s">
        <v>21</v>
      </c>
      <c r="B146" s="2265" t="str" cm="1">
        <f t="array" ref="B146">SUMPRODUCT(--(D146:J146&lt;&gt;""), LEN(TRIM(SUBSTITUTE(D146:J146, CHAR(160), "")))) &amp; " Car."</f>
        <v>0 Car.</v>
      </c>
      <c r="C146" s="1376" t="str">
        <f>IF(ISBLANK(D146),"",LARGE(C13:C145,1)+1)</f>
        <v/>
      </c>
      <c r="D146" s="1833"/>
      <c r="E146" s="1810"/>
      <c r="F146" s="1810"/>
      <c r="G146" s="1810"/>
      <c r="H146" s="1810"/>
      <c r="I146" s="1810"/>
      <c r="J146" s="1810"/>
      <c r="K146" s="1810"/>
      <c r="L146" s="1811"/>
      <c r="M146" s="9"/>
      <c r="N146" s="162" t="str">
        <f t="shared" si="74"/>
        <v>►</v>
      </c>
      <c r="O146" s="1616"/>
      <c r="P146" s="9"/>
      <c r="Q146" s="25" t="s">
        <v>15</v>
      </c>
      <c r="R146" s="31"/>
      <c r="S146" s="32"/>
      <c r="T146" s="31"/>
      <c r="U146" s="33"/>
      <c r="V146" s="1967"/>
      <c r="W146" s="1805"/>
      <c r="X146" s="91"/>
      <c r="Y146" s="1806"/>
      <c r="Z146" s="1968"/>
      <c r="AA146" s="2244"/>
      <c r="AB146" s="1969"/>
      <c r="AC146" s="1365"/>
      <c r="AD146" s="95"/>
      <c r="AE146" s="1326"/>
      <c r="AF146" s="97"/>
      <c r="AG146" s="1737"/>
      <c r="AH146" s="1970"/>
      <c r="AI146" s="99"/>
      <c r="AJ146" s="1809"/>
      <c r="AK146" s="6120" t="str">
        <f t="shared" si="75"/>
        <v>►</v>
      </c>
      <c r="AL146" s="781" t="str">
        <f t="shared" si="53"/>
        <v>►</v>
      </c>
      <c r="AM146" s="5498" t="str">
        <f t="shared" si="57"/>
        <v/>
      </c>
      <c r="AN146" s="783" t="str">
        <f t="shared" si="58"/>
        <v/>
      </c>
      <c r="AO146" s="782" t="str">
        <f t="shared" si="59"/>
        <v/>
      </c>
      <c r="AP146" s="783" t="str">
        <f t="shared" si="60"/>
        <v/>
      </c>
      <c r="AQ146" s="2083" t="b">
        <f>AND(Q146="A",COUNTIF(BP16:BR63,TRIM(Z146))&gt;0)</f>
        <v>0</v>
      </c>
      <c r="AR146" s="797" t="str">
        <f>IF(AL146&lt;&gt;"A","",IFERROR(IFERROR(_xlfn.XLOOKUP(TRIM(SUBSTITUTE(Z146,CHAR(160)," ")),BP16:BP63,BS16:BS63),IFERROR(_xlfn.XLOOKUP(TRIM(SUBSTITUTE(Z146,CHAR(160)," ")),BQ16:BQ63,BS16:BS63),_xlfn.XLOOKUP(TRIM(SUBSTITUTE(Z146,CHAR(160)," ")),BR16:BR63,BS16:BS63)))*Y146*IF(ISBLANK(V146),1,V146),0))</f>
        <v/>
      </c>
      <c r="AS146" s="784" t="str">
        <f t="shared" si="73"/>
        <v/>
      </c>
      <c r="AT146" s="1315" t="str">
        <f t="shared" si="61"/>
        <v/>
      </c>
      <c r="AU146" s="785">
        <f t="shared" si="62"/>
        <v>0</v>
      </c>
      <c r="AV146" s="785">
        <f t="shared" si="63"/>
        <v>0</v>
      </c>
      <c r="AW146" s="798">
        <f>IF(AK146="A",AY10,0)</f>
        <v>0</v>
      </c>
      <c r="AX146" s="5496" t="str">
        <f>IF(IFERROR(SEARCH("Adresse PC",TRIM(W146)),0)&gt;0,"▼ receta siguiente",IF(AK146="A",IF(AZ10&lt;&gt;"",AZ10&amp;" - ou.or.o ❾ + or - &gt;",""),""))</f>
        <v/>
      </c>
      <c r="AY146" s="810"/>
      <c r="AZ146" s="810"/>
      <c r="BA146" s="799" t="str">
        <f t="shared" si="52"/>
        <v/>
      </c>
      <c r="BB146" s="800" t="str">
        <f>IF(AK146="A",IF(AQ146,IF(AND(AW146&lt;&gt;"",N(AW146)&gt;0),IFERROR(IFERROR(_xlfn.XLOOKUP(AP146,BP10:BP57,BT10:BT57),IFERROR(_xlfn.XLOOKUP(AP146,BQ10:BQ57,BT10:BT57),_xlfn.XLOOKUP(AP146,BR10:BR57,BT10:BT57,""))),""),""),""),"")</f>
        <v/>
      </c>
      <c r="BC146" s="813" cm="1">
        <f t="array" ref="BC146">IF(NOT(AQ146),0,IF(OR(BA146="",N(BA146)&lt;=0.000000001),"",IF(OR(AU146="",N(AU146)&lt;=0.000000001),0,IF(ISNUMBER(BA146),IFERROR(_xlfn.LET(_xlpm.ai_test,TRIM(AP146),_xlpm.r,IFERROR(_xlfn.XLOOKUP(_xlpm.ai_test,BP16:BP63,ROW(BP16:BP63),0,1),IFERROR(_xlfn.XLOOKUP(_xlpm.ai_test,BQ16:BQ63,ROW(BQ16:BQ63),0,1),_xlfn.XLOOKUP(_xlpm.ai_test,BR16:BR63,ROW(BR16:BR63),0,1))),_xlpm.p,_xlpm.r-MIN(ROW(BP16:BP63))+1,_xlpm.f,INDEX(BS16:BS63,_xlpm.p),_xlpm.u,INDEX(BT16:BT63,_xlpm.p),_xlpm.s,INDEX(BV16:BV63,_xlpm.p),_xlpm.q,N(BA146)/_xlpm.f,IF(_xlpm.q&gt;=_xlpm.s,ROUND(_xlpm.q,1)&amp;" "&amp;_xlpm.ai_test&amp;" = "&amp;ROUND(_xlpm.q*_xlpm.f,1)&amp;" "&amp;_xlpm.u,ROUND(_xlpm.q,1)&amp;" "&amp;_xlpm.ai_test)),""),""))))</f>
        <v>0</v>
      </c>
      <c r="BD146" s="801"/>
      <c r="BE146" s="799" t="str">
        <f t="shared" si="64"/>
        <v/>
      </c>
      <c r="BF146" s="800" t="str">
        <f t="shared" si="65"/>
        <v/>
      </c>
      <c r="BG146" s="802">
        <f t="shared" si="70"/>
        <v>0</v>
      </c>
      <c r="BH146" s="803" t="str">
        <f t="shared" si="71"/>
        <v/>
      </c>
      <c r="BI146" s="792"/>
      <c r="BJ146" s="804">
        <f t="shared" si="69"/>
        <v>0</v>
      </c>
      <c r="BK146" s="794" t="str">
        <f t="shared" si="66"/>
        <v/>
      </c>
      <c r="BL146" s="227" t="s">
        <v>21</v>
      </c>
      <c r="BM146" s="773">
        <f t="shared" si="55"/>
        <v>0</v>
      </c>
      <c r="BN146" s="774">
        <f t="shared" si="56"/>
        <v>0</v>
      </c>
      <c r="BO146"/>
      <c r="BX146"/>
      <c r="BY146"/>
      <c r="BZ146"/>
      <c r="CA146"/>
      <c r="CB146"/>
      <c r="CC146"/>
      <c r="CD146" s="781" t="str">
        <f t="shared" si="72"/>
        <v>►</v>
      </c>
      <c r="CJ146" s="633"/>
      <c r="DI146" s="3">
        <v>1</v>
      </c>
    </row>
    <row r="147" spans="1:113" s="627" customFormat="1" ht="21" customHeight="1">
      <c r="A147" s="701" t="s">
        <v>21</v>
      </c>
      <c r="B147" s="2265" t="str" cm="1">
        <f t="array" ref="B147">SUMPRODUCT(--(D147:J147&lt;&gt;""), LEN(TRIM(SUBSTITUTE(D147:J147, CHAR(160), "")))) &amp; " Car."</f>
        <v>0 Car.</v>
      </c>
      <c r="C147" s="1376" t="str">
        <f>IF(ISBLANK(D147),"",LARGE(C13:C146,1)+1)</f>
        <v/>
      </c>
      <c r="D147" s="1833"/>
      <c r="E147" s="1810"/>
      <c r="F147" s="1810"/>
      <c r="G147" s="1810"/>
      <c r="H147" s="1810"/>
      <c r="I147" s="1810"/>
      <c r="J147" s="1810"/>
      <c r="K147" s="1810"/>
      <c r="L147" s="1811"/>
      <c r="M147" s="9"/>
      <c r="N147" s="162" t="str">
        <f t="shared" si="74"/>
        <v>►</v>
      </c>
      <c r="O147" s="1616"/>
      <c r="P147" s="9"/>
      <c r="Q147" s="25" t="s">
        <v>15</v>
      </c>
      <c r="R147" s="31"/>
      <c r="S147" s="32"/>
      <c r="T147" s="31"/>
      <c r="U147" s="33"/>
      <c r="V147" s="1967"/>
      <c r="W147" s="1805"/>
      <c r="X147" s="91"/>
      <c r="Y147" s="1806"/>
      <c r="Z147" s="1968"/>
      <c r="AA147" s="2244"/>
      <c r="AB147" s="1969"/>
      <c r="AC147" s="1365"/>
      <c r="AD147" s="95"/>
      <c r="AE147" s="1326"/>
      <c r="AF147" s="97"/>
      <c r="AG147" s="1737"/>
      <c r="AH147" s="1970"/>
      <c r="AI147" s="99"/>
      <c r="AJ147" s="1809"/>
      <c r="AK147" s="6120" t="str">
        <f t="shared" si="75"/>
        <v>►</v>
      </c>
      <c r="AL147" s="781" t="str">
        <f t="shared" si="53"/>
        <v>►</v>
      </c>
      <c r="AM147" s="5499" t="str">
        <f t="shared" si="57"/>
        <v/>
      </c>
      <c r="AN147" s="783" t="str">
        <f t="shared" si="58"/>
        <v/>
      </c>
      <c r="AO147" s="782" t="str">
        <f t="shared" si="59"/>
        <v/>
      </c>
      <c r="AP147" s="783" t="str">
        <f t="shared" si="60"/>
        <v/>
      </c>
      <c r="AQ147" s="2083" t="b">
        <f>AND(Q147="A",COUNTIF(BP16:BR63,TRIM(Z147))&gt;0)</f>
        <v>0</v>
      </c>
      <c r="AR147" s="797" t="str">
        <f>IF(AL147&lt;&gt;"A","",IFERROR(IFERROR(_xlfn.XLOOKUP(TRIM(SUBSTITUTE(Z147,CHAR(160)," ")),BP16:BP63,BS16:BS63),IFERROR(_xlfn.XLOOKUP(TRIM(SUBSTITUTE(Z147,CHAR(160)," ")),BQ16:BQ63,BS16:BS63),_xlfn.XLOOKUP(TRIM(SUBSTITUTE(Z147,CHAR(160)," ")),BR16:BR63,BS16:BS63)))*Y147*IF(ISBLANK(V147),1,V147),0))</f>
        <v/>
      </c>
      <c r="AS147" s="784" t="str">
        <f t="shared" si="73"/>
        <v/>
      </c>
      <c r="AT147" s="1315" t="str">
        <f t="shared" si="61"/>
        <v/>
      </c>
      <c r="AU147" s="785">
        <f t="shared" si="62"/>
        <v>0</v>
      </c>
      <c r="AV147" s="785">
        <f t="shared" si="63"/>
        <v>0</v>
      </c>
      <c r="AW147" s="786">
        <f>IF(AK147="A",AY10,0)</f>
        <v>0</v>
      </c>
      <c r="AX147" s="5495" t="str">
        <f>IF(IFERROR(SEARCH("Adresse PC",TRIM(W147)),0)&gt;0,"▼ receta siguiente",IF(AK147="A",IF(AZ10&lt;&gt;"",AZ10&amp;" - ou.or.o ❾ + or - &gt;",""),""))</f>
        <v/>
      </c>
      <c r="AY147" s="810"/>
      <c r="AZ147" s="810"/>
      <c r="BA147" s="788" t="str">
        <f t="shared" si="52"/>
        <v/>
      </c>
      <c r="BB147" s="789" t="str">
        <f>IF(AK147="A",IF(AQ147,IF(AND(AW147&lt;&gt;"",N(AW147)&gt;0),IFERROR(IFERROR(_xlfn.XLOOKUP(AP147,BP10:BP57,BT10:BT57),IFERROR(_xlfn.XLOOKUP(AP147,BQ10:BQ57,BT10:BT57),_xlfn.XLOOKUP(AP147,BR10:BR57,BT10:BT57,""))),""),""),""),"")</f>
        <v/>
      </c>
      <c r="BC147" s="811" cm="1">
        <f t="array" ref="BC147">IF(NOT(AQ147),0,IF(OR(BA147="",N(BA147)&lt;=0.000000001),"",IF(OR(AU147="",N(AU147)&lt;=0.000000001),0,IF(ISNUMBER(BA147),IFERROR(_xlfn.LET(_xlpm.ai_test,TRIM(AP147),_xlpm.r,IFERROR(_xlfn.XLOOKUP(_xlpm.ai_test,BP16:BP63,ROW(BP16:BP63),0,1),IFERROR(_xlfn.XLOOKUP(_xlpm.ai_test,BQ16:BQ63,ROW(BQ16:BQ63),0,1),_xlfn.XLOOKUP(_xlpm.ai_test,BR16:BR63,ROW(BR16:BR63),0,1))),_xlpm.p,_xlpm.r-MIN(ROW(BP16:BP63))+1,_xlpm.f,INDEX(BS16:BS63,_xlpm.p),_xlpm.u,INDEX(BT16:BT63,_xlpm.p),_xlpm.s,INDEX(BV16:BV63,_xlpm.p),_xlpm.q,N(BA147)/_xlpm.f,IF(_xlpm.q&gt;=_xlpm.s,ROUND(_xlpm.q,1)&amp;" "&amp;_xlpm.ai_test&amp;" = "&amp;ROUND(_xlpm.q*_xlpm.f,1)&amp;" "&amp;_xlpm.u,ROUND(_xlpm.q,1)&amp;" "&amp;_xlpm.ai_test)),""),""))))</f>
        <v>0</v>
      </c>
      <c r="BD147" s="801"/>
      <c r="BE147" s="788" t="str">
        <f t="shared" si="64"/>
        <v/>
      </c>
      <c r="BF147" s="789" t="str">
        <f t="shared" si="65"/>
        <v/>
      </c>
      <c r="BG147" s="790">
        <f t="shared" si="70"/>
        <v>0</v>
      </c>
      <c r="BH147" s="791" t="str">
        <f t="shared" si="71"/>
        <v/>
      </c>
      <c r="BI147" s="792"/>
      <c r="BJ147" s="793">
        <f t="shared" si="69"/>
        <v>0</v>
      </c>
      <c r="BK147" s="794" t="str">
        <f t="shared" si="66"/>
        <v/>
      </c>
      <c r="BL147" s="227" t="s">
        <v>21</v>
      </c>
      <c r="BM147" s="773">
        <f t="shared" si="55"/>
        <v>0</v>
      </c>
      <c r="BN147" s="774">
        <f t="shared" si="56"/>
        <v>0</v>
      </c>
      <c r="BO147"/>
      <c r="BX147"/>
      <c r="BY147"/>
      <c r="BZ147"/>
      <c r="CA147"/>
      <c r="CB147"/>
      <c r="CC147"/>
      <c r="CD147" s="781" t="str">
        <f t="shared" si="72"/>
        <v>►</v>
      </c>
      <c r="CE147"/>
      <c r="CF147"/>
      <c r="CG147"/>
      <c r="CH147"/>
      <c r="CI147"/>
      <c r="CJ147" s="633"/>
      <c r="DI147" s="3">
        <v>1</v>
      </c>
    </row>
    <row r="148" spans="1:113" s="627" customFormat="1" ht="21" customHeight="1">
      <c r="A148" s="701" t="s">
        <v>21</v>
      </c>
      <c r="B148" s="2265" t="str" cm="1">
        <f t="array" ref="B148">SUMPRODUCT(--(D148:J148&lt;&gt;""), LEN(TRIM(SUBSTITUTE(D148:J148, CHAR(160), "")))) &amp; " Car."</f>
        <v>0 Car.</v>
      </c>
      <c r="C148" s="1376" t="str">
        <f>IF(ISBLANK(D148),"",LARGE(C13:C147,1)+1)</f>
        <v/>
      </c>
      <c r="D148" s="1833"/>
      <c r="E148" s="1810"/>
      <c r="F148" s="1810"/>
      <c r="G148" s="1810"/>
      <c r="H148" s="1810"/>
      <c r="I148" s="1810"/>
      <c r="J148" s="1810"/>
      <c r="K148" s="1810"/>
      <c r="L148" s="1811"/>
      <c r="M148" s="9"/>
      <c r="N148" s="162" t="str">
        <f t="shared" si="74"/>
        <v>►</v>
      </c>
      <c r="O148" s="1616"/>
      <c r="P148" s="9"/>
      <c r="Q148" s="25" t="s">
        <v>15</v>
      </c>
      <c r="R148" s="31"/>
      <c r="S148" s="32"/>
      <c r="T148" s="31"/>
      <c r="U148" s="33"/>
      <c r="V148" s="1967"/>
      <c r="W148" s="1805"/>
      <c r="X148" s="91"/>
      <c r="Y148" s="1806"/>
      <c r="Z148" s="1968"/>
      <c r="AA148" s="2244"/>
      <c r="AB148" s="1969"/>
      <c r="AC148" s="1365"/>
      <c r="AD148" s="95"/>
      <c r="AE148" s="1326"/>
      <c r="AF148" s="97"/>
      <c r="AG148" s="1737"/>
      <c r="AH148" s="1970"/>
      <c r="AI148" s="99"/>
      <c r="AJ148" s="1809"/>
      <c r="AK148" s="6120" t="str">
        <f t="shared" si="75"/>
        <v>►</v>
      </c>
      <c r="AL148" s="781" t="str">
        <f t="shared" si="53"/>
        <v>►</v>
      </c>
      <c r="AM148" s="5498" t="str">
        <f t="shared" si="57"/>
        <v/>
      </c>
      <c r="AN148" s="783" t="str">
        <f t="shared" si="58"/>
        <v/>
      </c>
      <c r="AO148" s="782" t="str">
        <f t="shared" si="59"/>
        <v/>
      </c>
      <c r="AP148" s="783" t="str">
        <f t="shared" si="60"/>
        <v/>
      </c>
      <c r="AQ148" s="2083" t="b">
        <f>AND(Q148="A",COUNTIF(BP16:BR63,TRIM(Z148))&gt;0)</f>
        <v>0</v>
      </c>
      <c r="AR148" s="797" t="str">
        <f>IF(AL148&lt;&gt;"A","",IFERROR(IFERROR(_xlfn.XLOOKUP(TRIM(SUBSTITUTE(Z148,CHAR(160)," ")),BP16:BP63,BS16:BS63),IFERROR(_xlfn.XLOOKUP(TRIM(SUBSTITUTE(Z148,CHAR(160)," ")),BQ16:BQ63,BS16:BS63),_xlfn.XLOOKUP(TRIM(SUBSTITUTE(Z148,CHAR(160)," ")),BR16:BR63,BS16:BS63)))*Y148*IF(ISBLANK(V148),1,V148),0))</f>
        <v/>
      </c>
      <c r="AS148" s="784" t="str">
        <f t="shared" si="73"/>
        <v/>
      </c>
      <c r="AT148" s="1315" t="str">
        <f t="shared" si="61"/>
        <v/>
      </c>
      <c r="AU148" s="785">
        <f t="shared" si="62"/>
        <v>0</v>
      </c>
      <c r="AV148" s="785">
        <f t="shared" si="63"/>
        <v>0</v>
      </c>
      <c r="AW148" s="798">
        <f>IF(AK148="A",AY10,0)</f>
        <v>0</v>
      </c>
      <c r="AX148" s="5496" t="str">
        <f>IF(IFERROR(SEARCH("Adresse PC",TRIM(W148)),0)&gt;0,"▼ receta siguiente",IF(AK148="A",IF(AZ10&lt;&gt;"",AZ10&amp;" - ou.or.o ❾ + or - &gt;",""),""))</f>
        <v/>
      </c>
      <c r="AY148" s="810"/>
      <c r="AZ148" s="810"/>
      <c r="BA148" s="799" t="str">
        <f t="shared" ref="BA148:BA211" si="76">IF(AK148="A",IF(UPPER(TRIM(SUBSTITUTE(AS148,CHAR(160),"")))="KG",N(AR148)*N(BN148),0),"")</f>
        <v/>
      </c>
      <c r="BB148" s="800" t="str">
        <f>IF(AK148="A",IF(AQ148,IF(AND(AW148&lt;&gt;"",N(AW148)&gt;0),IFERROR(IFERROR(_xlfn.XLOOKUP(AP148,BP10:BP57,BT10:BT57),IFERROR(_xlfn.XLOOKUP(AP148,BQ10:BQ57,BT10:BT57),_xlfn.XLOOKUP(AP148,BR10:BR57,BT10:BT57,""))),""),""),""),"")</f>
        <v/>
      </c>
      <c r="BC148" s="813" cm="1">
        <f t="array" ref="BC148">IF(NOT(AQ148),0,IF(OR(BA148="",N(BA148)&lt;=0.000000001),"",IF(OR(AU148="",N(AU148)&lt;=0.000000001),0,IF(ISNUMBER(BA148),IFERROR(_xlfn.LET(_xlpm.ai_test,TRIM(AP148),_xlpm.r,IFERROR(_xlfn.XLOOKUP(_xlpm.ai_test,BP16:BP63,ROW(BP16:BP63),0,1),IFERROR(_xlfn.XLOOKUP(_xlpm.ai_test,BQ16:BQ63,ROW(BQ16:BQ63),0,1),_xlfn.XLOOKUP(_xlpm.ai_test,BR16:BR63,ROW(BR16:BR63),0,1))),_xlpm.p,_xlpm.r-MIN(ROW(BP16:BP63))+1,_xlpm.f,INDEX(BS16:BS63,_xlpm.p),_xlpm.u,INDEX(BT16:BT63,_xlpm.p),_xlpm.s,INDEX(BV16:BV63,_xlpm.p),_xlpm.q,N(BA148)/_xlpm.f,IF(_xlpm.q&gt;=_xlpm.s,ROUND(_xlpm.q,1)&amp;" "&amp;_xlpm.ai_test&amp;" = "&amp;ROUND(_xlpm.q*_xlpm.f,1)&amp;" "&amp;_xlpm.u,ROUND(_xlpm.q,1)&amp;" "&amp;_xlpm.ai_test)),""),""))))</f>
        <v>0</v>
      </c>
      <c r="BD148" s="801"/>
      <c r="BE148" s="799" t="str">
        <f t="shared" si="64"/>
        <v/>
      </c>
      <c r="BF148" s="800" t="str">
        <f t="shared" si="65"/>
        <v/>
      </c>
      <c r="BG148" s="802">
        <f t="shared" si="70"/>
        <v>0</v>
      </c>
      <c r="BH148" s="803" t="str">
        <f t="shared" si="71"/>
        <v/>
      </c>
      <c r="BI148" s="792"/>
      <c r="BJ148" s="804">
        <f t="shared" si="69"/>
        <v>0</v>
      </c>
      <c r="BK148" s="794" t="str">
        <f t="shared" si="66"/>
        <v/>
      </c>
      <c r="BL148" s="227" t="s">
        <v>21</v>
      </c>
      <c r="BM148" s="773">
        <f t="shared" si="55"/>
        <v>0</v>
      </c>
      <c r="BN148" s="774">
        <f t="shared" si="56"/>
        <v>0</v>
      </c>
      <c r="BO148"/>
      <c r="BX148"/>
      <c r="BY148"/>
      <c r="BZ148"/>
      <c r="CA148"/>
      <c r="CB148"/>
      <c r="CC148"/>
      <c r="CD148" s="781" t="str">
        <f t="shared" si="72"/>
        <v>►</v>
      </c>
      <c r="CE148"/>
      <c r="CF148"/>
      <c r="CG148"/>
      <c r="CH148"/>
      <c r="CI148"/>
      <c r="CJ148" s="633"/>
      <c r="DI148" s="3">
        <v>1</v>
      </c>
    </row>
    <row r="149" spans="1:113" s="627" customFormat="1" ht="21" customHeight="1">
      <c r="A149" s="701" t="s">
        <v>21</v>
      </c>
      <c r="B149" s="2265" t="str" cm="1">
        <f t="array" ref="B149">SUMPRODUCT(--(D149:J149&lt;&gt;""), LEN(TRIM(SUBSTITUTE(D149:J149, CHAR(160), "")))) &amp; " Car."</f>
        <v>0 Car.</v>
      </c>
      <c r="C149" s="1376" t="str">
        <f>IF(ISBLANK(D149),"",LARGE(C13:C148,1)+1)</f>
        <v/>
      </c>
      <c r="D149" s="1833"/>
      <c r="E149" s="1810"/>
      <c r="F149" s="1810"/>
      <c r="G149" s="1810"/>
      <c r="H149" s="1810"/>
      <c r="I149" s="1810"/>
      <c r="J149" s="1810"/>
      <c r="K149" s="1810"/>
      <c r="L149" s="1811"/>
      <c r="M149" s="9"/>
      <c r="N149" s="162" t="str">
        <f t="shared" si="74"/>
        <v>►</v>
      </c>
      <c r="O149" s="1616"/>
      <c r="P149" s="9"/>
      <c r="Q149" s="25" t="s">
        <v>15</v>
      </c>
      <c r="R149" s="31"/>
      <c r="S149" s="32"/>
      <c r="T149" s="31"/>
      <c r="U149" s="33"/>
      <c r="V149" s="1967"/>
      <c r="W149" s="1805"/>
      <c r="X149" s="91"/>
      <c r="Y149" s="1806"/>
      <c r="Z149" s="1968"/>
      <c r="AA149" s="2244"/>
      <c r="AB149" s="1969"/>
      <c r="AC149" s="1365"/>
      <c r="AD149" s="95"/>
      <c r="AE149" s="1326"/>
      <c r="AF149" s="97"/>
      <c r="AG149" s="1737"/>
      <c r="AH149" s="1970"/>
      <c r="AI149" s="99"/>
      <c r="AJ149" s="1809"/>
      <c r="AK149" s="6120" t="str">
        <f t="shared" si="75"/>
        <v>►</v>
      </c>
      <c r="AL149" s="781" t="str">
        <f t="shared" si="53"/>
        <v>►</v>
      </c>
      <c r="AM149" s="5499" t="str">
        <f t="shared" si="57"/>
        <v/>
      </c>
      <c r="AN149" s="783" t="str">
        <f t="shared" si="58"/>
        <v/>
      </c>
      <c r="AO149" s="782" t="str">
        <f t="shared" si="59"/>
        <v/>
      </c>
      <c r="AP149" s="783" t="str">
        <f t="shared" si="60"/>
        <v/>
      </c>
      <c r="AQ149" s="2083" t="b">
        <f>AND(Q149="A",COUNTIF(BP16:BR63,TRIM(Z149))&gt;0)</f>
        <v>0</v>
      </c>
      <c r="AR149" s="797" t="str">
        <f>IF(AL149&lt;&gt;"A","",IFERROR(IFERROR(_xlfn.XLOOKUP(TRIM(SUBSTITUTE(Z149,CHAR(160)," ")),BP16:BP63,BS16:BS63),IFERROR(_xlfn.XLOOKUP(TRIM(SUBSTITUTE(Z149,CHAR(160)," ")),BQ16:BQ63,BS16:BS63),_xlfn.XLOOKUP(TRIM(SUBSTITUTE(Z149,CHAR(160)," ")),BR16:BR63,BS16:BS63)))*Y149*IF(ISBLANK(V149),1,V149),0))</f>
        <v/>
      </c>
      <c r="AS149" s="784" t="str">
        <f t="shared" si="73"/>
        <v/>
      </c>
      <c r="AT149" s="1315" t="str">
        <f t="shared" si="61"/>
        <v/>
      </c>
      <c r="AU149" s="785">
        <f t="shared" si="62"/>
        <v>0</v>
      </c>
      <c r="AV149" s="785">
        <f t="shared" si="63"/>
        <v>0</v>
      </c>
      <c r="AW149" s="786">
        <f>IF(AK149="A",AY10,0)</f>
        <v>0</v>
      </c>
      <c r="AX149" s="5495" t="str">
        <f>IF(IFERROR(SEARCH("Adresse PC",TRIM(W149)),0)&gt;0,"▼ receta siguiente",IF(AK149="A",IF(AZ10&lt;&gt;"",AZ10&amp;" - ou.or.o ❾ + or - &gt;",""),""))</f>
        <v/>
      </c>
      <c r="AY149" s="810"/>
      <c r="AZ149" s="810"/>
      <c r="BA149" s="788" t="str">
        <f t="shared" si="76"/>
        <v/>
      </c>
      <c r="BB149" s="789" t="str">
        <f>IF(AK149="A",IF(AQ149,IF(AND(AW149&lt;&gt;"",N(AW149)&gt;0),IFERROR(IFERROR(_xlfn.XLOOKUP(AP149,BP10:BP57,BT10:BT57),IFERROR(_xlfn.XLOOKUP(AP149,BQ10:BQ57,BT10:BT57),_xlfn.XLOOKUP(AP149,BR10:BR57,BT10:BT57,""))),""),""),""),"")</f>
        <v/>
      </c>
      <c r="BC149" s="811" cm="1">
        <f t="array" ref="BC149">IF(NOT(AQ149),0,IF(OR(BA149="",N(BA149)&lt;=0.000000001),"",IF(OR(AU149="",N(AU149)&lt;=0.000000001),0,IF(ISNUMBER(BA149),IFERROR(_xlfn.LET(_xlpm.ai_test,TRIM(AP149),_xlpm.r,IFERROR(_xlfn.XLOOKUP(_xlpm.ai_test,BP16:BP63,ROW(BP16:BP63),0,1),IFERROR(_xlfn.XLOOKUP(_xlpm.ai_test,BQ16:BQ63,ROW(BQ16:BQ63),0,1),_xlfn.XLOOKUP(_xlpm.ai_test,BR16:BR63,ROW(BR16:BR63),0,1))),_xlpm.p,_xlpm.r-MIN(ROW(BP16:BP63))+1,_xlpm.f,INDEX(BS16:BS63,_xlpm.p),_xlpm.u,INDEX(BT16:BT63,_xlpm.p),_xlpm.s,INDEX(BV16:BV63,_xlpm.p),_xlpm.q,N(BA149)/_xlpm.f,IF(_xlpm.q&gt;=_xlpm.s,ROUND(_xlpm.q,1)&amp;" "&amp;_xlpm.ai_test&amp;" = "&amp;ROUND(_xlpm.q*_xlpm.f,1)&amp;" "&amp;_xlpm.u,ROUND(_xlpm.q,1)&amp;" "&amp;_xlpm.ai_test)),""),""))))</f>
        <v>0</v>
      </c>
      <c r="BD149" s="801"/>
      <c r="BE149" s="788" t="str">
        <f t="shared" si="64"/>
        <v/>
      </c>
      <c r="BF149" s="789" t="str">
        <f t="shared" si="65"/>
        <v/>
      </c>
      <c r="BG149" s="790">
        <f t="shared" si="70"/>
        <v>0</v>
      </c>
      <c r="BH149" s="791" t="str">
        <f t="shared" si="71"/>
        <v/>
      </c>
      <c r="BI149" s="792"/>
      <c r="BJ149" s="793">
        <f t="shared" si="69"/>
        <v>0</v>
      </c>
      <c r="BK149" s="794" t="str">
        <f t="shared" si="66"/>
        <v/>
      </c>
      <c r="BL149" s="227" t="s">
        <v>21</v>
      </c>
      <c r="BM149" s="773">
        <f t="shared" si="55"/>
        <v>0</v>
      </c>
      <c r="BN149" s="774">
        <f t="shared" si="56"/>
        <v>0</v>
      </c>
      <c r="BO149"/>
      <c r="BX149"/>
      <c r="BY149"/>
      <c r="BZ149"/>
      <c r="CA149"/>
      <c r="CB149"/>
      <c r="CC149"/>
      <c r="CD149" s="781" t="str">
        <f t="shared" si="72"/>
        <v>►</v>
      </c>
      <c r="CE149"/>
      <c r="CF149"/>
      <c r="CG149"/>
      <c r="CH149"/>
      <c r="CI149"/>
      <c r="CJ149" s="633"/>
      <c r="DI149" s="3">
        <v>1</v>
      </c>
    </row>
    <row r="150" spans="1:113" s="627" customFormat="1" ht="21" customHeight="1">
      <c r="A150" s="701" t="s">
        <v>21</v>
      </c>
      <c r="B150" s="2265" t="str" cm="1">
        <f t="array" ref="B150">SUMPRODUCT(--(D150:J150&lt;&gt;""), LEN(TRIM(SUBSTITUTE(D150:J150, CHAR(160), "")))) &amp; " Car."</f>
        <v>0 Car.</v>
      </c>
      <c r="C150" s="1376" t="str">
        <f>IF(ISBLANK(D150),"",LARGE(C13:C149,1)+1)</f>
        <v/>
      </c>
      <c r="D150" s="1833"/>
      <c r="E150" s="1810"/>
      <c r="F150" s="1810"/>
      <c r="G150" s="1810"/>
      <c r="H150" s="1810"/>
      <c r="I150" s="1810"/>
      <c r="J150" s="1810"/>
      <c r="K150" s="1810"/>
      <c r="L150" s="1811"/>
      <c r="M150" s="9"/>
      <c r="N150" s="162" t="str">
        <f t="shared" si="74"/>
        <v>►</v>
      </c>
      <c r="O150" s="1616"/>
      <c r="P150" s="9"/>
      <c r="Q150" s="25" t="s">
        <v>15</v>
      </c>
      <c r="R150" s="31"/>
      <c r="S150" s="32"/>
      <c r="T150" s="31"/>
      <c r="U150" s="33"/>
      <c r="V150" s="1967"/>
      <c r="W150" s="1805"/>
      <c r="X150" s="91"/>
      <c r="Y150" s="1806"/>
      <c r="Z150" s="1968"/>
      <c r="AA150" s="2244"/>
      <c r="AB150" s="1969"/>
      <c r="AC150" s="1365"/>
      <c r="AD150" s="95"/>
      <c r="AE150" s="1326"/>
      <c r="AF150" s="97"/>
      <c r="AG150" s="1737"/>
      <c r="AH150" s="1970"/>
      <c r="AI150" s="99"/>
      <c r="AJ150" s="1809"/>
      <c r="AK150" s="6120" t="str">
        <f t="shared" si="75"/>
        <v>►</v>
      </c>
      <c r="AL150" s="781" t="str">
        <f t="shared" si="53"/>
        <v>►</v>
      </c>
      <c r="AM150" s="5498" t="str">
        <f t="shared" si="57"/>
        <v/>
      </c>
      <c r="AN150" s="783" t="str">
        <f t="shared" si="58"/>
        <v/>
      </c>
      <c r="AO150" s="782" t="str">
        <f t="shared" si="59"/>
        <v/>
      </c>
      <c r="AP150" s="783" t="str">
        <f t="shared" si="60"/>
        <v/>
      </c>
      <c r="AQ150" s="2083" t="b">
        <f>AND(Q150="A",COUNTIF(BP16:BR63,TRIM(Z150))&gt;0)</f>
        <v>0</v>
      </c>
      <c r="AR150" s="797" t="str">
        <f>IF(AL150&lt;&gt;"A","",IFERROR(IFERROR(_xlfn.XLOOKUP(TRIM(SUBSTITUTE(Z150,CHAR(160)," ")),BP16:BP63,BS16:BS63),IFERROR(_xlfn.XLOOKUP(TRIM(SUBSTITUTE(Z150,CHAR(160)," ")),BQ16:BQ63,BS16:BS63),_xlfn.XLOOKUP(TRIM(SUBSTITUTE(Z150,CHAR(160)," ")),BR16:BR63,BS16:BS63)))*Y150*IF(ISBLANK(V150),1,V150),0))</f>
        <v/>
      </c>
      <c r="AS150" s="784" t="str">
        <f t="shared" si="73"/>
        <v/>
      </c>
      <c r="AT150" s="1315" t="str">
        <f t="shared" si="61"/>
        <v/>
      </c>
      <c r="AU150" s="785">
        <f t="shared" si="62"/>
        <v>0</v>
      </c>
      <c r="AV150" s="785">
        <f t="shared" si="63"/>
        <v>0</v>
      </c>
      <c r="AW150" s="798">
        <f>IF(AK150="A",AY10,0)</f>
        <v>0</v>
      </c>
      <c r="AX150" s="5496" t="str">
        <f>IF(IFERROR(SEARCH("Adresse PC",TRIM(W150)),0)&gt;0,"▼ receta siguiente",IF(AK150="A",IF(AZ10&lt;&gt;"",AZ10&amp;" - ou.or.o ❾ + or - &gt;",""),""))</f>
        <v/>
      </c>
      <c r="AY150" s="810"/>
      <c r="AZ150" s="810"/>
      <c r="BA150" s="799" t="str">
        <f t="shared" si="76"/>
        <v/>
      </c>
      <c r="BB150" s="800" t="str">
        <f>IF(AK150="A",IF(AQ150,IF(AND(AW150&lt;&gt;"",N(AW150)&gt;0),IFERROR(IFERROR(_xlfn.XLOOKUP(AP150,BP10:BP57,BT10:BT57),IFERROR(_xlfn.XLOOKUP(AP150,BQ10:BQ57,BT10:BT57),_xlfn.XLOOKUP(AP150,BR10:BR57,BT10:BT57,""))),""),""),""),"")</f>
        <v/>
      </c>
      <c r="BC150" s="813" cm="1">
        <f t="array" ref="BC150">IF(NOT(AQ150),0,IF(OR(BA150="",N(BA150)&lt;=0.000000001),"",IF(OR(AU150="",N(AU150)&lt;=0.000000001),0,IF(ISNUMBER(BA150),IFERROR(_xlfn.LET(_xlpm.ai_test,TRIM(AP150),_xlpm.r,IFERROR(_xlfn.XLOOKUP(_xlpm.ai_test,BP16:BP63,ROW(BP16:BP63),0,1),IFERROR(_xlfn.XLOOKUP(_xlpm.ai_test,BQ16:BQ63,ROW(BQ16:BQ63),0,1),_xlfn.XLOOKUP(_xlpm.ai_test,BR16:BR63,ROW(BR16:BR63),0,1))),_xlpm.p,_xlpm.r-MIN(ROW(BP16:BP63))+1,_xlpm.f,INDEX(BS16:BS63,_xlpm.p),_xlpm.u,INDEX(BT16:BT63,_xlpm.p),_xlpm.s,INDEX(BV16:BV63,_xlpm.p),_xlpm.q,N(BA150)/_xlpm.f,IF(_xlpm.q&gt;=_xlpm.s,ROUND(_xlpm.q,1)&amp;" "&amp;_xlpm.ai_test&amp;" = "&amp;ROUND(_xlpm.q*_xlpm.f,1)&amp;" "&amp;_xlpm.u,ROUND(_xlpm.q,1)&amp;" "&amp;_xlpm.ai_test)),""),""))))</f>
        <v>0</v>
      </c>
      <c r="BD150" s="801"/>
      <c r="BE150" s="799" t="str">
        <f t="shared" si="64"/>
        <v/>
      </c>
      <c r="BF150" s="800" t="str">
        <f t="shared" si="65"/>
        <v/>
      </c>
      <c r="BG150" s="802">
        <f t="shared" si="70"/>
        <v>0</v>
      </c>
      <c r="BH150" s="803" t="str">
        <f t="shared" si="71"/>
        <v/>
      </c>
      <c r="BI150" s="792"/>
      <c r="BJ150" s="804">
        <f t="shared" si="69"/>
        <v>0</v>
      </c>
      <c r="BK150" s="794" t="str">
        <f t="shared" si="66"/>
        <v/>
      </c>
      <c r="BL150" s="227" t="s">
        <v>21</v>
      </c>
      <c r="BM150" s="773">
        <f t="shared" si="55"/>
        <v>0</v>
      </c>
      <c r="BN150" s="774">
        <f t="shared" si="56"/>
        <v>0</v>
      </c>
      <c r="BO150"/>
      <c r="BX150"/>
      <c r="BY150"/>
      <c r="BZ150"/>
      <c r="CA150"/>
      <c r="CB150"/>
      <c r="CC150"/>
      <c r="CD150" s="781" t="str">
        <f t="shared" si="72"/>
        <v>►</v>
      </c>
      <c r="CE150"/>
      <c r="CF150"/>
      <c r="CG150"/>
      <c r="CH150"/>
      <c r="CI150"/>
      <c r="CJ150" s="633"/>
      <c r="DI150" s="3">
        <v>1</v>
      </c>
    </row>
    <row r="151" spans="1:113" s="627" customFormat="1" ht="21" customHeight="1">
      <c r="A151" s="701" t="s">
        <v>21</v>
      </c>
      <c r="B151" s="2265" t="str" cm="1">
        <f t="array" ref="B151">SUMPRODUCT(--(D151:J151&lt;&gt;""), LEN(TRIM(SUBSTITUTE(D151:J151, CHAR(160), "")))) &amp; " Car."</f>
        <v>0 Car.</v>
      </c>
      <c r="C151" s="1376" t="str">
        <f>IF(ISBLANK(D151),"",LARGE(C13:C150,1)+1)</f>
        <v/>
      </c>
      <c r="D151" s="1833"/>
      <c r="E151" s="1810"/>
      <c r="F151" s="1810"/>
      <c r="G151" s="1810"/>
      <c r="H151" s="1810"/>
      <c r="I151" s="1810"/>
      <c r="J151" s="1810"/>
      <c r="K151" s="1810"/>
      <c r="L151" s="1811"/>
      <c r="M151" s="9"/>
      <c r="N151" s="162" t="str">
        <f t="shared" si="74"/>
        <v>►</v>
      </c>
      <c r="O151" s="1616"/>
      <c r="P151" s="9"/>
      <c r="Q151" s="25" t="s">
        <v>15</v>
      </c>
      <c r="R151" s="31"/>
      <c r="S151" s="32"/>
      <c r="T151" s="31"/>
      <c r="U151" s="33"/>
      <c r="V151" s="1967"/>
      <c r="W151" s="1805"/>
      <c r="X151" s="91"/>
      <c r="Y151" s="1806"/>
      <c r="Z151" s="1968"/>
      <c r="AA151" s="2244"/>
      <c r="AB151" s="1969"/>
      <c r="AC151" s="1365"/>
      <c r="AD151" s="95"/>
      <c r="AE151" s="1326"/>
      <c r="AF151" s="97"/>
      <c r="AG151" s="1737"/>
      <c r="AH151" s="1970"/>
      <c r="AI151" s="99"/>
      <c r="AJ151" s="1809"/>
      <c r="AK151" s="6120" t="str">
        <f t="shared" si="75"/>
        <v>►</v>
      </c>
      <c r="AL151" s="781" t="str">
        <f t="shared" ref="AL151:AL214" si="77">IF(OR(AU151&gt;0,TRIM(AM151)="▼ recette suivante"),"A","►")</f>
        <v>►</v>
      </c>
      <c r="AM151" s="5499" t="str">
        <f t="shared" si="57"/>
        <v/>
      </c>
      <c r="AN151" s="783" t="str">
        <f t="shared" si="58"/>
        <v/>
      </c>
      <c r="AO151" s="782" t="str">
        <f t="shared" si="59"/>
        <v/>
      </c>
      <c r="AP151" s="783" t="str">
        <f t="shared" si="60"/>
        <v/>
      </c>
      <c r="AQ151" s="2083" t="b">
        <f>AND(Q151="A",COUNTIF(BP16:BR63,TRIM(Z151))&gt;0)</f>
        <v>0</v>
      </c>
      <c r="AR151" s="797" t="str">
        <f>IF(AL151&lt;&gt;"A","",IFERROR(IFERROR(_xlfn.XLOOKUP(TRIM(SUBSTITUTE(Z151,CHAR(160)," ")),BP16:BP63,BS16:BS63),IFERROR(_xlfn.XLOOKUP(TRIM(SUBSTITUTE(Z151,CHAR(160)," ")),BQ16:BQ63,BS16:BS63),_xlfn.XLOOKUP(TRIM(SUBSTITUTE(Z151,CHAR(160)," ")),BR16:BR63,BS16:BS63)))*Y151*IF(ISBLANK(V151),1,V151),0))</f>
        <v/>
      </c>
      <c r="AS151" s="784" t="str">
        <f t="shared" si="73"/>
        <v/>
      </c>
      <c r="AT151" s="1315" t="str">
        <f t="shared" si="61"/>
        <v/>
      </c>
      <c r="AU151" s="785">
        <f t="shared" si="62"/>
        <v>0</v>
      </c>
      <c r="AV151" s="785">
        <f t="shared" si="63"/>
        <v>0</v>
      </c>
      <c r="AW151" s="786">
        <f>IF(AK151="A",AY10,0)</f>
        <v>0</v>
      </c>
      <c r="AX151" s="5495" t="str">
        <f>IF(IFERROR(SEARCH("Adresse PC",TRIM(W151)),0)&gt;0,"▼ receta siguiente",IF(AK151="A",IF(AZ10&lt;&gt;"",AZ10&amp;" - ou.or.o ❾ + or - &gt;",""),""))</f>
        <v/>
      </c>
      <c r="AY151" s="810"/>
      <c r="AZ151" s="810"/>
      <c r="BA151" s="788" t="str">
        <f t="shared" si="76"/>
        <v/>
      </c>
      <c r="BB151" s="789" t="str">
        <f>IF(AK151="A",IF(AQ151,IF(AND(AW151&lt;&gt;"",N(AW151)&gt;0),IFERROR(IFERROR(_xlfn.XLOOKUP(AP151,BP10:BP57,BT10:BT57),IFERROR(_xlfn.XLOOKUP(AP151,BQ10:BQ57,BT10:BT57),_xlfn.XLOOKUP(AP151,BR10:BR57,BT10:BT57,""))),""),""),""),"")</f>
        <v/>
      </c>
      <c r="BC151" s="811" cm="1">
        <f t="array" ref="BC151">IF(NOT(AQ151),0,IF(OR(BA151="",N(BA151)&lt;=0.000000001),"",IF(OR(AU151="",N(AU151)&lt;=0.000000001),0,IF(ISNUMBER(BA151),IFERROR(_xlfn.LET(_xlpm.ai_test,TRIM(AP151),_xlpm.r,IFERROR(_xlfn.XLOOKUP(_xlpm.ai_test,BP16:BP63,ROW(BP16:BP63),0,1),IFERROR(_xlfn.XLOOKUP(_xlpm.ai_test,BQ16:BQ63,ROW(BQ16:BQ63),0,1),_xlfn.XLOOKUP(_xlpm.ai_test,BR16:BR63,ROW(BR16:BR63),0,1))),_xlpm.p,_xlpm.r-MIN(ROW(BP16:BP63))+1,_xlpm.f,INDEX(BS16:BS63,_xlpm.p),_xlpm.u,INDEX(BT16:BT63,_xlpm.p),_xlpm.s,INDEX(BV16:BV63,_xlpm.p),_xlpm.q,N(BA151)/_xlpm.f,IF(_xlpm.q&gt;=_xlpm.s,ROUND(_xlpm.q,1)&amp;" "&amp;_xlpm.ai_test&amp;" = "&amp;ROUND(_xlpm.q*_xlpm.f,1)&amp;" "&amp;_xlpm.u,ROUND(_xlpm.q,1)&amp;" "&amp;_xlpm.ai_test)),""),""))))</f>
        <v>0</v>
      </c>
      <c r="BD151" s="801"/>
      <c r="BE151" s="788" t="str">
        <f t="shared" si="64"/>
        <v/>
      </c>
      <c r="BF151" s="789" t="str">
        <f t="shared" si="65"/>
        <v/>
      </c>
      <c r="BG151" s="790">
        <f t="shared" si="70"/>
        <v>0</v>
      </c>
      <c r="BH151" s="791" t="str">
        <f t="shared" si="71"/>
        <v/>
      </c>
      <c r="BI151" s="792"/>
      <c r="BJ151" s="793">
        <f t="shared" si="69"/>
        <v>0</v>
      </c>
      <c r="BK151" s="794" t="str">
        <f t="shared" si="66"/>
        <v/>
      </c>
      <c r="BL151" s="227" t="s">
        <v>21</v>
      </c>
      <c r="BM151" s="773">
        <f t="shared" ref="BM151:BM214" si="78">IFERROR(_xlfn.LET(_xlpm.EPS,0.000000001,_xlpm.b,V151/AU151,IF(ISNUMBER(AY151),_xlpm.b*AY151,IF(OR(ISBLANK(AY151),AY151=""),_xlpm.b*AW151,IF(AND(BN151=0,ISNUMBER(V151)),_xlpm.b/AW151,0)))),0)</f>
        <v>0</v>
      </c>
      <c r="BN151" s="774">
        <f t="shared" ref="BN151:BN214" si="79">IF(AR151&gt;0,IFERROR(IF(OR(ISBLANK(AY151),AY151=""),AW151,AY151)/AU151,0),0)</f>
        <v>0</v>
      </c>
      <c r="BO151"/>
      <c r="BX151"/>
      <c r="BY151"/>
      <c r="BZ151"/>
      <c r="CA151"/>
      <c r="CB151"/>
      <c r="CC151"/>
      <c r="CD151" s="781" t="str">
        <f t="shared" si="72"/>
        <v>►</v>
      </c>
      <c r="CE151"/>
      <c r="CF151"/>
      <c r="CG151"/>
      <c r="CH151"/>
      <c r="CI151"/>
      <c r="CJ151" s="633"/>
      <c r="DI151" s="3">
        <v>1</v>
      </c>
    </row>
    <row r="152" spans="1:113" s="627" customFormat="1" ht="21" customHeight="1">
      <c r="A152" s="701" t="s">
        <v>21</v>
      </c>
      <c r="B152" s="2265" t="str" cm="1">
        <f t="array" ref="B152">SUMPRODUCT(--(D152:J152&lt;&gt;""), LEN(TRIM(SUBSTITUTE(D152:J152, CHAR(160), "")))) &amp; " Car."</f>
        <v>0 Car.</v>
      </c>
      <c r="C152" s="1376" t="str">
        <f>IF(ISBLANK(D152),"",LARGE(C13:C151,1)+1)</f>
        <v/>
      </c>
      <c r="D152" s="1833"/>
      <c r="E152" s="1810"/>
      <c r="F152" s="1810"/>
      <c r="G152" s="1810"/>
      <c r="H152" s="1810"/>
      <c r="I152" s="1810"/>
      <c r="J152" s="1810"/>
      <c r="K152" s="1810"/>
      <c r="L152" s="1811"/>
      <c r="M152" s="9"/>
      <c r="N152" s="162" t="str">
        <f t="shared" si="74"/>
        <v>►</v>
      </c>
      <c r="O152" s="1616"/>
      <c r="P152" s="9"/>
      <c r="Q152" s="25" t="s">
        <v>15</v>
      </c>
      <c r="R152" s="31"/>
      <c r="S152" s="32"/>
      <c r="T152" s="31"/>
      <c r="U152" s="33"/>
      <c r="V152" s="1967"/>
      <c r="W152" s="1805"/>
      <c r="X152" s="91"/>
      <c r="Y152" s="1806"/>
      <c r="Z152" s="1968"/>
      <c r="AA152" s="2244"/>
      <c r="AB152" s="1969"/>
      <c r="AC152" s="1365"/>
      <c r="AD152" s="95"/>
      <c r="AE152" s="1326"/>
      <c r="AF152" s="97"/>
      <c r="AG152" s="1737"/>
      <c r="AH152" s="1970"/>
      <c r="AI152" s="99"/>
      <c r="AJ152" s="1809"/>
      <c r="AK152" s="6120" t="str">
        <f t="shared" si="75"/>
        <v>►</v>
      </c>
      <c r="AL152" s="781" t="str">
        <f t="shared" si="77"/>
        <v>►</v>
      </c>
      <c r="AM152" s="5498" t="str">
        <f t="shared" ref="AM152:AM215" si="80">IF(IFERROR(SEARCH("Adresse PC",TRIM(SUBSTITUTE(W152,CHAR(160)," "))),0)&gt;0,"▼ recette suivante",IF(AK152="A",R152,""))</f>
        <v/>
      </c>
      <c r="AN152" s="783" t="str">
        <f t="shared" ref="AN152:AN215" si="81">IF(AK152="A",S152,"")</f>
        <v/>
      </c>
      <c r="AO152" s="782" t="str">
        <f t="shared" ref="AO152:AO215" si="82">IF(AK152="A",T152,"")</f>
        <v/>
      </c>
      <c r="AP152" s="783" t="str">
        <f t="shared" ref="AP152:AP215" si="83">IF(AK152="A",Z152,"")</f>
        <v/>
      </c>
      <c r="AQ152" s="2083" t="b">
        <f>AND(Q152="A",COUNTIF(BP16:BR63,TRIM(Z152))&gt;0)</f>
        <v>0</v>
      </c>
      <c r="AR152" s="797" t="str">
        <f>IF(AL152&lt;&gt;"A","",IFERROR(IFERROR(_xlfn.XLOOKUP(TRIM(SUBSTITUTE(Z152,CHAR(160)," ")),BP16:BP63,BS16:BS63),IFERROR(_xlfn.XLOOKUP(TRIM(SUBSTITUTE(Z152,CHAR(160)," ")),BQ16:BQ63,BS16:BS63),_xlfn.XLOOKUP(TRIM(SUBSTITUTE(Z152,CHAR(160)," ")),BR16:BR63,BS16:BS63)))*Y152*IF(ISBLANK(V152),1,V152),0))</f>
        <v/>
      </c>
      <c r="AS152" s="784" t="str">
        <f t="shared" si="73"/>
        <v/>
      </c>
      <c r="AT152" s="1315" t="str">
        <f t="shared" ref="AT152:AT215" si="84">IF(AK152="A","❾ Author reference &gt;","")</f>
        <v/>
      </c>
      <c r="AU152" s="785">
        <f t="shared" ref="AU152:AU215" si="85">IF(AK152="A",S152,0)</f>
        <v>0</v>
      </c>
      <c r="AV152" s="785">
        <f t="shared" ref="AV152:AV215" si="86">IF(AK152="A",T152,0)</f>
        <v>0</v>
      </c>
      <c r="AW152" s="798">
        <f>IF(AK152="A",AY10,0)</f>
        <v>0</v>
      </c>
      <c r="AX152" s="5496" t="str">
        <f>IF(IFERROR(SEARCH("Adresse PC",TRIM(W152)),0)&gt;0,"▼ receta siguiente",IF(AK152="A",IF(AZ10&lt;&gt;"",AZ10&amp;" - ou.or.o ❾ + or - &gt;",""),""))</f>
        <v/>
      </c>
      <c r="AY152" s="810"/>
      <c r="AZ152" s="810"/>
      <c r="BA152" s="799" t="str">
        <f t="shared" si="76"/>
        <v/>
      </c>
      <c r="BB152" s="800" t="str">
        <f>IF(AK152="A",IF(AQ152,IF(AND(AW152&lt;&gt;"",N(AW152)&gt;0),IFERROR(IFERROR(_xlfn.XLOOKUP(AP152,BP10:BP57,BT10:BT57),IFERROR(_xlfn.XLOOKUP(AP152,BQ10:BQ57,BT10:BT57),_xlfn.XLOOKUP(AP152,BR10:BR57,BT10:BT57,""))),""),""),""),"")</f>
        <v/>
      </c>
      <c r="BC152" s="813" cm="1">
        <f t="array" ref="BC152">IF(NOT(AQ152),0,IF(OR(BA152="",N(BA152)&lt;=0.000000001),"",IF(OR(AU152="",N(AU152)&lt;=0.000000001),0,IF(ISNUMBER(BA152),IFERROR(_xlfn.LET(_xlpm.ai_test,TRIM(AP152),_xlpm.r,IFERROR(_xlfn.XLOOKUP(_xlpm.ai_test,BP16:BP63,ROW(BP16:BP63),0,1),IFERROR(_xlfn.XLOOKUP(_xlpm.ai_test,BQ16:BQ63,ROW(BQ16:BQ63),0,1),_xlfn.XLOOKUP(_xlpm.ai_test,BR16:BR63,ROW(BR16:BR63),0,1))),_xlpm.p,_xlpm.r-MIN(ROW(BP16:BP63))+1,_xlpm.f,INDEX(BS16:BS63,_xlpm.p),_xlpm.u,INDEX(BT16:BT63,_xlpm.p),_xlpm.s,INDEX(BV16:BV63,_xlpm.p),_xlpm.q,N(BA152)/_xlpm.f,IF(_xlpm.q&gt;=_xlpm.s,ROUND(_xlpm.q,1)&amp;" "&amp;_xlpm.ai_test&amp;" = "&amp;ROUND(_xlpm.q*_xlpm.f,1)&amp;" "&amp;_xlpm.u,ROUND(_xlpm.q,1)&amp;" "&amp;_xlpm.ai_test)),""),""))))</f>
        <v>0</v>
      </c>
      <c r="BD152" s="801"/>
      <c r="BE152" s="799" t="str">
        <f t="shared" ref="BE152:BE215" si="87">IF(IFERROR(SEARCH("Adresse PC",TRIM(W152)),0)&gt;0,"▼next ricipe ",IF(BA152="","",IF(AK152="A",IF(ISBLANK(BD152),BA152,ROUND(BA152*(1-MIN(1,MAX(0,IF(BD152&gt;1,BD152/100,BD152)))),3)))))</f>
        <v/>
      </c>
      <c r="BF152" s="800" t="str">
        <f t="shared" ref="BF152:BF215" si="88">IF(AQ152,BB152,"")</f>
        <v/>
      </c>
      <c r="BG152" s="802">
        <f t="shared" si="70"/>
        <v>0</v>
      </c>
      <c r="BH152" s="803" t="str">
        <f t="shared" si="71"/>
        <v/>
      </c>
      <c r="BI152" s="792"/>
      <c r="BJ152" s="804">
        <f t="shared" si="69"/>
        <v>0</v>
      </c>
      <c r="BK152" s="794" t="str">
        <f t="shared" ref="BK152:BK215" si="89">IF(AK152="A",IF(IFERROR(SEARCH("Adresse PC",TRIM(W152)),0)&gt;0,"▼recette suivante ",IF(BE152&gt;0,AC152,"")),"")</f>
        <v/>
      </c>
      <c r="BL152" s="227" t="s">
        <v>21</v>
      </c>
      <c r="BM152" s="773">
        <f t="shared" si="78"/>
        <v>0</v>
      </c>
      <c r="BN152" s="774">
        <f t="shared" si="79"/>
        <v>0</v>
      </c>
      <c r="BO152"/>
      <c r="BX152"/>
      <c r="BY152"/>
      <c r="BZ152"/>
      <c r="CA152"/>
      <c r="CB152"/>
      <c r="CC152"/>
      <c r="CD152" s="781" t="str">
        <f t="shared" si="72"/>
        <v>►</v>
      </c>
      <c r="CE152"/>
      <c r="CF152"/>
      <c r="CG152"/>
      <c r="CH152"/>
      <c r="CI152"/>
      <c r="CJ152" s="633"/>
      <c r="DI152" s="3">
        <v>1</v>
      </c>
    </row>
    <row r="153" spans="1:113" s="627" customFormat="1" ht="21" customHeight="1">
      <c r="A153" s="701" t="s">
        <v>21</v>
      </c>
      <c r="B153" s="2265" t="str" cm="1">
        <f t="array" ref="B153">SUMPRODUCT(--(D153:J153&lt;&gt;""), LEN(TRIM(SUBSTITUTE(D153:J153, CHAR(160), "")))) &amp; " Car."</f>
        <v>0 Car.</v>
      </c>
      <c r="C153" s="1376" t="str">
        <f>IF(ISBLANK(D153),"",LARGE(C13:C152,1)+1)</f>
        <v/>
      </c>
      <c r="D153" s="1833"/>
      <c r="E153" s="1810"/>
      <c r="F153" s="1810"/>
      <c r="G153" s="1810"/>
      <c r="H153" s="1810"/>
      <c r="I153" s="1810"/>
      <c r="J153" s="1810"/>
      <c r="K153" s="1810"/>
      <c r="L153" s="1811"/>
      <c r="M153" s="9"/>
      <c r="N153" s="162" t="str">
        <f t="shared" si="74"/>
        <v>►</v>
      </c>
      <c r="O153" s="1616"/>
      <c r="P153" s="9"/>
      <c r="Q153" s="25" t="s">
        <v>15</v>
      </c>
      <c r="R153" s="31"/>
      <c r="S153" s="32"/>
      <c r="T153" s="31"/>
      <c r="U153" s="33"/>
      <c r="V153" s="1967"/>
      <c r="W153" s="1805"/>
      <c r="X153" s="91"/>
      <c r="Y153" s="1806"/>
      <c r="Z153" s="1968"/>
      <c r="AA153" s="2244"/>
      <c r="AB153" s="1969"/>
      <c r="AC153" s="1365"/>
      <c r="AD153" s="95"/>
      <c r="AE153" s="1326"/>
      <c r="AF153" s="97"/>
      <c r="AG153" s="1737"/>
      <c r="AH153" s="1970"/>
      <c r="AI153" s="99"/>
      <c r="AJ153" s="1809"/>
      <c r="AK153" s="6120" t="str">
        <f t="shared" si="75"/>
        <v>►</v>
      </c>
      <c r="AL153" s="781" t="str">
        <f t="shared" si="77"/>
        <v>►</v>
      </c>
      <c r="AM153" s="5499" t="str">
        <f t="shared" si="80"/>
        <v/>
      </c>
      <c r="AN153" s="783" t="str">
        <f t="shared" si="81"/>
        <v/>
      </c>
      <c r="AO153" s="782" t="str">
        <f t="shared" si="82"/>
        <v/>
      </c>
      <c r="AP153" s="783" t="str">
        <f t="shared" si="83"/>
        <v/>
      </c>
      <c r="AQ153" s="2083" t="b">
        <f>AND(Q153="A",COUNTIF(BP16:BR63,TRIM(Z153))&gt;0)</f>
        <v>0</v>
      </c>
      <c r="AR153" s="797" t="str">
        <f>IF(AL153&lt;&gt;"A","",IFERROR(IFERROR(_xlfn.XLOOKUP(TRIM(SUBSTITUTE(Z153,CHAR(160)," ")),BP16:BP63,BS16:BS63),IFERROR(_xlfn.XLOOKUP(TRIM(SUBSTITUTE(Z153,CHAR(160)," ")),BQ16:BQ63,BS16:BS63),_xlfn.XLOOKUP(TRIM(SUBSTITUTE(Z153,CHAR(160)," ")),BR16:BR63,BS16:BS63)))*Y153*IF(ISBLANK(V153),1,V153),0))</f>
        <v/>
      </c>
      <c r="AS153" s="784" t="str">
        <f t="shared" si="73"/>
        <v/>
      </c>
      <c r="AT153" s="1315" t="str">
        <f t="shared" si="84"/>
        <v/>
      </c>
      <c r="AU153" s="785">
        <f t="shared" si="85"/>
        <v>0</v>
      </c>
      <c r="AV153" s="785">
        <f t="shared" si="86"/>
        <v>0</v>
      </c>
      <c r="AW153" s="786">
        <f>IF(AK153="A",AY10,0)</f>
        <v>0</v>
      </c>
      <c r="AX153" s="5495" t="str">
        <f>IF(IFERROR(SEARCH("Adresse PC",TRIM(W153)),0)&gt;0,"▼ receta siguiente",IF(AK153="A",IF(AZ10&lt;&gt;"",AZ10&amp;" - ou.or.o ❾ + or - &gt;",""),""))</f>
        <v/>
      </c>
      <c r="AY153" s="810"/>
      <c r="AZ153" s="810"/>
      <c r="BA153" s="788" t="str">
        <f t="shared" si="76"/>
        <v/>
      </c>
      <c r="BB153" s="789" t="str">
        <f>IF(AK153="A",IF(AQ153,IF(AND(AW153&lt;&gt;"",N(AW153)&gt;0),IFERROR(IFERROR(_xlfn.XLOOKUP(AP153,BP10:BP57,BT10:BT57),IFERROR(_xlfn.XLOOKUP(AP153,BQ10:BQ57,BT10:BT57),_xlfn.XLOOKUP(AP153,BR10:BR57,BT10:BT57,""))),""),""),""),"")</f>
        <v/>
      </c>
      <c r="BC153" s="811" cm="1">
        <f t="array" ref="BC153">IF(NOT(AQ153),0,IF(OR(BA153="",N(BA153)&lt;=0.000000001),"",IF(OR(AU153="",N(AU153)&lt;=0.000000001),0,IF(ISNUMBER(BA153),IFERROR(_xlfn.LET(_xlpm.ai_test,TRIM(AP153),_xlpm.r,IFERROR(_xlfn.XLOOKUP(_xlpm.ai_test,BP16:BP63,ROW(BP16:BP63),0,1),IFERROR(_xlfn.XLOOKUP(_xlpm.ai_test,BQ16:BQ63,ROW(BQ16:BQ63),0,1),_xlfn.XLOOKUP(_xlpm.ai_test,BR16:BR63,ROW(BR16:BR63),0,1))),_xlpm.p,_xlpm.r-MIN(ROW(BP16:BP63))+1,_xlpm.f,INDEX(BS16:BS63,_xlpm.p),_xlpm.u,INDEX(BT16:BT63,_xlpm.p),_xlpm.s,INDEX(BV16:BV63,_xlpm.p),_xlpm.q,N(BA153)/_xlpm.f,IF(_xlpm.q&gt;=_xlpm.s,ROUND(_xlpm.q,1)&amp;" "&amp;_xlpm.ai_test&amp;" = "&amp;ROUND(_xlpm.q*_xlpm.f,1)&amp;" "&amp;_xlpm.u,ROUND(_xlpm.q,1)&amp;" "&amp;_xlpm.ai_test)),""),""))))</f>
        <v>0</v>
      </c>
      <c r="BD153" s="801"/>
      <c r="BE153" s="788" t="str">
        <f t="shared" si="87"/>
        <v/>
      </c>
      <c r="BF153" s="789" t="str">
        <f t="shared" si="88"/>
        <v/>
      </c>
      <c r="BG153" s="790">
        <f t="shared" si="70"/>
        <v>0</v>
      </c>
      <c r="BH153" s="791" t="str">
        <f t="shared" si="71"/>
        <v/>
      </c>
      <c r="BI153" s="792"/>
      <c r="BJ153" s="793">
        <f t="shared" si="69"/>
        <v>0</v>
      </c>
      <c r="BK153" s="794" t="str">
        <f t="shared" si="89"/>
        <v/>
      </c>
      <c r="BL153" s="227" t="s">
        <v>21</v>
      </c>
      <c r="BM153" s="773">
        <f t="shared" si="78"/>
        <v>0</v>
      </c>
      <c r="BN153" s="774">
        <f t="shared" si="79"/>
        <v>0</v>
      </c>
      <c r="BO153"/>
      <c r="BX153"/>
      <c r="BY153"/>
      <c r="BZ153"/>
      <c r="CA153"/>
      <c r="CB153"/>
      <c r="CC153"/>
      <c r="CD153" s="781" t="str">
        <f t="shared" si="72"/>
        <v>►</v>
      </c>
      <c r="CE153"/>
      <c r="CF153"/>
      <c r="CG153"/>
      <c r="CH153"/>
      <c r="CI153"/>
      <c r="CJ153" s="633"/>
      <c r="DI153" s="3">
        <v>1</v>
      </c>
    </row>
    <row r="154" spans="1:113" s="627" customFormat="1" ht="21" customHeight="1">
      <c r="A154" s="701" t="s">
        <v>21</v>
      </c>
      <c r="B154" s="2265" t="str" cm="1">
        <f t="array" ref="B154">SUMPRODUCT(--(D154:J154&lt;&gt;""), LEN(TRIM(SUBSTITUTE(D154:J154, CHAR(160), "")))) &amp; " Car."</f>
        <v>0 Car.</v>
      </c>
      <c r="C154" s="1376" t="str">
        <f>IF(ISBLANK(D154),"",LARGE(C13:C153,1)+1)</f>
        <v/>
      </c>
      <c r="D154" s="1833"/>
      <c r="E154" s="1810"/>
      <c r="F154" s="1810"/>
      <c r="G154" s="1810"/>
      <c r="H154" s="1810"/>
      <c r="I154" s="1810"/>
      <c r="J154" s="1810"/>
      <c r="K154" s="1810"/>
      <c r="L154" s="1811"/>
      <c r="M154" s="9"/>
      <c r="N154" s="162" t="str">
        <f t="shared" si="74"/>
        <v>►</v>
      </c>
      <c r="O154" s="1616"/>
      <c r="P154" s="9"/>
      <c r="Q154" s="25" t="s">
        <v>15</v>
      </c>
      <c r="R154" s="31"/>
      <c r="S154" s="32"/>
      <c r="T154" s="31"/>
      <c r="U154" s="33"/>
      <c r="V154" s="1967"/>
      <c r="W154" s="1805"/>
      <c r="X154" s="91"/>
      <c r="Y154" s="1806"/>
      <c r="Z154" s="1968"/>
      <c r="AA154" s="2244"/>
      <c r="AB154" s="1969"/>
      <c r="AC154" s="1365"/>
      <c r="AD154" s="95"/>
      <c r="AE154" s="1326"/>
      <c r="AF154" s="97"/>
      <c r="AG154" s="1737"/>
      <c r="AH154" s="1970"/>
      <c r="AI154" s="99"/>
      <c r="AJ154" s="1809"/>
      <c r="AK154" s="6120" t="str">
        <f t="shared" si="75"/>
        <v>►</v>
      </c>
      <c r="AL154" s="781" t="str">
        <f t="shared" si="77"/>
        <v>►</v>
      </c>
      <c r="AM154" s="5498" t="str">
        <f t="shared" si="80"/>
        <v/>
      </c>
      <c r="AN154" s="783" t="str">
        <f t="shared" si="81"/>
        <v/>
      </c>
      <c r="AO154" s="782" t="str">
        <f t="shared" si="82"/>
        <v/>
      </c>
      <c r="AP154" s="783" t="str">
        <f t="shared" si="83"/>
        <v/>
      </c>
      <c r="AQ154" s="2083" t="b">
        <f>AND(Q154="A",COUNTIF(BP16:BR63,TRIM(Z154))&gt;0)</f>
        <v>0</v>
      </c>
      <c r="AR154" s="797" t="str">
        <f>IF(AL154&lt;&gt;"A","",IFERROR(IFERROR(_xlfn.XLOOKUP(TRIM(SUBSTITUTE(Z154,CHAR(160)," ")),BP16:BP63,BS16:BS63),IFERROR(_xlfn.XLOOKUP(TRIM(SUBSTITUTE(Z154,CHAR(160)," ")),BQ16:BQ63,BS16:BS63),_xlfn.XLOOKUP(TRIM(SUBSTITUTE(Z154,CHAR(160)," ")),BR16:BR63,BS16:BS63)))*Y154*IF(ISBLANK(V154),1,V154),0))</f>
        <v/>
      </c>
      <c r="AS154" s="784" t="str">
        <f t="shared" si="73"/>
        <v/>
      </c>
      <c r="AT154" s="1315" t="str">
        <f t="shared" si="84"/>
        <v/>
      </c>
      <c r="AU154" s="785">
        <f t="shared" si="85"/>
        <v>0</v>
      </c>
      <c r="AV154" s="785">
        <f t="shared" si="86"/>
        <v>0</v>
      </c>
      <c r="AW154" s="798">
        <f>IF(AK154="A",AY10,0)</f>
        <v>0</v>
      </c>
      <c r="AX154" s="5496" t="str">
        <f>IF(IFERROR(SEARCH("Adresse PC",TRIM(W154)),0)&gt;0,"▼ receta siguiente",IF(AK154="A",IF(AZ10&lt;&gt;"",AZ10&amp;" - ou.or.o ❾ + or - &gt;",""),""))</f>
        <v/>
      </c>
      <c r="AY154" s="810"/>
      <c r="AZ154" s="810"/>
      <c r="BA154" s="799" t="str">
        <f t="shared" si="76"/>
        <v/>
      </c>
      <c r="BB154" s="800" t="str">
        <f>IF(AK154="A",IF(AQ154,IF(AND(AW154&lt;&gt;"",N(AW154)&gt;0),IFERROR(IFERROR(_xlfn.XLOOKUP(AP154,BP10:BP57,BT10:BT57),IFERROR(_xlfn.XLOOKUP(AP154,BQ10:BQ57,BT10:BT57),_xlfn.XLOOKUP(AP154,BR10:BR57,BT10:BT57,""))),""),""),""),"")</f>
        <v/>
      </c>
      <c r="BC154" s="813" cm="1">
        <f t="array" ref="BC154">IF(NOT(AQ154),0,IF(OR(BA154="",N(BA154)&lt;=0.000000001),"",IF(OR(AU154="",N(AU154)&lt;=0.000000001),0,IF(ISNUMBER(BA154),IFERROR(_xlfn.LET(_xlpm.ai_test,TRIM(AP154),_xlpm.r,IFERROR(_xlfn.XLOOKUP(_xlpm.ai_test,BP16:BP63,ROW(BP16:BP63),0,1),IFERROR(_xlfn.XLOOKUP(_xlpm.ai_test,BQ16:BQ63,ROW(BQ16:BQ63),0,1),_xlfn.XLOOKUP(_xlpm.ai_test,BR16:BR63,ROW(BR16:BR63),0,1))),_xlpm.p,_xlpm.r-MIN(ROW(BP16:BP63))+1,_xlpm.f,INDEX(BS16:BS63,_xlpm.p),_xlpm.u,INDEX(BT16:BT63,_xlpm.p),_xlpm.s,INDEX(BV16:BV63,_xlpm.p),_xlpm.q,N(BA154)/_xlpm.f,IF(_xlpm.q&gt;=_xlpm.s,ROUND(_xlpm.q,1)&amp;" "&amp;_xlpm.ai_test&amp;" = "&amp;ROUND(_xlpm.q*_xlpm.f,1)&amp;" "&amp;_xlpm.u,ROUND(_xlpm.q,1)&amp;" "&amp;_xlpm.ai_test)),""),""))))</f>
        <v>0</v>
      </c>
      <c r="BD154" s="801"/>
      <c r="BE154" s="799" t="str">
        <f t="shared" si="87"/>
        <v/>
      </c>
      <c r="BF154" s="800" t="str">
        <f t="shared" si="88"/>
        <v/>
      </c>
      <c r="BG154" s="802">
        <f t="shared" si="70"/>
        <v>0</v>
      </c>
      <c r="BH154" s="803" t="str">
        <f t="shared" si="71"/>
        <v/>
      </c>
      <c r="BI154" s="792"/>
      <c r="BJ154" s="804">
        <f t="shared" si="69"/>
        <v>0</v>
      </c>
      <c r="BK154" s="794" t="str">
        <f t="shared" si="89"/>
        <v/>
      </c>
      <c r="BL154" s="227" t="s">
        <v>21</v>
      </c>
      <c r="BM154" s="773">
        <f t="shared" si="78"/>
        <v>0</v>
      </c>
      <c r="BN154" s="774">
        <f t="shared" si="79"/>
        <v>0</v>
      </c>
      <c r="BO154"/>
      <c r="BX154"/>
      <c r="BY154"/>
      <c r="BZ154"/>
      <c r="CA154"/>
      <c r="CB154"/>
      <c r="CC154"/>
      <c r="CD154" s="781" t="str">
        <f t="shared" si="72"/>
        <v>►</v>
      </c>
      <c r="CE154"/>
      <c r="CF154"/>
      <c r="CG154"/>
      <c r="CH154"/>
      <c r="CI154"/>
      <c r="CJ154" s="633"/>
      <c r="DI154" s="3">
        <v>1</v>
      </c>
    </row>
    <row r="155" spans="1:113" s="627" customFormat="1" ht="21" customHeight="1">
      <c r="A155" s="701" t="s">
        <v>21</v>
      </c>
      <c r="B155" s="2265" t="str" cm="1">
        <f t="array" ref="B155">SUMPRODUCT(--(D155:J155&lt;&gt;""), LEN(TRIM(SUBSTITUTE(D155:J155, CHAR(160), "")))) &amp; " Car."</f>
        <v>0 Car.</v>
      </c>
      <c r="C155" s="1376" t="str">
        <f>IF(ISBLANK(D155),"",LARGE(C13:C154,1)+1)</f>
        <v/>
      </c>
      <c r="D155" s="1833"/>
      <c r="E155" s="1810"/>
      <c r="F155" s="1810"/>
      <c r="G155" s="1810"/>
      <c r="H155" s="1810"/>
      <c r="I155" s="1810"/>
      <c r="J155" s="1810"/>
      <c r="K155" s="1810"/>
      <c r="L155" s="1811"/>
      <c r="M155" s="9"/>
      <c r="N155" s="162" t="str">
        <f t="shared" si="74"/>
        <v>►</v>
      </c>
      <c r="O155" s="1616"/>
      <c r="P155" s="9"/>
      <c r="Q155" s="25" t="s">
        <v>15</v>
      </c>
      <c r="R155" s="31"/>
      <c r="S155" s="32"/>
      <c r="T155" s="31"/>
      <c r="U155" s="33"/>
      <c r="V155" s="1967"/>
      <c r="W155" s="1805"/>
      <c r="X155" s="91"/>
      <c r="Y155" s="1806"/>
      <c r="Z155" s="1968"/>
      <c r="AA155" s="2244"/>
      <c r="AB155" s="1969"/>
      <c r="AC155" s="1365"/>
      <c r="AD155" s="95"/>
      <c r="AE155" s="1326"/>
      <c r="AF155" s="97"/>
      <c r="AG155" s="1737"/>
      <c r="AH155" s="1970"/>
      <c r="AI155" s="99"/>
      <c r="AJ155" s="1809"/>
      <c r="AK155" s="6120" t="str">
        <f t="shared" si="75"/>
        <v>►</v>
      </c>
      <c r="AL155" s="781" t="str">
        <f t="shared" si="77"/>
        <v>►</v>
      </c>
      <c r="AM155" s="5499" t="str">
        <f t="shared" si="80"/>
        <v/>
      </c>
      <c r="AN155" s="783" t="str">
        <f t="shared" si="81"/>
        <v/>
      </c>
      <c r="AO155" s="782" t="str">
        <f t="shared" si="82"/>
        <v/>
      </c>
      <c r="AP155" s="783" t="str">
        <f t="shared" si="83"/>
        <v/>
      </c>
      <c r="AQ155" s="2083" t="b">
        <f>AND(Q155="A",COUNTIF(BP16:BR63,TRIM(Z155))&gt;0)</f>
        <v>0</v>
      </c>
      <c r="AR155" s="797" t="str">
        <f>IF(AL155&lt;&gt;"A","",IFERROR(IFERROR(_xlfn.XLOOKUP(TRIM(SUBSTITUTE(Z155,CHAR(160)," ")),BP16:BP63,BS16:BS63),IFERROR(_xlfn.XLOOKUP(TRIM(SUBSTITUTE(Z155,CHAR(160)," ")),BQ16:BQ63,BS16:BS63),_xlfn.XLOOKUP(TRIM(SUBSTITUTE(Z155,CHAR(160)," ")),BR16:BR63,BS16:BS63)))*Y155*IF(ISBLANK(V155),1,V155),0))</f>
        <v/>
      </c>
      <c r="AS155" s="784" t="str">
        <f t="shared" si="73"/>
        <v/>
      </c>
      <c r="AT155" s="1315" t="str">
        <f t="shared" si="84"/>
        <v/>
      </c>
      <c r="AU155" s="785">
        <f t="shared" si="85"/>
        <v>0</v>
      </c>
      <c r="AV155" s="785">
        <f t="shared" si="86"/>
        <v>0</v>
      </c>
      <c r="AW155" s="786">
        <f>IF(AK155="A",AY10,0)</f>
        <v>0</v>
      </c>
      <c r="AX155" s="5495" t="str">
        <f>IF(IFERROR(SEARCH("Adresse PC",TRIM(W155)),0)&gt;0,"▼ receta siguiente",IF(AK155="A",IF(AZ10&lt;&gt;"",AZ10&amp;" - ou.or.o ❾ + or - &gt;",""),""))</f>
        <v/>
      </c>
      <c r="AY155" s="810"/>
      <c r="AZ155" s="810"/>
      <c r="BA155" s="788" t="str">
        <f t="shared" si="76"/>
        <v/>
      </c>
      <c r="BB155" s="789" t="str">
        <f>IF(AK155="A",IF(AQ155,IF(AND(AW155&lt;&gt;"",N(AW155)&gt;0),IFERROR(IFERROR(_xlfn.XLOOKUP(AP155,BP10:BP57,BT10:BT57),IFERROR(_xlfn.XLOOKUP(AP155,BQ10:BQ57,BT10:BT57),_xlfn.XLOOKUP(AP155,BR10:BR57,BT10:BT57,""))),""),""),""),"")</f>
        <v/>
      </c>
      <c r="BC155" s="811" cm="1">
        <f t="array" ref="BC155">IF(NOT(AQ155),0,IF(OR(BA155="",N(BA155)&lt;=0.000000001),"",IF(OR(AU155="",N(AU155)&lt;=0.000000001),0,IF(ISNUMBER(BA155),IFERROR(_xlfn.LET(_xlpm.ai_test,TRIM(AP155),_xlpm.r,IFERROR(_xlfn.XLOOKUP(_xlpm.ai_test,BP16:BP63,ROW(BP16:BP63),0,1),IFERROR(_xlfn.XLOOKUP(_xlpm.ai_test,BQ16:BQ63,ROW(BQ16:BQ63),0,1),_xlfn.XLOOKUP(_xlpm.ai_test,BR16:BR63,ROW(BR16:BR63),0,1))),_xlpm.p,_xlpm.r-MIN(ROW(BP16:BP63))+1,_xlpm.f,INDEX(BS16:BS63,_xlpm.p),_xlpm.u,INDEX(BT16:BT63,_xlpm.p),_xlpm.s,INDEX(BV16:BV63,_xlpm.p),_xlpm.q,N(BA155)/_xlpm.f,IF(_xlpm.q&gt;=_xlpm.s,ROUND(_xlpm.q,1)&amp;" "&amp;_xlpm.ai_test&amp;" = "&amp;ROUND(_xlpm.q*_xlpm.f,1)&amp;" "&amp;_xlpm.u,ROUND(_xlpm.q,1)&amp;" "&amp;_xlpm.ai_test)),""),""))))</f>
        <v>0</v>
      </c>
      <c r="BD155" s="801"/>
      <c r="BE155" s="788" t="str">
        <f t="shared" si="87"/>
        <v/>
      </c>
      <c r="BF155" s="789" t="str">
        <f t="shared" si="88"/>
        <v/>
      </c>
      <c r="BG155" s="790">
        <f t="shared" si="70"/>
        <v>0</v>
      </c>
      <c r="BH155" s="791" t="str">
        <f t="shared" si="71"/>
        <v/>
      </c>
      <c r="BI155" s="792"/>
      <c r="BJ155" s="793">
        <f t="shared" si="69"/>
        <v>0</v>
      </c>
      <c r="BK155" s="794" t="str">
        <f t="shared" si="89"/>
        <v/>
      </c>
      <c r="BL155" s="227" t="s">
        <v>21</v>
      </c>
      <c r="BM155" s="773">
        <f t="shared" si="78"/>
        <v>0</v>
      </c>
      <c r="BN155" s="774">
        <f t="shared" si="79"/>
        <v>0</v>
      </c>
      <c r="BO155"/>
      <c r="BX155"/>
      <c r="BY155"/>
      <c r="BZ155"/>
      <c r="CA155"/>
      <c r="CB155"/>
      <c r="CC155"/>
      <c r="CD155" s="781" t="str">
        <f t="shared" si="72"/>
        <v>►</v>
      </c>
      <c r="CE155"/>
      <c r="CF155"/>
      <c r="CG155"/>
      <c r="CH155"/>
      <c r="CI155"/>
      <c r="CJ155" s="633"/>
      <c r="CK155"/>
      <c r="CL155"/>
      <c r="CM155"/>
      <c r="CN155"/>
      <c r="CO155"/>
      <c r="CP155"/>
      <c r="CQ155"/>
      <c r="CS155"/>
      <c r="CT155"/>
      <c r="CU155"/>
      <c r="CV155"/>
      <c r="CW155"/>
      <c r="CX155"/>
      <c r="CY155"/>
      <c r="DA155"/>
      <c r="DB155"/>
      <c r="DC155"/>
      <c r="DD155"/>
      <c r="DE155"/>
      <c r="DF155"/>
      <c r="DG155"/>
      <c r="DI155" s="3">
        <v>1</v>
      </c>
    </row>
    <row r="156" spans="1:113" s="627" customFormat="1" ht="21" customHeight="1">
      <c r="A156" s="701" t="s">
        <v>21</v>
      </c>
      <c r="B156" s="2265" t="str" cm="1">
        <f t="array" ref="B156">SUMPRODUCT(--(D156:J156&lt;&gt;""), LEN(TRIM(SUBSTITUTE(D156:J156, CHAR(160), "")))) &amp; " Car."</f>
        <v>0 Car.</v>
      </c>
      <c r="C156" s="1376" t="str">
        <f>IF(ISBLANK(D156),"",LARGE(C13:C155,1)+1)</f>
        <v/>
      </c>
      <c r="D156" s="1833"/>
      <c r="E156" s="1810"/>
      <c r="F156" s="1810"/>
      <c r="G156" s="1810"/>
      <c r="H156" s="1810"/>
      <c r="I156" s="1810"/>
      <c r="J156" s="1810"/>
      <c r="K156" s="1810"/>
      <c r="L156" s="1811"/>
      <c r="M156" s="9"/>
      <c r="N156" s="162" t="str">
        <f t="shared" si="74"/>
        <v>►</v>
      </c>
      <c r="O156" s="1616"/>
      <c r="P156" s="9"/>
      <c r="Q156" s="25" t="s">
        <v>15</v>
      </c>
      <c r="R156" s="31"/>
      <c r="S156" s="32"/>
      <c r="T156" s="31"/>
      <c r="U156" s="33"/>
      <c r="V156" s="1967"/>
      <c r="W156" s="1805"/>
      <c r="X156" s="91"/>
      <c r="Y156" s="1806"/>
      <c r="Z156" s="1968"/>
      <c r="AA156" s="2244"/>
      <c r="AB156" s="1969"/>
      <c r="AC156" s="1365"/>
      <c r="AD156" s="95"/>
      <c r="AE156" s="1326"/>
      <c r="AF156" s="97"/>
      <c r="AG156" s="1737"/>
      <c r="AH156" s="1970"/>
      <c r="AI156" s="99"/>
      <c r="AJ156" s="1809"/>
      <c r="AK156" s="6120" t="str">
        <f t="shared" si="75"/>
        <v>►</v>
      </c>
      <c r="AL156" s="781" t="str">
        <f t="shared" si="77"/>
        <v>►</v>
      </c>
      <c r="AM156" s="5498" t="str">
        <f t="shared" si="80"/>
        <v/>
      </c>
      <c r="AN156" s="783" t="str">
        <f t="shared" si="81"/>
        <v/>
      </c>
      <c r="AO156" s="782" t="str">
        <f t="shared" si="82"/>
        <v/>
      </c>
      <c r="AP156" s="783" t="str">
        <f t="shared" si="83"/>
        <v/>
      </c>
      <c r="AQ156" s="2083" t="b">
        <f>AND(Q156="A",COUNTIF(BP16:BR63,TRIM(Z156))&gt;0)</f>
        <v>0</v>
      </c>
      <c r="AR156" s="797" t="str">
        <f>IF(AL156&lt;&gt;"A","",IFERROR(IFERROR(_xlfn.XLOOKUP(TRIM(SUBSTITUTE(Z156,CHAR(160)," ")),BP16:BP63,BS16:BS63),IFERROR(_xlfn.XLOOKUP(TRIM(SUBSTITUTE(Z156,CHAR(160)," ")),BQ16:BQ63,BS16:BS63),_xlfn.XLOOKUP(TRIM(SUBSTITUTE(Z156,CHAR(160)," ")),BR16:BR63,BS16:BS63)))*Y156*IF(ISBLANK(V156),1,V156),0))</f>
        <v/>
      </c>
      <c r="AS156" s="784" t="str">
        <f t="shared" si="73"/>
        <v/>
      </c>
      <c r="AT156" s="1315" t="str">
        <f t="shared" si="84"/>
        <v/>
      </c>
      <c r="AU156" s="785">
        <f t="shared" si="85"/>
        <v>0</v>
      </c>
      <c r="AV156" s="785">
        <f t="shared" si="86"/>
        <v>0</v>
      </c>
      <c r="AW156" s="798">
        <f>IF(AK156="A",AY10,0)</f>
        <v>0</v>
      </c>
      <c r="AX156" s="5496" t="str">
        <f>IF(IFERROR(SEARCH("Adresse PC",TRIM(W156)),0)&gt;0,"▼ receta siguiente",IF(AK156="A",IF(AZ10&lt;&gt;"",AZ10&amp;" - ou.or.o ❾ + or - &gt;",""),""))</f>
        <v/>
      </c>
      <c r="AY156" s="810"/>
      <c r="AZ156" s="810"/>
      <c r="BA156" s="799" t="str">
        <f t="shared" si="76"/>
        <v/>
      </c>
      <c r="BB156" s="800" t="str">
        <f>IF(AK156="A",IF(AQ156,IF(AND(AW156&lt;&gt;"",N(AW156)&gt;0),IFERROR(IFERROR(_xlfn.XLOOKUP(AP156,BP10:BP57,BT10:BT57),IFERROR(_xlfn.XLOOKUP(AP156,BQ10:BQ57,BT10:BT57),_xlfn.XLOOKUP(AP156,BR10:BR57,BT10:BT57,""))),""),""),""),"")</f>
        <v/>
      </c>
      <c r="BC156" s="813" cm="1">
        <f t="array" ref="BC156">IF(NOT(AQ156),0,IF(OR(BA156="",N(BA156)&lt;=0.000000001),"",IF(OR(AU156="",N(AU156)&lt;=0.000000001),0,IF(ISNUMBER(BA156),IFERROR(_xlfn.LET(_xlpm.ai_test,TRIM(AP156),_xlpm.r,IFERROR(_xlfn.XLOOKUP(_xlpm.ai_test,BP16:BP63,ROW(BP16:BP63),0,1),IFERROR(_xlfn.XLOOKUP(_xlpm.ai_test,BQ16:BQ63,ROW(BQ16:BQ63),0,1),_xlfn.XLOOKUP(_xlpm.ai_test,BR16:BR63,ROW(BR16:BR63),0,1))),_xlpm.p,_xlpm.r-MIN(ROW(BP16:BP63))+1,_xlpm.f,INDEX(BS16:BS63,_xlpm.p),_xlpm.u,INDEX(BT16:BT63,_xlpm.p),_xlpm.s,INDEX(BV16:BV63,_xlpm.p),_xlpm.q,N(BA156)/_xlpm.f,IF(_xlpm.q&gt;=_xlpm.s,ROUND(_xlpm.q,1)&amp;" "&amp;_xlpm.ai_test&amp;" = "&amp;ROUND(_xlpm.q*_xlpm.f,1)&amp;" "&amp;_xlpm.u,ROUND(_xlpm.q,1)&amp;" "&amp;_xlpm.ai_test)),""),""))))</f>
        <v>0</v>
      </c>
      <c r="BD156" s="801"/>
      <c r="BE156" s="799" t="str">
        <f t="shared" si="87"/>
        <v/>
      </c>
      <c r="BF156" s="800" t="str">
        <f t="shared" si="88"/>
        <v/>
      </c>
      <c r="BG156" s="802">
        <f t="shared" si="70"/>
        <v>0</v>
      </c>
      <c r="BH156" s="803" t="str">
        <f t="shared" si="71"/>
        <v/>
      </c>
      <c r="BI156" s="792"/>
      <c r="BJ156" s="804">
        <f t="shared" si="69"/>
        <v>0</v>
      </c>
      <c r="BK156" s="794" t="str">
        <f t="shared" si="89"/>
        <v/>
      </c>
      <c r="BL156" s="227" t="s">
        <v>21</v>
      </c>
      <c r="BM156" s="773">
        <f t="shared" si="78"/>
        <v>0</v>
      </c>
      <c r="BN156" s="774">
        <f t="shared" si="79"/>
        <v>0</v>
      </c>
      <c r="BO156"/>
      <c r="BX156"/>
      <c r="BY156"/>
      <c r="BZ156"/>
      <c r="CA156"/>
      <c r="CB156"/>
      <c r="CC156"/>
      <c r="CD156" s="781" t="str">
        <f t="shared" si="72"/>
        <v>►</v>
      </c>
      <c r="CE156"/>
      <c r="CF156"/>
      <c r="CG156"/>
      <c r="CH156"/>
      <c r="CI156"/>
      <c r="CJ156" s="633"/>
      <c r="CK156"/>
      <c r="CL156"/>
      <c r="CM156"/>
      <c r="CN156"/>
      <c r="CO156"/>
      <c r="CP156"/>
      <c r="CQ156"/>
      <c r="CS156"/>
      <c r="CT156"/>
      <c r="CU156"/>
      <c r="CV156"/>
      <c r="CW156"/>
      <c r="CX156"/>
      <c r="CY156"/>
      <c r="DA156"/>
      <c r="DB156"/>
      <c r="DC156"/>
      <c r="DD156"/>
      <c r="DE156"/>
      <c r="DF156"/>
      <c r="DG156"/>
      <c r="DI156" s="3">
        <v>1</v>
      </c>
    </row>
    <row r="157" spans="1:113" s="627" customFormat="1" ht="21" customHeight="1">
      <c r="A157" s="701" t="s">
        <v>21</v>
      </c>
      <c r="B157" s="2265" t="str" cm="1">
        <f t="array" ref="B157">SUMPRODUCT(--(D157:J157&lt;&gt;""), LEN(TRIM(SUBSTITUTE(D157:J157, CHAR(160), "")))) &amp; " Car."</f>
        <v>0 Car.</v>
      </c>
      <c r="C157" s="1376" t="str">
        <f>IF(ISBLANK(D157),"",LARGE(C13:C156,1)+1)</f>
        <v/>
      </c>
      <c r="D157" s="1833"/>
      <c r="E157" s="1810"/>
      <c r="F157" s="1810"/>
      <c r="G157" s="1810"/>
      <c r="H157" s="1810"/>
      <c r="I157" s="1810"/>
      <c r="J157" s="1810"/>
      <c r="K157" s="1810"/>
      <c r="L157" s="1811"/>
      <c r="M157" s="9"/>
      <c r="N157" s="1814" t="str">
        <f t="shared" si="74"/>
        <v>►</v>
      </c>
      <c r="O157" s="1616"/>
      <c r="P157" s="9"/>
      <c r="Q157" s="25" t="s">
        <v>15</v>
      </c>
      <c r="R157" s="31"/>
      <c r="S157" s="32"/>
      <c r="T157" s="31"/>
      <c r="U157" s="33"/>
      <c r="V157" s="1967"/>
      <c r="W157" s="1805"/>
      <c r="X157" s="91"/>
      <c r="Y157" s="1806"/>
      <c r="Z157" s="1968"/>
      <c r="AA157" s="2244"/>
      <c r="AB157" s="1969"/>
      <c r="AC157" s="1365"/>
      <c r="AD157" s="95"/>
      <c r="AE157" s="1326"/>
      <c r="AF157" s="97"/>
      <c r="AG157" s="1737"/>
      <c r="AH157" s="1970"/>
      <c r="AI157" s="99"/>
      <c r="AJ157" s="1809"/>
      <c r="AK157" s="6120" t="str">
        <f t="shared" si="75"/>
        <v>►</v>
      </c>
      <c r="AL157" s="781" t="str">
        <f t="shared" si="77"/>
        <v>►</v>
      </c>
      <c r="AM157" s="5499" t="str">
        <f t="shared" si="80"/>
        <v/>
      </c>
      <c r="AN157" s="783" t="str">
        <f t="shared" si="81"/>
        <v/>
      </c>
      <c r="AO157" s="782" t="str">
        <f t="shared" si="82"/>
        <v/>
      </c>
      <c r="AP157" s="783" t="str">
        <f t="shared" si="83"/>
        <v/>
      </c>
      <c r="AQ157" s="2083" t="b">
        <f>AND(Q157="A",COUNTIF(BP16:BR63,TRIM(Z157))&gt;0)</f>
        <v>0</v>
      </c>
      <c r="AR157" s="797" t="str">
        <f>IF(AL157&lt;&gt;"A","",IFERROR(IFERROR(_xlfn.XLOOKUP(TRIM(SUBSTITUTE(Z157,CHAR(160)," ")),BP16:BP63,BS16:BS63),IFERROR(_xlfn.XLOOKUP(TRIM(SUBSTITUTE(Z157,CHAR(160)," ")),BQ16:BQ63,BS16:BS63),_xlfn.XLOOKUP(TRIM(SUBSTITUTE(Z157,CHAR(160)," ")),BR16:BR63,BS16:BS63)))*Y157*IF(ISBLANK(V157),1,V157),0))</f>
        <v/>
      </c>
      <c r="AS157" s="784" t="str">
        <f t="shared" si="73"/>
        <v/>
      </c>
      <c r="AT157" s="1315" t="str">
        <f t="shared" si="84"/>
        <v/>
      </c>
      <c r="AU157" s="785">
        <f t="shared" si="85"/>
        <v>0</v>
      </c>
      <c r="AV157" s="785">
        <f t="shared" si="86"/>
        <v>0</v>
      </c>
      <c r="AW157" s="786">
        <f>IF(AK157="A",AY10,0)</f>
        <v>0</v>
      </c>
      <c r="AX157" s="5495" t="str">
        <f>IF(IFERROR(SEARCH("Adresse PC",TRIM(W157)),0)&gt;0,"▼ receta siguiente",IF(AK157="A",IF(AZ10&lt;&gt;"",AZ10&amp;" - ou.or.o ❾ + or - &gt;",""),""))</f>
        <v/>
      </c>
      <c r="AY157" s="810"/>
      <c r="AZ157" s="810"/>
      <c r="BA157" s="788" t="str">
        <f t="shared" si="76"/>
        <v/>
      </c>
      <c r="BB157" s="789" t="str">
        <f>IF(AK157="A",IF(AQ157,IF(AND(AW157&lt;&gt;"",N(AW157)&gt;0),IFERROR(IFERROR(_xlfn.XLOOKUP(AP157,BP10:BP57,BT10:BT57),IFERROR(_xlfn.XLOOKUP(AP157,BQ10:BQ57,BT10:BT57),_xlfn.XLOOKUP(AP157,BR10:BR57,BT10:BT57,""))),""),""),""),"")</f>
        <v/>
      </c>
      <c r="BC157" s="811" cm="1">
        <f t="array" ref="BC157">IF(NOT(AQ157),0,IF(OR(BA157="",N(BA157)&lt;=0.000000001),"",IF(OR(AU157="",N(AU157)&lt;=0.000000001),0,IF(ISNUMBER(BA157),IFERROR(_xlfn.LET(_xlpm.ai_test,TRIM(AP157),_xlpm.r,IFERROR(_xlfn.XLOOKUP(_xlpm.ai_test,BP16:BP63,ROW(BP16:BP63),0,1),IFERROR(_xlfn.XLOOKUP(_xlpm.ai_test,BQ16:BQ63,ROW(BQ16:BQ63),0,1),_xlfn.XLOOKUP(_xlpm.ai_test,BR16:BR63,ROW(BR16:BR63),0,1))),_xlpm.p,_xlpm.r-MIN(ROW(BP16:BP63))+1,_xlpm.f,INDEX(BS16:BS63,_xlpm.p),_xlpm.u,INDEX(BT16:BT63,_xlpm.p),_xlpm.s,INDEX(BV16:BV63,_xlpm.p),_xlpm.q,N(BA157)/_xlpm.f,IF(_xlpm.q&gt;=_xlpm.s,ROUND(_xlpm.q,1)&amp;" "&amp;_xlpm.ai_test&amp;" = "&amp;ROUND(_xlpm.q*_xlpm.f,1)&amp;" "&amp;_xlpm.u,ROUND(_xlpm.q,1)&amp;" "&amp;_xlpm.ai_test)),""),""))))</f>
        <v>0</v>
      </c>
      <c r="BD157" s="801"/>
      <c r="BE157" s="788" t="str">
        <f t="shared" si="87"/>
        <v/>
      </c>
      <c r="BF157" s="789" t="str">
        <f t="shared" si="88"/>
        <v/>
      </c>
      <c r="BG157" s="790">
        <f t="shared" si="70"/>
        <v>0</v>
      </c>
      <c r="BH157" s="791" t="str">
        <f t="shared" si="71"/>
        <v/>
      </c>
      <c r="BI157" s="792"/>
      <c r="BJ157" s="793">
        <f t="shared" si="69"/>
        <v>0</v>
      </c>
      <c r="BK157" s="794" t="str">
        <f t="shared" si="89"/>
        <v/>
      </c>
      <c r="BL157" s="227" t="s">
        <v>21</v>
      </c>
      <c r="BM157" s="773">
        <f t="shared" si="78"/>
        <v>0</v>
      </c>
      <c r="BN157" s="774">
        <f t="shared" si="79"/>
        <v>0</v>
      </c>
      <c r="BO157"/>
      <c r="BX157"/>
      <c r="BY157"/>
      <c r="BZ157"/>
      <c r="CA157"/>
      <c r="CB157"/>
      <c r="CC157"/>
      <c r="CD157" s="781" t="str">
        <f t="shared" si="72"/>
        <v>►</v>
      </c>
      <c r="CE157"/>
      <c r="CF157"/>
      <c r="CG157"/>
      <c r="CH157"/>
      <c r="CI157"/>
      <c r="CJ157" s="633"/>
      <c r="CK157"/>
      <c r="CL157"/>
      <c r="CM157"/>
      <c r="CN157"/>
      <c r="CO157"/>
      <c r="CP157"/>
      <c r="CQ157"/>
      <c r="CS157"/>
      <c r="CT157"/>
      <c r="CU157"/>
      <c r="CV157"/>
      <c r="CW157"/>
      <c r="CX157"/>
      <c r="CY157"/>
      <c r="DA157"/>
      <c r="DB157"/>
      <c r="DC157"/>
      <c r="DD157"/>
      <c r="DE157"/>
      <c r="DF157"/>
      <c r="DG157"/>
      <c r="DI157" s="3">
        <v>1</v>
      </c>
    </row>
    <row r="158" spans="1:113" s="627" customFormat="1" ht="21" customHeight="1" thickBot="1">
      <c r="A158" s="701" t="s">
        <v>21</v>
      </c>
      <c r="B158" s="2265" t="str" cm="1">
        <f t="array" ref="B158">SUMPRODUCT(--(D158:J158&lt;&gt;""), LEN(TRIM(SUBSTITUTE(D158:J158, CHAR(160), "")))) &amp; " Car."</f>
        <v>0 Car.</v>
      </c>
      <c r="C158" s="1376" t="str">
        <f>IF(ISBLANK(D158),"",LARGE(C13:C157,1)+1)</f>
        <v/>
      </c>
      <c r="D158" s="1833"/>
      <c r="E158" s="1810"/>
      <c r="F158" s="1810"/>
      <c r="G158" s="1810"/>
      <c r="H158" s="1810"/>
      <c r="I158" s="1810"/>
      <c r="J158" s="1810"/>
      <c r="K158" s="1810"/>
      <c r="L158" s="1811"/>
      <c r="M158" s="9"/>
      <c r="N158" s="215" t="str">
        <f t="shared" si="74"/>
        <v>►</v>
      </c>
      <c r="O158" s="1616"/>
      <c r="P158" s="9"/>
      <c r="Q158" s="25" t="s">
        <v>15</v>
      </c>
      <c r="R158" s="31"/>
      <c r="S158" s="32"/>
      <c r="T158" s="31"/>
      <c r="U158" s="33"/>
      <c r="V158" s="1967"/>
      <c r="W158" s="1805"/>
      <c r="X158" s="91"/>
      <c r="Y158" s="1806"/>
      <c r="Z158" s="1968"/>
      <c r="AA158" s="2244"/>
      <c r="AB158" s="1969"/>
      <c r="AC158" s="1365"/>
      <c r="AD158" s="95"/>
      <c r="AE158" s="1326"/>
      <c r="AF158" s="97"/>
      <c r="AG158" s="1737"/>
      <c r="AH158" s="1970"/>
      <c r="AI158" s="99"/>
      <c r="AJ158" s="1809"/>
      <c r="AK158" s="6120" t="str">
        <f t="shared" si="75"/>
        <v>►</v>
      </c>
      <c r="AL158" s="781" t="str">
        <f t="shared" si="77"/>
        <v>►</v>
      </c>
      <c r="AM158" s="5498" t="str">
        <f t="shared" si="80"/>
        <v/>
      </c>
      <c r="AN158" s="783" t="str">
        <f t="shared" si="81"/>
        <v/>
      </c>
      <c r="AO158" s="782" t="str">
        <f t="shared" si="82"/>
        <v/>
      </c>
      <c r="AP158" s="783" t="str">
        <f t="shared" si="83"/>
        <v/>
      </c>
      <c r="AQ158" s="2083" t="b">
        <f>AND(Q158="A",COUNTIF(BP16:BR63,TRIM(Z158))&gt;0)</f>
        <v>0</v>
      </c>
      <c r="AR158" s="797" t="str">
        <f>IF(AL158&lt;&gt;"A","",IFERROR(IFERROR(_xlfn.XLOOKUP(TRIM(SUBSTITUTE(Z158,CHAR(160)," ")),BP16:BP63,BS16:BS63),IFERROR(_xlfn.XLOOKUP(TRIM(SUBSTITUTE(Z158,CHAR(160)," ")),BQ16:BQ63,BS16:BS63),_xlfn.XLOOKUP(TRIM(SUBSTITUTE(Z158,CHAR(160)," ")),BR16:BR63,BS16:BS63)))*Y158*IF(ISBLANK(V158),1,V158),0))</f>
        <v/>
      </c>
      <c r="AS158" s="784" t="str">
        <f t="shared" si="73"/>
        <v/>
      </c>
      <c r="AT158" s="1315" t="str">
        <f t="shared" si="84"/>
        <v/>
      </c>
      <c r="AU158" s="785">
        <f t="shared" si="85"/>
        <v>0</v>
      </c>
      <c r="AV158" s="785">
        <f t="shared" si="86"/>
        <v>0</v>
      </c>
      <c r="AW158" s="798">
        <f>IF(AK158="A",AY10,0)</f>
        <v>0</v>
      </c>
      <c r="AX158" s="5496" t="str">
        <f>IF(IFERROR(SEARCH("Adresse PC",TRIM(W158)),0)&gt;0,"▼ receta siguiente",IF(AK158="A",IF(AZ10&lt;&gt;"",AZ10&amp;" - ou.or.o ❾ + or - &gt;",""),""))</f>
        <v/>
      </c>
      <c r="AY158" s="810"/>
      <c r="AZ158" s="810"/>
      <c r="BA158" s="799" t="str">
        <f t="shared" si="76"/>
        <v/>
      </c>
      <c r="BB158" s="800" t="str">
        <f>IF(AK158="A",IF(AQ158,IF(AND(AW158&lt;&gt;"",N(AW158)&gt;0),IFERROR(IFERROR(_xlfn.XLOOKUP(AP158,BP10:BP57,BT10:BT57),IFERROR(_xlfn.XLOOKUP(AP158,BQ10:BQ57,BT10:BT57),_xlfn.XLOOKUP(AP158,BR10:BR57,BT10:BT57,""))),""),""),""),"")</f>
        <v/>
      </c>
      <c r="BC158" s="813" cm="1">
        <f t="array" ref="BC158">IF(NOT(AQ158),0,IF(OR(BA158="",N(BA158)&lt;=0.000000001),"",IF(OR(AU158="",N(AU158)&lt;=0.000000001),0,IF(ISNUMBER(BA158),IFERROR(_xlfn.LET(_xlpm.ai_test,TRIM(AP158),_xlpm.r,IFERROR(_xlfn.XLOOKUP(_xlpm.ai_test,BP16:BP63,ROW(BP16:BP63),0,1),IFERROR(_xlfn.XLOOKUP(_xlpm.ai_test,BQ16:BQ63,ROW(BQ16:BQ63),0,1),_xlfn.XLOOKUP(_xlpm.ai_test,BR16:BR63,ROW(BR16:BR63),0,1))),_xlpm.p,_xlpm.r-MIN(ROW(BP16:BP63))+1,_xlpm.f,INDEX(BS16:BS63,_xlpm.p),_xlpm.u,INDEX(BT16:BT63,_xlpm.p),_xlpm.s,INDEX(BV16:BV63,_xlpm.p),_xlpm.q,N(BA158)/_xlpm.f,IF(_xlpm.q&gt;=_xlpm.s,ROUND(_xlpm.q,1)&amp;" "&amp;_xlpm.ai_test&amp;" = "&amp;ROUND(_xlpm.q*_xlpm.f,1)&amp;" "&amp;_xlpm.u,ROUND(_xlpm.q,1)&amp;" "&amp;_xlpm.ai_test)),""),""))))</f>
        <v>0</v>
      </c>
      <c r="BD158" s="801"/>
      <c r="BE158" s="799" t="str">
        <f t="shared" si="87"/>
        <v/>
      </c>
      <c r="BF158" s="800" t="str">
        <f t="shared" si="88"/>
        <v/>
      </c>
      <c r="BG158" s="802">
        <f t="shared" si="70"/>
        <v>0</v>
      </c>
      <c r="BH158" s="803" t="str">
        <f t="shared" si="71"/>
        <v/>
      </c>
      <c r="BI158" s="792"/>
      <c r="BJ158" s="804">
        <f t="shared" ref="BJ158:BJ221" si="90">IF(OR(AU158=0,ISBLANK(BI158),ISTEXT(BG158)),0,(IF(BA158=0,BG158,BA158)*BI158))</f>
        <v>0</v>
      </c>
      <c r="BK158" s="794" t="str">
        <f t="shared" si="89"/>
        <v/>
      </c>
      <c r="BL158" s="227" t="s">
        <v>21</v>
      </c>
      <c r="BM158" s="773">
        <f t="shared" si="78"/>
        <v>0</v>
      </c>
      <c r="BN158" s="774">
        <f t="shared" si="79"/>
        <v>0</v>
      </c>
      <c r="BO158"/>
      <c r="BX158"/>
      <c r="BY158"/>
      <c r="BZ158"/>
      <c r="CA158"/>
      <c r="CB158"/>
      <c r="CC158"/>
      <c r="CD158" s="781" t="str">
        <f t="shared" si="72"/>
        <v>►</v>
      </c>
      <c r="CE158"/>
      <c r="CF158"/>
      <c r="CG158"/>
      <c r="CH158"/>
      <c r="CI158"/>
      <c r="CJ158" s="633"/>
      <c r="CK158"/>
      <c r="CL158"/>
      <c r="CM158"/>
      <c r="CN158"/>
      <c r="CO158"/>
      <c r="CP158"/>
      <c r="CQ158"/>
      <c r="CS158"/>
      <c r="CT158"/>
      <c r="CU158"/>
      <c r="CV158"/>
      <c r="CW158"/>
      <c r="CX158"/>
      <c r="CY158"/>
      <c r="DA158"/>
      <c r="DB158"/>
      <c r="DC158"/>
      <c r="DD158"/>
      <c r="DE158"/>
      <c r="DF158"/>
      <c r="DG158"/>
      <c r="DI158" s="3">
        <v>1</v>
      </c>
    </row>
    <row r="159" spans="1:113" s="627" customFormat="1" ht="21" customHeight="1" thickBot="1">
      <c r="A159" s="701" t="s">
        <v>21</v>
      </c>
      <c r="B159" s="2265" t="str" cm="1">
        <f t="array" ref="B159">SUMPRODUCT(--(D159:J159&lt;&gt;""), LEN(TRIM(SUBSTITUTE(D159:J159, CHAR(160), "")))) &amp; " Car."</f>
        <v>0 Car.</v>
      </c>
      <c r="C159" s="1376" t="str">
        <f>IF(ISBLANK(D159),"",LARGE(C13:C158,1)+1)</f>
        <v/>
      </c>
      <c r="D159" s="1833"/>
      <c r="E159" s="1810"/>
      <c r="F159" s="1810"/>
      <c r="G159" s="1810"/>
      <c r="H159" s="1810"/>
      <c r="I159" s="1810"/>
      <c r="J159" s="1810"/>
      <c r="K159" s="1810"/>
      <c r="L159" s="1811"/>
      <c r="M159" s="9"/>
      <c r="N159" s="1216" t="str">
        <f t="shared" si="74"/>
        <v>►</v>
      </c>
      <c r="O159" s="1616"/>
      <c r="P159" s="9"/>
      <c r="Q159" s="25" t="s">
        <v>15</v>
      </c>
      <c r="R159" s="31"/>
      <c r="S159" s="32"/>
      <c r="T159" s="31"/>
      <c r="U159" s="33"/>
      <c r="V159" s="1967"/>
      <c r="W159" s="1805"/>
      <c r="X159" s="91"/>
      <c r="Y159" s="1806"/>
      <c r="Z159" s="1968"/>
      <c r="AA159" s="2244"/>
      <c r="AB159" s="1969"/>
      <c r="AC159" s="1365"/>
      <c r="AD159" s="95"/>
      <c r="AE159" s="1326"/>
      <c r="AF159" s="97"/>
      <c r="AG159" s="1737"/>
      <c r="AH159" s="1970"/>
      <c r="AI159" s="99"/>
      <c r="AJ159" s="1809"/>
      <c r="AK159" s="6120" t="str">
        <f t="shared" si="75"/>
        <v>►</v>
      </c>
      <c r="AL159" s="781" t="str">
        <f t="shared" si="77"/>
        <v>►</v>
      </c>
      <c r="AM159" s="5499" t="str">
        <f t="shared" si="80"/>
        <v/>
      </c>
      <c r="AN159" s="783" t="str">
        <f t="shared" si="81"/>
        <v/>
      </c>
      <c r="AO159" s="782" t="str">
        <f t="shared" si="82"/>
        <v/>
      </c>
      <c r="AP159" s="783" t="str">
        <f t="shared" si="83"/>
        <v/>
      </c>
      <c r="AQ159" s="2083" t="b">
        <f>AND(Q159="A",COUNTIF(BP16:BR63,TRIM(Z159))&gt;0)</f>
        <v>0</v>
      </c>
      <c r="AR159" s="797" t="str">
        <f>IF(AL159&lt;&gt;"A","",IFERROR(IFERROR(_xlfn.XLOOKUP(TRIM(SUBSTITUTE(Z159,CHAR(160)," ")),BP16:BP63,BS16:BS63),IFERROR(_xlfn.XLOOKUP(TRIM(SUBSTITUTE(Z159,CHAR(160)," ")),BQ16:BQ63,BS16:BS63),_xlfn.XLOOKUP(TRIM(SUBSTITUTE(Z159,CHAR(160)," ")),BR16:BR63,BS16:BS63)))*Y159*IF(ISBLANK(V159),1,V159),0))</f>
        <v/>
      </c>
      <c r="AS159" s="784" t="str">
        <f t="shared" si="73"/>
        <v/>
      </c>
      <c r="AT159" s="1315" t="str">
        <f t="shared" si="84"/>
        <v/>
      </c>
      <c r="AU159" s="785">
        <f t="shared" si="85"/>
        <v>0</v>
      </c>
      <c r="AV159" s="785">
        <f t="shared" si="86"/>
        <v>0</v>
      </c>
      <c r="AW159" s="786">
        <f>IF(AK159="A",AY10,0)</f>
        <v>0</v>
      </c>
      <c r="AX159" s="5495" t="str">
        <f>IF(IFERROR(SEARCH("Adresse PC",TRIM(W159)),0)&gt;0,"▼ receta siguiente",IF(AK159="A",IF(AZ10&lt;&gt;"",AZ10&amp;" - ou.or.o ❾ + or - &gt;",""),""))</f>
        <v/>
      </c>
      <c r="AY159" s="810"/>
      <c r="AZ159" s="810"/>
      <c r="BA159" s="788" t="str">
        <f t="shared" si="76"/>
        <v/>
      </c>
      <c r="BB159" s="789" t="str">
        <f>IF(AK159="A",IF(AQ159,IF(AND(AW159&lt;&gt;"",N(AW159)&gt;0),IFERROR(IFERROR(_xlfn.XLOOKUP(AP159,BP10:BP57,BT10:BT57),IFERROR(_xlfn.XLOOKUP(AP159,BQ10:BQ57,BT10:BT57),_xlfn.XLOOKUP(AP159,BR10:BR57,BT10:BT57,""))),""),""),""),"")</f>
        <v/>
      </c>
      <c r="BC159" s="811" cm="1">
        <f t="array" ref="BC159">IF(NOT(AQ159),0,IF(OR(BA159="",N(BA159)&lt;=0.000000001),"",IF(OR(AU159="",N(AU159)&lt;=0.000000001),0,IF(ISNUMBER(BA159),IFERROR(_xlfn.LET(_xlpm.ai_test,TRIM(AP159),_xlpm.r,IFERROR(_xlfn.XLOOKUP(_xlpm.ai_test,BP16:BP63,ROW(BP16:BP63),0,1),IFERROR(_xlfn.XLOOKUP(_xlpm.ai_test,BQ16:BQ63,ROW(BQ16:BQ63),0,1),_xlfn.XLOOKUP(_xlpm.ai_test,BR16:BR63,ROW(BR16:BR63),0,1))),_xlpm.p,_xlpm.r-MIN(ROW(BP16:BP63))+1,_xlpm.f,INDEX(BS16:BS63,_xlpm.p),_xlpm.u,INDEX(BT16:BT63,_xlpm.p),_xlpm.s,INDEX(BV16:BV63,_xlpm.p),_xlpm.q,N(BA159)/_xlpm.f,IF(_xlpm.q&gt;=_xlpm.s,ROUND(_xlpm.q,1)&amp;" "&amp;_xlpm.ai_test&amp;" = "&amp;ROUND(_xlpm.q*_xlpm.f,1)&amp;" "&amp;_xlpm.u,ROUND(_xlpm.q,1)&amp;" "&amp;_xlpm.ai_test)),""),""))))</f>
        <v>0</v>
      </c>
      <c r="BD159" s="801"/>
      <c r="BE159" s="788" t="str">
        <f t="shared" si="87"/>
        <v/>
      </c>
      <c r="BF159" s="789" t="str">
        <f t="shared" si="88"/>
        <v/>
      </c>
      <c r="BG159" s="790">
        <f t="shared" si="70"/>
        <v>0</v>
      </c>
      <c r="BH159" s="791" t="str">
        <f t="shared" si="71"/>
        <v/>
      </c>
      <c r="BI159" s="792"/>
      <c r="BJ159" s="793">
        <f t="shared" si="90"/>
        <v>0</v>
      </c>
      <c r="BK159" s="794" t="str">
        <f t="shared" si="89"/>
        <v/>
      </c>
      <c r="BL159" s="227" t="s">
        <v>21</v>
      </c>
      <c r="BM159" s="773">
        <f t="shared" si="78"/>
        <v>0</v>
      </c>
      <c r="BN159" s="774">
        <f t="shared" si="79"/>
        <v>0</v>
      </c>
      <c r="BO159"/>
      <c r="BX159"/>
      <c r="BY159"/>
      <c r="BZ159"/>
      <c r="CA159"/>
      <c r="CB159"/>
      <c r="CC159"/>
      <c r="CD159" s="781" t="str">
        <f t="shared" si="72"/>
        <v>►</v>
      </c>
      <c r="CE159"/>
      <c r="CF159"/>
      <c r="CG159"/>
      <c r="CH159"/>
      <c r="CI159"/>
      <c r="CJ159" s="633"/>
      <c r="CK159"/>
      <c r="CL159"/>
      <c r="CM159"/>
      <c r="CN159"/>
      <c r="CO159"/>
      <c r="CP159"/>
      <c r="CQ159"/>
      <c r="CS159"/>
      <c r="CT159"/>
      <c r="CU159"/>
      <c r="CV159"/>
      <c r="CW159"/>
      <c r="CX159"/>
      <c r="CY159"/>
      <c r="DA159"/>
      <c r="DB159"/>
      <c r="DC159"/>
      <c r="DD159"/>
      <c r="DE159"/>
      <c r="DF159"/>
      <c r="DG159"/>
      <c r="DI159" s="3">
        <v>1</v>
      </c>
    </row>
    <row r="160" spans="1:113" s="627" customFormat="1" ht="21" customHeight="1">
      <c r="A160" s="701" t="s">
        <v>21</v>
      </c>
      <c r="B160" s="2265" t="str" cm="1">
        <f t="array" ref="B160">SUMPRODUCT(--(D160:J160&lt;&gt;""), LEN(TRIM(SUBSTITUTE(D160:J160, CHAR(160), "")))) &amp; " Car."</f>
        <v>0 Car.</v>
      </c>
      <c r="C160" s="1376" t="str">
        <f>IF(ISBLANK(D160),"",LARGE(C13:C159,1)+1)</f>
        <v/>
      </c>
      <c r="D160" s="1833"/>
      <c r="E160" s="1810"/>
      <c r="F160" s="1810"/>
      <c r="G160" s="1810"/>
      <c r="H160" s="1810"/>
      <c r="I160" s="1810"/>
      <c r="J160" s="1810"/>
      <c r="K160" s="1810"/>
      <c r="L160" s="1811"/>
      <c r="M160" s="9"/>
      <c r="N160" s="19" t="str">
        <f t="shared" si="74"/>
        <v>►</v>
      </c>
      <c r="O160" s="1616"/>
      <c r="P160" s="9"/>
      <c r="Q160" s="25" t="s">
        <v>15</v>
      </c>
      <c r="R160" s="31"/>
      <c r="S160" s="32"/>
      <c r="T160" s="31"/>
      <c r="U160" s="33"/>
      <c r="V160" s="1967"/>
      <c r="W160" s="1805"/>
      <c r="X160" s="91"/>
      <c r="Y160" s="1806"/>
      <c r="Z160" s="1968"/>
      <c r="AA160" s="2244"/>
      <c r="AB160" s="1969"/>
      <c r="AC160" s="1365"/>
      <c r="AD160" s="95"/>
      <c r="AE160" s="1326"/>
      <c r="AF160" s="97"/>
      <c r="AG160" s="1737"/>
      <c r="AH160" s="1970"/>
      <c r="AI160" s="99"/>
      <c r="AJ160" s="1809"/>
      <c r="AK160" s="6120" t="str">
        <f t="shared" si="75"/>
        <v>►</v>
      </c>
      <c r="AL160" s="781" t="str">
        <f t="shared" si="77"/>
        <v>►</v>
      </c>
      <c r="AM160" s="5498" t="str">
        <f t="shared" si="80"/>
        <v/>
      </c>
      <c r="AN160" s="783" t="str">
        <f t="shared" si="81"/>
        <v/>
      </c>
      <c r="AO160" s="782" t="str">
        <f t="shared" si="82"/>
        <v/>
      </c>
      <c r="AP160" s="783" t="str">
        <f t="shared" si="83"/>
        <v/>
      </c>
      <c r="AQ160" s="2083" t="b">
        <f>AND(Q160="A",COUNTIF(BP16:BR63,TRIM(Z160))&gt;0)</f>
        <v>0</v>
      </c>
      <c r="AR160" s="797" t="str">
        <f>IF(AL160&lt;&gt;"A","",IFERROR(IFERROR(_xlfn.XLOOKUP(TRIM(SUBSTITUTE(Z160,CHAR(160)," ")),BP16:BP63,BS16:BS63),IFERROR(_xlfn.XLOOKUP(TRIM(SUBSTITUTE(Z160,CHAR(160)," ")),BQ16:BQ63,BS16:BS63),_xlfn.XLOOKUP(TRIM(SUBSTITUTE(Z160,CHAR(160)," ")),BR16:BR63,BS16:BS63)))*Y160*IF(ISBLANK(V160),1,V160),0))</f>
        <v/>
      </c>
      <c r="AS160" s="784" t="str">
        <f t="shared" si="73"/>
        <v/>
      </c>
      <c r="AT160" s="1315" t="str">
        <f t="shared" si="84"/>
        <v/>
      </c>
      <c r="AU160" s="785">
        <f t="shared" si="85"/>
        <v>0</v>
      </c>
      <c r="AV160" s="785">
        <f t="shared" si="86"/>
        <v>0</v>
      </c>
      <c r="AW160" s="798">
        <f>IF(AK160="A",AY10,0)</f>
        <v>0</v>
      </c>
      <c r="AX160" s="5496" t="str">
        <f>IF(IFERROR(SEARCH("Adresse PC",TRIM(W160)),0)&gt;0,"▼ receta siguiente",IF(AK160="A",IF(AZ10&lt;&gt;"",AZ10&amp;" - ou.or.o ❾ + or - &gt;",""),""))</f>
        <v/>
      </c>
      <c r="AY160" s="810"/>
      <c r="AZ160" s="810"/>
      <c r="BA160" s="799" t="str">
        <f t="shared" si="76"/>
        <v/>
      </c>
      <c r="BB160" s="800" t="str">
        <f>IF(AK160="A",IF(AQ160,IF(AND(AW160&lt;&gt;"",N(AW160)&gt;0),IFERROR(IFERROR(_xlfn.XLOOKUP(AP160,BP10:BP57,BT10:BT57),IFERROR(_xlfn.XLOOKUP(AP160,BQ10:BQ57,BT10:BT57),_xlfn.XLOOKUP(AP160,BR10:BR57,BT10:BT57,""))),""),""),""),"")</f>
        <v/>
      </c>
      <c r="BC160" s="813" cm="1">
        <f t="array" ref="BC160">IF(NOT(AQ160),0,IF(OR(BA160="",N(BA160)&lt;=0.000000001),"",IF(OR(AU160="",N(AU160)&lt;=0.000000001),0,IF(ISNUMBER(BA160),IFERROR(_xlfn.LET(_xlpm.ai_test,TRIM(AP160),_xlpm.r,IFERROR(_xlfn.XLOOKUP(_xlpm.ai_test,BP16:BP63,ROW(BP16:BP63),0,1),IFERROR(_xlfn.XLOOKUP(_xlpm.ai_test,BQ16:BQ63,ROW(BQ16:BQ63),0,1),_xlfn.XLOOKUP(_xlpm.ai_test,BR16:BR63,ROW(BR16:BR63),0,1))),_xlpm.p,_xlpm.r-MIN(ROW(BP16:BP63))+1,_xlpm.f,INDEX(BS16:BS63,_xlpm.p),_xlpm.u,INDEX(BT16:BT63,_xlpm.p),_xlpm.s,INDEX(BV16:BV63,_xlpm.p),_xlpm.q,N(BA160)/_xlpm.f,IF(_xlpm.q&gt;=_xlpm.s,ROUND(_xlpm.q,1)&amp;" "&amp;_xlpm.ai_test&amp;" = "&amp;ROUND(_xlpm.q*_xlpm.f,1)&amp;" "&amp;_xlpm.u,ROUND(_xlpm.q,1)&amp;" "&amp;_xlpm.ai_test)),""),""))))</f>
        <v>0</v>
      </c>
      <c r="BD160" s="801"/>
      <c r="BE160" s="799" t="str">
        <f t="shared" si="87"/>
        <v/>
      </c>
      <c r="BF160" s="800" t="str">
        <f t="shared" si="88"/>
        <v/>
      </c>
      <c r="BG160" s="802">
        <f t="shared" ref="BG160:BG223" si="91">IF(AND(ISNUMBER(BM160),ABS(BM160)&gt;0.000000001),BM160,0)</f>
        <v>0</v>
      </c>
      <c r="BH160" s="803" t="str">
        <f t="shared" ref="BH160:BH223" si="92">IF(AND(AQ160, N(BG160)&gt;0.000000001), W160, "")</f>
        <v/>
      </c>
      <c r="BI160" s="792"/>
      <c r="BJ160" s="804">
        <f t="shared" si="90"/>
        <v>0</v>
      </c>
      <c r="BK160" s="794" t="str">
        <f t="shared" si="89"/>
        <v/>
      </c>
      <c r="BL160" s="227" t="s">
        <v>21</v>
      </c>
      <c r="BM160" s="773">
        <f t="shared" si="78"/>
        <v>0</v>
      </c>
      <c r="BN160" s="774">
        <f t="shared" si="79"/>
        <v>0</v>
      </c>
      <c r="BO160"/>
      <c r="BX160"/>
      <c r="BY160"/>
      <c r="BZ160"/>
      <c r="CA160"/>
      <c r="CB160"/>
      <c r="CC160"/>
      <c r="CD160" s="781" t="str">
        <f t="shared" si="72"/>
        <v>►</v>
      </c>
      <c r="CE160"/>
      <c r="CF160"/>
      <c r="CG160"/>
      <c r="CH160"/>
      <c r="CI160"/>
      <c r="CJ160" s="633"/>
      <c r="CK160"/>
      <c r="CL160"/>
      <c r="CM160"/>
      <c r="CN160"/>
      <c r="CO160"/>
      <c r="CP160"/>
      <c r="CQ160"/>
      <c r="CS160"/>
      <c r="CT160"/>
      <c r="CU160"/>
      <c r="CV160"/>
      <c r="CW160"/>
      <c r="CX160"/>
      <c r="CY160"/>
      <c r="DA160"/>
      <c r="DB160"/>
      <c r="DC160"/>
      <c r="DD160"/>
      <c r="DE160"/>
      <c r="DF160"/>
      <c r="DG160"/>
      <c r="DI160" s="3">
        <v>1</v>
      </c>
    </row>
    <row r="161" spans="1:113" s="627" customFormat="1" ht="21" customHeight="1">
      <c r="A161" s="701" t="s">
        <v>21</v>
      </c>
      <c r="B161" s="2265" t="str" cm="1">
        <f t="array" ref="B161">SUMPRODUCT(--(D161:J161&lt;&gt;""), LEN(TRIM(SUBSTITUTE(D161:J161, CHAR(160), "")))) &amp; " Car."</f>
        <v>0 Car.</v>
      </c>
      <c r="C161" s="1376" t="str">
        <f>IF(ISBLANK(D161),"",LARGE(C13:C160,1)+1)</f>
        <v/>
      </c>
      <c r="D161" s="1833"/>
      <c r="E161" s="1810"/>
      <c r="F161" s="1810"/>
      <c r="G161" s="1810"/>
      <c r="H161" s="1810"/>
      <c r="I161" s="1810"/>
      <c r="J161" s="1810"/>
      <c r="K161" s="1810"/>
      <c r="L161" s="1811"/>
      <c r="M161" s="9"/>
      <c r="N161" s="25" t="str">
        <f t="shared" si="74"/>
        <v>►</v>
      </c>
      <c r="O161" s="1616"/>
      <c r="P161" s="9"/>
      <c r="Q161" s="25" t="s">
        <v>15</v>
      </c>
      <c r="R161" s="31"/>
      <c r="S161" s="32"/>
      <c r="T161" s="31"/>
      <c r="U161" s="33"/>
      <c r="V161" s="1967"/>
      <c r="W161" s="1805"/>
      <c r="X161" s="91"/>
      <c r="Y161" s="1806"/>
      <c r="Z161" s="1968"/>
      <c r="AA161" s="2244"/>
      <c r="AB161" s="1969"/>
      <c r="AC161" s="1365"/>
      <c r="AD161" s="95"/>
      <c r="AE161" s="1326"/>
      <c r="AF161" s="97"/>
      <c r="AG161" s="1737"/>
      <c r="AH161" s="1970"/>
      <c r="AI161" s="99"/>
      <c r="AJ161" s="1809"/>
      <c r="AK161" s="6120" t="str">
        <f t="shared" si="75"/>
        <v>►</v>
      </c>
      <c r="AL161" s="781" t="str">
        <f t="shared" si="77"/>
        <v>►</v>
      </c>
      <c r="AM161" s="5499" t="str">
        <f t="shared" si="80"/>
        <v/>
      </c>
      <c r="AN161" s="783" t="str">
        <f t="shared" si="81"/>
        <v/>
      </c>
      <c r="AO161" s="782" t="str">
        <f t="shared" si="82"/>
        <v/>
      </c>
      <c r="AP161" s="783" t="str">
        <f t="shared" si="83"/>
        <v/>
      </c>
      <c r="AQ161" s="2083" t="b">
        <f>AND(Q161="A",COUNTIF(BP16:BR63,TRIM(Z161))&gt;0)</f>
        <v>0</v>
      </c>
      <c r="AR161" s="797" t="str">
        <f>IF(AL161&lt;&gt;"A","",IFERROR(IFERROR(_xlfn.XLOOKUP(TRIM(SUBSTITUTE(Z161,CHAR(160)," ")),BP16:BP63,BS16:BS63),IFERROR(_xlfn.XLOOKUP(TRIM(SUBSTITUTE(Z161,CHAR(160)," ")),BQ16:BQ63,BS16:BS63),_xlfn.XLOOKUP(TRIM(SUBSTITUTE(Z161,CHAR(160)," ")),BR16:BR63,BS16:BS63)))*Y161*IF(ISBLANK(V161),1,V161),0))</f>
        <v/>
      </c>
      <c r="AS161" s="784" t="str">
        <f t="shared" si="73"/>
        <v/>
      </c>
      <c r="AT161" s="1315" t="str">
        <f t="shared" si="84"/>
        <v/>
      </c>
      <c r="AU161" s="785">
        <f t="shared" si="85"/>
        <v>0</v>
      </c>
      <c r="AV161" s="785">
        <f t="shared" si="86"/>
        <v>0</v>
      </c>
      <c r="AW161" s="786">
        <f>IF(AK161="A",AY10,0)</f>
        <v>0</v>
      </c>
      <c r="AX161" s="5495" t="str">
        <f>IF(IFERROR(SEARCH("Adresse PC",TRIM(W161)),0)&gt;0,"▼ receta siguiente",IF(AK161="A",IF(AZ10&lt;&gt;"",AZ10&amp;" - ou.or.o ❾ + or - &gt;",""),""))</f>
        <v/>
      </c>
      <c r="AY161" s="810"/>
      <c r="AZ161" s="810"/>
      <c r="BA161" s="788" t="str">
        <f t="shared" si="76"/>
        <v/>
      </c>
      <c r="BB161" s="789" t="str">
        <f>IF(AK161="A",IF(AQ161,IF(AND(AW161&lt;&gt;"",N(AW161)&gt;0),IFERROR(IFERROR(_xlfn.XLOOKUP(AP161,BP10:BP57,BT10:BT57),IFERROR(_xlfn.XLOOKUP(AP161,BQ10:BQ57,BT10:BT57),_xlfn.XLOOKUP(AP161,BR10:BR57,BT10:BT57,""))),""),""),""),"")</f>
        <v/>
      </c>
      <c r="BC161" s="811" cm="1">
        <f t="array" ref="BC161">IF(NOT(AQ161),0,IF(OR(BA161="",N(BA161)&lt;=0.000000001),"",IF(OR(AU161="",N(AU161)&lt;=0.000000001),0,IF(ISNUMBER(BA161),IFERROR(_xlfn.LET(_xlpm.ai_test,TRIM(AP161),_xlpm.r,IFERROR(_xlfn.XLOOKUP(_xlpm.ai_test,BP16:BP63,ROW(BP16:BP63),0,1),IFERROR(_xlfn.XLOOKUP(_xlpm.ai_test,BQ16:BQ63,ROW(BQ16:BQ63),0,1),_xlfn.XLOOKUP(_xlpm.ai_test,BR16:BR63,ROW(BR16:BR63),0,1))),_xlpm.p,_xlpm.r-MIN(ROW(BP16:BP63))+1,_xlpm.f,INDEX(BS16:BS63,_xlpm.p),_xlpm.u,INDEX(BT16:BT63,_xlpm.p),_xlpm.s,INDEX(BV16:BV63,_xlpm.p),_xlpm.q,N(BA161)/_xlpm.f,IF(_xlpm.q&gt;=_xlpm.s,ROUND(_xlpm.q,1)&amp;" "&amp;_xlpm.ai_test&amp;" = "&amp;ROUND(_xlpm.q*_xlpm.f,1)&amp;" "&amp;_xlpm.u,ROUND(_xlpm.q,1)&amp;" "&amp;_xlpm.ai_test)),""),""))))</f>
        <v>0</v>
      </c>
      <c r="BD161" s="801"/>
      <c r="BE161" s="788" t="str">
        <f t="shared" si="87"/>
        <v/>
      </c>
      <c r="BF161" s="789" t="str">
        <f t="shared" si="88"/>
        <v/>
      </c>
      <c r="BG161" s="790">
        <f t="shared" si="91"/>
        <v>0</v>
      </c>
      <c r="BH161" s="791" t="str">
        <f t="shared" si="92"/>
        <v/>
      </c>
      <c r="BI161" s="792"/>
      <c r="BJ161" s="793">
        <f t="shared" si="90"/>
        <v>0</v>
      </c>
      <c r="BK161" s="794" t="str">
        <f t="shared" si="89"/>
        <v/>
      </c>
      <c r="BL161" s="227" t="s">
        <v>21</v>
      </c>
      <c r="BM161" s="773">
        <f t="shared" si="78"/>
        <v>0</v>
      </c>
      <c r="BN161" s="774">
        <f t="shared" si="79"/>
        <v>0</v>
      </c>
      <c r="BO161"/>
      <c r="BX161"/>
      <c r="BY161"/>
      <c r="BZ161"/>
      <c r="CA161"/>
      <c r="CB161"/>
      <c r="CC161"/>
      <c r="CD161" s="781" t="str">
        <f t="shared" si="72"/>
        <v>►</v>
      </c>
      <c r="CE161"/>
      <c r="CF161"/>
      <c r="CG161"/>
      <c r="CH161"/>
      <c r="CI161"/>
      <c r="CJ161" s="633"/>
      <c r="CK161"/>
      <c r="CL161"/>
      <c r="CM161"/>
      <c r="CN161"/>
      <c r="CO161"/>
      <c r="CP161"/>
      <c r="CQ161"/>
      <c r="CS161"/>
      <c r="CT161"/>
      <c r="CU161"/>
      <c r="CV161"/>
      <c r="CW161"/>
      <c r="CX161"/>
      <c r="CY161"/>
      <c r="DA161"/>
      <c r="DB161"/>
      <c r="DC161"/>
      <c r="DD161"/>
      <c r="DE161"/>
      <c r="DF161"/>
      <c r="DG161"/>
      <c r="DI161" s="3">
        <v>1</v>
      </c>
    </row>
    <row r="162" spans="1:113" s="627" customFormat="1" ht="21" customHeight="1">
      <c r="A162" s="701" t="s">
        <v>21</v>
      </c>
      <c r="B162" s="2265" t="str" cm="1">
        <f t="array" ref="B162">SUMPRODUCT(--(D162:J162&lt;&gt;""), LEN(TRIM(SUBSTITUTE(D162:J162, CHAR(160), "")))) &amp; " Car."</f>
        <v>0 Car.</v>
      </c>
      <c r="C162" s="1376" t="str">
        <f>IF(ISBLANK(D162),"",LARGE(C13:C161,1)+1)</f>
        <v/>
      </c>
      <c r="D162" s="1833"/>
      <c r="E162" s="1810"/>
      <c r="F162" s="1810"/>
      <c r="G162" s="1810"/>
      <c r="H162" s="1810"/>
      <c r="I162" s="1810"/>
      <c r="J162" s="1810"/>
      <c r="K162" s="1810"/>
      <c r="L162" s="1811"/>
      <c r="M162" s="9"/>
      <c r="N162" s="25" t="str">
        <f t="shared" si="74"/>
        <v>►</v>
      </c>
      <c r="O162" s="1616"/>
      <c r="P162" s="9"/>
      <c r="Q162" s="25" t="s">
        <v>15</v>
      </c>
      <c r="R162" s="31"/>
      <c r="S162" s="32"/>
      <c r="T162" s="31"/>
      <c r="U162" s="33"/>
      <c r="V162" s="1967"/>
      <c r="W162" s="1805"/>
      <c r="X162" s="91"/>
      <c r="Y162" s="1806"/>
      <c r="Z162" s="1968"/>
      <c r="AA162" s="2244"/>
      <c r="AB162" s="1969"/>
      <c r="AC162" s="1365"/>
      <c r="AD162" s="95"/>
      <c r="AE162" s="1326"/>
      <c r="AF162" s="97"/>
      <c r="AG162" s="1737"/>
      <c r="AH162" s="1970"/>
      <c r="AI162" s="99"/>
      <c r="AJ162" s="1809"/>
      <c r="AK162" s="6120" t="str">
        <f t="shared" si="75"/>
        <v>►</v>
      </c>
      <c r="AL162" s="781" t="str">
        <f t="shared" si="77"/>
        <v>►</v>
      </c>
      <c r="AM162" s="5498" t="str">
        <f t="shared" si="80"/>
        <v/>
      </c>
      <c r="AN162" s="783" t="str">
        <f t="shared" si="81"/>
        <v/>
      </c>
      <c r="AO162" s="782" t="str">
        <f t="shared" si="82"/>
        <v/>
      </c>
      <c r="AP162" s="783" t="str">
        <f t="shared" si="83"/>
        <v/>
      </c>
      <c r="AQ162" s="2083" t="b">
        <f>AND(Q162="A",COUNTIF(BP16:BR63,TRIM(Z162))&gt;0)</f>
        <v>0</v>
      </c>
      <c r="AR162" s="797" t="str">
        <f>IF(AL162&lt;&gt;"A","",IFERROR(IFERROR(_xlfn.XLOOKUP(TRIM(SUBSTITUTE(Z162,CHAR(160)," ")),BP16:BP63,BS16:BS63),IFERROR(_xlfn.XLOOKUP(TRIM(SUBSTITUTE(Z162,CHAR(160)," ")),BQ16:BQ63,BS16:BS63),_xlfn.XLOOKUP(TRIM(SUBSTITUTE(Z162,CHAR(160)," ")),BR16:BR63,BS16:BS63)))*Y162*IF(ISBLANK(V162),1,V162),0))</f>
        <v/>
      </c>
      <c r="AS162" s="784" t="str">
        <f t="shared" si="73"/>
        <v/>
      </c>
      <c r="AT162" s="1315" t="str">
        <f t="shared" si="84"/>
        <v/>
      </c>
      <c r="AU162" s="785">
        <f t="shared" si="85"/>
        <v>0</v>
      </c>
      <c r="AV162" s="785">
        <f t="shared" si="86"/>
        <v>0</v>
      </c>
      <c r="AW162" s="798">
        <f>IF(AK162="A",AY10,0)</f>
        <v>0</v>
      </c>
      <c r="AX162" s="5496" t="str">
        <f>IF(IFERROR(SEARCH("Adresse PC",TRIM(W162)),0)&gt;0,"▼ receta siguiente",IF(AK162="A",IF(AZ10&lt;&gt;"",AZ10&amp;" - ou.or.o ❾ + or - &gt;",""),""))</f>
        <v/>
      </c>
      <c r="AY162" s="810"/>
      <c r="AZ162" s="810"/>
      <c r="BA162" s="799" t="str">
        <f t="shared" si="76"/>
        <v/>
      </c>
      <c r="BB162" s="800" t="str">
        <f>IF(AK162="A",IF(AQ162,IF(AND(AW162&lt;&gt;"",N(AW162)&gt;0),IFERROR(IFERROR(_xlfn.XLOOKUP(AP162,BP10:BP57,BT10:BT57),IFERROR(_xlfn.XLOOKUP(AP162,BQ10:BQ57,BT10:BT57),_xlfn.XLOOKUP(AP162,BR10:BR57,BT10:BT57,""))),""),""),""),"")</f>
        <v/>
      </c>
      <c r="BC162" s="813" cm="1">
        <f t="array" ref="BC162">IF(NOT(AQ162),0,IF(OR(BA162="",N(BA162)&lt;=0.000000001),"",IF(OR(AU162="",N(AU162)&lt;=0.000000001),0,IF(ISNUMBER(BA162),IFERROR(_xlfn.LET(_xlpm.ai_test,TRIM(AP162),_xlpm.r,IFERROR(_xlfn.XLOOKUP(_xlpm.ai_test,BP16:BP63,ROW(BP16:BP63),0,1),IFERROR(_xlfn.XLOOKUP(_xlpm.ai_test,BQ16:BQ63,ROW(BQ16:BQ63),0,1),_xlfn.XLOOKUP(_xlpm.ai_test,BR16:BR63,ROW(BR16:BR63),0,1))),_xlpm.p,_xlpm.r-MIN(ROW(BP16:BP63))+1,_xlpm.f,INDEX(BS16:BS63,_xlpm.p),_xlpm.u,INDEX(BT16:BT63,_xlpm.p),_xlpm.s,INDEX(BV16:BV63,_xlpm.p),_xlpm.q,N(BA162)/_xlpm.f,IF(_xlpm.q&gt;=_xlpm.s,ROUND(_xlpm.q,1)&amp;" "&amp;_xlpm.ai_test&amp;" = "&amp;ROUND(_xlpm.q*_xlpm.f,1)&amp;" "&amp;_xlpm.u,ROUND(_xlpm.q,1)&amp;" "&amp;_xlpm.ai_test)),""),""))))</f>
        <v>0</v>
      </c>
      <c r="BD162" s="801"/>
      <c r="BE162" s="799" t="str">
        <f t="shared" si="87"/>
        <v/>
      </c>
      <c r="BF162" s="800" t="str">
        <f t="shared" si="88"/>
        <v/>
      </c>
      <c r="BG162" s="802">
        <f t="shared" si="91"/>
        <v>0</v>
      </c>
      <c r="BH162" s="803" t="str">
        <f t="shared" si="92"/>
        <v/>
      </c>
      <c r="BI162" s="792"/>
      <c r="BJ162" s="804">
        <f t="shared" si="90"/>
        <v>0</v>
      </c>
      <c r="BK162" s="794" t="str">
        <f t="shared" si="89"/>
        <v/>
      </c>
      <c r="BL162" s="227" t="s">
        <v>21</v>
      </c>
      <c r="BM162" s="773">
        <f t="shared" si="78"/>
        <v>0</v>
      </c>
      <c r="BN162" s="774">
        <f t="shared" si="79"/>
        <v>0</v>
      </c>
      <c r="BO162"/>
      <c r="BX162"/>
      <c r="BY162"/>
      <c r="BZ162"/>
      <c r="CA162"/>
      <c r="CB162"/>
      <c r="CC162"/>
      <c r="CD162" s="781" t="str">
        <f t="shared" si="72"/>
        <v>►</v>
      </c>
      <c r="CE162"/>
      <c r="CF162"/>
      <c r="CG162"/>
      <c r="CH162"/>
      <c r="CI162"/>
      <c r="CJ162" s="633"/>
      <c r="CK162"/>
      <c r="CL162"/>
      <c r="CM162"/>
      <c r="CN162"/>
      <c r="CO162"/>
      <c r="CP162"/>
      <c r="CQ162"/>
      <c r="CS162"/>
      <c r="CT162"/>
      <c r="CU162"/>
      <c r="CV162"/>
      <c r="CW162"/>
      <c r="CX162"/>
      <c r="CY162"/>
      <c r="DA162"/>
      <c r="DB162"/>
      <c r="DC162"/>
      <c r="DD162"/>
      <c r="DE162"/>
      <c r="DF162"/>
      <c r="DG162"/>
      <c r="DI162" s="3">
        <v>1</v>
      </c>
    </row>
    <row r="163" spans="1:113" s="627" customFormat="1" ht="21" customHeight="1">
      <c r="A163" s="701" t="s">
        <v>21</v>
      </c>
      <c r="B163" s="2265" t="str" cm="1">
        <f t="array" ref="B163">SUMPRODUCT(--(D163:J163&lt;&gt;""), LEN(TRIM(SUBSTITUTE(D163:J163, CHAR(160), "")))) &amp; " Car."</f>
        <v>0 Car.</v>
      </c>
      <c r="C163" s="1376" t="str">
        <f>IF(ISBLANK(D163),"",LARGE(C13:C162,1)+1)</f>
        <v/>
      </c>
      <c r="D163" s="1833"/>
      <c r="E163" s="1810"/>
      <c r="F163" s="1810"/>
      <c r="G163" s="1810"/>
      <c r="H163" s="1810"/>
      <c r="I163" s="1810"/>
      <c r="J163" s="1810"/>
      <c r="K163" s="1810"/>
      <c r="L163" s="1811"/>
      <c r="M163" s="9"/>
      <c r="N163" s="25" t="str">
        <f t="shared" si="74"/>
        <v>►</v>
      </c>
      <c r="O163" s="1616"/>
      <c r="P163" s="9"/>
      <c r="Q163" s="25" t="s">
        <v>15</v>
      </c>
      <c r="R163" s="31"/>
      <c r="S163" s="32"/>
      <c r="T163" s="31"/>
      <c r="U163" s="33"/>
      <c r="V163" s="1967"/>
      <c r="W163" s="1805"/>
      <c r="X163" s="91"/>
      <c r="Y163" s="1806"/>
      <c r="Z163" s="1968"/>
      <c r="AA163" s="2244"/>
      <c r="AB163" s="1969"/>
      <c r="AC163" s="1365"/>
      <c r="AD163" s="95"/>
      <c r="AE163" s="1326"/>
      <c r="AF163" s="97"/>
      <c r="AG163" s="1737"/>
      <c r="AH163" s="1970"/>
      <c r="AI163" s="99"/>
      <c r="AJ163" s="1809"/>
      <c r="AK163" s="6120" t="str">
        <f t="shared" si="75"/>
        <v>►</v>
      </c>
      <c r="AL163" s="781" t="str">
        <f t="shared" si="77"/>
        <v>►</v>
      </c>
      <c r="AM163" s="5499" t="str">
        <f t="shared" si="80"/>
        <v/>
      </c>
      <c r="AN163" s="783" t="str">
        <f t="shared" si="81"/>
        <v/>
      </c>
      <c r="AO163" s="782" t="str">
        <f t="shared" si="82"/>
        <v/>
      </c>
      <c r="AP163" s="783" t="str">
        <f t="shared" si="83"/>
        <v/>
      </c>
      <c r="AQ163" s="2083" t="b">
        <f>AND(Q163="A",COUNTIF(BP16:BR63,TRIM(Z163))&gt;0)</f>
        <v>0</v>
      </c>
      <c r="AR163" s="797" t="str">
        <f>IF(AL163&lt;&gt;"A","",IFERROR(IFERROR(_xlfn.XLOOKUP(TRIM(SUBSTITUTE(Z163,CHAR(160)," ")),BP16:BP63,BS16:BS63),IFERROR(_xlfn.XLOOKUP(TRIM(SUBSTITUTE(Z163,CHAR(160)," ")),BQ16:BQ63,BS16:BS63),_xlfn.XLOOKUP(TRIM(SUBSTITUTE(Z163,CHAR(160)," ")),BR16:BR63,BS16:BS63)))*Y163*IF(ISBLANK(V163),1,V163),0))</f>
        <v/>
      </c>
      <c r="AS163" s="784" t="str">
        <f t="shared" si="73"/>
        <v/>
      </c>
      <c r="AT163" s="1315" t="str">
        <f t="shared" si="84"/>
        <v/>
      </c>
      <c r="AU163" s="785">
        <f t="shared" si="85"/>
        <v>0</v>
      </c>
      <c r="AV163" s="785">
        <f t="shared" si="86"/>
        <v>0</v>
      </c>
      <c r="AW163" s="786">
        <f>IF(AK163="A",AY10,0)</f>
        <v>0</v>
      </c>
      <c r="AX163" s="5495" t="str">
        <f>IF(IFERROR(SEARCH("Adresse PC",TRIM(W163)),0)&gt;0,"▼ receta siguiente",IF(AK163="A",IF(AZ10&lt;&gt;"",AZ10&amp;" - ou.or.o ❾ + or - &gt;",""),""))</f>
        <v/>
      </c>
      <c r="AY163" s="810"/>
      <c r="AZ163" s="810"/>
      <c r="BA163" s="788" t="str">
        <f t="shared" si="76"/>
        <v/>
      </c>
      <c r="BB163" s="789" t="str">
        <f>IF(AK163="A",IF(AQ163,IF(AND(AW163&lt;&gt;"",N(AW163)&gt;0),IFERROR(IFERROR(_xlfn.XLOOKUP(AP163,BP10:BP57,BT10:BT57),IFERROR(_xlfn.XLOOKUP(AP163,BQ10:BQ57,BT10:BT57),_xlfn.XLOOKUP(AP163,BR10:BR57,BT10:BT57,""))),""),""),""),"")</f>
        <v/>
      </c>
      <c r="BC163" s="811" cm="1">
        <f t="array" ref="BC163">IF(NOT(AQ163),0,IF(OR(BA163="",N(BA163)&lt;=0.000000001),"",IF(OR(AU163="",N(AU163)&lt;=0.000000001),0,IF(ISNUMBER(BA163),IFERROR(_xlfn.LET(_xlpm.ai_test,TRIM(AP163),_xlpm.r,IFERROR(_xlfn.XLOOKUP(_xlpm.ai_test,BP16:BP63,ROW(BP16:BP63),0,1),IFERROR(_xlfn.XLOOKUP(_xlpm.ai_test,BQ16:BQ63,ROW(BQ16:BQ63),0,1),_xlfn.XLOOKUP(_xlpm.ai_test,BR16:BR63,ROW(BR16:BR63),0,1))),_xlpm.p,_xlpm.r-MIN(ROW(BP16:BP63))+1,_xlpm.f,INDEX(BS16:BS63,_xlpm.p),_xlpm.u,INDEX(BT16:BT63,_xlpm.p),_xlpm.s,INDEX(BV16:BV63,_xlpm.p),_xlpm.q,N(BA163)/_xlpm.f,IF(_xlpm.q&gt;=_xlpm.s,ROUND(_xlpm.q,1)&amp;" "&amp;_xlpm.ai_test&amp;" = "&amp;ROUND(_xlpm.q*_xlpm.f,1)&amp;" "&amp;_xlpm.u,ROUND(_xlpm.q,1)&amp;" "&amp;_xlpm.ai_test)),""),""))))</f>
        <v>0</v>
      </c>
      <c r="BD163" s="801"/>
      <c r="BE163" s="788" t="str">
        <f t="shared" si="87"/>
        <v/>
      </c>
      <c r="BF163" s="789" t="str">
        <f t="shared" si="88"/>
        <v/>
      </c>
      <c r="BG163" s="790">
        <f t="shared" si="91"/>
        <v>0</v>
      </c>
      <c r="BH163" s="791" t="str">
        <f t="shared" si="92"/>
        <v/>
      </c>
      <c r="BI163" s="792"/>
      <c r="BJ163" s="793">
        <f t="shared" si="90"/>
        <v>0</v>
      </c>
      <c r="BK163" s="794" t="str">
        <f t="shared" si="89"/>
        <v/>
      </c>
      <c r="BL163" s="227" t="s">
        <v>21</v>
      </c>
      <c r="BM163" s="773">
        <f t="shared" si="78"/>
        <v>0</v>
      </c>
      <c r="BN163" s="774">
        <f t="shared" si="79"/>
        <v>0</v>
      </c>
      <c r="BO163"/>
      <c r="BX163"/>
      <c r="BY163"/>
      <c r="BZ163"/>
      <c r="CA163"/>
      <c r="CB163"/>
      <c r="CC163"/>
      <c r="CD163" s="781" t="str">
        <f t="shared" si="72"/>
        <v>►</v>
      </c>
      <c r="CE163"/>
      <c r="CF163"/>
      <c r="CG163"/>
      <c r="CH163"/>
      <c r="CI163"/>
      <c r="CJ163" s="633"/>
      <c r="CK163"/>
      <c r="CL163"/>
      <c r="CM163"/>
      <c r="CN163"/>
      <c r="CO163"/>
      <c r="CP163"/>
      <c r="CQ163"/>
      <c r="CS163"/>
      <c r="CT163"/>
      <c r="CU163"/>
      <c r="CV163"/>
      <c r="CW163"/>
      <c r="CX163"/>
      <c r="CY163"/>
      <c r="DA163"/>
      <c r="DB163"/>
      <c r="DC163"/>
      <c r="DD163"/>
      <c r="DE163"/>
      <c r="DF163"/>
      <c r="DG163"/>
      <c r="DI163" s="3">
        <v>1</v>
      </c>
    </row>
    <row r="164" spans="1:113" s="627" customFormat="1" ht="21" customHeight="1">
      <c r="A164" s="701" t="s">
        <v>21</v>
      </c>
      <c r="B164" s="2265" t="str" cm="1">
        <f t="array" ref="B164">SUMPRODUCT(--(D164:J164&lt;&gt;""), LEN(TRIM(SUBSTITUTE(D164:J164, CHAR(160), "")))) &amp; " Car."</f>
        <v>0 Car.</v>
      </c>
      <c r="C164" s="1376" t="str">
        <f>IF(ISBLANK(D164),"",LARGE(C13:C163,1)+1)</f>
        <v/>
      </c>
      <c r="D164" s="1833"/>
      <c r="E164" s="1810"/>
      <c r="F164" s="1810"/>
      <c r="G164" s="1810"/>
      <c r="H164" s="1810"/>
      <c r="I164" s="1810"/>
      <c r="J164" s="1810"/>
      <c r="K164" s="1810"/>
      <c r="L164" s="1811"/>
      <c r="M164" s="9"/>
      <c r="N164" s="25" t="str">
        <f t="shared" si="74"/>
        <v>►</v>
      </c>
      <c r="O164" s="1616"/>
      <c r="P164" s="9"/>
      <c r="Q164" s="25" t="s">
        <v>15</v>
      </c>
      <c r="R164" s="31"/>
      <c r="S164" s="32"/>
      <c r="T164" s="31"/>
      <c r="U164" s="33"/>
      <c r="V164" s="1967"/>
      <c r="W164" s="1805"/>
      <c r="X164" s="91"/>
      <c r="Y164" s="1806"/>
      <c r="Z164" s="1968"/>
      <c r="AA164" s="2244"/>
      <c r="AB164" s="1969"/>
      <c r="AC164" s="1365"/>
      <c r="AD164" s="95"/>
      <c r="AE164" s="1326"/>
      <c r="AF164" s="97"/>
      <c r="AG164" s="1737"/>
      <c r="AH164" s="1970"/>
      <c r="AI164" s="99"/>
      <c r="AJ164" s="1809"/>
      <c r="AK164" s="6120" t="str">
        <f t="shared" si="75"/>
        <v>►</v>
      </c>
      <c r="AL164" s="781" t="str">
        <f t="shared" si="77"/>
        <v>►</v>
      </c>
      <c r="AM164" s="5498" t="str">
        <f t="shared" si="80"/>
        <v/>
      </c>
      <c r="AN164" s="783" t="str">
        <f t="shared" si="81"/>
        <v/>
      </c>
      <c r="AO164" s="782" t="str">
        <f t="shared" si="82"/>
        <v/>
      </c>
      <c r="AP164" s="783" t="str">
        <f t="shared" si="83"/>
        <v/>
      </c>
      <c r="AQ164" s="2083" t="b">
        <f>AND(Q164="A",COUNTIF(BP16:BR63,TRIM(Z164))&gt;0)</f>
        <v>0</v>
      </c>
      <c r="AR164" s="797" t="str">
        <f>IF(AL164&lt;&gt;"A","",IFERROR(IFERROR(_xlfn.XLOOKUP(TRIM(SUBSTITUTE(Z164,CHAR(160)," ")),BP16:BP63,BS16:BS63),IFERROR(_xlfn.XLOOKUP(TRIM(SUBSTITUTE(Z164,CHAR(160)," ")),BQ16:BQ63,BS16:BS63),_xlfn.XLOOKUP(TRIM(SUBSTITUTE(Z164,CHAR(160)," ")),BR16:BR63,BS16:BS63)))*Y164*IF(ISBLANK(V164),1,V164),0))</f>
        <v/>
      </c>
      <c r="AS164" s="784" t="str">
        <f t="shared" si="73"/>
        <v/>
      </c>
      <c r="AT164" s="1315" t="str">
        <f t="shared" si="84"/>
        <v/>
      </c>
      <c r="AU164" s="785">
        <f t="shared" si="85"/>
        <v>0</v>
      </c>
      <c r="AV164" s="785">
        <f t="shared" si="86"/>
        <v>0</v>
      </c>
      <c r="AW164" s="798">
        <f>IF(AK164="A",AY10,0)</f>
        <v>0</v>
      </c>
      <c r="AX164" s="5496" t="str">
        <f>IF(IFERROR(SEARCH("Adresse PC",TRIM(W164)),0)&gt;0,"▼ receta siguiente",IF(AK164="A",IF(AZ10&lt;&gt;"",AZ10&amp;" - ou.or.o ❾ + or - &gt;",""),""))</f>
        <v/>
      </c>
      <c r="AY164" s="810"/>
      <c r="AZ164" s="810"/>
      <c r="BA164" s="799" t="str">
        <f t="shared" si="76"/>
        <v/>
      </c>
      <c r="BB164" s="800" t="str">
        <f>IF(AK164="A",IF(AQ164,IF(AND(AW164&lt;&gt;"",N(AW164)&gt;0),IFERROR(IFERROR(_xlfn.XLOOKUP(AP164,BP10:BP57,BT10:BT57),IFERROR(_xlfn.XLOOKUP(AP164,BQ10:BQ57,BT10:BT57),_xlfn.XLOOKUP(AP164,BR10:BR57,BT10:BT57,""))),""),""),""),"")</f>
        <v/>
      </c>
      <c r="BC164" s="813" cm="1">
        <f t="array" ref="BC164">IF(NOT(AQ164),0,IF(OR(BA164="",N(BA164)&lt;=0.000000001),"",IF(OR(AU164="",N(AU164)&lt;=0.000000001),0,IF(ISNUMBER(BA164),IFERROR(_xlfn.LET(_xlpm.ai_test,TRIM(AP164),_xlpm.r,IFERROR(_xlfn.XLOOKUP(_xlpm.ai_test,BP16:BP63,ROW(BP16:BP63),0,1),IFERROR(_xlfn.XLOOKUP(_xlpm.ai_test,BQ16:BQ63,ROW(BQ16:BQ63),0,1),_xlfn.XLOOKUP(_xlpm.ai_test,BR16:BR63,ROW(BR16:BR63),0,1))),_xlpm.p,_xlpm.r-MIN(ROW(BP16:BP63))+1,_xlpm.f,INDEX(BS16:BS63,_xlpm.p),_xlpm.u,INDEX(BT16:BT63,_xlpm.p),_xlpm.s,INDEX(BV16:BV63,_xlpm.p),_xlpm.q,N(BA164)/_xlpm.f,IF(_xlpm.q&gt;=_xlpm.s,ROUND(_xlpm.q,1)&amp;" "&amp;_xlpm.ai_test&amp;" = "&amp;ROUND(_xlpm.q*_xlpm.f,1)&amp;" "&amp;_xlpm.u,ROUND(_xlpm.q,1)&amp;" "&amp;_xlpm.ai_test)),""),""))))</f>
        <v>0</v>
      </c>
      <c r="BD164" s="801"/>
      <c r="BE164" s="799" t="str">
        <f t="shared" si="87"/>
        <v/>
      </c>
      <c r="BF164" s="800" t="str">
        <f t="shared" si="88"/>
        <v/>
      </c>
      <c r="BG164" s="802">
        <f t="shared" si="91"/>
        <v>0</v>
      </c>
      <c r="BH164" s="803" t="str">
        <f t="shared" si="92"/>
        <v/>
      </c>
      <c r="BI164" s="792"/>
      <c r="BJ164" s="804">
        <f t="shared" si="90"/>
        <v>0</v>
      </c>
      <c r="BK164" s="794" t="str">
        <f t="shared" si="89"/>
        <v/>
      </c>
      <c r="BL164" s="227" t="s">
        <v>21</v>
      </c>
      <c r="BM164" s="773">
        <f t="shared" si="78"/>
        <v>0</v>
      </c>
      <c r="BN164" s="774">
        <f t="shared" si="79"/>
        <v>0</v>
      </c>
      <c r="BO164"/>
      <c r="BX164"/>
      <c r="BY164"/>
      <c r="BZ164"/>
      <c r="CA164"/>
      <c r="CB164"/>
      <c r="CC164"/>
      <c r="CD164" s="781" t="str">
        <f t="shared" si="72"/>
        <v>►</v>
      </c>
      <c r="CE164"/>
      <c r="CF164"/>
      <c r="CG164"/>
      <c r="CH164"/>
      <c r="CI164"/>
      <c r="CJ164" s="633"/>
      <c r="CK164"/>
      <c r="CL164"/>
      <c r="CM164"/>
      <c r="CN164"/>
      <c r="CO164"/>
      <c r="CP164"/>
      <c r="CQ164"/>
      <c r="CS164"/>
      <c r="CT164"/>
      <c r="CU164"/>
      <c r="CV164"/>
      <c r="CW164"/>
      <c r="CX164"/>
      <c r="CY164"/>
      <c r="DA164"/>
      <c r="DB164"/>
      <c r="DC164"/>
      <c r="DD164"/>
      <c r="DE164"/>
      <c r="DF164"/>
      <c r="DG164"/>
      <c r="DI164" s="3">
        <v>1</v>
      </c>
    </row>
    <row r="165" spans="1:113" s="627" customFormat="1" ht="21" customHeight="1">
      <c r="A165" s="701" t="s">
        <v>21</v>
      </c>
      <c r="B165" s="2265" t="str" cm="1">
        <f t="array" ref="B165">SUMPRODUCT(--(D165:J165&lt;&gt;""), LEN(TRIM(SUBSTITUTE(D165:J165, CHAR(160), "")))) &amp; " Car."</f>
        <v>0 Car.</v>
      </c>
      <c r="C165" s="1376" t="str">
        <f>IF(ISBLANK(D165),"",LARGE(C13:C164,1)+1)</f>
        <v/>
      </c>
      <c r="D165" s="1833"/>
      <c r="E165" s="1810"/>
      <c r="F165" s="1810"/>
      <c r="G165" s="1810"/>
      <c r="H165" s="1810"/>
      <c r="I165" s="1810"/>
      <c r="J165" s="1810"/>
      <c r="K165" s="1810"/>
      <c r="L165" s="1811"/>
      <c r="M165" s="9"/>
      <c r="N165" s="25" t="str">
        <f t="shared" si="74"/>
        <v>►</v>
      </c>
      <c r="O165" s="1616"/>
      <c r="P165" s="9"/>
      <c r="Q165" s="25" t="s">
        <v>15</v>
      </c>
      <c r="R165" s="31"/>
      <c r="S165" s="32"/>
      <c r="T165" s="31"/>
      <c r="U165" s="33"/>
      <c r="V165" s="1967"/>
      <c r="W165" s="1805"/>
      <c r="X165" s="91"/>
      <c r="Y165" s="1806"/>
      <c r="Z165" s="1968"/>
      <c r="AA165" s="2244"/>
      <c r="AB165" s="1969"/>
      <c r="AC165" s="1365"/>
      <c r="AD165" s="95"/>
      <c r="AE165" s="1326"/>
      <c r="AF165" s="97"/>
      <c r="AG165" s="1737"/>
      <c r="AH165" s="1970"/>
      <c r="AI165" s="99"/>
      <c r="AJ165" s="1809"/>
      <c r="AK165" s="6120" t="str">
        <f t="shared" si="75"/>
        <v>►</v>
      </c>
      <c r="AL165" s="781" t="str">
        <f t="shared" si="77"/>
        <v>►</v>
      </c>
      <c r="AM165" s="5499" t="str">
        <f t="shared" si="80"/>
        <v/>
      </c>
      <c r="AN165" s="783" t="str">
        <f t="shared" si="81"/>
        <v/>
      </c>
      <c r="AO165" s="782" t="str">
        <f t="shared" si="82"/>
        <v/>
      </c>
      <c r="AP165" s="783" t="str">
        <f t="shared" si="83"/>
        <v/>
      </c>
      <c r="AQ165" s="2083" t="b">
        <f>AND(Q165="A",COUNTIF(BP16:BR63,TRIM(Z165))&gt;0)</f>
        <v>0</v>
      </c>
      <c r="AR165" s="797" t="str">
        <f>IF(AL165&lt;&gt;"A","",IFERROR(IFERROR(_xlfn.XLOOKUP(TRIM(SUBSTITUTE(Z165,CHAR(160)," ")),BP16:BP63,BS16:BS63),IFERROR(_xlfn.XLOOKUP(TRIM(SUBSTITUTE(Z165,CHAR(160)," ")),BQ16:BQ63,BS16:BS63),_xlfn.XLOOKUP(TRIM(SUBSTITUTE(Z165,CHAR(160)," ")),BR16:BR63,BS16:BS63)))*Y165*IF(ISBLANK(V165),1,V165),0))</f>
        <v/>
      </c>
      <c r="AS165" s="784" t="str">
        <f t="shared" si="73"/>
        <v/>
      </c>
      <c r="AT165" s="1315" t="str">
        <f t="shared" si="84"/>
        <v/>
      </c>
      <c r="AU165" s="785">
        <f t="shared" si="85"/>
        <v>0</v>
      </c>
      <c r="AV165" s="785">
        <f t="shared" si="86"/>
        <v>0</v>
      </c>
      <c r="AW165" s="786">
        <f>IF(AK165="A",AY10,0)</f>
        <v>0</v>
      </c>
      <c r="AX165" s="5495" t="str">
        <f>IF(IFERROR(SEARCH("Adresse PC",TRIM(W165)),0)&gt;0,"▼ receta siguiente",IF(AK165="A",IF(AZ10&lt;&gt;"",AZ10&amp;" - ou.or.o ❾ + or - &gt;",""),""))</f>
        <v/>
      </c>
      <c r="AY165" s="810"/>
      <c r="AZ165" s="810"/>
      <c r="BA165" s="788" t="str">
        <f t="shared" si="76"/>
        <v/>
      </c>
      <c r="BB165" s="789" t="str">
        <f>IF(AK165="A",IF(AQ165,IF(AND(AW165&lt;&gt;"",N(AW165)&gt;0),IFERROR(IFERROR(_xlfn.XLOOKUP(AP165,BP10:BP57,BT10:BT57),IFERROR(_xlfn.XLOOKUP(AP165,BQ10:BQ57,BT10:BT57),_xlfn.XLOOKUP(AP165,BR10:BR57,BT10:BT57,""))),""),""),""),"")</f>
        <v/>
      </c>
      <c r="BC165" s="811" cm="1">
        <f t="array" ref="BC165">IF(NOT(AQ165),0,IF(OR(BA165="",N(BA165)&lt;=0.000000001),"",IF(OR(AU165="",N(AU165)&lt;=0.000000001),0,IF(ISNUMBER(BA165),IFERROR(_xlfn.LET(_xlpm.ai_test,TRIM(AP165),_xlpm.r,IFERROR(_xlfn.XLOOKUP(_xlpm.ai_test,BP16:BP63,ROW(BP16:BP63),0,1),IFERROR(_xlfn.XLOOKUP(_xlpm.ai_test,BQ16:BQ63,ROW(BQ16:BQ63),0,1),_xlfn.XLOOKUP(_xlpm.ai_test,BR16:BR63,ROW(BR16:BR63),0,1))),_xlpm.p,_xlpm.r-MIN(ROW(BP16:BP63))+1,_xlpm.f,INDEX(BS16:BS63,_xlpm.p),_xlpm.u,INDEX(BT16:BT63,_xlpm.p),_xlpm.s,INDEX(BV16:BV63,_xlpm.p),_xlpm.q,N(BA165)/_xlpm.f,IF(_xlpm.q&gt;=_xlpm.s,ROUND(_xlpm.q,1)&amp;" "&amp;_xlpm.ai_test&amp;" = "&amp;ROUND(_xlpm.q*_xlpm.f,1)&amp;" "&amp;_xlpm.u,ROUND(_xlpm.q,1)&amp;" "&amp;_xlpm.ai_test)),""),""))))</f>
        <v>0</v>
      </c>
      <c r="BD165" s="801"/>
      <c r="BE165" s="788" t="str">
        <f t="shared" si="87"/>
        <v/>
      </c>
      <c r="BF165" s="789" t="str">
        <f t="shared" si="88"/>
        <v/>
      </c>
      <c r="BG165" s="790">
        <f t="shared" si="91"/>
        <v>0</v>
      </c>
      <c r="BH165" s="791" t="str">
        <f t="shared" si="92"/>
        <v/>
      </c>
      <c r="BI165" s="792"/>
      <c r="BJ165" s="793">
        <f t="shared" si="90"/>
        <v>0</v>
      </c>
      <c r="BK165" s="794" t="str">
        <f t="shared" si="89"/>
        <v/>
      </c>
      <c r="BL165" s="227" t="s">
        <v>21</v>
      </c>
      <c r="BM165" s="773">
        <f t="shared" si="78"/>
        <v>0</v>
      </c>
      <c r="BN165" s="774">
        <f t="shared" si="79"/>
        <v>0</v>
      </c>
      <c r="BO165"/>
      <c r="BX165"/>
      <c r="BY165"/>
      <c r="BZ165"/>
      <c r="CA165"/>
      <c r="CB165"/>
      <c r="CC165"/>
      <c r="CD165" s="781" t="str">
        <f t="shared" si="72"/>
        <v>►</v>
      </c>
      <c r="CE165"/>
      <c r="CF165"/>
      <c r="CG165"/>
      <c r="CH165"/>
      <c r="CI165"/>
      <c r="CJ165" s="633"/>
      <c r="CK165"/>
      <c r="CL165"/>
      <c r="CM165"/>
      <c r="CN165"/>
      <c r="CO165"/>
      <c r="CP165"/>
      <c r="CQ165"/>
      <c r="CS165"/>
      <c r="CT165"/>
      <c r="CU165"/>
      <c r="CV165"/>
      <c r="CW165"/>
      <c r="CX165"/>
      <c r="CY165"/>
      <c r="DA165"/>
      <c r="DB165"/>
      <c r="DC165"/>
      <c r="DD165"/>
      <c r="DE165"/>
      <c r="DF165"/>
      <c r="DG165"/>
      <c r="DI165" s="3">
        <v>1</v>
      </c>
    </row>
    <row r="166" spans="1:113" s="627" customFormat="1" ht="21" customHeight="1">
      <c r="A166" s="701" t="s">
        <v>21</v>
      </c>
      <c r="B166" s="2265" t="str" cm="1">
        <f t="array" ref="B166">SUMPRODUCT(--(D166:J166&lt;&gt;""), LEN(TRIM(SUBSTITUTE(D166:J166, CHAR(160), "")))) &amp; " Car."</f>
        <v>0 Car.</v>
      </c>
      <c r="C166" s="1376" t="str">
        <f>IF(ISBLANK(D166),"",LARGE(C13:C165,1)+1)</f>
        <v/>
      </c>
      <c r="D166" s="1833"/>
      <c r="E166" s="1810"/>
      <c r="F166" s="1810"/>
      <c r="G166" s="1810"/>
      <c r="H166" s="1810"/>
      <c r="I166" s="1810"/>
      <c r="J166" s="1810"/>
      <c r="K166" s="1810"/>
      <c r="L166" s="1811"/>
      <c r="M166" s="9"/>
      <c r="N166" s="25" t="str">
        <f t="shared" si="74"/>
        <v>►</v>
      </c>
      <c r="O166" s="1616"/>
      <c r="P166" s="9"/>
      <c r="Q166" s="25" t="s">
        <v>15</v>
      </c>
      <c r="R166" s="31"/>
      <c r="S166" s="32"/>
      <c r="T166" s="31"/>
      <c r="U166" s="33"/>
      <c r="V166" s="1967"/>
      <c r="W166" s="1805"/>
      <c r="X166" s="91"/>
      <c r="Y166" s="1806"/>
      <c r="Z166" s="1968"/>
      <c r="AA166" s="2244"/>
      <c r="AB166" s="1969"/>
      <c r="AC166" s="1365"/>
      <c r="AD166" s="95"/>
      <c r="AE166" s="1326"/>
      <c r="AF166" s="97"/>
      <c r="AG166" s="1737"/>
      <c r="AH166" s="1970"/>
      <c r="AI166" s="99"/>
      <c r="AJ166" s="1809"/>
      <c r="AK166" s="6120" t="str">
        <f t="shared" si="75"/>
        <v>►</v>
      </c>
      <c r="AL166" s="781" t="str">
        <f t="shared" si="77"/>
        <v>►</v>
      </c>
      <c r="AM166" s="5498" t="str">
        <f t="shared" si="80"/>
        <v/>
      </c>
      <c r="AN166" s="783" t="str">
        <f t="shared" si="81"/>
        <v/>
      </c>
      <c r="AO166" s="782" t="str">
        <f t="shared" si="82"/>
        <v/>
      </c>
      <c r="AP166" s="783" t="str">
        <f t="shared" si="83"/>
        <v/>
      </c>
      <c r="AQ166" s="2083" t="b">
        <f>AND(Q166="A",COUNTIF(BP16:BR63,TRIM(Z166))&gt;0)</f>
        <v>0</v>
      </c>
      <c r="AR166" s="797" t="str">
        <f>IF(AL166&lt;&gt;"A","",IFERROR(IFERROR(_xlfn.XLOOKUP(TRIM(SUBSTITUTE(Z166,CHAR(160)," ")),BP16:BP63,BS16:BS63),IFERROR(_xlfn.XLOOKUP(TRIM(SUBSTITUTE(Z166,CHAR(160)," ")),BQ16:BQ63,BS16:BS63),_xlfn.XLOOKUP(TRIM(SUBSTITUTE(Z166,CHAR(160)," ")),BR16:BR63,BS16:BS63)))*Y166*IF(ISBLANK(V166),1,V166),0))</f>
        <v/>
      </c>
      <c r="AS166" s="784" t="str">
        <f t="shared" si="73"/>
        <v/>
      </c>
      <c r="AT166" s="1315" t="str">
        <f t="shared" si="84"/>
        <v/>
      </c>
      <c r="AU166" s="785">
        <f t="shared" si="85"/>
        <v>0</v>
      </c>
      <c r="AV166" s="785">
        <f t="shared" si="86"/>
        <v>0</v>
      </c>
      <c r="AW166" s="798">
        <f>IF(AK166="A",AY10,0)</f>
        <v>0</v>
      </c>
      <c r="AX166" s="5496" t="str">
        <f>IF(IFERROR(SEARCH("Adresse PC",TRIM(W166)),0)&gt;0,"▼ receta siguiente",IF(AK166="A",IF(AZ10&lt;&gt;"",AZ10&amp;" - ou.or.o ❾ + or - &gt;",""),""))</f>
        <v/>
      </c>
      <c r="AY166" s="810"/>
      <c r="AZ166" s="810"/>
      <c r="BA166" s="799" t="str">
        <f t="shared" si="76"/>
        <v/>
      </c>
      <c r="BB166" s="800" t="str">
        <f>IF(AK166="A",IF(AQ166,IF(AND(AW166&lt;&gt;"",N(AW166)&gt;0),IFERROR(IFERROR(_xlfn.XLOOKUP(AP166,BP10:BP57,BT10:BT57),IFERROR(_xlfn.XLOOKUP(AP166,BQ10:BQ57,BT10:BT57),_xlfn.XLOOKUP(AP166,BR10:BR57,BT10:BT57,""))),""),""),""),"")</f>
        <v/>
      </c>
      <c r="BC166" s="813" cm="1">
        <f t="array" ref="BC166">IF(NOT(AQ166),0,IF(OR(BA166="",N(BA166)&lt;=0.000000001),"",IF(OR(AU166="",N(AU166)&lt;=0.000000001),0,IF(ISNUMBER(BA166),IFERROR(_xlfn.LET(_xlpm.ai_test,TRIM(AP166),_xlpm.r,IFERROR(_xlfn.XLOOKUP(_xlpm.ai_test,BP16:BP63,ROW(BP16:BP63),0,1),IFERROR(_xlfn.XLOOKUP(_xlpm.ai_test,BQ16:BQ63,ROW(BQ16:BQ63),0,1),_xlfn.XLOOKUP(_xlpm.ai_test,BR16:BR63,ROW(BR16:BR63),0,1))),_xlpm.p,_xlpm.r-MIN(ROW(BP16:BP63))+1,_xlpm.f,INDEX(BS16:BS63,_xlpm.p),_xlpm.u,INDEX(BT16:BT63,_xlpm.p),_xlpm.s,INDEX(BV16:BV63,_xlpm.p),_xlpm.q,N(BA166)/_xlpm.f,IF(_xlpm.q&gt;=_xlpm.s,ROUND(_xlpm.q,1)&amp;" "&amp;_xlpm.ai_test&amp;" = "&amp;ROUND(_xlpm.q*_xlpm.f,1)&amp;" "&amp;_xlpm.u,ROUND(_xlpm.q,1)&amp;" "&amp;_xlpm.ai_test)),""),""))))</f>
        <v>0</v>
      </c>
      <c r="BD166" s="801"/>
      <c r="BE166" s="799" t="str">
        <f t="shared" si="87"/>
        <v/>
      </c>
      <c r="BF166" s="800" t="str">
        <f t="shared" si="88"/>
        <v/>
      </c>
      <c r="BG166" s="802">
        <f t="shared" si="91"/>
        <v>0</v>
      </c>
      <c r="BH166" s="803" t="str">
        <f t="shared" si="92"/>
        <v/>
      </c>
      <c r="BI166" s="792"/>
      <c r="BJ166" s="804">
        <f t="shared" si="90"/>
        <v>0</v>
      </c>
      <c r="BK166" s="794" t="str">
        <f t="shared" si="89"/>
        <v/>
      </c>
      <c r="BL166" s="227" t="s">
        <v>21</v>
      </c>
      <c r="BM166" s="773">
        <f t="shared" si="78"/>
        <v>0</v>
      </c>
      <c r="BN166" s="774">
        <f t="shared" si="79"/>
        <v>0</v>
      </c>
      <c r="BO166"/>
      <c r="BX166"/>
      <c r="BY166"/>
      <c r="BZ166"/>
      <c r="CA166"/>
      <c r="CB166"/>
      <c r="CC166"/>
      <c r="CD166" s="781" t="str">
        <f t="shared" si="72"/>
        <v>►</v>
      </c>
      <c r="CE166"/>
      <c r="CF166"/>
      <c r="CG166"/>
      <c r="CH166"/>
      <c r="CI166"/>
      <c r="CJ166" s="633"/>
      <c r="CK166"/>
      <c r="CL166"/>
      <c r="CM166"/>
      <c r="CN166"/>
      <c r="CO166"/>
      <c r="CP166"/>
      <c r="CQ166"/>
      <c r="CS166"/>
      <c r="CT166"/>
      <c r="CU166"/>
      <c r="CV166"/>
      <c r="CW166"/>
      <c r="CX166"/>
      <c r="CY166"/>
      <c r="DA166"/>
      <c r="DB166"/>
      <c r="DC166"/>
      <c r="DD166"/>
      <c r="DE166"/>
      <c r="DF166"/>
      <c r="DG166"/>
      <c r="DI166" s="3">
        <v>1</v>
      </c>
    </row>
    <row r="167" spans="1:113" s="627" customFormat="1" ht="21" customHeight="1">
      <c r="A167" s="701" t="s">
        <v>21</v>
      </c>
      <c r="B167" s="2265" t="str" cm="1">
        <f t="array" ref="B167">SUMPRODUCT(--(D167:J167&lt;&gt;""), LEN(TRIM(SUBSTITUTE(D167:J167, CHAR(160), "")))) &amp; " Car."</f>
        <v>0 Car.</v>
      </c>
      <c r="C167" s="1376" t="str">
        <f>IF(ISBLANK(D167),"",LARGE(C13:C166,1)+1)</f>
        <v/>
      </c>
      <c r="D167" s="1833"/>
      <c r="E167" s="1810"/>
      <c r="F167" s="1810"/>
      <c r="G167" s="1810"/>
      <c r="H167" s="1810"/>
      <c r="I167" s="1810"/>
      <c r="J167" s="1810"/>
      <c r="K167" s="1810"/>
      <c r="L167" s="1811"/>
      <c r="M167" s="9"/>
      <c r="N167" s="25" t="str">
        <f t="shared" si="74"/>
        <v>►</v>
      </c>
      <c r="O167" s="1616"/>
      <c r="P167" s="9"/>
      <c r="Q167" s="25" t="s">
        <v>15</v>
      </c>
      <c r="R167" s="31"/>
      <c r="S167" s="32"/>
      <c r="T167" s="31"/>
      <c r="U167" s="33"/>
      <c r="V167" s="1967"/>
      <c r="W167" s="1805"/>
      <c r="X167" s="91"/>
      <c r="Y167" s="1806"/>
      <c r="Z167" s="1968"/>
      <c r="AA167" s="2244"/>
      <c r="AB167" s="1969"/>
      <c r="AC167" s="1365"/>
      <c r="AD167" s="95"/>
      <c r="AE167" s="1326"/>
      <c r="AF167" s="97"/>
      <c r="AG167" s="1737"/>
      <c r="AH167" s="1970"/>
      <c r="AI167" s="99"/>
      <c r="AJ167" s="1809"/>
      <c r="AK167" s="6120" t="str">
        <f t="shared" si="75"/>
        <v>►</v>
      </c>
      <c r="AL167" s="781" t="str">
        <f t="shared" si="77"/>
        <v>►</v>
      </c>
      <c r="AM167" s="5499" t="str">
        <f t="shared" si="80"/>
        <v/>
      </c>
      <c r="AN167" s="783" t="str">
        <f t="shared" si="81"/>
        <v/>
      </c>
      <c r="AO167" s="782" t="str">
        <f t="shared" si="82"/>
        <v/>
      </c>
      <c r="AP167" s="783" t="str">
        <f t="shared" si="83"/>
        <v/>
      </c>
      <c r="AQ167" s="2083" t="b">
        <f>AND(Q167="A",COUNTIF(BP16:BR63,TRIM(Z167))&gt;0)</f>
        <v>0</v>
      </c>
      <c r="AR167" s="797" t="str">
        <f>IF(AL167&lt;&gt;"A","",IFERROR(IFERROR(_xlfn.XLOOKUP(TRIM(SUBSTITUTE(Z167,CHAR(160)," ")),BP16:BP63,BS16:BS63),IFERROR(_xlfn.XLOOKUP(TRIM(SUBSTITUTE(Z167,CHAR(160)," ")),BQ16:BQ63,BS16:BS63),_xlfn.XLOOKUP(TRIM(SUBSTITUTE(Z167,CHAR(160)," ")),BR16:BR63,BS16:BS63)))*Y167*IF(ISBLANK(V167),1,V167),0))</f>
        <v/>
      </c>
      <c r="AS167" s="784" t="str">
        <f t="shared" si="73"/>
        <v/>
      </c>
      <c r="AT167" s="1315" t="str">
        <f t="shared" si="84"/>
        <v/>
      </c>
      <c r="AU167" s="785">
        <f t="shared" si="85"/>
        <v>0</v>
      </c>
      <c r="AV167" s="785">
        <f t="shared" si="86"/>
        <v>0</v>
      </c>
      <c r="AW167" s="786">
        <f>IF(AK167="A",AY10,0)</f>
        <v>0</v>
      </c>
      <c r="AX167" s="5495" t="str">
        <f>IF(IFERROR(SEARCH("Adresse PC",TRIM(W167)),0)&gt;0,"▼ receta siguiente",IF(AK167="A",IF(AZ10&lt;&gt;"",AZ10&amp;" - ou.or.o ❾ + or - &gt;",""),""))</f>
        <v/>
      </c>
      <c r="AY167" s="810"/>
      <c r="AZ167" s="810"/>
      <c r="BA167" s="788" t="str">
        <f t="shared" si="76"/>
        <v/>
      </c>
      <c r="BB167" s="789" t="str">
        <f>IF(AK167="A",IF(AQ167,IF(AND(AW167&lt;&gt;"",N(AW167)&gt;0),IFERROR(IFERROR(_xlfn.XLOOKUP(AP167,BP10:BP57,BT10:BT57),IFERROR(_xlfn.XLOOKUP(AP167,BQ10:BQ57,BT10:BT57),_xlfn.XLOOKUP(AP167,BR10:BR57,BT10:BT57,""))),""),""),""),"")</f>
        <v/>
      </c>
      <c r="BC167" s="811" cm="1">
        <f t="array" ref="BC167">IF(NOT(AQ167),0,IF(OR(BA167="",N(BA167)&lt;=0.000000001),"",IF(OR(AU167="",N(AU167)&lt;=0.000000001),0,IF(ISNUMBER(BA167),IFERROR(_xlfn.LET(_xlpm.ai_test,TRIM(AP167),_xlpm.r,IFERROR(_xlfn.XLOOKUP(_xlpm.ai_test,BP16:BP63,ROW(BP16:BP63),0,1),IFERROR(_xlfn.XLOOKUP(_xlpm.ai_test,BQ16:BQ63,ROW(BQ16:BQ63),0,1),_xlfn.XLOOKUP(_xlpm.ai_test,BR16:BR63,ROW(BR16:BR63),0,1))),_xlpm.p,_xlpm.r-MIN(ROW(BP16:BP63))+1,_xlpm.f,INDEX(BS16:BS63,_xlpm.p),_xlpm.u,INDEX(BT16:BT63,_xlpm.p),_xlpm.s,INDEX(BV16:BV63,_xlpm.p),_xlpm.q,N(BA167)/_xlpm.f,IF(_xlpm.q&gt;=_xlpm.s,ROUND(_xlpm.q,1)&amp;" "&amp;_xlpm.ai_test&amp;" = "&amp;ROUND(_xlpm.q*_xlpm.f,1)&amp;" "&amp;_xlpm.u,ROUND(_xlpm.q,1)&amp;" "&amp;_xlpm.ai_test)),""),""))))</f>
        <v>0</v>
      </c>
      <c r="BD167" s="801"/>
      <c r="BE167" s="788" t="str">
        <f t="shared" si="87"/>
        <v/>
      </c>
      <c r="BF167" s="789" t="str">
        <f t="shared" si="88"/>
        <v/>
      </c>
      <c r="BG167" s="790">
        <f t="shared" si="91"/>
        <v>0</v>
      </c>
      <c r="BH167" s="791" t="str">
        <f t="shared" si="92"/>
        <v/>
      </c>
      <c r="BI167" s="792"/>
      <c r="BJ167" s="793">
        <f t="shared" si="90"/>
        <v>0</v>
      </c>
      <c r="BK167" s="794" t="str">
        <f t="shared" si="89"/>
        <v/>
      </c>
      <c r="BL167" s="227" t="s">
        <v>21</v>
      </c>
      <c r="BM167" s="773">
        <f t="shared" si="78"/>
        <v>0</v>
      </c>
      <c r="BN167" s="774">
        <f t="shared" si="79"/>
        <v>0</v>
      </c>
      <c r="BO167"/>
      <c r="BX167"/>
      <c r="BY167"/>
      <c r="BZ167"/>
      <c r="CA167"/>
      <c r="CB167"/>
      <c r="CC167"/>
      <c r="CD167" s="781" t="str">
        <f t="shared" si="72"/>
        <v>►</v>
      </c>
      <c r="CE167"/>
      <c r="CF167"/>
      <c r="CG167"/>
      <c r="CH167"/>
      <c r="CI167"/>
      <c r="CJ167" s="633"/>
      <c r="CK167"/>
      <c r="CL167"/>
      <c r="CM167"/>
      <c r="CN167"/>
      <c r="CO167"/>
      <c r="CP167"/>
      <c r="CQ167"/>
      <c r="CS167"/>
      <c r="CT167"/>
      <c r="CU167"/>
      <c r="CV167"/>
      <c r="CW167"/>
      <c r="CX167"/>
      <c r="CY167"/>
      <c r="DA167"/>
      <c r="DB167"/>
      <c r="DC167"/>
      <c r="DD167"/>
      <c r="DE167"/>
      <c r="DF167"/>
      <c r="DG167"/>
      <c r="DI167" s="3">
        <v>1</v>
      </c>
    </row>
    <row r="168" spans="1:113" s="627" customFormat="1" ht="21" customHeight="1">
      <c r="A168" s="701" t="s">
        <v>21</v>
      </c>
      <c r="B168" s="2265" t="str" cm="1">
        <f t="array" ref="B168">SUMPRODUCT(--(D168:J168&lt;&gt;""), LEN(TRIM(SUBSTITUTE(D168:J168, CHAR(160), "")))) &amp; " Car."</f>
        <v>0 Car.</v>
      </c>
      <c r="C168" s="1376" t="str">
        <f>IF(ISBLANK(D168),"",LARGE(C13:C167,1)+1)</f>
        <v/>
      </c>
      <c r="D168" s="1833"/>
      <c r="E168" s="1810"/>
      <c r="F168" s="1810"/>
      <c r="G168" s="1810"/>
      <c r="H168" s="1810"/>
      <c r="I168" s="1810"/>
      <c r="J168" s="1810"/>
      <c r="K168" s="1810"/>
      <c r="L168" s="1811"/>
      <c r="M168" s="9"/>
      <c r="N168" s="25" t="str">
        <f t="shared" si="74"/>
        <v>►</v>
      </c>
      <c r="O168" s="1616"/>
      <c r="P168" s="9"/>
      <c r="Q168" s="25" t="s">
        <v>15</v>
      </c>
      <c r="R168" s="31"/>
      <c r="S168" s="32"/>
      <c r="T168" s="31"/>
      <c r="U168" s="33"/>
      <c r="V168" s="1967"/>
      <c r="W168" s="1805"/>
      <c r="X168" s="91"/>
      <c r="Y168" s="1806"/>
      <c r="Z168" s="1968"/>
      <c r="AA168" s="2244"/>
      <c r="AB168" s="1969"/>
      <c r="AC168" s="1365"/>
      <c r="AD168" s="95"/>
      <c r="AE168" s="1326"/>
      <c r="AF168" s="97"/>
      <c r="AG168" s="1737"/>
      <c r="AH168" s="1970"/>
      <c r="AI168" s="99"/>
      <c r="AJ168" s="1809"/>
      <c r="AK168" s="6120" t="str">
        <f t="shared" si="75"/>
        <v>►</v>
      </c>
      <c r="AL168" s="781" t="str">
        <f t="shared" si="77"/>
        <v>►</v>
      </c>
      <c r="AM168" s="5498" t="str">
        <f t="shared" si="80"/>
        <v/>
      </c>
      <c r="AN168" s="783" t="str">
        <f t="shared" si="81"/>
        <v/>
      </c>
      <c r="AO168" s="782" t="str">
        <f t="shared" si="82"/>
        <v/>
      </c>
      <c r="AP168" s="783" t="str">
        <f t="shared" si="83"/>
        <v/>
      </c>
      <c r="AQ168" s="2083" t="b">
        <f>AND(Q168="A",COUNTIF(BP16:BR63,TRIM(Z168))&gt;0)</f>
        <v>0</v>
      </c>
      <c r="AR168" s="797" t="str">
        <f>IF(AL168&lt;&gt;"A","",IFERROR(IFERROR(_xlfn.XLOOKUP(TRIM(SUBSTITUTE(Z168,CHAR(160)," ")),BP16:BP63,BS16:BS63),IFERROR(_xlfn.XLOOKUP(TRIM(SUBSTITUTE(Z168,CHAR(160)," ")),BQ16:BQ63,BS16:BS63),_xlfn.XLOOKUP(TRIM(SUBSTITUTE(Z168,CHAR(160)," ")),BR16:BR63,BS16:BS63)))*Y168*IF(ISBLANK(V168),1,V168),0))</f>
        <v/>
      </c>
      <c r="AS168" s="784" t="str">
        <f t="shared" si="73"/>
        <v/>
      </c>
      <c r="AT168" s="1315" t="str">
        <f t="shared" si="84"/>
        <v/>
      </c>
      <c r="AU168" s="785">
        <f t="shared" si="85"/>
        <v>0</v>
      </c>
      <c r="AV168" s="785">
        <f t="shared" si="86"/>
        <v>0</v>
      </c>
      <c r="AW168" s="798">
        <f>IF(AK168="A",AY10,0)</f>
        <v>0</v>
      </c>
      <c r="AX168" s="5496" t="str">
        <f>IF(IFERROR(SEARCH("Adresse PC",TRIM(W168)),0)&gt;0,"▼ receta siguiente",IF(AK168="A",IF(AZ10&lt;&gt;"",AZ10&amp;" - ou.or.o ❾ + or - &gt;",""),""))</f>
        <v/>
      </c>
      <c r="AY168" s="810"/>
      <c r="AZ168" s="810"/>
      <c r="BA168" s="799" t="str">
        <f t="shared" si="76"/>
        <v/>
      </c>
      <c r="BB168" s="800" t="str">
        <f>IF(AK168="A",IF(AQ168,IF(AND(AW168&lt;&gt;"",N(AW168)&gt;0),IFERROR(IFERROR(_xlfn.XLOOKUP(AP168,BP10:BP57,BT10:BT57),IFERROR(_xlfn.XLOOKUP(AP168,BQ10:BQ57,BT10:BT57),_xlfn.XLOOKUP(AP168,BR10:BR57,BT10:BT57,""))),""),""),""),"")</f>
        <v/>
      </c>
      <c r="BC168" s="813" cm="1">
        <f t="array" ref="BC168">IF(NOT(AQ168),0,IF(OR(BA168="",N(BA168)&lt;=0.000000001),"",IF(OR(AU168="",N(AU168)&lt;=0.000000001),0,IF(ISNUMBER(BA168),IFERROR(_xlfn.LET(_xlpm.ai_test,TRIM(AP168),_xlpm.r,IFERROR(_xlfn.XLOOKUP(_xlpm.ai_test,BP16:BP63,ROW(BP16:BP63),0,1),IFERROR(_xlfn.XLOOKUP(_xlpm.ai_test,BQ16:BQ63,ROW(BQ16:BQ63),0,1),_xlfn.XLOOKUP(_xlpm.ai_test,BR16:BR63,ROW(BR16:BR63),0,1))),_xlpm.p,_xlpm.r-MIN(ROW(BP16:BP63))+1,_xlpm.f,INDEX(BS16:BS63,_xlpm.p),_xlpm.u,INDEX(BT16:BT63,_xlpm.p),_xlpm.s,INDEX(BV16:BV63,_xlpm.p),_xlpm.q,N(BA168)/_xlpm.f,IF(_xlpm.q&gt;=_xlpm.s,ROUND(_xlpm.q,1)&amp;" "&amp;_xlpm.ai_test&amp;" = "&amp;ROUND(_xlpm.q*_xlpm.f,1)&amp;" "&amp;_xlpm.u,ROUND(_xlpm.q,1)&amp;" "&amp;_xlpm.ai_test)),""),""))))</f>
        <v>0</v>
      </c>
      <c r="BD168" s="801"/>
      <c r="BE168" s="799" t="str">
        <f t="shared" si="87"/>
        <v/>
      </c>
      <c r="BF168" s="800" t="str">
        <f t="shared" si="88"/>
        <v/>
      </c>
      <c r="BG168" s="802">
        <f t="shared" si="91"/>
        <v>0</v>
      </c>
      <c r="BH168" s="803" t="str">
        <f t="shared" si="92"/>
        <v/>
      </c>
      <c r="BI168" s="792"/>
      <c r="BJ168" s="804">
        <f t="shared" si="90"/>
        <v>0</v>
      </c>
      <c r="BK168" s="794" t="str">
        <f t="shared" si="89"/>
        <v/>
      </c>
      <c r="BL168" s="227" t="s">
        <v>21</v>
      </c>
      <c r="BM168" s="773">
        <f t="shared" si="78"/>
        <v>0</v>
      </c>
      <c r="BN168" s="774">
        <f t="shared" si="79"/>
        <v>0</v>
      </c>
      <c r="BO168"/>
      <c r="BX168"/>
      <c r="BY168"/>
      <c r="BZ168"/>
      <c r="CA168"/>
      <c r="CB168"/>
      <c r="CC168"/>
      <c r="CD168" s="781" t="str">
        <f t="shared" si="72"/>
        <v>►</v>
      </c>
      <c r="CE168"/>
      <c r="CF168"/>
      <c r="CG168"/>
      <c r="CH168"/>
      <c r="CI168"/>
      <c r="CJ168" s="633"/>
      <c r="CK168"/>
      <c r="CL168"/>
      <c r="CM168"/>
      <c r="CN168"/>
      <c r="CO168"/>
      <c r="CP168"/>
      <c r="CQ168"/>
      <c r="CS168"/>
      <c r="CT168"/>
      <c r="CU168"/>
      <c r="CV168"/>
      <c r="CW168"/>
      <c r="CX168"/>
      <c r="CY168"/>
      <c r="DA168"/>
      <c r="DB168"/>
      <c r="DC168"/>
      <c r="DD168"/>
      <c r="DE168"/>
      <c r="DF168"/>
      <c r="DG168"/>
      <c r="DI168" s="3">
        <v>1</v>
      </c>
    </row>
    <row r="169" spans="1:113" s="627" customFormat="1" ht="21" customHeight="1">
      <c r="A169" s="701" t="s">
        <v>21</v>
      </c>
      <c r="B169" s="2265" t="str" cm="1">
        <f t="array" ref="B169">SUMPRODUCT(--(D169:J169&lt;&gt;""), LEN(TRIM(SUBSTITUTE(D169:J169, CHAR(160), "")))) &amp; " Car."</f>
        <v>0 Car.</v>
      </c>
      <c r="C169" s="1376" t="str">
        <f>IF(ISBLANK(D169),"",LARGE(C13:C168,1)+1)</f>
        <v/>
      </c>
      <c r="D169" s="1833"/>
      <c r="E169" s="1810"/>
      <c r="F169" s="1810"/>
      <c r="G169" s="1810"/>
      <c r="H169" s="1810"/>
      <c r="I169" s="1810"/>
      <c r="J169" s="1810"/>
      <c r="K169" s="1810"/>
      <c r="L169" s="1811"/>
      <c r="M169" s="9"/>
      <c r="N169" s="25" t="str">
        <f t="shared" si="74"/>
        <v>►</v>
      </c>
      <c r="O169" s="1616"/>
      <c r="P169" s="9"/>
      <c r="Q169" s="25" t="s">
        <v>15</v>
      </c>
      <c r="R169" s="31"/>
      <c r="S169" s="32"/>
      <c r="T169" s="31"/>
      <c r="U169" s="33"/>
      <c r="V169" s="1967"/>
      <c r="W169" s="1805"/>
      <c r="X169" s="91"/>
      <c r="Y169" s="1806"/>
      <c r="Z169" s="1968"/>
      <c r="AA169" s="2244"/>
      <c r="AB169" s="1969"/>
      <c r="AC169" s="1365"/>
      <c r="AD169" s="95"/>
      <c r="AE169" s="1326"/>
      <c r="AF169" s="97"/>
      <c r="AG169" s="1737"/>
      <c r="AH169" s="1970"/>
      <c r="AI169" s="99"/>
      <c r="AJ169" s="1809"/>
      <c r="AK169" s="6120" t="str">
        <f t="shared" si="75"/>
        <v>►</v>
      </c>
      <c r="AL169" s="781" t="str">
        <f t="shared" si="77"/>
        <v>►</v>
      </c>
      <c r="AM169" s="5499" t="str">
        <f t="shared" si="80"/>
        <v/>
      </c>
      <c r="AN169" s="783" t="str">
        <f t="shared" si="81"/>
        <v/>
      </c>
      <c r="AO169" s="782" t="str">
        <f t="shared" si="82"/>
        <v/>
      </c>
      <c r="AP169" s="783" t="str">
        <f t="shared" si="83"/>
        <v/>
      </c>
      <c r="AQ169" s="2083" t="b">
        <f>AND(Q169="A",COUNTIF(BP16:BR63,TRIM(Z169))&gt;0)</f>
        <v>0</v>
      </c>
      <c r="AR169" s="797" t="str">
        <f>IF(AL169&lt;&gt;"A","",IFERROR(IFERROR(_xlfn.XLOOKUP(TRIM(SUBSTITUTE(Z169,CHAR(160)," ")),BP16:BP63,BS16:BS63),IFERROR(_xlfn.XLOOKUP(TRIM(SUBSTITUTE(Z169,CHAR(160)," ")),BQ16:BQ63,BS16:BS63),_xlfn.XLOOKUP(TRIM(SUBSTITUTE(Z169,CHAR(160)," ")),BR16:BR63,BS16:BS63)))*Y169*IF(ISBLANK(V169),1,V169),0))</f>
        <v/>
      </c>
      <c r="AS169" s="784" t="str">
        <f t="shared" si="73"/>
        <v/>
      </c>
      <c r="AT169" s="1315" t="str">
        <f t="shared" si="84"/>
        <v/>
      </c>
      <c r="AU169" s="785">
        <f t="shared" si="85"/>
        <v>0</v>
      </c>
      <c r="AV169" s="785">
        <f t="shared" si="86"/>
        <v>0</v>
      </c>
      <c r="AW169" s="786">
        <f>IF(AK169="A",AY10,0)</f>
        <v>0</v>
      </c>
      <c r="AX169" s="5495" t="str">
        <f>IF(IFERROR(SEARCH("Adresse PC",TRIM(W169)),0)&gt;0,"▼ receta siguiente",IF(AK169="A",IF(AZ10&lt;&gt;"",AZ10&amp;" - ou.or.o ❾ + or - &gt;",""),""))</f>
        <v/>
      </c>
      <c r="AY169" s="810"/>
      <c r="AZ169" s="810"/>
      <c r="BA169" s="788" t="str">
        <f t="shared" si="76"/>
        <v/>
      </c>
      <c r="BB169" s="789" t="str">
        <f>IF(AK169="A",IF(AQ169,IF(AND(AW169&lt;&gt;"",N(AW169)&gt;0),IFERROR(IFERROR(_xlfn.XLOOKUP(AP169,BP10:BP57,BT10:BT57),IFERROR(_xlfn.XLOOKUP(AP169,BQ10:BQ57,BT10:BT57),_xlfn.XLOOKUP(AP169,BR10:BR57,BT10:BT57,""))),""),""),""),"")</f>
        <v/>
      </c>
      <c r="BC169" s="811" cm="1">
        <f t="array" ref="BC169">IF(NOT(AQ169),0,IF(OR(BA169="",N(BA169)&lt;=0.000000001),"",IF(OR(AU169="",N(AU169)&lt;=0.000000001),0,IF(ISNUMBER(BA169),IFERROR(_xlfn.LET(_xlpm.ai_test,TRIM(AP169),_xlpm.r,IFERROR(_xlfn.XLOOKUP(_xlpm.ai_test,BP16:BP63,ROW(BP16:BP63),0,1),IFERROR(_xlfn.XLOOKUP(_xlpm.ai_test,BQ16:BQ63,ROW(BQ16:BQ63),0,1),_xlfn.XLOOKUP(_xlpm.ai_test,BR16:BR63,ROW(BR16:BR63),0,1))),_xlpm.p,_xlpm.r-MIN(ROW(BP16:BP63))+1,_xlpm.f,INDEX(BS16:BS63,_xlpm.p),_xlpm.u,INDEX(BT16:BT63,_xlpm.p),_xlpm.s,INDEX(BV16:BV63,_xlpm.p),_xlpm.q,N(BA169)/_xlpm.f,IF(_xlpm.q&gt;=_xlpm.s,ROUND(_xlpm.q,1)&amp;" "&amp;_xlpm.ai_test&amp;" = "&amp;ROUND(_xlpm.q*_xlpm.f,1)&amp;" "&amp;_xlpm.u,ROUND(_xlpm.q,1)&amp;" "&amp;_xlpm.ai_test)),""),""))))</f>
        <v>0</v>
      </c>
      <c r="BD169" s="801"/>
      <c r="BE169" s="788" t="str">
        <f t="shared" si="87"/>
        <v/>
      </c>
      <c r="BF169" s="789" t="str">
        <f t="shared" si="88"/>
        <v/>
      </c>
      <c r="BG169" s="790">
        <f t="shared" si="91"/>
        <v>0</v>
      </c>
      <c r="BH169" s="791" t="str">
        <f t="shared" si="92"/>
        <v/>
      </c>
      <c r="BI169" s="792"/>
      <c r="BJ169" s="793">
        <f t="shared" si="90"/>
        <v>0</v>
      </c>
      <c r="BK169" s="794" t="str">
        <f t="shared" si="89"/>
        <v/>
      </c>
      <c r="BL169" s="227" t="s">
        <v>21</v>
      </c>
      <c r="BM169" s="773">
        <f t="shared" si="78"/>
        <v>0</v>
      </c>
      <c r="BN169" s="774">
        <f t="shared" si="79"/>
        <v>0</v>
      </c>
      <c r="BO169"/>
      <c r="BX169"/>
      <c r="BY169"/>
      <c r="BZ169"/>
      <c r="CA169"/>
      <c r="CB169"/>
      <c r="CC169"/>
      <c r="CD169" s="781" t="str">
        <f t="shared" si="72"/>
        <v>►</v>
      </c>
      <c r="CE169"/>
      <c r="CF169"/>
      <c r="CG169"/>
      <c r="CH169"/>
      <c r="CI169"/>
      <c r="CJ169" s="633"/>
      <c r="CK169"/>
      <c r="CL169"/>
      <c r="CM169"/>
      <c r="CN169"/>
      <c r="CO169"/>
      <c r="CP169"/>
      <c r="CQ169"/>
      <c r="CS169"/>
      <c r="CT169"/>
      <c r="CU169"/>
      <c r="CV169"/>
      <c r="CW169"/>
      <c r="CX169"/>
      <c r="CY169"/>
      <c r="DA169"/>
      <c r="DB169"/>
      <c r="DC169"/>
      <c r="DD169"/>
      <c r="DE169"/>
      <c r="DF169"/>
      <c r="DG169"/>
      <c r="DI169" s="3">
        <v>1</v>
      </c>
    </row>
    <row r="170" spans="1:113" s="627" customFormat="1" ht="21" customHeight="1">
      <c r="A170" s="701" t="s">
        <v>21</v>
      </c>
      <c r="B170" s="2265" t="str" cm="1">
        <f t="array" ref="B170">SUMPRODUCT(--(D170:J170&lt;&gt;""), LEN(TRIM(SUBSTITUTE(D170:J170, CHAR(160), "")))) &amp; " Car."</f>
        <v>0 Car.</v>
      </c>
      <c r="C170" s="1376" t="str">
        <f>IF(ISBLANK(D170),"",LARGE(C13:C169,1)+1)</f>
        <v/>
      </c>
      <c r="D170" s="1833"/>
      <c r="E170" s="1810"/>
      <c r="F170" s="1810"/>
      <c r="G170" s="1810"/>
      <c r="H170" s="1810"/>
      <c r="I170" s="1810"/>
      <c r="J170" s="1810"/>
      <c r="K170" s="1810"/>
      <c r="L170" s="1811"/>
      <c r="M170" s="9"/>
      <c r="N170" s="25" t="str">
        <f t="shared" si="74"/>
        <v>►</v>
      </c>
      <c r="O170" s="1616"/>
      <c r="P170" s="9"/>
      <c r="Q170" s="25" t="s">
        <v>15</v>
      </c>
      <c r="R170" s="31"/>
      <c r="S170" s="32"/>
      <c r="T170" s="31"/>
      <c r="U170" s="33"/>
      <c r="V170" s="1967"/>
      <c r="W170" s="1805"/>
      <c r="X170" s="91"/>
      <c r="Y170" s="1806"/>
      <c r="Z170" s="1968"/>
      <c r="AA170" s="2244"/>
      <c r="AB170" s="1969"/>
      <c r="AC170" s="1365"/>
      <c r="AD170" s="95"/>
      <c r="AE170" s="1326"/>
      <c r="AF170" s="97"/>
      <c r="AG170" s="1737"/>
      <c r="AH170" s="1970"/>
      <c r="AI170" s="99"/>
      <c r="AJ170" s="1809"/>
      <c r="AK170" s="6120" t="str">
        <f t="shared" si="75"/>
        <v>►</v>
      </c>
      <c r="AL170" s="781" t="str">
        <f t="shared" si="77"/>
        <v>►</v>
      </c>
      <c r="AM170" s="5498" t="str">
        <f t="shared" si="80"/>
        <v/>
      </c>
      <c r="AN170" s="783" t="str">
        <f t="shared" si="81"/>
        <v/>
      </c>
      <c r="AO170" s="782" t="str">
        <f t="shared" si="82"/>
        <v/>
      </c>
      <c r="AP170" s="783" t="str">
        <f t="shared" si="83"/>
        <v/>
      </c>
      <c r="AQ170" s="2083" t="b">
        <f>AND(Q170="A",COUNTIF(BP16:BR63,TRIM(Z170))&gt;0)</f>
        <v>0</v>
      </c>
      <c r="AR170" s="797" t="str">
        <f>IF(AL170&lt;&gt;"A","",IFERROR(IFERROR(_xlfn.XLOOKUP(TRIM(SUBSTITUTE(Z170,CHAR(160)," ")),BP16:BP63,BS16:BS63),IFERROR(_xlfn.XLOOKUP(TRIM(SUBSTITUTE(Z170,CHAR(160)," ")),BQ16:BQ63,BS16:BS63),_xlfn.XLOOKUP(TRIM(SUBSTITUTE(Z170,CHAR(160)," ")),BR16:BR63,BS16:BS63)))*Y170*IF(ISBLANK(V170),1,V170),0))</f>
        <v/>
      </c>
      <c r="AS170" s="784" t="str">
        <f t="shared" si="73"/>
        <v/>
      </c>
      <c r="AT170" s="1315" t="str">
        <f t="shared" si="84"/>
        <v/>
      </c>
      <c r="AU170" s="785">
        <f t="shared" si="85"/>
        <v>0</v>
      </c>
      <c r="AV170" s="785">
        <f t="shared" si="86"/>
        <v>0</v>
      </c>
      <c r="AW170" s="798">
        <f>IF(AK170="A",AY10,0)</f>
        <v>0</v>
      </c>
      <c r="AX170" s="5496" t="str">
        <f>IF(IFERROR(SEARCH("Adresse PC",TRIM(W170)),0)&gt;0,"▼ receta siguiente",IF(AK170="A",IF(AZ10&lt;&gt;"",AZ10&amp;" - ou.or.o ❾ + or - &gt;",""),""))</f>
        <v/>
      </c>
      <c r="AY170" s="810"/>
      <c r="AZ170" s="810"/>
      <c r="BA170" s="799" t="str">
        <f t="shared" si="76"/>
        <v/>
      </c>
      <c r="BB170" s="800" t="str">
        <f>IF(AK170="A",IF(AQ170,IF(AND(AW170&lt;&gt;"",N(AW170)&gt;0),IFERROR(IFERROR(_xlfn.XLOOKUP(AP170,BP10:BP57,BT10:BT57),IFERROR(_xlfn.XLOOKUP(AP170,BQ10:BQ57,BT10:BT57),_xlfn.XLOOKUP(AP170,BR10:BR57,BT10:BT57,""))),""),""),""),"")</f>
        <v/>
      </c>
      <c r="BC170" s="813" cm="1">
        <f t="array" ref="BC170">IF(NOT(AQ170),0,IF(OR(BA170="",N(BA170)&lt;=0.000000001),"",IF(OR(AU170="",N(AU170)&lt;=0.000000001),0,IF(ISNUMBER(BA170),IFERROR(_xlfn.LET(_xlpm.ai_test,TRIM(AP170),_xlpm.r,IFERROR(_xlfn.XLOOKUP(_xlpm.ai_test,BP16:BP63,ROW(BP16:BP63),0,1),IFERROR(_xlfn.XLOOKUP(_xlpm.ai_test,BQ16:BQ63,ROW(BQ16:BQ63),0,1),_xlfn.XLOOKUP(_xlpm.ai_test,BR16:BR63,ROW(BR16:BR63),0,1))),_xlpm.p,_xlpm.r-MIN(ROW(BP16:BP63))+1,_xlpm.f,INDEX(BS16:BS63,_xlpm.p),_xlpm.u,INDEX(BT16:BT63,_xlpm.p),_xlpm.s,INDEX(BV16:BV63,_xlpm.p),_xlpm.q,N(BA170)/_xlpm.f,IF(_xlpm.q&gt;=_xlpm.s,ROUND(_xlpm.q,1)&amp;" "&amp;_xlpm.ai_test&amp;" = "&amp;ROUND(_xlpm.q*_xlpm.f,1)&amp;" "&amp;_xlpm.u,ROUND(_xlpm.q,1)&amp;" "&amp;_xlpm.ai_test)),""),""))))</f>
        <v>0</v>
      </c>
      <c r="BD170" s="801"/>
      <c r="BE170" s="799" t="str">
        <f t="shared" si="87"/>
        <v/>
      </c>
      <c r="BF170" s="800" t="str">
        <f t="shared" si="88"/>
        <v/>
      </c>
      <c r="BG170" s="802">
        <f t="shared" si="91"/>
        <v>0</v>
      </c>
      <c r="BH170" s="803" t="str">
        <f t="shared" si="92"/>
        <v/>
      </c>
      <c r="BI170" s="792"/>
      <c r="BJ170" s="804">
        <f t="shared" si="90"/>
        <v>0</v>
      </c>
      <c r="BK170" s="794" t="str">
        <f t="shared" si="89"/>
        <v/>
      </c>
      <c r="BL170" s="227" t="s">
        <v>21</v>
      </c>
      <c r="BM170" s="773">
        <f t="shared" si="78"/>
        <v>0</v>
      </c>
      <c r="BN170" s="774">
        <f t="shared" si="79"/>
        <v>0</v>
      </c>
      <c r="BO170"/>
      <c r="BX170"/>
      <c r="BY170"/>
      <c r="BZ170"/>
      <c r="CA170"/>
      <c r="CB170"/>
      <c r="CC170"/>
      <c r="CD170" s="781" t="str">
        <f t="shared" si="72"/>
        <v>►</v>
      </c>
      <c r="CE170"/>
      <c r="CF170"/>
      <c r="CG170"/>
      <c r="CH170"/>
      <c r="CI170"/>
      <c r="CJ170" s="633"/>
      <c r="CK170"/>
      <c r="CL170"/>
      <c r="CM170"/>
      <c r="CN170"/>
      <c r="CO170"/>
      <c r="CP170"/>
      <c r="CQ170"/>
      <c r="CS170"/>
      <c r="CT170"/>
      <c r="CU170"/>
      <c r="CV170"/>
      <c r="CW170"/>
      <c r="CX170"/>
      <c r="CY170"/>
      <c r="DA170"/>
      <c r="DB170"/>
      <c r="DC170"/>
      <c r="DD170"/>
      <c r="DE170"/>
      <c r="DF170"/>
      <c r="DG170"/>
      <c r="DI170" s="3">
        <v>1</v>
      </c>
    </row>
    <row r="171" spans="1:113" s="627" customFormat="1" ht="21" customHeight="1">
      <c r="A171" s="701" t="s">
        <v>21</v>
      </c>
      <c r="B171" s="2265" t="str" cm="1">
        <f t="array" ref="B171">SUMPRODUCT(--(D171:J171&lt;&gt;""), LEN(TRIM(SUBSTITUTE(D171:J171, CHAR(160), "")))) &amp; " Car."</f>
        <v>0 Car.</v>
      </c>
      <c r="C171" s="1376" t="str">
        <f>IF(ISBLANK(D171),"",LARGE(C13:C170,1)+1)</f>
        <v/>
      </c>
      <c r="D171" s="1833"/>
      <c r="E171" s="1810"/>
      <c r="F171" s="1810"/>
      <c r="G171" s="1810"/>
      <c r="H171" s="1810"/>
      <c r="I171" s="1810"/>
      <c r="J171" s="1810"/>
      <c r="K171" s="1810"/>
      <c r="L171" s="1811"/>
      <c r="M171" s="9"/>
      <c r="N171" s="103" t="str">
        <f t="shared" si="74"/>
        <v>►</v>
      </c>
      <c r="O171" s="1616"/>
      <c r="P171" s="9"/>
      <c r="Q171" s="25" t="s">
        <v>15</v>
      </c>
      <c r="R171" s="31"/>
      <c r="S171" s="32"/>
      <c r="T171" s="31"/>
      <c r="U171" s="33"/>
      <c r="V171" s="1967"/>
      <c r="W171" s="1805"/>
      <c r="X171" s="91"/>
      <c r="Y171" s="1806"/>
      <c r="Z171" s="1968"/>
      <c r="AA171" s="2244"/>
      <c r="AB171" s="1969"/>
      <c r="AC171" s="1365"/>
      <c r="AD171" s="95"/>
      <c r="AE171" s="1326"/>
      <c r="AF171" s="97"/>
      <c r="AG171" s="1737"/>
      <c r="AH171" s="1970"/>
      <c r="AI171" s="99"/>
      <c r="AJ171" s="1809"/>
      <c r="AK171" s="6120" t="str">
        <f t="shared" si="75"/>
        <v>►</v>
      </c>
      <c r="AL171" s="781" t="str">
        <f t="shared" si="77"/>
        <v>►</v>
      </c>
      <c r="AM171" s="5499" t="str">
        <f t="shared" si="80"/>
        <v/>
      </c>
      <c r="AN171" s="783" t="str">
        <f t="shared" si="81"/>
        <v/>
      </c>
      <c r="AO171" s="782" t="str">
        <f t="shared" si="82"/>
        <v/>
      </c>
      <c r="AP171" s="783" t="str">
        <f t="shared" si="83"/>
        <v/>
      </c>
      <c r="AQ171" s="2083" t="b">
        <f>AND(Q171="A",COUNTIF(BP16:BR63,TRIM(Z171))&gt;0)</f>
        <v>0</v>
      </c>
      <c r="AR171" s="797" t="str">
        <f>IF(AL171&lt;&gt;"A","",IFERROR(IFERROR(_xlfn.XLOOKUP(TRIM(SUBSTITUTE(Z171,CHAR(160)," ")),BP16:BP63,BS16:BS63),IFERROR(_xlfn.XLOOKUP(TRIM(SUBSTITUTE(Z171,CHAR(160)," ")),BQ16:BQ63,BS16:BS63),_xlfn.XLOOKUP(TRIM(SUBSTITUTE(Z171,CHAR(160)," ")),BR16:BR63,BS16:BS63)))*Y171*IF(ISBLANK(V171),1,V171),0))</f>
        <v/>
      </c>
      <c r="AS171" s="784" t="str">
        <f t="shared" si="73"/>
        <v/>
      </c>
      <c r="AT171" s="1315" t="str">
        <f t="shared" si="84"/>
        <v/>
      </c>
      <c r="AU171" s="785">
        <f t="shared" si="85"/>
        <v>0</v>
      </c>
      <c r="AV171" s="785">
        <f t="shared" si="86"/>
        <v>0</v>
      </c>
      <c r="AW171" s="786">
        <f>IF(AK171="A",AY10,0)</f>
        <v>0</v>
      </c>
      <c r="AX171" s="5495" t="str">
        <f>IF(IFERROR(SEARCH("Adresse PC",TRIM(W171)),0)&gt;0,"▼ receta siguiente",IF(AK171="A",IF(AZ10&lt;&gt;"",AZ10&amp;" - ou.or.o ❾ + or - &gt;",""),""))</f>
        <v/>
      </c>
      <c r="AY171" s="810"/>
      <c r="AZ171" s="810"/>
      <c r="BA171" s="788" t="str">
        <f t="shared" si="76"/>
        <v/>
      </c>
      <c r="BB171" s="789" t="str">
        <f>IF(AK171="A",IF(AQ171,IF(AND(AW171&lt;&gt;"",N(AW171)&gt;0),IFERROR(IFERROR(_xlfn.XLOOKUP(AP171,BP10:BP57,BT10:BT57),IFERROR(_xlfn.XLOOKUP(AP171,BQ10:BQ57,BT10:BT57),_xlfn.XLOOKUP(AP171,BR10:BR57,BT10:BT57,""))),""),""),""),"")</f>
        <v/>
      </c>
      <c r="BC171" s="811" cm="1">
        <f t="array" ref="BC171">IF(NOT(AQ171),0,IF(OR(BA171="",N(BA171)&lt;=0.000000001),"",IF(OR(AU171="",N(AU171)&lt;=0.000000001),0,IF(ISNUMBER(BA171),IFERROR(_xlfn.LET(_xlpm.ai_test,TRIM(AP171),_xlpm.r,IFERROR(_xlfn.XLOOKUP(_xlpm.ai_test,BP16:BP63,ROW(BP16:BP63),0,1),IFERROR(_xlfn.XLOOKUP(_xlpm.ai_test,BQ16:BQ63,ROW(BQ16:BQ63),0,1),_xlfn.XLOOKUP(_xlpm.ai_test,BR16:BR63,ROW(BR16:BR63),0,1))),_xlpm.p,_xlpm.r-MIN(ROW(BP16:BP63))+1,_xlpm.f,INDEX(BS16:BS63,_xlpm.p),_xlpm.u,INDEX(BT16:BT63,_xlpm.p),_xlpm.s,INDEX(BV16:BV63,_xlpm.p),_xlpm.q,N(BA171)/_xlpm.f,IF(_xlpm.q&gt;=_xlpm.s,ROUND(_xlpm.q,1)&amp;" "&amp;_xlpm.ai_test&amp;" = "&amp;ROUND(_xlpm.q*_xlpm.f,1)&amp;" "&amp;_xlpm.u,ROUND(_xlpm.q,1)&amp;" "&amp;_xlpm.ai_test)),""),""))))</f>
        <v>0</v>
      </c>
      <c r="BD171" s="801"/>
      <c r="BE171" s="788" t="str">
        <f t="shared" si="87"/>
        <v/>
      </c>
      <c r="BF171" s="789" t="str">
        <f t="shared" si="88"/>
        <v/>
      </c>
      <c r="BG171" s="790">
        <f t="shared" si="91"/>
        <v>0</v>
      </c>
      <c r="BH171" s="791" t="str">
        <f t="shared" si="92"/>
        <v/>
      </c>
      <c r="BI171" s="792"/>
      <c r="BJ171" s="793">
        <f t="shared" si="90"/>
        <v>0</v>
      </c>
      <c r="BK171" s="794" t="str">
        <f t="shared" si="89"/>
        <v/>
      </c>
      <c r="BL171" s="227" t="s">
        <v>21</v>
      </c>
      <c r="BM171" s="773">
        <f t="shared" si="78"/>
        <v>0</v>
      </c>
      <c r="BN171" s="774">
        <f t="shared" si="79"/>
        <v>0</v>
      </c>
      <c r="BO171"/>
      <c r="BX171"/>
      <c r="BY171"/>
      <c r="BZ171"/>
      <c r="CA171"/>
      <c r="CB171"/>
      <c r="CC171"/>
      <c r="CD171" s="781" t="str">
        <f t="shared" si="72"/>
        <v>►</v>
      </c>
      <c r="CE171"/>
      <c r="CF171"/>
      <c r="CG171"/>
      <c r="CH171"/>
      <c r="CI171"/>
      <c r="CJ171" s="633"/>
      <c r="CK171"/>
      <c r="CL171"/>
      <c r="CM171"/>
      <c r="CN171"/>
      <c r="CO171"/>
      <c r="CP171"/>
      <c r="CQ171"/>
      <c r="CS171"/>
      <c r="CT171"/>
      <c r="CU171"/>
      <c r="CV171"/>
      <c r="CW171"/>
      <c r="CX171"/>
      <c r="CY171"/>
      <c r="DA171"/>
      <c r="DB171"/>
      <c r="DC171"/>
      <c r="DD171"/>
      <c r="DE171"/>
      <c r="DF171"/>
      <c r="DG171"/>
      <c r="DI171" s="3">
        <v>1</v>
      </c>
    </row>
    <row r="172" spans="1:113" s="627" customFormat="1" ht="21" customHeight="1">
      <c r="A172" s="701" t="s">
        <v>21</v>
      </c>
      <c r="B172" s="2265" t="str" cm="1">
        <f t="array" ref="B172">SUMPRODUCT(--(D172:J172&lt;&gt;""), LEN(TRIM(SUBSTITUTE(D172:J172, CHAR(160), "")))) &amp; " Car."</f>
        <v>0 Car.</v>
      </c>
      <c r="C172" s="1376" t="str">
        <f>IF(ISBLANK(D172),"",LARGE(C13:C171,1)+1)</f>
        <v/>
      </c>
      <c r="D172" s="1833"/>
      <c r="E172" s="1810"/>
      <c r="F172" s="1810"/>
      <c r="G172" s="1810"/>
      <c r="H172" s="1810"/>
      <c r="I172" s="1810"/>
      <c r="J172" s="1810"/>
      <c r="K172" s="1810"/>
      <c r="L172" s="1811"/>
      <c r="M172" s="9"/>
      <c r="N172" s="103" t="str">
        <f t="shared" si="74"/>
        <v>►</v>
      </c>
      <c r="O172" s="1616"/>
      <c r="P172" s="9"/>
      <c r="Q172" s="25" t="s">
        <v>15</v>
      </c>
      <c r="R172" s="31"/>
      <c r="S172" s="32"/>
      <c r="T172" s="31"/>
      <c r="U172" s="33"/>
      <c r="V172" s="1967"/>
      <c r="W172" s="1805"/>
      <c r="X172" s="91"/>
      <c r="Y172" s="1806"/>
      <c r="Z172" s="1968"/>
      <c r="AA172" s="2244"/>
      <c r="AB172" s="1969"/>
      <c r="AC172" s="1365"/>
      <c r="AD172" s="95"/>
      <c r="AE172" s="1326"/>
      <c r="AF172" s="97"/>
      <c r="AG172" s="1737"/>
      <c r="AH172" s="1970"/>
      <c r="AI172" s="99"/>
      <c r="AJ172" s="1809"/>
      <c r="AK172" s="6120" t="str">
        <f t="shared" si="75"/>
        <v>►</v>
      </c>
      <c r="AL172" s="781" t="str">
        <f t="shared" si="77"/>
        <v>►</v>
      </c>
      <c r="AM172" s="5498" t="str">
        <f t="shared" si="80"/>
        <v/>
      </c>
      <c r="AN172" s="783" t="str">
        <f t="shared" si="81"/>
        <v/>
      </c>
      <c r="AO172" s="782" t="str">
        <f t="shared" si="82"/>
        <v/>
      </c>
      <c r="AP172" s="783" t="str">
        <f t="shared" si="83"/>
        <v/>
      </c>
      <c r="AQ172" s="2083" t="b">
        <f>AND(Q172="A",COUNTIF(BP16:BR63,TRIM(Z172))&gt;0)</f>
        <v>0</v>
      </c>
      <c r="AR172" s="797" t="str">
        <f>IF(AL172&lt;&gt;"A","",IFERROR(IFERROR(_xlfn.XLOOKUP(TRIM(SUBSTITUTE(Z172,CHAR(160)," ")),BP16:BP63,BS16:BS63),IFERROR(_xlfn.XLOOKUP(TRIM(SUBSTITUTE(Z172,CHAR(160)," ")),BQ16:BQ63,BS16:BS63),_xlfn.XLOOKUP(TRIM(SUBSTITUTE(Z172,CHAR(160)," ")),BR16:BR63,BS16:BS63)))*Y172*IF(ISBLANK(V172),1,V172),0))</f>
        <v/>
      </c>
      <c r="AS172" s="784" t="str">
        <f t="shared" si="73"/>
        <v/>
      </c>
      <c r="AT172" s="1315" t="str">
        <f t="shared" si="84"/>
        <v/>
      </c>
      <c r="AU172" s="785">
        <f t="shared" si="85"/>
        <v>0</v>
      </c>
      <c r="AV172" s="785">
        <f t="shared" si="86"/>
        <v>0</v>
      </c>
      <c r="AW172" s="798">
        <f>IF(AK172="A",AY10,0)</f>
        <v>0</v>
      </c>
      <c r="AX172" s="5496" t="str">
        <f>IF(IFERROR(SEARCH("Adresse PC",TRIM(W172)),0)&gt;0,"▼ receta siguiente",IF(AK172="A",IF(AZ10&lt;&gt;"",AZ10&amp;" - ou.or.o ❾ + or - &gt;",""),""))</f>
        <v/>
      </c>
      <c r="AY172" s="810"/>
      <c r="AZ172" s="810"/>
      <c r="BA172" s="799" t="str">
        <f t="shared" si="76"/>
        <v/>
      </c>
      <c r="BB172" s="800" t="str">
        <f>IF(AK172="A",IF(AQ172,IF(AND(AW172&lt;&gt;"",N(AW172)&gt;0),IFERROR(IFERROR(_xlfn.XLOOKUP(AP172,BP10:BP57,BT10:BT57),IFERROR(_xlfn.XLOOKUP(AP172,BQ10:BQ57,BT10:BT57),_xlfn.XLOOKUP(AP172,BR10:BR57,BT10:BT57,""))),""),""),""),"")</f>
        <v/>
      </c>
      <c r="BC172" s="813" cm="1">
        <f t="array" ref="BC172">IF(NOT(AQ172),0,IF(OR(BA172="",N(BA172)&lt;=0.000000001),"",IF(OR(AU172="",N(AU172)&lt;=0.000000001),0,IF(ISNUMBER(BA172),IFERROR(_xlfn.LET(_xlpm.ai_test,TRIM(AP172),_xlpm.r,IFERROR(_xlfn.XLOOKUP(_xlpm.ai_test,BP16:BP63,ROW(BP16:BP63),0,1),IFERROR(_xlfn.XLOOKUP(_xlpm.ai_test,BQ16:BQ63,ROW(BQ16:BQ63),0,1),_xlfn.XLOOKUP(_xlpm.ai_test,BR16:BR63,ROW(BR16:BR63),0,1))),_xlpm.p,_xlpm.r-MIN(ROW(BP16:BP63))+1,_xlpm.f,INDEX(BS16:BS63,_xlpm.p),_xlpm.u,INDEX(BT16:BT63,_xlpm.p),_xlpm.s,INDEX(BV16:BV63,_xlpm.p),_xlpm.q,N(BA172)/_xlpm.f,IF(_xlpm.q&gt;=_xlpm.s,ROUND(_xlpm.q,1)&amp;" "&amp;_xlpm.ai_test&amp;" = "&amp;ROUND(_xlpm.q*_xlpm.f,1)&amp;" "&amp;_xlpm.u,ROUND(_xlpm.q,1)&amp;" "&amp;_xlpm.ai_test)),""),""))))</f>
        <v>0</v>
      </c>
      <c r="BD172" s="801"/>
      <c r="BE172" s="799" t="str">
        <f t="shared" si="87"/>
        <v/>
      </c>
      <c r="BF172" s="800" t="str">
        <f t="shared" si="88"/>
        <v/>
      </c>
      <c r="BG172" s="802">
        <f t="shared" si="91"/>
        <v>0</v>
      </c>
      <c r="BH172" s="803" t="str">
        <f t="shared" si="92"/>
        <v/>
      </c>
      <c r="BI172" s="792"/>
      <c r="BJ172" s="804">
        <f t="shared" si="90"/>
        <v>0</v>
      </c>
      <c r="BK172" s="794" t="str">
        <f t="shared" si="89"/>
        <v/>
      </c>
      <c r="BL172" s="227" t="s">
        <v>21</v>
      </c>
      <c r="BM172" s="773">
        <f t="shared" si="78"/>
        <v>0</v>
      </c>
      <c r="BN172" s="774">
        <f t="shared" si="79"/>
        <v>0</v>
      </c>
      <c r="BO172"/>
      <c r="BX172"/>
      <c r="BY172"/>
      <c r="BZ172"/>
      <c r="CA172"/>
      <c r="CB172"/>
      <c r="CC172"/>
      <c r="CD172" s="781" t="str">
        <f t="shared" si="72"/>
        <v>►</v>
      </c>
      <c r="CE172"/>
      <c r="CF172"/>
      <c r="CG172"/>
      <c r="CH172"/>
      <c r="CI172"/>
      <c r="CJ172" s="633"/>
      <c r="CK172"/>
      <c r="CL172"/>
      <c r="CM172"/>
      <c r="CN172"/>
      <c r="CO172"/>
      <c r="CP172"/>
      <c r="CQ172"/>
      <c r="CS172"/>
      <c r="CT172"/>
      <c r="CU172"/>
      <c r="CV172"/>
      <c r="CW172"/>
      <c r="CX172"/>
      <c r="CY172"/>
      <c r="DA172"/>
      <c r="DB172"/>
      <c r="DC172"/>
      <c r="DD172"/>
      <c r="DE172"/>
      <c r="DF172"/>
      <c r="DG172"/>
      <c r="DI172" s="3">
        <v>1</v>
      </c>
    </row>
    <row r="173" spans="1:113" s="627" customFormat="1" ht="21" customHeight="1">
      <c r="A173" s="701" t="s">
        <v>21</v>
      </c>
      <c r="B173" s="2265" t="str" cm="1">
        <f t="array" ref="B173">SUMPRODUCT(--(D173:J173&lt;&gt;""), LEN(TRIM(SUBSTITUTE(D173:J173, CHAR(160), "")))) &amp; " Car."</f>
        <v>0 Car.</v>
      </c>
      <c r="C173" s="1376" t="str">
        <f>IF(ISBLANK(D173),"",LARGE(C13:C172,1)+1)</f>
        <v/>
      </c>
      <c r="D173" s="1833"/>
      <c r="E173" s="1810"/>
      <c r="F173" s="1810"/>
      <c r="G173" s="1810"/>
      <c r="H173" s="1810"/>
      <c r="I173" s="1810"/>
      <c r="J173" s="1810"/>
      <c r="K173" s="1810"/>
      <c r="L173" s="1811"/>
      <c r="M173" s="9"/>
      <c r="N173" s="103" t="str">
        <f t="shared" si="74"/>
        <v>►</v>
      </c>
      <c r="O173" s="1616"/>
      <c r="P173" s="9"/>
      <c r="Q173" s="25" t="s">
        <v>15</v>
      </c>
      <c r="R173" s="31"/>
      <c r="S173" s="32"/>
      <c r="T173" s="31"/>
      <c r="U173" s="33"/>
      <c r="V173" s="1967"/>
      <c r="W173" s="1805"/>
      <c r="X173" s="91"/>
      <c r="Y173" s="1806"/>
      <c r="Z173" s="1968"/>
      <c r="AA173" s="2244"/>
      <c r="AB173" s="1969"/>
      <c r="AC173" s="1365"/>
      <c r="AD173" s="95"/>
      <c r="AE173" s="1326"/>
      <c r="AF173" s="97"/>
      <c r="AG173" s="1737"/>
      <c r="AH173" s="1970"/>
      <c r="AI173" s="99"/>
      <c r="AJ173" s="1809"/>
      <c r="AK173" s="6120" t="str">
        <f t="shared" si="75"/>
        <v>►</v>
      </c>
      <c r="AL173" s="781" t="str">
        <f t="shared" si="77"/>
        <v>►</v>
      </c>
      <c r="AM173" s="5499" t="str">
        <f t="shared" si="80"/>
        <v/>
      </c>
      <c r="AN173" s="783" t="str">
        <f t="shared" si="81"/>
        <v/>
      </c>
      <c r="AO173" s="782" t="str">
        <f t="shared" si="82"/>
        <v/>
      </c>
      <c r="AP173" s="783" t="str">
        <f t="shared" si="83"/>
        <v/>
      </c>
      <c r="AQ173" s="2083" t="b">
        <f>AND(Q173="A",COUNTIF(BP16:BR63,TRIM(Z173))&gt;0)</f>
        <v>0</v>
      </c>
      <c r="AR173" s="797" t="str">
        <f>IF(AL173&lt;&gt;"A","",IFERROR(IFERROR(_xlfn.XLOOKUP(TRIM(SUBSTITUTE(Z173,CHAR(160)," ")),BP16:BP63,BS16:BS63),IFERROR(_xlfn.XLOOKUP(TRIM(SUBSTITUTE(Z173,CHAR(160)," ")),BQ16:BQ63,BS16:BS63),_xlfn.XLOOKUP(TRIM(SUBSTITUTE(Z173,CHAR(160)," ")),BR16:BR63,BS16:BS63)))*Y173*IF(ISBLANK(V173),1,V173),0))</f>
        <v/>
      </c>
      <c r="AS173" s="784" t="str">
        <f t="shared" si="73"/>
        <v/>
      </c>
      <c r="AT173" s="1315" t="str">
        <f t="shared" si="84"/>
        <v/>
      </c>
      <c r="AU173" s="785">
        <f t="shared" si="85"/>
        <v>0</v>
      </c>
      <c r="AV173" s="785">
        <f t="shared" si="86"/>
        <v>0</v>
      </c>
      <c r="AW173" s="786">
        <f>IF(AK173="A",AY10,0)</f>
        <v>0</v>
      </c>
      <c r="AX173" s="5495" t="str">
        <f>IF(IFERROR(SEARCH("Adresse PC",TRIM(W173)),0)&gt;0,"▼ receta siguiente",IF(AK173="A",IF(AZ10&lt;&gt;"",AZ10&amp;" - ou.or.o ❾ + or - &gt;",""),""))</f>
        <v/>
      </c>
      <c r="AY173" s="810"/>
      <c r="AZ173" s="810"/>
      <c r="BA173" s="788" t="str">
        <f t="shared" si="76"/>
        <v/>
      </c>
      <c r="BB173" s="789" t="str">
        <f>IF(AK173="A",IF(AQ173,IF(AND(AW173&lt;&gt;"",N(AW173)&gt;0),IFERROR(IFERROR(_xlfn.XLOOKUP(AP173,BP10:BP57,BT10:BT57),IFERROR(_xlfn.XLOOKUP(AP173,BQ10:BQ57,BT10:BT57),_xlfn.XLOOKUP(AP173,BR10:BR57,BT10:BT57,""))),""),""),""),"")</f>
        <v/>
      </c>
      <c r="BC173" s="811" cm="1">
        <f t="array" ref="BC173">IF(NOT(AQ173),0,IF(OR(BA173="",N(BA173)&lt;=0.000000001),"",IF(OR(AU173="",N(AU173)&lt;=0.000000001),0,IF(ISNUMBER(BA173),IFERROR(_xlfn.LET(_xlpm.ai_test,TRIM(AP173),_xlpm.r,IFERROR(_xlfn.XLOOKUP(_xlpm.ai_test,BP16:BP63,ROW(BP16:BP63),0,1),IFERROR(_xlfn.XLOOKUP(_xlpm.ai_test,BQ16:BQ63,ROW(BQ16:BQ63),0,1),_xlfn.XLOOKUP(_xlpm.ai_test,BR16:BR63,ROW(BR16:BR63),0,1))),_xlpm.p,_xlpm.r-MIN(ROW(BP16:BP63))+1,_xlpm.f,INDEX(BS16:BS63,_xlpm.p),_xlpm.u,INDEX(BT16:BT63,_xlpm.p),_xlpm.s,INDEX(BV16:BV63,_xlpm.p),_xlpm.q,N(BA173)/_xlpm.f,IF(_xlpm.q&gt;=_xlpm.s,ROUND(_xlpm.q,1)&amp;" "&amp;_xlpm.ai_test&amp;" = "&amp;ROUND(_xlpm.q*_xlpm.f,1)&amp;" "&amp;_xlpm.u,ROUND(_xlpm.q,1)&amp;" "&amp;_xlpm.ai_test)),""),""))))</f>
        <v>0</v>
      </c>
      <c r="BD173" s="801"/>
      <c r="BE173" s="788" t="str">
        <f t="shared" si="87"/>
        <v/>
      </c>
      <c r="BF173" s="789" t="str">
        <f t="shared" si="88"/>
        <v/>
      </c>
      <c r="BG173" s="790">
        <f t="shared" si="91"/>
        <v>0</v>
      </c>
      <c r="BH173" s="791" t="str">
        <f t="shared" si="92"/>
        <v/>
      </c>
      <c r="BI173" s="792"/>
      <c r="BJ173" s="793">
        <f t="shared" si="90"/>
        <v>0</v>
      </c>
      <c r="BK173" s="794" t="str">
        <f t="shared" si="89"/>
        <v/>
      </c>
      <c r="BL173" s="227" t="s">
        <v>21</v>
      </c>
      <c r="BM173" s="773">
        <f t="shared" si="78"/>
        <v>0</v>
      </c>
      <c r="BN173" s="774">
        <f t="shared" si="79"/>
        <v>0</v>
      </c>
      <c r="BO173"/>
      <c r="BX173"/>
      <c r="BY173"/>
      <c r="BZ173"/>
      <c r="CA173"/>
      <c r="CB173"/>
      <c r="CC173"/>
      <c r="CD173" s="781" t="str">
        <f t="shared" si="72"/>
        <v>►</v>
      </c>
      <c r="CE173"/>
      <c r="CF173"/>
      <c r="CG173"/>
      <c r="CH173"/>
      <c r="CI173"/>
      <c r="CJ173" s="633"/>
      <c r="CK173"/>
      <c r="CL173"/>
      <c r="CM173"/>
      <c r="CN173"/>
      <c r="CO173"/>
      <c r="CP173"/>
      <c r="CQ173"/>
      <c r="CS173"/>
      <c r="CT173"/>
      <c r="CU173"/>
      <c r="CV173"/>
      <c r="CW173"/>
      <c r="CX173"/>
      <c r="CY173"/>
      <c r="DA173"/>
      <c r="DB173"/>
      <c r="DC173"/>
      <c r="DD173"/>
      <c r="DE173"/>
      <c r="DF173"/>
      <c r="DG173"/>
      <c r="DI173" s="3">
        <v>1</v>
      </c>
    </row>
    <row r="174" spans="1:113" s="627" customFormat="1" ht="21" customHeight="1">
      <c r="A174" s="701" t="s">
        <v>21</v>
      </c>
      <c r="B174" s="2265" t="str" cm="1">
        <f t="array" ref="B174">SUMPRODUCT(--(D174:J174&lt;&gt;""), LEN(TRIM(SUBSTITUTE(D174:J174, CHAR(160), "")))) &amp; " Car."</f>
        <v>0 Car.</v>
      </c>
      <c r="C174" s="1376" t="str">
        <f>IF(ISBLANK(D174),"",LARGE(C13:C173,1)+1)</f>
        <v/>
      </c>
      <c r="D174" s="1833"/>
      <c r="E174" s="1810"/>
      <c r="F174" s="1810"/>
      <c r="G174" s="1810"/>
      <c r="H174" s="1810"/>
      <c r="I174" s="1810"/>
      <c r="J174" s="1810"/>
      <c r="K174" s="1810"/>
      <c r="L174" s="1811"/>
      <c r="M174" s="9"/>
      <c r="N174" s="103" t="str">
        <f t="shared" si="74"/>
        <v>►</v>
      </c>
      <c r="O174" s="1616"/>
      <c r="P174" s="9"/>
      <c r="Q174" s="25" t="s">
        <v>15</v>
      </c>
      <c r="R174" s="31"/>
      <c r="S174" s="32"/>
      <c r="T174" s="31"/>
      <c r="U174" s="33"/>
      <c r="V174" s="1967"/>
      <c r="W174" s="1805"/>
      <c r="X174" s="91"/>
      <c r="Y174" s="1806"/>
      <c r="Z174" s="1968"/>
      <c r="AA174" s="2244"/>
      <c r="AB174" s="1969"/>
      <c r="AC174" s="1365"/>
      <c r="AD174" s="95"/>
      <c r="AE174" s="1326"/>
      <c r="AF174" s="97"/>
      <c r="AG174" s="1737"/>
      <c r="AH174" s="1970"/>
      <c r="AI174" s="99"/>
      <c r="AJ174" s="1809"/>
      <c r="AK174" s="6120" t="str">
        <f t="shared" si="75"/>
        <v>►</v>
      </c>
      <c r="AL174" s="781" t="str">
        <f t="shared" si="77"/>
        <v>►</v>
      </c>
      <c r="AM174" s="5498" t="str">
        <f t="shared" si="80"/>
        <v/>
      </c>
      <c r="AN174" s="783" t="str">
        <f t="shared" si="81"/>
        <v/>
      </c>
      <c r="AO174" s="782" t="str">
        <f t="shared" si="82"/>
        <v/>
      </c>
      <c r="AP174" s="783" t="str">
        <f t="shared" si="83"/>
        <v/>
      </c>
      <c r="AQ174" s="2083" t="b">
        <f>AND(Q174="A",COUNTIF(BP16:BR63,TRIM(Z174))&gt;0)</f>
        <v>0</v>
      </c>
      <c r="AR174" s="797" t="str">
        <f>IF(AL174&lt;&gt;"A","",IFERROR(IFERROR(_xlfn.XLOOKUP(TRIM(SUBSTITUTE(Z174,CHAR(160)," ")),BP16:BP63,BS16:BS63),IFERROR(_xlfn.XLOOKUP(TRIM(SUBSTITUTE(Z174,CHAR(160)," ")),BQ16:BQ63,BS16:BS63),_xlfn.XLOOKUP(TRIM(SUBSTITUTE(Z174,CHAR(160)," ")),BR16:BR63,BS16:BS63)))*Y174*IF(ISBLANK(V174),1,V174),0))</f>
        <v/>
      </c>
      <c r="AS174" s="784" t="str">
        <f t="shared" si="73"/>
        <v/>
      </c>
      <c r="AT174" s="1315" t="str">
        <f t="shared" si="84"/>
        <v/>
      </c>
      <c r="AU174" s="785">
        <f t="shared" si="85"/>
        <v>0</v>
      </c>
      <c r="AV174" s="785">
        <f t="shared" si="86"/>
        <v>0</v>
      </c>
      <c r="AW174" s="798">
        <f>IF(AK174="A",AY10,0)</f>
        <v>0</v>
      </c>
      <c r="AX174" s="5496" t="str">
        <f>IF(IFERROR(SEARCH("Adresse PC",TRIM(W174)),0)&gt;0,"▼ receta siguiente",IF(AK174="A",IF(AZ10&lt;&gt;"",AZ10&amp;" - ou.or.o ❾ + or - &gt;",""),""))</f>
        <v/>
      </c>
      <c r="AY174" s="810"/>
      <c r="AZ174" s="810"/>
      <c r="BA174" s="799" t="str">
        <f t="shared" si="76"/>
        <v/>
      </c>
      <c r="BB174" s="800" t="str">
        <f>IF(AK174="A",IF(AQ174,IF(AND(AW174&lt;&gt;"",N(AW174)&gt;0),IFERROR(IFERROR(_xlfn.XLOOKUP(AP174,BP10:BP57,BT10:BT57),IFERROR(_xlfn.XLOOKUP(AP174,BQ10:BQ57,BT10:BT57),_xlfn.XLOOKUP(AP174,BR10:BR57,BT10:BT57,""))),""),""),""),"")</f>
        <v/>
      </c>
      <c r="BC174" s="813" cm="1">
        <f t="array" ref="BC174">IF(NOT(AQ174),0,IF(OR(BA174="",N(BA174)&lt;=0.000000001),"",IF(OR(AU174="",N(AU174)&lt;=0.000000001),0,IF(ISNUMBER(BA174),IFERROR(_xlfn.LET(_xlpm.ai_test,TRIM(AP174),_xlpm.r,IFERROR(_xlfn.XLOOKUP(_xlpm.ai_test,BP16:BP63,ROW(BP16:BP63),0,1),IFERROR(_xlfn.XLOOKUP(_xlpm.ai_test,BQ16:BQ63,ROW(BQ16:BQ63),0,1),_xlfn.XLOOKUP(_xlpm.ai_test,BR16:BR63,ROW(BR16:BR63),0,1))),_xlpm.p,_xlpm.r-MIN(ROW(BP16:BP63))+1,_xlpm.f,INDEX(BS16:BS63,_xlpm.p),_xlpm.u,INDEX(BT16:BT63,_xlpm.p),_xlpm.s,INDEX(BV16:BV63,_xlpm.p),_xlpm.q,N(BA174)/_xlpm.f,IF(_xlpm.q&gt;=_xlpm.s,ROUND(_xlpm.q,1)&amp;" "&amp;_xlpm.ai_test&amp;" = "&amp;ROUND(_xlpm.q*_xlpm.f,1)&amp;" "&amp;_xlpm.u,ROUND(_xlpm.q,1)&amp;" "&amp;_xlpm.ai_test)),""),""))))</f>
        <v>0</v>
      </c>
      <c r="BD174" s="801"/>
      <c r="BE174" s="799" t="str">
        <f t="shared" si="87"/>
        <v/>
      </c>
      <c r="BF174" s="800" t="str">
        <f t="shared" si="88"/>
        <v/>
      </c>
      <c r="BG174" s="802">
        <f t="shared" si="91"/>
        <v>0</v>
      </c>
      <c r="BH174" s="803" t="str">
        <f t="shared" si="92"/>
        <v/>
      </c>
      <c r="BI174" s="792"/>
      <c r="BJ174" s="804">
        <f t="shared" si="90"/>
        <v>0</v>
      </c>
      <c r="BK174" s="794" t="str">
        <f t="shared" si="89"/>
        <v/>
      </c>
      <c r="BL174" s="227" t="s">
        <v>21</v>
      </c>
      <c r="BM174" s="773">
        <f t="shared" si="78"/>
        <v>0</v>
      </c>
      <c r="BN174" s="774">
        <f t="shared" si="79"/>
        <v>0</v>
      </c>
      <c r="BO174"/>
      <c r="BX174"/>
      <c r="BY174"/>
      <c r="BZ174"/>
      <c r="CA174"/>
      <c r="CB174"/>
      <c r="CC174"/>
      <c r="CD174" s="781" t="str">
        <f t="shared" si="72"/>
        <v>►</v>
      </c>
      <c r="CE174"/>
      <c r="CF174"/>
      <c r="CG174"/>
      <c r="CH174"/>
      <c r="CI174"/>
      <c r="CJ174" s="633"/>
      <c r="CK174"/>
      <c r="CL174"/>
      <c r="CM174"/>
      <c r="CN174"/>
      <c r="CO174"/>
      <c r="CP174"/>
      <c r="CQ174"/>
      <c r="CS174"/>
      <c r="CT174"/>
      <c r="CU174"/>
      <c r="CV174"/>
      <c r="CW174"/>
      <c r="CX174"/>
      <c r="CY174"/>
      <c r="DA174"/>
      <c r="DB174"/>
      <c r="DC174"/>
      <c r="DD174"/>
      <c r="DE174"/>
      <c r="DF174"/>
      <c r="DG174"/>
      <c r="DI174" s="3">
        <v>1</v>
      </c>
    </row>
    <row r="175" spans="1:113" s="627" customFormat="1" ht="21" customHeight="1">
      <c r="A175" s="701" t="s">
        <v>21</v>
      </c>
      <c r="B175" s="2265" t="str" cm="1">
        <f t="array" ref="B175">SUMPRODUCT(--(D175:J175&lt;&gt;""), LEN(TRIM(SUBSTITUTE(D175:J175, CHAR(160), "")))) &amp; " Car."</f>
        <v>0 Car.</v>
      </c>
      <c r="C175" s="1376" t="str">
        <f>IF(ISBLANK(D175),"",LARGE(C13:C174,1)+1)</f>
        <v/>
      </c>
      <c r="D175" s="1833"/>
      <c r="E175" s="1810"/>
      <c r="F175" s="1810"/>
      <c r="G175" s="1810"/>
      <c r="H175" s="1810"/>
      <c r="I175" s="1810"/>
      <c r="J175" s="1810"/>
      <c r="K175" s="1810"/>
      <c r="L175" s="1811"/>
      <c r="M175" s="9"/>
      <c r="N175" s="25" t="str">
        <f t="shared" si="74"/>
        <v>►</v>
      </c>
      <c r="O175" s="1616"/>
      <c r="P175" s="9"/>
      <c r="Q175" s="25" t="s">
        <v>15</v>
      </c>
      <c r="R175" s="31"/>
      <c r="S175" s="32"/>
      <c r="T175" s="31"/>
      <c r="U175" s="33"/>
      <c r="V175" s="1967"/>
      <c r="W175" s="1805"/>
      <c r="X175" s="91"/>
      <c r="Y175" s="1806"/>
      <c r="Z175" s="1968"/>
      <c r="AA175" s="2244"/>
      <c r="AB175" s="1969"/>
      <c r="AC175" s="1365"/>
      <c r="AD175" s="95"/>
      <c r="AE175" s="1326"/>
      <c r="AF175" s="97"/>
      <c r="AG175" s="1737"/>
      <c r="AH175" s="1970"/>
      <c r="AI175" s="99"/>
      <c r="AJ175" s="1809"/>
      <c r="AK175" s="6120" t="str">
        <f t="shared" si="75"/>
        <v>►</v>
      </c>
      <c r="AL175" s="781" t="str">
        <f t="shared" si="77"/>
        <v>►</v>
      </c>
      <c r="AM175" s="5499" t="str">
        <f t="shared" si="80"/>
        <v/>
      </c>
      <c r="AN175" s="783" t="str">
        <f t="shared" si="81"/>
        <v/>
      </c>
      <c r="AO175" s="782" t="str">
        <f t="shared" si="82"/>
        <v/>
      </c>
      <c r="AP175" s="783" t="str">
        <f t="shared" si="83"/>
        <v/>
      </c>
      <c r="AQ175" s="2083" t="b">
        <f>AND(Q175="A",COUNTIF(BP16:BR63,TRIM(Z175))&gt;0)</f>
        <v>0</v>
      </c>
      <c r="AR175" s="797" t="str">
        <f>IF(AL175&lt;&gt;"A","",IFERROR(IFERROR(_xlfn.XLOOKUP(TRIM(SUBSTITUTE(Z175,CHAR(160)," ")),BP16:BP63,BS16:BS63),IFERROR(_xlfn.XLOOKUP(TRIM(SUBSTITUTE(Z175,CHAR(160)," ")),BQ16:BQ63,BS16:BS63),_xlfn.XLOOKUP(TRIM(SUBSTITUTE(Z175,CHAR(160)," ")),BR16:BR63,BS16:BS63)))*Y175*IF(ISBLANK(V175),1,V175),0))</f>
        <v/>
      </c>
      <c r="AS175" s="784" t="str">
        <f t="shared" si="73"/>
        <v/>
      </c>
      <c r="AT175" s="1315" t="str">
        <f t="shared" si="84"/>
        <v/>
      </c>
      <c r="AU175" s="785">
        <f t="shared" si="85"/>
        <v>0</v>
      </c>
      <c r="AV175" s="785">
        <f t="shared" si="86"/>
        <v>0</v>
      </c>
      <c r="AW175" s="786">
        <f>IF(AK175="A",AY10,0)</f>
        <v>0</v>
      </c>
      <c r="AX175" s="5495" t="str">
        <f>IF(IFERROR(SEARCH("Adresse PC",TRIM(W175)),0)&gt;0,"▼ receta siguiente",IF(AK175="A",IF(AZ10&lt;&gt;"",AZ10&amp;" - ou.or.o ❾ + or - &gt;",""),""))</f>
        <v/>
      </c>
      <c r="AY175" s="810"/>
      <c r="AZ175" s="810"/>
      <c r="BA175" s="788" t="str">
        <f t="shared" si="76"/>
        <v/>
      </c>
      <c r="BB175" s="789" t="str">
        <f>IF(AK175="A",IF(AQ175,IF(AND(AW175&lt;&gt;"",N(AW175)&gt;0),IFERROR(IFERROR(_xlfn.XLOOKUP(AP175,BP10:BP57,BT10:BT57),IFERROR(_xlfn.XLOOKUP(AP175,BQ10:BQ57,BT10:BT57),_xlfn.XLOOKUP(AP175,BR10:BR57,BT10:BT57,""))),""),""),""),"")</f>
        <v/>
      </c>
      <c r="BC175" s="811" cm="1">
        <f t="array" ref="BC175">IF(NOT(AQ175),0,IF(OR(BA175="",N(BA175)&lt;=0.000000001),"",IF(OR(AU175="",N(AU175)&lt;=0.000000001),0,IF(ISNUMBER(BA175),IFERROR(_xlfn.LET(_xlpm.ai_test,TRIM(AP175),_xlpm.r,IFERROR(_xlfn.XLOOKUP(_xlpm.ai_test,BP16:BP63,ROW(BP16:BP63),0,1),IFERROR(_xlfn.XLOOKUP(_xlpm.ai_test,BQ16:BQ63,ROW(BQ16:BQ63),0,1),_xlfn.XLOOKUP(_xlpm.ai_test,BR16:BR63,ROW(BR16:BR63),0,1))),_xlpm.p,_xlpm.r-MIN(ROW(BP16:BP63))+1,_xlpm.f,INDEX(BS16:BS63,_xlpm.p),_xlpm.u,INDEX(BT16:BT63,_xlpm.p),_xlpm.s,INDEX(BV16:BV63,_xlpm.p),_xlpm.q,N(BA175)/_xlpm.f,IF(_xlpm.q&gt;=_xlpm.s,ROUND(_xlpm.q,1)&amp;" "&amp;_xlpm.ai_test&amp;" = "&amp;ROUND(_xlpm.q*_xlpm.f,1)&amp;" "&amp;_xlpm.u,ROUND(_xlpm.q,1)&amp;" "&amp;_xlpm.ai_test)),""),""))))</f>
        <v>0</v>
      </c>
      <c r="BD175" s="801"/>
      <c r="BE175" s="788" t="str">
        <f t="shared" si="87"/>
        <v/>
      </c>
      <c r="BF175" s="789" t="str">
        <f t="shared" si="88"/>
        <v/>
      </c>
      <c r="BG175" s="790">
        <f t="shared" si="91"/>
        <v>0</v>
      </c>
      <c r="BH175" s="791" t="str">
        <f t="shared" si="92"/>
        <v/>
      </c>
      <c r="BI175" s="792"/>
      <c r="BJ175" s="793">
        <f t="shared" si="90"/>
        <v>0</v>
      </c>
      <c r="BK175" s="794" t="str">
        <f t="shared" si="89"/>
        <v/>
      </c>
      <c r="BL175" s="227" t="s">
        <v>21</v>
      </c>
      <c r="BM175" s="773">
        <f t="shared" si="78"/>
        <v>0</v>
      </c>
      <c r="BN175" s="774">
        <f t="shared" si="79"/>
        <v>0</v>
      </c>
      <c r="BO175"/>
      <c r="BX175"/>
      <c r="BY175"/>
      <c r="BZ175"/>
      <c r="CA175"/>
      <c r="CB175"/>
      <c r="CC175"/>
      <c r="CD175" s="781" t="str">
        <f t="shared" si="72"/>
        <v>►</v>
      </c>
      <c r="CE175"/>
      <c r="CF175"/>
      <c r="CG175"/>
      <c r="CH175"/>
      <c r="CI175"/>
      <c r="CJ175" s="633"/>
      <c r="CK175"/>
      <c r="CL175"/>
      <c r="CM175"/>
      <c r="CN175"/>
      <c r="CO175"/>
      <c r="CP175"/>
      <c r="CQ175"/>
      <c r="CS175"/>
      <c r="CT175"/>
      <c r="CU175"/>
      <c r="CV175"/>
      <c r="CW175"/>
      <c r="CX175"/>
      <c r="CY175"/>
      <c r="DA175"/>
      <c r="DB175"/>
      <c r="DC175"/>
      <c r="DD175"/>
      <c r="DE175"/>
      <c r="DF175"/>
      <c r="DG175"/>
      <c r="DI175" s="3">
        <v>1</v>
      </c>
    </row>
    <row r="176" spans="1:113" s="627" customFormat="1" ht="21" customHeight="1">
      <c r="A176" s="701" t="s">
        <v>21</v>
      </c>
      <c r="B176" s="2265" t="str" cm="1">
        <f t="array" ref="B176">SUMPRODUCT(--(D176:J176&lt;&gt;""), LEN(TRIM(SUBSTITUTE(D176:J176, CHAR(160), "")))) &amp; " Car."</f>
        <v>0 Car.</v>
      </c>
      <c r="C176" s="1376" t="str">
        <f>IF(ISBLANK(D176),"",LARGE(C13:C175,1)+1)</f>
        <v/>
      </c>
      <c r="D176" s="1833"/>
      <c r="E176" s="1810"/>
      <c r="F176" s="1810"/>
      <c r="G176" s="1810"/>
      <c r="H176" s="1810"/>
      <c r="I176" s="1810"/>
      <c r="J176" s="1810"/>
      <c r="K176" s="1810"/>
      <c r="L176" s="1811"/>
      <c r="M176" s="9"/>
      <c r="N176" s="25" t="str">
        <f t="shared" si="74"/>
        <v>►</v>
      </c>
      <c r="O176" s="1616"/>
      <c r="P176" s="9"/>
      <c r="Q176" s="25" t="s">
        <v>15</v>
      </c>
      <c r="R176" s="31"/>
      <c r="S176" s="32"/>
      <c r="T176" s="31"/>
      <c r="U176" s="33"/>
      <c r="V176" s="1967"/>
      <c r="W176" s="1805"/>
      <c r="X176" s="91"/>
      <c r="Y176" s="1806"/>
      <c r="Z176" s="1968"/>
      <c r="AA176" s="2244"/>
      <c r="AB176" s="1969"/>
      <c r="AC176" s="1365"/>
      <c r="AD176" s="95"/>
      <c r="AE176" s="1326"/>
      <c r="AF176" s="97"/>
      <c r="AG176" s="1737"/>
      <c r="AH176" s="1970"/>
      <c r="AI176" s="99"/>
      <c r="AJ176" s="1809"/>
      <c r="AK176" s="6120" t="str">
        <f t="shared" si="75"/>
        <v>►</v>
      </c>
      <c r="AL176" s="781" t="str">
        <f t="shared" si="77"/>
        <v>►</v>
      </c>
      <c r="AM176" s="5498" t="str">
        <f t="shared" si="80"/>
        <v/>
      </c>
      <c r="AN176" s="783" t="str">
        <f t="shared" si="81"/>
        <v/>
      </c>
      <c r="AO176" s="782" t="str">
        <f t="shared" si="82"/>
        <v/>
      </c>
      <c r="AP176" s="783" t="str">
        <f t="shared" si="83"/>
        <v/>
      </c>
      <c r="AQ176" s="2083" t="b">
        <f>AND(Q176="A",COUNTIF(BP16:BR63,TRIM(Z176))&gt;0)</f>
        <v>0</v>
      </c>
      <c r="AR176" s="797" t="str">
        <f>IF(AL176&lt;&gt;"A","",IFERROR(IFERROR(_xlfn.XLOOKUP(TRIM(SUBSTITUTE(Z176,CHAR(160)," ")),BP16:BP63,BS16:BS63),IFERROR(_xlfn.XLOOKUP(TRIM(SUBSTITUTE(Z176,CHAR(160)," ")),BQ16:BQ63,BS16:BS63),_xlfn.XLOOKUP(TRIM(SUBSTITUTE(Z176,CHAR(160)," ")),BR16:BR63,BS16:BS63)))*Y176*IF(ISBLANK(V176),1,V176),0))</f>
        <v/>
      </c>
      <c r="AS176" s="784" t="str">
        <f t="shared" si="73"/>
        <v/>
      </c>
      <c r="AT176" s="1315" t="str">
        <f t="shared" si="84"/>
        <v/>
      </c>
      <c r="AU176" s="785">
        <f t="shared" si="85"/>
        <v>0</v>
      </c>
      <c r="AV176" s="785">
        <f t="shared" si="86"/>
        <v>0</v>
      </c>
      <c r="AW176" s="798">
        <f>IF(AK176="A",AY10,0)</f>
        <v>0</v>
      </c>
      <c r="AX176" s="5496" t="str">
        <f>IF(IFERROR(SEARCH("Adresse PC",TRIM(W176)),0)&gt;0,"▼ receta siguiente",IF(AK176="A",IF(AZ10&lt;&gt;"",AZ10&amp;" - ou.or.o ❾ + or - &gt;",""),""))</f>
        <v/>
      </c>
      <c r="AY176" s="810"/>
      <c r="AZ176" s="810"/>
      <c r="BA176" s="799" t="str">
        <f t="shared" si="76"/>
        <v/>
      </c>
      <c r="BB176" s="800" t="str">
        <f>IF(AK176="A",IF(AQ176,IF(AND(AW176&lt;&gt;"",N(AW176)&gt;0),IFERROR(IFERROR(_xlfn.XLOOKUP(AP176,BP10:BP57,BT10:BT57),IFERROR(_xlfn.XLOOKUP(AP176,BQ10:BQ57,BT10:BT57),_xlfn.XLOOKUP(AP176,BR10:BR57,BT10:BT57,""))),""),""),""),"")</f>
        <v/>
      </c>
      <c r="BC176" s="813" cm="1">
        <f t="array" ref="BC176">IF(NOT(AQ176),0,IF(OR(BA176="",N(BA176)&lt;=0.000000001),"",IF(OR(AU176="",N(AU176)&lt;=0.000000001),0,IF(ISNUMBER(BA176),IFERROR(_xlfn.LET(_xlpm.ai_test,TRIM(AP176),_xlpm.r,IFERROR(_xlfn.XLOOKUP(_xlpm.ai_test,BP16:BP63,ROW(BP16:BP63),0,1),IFERROR(_xlfn.XLOOKUP(_xlpm.ai_test,BQ16:BQ63,ROW(BQ16:BQ63),0,1),_xlfn.XLOOKUP(_xlpm.ai_test,BR16:BR63,ROW(BR16:BR63),0,1))),_xlpm.p,_xlpm.r-MIN(ROW(BP16:BP63))+1,_xlpm.f,INDEX(BS16:BS63,_xlpm.p),_xlpm.u,INDEX(BT16:BT63,_xlpm.p),_xlpm.s,INDEX(BV16:BV63,_xlpm.p),_xlpm.q,N(BA176)/_xlpm.f,IF(_xlpm.q&gt;=_xlpm.s,ROUND(_xlpm.q,1)&amp;" "&amp;_xlpm.ai_test&amp;" = "&amp;ROUND(_xlpm.q*_xlpm.f,1)&amp;" "&amp;_xlpm.u,ROUND(_xlpm.q,1)&amp;" "&amp;_xlpm.ai_test)),""),""))))</f>
        <v>0</v>
      </c>
      <c r="BD176" s="801"/>
      <c r="BE176" s="799" t="str">
        <f t="shared" si="87"/>
        <v/>
      </c>
      <c r="BF176" s="800" t="str">
        <f t="shared" si="88"/>
        <v/>
      </c>
      <c r="BG176" s="802">
        <f t="shared" si="91"/>
        <v>0</v>
      </c>
      <c r="BH176" s="803" t="str">
        <f t="shared" si="92"/>
        <v/>
      </c>
      <c r="BI176" s="792"/>
      <c r="BJ176" s="804">
        <f t="shared" si="90"/>
        <v>0</v>
      </c>
      <c r="BK176" s="794" t="str">
        <f t="shared" si="89"/>
        <v/>
      </c>
      <c r="BL176" s="227" t="s">
        <v>21</v>
      </c>
      <c r="BM176" s="773">
        <f t="shared" si="78"/>
        <v>0</v>
      </c>
      <c r="BN176" s="774">
        <f t="shared" si="79"/>
        <v>0</v>
      </c>
      <c r="BO176"/>
      <c r="BX176"/>
      <c r="BY176"/>
      <c r="BZ176"/>
      <c r="CA176"/>
      <c r="CB176"/>
      <c r="CC176"/>
      <c r="CD176" s="781" t="str">
        <f t="shared" si="72"/>
        <v>►</v>
      </c>
      <c r="CE176"/>
      <c r="CF176"/>
      <c r="CG176"/>
      <c r="CH176"/>
      <c r="CI176"/>
      <c r="CJ176" s="633"/>
      <c r="CK176"/>
      <c r="CL176"/>
      <c r="CM176"/>
      <c r="CN176"/>
      <c r="CO176"/>
      <c r="CP176"/>
      <c r="CQ176"/>
      <c r="CS176"/>
      <c r="CT176"/>
      <c r="CU176"/>
      <c r="CV176"/>
      <c r="CW176"/>
      <c r="CX176"/>
      <c r="CY176"/>
      <c r="DA176"/>
      <c r="DB176"/>
      <c r="DC176"/>
      <c r="DD176"/>
      <c r="DE176"/>
      <c r="DF176"/>
      <c r="DG176"/>
      <c r="DI176" s="3">
        <v>1</v>
      </c>
    </row>
    <row r="177" spans="1:113" s="627" customFormat="1" ht="21" customHeight="1">
      <c r="A177" s="701" t="s">
        <v>21</v>
      </c>
      <c r="B177" s="2265" t="str" cm="1">
        <f t="array" ref="B177">SUMPRODUCT(--(D177:J177&lt;&gt;""), LEN(TRIM(SUBSTITUTE(D177:J177, CHAR(160), "")))) &amp; " Car."</f>
        <v>0 Car.</v>
      </c>
      <c r="C177" s="1376" t="str">
        <f>IF(ISBLANK(D177),"",LARGE(C13:C176,1)+1)</f>
        <v/>
      </c>
      <c r="D177" s="1833"/>
      <c r="E177" s="1810"/>
      <c r="F177" s="1810"/>
      <c r="G177" s="1810"/>
      <c r="H177" s="1810"/>
      <c r="I177" s="1810"/>
      <c r="J177" s="1810"/>
      <c r="K177" s="1810"/>
      <c r="L177" s="1811"/>
      <c r="M177" s="9"/>
      <c r="N177" s="25" t="str">
        <f t="shared" si="74"/>
        <v>►</v>
      </c>
      <c r="O177" s="1616"/>
      <c r="P177" s="9"/>
      <c r="Q177" s="25" t="s">
        <v>15</v>
      </c>
      <c r="R177" s="31"/>
      <c r="S177" s="32"/>
      <c r="T177" s="31"/>
      <c r="U177" s="33"/>
      <c r="V177" s="1967"/>
      <c r="W177" s="1805"/>
      <c r="X177" s="91"/>
      <c r="Y177" s="1806"/>
      <c r="Z177" s="1968"/>
      <c r="AA177" s="2244"/>
      <c r="AB177" s="1969"/>
      <c r="AC177" s="1365"/>
      <c r="AD177" s="95"/>
      <c r="AE177" s="1326"/>
      <c r="AF177" s="97"/>
      <c r="AG177" s="1737"/>
      <c r="AH177" s="1970"/>
      <c r="AI177" s="99"/>
      <c r="AJ177" s="1809"/>
      <c r="AK177" s="6120" t="str">
        <f t="shared" si="75"/>
        <v>►</v>
      </c>
      <c r="AL177" s="781" t="str">
        <f t="shared" si="77"/>
        <v>►</v>
      </c>
      <c r="AM177" s="5499" t="str">
        <f t="shared" si="80"/>
        <v/>
      </c>
      <c r="AN177" s="783" t="str">
        <f t="shared" si="81"/>
        <v/>
      </c>
      <c r="AO177" s="782" t="str">
        <f t="shared" si="82"/>
        <v/>
      </c>
      <c r="AP177" s="783" t="str">
        <f t="shared" si="83"/>
        <v/>
      </c>
      <c r="AQ177" s="2083" t="b">
        <f>AND(Q177="A",COUNTIF(BP16:BR63,TRIM(Z177))&gt;0)</f>
        <v>0</v>
      </c>
      <c r="AR177" s="797" t="str">
        <f>IF(AL177&lt;&gt;"A","",IFERROR(IFERROR(_xlfn.XLOOKUP(TRIM(SUBSTITUTE(Z177,CHAR(160)," ")),BP16:BP63,BS16:BS63),IFERROR(_xlfn.XLOOKUP(TRIM(SUBSTITUTE(Z177,CHAR(160)," ")),BQ16:BQ63,BS16:BS63),_xlfn.XLOOKUP(TRIM(SUBSTITUTE(Z177,CHAR(160)," ")),BR16:BR63,BS16:BS63)))*Y177*IF(ISBLANK(V177),1,V177),0))</f>
        <v/>
      </c>
      <c r="AS177" s="784" t="str">
        <f t="shared" si="73"/>
        <v/>
      </c>
      <c r="AT177" s="1315" t="str">
        <f t="shared" si="84"/>
        <v/>
      </c>
      <c r="AU177" s="785">
        <f t="shared" si="85"/>
        <v>0</v>
      </c>
      <c r="AV177" s="785">
        <f t="shared" si="86"/>
        <v>0</v>
      </c>
      <c r="AW177" s="786">
        <f>IF(AK177="A",AY10,0)</f>
        <v>0</v>
      </c>
      <c r="AX177" s="5495" t="str">
        <f>IF(IFERROR(SEARCH("Adresse PC",TRIM(W177)),0)&gt;0,"▼ receta siguiente",IF(AK177="A",IF(AZ10&lt;&gt;"",AZ10&amp;" - ou.or.o ❾ + or - &gt;",""),""))</f>
        <v/>
      </c>
      <c r="AY177" s="810"/>
      <c r="AZ177" s="810"/>
      <c r="BA177" s="788" t="str">
        <f t="shared" si="76"/>
        <v/>
      </c>
      <c r="BB177" s="789" t="str">
        <f>IF(AK177="A",IF(AQ177,IF(AND(AW177&lt;&gt;"",N(AW177)&gt;0),IFERROR(IFERROR(_xlfn.XLOOKUP(AP177,BP10:BP57,BT10:BT57),IFERROR(_xlfn.XLOOKUP(AP177,BQ10:BQ57,BT10:BT57),_xlfn.XLOOKUP(AP177,BR10:BR57,BT10:BT57,""))),""),""),""),"")</f>
        <v/>
      </c>
      <c r="BC177" s="811" cm="1">
        <f t="array" ref="BC177">IF(NOT(AQ177),0,IF(OR(BA177="",N(BA177)&lt;=0.000000001),"",IF(OR(AU177="",N(AU177)&lt;=0.000000001),0,IF(ISNUMBER(BA177),IFERROR(_xlfn.LET(_xlpm.ai_test,TRIM(AP177),_xlpm.r,IFERROR(_xlfn.XLOOKUP(_xlpm.ai_test,BP16:BP63,ROW(BP16:BP63),0,1),IFERROR(_xlfn.XLOOKUP(_xlpm.ai_test,BQ16:BQ63,ROW(BQ16:BQ63),0,1),_xlfn.XLOOKUP(_xlpm.ai_test,BR16:BR63,ROW(BR16:BR63),0,1))),_xlpm.p,_xlpm.r-MIN(ROW(BP16:BP63))+1,_xlpm.f,INDEX(BS16:BS63,_xlpm.p),_xlpm.u,INDEX(BT16:BT63,_xlpm.p),_xlpm.s,INDEX(BV16:BV63,_xlpm.p),_xlpm.q,N(BA177)/_xlpm.f,IF(_xlpm.q&gt;=_xlpm.s,ROUND(_xlpm.q,1)&amp;" "&amp;_xlpm.ai_test&amp;" = "&amp;ROUND(_xlpm.q*_xlpm.f,1)&amp;" "&amp;_xlpm.u,ROUND(_xlpm.q,1)&amp;" "&amp;_xlpm.ai_test)),""),""))))</f>
        <v>0</v>
      </c>
      <c r="BD177" s="801"/>
      <c r="BE177" s="788" t="str">
        <f t="shared" si="87"/>
        <v/>
      </c>
      <c r="BF177" s="789" t="str">
        <f t="shared" si="88"/>
        <v/>
      </c>
      <c r="BG177" s="790">
        <f t="shared" si="91"/>
        <v>0</v>
      </c>
      <c r="BH177" s="791" t="str">
        <f t="shared" si="92"/>
        <v/>
      </c>
      <c r="BI177" s="792"/>
      <c r="BJ177" s="793">
        <f t="shared" si="90"/>
        <v>0</v>
      </c>
      <c r="BK177" s="794" t="str">
        <f t="shared" si="89"/>
        <v/>
      </c>
      <c r="BL177" s="227" t="s">
        <v>21</v>
      </c>
      <c r="BM177" s="773">
        <f t="shared" si="78"/>
        <v>0</v>
      </c>
      <c r="BN177" s="774">
        <f t="shared" si="79"/>
        <v>0</v>
      </c>
      <c r="BO177"/>
      <c r="BX177"/>
      <c r="BY177"/>
      <c r="BZ177"/>
      <c r="CA177"/>
      <c r="CB177"/>
      <c r="CC177"/>
      <c r="CD177" s="781" t="str">
        <f t="shared" si="72"/>
        <v>►</v>
      </c>
      <c r="CE177"/>
      <c r="CF177"/>
      <c r="CG177"/>
      <c r="CH177"/>
      <c r="CI177"/>
      <c r="CJ177" s="633"/>
      <c r="CK177"/>
      <c r="CL177"/>
      <c r="CM177"/>
      <c r="CN177"/>
      <c r="CO177"/>
      <c r="CP177"/>
      <c r="CQ177"/>
      <c r="CS177"/>
      <c r="CT177"/>
      <c r="CU177"/>
      <c r="CV177"/>
      <c r="CW177"/>
      <c r="CX177"/>
      <c r="CY177"/>
      <c r="DA177"/>
      <c r="DB177"/>
      <c r="DC177"/>
      <c r="DD177"/>
      <c r="DE177"/>
      <c r="DF177"/>
      <c r="DG177"/>
      <c r="DI177" s="3">
        <v>1</v>
      </c>
    </row>
    <row r="178" spans="1:113" s="627" customFormat="1" ht="21" customHeight="1">
      <c r="A178" s="701" t="s">
        <v>21</v>
      </c>
      <c r="B178" s="2265" t="str" cm="1">
        <f t="array" ref="B178">SUMPRODUCT(--(D178:J178&lt;&gt;""), LEN(TRIM(SUBSTITUTE(D178:J178, CHAR(160), "")))) &amp; " Car."</f>
        <v>0 Car.</v>
      </c>
      <c r="C178" s="1376" t="str">
        <f>IF(ISBLANK(D178),"",LARGE(C13:C177,1)+1)</f>
        <v/>
      </c>
      <c r="D178" s="1833"/>
      <c r="E178" s="1810"/>
      <c r="F178" s="1810"/>
      <c r="G178" s="1810"/>
      <c r="H178" s="1810"/>
      <c r="I178" s="1810"/>
      <c r="J178" s="1810"/>
      <c r="K178" s="1810"/>
      <c r="L178" s="1811"/>
      <c r="M178" s="9"/>
      <c r="N178" s="25" t="str">
        <f t="shared" si="74"/>
        <v>►</v>
      </c>
      <c r="O178" s="1616"/>
      <c r="P178" s="9"/>
      <c r="Q178" s="25" t="s">
        <v>15</v>
      </c>
      <c r="R178" s="31"/>
      <c r="S178" s="32"/>
      <c r="T178" s="31"/>
      <c r="U178" s="33"/>
      <c r="V178" s="1967"/>
      <c r="W178" s="1805"/>
      <c r="X178" s="91"/>
      <c r="Y178" s="1806"/>
      <c r="Z178" s="1968"/>
      <c r="AA178" s="2244"/>
      <c r="AB178" s="1969"/>
      <c r="AC178" s="1365"/>
      <c r="AD178" s="95"/>
      <c r="AE178" s="1326"/>
      <c r="AF178" s="97"/>
      <c r="AG178" s="1737"/>
      <c r="AH178" s="1970"/>
      <c r="AI178" s="99"/>
      <c r="AJ178" s="1809"/>
      <c r="AK178" s="6120" t="str">
        <f t="shared" si="75"/>
        <v>►</v>
      </c>
      <c r="AL178" s="781" t="str">
        <f t="shared" si="77"/>
        <v>►</v>
      </c>
      <c r="AM178" s="5498" t="str">
        <f t="shared" si="80"/>
        <v/>
      </c>
      <c r="AN178" s="783" t="str">
        <f t="shared" si="81"/>
        <v/>
      </c>
      <c r="AO178" s="782" t="str">
        <f t="shared" si="82"/>
        <v/>
      </c>
      <c r="AP178" s="783" t="str">
        <f t="shared" si="83"/>
        <v/>
      </c>
      <c r="AQ178" s="2083" t="b">
        <f>AND(Q178="A",COUNTIF(BP16:BR63,TRIM(Z178))&gt;0)</f>
        <v>0</v>
      </c>
      <c r="AR178" s="797" t="str">
        <f>IF(AL178&lt;&gt;"A","",IFERROR(IFERROR(_xlfn.XLOOKUP(TRIM(SUBSTITUTE(Z178,CHAR(160)," ")),BP16:BP63,BS16:BS63),IFERROR(_xlfn.XLOOKUP(TRIM(SUBSTITUTE(Z178,CHAR(160)," ")),BQ16:BQ63,BS16:BS63),_xlfn.XLOOKUP(TRIM(SUBSTITUTE(Z178,CHAR(160)," ")),BR16:BR63,BS16:BS63)))*Y178*IF(ISBLANK(V178),1,V178),0))</f>
        <v/>
      </c>
      <c r="AS178" s="784" t="str">
        <f t="shared" si="73"/>
        <v/>
      </c>
      <c r="AT178" s="1315" t="str">
        <f t="shared" si="84"/>
        <v/>
      </c>
      <c r="AU178" s="785">
        <f t="shared" si="85"/>
        <v>0</v>
      </c>
      <c r="AV178" s="785">
        <f t="shared" si="86"/>
        <v>0</v>
      </c>
      <c r="AW178" s="798">
        <f>IF(AK178="A",AY10,0)</f>
        <v>0</v>
      </c>
      <c r="AX178" s="5496" t="str">
        <f>IF(IFERROR(SEARCH("Adresse PC",TRIM(W178)),0)&gt;0,"▼ receta siguiente",IF(AK178="A",IF(AZ10&lt;&gt;"",AZ10&amp;" - ou.or.o ❾ + or - &gt;",""),""))</f>
        <v/>
      </c>
      <c r="AY178" s="810"/>
      <c r="AZ178" s="810"/>
      <c r="BA178" s="799" t="str">
        <f t="shared" si="76"/>
        <v/>
      </c>
      <c r="BB178" s="800" t="str">
        <f>IF(AK178="A",IF(AQ178,IF(AND(AW178&lt;&gt;"",N(AW178)&gt;0),IFERROR(IFERROR(_xlfn.XLOOKUP(AP178,BP10:BP57,BT10:BT57),IFERROR(_xlfn.XLOOKUP(AP178,BQ10:BQ57,BT10:BT57),_xlfn.XLOOKUP(AP178,BR10:BR57,BT10:BT57,""))),""),""),""),"")</f>
        <v/>
      </c>
      <c r="BC178" s="813" cm="1">
        <f t="array" ref="BC178">IF(NOT(AQ178),0,IF(OR(BA178="",N(BA178)&lt;=0.000000001),"",IF(OR(AU178="",N(AU178)&lt;=0.000000001),0,IF(ISNUMBER(BA178),IFERROR(_xlfn.LET(_xlpm.ai_test,TRIM(AP178),_xlpm.r,IFERROR(_xlfn.XLOOKUP(_xlpm.ai_test,BP16:BP63,ROW(BP16:BP63),0,1),IFERROR(_xlfn.XLOOKUP(_xlpm.ai_test,BQ16:BQ63,ROW(BQ16:BQ63),0,1),_xlfn.XLOOKUP(_xlpm.ai_test,BR16:BR63,ROW(BR16:BR63),0,1))),_xlpm.p,_xlpm.r-MIN(ROW(BP16:BP63))+1,_xlpm.f,INDEX(BS16:BS63,_xlpm.p),_xlpm.u,INDEX(BT16:BT63,_xlpm.p),_xlpm.s,INDEX(BV16:BV63,_xlpm.p),_xlpm.q,N(BA178)/_xlpm.f,IF(_xlpm.q&gt;=_xlpm.s,ROUND(_xlpm.q,1)&amp;" "&amp;_xlpm.ai_test&amp;" = "&amp;ROUND(_xlpm.q*_xlpm.f,1)&amp;" "&amp;_xlpm.u,ROUND(_xlpm.q,1)&amp;" "&amp;_xlpm.ai_test)),""),""))))</f>
        <v>0</v>
      </c>
      <c r="BD178" s="801"/>
      <c r="BE178" s="799" t="str">
        <f t="shared" si="87"/>
        <v/>
      </c>
      <c r="BF178" s="800" t="str">
        <f t="shared" si="88"/>
        <v/>
      </c>
      <c r="BG178" s="802">
        <f t="shared" si="91"/>
        <v>0</v>
      </c>
      <c r="BH178" s="803" t="str">
        <f t="shared" si="92"/>
        <v/>
      </c>
      <c r="BI178" s="792"/>
      <c r="BJ178" s="804">
        <f t="shared" si="90"/>
        <v>0</v>
      </c>
      <c r="BK178" s="794" t="str">
        <f t="shared" si="89"/>
        <v/>
      </c>
      <c r="BL178" s="227" t="s">
        <v>21</v>
      </c>
      <c r="BM178" s="773">
        <f t="shared" si="78"/>
        <v>0</v>
      </c>
      <c r="BN178" s="774">
        <f t="shared" si="79"/>
        <v>0</v>
      </c>
      <c r="BO178"/>
      <c r="BX178"/>
      <c r="BY178"/>
      <c r="BZ178"/>
      <c r="CA178"/>
      <c r="CB178"/>
      <c r="CC178"/>
      <c r="CD178" s="781" t="str">
        <f t="shared" si="72"/>
        <v>►</v>
      </c>
      <c r="CE178"/>
      <c r="CF178"/>
      <c r="CG178"/>
      <c r="CH178"/>
      <c r="CI178"/>
      <c r="CJ178" s="633"/>
      <c r="CK178"/>
      <c r="CL178"/>
      <c r="CM178"/>
      <c r="CN178"/>
      <c r="CO178"/>
      <c r="CP178"/>
      <c r="CQ178"/>
      <c r="CS178"/>
      <c r="CT178"/>
      <c r="CU178"/>
      <c r="CV178"/>
      <c r="CW178"/>
      <c r="CX178"/>
      <c r="CY178"/>
      <c r="DA178"/>
      <c r="DB178"/>
      <c r="DC178"/>
      <c r="DD178"/>
      <c r="DE178"/>
      <c r="DF178"/>
      <c r="DG178"/>
      <c r="DI178" s="3">
        <v>1</v>
      </c>
    </row>
    <row r="179" spans="1:113" s="627" customFormat="1" ht="21" customHeight="1">
      <c r="A179" s="701" t="s">
        <v>21</v>
      </c>
      <c r="B179" s="2265" t="str" cm="1">
        <f t="array" ref="B179">SUMPRODUCT(--(D179:J179&lt;&gt;""), LEN(TRIM(SUBSTITUTE(D179:J179, CHAR(160), "")))) &amp; " Car."</f>
        <v>0 Car.</v>
      </c>
      <c r="C179" s="1376" t="str">
        <f>IF(ISBLANK(D179),"",LARGE(C13:C178,1)+1)</f>
        <v/>
      </c>
      <c r="D179" s="1833"/>
      <c r="E179" s="1810"/>
      <c r="F179" s="1810"/>
      <c r="G179" s="1810"/>
      <c r="H179" s="1810"/>
      <c r="I179" s="1810"/>
      <c r="J179" s="1810"/>
      <c r="K179" s="1810"/>
      <c r="L179" s="1811"/>
      <c r="M179" s="9"/>
      <c r="N179" s="25" t="str">
        <f t="shared" si="74"/>
        <v>►</v>
      </c>
      <c r="O179" s="1616"/>
      <c r="P179" s="9"/>
      <c r="Q179" s="25" t="s">
        <v>15</v>
      </c>
      <c r="R179" s="31"/>
      <c r="S179" s="32"/>
      <c r="T179" s="31"/>
      <c r="U179" s="33"/>
      <c r="V179" s="1967"/>
      <c r="W179" s="1805"/>
      <c r="X179" s="91"/>
      <c r="Y179" s="1806"/>
      <c r="Z179" s="1968"/>
      <c r="AA179" s="2244"/>
      <c r="AB179" s="1969"/>
      <c r="AC179" s="1365"/>
      <c r="AD179" s="95"/>
      <c r="AE179" s="1326"/>
      <c r="AF179" s="97"/>
      <c r="AG179" s="1737"/>
      <c r="AH179" s="1970"/>
      <c r="AI179" s="99"/>
      <c r="AJ179" s="1809"/>
      <c r="AK179" s="6120" t="str">
        <f t="shared" si="75"/>
        <v>►</v>
      </c>
      <c r="AL179" s="781" t="str">
        <f t="shared" si="77"/>
        <v>►</v>
      </c>
      <c r="AM179" s="5499" t="str">
        <f t="shared" si="80"/>
        <v/>
      </c>
      <c r="AN179" s="783" t="str">
        <f t="shared" si="81"/>
        <v/>
      </c>
      <c r="AO179" s="782" t="str">
        <f t="shared" si="82"/>
        <v/>
      </c>
      <c r="AP179" s="783" t="str">
        <f t="shared" si="83"/>
        <v/>
      </c>
      <c r="AQ179" s="2083" t="b">
        <f>AND(Q179="A",COUNTIF(BP16:BR63,TRIM(Z179))&gt;0)</f>
        <v>0</v>
      </c>
      <c r="AR179" s="797" t="str">
        <f>IF(AL179&lt;&gt;"A","",IFERROR(IFERROR(_xlfn.XLOOKUP(TRIM(SUBSTITUTE(Z179,CHAR(160)," ")),BP16:BP63,BS16:BS63),IFERROR(_xlfn.XLOOKUP(TRIM(SUBSTITUTE(Z179,CHAR(160)," ")),BQ16:BQ63,BS16:BS63),_xlfn.XLOOKUP(TRIM(SUBSTITUTE(Z179,CHAR(160)," ")),BR16:BR63,BS16:BS63)))*Y179*IF(ISBLANK(V179),1,V179),0))</f>
        <v/>
      </c>
      <c r="AS179" s="784" t="str">
        <f t="shared" si="73"/>
        <v/>
      </c>
      <c r="AT179" s="1315" t="str">
        <f t="shared" si="84"/>
        <v/>
      </c>
      <c r="AU179" s="785">
        <f t="shared" si="85"/>
        <v>0</v>
      </c>
      <c r="AV179" s="785">
        <f t="shared" si="86"/>
        <v>0</v>
      </c>
      <c r="AW179" s="786">
        <f>IF(AK179="A",AY10,0)</f>
        <v>0</v>
      </c>
      <c r="AX179" s="5495" t="str">
        <f>IF(IFERROR(SEARCH("Adresse PC",TRIM(W179)),0)&gt;0,"▼ receta siguiente",IF(AK179="A",IF(AZ10&lt;&gt;"",AZ10&amp;" - ou.or.o ❾ + or - &gt;",""),""))</f>
        <v/>
      </c>
      <c r="AY179" s="810"/>
      <c r="AZ179" s="810"/>
      <c r="BA179" s="788" t="str">
        <f t="shared" si="76"/>
        <v/>
      </c>
      <c r="BB179" s="789" t="str">
        <f>IF(AK179="A",IF(AQ179,IF(AND(AW179&lt;&gt;"",N(AW179)&gt;0),IFERROR(IFERROR(_xlfn.XLOOKUP(AP179,BP10:BP57,BT10:BT57),IFERROR(_xlfn.XLOOKUP(AP179,BQ10:BQ57,BT10:BT57),_xlfn.XLOOKUP(AP179,BR10:BR57,BT10:BT57,""))),""),""),""),"")</f>
        <v/>
      </c>
      <c r="BC179" s="811" cm="1">
        <f t="array" ref="BC179">IF(NOT(AQ179),0,IF(OR(BA179="",N(BA179)&lt;=0.000000001),"",IF(OR(AU179="",N(AU179)&lt;=0.000000001),0,IF(ISNUMBER(BA179),IFERROR(_xlfn.LET(_xlpm.ai_test,TRIM(AP179),_xlpm.r,IFERROR(_xlfn.XLOOKUP(_xlpm.ai_test,BP16:BP63,ROW(BP16:BP63),0,1),IFERROR(_xlfn.XLOOKUP(_xlpm.ai_test,BQ16:BQ63,ROW(BQ16:BQ63),0,1),_xlfn.XLOOKUP(_xlpm.ai_test,BR16:BR63,ROW(BR16:BR63),0,1))),_xlpm.p,_xlpm.r-MIN(ROW(BP16:BP63))+1,_xlpm.f,INDEX(BS16:BS63,_xlpm.p),_xlpm.u,INDEX(BT16:BT63,_xlpm.p),_xlpm.s,INDEX(BV16:BV63,_xlpm.p),_xlpm.q,N(BA179)/_xlpm.f,IF(_xlpm.q&gt;=_xlpm.s,ROUND(_xlpm.q,1)&amp;" "&amp;_xlpm.ai_test&amp;" = "&amp;ROUND(_xlpm.q*_xlpm.f,1)&amp;" "&amp;_xlpm.u,ROUND(_xlpm.q,1)&amp;" "&amp;_xlpm.ai_test)),""),""))))</f>
        <v>0</v>
      </c>
      <c r="BD179" s="801"/>
      <c r="BE179" s="788" t="str">
        <f t="shared" si="87"/>
        <v/>
      </c>
      <c r="BF179" s="789" t="str">
        <f t="shared" si="88"/>
        <v/>
      </c>
      <c r="BG179" s="790">
        <f t="shared" si="91"/>
        <v>0</v>
      </c>
      <c r="BH179" s="791" t="str">
        <f t="shared" si="92"/>
        <v/>
      </c>
      <c r="BI179" s="792"/>
      <c r="BJ179" s="793">
        <f t="shared" si="90"/>
        <v>0</v>
      </c>
      <c r="BK179" s="794" t="str">
        <f t="shared" si="89"/>
        <v/>
      </c>
      <c r="BL179" s="227" t="s">
        <v>21</v>
      </c>
      <c r="BM179" s="773">
        <f t="shared" si="78"/>
        <v>0</v>
      </c>
      <c r="BN179" s="774">
        <f t="shared" si="79"/>
        <v>0</v>
      </c>
      <c r="BO179"/>
      <c r="BX179"/>
      <c r="BY179"/>
      <c r="BZ179"/>
      <c r="CA179"/>
      <c r="CB179"/>
      <c r="CC179"/>
      <c r="CD179" s="781" t="str">
        <f t="shared" si="72"/>
        <v>►</v>
      </c>
      <c r="CE179"/>
      <c r="CF179"/>
      <c r="CG179"/>
      <c r="CH179"/>
      <c r="CI179"/>
      <c r="CJ179" s="633"/>
      <c r="CK179"/>
      <c r="CL179"/>
      <c r="CM179"/>
      <c r="CN179"/>
      <c r="CO179"/>
      <c r="CP179"/>
      <c r="CQ179"/>
      <c r="CS179"/>
      <c r="CT179"/>
      <c r="CU179"/>
      <c r="CV179"/>
      <c r="CW179"/>
      <c r="CX179"/>
      <c r="CY179"/>
      <c r="DA179"/>
      <c r="DB179"/>
      <c r="DC179"/>
      <c r="DD179"/>
      <c r="DE179"/>
      <c r="DF179"/>
      <c r="DG179"/>
      <c r="DI179" s="3">
        <v>1</v>
      </c>
    </row>
    <row r="180" spans="1:113" s="627" customFormat="1" ht="21" customHeight="1">
      <c r="A180" s="701" t="s">
        <v>21</v>
      </c>
      <c r="B180" s="2265" t="str" cm="1">
        <f t="array" ref="B180">SUMPRODUCT(--(D180:J180&lt;&gt;""), LEN(TRIM(SUBSTITUTE(D180:J180, CHAR(160), "")))) &amp; " Car."</f>
        <v>0 Car.</v>
      </c>
      <c r="C180" s="1376" t="str">
        <f>IF(ISBLANK(D180),"",LARGE(C13:C179,1)+1)</f>
        <v/>
      </c>
      <c r="D180" s="1833"/>
      <c r="E180" s="1810"/>
      <c r="F180" s="1810"/>
      <c r="G180" s="1810"/>
      <c r="H180" s="1810"/>
      <c r="I180" s="1810"/>
      <c r="J180" s="1810"/>
      <c r="K180" s="1810"/>
      <c r="L180" s="1811"/>
      <c r="M180" s="9"/>
      <c r="N180" s="25" t="str">
        <f t="shared" si="74"/>
        <v>►</v>
      </c>
      <c r="O180" s="1616"/>
      <c r="P180" s="9"/>
      <c r="Q180" s="25" t="s">
        <v>15</v>
      </c>
      <c r="R180" s="31"/>
      <c r="S180" s="32"/>
      <c r="T180" s="31"/>
      <c r="U180" s="33"/>
      <c r="V180" s="1967"/>
      <c r="W180" s="1805"/>
      <c r="X180" s="91"/>
      <c r="Y180" s="1806"/>
      <c r="Z180" s="1968"/>
      <c r="AA180" s="2244"/>
      <c r="AB180" s="1969"/>
      <c r="AC180" s="1365"/>
      <c r="AD180" s="95"/>
      <c r="AE180" s="1326"/>
      <c r="AF180" s="97"/>
      <c r="AG180" s="1737"/>
      <c r="AH180" s="1970"/>
      <c r="AI180" s="99"/>
      <c r="AJ180" s="1809"/>
      <c r="AK180" s="6120" t="str">
        <f t="shared" si="75"/>
        <v>►</v>
      </c>
      <c r="AL180" s="781" t="str">
        <f t="shared" si="77"/>
        <v>►</v>
      </c>
      <c r="AM180" s="5498" t="str">
        <f t="shared" si="80"/>
        <v/>
      </c>
      <c r="AN180" s="783" t="str">
        <f t="shared" si="81"/>
        <v/>
      </c>
      <c r="AO180" s="782" t="str">
        <f t="shared" si="82"/>
        <v/>
      </c>
      <c r="AP180" s="783" t="str">
        <f t="shared" si="83"/>
        <v/>
      </c>
      <c r="AQ180" s="2083" t="b">
        <f>AND(Q180="A",COUNTIF(BP16:BR63,TRIM(Z180))&gt;0)</f>
        <v>0</v>
      </c>
      <c r="AR180" s="797" t="str">
        <f>IF(AL180&lt;&gt;"A","",IFERROR(IFERROR(_xlfn.XLOOKUP(TRIM(SUBSTITUTE(Z180,CHAR(160)," ")),BP16:BP63,BS16:BS63),IFERROR(_xlfn.XLOOKUP(TRIM(SUBSTITUTE(Z180,CHAR(160)," ")),BQ16:BQ63,BS16:BS63),_xlfn.XLOOKUP(TRIM(SUBSTITUTE(Z180,CHAR(160)," ")),BR16:BR63,BS16:BS63)))*Y180*IF(ISBLANK(V180),1,V180),0))</f>
        <v/>
      </c>
      <c r="AS180" s="784" t="str">
        <f t="shared" si="73"/>
        <v/>
      </c>
      <c r="AT180" s="1315" t="str">
        <f t="shared" si="84"/>
        <v/>
      </c>
      <c r="AU180" s="785">
        <f t="shared" si="85"/>
        <v>0</v>
      </c>
      <c r="AV180" s="785">
        <f t="shared" si="86"/>
        <v>0</v>
      </c>
      <c r="AW180" s="798">
        <f>IF(AK180="A",AY10,0)</f>
        <v>0</v>
      </c>
      <c r="AX180" s="5496" t="str">
        <f>IF(IFERROR(SEARCH("Adresse PC",TRIM(W180)),0)&gt;0,"▼ receta siguiente",IF(AK180="A",IF(AZ10&lt;&gt;"",AZ10&amp;" - ou.or.o ❾ + or - &gt;",""),""))</f>
        <v/>
      </c>
      <c r="AY180" s="810"/>
      <c r="AZ180" s="810"/>
      <c r="BA180" s="799" t="str">
        <f t="shared" si="76"/>
        <v/>
      </c>
      <c r="BB180" s="800" t="str">
        <f>IF(AK180="A",IF(AQ180,IF(AND(AW180&lt;&gt;"",N(AW180)&gt;0),IFERROR(IFERROR(_xlfn.XLOOKUP(AP180,BP10:BP57,BT10:BT57),IFERROR(_xlfn.XLOOKUP(AP180,BQ10:BQ57,BT10:BT57),_xlfn.XLOOKUP(AP180,BR10:BR57,BT10:BT57,""))),""),""),""),"")</f>
        <v/>
      </c>
      <c r="BC180" s="813" cm="1">
        <f t="array" ref="BC180">IF(NOT(AQ180),0,IF(OR(BA180="",N(BA180)&lt;=0.000000001),"",IF(OR(AU180="",N(AU180)&lt;=0.000000001),0,IF(ISNUMBER(BA180),IFERROR(_xlfn.LET(_xlpm.ai_test,TRIM(AP180),_xlpm.r,IFERROR(_xlfn.XLOOKUP(_xlpm.ai_test,BP16:BP63,ROW(BP16:BP63),0,1),IFERROR(_xlfn.XLOOKUP(_xlpm.ai_test,BQ16:BQ63,ROW(BQ16:BQ63),0,1),_xlfn.XLOOKUP(_xlpm.ai_test,BR16:BR63,ROW(BR16:BR63),0,1))),_xlpm.p,_xlpm.r-MIN(ROW(BP16:BP63))+1,_xlpm.f,INDEX(BS16:BS63,_xlpm.p),_xlpm.u,INDEX(BT16:BT63,_xlpm.p),_xlpm.s,INDEX(BV16:BV63,_xlpm.p),_xlpm.q,N(BA180)/_xlpm.f,IF(_xlpm.q&gt;=_xlpm.s,ROUND(_xlpm.q,1)&amp;" "&amp;_xlpm.ai_test&amp;" = "&amp;ROUND(_xlpm.q*_xlpm.f,1)&amp;" "&amp;_xlpm.u,ROUND(_xlpm.q,1)&amp;" "&amp;_xlpm.ai_test)),""),""))))</f>
        <v>0</v>
      </c>
      <c r="BD180" s="801"/>
      <c r="BE180" s="799" t="str">
        <f t="shared" si="87"/>
        <v/>
      </c>
      <c r="BF180" s="800" t="str">
        <f t="shared" si="88"/>
        <v/>
      </c>
      <c r="BG180" s="802">
        <f t="shared" si="91"/>
        <v>0</v>
      </c>
      <c r="BH180" s="803" t="str">
        <f t="shared" si="92"/>
        <v/>
      </c>
      <c r="BI180" s="792"/>
      <c r="BJ180" s="804">
        <f t="shared" si="90"/>
        <v>0</v>
      </c>
      <c r="BK180" s="794" t="str">
        <f t="shared" si="89"/>
        <v/>
      </c>
      <c r="BL180" s="227" t="s">
        <v>21</v>
      </c>
      <c r="BM180" s="773">
        <f t="shared" si="78"/>
        <v>0</v>
      </c>
      <c r="BN180" s="774">
        <f t="shared" si="79"/>
        <v>0</v>
      </c>
      <c r="BO180"/>
      <c r="BX180"/>
      <c r="BY180"/>
      <c r="BZ180"/>
      <c r="CA180"/>
      <c r="CB180"/>
      <c r="CC180"/>
      <c r="CD180" s="781" t="str">
        <f t="shared" si="72"/>
        <v>►</v>
      </c>
      <c r="CE180"/>
      <c r="CF180"/>
      <c r="CG180"/>
      <c r="CH180"/>
      <c r="CI180"/>
      <c r="CJ180" s="633"/>
      <c r="CK180"/>
      <c r="CL180"/>
      <c r="CM180"/>
      <c r="CN180"/>
      <c r="CO180"/>
      <c r="CP180"/>
      <c r="CQ180"/>
      <c r="CS180"/>
      <c r="CT180"/>
      <c r="CU180"/>
      <c r="CV180"/>
      <c r="CW180"/>
      <c r="CX180"/>
      <c r="CY180"/>
      <c r="DA180"/>
      <c r="DB180"/>
      <c r="DC180"/>
      <c r="DD180"/>
      <c r="DE180"/>
      <c r="DF180"/>
      <c r="DG180"/>
      <c r="DI180" s="3">
        <v>1</v>
      </c>
    </row>
    <row r="181" spans="1:113" s="627" customFormat="1" ht="21" customHeight="1">
      <c r="A181" s="701" t="s">
        <v>21</v>
      </c>
      <c r="B181" s="2265" t="str" cm="1">
        <f t="array" ref="B181">SUMPRODUCT(--(D181:J181&lt;&gt;""), LEN(TRIM(SUBSTITUTE(D181:J181, CHAR(160), "")))) &amp; " Car."</f>
        <v>0 Car.</v>
      </c>
      <c r="C181" s="1376" t="str">
        <f>IF(ISBLANK(D181),"",LARGE(C13:C180,1)+1)</f>
        <v/>
      </c>
      <c r="D181" s="1833"/>
      <c r="E181" s="1810"/>
      <c r="F181" s="1810"/>
      <c r="G181" s="1810"/>
      <c r="H181" s="1810"/>
      <c r="I181" s="1810"/>
      <c r="J181" s="1810"/>
      <c r="K181" s="1810"/>
      <c r="L181" s="1811"/>
      <c r="M181" s="9"/>
      <c r="N181" s="25" t="str">
        <f t="shared" si="74"/>
        <v>►</v>
      </c>
      <c r="O181" s="1616"/>
      <c r="P181" s="9"/>
      <c r="Q181" s="25" t="s">
        <v>15</v>
      </c>
      <c r="R181" s="31"/>
      <c r="S181" s="32"/>
      <c r="T181" s="31"/>
      <c r="U181" s="33"/>
      <c r="V181" s="1967"/>
      <c r="W181" s="1805"/>
      <c r="X181" s="91"/>
      <c r="Y181" s="1806"/>
      <c r="Z181" s="1968"/>
      <c r="AA181" s="2244"/>
      <c r="AB181" s="1969"/>
      <c r="AC181" s="1365"/>
      <c r="AD181" s="95"/>
      <c r="AE181" s="1326"/>
      <c r="AF181" s="97"/>
      <c r="AG181" s="1737"/>
      <c r="AH181" s="1970"/>
      <c r="AI181" s="99"/>
      <c r="AJ181" s="1809"/>
      <c r="AK181" s="6120" t="str">
        <f t="shared" si="75"/>
        <v>►</v>
      </c>
      <c r="AL181" s="781" t="str">
        <f t="shared" si="77"/>
        <v>►</v>
      </c>
      <c r="AM181" s="5499" t="str">
        <f t="shared" si="80"/>
        <v/>
      </c>
      <c r="AN181" s="783" t="str">
        <f t="shared" si="81"/>
        <v/>
      </c>
      <c r="AO181" s="782" t="str">
        <f t="shared" si="82"/>
        <v/>
      </c>
      <c r="AP181" s="783" t="str">
        <f t="shared" si="83"/>
        <v/>
      </c>
      <c r="AQ181" s="2083" t="b">
        <f>AND(Q181="A",COUNTIF(BP16:BR63,TRIM(Z181))&gt;0)</f>
        <v>0</v>
      </c>
      <c r="AR181" s="797" t="str">
        <f>IF(AL181&lt;&gt;"A","",IFERROR(IFERROR(_xlfn.XLOOKUP(TRIM(SUBSTITUTE(Z181,CHAR(160)," ")),BP16:BP63,BS16:BS63),IFERROR(_xlfn.XLOOKUP(TRIM(SUBSTITUTE(Z181,CHAR(160)," ")),BQ16:BQ63,BS16:BS63),_xlfn.XLOOKUP(TRIM(SUBSTITUTE(Z181,CHAR(160)," ")),BR16:BR63,BS16:BS63)))*Y181*IF(ISBLANK(V181),1,V181),0))</f>
        <v/>
      </c>
      <c r="AS181" s="784" t="str">
        <f t="shared" si="73"/>
        <v/>
      </c>
      <c r="AT181" s="1315" t="str">
        <f t="shared" si="84"/>
        <v/>
      </c>
      <c r="AU181" s="785">
        <f t="shared" si="85"/>
        <v>0</v>
      </c>
      <c r="AV181" s="785">
        <f t="shared" si="86"/>
        <v>0</v>
      </c>
      <c r="AW181" s="786">
        <f>IF(AK181="A",AY10,0)</f>
        <v>0</v>
      </c>
      <c r="AX181" s="5495" t="str">
        <f>IF(IFERROR(SEARCH("Adresse PC",TRIM(W181)),0)&gt;0,"▼ receta siguiente",IF(AK181="A",IF(AZ10&lt;&gt;"",AZ10&amp;" - ou.or.o ❾ + or - &gt;",""),""))</f>
        <v/>
      </c>
      <c r="AY181" s="810"/>
      <c r="AZ181" s="810"/>
      <c r="BA181" s="788" t="str">
        <f t="shared" si="76"/>
        <v/>
      </c>
      <c r="BB181" s="789" t="str">
        <f>IF(AK181="A",IF(AQ181,IF(AND(AW181&lt;&gt;"",N(AW181)&gt;0),IFERROR(IFERROR(_xlfn.XLOOKUP(AP181,BP10:BP57,BT10:BT57),IFERROR(_xlfn.XLOOKUP(AP181,BQ10:BQ57,BT10:BT57),_xlfn.XLOOKUP(AP181,BR10:BR57,BT10:BT57,""))),""),""),""),"")</f>
        <v/>
      </c>
      <c r="BC181" s="811" cm="1">
        <f t="array" ref="BC181">IF(NOT(AQ181),0,IF(OR(BA181="",N(BA181)&lt;=0.000000001),"",IF(OR(AU181="",N(AU181)&lt;=0.000000001),0,IF(ISNUMBER(BA181),IFERROR(_xlfn.LET(_xlpm.ai_test,TRIM(AP181),_xlpm.r,IFERROR(_xlfn.XLOOKUP(_xlpm.ai_test,BP16:BP63,ROW(BP16:BP63),0,1),IFERROR(_xlfn.XLOOKUP(_xlpm.ai_test,BQ16:BQ63,ROW(BQ16:BQ63),0,1),_xlfn.XLOOKUP(_xlpm.ai_test,BR16:BR63,ROW(BR16:BR63),0,1))),_xlpm.p,_xlpm.r-MIN(ROW(BP16:BP63))+1,_xlpm.f,INDEX(BS16:BS63,_xlpm.p),_xlpm.u,INDEX(BT16:BT63,_xlpm.p),_xlpm.s,INDEX(BV16:BV63,_xlpm.p),_xlpm.q,N(BA181)/_xlpm.f,IF(_xlpm.q&gt;=_xlpm.s,ROUND(_xlpm.q,1)&amp;" "&amp;_xlpm.ai_test&amp;" = "&amp;ROUND(_xlpm.q*_xlpm.f,1)&amp;" "&amp;_xlpm.u,ROUND(_xlpm.q,1)&amp;" "&amp;_xlpm.ai_test)),""),""))))</f>
        <v>0</v>
      </c>
      <c r="BD181" s="801"/>
      <c r="BE181" s="788" t="str">
        <f t="shared" si="87"/>
        <v/>
      </c>
      <c r="BF181" s="789" t="str">
        <f t="shared" si="88"/>
        <v/>
      </c>
      <c r="BG181" s="790">
        <f t="shared" si="91"/>
        <v>0</v>
      </c>
      <c r="BH181" s="791" t="str">
        <f t="shared" si="92"/>
        <v/>
      </c>
      <c r="BI181" s="792"/>
      <c r="BJ181" s="793">
        <f t="shared" si="90"/>
        <v>0</v>
      </c>
      <c r="BK181" s="794" t="str">
        <f t="shared" si="89"/>
        <v/>
      </c>
      <c r="BL181" s="227" t="s">
        <v>21</v>
      </c>
      <c r="BM181" s="773">
        <f t="shared" si="78"/>
        <v>0</v>
      </c>
      <c r="BN181" s="774">
        <f t="shared" si="79"/>
        <v>0</v>
      </c>
      <c r="BO181"/>
      <c r="BX181"/>
      <c r="BY181"/>
      <c r="BZ181"/>
      <c r="CA181"/>
      <c r="CB181"/>
      <c r="CC181"/>
      <c r="CD181" s="781" t="str">
        <f t="shared" si="72"/>
        <v>►</v>
      </c>
      <c r="CE181"/>
      <c r="CF181"/>
      <c r="CG181"/>
      <c r="CH181"/>
      <c r="CI181"/>
      <c r="CJ181" s="633"/>
      <c r="CK181"/>
      <c r="CL181"/>
      <c r="CM181"/>
      <c r="CN181"/>
      <c r="CO181"/>
      <c r="CP181"/>
      <c r="CQ181"/>
      <c r="CS181"/>
      <c r="CT181"/>
      <c r="CU181"/>
      <c r="CV181"/>
      <c r="CW181"/>
      <c r="CX181"/>
      <c r="CY181"/>
      <c r="DA181"/>
      <c r="DB181"/>
      <c r="DC181"/>
      <c r="DD181"/>
      <c r="DE181"/>
      <c r="DF181"/>
      <c r="DG181"/>
      <c r="DI181" s="3">
        <v>1</v>
      </c>
    </row>
    <row r="182" spans="1:113" s="627" customFormat="1" ht="21" customHeight="1">
      <c r="A182" s="701" t="s">
        <v>21</v>
      </c>
      <c r="B182" s="2265" t="str" cm="1">
        <f t="array" ref="B182">SUMPRODUCT(--(D182:J182&lt;&gt;""), LEN(TRIM(SUBSTITUTE(D182:J182, CHAR(160), "")))) &amp; " Car."</f>
        <v>0 Car.</v>
      </c>
      <c r="C182" s="1376" t="str">
        <f>IF(ISBLANK(D182),"",LARGE(C13:C181,1)+1)</f>
        <v/>
      </c>
      <c r="D182" s="1833"/>
      <c r="E182" s="1810"/>
      <c r="F182" s="1810"/>
      <c r="G182" s="1810"/>
      <c r="H182" s="1810"/>
      <c r="I182" s="1810"/>
      <c r="J182" s="1810"/>
      <c r="K182" s="1810"/>
      <c r="L182" s="1811"/>
      <c r="M182" s="9"/>
      <c r="N182" s="25" t="str">
        <f t="shared" si="74"/>
        <v>►</v>
      </c>
      <c r="O182" s="1616"/>
      <c r="P182" s="9"/>
      <c r="Q182" s="25" t="s">
        <v>15</v>
      </c>
      <c r="R182" s="31"/>
      <c r="S182" s="32"/>
      <c r="T182" s="31"/>
      <c r="U182" s="33"/>
      <c r="V182" s="1967"/>
      <c r="W182" s="1805"/>
      <c r="X182" s="91"/>
      <c r="Y182" s="1806"/>
      <c r="Z182" s="1968"/>
      <c r="AA182" s="2244"/>
      <c r="AB182" s="1969"/>
      <c r="AC182" s="1365"/>
      <c r="AD182" s="95"/>
      <c r="AE182" s="1326"/>
      <c r="AF182" s="97"/>
      <c r="AG182" s="1737"/>
      <c r="AH182" s="1970"/>
      <c r="AI182" s="99"/>
      <c r="AJ182" s="1809"/>
      <c r="AK182" s="6120" t="str">
        <f t="shared" si="75"/>
        <v>►</v>
      </c>
      <c r="AL182" s="781" t="str">
        <f t="shared" si="77"/>
        <v>►</v>
      </c>
      <c r="AM182" s="5498" t="str">
        <f t="shared" si="80"/>
        <v/>
      </c>
      <c r="AN182" s="783" t="str">
        <f t="shared" si="81"/>
        <v/>
      </c>
      <c r="AO182" s="782" t="str">
        <f t="shared" si="82"/>
        <v/>
      </c>
      <c r="AP182" s="783" t="str">
        <f t="shared" si="83"/>
        <v/>
      </c>
      <c r="AQ182" s="2083" t="b">
        <f>AND(Q182="A",COUNTIF(BP16:BR63,TRIM(Z182))&gt;0)</f>
        <v>0</v>
      </c>
      <c r="AR182" s="797" t="str">
        <f>IF(AL182&lt;&gt;"A","",IFERROR(IFERROR(_xlfn.XLOOKUP(TRIM(SUBSTITUTE(Z182,CHAR(160)," ")),BP16:BP63,BS16:BS63),IFERROR(_xlfn.XLOOKUP(TRIM(SUBSTITUTE(Z182,CHAR(160)," ")),BQ16:BQ63,BS16:BS63),_xlfn.XLOOKUP(TRIM(SUBSTITUTE(Z182,CHAR(160)," ")),BR16:BR63,BS16:BS63)))*Y182*IF(ISBLANK(V182),1,V182),0))</f>
        <v/>
      </c>
      <c r="AS182" s="784" t="str">
        <f t="shared" si="73"/>
        <v/>
      </c>
      <c r="AT182" s="1315" t="str">
        <f t="shared" si="84"/>
        <v/>
      </c>
      <c r="AU182" s="785">
        <f t="shared" si="85"/>
        <v>0</v>
      </c>
      <c r="AV182" s="785">
        <f t="shared" si="86"/>
        <v>0</v>
      </c>
      <c r="AW182" s="798">
        <f>IF(AK182="A",AY10,0)</f>
        <v>0</v>
      </c>
      <c r="AX182" s="5496" t="str">
        <f>IF(IFERROR(SEARCH("Adresse PC",TRIM(W182)),0)&gt;0,"▼ receta siguiente",IF(AK182="A",IF(AZ10&lt;&gt;"",AZ10&amp;" - ou.or.o ❾ + or - &gt;",""),""))</f>
        <v/>
      </c>
      <c r="AY182" s="810"/>
      <c r="AZ182" s="810"/>
      <c r="BA182" s="799" t="str">
        <f t="shared" si="76"/>
        <v/>
      </c>
      <c r="BB182" s="800" t="str">
        <f>IF(AK182="A",IF(AQ182,IF(AND(AW182&lt;&gt;"",N(AW182)&gt;0),IFERROR(IFERROR(_xlfn.XLOOKUP(AP182,BP10:BP57,BT10:BT57),IFERROR(_xlfn.XLOOKUP(AP182,BQ10:BQ57,BT10:BT57),_xlfn.XLOOKUP(AP182,BR10:BR57,BT10:BT57,""))),""),""),""),"")</f>
        <v/>
      </c>
      <c r="BC182" s="813" cm="1">
        <f t="array" ref="BC182">IF(NOT(AQ182),0,IF(OR(BA182="",N(BA182)&lt;=0.000000001),"",IF(OR(AU182="",N(AU182)&lt;=0.000000001),0,IF(ISNUMBER(BA182),IFERROR(_xlfn.LET(_xlpm.ai_test,TRIM(AP182),_xlpm.r,IFERROR(_xlfn.XLOOKUP(_xlpm.ai_test,BP16:BP63,ROW(BP16:BP63),0,1),IFERROR(_xlfn.XLOOKUP(_xlpm.ai_test,BQ16:BQ63,ROW(BQ16:BQ63),0,1),_xlfn.XLOOKUP(_xlpm.ai_test,BR16:BR63,ROW(BR16:BR63),0,1))),_xlpm.p,_xlpm.r-MIN(ROW(BP16:BP63))+1,_xlpm.f,INDEX(BS16:BS63,_xlpm.p),_xlpm.u,INDEX(BT16:BT63,_xlpm.p),_xlpm.s,INDEX(BV16:BV63,_xlpm.p),_xlpm.q,N(BA182)/_xlpm.f,IF(_xlpm.q&gt;=_xlpm.s,ROUND(_xlpm.q,1)&amp;" "&amp;_xlpm.ai_test&amp;" = "&amp;ROUND(_xlpm.q*_xlpm.f,1)&amp;" "&amp;_xlpm.u,ROUND(_xlpm.q,1)&amp;" "&amp;_xlpm.ai_test)),""),""))))</f>
        <v>0</v>
      </c>
      <c r="BD182" s="801"/>
      <c r="BE182" s="799" t="str">
        <f t="shared" si="87"/>
        <v/>
      </c>
      <c r="BF182" s="800" t="str">
        <f t="shared" si="88"/>
        <v/>
      </c>
      <c r="BG182" s="802">
        <f t="shared" si="91"/>
        <v>0</v>
      </c>
      <c r="BH182" s="803" t="str">
        <f t="shared" si="92"/>
        <v/>
      </c>
      <c r="BI182" s="792"/>
      <c r="BJ182" s="804">
        <f t="shared" si="90"/>
        <v>0</v>
      </c>
      <c r="BK182" s="794" t="str">
        <f t="shared" si="89"/>
        <v/>
      </c>
      <c r="BL182" s="227" t="s">
        <v>21</v>
      </c>
      <c r="BM182" s="773">
        <f t="shared" si="78"/>
        <v>0</v>
      </c>
      <c r="BN182" s="774">
        <f t="shared" si="79"/>
        <v>0</v>
      </c>
      <c r="BO182"/>
      <c r="BX182"/>
      <c r="BY182"/>
      <c r="BZ182"/>
      <c r="CA182"/>
      <c r="CB182"/>
      <c r="CC182"/>
      <c r="CD182" s="781" t="str">
        <f t="shared" si="72"/>
        <v>►</v>
      </c>
      <c r="CE182"/>
      <c r="CF182"/>
      <c r="CG182"/>
      <c r="CH182"/>
      <c r="CI182"/>
      <c r="CJ182" s="633"/>
      <c r="CK182"/>
      <c r="CL182"/>
      <c r="CM182"/>
      <c r="CN182"/>
      <c r="CO182"/>
      <c r="CP182"/>
      <c r="CQ182"/>
      <c r="CS182"/>
      <c r="CT182"/>
      <c r="CU182"/>
      <c r="CV182"/>
      <c r="CW182"/>
      <c r="CX182"/>
      <c r="CY182"/>
      <c r="DA182"/>
      <c r="DB182"/>
      <c r="DC182"/>
      <c r="DD182"/>
      <c r="DE182"/>
      <c r="DF182"/>
      <c r="DG182"/>
      <c r="DI182" s="3">
        <v>1</v>
      </c>
    </row>
    <row r="183" spans="1:113" s="627" customFormat="1" ht="21" customHeight="1">
      <c r="A183" s="701" t="s">
        <v>21</v>
      </c>
      <c r="B183" s="2265" t="str" cm="1">
        <f t="array" ref="B183">SUMPRODUCT(--(D183:J183&lt;&gt;""), LEN(TRIM(SUBSTITUTE(D183:J183, CHAR(160), "")))) &amp; " Car."</f>
        <v>0 Car.</v>
      </c>
      <c r="C183" s="1376" t="str">
        <f>IF(ISBLANK(D183),"",LARGE(C13:C182,1)+1)</f>
        <v/>
      </c>
      <c r="D183" s="1833"/>
      <c r="E183" s="1810"/>
      <c r="F183" s="1810"/>
      <c r="G183" s="1810"/>
      <c r="H183" s="1810"/>
      <c r="I183" s="1810"/>
      <c r="J183" s="1810"/>
      <c r="K183" s="1810"/>
      <c r="L183" s="1811"/>
      <c r="M183" s="9"/>
      <c r="N183" s="162" t="str">
        <f t="shared" si="74"/>
        <v>►</v>
      </c>
      <c r="O183" s="1616"/>
      <c r="P183" s="9"/>
      <c r="Q183" s="25" t="s">
        <v>15</v>
      </c>
      <c r="R183" s="31"/>
      <c r="S183" s="32"/>
      <c r="T183" s="31"/>
      <c r="U183" s="33"/>
      <c r="V183" s="1967"/>
      <c r="W183" s="1805"/>
      <c r="X183" s="91"/>
      <c r="Y183" s="1806"/>
      <c r="Z183" s="1968"/>
      <c r="AA183" s="2244"/>
      <c r="AB183" s="1969"/>
      <c r="AC183" s="1365"/>
      <c r="AD183" s="95"/>
      <c r="AE183" s="1326"/>
      <c r="AF183" s="97"/>
      <c r="AG183" s="1737"/>
      <c r="AH183" s="1970"/>
      <c r="AI183" s="99"/>
      <c r="AJ183" s="1809"/>
      <c r="AK183" s="6120" t="str">
        <f t="shared" si="75"/>
        <v>►</v>
      </c>
      <c r="AL183" s="781" t="str">
        <f t="shared" si="77"/>
        <v>►</v>
      </c>
      <c r="AM183" s="5499" t="str">
        <f t="shared" si="80"/>
        <v/>
      </c>
      <c r="AN183" s="783" t="str">
        <f t="shared" si="81"/>
        <v/>
      </c>
      <c r="AO183" s="782" t="str">
        <f t="shared" si="82"/>
        <v/>
      </c>
      <c r="AP183" s="783" t="str">
        <f t="shared" si="83"/>
        <v/>
      </c>
      <c r="AQ183" s="2083" t="b">
        <f>AND(Q183="A",COUNTIF(BP16:BR63,TRIM(Z183))&gt;0)</f>
        <v>0</v>
      </c>
      <c r="AR183" s="797" t="str">
        <f>IF(AL183&lt;&gt;"A","",IFERROR(IFERROR(_xlfn.XLOOKUP(TRIM(SUBSTITUTE(Z183,CHAR(160)," ")),BP16:BP63,BS16:BS63),IFERROR(_xlfn.XLOOKUP(TRIM(SUBSTITUTE(Z183,CHAR(160)," ")),BQ16:BQ63,BS16:BS63),_xlfn.XLOOKUP(TRIM(SUBSTITUTE(Z183,CHAR(160)," ")),BR16:BR63,BS16:BS63)))*Y183*IF(ISBLANK(V183),1,V183),0))</f>
        <v/>
      </c>
      <c r="AS183" s="784" t="str">
        <f t="shared" si="73"/>
        <v/>
      </c>
      <c r="AT183" s="1315" t="str">
        <f t="shared" si="84"/>
        <v/>
      </c>
      <c r="AU183" s="785">
        <f t="shared" si="85"/>
        <v>0</v>
      </c>
      <c r="AV183" s="785">
        <f t="shared" si="86"/>
        <v>0</v>
      </c>
      <c r="AW183" s="786">
        <f>IF(AK183="A",AY10,0)</f>
        <v>0</v>
      </c>
      <c r="AX183" s="5495" t="str">
        <f>IF(IFERROR(SEARCH("Adresse PC",TRIM(W183)),0)&gt;0,"▼ receta siguiente",IF(AK183="A",IF(AZ10&lt;&gt;"",AZ10&amp;" - ou.or.o ❾ + or - &gt;",""),""))</f>
        <v/>
      </c>
      <c r="AY183" s="810"/>
      <c r="AZ183" s="810"/>
      <c r="BA183" s="788" t="str">
        <f t="shared" si="76"/>
        <v/>
      </c>
      <c r="BB183" s="789" t="str">
        <f>IF(AK183="A",IF(AQ183,IF(AND(AW183&lt;&gt;"",N(AW183)&gt;0),IFERROR(IFERROR(_xlfn.XLOOKUP(AP183,BP10:BP57,BT10:BT57),IFERROR(_xlfn.XLOOKUP(AP183,BQ10:BQ57,BT10:BT57),_xlfn.XLOOKUP(AP183,BR10:BR57,BT10:BT57,""))),""),""),""),"")</f>
        <v/>
      </c>
      <c r="BC183" s="811" cm="1">
        <f t="array" ref="BC183">IF(NOT(AQ183),0,IF(OR(BA183="",N(BA183)&lt;=0.000000001),"",IF(OR(AU183="",N(AU183)&lt;=0.000000001),0,IF(ISNUMBER(BA183),IFERROR(_xlfn.LET(_xlpm.ai_test,TRIM(AP183),_xlpm.r,IFERROR(_xlfn.XLOOKUP(_xlpm.ai_test,BP16:BP63,ROW(BP16:BP63),0,1),IFERROR(_xlfn.XLOOKUP(_xlpm.ai_test,BQ16:BQ63,ROW(BQ16:BQ63),0,1),_xlfn.XLOOKUP(_xlpm.ai_test,BR16:BR63,ROW(BR16:BR63),0,1))),_xlpm.p,_xlpm.r-MIN(ROW(BP16:BP63))+1,_xlpm.f,INDEX(BS16:BS63,_xlpm.p),_xlpm.u,INDEX(BT16:BT63,_xlpm.p),_xlpm.s,INDEX(BV16:BV63,_xlpm.p),_xlpm.q,N(BA183)/_xlpm.f,IF(_xlpm.q&gt;=_xlpm.s,ROUND(_xlpm.q,1)&amp;" "&amp;_xlpm.ai_test&amp;" = "&amp;ROUND(_xlpm.q*_xlpm.f,1)&amp;" "&amp;_xlpm.u,ROUND(_xlpm.q,1)&amp;" "&amp;_xlpm.ai_test)),""),""))))</f>
        <v>0</v>
      </c>
      <c r="BD183" s="801"/>
      <c r="BE183" s="788" t="str">
        <f t="shared" si="87"/>
        <v/>
      </c>
      <c r="BF183" s="789" t="str">
        <f t="shared" si="88"/>
        <v/>
      </c>
      <c r="BG183" s="790">
        <f t="shared" si="91"/>
        <v>0</v>
      </c>
      <c r="BH183" s="791" t="str">
        <f t="shared" si="92"/>
        <v/>
      </c>
      <c r="BI183" s="792"/>
      <c r="BJ183" s="793">
        <f t="shared" si="90"/>
        <v>0</v>
      </c>
      <c r="BK183" s="794" t="str">
        <f t="shared" si="89"/>
        <v/>
      </c>
      <c r="BL183" s="227" t="s">
        <v>21</v>
      </c>
      <c r="BM183" s="773">
        <f t="shared" si="78"/>
        <v>0</v>
      </c>
      <c r="BN183" s="774">
        <f t="shared" si="79"/>
        <v>0</v>
      </c>
      <c r="BO183"/>
      <c r="BX183"/>
      <c r="BY183"/>
      <c r="BZ183"/>
      <c r="CA183"/>
      <c r="CB183"/>
      <c r="CC183"/>
      <c r="CD183" s="781" t="str">
        <f t="shared" si="72"/>
        <v>►</v>
      </c>
      <c r="CE183"/>
      <c r="CF183"/>
      <c r="CG183"/>
      <c r="CH183"/>
      <c r="CI183"/>
      <c r="CJ183" s="633"/>
      <c r="CK183"/>
      <c r="CL183"/>
      <c r="CM183"/>
      <c r="CN183"/>
      <c r="CO183"/>
      <c r="CP183"/>
      <c r="CQ183"/>
      <c r="CS183"/>
      <c r="CT183"/>
      <c r="CU183"/>
      <c r="CV183"/>
      <c r="CW183"/>
      <c r="CX183"/>
      <c r="CY183"/>
      <c r="DA183"/>
      <c r="DB183"/>
      <c r="DC183"/>
      <c r="DD183"/>
      <c r="DE183"/>
      <c r="DF183"/>
      <c r="DG183"/>
      <c r="DI183" s="3">
        <v>1</v>
      </c>
    </row>
    <row r="184" spans="1:113" s="627" customFormat="1" ht="21" customHeight="1">
      <c r="A184" s="701" t="s">
        <v>21</v>
      </c>
      <c r="B184" s="2265" t="str" cm="1">
        <f t="array" ref="B184">SUMPRODUCT(--(D184:J184&lt;&gt;""), LEN(TRIM(SUBSTITUTE(D184:J184, CHAR(160), "")))) &amp; " Car."</f>
        <v>0 Car.</v>
      </c>
      <c r="C184" s="1376" t="str">
        <f>IF(ISBLANK(D184),"",LARGE(C13:C183,1)+1)</f>
        <v/>
      </c>
      <c r="D184" s="1833"/>
      <c r="E184" s="1810"/>
      <c r="F184" s="1810"/>
      <c r="G184" s="1810"/>
      <c r="H184" s="1810"/>
      <c r="I184" s="1810"/>
      <c r="J184" s="1810"/>
      <c r="K184" s="1810"/>
      <c r="L184" s="1811"/>
      <c r="M184" s="9"/>
      <c r="N184" s="162" t="str">
        <f t="shared" si="74"/>
        <v>►</v>
      </c>
      <c r="O184" s="1616"/>
      <c r="P184" s="9"/>
      <c r="Q184" s="25" t="s">
        <v>15</v>
      </c>
      <c r="R184" s="31"/>
      <c r="S184" s="32"/>
      <c r="T184" s="31"/>
      <c r="U184" s="33"/>
      <c r="V184" s="1967"/>
      <c r="W184" s="1805"/>
      <c r="X184" s="91"/>
      <c r="Y184" s="1806"/>
      <c r="Z184" s="1968"/>
      <c r="AA184" s="2244"/>
      <c r="AB184" s="1969"/>
      <c r="AC184" s="1365"/>
      <c r="AD184" s="95"/>
      <c r="AE184" s="1326"/>
      <c r="AF184" s="97"/>
      <c r="AG184" s="1737"/>
      <c r="AH184" s="1970"/>
      <c r="AI184" s="99"/>
      <c r="AJ184" s="1809"/>
      <c r="AK184" s="6120" t="str">
        <f t="shared" si="75"/>
        <v>►</v>
      </c>
      <c r="AL184" s="781" t="str">
        <f t="shared" si="77"/>
        <v>►</v>
      </c>
      <c r="AM184" s="5498" t="str">
        <f t="shared" si="80"/>
        <v/>
      </c>
      <c r="AN184" s="783" t="str">
        <f t="shared" si="81"/>
        <v/>
      </c>
      <c r="AO184" s="782" t="str">
        <f t="shared" si="82"/>
        <v/>
      </c>
      <c r="AP184" s="783" t="str">
        <f t="shared" si="83"/>
        <v/>
      </c>
      <c r="AQ184" s="2083" t="b">
        <f>AND(Q184="A",COUNTIF(BP16:BR63,TRIM(Z184))&gt;0)</f>
        <v>0</v>
      </c>
      <c r="AR184" s="797" t="str">
        <f>IF(AL184&lt;&gt;"A","",IFERROR(IFERROR(_xlfn.XLOOKUP(TRIM(SUBSTITUTE(Z184,CHAR(160)," ")),BP16:BP63,BS16:BS63),IFERROR(_xlfn.XLOOKUP(TRIM(SUBSTITUTE(Z184,CHAR(160)," ")),BQ16:BQ63,BS16:BS63),_xlfn.XLOOKUP(TRIM(SUBSTITUTE(Z184,CHAR(160)," ")),BR16:BR63,BS16:BS63)))*Y184*IF(ISBLANK(V184),1,V184),0))</f>
        <v/>
      </c>
      <c r="AS184" s="784" t="str">
        <f t="shared" si="73"/>
        <v/>
      </c>
      <c r="AT184" s="1315" t="str">
        <f t="shared" si="84"/>
        <v/>
      </c>
      <c r="AU184" s="785">
        <f t="shared" si="85"/>
        <v>0</v>
      </c>
      <c r="AV184" s="785">
        <f t="shared" si="86"/>
        <v>0</v>
      </c>
      <c r="AW184" s="798">
        <f>IF(AK184="A",AY10,0)</f>
        <v>0</v>
      </c>
      <c r="AX184" s="5496" t="str">
        <f>IF(IFERROR(SEARCH("Adresse PC",TRIM(W184)),0)&gt;0,"▼ receta siguiente",IF(AK184="A",IF(AZ10&lt;&gt;"",AZ10&amp;" - ou.or.o ❾ + or - &gt;",""),""))</f>
        <v/>
      </c>
      <c r="AY184" s="810"/>
      <c r="AZ184" s="810"/>
      <c r="BA184" s="799" t="str">
        <f t="shared" si="76"/>
        <v/>
      </c>
      <c r="BB184" s="800" t="str">
        <f>IF(AK184="A",IF(AQ184,IF(AND(AW184&lt;&gt;"",N(AW184)&gt;0),IFERROR(IFERROR(_xlfn.XLOOKUP(AP184,BP10:BP57,BT10:BT57),IFERROR(_xlfn.XLOOKUP(AP184,BQ10:BQ57,BT10:BT57),_xlfn.XLOOKUP(AP184,BR10:BR57,BT10:BT57,""))),""),""),""),"")</f>
        <v/>
      </c>
      <c r="BC184" s="813" cm="1">
        <f t="array" ref="BC184">IF(NOT(AQ184),0,IF(OR(BA184="",N(BA184)&lt;=0.000000001),"",IF(OR(AU184="",N(AU184)&lt;=0.000000001),0,IF(ISNUMBER(BA184),IFERROR(_xlfn.LET(_xlpm.ai_test,TRIM(AP184),_xlpm.r,IFERROR(_xlfn.XLOOKUP(_xlpm.ai_test,BP16:BP63,ROW(BP16:BP63),0,1),IFERROR(_xlfn.XLOOKUP(_xlpm.ai_test,BQ16:BQ63,ROW(BQ16:BQ63),0,1),_xlfn.XLOOKUP(_xlpm.ai_test,BR16:BR63,ROW(BR16:BR63),0,1))),_xlpm.p,_xlpm.r-MIN(ROW(BP16:BP63))+1,_xlpm.f,INDEX(BS16:BS63,_xlpm.p),_xlpm.u,INDEX(BT16:BT63,_xlpm.p),_xlpm.s,INDEX(BV16:BV63,_xlpm.p),_xlpm.q,N(BA184)/_xlpm.f,IF(_xlpm.q&gt;=_xlpm.s,ROUND(_xlpm.q,1)&amp;" "&amp;_xlpm.ai_test&amp;" = "&amp;ROUND(_xlpm.q*_xlpm.f,1)&amp;" "&amp;_xlpm.u,ROUND(_xlpm.q,1)&amp;" "&amp;_xlpm.ai_test)),""),""))))</f>
        <v>0</v>
      </c>
      <c r="BD184" s="801"/>
      <c r="BE184" s="799" t="str">
        <f t="shared" si="87"/>
        <v/>
      </c>
      <c r="BF184" s="800" t="str">
        <f t="shared" si="88"/>
        <v/>
      </c>
      <c r="BG184" s="802">
        <f t="shared" si="91"/>
        <v>0</v>
      </c>
      <c r="BH184" s="803" t="str">
        <f t="shared" si="92"/>
        <v/>
      </c>
      <c r="BI184" s="792"/>
      <c r="BJ184" s="804">
        <f t="shared" si="90"/>
        <v>0</v>
      </c>
      <c r="BK184" s="794" t="str">
        <f t="shared" si="89"/>
        <v/>
      </c>
      <c r="BL184" s="227" t="s">
        <v>21</v>
      </c>
      <c r="BM184" s="773">
        <f t="shared" si="78"/>
        <v>0</v>
      </c>
      <c r="BN184" s="774">
        <f t="shared" si="79"/>
        <v>0</v>
      </c>
      <c r="BO184"/>
      <c r="BX184"/>
      <c r="BY184"/>
      <c r="BZ184"/>
      <c r="CA184"/>
      <c r="CB184"/>
      <c r="CC184"/>
      <c r="CD184" s="781" t="str">
        <f t="shared" si="72"/>
        <v>►</v>
      </c>
      <c r="CE184"/>
      <c r="CF184"/>
      <c r="CG184"/>
      <c r="CH184"/>
      <c r="CI184"/>
      <c r="CJ184" s="633"/>
      <c r="CK184"/>
      <c r="CL184"/>
      <c r="CM184"/>
      <c r="CN184"/>
      <c r="CO184"/>
      <c r="CP184"/>
      <c r="CQ184"/>
      <c r="CS184"/>
      <c r="CT184"/>
      <c r="CU184"/>
      <c r="CV184"/>
      <c r="CW184"/>
      <c r="CX184"/>
      <c r="CY184"/>
      <c r="DA184"/>
      <c r="DB184"/>
      <c r="DC184"/>
      <c r="DD184"/>
      <c r="DE184"/>
      <c r="DF184"/>
      <c r="DG184"/>
      <c r="DI184" s="3">
        <v>1</v>
      </c>
    </row>
    <row r="185" spans="1:113" s="627" customFormat="1" ht="21" customHeight="1">
      <c r="A185" s="701" t="s">
        <v>21</v>
      </c>
      <c r="B185" s="2265" t="str" cm="1">
        <f t="array" ref="B185">SUMPRODUCT(--(D185:J185&lt;&gt;""), LEN(TRIM(SUBSTITUTE(D185:J185, CHAR(160), "")))) &amp; " Car."</f>
        <v>0 Car.</v>
      </c>
      <c r="C185" s="1376" t="str">
        <f>IF(ISBLANK(D185),"",LARGE(C13:C184,1)+1)</f>
        <v/>
      </c>
      <c r="D185" s="1833"/>
      <c r="E185" s="1810"/>
      <c r="F185" s="1810"/>
      <c r="G185" s="1810"/>
      <c r="H185" s="1810"/>
      <c r="I185" s="1810"/>
      <c r="J185" s="1810"/>
      <c r="K185" s="1810"/>
      <c r="L185" s="1811"/>
      <c r="M185" s="9"/>
      <c r="N185" s="162" t="str">
        <f t="shared" si="74"/>
        <v>►</v>
      </c>
      <c r="O185" s="1616"/>
      <c r="P185" s="9"/>
      <c r="Q185" s="25" t="s">
        <v>15</v>
      </c>
      <c r="R185" s="31"/>
      <c r="S185" s="32"/>
      <c r="T185" s="31"/>
      <c r="U185" s="33"/>
      <c r="V185" s="1967"/>
      <c r="W185" s="1805"/>
      <c r="X185" s="91"/>
      <c r="Y185" s="1806"/>
      <c r="Z185" s="1968"/>
      <c r="AA185" s="2244"/>
      <c r="AB185" s="1969"/>
      <c r="AC185" s="1365"/>
      <c r="AD185" s="95"/>
      <c r="AE185" s="1326"/>
      <c r="AF185" s="97"/>
      <c r="AG185" s="1737"/>
      <c r="AH185" s="1970"/>
      <c r="AI185" s="99"/>
      <c r="AJ185" s="1809"/>
      <c r="AK185" s="6120" t="str">
        <f t="shared" si="75"/>
        <v>►</v>
      </c>
      <c r="AL185" s="781" t="str">
        <f t="shared" si="77"/>
        <v>►</v>
      </c>
      <c r="AM185" s="5499" t="str">
        <f t="shared" si="80"/>
        <v/>
      </c>
      <c r="AN185" s="783" t="str">
        <f t="shared" si="81"/>
        <v/>
      </c>
      <c r="AO185" s="782" t="str">
        <f t="shared" si="82"/>
        <v/>
      </c>
      <c r="AP185" s="783" t="str">
        <f t="shared" si="83"/>
        <v/>
      </c>
      <c r="AQ185" s="2083" t="b">
        <f>AND(Q185="A",COUNTIF(BP16:BR63,TRIM(Z185))&gt;0)</f>
        <v>0</v>
      </c>
      <c r="AR185" s="797" t="str">
        <f>IF(AL185&lt;&gt;"A","",IFERROR(IFERROR(_xlfn.XLOOKUP(TRIM(SUBSTITUTE(Z185,CHAR(160)," ")),BP16:BP63,BS16:BS63),IFERROR(_xlfn.XLOOKUP(TRIM(SUBSTITUTE(Z185,CHAR(160)," ")),BQ16:BQ63,BS16:BS63),_xlfn.XLOOKUP(TRIM(SUBSTITUTE(Z185,CHAR(160)," ")),BR16:BR63,BS16:BS63)))*Y185*IF(ISBLANK(V185),1,V185),0))</f>
        <v/>
      </c>
      <c r="AS185" s="784" t="str">
        <f t="shared" si="73"/>
        <v/>
      </c>
      <c r="AT185" s="1315" t="str">
        <f t="shared" si="84"/>
        <v/>
      </c>
      <c r="AU185" s="785">
        <f t="shared" si="85"/>
        <v>0</v>
      </c>
      <c r="AV185" s="785">
        <f t="shared" si="86"/>
        <v>0</v>
      </c>
      <c r="AW185" s="786">
        <f>IF(AK185="A",AY10,0)</f>
        <v>0</v>
      </c>
      <c r="AX185" s="5495" t="str">
        <f>IF(IFERROR(SEARCH("Adresse PC",TRIM(W185)),0)&gt;0,"▼ receta siguiente",IF(AK185="A",IF(AZ10&lt;&gt;"",AZ10&amp;" - ou.or.o ❾ + or - &gt;",""),""))</f>
        <v/>
      </c>
      <c r="AY185" s="810"/>
      <c r="AZ185" s="810"/>
      <c r="BA185" s="788" t="str">
        <f t="shared" si="76"/>
        <v/>
      </c>
      <c r="BB185" s="789" t="str">
        <f>IF(AK185="A",IF(AQ185,IF(AND(AW185&lt;&gt;"",N(AW185)&gt;0),IFERROR(IFERROR(_xlfn.XLOOKUP(AP185,BP10:BP57,BT10:BT57),IFERROR(_xlfn.XLOOKUP(AP185,BQ10:BQ57,BT10:BT57),_xlfn.XLOOKUP(AP185,BR10:BR57,BT10:BT57,""))),""),""),""),"")</f>
        <v/>
      </c>
      <c r="BC185" s="811" cm="1">
        <f t="array" ref="BC185">IF(NOT(AQ185),0,IF(OR(BA185="",N(BA185)&lt;=0.000000001),"",IF(OR(AU185="",N(AU185)&lt;=0.000000001),0,IF(ISNUMBER(BA185),IFERROR(_xlfn.LET(_xlpm.ai_test,TRIM(AP185),_xlpm.r,IFERROR(_xlfn.XLOOKUP(_xlpm.ai_test,BP16:BP63,ROW(BP16:BP63),0,1),IFERROR(_xlfn.XLOOKUP(_xlpm.ai_test,BQ16:BQ63,ROW(BQ16:BQ63),0,1),_xlfn.XLOOKUP(_xlpm.ai_test,BR16:BR63,ROW(BR16:BR63),0,1))),_xlpm.p,_xlpm.r-MIN(ROW(BP16:BP63))+1,_xlpm.f,INDEX(BS16:BS63,_xlpm.p),_xlpm.u,INDEX(BT16:BT63,_xlpm.p),_xlpm.s,INDEX(BV16:BV63,_xlpm.p),_xlpm.q,N(BA185)/_xlpm.f,IF(_xlpm.q&gt;=_xlpm.s,ROUND(_xlpm.q,1)&amp;" "&amp;_xlpm.ai_test&amp;" = "&amp;ROUND(_xlpm.q*_xlpm.f,1)&amp;" "&amp;_xlpm.u,ROUND(_xlpm.q,1)&amp;" "&amp;_xlpm.ai_test)),""),""))))</f>
        <v>0</v>
      </c>
      <c r="BD185" s="801"/>
      <c r="BE185" s="788" t="str">
        <f t="shared" si="87"/>
        <v/>
      </c>
      <c r="BF185" s="789" t="str">
        <f t="shared" si="88"/>
        <v/>
      </c>
      <c r="BG185" s="790">
        <f t="shared" si="91"/>
        <v>0</v>
      </c>
      <c r="BH185" s="791" t="str">
        <f t="shared" si="92"/>
        <v/>
      </c>
      <c r="BI185" s="792"/>
      <c r="BJ185" s="793">
        <f t="shared" si="90"/>
        <v>0</v>
      </c>
      <c r="BK185" s="794" t="str">
        <f t="shared" si="89"/>
        <v/>
      </c>
      <c r="BL185" s="227" t="s">
        <v>21</v>
      </c>
      <c r="BM185" s="773">
        <f t="shared" si="78"/>
        <v>0</v>
      </c>
      <c r="BN185" s="774">
        <f t="shared" si="79"/>
        <v>0</v>
      </c>
      <c r="BO185"/>
      <c r="BX185"/>
      <c r="BY185"/>
      <c r="BZ185"/>
      <c r="CA185"/>
      <c r="CB185"/>
      <c r="CC185"/>
      <c r="CD185" s="781" t="str">
        <f t="shared" si="72"/>
        <v>►</v>
      </c>
      <c r="CE185"/>
      <c r="CF185"/>
      <c r="CG185"/>
      <c r="CH185"/>
      <c r="CI185"/>
      <c r="CJ185" s="633"/>
      <c r="CK185"/>
      <c r="CL185"/>
      <c r="CM185"/>
      <c r="CN185"/>
      <c r="CO185"/>
      <c r="CP185"/>
      <c r="CQ185"/>
      <c r="CS185"/>
      <c r="CT185"/>
      <c r="CU185"/>
      <c r="CV185"/>
      <c r="CW185"/>
      <c r="CX185"/>
      <c r="CY185"/>
      <c r="DA185"/>
      <c r="DB185"/>
      <c r="DC185"/>
      <c r="DD185"/>
      <c r="DE185"/>
      <c r="DF185"/>
      <c r="DG185"/>
      <c r="DI185" s="3">
        <v>1</v>
      </c>
    </row>
    <row r="186" spans="1:113" s="627" customFormat="1" ht="21" customHeight="1">
      <c r="A186" s="701" t="s">
        <v>21</v>
      </c>
      <c r="B186" s="2265" t="str" cm="1">
        <f t="array" ref="B186">SUMPRODUCT(--(D186:J186&lt;&gt;""), LEN(TRIM(SUBSTITUTE(D186:J186, CHAR(160), "")))) &amp; " Car."</f>
        <v>0 Car.</v>
      </c>
      <c r="C186" s="1376" t="str">
        <f>IF(ISBLANK(D186),"",LARGE(C13:C185,1)+1)</f>
        <v/>
      </c>
      <c r="D186" s="1833"/>
      <c r="E186" s="1810"/>
      <c r="F186" s="1810"/>
      <c r="G186" s="1810"/>
      <c r="H186" s="1810"/>
      <c r="I186" s="1810"/>
      <c r="J186" s="1810"/>
      <c r="K186" s="1810"/>
      <c r="L186" s="1811"/>
      <c r="M186" s="9"/>
      <c r="N186" s="162" t="str">
        <f t="shared" si="74"/>
        <v>►</v>
      </c>
      <c r="O186" s="1616"/>
      <c r="P186" s="9"/>
      <c r="Q186" s="25" t="s">
        <v>15</v>
      </c>
      <c r="R186" s="31"/>
      <c r="S186" s="32"/>
      <c r="T186" s="31"/>
      <c r="U186" s="33"/>
      <c r="V186" s="1967"/>
      <c r="W186" s="1805"/>
      <c r="X186" s="91"/>
      <c r="Y186" s="1806"/>
      <c r="Z186" s="1968"/>
      <c r="AA186" s="2244"/>
      <c r="AB186" s="1969"/>
      <c r="AC186" s="1365"/>
      <c r="AD186" s="95"/>
      <c r="AE186" s="1326"/>
      <c r="AF186" s="97"/>
      <c r="AG186" s="1737"/>
      <c r="AH186" s="1970"/>
      <c r="AI186" s="99"/>
      <c r="AJ186" s="1809"/>
      <c r="AK186" s="6120" t="str">
        <f t="shared" si="75"/>
        <v>►</v>
      </c>
      <c r="AL186" s="781" t="str">
        <f t="shared" si="77"/>
        <v>►</v>
      </c>
      <c r="AM186" s="5498" t="str">
        <f t="shared" si="80"/>
        <v/>
      </c>
      <c r="AN186" s="783" t="str">
        <f t="shared" si="81"/>
        <v/>
      </c>
      <c r="AO186" s="782" t="str">
        <f t="shared" si="82"/>
        <v/>
      </c>
      <c r="AP186" s="783" t="str">
        <f t="shared" si="83"/>
        <v/>
      </c>
      <c r="AQ186" s="2083" t="b">
        <f>AND(Q186="A",COUNTIF(BP16:BR63,TRIM(Z186))&gt;0)</f>
        <v>0</v>
      </c>
      <c r="AR186" s="797" t="str">
        <f>IF(AL186&lt;&gt;"A","",IFERROR(IFERROR(_xlfn.XLOOKUP(TRIM(SUBSTITUTE(Z186,CHAR(160)," ")),BP16:BP63,BS16:BS63),IFERROR(_xlfn.XLOOKUP(TRIM(SUBSTITUTE(Z186,CHAR(160)," ")),BQ16:BQ63,BS16:BS63),_xlfn.XLOOKUP(TRIM(SUBSTITUTE(Z186,CHAR(160)," ")),BR16:BR63,BS16:BS63)))*Y186*IF(ISBLANK(V186),1,V186),0))</f>
        <v/>
      </c>
      <c r="AS186" s="784" t="str">
        <f t="shared" si="73"/>
        <v/>
      </c>
      <c r="AT186" s="1315" t="str">
        <f t="shared" si="84"/>
        <v/>
      </c>
      <c r="AU186" s="785">
        <f t="shared" si="85"/>
        <v>0</v>
      </c>
      <c r="AV186" s="785">
        <f t="shared" si="86"/>
        <v>0</v>
      </c>
      <c r="AW186" s="798">
        <f>IF(AK186="A",AY10,0)</f>
        <v>0</v>
      </c>
      <c r="AX186" s="5496" t="str">
        <f>IF(IFERROR(SEARCH("Adresse PC",TRIM(W186)),0)&gt;0,"▼ receta siguiente",IF(AK186="A",IF(AZ10&lt;&gt;"",AZ10&amp;" - ou.or.o ❾ + or - &gt;",""),""))</f>
        <v/>
      </c>
      <c r="AY186" s="810"/>
      <c r="AZ186" s="810"/>
      <c r="BA186" s="799" t="str">
        <f t="shared" si="76"/>
        <v/>
      </c>
      <c r="BB186" s="800" t="str">
        <f>IF(AK186="A",IF(AQ186,IF(AND(AW186&lt;&gt;"",N(AW186)&gt;0),IFERROR(IFERROR(_xlfn.XLOOKUP(AP186,BP10:BP57,BT10:BT57),IFERROR(_xlfn.XLOOKUP(AP186,BQ10:BQ57,BT10:BT57),_xlfn.XLOOKUP(AP186,BR10:BR57,BT10:BT57,""))),""),""),""),"")</f>
        <v/>
      </c>
      <c r="BC186" s="813" cm="1">
        <f t="array" ref="BC186">IF(NOT(AQ186),0,IF(OR(BA186="",N(BA186)&lt;=0.000000001),"",IF(OR(AU186="",N(AU186)&lt;=0.000000001),0,IF(ISNUMBER(BA186),IFERROR(_xlfn.LET(_xlpm.ai_test,TRIM(AP186),_xlpm.r,IFERROR(_xlfn.XLOOKUP(_xlpm.ai_test,BP16:BP63,ROW(BP16:BP63),0,1),IFERROR(_xlfn.XLOOKUP(_xlpm.ai_test,BQ16:BQ63,ROW(BQ16:BQ63),0,1),_xlfn.XLOOKUP(_xlpm.ai_test,BR16:BR63,ROW(BR16:BR63),0,1))),_xlpm.p,_xlpm.r-MIN(ROW(BP16:BP63))+1,_xlpm.f,INDEX(BS16:BS63,_xlpm.p),_xlpm.u,INDEX(BT16:BT63,_xlpm.p),_xlpm.s,INDEX(BV16:BV63,_xlpm.p),_xlpm.q,N(BA186)/_xlpm.f,IF(_xlpm.q&gt;=_xlpm.s,ROUND(_xlpm.q,1)&amp;" "&amp;_xlpm.ai_test&amp;" = "&amp;ROUND(_xlpm.q*_xlpm.f,1)&amp;" "&amp;_xlpm.u,ROUND(_xlpm.q,1)&amp;" "&amp;_xlpm.ai_test)),""),""))))</f>
        <v>0</v>
      </c>
      <c r="BD186" s="801"/>
      <c r="BE186" s="799" t="str">
        <f t="shared" si="87"/>
        <v/>
      </c>
      <c r="BF186" s="800" t="str">
        <f t="shared" si="88"/>
        <v/>
      </c>
      <c r="BG186" s="802">
        <f t="shared" si="91"/>
        <v>0</v>
      </c>
      <c r="BH186" s="803" t="str">
        <f t="shared" si="92"/>
        <v/>
      </c>
      <c r="BI186" s="792"/>
      <c r="BJ186" s="804">
        <f t="shared" si="90"/>
        <v>0</v>
      </c>
      <c r="BK186" s="794" t="str">
        <f t="shared" si="89"/>
        <v/>
      </c>
      <c r="BL186" s="227" t="s">
        <v>21</v>
      </c>
      <c r="BM186" s="773">
        <f t="shared" si="78"/>
        <v>0</v>
      </c>
      <c r="BN186" s="774">
        <f t="shared" si="79"/>
        <v>0</v>
      </c>
      <c r="BO186"/>
      <c r="BX186"/>
      <c r="BY186"/>
      <c r="BZ186"/>
      <c r="CA186"/>
      <c r="CB186"/>
      <c r="CC186"/>
      <c r="CD186" s="781" t="str">
        <f t="shared" si="72"/>
        <v>►</v>
      </c>
      <c r="CE186"/>
      <c r="CF186"/>
      <c r="CG186"/>
      <c r="CH186"/>
      <c r="CI186"/>
      <c r="CJ186" s="633"/>
      <c r="CK186"/>
      <c r="CL186"/>
      <c r="CM186"/>
      <c r="CN186"/>
      <c r="CO186"/>
      <c r="CP186"/>
      <c r="CQ186"/>
      <c r="CS186"/>
      <c r="CT186"/>
      <c r="CU186"/>
      <c r="CV186"/>
      <c r="CW186"/>
      <c r="CX186"/>
      <c r="CY186"/>
      <c r="DA186"/>
      <c r="DB186"/>
      <c r="DC186"/>
      <c r="DD186"/>
      <c r="DE186"/>
      <c r="DF186"/>
      <c r="DG186"/>
      <c r="DI186" s="3">
        <v>1</v>
      </c>
    </row>
    <row r="187" spans="1:113" s="627" customFormat="1" ht="21" customHeight="1">
      <c r="A187" s="701" t="s">
        <v>21</v>
      </c>
      <c r="B187" s="2265" t="str" cm="1">
        <f t="array" ref="B187">SUMPRODUCT(--(D187:J187&lt;&gt;""), LEN(TRIM(SUBSTITUTE(D187:J187, CHAR(160), "")))) &amp; " Car."</f>
        <v>0 Car.</v>
      </c>
      <c r="C187" s="1376" t="str">
        <f>IF(ISBLANK(D187),"",LARGE(C13:C186,1)+1)</f>
        <v/>
      </c>
      <c r="D187" s="1833"/>
      <c r="E187" s="1810"/>
      <c r="F187" s="1810"/>
      <c r="G187" s="1810"/>
      <c r="H187" s="1810"/>
      <c r="I187" s="1810"/>
      <c r="J187" s="1810"/>
      <c r="K187" s="1810"/>
      <c r="L187" s="1811"/>
      <c r="M187" s="9"/>
      <c r="N187" s="162" t="str">
        <f t="shared" si="74"/>
        <v>►</v>
      </c>
      <c r="O187" s="1616"/>
      <c r="P187" s="9"/>
      <c r="Q187" s="25" t="s">
        <v>15</v>
      </c>
      <c r="R187" s="31"/>
      <c r="S187" s="32"/>
      <c r="T187" s="31"/>
      <c r="U187" s="33"/>
      <c r="V187" s="1967"/>
      <c r="W187" s="1805"/>
      <c r="X187" s="91"/>
      <c r="Y187" s="1806"/>
      <c r="Z187" s="1968"/>
      <c r="AA187" s="2244"/>
      <c r="AB187" s="1969"/>
      <c r="AC187" s="1365"/>
      <c r="AD187" s="95"/>
      <c r="AE187" s="1326"/>
      <c r="AF187" s="97"/>
      <c r="AG187" s="1737"/>
      <c r="AH187" s="1970"/>
      <c r="AI187" s="99"/>
      <c r="AJ187" s="1809"/>
      <c r="AK187" s="6120" t="str">
        <f t="shared" si="75"/>
        <v>►</v>
      </c>
      <c r="AL187" s="781" t="str">
        <f t="shared" si="77"/>
        <v>►</v>
      </c>
      <c r="AM187" s="5499" t="str">
        <f t="shared" si="80"/>
        <v/>
      </c>
      <c r="AN187" s="783" t="str">
        <f t="shared" si="81"/>
        <v/>
      </c>
      <c r="AO187" s="782" t="str">
        <f t="shared" si="82"/>
        <v/>
      </c>
      <c r="AP187" s="783" t="str">
        <f t="shared" si="83"/>
        <v/>
      </c>
      <c r="AQ187" s="2083" t="b">
        <f>AND(Q187="A",COUNTIF(BP16:BR63,TRIM(Z187))&gt;0)</f>
        <v>0</v>
      </c>
      <c r="AR187" s="797" t="str">
        <f>IF(AL187&lt;&gt;"A","",IFERROR(IFERROR(_xlfn.XLOOKUP(TRIM(SUBSTITUTE(Z187,CHAR(160)," ")),BP16:BP63,BS16:BS63),IFERROR(_xlfn.XLOOKUP(TRIM(SUBSTITUTE(Z187,CHAR(160)," ")),BQ16:BQ63,BS16:BS63),_xlfn.XLOOKUP(TRIM(SUBSTITUTE(Z187,CHAR(160)," ")),BR16:BR63,BS16:BS63)))*Y187*IF(ISBLANK(V187),1,V187),0))</f>
        <v/>
      </c>
      <c r="AS187" s="784" t="str">
        <f t="shared" si="73"/>
        <v/>
      </c>
      <c r="AT187" s="1315" t="str">
        <f t="shared" si="84"/>
        <v/>
      </c>
      <c r="AU187" s="785">
        <f t="shared" si="85"/>
        <v>0</v>
      </c>
      <c r="AV187" s="785">
        <f t="shared" si="86"/>
        <v>0</v>
      </c>
      <c r="AW187" s="786">
        <f>IF(AK187="A",AY10,0)</f>
        <v>0</v>
      </c>
      <c r="AX187" s="5495" t="str">
        <f>IF(IFERROR(SEARCH("Adresse PC",TRIM(W187)),0)&gt;0,"▼ receta siguiente",IF(AK187="A",IF(AZ10&lt;&gt;"",AZ10&amp;" - ou.or.o ❾ + or - &gt;",""),""))</f>
        <v/>
      </c>
      <c r="AY187" s="810"/>
      <c r="AZ187" s="810"/>
      <c r="BA187" s="788" t="str">
        <f t="shared" si="76"/>
        <v/>
      </c>
      <c r="BB187" s="789" t="str">
        <f>IF(AK187="A",IF(AQ187,IF(AND(AW187&lt;&gt;"",N(AW187)&gt;0),IFERROR(IFERROR(_xlfn.XLOOKUP(AP187,BP10:BP57,BT10:BT57),IFERROR(_xlfn.XLOOKUP(AP187,BQ10:BQ57,BT10:BT57),_xlfn.XLOOKUP(AP187,BR10:BR57,BT10:BT57,""))),""),""),""),"")</f>
        <v/>
      </c>
      <c r="BC187" s="811" cm="1">
        <f t="array" ref="BC187">IF(NOT(AQ187),0,IF(OR(BA187="",N(BA187)&lt;=0.000000001),"",IF(OR(AU187="",N(AU187)&lt;=0.000000001),0,IF(ISNUMBER(BA187),IFERROR(_xlfn.LET(_xlpm.ai_test,TRIM(AP187),_xlpm.r,IFERROR(_xlfn.XLOOKUP(_xlpm.ai_test,BP16:BP63,ROW(BP16:BP63),0,1),IFERROR(_xlfn.XLOOKUP(_xlpm.ai_test,BQ16:BQ63,ROW(BQ16:BQ63),0,1),_xlfn.XLOOKUP(_xlpm.ai_test,BR16:BR63,ROW(BR16:BR63),0,1))),_xlpm.p,_xlpm.r-MIN(ROW(BP16:BP63))+1,_xlpm.f,INDEX(BS16:BS63,_xlpm.p),_xlpm.u,INDEX(BT16:BT63,_xlpm.p),_xlpm.s,INDEX(BV16:BV63,_xlpm.p),_xlpm.q,N(BA187)/_xlpm.f,IF(_xlpm.q&gt;=_xlpm.s,ROUND(_xlpm.q,1)&amp;" "&amp;_xlpm.ai_test&amp;" = "&amp;ROUND(_xlpm.q*_xlpm.f,1)&amp;" "&amp;_xlpm.u,ROUND(_xlpm.q,1)&amp;" "&amp;_xlpm.ai_test)),""),""))))</f>
        <v>0</v>
      </c>
      <c r="BD187" s="801"/>
      <c r="BE187" s="788" t="str">
        <f t="shared" si="87"/>
        <v/>
      </c>
      <c r="BF187" s="789" t="str">
        <f t="shared" si="88"/>
        <v/>
      </c>
      <c r="BG187" s="790">
        <f t="shared" si="91"/>
        <v>0</v>
      </c>
      <c r="BH187" s="791" t="str">
        <f t="shared" si="92"/>
        <v/>
      </c>
      <c r="BI187" s="792"/>
      <c r="BJ187" s="793">
        <f t="shared" si="90"/>
        <v>0</v>
      </c>
      <c r="BK187" s="794" t="str">
        <f t="shared" si="89"/>
        <v/>
      </c>
      <c r="BL187" s="227" t="s">
        <v>21</v>
      </c>
      <c r="BM187" s="773">
        <f t="shared" si="78"/>
        <v>0</v>
      </c>
      <c r="BN187" s="774">
        <f t="shared" si="79"/>
        <v>0</v>
      </c>
      <c r="BO187"/>
      <c r="BX187"/>
      <c r="BY187"/>
      <c r="BZ187"/>
      <c r="CA187"/>
      <c r="CB187"/>
      <c r="CC187"/>
      <c r="CD187" s="781" t="str">
        <f t="shared" si="72"/>
        <v>►</v>
      </c>
      <c r="CE187"/>
      <c r="CF187"/>
      <c r="CG187"/>
      <c r="CH187"/>
      <c r="CI187"/>
      <c r="CJ187" s="633"/>
      <c r="CK187"/>
      <c r="CL187"/>
      <c r="CM187"/>
      <c r="CN187"/>
      <c r="CO187"/>
      <c r="CP187"/>
      <c r="CQ187"/>
      <c r="CS187"/>
      <c r="CT187"/>
      <c r="CU187"/>
      <c r="CV187"/>
      <c r="CW187"/>
      <c r="CX187"/>
      <c r="CY187"/>
      <c r="DA187"/>
      <c r="DB187"/>
      <c r="DC187"/>
      <c r="DD187"/>
      <c r="DE187"/>
      <c r="DF187"/>
      <c r="DG187"/>
      <c r="DI187" s="3">
        <v>1</v>
      </c>
    </row>
    <row r="188" spans="1:113" s="627" customFormat="1" ht="21" customHeight="1">
      <c r="A188" s="701" t="s">
        <v>21</v>
      </c>
      <c r="B188" s="2265" t="str" cm="1">
        <f t="array" ref="B188">SUMPRODUCT(--(D188:J188&lt;&gt;""), LEN(TRIM(SUBSTITUTE(D188:J188, CHAR(160), "")))) &amp; " Car."</f>
        <v>0 Car.</v>
      </c>
      <c r="C188" s="1376" t="str">
        <f>IF(ISBLANK(D188),"",LARGE(C13:C187,1)+1)</f>
        <v/>
      </c>
      <c r="D188" s="1833"/>
      <c r="E188" s="1810"/>
      <c r="F188" s="1810"/>
      <c r="G188" s="1810"/>
      <c r="H188" s="1810"/>
      <c r="I188" s="1810"/>
      <c r="J188" s="1810"/>
      <c r="K188" s="1810"/>
      <c r="L188" s="1811"/>
      <c r="M188" s="9"/>
      <c r="N188" s="162" t="str">
        <f t="shared" si="74"/>
        <v>►</v>
      </c>
      <c r="O188" s="1616"/>
      <c r="P188" s="9"/>
      <c r="Q188" s="25" t="s">
        <v>15</v>
      </c>
      <c r="R188" s="31"/>
      <c r="S188" s="32"/>
      <c r="T188" s="31"/>
      <c r="U188" s="33"/>
      <c r="V188" s="1967"/>
      <c r="W188" s="1805"/>
      <c r="X188" s="91"/>
      <c r="Y188" s="1806"/>
      <c r="Z188" s="1968"/>
      <c r="AA188" s="2244"/>
      <c r="AB188" s="1969"/>
      <c r="AC188" s="1365"/>
      <c r="AD188" s="95"/>
      <c r="AE188" s="1326"/>
      <c r="AF188" s="97"/>
      <c r="AG188" s="1737"/>
      <c r="AH188" s="1970"/>
      <c r="AI188" s="99"/>
      <c r="AJ188" s="1809"/>
      <c r="AK188" s="6120" t="str">
        <f t="shared" si="75"/>
        <v>►</v>
      </c>
      <c r="AL188" s="781" t="str">
        <f t="shared" si="77"/>
        <v>►</v>
      </c>
      <c r="AM188" s="5498" t="str">
        <f t="shared" si="80"/>
        <v/>
      </c>
      <c r="AN188" s="783" t="str">
        <f t="shared" si="81"/>
        <v/>
      </c>
      <c r="AO188" s="782" t="str">
        <f t="shared" si="82"/>
        <v/>
      </c>
      <c r="AP188" s="783" t="str">
        <f t="shared" si="83"/>
        <v/>
      </c>
      <c r="AQ188" s="2083" t="b">
        <f>AND(Q188="A",COUNTIF(BP16:BR63,TRIM(Z188))&gt;0)</f>
        <v>0</v>
      </c>
      <c r="AR188" s="797" t="str">
        <f>IF(AL188&lt;&gt;"A","",IFERROR(IFERROR(_xlfn.XLOOKUP(TRIM(SUBSTITUTE(Z188,CHAR(160)," ")),BP16:BP63,BS16:BS63),IFERROR(_xlfn.XLOOKUP(TRIM(SUBSTITUTE(Z188,CHAR(160)," ")),BQ16:BQ63,BS16:BS63),_xlfn.XLOOKUP(TRIM(SUBSTITUTE(Z188,CHAR(160)," ")),BR16:BR63,BS16:BS63)))*Y188*IF(ISBLANK(V188),1,V188),0))</f>
        <v/>
      </c>
      <c r="AS188" s="784" t="str">
        <f t="shared" si="73"/>
        <v/>
      </c>
      <c r="AT188" s="1315" t="str">
        <f t="shared" si="84"/>
        <v/>
      </c>
      <c r="AU188" s="785">
        <f t="shared" si="85"/>
        <v>0</v>
      </c>
      <c r="AV188" s="785">
        <f t="shared" si="86"/>
        <v>0</v>
      </c>
      <c r="AW188" s="798">
        <f>IF(AK188="A",AY10,0)</f>
        <v>0</v>
      </c>
      <c r="AX188" s="5496" t="str">
        <f>IF(IFERROR(SEARCH("Adresse PC",TRIM(W188)),0)&gt;0,"▼ receta siguiente",IF(AK188="A",IF(AZ10&lt;&gt;"",AZ10&amp;" - ou.or.o ❾ + or - &gt;",""),""))</f>
        <v/>
      </c>
      <c r="AY188" s="810"/>
      <c r="AZ188" s="810"/>
      <c r="BA188" s="799" t="str">
        <f t="shared" si="76"/>
        <v/>
      </c>
      <c r="BB188" s="800" t="str">
        <f>IF(AK188="A",IF(AQ188,IF(AND(AW188&lt;&gt;"",N(AW188)&gt;0),IFERROR(IFERROR(_xlfn.XLOOKUP(AP188,BP10:BP57,BT10:BT57),IFERROR(_xlfn.XLOOKUP(AP188,BQ10:BQ57,BT10:BT57),_xlfn.XLOOKUP(AP188,BR10:BR57,BT10:BT57,""))),""),""),""),"")</f>
        <v/>
      </c>
      <c r="BC188" s="813" cm="1">
        <f t="array" ref="BC188">IF(NOT(AQ188),0,IF(OR(BA188="",N(BA188)&lt;=0.000000001),"",IF(OR(AU188="",N(AU188)&lt;=0.000000001),0,IF(ISNUMBER(BA188),IFERROR(_xlfn.LET(_xlpm.ai_test,TRIM(AP188),_xlpm.r,IFERROR(_xlfn.XLOOKUP(_xlpm.ai_test,BP16:BP63,ROW(BP16:BP63),0,1),IFERROR(_xlfn.XLOOKUP(_xlpm.ai_test,BQ16:BQ63,ROW(BQ16:BQ63),0,1),_xlfn.XLOOKUP(_xlpm.ai_test,BR16:BR63,ROW(BR16:BR63),0,1))),_xlpm.p,_xlpm.r-MIN(ROW(BP16:BP63))+1,_xlpm.f,INDEX(BS16:BS63,_xlpm.p),_xlpm.u,INDEX(BT16:BT63,_xlpm.p),_xlpm.s,INDEX(BV16:BV63,_xlpm.p),_xlpm.q,N(BA188)/_xlpm.f,IF(_xlpm.q&gt;=_xlpm.s,ROUND(_xlpm.q,1)&amp;" "&amp;_xlpm.ai_test&amp;" = "&amp;ROUND(_xlpm.q*_xlpm.f,1)&amp;" "&amp;_xlpm.u,ROUND(_xlpm.q,1)&amp;" "&amp;_xlpm.ai_test)),""),""))))</f>
        <v>0</v>
      </c>
      <c r="BD188" s="801"/>
      <c r="BE188" s="799" t="str">
        <f t="shared" si="87"/>
        <v/>
      </c>
      <c r="BF188" s="800" t="str">
        <f t="shared" si="88"/>
        <v/>
      </c>
      <c r="BG188" s="802">
        <f t="shared" si="91"/>
        <v>0</v>
      </c>
      <c r="BH188" s="803" t="str">
        <f t="shared" si="92"/>
        <v/>
      </c>
      <c r="BI188" s="792"/>
      <c r="BJ188" s="804">
        <f t="shared" si="90"/>
        <v>0</v>
      </c>
      <c r="BK188" s="794" t="str">
        <f t="shared" si="89"/>
        <v/>
      </c>
      <c r="BL188" s="227" t="s">
        <v>21</v>
      </c>
      <c r="BM188" s="773">
        <f t="shared" si="78"/>
        <v>0</v>
      </c>
      <c r="BN188" s="774">
        <f t="shared" si="79"/>
        <v>0</v>
      </c>
      <c r="BO188"/>
      <c r="BX188"/>
      <c r="BY188"/>
      <c r="BZ188"/>
      <c r="CA188"/>
      <c r="CB188"/>
      <c r="CC188"/>
      <c r="CD188" s="781" t="str">
        <f t="shared" si="72"/>
        <v>►</v>
      </c>
      <c r="CE188"/>
      <c r="CF188"/>
      <c r="CG188"/>
      <c r="CH188"/>
      <c r="CI188"/>
      <c r="CJ188" s="633"/>
      <c r="CK188"/>
      <c r="CL188"/>
      <c r="CM188"/>
      <c r="CN188"/>
      <c r="CO188"/>
      <c r="CP188"/>
      <c r="CQ188"/>
      <c r="CS188"/>
      <c r="CT188"/>
      <c r="CU188"/>
      <c r="CV188"/>
      <c r="CW188"/>
      <c r="CX188"/>
      <c r="CY188"/>
      <c r="DA188"/>
      <c r="DB188"/>
      <c r="DC188"/>
      <c r="DD188"/>
      <c r="DE188"/>
      <c r="DF188"/>
      <c r="DG188"/>
      <c r="DI188" s="3">
        <v>1</v>
      </c>
    </row>
    <row r="189" spans="1:113" s="627" customFormat="1" ht="21" customHeight="1">
      <c r="A189" s="701" t="s">
        <v>21</v>
      </c>
      <c r="B189" s="2265" t="str" cm="1">
        <f t="array" ref="B189">SUMPRODUCT(--(D189:J189&lt;&gt;""), LEN(TRIM(SUBSTITUTE(D189:J189, CHAR(160), "")))) &amp; " Car."</f>
        <v>0 Car.</v>
      </c>
      <c r="C189" s="1376" t="str">
        <f>IF(ISBLANK(D189),"",LARGE(C13:C188,1)+1)</f>
        <v/>
      </c>
      <c r="D189" s="1833"/>
      <c r="E189" s="1810"/>
      <c r="F189" s="1810"/>
      <c r="G189" s="1810"/>
      <c r="H189" s="1810"/>
      <c r="I189" s="1810"/>
      <c r="J189" s="1810"/>
      <c r="K189" s="1810"/>
      <c r="L189" s="1811"/>
      <c r="M189" s="9"/>
      <c r="N189" s="162" t="str">
        <f t="shared" si="74"/>
        <v>►</v>
      </c>
      <c r="O189" s="1616"/>
      <c r="P189" s="9"/>
      <c r="Q189" s="25" t="s">
        <v>15</v>
      </c>
      <c r="R189" s="31"/>
      <c r="S189" s="32"/>
      <c r="T189" s="31"/>
      <c r="U189" s="33"/>
      <c r="V189" s="1967"/>
      <c r="W189" s="1805"/>
      <c r="X189" s="91"/>
      <c r="Y189" s="1806"/>
      <c r="Z189" s="1968"/>
      <c r="AA189" s="2244"/>
      <c r="AB189" s="1969"/>
      <c r="AC189" s="1365"/>
      <c r="AD189" s="95"/>
      <c r="AE189" s="1326"/>
      <c r="AF189" s="97"/>
      <c r="AG189" s="1737"/>
      <c r="AH189" s="1970"/>
      <c r="AI189" s="99"/>
      <c r="AJ189" s="1809"/>
      <c r="AK189" s="6120" t="str">
        <f t="shared" si="75"/>
        <v>►</v>
      </c>
      <c r="AL189" s="781" t="str">
        <f t="shared" si="77"/>
        <v>►</v>
      </c>
      <c r="AM189" s="5499" t="str">
        <f t="shared" si="80"/>
        <v/>
      </c>
      <c r="AN189" s="783" t="str">
        <f t="shared" si="81"/>
        <v/>
      </c>
      <c r="AO189" s="782" t="str">
        <f t="shared" si="82"/>
        <v/>
      </c>
      <c r="AP189" s="783" t="str">
        <f t="shared" si="83"/>
        <v/>
      </c>
      <c r="AQ189" s="2083" t="b">
        <f>AND(Q189="A",COUNTIF(BP16:BR63,TRIM(Z189))&gt;0)</f>
        <v>0</v>
      </c>
      <c r="AR189" s="797" t="str">
        <f>IF(AL189&lt;&gt;"A","",IFERROR(IFERROR(_xlfn.XLOOKUP(TRIM(SUBSTITUTE(Z189,CHAR(160)," ")),BP16:BP63,BS16:BS63),IFERROR(_xlfn.XLOOKUP(TRIM(SUBSTITUTE(Z189,CHAR(160)," ")),BQ16:BQ63,BS16:BS63),_xlfn.XLOOKUP(TRIM(SUBSTITUTE(Z189,CHAR(160)," ")),BR16:BR63,BS16:BS63)))*Y189*IF(ISBLANK(V189),1,V189),0))</f>
        <v/>
      </c>
      <c r="AS189" s="784" t="str">
        <f t="shared" si="73"/>
        <v/>
      </c>
      <c r="AT189" s="1315" t="str">
        <f t="shared" si="84"/>
        <v/>
      </c>
      <c r="AU189" s="785">
        <f t="shared" si="85"/>
        <v>0</v>
      </c>
      <c r="AV189" s="785">
        <f t="shared" si="86"/>
        <v>0</v>
      </c>
      <c r="AW189" s="786">
        <f>IF(AK189="A",AY10,0)</f>
        <v>0</v>
      </c>
      <c r="AX189" s="5495" t="str">
        <f>IF(IFERROR(SEARCH("Adresse PC",TRIM(W189)),0)&gt;0,"▼ receta siguiente",IF(AK189="A",IF(AZ10&lt;&gt;"",AZ10&amp;" - ou.or.o ❾ + or - &gt;",""),""))</f>
        <v/>
      </c>
      <c r="AY189" s="810"/>
      <c r="AZ189" s="810"/>
      <c r="BA189" s="788" t="str">
        <f t="shared" si="76"/>
        <v/>
      </c>
      <c r="BB189" s="789" t="str">
        <f>IF(AK189="A",IF(AQ189,IF(AND(AW189&lt;&gt;"",N(AW189)&gt;0),IFERROR(IFERROR(_xlfn.XLOOKUP(AP189,BP10:BP57,BT10:BT57),IFERROR(_xlfn.XLOOKUP(AP189,BQ10:BQ57,BT10:BT57),_xlfn.XLOOKUP(AP189,BR10:BR57,BT10:BT57,""))),""),""),""),"")</f>
        <v/>
      </c>
      <c r="BC189" s="811" cm="1">
        <f t="array" ref="BC189">IF(NOT(AQ189),0,IF(OR(BA189="",N(BA189)&lt;=0.000000001),"",IF(OR(AU189="",N(AU189)&lt;=0.000000001),0,IF(ISNUMBER(BA189),IFERROR(_xlfn.LET(_xlpm.ai_test,TRIM(AP189),_xlpm.r,IFERROR(_xlfn.XLOOKUP(_xlpm.ai_test,BP16:BP63,ROW(BP16:BP63),0,1),IFERROR(_xlfn.XLOOKUP(_xlpm.ai_test,BQ16:BQ63,ROW(BQ16:BQ63),0,1),_xlfn.XLOOKUP(_xlpm.ai_test,BR16:BR63,ROW(BR16:BR63),0,1))),_xlpm.p,_xlpm.r-MIN(ROW(BP16:BP63))+1,_xlpm.f,INDEX(BS16:BS63,_xlpm.p),_xlpm.u,INDEX(BT16:BT63,_xlpm.p),_xlpm.s,INDEX(BV16:BV63,_xlpm.p),_xlpm.q,N(BA189)/_xlpm.f,IF(_xlpm.q&gt;=_xlpm.s,ROUND(_xlpm.q,1)&amp;" "&amp;_xlpm.ai_test&amp;" = "&amp;ROUND(_xlpm.q*_xlpm.f,1)&amp;" "&amp;_xlpm.u,ROUND(_xlpm.q,1)&amp;" "&amp;_xlpm.ai_test)),""),""))))</f>
        <v>0</v>
      </c>
      <c r="BD189" s="801"/>
      <c r="BE189" s="788" t="str">
        <f t="shared" si="87"/>
        <v/>
      </c>
      <c r="BF189" s="789" t="str">
        <f t="shared" si="88"/>
        <v/>
      </c>
      <c r="BG189" s="790">
        <f t="shared" si="91"/>
        <v>0</v>
      </c>
      <c r="BH189" s="791" t="str">
        <f t="shared" si="92"/>
        <v/>
      </c>
      <c r="BI189" s="792"/>
      <c r="BJ189" s="793">
        <f t="shared" si="90"/>
        <v>0</v>
      </c>
      <c r="BK189" s="794" t="str">
        <f t="shared" si="89"/>
        <v/>
      </c>
      <c r="BL189" s="227" t="s">
        <v>21</v>
      </c>
      <c r="BM189" s="773">
        <f t="shared" si="78"/>
        <v>0</v>
      </c>
      <c r="BN189" s="774">
        <f t="shared" si="79"/>
        <v>0</v>
      </c>
      <c r="BO189"/>
      <c r="BX189"/>
      <c r="BY189"/>
      <c r="BZ189"/>
      <c r="CA189"/>
      <c r="CB189"/>
      <c r="CC189"/>
      <c r="CD189" s="781" t="str">
        <f t="shared" si="72"/>
        <v>►</v>
      </c>
      <c r="CE189"/>
      <c r="CF189"/>
      <c r="CG189"/>
      <c r="CH189"/>
      <c r="CI189"/>
      <c r="CJ189" s="633"/>
      <c r="CK189"/>
      <c r="CL189"/>
      <c r="CM189"/>
      <c r="CN189"/>
      <c r="CO189"/>
      <c r="CP189"/>
      <c r="CQ189"/>
      <c r="CS189"/>
      <c r="CT189"/>
      <c r="CU189"/>
      <c r="CV189"/>
      <c r="CW189"/>
      <c r="CX189"/>
      <c r="CY189"/>
      <c r="DA189"/>
      <c r="DB189"/>
      <c r="DC189"/>
      <c r="DD189"/>
      <c r="DE189"/>
      <c r="DF189"/>
      <c r="DG189"/>
      <c r="DI189" s="3">
        <v>1</v>
      </c>
    </row>
    <row r="190" spans="1:113" s="627" customFormat="1" ht="21" customHeight="1">
      <c r="A190" s="701" t="s">
        <v>21</v>
      </c>
      <c r="B190" s="2265" t="str" cm="1">
        <f t="array" ref="B190">SUMPRODUCT(--(D190:J190&lt;&gt;""), LEN(TRIM(SUBSTITUTE(D190:J190, CHAR(160), "")))) &amp; " Car."</f>
        <v>0 Car.</v>
      </c>
      <c r="C190" s="1376" t="str">
        <f>IF(ISBLANK(D190),"",LARGE(C13:C189,1)+1)</f>
        <v/>
      </c>
      <c r="D190" s="1833"/>
      <c r="E190" s="1810"/>
      <c r="F190" s="1810"/>
      <c r="G190" s="1810"/>
      <c r="H190" s="1810"/>
      <c r="I190" s="1810"/>
      <c r="J190" s="1810"/>
      <c r="K190" s="1810"/>
      <c r="L190" s="1811"/>
      <c r="M190" s="9"/>
      <c r="N190" s="162" t="str">
        <f t="shared" si="74"/>
        <v>►</v>
      </c>
      <c r="O190" s="1616"/>
      <c r="P190" s="9"/>
      <c r="Q190" s="25" t="s">
        <v>15</v>
      </c>
      <c r="R190" s="31"/>
      <c r="S190" s="32"/>
      <c r="T190" s="31"/>
      <c r="U190" s="33"/>
      <c r="V190" s="1967"/>
      <c r="W190" s="1805"/>
      <c r="X190" s="91"/>
      <c r="Y190" s="1806"/>
      <c r="Z190" s="1968"/>
      <c r="AA190" s="2244"/>
      <c r="AB190" s="1969"/>
      <c r="AC190" s="1365"/>
      <c r="AD190" s="95"/>
      <c r="AE190" s="1326"/>
      <c r="AF190" s="97"/>
      <c r="AG190" s="1737"/>
      <c r="AH190" s="1970"/>
      <c r="AI190" s="99"/>
      <c r="AJ190" s="1809"/>
      <c r="AK190" s="6120" t="str">
        <f t="shared" si="75"/>
        <v>►</v>
      </c>
      <c r="AL190" s="781" t="str">
        <f t="shared" si="77"/>
        <v>►</v>
      </c>
      <c r="AM190" s="5498" t="str">
        <f t="shared" si="80"/>
        <v/>
      </c>
      <c r="AN190" s="783" t="str">
        <f t="shared" si="81"/>
        <v/>
      </c>
      <c r="AO190" s="782" t="str">
        <f t="shared" si="82"/>
        <v/>
      </c>
      <c r="AP190" s="783" t="str">
        <f t="shared" si="83"/>
        <v/>
      </c>
      <c r="AQ190" s="2083" t="b">
        <f>AND(Q190="A",COUNTIF(BP16:BR63,TRIM(Z190))&gt;0)</f>
        <v>0</v>
      </c>
      <c r="AR190" s="797" t="str">
        <f>IF(AL190&lt;&gt;"A","",IFERROR(IFERROR(_xlfn.XLOOKUP(TRIM(SUBSTITUTE(Z190,CHAR(160)," ")),BP16:BP63,BS16:BS63),IFERROR(_xlfn.XLOOKUP(TRIM(SUBSTITUTE(Z190,CHAR(160)," ")),BQ16:BQ63,BS16:BS63),_xlfn.XLOOKUP(TRIM(SUBSTITUTE(Z190,CHAR(160)," ")),BR16:BR63,BS16:BS63)))*Y190*IF(ISBLANK(V190),1,V190),0))</f>
        <v/>
      </c>
      <c r="AS190" s="784" t="str">
        <f t="shared" si="73"/>
        <v/>
      </c>
      <c r="AT190" s="1315" t="str">
        <f t="shared" si="84"/>
        <v/>
      </c>
      <c r="AU190" s="785">
        <f t="shared" si="85"/>
        <v>0</v>
      </c>
      <c r="AV190" s="785">
        <f t="shared" si="86"/>
        <v>0</v>
      </c>
      <c r="AW190" s="798">
        <f>IF(AK190="A",AY10,0)</f>
        <v>0</v>
      </c>
      <c r="AX190" s="5496" t="str">
        <f>IF(IFERROR(SEARCH("Adresse PC",TRIM(W190)),0)&gt;0,"▼ receta siguiente",IF(AK190="A",IF(AZ10&lt;&gt;"",AZ10&amp;" - ou.or.o ❾ + or - &gt;",""),""))</f>
        <v/>
      </c>
      <c r="AY190" s="810"/>
      <c r="AZ190" s="810"/>
      <c r="BA190" s="799" t="str">
        <f t="shared" si="76"/>
        <v/>
      </c>
      <c r="BB190" s="800" t="str">
        <f>IF(AK190="A",IF(AQ190,IF(AND(AW190&lt;&gt;"",N(AW190)&gt;0),IFERROR(IFERROR(_xlfn.XLOOKUP(AP190,BP10:BP57,BT10:BT57),IFERROR(_xlfn.XLOOKUP(AP190,BQ10:BQ57,BT10:BT57),_xlfn.XLOOKUP(AP190,BR10:BR57,BT10:BT57,""))),""),""),""),"")</f>
        <v/>
      </c>
      <c r="BC190" s="813" cm="1">
        <f t="array" ref="BC190">IF(NOT(AQ190),0,IF(OR(BA190="",N(BA190)&lt;=0.000000001),"",IF(OR(AU190="",N(AU190)&lt;=0.000000001),0,IF(ISNUMBER(BA190),IFERROR(_xlfn.LET(_xlpm.ai_test,TRIM(AP190),_xlpm.r,IFERROR(_xlfn.XLOOKUP(_xlpm.ai_test,BP16:BP63,ROW(BP16:BP63),0,1),IFERROR(_xlfn.XLOOKUP(_xlpm.ai_test,BQ16:BQ63,ROW(BQ16:BQ63),0,1),_xlfn.XLOOKUP(_xlpm.ai_test,BR16:BR63,ROW(BR16:BR63),0,1))),_xlpm.p,_xlpm.r-MIN(ROW(BP16:BP63))+1,_xlpm.f,INDEX(BS16:BS63,_xlpm.p),_xlpm.u,INDEX(BT16:BT63,_xlpm.p),_xlpm.s,INDEX(BV16:BV63,_xlpm.p),_xlpm.q,N(BA190)/_xlpm.f,IF(_xlpm.q&gt;=_xlpm.s,ROUND(_xlpm.q,1)&amp;" "&amp;_xlpm.ai_test&amp;" = "&amp;ROUND(_xlpm.q*_xlpm.f,1)&amp;" "&amp;_xlpm.u,ROUND(_xlpm.q,1)&amp;" "&amp;_xlpm.ai_test)),""),""))))</f>
        <v>0</v>
      </c>
      <c r="BD190" s="801"/>
      <c r="BE190" s="799" t="str">
        <f t="shared" si="87"/>
        <v/>
      </c>
      <c r="BF190" s="800" t="str">
        <f t="shared" si="88"/>
        <v/>
      </c>
      <c r="BG190" s="802">
        <f t="shared" si="91"/>
        <v>0</v>
      </c>
      <c r="BH190" s="803" t="str">
        <f t="shared" si="92"/>
        <v/>
      </c>
      <c r="BI190" s="792"/>
      <c r="BJ190" s="804">
        <f t="shared" si="90"/>
        <v>0</v>
      </c>
      <c r="BK190" s="794" t="str">
        <f t="shared" si="89"/>
        <v/>
      </c>
      <c r="BL190" s="227" t="s">
        <v>21</v>
      </c>
      <c r="BM190" s="773">
        <f t="shared" si="78"/>
        <v>0</v>
      </c>
      <c r="BN190" s="774">
        <f t="shared" si="79"/>
        <v>0</v>
      </c>
      <c r="BO190"/>
      <c r="BX190"/>
      <c r="BY190"/>
      <c r="BZ190"/>
      <c r="CA190"/>
      <c r="CB190"/>
      <c r="CC190"/>
      <c r="CD190" s="781" t="str">
        <f t="shared" si="72"/>
        <v>►</v>
      </c>
      <c r="CE190"/>
      <c r="CF190"/>
      <c r="CG190"/>
      <c r="CH190"/>
      <c r="CI190"/>
      <c r="CJ190" s="633"/>
      <c r="CK190"/>
      <c r="CL190"/>
      <c r="CM190"/>
      <c r="CN190"/>
      <c r="CO190"/>
      <c r="CP190"/>
      <c r="CQ190"/>
      <c r="CS190"/>
      <c r="CT190"/>
      <c r="CU190"/>
      <c r="CV190"/>
      <c r="CW190"/>
      <c r="CX190"/>
      <c r="CY190"/>
      <c r="DA190"/>
      <c r="DB190"/>
      <c r="DC190"/>
      <c r="DD190"/>
      <c r="DE190"/>
      <c r="DF190"/>
      <c r="DG190"/>
      <c r="DI190" s="3">
        <v>1</v>
      </c>
    </row>
    <row r="191" spans="1:113" s="627" customFormat="1" ht="21" customHeight="1">
      <c r="A191" s="701" t="s">
        <v>21</v>
      </c>
      <c r="B191" s="2265" t="str" cm="1">
        <f t="array" ref="B191">SUMPRODUCT(--(D191:J191&lt;&gt;""), LEN(TRIM(SUBSTITUTE(D191:J191, CHAR(160), "")))) &amp; " Car."</f>
        <v>0 Car.</v>
      </c>
      <c r="C191" s="1376" t="str">
        <f>IF(ISBLANK(D191),"",LARGE(C13:C190,1)+1)</f>
        <v/>
      </c>
      <c r="D191" s="1833"/>
      <c r="E191" s="1810"/>
      <c r="F191" s="1810"/>
      <c r="G191" s="1810"/>
      <c r="H191" s="1810"/>
      <c r="I191" s="1810"/>
      <c r="J191" s="1810"/>
      <c r="K191" s="1810"/>
      <c r="L191" s="1811"/>
      <c r="M191" s="9"/>
      <c r="N191" s="162" t="str">
        <f t="shared" si="74"/>
        <v>►</v>
      </c>
      <c r="O191" s="1616"/>
      <c r="P191" s="9"/>
      <c r="Q191" s="25" t="s">
        <v>15</v>
      </c>
      <c r="R191" s="31"/>
      <c r="S191" s="32"/>
      <c r="T191" s="31"/>
      <c r="U191" s="33"/>
      <c r="V191" s="1967"/>
      <c r="W191" s="1805"/>
      <c r="X191" s="91"/>
      <c r="Y191" s="1806"/>
      <c r="Z191" s="1968"/>
      <c r="AA191" s="2244"/>
      <c r="AB191" s="1969"/>
      <c r="AC191" s="1365"/>
      <c r="AD191" s="95"/>
      <c r="AE191" s="1326"/>
      <c r="AF191" s="97"/>
      <c r="AG191" s="1737"/>
      <c r="AH191" s="1970"/>
      <c r="AI191" s="99"/>
      <c r="AJ191" s="1809"/>
      <c r="AK191" s="6120" t="str">
        <f t="shared" si="75"/>
        <v>►</v>
      </c>
      <c r="AL191" s="781" t="str">
        <f t="shared" si="77"/>
        <v>►</v>
      </c>
      <c r="AM191" s="5499" t="str">
        <f t="shared" si="80"/>
        <v/>
      </c>
      <c r="AN191" s="783" t="str">
        <f t="shared" si="81"/>
        <v/>
      </c>
      <c r="AO191" s="782" t="str">
        <f t="shared" si="82"/>
        <v/>
      </c>
      <c r="AP191" s="783" t="str">
        <f t="shared" si="83"/>
        <v/>
      </c>
      <c r="AQ191" s="2083" t="b">
        <f>AND(Q191="A",COUNTIF(BP16:BR63,TRIM(Z191))&gt;0)</f>
        <v>0</v>
      </c>
      <c r="AR191" s="797" t="str">
        <f>IF(AL191&lt;&gt;"A","",IFERROR(IFERROR(_xlfn.XLOOKUP(TRIM(SUBSTITUTE(Z191,CHAR(160)," ")),BP16:BP63,BS16:BS63),IFERROR(_xlfn.XLOOKUP(TRIM(SUBSTITUTE(Z191,CHAR(160)," ")),BQ16:BQ63,BS16:BS63),_xlfn.XLOOKUP(TRIM(SUBSTITUTE(Z191,CHAR(160)," ")),BR16:BR63,BS16:BS63)))*Y191*IF(ISBLANK(V191),1,V191),0))</f>
        <v/>
      </c>
      <c r="AS191" s="784" t="str">
        <f t="shared" si="73"/>
        <v/>
      </c>
      <c r="AT191" s="1315" t="str">
        <f t="shared" si="84"/>
        <v/>
      </c>
      <c r="AU191" s="785">
        <f t="shared" si="85"/>
        <v>0</v>
      </c>
      <c r="AV191" s="785">
        <f t="shared" si="86"/>
        <v>0</v>
      </c>
      <c r="AW191" s="786">
        <f>IF(AK191="A",AY10,0)</f>
        <v>0</v>
      </c>
      <c r="AX191" s="5495" t="str">
        <f>IF(IFERROR(SEARCH("Adresse PC",TRIM(W191)),0)&gt;0,"▼ receta siguiente",IF(AK191="A",IF(AZ10&lt;&gt;"",AZ10&amp;" - ou.or.o ❾ + or - &gt;",""),""))</f>
        <v/>
      </c>
      <c r="AY191" s="810"/>
      <c r="AZ191" s="810"/>
      <c r="BA191" s="788" t="str">
        <f t="shared" si="76"/>
        <v/>
      </c>
      <c r="BB191" s="789" t="str">
        <f>IF(AK191="A",IF(AQ191,IF(AND(AW191&lt;&gt;"",N(AW191)&gt;0),IFERROR(IFERROR(_xlfn.XLOOKUP(AP191,BP10:BP57,BT10:BT57),IFERROR(_xlfn.XLOOKUP(AP191,BQ10:BQ57,BT10:BT57),_xlfn.XLOOKUP(AP191,BR10:BR57,BT10:BT57,""))),""),""),""),"")</f>
        <v/>
      </c>
      <c r="BC191" s="811" cm="1">
        <f t="array" ref="BC191">IF(NOT(AQ191),0,IF(OR(BA191="",N(BA191)&lt;=0.000000001),"",IF(OR(AU191="",N(AU191)&lt;=0.000000001),0,IF(ISNUMBER(BA191),IFERROR(_xlfn.LET(_xlpm.ai_test,TRIM(AP191),_xlpm.r,IFERROR(_xlfn.XLOOKUP(_xlpm.ai_test,BP16:BP63,ROW(BP16:BP63),0,1),IFERROR(_xlfn.XLOOKUP(_xlpm.ai_test,BQ16:BQ63,ROW(BQ16:BQ63),0,1),_xlfn.XLOOKUP(_xlpm.ai_test,BR16:BR63,ROW(BR16:BR63),0,1))),_xlpm.p,_xlpm.r-MIN(ROW(BP16:BP63))+1,_xlpm.f,INDEX(BS16:BS63,_xlpm.p),_xlpm.u,INDEX(BT16:BT63,_xlpm.p),_xlpm.s,INDEX(BV16:BV63,_xlpm.p),_xlpm.q,N(BA191)/_xlpm.f,IF(_xlpm.q&gt;=_xlpm.s,ROUND(_xlpm.q,1)&amp;" "&amp;_xlpm.ai_test&amp;" = "&amp;ROUND(_xlpm.q*_xlpm.f,1)&amp;" "&amp;_xlpm.u,ROUND(_xlpm.q,1)&amp;" "&amp;_xlpm.ai_test)),""),""))))</f>
        <v>0</v>
      </c>
      <c r="BD191" s="801"/>
      <c r="BE191" s="788" t="str">
        <f t="shared" si="87"/>
        <v/>
      </c>
      <c r="BF191" s="789" t="str">
        <f t="shared" si="88"/>
        <v/>
      </c>
      <c r="BG191" s="790">
        <f t="shared" si="91"/>
        <v>0</v>
      </c>
      <c r="BH191" s="791" t="str">
        <f t="shared" si="92"/>
        <v/>
      </c>
      <c r="BI191" s="792"/>
      <c r="BJ191" s="793">
        <f t="shared" si="90"/>
        <v>0</v>
      </c>
      <c r="BK191" s="794" t="str">
        <f t="shared" si="89"/>
        <v/>
      </c>
      <c r="BL191" s="227" t="s">
        <v>21</v>
      </c>
      <c r="BM191" s="773">
        <f t="shared" si="78"/>
        <v>0</v>
      </c>
      <c r="BN191" s="774">
        <f t="shared" si="79"/>
        <v>0</v>
      </c>
      <c r="BO191"/>
      <c r="BX191"/>
      <c r="BY191"/>
      <c r="BZ191"/>
      <c r="CA191"/>
      <c r="CB191"/>
      <c r="CC191"/>
      <c r="CD191" s="781" t="str">
        <f t="shared" si="72"/>
        <v>►</v>
      </c>
      <c r="CE191"/>
      <c r="CF191"/>
      <c r="CG191"/>
      <c r="CH191"/>
      <c r="CI191"/>
      <c r="CJ191" s="633"/>
      <c r="CK191"/>
      <c r="CL191"/>
      <c r="CM191"/>
      <c r="CN191"/>
      <c r="CO191"/>
      <c r="CP191"/>
      <c r="CQ191"/>
      <c r="CS191"/>
      <c r="CT191"/>
      <c r="CU191"/>
      <c r="CV191"/>
      <c r="CW191"/>
      <c r="CX191"/>
      <c r="CY191"/>
      <c r="DA191"/>
      <c r="DB191"/>
      <c r="DC191"/>
      <c r="DD191"/>
      <c r="DE191"/>
      <c r="DF191"/>
      <c r="DG191"/>
      <c r="DI191" s="3">
        <v>1</v>
      </c>
    </row>
    <row r="192" spans="1:113" s="627" customFormat="1" ht="21" customHeight="1">
      <c r="A192" s="701" t="s">
        <v>21</v>
      </c>
      <c r="B192" s="2265" t="str" cm="1">
        <f t="array" ref="B192">SUMPRODUCT(--(D192:J192&lt;&gt;""), LEN(TRIM(SUBSTITUTE(D192:J192, CHAR(160), "")))) &amp; " Car."</f>
        <v>0 Car.</v>
      </c>
      <c r="C192" s="1376" t="str">
        <f>IF(ISBLANK(D192),"",LARGE(C13:C191,1)+1)</f>
        <v/>
      </c>
      <c r="D192" s="1833"/>
      <c r="E192" s="1810"/>
      <c r="F192" s="1810"/>
      <c r="G192" s="1810"/>
      <c r="H192" s="1810"/>
      <c r="I192" s="1810"/>
      <c r="J192" s="1810"/>
      <c r="K192" s="1810"/>
      <c r="L192" s="1811"/>
      <c r="M192" s="9"/>
      <c r="N192" s="162" t="str">
        <f t="shared" si="74"/>
        <v>►</v>
      </c>
      <c r="O192" s="1616"/>
      <c r="P192" s="9"/>
      <c r="Q192" s="25" t="s">
        <v>15</v>
      </c>
      <c r="R192" s="31"/>
      <c r="S192" s="32"/>
      <c r="T192" s="31"/>
      <c r="U192" s="33"/>
      <c r="V192" s="1967"/>
      <c r="W192" s="1805"/>
      <c r="X192" s="91"/>
      <c r="Y192" s="1806"/>
      <c r="Z192" s="1968"/>
      <c r="AA192" s="2244"/>
      <c r="AB192" s="1969"/>
      <c r="AC192" s="1365"/>
      <c r="AD192" s="95"/>
      <c r="AE192" s="1326"/>
      <c r="AF192" s="97"/>
      <c r="AG192" s="1737"/>
      <c r="AH192" s="1970"/>
      <c r="AI192" s="99"/>
      <c r="AJ192" s="1809"/>
      <c r="AK192" s="6120" t="str">
        <f t="shared" si="75"/>
        <v>►</v>
      </c>
      <c r="AL192" s="781" t="str">
        <f t="shared" si="77"/>
        <v>►</v>
      </c>
      <c r="AM192" s="5498" t="str">
        <f t="shared" si="80"/>
        <v/>
      </c>
      <c r="AN192" s="783" t="str">
        <f t="shared" si="81"/>
        <v/>
      </c>
      <c r="AO192" s="782" t="str">
        <f t="shared" si="82"/>
        <v/>
      </c>
      <c r="AP192" s="783" t="str">
        <f t="shared" si="83"/>
        <v/>
      </c>
      <c r="AQ192" s="2083" t="b">
        <f>AND(Q192="A",COUNTIF(BP16:BR63,TRIM(Z192))&gt;0)</f>
        <v>0</v>
      </c>
      <c r="AR192" s="797" t="str">
        <f>IF(AL192&lt;&gt;"A","",IFERROR(IFERROR(_xlfn.XLOOKUP(TRIM(SUBSTITUTE(Z192,CHAR(160)," ")),BP16:BP63,BS16:BS63),IFERROR(_xlfn.XLOOKUP(TRIM(SUBSTITUTE(Z192,CHAR(160)," ")),BQ16:BQ63,BS16:BS63),_xlfn.XLOOKUP(TRIM(SUBSTITUTE(Z192,CHAR(160)," ")),BR16:BR63,BS16:BS63)))*Y192*IF(ISBLANK(V192),1,V192),0))</f>
        <v/>
      </c>
      <c r="AS192" s="784" t="str">
        <f t="shared" si="73"/>
        <v/>
      </c>
      <c r="AT192" s="1315" t="str">
        <f t="shared" si="84"/>
        <v/>
      </c>
      <c r="AU192" s="785">
        <f t="shared" si="85"/>
        <v>0</v>
      </c>
      <c r="AV192" s="785">
        <f t="shared" si="86"/>
        <v>0</v>
      </c>
      <c r="AW192" s="798">
        <f>IF(AK192="A",AY10,0)</f>
        <v>0</v>
      </c>
      <c r="AX192" s="5496" t="str">
        <f>IF(IFERROR(SEARCH("Adresse PC",TRIM(W192)),0)&gt;0,"▼ receta siguiente",IF(AK192="A",IF(AZ10&lt;&gt;"",AZ10&amp;" - ou.or.o ❾ + or - &gt;",""),""))</f>
        <v/>
      </c>
      <c r="AY192" s="810"/>
      <c r="AZ192" s="810"/>
      <c r="BA192" s="799" t="str">
        <f t="shared" si="76"/>
        <v/>
      </c>
      <c r="BB192" s="800" t="str">
        <f>IF(AK192="A",IF(AQ192,IF(AND(AW192&lt;&gt;"",N(AW192)&gt;0),IFERROR(IFERROR(_xlfn.XLOOKUP(AP192,BP10:BP57,BT10:BT57),IFERROR(_xlfn.XLOOKUP(AP192,BQ10:BQ57,BT10:BT57),_xlfn.XLOOKUP(AP192,BR10:BR57,BT10:BT57,""))),""),""),""),"")</f>
        <v/>
      </c>
      <c r="BC192" s="813" cm="1">
        <f t="array" ref="BC192">IF(NOT(AQ192),0,IF(OR(BA192="",N(BA192)&lt;=0.000000001),"",IF(OR(AU192="",N(AU192)&lt;=0.000000001),0,IF(ISNUMBER(BA192),IFERROR(_xlfn.LET(_xlpm.ai_test,TRIM(AP192),_xlpm.r,IFERROR(_xlfn.XLOOKUP(_xlpm.ai_test,BP16:BP63,ROW(BP16:BP63),0,1),IFERROR(_xlfn.XLOOKUP(_xlpm.ai_test,BQ16:BQ63,ROW(BQ16:BQ63),0,1),_xlfn.XLOOKUP(_xlpm.ai_test,BR16:BR63,ROW(BR16:BR63),0,1))),_xlpm.p,_xlpm.r-MIN(ROW(BP16:BP63))+1,_xlpm.f,INDEX(BS16:BS63,_xlpm.p),_xlpm.u,INDEX(BT16:BT63,_xlpm.p),_xlpm.s,INDEX(BV16:BV63,_xlpm.p),_xlpm.q,N(BA192)/_xlpm.f,IF(_xlpm.q&gt;=_xlpm.s,ROUND(_xlpm.q,1)&amp;" "&amp;_xlpm.ai_test&amp;" = "&amp;ROUND(_xlpm.q*_xlpm.f,1)&amp;" "&amp;_xlpm.u,ROUND(_xlpm.q,1)&amp;" "&amp;_xlpm.ai_test)),""),""))))</f>
        <v>0</v>
      </c>
      <c r="BD192" s="801"/>
      <c r="BE192" s="799" t="str">
        <f t="shared" si="87"/>
        <v/>
      </c>
      <c r="BF192" s="800" t="str">
        <f t="shared" si="88"/>
        <v/>
      </c>
      <c r="BG192" s="802">
        <f t="shared" si="91"/>
        <v>0</v>
      </c>
      <c r="BH192" s="803" t="str">
        <f t="shared" si="92"/>
        <v/>
      </c>
      <c r="BI192" s="792"/>
      <c r="BJ192" s="804">
        <f t="shared" si="90"/>
        <v>0</v>
      </c>
      <c r="BK192" s="794" t="str">
        <f t="shared" si="89"/>
        <v/>
      </c>
      <c r="BL192" s="227" t="s">
        <v>21</v>
      </c>
      <c r="BM192" s="773">
        <f t="shared" si="78"/>
        <v>0</v>
      </c>
      <c r="BN192" s="774">
        <f t="shared" si="79"/>
        <v>0</v>
      </c>
      <c r="BO192"/>
      <c r="BX192"/>
      <c r="BY192"/>
      <c r="BZ192"/>
      <c r="CA192"/>
      <c r="CB192"/>
      <c r="CC192"/>
      <c r="CD192" s="781" t="str">
        <f t="shared" si="72"/>
        <v>►</v>
      </c>
      <c r="CE192"/>
      <c r="CF192"/>
      <c r="CG192"/>
      <c r="CH192"/>
      <c r="CI192"/>
      <c r="CJ192" s="633"/>
      <c r="CK192"/>
      <c r="CL192"/>
      <c r="CM192"/>
      <c r="CN192"/>
      <c r="CO192"/>
      <c r="CP192"/>
      <c r="CQ192"/>
      <c r="CS192"/>
      <c r="CT192"/>
      <c r="CU192"/>
      <c r="CV192"/>
      <c r="CW192"/>
      <c r="CX192"/>
      <c r="CY192"/>
      <c r="DA192"/>
      <c r="DB192"/>
      <c r="DC192"/>
      <c r="DD192"/>
      <c r="DE192"/>
      <c r="DF192"/>
      <c r="DG192"/>
      <c r="DI192" s="3">
        <v>1</v>
      </c>
    </row>
    <row r="193" spans="1:113" s="627" customFormat="1" ht="21" customHeight="1">
      <c r="A193" s="701" t="s">
        <v>21</v>
      </c>
      <c r="B193" s="2265" t="str" cm="1">
        <f t="array" ref="B193">SUMPRODUCT(--(D193:J193&lt;&gt;""), LEN(TRIM(SUBSTITUTE(D193:J193, CHAR(160), "")))) &amp; " Car."</f>
        <v>0 Car.</v>
      </c>
      <c r="C193" s="1376" t="str">
        <f>IF(ISBLANK(D193),"",LARGE(C13:C192,1)+1)</f>
        <v/>
      </c>
      <c r="D193" s="1833"/>
      <c r="E193" s="1810"/>
      <c r="F193" s="1810"/>
      <c r="G193" s="1810"/>
      <c r="H193" s="1810"/>
      <c r="I193" s="1810"/>
      <c r="J193" s="1810"/>
      <c r="K193" s="1810"/>
      <c r="L193" s="1811"/>
      <c r="M193" s="9"/>
      <c r="N193" s="162" t="str">
        <f t="shared" si="74"/>
        <v>►</v>
      </c>
      <c r="O193" s="1616"/>
      <c r="P193" s="9"/>
      <c r="Q193" s="25" t="s">
        <v>15</v>
      </c>
      <c r="R193" s="31"/>
      <c r="S193" s="32"/>
      <c r="T193" s="31"/>
      <c r="U193" s="33"/>
      <c r="V193" s="1967"/>
      <c r="W193" s="1805"/>
      <c r="X193" s="91"/>
      <c r="Y193" s="1806"/>
      <c r="Z193" s="1968"/>
      <c r="AA193" s="2244"/>
      <c r="AB193" s="1969"/>
      <c r="AC193" s="1365"/>
      <c r="AD193" s="95"/>
      <c r="AE193" s="1326"/>
      <c r="AF193" s="97"/>
      <c r="AG193" s="1737"/>
      <c r="AH193" s="1970"/>
      <c r="AI193" s="99"/>
      <c r="AJ193" s="1809"/>
      <c r="AK193" s="6120" t="str">
        <f t="shared" si="75"/>
        <v>►</v>
      </c>
      <c r="AL193" s="781" t="str">
        <f t="shared" si="77"/>
        <v>►</v>
      </c>
      <c r="AM193" s="5499" t="str">
        <f t="shared" si="80"/>
        <v/>
      </c>
      <c r="AN193" s="783" t="str">
        <f t="shared" si="81"/>
        <v/>
      </c>
      <c r="AO193" s="782" t="str">
        <f t="shared" si="82"/>
        <v/>
      </c>
      <c r="AP193" s="783" t="str">
        <f t="shared" si="83"/>
        <v/>
      </c>
      <c r="AQ193" s="2083" t="b">
        <f>AND(Q193="A",COUNTIF(BP16:BR63,TRIM(Z193))&gt;0)</f>
        <v>0</v>
      </c>
      <c r="AR193" s="797" t="str">
        <f>IF(AL193&lt;&gt;"A","",IFERROR(IFERROR(_xlfn.XLOOKUP(TRIM(SUBSTITUTE(Z193,CHAR(160)," ")),BP16:BP63,BS16:BS63),IFERROR(_xlfn.XLOOKUP(TRIM(SUBSTITUTE(Z193,CHAR(160)," ")),BQ16:BQ63,BS16:BS63),_xlfn.XLOOKUP(TRIM(SUBSTITUTE(Z193,CHAR(160)," ")),BR16:BR63,BS16:BS63)))*Y193*IF(ISBLANK(V193),1,V193),0))</f>
        <v/>
      </c>
      <c r="AS193" s="784" t="str">
        <f t="shared" si="73"/>
        <v/>
      </c>
      <c r="AT193" s="1315" t="str">
        <f t="shared" si="84"/>
        <v/>
      </c>
      <c r="AU193" s="785">
        <f t="shared" si="85"/>
        <v>0</v>
      </c>
      <c r="AV193" s="785">
        <f t="shared" si="86"/>
        <v>0</v>
      </c>
      <c r="AW193" s="786">
        <f>IF(AK193="A",AY10,0)</f>
        <v>0</v>
      </c>
      <c r="AX193" s="5495" t="str">
        <f>IF(IFERROR(SEARCH("Adresse PC",TRIM(W193)),0)&gt;0,"▼ receta siguiente",IF(AK193="A",IF(AZ10&lt;&gt;"",AZ10&amp;" - ou.or.o ❾ + or - &gt;",""),""))</f>
        <v/>
      </c>
      <c r="AY193" s="810"/>
      <c r="AZ193" s="810"/>
      <c r="BA193" s="788" t="str">
        <f t="shared" si="76"/>
        <v/>
      </c>
      <c r="BB193" s="789" t="str">
        <f>IF(AK193="A",IF(AQ193,IF(AND(AW193&lt;&gt;"",N(AW193)&gt;0),IFERROR(IFERROR(_xlfn.XLOOKUP(AP193,BP10:BP57,BT10:BT57),IFERROR(_xlfn.XLOOKUP(AP193,BQ10:BQ57,BT10:BT57),_xlfn.XLOOKUP(AP193,BR10:BR57,BT10:BT57,""))),""),""),""),"")</f>
        <v/>
      </c>
      <c r="BC193" s="811" cm="1">
        <f t="array" ref="BC193">IF(NOT(AQ193),0,IF(OR(BA193="",N(BA193)&lt;=0.000000001),"",IF(OR(AU193="",N(AU193)&lt;=0.000000001),0,IF(ISNUMBER(BA193),IFERROR(_xlfn.LET(_xlpm.ai_test,TRIM(AP193),_xlpm.r,IFERROR(_xlfn.XLOOKUP(_xlpm.ai_test,BP16:BP63,ROW(BP16:BP63),0,1),IFERROR(_xlfn.XLOOKUP(_xlpm.ai_test,BQ16:BQ63,ROW(BQ16:BQ63),0,1),_xlfn.XLOOKUP(_xlpm.ai_test,BR16:BR63,ROW(BR16:BR63),0,1))),_xlpm.p,_xlpm.r-MIN(ROW(BP16:BP63))+1,_xlpm.f,INDEX(BS16:BS63,_xlpm.p),_xlpm.u,INDEX(BT16:BT63,_xlpm.p),_xlpm.s,INDEX(BV16:BV63,_xlpm.p),_xlpm.q,N(BA193)/_xlpm.f,IF(_xlpm.q&gt;=_xlpm.s,ROUND(_xlpm.q,1)&amp;" "&amp;_xlpm.ai_test&amp;" = "&amp;ROUND(_xlpm.q*_xlpm.f,1)&amp;" "&amp;_xlpm.u,ROUND(_xlpm.q,1)&amp;" "&amp;_xlpm.ai_test)),""),""))))</f>
        <v>0</v>
      </c>
      <c r="BD193" s="801"/>
      <c r="BE193" s="788" t="str">
        <f t="shared" si="87"/>
        <v/>
      </c>
      <c r="BF193" s="789" t="str">
        <f t="shared" si="88"/>
        <v/>
      </c>
      <c r="BG193" s="790">
        <f t="shared" si="91"/>
        <v>0</v>
      </c>
      <c r="BH193" s="791" t="str">
        <f t="shared" si="92"/>
        <v/>
      </c>
      <c r="BI193" s="792"/>
      <c r="BJ193" s="793">
        <f t="shared" si="90"/>
        <v>0</v>
      </c>
      <c r="BK193" s="794" t="str">
        <f t="shared" si="89"/>
        <v/>
      </c>
      <c r="BL193" s="227" t="s">
        <v>21</v>
      </c>
      <c r="BM193" s="773">
        <f t="shared" si="78"/>
        <v>0</v>
      </c>
      <c r="BN193" s="774">
        <f t="shared" si="79"/>
        <v>0</v>
      </c>
      <c r="BO193"/>
      <c r="BX193"/>
      <c r="BY193"/>
      <c r="BZ193"/>
      <c r="CA193"/>
      <c r="CB193"/>
      <c r="CC193"/>
      <c r="CD193" s="781" t="str">
        <f t="shared" si="72"/>
        <v>►</v>
      </c>
      <c r="CE193"/>
      <c r="CF193"/>
      <c r="CG193"/>
      <c r="CH193"/>
      <c r="CI193"/>
      <c r="CJ193" s="633"/>
      <c r="CK193"/>
      <c r="CL193"/>
      <c r="CM193"/>
      <c r="CN193"/>
      <c r="CO193"/>
      <c r="CP193"/>
      <c r="CQ193"/>
      <c r="CS193"/>
      <c r="CT193"/>
      <c r="CU193"/>
      <c r="CV193"/>
      <c r="CW193"/>
      <c r="CX193"/>
      <c r="CY193"/>
      <c r="DA193"/>
      <c r="DB193"/>
      <c r="DC193"/>
      <c r="DD193"/>
      <c r="DE193"/>
      <c r="DF193"/>
      <c r="DG193"/>
      <c r="DI193" s="3">
        <v>1</v>
      </c>
    </row>
    <row r="194" spans="1:113" s="627" customFormat="1" ht="21" customHeight="1">
      <c r="A194" s="701" t="s">
        <v>21</v>
      </c>
      <c r="B194" s="2265" t="str" cm="1">
        <f t="array" ref="B194">SUMPRODUCT(--(D194:J194&lt;&gt;""), LEN(TRIM(SUBSTITUTE(D194:J194, CHAR(160), "")))) &amp; " Car."</f>
        <v>0 Car.</v>
      </c>
      <c r="C194" s="1376" t="str">
        <f>IF(ISBLANK(D194),"",LARGE(C13:C193,1)+1)</f>
        <v/>
      </c>
      <c r="D194" s="1833"/>
      <c r="E194" s="1810"/>
      <c r="F194" s="1810"/>
      <c r="G194" s="1810"/>
      <c r="H194" s="1810"/>
      <c r="I194" s="1810"/>
      <c r="J194" s="1810"/>
      <c r="K194" s="1810"/>
      <c r="L194" s="1811"/>
      <c r="M194" s="9"/>
      <c r="N194" s="162" t="str">
        <f t="shared" si="74"/>
        <v>►</v>
      </c>
      <c r="O194" s="1616"/>
      <c r="P194" s="9"/>
      <c r="Q194" s="25" t="s">
        <v>15</v>
      </c>
      <c r="R194" s="31"/>
      <c r="S194" s="32"/>
      <c r="T194" s="31"/>
      <c r="U194" s="33"/>
      <c r="V194" s="1967"/>
      <c r="W194" s="1805"/>
      <c r="X194" s="91"/>
      <c r="Y194" s="1806"/>
      <c r="Z194" s="1968"/>
      <c r="AA194" s="2244"/>
      <c r="AB194" s="1969"/>
      <c r="AC194" s="1365"/>
      <c r="AD194" s="95"/>
      <c r="AE194" s="1326"/>
      <c r="AF194" s="97"/>
      <c r="AG194" s="1737"/>
      <c r="AH194" s="1970"/>
      <c r="AI194" s="99"/>
      <c r="AJ194" s="1809"/>
      <c r="AK194" s="6120" t="str">
        <f t="shared" si="75"/>
        <v>►</v>
      </c>
      <c r="AL194" s="781" t="str">
        <f t="shared" si="77"/>
        <v>►</v>
      </c>
      <c r="AM194" s="5498" t="str">
        <f t="shared" si="80"/>
        <v/>
      </c>
      <c r="AN194" s="783" t="str">
        <f t="shared" si="81"/>
        <v/>
      </c>
      <c r="AO194" s="782" t="str">
        <f t="shared" si="82"/>
        <v/>
      </c>
      <c r="AP194" s="783" t="str">
        <f t="shared" si="83"/>
        <v/>
      </c>
      <c r="AQ194" s="2083" t="b">
        <f>AND(Q194="A",COUNTIF(BP16:BR63,TRIM(Z194))&gt;0)</f>
        <v>0</v>
      </c>
      <c r="AR194" s="797" t="str">
        <f>IF(AL194&lt;&gt;"A","",IFERROR(IFERROR(_xlfn.XLOOKUP(TRIM(SUBSTITUTE(Z194,CHAR(160)," ")),BP16:BP63,BS16:BS63),IFERROR(_xlfn.XLOOKUP(TRIM(SUBSTITUTE(Z194,CHAR(160)," ")),BQ16:BQ63,BS16:BS63),_xlfn.XLOOKUP(TRIM(SUBSTITUTE(Z194,CHAR(160)," ")),BR16:BR63,BS16:BS63)))*Y194*IF(ISBLANK(V194),1,V194),0))</f>
        <v/>
      </c>
      <c r="AS194" s="784" t="str">
        <f t="shared" si="73"/>
        <v/>
      </c>
      <c r="AT194" s="1315" t="str">
        <f t="shared" si="84"/>
        <v/>
      </c>
      <c r="AU194" s="785">
        <f t="shared" si="85"/>
        <v>0</v>
      </c>
      <c r="AV194" s="785">
        <f t="shared" si="86"/>
        <v>0</v>
      </c>
      <c r="AW194" s="798">
        <f>IF(AK194="A",AY10,0)</f>
        <v>0</v>
      </c>
      <c r="AX194" s="5496" t="str">
        <f>IF(IFERROR(SEARCH("Adresse PC",TRIM(W194)),0)&gt;0,"▼ receta siguiente",IF(AK194="A",IF(AZ10&lt;&gt;"",AZ10&amp;" - ou.or.o ❾ + or - &gt;",""),""))</f>
        <v/>
      </c>
      <c r="AY194" s="810"/>
      <c r="AZ194" s="810"/>
      <c r="BA194" s="799" t="str">
        <f t="shared" si="76"/>
        <v/>
      </c>
      <c r="BB194" s="800" t="str">
        <f>IF(AK194="A",IF(AQ194,IF(AND(AW194&lt;&gt;"",N(AW194)&gt;0),IFERROR(IFERROR(_xlfn.XLOOKUP(AP194,BP10:BP57,BT10:BT57),IFERROR(_xlfn.XLOOKUP(AP194,BQ10:BQ57,BT10:BT57),_xlfn.XLOOKUP(AP194,BR10:BR57,BT10:BT57,""))),""),""),""),"")</f>
        <v/>
      </c>
      <c r="BC194" s="813" cm="1">
        <f t="array" ref="BC194">IF(NOT(AQ194),0,IF(OR(BA194="",N(BA194)&lt;=0.000000001),"",IF(OR(AU194="",N(AU194)&lt;=0.000000001),0,IF(ISNUMBER(BA194),IFERROR(_xlfn.LET(_xlpm.ai_test,TRIM(AP194),_xlpm.r,IFERROR(_xlfn.XLOOKUP(_xlpm.ai_test,BP16:BP63,ROW(BP16:BP63),0,1),IFERROR(_xlfn.XLOOKUP(_xlpm.ai_test,BQ16:BQ63,ROW(BQ16:BQ63),0,1),_xlfn.XLOOKUP(_xlpm.ai_test,BR16:BR63,ROW(BR16:BR63),0,1))),_xlpm.p,_xlpm.r-MIN(ROW(BP16:BP63))+1,_xlpm.f,INDEX(BS16:BS63,_xlpm.p),_xlpm.u,INDEX(BT16:BT63,_xlpm.p),_xlpm.s,INDEX(BV16:BV63,_xlpm.p),_xlpm.q,N(BA194)/_xlpm.f,IF(_xlpm.q&gt;=_xlpm.s,ROUND(_xlpm.q,1)&amp;" "&amp;_xlpm.ai_test&amp;" = "&amp;ROUND(_xlpm.q*_xlpm.f,1)&amp;" "&amp;_xlpm.u,ROUND(_xlpm.q,1)&amp;" "&amp;_xlpm.ai_test)),""),""))))</f>
        <v>0</v>
      </c>
      <c r="BD194" s="801"/>
      <c r="BE194" s="799" t="str">
        <f t="shared" si="87"/>
        <v/>
      </c>
      <c r="BF194" s="800" t="str">
        <f t="shared" si="88"/>
        <v/>
      </c>
      <c r="BG194" s="802">
        <f t="shared" si="91"/>
        <v>0</v>
      </c>
      <c r="BH194" s="803" t="str">
        <f t="shared" si="92"/>
        <v/>
      </c>
      <c r="BI194" s="792"/>
      <c r="BJ194" s="804">
        <f t="shared" si="90"/>
        <v>0</v>
      </c>
      <c r="BK194" s="794" t="str">
        <f t="shared" si="89"/>
        <v/>
      </c>
      <c r="BL194" s="227" t="s">
        <v>21</v>
      </c>
      <c r="BM194" s="773">
        <f t="shared" si="78"/>
        <v>0</v>
      </c>
      <c r="BN194" s="774">
        <f t="shared" si="79"/>
        <v>0</v>
      </c>
      <c r="BO194"/>
      <c r="BX194"/>
      <c r="BY194"/>
      <c r="BZ194"/>
      <c r="CA194"/>
      <c r="CB194"/>
      <c r="CC194"/>
      <c r="CD194" s="781" t="str">
        <f t="shared" si="72"/>
        <v>►</v>
      </c>
      <c r="CE194"/>
      <c r="CF194"/>
      <c r="CG194"/>
      <c r="CH194"/>
      <c r="CI194"/>
      <c r="CJ194" s="633"/>
      <c r="CK194"/>
      <c r="CL194"/>
      <c r="CM194"/>
      <c r="CN194"/>
      <c r="CO194"/>
      <c r="CP194"/>
      <c r="CQ194"/>
      <c r="CS194"/>
      <c r="CT194"/>
      <c r="CU194"/>
      <c r="CV194"/>
      <c r="CW194"/>
      <c r="CX194"/>
      <c r="CY194"/>
      <c r="DA194"/>
      <c r="DB194"/>
      <c r="DC194"/>
      <c r="DD194"/>
      <c r="DE194"/>
      <c r="DF194"/>
      <c r="DG194"/>
      <c r="DI194" s="3">
        <v>1</v>
      </c>
    </row>
    <row r="195" spans="1:113" s="627" customFormat="1" ht="21" customHeight="1">
      <c r="A195" s="701" t="s">
        <v>21</v>
      </c>
      <c r="B195" s="2265" t="str" cm="1">
        <f t="array" ref="B195">SUMPRODUCT(--(D195:J195&lt;&gt;""), LEN(TRIM(SUBSTITUTE(D195:J195, CHAR(160), "")))) &amp; " Car."</f>
        <v>0 Car.</v>
      </c>
      <c r="C195" s="1376" t="str">
        <f>IF(ISBLANK(D195),"",LARGE(C13:C194,1)+1)</f>
        <v/>
      </c>
      <c r="D195" s="1833"/>
      <c r="E195" s="1810"/>
      <c r="F195" s="1810"/>
      <c r="G195" s="1810"/>
      <c r="H195" s="1810"/>
      <c r="I195" s="1810"/>
      <c r="J195" s="1810"/>
      <c r="K195" s="1810"/>
      <c r="L195" s="1811"/>
      <c r="M195" s="9"/>
      <c r="N195" s="162" t="str">
        <f t="shared" si="74"/>
        <v>►</v>
      </c>
      <c r="O195" s="1616"/>
      <c r="P195" s="9"/>
      <c r="Q195" s="25" t="s">
        <v>15</v>
      </c>
      <c r="R195" s="31"/>
      <c r="S195" s="32"/>
      <c r="T195" s="31"/>
      <c r="U195" s="33"/>
      <c r="V195" s="1967"/>
      <c r="W195" s="1805"/>
      <c r="X195" s="91"/>
      <c r="Y195" s="1806"/>
      <c r="Z195" s="1968"/>
      <c r="AA195" s="2244"/>
      <c r="AB195" s="1969"/>
      <c r="AC195" s="1365"/>
      <c r="AD195" s="95"/>
      <c r="AE195" s="1326"/>
      <c r="AF195" s="97"/>
      <c r="AG195" s="1737"/>
      <c r="AH195" s="1970"/>
      <c r="AI195" s="99"/>
      <c r="AJ195" s="1809"/>
      <c r="AK195" s="6120" t="str">
        <f t="shared" si="75"/>
        <v>►</v>
      </c>
      <c r="AL195" s="781" t="str">
        <f t="shared" si="77"/>
        <v>►</v>
      </c>
      <c r="AM195" s="5499" t="str">
        <f t="shared" si="80"/>
        <v/>
      </c>
      <c r="AN195" s="783" t="str">
        <f t="shared" si="81"/>
        <v/>
      </c>
      <c r="AO195" s="782" t="str">
        <f t="shared" si="82"/>
        <v/>
      </c>
      <c r="AP195" s="783" t="str">
        <f t="shared" si="83"/>
        <v/>
      </c>
      <c r="AQ195" s="2083" t="b">
        <f>AND(Q195="A",COUNTIF(BP16:BR63,TRIM(Z195))&gt;0)</f>
        <v>0</v>
      </c>
      <c r="AR195" s="797" t="str">
        <f>IF(AL195&lt;&gt;"A","",IFERROR(IFERROR(_xlfn.XLOOKUP(TRIM(SUBSTITUTE(Z195,CHAR(160)," ")),BP16:BP63,BS16:BS63),IFERROR(_xlfn.XLOOKUP(TRIM(SUBSTITUTE(Z195,CHAR(160)," ")),BQ16:BQ63,BS16:BS63),_xlfn.XLOOKUP(TRIM(SUBSTITUTE(Z195,CHAR(160)," ")),BR16:BR63,BS16:BS63)))*Y195*IF(ISBLANK(V195),1,V195),0))</f>
        <v/>
      </c>
      <c r="AS195" s="784" t="str">
        <f t="shared" si="73"/>
        <v/>
      </c>
      <c r="AT195" s="1315" t="str">
        <f t="shared" si="84"/>
        <v/>
      </c>
      <c r="AU195" s="785">
        <f t="shared" si="85"/>
        <v>0</v>
      </c>
      <c r="AV195" s="785">
        <f t="shared" si="86"/>
        <v>0</v>
      </c>
      <c r="AW195" s="786">
        <f>IF(AK195="A",AY10,0)</f>
        <v>0</v>
      </c>
      <c r="AX195" s="5495" t="str">
        <f>IF(IFERROR(SEARCH("Adresse PC",TRIM(W195)),0)&gt;0,"▼ receta siguiente",IF(AK195="A",IF(AZ10&lt;&gt;"",AZ10&amp;" - ou.or.o ❾ + or - &gt;",""),""))</f>
        <v/>
      </c>
      <c r="AY195" s="810"/>
      <c r="AZ195" s="810"/>
      <c r="BA195" s="788" t="str">
        <f t="shared" si="76"/>
        <v/>
      </c>
      <c r="BB195" s="789" t="str">
        <f>IF(AK195="A",IF(AQ195,IF(AND(AW195&lt;&gt;"",N(AW195)&gt;0),IFERROR(IFERROR(_xlfn.XLOOKUP(AP195,BP10:BP57,BT10:BT57),IFERROR(_xlfn.XLOOKUP(AP195,BQ10:BQ57,BT10:BT57),_xlfn.XLOOKUP(AP195,BR10:BR57,BT10:BT57,""))),""),""),""),"")</f>
        <v/>
      </c>
      <c r="BC195" s="811" cm="1">
        <f t="array" ref="BC195">IF(NOT(AQ195),0,IF(OR(BA195="",N(BA195)&lt;=0.000000001),"",IF(OR(AU195="",N(AU195)&lt;=0.000000001),0,IF(ISNUMBER(BA195),IFERROR(_xlfn.LET(_xlpm.ai_test,TRIM(AP195),_xlpm.r,IFERROR(_xlfn.XLOOKUP(_xlpm.ai_test,BP16:BP63,ROW(BP16:BP63),0,1),IFERROR(_xlfn.XLOOKUP(_xlpm.ai_test,BQ16:BQ63,ROW(BQ16:BQ63),0,1),_xlfn.XLOOKUP(_xlpm.ai_test,BR16:BR63,ROW(BR16:BR63),0,1))),_xlpm.p,_xlpm.r-MIN(ROW(BP16:BP63))+1,_xlpm.f,INDEX(BS16:BS63,_xlpm.p),_xlpm.u,INDEX(BT16:BT63,_xlpm.p),_xlpm.s,INDEX(BV16:BV63,_xlpm.p),_xlpm.q,N(BA195)/_xlpm.f,IF(_xlpm.q&gt;=_xlpm.s,ROUND(_xlpm.q,1)&amp;" "&amp;_xlpm.ai_test&amp;" = "&amp;ROUND(_xlpm.q*_xlpm.f,1)&amp;" "&amp;_xlpm.u,ROUND(_xlpm.q,1)&amp;" "&amp;_xlpm.ai_test)),""),""))))</f>
        <v>0</v>
      </c>
      <c r="BD195" s="801"/>
      <c r="BE195" s="788" t="str">
        <f t="shared" si="87"/>
        <v/>
      </c>
      <c r="BF195" s="789" t="str">
        <f t="shared" si="88"/>
        <v/>
      </c>
      <c r="BG195" s="790">
        <f t="shared" si="91"/>
        <v>0</v>
      </c>
      <c r="BH195" s="791" t="str">
        <f t="shared" si="92"/>
        <v/>
      </c>
      <c r="BI195" s="792"/>
      <c r="BJ195" s="793">
        <f t="shared" si="90"/>
        <v>0</v>
      </c>
      <c r="BK195" s="794" t="str">
        <f t="shared" si="89"/>
        <v/>
      </c>
      <c r="BL195" s="227" t="s">
        <v>21</v>
      </c>
      <c r="BM195" s="773">
        <f t="shared" si="78"/>
        <v>0</v>
      </c>
      <c r="BN195" s="774">
        <f t="shared" si="79"/>
        <v>0</v>
      </c>
      <c r="BO195"/>
      <c r="BX195"/>
      <c r="BY195"/>
      <c r="BZ195"/>
      <c r="CA195"/>
      <c r="CB195"/>
      <c r="CC195"/>
      <c r="CD195" s="781" t="str">
        <f t="shared" si="72"/>
        <v>►</v>
      </c>
      <c r="CE195"/>
      <c r="CF195"/>
      <c r="CG195"/>
      <c r="CH195"/>
      <c r="CI195"/>
      <c r="CJ195" s="633"/>
      <c r="CK195"/>
      <c r="CL195"/>
      <c r="CM195"/>
      <c r="CN195"/>
      <c r="CO195"/>
      <c r="CP195"/>
      <c r="CQ195"/>
      <c r="CS195"/>
      <c r="CT195"/>
      <c r="CU195"/>
      <c r="CV195"/>
      <c r="CW195"/>
      <c r="CX195"/>
      <c r="CY195"/>
      <c r="DA195"/>
      <c r="DB195"/>
      <c r="DC195"/>
      <c r="DD195"/>
      <c r="DE195"/>
      <c r="DF195"/>
      <c r="DG195"/>
      <c r="DI195" s="3">
        <v>1</v>
      </c>
    </row>
    <row r="196" spans="1:113" s="627" customFormat="1" ht="21" customHeight="1">
      <c r="A196" s="701" t="s">
        <v>21</v>
      </c>
      <c r="B196" s="2265" t="str" cm="1">
        <f t="array" ref="B196">SUMPRODUCT(--(D196:J196&lt;&gt;""), LEN(TRIM(SUBSTITUTE(D196:J196, CHAR(160), "")))) &amp; " Car."</f>
        <v>0 Car.</v>
      </c>
      <c r="C196" s="1376" t="str">
        <f>IF(ISBLANK(D196),"",LARGE(C13:C195,1)+1)</f>
        <v/>
      </c>
      <c r="D196" s="1833"/>
      <c r="E196" s="1810"/>
      <c r="F196" s="1810"/>
      <c r="G196" s="1810"/>
      <c r="H196" s="1810"/>
      <c r="I196" s="1810"/>
      <c r="J196" s="1810"/>
      <c r="K196" s="1810"/>
      <c r="L196" s="1811"/>
      <c r="M196" s="9"/>
      <c r="N196" s="162" t="str">
        <f t="shared" si="74"/>
        <v>►</v>
      </c>
      <c r="O196" s="1616"/>
      <c r="P196" s="9"/>
      <c r="Q196" s="25" t="s">
        <v>15</v>
      </c>
      <c r="R196" s="31"/>
      <c r="S196" s="32"/>
      <c r="T196" s="31"/>
      <c r="U196" s="33"/>
      <c r="V196" s="1967"/>
      <c r="W196" s="1805"/>
      <c r="X196" s="91"/>
      <c r="Y196" s="1806"/>
      <c r="Z196" s="1968"/>
      <c r="AA196" s="2244"/>
      <c r="AB196" s="1969"/>
      <c r="AC196" s="1365"/>
      <c r="AD196" s="95"/>
      <c r="AE196" s="1326"/>
      <c r="AF196" s="97"/>
      <c r="AG196" s="1737"/>
      <c r="AH196" s="1970"/>
      <c r="AI196" s="99"/>
      <c r="AJ196" s="1809"/>
      <c r="AK196" s="6120" t="str">
        <f t="shared" si="75"/>
        <v>►</v>
      </c>
      <c r="AL196" s="781" t="str">
        <f t="shared" si="77"/>
        <v>►</v>
      </c>
      <c r="AM196" s="5498" t="str">
        <f t="shared" si="80"/>
        <v/>
      </c>
      <c r="AN196" s="783" t="str">
        <f t="shared" si="81"/>
        <v/>
      </c>
      <c r="AO196" s="782" t="str">
        <f t="shared" si="82"/>
        <v/>
      </c>
      <c r="AP196" s="783" t="str">
        <f t="shared" si="83"/>
        <v/>
      </c>
      <c r="AQ196" s="2083" t="b">
        <f>AND(Q196="A",COUNTIF(BP16:BR63,TRIM(Z196))&gt;0)</f>
        <v>0</v>
      </c>
      <c r="AR196" s="797" t="str">
        <f>IF(AL196&lt;&gt;"A","",IFERROR(IFERROR(_xlfn.XLOOKUP(TRIM(SUBSTITUTE(Z196,CHAR(160)," ")),BP16:BP63,BS16:BS63),IFERROR(_xlfn.XLOOKUP(TRIM(SUBSTITUTE(Z196,CHAR(160)," ")),BQ16:BQ63,BS16:BS63),_xlfn.XLOOKUP(TRIM(SUBSTITUTE(Z196,CHAR(160)," ")),BR16:BR63,BS16:BS63)))*Y196*IF(ISBLANK(V196),1,V196),0))</f>
        <v/>
      </c>
      <c r="AS196" s="784" t="str">
        <f t="shared" si="73"/>
        <v/>
      </c>
      <c r="AT196" s="1315" t="str">
        <f t="shared" si="84"/>
        <v/>
      </c>
      <c r="AU196" s="785">
        <f t="shared" si="85"/>
        <v>0</v>
      </c>
      <c r="AV196" s="785">
        <f t="shared" si="86"/>
        <v>0</v>
      </c>
      <c r="AW196" s="798">
        <f>IF(AK196="A",AY10,0)</f>
        <v>0</v>
      </c>
      <c r="AX196" s="5496" t="str">
        <f>IF(IFERROR(SEARCH("Adresse PC",TRIM(W196)),0)&gt;0,"▼ receta siguiente",IF(AK196="A",IF(AZ10&lt;&gt;"",AZ10&amp;" - ou.or.o ❾ + or - &gt;",""),""))</f>
        <v/>
      </c>
      <c r="AY196" s="810"/>
      <c r="AZ196" s="810"/>
      <c r="BA196" s="799" t="str">
        <f t="shared" si="76"/>
        <v/>
      </c>
      <c r="BB196" s="800" t="str">
        <f>IF(AK196="A",IF(AQ196,IF(AND(AW196&lt;&gt;"",N(AW196)&gt;0),IFERROR(IFERROR(_xlfn.XLOOKUP(AP196,BP10:BP57,BT10:BT57),IFERROR(_xlfn.XLOOKUP(AP196,BQ10:BQ57,BT10:BT57),_xlfn.XLOOKUP(AP196,BR10:BR57,BT10:BT57,""))),""),""),""),"")</f>
        <v/>
      </c>
      <c r="BC196" s="813" cm="1">
        <f t="array" ref="BC196">IF(NOT(AQ196),0,IF(OR(BA196="",N(BA196)&lt;=0.000000001),"",IF(OR(AU196="",N(AU196)&lt;=0.000000001),0,IF(ISNUMBER(BA196),IFERROR(_xlfn.LET(_xlpm.ai_test,TRIM(AP196),_xlpm.r,IFERROR(_xlfn.XLOOKUP(_xlpm.ai_test,BP16:BP63,ROW(BP16:BP63),0,1),IFERROR(_xlfn.XLOOKUP(_xlpm.ai_test,BQ16:BQ63,ROW(BQ16:BQ63),0,1),_xlfn.XLOOKUP(_xlpm.ai_test,BR16:BR63,ROW(BR16:BR63),0,1))),_xlpm.p,_xlpm.r-MIN(ROW(BP16:BP63))+1,_xlpm.f,INDEX(BS16:BS63,_xlpm.p),_xlpm.u,INDEX(BT16:BT63,_xlpm.p),_xlpm.s,INDEX(BV16:BV63,_xlpm.p),_xlpm.q,N(BA196)/_xlpm.f,IF(_xlpm.q&gt;=_xlpm.s,ROUND(_xlpm.q,1)&amp;" "&amp;_xlpm.ai_test&amp;" = "&amp;ROUND(_xlpm.q*_xlpm.f,1)&amp;" "&amp;_xlpm.u,ROUND(_xlpm.q,1)&amp;" "&amp;_xlpm.ai_test)),""),""))))</f>
        <v>0</v>
      </c>
      <c r="BD196" s="801"/>
      <c r="BE196" s="799" t="str">
        <f t="shared" si="87"/>
        <v/>
      </c>
      <c r="BF196" s="800" t="str">
        <f t="shared" si="88"/>
        <v/>
      </c>
      <c r="BG196" s="802">
        <f t="shared" si="91"/>
        <v>0</v>
      </c>
      <c r="BH196" s="803" t="str">
        <f t="shared" si="92"/>
        <v/>
      </c>
      <c r="BI196" s="792"/>
      <c r="BJ196" s="804">
        <f t="shared" si="90"/>
        <v>0</v>
      </c>
      <c r="BK196" s="794" t="str">
        <f t="shared" si="89"/>
        <v/>
      </c>
      <c r="BL196" s="227" t="s">
        <v>21</v>
      </c>
      <c r="BM196" s="773">
        <f t="shared" si="78"/>
        <v>0</v>
      </c>
      <c r="BN196" s="774">
        <f t="shared" si="79"/>
        <v>0</v>
      </c>
      <c r="BO196"/>
      <c r="BX196"/>
      <c r="BY196"/>
      <c r="BZ196"/>
      <c r="CA196"/>
      <c r="CB196"/>
      <c r="CC196"/>
      <c r="CD196" s="781" t="str">
        <f t="shared" si="72"/>
        <v>►</v>
      </c>
      <c r="CE196"/>
      <c r="CF196"/>
      <c r="CG196"/>
      <c r="CH196"/>
      <c r="CI196"/>
      <c r="CJ196" s="633"/>
      <c r="CK196"/>
      <c r="CL196"/>
      <c r="CM196"/>
      <c r="CN196"/>
      <c r="CO196"/>
      <c r="CP196"/>
      <c r="CQ196"/>
      <c r="CS196"/>
      <c r="CT196"/>
      <c r="CU196"/>
      <c r="CV196"/>
      <c r="CW196"/>
      <c r="CX196"/>
      <c r="CY196"/>
      <c r="DA196"/>
      <c r="DB196"/>
      <c r="DC196"/>
      <c r="DD196"/>
      <c r="DE196"/>
      <c r="DF196"/>
      <c r="DG196"/>
      <c r="DI196" s="3">
        <v>1</v>
      </c>
    </row>
    <row r="197" spans="1:113" s="627" customFormat="1" ht="21" customHeight="1">
      <c r="A197" s="701" t="s">
        <v>21</v>
      </c>
      <c r="B197" s="2265" t="str" cm="1">
        <f t="array" ref="B197">SUMPRODUCT(--(D197:J197&lt;&gt;""), LEN(TRIM(SUBSTITUTE(D197:J197, CHAR(160), "")))) &amp; " Car."</f>
        <v>0 Car.</v>
      </c>
      <c r="C197" s="1376" t="str">
        <f>IF(ISBLANK(D197),"",LARGE(C13:C196,1)+1)</f>
        <v/>
      </c>
      <c r="D197" s="1833"/>
      <c r="E197" s="1810"/>
      <c r="F197" s="1810"/>
      <c r="G197" s="1810"/>
      <c r="H197" s="1810"/>
      <c r="I197" s="1810"/>
      <c r="J197" s="1810"/>
      <c r="K197" s="1810"/>
      <c r="L197" s="1811"/>
      <c r="M197" s="9"/>
      <c r="N197" s="162" t="str">
        <f t="shared" si="74"/>
        <v>►</v>
      </c>
      <c r="O197" s="1616"/>
      <c r="P197" s="9"/>
      <c r="Q197" s="25" t="s">
        <v>15</v>
      </c>
      <c r="R197" s="31"/>
      <c r="S197" s="32"/>
      <c r="T197" s="31"/>
      <c r="U197" s="33"/>
      <c r="V197" s="1967"/>
      <c r="W197" s="1805"/>
      <c r="X197" s="91"/>
      <c r="Y197" s="1806"/>
      <c r="Z197" s="1968"/>
      <c r="AA197" s="2244"/>
      <c r="AB197" s="1969"/>
      <c r="AC197" s="1365"/>
      <c r="AD197" s="95"/>
      <c r="AE197" s="1326"/>
      <c r="AF197" s="97"/>
      <c r="AG197" s="1737"/>
      <c r="AH197" s="1970"/>
      <c r="AI197" s="99"/>
      <c r="AJ197" s="1809"/>
      <c r="AK197" s="6120" t="str">
        <f t="shared" si="75"/>
        <v>►</v>
      </c>
      <c r="AL197" s="781" t="str">
        <f t="shared" si="77"/>
        <v>►</v>
      </c>
      <c r="AM197" s="5499" t="str">
        <f t="shared" si="80"/>
        <v/>
      </c>
      <c r="AN197" s="783" t="str">
        <f t="shared" si="81"/>
        <v/>
      </c>
      <c r="AO197" s="782" t="str">
        <f t="shared" si="82"/>
        <v/>
      </c>
      <c r="AP197" s="783" t="str">
        <f t="shared" si="83"/>
        <v/>
      </c>
      <c r="AQ197" s="2083" t="b">
        <f>AND(Q197="A",COUNTIF(BP16:BR63,TRIM(Z197))&gt;0)</f>
        <v>0</v>
      </c>
      <c r="AR197" s="797" t="str">
        <f>IF(AL197&lt;&gt;"A","",IFERROR(IFERROR(_xlfn.XLOOKUP(TRIM(SUBSTITUTE(Z197,CHAR(160)," ")),BP16:BP63,BS16:BS63),IFERROR(_xlfn.XLOOKUP(TRIM(SUBSTITUTE(Z197,CHAR(160)," ")),BQ16:BQ63,BS16:BS63),_xlfn.XLOOKUP(TRIM(SUBSTITUTE(Z197,CHAR(160)," ")),BR16:BR63,BS16:BS63)))*Y197*IF(ISBLANK(V197),1,V197),0))</f>
        <v/>
      </c>
      <c r="AS197" s="784" t="str">
        <f t="shared" si="73"/>
        <v/>
      </c>
      <c r="AT197" s="1315" t="str">
        <f t="shared" si="84"/>
        <v/>
      </c>
      <c r="AU197" s="785">
        <f t="shared" si="85"/>
        <v>0</v>
      </c>
      <c r="AV197" s="785">
        <f t="shared" si="86"/>
        <v>0</v>
      </c>
      <c r="AW197" s="786">
        <f>IF(AK197="A",AY10,0)</f>
        <v>0</v>
      </c>
      <c r="AX197" s="5495" t="str">
        <f>IF(IFERROR(SEARCH("Adresse PC",TRIM(W197)),0)&gt;0,"▼ receta siguiente",IF(AK197="A",IF(AZ10&lt;&gt;"",AZ10&amp;" - ou.or.o ❾ + or - &gt;",""),""))</f>
        <v/>
      </c>
      <c r="AY197" s="810"/>
      <c r="AZ197" s="810"/>
      <c r="BA197" s="788" t="str">
        <f t="shared" si="76"/>
        <v/>
      </c>
      <c r="BB197" s="789" t="str">
        <f>IF(AK197="A",IF(AQ197,IF(AND(AW197&lt;&gt;"",N(AW197)&gt;0),IFERROR(IFERROR(_xlfn.XLOOKUP(AP197,BP10:BP57,BT10:BT57),IFERROR(_xlfn.XLOOKUP(AP197,BQ10:BQ57,BT10:BT57),_xlfn.XLOOKUP(AP197,BR10:BR57,BT10:BT57,""))),""),""),""),"")</f>
        <v/>
      </c>
      <c r="BC197" s="811" cm="1">
        <f t="array" ref="BC197">IF(NOT(AQ197),0,IF(OR(BA197="",N(BA197)&lt;=0.000000001),"",IF(OR(AU197="",N(AU197)&lt;=0.000000001),0,IF(ISNUMBER(BA197),IFERROR(_xlfn.LET(_xlpm.ai_test,TRIM(AP197),_xlpm.r,IFERROR(_xlfn.XLOOKUP(_xlpm.ai_test,BP16:BP63,ROW(BP16:BP63),0,1),IFERROR(_xlfn.XLOOKUP(_xlpm.ai_test,BQ16:BQ63,ROW(BQ16:BQ63),0,1),_xlfn.XLOOKUP(_xlpm.ai_test,BR16:BR63,ROW(BR16:BR63),0,1))),_xlpm.p,_xlpm.r-MIN(ROW(BP16:BP63))+1,_xlpm.f,INDEX(BS16:BS63,_xlpm.p),_xlpm.u,INDEX(BT16:BT63,_xlpm.p),_xlpm.s,INDEX(BV16:BV63,_xlpm.p),_xlpm.q,N(BA197)/_xlpm.f,IF(_xlpm.q&gt;=_xlpm.s,ROUND(_xlpm.q,1)&amp;" "&amp;_xlpm.ai_test&amp;" = "&amp;ROUND(_xlpm.q*_xlpm.f,1)&amp;" "&amp;_xlpm.u,ROUND(_xlpm.q,1)&amp;" "&amp;_xlpm.ai_test)),""),""))))</f>
        <v>0</v>
      </c>
      <c r="BD197" s="801"/>
      <c r="BE197" s="788" t="str">
        <f t="shared" si="87"/>
        <v/>
      </c>
      <c r="BF197" s="789" t="str">
        <f t="shared" si="88"/>
        <v/>
      </c>
      <c r="BG197" s="790">
        <f t="shared" si="91"/>
        <v>0</v>
      </c>
      <c r="BH197" s="791" t="str">
        <f t="shared" si="92"/>
        <v/>
      </c>
      <c r="BI197" s="792"/>
      <c r="BJ197" s="793">
        <f t="shared" si="90"/>
        <v>0</v>
      </c>
      <c r="BK197" s="794" t="str">
        <f t="shared" si="89"/>
        <v/>
      </c>
      <c r="BL197" s="227" t="s">
        <v>21</v>
      </c>
      <c r="BM197" s="773">
        <f t="shared" si="78"/>
        <v>0</v>
      </c>
      <c r="BN197" s="774">
        <f t="shared" si="79"/>
        <v>0</v>
      </c>
      <c r="BO197"/>
      <c r="BX197"/>
      <c r="BY197"/>
      <c r="BZ197"/>
      <c r="CA197"/>
      <c r="CB197"/>
      <c r="CC197"/>
      <c r="CD197" s="781" t="str">
        <f t="shared" si="72"/>
        <v>►</v>
      </c>
      <c r="CE197"/>
      <c r="CF197"/>
      <c r="CG197"/>
      <c r="CH197"/>
      <c r="CI197"/>
      <c r="CJ197" s="633"/>
      <c r="CK197"/>
      <c r="CL197"/>
      <c r="CM197"/>
      <c r="CN197"/>
      <c r="CO197"/>
      <c r="CP197"/>
      <c r="CQ197"/>
      <c r="CS197"/>
      <c r="CT197"/>
      <c r="CU197"/>
      <c r="CV197"/>
      <c r="CW197"/>
      <c r="CX197"/>
      <c r="CY197"/>
      <c r="DA197"/>
      <c r="DB197"/>
      <c r="DC197"/>
      <c r="DD197"/>
      <c r="DE197"/>
      <c r="DF197"/>
      <c r="DG197"/>
      <c r="DI197" s="3">
        <v>1</v>
      </c>
    </row>
    <row r="198" spans="1:113" s="627" customFormat="1" ht="21" customHeight="1">
      <c r="A198" s="701" t="s">
        <v>21</v>
      </c>
      <c r="B198" s="2265" t="str" cm="1">
        <f t="array" ref="B198">SUMPRODUCT(--(D198:J198&lt;&gt;""), LEN(TRIM(SUBSTITUTE(D198:J198, CHAR(160), "")))) &amp; " Car."</f>
        <v>0 Car.</v>
      </c>
      <c r="C198" s="1376" t="str">
        <f>IF(ISBLANK(D198),"",LARGE(C13:C197,1)+1)</f>
        <v/>
      </c>
      <c r="D198" s="1833"/>
      <c r="E198" s="1810"/>
      <c r="F198" s="1810"/>
      <c r="G198" s="1810"/>
      <c r="H198" s="1810"/>
      <c r="I198" s="1810"/>
      <c r="J198" s="1810"/>
      <c r="K198" s="1810"/>
      <c r="L198" s="1811"/>
      <c r="M198" s="9"/>
      <c r="N198" s="162" t="str">
        <f t="shared" si="74"/>
        <v>►</v>
      </c>
      <c r="O198" s="1616"/>
      <c r="P198" s="9"/>
      <c r="Q198" s="25" t="s">
        <v>15</v>
      </c>
      <c r="R198" s="31"/>
      <c r="S198" s="32"/>
      <c r="T198" s="31"/>
      <c r="U198" s="33"/>
      <c r="V198" s="1967"/>
      <c r="W198" s="1805"/>
      <c r="X198" s="91"/>
      <c r="Y198" s="1806"/>
      <c r="Z198" s="1968"/>
      <c r="AA198" s="2244"/>
      <c r="AB198" s="1969"/>
      <c r="AC198" s="1365"/>
      <c r="AD198" s="95"/>
      <c r="AE198" s="1326"/>
      <c r="AF198" s="97"/>
      <c r="AG198" s="1737"/>
      <c r="AH198" s="1970"/>
      <c r="AI198" s="99"/>
      <c r="AJ198" s="1809"/>
      <c r="AK198" s="6120" t="str">
        <f t="shared" si="75"/>
        <v>►</v>
      </c>
      <c r="AL198" s="781" t="str">
        <f t="shared" si="77"/>
        <v>►</v>
      </c>
      <c r="AM198" s="5498" t="str">
        <f t="shared" si="80"/>
        <v/>
      </c>
      <c r="AN198" s="783" t="str">
        <f t="shared" si="81"/>
        <v/>
      </c>
      <c r="AO198" s="782" t="str">
        <f t="shared" si="82"/>
        <v/>
      </c>
      <c r="AP198" s="783" t="str">
        <f t="shared" si="83"/>
        <v/>
      </c>
      <c r="AQ198" s="2083" t="b">
        <f>AND(Q198="A",COUNTIF(BP16:BR63,TRIM(Z198))&gt;0)</f>
        <v>0</v>
      </c>
      <c r="AR198" s="797" t="str">
        <f>IF(AL198&lt;&gt;"A","",IFERROR(IFERROR(_xlfn.XLOOKUP(TRIM(SUBSTITUTE(Z198,CHAR(160)," ")),BP16:BP63,BS16:BS63),IFERROR(_xlfn.XLOOKUP(TRIM(SUBSTITUTE(Z198,CHAR(160)," ")),BQ16:BQ63,BS16:BS63),_xlfn.XLOOKUP(TRIM(SUBSTITUTE(Z198,CHAR(160)," ")),BR16:BR63,BS16:BS63)))*Y198*IF(ISBLANK(V198),1,V198),0))</f>
        <v/>
      </c>
      <c r="AS198" s="784" t="str">
        <f t="shared" si="73"/>
        <v/>
      </c>
      <c r="AT198" s="1315" t="str">
        <f t="shared" si="84"/>
        <v/>
      </c>
      <c r="AU198" s="785">
        <f t="shared" si="85"/>
        <v>0</v>
      </c>
      <c r="AV198" s="785">
        <f t="shared" si="86"/>
        <v>0</v>
      </c>
      <c r="AW198" s="798">
        <f>IF(AK198="A",AY10,0)</f>
        <v>0</v>
      </c>
      <c r="AX198" s="5496" t="str">
        <f>IF(IFERROR(SEARCH("Adresse PC",TRIM(W198)),0)&gt;0,"▼ receta siguiente",IF(AK198="A",IF(AZ10&lt;&gt;"",AZ10&amp;" - ou.or.o ❾ + or - &gt;",""),""))</f>
        <v/>
      </c>
      <c r="AY198" s="810"/>
      <c r="AZ198" s="810"/>
      <c r="BA198" s="799" t="str">
        <f t="shared" si="76"/>
        <v/>
      </c>
      <c r="BB198" s="800" t="str">
        <f>IF(AK198="A",IF(AQ198,IF(AND(AW198&lt;&gt;"",N(AW198)&gt;0),IFERROR(IFERROR(_xlfn.XLOOKUP(AP198,BP10:BP57,BT10:BT57),IFERROR(_xlfn.XLOOKUP(AP198,BQ10:BQ57,BT10:BT57),_xlfn.XLOOKUP(AP198,BR10:BR57,BT10:BT57,""))),""),""),""),"")</f>
        <v/>
      </c>
      <c r="BC198" s="813" cm="1">
        <f t="array" ref="BC198">IF(NOT(AQ198),0,IF(OR(BA198="",N(BA198)&lt;=0.000000001),"",IF(OR(AU198="",N(AU198)&lt;=0.000000001),0,IF(ISNUMBER(BA198),IFERROR(_xlfn.LET(_xlpm.ai_test,TRIM(AP198),_xlpm.r,IFERROR(_xlfn.XLOOKUP(_xlpm.ai_test,BP16:BP63,ROW(BP16:BP63),0,1),IFERROR(_xlfn.XLOOKUP(_xlpm.ai_test,BQ16:BQ63,ROW(BQ16:BQ63),0,1),_xlfn.XLOOKUP(_xlpm.ai_test,BR16:BR63,ROW(BR16:BR63),0,1))),_xlpm.p,_xlpm.r-MIN(ROW(BP16:BP63))+1,_xlpm.f,INDEX(BS16:BS63,_xlpm.p),_xlpm.u,INDEX(BT16:BT63,_xlpm.p),_xlpm.s,INDEX(BV16:BV63,_xlpm.p),_xlpm.q,N(BA198)/_xlpm.f,IF(_xlpm.q&gt;=_xlpm.s,ROUND(_xlpm.q,1)&amp;" "&amp;_xlpm.ai_test&amp;" = "&amp;ROUND(_xlpm.q*_xlpm.f,1)&amp;" "&amp;_xlpm.u,ROUND(_xlpm.q,1)&amp;" "&amp;_xlpm.ai_test)),""),""))))</f>
        <v>0</v>
      </c>
      <c r="BD198" s="801"/>
      <c r="BE198" s="799" t="str">
        <f t="shared" si="87"/>
        <v/>
      </c>
      <c r="BF198" s="800" t="str">
        <f t="shared" si="88"/>
        <v/>
      </c>
      <c r="BG198" s="802">
        <f t="shared" si="91"/>
        <v>0</v>
      </c>
      <c r="BH198" s="803" t="str">
        <f t="shared" si="92"/>
        <v/>
      </c>
      <c r="BI198" s="792"/>
      <c r="BJ198" s="804">
        <f t="shared" si="90"/>
        <v>0</v>
      </c>
      <c r="BK198" s="794" t="str">
        <f t="shared" si="89"/>
        <v/>
      </c>
      <c r="BL198" s="227" t="s">
        <v>21</v>
      </c>
      <c r="BM198" s="773">
        <f t="shared" si="78"/>
        <v>0</v>
      </c>
      <c r="BN198" s="774">
        <f t="shared" si="79"/>
        <v>0</v>
      </c>
      <c r="BO198"/>
      <c r="BX198"/>
      <c r="BY198"/>
      <c r="BZ198"/>
      <c r="CA198"/>
      <c r="CB198"/>
      <c r="CC198"/>
      <c r="CD198" s="781" t="str">
        <f t="shared" ref="CD198:CD261" si="93">AL198</f>
        <v>►</v>
      </c>
      <c r="CE198"/>
      <c r="CF198"/>
      <c r="CG198"/>
      <c r="CH198"/>
      <c r="CI198"/>
      <c r="CJ198" s="633"/>
      <c r="CK198"/>
      <c r="CL198"/>
      <c r="CM198"/>
      <c r="CN198"/>
      <c r="CO198"/>
      <c r="CP198"/>
      <c r="CQ198"/>
      <c r="CS198"/>
      <c r="CT198"/>
      <c r="CU198"/>
      <c r="CV198"/>
      <c r="CW198"/>
      <c r="CX198"/>
      <c r="CY198"/>
      <c r="DA198"/>
      <c r="DB198"/>
      <c r="DC198"/>
      <c r="DD198"/>
      <c r="DE198"/>
      <c r="DF198"/>
      <c r="DG198"/>
      <c r="DI198" s="3">
        <v>1</v>
      </c>
    </row>
    <row r="199" spans="1:113" s="627" customFormat="1" ht="21" customHeight="1">
      <c r="A199" s="701" t="s">
        <v>21</v>
      </c>
      <c r="B199" s="2265" t="str" cm="1">
        <f t="array" ref="B199">SUMPRODUCT(--(D199:J199&lt;&gt;""), LEN(TRIM(SUBSTITUTE(D199:J199, CHAR(160), "")))) &amp; " Car."</f>
        <v>0 Car.</v>
      </c>
      <c r="C199" s="1376" t="str">
        <f>IF(ISBLANK(D199),"",LARGE(C13:C198,1)+1)</f>
        <v/>
      </c>
      <c r="D199" s="1833"/>
      <c r="E199" s="1810"/>
      <c r="F199" s="1810"/>
      <c r="G199" s="1810"/>
      <c r="H199" s="1810"/>
      <c r="I199" s="1810"/>
      <c r="J199" s="1810"/>
      <c r="K199" s="1810"/>
      <c r="L199" s="1811"/>
      <c r="M199" s="9"/>
      <c r="N199" s="162" t="str">
        <f t="shared" si="74"/>
        <v>►</v>
      </c>
      <c r="O199" s="1616"/>
      <c r="P199" s="9"/>
      <c r="Q199" s="25" t="s">
        <v>15</v>
      </c>
      <c r="R199" s="31"/>
      <c r="S199" s="32"/>
      <c r="T199" s="31"/>
      <c r="U199" s="33"/>
      <c r="V199" s="1967"/>
      <c r="W199" s="1805"/>
      <c r="X199" s="91"/>
      <c r="Y199" s="1806"/>
      <c r="Z199" s="1968"/>
      <c r="AA199" s="2244"/>
      <c r="AB199" s="1969"/>
      <c r="AC199" s="1365"/>
      <c r="AD199" s="95"/>
      <c r="AE199" s="1326"/>
      <c r="AF199" s="97"/>
      <c r="AG199" s="1737"/>
      <c r="AH199" s="1970"/>
      <c r="AI199" s="99"/>
      <c r="AJ199" s="1809"/>
      <c r="AK199" s="6120" t="str">
        <f t="shared" si="75"/>
        <v>►</v>
      </c>
      <c r="AL199" s="781" t="str">
        <f t="shared" si="77"/>
        <v>►</v>
      </c>
      <c r="AM199" s="5499" t="str">
        <f t="shared" si="80"/>
        <v/>
      </c>
      <c r="AN199" s="783" t="str">
        <f t="shared" si="81"/>
        <v/>
      </c>
      <c r="AO199" s="782" t="str">
        <f t="shared" si="82"/>
        <v/>
      </c>
      <c r="AP199" s="783" t="str">
        <f t="shared" si="83"/>
        <v/>
      </c>
      <c r="AQ199" s="2083" t="b">
        <f>AND(Q199="A",COUNTIF(BP16:BR63,TRIM(Z199))&gt;0)</f>
        <v>0</v>
      </c>
      <c r="AR199" s="797" t="str">
        <f>IF(AL199&lt;&gt;"A","",IFERROR(IFERROR(_xlfn.XLOOKUP(TRIM(SUBSTITUTE(Z199,CHAR(160)," ")),BP16:BP63,BS16:BS63),IFERROR(_xlfn.XLOOKUP(TRIM(SUBSTITUTE(Z199,CHAR(160)," ")),BQ16:BQ63,BS16:BS63),_xlfn.XLOOKUP(TRIM(SUBSTITUTE(Z199,CHAR(160)," ")),BR16:BR63,BS16:BS63)))*Y199*IF(ISBLANK(V199),1,V199),0))</f>
        <v/>
      </c>
      <c r="AS199" s="784" t="str">
        <f t="shared" ref="AS199:AS262" si="94">IF(AK199="A",IF(AND(AQ199,AR199&gt;0),"Kg",""),"")</f>
        <v/>
      </c>
      <c r="AT199" s="1315" t="str">
        <f t="shared" si="84"/>
        <v/>
      </c>
      <c r="AU199" s="785">
        <f t="shared" si="85"/>
        <v>0</v>
      </c>
      <c r="AV199" s="785">
        <f t="shared" si="86"/>
        <v>0</v>
      </c>
      <c r="AW199" s="786">
        <f>IF(AK199="A",AY10,0)</f>
        <v>0</v>
      </c>
      <c r="AX199" s="5495" t="str">
        <f>IF(IFERROR(SEARCH("Adresse PC",TRIM(W199)),0)&gt;0,"▼ receta siguiente",IF(AK199="A",IF(AZ10&lt;&gt;"",AZ10&amp;" - ou.or.o ❾ + or - &gt;",""),""))</f>
        <v/>
      </c>
      <c r="AY199" s="810"/>
      <c r="AZ199" s="810"/>
      <c r="BA199" s="788" t="str">
        <f t="shared" si="76"/>
        <v/>
      </c>
      <c r="BB199" s="789" t="str">
        <f>IF(AK199="A",IF(AQ199,IF(AND(AW199&lt;&gt;"",N(AW199)&gt;0),IFERROR(IFERROR(_xlfn.XLOOKUP(AP199,BP10:BP57,BT10:BT57),IFERROR(_xlfn.XLOOKUP(AP199,BQ10:BQ57,BT10:BT57),_xlfn.XLOOKUP(AP199,BR10:BR57,BT10:BT57,""))),""),""),""),"")</f>
        <v/>
      </c>
      <c r="BC199" s="811" cm="1">
        <f t="array" ref="BC199">IF(NOT(AQ199),0,IF(OR(BA199="",N(BA199)&lt;=0.000000001),"",IF(OR(AU199="",N(AU199)&lt;=0.000000001),0,IF(ISNUMBER(BA199),IFERROR(_xlfn.LET(_xlpm.ai_test,TRIM(AP199),_xlpm.r,IFERROR(_xlfn.XLOOKUP(_xlpm.ai_test,BP16:BP63,ROW(BP16:BP63),0,1),IFERROR(_xlfn.XLOOKUP(_xlpm.ai_test,BQ16:BQ63,ROW(BQ16:BQ63),0,1),_xlfn.XLOOKUP(_xlpm.ai_test,BR16:BR63,ROW(BR16:BR63),0,1))),_xlpm.p,_xlpm.r-MIN(ROW(BP16:BP63))+1,_xlpm.f,INDEX(BS16:BS63,_xlpm.p),_xlpm.u,INDEX(BT16:BT63,_xlpm.p),_xlpm.s,INDEX(BV16:BV63,_xlpm.p),_xlpm.q,N(BA199)/_xlpm.f,IF(_xlpm.q&gt;=_xlpm.s,ROUND(_xlpm.q,1)&amp;" "&amp;_xlpm.ai_test&amp;" = "&amp;ROUND(_xlpm.q*_xlpm.f,1)&amp;" "&amp;_xlpm.u,ROUND(_xlpm.q,1)&amp;" "&amp;_xlpm.ai_test)),""),""))))</f>
        <v>0</v>
      </c>
      <c r="BD199" s="801"/>
      <c r="BE199" s="788" t="str">
        <f t="shared" si="87"/>
        <v/>
      </c>
      <c r="BF199" s="789" t="str">
        <f t="shared" si="88"/>
        <v/>
      </c>
      <c r="BG199" s="790">
        <f t="shared" si="91"/>
        <v>0</v>
      </c>
      <c r="BH199" s="791" t="str">
        <f t="shared" si="92"/>
        <v/>
      </c>
      <c r="BI199" s="792"/>
      <c r="BJ199" s="793">
        <f t="shared" si="90"/>
        <v>0</v>
      </c>
      <c r="BK199" s="794" t="str">
        <f t="shared" si="89"/>
        <v/>
      </c>
      <c r="BL199" s="227" t="s">
        <v>21</v>
      </c>
      <c r="BM199" s="773">
        <f t="shared" si="78"/>
        <v>0</v>
      </c>
      <c r="BN199" s="774">
        <f t="shared" si="79"/>
        <v>0</v>
      </c>
      <c r="BO199"/>
      <c r="BX199"/>
      <c r="BY199"/>
      <c r="BZ199"/>
      <c r="CA199"/>
      <c r="CB199"/>
      <c r="CC199"/>
      <c r="CD199" s="781" t="str">
        <f t="shared" si="93"/>
        <v>►</v>
      </c>
      <c r="CE199"/>
      <c r="CF199"/>
      <c r="CG199"/>
      <c r="CH199"/>
      <c r="CI199"/>
      <c r="CJ199" s="633"/>
      <c r="CK199"/>
      <c r="CL199"/>
      <c r="CM199"/>
      <c r="CN199"/>
      <c r="CO199"/>
      <c r="CP199"/>
      <c r="CQ199"/>
      <c r="CS199"/>
      <c r="CT199"/>
      <c r="CU199"/>
      <c r="CV199"/>
      <c r="CW199"/>
      <c r="CX199"/>
      <c r="CY199"/>
      <c r="DA199"/>
      <c r="DB199"/>
      <c r="DC199"/>
      <c r="DD199"/>
      <c r="DE199"/>
      <c r="DF199"/>
      <c r="DG199"/>
      <c r="DI199" s="3">
        <v>1</v>
      </c>
    </row>
    <row r="200" spans="1:113" s="627" customFormat="1" ht="21" customHeight="1">
      <c r="A200" s="701" t="s">
        <v>21</v>
      </c>
      <c r="B200" s="2265" t="str" cm="1">
        <f t="array" ref="B200">SUMPRODUCT(--(D200:J200&lt;&gt;""), LEN(TRIM(SUBSTITUTE(D200:J200, CHAR(160), "")))) &amp; " Car."</f>
        <v>0 Car.</v>
      </c>
      <c r="C200" s="1376" t="str">
        <f>IF(ISBLANK(D200),"",LARGE(C13:C199,1)+1)</f>
        <v/>
      </c>
      <c r="D200" s="1833"/>
      <c r="E200" s="1810"/>
      <c r="F200" s="1810"/>
      <c r="G200" s="1810"/>
      <c r="H200" s="1810"/>
      <c r="I200" s="1810"/>
      <c r="J200" s="1810"/>
      <c r="K200" s="1810"/>
      <c r="L200" s="1811"/>
      <c r="M200" s="9"/>
      <c r="N200" s="162" t="str">
        <f t="shared" si="74"/>
        <v>►</v>
      </c>
      <c r="O200" s="1616"/>
      <c r="P200" s="9"/>
      <c r="Q200" s="25" t="s">
        <v>15</v>
      </c>
      <c r="R200" s="31"/>
      <c r="S200" s="32"/>
      <c r="T200" s="31"/>
      <c r="U200" s="33"/>
      <c r="V200" s="1967"/>
      <c r="W200" s="1805"/>
      <c r="X200" s="91"/>
      <c r="Y200" s="1806"/>
      <c r="Z200" s="1968"/>
      <c r="AA200" s="2244"/>
      <c r="AB200" s="1969"/>
      <c r="AC200" s="1365"/>
      <c r="AD200" s="95"/>
      <c r="AE200" s="1326"/>
      <c r="AF200" s="97"/>
      <c r="AG200" s="1737"/>
      <c r="AH200" s="1970"/>
      <c r="AI200" s="99"/>
      <c r="AJ200" s="1809"/>
      <c r="AK200" s="6120" t="str">
        <f t="shared" si="75"/>
        <v>►</v>
      </c>
      <c r="AL200" s="781" t="str">
        <f t="shared" si="77"/>
        <v>►</v>
      </c>
      <c r="AM200" s="5498" t="str">
        <f t="shared" si="80"/>
        <v/>
      </c>
      <c r="AN200" s="783" t="str">
        <f t="shared" si="81"/>
        <v/>
      </c>
      <c r="AO200" s="782" t="str">
        <f t="shared" si="82"/>
        <v/>
      </c>
      <c r="AP200" s="783" t="str">
        <f t="shared" si="83"/>
        <v/>
      </c>
      <c r="AQ200" s="2083" t="b">
        <f>AND(Q200="A",COUNTIF(BP16:BR63,TRIM(Z200))&gt;0)</f>
        <v>0</v>
      </c>
      <c r="AR200" s="797" t="str">
        <f>IF(AL200&lt;&gt;"A","",IFERROR(IFERROR(_xlfn.XLOOKUP(TRIM(SUBSTITUTE(Z200,CHAR(160)," ")),BP16:BP63,BS16:BS63),IFERROR(_xlfn.XLOOKUP(TRIM(SUBSTITUTE(Z200,CHAR(160)," ")),BQ16:BQ63,BS16:BS63),_xlfn.XLOOKUP(TRIM(SUBSTITUTE(Z200,CHAR(160)," ")),BR16:BR63,BS16:BS63)))*Y200*IF(ISBLANK(V200),1,V200),0))</f>
        <v/>
      </c>
      <c r="AS200" s="784" t="str">
        <f t="shared" si="94"/>
        <v/>
      </c>
      <c r="AT200" s="1315" t="str">
        <f t="shared" si="84"/>
        <v/>
      </c>
      <c r="AU200" s="785">
        <f t="shared" si="85"/>
        <v>0</v>
      </c>
      <c r="AV200" s="785">
        <f t="shared" si="86"/>
        <v>0</v>
      </c>
      <c r="AW200" s="798">
        <f>IF(AK200="A",AY10,0)</f>
        <v>0</v>
      </c>
      <c r="AX200" s="5496" t="str">
        <f>IF(IFERROR(SEARCH("Adresse PC",TRIM(W200)),0)&gt;0,"▼ receta siguiente",IF(AK200="A",IF(AZ10&lt;&gt;"",AZ10&amp;" - ou.or.o ❾ + or - &gt;",""),""))</f>
        <v/>
      </c>
      <c r="AY200" s="810"/>
      <c r="AZ200" s="810"/>
      <c r="BA200" s="799" t="str">
        <f t="shared" si="76"/>
        <v/>
      </c>
      <c r="BB200" s="800" t="str">
        <f>IF(AK200="A",IF(AQ200,IF(AND(AW200&lt;&gt;"",N(AW200)&gt;0),IFERROR(IFERROR(_xlfn.XLOOKUP(AP200,BP10:BP57,BT10:BT57),IFERROR(_xlfn.XLOOKUP(AP200,BQ10:BQ57,BT10:BT57),_xlfn.XLOOKUP(AP200,BR10:BR57,BT10:BT57,""))),""),""),""),"")</f>
        <v/>
      </c>
      <c r="BC200" s="813" cm="1">
        <f t="array" ref="BC200">IF(NOT(AQ200),0,IF(OR(BA200="",N(BA200)&lt;=0.000000001),"",IF(OR(AU200="",N(AU200)&lt;=0.000000001),0,IF(ISNUMBER(BA200),IFERROR(_xlfn.LET(_xlpm.ai_test,TRIM(AP200),_xlpm.r,IFERROR(_xlfn.XLOOKUP(_xlpm.ai_test,BP16:BP63,ROW(BP16:BP63),0,1),IFERROR(_xlfn.XLOOKUP(_xlpm.ai_test,BQ16:BQ63,ROW(BQ16:BQ63),0,1),_xlfn.XLOOKUP(_xlpm.ai_test,BR16:BR63,ROW(BR16:BR63),0,1))),_xlpm.p,_xlpm.r-MIN(ROW(BP16:BP63))+1,_xlpm.f,INDEX(BS16:BS63,_xlpm.p),_xlpm.u,INDEX(BT16:BT63,_xlpm.p),_xlpm.s,INDEX(BV16:BV63,_xlpm.p),_xlpm.q,N(BA200)/_xlpm.f,IF(_xlpm.q&gt;=_xlpm.s,ROUND(_xlpm.q,1)&amp;" "&amp;_xlpm.ai_test&amp;" = "&amp;ROUND(_xlpm.q*_xlpm.f,1)&amp;" "&amp;_xlpm.u,ROUND(_xlpm.q,1)&amp;" "&amp;_xlpm.ai_test)),""),""))))</f>
        <v>0</v>
      </c>
      <c r="BD200" s="801"/>
      <c r="BE200" s="799" t="str">
        <f t="shared" si="87"/>
        <v/>
      </c>
      <c r="BF200" s="800" t="str">
        <f t="shared" si="88"/>
        <v/>
      </c>
      <c r="BG200" s="802">
        <f t="shared" si="91"/>
        <v>0</v>
      </c>
      <c r="BH200" s="803" t="str">
        <f t="shared" si="92"/>
        <v/>
      </c>
      <c r="BI200" s="792"/>
      <c r="BJ200" s="804">
        <f t="shared" si="90"/>
        <v>0</v>
      </c>
      <c r="BK200" s="794" t="str">
        <f t="shared" si="89"/>
        <v/>
      </c>
      <c r="BL200" s="227" t="s">
        <v>21</v>
      </c>
      <c r="BM200" s="773">
        <f t="shared" si="78"/>
        <v>0</v>
      </c>
      <c r="BN200" s="774">
        <f t="shared" si="79"/>
        <v>0</v>
      </c>
      <c r="BO200"/>
      <c r="BX200"/>
      <c r="BY200"/>
      <c r="BZ200"/>
      <c r="CA200"/>
      <c r="CB200"/>
      <c r="CC200"/>
      <c r="CD200" s="781" t="str">
        <f t="shared" si="93"/>
        <v>►</v>
      </c>
      <c r="CE200"/>
      <c r="CF200"/>
      <c r="CG200"/>
      <c r="CH200"/>
      <c r="CI200"/>
      <c r="CJ200" s="633"/>
      <c r="CK200"/>
      <c r="CL200"/>
      <c r="CM200"/>
      <c r="CN200"/>
      <c r="CO200"/>
      <c r="CP200"/>
      <c r="CQ200"/>
      <c r="CS200"/>
      <c r="CT200"/>
      <c r="CU200"/>
      <c r="CV200"/>
      <c r="CW200"/>
      <c r="CX200"/>
      <c r="CY200"/>
      <c r="DA200"/>
      <c r="DB200"/>
      <c r="DC200"/>
      <c r="DD200"/>
      <c r="DE200"/>
      <c r="DF200"/>
      <c r="DG200"/>
      <c r="DI200" s="3">
        <v>1</v>
      </c>
    </row>
    <row r="201" spans="1:113" s="627" customFormat="1" ht="21" customHeight="1">
      <c r="A201" s="701" t="s">
        <v>21</v>
      </c>
      <c r="B201" s="2265" t="str" cm="1">
        <f t="array" ref="B201">SUMPRODUCT(--(D201:J201&lt;&gt;""), LEN(TRIM(SUBSTITUTE(D201:J201, CHAR(160), "")))) &amp; " Car."</f>
        <v>0 Car.</v>
      </c>
      <c r="C201" s="1376" t="str">
        <f>IF(ISBLANK(D201),"",LARGE(C13:C200,1)+1)</f>
        <v/>
      </c>
      <c r="D201" s="1833"/>
      <c r="E201" s="1810"/>
      <c r="F201" s="1810"/>
      <c r="G201" s="1810"/>
      <c r="H201" s="1810"/>
      <c r="I201" s="1810"/>
      <c r="J201" s="1810"/>
      <c r="K201" s="1810"/>
      <c r="L201" s="1811"/>
      <c r="M201" s="9"/>
      <c r="N201" s="162" t="str">
        <f t="shared" si="74"/>
        <v>►</v>
      </c>
      <c r="O201" s="1616"/>
      <c r="P201" s="9"/>
      <c r="Q201" s="25" t="s">
        <v>15</v>
      </c>
      <c r="R201" s="31"/>
      <c r="S201" s="32"/>
      <c r="T201" s="31"/>
      <c r="U201" s="33"/>
      <c r="V201" s="1967"/>
      <c r="W201" s="1805"/>
      <c r="X201" s="91"/>
      <c r="Y201" s="1806"/>
      <c r="Z201" s="1968"/>
      <c r="AA201" s="2244"/>
      <c r="AB201" s="1969"/>
      <c r="AC201" s="1365"/>
      <c r="AD201" s="95"/>
      <c r="AE201" s="1326"/>
      <c r="AF201" s="97"/>
      <c r="AG201" s="1737"/>
      <c r="AH201" s="1970"/>
      <c r="AI201" s="99"/>
      <c r="AJ201" s="1809"/>
      <c r="AK201" s="6120" t="str">
        <f t="shared" si="75"/>
        <v>►</v>
      </c>
      <c r="AL201" s="781" t="str">
        <f t="shared" si="77"/>
        <v>►</v>
      </c>
      <c r="AM201" s="5499" t="str">
        <f t="shared" si="80"/>
        <v/>
      </c>
      <c r="AN201" s="783" t="str">
        <f t="shared" si="81"/>
        <v/>
      </c>
      <c r="AO201" s="782" t="str">
        <f t="shared" si="82"/>
        <v/>
      </c>
      <c r="AP201" s="783" t="str">
        <f t="shared" si="83"/>
        <v/>
      </c>
      <c r="AQ201" s="2083" t="b">
        <f>AND(Q201="A",COUNTIF(BP16:BR63,TRIM(Z201))&gt;0)</f>
        <v>0</v>
      </c>
      <c r="AR201" s="797" t="str">
        <f>IF(AL201&lt;&gt;"A","",IFERROR(IFERROR(_xlfn.XLOOKUP(TRIM(SUBSTITUTE(Z201,CHAR(160)," ")),BP16:BP63,BS16:BS63),IFERROR(_xlfn.XLOOKUP(TRIM(SUBSTITUTE(Z201,CHAR(160)," ")),BQ16:BQ63,BS16:BS63),_xlfn.XLOOKUP(TRIM(SUBSTITUTE(Z201,CHAR(160)," ")),BR16:BR63,BS16:BS63)))*Y201*IF(ISBLANK(V201),1,V201),0))</f>
        <v/>
      </c>
      <c r="AS201" s="784" t="str">
        <f t="shared" si="94"/>
        <v/>
      </c>
      <c r="AT201" s="1315" t="str">
        <f t="shared" si="84"/>
        <v/>
      </c>
      <c r="AU201" s="785">
        <f t="shared" si="85"/>
        <v>0</v>
      </c>
      <c r="AV201" s="785">
        <f t="shared" si="86"/>
        <v>0</v>
      </c>
      <c r="AW201" s="786">
        <f>IF(AK201="A",AY10,0)</f>
        <v>0</v>
      </c>
      <c r="AX201" s="5495" t="str">
        <f>IF(IFERROR(SEARCH("Adresse PC",TRIM(W201)),0)&gt;0,"▼ receta siguiente",IF(AK201="A",IF(AZ10&lt;&gt;"",AZ10&amp;" - ou.or.o ❾ + or - &gt;",""),""))</f>
        <v/>
      </c>
      <c r="AY201" s="810"/>
      <c r="AZ201" s="810"/>
      <c r="BA201" s="788" t="str">
        <f t="shared" si="76"/>
        <v/>
      </c>
      <c r="BB201" s="789" t="str">
        <f>IF(AK201="A",IF(AQ201,IF(AND(AW201&lt;&gt;"",N(AW201)&gt;0),IFERROR(IFERROR(_xlfn.XLOOKUP(AP201,BP10:BP57,BT10:BT57),IFERROR(_xlfn.XLOOKUP(AP201,BQ10:BQ57,BT10:BT57),_xlfn.XLOOKUP(AP201,BR10:BR57,BT10:BT57,""))),""),""),""),"")</f>
        <v/>
      </c>
      <c r="BC201" s="811" cm="1">
        <f t="array" ref="BC201">IF(NOT(AQ201),0,IF(OR(BA201="",N(BA201)&lt;=0.000000001),"",IF(OR(AU201="",N(AU201)&lt;=0.000000001),0,IF(ISNUMBER(BA201),IFERROR(_xlfn.LET(_xlpm.ai_test,TRIM(AP201),_xlpm.r,IFERROR(_xlfn.XLOOKUP(_xlpm.ai_test,BP16:BP63,ROW(BP16:BP63),0,1),IFERROR(_xlfn.XLOOKUP(_xlpm.ai_test,BQ16:BQ63,ROW(BQ16:BQ63),0,1),_xlfn.XLOOKUP(_xlpm.ai_test,BR16:BR63,ROW(BR16:BR63),0,1))),_xlpm.p,_xlpm.r-MIN(ROW(BP16:BP63))+1,_xlpm.f,INDEX(BS16:BS63,_xlpm.p),_xlpm.u,INDEX(BT16:BT63,_xlpm.p),_xlpm.s,INDEX(BV16:BV63,_xlpm.p),_xlpm.q,N(BA201)/_xlpm.f,IF(_xlpm.q&gt;=_xlpm.s,ROUND(_xlpm.q,1)&amp;" "&amp;_xlpm.ai_test&amp;" = "&amp;ROUND(_xlpm.q*_xlpm.f,1)&amp;" "&amp;_xlpm.u,ROUND(_xlpm.q,1)&amp;" "&amp;_xlpm.ai_test)),""),""))))</f>
        <v>0</v>
      </c>
      <c r="BD201" s="801"/>
      <c r="BE201" s="788" t="str">
        <f t="shared" si="87"/>
        <v/>
      </c>
      <c r="BF201" s="789" t="str">
        <f t="shared" si="88"/>
        <v/>
      </c>
      <c r="BG201" s="790">
        <f t="shared" si="91"/>
        <v>0</v>
      </c>
      <c r="BH201" s="791" t="str">
        <f t="shared" si="92"/>
        <v/>
      </c>
      <c r="BI201" s="792"/>
      <c r="BJ201" s="793">
        <f t="shared" si="90"/>
        <v>0</v>
      </c>
      <c r="BK201" s="794" t="str">
        <f t="shared" si="89"/>
        <v/>
      </c>
      <c r="BL201" s="227" t="s">
        <v>21</v>
      </c>
      <c r="BM201" s="773">
        <f t="shared" si="78"/>
        <v>0</v>
      </c>
      <c r="BN201" s="774">
        <f t="shared" si="79"/>
        <v>0</v>
      </c>
      <c r="BO201"/>
      <c r="BX201"/>
      <c r="BY201"/>
      <c r="BZ201"/>
      <c r="CA201"/>
      <c r="CB201"/>
      <c r="CC201"/>
      <c r="CD201" s="781" t="str">
        <f t="shared" si="93"/>
        <v>►</v>
      </c>
      <c r="CE201"/>
      <c r="CF201"/>
      <c r="CG201"/>
      <c r="CH201"/>
      <c r="CI201"/>
      <c r="CJ201" s="633"/>
      <c r="CK201"/>
      <c r="CL201"/>
      <c r="CM201"/>
      <c r="CN201"/>
      <c r="CO201"/>
      <c r="CP201"/>
      <c r="CQ201"/>
      <c r="CS201"/>
      <c r="CT201"/>
      <c r="CU201"/>
      <c r="CV201"/>
      <c r="CW201"/>
      <c r="CX201"/>
      <c r="CY201"/>
      <c r="DA201"/>
      <c r="DB201"/>
      <c r="DC201"/>
      <c r="DD201"/>
      <c r="DE201"/>
      <c r="DF201"/>
      <c r="DG201"/>
      <c r="DI201" s="3">
        <v>1</v>
      </c>
    </row>
    <row r="202" spans="1:113" s="627" customFormat="1" ht="21" customHeight="1">
      <c r="A202" s="701" t="s">
        <v>21</v>
      </c>
      <c r="B202" s="2265" t="str" cm="1">
        <f t="array" ref="B202">SUMPRODUCT(--(D202:J202&lt;&gt;""), LEN(TRIM(SUBSTITUTE(D202:J202, CHAR(160), "")))) &amp; " Car."</f>
        <v>0 Car.</v>
      </c>
      <c r="C202" s="1376" t="str">
        <f>IF(ISBLANK(D202),"",LARGE(C13:C201,1)+1)</f>
        <v/>
      </c>
      <c r="D202" s="1833"/>
      <c r="E202" s="1810"/>
      <c r="F202" s="1810"/>
      <c r="G202" s="1810"/>
      <c r="H202" s="1810"/>
      <c r="I202" s="1810"/>
      <c r="J202" s="1810"/>
      <c r="K202" s="1810"/>
      <c r="L202" s="1811"/>
      <c r="M202" s="9"/>
      <c r="N202" s="162" t="str">
        <f t="shared" si="74"/>
        <v>►</v>
      </c>
      <c r="O202" s="1616"/>
      <c r="P202" s="9"/>
      <c r="Q202" s="25" t="s">
        <v>15</v>
      </c>
      <c r="R202" s="31"/>
      <c r="S202" s="32"/>
      <c r="T202" s="31"/>
      <c r="U202" s="33"/>
      <c r="V202" s="1967"/>
      <c r="W202" s="1805"/>
      <c r="X202" s="91"/>
      <c r="Y202" s="1806"/>
      <c r="Z202" s="1968"/>
      <c r="AA202" s="2244"/>
      <c r="AB202" s="1969"/>
      <c r="AC202" s="1365"/>
      <c r="AD202" s="95"/>
      <c r="AE202" s="1326"/>
      <c r="AF202" s="97"/>
      <c r="AG202" s="1737"/>
      <c r="AH202" s="1970"/>
      <c r="AI202" s="99"/>
      <c r="AJ202" s="1809"/>
      <c r="AK202" s="6120" t="str">
        <f t="shared" si="75"/>
        <v>►</v>
      </c>
      <c r="AL202" s="781" t="str">
        <f t="shared" si="77"/>
        <v>►</v>
      </c>
      <c r="AM202" s="5498" t="str">
        <f t="shared" si="80"/>
        <v/>
      </c>
      <c r="AN202" s="783" t="str">
        <f t="shared" si="81"/>
        <v/>
      </c>
      <c r="AO202" s="782" t="str">
        <f t="shared" si="82"/>
        <v/>
      </c>
      <c r="AP202" s="783" t="str">
        <f t="shared" si="83"/>
        <v/>
      </c>
      <c r="AQ202" s="2083" t="b">
        <f>AND(Q202="A",COUNTIF(BP16:BR63,TRIM(Z202))&gt;0)</f>
        <v>0</v>
      </c>
      <c r="AR202" s="797" t="str">
        <f>IF(AL202&lt;&gt;"A","",IFERROR(IFERROR(_xlfn.XLOOKUP(TRIM(SUBSTITUTE(Z202,CHAR(160)," ")),BP16:BP63,BS16:BS63),IFERROR(_xlfn.XLOOKUP(TRIM(SUBSTITUTE(Z202,CHAR(160)," ")),BQ16:BQ63,BS16:BS63),_xlfn.XLOOKUP(TRIM(SUBSTITUTE(Z202,CHAR(160)," ")),BR16:BR63,BS16:BS63)))*Y202*IF(ISBLANK(V202),1,V202),0))</f>
        <v/>
      </c>
      <c r="AS202" s="784" t="str">
        <f t="shared" si="94"/>
        <v/>
      </c>
      <c r="AT202" s="1315" t="str">
        <f t="shared" si="84"/>
        <v/>
      </c>
      <c r="AU202" s="785">
        <f t="shared" si="85"/>
        <v>0</v>
      </c>
      <c r="AV202" s="785">
        <f t="shared" si="86"/>
        <v>0</v>
      </c>
      <c r="AW202" s="798">
        <f>IF(AK202="A",AY10,0)</f>
        <v>0</v>
      </c>
      <c r="AX202" s="5496" t="str">
        <f>IF(IFERROR(SEARCH("Adresse PC",TRIM(W202)),0)&gt;0,"▼ receta siguiente",IF(AK202="A",IF(AZ10&lt;&gt;"",AZ10&amp;" - ou.or.o ❾ + or - &gt;",""),""))</f>
        <v/>
      </c>
      <c r="AY202" s="810"/>
      <c r="AZ202" s="810"/>
      <c r="BA202" s="799" t="str">
        <f t="shared" si="76"/>
        <v/>
      </c>
      <c r="BB202" s="800" t="str">
        <f>IF(AK202="A",IF(AQ202,IF(AND(AW202&lt;&gt;"",N(AW202)&gt;0),IFERROR(IFERROR(_xlfn.XLOOKUP(AP202,BP10:BP57,BT10:BT57),IFERROR(_xlfn.XLOOKUP(AP202,BQ10:BQ57,BT10:BT57),_xlfn.XLOOKUP(AP202,BR10:BR57,BT10:BT57,""))),""),""),""),"")</f>
        <v/>
      </c>
      <c r="BC202" s="813" cm="1">
        <f t="array" ref="BC202">IF(NOT(AQ202),0,IF(OR(BA202="",N(BA202)&lt;=0.000000001),"",IF(OR(AU202="",N(AU202)&lt;=0.000000001),0,IF(ISNUMBER(BA202),IFERROR(_xlfn.LET(_xlpm.ai_test,TRIM(AP202),_xlpm.r,IFERROR(_xlfn.XLOOKUP(_xlpm.ai_test,BP16:BP63,ROW(BP16:BP63),0,1),IFERROR(_xlfn.XLOOKUP(_xlpm.ai_test,BQ16:BQ63,ROW(BQ16:BQ63),0,1),_xlfn.XLOOKUP(_xlpm.ai_test,BR16:BR63,ROW(BR16:BR63),0,1))),_xlpm.p,_xlpm.r-MIN(ROW(BP16:BP63))+1,_xlpm.f,INDEX(BS16:BS63,_xlpm.p),_xlpm.u,INDEX(BT16:BT63,_xlpm.p),_xlpm.s,INDEX(BV16:BV63,_xlpm.p),_xlpm.q,N(BA202)/_xlpm.f,IF(_xlpm.q&gt;=_xlpm.s,ROUND(_xlpm.q,1)&amp;" "&amp;_xlpm.ai_test&amp;" = "&amp;ROUND(_xlpm.q*_xlpm.f,1)&amp;" "&amp;_xlpm.u,ROUND(_xlpm.q,1)&amp;" "&amp;_xlpm.ai_test)),""),""))))</f>
        <v>0</v>
      </c>
      <c r="BD202" s="801"/>
      <c r="BE202" s="799" t="str">
        <f t="shared" si="87"/>
        <v/>
      </c>
      <c r="BF202" s="800" t="str">
        <f t="shared" si="88"/>
        <v/>
      </c>
      <c r="BG202" s="802">
        <f t="shared" si="91"/>
        <v>0</v>
      </c>
      <c r="BH202" s="803" t="str">
        <f t="shared" si="92"/>
        <v/>
      </c>
      <c r="BI202" s="792"/>
      <c r="BJ202" s="804">
        <f t="shared" si="90"/>
        <v>0</v>
      </c>
      <c r="BK202" s="794" t="str">
        <f t="shared" si="89"/>
        <v/>
      </c>
      <c r="BL202" s="227" t="s">
        <v>21</v>
      </c>
      <c r="BM202" s="773">
        <f t="shared" si="78"/>
        <v>0</v>
      </c>
      <c r="BN202" s="774">
        <f t="shared" si="79"/>
        <v>0</v>
      </c>
      <c r="BO202"/>
      <c r="BX202"/>
      <c r="BY202"/>
      <c r="BZ202"/>
      <c r="CA202"/>
      <c r="CB202"/>
      <c r="CC202"/>
      <c r="CD202" s="781" t="str">
        <f t="shared" si="93"/>
        <v>►</v>
      </c>
      <c r="CE202"/>
      <c r="CF202"/>
      <c r="CG202"/>
      <c r="CH202"/>
      <c r="CI202"/>
      <c r="CJ202" s="633"/>
      <c r="CK202"/>
      <c r="CL202"/>
      <c r="CM202"/>
      <c r="CN202"/>
      <c r="CO202"/>
      <c r="CP202"/>
      <c r="CQ202"/>
      <c r="CS202"/>
      <c r="CT202"/>
      <c r="CU202"/>
      <c r="CV202"/>
      <c r="CW202"/>
      <c r="CX202"/>
      <c r="CY202"/>
      <c r="DA202"/>
      <c r="DB202"/>
      <c r="DC202"/>
      <c r="DD202"/>
      <c r="DE202"/>
      <c r="DF202"/>
      <c r="DG202"/>
      <c r="DI202" s="3">
        <v>1</v>
      </c>
    </row>
    <row r="203" spans="1:113" s="627" customFormat="1" ht="21" customHeight="1">
      <c r="A203" s="701" t="s">
        <v>21</v>
      </c>
      <c r="B203" s="2265" t="str" cm="1">
        <f t="array" ref="B203">SUMPRODUCT(--(D203:J203&lt;&gt;""), LEN(TRIM(SUBSTITUTE(D203:J203, CHAR(160), "")))) &amp; " Car."</f>
        <v>0 Car.</v>
      </c>
      <c r="C203" s="1376" t="str">
        <f>IF(ISBLANK(D203),"",LARGE(C13:C202,1)+1)</f>
        <v/>
      </c>
      <c r="D203" s="1833"/>
      <c r="E203" s="1810"/>
      <c r="F203" s="1810"/>
      <c r="G203" s="1810"/>
      <c r="H203" s="1810"/>
      <c r="I203" s="1810"/>
      <c r="J203" s="1810"/>
      <c r="K203" s="1810"/>
      <c r="L203" s="1811"/>
      <c r="M203" s="9"/>
      <c r="N203" s="162" t="str">
        <f t="shared" si="74"/>
        <v>►</v>
      </c>
      <c r="O203" s="1616"/>
      <c r="P203" s="9"/>
      <c r="Q203" s="25" t="s">
        <v>15</v>
      </c>
      <c r="R203" s="31"/>
      <c r="S203" s="32"/>
      <c r="T203" s="31"/>
      <c r="U203" s="33"/>
      <c r="V203" s="1967"/>
      <c r="W203" s="1805"/>
      <c r="X203" s="91"/>
      <c r="Y203" s="1806"/>
      <c r="Z203" s="1968"/>
      <c r="AA203" s="2244"/>
      <c r="AB203" s="1969"/>
      <c r="AC203" s="1365"/>
      <c r="AD203" s="95"/>
      <c r="AE203" s="1326"/>
      <c r="AF203" s="97"/>
      <c r="AG203" s="1737"/>
      <c r="AH203" s="1970"/>
      <c r="AI203" s="99"/>
      <c r="AJ203" s="1809"/>
      <c r="AK203" s="6120" t="str">
        <f t="shared" si="75"/>
        <v>►</v>
      </c>
      <c r="AL203" s="781" t="str">
        <f t="shared" si="77"/>
        <v>►</v>
      </c>
      <c r="AM203" s="5499" t="str">
        <f t="shared" si="80"/>
        <v/>
      </c>
      <c r="AN203" s="783" t="str">
        <f t="shared" si="81"/>
        <v/>
      </c>
      <c r="AO203" s="782" t="str">
        <f t="shared" si="82"/>
        <v/>
      </c>
      <c r="AP203" s="783" t="str">
        <f t="shared" si="83"/>
        <v/>
      </c>
      <c r="AQ203" s="2083" t="b">
        <f>AND(Q203="A",COUNTIF(BP16:BR63,TRIM(Z203))&gt;0)</f>
        <v>0</v>
      </c>
      <c r="AR203" s="797" t="str">
        <f>IF(AL203&lt;&gt;"A","",IFERROR(IFERROR(_xlfn.XLOOKUP(TRIM(SUBSTITUTE(Z203,CHAR(160)," ")),BP16:BP63,BS16:BS63),IFERROR(_xlfn.XLOOKUP(TRIM(SUBSTITUTE(Z203,CHAR(160)," ")),BQ16:BQ63,BS16:BS63),_xlfn.XLOOKUP(TRIM(SUBSTITUTE(Z203,CHAR(160)," ")),BR16:BR63,BS16:BS63)))*Y203*IF(ISBLANK(V203),1,V203),0))</f>
        <v/>
      </c>
      <c r="AS203" s="784" t="str">
        <f t="shared" si="94"/>
        <v/>
      </c>
      <c r="AT203" s="1315" t="str">
        <f t="shared" si="84"/>
        <v/>
      </c>
      <c r="AU203" s="785">
        <f t="shared" si="85"/>
        <v>0</v>
      </c>
      <c r="AV203" s="785">
        <f t="shared" si="86"/>
        <v>0</v>
      </c>
      <c r="AW203" s="786">
        <f>IF(AK203="A",AY10,0)</f>
        <v>0</v>
      </c>
      <c r="AX203" s="5495" t="str">
        <f>IF(IFERROR(SEARCH("Adresse PC",TRIM(W203)),0)&gt;0,"▼ receta siguiente",IF(AK203="A",IF(AZ10&lt;&gt;"",AZ10&amp;" - ou.or.o ❾ + or - &gt;",""),""))</f>
        <v/>
      </c>
      <c r="AY203" s="810"/>
      <c r="AZ203" s="810"/>
      <c r="BA203" s="788" t="str">
        <f t="shared" si="76"/>
        <v/>
      </c>
      <c r="BB203" s="789" t="str">
        <f>IF(AK203="A",IF(AQ203,IF(AND(AW203&lt;&gt;"",N(AW203)&gt;0),IFERROR(IFERROR(_xlfn.XLOOKUP(AP203,BP10:BP57,BT10:BT57),IFERROR(_xlfn.XLOOKUP(AP203,BQ10:BQ57,BT10:BT57),_xlfn.XLOOKUP(AP203,BR10:BR57,BT10:BT57,""))),""),""),""),"")</f>
        <v/>
      </c>
      <c r="BC203" s="811" cm="1">
        <f t="array" ref="BC203">IF(NOT(AQ203),0,IF(OR(BA203="",N(BA203)&lt;=0.000000001),"",IF(OR(AU203="",N(AU203)&lt;=0.000000001),0,IF(ISNUMBER(BA203),IFERROR(_xlfn.LET(_xlpm.ai_test,TRIM(AP203),_xlpm.r,IFERROR(_xlfn.XLOOKUP(_xlpm.ai_test,BP16:BP63,ROW(BP16:BP63),0,1),IFERROR(_xlfn.XLOOKUP(_xlpm.ai_test,BQ16:BQ63,ROW(BQ16:BQ63),0,1),_xlfn.XLOOKUP(_xlpm.ai_test,BR16:BR63,ROW(BR16:BR63),0,1))),_xlpm.p,_xlpm.r-MIN(ROW(BP16:BP63))+1,_xlpm.f,INDEX(BS16:BS63,_xlpm.p),_xlpm.u,INDEX(BT16:BT63,_xlpm.p),_xlpm.s,INDEX(BV16:BV63,_xlpm.p),_xlpm.q,N(BA203)/_xlpm.f,IF(_xlpm.q&gt;=_xlpm.s,ROUND(_xlpm.q,1)&amp;" "&amp;_xlpm.ai_test&amp;" = "&amp;ROUND(_xlpm.q*_xlpm.f,1)&amp;" "&amp;_xlpm.u,ROUND(_xlpm.q,1)&amp;" "&amp;_xlpm.ai_test)),""),""))))</f>
        <v>0</v>
      </c>
      <c r="BD203" s="801"/>
      <c r="BE203" s="788" t="str">
        <f t="shared" si="87"/>
        <v/>
      </c>
      <c r="BF203" s="789" t="str">
        <f t="shared" si="88"/>
        <v/>
      </c>
      <c r="BG203" s="790">
        <f t="shared" si="91"/>
        <v>0</v>
      </c>
      <c r="BH203" s="791" t="str">
        <f t="shared" si="92"/>
        <v/>
      </c>
      <c r="BI203" s="792"/>
      <c r="BJ203" s="793">
        <f t="shared" si="90"/>
        <v>0</v>
      </c>
      <c r="BK203" s="794" t="str">
        <f t="shared" si="89"/>
        <v/>
      </c>
      <c r="BL203" s="227" t="s">
        <v>21</v>
      </c>
      <c r="BM203" s="773">
        <f t="shared" si="78"/>
        <v>0</v>
      </c>
      <c r="BN203" s="774">
        <f t="shared" si="79"/>
        <v>0</v>
      </c>
      <c r="BO203"/>
      <c r="BX203"/>
      <c r="BY203"/>
      <c r="BZ203"/>
      <c r="CA203"/>
      <c r="CB203"/>
      <c r="CC203"/>
      <c r="CD203" s="781" t="str">
        <f t="shared" si="93"/>
        <v>►</v>
      </c>
      <c r="CE203"/>
      <c r="CF203"/>
      <c r="CG203"/>
      <c r="CH203"/>
      <c r="CI203"/>
      <c r="CJ203" s="633"/>
      <c r="CK203"/>
      <c r="CL203"/>
      <c r="CM203"/>
      <c r="CN203"/>
      <c r="CO203"/>
      <c r="CP203"/>
      <c r="CQ203"/>
      <c r="CS203"/>
      <c r="CT203"/>
      <c r="CU203"/>
      <c r="CV203"/>
      <c r="CW203"/>
      <c r="CX203"/>
      <c r="CY203"/>
      <c r="DA203"/>
      <c r="DB203"/>
      <c r="DC203"/>
      <c r="DD203"/>
      <c r="DE203"/>
      <c r="DF203"/>
      <c r="DG203"/>
      <c r="DI203" s="3">
        <v>1</v>
      </c>
    </row>
    <row r="204" spans="1:113" s="627" customFormat="1" ht="21" customHeight="1">
      <c r="A204" s="701" t="s">
        <v>21</v>
      </c>
      <c r="B204" s="2265" t="str" cm="1">
        <f t="array" ref="B204">SUMPRODUCT(--(D204:J204&lt;&gt;""), LEN(TRIM(SUBSTITUTE(D204:J204, CHAR(160), "")))) &amp; " Car."</f>
        <v>0 Car.</v>
      </c>
      <c r="C204" s="1376" t="str">
        <f>IF(ISBLANK(D204),"",LARGE(C13:C203,1)+1)</f>
        <v/>
      </c>
      <c r="D204" s="1833"/>
      <c r="E204" s="1810"/>
      <c r="F204" s="1810"/>
      <c r="G204" s="1810"/>
      <c r="H204" s="1810"/>
      <c r="I204" s="1810"/>
      <c r="J204" s="1810"/>
      <c r="K204" s="1810"/>
      <c r="L204" s="1811"/>
      <c r="M204" s="9"/>
      <c r="N204" s="162" t="str">
        <f t="shared" si="74"/>
        <v>►</v>
      </c>
      <c r="O204" s="1616"/>
      <c r="P204" s="9"/>
      <c r="Q204" s="25" t="s">
        <v>15</v>
      </c>
      <c r="R204" s="31"/>
      <c r="S204" s="32"/>
      <c r="T204" s="31"/>
      <c r="U204" s="33"/>
      <c r="V204" s="1967"/>
      <c r="W204" s="1805"/>
      <c r="X204" s="91"/>
      <c r="Y204" s="1806"/>
      <c r="Z204" s="1968"/>
      <c r="AA204" s="2244"/>
      <c r="AB204" s="1969"/>
      <c r="AC204" s="1365"/>
      <c r="AD204" s="95"/>
      <c r="AE204" s="1326"/>
      <c r="AF204" s="97"/>
      <c r="AG204" s="1737"/>
      <c r="AH204" s="1970"/>
      <c r="AI204" s="99"/>
      <c r="AJ204" s="1809"/>
      <c r="AK204" s="6120" t="str">
        <f t="shared" si="75"/>
        <v>►</v>
      </c>
      <c r="AL204" s="781" t="str">
        <f t="shared" si="77"/>
        <v>►</v>
      </c>
      <c r="AM204" s="5498" t="str">
        <f t="shared" si="80"/>
        <v/>
      </c>
      <c r="AN204" s="783" t="str">
        <f t="shared" si="81"/>
        <v/>
      </c>
      <c r="AO204" s="782" t="str">
        <f t="shared" si="82"/>
        <v/>
      </c>
      <c r="AP204" s="783" t="str">
        <f t="shared" si="83"/>
        <v/>
      </c>
      <c r="AQ204" s="2083" t="b">
        <f>AND(Q204="A",COUNTIF(BP16:BR63,TRIM(Z204))&gt;0)</f>
        <v>0</v>
      </c>
      <c r="AR204" s="797" t="str">
        <f>IF(AL204&lt;&gt;"A","",IFERROR(IFERROR(_xlfn.XLOOKUP(TRIM(SUBSTITUTE(Z204,CHAR(160)," ")),BP16:BP63,BS16:BS63),IFERROR(_xlfn.XLOOKUP(TRIM(SUBSTITUTE(Z204,CHAR(160)," ")),BQ16:BQ63,BS16:BS63),_xlfn.XLOOKUP(TRIM(SUBSTITUTE(Z204,CHAR(160)," ")),BR16:BR63,BS16:BS63)))*Y204*IF(ISBLANK(V204),1,V204),0))</f>
        <v/>
      </c>
      <c r="AS204" s="784" t="str">
        <f t="shared" si="94"/>
        <v/>
      </c>
      <c r="AT204" s="1315" t="str">
        <f t="shared" si="84"/>
        <v/>
      </c>
      <c r="AU204" s="785">
        <f t="shared" si="85"/>
        <v>0</v>
      </c>
      <c r="AV204" s="785">
        <f t="shared" si="86"/>
        <v>0</v>
      </c>
      <c r="AW204" s="798">
        <f>IF(AK204="A",AY10,0)</f>
        <v>0</v>
      </c>
      <c r="AX204" s="5496" t="str">
        <f>IF(IFERROR(SEARCH("Adresse PC",TRIM(W204)),0)&gt;0,"▼ receta siguiente",IF(AK204="A",IF(AZ10&lt;&gt;"",AZ10&amp;" - ou.or.o ❾ + or - &gt;",""),""))</f>
        <v/>
      </c>
      <c r="AY204" s="810"/>
      <c r="AZ204" s="810"/>
      <c r="BA204" s="799" t="str">
        <f t="shared" si="76"/>
        <v/>
      </c>
      <c r="BB204" s="800" t="str">
        <f>IF(AK204="A",IF(AQ204,IF(AND(AW204&lt;&gt;"",N(AW204)&gt;0),IFERROR(IFERROR(_xlfn.XLOOKUP(AP204,BP10:BP57,BT10:BT57),IFERROR(_xlfn.XLOOKUP(AP204,BQ10:BQ57,BT10:BT57),_xlfn.XLOOKUP(AP204,BR10:BR57,BT10:BT57,""))),""),""),""),"")</f>
        <v/>
      </c>
      <c r="BC204" s="813" cm="1">
        <f t="array" ref="BC204">IF(NOT(AQ204),0,IF(OR(BA204="",N(BA204)&lt;=0.000000001),"",IF(OR(AU204="",N(AU204)&lt;=0.000000001),0,IF(ISNUMBER(BA204),IFERROR(_xlfn.LET(_xlpm.ai_test,TRIM(AP204),_xlpm.r,IFERROR(_xlfn.XLOOKUP(_xlpm.ai_test,BP16:BP63,ROW(BP16:BP63),0,1),IFERROR(_xlfn.XLOOKUP(_xlpm.ai_test,BQ16:BQ63,ROW(BQ16:BQ63),0,1),_xlfn.XLOOKUP(_xlpm.ai_test,BR16:BR63,ROW(BR16:BR63),0,1))),_xlpm.p,_xlpm.r-MIN(ROW(BP16:BP63))+1,_xlpm.f,INDEX(BS16:BS63,_xlpm.p),_xlpm.u,INDEX(BT16:BT63,_xlpm.p),_xlpm.s,INDEX(BV16:BV63,_xlpm.p),_xlpm.q,N(BA204)/_xlpm.f,IF(_xlpm.q&gt;=_xlpm.s,ROUND(_xlpm.q,1)&amp;" "&amp;_xlpm.ai_test&amp;" = "&amp;ROUND(_xlpm.q*_xlpm.f,1)&amp;" "&amp;_xlpm.u,ROUND(_xlpm.q,1)&amp;" "&amp;_xlpm.ai_test)),""),""))))</f>
        <v>0</v>
      </c>
      <c r="BD204" s="801"/>
      <c r="BE204" s="799" t="str">
        <f t="shared" si="87"/>
        <v/>
      </c>
      <c r="BF204" s="800" t="str">
        <f t="shared" si="88"/>
        <v/>
      </c>
      <c r="BG204" s="802">
        <f t="shared" si="91"/>
        <v>0</v>
      </c>
      <c r="BH204" s="803" t="str">
        <f t="shared" si="92"/>
        <v/>
      </c>
      <c r="BI204" s="792"/>
      <c r="BJ204" s="804">
        <f t="shared" si="90"/>
        <v>0</v>
      </c>
      <c r="BK204" s="794" t="str">
        <f t="shared" si="89"/>
        <v/>
      </c>
      <c r="BL204" s="227" t="s">
        <v>21</v>
      </c>
      <c r="BM204" s="773">
        <f t="shared" si="78"/>
        <v>0</v>
      </c>
      <c r="BN204" s="774">
        <f t="shared" si="79"/>
        <v>0</v>
      </c>
      <c r="BO204"/>
      <c r="BX204"/>
      <c r="BY204"/>
      <c r="BZ204"/>
      <c r="CA204"/>
      <c r="CB204"/>
      <c r="CC204"/>
      <c r="CD204" s="781" t="str">
        <f t="shared" si="93"/>
        <v>►</v>
      </c>
      <c r="CE204"/>
      <c r="CF204"/>
      <c r="CG204"/>
      <c r="CH204"/>
      <c r="CI204"/>
      <c r="CJ204" s="633"/>
      <c r="CK204"/>
      <c r="CL204"/>
      <c r="CM204"/>
      <c r="CN204"/>
      <c r="CO204"/>
      <c r="CP204"/>
      <c r="CQ204"/>
      <c r="CS204"/>
      <c r="CT204"/>
      <c r="CU204"/>
      <c r="CV204"/>
      <c r="CW204"/>
      <c r="CX204"/>
      <c r="CY204"/>
      <c r="DA204"/>
      <c r="DB204"/>
      <c r="DC204"/>
      <c r="DD204"/>
      <c r="DE204"/>
      <c r="DF204"/>
      <c r="DG204"/>
      <c r="DI204" s="3">
        <v>1</v>
      </c>
    </row>
    <row r="205" spans="1:113" s="627" customFormat="1" ht="21" customHeight="1">
      <c r="A205" s="701" t="s">
        <v>21</v>
      </c>
      <c r="B205" s="2265" t="str" cm="1">
        <f t="array" ref="B205">SUMPRODUCT(--(D205:J205&lt;&gt;""), LEN(TRIM(SUBSTITUTE(D205:J205, CHAR(160), "")))) &amp; " Car."</f>
        <v>0 Car.</v>
      </c>
      <c r="C205" s="1376" t="str">
        <f>IF(ISBLANK(D205),"",LARGE(C13:C204,1)+1)</f>
        <v/>
      </c>
      <c r="D205" s="1833"/>
      <c r="E205" s="1810"/>
      <c r="F205" s="1810"/>
      <c r="G205" s="1810"/>
      <c r="H205" s="1810"/>
      <c r="I205" s="1810"/>
      <c r="J205" s="1810"/>
      <c r="K205" s="1810"/>
      <c r="L205" s="1811"/>
      <c r="M205" s="9"/>
      <c r="N205" s="162" t="str">
        <f t="shared" si="74"/>
        <v>►</v>
      </c>
      <c r="O205" s="1616"/>
      <c r="P205" s="9"/>
      <c r="Q205" s="25" t="s">
        <v>15</v>
      </c>
      <c r="R205" s="31"/>
      <c r="S205" s="32"/>
      <c r="T205" s="31"/>
      <c r="U205" s="33"/>
      <c r="V205" s="1967"/>
      <c r="W205" s="1805"/>
      <c r="X205" s="91"/>
      <c r="Y205" s="1806"/>
      <c r="Z205" s="1968"/>
      <c r="AA205" s="2244"/>
      <c r="AB205" s="1969"/>
      <c r="AC205" s="1365"/>
      <c r="AD205" s="95"/>
      <c r="AE205" s="1326"/>
      <c r="AF205" s="97"/>
      <c r="AG205" s="1737"/>
      <c r="AH205" s="1970"/>
      <c r="AI205" s="99"/>
      <c r="AJ205" s="1809"/>
      <c r="AK205" s="6120" t="str">
        <f t="shared" si="75"/>
        <v>►</v>
      </c>
      <c r="AL205" s="781" t="str">
        <f t="shared" si="77"/>
        <v>►</v>
      </c>
      <c r="AM205" s="5499" t="str">
        <f t="shared" si="80"/>
        <v/>
      </c>
      <c r="AN205" s="783" t="str">
        <f t="shared" si="81"/>
        <v/>
      </c>
      <c r="AO205" s="782" t="str">
        <f t="shared" si="82"/>
        <v/>
      </c>
      <c r="AP205" s="783" t="str">
        <f t="shared" si="83"/>
        <v/>
      </c>
      <c r="AQ205" s="2083" t="b">
        <f>AND(Q205="A",COUNTIF(BP16:BR63,TRIM(Z205))&gt;0)</f>
        <v>0</v>
      </c>
      <c r="AR205" s="797" t="str">
        <f>IF(AL205&lt;&gt;"A","",IFERROR(IFERROR(_xlfn.XLOOKUP(TRIM(SUBSTITUTE(Z205,CHAR(160)," ")),BP16:BP63,BS16:BS63),IFERROR(_xlfn.XLOOKUP(TRIM(SUBSTITUTE(Z205,CHAR(160)," ")),BQ16:BQ63,BS16:BS63),_xlfn.XLOOKUP(TRIM(SUBSTITUTE(Z205,CHAR(160)," ")),BR16:BR63,BS16:BS63)))*Y205*IF(ISBLANK(V205),1,V205),0))</f>
        <v/>
      </c>
      <c r="AS205" s="784" t="str">
        <f t="shared" si="94"/>
        <v/>
      </c>
      <c r="AT205" s="1315" t="str">
        <f t="shared" si="84"/>
        <v/>
      </c>
      <c r="AU205" s="785">
        <f t="shared" si="85"/>
        <v>0</v>
      </c>
      <c r="AV205" s="785">
        <f t="shared" si="86"/>
        <v>0</v>
      </c>
      <c r="AW205" s="786">
        <f>IF(AK205="A",AY10,0)</f>
        <v>0</v>
      </c>
      <c r="AX205" s="5495" t="str">
        <f>IF(IFERROR(SEARCH("Adresse PC",TRIM(W205)),0)&gt;0,"▼ receta siguiente",IF(AK205="A",IF(AZ10&lt;&gt;"",AZ10&amp;" - ou.or.o ❾ + or - &gt;",""),""))</f>
        <v/>
      </c>
      <c r="AY205" s="810"/>
      <c r="AZ205" s="810"/>
      <c r="BA205" s="788" t="str">
        <f t="shared" si="76"/>
        <v/>
      </c>
      <c r="BB205" s="789" t="str">
        <f>IF(AK205="A",IF(AQ205,IF(AND(AW205&lt;&gt;"",N(AW205)&gt;0),IFERROR(IFERROR(_xlfn.XLOOKUP(AP205,BP10:BP57,BT10:BT57),IFERROR(_xlfn.XLOOKUP(AP205,BQ10:BQ57,BT10:BT57),_xlfn.XLOOKUP(AP205,BR10:BR57,BT10:BT57,""))),""),""),""),"")</f>
        <v/>
      </c>
      <c r="BC205" s="811" cm="1">
        <f t="array" ref="BC205">IF(NOT(AQ205),0,IF(OR(BA205="",N(BA205)&lt;=0.000000001),"",IF(OR(AU205="",N(AU205)&lt;=0.000000001),0,IF(ISNUMBER(BA205),IFERROR(_xlfn.LET(_xlpm.ai_test,TRIM(AP205),_xlpm.r,IFERROR(_xlfn.XLOOKUP(_xlpm.ai_test,BP16:BP63,ROW(BP16:BP63),0,1),IFERROR(_xlfn.XLOOKUP(_xlpm.ai_test,BQ16:BQ63,ROW(BQ16:BQ63),0,1),_xlfn.XLOOKUP(_xlpm.ai_test,BR16:BR63,ROW(BR16:BR63),0,1))),_xlpm.p,_xlpm.r-MIN(ROW(BP16:BP63))+1,_xlpm.f,INDEX(BS16:BS63,_xlpm.p),_xlpm.u,INDEX(BT16:BT63,_xlpm.p),_xlpm.s,INDEX(BV16:BV63,_xlpm.p),_xlpm.q,N(BA205)/_xlpm.f,IF(_xlpm.q&gt;=_xlpm.s,ROUND(_xlpm.q,1)&amp;" "&amp;_xlpm.ai_test&amp;" = "&amp;ROUND(_xlpm.q*_xlpm.f,1)&amp;" "&amp;_xlpm.u,ROUND(_xlpm.q,1)&amp;" "&amp;_xlpm.ai_test)),""),""))))</f>
        <v>0</v>
      </c>
      <c r="BD205" s="801"/>
      <c r="BE205" s="788" t="str">
        <f t="shared" si="87"/>
        <v/>
      </c>
      <c r="BF205" s="789" t="str">
        <f t="shared" si="88"/>
        <v/>
      </c>
      <c r="BG205" s="790">
        <f t="shared" si="91"/>
        <v>0</v>
      </c>
      <c r="BH205" s="791" t="str">
        <f t="shared" si="92"/>
        <v/>
      </c>
      <c r="BI205" s="792"/>
      <c r="BJ205" s="793">
        <f t="shared" si="90"/>
        <v>0</v>
      </c>
      <c r="BK205" s="794" t="str">
        <f t="shared" si="89"/>
        <v/>
      </c>
      <c r="BL205" s="227" t="s">
        <v>21</v>
      </c>
      <c r="BM205" s="773">
        <f t="shared" si="78"/>
        <v>0</v>
      </c>
      <c r="BN205" s="774">
        <f t="shared" si="79"/>
        <v>0</v>
      </c>
      <c r="BO205"/>
      <c r="BX205"/>
      <c r="BY205"/>
      <c r="BZ205"/>
      <c r="CA205"/>
      <c r="CB205"/>
      <c r="CC205"/>
      <c r="CD205" s="781" t="str">
        <f t="shared" si="93"/>
        <v>►</v>
      </c>
      <c r="CE205"/>
      <c r="CF205"/>
      <c r="CG205"/>
      <c r="CH205"/>
      <c r="CI205"/>
      <c r="CJ205" s="633"/>
      <c r="CK205"/>
      <c r="CL205"/>
      <c r="CM205"/>
      <c r="CN205"/>
      <c r="CO205"/>
      <c r="CP205"/>
      <c r="CQ205"/>
      <c r="CS205"/>
      <c r="CT205"/>
      <c r="CU205"/>
      <c r="CV205"/>
      <c r="CW205"/>
      <c r="CX205"/>
      <c r="CY205"/>
      <c r="DA205"/>
      <c r="DB205"/>
      <c r="DC205"/>
      <c r="DD205"/>
      <c r="DE205"/>
      <c r="DF205"/>
      <c r="DG205"/>
      <c r="DI205" s="3">
        <v>1</v>
      </c>
    </row>
    <row r="206" spans="1:113" s="627" customFormat="1" ht="21" customHeight="1">
      <c r="A206" s="701" t="s">
        <v>21</v>
      </c>
      <c r="B206" s="2265" t="str" cm="1">
        <f t="array" ref="B206">SUMPRODUCT(--(D206:J206&lt;&gt;""), LEN(TRIM(SUBSTITUTE(D206:J206, CHAR(160), "")))) &amp; " Car."</f>
        <v>0 Car.</v>
      </c>
      <c r="C206" s="1376" t="str">
        <f>IF(ISBLANK(D206),"",LARGE(C13:C205,1)+1)</f>
        <v/>
      </c>
      <c r="D206" s="1833"/>
      <c r="E206" s="1810"/>
      <c r="F206" s="1810"/>
      <c r="G206" s="1810"/>
      <c r="H206" s="1810"/>
      <c r="I206" s="1810"/>
      <c r="J206" s="1810"/>
      <c r="K206" s="1810"/>
      <c r="L206" s="1811"/>
      <c r="M206" s="9"/>
      <c r="N206" s="1814" t="str">
        <f t="shared" ref="N206:N269" si="95">Q206</f>
        <v>►</v>
      </c>
      <c r="O206" s="1616"/>
      <c r="P206" s="9"/>
      <c r="Q206" s="25" t="s">
        <v>15</v>
      </c>
      <c r="R206" s="31"/>
      <c r="S206" s="32"/>
      <c r="T206" s="31"/>
      <c r="U206" s="33"/>
      <c r="V206" s="1967"/>
      <c r="W206" s="1805"/>
      <c r="X206" s="91"/>
      <c r="Y206" s="1806"/>
      <c r="Z206" s="1968"/>
      <c r="AA206" s="2244"/>
      <c r="AB206" s="1969"/>
      <c r="AC206" s="1365"/>
      <c r="AD206" s="95"/>
      <c r="AE206" s="1326"/>
      <c r="AF206" s="97"/>
      <c r="AG206" s="1737"/>
      <c r="AH206" s="1970"/>
      <c r="AI206" s="99"/>
      <c r="AJ206" s="1809"/>
      <c r="AK206" s="6120" t="str">
        <f t="shared" si="75"/>
        <v>►</v>
      </c>
      <c r="AL206" s="781" t="str">
        <f t="shared" si="77"/>
        <v>►</v>
      </c>
      <c r="AM206" s="5498" t="str">
        <f t="shared" si="80"/>
        <v/>
      </c>
      <c r="AN206" s="783" t="str">
        <f t="shared" si="81"/>
        <v/>
      </c>
      <c r="AO206" s="782" t="str">
        <f t="shared" si="82"/>
        <v/>
      </c>
      <c r="AP206" s="783" t="str">
        <f t="shared" si="83"/>
        <v/>
      </c>
      <c r="AQ206" s="2083" t="b">
        <f>AND(Q206="A",COUNTIF(BP16:BR63,TRIM(Z206))&gt;0)</f>
        <v>0</v>
      </c>
      <c r="AR206" s="797" t="str">
        <f>IF(AL206&lt;&gt;"A","",IFERROR(IFERROR(_xlfn.XLOOKUP(TRIM(SUBSTITUTE(Z206,CHAR(160)," ")),BP16:BP63,BS16:BS63),IFERROR(_xlfn.XLOOKUP(TRIM(SUBSTITUTE(Z206,CHAR(160)," ")),BQ16:BQ63,BS16:BS63),_xlfn.XLOOKUP(TRIM(SUBSTITUTE(Z206,CHAR(160)," ")),BR16:BR63,BS16:BS63)))*Y206*IF(ISBLANK(V206),1,V206),0))</f>
        <v/>
      </c>
      <c r="AS206" s="784" t="str">
        <f t="shared" si="94"/>
        <v/>
      </c>
      <c r="AT206" s="1315" t="str">
        <f t="shared" si="84"/>
        <v/>
      </c>
      <c r="AU206" s="785">
        <f t="shared" si="85"/>
        <v>0</v>
      </c>
      <c r="AV206" s="785">
        <f t="shared" si="86"/>
        <v>0</v>
      </c>
      <c r="AW206" s="798">
        <f>IF(AK206="A",AY10,0)</f>
        <v>0</v>
      </c>
      <c r="AX206" s="5496" t="str">
        <f>IF(IFERROR(SEARCH("Adresse PC",TRIM(W206)),0)&gt;0,"▼ receta siguiente",IF(AK206="A",IF(AZ10&lt;&gt;"",AZ10&amp;" - ou.or.o ❾ + or - &gt;",""),""))</f>
        <v/>
      </c>
      <c r="AY206" s="810"/>
      <c r="AZ206" s="810"/>
      <c r="BA206" s="799" t="str">
        <f t="shared" si="76"/>
        <v/>
      </c>
      <c r="BB206" s="800" t="str">
        <f>IF(AK206="A",IF(AQ206,IF(AND(AW206&lt;&gt;"",N(AW206)&gt;0),IFERROR(IFERROR(_xlfn.XLOOKUP(AP206,BP10:BP57,BT10:BT57),IFERROR(_xlfn.XLOOKUP(AP206,BQ10:BQ57,BT10:BT57),_xlfn.XLOOKUP(AP206,BR10:BR57,BT10:BT57,""))),""),""),""),"")</f>
        <v/>
      </c>
      <c r="BC206" s="813" cm="1">
        <f t="array" ref="BC206">IF(NOT(AQ206),0,IF(OR(BA206="",N(BA206)&lt;=0.000000001),"",IF(OR(AU206="",N(AU206)&lt;=0.000000001),0,IF(ISNUMBER(BA206),IFERROR(_xlfn.LET(_xlpm.ai_test,TRIM(AP206),_xlpm.r,IFERROR(_xlfn.XLOOKUP(_xlpm.ai_test,BP16:BP63,ROW(BP16:BP63),0,1),IFERROR(_xlfn.XLOOKUP(_xlpm.ai_test,BQ16:BQ63,ROW(BQ16:BQ63),0,1),_xlfn.XLOOKUP(_xlpm.ai_test,BR16:BR63,ROW(BR16:BR63),0,1))),_xlpm.p,_xlpm.r-MIN(ROW(BP16:BP63))+1,_xlpm.f,INDEX(BS16:BS63,_xlpm.p),_xlpm.u,INDEX(BT16:BT63,_xlpm.p),_xlpm.s,INDEX(BV16:BV63,_xlpm.p),_xlpm.q,N(BA206)/_xlpm.f,IF(_xlpm.q&gt;=_xlpm.s,ROUND(_xlpm.q,1)&amp;" "&amp;_xlpm.ai_test&amp;" = "&amp;ROUND(_xlpm.q*_xlpm.f,1)&amp;" "&amp;_xlpm.u,ROUND(_xlpm.q,1)&amp;" "&amp;_xlpm.ai_test)),""),""))))</f>
        <v>0</v>
      </c>
      <c r="BD206" s="801"/>
      <c r="BE206" s="799" t="str">
        <f t="shared" si="87"/>
        <v/>
      </c>
      <c r="BF206" s="800" t="str">
        <f t="shared" si="88"/>
        <v/>
      </c>
      <c r="BG206" s="802">
        <f t="shared" si="91"/>
        <v>0</v>
      </c>
      <c r="BH206" s="803" t="str">
        <f t="shared" si="92"/>
        <v/>
      </c>
      <c r="BI206" s="792"/>
      <c r="BJ206" s="804">
        <f t="shared" si="90"/>
        <v>0</v>
      </c>
      <c r="BK206" s="794" t="str">
        <f t="shared" si="89"/>
        <v/>
      </c>
      <c r="BL206" s="227" t="s">
        <v>21</v>
      </c>
      <c r="BM206" s="773">
        <f t="shared" si="78"/>
        <v>0</v>
      </c>
      <c r="BN206" s="774">
        <f t="shared" si="79"/>
        <v>0</v>
      </c>
      <c r="BO206"/>
      <c r="BX206"/>
      <c r="BY206"/>
      <c r="BZ206"/>
      <c r="CA206"/>
      <c r="CB206"/>
      <c r="CC206"/>
      <c r="CD206" s="781" t="str">
        <f t="shared" si="93"/>
        <v>►</v>
      </c>
      <c r="CE206"/>
      <c r="CF206"/>
      <c r="CG206"/>
      <c r="CH206"/>
      <c r="CI206"/>
      <c r="CJ206" s="633"/>
      <c r="CK206"/>
      <c r="CL206"/>
      <c r="CM206"/>
      <c r="CN206"/>
      <c r="CO206"/>
      <c r="CP206"/>
      <c r="CQ206"/>
      <c r="CS206"/>
      <c r="CT206"/>
      <c r="CU206"/>
      <c r="CV206"/>
      <c r="CW206"/>
      <c r="CX206"/>
      <c r="CY206"/>
      <c r="DA206"/>
      <c r="DB206"/>
      <c r="DC206"/>
      <c r="DD206"/>
      <c r="DE206"/>
      <c r="DF206"/>
      <c r="DG206"/>
      <c r="DI206" s="3">
        <v>1</v>
      </c>
    </row>
    <row r="207" spans="1:113" s="627" customFormat="1" ht="21" customHeight="1" thickBot="1">
      <c r="A207" s="701" t="s">
        <v>21</v>
      </c>
      <c r="B207" s="2265" t="str" cm="1">
        <f t="array" ref="B207">SUMPRODUCT(--(D207:J207&lt;&gt;""), LEN(TRIM(SUBSTITUTE(D207:J207, CHAR(160), "")))) &amp; " Car."</f>
        <v>0 Car.</v>
      </c>
      <c r="C207" s="1376" t="str">
        <f>IF(ISBLANK(D207),"",LARGE(C13:C206,1)+1)</f>
        <v/>
      </c>
      <c r="D207" s="1833"/>
      <c r="E207" s="1810"/>
      <c r="F207" s="1810"/>
      <c r="G207" s="1810"/>
      <c r="H207" s="1810"/>
      <c r="I207" s="1810"/>
      <c r="J207" s="1810"/>
      <c r="K207" s="1810"/>
      <c r="L207" s="1811"/>
      <c r="M207" s="9"/>
      <c r="N207" s="215" t="str">
        <f t="shared" si="95"/>
        <v>►</v>
      </c>
      <c r="O207" s="1616"/>
      <c r="P207" s="9"/>
      <c r="Q207" s="25" t="s">
        <v>15</v>
      </c>
      <c r="R207" s="31"/>
      <c r="S207" s="32"/>
      <c r="T207" s="31"/>
      <c r="U207" s="33"/>
      <c r="V207" s="1967"/>
      <c r="W207" s="1805"/>
      <c r="X207" s="91"/>
      <c r="Y207" s="1806"/>
      <c r="Z207" s="1968"/>
      <c r="AA207" s="2244"/>
      <c r="AB207" s="1969"/>
      <c r="AC207" s="1365"/>
      <c r="AD207" s="95"/>
      <c r="AE207" s="1326"/>
      <c r="AF207" s="97"/>
      <c r="AG207" s="1737"/>
      <c r="AH207" s="1970"/>
      <c r="AI207" s="99"/>
      <c r="AJ207" s="1809"/>
      <c r="AK207" s="6120" t="str">
        <f t="shared" si="75"/>
        <v>►</v>
      </c>
      <c r="AL207" s="781" t="str">
        <f t="shared" si="77"/>
        <v>►</v>
      </c>
      <c r="AM207" s="5499" t="str">
        <f t="shared" si="80"/>
        <v/>
      </c>
      <c r="AN207" s="783" t="str">
        <f t="shared" si="81"/>
        <v/>
      </c>
      <c r="AO207" s="782" t="str">
        <f t="shared" si="82"/>
        <v/>
      </c>
      <c r="AP207" s="783" t="str">
        <f t="shared" si="83"/>
        <v/>
      </c>
      <c r="AQ207" s="2083" t="b">
        <f>AND(Q207="A",COUNTIF(BP16:BR63,TRIM(Z207))&gt;0)</f>
        <v>0</v>
      </c>
      <c r="AR207" s="797" t="str">
        <f>IF(AL207&lt;&gt;"A","",IFERROR(IFERROR(_xlfn.XLOOKUP(TRIM(SUBSTITUTE(Z207,CHAR(160)," ")),BP16:BP63,BS16:BS63),IFERROR(_xlfn.XLOOKUP(TRIM(SUBSTITUTE(Z207,CHAR(160)," ")),BQ16:BQ63,BS16:BS63),_xlfn.XLOOKUP(TRIM(SUBSTITUTE(Z207,CHAR(160)," ")),BR16:BR63,BS16:BS63)))*Y207*IF(ISBLANK(V207),1,V207),0))</f>
        <v/>
      </c>
      <c r="AS207" s="784" t="str">
        <f t="shared" si="94"/>
        <v/>
      </c>
      <c r="AT207" s="1315" t="str">
        <f t="shared" si="84"/>
        <v/>
      </c>
      <c r="AU207" s="785">
        <f t="shared" si="85"/>
        <v>0</v>
      </c>
      <c r="AV207" s="785">
        <f t="shared" si="86"/>
        <v>0</v>
      </c>
      <c r="AW207" s="786">
        <f>IF(AK207="A",AY10,0)</f>
        <v>0</v>
      </c>
      <c r="AX207" s="5495" t="str">
        <f>IF(IFERROR(SEARCH("Adresse PC",TRIM(W207)),0)&gt;0,"▼ receta siguiente",IF(AK207="A",IF(AZ10&lt;&gt;"",AZ10&amp;" - ou.or.o ❾ + or - &gt;",""),""))</f>
        <v/>
      </c>
      <c r="AY207" s="810"/>
      <c r="AZ207" s="810"/>
      <c r="BA207" s="788" t="str">
        <f t="shared" si="76"/>
        <v/>
      </c>
      <c r="BB207" s="789" t="str">
        <f>IF(AK207="A",IF(AQ207,IF(AND(AW207&lt;&gt;"",N(AW207)&gt;0),IFERROR(IFERROR(_xlfn.XLOOKUP(AP207,BP10:BP57,BT10:BT57),IFERROR(_xlfn.XLOOKUP(AP207,BQ10:BQ57,BT10:BT57),_xlfn.XLOOKUP(AP207,BR10:BR57,BT10:BT57,""))),""),""),""),"")</f>
        <v/>
      </c>
      <c r="BC207" s="811" cm="1">
        <f t="array" ref="BC207">IF(NOT(AQ207),0,IF(OR(BA207="",N(BA207)&lt;=0.000000001),"",IF(OR(AU207="",N(AU207)&lt;=0.000000001),0,IF(ISNUMBER(BA207),IFERROR(_xlfn.LET(_xlpm.ai_test,TRIM(AP207),_xlpm.r,IFERROR(_xlfn.XLOOKUP(_xlpm.ai_test,BP16:BP63,ROW(BP16:BP63),0,1),IFERROR(_xlfn.XLOOKUP(_xlpm.ai_test,BQ16:BQ63,ROW(BQ16:BQ63),0,1),_xlfn.XLOOKUP(_xlpm.ai_test,BR16:BR63,ROW(BR16:BR63),0,1))),_xlpm.p,_xlpm.r-MIN(ROW(BP16:BP63))+1,_xlpm.f,INDEX(BS16:BS63,_xlpm.p),_xlpm.u,INDEX(BT16:BT63,_xlpm.p),_xlpm.s,INDEX(BV16:BV63,_xlpm.p),_xlpm.q,N(BA207)/_xlpm.f,IF(_xlpm.q&gt;=_xlpm.s,ROUND(_xlpm.q,1)&amp;" "&amp;_xlpm.ai_test&amp;" = "&amp;ROUND(_xlpm.q*_xlpm.f,1)&amp;" "&amp;_xlpm.u,ROUND(_xlpm.q,1)&amp;" "&amp;_xlpm.ai_test)),""),""))))</f>
        <v>0</v>
      </c>
      <c r="BD207" s="801"/>
      <c r="BE207" s="788" t="str">
        <f t="shared" si="87"/>
        <v/>
      </c>
      <c r="BF207" s="789" t="str">
        <f t="shared" si="88"/>
        <v/>
      </c>
      <c r="BG207" s="790">
        <f t="shared" si="91"/>
        <v>0</v>
      </c>
      <c r="BH207" s="791" t="str">
        <f t="shared" si="92"/>
        <v/>
      </c>
      <c r="BI207" s="792"/>
      <c r="BJ207" s="793">
        <f t="shared" si="90"/>
        <v>0</v>
      </c>
      <c r="BK207" s="794" t="str">
        <f t="shared" si="89"/>
        <v/>
      </c>
      <c r="BL207" s="227" t="s">
        <v>21</v>
      </c>
      <c r="BM207" s="773">
        <f t="shared" si="78"/>
        <v>0</v>
      </c>
      <c r="BN207" s="774">
        <f t="shared" si="79"/>
        <v>0</v>
      </c>
      <c r="BO207"/>
      <c r="BX207"/>
      <c r="BY207"/>
      <c r="BZ207"/>
      <c r="CA207"/>
      <c r="CB207"/>
      <c r="CC207"/>
      <c r="CD207" s="781" t="str">
        <f t="shared" si="93"/>
        <v>►</v>
      </c>
      <c r="CE207"/>
      <c r="CF207"/>
      <c r="CG207"/>
      <c r="CH207"/>
      <c r="CI207"/>
      <c r="CJ207" s="633"/>
      <c r="CK207"/>
      <c r="CL207"/>
      <c r="CM207"/>
      <c r="CN207"/>
      <c r="CO207"/>
      <c r="CP207"/>
      <c r="CQ207"/>
      <c r="CS207"/>
      <c r="CT207"/>
      <c r="CU207"/>
      <c r="CV207"/>
      <c r="CW207"/>
      <c r="CX207"/>
      <c r="CY207"/>
      <c r="DA207"/>
      <c r="DB207"/>
      <c r="DC207"/>
      <c r="DD207"/>
      <c r="DE207"/>
      <c r="DF207"/>
      <c r="DG207"/>
      <c r="DI207" s="3">
        <v>1</v>
      </c>
    </row>
    <row r="208" spans="1:113" s="627" customFormat="1" ht="21" customHeight="1" thickBot="1">
      <c r="A208" s="701" t="s">
        <v>21</v>
      </c>
      <c r="B208" s="2265" t="str" cm="1">
        <f t="array" ref="B208">SUMPRODUCT(--(D208:J208&lt;&gt;""), LEN(TRIM(SUBSTITUTE(D208:J208, CHAR(160), "")))) &amp; " Car."</f>
        <v>0 Car.</v>
      </c>
      <c r="C208" s="1376" t="str">
        <f>IF(ISBLANK(D208),"",LARGE(C13:C207,1)+1)</f>
        <v/>
      </c>
      <c r="D208" s="1833"/>
      <c r="E208" s="1810"/>
      <c r="F208" s="1810"/>
      <c r="G208" s="1810"/>
      <c r="H208" s="1810"/>
      <c r="I208" s="1810"/>
      <c r="J208" s="1810"/>
      <c r="K208" s="1810"/>
      <c r="L208" s="1811"/>
      <c r="M208" s="9"/>
      <c r="N208" s="1216" t="str">
        <f t="shared" si="95"/>
        <v>►</v>
      </c>
      <c r="O208" s="1616"/>
      <c r="P208" s="9"/>
      <c r="Q208" s="25" t="s">
        <v>15</v>
      </c>
      <c r="R208" s="31"/>
      <c r="S208" s="32"/>
      <c r="T208" s="31"/>
      <c r="U208" s="33"/>
      <c r="V208" s="1967"/>
      <c r="W208" s="1805"/>
      <c r="X208" s="91"/>
      <c r="Y208" s="1806"/>
      <c r="Z208" s="1968"/>
      <c r="AA208" s="2244"/>
      <c r="AB208" s="1969"/>
      <c r="AC208" s="1365"/>
      <c r="AD208" s="95"/>
      <c r="AE208" s="1326"/>
      <c r="AF208" s="97"/>
      <c r="AG208" s="1737"/>
      <c r="AH208" s="1970"/>
      <c r="AI208" s="99"/>
      <c r="AJ208" s="1809"/>
      <c r="AK208" s="6120" t="str">
        <f t="shared" si="75"/>
        <v>►</v>
      </c>
      <c r="AL208" s="781" t="str">
        <f t="shared" si="77"/>
        <v>►</v>
      </c>
      <c r="AM208" s="5498" t="str">
        <f t="shared" si="80"/>
        <v/>
      </c>
      <c r="AN208" s="783" t="str">
        <f t="shared" si="81"/>
        <v/>
      </c>
      <c r="AO208" s="782" t="str">
        <f t="shared" si="82"/>
        <v/>
      </c>
      <c r="AP208" s="783" t="str">
        <f t="shared" si="83"/>
        <v/>
      </c>
      <c r="AQ208" s="2083" t="b">
        <f>AND(Q208="A",COUNTIF(BP16:BR63,TRIM(Z208))&gt;0)</f>
        <v>0</v>
      </c>
      <c r="AR208" s="797" t="str">
        <f>IF(AL208&lt;&gt;"A","",IFERROR(IFERROR(_xlfn.XLOOKUP(TRIM(SUBSTITUTE(Z208,CHAR(160)," ")),BP16:BP63,BS16:BS63),IFERROR(_xlfn.XLOOKUP(TRIM(SUBSTITUTE(Z208,CHAR(160)," ")),BQ16:BQ63,BS16:BS63),_xlfn.XLOOKUP(TRIM(SUBSTITUTE(Z208,CHAR(160)," ")),BR16:BR63,BS16:BS63)))*Y208*IF(ISBLANK(V208),1,V208),0))</f>
        <v/>
      </c>
      <c r="AS208" s="784" t="str">
        <f t="shared" si="94"/>
        <v/>
      </c>
      <c r="AT208" s="1315" t="str">
        <f t="shared" si="84"/>
        <v/>
      </c>
      <c r="AU208" s="785">
        <f t="shared" si="85"/>
        <v>0</v>
      </c>
      <c r="AV208" s="785">
        <f t="shared" si="86"/>
        <v>0</v>
      </c>
      <c r="AW208" s="798">
        <f>IF(AK208="A",AY10,0)</f>
        <v>0</v>
      </c>
      <c r="AX208" s="5496" t="str">
        <f>IF(IFERROR(SEARCH("Adresse PC",TRIM(W208)),0)&gt;0,"▼ receta siguiente",IF(AK208="A",IF(AZ10&lt;&gt;"",AZ10&amp;" - ou.or.o ❾ + or - &gt;",""),""))</f>
        <v/>
      </c>
      <c r="AY208" s="810"/>
      <c r="AZ208" s="810"/>
      <c r="BA208" s="799" t="str">
        <f t="shared" si="76"/>
        <v/>
      </c>
      <c r="BB208" s="800" t="str">
        <f>IF(AK208="A",IF(AQ208,IF(AND(AW208&lt;&gt;"",N(AW208)&gt;0),IFERROR(IFERROR(_xlfn.XLOOKUP(AP208,BP10:BP57,BT10:BT57),IFERROR(_xlfn.XLOOKUP(AP208,BQ10:BQ57,BT10:BT57),_xlfn.XLOOKUP(AP208,BR10:BR57,BT10:BT57,""))),""),""),""),"")</f>
        <v/>
      </c>
      <c r="BC208" s="813" cm="1">
        <f t="array" ref="BC208">IF(NOT(AQ208),0,IF(OR(BA208="",N(BA208)&lt;=0.000000001),"",IF(OR(AU208="",N(AU208)&lt;=0.000000001),0,IF(ISNUMBER(BA208),IFERROR(_xlfn.LET(_xlpm.ai_test,TRIM(AP208),_xlpm.r,IFERROR(_xlfn.XLOOKUP(_xlpm.ai_test,BP16:BP63,ROW(BP16:BP63),0,1),IFERROR(_xlfn.XLOOKUP(_xlpm.ai_test,BQ16:BQ63,ROW(BQ16:BQ63),0,1),_xlfn.XLOOKUP(_xlpm.ai_test,BR16:BR63,ROW(BR16:BR63),0,1))),_xlpm.p,_xlpm.r-MIN(ROW(BP16:BP63))+1,_xlpm.f,INDEX(BS16:BS63,_xlpm.p),_xlpm.u,INDEX(BT16:BT63,_xlpm.p),_xlpm.s,INDEX(BV16:BV63,_xlpm.p),_xlpm.q,N(BA208)/_xlpm.f,IF(_xlpm.q&gt;=_xlpm.s,ROUND(_xlpm.q,1)&amp;" "&amp;_xlpm.ai_test&amp;" = "&amp;ROUND(_xlpm.q*_xlpm.f,1)&amp;" "&amp;_xlpm.u,ROUND(_xlpm.q,1)&amp;" "&amp;_xlpm.ai_test)),""),""))))</f>
        <v>0</v>
      </c>
      <c r="BD208" s="801"/>
      <c r="BE208" s="799" t="str">
        <f t="shared" si="87"/>
        <v/>
      </c>
      <c r="BF208" s="800" t="str">
        <f t="shared" si="88"/>
        <v/>
      </c>
      <c r="BG208" s="802">
        <f t="shared" si="91"/>
        <v>0</v>
      </c>
      <c r="BH208" s="803" t="str">
        <f t="shared" si="92"/>
        <v/>
      </c>
      <c r="BI208" s="792"/>
      <c r="BJ208" s="804">
        <f t="shared" si="90"/>
        <v>0</v>
      </c>
      <c r="BK208" s="794" t="str">
        <f t="shared" si="89"/>
        <v/>
      </c>
      <c r="BL208" s="227" t="s">
        <v>21</v>
      </c>
      <c r="BM208" s="773">
        <f t="shared" si="78"/>
        <v>0</v>
      </c>
      <c r="BN208" s="774">
        <f t="shared" si="79"/>
        <v>0</v>
      </c>
      <c r="BO208"/>
      <c r="BX208"/>
      <c r="BY208"/>
      <c r="BZ208"/>
      <c r="CA208"/>
      <c r="CB208"/>
      <c r="CC208"/>
      <c r="CD208" s="781" t="str">
        <f t="shared" si="93"/>
        <v>►</v>
      </c>
      <c r="CE208"/>
      <c r="CF208"/>
      <c r="CG208"/>
      <c r="CH208"/>
      <c r="CI208"/>
      <c r="CJ208" s="633"/>
      <c r="CK208"/>
      <c r="CL208"/>
      <c r="CM208"/>
      <c r="CN208"/>
      <c r="CO208"/>
      <c r="CP208"/>
      <c r="CQ208"/>
      <c r="CS208"/>
      <c r="CT208"/>
      <c r="CU208"/>
      <c r="CV208"/>
      <c r="CW208"/>
      <c r="CX208"/>
      <c r="CY208"/>
      <c r="DA208"/>
      <c r="DB208"/>
      <c r="DC208"/>
      <c r="DD208"/>
      <c r="DE208"/>
      <c r="DF208"/>
      <c r="DG208"/>
      <c r="DI208" s="3">
        <v>1</v>
      </c>
    </row>
    <row r="209" spans="1:113" s="627" customFormat="1" ht="21" customHeight="1">
      <c r="A209" s="701" t="s">
        <v>21</v>
      </c>
      <c r="B209" s="2265" t="str" cm="1">
        <f t="array" ref="B209">SUMPRODUCT(--(D209:J209&lt;&gt;""), LEN(TRIM(SUBSTITUTE(D209:J209, CHAR(160), "")))) &amp; " Car."</f>
        <v>0 Car.</v>
      </c>
      <c r="C209" s="1376" t="str">
        <f>IF(ISBLANK(D209),"",LARGE(C13:C208,1)+1)</f>
        <v/>
      </c>
      <c r="D209" s="1833"/>
      <c r="E209" s="1810"/>
      <c r="F209" s="1810"/>
      <c r="G209" s="1810"/>
      <c r="H209" s="1810"/>
      <c r="I209" s="1810"/>
      <c r="J209" s="1810"/>
      <c r="K209" s="1810"/>
      <c r="L209" s="1811"/>
      <c r="M209" s="9"/>
      <c r="N209" s="19" t="str">
        <f t="shared" si="95"/>
        <v>►</v>
      </c>
      <c r="O209" s="1616"/>
      <c r="P209" s="9"/>
      <c r="Q209" s="25" t="s">
        <v>15</v>
      </c>
      <c r="R209" s="31"/>
      <c r="S209" s="32"/>
      <c r="T209" s="31"/>
      <c r="U209" s="33"/>
      <c r="V209" s="1967"/>
      <c r="W209" s="1805"/>
      <c r="X209" s="91"/>
      <c r="Y209" s="1806"/>
      <c r="Z209" s="1968"/>
      <c r="AA209" s="2244"/>
      <c r="AB209" s="1969"/>
      <c r="AC209" s="1365"/>
      <c r="AD209" s="95"/>
      <c r="AE209" s="1326"/>
      <c r="AF209" s="97"/>
      <c r="AG209" s="1737"/>
      <c r="AH209" s="1970"/>
      <c r="AI209" s="99"/>
      <c r="AJ209" s="1809"/>
      <c r="AK209" s="6120" t="str">
        <f t="shared" ref="AK209:AK272" si="96">IF(AND(IFERROR(SEARCH("►",AB209),0)&gt;0,ISNUMBER(IFERROR(VALUE(TRIM(SUBSTITUTE(AB209,"►",""))),NA())),AC209&lt;&gt;""),"A","►")</f>
        <v>►</v>
      </c>
      <c r="AL209" s="781" t="str">
        <f t="shared" si="77"/>
        <v>►</v>
      </c>
      <c r="AM209" s="5499" t="str">
        <f t="shared" si="80"/>
        <v/>
      </c>
      <c r="AN209" s="783" t="str">
        <f t="shared" si="81"/>
        <v/>
      </c>
      <c r="AO209" s="782" t="str">
        <f t="shared" si="82"/>
        <v/>
      </c>
      <c r="AP209" s="783" t="str">
        <f t="shared" si="83"/>
        <v/>
      </c>
      <c r="AQ209" s="2083" t="b">
        <f>AND(Q209="A",COUNTIF(BP16:BR63,TRIM(Z209))&gt;0)</f>
        <v>0</v>
      </c>
      <c r="AR209" s="797" t="str">
        <f>IF(AL209&lt;&gt;"A","",IFERROR(IFERROR(_xlfn.XLOOKUP(TRIM(SUBSTITUTE(Z209,CHAR(160)," ")),BP16:BP63,BS16:BS63),IFERROR(_xlfn.XLOOKUP(TRIM(SUBSTITUTE(Z209,CHAR(160)," ")),BQ16:BQ63,BS16:BS63),_xlfn.XLOOKUP(TRIM(SUBSTITUTE(Z209,CHAR(160)," ")),BR16:BR63,BS16:BS63)))*Y209*IF(ISBLANK(V209),1,V209),0))</f>
        <v/>
      </c>
      <c r="AS209" s="784" t="str">
        <f t="shared" si="94"/>
        <v/>
      </c>
      <c r="AT209" s="1315" t="str">
        <f t="shared" si="84"/>
        <v/>
      </c>
      <c r="AU209" s="785">
        <f t="shared" si="85"/>
        <v>0</v>
      </c>
      <c r="AV209" s="785">
        <f t="shared" si="86"/>
        <v>0</v>
      </c>
      <c r="AW209" s="786">
        <f>IF(AK209="A",AY10,0)</f>
        <v>0</v>
      </c>
      <c r="AX209" s="5495" t="str">
        <f>IF(IFERROR(SEARCH("Adresse PC",TRIM(W209)),0)&gt;0,"▼ receta siguiente",IF(AK209="A",IF(AZ10&lt;&gt;"",AZ10&amp;" - ou.or.o ❾ + or - &gt;",""),""))</f>
        <v/>
      </c>
      <c r="AY209" s="810"/>
      <c r="AZ209" s="810"/>
      <c r="BA209" s="788" t="str">
        <f t="shared" si="76"/>
        <v/>
      </c>
      <c r="BB209" s="789" t="str">
        <f>IF(AK209="A",IF(AQ209,IF(AND(AW209&lt;&gt;"",N(AW209)&gt;0),IFERROR(IFERROR(_xlfn.XLOOKUP(AP209,BP10:BP57,BT10:BT57),IFERROR(_xlfn.XLOOKUP(AP209,BQ10:BQ57,BT10:BT57),_xlfn.XLOOKUP(AP209,BR10:BR57,BT10:BT57,""))),""),""),""),"")</f>
        <v/>
      </c>
      <c r="BC209" s="811" cm="1">
        <f t="array" ref="BC209">IF(NOT(AQ209),0,IF(OR(BA209="",N(BA209)&lt;=0.000000001),"",IF(OR(AU209="",N(AU209)&lt;=0.000000001),0,IF(ISNUMBER(BA209),IFERROR(_xlfn.LET(_xlpm.ai_test,TRIM(AP209),_xlpm.r,IFERROR(_xlfn.XLOOKUP(_xlpm.ai_test,BP16:BP63,ROW(BP16:BP63),0,1),IFERROR(_xlfn.XLOOKUP(_xlpm.ai_test,BQ16:BQ63,ROW(BQ16:BQ63),0,1),_xlfn.XLOOKUP(_xlpm.ai_test,BR16:BR63,ROW(BR16:BR63),0,1))),_xlpm.p,_xlpm.r-MIN(ROW(BP16:BP63))+1,_xlpm.f,INDEX(BS16:BS63,_xlpm.p),_xlpm.u,INDEX(BT16:BT63,_xlpm.p),_xlpm.s,INDEX(BV16:BV63,_xlpm.p),_xlpm.q,N(BA209)/_xlpm.f,IF(_xlpm.q&gt;=_xlpm.s,ROUND(_xlpm.q,1)&amp;" "&amp;_xlpm.ai_test&amp;" = "&amp;ROUND(_xlpm.q*_xlpm.f,1)&amp;" "&amp;_xlpm.u,ROUND(_xlpm.q,1)&amp;" "&amp;_xlpm.ai_test)),""),""))))</f>
        <v>0</v>
      </c>
      <c r="BD209" s="801"/>
      <c r="BE209" s="788" t="str">
        <f t="shared" si="87"/>
        <v/>
      </c>
      <c r="BF209" s="789" t="str">
        <f t="shared" si="88"/>
        <v/>
      </c>
      <c r="BG209" s="790">
        <f t="shared" si="91"/>
        <v>0</v>
      </c>
      <c r="BH209" s="791" t="str">
        <f t="shared" si="92"/>
        <v/>
      </c>
      <c r="BI209" s="792"/>
      <c r="BJ209" s="793">
        <f t="shared" si="90"/>
        <v>0</v>
      </c>
      <c r="BK209" s="794" t="str">
        <f t="shared" si="89"/>
        <v/>
      </c>
      <c r="BL209" s="227" t="s">
        <v>21</v>
      </c>
      <c r="BM209" s="773">
        <f t="shared" si="78"/>
        <v>0</v>
      </c>
      <c r="BN209" s="774">
        <f t="shared" si="79"/>
        <v>0</v>
      </c>
      <c r="BO209"/>
      <c r="BX209"/>
      <c r="BY209"/>
      <c r="BZ209"/>
      <c r="CA209"/>
      <c r="CB209"/>
      <c r="CC209"/>
      <c r="CD209" s="781" t="str">
        <f t="shared" si="93"/>
        <v>►</v>
      </c>
      <c r="CE209"/>
      <c r="CF209"/>
      <c r="CG209"/>
      <c r="CH209"/>
      <c r="CI209"/>
      <c r="CJ209" s="633"/>
      <c r="CK209"/>
      <c r="CL209"/>
      <c r="CM209"/>
      <c r="CN209"/>
      <c r="CO209"/>
      <c r="CP209"/>
      <c r="CQ209"/>
      <c r="CS209"/>
      <c r="CT209"/>
      <c r="CU209"/>
      <c r="CV209"/>
      <c r="CW209"/>
      <c r="CX209"/>
      <c r="CY209"/>
      <c r="DA209"/>
      <c r="DB209"/>
      <c r="DC209"/>
      <c r="DD209"/>
      <c r="DE209"/>
      <c r="DF209"/>
      <c r="DG209"/>
      <c r="DI209" s="3">
        <v>1</v>
      </c>
    </row>
    <row r="210" spans="1:113" s="627" customFormat="1" ht="21" customHeight="1">
      <c r="A210" s="701" t="s">
        <v>21</v>
      </c>
      <c r="B210" s="2265" t="str" cm="1">
        <f t="array" ref="B210">SUMPRODUCT(--(D210:J210&lt;&gt;""), LEN(TRIM(SUBSTITUTE(D210:J210, CHAR(160), "")))) &amp; " Car."</f>
        <v>0 Car.</v>
      </c>
      <c r="C210" s="1376" t="str">
        <f>IF(ISBLANK(D210),"",LARGE(C13:C209,1)+1)</f>
        <v/>
      </c>
      <c r="D210" s="1833"/>
      <c r="E210" s="1810"/>
      <c r="F210" s="1810"/>
      <c r="G210" s="1810"/>
      <c r="H210" s="1810"/>
      <c r="I210" s="1810"/>
      <c r="J210" s="1810"/>
      <c r="K210" s="1810"/>
      <c r="L210" s="1811"/>
      <c r="M210" s="9"/>
      <c r="N210" s="25" t="str">
        <f t="shared" si="95"/>
        <v>►</v>
      </c>
      <c r="O210" s="1616"/>
      <c r="P210" s="9"/>
      <c r="Q210" s="25" t="s">
        <v>15</v>
      </c>
      <c r="R210" s="31"/>
      <c r="S210" s="32"/>
      <c r="T210" s="31"/>
      <c r="U210" s="33"/>
      <c r="V210" s="1967"/>
      <c r="W210" s="1805"/>
      <c r="X210" s="91"/>
      <c r="Y210" s="1806"/>
      <c r="Z210" s="1968"/>
      <c r="AA210" s="2244"/>
      <c r="AB210" s="1969"/>
      <c r="AC210" s="1365"/>
      <c r="AD210" s="95"/>
      <c r="AE210" s="1326"/>
      <c r="AF210" s="97"/>
      <c r="AG210" s="1737"/>
      <c r="AH210" s="1970"/>
      <c r="AI210" s="99"/>
      <c r="AJ210" s="1809"/>
      <c r="AK210" s="6120" t="str">
        <f t="shared" si="96"/>
        <v>►</v>
      </c>
      <c r="AL210" s="781" t="str">
        <f t="shared" si="77"/>
        <v>►</v>
      </c>
      <c r="AM210" s="5498" t="str">
        <f t="shared" si="80"/>
        <v/>
      </c>
      <c r="AN210" s="783" t="str">
        <f t="shared" si="81"/>
        <v/>
      </c>
      <c r="AO210" s="782" t="str">
        <f t="shared" si="82"/>
        <v/>
      </c>
      <c r="AP210" s="783" t="str">
        <f t="shared" si="83"/>
        <v/>
      </c>
      <c r="AQ210" s="2083" t="b">
        <f>AND(Q210="A",COUNTIF(BP16:BR63,TRIM(Z210))&gt;0)</f>
        <v>0</v>
      </c>
      <c r="AR210" s="797" t="str">
        <f>IF(AL210&lt;&gt;"A","",IFERROR(IFERROR(_xlfn.XLOOKUP(TRIM(SUBSTITUTE(Z210,CHAR(160)," ")),BP16:BP63,BS16:BS63),IFERROR(_xlfn.XLOOKUP(TRIM(SUBSTITUTE(Z210,CHAR(160)," ")),BQ16:BQ63,BS16:BS63),_xlfn.XLOOKUP(TRIM(SUBSTITUTE(Z210,CHAR(160)," ")),BR16:BR63,BS16:BS63)))*Y210*IF(ISBLANK(V210),1,V210),0))</f>
        <v/>
      </c>
      <c r="AS210" s="784" t="str">
        <f t="shared" si="94"/>
        <v/>
      </c>
      <c r="AT210" s="1315" t="str">
        <f t="shared" si="84"/>
        <v/>
      </c>
      <c r="AU210" s="785">
        <f t="shared" si="85"/>
        <v>0</v>
      </c>
      <c r="AV210" s="785">
        <f t="shared" si="86"/>
        <v>0</v>
      </c>
      <c r="AW210" s="798">
        <f>IF(AK210="A",AY10,0)</f>
        <v>0</v>
      </c>
      <c r="AX210" s="5496" t="str">
        <f>IF(IFERROR(SEARCH("Adresse PC",TRIM(W210)),0)&gt;0,"▼ receta siguiente",IF(AK210="A",IF(AZ10&lt;&gt;"",AZ10&amp;" - ou.or.o ❾ + or - &gt;",""),""))</f>
        <v/>
      </c>
      <c r="AY210" s="810"/>
      <c r="AZ210" s="810"/>
      <c r="BA210" s="799" t="str">
        <f t="shared" si="76"/>
        <v/>
      </c>
      <c r="BB210" s="800" t="str">
        <f>IF(AK210="A",IF(AQ210,IF(AND(AW210&lt;&gt;"",N(AW210)&gt;0),IFERROR(IFERROR(_xlfn.XLOOKUP(AP210,BP10:BP57,BT10:BT57),IFERROR(_xlfn.XLOOKUP(AP210,BQ10:BQ57,BT10:BT57),_xlfn.XLOOKUP(AP210,BR10:BR57,BT10:BT57,""))),""),""),""),"")</f>
        <v/>
      </c>
      <c r="BC210" s="813" cm="1">
        <f t="array" ref="BC210">IF(NOT(AQ210),0,IF(OR(BA210="",N(BA210)&lt;=0.000000001),"",IF(OR(AU210="",N(AU210)&lt;=0.000000001),0,IF(ISNUMBER(BA210),IFERROR(_xlfn.LET(_xlpm.ai_test,TRIM(AP210),_xlpm.r,IFERROR(_xlfn.XLOOKUP(_xlpm.ai_test,BP16:BP63,ROW(BP16:BP63),0,1),IFERROR(_xlfn.XLOOKUP(_xlpm.ai_test,BQ16:BQ63,ROW(BQ16:BQ63),0,1),_xlfn.XLOOKUP(_xlpm.ai_test,BR16:BR63,ROW(BR16:BR63),0,1))),_xlpm.p,_xlpm.r-MIN(ROW(BP16:BP63))+1,_xlpm.f,INDEX(BS16:BS63,_xlpm.p),_xlpm.u,INDEX(BT16:BT63,_xlpm.p),_xlpm.s,INDEX(BV16:BV63,_xlpm.p),_xlpm.q,N(BA210)/_xlpm.f,IF(_xlpm.q&gt;=_xlpm.s,ROUND(_xlpm.q,1)&amp;" "&amp;_xlpm.ai_test&amp;" = "&amp;ROUND(_xlpm.q*_xlpm.f,1)&amp;" "&amp;_xlpm.u,ROUND(_xlpm.q,1)&amp;" "&amp;_xlpm.ai_test)),""),""))))</f>
        <v>0</v>
      </c>
      <c r="BD210" s="801"/>
      <c r="BE210" s="799" t="str">
        <f t="shared" si="87"/>
        <v/>
      </c>
      <c r="BF210" s="800" t="str">
        <f t="shared" si="88"/>
        <v/>
      </c>
      <c r="BG210" s="802">
        <f t="shared" si="91"/>
        <v>0</v>
      </c>
      <c r="BH210" s="803" t="str">
        <f t="shared" si="92"/>
        <v/>
      </c>
      <c r="BI210" s="792"/>
      <c r="BJ210" s="804">
        <f t="shared" si="90"/>
        <v>0</v>
      </c>
      <c r="BK210" s="794" t="str">
        <f t="shared" si="89"/>
        <v/>
      </c>
      <c r="BL210" s="227" t="s">
        <v>21</v>
      </c>
      <c r="BM210" s="773">
        <f t="shared" si="78"/>
        <v>0</v>
      </c>
      <c r="BN210" s="774">
        <f t="shared" si="79"/>
        <v>0</v>
      </c>
      <c r="BO210"/>
      <c r="BX210"/>
      <c r="BY210"/>
      <c r="BZ210"/>
      <c r="CA210"/>
      <c r="CB210"/>
      <c r="CC210"/>
      <c r="CD210" s="781" t="str">
        <f t="shared" si="93"/>
        <v>►</v>
      </c>
      <c r="CE210"/>
      <c r="CF210"/>
      <c r="CG210"/>
      <c r="CH210"/>
      <c r="CI210"/>
      <c r="CJ210" s="633"/>
      <c r="CK210"/>
      <c r="CL210"/>
      <c r="CM210"/>
      <c r="CN210"/>
      <c r="CO210"/>
      <c r="CP210"/>
      <c r="CQ210"/>
      <c r="CS210"/>
      <c r="CT210"/>
      <c r="CU210"/>
      <c r="CV210"/>
      <c r="CW210"/>
      <c r="CX210"/>
      <c r="CY210"/>
      <c r="DA210"/>
      <c r="DB210"/>
      <c r="DC210"/>
      <c r="DD210"/>
      <c r="DE210"/>
      <c r="DF210"/>
      <c r="DG210"/>
      <c r="DI210" s="3">
        <v>1</v>
      </c>
    </row>
    <row r="211" spans="1:113" s="627" customFormat="1" ht="21" customHeight="1">
      <c r="A211" s="701" t="s">
        <v>21</v>
      </c>
      <c r="B211" s="2265" t="str" cm="1">
        <f t="array" ref="B211">SUMPRODUCT(--(D211:J211&lt;&gt;""), LEN(TRIM(SUBSTITUTE(D211:J211, CHAR(160), "")))) &amp; " Car."</f>
        <v>0 Car.</v>
      </c>
      <c r="C211" s="1376" t="str">
        <f>IF(ISBLANK(D211),"",LARGE(C13:C210,1)+1)</f>
        <v/>
      </c>
      <c r="D211" s="1833"/>
      <c r="E211" s="1810"/>
      <c r="F211" s="1810"/>
      <c r="G211" s="1810"/>
      <c r="H211" s="1810"/>
      <c r="I211" s="1810"/>
      <c r="J211" s="1810"/>
      <c r="K211" s="1810"/>
      <c r="L211" s="1811"/>
      <c r="M211" s="9"/>
      <c r="N211" s="25" t="str">
        <f t="shared" si="95"/>
        <v>►</v>
      </c>
      <c r="O211" s="1616"/>
      <c r="P211" s="9"/>
      <c r="Q211" s="25" t="s">
        <v>15</v>
      </c>
      <c r="R211" s="31"/>
      <c r="S211" s="32"/>
      <c r="T211" s="31"/>
      <c r="U211" s="33"/>
      <c r="V211" s="1967"/>
      <c r="W211" s="1805"/>
      <c r="X211" s="91"/>
      <c r="Y211" s="1806"/>
      <c r="Z211" s="1968"/>
      <c r="AA211" s="2244"/>
      <c r="AB211" s="1969"/>
      <c r="AC211" s="1365"/>
      <c r="AD211" s="95"/>
      <c r="AE211" s="1326"/>
      <c r="AF211" s="97"/>
      <c r="AG211" s="1737"/>
      <c r="AH211" s="1970"/>
      <c r="AI211" s="99"/>
      <c r="AJ211" s="1809"/>
      <c r="AK211" s="6120" t="str">
        <f t="shared" si="96"/>
        <v>►</v>
      </c>
      <c r="AL211" s="781" t="str">
        <f t="shared" si="77"/>
        <v>►</v>
      </c>
      <c r="AM211" s="5499" t="str">
        <f t="shared" si="80"/>
        <v/>
      </c>
      <c r="AN211" s="783" t="str">
        <f t="shared" si="81"/>
        <v/>
      </c>
      <c r="AO211" s="782" t="str">
        <f t="shared" si="82"/>
        <v/>
      </c>
      <c r="AP211" s="783" t="str">
        <f t="shared" si="83"/>
        <v/>
      </c>
      <c r="AQ211" s="2083" t="b">
        <f>AND(Q211="A",COUNTIF(BP16:BR63,TRIM(Z211))&gt;0)</f>
        <v>0</v>
      </c>
      <c r="AR211" s="797" t="str">
        <f>IF(AL211&lt;&gt;"A","",IFERROR(IFERROR(_xlfn.XLOOKUP(TRIM(SUBSTITUTE(Z211,CHAR(160)," ")),BP16:BP63,BS16:BS63),IFERROR(_xlfn.XLOOKUP(TRIM(SUBSTITUTE(Z211,CHAR(160)," ")),BQ16:BQ63,BS16:BS63),_xlfn.XLOOKUP(TRIM(SUBSTITUTE(Z211,CHAR(160)," ")),BR16:BR63,BS16:BS63)))*Y211*IF(ISBLANK(V211),1,V211),0))</f>
        <v/>
      </c>
      <c r="AS211" s="784" t="str">
        <f t="shared" si="94"/>
        <v/>
      </c>
      <c r="AT211" s="1315" t="str">
        <f t="shared" si="84"/>
        <v/>
      </c>
      <c r="AU211" s="785">
        <f t="shared" si="85"/>
        <v>0</v>
      </c>
      <c r="AV211" s="785">
        <f t="shared" si="86"/>
        <v>0</v>
      </c>
      <c r="AW211" s="786">
        <f>IF(AK211="A",AY10,0)</f>
        <v>0</v>
      </c>
      <c r="AX211" s="5495" t="str">
        <f>IF(IFERROR(SEARCH("Adresse PC",TRIM(W211)),0)&gt;0,"▼ receta siguiente",IF(AK211="A",IF(AZ10&lt;&gt;"",AZ10&amp;" - ou.or.o ❾ + or - &gt;",""),""))</f>
        <v/>
      </c>
      <c r="AY211" s="810"/>
      <c r="AZ211" s="810"/>
      <c r="BA211" s="788" t="str">
        <f t="shared" si="76"/>
        <v/>
      </c>
      <c r="BB211" s="789" t="str">
        <f>IF(AK211="A",IF(AQ211,IF(AND(AW211&lt;&gt;"",N(AW211)&gt;0),IFERROR(IFERROR(_xlfn.XLOOKUP(AP211,BP10:BP57,BT10:BT57),IFERROR(_xlfn.XLOOKUP(AP211,BQ10:BQ57,BT10:BT57),_xlfn.XLOOKUP(AP211,BR10:BR57,BT10:BT57,""))),""),""),""),"")</f>
        <v/>
      </c>
      <c r="BC211" s="811" cm="1">
        <f t="array" ref="BC211">IF(NOT(AQ211),0,IF(OR(BA211="",N(BA211)&lt;=0.000000001),"",IF(OR(AU211="",N(AU211)&lt;=0.000000001),0,IF(ISNUMBER(BA211),IFERROR(_xlfn.LET(_xlpm.ai_test,TRIM(AP211),_xlpm.r,IFERROR(_xlfn.XLOOKUP(_xlpm.ai_test,BP16:BP63,ROW(BP16:BP63),0,1),IFERROR(_xlfn.XLOOKUP(_xlpm.ai_test,BQ16:BQ63,ROW(BQ16:BQ63),0,1),_xlfn.XLOOKUP(_xlpm.ai_test,BR16:BR63,ROW(BR16:BR63),0,1))),_xlpm.p,_xlpm.r-MIN(ROW(BP16:BP63))+1,_xlpm.f,INDEX(BS16:BS63,_xlpm.p),_xlpm.u,INDEX(BT16:BT63,_xlpm.p),_xlpm.s,INDEX(BV16:BV63,_xlpm.p),_xlpm.q,N(BA211)/_xlpm.f,IF(_xlpm.q&gt;=_xlpm.s,ROUND(_xlpm.q,1)&amp;" "&amp;_xlpm.ai_test&amp;" = "&amp;ROUND(_xlpm.q*_xlpm.f,1)&amp;" "&amp;_xlpm.u,ROUND(_xlpm.q,1)&amp;" "&amp;_xlpm.ai_test)),""),""))))</f>
        <v>0</v>
      </c>
      <c r="BD211" s="801"/>
      <c r="BE211" s="788" t="str">
        <f t="shared" si="87"/>
        <v/>
      </c>
      <c r="BF211" s="789" t="str">
        <f t="shared" si="88"/>
        <v/>
      </c>
      <c r="BG211" s="790">
        <f t="shared" si="91"/>
        <v>0</v>
      </c>
      <c r="BH211" s="791" t="str">
        <f t="shared" si="92"/>
        <v/>
      </c>
      <c r="BI211" s="792"/>
      <c r="BJ211" s="793">
        <f t="shared" si="90"/>
        <v>0</v>
      </c>
      <c r="BK211" s="794" t="str">
        <f t="shared" si="89"/>
        <v/>
      </c>
      <c r="BL211" s="227" t="s">
        <v>21</v>
      </c>
      <c r="BM211" s="773">
        <f t="shared" si="78"/>
        <v>0</v>
      </c>
      <c r="BN211" s="774">
        <f t="shared" si="79"/>
        <v>0</v>
      </c>
      <c r="BO211"/>
      <c r="BX211"/>
      <c r="BY211"/>
      <c r="BZ211"/>
      <c r="CA211"/>
      <c r="CB211"/>
      <c r="CC211"/>
      <c r="CD211" s="781" t="str">
        <f t="shared" si="93"/>
        <v>►</v>
      </c>
      <c r="CE211"/>
      <c r="CF211"/>
      <c r="CG211"/>
      <c r="CH211"/>
      <c r="CI211"/>
      <c r="CJ211" s="633"/>
      <c r="CK211"/>
      <c r="CL211"/>
      <c r="CM211"/>
      <c r="CN211"/>
      <c r="CO211"/>
      <c r="CP211"/>
      <c r="CQ211"/>
      <c r="CS211"/>
      <c r="CT211"/>
      <c r="CU211"/>
      <c r="CV211"/>
      <c r="CW211"/>
      <c r="CX211"/>
      <c r="CY211"/>
      <c r="DA211"/>
      <c r="DB211"/>
      <c r="DC211"/>
      <c r="DD211"/>
      <c r="DE211"/>
      <c r="DF211"/>
      <c r="DG211"/>
      <c r="DI211" s="3">
        <v>1</v>
      </c>
    </row>
    <row r="212" spans="1:113" s="627" customFormat="1" ht="21" customHeight="1">
      <c r="A212" s="701" t="s">
        <v>21</v>
      </c>
      <c r="B212" s="2265" t="str" cm="1">
        <f t="array" ref="B212">SUMPRODUCT(--(D212:J212&lt;&gt;""), LEN(TRIM(SUBSTITUTE(D212:J212, CHAR(160), "")))) &amp; " Car."</f>
        <v>0 Car.</v>
      </c>
      <c r="C212" s="1376" t="str">
        <f>IF(ISBLANK(D212),"",LARGE(C13:C211,1)+1)</f>
        <v/>
      </c>
      <c r="D212" s="1833"/>
      <c r="E212" s="1810"/>
      <c r="F212" s="1810"/>
      <c r="G212" s="1810"/>
      <c r="H212" s="1810"/>
      <c r="I212" s="1810"/>
      <c r="J212" s="1810"/>
      <c r="K212" s="1810"/>
      <c r="L212" s="1811"/>
      <c r="M212" s="9"/>
      <c r="N212" s="25" t="str">
        <f t="shared" si="95"/>
        <v>►</v>
      </c>
      <c r="O212" s="1616"/>
      <c r="P212" s="9"/>
      <c r="Q212" s="25" t="s">
        <v>15</v>
      </c>
      <c r="R212" s="31"/>
      <c r="S212" s="32"/>
      <c r="T212" s="31"/>
      <c r="U212" s="33"/>
      <c r="V212" s="1967"/>
      <c r="W212" s="1805"/>
      <c r="X212" s="91"/>
      <c r="Y212" s="1806"/>
      <c r="Z212" s="1968"/>
      <c r="AA212" s="2244"/>
      <c r="AB212" s="1969"/>
      <c r="AC212" s="1365"/>
      <c r="AD212" s="95"/>
      <c r="AE212" s="1326"/>
      <c r="AF212" s="97"/>
      <c r="AG212" s="1737"/>
      <c r="AH212" s="1970"/>
      <c r="AI212" s="99"/>
      <c r="AJ212" s="1809"/>
      <c r="AK212" s="6120" t="str">
        <f t="shared" si="96"/>
        <v>►</v>
      </c>
      <c r="AL212" s="781" t="str">
        <f t="shared" si="77"/>
        <v>►</v>
      </c>
      <c r="AM212" s="5498" t="str">
        <f t="shared" si="80"/>
        <v/>
      </c>
      <c r="AN212" s="783" t="str">
        <f t="shared" si="81"/>
        <v/>
      </c>
      <c r="AO212" s="782" t="str">
        <f t="shared" si="82"/>
        <v/>
      </c>
      <c r="AP212" s="783" t="str">
        <f t="shared" si="83"/>
        <v/>
      </c>
      <c r="AQ212" s="2083" t="b">
        <f>AND(Q212="A",COUNTIF(BP16:BR63,TRIM(Z212))&gt;0)</f>
        <v>0</v>
      </c>
      <c r="AR212" s="797" t="str">
        <f>IF(AL212&lt;&gt;"A","",IFERROR(IFERROR(_xlfn.XLOOKUP(TRIM(SUBSTITUTE(Z212,CHAR(160)," ")),BP16:BP63,BS16:BS63),IFERROR(_xlfn.XLOOKUP(TRIM(SUBSTITUTE(Z212,CHAR(160)," ")),BQ16:BQ63,BS16:BS63),_xlfn.XLOOKUP(TRIM(SUBSTITUTE(Z212,CHAR(160)," ")),BR16:BR63,BS16:BS63)))*Y212*IF(ISBLANK(V212),1,V212),0))</f>
        <v/>
      </c>
      <c r="AS212" s="784" t="str">
        <f t="shared" si="94"/>
        <v/>
      </c>
      <c r="AT212" s="1315" t="str">
        <f t="shared" si="84"/>
        <v/>
      </c>
      <c r="AU212" s="785">
        <f t="shared" si="85"/>
        <v>0</v>
      </c>
      <c r="AV212" s="785">
        <f t="shared" si="86"/>
        <v>0</v>
      </c>
      <c r="AW212" s="798">
        <f>IF(AK212="A",AY10,0)</f>
        <v>0</v>
      </c>
      <c r="AX212" s="5496" t="str">
        <f>IF(IFERROR(SEARCH("Adresse PC",TRIM(W212)),0)&gt;0,"▼ receta siguiente",IF(AK212="A",IF(AZ10&lt;&gt;"",AZ10&amp;" - ou.or.o ❾ + or - &gt;",""),""))</f>
        <v/>
      </c>
      <c r="AY212" s="810"/>
      <c r="AZ212" s="810"/>
      <c r="BA212" s="799" t="str">
        <f t="shared" ref="BA212:BA275" si="97">IF(AK212="A",IF(UPPER(TRIM(SUBSTITUTE(AS212,CHAR(160),"")))="KG",N(AR212)*N(BN212),0),"")</f>
        <v/>
      </c>
      <c r="BB212" s="800" t="str">
        <f>IF(AK212="A",IF(AQ212,IF(AND(AW212&lt;&gt;"",N(AW212)&gt;0),IFERROR(IFERROR(_xlfn.XLOOKUP(AP212,BP10:BP57,BT10:BT57),IFERROR(_xlfn.XLOOKUP(AP212,BQ10:BQ57,BT10:BT57),_xlfn.XLOOKUP(AP212,BR10:BR57,BT10:BT57,""))),""),""),""),"")</f>
        <v/>
      </c>
      <c r="BC212" s="813" cm="1">
        <f t="array" ref="BC212">IF(NOT(AQ212),0,IF(OR(BA212="",N(BA212)&lt;=0.000000001),"",IF(OR(AU212="",N(AU212)&lt;=0.000000001),0,IF(ISNUMBER(BA212),IFERROR(_xlfn.LET(_xlpm.ai_test,TRIM(AP212),_xlpm.r,IFERROR(_xlfn.XLOOKUP(_xlpm.ai_test,BP16:BP63,ROW(BP16:BP63),0,1),IFERROR(_xlfn.XLOOKUP(_xlpm.ai_test,BQ16:BQ63,ROW(BQ16:BQ63),0,1),_xlfn.XLOOKUP(_xlpm.ai_test,BR16:BR63,ROW(BR16:BR63),0,1))),_xlpm.p,_xlpm.r-MIN(ROW(BP16:BP63))+1,_xlpm.f,INDEX(BS16:BS63,_xlpm.p),_xlpm.u,INDEX(BT16:BT63,_xlpm.p),_xlpm.s,INDEX(BV16:BV63,_xlpm.p),_xlpm.q,N(BA212)/_xlpm.f,IF(_xlpm.q&gt;=_xlpm.s,ROUND(_xlpm.q,1)&amp;" "&amp;_xlpm.ai_test&amp;" = "&amp;ROUND(_xlpm.q*_xlpm.f,1)&amp;" "&amp;_xlpm.u,ROUND(_xlpm.q,1)&amp;" "&amp;_xlpm.ai_test)),""),""))))</f>
        <v>0</v>
      </c>
      <c r="BD212" s="801"/>
      <c r="BE212" s="799" t="str">
        <f t="shared" si="87"/>
        <v/>
      </c>
      <c r="BF212" s="800" t="str">
        <f t="shared" si="88"/>
        <v/>
      </c>
      <c r="BG212" s="802">
        <f t="shared" si="91"/>
        <v>0</v>
      </c>
      <c r="BH212" s="803" t="str">
        <f t="shared" si="92"/>
        <v/>
      </c>
      <c r="BI212" s="792"/>
      <c r="BJ212" s="804">
        <f t="shared" si="90"/>
        <v>0</v>
      </c>
      <c r="BK212" s="794" t="str">
        <f t="shared" si="89"/>
        <v/>
      </c>
      <c r="BL212" s="227" t="s">
        <v>21</v>
      </c>
      <c r="BM212" s="773">
        <f t="shared" si="78"/>
        <v>0</v>
      </c>
      <c r="BN212" s="774">
        <f t="shared" si="79"/>
        <v>0</v>
      </c>
      <c r="BO212"/>
      <c r="BX212"/>
      <c r="BY212"/>
      <c r="BZ212"/>
      <c r="CA212"/>
      <c r="CB212"/>
      <c r="CC212"/>
      <c r="CD212" s="781" t="str">
        <f t="shared" si="93"/>
        <v>►</v>
      </c>
      <c r="CE212"/>
      <c r="CF212"/>
      <c r="CG212"/>
      <c r="CH212"/>
      <c r="CI212"/>
      <c r="CJ212" s="633"/>
      <c r="CK212"/>
      <c r="CL212"/>
      <c r="CM212"/>
      <c r="CN212"/>
      <c r="CO212"/>
      <c r="CP212"/>
      <c r="CQ212"/>
      <c r="CS212"/>
      <c r="CT212"/>
      <c r="CU212"/>
      <c r="CV212"/>
      <c r="CW212"/>
      <c r="CX212"/>
      <c r="CY212"/>
      <c r="DA212"/>
      <c r="DB212"/>
      <c r="DC212"/>
      <c r="DD212"/>
      <c r="DE212"/>
      <c r="DF212"/>
      <c r="DG212"/>
      <c r="DI212" s="3">
        <v>1</v>
      </c>
    </row>
    <row r="213" spans="1:113" s="627" customFormat="1" ht="21" customHeight="1">
      <c r="A213" s="701" t="s">
        <v>21</v>
      </c>
      <c r="B213" s="2265" t="str" cm="1">
        <f t="array" ref="B213">SUMPRODUCT(--(D213:J213&lt;&gt;""), LEN(TRIM(SUBSTITUTE(D213:J213, CHAR(160), "")))) &amp; " Car."</f>
        <v>0 Car.</v>
      </c>
      <c r="C213" s="1376" t="str">
        <f>IF(ISBLANK(D213),"",LARGE(C13:C212,1)+1)</f>
        <v/>
      </c>
      <c r="D213" s="1833"/>
      <c r="E213" s="1810"/>
      <c r="F213" s="1810"/>
      <c r="G213" s="1810"/>
      <c r="H213" s="1810"/>
      <c r="I213" s="1810"/>
      <c r="J213" s="1810"/>
      <c r="K213" s="1810"/>
      <c r="L213" s="1811"/>
      <c r="M213" s="9"/>
      <c r="N213" s="25" t="str">
        <f t="shared" si="95"/>
        <v>►</v>
      </c>
      <c r="O213" s="1616"/>
      <c r="P213" s="9"/>
      <c r="Q213" s="25" t="s">
        <v>15</v>
      </c>
      <c r="R213" s="31"/>
      <c r="S213" s="32"/>
      <c r="T213" s="31"/>
      <c r="U213" s="33"/>
      <c r="V213" s="1967"/>
      <c r="W213" s="1805"/>
      <c r="X213" s="91"/>
      <c r="Y213" s="1806"/>
      <c r="Z213" s="1968"/>
      <c r="AA213" s="2244"/>
      <c r="AB213" s="1969"/>
      <c r="AC213" s="1365"/>
      <c r="AD213" s="95"/>
      <c r="AE213" s="1326"/>
      <c r="AF213" s="97"/>
      <c r="AG213" s="1737"/>
      <c r="AH213" s="1970"/>
      <c r="AI213" s="99"/>
      <c r="AJ213" s="1809"/>
      <c r="AK213" s="6120" t="str">
        <f t="shared" si="96"/>
        <v>►</v>
      </c>
      <c r="AL213" s="781" t="str">
        <f t="shared" si="77"/>
        <v>►</v>
      </c>
      <c r="AM213" s="5499" t="str">
        <f t="shared" si="80"/>
        <v/>
      </c>
      <c r="AN213" s="783" t="str">
        <f t="shared" si="81"/>
        <v/>
      </c>
      <c r="AO213" s="782" t="str">
        <f t="shared" si="82"/>
        <v/>
      </c>
      <c r="AP213" s="783" t="str">
        <f t="shared" si="83"/>
        <v/>
      </c>
      <c r="AQ213" s="2083" t="b">
        <f>AND(Q213="A",COUNTIF(BP16:BR63,TRIM(Z213))&gt;0)</f>
        <v>0</v>
      </c>
      <c r="AR213" s="797" t="str">
        <f>IF(AL213&lt;&gt;"A","",IFERROR(IFERROR(_xlfn.XLOOKUP(TRIM(SUBSTITUTE(Z213,CHAR(160)," ")),BP16:BP63,BS16:BS63),IFERROR(_xlfn.XLOOKUP(TRIM(SUBSTITUTE(Z213,CHAR(160)," ")),BQ16:BQ63,BS16:BS63),_xlfn.XLOOKUP(TRIM(SUBSTITUTE(Z213,CHAR(160)," ")),BR16:BR63,BS16:BS63)))*Y213*IF(ISBLANK(V213),1,V213),0))</f>
        <v/>
      </c>
      <c r="AS213" s="784" t="str">
        <f t="shared" si="94"/>
        <v/>
      </c>
      <c r="AT213" s="1315" t="str">
        <f t="shared" si="84"/>
        <v/>
      </c>
      <c r="AU213" s="785">
        <f t="shared" si="85"/>
        <v>0</v>
      </c>
      <c r="AV213" s="785">
        <f t="shared" si="86"/>
        <v>0</v>
      </c>
      <c r="AW213" s="786">
        <f>IF(AK213="A",AY10,0)</f>
        <v>0</v>
      </c>
      <c r="AX213" s="5495" t="str">
        <f>IF(IFERROR(SEARCH("Adresse PC",TRIM(W213)),0)&gt;0,"▼ receta siguiente",IF(AK213="A",IF(AZ10&lt;&gt;"",AZ10&amp;" - ou.or.o ❾ + or - &gt;",""),""))</f>
        <v/>
      </c>
      <c r="AY213" s="810"/>
      <c r="AZ213" s="810"/>
      <c r="BA213" s="788" t="str">
        <f t="shared" si="97"/>
        <v/>
      </c>
      <c r="BB213" s="789" t="str">
        <f>IF(AK213="A",IF(AQ213,IF(AND(AW213&lt;&gt;"",N(AW213)&gt;0),IFERROR(IFERROR(_xlfn.XLOOKUP(AP213,BP10:BP57,BT10:BT57),IFERROR(_xlfn.XLOOKUP(AP213,BQ10:BQ57,BT10:BT57),_xlfn.XLOOKUP(AP213,BR10:BR57,BT10:BT57,""))),""),""),""),"")</f>
        <v/>
      </c>
      <c r="BC213" s="811" cm="1">
        <f t="array" ref="BC213">IF(NOT(AQ213),0,IF(OR(BA213="",N(BA213)&lt;=0.000000001),"",IF(OR(AU213="",N(AU213)&lt;=0.000000001),0,IF(ISNUMBER(BA213),IFERROR(_xlfn.LET(_xlpm.ai_test,TRIM(AP213),_xlpm.r,IFERROR(_xlfn.XLOOKUP(_xlpm.ai_test,BP16:BP63,ROW(BP16:BP63),0,1),IFERROR(_xlfn.XLOOKUP(_xlpm.ai_test,BQ16:BQ63,ROW(BQ16:BQ63),0,1),_xlfn.XLOOKUP(_xlpm.ai_test,BR16:BR63,ROW(BR16:BR63),0,1))),_xlpm.p,_xlpm.r-MIN(ROW(BP16:BP63))+1,_xlpm.f,INDEX(BS16:BS63,_xlpm.p),_xlpm.u,INDEX(BT16:BT63,_xlpm.p),_xlpm.s,INDEX(BV16:BV63,_xlpm.p),_xlpm.q,N(BA213)/_xlpm.f,IF(_xlpm.q&gt;=_xlpm.s,ROUND(_xlpm.q,1)&amp;" "&amp;_xlpm.ai_test&amp;" = "&amp;ROUND(_xlpm.q*_xlpm.f,1)&amp;" "&amp;_xlpm.u,ROUND(_xlpm.q,1)&amp;" "&amp;_xlpm.ai_test)),""),""))))</f>
        <v>0</v>
      </c>
      <c r="BD213" s="801"/>
      <c r="BE213" s="788" t="str">
        <f t="shared" si="87"/>
        <v/>
      </c>
      <c r="BF213" s="789" t="str">
        <f t="shared" si="88"/>
        <v/>
      </c>
      <c r="BG213" s="790">
        <f t="shared" si="91"/>
        <v>0</v>
      </c>
      <c r="BH213" s="791" t="str">
        <f t="shared" si="92"/>
        <v/>
      </c>
      <c r="BI213" s="792"/>
      <c r="BJ213" s="793">
        <f t="shared" si="90"/>
        <v>0</v>
      </c>
      <c r="BK213" s="794" t="str">
        <f t="shared" si="89"/>
        <v/>
      </c>
      <c r="BL213" s="227" t="s">
        <v>21</v>
      </c>
      <c r="BM213" s="773">
        <f t="shared" si="78"/>
        <v>0</v>
      </c>
      <c r="BN213" s="774">
        <f t="shared" si="79"/>
        <v>0</v>
      </c>
      <c r="BO213"/>
      <c r="BX213"/>
      <c r="BY213"/>
      <c r="BZ213"/>
      <c r="CA213"/>
      <c r="CB213"/>
      <c r="CC213"/>
      <c r="CD213" s="781" t="str">
        <f t="shared" si="93"/>
        <v>►</v>
      </c>
      <c r="CE213"/>
      <c r="CF213"/>
      <c r="CG213"/>
      <c r="CH213"/>
      <c r="CI213"/>
      <c r="CJ213" s="633"/>
      <c r="CK213"/>
      <c r="CL213"/>
      <c r="CM213"/>
      <c r="CN213"/>
      <c r="CO213"/>
      <c r="CP213"/>
      <c r="CQ213"/>
      <c r="CS213"/>
      <c r="CT213"/>
      <c r="CU213"/>
      <c r="CV213"/>
      <c r="CW213"/>
      <c r="CX213"/>
      <c r="CY213"/>
      <c r="DA213"/>
      <c r="DB213"/>
      <c r="DC213"/>
      <c r="DD213"/>
      <c r="DE213"/>
      <c r="DF213"/>
      <c r="DG213"/>
      <c r="DI213" s="3">
        <v>1</v>
      </c>
    </row>
    <row r="214" spans="1:113" s="627" customFormat="1" ht="21" customHeight="1">
      <c r="A214" s="701" t="s">
        <v>21</v>
      </c>
      <c r="B214" s="2265" t="str" cm="1">
        <f t="array" ref="B214">SUMPRODUCT(--(D214:J214&lt;&gt;""), LEN(TRIM(SUBSTITUTE(D214:J214, CHAR(160), "")))) &amp; " Car."</f>
        <v>0 Car.</v>
      </c>
      <c r="C214" s="1376" t="str">
        <f>IF(ISBLANK(D214),"",LARGE(C13:C213,1)+1)</f>
        <v/>
      </c>
      <c r="D214" s="1833"/>
      <c r="E214" s="1810"/>
      <c r="F214" s="1810"/>
      <c r="G214" s="1810"/>
      <c r="H214" s="1810"/>
      <c r="I214" s="1810"/>
      <c r="J214" s="1810"/>
      <c r="K214" s="1810"/>
      <c r="L214" s="1811"/>
      <c r="M214" s="9"/>
      <c r="N214" s="25" t="str">
        <f t="shared" si="95"/>
        <v>►</v>
      </c>
      <c r="O214" s="1616"/>
      <c r="P214" s="9"/>
      <c r="Q214" s="25" t="s">
        <v>15</v>
      </c>
      <c r="R214" s="31"/>
      <c r="S214" s="32"/>
      <c r="T214" s="31"/>
      <c r="U214" s="33"/>
      <c r="V214" s="1967"/>
      <c r="W214" s="1805"/>
      <c r="X214" s="91"/>
      <c r="Y214" s="1806"/>
      <c r="Z214" s="1968"/>
      <c r="AA214" s="2244"/>
      <c r="AB214" s="1969"/>
      <c r="AC214" s="1365"/>
      <c r="AD214" s="95"/>
      <c r="AE214" s="1326"/>
      <c r="AF214" s="97"/>
      <c r="AG214" s="1737"/>
      <c r="AH214" s="1970"/>
      <c r="AI214" s="99"/>
      <c r="AJ214" s="1809"/>
      <c r="AK214" s="6120" t="str">
        <f t="shared" si="96"/>
        <v>►</v>
      </c>
      <c r="AL214" s="781" t="str">
        <f t="shared" si="77"/>
        <v>►</v>
      </c>
      <c r="AM214" s="5498" t="str">
        <f t="shared" si="80"/>
        <v/>
      </c>
      <c r="AN214" s="783" t="str">
        <f t="shared" si="81"/>
        <v/>
      </c>
      <c r="AO214" s="782" t="str">
        <f t="shared" si="82"/>
        <v/>
      </c>
      <c r="AP214" s="783" t="str">
        <f t="shared" si="83"/>
        <v/>
      </c>
      <c r="AQ214" s="2083" t="b">
        <f>AND(Q214="A",COUNTIF(BP16:BR63,TRIM(Z214))&gt;0)</f>
        <v>0</v>
      </c>
      <c r="AR214" s="797" t="str">
        <f>IF(AL214&lt;&gt;"A","",IFERROR(IFERROR(_xlfn.XLOOKUP(TRIM(SUBSTITUTE(Z214,CHAR(160)," ")),BP16:BP63,BS16:BS63),IFERROR(_xlfn.XLOOKUP(TRIM(SUBSTITUTE(Z214,CHAR(160)," ")),BQ16:BQ63,BS16:BS63),_xlfn.XLOOKUP(TRIM(SUBSTITUTE(Z214,CHAR(160)," ")),BR16:BR63,BS16:BS63)))*Y214*IF(ISBLANK(V214),1,V214),0))</f>
        <v/>
      </c>
      <c r="AS214" s="784" t="str">
        <f t="shared" si="94"/>
        <v/>
      </c>
      <c r="AT214" s="1315" t="str">
        <f t="shared" si="84"/>
        <v/>
      </c>
      <c r="AU214" s="785">
        <f t="shared" si="85"/>
        <v>0</v>
      </c>
      <c r="AV214" s="785">
        <f t="shared" si="86"/>
        <v>0</v>
      </c>
      <c r="AW214" s="798">
        <f>IF(AK214="A",AY10,0)</f>
        <v>0</v>
      </c>
      <c r="AX214" s="5496" t="str">
        <f>IF(IFERROR(SEARCH("Adresse PC",TRIM(W214)),0)&gt;0,"▼ receta siguiente",IF(AK214="A",IF(AZ10&lt;&gt;"",AZ10&amp;" - ou.or.o ❾ + or - &gt;",""),""))</f>
        <v/>
      </c>
      <c r="AY214" s="810"/>
      <c r="AZ214" s="810"/>
      <c r="BA214" s="799" t="str">
        <f t="shared" si="97"/>
        <v/>
      </c>
      <c r="BB214" s="800" t="str">
        <f>IF(AK214="A",IF(AQ214,IF(AND(AW214&lt;&gt;"",N(AW214)&gt;0),IFERROR(IFERROR(_xlfn.XLOOKUP(AP214,BP10:BP57,BT10:BT57),IFERROR(_xlfn.XLOOKUP(AP214,BQ10:BQ57,BT10:BT57),_xlfn.XLOOKUP(AP214,BR10:BR57,BT10:BT57,""))),""),""),""),"")</f>
        <v/>
      </c>
      <c r="BC214" s="813" cm="1">
        <f t="array" ref="BC214">IF(NOT(AQ214),0,IF(OR(BA214="",N(BA214)&lt;=0.000000001),"",IF(OR(AU214="",N(AU214)&lt;=0.000000001),0,IF(ISNUMBER(BA214),IFERROR(_xlfn.LET(_xlpm.ai_test,TRIM(AP214),_xlpm.r,IFERROR(_xlfn.XLOOKUP(_xlpm.ai_test,BP16:BP63,ROW(BP16:BP63),0,1),IFERROR(_xlfn.XLOOKUP(_xlpm.ai_test,BQ16:BQ63,ROW(BQ16:BQ63),0,1),_xlfn.XLOOKUP(_xlpm.ai_test,BR16:BR63,ROW(BR16:BR63),0,1))),_xlpm.p,_xlpm.r-MIN(ROW(BP16:BP63))+1,_xlpm.f,INDEX(BS16:BS63,_xlpm.p),_xlpm.u,INDEX(BT16:BT63,_xlpm.p),_xlpm.s,INDEX(BV16:BV63,_xlpm.p),_xlpm.q,N(BA214)/_xlpm.f,IF(_xlpm.q&gt;=_xlpm.s,ROUND(_xlpm.q,1)&amp;" "&amp;_xlpm.ai_test&amp;" = "&amp;ROUND(_xlpm.q*_xlpm.f,1)&amp;" "&amp;_xlpm.u,ROUND(_xlpm.q,1)&amp;" "&amp;_xlpm.ai_test)),""),""))))</f>
        <v>0</v>
      </c>
      <c r="BD214" s="801"/>
      <c r="BE214" s="799" t="str">
        <f t="shared" si="87"/>
        <v/>
      </c>
      <c r="BF214" s="800" t="str">
        <f t="shared" si="88"/>
        <v/>
      </c>
      <c r="BG214" s="802">
        <f t="shared" si="91"/>
        <v>0</v>
      </c>
      <c r="BH214" s="803" t="str">
        <f t="shared" si="92"/>
        <v/>
      </c>
      <c r="BI214" s="792"/>
      <c r="BJ214" s="804">
        <f t="shared" si="90"/>
        <v>0</v>
      </c>
      <c r="BK214" s="794" t="str">
        <f t="shared" si="89"/>
        <v/>
      </c>
      <c r="BL214" s="227" t="s">
        <v>21</v>
      </c>
      <c r="BM214" s="773">
        <f t="shared" si="78"/>
        <v>0</v>
      </c>
      <c r="BN214" s="774">
        <f t="shared" si="79"/>
        <v>0</v>
      </c>
      <c r="BO214"/>
      <c r="BX214"/>
      <c r="BY214"/>
      <c r="BZ214"/>
      <c r="CA214"/>
      <c r="CB214"/>
      <c r="CC214"/>
      <c r="CD214" s="781" t="str">
        <f t="shared" si="93"/>
        <v>►</v>
      </c>
      <c r="CE214"/>
      <c r="CF214"/>
      <c r="CG214"/>
      <c r="CH214"/>
      <c r="CI214"/>
      <c r="CJ214" s="633"/>
      <c r="CK214"/>
      <c r="CL214"/>
      <c r="CM214"/>
      <c r="CN214"/>
      <c r="CO214"/>
      <c r="CP214"/>
      <c r="CQ214"/>
      <c r="CS214"/>
      <c r="CT214"/>
      <c r="CU214"/>
      <c r="CV214"/>
      <c r="CW214"/>
      <c r="CX214"/>
      <c r="CY214"/>
      <c r="DA214"/>
      <c r="DB214"/>
      <c r="DC214"/>
      <c r="DD214"/>
      <c r="DE214"/>
      <c r="DF214"/>
      <c r="DG214"/>
      <c r="DI214" s="3">
        <v>1</v>
      </c>
    </row>
    <row r="215" spans="1:113" s="627" customFormat="1" ht="21" customHeight="1">
      <c r="A215" s="701" t="s">
        <v>21</v>
      </c>
      <c r="B215" s="2265" t="str" cm="1">
        <f t="array" ref="B215">SUMPRODUCT(--(D215:J215&lt;&gt;""), LEN(TRIM(SUBSTITUTE(D215:J215, CHAR(160), "")))) &amp; " Car."</f>
        <v>0 Car.</v>
      </c>
      <c r="C215" s="1376" t="str">
        <f>IF(ISBLANK(D215),"",LARGE(C13:C214,1)+1)</f>
        <v/>
      </c>
      <c r="D215" s="1833"/>
      <c r="E215" s="1810"/>
      <c r="F215" s="1810"/>
      <c r="G215" s="1810"/>
      <c r="H215" s="1810"/>
      <c r="I215" s="1810"/>
      <c r="J215" s="1810"/>
      <c r="K215" s="1810"/>
      <c r="L215" s="1811"/>
      <c r="M215" s="9"/>
      <c r="N215" s="25" t="str">
        <f t="shared" si="95"/>
        <v>►</v>
      </c>
      <c r="O215" s="1616"/>
      <c r="P215" s="9"/>
      <c r="Q215" s="25" t="s">
        <v>15</v>
      </c>
      <c r="R215" s="31"/>
      <c r="S215" s="32"/>
      <c r="T215" s="31"/>
      <c r="U215" s="33"/>
      <c r="V215" s="1967"/>
      <c r="W215" s="1805"/>
      <c r="X215" s="91"/>
      <c r="Y215" s="1806"/>
      <c r="Z215" s="1968"/>
      <c r="AA215" s="2244"/>
      <c r="AB215" s="1969"/>
      <c r="AC215" s="1365"/>
      <c r="AD215" s="95"/>
      <c r="AE215" s="1326"/>
      <c r="AF215" s="97"/>
      <c r="AG215" s="1737"/>
      <c r="AH215" s="1970"/>
      <c r="AI215" s="99"/>
      <c r="AJ215" s="1809"/>
      <c r="AK215" s="6120" t="str">
        <f t="shared" si="96"/>
        <v>►</v>
      </c>
      <c r="AL215" s="781" t="str">
        <f t="shared" ref="AL215:AL278" si="98">IF(OR(AU215&gt;0,TRIM(AM215)="▼ recette suivante"),"A","►")</f>
        <v>►</v>
      </c>
      <c r="AM215" s="5499" t="str">
        <f t="shared" si="80"/>
        <v/>
      </c>
      <c r="AN215" s="783" t="str">
        <f t="shared" si="81"/>
        <v/>
      </c>
      <c r="AO215" s="782" t="str">
        <f t="shared" si="82"/>
        <v/>
      </c>
      <c r="AP215" s="783" t="str">
        <f t="shared" si="83"/>
        <v/>
      </c>
      <c r="AQ215" s="2083" t="b">
        <f>AND(Q215="A",COUNTIF(BP16:BR63,TRIM(Z215))&gt;0)</f>
        <v>0</v>
      </c>
      <c r="AR215" s="797" t="str">
        <f>IF(AL215&lt;&gt;"A","",IFERROR(IFERROR(_xlfn.XLOOKUP(TRIM(SUBSTITUTE(Z215,CHAR(160)," ")),BP16:BP63,BS16:BS63),IFERROR(_xlfn.XLOOKUP(TRIM(SUBSTITUTE(Z215,CHAR(160)," ")),BQ16:BQ63,BS16:BS63),_xlfn.XLOOKUP(TRIM(SUBSTITUTE(Z215,CHAR(160)," ")),BR16:BR63,BS16:BS63)))*Y215*IF(ISBLANK(V215),1,V215),0))</f>
        <v/>
      </c>
      <c r="AS215" s="784" t="str">
        <f t="shared" si="94"/>
        <v/>
      </c>
      <c r="AT215" s="1315" t="str">
        <f t="shared" si="84"/>
        <v/>
      </c>
      <c r="AU215" s="785">
        <f t="shared" si="85"/>
        <v>0</v>
      </c>
      <c r="AV215" s="785">
        <f t="shared" si="86"/>
        <v>0</v>
      </c>
      <c r="AW215" s="786">
        <f>IF(AK215="A",AY10,0)</f>
        <v>0</v>
      </c>
      <c r="AX215" s="5495" t="str">
        <f>IF(IFERROR(SEARCH("Adresse PC",TRIM(W215)),0)&gt;0,"▼ receta siguiente",IF(AK215="A",IF(AZ10&lt;&gt;"",AZ10&amp;" - ou.or.o ❾ + or - &gt;",""),""))</f>
        <v/>
      </c>
      <c r="AY215" s="810"/>
      <c r="AZ215" s="810"/>
      <c r="BA215" s="788" t="str">
        <f t="shared" si="97"/>
        <v/>
      </c>
      <c r="BB215" s="789" t="str">
        <f>IF(AK215="A",IF(AQ215,IF(AND(AW215&lt;&gt;"",N(AW215)&gt;0),IFERROR(IFERROR(_xlfn.XLOOKUP(AP215,BP10:BP57,BT10:BT57),IFERROR(_xlfn.XLOOKUP(AP215,BQ10:BQ57,BT10:BT57),_xlfn.XLOOKUP(AP215,BR10:BR57,BT10:BT57,""))),""),""),""),"")</f>
        <v/>
      </c>
      <c r="BC215" s="811" cm="1">
        <f t="array" ref="BC215">IF(NOT(AQ215),0,IF(OR(BA215="",N(BA215)&lt;=0.000000001),"",IF(OR(AU215="",N(AU215)&lt;=0.000000001),0,IF(ISNUMBER(BA215),IFERROR(_xlfn.LET(_xlpm.ai_test,TRIM(AP215),_xlpm.r,IFERROR(_xlfn.XLOOKUP(_xlpm.ai_test,BP16:BP63,ROW(BP16:BP63),0,1),IFERROR(_xlfn.XLOOKUP(_xlpm.ai_test,BQ16:BQ63,ROW(BQ16:BQ63),0,1),_xlfn.XLOOKUP(_xlpm.ai_test,BR16:BR63,ROW(BR16:BR63),0,1))),_xlpm.p,_xlpm.r-MIN(ROW(BP16:BP63))+1,_xlpm.f,INDEX(BS16:BS63,_xlpm.p),_xlpm.u,INDEX(BT16:BT63,_xlpm.p),_xlpm.s,INDEX(BV16:BV63,_xlpm.p),_xlpm.q,N(BA215)/_xlpm.f,IF(_xlpm.q&gt;=_xlpm.s,ROUND(_xlpm.q,1)&amp;" "&amp;_xlpm.ai_test&amp;" = "&amp;ROUND(_xlpm.q*_xlpm.f,1)&amp;" "&amp;_xlpm.u,ROUND(_xlpm.q,1)&amp;" "&amp;_xlpm.ai_test)),""),""))))</f>
        <v>0</v>
      </c>
      <c r="BD215" s="801"/>
      <c r="BE215" s="788" t="str">
        <f t="shared" si="87"/>
        <v/>
      </c>
      <c r="BF215" s="789" t="str">
        <f t="shared" si="88"/>
        <v/>
      </c>
      <c r="BG215" s="790">
        <f t="shared" si="91"/>
        <v>0</v>
      </c>
      <c r="BH215" s="791" t="str">
        <f t="shared" si="92"/>
        <v/>
      </c>
      <c r="BI215" s="792"/>
      <c r="BJ215" s="793">
        <f t="shared" si="90"/>
        <v>0</v>
      </c>
      <c r="BK215" s="794" t="str">
        <f t="shared" si="89"/>
        <v/>
      </c>
      <c r="BL215" s="227" t="s">
        <v>21</v>
      </c>
      <c r="BM215" s="773">
        <f t="shared" ref="BM215:BM278" si="99">IFERROR(_xlfn.LET(_xlpm.EPS,0.000000001,_xlpm.b,V215/AU215,IF(ISNUMBER(AY215),_xlpm.b*AY215,IF(OR(ISBLANK(AY215),AY215=""),_xlpm.b*AW215,IF(AND(BN215=0,ISNUMBER(V215)),_xlpm.b/AW215,0)))),0)</f>
        <v>0</v>
      </c>
      <c r="BN215" s="774">
        <f t="shared" ref="BN215:BN278" si="100">IF(AR215&gt;0,IFERROR(IF(OR(ISBLANK(AY215),AY215=""),AW215,AY215)/AU215,0),0)</f>
        <v>0</v>
      </c>
      <c r="BO215"/>
      <c r="BX215"/>
      <c r="BY215"/>
      <c r="BZ215"/>
      <c r="CA215"/>
      <c r="CB215"/>
      <c r="CC215"/>
      <c r="CD215" s="781" t="str">
        <f t="shared" si="93"/>
        <v>►</v>
      </c>
      <c r="CE215"/>
      <c r="CF215"/>
      <c r="CG215"/>
      <c r="CH215"/>
      <c r="CI215"/>
      <c r="CJ215" s="633"/>
      <c r="CK215"/>
      <c r="CL215"/>
      <c r="CM215"/>
      <c r="CN215"/>
      <c r="CO215"/>
      <c r="CP215"/>
      <c r="CQ215"/>
      <c r="CS215"/>
      <c r="CT215"/>
      <c r="CU215"/>
      <c r="CV215"/>
      <c r="CW215"/>
      <c r="CX215"/>
      <c r="CY215"/>
      <c r="DA215"/>
      <c r="DB215"/>
      <c r="DC215"/>
      <c r="DD215"/>
      <c r="DE215"/>
      <c r="DF215"/>
      <c r="DG215"/>
      <c r="DI215" s="3">
        <v>1</v>
      </c>
    </row>
    <row r="216" spans="1:113" s="627" customFormat="1" ht="21" customHeight="1">
      <c r="A216" s="701" t="s">
        <v>21</v>
      </c>
      <c r="B216" s="2265" t="str" cm="1">
        <f t="array" ref="B216">SUMPRODUCT(--(D216:J216&lt;&gt;""), LEN(TRIM(SUBSTITUTE(D216:J216, CHAR(160), "")))) &amp; " Car."</f>
        <v>0 Car.</v>
      </c>
      <c r="C216" s="1376" t="str">
        <f>IF(ISBLANK(D216),"",LARGE(C13:C215,1)+1)</f>
        <v/>
      </c>
      <c r="D216" s="1833"/>
      <c r="E216" s="1810"/>
      <c r="F216" s="1810"/>
      <c r="G216" s="1810"/>
      <c r="H216" s="1810"/>
      <c r="I216" s="1810"/>
      <c r="J216" s="1810"/>
      <c r="K216" s="1810"/>
      <c r="L216" s="1811"/>
      <c r="M216" s="9"/>
      <c r="N216" s="25" t="str">
        <f t="shared" si="95"/>
        <v>►</v>
      </c>
      <c r="O216" s="1616"/>
      <c r="P216" s="9"/>
      <c r="Q216" s="25" t="s">
        <v>15</v>
      </c>
      <c r="R216" s="31"/>
      <c r="S216" s="32"/>
      <c r="T216" s="31"/>
      <c r="U216" s="33"/>
      <c r="V216" s="1967"/>
      <c r="W216" s="1805"/>
      <c r="X216" s="91"/>
      <c r="Y216" s="1806"/>
      <c r="Z216" s="1968"/>
      <c r="AA216" s="2244"/>
      <c r="AB216" s="1969"/>
      <c r="AC216" s="1365"/>
      <c r="AD216" s="95"/>
      <c r="AE216" s="1326"/>
      <c r="AF216" s="97"/>
      <c r="AG216" s="1737"/>
      <c r="AH216" s="1970"/>
      <c r="AI216" s="99"/>
      <c r="AJ216" s="1809"/>
      <c r="AK216" s="6120" t="str">
        <f t="shared" si="96"/>
        <v>►</v>
      </c>
      <c r="AL216" s="781" t="str">
        <f t="shared" si="98"/>
        <v>►</v>
      </c>
      <c r="AM216" s="5498" t="str">
        <f t="shared" ref="AM216:AM279" si="101">IF(IFERROR(SEARCH("Adresse PC",TRIM(SUBSTITUTE(W216,CHAR(160)," "))),0)&gt;0,"▼ recette suivante",IF(AK216="A",R216,""))</f>
        <v/>
      </c>
      <c r="AN216" s="783" t="str">
        <f t="shared" ref="AN216:AN279" si="102">IF(AK216="A",S216,"")</f>
        <v/>
      </c>
      <c r="AO216" s="782" t="str">
        <f t="shared" ref="AO216:AO279" si="103">IF(AK216="A",T216,"")</f>
        <v/>
      </c>
      <c r="AP216" s="783" t="str">
        <f t="shared" ref="AP216:AP279" si="104">IF(AK216="A",Z216,"")</f>
        <v/>
      </c>
      <c r="AQ216" s="2083" t="b">
        <f>AND(Q216="A",COUNTIF(BP16:BR63,TRIM(Z216))&gt;0)</f>
        <v>0</v>
      </c>
      <c r="AR216" s="797" t="str">
        <f>IF(AL216&lt;&gt;"A","",IFERROR(IFERROR(_xlfn.XLOOKUP(TRIM(SUBSTITUTE(Z216,CHAR(160)," ")),BP16:BP63,BS16:BS63),IFERROR(_xlfn.XLOOKUP(TRIM(SUBSTITUTE(Z216,CHAR(160)," ")),BQ16:BQ63,BS16:BS63),_xlfn.XLOOKUP(TRIM(SUBSTITUTE(Z216,CHAR(160)," ")),BR16:BR63,BS16:BS63)))*Y216*IF(ISBLANK(V216),1,V216),0))</f>
        <v/>
      </c>
      <c r="AS216" s="784" t="str">
        <f t="shared" si="94"/>
        <v/>
      </c>
      <c r="AT216" s="1315" t="str">
        <f t="shared" ref="AT216:AT279" si="105">IF(AK216="A","❾ Author reference &gt;","")</f>
        <v/>
      </c>
      <c r="AU216" s="785">
        <f t="shared" ref="AU216:AU279" si="106">IF(AK216="A",S216,0)</f>
        <v>0</v>
      </c>
      <c r="AV216" s="785">
        <f t="shared" ref="AV216:AV279" si="107">IF(AK216="A",T216,0)</f>
        <v>0</v>
      </c>
      <c r="AW216" s="798">
        <f>IF(AK216="A",AY10,0)</f>
        <v>0</v>
      </c>
      <c r="AX216" s="5496" t="str">
        <f>IF(IFERROR(SEARCH("Adresse PC",TRIM(W216)),0)&gt;0,"▼ receta siguiente",IF(AK216="A",IF(AZ10&lt;&gt;"",AZ10&amp;" - ou.or.o ❾ + or - &gt;",""),""))</f>
        <v/>
      </c>
      <c r="AY216" s="810"/>
      <c r="AZ216" s="810"/>
      <c r="BA216" s="799" t="str">
        <f t="shared" si="97"/>
        <v/>
      </c>
      <c r="BB216" s="800" t="str">
        <f>IF(AK216="A",IF(AQ216,IF(AND(AW216&lt;&gt;"",N(AW216)&gt;0),IFERROR(IFERROR(_xlfn.XLOOKUP(AP216,BP10:BP57,BT10:BT57),IFERROR(_xlfn.XLOOKUP(AP216,BQ10:BQ57,BT10:BT57),_xlfn.XLOOKUP(AP216,BR10:BR57,BT10:BT57,""))),""),""),""),"")</f>
        <v/>
      </c>
      <c r="BC216" s="813" cm="1">
        <f t="array" ref="BC216">IF(NOT(AQ216),0,IF(OR(BA216="",N(BA216)&lt;=0.000000001),"",IF(OR(AU216="",N(AU216)&lt;=0.000000001),0,IF(ISNUMBER(BA216),IFERROR(_xlfn.LET(_xlpm.ai_test,TRIM(AP216),_xlpm.r,IFERROR(_xlfn.XLOOKUP(_xlpm.ai_test,BP16:BP63,ROW(BP16:BP63),0,1),IFERROR(_xlfn.XLOOKUP(_xlpm.ai_test,BQ16:BQ63,ROW(BQ16:BQ63),0,1),_xlfn.XLOOKUP(_xlpm.ai_test,BR16:BR63,ROW(BR16:BR63),0,1))),_xlpm.p,_xlpm.r-MIN(ROW(BP16:BP63))+1,_xlpm.f,INDEX(BS16:BS63,_xlpm.p),_xlpm.u,INDEX(BT16:BT63,_xlpm.p),_xlpm.s,INDEX(BV16:BV63,_xlpm.p),_xlpm.q,N(BA216)/_xlpm.f,IF(_xlpm.q&gt;=_xlpm.s,ROUND(_xlpm.q,1)&amp;" "&amp;_xlpm.ai_test&amp;" = "&amp;ROUND(_xlpm.q*_xlpm.f,1)&amp;" "&amp;_xlpm.u,ROUND(_xlpm.q,1)&amp;" "&amp;_xlpm.ai_test)),""),""))))</f>
        <v>0</v>
      </c>
      <c r="BD216" s="801"/>
      <c r="BE216" s="799" t="str">
        <f t="shared" ref="BE216:BE279" si="108">IF(IFERROR(SEARCH("Adresse PC",TRIM(W216)),0)&gt;0,"▼next ricipe ",IF(BA216="","",IF(AK216="A",IF(ISBLANK(BD216),BA216,ROUND(BA216*(1-MIN(1,MAX(0,IF(BD216&gt;1,BD216/100,BD216)))),3)))))</f>
        <v/>
      </c>
      <c r="BF216" s="800" t="str">
        <f t="shared" ref="BF216:BF279" si="109">IF(AQ216,BB216,"")</f>
        <v/>
      </c>
      <c r="BG216" s="802">
        <f t="shared" si="91"/>
        <v>0</v>
      </c>
      <c r="BH216" s="803" t="str">
        <f t="shared" si="92"/>
        <v/>
      </c>
      <c r="BI216" s="792"/>
      <c r="BJ216" s="804">
        <f t="shared" si="90"/>
        <v>0</v>
      </c>
      <c r="BK216" s="794" t="str">
        <f t="shared" ref="BK216:BK279" si="110">IF(AK216="A",IF(IFERROR(SEARCH("Adresse PC",TRIM(W216)),0)&gt;0,"▼recette suivante ",IF(BE216&gt;0,AC216,"")),"")</f>
        <v/>
      </c>
      <c r="BL216" s="227" t="s">
        <v>21</v>
      </c>
      <c r="BM216" s="773">
        <f t="shared" si="99"/>
        <v>0</v>
      </c>
      <c r="BN216" s="774">
        <f t="shared" si="100"/>
        <v>0</v>
      </c>
      <c r="BO216"/>
      <c r="BX216"/>
      <c r="BY216"/>
      <c r="BZ216"/>
      <c r="CA216"/>
      <c r="CB216"/>
      <c r="CC216"/>
      <c r="CD216" s="781" t="str">
        <f t="shared" si="93"/>
        <v>►</v>
      </c>
      <c r="CE216"/>
      <c r="CF216"/>
      <c r="CG216"/>
      <c r="CH216"/>
      <c r="CI216"/>
      <c r="CJ216" s="633"/>
      <c r="CK216"/>
      <c r="CL216"/>
      <c r="CM216"/>
      <c r="CN216"/>
      <c r="CO216"/>
      <c r="CP216"/>
      <c r="CQ216"/>
      <c r="CS216"/>
      <c r="CT216"/>
      <c r="CU216"/>
      <c r="CV216"/>
      <c r="CW216"/>
      <c r="CX216"/>
      <c r="CY216"/>
      <c r="DA216"/>
      <c r="DB216"/>
      <c r="DC216"/>
      <c r="DD216"/>
      <c r="DE216"/>
      <c r="DF216"/>
      <c r="DG216"/>
      <c r="DI216" s="3">
        <v>1</v>
      </c>
    </row>
    <row r="217" spans="1:113" s="627" customFormat="1" ht="21" customHeight="1">
      <c r="A217" s="701" t="s">
        <v>21</v>
      </c>
      <c r="B217" s="2265" t="str" cm="1">
        <f t="array" ref="B217">SUMPRODUCT(--(D217:J217&lt;&gt;""), LEN(TRIM(SUBSTITUTE(D217:J217, CHAR(160), "")))) &amp; " Car."</f>
        <v>0 Car.</v>
      </c>
      <c r="C217" s="1376" t="str">
        <f>IF(ISBLANK(D217),"",LARGE(C13:C216,1)+1)</f>
        <v/>
      </c>
      <c r="D217" s="1833"/>
      <c r="E217" s="1810"/>
      <c r="F217" s="1810"/>
      <c r="G217" s="1810"/>
      <c r="H217" s="1810"/>
      <c r="I217" s="1810"/>
      <c r="J217" s="1810"/>
      <c r="K217" s="1810"/>
      <c r="L217" s="1811"/>
      <c r="M217" s="9"/>
      <c r="N217" s="25" t="str">
        <f t="shared" si="95"/>
        <v>►</v>
      </c>
      <c r="O217" s="1616"/>
      <c r="P217" s="9"/>
      <c r="Q217" s="25" t="s">
        <v>15</v>
      </c>
      <c r="R217" s="31"/>
      <c r="S217" s="32"/>
      <c r="T217" s="31"/>
      <c r="U217" s="33"/>
      <c r="V217" s="1967"/>
      <c r="W217" s="1805"/>
      <c r="X217" s="91"/>
      <c r="Y217" s="1806"/>
      <c r="Z217" s="1968"/>
      <c r="AA217" s="2244"/>
      <c r="AB217" s="1969"/>
      <c r="AC217" s="1365"/>
      <c r="AD217" s="95"/>
      <c r="AE217" s="1326"/>
      <c r="AF217" s="97"/>
      <c r="AG217" s="1737"/>
      <c r="AH217" s="1970"/>
      <c r="AI217" s="99"/>
      <c r="AJ217" s="1809"/>
      <c r="AK217" s="6120" t="str">
        <f t="shared" si="96"/>
        <v>►</v>
      </c>
      <c r="AL217" s="781" t="str">
        <f t="shared" si="98"/>
        <v>►</v>
      </c>
      <c r="AM217" s="5499" t="str">
        <f t="shared" si="101"/>
        <v/>
      </c>
      <c r="AN217" s="783" t="str">
        <f t="shared" si="102"/>
        <v/>
      </c>
      <c r="AO217" s="782" t="str">
        <f t="shared" si="103"/>
        <v/>
      </c>
      <c r="AP217" s="783" t="str">
        <f t="shared" si="104"/>
        <v/>
      </c>
      <c r="AQ217" s="2083" t="b">
        <f>AND(Q217="A",COUNTIF(BP16:BR63,TRIM(Z217))&gt;0)</f>
        <v>0</v>
      </c>
      <c r="AR217" s="797" t="str">
        <f>IF(AL217&lt;&gt;"A","",IFERROR(IFERROR(_xlfn.XLOOKUP(TRIM(SUBSTITUTE(Z217,CHAR(160)," ")),BP16:BP63,BS16:BS63),IFERROR(_xlfn.XLOOKUP(TRIM(SUBSTITUTE(Z217,CHAR(160)," ")),BQ16:BQ63,BS16:BS63),_xlfn.XLOOKUP(TRIM(SUBSTITUTE(Z217,CHAR(160)," ")),BR16:BR63,BS16:BS63)))*Y217*IF(ISBLANK(V217),1,V217),0))</f>
        <v/>
      </c>
      <c r="AS217" s="784" t="str">
        <f t="shared" si="94"/>
        <v/>
      </c>
      <c r="AT217" s="1315" t="str">
        <f t="shared" si="105"/>
        <v/>
      </c>
      <c r="AU217" s="785">
        <f t="shared" si="106"/>
        <v>0</v>
      </c>
      <c r="AV217" s="785">
        <f t="shared" si="107"/>
        <v>0</v>
      </c>
      <c r="AW217" s="786">
        <f>IF(AK217="A",AY10,0)</f>
        <v>0</v>
      </c>
      <c r="AX217" s="5495" t="str">
        <f>IF(IFERROR(SEARCH("Adresse PC",TRIM(W217)),0)&gt;0,"▼ receta siguiente",IF(AK217="A",IF(AZ10&lt;&gt;"",AZ10&amp;" - ou.or.o ❾ + or - &gt;",""),""))</f>
        <v/>
      </c>
      <c r="AY217" s="810"/>
      <c r="AZ217" s="810"/>
      <c r="BA217" s="788" t="str">
        <f t="shared" si="97"/>
        <v/>
      </c>
      <c r="BB217" s="789" t="str">
        <f>IF(AK217="A",IF(AQ217,IF(AND(AW217&lt;&gt;"",N(AW217)&gt;0),IFERROR(IFERROR(_xlfn.XLOOKUP(AP217,BP10:BP57,BT10:BT57),IFERROR(_xlfn.XLOOKUP(AP217,BQ10:BQ57,BT10:BT57),_xlfn.XLOOKUP(AP217,BR10:BR57,BT10:BT57,""))),""),""),""),"")</f>
        <v/>
      </c>
      <c r="BC217" s="811" cm="1">
        <f t="array" ref="BC217">IF(NOT(AQ217),0,IF(OR(BA217="",N(BA217)&lt;=0.000000001),"",IF(OR(AU217="",N(AU217)&lt;=0.000000001),0,IF(ISNUMBER(BA217),IFERROR(_xlfn.LET(_xlpm.ai_test,TRIM(AP217),_xlpm.r,IFERROR(_xlfn.XLOOKUP(_xlpm.ai_test,BP16:BP63,ROW(BP16:BP63),0,1),IFERROR(_xlfn.XLOOKUP(_xlpm.ai_test,BQ16:BQ63,ROW(BQ16:BQ63),0,1),_xlfn.XLOOKUP(_xlpm.ai_test,BR16:BR63,ROW(BR16:BR63),0,1))),_xlpm.p,_xlpm.r-MIN(ROW(BP16:BP63))+1,_xlpm.f,INDEX(BS16:BS63,_xlpm.p),_xlpm.u,INDEX(BT16:BT63,_xlpm.p),_xlpm.s,INDEX(BV16:BV63,_xlpm.p),_xlpm.q,N(BA217)/_xlpm.f,IF(_xlpm.q&gt;=_xlpm.s,ROUND(_xlpm.q,1)&amp;" "&amp;_xlpm.ai_test&amp;" = "&amp;ROUND(_xlpm.q*_xlpm.f,1)&amp;" "&amp;_xlpm.u,ROUND(_xlpm.q,1)&amp;" "&amp;_xlpm.ai_test)),""),""))))</f>
        <v>0</v>
      </c>
      <c r="BD217" s="801"/>
      <c r="BE217" s="788" t="str">
        <f t="shared" si="108"/>
        <v/>
      </c>
      <c r="BF217" s="789" t="str">
        <f t="shared" si="109"/>
        <v/>
      </c>
      <c r="BG217" s="790">
        <f t="shared" si="91"/>
        <v>0</v>
      </c>
      <c r="BH217" s="791" t="str">
        <f t="shared" si="92"/>
        <v/>
      </c>
      <c r="BI217" s="792"/>
      <c r="BJ217" s="793">
        <f t="shared" si="90"/>
        <v>0</v>
      </c>
      <c r="BK217" s="794" t="str">
        <f t="shared" si="110"/>
        <v/>
      </c>
      <c r="BL217" s="227" t="s">
        <v>21</v>
      </c>
      <c r="BM217" s="773">
        <f t="shared" si="99"/>
        <v>0</v>
      </c>
      <c r="BN217" s="774">
        <f t="shared" si="100"/>
        <v>0</v>
      </c>
      <c r="BO217"/>
      <c r="BX217"/>
      <c r="BY217"/>
      <c r="BZ217"/>
      <c r="CA217"/>
      <c r="CB217"/>
      <c r="CC217"/>
      <c r="CD217" s="781" t="str">
        <f t="shared" si="93"/>
        <v>►</v>
      </c>
      <c r="CE217"/>
      <c r="CF217"/>
      <c r="CG217"/>
      <c r="CH217"/>
      <c r="CI217"/>
      <c r="CJ217" s="633"/>
      <c r="CK217"/>
      <c r="CL217"/>
      <c r="CM217"/>
      <c r="CN217"/>
      <c r="CO217"/>
      <c r="CP217"/>
      <c r="CQ217"/>
      <c r="CS217"/>
      <c r="CT217"/>
      <c r="CU217"/>
      <c r="CV217"/>
      <c r="CW217"/>
      <c r="CX217"/>
      <c r="CY217"/>
      <c r="DA217"/>
      <c r="DB217"/>
      <c r="DC217"/>
      <c r="DD217"/>
      <c r="DE217"/>
      <c r="DF217"/>
      <c r="DG217"/>
      <c r="DI217" s="3">
        <v>1</v>
      </c>
    </row>
    <row r="218" spans="1:113" s="627" customFormat="1" ht="21" customHeight="1">
      <c r="A218" s="701" t="s">
        <v>21</v>
      </c>
      <c r="B218" s="2265" t="str" cm="1">
        <f t="array" ref="B218">SUMPRODUCT(--(D218:J218&lt;&gt;""), LEN(TRIM(SUBSTITUTE(D218:J218, CHAR(160), "")))) &amp; " Car."</f>
        <v>0 Car.</v>
      </c>
      <c r="C218" s="1376" t="str">
        <f>IF(ISBLANK(D218),"",LARGE(C13:C217,1)+1)</f>
        <v/>
      </c>
      <c r="D218" s="1833"/>
      <c r="E218" s="1810"/>
      <c r="F218" s="1810"/>
      <c r="G218" s="1810"/>
      <c r="H218" s="1810"/>
      <c r="I218" s="1810"/>
      <c r="J218" s="1810"/>
      <c r="K218" s="1810"/>
      <c r="L218" s="1811"/>
      <c r="M218" s="9"/>
      <c r="N218" s="25" t="str">
        <f t="shared" si="95"/>
        <v>►</v>
      </c>
      <c r="O218" s="1616"/>
      <c r="P218" s="9"/>
      <c r="Q218" s="25" t="s">
        <v>15</v>
      </c>
      <c r="R218" s="31"/>
      <c r="S218" s="32"/>
      <c r="T218" s="31"/>
      <c r="U218" s="33"/>
      <c r="V218" s="1967"/>
      <c r="W218" s="1805"/>
      <c r="X218" s="91"/>
      <c r="Y218" s="1806"/>
      <c r="Z218" s="1968"/>
      <c r="AA218" s="2244"/>
      <c r="AB218" s="1969"/>
      <c r="AC218" s="1365"/>
      <c r="AD218" s="95"/>
      <c r="AE218" s="1326"/>
      <c r="AF218" s="97"/>
      <c r="AG218" s="1737"/>
      <c r="AH218" s="1970"/>
      <c r="AI218" s="99"/>
      <c r="AJ218" s="1809"/>
      <c r="AK218" s="6120" t="str">
        <f t="shared" si="96"/>
        <v>►</v>
      </c>
      <c r="AL218" s="781" t="str">
        <f t="shared" si="98"/>
        <v>►</v>
      </c>
      <c r="AM218" s="5498" t="str">
        <f t="shared" si="101"/>
        <v/>
      </c>
      <c r="AN218" s="783" t="str">
        <f t="shared" si="102"/>
        <v/>
      </c>
      <c r="AO218" s="782" t="str">
        <f t="shared" si="103"/>
        <v/>
      </c>
      <c r="AP218" s="783" t="str">
        <f t="shared" si="104"/>
        <v/>
      </c>
      <c r="AQ218" s="2083" t="b">
        <f>AND(Q218="A",COUNTIF(BP16:BR63,TRIM(Z218))&gt;0)</f>
        <v>0</v>
      </c>
      <c r="AR218" s="797" t="str">
        <f>IF(AL218&lt;&gt;"A","",IFERROR(IFERROR(_xlfn.XLOOKUP(TRIM(SUBSTITUTE(Z218,CHAR(160)," ")),BP16:BP63,BS16:BS63),IFERROR(_xlfn.XLOOKUP(TRIM(SUBSTITUTE(Z218,CHAR(160)," ")),BQ16:BQ63,BS16:BS63),_xlfn.XLOOKUP(TRIM(SUBSTITUTE(Z218,CHAR(160)," ")),BR16:BR63,BS16:BS63)))*Y218*IF(ISBLANK(V218),1,V218),0))</f>
        <v/>
      </c>
      <c r="AS218" s="784" t="str">
        <f t="shared" si="94"/>
        <v/>
      </c>
      <c r="AT218" s="1315" t="str">
        <f t="shared" si="105"/>
        <v/>
      </c>
      <c r="AU218" s="785">
        <f t="shared" si="106"/>
        <v>0</v>
      </c>
      <c r="AV218" s="785">
        <f t="shared" si="107"/>
        <v>0</v>
      </c>
      <c r="AW218" s="798">
        <f>IF(AK218="A",AY10,0)</f>
        <v>0</v>
      </c>
      <c r="AX218" s="5496" t="str">
        <f>IF(IFERROR(SEARCH("Adresse PC",TRIM(W218)),0)&gt;0,"▼ receta siguiente",IF(AK218="A",IF(AZ10&lt;&gt;"",AZ10&amp;" - ou.or.o ❾ + or - &gt;",""),""))</f>
        <v/>
      </c>
      <c r="AY218" s="810"/>
      <c r="AZ218" s="810"/>
      <c r="BA218" s="799" t="str">
        <f t="shared" si="97"/>
        <v/>
      </c>
      <c r="BB218" s="800" t="str">
        <f>IF(AK218="A",IF(AQ218,IF(AND(AW218&lt;&gt;"",N(AW218)&gt;0),IFERROR(IFERROR(_xlfn.XLOOKUP(AP218,BP10:BP57,BT10:BT57),IFERROR(_xlfn.XLOOKUP(AP218,BQ10:BQ57,BT10:BT57),_xlfn.XLOOKUP(AP218,BR10:BR57,BT10:BT57,""))),""),""),""),"")</f>
        <v/>
      </c>
      <c r="BC218" s="813" cm="1">
        <f t="array" ref="BC218">IF(NOT(AQ218),0,IF(OR(BA218="",N(BA218)&lt;=0.000000001),"",IF(OR(AU218="",N(AU218)&lt;=0.000000001),0,IF(ISNUMBER(BA218),IFERROR(_xlfn.LET(_xlpm.ai_test,TRIM(AP218),_xlpm.r,IFERROR(_xlfn.XLOOKUP(_xlpm.ai_test,BP16:BP63,ROW(BP16:BP63),0,1),IFERROR(_xlfn.XLOOKUP(_xlpm.ai_test,BQ16:BQ63,ROW(BQ16:BQ63),0,1),_xlfn.XLOOKUP(_xlpm.ai_test,BR16:BR63,ROW(BR16:BR63),0,1))),_xlpm.p,_xlpm.r-MIN(ROW(BP16:BP63))+1,_xlpm.f,INDEX(BS16:BS63,_xlpm.p),_xlpm.u,INDEX(BT16:BT63,_xlpm.p),_xlpm.s,INDEX(BV16:BV63,_xlpm.p),_xlpm.q,N(BA218)/_xlpm.f,IF(_xlpm.q&gt;=_xlpm.s,ROUND(_xlpm.q,1)&amp;" "&amp;_xlpm.ai_test&amp;" = "&amp;ROUND(_xlpm.q*_xlpm.f,1)&amp;" "&amp;_xlpm.u,ROUND(_xlpm.q,1)&amp;" "&amp;_xlpm.ai_test)),""),""))))</f>
        <v>0</v>
      </c>
      <c r="BD218" s="801"/>
      <c r="BE218" s="799" t="str">
        <f t="shared" si="108"/>
        <v/>
      </c>
      <c r="BF218" s="800" t="str">
        <f t="shared" si="109"/>
        <v/>
      </c>
      <c r="BG218" s="802">
        <f t="shared" si="91"/>
        <v>0</v>
      </c>
      <c r="BH218" s="803" t="str">
        <f t="shared" si="92"/>
        <v/>
      </c>
      <c r="BI218" s="792"/>
      <c r="BJ218" s="804">
        <f t="shared" si="90"/>
        <v>0</v>
      </c>
      <c r="BK218" s="794" t="str">
        <f t="shared" si="110"/>
        <v/>
      </c>
      <c r="BL218" s="227" t="s">
        <v>21</v>
      </c>
      <c r="BM218" s="773">
        <f t="shared" si="99"/>
        <v>0</v>
      </c>
      <c r="BN218" s="774">
        <f t="shared" si="100"/>
        <v>0</v>
      </c>
      <c r="BO218"/>
      <c r="BX218"/>
      <c r="BY218"/>
      <c r="BZ218"/>
      <c r="CA218"/>
      <c r="CB218"/>
      <c r="CC218"/>
      <c r="CD218" s="781" t="str">
        <f t="shared" si="93"/>
        <v>►</v>
      </c>
      <c r="CE218"/>
      <c r="CF218"/>
      <c r="CG218"/>
      <c r="CH218"/>
      <c r="CI218"/>
      <c r="CJ218" s="633"/>
      <c r="CK218"/>
      <c r="CL218"/>
      <c r="CM218"/>
      <c r="CN218"/>
      <c r="CO218"/>
      <c r="CP218"/>
      <c r="CQ218"/>
      <c r="CS218"/>
      <c r="CT218"/>
      <c r="CU218"/>
      <c r="CV218"/>
      <c r="CW218"/>
      <c r="CX218"/>
      <c r="CY218"/>
      <c r="DA218"/>
      <c r="DB218"/>
      <c r="DC218"/>
      <c r="DD218"/>
      <c r="DE218"/>
      <c r="DF218"/>
      <c r="DG218"/>
      <c r="DI218" s="3">
        <v>1</v>
      </c>
    </row>
    <row r="219" spans="1:113" s="627" customFormat="1" ht="21" customHeight="1">
      <c r="A219" s="701" t="s">
        <v>21</v>
      </c>
      <c r="B219" s="2265" t="str" cm="1">
        <f t="array" ref="B219">SUMPRODUCT(--(D219:J219&lt;&gt;""), LEN(TRIM(SUBSTITUTE(D219:J219, CHAR(160), "")))) &amp; " Car."</f>
        <v>0 Car.</v>
      </c>
      <c r="C219" s="1376" t="str">
        <f>IF(ISBLANK(D219),"",LARGE(C13:C218,1)+1)</f>
        <v/>
      </c>
      <c r="D219" s="1833"/>
      <c r="E219" s="1810"/>
      <c r="F219" s="1810"/>
      <c r="G219" s="1810"/>
      <c r="H219" s="1810"/>
      <c r="I219" s="1810"/>
      <c r="J219" s="1810"/>
      <c r="K219" s="1810"/>
      <c r="L219" s="1811"/>
      <c r="M219" s="9"/>
      <c r="N219" s="25" t="str">
        <f t="shared" si="95"/>
        <v>►</v>
      </c>
      <c r="O219" s="1616"/>
      <c r="P219" s="9"/>
      <c r="Q219" s="25" t="s">
        <v>15</v>
      </c>
      <c r="R219" s="31"/>
      <c r="S219" s="32"/>
      <c r="T219" s="31"/>
      <c r="U219" s="33"/>
      <c r="V219" s="1967"/>
      <c r="W219" s="1805"/>
      <c r="X219" s="91"/>
      <c r="Y219" s="1806"/>
      <c r="Z219" s="1968"/>
      <c r="AA219" s="2244"/>
      <c r="AB219" s="1969"/>
      <c r="AC219" s="1365"/>
      <c r="AD219" s="95"/>
      <c r="AE219" s="1326"/>
      <c r="AF219" s="97"/>
      <c r="AG219" s="1737"/>
      <c r="AH219" s="1970"/>
      <c r="AI219" s="99"/>
      <c r="AJ219" s="1809"/>
      <c r="AK219" s="6120" t="str">
        <f t="shared" si="96"/>
        <v>►</v>
      </c>
      <c r="AL219" s="781" t="str">
        <f t="shared" si="98"/>
        <v>►</v>
      </c>
      <c r="AM219" s="5499" t="str">
        <f t="shared" si="101"/>
        <v/>
      </c>
      <c r="AN219" s="783" t="str">
        <f t="shared" si="102"/>
        <v/>
      </c>
      <c r="AO219" s="782" t="str">
        <f t="shared" si="103"/>
        <v/>
      </c>
      <c r="AP219" s="783" t="str">
        <f t="shared" si="104"/>
        <v/>
      </c>
      <c r="AQ219" s="2083" t="b">
        <f>AND(Q219="A",COUNTIF(BP16:BR63,TRIM(Z219))&gt;0)</f>
        <v>0</v>
      </c>
      <c r="AR219" s="797" t="str">
        <f>IF(AL219&lt;&gt;"A","",IFERROR(IFERROR(_xlfn.XLOOKUP(TRIM(SUBSTITUTE(Z219,CHAR(160)," ")),BP16:BP63,BS16:BS63),IFERROR(_xlfn.XLOOKUP(TRIM(SUBSTITUTE(Z219,CHAR(160)," ")),BQ16:BQ63,BS16:BS63),_xlfn.XLOOKUP(TRIM(SUBSTITUTE(Z219,CHAR(160)," ")),BR16:BR63,BS16:BS63)))*Y219*IF(ISBLANK(V219),1,V219),0))</f>
        <v/>
      </c>
      <c r="AS219" s="784" t="str">
        <f t="shared" si="94"/>
        <v/>
      </c>
      <c r="AT219" s="1315" t="str">
        <f t="shared" si="105"/>
        <v/>
      </c>
      <c r="AU219" s="785">
        <f t="shared" si="106"/>
        <v>0</v>
      </c>
      <c r="AV219" s="785">
        <f t="shared" si="107"/>
        <v>0</v>
      </c>
      <c r="AW219" s="786">
        <f>IF(AK219="A",AY10,0)</f>
        <v>0</v>
      </c>
      <c r="AX219" s="5495" t="str">
        <f>IF(IFERROR(SEARCH("Adresse PC",TRIM(W219)),0)&gt;0,"▼ receta siguiente",IF(AK219="A",IF(AZ10&lt;&gt;"",AZ10&amp;" - ou.or.o ❾ + or - &gt;",""),""))</f>
        <v/>
      </c>
      <c r="AY219" s="810"/>
      <c r="AZ219" s="810"/>
      <c r="BA219" s="788" t="str">
        <f t="shared" si="97"/>
        <v/>
      </c>
      <c r="BB219" s="789" t="str">
        <f>IF(AK219="A",IF(AQ219,IF(AND(AW219&lt;&gt;"",N(AW219)&gt;0),IFERROR(IFERROR(_xlfn.XLOOKUP(AP219,BP10:BP57,BT10:BT57),IFERROR(_xlfn.XLOOKUP(AP219,BQ10:BQ57,BT10:BT57),_xlfn.XLOOKUP(AP219,BR10:BR57,BT10:BT57,""))),""),""),""),"")</f>
        <v/>
      </c>
      <c r="BC219" s="811" cm="1">
        <f t="array" ref="BC219">IF(NOT(AQ219),0,IF(OR(BA219="",N(BA219)&lt;=0.000000001),"",IF(OR(AU219="",N(AU219)&lt;=0.000000001),0,IF(ISNUMBER(BA219),IFERROR(_xlfn.LET(_xlpm.ai_test,TRIM(AP219),_xlpm.r,IFERROR(_xlfn.XLOOKUP(_xlpm.ai_test,BP16:BP63,ROW(BP16:BP63),0,1),IFERROR(_xlfn.XLOOKUP(_xlpm.ai_test,BQ16:BQ63,ROW(BQ16:BQ63),0,1),_xlfn.XLOOKUP(_xlpm.ai_test,BR16:BR63,ROW(BR16:BR63),0,1))),_xlpm.p,_xlpm.r-MIN(ROW(BP16:BP63))+1,_xlpm.f,INDEX(BS16:BS63,_xlpm.p),_xlpm.u,INDEX(BT16:BT63,_xlpm.p),_xlpm.s,INDEX(BV16:BV63,_xlpm.p),_xlpm.q,N(BA219)/_xlpm.f,IF(_xlpm.q&gt;=_xlpm.s,ROUND(_xlpm.q,1)&amp;" "&amp;_xlpm.ai_test&amp;" = "&amp;ROUND(_xlpm.q*_xlpm.f,1)&amp;" "&amp;_xlpm.u,ROUND(_xlpm.q,1)&amp;" "&amp;_xlpm.ai_test)),""),""))))</f>
        <v>0</v>
      </c>
      <c r="BD219" s="801"/>
      <c r="BE219" s="788" t="str">
        <f t="shared" si="108"/>
        <v/>
      </c>
      <c r="BF219" s="789" t="str">
        <f t="shared" si="109"/>
        <v/>
      </c>
      <c r="BG219" s="790">
        <f t="shared" si="91"/>
        <v>0</v>
      </c>
      <c r="BH219" s="791" t="str">
        <f t="shared" si="92"/>
        <v/>
      </c>
      <c r="BI219" s="792"/>
      <c r="BJ219" s="793">
        <f t="shared" si="90"/>
        <v>0</v>
      </c>
      <c r="BK219" s="794" t="str">
        <f t="shared" si="110"/>
        <v/>
      </c>
      <c r="BL219" s="227" t="s">
        <v>21</v>
      </c>
      <c r="BM219" s="773">
        <f t="shared" si="99"/>
        <v>0</v>
      </c>
      <c r="BN219" s="774">
        <f t="shared" si="100"/>
        <v>0</v>
      </c>
      <c r="BO219"/>
      <c r="BX219"/>
      <c r="BY219"/>
      <c r="BZ219"/>
      <c r="CA219"/>
      <c r="CB219"/>
      <c r="CC219"/>
      <c r="CD219" s="781" t="str">
        <f t="shared" si="93"/>
        <v>►</v>
      </c>
      <c r="CE219"/>
      <c r="CF219"/>
      <c r="CG219"/>
      <c r="CH219"/>
      <c r="CI219"/>
      <c r="CJ219" s="633"/>
      <c r="CK219"/>
      <c r="CL219"/>
      <c r="CM219"/>
      <c r="CN219"/>
      <c r="CO219"/>
      <c r="CP219"/>
      <c r="CQ219"/>
      <c r="CS219"/>
      <c r="CT219"/>
      <c r="CU219"/>
      <c r="CV219"/>
      <c r="CW219"/>
      <c r="CX219"/>
      <c r="CY219"/>
      <c r="DA219"/>
      <c r="DB219"/>
      <c r="DC219"/>
      <c r="DD219"/>
      <c r="DE219"/>
      <c r="DF219"/>
      <c r="DG219"/>
      <c r="DI219" s="3">
        <v>1</v>
      </c>
    </row>
    <row r="220" spans="1:113" s="627" customFormat="1" ht="21" customHeight="1">
      <c r="A220" s="701" t="s">
        <v>21</v>
      </c>
      <c r="B220" s="2265" t="str" cm="1">
        <f t="array" ref="B220">SUMPRODUCT(--(D220:J220&lt;&gt;""), LEN(TRIM(SUBSTITUTE(D220:J220, CHAR(160), "")))) &amp; " Car."</f>
        <v>0 Car.</v>
      </c>
      <c r="C220" s="1376" t="str">
        <f>IF(ISBLANK(D220),"",LARGE(C13:C219,1)+1)</f>
        <v/>
      </c>
      <c r="D220" s="1833"/>
      <c r="E220" s="1810"/>
      <c r="F220" s="1810"/>
      <c r="G220" s="1810"/>
      <c r="H220" s="1810"/>
      <c r="I220" s="1810"/>
      <c r="J220" s="1810"/>
      <c r="K220" s="1810"/>
      <c r="L220" s="1811"/>
      <c r="M220" s="9"/>
      <c r="N220" s="103" t="str">
        <f t="shared" si="95"/>
        <v>►</v>
      </c>
      <c r="O220" s="1616"/>
      <c r="P220" s="9"/>
      <c r="Q220" s="25" t="s">
        <v>15</v>
      </c>
      <c r="R220" s="31"/>
      <c r="S220" s="32"/>
      <c r="T220" s="31"/>
      <c r="U220" s="33"/>
      <c r="V220" s="1967"/>
      <c r="W220" s="1805"/>
      <c r="X220" s="91"/>
      <c r="Y220" s="1806"/>
      <c r="Z220" s="1968"/>
      <c r="AA220" s="2244"/>
      <c r="AB220" s="1969"/>
      <c r="AC220" s="1365"/>
      <c r="AD220" s="95"/>
      <c r="AE220" s="1326"/>
      <c r="AF220" s="97"/>
      <c r="AG220" s="1737"/>
      <c r="AH220" s="1970"/>
      <c r="AI220" s="99"/>
      <c r="AJ220" s="1809"/>
      <c r="AK220" s="6120" t="str">
        <f t="shared" si="96"/>
        <v>►</v>
      </c>
      <c r="AL220" s="781" t="str">
        <f t="shared" si="98"/>
        <v>►</v>
      </c>
      <c r="AM220" s="5498" t="str">
        <f t="shared" si="101"/>
        <v/>
      </c>
      <c r="AN220" s="783" t="str">
        <f t="shared" si="102"/>
        <v/>
      </c>
      <c r="AO220" s="782" t="str">
        <f t="shared" si="103"/>
        <v/>
      </c>
      <c r="AP220" s="783" t="str">
        <f t="shared" si="104"/>
        <v/>
      </c>
      <c r="AQ220" s="2083" t="b">
        <f>AND(Q220="A",COUNTIF(BP16:BR63,TRIM(Z220))&gt;0)</f>
        <v>0</v>
      </c>
      <c r="AR220" s="797" t="str">
        <f>IF(AL220&lt;&gt;"A","",IFERROR(IFERROR(_xlfn.XLOOKUP(TRIM(SUBSTITUTE(Z220,CHAR(160)," ")),BP16:BP63,BS16:BS63),IFERROR(_xlfn.XLOOKUP(TRIM(SUBSTITUTE(Z220,CHAR(160)," ")),BQ16:BQ63,BS16:BS63),_xlfn.XLOOKUP(TRIM(SUBSTITUTE(Z220,CHAR(160)," ")),BR16:BR63,BS16:BS63)))*Y220*IF(ISBLANK(V220),1,V220),0))</f>
        <v/>
      </c>
      <c r="AS220" s="784" t="str">
        <f t="shared" si="94"/>
        <v/>
      </c>
      <c r="AT220" s="1315" t="str">
        <f t="shared" si="105"/>
        <v/>
      </c>
      <c r="AU220" s="785">
        <f t="shared" si="106"/>
        <v>0</v>
      </c>
      <c r="AV220" s="785">
        <f t="shared" si="107"/>
        <v>0</v>
      </c>
      <c r="AW220" s="798">
        <f>IF(AK220="A",AY10,0)</f>
        <v>0</v>
      </c>
      <c r="AX220" s="5496" t="str">
        <f>IF(IFERROR(SEARCH("Adresse PC",TRIM(W220)),0)&gt;0,"▼ receta siguiente",IF(AK220="A",IF(AZ10&lt;&gt;"",AZ10&amp;" - ou.or.o ❾ + or - &gt;",""),""))</f>
        <v/>
      </c>
      <c r="AY220" s="810"/>
      <c r="AZ220" s="810"/>
      <c r="BA220" s="799" t="str">
        <f t="shared" si="97"/>
        <v/>
      </c>
      <c r="BB220" s="800" t="str">
        <f>IF(AK220="A",IF(AQ220,IF(AND(AW220&lt;&gt;"",N(AW220)&gt;0),IFERROR(IFERROR(_xlfn.XLOOKUP(AP220,BP10:BP57,BT10:BT57),IFERROR(_xlfn.XLOOKUP(AP220,BQ10:BQ57,BT10:BT57),_xlfn.XLOOKUP(AP220,BR10:BR57,BT10:BT57,""))),""),""),""),"")</f>
        <v/>
      </c>
      <c r="BC220" s="813" cm="1">
        <f t="array" ref="BC220">IF(NOT(AQ220),0,IF(OR(BA220="",N(BA220)&lt;=0.000000001),"",IF(OR(AU220="",N(AU220)&lt;=0.000000001),0,IF(ISNUMBER(BA220),IFERROR(_xlfn.LET(_xlpm.ai_test,TRIM(AP220),_xlpm.r,IFERROR(_xlfn.XLOOKUP(_xlpm.ai_test,BP16:BP63,ROW(BP16:BP63),0,1),IFERROR(_xlfn.XLOOKUP(_xlpm.ai_test,BQ16:BQ63,ROW(BQ16:BQ63),0,1),_xlfn.XLOOKUP(_xlpm.ai_test,BR16:BR63,ROW(BR16:BR63),0,1))),_xlpm.p,_xlpm.r-MIN(ROW(BP16:BP63))+1,_xlpm.f,INDEX(BS16:BS63,_xlpm.p),_xlpm.u,INDEX(BT16:BT63,_xlpm.p),_xlpm.s,INDEX(BV16:BV63,_xlpm.p),_xlpm.q,N(BA220)/_xlpm.f,IF(_xlpm.q&gt;=_xlpm.s,ROUND(_xlpm.q,1)&amp;" "&amp;_xlpm.ai_test&amp;" = "&amp;ROUND(_xlpm.q*_xlpm.f,1)&amp;" "&amp;_xlpm.u,ROUND(_xlpm.q,1)&amp;" "&amp;_xlpm.ai_test)),""),""))))</f>
        <v>0</v>
      </c>
      <c r="BD220" s="801"/>
      <c r="BE220" s="799" t="str">
        <f t="shared" si="108"/>
        <v/>
      </c>
      <c r="BF220" s="800" t="str">
        <f t="shared" si="109"/>
        <v/>
      </c>
      <c r="BG220" s="802">
        <f t="shared" si="91"/>
        <v>0</v>
      </c>
      <c r="BH220" s="803" t="str">
        <f t="shared" si="92"/>
        <v/>
      </c>
      <c r="BI220" s="792"/>
      <c r="BJ220" s="804">
        <f t="shared" si="90"/>
        <v>0</v>
      </c>
      <c r="BK220" s="794" t="str">
        <f t="shared" si="110"/>
        <v/>
      </c>
      <c r="BL220" s="227" t="s">
        <v>21</v>
      </c>
      <c r="BM220" s="773">
        <f t="shared" si="99"/>
        <v>0</v>
      </c>
      <c r="BN220" s="774">
        <f t="shared" si="100"/>
        <v>0</v>
      </c>
      <c r="BO220"/>
      <c r="BX220"/>
      <c r="BY220"/>
      <c r="BZ220"/>
      <c r="CA220"/>
      <c r="CB220"/>
      <c r="CC220"/>
      <c r="CD220" s="781" t="str">
        <f t="shared" si="93"/>
        <v>►</v>
      </c>
      <c r="CE220"/>
      <c r="CF220"/>
      <c r="CG220"/>
      <c r="CH220"/>
      <c r="CI220"/>
      <c r="CJ220" s="633"/>
      <c r="CK220"/>
      <c r="CL220"/>
      <c r="CM220"/>
      <c r="CN220"/>
      <c r="CO220"/>
      <c r="CP220"/>
      <c r="CQ220"/>
      <c r="CS220"/>
      <c r="CT220"/>
      <c r="CU220"/>
      <c r="CV220"/>
      <c r="CW220"/>
      <c r="CX220"/>
      <c r="CY220"/>
      <c r="DA220"/>
      <c r="DB220"/>
      <c r="DC220"/>
      <c r="DD220"/>
      <c r="DE220"/>
      <c r="DF220"/>
      <c r="DG220"/>
      <c r="DI220" s="3">
        <v>1</v>
      </c>
    </row>
    <row r="221" spans="1:113" s="627" customFormat="1" ht="21" customHeight="1">
      <c r="A221" s="701" t="s">
        <v>21</v>
      </c>
      <c r="B221" s="2265" t="str" cm="1">
        <f t="array" ref="B221">SUMPRODUCT(--(D221:J221&lt;&gt;""), LEN(TRIM(SUBSTITUTE(D221:J221, CHAR(160), "")))) &amp; " Car."</f>
        <v>0 Car.</v>
      </c>
      <c r="C221" s="1376" t="str">
        <f>IF(ISBLANK(D221),"",LARGE(C13:C220,1)+1)</f>
        <v/>
      </c>
      <c r="D221" s="1833"/>
      <c r="E221" s="1810"/>
      <c r="F221" s="1810"/>
      <c r="G221" s="1810"/>
      <c r="H221" s="1810"/>
      <c r="I221" s="1810"/>
      <c r="J221" s="1810"/>
      <c r="K221" s="1810"/>
      <c r="L221" s="1811"/>
      <c r="M221" s="9"/>
      <c r="N221" s="103" t="str">
        <f t="shared" si="95"/>
        <v>►</v>
      </c>
      <c r="O221" s="1616"/>
      <c r="P221" s="9"/>
      <c r="Q221" s="25" t="s">
        <v>15</v>
      </c>
      <c r="R221" s="31"/>
      <c r="S221" s="32"/>
      <c r="T221" s="31"/>
      <c r="U221" s="33"/>
      <c r="V221" s="1967"/>
      <c r="W221" s="1805"/>
      <c r="X221" s="91"/>
      <c r="Y221" s="1806"/>
      <c r="Z221" s="1968"/>
      <c r="AA221" s="2244"/>
      <c r="AB221" s="1969"/>
      <c r="AC221" s="1365"/>
      <c r="AD221" s="95"/>
      <c r="AE221" s="1326"/>
      <c r="AF221" s="97"/>
      <c r="AG221" s="1737"/>
      <c r="AH221" s="1970"/>
      <c r="AI221" s="99"/>
      <c r="AJ221" s="1809"/>
      <c r="AK221" s="6120" t="str">
        <f t="shared" si="96"/>
        <v>►</v>
      </c>
      <c r="AL221" s="781" t="str">
        <f t="shared" si="98"/>
        <v>►</v>
      </c>
      <c r="AM221" s="5499" t="str">
        <f t="shared" si="101"/>
        <v/>
      </c>
      <c r="AN221" s="783" t="str">
        <f t="shared" si="102"/>
        <v/>
      </c>
      <c r="AO221" s="782" t="str">
        <f t="shared" si="103"/>
        <v/>
      </c>
      <c r="AP221" s="783" t="str">
        <f t="shared" si="104"/>
        <v/>
      </c>
      <c r="AQ221" s="2083" t="b">
        <f>AND(Q221="A",COUNTIF(BP16:BR63,TRIM(Z221))&gt;0)</f>
        <v>0</v>
      </c>
      <c r="AR221" s="797" t="str">
        <f>IF(AL221&lt;&gt;"A","",IFERROR(IFERROR(_xlfn.XLOOKUP(TRIM(SUBSTITUTE(Z221,CHAR(160)," ")),BP16:BP63,BS16:BS63),IFERROR(_xlfn.XLOOKUP(TRIM(SUBSTITUTE(Z221,CHAR(160)," ")),BQ16:BQ63,BS16:BS63),_xlfn.XLOOKUP(TRIM(SUBSTITUTE(Z221,CHAR(160)," ")),BR16:BR63,BS16:BS63)))*Y221*IF(ISBLANK(V221),1,V221),0))</f>
        <v/>
      </c>
      <c r="AS221" s="784" t="str">
        <f t="shared" si="94"/>
        <v/>
      </c>
      <c r="AT221" s="1315" t="str">
        <f t="shared" si="105"/>
        <v/>
      </c>
      <c r="AU221" s="785">
        <f t="shared" si="106"/>
        <v>0</v>
      </c>
      <c r="AV221" s="785">
        <f t="shared" si="107"/>
        <v>0</v>
      </c>
      <c r="AW221" s="786">
        <f>IF(AK221="A",AY10,0)</f>
        <v>0</v>
      </c>
      <c r="AX221" s="5495" t="str">
        <f>IF(IFERROR(SEARCH("Adresse PC",TRIM(W221)),0)&gt;0,"▼ receta siguiente",IF(AK221="A",IF(AZ10&lt;&gt;"",AZ10&amp;" - ou.or.o ❾ + or - &gt;",""),""))</f>
        <v/>
      </c>
      <c r="AY221" s="810"/>
      <c r="AZ221" s="810"/>
      <c r="BA221" s="788" t="str">
        <f t="shared" si="97"/>
        <v/>
      </c>
      <c r="BB221" s="789" t="str">
        <f>IF(AK221="A",IF(AQ221,IF(AND(AW221&lt;&gt;"",N(AW221)&gt;0),IFERROR(IFERROR(_xlfn.XLOOKUP(AP221,BP10:BP57,BT10:BT57),IFERROR(_xlfn.XLOOKUP(AP221,BQ10:BQ57,BT10:BT57),_xlfn.XLOOKUP(AP221,BR10:BR57,BT10:BT57,""))),""),""),""),"")</f>
        <v/>
      </c>
      <c r="BC221" s="811" cm="1">
        <f t="array" ref="BC221">IF(NOT(AQ221),0,IF(OR(BA221="",N(BA221)&lt;=0.000000001),"",IF(OR(AU221="",N(AU221)&lt;=0.000000001),0,IF(ISNUMBER(BA221),IFERROR(_xlfn.LET(_xlpm.ai_test,TRIM(AP221),_xlpm.r,IFERROR(_xlfn.XLOOKUP(_xlpm.ai_test,BP16:BP63,ROW(BP16:BP63),0,1),IFERROR(_xlfn.XLOOKUP(_xlpm.ai_test,BQ16:BQ63,ROW(BQ16:BQ63),0,1),_xlfn.XLOOKUP(_xlpm.ai_test,BR16:BR63,ROW(BR16:BR63),0,1))),_xlpm.p,_xlpm.r-MIN(ROW(BP16:BP63))+1,_xlpm.f,INDEX(BS16:BS63,_xlpm.p),_xlpm.u,INDEX(BT16:BT63,_xlpm.p),_xlpm.s,INDEX(BV16:BV63,_xlpm.p),_xlpm.q,N(BA221)/_xlpm.f,IF(_xlpm.q&gt;=_xlpm.s,ROUND(_xlpm.q,1)&amp;" "&amp;_xlpm.ai_test&amp;" = "&amp;ROUND(_xlpm.q*_xlpm.f,1)&amp;" "&amp;_xlpm.u,ROUND(_xlpm.q,1)&amp;" "&amp;_xlpm.ai_test)),""),""))))</f>
        <v>0</v>
      </c>
      <c r="BD221" s="801"/>
      <c r="BE221" s="788" t="str">
        <f t="shared" si="108"/>
        <v/>
      </c>
      <c r="BF221" s="789" t="str">
        <f t="shared" si="109"/>
        <v/>
      </c>
      <c r="BG221" s="790">
        <f t="shared" si="91"/>
        <v>0</v>
      </c>
      <c r="BH221" s="791" t="str">
        <f t="shared" si="92"/>
        <v/>
      </c>
      <c r="BI221" s="792"/>
      <c r="BJ221" s="793">
        <f t="shared" si="90"/>
        <v>0</v>
      </c>
      <c r="BK221" s="794" t="str">
        <f t="shared" si="110"/>
        <v/>
      </c>
      <c r="BL221" s="227" t="s">
        <v>21</v>
      </c>
      <c r="BM221" s="773">
        <f t="shared" si="99"/>
        <v>0</v>
      </c>
      <c r="BN221" s="774">
        <f t="shared" si="100"/>
        <v>0</v>
      </c>
      <c r="BO221"/>
      <c r="BX221"/>
      <c r="BY221"/>
      <c r="BZ221"/>
      <c r="CA221"/>
      <c r="CB221"/>
      <c r="CC221"/>
      <c r="CD221" s="781" t="str">
        <f t="shared" si="93"/>
        <v>►</v>
      </c>
      <c r="CE221"/>
      <c r="CF221"/>
      <c r="CG221"/>
      <c r="CH221"/>
      <c r="CI221"/>
      <c r="CJ221" s="633"/>
      <c r="CK221"/>
      <c r="CL221"/>
      <c r="CM221"/>
      <c r="CN221"/>
      <c r="CO221"/>
      <c r="CP221"/>
      <c r="CQ221"/>
      <c r="CS221"/>
      <c r="CT221"/>
      <c r="CU221"/>
      <c r="CV221"/>
      <c r="CW221"/>
      <c r="CX221"/>
      <c r="CY221"/>
      <c r="DA221"/>
      <c r="DB221"/>
      <c r="DC221"/>
      <c r="DD221"/>
      <c r="DE221"/>
      <c r="DF221"/>
      <c r="DG221"/>
      <c r="DI221" s="3">
        <v>1</v>
      </c>
    </row>
    <row r="222" spans="1:113" s="627" customFormat="1" ht="21" customHeight="1">
      <c r="A222" s="701" t="s">
        <v>21</v>
      </c>
      <c r="B222" s="2265" t="str" cm="1">
        <f t="array" ref="B222">SUMPRODUCT(--(D222:J222&lt;&gt;""), LEN(TRIM(SUBSTITUTE(D222:J222, CHAR(160), "")))) &amp; " Car."</f>
        <v>0 Car.</v>
      </c>
      <c r="C222" s="1376" t="str">
        <f>IF(ISBLANK(D222),"",LARGE(C13:C221,1)+1)</f>
        <v/>
      </c>
      <c r="D222" s="1833"/>
      <c r="E222" s="1810"/>
      <c r="F222" s="1810"/>
      <c r="G222" s="1810"/>
      <c r="H222" s="1810"/>
      <c r="I222" s="1810"/>
      <c r="J222" s="1810"/>
      <c r="K222" s="1810"/>
      <c r="L222" s="1811"/>
      <c r="M222" s="9"/>
      <c r="N222" s="103" t="str">
        <f t="shared" si="95"/>
        <v>►</v>
      </c>
      <c r="O222" s="1616"/>
      <c r="P222" s="9"/>
      <c r="Q222" s="25" t="s">
        <v>15</v>
      </c>
      <c r="R222" s="31"/>
      <c r="S222" s="32"/>
      <c r="T222" s="31"/>
      <c r="U222" s="33"/>
      <c r="V222" s="1967"/>
      <c r="W222" s="1805"/>
      <c r="X222" s="91"/>
      <c r="Y222" s="1806"/>
      <c r="Z222" s="1968"/>
      <c r="AA222" s="2244"/>
      <c r="AB222" s="1969"/>
      <c r="AC222" s="1365"/>
      <c r="AD222" s="95"/>
      <c r="AE222" s="1326"/>
      <c r="AF222" s="97"/>
      <c r="AG222" s="1737"/>
      <c r="AH222" s="1970"/>
      <c r="AI222" s="99"/>
      <c r="AJ222" s="1809"/>
      <c r="AK222" s="6120" t="str">
        <f t="shared" si="96"/>
        <v>►</v>
      </c>
      <c r="AL222" s="781" t="str">
        <f t="shared" si="98"/>
        <v>►</v>
      </c>
      <c r="AM222" s="5498" t="str">
        <f t="shared" si="101"/>
        <v/>
      </c>
      <c r="AN222" s="783" t="str">
        <f t="shared" si="102"/>
        <v/>
      </c>
      <c r="AO222" s="782" t="str">
        <f t="shared" si="103"/>
        <v/>
      </c>
      <c r="AP222" s="783" t="str">
        <f t="shared" si="104"/>
        <v/>
      </c>
      <c r="AQ222" s="2083" t="b">
        <f>AND(Q222="A",COUNTIF(BP16:BR63,TRIM(Z222))&gt;0)</f>
        <v>0</v>
      </c>
      <c r="AR222" s="797" t="str">
        <f>IF(AL222&lt;&gt;"A","",IFERROR(IFERROR(_xlfn.XLOOKUP(TRIM(SUBSTITUTE(Z222,CHAR(160)," ")),BP16:BP63,BS16:BS63),IFERROR(_xlfn.XLOOKUP(TRIM(SUBSTITUTE(Z222,CHAR(160)," ")),BQ16:BQ63,BS16:BS63),_xlfn.XLOOKUP(TRIM(SUBSTITUTE(Z222,CHAR(160)," ")),BR16:BR63,BS16:BS63)))*Y222*IF(ISBLANK(V222),1,V222),0))</f>
        <v/>
      </c>
      <c r="AS222" s="784" t="str">
        <f t="shared" si="94"/>
        <v/>
      </c>
      <c r="AT222" s="1315" t="str">
        <f t="shared" si="105"/>
        <v/>
      </c>
      <c r="AU222" s="785">
        <f t="shared" si="106"/>
        <v>0</v>
      </c>
      <c r="AV222" s="785">
        <f t="shared" si="107"/>
        <v>0</v>
      </c>
      <c r="AW222" s="798">
        <f>IF(AK222="A",AY10,0)</f>
        <v>0</v>
      </c>
      <c r="AX222" s="5496" t="str">
        <f>IF(IFERROR(SEARCH("Adresse PC",TRIM(W222)),0)&gt;0,"▼ receta siguiente",IF(AK222="A",IF(AZ10&lt;&gt;"",AZ10&amp;" - ou.or.o ❾ + or - &gt;",""),""))</f>
        <v/>
      </c>
      <c r="AY222" s="810"/>
      <c r="AZ222" s="810"/>
      <c r="BA222" s="799" t="str">
        <f t="shared" si="97"/>
        <v/>
      </c>
      <c r="BB222" s="800" t="str">
        <f>IF(AK222="A",IF(AQ222,IF(AND(AW222&lt;&gt;"",N(AW222)&gt;0),IFERROR(IFERROR(_xlfn.XLOOKUP(AP222,BP10:BP57,BT10:BT57),IFERROR(_xlfn.XLOOKUP(AP222,BQ10:BQ57,BT10:BT57),_xlfn.XLOOKUP(AP222,BR10:BR57,BT10:BT57,""))),""),""),""),"")</f>
        <v/>
      </c>
      <c r="BC222" s="813" cm="1">
        <f t="array" ref="BC222">IF(NOT(AQ222),0,IF(OR(BA222="",N(BA222)&lt;=0.000000001),"",IF(OR(AU222="",N(AU222)&lt;=0.000000001),0,IF(ISNUMBER(BA222),IFERROR(_xlfn.LET(_xlpm.ai_test,TRIM(AP222),_xlpm.r,IFERROR(_xlfn.XLOOKUP(_xlpm.ai_test,BP16:BP63,ROW(BP16:BP63),0,1),IFERROR(_xlfn.XLOOKUP(_xlpm.ai_test,BQ16:BQ63,ROW(BQ16:BQ63),0,1),_xlfn.XLOOKUP(_xlpm.ai_test,BR16:BR63,ROW(BR16:BR63),0,1))),_xlpm.p,_xlpm.r-MIN(ROW(BP16:BP63))+1,_xlpm.f,INDEX(BS16:BS63,_xlpm.p),_xlpm.u,INDEX(BT16:BT63,_xlpm.p),_xlpm.s,INDEX(BV16:BV63,_xlpm.p),_xlpm.q,N(BA222)/_xlpm.f,IF(_xlpm.q&gt;=_xlpm.s,ROUND(_xlpm.q,1)&amp;" "&amp;_xlpm.ai_test&amp;" = "&amp;ROUND(_xlpm.q*_xlpm.f,1)&amp;" "&amp;_xlpm.u,ROUND(_xlpm.q,1)&amp;" "&amp;_xlpm.ai_test)),""),""))))</f>
        <v>0</v>
      </c>
      <c r="BD222" s="801"/>
      <c r="BE222" s="799" t="str">
        <f t="shared" si="108"/>
        <v/>
      </c>
      <c r="BF222" s="800" t="str">
        <f t="shared" si="109"/>
        <v/>
      </c>
      <c r="BG222" s="802">
        <f t="shared" si="91"/>
        <v>0</v>
      </c>
      <c r="BH222" s="803" t="str">
        <f t="shared" si="92"/>
        <v/>
      </c>
      <c r="BI222" s="792"/>
      <c r="BJ222" s="804">
        <f t="shared" ref="BJ222:BJ285" si="111">IF(OR(AU222=0,ISBLANK(BI222),ISTEXT(BG222)),0,(IF(BA222=0,BG222,BA222)*BI222))</f>
        <v>0</v>
      </c>
      <c r="BK222" s="794" t="str">
        <f t="shared" si="110"/>
        <v/>
      </c>
      <c r="BL222" s="227" t="s">
        <v>21</v>
      </c>
      <c r="BM222" s="773">
        <f t="shared" si="99"/>
        <v>0</v>
      </c>
      <c r="BN222" s="774">
        <f t="shared" si="100"/>
        <v>0</v>
      </c>
      <c r="BO222"/>
      <c r="BX222"/>
      <c r="BY222"/>
      <c r="BZ222"/>
      <c r="CA222"/>
      <c r="CB222"/>
      <c r="CC222"/>
      <c r="CD222" s="781" t="str">
        <f t="shared" si="93"/>
        <v>►</v>
      </c>
      <c r="CE222"/>
      <c r="CF222"/>
      <c r="CG222"/>
      <c r="CH222"/>
      <c r="CI222"/>
      <c r="CJ222" s="633"/>
      <c r="CK222"/>
      <c r="CL222"/>
      <c r="CM222"/>
      <c r="CN222"/>
      <c r="CO222"/>
      <c r="CP222"/>
      <c r="CQ222"/>
      <c r="CS222"/>
      <c r="CT222"/>
      <c r="CU222"/>
      <c r="CV222"/>
      <c r="CW222"/>
      <c r="CX222"/>
      <c r="CY222"/>
      <c r="DA222"/>
      <c r="DB222"/>
      <c r="DC222"/>
      <c r="DD222"/>
      <c r="DE222"/>
      <c r="DF222"/>
      <c r="DG222"/>
      <c r="DI222" s="3">
        <v>1</v>
      </c>
    </row>
    <row r="223" spans="1:113" s="627" customFormat="1" ht="21" customHeight="1">
      <c r="A223" s="701" t="s">
        <v>21</v>
      </c>
      <c r="B223" s="2265" t="str" cm="1">
        <f t="array" ref="B223">SUMPRODUCT(--(D223:J223&lt;&gt;""), LEN(TRIM(SUBSTITUTE(D223:J223, CHAR(160), "")))) &amp; " Car."</f>
        <v>0 Car.</v>
      </c>
      <c r="C223" s="1376" t="str">
        <f>IF(ISBLANK(D223),"",LARGE(C13:C222,1)+1)</f>
        <v/>
      </c>
      <c r="D223" s="1833"/>
      <c r="E223" s="1810"/>
      <c r="F223" s="1810"/>
      <c r="G223" s="1810"/>
      <c r="H223" s="1810"/>
      <c r="I223" s="1810"/>
      <c r="J223" s="1810"/>
      <c r="K223" s="1810"/>
      <c r="L223" s="1811"/>
      <c r="M223" s="9"/>
      <c r="N223" s="103" t="str">
        <f t="shared" si="95"/>
        <v>►</v>
      </c>
      <c r="O223" s="1616"/>
      <c r="P223" s="9"/>
      <c r="Q223" s="25" t="s">
        <v>15</v>
      </c>
      <c r="R223" s="31"/>
      <c r="S223" s="32"/>
      <c r="T223" s="31"/>
      <c r="U223" s="33"/>
      <c r="V223" s="1967"/>
      <c r="W223" s="1805"/>
      <c r="X223" s="91"/>
      <c r="Y223" s="1806"/>
      <c r="Z223" s="1968"/>
      <c r="AA223" s="2244"/>
      <c r="AB223" s="1969"/>
      <c r="AC223" s="1365"/>
      <c r="AD223" s="95"/>
      <c r="AE223" s="1326"/>
      <c r="AF223" s="97"/>
      <c r="AG223" s="1737"/>
      <c r="AH223" s="1970"/>
      <c r="AI223" s="99"/>
      <c r="AJ223" s="1809"/>
      <c r="AK223" s="6120" t="str">
        <f t="shared" si="96"/>
        <v>►</v>
      </c>
      <c r="AL223" s="781" t="str">
        <f t="shared" si="98"/>
        <v>►</v>
      </c>
      <c r="AM223" s="5499" t="str">
        <f t="shared" si="101"/>
        <v/>
      </c>
      <c r="AN223" s="783" t="str">
        <f t="shared" si="102"/>
        <v/>
      </c>
      <c r="AO223" s="782" t="str">
        <f t="shared" si="103"/>
        <v/>
      </c>
      <c r="AP223" s="783" t="str">
        <f t="shared" si="104"/>
        <v/>
      </c>
      <c r="AQ223" s="2083" t="b">
        <f>AND(Q223="A",COUNTIF(BP16:BR63,TRIM(Z223))&gt;0)</f>
        <v>0</v>
      </c>
      <c r="AR223" s="797" t="str">
        <f>IF(AL223&lt;&gt;"A","",IFERROR(IFERROR(_xlfn.XLOOKUP(TRIM(SUBSTITUTE(Z223,CHAR(160)," ")),BP16:BP63,BS16:BS63),IFERROR(_xlfn.XLOOKUP(TRIM(SUBSTITUTE(Z223,CHAR(160)," ")),BQ16:BQ63,BS16:BS63),_xlfn.XLOOKUP(TRIM(SUBSTITUTE(Z223,CHAR(160)," ")),BR16:BR63,BS16:BS63)))*Y223*IF(ISBLANK(V223),1,V223),0))</f>
        <v/>
      </c>
      <c r="AS223" s="784" t="str">
        <f t="shared" si="94"/>
        <v/>
      </c>
      <c r="AT223" s="1315" t="str">
        <f t="shared" si="105"/>
        <v/>
      </c>
      <c r="AU223" s="785">
        <f t="shared" si="106"/>
        <v>0</v>
      </c>
      <c r="AV223" s="785">
        <f t="shared" si="107"/>
        <v>0</v>
      </c>
      <c r="AW223" s="786">
        <f>IF(AK223="A",AY10,0)</f>
        <v>0</v>
      </c>
      <c r="AX223" s="5495" t="str">
        <f>IF(IFERROR(SEARCH("Adresse PC",TRIM(W223)),0)&gt;0,"▼ receta siguiente",IF(AK223="A",IF(AZ10&lt;&gt;"",AZ10&amp;" - ou.or.o ❾ + or - &gt;",""),""))</f>
        <v/>
      </c>
      <c r="AY223" s="810"/>
      <c r="AZ223" s="810"/>
      <c r="BA223" s="788" t="str">
        <f t="shared" si="97"/>
        <v/>
      </c>
      <c r="BB223" s="789" t="str">
        <f>IF(AK223="A",IF(AQ223,IF(AND(AW223&lt;&gt;"",N(AW223)&gt;0),IFERROR(IFERROR(_xlfn.XLOOKUP(AP223,BP10:BP57,BT10:BT57),IFERROR(_xlfn.XLOOKUP(AP223,BQ10:BQ57,BT10:BT57),_xlfn.XLOOKUP(AP223,BR10:BR57,BT10:BT57,""))),""),""),""),"")</f>
        <v/>
      </c>
      <c r="BC223" s="811" cm="1">
        <f t="array" ref="BC223">IF(NOT(AQ223),0,IF(OR(BA223="",N(BA223)&lt;=0.000000001),"",IF(OR(AU223="",N(AU223)&lt;=0.000000001),0,IF(ISNUMBER(BA223),IFERROR(_xlfn.LET(_xlpm.ai_test,TRIM(AP223),_xlpm.r,IFERROR(_xlfn.XLOOKUP(_xlpm.ai_test,BP16:BP63,ROW(BP16:BP63),0,1),IFERROR(_xlfn.XLOOKUP(_xlpm.ai_test,BQ16:BQ63,ROW(BQ16:BQ63),0,1),_xlfn.XLOOKUP(_xlpm.ai_test,BR16:BR63,ROW(BR16:BR63),0,1))),_xlpm.p,_xlpm.r-MIN(ROW(BP16:BP63))+1,_xlpm.f,INDEX(BS16:BS63,_xlpm.p),_xlpm.u,INDEX(BT16:BT63,_xlpm.p),_xlpm.s,INDEX(BV16:BV63,_xlpm.p),_xlpm.q,N(BA223)/_xlpm.f,IF(_xlpm.q&gt;=_xlpm.s,ROUND(_xlpm.q,1)&amp;" "&amp;_xlpm.ai_test&amp;" = "&amp;ROUND(_xlpm.q*_xlpm.f,1)&amp;" "&amp;_xlpm.u,ROUND(_xlpm.q,1)&amp;" "&amp;_xlpm.ai_test)),""),""))))</f>
        <v>0</v>
      </c>
      <c r="BD223" s="801"/>
      <c r="BE223" s="788" t="str">
        <f t="shared" si="108"/>
        <v/>
      </c>
      <c r="BF223" s="789" t="str">
        <f t="shared" si="109"/>
        <v/>
      </c>
      <c r="BG223" s="790">
        <f t="shared" si="91"/>
        <v>0</v>
      </c>
      <c r="BH223" s="791" t="str">
        <f t="shared" si="92"/>
        <v/>
      </c>
      <c r="BI223" s="792"/>
      <c r="BJ223" s="793">
        <f t="shared" si="111"/>
        <v>0</v>
      </c>
      <c r="BK223" s="794" t="str">
        <f t="shared" si="110"/>
        <v/>
      </c>
      <c r="BL223" s="227" t="s">
        <v>21</v>
      </c>
      <c r="BM223" s="773">
        <f t="shared" si="99"/>
        <v>0</v>
      </c>
      <c r="BN223" s="774">
        <f t="shared" si="100"/>
        <v>0</v>
      </c>
      <c r="BO223"/>
      <c r="BX223"/>
      <c r="BY223"/>
      <c r="BZ223"/>
      <c r="CA223"/>
      <c r="CB223"/>
      <c r="CC223"/>
      <c r="CD223" s="781" t="str">
        <f t="shared" si="93"/>
        <v>►</v>
      </c>
      <c r="CE223"/>
      <c r="CF223"/>
      <c r="CG223"/>
      <c r="CH223"/>
      <c r="CI223"/>
      <c r="CJ223" s="633"/>
      <c r="CK223"/>
      <c r="CL223"/>
      <c r="CM223"/>
      <c r="CN223"/>
      <c r="CO223"/>
      <c r="CP223"/>
      <c r="CQ223"/>
      <c r="CS223"/>
      <c r="CT223"/>
      <c r="CU223"/>
      <c r="CV223"/>
      <c r="CW223"/>
      <c r="CX223"/>
      <c r="CY223"/>
      <c r="DA223"/>
      <c r="DB223"/>
      <c r="DC223"/>
      <c r="DD223"/>
      <c r="DE223"/>
      <c r="DF223"/>
      <c r="DG223"/>
      <c r="DI223" s="3">
        <v>1</v>
      </c>
    </row>
    <row r="224" spans="1:113" s="627" customFormat="1" ht="21" customHeight="1">
      <c r="A224" s="701" t="s">
        <v>21</v>
      </c>
      <c r="B224" s="2265" t="str" cm="1">
        <f t="array" ref="B224">SUMPRODUCT(--(D224:J224&lt;&gt;""), LEN(TRIM(SUBSTITUTE(D224:J224, CHAR(160), "")))) &amp; " Car."</f>
        <v>0 Car.</v>
      </c>
      <c r="C224" s="1376" t="str">
        <f>IF(ISBLANK(D224),"",LARGE(C13:C223,1)+1)</f>
        <v/>
      </c>
      <c r="D224" s="1833"/>
      <c r="E224" s="1810"/>
      <c r="F224" s="1810"/>
      <c r="G224" s="1810"/>
      <c r="H224" s="1810"/>
      <c r="I224" s="1810"/>
      <c r="J224" s="1810"/>
      <c r="K224" s="1810"/>
      <c r="L224" s="1811"/>
      <c r="M224" s="9"/>
      <c r="N224" s="103" t="str">
        <f t="shared" si="95"/>
        <v>►</v>
      </c>
      <c r="O224" s="1616"/>
      <c r="P224" s="9"/>
      <c r="Q224" s="25" t="s">
        <v>15</v>
      </c>
      <c r="R224" s="31"/>
      <c r="S224" s="32"/>
      <c r="T224" s="31"/>
      <c r="U224" s="33"/>
      <c r="V224" s="1967"/>
      <c r="W224" s="1805"/>
      <c r="X224" s="91"/>
      <c r="Y224" s="1806"/>
      <c r="Z224" s="1968"/>
      <c r="AA224" s="2244"/>
      <c r="AB224" s="1969"/>
      <c r="AC224" s="1365"/>
      <c r="AD224" s="95"/>
      <c r="AE224" s="1326"/>
      <c r="AF224" s="97"/>
      <c r="AG224" s="1737"/>
      <c r="AH224" s="1970"/>
      <c r="AI224" s="99"/>
      <c r="AJ224" s="1809"/>
      <c r="AK224" s="6120" t="str">
        <f t="shared" si="96"/>
        <v>►</v>
      </c>
      <c r="AL224" s="781" t="str">
        <f t="shared" si="98"/>
        <v>►</v>
      </c>
      <c r="AM224" s="5498" t="str">
        <f t="shared" si="101"/>
        <v/>
      </c>
      <c r="AN224" s="783" t="str">
        <f t="shared" si="102"/>
        <v/>
      </c>
      <c r="AO224" s="782" t="str">
        <f t="shared" si="103"/>
        <v/>
      </c>
      <c r="AP224" s="783" t="str">
        <f t="shared" si="104"/>
        <v/>
      </c>
      <c r="AQ224" s="2083" t="b">
        <f>AND(Q224="A",COUNTIF(BP16:BR63,TRIM(Z224))&gt;0)</f>
        <v>0</v>
      </c>
      <c r="AR224" s="797" t="str">
        <f>IF(AL224&lt;&gt;"A","",IFERROR(IFERROR(_xlfn.XLOOKUP(TRIM(SUBSTITUTE(Z224,CHAR(160)," ")),BP16:BP63,BS16:BS63),IFERROR(_xlfn.XLOOKUP(TRIM(SUBSTITUTE(Z224,CHAR(160)," ")),BQ16:BQ63,BS16:BS63),_xlfn.XLOOKUP(TRIM(SUBSTITUTE(Z224,CHAR(160)," ")),BR16:BR63,BS16:BS63)))*Y224*IF(ISBLANK(V224),1,V224),0))</f>
        <v/>
      </c>
      <c r="AS224" s="784" t="str">
        <f t="shared" si="94"/>
        <v/>
      </c>
      <c r="AT224" s="1315" t="str">
        <f t="shared" si="105"/>
        <v/>
      </c>
      <c r="AU224" s="785">
        <f t="shared" si="106"/>
        <v>0</v>
      </c>
      <c r="AV224" s="785">
        <f t="shared" si="107"/>
        <v>0</v>
      </c>
      <c r="AW224" s="798">
        <f>IF(AK224="A",AY10,0)</f>
        <v>0</v>
      </c>
      <c r="AX224" s="5496" t="str">
        <f>IF(IFERROR(SEARCH("Adresse PC",TRIM(W224)),0)&gt;0,"▼ receta siguiente",IF(AK224="A",IF(AZ10&lt;&gt;"",AZ10&amp;" - ou.or.o ❾ + or - &gt;",""),""))</f>
        <v/>
      </c>
      <c r="AY224" s="810"/>
      <c r="AZ224" s="810"/>
      <c r="BA224" s="799" t="str">
        <f t="shared" si="97"/>
        <v/>
      </c>
      <c r="BB224" s="800" t="str">
        <f>IF(AK224="A",IF(AQ224,IF(AND(AW224&lt;&gt;"",N(AW224)&gt;0),IFERROR(IFERROR(_xlfn.XLOOKUP(AP224,BP10:BP57,BT10:BT57),IFERROR(_xlfn.XLOOKUP(AP224,BQ10:BQ57,BT10:BT57),_xlfn.XLOOKUP(AP224,BR10:BR57,BT10:BT57,""))),""),""),""),"")</f>
        <v/>
      </c>
      <c r="BC224" s="813" cm="1">
        <f t="array" ref="BC224">IF(NOT(AQ224),0,IF(OR(BA224="",N(BA224)&lt;=0.000000001),"",IF(OR(AU224="",N(AU224)&lt;=0.000000001),0,IF(ISNUMBER(BA224),IFERROR(_xlfn.LET(_xlpm.ai_test,TRIM(AP224),_xlpm.r,IFERROR(_xlfn.XLOOKUP(_xlpm.ai_test,BP16:BP63,ROW(BP16:BP63),0,1),IFERROR(_xlfn.XLOOKUP(_xlpm.ai_test,BQ16:BQ63,ROW(BQ16:BQ63),0,1),_xlfn.XLOOKUP(_xlpm.ai_test,BR16:BR63,ROW(BR16:BR63),0,1))),_xlpm.p,_xlpm.r-MIN(ROW(BP16:BP63))+1,_xlpm.f,INDEX(BS16:BS63,_xlpm.p),_xlpm.u,INDEX(BT16:BT63,_xlpm.p),_xlpm.s,INDEX(BV16:BV63,_xlpm.p),_xlpm.q,N(BA224)/_xlpm.f,IF(_xlpm.q&gt;=_xlpm.s,ROUND(_xlpm.q,1)&amp;" "&amp;_xlpm.ai_test&amp;" = "&amp;ROUND(_xlpm.q*_xlpm.f,1)&amp;" "&amp;_xlpm.u,ROUND(_xlpm.q,1)&amp;" "&amp;_xlpm.ai_test)),""),""))))</f>
        <v>0</v>
      </c>
      <c r="BD224" s="801"/>
      <c r="BE224" s="799" t="str">
        <f t="shared" si="108"/>
        <v/>
      </c>
      <c r="BF224" s="800" t="str">
        <f t="shared" si="109"/>
        <v/>
      </c>
      <c r="BG224" s="802">
        <f t="shared" ref="BG224:BG287" si="112">IF(AND(ISNUMBER(BM224),ABS(BM224)&gt;0.000000001),BM224,0)</f>
        <v>0</v>
      </c>
      <c r="BH224" s="803" t="str">
        <f t="shared" ref="BH224:BH287" si="113">IF(AND(AQ224, N(BG224)&gt;0.000000001), W224, "")</f>
        <v/>
      </c>
      <c r="BI224" s="792"/>
      <c r="BJ224" s="804">
        <f t="shared" si="111"/>
        <v>0</v>
      </c>
      <c r="BK224" s="794" t="str">
        <f t="shared" si="110"/>
        <v/>
      </c>
      <c r="BL224" s="227" t="s">
        <v>21</v>
      </c>
      <c r="BM224" s="773">
        <f t="shared" si="99"/>
        <v>0</v>
      </c>
      <c r="BN224" s="774">
        <f t="shared" si="100"/>
        <v>0</v>
      </c>
      <c r="BO224"/>
      <c r="BX224"/>
      <c r="BY224"/>
      <c r="BZ224"/>
      <c r="CA224"/>
      <c r="CB224"/>
      <c r="CC224"/>
      <c r="CD224" s="781" t="str">
        <f t="shared" si="93"/>
        <v>►</v>
      </c>
      <c r="CE224"/>
      <c r="CF224"/>
      <c r="CG224"/>
      <c r="CH224"/>
      <c r="CI224"/>
      <c r="CJ224" s="633"/>
      <c r="CK224"/>
      <c r="CL224"/>
      <c r="CM224"/>
      <c r="CN224"/>
      <c r="CO224"/>
      <c r="CP224"/>
      <c r="CQ224"/>
      <c r="CS224"/>
      <c r="CT224"/>
      <c r="CU224"/>
      <c r="CV224"/>
      <c r="CW224"/>
      <c r="CX224"/>
      <c r="CY224"/>
      <c r="DA224"/>
      <c r="DB224"/>
      <c r="DC224"/>
      <c r="DD224"/>
      <c r="DE224"/>
      <c r="DF224"/>
      <c r="DG224"/>
      <c r="DI224" s="3">
        <v>1</v>
      </c>
    </row>
    <row r="225" spans="1:113" s="627" customFormat="1" ht="21" customHeight="1">
      <c r="A225" s="701" t="s">
        <v>21</v>
      </c>
      <c r="B225" s="2265" t="str" cm="1">
        <f t="array" ref="B225">SUMPRODUCT(--(D225:J225&lt;&gt;""), LEN(TRIM(SUBSTITUTE(D225:J225, CHAR(160), "")))) &amp; " Car."</f>
        <v>0 Car.</v>
      </c>
      <c r="C225" s="1376" t="str">
        <f>IF(ISBLANK(D225),"",LARGE(C13:C224,1)+1)</f>
        <v/>
      </c>
      <c r="D225" s="1833"/>
      <c r="E225" s="1810"/>
      <c r="F225" s="1810"/>
      <c r="G225" s="1810"/>
      <c r="H225" s="1810"/>
      <c r="I225" s="1810"/>
      <c r="J225" s="1810"/>
      <c r="K225" s="1810"/>
      <c r="L225" s="1811"/>
      <c r="M225" s="9"/>
      <c r="N225" s="103" t="str">
        <f t="shared" si="95"/>
        <v>►</v>
      </c>
      <c r="O225" s="1616"/>
      <c r="P225" s="9"/>
      <c r="Q225" s="25" t="s">
        <v>15</v>
      </c>
      <c r="R225" s="31"/>
      <c r="S225" s="32"/>
      <c r="T225" s="31"/>
      <c r="U225" s="33"/>
      <c r="V225" s="1967"/>
      <c r="W225" s="1805"/>
      <c r="X225" s="91"/>
      <c r="Y225" s="1806"/>
      <c r="Z225" s="1968"/>
      <c r="AA225" s="2244"/>
      <c r="AB225" s="1969"/>
      <c r="AC225" s="1365"/>
      <c r="AD225" s="95"/>
      <c r="AE225" s="1326"/>
      <c r="AF225" s="97"/>
      <c r="AG225" s="1737"/>
      <c r="AH225" s="1970"/>
      <c r="AI225" s="99"/>
      <c r="AJ225" s="1809"/>
      <c r="AK225" s="6120" t="str">
        <f t="shared" si="96"/>
        <v>►</v>
      </c>
      <c r="AL225" s="781" t="str">
        <f t="shared" si="98"/>
        <v>►</v>
      </c>
      <c r="AM225" s="5499" t="str">
        <f t="shared" si="101"/>
        <v/>
      </c>
      <c r="AN225" s="783" t="str">
        <f t="shared" si="102"/>
        <v/>
      </c>
      <c r="AO225" s="782" t="str">
        <f t="shared" si="103"/>
        <v/>
      </c>
      <c r="AP225" s="783" t="str">
        <f t="shared" si="104"/>
        <v/>
      </c>
      <c r="AQ225" s="2083" t="b">
        <f>AND(Q225="A",COUNTIF(BP16:BR63,TRIM(Z225))&gt;0)</f>
        <v>0</v>
      </c>
      <c r="AR225" s="797" t="str">
        <f>IF(AL225&lt;&gt;"A","",IFERROR(IFERROR(_xlfn.XLOOKUP(TRIM(SUBSTITUTE(Z225,CHAR(160)," ")),BP16:BP63,BS16:BS63),IFERROR(_xlfn.XLOOKUP(TRIM(SUBSTITUTE(Z225,CHAR(160)," ")),BQ16:BQ63,BS16:BS63),_xlfn.XLOOKUP(TRIM(SUBSTITUTE(Z225,CHAR(160)," ")),BR16:BR63,BS16:BS63)))*Y225*IF(ISBLANK(V225),1,V225),0))</f>
        <v/>
      </c>
      <c r="AS225" s="784" t="str">
        <f t="shared" si="94"/>
        <v/>
      </c>
      <c r="AT225" s="1315" t="str">
        <f t="shared" si="105"/>
        <v/>
      </c>
      <c r="AU225" s="785">
        <f t="shared" si="106"/>
        <v>0</v>
      </c>
      <c r="AV225" s="785">
        <f t="shared" si="107"/>
        <v>0</v>
      </c>
      <c r="AW225" s="786">
        <f>IF(AK225="A",AY10,0)</f>
        <v>0</v>
      </c>
      <c r="AX225" s="5495" t="str">
        <f>IF(IFERROR(SEARCH("Adresse PC",TRIM(W225)),0)&gt;0,"▼ receta siguiente",IF(AK225="A",IF(AZ10&lt;&gt;"",AZ10&amp;" - ou.or.o ❾ + or - &gt;",""),""))</f>
        <v/>
      </c>
      <c r="AY225" s="810"/>
      <c r="AZ225" s="810"/>
      <c r="BA225" s="788" t="str">
        <f t="shared" si="97"/>
        <v/>
      </c>
      <c r="BB225" s="789" t="str">
        <f>IF(AK225="A",IF(AQ225,IF(AND(AW225&lt;&gt;"",N(AW225)&gt;0),IFERROR(IFERROR(_xlfn.XLOOKUP(AP225,BP10:BP57,BT10:BT57),IFERROR(_xlfn.XLOOKUP(AP225,BQ10:BQ57,BT10:BT57),_xlfn.XLOOKUP(AP225,BR10:BR57,BT10:BT57,""))),""),""),""),"")</f>
        <v/>
      </c>
      <c r="BC225" s="811" cm="1">
        <f t="array" ref="BC225">IF(NOT(AQ225),0,IF(OR(BA225="",N(BA225)&lt;=0.000000001),"",IF(OR(AU225="",N(AU225)&lt;=0.000000001),0,IF(ISNUMBER(BA225),IFERROR(_xlfn.LET(_xlpm.ai_test,TRIM(AP225),_xlpm.r,IFERROR(_xlfn.XLOOKUP(_xlpm.ai_test,BP16:BP63,ROW(BP16:BP63),0,1),IFERROR(_xlfn.XLOOKUP(_xlpm.ai_test,BQ16:BQ63,ROW(BQ16:BQ63),0,1),_xlfn.XLOOKUP(_xlpm.ai_test,BR16:BR63,ROW(BR16:BR63),0,1))),_xlpm.p,_xlpm.r-MIN(ROW(BP16:BP63))+1,_xlpm.f,INDEX(BS16:BS63,_xlpm.p),_xlpm.u,INDEX(BT16:BT63,_xlpm.p),_xlpm.s,INDEX(BV16:BV63,_xlpm.p),_xlpm.q,N(BA225)/_xlpm.f,IF(_xlpm.q&gt;=_xlpm.s,ROUND(_xlpm.q,1)&amp;" "&amp;_xlpm.ai_test&amp;" = "&amp;ROUND(_xlpm.q*_xlpm.f,1)&amp;" "&amp;_xlpm.u,ROUND(_xlpm.q,1)&amp;" "&amp;_xlpm.ai_test)),""),""))))</f>
        <v>0</v>
      </c>
      <c r="BD225" s="801"/>
      <c r="BE225" s="788" t="str">
        <f t="shared" si="108"/>
        <v/>
      </c>
      <c r="BF225" s="789" t="str">
        <f t="shared" si="109"/>
        <v/>
      </c>
      <c r="BG225" s="790">
        <f t="shared" si="112"/>
        <v>0</v>
      </c>
      <c r="BH225" s="791" t="str">
        <f t="shared" si="113"/>
        <v/>
      </c>
      <c r="BI225" s="792"/>
      <c r="BJ225" s="793">
        <f t="shared" si="111"/>
        <v>0</v>
      </c>
      <c r="BK225" s="794" t="str">
        <f t="shared" si="110"/>
        <v/>
      </c>
      <c r="BL225" s="227" t="s">
        <v>21</v>
      </c>
      <c r="BM225" s="773">
        <f t="shared" si="99"/>
        <v>0</v>
      </c>
      <c r="BN225" s="774">
        <f t="shared" si="100"/>
        <v>0</v>
      </c>
      <c r="BO225"/>
      <c r="BX225"/>
      <c r="BY225"/>
      <c r="BZ225"/>
      <c r="CA225"/>
      <c r="CB225"/>
      <c r="CC225"/>
      <c r="CD225" s="781" t="str">
        <f t="shared" si="93"/>
        <v>►</v>
      </c>
      <c r="CE225"/>
      <c r="CF225"/>
      <c r="CG225"/>
      <c r="CH225"/>
      <c r="CI225"/>
      <c r="CJ225" s="633"/>
      <c r="CK225"/>
      <c r="CL225"/>
      <c r="CM225"/>
      <c r="CN225"/>
      <c r="CO225"/>
      <c r="CP225"/>
      <c r="CQ225"/>
      <c r="CS225"/>
      <c r="CT225"/>
      <c r="CU225"/>
      <c r="CV225"/>
      <c r="CW225"/>
      <c r="CX225"/>
      <c r="CY225"/>
      <c r="DA225"/>
      <c r="DB225"/>
      <c r="DC225"/>
      <c r="DD225"/>
      <c r="DE225"/>
      <c r="DF225"/>
      <c r="DG225"/>
      <c r="DI225" s="3">
        <v>1</v>
      </c>
    </row>
    <row r="226" spans="1:113" s="627" customFormat="1" ht="21" customHeight="1">
      <c r="A226" s="701" t="s">
        <v>21</v>
      </c>
      <c r="B226" s="2265" t="str" cm="1">
        <f t="array" ref="B226">SUMPRODUCT(--(D226:J226&lt;&gt;""), LEN(TRIM(SUBSTITUTE(D226:J226, CHAR(160), "")))) &amp; " Car."</f>
        <v>0 Car.</v>
      </c>
      <c r="C226" s="1376" t="str">
        <f>IF(ISBLANK(D226),"",LARGE(C13:C225,1)+1)</f>
        <v/>
      </c>
      <c r="D226" s="1833"/>
      <c r="E226" s="1810"/>
      <c r="F226" s="1810"/>
      <c r="G226" s="1810"/>
      <c r="H226" s="1810"/>
      <c r="I226" s="1810"/>
      <c r="J226" s="1810"/>
      <c r="K226" s="1810"/>
      <c r="L226" s="1811"/>
      <c r="M226" s="9"/>
      <c r="N226" s="103" t="str">
        <f t="shared" si="95"/>
        <v>►</v>
      </c>
      <c r="O226" s="1616"/>
      <c r="P226" s="9"/>
      <c r="Q226" s="25" t="s">
        <v>15</v>
      </c>
      <c r="R226" s="31"/>
      <c r="S226" s="32"/>
      <c r="T226" s="31"/>
      <c r="U226" s="33"/>
      <c r="V226" s="1967"/>
      <c r="W226" s="1805"/>
      <c r="X226" s="91"/>
      <c r="Y226" s="1806"/>
      <c r="Z226" s="1968"/>
      <c r="AA226" s="2244"/>
      <c r="AB226" s="1969"/>
      <c r="AC226" s="1365"/>
      <c r="AD226" s="95"/>
      <c r="AE226" s="1326"/>
      <c r="AF226" s="97"/>
      <c r="AG226" s="1737"/>
      <c r="AH226" s="1970"/>
      <c r="AI226" s="99"/>
      <c r="AJ226" s="1809"/>
      <c r="AK226" s="6120" t="str">
        <f t="shared" si="96"/>
        <v>►</v>
      </c>
      <c r="AL226" s="781" t="str">
        <f t="shared" si="98"/>
        <v>►</v>
      </c>
      <c r="AM226" s="5498" t="str">
        <f t="shared" si="101"/>
        <v/>
      </c>
      <c r="AN226" s="783" t="str">
        <f t="shared" si="102"/>
        <v/>
      </c>
      <c r="AO226" s="782" t="str">
        <f t="shared" si="103"/>
        <v/>
      </c>
      <c r="AP226" s="783" t="str">
        <f t="shared" si="104"/>
        <v/>
      </c>
      <c r="AQ226" s="2083" t="b">
        <f>AND(Q226="A",COUNTIF(BP16:BR63,TRIM(Z226))&gt;0)</f>
        <v>0</v>
      </c>
      <c r="AR226" s="797" t="str">
        <f>IF(AL226&lt;&gt;"A","",IFERROR(IFERROR(_xlfn.XLOOKUP(TRIM(SUBSTITUTE(Z226,CHAR(160)," ")),BP16:BP63,BS16:BS63),IFERROR(_xlfn.XLOOKUP(TRIM(SUBSTITUTE(Z226,CHAR(160)," ")),BQ16:BQ63,BS16:BS63),_xlfn.XLOOKUP(TRIM(SUBSTITUTE(Z226,CHAR(160)," ")),BR16:BR63,BS16:BS63)))*Y226*IF(ISBLANK(V226),1,V226),0))</f>
        <v/>
      </c>
      <c r="AS226" s="784" t="str">
        <f t="shared" si="94"/>
        <v/>
      </c>
      <c r="AT226" s="1315" t="str">
        <f t="shared" si="105"/>
        <v/>
      </c>
      <c r="AU226" s="785">
        <f t="shared" si="106"/>
        <v>0</v>
      </c>
      <c r="AV226" s="785">
        <f t="shared" si="107"/>
        <v>0</v>
      </c>
      <c r="AW226" s="798">
        <f>IF(AK226="A",AY10,0)</f>
        <v>0</v>
      </c>
      <c r="AX226" s="5496" t="str">
        <f>IF(IFERROR(SEARCH("Adresse PC",TRIM(W226)),0)&gt;0,"▼ receta siguiente",IF(AK226="A",IF(AZ10&lt;&gt;"",AZ10&amp;" - ou.or.o ❾ + or - &gt;",""),""))</f>
        <v/>
      </c>
      <c r="AY226" s="810"/>
      <c r="AZ226" s="810"/>
      <c r="BA226" s="799" t="str">
        <f t="shared" si="97"/>
        <v/>
      </c>
      <c r="BB226" s="800" t="str">
        <f>IF(AK226="A",IF(AQ226,IF(AND(AW226&lt;&gt;"",N(AW226)&gt;0),IFERROR(IFERROR(_xlfn.XLOOKUP(AP226,BP10:BP57,BT10:BT57),IFERROR(_xlfn.XLOOKUP(AP226,BQ10:BQ57,BT10:BT57),_xlfn.XLOOKUP(AP226,BR10:BR57,BT10:BT57,""))),""),""),""),"")</f>
        <v/>
      </c>
      <c r="BC226" s="813" cm="1">
        <f t="array" ref="BC226">IF(NOT(AQ226),0,IF(OR(BA226="",N(BA226)&lt;=0.000000001),"",IF(OR(AU226="",N(AU226)&lt;=0.000000001),0,IF(ISNUMBER(BA226),IFERROR(_xlfn.LET(_xlpm.ai_test,TRIM(AP226),_xlpm.r,IFERROR(_xlfn.XLOOKUP(_xlpm.ai_test,BP16:BP63,ROW(BP16:BP63),0,1),IFERROR(_xlfn.XLOOKUP(_xlpm.ai_test,BQ16:BQ63,ROW(BQ16:BQ63),0,1),_xlfn.XLOOKUP(_xlpm.ai_test,BR16:BR63,ROW(BR16:BR63),0,1))),_xlpm.p,_xlpm.r-MIN(ROW(BP16:BP63))+1,_xlpm.f,INDEX(BS16:BS63,_xlpm.p),_xlpm.u,INDEX(BT16:BT63,_xlpm.p),_xlpm.s,INDEX(BV16:BV63,_xlpm.p),_xlpm.q,N(BA226)/_xlpm.f,IF(_xlpm.q&gt;=_xlpm.s,ROUND(_xlpm.q,1)&amp;" "&amp;_xlpm.ai_test&amp;" = "&amp;ROUND(_xlpm.q*_xlpm.f,1)&amp;" "&amp;_xlpm.u,ROUND(_xlpm.q,1)&amp;" "&amp;_xlpm.ai_test)),""),""))))</f>
        <v>0</v>
      </c>
      <c r="BD226" s="801"/>
      <c r="BE226" s="799" t="str">
        <f t="shared" si="108"/>
        <v/>
      </c>
      <c r="BF226" s="800" t="str">
        <f t="shared" si="109"/>
        <v/>
      </c>
      <c r="BG226" s="802">
        <f t="shared" si="112"/>
        <v>0</v>
      </c>
      <c r="BH226" s="803" t="str">
        <f t="shared" si="113"/>
        <v/>
      </c>
      <c r="BI226" s="792"/>
      <c r="BJ226" s="804">
        <f t="shared" si="111"/>
        <v>0</v>
      </c>
      <c r="BK226" s="794" t="str">
        <f t="shared" si="110"/>
        <v/>
      </c>
      <c r="BL226" s="227" t="s">
        <v>21</v>
      </c>
      <c r="BM226" s="773">
        <f t="shared" si="99"/>
        <v>0</v>
      </c>
      <c r="BN226" s="774">
        <f t="shared" si="100"/>
        <v>0</v>
      </c>
      <c r="BO226"/>
      <c r="BX226"/>
      <c r="BY226"/>
      <c r="BZ226"/>
      <c r="CA226"/>
      <c r="CB226"/>
      <c r="CC226"/>
      <c r="CD226" s="781" t="str">
        <f t="shared" si="93"/>
        <v>►</v>
      </c>
      <c r="CE226"/>
      <c r="CF226"/>
      <c r="CG226"/>
      <c r="CH226"/>
      <c r="CI226"/>
      <c r="CJ226" s="633"/>
      <c r="CK226"/>
      <c r="CL226"/>
      <c r="CM226"/>
      <c r="CN226"/>
      <c r="CO226"/>
      <c r="CP226"/>
      <c r="CQ226"/>
      <c r="CS226"/>
      <c r="CT226"/>
      <c r="CU226"/>
      <c r="CV226"/>
      <c r="CW226"/>
      <c r="CX226"/>
      <c r="CY226"/>
      <c r="DA226"/>
      <c r="DB226"/>
      <c r="DC226"/>
      <c r="DD226"/>
      <c r="DE226"/>
      <c r="DF226"/>
      <c r="DG226"/>
      <c r="DI226" s="3">
        <v>1</v>
      </c>
    </row>
    <row r="227" spans="1:113" s="627" customFormat="1" ht="21" customHeight="1">
      <c r="A227" s="701" t="s">
        <v>21</v>
      </c>
      <c r="B227" s="2265" t="str" cm="1">
        <f t="array" ref="B227">SUMPRODUCT(--(D227:J227&lt;&gt;""), LEN(TRIM(SUBSTITUTE(D227:J227, CHAR(160), "")))) &amp; " Car."</f>
        <v>0 Car.</v>
      </c>
      <c r="C227" s="1376" t="str">
        <f>IF(ISBLANK(D227),"",LARGE(C13:C226,1)+1)</f>
        <v/>
      </c>
      <c r="D227" s="1833"/>
      <c r="E227" s="1810"/>
      <c r="F227" s="1810"/>
      <c r="G227" s="1810"/>
      <c r="H227" s="1810"/>
      <c r="I227" s="1810"/>
      <c r="J227" s="1810"/>
      <c r="K227" s="1810"/>
      <c r="L227" s="1811"/>
      <c r="M227" s="9"/>
      <c r="N227" s="103" t="str">
        <f t="shared" si="95"/>
        <v>►</v>
      </c>
      <c r="O227" s="1616"/>
      <c r="P227" s="9"/>
      <c r="Q227" s="25" t="s">
        <v>15</v>
      </c>
      <c r="R227" s="31"/>
      <c r="S227" s="32"/>
      <c r="T227" s="31"/>
      <c r="U227" s="33"/>
      <c r="V227" s="1967"/>
      <c r="W227" s="1805"/>
      <c r="X227" s="91"/>
      <c r="Y227" s="1806"/>
      <c r="Z227" s="1968"/>
      <c r="AA227" s="2244"/>
      <c r="AB227" s="1969"/>
      <c r="AC227" s="1365"/>
      <c r="AD227" s="95"/>
      <c r="AE227" s="1326"/>
      <c r="AF227" s="97"/>
      <c r="AG227" s="1737"/>
      <c r="AH227" s="1970"/>
      <c r="AI227" s="99"/>
      <c r="AJ227" s="1809"/>
      <c r="AK227" s="6120" t="str">
        <f t="shared" si="96"/>
        <v>►</v>
      </c>
      <c r="AL227" s="781" t="str">
        <f t="shared" si="98"/>
        <v>►</v>
      </c>
      <c r="AM227" s="5499" t="str">
        <f t="shared" si="101"/>
        <v/>
      </c>
      <c r="AN227" s="783" t="str">
        <f t="shared" si="102"/>
        <v/>
      </c>
      <c r="AO227" s="782" t="str">
        <f t="shared" si="103"/>
        <v/>
      </c>
      <c r="AP227" s="783" t="str">
        <f t="shared" si="104"/>
        <v/>
      </c>
      <c r="AQ227" s="2083" t="b">
        <f>AND(Q227="A",COUNTIF(BP16:BR63,TRIM(Z227))&gt;0)</f>
        <v>0</v>
      </c>
      <c r="AR227" s="797" t="str">
        <f>IF(AL227&lt;&gt;"A","",IFERROR(IFERROR(_xlfn.XLOOKUP(TRIM(SUBSTITUTE(Z227,CHAR(160)," ")),BP16:BP63,BS16:BS63),IFERROR(_xlfn.XLOOKUP(TRIM(SUBSTITUTE(Z227,CHAR(160)," ")),BQ16:BQ63,BS16:BS63),_xlfn.XLOOKUP(TRIM(SUBSTITUTE(Z227,CHAR(160)," ")),BR16:BR63,BS16:BS63)))*Y227*IF(ISBLANK(V227),1,V227),0))</f>
        <v/>
      </c>
      <c r="AS227" s="784" t="str">
        <f t="shared" si="94"/>
        <v/>
      </c>
      <c r="AT227" s="1315" t="str">
        <f t="shared" si="105"/>
        <v/>
      </c>
      <c r="AU227" s="785">
        <f t="shared" si="106"/>
        <v>0</v>
      </c>
      <c r="AV227" s="785">
        <f t="shared" si="107"/>
        <v>0</v>
      </c>
      <c r="AW227" s="786">
        <f>IF(AK227="A",AY10,0)</f>
        <v>0</v>
      </c>
      <c r="AX227" s="5495" t="str">
        <f>IF(IFERROR(SEARCH("Adresse PC",TRIM(W227)),0)&gt;0,"▼ receta siguiente",IF(AK227="A",IF(AZ10&lt;&gt;"",AZ10&amp;" - ou.or.o ❾ + or - &gt;",""),""))</f>
        <v/>
      </c>
      <c r="AY227" s="810"/>
      <c r="AZ227" s="810"/>
      <c r="BA227" s="788" t="str">
        <f t="shared" si="97"/>
        <v/>
      </c>
      <c r="BB227" s="789" t="str">
        <f>IF(AK227="A",IF(AQ227,IF(AND(AW227&lt;&gt;"",N(AW227)&gt;0),IFERROR(IFERROR(_xlfn.XLOOKUP(AP227,BP10:BP57,BT10:BT57),IFERROR(_xlfn.XLOOKUP(AP227,BQ10:BQ57,BT10:BT57),_xlfn.XLOOKUP(AP227,BR10:BR57,BT10:BT57,""))),""),""),""),"")</f>
        <v/>
      </c>
      <c r="BC227" s="811" cm="1">
        <f t="array" ref="BC227">IF(NOT(AQ227),0,IF(OR(BA227="",N(BA227)&lt;=0.000000001),"",IF(OR(AU227="",N(AU227)&lt;=0.000000001),0,IF(ISNUMBER(BA227),IFERROR(_xlfn.LET(_xlpm.ai_test,TRIM(AP227),_xlpm.r,IFERROR(_xlfn.XLOOKUP(_xlpm.ai_test,BP16:BP63,ROW(BP16:BP63),0,1),IFERROR(_xlfn.XLOOKUP(_xlpm.ai_test,BQ16:BQ63,ROW(BQ16:BQ63),0,1),_xlfn.XLOOKUP(_xlpm.ai_test,BR16:BR63,ROW(BR16:BR63),0,1))),_xlpm.p,_xlpm.r-MIN(ROW(BP16:BP63))+1,_xlpm.f,INDEX(BS16:BS63,_xlpm.p),_xlpm.u,INDEX(BT16:BT63,_xlpm.p),_xlpm.s,INDEX(BV16:BV63,_xlpm.p),_xlpm.q,N(BA227)/_xlpm.f,IF(_xlpm.q&gt;=_xlpm.s,ROUND(_xlpm.q,1)&amp;" "&amp;_xlpm.ai_test&amp;" = "&amp;ROUND(_xlpm.q*_xlpm.f,1)&amp;" "&amp;_xlpm.u,ROUND(_xlpm.q,1)&amp;" "&amp;_xlpm.ai_test)),""),""))))</f>
        <v>0</v>
      </c>
      <c r="BD227" s="801"/>
      <c r="BE227" s="788" t="str">
        <f t="shared" si="108"/>
        <v/>
      </c>
      <c r="BF227" s="789" t="str">
        <f t="shared" si="109"/>
        <v/>
      </c>
      <c r="BG227" s="790">
        <f t="shared" si="112"/>
        <v>0</v>
      </c>
      <c r="BH227" s="791" t="str">
        <f t="shared" si="113"/>
        <v/>
      </c>
      <c r="BI227" s="792"/>
      <c r="BJ227" s="793">
        <f t="shared" si="111"/>
        <v>0</v>
      </c>
      <c r="BK227" s="794" t="str">
        <f t="shared" si="110"/>
        <v/>
      </c>
      <c r="BL227" s="227" t="s">
        <v>21</v>
      </c>
      <c r="BM227" s="773">
        <f t="shared" si="99"/>
        <v>0</v>
      </c>
      <c r="BN227" s="774">
        <f t="shared" si="100"/>
        <v>0</v>
      </c>
      <c r="BO227"/>
      <c r="BX227"/>
      <c r="BY227"/>
      <c r="BZ227"/>
      <c r="CA227"/>
      <c r="CB227"/>
      <c r="CC227"/>
      <c r="CD227" s="781" t="str">
        <f t="shared" si="93"/>
        <v>►</v>
      </c>
      <c r="CE227"/>
      <c r="CF227"/>
      <c r="CG227"/>
      <c r="CH227"/>
      <c r="CI227"/>
      <c r="CJ227" s="633"/>
      <c r="CK227"/>
      <c r="CL227"/>
      <c r="CM227"/>
      <c r="CN227"/>
      <c r="CO227"/>
      <c r="CP227"/>
      <c r="CQ227"/>
      <c r="CS227"/>
      <c r="CT227"/>
      <c r="CU227"/>
      <c r="CV227"/>
      <c r="CW227"/>
      <c r="CX227"/>
      <c r="CY227"/>
      <c r="DA227"/>
      <c r="DB227"/>
      <c r="DC227"/>
      <c r="DD227"/>
      <c r="DE227"/>
      <c r="DF227"/>
      <c r="DG227"/>
      <c r="DI227" s="3">
        <v>1</v>
      </c>
    </row>
    <row r="228" spans="1:113" s="627" customFormat="1" ht="21" customHeight="1">
      <c r="A228" s="701" t="s">
        <v>21</v>
      </c>
      <c r="B228" s="2265" t="str" cm="1">
        <f t="array" ref="B228">SUMPRODUCT(--(D228:J228&lt;&gt;""), LEN(TRIM(SUBSTITUTE(D228:J228, CHAR(160), "")))) &amp; " Car."</f>
        <v>0 Car.</v>
      </c>
      <c r="C228" s="1376" t="str">
        <f>IF(ISBLANK(D228),"",LARGE(C13:C227,1)+1)</f>
        <v/>
      </c>
      <c r="D228" s="1833"/>
      <c r="E228" s="1810"/>
      <c r="F228" s="1810"/>
      <c r="G228" s="1810"/>
      <c r="H228" s="1810"/>
      <c r="I228" s="1810"/>
      <c r="J228" s="1810"/>
      <c r="K228" s="1810"/>
      <c r="L228" s="1811"/>
      <c r="M228" s="9"/>
      <c r="N228" s="103" t="str">
        <f t="shared" si="95"/>
        <v>►</v>
      </c>
      <c r="O228" s="1616"/>
      <c r="P228" s="9"/>
      <c r="Q228" s="25" t="s">
        <v>15</v>
      </c>
      <c r="R228" s="31"/>
      <c r="S228" s="32"/>
      <c r="T228" s="31"/>
      <c r="U228" s="33"/>
      <c r="V228" s="1967"/>
      <c r="W228" s="1805"/>
      <c r="X228" s="91"/>
      <c r="Y228" s="1806"/>
      <c r="Z228" s="1968"/>
      <c r="AA228" s="2244"/>
      <c r="AB228" s="1969"/>
      <c r="AC228" s="1365"/>
      <c r="AD228" s="95"/>
      <c r="AE228" s="1326"/>
      <c r="AF228" s="97"/>
      <c r="AG228" s="1737"/>
      <c r="AH228" s="1970"/>
      <c r="AI228" s="99"/>
      <c r="AJ228" s="1809"/>
      <c r="AK228" s="6120" t="str">
        <f t="shared" si="96"/>
        <v>►</v>
      </c>
      <c r="AL228" s="781" t="str">
        <f t="shared" si="98"/>
        <v>►</v>
      </c>
      <c r="AM228" s="5498" t="str">
        <f t="shared" si="101"/>
        <v/>
      </c>
      <c r="AN228" s="783" t="str">
        <f t="shared" si="102"/>
        <v/>
      </c>
      <c r="AO228" s="782" t="str">
        <f t="shared" si="103"/>
        <v/>
      </c>
      <c r="AP228" s="783" t="str">
        <f t="shared" si="104"/>
        <v/>
      </c>
      <c r="AQ228" s="2083" t="b">
        <f>AND(Q228="A",COUNTIF(BP16:BR63,TRIM(Z228))&gt;0)</f>
        <v>0</v>
      </c>
      <c r="AR228" s="797" t="str">
        <f>IF(AL228&lt;&gt;"A","",IFERROR(IFERROR(_xlfn.XLOOKUP(TRIM(SUBSTITUTE(Z228,CHAR(160)," ")),BP16:BP63,BS16:BS63),IFERROR(_xlfn.XLOOKUP(TRIM(SUBSTITUTE(Z228,CHAR(160)," ")),BQ16:BQ63,BS16:BS63),_xlfn.XLOOKUP(TRIM(SUBSTITUTE(Z228,CHAR(160)," ")),BR16:BR63,BS16:BS63)))*Y228*IF(ISBLANK(V228),1,V228),0))</f>
        <v/>
      </c>
      <c r="AS228" s="784" t="str">
        <f t="shared" si="94"/>
        <v/>
      </c>
      <c r="AT228" s="1315" t="str">
        <f t="shared" si="105"/>
        <v/>
      </c>
      <c r="AU228" s="785">
        <f t="shared" si="106"/>
        <v>0</v>
      </c>
      <c r="AV228" s="785">
        <f t="shared" si="107"/>
        <v>0</v>
      </c>
      <c r="AW228" s="798">
        <f>IF(AK228="A",AY10,0)</f>
        <v>0</v>
      </c>
      <c r="AX228" s="5496" t="str">
        <f>IF(IFERROR(SEARCH("Adresse PC",TRIM(W228)),0)&gt;0,"▼ receta siguiente",IF(AK228="A",IF(AZ10&lt;&gt;"",AZ10&amp;" - ou.or.o ❾ + or - &gt;",""),""))</f>
        <v/>
      </c>
      <c r="AY228" s="810"/>
      <c r="AZ228" s="810"/>
      <c r="BA228" s="799" t="str">
        <f t="shared" si="97"/>
        <v/>
      </c>
      <c r="BB228" s="800" t="str">
        <f>IF(AK228="A",IF(AQ228,IF(AND(AW228&lt;&gt;"",N(AW228)&gt;0),IFERROR(IFERROR(_xlfn.XLOOKUP(AP228,BP10:BP57,BT10:BT57),IFERROR(_xlfn.XLOOKUP(AP228,BQ10:BQ57,BT10:BT57),_xlfn.XLOOKUP(AP228,BR10:BR57,BT10:BT57,""))),""),""),""),"")</f>
        <v/>
      </c>
      <c r="BC228" s="813" cm="1">
        <f t="array" ref="BC228">IF(NOT(AQ228),0,IF(OR(BA228="",N(BA228)&lt;=0.000000001),"",IF(OR(AU228="",N(AU228)&lt;=0.000000001),0,IF(ISNUMBER(BA228),IFERROR(_xlfn.LET(_xlpm.ai_test,TRIM(AP228),_xlpm.r,IFERROR(_xlfn.XLOOKUP(_xlpm.ai_test,BP16:BP63,ROW(BP16:BP63),0,1),IFERROR(_xlfn.XLOOKUP(_xlpm.ai_test,BQ16:BQ63,ROW(BQ16:BQ63),0,1),_xlfn.XLOOKUP(_xlpm.ai_test,BR16:BR63,ROW(BR16:BR63),0,1))),_xlpm.p,_xlpm.r-MIN(ROW(BP16:BP63))+1,_xlpm.f,INDEX(BS16:BS63,_xlpm.p),_xlpm.u,INDEX(BT16:BT63,_xlpm.p),_xlpm.s,INDEX(BV16:BV63,_xlpm.p),_xlpm.q,N(BA228)/_xlpm.f,IF(_xlpm.q&gt;=_xlpm.s,ROUND(_xlpm.q,1)&amp;" "&amp;_xlpm.ai_test&amp;" = "&amp;ROUND(_xlpm.q*_xlpm.f,1)&amp;" "&amp;_xlpm.u,ROUND(_xlpm.q,1)&amp;" "&amp;_xlpm.ai_test)),""),""))))</f>
        <v>0</v>
      </c>
      <c r="BD228" s="801"/>
      <c r="BE228" s="799" t="str">
        <f t="shared" si="108"/>
        <v/>
      </c>
      <c r="BF228" s="800" t="str">
        <f t="shared" si="109"/>
        <v/>
      </c>
      <c r="BG228" s="802">
        <f t="shared" si="112"/>
        <v>0</v>
      </c>
      <c r="BH228" s="803" t="str">
        <f t="shared" si="113"/>
        <v/>
      </c>
      <c r="BI228" s="792"/>
      <c r="BJ228" s="804">
        <f t="shared" si="111"/>
        <v>0</v>
      </c>
      <c r="BK228" s="794" t="str">
        <f t="shared" si="110"/>
        <v/>
      </c>
      <c r="BL228" s="227" t="s">
        <v>21</v>
      </c>
      <c r="BM228" s="773">
        <f t="shared" si="99"/>
        <v>0</v>
      </c>
      <c r="BN228" s="774">
        <f t="shared" si="100"/>
        <v>0</v>
      </c>
      <c r="BO228"/>
      <c r="BX228"/>
      <c r="BY228"/>
      <c r="BZ228"/>
      <c r="CA228"/>
      <c r="CB228"/>
      <c r="CC228"/>
      <c r="CD228" s="781" t="str">
        <f t="shared" si="93"/>
        <v>►</v>
      </c>
      <c r="CE228"/>
      <c r="CF228"/>
      <c r="CG228"/>
      <c r="CH228"/>
      <c r="CI228"/>
      <c r="CJ228" s="633"/>
      <c r="CK228"/>
      <c r="CL228"/>
      <c r="CM228"/>
      <c r="CN228"/>
      <c r="CO228"/>
      <c r="CP228"/>
      <c r="CQ228"/>
      <c r="CS228"/>
      <c r="CT228"/>
      <c r="CU228"/>
      <c r="CV228"/>
      <c r="CW228"/>
      <c r="CX228"/>
      <c r="CY228"/>
      <c r="DA228"/>
      <c r="DB228"/>
      <c r="DC228"/>
      <c r="DD228"/>
      <c r="DE228"/>
      <c r="DF228"/>
      <c r="DG228"/>
      <c r="DI228" s="3">
        <v>1</v>
      </c>
    </row>
    <row r="229" spans="1:113" s="627" customFormat="1" ht="21" customHeight="1">
      <c r="A229" s="701" t="s">
        <v>21</v>
      </c>
      <c r="B229" s="2265" t="str" cm="1">
        <f t="array" ref="B229">SUMPRODUCT(--(D229:J229&lt;&gt;""), LEN(TRIM(SUBSTITUTE(D229:J229, CHAR(160), "")))) &amp; " Car."</f>
        <v>0 Car.</v>
      </c>
      <c r="C229" s="1376" t="str">
        <f>IF(ISBLANK(D229),"",LARGE(C13:C228,1)+1)</f>
        <v/>
      </c>
      <c r="D229" s="1833"/>
      <c r="E229" s="1810"/>
      <c r="F229" s="1810"/>
      <c r="G229" s="1810"/>
      <c r="H229" s="1810"/>
      <c r="I229" s="1810"/>
      <c r="J229" s="1810"/>
      <c r="K229" s="1810"/>
      <c r="L229" s="1811"/>
      <c r="M229" s="9"/>
      <c r="N229" s="103" t="str">
        <f t="shared" si="95"/>
        <v>►</v>
      </c>
      <c r="O229" s="1616"/>
      <c r="P229" s="9"/>
      <c r="Q229" s="25" t="s">
        <v>15</v>
      </c>
      <c r="R229" s="31"/>
      <c r="S229" s="32"/>
      <c r="T229" s="31"/>
      <c r="U229" s="33"/>
      <c r="V229" s="1967"/>
      <c r="W229" s="1805"/>
      <c r="X229" s="91"/>
      <c r="Y229" s="1806"/>
      <c r="Z229" s="1968"/>
      <c r="AA229" s="2244"/>
      <c r="AB229" s="1969"/>
      <c r="AC229" s="1365"/>
      <c r="AD229" s="95"/>
      <c r="AE229" s="1326"/>
      <c r="AF229" s="97"/>
      <c r="AG229" s="1737"/>
      <c r="AH229" s="1970"/>
      <c r="AI229" s="99"/>
      <c r="AJ229" s="1809"/>
      <c r="AK229" s="6120" t="str">
        <f t="shared" si="96"/>
        <v>►</v>
      </c>
      <c r="AL229" s="781" t="str">
        <f t="shared" si="98"/>
        <v>►</v>
      </c>
      <c r="AM229" s="5499" t="str">
        <f t="shared" si="101"/>
        <v/>
      </c>
      <c r="AN229" s="783" t="str">
        <f t="shared" si="102"/>
        <v/>
      </c>
      <c r="AO229" s="782" t="str">
        <f t="shared" si="103"/>
        <v/>
      </c>
      <c r="AP229" s="783" t="str">
        <f t="shared" si="104"/>
        <v/>
      </c>
      <c r="AQ229" s="2083" t="b">
        <f>AND(Q229="A",COUNTIF(BP16:BR63,TRIM(Z229))&gt;0)</f>
        <v>0</v>
      </c>
      <c r="AR229" s="797" t="str">
        <f>IF(AL229&lt;&gt;"A","",IFERROR(IFERROR(_xlfn.XLOOKUP(TRIM(SUBSTITUTE(Z229,CHAR(160)," ")),BP16:BP63,BS16:BS63),IFERROR(_xlfn.XLOOKUP(TRIM(SUBSTITUTE(Z229,CHAR(160)," ")),BQ16:BQ63,BS16:BS63),_xlfn.XLOOKUP(TRIM(SUBSTITUTE(Z229,CHAR(160)," ")),BR16:BR63,BS16:BS63)))*Y229*IF(ISBLANK(V229),1,V229),0))</f>
        <v/>
      </c>
      <c r="AS229" s="784" t="str">
        <f t="shared" si="94"/>
        <v/>
      </c>
      <c r="AT229" s="1315" t="str">
        <f t="shared" si="105"/>
        <v/>
      </c>
      <c r="AU229" s="785">
        <f t="shared" si="106"/>
        <v>0</v>
      </c>
      <c r="AV229" s="785">
        <f t="shared" si="107"/>
        <v>0</v>
      </c>
      <c r="AW229" s="786">
        <f>IF(AK229="A",AY10,0)</f>
        <v>0</v>
      </c>
      <c r="AX229" s="5495" t="str">
        <f>IF(IFERROR(SEARCH("Adresse PC",TRIM(W229)),0)&gt;0,"▼ receta siguiente",IF(AK229="A",IF(AZ10&lt;&gt;"",AZ10&amp;" - ou.or.o ❾ + or - &gt;",""),""))</f>
        <v/>
      </c>
      <c r="AY229" s="810"/>
      <c r="AZ229" s="810"/>
      <c r="BA229" s="788" t="str">
        <f t="shared" si="97"/>
        <v/>
      </c>
      <c r="BB229" s="789" t="str">
        <f>IF(AK229="A",IF(AQ229,IF(AND(AW229&lt;&gt;"",N(AW229)&gt;0),IFERROR(IFERROR(_xlfn.XLOOKUP(AP229,BP10:BP57,BT10:BT57),IFERROR(_xlfn.XLOOKUP(AP229,BQ10:BQ57,BT10:BT57),_xlfn.XLOOKUP(AP229,BR10:BR57,BT10:BT57,""))),""),""),""),"")</f>
        <v/>
      </c>
      <c r="BC229" s="811" cm="1">
        <f t="array" ref="BC229">IF(NOT(AQ229),0,IF(OR(BA229="",N(BA229)&lt;=0.000000001),"",IF(OR(AU229="",N(AU229)&lt;=0.000000001),0,IF(ISNUMBER(BA229),IFERROR(_xlfn.LET(_xlpm.ai_test,TRIM(AP229),_xlpm.r,IFERROR(_xlfn.XLOOKUP(_xlpm.ai_test,BP16:BP63,ROW(BP16:BP63),0,1),IFERROR(_xlfn.XLOOKUP(_xlpm.ai_test,BQ16:BQ63,ROW(BQ16:BQ63),0,1),_xlfn.XLOOKUP(_xlpm.ai_test,BR16:BR63,ROW(BR16:BR63),0,1))),_xlpm.p,_xlpm.r-MIN(ROW(BP16:BP63))+1,_xlpm.f,INDEX(BS16:BS63,_xlpm.p),_xlpm.u,INDEX(BT16:BT63,_xlpm.p),_xlpm.s,INDEX(BV16:BV63,_xlpm.p),_xlpm.q,N(BA229)/_xlpm.f,IF(_xlpm.q&gt;=_xlpm.s,ROUND(_xlpm.q,1)&amp;" "&amp;_xlpm.ai_test&amp;" = "&amp;ROUND(_xlpm.q*_xlpm.f,1)&amp;" "&amp;_xlpm.u,ROUND(_xlpm.q,1)&amp;" "&amp;_xlpm.ai_test)),""),""))))</f>
        <v>0</v>
      </c>
      <c r="BD229" s="801"/>
      <c r="BE229" s="788" t="str">
        <f t="shared" si="108"/>
        <v/>
      </c>
      <c r="BF229" s="789" t="str">
        <f t="shared" si="109"/>
        <v/>
      </c>
      <c r="BG229" s="790">
        <f t="shared" si="112"/>
        <v>0</v>
      </c>
      <c r="BH229" s="791" t="str">
        <f t="shared" si="113"/>
        <v/>
      </c>
      <c r="BI229" s="792"/>
      <c r="BJ229" s="793">
        <f t="shared" si="111"/>
        <v>0</v>
      </c>
      <c r="BK229" s="794" t="str">
        <f t="shared" si="110"/>
        <v/>
      </c>
      <c r="BL229" s="227" t="s">
        <v>21</v>
      </c>
      <c r="BM229" s="773">
        <f t="shared" si="99"/>
        <v>0</v>
      </c>
      <c r="BN229" s="774">
        <f t="shared" si="100"/>
        <v>0</v>
      </c>
      <c r="BO229"/>
      <c r="BX229"/>
      <c r="BY229"/>
      <c r="BZ229"/>
      <c r="CA229"/>
      <c r="CB229"/>
      <c r="CC229"/>
      <c r="CD229" s="781" t="str">
        <f t="shared" si="93"/>
        <v>►</v>
      </c>
      <c r="CE229"/>
      <c r="CF229"/>
      <c r="CG229"/>
      <c r="CH229"/>
      <c r="CI229"/>
      <c r="CJ229" s="633"/>
      <c r="CK229"/>
      <c r="CL229"/>
      <c r="CM229"/>
      <c r="CN229"/>
      <c r="CO229"/>
      <c r="CP229"/>
      <c r="CQ229"/>
      <c r="CS229"/>
      <c r="CT229"/>
      <c r="CU229"/>
      <c r="CV229"/>
      <c r="CW229"/>
      <c r="CX229"/>
      <c r="CY229"/>
      <c r="DA229"/>
      <c r="DB229"/>
      <c r="DC229"/>
      <c r="DD229"/>
      <c r="DE229"/>
      <c r="DF229"/>
      <c r="DG229"/>
      <c r="DI229" s="3">
        <v>1</v>
      </c>
    </row>
    <row r="230" spans="1:113" s="627" customFormat="1" ht="21" customHeight="1">
      <c r="A230" s="701" t="s">
        <v>21</v>
      </c>
      <c r="B230" s="2265" t="str" cm="1">
        <f t="array" ref="B230">SUMPRODUCT(--(D230:J230&lt;&gt;""), LEN(TRIM(SUBSTITUTE(D230:J230, CHAR(160), "")))) &amp; " Car."</f>
        <v>0 Car.</v>
      </c>
      <c r="C230" s="1376" t="str">
        <f>IF(ISBLANK(D230),"",LARGE(C13:C229,1)+1)</f>
        <v/>
      </c>
      <c r="D230" s="1833"/>
      <c r="E230" s="1810"/>
      <c r="F230" s="1810"/>
      <c r="G230" s="1810"/>
      <c r="H230" s="1810"/>
      <c r="I230" s="1810"/>
      <c r="J230" s="1810"/>
      <c r="K230" s="1810"/>
      <c r="L230" s="1811"/>
      <c r="M230" s="9"/>
      <c r="N230" s="103" t="str">
        <f t="shared" si="95"/>
        <v>►</v>
      </c>
      <c r="O230" s="1616"/>
      <c r="P230" s="9"/>
      <c r="Q230" s="25" t="s">
        <v>15</v>
      </c>
      <c r="R230" s="31"/>
      <c r="S230" s="32"/>
      <c r="T230" s="31"/>
      <c r="U230" s="33"/>
      <c r="V230" s="1967"/>
      <c r="W230" s="1805"/>
      <c r="X230" s="91"/>
      <c r="Y230" s="1806"/>
      <c r="Z230" s="1968"/>
      <c r="AA230" s="2244"/>
      <c r="AB230" s="1969"/>
      <c r="AC230" s="1365"/>
      <c r="AD230" s="95"/>
      <c r="AE230" s="1326"/>
      <c r="AF230" s="97"/>
      <c r="AG230" s="1737"/>
      <c r="AH230" s="1970"/>
      <c r="AI230" s="99"/>
      <c r="AJ230" s="1809"/>
      <c r="AK230" s="6120" t="str">
        <f t="shared" si="96"/>
        <v>►</v>
      </c>
      <c r="AL230" s="781" t="str">
        <f t="shared" si="98"/>
        <v>►</v>
      </c>
      <c r="AM230" s="5498" t="str">
        <f t="shared" si="101"/>
        <v/>
      </c>
      <c r="AN230" s="783" t="str">
        <f t="shared" si="102"/>
        <v/>
      </c>
      <c r="AO230" s="782" t="str">
        <f t="shared" si="103"/>
        <v/>
      </c>
      <c r="AP230" s="783" t="str">
        <f t="shared" si="104"/>
        <v/>
      </c>
      <c r="AQ230" s="2083" t="b">
        <f>AND(Q230="A",COUNTIF(BP16:BR63,TRIM(Z230))&gt;0)</f>
        <v>0</v>
      </c>
      <c r="AR230" s="797" t="str">
        <f>IF(AL230&lt;&gt;"A","",IFERROR(IFERROR(_xlfn.XLOOKUP(TRIM(SUBSTITUTE(Z230,CHAR(160)," ")),BP16:BP63,BS16:BS63),IFERROR(_xlfn.XLOOKUP(TRIM(SUBSTITUTE(Z230,CHAR(160)," ")),BQ16:BQ63,BS16:BS63),_xlfn.XLOOKUP(TRIM(SUBSTITUTE(Z230,CHAR(160)," ")),BR16:BR63,BS16:BS63)))*Y230*IF(ISBLANK(V230),1,V230),0))</f>
        <v/>
      </c>
      <c r="AS230" s="784" t="str">
        <f t="shared" si="94"/>
        <v/>
      </c>
      <c r="AT230" s="1315" t="str">
        <f t="shared" si="105"/>
        <v/>
      </c>
      <c r="AU230" s="785">
        <f t="shared" si="106"/>
        <v>0</v>
      </c>
      <c r="AV230" s="785">
        <f t="shared" si="107"/>
        <v>0</v>
      </c>
      <c r="AW230" s="798">
        <f>IF(AK230="A",AY10,0)</f>
        <v>0</v>
      </c>
      <c r="AX230" s="5496" t="str">
        <f>IF(IFERROR(SEARCH("Adresse PC",TRIM(W230)),0)&gt;0,"▼ receta siguiente",IF(AK230="A",IF(AZ10&lt;&gt;"",AZ10&amp;" - ou.or.o ❾ + or - &gt;",""),""))</f>
        <v/>
      </c>
      <c r="AY230" s="810"/>
      <c r="AZ230" s="810"/>
      <c r="BA230" s="799" t="str">
        <f t="shared" si="97"/>
        <v/>
      </c>
      <c r="BB230" s="800" t="str">
        <f>IF(AK230="A",IF(AQ230,IF(AND(AW230&lt;&gt;"",N(AW230)&gt;0),IFERROR(IFERROR(_xlfn.XLOOKUP(AP230,BP10:BP57,BT10:BT57),IFERROR(_xlfn.XLOOKUP(AP230,BQ10:BQ57,BT10:BT57),_xlfn.XLOOKUP(AP230,BR10:BR57,BT10:BT57,""))),""),""),""),"")</f>
        <v/>
      </c>
      <c r="BC230" s="813" cm="1">
        <f t="array" ref="BC230">IF(NOT(AQ230),0,IF(OR(BA230="",N(BA230)&lt;=0.000000001),"",IF(OR(AU230="",N(AU230)&lt;=0.000000001),0,IF(ISNUMBER(BA230),IFERROR(_xlfn.LET(_xlpm.ai_test,TRIM(AP230),_xlpm.r,IFERROR(_xlfn.XLOOKUP(_xlpm.ai_test,BP16:BP63,ROW(BP16:BP63),0,1),IFERROR(_xlfn.XLOOKUP(_xlpm.ai_test,BQ16:BQ63,ROW(BQ16:BQ63),0,1),_xlfn.XLOOKUP(_xlpm.ai_test,BR16:BR63,ROW(BR16:BR63),0,1))),_xlpm.p,_xlpm.r-MIN(ROW(BP16:BP63))+1,_xlpm.f,INDEX(BS16:BS63,_xlpm.p),_xlpm.u,INDEX(BT16:BT63,_xlpm.p),_xlpm.s,INDEX(BV16:BV63,_xlpm.p),_xlpm.q,N(BA230)/_xlpm.f,IF(_xlpm.q&gt;=_xlpm.s,ROUND(_xlpm.q,1)&amp;" "&amp;_xlpm.ai_test&amp;" = "&amp;ROUND(_xlpm.q*_xlpm.f,1)&amp;" "&amp;_xlpm.u,ROUND(_xlpm.q,1)&amp;" "&amp;_xlpm.ai_test)),""),""))))</f>
        <v>0</v>
      </c>
      <c r="BD230" s="801"/>
      <c r="BE230" s="799" t="str">
        <f t="shared" si="108"/>
        <v/>
      </c>
      <c r="BF230" s="800" t="str">
        <f t="shared" si="109"/>
        <v/>
      </c>
      <c r="BG230" s="802">
        <f t="shared" si="112"/>
        <v>0</v>
      </c>
      <c r="BH230" s="803" t="str">
        <f t="shared" si="113"/>
        <v/>
      </c>
      <c r="BI230" s="792"/>
      <c r="BJ230" s="804">
        <f t="shared" si="111"/>
        <v>0</v>
      </c>
      <c r="BK230" s="794" t="str">
        <f t="shared" si="110"/>
        <v/>
      </c>
      <c r="BL230" s="227" t="s">
        <v>21</v>
      </c>
      <c r="BM230" s="773">
        <f t="shared" si="99"/>
        <v>0</v>
      </c>
      <c r="BN230" s="774">
        <f t="shared" si="100"/>
        <v>0</v>
      </c>
      <c r="BO230"/>
      <c r="BX230"/>
      <c r="BY230"/>
      <c r="BZ230"/>
      <c r="CA230"/>
      <c r="CB230"/>
      <c r="CC230"/>
      <c r="CD230" s="781" t="str">
        <f t="shared" si="93"/>
        <v>►</v>
      </c>
      <c r="CE230"/>
      <c r="CF230"/>
      <c r="CG230"/>
      <c r="CH230"/>
      <c r="CI230"/>
      <c r="CJ230" s="633"/>
      <c r="CK230"/>
      <c r="CL230"/>
      <c r="CM230"/>
      <c r="CN230"/>
      <c r="CO230"/>
      <c r="CP230"/>
      <c r="CQ230"/>
      <c r="CS230"/>
      <c r="CT230"/>
      <c r="CU230"/>
      <c r="CV230"/>
      <c r="CW230"/>
      <c r="CX230"/>
      <c r="CY230"/>
      <c r="DA230"/>
      <c r="DB230"/>
      <c r="DC230"/>
      <c r="DD230"/>
      <c r="DE230"/>
      <c r="DF230"/>
      <c r="DG230"/>
      <c r="DI230" s="3">
        <v>1</v>
      </c>
    </row>
    <row r="231" spans="1:113" s="627" customFormat="1" ht="21" customHeight="1">
      <c r="A231" s="701" t="s">
        <v>21</v>
      </c>
      <c r="B231" s="2265" t="str" cm="1">
        <f t="array" ref="B231">SUMPRODUCT(--(D231:J231&lt;&gt;""), LEN(TRIM(SUBSTITUTE(D231:J231, CHAR(160), "")))) &amp; " Car."</f>
        <v>0 Car.</v>
      </c>
      <c r="C231" s="1376" t="str">
        <f>IF(ISBLANK(D231),"",LARGE(C13:C230,1)+1)</f>
        <v/>
      </c>
      <c r="D231" s="1833"/>
      <c r="E231" s="1810"/>
      <c r="F231" s="1810"/>
      <c r="G231" s="1810"/>
      <c r="H231" s="1810"/>
      <c r="I231" s="1810"/>
      <c r="J231" s="1810"/>
      <c r="K231" s="1810"/>
      <c r="L231" s="1811"/>
      <c r="M231" s="9"/>
      <c r="N231" s="103" t="str">
        <f t="shared" si="95"/>
        <v>►</v>
      </c>
      <c r="O231" s="1616"/>
      <c r="P231" s="9"/>
      <c r="Q231" s="25" t="s">
        <v>15</v>
      </c>
      <c r="R231" s="31"/>
      <c r="S231" s="32"/>
      <c r="T231" s="31"/>
      <c r="U231" s="33"/>
      <c r="V231" s="1967"/>
      <c r="W231" s="1805"/>
      <c r="X231" s="91"/>
      <c r="Y231" s="1806"/>
      <c r="Z231" s="1968"/>
      <c r="AA231" s="2244"/>
      <c r="AB231" s="1969"/>
      <c r="AC231" s="1365"/>
      <c r="AD231" s="95"/>
      <c r="AE231" s="1326"/>
      <c r="AF231" s="97"/>
      <c r="AG231" s="1737"/>
      <c r="AH231" s="1970"/>
      <c r="AI231" s="99"/>
      <c r="AJ231" s="1809"/>
      <c r="AK231" s="6120" t="str">
        <f t="shared" si="96"/>
        <v>►</v>
      </c>
      <c r="AL231" s="781" t="str">
        <f t="shared" si="98"/>
        <v>►</v>
      </c>
      <c r="AM231" s="5499" t="str">
        <f t="shared" si="101"/>
        <v/>
      </c>
      <c r="AN231" s="783" t="str">
        <f t="shared" si="102"/>
        <v/>
      </c>
      <c r="AO231" s="782" t="str">
        <f t="shared" si="103"/>
        <v/>
      </c>
      <c r="AP231" s="783" t="str">
        <f t="shared" si="104"/>
        <v/>
      </c>
      <c r="AQ231" s="2083" t="b">
        <f>AND(Q231="A",COUNTIF(BP16:BR63,TRIM(Z231))&gt;0)</f>
        <v>0</v>
      </c>
      <c r="AR231" s="797" t="str">
        <f>IF(AL231&lt;&gt;"A","",IFERROR(IFERROR(_xlfn.XLOOKUP(TRIM(SUBSTITUTE(Z231,CHAR(160)," ")),BP16:BP63,BS16:BS63),IFERROR(_xlfn.XLOOKUP(TRIM(SUBSTITUTE(Z231,CHAR(160)," ")),BQ16:BQ63,BS16:BS63),_xlfn.XLOOKUP(TRIM(SUBSTITUTE(Z231,CHAR(160)," ")),BR16:BR63,BS16:BS63)))*Y231*IF(ISBLANK(V231),1,V231),0))</f>
        <v/>
      </c>
      <c r="AS231" s="784" t="str">
        <f t="shared" si="94"/>
        <v/>
      </c>
      <c r="AT231" s="1315" t="str">
        <f t="shared" si="105"/>
        <v/>
      </c>
      <c r="AU231" s="785">
        <f t="shared" si="106"/>
        <v>0</v>
      </c>
      <c r="AV231" s="785">
        <f t="shared" si="107"/>
        <v>0</v>
      </c>
      <c r="AW231" s="786">
        <f>IF(AK231="A",AY10,0)</f>
        <v>0</v>
      </c>
      <c r="AX231" s="5495" t="str">
        <f>IF(IFERROR(SEARCH("Adresse PC",TRIM(W231)),0)&gt;0,"▼ receta siguiente",IF(AK231="A",IF(AZ10&lt;&gt;"",AZ10&amp;" - ou.or.o ❾ + or - &gt;",""),""))</f>
        <v/>
      </c>
      <c r="AY231" s="810"/>
      <c r="AZ231" s="810"/>
      <c r="BA231" s="788" t="str">
        <f t="shared" si="97"/>
        <v/>
      </c>
      <c r="BB231" s="789" t="str">
        <f>IF(AK231="A",IF(AQ231,IF(AND(AW231&lt;&gt;"",N(AW231)&gt;0),IFERROR(IFERROR(_xlfn.XLOOKUP(AP231,BP10:BP57,BT10:BT57),IFERROR(_xlfn.XLOOKUP(AP231,BQ10:BQ57,BT10:BT57),_xlfn.XLOOKUP(AP231,BR10:BR57,BT10:BT57,""))),""),""),""),"")</f>
        <v/>
      </c>
      <c r="BC231" s="811" cm="1">
        <f t="array" ref="BC231">IF(NOT(AQ231),0,IF(OR(BA231="",N(BA231)&lt;=0.000000001),"",IF(OR(AU231="",N(AU231)&lt;=0.000000001),0,IF(ISNUMBER(BA231),IFERROR(_xlfn.LET(_xlpm.ai_test,TRIM(AP231),_xlpm.r,IFERROR(_xlfn.XLOOKUP(_xlpm.ai_test,BP16:BP63,ROW(BP16:BP63),0,1),IFERROR(_xlfn.XLOOKUP(_xlpm.ai_test,BQ16:BQ63,ROW(BQ16:BQ63),0,1),_xlfn.XLOOKUP(_xlpm.ai_test,BR16:BR63,ROW(BR16:BR63),0,1))),_xlpm.p,_xlpm.r-MIN(ROW(BP16:BP63))+1,_xlpm.f,INDEX(BS16:BS63,_xlpm.p),_xlpm.u,INDEX(BT16:BT63,_xlpm.p),_xlpm.s,INDEX(BV16:BV63,_xlpm.p),_xlpm.q,N(BA231)/_xlpm.f,IF(_xlpm.q&gt;=_xlpm.s,ROUND(_xlpm.q,1)&amp;" "&amp;_xlpm.ai_test&amp;" = "&amp;ROUND(_xlpm.q*_xlpm.f,1)&amp;" "&amp;_xlpm.u,ROUND(_xlpm.q,1)&amp;" "&amp;_xlpm.ai_test)),""),""))))</f>
        <v>0</v>
      </c>
      <c r="BD231" s="801"/>
      <c r="BE231" s="788" t="str">
        <f t="shared" si="108"/>
        <v/>
      </c>
      <c r="BF231" s="789" t="str">
        <f t="shared" si="109"/>
        <v/>
      </c>
      <c r="BG231" s="790">
        <f t="shared" si="112"/>
        <v>0</v>
      </c>
      <c r="BH231" s="791" t="str">
        <f t="shared" si="113"/>
        <v/>
      </c>
      <c r="BI231" s="792"/>
      <c r="BJ231" s="793">
        <f t="shared" si="111"/>
        <v>0</v>
      </c>
      <c r="BK231" s="794" t="str">
        <f t="shared" si="110"/>
        <v/>
      </c>
      <c r="BL231" s="227" t="s">
        <v>21</v>
      </c>
      <c r="BM231" s="773">
        <f t="shared" si="99"/>
        <v>0</v>
      </c>
      <c r="BN231" s="774">
        <f t="shared" si="100"/>
        <v>0</v>
      </c>
      <c r="BO231"/>
      <c r="BX231"/>
      <c r="BY231"/>
      <c r="BZ231"/>
      <c r="CA231"/>
      <c r="CB231"/>
      <c r="CC231"/>
      <c r="CD231" s="781" t="str">
        <f t="shared" si="93"/>
        <v>►</v>
      </c>
      <c r="CE231"/>
      <c r="CF231"/>
      <c r="CG231"/>
      <c r="CH231"/>
      <c r="CI231"/>
      <c r="CJ231" s="633"/>
      <c r="CK231"/>
      <c r="CL231"/>
      <c r="CM231"/>
      <c r="CN231"/>
      <c r="CO231"/>
      <c r="CP231"/>
      <c r="CQ231"/>
      <c r="CS231"/>
      <c r="CT231"/>
      <c r="CU231"/>
      <c r="CV231"/>
      <c r="CW231"/>
      <c r="CX231"/>
      <c r="CY231"/>
      <c r="DA231"/>
      <c r="DB231"/>
      <c r="DC231"/>
      <c r="DD231"/>
      <c r="DE231"/>
      <c r="DF231"/>
      <c r="DG231"/>
      <c r="DI231" s="3">
        <v>1</v>
      </c>
    </row>
    <row r="232" spans="1:113" s="627" customFormat="1" ht="21" customHeight="1">
      <c r="A232" s="701" t="s">
        <v>21</v>
      </c>
      <c r="B232" s="2265" t="str" cm="1">
        <f t="array" ref="B232">SUMPRODUCT(--(D232:J232&lt;&gt;""), LEN(TRIM(SUBSTITUTE(D232:J232, CHAR(160), "")))) &amp; " Car."</f>
        <v>0 Car.</v>
      </c>
      <c r="C232" s="1376" t="str">
        <f>IF(ISBLANK(D232),"",LARGE(C13:C231,1)+1)</f>
        <v/>
      </c>
      <c r="D232" s="1833"/>
      <c r="E232" s="1810"/>
      <c r="F232" s="1810"/>
      <c r="G232" s="1810"/>
      <c r="H232" s="1810"/>
      <c r="I232" s="1810"/>
      <c r="J232" s="1810"/>
      <c r="K232" s="1810"/>
      <c r="L232" s="1811"/>
      <c r="M232" s="9"/>
      <c r="N232" s="103" t="str">
        <f t="shared" si="95"/>
        <v>►</v>
      </c>
      <c r="O232" s="1616"/>
      <c r="P232" s="9"/>
      <c r="Q232" s="25" t="s">
        <v>15</v>
      </c>
      <c r="R232" s="31"/>
      <c r="S232" s="32"/>
      <c r="T232" s="31"/>
      <c r="U232" s="33"/>
      <c r="V232" s="1967"/>
      <c r="W232" s="1805"/>
      <c r="X232" s="91"/>
      <c r="Y232" s="1806"/>
      <c r="Z232" s="1968"/>
      <c r="AA232" s="2244"/>
      <c r="AB232" s="1969"/>
      <c r="AC232" s="1365"/>
      <c r="AD232" s="95"/>
      <c r="AE232" s="1326"/>
      <c r="AF232" s="97"/>
      <c r="AG232" s="1737"/>
      <c r="AH232" s="1970"/>
      <c r="AI232" s="99"/>
      <c r="AJ232" s="1809"/>
      <c r="AK232" s="6120" t="str">
        <f t="shared" si="96"/>
        <v>►</v>
      </c>
      <c r="AL232" s="781" t="str">
        <f t="shared" si="98"/>
        <v>►</v>
      </c>
      <c r="AM232" s="5498" t="str">
        <f t="shared" si="101"/>
        <v/>
      </c>
      <c r="AN232" s="783" t="str">
        <f t="shared" si="102"/>
        <v/>
      </c>
      <c r="AO232" s="782" t="str">
        <f t="shared" si="103"/>
        <v/>
      </c>
      <c r="AP232" s="783" t="str">
        <f t="shared" si="104"/>
        <v/>
      </c>
      <c r="AQ232" s="2083" t="b">
        <f>AND(Q232="A",COUNTIF(BP16:BR63,TRIM(Z232))&gt;0)</f>
        <v>0</v>
      </c>
      <c r="AR232" s="797" t="str">
        <f>IF(AL232&lt;&gt;"A","",IFERROR(IFERROR(_xlfn.XLOOKUP(TRIM(SUBSTITUTE(Z232,CHAR(160)," ")),BP16:BP63,BS16:BS63),IFERROR(_xlfn.XLOOKUP(TRIM(SUBSTITUTE(Z232,CHAR(160)," ")),BQ16:BQ63,BS16:BS63),_xlfn.XLOOKUP(TRIM(SUBSTITUTE(Z232,CHAR(160)," ")),BR16:BR63,BS16:BS63)))*Y232*IF(ISBLANK(V232),1,V232),0))</f>
        <v/>
      </c>
      <c r="AS232" s="784" t="str">
        <f t="shared" si="94"/>
        <v/>
      </c>
      <c r="AT232" s="1315" t="str">
        <f t="shared" si="105"/>
        <v/>
      </c>
      <c r="AU232" s="785">
        <f t="shared" si="106"/>
        <v>0</v>
      </c>
      <c r="AV232" s="785">
        <f t="shared" si="107"/>
        <v>0</v>
      </c>
      <c r="AW232" s="798">
        <f>IF(AK232="A",AY10,0)</f>
        <v>0</v>
      </c>
      <c r="AX232" s="5496" t="str">
        <f>IF(IFERROR(SEARCH("Adresse PC",TRIM(W232)),0)&gt;0,"▼ receta siguiente",IF(AK232="A",IF(AZ10&lt;&gt;"",AZ10&amp;" - ou.or.o ❾ + or - &gt;",""),""))</f>
        <v/>
      </c>
      <c r="AY232" s="810"/>
      <c r="AZ232" s="810"/>
      <c r="BA232" s="799" t="str">
        <f t="shared" si="97"/>
        <v/>
      </c>
      <c r="BB232" s="800" t="str">
        <f>IF(AK232="A",IF(AQ232,IF(AND(AW232&lt;&gt;"",N(AW232)&gt;0),IFERROR(IFERROR(_xlfn.XLOOKUP(AP232,BP10:BP57,BT10:BT57),IFERROR(_xlfn.XLOOKUP(AP232,BQ10:BQ57,BT10:BT57),_xlfn.XLOOKUP(AP232,BR10:BR57,BT10:BT57,""))),""),""),""),"")</f>
        <v/>
      </c>
      <c r="BC232" s="813" cm="1">
        <f t="array" ref="BC232">IF(NOT(AQ232),0,IF(OR(BA232="",N(BA232)&lt;=0.000000001),"",IF(OR(AU232="",N(AU232)&lt;=0.000000001),0,IF(ISNUMBER(BA232),IFERROR(_xlfn.LET(_xlpm.ai_test,TRIM(AP232),_xlpm.r,IFERROR(_xlfn.XLOOKUP(_xlpm.ai_test,BP16:BP63,ROW(BP16:BP63),0,1),IFERROR(_xlfn.XLOOKUP(_xlpm.ai_test,BQ16:BQ63,ROW(BQ16:BQ63),0,1),_xlfn.XLOOKUP(_xlpm.ai_test,BR16:BR63,ROW(BR16:BR63),0,1))),_xlpm.p,_xlpm.r-MIN(ROW(BP16:BP63))+1,_xlpm.f,INDEX(BS16:BS63,_xlpm.p),_xlpm.u,INDEX(BT16:BT63,_xlpm.p),_xlpm.s,INDEX(BV16:BV63,_xlpm.p),_xlpm.q,N(BA232)/_xlpm.f,IF(_xlpm.q&gt;=_xlpm.s,ROUND(_xlpm.q,1)&amp;" "&amp;_xlpm.ai_test&amp;" = "&amp;ROUND(_xlpm.q*_xlpm.f,1)&amp;" "&amp;_xlpm.u,ROUND(_xlpm.q,1)&amp;" "&amp;_xlpm.ai_test)),""),""))))</f>
        <v>0</v>
      </c>
      <c r="BD232" s="801"/>
      <c r="BE232" s="799" t="str">
        <f t="shared" si="108"/>
        <v/>
      </c>
      <c r="BF232" s="800" t="str">
        <f t="shared" si="109"/>
        <v/>
      </c>
      <c r="BG232" s="802">
        <f t="shared" si="112"/>
        <v>0</v>
      </c>
      <c r="BH232" s="803" t="str">
        <f t="shared" si="113"/>
        <v/>
      </c>
      <c r="BI232" s="792"/>
      <c r="BJ232" s="804">
        <f t="shared" si="111"/>
        <v>0</v>
      </c>
      <c r="BK232" s="794" t="str">
        <f t="shared" si="110"/>
        <v/>
      </c>
      <c r="BL232" s="227" t="s">
        <v>21</v>
      </c>
      <c r="BM232" s="773">
        <f t="shared" si="99"/>
        <v>0</v>
      </c>
      <c r="BN232" s="774">
        <f t="shared" si="100"/>
        <v>0</v>
      </c>
      <c r="BO232"/>
      <c r="BX232"/>
      <c r="BY232"/>
      <c r="BZ232"/>
      <c r="CA232"/>
      <c r="CB232"/>
      <c r="CC232"/>
      <c r="CD232" s="781" t="str">
        <f t="shared" si="93"/>
        <v>►</v>
      </c>
      <c r="CE232"/>
      <c r="CF232"/>
      <c r="CG232"/>
      <c r="CH232"/>
      <c r="CI232"/>
      <c r="CJ232" s="633"/>
      <c r="CK232"/>
      <c r="CL232"/>
      <c r="CM232"/>
      <c r="CN232"/>
      <c r="CO232"/>
      <c r="CP232"/>
      <c r="CQ232"/>
      <c r="CS232"/>
      <c r="CT232"/>
      <c r="CU232"/>
      <c r="CV232"/>
      <c r="CW232"/>
      <c r="CX232"/>
      <c r="CY232"/>
      <c r="DA232"/>
      <c r="DB232"/>
      <c r="DC232"/>
      <c r="DD232"/>
      <c r="DE232"/>
      <c r="DF232"/>
      <c r="DG232"/>
      <c r="DI232" s="3">
        <v>1</v>
      </c>
    </row>
    <row r="233" spans="1:113" s="627" customFormat="1" ht="21" customHeight="1">
      <c r="A233" s="701" t="s">
        <v>21</v>
      </c>
      <c r="B233" s="2265" t="str" cm="1">
        <f t="array" ref="B233">SUMPRODUCT(--(D233:J233&lt;&gt;""), LEN(TRIM(SUBSTITUTE(D233:J233, CHAR(160), "")))) &amp; " Car."</f>
        <v>0 Car.</v>
      </c>
      <c r="C233" s="1376" t="str">
        <f>IF(ISBLANK(D233),"",LARGE(C13:C232,1)+1)</f>
        <v/>
      </c>
      <c r="D233" s="1833"/>
      <c r="E233" s="1810"/>
      <c r="F233" s="1810"/>
      <c r="G233" s="1810"/>
      <c r="H233" s="1810"/>
      <c r="I233" s="1810"/>
      <c r="J233" s="1810"/>
      <c r="K233" s="1810"/>
      <c r="L233" s="1811"/>
      <c r="M233" s="9"/>
      <c r="N233" s="103" t="str">
        <f t="shared" si="95"/>
        <v>►</v>
      </c>
      <c r="O233" s="1616"/>
      <c r="P233" s="9"/>
      <c r="Q233" s="25" t="s">
        <v>15</v>
      </c>
      <c r="R233" s="31"/>
      <c r="S233" s="32"/>
      <c r="T233" s="31"/>
      <c r="U233" s="33"/>
      <c r="V233" s="1967"/>
      <c r="W233" s="1805"/>
      <c r="X233" s="91"/>
      <c r="Y233" s="1806"/>
      <c r="Z233" s="1968"/>
      <c r="AA233" s="2244"/>
      <c r="AB233" s="1969"/>
      <c r="AC233" s="1365"/>
      <c r="AD233" s="95"/>
      <c r="AE233" s="1326"/>
      <c r="AF233" s="97"/>
      <c r="AG233" s="1737"/>
      <c r="AH233" s="1970"/>
      <c r="AI233" s="99"/>
      <c r="AJ233" s="1809"/>
      <c r="AK233" s="6120" t="str">
        <f t="shared" si="96"/>
        <v>►</v>
      </c>
      <c r="AL233" s="781" t="str">
        <f t="shared" si="98"/>
        <v>►</v>
      </c>
      <c r="AM233" s="5499" t="str">
        <f t="shared" si="101"/>
        <v/>
      </c>
      <c r="AN233" s="783" t="str">
        <f t="shared" si="102"/>
        <v/>
      </c>
      <c r="AO233" s="782" t="str">
        <f t="shared" si="103"/>
        <v/>
      </c>
      <c r="AP233" s="783" t="str">
        <f t="shared" si="104"/>
        <v/>
      </c>
      <c r="AQ233" s="2083" t="b">
        <f>AND(Q233="A",COUNTIF(BP16:BR63,TRIM(Z233))&gt;0)</f>
        <v>0</v>
      </c>
      <c r="AR233" s="797" t="str">
        <f>IF(AL233&lt;&gt;"A","",IFERROR(IFERROR(_xlfn.XLOOKUP(TRIM(SUBSTITUTE(Z233,CHAR(160)," ")),BP16:BP63,BS16:BS63),IFERROR(_xlfn.XLOOKUP(TRIM(SUBSTITUTE(Z233,CHAR(160)," ")),BQ16:BQ63,BS16:BS63),_xlfn.XLOOKUP(TRIM(SUBSTITUTE(Z233,CHAR(160)," ")),BR16:BR63,BS16:BS63)))*Y233*IF(ISBLANK(V233),1,V233),0))</f>
        <v/>
      </c>
      <c r="AS233" s="784" t="str">
        <f t="shared" si="94"/>
        <v/>
      </c>
      <c r="AT233" s="1315" t="str">
        <f t="shared" si="105"/>
        <v/>
      </c>
      <c r="AU233" s="785">
        <f t="shared" si="106"/>
        <v>0</v>
      </c>
      <c r="AV233" s="785">
        <f t="shared" si="107"/>
        <v>0</v>
      </c>
      <c r="AW233" s="786">
        <f>IF(AK233="A",AY10,0)</f>
        <v>0</v>
      </c>
      <c r="AX233" s="5495" t="str">
        <f>IF(IFERROR(SEARCH("Adresse PC",TRIM(W233)),0)&gt;0,"▼ receta siguiente",IF(AK233="A",IF(AZ10&lt;&gt;"",AZ10&amp;" - ou.or.o ❾ + or - &gt;",""),""))</f>
        <v/>
      </c>
      <c r="AY233" s="810"/>
      <c r="AZ233" s="810"/>
      <c r="BA233" s="788" t="str">
        <f t="shared" si="97"/>
        <v/>
      </c>
      <c r="BB233" s="789" t="str">
        <f>IF(AK233="A",IF(AQ233,IF(AND(AW233&lt;&gt;"",N(AW233)&gt;0),IFERROR(IFERROR(_xlfn.XLOOKUP(AP233,BP10:BP57,BT10:BT57),IFERROR(_xlfn.XLOOKUP(AP233,BQ10:BQ57,BT10:BT57),_xlfn.XLOOKUP(AP233,BR10:BR57,BT10:BT57,""))),""),""),""),"")</f>
        <v/>
      </c>
      <c r="BC233" s="811" cm="1">
        <f t="array" ref="BC233">IF(NOT(AQ233),0,IF(OR(BA233="",N(BA233)&lt;=0.000000001),"",IF(OR(AU233="",N(AU233)&lt;=0.000000001),0,IF(ISNUMBER(BA233),IFERROR(_xlfn.LET(_xlpm.ai_test,TRIM(AP233),_xlpm.r,IFERROR(_xlfn.XLOOKUP(_xlpm.ai_test,BP16:BP63,ROW(BP16:BP63),0,1),IFERROR(_xlfn.XLOOKUP(_xlpm.ai_test,BQ16:BQ63,ROW(BQ16:BQ63),0,1),_xlfn.XLOOKUP(_xlpm.ai_test,BR16:BR63,ROW(BR16:BR63),0,1))),_xlpm.p,_xlpm.r-MIN(ROW(BP16:BP63))+1,_xlpm.f,INDEX(BS16:BS63,_xlpm.p),_xlpm.u,INDEX(BT16:BT63,_xlpm.p),_xlpm.s,INDEX(BV16:BV63,_xlpm.p),_xlpm.q,N(BA233)/_xlpm.f,IF(_xlpm.q&gt;=_xlpm.s,ROUND(_xlpm.q,1)&amp;" "&amp;_xlpm.ai_test&amp;" = "&amp;ROUND(_xlpm.q*_xlpm.f,1)&amp;" "&amp;_xlpm.u,ROUND(_xlpm.q,1)&amp;" "&amp;_xlpm.ai_test)),""),""))))</f>
        <v>0</v>
      </c>
      <c r="BD233" s="801"/>
      <c r="BE233" s="788" t="str">
        <f t="shared" si="108"/>
        <v/>
      </c>
      <c r="BF233" s="789" t="str">
        <f t="shared" si="109"/>
        <v/>
      </c>
      <c r="BG233" s="790">
        <f t="shared" si="112"/>
        <v>0</v>
      </c>
      <c r="BH233" s="791" t="str">
        <f t="shared" si="113"/>
        <v/>
      </c>
      <c r="BI233" s="792"/>
      <c r="BJ233" s="793">
        <f t="shared" si="111"/>
        <v>0</v>
      </c>
      <c r="BK233" s="794" t="str">
        <f t="shared" si="110"/>
        <v/>
      </c>
      <c r="BL233" s="227" t="s">
        <v>21</v>
      </c>
      <c r="BM233" s="773">
        <f t="shared" si="99"/>
        <v>0</v>
      </c>
      <c r="BN233" s="774">
        <f t="shared" si="100"/>
        <v>0</v>
      </c>
      <c r="BO233"/>
      <c r="BX233"/>
      <c r="BY233"/>
      <c r="BZ233"/>
      <c r="CA233"/>
      <c r="CB233"/>
      <c r="CC233"/>
      <c r="CD233" s="781" t="str">
        <f t="shared" si="93"/>
        <v>►</v>
      </c>
      <c r="CE233"/>
      <c r="CF233"/>
      <c r="CG233"/>
      <c r="CH233"/>
      <c r="CI233"/>
      <c r="CJ233" s="633"/>
      <c r="CK233"/>
      <c r="CL233"/>
      <c r="CM233"/>
      <c r="CN233"/>
      <c r="CO233"/>
      <c r="CP233"/>
      <c r="CQ233"/>
      <c r="CS233"/>
      <c r="CT233"/>
      <c r="CU233"/>
      <c r="CV233"/>
      <c r="CW233"/>
      <c r="CX233"/>
      <c r="CY233"/>
      <c r="DA233"/>
      <c r="DB233"/>
      <c r="DC233"/>
      <c r="DD233"/>
      <c r="DE233"/>
      <c r="DF233"/>
      <c r="DG233"/>
      <c r="DI233" s="3">
        <v>1</v>
      </c>
    </row>
    <row r="234" spans="1:113" s="627" customFormat="1" ht="21" customHeight="1">
      <c r="A234" s="701" t="s">
        <v>21</v>
      </c>
      <c r="B234" s="2265" t="str" cm="1">
        <f t="array" ref="B234">SUMPRODUCT(--(D234:J234&lt;&gt;""), LEN(TRIM(SUBSTITUTE(D234:J234, CHAR(160), "")))) &amp; " Car."</f>
        <v>0 Car.</v>
      </c>
      <c r="C234" s="1376" t="str">
        <f>IF(ISBLANK(D234),"",LARGE(C13:C233,1)+1)</f>
        <v/>
      </c>
      <c r="D234" s="1833"/>
      <c r="E234" s="1810"/>
      <c r="F234" s="1810"/>
      <c r="G234" s="1810"/>
      <c r="H234" s="1810"/>
      <c r="I234" s="1810"/>
      <c r="J234" s="1810"/>
      <c r="K234" s="1810"/>
      <c r="L234" s="1811"/>
      <c r="M234" s="9"/>
      <c r="N234" s="103" t="str">
        <f t="shared" si="95"/>
        <v>►</v>
      </c>
      <c r="O234" s="1616"/>
      <c r="P234" s="9"/>
      <c r="Q234" s="25" t="s">
        <v>15</v>
      </c>
      <c r="R234" s="31"/>
      <c r="S234" s="32"/>
      <c r="T234" s="31"/>
      <c r="U234" s="33"/>
      <c r="V234" s="1967"/>
      <c r="W234" s="1805"/>
      <c r="X234" s="91"/>
      <c r="Y234" s="1806"/>
      <c r="Z234" s="1968"/>
      <c r="AA234" s="2244"/>
      <c r="AB234" s="1969"/>
      <c r="AC234" s="1365"/>
      <c r="AD234" s="95"/>
      <c r="AE234" s="1326"/>
      <c r="AF234" s="97"/>
      <c r="AG234" s="1737"/>
      <c r="AH234" s="1970"/>
      <c r="AI234" s="99"/>
      <c r="AJ234" s="1809"/>
      <c r="AK234" s="6120" t="str">
        <f t="shared" si="96"/>
        <v>►</v>
      </c>
      <c r="AL234" s="781" t="str">
        <f t="shared" si="98"/>
        <v>►</v>
      </c>
      <c r="AM234" s="5498" t="str">
        <f t="shared" si="101"/>
        <v/>
      </c>
      <c r="AN234" s="783" t="str">
        <f t="shared" si="102"/>
        <v/>
      </c>
      <c r="AO234" s="782" t="str">
        <f t="shared" si="103"/>
        <v/>
      </c>
      <c r="AP234" s="783" t="str">
        <f t="shared" si="104"/>
        <v/>
      </c>
      <c r="AQ234" s="2083" t="b">
        <f>AND(Q234="A",COUNTIF(BP16:BR63,TRIM(Z234))&gt;0)</f>
        <v>0</v>
      </c>
      <c r="AR234" s="797" t="str">
        <f>IF(AL234&lt;&gt;"A","",IFERROR(IFERROR(_xlfn.XLOOKUP(TRIM(SUBSTITUTE(Z234,CHAR(160)," ")),BP16:BP63,BS16:BS63),IFERROR(_xlfn.XLOOKUP(TRIM(SUBSTITUTE(Z234,CHAR(160)," ")),BQ16:BQ63,BS16:BS63),_xlfn.XLOOKUP(TRIM(SUBSTITUTE(Z234,CHAR(160)," ")),BR16:BR63,BS16:BS63)))*Y234*IF(ISBLANK(V234),1,V234),0))</f>
        <v/>
      </c>
      <c r="AS234" s="784" t="str">
        <f t="shared" si="94"/>
        <v/>
      </c>
      <c r="AT234" s="1315" t="str">
        <f t="shared" si="105"/>
        <v/>
      </c>
      <c r="AU234" s="785">
        <f t="shared" si="106"/>
        <v>0</v>
      </c>
      <c r="AV234" s="785">
        <f t="shared" si="107"/>
        <v>0</v>
      </c>
      <c r="AW234" s="798">
        <f>IF(AK234="A",AY10,0)</f>
        <v>0</v>
      </c>
      <c r="AX234" s="5496" t="str">
        <f>IF(IFERROR(SEARCH("Adresse PC",TRIM(W234)),0)&gt;0,"▼ receta siguiente",IF(AK234="A",IF(AZ10&lt;&gt;"",AZ10&amp;" - ou.or.o ❾ + or - &gt;",""),""))</f>
        <v/>
      </c>
      <c r="AY234" s="810"/>
      <c r="AZ234" s="810"/>
      <c r="BA234" s="799" t="str">
        <f t="shared" si="97"/>
        <v/>
      </c>
      <c r="BB234" s="800" t="str">
        <f>IF(AK234="A",IF(AQ234,IF(AND(AW234&lt;&gt;"",N(AW234)&gt;0),IFERROR(IFERROR(_xlfn.XLOOKUP(AP234,BP10:BP57,BT10:BT57),IFERROR(_xlfn.XLOOKUP(AP234,BQ10:BQ57,BT10:BT57),_xlfn.XLOOKUP(AP234,BR10:BR57,BT10:BT57,""))),""),""),""),"")</f>
        <v/>
      </c>
      <c r="BC234" s="813" cm="1">
        <f t="array" ref="BC234">IF(NOT(AQ234),0,IF(OR(BA234="",N(BA234)&lt;=0.000000001),"",IF(OR(AU234="",N(AU234)&lt;=0.000000001),0,IF(ISNUMBER(BA234),IFERROR(_xlfn.LET(_xlpm.ai_test,TRIM(AP234),_xlpm.r,IFERROR(_xlfn.XLOOKUP(_xlpm.ai_test,BP16:BP63,ROW(BP16:BP63),0,1),IFERROR(_xlfn.XLOOKUP(_xlpm.ai_test,BQ16:BQ63,ROW(BQ16:BQ63),0,1),_xlfn.XLOOKUP(_xlpm.ai_test,BR16:BR63,ROW(BR16:BR63),0,1))),_xlpm.p,_xlpm.r-MIN(ROW(BP16:BP63))+1,_xlpm.f,INDEX(BS16:BS63,_xlpm.p),_xlpm.u,INDEX(BT16:BT63,_xlpm.p),_xlpm.s,INDEX(BV16:BV63,_xlpm.p),_xlpm.q,N(BA234)/_xlpm.f,IF(_xlpm.q&gt;=_xlpm.s,ROUND(_xlpm.q,1)&amp;" "&amp;_xlpm.ai_test&amp;" = "&amp;ROUND(_xlpm.q*_xlpm.f,1)&amp;" "&amp;_xlpm.u,ROUND(_xlpm.q,1)&amp;" "&amp;_xlpm.ai_test)),""),""))))</f>
        <v>0</v>
      </c>
      <c r="BD234" s="801"/>
      <c r="BE234" s="799" t="str">
        <f t="shared" si="108"/>
        <v/>
      </c>
      <c r="BF234" s="800" t="str">
        <f t="shared" si="109"/>
        <v/>
      </c>
      <c r="BG234" s="802">
        <f t="shared" si="112"/>
        <v>0</v>
      </c>
      <c r="BH234" s="803" t="str">
        <f t="shared" si="113"/>
        <v/>
      </c>
      <c r="BI234" s="792"/>
      <c r="BJ234" s="804">
        <f t="shared" si="111"/>
        <v>0</v>
      </c>
      <c r="BK234" s="794" t="str">
        <f t="shared" si="110"/>
        <v/>
      </c>
      <c r="BL234" s="227" t="s">
        <v>21</v>
      </c>
      <c r="BM234" s="773">
        <f t="shared" si="99"/>
        <v>0</v>
      </c>
      <c r="BN234" s="774">
        <f t="shared" si="100"/>
        <v>0</v>
      </c>
      <c r="BO234"/>
      <c r="BX234"/>
      <c r="BY234"/>
      <c r="BZ234"/>
      <c r="CA234"/>
      <c r="CB234"/>
      <c r="CC234"/>
      <c r="CD234" s="781" t="str">
        <f t="shared" si="93"/>
        <v>►</v>
      </c>
      <c r="CE234"/>
      <c r="CF234"/>
      <c r="CG234"/>
      <c r="CH234"/>
      <c r="CI234"/>
      <c r="CJ234" s="633"/>
      <c r="CK234"/>
      <c r="CL234"/>
      <c r="CM234"/>
      <c r="CN234"/>
      <c r="CO234"/>
      <c r="CP234"/>
      <c r="CQ234"/>
      <c r="CS234"/>
      <c r="CT234"/>
      <c r="CU234"/>
      <c r="CV234"/>
      <c r="CW234"/>
      <c r="CX234"/>
      <c r="CY234"/>
      <c r="DA234"/>
      <c r="DB234"/>
      <c r="DC234"/>
      <c r="DD234"/>
      <c r="DE234"/>
      <c r="DF234"/>
      <c r="DG234"/>
      <c r="DI234" s="3">
        <v>1</v>
      </c>
    </row>
    <row r="235" spans="1:113" s="627" customFormat="1" ht="21" customHeight="1">
      <c r="A235" s="701" t="s">
        <v>21</v>
      </c>
      <c r="B235" s="2265" t="str" cm="1">
        <f t="array" ref="B235">SUMPRODUCT(--(D235:J235&lt;&gt;""), LEN(TRIM(SUBSTITUTE(D235:J235, CHAR(160), "")))) &amp; " Car."</f>
        <v>0 Car.</v>
      </c>
      <c r="C235" s="1376" t="str">
        <f>IF(ISBLANK(D235),"",LARGE(C13:C234,1)+1)</f>
        <v/>
      </c>
      <c r="D235" s="1833"/>
      <c r="E235" s="1810"/>
      <c r="F235" s="1810"/>
      <c r="G235" s="1810"/>
      <c r="H235" s="1810"/>
      <c r="I235" s="1810"/>
      <c r="J235" s="1810"/>
      <c r="K235" s="1810"/>
      <c r="L235" s="1811"/>
      <c r="M235" s="9"/>
      <c r="N235" s="103" t="str">
        <f t="shared" si="95"/>
        <v>►</v>
      </c>
      <c r="O235" s="1616"/>
      <c r="P235" s="9"/>
      <c r="Q235" s="25" t="s">
        <v>15</v>
      </c>
      <c r="R235" s="31"/>
      <c r="S235" s="32"/>
      <c r="T235" s="31"/>
      <c r="U235" s="33"/>
      <c r="V235" s="1967"/>
      <c r="W235" s="1805"/>
      <c r="X235" s="91"/>
      <c r="Y235" s="1806"/>
      <c r="Z235" s="1968"/>
      <c r="AA235" s="2244"/>
      <c r="AB235" s="1969"/>
      <c r="AC235" s="1365"/>
      <c r="AD235" s="95"/>
      <c r="AE235" s="1326"/>
      <c r="AF235" s="97"/>
      <c r="AG235" s="1737"/>
      <c r="AH235" s="1970"/>
      <c r="AI235" s="99"/>
      <c r="AJ235" s="1809"/>
      <c r="AK235" s="6120" t="str">
        <f t="shared" si="96"/>
        <v>►</v>
      </c>
      <c r="AL235" s="781" t="str">
        <f t="shared" si="98"/>
        <v>►</v>
      </c>
      <c r="AM235" s="5499" t="str">
        <f t="shared" si="101"/>
        <v/>
      </c>
      <c r="AN235" s="783" t="str">
        <f t="shared" si="102"/>
        <v/>
      </c>
      <c r="AO235" s="782" t="str">
        <f t="shared" si="103"/>
        <v/>
      </c>
      <c r="AP235" s="783" t="str">
        <f t="shared" si="104"/>
        <v/>
      </c>
      <c r="AQ235" s="2083" t="b">
        <f>AND(Q235="A",COUNTIF(BP16:BR63,TRIM(Z235))&gt;0)</f>
        <v>0</v>
      </c>
      <c r="AR235" s="797" t="str">
        <f>IF(AL235&lt;&gt;"A","",IFERROR(IFERROR(_xlfn.XLOOKUP(TRIM(SUBSTITUTE(Z235,CHAR(160)," ")),BP16:BP63,BS16:BS63),IFERROR(_xlfn.XLOOKUP(TRIM(SUBSTITUTE(Z235,CHAR(160)," ")),BQ16:BQ63,BS16:BS63),_xlfn.XLOOKUP(TRIM(SUBSTITUTE(Z235,CHAR(160)," ")),BR16:BR63,BS16:BS63)))*Y235*IF(ISBLANK(V235),1,V235),0))</f>
        <v/>
      </c>
      <c r="AS235" s="784" t="str">
        <f t="shared" si="94"/>
        <v/>
      </c>
      <c r="AT235" s="1315" t="str">
        <f t="shared" si="105"/>
        <v/>
      </c>
      <c r="AU235" s="785">
        <f t="shared" si="106"/>
        <v>0</v>
      </c>
      <c r="AV235" s="785">
        <f t="shared" si="107"/>
        <v>0</v>
      </c>
      <c r="AW235" s="786">
        <f>IF(AK235="A",AY10,0)</f>
        <v>0</v>
      </c>
      <c r="AX235" s="5495" t="str">
        <f>IF(IFERROR(SEARCH("Adresse PC",TRIM(W235)),0)&gt;0,"▼ receta siguiente",IF(AK235="A",IF(AZ10&lt;&gt;"",AZ10&amp;" - ou.or.o ❾ + or - &gt;",""),""))</f>
        <v/>
      </c>
      <c r="AY235" s="810"/>
      <c r="AZ235" s="810"/>
      <c r="BA235" s="788" t="str">
        <f t="shared" si="97"/>
        <v/>
      </c>
      <c r="BB235" s="789" t="str">
        <f>IF(AK235="A",IF(AQ235,IF(AND(AW235&lt;&gt;"",N(AW235)&gt;0),IFERROR(IFERROR(_xlfn.XLOOKUP(AP235,BP10:BP57,BT10:BT57),IFERROR(_xlfn.XLOOKUP(AP235,BQ10:BQ57,BT10:BT57),_xlfn.XLOOKUP(AP235,BR10:BR57,BT10:BT57,""))),""),""),""),"")</f>
        <v/>
      </c>
      <c r="BC235" s="811" cm="1">
        <f t="array" ref="BC235">IF(NOT(AQ235),0,IF(OR(BA235="",N(BA235)&lt;=0.000000001),"",IF(OR(AU235="",N(AU235)&lt;=0.000000001),0,IF(ISNUMBER(BA235),IFERROR(_xlfn.LET(_xlpm.ai_test,TRIM(AP235),_xlpm.r,IFERROR(_xlfn.XLOOKUP(_xlpm.ai_test,BP16:BP63,ROW(BP16:BP63),0,1),IFERROR(_xlfn.XLOOKUP(_xlpm.ai_test,BQ16:BQ63,ROW(BQ16:BQ63),0,1),_xlfn.XLOOKUP(_xlpm.ai_test,BR16:BR63,ROW(BR16:BR63),0,1))),_xlpm.p,_xlpm.r-MIN(ROW(BP16:BP63))+1,_xlpm.f,INDEX(BS16:BS63,_xlpm.p),_xlpm.u,INDEX(BT16:BT63,_xlpm.p),_xlpm.s,INDEX(BV16:BV63,_xlpm.p),_xlpm.q,N(BA235)/_xlpm.f,IF(_xlpm.q&gt;=_xlpm.s,ROUND(_xlpm.q,1)&amp;" "&amp;_xlpm.ai_test&amp;" = "&amp;ROUND(_xlpm.q*_xlpm.f,1)&amp;" "&amp;_xlpm.u,ROUND(_xlpm.q,1)&amp;" "&amp;_xlpm.ai_test)),""),""))))</f>
        <v>0</v>
      </c>
      <c r="BD235" s="801"/>
      <c r="BE235" s="788" t="str">
        <f t="shared" si="108"/>
        <v/>
      </c>
      <c r="BF235" s="789" t="str">
        <f t="shared" si="109"/>
        <v/>
      </c>
      <c r="BG235" s="790">
        <f t="shared" si="112"/>
        <v>0</v>
      </c>
      <c r="BH235" s="791" t="str">
        <f t="shared" si="113"/>
        <v/>
      </c>
      <c r="BI235" s="792"/>
      <c r="BJ235" s="793">
        <f t="shared" si="111"/>
        <v>0</v>
      </c>
      <c r="BK235" s="794" t="str">
        <f t="shared" si="110"/>
        <v/>
      </c>
      <c r="BL235" s="227" t="s">
        <v>21</v>
      </c>
      <c r="BM235" s="773">
        <f t="shared" si="99"/>
        <v>0</v>
      </c>
      <c r="BN235" s="774">
        <f t="shared" si="100"/>
        <v>0</v>
      </c>
      <c r="BO235"/>
      <c r="BX235"/>
      <c r="BY235"/>
      <c r="BZ235"/>
      <c r="CA235"/>
      <c r="CB235"/>
      <c r="CC235"/>
      <c r="CD235" s="781" t="str">
        <f t="shared" si="93"/>
        <v>►</v>
      </c>
      <c r="CE235"/>
      <c r="CF235"/>
      <c r="CG235"/>
      <c r="CH235"/>
      <c r="CI235"/>
      <c r="CJ235" s="633"/>
      <c r="CK235"/>
      <c r="CL235"/>
      <c r="CM235"/>
      <c r="CN235"/>
      <c r="CO235"/>
      <c r="CP235"/>
      <c r="CQ235"/>
      <c r="CS235"/>
      <c r="CT235"/>
      <c r="CU235"/>
      <c r="CV235"/>
      <c r="CW235"/>
      <c r="CX235"/>
      <c r="CY235"/>
      <c r="DA235"/>
      <c r="DB235"/>
      <c r="DC235"/>
      <c r="DD235"/>
      <c r="DE235"/>
      <c r="DF235"/>
      <c r="DG235"/>
      <c r="DI235" s="3">
        <v>1</v>
      </c>
    </row>
    <row r="236" spans="1:113" s="627" customFormat="1" ht="21" customHeight="1">
      <c r="A236" s="701" t="s">
        <v>21</v>
      </c>
      <c r="B236" s="2265" t="str" cm="1">
        <f t="array" ref="B236">SUMPRODUCT(--(D236:J236&lt;&gt;""), LEN(TRIM(SUBSTITUTE(D236:J236, CHAR(160), "")))) &amp; " Car."</f>
        <v>0 Car.</v>
      </c>
      <c r="C236" s="1376" t="str">
        <f>IF(ISBLANK(D236),"",LARGE(C13:C235,1)+1)</f>
        <v/>
      </c>
      <c r="D236" s="1833"/>
      <c r="E236" s="1810"/>
      <c r="F236" s="1810"/>
      <c r="G236" s="1810"/>
      <c r="H236" s="1810"/>
      <c r="I236" s="1810"/>
      <c r="J236" s="1810"/>
      <c r="K236" s="1810"/>
      <c r="L236" s="1811"/>
      <c r="M236" s="9"/>
      <c r="N236" s="103" t="str">
        <f t="shared" si="95"/>
        <v>►</v>
      </c>
      <c r="O236" s="1616"/>
      <c r="P236" s="9"/>
      <c r="Q236" s="25" t="s">
        <v>15</v>
      </c>
      <c r="R236" s="31"/>
      <c r="S236" s="32"/>
      <c r="T236" s="31"/>
      <c r="U236" s="33"/>
      <c r="V236" s="1967"/>
      <c r="W236" s="1805"/>
      <c r="X236" s="91"/>
      <c r="Y236" s="1806"/>
      <c r="Z236" s="1968"/>
      <c r="AA236" s="2244"/>
      <c r="AB236" s="1969"/>
      <c r="AC236" s="1365"/>
      <c r="AD236" s="95"/>
      <c r="AE236" s="1326"/>
      <c r="AF236" s="97"/>
      <c r="AG236" s="1737"/>
      <c r="AH236" s="1970"/>
      <c r="AI236" s="99"/>
      <c r="AJ236" s="1809"/>
      <c r="AK236" s="6120" t="str">
        <f t="shared" si="96"/>
        <v>►</v>
      </c>
      <c r="AL236" s="781" t="str">
        <f t="shared" si="98"/>
        <v>►</v>
      </c>
      <c r="AM236" s="5498" t="str">
        <f t="shared" si="101"/>
        <v/>
      </c>
      <c r="AN236" s="783" t="str">
        <f t="shared" si="102"/>
        <v/>
      </c>
      <c r="AO236" s="782" t="str">
        <f t="shared" si="103"/>
        <v/>
      </c>
      <c r="AP236" s="783" t="str">
        <f t="shared" si="104"/>
        <v/>
      </c>
      <c r="AQ236" s="2083" t="b">
        <f>AND(Q236="A",COUNTIF(BP16:BR63,TRIM(Z236))&gt;0)</f>
        <v>0</v>
      </c>
      <c r="AR236" s="797" t="str">
        <f>IF(AL236&lt;&gt;"A","",IFERROR(IFERROR(_xlfn.XLOOKUP(TRIM(SUBSTITUTE(Z236,CHAR(160)," ")),BP16:BP63,BS16:BS63),IFERROR(_xlfn.XLOOKUP(TRIM(SUBSTITUTE(Z236,CHAR(160)," ")),BQ16:BQ63,BS16:BS63),_xlfn.XLOOKUP(TRIM(SUBSTITUTE(Z236,CHAR(160)," ")),BR16:BR63,BS16:BS63)))*Y236*IF(ISBLANK(V236),1,V236),0))</f>
        <v/>
      </c>
      <c r="AS236" s="784" t="str">
        <f t="shared" si="94"/>
        <v/>
      </c>
      <c r="AT236" s="1315" t="str">
        <f t="shared" si="105"/>
        <v/>
      </c>
      <c r="AU236" s="785">
        <f t="shared" si="106"/>
        <v>0</v>
      </c>
      <c r="AV236" s="785">
        <f t="shared" si="107"/>
        <v>0</v>
      </c>
      <c r="AW236" s="798">
        <f>IF(AK236="A",AY10,0)</f>
        <v>0</v>
      </c>
      <c r="AX236" s="5496" t="str">
        <f>IF(IFERROR(SEARCH("Adresse PC",TRIM(W236)),0)&gt;0,"▼ receta siguiente",IF(AK236="A",IF(AZ10&lt;&gt;"",AZ10&amp;" - ou.or.o ❾ + or - &gt;",""),""))</f>
        <v/>
      </c>
      <c r="AY236" s="810"/>
      <c r="AZ236" s="810"/>
      <c r="BA236" s="799" t="str">
        <f t="shared" si="97"/>
        <v/>
      </c>
      <c r="BB236" s="800" t="str">
        <f>IF(AK236="A",IF(AQ236,IF(AND(AW236&lt;&gt;"",N(AW236)&gt;0),IFERROR(IFERROR(_xlfn.XLOOKUP(AP236,BP10:BP57,BT10:BT57),IFERROR(_xlfn.XLOOKUP(AP236,BQ10:BQ57,BT10:BT57),_xlfn.XLOOKUP(AP236,BR10:BR57,BT10:BT57,""))),""),""),""),"")</f>
        <v/>
      </c>
      <c r="BC236" s="813" cm="1">
        <f t="array" ref="BC236">IF(NOT(AQ236),0,IF(OR(BA236="",N(BA236)&lt;=0.000000001),"",IF(OR(AU236="",N(AU236)&lt;=0.000000001),0,IF(ISNUMBER(BA236),IFERROR(_xlfn.LET(_xlpm.ai_test,TRIM(AP236),_xlpm.r,IFERROR(_xlfn.XLOOKUP(_xlpm.ai_test,BP16:BP63,ROW(BP16:BP63),0,1),IFERROR(_xlfn.XLOOKUP(_xlpm.ai_test,BQ16:BQ63,ROW(BQ16:BQ63),0,1),_xlfn.XLOOKUP(_xlpm.ai_test,BR16:BR63,ROW(BR16:BR63),0,1))),_xlpm.p,_xlpm.r-MIN(ROW(BP16:BP63))+1,_xlpm.f,INDEX(BS16:BS63,_xlpm.p),_xlpm.u,INDEX(BT16:BT63,_xlpm.p),_xlpm.s,INDEX(BV16:BV63,_xlpm.p),_xlpm.q,N(BA236)/_xlpm.f,IF(_xlpm.q&gt;=_xlpm.s,ROUND(_xlpm.q,1)&amp;" "&amp;_xlpm.ai_test&amp;" = "&amp;ROUND(_xlpm.q*_xlpm.f,1)&amp;" "&amp;_xlpm.u,ROUND(_xlpm.q,1)&amp;" "&amp;_xlpm.ai_test)),""),""))))</f>
        <v>0</v>
      </c>
      <c r="BD236" s="801"/>
      <c r="BE236" s="799" t="str">
        <f t="shared" si="108"/>
        <v/>
      </c>
      <c r="BF236" s="800" t="str">
        <f t="shared" si="109"/>
        <v/>
      </c>
      <c r="BG236" s="802">
        <f t="shared" si="112"/>
        <v>0</v>
      </c>
      <c r="BH236" s="803" t="str">
        <f t="shared" si="113"/>
        <v/>
      </c>
      <c r="BI236" s="792"/>
      <c r="BJ236" s="804">
        <f t="shared" si="111"/>
        <v>0</v>
      </c>
      <c r="BK236" s="794" t="str">
        <f t="shared" si="110"/>
        <v/>
      </c>
      <c r="BL236" s="227" t="s">
        <v>21</v>
      </c>
      <c r="BM236" s="773">
        <f t="shared" si="99"/>
        <v>0</v>
      </c>
      <c r="BN236" s="774">
        <f t="shared" si="100"/>
        <v>0</v>
      </c>
      <c r="BO236"/>
      <c r="BX236"/>
      <c r="BY236"/>
      <c r="BZ236"/>
      <c r="CA236"/>
      <c r="CB236"/>
      <c r="CC236"/>
      <c r="CD236" s="781" t="str">
        <f t="shared" si="93"/>
        <v>►</v>
      </c>
      <c r="CE236"/>
      <c r="CF236"/>
      <c r="CG236"/>
      <c r="CH236"/>
      <c r="CI236"/>
      <c r="CJ236" s="633"/>
      <c r="CK236"/>
      <c r="CL236"/>
      <c r="CM236"/>
      <c r="CN236"/>
      <c r="CO236"/>
      <c r="CP236"/>
      <c r="CQ236"/>
      <c r="CS236"/>
      <c r="CT236"/>
      <c r="CU236"/>
      <c r="CV236"/>
      <c r="CW236"/>
      <c r="CX236"/>
      <c r="CY236"/>
      <c r="DA236"/>
      <c r="DB236"/>
      <c r="DC236"/>
      <c r="DD236"/>
      <c r="DE236"/>
      <c r="DF236"/>
      <c r="DG236"/>
      <c r="DI236" s="3">
        <v>1</v>
      </c>
    </row>
    <row r="237" spans="1:113" s="627" customFormat="1" ht="21" customHeight="1">
      <c r="A237" s="701" t="s">
        <v>21</v>
      </c>
      <c r="B237" s="2265" t="str" cm="1">
        <f t="array" ref="B237">SUMPRODUCT(--(D237:J237&lt;&gt;""), LEN(TRIM(SUBSTITUTE(D237:J237, CHAR(160), "")))) &amp; " Car."</f>
        <v>0 Car.</v>
      </c>
      <c r="C237" s="1376" t="str">
        <f>IF(ISBLANK(D237),"",LARGE(C13:C236,1)+1)</f>
        <v/>
      </c>
      <c r="D237" s="1833"/>
      <c r="E237" s="1810"/>
      <c r="F237" s="1810"/>
      <c r="G237" s="1810"/>
      <c r="H237" s="1810"/>
      <c r="I237" s="1810"/>
      <c r="J237" s="1810"/>
      <c r="K237" s="1810"/>
      <c r="L237" s="1811"/>
      <c r="M237" s="9"/>
      <c r="N237" s="103" t="str">
        <f t="shared" si="95"/>
        <v>►</v>
      </c>
      <c r="O237" s="1616"/>
      <c r="P237" s="9"/>
      <c r="Q237" s="25" t="s">
        <v>15</v>
      </c>
      <c r="R237" s="31"/>
      <c r="S237" s="32"/>
      <c r="T237" s="31"/>
      <c r="U237" s="33"/>
      <c r="V237" s="1967"/>
      <c r="W237" s="1805"/>
      <c r="X237" s="91"/>
      <c r="Y237" s="1806"/>
      <c r="Z237" s="1968"/>
      <c r="AA237" s="2244"/>
      <c r="AB237" s="1969"/>
      <c r="AC237" s="1365"/>
      <c r="AD237" s="95"/>
      <c r="AE237" s="1326"/>
      <c r="AF237" s="97"/>
      <c r="AG237" s="1737"/>
      <c r="AH237" s="1970"/>
      <c r="AI237" s="99"/>
      <c r="AJ237" s="1809"/>
      <c r="AK237" s="6120" t="str">
        <f t="shared" si="96"/>
        <v>►</v>
      </c>
      <c r="AL237" s="781" t="str">
        <f t="shared" si="98"/>
        <v>►</v>
      </c>
      <c r="AM237" s="5499" t="str">
        <f t="shared" si="101"/>
        <v/>
      </c>
      <c r="AN237" s="783" t="str">
        <f t="shared" si="102"/>
        <v/>
      </c>
      <c r="AO237" s="782" t="str">
        <f t="shared" si="103"/>
        <v/>
      </c>
      <c r="AP237" s="783" t="str">
        <f t="shared" si="104"/>
        <v/>
      </c>
      <c r="AQ237" s="2083" t="b">
        <f>AND(Q237="A",COUNTIF(BP16:BR63,TRIM(Z237))&gt;0)</f>
        <v>0</v>
      </c>
      <c r="AR237" s="797" t="str">
        <f>IF(AL237&lt;&gt;"A","",IFERROR(IFERROR(_xlfn.XLOOKUP(TRIM(SUBSTITUTE(Z237,CHAR(160)," ")),BP16:BP63,BS16:BS63),IFERROR(_xlfn.XLOOKUP(TRIM(SUBSTITUTE(Z237,CHAR(160)," ")),BQ16:BQ63,BS16:BS63),_xlfn.XLOOKUP(TRIM(SUBSTITUTE(Z237,CHAR(160)," ")),BR16:BR63,BS16:BS63)))*Y237*IF(ISBLANK(V237),1,V237),0))</f>
        <v/>
      </c>
      <c r="AS237" s="784" t="str">
        <f t="shared" si="94"/>
        <v/>
      </c>
      <c r="AT237" s="1315" t="str">
        <f t="shared" si="105"/>
        <v/>
      </c>
      <c r="AU237" s="785">
        <f t="shared" si="106"/>
        <v>0</v>
      </c>
      <c r="AV237" s="785">
        <f t="shared" si="107"/>
        <v>0</v>
      </c>
      <c r="AW237" s="786">
        <f>IF(AK237="A",AY10,0)</f>
        <v>0</v>
      </c>
      <c r="AX237" s="5495" t="str">
        <f>IF(IFERROR(SEARCH("Adresse PC",TRIM(W237)),0)&gt;0,"▼ receta siguiente",IF(AK237="A",IF(AZ10&lt;&gt;"",AZ10&amp;" - ou.or.o ❾ + or - &gt;",""),""))</f>
        <v/>
      </c>
      <c r="AY237" s="810"/>
      <c r="AZ237" s="810"/>
      <c r="BA237" s="788" t="str">
        <f t="shared" si="97"/>
        <v/>
      </c>
      <c r="BB237" s="789" t="str">
        <f>IF(AK237="A",IF(AQ237,IF(AND(AW237&lt;&gt;"",N(AW237)&gt;0),IFERROR(IFERROR(_xlfn.XLOOKUP(AP237,BP10:BP57,BT10:BT57),IFERROR(_xlfn.XLOOKUP(AP237,BQ10:BQ57,BT10:BT57),_xlfn.XLOOKUP(AP237,BR10:BR57,BT10:BT57,""))),""),""),""),"")</f>
        <v/>
      </c>
      <c r="BC237" s="811" cm="1">
        <f t="array" ref="BC237">IF(NOT(AQ237),0,IF(OR(BA237="",N(BA237)&lt;=0.000000001),"",IF(OR(AU237="",N(AU237)&lt;=0.000000001),0,IF(ISNUMBER(BA237),IFERROR(_xlfn.LET(_xlpm.ai_test,TRIM(AP237),_xlpm.r,IFERROR(_xlfn.XLOOKUP(_xlpm.ai_test,BP16:BP63,ROW(BP16:BP63),0,1),IFERROR(_xlfn.XLOOKUP(_xlpm.ai_test,BQ16:BQ63,ROW(BQ16:BQ63),0,1),_xlfn.XLOOKUP(_xlpm.ai_test,BR16:BR63,ROW(BR16:BR63),0,1))),_xlpm.p,_xlpm.r-MIN(ROW(BP16:BP63))+1,_xlpm.f,INDEX(BS16:BS63,_xlpm.p),_xlpm.u,INDEX(BT16:BT63,_xlpm.p),_xlpm.s,INDEX(BV16:BV63,_xlpm.p),_xlpm.q,N(BA237)/_xlpm.f,IF(_xlpm.q&gt;=_xlpm.s,ROUND(_xlpm.q,1)&amp;" "&amp;_xlpm.ai_test&amp;" = "&amp;ROUND(_xlpm.q*_xlpm.f,1)&amp;" "&amp;_xlpm.u,ROUND(_xlpm.q,1)&amp;" "&amp;_xlpm.ai_test)),""),""))))</f>
        <v>0</v>
      </c>
      <c r="BD237" s="801"/>
      <c r="BE237" s="788" t="str">
        <f t="shared" si="108"/>
        <v/>
      </c>
      <c r="BF237" s="789" t="str">
        <f t="shared" si="109"/>
        <v/>
      </c>
      <c r="BG237" s="790">
        <f t="shared" si="112"/>
        <v>0</v>
      </c>
      <c r="BH237" s="791" t="str">
        <f t="shared" si="113"/>
        <v/>
      </c>
      <c r="BI237" s="792"/>
      <c r="BJ237" s="793">
        <f t="shared" si="111"/>
        <v>0</v>
      </c>
      <c r="BK237" s="794" t="str">
        <f t="shared" si="110"/>
        <v/>
      </c>
      <c r="BL237" s="227" t="s">
        <v>21</v>
      </c>
      <c r="BM237" s="773">
        <f t="shared" si="99"/>
        <v>0</v>
      </c>
      <c r="BN237" s="774">
        <f t="shared" si="100"/>
        <v>0</v>
      </c>
      <c r="BO237"/>
      <c r="BX237"/>
      <c r="BY237"/>
      <c r="BZ237"/>
      <c r="CA237"/>
      <c r="CB237"/>
      <c r="CC237"/>
      <c r="CD237" s="781" t="str">
        <f t="shared" si="93"/>
        <v>►</v>
      </c>
      <c r="CE237"/>
      <c r="CF237"/>
      <c r="CG237"/>
      <c r="CH237"/>
      <c r="CI237"/>
      <c r="CJ237" s="633"/>
      <c r="CK237"/>
      <c r="CL237"/>
      <c r="CM237"/>
      <c r="CN237"/>
      <c r="CO237"/>
      <c r="CP237"/>
      <c r="CQ237"/>
      <c r="CS237"/>
      <c r="CT237"/>
      <c r="CU237"/>
      <c r="CV237"/>
      <c r="CW237"/>
      <c r="CX237"/>
      <c r="CY237"/>
      <c r="DA237"/>
      <c r="DB237"/>
      <c r="DC237"/>
      <c r="DD237"/>
      <c r="DE237"/>
      <c r="DF237"/>
      <c r="DG237"/>
      <c r="DI237" s="3">
        <v>1</v>
      </c>
    </row>
    <row r="238" spans="1:113" s="627" customFormat="1" ht="21" customHeight="1">
      <c r="A238" s="701" t="s">
        <v>21</v>
      </c>
      <c r="B238" s="2265" t="str" cm="1">
        <f t="array" ref="B238">SUMPRODUCT(--(D238:J238&lt;&gt;""), LEN(TRIM(SUBSTITUTE(D238:J238, CHAR(160), "")))) &amp; " Car."</f>
        <v>0 Car.</v>
      </c>
      <c r="C238" s="1376" t="str">
        <f>IF(ISBLANK(D238),"",LARGE(C13:C237,1)+1)</f>
        <v/>
      </c>
      <c r="D238" s="1833"/>
      <c r="E238" s="1810"/>
      <c r="F238" s="1810"/>
      <c r="G238" s="1810"/>
      <c r="H238" s="1810"/>
      <c r="I238" s="1810"/>
      <c r="J238" s="1810"/>
      <c r="K238" s="1810"/>
      <c r="L238" s="1811"/>
      <c r="M238" s="9"/>
      <c r="N238" s="103" t="str">
        <f t="shared" si="95"/>
        <v>►</v>
      </c>
      <c r="O238" s="1616"/>
      <c r="P238" s="9"/>
      <c r="Q238" s="25" t="s">
        <v>15</v>
      </c>
      <c r="R238" s="31"/>
      <c r="S238" s="32"/>
      <c r="T238" s="31"/>
      <c r="U238" s="33"/>
      <c r="V238" s="1967"/>
      <c r="W238" s="1805"/>
      <c r="X238" s="91"/>
      <c r="Y238" s="1806"/>
      <c r="Z238" s="1968"/>
      <c r="AA238" s="2244"/>
      <c r="AB238" s="1969"/>
      <c r="AC238" s="1365"/>
      <c r="AD238" s="95"/>
      <c r="AE238" s="1326"/>
      <c r="AF238" s="97"/>
      <c r="AG238" s="1737"/>
      <c r="AH238" s="1970"/>
      <c r="AI238" s="99"/>
      <c r="AJ238" s="1809"/>
      <c r="AK238" s="6120" t="str">
        <f t="shared" si="96"/>
        <v>►</v>
      </c>
      <c r="AL238" s="781" t="str">
        <f t="shared" si="98"/>
        <v>►</v>
      </c>
      <c r="AM238" s="5498" t="str">
        <f t="shared" si="101"/>
        <v/>
      </c>
      <c r="AN238" s="783" t="str">
        <f t="shared" si="102"/>
        <v/>
      </c>
      <c r="AO238" s="782" t="str">
        <f t="shared" si="103"/>
        <v/>
      </c>
      <c r="AP238" s="783" t="str">
        <f t="shared" si="104"/>
        <v/>
      </c>
      <c r="AQ238" s="2083" t="b">
        <f>AND(Q238="A",COUNTIF(BP16:BR63,TRIM(Z238))&gt;0)</f>
        <v>0</v>
      </c>
      <c r="AR238" s="797" t="str">
        <f>IF(AL238&lt;&gt;"A","",IFERROR(IFERROR(_xlfn.XLOOKUP(TRIM(SUBSTITUTE(Z238,CHAR(160)," ")),BP16:BP63,BS16:BS63),IFERROR(_xlfn.XLOOKUP(TRIM(SUBSTITUTE(Z238,CHAR(160)," ")),BQ16:BQ63,BS16:BS63),_xlfn.XLOOKUP(TRIM(SUBSTITUTE(Z238,CHAR(160)," ")),BR16:BR63,BS16:BS63)))*Y238*IF(ISBLANK(V238),1,V238),0))</f>
        <v/>
      </c>
      <c r="AS238" s="784" t="str">
        <f t="shared" si="94"/>
        <v/>
      </c>
      <c r="AT238" s="1315" t="str">
        <f t="shared" si="105"/>
        <v/>
      </c>
      <c r="AU238" s="785">
        <f t="shared" si="106"/>
        <v>0</v>
      </c>
      <c r="AV238" s="785">
        <f t="shared" si="107"/>
        <v>0</v>
      </c>
      <c r="AW238" s="798">
        <f>IF(AK238="A",AY10,0)</f>
        <v>0</v>
      </c>
      <c r="AX238" s="5496" t="str">
        <f>IF(IFERROR(SEARCH("Adresse PC",TRIM(W238)),0)&gt;0,"▼ receta siguiente",IF(AK238="A",IF(AZ10&lt;&gt;"",AZ10&amp;" - ou.or.o ❾ + or - &gt;",""),""))</f>
        <v/>
      </c>
      <c r="AY238" s="810"/>
      <c r="AZ238" s="810"/>
      <c r="BA238" s="799" t="str">
        <f t="shared" si="97"/>
        <v/>
      </c>
      <c r="BB238" s="800" t="str">
        <f>IF(AK238="A",IF(AQ238,IF(AND(AW238&lt;&gt;"",N(AW238)&gt;0),IFERROR(IFERROR(_xlfn.XLOOKUP(AP238,BP10:BP57,BT10:BT57),IFERROR(_xlfn.XLOOKUP(AP238,BQ10:BQ57,BT10:BT57),_xlfn.XLOOKUP(AP238,BR10:BR57,BT10:BT57,""))),""),""),""),"")</f>
        <v/>
      </c>
      <c r="BC238" s="813" cm="1">
        <f t="array" ref="BC238">IF(NOT(AQ238),0,IF(OR(BA238="",N(BA238)&lt;=0.000000001),"",IF(OR(AU238="",N(AU238)&lt;=0.000000001),0,IF(ISNUMBER(BA238),IFERROR(_xlfn.LET(_xlpm.ai_test,TRIM(AP238),_xlpm.r,IFERROR(_xlfn.XLOOKUP(_xlpm.ai_test,BP16:BP63,ROW(BP16:BP63),0,1),IFERROR(_xlfn.XLOOKUP(_xlpm.ai_test,BQ16:BQ63,ROW(BQ16:BQ63),0,1),_xlfn.XLOOKUP(_xlpm.ai_test,BR16:BR63,ROW(BR16:BR63),0,1))),_xlpm.p,_xlpm.r-MIN(ROW(BP16:BP63))+1,_xlpm.f,INDEX(BS16:BS63,_xlpm.p),_xlpm.u,INDEX(BT16:BT63,_xlpm.p),_xlpm.s,INDEX(BV16:BV63,_xlpm.p),_xlpm.q,N(BA238)/_xlpm.f,IF(_xlpm.q&gt;=_xlpm.s,ROUND(_xlpm.q,1)&amp;" "&amp;_xlpm.ai_test&amp;" = "&amp;ROUND(_xlpm.q*_xlpm.f,1)&amp;" "&amp;_xlpm.u,ROUND(_xlpm.q,1)&amp;" "&amp;_xlpm.ai_test)),""),""))))</f>
        <v>0</v>
      </c>
      <c r="BD238" s="801"/>
      <c r="BE238" s="799" t="str">
        <f t="shared" si="108"/>
        <v/>
      </c>
      <c r="BF238" s="800" t="str">
        <f t="shared" si="109"/>
        <v/>
      </c>
      <c r="BG238" s="802">
        <f t="shared" si="112"/>
        <v>0</v>
      </c>
      <c r="BH238" s="803" t="str">
        <f t="shared" si="113"/>
        <v/>
      </c>
      <c r="BI238" s="792"/>
      <c r="BJ238" s="804">
        <f t="shared" si="111"/>
        <v>0</v>
      </c>
      <c r="BK238" s="794" t="str">
        <f t="shared" si="110"/>
        <v/>
      </c>
      <c r="BL238" s="227" t="s">
        <v>21</v>
      </c>
      <c r="BM238" s="773">
        <f t="shared" si="99"/>
        <v>0</v>
      </c>
      <c r="BN238" s="774">
        <f t="shared" si="100"/>
        <v>0</v>
      </c>
      <c r="BO238"/>
      <c r="BX238"/>
      <c r="BY238"/>
      <c r="BZ238"/>
      <c r="CA238"/>
      <c r="CB238"/>
      <c r="CC238"/>
      <c r="CD238" s="781" t="str">
        <f t="shared" si="93"/>
        <v>►</v>
      </c>
      <c r="CE238"/>
      <c r="CF238"/>
      <c r="CG238"/>
      <c r="CH238"/>
      <c r="CI238"/>
      <c r="CJ238" s="633"/>
      <c r="CK238"/>
      <c r="CL238"/>
      <c r="CM238"/>
      <c r="CN238"/>
      <c r="CO238"/>
      <c r="CP238"/>
      <c r="CQ238"/>
      <c r="CS238"/>
      <c r="CT238"/>
      <c r="CU238"/>
      <c r="CV238"/>
      <c r="CW238"/>
      <c r="CX238"/>
      <c r="CY238"/>
      <c r="DA238"/>
      <c r="DB238"/>
      <c r="DC238"/>
      <c r="DD238"/>
      <c r="DE238"/>
      <c r="DF238"/>
      <c r="DG238"/>
      <c r="DI238" s="3">
        <v>1</v>
      </c>
    </row>
    <row r="239" spans="1:113" s="627" customFormat="1" ht="21" customHeight="1">
      <c r="A239" s="701" t="s">
        <v>21</v>
      </c>
      <c r="B239" s="2265" t="str" cm="1">
        <f t="array" ref="B239">SUMPRODUCT(--(D239:J239&lt;&gt;""), LEN(TRIM(SUBSTITUTE(D239:J239, CHAR(160), "")))) &amp; " Car."</f>
        <v>0 Car.</v>
      </c>
      <c r="C239" s="1376" t="str">
        <f>IF(ISBLANK(D239),"",LARGE(C13:C238,1)+1)</f>
        <v/>
      </c>
      <c r="D239" s="1833"/>
      <c r="E239" s="1810"/>
      <c r="F239" s="1810"/>
      <c r="G239" s="1810"/>
      <c r="H239" s="1810"/>
      <c r="I239" s="1810"/>
      <c r="J239" s="1810"/>
      <c r="K239" s="1810"/>
      <c r="L239" s="1811"/>
      <c r="M239" s="9"/>
      <c r="N239" s="103" t="str">
        <f t="shared" si="95"/>
        <v>►</v>
      </c>
      <c r="O239" s="1616"/>
      <c r="P239" s="9"/>
      <c r="Q239" s="25" t="s">
        <v>15</v>
      </c>
      <c r="R239" s="31"/>
      <c r="S239" s="32"/>
      <c r="T239" s="31"/>
      <c r="U239" s="33"/>
      <c r="V239" s="1967"/>
      <c r="W239" s="1805"/>
      <c r="X239" s="91"/>
      <c r="Y239" s="1806"/>
      <c r="Z239" s="1968"/>
      <c r="AA239" s="2244"/>
      <c r="AB239" s="1969"/>
      <c r="AC239" s="1365"/>
      <c r="AD239" s="95"/>
      <c r="AE239" s="1326"/>
      <c r="AF239" s="97"/>
      <c r="AG239" s="1737"/>
      <c r="AH239" s="1970"/>
      <c r="AI239" s="99"/>
      <c r="AJ239" s="1809"/>
      <c r="AK239" s="6120" t="str">
        <f t="shared" si="96"/>
        <v>►</v>
      </c>
      <c r="AL239" s="781" t="str">
        <f t="shared" si="98"/>
        <v>►</v>
      </c>
      <c r="AM239" s="5499" t="str">
        <f t="shared" si="101"/>
        <v/>
      </c>
      <c r="AN239" s="783" t="str">
        <f t="shared" si="102"/>
        <v/>
      </c>
      <c r="AO239" s="782" t="str">
        <f t="shared" si="103"/>
        <v/>
      </c>
      <c r="AP239" s="783" t="str">
        <f t="shared" si="104"/>
        <v/>
      </c>
      <c r="AQ239" s="2083" t="b">
        <f>AND(Q239="A",COUNTIF(BP16:BR63,TRIM(Z239))&gt;0)</f>
        <v>0</v>
      </c>
      <c r="AR239" s="797" t="str">
        <f>IF(AL239&lt;&gt;"A","",IFERROR(IFERROR(_xlfn.XLOOKUP(TRIM(SUBSTITUTE(Z239,CHAR(160)," ")),BP16:BP63,BS16:BS63),IFERROR(_xlfn.XLOOKUP(TRIM(SUBSTITUTE(Z239,CHAR(160)," ")),BQ16:BQ63,BS16:BS63),_xlfn.XLOOKUP(TRIM(SUBSTITUTE(Z239,CHAR(160)," ")),BR16:BR63,BS16:BS63)))*Y239*IF(ISBLANK(V239),1,V239),0))</f>
        <v/>
      </c>
      <c r="AS239" s="784" t="str">
        <f t="shared" si="94"/>
        <v/>
      </c>
      <c r="AT239" s="1315" t="str">
        <f t="shared" si="105"/>
        <v/>
      </c>
      <c r="AU239" s="785">
        <f t="shared" si="106"/>
        <v>0</v>
      </c>
      <c r="AV239" s="785">
        <f t="shared" si="107"/>
        <v>0</v>
      </c>
      <c r="AW239" s="786">
        <f>IF(AK239="A",AY10,0)</f>
        <v>0</v>
      </c>
      <c r="AX239" s="5495" t="str">
        <f>IF(IFERROR(SEARCH("Adresse PC",TRIM(W239)),0)&gt;0,"▼ receta siguiente",IF(AK239="A",IF(AZ10&lt;&gt;"",AZ10&amp;" - ou.or.o ❾ + or - &gt;",""),""))</f>
        <v/>
      </c>
      <c r="AY239" s="810"/>
      <c r="AZ239" s="810"/>
      <c r="BA239" s="788" t="str">
        <f t="shared" si="97"/>
        <v/>
      </c>
      <c r="BB239" s="789" t="str">
        <f>IF(AK239="A",IF(AQ239,IF(AND(AW239&lt;&gt;"",N(AW239)&gt;0),IFERROR(IFERROR(_xlfn.XLOOKUP(AP239,BP10:BP57,BT10:BT57),IFERROR(_xlfn.XLOOKUP(AP239,BQ10:BQ57,BT10:BT57),_xlfn.XLOOKUP(AP239,BR10:BR57,BT10:BT57,""))),""),""),""),"")</f>
        <v/>
      </c>
      <c r="BC239" s="811" cm="1">
        <f t="array" ref="BC239">IF(NOT(AQ239),0,IF(OR(BA239="",N(BA239)&lt;=0.000000001),"",IF(OR(AU239="",N(AU239)&lt;=0.000000001),0,IF(ISNUMBER(BA239),IFERROR(_xlfn.LET(_xlpm.ai_test,TRIM(AP239),_xlpm.r,IFERROR(_xlfn.XLOOKUP(_xlpm.ai_test,BP16:BP63,ROW(BP16:BP63),0,1),IFERROR(_xlfn.XLOOKUP(_xlpm.ai_test,BQ16:BQ63,ROW(BQ16:BQ63),0,1),_xlfn.XLOOKUP(_xlpm.ai_test,BR16:BR63,ROW(BR16:BR63),0,1))),_xlpm.p,_xlpm.r-MIN(ROW(BP16:BP63))+1,_xlpm.f,INDEX(BS16:BS63,_xlpm.p),_xlpm.u,INDEX(BT16:BT63,_xlpm.p),_xlpm.s,INDEX(BV16:BV63,_xlpm.p),_xlpm.q,N(BA239)/_xlpm.f,IF(_xlpm.q&gt;=_xlpm.s,ROUND(_xlpm.q,1)&amp;" "&amp;_xlpm.ai_test&amp;" = "&amp;ROUND(_xlpm.q*_xlpm.f,1)&amp;" "&amp;_xlpm.u,ROUND(_xlpm.q,1)&amp;" "&amp;_xlpm.ai_test)),""),""))))</f>
        <v>0</v>
      </c>
      <c r="BD239" s="801"/>
      <c r="BE239" s="788" t="str">
        <f t="shared" si="108"/>
        <v/>
      </c>
      <c r="BF239" s="789" t="str">
        <f t="shared" si="109"/>
        <v/>
      </c>
      <c r="BG239" s="790">
        <f t="shared" si="112"/>
        <v>0</v>
      </c>
      <c r="BH239" s="791" t="str">
        <f t="shared" si="113"/>
        <v/>
      </c>
      <c r="BI239" s="792"/>
      <c r="BJ239" s="793">
        <f t="shared" si="111"/>
        <v>0</v>
      </c>
      <c r="BK239" s="794" t="str">
        <f t="shared" si="110"/>
        <v/>
      </c>
      <c r="BL239" s="227" t="s">
        <v>21</v>
      </c>
      <c r="BM239" s="773">
        <f t="shared" si="99"/>
        <v>0</v>
      </c>
      <c r="BN239" s="774">
        <f t="shared" si="100"/>
        <v>0</v>
      </c>
      <c r="BO239"/>
      <c r="BX239"/>
      <c r="BY239"/>
      <c r="BZ239"/>
      <c r="CA239"/>
      <c r="CB239"/>
      <c r="CC239"/>
      <c r="CD239" s="781" t="str">
        <f t="shared" si="93"/>
        <v>►</v>
      </c>
      <c r="CE239"/>
      <c r="CF239"/>
      <c r="CG239"/>
      <c r="CH239"/>
      <c r="CI239"/>
      <c r="CJ239" s="633"/>
      <c r="CK239"/>
      <c r="CL239"/>
      <c r="CM239"/>
      <c r="CN239"/>
      <c r="CO239"/>
      <c r="CP239"/>
      <c r="CQ239"/>
      <c r="CS239"/>
      <c r="CT239"/>
      <c r="CU239"/>
      <c r="CV239"/>
      <c r="CW239"/>
      <c r="CX239"/>
      <c r="CY239"/>
      <c r="DA239"/>
      <c r="DB239"/>
      <c r="DC239"/>
      <c r="DD239"/>
      <c r="DE239"/>
      <c r="DF239"/>
      <c r="DG239"/>
      <c r="DI239" s="3">
        <v>1</v>
      </c>
    </row>
    <row r="240" spans="1:113" s="627" customFormat="1" ht="21" customHeight="1">
      <c r="A240" s="701" t="s">
        <v>21</v>
      </c>
      <c r="B240" s="2265" t="str" cm="1">
        <f t="array" ref="B240">SUMPRODUCT(--(D240:J240&lt;&gt;""), LEN(TRIM(SUBSTITUTE(D240:J240, CHAR(160), "")))) &amp; " Car."</f>
        <v>0 Car.</v>
      </c>
      <c r="C240" s="1376" t="str">
        <f>IF(ISBLANK(D240),"",LARGE(C13:C239,1)+1)</f>
        <v/>
      </c>
      <c r="D240" s="1833"/>
      <c r="E240" s="1810"/>
      <c r="F240" s="1810"/>
      <c r="G240" s="1810"/>
      <c r="H240" s="1810"/>
      <c r="I240" s="1810"/>
      <c r="J240" s="1810"/>
      <c r="K240" s="1810"/>
      <c r="L240" s="1811"/>
      <c r="M240" s="9"/>
      <c r="N240" s="103" t="str">
        <f t="shared" si="95"/>
        <v>►</v>
      </c>
      <c r="O240" s="1616"/>
      <c r="P240" s="9"/>
      <c r="Q240" s="25" t="s">
        <v>15</v>
      </c>
      <c r="R240" s="31"/>
      <c r="S240" s="32"/>
      <c r="T240" s="31"/>
      <c r="U240" s="33"/>
      <c r="V240" s="1967"/>
      <c r="W240" s="1805"/>
      <c r="X240" s="91"/>
      <c r="Y240" s="1806"/>
      <c r="Z240" s="1968"/>
      <c r="AA240" s="2244"/>
      <c r="AB240" s="1969"/>
      <c r="AC240" s="1365"/>
      <c r="AD240" s="95"/>
      <c r="AE240" s="1326"/>
      <c r="AF240" s="97"/>
      <c r="AG240" s="1737"/>
      <c r="AH240" s="1970"/>
      <c r="AI240" s="99"/>
      <c r="AJ240" s="1809"/>
      <c r="AK240" s="6120" t="str">
        <f t="shared" si="96"/>
        <v>►</v>
      </c>
      <c r="AL240" s="781" t="str">
        <f t="shared" si="98"/>
        <v>►</v>
      </c>
      <c r="AM240" s="5498" t="str">
        <f t="shared" si="101"/>
        <v/>
      </c>
      <c r="AN240" s="783" t="str">
        <f t="shared" si="102"/>
        <v/>
      </c>
      <c r="AO240" s="782" t="str">
        <f t="shared" si="103"/>
        <v/>
      </c>
      <c r="AP240" s="783" t="str">
        <f t="shared" si="104"/>
        <v/>
      </c>
      <c r="AQ240" s="2083" t="b">
        <f>AND(Q240="A",COUNTIF(BP16:BR63,TRIM(Z240))&gt;0)</f>
        <v>0</v>
      </c>
      <c r="AR240" s="797" t="str">
        <f>IF(AL240&lt;&gt;"A","",IFERROR(IFERROR(_xlfn.XLOOKUP(TRIM(SUBSTITUTE(Z240,CHAR(160)," ")),BP16:BP63,BS16:BS63),IFERROR(_xlfn.XLOOKUP(TRIM(SUBSTITUTE(Z240,CHAR(160)," ")),BQ16:BQ63,BS16:BS63),_xlfn.XLOOKUP(TRIM(SUBSTITUTE(Z240,CHAR(160)," ")),BR16:BR63,BS16:BS63)))*Y240*IF(ISBLANK(V240),1,V240),0))</f>
        <v/>
      </c>
      <c r="AS240" s="784" t="str">
        <f t="shared" si="94"/>
        <v/>
      </c>
      <c r="AT240" s="1315" t="str">
        <f t="shared" si="105"/>
        <v/>
      </c>
      <c r="AU240" s="785">
        <f t="shared" si="106"/>
        <v>0</v>
      </c>
      <c r="AV240" s="785">
        <f t="shared" si="107"/>
        <v>0</v>
      </c>
      <c r="AW240" s="798">
        <f>IF(AK240="A",AY10,0)</f>
        <v>0</v>
      </c>
      <c r="AX240" s="5496" t="str">
        <f>IF(IFERROR(SEARCH("Adresse PC",TRIM(W240)),0)&gt;0,"▼ receta siguiente",IF(AK240="A",IF(AZ10&lt;&gt;"",AZ10&amp;" - ou.or.o ❾ + or - &gt;",""),""))</f>
        <v/>
      </c>
      <c r="AY240" s="810"/>
      <c r="AZ240" s="810"/>
      <c r="BA240" s="799" t="str">
        <f t="shared" si="97"/>
        <v/>
      </c>
      <c r="BB240" s="800" t="str">
        <f>IF(AK240="A",IF(AQ240,IF(AND(AW240&lt;&gt;"",N(AW240)&gt;0),IFERROR(IFERROR(_xlfn.XLOOKUP(AP240,BP10:BP57,BT10:BT57),IFERROR(_xlfn.XLOOKUP(AP240,BQ10:BQ57,BT10:BT57),_xlfn.XLOOKUP(AP240,BR10:BR57,BT10:BT57,""))),""),""),""),"")</f>
        <v/>
      </c>
      <c r="BC240" s="813" cm="1">
        <f t="array" ref="BC240">IF(NOT(AQ240),0,IF(OR(BA240="",N(BA240)&lt;=0.000000001),"",IF(OR(AU240="",N(AU240)&lt;=0.000000001),0,IF(ISNUMBER(BA240),IFERROR(_xlfn.LET(_xlpm.ai_test,TRIM(AP240),_xlpm.r,IFERROR(_xlfn.XLOOKUP(_xlpm.ai_test,BP16:BP63,ROW(BP16:BP63),0,1),IFERROR(_xlfn.XLOOKUP(_xlpm.ai_test,BQ16:BQ63,ROW(BQ16:BQ63),0,1),_xlfn.XLOOKUP(_xlpm.ai_test,BR16:BR63,ROW(BR16:BR63),0,1))),_xlpm.p,_xlpm.r-MIN(ROW(BP16:BP63))+1,_xlpm.f,INDEX(BS16:BS63,_xlpm.p),_xlpm.u,INDEX(BT16:BT63,_xlpm.p),_xlpm.s,INDEX(BV16:BV63,_xlpm.p),_xlpm.q,N(BA240)/_xlpm.f,IF(_xlpm.q&gt;=_xlpm.s,ROUND(_xlpm.q,1)&amp;" "&amp;_xlpm.ai_test&amp;" = "&amp;ROUND(_xlpm.q*_xlpm.f,1)&amp;" "&amp;_xlpm.u,ROUND(_xlpm.q,1)&amp;" "&amp;_xlpm.ai_test)),""),""))))</f>
        <v>0</v>
      </c>
      <c r="BD240" s="801"/>
      <c r="BE240" s="799" t="str">
        <f t="shared" si="108"/>
        <v/>
      </c>
      <c r="BF240" s="800" t="str">
        <f t="shared" si="109"/>
        <v/>
      </c>
      <c r="BG240" s="802">
        <f t="shared" si="112"/>
        <v>0</v>
      </c>
      <c r="BH240" s="803" t="str">
        <f t="shared" si="113"/>
        <v/>
      </c>
      <c r="BI240" s="792"/>
      <c r="BJ240" s="804">
        <f t="shared" si="111"/>
        <v>0</v>
      </c>
      <c r="BK240" s="794" t="str">
        <f t="shared" si="110"/>
        <v/>
      </c>
      <c r="BL240" s="227" t="s">
        <v>21</v>
      </c>
      <c r="BM240" s="773">
        <f t="shared" si="99"/>
        <v>0</v>
      </c>
      <c r="BN240" s="774">
        <f t="shared" si="100"/>
        <v>0</v>
      </c>
      <c r="BO240"/>
      <c r="BX240"/>
      <c r="BY240"/>
      <c r="BZ240"/>
      <c r="CA240"/>
      <c r="CB240"/>
      <c r="CC240"/>
      <c r="CD240" s="781" t="str">
        <f t="shared" si="93"/>
        <v>►</v>
      </c>
      <c r="CE240"/>
      <c r="CF240"/>
      <c r="CG240"/>
      <c r="CH240"/>
      <c r="CI240"/>
      <c r="CJ240" s="633"/>
      <c r="CK240"/>
      <c r="CL240"/>
      <c r="CM240"/>
      <c r="CN240"/>
      <c r="CO240"/>
      <c r="CP240"/>
      <c r="CQ240"/>
      <c r="CS240"/>
      <c r="CT240"/>
      <c r="CU240"/>
      <c r="CV240"/>
      <c r="CW240"/>
      <c r="CX240"/>
      <c r="CY240"/>
      <c r="DA240"/>
      <c r="DB240"/>
      <c r="DC240"/>
      <c r="DD240"/>
      <c r="DE240"/>
      <c r="DF240"/>
      <c r="DG240"/>
      <c r="DI240" s="3">
        <v>1</v>
      </c>
    </row>
    <row r="241" spans="1:113" s="627" customFormat="1" ht="21" customHeight="1">
      <c r="A241" s="701" t="s">
        <v>21</v>
      </c>
      <c r="B241" s="2265" t="str" cm="1">
        <f t="array" ref="B241">SUMPRODUCT(--(D241:J241&lt;&gt;""), LEN(TRIM(SUBSTITUTE(D241:J241, CHAR(160), "")))) &amp; " Car."</f>
        <v>0 Car.</v>
      </c>
      <c r="C241" s="1376" t="str">
        <f>IF(ISBLANK(D241),"",LARGE(C13:C240,1)+1)</f>
        <v/>
      </c>
      <c r="D241" s="1833"/>
      <c r="E241" s="1810"/>
      <c r="F241" s="1810"/>
      <c r="G241" s="1810"/>
      <c r="H241" s="1810"/>
      <c r="I241" s="1810"/>
      <c r="J241" s="1810"/>
      <c r="K241" s="1810"/>
      <c r="L241" s="1811"/>
      <c r="M241" s="9"/>
      <c r="N241" s="103" t="str">
        <f t="shared" si="95"/>
        <v>►</v>
      </c>
      <c r="O241" s="1616"/>
      <c r="P241" s="9"/>
      <c r="Q241" s="25" t="s">
        <v>15</v>
      </c>
      <c r="R241" s="31"/>
      <c r="S241" s="32"/>
      <c r="T241" s="31"/>
      <c r="U241" s="33"/>
      <c r="V241" s="1967"/>
      <c r="W241" s="1805"/>
      <c r="X241" s="91"/>
      <c r="Y241" s="1806"/>
      <c r="Z241" s="1968"/>
      <c r="AA241" s="2244"/>
      <c r="AB241" s="1969"/>
      <c r="AC241" s="1365"/>
      <c r="AD241" s="95"/>
      <c r="AE241" s="1326"/>
      <c r="AF241" s="97"/>
      <c r="AG241" s="1737"/>
      <c r="AH241" s="1970"/>
      <c r="AI241" s="99"/>
      <c r="AJ241" s="1809"/>
      <c r="AK241" s="6120" t="str">
        <f t="shared" si="96"/>
        <v>►</v>
      </c>
      <c r="AL241" s="781" t="str">
        <f t="shared" si="98"/>
        <v>►</v>
      </c>
      <c r="AM241" s="5499" t="str">
        <f t="shared" si="101"/>
        <v/>
      </c>
      <c r="AN241" s="783" t="str">
        <f t="shared" si="102"/>
        <v/>
      </c>
      <c r="AO241" s="782" t="str">
        <f t="shared" si="103"/>
        <v/>
      </c>
      <c r="AP241" s="783" t="str">
        <f t="shared" si="104"/>
        <v/>
      </c>
      <c r="AQ241" s="2083" t="b">
        <f>AND(Q241="A",COUNTIF(BP16:BR63,TRIM(Z241))&gt;0)</f>
        <v>0</v>
      </c>
      <c r="AR241" s="797" t="str">
        <f>IF(AL241&lt;&gt;"A","",IFERROR(IFERROR(_xlfn.XLOOKUP(TRIM(SUBSTITUTE(Z241,CHAR(160)," ")),BP16:BP63,BS16:BS63),IFERROR(_xlfn.XLOOKUP(TRIM(SUBSTITUTE(Z241,CHAR(160)," ")),BQ16:BQ63,BS16:BS63),_xlfn.XLOOKUP(TRIM(SUBSTITUTE(Z241,CHAR(160)," ")),BR16:BR63,BS16:BS63)))*Y241*IF(ISBLANK(V241),1,V241),0))</f>
        <v/>
      </c>
      <c r="AS241" s="784" t="str">
        <f t="shared" si="94"/>
        <v/>
      </c>
      <c r="AT241" s="1315" t="str">
        <f t="shared" si="105"/>
        <v/>
      </c>
      <c r="AU241" s="785">
        <f t="shared" si="106"/>
        <v>0</v>
      </c>
      <c r="AV241" s="785">
        <f t="shared" si="107"/>
        <v>0</v>
      </c>
      <c r="AW241" s="786">
        <f>IF(AK241="A",AY10,0)</f>
        <v>0</v>
      </c>
      <c r="AX241" s="5495" t="str">
        <f>IF(IFERROR(SEARCH("Adresse PC",TRIM(W241)),0)&gt;0,"▼ receta siguiente",IF(AK241="A",IF(AZ10&lt;&gt;"",AZ10&amp;" - ou.or.o ❾ + or - &gt;",""),""))</f>
        <v/>
      </c>
      <c r="AY241" s="810"/>
      <c r="AZ241" s="810"/>
      <c r="BA241" s="788" t="str">
        <f t="shared" si="97"/>
        <v/>
      </c>
      <c r="BB241" s="789" t="str">
        <f>IF(AK241="A",IF(AQ241,IF(AND(AW241&lt;&gt;"",N(AW241)&gt;0),IFERROR(IFERROR(_xlfn.XLOOKUP(AP241,BP10:BP57,BT10:BT57),IFERROR(_xlfn.XLOOKUP(AP241,BQ10:BQ57,BT10:BT57),_xlfn.XLOOKUP(AP241,BR10:BR57,BT10:BT57,""))),""),""),""),"")</f>
        <v/>
      </c>
      <c r="BC241" s="811" cm="1">
        <f t="array" ref="BC241">IF(NOT(AQ241),0,IF(OR(BA241="",N(BA241)&lt;=0.000000001),"",IF(OR(AU241="",N(AU241)&lt;=0.000000001),0,IF(ISNUMBER(BA241),IFERROR(_xlfn.LET(_xlpm.ai_test,TRIM(AP241),_xlpm.r,IFERROR(_xlfn.XLOOKUP(_xlpm.ai_test,BP16:BP63,ROW(BP16:BP63),0,1),IFERROR(_xlfn.XLOOKUP(_xlpm.ai_test,BQ16:BQ63,ROW(BQ16:BQ63),0,1),_xlfn.XLOOKUP(_xlpm.ai_test,BR16:BR63,ROW(BR16:BR63),0,1))),_xlpm.p,_xlpm.r-MIN(ROW(BP16:BP63))+1,_xlpm.f,INDEX(BS16:BS63,_xlpm.p),_xlpm.u,INDEX(BT16:BT63,_xlpm.p),_xlpm.s,INDEX(BV16:BV63,_xlpm.p),_xlpm.q,N(BA241)/_xlpm.f,IF(_xlpm.q&gt;=_xlpm.s,ROUND(_xlpm.q,1)&amp;" "&amp;_xlpm.ai_test&amp;" = "&amp;ROUND(_xlpm.q*_xlpm.f,1)&amp;" "&amp;_xlpm.u,ROUND(_xlpm.q,1)&amp;" "&amp;_xlpm.ai_test)),""),""))))</f>
        <v>0</v>
      </c>
      <c r="BD241" s="801"/>
      <c r="BE241" s="788" t="str">
        <f t="shared" si="108"/>
        <v/>
      </c>
      <c r="BF241" s="789" t="str">
        <f t="shared" si="109"/>
        <v/>
      </c>
      <c r="BG241" s="790">
        <f t="shared" si="112"/>
        <v>0</v>
      </c>
      <c r="BH241" s="791" t="str">
        <f t="shared" si="113"/>
        <v/>
      </c>
      <c r="BI241" s="792"/>
      <c r="BJ241" s="793">
        <f t="shared" si="111"/>
        <v>0</v>
      </c>
      <c r="BK241" s="794" t="str">
        <f t="shared" si="110"/>
        <v/>
      </c>
      <c r="BL241" s="227" t="s">
        <v>21</v>
      </c>
      <c r="BM241" s="773">
        <f t="shared" si="99"/>
        <v>0</v>
      </c>
      <c r="BN241" s="774">
        <f t="shared" si="100"/>
        <v>0</v>
      </c>
      <c r="BO241"/>
      <c r="BX241"/>
      <c r="BY241"/>
      <c r="BZ241"/>
      <c r="CA241"/>
      <c r="CB241"/>
      <c r="CC241"/>
      <c r="CD241" s="781" t="str">
        <f t="shared" si="93"/>
        <v>►</v>
      </c>
      <c r="CE241"/>
      <c r="CF241"/>
      <c r="CG241"/>
      <c r="CH241"/>
      <c r="CI241"/>
      <c r="CJ241" s="633"/>
      <c r="CK241"/>
      <c r="CL241"/>
      <c r="CM241"/>
      <c r="CN241"/>
      <c r="CO241"/>
      <c r="CP241"/>
      <c r="CQ241"/>
      <c r="CS241"/>
      <c r="CT241"/>
      <c r="CU241"/>
      <c r="CV241"/>
      <c r="CW241"/>
      <c r="CX241"/>
      <c r="CY241"/>
      <c r="DA241"/>
      <c r="DB241"/>
      <c r="DC241"/>
      <c r="DD241"/>
      <c r="DE241"/>
      <c r="DF241"/>
      <c r="DG241"/>
      <c r="DI241" s="3">
        <v>1</v>
      </c>
    </row>
    <row r="242" spans="1:113" s="627" customFormat="1" ht="21" customHeight="1">
      <c r="A242" s="701" t="s">
        <v>21</v>
      </c>
      <c r="B242" s="2265" t="str" cm="1">
        <f t="array" ref="B242">SUMPRODUCT(--(D242:J242&lt;&gt;""), LEN(TRIM(SUBSTITUTE(D242:J242, CHAR(160), "")))) &amp; " Car."</f>
        <v>0 Car.</v>
      </c>
      <c r="C242" s="1376" t="str">
        <f>IF(ISBLANK(D242),"",LARGE(C13:C241,1)+1)</f>
        <v/>
      </c>
      <c r="D242" s="1833"/>
      <c r="E242" s="1810"/>
      <c r="F242" s="1810"/>
      <c r="G242" s="1810"/>
      <c r="H242" s="1810"/>
      <c r="I242" s="1810"/>
      <c r="J242" s="1810"/>
      <c r="K242" s="1810"/>
      <c r="L242" s="1811"/>
      <c r="M242" s="9"/>
      <c r="N242" s="103" t="str">
        <f t="shared" si="95"/>
        <v>►</v>
      </c>
      <c r="O242" s="1616"/>
      <c r="P242" s="9"/>
      <c r="Q242" s="25" t="s">
        <v>15</v>
      </c>
      <c r="R242" s="31"/>
      <c r="S242" s="32"/>
      <c r="T242" s="31"/>
      <c r="U242" s="33"/>
      <c r="V242" s="1967"/>
      <c r="W242" s="1805"/>
      <c r="X242" s="91"/>
      <c r="Y242" s="1806"/>
      <c r="Z242" s="1968"/>
      <c r="AA242" s="2244"/>
      <c r="AB242" s="1969"/>
      <c r="AC242" s="1365"/>
      <c r="AD242" s="95"/>
      <c r="AE242" s="1326"/>
      <c r="AF242" s="97"/>
      <c r="AG242" s="1737"/>
      <c r="AH242" s="1970"/>
      <c r="AI242" s="99"/>
      <c r="AJ242" s="1809"/>
      <c r="AK242" s="6120" t="str">
        <f t="shared" si="96"/>
        <v>►</v>
      </c>
      <c r="AL242" s="781" t="str">
        <f t="shared" si="98"/>
        <v>►</v>
      </c>
      <c r="AM242" s="5498" t="str">
        <f t="shared" si="101"/>
        <v/>
      </c>
      <c r="AN242" s="783" t="str">
        <f t="shared" si="102"/>
        <v/>
      </c>
      <c r="AO242" s="782" t="str">
        <f t="shared" si="103"/>
        <v/>
      </c>
      <c r="AP242" s="783" t="str">
        <f t="shared" si="104"/>
        <v/>
      </c>
      <c r="AQ242" s="2083" t="b">
        <f>AND(Q242="A",COUNTIF(BP16:BR63,TRIM(Z242))&gt;0)</f>
        <v>0</v>
      </c>
      <c r="AR242" s="797" t="str">
        <f>IF(AL242&lt;&gt;"A","",IFERROR(IFERROR(_xlfn.XLOOKUP(TRIM(SUBSTITUTE(Z242,CHAR(160)," ")),BP16:BP63,BS16:BS63),IFERROR(_xlfn.XLOOKUP(TRIM(SUBSTITUTE(Z242,CHAR(160)," ")),BQ16:BQ63,BS16:BS63),_xlfn.XLOOKUP(TRIM(SUBSTITUTE(Z242,CHAR(160)," ")),BR16:BR63,BS16:BS63)))*Y242*IF(ISBLANK(V242),1,V242),0))</f>
        <v/>
      </c>
      <c r="AS242" s="784" t="str">
        <f t="shared" si="94"/>
        <v/>
      </c>
      <c r="AT242" s="1315" t="str">
        <f t="shared" si="105"/>
        <v/>
      </c>
      <c r="AU242" s="785">
        <f t="shared" si="106"/>
        <v>0</v>
      </c>
      <c r="AV242" s="785">
        <f t="shared" si="107"/>
        <v>0</v>
      </c>
      <c r="AW242" s="798">
        <f>IF(AK242="A",AY10,0)</f>
        <v>0</v>
      </c>
      <c r="AX242" s="5496" t="str">
        <f>IF(IFERROR(SEARCH("Adresse PC",TRIM(W242)),0)&gt;0,"▼ receta siguiente",IF(AK242="A",IF(AZ10&lt;&gt;"",AZ10&amp;" - ou.or.o ❾ + or - &gt;",""),""))</f>
        <v/>
      </c>
      <c r="AY242" s="810"/>
      <c r="AZ242" s="810"/>
      <c r="BA242" s="799" t="str">
        <f t="shared" si="97"/>
        <v/>
      </c>
      <c r="BB242" s="800" t="str">
        <f>IF(AK242="A",IF(AQ242,IF(AND(AW242&lt;&gt;"",N(AW242)&gt;0),IFERROR(IFERROR(_xlfn.XLOOKUP(AP242,BP10:BP57,BT10:BT57),IFERROR(_xlfn.XLOOKUP(AP242,BQ10:BQ57,BT10:BT57),_xlfn.XLOOKUP(AP242,BR10:BR57,BT10:BT57,""))),""),""),""),"")</f>
        <v/>
      </c>
      <c r="BC242" s="813" cm="1">
        <f t="array" ref="BC242">IF(NOT(AQ242),0,IF(OR(BA242="",N(BA242)&lt;=0.000000001),"",IF(OR(AU242="",N(AU242)&lt;=0.000000001),0,IF(ISNUMBER(BA242),IFERROR(_xlfn.LET(_xlpm.ai_test,TRIM(AP242),_xlpm.r,IFERROR(_xlfn.XLOOKUP(_xlpm.ai_test,BP16:BP63,ROW(BP16:BP63),0,1),IFERROR(_xlfn.XLOOKUP(_xlpm.ai_test,BQ16:BQ63,ROW(BQ16:BQ63),0,1),_xlfn.XLOOKUP(_xlpm.ai_test,BR16:BR63,ROW(BR16:BR63),0,1))),_xlpm.p,_xlpm.r-MIN(ROW(BP16:BP63))+1,_xlpm.f,INDEX(BS16:BS63,_xlpm.p),_xlpm.u,INDEX(BT16:BT63,_xlpm.p),_xlpm.s,INDEX(BV16:BV63,_xlpm.p),_xlpm.q,N(BA242)/_xlpm.f,IF(_xlpm.q&gt;=_xlpm.s,ROUND(_xlpm.q,1)&amp;" "&amp;_xlpm.ai_test&amp;" = "&amp;ROUND(_xlpm.q*_xlpm.f,1)&amp;" "&amp;_xlpm.u,ROUND(_xlpm.q,1)&amp;" "&amp;_xlpm.ai_test)),""),""))))</f>
        <v>0</v>
      </c>
      <c r="BD242" s="801"/>
      <c r="BE242" s="799" t="str">
        <f t="shared" si="108"/>
        <v/>
      </c>
      <c r="BF242" s="800" t="str">
        <f t="shared" si="109"/>
        <v/>
      </c>
      <c r="BG242" s="802">
        <f t="shared" si="112"/>
        <v>0</v>
      </c>
      <c r="BH242" s="803" t="str">
        <f t="shared" si="113"/>
        <v/>
      </c>
      <c r="BI242" s="792"/>
      <c r="BJ242" s="804">
        <f t="shared" si="111"/>
        <v>0</v>
      </c>
      <c r="BK242" s="794" t="str">
        <f t="shared" si="110"/>
        <v/>
      </c>
      <c r="BL242" s="227" t="s">
        <v>21</v>
      </c>
      <c r="BM242" s="773">
        <f t="shared" si="99"/>
        <v>0</v>
      </c>
      <c r="BN242" s="774">
        <f t="shared" si="100"/>
        <v>0</v>
      </c>
      <c r="BO242"/>
      <c r="BX242"/>
      <c r="BY242"/>
      <c r="BZ242"/>
      <c r="CA242"/>
      <c r="CB242"/>
      <c r="CC242"/>
      <c r="CD242" s="781" t="str">
        <f t="shared" si="93"/>
        <v>►</v>
      </c>
      <c r="CE242"/>
      <c r="CF242"/>
      <c r="CG242"/>
      <c r="CH242"/>
      <c r="CI242"/>
      <c r="CJ242" s="633"/>
      <c r="CK242"/>
      <c r="CL242"/>
      <c r="CM242"/>
      <c r="CN242"/>
      <c r="CO242"/>
      <c r="CP242"/>
      <c r="CQ242"/>
      <c r="CS242"/>
      <c r="CT242"/>
      <c r="CU242"/>
      <c r="CV242"/>
      <c r="CW242"/>
      <c r="CX242"/>
      <c r="CY242"/>
      <c r="DA242"/>
      <c r="DB242"/>
      <c r="DC242"/>
      <c r="DD242"/>
      <c r="DE242"/>
      <c r="DF242"/>
      <c r="DG242"/>
      <c r="DI242" s="3">
        <v>1</v>
      </c>
    </row>
    <row r="243" spans="1:113" s="627" customFormat="1" ht="21" customHeight="1">
      <c r="A243" s="701" t="s">
        <v>21</v>
      </c>
      <c r="B243" s="2265" t="str" cm="1">
        <f t="array" ref="B243">SUMPRODUCT(--(D243:J243&lt;&gt;""), LEN(TRIM(SUBSTITUTE(D243:J243, CHAR(160), "")))) &amp; " Car."</f>
        <v>0 Car.</v>
      </c>
      <c r="C243" s="1376" t="str">
        <f>IF(ISBLANK(D243),"",LARGE(C13:C242,1)+1)</f>
        <v/>
      </c>
      <c r="D243" s="1833"/>
      <c r="E243" s="1810"/>
      <c r="F243" s="1810"/>
      <c r="G243" s="1810"/>
      <c r="H243" s="1810"/>
      <c r="I243" s="1810"/>
      <c r="J243" s="1810"/>
      <c r="K243" s="1810"/>
      <c r="L243" s="1811"/>
      <c r="M243" s="9"/>
      <c r="N243" s="103" t="str">
        <f t="shared" si="95"/>
        <v>►</v>
      </c>
      <c r="O243" s="1616"/>
      <c r="P243" s="9"/>
      <c r="Q243" s="25" t="s">
        <v>15</v>
      </c>
      <c r="R243" s="31"/>
      <c r="S243" s="32"/>
      <c r="T243" s="31"/>
      <c r="U243" s="33"/>
      <c r="V243" s="1967"/>
      <c r="W243" s="1805"/>
      <c r="X243" s="91"/>
      <c r="Y243" s="1806"/>
      <c r="Z243" s="1968"/>
      <c r="AA243" s="2244"/>
      <c r="AB243" s="1969"/>
      <c r="AC243" s="1365"/>
      <c r="AD243" s="95"/>
      <c r="AE243" s="1326"/>
      <c r="AF243" s="97"/>
      <c r="AG243" s="1737"/>
      <c r="AH243" s="1970"/>
      <c r="AI243" s="99"/>
      <c r="AJ243" s="1809"/>
      <c r="AK243" s="6120" t="str">
        <f t="shared" si="96"/>
        <v>►</v>
      </c>
      <c r="AL243" s="781" t="str">
        <f t="shared" si="98"/>
        <v>►</v>
      </c>
      <c r="AM243" s="5499" t="str">
        <f t="shared" si="101"/>
        <v/>
      </c>
      <c r="AN243" s="783" t="str">
        <f t="shared" si="102"/>
        <v/>
      </c>
      <c r="AO243" s="782" t="str">
        <f t="shared" si="103"/>
        <v/>
      </c>
      <c r="AP243" s="783" t="str">
        <f t="shared" si="104"/>
        <v/>
      </c>
      <c r="AQ243" s="2083" t="b">
        <f>AND(Q243="A",COUNTIF(BP16:BR63,TRIM(Z243))&gt;0)</f>
        <v>0</v>
      </c>
      <c r="AR243" s="797" t="str">
        <f>IF(AL243&lt;&gt;"A","",IFERROR(IFERROR(_xlfn.XLOOKUP(TRIM(SUBSTITUTE(Z243,CHAR(160)," ")),BP16:BP63,BS16:BS63),IFERROR(_xlfn.XLOOKUP(TRIM(SUBSTITUTE(Z243,CHAR(160)," ")),BQ16:BQ63,BS16:BS63),_xlfn.XLOOKUP(TRIM(SUBSTITUTE(Z243,CHAR(160)," ")),BR16:BR63,BS16:BS63)))*Y243*IF(ISBLANK(V243),1,V243),0))</f>
        <v/>
      </c>
      <c r="AS243" s="784" t="str">
        <f t="shared" si="94"/>
        <v/>
      </c>
      <c r="AT243" s="1315" t="str">
        <f t="shared" si="105"/>
        <v/>
      </c>
      <c r="AU243" s="785">
        <f t="shared" si="106"/>
        <v>0</v>
      </c>
      <c r="AV243" s="785">
        <f t="shared" si="107"/>
        <v>0</v>
      </c>
      <c r="AW243" s="786">
        <f>IF(AK243="A",AY10,0)</f>
        <v>0</v>
      </c>
      <c r="AX243" s="5495" t="str">
        <f>IF(IFERROR(SEARCH("Adresse PC",TRIM(W243)),0)&gt;0,"▼ receta siguiente",IF(AK243="A",IF(AZ10&lt;&gt;"",AZ10&amp;" - ou.or.o ❾ + or - &gt;",""),""))</f>
        <v/>
      </c>
      <c r="AY243" s="810"/>
      <c r="AZ243" s="810"/>
      <c r="BA243" s="788" t="str">
        <f t="shared" si="97"/>
        <v/>
      </c>
      <c r="BB243" s="789" t="str">
        <f>IF(AK243="A",IF(AQ243,IF(AND(AW243&lt;&gt;"",N(AW243)&gt;0),IFERROR(IFERROR(_xlfn.XLOOKUP(AP243,BP10:BP57,BT10:BT57),IFERROR(_xlfn.XLOOKUP(AP243,BQ10:BQ57,BT10:BT57),_xlfn.XLOOKUP(AP243,BR10:BR57,BT10:BT57,""))),""),""),""),"")</f>
        <v/>
      </c>
      <c r="BC243" s="811" cm="1">
        <f t="array" ref="BC243">IF(NOT(AQ243),0,IF(OR(BA243="",N(BA243)&lt;=0.000000001),"",IF(OR(AU243="",N(AU243)&lt;=0.000000001),0,IF(ISNUMBER(BA243),IFERROR(_xlfn.LET(_xlpm.ai_test,TRIM(AP243),_xlpm.r,IFERROR(_xlfn.XLOOKUP(_xlpm.ai_test,BP16:BP63,ROW(BP16:BP63),0,1),IFERROR(_xlfn.XLOOKUP(_xlpm.ai_test,BQ16:BQ63,ROW(BQ16:BQ63),0,1),_xlfn.XLOOKUP(_xlpm.ai_test,BR16:BR63,ROW(BR16:BR63),0,1))),_xlpm.p,_xlpm.r-MIN(ROW(BP16:BP63))+1,_xlpm.f,INDEX(BS16:BS63,_xlpm.p),_xlpm.u,INDEX(BT16:BT63,_xlpm.p),_xlpm.s,INDEX(BV16:BV63,_xlpm.p),_xlpm.q,N(BA243)/_xlpm.f,IF(_xlpm.q&gt;=_xlpm.s,ROUND(_xlpm.q,1)&amp;" "&amp;_xlpm.ai_test&amp;" = "&amp;ROUND(_xlpm.q*_xlpm.f,1)&amp;" "&amp;_xlpm.u,ROUND(_xlpm.q,1)&amp;" "&amp;_xlpm.ai_test)),""),""))))</f>
        <v>0</v>
      </c>
      <c r="BD243" s="801"/>
      <c r="BE243" s="788" t="str">
        <f t="shared" si="108"/>
        <v/>
      </c>
      <c r="BF243" s="789" t="str">
        <f t="shared" si="109"/>
        <v/>
      </c>
      <c r="BG243" s="790">
        <f t="shared" si="112"/>
        <v>0</v>
      </c>
      <c r="BH243" s="791" t="str">
        <f t="shared" si="113"/>
        <v/>
      </c>
      <c r="BI243" s="792"/>
      <c r="BJ243" s="793">
        <f t="shared" si="111"/>
        <v>0</v>
      </c>
      <c r="BK243" s="794" t="str">
        <f t="shared" si="110"/>
        <v/>
      </c>
      <c r="BL243" s="227" t="s">
        <v>21</v>
      </c>
      <c r="BM243" s="773">
        <f t="shared" si="99"/>
        <v>0</v>
      </c>
      <c r="BN243" s="774">
        <f t="shared" si="100"/>
        <v>0</v>
      </c>
      <c r="BO243"/>
      <c r="BX243"/>
      <c r="BY243"/>
      <c r="BZ243"/>
      <c r="CA243"/>
      <c r="CB243"/>
      <c r="CC243"/>
      <c r="CD243" s="781" t="str">
        <f t="shared" si="93"/>
        <v>►</v>
      </c>
      <c r="CE243"/>
      <c r="CF243"/>
      <c r="CG243"/>
      <c r="CH243"/>
      <c r="CI243"/>
      <c r="CJ243" s="633"/>
      <c r="CK243"/>
      <c r="CL243"/>
      <c r="CM243"/>
      <c r="CN243"/>
      <c r="CO243"/>
      <c r="CP243"/>
      <c r="CQ243"/>
      <c r="CS243"/>
      <c r="CT243"/>
      <c r="CU243"/>
      <c r="CV243"/>
      <c r="CW243"/>
      <c r="CX243"/>
      <c r="CY243"/>
      <c r="DA243"/>
      <c r="DB243"/>
      <c r="DC243"/>
      <c r="DD243"/>
      <c r="DE243"/>
      <c r="DF243"/>
      <c r="DG243"/>
      <c r="DI243" s="3">
        <v>1</v>
      </c>
    </row>
    <row r="244" spans="1:113" s="627" customFormat="1" ht="21" customHeight="1">
      <c r="A244" s="701" t="s">
        <v>21</v>
      </c>
      <c r="B244" s="2265" t="str" cm="1">
        <f t="array" ref="B244">SUMPRODUCT(--(D244:J244&lt;&gt;""), LEN(TRIM(SUBSTITUTE(D244:J244, CHAR(160), "")))) &amp; " Car."</f>
        <v>0 Car.</v>
      </c>
      <c r="C244" s="1376" t="str">
        <f>IF(ISBLANK(D244),"",LARGE(C13:C243,1)+1)</f>
        <v/>
      </c>
      <c r="D244" s="1833"/>
      <c r="E244" s="1810"/>
      <c r="F244" s="1810"/>
      <c r="G244" s="1810"/>
      <c r="H244" s="1810"/>
      <c r="I244" s="1810"/>
      <c r="J244" s="1810"/>
      <c r="K244" s="1810"/>
      <c r="L244" s="1811"/>
      <c r="M244" s="9"/>
      <c r="N244" s="103" t="str">
        <f t="shared" si="95"/>
        <v>►</v>
      </c>
      <c r="O244" s="1616"/>
      <c r="P244" s="9"/>
      <c r="Q244" s="25" t="s">
        <v>15</v>
      </c>
      <c r="R244" s="31"/>
      <c r="S244" s="32"/>
      <c r="T244" s="31"/>
      <c r="U244" s="33"/>
      <c r="V244" s="1967"/>
      <c r="W244" s="1805"/>
      <c r="X244" s="91"/>
      <c r="Y244" s="1806"/>
      <c r="Z244" s="1968"/>
      <c r="AA244" s="2244"/>
      <c r="AB244" s="1969"/>
      <c r="AC244" s="1365"/>
      <c r="AD244" s="95"/>
      <c r="AE244" s="1326"/>
      <c r="AF244" s="97"/>
      <c r="AG244" s="1737"/>
      <c r="AH244" s="1970"/>
      <c r="AI244" s="99"/>
      <c r="AJ244" s="1809"/>
      <c r="AK244" s="6120" t="str">
        <f t="shared" si="96"/>
        <v>►</v>
      </c>
      <c r="AL244" s="781" t="str">
        <f t="shared" si="98"/>
        <v>►</v>
      </c>
      <c r="AM244" s="5498" t="str">
        <f t="shared" si="101"/>
        <v/>
      </c>
      <c r="AN244" s="783" t="str">
        <f t="shared" si="102"/>
        <v/>
      </c>
      <c r="AO244" s="782" t="str">
        <f t="shared" si="103"/>
        <v/>
      </c>
      <c r="AP244" s="783" t="str">
        <f t="shared" si="104"/>
        <v/>
      </c>
      <c r="AQ244" s="2083" t="b">
        <f>AND(Q244="A",COUNTIF(BP16:BR63,TRIM(Z244))&gt;0)</f>
        <v>0</v>
      </c>
      <c r="AR244" s="797" t="str">
        <f>IF(AL244&lt;&gt;"A","",IFERROR(IFERROR(_xlfn.XLOOKUP(TRIM(SUBSTITUTE(Z244,CHAR(160)," ")),BP16:BP63,BS16:BS63),IFERROR(_xlfn.XLOOKUP(TRIM(SUBSTITUTE(Z244,CHAR(160)," ")),BQ16:BQ63,BS16:BS63),_xlfn.XLOOKUP(TRIM(SUBSTITUTE(Z244,CHAR(160)," ")),BR16:BR63,BS16:BS63)))*Y244*IF(ISBLANK(V244),1,V244),0))</f>
        <v/>
      </c>
      <c r="AS244" s="784" t="str">
        <f t="shared" si="94"/>
        <v/>
      </c>
      <c r="AT244" s="1315" t="str">
        <f t="shared" si="105"/>
        <v/>
      </c>
      <c r="AU244" s="785">
        <f t="shared" si="106"/>
        <v>0</v>
      </c>
      <c r="AV244" s="785">
        <f t="shared" si="107"/>
        <v>0</v>
      </c>
      <c r="AW244" s="798">
        <f>IF(AK244="A",AY10,0)</f>
        <v>0</v>
      </c>
      <c r="AX244" s="5496" t="str">
        <f>IF(IFERROR(SEARCH("Adresse PC",TRIM(W244)),0)&gt;0,"▼ receta siguiente",IF(AK244="A",IF(AZ10&lt;&gt;"",AZ10&amp;" - ou.or.o ❾ + or - &gt;",""),""))</f>
        <v/>
      </c>
      <c r="AY244" s="810"/>
      <c r="AZ244" s="810"/>
      <c r="BA244" s="799" t="str">
        <f t="shared" si="97"/>
        <v/>
      </c>
      <c r="BB244" s="800" t="str">
        <f>IF(AK244="A",IF(AQ244,IF(AND(AW244&lt;&gt;"",N(AW244)&gt;0),IFERROR(IFERROR(_xlfn.XLOOKUP(AP244,BP10:BP57,BT10:BT57),IFERROR(_xlfn.XLOOKUP(AP244,BQ10:BQ57,BT10:BT57),_xlfn.XLOOKUP(AP244,BR10:BR57,BT10:BT57,""))),""),""),""),"")</f>
        <v/>
      </c>
      <c r="BC244" s="813" cm="1">
        <f t="array" ref="BC244">IF(NOT(AQ244),0,IF(OR(BA244="",N(BA244)&lt;=0.000000001),"",IF(OR(AU244="",N(AU244)&lt;=0.000000001),0,IF(ISNUMBER(BA244),IFERROR(_xlfn.LET(_xlpm.ai_test,TRIM(AP244),_xlpm.r,IFERROR(_xlfn.XLOOKUP(_xlpm.ai_test,BP16:BP63,ROW(BP16:BP63),0,1),IFERROR(_xlfn.XLOOKUP(_xlpm.ai_test,BQ16:BQ63,ROW(BQ16:BQ63),0,1),_xlfn.XLOOKUP(_xlpm.ai_test,BR16:BR63,ROW(BR16:BR63),0,1))),_xlpm.p,_xlpm.r-MIN(ROW(BP16:BP63))+1,_xlpm.f,INDEX(BS16:BS63,_xlpm.p),_xlpm.u,INDEX(BT16:BT63,_xlpm.p),_xlpm.s,INDEX(BV16:BV63,_xlpm.p),_xlpm.q,N(BA244)/_xlpm.f,IF(_xlpm.q&gt;=_xlpm.s,ROUND(_xlpm.q,1)&amp;" "&amp;_xlpm.ai_test&amp;" = "&amp;ROUND(_xlpm.q*_xlpm.f,1)&amp;" "&amp;_xlpm.u,ROUND(_xlpm.q,1)&amp;" "&amp;_xlpm.ai_test)),""),""))))</f>
        <v>0</v>
      </c>
      <c r="BD244" s="801"/>
      <c r="BE244" s="799" t="str">
        <f t="shared" si="108"/>
        <v/>
      </c>
      <c r="BF244" s="800" t="str">
        <f t="shared" si="109"/>
        <v/>
      </c>
      <c r="BG244" s="802">
        <f t="shared" si="112"/>
        <v>0</v>
      </c>
      <c r="BH244" s="803" t="str">
        <f t="shared" si="113"/>
        <v/>
      </c>
      <c r="BI244" s="792"/>
      <c r="BJ244" s="804">
        <f t="shared" si="111"/>
        <v>0</v>
      </c>
      <c r="BK244" s="794" t="str">
        <f t="shared" si="110"/>
        <v/>
      </c>
      <c r="BL244" s="227" t="s">
        <v>21</v>
      </c>
      <c r="BM244" s="773">
        <f t="shared" si="99"/>
        <v>0</v>
      </c>
      <c r="BN244" s="774">
        <f t="shared" si="100"/>
        <v>0</v>
      </c>
      <c r="BO244"/>
      <c r="BX244"/>
      <c r="BY244"/>
      <c r="BZ244"/>
      <c r="CA244"/>
      <c r="CB244"/>
      <c r="CC244"/>
      <c r="CD244" s="781" t="str">
        <f t="shared" si="93"/>
        <v>►</v>
      </c>
      <c r="CE244"/>
      <c r="CF244"/>
      <c r="CG244"/>
      <c r="CH244"/>
      <c r="CI244"/>
      <c r="CJ244" s="633"/>
      <c r="CK244"/>
      <c r="CL244"/>
      <c r="CM244"/>
      <c r="CN244"/>
      <c r="CO244"/>
      <c r="CP244"/>
      <c r="CQ244"/>
      <c r="CS244"/>
      <c r="CT244"/>
      <c r="CU244"/>
      <c r="CV244"/>
      <c r="CW244"/>
      <c r="CX244"/>
      <c r="CY244"/>
      <c r="DA244"/>
      <c r="DB244"/>
      <c r="DC244"/>
      <c r="DD244"/>
      <c r="DE244"/>
      <c r="DF244"/>
      <c r="DG244"/>
      <c r="DI244" s="3">
        <v>1</v>
      </c>
    </row>
    <row r="245" spans="1:113" s="627" customFormat="1" ht="21" customHeight="1">
      <c r="A245" s="701" t="s">
        <v>21</v>
      </c>
      <c r="B245" s="2265" t="str" cm="1">
        <f t="array" ref="B245">SUMPRODUCT(--(D245:J245&lt;&gt;""), LEN(TRIM(SUBSTITUTE(D245:J245, CHAR(160), "")))) &amp; " Car."</f>
        <v>0 Car.</v>
      </c>
      <c r="C245" s="1376" t="str">
        <f>IF(ISBLANK(D245),"",LARGE(C13:C244,1)+1)</f>
        <v/>
      </c>
      <c r="D245" s="1833"/>
      <c r="E245" s="1810"/>
      <c r="F245" s="1810"/>
      <c r="G245" s="1810"/>
      <c r="H245" s="1810"/>
      <c r="I245" s="1810"/>
      <c r="J245" s="1810"/>
      <c r="K245" s="1810"/>
      <c r="L245" s="1811"/>
      <c r="M245" s="9"/>
      <c r="N245" s="103" t="str">
        <f t="shared" si="95"/>
        <v>►</v>
      </c>
      <c r="O245" s="1616"/>
      <c r="P245" s="9"/>
      <c r="Q245" s="25" t="s">
        <v>15</v>
      </c>
      <c r="R245" s="31"/>
      <c r="S245" s="32"/>
      <c r="T245" s="31"/>
      <c r="U245" s="33"/>
      <c r="V245" s="1967"/>
      <c r="W245" s="1805"/>
      <c r="X245" s="91"/>
      <c r="Y245" s="1806"/>
      <c r="Z245" s="1968"/>
      <c r="AA245" s="2244"/>
      <c r="AB245" s="1969"/>
      <c r="AC245" s="1365"/>
      <c r="AD245" s="95"/>
      <c r="AE245" s="1326"/>
      <c r="AF245" s="97"/>
      <c r="AG245" s="1737"/>
      <c r="AH245" s="1970"/>
      <c r="AI245" s="99"/>
      <c r="AJ245" s="1809"/>
      <c r="AK245" s="6120" t="str">
        <f t="shared" si="96"/>
        <v>►</v>
      </c>
      <c r="AL245" s="781" t="str">
        <f t="shared" si="98"/>
        <v>►</v>
      </c>
      <c r="AM245" s="5499" t="str">
        <f t="shared" si="101"/>
        <v/>
      </c>
      <c r="AN245" s="783" t="str">
        <f t="shared" si="102"/>
        <v/>
      </c>
      <c r="AO245" s="782" t="str">
        <f t="shared" si="103"/>
        <v/>
      </c>
      <c r="AP245" s="783" t="str">
        <f t="shared" si="104"/>
        <v/>
      </c>
      <c r="AQ245" s="2083" t="b">
        <f>AND(Q245="A",COUNTIF(BP16:BR63,TRIM(Z245))&gt;0)</f>
        <v>0</v>
      </c>
      <c r="AR245" s="797" t="str">
        <f>IF(AL245&lt;&gt;"A","",IFERROR(IFERROR(_xlfn.XLOOKUP(TRIM(SUBSTITUTE(Z245,CHAR(160)," ")),BP16:BP63,BS16:BS63),IFERROR(_xlfn.XLOOKUP(TRIM(SUBSTITUTE(Z245,CHAR(160)," ")),BQ16:BQ63,BS16:BS63),_xlfn.XLOOKUP(TRIM(SUBSTITUTE(Z245,CHAR(160)," ")),BR16:BR63,BS16:BS63)))*Y245*IF(ISBLANK(V245),1,V245),0))</f>
        <v/>
      </c>
      <c r="AS245" s="784" t="str">
        <f t="shared" si="94"/>
        <v/>
      </c>
      <c r="AT245" s="1315" t="str">
        <f t="shared" si="105"/>
        <v/>
      </c>
      <c r="AU245" s="785">
        <f t="shared" si="106"/>
        <v>0</v>
      </c>
      <c r="AV245" s="785">
        <f t="shared" si="107"/>
        <v>0</v>
      </c>
      <c r="AW245" s="786">
        <f>IF(AK245="A",AY10,0)</f>
        <v>0</v>
      </c>
      <c r="AX245" s="5495" t="str">
        <f>IF(IFERROR(SEARCH("Adresse PC",TRIM(W245)),0)&gt;0,"▼ receta siguiente",IF(AK245="A",IF(AZ10&lt;&gt;"",AZ10&amp;" - ou.or.o ❾ + or - &gt;",""),""))</f>
        <v/>
      </c>
      <c r="AY245" s="810"/>
      <c r="AZ245" s="810"/>
      <c r="BA245" s="788" t="str">
        <f t="shared" si="97"/>
        <v/>
      </c>
      <c r="BB245" s="789" t="str">
        <f>IF(AK245="A",IF(AQ245,IF(AND(AW245&lt;&gt;"",N(AW245)&gt;0),IFERROR(IFERROR(_xlfn.XLOOKUP(AP245,BP10:BP57,BT10:BT57),IFERROR(_xlfn.XLOOKUP(AP245,BQ10:BQ57,BT10:BT57),_xlfn.XLOOKUP(AP245,BR10:BR57,BT10:BT57,""))),""),""),""),"")</f>
        <v/>
      </c>
      <c r="BC245" s="811" cm="1">
        <f t="array" ref="BC245">IF(NOT(AQ245),0,IF(OR(BA245="",N(BA245)&lt;=0.000000001),"",IF(OR(AU245="",N(AU245)&lt;=0.000000001),0,IF(ISNUMBER(BA245),IFERROR(_xlfn.LET(_xlpm.ai_test,TRIM(AP245),_xlpm.r,IFERROR(_xlfn.XLOOKUP(_xlpm.ai_test,BP16:BP63,ROW(BP16:BP63),0,1),IFERROR(_xlfn.XLOOKUP(_xlpm.ai_test,BQ16:BQ63,ROW(BQ16:BQ63),0,1),_xlfn.XLOOKUP(_xlpm.ai_test,BR16:BR63,ROW(BR16:BR63),0,1))),_xlpm.p,_xlpm.r-MIN(ROW(BP16:BP63))+1,_xlpm.f,INDEX(BS16:BS63,_xlpm.p),_xlpm.u,INDEX(BT16:BT63,_xlpm.p),_xlpm.s,INDEX(BV16:BV63,_xlpm.p),_xlpm.q,N(BA245)/_xlpm.f,IF(_xlpm.q&gt;=_xlpm.s,ROUND(_xlpm.q,1)&amp;" "&amp;_xlpm.ai_test&amp;" = "&amp;ROUND(_xlpm.q*_xlpm.f,1)&amp;" "&amp;_xlpm.u,ROUND(_xlpm.q,1)&amp;" "&amp;_xlpm.ai_test)),""),""))))</f>
        <v>0</v>
      </c>
      <c r="BD245" s="801"/>
      <c r="BE245" s="788" t="str">
        <f t="shared" si="108"/>
        <v/>
      </c>
      <c r="BF245" s="789" t="str">
        <f t="shared" si="109"/>
        <v/>
      </c>
      <c r="BG245" s="790">
        <f t="shared" si="112"/>
        <v>0</v>
      </c>
      <c r="BH245" s="791" t="str">
        <f t="shared" si="113"/>
        <v/>
      </c>
      <c r="BI245" s="792"/>
      <c r="BJ245" s="793">
        <f t="shared" si="111"/>
        <v>0</v>
      </c>
      <c r="BK245" s="794" t="str">
        <f t="shared" si="110"/>
        <v/>
      </c>
      <c r="BL245" s="227" t="s">
        <v>21</v>
      </c>
      <c r="BM245" s="773">
        <f t="shared" si="99"/>
        <v>0</v>
      </c>
      <c r="BN245" s="774">
        <f t="shared" si="100"/>
        <v>0</v>
      </c>
      <c r="BO245"/>
      <c r="BX245"/>
      <c r="BY245"/>
      <c r="BZ245"/>
      <c r="CA245"/>
      <c r="CB245"/>
      <c r="CC245"/>
      <c r="CD245" s="781" t="str">
        <f t="shared" si="93"/>
        <v>►</v>
      </c>
      <c r="CE245"/>
      <c r="CF245"/>
      <c r="CG245"/>
      <c r="CH245"/>
      <c r="CI245"/>
      <c r="CJ245" s="633"/>
      <c r="CK245"/>
      <c r="CL245"/>
      <c r="CM245"/>
      <c r="CN245"/>
      <c r="CO245"/>
      <c r="CP245"/>
      <c r="CQ245"/>
      <c r="CS245"/>
      <c r="CT245"/>
      <c r="CU245"/>
      <c r="CV245"/>
      <c r="CW245"/>
      <c r="CX245"/>
      <c r="CY245"/>
      <c r="DA245"/>
      <c r="DB245"/>
      <c r="DC245"/>
      <c r="DD245"/>
      <c r="DE245"/>
      <c r="DF245"/>
      <c r="DG245"/>
      <c r="DI245" s="3">
        <v>1</v>
      </c>
    </row>
    <row r="246" spans="1:113" s="627" customFormat="1" ht="21" customHeight="1">
      <c r="A246" s="701" t="s">
        <v>21</v>
      </c>
      <c r="B246" s="2265" t="str" cm="1">
        <f t="array" ref="B246">SUMPRODUCT(--(D246:J246&lt;&gt;""), LEN(TRIM(SUBSTITUTE(D246:J246, CHAR(160), "")))) &amp; " Car."</f>
        <v>0 Car.</v>
      </c>
      <c r="C246" s="1376" t="str">
        <f>IF(ISBLANK(D246),"",LARGE(C13:C245,1)+1)</f>
        <v/>
      </c>
      <c r="D246" s="1833"/>
      <c r="E246" s="1810"/>
      <c r="F246" s="1810"/>
      <c r="G246" s="1810"/>
      <c r="H246" s="1810"/>
      <c r="I246" s="1810"/>
      <c r="J246" s="1810"/>
      <c r="K246" s="1810"/>
      <c r="L246" s="1811"/>
      <c r="M246" s="9"/>
      <c r="N246" s="103" t="str">
        <f t="shared" si="95"/>
        <v>►</v>
      </c>
      <c r="O246" s="1616"/>
      <c r="P246" s="9"/>
      <c r="Q246" s="25" t="s">
        <v>15</v>
      </c>
      <c r="R246" s="31"/>
      <c r="S246" s="32"/>
      <c r="T246" s="31"/>
      <c r="U246" s="33"/>
      <c r="V246" s="1967"/>
      <c r="W246" s="1805"/>
      <c r="X246" s="91"/>
      <c r="Y246" s="1806"/>
      <c r="Z246" s="1968"/>
      <c r="AA246" s="2244"/>
      <c r="AB246" s="1969"/>
      <c r="AC246" s="1365"/>
      <c r="AD246" s="95"/>
      <c r="AE246" s="1326"/>
      <c r="AF246" s="97"/>
      <c r="AG246" s="1737"/>
      <c r="AH246" s="1970"/>
      <c r="AI246" s="99"/>
      <c r="AJ246" s="1809"/>
      <c r="AK246" s="6120" t="str">
        <f t="shared" si="96"/>
        <v>►</v>
      </c>
      <c r="AL246" s="781" t="str">
        <f t="shared" si="98"/>
        <v>►</v>
      </c>
      <c r="AM246" s="5498" t="str">
        <f t="shared" si="101"/>
        <v/>
      </c>
      <c r="AN246" s="783" t="str">
        <f t="shared" si="102"/>
        <v/>
      </c>
      <c r="AO246" s="782" t="str">
        <f t="shared" si="103"/>
        <v/>
      </c>
      <c r="AP246" s="783" t="str">
        <f t="shared" si="104"/>
        <v/>
      </c>
      <c r="AQ246" s="2083" t="b">
        <f>AND(Q246="A",COUNTIF(BP16:BR63,TRIM(Z246))&gt;0)</f>
        <v>0</v>
      </c>
      <c r="AR246" s="797" t="str">
        <f>IF(AL246&lt;&gt;"A","",IFERROR(IFERROR(_xlfn.XLOOKUP(TRIM(SUBSTITUTE(Z246,CHAR(160)," ")),BP16:BP63,BS16:BS63),IFERROR(_xlfn.XLOOKUP(TRIM(SUBSTITUTE(Z246,CHAR(160)," ")),BQ16:BQ63,BS16:BS63),_xlfn.XLOOKUP(TRIM(SUBSTITUTE(Z246,CHAR(160)," ")),BR16:BR63,BS16:BS63)))*Y246*IF(ISBLANK(V246),1,V246),0))</f>
        <v/>
      </c>
      <c r="AS246" s="784" t="str">
        <f t="shared" si="94"/>
        <v/>
      </c>
      <c r="AT246" s="1315" t="str">
        <f t="shared" si="105"/>
        <v/>
      </c>
      <c r="AU246" s="785">
        <f t="shared" si="106"/>
        <v>0</v>
      </c>
      <c r="AV246" s="785">
        <f t="shared" si="107"/>
        <v>0</v>
      </c>
      <c r="AW246" s="798">
        <f>IF(AK246="A",AY10,0)</f>
        <v>0</v>
      </c>
      <c r="AX246" s="5496" t="str">
        <f>IF(IFERROR(SEARCH("Adresse PC",TRIM(W246)),0)&gt;0,"▼ receta siguiente",IF(AK246="A",IF(AZ10&lt;&gt;"",AZ10&amp;" - ou.or.o ❾ + or - &gt;",""),""))</f>
        <v/>
      </c>
      <c r="AY246" s="810"/>
      <c r="AZ246" s="810"/>
      <c r="BA246" s="799" t="str">
        <f t="shared" si="97"/>
        <v/>
      </c>
      <c r="BB246" s="800" t="str">
        <f>IF(AK246="A",IF(AQ246,IF(AND(AW246&lt;&gt;"",N(AW246)&gt;0),IFERROR(IFERROR(_xlfn.XLOOKUP(AP246,BP10:BP57,BT10:BT57),IFERROR(_xlfn.XLOOKUP(AP246,BQ10:BQ57,BT10:BT57),_xlfn.XLOOKUP(AP246,BR10:BR57,BT10:BT57,""))),""),""),""),"")</f>
        <v/>
      </c>
      <c r="BC246" s="813" cm="1">
        <f t="array" ref="BC246">IF(NOT(AQ246),0,IF(OR(BA246="",N(BA246)&lt;=0.000000001),"",IF(OR(AU246="",N(AU246)&lt;=0.000000001),0,IF(ISNUMBER(BA246),IFERROR(_xlfn.LET(_xlpm.ai_test,TRIM(AP246),_xlpm.r,IFERROR(_xlfn.XLOOKUP(_xlpm.ai_test,BP16:BP63,ROW(BP16:BP63),0,1),IFERROR(_xlfn.XLOOKUP(_xlpm.ai_test,BQ16:BQ63,ROW(BQ16:BQ63),0,1),_xlfn.XLOOKUP(_xlpm.ai_test,BR16:BR63,ROW(BR16:BR63),0,1))),_xlpm.p,_xlpm.r-MIN(ROW(BP16:BP63))+1,_xlpm.f,INDEX(BS16:BS63,_xlpm.p),_xlpm.u,INDEX(BT16:BT63,_xlpm.p),_xlpm.s,INDEX(BV16:BV63,_xlpm.p),_xlpm.q,N(BA246)/_xlpm.f,IF(_xlpm.q&gt;=_xlpm.s,ROUND(_xlpm.q,1)&amp;" "&amp;_xlpm.ai_test&amp;" = "&amp;ROUND(_xlpm.q*_xlpm.f,1)&amp;" "&amp;_xlpm.u,ROUND(_xlpm.q,1)&amp;" "&amp;_xlpm.ai_test)),""),""))))</f>
        <v>0</v>
      </c>
      <c r="BD246" s="801"/>
      <c r="BE246" s="799" t="str">
        <f t="shared" si="108"/>
        <v/>
      </c>
      <c r="BF246" s="800" t="str">
        <f t="shared" si="109"/>
        <v/>
      </c>
      <c r="BG246" s="802">
        <f t="shared" si="112"/>
        <v>0</v>
      </c>
      <c r="BH246" s="803" t="str">
        <f t="shared" si="113"/>
        <v/>
      </c>
      <c r="BI246" s="792"/>
      <c r="BJ246" s="804">
        <f t="shared" si="111"/>
        <v>0</v>
      </c>
      <c r="BK246" s="794" t="str">
        <f t="shared" si="110"/>
        <v/>
      </c>
      <c r="BL246" s="227" t="s">
        <v>21</v>
      </c>
      <c r="BM246" s="773">
        <f t="shared" si="99"/>
        <v>0</v>
      </c>
      <c r="BN246" s="774">
        <f t="shared" si="100"/>
        <v>0</v>
      </c>
      <c r="BO246"/>
      <c r="BX246"/>
      <c r="BY246"/>
      <c r="BZ246"/>
      <c r="CA246"/>
      <c r="CB246"/>
      <c r="CC246"/>
      <c r="CD246" s="781" t="str">
        <f t="shared" si="93"/>
        <v>►</v>
      </c>
      <c r="CE246"/>
      <c r="CF246"/>
      <c r="CG246"/>
      <c r="CH246"/>
      <c r="CI246"/>
      <c r="CJ246" s="633"/>
      <c r="CK246"/>
      <c r="CL246"/>
      <c r="CM246"/>
      <c r="CN246"/>
      <c r="CO246"/>
      <c r="CP246"/>
      <c r="CQ246"/>
      <c r="CS246"/>
      <c r="CT246"/>
      <c r="CU246"/>
      <c r="CV246"/>
      <c r="CW246"/>
      <c r="CX246"/>
      <c r="CY246"/>
      <c r="DA246"/>
      <c r="DB246"/>
      <c r="DC246"/>
      <c r="DD246"/>
      <c r="DE246"/>
      <c r="DF246"/>
      <c r="DG246"/>
      <c r="DI246" s="3">
        <v>1</v>
      </c>
    </row>
    <row r="247" spans="1:113" s="627" customFormat="1" ht="21" customHeight="1">
      <c r="A247" s="701" t="s">
        <v>21</v>
      </c>
      <c r="B247" s="2265" t="str" cm="1">
        <f t="array" ref="B247">SUMPRODUCT(--(D247:J247&lt;&gt;""), LEN(TRIM(SUBSTITUTE(D247:J247, CHAR(160), "")))) &amp; " Car."</f>
        <v>0 Car.</v>
      </c>
      <c r="C247" s="1376" t="str">
        <f>IF(ISBLANK(D247),"",LARGE(C13:C246,1)+1)</f>
        <v/>
      </c>
      <c r="D247" s="1833"/>
      <c r="E247" s="1810"/>
      <c r="F247" s="1810"/>
      <c r="G247" s="1810"/>
      <c r="H247" s="1810"/>
      <c r="I247" s="1810"/>
      <c r="J247" s="1810"/>
      <c r="K247" s="1810"/>
      <c r="L247" s="1811"/>
      <c r="M247" s="9"/>
      <c r="N247" s="103" t="str">
        <f t="shared" si="95"/>
        <v>►</v>
      </c>
      <c r="O247" s="1616"/>
      <c r="P247" s="9"/>
      <c r="Q247" s="25" t="s">
        <v>15</v>
      </c>
      <c r="R247" s="31"/>
      <c r="S247" s="32"/>
      <c r="T247" s="31"/>
      <c r="U247" s="33"/>
      <c r="V247" s="1967"/>
      <c r="W247" s="1805"/>
      <c r="X247" s="91"/>
      <c r="Y247" s="1806"/>
      <c r="Z247" s="1968"/>
      <c r="AA247" s="2244"/>
      <c r="AB247" s="1969"/>
      <c r="AC247" s="1365"/>
      <c r="AD247" s="95"/>
      <c r="AE247" s="1326"/>
      <c r="AF247" s="97"/>
      <c r="AG247" s="1737"/>
      <c r="AH247" s="1970"/>
      <c r="AI247" s="99"/>
      <c r="AJ247" s="1809"/>
      <c r="AK247" s="6120" t="str">
        <f t="shared" si="96"/>
        <v>►</v>
      </c>
      <c r="AL247" s="781" t="str">
        <f t="shared" si="98"/>
        <v>►</v>
      </c>
      <c r="AM247" s="5499" t="str">
        <f t="shared" si="101"/>
        <v/>
      </c>
      <c r="AN247" s="783" t="str">
        <f t="shared" si="102"/>
        <v/>
      </c>
      <c r="AO247" s="782" t="str">
        <f t="shared" si="103"/>
        <v/>
      </c>
      <c r="AP247" s="783" t="str">
        <f t="shared" si="104"/>
        <v/>
      </c>
      <c r="AQ247" s="2083" t="b">
        <f>AND(Q247="A",COUNTIF(BP16:BR63,TRIM(Z247))&gt;0)</f>
        <v>0</v>
      </c>
      <c r="AR247" s="797" t="str">
        <f>IF(AL247&lt;&gt;"A","",IFERROR(IFERROR(_xlfn.XLOOKUP(TRIM(SUBSTITUTE(Z247,CHAR(160)," ")),BP16:BP63,BS16:BS63),IFERROR(_xlfn.XLOOKUP(TRIM(SUBSTITUTE(Z247,CHAR(160)," ")),BQ16:BQ63,BS16:BS63),_xlfn.XLOOKUP(TRIM(SUBSTITUTE(Z247,CHAR(160)," ")),BR16:BR63,BS16:BS63)))*Y247*IF(ISBLANK(V247),1,V247),0))</f>
        <v/>
      </c>
      <c r="AS247" s="784" t="str">
        <f t="shared" si="94"/>
        <v/>
      </c>
      <c r="AT247" s="1315" t="str">
        <f t="shared" si="105"/>
        <v/>
      </c>
      <c r="AU247" s="785">
        <f t="shared" si="106"/>
        <v>0</v>
      </c>
      <c r="AV247" s="785">
        <f t="shared" si="107"/>
        <v>0</v>
      </c>
      <c r="AW247" s="786">
        <f>IF(AK247="A",AY10,0)</f>
        <v>0</v>
      </c>
      <c r="AX247" s="5495" t="str">
        <f>IF(IFERROR(SEARCH("Adresse PC",TRIM(W247)),0)&gt;0,"▼ receta siguiente",IF(AK247="A",IF(AZ10&lt;&gt;"",AZ10&amp;" - ou.or.o ❾ + or - &gt;",""),""))</f>
        <v/>
      </c>
      <c r="AY247" s="810"/>
      <c r="AZ247" s="810"/>
      <c r="BA247" s="788" t="str">
        <f t="shared" si="97"/>
        <v/>
      </c>
      <c r="BB247" s="789" t="str">
        <f>IF(AK247="A",IF(AQ247,IF(AND(AW247&lt;&gt;"",N(AW247)&gt;0),IFERROR(IFERROR(_xlfn.XLOOKUP(AP247,BP10:BP57,BT10:BT57),IFERROR(_xlfn.XLOOKUP(AP247,BQ10:BQ57,BT10:BT57),_xlfn.XLOOKUP(AP247,BR10:BR57,BT10:BT57,""))),""),""),""),"")</f>
        <v/>
      </c>
      <c r="BC247" s="811" cm="1">
        <f t="array" ref="BC247">IF(NOT(AQ247),0,IF(OR(BA247="",N(BA247)&lt;=0.000000001),"",IF(OR(AU247="",N(AU247)&lt;=0.000000001),0,IF(ISNUMBER(BA247),IFERROR(_xlfn.LET(_xlpm.ai_test,TRIM(AP247),_xlpm.r,IFERROR(_xlfn.XLOOKUP(_xlpm.ai_test,BP16:BP63,ROW(BP16:BP63),0,1),IFERROR(_xlfn.XLOOKUP(_xlpm.ai_test,BQ16:BQ63,ROW(BQ16:BQ63),0,1),_xlfn.XLOOKUP(_xlpm.ai_test,BR16:BR63,ROW(BR16:BR63),0,1))),_xlpm.p,_xlpm.r-MIN(ROW(BP16:BP63))+1,_xlpm.f,INDEX(BS16:BS63,_xlpm.p),_xlpm.u,INDEX(BT16:BT63,_xlpm.p),_xlpm.s,INDEX(BV16:BV63,_xlpm.p),_xlpm.q,N(BA247)/_xlpm.f,IF(_xlpm.q&gt;=_xlpm.s,ROUND(_xlpm.q,1)&amp;" "&amp;_xlpm.ai_test&amp;" = "&amp;ROUND(_xlpm.q*_xlpm.f,1)&amp;" "&amp;_xlpm.u,ROUND(_xlpm.q,1)&amp;" "&amp;_xlpm.ai_test)),""),""))))</f>
        <v>0</v>
      </c>
      <c r="BD247" s="801"/>
      <c r="BE247" s="788" t="str">
        <f t="shared" si="108"/>
        <v/>
      </c>
      <c r="BF247" s="789" t="str">
        <f t="shared" si="109"/>
        <v/>
      </c>
      <c r="BG247" s="790">
        <f t="shared" si="112"/>
        <v>0</v>
      </c>
      <c r="BH247" s="791" t="str">
        <f t="shared" si="113"/>
        <v/>
      </c>
      <c r="BI247" s="792"/>
      <c r="BJ247" s="793">
        <f t="shared" si="111"/>
        <v>0</v>
      </c>
      <c r="BK247" s="794" t="str">
        <f t="shared" si="110"/>
        <v/>
      </c>
      <c r="BL247" s="227" t="s">
        <v>21</v>
      </c>
      <c r="BM247" s="773">
        <f t="shared" si="99"/>
        <v>0</v>
      </c>
      <c r="BN247" s="774">
        <f t="shared" si="100"/>
        <v>0</v>
      </c>
      <c r="BO247"/>
      <c r="BX247"/>
      <c r="BY247"/>
      <c r="BZ247"/>
      <c r="CA247"/>
      <c r="CB247"/>
      <c r="CC247"/>
      <c r="CD247" s="781" t="str">
        <f t="shared" si="93"/>
        <v>►</v>
      </c>
      <c r="CE247"/>
      <c r="CF247"/>
      <c r="CG247"/>
      <c r="CH247"/>
      <c r="CI247"/>
      <c r="CJ247" s="633"/>
      <c r="CK247"/>
      <c r="CL247"/>
      <c r="CM247"/>
      <c r="CN247"/>
      <c r="CO247"/>
      <c r="CP247"/>
      <c r="CQ247"/>
      <c r="CS247"/>
      <c r="CT247"/>
      <c r="CU247"/>
      <c r="CV247"/>
      <c r="CW247"/>
      <c r="CX247"/>
      <c r="CY247"/>
      <c r="DA247"/>
      <c r="DB247"/>
      <c r="DC247"/>
      <c r="DD247"/>
      <c r="DE247"/>
      <c r="DF247"/>
      <c r="DG247"/>
      <c r="DI247" s="3">
        <v>1</v>
      </c>
    </row>
    <row r="248" spans="1:113" s="627" customFormat="1" ht="21" customHeight="1">
      <c r="A248" s="701" t="s">
        <v>21</v>
      </c>
      <c r="B248" s="2265" t="str" cm="1">
        <f t="array" ref="B248">SUMPRODUCT(--(D248:J248&lt;&gt;""), LEN(TRIM(SUBSTITUTE(D248:J248, CHAR(160), "")))) &amp; " Car."</f>
        <v>0 Car.</v>
      </c>
      <c r="C248" s="1376" t="str">
        <f>IF(ISBLANK(D248),"",LARGE(C13:C247,1)+1)</f>
        <v/>
      </c>
      <c r="D248" s="1833"/>
      <c r="E248" s="1810"/>
      <c r="F248" s="1810"/>
      <c r="G248" s="1810"/>
      <c r="H248" s="1810"/>
      <c r="I248" s="1810"/>
      <c r="J248" s="1810"/>
      <c r="K248" s="1810"/>
      <c r="L248" s="1811"/>
      <c r="M248" s="9"/>
      <c r="N248" s="25" t="str">
        <f t="shared" si="95"/>
        <v>►</v>
      </c>
      <c r="O248" s="1616"/>
      <c r="P248" s="9"/>
      <c r="Q248" s="25" t="s">
        <v>15</v>
      </c>
      <c r="R248" s="31"/>
      <c r="S248" s="32"/>
      <c r="T248" s="31"/>
      <c r="U248" s="33"/>
      <c r="V248" s="1967"/>
      <c r="W248" s="1805"/>
      <c r="X248" s="91"/>
      <c r="Y248" s="1806"/>
      <c r="Z248" s="1968"/>
      <c r="AA248" s="2244"/>
      <c r="AB248" s="1969"/>
      <c r="AC248" s="1365"/>
      <c r="AD248" s="95"/>
      <c r="AE248" s="1326"/>
      <c r="AF248" s="97"/>
      <c r="AG248" s="1737"/>
      <c r="AH248" s="1970"/>
      <c r="AI248" s="99"/>
      <c r="AJ248" s="1809"/>
      <c r="AK248" s="6120" t="str">
        <f t="shared" si="96"/>
        <v>►</v>
      </c>
      <c r="AL248" s="781" t="str">
        <f t="shared" si="98"/>
        <v>►</v>
      </c>
      <c r="AM248" s="5498" t="str">
        <f t="shared" si="101"/>
        <v/>
      </c>
      <c r="AN248" s="783" t="str">
        <f t="shared" si="102"/>
        <v/>
      </c>
      <c r="AO248" s="782" t="str">
        <f t="shared" si="103"/>
        <v/>
      </c>
      <c r="AP248" s="783" t="str">
        <f t="shared" si="104"/>
        <v/>
      </c>
      <c r="AQ248" s="2083" t="b">
        <f>AND(Q248="A",COUNTIF(BP16:BR63,TRIM(Z248))&gt;0)</f>
        <v>0</v>
      </c>
      <c r="AR248" s="797" t="str">
        <f>IF(AL248&lt;&gt;"A","",IFERROR(IFERROR(_xlfn.XLOOKUP(TRIM(SUBSTITUTE(Z248,CHAR(160)," ")),BP16:BP63,BS16:BS63),IFERROR(_xlfn.XLOOKUP(TRIM(SUBSTITUTE(Z248,CHAR(160)," ")),BQ16:BQ63,BS16:BS63),_xlfn.XLOOKUP(TRIM(SUBSTITUTE(Z248,CHAR(160)," ")),BR16:BR63,BS16:BS63)))*Y248*IF(ISBLANK(V248),1,V248),0))</f>
        <v/>
      </c>
      <c r="AS248" s="784" t="str">
        <f t="shared" si="94"/>
        <v/>
      </c>
      <c r="AT248" s="1315" t="str">
        <f t="shared" si="105"/>
        <v/>
      </c>
      <c r="AU248" s="785">
        <f t="shared" si="106"/>
        <v>0</v>
      </c>
      <c r="AV248" s="785">
        <f t="shared" si="107"/>
        <v>0</v>
      </c>
      <c r="AW248" s="798">
        <f>IF(AK248="A",AY10,0)</f>
        <v>0</v>
      </c>
      <c r="AX248" s="5496" t="str">
        <f>IF(IFERROR(SEARCH("Adresse PC",TRIM(W248)),0)&gt;0,"▼ receta siguiente",IF(AK248="A",IF(AZ10&lt;&gt;"",AZ10&amp;" - ou.or.o ❾ + or - &gt;",""),""))</f>
        <v/>
      </c>
      <c r="AY248" s="810"/>
      <c r="AZ248" s="810"/>
      <c r="BA248" s="799" t="str">
        <f t="shared" si="97"/>
        <v/>
      </c>
      <c r="BB248" s="800" t="str">
        <f>IF(AK248="A",IF(AQ248,IF(AND(AW248&lt;&gt;"",N(AW248)&gt;0),IFERROR(IFERROR(_xlfn.XLOOKUP(AP248,BP10:BP57,BT10:BT57),IFERROR(_xlfn.XLOOKUP(AP248,BQ10:BQ57,BT10:BT57),_xlfn.XLOOKUP(AP248,BR10:BR57,BT10:BT57,""))),""),""),""),"")</f>
        <v/>
      </c>
      <c r="BC248" s="813" cm="1">
        <f t="array" ref="BC248">IF(NOT(AQ248),0,IF(OR(BA248="",N(BA248)&lt;=0.000000001),"",IF(OR(AU248="",N(AU248)&lt;=0.000000001),0,IF(ISNUMBER(BA248),IFERROR(_xlfn.LET(_xlpm.ai_test,TRIM(AP248),_xlpm.r,IFERROR(_xlfn.XLOOKUP(_xlpm.ai_test,BP16:BP63,ROW(BP16:BP63),0,1),IFERROR(_xlfn.XLOOKUP(_xlpm.ai_test,BQ16:BQ63,ROW(BQ16:BQ63),0,1),_xlfn.XLOOKUP(_xlpm.ai_test,BR16:BR63,ROW(BR16:BR63),0,1))),_xlpm.p,_xlpm.r-MIN(ROW(BP16:BP63))+1,_xlpm.f,INDEX(BS16:BS63,_xlpm.p),_xlpm.u,INDEX(BT16:BT63,_xlpm.p),_xlpm.s,INDEX(BV16:BV63,_xlpm.p),_xlpm.q,N(BA248)/_xlpm.f,IF(_xlpm.q&gt;=_xlpm.s,ROUND(_xlpm.q,1)&amp;" "&amp;_xlpm.ai_test&amp;" = "&amp;ROUND(_xlpm.q*_xlpm.f,1)&amp;" "&amp;_xlpm.u,ROUND(_xlpm.q,1)&amp;" "&amp;_xlpm.ai_test)),""),""))))</f>
        <v>0</v>
      </c>
      <c r="BD248" s="801"/>
      <c r="BE248" s="799" t="str">
        <f t="shared" si="108"/>
        <v/>
      </c>
      <c r="BF248" s="800" t="str">
        <f t="shared" si="109"/>
        <v/>
      </c>
      <c r="BG248" s="802">
        <f t="shared" si="112"/>
        <v>0</v>
      </c>
      <c r="BH248" s="803" t="str">
        <f t="shared" si="113"/>
        <v/>
      </c>
      <c r="BI248" s="792"/>
      <c r="BJ248" s="804">
        <f t="shared" si="111"/>
        <v>0</v>
      </c>
      <c r="BK248" s="794" t="str">
        <f t="shared" si="110"/>
        <v/>
      </c>
      <c r="BL248" s="227" t="s">
        <v>21</v>
      </c>
      <c r="BM248" s="773">
        <f t="shared" si="99"/>
        <v>0</v>
      </c>
      <c r="BN248" s="774">
        <f t="shared" si="100"/>
        <v>0</v>
      </c>
      <c r="BO248"/>
      <c r="BX248"/>
      <c r="BY248"/>
      <c r="BZ248"/>
      <c r="CA248"/>
      <c r="CB248"/>
      <c r="CC248"/>
      <c r="CD248" s="781" t="str">
        <f t="shared" si="93"/>
        <v>►</v>
      </c>
      <c r="CE248"/>
      <c r="CF248"/>
      <c r="CG248"/>
      <c r="CH248"/>
      <c r="CI248"/>
      <c r="CJ248" s="633"/>
      <c r="CK248"/>
      <c r="CL248"/>
      <c r="CM248"/>
      <c r="CN248"/>
      <c r="CO248"/>
      <c r="CP248"/>
      <c r="CQ248"/>
      <c r="CS248"/>
      <c r="CT248"/>
      <c r="CU248"/>
      <c r="CV248"/>
      <c r="CW248"/>
      <c r="CX248"/>
      <c r="CY248"/>
      <c r="DA248"/>
      <c r="DB248"/>
      <c r="DC248"/>
      <c r="DD248"/>
      <c r="DE248"/>
      <c r="DF248"/>
      <c r="DG248"/>
      <c r="DI248" s="3">
        <v>1</v>
      </c>
    </row>
    <row r="249" spans="1:113" s="627" customFormat="1" ht="21" customHeight="1">
      <c r="A249" s="701" t="s">
        <v>21</v>
      </c>
      <c r="B249" s="2265" t="str" cm="1">
        <f t="array" ref="B249">SUMPRODUCT(--(D249:J249&lt;&gt;""), LEN(TRIM(SUBSTITUTE(D249:J249, CHAR(160), "")))) &amp; " Car."</f>
        <v>0 Car.</v>
      </c>
      <c r="C249" s="1376" t="str">
        <f>IF(ISBLANK(D249),"",LARGE(C13:C248,1)+1)</f>
        <v/>
      </c>
      <c r="D249" s="1833"/>
      <c r="E249" s="1810"/>
      <c r="F249" s="1810"/>
      <c r="G249" s="1810"/>
      <c r="H249" s="1810"/>
      <c r="I249" s="1810"/>
      <c r="J249" s="1810"/>
      <c r="K249" s="1810"/>
      <c r="L249" s="1811"/>
      <c r="M249" s="9"/>
      <c r="N249" s="25" t="str">
        <f t="shared" si="95"/>
        <v>►</v>
      </c>
      <c r="O249" s="1616"/>
      <c r="P249" s="9"/>
      <c r="Q249" s="25" t="s">
        <v>15</v>
      </c>
      <c r="R249" s="31"/>
      <c r="S249" s="32"/>
      <c r="T249" s="31"/>
      <c r="U249" s="33"/>
      <c r="V249" s="1967"/>
      <c r="W249" s="1805"/>
      <c r="X249" s="91"/>
      <c r="Y249" s="1806"/>
      <c r="Z249" s="1968"/>
      <c r="AA249" s="2244"/>
      <c r="AB249" s="1969"/>
      <c r="AC249" s="1365"/>
      <c r="AD249" s="95"/>
      <c r="AE249" s="1326"/>
      <c r="AF249" s="97"/>
      <c r="AG249" s="1737"/>
      <c r="AH249" s="1970"/>
      <c r="AI249" s="99"/>
      <c r="AJ249" s="1809"/>
      <c r="AK249" s="6120" t="str">
        <f t="shared" si="96"/>
        <v>►</v>
      </c>
      <c r="AL249" s="781" t="str">
        <f t="shared" si="98"/>
        <v>►</v>
      </c>
      <c r="AM249" s="5499" t="str">
        <f t="shared" si="101"/>
        <v/>
      </c>
      <c r="AN249" s="783" t="str">
        <f t="shared" si="102"/>
        <v/>
      </c>
      <c r="AO249" s="782" t="str">
        <f t="shared" si="103"/>
        <v/>
      </c>
      <c r="AP249" s="783" t="str">
        <f t="shared" si="104"/>
        <v/>
      </c>
      <c r="AQ249" s="2083" t="b">
        <f>AND(Q249="A",COUNTIF(BP16:BR63,TRIM(Z249))&gt;0)</f>
        <v>0</v>
      </c>
      <c r="AR249" s="797" t="str">
        <f>IF(AL249&lt;&gt;"A","",IFERROR(IFERROR(_xlfn.XLOOKUP(TRIM(SUBSTITUTE(Z249,CHAR(160)," ")),BP16:BP63,BS16:BS63),IFERROR(_xlfn.XLOOKUP(TRIM(SUBSTITUTE(Z249,CHAR(160)," ")),BQ16:BQ63,BS16:BS63),_xlfn.XLOOKUP(TRIM(SUBSTITUTE(Z249,CHAR(160)," ")),BR16:BR63,BS16:BS63)))*Y249*IF(ISBLANK(V249),1,V249),0))</f>
        <v/>
      </c>
      <c r="AS249" s="784" t="str">
        <f t="shared" si="94"/>
        <v/>
      </c>
      <c r="AT249" s="1315" t="str">
        <f t="shared" si="105"/>
        <v/>
      </c>
      <c r="AU249" s="785">
        <f t="shared" si="106"/>
        <v>0</v>
      </c>
      <c r="AV249" s="785">
        <f t="shared" si="107"/>
        <v>0</v>
      </c>
      <c r="AW249" s="786">
        <f>IF(AK249="A",AY10,0)</f>
        <v>0</v>
      </c>
      <c r="AX249" s="5495" t="str">
        <f>IF(IFERROR(SEARCH("Adresse PC",TRIM(W249)),0)&gt;0,"▼ receta siguiente",IF(AK249="A",IF(AZ10&lt;&gt;"",AZ10&amp;" - ou.or.o ❾ + or - &gt;",""),""))</f>
        <v/>
      </c>
      <c r="AY249" s="810"/>
      <c r="AZ249" s="810"/>
      <c r="BA249" s="788" t="str">
        <f t="shared" si="97"/>
        <v/>
      </c>
      <c r="BB249" s="789" t="str">
        <f>IF(AK249="A",IF(AQ249,IF(AND(AW249&lt;&gt;"",N(AW249)&gt;0),IFERROR(IFERROR(_xlfn.XLOOKUP(AP249,BP10:BP57,BT10:BT57),IFERROR(_xlfn.XLOOKUP(AP249,BQ10:BQ57,BT10:BT57),_xlfn.XLOOKUP(AP249,BR10:BR57,BT10:BT57,""))),""),""),""),"")</f>
        <v/>
      </c>
      <c r="BC249" s="811" cm="1">
        <f t="array" ref="BC249">IF(NOT(AQ249),0,IF(OR(BA249="",N(BA249)&lt;=0.000000001),"",IF(OR(AU249="",N(AU249)&lt;=0.000000001),0,IF(ISNUMBER(BA249),IFERROR(_xlfn.LET(_xlpm.ai_test,TRIM(AP249),_xlpm.r,IFERROR(_xlfn.XLOOKUP(_xlpm.ai_test,BP16:BP63,ROW(BP16:BP63),0,1),IFERROR(_xlfn.XLOOKUP(_xlpm.ai_test,BQ16:BQ63,ROW(BQ16:BQ63),0,1),_xlfn.XLOOKUP(_xlpm.ai_test,BR16:BR63,ROW(BR16:BR63),0,1))),_xlpm.p,_xlpm.r-MIN(ROW(BP16:BP63))+1,_xlpm.f,INDEX(BS16:BS63,_xlpm.p),_xlpm.u,INDEX(BT16:BT63,_xlpm.p),_xlpm.s,INDEX(BV16:BV63,_xlpm.p),_xlpm.q,N(BA249)/_xlpm.f,IF(_xlpm.q&gt;=_xlpm.s,ROUND(_xlpm.q,1)&amp;" "&amp;_xlpm.ai_test&amp;" = "&amp;ROUND(_xlpm.q*_xlpm.f,1)&amp;" "&amp;_xlpm.u,ROUND(_xlpm.q,1)&amp;" "&amp;_xlpm.ai_test)),""),""))))</f>
        <v>0</v>
      </c>
      <c r="BD249" s="801"/>
      <c r="BE249" s="788" t="str">
        <f t="shared" si="108"/>
        <v/>
      </c>
      <c r="BF249" s="789" t="str">
        <f t="shared" si="109"/>
        <v/>
      </c>
      <c r="BG249" s="790">
        <f t="shared" si="112"/>
        <v>0</v>
      </c>
      <c r="BH249" s="791" t="str">
        <f t="shared" si="113"/>
        <v/>
      </c>
      <c r="BI249" s="792"/>
      <c r="BJ249" s="793">
        <f t="shared" si="111"/>
        <v>0</v>
      </c>
      <c r="BK249" s="794" t="str">
        <f t="shared" si="110"/>
        <v/>
      </c>
      <c r="BL249" s="227" t="s">
        <v>21</v>
      </c>
      <c r="BM249" s="773">
        <f t="shared" si="99"/>
        <v>0</v>
      </c>
      <c r="BN249" s="774">
        <f t="shared" si="100"/>
        <v>0</v>
      </c>
      <c r="BO249"/>
      <c r="BX249"/>
      <c r="BY249"/>
      <c r="BZ249"/>
      <c r="CA249"/>
      <c r="CB249"/>
      <c r="CC249"/>
      <c r="CD249" s="781" t="str">
        <f t="shared" si="93"/>
        <v>►</v>
      </c>
      <c r="CE249"/>
      <c r="CF249"/>
      <c r="CG249"/>
      <c r="CH249"/>
      <c r="CI249"/>
      <c r="CJ249" s="633"/>
      <c r="CK249"/>
      <c r="CL249"/>
      <c r="CM249"/>
      <c r="CN249"/>
      <c r="CO249"/>
      <c r="CP249"/>
      <c r="CQ249"/>
      <c r="CS249"/>
      <c r="CT249"/>
      <c r="CU249"/>
      <c r="CV249"/>
      <c r="CW249"/>
      <c r="CX249"/>
      <c r="CY249"/>
      <c r="DA249"/>
      <c r="DB249"/>
      <c r="DC249"/>
      <c r="DD249"/>
      <c r="DE249"/>
      <c r="DF249"/>
      <c r="DG249"/>
      <c r="DI249" s="3">
        <v>1</v>
      </c>
    </row>
    <row r="250" spans="1:113" s="627" customFormat="1" ht="21" customHeight="1">
      <c r="A250" s="701" t="s">
        <v>21</v>
      </c>
      <c r="B250" s="2265" t="str" cm="1">
        <f t="array" ref="B250">SUMPRODUCT(--(D250:J250&lt;&gt;""), LEN(TRIM(SUBSTITUTE(D250:J250, CHAR(160), "")))) &amp; " Car."</f>
        <v>0 Car.</v>
      </c>
      <c r="C250" s="1376" t="str">
        <f>IF(ISBLANK(D250),"",LARGE(C13:C249,1)+1)</f>
        <v/>
      </c>
      <c r="D250" s="1833"/>
      <c r="E250" s="1810"/>
      <c r="F250" s="1810"/>
      <c r="G250" s="1810"/>
      <c r="H250" s="1810"/>
      <c r="I250" s="1810"/>
      <c r="J250" s="1810"/>
      <c r="K250" s="1810"/>
      <c r="L250" s="1811"/>
      <c r="M250" s="9"/>
      <c r="N250" s="25" t="str">
        <f t="shared" si="95"/>
        <v>►</v>
      </c>
      <c r="O250" s="1616"/>
      <c r="P250" s="9"/>
      <c r="Q250" s="25" t="s">
        <v>15</v>
      </c>
      <c r="R250" s="31"/>
      <c r="S250" s="32"/>
      <c r="T250" s="31"/>
      <c r="U250" s="33"/>
      <c r="V250" s="1967"/>
      <c r="W250" s="1805"/>
      <c r="X250" s="91"/>
      <c r="Y250" s="1806"/>
      <c r="Z250" s="1968"/>
      <c r="AA250" s="2244"/>
      <c r="AB250" s="1969"/>
      <c r="AC250" s="1365"/>
      <c r="AD250" s="95"/>
      <c r="AE250" s="1326"/>
      <c r="AF250" s="97"/>
      <c r="AG250" s="1737"/>
      <c r="AH250" s="1970"/>
      <c r="AI250" s="99"/>
      <c r="AJ250" s="1809"/>
      <c r="AK250" s="6120" t="str">
        <f t="shared" si="96"/>
        <v>►</v>
      </c>
      <c r="AL250" s="781" t="str">
        <f t="shared" si="98"/>
        <v>►</v>
      </c>
      <c r="AM250" s="5498" t="str">
        <f t="shared" si="101"/>
        <v/>
      </c>
      <c r="AN250" s="783" t="str">
        <f t="shared" si="102"/>
        <v/>
      </c>
      <c r="AO250" s="782" t="str">
        <f t="shared" si="103"/>
        <v/>
      </c>
      <c r="AP250" s="783" t="str">
        <f t="shared" si="104"/>
        <v/>
      </c>
      <c r="AQ250" s="2083" t="b">
        <f>AND(Q250="A",COUNTIF(BP16:BR63,TRIM(Z250))&gt;0)</f>
        <v>0</v>
      </c>
      <c r="AR250" s="797" t="str">
        <f>IF(AL250&lt;&gt;"A","",IFERROR(IFERROR(_xlfn.XLOOKUP(TRIM(SUBSTITUTE(Z250,CHAR(160)," ")),BP16:BP63,BS16:BS63),IFERROR(_xlfn.XLOOKUP(TRIM(SUBSTITUTE(Z250,CHAR(160)," ")),BQ16:BQ63,BS16:BS63),_xlfn.XLOOKUP(TRIM(SUBSTITUTE(Z250,CHAR(160)," ")),BR16:BR63,BS16:BS63)))*Y250*IF(ISBLANK(V250),1,V250),0))</f>
        <v/>
      </c>
      <c r="AS250" s="784" t="str">
        <f t="shared" si="94"/>
        <v/>
      </c>
      <c r="AT250" s="1315" t="str">
        <f t="shared" si="105"/>
        <v/>
      </c>
      <c r="AU250" s="785">
        <f t="shared" si="106"/>
        <v>0</v>
      </c>
      <c r="AV250" s="785">
        <f t="shared" si="107"/>
        <v>0</v>
      </c>
      <c r="AW250" s="798">
        <f>IF(AK250="A",AY10,0)</f>
        <v>0</v>
      </c>
      <c r="AX250" s="5496" t="str">
        <f>IF(IFERROR(SEARCH("Adresse PC",TRIM(W250)),0)&gt;0,"▼ receta siguiente",IF(AK250="A",IF(AZ10&lt;&gt;"",AZ10&amp;" - ou.or.o ❾ + or - &gt;",""),""))</f>
        <v/>
      </c>
      <c r="AY250" s="810"/>
      <c r="AZ250" s="810"/>
      <c r="BA250" s="799" t="str">
        <f t="shared" si="97"/>
        <v/>
      </c>
      <c r="BB250" s="800" t="str">
        <f>IF(AK250="A",IF(AQ250,IF(AND(AW250&lt;&gt;"",N(AW250)&gt;0),IFERROR(IFERROR(_xlfn.XLOOKUP(AP250,BP10:BP57,BT10:BT57),IFERROR(_xlfn.XLOOKUP(AP250,BQ10:BQ57,BT10:BT57),_xlfn.XLOOKUP(AP250,BR10:BR57,BT10:BT57,""))),""),""),""),"")</f>
        <v/>
      </c>
      <c r="BC250" s="813" cm="1">
        <f t="array" ref="BC250">IF(NOT(AQ250),0,IF(OR(BA250="",N(BA250)&lt;=0.000000001),"",IF(OR(AU250="",N(AU250)&lt;=0.000000001),0,IF(ISNUMBER(BA250),IFERROR(_xlfn.LET(_xlpm.ai_test,TRIM(AP250),_xlpm.r,IFERROR(_xlfn.XLOOKUP(_xlpm.ai_test,BP16:BP63,ROW(BP16:BP63),0,1),IFERROR(_xlfn.XLOOKUP(_xlpm.ai_test,BQ16:BQ63,ROW(BQ16:BQ63),0,1),_xlfn.XLOOKUP(_xlpm.ai_test,BR16:BR63,ROW(BR16:BR63),0,1))),_xlpm.p,_xlpm.r-MIN(ROW(BP16:BP63))+1,_xlpm.f,INDEX(BS16:BS63,_xlpm.p),_xlpm.u,INDEX(BT16:BT63,_xlpm.p),_xlpm.s,INDEX(BV16:BV63,_xlpm.p),_xlpm.q,N(BA250)/_xlpm.f,IF(_xlpm.q&gt;=_xlpm.s,ROUND(_xlpm.q,1)&amp;" "&amp;_xlpm.ai_test&amp;" = "&amp;ROUND(_xlpm.q*_xlpm.f,1)&amp;" "&amp;_xlpm.u,ROUND(_xlpm.q,1)&amp;" "&amp;_xlpm.ai_test)),""),""))))</f>
        <v>0</v>
      </c>
      <c r="BD250" s="801"/>
      <c r="BE250" s="799" t="str">
        <f t="shared" si="108"/>
        <v/>
      </c>
      <c r="BF250" s="800" t="str">
        <f t="shared" si="109"/>
        <v/>
      </c>
      <c r="BG250" s="802">
        <f t="shared" si="112"/>
        <v>0</v>
      </c>
      <c r="BH250" s="803" t="str">
        <f t="shared" si="113"/>
        <v/>
      </c>
      <c r="BI250" s="792"/>
      <c r="BJ250" s="804">
        <f t="shared" si="111"/>
        <v>0</v>
      </c>
      <c r="BK250" s="794" t="str">
        <f t="shared" si="110"/>
        <v/>
      </c>
      <c r="BL250" s="227" t="s">
        <v>21</v>
      </c>
      <c r="BM250" s="773">
        <f t="shared" si="99"/>
        <v>0</v>
      </c>
      <c r="BN250" s="774">
        <f t="shared" si="100"/>
        <v>0</v>
      </c>
      <c r="BO250"/>
      <c r="BX250"/>
      <c r="BY250"/>
      <c r="BZ250"/>
      <c r="CA250"/>
      <c r="CB250"/>
      <c r="CC250"/>
      <c r="CD250" s="781" t="str">
        <f t="shared" si="93"/>
        <v>►</v>
      </c>
      <c r="CE250"/>
      <c r="CF250"/>
      <c r="CG250"/>
      <c r="CH250"/>
      <c r="CI250"/>
      <c r="CJ250" s="633"/>
      <c r="CK250"/>
      <c r="CL250"/>
      <c r="CM250"/>
      <c r="CN250"/>
      <c r="CO250"/>
      <c r="CP250"/>
      <c r="CQ250"/>
      <c r="CS250"/>
      <c r="CT250"/>
      <c r="CU250"/>
      <c r="CV250"/>
      <c r="CW250"/>
      <c r="CX250"/>
      <c r="CY250"/>
      <c r="DA250"/>
      <c r="DB250"/>
      <c r="DC250"/>
      <c r="DD250"/>
      <c r="DE250"/>
      <c r="DF250"/>
      <c r="DG250"/>
      <c r="DI250" s="3">
        <v>1</v>
      </c>
    </row>
    <row r="251" spans="1:113" s="627" customFormat="1" ht="21" customHeight="1">
      <c r="A251" s="701" t="s">
        <v>21</v>
      </c>
      <c r="B251" s="2265" t="str" cm="1">
        <f t="array" ref="B251">SUMPRODUCT(--(D251:J251&lt;&gt;""), LEN(TRIM(SUBSTITUTE(D251:J251, CHAR(160), "")))) &amp; " Car."</f>
        <v>0 Car.</v>
      </c>
      <c r="C251" s="1376" t="str">
        <f>IF(ISBLANK(D251),"",LARGE(C13:C250,1)+1)</f>
        <v/>
      </c>
      <c r="D251" s="1833"/>
      <c r="E251" s="1810"/>
      <c r="F251" s="1810"/>
      <c r="G251" s="1810"/>
      <c r="H251" s="1810"/>
      <c r="I251" s="1810"/>
      <c r="J251" s="1810"/>
      <c r="K251" s="1810"/>
      <c r="L251" s="1811"/>
      <c r="M251" s="9"/>
      <c r="N251" s="25" t="str">
        <f t="shared" si="95"/>
        <v>►</v>
      </c>
      <c r="O251" s="1616"/>
      <c r="P251" s="9"/>
      <c r="Q251" s="25" t="s">
        <v>15</v>
      </c>
      <c r="R251" s="31"/>
      <c r="S251" s="32"/>
      <c r="T251" s="31"/>
      <c r="U251" s="33"/>
      <c r="V251" s="1967"/>
      <c r="W251" s="1805"/>
      <c r="X251" s="91"/>
      <c r="Y251" s="1806"/>
      <c r="Z251" s="1968"/>
      <c r="AA251" s="2244"/>
      <c r="AB251" s="1969"/>
      <c r="AC251" s="1365"/>
      <c r="AD251" s="95"/>
      <c r="AE251" s="1326"/>
      <c r="AF251" s="97"/>
      <c r="AG251" s="1737"/>
      <c r="AH251" s="1970"/>
      <c r="AI251" s="99"/>
      <c r="AJ251" s="1809"/>
      <c r="AK251" s="6120" t="str">
        <f t="shared" si="96"/>
        <v>►</v>
      </c>
      <c r="AL251" s="781" t="str">
        <f t="shared" si="98"/>
        <v>►</v>
      </c>
      <c r="AM251" s="5499" t="str">
        <f t="shared" si="101"/>
        <v/>
      </c>
      <c r="AN251" s="783" t="str">
        <f t="shared" si="102"/>
        <v/>
      </c>
      <c r="AO251" s="782" t="str">
        <f t="shared" si="103"/>
        <v/>
      </c>
      <c r="AP251" s="783" t="str">
        <f t="shared" si="104"/>
        <v/>
      </c>
      <c r="AQ251" s="2083" t="b">
        <f>AND(Q251="A",COUNTIF(BP16:BR63,TRIM(Z251))&gt;0)</f>
        <v>0</v>
      </c>
      <c r="AR251" s="797" t="str">
        <f>IF(AL251&lt;&gt;"A","",IFERROR(IFERROR(_xlfn.XLOOKUP(TRIM(SUBSTITUTE(Z251,CHAR(160)," ")),BP16:BP63,BS16:BS63),IFERROR(_xlfn.XLOOKUP(TRIM(SUBSTITUTE(Z251,CHAR(160)," ")),BQ16:BQ63,BS16:BS63),_xlfn.XLOOKUP(TRIM(SUBSTITUTE(Z251,CHAR(160)," ")),BR16:BR63,BS16:BS63)))*Y251*IF(ISBLANK(V251),1,V251),0))</f>
        <v/>
      </c>
      <c r="AS251" s="784" t="str">
        <f t="shared" si="94"/>
        <v/>
      </c>
      <c r="AT251" s="1315" t="str">
        <f t="shared" si="105"/>
        <v/>
      </c>
      <c r="AU251" s="785">
        <f t="shared" si="106"/>
        <v>0</v>
      </c>
      <c r="AV251" s="785">
        <f t="shared" si="107"/>
        <v>0</v>
      </c>
      <c r="AW251" s="786">
        <f>IF(AK251="A",AY10,0)</f>
        <v>0</v>
      </c>
      <c r="AX251" s="5495" t="str">
        <f>IF(IFERROR(SEARCH("Adresse PC",TRIM(W251)),0)&gt;0,"▼ receta siguiente",IF(AK251="A",IF(AZ10&lt;&gt;"",AZ10&amp;" - ou.or.o ❾ + or - &gt;",""),""))</f>
        <v/>
      </c>
      <c r="AY251" s="810"/>
      <c r="AZ251" s="810"/>
      <c r="BA251" s="788" t="str">
        <f t="shared" si="97"/>
        <v/>
      </c>
      <c r="BB251" s="789" t="str">
        <f>IF(AK251="A",IF(AQ251,IF(AND(AW251&lt;&gt;"",N(AW251)&gt;0),IFERROR(IFERROR(_xlfn.XLOOKUP(AP251,BP10:BP57,BT10:BT57),IFERROR(_xlfn.XLOOKUP(AP251,BQ10:BQ57,BT10:BT57),_xlfn.XLOOKUP(AP251,BR10:BR57,BT10:BT57,""))),""),""),""),"")</f>
        <v/>
      </c>
      <c r="BC251" s="811" cm="1">
        <f t="array" ref="BC251">IF(NOT(AQ251),0,IF(OR(BA251="",N(BA251)&lt;=0.000000001),"",IF(OR(AU251="",N(AU251)&lt;=0.000000001),0,IF(ISNUMBER(BA251),IFERROR(_xlfn.LET(_xlpm.ai_test,TRIM(AP251),_xlpm.r,IFERROR(_xlfn.XLOOKUP(_xlpm.ai_test,BP16:BP63,ROW(BP16:BP63),0,1),IFERROR(_xlfn.XLOOKUP(_xlpm.ai_test,BQ16:BQ63,ROW(BQ16:BQ63),0,1),_xlfn.XLOOKUP(_xlpm.ai_test,BR16:BR63,ROW(BR16:BR63),0,1))),_xlpm.p,_xlpm.r-MIN(ROW(BP16:BP63))+1,_xlpm.f,INDEX(BS16:BS63,_xlpm.p),_xlpm.u,INDEX(BT16:BT63,_xlpm.p),_xlpm.s,INDEX(BV16:BV63,_xlpm.p),_xlpm.q,N(BA251)/_xlpm.f,IF(_xlpm.q&gt;=_xlpm.s,ROUND(_xlpm.q,1)&amp;" "&amp;_xlpm.ai_test&amp;" = "&amp;ROUND(_xlpm.q*_xlpm.f,1)&amp;" "&amp;_xlpm.u,ROUND(_xlpm.q,1)&amp;" "&amp;_xlpm.ai_test)),""),""))))</f>
        <v>0</v>
      </c>
      <c r="BD251" s="801"/>
      <c r="BE251" s="788" t="str">
        <f t="shared" si="108"/>
        <v/>
      </c>
      <c r="BF251" s="789" t="str">
        <f t="shared" si="109"/>
        <v/>
      </c>
      <c r="BG251" s="790">
        <f t="shared" si="112"/>
        <v>0</v>
      </c>
      <c r="BH251" s="791" t="str">
        <f t="shared" si="113"/>
        <v/>
      </c>
      <c r="BI251" s="792"/>
      <c r="BJ251" s="793">
        <f t="shared" si="111"/>
        <v>0</v>
      </c>
      <c r="BK251" s="794" t="str">
        <f t="shared" si="110"/>
        <v/>
      </c>
      <c r="BL251" s="227" t="s">
        <v>21</v>
      </c>
      <c r="BM251" s="773">
        <f t="shared" si="99"/>
        <v>0</v>
      </c>
      <c r="BN251" s="774">
        <f t="shared" si="100"/>
        <v>0</v>
      </c>
      <c r="BO251"/>
      <c r="BX251"/>
      <c r="BY251"/>
      <c r="BZ251"/>
      <c r="CA251"/>
      <c r="CB251"/>
      <c r="CC251"/>
      <c r="CD251" s="781" t="str">
        <f t="shared" si="93"/>
        <v>►</v>
      </c>
      <c r="CE251"/>
      <c r="CF251"/>
      <c r="CG251"/>
      <c r="CH251"/>
      <c r="CI251"/>
      <c r="CJ251" s="633"/>
      <c r="CK251"/>
      <c r="CL251"/>
      <c r="CM251"/>
      <c r="CN251"/>
      <c r="CO251"/>
      <c r="CP251"/>
      <c r="CQ251"/>
      <c r="CS251"/>
      <c r="CT251"/>
      <c r="CU251"/>
      <c r="CV251"/>
      <c r="CW251"/>
      <c r="CX251"/>
      <c r="CY251"/>
      <c r="DA251"/>
      <c r="DB251"/>
      <c r="DC251"/>
      <c r="DD251"/>
      <c r="DE251"/>
      <c r="DF251"/>
      <c r="DG251"/>
      <c r="DI251" s="3">
        <v>1</v>
      </c>
    </row>
    <row r="252" spans="1:113" s="627" customFormat="1" ht="21" customHeight="1">
      <c r="A252" s="701" t="s">
        <v>21</v>
      </c>
      <c r="B252" s="2265" t="str" cm="1">
        <f t="array" ref="B252">SUMPRODUCT(--(D252:J252&lt;&gt;""), LEN(TRIM(SUBSTITUTE(D252:J252, CHAR(160), "")))) &amp; " Car."</f>
        <v>0 Car.</v>
      </c>
      <c r="C252" s="1376" t="str">
        <f>IF(ISBLANK(D252),"",LARGE(C13:C251,1)+1)</f>
        <v/>
      </c>
      <c r="D252" s="1833"/>
      <c r="E252" s="1810"/>
      <c r="F252" s="1810"/>
      <c r="G252" s="1810"/>
      <c r="H252" s="1810"/>
      <c r="I252" s="1810"/>
      <c r="J252" s="1810"/>
      <c r="K252" s="1810"/>
      <c r="L252" s="1811"/>
      <c r="M252" s="9"/>
      <c r="N252" s="25" t="str">
        <f t="shared" si="95"/>
        <v>►</v>
      </c>
      <c r="O252" s="1616"/>
      <c r="P252" s="9"/>
      <c r="Q252" s="25" t="s">
        <v>15</v>
      </c>
      <c r="R252" s="31"/>
      <c r="S252" s="32"/>
      <c r="T252" s="31"/>
      <c r="U252" s="33"/>
      <c r="V252" s="1967"/>
      <c r="W252" s="1805"/>
      <c r="X252" s="91"/>
      <c r="Y252" s="1806"/>
      <c r="Z252" s="1968"/>
      <c r="AA252" s="2244"/>
      <c r="AB252" s="1969"/>
      <c r="AC252" s="1365"/>
      <c r="AD252" s="95"/>
      <c r="AE252" s="1326"/>
      <c r="AF252" s="97"/>
      <c r="AG252" s="1737"/>
      <c r="AH252" s="1970"/>
      <c r="AI252" s="99"/>
      <c r="AJ252" s="1809"/>
      <c r="AK252" s="6120" t="str">
        <f t="shared" si="96"/>
        <v>►</v>
      </c>
      <c r="AL252" s="781" t="str">
        <f t="shared" si="98"/>
        <v>►</v>
      </c>
      <c r="AM252" s="5498" t="str">
        <f t="shared" si="101"/>
        <v/>
      </c>
      <c r="AN252" s="783" t="str">
        <f t="shared" si="102"/>
        <v/>
      </c>
      <c r="AO252" s="782" t="str">
        <f t="shared" si="103"/>
        <v/>
      </c>
      <c r="AP252" s="783" t="str">
        <f t="shared" si="104"/>
        <v/>
      </c>
      <c r="AQ252" s="2083" t="b">
        <f>AND(Q252="A",COUNTIF(BP16:BR63,TRIM(Z252))&gt;0)</f>
        <v>0</v>
      </c>
      <c r="AR252" s="797" t="str">
        <f>IF(AL252&lt;&gt;"A","",IFERROR(IFERROR(_xlfn.XLOOKUP(TRIM(SUBSTITUTE(Z252,CHAR(160)," ")),BP16:BP63,BS16:BS63),IFERROR(_xlfn.XLOOKUP(TRIM(SUBSTITUTE(Z252,CHAR(160)," ")),BQ16:BQ63,BS16:BS63),_xlfn.XLOOKUP(TRIM(SUBSTITUTE(Z252,CHAR(160)," ")),BR16:BR63,BS16:BS63)))*Y252*IF(ISBLANK(V252),1,V252),0))</f>
        <v/>
      </c>
      <c r="AS252" s="784" t="str">
        <f t="shared" si="94"/>
        <v/>
      </c>
      <c r="AT252" s="1315" t="str">
        <f t="shared" si="105"/>
        <v/>
      </c>
      <c r="AU252" s="785">
        <f t="shared" si="106"/>
        <v>0</v>
      </c>
      <c r="AV252" s="785">
        <f t="shared" si="107"/>
        <v>0</v>
      </c>
      <c r="AW252" s="798">
        <f>IF(AK252="A",AY10,0)</f>
        <v>0</v>
      </c>
      <c r="AX252" s="5496" t="str">
        <f>IF(IFERROR(SEARCH("Adresse PC",TRIM(W252)),0)&gt;0,"▼ receta siguiente",IF(AK252="A",IF(AZ10&lt;&gt;"",AZ10&amp;" - ou.or.o ❾ + or - &gt;",""),""))</f>
        <v/>
      </c>
      <c r="AY252" s="810"/>
      <c r="AZ252" s="810"/>
      <c r="BA252" s="799" t="str">
        <f t="shared" si="97"/>
        <v/>
      </c>
      <c r="BB252" s="800" t="str">
        <f>IF(AK252="A",IF(AQ252,IF(AND(AW252&lt;&gt;"",N(AW252)&gt;0),IFERROR(IFERROR(_xlfn.XLOOKUP(AP252,BP10:BP57,BT10:BT57),IFERROR(_xlfn.XLOOKUP(AP252,BQ10:BQ57,BT10:BT57),_xlfn.XLOOKUP(AP252,BR10:BR57,BT10:BT57,""))),""),""),""),"")</f>
        <v/>
      </c>
      <c r="BC252" s="813" cm="1">
        <f t="array" ref="BC252">IF(NOT(AQ252),0,IF(OR(BA252="",N(BA252)&lt;=0.000000001),"",IF(OR(AU252="",N(AU252)&lt;=0.000000001),0,IF(ISNUMBER(BA252),IFERROR(_xlfn.LET(_xlpm.ai_test,TRIM(AP252),_xlpm.r,IFERROR(_xlfn.XLOOKUP(_xlpm.ai_test,BP16:BP63,ROW(BP16:BP63),0,1),IFERROR(_xlfn.XLOOKUP(_xlpm.ai_test,BQ16:BQ63,ROW(BQ16:BQ63),0,1),_xlfn.XLOOKUP(_xlpm.ai_test,BR16:BR63,ROW(BR16:BR63),0,1))),_xlpm.p,_xlpm.r-MIN(ROW(BP16:BP63))+1,_xlpm.f,INDEX(BS16:BS63,_xlpm.p),_xlpm.u,INDEX(BT16:BT63,_xlpm.p),_xlpm.s,INDEX(BV16:BV63,_xlpm.p),_xlpm.q,N(BA252)/_xlpm.f,IF(_xlpm.q&gt;=_xlpm.s,ROUND(_xlpm.q,1)&amp;" "&amp;_xlpm.ai_test&amp;" = "&amp;ROUND(_xlpm.q*_xlpm.f,1)&amp;" "&amp;_xlpm.u,ROUND(_xlpm.q,1)&amp;" "&amp;_xlpm.ai_test)),""),""))))</f>
        <v>0</v>
      </c>
      <c r="BD252" s="801"/>
      <c r="BE252" s="799" t="str">
        <f t="shared" si="108"/>
        <v/>
      </c>
      <c r="BF252" s="800" t="str">
        <f t="shared" si="109"/>
        <v/>
      </c>
      <c r="BG252" s="802">
        <f t="shared" si="112"/>
        <v>0</v>
      </c>
      <c r="BH252" s="803" t="str">
        <f t="shared" si="113"/>
        <v/>
      </c>
      <c r="BI252" s="792"/>
      <c r="BJ252" s="804">
        <f t="shared" si="111"/>
        <v>0</v>
      </c>
      <c r="BK252" s="794" t="str">
        <f t="shared" si="110"/>
        <v/>
      </c>
      <c r="BL252" s="227" t="s">
        <v>21</v>
      </c>
      <c r="BM252" s="773">
        <f t="shared" si="99"/>
        <v>0</v>
      </c>
      <c r="BN252" s="774">
        <f t="shared" si="100"/>
        <v>0</v>
      </c>
      <c r="BO252"/>
      <c r="BX252"/>
      <c r="BY252"/>
      <c r="BZ252"/>
      <c r="CA252"/>
      <c r="CB252"/>
      <c r="CC252"/>
      <c r="CD252" s="781" t="str">
        <f t="shared" si="93"/>
        <v>►</v>
      </c>
      <c r="CE252"/>
      <c r="CF252"/>
      <c r="CG252"/>
      <c r="CH252"/>
      <c r="CI252"/>
      <c r="CJ252" s="633"/>
      <c r="CK252"/>
      <c r="CL252"/>
      <c r="CM252"/>
      <c r="CN252"/>
      <c r="CO252"/>
      <c r="CP252"/>
      <c r="CQ252"/>
      <c r="CS252"/>
      <c r="CT252"/>
      <c r="CU252"/>
      <c r="CV252"/>
      <c r="CW252"/>
      <c r="CX252"/>
      <c r="CY252"/>
      <c r="DA252"/>
      <c r="DB252"/>
      <c r="DC252"/>
      <c r="DD252"/>
      <c r="DE252"/>
      <c r="DF252"/>
      <c r="DG252"/>
      <c r="DI252" s="3">
        <v>1</v>
      </c>
    </row>
    <row r="253" spans="1:113" s="627" customFormat="1" ht="21" customHeight="1">
      <c r="A253" s="701" t="s">
        <v>21</v>
      </c>
      <c r="B253" s="2265" t="str" cm="1">
        <f t="array" ref="B253">SUMPRODUCT(--(D253:J253&lt;&gt;""), LEN(TRIM(SUBSTITUTE(D253:J253, CHAR(160), "")))) &amp; " Car."</f>
        <v>0 Car.</v>
      </c>
      <c r="C253" s="1376" t="str">
        <f>IF(ISBLANK(D253),"",LARGE(C13:C252,1)+1)</f>
        <v/>
      </c>
      <c r="D253" s="1833"/>
      <c r="E253" s="1810"/>
      <c r="F253" s="1810"/>
      <c r="G253" s="1810"/>
      <c r="H253" s="1810"/>
      <c r="I253" s="1810"/>
      <c r="J253" s="1810"/>
      <c r="K253" s="1810"/>
      <c r="L253" s="1811"/>
      <c r="M253" s="9"/>
      <c r="N253" s="25" t="str">
        <f t="shared" si="95"/>
        <v>►</v>
      </c>
      <c r="O253" s="1616"/>
      <c r="P253" s="9"/>
      <c r="Q253" s="25" t="s">
        <v>15</v>
      </c>
      <c r="R253" s="31"/>
      <c r="S253" s="32"/>
      <c r="T253" s="31"/>
      <c r="U253" s="33"/>
      <c r="V253" s="1967"/>
      <c r="W253" s="1805"/>
      <c r="X253" s="91"/>
      <c r="Y253" s="1806"/>
      <c r="Z253" s="1968"/>
      <c r="AA253" s="2244"/>
      <c r="AB253" s="1969"/>
      <c r="AC253" s="1365"/>
      <c r="AD253" s="95"/>
      <c r="AE253" s="1326"/>
      <c r="AF253" s="97"/>
      <c r="AG253" s="1737"/>
      <c r="AH253" s="1970"/>
      <c r="AI253" s="99"/>
      <c r="AJ253" s="1809"/>
      <c r="AK253" s="6120" t="str">
        <f t="shared" si="96"/>
        <v>►</v>
      </c>
      <c r="AL253" s="781" t="str">
        <f t="shared" si="98"/>
        <v>►</v>
      </c>
      <c r="AM253" s="5499" t="str">
        <f t="shared" si="101"/>
        <v/>
      </c>
      <c r="AN253" s="783" t="str">
        <f t="shared" si="102"/>
        <v/>
      </c>
      <c r="AO253" s="782" t="str">
        <f t="shared" si="103"/>
        <v/>
      </c>
      <c r="AP253" s="783" t="str">
        <f t="shared" si="104"/>
        <v/>
      </c>
      <c r="AQ253" s="2083" t="b">
        <f>AND(Q253="A",COUNTIF(BP16:BR63,TRIM(Z253))&gt;0)</f>
        <v>0</v>
      </c>
      <c r="AR253" s="797" t="str">
        <f>IF(AL253&lt;&gt;"A","",IFERROR(IFERROR(_xlfn.XLOOKUP(TRIM(SUBSTITUTE(Z253,CHAR(160)," ")),BP16:BP63,BS16:BS63),IFERROR(_xlfn.XLOOKUP(TRIM(SUBSTITUTE(Z253,CHAR(160)," ")),BQ16:BQ63,BS16:BS63),_xlfn.XLOOKUP(TRIM(SUBSTITUTE(Z253,CHAR(160)," ")),BR16:BR63,BS16:BS63)))*Y253*IF(ISBLANK(V253),1,V253),0))</f>
        <v/>
      </c>
      <c r="AS253" s="784" t="str">
        <f t="shared" si="94"/>
        <v/>
      </c>
      <c r="AT253" s="1315" t="str">
        <f t="shared" si="105"/>
        <v/>
      </c>
      <c r="AU253" s="785">
        <f t="shared" si="106"/>
        <v>0</v>
      </c>
      <c r="AV253" s="785">
        <f t="shared" si="107"/>
        <v>0</v>
      </c>
      <c r="AW253" s="786">
        <f>IF(AK253="A",AY10,0)</f>
        <v>0</v>
      </c>
      <c r="AX253" s="5495" t="str">
        <f>IF(IFERROR(SEARCH("Adresse PC",TRIM(W253)),0)&gt;0,"▼ receta siguiente",IF(AK253="A",IF(AZ10&lt;&gt;"",AZ10&amp;" - ou.or.o ❾ + or - &gt;",""),""))</f>
        <v/>
      </c>
      <c r="AY253" s="810"/>
      <c r="AZ253" s="810"/>
      <c r="BA253" s="788" t="str">
        <f t="shared" si="97"/>
        <v/>
      </c>
      <c r="BB253" s="789" t="str">
        <f>IF(AK253="A",IF(AQ253,IF(AND(AW253&lt;&gt;"",N(AW253)&gt;0),IFERROR(IFERROR(_xlfn.XLOOKUP(AP253,BP10:BP57,BT10:BT57),IFERROR(_xlfn.XLOOKUP(AP253,BQ10:BQ57,BT10:BT57),_xlfn.XLOOKUP(AP253,BR10:BR57,BT10:BT57,""))),""),""),""),"")</f>
        <v/>
      </c>
      <c r="BC253" s="811" cm="1">
        <f t="array" ref="BC253">IF(NOT(AQ253),0,IF(OR(BA253="",N(BA253)&lt;=0.000000001),"",IF(OR(AU253="",N(AU253)&lt;=0.000000001),0,IF(ISNUMBER(BA253),IFERROR(_xlfn.LET(_xlpm.ai_test,TRIM(AP253),_xlpm.r,IFERROR(_xlfn.XLOOKUP(_xlpm.ai_test,BP16:BP63,ROW(BP16:BP63),0,1),IFERROR(_xlfn.XLOOKUP(_xlpm.ai_test,BQ16:BQ63,ROW(BQ16:BQ63),0,1),_xlfn.XLOOKUP(_xlpm.ai_test,BR16:BR63,ROW(BR16:BR63),0,1))),_xlpm.p,_xlpm.r-MIN(ROW(BP16:BP63))+1,_xlpm.f,INDEX(BS16:BS63,_xlpm.p),_xlpm.u,INDEX(BT16:BT63,_xlpm.p),_xlpm.s,INDEX(BV16:BV63,_xlpm.p),_xlpm.q,N(BA253)/_xlpm.f,IF(_xlpm.q&gt;=_xlpm.s,ROUND(_xlpm.q,1)&amp;" "&amp;_xlpm.ai_test&amp;" = "&amp;ROUND(_xlpm.q*_xlpm.f,1)&amp;" "&amp;_xlpm.u,ROUND(_xlpm.q,1)&amp;" "&amp;_xlpm.ai_test)),""),""))))</f>
        <v>0</v>
      </c>
      <c r="BD253" s="801"/>
      <c r="BE253" s="788" t="str">
        <f t="shared" si="108"/>
        <v/>
      </c>
      <c r="BF253" s="789" t="str">
        <f t="shared" si="109"/>
        <v/>
      </c>
      <c r="BG253" s="790">
        <f t="shared" si="112"/>
        <v>0</v>
      </c>
      <c r="BH253" s="791" t="str">
        <f t="shared" si="113"/>
        <v/>
      </c>
      <c r="BI253" s="792"/>
      <c r="BJ253" s="793">
        <f t="shared" si="111"/>
        <v>0</v>
      </c>
      <c r="BK253" s="794" t="str">
        <f t="shared" si="110"/>
        <v/>
      </c>
      <c r="BL253" s="227" t="s">
        <v>21</v>
      </c>
      <c r="BM253" s="773">
        <f t="shared" si="99"/>
        <v>0</v>
      </c>
      <c r="BN253" s="774">
        <f t="shared" si="100"/>
        <v>0</v>
      </c>
      <c r="BO253"/>
      <c r="BX253"/>
      <c r="BY253"/>
      <c r="BZ253"/>
      <c r="CA253"/>
      <c r="CB253"/>
      <c r="CC253"/>
      <c r="CD253" s="781" t="str">
        <f t="shared" si="93"/>
        <v>►</v>
      </c>
      <c r="CE253"/>
      <c r="CF253"/>
      <c r="CG253"/>
      <c r="CH253"/>
      <c r="CI253"/>
      <c r="CJ253" s="633"/>
      <c r="CK253"/>
      <c r="CL253"/>
      <c r="CM253"/>
      <c r="CN253"/>
      <c r="CO253"/>
      <c r="CP253"/>
      <c r="CQ253"/>
      <c r="CS253"/>
      <c r="CT253"/>
      <c r="CU253"/>
      <c r="CV253"/>
      <c r="CW253"/>
      <c r="CX253"/>
      <c r="CY253"/>
      <c r="DA253"/>
      <c r="DB253"/>
      <c r="DC253"/>
      <c r="DD253"/>
      <c r="DE253"/>
      <c r="DF253"/>
      <c r="DG253"/>
      <c r="DI253" s="3">
        <v>1</v>
      </c>
    </row>
    <row r="254" spans="1:113" s="627" customFormat="1" ht="21" customHeight="1">
      <c r="A254" s="701" t="s">
        <v>21</v>
      </c>
      <c r="B254" s="2265" t="str" cm="1">
        <f t="array" ref="B254">SUMPRODUCT(--(D254:J254&lt;&gt;""), LEN(TRIM(SUBSTITUTE(D254:J254, CHAR(160), "")))) &amp; " Car."</f>
        <v>0 Car.</v>
      </c>
      <c r="C254" s="1376" t="str">
        <f>IF(ISBLANK(D254),"",LARGE(C13:C253,1)+1)</f>
        <v/>
      </c>
      <c r="D254" s="1833"/>
      <c r="E254" s="1810"/>
      <c r="F254" s="1810"/>
      <c r="G254" s="1810"/>
      <c r="H254" s="1810"/>
      <c r="I254" s="1810"/>
      <c r="J254" s="1810"/>
      <c r="K254" s="1810"/>
      <c r="L254" s="1811"/>
      <c r="M254" s="9"/>
      <c r="N254" s="25" t="str">
        <f t="shared" si="95"/>
        <v>►</v>
      </c>
      <c r="O254" s="1616"/>
      <c r="P254" s="9"/>
      <c r="Q254" s="25" t="s">
        <v>15</v>
      </c>
      <c r="R254" s="31"/>
      <c r="S254" s="32"/>
      <c r="T254" s="31"/>
      <c r="U254" s="33"/>
      <c r="V254" s="1967"/>
      <c r="W254" s="1805"/>
      <c r="X254" s="91"/>
      <c r="Y254" s="1806"/>
      <c r="Z254" s="1968"/>
      <c r="AA254" s="2244"/>
      <c r="AB254" s="1969"/>
      <c r="AC254" s="1365"/>
      <c r="AD254" s="95"/>
      <c r="AE254" s="1326"/>
      <c r="AF254" s="97"/>
      <c r="AG254" s="1737"/>
      <c r="AH254" s="1970"/>
      <c r="AI254" s="99"/>
      <c r="AJ254" s="1809"/>
      <c r="AK254" s="6120" t="str">
        <f t="shared" si="96"/>
        <v>►</v>
      </c>
      <c r="AL254" s="781" t="str">
        <f t="shared" si="98"/>
        <v>►</v>
      </c>
      <c r="AM254" s="5498" t="str">
        <f t="shared" si="101"/>
        <v/>
      </c>
      <c r="AN254" s="783" t="str">
        <f t="shared" si="102"/>
        <v/>
      </c>
      <c r="AO254" s="782" t="str">
        <f t="shared" si="103"/>
        <v/>
      </c>
      <c r="AP254" s="783" t="str">
        <f t="shared" si="104"/>
        <v/>
      </c>
      <c r="AQ254" s="2083" t="b">
        <f>AND(Q254="A",COUNTIF(BP16:BR63,TRIM(Z254))&gt;0)</f>
        <v>0</v>
      </c>
      <c r="AR254" s="797" t="str">
        <f>IF(AL254&lt;&gt;"A","",IFERROR(IFERROR(_xlfn.XLOOKUP(TRIM(SUBSTITUTE(Z254,CHAR(160)," ")),BP16:BP63,BS16:BS63),IFERROR(_xlfn.XLOOKUP(TRIM(SUBSTITUTE(Z254,CHAR(160)," ")),BQ16:BQ63,BS16:BS63),_xlfn.XLOOKUP(TRIM(SUBSTITUTE(Z254,CHAR(160)," ")),BR16:BR63,BS16:BS63)))*Y254*IF(ISBLANK(V254),1,V254),0))</f>
        <v/>
      </c>
      <c r="AS254" s="784" t="str">
        <f t="shared" si="94"/>
        <v/>
      </c>
      <c r="AT254" s="1315" t="str">
        <f t="shared" si="105"/>
        <v/>
      </c>
      <c r="AU254" s="785">
        <f t="shared" si="106"/>
        <v>0</v>
      </c>
      <c r="AV254" s="785">
        <f t="shared" si="107"/>
        <v>0</v>
      </c>
      <c r="AW254" s="798">
        <f>IF(AK254="A",AY10,0)</f>
        <v>0</v>
      </c>
      <c r="AX254" s="5496" t="str">
        <f>IF(IFERROR(SEARCH("Adresse PC",TRIM(W254)),0)&gt;0,"▼ receta siguiente",IF(AK254="A",IF(AZ10&lt;&gt;"",AZ10&amp;" - ou.or.o ❾ + or - &gt;",""),""))</f>
        <v/>
      </c>
      <c r="AY254" s="810"/>
      <c r="AZ254" s="810"/>
      <c r="BA254" s="799" t="str">
        <f t="shared" si="97"/>
        <v/>
      </c>
      <c r="BB254" s="800" t="str">
        <f>IF(AK254="A",IF(AQ254,IF(AND(AW254&lt;&gt;"",N(AW254)&gt;0),IFERROR(IFERROR(_xlfn.XLOOKUP(AP254,BP10:BP57,BT10:BT57),IFERROR(_xlfn.XLOOKUP(AP254,BQ10:BQ57,BT10:BT57),_xlfn.XLOOKUP(AP254,BR10:BR57,BT10:BT57,""))),""),""),""),"")</f>
        <v/>
      </c>
      <c r="BC254" s="813" cm="1">
        <f t="array" ref="BC254">IF(NOT(AQ254),0,IF(OR(BA254="",N(BA254)&lt;=0.000000001),"",IF(OR(AU254="",N(AU254)&lt;=0.000000001),0,IF(ISNUMBER(BA254),IFERROR(_xlfn.LET(_xlpm.ai_test,TRIM(AP254),_xlpm.r,IFERROR(_xlfn.XLOOKUP(_xlpm.ai_test,BP16:BP63,ROW(BP16:BP63),0,1),IFERROR(_xlfn.XLOOKUP(_xlpm.ai_test,BQ16:BQ63,ROW(BQ16:BQ63),0,1),_xlfn.XLOOKUP(_xlpm.ai_test,BR16:BR63,ROW(BR16:BR63),0,1))),_xlpm.p,_xlpm.r-MIN(ROW(BP16:BP63))+1,_xlpm.f,INDEX(BS16:BS63,_xlpm.p),_xlpm.u,INDEX(BT16:BT63,_xlpm.p),_xlpm.s,INDEX(BV16:BV63,_xlpm.p),_xlpm.q,N(BA254)/_xlpm.f,IF(_xlpm.q&gt;=_xlpm.s,ROUND(_xlpm.q,1)&amp;" "&amp;_xlpm.ai_test&amp;" = "&amp;ROUND(_xlpm.q*_xlpm.f,1)&amp;" "&amp;_xlpm.u,ROUND(_xlpm.q,1)&amp;" "&amp;_xlpm.ai_test)),""),""))))</f>
        <v>0</v>
      </c>
      <c r="BD254" s="801"/>
      <c r="BE254" s="799" t="str">
        <f t="shared" si="108"/>
        <v/>
      </c>
      <c r="BF254" s="800" t="str">
        <f t="shared" si="109"/>
        <v/>
      </c>
      <c r="BG254" s="802">
        <f t="shared" si="112"/>
        <v>0</v>
      </c>
      <c r="BH254" s="803" t="str">
        <f t="shared" si="113"/>
        <v/>
      </c>
      <c r="BI254" s="792"/>
      <c r="BJ254" s="804">
        <f t="shared" si="111"/>
        <v>0</v>
      </c>
      <c r="BK254" s="794" t="str">
        <f t="shared" si="110"/>
        <v/>
      </c>
      <c r="BL254" s="227" t="s">
        <v>21</v>
      </c>
      <c r="BM254" s="773">
        <f t="shared" si="99"/>
        <v>0</v>
      </c>
      <c r="BN254" s="774">
        <f t="shared" si="100"/>
        <v>0</v>
      </c>
      <c r="BO254"/>
      <c r="BX254"/>
      <c r="BY254"/>
      <c r="BZ254"/>
      <c r="CA254"/>
      <c r="CB254"/>
      <c r="CC254"/>
      <c r="CD254" s="781" t="str">
        <f t="shared" si="93"/>
        <v>►</v>
      </c>
      <c r="CE254"/>
      <c r="CF254"/>
      <c r="CG254"/>
      <c r="CH254"/>
      <c r="CI254"/>
      <c r="CJ254" s="633"/>
      <c r="CK254"/>
      <c r="CL254"/>
      <c r="CM254"/>
      <c r="CN254"/>
      <c r="CO254"/>
      <c r="CP254"/>
      <c r="CQ254"/>
      <c r="CS254"/>
      <c r="CT254"/>
      <c r="CU254"/>
      <c r="CV254"/>
      <c r="CW254"/>
      <c r="CX254"/>
      <c r="CY254"/>
      <c r="DA254"/>
      <c r="DB254"/>
      <c r="DC254"/>
      <c r="DD254"/>
      <c r="DE254"/>
      <c r="DF254"/>
      <c r="DG254"/>
      <c r="DI254" s="3">
        <v>1</v>
      </c>
    </row>
    <row r="255" spans="1:113" s="627" customFormat="1" ht="21" customHeight="1">
      <c r="A255" s="701" t="s">
        <v>21</v>
      </c>
      <c r="B255" s="2265" t="str" cm="1">
        <f t="array" ref="B255">SUMPRODUCT(--(D255:J255&lt;&gt;""), LEN(TRIM(SUBSTITUTE(D255:J255, CHAR(160), "")))) &amp; " Car."</f>
        <v>0 Car.</v>
      </c>
      <c r="C255" s="1376" t="str">
        <f>IF(ISBLANK(D255),"",LARGE(C13:C254,1)+1)</f>
        <v/>
      </c>
      <c r="D255" s="1833"/>
      <c r="E255" s="1810"/>
      <c r="F255" s="1810"/>
      <c r="G255" s="1810"/>
      <c r="H255" s="1810"/>
      <c r="I255" s="1810"/>
      <c r="J255" s="1810"/>
      <c r="K255" s="1810"/>
      <c r="L255" s="1811"/>
      <c r="M255" s="9"/>
      <c r="N255" s="25" t="str">
        <f t="shared" si="95"/>
        <v>►</v>
      </c>
      <c r="O255" s="1616"/>
      <c r="P255" s="9"/>
      <c r="Q255" s="25" t="s">
        <v>15</v>
      </c>
      <c r="R255" s="31"/>
      <c r="S255" s="32"/>
      <c r="T255" s="31"/>
      <c r="U255" s="33"/>
      <c r="V255" s="1967"/>
      <c r="W255" s="1805"/>
      <c r="X255" s="91"/>
      <c r="Y255" s="1806"/>
      <c r="Z255" s="1968"/>
      <c r="AA255" s="2244"/>
      <c r="AB255" s="1969"/>
      <c r="AC255" s="1365"/>
      <c r="AD255" s="95"/>
      <c r="AE255" s="1326"/>
      <c r="AF255" s="97"/>
      <c r="AG255" s="1737"/>
      <c r="AH255" s="1970"/>
      <c r="AI255" s="99"/>
      <c r="AJ255" s="1809"/>
      <c r="AK255" s="6120" t="str">
        <f t="shared" si="96"/>
        <v>►</v>
      </c>
      <c r="AL255" s="781" t="str">
        <f t="shared" si="98"/>
        <v>►</v>
      </c>
      <c r="AM255" s="5499" t="str">
        <f t="shared" si="101"/>
        <v/>
      </c>
      <c r="AN255" s="783" t="str">
        <f t="shared" si="102"/>
        <v/>
      </c>
      <c r="AO255" s="782" t="str">
        <f t="shared" si="103"/>
        <v/>
      </c>
      <c r="AP255" s="783" t="str">
        <f t="shared" si="104"/>
        <v/>
      </c>
      <c r="AQ255" s="2083" t="b">
        <f>AND(Q255="A",COUNTIF(BP16:BR63,TRIM(Z255))&gt;0)</f>
        <v>0</v>
      </c>
      <c r="AR255" s="797" t="str">
        <f>IF(AL255&lt;&gt;"A","",IFERROR(IFERROR(_xlfn.XLOOKUP(TRIM(SUBSTITUTE(Z255,CHAR(160)," ")),BP16:BP63,BS16:BS63),IFERROR(_xlfn.XLOOKUP(TRIM(SUBSTITUTE(Z255,CHAR(160)," ")),BQ16:BQ63,BS16:BS63),_xlfn.XLOOKUP(TRIM(SUBSTITUTE(Z255,CHAR(160)," ")),BR16:BR63,BS16:BS63)))*Y255*IF(ISBLANK(V255),1,V255),0))</f>
        <v/>
      </c>
      <c r="AS255" s="784" t="str">
        <f t="shared" si="94"/>
        <v/>
      </c>
      <c r="AT255" s="1315" t="str">
        <f t="shared" si="105"/>
        <v/>
      </c>
      <c r="AU255" s="785">
        <f t="shared" si="106"/>
        <v>0</v>
      </c>
      <c r="AV255" s="785">
        <f t="shared" si="107"/>
        <v>0</v>
      </c>
      <c r="AW255" s="786">
        <f>IF(AK255="A",AY10,0)</f>
        <v>0</v>
      </c>
      <c r="AX255" s="5495" t="str">
        <f>IF(IFERROR(SEARCH("Adresse PC",TRIM(W255)),0)&gt;0,"▼ receta siguiente",IF(AK255="A",IF(AZ10&lt;&gt;"",AZ10&amp;" - ou.or.o ❾ + or - &gt;",""),""))</f>
        <v/>
      </c>
      <c r="AY255" s="810"/>
      <c r="AZ255" s="810"/>
      <c r="BA255" s="788" t="str">
        <f t="shared" si="97"/>
        <v/>
      </c>
      <c r="BB255" s="789" t="str">
        <f>IF(AK255="A",IF(AQ255,IF(AND(AW255&lt;&gt;"",N(AW255)&gt;0),IFERROR(IFERROR(_xlfn.XLOOKUP(AP255,BP10:BP57,BT10:BT57),IFERROR(_xlfn.XLOOKUP(AP255,BQ10:BQ57,BT10:BT57),_xlfn.XLOOKUP(AP255,BR10:BR57,BT10:BT57,""))),""),""),""),"")</f>
        <v/>
      </c>
      <c r="BC255" s="811" cm="1">
        <f t="array" ref="BC255">IF(NOT(AQ255),0,IF(OR(BA255="",N(BA255)&lt;=0.000000001),"",IF(OR(AU255="",N(AU255)&lt;=0.000000001),0,IF(ISNUMBER(BA255),IFERROR(_xlfn.LET(_xlpm.ai_test,TRIM(AP255),_xlpm.r,IFERROR(_xlfn.XLOOKUP(_xlpm.ai_test,BP16:BP63,ROW(BP16:BP63),0,1),IFERROR(_xlfn.XLOOKUP(_xlpm.ai_test,BQ16:BQ63,ROW(BQ16:BQ63),0,1),_xlfn.XLOOKUP(_xlpm.ai_test,BR16:BR63,ROW(BR16:BR63),0,1))),_xlpm.p,_xlpm.r-MIN(ROW(BP16:BP63))+1,_xlpm.f,INDEX(BS16:BS63,_xlpm.p),_xlpm.u,INDEX(BT16:BT63,_xlpm.p),_xlpm.s,INDEX(BV16:BV63,_xlpm.p),_xlpm.q,N(BA255)/_xlpm.f,IF(_xlpm.q&gt;=_xlpm.s,ROUND(_xlpm.q,1)&amp;" "&amp;_xlpm.ai_test&amp;" = "&amp;ROUND(_xlpm.q*_xlpm.f,1)&amp;" "&amp;_xlpm.u,ROUND(_xlpm.q,1)&amp;" "&amp;_xlpm.ai_test)),""),""))))</f>
        <v>0</v>
      </c>
      <c r="BD255" s="801"/>
      <c r="BE255" s="788" t="str">
        <f t="shared" si="108"/>
        <v/>
      </c>
      <c r="BF255" s="789" t="str">
        <f t="shared" si="109"/>
        <v/>
      </c>
      <c r="BG255" s="790">
        <f t="shared" si="112"/>
        <v>0</v>
      </c>
      <c r="BH255" s="791" t="str">
        <f t="shared" si="113"/>
        <v/>
      </c>
      <c r="BI255" s="792"/>
      <c r="BJ255" s="793">
        <f t="shared" si="111"/>
        <v>0</v>
      </c>
      <c r="BK255" s="794" t="str">
        <f t="shared" si="110"/>
        <v/>
      </c>
      <c r="BL255" s="227" t="s">
        <v>21</v>
      </c>
      <c r="BM255" s="773">
        <f t="shared" si="99"/>
        <v>0</v>
      </c>
      <c r="BN255" s="774">
        <f t="shared" si="100"/>
        <v>0</v>
      </c>
      <c r="BO255"/>
      <c r="BX255"/>
      <c r="BY255"/>
      <c r="BZ255"/>
      <c r="CA255"/>
      <c r="CB255"/>
      <c r="CC255"/>
      <c r="CD255" s="781" t="str">
        <f t="shared" si="93"/>
        <v>►</v>
      </c>
      <c r="CE255"/>
      <c r="CF255"/>
      <c r="CG255"/>
      <c r="CH255"/>
      <c r="CI255"/>
      <c r="CJ255" s="633"/>
      <c r="CK255"/>
      <c r="CL255"/>
      <c r="CM255"/>
      <c r="CN255"/>
      <c r="CO255"/>
      <c r="CP255"/>
      <c r="CQ255"/>
      <c r="CS255"/>
      <c r="CT255"/>
      <c r="CU255"/>
      <c r="CV255"/>
      <c r="CW255"/>
      <c r="CX255"/>
      <c r="CY255"/>
      <c r="DA255"/>
      <c r="DB255"/>
      <c r="DC255"/>
      <c r="DD255"/>
      <c r="DE255"/>
      <c r="DF255"/>
      <c r="DG255"/>
      <c r="DI255" s="3">
        <v>1</v>
      </c>
    </row>
    <row r="256" spans="1:113" s="627" customFormat="1" ht="21" customHeight="1">
      <c r="A256" s="701" t="s">
        <v>21</v>
      </c>
      <c r="B256" s="2265" t="str" cm="1">
        <f t="array" ref="B256">SUMPRODUCT(--(D256:J256&lt;&gt;""), LEN(TRIM(SUBSTITUTE(D256:J256, CHAR(160), "")))) &amp; " Car."</f>
        <v>0 Car.</v>
      </c>
      <c r="C256" s="1376" t="str">
        <f>IF(ISBLANK(D256),"",LARGE(C13:C255,1)+1)</f>
        <v/>
      </c>
      <c r="D256" s="1833"/>
      <c r="E256" s="1810"/>
      <c r="F256" s="1810"/>
      <c r="G256" s="1810"/>
      <c r="H256" s="1810"/>
      <c r="I256" s="1810"/>
      <c r="J256" s="1810"/>
      <c r="K256" s="1810"/>
      <c r="L256" s="1811"/>
      <c r="M256" s="9"/>
      <c r="N256" s="162" t="str">
        <f t="shared" si="95"/>
        <v>►</v>
      </c>
      <c r="O256" s="1616"/>
      <c r="P256" s="9"/>
      <c r="Q256" s="25" t="s">
        <v>15</v>
      </c>
      <c r="R256" s="31"/>
      <c r="S256" s="32"/>
      <c r="T256" s="31"/>
      <c r="U256" s="33"/>
      <c r="V256" s="1967"/>
      <c r="W256" s="1805"/>
      <c r="X256" s="91"/>
      <c r="Y256" s="1806"/>
      <c r="Z256" s="1968"/>
      <c r="AA256" s="2244"/>
      <c r="AB256" s="1969"/>
      <c r="AC256" s="1365"/>
      <c r="AD256" s="95"/>
      <c r="AE256" s="1326"/>
      <c r="AF256" s="97"/>
      <c r="AG256" s="1737"/>
      <c r="AH256" s="1970"/>
      <c r="AI256" s="99"/>
      <c r="AJ256" s="1809"/>
      <c r="AK256" s="6120" t="str">
        <f t="shared" si="96"/>
        <v>►</v>
      </c>
      <c r="AL256" s="781" t="str">
        <f t="shared" si="98"/>
        <v>►</v>
      </c>
      <c r="AM256" s="5498" t="str">
        <f t="shared" si="101"/>
        <v/>
      </c>
      <c r="AN256" s="783" t="str">
        <f t="shared" si="102"/>
        <v/>
      </c>
      <c r="AO256" s="782" t="str">
        <f t="shared" si="103"/>
        <v/>
      </c>
      <c r="AP256" s="783" t="str">
        <f t="shared" si="104"/>
        <v/>
      </c>
      <c r="AQ256" s="2083" t="b">
        <f>AND(Q256="A",COUNTIF(BP16:BR63,TRIM(Z256))&gt;0)</f>
        <v>0</v>
      </c>
      <c r="AR256" s="797" t="str">
        <f>IF(AL256&lt;&gt;"A","",IFERROR(IFERROR(_xlfn.XLOOKUP(TRIM(SUBSTITUTE(Z256,CHAR(160)," ")),BP16:BP63,BS16:BS63),IFERROR(_xlfn.XLOOKUP(TRIM(SUBSTITUTE(Z256,CHAR(160)," ")),BQ16:BQ63,BS16:BS63),_xlfn.XLOOKUP(TRIM(SUBSTITUTE(Z256,CHAR(160)," ")),BR16:BR63,BS16:BS63)))*Y256*IF(ISBLANK(V256),1,V256),0))</f>
        <v/>
      </c>
      <c r="AS256" s="784" t="str">
        <f t="shared" si="94"/>
        <v/>
      </c>
      <c r="AT256" s="1315" t="str">
        <f t="shared" si="105"/>
        <v/>
      </c>
      <c r="AU256" s="785">
        <f t="shared" si="106"/>
        <v>0</v>
      </c>
      <c r="AV256" s="785">
        <f t="shared" si="107"/>
        <v>0</v>
      </c>
      <c r="AW256" s="798">
        <f>IF(AK256="A",AY10,0)</f>
        <v>0</v>
      </c>
      <c r="AX256" s="5496" t="str">
        <f>IF(IFERROR(SEARCH("Adresse PC",TRIM(W256)),0)&gt;0,"▼ receta siguiente",IF(AK256="A",IF(AZ10&lt;&gt;"",AZ10&amp;" - ou.or.o ❾ + or - &gt;",""),""))</f>
        <v/>
      </c>
      <c r="AY256" s="810"/>
      <c r="AZ256" s="810"/>
      <c r="BA256" s="799" t="str">
        <f t="shared" si="97"/>
        <v/>
      </c>
      <c r="BB256" s="800" t="str">
        <f>IF(AK256="A",IF(AQ256,IF(AND(AW256&lt;&gt;"",N(AW256)&gt;0),IFERROR(IFERROR(_xlfn.XLOOKUP(AP256,BP10:BP57,BT10:BT57),IFERROR(_xlfn.XLOOKUP(AP256,BQ10:BQ57,BT10:BT57),_xlfn.XLOOKUP(AP256,BR10:BR57,BT10:BT57,""))),""),""),""),"")</f>
        <v/>
      </c>
      <c r="BC256" s="813" cm="1">
        <f t="array" ref="BC256">IF(NOT(AQ256),0,IF(OR(BA256="",N(BA256)&lt;=0.000000001),"",IF(OR(AU256="",N(AU256)&lt;=0.000000001),0,IF(ISNUMBER(BA256),IFERROR(_xlfn.LET(_xlpm.ai_test,TRIM(AP256),_xlpm.r,IFERROR(_xlfn.XLOOKUP(_xlpm.ai_test,BP16:BP63,ROW(BP16:BP63),0,1),IFERROR(_xlfn.XLOOKUP(_xlpm.ai_test,BQ16:BQ63,ROW(BQ16:BQ63),0,1),_xlfn.XLOOKUP(_xlpm.ai_test,BR16:BR63,ROW(BR16:BR63),0,1))),_xlpm.p,_xlpm.r-MIN(ROW(BP16:BP63))+1,_xlpm.f,INDEX(BS16:BS63,_xlpm.p),_xlpm.u,INDEX(BT16:BT63,_xlpm.p),_xlpm.s,INDEX(BV16:BV63,_xlpm.p),_xlpm.q,N(BA256)/_xlpm.f,IF(_xlpm.q&gt;=_xlpm.s,ROUND(_xlpm.q,1)&amp;" "&amp;_xlpm.ai_test&amp;" = "&amp;ROUND(_xlpm.q*_xlpm.f,1)&amp;" "&amp;_xlpm.u,ROUND(_xlpm.q,1)&amp;" "&amp;_xlpm.ai_test)),""),""))))</f>
        <v>0</v>
      </c>
      <c r="BD256" s="801"/>
      <c r="BE256" s="799" t="str">
        <f t="shared" si="108"/>
        <v/>
      </c>
      <c r="BF256" s="800" t="str">
        <f t="shared" si="109"/>
        <v/>
      </c>
      <c r="BG256" s="802">
        <f t="shared" si="112"/>
        <v>0</v>
      </c>
      <c r="BH256" s="803" t="str">
        <f t="shared" si="113"/>
        <v/>
      </c>
      <c r="BI256" s="792"/>
      <c r="BJ256" s="804">
        <f t="shared" si="111"/>
        <v>0</v>
      </c>
      <c r="BK256" s="794" t="str">
        <f t="shared" si="110"/>
        <v/>
      </c>
      <c r="BL256" s="227" t="s">
        <v>21</v>
      </c>
      <c r="BM256" s="773">
        <f t="shared" si="99"/>
        <v>0</v>
      </c>
      <c r="BN256" s="774">
        <f t="shared" si="100"/>
        <v>0</v>
      </c>
      <c r="BO256"/>
      <c r="BX256"/>
      <c r="BY256"/>
      <c r="BZ256"/>
      <c r="CA256"/>
      <c r="CB256"/>
      <c r="CC256"/>
      <c r="CD256" s="781" t="str">
        <f t="shared" si="93"/>
        <v>►</v>
      </c>
      <c r="CE256"/>
      <c r="CF256"/>
      <c r="CG256"/>
      <c r="CH256"/>
      <c r="CI256"/>
      <c r="CJ256" s="633"/>
      <c r="CK256"/>
      <c r="CL256"/>
      <c r="CM256"/>
      <c r="CN256"/>
      <c r="CO256"/>
      <c r="CP256"/>
      <c r="CQ256"/>
      <c r="CS256"/>
      <c r="CT256"/>
      <c r="CU256"/>
      <c r="CV256"/>
      <c r="CW256"/>
      <c r="CX256"/>
      <c r="CY256"/>
      <c r="DA256"/>
      <c r="DB256"/>
      <c r="DC256"/>
      <c r="DD256"/>
      <c r="DE256"/>
      <c r="DF256"/>
      <c r="DG256"/>
      <c r="DI256" s="3">
        <v>1</v>
      </c>
    </row>
    <row r="257" spans="1:115" s="627" customFormat="1" ht="21" customHeight="1">
      <c r="A257" s="701" t="s">
        <v>21</v>
      </c>
      <c r="B257" s="2265" t="str" cm="1">
        <f t="array" ref="B257">SUMPRODUCT(--(D257:J257&lt;&gt;""), LEN(TRIM(SUBSTITUTE(D257:J257, CHAR(160), "")))) &amp; " Car."</f>
        <v>0 Car.</v>
      </c>
      <c r="C257" s="1376" t="str">
        <f>IF(ISBLANK(D257),"",LARGE(C13:C256,1)+1)</f>
        <v/>
      </c>
      <c r="D257" s="1833"/>
      <c r="E257" s="1810"/>
      <c r="F257" s="1810"/>
      <c r="G257" s="1810"/>
      <c r="H257" s="1810"/>
      <c r="I257" s="1810"/>
      <c r="J257" s="1810"/>
      <c r="K257" s="1810"/>
      <c r="L257" s="1811"/>
      <c r="M257" s="9"/>
      <c r="N257" s="162" t="str">
        <f t="shared" si="95"/>
        <v>►</v>
      </c>
      <c r="O257" s="1616"/>
      <c r="P257" s="9"/>
      <c r="Q257" s="25" t="s">
        <v>15</v>
      </c>
      <c r="R257" s="31"/>
      <c r="S257" s="32"/>
      <c r="T257" s="31"/>
      <c r="U257" s="33"/>
      <c r="V257" s="1967"/>
      <c r="W257" s="1805"/>
      <c r="X257" s="91"/>
      <c r="Y257" s="1806"/>
      <c r="Z257" s="1968"/>
      <c r="AA257" s="2244"/>
      <c r="AB257" s="1969"/>
      <c r="AC257" s="1365"/>
      <c r="AD257" s="95"/>
      <c r="AE257" s="1326"/>
      <c r="AF257" s="97"/>
      <c r="AG257" s="1737"/>
      <c r="AH257" s="1970"/>
      <c r="AI257" s="99"/>
      <c r="AJ257" s="1809"/>
      <c r="AK257" s="6120" t="str">
        <f t="shared" si="96"/>
        <v>►</v>
      </c>
      <c r="AL257" s="781" t="str">
        <f t="shared" si="98"/>
        <v>►</v>
      </c>
      <c r="AM257" s="5499" t="str">
        <f t="shared" si="101"/>
        <v/>
      </c>
      <c r="AN257" s="783" t="str">
        <f t="shared" si="102"/>
        <v/>
      </c>
      <c r="AO257" s="782" t="str">
        <f t="shared" si="103"/>
        <v/>
      </c>
      <c r="AP257" s="783" t="str">
        <f t="shared" si="104"/>
        <v/>
      </c>
      <c r="AQ257" s="2083" t="b">
        <f>AND(Q257="A",COUNTIF(BP16:BR63,TRIM(Z257))&gt;0)</f>
        <v>0</v>
      </c>
      <c r="AR257" s="797" t="str">
        <f>IF(AL257&lt;&gt;"A","",IFERROR(IFERROR(_xlfn.XLOOKUP(TRIM(SUBSTITUTE(Z257,CHAR(160)," ")),BP16:BP63,BS16:BS63),IFERROR(_xlfn.XLOOKUP(TRIM(SUBSTITUTE(Z257,CHAR(160)," ")),BQ16:BQ63,BS16:BS63),_xlfn.XLOOKUP(TRIM(SUBSTITUTE(Z257,CHAR(160)," ")),BR16:BR63,BS16:BS63)))*Y257*IF(ISBLANK(V257),1,V257),0))</f>
        <v/>
      </c>
      <c r="AS257" s="784" t="str">
        <f t="shared" si="94"/>
        <v/>
      </c>
      <c r="AT257" s="1315" t="str">
        <f t="shared" si="105"/>
        <v/>
      </c>
      <c r="AU257" s="785">
        <f t="shared" si="106"/>
        <v>0</v>
      </c>
      <c r="AV257" s="785">
        <f t="shared" si="107"/>
        <v>0</v>
      </c>
      <c r="AW257" s="786">
        <f>IF(AK257="A",AY10,0)</f>
        <v>0</v>
      </c>
      <c r="AX257" s="5495" t="str">
        <f>IF(IFERROR(SEARCH("Adresse PC",TRIM(W257)),0)&gt;0,"▼ receta siguiente",IF(AK257="A",IF(AZ10&lt;&gt;"",AZ10&amp;" - ou.or.o ❾ + or - &gt;",""),""))</f>
        <v/>
      </c>
      <c r="AY257" s="810"/>
      <c r="AZ257" s="810"/>
      <c r="BA257" s="788" t="str">
        <f t="shared" si="97"/>
        <v/>
      </c>
      <c r="BB257" s="789" t="str">
        <f>IF(AK257="A",IF(AQ257,IF(AND(AW257&lt;&gt;"",N(AW257)&gt;0),IFERROR(IFERROR(_xlfn.XLOOKUP(AP257,BP10:BP57,BT10:BT57),IFERROR(_xlfn.XLOOKUP(AP257,BQ10:BQ57,BT10:BT57),_xlfn.XLOOKUP(AP257,BR10:BR57,BT10:BT57,""))),""),""),""),"")</f>
        <v/>
      </c>
      <c r="BC257" s="811" cm="1">
        <f t="array" ref="BC257">IF(NOT(AQ257),0,IF(OR(BA257="",N(BA257)&lt;=0.000000001),"",IF(OR(AU257="",N(AU257)&lt;=0.000000001),0,IF(ISNUMBER(BA257),IFERROR(_xlfn.LET(_xlpm.ai_test,TRIM(AP257),_xlpm.r,IFERROR(_xlfn.XLOOKUP(_xlpm.ai_test,BP16:BP63,ROW(BP16:BP63),0,1),IFERROR(_xlfn.XLOOKUP(_xlpm.ai_test,BQ16:BQ63,ROW(BQ16:BQ63),0,1),_xlfn.XLOOKUP(_xlpm.ai_test,BR16:BR63,ROW(BR16:BR63),0,1))),_xlpm.p,_xlpm.r-MIN(ROW(BP16:BP63))+1,_xlpm.f,INDEX(BS16:BS63,_xlpm.p),_xlpm.u,INDEX(BT16:BT63,_xlpm.p),_xlpm.s,INDEX(BV16:BV63,_xlpm.p),_xlpm.q,N(BA257)/_xlpm.f,IF(_xlpm.q&gt;=_xlpm.s,ROUND(_xlpm.q,1)&amp;" "&amp;_xlpm.ai_test&amp;" = "&amp;ROUND(_xlpm.q*_xlpm.f,1)&amp;" "&amp;_xlpm.u,ROUND(_xlpm.q,1)&amp;" "&amp;_xlpm.ai_test)),""),""))))</f>
        <v>0</v>
      </c>
      <c r="BD257" s="801"/>
      <c r="BE257" s="788" t="str">
        <f t="shared" si="108"/>
        <v/>
      </c>
      <c r="BF257" s="789" t="str">
        <f t="shared" si="109"/>
        <v/>
      </c>
      <c r="BG257" s="790">
        <f t="shared" si="112"/>
        <v>0</v>
      </c>
      <c r="BH257" s="791" t="str">
        <f t="shared" si="113"/>
        <v/>
      </c>
      <c r="BI257" s="792"/>
      <c r="BJ257" s="793">
        <f t="shared" si="111"/>
        <v>0</v>
      </c>
      <c r="BK257" s="794" t="str">
        <f t="shared" si="110"/>
        <v/>
      </c>
      <c r="BL257" s="227" t="s">
        <v>21</v>
      </c>
      <c r="BM257" s="773">
        <f t="shared" si="99"/>
        <v>0</v>
      </c>
      <c r="BN257" s="774">
        <f t="shared" si="100"/>
        <v>0</v>
      </c>
      <c r="BO257"/>
      <c r="BX257"/>
      <c r="BY257"/>
      <c r="BZ257"/>
      <c r="CA257"/>
      <c r="CB257"/>
      <c r="CC257"/>
      <c r="CD257" s="781" t="str">
        <f t="shared" si="93"/>
        <v>►</v>
      </c>
      <c r="CE257"/>
      <c r="CF257"/>
      <c r="CG257"/>
      <c r="CH257"/>
      <c r="CI257"/>
      <c r="CJ257" s="633"/>
      <c r="CK257"/>
      <c r="CL257"/>
      <c r="CM257"/>
      <c r="CN257"/>
      <c r="CO257"/>
      <c r="CP257"/>
      <c r="CQ257"/>
      <c r="CS257"/>
      <c r="CT257"/>
      <c r="CU257"/>
      <c r="CV257"/>
      <c r="CW257"/>
      <c r="CX257"/>
      <c r="CY257"/>
      <c r="DA257"/>
      <c r="DB257"/>
      <c r="DC257"/>
      <c r="DD257"/>
      <c r="DE257"/>
      <c r="DF257"/>
      <c r="DG257"/>
      <c r="DI257" s="3">
        <v>1</v>
      </c>
    </row>
    <row r="258" spans="1:115" ht="21" customHeight="1">
      <c r="A258" s="701" t="s">
        <v>21</v>
      </c>
      <c r="B258" s="2265" t="str" cm="1">
        <f t="array" ref="B258">SUMPRODUCT(--(D258:J258&lt;&gt;""), LEN(TRIM(SUBSTITUTE(D258:J258, CHAR(160), "")))) &amp; " Car."</f>
        <v>0 Car.</v>
      </c>
      <c r="C258" s="1376" t="str">
        <f>IF(ISBLANK(D258),"",LARGE(C13:C257,1)+1)</f>
        <v/>
      </c>
      <c r="D258" s="1833"/>
      <c r="E258" s="1810"/>
      <c r="F258" s="1810"/>
      <c r="G258" s="1810"/>
      <c r="H258" s="1810"/>
      <c r="I258" s="1810"/>
      <c r="J258" s="1810"/>
      <c r="K258" s="1810"/>
      <c r="L258" s="1811"/>
      <c r="M258" s="9"/>
      <c r="N258" s="162" t="str">
        <f t="shared" si="95"/>
        <v>►</v>
      </c>
      <c r="O258" s="1616"/>
      <c r="P258" s="9"/>
      <c r="Q258" s="25" t="s">
        <v>15</v>
      </c>
      <c r="R258" s="31"/>
      <c r="S258" s="32"/>
      <c r="T258" s="31"/>
      <c r="U258" s="33"/>
      <c r="V258" s="1967"/>
      <c r="W258" s="1805"/>
      <c r="X258" s="91"/>
      <c r="Y258" s="1806"/>
      <c r="Z258" s="1968"/>
      <c r="AA258" s="2244"/>
      <c r="AB258" s="1969"/>
      <c r="AC258" s="1365"/>
      <c r="AD258" s="95"/>
      <c r="AE258" s="1326"/>
      <c r="AF258" s="97"/>
      <c r="AG258" s="1737"/>
      <c r="AH258" s="1970"/>
      <c r="AI258" s="99"/>
      <c r="AJ258" s="1809"/>
      <c r="AK258" s="6120" t="str">
        <f t="shared" si="96"/>
        <v>►</v>
      </c>
      <c r="AL258" s="781" t="str">
        <f t="shared" si="98"/>
        <v>►</v>
      </c>
      <c r="AM258" s="5498" t="str">
        <f t="shared" si="101"/>
        <v/>
      </c>
      <c r="AN258" s="783" t="str">
        <f t="shared" si="102"/>
        <v/>
      </c>
      <c r="AO258" s="782" t="str">
        <f t="shared" si="103"/>
        <v/>
      </c>
      <c r="AP258" s="783" t="str">
        <f t="shared" si="104"/>
        <v/>
      </c>
      <c r="AQ258" s="2083" t="b">
        <f>AND(Q258="A",COUNTIF(BP16:BR63,TRIM(Z258))&gt;0)</f>
        <v>0</v>
      </c>
      <c r="AR258" s="797" t="str">
        <f>IF(AL258&lt;&gt;"A","",IFERROR(IFERROR(_xlfn.XLOOKUP(TRIM(SUBSTITUTE(Z258,CHAR(160)," ")),BP16:BP63,BS16:BS63),IFERROR(_xlfn.XLOOKUP(TRIM(SUBSTITUTE(Z258,CHAR(160)," ")),BQ16:BQ63,BS16:BS63),_xlfn.XLOOKUP(TRIM(SUBSTITUTE(Z258,CHAR(160)," ")),BR16:BR63,BS16:BS63)))*Y258*IF(ISBLANK(V258),1,V258),0))</f>
        <v/>
      </c>
      <c r="AS258" s="784" t="str">
        <f t="shared" si="94"/>
        <v/>
      </c>
      <c r="AT258" s="1315" t="str">
        <f t="shared" si="105"/>
        <v/>
      </c>
      <c r="AU258" s="785">
        <f t="shared" si="106"/>
        <v>0</v>
      </c>
      <c r="AV258" s="785">
        <f t="shared" si="107"/>
        <v>0</v>
      </c>
      <c r="AW258" s="798">
        <f>IF(AK258="A",AY10,0)</f>
        <v>0</v>
      </c>
      <c r="AX258" s="5496" t="str">
        <f>IF(IFERROR(SEARCH("Adresse PC",TRIM(W258)),0)&gt;0,"▼ receta siguiente",IF(AK258="A",IF(AZ10&lt;&gt;"",AZ10&amp;" - ou.or.o ❾ + or - &gt;",""),""))</f>
        <v/>
      </c>
      <c r="AY258" s="810"/>
      <c r="AZ258" s="810"/>
      <c r="BA258" s="799" t="str">
        <f t="shared" si="97"/>
        <v/>
      </c>
      <c r="BB258" s="800" t="str">
        <f>IF(AK258="A",IF(AQ258,IF(AND(AW258&lt;&gt;"",N(AW258)&gt;0),IFERROR(IFERROR(_xlfn.XLOOKUP(AP258,BP10:BP57,BT10:BT57),IFERROR(_xlfn.XLOOKUP(AP258,BQ10:BQ57,BT10:BT57),_xlfn.XLOOKUP(AP258,BR10:BR57,BT10:BT57,""))),""),""),""),"")</f>
        <v/>
      </c>
      <c r="BC258" s="813" cm="1">
        <f t="array" ref="BC258">IF(NOT(AQ258),0,IF(OR(BA258="",N(BA258)&lt;=0.000000001),"",IF(OR(AU258="",N(AU258)&lt;=0.000000001),0,IF(ISNUMBER(BA258),IFERROR(_xlfn.LET(_xlpm.ai_test,TRIM(AP258),_xlpm.r,IFERROR(_xlfn.XLOOKUP(_xlpm.ai_test,BP16:BP63,ROW(BP16:BP63),0,1),IFERROR(_xlfn.XLOOKUP(_xlpm.ai_test,BQ16:BQ63,ROW(BQ16:BQ63),0,1),_xlfn.XLOOKUP(_xlpm.ai_test,BR16:BR63,ROW(BR16:BR63),0,1))),_xlpm.p,_xlpm.r-MIN(ROW(BP16:BP63))+1,_xlpm.f,INDEX(BS16:BS63,_xlpm.p),_xlpm.u,INDEX(BT16:BT63,_xlpm.p),_xlpm.s,INDEX(BV16:BV63,_xlpm.p),_xlpm.q,N(BA258)/_xlpm.f,IF(_xlpm.q&gt;=_xlpm.s,ROUND(_xlpm.q,1)&amp;" "&amp;_xlpm.ai_test&amp;" = "&amp;ROUND(_xlpm.q*_xlpm.f,1)&amp;" "&amp;_xlpm.u,ROUND(_xlpm.q,1)&amp;" "&amp;_xlpm.ai_test)),""),""))))</f>
        <v>0</v>
      </c>
      <c r="BD258" s="801"/>
      <c r="BE258" s="799" t="str">
        <f t="shared" si="108"/>
        <v/>
      </c>
      <c r="BF258" s="800" t="str">
        <f t="shared" si="109"/>
        <v/>
      </c>
      <c r="BG258" s="802">
        <f t="shared" si="112"/>
        <v>0</v>
      </c>
      <c r="BH258" s="803" t="str">
        <f t="shared" si="113"/>
        <v/>
      </c>
      <c r="BI258" s="792"/>
      <c r="BJ258" s="804">
        <f t="shared" si="111"/>
        <v>0</v>
      </c>
      <c r="BK258" s="794" t="str">
        <f t="shared" si="110"/>
        <v/>
      </c>
      <c r="BL258" s="227" t="s">
        <v>21</v>
      </c>
      <c r="BM258" s="773">
        <f t="shared" si="99"/>
        <v>0</v>
      </c>
      <c r="BN258" s="774">
        <f t="shared" si="100"/>
        <v>0</v>
      </c>
      <c r="BO258"/>
      <c r="BP258" s="627"/>
      <c r="BQ258" s="627"/>
      <c r="BR258" s="627"/>
      <c r="BS258" s="627"/>
      <c r="BT258" s="627"/>
      <c r="BU258" s="627"/>
      <c r="BV258" s="627"/>
      <c r="BW258" s="627"/>
      <c r="CD258" s="781" t="str">
        <f t="shared" si="93"/>
        <v>►</v>
      </c>
      <c r="CI258"/>
      <c r="CJ258" s="633"/>
      <c r="CR258" s="627"/>
      <c r="CZ258" s="627"/>
      <c r="DH258" s="627"/>
      <c r="DI258" s="3">
        <v>1</v>
      </c>
    </row>
    <row r="259" spans="1:115" ht="21" customHeight="1">
      <c r="A259" s="701" t="s">
        <v>21</v>
      </c>
      <c r="B259" s="2265" t="str" cm="1">
        <f t="array" ref="B259">SUMPRODUCT(--(D259:J259&lt;&gt;""), LEN(TRIM(SUBSTITUTE(D259:J259, CHAR(160), "")))) &amp; " Car."</f>
        <v>0 Car.</v>
      </c>
      <c r="C259" s="1376" t="str">
        <f>IF(ISBLANK(D259),"",LARGE(C13:C258,1)+1)</f>
        <v/>
      </c>
      <c r="D259" s="1833"/>
      <c r="E259" s="1810"/>
      <c r="F259" s="1810"/>
      <c r="G259" s="1810"/>
      <c r="H259" s="1810"/>
      <c r="I259" s="1810"/>
      <c r="J259" s="1810"/>
      <c r="K259" s="1810"/>
      <c r="L259" s="1811"/>
      <c r="M259" s="9"/>
      <c r="N259" s="162" t="str">
        <f t="shared" si="95"/>
        <v>►</v>
      </c>
      <c r="O259" s="1616"/>
      <c r="P259" s="9"/>
      <c r="Q259" s="25" t="s">
        <v>15</v>
      </c>
      <c r="R259" s="31"/>
      <c r="S259" s="32"/>
      <c r="T259" s="31"/>
      <c r="U259" s="33"/>
      <c r="V259" s="1967"/>
      <c r="W259" s="1805"/>
      <c r="X259" s="91"/>
      <c r="Y259" s="1806"/>
      <c r="Z259" s="1968"/>
      <c r="AA259" s="2244"/>
      <c r="AB259" s="1969"/>
      <c r="AC259" s="1365"/>
      <c r="AD259" s="95"/>
      <c r="AE259" s="1326"/>
      <c r="AF259" s="97"/>
      <c r="AG259" s="1737"/>
      <c r="AH259" s="1970"/>
      <c r="AI259" s="99"/>
      <c r="AJ259" s="1809"/>
      <c r="AK259" s="6120" t="str">
        <f t="shared" si="96"/>
        <v>►</v>
      </c>
      <c r="AL259" s="781" t="str">
        <f t="shared" si="98"/>
        <v>►</v>
      </c>
      <c r="AM259" s="5499" t="str">
        <f t="shared" si="101"/>
        <v/>
      </c>
      <c r="AN259" s="783" t="str">
        <f t="shared" si="102"/>
        <v/>
      </c>
      <c r="AO259" s="782" t="str">
        <f t="shared" si="103"/>
        <v/>
      </c>
      <c r="AP259" s="783" t="str">
        <f t="shared" si="104"/>
        <v/>
      </c>
      <c r="AQ259" s="2083" t="b">
        <f>AND(Q259="A",COUNTIF(BP16:BR63,TRIM(Z259))&gt;0)</f>
        <v>0</v>
      </c>
      <c r="AR259" s="797" t="str">
        <f>IF(AL259&lt;&gt;"A","",IFERROR(IFERROR(_xlfn.XLOOKUP(TRIM(SUBSTITUTE(Z259,CHAR(160)," ")),BP16:BP63,BS16:BS63),IFERROR(_xlfn.XLOOKUP(TRIM(SUBSTITUTE(Z259,CHAR(160)," ")),BQ16:BQ63,BS16:BS63),_xlfn.XLOOKUP(TRIM(SUBSTITUTE(Z259,CHAR(160)," ")),BR16:BR63,BS16:BS63)))*Y259*IF(ISBLANK(V259),1,V259),0))</f>
        <v/>
      </c>
      <c r="AS259" s="784" t="str">
        <f t="shared" si="94"/>
        <v/>
      </c>
      <c r="AT259" s="1315" t="str">
        <f t="shared" si="105"/>
        <v/>
      </c>
      <c r="AU259" s="785">
        <f t="shared" si="106"/>
        <v>0</v>
      </c>
      <c r="AV259" s="785">
        <f t="shared" si="107"/>
        <v>0</v>
      </c>
      <c r="AW259" s="786">
        <f>IF(AK259="A",AY10,0)</f>
        <v>0</v>
      </c>
      <c r="AX259" s="5495" t="str">
        <f>IF(IFERROR(SEARCH("Adresse PC",TRIM(W259)),0)&gt;0,"▼ receta siguiente",IF(AK259="A",IF(AZ10&lt;&gt;"",AZ10&amp;" - ou.or.o ❾ + or - &gt;",""),""))</f>
        <v/>
      </c>
      <c r="AY259" s="810"/>
      <c r="AZ259" s="810"/>
      <c r="BA259" s="788" t="str">
        <f t="shared" si="97"/>
        <v/>
      </c>
      <c r="BB259" s="789" t="str">
        <f>IF(AK259="A",IF(AQ259,IF(AND(AW259&lt;&gt;"",N(AW259)&gt;0),IFERROR(IFERROR(_xlfn.XLOOKUP(AP259,BP10:BP57,BT10:BT57),IFERROR(_xlfn.XLOOKUP(AP259,BQ10:BQ57,BT10:BT57),_xlfn.XLOOKUP(AP259,BR10:BR57,BT10:BT57,""))),""),""),""),"")</f>
        <v/>
      </c>
      <c r="BC259" s="811" cm="1">
        <f t="array" ref="BC259">IF(NOT(AQ259),0,IF(OR(BA259="",N(BA259)&lt;=0.000000001),"",IF(OR(AU259="",N(AU259)&lt;=0.000000001),0,IF(ISNUMBER(BA259),IFERROR(_xlfn.LET(_xlpm.ai_test,TRIM(AP259),_xlpm.r,IFERROR(_xlfn.XLOOKUP(_xlpm.ai_test,BP16:BP63,ROW(BP16:BP63),0,1),IFERROR(_xlfn.XLOOKUP(_xlpm.ai_test,BQ16:BQ63,ROW(BQ16:BQ63),0,1),_xlfn.XLOOKUP(_xlpm.ai_test,BR16:BR63,ROW(BR16:BR63),0,1))),_xlpm.p,_xlpm.r-MIN(ROW(BP16:BP63))+1,_xlpm.f,INDEX(BS16:BS63,_xlpm.p),_xlpm.u,INDEX(BT16:BT63,_xlpm.p),_xlpm.s,INDEX(BV16:BV63,_xlpm.p),_xlpm.q,N(BA259)/_xlpm.f,IF(_xlpm.q&gt;=_xlpm.s,ROUND(_xlpm.q,1)&amp;" "&amp;_xlpm.ai_test&amp;" = "&amp;ROUND(_xlpm.q*_xlpm.f,1)&amp;" "&amp;_xlpm.u,ROUND(_xlpm.q,1)&amp;" "&amp;_xlpm.ai_test)),""),""))))</f>
        <v>0</v>
      </c>
      <c r="BD259" s="801"/>
      <c r="BE259" s="788" t="str">
        <f t="shared" si="108"/>
        <v/>
      </c>
      <c r="BF259" s="789" t="str">
        <f t="shared" si="109"/>
        <v/>
      </c>
      <c r="BG259" s="790">
        <f t="shared" si="112"/>
        <v>0</v>
      </c>
      <c r="BH259" s="791" t="str">
        <f t="shared" si="113"/>
        <v/>
      </c>
      <c r="BI259" s="792"/>
      <c r="BJ259" s="793">
        <f t="shared" si="111"/>
        <v>0</v>
      </c>
      <c r="BK259" s="794" t="str">
        <f t="shared" si="110"/>
        <v/>
      </c>
      <c r="BL259" s="227" t="s">
        <v>21</v>
      </c>
      <c r="BM259" s="773">
        <f t="shared" si="99"/>
        <v>0</v>
      </c>
      <c r="BN259" s="774">
        <f t="shared" si="100"/>
        <v>0</v>
      </c>
      <c r="BO259"/>
      <c r="BP259" s="627"/>
      <c r="BQ259" s="627"/>
      <c r="BR259" s="627"/>
      <c r="BS259" s="627"/>
      <c r="BT259" s="627"/>
      <c r="BU259" s="627"/>
      <c r="BV259" s="627"/>
      <c r="BW259" s="627"/>
      <c r="CD259" s="781" t="str">
        <f t="shared" si="93"/>
        <v>►</v>
      </c>
      <c r="CI259"/>
      <c r="CJ259" s="633"/>
      <c r="CR259" s="627"/>
      <c r="CZ259" s="627"/>
      <c r="DH259" s="627"/>
      <c r="DI259" s="3">
        <v>1</v>
      </c>
    </row>
    <row r="260" spans="1:115" ht="21" customHeight="1">
      <c r="A260" s="701" t="s">
        <v>21</v>
      </c>
      <c r="B260" s="2265" t="str" cm="1">
        <f t="array" ref="B260">SUMPRODUCT(--(D260:J260&lt;&gt;""), LEN(TRIM(SUBSTITUTE(D260:J260, CHAR(160), "")))) &amp; " Car."</f>
        <v>0 Car.</v>
      </c>
      <c r="C260" s="1376" t="str">
        <f>IF(ISBLANK(D260),"",LARGE(C13:C259,1)+1)</f>
        <v/>
      </c>
      <c r="D260" s="1833"/>
      <c r="E260" s="1810"/>
      <c r="F260" s="1810"/>
      <c r="G260" s="1810"/>
      <c r="H260" s="1810"/>
      <c r="I260" s="1810"/>
      <c r="J260" s="1810"/>
      <c r="K260" s="1810"/>
      <c r="L260" s="1811"/>
      <c r="M260" s="9"/>
      <c r="N260" s="162" t="str">
        <f t="shared" si="95"/>
        <v>►</v>
      </c>
      <c r="O260" s="1616"/>
      <c r="P260" s="9"/>
      <c r="Q260" s="25" t="s">
        <v>15</v>
      </c>
      <c r="R260" s="31"/>
      <c r="S260" s="32"/>
      <c r="T260" s="31"/>
      <c r="U260" s="33"/>
      <c r="V260" s="1967"/>
      <c r="W260" s="1805"/>
      <c r="X260" s="91"/>
      <c r="Y260" s="1806"/>
      <c r="Z260" s="1968"/>
      <c r="AA260" s="2244"/>
      <c r="AB260" s="1969"/>
      <c r="AC260" s="1365"/>
      <c r="AD260" s="95"/>
      <c r="AE260" s="1326"/>
      <c r="AF260" s="97"/>
      <c r="AG260" s="1737"/>
      <c r="AH260" s="1970"/>
      <c r="AI260" s="99"/>
      <c r="AJ260" s="1809"/>
      <c r="AK260" s="6120" t="str">
        <f t="shared" si="96"/>
        <v>►</v>
      </c>
      <c r="AL260" s="781" t="str">
        <f t="shared" si="98"/>
        <v>►</v>
      </c>
      <c r="AM260" s="5498" t="str">
        <f t="shared" si="101"/>
        <v/>
      </c>
      <c r="AN260" s="783" t="str">
        <f t="shared" si="102"/>
        <v/>
      </c>
      <c r="AO260" s="782" t="str">
        <f t="shared" si="103"/>
        <v/>
      </c>
      <c r="AP260" s="783" t="str">
        <f t="shared" si="104"/>
        <v/>
      </c>
      <c r="AQ260" s="2083" t="b">
        <f>AND(Q260="A",COUNTIF(BP16:BR63,TRIM(Z260))&gt;0)</f>
        <v>0</v>
      </c>
      <c r="AR260" s="797" t="str">
        <f>IF(AL260&lt;&gt;"A","",IFERROR(IFERROR(_xlfn.XLOOKUP(TRIM(SUBSTITUTE(Z260,CHAR(160)," ")),BP16:BP63,BS16:BS63),IFERROR(_xlfn.XLOOKUP(TRIM(SUBSTITUTE(Z260,CHAR(160)," ")),BQ16:BQ63,BS16:BS63),_xlfn.XLOOKUP(TRIM(SUBSTITUTE(Z260,CHAR(160)," ")),BR16:BR63,BS16:BS63)))*Y260*IF(ISBLANK(V260),1,V260),0))</f>
        <v/>
      </c>
      <c r="AS260" s="784" t="str">
        <f t="shared" si="94"/>
        <v/>
      </c>
      <c r="AT260" s="1315" t="str">
        <f t="shared" si="105"/>
        <v/>
      </c>
      <c r="AU260" s="785">
        <f t="shared" si="106"/>
        <v>0</v>
      </c>
      <c r="AV260" s="785">
        <f t="shared" si="107"/>
        <v>0</v>
      </c>
      <c r="AW260" s="798">
        <f>IF(AK260="A",AY10,0)</f>
        <v>0</v>
      </c>
      <c r="AX260" s="5496" t="str">
        <f>IF(IFERROR(SEARCH("Adresse PC",TRIM(W260)),0)&gt;0,"▼ receta siguiente",IF(AK260="A",IF(AZ10&lt;&gt;"",AZ10&amp;" - ou.or.o ❾ + or - &gt;",""),""))</f>
        <v/>
      </c>
      <c r="AY260" s="810"/>
      <c r="AZ260" s="810"/>
      <c r="BA260" s="799" t="str">
        <f t="shared" si="97"/>
        <v/>
      </c>
      <c r="BB260" s="800" t="str">
        <f>IF(AK260="A",IF(AQ260,IF(AND(AW260&lt;&gt;"",N(AW260)&gt;0),IFERROR(IFERROR(_xlfn.XLOOKUP(AP260,BP10:BP57,BT10:BT57),IFERROR(_xlfn.XLOOKUP(AP260,BQ10:BQ57,BT10:BT57),_xlfn.XLOOKUP(AP260,BR10:BR57,BT10:BT57,""))),""),""),""),"")</f>
        <v/>
      </c>
      <c r="BC260" s="813" cm="1">
        <f t="array" ref="BC260">IF(NOT(AQ260),0,IF(OR(BA260="",N(BA260)&lt;=0.000000001),"",IF(OR(AU260="",N(AU260)&lt;=0.000000001),0,IF(ISNUMBER(BA260),IFERROR(_xlfn.LET(_xlpm.ai_test,TRIM(AP260),_xlpm.r,IFERROR(_xlfn.XLOOKUP(_xlpm.ai_test,BP16:BP63,ROW(BP16:BP63),0,1),IFERROR(_xlfn.XLOOKUP(_xlpm.ai_test,BQ16:BQ63,ROW(BQ16:BQ63),0,1),_xlfn.XLOOKUP(_xlpm.ai_test,BR16:BR63,ROW(BR16:BR63),0,1))),_xlpm.p,_xlpm.r-MIN(ROW(BP16:BP63))+1,_xlpm.f,INDEX(BS16:BS63,_xlpm.p),_xlpm.u,INDEX(BT16:BT63,_xlpm.p),_xlpm.s,INDEX(BV16:BV63,_xlpm.p),_xlpm.q,N(BA260)/_xlpm.f,IF(_xlpm.q&gt;=_xlpm.s,ROUND(_xlpm.q,1)&amp;" "&amp;_xlpm.ai_test&amp;" = "&amp;ROUND(_xlpm.q*_xlpm.f,1)&amp;" "&amp;_xlpm.u,ROUND(_xlpm.q,1)&amp;" "&amp;_xlpm.ai_test)),""),""))))</f>
        <v>0</v>
      </c>
      <c r="BD260" s="801"/>
      <c r="BE260" s="799" t="str">
        <f t="shared" si="108"/>
        <v/>
      </c>
      <c r="BF260" s="800" t="str">
        <f t="shared" si="109"/>
        <v/>
      </c>
      <c r="BG260" s="802">
        <f t="shared" si="112"/>
        <v>0</v>
      </c>
      <c r="BH260" s="803" t="str">
        <f t="shared" si="113"/>
        <v/>
      </c>
      <c r="BI260" s="792"/>
      <c r="BJ260" s="804">
        <f t="shared" si="111"/>
        <v>0</v>
      </c>
      <c r="BK260" s="794" t="str">
        <f t="shared" si="110"/>
        <v/>
      </c>
      <c r="BL260" s="227" t="s">
        <v>21</v>
      </c>
      <c r="BM260" s="773">
        <f t="shared" si="99"/>
        <v>0</v>
      </c>
      <c r="BN260" s="774">
        <f t="shared" si="100"/>
        <v>0</v>
      </c>
      <c r="BO260"/>
      <c r="BP260" s="627"/>
      <c r="BQ260" s="627"/>
      <c r="BR260" s="627"/>
      <c r="BS260" s="627"/>
      <c r="BT260" s="627"/>
      <c r="BU260" s="627"/>
      <c r="BV260" s="627"/>
      <c r="BW260" s="627"/>
      <c r="CD260" s="781" t="str">
        <f t="shared" si="93"/>
        <v>►</v>
      </c>
      <c r="CI260"/>
      <c r="CJ260" s="633"/>
      <c r="DI260" s="3">
        <v>1</v>
      </c>
    </row>
    <row r="261" spans="1:115" ht="21" customHeight="1">
      <c r="A261" s="701" t="s">
        <v>21</v>
      </c>
      <c r="B261" s="2265" t="str" cm="1">
        <f t="array" ref="B261">SUMPRODUCT(--(D261:J261&lt;&gt;""), LEN(TRIM(SUBSTITUTE(D261:J261, CHAR(160), "")))) &amp; " Car."</f>
        <v>0 Car.</v>
      </c>
      <c r="C261" s="1376" t="str">
        <f>IF(ISBLANK(D261),"",LARGE(C13:C260,1)+1)</f>
        <v/>
      </c>
      <c r="D261" s="1833"/>
      <c r="E261" s="1810"/>
      <c r="F261" s="1810"/>
      <c r="G261" s="1810"/>
      <c r="H261" s="1810"/>
      <c r="I261" s="1810"/>
      <c r="J261" s="1810"/>
      <c r="K261" s="1810"/>
      <c r="L261" s="1811"/>
      <c r="M261" s="9"/>
      <c r="N261" s="162" t="str">
        <f t="shared" si="95"/>
        <v>►</v>
      </c>
      <c r="O261" s="1616"/>
      <c r="P261" s="9"/>
      <c r="Q261" s="25" t="s">
        <v>15</v>
      </c>
      <c r="R261" s="31"/>
      <c r="S261" s="32"/>
      <c r="T261" s="31"/>
      <c r="U261" s="33"/>
      <c r="V261" s="1967"/>
      <c r="W261" s="1805"/>
      <c r="X261" s="91"/>
      <c r="Y261" s="1806"/>
      <c r="Z261" s="1968"/>
      <c r="AA261" s="2244"/>
      <c r="AB261" s="1969"/>
      <c r="AC261" s="1365"/>
      <c r="AD261" s="95"/>
      <c r="AE261" s="1326"/>
      <c r="AF261" s="97"/>
      <c r="AG261" s="1737"/>
      <c r="AH261" s="1970"/>
      <c r="AI261" s="99"/>
      <c r="AJ261" s="1809"/>
      <c r="AK261" s="6120" t="str">
        <f t="shared" si="96"/>
        <v>►</v>
      </c>
      <c r="AL261" s="781" t="str">
        <f t="shared" si="98"/>
        <v>►</v>
      </c>
      <c r="AM261" s="5499" t="str">
        <f t="shared" si="101"/>
        <v/>
      </c>
      <c r="AN261" s="783" t="str">
        <f t="shared" si="102"/>
        <v/>
      </c>
      <c r="AO261" s="782" t="str">
        <f t="shared" si="103"/>
        <v/>
      </c>
      <c r="AP261" s="783" t="str">
        <f t="shared" si="104"/>
        <v/>
      </c>
      <c r="AQ261" s="2083" t="b">
        <f>AND(Q261="A",COUNTIF(BP16:BR63,TRIM(Z261))&gt;0)</f>
        <v>0</v>
      </c>
      <c r="AR261" s="797" t="str">
        <f>IF(AL261&lt;&gt;"A","",IFERROR(IFERROR(_xlfn.XLOOKUP(TRIM(SUBSTITUTE(Z261,CHAR(160)," ")),BP16:BP63,BS16:BS63),IFERROR(_xlfn.XLOOKUP(TRIM(SUBSTITUTE(Z261,CHAR(160)," ")),BQ16:BQ63,BS16:BS63),_xlfn.XLOOKUP(TRIM(SUBSTITUTE(Z261,CHAR(160)," ")),BR16:BR63,BS16:BS63)))*Y261*IF(ISBLANK(V261),1,V261),0))</f>
        <v/>
      </c>
      <c r="AS261" s="784" t="str">
        <f t="shared" si="94"/>
        <v/>
      </c>
      <c r="AT261" s="1315" t="str">
        <f t="shared" si="105"/>
        <v/>
      </c>
      <c r="AU261" s="785">
        <f t="shared" si="106"/>
        <v>0</v>
      </c>
      <c r="AV261" s="785">
        <f t="shared" si="107"/>
        <v>0</v>
      </c>
      <c r="AW261" s="786">
        <f>IF(AK261="A",AY10,0)</f>
        <v>0</v>
      </c>
      <c r="AX261" s="5495" t="str">
        <f>IF(IFERROR(SEARCH("Adresse PC",TRIM(W261)),0)&gt;0,"▼ receta siguiente",IF(AK261="A",IF(AZ10&lt;&gt;"",AZ10&amp;" - ou.or.o ❾ + or - &gt;",""),""))</f>
        <v/>
      </c>
      <c r="AY261" s="810"/>
      <c r="AZ261" s="810"/>
      <c r="BA261" s="788" t="str">
        <f t="shared" si="97"/>
        <v/>
      </c>
      <c r="BB261" s="789" t="str">
        <f>IF(AK261="A",IF(AQ261,IF(AND(AW261&lt;&gt;"",N(AW261)&gt;0),IFERROR(IFERROR(_xlfn.XLOOKUP(AP261,BP10:BP57,BT10:BT57),IFERROR(_xlfn.XLOOKUP(AP261,BQ10:BQ57,BT10:BT57),_xlfn.XLOOKUP(AP261,BR10:BR57,BT10:BT57,""))),""),""),""),"")</f>
        <v/>
      </c>
      <c r="BC261" s="811" cm="1">
        <f t="array" ref="BC261">IF(NOT(AQ261),0,IF(OR(BA261="",N(BA261)&lt;=0.000000001),"",IF(OR(AU261="",N(AU261)&lt;=0.000000001),0,IF(ISNUMBER(BA261),IFERROR(_xlfn.LET(_xlpm.ai_test,TRIM(AP261),_xlpm.r,IFERROR(_xlfn.XLOOKUP(_xlpm.ai_test,BP16:BP63,ROW(BP16:BP63),0,1),IFERROR(_xlfn.XLOOKUP(_xlpm.ai_test,BQ16:BQ63,ROW(BQ16:BQ63),0,1),_xlfn.XLOOKUP(_xlpm.ai_test,BR16:BR63,ROW(BR16:BR63),0,1))),_xlpm.p,_xlpm.r-MIN(ROW(BP16:BP63))+1,_xlpm.f,INDEX(BS16:BS63,_xlpm.p),_xlpm.u,INDEX(BT16:BT63,_xlpm.p),_xlpm.s,INDEX(BV16:BV63,_xlpm.p),_xlpm.q,N(BA261)/_xlpm.f,IF(_xlpm.q&gt;=_xlpm.s,ROUND(_xlpm.q,1)&amp;" "&amp;_xlpm.ai_test&amp;" = "&amp;ROUND(_xlpm.q*_xlpm.f,1)&amp;" "&amp;_xlpm.u,ROUND(_xlpm.q,1)&amp;" "&amp;_xlpm.ai_test)),""),""))))</f>
        <v>0</v>
      </c>
      <c r="BD261" s="801"/>
      <c r="BE261" s="788" t="str">
        <f t="shared" si="108"/>
        <v/>
      </c>
      <c r="BF261" s="789" t="str">
        <f t="shared" si="109"/>
        <v/>
      </c>
      <c r="BG261" s="790">
        <f t="shared" si="112"/>
        <v>0</v>
      </c>
      <c r="BH261" s="791" t="str">
        <f t="shared" si="113"/>
        <v/>
      </c>
      <c r="BI261" s="792"/>
      <c r="BJ261" s="793">
        <f t="shared" si="111"/>
        <v>0</v>
      </c>
      <c r="BK261" s="794" t="str">
        <f t="shared" si="110"/>
        <v/>
      </c>
      <c r="BL261" s="227" t="s">
        <v>21</v>
      </c>
      <c r="BM261" s="773">
        <f t="shared" si="99"/>
        <v>0</v>
      </c>
      <c r="BN261" s="774">
        <f t="shared" si="100"/>
        <v>0</v>
      </c>
      <c r="BO261"/>
      <c r="BP261" s="627"/>
      <c r="BQ261" s="627"/>
      <c r="BR261" s="627"/>
      <c r="BS261" s="627"/>
      <c r="BT261" s="627"/>
      <c r="BU261" s="627"/>
      <c r="BV261" s="627"/>
      <c r="BW261" s="627"/>
      <c r="CD261" s="781" t="str">
        <f t="shared" si="93"/>
        <v>►</v>
      </c>
      <c r="CI261"/>
      <c r="CJ261" s="633"/>
      <c r="DI261" s="3">
        <v>1</v>
      </c>
    </row>
    <row r="262" spans="1:115" ht="21" customHeight="1">
      <c r="A262" s="701" t="s">
        <v>21</v>
      </c>
      <c r="B262" s="2265" t="str" cm="1">
        <f t="array" ref="B262">SUMPRODUCT(--(D262:J262&lt;&gt;""), LEN(TRIM(SUBSTITUTE(D262:J262, CHAR(160), "")))) &amp; " Car."</f>
        <v>0 Car.</v>
      </c>
      <c r="C262" s="1376" t="str">
        <f>IF(ISBLANK(D262),"",LARGE(C13:C261,1)+1)</f>
        <v/>
      </c>
      <c r="D262" s="1833"/>
      <c r="E262" s="1810"/>
      <c r="F262" s="1810"/>
      <c r="G262" s="1810"/>
      <c r="H262" s="1810"/>
      <c r="I262" s="1810"/>
      <c r="J262" s="1810"/>
      <c r="K262" s="1810"/>
      <c r="L262" s="1811"/>
      <c r="M262" s="9"/>
      <c r="N262" s="162" t="str">
        <f t="shared" si="95"/>
        <v>►</v>
      </c>
      <c r="O262" s="1616"/>
      <c r="P262" s="9"/>
      <c r="Q262" s="25" t="s">
        <v>15</v>
      </c>
      <c r="R262" s="31"/>
      <c r="S262" s="32"/>
      <c r="T262" s="31"/>
      <c r="U262" s="33"/>
      <c r="V262" s="1967"/>
      <c r="W262" s="1805"/>
      <c r="X262" s="91"/>
      <c r="Y262" s="1806"/>
      <c r="Z262" s="1968"/>
      <c r="AA262" s="2244"/>
      <c r="AB262" s="1969"/>
      <c r="AC262" s="1365"/>
      <c r="AD262" s="95"/>
      <c r="AE262" s="1326"/>
      <c r="AF262" s="97"/>
      <c r="AG262" s="1737"/>
      <c r="AH262" s="1970"/>
      <c r="AI262" s="99"/>
      <c r="AJ262" s="1809"/>
      <c r="AK262" s="6120" t="str">
        <f t="shared" si="96"/>
        <v>►</v>
      </c>
      <c r="AL262" s="781" t="str">
        <f t="shared" si="98"/>
        <v>►</v>
      </c>
      <c r="AM262" s="5498" t="str">
        <f t="shared" si="101"/>
        <v/>
      </c>
      <c r="AN262" s="783" t="str">
        <f t="shared" si="102"/>
        <v/>
      </c>
      <c r="AO262" s="782" t="str">
        <f t="shared" si="103"/>
        <v/>
      </c>
      <c r="AP262" s="783" t="str">
        <f t="shared" si="104"/>
        <v/>
      </c>
      <c r="AQ262" s="2083" t="b">
        <f>AND(Q262="A",COUNTIF(BP16:BR63,TRIM(Z262))&gt;0)</f>
        <v>0</v>
      </c>
      <c r="AR262" s="797" t="str">
        <f>IF(AL262&lt;&gt;"A","",IFERROR(IFERROR(_xlfn.XLOOKUP(TRIM(SUBSTITUTE(Z262,CHAR(160)," ")),BP16:BP63,BS16:BS63),IFERROR(_xlfn.XLOOKUP(TRIM(SUBSTITUTE(Z262,CHAR(160)," ")),BQ16:BQ63,BS16:BS63),_xlfn.XLOOKUP(TRIM(SUBSTITUTE(Z262,CHAR(160)," ")),BR16:BR63,BS16:BS63)))*Y262*IF(ISBLANK(V262),1,V262),0))</f>
        <v/>
      </c>
      <c r="AS262" s="784" t="str">
        <f t="shared" si="94"/>
        <v/>
      </c>
      <c r="AT262" s="1315" t="str">
        <f t="shared" si="105"/>
        <v/>
      </c>
      <c r="AU262" s="785">
        <f t="shared" si="106"/>
        <v>0</v>
      </c>
      <c r="AV262" s="785">
        <f t="shared" si="107"/>
        <v>0</v>
      </c>
      <c r="AW262" s="798">
        <f>IF(AK262="A",AY10,0)</f>
        <v>0</v>
      </c>
      <c r="AX262" s="5496" t="str">
        <f>IF(IFERROR(SEARCH("Adresse PC",TRIM(W262)),0)&gt;0,"▼ receta siguiente",IF(AK262="A",IF(AZ10&lt;&gt;"",AZ10&amp;" - ou.or.o ❾ + or - &gt;",""),""))</f>
        <v/>
      </c>
      <c r="AY262" s="810"/>
      <c r="AZ262" s="810"/>
      <c r="BA262" s="799" t="str">
        <f t="shared" si="97"/>
        <v/>
      </c>
      <c r="BB262" s="800" t="str">
        <f>IF(AK262="A",IF(AQ262,IF(AND(AW262&lt;&gt;"",N(AW262)&gt;0),IFERROR(IFERROR(_xlfn.XLOOKUP(AP262,BP10:BP57,BT10:BT57),IFERROR(_xlfn.XLOOKUP(AP262,BQ10:BQ57,BT10:BT57),_xlfn.XLOOKUP(AP262,BR10:BR57,BT10:BT57,""))),""),""),""),"")</f>
        <v/>
      </c>
      <c r="BC262" s="813" cm="1">
        <f t="array" ref="BC262">IF(NOT(AQ262),0,IF(OR(BA262="",N(BA262)&lt;=0.000000001),"",IF(OR(AU262="",N(AU262)&lt;=0.000000001),0,IF(ISNUMBER(BA262),IFERROR(_xlfn.LET(_xlpm.ai_test,TRIM(AP262),_xlpm.r,IFERROR(_xlfn.XLOOKUP(_xlpm.ai_test,BP16:BP63,ROW(BP16:BP63),0,1),IFERROR(_xlfn.XLOOKUP(_xlpm.ai_test,BQ16:BQ63,ROW(BQ16:BQ63),0,1),_xlfn.XLOOKUP(_xlpm.ai_test,BR16:BR63,ROW(BR16:BR63),0,1))),_xlpm.p,_xlpm.r-MIN(ROW(BP16:BP63))+1,_xlpm.f,INDEX(BS16:BS63,_xlpm.p),_xlpm.u,INDEX(BT16:BT63,_xlpm.p),_xlpm.s,INDEX(BV16:BV63,_xlpm.p),_xlpm.q,N(BA262)/_xlpm.f,IF(_xlpm.q&gt;=_xlpm.s,ROUND(_xlpm.q,1)&amp;" "&amp;_xlpm.ai_test&amp;" = "&amp;ROUND(_xlpm.q*_xlpm.f,1)&amp;" "&amp;_xlpm.u,ROUND(_xlpm.q,1)&amp;" "&amp;_xlpm.ai_test)),""),""))))</f>
        <v>0</v>
      </c>
      <c r="BD262" s="801"/>
      <c r="BE262" s="799" t="str">
        <f t="shared" si="108"/>
        <v/>
      </c>
      <c r="BF262" s="800" t="str">
        <f t="shared" si="109"/>
        <v/>
      </c>
      <c r="BG262" s="802">
        <f t="shared" si="112"/>
        <v>0</v>
      </c>
      <c r="BH262" s="803" t="str">
        <f t="shared" si="113"/>
        <v/>
      </c>
      <c r="BI262" s="792"/>
      <c r="BJ262" s="804">
        <f t="shared" si="111"/>
        <v>0</v>
      </c>
      <c r="BK262" s="794" t="str">
        <f t="shared" si="110"/>
        <v/>
      </c>
      <c r="BL262" s="227" t="s">
        <v>21</v>
      </c>
      <c r="BM262" s="773">
        <f t="shared" si="99"/>
        <v>0</v>
      </c>
      <c r="BN262" s="774">
        <f t="shared" si="100"/>
        <v>0</v>
      </c>
      <c r="BO262"/>
      <c r="BP262" s="627"/>
      <c r="BQ262" s="627"/>
      <c r="BR262" s="627"/>
      <c r="BS262" s="627"/>
      <c r="BT262" s="627"/>
      <c r="BU262" s="627"/>
      <c r="BV262" s="627"/>
      <c r="BW262" s="627"/>
      <c r="CD262" s="781" t="str">
        <f t="shared" ref="CD262:CD325" si="114">AL262</f>
        <v>►</v>
      </c>
      <c r="CI262"/>
      <c r="CJ262" s="633"/>
      <c r="DI262" s="3">
        <v>1</v>
      </c>
    </row>
    <row r="263" spans="1:115" ht="21" customHeight="1">
      <c r="A263" s="701" t="s">
        <v>21</v>
      </c>
      <c r="B263" s="2265" t="str" cm="1">
        <f t="array" ref="B263">SUMPRODUCT(--(D263:J263&lt;&gt;""), LEN(TRIM(SUBSTITUTE(D263:J263, CHAR(160), "")))) &amp; " Car."</f>
        <v>0 Car.</v>
      </c>
      <c r="C263" s="1376" t="str">
        <f>IF(ISBLANK(D263),"",LARGE(C13:C262,1)+1)</f>
        <v/>
      </c>
      <c r="D263" s="1833"/>
      <c r="E263" s="1810"/>
      <c r="F263" s="1810"/>
      <c r="G263" s="1810"/>
      <c r="H263" s="1810"/>
      <c r="I263" s="1810"/>
      <c r="J263" s="1810"/>
      <c r="K263" s="1810"/>
      <c r="L263" s="1811"/>
      <c r="M263" s="9"/>
      <c r="N263" s="162" t="str">
        <f t="shared" si="95"/>
        <v>►</v>
      </c>
      <c r="O263" s="1616"/>
      <c r="P263" s="9"/>
      <c r="Q263" s="25" t="s">
        <v>15</v>
      </c>
      <c r="R263" s="31"/>
      <c r="S263" s="32"/>
      <c r="T263" s="31"/>
      <c r="U263" s="33"/>
      <c r="V263" s="1967"/>
      <c r="W263" s="1805"/>
      <c r="X263" s="91"/>
      <c r="Y263" s="1806"/>
      <c r="Z263" s="1968"/>
      <c r="AA263" s="2244"/>
      <c r="AB263" s="1969"/>
      <c r="AC263" s="1365"/>
      <c r="AD263" s="95"/>
      <c r="AE263" s="1326"/>
      <c r="AF263" s="97"/>
      <c r="AG263" s="1737"/>
      <c r="AH263" s="1970"/>
      <c r="AI263" s="99"/>
      <c r="AJ263" s="1809"/>
      <c r="AK263" s="6120" t="str">
        <f t="shared" si="96"/>
        <v>►</v>
      </c>
      <c r="AL263" s="781" t="str">
        <f t="shared" si="98"/>
        <v>►</v>
      </c>
      <c r="AM263" s="5499" t="str">
        <f t="shared" si="101"/>
        <v/>
      </c>
      <c r="AN263" s="783" t="str">
        <f t="shared" si="102"/>
        <v/>
      </c>
      <c r="AO263" s="782" t="str">
        <f t="shared" si="103"/>
        <v/>
      </c>
      <c r="AP263" s="783" t="str">
        <f t="shared" si="104"/>
        <v/>
      </c>
      <c r="AQ263" s="2083" t="b">
        <f>AND(Q263="A",COUNTIF(BP16:BR63,TRIM(Z263))&gt;0)</f>
        <v>0</v>
      </c>
      <c r="AR263" s="797" t="str">
        <f>IF(AL263&lt;&gt;"A","",IFERROR(IFERROR(_xlfn.XLOOKUP(TRIM(SUBSTITUTE(Z263,CHAR(160)," ")),BP16:BP63,BS16:BS63),IFERROR(_xlfn.XLOOKUP(TRIM(SUBSTITUTE(Z263,CHAR(160)," ")),BQ16:BQ63,BS16:BS63),_xlfn.XLOOKUP(TRIM(SUBSTITUTE(Z263,CHAR(160)," ")),BR16:BR63,BS16:BS63)))*Y263*IF(ISBLANK(V263),1,V263),0))</f>
        <v/>
      </c>
      <c r="AS263" s="784" t="str">
        <f t="shared" ref="AS263:AS326" si="115">IF(AK263="A",IF(AND(AQ263,AR263&gt;0),"Kg",""),"")</f>
        <v/>
      </c>
      <c r="AT263" s="1315" t="str">
        <f t="shared" si="105"/>
        <v/>
      </c>
      <c r="AU263" s="785">
        <f t="shared" si="106"/>
        <v>0</v>
      </c>
      <c r="AV263" s="785">
        <f t="shared" si="107"/>
        <v>0</v>
      </c>
      <c r="AW263" s="786">
        <f>IF(AK263="A",AY10,0)</f>
        <v>0</v>
      </c>
      <c r="AX263" s="5495" t="str">
        <f>IF(IFERROR(SEARCH("Adresse PC",TRIM(W263)),0)&gt;0,"▼ receta siguiente",IF(AK263="A",IF(AZ10&lt;&gt;"",AZ10&amp;" - ou.or.o ❾ + or - &gt;",""),""))</f>
        <v/>
      </c>
      <c r="AY263" s="810"/>
      <c r="AZ263" s="810"/>
      <c r="BA263" s="788" t="str">
        <f t="shared" si="97"/>
        <v/>
      </c>
      <c r="BB263" s="789" t="str">
        <f>IF(AK263="A",IF(AQ263,IF(AND(AW263&lt;&gt;"",N(AW263)&gt;0),IFERROR(IFERROR(_xlfn.XLOOKUP(AP263,BP10:BP57,BT10:BT57),IFERROR(_xlfn.XLOOKUP(AP263,BQ10:BQ57,BT10:BT57),_xlfn.XLOOKUP(AP263,BR10:BR57,BT10:BT57,""))),""),""),""),"")</f>
        <v/>
      </c>
      <c r="BC263" s="811" cm="1">
        <f t="array" ref="BC263">IF(NOT(AQ263),0,IF(OR(BA263="",N(BA263)&lt;=0.000000001),"",IF(OR(AU263="",N(AU263)&lt;=0.000000001),0,IF(ISNUMBER(BA263),IFERROR(_xlfn.LET(_xlpm.ai_test,TRIM(AP263),_xlpm.r,IFERROR(_xlfn.XLOOKUP(_xlpm.ai_test,BP16:BP63,ROW(BP16:BP63),0,1),IFERROR(_xlfn.XLOOKUP(_xlpm.ai_test,BQ16:BQ63,ROW(BQ16:BQ63),0,1),_xlfn.XLOOKUP(_xlpm.ai_test,BR16:BR63,ROW(BR16:BR63),0,1))),_xlpm.p,_xlpm.r-MIN(ROW(BP16:BP63))+1,_xlpm.f,INDEX(BS16:BS63,_xlpm.p),_xlpm.u,INDEX(BT16:BT63,_xlpm.p),_xlpm.s,INDEX(BV16:BV63,_xlpm.p),_xlpm.q,N(BA263)/_xlpm.f,IF(_xlpm.q&gt;=_xlpm.s,ROUND(_xlpm.q,1)&amp;" "&amp;_xlpm.ai_test&amp;" = "&amp;ROUND(_xlpm.q*_xlpm.f,1)&amp;" "&amp;_xlpm.u,ROUND(_xlpm.q,1)&amp;" "&amp;_xlpm.ai_test)),""),""))))</f>
        <v>0</v>
      </c>
      <c r="BD263" s="801"/>
      <c r="BE263" s="788" t="str">
        <f t="shared" si="108"/>
        <v/>
      </c>
      <c r="BF263" s="789" t="str">
        <f t="shared" si="109"/>
        <v/>
      </c>
      <c r="BG263" s="790">
        <f t="shared" si="112"/>
        <v>0</v>
      </c>
      <c r="BH263" s="791" t="str">
        <f t="shared" si="113"/>
        <v/>
      </c>
      <c r="BI263" s="792"/>
      <c r="BJ263" s="793">
        <f t="shared" si="111"/>
        <v>0</v>
      </c>
      <c r="BK263" s="794" t="str">
        <f t="shared" si="110"/>
        <v/>
      </c>
      <c r="BL263" s="227" t="s">
        <v>21</v>
      </c>
      <c r="BM263" s="773">
        <f t="shared" si="99"/>
        <v>0</v>
      </c>
      <c r="BN263" s="774">
        <f t="shared" si="100"/>
        <v>0</v>
      </c>
      <c r="BO263"/>
      <c r="BP263" s="627"/>
      <c r="BQ263" s="627"/>
      <c r="BR263" s="627"/>
      <c r="BS263" s="627"/>
      <c r="BT263" s="627"/>
      <c r="BU263" s="627"/>
      <c r="BV263" s="627"/>
      <c r="BW263" s="627"/>
      <c r="CD263" s="781" t="str">
        <f t="shared" si="114"/>
        <v>►</v>
      </c>
      <c r="CI263"/>
      <c r="CJ263" s="633"/>
      <c r="DI263" s="3">
        <v>1</v>
      </c>
    </row>
    <row r="264" spans="1:115" ht="21" customHeight="1">
      <c r="A264" s="701" t="s">
        <v>21</v>
      </c>
      <c r="B264" s="2265" t="str" cm="1">
        <f t="array" ref="B264">SUMPRODUCT(--(D264:J264&lt;&gt;""), LEN(TRIM(SUBSTITUTE(D264:J264, CHAR(160), "")))) &amp; " Car."</f>
        <v>0 Car.</v>
      </c>
      <c r="C264" s="1376" t="str">
        <f>IF(ISBLANK(D264),"",LARGE(C13:C263,1)+1)</f>
        <v/>
      </c>
      <c r="D264" s="1833"/>
      <c r="E264" s="1810"/>
      <c r="F264" s="1810"/>
      <c r="G264" s="1810"/>
      <c r="H264" s="1810"/>
      <c r="I264" s="1810"/>
      <c r="J264" s="1810"/>
      <c r="K264" s="1810"/>
      <c r="L264" s="1811"/>
      <c r="M264" s="9"/>
      <c r="N264" s="162" t="str">
        <f t="shared" si="95"/>
        <v>►</v>
      </c>
      <c r="O264" s="1616"/>
      <c r="P264" s="9"/>
      <c r="Q264" s="25" t="s">
        <v>15</v>
      </c>
      <c r="R264" s="31"/>
      <c r="S264" s="32"/>
      <c r="T264" s="31"/>
      <c r="U264" s="33"/>
      <c r="V264" s="1967"/>
      <c r="W264" s="1805"/>
      <c r="X264" s="91"/>
      <c r="Y264" s="1806"/>
      <c r="Z264" s="1968"/>
      <c r="AA264" s="2244"/>
      <c r="AB264" s="1969"/>
      <c r="AC264" s="1365"/>
      <c r="AD264" s="95"/>
      <c r="AE264" s="1326"/>
      <c r="AF264" s="97"/>
      <c r="AG264" s="1737"/>
      <c r="AH264" s="1970"/>
      <c r="AI264" s="99"/>
      <c r="AJ264" s="1809"/>
      <c r="AK264" s="6120" t="str">
        <f t="shared" si="96"/>
        <v>►</v>
      </c>
      <c r="AL264" s="781" t="str">
        <f t="shared" si="98"/>
        <v>►</v>
      </c>
      <c r="AM264" s="5498" t="str">
        <f t="shared" si="101"/>
        <v/>
      </c>
      <c r="AN264" s="783" t="str">
        <f t="shared" si="102"/>
        <v/>
      </c>
      <c r="AO264" s="782" t="str">
        <f t="shared" si="103"/>
        <v/>
      </c>
      <c r="AP264" s="783" t="str">
        <f t="shared" si="104"/>
        <v/>
      </c>
      <c r="AQ264" s="2083" t="b">
        <f>AND(Q264="A",COUNTIF(BP16:BR63,TRIM(Z264))&gt;0)</f>
        <v>0</v>
      </c>
      <c r="AR264" s="797" t="str">
        <f>IF(AL264&lt;&gt;"A","",IFERROR(IFERROR(_xlfn.XLOOKUP(TRIM(SUBSTITUTE(Z264,CHAR(160)," ")),BP16:BP63,BS16:BS63),IFERROR(_xlfn.XLOOKUP(TRIM(SUBSTITUTE(Z264,CHAR(160)," ")),BQ16:BQ63,BS16:BS63),_xlfn.XLOOKUP(TRIM(SUBSTITUTE(Z264,CHAR(160)," ")),BR16:BR63,BS16:BS63)))*Y264*IF(ISBLANK(V264),1,V264),0))</f>
        <v/>
      </c>
      <c r="AS264" s="784" t="str">
        <f t="shared" si="115"/>
        <v/>
      </c>
      <c r="AT264" s="1315" t="str">
        <f t="shared" si="105"/>
        <v/>
      </c>
      <c r="AU264" s="785">
        <f t="shared" si="106"/>
        <v>0</v>
      </c>
      <c r="AV264" s="785">
        <f t="shared" si="107"/>
        <v>0</v>
      </c>
      <c r="AW264" s="798">
        <f>IF(AK264="A",AY10,0)</f>
        <v>0</v>
      </c>
      <c r="AX264" s="5496" t="str">
        <f>IF(IFERROR(SEARCH("Adresse PC",TRIM(W264)),0)&gt;0,"▼ receta siguiente",IF(AK264="A",IF(AZ10&lt;&gt;"",AZ10&amp;" - ou.or.o ❾ + or - &gt;",""),""))</f>
        <v/>
      </c>
      <c r="AY264" s="810"/>
      <c r="AZ264" s="810"/>
      <c r="BA264" s="799" t="str">
        <f t="shared" si="97"/>
        <v/>
      </c>
      <c r="BB264" s="800" t="str">
        <f>IF(AK264="A",IF(AQ264,IF(AND(AW264&lt;&gt;"",N(AW264)&gt;0),IFERROR(IFERROR(_xlfn.XLOOKUP(AP264,BP10:BP57,BT10:BT57),IFERROR(_xlfn.XLOOKUP(AP264,BQ10:BQ57,BT10:BT57),_xlfn.XLOOKUP(AP264,BR10:BR57,BT10:BT57,""))),""),""),""),"")</f>
        <v/>
      </c>
      <c r="BC264" s="813" cm="1">
        <f t="array" ref="BC264">IF(NOT(AQ264),0,IF(OR(BA264="",N(BA264)&lt;=0.000000001),"",IF(OR(AU264="",N(AU264)&lt;=0.000000001),0,IF(ISNUMBER(BA264),IFERROR(_xlfn.LET(_xlpm.ai_test,TRIM(AP264),_xlpm.r,IFERROR(_xlfn.XLOOKUP(_xlpm.ai_test,BP16:BP63,ROW(BP16:BP63),0,1),IFERROR(_xlfn.XLOOKUP(_xlpm.ai_test,BQ16:BQ63,ROW(BQ16:BQ63),0,1),_xlfn.XLOOKUP(_xlpm.ai_test,BR16:BR63,ROW(BR16:BR63),0,1))),_xlpm.p,_xlpm.r-MIN(ROW(BP16:BP63))+1,_xlpm.f,INDEX(BS16:BS63,_xlpm.p),_xlpm.u,INDEX(BT16:BT63,_xlpm.p),_xlpm.s,INDEX(BV16:BV63,_xlpm.p),_xlpm.q,N(BA264)/_xlpm.f,IF(_xlpm.q&gt;=_xlpm.s,ROUND(_xlpm.q,1)&amp;" "&amp;_xlpm.ai_test&amp;" = "&amp;ROUND(_xlpm.q*_xlpm.f,1)&amp;" "&amp;_xlpm.u,ROUND(_xlpm.q,1)&amp;" "&amp;_xlpm.ai_test)),""),""))))</f>
        <v>0</v>
      </c>
      <c r="BD264" s="801"/>
      <c r="BE264" s="799" t="str">
        <f t="shared" si="108"/>
        <v/>
      </c>
      <c r="BF264" s="800" t="str">
        <f t="shared" si="109"/>
        <v/>
      </c>
      <c r="BG264" s="802">
        <f t="shared" si="112"/>
        <v>0</v>
      </c>
      <c r="BH264" s="803" t="str">
        <f t="shared" si="113"/>
        <v/>
      </c>
      <c r="BI264" s="792"/>
      <c r="BJ264" s="804">
        <f t="shared" si="111"/>
        <v>0</v>
      </c>
      <c r="BK264" s="794" t="str">
        <f t="shared" si="110"/>
        <v/>
      </c>
      <c r="BL264" s="227" t="s">
        <v>21</v>
      </c>
      <c r="BM264" s="773">
        <f t="shared" si="99"/>
        <v>0</v>
      </c>
      <c r="BN264" s="774">
        <f t="shared" si="100"/>
        <v>0</v>
      </c>
      <c r="BO264"/>
      <c r="BP264" s="627"/>
      <c r="BQ264" s="627"/>
      <c r="BR264" s="627"/>
      <c r="BS264" s="627"/>
      <c r="BT264" s="627"/>
      <c r="BU264" s="627"/>
      <c r="BV264" s="627"/>
      <c r="BW264" s="627"/>
      <c r="CD264" s="781" t="str">
        <f t="shared" si="114"/>
        <v>►</v>
      </c>
      <c r="CI264"/>
      <c r="CJ264" s="633"/>
      <c r="DI264" s="3">
        <v>1</v>
      </c>
    </row>
    <row r="265" spans="1:115" ht="21" customHeight="1">
      <c r="A265" s="701" t="s">
        <v>21</v>
      </c>
      <c r="B265" s="2265" t="str" cm="1">
        <f t="array" ref="B265">SUMPRODUCT(--(D265:J265&lt;&gt;""), LEN(TRIM(SUBSTITUTE(D265:J265, CHAR(160), "")))) &amp; " Car."</f>
        <v>0 Car.</v>
      </c>
      <c r="C265" s="1376" t="str">
        <f>IF(ISBLANK(D265),"",LARGE(C13:C264,1)+1)</f>
        <v/>
      </c>
      <c r="D265" s="1833"/>
      <c r="E265" s="1810"/>
      <c r="F265" s="1810"/>
      <c r="G265" s="1810"/>
      <c r="H265" s="1810"/>
      <c r="I265" s="1810"/>
      <c r="J265" s="1810"/>
      <c r="K265" s="1810"/>
      <c r="L265" s="1811"/>
      <c r="M265" s="9"/>
      <c r="N265" s="162" t="str">
        <f t="shared" si="95"/>
        <v>►</v>
      </c>
      <c r="O265" s="1616"/>
      <c r="P265" s="9"/>
      <c r="Q265" s="25" t="s">
        <v>15</v>
      </c>
      <c r="R265" s="31"/>
      <c r="S265" s="32"/>
      <c r="T265" s="31"/>
      <c r="U265" s="33"/>
      <c r="V265" s="1967"/>
      <c r="W265" s="1805"/>
      <c r="X265" s="91"/>
      <c r="Y265" s="1806"/>
      <c r="Z265" s="1968"/>
      <c r="AA265" s="2244"/>
      <c r="AB265" s="1969"/>
      <c r="AC265" s="1365"/>
      <c r="AD265" s="95"/>
      <c r="AE265" s="1326"/>
      <c r="AF265" s="97"/>
      <c r="AG265" s="1737"/>
      <c r="AH265" s="1970"/>
      <c r="AI265" s="99"/>
      <c r="AJ265" s="1809"/>
      <c r="AK265" s="6120" t="str">
        <f t="shared" si="96"/>
        <v>►</v>
      </c>
      <c r="AL265" s="781" t="str">
        <f t="shared" si="98"/>
        <v>►</v>
      </c>
      <c r="AM265" s="5499" t="str">
        <f t="shared" si="101"/>
        <v/>
      </c>
      <c r="AN265" s="783" t="str">
        <f t="shared" si="102"/>
        <v/>
      </c>
      <c r="AO265" s="782" t="str">
        <f t="shared" si="103"/>
        <v/>
      </c>
      <c r="AP265" s="783" t="str">
        <f t="shared" si="104"/>
        <v/>
      </c>
      <c r="AQ265" s="2083" t="b">
        <f>AND(Q265="A",COUNTIF(BP16:BR63,TRIM(Z265))&gt;0)</f>
        <v>0</v>
      </c>
      <c r="AR265" s="797" t="str">
        <f>IF(AL265&lt;&gt;"A","",IFERROR(IFERROR(_xlfn.XLOOKUP(TRIM(SUBSTITUTE(Z265,CHAR(160)," ")),BP16:BP63,BS16:BS63),IFERROR(_xlfn.XLOOKUP(TRIM(SUBSTITUTE(Z265,CHAR(160)," ")),BQ16:BQ63,BS16:BS63),_xlfn.XLOOKUP(TRIM(SUBSTITUTE(Z265,CHAR(160)," ")),BR16:BR63,BS16:BS63)))*Y265*IF(ISBLANK(V265),1,V265),0))</f>
        <v/>
      </c>
      <c r="AS265" s="784" t="str">
        <f t="shared" si="115"/>
        <v/>
      </c>
      <c r="AT265" s="1315" t="str">
        <f t="shared" si="105"/>
        <v/>
      </c>
      <c r="AU265" s="785">
        <f t="shared" si="106"/>
        <v>0</v>
      </c>
      <c r="AV265" s="785">
        <f t="shared" si="107"/>
        <v>0</v>
      </c>
      <c r="AW265" s="786">
        <f>IF(AK265="A",AY10,0)</f>
        <v>0</v>
      </c>
      <c r="AX265" s="5495" t="str">
        <f>IF(IFERROR(SEARCH("Adresse PC",TRIM(W265)),0)&gt;0,"▼ receta siguiente",IF(AK265="A",IF(AZ10&lt;&gt;"",AZ10&amp;" - ou.or.o ❾ + or - &gt;",""),""))</f>
        <v/>
      </c>
      <c r="AY265" s="810"/>
      <c r="AZ265" s="810"/>
      <c r="BA265" s="788" t="str">
        <f t="shared" si="97"/>
        <v/>
      </c>
      <c r="BB265" s="789" t="str">
        <f>IF(AK265="A",IF(AQ265,IF(AND(AW265&lt;&gt;"",N(AW265)&gt;0),IFERROR(IFERROR(_xlfn.XLOOKUP(AP265,BP10:BP57,BT10:BT57),IFERROR(_xlfn.XLOOKUP(AP265,BQ10:BQ57,BT10:BT57),_xlfn.XLOOKUP(AP265,BR10:BR57,BT10:BT57,""))),""),""),""),"")</f>
        <v/>
      </c>
      <c r="BC265" s="811" cm="1">
        <f t="array" ref="BC265">IF(NOT(AQ265),0,IF(OR(BA265="",N(BA265)&lt;=0.000000001),"",IF(OR(AU265="",N(AU265)&lt;=0.000000001),0,IF(ISNUMBER(BA265),IFERROR(_xlfn.LET(_xlpm.ai_test,TRIM(AP265),_xlpm.r,IFERROR(_xlfn.XLOOKUP(_xlpm.ai_test,BP16:BP63,ROW(BP16:BP63),0,1),IFERROR(_xlfn.XLOOKUP(_xlpm.ai_test,BQ16:BQ63,ROW(BQ16:BQ63),0,1),_xlfn.XLOOKUP(_xlpm.ai_test,BR16:BR63,ROW(BR16:BR63),0,1))),_xlpm.p,_xlpm.r-MIN(ROW(BP16:BP63))+1,_xlpm.f,INDEX(BS16:BS63,_xlpm.p),_xlpm.u,INDEX(BT16:BT63,_xlpm.p),_xlpm.s,INDEX(BV16:BV63,_xlpm.p),_xlpm.q,N(BA265)/_xlpm.f,IF(_xlpm.q&gt;=_xlpm.s,ROUND(_xlpm.q,1)&amp;" "&amp;_xlpm.ai_test&amp;" = "&amp;ROUND(_xlpm.q*_xlpm.f,1)&amp;" "&amp;_xlpm.u,ROUND(_xlpm.q,1)&amp;" "&amp;_xlpm.ai_test)),""),""))))</f>
        <v>0</v>
      </c>
      <c r="BD265" s="801"/>
      <c r="BE265" s="788" t="str">
        <f t="shared" si="108"/>
        <v/>
      </c>
      <c r="BF265" s="789" t="str">
        <f t="shared" si="109"/>
        <v/>
      </c>
      <c r="BG265" s="790">
        <f t="shared" si="112"/>
        <v>0</v>
      </c>
      <c r="BH265" s="791" t="str">
        <f t="shared" si="113"/>
        <v/>
      </c>
      <c r="BI265" s="792"/>
      <c r="BJ265" s="793">
        <f t="shared" si="111"/>
        <v>0</v>
      </c>
      <c r="BK265" s="794" t="str">
        <f t="shared" si="110"/>
        <v/>
      </c>
      <c r="BL265" s="227" t="s">
        <v>21</v>
      </c>
      <c r="BM265" s="773">
        <f t="shared" si="99"/>
        <v>0</v>
      </c>
      <c r="BN265" s="774">
        <f t="shared" si="100"/>
        <v>0</v>
      </c>
      <c r="BO265"/>
      <c r="BP265" s="627"/>
      <c r="BQ265" s="627"/>
      <c r="BR265" s="627"/>
      <c r="BS265" s="627"/>
      <c r="BT265" s="627"/>
      <c r="BU265" s="627"/>
      <c r="BV265" s="627"/>
      <c r="BW265" s="627"/>
      <c r="CD265" s="781" t="str">
        <f t="shared" si="114"/>
        <v>►</v>
      </c>
      <c r="CI265"/>
      <c r="CJ265" s="633"/>
      <c r="DI265" s="3">
        <v>1</v>
      </c>
    </row>
    <row r="266" spans="1:115" ht="21" customHeight="1">
      <c r="A266" s="701" t="s">
        <v>21</v>
      </c>
      <c r="B266" s="2265" t="str" cm="1">
        <f t="array" ref="B266">SUMPRODUCT(--(D266:J266&lt;&gt;""), LEN(TRIM(SUBSTITUTE(D266:J266, CHAR(160), "")))) &amp; " Car."</f>
        <v>0 Car.</v>
      </c>
      <c r="C266" s="1376" t="str">
        <f>IF(ISBLANK(D266),"",LARGE(C13:C265,1)+1)</f>
        <v/>
      </c>
      <c r="D266" s="1833"/>
      <c r="E266" s="1810"/>
      <c r="F266" s="1810"/>
      <c r="G266" s="1810"/>
      <c r="H266" s="1810"/>
      <c r="I266" s="1810"/>
      <c r="J266" s="1810"/>
      <c r="K266" s="1810"/>
      <c r="L266" s="1811"/>
      <c r="M266" s="9"/>
      <c r="N266" s="162" t="str">
        <f t="shared" si="95"/>
        <v>►</v>
      </c>
      <c r="O266" s="1616"/>
      <c r="P266" s="9"/>
      <c r="Q266" s="25" t="s">
        <v>15</v>
      </c>
      <c r="R266" s="31"/>
      <c r="S266" s="32"/>
      <c r="T266" s="31"/>
      <c r="U266" s="33"/>
      <c r="V266" s="1967"/>
      <c r="W266" s="1805"/>
      <c r="X266" s="91"/>
      <c r="Y266" s="1806"/>
      <c r="Z266" s="1968"/>
      <c r="AA266" s="2244"/>
      <c r="AB266" s="1969"/>
      <c r="AC266" s="1365"/>
      <c r="AD266" s="95"/>
      <c r="AE266" s="1326"/>
      <c r="AF266" s="97"/>
      <c r="AG266" s="1737"/>
      <c r="AH266" s="1970"/>
      <c r="AI266" s="99"/>
      <c r="AJ266" s="1809"/>
      <c r="AK266" s="6120" t="str">
        <f t="shared" si="96"/>
        <v>►</v>
      </c>
      <c r="AL266" s="781" t="str">
        <f t="shared" si="98"/>
        <v>►</v>
      </c>
      <c r="AM266" s="5498" t="str">
        <f t="shared" si="101"/>
        <v/>
      </c>
      <c r="AN266" s="783" t="str">
        <f t="shared" si="102"/>
        <v/>
      </c>
      <c r="AO266" s="782" t="str">
        <f t="shared" si="103"/>
        <v/>
      </c>
      <c r="AP266" s="783" t="str">
        <f t="shared" si="104"/>
        <v/>
      </c>
      <c r="AQ266" s="2083" t="b">
        <f>AND(Q266="A",COUNTIF(BP16:BR63,TRIM(Z266))&gt;0)</f>
        <v>0</v>
      </c>
      <c r="AR266" s="797" t="str">
        <f>IF(AL266&lt;&gt;"A","",IFERROR(IFERROR(_xlfn.XLOOKUP(TRIM(SUBSTITUTE(Z266,CHAR(160)," ")),BP16:BP63,BS16:BS63),IFERROR(_xlfn.XLOOKUP(TRIM(SUBSTITUTE(Z266,CHAR(160)," ")),BQ16:BQ63,BS16:BS63),_xlfn.XLOOKUP(TRIM(SUBSTITUTE(Z266,CHAR(160)," ")),BR16:BR63,BS16:BS63)))*Y266*IF(ISBLANK(V266),1,V266),0))</f>
        <v/>
      </c>
      <c r="AS266" s="784" t="str">
        <f t="shared" si="115"/>
        <v/>
      </c>
      <c r="AT266" s="1315" t="str">
        <f t="shared" si="105"/>
        <v/>
      </c>
      <c r="AU266" s="785">
        <f t="shared" si="106"/>
        <v>0</v>
      </c>
      <c r="AV266" s="785">
        <f t="shared" si="107"/>
        <v>0</v>
      </c>
      <c r="AW266" s="798">
        <f>IF(AK266="A",AY10,0)</f>
        <v>0</v>
      </c>
      <c r="AX266" s="5496" t="str">
        <f>IF(IFERROR(SEARCH("Adresse PC",TRIM(W266)),0)&gt;0,"▼ receta siguiente",IF(AK266="A",IF(AZ10&lt;&gt;"",AZ10&amp;" - ou.or.o ❾ + or - &gt;",""),""))</f>
        <v/>
      </c>
      <c r="AY266" s="810"/>
      <c r="AZ266" s="810"/>
      <c r="BA266" s="799" t="str">
        <f t="shared" si="97"/>
        <v/>
      </c>
      <c r="BB266" s="800" t="str">
        <f>IF(AK266="A",IF(AQ266,IF(AND(AW266&lt;&gt;"",N(AW266)&gt;0),IFERROR(IFERROR(_xlfn.XLOOKUP(AP266,BP10:BP57,BT10:BT57),IFERROR(_xlfn.XLOOKUP(AP266,BQ10:BQ57,BT10:BT57),_xlfn.XLOOKUP(AP266,BR10:BR57,BT10:BT57,""))),""),""),""),"")</f>
        <v/>
      </c>
      <c r="BC266" s="813" cm="1">
        <f t="array" ref="BC266">IF(NOT(AQ266),0,IF(OR(BA266="",N(BA266)&lt;=0.000000001),"",IF(OR(AU266="",N(AU266)&lt;=0.000000001),0,IF(ISNUMBER(BA266),IFERROR(_xlfn.LET(_xlpm.ai_test,TRIM(AP266),_xlpm.r,IFERROR(_xlfn.XLOOKUP(_xlpm.ai_test,BP16:BP63,ROW(BP16:BP63),0,1),IFERROR(_xlfn.XLOOKUP(_xlpm.ai_test,BQ16:BQ63,ROW(BQ16:BQ63),0,1),_xlfn.XLOOKUP(_xlpm.ai_test,BR16:BR63,ROW(BR16:BR63),0,1))),_xlpm.p,_xlpm.r-MIN(ROW(BP16:BP63))+1,_xlpm.f,INDEX(BS16:BS63,_xlpm.p),_xlpm.u,INDEX(BT16:BT63,_xlpm.p),_xlpm.s,INDEX(BV16:BV63,_xlpm.p),_xlpm.q,N(BA266)/_xlpm.f,IF(_xlpm.q&gt;=_xlpm.s,ROUND(_xlpm.q,1)&amp;" "&amp;_xlpm.ai_test&amp;" = "&amp;ROUND(_xlpm.q*_xlpm.f,1)&amp;" "&amp;_xlpm.u,ROUND(_xlpm.q,1)&amp;" "&amp;_xlpm.ai_test)),""),""))))</f>
        <v>0</v>
      </c>
      <c r="BD266" s="801"/>
      <c r="BE266" s="799" t="str">
        <f t="shared" si="108"/>
        <v/>
      </c>
      <c r="BF266" s="800" t="str">
        <f t="shared" si="109"/>
        <v/>
      </c>
      <c r="BG266" s="802">
        <f t="shared" si="112"/>
        <v>0</v>
      </c>
      <c r="BH266" s="803" t="str">
        <f t="shared" si="113"/>
        <v/>
      </c>
      <c r="BI266" s="792"/>
      <c r="BJ266" s="804">
        <f t="shared" si="111"/>
        <v>0</v>
      </c>
      <c r="BK266" s="794" t="str">
        <f t="shared" si="110"/>
        <v/>
      </c>
      <c r="BL266" s="227" t="s">
        <v>21</v>
      </c>
      <c r="BM266" s="773">
        <f t="shared" si="99"/>
        <v>0</v>
      </c>
      <c r="BN266" s="774">
        <f t="shared" si="100"/>
        <v>0</v>
      </c>
      <c r="BO266"/>
      <c r="BP266" s="627"/>
      <c r="BQ266" s="627"/>
      <c r="BR266" s="627"/>
      <c r="BS266" s="627"/>
      <c r="BT266" s="627"/>
      <c r="BU266" s="627"/>
      <c r="BV266" s="627"/>
      <c r="BW266" s="627"/>
      <c r="CD266" s="781" t="str">
        <f t="shared" si="114"/>
        <v>►</v>
      </c>
      <c r="CI266"/>
      <c r="CJ266" s="633"/>
      <c r="DI266" s="3">
        <v>1</v>
      </c>
    </row>
    <row r="267" spans="1:115" s="633" customFormat="1" ht="21" customHeight="1">
      <c r="A267" s="701" t="s">
        <v>21</v>
      </c>
      <c r="B267" s="2265" t="str" cm="1">
        <f t="array" ref="B267">SUMPRODUCT(--(D267:J267&lt;&gt;""), LEN(TRIM(SUBSTITUTE(D267:J267, CHAR(160), "")))) &amp; " Car."</f>
        <v>0 Car.</v>
      </c>
      <c r="C267" s="1376" t="str">
        <f>IF(ISBLANK(D267),"",LARGE(C13:C266,1)+1)</f>
        <v/>
      </c>
      <c r="D267" s="1833"/>
      <c r="E267" s="1810"/>
      <c r="F267" s="1810"/>
      <c r="G267" s="1810"/>
      <c r="H267" s="1810"/>
      <c r="I267" s="1810"/>
      <c r="J267" s="1810"/>
      <c r="K267" s="1810"/>
      <c r="L267" s="1811"/>
      <c r="M267" s="9"/>
      <c r="N267" s="162" t="str">
        <f t="shared" si="95"/>
        <v>►</v>
      </c>
      <c r="O267" s="1616"/>
      <c r="P267" s="9"/>
      <c r="Q267" s="25" t="s">
        <v>15</v>
      </c>
      <c r="R267" s="31"/>
      <c r="S267" s="32"/>
      <c r="T267" s="31"/>
      <c r="U267" s="33"/>
      <c r="V267" s="1967"/>
      <c r="W267" s="1805"/>
      <c r="X267" s="91"/>
      <c r="Y267" s="1806"/>
      <c r="Z267" s="1968"/>
      <c r="AA267" s="2244"/>
      <c r="AB267" s="1969"/>
      <c r="AC267" s="1365"/>
      <c r="AD267" s="95"/>
      <c r="AE267" s="1326"/>
      <c r="AF267" s="97"/>
      <c r="AG267" s="1737"/>
      <c r="AH267" s="1970"/>
      <c r="AI267" s="99"/>
      <c r="AJ267" s="1809"/>
      <c r="AK267" s="6120" t="str">
        <f t="shared" si="96"/>
        <v>►</v>
      </c>
      <c r="AL267" s="781" t="str">
        <f t="shared" si="98"/>
        <v>►</v>
      </c>
      <c r="AM267" s="5499" t="str">
        <f t="shared" si="101"/>
        <v/>
      </c>
      <c r="AN267" s="783" t="str">
        <f t="shared" si="102"/>
        <v/>
      </c>
      <c r="AO267" s="782" t="str">
        <f t="shared" si="103"/>
        <v/>
      </c>
      <c r="AP267" s="783" t="str">
        <f t="shared" si="104"/>
        <v/>
      </c>
      <c r="AQ267" s="2083" t="b">
        <f>AND(Q267="A",COUNTIF(BP16:BR63,TRIM(Z267))&gt;0)</f>
        <v>0</v>
      </c>
      <c r="AR267" s="797" t="str">
        <f>IF(AL267&lt;&gt;"A","",IFERROR(IFERROR(_xlfn.XLOOKUP(TRIM(SUBSTITUTE(Z267,CHAR(160)," ")),BP16:BP63,BS16:BS63),IFERROR(_xlfn.XLOOKUP(TRIM(SUBSTITUTE(Z267,CHAR(160)," ")),BQ16:BQ63,BS16:BS63),_xlfn.XLOOKUP(TRIM(SUBSTITUTE(Z267,CHAR(160)," ")),BR16:BR63,BS16:BS63)))*Y267*IF(ISBLANK(V267),1,V267),0))</f>
        <v/>
      </c>
      <c r="AS267" s="784" t="str">
        <f t="shared" si="115"/>
        <v/>
      </c>
      <c r="AT267" s="1315" t="str">
        <f t="shared" si="105"/>
        <v/>
      </c>
      <c r="AU267" s="785">
        <f t="shared" si="106"/>
        <v>0</v>
      </c>
      <c r="AV267" s="785">
        <f t="shared" si="107"/>
        <v>0</v>
      </c>
      <c r="AW267" s="786">
        <f>IF(AK267="A",AY10,0)</f>
        <v>0</v>
      </c>
      <c r="AX267" s="5495" t="str">
        <f>IF(IFERROR(SEARCH("Adresse PC",TRIM(W267)),0)&gt;0,"▼ receta siguiente",IF(AK267="A",IF(AZ10&lt;&gt;"",AZ10&amp;" - ou.or.o ❾ + or - &gt;",""),""))</f>
        <v/>
      </c>
      <c r="AY267" s="810"/>
      <c r="AZ267" s="810"/>
      <c r="BA267" s="788" t="str">
        <f t="shared" si="97"/>
        <v/>
      </c>
      <c r="BB267" s="789" t="str">
        <f>IF(AK267="A",IF(AQ267,IF(AND(AW267&lt;&gt;"",N(AW267)&gt;0),IFERROR(IFERROR(_xlfn.XLOOKUP(AP267,BP10:BP57,BT10:BT57),IFERROR(_xlfn.XLOOKUP(AP267,BQ10:BQ57,BT10:BT57),_xlfn.XLOOKUP(AP267,BR10:BR57,BT10:BT57,""))),""),""),""),"")</f>
        <v/>
      </c>
      <c r="BC267" s="811" cm="1">
        <f t="array" ref="BC267">IF(NOT(AQ267),0,IF(OR(BA267="",N(BA267)&lt;=0.000000001),"",IF(OR(AU267="",N(AU267)&lt;=0.000000001),0,IF(ISNUMBER(BA267),IFERROR(_xlfn.LET(_xlpm.ai_test,TRIM(AP267),_xlpm.r,IFERROR(_xlfn.XLOOKUP(_xlpm.ai_test,BP16:BP63,ROW(BP16:BP63),0,1),IFERROR(_xlfn.XLOOKUP(_xlpm.ai_test,BQ16:BQ63,ROW(BQ16:BQ63),0,1),_xlfn.XLOOKUP(_xlpm.ai_test,BR16:BR63,ROW(BR16:BR63),0,1))),_xlpm.p,_xlpm.r-MIN(ROW(BP16:BP63))+1,_xlpm.f,INDEX(BS16:BS63,_xlpm.p),_xlpm.u,INDEX(BT16:BT63,_xlpm.p),_xlpm.s,INDEX(BV16:BV63,_xlpm.p),_xlpm.q,N(BA267)/_xlpm.f,IF(_xlpm.q&gt;=_xlpm.s,ROUND(_xlpm.q,1)&amp;" "&amp;_xlpm.ai_test&amp;" = "&amp;ROUND(_xlpm.q*_xlpm.f,1)&amp;" "&amp;_xlpm.u,ROUND(_xlpm.q,1)&amp;" "&amp;_xlpm.ai_test)),""),""))))</f>
        <v>0</v>
      </c>
      <c r="BD267" s="801"/>
      <c r="BE267" s="788" t="str">
        <f t="shared" si="108"/>
        <v/>
      </c>
      <c r="BF267" s="789" t="str">
        <f t="shared" si="109"/>
        <v/>
      </c>
      <c r="BG267" s="790">
        <f t="shared" si="112"/>
        <v>0</v>
      </c>
      <c r="BH267" s="791" t="str">
        <f t="shared" si="113"/>
        <v/>
      </c>
      <c r="BI267" s="792"/>
      <c r="BJ267" s="793">
        <f t="shared" si="111"/>
        <v>0</v>
      </c>
      <c r="BK267" s="794" t="str">
        <f t="shared" si="110"/>
        <v/>
      </c>
      <c r="BL267" s="227" t="s">
        <v>21</v>
      </c>
      <c r="BM267" s="773">
        <f t="shared" si="99"/>
        <v>0</v>
      </c>
      <c r="BN267" s="774">
        <f t="shared" si="100"/>
        <v>0</v>
      </c>
      <c r="BO267"/>
      <c r="BP267" s="627"/>
      <c r="BQ267" s="627"/>
      <c r="BR267" s="627"/>
      <c r="BS267" s="627"/>
      <c r="BT267" s="627"/>
      <c r="BU267" s="627"/>
      <c r="BV267" s="627"/>
      <c r="BW267" s="627"/>
      <c r="BX267"/>
      <c r="BY267"/>
      <c r="BZ267"/>
      <c r="CA267"/>
      <c r="CB267"/>
      <c r="CC267"/>
      <c r="CD267" s="781" t="str">
        <f t="shared" si="114"/>
        <v>►</v>
      </c>
      <c r="CE267"/>
      <c r="CF267"/>
      <c r="CG267"/>
      <c r="CH267"/>
      <c r="CI267"/>
      <c r="CK267"/>
      <c r="CL267"/>
      <c r="CM267"/>
      <c r="CN267"/>
      <c r="CO267"/>
      <c r="CP267"/>
      <c r="CQ267"/>
      <c r="CR267" s="227"/>
      <c r="CS267"/>
      <c r="CT267"/>
      <c r="CU267"/>
      <c r="CV267"/>
      <c r="CW267"/>
      <c r="CX267"/>
      <c r="CY267"/>
      <c r="CZ267" s="227"/>
      <c r="DA267"/>
      <c r="DB267"/>
      <c r="DC267"/>
      <c r="DD267"/>
      <c r="DE267"/>
      <c r="DF267"/>
      <c r="DG267"/>
      <c r="DH267" s="227"/>
      <c r="DI267" s="3">
        <v>1</v>
      </c>
      <c r="DJ267" s="627"/>
      <c r="DK267" s="627"/>
    </row>
    <row r="268" spans="1:115" s="633" customFormat="1" ht="21" customHeight="1">
      <c r="A268" s="701" t="s">
        <v>21</v>
      </c>
      <c r="B268" s="2265" t="str" cm="1">
        <f t="array" ref="B268">SUMPRODUCT(--(D268:J268&lt;&gt;""), LEN(TRIM(SUBSTITUTE(D268:J268, CHAR(160), "")))) &amp; " Car."</f>
        <v>0 Car.</v>
      </c>
      <c r="C268" s="1376" t="str">
        <f>IF(ISBLANK(D268),"",LARGE(C13:C267,1)+1)</f>
        <v/>
      </c>
      <c r="D268" s="1833"/>
      <c r="E268" s="1810"/>
      <c r="F268" s="1810"/>
      <c r="G268" s="1810"/>
      <c r="H268" s="1810"/>
      <c r="I268" s="1810"/>
      <c r="J268" s="1810"/>
      <c r="K268" s="1810"/>
      <c r="L268" s="1811"/>
      <c r="M268" s="9"/>
      <c r="N268" s="162" t="str">
        <f t="shared" si="95"/>
        <v>►</v>
      </c>
      <c r="O268" s="1616"/>
      <c r="P268" s="9"/>
      <c r="Q268" s="25" t="s">
        <v>15</v>
      </c>
      <c r="R268" s="31"/>
      <c r="S268" s="32"/>
      <c r="T268" s="31"/>
      <c r="U268" s="33"/>
      <c r="V268" s="1967"/>
      <c r="W268" s="1805"/>
      <c r="X268" s="91"/>
      <c r="Y268" s="1806"/>
      <c r="Z268" s="1968"/>
      <c r="AA268" s="2244"/>
      <c r="AB268" s="1969"/>
      <c r="AC268" s="1365"/>
      <c r="AD268" s="95"/>
      <c r="AE268" s="1326"/>
      <c r="AF268" s="97"/>
      <c r="AG268" s="1737"/>
      <c r="AH268" s="1970"/>
      <c r="AI268" s="99"/>
      <c r="AJ268" s="1809"/>
      <c r="AK268" s="6120" t="str">
        <f t="shared" si="96"/>
        <v>►</v>
      </c>
      <c r="AL268" s="781" t="str">
        <f t="shared" si="98"/>
        <v>►</v>
      </c>
      <c r="AM268" s="5498" t="str">
        <f t="shared" si="101"/>
        <v/>
      </c>
      <c r="AN268" s="783" t="str">
        <f t="shared" si="102"/>
        <v/>
      </c>
      <c r="AO268" s="782" t="str">
        <f t="shared" si="103"/>
        <v/>
      </c>
      <c r="AP268" s="783" t="str">
        <f t="shared" si="104"/>
        <v/>
      </c>
      <c r="AQ268" s="2083" t="b">
        <f>AND(Q268="A",COUNTIF(BP16:BR63,TRIM(Z268))&gt;0)</f>
        <v>0</v>
      </c>
      <c r="AR268" s="797" t="str">
        <f>IF(AL268&lt;&gt;"A","",IFERROR(IFERROR(_xlfn.XLOOKUP(TRIM(SUBSTITUTE(Z268,CHAR(160)," ")),BP16:BP63,BS16:BS63),IFERROR(_xlfn.XLOOKUP(TRIM(SUBSTITUTE(Z268,CHAR(160)," ")),BQ16:BQ63,BS16:BS63),_xlfn.XLOOKUP(TRIM(SUBSTITUTE(Z268,CHAR(160)," ")),BR16:BR63,BS16:BS63)))*Y268*IF(ISBLANK(V268),1,V268),0))</f>
        <v/>
      </c>
      <c r="AS268" s="784" t="str">
        <f t="shared" si="115"/>
        <v/>
      </c>
      <c r="AT268" s="1315" t="str">
        <f t="shared" si="105"/>
        <v/>
      </c>
      <c r="AU268" s="785">
        <f t="shared" si="106"/>
        <v>0</v>
      </c>
      <c r="AV268" s="785">
        <f t="shared" si="107"/>
        <v>0</v>
      </c>
      <c r="AW268" s="798">
        <f>IF(AK268="A",AY10,0)</f>
        <v>0</v>
      </c>
      <c r="AX268" s="5496" t="str">
        <f>IF(IFERROR(SEARCH("Adresse PC",TRIM(W268)),0)&gt;0,"▼ receta siguiente",IF(AK268="A",IF(AZ10&lt;&gt;"",AZ10&amp;" - ou.or.o ❾ + or - &gt;",""),""))</f>
        <v/>
      </c>
      <c r="AY268" s="810"/>
      <c r="AZ268" s="810"/>
      <c r="BA268" s="799" t="str">
        <f t="shared" si="97"/>
        <v/>
      </c>
      <c r="BB268" s="800" t="str">
        <f>IF(AK268="A",IF(AQ268,IF(AND(AW268&lt;&gt;"",N(AW268)&gt;0),IFERROR(IFERROR(_xlfn.XLOOKUP(AP268,BP10:BP57,BT10:BT57),IFERROR(_xlfn.XLOOKUP(AP268,BQ10:BQ57,BT10:BT57),_xlfn.XLOOKUP(AP268,BR10:BR57,BT10:BT57,""))),""),""),""),"")</f>
        <v/>
      </c>
      <c r="BC268" s="813" cm="1">
        <f t="array" ref="BC268">IF(NOT(AQ268),0,IF(OR(BA268="",N(BA268)&lt;=0.000000001),"",IF(OR(AU268="",N(AU268)&lt;=0.000000001),0,IF(ISNUMBER(BA268),IFERROR(_xlfn.LET(_xlpm.ai_test,TRIM(AP268),_xlpm.r,IFERROR(_xlfn.XLOOKUP(_xlpm.ai_test,BP16:BP63,ROW(BP16:BP63),0,1),IFERROR(_xlfn.XLOOKUP(_xlpm.ai_test,BQ16:BQ63,ROW(BQ16:BQ63),0,1),_xlfn.XLOOKUP(_xlpm.ai_test,BR16:BR63,ROW(BR16:BR63),0,1))),_xlpm.p,_xlpm.r-MIN(ROW(BP16:BP63))+1,_xlpm.f,INDEX(BS16:BS63,_xlpm.p),_xlpm.u,INDEX(BT16:BT63,_xlpm.p),_xlpm.s,INDEX(BV16:BV63,_xlpm.p),_xlpm.q,N(BA268)/_xlpm.f,IF(_xlpm.q&gt;=_xlpm.s,ROUND(_xlpm.q,1)&amp;" "&amp;_xlpm.ai_test&amp;" = "&amp;ROUND(_xlpm.q*_xlpm.f,1)&amp;" "&amp;_xlpm.u,ROUND(_xlpm.q,1)&amp;" "&amp;_xlpm.ai_test)),""),""))))</f>
        <v>0</v>
      </c>
      <c r="BD268" s="801"/>
      <c r="BE268" s="799" t="str">
        <f t="shared" si="108"/>
        <v/>
      </c>
      <c r="BF268" s="800" t="str">
        <f t="shared" si="109"/>
        <v/>
      </c>
      <c r="BG268" s="802">
        <f t="shared" si="112"/>
        <v>0</v>
      </c>
      <c r="BH268" s="803" t="str">
        <f t="shared" si="113"/>
        <v/>
      </c>
      <c r="BI268" s="792"/>
      <c r="BJ268" s="804">
        <f t="shared" si="111"/>
        <v>0</v>
      </c>
      <c r="BK268" s="794" t="str">
        <f t="shared" si="110"/>
        <v/>
      </c>
      <c r="BL268" s="227" t="s">
        <v>21</v>
      </c>
      <c r="BM268" s="773">
        <f t="shared" si="99"/>
        <v>0</v>
      </c>
      <c r="BN268" s="774">
        <f t="shared" si="100"/>
        <v>0</v>
      </c>
      <c r="BO268"/>
      <c r="BP268" s="627"/>
      <c r="BQ268" s="627"/>
      <c r="BR268" s="627"/>
      <c r="BS268" s="627"/>
      <c r="BT268" s="627"/>
      <c r="BU268" s="627"/>
      <c r="BV268" s="627"/>
      <c r="BW268" s="627"/>
      <c r="BX268"/>
      <c r="BY268"/>
      <c r="BZ268"/>
      <c r="CA268"/>
      <c r="CB268"/>
      <c r="CC268"/>
      <c r="CD268" s="781" t="str">
        <f t="shared" si="114"/>
        <v>►</v>
      </c>
      <c r="CE268"/>
      <c r="CF268"/>
      <c r="CG268"/>
      <c r="CH268"/>
      <c r="CI268"/>
      <c r="CK268"/>
      <c r="CL268"/>
      <c r="CM268"/>
      <c r="CN268"/>
      <c r="CO268"/>
      <c r="CP268"/>
      <c r="CQ268"/>
      <c r="CR268" s="227"/>
      <c r="CS268"/>
      <c r="CT268"/>
      <c r="CU268"/>
      <c r="CV268"/>
      <c r="CW268"/>
      <c r="CX268"/>
      <c r="CY268"/>
      <c r="CZ268" s="227"/>
      <c r="DA268"/>
      <c r="DB268"/>
      <c r="DC268"/>
      <c r="DD268"/>
      <c r="DE268"/>
      <c r="DF268"/>
      <c r="DG268"/>
      <c r="DH268" s="227"/>
      <c r="DI268" s="3">
        <v>1</v>
      </c>
      <c r="DJ268" s="627"/>
      <c r="DK268" s="627"/>
    </row>
    <row r="269" spans="1:115" s="633" customFormat="1" ht="21" customHeight="1">
      <c r="A269" s="701" t="s">
        <v>21</v>
      </c>
      <c r="B269" s="2265" t="str" cm="1">
        <f t="array" ref="B269">SUMPRODUCT(--(D269:J269&lt;&gt;""), LEN(TRIM(SUBSTITUTE(D269:J269, CHAR(160), "")))) &amp; " Car."</f>
        <v>0 Car.</v>
      </c>
      <c r="C269" s="1376" t="str">
        <f>IF(ISBLANK(D269),"",LARGE(C13:C268,1)+1)</f>
        <v/>
      </c>
      <c r="D269" s="1833"/>
      <c r="E269" s="1810"/>
      <c r="F269" s="1810"/>
      <c r="G269" s="1810"/>
      <c r="H269" s="1810"/>
      <c r="I269" s="1810"/>
      <c r="J269" s="1810"/>
      <c r="K269" s="1810"/>
      <c r="L269" s="1811"/>
      <c r="M269" s="9"/>
      <c r="N269" s="162" t="str">
        <f t="shared" si="95"/>
        <v>►</v>
      </c>
      <c r="O269" s="1616"/>
      <c r="P269" s="9"/>
      <c r="Q269" s="25" t="s">
        <v>15</v>
      </c>
      <c r="R269" s="31"/>
      <c r="S269" s="32"/>
      <c r="T269" s="31"/>
      <c r="U269" s="33"/>
      <c r="V269" s="1967"/>
      <c r="W269" s="1805"/>
      <c r="X269" s="91"/>
      <c r="Y269" s="1806"/>
      <c r="Z269" s="1968"/>
      <c r="AA269" s="2244"/>
      <c r="AB269" s="1969"/>
      <c r="AC269" s="1365"/>
      <c r="AD269" s="95"/>
      <c r="AE269" s="1326"/>
      <c r="AF269" s="97"/>
      <c r="AG269" s="1737"/>
      <c r="AH269" s="1970"/>
      <c r="AI269" s="99"/>
      <c r="AJ269" s="1809"/>
      <c r="AK269" s="6120" t="str">
        <f t="shared" si="96"/>
        <v>►</v>
      </c>
      <c r="AL269" s="781" t="str">
        <f t="shared" si="98"/>
        <v>►</v>
      </c>
      <c r="AM269" s="5499" t="str">
        <f t="shared" si="101"/>
        <v/>
      </c>
      <c r="AN269" s="783" t="str">
        <f t="shared" si="102"/>
        <v/>
      </c>
      <c r="AO269" s="782" t="str">
        <f t="shared" si="103"/>
        <v/>
      </c>
      <c r="AP269" s="783" t="str">
        <f t="shared" si="104"/>
        <v/>
      </c>
      <c r="AQ269" s="2083" t="b">
        <f>AND(Q269="A",COUNTIF(BP16:BR63,TRIM(Z269))&gt;0)</f>
        <v>0</v>
      </c>
      <c r="AR269" s="797" t="str">
        <f>IF(AL269&lt;&gt;"A","",IFERROR(IFERROR(_xlfn.XLOOKUP(TRIM(SUBSTITUTE(Z269,CHAR(160)," ")),BP16:BP63,BS16:BS63),IFERROR(_xlfn.XLOOKUP(TRIM(SUBSTITUTE(Z269,CHAR(160)," ")),BQ16:BQ63,BS16:BS63),_xlfn.XLOOKUP(TRIM(SUBSTITUTE(Z269,CHAR(160)," ")),BR16:BR63,BS16:BS63)))*Y269*IF(ISBLANK(V269),1,V269),0))</f>
        <v/>
      </c>
      <c r="AS269" s="784" t="str">
        <f t="shared" si="115"/>
        <v/>
      </c>
      <c r="AT269" s="1315" t="str">
        <f t="shared" si="105"/>
        <v/>
      </c>
      <c r="AU269" s="785">
        <f t="shared" si="106"/>
        <v>0</v>
      </c>
      <c r="AV269" s="785">
        <f t="shared" si="107"/>
        <v>0</v>
      </c>
      <c r="AW269" s="786">
        <f>IF(AK269="A",AY10,0)</f>
        <v>0</v>
      </c>
      <c r="AX269" s="5495" t="str">
        <f>IF(IFERROR(SEARCH("Adresse PC",TRIM(W269)),0)&gt;0,"▼ receta siguiente",IF(AK269="A",IF(AZ10&lt;&gt;"",AZ10&amp;" - ou.or.o ❾ + or - &gt;",""),""))</f>
        <v/>
      </c>
      <c r="AY269" s="810"/>
      <c r="AZ269" s="810"/>
      <c r="BA269" s="788" t="str">
        <f t="shared" si="97"/>
        <v/>
      </c>
      <c r="BB269" s="789" t="str">
        <f>IF(AK269="A",IF(AQ269,IF(AND(AW269&lt;&gt;"",N(AW269)&gt;0),IFERROR(IFERROR(_xlfn.XLOOKUP(AP269,BP10:BP57,BT10:BT57),IFERROR(_xlfn.XLOOKUP(AP269,BQ10:BQ57,BT10:BT57),_xlfn.XLOOKUP(AP269,BR10:BR57,BT10:BT57,""))),""),""),""),"")</f>
        <v/>
      </c>
      <c r="BC269" s="811" cm="1">
        <f t="array" ref="BC269">IF(NOT(AQ269),0,IF(OR(BA269="",N(BA269)&lt;=0.000000001),"",IF(OR(AU269="",N(AU269)&lt;=0.000000001),0,IF(ISNUMBER(BA269),IFERROR(_xlfn.LET(_xlpm.ai_test,TRIM(AP269),_xlpm.r,IFERROR(_xlfn.XLOOKUP(_xlpm.ai_test,BP16:BP63,ROW(BP16:BP63),0,1),IFERROR(_xlfn.XLOOKUP(_xlpm.ai_test,BQ16:BQ63,ROW(BQ16:BQ63),0,1),_xlfn.XLOOKUP(_xlpm.ai_test,BR16:BR63,ROW(BR16:BR63),0,1))),_xlpm.p,_xlpm.r-MIN(ROW(BP16:BP63))+1,_xlpm.f,INDEX(BS16:BS63,_xlpm.p),_xlpm.u,INDEX(BT16:BT63,_xlpm.p),_xlpm.s,INDEX(BV16:BV63,_xlpm.p),_xlpm.q,N(BA269)/_xlpm.f,IF(_xlpm.q&gt;=_xlpm.s,ROUND(_xlpm.q,1)&amp;" "&amp;_xlpm.ai_test&amp;" = "&amp;ROUND(_xlpm.q*_xlpm.f,1)&amp;" "&amp;_xlpm.u,ROUND(_xlpm.q,1)&amp;" "&amp;_xlpm.ai_test)),""),""))))</f>
        <v>0</v>
      </c>
      <c r="BD269" s="801"/>
      <c r="BE269" s="788" t="str">
        <f t="shared" si="108"/>
        <v/>
      </c>
      <c r="BF269" s="789" t="str">
        <f t="shared" si="109"/>
        <v/>
      </c>
      <c r="BG269" s="790">
        <f t="shared" si="112"/>
        <v>0</v>
      </c>
      <c r="BH269" s="791" t="str">
        <f t="shared" si="113"/>
        <v/>
      </c>
      <c r="BI269" s="792"/>
      <c r="BJ269" s="793">
        <f t="shared" si="111"/>
        <v>0</v>
      </c>
      <c r="BK269" s="794" t="str">
        <f t="shared" si="110"/>
        <v/>
      </c>
      <c r="BL269" s="227" t="s">
        <v>21</v>
      </c>
      <c r="BM269" s="773">
        <f t="shared" si="99"/>
        <v>0</v>
      </c>
      <c r="BN269" s="774">
        <f t="shared" si="100"/>
        <v>0</v>
      </c>
      <c r="BO269"/>
      <c r="BP269" s="627"/>
      <c r="BQ269" s="627"/>
      <c r="BR269" s="627"/>
      <c r="BS269" s="627"/>
      <c r="BT269" s="627"/>
      <c r="BU269" s="627"/>
      <c r="BV269" s="627"/>
      <c r="BW269" s="627"/>
      <c r="BX269"/>
      <c r="BY269"/>
      <c r="BZ269"/>
      <c r="CA269"/>
      <c r="CB269"/>
      <c r="CC269"/>
      <c r="CD269" s="781" t="str">
        <f t="shared" si="114"/>
        <v>►</v>
      </c>
      <c r="CE269"/>
      <c r="CF269"/>
      <c r="CG269"/>
      <c r="CH269"/>
      <c r="CI269"/>
      <c r="CK269"/>
      <c r="CL269"/>
      <c r="CM269"/>
      <c r="CN269"/>
      <c r="CO269"/>
      <c r="CP269"/>
      <c r="CQ269"/>
      <c r="CR269" s="227"/>
      <c r="CS269"/>
      <c r="CT269"/>
      <c r="CU269"/>
      <c r="CV269"/>
      <c r="CW269"/>
      <c r="CX269"/>
      <c r="CY269"/>
      <c r="CZ269" s="227"/>
      <c r="DA269"/>
      <c r="DB269"/>
      <c r="DC269"/>
      <c r="DD269"/>
      <c r="DE269"/>
      <c r="DF269"/>
      <c r="DG269"/>
      <c r="DH269" s="227"/>
      <c r="DI269" s="3">
        <v>1</v>
      </c>
      <c r="DJ269" s="627"/>
      <c r="DK269" s="627"/>
    </row>
    <row r="270" spans="1:115" s="633" customFormat="1" ht="21" customHeight="1">
      <c r="A270" s="701" t="s">
        <v>21</v>
      </c>
      <c r="B270" s="2265" t="str" cm="1">
        <f t="array" ref="B270">SUMPRODUCT(--(D270:J270&lt;&gt;""), LEN(TRIM(SUBSTITUTE(D270:J270, CHAR(160), "")))) &amp; " Car."</f>
        <v>0 Car.</v>
      </c>
      <c r="C270" s="1376" t="str">
        <f>IF(ISBLANK(D270),"",LARGE(C13:C269,1)+1)</f>
        <v/>
      </c>
      <c r="D270" s="1833"/>
      <c r="E270" s="1810"/>
      <c r="F270" s="1810"/>
      <c r="G270" s="1810"/>
      <c r="H270" s="1810"/>
      <c r="I270" s="1810"/>
      <c r="J270" s="1810"/>
      <c r="K270" s="1810"/>
      <c r="L270" s="1811"/>
      <c r="M270" s="9"/>
      <c r="N270" s="162" t="str">
        <f t="shared" ref="N270:N333" si="116">Q270</f>
        <v>►</v>
      </c>
      <c r="O270" s="1616"/>
      <c r="P270" s="9"/>
      <c r="Q270" s="25" t="s">
        <v>15</v>
      </c>
      <c r="R270" s="31"/>
      <c r="S270" s="32"/>
      <c r="T270" s="31"/>
      <c r="U270" s="33"/>
      <c r="V270" s="1967"/>
      <c r="W270" s="1805"/>
      <c r="X270" s="91"/>
      <c r="Y270" s="1806"/>
      <c r="Z270" s="1968"/>
      <c r="AA270" s="2244"/>
      <c r="AB270" s="1969"/>
      <c r="AC270" s="1365"/>
      <c r="AD270" s="95"/>
      <c r="AE270" s="1326"/>
      <c r="AF270" s="97"/>
      <c r="AG270" s="1737"/>
      <c r="AH270" s="1970"/>
      <c r="AI270" s="99"/>
      <c r="AJ270" s="1809"/>
      <c r="AK270" s="6120" t="str">
        <f t="shared" si="96"/>
        <v>►</v>
      </c>
      <c r="AL270" s="781" t="str">
        <f t="shared" si="98"/>
        <v>►</v>
      </c>
      <c r="AM270" s="5498" t="str">
        <f t="shared" si="101"/>
        <v/>
      </c>
      <c r="AN270" s="783" t="str">
        <f t="shared" si="102"/>
        <v/>
      </c>
      <c r="AO270" s="782" t="str">
        <f t="shared" si="103"/>
        <v/>
      </c>
      <c r="AP270" s="783" t="str">
        <f t="shared" si="104"/>
        <v/>
      </c>
      <c r="AQ270" s="2083" t="b">
        <f>AND(Q270="A",COUNTIF(BP16:BR63,TRIM(Z270))&gt;0)</f>
        <v>0</v>
      </c>
      <c r="AR270" s="797" t="str">
        <f>IF(AL270&lt;&gt;"A","",IFERROR(IFERROR(_xlfn.XLOOKUP(TRIM(SUBSTITUTE(Z270,CHAR(160)," ")),BP16:BP63,BS16:BS63),IFERROR(_xlfn.XLOOKUP(TRIM(SUBSTITUTE(Z270,CHAR(160)," ")),BQ16:BQ63,BS16:BS63),_xlfn.XLOOKUP(TRIM(SUBSTITUTE(Z270,CHAR(160)," ")),BR16:BR63,BS16:BS63)))*Y270*IF(ISBLANK(V270),1,V270),0))</f>
        <v/>
      </c>
      <c r="AS270" s="784" t="str">
        <f t="shared" si="115"/>
        <v/>
      </c>
      <c r="AT270" s="1315" t="str">
        <f t="shared" si="105"/>
        <v/>
      </c>
      <c r="AU270" s="785">
        <f t="shared" si="106"/>
        <v>0</v>
      </c>
      <c r="AV270" s="785">
        <f t="shared" si="107"/>
        <v>0</v>
      </c>
      <c r="AW270" s="798">
        <f>IF(AK270="A",AY10,0)</f>
        <v>0</v>
      </c>
      <c r="AX270" s="5496" t="str">
        <f>IF(IFERROR(SEARCH("Adresse PC",TRIM(W270)),0)&gt;0,"▼ receta siguiente",IF(AK270="A",IF(AZ10&lt;&gt;"",AZ10&amp;" - ou.or.o ❾ + or - &gt;",""),""))</f>
        <v/>
      </c>
      <c r="AY270" s="810"/>
      <c r="AZ270" s="810"/>
      <c r="BA270" s="799" t="str">
        <f t="shared" si="97"/>
        <v/>
      </c>
      <c r="BB270" s="800" t="str">
        <f>IF(AK270="A",IF(AQ270,IF(AND(AW270&lt;&gt;"",N(AW270)&gt;0),IFERROR(IFERROR(_xlfn.XLOOKUP(AP270,BP10:BP57,BT10:BT57),IFERROR(_xlfn.XLOOKUP(AP270,BQ10:BQ57,BT10:BT57),_xlfn.XLOOKUP(AP270,BR10:BR57,BT10:BT57,""))),""),""),""),"")</f>
        <v/>
      </c>
      <c r="BC270" s="813" cm="1">
        <f t="array" ref="BC270">IF(NOT(AQ270),0,IF(OR(BA270="",N(BA270)&lt;=0.000000001),"",IF(OR(AU270="",N(AU270)&lt;=0.000000001),0,IF(ISNUMBER(BA270),IFERROR(_xlfn.LET(_xlpm.ai_test,TRIM(AP270),_xlpm.r,IFERROR(_xlfn.XLOOKUP(_xlpm.ai_test,BP16:BP63,ROW(BP16:BP63),0,1),IFERROR(_xlfn.XLOOKUP(_xlpm.ai_test,BQ16:BQ63,ROW(BQ16:BQ63),0,1),_xlfn.XLOOKUP(_xlpm.ai_test,BR16:BR63,ROW(BR16:BR63),0,1))),_xlpm.p,_xlpm.r-MIN(ROW(BP16:BP63))+1,_xlpm.f,INDEX(BS16:BS63,_xlpm.p),_xlpm.u,INDEX(BT16:BT63,_xlpm.p),_xlpm.s,INDEX(BV16:BV63,_xlpm.p),_xlpm.q,N(BA270)/_xlpm.f,IF(_xlpm.q&gt;=_xlpm.s,ROUND(_xlpm.q,1)&amp;" "&amp;_xlpm.ai_test&amp;" = "&amp;ROUND(_xlpm.q*_xlpm.f,1)&amp;" "&amp;_xlpm.u,ROUND(_xlpm.q,1)&amp;" "&amp;_xlpm.ai_test)),""),""))))</f>
        <v>0</v>
      </c>
      <c r="BD270" s="801"/>
      <c r="BE270" s="799" t="str">
        <f t="shared" si="108"/>
        <v/>
      </c>
      <c r="BF270" s="800" t="str">
        <f t="shared" si="109"/>
        <v/>
      </c>
      <c r="BG270" s="802">
        <f t="shared" si="112"/>
        <v>0</v>
      </c>
      <c r="BH270" s="803" t="str">
        <f t="shared" si="113"/>
        <v/>
      </c>
      <c r="BI270" s="792"/>
      <c r="BJ270" s="804">
        <f t="shared" si="111"/>
        <v>0</v>
      </c>
      <c r="BK270" s="794" t="str">
        <f t="shared" si="110"/>
        <v/>
      </c>
      <c r="BL270" s="227" t="s">
        <v>21</v>
      </c>
      <c r="BM270" s="773">
        <f t="shared" si="99"/>
        <v>0</v>
      </c>
      <c r="BN270" s="774">
        <f t="shared" si="100"/>
        <v>0</v>
      </c>
      <c r="BO270"/>
      <c r="BP270" s="627"/>
      <c r="BQ270" s="627"/>
      <c r="BR270" s="627"/>
      <c r="BS270" s="627"/>
      <c r="BT270" s="627"/>
      <c r="BU270" s="627"/>
      <c r="BV270" s="627"/>
      <c r="BW270" s="627"/>
      <c r="BX270"/>
      <c r="BY270"/>
      <c r="BZ270"/>
      <c r="CA270"/>
      <c r="CB270"/>
      <c r="CC270"/>
      <c r="CD270" s="781" t="str">
        <f t="shared" si="114"/>
        <v>►</v>
      </c>
      <c r="CE270"/>
      <c r="CF270"/>
      <c r="CG270"/>
      <c r="CH270"/>
      <c r="CI270"/>
      <c r="CK270"/>
      <c r="CL270"/>
      <c r="CM270"/>
      <c r="CN270"/>
      <c r="CO270"/>
      <c r="CP270"/>
      <c r="CQ270"/>
      <c r="CR270" s="227"/>
      <c r="CS270"/>
      <c r="CT270"/>
      <c r="CU270"/>
      <c r="CV270"/>
      <c r="CW270"/>
      <c r="CX270"/>
      <c r="CY270"/>
      <c r="CZ270" s="227"/>
      <c r="DA270"/>
      <c r="DB270"/>
      <c r="DC270"/>
      <c r="DD270"/>
      <c r="DE270"/>
      <c r="DF270"/>
      <c r="DG270"/>
      <c r="DH270" s="227"/>
      <c r="DI270" s="3">
        <v>1</v>
      </c>
      <c r="DJ270" s="627"/>
      <c r="DK270" s="627"/>
    </row>
    <row r="271" spans="1:115" s="633" customFormat="1" ht="21" customHeight="1">
      <c r="A271" s="701" t="s">
        <v>21</v>
      </c>
      <c r="B271" s="2265" t="str" cm="1">
        <f t="array" ref="B271">SUMPRODUCT(--(D271:J271&lt;&gt;""), LEN(TRIM(SUBSTITUTE(D271:J271, CHAR(160), "")))) &amp; " Car."</f>
        <v>0 Car.</v>
      </c>
      <c r="C271" s="1376" t="str">
        <f>IF(ISBLANK(D271),"",LARGE(C13:C270,1)+1)</f>
        <v/>
      </c>
      <c r="D271" s="1833"/>
      <c r="E271" s="1810"/>
      <c r="F271" s="1810"/>
      <c r="G271" s="1810"/>
      <c r="H271" s="1810"/>
      <c r="I271" s="1810"/>
      <c r="J271" s="1810"/>
      <c r="K271" s="1810"/>
      <c r="L271" s="1811"/>
      <c r="M271" s="9"/>
      <c r="N271" s="162" t="str">
        <f t="shared" si="116"/>
        <v>►</v>
      </c>
      <c r="O271" s="1616"/>
      <c r="P271" s="9"/>
      <c r="Q271" s="25" t="s">
        <v>15</v>
      </c>
      <c r="R271" s="31"/>
      <c r="S271" s="32"/>
      <c r="T271" s="31"/>
      <c r="U271" s="33"/>
      <c r="V271" s="1967"/>
      <c r="W271" s="1805"/>
      <c r="X271" s="91"/>
      <c r="Y271" s="1806"/>
      <c r="Z271" s="1968"/>
      <c r="AA271" s="2244"/>
      <c r="AB271" s="1969"/>
      <c r="AC271" s="1365"/>
      <c r="AD271" s="95"/>
      <c r="AE271" s="1326"/>
      <c r="AF271" s="97"/>
      <c r="AG271" s="1737"/>
      <c r="AH271" s="1970"/>
      <c r="AI271" s="99"/>
      <c r="AJ271" s="1809"/>
      <c r="AK271" s="6120" t="str">
        <f t="shared" si="96"/>
        <v>►</v>
      </c>
      <c r="AL271" s="781" t="str">
        <f t="shared" si="98"/>
        <v>►</v>
      </c>
      <c r="AM271" s="5499" t="str">
        <f t="shared" si="101"/>
        <v/>
      </c>
      <c r="AN271" s="783" t="str">
        <f t="shared" si="102"/>
        <v/>
      </c>
      <c r="AO271" s="782" t="str">
        <f t="shared" si="103"/>
        <v/>
      </c>
      <c r="AP271" s="783" t="str">
        <f t="shared" si="104"/>
        <v/>
      </c>
      <c r="AQ271" s="2083" t="b">
        <f>AND(Q271="A",COUNTIF(BP16:BR63,TRIM(Z271))&gt;0)</f>
        <v>0</v>
      </c>
      <c r="AR271" s="797" t="str">
        <f>IF(AL271&lt;&gt;"A","",IFERROR(IFERROR(_xlfn.XLOOKUP(TRIM(SUBSTITUTE(Z271,CHAR(160)," ")),BP16:BP63,BS16:BS63),IFERROR(_xlfn.XLOOKUP(TRIM(SUBSTITUTE(Z271,CHAR(160)," ")),BQ16:BQ63,BS16:BS63),_xlfn.XLOOKUP(TRIM(SUBSTITUTE(Z271,CHAR(160)," ")),BR16:BR63,BS16:BS63)))*Y271*IF(ISBLANK(V271),1,V271),0))</f>
        <v/>
      </c>
      <c r="AS271" s="784" t="str">
        <f t="shared" si="115"/>
        <v/>
      </c>
      <c r="AT271" s="1315" t="str">
        <f t="shared" si="105"/>
        <v/>
      </c>
      <c r="AU271" s="785">
        <f t="shared" si="106"/>
        <v>0</v>
      </c>
      <c r="AV271" s="785">
        <f t="shared" si="107"/>
        <v>0</v>
      </c>
      <c r="AW271" s="786">
        <f>IF(AK271="A",AY10,0)</f>
        <v>0</v>
      </c>
      <c r="AX271" s="5495" t="str">
        <f>IF(IFERROR(SEARCH("Adresse PC",TRIM(W271)),0)&gt;0,"▼ receta siguiente",IF(AK271="A",IF(AZ10&lt;&gt;"",AZ10&amp;" - ou.or.o ❾ + or - &gt;",""),""))</f>
        <v/>
      </c>
      <c r="AY271" s="810"/>
      <c r="AZ271" s="810"/>
      <c r="BA271" s="788" t="str">
        <f t="shared" si="97"/>
        <v/>
      </c>
      <c r="BB271" s="789" t="str">
        <f>IF(AK271="A",IF(AQ271,IF(AND(AW271&lt;&gt;"",N(AW271)&gt;0),IFERROR(IFERROR(_xlfn.XLOOKUP(AP271,BP10:BP57,BT10:BT57),IFERROR(_xlfn.XLOOKUP(AP271,BQ10:BQ57,BT10:BT57),_xlfn.XLOOKUP(AP271,BR10:BR57,BT10:BT57,""))),""),""),""),"")</f>
        <v/>
      </c>
      <c r="BC271" s="811" cm="1">
        <f t="array" ref="BC271">IF(NOT(AQ271),0,IF(OR(BA271="",N(BA271)&lt;=0.000000001),"",IF(OR(AU271="",N(AU271)&lt;=0.000000001),0,IF(ISNUMBER(BA271),IFERROR(_xlfn.LET(_xlpm.ai_test,TRIM(AP271),_xlpm.r,IFERROR(_xlfn.XLOOKUP(_xlpm.ai_test,BP16:BP63,ROW(BP16:BP63),0,1),IFERROR(_xlfn.XLOOKUP(_xlpm.ai_test,BQ16:BQ63,ROW(BQ16:BQ63),0,1),_xlfn.XLOOKUP(_xlpm.ai_test,BR16:BR63,ROW(BR16:BR63),0,1))),_xlpm.p,_xlpm.r-MIN(ROW(BP16:BP63))+1,_xlpm.f,INDEX(BS16:BS63,_xlpm.p),_xlpm.u,INDEX(BT16:BT63,_xlpm.p),_xlpm.s,INDEX(BV16:BV63,_xlpm.p),_xlpm.q,N(BA271)/_xlpm.f,IF(_xlpm.q&gt;=_xlpm.s,ROUND(_xlpm.q,1)&amp;" "&amp;_xlpm.ai_test&amp;" = "&amp;ROUND(_xlpm.q*_xlpm.f,1)&amp;" "&amp;_xlpm.u,ROUND(_xlpm.q,1)&amp;" "&amp;_xlpm.ai_test)),""),""))))</f>
        <v>0</v>
      </c>
      <c r="BD271" s="801"/>
      <c r="BE271" s="788" t="str">
        <f t="shared" si="108"/>
        <v/>
      </c>
      <c r="BF271" s="789" t="str">
        <f t="shared" si="109"/>
        <v/>
      </c>
      <c r="BG271" s="790">
        <f t="shared" si="112"/>
        <v>0</v>
      </c>
      <c r="BH271" s="791" t="str">
        <f t="shared" si="113"/>
        <v/>
      </c>
      <c r="BI271" s="792"/>
      <c r="BJ271" s="793">
        <f t="shared" si="111"/>
        <v>0</v>
      </c>
      <c r="BK271" s="794" t="str">
        <f t="shared" si="110"/>
        <v/>
      </c>
      <c r="BL271" s="227" t="s">
        <v>21</v>
      </c>
      <c r="BM271" s="773">
        <f t="shared" si="99"/>
        <v>0</v>
      </c>
      <c r="BN271" s="774">
        <f t="shared" si="100"/>
        <v>0</v>
      </c>
      <c r="BO271"/>
      <c r="BP271" s="627"/>
      <c r="BQ271" s="627"/>
      <c r="BR271" s="627"/>
      <c r="BS271" s="627"/>
      <c r="BT271" s="627"/>
      <c r="BU271" s="627"/>
      <c r="BV271" s="627"/>
      <c r="BW271" s="627"/>
      <c r="BX271"/>
      <c r="BY271"/>
      <c r="BZ271"/>
      <c r="CA271"/>
      <c r="CB271"/>
      <c r="CC271"/>
      <c r="CD271" s="781" t="str">
        <f t="shared" si="114"/>
        <v>►</v>
      </c>
      <c r="CE271"/>
      <c r="CF271"/>
      <c r="CG271"/>
      <c r="CH271"/>
      <c r="CI271"/>
      <c r="CK271"/>
      <c r="CL271"/>
      <c r="CM271"/>
      <c r="CN271"/>
      <c r="CO271"/>
      <c r="CP271"/>
      <c r="CQ271"/>
      <c r="CR271" s="227"/>
      <c r="CS271"/>
      <c r="CT271"/>
      <c r="CU271"/>
      <c r="CV271"/>
      <c r="CW271"/>
      <c r="CX271"/>
      <c r="CY271"/>
      <c r="CZ271" s="227"/>
      <c r="DA271"/>
      <c r="DB271"/>
      <c r="DC271"/>
      <c r="DD271"/>
      <c r="DE271"/>
      <c r="DF271"/>
      <c r="DG271"/>
      <c r="DH271" s="227"/>
      <c r="DI271" s="3">
        <v>1</v>
      </c>
      <c r="DJ271" s="627"/>
      <c r="DK271" s="627"/>
    </row>
    <row r="272" spans="1:115" s="633" customFormat="1" ht="21" customHeight="1">
      <c r="A272" s="701" t="s">
        <v>21</v>
      </c>
      <c r="B272" s="2265" t="str" cm="1">
        <f t="array" ref="B272">SUMPRODUCT(--(D272:J272&lt;&gt;""), LEN(TRIM(SUBSTITUTE(D272:J272, CHAR(160), "")))) &amp; " Car."</f>
        <v>0 Car.</v>
      </c>
      <c r="C272" s="1376" t="str">
        <f>IF(ISBLANK(D272),"",LARGE(C13:C271,1)+1)</f>
        <v/>
      </c>
      <c r="D272" s="1833"/>
      <c r="E272" s="1810"/>
      <c r="F272" s="1810"/>
      <c r="G272" s="1810"/>
      <c r="H272" s="1810"/>
      <c r="I272" s="1810"/>
      <c r="J272" s="1810"/>
      <c r="K272" s="1810"/>
      <c r="L272" s="1811"/>
      <c r="M272" s="9"/>
      <c r="N272" s="162" t="str">
        <f t="shared" si="116"/>
        <v>►</v>
      </c>
      <c r="O272" s="1616"/>
      <c r="P272" s="9"/>
      <c r="Q272" s="25" t="s">
        <v>15</v>
      </c>
      <c r="R272" s="31"/>
      <c r="S272" s="32"/>
      <c r="T272" s="31"/>
      <c r="U272" s="33"/>
      <c r="V272" s="1967"/>
      <c r="W272" s="1805"/>
      <c r="X272" s="91"/>
      <c r="Y272" s="1806"/>
      <c r="Z272" s="1968"/>
      <c r="AA272" s="2244"/>
      <c r="AB272" s="1969"/>
      <c r="AC272" s="1365"/>
      <c r="AD272" s="95"/>
      <c r="AE272" s="1326"/>
      <c r="AF272" s="97"/>
      <c r="AG272" s="1737"/>
      <c r="AH272" s="1970"/>
      <c r="AI272" s="99"/>
      <c r="AJ272" s="1809"/>
      <c r="AK272" s="6120" t="str">
        <f t="shared" si="96"/>
        <v>►</v>
      </c>
      <c r="AL272" s="781" t="str">
        <f t="shared" si="98"/>
        <v>►</v>
      </c>
      <c r="AM272" s="5498" t="str">
        <f t="shared" si="101"/>
        <v/>
      </c>
      <c r="AN272" s="783" t="str">
        <f t="shared" si="102"/>
        <v/>
      </c>
      <c r="AO272" s="782" t="str">
        <f t="shared" si="103"/>
        <v/>
      </c>
      <c r="AP272" s="783" t="str">
        <f t="shared" si="104"/>
        <v/>
      </c>
      <c r="AQ272" s="2083" t="b">
        <f>AND(Q272="A",COUNTIF(BP16:BR63,TRIM(Z272))&gt;0)</f>
        <v>0</v>
      </c>
      <c r="AR272" s="797" t="str">
        <f>IF(AL272&lt;&gt;"A","",IFERROR(IFERROR(_xlfn.XLOOKUP(TRIM(SUBSTITUTE(Z272,CHAR(160)," ")),BP16:BP63,BS16:BS63),IFERROR(_xlfn.XLOOKUP(TRIM(SUBSTITUTE(Z272,CHAR(160)," ")),BQ16:BQ63,BS16:BS63),_xlfn.XLOOKUP(TRIM(SUBSTITUTE(Z272,CHAR(160)," ")),BR16:BR63,BS16:BS63)))*Y272*IF(ISBLANK(V272),1,V272),0))</f>
        <v/>
      </c>
      <c r="AS272" s="784" t="str">
        <f t="shared" si="115"/>
        <v/>
      </c>
      <c r="AT272" s="1315" t="str">
        <f t="shared" si="105"/>
        <v/>
      </c>
      <c r="AU272" s="785">
        <f t="shared" si="106"/>
        <v>0</v>
      </c>
      <c r="AV272" s="785">
        <f t="shared" si="107"/>
        <v>0</v>
      </c>
      <c r="AW272" s="798">
        <f>IF(AK272="A",AY10,0)</f>
        <v>0</v>
      </c>
      <c r="AX272" s="5496" t="str">
        <f>IF(IFERROR(SEARCH("Adresse PC",TRIM(W272)),0)&gt;0,"▼ receta siguiente",IF(AK272="A",IF(AZ10&lt;&gt;"",AZ10&amp;" - ou.or.o ❾ + or - &gt;",""),""))</f>
        <v/>
      </c>
      <c r="AY272" s="810"/>
      <c r="AZ272" s="810"/>
      <c r="BA272" s="799" t="str">
        <f t="shared" si="97"/>
        <v/>
      </c>
      <c r="BB272" s="800" t="str">
        <f>IF(AK272="A",IF(AQ272,IF(AND(AW272&lt;&gt;"",N(AW272)&gt;0),IFERROR(IFERROR(_xlfn.XLOOKUP(AP272,BP10:BP57,BT10:BT57),IFERROR(_xlfn.XLOOKUP(AP272,BQ10:BQ57,BT10:BT57),_xlfn.XLOOKUP(AP272,BR10:BR57,BT10:BT57,""))),""),""),""),"")</f>
        <v/>
      </c>
      <c r="BC272" s="813" cm="1">
        <f t="array" ref="BC272">IF(NOT(AQ272),0,IF(OR(BA272="",N(BA272)&lt;=0.000000001),"",IF(OR(AU272="",N(AU272)&lt;=0.000000001),0,IF(ISNUMBER(BA272),IFERROR(_xlfn.LET(_xlpm.ai_test,TRIM(AP272),_xlpm.r,IFERROR(_xlfn.XLOOKUP(_xlpm.ai_test,BP16:BP63,ROW(BP16:BP63),0,1),IFERROR(_xlfn.XLOOKUP(_xlpm.ai_test,BQ16:BQ63,ROW(BQ16:BQ63),0,1),_xlfn.XLOOKUP(_xlpm.ai_test,BR16:BR63,ROW(BR16:BR63),0,1))),_xlpm.p,_xlpm.r-MIN(ROW(BP16:BP63))+1,_xlpm.f,INDEX(BS16:BS63,_xlpm.p),_xlpm.u,INDEX(BT16:BT63,_xlpm.p),_xlpm.s,INDEX(BV16:BV63,_xlpm.p),_xlpm.q,N(BA272)/_xlpm.f,IF(_xlpm.q&gt;=_xlpm.s,ROUND(_xlpm.q,1)&amp;" "&amp;_xlpm.ai_test&amp;" = "&amp;ROUND(_xlpm.q*_xlpm.f,1)&amp;" "&amp;_xlpm.u,ROUND(_xlpm.q,1)&amp;" "&amp;_xlpm.ai_test)),""),""))))</f>
        <v>0</v>
      </c>
      <c r="BD272" s="801"/>
      <c r="BE272" s="799" t="str">
        <f t="shared" si="108"/>
        <v/>
      </c>
      <c r="BF272" s="800" t="str">
        <f t="shared" si="109"/>
        <v/>
      </c>
      <c r="BG272" s="802">
        <f t="shared" si="112"/>
        <v>0</v>
      </c>
      <c r="BH272" s="803" t="str">
        <f t="shared" si="113"/>
        <v/>
      </c>
      <c r="BI272" s="792"/>
      <c r="BJ272" s="804">
        <f t="shared" si="111"/>
        <v>0</v>
      </c>
      <c r="BK272" s="794" t="str">
        <f t="shared" si="110"/>
        <v/>
      </c>
      <c r="BL272" s="227" t="s">
        <v>21</v>
      </c>
      <c r="BM272" s="773">
        <f t="shared" si="99"/>
        <v>0</v>
      </c>
      <c r="BN272" s="774">
        <f t="shared" si="100"/>
        <v>0</v>
      </c>
      <c r="BO272"/>
      <c r="BP272" s="627"/>
      <c r="BQ272" s="627"/>
      <c r="BR272" s="627"/>
      <c r="BS272" s="627"/>
      <c r="BT272" s="627"/>
      <c r="BU272" s="627"/>
      <c r="BV272" s="627"/>
      <c r="BW272" s="627"/>
      <c r="BX272"/>
      <c r="BY272"/>
      <c r="BZ272"/>
      <c r="CA272"/>
      <c r="CB272"/>
      <c r="CC272"/>
      <c r="CD272" s="781" t="str">
        <f t="shared" si="114"/>
        <v>►</v>
      </c>
      <c r="CE272"/>
      <c r="CF272"/>
      <c r="CG272"/>
      <c r="CH272"/>
      <c r="CI272"/>
      <c r="CK272"/>
      <c r="CL272"/>
      <c r="CM272"/>
      <c r="CN272"/>
      <c r="CO272"/>
      <c r="CP272"/>
      <c r="CQ272"/>
      <c r="CR272" s="227"/>
      <c r="CS272"/>
      <c r="CT272"/>
      <c r="CU272"/>
      <c r="CV272"/>
      <c r="CW272"/>
      <c r="CX272"/>
      <c r="CY272"/>
      <c r="CZ272" s="227"/>
      <c r="DA272"/>
      <c r="DB272"/>
      <c r="DC272"/>
      <c r="DD272"/>
      <c r="DE272"/>
      <c r="DF272"/>
      <c r="DG272"/>
      <c r="DH272" s="227"/>
      <c r="DI272" s="3">
        <v>1</v>
      </c>
      <c r="DJ272" s="627"/>
      <c r="DK272" s="627"/>
    </row>
    <row r="273" spans="1:115" s="633" customFormat="1" ht="21" customHeight="1">
      <c r="A273" s="701" t="s">
        <v>21</v>
      </c>
      <c r="B273" s="2265" t="str" cm="1">
        <f t="array" ref="B273">SUMPRODUCT(--(D273:J273&lt;&gt;""), LEN(TRIM(SUBSTITUTE(D273:J273, CHAR(160), "")))) &amp; " Car."</f>
        <v>0 Car.</v>
      </c>
      <c r="C273" s="1376" t="str">
        <f>IF(ISBLANK(D273),"",LARGE(C13:C272,1)+1)</f>
        <v/>
      </c>
      <c r="D273" s="1833"/>
      <c r="E273" s="1810"/>
      <c r="F273" s="1810"/>
      <c r="G273" s="1810"/>
      <c r="H273" s="1810"/>
      <c r="I273" s="1810"/>
      <c r="J273" s="1810"/>
      <c r="K273" s="1810"/>
      <c r="L273" s="1811"/>
      <c r="M273" s="9"/>
      <c r="N273" s="162" t="str">
        <f t="shared" si="116"/>
        <v>►</v>
      </c>
      <c r="O273" s="1616"/>
      <c r="P273" s="9"/>
      <c r="Q273" s="25" t="s">
        <v>15</v>
      </c>
      <c r="R273" s="31"/>
      <c r="S273" s="32"/>
      <c r="T273" s="31"/>
      <c r="U273" s="33"/>
      <c r="V273" s="1967"/>
      <c r="W273" s="1805"/>
      <c r="X273" s="91"/>
      <c r="Y273" s="1806"/>
      <c r="Z273" s="1968"/>
      <c r="AA273" s="2244"/>
      <c r="AB273" s="1969"/>
      <c r="AC273" s="1365"/>
      <c r="AD273" s="95"/>
      <c r="AE273" s="1326"/>
      <c r="AF273" s="97"/>
      <c r="AG273" s="1737"/>
      <c r="AH273" s="1970"/>
      <c r="AI273" s="99"/>
      <c r="AJ273" s="1809"/>
      <c r="AK273" s="6120" t="str">
        <f t="shared" ref="AK273:AK336" si="117">IF(AND(IFERROR(SEARCH("►",AB273),0)&gt;0,ISNUMBER(IFERROR(VALUE(TRIM(SUBSTITUTE(AB273,"►",""))),NA())),AC273&lt;&gt;""),"A","►")</f>
        <v>►</v>
      </c>
      <c r="AL273" s="781" t="str">
        <f t="shared" si="98"/>
        <v>►</v>
      </c>
      <c r="AM273" s="5499" t="str">
        <f t="shared" si="101"/>
        <v/>
      </c>
      <c r="AN273" s="783" t="str">
        <f t="shared" si="102"/>
        <v/>
      </c>
      <c r="AO273" s="782" t="str">
        <f t="shared" si="103"/>
        <v/>
      </c>
      <c r="AP273" s="783" t="str">
        <f t="shared" si="104"/>
        <v/>
      </c>
      <c r="AQ273" s="2083" t="b">
        <f>AND(Q273="A",COUNTIF(BP16:BR63,TRIM(Z273))&gt;0)</f>
        <v>0</v>
      </c>
      <c r="AR273" s="797" t="str">
        <f>IF(AL273&lt;&gt;"A","",IFERROR(IFERROR(_xlfn.XLOOKUP(TRIM(SUBSTITUTE(Z273,CHAR(160)," ")),BP16:BP63,BS16:BS63),IFERROR(_xlfn.XLOOKUP(TRIM(SUBSTITUTE(Z273,CHAR(160)," ")),BQ16:BQ63,BS16:BS63),_xlfn.XLOOKUP(TRIM(SUBSTITUTE(Z273,CHAR(160)," ")),BR16:BR63,BS16:BS63)))*Y273*IF(ISBLANK(V273),1,V273),0))</f>
        <v/>
      </c>
      <c r="AS273" s="784" t="str">
        <f t="shared" si="115"/>
        <v/>
      </c>
      <c r="AT273" s="1315" t="str">
        <f t="shared" si="105"/>
        <v/>
      </c>
      <c r="AU273" s="785">
        <f t="shared" si="106"/>
        <v>0</v>
      </c>
      <c r="AV273" s="785">
        <f t="shared" si="107"/>
        <v>0</v>
      </c>
      <c r="AW273" s="786">
        <f>IF(AK273="A",AY10,0)</f>
        <v>0</v>
      </c>
      <c r="AX273" s="5495" t="str">
        <f>IF(IFERROR(SEARCH("Adresse PC",TRIM(W273)),0)&gt;0,"▼ receta siguiente",IF(AK273="A",IF(AZ10&lt;&gt;"",AZ10&amp;" - ou.or.o ❾ + or - &gt;",""),""))</f>
        <v/>
      </c>
      <c r="AY273" s="810"/>
      <c r="AZ273" s="810"/>
      <c r="BA273" s="788" t="str">
        <f t="shared" si="97"/>
        <v/>
      </c>
      <c r="BB273" s="789" t="str">
        <f>IF(AK273="A",IF(AQ273,IF(AND(AW273&lt;&gt;"",N(AW273)&gt;0),IFERROR(IFERROR(_xlfn.XLOOKUP(AP273,BP10:BP57,BT10:BT57),IFERROR(_xlfn.XLOOKUP(AP273,BQ10:BQ57,BT10:BT57),_xlfn.XLOOKUP(AP273,BR10:BR57,BT10:BT57,""))),""),""),""),"")</f>
        <v/>
      </c>
      <c r="BC273" s="811" cm="1">
        <f t="array" ref="BC273">IF(NOT(AQ273),0,IF(OR(BA273="",N(BA273)&lt;=0.000000001),"",IF(OR(AU273="",N(AU273)&lt;=0.000000001),0,IF(ISNUMBER(BA273),IFERROR(_xlfn.LET(_xlpm.ai_test,TRIM(AP273),_xlpm.r,IFERROR(_xlfn.XLOOKUP(_xlpm.ai_test,BP16:BP63,ROW(BP16:BP63),0,1),IFERROR(_xlfn.XLOOKUP(_xlpm.ai_test,BQ16:BQ63,ROW(BQ16:BQ63),0,1),_xlfn.XLOOKUP(_xlpm.ai_test,BR16:BR63,ROW(BR16:BR63),0,1))),_xlpm.p,_xlpm.r-MIN(ROW(BP16:BP63))+1,_xlpm.f,INDEX(BS16:BS63,_xlpm.p),_xlpm.u,INDEX(BT16:BT63,_xlpm.p),_xlpm.s,INDEX(BV16:BV63,_xlpm.p),_xlpm.q,N(BA273)/_xlpm.f,IF(_xlpm.q&gt;=_xlpm.s,ROUND(_xlpm.q,1)&amp;" "&amp;_xlpm.ai_test&amp;" = "&amp;ROUND(_xlpm.q*_xlpm.f,1)&amp;" "&amp;_xlpm.u,ROUND(_xlpm.q,1)&amp;" "&amp;_xlpm.ai_test)),""),""))))</f>
        <v>0</v>
      </c>
      <c r="BD273" s="801"/>
      <c r="BE273" s="788" t="str">
        <f t="shared" si="108"/>
        <v/>
      </c>
      <c r="BF273" s="789" t="str">
        <f t="shared" si="109"/>
        <v/>
      </c>
      <c r="BG273" s="790">
        <f t="shared" si="112"/>
        <v>0</v>
      </c>
      <c r="BH273" s="791" t="str">
        <f t="shared" si="113"/>
        <v/>
      </c>
      <c r="BI273" s="792"/>
      <c r="BJ273" s="793">
        <f t="shared" si="111"/>
        <v>0</v>
      </c>
      <c r="BK273" s="794" t="str">
        <f t="shared" si="110"/>
        <v/>
      </c>
      <c r="BL273" s="227" t="s">
        <v>21</v>
      </c>
      <c r="BM273" s="773">
        <f t="shared" si="99"/>
        <v>0</v>
      </c>
      <c r="BN273" s="774">
        <f t="shared" si="100"/>
        <v>0</v>
      </c>
      <c r="BO273"/>
      <c r="BP273" s="627"/>
      <c r="BQ273" s="627"/>
      <c r="BR273" s="627"/>
      <c r="BS273" s="627"/>
      <c r="BT273" s="627"/>
      <c r="BU273" s="627"/>
      <c r="BV273" s="627"/>
      <c r="BW273" s="627"/>
      <c r="BX273"/>
      <c r="BY273"/>
      <c r="BZ273"/>
      <c r="CA273"/>
      <c r="CB273"/>
      <c r="CC273"/>
      <c r="CD273" s="781" t="str">
        <f t="shared" si="114"/>
        <v>►</v>
      </c>
      <c r="CE273"/>
      <c r="CF273"/>
      <c r="CG273"/>
      <c r="CH273"/>
      <c r="CI273"/>
      <c r="CK273"/>
      <c r="CL273"/>
      <c r="CM273"/>
      <c r="CN273"/>
      <c r="CO273"/>
      <c r="CP273"/>
      <c r="CQ273"/>
      <c r="CR273" s="227"/>
      <c r="CS273"/>
      <c r="CT273"/>
      <c r="CU273"/>
      <c r="CV273"/>
      <c r="CW273"/>
      <c r="CX273"/>
      <c r="CY273"/>
      <c r="CZ273" s="227"/>
      <c r="DA273"/>
      <c r="DB273"/>
      <c r="DC273"/>
      <c r="DD273"/>
      <c r="DE273"/>
      <c r="DF273"/>
      <c r="DG273"/>
      <c r="DH273" s="227"/>
      <c r="DI273" s="3">
        <v>1</v>
      </c>
      <c r="DJ273" s="627"/>
      <c r="DK273" s="627"/>
    </row>
    <row r="274" spans="1:115" s="633" customFormat="1" ht="21" customHeight="1">
      <c r="A274" s="701" t="s">
        <v>21</v>
      </c>
      <c r="B274" s="2265" t="str" cm="1">
        <f t="array" ref="B274">SUMPRODUCT(--(D274:J274&lt;&gt;""), LEN(TRIM(SUBSTITUTE(D274:J274, CHAR(160), "")))) &amp; " Car."</f>
        <v>0 Car.</v>
      </c>
      <c r="C274" s="1376" t="str">
        <f>IF(ISBLANK(D274),"",LARGE(C13:C273,1)+1)</f>
        <v/>
      </c>
      <c r="D274" s="1833"/>
      <c r="E274" s="1810"/>
      <c r="F274" s="1810"/>
      <c r="G274" s="1810"/>
      <c r="H274" s="1810"/>
      <c r="I274" s="1810"/>
      <c r="J274" s="1810"/>
      <c r="K274" s="1810"/>
      <c r="L274" s="1811"/>
      <c r="M274" s="9"/>
      <c r="N274" s="162" t="str">
        <f t="shared" si="116"/>
        <v>►</v>
      </c>
      <c r="O274" s="1616"/>
      <c r="P274" s="9"/>
      <c r="Q274" s="25" t="s">
        <v>15</v>
      </c>
      <c r="R274" s="31"/>
      <c r="S274" s="32"/>
      <c r="T274" s="31"/>
      <c r="U274" s="33"/>
      <c r="V274" s="1967"/>
      <c r="W274" s="1805"/>
      <c r="X274" s="91"/>
      <c r="Y274" s="1806"/>
      <c r="Z274" s="1968"/>
      <c r="AA274" s="2244"/>
      <c r="AB274" s="1969"/>
      <c r="AC274" s="1365"/>
      <c r="AD274" s="95"/>
      <c r="AE274" s="1326"/>
      <c r="AF274" s="97"/>
      <c r="AG274" s="1737"/>
      <c r="AH274" s="1970"/>
      <c r="AI274" s="99"/>
      <c r="AJ274" s="1809"/>
      <c r="AK274" s="6120" t="str">
        <f t="shared" si="117"/>
        <v>►</v>
      </c>
      <c r="AL274" s="781" t="str">
        <f t="shared" si="98"/>
        <v>►</v>
      </c>
      <c r="AM274" s="5498" t="str">
        <f t="shared" si="101"/>
        <v/>
      </c>
      <c r="AN274" s="783" t="str">
        <f t="shared" si="102"/>
        <v/>
      </c>
      <c r="AO274" s="782" t="str">
        <f t="shared" si="103"/>
        <v/>
      </c>
      <c r="AP274" s="783" t="str">
        <f t="shared" si="104"/>
        <v/>
      </c>
      <c r="AQ274" s="2083" t="b">
        <f>AND(Q274="A",COUNTIF(BP16:BR63,TRIM(Z274))&gt;0)</f>
        <v>0</v>
      </c>
      <c r="AR274" s="797" t="str">
        <f>IF(AL274&lt;&gt;"A","",IFERROR(IFERROR(_xlfn.XLOOKUP(TRIM(SUBSTITUTE(Z274,CHAR(160)," ")),BP16:BP63,BS16:BS63),IFERROR(_xlfn.XLOOKUP(TRIM(SUBSTITUTE(Z274,CHAR(160)," ")),BQ16:BQ63,BS16:BS63),_xlfn.XLOOKUP(TRIM(SUBSTITUTE(Z274,CHAR(160)," ")),BR16:BR63,BS16:BS63)))*Y274*IF(ISBLANK(V274),1,V274),0))</f>
        <v/>
      </c>
      <c r="AS274" s="784" t="str">
        <f t="shared" si="115"/>
        <v/>
      </c>
      <c r="AT274" s="1315" t="str">
        <f t="shared" si="105"/>
        <v/>
      </c>
      <c r="AU274" s="785">
        <f t="shared" si="106"/>
        <v>0</v>
      </c>
      <c r="AV274" s="785">
        <f t="shared" si="107"/>
        <v>0</v>
      </c>
      <c r="AW274" s="798">
        <f>IF(AK274="A",AY10,0)</f>
        <v>0</v>
      </c>
      <c r="AX274" s="5496" t="str">
        <f>IF(IFERROR(SEARCH("Adresse PC",TRIM(W274)),0)&gt;0,"▼ receta siguiente",IF(AK274="A",IF(AZ10&lt;&gt;"",AZ10&amp;" - ou.or.o ❾ + or - &gt;",""),""))</f>
        <v/>
      </c>
      <c r="AY274" s="810"/>
      <c r="AZ274" s="810"/>
      <c r="BA274" s="799" t="str">
        <f t="shared" si="97"/>
        <v/>
      </c>
      <c r="BB274" s="800" t="str">
        <f>IF(AK274="A",IF(AQ274,IF(AND(AW274&lt;&gt;"",N(AW274)&gt;0),IFERROR(IFERROR(_xlfn.XLOOKUP(AP274,BP10:BP57,BT10:BT57),IFERROR(_xlfn.XLOOKUP(AP274,BQ10:BQ57,BT10:BT57),_xlfn.XLOOKUP(AP274,BR10:BR57,BT10:BT57,""))),""),""),""),"")</f>
        <v/>
      </c>
      <c r="BC274" s="813" cm="1">
        <f t="array" ref="BC274">IF(NOT(AQ274),0,IF(OR(BA274="",N(BA274)&lt;=0.000000001),"",IF(OR(AU274="",N(AU274)&lt;=0.000000001),0,IF(ISNUMBER(BA274),IFERROR(_xlfn.LET(_xlpm.ai_test,TRIM(AP274),_xlpm.r,IFERROR(_xlfn.XLOOKUP(_xlpm.ai_test,BP16:BP63,ROW(BP16:BP63),0,1),IFERROR(_xlfn.XLOOKUP(_xlpm.ai_test,BQ16:BQ63,ROW(BQ16:BQ63),0,1),_xlfn.XLOOKUP(_xlpm.ai_test,BR16:BR63,ROW(BR16:BR63),0,1))),_xlpm.p,_xlpm.r-MIN(ROW(BP16:BP63))+1,_xlpm.f,INDEX(BS16:BS63,_xlpm.p),_xlpm.u,INDEX(BT16:BT63,_xlpm.p),_xlpm.s,INDEX(BV16:BV63,_xlpm.p),_xlpm.q,N(BA274)/_xlpm.f,IF(_xlpm.q&gt;=_xlpm.s,ROUND(_xlpm.q,1)&amp;" "&amp;_xlpm.ai_test&amp;" = "&amp;ROUND(_xlpm.q*_xlpm.f,1)&amp;" "&amp;_xlpm.u,ROUND(_xlpm.q,1)&amp;" "&amp;_xlpm.ai_test)),""),""))))</f>
        <v>0</v>
      </c>
      <c r="BD274" s="801"/>
      <c r="BE274" s="799" t="str">
        <f t="shared" si="108"/>
        <v/>
      </c>
      <c r="BF274" s="800" t="str">
        <f t="shared" si="109"/>
        <v/>
      </c>
      <c r="BG274" s="802">
        <f t="shared" si="112"/>
        <v>0</v>
      </c>
      <c r="BH274" s="803" t="str">
        <f t="shared" si="113"/>
        <v/>
      </c>
      <c r="BI274" s="792"/>
      <c r="BJ274" s="804">
        <f t="shared" si="111"/>
        <v>0</v>
      </c>
      <c r="BK274" s="794" t="str">
        <f t="shared" si="110"/>
        <v/>
      </c>
      <c r="BL274" s="227" t="s">
        <v>21</v>
      </c>
      <c r="BM274" s="773">
        <f t="shared" si="99"/>
        <v>0</v>
      </c>
      <c r="BN274" s="774">
        <f t="shared" si="100"/>
        <v>0</v>
      </c>
      <c r="BO274"/>
      <c r="BP274" s="627"/>
      <c r="BQ274" s="627"/>
      <c r="BR274" s="627"/>
      <c r="BS274" s="627"/>
      <c r="BT274" s="627"/>
      <c r="BU274" s="627"/>
      <c r="BV274" s="627"/>
      <c r="BW274" s="627"/>
      <c r="BX274"/>
      <c r="BY274"/>
      <c r="BZ274"/>
      <c r="CA274"/>
      <c r="CB274"/>
      <c r="CC274"/>
      <c r="CD274" s="781" t="str">
        <f t="shared" si="114"/>
        <v>►</v>
      </c>
      <c r="CE274"/>
      <c r="CF274"/>
      <c r="CG274"/>
      <c r="CH274"/>
      <c r="CI274"/>
      <c r="CK274"/>
      <c r="CL274"/>
      <c r="CM274"/>
      <c r="CN274"/>
      <c r="CO274"/>
      <c r="CP274"/>
      <c r="CQ274"/>
      <c r="CR274" s="227"/>
      <c r="CS274"/>
      <c r="CT274"/>
      <c r="CU274"/>
      <c r="CV274"/>
      <c r="CW274"/>
      <c r="CX274"/>
      <c r="CY274"/>
      <c r="CZ274" s="227"/>
      <c r="DA274"/>
      <c r="DB274"/>
      <c r="DC274"/>
      <c r="DD274"/>
      <c r="DE274"/>
      <c r="DF274"/>
      <c r="DG274"/>
      <c r="DH274" s="227"/>
      <c r="DI274" s="3">
        <v>1</v>
      </c>
      <c r="DJ274" s="627"/>
      <c r="DK274" s="627"/>
    </row>
    <row r="275" spans="1:115" s="633" customFormat="1" ht="21" customHeight="1">
      <c r="A275" s="701" t="s">
        <v>21</v>
      </c>
      <c r="B275" s="2265" t="str" cm="1">
        <f t="array" ref="B275">SUMPRODUCT(--(D275:J275&lt;&gt;""), LEN(TRIM(SUBSTITUTE(D275:J275, CHAR(160), "")))) &amp; " Car."</f>
        <v>0 Car.</v>
      </c>
      <c r="C275" s="1376" t="str">
        <f>IF(ISBLANK(D275),"",LARGE(C13:C274,1)+1)</f>
        <v/>
      </c>
      <c r="D275" s="1833"/>
      <c r="E275" s="1810"/>
      <c r="F275" s="1810"/>
      <c r="G275" s="1810"/>
      <c r="H275" s="1810"/>
      <c r="I275" s="1810"/>
      <c r="J275" s="1810"/>
      <c r="K275" s="1810"/>
      <c r="L275" s="1811"/>
      <c r="M275" s="9"/>
      <c r="N275" s="162" t="str">
        <f t="shared" si="116"/>
        <v>►</v>
      </c>
      <c r="O275" s="1616"/>
      <c r="P275" s="9"/>
      <c r="Q275" s="25" t="s">
        <v>15</v>
      </c>
      <c r="R275" s="31"/>
      <c r="S275" s="32"/>
      <c r="T275" s="31"/>
      <c r="U275" s="33"/>
      <c r="V275" s="1967"/>
      <c r="W275" s="1805"/>
      <c r="X275" s="91"/>
      <c r="Y275" s="1806"/>
      <c r="Z275" s="1968"/>
      <c r="AA275" s="2244"/>
      <c r="AB275" s="1969"/>
      <c r="AC275" s="1365"/>
      <c r="AD275" s="95"/>
      <c r="AE275" s="1326"/>
      <c r="AF275" s="97"/>
      <c r="AG275" s="1737"/>
      <c r="AH275" s="1970"/>
      <c r="AI275" s="99"/>
      <c r="AJ275" s="1809"/>
      <c r="AK275" s="6120" t="str">
        <f t="shared" si="117"/>
        <v>►</v>
      </c>
      <c r="AL275" s="781" t="str">
        <f t="shared" si="98"/>
        <v>►</v>
      </c>
      <c r="AM275" s="5499" t="str">
        <f t="shared" si="101"/>
        <v/>
      </c>
      <c r="AN275" s="783" t="str">
        <f t="shared" si="102"/>
        <v/>
      </c>
      <c r="AO275" s="782" t="str">
        <f t="shared" si="103"/>
        <v/>
      </c>
      <c r="AP275" s="783" t="str">
        <f t="shared" si="104"/>
        <v/>
      </c>
      <c r="AQ275" s="2083" t="b">
        <f>AND(Q275="A",COUNTIF(BP16:BR63,TRIM(Z275))&gt;0)</f>
        <v>0</v>
      </c>
      <c r="AR275" s="797" t="str">
        <f>IF(AL275&lt;&gt;"A","",IFERROR(IFERROR(_xlfn.XLOOKUP(TRIM(SUBSTITUTE(Z275,CHAR(160)," ")),BP16:BP63,BS16:BS63),IFERROR(_xlfn.XLOOKUP(TRIM(SUBSTITUTE(Z275,CHAR(160)," ")),BQ16:BQ63,BS16:BS63),_xlfn.XLOOKUP(TRIM(SUBSTITUTE(Z275,CHAR(160)," ")),BR16:BR63,BS16:BS63)))*Y275*IF(ISBLANK(V275),1,V275),0))</f>
        <v/>
      </c>
      <c r="AS275" s="784" t="str">
        <f t="shared" si="115"/>
        <v/>
      </c>
      <c r="AT275" s="1315" t="str">
        <f t="shared" si="105"/>
        <v/>
      </c>
      <c r="AU275" s="785">
        <f t="shared" si="106"/>
        <v>0</v>
      </c>
      <c r="AV275" s="785">
        <f t="shared" si="107"/>
        <v>0</v>
      </c>
      <c r="AW275" s="786">
        <f>IF(AK275="A",AY10,0)</f>
        <v>0</v>
      </c>
      <c r="AX275" s="5495" t="str">
        <f>IF(IFERROR(SEARCH("Adresse PC",TRIM(W275)),0)&gt;0,"▼ receta siguiente",IF(AK275="A",IF(AZ10&lt;&gt;"",AZ10&amp;" - ou.or.o ❾ + or - &gt;",""),""))</f>
        <v/>
      </c>
      <c r="AY275" s="810"/>
      <c r="AZ275" s="810"/>
      <c r="BA275" s="788" t="str">
        <f t="shared" si="97"/>
        <v/>
      </c>
      <c r="BB275" s="789" t="str">
        <f>IF(AK275="A",IF(AQ275,IF(AND(AW275&lt;&gt;"",N(AW275)&gt;0),IFERROR(IFERROR(_xlfn.XLOOKUP(AP275,BP10:BP57,BT10:BT57),IFERROR(_xlfn.XLOOKUP(AP275,BQ10:BQ57,BT10:BT57),_xlfn.XLOOKUP(AP275,BR10:BR57,BT10:BT57,""))),""),""),""),"")</f>
        <v/>
      </c>
      <c r="BC275" s="811" cm="1">
        <f t="array" ref="BC275">IF(NOT(AQ275),0,IF(OR(BA275="",N(BA275)&lt;=0.000000001),"",IF(OR(AU275="",N(AU275)&lt;=0.000000001),0,IF(ISNUMBER(BA275),IFERROR(_xlfn.LET(_xlpm.ai_test,TRIM(AP275),_xlpm.r,IFERROR(_xlfn.XLOOKUP(_xlpm.ai_test,BP16:BP63,ROW(BP16:BP63),0,1),IFERROR(_xlfn.XLOOKUP(_xlpm.ai_test,BQ16:BQ63,ROW(BQ16:BQ63),0,1),_xlfn.XLOOKUP(_xlpm.ai_test,BR16:BR63,ROW(BR16:BR63),0,1))),_xlpm.p,_xlpm.r-MIN(ROW(BP16:BP63))+1,_xlpm.f,INDEX(BS16:BS63,_xlpm.p),_xlpm.u,INDEX(BT16:BT63,_xlpm.p),_xlpm.s,INDEX(BV16:BV63,_xlpm.p),_xlpm.q,N(BA275)/_xlpm.f,IF(_xlpm.q&gt;=_xlpm.s,ROUND(_xlpm.q,1)&amp;" "&amp;_xlpm.ai_test&amp;" = "&amp;ROUND(_xlpm.q*_xlpm.f,1)&amp;" "&amp;_xlpm.u,ROUND(_xlpm.q,1)&amp;" "&amp;_xlpm.ai_test)),""),""))))</f>
        <v>0</v>
      </c>
      <c r="BD275" s="801"/>
      <c r="BE275" s="788" t="str">
        <f t="shared" si="108"/>
        <v/>
      </c>
      <c r="BF275" s="789" t="str">
        <f t="shared" si="109"/>
        <v/>
      </c>
      <c r="BG275" s="790">
        <f t="shared" si="112"/>
        <v>0</v>
      </c>
      <c r="BH275" s="791" t="str">
        <f t="shared" si="113"/>
        <v/>
      </c>
      <c r="BI275" s="792"/>
      <c r="BJ275" s="793">
        <f t="shared" si="111"/>
        <v>0</v>
      </c>
      <c r="BK275" s="794" t="str">
        <f t="shared" si="110"/>
        <v/>
      </c>
      <c r="BL275" s="227" t="s">
        <v>21</v>
      </c>
      <c r="BM275" s="773">
        <f t="shared" si="99"/>
        <v>0</v>
      </c>
      <c r="BN275" s="774">
        <f t="shared" si="100"/>
        <v>0</v>
      </c>
      <c r="BO275"/>
      <c r="BP275" s="627"/>
      <c r="BQ275" s="627"/>
      <c r="BR275" s="627"/>
      <c r="BS275" s="627"/>
      <c r="BT275" s="627"/>
      <c r="BU275" s="627"/>
      <c r="BV275" s="627"/>
      <c r="BW275" s="627"/>
      <c r="BX275"/>
      <c r="BY275"/>
      <c r="BZ275"/>
      <c r="CA275"/>
      <c r="CB275"/>
      <c r="CC275"/>
      <c r="CD275" s="781" t="str">
        <f t="shared" si="114"/>
        <v>►</v>
      </c>
      <c r="CE275"/>
      <c r="CF275"/>
      <c r="CG275"/>
      <c r="CH275"/>
      <c r="CI275"/>
      <c r="CK275"/>
      <c r="CL275"/>
      <c r="CM275"/>
      <c r="CN275"/>
      <c r="CO275"/>
      <c r="CP275"/>
      <c r="CQ275"/>
      <c r="CR275" s="227"/>
      <c r="CS275"/>
      <c r="CT275"/>
      <c r="CU275"/>
      <c r="CV275"/>
      <c r="CW275"/>
      <c r="CX275"/>
      <c r="CY275"/>
      <c r="CZ275" s="227"/>
      <c r="DA275"/>
      <c r="DB275"/>
      <c r="DC275"/>
      <c r="DD275"/>
      <c r="DE275"/>
      <c r="DF275"/>
      <c r="DG275"/>
      <c r="DH275" s="227"/>
      <c r="DI275" s="3">
        <v>1</v>
      </c>
      <c r="DJ275" s="627"/>
      <c r="DK275" s="627"/>
    </row>
    <row r="276" spans="1:115" s="633" customFormat="1" ht="21" customHeight="1">
      <c r="A276" s="701" t="s">
        <v>21</v>
      </c>
      <c r="B276" s="2265" t="str" cm="1">
        <f t="array" ref="B276">SUMPRODUCT(--(D276:J276&lt;&gt;""), LEN(TRIM(SUBSTITUTE(D276:J276, CHAR(160), "")))) &amp; " Car."</f>
        <v>0 Car.</v>
      </c>
      <c r="C276" s="1376" t="str">
        <f>IF(ISBLANK(D276),"",LARGE(C13:C275,1)+1)</f>
        <v/>
      </c>
      <c r="D276" s="1833"/>
      <c r="E276" s="1810"/>
      <c r="F276" s="1810"/>
      <c r="G276" s="1810"/>
      <c r="H276" s="1810"/>
      <c r="I276" s="1810"/>
      <c r="J276" s="1810"/>
      <c r="K276" s="1810"/>
      <c r="L276" s="1811"/>
      <c r="M276" s="9"/>
      <c r="N276" s="103" t="str">
        <f t="shared" si="116"/>
        <v>►</v>
      </c>
      <c r="O276" s="1616"/>
      <c r="P276" s="9"/>
      <c r="Q276" s="25" t="s">
        <v>15</v>
      </c>
      <c r="R276" s="31"/>
      <c r="S276" s="32"/>
      <c r="T276" s="31"/>
      <c r="U276" s="33"/>
      <c r="V276" s="1967"/>
      <c r="W276" s="1805"/>
      <c r="X276" s="91"/>
      <c r="Y276" s="1806"/>
      <c r="Z276" s="1968"/>
      <c r="AA276" s="2244"/>
      <c r="AB276" s="1969"/>
      <c r="AC276" s="1365"/>
      <c r="AD276" s="95"/>
      <c r="AE276" s="1326"/>
      <c r="AF276" s="97"/>
      <c r="AG276" s="1737"/>
      <c r="AH276" s="1970"/>
      <c r="AI276" s="99"/>
      <c r="AJ276" s="1809"/>
      <c r="AK276" s="6120" t="str">
        <f t="shared" si="117"/>
        <v>►</v>
      </c>
      <c r="AL276" s="781" t="str">
        <f t="shared" si="98"/>
        <v>►</v>
      </c>
      <c r="AM276" s="5498" t="str">
        <f t="shared" si="101"/>
        <v/>
      </c>
      <c r="AN276" s="783" t="str">
        <f t="shared" si="102"/>
        <v/>
      </c>
      <c r="AO276" s="782" t="str">
        <f t="shared" si="103"/>
        <v/>
      </c>
      <c r="AP276" s="783" t="str">
        <f t="shared" si="104"/>
        <v/>
      </c>
      <c r="AQ276" s="2083" t="b">
        <f>AND(Q276="A",COUNTIF(BP16:BR63,TRIM(Z276))&gt;0)</f>
        <v>0</v>
      </c>
      <c r="AR276" s="797" t="str">
        <f>IF(AL276&lt;&gt;"A","",IFERROR(IFERROR(_xlfn.XLOOKUP(TRIM(SUBSTITUTE(Z276,CHAR(160)," ")),BP16:BP63,BS16:BS63),IFERROR(_xlfn.XLOOKUP(TRIM(SUBSTITUTE(Z276,CHAR(160)," ")),BQ16:BQ63,BS16:BS63),_xlfn.XLOOKUP(TRIM(SUBSTITUTE(Z276,CHAR(160)," ")),BR16:BR63,BS16:BS63)))*Y276*IF(ISBLANK(V276),1,V276),0))</f>
        <v/>
      </c>
      <c r="AS276" s="784" t="str">
        <f t="shared" si="115"/>
        <v/>
      </c>
      <c r="AT276" s="1315" t="str">
        <f t="shared" si="105"/>
        <v/>
      </c>
      <c r="AU276" s="785">
        <f t="shared" si="106"/>
        <v>0</v>
      </c>
      <c r="AV276" s="785">
        <f t="shared" si="107"/>
        <v>0</v>
      </c>
      <c r="AW276" s="798">
        <f>IF(AK276="A",AY10,0)</f>
        <v>0</v>
      </c>
      <c r="AX276" s="5496" t="str">
        <f>IF(IFERROR(SEARCH("Adresse PC",TRIM(W276)),0)&gt;0,"▼ receta siguiente",IF(AK276="A",IF(AZ10&lt;&gt;"",AZ10&amp;" - ou.or.o ❾ + or - &gt;",""),""))</f>
        <v/>
      </c>
      <c r="AY276" s="810"/>
      <c r="AZ276" s="810"/>
      <c r="BA276" s="799" t="str">
        <f t="shared" ref="BA276:BA339" si="118">IF(AK276="A",IF(UPPER(TRIM(SUBSTITUTE(AS276,CHAR(160),"")))="KG",N(AR276)*N(BN276),0),"")</f>
        <v/>
      </c>
      <c r="BB276" s="800" t="str">
        <f>IF(AK276="A",IF(AQ276,IF(AND(AW276&lt;&gt;"",N(AW276)&gt;0),IFERROR(IFERROR(_xlfn.XLOOKUP(AP276,BP10:BP57,BT10:BT57),IFERROR(_xlfn.XLOOKUP(AP276,BQ10:BQ57,BT10:BT57),_xlfn.XLOOKUP(AP276,BR10:BR57,BT10:BT57,""))),""),""),""),"")</f>
        <v/>
      </c>
      <c r="BC276" s="813" cm="1">
        <f t="array" ref="BC276">IF(NOT(AQ276),0,IF(OR(BA276="",N(BA276)&lt;=0.000000001),"",IF(OR(AU276="",N(AU276)&lt;=0.000000001),0,IF(ISNUMBER(BA276),IFERROR(_xlfn.LET(_xlpm.ai_test,TRIM(AP276),_xlpm.r,IFERROR(_xlfn.XLOOKUP(_xlpm.ai_test,BP16:BP63,ROW(BP16:BP63),0,1),IFERROR(_xlfn.XLOOKUP(_xlpm.ai_test,BQ16:BQ63,ROW(BQ16:BQ63),0,1),_xlfn.XLOOKUP(_xlpm.ai_test,BR16:BR63,ROW(BR16:BR63),0,1))),_xlpm.p,_xlpm.r-MIN(ROW(BP16:BP63))+1,_xlpm.f,INDEX(BS16:BS63,_xlpm.p),_xlpm.u,INDEX(BT16:BT63,_xlpm.p),_xlpm.s,INDEX(BV16:BV63,_xlpm.p),_xlpm.q,N(BA276)/_xlpm.f,IF(_xlpm.q&gt;=_xlpm.s,ROUND(_xlpm.q,1)&amp;" "&amp;_xlpm.ai_test&amp;" = "&amp;ROUND(_xlpm.q*_xlpm.f,1)&amp;" "&amp;_xlpm.u,ROUND(_xlpm.q,1)&amp;" "&amp;_xlpm.ai_test)),""),""))))</f>
        <v>0</v>
      </c>
      <c r="BD276" s="801"/>
      <c r="BE276" s="799" t="str">
        <f t="shared" si="108"/>
        <v/>
      </c>
      <c r="BF276" s="800" t="str">
        <f t="shared" si="109"/>
        <v/>
      </c>
      <c r="BG276" s="802">
        <f t="shared" si="112"/>
        <v>0</v>
      </c>
      <c r="BH276" s="803" t="str">
        <f t="shared" si="113"/>
        <v/>
      </c>
      <c r="BI276" s="792"/>
      <c r="BJ276" s="804">
        <f t="shared" si="111"/>
        <v>0</v>
      </c>
      <c r="BK276" s="794" t="str">
        <f t="shared" si="110"/>
        <v/>
      </c>
      <c r="BL276" s="227" t="s">
        <v>21</v>
      </c>
      <c r="BM276" s="773">
        <f t="shared" si="99"/>
        <v>0</v>
      </c>
      <c r="BN276" s="774">
        <f t="shared" si="100"/>
        <v>0</v>
      </c>
      <c r="BO276"/>
      <c r="BP276" s="627"/>
      <c r="BQ276" s="627"/>
      <c r="BR276" s="627"/>
      <c r="BS276" s="627"/>
      <c r="BT276" s="627"/>
      <c r="BU276" s="627"/>
      <c r="BV276" s="627"/>
      <c r="BW276" s="627"/>
      <c r="BX276"/>
      <c r="BY276"/>
      <c r="BZ276"/>
      <c r="CA276"/>
      <c r="CB276"/>
      <c r="CC276"/>
      <c r="CD276" s="781" t="str">
        <f t="shared" si="114"/>
        <v>►</v>
      </c>
      <c r="CE276"/>
      <c r="CF276"/>
      <c r="CG276"/>
      <c r="CH276"/>
      <c r="CI276"/>
      <c r="CK276"/>
      <c r="CL276"/>
      <c r="CM276"/>
      <c r="CN276"/>
      <c r="CO276"/>
      <c r="CP276"/>
      <c r="CQ276"/>
      <c r="CR276" s="227"/>
      <c r="CS276"/>
      <c r="CT276"/>
      <c r="CU276"/>
      <c r="CV276"/>
      <c r="CW276"/>
      <c r="CX276"/>
      <c r="CY276"/>
      <c r="CZ276" s="227"/>
      <c r="DA276"/>
      <c r="DB276"/>
      <c r="DC276"/>
      <c r="DD276"/>
      <c r="DE276"/>
      <c r="DF276"/>
      <c r="DG276"/>
      <c r="DH276" s="227"/>
      <c r="DI276" s="3">
        <v>1</v>
      </c>
      <c r="DJ276" s="627"/>
      <c r="DK276" s="627"/>
    </row>
    <row r="277" spans="1:115" s="633" customFormat="1" ht="21" customHeight="1">
      <c r="A277" s="701" t="s">
        <v>21</v>
      </c>
      <c r="B277" s="2265" t="str" cm="1">
        <f t="array" ref="B277">SUMPRODUCT(--(D277:J277&lt;&gt;""), LEN(TRIM(SUBSTITUTE(D277:J277, CHAR(160), "")))) &amp; " Car."</f>
        <v>0 Car.</v>
      </c>
      <c r="C277" s="1376" t="str">
        <f>IF(ISBLANK(D277),"",LARGE(C13:C276,1)+1)</f>
        <v/>
      </c>
      <c r="D277" s="1833"/>
      <c r="E277" s="1810"/>
      <c r="F277" s="1810"/>
      <c r="G277" s="1810"/>
      <c r="H277" s="1810"/>
      <c r="I277" s="1810"/>
      <c r="J277" s="1810"/>
      <c r="K277" s="1810"/>
      <c r="L277" s="1811"/>
      <c r="M277" s="9"/>
      <c r="N277" s="103" t="str">
        <f t="shared" si="116"/>
        <v>►</v>
      </c>
      <c r="O277" s="1616"/>
      <c r="P277" s="9"/>
      <c r="Q277" s="25" t="s">
        <v>15</v>
      </c>
      <c r="R277" s="31"/>
      <c r="S277" s="32"/>
      <c r="T277" s="31"/>
      <c r="U277" s="33"/>
      <c r="V277" s="1967"/>
      <c r="W277" s="1805"/>
      <c r="X277" s="91"/>
      <c r="Y277" s="1806"/>
      <c r="Z277" s="1968"/>
      <c r="AA277" s="2244"/>
      <c r="AB277" s="1969"/>
      <c r="AC277" s="1365"/>
      <c r="AD277" s="95"/>
      <c r="AE277" s="1326"/>
      <c r="AF277" s="97"/>
      <c r="AG277" s="1737"/>
      <c r="AH277" s="1970"/>
      <c r="AI277" s="99"/>
      <c r="AJ277" s="1809"/>
      <c r="AK277" s="6120" t="str">
        <f t="shared" si="117"/>
        <v>►</v>
      </c>
      <c r="AL277" s="781" t="str">
        <f t="shared" si="98"/>
        <v>►</v>
      </c>
      <c r="AM277" s="5499" t="str">
        <f t="shared" si="101"/>
        <v/>
      </c>
      <c r="AN277" s="783" t="str">
        <f t="shared" si="102"/>
        <v/>
      </c>
      <c r="AO277" s="782" t="str">
        <f t="shared" si="103"/>
        <v/>
      </c>
      <c r="AP277" s="783" t="str">
        <f t="shared" si="104"/>
        <v/>
      </c>
      <c r="AQ277" s="2083" t="b">
        <f>AND(Q277="A",COUNTIF(BP16:BR63,TRIM(Z277))&gt;0)</f>
        <v>0</v>
      </c>
      <c r="AR277" s="797" t="str">
        <f>IF(AL277&lt;&gt;"A","",IFERROR(IFERROR(_xlfn.XLOOKUP(TRIM(SUBSTITUTE(Z277,CHAR(160)," ")),BP16:BP63,BS16:BS63),IFERROR(_xlfn.XLOOKUP(TRIM(SUBSTITUTE(Z277,CHAR(160)," ")),BQ16:BQ63,BS16:BS63),_xlfn.XLOOKUP(TRIM(SUBSTITUTE(Z277,CHAR(160)," ")),BR16:BR63,BS16:BS63)))*Y277*IF(ISBLANK(V277),1,V277),0))</f>
        <v/>
      </c>
      <c r="AS277" s="784" t="str">
        <f t="shared" si="115"/>
        <v/>
      </c>
      <c r="AT277" s="1315" t="str">
        <f t="shared" si="105"/>
        <v/>
      </c>
      <c r="AU277" s="785">
        <f t="shared" si="106"/>
        <v>0</v>
      </c>
      <c r="AV277" s="785">
        <f t="shared" si="107"/>
        <v>0</v>
      </c>
      <c r="AW277" s="786">
        <f>IF(AK277="A",AY10,0)</f>
        <v>0</v>
      </c>
      <c r="AX277" s="5495" t="str">
        <f>IF(IFERROR(SEARCH("Adresse PC",TRIM(W277)),0)&gt;0,"▼ receta siguiente",IF(AK277="A",IF(AZ10&lt;&gt;"",AZ10&amp;" - ou.or.o ❾ + or - &gt;",""),""))</f>
        <v/>
      </c>
      <c r="AY277" s="810"/>
      <c r="AZ277" s="810"/>
      <c r="BA277" s="788" t="str">
        <f t="shared" si="118"/>
        <v/>
      </c>
      <c r="BB277" s="789" t="str">
        <f>IF(AK277="A",IF(AQ277,IF(AND(AW277&lt;&gt;"",N(AW277)&gt;0),IFERROR(IFERROR(_xlfn.XLOOKUP(AP277,BP10:BP57,BT10:BT57),IFERROR(_xlfn.XLOOKUP(AP277,BQ10:BQ57,BT10:BT57),_xlfn.XLOOKUP(AP277,BR10:BR57,BT10:BT57,""))),""),""),""),"")</f>
        <v/>
      </c>
      <c r="BC277" s="811" cm="1">
        <f t="array" ref="BC277">IF(NOT(AQ277),0,IF(OR(BA277="",N(BA277)&lt;=0.000000001),"",IF(OR(AU277="",N(AU277)&lt;=0.000000001),0,IF(ISNUMBER(BA277),IFERROR(_xlfn.LET(_xlpm.ai_test,TRIM(AP277),_xlpm.r,IFERROR(_xlfn.XLOOKUP(_xlpm.ai_test,BP16:BP63,ROW(BP16:BP63),0,1),IFERROR(_xlfn.XLOOKUP(_xlpm.ai_test,BQ16:BQ63,ROW(BQ16:BQ63),0,1),_xlfn.XLOOKUP(_xlpm.ai_test,BR16:BR63,ROW(BR16:BR63),0,1))),_xlpm.p,_xlpm.r-MIN(ROW(BP16:BP63))+1,_xlpm.f,INDEX(BS16:BS63,_xlpm.p),_xlpm.u,INDEX(BT16:BT63,_xlpm.p),_xlpm.s,INDEX(BV16:BV63,_xlpm.p),_xlpm.q,N(BA277)/_xlpm.f,IF(_xlpm.q&gt;=_xlpm.s,ROUND(_xlpm.q,1)&amp;" "&amp;_xlpm.ai_test&amp;" = "&amp;ROUND(_xlpm.q*_xlpm.f,1)&amp;" "&amp;_xlpm.u,ROUND(_xlpm.q,1)&amp;" "&amp;_xlpm.ai_test)),""),""))))</f>
        <v>0</v>
      </c>
      <c r="BD277" s="801"/>
      <c r="BE277" s="788" t="str">
        <f t="shared" si="108"/>
        <v/>
      </c>
      <c r="BF277" s="789" t="str">
        <f t="shared" si="109"/>
        <v/>
      </c>
      <c r="BG277" s="790">
        <f t="shared" si="112"/>
        <v>0</v>
      </c>
      <c r="BH277" s="791" t="str">
        <f t="shared" si="113"/>
        <v/>
      </c>
      <c r="BI277" s="792"/>
      <c r="BJ277" s="793">
        <f t="shared" si="111"/>
        <v>0</v>
      </c>
      <c r="BK277" s="794" t="str">
        <f t="shared" si="110"/>
        <v/>
      </c>
      <c r="BL277" s="227" t="s">
        <v>21</v>
      </c>
      <c r="BM277" s="773">
        <f t="shared" si="99"/>
        <v>0</v>
      </c>
      <c r="BN277" s="774">
        <f t="shared" si="100"/>
        <v>0</v>
      </c>
      <c r="BO277"/>
      <c r="BP277" s="627"/>
      <c r="BQ277" s="627"/>
      <c r="BR277" s="627"/>
      <c r="BS277" s="627"/>
      <c r="BT277" s="627"/>
      <c r="BU277" s="627"/>
      <c r="BV277" s="627"/>
      <c r="BW277" s="627"/>
      <c r="BX277"/>
      <c r="BY277"/>
      <c r="BZ277"/>
      <c r="CA277"/>
      <c r="CB277"/>
      <c r="CC277"/>
      <c r="CD277" s="781" t="str">
        <f t="shared" si="114"/>
        <v>►</v>
      </c>
      <c r="CE277"/>
      <c r="CF277"/>
      <c r="CG277"/>
      <c r="CH277"/>
      <c r="CI277"/>
      <c r="CK277"/>
      <c r="CL277"/>
      <c r="CM277"/>
      <c r="CN277"/>
      <c r="CO277"/>
      <c r="CP277"/>
      <c r="CQ277"/>
      <c r="CR277" s="227"/>
      <c r="CS277"/>
      <c r="CT277"/>
      <c r="CU277"/>
      <c r="CV277"/>
      <c r="CW277"/>
      <c r="CX277"/>
      <c r="CY277"/>
      <c r="CZ277" s="227"/>
      <c r="DA277"/>
      <c r="DB277"/>
      <c r="DC277"/>
      <c r="DD277"/>
      <c r="DE277"/>
      <c r="DF277"/>
      <c r="DG277"/>
      <c r="DH277" s="227"/>
      <c r="DI277" s="3">
        <v>1</v>
      </c>
      <c r="DJ277" s="627"/>
      <c r="DK277" s="627"/>
    </row>
    <row r="278" spans="1:115" s="633" customFormat="1" ht="21" customHeight="1">
      <c r="A278" s="701" t="s">
        <v>21</v>
      </c>
      <c r="B278" s="2265" t="str" cm="1">
        <f t="array" ref="B278">SUMPRODUCT(--(D278:J278&lt;&gt;""), LEN(TRIM(SUBSTITUTE(D278:J278, CHAR(160), "")))) &amp; " Car."</f>
        <v>0 Car.</v>
      </c>
      <c r="C278" s="1376" t="str">
        <f>IF(ISBLANK(D278),"",LARGE(C13:C277,1)+1)</f>
        <v/>
      </c>
      <c r="D278" s="1833"/>
      <c r="E278" s="1810"/>
      <c r="F278" s="1810"/>
      <c r="G278" s="1810"/>
      <c r="H278" s="1810"/>
      <c r="I278" s="1810"/>
      <c r="J278" s="1810"/>
      <c r="K278" s="1810"/>
      <c r="L278" s="1811"/>
      <c r="M278" s="9"/>
      <c r="N278" s="103" t="str">
        <f t="shared" si="116"/>
        <v>►</v>
      </c>
      <c r="O278" s="1616"/>
      <c r="P278" s="9"/>
      <c r="Q278" s="25" t="s">
        <v>15</v>
      </c>
      <c r="R278" s="31"/>
      <c r="S278" s="32"/>
      <c r="T278" s="31"/>
      <c r="U278" s="33"/>
      <c r="V278" s="1967"/>
      <c r="W278" s="1805"/>
      <c r="X278" s="91"/>
      <c r="Y278" s="1806"/>
      <c r="Z278" s="1968"/>
      <c r="AA278" s="2244"/>
      <c r="AB278" s="1969"/>
      <c r="AC278" s="1365"/>
      <c r="AD278" s="95"/>
      <c r="AE278" s="1326"/>
      <c r="AF278" s="97"/>
      <c r="AG278" s="1737"/>
      <c r="AH278" s="1970"/>
      <c r="AI278" s="99"/>
      <c r="AJ278" s="1809"/>
      <c r="AK278" s="6120" t="str">
        <f t="shared" si="117"/>
        <v>►</v>
      </c>
      <c r="AL278" s="781" t="str">
        <f t="shared" si="98"/>
        <v>►</v>
      </c>
      <c r="AM278" s="5498" t="str">
        <f t="shared" si="101"/>
        <v/>
      </c>
      <c r="AN278" s="783" t="str">
        <f t="shared" si="102"/>
        <v/>
      </c>
      <c r="AO278" s="782" t="str">
        <f t="shared" si="103"/>
        <v/>
      </c>
      <c r="AP278" s="783" t="str">
        <f t="shared" si="104"/>
        <v/>
      </c>
      <c r="AQ278" s="2083" t="b">
        <f>AND(Q278="A",COUNTIF(BP16:BR63,TRIM(Z278))&gt;0)</f>
        <v>0</v>
      </c>
      <c r="AR278" s="797" t="str">
        <f>IF(AL278&lt;&gt;"A","",IFERROR(IFERROR(_xlfn.XLOOKUP(TRIM(SUBSTITUTE(Z278,CHAR(160)," ")),BP16:BP63,BS16:BS63),IFERROR(_xlfn.XLOOKUP(TRIM(SUBSTITUTE(Z278,CHAR(160)," ")),BQ16:BQ63,BS16:BS63),_xlfn.XLOOKUP(TRIM(SUBSTITUTE(Z278,CHAR(160)," ")),BR16:BR63,BS16:BS63)))*Y278*IF(ISBLANK(V278),1,V278),0))</f>
        <v/>
      </c>
      <c r="AS278" s="784" t="str">
        <f t="shared" si="115"/>
        <v/>
      </c>
      <c r="AT278" s="1315" t="str">
        <f t="shared" si="105"/>
        <v/>
      </c>
      <c r="AU278" s="785">
        <f t="shared" si="106"/>
        <v>0</v>
      </c>
      <c r="AV278" s="785">
        <f t="shared" si="107"/>
        <v>0</v>
      </c>
      <c r="AW278" s="798">
        <f>IF(AK278="A",AY10,0)</f>
        <v>0</v>
      </c>
      <c r="AX278" s="5496" t="str">
        <f>IF(IFERROR(SEARCH("Adresse PC",TRIM(W278)),0)&gt;0,"▼ receta siguiente",IF(AK278="A",IF(AZ10&lt;&gt;"",AZ10&amp;" - ou.or.o ❾ + or - &gt;",""),""))</f>
        <v/>
      </c>
      <c r="AY278" s="810"/>
      <c r="AZ278" s="810"/>
      <c r="BA278" s="799" t="str">
        <f t="shared" si="118"/>
        <v/>
      </c>
      <c r="BB278" s="800" t="str">
        <f>IF(AK278="A",IF(AQ278,IF(AND(AW278&lt;&gt;"",N(AW278)&gt;0),IFERROR(IFERROR(_xlfn.XLOOKUP(AP278,BP10:BP57,BT10:BT57),IFERROR(_xlfn.XLOOKUP(AP278,BQ10:BQ57,BT10:BT57),_xlfn.XLOOKUP(AP278,BR10:BR57,BT10:BT57,""))),""),""),""),"")</f>
        <v/>
      </c>
      <c r="BC278" s="813" cm="1">
        <f t="array" ref="BC278">IF(NOT(AQ278),0,IF(OR(BA278="",N(BA278)&lt;=0.000000001),"",IF(OR(AU278="",N(AU278)&lt;=0.000000001),0,IF(ISNUMBER(BA278),IFERROR(_xlfn.LET(_xlpm.ai_test,TRIM(AP278),_xlpm.r,IFERROR(_xlfn.XLOOKUP(_xlpm.ai_test,BP16:BP63,ROW(BP16:BP63),0,1),IFERROR(_xlfn.XLOOKUP(_xlpm.ai_test,BQ16:BQ63,ROW(BQ16:BQ63),0,1),_xlfn.XLOOKUP(_xlpm.ai_test,BR16:BR63,ROW(BR16:BR63),0,1))),_xlpm.p,_xlpm.r-MIN(ROW(BP16:BP63))+1,_xlpm.f,INDEX(BS16:BS63,_xlpm.p),_xlpm.u,INDEX(BT16:BT63,_xlpm.p),_xlpm.s,INDEX(BV16:BV63,_xlpm.p),_xlpm.q,N(BA278)/_xlpm.f,IF(_xlpm.q&gt;=_xlpm.s,ROUND(_xlpm.q,1)&amp;" "&amp;_xlpm.ai_test&amp;" = "&amp;ROUND(_xlpm.q*_xlpm.f,1)&amp;" "&amp;_xlpm.u,ROUND(_xlpm.q,1)&amp;" "&amp;_xlpm.ai_test)),""),""))))</f>
        <v>0</v>
      </c>
      <c r="BD278" s="801"/>
      <c r="BE278" s="799" t="str">
        <f t="shared" si="108"/>
        <v/>
      </c>
      <c r="BF278" s="800" t="str">
        <f t="shared" si="109"/>
        <v/>
      </c>
      <c r="BG278" s="802">
        <f t="shared" si="112"/>
        <v>0</v>
      </c>
      <c r="BH278" s="803" t="str">
        <f t="shared" si="113"/>
        <v/>
      </c>
      <c r="BI278" s="792"/>
      <c r="BJ278" s="804">
        <f t="shared" si="111"/>
        <v>0</v>
      </c>
      <c r="BK278" s="794" t="str">
        <f t="shared" si="110"/>
        <v/>
      </c>
      <c r="BL278" s="227" t="s">
        <v>21</v>
      </c>
      <c r="BM278" s="773">
        <f t="shared" si="99"/>
        <v>0</v>
      </c>
      <c r="BN278" s="774">
        <f t="shared" si="100"/>
        <v>0</v>
      </c>
      <c r="BO278"/>
      <c r="BP278" s="627"/>
      <c r="BQ278" s="627"/>
      <c r="BR278" s="627"/>
      <c r="BS278" s="627"/>
      <c r="BT278" s="627"/>
      <c r="BU278" s="627"/>
      <c r="BV278" s="627"/>
      <c r="BW278" s="627"/>
      <c r="BX278"/>
      <c r="BY278"/>
      <c r="BZ278"/>
      <c r="CA278"/>
      <c r="CB278"/>
      <c r="CC278"/>
      <c r="CD278" s="781" t="str">
        <f t="shared" si="114"/>
        <v>►</v>
      </c>
      <c r="CE278"/>
      <c r="CF278"/>
      <c r="CG278"/>
      <c r="CH278"/>
      <c r="CI278"/>
      <c r="CK278"/>
      <c r="CL278"/>
      <c r="CM278"/>
      <c r="CN278"/>
      <c r="CO278"/>
      <c r="CP278"/>
      <c r="CQ278"/>
      <c r="CR278" s="227"/>
      <c r="CS278"/>
      <c r="CT278"/>
      <c r="CU278"/>
      <c r="CV278"/>
      <c r="CW278"/>
      <c r="CX278"/>
      <c r="CY278"/>
      <c r="CZ278" s="227"/>
      <c r="DA278"/>
      <c r="DB278"/>
      <c r="DC278"/>
      <c r="DD278"/>
      <c r="DE278"/>
      <c r="DF278"/>
      <c r="DG278"/>
      <c r="DH278" s="227"/>
      <c r="DI278" s="3">
        <v>1</v>
      </c>
      <c r="DJ278" s="627"/>
      <c r="DK278" s="627"/>
    </row>
    <row r="279" spans="1:115" s="633" customFormat="1" ht="21" customHeight="1">
      <c r="A279" s="701" t="s">
        <v>21</v>
      </c>
      <c r="B279" s="2265" t="str" cm="1">
        <f t="array" ref="B279">SUMPRODUCT(--(D279:J279&lt;&gt;""), LEN(TRIM(SUBSTITUTE(D279:J279, CHAR(160), "")))) &amp; " Car."</f>
        <v>0 Car.</v>
      </c>
      <c r="C279" s="1376" t="str">
        <f>IF(ISBLANK(D279),"",LARGE(C13:C278,1)+1)</f>
        <v/>
      </c>
      <c r="D279" s="1833"/>
      <c r="E279" s="1810"/>
      <c r="F279" s="1810"/>
      <c r="G279" s="1810"/>
      <c r="H279" s="1810"/>
      <c r="I279" s="1810"/>
      <c r="J279" s="1810"/>
      <c r="K279" s="1810"/>
      <c r="L279" s="1811"/>
      <c r="M279" s="9"/>
      <c r="N279" s="103" t="str">
        <f t="shared" si="116"/>
        <v>►</v>
      </c>
      <c r="O279" s="1616"/>
      <c r="P279" s="9"/>
      <c r="Q279" s="25" t="s">
        <v>15</v>
      </c>
      <c r="R279" s="31"/>
      <c r="S279" s="32"/>
      <c r="T279" s="31"/>
      <c r="U279" s="33"/>
      <c r="V279" s="1967"/>
      <c r="W279" s="1805"/>
      <c r="X279" s="91"/>
      <c r="Y279" s="1806"/>
      <c r="Z279" s="1968"/>
      <c r="AA279" s="2244"/>
      <c r="AB279" s="1969"/>
      <c r="AC279" s="1365"/>
      <c r="AD279" s="95"/>
      <c r="AE279" s="1326"/>
      <c r="AF279" s="97"/>
      <c r="AG279" s="1737"/>
      <c r="AH279" s="1970"/>
      <c r="AI279" s="99"/>
      <c r="AJ279" s="1809"/>
      <c r="AK279" s="6120" t="str">
        <f t="shared" si="117"/>
        <v>►</v>
      </c>
      <c r="AL279" s="781" t="str">
        <f t="shared" ref="AL279:AL342" si="119">IF(OR(AU279&gt;0,TRIM(AM279)="▼ recette suivante"),"A","►")</f>
        <v>►</v>
      </c>
      <c r="AM279" s="5499" t="str">
        <f t="shared" si="101"/>
        <v/>
      </c>
      <c r="AN279" s="783" t="str">
        <f t="shared" si="102"/>
        <v/>
      </c>
      <c r="AO279" s="782" t="str">
        <f t="shared" si="103"/>
        <v/>
      </c>
      <c r="AP279" s="783" t="str">
        <f t="shared" si="104"/>
        <v/>
      </c>
      <c r="AQ279" s="2083" t="b">
        <f>AND(Q279="A",COUNTIF(BP16:BR63,TRIM(Z279))&gt;0)</f>
        <v>0</v>
      </c>
      <c r="AR279" s="797" t="str">
        <f>IF(AL279&lt;&gt;"A","",IFERROR(IFERROR(_xlfn.XLOOKUP(TRIM(SUBSTITUTE(Z279,CHAR(160)," ")),BP16:BP63,BS16:BS63),IFERROR(_xlfn.XLOOKUP(TRIM(SUBSTITUTE(Z279,CHAR(160)," ")),BQ16:BQ63,BS16:BS63),_xlfn.XLOOKUP(TRIM(SUBSTITUTE(Z279,CHAR(160)," ")),BR16:BR63,BS16:BS63)))*Y279*IF(ISBLANK(V279),1,V279),0))</f>
        <v/>
      </c>
      <c r="AS279" s="784" t="str">
        <f t="shared" si="115"/>
        <v/>
      </c>
      <c r="AT279" s="1315" t="str">
        <f t="shared" si="105"/>
        <v/>
      </c>
      <c r="AU279" s="785">
        <f t="shared" si="106"/>
        <v>0</v>
      </c>
      <c r="AV279" s="785">
        <f t="shared" si="107"/>
        <v>0</v>
      </c>
      <c r="AW279" s="786">
        <f>IF(AK279="A",AY10,0)</f>
        <v>0</v>
      </c>
      <c r="AX279" s="5495" t="str">
        <f>IF(IFERROR(SEARCH("Adresse PC",TRIM(W279)),0)&gt;0,"▼ receta siguiente",IF(AK279="A",IF(AZ10&lt;&gt;"",AZ10&amp;" - ou.or.o ❾ + or - &gt;",""),""))</f>
        <v/>
      </c>
      <c r="AY279" s="810"/>
      <c r="AZ279" s="810"/>
      <c r="BA279" s="788" t="str">
        <f t="shared" si="118"/>
        <v/>
      </c>
      <c r="BB279" s="789" t="str">
        <f>IF(AK279="A",IF(AQ279,IF(AND(AW279&lt;&gt;"",N(AW279)&gt;0),IFERROR(IFERROR(_xlfn.XLOOKUP(AP279,BP10:BP57,BT10:BT57),IFERROR(_xlfn.XLOOKUP(AP279,BQ10:BQ57,BT10:BT57),_xlfn.XLOOKUP(AP279,BR10:BR57,BT10:BT57,""))),""),""),""),"")</f>
        <v/>
      </c>
      <c r="BC279" s="811" cm="1">
        <f t="array" ref="BC279">IF(NOT(AQ279),0,IF(OR(BA279="",N(BA279)&lt;=0.000000001),"",IF(OR(AU279="",N(AU279)&lt;=0.000000001),0,IF(ISNUMBER(BA279),IFERROR(_xlfn.LET(_xlpm.ai_test,TRIM(AP279),_xlpm.r,IFERROR(_xlfn.XLOOKUP(_xlpm.ai_test,BP16:BP63,ROW(BP16:BP63),0,1),IFERROR(_xlfn.XLOOKUP(_xlpm.ai_test,BQ16:BQ63,ROW(BQ16:BQ63),0,1),_xlfn.XLOOKUP(_xlpm.ai_test,BR16:BR63,ROW(BR16:BR63),0,1))),_xlpm.p,_xlpm.r-MIN(ROW(BP16:BP63))+1,_xlpm.f,INDEX(BS16:BS63,_xlpm.p),_xlpm.u,INDEX(BT16:BT63,_xlpm.p),_xlpm.s,INDEX(BV16:BV63,_xlpm.p),_xlpm.q,N(BA279)/_xlpm.f,IF(_xlpm.q&gt;=_xlpm.s,ROUND(_xlpm.q,1)&amp;" "&amp;_xlpm.ai_test&amp;" = "&amp;ROUND(_xlpm.q*_xlpm.f,1)&amp;" "&amp;_xlpm.u,ROUND(_xlpm.q,1)&amp;" "&amp;_xlpm.ai_test)),""),""))))</f>
        <v>0</v>
      </c>
      <c r="BD279" s="801"/>
      <c r="BE279" s="788" t="str">
        <f t="shared" si="108"/>
        <v/>
      </c>
      <c r="BF279" s="789" t="str">
        <f t="shared" si="109"/>
        <v/>
      </c>
      <c r="BG279" s="790">
        <f t="shared" si="112"/>
        <v>0</v>
      </c>
      <c r="BH279" s="791" t="str">
        <f t="shared" si="113"/>
        <v/>
      </c>
      <c r="BI279" s="792"/>
      <c r="BJ279" s="793">
        <f t="shared" si="111"/>
        <v>0</v>
      </c>
      <c r="BK279" s="794" t="str">
        <f t="shared" si="110"/>
        <v/>
      </c>
      <c r="BL279" s="227" t="s">
        <v>21</v>
      </c>
      <c r="BM279" s="773">
        <f t="shared" ref="BM279:BM342" si="120">IFERROR(_xlfn.LET(_xlpm.EPS,0.000000001,_xlpm.b,V279/AU279,IF(ISNUMBER(AY279),_xlpm.b*AY279,IF(OR(ISBLANK(AY279),AY279=""),_xlpm.b*AW279,IF(AND(BN279=0,ISNUMBER(V279)),_xlpm.b/AW279,0)))),0)</f>
        <v>0</v>
      </c>
      <c r="BN279" s="774">
        <f t="shared" ref="BN279:BN342" si="121">IF(AR279&gt;0,IFERROR(IF(OR(ISBLANK(AY279),AY279=""),AW279,AY279)/AU279,0),0)</f>
        <v>0</v>
      </c>
      <c r="BO279"/>
      <c r="BP279" s="627"/>
      <c r="BQ279" s="627"/>
      <c r="BR279" s="627"/>
      <c r="BS279" s="627"/>
      <c r="BT279" s="627"/>
      <c r="BU279" s="627"/>
      <c r="BV279" s="627"/>
      <c r="BW279" s="627"/>
      <c r="BX279"/>
      <c r="BY279"/>
      <c r="BZ279"/>
      <c r="CA279"/>
      <c r="CB279"/>
      <c r="CC279"/>
      <c r="CD279" s="781" t="str">
        <f t="shared" si="114"/>
        <v>►</v>
      </c>
      <c r="CE279"/>
      <c r="CF279"/>
      <c r="CG279"/>
      <c r="CH279"/>
      <c r="CI279"/>
      <c r="CK279"/>
      <c r="CL279"/>
      <c r="CM279"/>
      <c r="CN279"/>
      <c r="CO279"/>
      <c r="CP279"/>
      <c r="CQ279"/>
      <c r="CR279" s="227"/>
      <c r="CS279"/>
      <c r="CT279"/>
      <c r="CU279"/>
      <c r="CV279"/>
      <c r="CW279"/>
      <c r="CX279"/>
      <c r="CY279"/>
      <c r="CZ279" s="227"/>
      <c r="DA279"/>
      <c r="DB279"/>
      <c r="DC279"/>
      <c r="DD279"/>
      <c r="DE279"/>
      <c r="DF279"/>
      <c r="DG279"/>
      <c r="DH279" s="227"/>
      <c r="DI279" s="3">
        <v>1</v>
      </c>
      <c r="DJ279" s="627"/>
      <c r="DK279" s="627"/>
    </row>
    <row r="280" spans="1:115" s="633" customFormat="1" ht="21" customHeight="1">
      <c r="A280" s="701" t="s">
        <v>21</v>
      </c>
      <c r="B280" s="2265" t="str" cm="1">
        <f t="array" ref="B280">SUMPRODUCT(--(D280:J280&lt;&gt;""), LEN(TRIM(SUBSTITUTE(D280:J280, CHAR(160), "")))) &amp; " Car."</f>
        <v>0 Car.</v>
      </c>
      <c r="C280" s="1376" t="str">
        <f>IF(ISBLANK(D280),"",LARGE(C13:C279,1)+1)</f>
        <v/>
      </c>
      <c r="D280" s="1833"/>
      <c r="E280" s="1810"/>
      <c r="F280" s="1810"/>
      <c r="G280" s="1810"/>
      <c r="H280" s="1810"/>
      <c r="I280" s="1810"/>
      <c r="J280" s="1810"/>
      <c r="K280" s="1810"/>
      <c r="L280" s="1811"/>
      <c r="M280" s="9"/>
      <c r="N280" s="103" t="str">
        <f t="shared" si="116"/>
        <v>►</v>
      </c>
      <c r="O280" s="1616"/>
      <c r="P280" s="9"/>
      <c r="Q280" s="25" t="s">
        <v>15</v>
      </c>
      <c r="R280" s="31"/>
      <c r="S280" s="32"/>
      <c r="T280" s="31"/>
      <c r="U280" s="33"/>
      <c r="V280" s="1967"/>
      <c r="W280" s="1805"/>
      <c r="X280" s="91"/>
      <c r="Y280" s="1806"/>
      <c r="Z280" s="1968"/>
      <c r="AA280" s="2244"/>
      <c r="AB280" s="1969"/>
      <c r="AC280" s="1365"/>
      <c r="AD280" s="95"/>
      <c r="AE280" s="1326"/>
      <c r="AF280" s="97"/>
      <c r="AG280" s="1737"/>
      <c r="AH280" s="1970"/>
      <c r="AI280" s="99"/>
      <c r="AJ280" s="1809"/>
      <c r="AK280" s="6120" t="str">
        <f t="shared" si="117"/>
        <v>►</v>
      </c>
      <c r="AL280" s="781" t="str">
        <f t="shared" si="119"/>
        <v>►</v>
      </c>
      <c r="AM280" s="5498" t="str">
        <f t="shared" ref="AM280:AM343" si="122">IF(IFERROR(SEARCH("Adresse PC",TRIM(SUBSTITUTE(W280,CHAR(160)," "))),0)&gt;0,"▼ recette suivante",IF(AK280="A",R280,""))</f>
        <v/>
      </c>
      <c r="AN280" s="783" t="str">
        <f t="shared" ref="AN280:AN343" si="123">IF(AK280="A",S280,"")</f>
        <v/>
      </c>
      <c r="AO280" s="782" t="str">
        <f t="shared" ref="AO280:AO343" si="124">IF(AK280="A",T280,"")</f>
        <v/>
      </c>
      <c r="AP280" s="783" t="str">
        <f t="shared" ref="AP280:AP343" si="125">IF(AK280="A",Z280,"")</f>
        <v/>
      </c>
      <c r="AQ280" s="2083" t="b">
        <f>AND(Q280="A",COUNTIF(BP16:BR63,TRIM(Z280))&gt;0)</f>
        <v>0</v>
      </c>
      <c r="AR280" s="797" t="str">
        <f>IF(AL280&lt;&gt;"A","",IFERROR(IFERROR(_xlfn.XLOOKUP(TRIM(SUBSTITUTE(Z280,CHAR(160)," ")),BP16:BP63,BS16:BS63),IFERROR(_xlfn.XLOOKUP(TRIM(SUBSTITUTE(Z280,CHAR(160)," ")),BQ16:BQ63,BS16:BS63),_xlfn.XLOOKUP(TRIM(SUBSTITUTE(Z280,CHAR(160)," ")),BR16:BR63,BS16:BS63)))*Y280*IF(ISBLANK(V280),1,V280),0))</f>
        <v/>
      </c>
      <c r="AS280" s="784" t="str">
        <f t="shared" si="115"/>
        <v/>
      </c>
      <c r="AT280" s="1315" t="str">
        <f t="shared" ref="AT280:AT343" si="126">IF(AK280="A","❾ Author reference &gt;","")</f>
        <v/>
      </c>
      <c r="AU280" s="785">
        <f t="shared" ref="AU280:AU343" si="127">IF(AK280="A",S280,0)</f>
        <v>0</v>
      </c>
      <c r="AV280" s="785">
        <f t="shared" ref="AV280:AV343" si="128">IF(AK280="A",T280,0)</f>
        <v>0</v>
      </c>
      <c r="AW280" s="798">
        <f>IF(AK280="A",AY10,0)</f>
        <v>0</v>
      </c>
      <c r="AX280" s="5496" t="str">
        <f>IF(IFERROR(SEARCH("Adresse PC",TRIM(W280)),0)&gt;0,"▼ receta siguiente",IF(AK280="A",IF(AZ10&lt;&gt;"",AZ10&amp;" - ou.or.o ❾ + or - &gt;",""),""))</f>
        <v/>
      </c>
      <c r="AY280" s="810"/>
      <c r="AZ280" s="810"/>
      <c r="BA280" s="799" t="str">
        <f t="shared" si="118"/>
        <v/>
      </c>
      <c r="BB280" s="800" t="str">
        <f>IF(AK280="A",IF(AQ280,IF(AND(AW280&lt;&gt;"",N(AW280)&gt;0),IFERROR(IFERROR(_xlfn.XLOOKUP(AP280,BP10:BP57,BT10:BT57),IFERROR(_xlfn.XLOOKUP(AP280,BQ10:BQ57,BT10:BT57),_xlfn.XLOOKUP(AP280,BR10:BR57,BT10:BT57,""))),""),""),""),"")</f>
        <v/>
      </c>
      <c r="BC280" s="813" cm="1">
        <f t="array" ref="BC280">IF(NOT(AQ280),0,IF(OR(BA280="",N(BA280)&lt;=0.000000001),"",IF(OR(AU280="",N(AU280)&lt;=0.000000001),0,IF(ISNUMBER(BA280),IFERROR(_xlfn.LET(_xlpm.ai_test,TRIM(AP280),_xlpm.r,IFERROR(_xlfn.XLOOKUP(_xlpm.ai_test,BP16:BP63,ROW(BP16:BP63),0,1),IFERROR(_xlfn.XLOOKUP(_xlpm.ai_test,BQ16:BQ63,ROW(BQ16:BQ63),0,1),_xlfn.XLOOKUP(_xlpm.ai_test,BR16:BR63,ROW(BR16:BR63),0,1))),_xlpm.p,_xlpm.r-MIN(ROW(BP16:BP63))+1,_xlpm.f,INDEX(BS16:BS63,_xlpm.p),_xlpm.u,INDEX(BT16:BT63,_xlpm.p),_xlpm.s,INDEX(BV16:BV63,_xlpm.p),_xlpm.q,N(BA280)/_xlpm.f,IF(_xlpm.q&gt;=_xlpm.s,ROUND(_xlpm.q,1)&amp;" "&amp;_xlpm.ai_test&amp;" = "&amp;ROUND(_xlpm.q*_xlpm.f,1)&amp;" "&amp;_xlpm.u,ROUND(_xlpm.q,1)&amp;" "&amp;_xlpm.ai_test)),""),""))))</f>
        <v>0</v>
      </c>
      <c r="BD280" s="801"/>
      <c r="BE280" s="799" t="str">
        <f t="shared" ref="BE280:BE343" si="129">IF(IFERROR(SEARCH("Adresse PC",TRIM(W280)),0)&gt;0,"▼next ricipe ",IF(BA280="","",IF(AK280="A",IF(ISBLANK(BD280),BA280,ROUND(BA280*(1-MIN(1,MAX(0,IF(BD280&gt;1,BD280/100,BD280)))),3)))))</f>
        <v/>
      </c>
      <c r="BF280" s="800" t="str">
        <f t="shared" ref="BF280:BF343" si="130">IF(AQ280,BB280,"")</f>
        <v/>
      </c>
      <c r="BG280" s="802">
        <f t="shared" si="112"/>
        <v>0</v>
      </c>
      <c r="BH280" s="803" t="str">
        <f t="shared" si="113"/>
        <v/>
      </c>
      <c r="BI280" s="792"/>
      <c r="BJ280" s="804">
        <f t="shared" si="111"/>
        <v>0</v>
      </c>
      <c r="BK280" s="794" t="str">
        <f t="shared" ref="BK280:BK343" si="131">IF(AK280="A",IF(IFERROR(SEARCH("Adresse PC",TRIM(W280)),0)&gt;0,"▼recette suivante ",IF(BE280&gt;0,AC280,"")),"")</f>
        <v/>
      </c>
      <c r="BL280" s="227" t="s">
        <v>21</v>
      </c>
      <c r="BM280" s="773">
        <f t="shared" si="120"/>
        <v>0</v>
      </c>
      <c r="BN280" s="774">
        <f t="shared" si="121"/>
        <v>0</v>
      </c>
      <c r="BO280"/>
      <c r="BP280" s="627"/>
      <c r="BQ280" s="627"/>
      <c r="BR280" s="627"/>
      <c r="BS280" s="627"/>
      <c r="BT280" s="627"/>
      <c r="BU280" s="627"/>
      <c r="BV280" s="627"/>
      <c r="BW280" s="627"/>
      <c r="BX280"/>
      <c r="BY280"/>
      <c r="BZ280"/>
      <c r="CA280"/>
      <c r="CB280"/>
      <c r="CC280"/>
      <c r="CD280" s="781" t="str">
        <f t="shared" si="114"/>
        <v>►</v>
      </c>
      <c r="CE280"/>
      <c r="CF280"/>
      <c r="CG280"/>
      <c r="CH280"/>
      <c r="CI280"/>
      <c r="CK280"/>
      <c r="CL280"/>
      <c r="CM280"/>
      <c r="CN280"/>
      <c r="CO280"/>
      <c r="CP280"/>
      <c r="CQ280"/>
      <c r="CR280" s="227"/>
      <c r="CS280"/>
      <c r="CT280"/>
      <c r="CU280"/>
      <c r="CV280"/>
      <c r="CW280"/>
      <c r="CX280"/>
      <c r="CY280"/>
      <c r="CZ280" s="227"/>
      <c r="DA280"/>
      <c r="DB280"/>
      <c r="DC280"/>
      <c r="DD280"/>
      <c r="DE280"/>
      <c r="DF280"/>
      <c r="DG280"/>
      <c r="DH280" s="227"/>
      <c r="DI280" s="3">
        <v>1</v>
      </c>
      <c r="DJ280" s="627"/>
      <c r="DK280" s="627"/>
    </row>
    <row r="281" spans="1:115" s="633" customFormat="1" ht="21" customHeight="1">
      <c r="A281" s="701" t="s">
        <v>21</v>
      </c>
      <c r="B281" s="2265" t="str" cm="1">
        <f t="array" ref="B281">SUMPRODUCT(--(D281:J281&lt;&gt;""), LEN(TRIM(SUBSTITUTE(D281:J281, CHAR(160), "")))) &amp; " Car."</f>
        <v>0 Car.</v>
      </c>
      <c r="C281" s="1376" t="str">
        <f>IF(ISBLANK(D281),"",LARGE(C13:C280,1)+1)</f>
        <v/>
      </c>
      <c r="D281" s="1833"/>
      <c r="E281" s="1810"/>
      <c r="F281" s="1810"/>
      <c r="G281" s="1810"/>
      <c r="H281" s="1810"/>
      <c r="I281" s="1810"/>
      <c r="J281" s="1810"/>
      <c r="K281" s="1810"/>
      <c r="L281" s="1811"/>
      <c r="M281" s="9"/>
      <c r="N281" s="103" t="str">
        <f t="shared" si="116"/>
        <v>►</v>
      </c>
      <c r="O281" s="1616"/>
      <c r="P281" s="9"/>
      <c r="Q281" s="25" t="s">
        <v>15</v>
      </c>
      <c r="R281" s="31"/>
      <c r="S281" s="32"/>
      <c r="T281" s="31"/>
      <c r="U281" s="33"/>
      <c r="V281" s="1967"/>
      <c r="W281" s="1805"/>
      <c r="X281" s="91"/>
      <c r="Y281" s="1806"/>
      <c r="Z281" s="1968"/>
      <c r="AA281" s="2244"/>
      <c r="AB281" s="1969"/>
      <c r="AC281" s="1365"/>
      <c r="AD281" s="95"/>
      <c r="AE281" s="1326"/>
      <c r="AF281" s="97"/>
      <c r="AG281" s="1737"/>
      <c r="AH281" s="1970"/>
      <c r="AI281" s="99"/>
      <c r="AJ281" s="1809"/>
      <c r="AK281" s="6120" t="str">
        <f t="shared" si="117"/>
        <v>►</v>
      </c>
      <c r="AL281" s="781" t="str">
        <f t="shared" si="119"/>
        <v>►</v>
      </c>
      <c r="AM281" s="5499" t="str">
        <f t="shared" si="122"/>
        <v/>
      </c>
      <c r="AN281" s="783" t="str">
        <f t="shared" si="123"/>
        <v/>
      </c>
      <c r="AO281" s="782" t="str">
        <f t="shared" si="124"/>
        <v/>
      </c>
      <c r="AP281" s="783" t="str">
        <f t="shared" si="125"/>
        <v/>
      </c>
      <c r="AQ281" s="2083" t="b">
        <f>AND(Q281="A",COUNTIF(BP16:BR63,TRIM(Z281))&gt;0)</f>
        <v>0</v>
      </c>
      <c r="AR281" s="797" t="str">
        <f>IF(AL281&lt;&gt;"A","",IFERROR(IFERROR(_xlfn.XLOOKUP(TRIM(SUBSTITUTE(Z281,CHAR(160)," ")),BP16:BP63,BS16:BS63),IFERROR(_xlfn.XLOOKUP(TRIM(SUBSTITUTE(Z281,CHAR(160)," ")),BQ16:BQ63,BS16:BS63),_xlfn.XLOOKUP(TRIM(SUBSTITUTE(Z281,CHAR(160)," ")),BR16:BR63,BS16:BS63)))*Y281*IF(ISBLANK(V281),1,V281),0))</f>
        <v/>
      </c>
      <c r="AS281" s="784" t="str">
        <f t="shared" si="115"/>
        <v/>
      </c>
      <c r="AT281" s="1315" t="str">
        <f t="shared" si="126"/>
        <v/>
      </c>
      <c r="AU281" s="785">
        <f t="shared" si="127"/>
        <v>0</v>
      </c>
      <c r="AV281" s="785">
        <f t="shared" si="128"/>
        <v>0</v>
      </c>
      <c r="AW281" s="786">
        <f>IF(AK281="A",AY10,0)</f>
        <v>0</v>
      </c>
      <c r="AX281" s="5495" t="str">
        <f>IF(IFERROR(SEARCH("Adresse PC",TRIM(W281)),0)&gt;0,"▼ receta siguiente",IF(AK281="A",IF(AZ10&lt;&gt;"",AZ10&amp;" - ou.or.o ❾ + or - &gt;",""),""))</f>
        <v/>
      </c>
      <c r="AY281" s="810"/>
      <c r="AZ281" s="810"/>
      <c r="BA281" s="788" t="str">
        <f t="shared" si="118"/>
        <v/>
      </c>
      <c r="BB281" s="789" t="str">
        <f>IF(AK281="A",IF(AQ281,IF(AND(AW281&lt;&gt;"",N(AW281)&gt;0),IFERROR(IFERROR(_xlfn.XLOOKUP(AP281,BP10:BP57,BT10:BT57),IFERROR(_xlfn.XLOOKUP(AP281,BQ10:BQ57,BT10:BT57),_xlfn.XLOOKUP(AP281,BR10:BR57,BT10:BT57,""))),""),""),""),"")</f>
        <v/>
      </c>
      <c r="BC281" s="811" cm="1">
        <f t="array" ref="BC281">IF(NOT(AQ281),0,IF(OR(BA281="",N(BA281)&lt;=0.000000001),"",IF(OR(AU281="",N(AU281)&lt;=0.000000001),0,IF(ISNUMBER(BA281),IFERROR(_xlfn.LET(_xlpm.ai_test,TRIM(AP281),_xlpm.r,IFERROR(_xlfn.XLOOKUP(_xlpm.ai_test,BP16:BP63,ROW(BP16:BP63),0,1),IFERROR(_xlfn.XLOOKUP(_xlpm.ai_test,BQ16:BQ63,ROW(BQ16:BQ63),0,1),_xlfn.XLOOKUP(_xlpm.ai_test,BR16:BR63,ROW(BR16:BR63),0,1))),_xlpm.p,_xlpm.r-MIN(ROW(BP16:BP63))+1,_xlpm.f,INDEX(BS16:BS63,_xlpm.p),_xlpm.u,INDEX(BT16:BT63,_xlpm.p),_xlpm.s,INDEX(BV16:BV63,_xlpm.p),_xlpm.q,N(BA281)/_xlpm.f,IF(_xlpm.q&gt;=_xlpm.s,ROUND(_xlpm.q,1)&amp;" "&amp;_xlpm.ai_test&amp;" = "&amp;ROUND(_xlpm.q*_xlpm.f,1)&amp;" "&amp;_xlpm.u,ROUND(_xlpm.q,1)&amp;" "&amp;_xlpm.ai_test)),""),""))))</f>
        <v>0</v>
      </c>
      <c r="BD281" s="801"/>
      <c r="BE281" s="788" t="str">
        <f t="shared" si="129"/>
        <v/>
      </c>
      <c r="BF281" s="789" t="str">
        <f t="shared" si="130"/>
        <v/>
      </c>
      <c r="BG281" s="790">
        <f t="shared" si="112"/>
        <v>0</v>
      </c>
      <c r="BH281" s="791" t="str">
        <f t="shared" si="113"/>
        <v/>
      </c>
      <c r="BI281" s="792"/>
      <c r="BJ281" s="793">
        <f t="shared" si="111"/>
        <v>0</v>
      </c>
      <c r="BK281" s="794" t="str">
        <f t="shared" si="131"/>
        <v/>
      </c>
      <c r="BL281" s="227" t="s">
        <v>21</v>
      </c>
      <c r="BM281" s="773">
        <f t="shared" si="120"/>
        <v>0</v>
      </c>
      <c r="BN281" s="774">
        <f t="shared" si="121"/>
        <v>0</v>
      </c>
      <c r="BO281"/>
      <c r="BP281" s="627"/>
      <c r="BQ281" s="627"/>
      <c r="BR281" s="627"/>
      <c r="BS281" s="627"/>
      <c r="BT281" s="627"/>
      <c r="BU281" s="627"/>
      <c r="BV281" s="627"/>
      <c r="BW281" s="627"/>
      <c r="BX281"/>
      <c r="BY281"/>
      <c r="BZ281"/>
      <c r="CA281"/>
      <c r="CB281"/>
      <c r="CC281"/>
      <c r="CD281" s="781" t="str">
        <f t="shared" si="114"/>
        <v>►</v>
      </c>
      <c r="CE281"/>
      <c r="CF281"/>
      <c r="CG281"/>
      <c r="CH281"/>
      <c r="CI281"/>
      <c r="CK281"/>
      <c r="CL281"/>
      <c r="CM281"/>
      <c r="CN281"/>
      <c r="CO281"/>
      <c r="CP281"/>
      <c r="CQ281"/>
      <c r="CR281" s="227"/>
      <c r="CS281"/>
      <c r="CT281"/>
      <c r="CU281"/>
      <c r="CV281"/>
      <c r="CW281"/>
      <c r="CX281"/>
      <c r="CY281"/>
      <c r="CZ281" s="227"/>
      <c r="DA281"/>
      <c r="DB281"/>
      <c r="DC281"/>
      <c r="DD281"/>
      <c r="DE281"/>
      <c r="DF281"/>
      <c r="DG281"/>
      <c r="DH281" s="227"/>
      <c r="DI281" s="3">
        <v>1</v>
      </c>
      <c r="DJ281" s="627"/>
      <c r="DK281" s="627"/>
    </row>
    <row r="282" spans="1:115" s="633" customFormat="1" ht="21" customHeight="1">
      <c r="A282" s="701" t="s">
        <v>21</v>
      </c>
      <c r="B282" s="2265" t="str" cm="1">
        <f t="array" ref="B282">SUMPRODUCT(--(D282:J282&lt;&gt;""), LEN(TRIM(SUBSTITUTE(D282:J282, CHAR(160), "")))) &amp; " Car."</f>
        <v>0 Car.</v>
      </c>
      <c r="C282" s="1376" t="str">
        <f>IF(ISBLANK(D282),"",LARGE(C13:C281,1)+1)</f>
        <v/>
      </c>
      <c r="D282" s="1833"/>
      <c r="E282" s="1810"/>
      <c r="F282" s="1810"/>
      <c r="G282" s="1810"/>
      <c r="H282" s="1810"/>
      <c r="I282" s="1810"/>
      <c r="J282" s="1810"/>
      <c r="K282" s="1810"/>
      <c r="L282" s="1811"/>
      <c r="M282" s="9"/>
      <c r="N282" s="103" t="str">
        <f t="shared" si="116"/>
        <v>►</v>
      </c>
      <c r="O282" s="1616"/>
      <c r="P282" s="9"/>
      <c r="Q282" s="25" t="s">
        <v>15</v>
      </c>
      <c r="R282" s="31"/>
      <c r="S282" s="32"/>
      <c r="T282" s="31"/>
      <c r="U282" s="33"/>
      <c r="V282" s="1967"/>
      <c r="W282" s="1805"/>
      <c r="X282" s="91"/>
      <c r="Y282" s="1806"/>
      <c r="Z282" s="1968"/>
      <c r="AA282" s="2244"/>
      <c r="AB282" s="1969"/>
      <c r="AC282" s="1365"/>
      <c r="AD282" s="95"/>
      <c r="AE282" s="1326"/>
      <c r="AF282" s="97"/>
      <c r="AG282" s="1737"/>
      <c r="AH282" s="1970"/>
      <c r="AI282" s="99"/>
      <c r="AJ282" s="1809"/>
      <c r="AK282" s="6120" t="str">
        <f t="shared" si="117"/>
        <v>►</v>
      </c>
      <c r="AL282" s="781" t="str">
        <f t="shared" si="119"/>
        <v>►</v>
      </c>
      <c r="AM282" s="5498" t="str">
        <f t="shared" si="122"/>
        <v/>
      </c>
      <c r="AN282" s="783" t="str">
        <f t="shared" si="123"/>
        <v/>
      </c>
      <c r="AO282" s="782" t="str">
        <f t="shared" si="124"/>
        <v/>
      </c>
      <c r="AP282" s="783" t="str">
        <f t="shared" si="125"/>
        <v/>
      </c>
      <c r="AQ282" s="2083" t="b">
        <f>AND(Q282="A",COUNTIF(BP16:BR63,TRIM(Z282))&gt;0)</f>
        <v>0</v>
      </c>
      <c r="AR282" s="797" t="str">
        <f>IF(AL282&lt;&gt;"A","",IFERROR(IFERROR(_xlfn.XLOOKUP(TRIM(SUBSTITUTE(Z282,CHAR(160)," ")),BP16:BP63,BS16:BS63),IFERROR(_xlfn.XLOOKUP(TRIM(SUBSTITUTE(Z282,CHAR(160)," ")),BQ16:BQ63,BS16:BS63),_xlfn.XLOOKUP(TRIM(SUBSTITUTE(Z282,CHAR(160)," ")),BR16:BR63,BS16:BS63)))*Y282*IF(ISBLANK(V282),1,V282),0))</f>
        <v/>
      </c>
      <c r="AS282" s="784" t="str">
        <f t="shared" si="115"/>
        <v/>
      </c>
      <c r="AT282" s="1315" t="str">
        <f t="shared" si="126"/>
        <v/>
      </c>
      <c r="AU282" s="785">
        <f t="shared" si="127"/>
        <v>0</v>
      </c>
      <c r="AV282" s="785">
        <f t="shared" si="128"/>
        <v>0</v>
      </c>
      <c r="AW282" s="798">
        <f>IF(AK282="A",AY10,0)</f>
        <v>0</v>
      </c>
      <c r="AX282" s="5496" t="str">
        <f>IF(IFERROR(SEARCH("Adresse PC",TRIM(W282)),0)&gt;0,"▼ receta siguiente",IF(AK282="A",IF(AZ10&lt;&gt;"",AZ10&amp;" - ou.or.o ❾ + or - &gt;",""),""))</f>
        <v/>
      </c>
      <c r="AY282" s="810"/>
      <c r="AZ282" s="810"/>
      <c r="BA282" s="799" t="str">
        <f t="shared" si="118"/>
        <v/>
      </c>
      <c r="BB282" s="800" t="str">
        <f>IF(AK282="A",IF(AQ282,IF(AND(AW282&lt;&gt;"",N(AW282)&gt;0),IFERROR(IFERROR(_xlfn.XLOOKUP(AP282,BP10:BP57,BT10:BT57),IFERROR(_xlfn.XLOOKUP(AP282,BQ10:BQ57,BT10:BT57),_xlfn.XLOOKUP(AP282,BR10:BR57,BT10:BT57,""))),""),""),""),"")</f>
        <v/>
      </c>
      <c r="BC282" s="813" cm="1">
        <f t="array" ref="BC282">IF(NOT(AQ282),0,IF(OR(BA282="",N(BA282)&lt;=0.000000001),"",IF(OR(AU282="",N(AU282)&lt;=0.000000001),0,IF(ISNUMBER(BA282),IFERROR(_xlfn.LET(_xlpm.ai_test,TRIM(AP282),_xlpm.r,IFERROR(_xlfn.XLOOKUP(_xlpm.ai_test,BP16:BP63,ROW(BP16:BP63),0,1),IFERROR(_xlfn.XLOOKUP(_xlpm.ai_test,BQ16:BQ63,ROW(BQ16:BQ63),0,1),_xlfn.XLOOKUP(_xlpm.ai_test,BR16:BR63,ROW(BR16:BR63),0,1))),_xlpm.p,_xlpm.r-MIN(ROW(BP16:BP63))+1,_xlpm.f,INDEX(BS16:BS63,_xlpm.p),_xlpm.u,INDEX(BT16:BT63,_xlpm.p),_xlpm.s,INDEX(BV16:BV63,_xlpm.p),_xlpm.q,N(BA282)/_xlpm.f,IF(_xlpm.q&gt;=_xlpm.s,ROUND(_xlpm.q,1)&amp;" "&amp;_xlpm.ai_test&amp;" = "&amp;ROUND(_xlpm.q*_xlpm.f,1)&amp;" "&amp;_xlpm.u,ROUND(_xlpm.q,1)&amp;" "&amp;_xlpm.ai_test)),""),""))))</f>
        <v>0</v>
      </c>
      <c r="BD282" s="801"/>
      <c r="BE282" s="799" t="str">
        <f t="shared" si="129"/>
        <v/>
      </c>
      <c r="BF282" s="800" t="str">
        <f t="shared" si="130"/>
        <v/>
      </c>
      <c r="BG282" s="802">
        <f t="shared" si="112"/>
        <v>0</v>
      </c>
      <c r="BH282" s="803" t="str">
        <f t="shared" si="113"/>
        <v/>
      </c>
      <c r="BI282" s="792"/>
      <c r="BJ282" s="804">
        <f t="shared" si="111"/>
        <v>0</v>
      </c>
      <c r="BK282" s="794" t="str">
        <f t="shared" si="131"/>
        <v/>
      </c>
      <c r="BL282" s="227" t="s">
        <v>21</v>
      </c>
      <c r="BM282" s="773">
        <f t="shared" si="120"/>
        <v>0</v>
      </c>
      <c r="BN282" s="774">
        <f t="shared" si="121"/>
        <v>0</v>
      </c>
      <c r="BO282"/>
      <c r="BP282" s="627"/>
      <c r="BQ282" s="627"/>
      <c r="BR282" s="627"/>
      <c r="BS282" s="627"/>
      <c r="BT282" s="627"/>
      <c r="BU282" s="627"/>
      <c r="BV282" s="627"/>
      <c r="BW282" s="627"/>
      <c r="BX282"/>
      <c r="BY282"/>
      <c r="BZ282"/>
      <c r="CA282"/>
      <c r="CB282"/>
      <c r="CC282"/>
      <c r="CD282" s="781" t="str">
        <f t="shared" si="114"/>
        <v>►</v>
      </c>
      <c r="CE282"/>
      <c r="CF282"/>
      <c r="CG282"/>
      <c r="CH282"/>
      <c r="CI282"/>
      <c r="CK282"/>
      <c r="CL282"/>
      <c r="CM282"/>
      <c r="CN282"/>
      <c r="CO282"/>
      <c r="CP282"/>
      <c r="CQ282"/>
      <c r="CR282" s="227"/>
      <c r="CS282"/>
      <c r="CT282"/>
      <c r="CU282"/>
      <c r="CV282"/>
      <c r="CW282"/>
      <c r="CX282"/>
      <c r="CY282"/>
      <c r="CZ282" s="227"/>
      <c r="DA282"/>
      <c r="DB282"/>
      <c r="DC282"/>
      <c r="DD282"/>
      <c r="DE282"/>
      <c r="DF282"/>
      <c r="DG282"/>
      <c r="DH282" s="227"/>
      <c r="DI282" s="3">
        <v>1</v>
      </c>
      <c r="DJ282" s="627"/>
      <c r="DK282" s="627"/>
    </row>
    <row r="283" spans="1:115" s="633" customFormat="1" ht="21" customHeight="1">
      <c r="A283" s="701" t="s">
        <v>21</v>
      </c>
      <c r="B283" s="2265" t="str" cm="1">
        <f t="array" ref="B283">SUMPRODUCT(--(D283:J283&lt;&gt;""), LEN(TRIM(SUBSTITUTE(D283:J283, CHAR(160), "")))) &amp; " Car."</f>
        <v>0 Car.</v>
      </c>
      <c r="C283" s="1376" t="str">
        <f>IF(ISBLANK(D283),"",LARGE(C13:C282,1)+1)</f>
        <v/>
      </c>
      <c r="D283" s="1833"/>
      <c r="E283" s="1810"/>
      <c r="F283" s="1810"/>
      <c r="G283" s="1810"/>
      <c r="H283" s="1810"/>
      <c r="I283" s="1810"/>
      <c r="J283" s="1810"/>
      <c r="K283" s="1810"/>
      <c r="L283" s="1811"/>
      <c r="M283" s="9"/>
      <c r="N283" s="103" t="str">
        <f t="shared" si="116"/>
        <v>►</v>
      </c>
      <c r="O283" s="1616"/>
      <c r="P283" s="9"/>
      <c r="Q283" s="25" t="s">
        <v>15</v>
      </c>
      <c r="R283" s="31"/>
      <c r="S283" s="32"/>
      <c r="T283" s="31"/>
      <c r="U283" s="33"/>
      <c r="V283" s="1967"/>
      <c r="W283" s="1805"/>
      <c r="X283" s="91"/>
      <c r="Y283" s="1806"/>
      <c r="Z283" s="1968"/>
      <c r="AA283" s="2244"/>
      <c r="AB283" s="1969"/>
      <c r="AC283" s="1365"/>
      <c r="AD283" s="95"/>
      <c r="AE283" s="1326"/>
      <c r="AF283" s="97"/>
      <c r="AG283" s="1737"/>
      <c r="AH283" s="1970"/>
      <c r="AI283" s="99"/>
      <c r="AJ283" s="1809"/>
      <c r="AK283" s="6120" t="str">
        <f t="shared" si="117"/>
        <v>►</v>
      </c>
      <c r="AL283" s="781" t="str">
        <f t="shared" si="119"/>
        <v>►</v>
      </c>
      <c r="AM283" s="5499" t="str">
        <f t="shared" si="122"/>
        <v/>
      </c>
      <c r="AN283" s="783" t="str">
        <f t="shared" si="123"/>
        <v/>
      </c>
      <c r="AO283" s="782" t="str">
        <f t="shared" si="124"/>
        <v/>
      </c>
      <c r="AP283" s="783" t="str">
        <f t="shared" si="125"/>
        <v/>
      </c>
      <c r="AQ283" s="2083" t="b">
        <f>AND(Q283="A",COUNTIF(BP16:BR63,TRIM(Z283))&gt;0)</f>
        <v>0</v>
      </c>
      <c r="AR283" s="797" t="str">
        <f>IF(AL283&lt;&gt;"A","",IFERROR(IFERROR(_xlfn.XLOOKUP(TRIM(SUBSTITUTE(Z283,CHAR(160)," ")),BP16:BP63,BS16:BS63),IFERROR(_xlfn.XLOOKUP(TRIM(SUBSTITUTE(Z283,CHAR(160)," ")),BQ16:BQ63,BS16:BS63),_xlfn.XLOOKUP(TRIM(SUBSTITUTE(Z283,CHAR(160)," ")),BR16:BR63,BS16:BS63)))*Y283*IF(ISBLANK(V283),1,V283),0))</f>
        <v/>
      </c>
      <c r="AS283" s="784" t="str">
        <f t="shared" si="115"/>
        <v/>
      </c>
      <c r="AT283" s="1315" t="str">
        <f t="shared" si="126"/>
        <v/>
      </c>
      <c r="AU283" s="785">
        <f t="shared" si="127"/>
        <v>0</v>
      </c>
      <c r="AV283" s="785">
        <f t="shared" si="128"/>
        <v>0</v>
      </c>
      <c r="AW283" s="786">
        <f>IF(AK283="A",AY10,0)</f>
        <v>0</v>
      </c>
      <c r="AX283" s="5495" t="str">
        <f>IF(IFERROR(SEARCH("Adresse PC",TRIM(W283)),0)&gt;0,"▼ receta siguiente",IF(AK283="A",IF(AZ10&lt;&gt;"",AZ10&amp;" - ou.or.o ❾ + or - &gt;",""),""))</f>
        <v/>
      </c>
      <c r="AY283" s="810"/>
      <c r="AZ283" s="810"/>
      <c r="BA283" s="788" t="str">
        <f t="shared" si="118"/>
        <v/>
      </c>
      <c r="BB283" s="789" t="str">
        <f>IF(AK283="A",IF(AQ283,IF(AND(AW283&lt;&gt;"",N(AW283)&gt;0),IFERROR(IFERROR(_xlfn.XLOOKUP(AP283,BP10:BP57,BT10:BT57),IFERROR(_xlfn.XLOOKUP(AP283,BQ10:BQ57,BT10:BT57),_xlfn.XLOOKUP(AP283,BR10:BR57,BT10:BT57,""))),""),""),""),"")</f>
        <v/>
      </c>
      <c r="BC283" s="811" cm="1">
        <f t="array" ref="BC283">IF(NOT(AQ283),0,IF(OR(BA283="",N(BA283)&lt;=0.000000001),"",IF(OR(AU283="",N(AU283)&lt;=0.000000001),0,IF(ISNUMBER(BA283),IFERROR(_xlfn.LET(_xlpm.ai_test,TRIM(AP283),_xlpm.r,IFERROR(_xlfn.XLOOKUP(_xlpm.ai_test,BP16:BP63,ROW(BP16:BP63),0,1),IFERROR(_xlfn.XLOOKUP(_xlpm.ai_test,BQ16:BQ63,ROW(BQ16:BQ63),0,1),_xlfn.XLOOKUP(_xlpm.ai_test,BR16:BR63,ROW(BR16:BR63),0,1))),_xlpm.p,_xlpm.r-MIN(ROW(BP16:BP63))+1,_xlpm.f,INDEX(BS16:BS63,_xlpm.p),_xlpm.u,INDEX(BT16:BT63,_xlpm.p),_xlpm.s,INDEX(BV16:BV63,_xlpm.p),_xlpm.q,N(BA283)/_xlpm.f,IF(_xlpm.q&gt;=_xlpm.s,ROUND(_xlpm.q,1)&amp;" "&amp;_xlpm.ai_test&amp;" = "&amp;ROUND(_xlpm.q*_xlpm.f,1)&amp;" "&amp;_xlpm.u,ROUND(_xlpm.q,1)&amp;" "&amp;_xlpm.ai_test)),""),""))))</f>
        <v>0</v>
      </c>
      <c r="BD283" s="801"/>
      <c r="BE283" s="788" t="str">
        <f t="shared" si="129"/>
        <v/>
      </c>
      <c r="BF283" s="789" t="str">
        <f t="shared" si="130"/>
        <v/>
      </c>
      <c r="BG283" s="790">
        <f t="shared" si="112"/>
        <v>0</v>
      </c>
      <c r="BH283" s="791" t="str">
        <f t="shared" si="113"/>
        <v/>
      </c>
      <c r="BI283" s="792"/>
      <c r="BJ283" s="793">
        <f t="shared" si="111"/>
        <v>0</v>
      </c>
      <c r="BK283" s="794" t="str">
        <f t="shared" si="131"/>
        <v/>
      </c>
      <c r="BL283" s="227" t="s">
        <v>21</v>
      </c>
      <c r="BM283" s="773">
        <f t="shared" si="120"/>
        <v>0</v>
      </c>
      <c r="BN283" s="774">
        <f t="shared" si="121"/>
        <v>0</v>
      </c>
      <c r="BO283"/>
      <c r="BP283" s="627"/>
      <c r="BQ283" s="627"/>
      <c r="BR283" s="627"/>
      <c r="BS283" s="627"/>
      <c r="BT283" s="627"/>
      <c r="BU283" s="627"/>
      <c r="BV283" s="627"/>
      <c r="BW283" s="627"/>
      <c r="BX283"/>
      <c r="BY283"/>
      <c r="BZ283"/>
      <c r="CA283"/>
      <c r="CB283"/>
      <c r="CC283"/>
      <c r="CD283" s="781" t="str">
        <f t="shared" si="114"/>
        <v>►</v>
      </c>
      <c r="CE283"/>
      <c r="CF283"/>
      <c r="CG283"/>
      <c r="CH283"/>
      <c r="CI283"/>
      <c r="CK283"/>
      <c r="CL283"/>
      <c r="CM283"/>
      <c r="CN283"/>
      <c r="CO283"/>
      <c r="CP283"/>
      <c r="CQ283"/>
      <c r="CR283" s="227"/>
      <c r="CS283"/>
      <c r="CT283"/>
      <c r="CU283"/>
      <c r="CV283"/>
      <c r="CW283"/>
      <c r="CX283"/>
      <c r="CY283"/>
      <c r="CZ283" s="227"/>
      <c r="DA283"/>
      <c r="DB283"/>
      <c r="DC283"/>
      <c r="DD283"/>
      <c r="DE283"/>
      <c r="DF283"/>
      <c r="DG283"/>
      <c r="DH283" s="227"/>
      <c r="DI283" s="3">
        <v>1</v>
      </c>
      <c r="DJ283" s="627"/>
      <c r="DK283" s="627"/>
    </row>
    <row r="284" spans="1:115" s="633" customFormat="1" ht="21" customHeight="1">
      <c r="A284" s="701" t="s">
        <v>21</v>
      </c>
      <c r="B284" s="2265" t="str" cm="1">
        <f t="array" ref="B284">SUMPRODUCT(--(D284:J284&lt;&gt;""), LEN(TRIM(SUBSTITUTE(D284:J284, CHAR(160), "")))) &amp; " Car."</f>
        <v>0 Car.</v>
      </c>
      <c r="C284" s="1376" t="str">
        <f>IF(ISBLANK(D284),"",LARGE(C13:C283,1)+1)</f>
        <v/>
      </c>
      <c r="D284" s="1833"/>
      <c r="E284" s="1810"/>
      <c r="F284" s="1810"/>
      <c r="G284" s="1810"/>
      <c r="H284" s="1810"/>
      <c r="I284" s="1810"/>
      <c r="J284" s="1810"/>
      <c r="K284" s="1810"/>
      <c r="L284" s="1811"/>
      <c r="M284" s="9"/>
      <c r="N284" s="103" t="str">
        <f t="shared" si="116"/>
        <v>►</v>
      </c>
      <c r="O284" s="1616"/>
      <c r="P284" s="9"/>
      <c r="Q284" s="25" t="s">
        <v>15</v>
      </c>
      <c r="R284" s="31"/>
      <c r="S284" s="32"/>
      <c r="T284" s="31"/>
      <c r="U284" s="33"/>
      <c r="V284" s="1967"/>
      <c r="W284" s="1805"/>
      <c r="X284" s="91"/>
      <c r="Y284" s="1806"/>
      <c r="Z284" s="1968"/>
      <c r="AA284" s="2244"/>
      <c r="AB284" s="1969"/>
      <c r="AC284" s="1365"/>
      <c r="AD284" s="95"/>
      <c r="AE284" s="1326"/>
      <c r="AF284" s="97"/>
      <c r="AG284" s="1737"/>
      <c r="AH284" s="1970"/>
      <c r="AI284" s="99"/>
      <c r="AJ284" s="1809"/>
      <c r="AK284" s="6120" t="str">
        <f t="shared" si="117"/>
        <v>►</v>
      </c>
      <c r="AL284" s="781" t="str">
        <f t="shared" si="119"/>
        <v>►</v>
      </c>
      <c r="AM284" s="5498" t="str">
        <f t="shared" si="122"/>
        <v/>
      </c>
      <c r="AN284" s="783" t="str">
        <f t="shared" si="123"/>
        <v/>
      </c>
      <c r="AO284" s="782" t="str">
        <f t="shared" si="124"/>
        <v/>
      </c>
      <c r="AP284" s="783" t="str">
        <f t="shared" si="125"/>
        <v/>
      </c>
      <c r="AQ284" s="2083" t="b">
        <f>AND(Q284="A",COUNTIF(BP16:BR63,TRIM(Z284))&gt;0)</f>
        <v>0</v>
      </c>
      <c r="AR284" s="797" t="str">
        <f>IF(AL284&lt;&gt;"A","",IFERROR(IFERROR(_xlfn.XLOOKUP(TRIM(SUBSTITUTE(Z284,CHAR(160)," ")),BP16:BP63,BS16:BS63),IFERROR(_xlfn.XLOOKUP(TRIM(SUBSTITUTE(Z284,CHAR(160)," ")),BQ16:BQ63,BS16:BS63),_xlfn.XLOOKUP(TRIM(SUBSTITUTE(Z284,CHAR(160)," ")),BR16:BR63,BS16:BS63)))*Y284*IF(ISBLANK(V284),1,V284),0))</f>
        <v/>
      </c>
      <c r="AS284" s="784" t="str">
        <f t="shared" si="115"/>
        <v/>
      </c>
      <c r="AT284" s="1315" t="str">
        <f t="shared" si="126"/>
        <v/>
      </c>
      <c r="AU284" s="785">
        <f t="shared" si="127"/>
        <v>0</v>
      </c>
      <c r="AV284" s="785">
        <f t="shared" si="128"/>
        <v>0</v>
      </c>
      <c r="AW284" s="798">
        <f>IF(AK284="A",AY10,0)</f>
        <v>0</v>
      </c>
      <c r="AX284" s="5496" t="str">
        <f>IF(IFERROR(SEARCH("Adresse PC",TRIM(W284)),0)&gt;0,"▼ receta siguiente",IF(AK284="A",IF(AZ10&lt;&gt;"",AZ10&amp;" - ou.or.o ❾ + or - &gt;",""),""))</f>
        <v/>
      </c>
      <c r="AY284" s="810"/>
      <c r="AZ284" s="810"/>
      <c r="BA284" s="799" t="str">
        <f t="shared" si="118"/>
        <v/>
      </c>
      <c r="BB284" s="800" t="str">
        <f>IF(AK284="A",IF(AQ284,IF(AND(AW284&lt;&gt;"",N(AW284)&gt;0),IFERROR(IFERROR(_xlfn.XLOOKUP(AP284,BP10:BP57,BT10:BT57),IFERROR(_xlfn.XLOOKUP(AP284,BQ10:BQ57,BT10:BT57),_xlfn.XLOOKUP(AP284,BR10:BR57,BT10:BT57,""))),""),""),""),"")</f>
        <v/>
      </c>
      <c r="BC284" s="813" cm="1">
        <f t="array" ref="BC284">IF(NOT(AQ284),0,IF(OR(BA284="",N(BA284)&lt;=0.000000001),"",IF(OR(AU284="",N(AU284)&lt;=0.000000001),0,IF(ISNUMBER(BA284),IFERROR(_xlfn.LET(_xlpm.ai_test,TRIM(AP284),_xlpm.r,IFERROR(_xlfn.XLOOKUP(_xlpm.ai_test,BP16:BP63,ROW(BP16:BP63),0,1),IFERROR(_xlfn.XLOOKUP(_xlpm.ai_test,BQ16:BQ63,ROW(BQ16:BQ63),0,1),_xlfn.XLOOKUP(_xlpm.ai_test,BR16:BR63,ROW(BR16:BR63),0,1))),_xlpm.p,_xlpm.r-MIN(ROW(BP16:BP63))+1,_xlpm.f,INDEX(BS16:BS63,_xlpm.p),_xlpm.u,INDEX(BT16:BT63,_xlpm.p),_xlpm.s,INDEX(BV16:BV63,_xlpm.p),_xlpm.q,N(BA284)/_xlpm.f,IF(_xlpm.q&gt;=_xlpm.s,ROUND(_xlpm.q,1)&amp;" "&amp;_xlpm.ai_test&amp;" = "&amp;ROUND(_xlpm.q*_xlpm.f,1)&amp;" "&amp;_xlpm.u,ROUND(_xlpm.q,1)&amp;" "&amp;_xlpm.ai_test)),""),""))))</f>
        <v>0</v>
      </c>
      <c r="BD284" s="801"/>
      <c r="BE284" s="799" t="str">
        <f t="shared" si="129"/>
        <v/>
      </c>
      <c r="BF284" s="800" t="str">
        <f t="shared" si="130"/>
        <v/>
      </c>
      <c r="BG284" s="802">
        <f t="shared" si="112"/>
        <v>0</v>
      </c>
      <c r="BH284" s="803" t="str">
        <f t="shared" si="113"/>
        <v/>
      </c>
      <c r="BI284" s="792"/>
      <c r="BJ284" s="804">
        <f t="shared" si="111"/>
        <v>0</v>
      </c>
      <c r="BK284" s="794" t="str">
        <f t="shared" si="131"/>
        <v/>
      </c>
      <c r="BL284" s="227" t="s">
        <v>21</v>
      </c>
      <c r="BM284" s="773">
        <f t="shared" si="120"/>
        <v>0</v>
      </c>
      <c r="BN284" s="774">
        <f t="shared" si="121"/>
        <v>0</v>
      </c>
      <c r="BO284"/>
      <c r="BP284" s="627"/>
      <c r="BQ284" s="627"/>
      <c r="BR284" s="627"/>
      <c r="BS284" s="627"/>
      <c r="BT284" s="627"/>
      <c r="BU284" s="627"/>
      <c r="BV284" s="627"/>
      <c r="BW284" s="627"/>
      <c r="BX284"/>
      <c r="BY284"/>
      <c r="BZ284"/>
      <c r="CA284"/>
      <c r="CB284"/>
      <c r="CC284"/>
      <c r="CD284" s="781" t="str">
        <f t="shared" si="114"/>
        <v>►</v>
      </c>
      <c r="CE284"/>
      <c r="CF284"/>
      <c r="CG284"/>
      <c r="CH284"/>
      <c r="CI284"/>
      <c r="CK284"/>
      <c r="CL284"/>
      <c r="CM284"/>
      <c r="CN284"/>
      <c r="CO284"/>
      <c r="CP284"/>
      <c r="CQ284"/>
      <c r="CR284" s="227"/>
      <c r="CS284"/>
      <c r="CT284"/>
      <c r="CU284"/>
      <c r="CV284"/>
      <c r="CW284"/>
      <c r="CX284"/>
      <c r="CY284"/>
      <c r="CZ284" s="227"/>
      <c r="DA284"/>
      <c r="DB284"/>
      <c r="DC284"/>
      <c r="DD284"/>
      <c r="DE284"/>
      <c r="DF284"/>
      <c r="DG284"/>
      <c r="DH284" s="227"/>
      <c r="DI284" s="3">
        <v>1</v>
      </c>
      <c r="DJ284" s="627"/>
      <c r="DK284" s="627"/>
    </row>
    <row r="285" spans="1:115" s="633" customFormat="1" ht="21" customHeight="1">
      <c r="A285" s="701" t="s">
        <v>21</v>
      </c>
      <c r="B285" s="2265" t="str" cm="1">
        <f t="array" ref="B285">SUMPRODUCT(--(D285:J285&lt;&gt;""), LEN(TRIM(SUBSTITUTE(D285:J285, CHAR(160), "")))) &amp; " Car."</f>
        <v>0 Car.</v>
      </c>
      <c r="C285" s="1376" t="str">
        <f>IF(ISBLANK(D285),"",LARGE(C13:C284,1)+1)</f>
        <v/>
      </c>
      <c r="D285" s="1833"/>
      <c r="E285" s="1810"/>
      <c r="F285" s="1810"/>
      <c r="G285" s="1810"/>
      <c r="H285" s="1810"/>
      <c r="I285" s="1810"/>
      <c r="J285" s="1810"/>
      <c r="K285" s="1810"/>
      <c r="L285" s="1811"/>
      <c r="M285" s="9"/>
      <c r="N285" s="103" t="str">
        <f t="shared" si="116"/>
        <v>►</v>
      </c>
      <c r="O285" s="1616"/>
      <c r="P285" s="9"/>
      <c r="Q285" s="25" t="s">
        <v>15</v>
      </c>
      <c r="R285" s="31"/>
      <c r="S285" s="32"/>
      <c r="T285" s="31"/>
      <c r="U285" s="33"/>
      <c r="V285" s="1967"/>
      <c r="W285" s="1805"/>
      <c r="X285" s="91"/>
      <c r="Y285" s="1806"/>
      <c r="Z285" s="1968"/>
      <c r="AA285" s="2244"/>
      <c r="AB285" s="1969"/>
      <c r="AC285" s="1365"/>
      <c r="AD285" s="95"/>
      <c r="AE285" s="1326"/>
      <c r="AF285" s="97"/>
      <c r="AG285" s="1737"/>
      <c r="AH285" s="1970"/>
      <c r="AI285" s="99"/>
      <c r="AJ285" s="1809"/>
      <c r="AK285" s="6120" t="str">
        <f t="shared" si="117"/>
        <v>►</v>
      </c>
      <c r="AL285" s="781" t="str">
        <f t="shared" si="119"/>
        <v>►</v>
      </c>
      <c r="AM285" s="5499" t="str">
        <f t="shared" si="122"/>
        <v/>
      </c>
      <c r="AN285" s="783" t="str">
        <f t="shared" si="123"/>
        <v/>
      </c>
      <c r="AO285" s="782" t="str">
        <f t="shared" si="124"/>
        <v/>
      </c>
      <c r="AP285" s="783" t="str">
        <f t="shared" si="125"/>
        <v/>
      </c>
      <c r="AQ285" s="2083" t="b">
        <f>AND(Q285="A",COUNTIF(BP16:BR63,TRIM(Z285))&gt;0)</f>
        <v>0</v>
      </c>
      <c r="AR285" s="797" t="str">
        <f>IF(AL285&lt;&gt;"A","",IFERROR(IFERROR(_xlfn.XLOOKUP(TRIM(SUBSTITUTE(Z285,CHAR(160)," ")),BP16:BP63,BS16:BS63),IFERROR(_xlfn.XLOOKUP(TRIM(SUBSTITUTE(Z285,CHAR(160)," ")),BQ16:BQ63,BS16:BS63),_xlfn.XLOOKUP(TRIM(SUBSTITUTE(Z285,CHAR(160)," ")),BR16:BR63,BS16:BS63)))*Y285*IF(ISBLANK(V285),1,V285),0))</f>
        <v/>
      </c>
      <c r="AS285" s="784" t="str">
        <f t="shared" si="115"/>
        <v/>
      </c>
      <c r="AT285" s="1315" t="str">
        <f t="shared" si="126"/>
        <v/>
      </c>
      <c r="AU285" s="785">
        <f t="shared" si="127"/>
        <v>0</v>
      </c>
      <c r="AV285" s="785">
        <f t="shared" si="128"/>
        <v>0</v>
      </c>
      <c r="AW285" s="786">
        <f>IF(AK285="A",AY10,0)</f>
        <v>0</v>
      </c>
      <c r="AX285" s="5495" t="str">
        <f>IF(IFERROR(SEARCH("Adresse PC",TRIM(W285)),0)&gt;0,"▼ receta siguiente",IF(AK285="A",IF(AZ10&lt;&gt;"",AZ10&amp;" - ou.or.o ❾ + or - &gt;",""),""))</f>
        <v/>
      </c>
      <c r="AY285" s="810"/>
      <c r="AZ285" s="810"/>
      <c r="BA285" s="788" t="str">
        <f t="shared" si="118"/>
        <v/>
      </c>
      <c r="BB285" s="789" t="str">
        <f>IF(AK285="A",IF(AQ285,IF(AND(AW285&lt;&gt;"",N(AW285)&gt;0),IFERROR(IFERROR(_xlfn.XLOOKUP(AP285,BP10:BP57,BT10:BT57),IFERROR(_xlfn.XLOOKUP(AP285,BQ10:BQ57,BT10:BT57),_xlfn.XLOOKUP(AP285,BR10:BR57,BT10:BT57,""))),""),""),""),"")</f>
        <v/>
      </c>
      <c r="BC285" s="811" cm="1">
        <f t="array" ref="BC285">IF(NOT(AQ285),0,IF(OR(BA285="",N(BA285)&lt;=0.000000001),"",IF(OR(AU285="",N(AU285)&lt;=0.000000001),0,IF(ISNUMBER(BA285),IFERROR(_xlfn.LET(_xlpm.ai_test,TRIM(AP285),_xlpm.r,IFERROR(_xlfn.XLOOKUP(_xlpm.ai_test,BP16:BP63,ROW(BP16:BP63),0,1),IFERROR(_xlfn.XLOOKUP(_xlpm.ai_test,BQ16:BQ63,ROW(BQ16:BQ63),0,1),_xlfn.XLOOKUP(_xlpm.ai_test,BR16:BR63,ROW(BR16:BR63),0,1))),_xlpm.p,_xlpm.r-MIN(ROW(BP16:BP63))+1,_xlpm.f,INDEX(BS16:BS63,_xlpm.p),_xlpm.u,INDEX(BT16:BT63,_xlpm.p),_xlpm.s,INDEX(BV16:BV63,_xlpm.p),_xlpm.q,N(BA285)/_xlpm.f,IF(_xlpm.q&gt;=_xlpm.s,ROUND(_xlpm.q,1)&amp;" "&amp;_xlpm.ai_test&amp;" = "&amp;ROUND(_xlpm.q*_xlpm.f,1)&amp;" "&amp;_xlpm.u,ROUND(_xlpm.q,1)&amp;" "&amp;_xlpm.ai_test)),""),""))))</f>
        <v>0</v>
      </c>
      <c r="BD285" s="801"/>
      <c r="BE285" s="788" t="str">
        <f t="shared" si="129"/>
        <v/>
      </c>
      <c r="BF285" s="789" t="str">
        <f t="shared" si="130"/>
        <v/>
      </c>
      <c r="BG285" s="790">
        <f t="shared" si="112"/>
        <v>0</v>
      </c>
      <c r="BH285" s="791" t="str">
        <f t="shared" si="113"/>
        <v/>
      </c>
      <c r="BI285" s="792"/>
      <c r="BJ285" s="793">
        <f t="shared" si="111"/>
        <v>0</v>
      </c>
      <c r="BK285" s="794" t="str">
        <f t="shared" si="131"/>
        <v/>
      </c>
      <c r="BL285" s="227" t="s">
        <v>21</v>
      </c>
      <c r="BM285" s="773">
        <f t="shared" si="120"/>
        <v>0</v>
      </c>
      <c r="BN285" s="774">
        <f t="shared" si="121"/>
        <v>0</v>
      </c>
      <c r="BO285"/>
      <c r="BP285" s="627"/>
      <c r="BQ285" s="627"/>
      <c r="BR285" s="627"/>
      <c r="BS285" s="627"/>
      <c r="BT285" s="627"/>
      <c r="BU285" s="627"/>
      <c r="BV285" s="627"/>
      <c r="BW285" s="627"/>
      <c r="BX285"/>
      <c r="BY285"/>
      <c r="BZ285"/>
      <c r="CA285"/>
      <c r="CB285"/>
      <c r="CC285"/>
      <c r="CD285" s="781" t="str">
        <f t="shared" si="114"/>
        <v>►</v>
      </c>
      <c r="CE285"/>
      <c r="CF285"/>
      <c r="CG285"/>
      <c r="CH285"/>
      <c r="CI285"/>
      <c r="CK285"/>
      <c r="CL285"/>
      <c r="CM285"/>
      <c r="CN285"/>
      <c r="CO285"/>
      <c r="CP285"/>
      <c r="CQ285"/>
      <c r="CR285" s="227"/>
      <c r="CS285"/>
      <c r="CT285"/>
      <c r="CU285"/>
      <c r="CV285"/>
      <c r="CW285"/>
      <c r="CX285"/>
      <c r="CY285"/>
      <c r="CZ285" s="227"/>
      <c r="DA285"/>
      <c r="DB285"/>
      <c r="DC285"/>
      <c r="DD285"/>
      <c r="DE285"/>
      <c r="DF285"/>
      <c r="DG285"/>
      <c r="DH285" s="227"/>
      <c r="DI285" s="3">
        <v>1</v>
      </c>
      <c r="DJ285" s="627"/>
      <c r="DK285" s="627"/>
    </row>
    <row r="286" spans="1:115" s="633" customFormat="1" ht="21" customHeight="1">
      <c r="A286" s="701" t="s">
        <v>21</v>
      </c>
      <c r="B286" s="2265" t="str" cm="1">
        <f t="array" ref="B286">SUMPRODUCT(--(D286:J286&lt;&gt;""), LEN(TRIM(SUBSTITUTE(D286:J286, CHAR(160), "")))) &amp; " Car."</f>
        <v>0 Car.</v>
      </c>
      <c r="C286" s="1376" t="str">
        <f>IF(ISBLANK(D286),"",LARGE(C13:C285,1)+1)</f>
        <v/>
      </c>
      <c r="D286" s="1833"/>
      <c r="E286" s="1810"/>
      <c r="F286" s="1810"/>
      <c r="G286" s="1810"/>
      <c r="H286" s="1810"/>
      <c r="I286" s="1810"/>
      <c r="J286" s="1810"/>
      <c r="K286" s="1810"/>
      <c r="L286" s="1811"/>
      <c r="M286" s="9"/>
      <c r="N286" s="103" t="str">
        <f t="shared" si="116"/>
        <v>►</v>
      </c>
      <c r="O286" s="1616"/>
      <c r="P286" s="9"/>
      <c r="Q286" s="25" t="s">
        <v>15</v>
      </c>
      <c r="R286" s="31"/>
      <c r="S286" s="32"/>
      <c r="T286" s="31"/>
      <c r="U286" s="33"/>
      <c r="V286" s="1967"/>
      <c r="W286" s="1805"/>
      <c r="X286" s="91"/>
      <c r="Y286" s="1806"/>
      <c r="Z286" s="1968"/>
      <c r="AA286" s="2244"/>
      <c r="AB286" s="1969"/>
      <c r="AC286" s="1365"/>
      <c r="AD286" s="95"/>
      <c r="AE286" s="1326"/>
      <c r="AF286" s="97"/>
      <c r="AG286" s="1737"/>
      <c r="AH286" s="1970"/>
      <c r="AI286" s="99"/>
      <c r="AJ286" s="1809"/>
      <c r="AK286" s="6120" t="str">
        <f t="shared" si="117"/>
        <v>►</v>
      </c>
      <c r="AL286" s="781" t="str">
        <f t="shared" si="119"/>
        <v>►</v>
      </c>
      <c r="AM286" s="5498" t="str">
        <f t="shared" si="122"/>
        <v/>
      </c>
      <c r="AN286" s="783" t="str">
        <f t="shared" si="123"/>
        <v/>
      </c>
      <c r="AO286" s="782" t="str">
        <f t="shared" si="124"/>
        <v/>
      </c>
      <c r="AP286" s="783" t="str">
        <f t="shared" si="125"/>
        <v/>
      </c>
      <c r="AQ286" s="2083" t="b">
        <f>AND(Q286="A",COUNTIF(BP16:BR63,TRIM(Z286))&gt;0)</f>
        <v>0</v>
      </c>
      <c r="AR286" s="797" t="str">
        <f>IF(AL286&lt;&gt;"A","",IFERROR(IFERROR(_xlfn.XLOOKUP(TRIM(SUBSTITUTE(Z286,CHAR(160)," ")),BP16:BP63,BS16:BS63),IFERROR(_xlfn.XLOOKUP(TRIM(SUBSTITUTE(Z286,CHAR(160)," ")),BQ16:BQ63,BS16:BS63),_xlfn.XLOOKUP(TRIM(SUBSTITUTE(Z286,CHAR(160)," ")),BR16:BR63,BS16:BS63)))*Y286*IF(ISBLANK(V286),1,V286),0))</f>
        <v/>
      </c>
      <c r="AS286" s="784" t="str">
        <f t="shared" si="115"/>
        <v/>
      </c>
      <c r="AT286" s="1315" t="str">
        <f t="shared" si="126"/>
        <v/>
      </c>
      <c r="AU286" s="785">
        <f t="shared" si="127"/>
        <v>0</v>
      </c>
      <c r="AV286" s="785">
        <f t="shared" si="128"/>
        <v>0</v>
      </c>
      <c r="AW286" s="798">
        <f>IF(AK286="A",AY10,0)</f>
        <v>0</v>
      </c>
      <c r="AX286" s="5496" t="str">
        <f>IF(IFERROR(SEARCH("Adresse PC",TRIM(W286)),0)&gt;0,"▼ receta siguiente",IF(AK286="A",IF(AZ10&lt;&gt;"",AZ10&amp;" - ou.or.o ❾ + or - &gt;",""),""))</f>
        <v/>
      </c>
      <c r="AY286" s="810"/>
      <c r="AZ286" s="810"/>
      <c r="BA286" s="799" t="str">
        <f t="shared" si="118"/>
        <v/>
      </c>
      <c r="BB286" s="800" t="str">
        <f>IF(AK286="A",IF(AQ286,IF(AND(AW286&lt;&gt;"",N(AW286)&gt;0),IFERROR(IFERROR(_xlfn.XLOOKUP(AP286,BP10:BP57,BT10:BT57),IFERROR(_xlfn.XLOOKUP(AP286,BQ10:BQ57,BT10:BT57),_xlfn.XLOOKUP(AP286,BR10:BR57,BT10:BT57,""))),""),""),""),"")</f>
        <v/>
      </c>
      <c r="BC286" s="813" cm="1">
        <f t="array" ref="BC286">IF(NOT(AQ286),0,IF(OR(BA286="",N(BA286)&lt;=0.000000001),"",IF(OR(AU286="",N(AU286)&lt;=0.000000001),0,IF(ISNUMBER(BA286),IFERROR(_xlfn.LET(_xlpm.ai_test,TRIM(AP286),_xlpm.r,IFERROR(_xlfn.XLOOKUP(_xlpm.ai_test,BP16:BP63,ROW(BP16:BP63),0,1),IFERROR(_xlfn.XLOOKUP(_xlpm.ai_test,BQ16:BQ63,ROW(BQ16:BQ63),0,1),_xlfn.XLOOKUP(_xlpm.ai_test,BR16:BR63,ROW(BR16:BR63),0,1))),_xlpm.p,_xlpm.r-MIN(ROW(BP16:BP63))+1,_xlpm.f,INDEX(BS16:BS63,_xlpm.p),_xlpm.u,INDEX(BT16:BT63,_xlpm.p),_xlpm.s,INDEX(BV16:BV63,_xlpm.p),_xlpm.q,N(BA286)/_xlpm.f,IF(_xlpm.q&gt;=_xlpm.s,ROUND(_xlpm.q,1)&amp;" "&amp;_xlpm.ai_test&amp;" = "&amp;ROUND(_xlpm.q*_xlpm.f,1)&amp;" "&amp;_xlpm.u,ROUND(_xlpm.q,1)&amp;" "&amp;_xlpm.ai_test)),""),""))))</f>
        <v>0</v>
      </c>
      <c r="BD286" s="801"/>
      <c r="BE286" s="799" t="str">
        <f t="shared" si="129"/>
        <v/>
      </c>
      <c r="BF286" s="800" t="str">
        <f t="shared" si="130"/>
        <v/>
      </c>
      <c r="BG286" s="802">
        <f t="shared" si="112"/>
        <v>0</v>
      </c>
      <c r="BH286" s="803" t="str">
        <f t="shared" si="113"/>
        <v/>
      </c>
      <c r="BI286" s="792"/>
      <c r="BJ286" s="804">
        <f t="shared" ref="BJ286:BJ349" si="132">IF(OR(AU286=0,ISBLANK(BI286),ISTEXT(BG286)),0,(IF(BA286=0,BG286,BA286)*BI286))</f>
        <v>0</v>
      </c>
      <c r="BK286" s="794" t="str">
        <f t="shared" si="131"/>
        <v/>
      </c>
      <c r="BL286" s="227" t="s">
        <v>21</v>
      </c>
      <c r="BM286" s="773">
        <f t="shared" si="120"/>
        <v>0</v>
      </c>
      <c r="BN286" s="774">
        <f t="shared" si="121"/>
        <v>0</v>
      </c>
      <c r="BO286"/>
      <c r="BP286" s="627"/>
      <c r="BQ286" s="627"/>
      <c r="BR286" s="627"/>
      <c r="BS286" s="627"/>
      <c r="BT286" s="627"/>
      <c r="BU286" s="627"/>
      <c r="BV286" s="627"/>
      <c r="BW286" s="627"/>
      <c r="BX286"/>
      <c r="BY286"/>
      <c r="BZ286"/>
      <c r="CA286"/>
      <c r="CB286"/>
      <c r="CC286"/>
      <c r="CD286" s="781" t="str">
        <f t="shared" si="114"/>
        <v>►</v>
      </c>
      <c r="CE286"/>
      <c r="CF286"/>
      <c r="CG286"/>
      <c r="CH286"/>
      <c r="CI286"/>
      <c r="CK286"/>
      <c r="CL286"/>
      <c r="CM286"/>
      <c r="CN286"/>
      <c r="CO286"/>
      <c r="CP286"/>
      <c r="CQ286"/>
      <c r="CR286" s="227"/>
      <c r="CS286"/>
      <c r="CT286"/>
      <c r="CU286"/>
      <c r="CV286"/>
      <c r="CW286"/>
      <c r="CX286"/>
      <c r="CY286"/>
      <c r="CZ286" s="227"/>
      <c r="DA286"/>
      <c r="DB286"/>
      <c r="DC286"/>
      <c r="DD286"/>
      <c r="DE286"/>
      <c r="DF286"/>
      <c r="DG286"/>
      <c r="DH286" s="227"/>
      <c r="DI286" s="3">
        <v>1</v>
      </c>
      <c r="DJ286" s="627"/>
      <c r="DK286" s="627"/>
    </row>
    <row r="287" spans="1:115" s="633" customFormat="1" ht="21" customHeight="1">
      <c r="A287" s="701" t="s">
        <v>21</v>
      </c>
      <c r="B287" s="2265" t="str" cm="1">
        <f t="array" ref="B287">SUMPRODUCT(--(D287:J287&lt;&gt;""), LEN(TRIM(SUBSTITUTE(D287:J287, CHAR(160), "")))) &amp; " Car."</f>
        <v>0 Car.</v>
      </c>
      <c r="C287" s="1376" t="str">
        <f>IF(ISBLANK(D287),"",LARGE(C13:C286,1)+1)</f>
        <v/>
      </c>
      <c r="D287" s="1833"/>
      <c r="E287" s="1810"/>
      <c r="F287" s="1810"/>
      <c r="G287" s="1810"/>
      <c r="H287" s="1810"/>
      <c r="I287" s="1810"/>
      <c r="J287" s="1810"/>
      <c r="K287" s="1810"/>
      <c r="L287" s="1811"/>
      <c r="M287" s="9"/>
      <c r="N287" s="103" t="str">
        <f t="shared" si="116"/>
        <v>►</v>
      </c>
      <c r="O287" s="1616"/>
      <c r="P287" s="9"/>
      <c r="Q287" s="25" t="s">
        <v>15</v>
      </c>
      <c r="R287" s="31"/>
      <c r="S287" s="32"/>
      <c r="T287" s="31"/>
      <c r="U287" s="33"/>
      <c r="V287" s="1967"/>
      <c r="W287" s="1805"/>
      <c r="X287" s="91"/>
      <c r="Y287" s="1806"/>
      <c r="Z287" s="1968"/>
      <c r="AA287" s="2244"/>
      <c r="AB287" s="1969"/>
      <c r="AC287" s="1365"/>
      <c r="AD287" s="95"/>
      <c r="AE287" s="1326"/>
      <c r="AF287" s="97"/>
      <c r="AG287" s="1737"/>
      <c r="AH287" s="1970"/>
      <c r="AI287" s="99"/>
      <c r="AJ287" s="1809"/>
      <c r="AK287" s="6120" t="str">
        <f t="shared" si="117"/>
        <v>►</v>
      </c>
      <c r="AL287" s="781" t="str">
        <f t="shared" si="119"/>
        <v>►</v>
      </c>
      <c r="AM287" s="5499" t="str">
        <f t="shared" si="122"/>
        <v/>
      </c>
      <c r="AN287" s="783" t="str">
        <f t="shared" si="123"/>
        <v/>
      </c>
      <c r="AO287" s="782" t="str">
        <f t="shared" si="124"/>
        <v/>
      </c>
      <c r="AP287" s="783" t="str">
        <f t="shared" si="125"/>
        <v/>
      </c>
      <c r="AQ287" s="2083" t="b">
        <f>AND(Q287="A",COUNTIF(BP16:BR63,TRIM(Z287))&gt;0)</f>
        <v>0</v>
      </c>
      <c r="AR287" s="797" t="str">
        <f>IF(AL287&lt;&gt;"A","",IFERROR(IFERROR(_xlfn.XLOOKUP(TRIM(SUBSTITUTE(Z287,CHAR(160)," ")),BP16:BP63,BS16:BS63),IFERROR(_xlfn.XLOOKUP(TRIM(SUBSTITUTE(Z287,CHAR(160)," ")),BQ16:BQ63,BS16:BS63),_xlfn.XLOOKUP(TRIM(SUBSTITUTE(Z287,CHAR(160)," ")),BR16:BR63,BS16:BS63)))*Y287*IF(ISBLANK(V287),1,V287),0))</f>
        <v/>
      </c>
      <c r="AS287" s="784" t="str">
        <f t="shared" si="115"/>
        <v/>
      </c>
      <c r="AT287" s="1315" t="str">
        <f t="shared" si="126"/>
        <v/>
      </c>
      <c r="AU287" s="785">
        <f t="shared" si="127"/>
        <v>0</v>
      </c>
      <c r="AV287" s="785">
        <f t="shared" si="128"/>
        <v>0</v>
      </c>
      <c r="AW287" s="786">
        <f>IF(AK287="A",AY10,0)</f>
        <v>0</v>
      </c>
      <c r="AX287" s="5495" t="str">
        <f>IF(IFERROR(SEARCH("Adresse PC",TRIM(W287)),0)&gt;0,"▼ receta siguiente",IF(AK287="A",IF(AZ10&lt;&gt;"",AZ10&amp;" - ou.or.o ❾ + or - &gt;",""),""))</f>
        <v/>
      </c>
      <c r="AY287" s="810"/>
      <c r="AZ287" s="810"/>
      <c r="BA287" s="788" t="str">
        <f t="shared" si="118"/>
        <v/>
      </c>
      <c r="BB287" s="789" t="str">
        <f>IF(AK287="A",IF(AQ287,IF(AND(AW287&lt;&gt;"",N(AW287)&gt;0),IFERROR(IFERROR(_xlfn.XLOOKUP(AP287,BP10:BP57,BT10:BT57),IFERROR(_xlfn.XLOOKUP(AP287,BQ10:BQ57,BT10:BT57),_xlfn.XLOOKUP(AP287,BR10:BR57,BT10:BT57,""))),""),""),""),"")</f>
        <v/>
      </c>
      <c r="BC287" s="811" cm="1">
        <f t="array" ref="BC287">IF(NOT(AQ287),0,IF(OR(BA287="",N(BA287)&lt;=0.000000001),"",IF(OR(AU287="",N(AU287)&lt;=0.000000001),0,IF(ISNUMBER(BA287),IFERROR(_xlfn.LET(_xlpm.ai_test,TRIM(AP287),_xlpm.r,IFERROR(_xlfn.XLOOKUP(_xlpm.ai_test,BP16:BP63,ROW(BP16:BP63),0,1),IFERROR(_xlfn.XLOOKUP(_xlpm.ai_test,BQ16:BQ63,ROW(BQ16:BQ63),0,1),_xlfn.XLOOKUP(_xlpm.ai_test,BR16:BR63,ROW(BR16:BR63),0,1))),_xlpm.p,_xlpm.r-MIN(ROW(BP16:BP63))+1,_xlpm.f,INDEX(BS16:BS63,_xlpm.p),_xlpm.u,INDEX(BT16:BT63,_xlpm.p),_xlpm.s,INDEX(BV16:BV63,_xlpm.p),_xlpm.q,N(BA287)/_xlpm.f,IF(_xlpm.q&gt;=_xlpm.s,ROUND(_xlpm.q,1)&amp;" "&amp;_xlpm.ai_test&amp;" = "&amp;ROUND(_xlpm.q*_xlpm.f,1)&amp;" "&amp;_xlpm.u,ROUND(_xlpm.q,1)&amp;" "&amp;_xlpm.ai_test)),""),""))))</f>
        <v>0</v>
      </c>
      <c r="BD287" s="801"/>
      <c r="BE287" s="788" t="str">
        <f t="shared" si="129"/>
        <v/>
      </c>
      <c r="BF287" s="789" t="str">
        <f t="shared" si="130"/>
        <v/>
      </c>
      <c r="BG287" s="790">
        <f t="shared" si="112"/>
        <v>0</v>
      </c>
      <c r="BH287" s="791" t="str">
        <f t="shared" si="113"/>
        <v/>
      </c>
      <c r="BI287" s="792"/>
      <c r="BJ287" s="793">
        <f t="shared" si="132"/>
        <v>0</v>
      </c>
      <c r="BK287" s="794" t="str">
        <f t="shared" si="131"/>
        <v/>
      </c>
      <c r="BL287" s="227" t="s">
        <v>21</v>
      </c>
      <c r="BM287" s="773">
        <f t="shared" si="120"/>
        <v>0</v>
      </c>
      <c r="BN287" s="774">
        <f t="shared" si="121"/>
        <v>0</v>
      </c>
      <c r="BO287"/>
      <c r="BP287" s="627"/>
      <c r="BQ287" s="627"/>
      <c r="BR287" s="627"/>
      <c r="BS287" s="627"/>
      <c r="BT287" s="627"/>
      <c r="BU287" s="627"/>
      <c r="BV287" s="627"/>
      <c r="BW287" s="627"/>
      <c r="BX287"/>
      <c r="BY287"/>
      <c r="BZ287"/>
      <c r="CA287"/>
      <c r="CB287"/>
      <c r="CC287"/>
      <c r="CD287" s="781" t="str">
        <f t="shared" si="114"/>
        <v>►</v>
      </c>
      <c r="CE287"/>
      <c r="CF287"/>
      <c r="CG287"/>
      <c r="CH287"/>
      <c r="CI287"/>
      <c r="CK287"/>
      <c r="CL287"/>
      <c r="CM287"/>
      <c r="CN287"/>
      <c r="CO287"/>
      <c r="CP287"/>
      <c r="CQ287"/>
      <c r="CR287" s="227"/>
      <c r="CS287"/>
      <c r="CT287"/>
      <c r="CU287"/>
      <c r="CV287"/>
      <c r="CW287"/>
      <c r="CX287"/>
      <c r="CY287"/>
      <c r="CZ287" s="227"/>
      <c r="DA287"/>
      <c r="DB287"/>
      <c r="DC287"/>
      <c r="DD287"/>
      <c r="DE287"/>
      <c r="DF287"/>
      <c r="DG287"/>
      <c r="DH287" s="227"/>
      <c r="DI287" s="3">
        <v>1</v>
      </c>
      <c r="DJ287" s="627"/>
      <c r="DK287" s="627"/>
    </row>
    <row r="288" spans="1:115" s="633" customFormat="1" ht="21" customHeight="1">
      <c r="A288" s="701" t="s">
        <v>21</v>
      </c>
      <c r="B288" s="2265" t="str" cm="1">
        <f t="array" ref="B288">SUMPRODUCT(--(D288:J288&lt;&gt;""), LEN(TRIM(SUBSTITUTE(D288:J288, CHAR(160), "")))) &amp; " Car."</f>
        <v>0 Car.</v>
      </c>
      <c r="C288" s="1376" t="str">
        <f>IF(ISBLANK(D288),"",LARGE(C13:C287,1)+1)</f>
        <v/>
      </c>
      <c r="D288" s="1833"/>
      <c r="E288" s="1810"/>
      <c r="F288" s="1810"/>
      <c r="G288" s="1810"/>
      <c r="H288" s="1810"/>
      <c r="I288" s="1810"/>
      <c r="J288" s="1810"/>
      <c r="K288" s="1810"/>
      <c r="L288" s="1811"/>
      <c r="M288" s="9"/>
      <c r="N288" s="103" t="str">
        <f t="shared" si="116"/>
        <v>►</v>
      </c>
      <c r="O288" s="1616"/>
      <c r="P288" s="9"/>
      <c r="Q288" s="25" t="s">
        <v>15</v>
      </c>
      <c r="R288" s="31"/>
      <c r="S288" s="32"/>
      <c r="T288" s="31"/>
      <c r="U288" s="33"/>
      <c r="V288" s="1967"/>
      <c r="W288" s="1805"/>
      <c r="X288" s="91"/>
      <c r="Y288" s="1806"/>
      <c r="Z288" s="1968"/>
      <c r="AA288" s="2244"/>
      <c r="AB288" s="1969"/>
      <c r="AC288" s="1365"/>
      <c r="AD288" s="95"/>
      <c r="AE288" s="1326"/>
      <c r="AF288" s="97"/>
      <c r="AG288" s="1737"/>
      <c r="AH288" s="1970"/>
      <c r="AI288" s="99"/>
      <c r="AJ288" s="1809"/>
      <c r="AK288" s="6120" t="str">
        <f t="shared" si="117"/>
        <v>►</v>
      </c>
      <c r="AL288" s="781" t="str">
        <f t="shared" si="119"/>
        <v>►</v>
      </c>
      <c r="AM288" s="5498" t="str">
        <f t="shared" si="122"/>
        <v/>
      </c>
      <c r="AN288" s="783" t="str">
        <f t="shared" si="123"/>
        <v/>
      </c>
      <c r="AO288" s="782" t="str">
        <f t="shared" si="124"/>
        <v/>
      </c>
      <c r="AP288" s="783" t="str">
        <f t="shared" si="125"/>
        <v/>
      </c>
      <c r="AQ288" s="2083" t="b">
        <f>AND(Q288="A",COUNTIF(BP16:BR63,TRIM(Z288))&gt;0)</f>
        <v>0</v>
      </c>
      <c r="AR288" s="797" t="str">
        <f>IF(AL288&lt;&gt;"A","",IFERROR(IFERROR(_xlfn.XLOOKUP(TRIM(SUBSTITUTE(Z288,CHAR(160)," ")),BP16:BP63,BS16:BS63),IFERROR(_xlfn.XLOOKUP(TRIM(SUBSTITUTE(Z288,CHAR(160)," ")),BQ16:BQ63,BS16:BS63),_xlfn.XLOOKUP(TRIM(SUBSTITUTE(Z288,CHAR(160)," ")),BR16:BR63,BS16:BS63)))*Y288*IF(ISBLANK(V288),1,V288),0))</f>
        <v/>
      </c>
      <c r="AS288" s="784" t="str">
        <f t="shared" si="115"/>
        <v/>
      </c>
      <c r="AT288" s="1315" t="str">
        <f t="shared" si="126"/>
        <v/>
      </c>
      <c r="AU288" s="785">
        <f t="shared" si="127"/>
        <v>0</v>
      </c>
      <c r="AV288" s="785">
        <f t="shared" si="128"/>
        <v>0</v>
      </c>
      <c r="AW288" s="798">
        <f>IF(AK288="A",AY10,0)</f>
        <v>0</v>
      </c>
      <c r="AX288" s="5496" t="str">
        <f>IF(IFERROR(SEARCH("Adresse PC",TRIM(W288)),0)&gt;0,"▼ receta siguiente",IF(AK288="A",IF(AZ10&lt;&gt;"",AZ10&amp;" - ou.or.o ❾ + or - &gt;",""),""))</f>
        <v/>
      </c>
      <c r="AY288" s="810"/>
      <c r="AZ288" s="810"/>
      <c r="BA288" s="799" t="str">
        <f t="shared" si="118"/>
        <v/>
      </c>
      <c r="BB288" s="800" t="str">
        <f>IF(AK288="A",IF(AQ288,IF(AND(AW288&lt;&gt;"",N(AW288)&gt;0),IFERROR(IFERROR(_xlfn.XLOOKUP(AP288,BP10:BP57,BT10:BT57),IFERROR(_xlfn.XLOOKUP(AP288,BQ10:BQ57,BT10:BT57),_xlfn.XLOOKUP(AP288,BR10:BR57,BT10:BT57,""))),""),""),""),"")</f>
        <v/>
      </c>
      <c r="BC288" s="813" cm="1">
        <f t="array" ref="BC288">IF(NOT(AQ288),0,IF(OR(BA288="",N(BA288)&lt;=0.000000001),"",IF(OR(AU288="",N(AU288)&lt;=0.000000001),0,IF(ISNUMBER(BA288),IFERROR(_xlfn.LET(_xlpm.ai_test,TRIM(AP288),_xlpm.r,IFERROR(_xlfn.XLOOKUP(_xlpm.ai_test,BP16:BP63,ROW(BP16:BP63),0,1),IFERROR(_xlfn.XLOOKUP(_xlpm.ai_test,BQ16:BQ63,ROW(BQ16:BQ63),0,1),_xlfn.XLOOKUP(_xlpm.ai_test,BR16:BR63,ROW(BR16:BR63),0,1))),_xlpm.p,_xlpm.r-MIN(ROW(BP16:BP63))+1,_xlpm.f,INDEX(BS16:BS63,_xlpm.p),_xlpm.u,INDEX(BT16:BT63,_xlpm.p),_xlpm.s,INDEX(BV16:BV63,_xlpm.p),_xlpm.q,N(BA288)/_xlpm.f,IF(_xlpm.q&gt;=_xlpm.s,ROUND(_xlpm.q,1)&amp;" "&amp;_xlpm.ai_test&amp;" = "&amp;ROUND(_xlpm.q*_xlpm.f,1)&amp;" "&amp;_xlpm.u,ROUND(_xlpm.q,1)&amp;" "&amp;_xlpm.ai_test)),""),""))))</f>
        <v>0</v>
      </c>
      <c r="BD288" s="801"/>
      <c r="BE288" s="799" t="str">
        <f t="shared" si="129"/>
        <v/>
      </c>
      <c r="BF288" s="800" t="str">
        <f t="shared" si="130"/>
        <v/>
      </c>
      <c r="BG288" s="802">
        <f t="shared" ref="BG288:BG351" si="133">IF(AND(ISNUMBER(BM288),ABS(BM288)&gt;0.000000001),BM288,0)</f>
        <v>0</v>
      </c>
      <c r="BH288" s="803" t="str">
        <f t="shared" ref="BH288:BH351" si="134">IF(AND(AQ288, N(BG288)&gt;0.000000001), W288, "")</f>
        <v/>
      </c>
      <c r="BI288" s="792"/>
      <c r="BJ288" s="804">
        <f t="shared" si="132"/>
        <v>0</v>
      </c>
      <c r="BK288" s="794" t="str">
        <f t="shared" si="131"/>
        <v/>
      </c>
      <c r="BL288" s="227" t="s">
        <v>21</v>
      </c>
      <c r="BM288" s="773">
        <f t="shared" si="120"/>
        <v>0</v>
      </c>
      <c r="BN288" s="774">
        <f t="shared" si="121"/>
        <v>0</v>
      </c>
      <c r="BO288"/>
      <c r="BP288" s="627"/>
      <c r="BQ288" s="627"/>
      <c r="BR288" s="627"/>
      <c r="BS288" s="627"/>
      <c r="BT288" s="627"/>
      <c r="BU288" s="627"/>
      <c r="BV288" s="627"/>
      <c r="BW288" s="627"/>
      <c r="BX288"/>
      <c r="BY288"/>
      <c r="BZ288"/>
      <c r="CA288"/>
      <c r="CB288"/>
      <c r="CC288"/>
      <c r="CD288" s="781" t="str">
        <f t="shared" si="114"/>
        <v>►</v>
      </c>
      <c r="CE288"/>
      <c r="CF288"/>
      <c r="CG288"/>
      <c r="CH288"/>
      <c r="CI288"/>
      <c r="CK288"/>
      <c r="CL288"/>
      <c r="CM288"/>
      <c r="CN288"/>
      <c r="CO288"/>
      <c r="CP288"/>
      <c r="CQ288"/>
      <c r="CR288" s="227"/>
      <c r="CS288"/>
      <c r="CT288"/>
      <c r="CU288"/>
      <c r="CV288"/>
      <c r="CW288"/>
      <c r="CX288"/>
      <c r="CY288"/>
      <c r="CZ288" s="227"/>
      <c r="DA288"/>
      <c r="DB288"/>
      <c r="DC288"/>
      <c r="DD288"/>
      <c r="DE288"/>
      <c r="DF288"/>
      <c r="DG288"/>
      <c r="DH288" s="227"/>
      <c r="DI288" s="3">
        <v>1</v>
      </c>
      <c r="DJ288" s="627"/>
      <c r="DK288" s="627"/>
    </row>
    <row r="289" spans="1:115" s="633" customFormat="1" ht="21" customHeight="1">
      <c r="A289" s="701" t="s">
        <v>21</v>
      </c>
      <c r="B289" s="2265" t="str" cm="1">
        <f t="array" ref="B289">SUMPRODUCT(--(D289:J289&lt;&gt;""), LEN(TRIM(SUBSTITUTE(D289:J289, CHAR(160), "")))) &amp; " Car."</f>
        <v>0 Car.</v>
      </c>
      <c r="C289" s="1376" t="str">
        <f>IF(ISBLANK(D289),"",LARGE(C13:C288,1)+1)</f>
        <v/>
      </c>
      <c r="D289" s="1833"/>
      <c r="E289" s="1810"/>
      <c r="F289" s="1810"/>
      <c r="G289" s="1810"/>
      <c r="H289" s="1810"/>
      <c r="I289" s="1810"/>
      <c r="J289" s="1810"/>
      <c r="K289" s="1810"/>
      <c r="L289" s="1811"/>
      <c r="M289" s="9"/>
      <c r="N289" s="103" t="str">
        <f t="shared" si="116"/>
        <v>►</v>
      </c>
      <c r="O289" s="1616"/>
      <c r="P289" s="9"/>
      <c r="Q289" s="25" t="s">
        <v>15</v>
      </c>
      <c r="R289" s="31"/>
      <c r="S289" s="32"/>
      <c r="T289" s="31"/>
      <c r="U289" s="33"/>
      <c r="V289" s="1967"/>
      <c r="W289" s="1805"/>
      <c r="X289" s="91"/>
      <c r="Y289" s="1806"/>
      <c r="Z289" s="1968"/>
      <c r="AA289" s="2244"/>
      <c r="AB289" s="1969"/>
      <c r="AC289" s="1365"/>
      <c r="AD289" s="95"/>
      <c r="AE289" s="1326"/>
      <c r="AF289" s="97"/>
      <c r="AG289" s="1737"/>
      <c r="AH289" s="1970"/>
      <c r="AI289" s="99"/>
      <c r="AJ289" s="1809"/>
      <c r="AK289" s="6120" t="str">
        <f t="shared" si="117"/>
        <v>►</v>
      </c>
      <c r="AL289" s="781" t="str">
        <f t="shared" si="119"/>
        <v>►</v>
      </c>
      <c r="AM289" s="5499" t="str">
        <f t="shared" si="122"/>
        <v/>
      </c>
      <c r="AN289" s="783" t="str">
        <f t="shared" si="123"/>
        <v/>
      </c>
      <c r="AO289" s="782" t="str">
        <f t="shared" si="124"/>
        <v/>
      </c>
      <c r="AP289" s="783" t="str">
        <f t="shared" si="125"/>
        <v/>
      </c>
      <c r="AQ289" s="2083" t="b">
        <f>AND(Q289="A",COUNTIF(BP16:BR63,TRIM(Z289))&gt;0)</f>
        <v>0</v>
      </c>
      <c r="AR289" s="797" t="str">
        <f>IF(AL289&lt;&gt;"A","",IFERROR(IFERROR(_xlfn.XLOOKUP(TRIM(SUBSTITUTE(Z289,CHAR(160)," ")),BP16:BP63,BS16:BS63),IFERROR(_xlfn.XLOOKUP(TRIM(SUBSTITUTE(Z289,CHAR(160)," ")),BQ16:BQ63,BS16:BS63),_xlfn.XLOOKUP(TRIM(SUBSTITUTE(Z289,CHAR(160)," ")),BR16:BR63,BS16:BS63)))*Y289*IF(ISBLANK(V289),1,V289),0))</f>
        <v/>
      </c>
      <c r="AS289" s="784" t="str">
        <f t="shared" si="115"/>
        <v/>
      </c>
      <c r="AT289" s="1315" t="str">
        <f t="shared" si="126"/>
        <v/>
      </c>
      <c r="AU289" s="785">
        <f t="shared" si="127"/>
        <v>0</v>
      </c>
      <c r="AV289" s="785">
        <f t="shared" si="128"/>
        <v>0</v>
      </c>
      <c r="AW289" s="786">
        <f>IF(AK289="A",AY10,0)</f>
        <v>0</v>
      </c>
      <c r="AX289" s="5495" t="str">
        <f>IF(IFERROR(SEARCH("Adresse PC",TRIM(W289)),0)&gt;0,"▼ receta siguiente",IF(AK289="A",IF(AZ10&lt;&gt;"",AZ10&amp;" - ou.or.o ❾ + or - &gt;",""),""))</f>
        <v/>
      </c>
      <c r="AY289" s="810"/>
      <c r="AZ289" s="810"/>
      <c r="BA289" s="788" t="str">
        <f t="shared" si="118"/>
        <v/>
      </c>
      <c r="BB289" s="789" t="str">
        <f>IF(AK289="A",IF(AQ289,IF(AND(AW289&lt;&gt;"",N(AW289)&gt;0),IFERROR(IFERROR(_xlfn.XLOOKUP(AP289,BP10:BP57,BT10:BT57),IFERROR(_xlfn.XLOOKUP(AP289,BQ10:BQ57,BT10:BT57),_xlfn.XLOOKUP(AP289,BR10:BR57,BT10:BT57,""))),""),""),""),"")</f>
        <v/>
      </c>
      <c r="BC289" s="811" cm="1">
        <f t="array" ref="BC289">IF(NOT(AQ289),0,IF(OR(BA289="",N(BA289)&lt;=0.000000001),"",IF(OR(AU289="",N(AU289)&lt;=0.000000001),0,IF(ISNUMBER(BA289),IFERROR(_xlfn.LET(_xlpm.ai_test,TRIM(AP289),_xlpm.r,IFERROR(_xlfn.XLOOKUP(_xlpm.ai_test,BP16:BP63,ROW(BP16:BP63),0,1),IFERROR(_xlfn.XLOOKUP(_xlpm.ai_test,BQ16:BQ63,ROW(BQ16:BQ63),0,1),_xlfn.XLOOKUP(_xlpm.ai_test,BR16:BR63,ROW(BR16:BR63),0,1))),_xlpm.p,_xlpm.r-MIN(ROW(BP16:BP63))+1,_xlpm.f,INDEX(BS16:BS63,_xlpm.p),_xlpm.u,INDEX(BT16:BT63,_xlpm.p),_xlpm.s,INDEX(BV16:BV63,_xlpm.p),_xlpm.q,N(BA289)/_xlpm.f,IF(_xlpm.q&gt;=_xlpm.s,ROUND(_xlpm.q,1)&amp;" "&amp;_xlpm.ai_test&amp;" = "&amp;ROUND(_xlpm.q*_xlpm.f,1)&amp;" "&amp;_xlpm.u,ROUND(_xlpm.q,1)&amp;" "&amp;_xlpm.ai_test)),""),""))))</f>
        <v>0</v>
      </c>
      <c r="BD289" s="801"/>
      <c r="BE289" s="788" t="str">
        <f t="shared" si="129"/>
        <v/>
      </c>
      <c r="BF289" s="789" t="str">
        <f t="shared" si="130"/>
        <v/>
      </c>
      <c r="BG289" s="790">
        <f t="shared" si="133"/>
        <v>0</v>
      </c>
      <c r="BH289" s="791" t="str">
        <f t="shared" si="134"/>
        <v/>
      </c>
      <c r="BI289" s="792"/>
      <c r="BJ289" s="793">
        <f t="shared" si="132"/>
        <v>0</v>
      </c>
      <c r="BK289" s="794" t="str">
        <f t="shared" si="131"/>
        <v/>
      </c>
      <c r="BL289" s="227" t="s">
        <v>21</v>
      </c>
      <c r="BM289" s="773">
        <f t="shared" si="120"/>
        <v>0</v>
      </c>
      <c r="BN289" s="774">
        <f t="shared" si="121"/>
        <v>0</v>
      </c>
      <c r="BO289"/>
      <c r="BP289" s="627"/>
      <c r="BQ289" s="627"/>
      <c r="BR289" s="627"/>
      <c r="BS289" s="627"/>
      <c r="BT289" s="627"/>
      <c r="BU289" s="627"/>
      <c r="BV289" s="627"/>
      <c r="BW289" s="627"/>
      <c r="BX289"/>
      <c r="BY289"/>
      <c r="BZ289"/>
      <c r="CA289"/>
      <c r="CB289"/>
      <c r="CC289"/>
      <c r="CD289" s="781" t="str">
        <f t="shared" si="114"/>
        <v>►</v>
      </c>
      <c r="CE289"/>
      <c r="CF289"/>
      <c r="CG289"/>
      <c r="CH289"/>
      <c r="CI289"/>
      <c r="CK289"/>
      <c r="CL289"/>
      <c r="CM289"/>
      <c r="CN289"/>
      <c r="CO289"/>
      <c r="CP289"/>
      <c r="CQ289"/>
      <c r="CR289" s="227"/>
      <c r="CS289"/>
      <c r="CT289"/>
      <c r="CU289"/>
      <c r="CV289"/>
      <c r="CW289"/>
      <c r="CX289"/>
      <c r="CY289"/>
      <c r="CZ289" s="227"/>
      <c r="DA289"/>
      <c r="DB289"/>
      <c r="DC289"/>
      <c r="DD289"/>
      <c r="DE289"/>
      <c r="DF289"/>
      <c r="DG289"/>
      <c r="DH289" s="227"/>
      <c r="DI289" s="3">
        <v>1</v>
      </c>
      <c r="DJ289" s="627"/>
      <c r="DK289" s="627"/>
    </row>
    <row r="290" spans="1:115" s="633" customFormat="1" ht="21" customHeight="1">
      <c r="A290" s="701" t="s">
        <v>21</v>
      </c>
      <c r="B290" s="2265" t="str" cm="1">
        <f t="array" ref="B290">SUMPRODUCT(--(D290:J290&lt;&gt;""), LEN(TRIM(SUBSTITUTE(D290:J290, CHAR(160), "")))) &amp; " Car."</f>
        <v>0 Car.</v>
      </c>
      <c r="C290" s="1376" t="str">
        <f>IF(ISBLANK(D290),"",LARGE(C13:C289,1)+1)</f>
        <v/>
      </c>
      <c r="D290" s="1833"/>
      <c r="E290" s="1810"/>
      <c r="F290" s="1810"/>
      <c r="G290" s="1810"/>
      <c r="H290" s="1810"/>
      <c r="I290" s="1810"/>
      <c r="J290" s="1810"/>
      <c r="K290" s="1810"/>
      <c r="L290" s="1811"/>
      <c r="M290" s="9"/>
      <c r="N290" s="103" t="str">
        <f t="shared" si="116"/>
        <v>►</v>
      </c>
      <c r="O290" s="1616"/>
      <c r="P290" s="9"/>
      <c r="Q290" s="25" t="s">
        <v>15</v>
      </c>
      <c r="R290" s="31"/>
      <c r="S290" s="32"/>
      <c r="T290" s="31"/>
      <c r="U290" s="33"/>
      <c r="V290" s="1967"/>
      <c r="W290" s="1805"/>
      <c r="X290" s="91"/>
      <c r="Y290" s="1806"/>
      <c r="Z290" s="1968"/>
      <c r="AA290" s="2244"/>
      <c r="AB290" s="1969"/>
      <c r="AC290" s="1365"/>
      <c r="AD290" s="95"/>
      <c r="AE290" s="1326"/>
      <c r="AF290" s="97"/>
      <c r="AG290" s="1737"/>
      <c r="AH290" s="1970"/>
      <c r="AI290" s="99"/>
      <c r="AJ290" s="1809"/>
      <c r="AK290" s="6120" t="str">
        <f t="shared" si="117"/>
        <v>►</v>
      </c>
      <c r="AL290" s="781" t="str">
        <f t="shared" si="119"/>
        <v>►</v>
      </c>
      <c r="AM290" s="5498" t="str">
        <f t="shared" si="122"/>
        <v/>
      </c>
      <c r="AN290" s="783" t="str">
        <f t="shared" si="123"/>
        <v/>
      </c>
      <c r="AO290" s="782" t="str">
        <f t="shared" si="124"/>
        <v/>
      </c>
      <c r="AP290" s="783" t="str">
        <f t="shared" si="125"/>
        <v/>
      </c>
      <c r="AQ290" s="2083" t="b">
        <f>AND(Q290="A",COUNTIF(BP16:BR63,TRIM(Z290))&gt;0)</f>
        <v>0</v>
      </c>
      <c r="AR290" s="797" t="str">
        <f>IF(AL290&lt;&gt;"A","",IFERROR(IFERROR(_xlfn.XLOOKUP(TRIM(SUBSTITUTE(Z290,CHAR(160)," ")),BP16:BP63,BS16:BS63),IFERROR(_xlfn.XLOOKUP(TRIM(SUBSTITUTE(Z290,CHAR(160)," ")),BQ16:BQ63,BS16:BS63),_xlfn.XLOOKUP(TRIM(SUBSTITUTE(Z290,CHAR(160)," ")),BR16:BR63,BS16:BS63)))*Y290*IF(ISBLANK(V290),1,V290),0))</f>
        <v/>
      </c>
      <c r="AS290" s="784" t="str">
        <f t="shared" si="115"/>
        <v/>
      </c>
      <c r="AT290" s="1315" t="str">
        <f t="shared" si="126"/>
        <v/>
      </c>
      <c r="AU290" s="785">
        <f t="shared" si="127"/>
        <v>0</v>
      </c>
      <c r="AV290" s="785">
        <f t="shared" si="128"/>
        <v>0</v>
      </c>
      <c r="AW290" s="798">
        <f>IF(AK290="A",AY10,0)</f>
        <v>0</v>
      </c>
      <c r="AX290" s="5496" t="str">
        <f>IF(IFERROR(SEARCH("Adresse PC",TRIM(W290)),0)&gt;0,"▼ receta siguiente",IF(AK290="A",IF(AZ10&lt;&gt;"",AZ10&amp;" - ou.or.o ❾ + or - &gt;",""),""))</f>
        <v/>
      </c>
      <c r="AY290" s="810"/>
      <c r="AZ290" s="810"/>
      <c r="BA290" s="799" t="str">
        <f t="shared" si="118"/>
        <v/>
      </c>
      <c r="BB290" s="800" t="str">
        <f>IF(AK290="A",IF(AQ290,IF(AND(AW290&lt;&gt;"",N(AW290)&gt;0),IFERROR(IFERROR(_xlfn.XLOOKUP(AP290,BP10:BP57,BT10:BT57),IFERROR(_xlfn.XLOOKUP(AP290,BQ10:BQ57,BT10:BT57),_xlfn.XLOOKUP(AP290,BR10:BR57,BT10:BT57,""))),""),""),""),"")</f>
        <v/>
      </c>
      <c r="BC290" s="813" cm="1">
        <f t="array" ref="BC290">IF(NOT(AQ290),0,IF(OR(BA290="",N(BA290)&lt;=0.000000001),"",IF(OR(AU290="",N(AU290)&lt;=0.000000001),0,IF(ISNUMBER(BA290),IFERROR(_xlfn.LET(_xlpm.ai_test,TRIM(AP290),_xlpm.r,IFERROR(_xlfn.XLOOKUP(_xlpm.ai_test,BP16:BP63,ROW(BP16:BP63),0,1),IFERROR(_xlfn.XLOOKUP(_xlpm.ai_test,BQ16:BQ63,ROW(BQ16:BQ63),0,1),_xlfn.XLOOKUP(_xlpm.ai_test,BR16:BR63,ROW(BR16:BR63),0,1))),_xlpm.p,_xlpm.r-MIN(ROW(BP16:BP63))+1,_xlpm.f,INDEX(BS16:BS63,_xlpm.p),_xlpm.u,INDEX(BT16:BT63,_xlpm.p),_xlpm.s,INDEX(BV16:BV63,_xlpm.p),_xlpm.q,N(BA290)/_xlpm.f,IF(_xlpm.q&gt;=_xlpm.s,ROUND(_xlpm.q,1)&amp;" "&amp;_xlpm.ai_test&amp;" = "&amp;ROUND(_xlpm.q*_xlpm.f,1)&amp;" "&amp;_xlpm.u,ROUND(_xlpm.q,1)&amp;" "&amp;_xlpm.ai_test)),""),""))))</f>
        <v>0</v>
      </c>
      <c r="BD290" s="801"/>
      <c r="BE290" s="799" t="str">
        <f t="shared" si="129"/>
        <v/>
      </c>
      <c r="BF290" s="800" t="str">
        <f t="shared" si="130"/>
        <v/>
      </c>
      <c r="BG290" s="802">
        <f t="shared" si="133"/>
        <v>0</v>
      </c>
      <c r="BH290" s="803" t="str">
        <f t="shared" si="134"/>
        <v/>
      </c>
      <c r="BI290" s="792"/>
      <c r="BJ290" s="804">
        <f t="shared" si="132"/>
        <v>0</v>
      </c>
      <c r="BK290" s="794" t="str">
        <f t="shared" si="131"/>
        <v/>
      </c>
      <c r="BL290" s="227" t="s">
        <v>21</v>
      </c>
      <c r="BM290" s="773">
        <f t="shared" si="120"/>
        <v>0</v>
      </c>
      <c r="BN290" s="774">
        <f t="shared" si="121"/>
        <v>0</v>
      </c>
      <c r="BO290"/>
      <c r="BP290" s="627"/>
      <c r="BQ290" s="627"/>
      <c r="BR290" s="627"/>
      <c r="BS290" s="627"/>
      <c r="BT290" s="627"/>
      <c r="BU290" s="627"/>
      <c r="BV290" s="627"/>
      <c r="BW290" s="627"/>
      <c r="BX290"/>
      <c r="BY290"/>
      <c r="BZ290"/>
      <c r="CA290"/>
      <c r="CB290"/>
      <c r="CC290"/>
      <c r="CD290" s="781" t="str">
        <f t="shared" si="114"/>
        <v>►</v>
      </c>
      <c r="CE290"/>
      <c r="CF290"/>
      <c r="CG290"/>
      <c r="CH290"/>
      <c r="CI290"/>
      <c r="CK290"/>
      <c r="CL290"/>
      <c r="CM290"/>
      <c r="CN290"/>
      <c r="CO290"/>
      <c r="CP290"/>
      <c r="CQ290"/>
      <c r="CR290" s="227"/>
      <c r="CS290"/>
      <c r="CT290"/>
      <c r="CU290"/>
      <c r="CV290"/>
      <c r="CW290"/>
      <c r="CX290"/>
      <c r="CY290"/>
      <c r="CZ290" s="227"/>
      <c r="DA290"/>
      <c r="DB290"/>
      <c r="DC290"/>
      <c r="DD290"/>
      <c r="DE290"/>
      <c r="DF290"/>
      <c r="DG290"/>
      <c r="DH290" s="227"/>
      <c r="DI290" s="3">
        <v>1</v>
      </c>
      <c r="DJ290" s="627"/>
      <c r="DK290" s="627"/>
    </row>
    <row r="291" spans="1:115" s="633" customFormat="1" ht="21" customHeight="1">
      <c r="A291" s="701" t="s">
        <v>21</v>
      </c>
      <c r="B291" s="2265" t="str" cm="1">
        <f t="array" ref="B291">SUMPRODUCT(--(D291:J291&lt;&gt;""), LEN(TRIM(SUBSTITUTE(D291:J291, CHAR(160), "")))) &amp; " Car."</f>
        <v>0 Car.</v>
      </c>
      <c r="C291" s="1376" t="str">
        <f>IF(ISBLANK(D291),"",LARGE(C13:C290,1)+1)</f>
        <v/>
      </c>
      <c r="D291" s="1833"/>
      <c r="E291" s="1810"/>
      <c r="F291" s="1810"/>
      <c r="G291" s="1810"/>
      <c r="H291" s="1810"/>
      <c r="I291" s="1810"/>
      <c r="J291" s="1810"/>
      <c r="K291" s="1810"/>
      <c r="L291" s="1811"/>
      <c r="M291" s="9"/>
      <c r="N291" s="103" t="str">
        <f t="shared" si="116"/>
        <v>►</v>
      </c>
      <c r="O291" s="1616"/>
      <c r="P291" s="9"/>
      <c r="Q291" s="25" t="s">
        <v>15</v>
      </c>
      <c r="R291" s="31"/>
      <c r="S291" s="32"/>
      <c r="T291" s="31"/>
      <c r="U291" s="33"/>
      <c r="V291" s="1967"/>
      <c r="W291" s="1805"/>
      <c r="X291" s="91"/>
      <c r="Y291" s="1806"/>
      <c r="Z291" s="1968"/>
      <c r="AA291" s="2244"/>
      <c r="AB291" s="1969"/>
      <c r="AC291" s="1365"/>
      <c r="AD291" s="95"/>
      <c r="AE291" s="1326"/>
      <c r="AF291" s="97"/>
      <c r="AG291" s="1737"/>
      <c r="AH291" s="1970"/>
      <c r="AI291" s="99"/>
      <c r="AJ291" s="1809"/>
      <c r="AK291" s="6120" t="str">
        <f t="shared" si="117"/>
        <v>►</v>
      </c>
      <c r="AL291" s="781" t="str">
        <f t="shared" si="119"/>
        <v>►</v>
      </c>
      <c r="AM291" s="5499" t="str">
        <f t="shared" si="122"/>
        <v/>
      </c>
      <c r="AN291" s="783" t="str">
        <f t="shared" si="123"/>
        <v/>
      </c>
      <c r="AO291" s="782" t="str">
        <f t="shared" si="124"/>
        <v/>
      </c>
      <c r="AP291" s="783" t="str">
        <f t="shared" si="125"/>
        <v/>
      </c>
      <c r="AQ291" s="2083" t="b">
        <f>AND(Q291="A",COUNTIF(BP16:BR63,TRIM(Z291))&gt;0)</f>
        <v>0</v>
      </c>
      <c r="AR291" s="797" t="str">
        <f>IF(AL291&lt;&gt;"A","",IFERROR(IFERROR(_xlfn.XLOOKUP(TRIM(SUBSTITUTE(Z291,CHAR(160)," ")),BP16:BP63,BS16:BS63),IFERROR(_xlfn.XLOOKUP(TRIM(SUBSTITUTE(Z291,CHAR(160)," ")),BQ16:BQ63,BS16:BS63),_xlfn.XLOOKUP(TRIM(SUBSTITUTE(Z291,CHAR(160)," ")),BR16:BR63,BS16:BS63)))*Y291*IF(ISBLANK(V291),1,V291),0))</f>
        <v/>
      </c>
      <c r="AS291" s="784" t="str">
        <f t="shared" si="115"/>
        <v/>
      </c>
      <c r="AT291" s="1315" t="str">
        <f t="shared" si="126"/>
        <v/>
      </c>
      <c r="AU291" s="785">
        <f t="shared" si="127"/>
        <v>0</v>
      </c>
      <c r="AV291" s="785">
        <f t="shared" si="128"/>
        <v>0</v>
      </c>
      <c r="AW291" s="786">
        <f>IF(AK291="A",AY10,0)</f>
        <v>0</v>
      </c>
      <c r="AX291" s="5495" t="str">
        <f>IF(IFERROR(SEARCH("Adresse PC",TRIM(W291)),0)&gt;0,"▼ receta siguiente",IF(AK291="A",IF(AZ10&lt;&gt;"",AZ10&amp;" - ou.or.o ❾ + or - &gt;",""),""))</f>
        <v/>
      </c>
      <c r="AY291" s="810"/>
      <c r="AZ291" s="810"/>
      <c r="BA291" s="788" t="str">
        <f t="shared" si="118"/>
        <v/>
      </c>
      <c r="BB291" s="789" t="str">
        <f>IF(AK291="A",IF(AQ291,IF(AND(AW291&lt;&gt;"",N(AW291)&gt;0),IFERROR(IFERROR(_xlfn.XLOOKUP(AP291,BP10:BP57,BT10:BT57),IFERROR(_xlfn.XLOOKUP(AP291,BQ10:BQ57,BT10:BT57),_xlfn.XLOOKUP(AP291,BR10:BR57,BT10:BT57,""))),""),""),""),"")</f>
        <v/>
      </c>
      <c r="BC291" s="811" cm="1">
        <f t="array" ref="BC291">IF(NOT(AQ291),0,IF(OR(BA291="",N(BA291)&lt;=0.000000001),"",IF(OR(AU291="",N(AU291)&lt;=0.000000001),0,IF(ISNUMBER(BA291),IFERROR(_xlfn.LET(_xlpm.ai_test,TRIM(AP291),_xlpm.r,IFERROR(_xlfn.XLOOKUP(_xlpm.ai_test,BP16:BP63,ROW(BP16:BP63),0,1),IFERROR(_xlfn.XLOOKUP(_xlpm.ai_test,BQ16:BQ63,ROW(BQ16:BQ63),0,1),_xlfn.XLOOKUP(_xlpm.ai_test,BR16:BR63,ROW(BR16:BR63),0,1))),_xlpm.p,_xlpm.r-MIN(ROW(BP16:BP63))+1,_xlpm.f,INDEX(BS16:BS63,_xlpm.p),_xlpm.u,INDEX(BT16:BT63,_xlpm.p),_xlpm.s,INDEX(BV16:BV63,_xlpm.p),_xlpm.q,N(BA291)/_xlpm.f,IF(_xlpm.q&gt;=_xlpm.s,ROUND(_xlpm.q,1)&amp;" "&amp;_xlpm.ai_test&amp;" = "&amp;ROUND(_xlpm.q*_xlpm.f,1)&amp;" "&amp;_xlpm.u,ROUND(_xlpm.q,1)&amp;" "&amp;_xlpm.ai_test)),""),""))))</f>
        <v>0</v>
      </c>
      <c r="BD291" s="801"/>
      <c r="BE291" s="788" t="str">
        <f t="shared" si="129"/>
        <v/>
      </c>
      <c r="BF291" s="789" t="str">
        <f t="shared" si="130"/>
        <v/>
      </c>
      <c r="BG291" s="790">
        <f t="shared" si="133"/>
        <v>0</v>
      </c>
      <c r="BH291" s="791" t="str">
        <f t="shared" si="134"/>
        <v/>
      </c>
      <c r="BI291" s="792"/>
      <c r="BJ291" s="793">
        <f t="shared" si="132"/>
        <v>0</v>
      </c>
      <c r="BK291" s="794" t="str">
        <f t="shared" si="131"/>
        <v/>
      </c>
      <c r="BL291" s="227" t="s">
        <v>21</v>
      </c>
      <c r="BM291" s="773">
        <f t="shared" si="120"/>
        <v>0</v>
      </c>
      <c r="BN291" s="774">
        <f t="shared" si="121"/>
        <v>0</v>
      </c>
      <c r="BO291"/>
      <c r="BP291" s="627"/>
      <c r="BQ291" s="627"/>
      <c r="BR291" s="627"/>
      <c r="BS291" s="627"/>
      <c r="BT291" s="627"/>
      <c r="BU291" s="627"/>
      <c r="BV291" s="627"/>
      <c r="BW291" s="627"/>
      <c r="BX291"/>
      <c r="BY291"/>
      <c r="BZ291"/>
      <c r="CA291"/>
      <c r="CB291"/>
      <c r="CC291"/>
      <c r="CD291" s="781" t="str">
        <f t="shared" si="114"/>
        <v>►</v>
      </c>
      <c r="CE291"/>
      <c r="CF291"/>
      <c r="CG291"/>
      <c r="CH291"/>
      <c r="CI291"/>
      <c r="CK291"/>
      <c r="CL291"/>
      <c r="CM291"/>
      <c r="CN291"/>
      <c r="CO291"/>
      <c r="CP291"/>
      <c r="CQ291"/>
      <c r="CR291" s="227"/>
      <c r="CS291"/>
      <c r="CT291"/>
      <c r="CU291"/>
      <c r="CV291"/>
      <c r="CW291"/>
      <c r="CX291"/>
      <c r="CY291"/>
      <c r="CZ291" s="227"/>
      <c r="DA291"/>
      <c r="DB291"/>
      <c r="DC291"/>
      <c r="DD291"/>
      <c r="DE291"/>
      <c r="DF291"/>
      <c r="DG291"/>
      <c r="DH291" s="227"/>
      <c r="DI291" s="3">
        <v>1</v>
      </c>
      <c r="DJ291" s="627"/>
      <c r="DK291" s="627"/>
    </row>
    <row r="292" spans="1:115" s="633" customFormat="1" ht="21" customHeight="1">
      <c r="A292" s="701" t="s">
        <v>21</v>
      </c>
      <c r="B292" s="2265" t="str" cm="1">
        <f t="array" ref="B292">SUMPRODUCT(--(D292:J292&lt;&gt;""), LEN(TRIM(SUBSTITUTE(D292:J292, CHAR(160), "")))) &amp; " Car."</f>
        <v>0 Car.</v>
      </c>
      <c r="C292" s="1376" t="str">
        <f>IF(ISBLANK(D292),"",LARGE(C13:C291,1)+1)</f>
        <v/>
      </c>
      <c r="D292" s="1833"/>
      <c r="E292" s="1810"/>
      <c r="F292" s="1810"/>
      <c r="G292" s="1810"/>
      <c r="H292" s="1810"/>
      <c r="I292" s="1810"/>
      <c r="J292" s="1810"/>
      <c r="K292" s="1810"/>
      <c r="L292" s="1811"/>
      <c r="M292" s="9"/>
      <c r="N292" s="103" t="str">
        <f t="shared" si="116"/>
        <v>►</v>
      </c>
      <c r="O292" s="1616"/>
      <c r="P292" s="9"/>
      <c r="Q292" s="25" t="s">
        <v>15</v>
      </c>
      <c r="R292" s="31"/>
      <c r="S292" s="32"/>
      <c r="T292" s="31"/>
      <c r="U292" s="33"/>
      <c r="V292" s="1967"/>
      <c r="W292" s="1805"/>
      <c r="X292" s="91"/>
      <c r="Y292" s="1806"/>
      <c r="Z292" s="1968"/>
      <c r="AA292" s="2244"/>
      <c r="AB292" s="1969"/>
      <c r="AC292" s="1365"/>
      <c r="AD292" s="95"/>
      <c r="AE292" s="1326"/>
      <c r="AF292" s="97"/>
      <c r="AG292" s="1737"/>
      <c r="AH292" s="1970"/>
      <c r="AI292" s="99"/>
      <c r="AJ292" s="1809"/>
      <c r="AK292" s="6120" t="str">
        <f t="shared" si="117"/>
        <v>►</v>
      </c>
      <c r="AL292" s="781" t="str">
        <f t="shared" si="119"/>
        <v>►</v>
      </c>
      <c r="AM292" s="5498" t="str">
        <f t="shared" si="122"/>
        <v/>
      </c>
      <c r="AN292" s="783" t="str">
        <f t="shared" si="123"/>
        <v/>
      </c>
      <c r="AO292" s="782" t="str">
        <f t="shared" si="124"/>
        <v/>
      </c>
      <c r="AP292" s="783" t="str">
        <f t="shared" si="125"/>
        <v/>
      </c>
      <c r="AQ292" s="2083" t="b">
        <f>AND(Q292="A",COUNTIF(BP16:BR63,TRIM(Z292))&gt;0)</f>
        <v>0</v>
      </c>
      <c r="AR292" s="797" t="str">
        <f>IF(AL292&lt;&gt;"A","",IFERROR(IFERROR(_xlfn.XLOOKUP(TRIM(SUBSTITUTE(Z292,CHAR(160)," ")),BP16:BP63,BS16:BS63),IFERROR(_xlfn.XLOOKUP(TRIM(SUBSTITUTE(Z292,CHAR(160)," ")),BQ16:BQ63,BS16:BS63),_xlfn.XLOOKUP(TRIM(SUBSTITUTE(Z292,CHAR(160)," ")),BR16:BR63,BS16:BS63)))*Y292*IF(ISBLANK(V292),1,V292),0))</f>
        <v/>
      </c>
      <c r="AS292" s="784" t="str">
        <f t="shared" si="115"/>
        <v/>
      </c>
      <c r="AT292" s="1315" t="str">
        <f t="shared" si="126"/>
        <v/>
      </c>
      <c r="AU292" s="785">
        <f t="shared" si="127"/>
        <v>0</v>
      </c>
      <c r="AV292" s="785">
        <f t="shared" si="128"/>
        <v>0</v>
      </c>
      <c r="AW292" s="798">
        <f>IF(AK292="A",AY10,0)</f>
        <v>0</v>
      </c>
      <c r="AX292" s="5496" t="str">
        <f>IF(IFERROR(SEARCH("Adresse PC",TRIM(W292)),0)&gt;0,"▼ receta siguiente",IF(AK292="A",IF(AZ10&lt;&gt;"",AZ10&amp;" - ou.or.o ❾ + or - &gt;",""),""))</f>
        <v/>
      </c>
      <c r="AY292" s="810"/>
      <c r="AZ292" s="810"/>
      <c r="BA292" s="799" t="str">
        <f t="shared" si="118"/>
        <v/>
      </c>
      <c r="BB292" s="800" t="str">
        <f>IF(AK292="A",IF(AQ292,IF(AND(AW292&lt;&gt;"",N(AW292)&gt;0),IFERROR(IFERROR(_xlfn.XLOOKUP(AP292,BP10:BP57,BT10:BT57),IFERROR(_xlfn.XLOOKUP(AP292,BQ10:BQ57,BT10:BT57),_xlfn.XLOOKUP(AP292,BR10:BR57,BT10:BT57,""))),""),""),""),"")</f>
        <v/>
      </c>
      <c r="BC292" s="813" cm="1">
        <f t="array" ref="BC292">IF(NOT(AQ292),0,IF(OR(BA292="",N(BA292)&lt;=0.000000001),"",IF(OR(AU292="",N(AU292)&lt;=0.000000001),0,IF(ISNUMBER(BA292),IFERROR(_xlfn.LET(_xlpm.ai_test,TRIM(AP292),_xlpm.r,IFERROR(_xlfn.XLOOKUP(_xlpm.ai_test,BP16:BP63,ROW(BP16:BP63),0,1),IFERROR(_xlfn.XLOOKUP(_xlpm.ai_test,BQ16:BQ63,ROW(BQ16:BQ63),0,1),_xlfn.XLOOKUP(_xlpm.ai_test,BR16:BR63,ROW(BR16:BR63),0,1))),_xlpm.p,_xlpm.r-MIN(ROW(BP16:BP63))+1,_xlpm.f,INDEX(BS16:BS63,_xlpm.p),_xlpm.u,INDEX(BT16:BT63,_xlpm.p),_xlpm.s,INDEX(BV16:BV63,_xlpm.p),_xlpm.q,N(BA292)/_xlpm.f,IF(_xlpm.q&gt;=_xlpm.s,ROUND(_xlpm.q,1)&amp;" "&amp;_xlpm.ai_test&amp;" = "&amp;ROUND(_xlpm.q*_xlpm.f,1)&amp;" "&amp;_xlpm.u,ROUND(_xlpm.q,1)&amp;" "&amp;_xlpm.ai_test)),""),""))))</f>
        <v>0</v>
      </c>
      <c r="BD292" s="801"/>
      <c r="BE292" s="799" t="str">
        <f t="shared" si="129"/>
        <v/>
      </c>
      <c r="BF292" s="800" t="str">
        <f t="shared" si="130"/>
        <v/>
      </c>
      <c r="BG292" s="802">
        <f t="shared" si="133"/>
        <v>0</v>
      </c>
      <c r="BH292" s="803" t="str">
        <f t="shared" si="134"/>
        <v/>
      </c>
      <c r="BI292" s="792"/>
      <c r="BJ292" s="804">
        <f t="shared" si="132"/>
        <v>0</v>
      </c>
      <c r="BK292" s="794" t="str">
        <f t="shared" si="131"/>
        <v/>
      </c>
      <c r="BL292" s="227" t="s">
        <v>21</v>
      </c>
      <c r="BM292" s="773">
        <f t="shared" si="120"/>
        <v>0</v>
      </c>
      <c r="BN292" s="774">
        <f t="shared" si="121"/>
        <v>0</v>
      </c>
      <c r="BO292"/>
      <c r="BP292" s="627"/>
      <c r="BQ292" s="627"/>
      <c r="BR292" s="627"/>
      <c r="BS292" s="627"/>
      <c r="BT292" s="627"/>
      <c r="BU292" s="627"/>
      <c r="BV292" s="627"/>
      <c r="BW292" s="627"/>
      <c r="BX292"/>
      <c r="BY292"/>
      <c r="BZ292"/>
      <c r="CA292"/>
      <c r="CB292"/>
      <c r="CC292"/>
      <c r="CD292" s="781" t="str">
        <f t="shared" si="114"/>
        <v>►</v>
      </c>
      <c r="CE292"/>
      <c r="CF292"/>
      <c r="CG292"/>
      <c r="CH292"/>
      <c r="CI292"/>
      <c r="CK292"/>
      <c r="CL292"/>
      <c r="CM292"/>
      <c r="CN292"/>
      <c r="CO292"/>
      <c r="CP292"/>
      <c r="CQ292"/>
      <c r="CS292"/>
      <c r="CT292"/>
      <c r="CU292"/>
      <c r="CV292"/>
      <c r="CW292"/>
      <c r="CX292"/>
      <c r="CY292"/>
      <c r="DA292"/>
      <c r="DB292"/>
      <c r="DC292"/>
      <c r="DD292"/>
      <c r="DE292"/>
      <c r="DF292"/>
      <c r="DG292"/>
      <c r="DI292" s="3">
        <v>1</v>
      </c>
      <c r="DJ292" s="627"/>
      <c r="DK292" s="627"/>
    </row>
    <row r="293" spans="1:115" s="633" customFormat="1" ht="21" customHeight="1">
      <c r="A293" s="701" t="s">
        <v>21</v>
      </c>
      <c r="B293" s="2265" t="str" cm="1">
        <f t="array" ref="B293">SUMPRODUCT(--(D293:J293&lt;&gt;""), LEN(TRIM(SUBSTITUTE(D293:J293, CHAR(160), "")))) &amp; " Car."</f>
        <v>0 Car.</v>
      </c>
      <c r="C293" s="1376" t="str">
        <f>IF(ISBLANK(D293),"",LARGE(C13:C292,1)+1)</f>
        <v/>
      </c>
      <c r="D293" s="1833"/>
      <c r="E293" s="1810"/>
      <c r="F293" s="1810"/>
      <c r="G293" s="1810"/>
      <c r="H293" s="1810"/>
      <c r="I293" s="1810"/>
      <c r="J293" s="1810"/>
      <c r="K293" s="1810"/>
      <c r="L293" s="1811"/>
      <c r="M293" s="9"/>
      <c r="N293" s="103" t="str">
        <f t="shared" si="116"/>
        <v>►</v>
      </c>
      <c r="O293" s="1616"/>
      <c r="P293" s="9"/>
      <c r="Q293" s="25" t="s">
        <v>15</v>
      </c>
      <c r="R293" s="31"/>
      <c r="S293" s="32"/>
      <c r="T293" s="31"/>
      <c r="U293" s="33"/>
      <c r="V293" s="1967"/>
      <c r="W293" s="1805"/>
      <c r="X293" s="91"/>
      <c r="Y293" s="1806"/>
      <c r="Z293" s="1968"/>
      <c r="AA293" s="2244"/>
      <c r="AB293" s="1969"/>
      <c r="AC293" s="1365"/>
      <c r="AD293" s="95"/>
      <c r="AE293" s="1326"/>
      <c r="AF293" s="97"/>
      <c r="AG293" s="1737"/>
      <c r="AH293" s="1970"/>
      <c r="AI293" s="99"/>
      <c r="AJ293" s="1809"/>
      <c r="AK293" s="6120" t="str">
        <f t="shared" si="117"/>
        <v>►</v>
      </c>
      <c r="AL293" s="781" t="str">
        <f t="shared" si="119"/>
        <v>►</v>
      </c>
      <c r="AM293" s="5499" t="str">
        <f t="shared" si="122"/>
        <v/>
      </c>
      <c r="AN293" s="783" t="str">
        <f t="shared" si="123"/>
        <v/>
      </c>
      <c r="AO293" s="782" t="str">
        <f t="shared" si="124"/>
        <v/>
      </c>
      <c r="AP293" s="783" t="str">
        <f t="shared" si="125"/>
        <v/>
      </c>
      <c r="AQ293" s="2083" t="b">
        <f>AND(Q293="A",COUNTIF(BP16:BR63,TRIM(Z293))&gt;0)</f>
        <v>0</v>
      </c>
      <c r="AR293" s="797" t="str">
        <f>IF(AL293&lt;&gt;"A","",IFERROR(IFERROR(_xlfn.XLOOKUP(TRIM(SUBSTITUTE(Z293,CHAR(160)," ")),BP16:BP63,BS16:BS63),IFERROR(_xlfn.XLOOKUP(TRIM(SUBSTITUTE(Z293,CHAR(160)," ")),BQ16:BQ63,BS16:BS63),_xlfn.XLOOKUP(TRIM(SUBSTITUTE(Z293,CHAR(160)," ")),BR16:BR63,BS16:BS63)))*Y293*IF(ISBLANK(V293),1,V293),0))</f>
        <v/>
      </c>
      <c r="AS293" s="784" t="str">
        <f t="shared" si="115"/>
        <v/>
      </c>
      <c r="AT293" s="1315" t="str">
        <f t="shared" si="126"/>
        <v/>
      </c>
      <c r="AU293" s="785">
        <f t="shared" si="127"/>
        <v>0</v>
      </c>
      <c r="AV293" s="785">
        <f t="shared" si="128"/>
        <v>0</v>
      </c>
      <c r="AW293" s="786">
        <f>IF(AK293="A",AY10,0)</f>
        <v>0</v>
      </c>
      <c r="AX293" s="5495" t="str">
        <f>IF(IFERROR(SEARCH("Adresse PC",TRIM(W293)),0)&gt;0,"▼ receta siguiente",IF(AK293="A",IF(AZ10&lt;&gt;"",AZ10&amp;" - ou.or.o ❾ + or - &gt;",""),""))</f>
        <v/>
      </c>
      <c r="AY293" s="810"/>
      <c r="AZ293" s="810"/>
      <c r="BA293" s="788" t="str">
        <f t="shared" si="118"/>
        <v/>
      </c>
      <c r="BB293" s="789" t="str">
        <f>IF(AK293="A",IF(AQ293,IF(AND(AW293&lt;&gt;"",N(AW293)&gt;0),IFERROR(IFERROR(_xlfn.XLOOKUP(AP293,BP10:BP57,BT10:BT57),IFERROR(_xlfn.XLOOKUP(AP293,BQ10:BQ57,BT10:BT57),_xlfn.XLOOKUP(AP293,BR10:BR57,BT10:BT57,""))),""),""),""),"")</f>
        <v/>
      </c>
      <c r="BC293" s="811" cm="1">
        <f t="array" ref="BC293">IF(NOT(AQ293),0,IF(OR(BA293="",N(BA293)&lt;=0.000000001),"",IF(OR(AU293="",N(AU293)&lt;=0.000000001),0,IF(ISNUMBER(BA293),IFERROR(_xlfn.LET(_xlpm.ai_test,TRIM(AP293),_xlpm.r,IFERROR(_xlfn.XLOOKUP(_xlpm.ai_test,BP16:BP63,ROW(BP16:BP63),0,1),IFERROR(_xlfn.XLOOKUP(_xlpm.ai_test,BQ16:BQ63,ROW(BQ16:BQ63),0,1),_xlfn.XLOOKUP(_xlpm.ai_test,BR16:BR63,ROW(BR16:BR63),0,1))),_xlpm.p,_xlpm.r-MIN(ROW(BP16:BP63))+1,_xlpm.f,INDEX(BS16:BS63,_xlpm.p),_xlpm.u,INDEX(BT16:BT63,_xlpm.p),_xlpm.s,INDEX(BV16:BV63,_xlpm.p),_xlpm.q,N(BA293)/_xlpm.f,IF(_xlpm.q&gt;=_xlpm.s,ROUND(_xlpm.q,1)&amp;" "&amp;_xlpm.ai_test&amp;" = "&amp;ROUND(_xlpm.q*_xlpm.f,1)&amp;" "&amp;_xlpm.u,ROUND(_xlpm.q,1)&amp;" "&amp;_xlpm.ai_test)),""),""))))</f>
        <v>0</v>
      </c>
      <c r="BD293" s="801"/>
      <c r="BE293" s="788" t="str">
        <f t="shared" si="129"/>
        <v/>
      </c>
      <c r="BF293" s="789" t="str">
        <f t="shared" si="130"/>
        <v/>
      </c>
      <c r="BG293" s="790">
        <f t="shared" si="133"/>
        <v>0</v>
      </c>
      <c r="BH293" s="791" t="str">
        <f t="shared" si="134"/>
        <v/>
      </c>
      <c r="BI293" s="792"/>
      <c r="BJ293" s="793">
        <f t="shared" si="132"/>
        <v>0</v>
      </c>
      <c r="BK293" s="794" t="str">
        <f t="shared" si="131"/>
        <v/>
      </c>
      <c r="BL293" s="227" t="s">
        <v>21</v>
      </c>
      <c r="BM293" s="773">
        <f t="shared" si="120"/>
        <v>0</v>
      </c>
      <c r="BN293" s="774">
        <f t="shared" si="121"/>
        <v>0</v>
      </c>
      <c r="BO293"/>
      <c r="BP293" s="627"/>
      <c r="BQ293" s="627"/>
      <c r="BR293" s="627"/>
      <c r="BS293" s="627"/>
      <c r="BT293" s="627"/>
      <c r="BU293" s="627"/>
      <c r="BV293" s="627"/>
      <c r="BW293" s="627"/>
      <c r="BX293"/>
      <c r="BY293"/>
      <c r="BZ293"/>
      <c r="CA293"/>
      <c r="CB293"/>
      <c r="CC293"/>
      <c r="CD293" s="781" t="str">
        <f t="shared" si="114"/>
        <v>►</v>
      </c>
      <c r="CE293"/>
      <c r="CF293"/>
      <c r="CG293"/>
      <c r="CH293"/>
      <c r="CI293"/>
      <c r="CK293"/>
      <c r="CL293"/>
      <c r="CM293"/>
      <c r="CN293"/>
      <c r="CO293"/>
      <c r="CP293"/>
      <c r="CQ293"/>
      <c r="CS293"/>
      <c r="CT293"/>
      <c r="CU293"/>
      <c r="CV293"/>
      <c r="CW293"/>
      <c r="CX293"/>
      <c r="CY293"/>
      <c r="DA293"/>
      <c r="DB293"/>
      <c r="DC293"/>
      <c r="DD293"/>
      <c r="DE293"/>
      <c r="DF293"/>
      <c r="DG293"/>
      <c r="DI293" s="3">
        <v>1</v>
      </c>
      <c r="DJ293" s="627"/>
      <c r="DK293" s="627"/>
    </row>
    <row r="294" spans="1:115" s="633" customFormat="1" ht="21" customHeight="1">
      <c r="A294" s="701" t="s">
        <v>21</v>
      </c>
      <c r="B294" s="2265" t="str" cm="1">
        <f t="array" ref="B294">SUMPRODUCT(--(D294:J294&lt;&gt;""), LEN(TRIM(SUBSTITUTE(D294:J294, CHAR(160), "")))) &amp; " Car."</f>
        <v>0 Car.</v>
      </c>
      <c r="C294" s="1376" t="str">
        <f>IF(ISBLANK(D294),"",LARGE(C13:C293,1)+1)</f>
        <v/>
      </c>
      <c r="D294" s="1833"/>
      <c r="E294" s="1810"/>
      <c r="F294" s="1810"/>
      <c r="G294" s="1810"/>
      <c r="H294" s="1810"/>
      <c r="I294" s="1810"/>
      <c r="J294" s="1810"/>
      <c r="K294" s="1810"/>
      <c r="L294" s="1811"/>
      <c r="M294" s="9"/>
      <c r="N294" s="103" t="str">
        <f t="shared" si="116"/>
        <v>►</v>
      </c>
      <c r="O294" s="1616"/>
      <c r="P294" s="9"/>
      <c r="Q294" s="25" t="s">
        <v>15</v>
      </c>
      <c r="R294" s="31"/>
      <c r="S294" s="32"/>
      <c r="T294" s="31"/>
      <c r="U294" s="33"/>
      <c r="V294" s="1967"/>
      <c r="W294" s="1805"/>
      <c r="X294" s="91"/>
      <c r="Y294" s="1806"/>
      <c r="Z294" s="1968"/>
      <c r="AA294" s="2244"/>
      <c r="AB294" s="1969"/>
      <c r="AC294" s="1365"/>
      <c r="AD294" s="95"/>
      <c r="AE294" s="1326"/>
      <c r="AF294" s="97"/>
      <c r="AG294" s="1737"/>
      <c r="AH294" s="1970"/>
      <c r="AI294" s="99"/>
      <c r="AJ294" s="1809"/>
      <c r="AK294" s="6120" t="str">
        <f t="shared" si="117"/>
        <v>►</v>
      </c>
      <c r="AL294" s="781" t="str">
        <f t="shared" si="119"/>
        <v>►</v>
      </c>
      <c r="AM294" s="5498" t="str">
        <f t="shared" si="122"/>
        <v/>
      </c>
      <c r="AN294" s="783" t="str">
        <f t="shared" si="123"/>
        <v/>
      </c>
      <c r="AO294" s="782" t="str">
        <f t="shared" si="124"/>
        <v/>
      </c>
      <c r="AP294" s="783" t="str">
        <f t="shared" si="125"/>
        <v/>
      </c>
      <c r="AQ294" s="2083" t="b">
        <f>AND(Q294="A",COUNTIF(BP16:BR63,TRIM(Z294))&gt;0)</f>
        <v>0</v>
      </c>
      <c r="AR294" s="797" t="str">
        <f>IF(AL294&lt;&gt;"A","",IFERROR(IFERROR(_xlfn.XLOOKUP(TRIM(SUBSTITUTE(Z294,CHAR(160)," ")),BP16:BP63,BS16:BS63),IFERROR(_xlfn.XLOOKUP(TRIM(SUBSTITUTE(Z294,CHAR(160)," ")),BQ16:BQ63,BS16:BS63),_xlfn.XLOOKUP(TRIM(SUBSTITUTE(Z294,CHAR(160)," ")),BR16:BR63,BS16:BS63)))*Y294*IF(ISBLANK(V294),1,V294),0))</f>
        <v/>
      </c>
      <c r="AS294" s="784" t="str">
        <f t="shared" si="115"/>
        <v/>
      </c>
      <c r="AT294" s="1315" t="str">
        <f t="shared" si="126"/>
        <v/>
      </c>
      <c r="AU294" s="785">
        <f t="shared" si="127"/>
        <v>0</v>
      </c>
      <c r="AV294" s="785">
        <f t="shared" si="128"/>
        <v>0</v>
      </c>
      <c r="AW294" s="798">
        <f>IF(AK294="A",AY10,0)</f>
        <v>0</v>
      </c>
      <c r="AX294" s="5496" t="str">
        <f>IF(IFERROR(SEARCH("Adresse PC",TRIM(W294)),0)&gt;0,"▼ receta siguiente",IF(AK294="A",IF(AZ10&lt;&gt;"",AZ10&amp;" - ou.or.o ❾ + or - &gt;",""),""))</f>
        <v/>
      </c>
      <c r="AY294" s="810"/>
      <c r="AZ294" s="810"/>
      <c r="BA294" s="799" t="str">
        <f t="shared" si="118"/>
        <v/>
      </c>
      <c r="BB294" s="800" t="str">
        <f>IF(AK294="A",IF(AQ294,IF(AND(AW294&lt;&gt;"",N(AW294)&gt;0),IFERROR(IFERROR(_xlfn.XLOOKUP(AP294,BP10:BP57,BT10:BT57),IFERROR(_xlfn.XLOOKUP(AP294,BQ10:BQ57,BT10:BT57),_xlfn.XLOOKUP(AP294,BR10:BR57,BT10:BT57,""))),""),""),""),"")</f>
        <v/>
      </c>
      <c r="BC294" s="813" cm="1">
        <f t="array" ref="BC294">IF(NOT(AQ294),0,IF(OR(BA294="",N(BA294)&lt;=0.000000001),"",IF(OR(AU294="",N(AU294)&lt;=0.000000001),0,IF(ISNUMBER(BA294),IFERROR(_xlfn.LET(_xlpm.ai_test,TRIM(AP294),_xlpm.r,IFERROR(_xlfn.XLOOKUP(_xlpm.ai_test,BP16:BP63,ROW(BP16:BP63),0,1),IFERROR(_xlfn.XLOOKUP(_xlpm.ai_test,BQ16:BQ63,ROW(BQ16:BQ63),0,1),_xlfn.XLOOKUP(_xlpm.ai_test,BR16:BR63,ROW(BR16:BR63),0,1))),_xlpm.p,_xlpm.r-MIN(ROW(BP16:BP63))+1,_xlpm.f,INDEX(BS16:BS63,_xlpm.p),_xlpm.u,INDEX(BT16:BT63,_xlpm.p),_xlpm.s,INDEX(BV16:BV63,_xlpm.p),_xlpm.q,N(BA294)/_xlpm.f,IF(_xlpm.q&gt;=_xlpm.s,ROUND(_xlpm.q,1)&amp;" "&amp;_xlpm.ai_test&amp;" = "&amp;ROUND(_xlpm.q*_xlpm.f,1)&amp;" "&amp;_xlpm.u,ROUND(_xlpm.q,1)&amp;" "&amp;_xlpm.ai_test)),""),""))))</f>
        <v>0</v>
      </c>
      <c r="BD294" s="801"/>
      <c r="BE294" s="799" t="str">
        <f t="shared" si="129"/>
        <v/>
      </c>
      <c r="BF294" s="800" t="str">
        <f t="shared" si="130"/>
        <v/>
      </c>
      <c r="BG294" s="802">
        <f t="shared" si="133"/>
        <v>0</v>
      </c>
      <c r="BH294" s="803" t="str">
        <f t="shared" si="134"/>
        <v/>
      </c>
      <c r="BI294" s="792"/>
      <c r="BJ294" s="804">
        <f t="shared" si="132"/>
        <v>0</v>
      </c>
      <c r="BK294" s="794" t="str">
        <f t="shared" si="131"/>
        <v/>
      </c>
      <c r="BL294" s="227" t="s">
        <v>21</v>
      </c>
      <c r="BM294" s="773">
        <f t="shared" si="120"/>
        <v>0</v>
      </c>
      <c r="BN294" s="774">
        <f t="shared" si="121"/>
        <v>0</v>
      </c>
      <c r="BO294"/>
      <c r="BP294" s="627"/>
      <c r="BQ294" s="627"/>
      <c r="BR294" s="627"/>
      <c r="BS294" s="627"/>
      <c r="BT294" s="627"/>
      <c r="BU294" s="627"/>
      <c r="BV294" s="627"/>
      <c r="BW294" s="627"/>
      <c r="BX294"/>
      <c r="BY294"/>
      <c r="BZ294"/>
      <c r="CA294"/>
      <c r="CB294"/>
      <c r="CC294"/>
      <c r="CD294" s="781" t="str">
        <f t="shared" si="114"/>
        <v>►</v>
      </c>
      <c r="CE294"/>
      <c r="CF294"/>
      <c r="CG294"/>
      <c r="CH294"/>
      <c r="CI294"/>
      <c r="CK294"/>
      <c r="CL294"/>
      <c r="CM294"/>
      <c r="CN294"/>
      <c r="CO294"/>
      <c r="CP294"/>
      <c r="CQ294"/>
      <c r="CS294"/>
      <c r="CT294"/>
      <c r="CU294"/>
      <c r="CV294"/>
      <c r="CW294"/>
      <c r="CX294"/>
      <c r="CY294"/>
      <c r="DA294"/>
      <c r="DB294"/>
      <c r="DC294"/>
      <c r="DD294"/>
      <c r="DE294"/>
      <c r="DF294"/>
      <c r="DG294"/>
      <c r="DI294" s="3">
        <v>1</v>
      </c>
      <c r="DJ294" s="627"/>
      <c r="DK294" s="627"/>
    </row>
    <row r="295" spans="1:115" s="633" customFormat="1" ht="21" customHeight="1">
      <c r="A295" s="701" t="s">
        <v>21</v>
      </c>
      <c r="B295" s="2265" t="str" cm="1">
        <f t="array" ref="B295">SUMPRODUCT(--(D295:J295&lt;&gt;""), LEN(TRIM(SUBSTITUTE(D295:J295, CHAR(160), "")))) &amp; " Car."</f>
        <v>0 Car.</v>
      </c>
      <c r="C295" s="1376" t="str">
        <f>IF(ISBLANK(D295),"",LARGE(C13:C294,1)+1)</f>
        <v/>
      </c>
      <c r="D295" s="1833"/>
      <c r="E295" s="1810"/>
      <c r="F295" s="1810"/>
      <c r="G295" s="1810"/>
      <c r="H295" s="1810"/>
      <c r="I295" s="1810"/>
      <c r="J295" s="1810"/>
      <c r="K295" s="1810"/>
      <c r="L295" s="1811"/>
      <c r="M295" s="9"/>
      <c r="N295" s="103" t="str">
        <f t="shared" si="116"/>
        <v>►</v>
      </c>
      <c r="O295" s="1616"/>
      <c r="P295" s="9"/>
      <c r="Q295" s="25" t="s">
        <v>15</v>
      </c>
      <c r="R295" s="31"/>
      <c r="S295" s="32"/>
      <c r="T295" s="31"/>
      <c r="U295" s="33"/>
      <c r="V295" s="1967"/>
      <c r="W295" s="1805"/>
      <c r="X295" s="91"/>
      <c r="Y295" s="1806"/>
      <c r="Z295" s="1968"/>
      <c r="AA295" s="2244"/>
      <c r="AB295" s="1969"/>
      <c r="AC295" s="1365"/>
      <c r="AD295" s="95"/>
      <c r="AE295" s="1326"/>
      <c r="AF295" s="97"/>
      <c r="AG295" s="1737"/>
      <c r="AH295" s="1970"/>
      <c r="AI295" s="99"/>
      <c r="AJ295" s="1809"/>
      <c r="AK295" s="6120" t="str">
        <f t="shared" si="117"/>
        <v>►</v>
      </c>
      <c r="AL295" s="781" t="str">
        <f t="shared" si="119"/>
        <v>►</v>
      </c>
      <c r="AM295" s="5499" t="str">
        <f t="shared" si="122"/>
        <v/>
      </c>
      <c r="AN295" s="783" t="str">
        <f t="shared" si="123"/>
        <v/>
      </c>
      <c r="AO295" s="782" t="str">
        <f t="shared" si="124"/>
        <v/>
      </c>
      <c r="AP295" s="783" t="str">
        <f t="shared" si="125"/>
        <v/>
      </c>
      <c r="AQ295" s="2083" t="b">
        <f>AND(Q295="A",COUNTIF(BP16:BR63,TRIM(Z295))&gt;0)</f>
        <v>0</v>
      </c>
      <c r="AR295" s="797" t="str">
        <f>IF(AL295&lt;&gt;"A","",IFERROR(IFERROR(_xlfn.XLOOKUP(TRIM(SUBSTITUTE(Z295,CHAR(160)," ")),BP16:BP63,BS16:BS63),IFERROR(_xlfn.XLOOKUP(TRIM(SUBSTITUTE(Z295,CHAR(160)," ")),BQ16:BQ63,BS16:BS63),_xlfn.XLOOKUP(TRIM(SUBSTITUTE(Z295,CHAR(160)," ")),BR16:BR63,BS16:BS63)))*Y295*IF(ISBLANK(V295),1,V295),0))</f>
        <v/>
      </c>
      <c r="AS295" s="784" t="str">
        <f t="shared" si="115"/>
        <v/>
      </c>
      <c r="AT295" s="1315" t="str">
        <f t="shared" si="126"/>
        <v/>
      </c>
      <c r="AU295" s="785">
        <f t="shared" si="127"/>
        <v>0</v>
      </c>
      <c r="AV295" s="785">
        <f t="shared" si="128"/>
        <v>0</v>
      </c>
      <c r="AW295" s="786">
        <f>IF(AK295="A",AY10,0)</f>
        <v>0</v>
      </c>
      <c r="AX295" s="5495" t="str">
        <f>IF(IFERROR(SEARCH("Adresse PC",TRIM(W295)),0)&gt;0,"▼ receta siguiente",IF(AK295="A",IF(AZ10&lt;&gt;"",AZ10&amp;" - ou.or.o ❾ + or - &gt;",""),""))</f>
        <v/>
      </c>
      <c r="AY295" s="810"/>
      <c r="AZ295" s="810"/>
      <c r="BA295" s="788" t="str">
        <f t="shared" si="118"/>
        <v/>
      </c>
      <c r="BB295" s="789" t="str">
        <f>IF(AK295="A",IF(AQ295,IF(AND(AW295&lt;&gt;"",N(AW295)&gt;0),IFERROR(IFERROR(_xlfn.XLOOKUP(AP295,BP10:BP57,BT10:BT57),IFERROR(_xlfn.XLOOKUP(AP295,BQ10:BQ57,BT10:BT57),_xlfn.XLOOKUP(AP295,BR10:BR57,BT10:BT57,""))),""),""),""),"")</f>
        <v/>
      </c>
      <c r="BC295" s="811" cm="1">
        <f t="array" ref="BC295">IF(NOT(AQ295),0,IF(OR(BA295="",N(BA295)&lt;=0.000000001),"",IF(OR(AU295="",N(AU295)&lt;=0.000000001),0,IF(ISNUMBER(BA295),IFERROR(_xlfn.LET(_xlpm.ai_test,TRIM(AP295),_xlpm.r,IFERROR(_xlfn.XLOOKUP(_xlpm.ai_test,BP16:BP63,ROW(BP16:BP63),0,1),IFERROR(_xlfn.XLOOKUP(_xlpm.ai_test,BQ16:BQ63,ROW(BQ16:BQ63),0,1),_xlfn.XLOOKUP(_xlpm.ai_test,BR16:BR63,ROW(BR16:BR63),0,1))),_xlpm.p,_xlpm.r-MIN(ROW(BP16:BP63))+1,_xlpm.f,INDEX(BS16:BS63,_xlpm.p),_xlpm.u,INDEX(BT16:BT63,_xlpm.p),_xlpm.s,INDEX(BV16:BV63,_xlpm.p),_xlpm.q,N(BA295)/_xlpm.f,IF(_xlpm.q&gt;=_xlpm.s,ROUND(_xlpm.q,1)&amp;" "&amp;_xlpm.ai_test&amp;" = "&amp;ROUND(_xlpm.q*_xlpm.f,1)&amp;" "&amp;_xlpm.u,ROUND(_xlpm.q,1)&amp;" "&amp;_xlpm.ai_test)),""),""))))</f>
        <v>0</v>
      </c>
      <c r="BD295" s="801"/>
      <c r="BE295" s="788" t="str">
        <f t="shared" si="129"/>
        <v/>
      </c>
      <c r="BF295" s="789" t="str">
        <f t="shared" si="130"/>
        <v/>
      </c>
      <c r="BG295" s="790">
        <f t="shared" si="133"/>
        <v>0</v>
      </c>
      <c r="BH295" s="791" t="str">
        <f t="shared" si="134"/>
        <v/>
      </c>
      <c r="BI295" s="792"/>
      <c r="BJ295" s="793">
        <f t="shared" si="132"/>
        <v>0</v>
      </c>
      <c r="BK295" s="794" t="str">
        <f t="shared" si="131"/>
        <v/>
      </c>
      <c r="BL295" s="227" t="s">
        <v>21</v>
      </c>
      <c r="BM295" s="773">
        <f t="shared" si="120"/>
        <v>0</v>
      </c>
      <c r="BN295" s="774">
        <f t="shared" si="121"/>
        <v>0</v>
      </c>
      <c r="BO295"/>
      <c r="BP295" s="627"/>
      <c r="BQ295" s="627"/>
      <c r="BR295" s="627"/>
      <c r="BS295" s="627"/>
      <c r="BT295" s="627"/>
      <c r="BU295" s="627"/>
      <c r="BV295" s="627"/>
      <c r="BW295" s="627"/>
      <c r="BX295"/>
      <c r="BY295"/>
      <c r="BZ295"/>
      <c r="CA295"/>
      <c r="CB295"/>
      <c r="CC295"/>
      <c r="CD295" s="781" t="str">
        <f t="shared" si="114"/>
        <v>►</v>
      </c>
      <c r="CE295"/>
      <c r="CF295"/>
      <c r="CG295"/>
      <c r="CH295"/>
      <c r="CI295"/>
      <c r="CK295"/>
      <c r="CL295"/>
      <c r="CM295"/>
      <c r="CN295"/>
      <c r="CO295"/>
      <c r="CP295"/>
      <c r="CQ295"/>
      <c r="CS295"/>
      <c r="CT295"/>
      <c r="CU295"/>
      <c r="CV295"/>
      <c r="CW295"/>
      <c r="CX295"/>
      <c r="CY295"/>
      <c r="DA295"/>
      <c r="DB295"/>
      <c r="DC295"/>
      <c r="DD295"/>
      <c r="DE295"/>
      <c r="DF295"/>
      <c r="DG295"/>
      <c r="DI295" s="3">
        <v>1</v>
      </c>
      <c r="DJ295" s="627"/>
      <c r="DK295" s="627"/>
    </row>
    <row r="296" spans="1:115" s="633" customFormat="1" ht="21" customHeight="1">
      <c r="A296" s="701" t="s">
        <v>21</v>
      </c>
      <c r="B296" s="2265" t="str" cm="1">
        <f t="array" ref="B296">SUMPRODUCT(--(D296:J296&lt;&gt;""), LEN(TRIM(SUBSTITUTE(D296:J296, CHAR(160), "")))) &amp; " Car."</f>
        <v>0 Car.</v>
      </c>
      <c r="C296" s="1376" t="str">
        <f>IF(ISBLANK(D296),"",LARGE(C13:C295,1)+1)</f>
        <v/>
      </c>
      <c r="D296" s="1833"/>
      <c r="E296" s="1810"/>
      <c r="F296" s="1810"/>
      <c r="G296" s="1810"/>
      <c r="H296" s="1810"/>
      <c r="I296" s="1810"/>
      <c r="J296" s="1810"/>
      <c r="K296" s="1810"/>
      <c r="L296" s="1811"/>
      <c r="M296" s="9"/>
      <c r="N296" s="103" t="str">
        <f t="shared" si="116"/>
        <v>►</v>
      </c>
      <c r="O296" s="1616"/>
      <c r="P296" s="9"/>
      <c r="Q296" s="25" t="s">
        <v>15</v>
      </c>
      <c r="R296" s="31"/>
      <c r="S296" s="32"/>
      <c r="T296" s="31"/>
      <c r="U296" s="33"/>
      <c r="V296" s="1967"/>
      <c r="W296" s="1805"/>
      <c r="X296" s="91"/>
      <c r="Y296" s="1806"/>
      <c r="Z296" s="1968"/>
      <c r="AA296" s="2244"/>
      <c r="AB296" s="1969"/>
      <c r="AC296" s="1365"/>
      <c r="AD296" s="95"/>
      <c r="AE296" s="1326"/>
      <c r="AF296" s="97"/>
      <c r="AG296" s="1737"/>
      <c r="AH296" s="1970"/>
      <c r="AI296" s="99"/>
      <c r="AJ296" s="1809"/>
      <c r="AK296" s="6120" t="str">
        <f t="shared" si="117"/>
        <v>►</v>
      </c>
      <c r="AL296" s="781" t="str">
        <f t="shared" si="119"/>
        <v>►</v>
      </c>
      <c r="AM296" s="5498" t="str">
        <f t="shared" si="122"/>
        <v/>
      </c>
      <c r="AN296" s="783" t="str">
        <f t="shared" si="123"/>
        <v/>
      </c>
      <c r="AO296" s="782" t="str">
        <f t="shared" si="124"/>
        <v/>
      </c>
      <c r="AP296" s="783" t="str">
        <f t="shared" si="125"/>
        <v/>
      </c>
      <c r="AQ296" s="2083" t="b">
        <f>AND(Q296="A",COUNTIF(BP16:BR63,TRIM(Z296))&gt;0)</f>
        <v>0</v>
      </c>
      <c r="AR296" s="797" t="str">
        <f>IF(AL296&lt;&gt;"A","",IFERROR(IFERROR(_xlfn.XLOOKUP(TRIM(SUBSTITUTE(Z296,CHAR(160)," ")),BP16:BP63,BS16:BS63),IFERROR(_xlfn.XLOOKUP(TRIM(SUBSTITUTE(Z296,CHAR(160)," ")),BQ16:BQ63,BS16:BS63),_xlfn.XLOOKUP(TRIM(SUBSTITUTE(Z296,CHAR(160)," ")),BR16:BR63,BS16:BS63)))*Y296*IF(ISBLANK(V296),1,V296),0))</f>
        <v/>
      </c>
      <c r="AS296" s="784" t="str">
        <f t="shared" si="115"/>
        <v/>
      </c>
      <c r="AT296" s="1315" t="str">
        <f t="shared" si="126"/>
        <v/>
      </c>
      <c r="AU296" s="785">
        <f t="shared" si="127"/>
        <v>0</v>
      </c>
      <c r="AV296" s="785">
        <f t="shared" si="128"/>
        <v>0</v>
      </c>
      <c r="AW296" s="798">
        <f>IF(AK296="A",AY10,0)</f>
        <v>0</v>
      </c>
      <c r="AX296" s="5496" t="str">
        <f>IF(IFERROR(SEARCH("Adresse PC",TRIM(W296)),0)&gt;0,"▼ receta siguiente",IF(AK296="A",IF(AZ10&lt;&gt;"",AZ10&amp;" - ou.or.o ❾ + or - &gt;",""),""))</f>
        <v/>
      </c>
      <c r="AY296" s="810"/>
      <c r="AZ296" s="810"/>
      <c r="BA296" s="799" t="str">
        <f t="shared" si="118"/>
        <v/>
      </c>
      <c r="BB296" s="800" t="str">
        <f>IF(AK296="A",IF(AQ296,IF(AND(AW296&lt;&gt;"",N(AW296)&gt;0),IFERROR(IFERROR(_xlfn.XLOOKUP(AP296,BP10:BP57,BT10:BT57),IFERROR(_xlfn.XLOOKUP(AP296,BQ10:BQ57,BT10:BT57),_xlfn.XLOOKUP(AP296,BR10:BR57,BT10:BT57,""))),""),""),""),"")</f>
        <v/>
      </c>
      <c r="BC296" s="813" cm="1">
        <f t="array" ref="BC296">IF(NOT(AQ296),0,IF(OR(BA296="",N(BA296)&lt;=0.000000001),"",IF(OR(AU296="",N(AU296)&lt;=0.000000001),0,IF(ISNUMBER(BA296),IFERROR(_xlfn.LET(_xlpm.ai_test,TRIM(AP296),_xlpm.r,IFERROR(_xlfn.XLOOKUP(_xlpm.ai_test,BP16:BP63,ROW(BP16:BP63),0,1),IFERROR(_xlfn.XLOOKUP(_xlpm.ai_test,BQ16:BQ63,ROW(BQ16:BQ63),0,1),_xlfn.XLOOKUP(_xlpm.ai_test,BR16:BR63,ROW(BR16:BR63),0,1))),_xlpm.p,_xlpm.r-MIN(ROW(BP16:BP63))+1,_xlpm.f,INDEX(BS16:BS63,_xlpm.p),_xlpm.u,INDEX(BT16:BT63,_xlpm.p),_xlpm.s,INDEX(BV16:BV63,_xlpm.p),_xlpm.q,N(BA296)/_xlpm.f,IF(_xlpm.q&gt;=_xlpm.s,ROUND(_xlpm.q,1)&amp;" "&amp;_xlpm.ai_test&amp;" = "&amp;ROUND(_xlpm.q*_xlpm.f,1)&amp;" "&amp;_xlpm.u,ROUND(_xlpm.q,1)&amp;" "&amp;_xlpm.ai_test)),""),""))))</f>
        <v>0</v>
      </c>
      <c r="BD296" s="801"/>
      <c r="BE296" s="799" t="str">
        <f t="shared" si="129"/>
        <v/>
      </c>
      <c r="BF296" s="800" t="str">
        <f t="shared" si="130"/>
        <v/>
      </c>
      <c r="BG296" s="802">
        <f t="shared" si="133"/>
        <v>0</v>
      </c>
      <c r="BH296" s="803" t="str">
        <f t="shared" si="134"/>
        <v/>
      </c>
      <c r="BI296" s="792"/>
      <c r="BJ296" s="804">
        <f t="shared" si="132"/>
        <v>0</v>
      </c>
      <c r="BK296" s="794" t="str">
        <f t="shared" si="131"/>
        <v/>
      </c>
      <c r="BL296" s="227" t="s">
        <v>21</v>
      </c>
      <c r="BM296" s="773">
        <f t="shared" si="120"/>
        <v>0</v>
      </c>
      <c r="BN296" s="774">
        <f t="shared" si="121"/>
        <v>0</v>
      </c>
      <c r="BO296"/>
      <c r="BP296" s="627"/>
      <c r="BQ296" s="627"/>
      <c r="BR296" s="627"/>
      <c r="BS296" s="627"/>
      <c r="BT296" s="627"/>
      <c r="BU296" s="627"/>
      <c r="BV296" s="627"/>
      <c r="BW296" s="627"/>
      <c r="BX296"/>
      <c r="BY296"/>
      <c r="BZ296"/>
      <c r="CA296"/>
      <c r="CB296"/>
      <c r="CC296"/>
      <c r="CD296" s="781" t="str">
        <f t="shared" si="114"/>
        <v>►</v>
      </c>
      <c r="CE296"/>
      <c r="CF296"/>
      <c r="CG296"/>
      <c r="CH296"/>
      <c r="CI296"/>
      <c r="CK296"/>
      <c r="CL296"/>
      <c r="CM296"/>
      <c r="CN296"/>
      <c r="CO296"/>
      <c r="CP296"/>
      <c r="CQ296"/>
      <c r="CS296"/>
      <c r="CT296"/>
      <c r="CU296"/>
      <c r="CV296"/>
      <c r="CW296"/>
      <c r="CX296"/>
      <c r="CY296"/>
      <c r="DA296"/>
      <c r="DB296"/>
      <c r="DC296"/>
      <c r="DD296"/>
      <c r="DE296"/>
      <c r="DF296"/>
      <c r="DG296"/>
      <c r="DI296" s="3">
        <v>1</v>
      </c>
      <c r="DJ296" s="627"/>
      <c r="DK296" s="627"/>
    </row>
    <row r="297" spans="1:115" s="633" customFormat="1" ht="21" customHeight="1">
      <c r="A297" s="701" t="s">
        <v>21</v>
      </c>
      <c r="B297" s="2265" t="str" cm="1">
        <f t="array" ref="B297">SUMPRODUCT(--(D297:J297&lt;&gt;""), LEN(TRIM(SUBSTITUTE(D297:J297, CHAR(160), "")))) &amp; " Car."</f>
        <v>0 Car.</v>
      </c>
      <c r="C297" s="1376" t="str">
        <f>IF(ISBLANK(D297),"",LARGE(C13:C296,1)+1)</f>
        <v/>
      </c>
      <c r="D297" s="1833"/>
      <c r="E297" s="1810"/>
      <c r="F297" s="1810"/>
      <c r="G297" s="1810"/>
      <c r="H297" s="1810"/>
      <c r="I297" s="1810"/>
      <c r="J297" s="1810"/>
      <c r="K297" s="1810"/>
      <c r="L297" s="1811"/>
      <c r="M297" s="9"/>
      <c r="N297" s="162" t="str">
        <f t="shared" si="116"/>
        <v>►</v>
      </c>
      <c r="O297" s="1616"/>
      <c r="P297" s="9"/>
      <c r="Q297" s="25" t="s">
        <v>15</v>
      </c>
      <c r="R297" s="31"/>
      <c r="S297" s="32"/>
      <c r="T297" s="31"/>
      <c r="U297" s="33"/>
      <c r="V297" s="1967"/>
      <c r="W297" s="1805"/>
      <c r="X297" s="91"/>
      <c r="Y297" s="1806"/>
      <c r="Z297" s="1968"/>
      <c r="AA297" s="2244"/>
      <c r="AB297" s="1969"/>
      <c r="AC297" s="1365"/>
      <c r="AD297" s="95"/>
      <c r="AE297" s="1326"/>
      <c r="AF297" s="97"/>
      <c r="AG297" s="1737"/>
      <c r="AH297" s="1970"/>
      <c r="AI297" s="99"/>
      <c r="AJ297" s="1809"/>
      <c r="AK297" s="6120" t="str">
        <f t="shared" si="117"/>
        <v>►</v>
      </c>
      <c r="AL297" s="781" t="str">
        <f t="shared" si="119"/>
        <v>►</v>
      </c>
      <c r="AM297" s="5499" t="str">
        <f t="shared" si="122"/>
        <v/>
      </c>
      <c r="AN297" s="783" t="str">
        <f t="shared" si="123"/>
        <v/>
      </c>
      <c r="AO297" s="782" t="str">
        <f t="shared" si="124"/>
        <v/>
      </c>
      <c r="AP297" s="783" t="str">
        <f t="shared" si="125"/>
        <v/>
      </c>
      <c r="AQ297" s="2083" t="b">
        <f>AND(Q297="A",COUNTIF(BP16:BR63,TRIM(Z297))&gt;0)</f>
        <v>0</v>
      </c>
      <c r="AR297" s="797" t="str">
        <f>IF(AL297&lt;&gt;"A","",IFERROR(IFERROR(_xlfn.XLOOKUP(TRIM(SUBSTITUTE(Z297,CHAR(160)," ")),BP16:BP63,BS16:BS63),IFERROR(_xlfn.XLOOKUP(TRIM(SUBSTITUTE(Z297,CHAR(160)," ")),BQ16:BQ63,BS16:BS63),_xlfn.XLOOKUP(TRIM(SUBSTITUTE(Z297,CHAR(160)," ")),BR16:BR63,BS16:BS63)))*Y297*IF(ISBLANK(V297),1,V297),0))</f>
        <v/>
      </c>
      <c r="AS297" s="784" t="str">
        <f t="shared" si="115"/>
        <v/>
      </c>
      <c r="AT297" s="1315" t="str">
        <f t="shared" si="126"/>
        <v/>
      </c>
      <c r="AU297" s="785">
        <f t="shared" si="127"/>
        <v>0</v>
      </c>
      <c r="AV297" s="785">
        <f t="shared" si="128"/>
        <v>0</v>
      </c>
      <c r="AW297" s="786">
        <f>IF(AK297="A",AY10,0)</f>
        <v>0</v>
      </c>
      <c r="AX297" s="5495" t="str">
        <f>IF(IFERROR(SEARCH("Adresse PC",TRIM(W297)),0)&gt;0,"▼ receta siguiente",IF(AK297="A",IF(AZ10&lt;&gt;"",AZ10&amp;" - ou.or.o ❾ + or - &gt;",""),""))</f>
        <v/>
      </c>
      <c r="AY297" s="810"/>
      <c r="AZ297" s="810"/>
      <c r="BA297" s="788" t="str">
        <f t="shared" si="118"/>
        <v/>
      </c>
      <c r="BB297" s="789" t="str">
        <f>IF(AK297="A",IF(AQ297,IF(AND(AW297&lt;&gt;"",N(AW297)&gt;0),IFERROR(IFERROR(_xlfn.XLOOKUP(AP297,BP10:BP57,BT10:BT57),IFERROR(_xlfn.XLOOKUP(AP297,BQ10:BQ57,BT10:BT57),_xlfn.XLOOKUP(AP297,BR10:BR57,BT10:BT57,""))),""),""),""),"")</f>
        <v/>
      </c>
      <c r="BC297" s="811" cm="1">
        <f t="array" ref="BC297">IF(NOT(AQ297),0,IF(OR(BA297="",N(BA297)&lt;=0.000000001),"",IF(OR(AU297="",N(AU297)&lt;=0.000000001),0,IF(ISNUMBER(BA297),IFERROR(_xlfn.LET(_xlpm.ai_test,TRIM(AP297),_xlpm.r,IFERROR(_xlfn.XLOOKUP(_xlpm.ai_test,BP16:BP63,ROW(BP16:BP63),0,1),IFERROR(_xlfn.XLOOKUP(_xlpm.ai_test,BQ16:BQ63,ROW(BQ16:BQ63),0,1),_xlfn.XLOOKUP(_xlpm.ai_test,BR16:BR63,ROW(BR16:BR63),0,1))),_xlpm.p,_xlpm.r-MIN(ROW(BP16:BP63))+1,_xlpm.f,INDEX(BS16:BS63,_xlpm.p),_xlpm.u,INDEX(BT16:BT63,_xlpm.p),_xlpm.s,INDEX(BV16:BV63,_xlpm.p),_xlpm.q,N(BA297)/_xlpm.f,IF(_xlpm.q&gt;=_xlpm.s,ROUND(_xlpm.q,1)&amp;" "&amp;_xlpm.ai_test&amp;" = "&amp;ROUND(_xlpm.q*_xlpm.f,1)&amp;" "&amp;_xlpm.u,ROUND(_xlpm.q,1)&amp;" "&amp;_xlpm.ai_test)),""),""))))</f>
        <v>0</v>
      </c>
      <c r="BD297" s="801"/>
      <c r="BE297" s="788" t="str">
        <f t="shared" si="129"/>
        <v/>
      </c>
      <c r="BF297" s="789" t="str">
        <f t="shared" si="130"/>
        <v/>
      </c>
      <c r="BG297" s="790">
        <f t="shared" si="133"/>
        <v>0</v>
      </c>
      <c r="BH297" s="791" t="str">
        <f t="shared" si="134"/>
        <v/>
      </c>
      <c r="BI297" s="792"/>
      <c r="BJ297" s="793">
        <f t="shared" si="132"/>
        <v>0</v>
      </c>
      <c r="BK297" s="794" t="str">
        <f t="shared" si="131"/>
        <v/>
      </c>
      <c r="BL297" s="227" t="s">
        <v>21</v>
      </c>
      <c r="BM297" s="773">
        <f t="shared" si="120"/>
        <v>0</v>
      </c>
      <c r="BN297" s="774">
        <f t="shared" si="121"/>
        <v>0</v>
      </c>
      <c r="BO297"/>
      <c r="BP297" s="627"/>
      <c r="BQ297" s="627"/>
      <c r="BR297" s="627"/>
      <c r="BS297" s="627"/>
      <c r="BT297" s="627"/>
      <c r="BU297" s="627"/>
      <c r="BV297" s="627"/>
      <c r="BW297" s="627"/>
      <c r="BX297"/>
      <c r="BY297"/>
      <c r="BZ297"/>
      <c r="CA297"/>
      <c r="CB297"/>
      <c r="CC297"/>
      <c r="CD297" s="781" t="str">
        <f t="shared" si="114"/>
        <v>►</v>
      </c>
      <c r="CE297"/>
      <c r="CF297"/>
      <c r="CG297"/>
      <c r="CH297"/>
      <c r="CI297"/>
      <c r="CK297"/>
      <c r="CL297"/>
      <c r="CM297"/>
      <c r="CN297"/>
      <c r="CO297"/>
      <c r="CP297"/>
      <c r="CQ297"/>
      <c r="CS297"/>
      <c r="CT297"/>
      <c r="CU297"/>
      <c r="CV297"/>
      <c r="CW297"/>
      <c r="CX297"/>
      <c r="CY297"/>
      <c r="DA297"/>
      <c r="DB297"/>
      <c r="DC297"/>
      <c r="DD297"/>
      <c r="DE297"/>
      <c r="DF297"/>
      <c r="DG297"/>
      <c r="DI297" s="3">
        <v>1</v>
      </c>
      <c r="DJ297" s="627"/>
      <c r="DK297" s="627"/>
    </row>
    <row r="298" spans="1:115" s="633" customFormat="1" ht="21" customHeight="1">
      <c r="A298" s="701" t="s">
        <v>21</v>
      </c>
      <c r="B298" s="2265" t="str" cm="1">
        <f t="array" ref="B298">SUMPRODUCT(--(D298:J298&lt;&gt;""), LEN(TRIM(SUBSTITUTE(D298:J298, CHAR(160), "")))) &amp; " Car."</f>
        <v>0 Car.</v>
      </c>
      <c r="C298" s="1376" t="str">
        <f>IF(ISBLANK(D298),"",LARGE(C13:C297,1)+1)</f>
        <v/>
      </c>
      <c r="D298" s="1833"/>
      <c r="E298" s="1810"/>
      <c r="F298" s="1810"/>
      <c r="G298" s="1810"/>
      <c r="H298" s="1810"/>
      <c r="I298" s="1810"/>
      <c r="J298" s="1810"/>
      <c r="K298" s="1810"/>
      <c r="L298" s="1811"/>
      <c r="M298" s="9"/>
      <c r="N298" s="162" t="str">
        <f t="shared" si="116"/>
        <v>►</v>
      </c>
      <c r="O298" s="1616"/>
      <c r="P298" s="9"/>
      <c r="Q298" s="25" t="s">
        <v>15</v>
      </c>
      <c r="R298" s="31"/>
      <c r="S298" s="32"/>
      <c r="T298" s="31"/>
      <c r="U298" s="33"/>
      <c r="V298" s="1967"/>
      <c r="W298" s="1805"/>
      <c r="X298" s="91"/>
      <c r="Y298" s="1806"/>
      <c r="Z298" s="1968"/>
      <c r="AA298" s="2244"/>
      <c r="AB298" s="1969"/>
      <c r="AC298" s="1365"/>
      <c r="AD298" s="95"/>
      <c r="AE298" s="1326"/>
      <c r="AF298" s="97"/>
      <c r="AG298" s="1737"/>
      <c r="AH298" s="1970"/>
      <c r="AI298" s="99"/>
      <c r="AJ298" s="1809"/>
      <c r="AK298" s="6120" t="str">
        <f t="shared" si="117"/>
        <v>►</v>
      </c>
      <c r="AL298" s="781" t="str">
        <f t="shared" si="119"/>
        <v>►</v>
      </c>
      <c r="AM298" s="5498" t="str">
        <f t="shared" si="122"/>
        <v/>
      </c>
      <c r="AN298" s="783" t="str">
        <f t="shared" si="123"/>
        <v/>
      </c>
      <c r="AO298" s="782" t="str">
        <f t="shared" si="124"/>
        <v/>
      </c>
      <c r="AP298" s="783" t="str">
        <f t="shared" si="125"/>
        <v/>
      </c>
      <c r="AQ298" s="2083" t="b">
        <f>AND(Q298="A",COUNTIF(BP16:BR63,TRIM(Z298))&gt;0)</f>
        <v>0</v>
      </c>
      <c r="AR298" s="797" t="str">
        <f>IF(AL298&lt;&gt;"A","",IFERROR(IFERROR(_xlfn.XLOOKUP(TRIM(SUBSTITUTE(Z298,CHAR(160)," ")),BP16:BP63,BS16:BS63),IFERROR(_xlfn.XLOOKUP(TRIM(SUBSTITUTE(Z298,CHAR(160)," ")),BQ16:BQ63,BS16:BS63),_xlfn.XLOOKUP(TRIM(SUBSTITUTE(Z298,CHAR(160)," ")),BR16:BR63,BS16:BS63)))*Y298*IF(ISBLANK(V298),1,V298),0))</f>
        <v/>
      </c>
      <c r="AS298" s="784" t="str">
        <f t="shared" si="115"/>
        <v/>
      </c>
      <c r="AT298" s="1315" t="str">
        <f t="shared" si="126"/>
        <v/>
      </c>
      <c r="AU298" s="785">
        <f t="shared" si="127"/>
        <v>0</v>
      </c>
      <c r="AV298" s="785">
        <f t="shared" si="128"/>
        <v>0</v>
      </c>
      <c r="AW298" s="798">
        <f>IF(AK298="A",AY10,0)</f>
        <v>0</v>
      </c>
      <c r="AX298" s="5496" t="str">
        <f>IF(IFERROR(SEARCH("Adresse PC",TRIM(W298)),0)&gt;0,"▼ receta siguiente",IF(AK298="A",IF(AZ10&lt;&gt;"",AZ10&amp;" - ou.or.o ❾ + or - &gt;",""),""))</f>
        <v/>
      </c>
      <c r="AY298" s="810"/>
      <c r="AZ298" s="810"/>
      <c r="BA298" s="799" t="str">
        <f t="shared" si="118"/>
        <v/>
      </c>
      <c r="BB298" s="800" t="str">
        <f>IF(AK298="A",IF(AQ298,IF(AND(AW298&lt;&gt;"",N(AW298)&gt;0),IFERROR(IFERROR(_xlfn.XLOOKUP(AP298,BP10:BP57,BT10:BT57),IFERROR(_xlfn.XLOOKUP(AP298,BQ10:BQ57,BT10:BT57),_xlfn.XLOOKUP(AP298,BR10:BR57,BT10:BT57,""))),""),""),""),"")</f>
        <v/>
      </c>
      <c r="BC298" s="813" cm="1">
        <f t="array" ref="BC298">IF(NOT(AQ298),0,IF(OR(BA298="",N(BA298)&lt;=0.000000001),"",IF(OR(AU298="",N(AU298)&lt;=0.000000001),0,IF(ISNUMBER(BA298),IFERROR(_xlfn.LET(_xlpm.ai_test,TRIM(AP298),_xlpm.r,IFERROR(_xlfn.XLOOKUP(_xlpm.ai_test,BP16:BP63,ROW(BP16:BP63),0,1),IFERROR(_xlfn.XLOOKUP(_xlpm.ai_test,BQ16:BQ63,ROW(BQ16:BQ63),0,1),_xlfn.XLOOKUP(_xlpm.ai_test,BR16:BR63,ROW(BR16:BR63),0,1))),_xlpm.p,_xlpm.r-MIN(ROW(BP16:BP63))+1,_xlpm.f,INDEX(BS16:BS63,_xlpm.p),_xlpm.u,INDEX(BT16:BT63,_xlpm.p),_xlpm.s,INDEX(BV16:BV63,_xlpm.p),_xlpm.q,N(BA298)/_xlpm.f,IF(_xlpm.q&gt;=_xlpm.s,ROUND(_xlpm.q,1)&amp;" "&amp;_xlpm.ai_test&amp;" = "&amp;ROUND(_xlpm.q*_xlpm.f,1)&amp;" "&amp;_xlpm.u,ROUND(_xlpm.q,1)&amp;" "&amp;_xlpm.ai_test)),""),""))))</f>
        <v>0</v>
      </c>
      <c r="BD298" s="801"/>
      <c r="BE298" s="799" t="str">
        <f t="shared" si="129"/>
        <v/>
      </c>
      <c r="BF298" s="800" t="str">
        <f t="shared" si="130"/>
        <v/>
      </c>
      <c r="BG298" s="802">
        <f t="shared" si="133"/>
        <v>0</v>
      </c>
      <c r="BH298" s="803" t="str">
        <f t="shared" si="134"/>
        <v/>
      </c>
      <c r="BI298" s="792"/>
      <c r="BJ298" s="804">
        <f t="shared" si="132"/>
        <v>0</v>
      </c>
      <c r="BK298" s="794" t="str">
        <f t="shared" si="131"/>
        <v/>
      </c>
      <c r="BL298" s="227" t="s">
        <v>21</v>
      </c>
      <c r="BM298" s="773">
        <f t="shared" si="120"/>
        <v>0</v>
      </c>
      <c r="BN298" s="774">
        <f t="shared" si="121"/>
        <v>0</v>
      </c>
      <c r="BO298"/>
      <c r="BP298" s="627"/>
      <c r="BQ298" s="627"/>
      <c r="BR298" s="627"/>
      <c r="BS298" s="627"/>
      <c r="BT298" s="627"/>
      <c r="BU298" s="627"/>
      <c r="BV298" s="627"/>
      <c r="BW298" s="627"/>
      <c r="BX298"/>
      <c r="BY298"/>
      <c r="BZ298"/>
      <c r="CA298"/>
      <c r="CB298"/>
      <c r="CC298"/>
      <c r="CD298" s="781" t="str">
        <f t="shared" si="114"/>
        <v>►</v>
      </c>
      <c r="CE298"/>
      <c r="CF298"/>
      <c r="CG298"/>
      <c r="CH298"/>
      <c r="CI298"/>
      <c r="CK298"/>
      <c r="CL298"/>
      <c r="CM298"/>
      <c r="CN298"/>
      <c r="CO298"/>
      <c r="CP298"/>
      <c r="CQ298"/>
      <c r="CS298"/>
      <c r="CT298"/>
      <c r="CU298"/>
      <c r="CV298"/>
      <c r="CW298"/>
      <c r="CX298"/>
      <c r="CY298"/>
      <c r="DA298"/>
      <c r="DB298"/>
      <c r="DC298"/>
      <c r="DD298"/>
      <c r="DE298"/>
      <c r="DF298"/>
      <c r="DG298"/>
      <c r="DI298" s="3">
        <v>1</v>
      </c>
      <c r="DJ298" s="627"/>
      <c r="DK298" s="627"/>
    </row>
    <row r="299" spans="1:115" s="633" customFormat="1" ht="21" customHeight="1">
      <c r="A299" s="701" t="s">
        <v>21</v>
      </c>
      <c r="B299" s="2265" t="str" cm="1">
        <f t="array" ref="B299">SUMPRODUCT(--(D299:J299&lt;&gt;""), LEN(TRIM(SUBSTITUTE(D299:J299, CHAR(160), "")))) &amp; " Car."</f>
        <v>0 Car.</v>
      </c>
      <c r="C299" s="1376" t="str">
        <f>IF(ISBLANK(D299),"",LARGE(C13:C298,1)+1)</f>
        <v/>
      </c>
      <c r="D299" s="1833"/>
      <c r="E299" s="1810"/>
      <c r="F299" s="1810"/>
      <c r="G299" s="1810"/>
      <c r="H299" s="1810"/>
      <c r="I299" s="1810"/>
      <c r="J299" s="1810"/>
      <c r="K299" s="1810"/>
      <c r="L299" s="1811"/>
      <c r="M299" s="9"/>
      <c r="N299" s="162" t="str">
        <f t="shared" si="116"/>
        <v>►</v>
      </c>
      <c r="O299" s="1616"/>
      <c r="P299" s="9"/>
      <c r="Q299" s="25" t="s">
        <v>15</v>
      </c>
      <c r="R299" s="31"/>
      <c r="S299" s="32"/>
      <c r="T299" s="31"/>
      <c r="U299" s="33"/>
      <c r="V299" s="1967"/>
      <c r="W299" s="1805"/>
      <c r="X299" s="91"/>
      <c r="Y299" s="1806"/>
      <c r="Z299" s="1968"/>
      <c r="AA299" s="2244"/>
      <c r="AB299" s="1969"/>
      <c r="AC299" s="1365"/>
      <c r="AD299" s="95"/>
      <c r="AE299" s="1326"/>
      <c r="AF299" s="97"/>
      <c r="AG299" s="1737"/>
      <c r="AH299" s="1970"/>
      <c r="AI299" s="99"/>
      <c r="AJ299" s="1809"/>
      <c r="AK299" s="6120" t="str">
        <f t="shared" si="117"/>
        <v>►</v>
      </c>
      <c r="AL299" s="781" t="str">
        <f t="shared" si="119"/>
        <v>►</v>
      </c>
      <c r="AM299" s="5499" t="str">
        <f t="shared" si="122"/>
        <v/>
      </c>
      <c r="AN299" s="783" t="str">
        <f t="shared" si="123"/>
        <v/>
      </c>
      <c r="AO299" s="782" t="str">
        <f t="shared" si="124"/>
        <v/>
      </c>
      <c r="AP299" s="783" t="str">
        <f t="shared" si="125"/>
        <v/>
      </c>
      <c r="AQ299" s="2083" t="b">
        <f>AND(Q299="A",COUNTIF(BP16:BR63,TRIM(Z299))&gt;0)</f>
        <v>0</v>
      </c>
      <c r="AR299" s="797" t="str">
        <f>IF(AL299&lt;&gt;"A","",IFERROR(IFERROR(_xlfn.XLOOKUP(TRIM(SUBSTITUTE(Z299,CHAR(160)," ")),BP16:BP63,BS16:BS63),IFERROR(_xlfn.XLOOKUP(TRIM(SUBSTITUTE(Z299,CHAR(160)," ")),BQ16:BQ63,BS16:BS63),_xlfn.XLOOKUP(TRIM(SUBSTITUTE(Z299,CHAR(160)," ")),BR16:BR63,BS16:BS63)))*Y299*IF(ISBLANK(V299),1,V299),0))</f>
        <v/>
      </c>
      <c r="AS299" s="784" t="str">
        <f t="shared" si="115"/>
        <v/>
      </c>
      <c r="AT299" s="1315" t="str">
        <f t="shared" si="126"/>
        <v/>
      </c>
      <c r="AU299" s="785">
        <f t="shared" si="127"/>
        <v>0</v>
      </c>
      <c r="AV299" s="785">
        <f t="shared" si="128"/>
        <v>0</v>
      </c>
      <c r="AW299" s="786">
        <f>IF(AK299="A",AY10,0)</f>
        <v>0</v>
      </c>
      <c r="AX299" s="5495" t="str">
        <f>IF(IFERROR(SEARCH("Adresse PC",TRIM(W299)),0)&gt;0,"▼ receta siguiente",IF(AK299="A",IF(AZ10&lt;&gt;"",AZ10&amp;" - ou.or.o ❾ + or - &gt;",""),""))</f>
        <v/>
      </c>
      <c r="AY299" s="810"/>
      <c r="AZ299" s="810"/>
      <c r="BA299" s="788" t="str">
        <f t="shared" si="118"/>
        <v/>
      </c>
      <c r="BB299" s="789" t="str">
        <f>IF(AK299="A",IF(AQ299,IF(AND(AW299&lt;&gt;"",N(AW299)&gt;0),IFERROR(IFERROR(_xlfn.XLOOKUP(AP299,BP10:BP57,BT10:BT57),IFERROR(_xlfn.XLOOKUP(AP299,BQ10:BQ57,BT10:BT57),_xlfn.XLOOKUP(AP299,BR10:BR57,BT10:BT57,""))),""),""),""),"")</f>
        <v/>
      </c>
      <c r="BC299" s="811" cm="1">
        <f t="array" ref="BC299">IF(NOT(AQ299),0,IF(OR(BA299="",N(BA299)&lt;=0.000000001),"",IF(OR(AU299="",N(AU299)&lt;=0.000000001),0,IF(ISNUMBER(BA299),IFERROR(_xlfn.LET(_xlpm.ai_test,TRIM(AP299),_xlpm.r,IFERROR(_xlfn.XLOOKUP(_xlpm.ai_test,BP16:BP63,ROW(BP16:BP63),0,1),IFERROR(_xlfn.XLOOKUP(_xlpm.ai_test,BQ16:BQ63,ROW(BQ16:BQ63),0,1),_xlfn.XLOOKUP(_xlpm.ai_test,BR16:BR63,ROW(BR16:BR63),0,1))),_xlpm.p,_xlpm.r-MIN(ROW(BP16:BP63))+1,_xlpm.f,INDEX(BS16:BS63,_xlpm.p),_xlpm.u,INDEX(BT16:BT63,_xlpm.p),_xlpm.s,INDEX(BV16:BV63,_xlpm.p),_xlpm.q,N(BA299)/_xlpm.f,IF(_xlpm.q&gt;=_xlpm.s,ROUND(_xlpm.q,1)&amp;" "&amp;_xlpm.ai_test&amp;" = "&amp;ROUND(_xlpm.q*_xlpm.f,1)&amp;" "&amp;_xlpm.u,ROUND(_xlpm.q,1)&amp;" "&amp;_xlpm.ai_test)),""),""))))</f>
        <v>0</v>
      </c>
      <c r="BD299" s="801"/>
      <c r="BE299" s="788" t="str">
        <f t="shared" si="129"/>
        <v/>
      </c>
      <c r="BF299" s="789" t="str">
        <f t="shared" si="130"/>
        <v/>
      </c>
      <c r="BG299" s="790">
        <f t="shared" si="133"/>
        <v>0</v>
      </c>
      <c r="BH299" s="791" t="str">
        <f t="shared" si="134"/>
        <v/>
      </c>
      <c r="BI299" s="792"/>
      <c r="BJ299" s="793">
        <f t="shared" si="132"/>
        <v>0</v>
      </c>
      <c r="BK299" s="794" t="str">
        <f t="shared" si="131"/>
        <v/>
      </c>
      <c r="BL299" s="227" t="s">
        <v>21</v>
      </c>
      <c r="BM299" s="773">
        <f t="shared" si="120"/>
        <v>0</v>
      </c>
      <c r="BN299" s="774">
        <f t="shared" si="121"/>
        <v>0</v>
      </c>
      <c r="BO299"/>
      <c r="BP299" s="627"/>
      <c r="BQ299" s="627"/>
      <c r="BR299" s="627"/>
      <c r="BS299" s="627"/>
      <c r="BT299" s="627"/>
      <c r="BU299" s="627"/>
      <c r="BV299" s="627"/>
      <c r="BW299" s="627"/>
      <c r="BX299"/>
      <c r="BY299"/>
      <c r="BZ299"/>
      <c r="CA299"/>
      <c r="CB299"/>
      <c r="CC299"/>
      <c r="CD299" s="781" t="str">
        <f t="shared" si="114"/>
        <v>►</v>
      </c>
      <c r="CE299"/>
      <c r="CF299"/>
      <c r="CG299"/>
      <c r="CH299"/>
      <c r="CI299"/>
      <c r="CK299"/>
      <c r="CL299"/>
      <c r="CM299"/>
      <c r="CN299"/>
      <c r="CO299"/>
      <c r="CP299"/>
      <c r="CQ299"/>
      <c r="CS299"/>
      <c r="CT299"/>
      <c r="CU299"/>
      <c r="CV299"/>
      <c r="CW299"/>
      <c r="CX299"/>
      <c r="CY299"/>
      <c r="DA299"/>
      <c r="DB299"/>
      <c r="DC299"/>
      <c r="DD299"/>
      <c r="DE299"/>
      <c r="DF299"/>
      <c r="DG299"/>
      <c r="DI299" s="3">
        <v>1</v>
      </c>
      <c r="DJ299" s="627"/>
      <c r="DK299" s="627"/>
    </row>
    <row r="300" spans="1:115" s="633" customFormat="1" ht="21" customHeight="1">
      <c r="A300" s="701" t="s">
        <v>21</v>
      </c>
      <c r="B300" s="2265" t="str" cm="1">
        <f t="array" ref="B300">SUMPRODUCT(--(D300:J300&lt;&gt;""), LEN(TRIM(SUBSTITUTE(D300:J300, CHAR(160), "")))) &amp; " Car."</f>
        <v>0 Car.</v>
      </c>
      <c r="C300" s="1376" t="str">
        <f>IF(ISBLANK(D300),"",LARGE(C13:C299,1)+1)</f>
        <v/>
      </c>
      <c r="D300" s="1833"/>
      <c r="E300" s="1810"/>
      <c r="F300" s="1810"/>
      <c r="G300" s="1810"/>
      <c r="H300" s="1810"/>
      <c r="I300" s="1810"/>
      <c r="J300" s="1810"/>
      <c r="K300" s="1810"/>
      <c r="L300" s="1811"/>
      <c r="M300" s="9"/>
      <c r="N300" s="162" t="str">
        <f t="shared" si="116"/>
        <v>►</v>
      </c>
      <c r="O300" s="1616"/>
      <c r="P300" s="9"/>
      <c r="Q300" s="25" t="s">
        <v>15</v>
      </c>
      <c r="R300" s="31"/>
      <c r="S300" s="32"/>
      <c r="T300" s="31"/>
      <c r="U300" s="33"/>
      <c r="V300" s="1967"/>
      <c r="W300" s="1805"/>
      <c r="X300" s="91"/>
      <c r="Y300" s="1806"/>
      <c r="Z300" s="1968"/>
      <c r="AA300" s="2244"/>
      <c r="AB300" s="1969"/>
      <c r="AC300" s="1365"/>
      <c r="AD300" s="95"/>
      <c r="AE300" s="1326"/>
      <c r="AF300" s="97"/>
      <c r="AG300" s="1737"/>
      <c r="AH300" s="1970"/>
      <c r="AI300" s="99"/>
      <c r="AJ300" s="1809"/>
      <c r="AK300" s="6120" t="str">
        <f t="shared" si="117"/>
        <v>►</v>
      </c>
      <c r="AL300" s="781" t="str">
        <f t="shared" si="119"/>
        <v>►</v>
      </c>
      <c r="AM300" s="5498" t="str">
        <f t="shared" si="122"/>
        <v/>
      </c>
      <c r="AN300" s="783" t="str">
        <f t="shared" si="123"/>
        <v/>
      </c>
      <c r="AO300" s="782" t="str">
        <f t="shared" si="124"/>
        <v/>
      </c>
      <c r="AP300" s="783" t="str">
        <f t="shared" si="125"/>
        <v/>
      </c>
      <c r="AQ300" s="2083" t="b">
        <f>AND(Q300="A",COUNTIF(BP16:BR63,TRIM(Z300))&gt;0)</f>
        <v>0</v>
      </c>
      <c r="AR300" s="797" t="str">
        <f>IF(AL300&lt;&gt;"A","",IFERROR(IFERROR(_xlfn.XLOOKUP(TRIM(SUBSTITUTE(Z300,CHAR(160)," ")),BP16:BP63,BS16:BS63),IFERROR(_xlfn.XLOOKUP(TRIM(SUBSTITUTE(Z300,CHAR(160)," ")),BQ16:BQ63,BS16:BS63),_xlfn.XLOOKUP(TRIM(SUBSTITUTE(Z300,CHAR(160)," ")),BR16:BR63,BS16:BS63)))*Y300*IF(ISBLANK(V300),1,V300),0))</f>
        <v/>
      </c>
      <c r="AS300" s="784" t="str">
        <f t="shared" si="115"/>
        <v/>
      </c>
      <c r="AT300" s="1315" t="str">
        <f t="shared" si="126"/>
        <v/>
      </c>
      <c r="AU300" s="785">
        <f t="shared" si="127"/>
        <v>0</v>
      </c>
      <c r="AV300" s="785">
        <f t="shared" si="128"/>
        <v>0</v>
      </c>
      <c r="AW300" s="798">
        <f>IF(AK300="A",AY10,0)</f>
        <v>0</v>
      </c>
      <c r="AX300" s="5496" t="str">
        <f>IF(IFERROR(SEARCH("Adresse PC",TRIM(W300)),0)&gt;0,"▼ receta siguiente",IF(AK300="A",IF(AZ10&lt;&gt;"",AZ10&amp;" - ou.or.o ❾ + or - &gt;",""),""))</f>
        <v/>
      </c>
      <c r="AY300" s="810"/>
      <c r="AZ300" s="810"/>
      <c r="BA300" s="799" t="str">
        <f t="shared" si="118"/>
        <v/>
      </c>
      <c r="BB300" s="800" t="str">
        <f>IF(AK300="A",IF(AQ300,IF(AND(AW300&lt;&gt;"",N(AW300)&gt;0),IFERROR(IFERROR(_xlfn.XLOOKUP(AP300,BP10:BP57,BT10:BT57),IFERROR(_xlfn.XLOOKUP(AP300,BQ10:BQ57,BT10:BT57),_xlfn.XLOOKUP(AP300,BR10:BR57,BT10:BT57,""))),""),""),""),"")</f>
        <v/>
      </c>
      <c r="BC300" s="813" cm="1">
        <f t="array" ref="BC300">IF(NOT(AQ300),0,IF(OR(BA300="",N(BA300)&lt;=0.000000001),"",IF(OR(AU300="",N(AU300)&lt;=0.000000001),0,IF(ISNUMBER(BA300),IFERROR(_xlfn.LET(_xlpm.ai_test,TRIM(AP300),_xlpm.r,IFERROR(_xlfn.XLOOKUP(_xlpm.ai_test,BP16:BP63,ROW(BP16:BP63),0,1),IFERROR(_xlfn.XLOOKUP(_xlpm.ai_test,BQ16:BQ63,ROW(BQ16:BQ63),0,1),_xlfn.XLOOKUP(_xlpm.ai_test,BR16:BR63,ROW(BR16:BR63),0,1))),_xlpm.p,_xlpm.r-MIN(ROW(BP16:BP63))+1,_xlpm.f,INDEX(BS16:BS63,_xlpm.p),_xlpm.u,INDEX(BT16:BT63,_xlpm.p),_xlpm.s,INDEX(BV16:BV63,_xlpm.p),_xlpm.q,N(BA300)/_xlpm.f,IF(_xlpm.q&gt;=_xlpm.s,ROUND(_xlpm.q,1)&amp;" "&amp;_xlpm.ai_test&amp;" = "&amp;ROUND(_xlpm.q*_xlpm.f,1)&amp;" "&amp;_xlpm.u,ROUND(_xlpm.q,1)&amp;" "&amp;_xlpm.ai_test)),""),""))))</f>
        <v>0</v>
      </c>
      <c r="BD300" s="801"/>
      <c r="BE300" s="799" t="str">
        <f t="shared" si="129"/>
        <v/>
      </c>
      <c r="BF300" s="800" t="str">
        <f t="shared" si="130"/>
        <v/>
      </c>
      <c r="BG300" s="802">
        <f t="shared" si="133"/>
        <v>0</v>
      </c>
      <c r="BH300" s="803" t="str">
        <f t="shared" si="134"/>
        <v/>
      </c>
      <c r="BI300" s="792"/>
      <c r="BJ300" s="804">
        <f t="shared" si="132"/>
        <v>0</v>
      </c>
      <c r="BK300" s="794" t="str">
        <f t="shared" si="131"/>
        <v/>
      </c>
      <c r="BL300" s="227" t="s">
        <v>21</v>
      </c>
      <c r="BM300" s="773">
        <f t="shared" si="120"/>
        <v>0</v>
      </c>
      <c r="BN300" s="774">
        <f t="shared" si="121"/>
        <v>0</v>
      </c>
      <c r="BO300"/>
      <c r="BP300" s="627"/>
      <c r="BQ300" s="627"/>
      <c r="BR300" s="627"/>
      <c r="BS300" s="627"/>
      <c r="BT300" s="627"/>
      <c r="BU300" s="627"/>
      <c r="BV300" s="627"/>
      <c r="BW300" s="627"/>
      <c r="BX300"/>
      <c r="BY300"/>
      <c r="BZ300"/>
      <c r="CA300"/>
      <c r="CB300"/>
      <c r="CC300"/>
      <c r="CD300" s="781" t="str">
        <f t="shared" si="114"/>
        <v>►</v>
      </c>
      <c r="CE300"/>
      <c r="CF300"/>
      <c r="CG300"/>
      <c r="CH300"/>
      <c r="CI300"/>
      <c r="CK300"/>
      <c r="CL300"/>
      <c r="CM300"/>
      <c r="CN300"/>
      <c r="CO300"/>
      <c r="CP300"/>
      <c r="CQ300"/>
      <c r="CS300"/>
      <c r="CT300"/>
      <c r="CU300"/>
      <c r="CV300"/>
      <c r="CW300"/>
      <c r="CX300"/>
      <c r="CY300"/>
      <c r="DA300"/>
      <c r="DB300"/>
      <c r="DC300"/>
      <c r="DD300"/>
      <c r="DE300"/>
      <c r="DF300"/>
      <c r="DG300"/>
      <c r="DI300" s="3">
        <v>1</v>
      </c>
      <c r="DJ300" s="627"/>
      <c r="DK300" s="627"/>
    </row>
    <row r="301" spans="1:115" s="633" customFormat="1" ht="21" customHeight="1">
      <c r="A301" s="701" t="s">
        <v>21</v>
      </c>
      <c r="B301" s="2265" t="str" cm="1">
        <f t="array" ref="B301">SUMPRODUCT(--(D301:J301&lt;&gt;""), LEN(TRIM(SUBSTITUTE(D301:J301, CHAR(160), "")))) &amp; " Car."</f>
        <v>0 Car.</v>
      </c>
      <c r="C301" s="1376" t="str">
        <f>IF(ISBLANK(D301),"",LARGE(C13:C300,1)+1)</f>
        <v/>
      </c>
      <c r="D301" s="1833"/>
      <c r="E301" s="1810"/>
      <c r="F301" s="1810"/>
      <c r="G301" s="1810"/>
      <c r="H301" s="1810"/>
      <c r="I301" s="1810"/>
      <c r="J301" s="1810"/>
      <c r="K301" s="1810"/>
      <c r="L301" s="1811"/>
      <c r="M301" s="9"/>
      <c r="N301" s="1814" t="str">
        <f t="shared" si="116"/>
        <v>►</v>
      </c>
      <c r="O301" s="1616"/>
      <c r="P301" s="9"/>
      <c r="Q301" s="25" t="s">
        <v>15</v>
      </c>
      <c r="R301" s="31"/>
      <c r="S301" s="32"/>
      <c r="T301" s="31"/>
      <c r="U301" s="33"/>
      <c r="V301" s="1967"/>
      <c r="W301" s="1805"/>
      <c r="X301" s="91"/>
      <c r="Y301" s="1806"/>
      <c r="Z301" s="1968"/>
      <c r="AA301" s="2244"/>
      <c r="AB301" s="1969"/>
      <c r="AC301" s="1365"/>
      <c r="AD301" s="95"/>
      <c r="AE301" s="1326"/>
      <c r="AF301" s="97"/>
      <c r="AG301" s="1737"/>
      <c r="AH301" s="1970"/>
      <c r="AI301" s="99"/>
      <c r="AJ301" s="1809"/>
      <c r="AK301" s="6120" t="str">
        <f t="shared" si="117"/>
        <v>►</v>
      </c>
      <c r="AL301" s="781" t="str">
        <f t="shared" si="119"/>
        <v>►</v>
      </c>
      <c r="AM301" s="5499" t="str">
        <f t="shared" si="122"/>
        <v/>
      </c>
      <c r="AN301" s="783" t="str">
        <f t="shared" si="123"/>
        <v/>
      </c>
      <c r="AO301" s="782" t="str">
        <f t="shared" si="124"/>
        <v/>
      </c>
      <c r="AP301" s="783" t="str">
        <f t="shared" si="125"/>
        <v/>
      </c>
      <c r="AQ301" s="2083" t="b">
        <f>AND(Q301="A",COUNTIF(BP16:BR63,TRIM(Z301))&gt;0)</f>
        <v>0</v>
      </c>
      <c r="AR301" s="797" t="str">
        <f>IF(AL301&lt;&gt;"A","",IFERROR(IFERROR(_xlfn.XLOOKUP(TRIM(SUBSTITUTE(Z301,CHAR(160)," ")),BP16:BP63,BS16:BS63),IFERROR(_xlfn.XLOOKUP(TRIM(SUBSTITUTE(Z301,CHAR(160)," ")),BQ16:BQ63,BS16:BS63),_xlfn.XLOOKUP(TRIM(SUBSTITUTE(Z301,CHAR(160)," ")),BR16:BR63,BS16:BS63)))*Y301*IF(ISBLANK(V301),1,V301),0))</f>
        <v/>
      </c>
      <c r="AS301" s="784" t="str">
        <f t="shared" si="115"/>
        <v/>
      </c>
      <c r="AT301" s="1315" t="str">
        <f t="shared" si="126"/>
        <v/>
      </c>
      <c r="AU301" s="785">
        <f t="shared" si="127"/>
        <v>0</v>
      </c>
      <c r="AV301" s="785">
        <f t="shared" si="128"/>
        <v>0</v>
      </c>
      <c r="AW301" s="786">
        <f>IF(AK301="A",AY10,0)</f>
        <v>0</v>
      </c>
      <c r="AX301" s="5495" t="str">
        <f>IF(IFERROR(SEARCH("Adresse PC",TRIM(W301)),0)&gt;0,"▼ receta siguiente",IF(AK301="A",IF(AZ10&lt;&gt;"",AZ10&amp;" - ou.or.o ❾ + or - &gt;",""),""))</f>
        <v/>
      </c>
      <c r="AY301" s="810"/>
      <c r="AZ301" s="810"/>
      <c r="BA301" s="788" t="str">
        <f t="shared" si="118"/>
        <v/>
      </c>
      <c r="BB301" s="789" t="str">
        <f>IF(AK301="A",IF(AQ301,IF(AND(AW301&lt;&gt;"",N(AW301)&gt;0),IFERROR(IFERROR(_xlfn.XLOOKUP(AP301,BP10:BP57,BT10:BT57),IFERROR(_xlfn.XLOOKUP(AP301,BQ10:BQ57,BT10:BT57),_xlfn.XLOOKUP(AP301,BR10:BR57,BT10:BT57,""))),""),""),""),"")</f>
        <v/>
      </c>
      <c r="BC301" s="811" cm="1">
        <f t="array" ref="BC301">IF(NOT(AQ301),0,IF(OR(BA301="",N(BA301)&lt;=0.000000001),"",IF(OR(AU301="",N(AU301)&lt;=0.000000001),0,IF(ISNUMBER(BA301),IFERROR(_xlfn.LET(_xlpm.ai_test,TRIM(AP301),_xlpm.r,IFERROR(_xlfn.XLOOKUP(_xlpm.ai_test,BP16:BP63,ROW(BP16:BP63),0,1),IFERROR(_xlfn.XLOOKUP(_xlpm.ai_test,BQ16:BQ63,ROW(BQ16:BQ63),0,1),_xlfn.XLOOKUP(_xlpm.ai_test,BR16:BR63,ROW(BR16:BR63),0,1))),_xlpm.p,_xlpm.r-MIN(ROW(BP16:BP63))+1,_xlpm.f,INDEX(BS16:BS63,_xlpm.p),_xlpm.u,INDEX(BT16:BT63,_xlpm.p),_xlpm.s,INDEX(BV16:BV63,_xlpm.p),_xlpm.q,N(BA301)/_xlpm.f,IF(_xlpm.q&gt;=_xlpm.s,ROUND(_xlpm.q,1)&amp;" "&amp;_xlpm.ai_test&amp;" = "&amp;ROUND(_xlpm.q*_xlpm.f,1)&amp;" "&amp;_xlpm.u,ROUND(_xlpm.q,1)&amp;" "&amp;_xlpm.ai_test)),""),""))))</f>
        <v>0</v>
      </c>
      <c r="BD301" s="801"/>
      <c r="BE301" s="788" t="str">
        <f t="shared" si="129"/>
        <v/>
      </c>
      <c r="BF301" s="789" t="str">
        <f t="shared" si="130"/>
        <v/>
      </c>
      <c r="BG301" s="790">
        <f t="shared" si="133"/>
        <v>0</v>
      </c>
      <c r="BH301" s="791" t="str">
        <f t="shared" si="134"/>
        <v/>
      </c>
      <c r="BI301" s="792"/>
      <c r="BJ301" s="793">
        <f t="shared" si="132"/>
        <v>0</v>
      </c>
      <c r="BK301" s="794" t="str">
        <f t="shared" si="131"/>
        <v/>
      </c>
      <c r="BL301" s="227" t="s">
        <v>21</v>
      </c>
      <c r="BM301" s="773">
        <f t="shared" si="120"/>
        <v>0</v>
      </c>
      <c r="BN301" s="774">
        <f t="shared" si="121"/>
        <v>0</v>
      </c>
      <c r="BO301"/>
      <c r="BP301" s="627"/>
      <c r="BQ301" s="627"/>
      <c r="BR301" s="627"/>
      <c r="BS301" s="627"/>
      <c r="BT301" s="627"/>
      <c r="BU301" s="627"/>
      <c r="BV301" s="627"/>
      <c r="BW301" s="627"/>
      <c r="BX301"/>
      <c r="BY301"/>
      <c r="BZ301"/>
      <c r="CA301"/>
      <c r="CB301"/>
      <c r="CC301"/>
      <c r="CD301" s="781" t="str">
        <f t="shared" si="114"/>
        <v>►</v>
      </c>
      <c r="CE301"/>
      <c r="CF301"/>
      <c r="CG301"/>
      <c r="CH301"/>
      <c r="CI301"/>
      <c r="CK301"/>
      <c r="CL301"/>
      <c r="CM301"/>
      <c r="CN301"/>
      <c r="CO301"/>
      <c r="CP301"/>
      <c r="CQ301"/>
      <c r="CS301"/>
      <c r="CT301"/>
      <c r="CU301"/>
      <c r="CV301"/>
      <c r="CW301"/>
      <c r="CX301"/>
      <c r="CY301"/>
      <c r="DA301"/>
      <c r="DB301"/>
      <c r="DC301"/>
      <c r="DD301"/>
      <c r="DE301"/>
      <c r="DF301"/>
      <c r="DG301"/>
      <c r="DI301" s="3">
        <v>1</v>
      </c>
      <c r="DJ301" s="627"/>
      <c r="DK301" s="627"/>
    </row>
    <row r="302" spans="1:115" s="633" customFormat="1" ht="21" customHeight="1" thickBot="1">
      <c r="A302" s="701" t="s">
        <v>21</v>
      </c>
      <c r="B302" s="2265" t="str" cm="1">
        <f t="array" ref="B302">SUMPRODUCT(--(D302:J302&lt;&gt;""), LEN(TRIM(SUBSTITUTE(D302:J302, CHAR(160), "")))) &amp; " Car."</f>
        <v>0 Car.</v>
      </c>
      <c r="C302" s="1376" t="str">
        <f>IF(ISBLANK(D302),"",LARGE(C13:C301,1)+1)</f>
        <v/>
      </c>
      <c r="D302" s="1833"/>
      <c r="E302" s="1810"/>
      <c r="F302" s="1810"/>
      <c r="G302" s="1810"/>
      <c r="H302" s="1810"/>
      <c r="I302" s="1810"/>
      <c r="J302" s="1810"/>
      <c r="K302" s="1810"/>
      <c r="L302" s="1811"/>
      <c r="M302" s="9"/>
      <c r="N302" s="215" t="str">
        <f t="shared" si="116"/>
        <v>►</v>
      </c>
      <c r="O302" s="1616"/>
      <c r="P302" s="9"/>
      <c r="Q302" s="25" t="s">
        <v>15</v>
      </c>
      <c r="R302" s="31"/>
      <c r="S302" s="32"/>
      <c r="T302" s="31"/>
      <c r="U302" s="33"/>
      <c r="V302" s="1967"/>
      <c r="W302" s="1805"/>
      <c r="X302" s="91"/>
      <c r="Y302" s="1806"/>
      <c r="Z302" s="1968"/>
      <c r="AA302" s="2244"/>
      <c r="AB302" s="1969"/>
      <c r="AC302" s="1365"/>
      <c r="AD302" s="95"/>
      <c r="AE302" s="1326"/>
      <c r="AF302" s="97"/>
      <c r="AG302" s="1737"/>
      <c r="AH302" s="1970"/>
      <c r="AI302" s="99"/>
      <c r="AJ302" s="1809"/>
      <c r="AK302" s="6120" t="str">
        <f t="shared" si="117"/>
        <v>►</v>
      </c>
      <c r="AL302" s="781" t="str">
        <f t="shared" si="119"/>
        <v>►</v>
      </c>
      <c r="AM302" s="5498" t="str">
        <f t="shared" si="122"/>
        <v/>
      </c>
      <c r="AN302" s="783" t="str">
        <f t="shared" si="123"/>
        <v/>
      </c>
      <c r="AO302" s="782" t="str">
        <f t="shared" si="124"/>
        <v/>
      </c>
      <c r="AP302" s="783" t="str">
        <f t="shared" si="125"/>
        <v/>
      </c>
      <c r="AQ302" s="2083" t="b">
        <f>AND(Q302="A",COUNTIF(BP16:BR63,TRIM(Z302))&gt;0)</f>
        <v>0</v>
      </c>
      <c r="AR302" s="797" t="str">
        <f>IF(AL302&lt;&gt;"A","",IFERROR(IFERROR(_xlfn.XLOOKUP(TRIM(SUBSTITUTE(Z302,CHAR(160)," ")),BP16:BP63,BS16:BS63),IFERROR(_xlfn.XLOOKUP(TRIM(SUBSTITUTE(Z302,CHAR(160)," ")),BQ16:BQ63,BS16:BS63),_xlfn.XLOOKUP(TRIM(SUBSTITUTE(Z302,CHAR(160)," ")),BR16:BR63,BS16:BS63)))*Y302*IF(ISBLANK(V302),1,V302),0))</f>
        <v/>
      </c>
      <c r="AS302" s="784" t="str">
        <f t="shared" si="115"/>
        <v/>
      </c>
      <c r="AT302" s="1315" t="str">
        <f t="shared" si="126"/>
        <v/>
      </c>
      <c r="AU302" s="785">
        <f t="shared" si="127"/>
        <v>0</v>
      </c>
      <c r="AV302" s="785">
        <f t="shared" si="128"/>
        <v>0</v>
      </c>
      <c r="AW302" s="798">
        <f>IF(AK302="A",AY10,0)</f>
        <v>0</v>
      </c>
      <c r="AX302" s="5496" t="str">
        <f>IF(IFERROR(SEARCH("Adresse PC",TRIM(W302)),0)&gt;0,"▼ receta siguiente",IF(AK302="A",IF(AZ10&lt;&gt;"",AZ10&amp;" - ou.or.o ❾ + or - &gt;",""),""))</f>
        <v/>
      </c>
      <c r="AY302" s="810"/>
      <c r="AZ302" s="810"/>
      <c r="BA302" s="799" t="str">
        <f t="shared" si="118"/>
        <v/>
      </c>
      <c r="BB302" s="800" t="str">
        <f>IF(AK302="A",IF(AQ302,IF(AND(AW302&lt;&gt;"",N(AW302)&gt;0),IFERROR(IFERROR(_xlfn.XLOOKUP(AP302,BP10:BP57,BT10:BT57),IFERROR(_xlfn.XLOOKUP(AP302,BQ10:BQ57,BT10:BT57),_xlfn.XLOOKUP(AP302,BR10:BR57,BT10:BT57,""))),""),""),""),"")</f>
        <v/>
      </c>
      <c r="BC302" s="813" cm="1">
        <f t="array" ref="BC302">IF(NOT(AQ302),0,IF(OR(BA302="",N(BA302)&lt;=0.000000001),"",IF(OR(AU302="",N(AU302)&lt;=0.000000001),0,IF(ISNUMBER(BA302),IFERROR(_xlfn.LET(_xlpm.ai_test,TRIM(AP302),_xlpm.r,IFERROR(_xlfn.XLOOKUP(_xlpm.ai_test,BP16:BP63,ROW(BP16:BP63),0,1),IFERROR(_xlfn.XLOOKUP(_xlpm.ai_test,BQ16:BQ63,ROW(BQ16:BQ63),0,1),_xlfn.XLOOKUP(_xlpm.ai_test,BR16:BR63,ROW(BR16:BR63),0,1))),_xlpm.p,_xlpm.r-MIN(ROW(BP16:BP63))+1,_xlpm.f,INDEX(BS16:BS63,_xlpm.p),_xlpm.u,INDEX(BT16:BT63,_xlpm.p),_xlpm.s,INDEX(BV16:BV63,_xlpm.p),_xlpm.q,N(BA302)/_xlpm.f,IF(_xlpm.q&gt;=_xlpm.s,ROUND(_xlpm.q,1)&amp;" "&amp;_xlpm.ai_test&amp;" = "&amp;ROUND(_xlpm.q*_xlpm.f,1)&amp;" "&amp;_xlpm.u,ROUND(_xlpm.q,1)&amp;" "&amp;_xlpm.ai_test)),""),""))))</f>
        <v>0</v>
      </c>
      <c r="BD302" s="801"/>
      <c r="BE302" s="799" t="str">
        <f t="shared" si="129"/>
        <v/>
      </c>
      <c r="BF302" s="800" t="str">
        <f t="shared" si="130"/>
        <v/>
      </c>
      <c r="BG302" s="802">
        <f t="shared" si="133"/>
        <v>0</v>
      </c>
      <c r="BH302" s="803" t="str">
        <f t="shared" si="134"/>
        <v/>
      </c>
      <c r="BI302" s="792"/>
      <c r="BJ302" s="804">
        <f t="shared" si="132"/>
        <v>0</v>
      </c>
      <c r="BK302" s="794" t="str">
        <f t="shared" si="131"/>
        <v/>
      </c>
      <c r="BL302" s="227" t="s">
        <v>21</v>
      </c>
      <c r="BM302" s="773">
        <f t="shared" si="120"/>
        <v>0</v>
      </c>
      <c r="BN302" s="774">
        <f t="shared" si="121"/>
        <v>0</v>
      </c>
      <c r="BO302"/>
      <c r="BP302" s="627"/>
      <c r="BQ302" s="627"/>
      <c r="BR302" s="627"/>
      <c r="BS302" s="627"/>
      <c r="BT302" s="627"/>
      <c r="BU302" s="627"/>
      <c r="BV302" s="627"/>
      <c r="BW302" s="627"/>
      <c r="BX302"/>
      <c r="BY302"/>
      <c r="BZ302"/>
      <c r="CA302"/>
      <c r="CB302"/>
      <c r="CC302"/>
      <c r="CD302" s="781" t="str">
        <f t="shared" si="114"/>
        <v>►</v>
      </c>
      <c r="CE302"/>
      <c r="CF302"/>
      <c r="CG302"/>
      <c r="CH302"/>
      <c r="CI302"/>
      <c r="CK302"/>
      <c r="CL302"/>
      <c r="CM302"/>
      <c r="CN302"/>
      <c r="CO302"/>
      <c r="CP302"/>
      <c r="CQ302"/>
      <c r="CS302"/>
      <c r="CT302"/>
      <c r="CU302"/>
      <c r="CV302"/>
      <c r="CW302"/>
      <c r="CX302"/>
      <c r="CY302"/>
      <c r="DA302"/>
      <c r="DB302"/>
      <c r="DC302"/>
      <c r="DD302"/>
      <c r="DE302"/>
      <c r="DF302"/>
      <c r="DG302"/>
      <c r="DI302" s="3">
        <v>1</v>
      </c>
      <c r="DJ302" s="627"/>
      <c r="DK302" s="627"/>
    </row>
    <row r="303" spans="1:115" s="633" customFormat="1" ht="21" customHeight="1" thickBot="1">
      <c r="A303" s="701" t="s">
        <v>21</v>
      </c>
      <c r="B303" s="2265" t="str" cm="1">
        <f t="array" ref="B303">SUMPRODUCT(--(D303:J303&lt;&gt;""), LEN(TRIM(SUBSTITUTE(D303:J303, CHAR(160), "")))) &amp; " Car."</f>
        <v>0 Car.</v>
      </c>
      <c r="C303" s="1376" t="str">
        <f>IF(ISBLANK(D303),"",LARGE(C13:C302,1)+1)</f>
        <v/>
      </c>
      <c r="D303" s="1833"/>
      <c r="E303" s="1810"/>
      <c r="F303" s="1810"/>
      <c r="G303" s="1810"/>
      <c r="H303" s="1810"/>
      <c r="I303" s="1810"/>
      <c r="J303" s="1810"/>
      <c r="K303" s="1810"/>
      <c r="L303" s="1811"/>
      <c r="M303" s="9"/>
      <c r="N303" s="1216" t="str">
        <f t="shared" si="116"/>
        <v>►</v>
      </c>
      <c r="O303" s="1616"/>
      <c r="P303" s="9"/>
      <c r="Q303" s="25" t="s">
        <v>15</v>
      </c>
      <c r="R303" s="31"/>
      <c r="S303" s="32"/>
      <c r="T303" s="31"/>
      <c r="U303" s="33"/>
      <c r="V303" s="1967"/>
      <c r="W303" s="1805"/>
      <c r="X303" s="91"/>
      <c r="Y303" s="1806"/>
      <c r="Z303" s="1968"/>
      <c r="AA303" s="2244"/>
      <c r="AB303" s="1969"/>
      <c r="AC303" s="1365"/>
      <c r="AD303" s="95"/>
      <c r="AE303" s="1326"/>
      <c r="AF303" s="97"/>
      <c r="AG303" s="1737"/>
      <c r="AH303" s="1970"/>
      <c r="AI303" s="99"/>
      <c r="AJ303" s="1809"/>
      <c r="AK303" s="6120" t="str">
        <f t="shared" si="117"/>
        <v>►</v>
      </c>
      <c r="AL303" s="781" t="str">
        <f t="shared" si="119"/>
        <v>►</v>
      </c>
      <c r="AM303" s="5499" t="str">
        <f t="shared" si="122"/>
        <v/>
      </c>
      <c r="AN303" s="783" t="str">
        <f t="shared" si="123"/>
        <v/>
      </c>
      <c r="AO303" s="782" t="str">
        <f t="shared" si="124"/>
        <v/>
      </c>
      <c r="AP303" s="783" t="str">
        <f t="shared" si="125"/>
        <v/>
      </c>
      <c r="AQ303" s="2083" t="b">
        <f>AND(Q303="A",COUNTIF(BP16:BR63,TRIM(Z303))&gt;0)</f>
        <v>0</v>
      </c>
      <c r="AR303" s="797" t="str">
        <f>IF(AL303&lt;&gt;"A","",IFERROR(IFERROR(_xlfn.XLOOKUP(TRIM(SUBSTITUTE(Z303,CHAR(160)," ")),BP16:BP63,BS16:BS63),IFERROR(_xlfn.XLOOKUP(TRIM(SUBSTITUTE(Z303,CHAR(160)," ")),BQ16:BQ63,BS16:BS63),_xlfn.XLOOKUP(TRIM(SUBSTITUTE(Z303,CHAR(160)," ")),BR16:BR63,BS16:BS63)))*Y303*IF(ISBLANK(V303),1,V303),0))</f>
        <v/>
      </c>
      <c r="AS303" s="784" t="str">
        <f t="shared" si="115"/>
        <v/>
      </c>
      <c r="AT303" s="1315" t="str">
        <f t="shared" si="126"/>
        <v/>
      </c>
      <c r="AU303" s="785">
        <f t="shared" si="127"/>
        <v>0</v>
      </c>
      <c r="AV303" s="785">
        <f t="shared" si="128"/>
        <v>0</v>
      </c>
      <c r="AW303" s="786">
        <f>IF(AK303="A",AY10,0)</f>
        <v>0</v>
      </c>
      <c r="AX303" s="5495" t="str">
        <f>IF(IFERROR(SEARCH("Adresse PC",TRIM(W303)),0)&gt;0,"▼ receta siguiente",IF(AK303="A",IF(AZ10&lt;&gt;"",AZ10&amp;" - ou.or.o ❾ + or - &gt;",""),""))</f>
        <v/>
      </c>
      <c r="AY303" s="810"/>
      <c r="AZ303" s="810"/>
      <c r="BA303" s="788" t="str">
        <f t="shared" si="118"/>
        <v/>
      </c>
      <c r="BB303" s="789" t="str">
        <f>IF(AK303="A",IF(AQ303,IF(AND(AW303&lt;&gt;"",N(AW303)&gt;0),IFERROR(IFERROR(_xlfn.XLOOKUP(AP303,BP10:BP57,BT10:BT57),IFERROR(_xlfn.XLOOKUP(AP303,BQ10:BQ57,BT10:BT57),_xlfn.XLOOKUP(AP303,BR10:BR57,BT10:BT57,""))),""),""),""),"")</f>
        <v/>
      </c>
      <c r="BC303" s="811" cm="1">
        <f t="array" ref="BC303">IF(NOT(AQ303),0,IF(OR(BA303="",N(BA303)&lt;=0.000000001),"",IF(OR(AU303="",N(AU303)&lt;=0.000000001),0,IF(ISNUMBER(BA303),IFERROR(_xlfn.LET(_xlpm.ai_test,TRIM(AP303),_xlpm.r,IFERROR(_xlfn.XLOOKUP(_xlpm.ai_test,BP16:BP63,ROW(BP16:BP63),0,1),IFERROR(_xlfn.XLOOKUP(_xlpm.ai_test,BQ16:BQ63,ROW(BQ16:BQ63),0,1),_xlfn.XLOOKUP(_xlpm.ai_test,BR16:BR63,ROW(BR16:BR63),0,1))),_xlpm.p,_xlpm.r-MIN(ROW(BP16:BP63))+1,_xlpm.f,INDEX(BS16:BS63,_xlpm.p),_xlpm.u,INDEX(BT16:BT63,_xlpm.p),_xlpm.s,INDEX(BV16:BV63,_xlpm.p),_xlpm.q,N(BA303)/_xlpm.f,IF(_xlpm.q&gt;=_xlpm.s,ROUND(_xlpm.q,1)&amp;" "&amp;_xlpm.ai_test&amp;" = "&amp;ROUND(_xlpm.q*_xlpm.f,1)&amp;" "&amp;_xlpm.u,ROUND(_xlpm.q,1)&amp;" "&amp;_xlpm.ai_test)),""),""))))</f>
        <v>0</v>
      </c>
      <c r="BD303" s="801"/>
      <c r="BE303" s="788" t="str">
        <f t="shared" si="129"/>
        <v/>
      </c>
      <c r="BF303" s="789" t="str">
        <f t="shared" si="130"/>
        <v/>
      </c>
      <c r="BG303" s="790">
        <f t="shared" si="133"/>
        <v>0</v>
      </c>
      <c r="BH303" s="791" t="str">
        <f t="shared" si="134"/>
        <v/>
      </c>
      <c r="BI303" s="792"/>
      <c r="BJ303" s="793">
        <f t="shared" si="132"/>
        <v>0</v>
      </c>
      <c r="BK303" s="794" t="str">
        <f t="shared" si="131"/>
        <v/>
      </c>
      <c r="BL303" s="227" t="s">
        <v>21</v>
      </c>
      <c r="BM303" s="773">
        <f t="shared" si="120"/>
        <v>0</v>
      </c>
      <c r="BN303" s="774">
        <f t="shared" si="121"/>
        <v>0</v>
      </c>
      <c r="BO303"/>
      <c r="BP303" s="627"/>
      <c r="BQ303" s="627"/>
      <c r="BR303" s="627"/>
      <c r="BS303" s="627"/>
      <c r="BT303" s="627"/>
      <c r="BU303" s="627"/>
      <c r="BV303" s="627"/>
      <c r="BW303" s="627"/>
      <c r="BX303"/>
      <c r="BY303"/>
      <c r="BZ303"/>
      <c r="CA303"/>
      <c r="CB303"/>
      <c r="CC303"/>
      <c r="CD303" s="781" t="str">
        <f t="shared" si="114"/>
        <v>►</v>
      </c>
      <c r="CE303"/>
      <c r="CF303"/>
      <c r="CG303"/>
      <c r="CH303"/>
      <c r="CI303"/>
      <c r="CK303"/>
      <c r="CL303"/>
      <c r="CM303"/>
      <c r="CN303"/>
      <c r="CO303"/>
      <c r="CP303"/>
      <c r="CQ303"/>
      <c r="CS303"/>
      <c r="CT303"/>
      <c r="CU303"/>
      <c r="CV303"/>
      <c r="CW303"/>
      <c r="CX303"/>
      <c r="CY303"/>
      <c r="DA303"/>
      <c r="DB303"/>
      <c r="DC303"/>
      <c r="DD303"/>
      <c r="DE303"/>
      <c r="DF303"/>
      <c r="DG303"/>
      <c r="DI303" s="3">
        <v>1</v>
      </c>
      <c r="DJ303" s="627"/>
      <c r="DK303" s="627"/>
    </row>
    <row r="304" spans="1:115" s="633" customFormat="1" ht="21" customHeight="1">
      <c r="A304" s="701" t="s">
        <v>21</v>
      </c>
      <c r="B304" s="2265" t="str" cm="1">
        <f t="array" ref="B304">SUMPRODUCT(--(D304:J304&lt;&gt;""), LEN(TRIM(SUBSTITUTE(D304:J304, CHAR(160), "")))) &amp; " Car."</f>
        <v>0 Car.</v>
      </c>
      <c r="C304" s="1376" t="str">
        <f>IF(ISBLANK(D304),"",LARGE(C13:C303,1)+1)</f>
        <v/>
      </c>
      <c r="D304" s="1833"/>
      <c r="E304" s="1810"/>
      <c r="F304" s="1810"/>
      <c r="G304" s="1810"/>
      <c r="H304" s="1810"/>
      <c r="I304" s="1810"/>
      <c r="J304" s="1810"/>
      <c r="K304" s="1810"/>
      <c r="L304" s="1811"/>
      <c r="M304" s="9"/>
      <c r="N304" s="2072" t="str">
        <f t="shared" si="116"/>
        <v>►</v>
      </c>
      <c r="O304" s="1616"/>
      <c r="P304" s="9"/>
      <c r="Q304" s="25" t="s">
        <v>15</v>
      </c>
      <c r="R304" s="31"/>
      <c r="S304" s="32"/>
      <c r="T304" s="31"/>
      <c r="U304" s="33"/>
      <c r="V304" s="1967"/>
      <c r="W304" s="1805"/>
      <c r="X304" s="91"/>
      <c r="Y304" s="1806"/>
      <c r="Z304" s="1968"/>
      <c r="AA304" s="2244"/>
      <c r="AB304" s="1969"/>
      <c r="AC304" s="1365"/>
      <c r="AD304" s="95"/>
      <c r="AE304" s="1326"/>
      <c r="AF304" s="97"/>
      <c r="AG304" s="1737"/>
      <c r="AH304" s="1970"/>
      <c r="AI304" s="99"/>
      <c r="AJ304" s="1809"/>
      <c r="AK304" s="6120" t="str">
        <f t="shared" si="117"/>
        <v>►</v>
      </c>
      <c r="AL304" s="781" t="str">
        <f t="shared" si="119"/>
        <v>►</v>
      </c>
      <c r="AM304" s="5498" t="str">
        <f t="shared" si="122"/>
        <v/>
      </c>
      <c r="AN304" s="783" t="str">
        <f t="shared" si="123"/>
        <v/>
      </c>
      <c r="AO304" s="782" t="str">
        <f t="shared" si="124"/>
        <v/>
      </c>
      <c r="AP304" s="783" t="str">
        <f t="shared" si="125"/>
        <v/>
      </c>
      <c r="AQ304" s="2083" t="b">
        <f>AND(Q304="A",COUNTIF(BP16:BR63,TRIM(Z304))&gt;0)</f>
        <v>0</v>
      </c>
      <c r="AR304" s="797" t="str">
        <f>IF(AL304&lt;&gt;"A","",IFERROR(IFERROR(_xlfn.XLOOKUP(TRIM(SUBSTITUTE(Z304,CHAR(160)," ")),BP16:BP63,BS16:BS63),IFERROR(_xlfn.XLOOKUP(TRIM(SUBSTITUTE(Z304,CHAR(160)," ")),BQ16:BQ63,BS16:BS63),_xlfn.XLOOKUP(TRIM(SUBSTITUTE(Z304,CHAR(160)," ")),BR16:BR63,BS16:BS63)))*Y304*IF(ISBLANK(V304),1,V304),0))</f>
        <v/>
      </c>
      <c r="AS304" s="784" t="str">
        <f t="shared" si="115"/>
        <v/>
      </c>
      <c r="AT304" s="1315" t="str">
        <f t="shared" si="126"/>
        <v/>
      </c>
      <c r="AU304" s="785">
        <f t="shared" si="127"/>
        <v>0</v>
      </c>
      <c r="AV304" s="785">
        <f t="shared" si="128"/>
        <v>0</v>
      </c>
      <c r="AW304" s="798">
        <f>IF(AK304="A",AY10,0)</f>
        <v>0</v>
      </c>
      <c r="AX304" s="5496" t="str">
        <f>IF(IFERROR(SEARCH("Adresse PC",TRIM(W304)),0)&gt;0,"▼ receta siguiente",IF(AK304="A",IF(AZ10&lt;&gt;"",AZ10&amp;" - ou.or.o ❾ + or - &gt;",""),""))</f>
        <v/>
      </c>
      <c r="AY304" s="810"/>
      <c r="AZ304" s="810"/>
      <c r="BA304" s="799" t="str">
        <f t="shared" si="118"/>
        <v/>
      </c>
      <c r="BB304" s="800" t="str">
        <f>IF(AK304="A",IF(AQ304,IF(AND(AW304&lt;&gt;"",N(AW304)&gt;0),IFERROR(IFERROR(_xlfn.XLOOKUP(AP304,BP10:BP57,BT10:BT57),IFERROR(_xlfn.XLOOKUP(AP304,BQ10:BQ57,BT10:BT57),_xlfn.XLOOKUP(AP304,BR10:BR57,BT10:BT57,""))),""),""),""),"")</f>
        <v/>
      </c>
      <c r="BC304" s="813" cm="1">
        <f t="array" ref="BC304">IF(NOT(AQ304),0,IF(OR(BA304="",N(BA304)&lt;=0.000000001),"",IF(OR(AU304="",N(AU304)&lt;=0.000000001),0,IF(ISNUMBER(BA304),IFERROR(_xlfn.LET(_xlpm.ai_test,TRIM(AP304),_xlpm.r,IFERROR(_xlfn.XLOOKUP(_xlpm.ai_test,BP16:BP63,ROW(BP16:BP63),0,1),IFERROR(_xlfn.XLOOKUP(_xlpm.ai_test,BQ16:BQ63,ROW(BQ16:BQ63),0,1),_xlfn.XLOOKUP(_xlpm.ai_test,BR16:BR63,ROW(BR16:BR63),0,1))),_xlpm.p,_xlpm.r-MIN(ROW(BP16:BP63))+1,_xlpm.f,INDEX(BS16:BS63,_xlpm.p),_xlpm.u,INDEX(BT16:BT63,_xlpm.p),_xlpm.s,INDEX(BV16:BV63,_xlpm.p),_xlpm.q,N(BA304)/_xlpm.f,IF(_xlpm.q&gt;=_xlpm.s,ROUND(_xlpm.q,1)&amp;" "&amp;_xlpm.ai_test&amp;" = "&amp;ROUND(_xlpm.q*_xlpm.f,1)&amp;" "&amp;_xlpm.u,ROUND(_xlpm.q,1)&amp;" "&amp;_xlpm.ai_test)),""),""))))</f>
        <v>0</v>
      </c>
      <c r="BD304" s="801"/>
      <c r="BE304" s="799" t="str">
        <f t="shared" si="129"/>
        <v/>
      </c>
      <c r="BF304" s="800" t="str">
        <f t="shared" si="130"/>
        <v/>
      </c>
      <c r="BG304" s="802">
        <f t="shared" si="133"/>
        <v>0</v>
      </c>
      <c r="BH304" s="803" t="str">
        <f t="shared" si="134"/>
        <v/>
      </c>
      <c r="BI304" s="792"/>
      <c r="BJ304" s="804">
        <f t="shared" si="132"/>
        <v>0</v>
      </c>
      <c r="BK304" s="794" t="str">
        <f t="shared" si="131"/>
        <v/>
      </c>
      <c r="BL304" s="227" t="s">
        <v>21</v>
      </c>
      <c r="BM304" s="773">
        <f t="shared" si="120"/>
        <v>0</v>
      </c>
      <c r="BN304" s="774">
        <f t="shared" si="121"/>
        <v>0</v>
      </c>
      <c r="BO304"/>
      <c r="BP304" s="627"/>
      <c r="BQ304" s="627"/>
      <c r="BR304" s="627"/>
      <c r="BS304" s="627"/>
      <c r="BT304" s="627"/>
      <c r="BU304" s="627"/>
      <c r="BV304" s="627"/>
      <c r="BW304" s="627"/>
      <c r="BX304"/>
      <c r="BY304"/>
      <c r="BZ304"/>
      <c r="CA304"/>
      <c r="CB304"/>
      <c r="CC304"/>
      <c r="CD304" s="781" t="str">
        <f t="shared" si="114"/>
        <v>►</v>
      </c>
      <c r="CE304"/>
      <c r="CF304"/>
      <c r="CG304"/>
      <c r="CH304"/>
      <c r="CI304"/>
      <c r="CK304"/>
      <c r="CL304"/>
      <c r="CM304"/>
      <c r="CN304"/>
      <c r="CO304"/>
      <c r="CP304"/>
      <c r="CQ304"/>
      <c r="CS304"/>
      <c r="CT304"/>
      <c r="CU304"/>
      <c r="CV304"/>
      <c r="CW304"/>
      <c r="CX304"/>
      <c r="CY304"/>
      <c r="DA304"/>
      <c r="DB304"/>
      <c r="DC304"/>
      <c r="DD304"/>
      <c r="DE304"/>
      <c r="DF304"/>
      <c r="DG304"/>
      <c r="DI304" s="3">
        <v>1</v>
      </c>
      <c r="DJ304" s="627"/>
      <c r="DK304" s="627"/>
    </row>
    <row r="305" spans="1:115" s="633" customFormat="1" ht="21" customHeight="1">
      <c r="A305" s="701" t="s">
        <v>21</v>
      </c>
      <c r="B305" s="2265" t="str" cm="1">
        <f t="array" ref="B305">SUMPRODUCT(--(D305:J305&lt;&gt;""), LEN(TRIM(SUBSTITUTE(D305:J305, CHAR(160), "")))) &amp; " Car."</f>
        <v>0 Car.</v>
      </c>
      <c r="C305" s="1376" t="str">
        <f>IF(ISBLANK(D305),"",LARGE(C13:C304,1)+1)</f>
        <v/>
      </c>
      <c r="D305" s="1833"/>
      <c r="E305" s="1810"/>
      <c r="F305" s="1810"/>
      <c r="G305" s="1810"/>
      <c r="H305" s="1810"/>
      <c r="I305" s="1810"/>
      <c r="J305" s="1810"/>
      <c r="K305" s="1810"/>
      <c r="L305" s="1811"/>
      <c r="M305" s="9"/>
      <c r="N305" s="103" t="str">
        <f t="shared" si="116"/>
        <v>►</v>
      </c>
      <c r="O305" s="1616"/>
      <c r="P305" s="9"/>
      <c r="Q305" s="25" t="s">
        <v>15</v>
      </c>
      <c r="R305" s="31"/>
      <c r="S305" s="32"/>
      <c r="T305" s="31"/>
      <c r="U305" s="33"/>
      <c r="V305" s="1967"/>
      <c r="W305" s="1805"/>
      <c r="X305" s="91"/>
      <c r="Y305" s="1806"/>
      <c r="Z305" s="1968"/>
      <c r="AA305" s="2244"/>
      <c r="AB305" s="1969"/>
      <c r="AC305" s="1365"/>
      <c r="AD305" s="95"/>
      <c r="AE305" s="1326"/>
      <c r="AF305" s="97"/>
      <c r="AG305" s="1737"/>
      <c r="AH305" s="1970"/>
      <c r="AI305" s="99"/>
      <c r="AJ305" s="1809"/>
      <c r="AK305" s="6120" t="str">
        <f t="shared" si="117"/>
        <v>►</v>
      </c>
      <c r="AL305" s="781" t="str">
        <f t="shared" si="119"/>
        <v>►</v>
      </c>
      <c r="AM305" s="5499" t="str">
        <f t="shared" si="122"/>
        <v/>
      </c>
      <c r="AN305" s="783" t="str">
        <f t="shared" si="123"/>
        <v/>
      </c>
      <c r="AO305" s="782" t="str">
        <f t="shared" si="124"/>
        <v/>
      </c>
      <c r="AP305" s="783" t="str">
        <f t="shared" si="125"/>
        <v/>
      </c>
      <c r="AQ305" s="2083" t="b">
        <f>AND(Q305="A",COUNTIF(BP16:BR63,TRIM(Z305))&gt;0)</f>
        <v>0</v>
      </c>
      <c r="AR305" s="797" t="str">
        <f>IF(AL305&lt;&gt;"A","",IFERROR(IFERROR(_xlfn.XLOOKUP(TRIM(SUBSTITUTE(Z305,CHAR(160)," ")),BP16:BP63,BS16:BS63),IFERROR(_xlfn.XLOOKUP(TRIM(SUBSTITUTE(Z305,CHAR(160)," ")),BQ16:BQ63,BS16:BS63),_xlfn.XLOOKUP(TRIM(SUBSTITUTE(Z305,CHAR(160)," ")),BR16:BR63,BS16:BS63)))*Y305*IF(ISBLANK(V305),1,V305),0))</f>
        <v/>
      </c>
      <c r="AS305" s="784" t="str">
        <f t="shared" si="115"/>
        <v/>
      </c>
      <c r="AT305" s="1315" t="str">
        <f t="shared" si="126"/>
        <v/>
      </c>
      <c r="AU305" s="785">
        <f t="shared" si="127"/>
        <v>0</v>
      </c>
      <c r="AV305" s="785">
        <f t="shared" si="128"/>
        <v>0</v>
      </c>
      <c r="AW305" s="786">
        <f>IF(AK305="A",AY10,0)</f>
        <v>0</v>
      </c>
      <c r="AX305" s="5495" t="str">
        <f>IF(IFERROR(SEARCH("Adresse PC",TRIM(W305)),0)&gt;0,"▼ receta siguiente",IF(AK305="A",IF(AZ10&lt;&gt;"",AZ10&amp;" - ou.or.o ❾ + or - &gt;",""),""))</f>
        <v/>
      </c>
      <c r="AY305" s="810"/>
      <c r="AZ305" s="810"/>
      <c r="BA305" s="788" t="str">
        <f t="shared" si="118"/>
        <v/>
      </c>
      <c r="BB305" s="789" t="str">
        <f>IF(AK305="A",IF(AQ305,IF(AND(AW305&lt;&gt;"",N(AW305)&gt;0),IFERROR(IFERROR(_xlfn.XLOOKUP(AP305,BP10:BP57,BT10:BT57),IFERROR(_xlfn.XLOOKUP(AP305,BQ10:BQ57,BT10:BT57),_xlfn.XLOOKUP(AP305,BR10:BR57,BT10:BT57,""))),""),""),""),"")</f>
        <v/>
      </c>
      <c r="BC305" s="811" cm="1">
        <f t="array" ref="BC305">IF(NOT(AQ305),0,IF(OR(BA305="",N(BA305)&lt;=0.000000001),"",IF(OR(AU305="",N(AU305)&lt;=0.000000001),0,IF(ISNUMBER(BA305),IFERROR(_xlfn.LET(_xlpm.ai_test,TRIM(AP305),_xlpm.r,IFERROR(_xlfn.XLOOKUP(_xlpm.ai_test,BP16:BP63,ROW(BP16:BP63),0,1),IFERROR(_xlfn.XLOOKUP(_xlpm.ai_test,BQ16:BQ63,ROW(BQ16:BQ63),0,1),_xlfn.XLOOKUP(_xlpm.ai_test,BR16:BR63,ROW(BR16:BR63),0,1))),_xlpm.p,_xlpm.r-MIN(ROW(BP16:BP63))+1,_xlpm.f,INDEX(BS16:BS63,_xlpm.p),_xlpm.u,INDEX(BT16:BT63,_xlpm.p),_xlpm.s,INDEX(BV16:BV63,_xlpm.p),_xlpm.q,N(BA305)/_xlpm.f,IF(_xlpm.q&gt;=_xlpm.s,ROUND(_xlpm.q,1)&amp;" "&amp;_xlpm.ai_test&amp;" = "&amp;ROUND(_xlpm.q*_xlpm.f,1)&amp;" "&amp;_xlpm.u,ROUND(_xlpm.q,1)&amp;" "&amp;_xlpm.ai_test)),""),""))))</f>
        <v>0</v>
      </c>
      <c r="BD305" s="801"/>
      <c r="BE305" s="788" t="str">
        <f t="shared" si="129"/>
        <v/>
      </c>
      <c r="BF305" s="789" t="str">
        <f t="shared" si="130"/>
        <v/>
      </c>
      <c r="BG305" s="790">
        <f t="shared" si="133"/>
        <v>0</v>
      </c>
      <c r="BH305" s="791" t="str">
        <f t="shared" si="134"/>
        <v/>
      </c>
      <c r="BI305" s="792"/>
      <c r="BJ305" s="793">
        <f t="shared" si="132"/>
        <v>0</v>
      </c>
      <c r="BK305" s="794" t="str">
        <f t="shared" si="131"/>
        <v/>
      </c>
      <c r="BL305" s="227" t="s">
        <v>21</v>
      </c>
      <c r="BM305" s="773">
        <f t="shared" si="120"/>
        <v>0</v>
      </c>
      <c r="BN305" s="774">
        <f t="shared" si="121"/>
        <v>0</v>
      </c>
      <c r="BO305"/>
      <c r="BP305" s="627"/>
      <c r="BQ305" s="627"/>
      <c r="BR305" s="627"/>
      <c r="BS305" s="627"/>
      <c r="BT305" s="627"/>
      <c r="BU305" s="627"/>
      <c r="BV305" s="627"/>
      <c r="BW305" s="627"/>
      <c r="BX305"/>
      <c r="BY305"/>
      <c r="BZ305"/>
      <c r="CA305"/>
      <c r="CB305"/>
      <c r="CC305"/>
      <c r="CD305" s="781" t="str">
        <f t="shared" si="114"/>
        <v>►</v>
      </c>
      <c r="CE305"/>
      <c r="CF305"/>
      <c r="CG305"/>
      <c r="CH305"/>
      <c r="CI305"/>
      <c r="CK305"/>
      <c r="CL305"/>
      <c r="CM305"/>
      <c r="CN305"/>
      <c r="CO305"/>
      <c r="CP305"/>
      <c r="CQ305"/>
      <c r="CS305"/>
      <c r="CT305"/>
      <c r="CU305"/>
      <c r="CV305"/>
      <c r="CW305"/>
      <c r="CX305"/>
      <c r="CY305"/>
      <c r="DA305"/>
      <c r="DB305"/>
      <c r="DC305"/>
      <c r="DD305"/>
      <c r="DE305"/>
      <c r="DF305"/>
      <c r="DG305"/>
      <c r="DI305" s="3">
        <v>1</v>
      </c>
      <c r="DJ305" s="627"/>
      <c r="DK305" s="627"/>
    </row>
    <row r="306" spans="1:115" s="633" customFormat="1" ht="21" customHeight="1">
      <c r="A306" s="701" t="s">
        <v>21</v>
      </c>
      <c r="B306" s="2265" t="str" cm="1">
        <f t="array" ref="B306">SUMPRODUCT(--(D306:J306&lt;&gt;""), LEN(TRIM(SUBSTITUTE(D306:J306, CHAR(160), "")))) &amp; " Car."</f>
        <v>0 Car.</v>
      </c>
      <c r="C306" s="1376" t="str">
        <f>IF(ISBLANK(D306),"",LARGE(C13:C305,1)+1)</f>
        <v/>
      </c>
      <c r="D306" s="1833"/>
      <c r="E306" s="1810"/>
      <c r="F306" s="1810"/>
      <c r="G306" s="1810"/>
      <c r="H306" s="1810"/>
      <c r="I306" s="1810"/>
      <c r="J306" s="1810"/>
      <c r="K306" s="1810"/>
      <c r="L306" s="1811"/>
      <c r="M306" s="9"/>
      <c r="N306" s="103" t="str">
        <f t="shared" si="116"/>
        <v>►</v>
      </c>
      <c r="O306" s="1616"/>
      <c r="P306" s="9"/>
      <c r="Q306" s="25" t="s">
        <v>15</v>
      </c>
      <c r="R306" s="31"/>
      <c r="S306" s="32"/>
      <c r="T306" s="31"/>
      <c r="U306" s="33"/>
      <c r="V306" s="1967"/>
      <c r="W306" s="1805"/>
      <c r="X306" s="91"/>
      <c r="Y306" s="1806"/>
      <c r="Z306" s="1968"/>
      <c r="AA306" s="2244"/>
      <c r="AB306" s="1969"/>
      <c r="AC306" s="1365"/>
      <c r="AD306" s="95"/>
      <c r="AE306" s="1326"/>
      <c r="AF306" s="97"/>
      <c r="AG306" s="1737"/>
      <c r="AH306" s="1970"/>
      <c r="AI306" s="99"/>
      <c r="AJ306" s="1809"/>
      <c r="AK306" s="6120" t="str">
        <f t="shared" si="117"/>
        <v>►</v>
      </c>
      <c r="AL306" s="781" t="str">
        <f t="shared" si="119"/>
        <v>►</v>
      </c>
      <c r="AM306" s="5498" t="str">
        <f t="shared" si="122"/>
        <v/>
      </c>
      <c r="AN306" s="783" t="str">
        <f t="shared" si="123"/>
        <v/>
      </c>
      <c r="AO306" s="782" t="str">
        <f t="shared" si="124"/>
        <v/>
      </c>
      <c r="AP306" s="783" t="str">
        <f t="shared" si="125"/>
        <v/>
      </c>
      <c r="AQ306" s="2083" t="b">
        <f>AND(Q306="A",COUNTIF(BP16:BR63,TRIM(Z306))&gt;0)</f>
        <v>0</v>
      </c>
      <c r="AR306" s="797" t="str">
        <f>IF(AL306&lt;&gt;"A","",IFERROR(IFERROR(_xlfn.XLOOKUP(TRIM(SUBSTITUTE(Z306,CHAR(160)," ")),BP16:BP63,BS16:BS63),IFERROR(_xlfn.XLOOKUP(TRIM(SUBSTITUTE(Z306,CHAR(160)," ")),BQ16:BQ63,BS16:BS63),_xlfn.XLOOKUP(TRIM(SUBSTITUTE(Z306,CHAR(160)," ")),BR16:BR63,BS16:BS63)))*Y306*IF(ISBLANK(V306),1,V306),0))</f>
        <v/>
      </c>
      <c r="AS306" s="784" t="str">
        <f t="shared" si="115"/>
        <v/>
      </c>
      <c r="AT306" s="1315" t="str">
        <f t="shared" si="126"/>
        <v/>
      </c>
      <c r="AU306" s="785">
        <f t="shared" si="127"/>
        <v>0</v>
      </c>
      <c r="AV306" s="785">
        <f t="shared" si="128"/>
        <v>0</v>
      </c>
      <c r="AW306" s="798">
        <f>IF(AK306="A",AY10,0)</f>
        <v>0</v>
      </c>
      <c r="AX306" s="5496" t="str">
        <f>IF(IFERROR(SEARCH("Adresse PC",TRIM(W306)),0)&gt;0,"▼ receta siguiente",IF(AK306="A",IF(AZ10&lt;&gt;"",AZ10&amp;" - ou.or.o ❾ + or - &gt;",""),""))</f>
        <v/>
      </c>
      <c r="AY306" s="810"/>
      <c r="AZ306" s="810"/>
      <c r="BA306" s="799" t="str">
        <f t="shared" si="118"/>
        <v/>
      </c>
      <c r="BB306" s="800" t="str">
        <f>IF(AK306="A",IF(AQ306,IF(AND(AW306&lt;&gt;"",N(AW306)&gt;0),IFERROR(IFERROR(_xlfn.XLOOKUP(AP306,BP10:BP57,BT10:BT57),IFERROR(_xlfn.XLOOKUP(AP306,BQ10:BQ57,BT10:BT57),_xlfn.XLOOKUP(AP306,BR10:BR57,BT10:BT57,""))),""),""),""),"")</f>
        <v/>
      </c>
      <c r="BC306" s="813" cm="1">
        <f t="array" ref="BC306">IF(NOT(AQ306),0,IF(OR(BA306="",N(BA306)&lt;=0.000000001),"",IF(OR(AU306="",N(AU306)&lt;=0.000000001),0,IF(ISNUMBER(BA306),IFERROR(_xlfn.LET(_xlpm.ai_test,TRIM(AP306),_xlpm.r,IFERROR(_xlfn.XLOOKUP(_xlpm.ai_test,BP16:BP63,ROW(BP16:BP63),0,1),IFERROR(_xlfn.XLOOKUP(_xlpm.ai_test,BQ16:BQ63,ROW(BQ16:BQ63),0,1),_xlfn.XLOOKUP(_xlpm.ai_test,BR16:BR63,ROW(BR16:BR63),0,1))),_xlpm.p,_xlpm.r-MIN(ROW(BP16:BP63))+1,_xlpm.f,INDEX(BS16:BS63,_xlpm.p),_xlpm.u,INDEX(BT16:BT63,_xlpm.p),_xlpm.s,INDEX(BV16:BV63,_xlpm.p),_xlpm.q,N(BA306)/_xlpm.f,IF(_xlpm.q&gt;=_xlpm.s,ROUND(_xlpm.q,1)&amp;" "&amp;_xlpm.ai_test&amp;" = "&amp;ROUND(_xlpm.q*_xlpm.f,1)&amp;" "&amp;_xlpm.u,ROUND(_xlpm.q,1)&amp;" "&amp;_xlpm.ai_test)),""),""))))</f>
        <v>0</v>
      </c>
      <c r="BD306" s="801"/>
      <c r="BE306" s="799" t="str">
        <f t="shared" si="129"/>
        <v/>
      </c>
      <c r="BF306" s="800" t="str">
        <f t="shared" si="130"/>
        <v/>
      </c>
      <c r="BG306" s="802">
        <f t="shared" si="133"/>
        <v>0</v>
      </c>
      <c r="BH306" s="803" t="str">
        <f t="shared" si="134"/>
        <v/>
      </c>
      <c r="BI306" s="792"/>
      <c r="BJ306" s="804">
        <f t="shared" si="132"/>
        <v>0</v>
      </c>
      <c r="BK306" s="794" t="str">
        <f t="shared" si="131"/>
        <v/>
      </c>
      <c r="BL306" s="227" t="s">
        <v>21</v>
      </c>
      <c r="BM306" s="773">
        <f t="shared" si="120"/>
        <v>0</v>
      </c>
      <c r="BN306" s="774">
        <f t="shared" si="121"/>
        <v>0</v>
      </c>
      <c r="BO306"/>
      <c r="BP306" s="627"/>
      <c r="BQ306" s="627"/>
      <c r="BR306" s="627"/>
      <c r="BS306" s="627"/>
      <c r="BT306" s="627"/>
      <c r="BU306" s="627"/>
      <c r="BV306" s="627"/>
      <c r="BW306" s="627"/>
      <c r="BX306"/>
      <c r="BY306"/>
      <c r="BZ306"/>
      <c r="CA306"/>
      <c r="CB306"/>
      <c r="CC306"/>
      <c r="CD306" s="781" t="str">
        <f t="shared" si="114"/>
        <v>►</v>
      </c>
      <c r="CE306"/>
      <c r="CF306"/>
      <c r="CG306"/>
      <c r="CH306"/>
      <c r="CI306"/>
      <c r="CK306"/>
      <c r="CL306"/>
      <c r="CM306"/>
      <c r="CN306"/>
      <c r="CO306"/>
      <c r="CP306"/>
      <c r="CQ306"/>
      <c r="CS306"/>
      <c r="CT306"/>
      <c r="CU306"/>
      <c r="CV306"/>
      <c r="CW306"/>
      <c r="CX306"/>
      <c r="CY306"/>
      <c r="DA306"/>
      <c r="DB306"/>
      <c r="DC306"/>
      <c r="DD306"/>
      <c r="DE306"/>
      <c r="DF306"/>
      <c r="DG306"/>
      <c r="DI306" s="3">
        <v>1</v>
      </c>
      <c r="DJ306" s="627"/>
      <c r="DK306" s="627"/>
    </row>
    <row r="307" spans="1:115" s="633" customFormat="1" ht="21" customHeight="1">
      <c r="A307" s="701" t="s">
        <v>21</v>
      </c>
      <c r="B307" s="2265" t="str" cm="1">
        <f t="array" ref="B307">SUMPRODUCT(--(D307:J307&lt;&gt;""), LEN(TRIM(SUBSTITUTE(D307:J307, CHAR(160), "")))) &amp; " Car."</f>
        <v>0 Car.</v>
      </c>
      <c r="C307" s="1376" t="str">
        <f>IF(ISBLANK(D307),"",LARGE(C13:C306,1)+1)</f>
        <v/>
      </c>
      <c r="D307" s="1833"/>
      <c r="E307" s="1810"/>
      <c r="F307" s="1810"/>
      <c r="G307" s="1810"/>
      <c r="H307" s="1810"/>
      <c r="I307" s="1810"/>
      <c r="J307" s="1810"/>
      <c r="K307" s="1810"/>
      <c r="L307" s="1811"/>
      <c r="M307" s="9"/>
      <c r="N307" s="103" t="str">
        <f t="shared" si="116"/>
        <v>►</v>
      </c>
      <c r="O307" s="1616"/>
      <c r="P307" s="9"/>
      <c r="Q307" s="25" t="s">
        <v>15</v>
      </c>
      <c r="R307" s="31"/>
      <c r="S307" s="32"/>
      <c r="T307" s="31"/>
      <c r="U307" s="33"/>
      <c r="V307" s="1967"/>
      <c r="W307" s="1805"/>
      <c r="X307" s="91"/>
      <c r="Y307" s="1806"/>
      <c r="Z307" s="1968"/>
      <c r="AA307" s="2244"/>
      <c r="AB307" s="1969"/>
      <c r="AC307" s="1365"/>
      <c r="AD307" s="95"/>
      <c r="AE307" s="1326"/>
      <c r="AF307" s="97"/>
      <c r="AG307" s="1737"/>
      <c r="AH307" s="1970"/>
      <c r="AI307" s="99"/>
      <c r="AJ307" s="1809"/>
      <c r="AK307" s="6120" t="str">
        <f t="shared" si="117"/>
        <v>►</v>
      </c>
      <c r="AL307" s="781" t="str">
        <f t="shared" si="119"/>
        <v>►</v>
      </c>
      <c r="AM307" s="5499" t="str">
        <f t="shared" si="122"/>
        <v/>
      </c>
      <c r="AN307" s="783" t="str">
        <f t="shared" si="123"/>
        <v/>
      </c>
      <c r="AO307" s="782" t="str">
        <f t="shared" si="124"/>
        <v/>
      </c>
      <c r="AP307" s="783" t="str">
        <f t="shared" si="125"/>
        <v/>
      </c>
      <c r="AQ307" s="2083" t="b">
        <f>AND(Q307="A",COUNTIF(BP16:BR63,TRIM(Z307))&gt;0)</f>
        <v>0</v>
      </c>
      <c r="AR307" s="797" t="str">
        <f>IF(AL307&lt;&gt;"A","",IFERROR(IFERROR(_xlfn.XLOOKUP(TRIM(SUBSTITUTE(Z307,CHAR(160)," ")),BP16:BP63,BS16:BS63),IFERROR(_xlfn.XLOOKUP(TRIM(SUBSTITUTE(Z307,CHAR(160)," ")),BQ16:BQ63,BS16:BS63),_xlfn.XLOOKUP(TRIM(SUBSTITUTE(Z307,CHAR(160)," ")),BR16:BR63,BS16:BS63)))*Y307*IF(ISBLANK(V307),1,V307),0))</f>
        <v/>
      </c>
      <c r="AS307" s="784" t="str">
        <f t="shared" si="115"/>
        <v/>
      </c>
      <c r="AT307" s="1315" t="str">
        <f t="shared" si="126"/>
        <v/>
      </c>
      <c r="AU307" s="785">
        <f t="shared" si="127"/>
        <v>0</v>
      </c>
      <c r="AV307" s="785">
        <f t="shared" si="128"/>
        <v>0</v>
      </c>
      <c r="AW307" s="786">
        <f>IF(AK307="A",AY10,0)</f>
        <v>0</v>
      </c>
      <c r="AX307" s="5495" t="str">
        <f>IF(IFERROR(SEARCH("Adresse PC",TRIM(W307)),0)&gt;0,"▼ receta siguiente",IF(AK307="A",IF(AZ10&lt;&gt;"",AZ10&amp;" - ou.or.o ❾ + or - &gt;",""),""))</f>
        <v/>
      </c>
      <c r="AY307" s="810"/>
      <c r="AZ307" s="810"/>
      <c r="BA307" s="788" t="str">
        <f t="shared" si="118"/>
        <v/>
      </c>
      <c r="BB307" s="789" t="str">
        <f>IF(AK307="A",IF(AQ307,IF(AND(AW307&lt;&gt;"",N(AW307)&gt;0),IFERROR(IFERROR(_xlfn.XLOOKUP(AP307,BP10:BP57,BT10:BT57),IFERROR(_xlfn.XLOOKUP(AP307,BQ10:BQ57,BT10:BT57),_xlfn.XLOOKUP(AP307,BR10:BR57,BT10:BT57,""))),""),""),""),"")</f>
        <v/>
      </c>
      <c r="BC307" s="811" cm="1">
        <f t="array" ref="BC307">IF(NOT(AQ307),0,IF(OR(BA307="",N(BA307)&lt;=0.000000001),"",IF(OR(AU307="",N(AU307)&lt;=0.000000001),0,IF(ISNUMBER(BA307),IFERROR(_xlfn.LET(_xlpm.ai_test,TRIM(AP307),_xlpm.r,IFERROR(_xlfn.XLOOKUP(_xlpm.ai_test,BP16:BP63,ROW(BP16:BP63),0,1),IFERROR(_xlfn.XLOOKUP(_xlpm.ai_test,BQ16:BQ63,ROW(BQ16:BQ63),0,1),_xlfn.XLOOKUP(_xlpm.ai_test,BR16:BR63,ROW(BR16:BR63),0,1))),_xlpm.p,_xlpm.r-MIN(ROW(BP16:BP63))+1,_xlpm.f,INDEX(BS16:BS63,_xlpm.p),_xlpm.u,INDEX(BT16:BT63,_xlpm.p),_xlpm.s,INDEX(BV16:BV63,_xlpm.p),_xlpm.q,N(BA307)/_xlpm.f,IF(_xlpm.q&gt;=_xlpm.s,ROUND(_xlpm.q,1)&amp;" "&amp;_xlpm.ai_test&amp;" = "&amp;ROUND(_xlpm.q*_xlpm.f,1)&amp;" "&amp;_xlpm.u,ROUND(_xlpm.q,1)&amp;" "&amp;_xlpm.ai_test)),""),""))))</f>
        <v>0</v>
      </c>
      <c r="BD307" s="801"/>
      <c r="BE307" s="788" t="str">
        <f t="shared" si="129"/>
        <v/>
      </c>
      <c r="BF307" s="789" t="str">
        <f t="shared" si="130"/>
        <v/>
      </c>
      <c r="BG307" s="790">
        <f t="shared" si="133"/>
        <v>0</v>
      </c>
      <c r="BH307" s="791" t="str">
        <f t="shared" si="134"/>
        <v/>
      </c>
      <c r="BI307" s="792"/>
      <c r="BJ307" s="793">
        <f t="shared" si="132"/>
        <v>0</v>
      </c>
      <c r="BK307" s="794" t="str">
        <f t="shared" si="131"/>
        <v/>
      </c>
      <c r="BL307" s="227" t="s">
        <v>21</v>
      </c>
      <c r="BM307" s="773">
        <f t="shared" si="120"/>
        <v>0</v>
      </c>
      <c r="BN307" s="774">
        <f t="shared" si="121"/>
        <v>0</v>
      </c>
      <c r="BO307"/>
      <c r="BP307" s="627"/>
      <c r="BQ307" s="627"/>
      <c r="BR307" s="627"/>
      <c r="BS307" s="627"/>
      <c r="BT307" s="627"/>
      <c r="BU307" s="627"/>
      <c r="BV307" s="627"/>
      <c r="BW307" s="627"/>
      <c r="BX307"/>
      <c r="BY307"/>
      <c r="BZ307"/>
      <c r="CA307"/>
      <c r="CB307"/>
      <c r="CC307"/>
      <c r="CD307" s="781" t="str">
        <f t="shared" si="114"/>
        <v>►</v>
      </c>
      <c r="CE307"/>
      <c r="CF307"/>
      <c r="CG307"/>
      <c r="CH307"/>
      <c r="CI307"/>
      <c r="CK307"/>
      <c r="CL307"/>
      <c r="CM307"/>
      <c r="CN307"/>
      <c r="CO307"/>
      <c r="CP307"/>
      <c r="CQ307"/>
      <c r="CS307"/>
      <c r="CT307"/>
      <c r="CU307"/>
      <c r="CV307"/>
      <c r="CW307"/>
      <c r="CX307"/>
      <c r="CY307"/>
      <c r="DA307"/>
      <c r="DB307"/>
      <c r="DC307"/>
      <c r="DD307"/>
      <c r="DE307"/>
      <c r="DF307"/>
      <c r="DG307"/>
      <c r="DI307" s="3">
        <v>1</v>
      </c>
    </row>
    <row r="308" spans="1:115" s="627" customFormat="1" ht="21" customHeight="1">
      <c r="A308" s="701" t="s">
        <v>21</v>
      </c>
      <c r="B308" s="2265" t="str" cm="1">
        <f t="array" ref="B308">SUMPRODUCT(--(D308:J308&lt;&gt;""), LEN(TRIM(SUBSTITUTE(D308:J308, CHAR(160), "")))) &amp; " Car."</f>
        <v>0 Car.</v>
      </c>
      <c r="C308" s="1376" t="str">
        <f>IF(ISBLANK(D308),"",LARGE(C13:C307,1)+1)</f>
        <v/>
      </c>
      <c r="D308" s="1833"/>
      <c r="E308" s="1810"/>
      <c r="F308" s="1810"/>
      <c r="G308" s="1810"/>
      <c r="H308" s="1810"/>
      <c r="I308" s="1810"/>
      <c r="J308" s="1810"/>
      <c r="K308" s="1810"/>
      <c r="L308" s="1811"/>
      <c r="M308" s="9"/>
      <c r="N308" s="103" t="str">
        <f t="shared" si="116"/>
        <v>►</v>
      </c>
      <c r="O308" s="1616"/>
      <c r="P308" s="9"/>
      <c r="Q308" s="25" t="s">
        <v>15</v>
      </c>
      <c r="R308" s="31"/>
      <c r="S308" s="32"/>
      <c r="T308" s="31"/>
      <c r="U308" s="33"/>
      <c r="V308" s="1967"/>
      <c r="W308" s="1805"/>
      <c r="X308" s="91"/>
      <c r="Y308" s="1806"/>
      <c r="Z308" s="1968"/>
      <c r="AA308" s="2244"/>
      <c r="AB308" s="1969"/>
      <c r="AC308" s="1365"/>
      <c r="AD308" s="95"/>
      <c r="AE308" s="1326"/>
      <c r="AF308" s="97"/>
      <c r="AG308" s="1737"/>
      <c r="AH308" s="1970"/>
      <c r="AI308" s="99"/>
      <c r="AJ308" s="1809"/>
      <c r="AK308" s="6120" t="str">
        <f t="shared" si="117"/>
        <v>►</v>
      </c>
      <c r="AL308" s="781" t="str">
        <f t="shared" si="119"/>
        <v>►</v>
      </c>
      <c r="AM308" s="5498" t="str">
        <f t="shared" si="122"/>
        <v/>
      </c>
      <c r="AN308" s="783" t="str">
        <f t="shared" si="123"/>
        <v/>
      </c>
      <c r="AO308" s="782" t="str">
        <f t="shared" si="124"/>
        <v/>
      </c>
      <c r="AP308" s="783" t="str">
        <f t="shared" si="125"/>
        <v/>
      </c>
      <c r="AQ308" s="2083" t="b">
        <f>AND(Q308="A",COUNTIF(BP16:BR63,TRIM(Z308))&gt;0)</f>
        <v>0</v>
      </c>
      <c r="AR308" s="797" t="str">
        <f>IF(AL308&lt;&gt;"A","",IFERROR(IFERROR(_xlfn.XLOOKUP(TRIM(SUBSTITUTE(Z308,CHAR(160)," ")),BP16:BP63,BS16:BS63),IFERROR(_xlfn.XLOOKUP(TRIM(SUBSTITUTE(Z308,CHAR(160)," ")),BQ16:BQ63,BS16:BS63),_xlfn.XLOOKUP(TRIM(SUBSTITUTE(Z308,CHAR(160)," ")),BR16:BR63,BS16:BS63)))*Y308*IF(ISBLANK(V308),1,V308),0))</f>
        <v/>
      </c>
      <c r="AS308" s="784" t="str">
        <f t="shared" si="115"/>
        <v/>
      </c>
      <c r="AT308" s="1315" t="str">
        <f t="shared" si="126"/>
        <v/>
      </c>
      <c r="AU308" s="785">
        <f t="shared" si="127"/>
        <v>0</v>
      </c>
      <c r="AV308" s="785">
        <f t="shared" si="128"/>
        <v>0</v>
      </c>
      <c r="AW308" s="798">
        <f>IF(AK308="A",AY10,0)</f>
        <v>0</v>
      </c>
      <c r="AX308" s="5496" t="str">
        <f>IF(IFERROR(SEARCH("Adresse PC",TRIM(W308)),0)&gt;0,"▼ receta siguiente",IF(AK308="A",IF(AZ10&lt;&gt;"",AZ10&amp;" - ou.or.o ❾ + or - &gt;",""),""))</f>
        <v/>
      </c>
      <c r="AY308" s="810"/>
      <c r="AZ308" s="810"/>
      <c r="BA308" s="799" t="str">
        <f t="shared" si="118"/>
        <v/>
      </c>
      <c r="BB308" s="800" t="str">
        <f>IF(AK308="A",IF(AQ308,IF(AND(AW308&lt;&gt;"",N(AW308)&gt;0),IFERROR(IFERROR(_xlfn.XLOOKUP(AP308,BP10:BP57,BT10:BT57),IFERROR(_xlfn.XLOOKUP(AP308,BQ10:BQ57,BT10:BT57),_xlfn.XLOOKUP(AP308,BR10:BR57,BT10:BT57,""))),""),""),""),"")</f>
        <v/>
      </c>
      <c r="BC308" s="813" cm="1">
        <f t="array" ref="BC308">IF(NOT(AQ308),0,IF(OR(BA308="",N(BA308)&lt;=0.000000001),"",IF(OR(AU308="",N(AU308)&lt;=0.000000001),0,IF(ISNUMBER(BA308),IFERROR(_xlfn.LET(_xlpm.ai_test,TRIM(AP308),_xlpm.r,IFERROR(_xlfn.XLOOKUP(_xlpm.ai_test,BP16:BP63,ROW(BP16:BP63),0,1),IFERROR(_xlfn.XLOOKUP(_xlpm.ai_test,BQ16:BQ63,ROW(BQ16:BQ63),0,1),_xlfn.XLOOKUP(_xlpm.ai_test,BR16:BR63,ROW(BR16:BR63),0,1))),_xlpm.p,_xlpm.r-MIN(ROW(BP16:BP63))+1,_xlpm.f,INDEX(BS16:BS63,_xlpm.p),_xlpm.u,INDEX(BT16:BT63,_xlpm.p),_xlpm.s,INDEX(BV16:BV63,_xlpm.p),_xlpm.q,N(BA308)/_xlpm.f,IF(_xlpm.q&gt;=_xlpm.s,ROUND(_xlpm.q,1)&amp;" "&amp;_xlpm.ai_test&amp;" = "&amp;ROUND(_xlpm.q*_xlpm.f,1)&amp;" "&amp;_xlpm.u,ROUND(_xlpm.q,1)&amp;" "&amp;_xlpm.ai_test)),""),""))))</f>
        <v>0</v>
      </c>
      <c r="BD308" s="801"/>
      <c r="BE308" s="799" t="str">
        <f t="shared" si="129"/>
        <v/>
      </c>
      <c r="BF308" s="800" t="str">
        <f t="shared" si="130"/>
        <v/>
      </c>
      <c r="BG308" s="802">
        <f t="shared" si="133"/>
        <v>0</v>
      </c>
      <c r="BH308" s="803" t="str">
        <f t="shared" si="134"/>
        <v/>
      </c>
      <c r="BI308" s="792"/>
      <c r="BJ308" s="804">
        <f t="shared" si="132"/>
        <v>0</v>
      </c>
      <c r="BK308" s="794" t="str">
        <f t="shared" si="131"/>
        <v/>
      </c>
      <c r="BL308" s="227" t="s">
        <v>21</v>
      </c>
      <c r="BM308" s="773">
        <f t="shared" si="120"/>
        <v>0</v>
      </c>
      <c r="BN308" s="774">
        <f t="shared" si="121"/>
        <v>0</v>
      </c>
      <c r="BO308"/>
      <c r="BX308"/>
      <c r="BY308"/>
      <c r="BZ308"/>
      <c r="CA308"/>
      <c r="CB308"/>
      <c r="CC308"/>
      <c r="CD308" s="781" t="str">
        <f t="shared" si="114"/>
        <v>►</v>
      </c>
      <c r="CE308"/>
      <c r="CF308"/>
      <c r="CG308"/>
      <c r="CH308"/>
      <c r="CI308"/>
      <c r="CJ308" s="633"/>
      <c r="CK308"/>
      <c r="CL308"/>
      <c r="CM308"/>
      <c r="CN308"/>
      <c r="CO308"/>
      <c r="CP308"/>
      <c r="CQ308"/>
      <c r="CR308" s="633"/>
      <c r="CS308"/>
      <c r="CT308"/>
      <c r="CU308"/>
      <c r="CV308"/>
      <c r="CW308"/>
      <c r="CX308"/>
      <c r="CY308"/>
      <c r="CZ308" s="633"/>
      <c r="DA308"/>
      <c r="DB308"/>
      <c r="DC308"/>
      <c r="DD308"/>
      <c r="DE308"/>
      <c r="DF308"/>
      <c r="DG308"/>
      <c r="DH308" s="633"/>
      <c r="DI308" s="3">
        <v>1</v>
      </c>
    </row>
    <row r="309" spans="1:115" ht="21" customHeight="1">
      <c r="B309" s="2265" t="str" cm="1">
        <f t="array" ref="B309">SUMPRODUCT(--(D309:J309&lt;&gt;""), LEN(TRIM(SUBSTITUTE(D309:J309, CHAR(160), "")))) &amp; " Car."</f>
        <v>0 Car.</v>
      </c>
      <c r="C309" s="1376" t="str">
        <f>IF(ISBLANK(D309),"",LARGE(C13:C308,1)+1)</f>
        <v/>
      </c>
      <c r="D309" s="1833"/>
      <c r="E309" s="1810"/>
      <c r="F309" s="1810"/>
      <c r="G309" s="1810"/>
      <c r="H309" s="1810"/>
      <c r="I309" s="1810"/>
      <c r="J309" s="1810"/>
      <c r="K309" s="1810"/>
      <c r="L309" s="1811"/>
      <c r="M309" s="9"/>
      <c r="N309" s="103" t="str">
        <f t="shared" si="116"/>
        <v>►</v>
      </c>
      <c r="O309" s="1616"/>
      <c r="P309" s="9"/>
      <c r="Q309" s="25" t="s">
        <v>15</v>
      </c>
      <c r="R309" s="31"/>
      <c r="S309" s="32"/>
      <c r="T309" s="31"/>
      <c r="U309" s="33"/>
      <c r="V309" s="1967"/>
      <c r="W309" s="1805"/>
      <c r="X309" s="91"/>
      <c r="Y309" s="1806"/>
      <c r="Z309" s="1968"/>
      <c r="AA309" s="2244"/>
      <c r="AB309" s="1969"/>
      <c r="AC309" s="1365"/>
      <c r="AD309" s="95"/>
      <c r="AE309" s="1326"/>
      <c r="AF309" s="97"/>
      <c r="AG309" s="1737"/>
      <c r="AH309" s="1970"/>
      <c r="AI309" s="99"/>
      <c r="AJ309" s="1809"/>
      <c r="AK309" s="6120" t="str">
        <f t="shared" si="117"/>
        <v>►</v>
      </c>
      <c r="AL309" s="781" t="str">
        <f t="shared" si="119"/>
        <v>►</v>
      </c>
      <c r="AM309" s="5499" t="str">
        <f t="shared" si="122"/>
        <v/>
      </c>
      <c r="AN309" s="783" t="str">
        <f t="shared" si="123"/>
        <v/>
      </c>
      <c r="AO309" s="782" t="str">
        <f t="shared" si="124"/>
        <v/>
      </c>
      <c r="AP309" s="783" t="str">
        <f t="shared" si="125"/>
        <v/>
      </c>
      <c r="AQ309" s="2083" t="b">
        <f>AND(Q309="A",COUNTIF(BP16:BR63,TRIM(Z309))&gt;0)</f>
        <v>0</v>
      </c>
      <c r="AR309" s="797" t="str">
        <f>IF(AL309&lt;&gt;"A","",IFERROR(IFERROR(_xlfn.XLOOKUP(TRIM(SUBSTITUTE(Z309,CHAR(160)," ")),BP16:BP63,BS16:BS63),IFERROR(_xlfn.XLOOKUP(TRIM(SUBSTITUTE(Z309,CHAR(160)," ")),BQ16:BQ63,BS16:BS63),_xlfn.XLOOKUP(TRIM(SUBSTITUTE(Z309,CHAR(160)," ")),BR16:BR63,BS16:BS63)))*Y309*IF(ISBLANK(V309),1,V309),0))</f>
        <v/>
      </c>
      <c r="AS309" s="784" t="str">
        <f t="shared" si="115"/>
        <v/>
      </c>
      <c r="AT309" s="1315" t="str">
        <f t="shared" si="126"/>
        <v/>
      </c>
      <c r="AU309" s="785">
        <f t="shared" si="127"/>
        <v>0</v>
      </c>
      <c r="AV309" s="785">
        <f t="shared" si="128"/>
        <v>0</v>
      </c>
      <c r="AW309" s="786">
        <f>IF(AK309="A",AY10,0)</f>
        <v>0</v>
      </c>
      <c r="AX309" s="5495" t="str">
        <f>IF(IFERROR(SEARCH("Adresse PC",TRIM(W309)),0)&gt;0,"▼ receta siguiente",IF(AK309="A",IF(AZ10&lt;&gt;"",AZ10&amp;" - ou.or.o ❾ + or - &gt;",""),""))</f>
        <v/>
      </c>
      <c r="AY309" s="810"/>
      <c r="AZ309" s="810"/>
      <c r="BA309" s="788" t="str">
        <f t="shared" si="118"/>
        <v/>
      </c>
      <c r="BB309" s="789" t="str">
        <f>IF(AK309="A",IF(AQ309,IF(AND(AW309&lt;&gt;"",N(AW309)&gt;0),IFERROR(IFERROR(_xlfn.XLOOKUP(AP309,BP10:BP57,BT10:BT57),IFERROR(_xlfn.XLOOKUP(AP309,BQ10:BQ57,BT10:BT57),_xlfn.XLOOKUP(AP309,BR10:BR57,BT10:BT57,""))),""),""),""),"")</f>
        <v/>
      </c>
      <c r="BC309" s="811" cm="1">
        <f t="array" ref="BC309">IF(NOT(AQ309),0,IF(OR(BA309="",N(BA309)&lt;=0.000000001),"",IF(OR(AU309="",N(AU309)&lt;=0.000000001),0,IF(ISNUMBER(BA309),IFERROR(_xlfn.LET(_xlpm.ai_test,TRIM(AP309),_xlpm.r,IFERROR(_xlfn.XLOOKUP(_xlpm.ai_test,BP16:BP63,ROW(BP16:BP63),0,1),IFERROR(_xlfn.XLOOKUP(_xlpm.ai_test,BQ16:BQ63,ROW(BQ16:BQ63),0,1),_xlfn.XLOOKUP(_xlpm.ai_test,BR16:BR63,ROW(BR16:BR63),0,1))),_xlpm.p,_xlpm.r-MIN(ROW(BP16:BP63))+1,_xlpm.f,INDEX(BS16:BS63,_xlpm.p),_xlpm.u,INDEX(BT16:BT63,_xlpm.p),_xlpm.s,INDEX(BV16:BV63,_xlpm.p),_xlpm.q,N(BA309)/_xlpm.f,IF(_xlpm.q&gt;=_xlpm.s,ROUND(_xlpm.q,1)&amp;" "&amp;_xlpm.ai_test&amp;" = "&amp;ROUND(_xlpm.q*_xlpm.f,1)&amp;" "&amp;_xlpm.u,ROUND(_xlpm.q,1)&amp;" "&amp;_xlpm.ai_test)),""),""))))</f>
        <v>0</v>
      </c>
      <c r="BD309" s="801"/>
      <c r="BE309" s="788" t="str">
        <f t="shared" si="129"/>
        <v/>
      </c>
      <c r="BF309" s="789" t="str">
        <f t="shared" si="130"/>
        <v/>
      </c>
      <c r="BG309" s="790">
        <f t="shared" si="133"/>
        <v>0</v>
      </c>
      <c r="BH309" s="791" t="str">
        <f t="shared" si="134"/>
        <v/>
      </c>
      <c r="BI309" s="792"/>
      <c r="BJ309" s="793">
        <f t="shared" si="132"/>
        <v>0</v>
      </c>
      <c r="BK309" s="794" t="str">
        <f t="shared" si="131"/>
        <v/>
      </c>
      <c r="BL309" s="227" t="s">
        <v>21</v>
      </c>
      <c r="BM309" s="773">
        <f t="shared" si="120"/>
        <v>0</v>
      </c>
      <c r="BN309" s="774">
        <f t="shared" si="121"/>
        <v>0</v>
      </c>
      <c r="BO309"/>
      <c r="BP309" s="627"/>
      <c r="BQ309" s="627"/>
      <c r="BR309" s="627"/>
      <c r="BS309" s="627"/>
      <c r="BT309" s="627"/>
      <c r="BU309" s="627"/>
      <c r="BV309" s="627"/>
      <c r="BW309" s="627"/>
      <c r="CD309" s="781" t="str">
        <f t="shared" si="114"/>
        <v>►</v>
      </c>
      <c r="CI309"/>
      <c r="CJ309" s="633"/>
      <c r="CR309" s="633"/>
      <c r="CZ309" s="633"/>
      <c r="DH309" s="633"/>
      <c r="DI309" s="3">
        <v>1</v>
      </c>
    </row>
    <row r="310" spans="1:115" ht="21" customHeight="1">
      <c r="B310" s="2265" t="str" cm="1">
        <f t="array" ref="B310">SUMPRODUCT(--(D310:J310&lt;&gt;""), LEN(TRIM(SUBSTITUTE(D310:J310, CHAR(160), "")))) &amp; " Car."</f>
        <v>0 Car.</v>
      </c>
      <c r="C310" s="1376" t="str">
        <f>IF(ISBLANK(D310),"",LARGE(C13:C309,1)+1)</f>
        <v/>
      </c>
      <c r="D310" s="1833"/>
      <c r="E310" s="1810"/>
      <c r="F310" s="1810"/>
      <c r="G310" s="1810"/>
      <c r="H310" s="1810"/>
      <c r="I310" s="1810"/>
      <c r="J310" s="1810"/>
      <c r="K310" s="1810"/>
      <c r="L310" s="1811"/>
      <c r="M310" s="9"/>
      <c r="N310" s="103" t="str">
        <f t="shared" si="116"/>
        <v>►</v>
      </c>
      <c r="O310" s="1616"/>
      <c r="P310" s="9"/>
      <c r="Q310" s="25" t="s">
        <v>15</v>
      </c>
      <c r="R310" s="31"/>
      <c r="S310" s="32"/>
      <c r="T310" s="31"/>
      <c r="U310" s="33"/>
      <c r="V310" s="1967"/>
      <c r="W310" s="1805"/>
      <c r="X310" s="91"/>
      <c r="Y310" s="1806"/>
      <c r="Z310" s="1968"/>
      <c r="AA310" s="2244"/>
      <c r="AB310" s="1969"/>
      <c r="AC310" s="1365"/>
      <c r="AD310" s="95"/>
      <c r="AE310" s="1326"/>
      <c r="AF310" s="97"/>
      <c r="AG310" s="1737"/>
      <c r="AH310" s="1970"/>
      <c r="AI310" s="99"/>
      <c r="AJ310" s="1809"/>
      <c r="AK310" s="6120" t="str">
        <f t="shared" si="117"/>
        <v>►</v>
      </c>
      <c r="AL310" s="781" t="str">
        <f t="shared" si="119"/>
        <v>►</v>
      </c>
      <c r="AM310" s="5498" t="str">
        <f t="shared" si="122"/>
        <v/>
      </c>
      <c r="AN310" s="783" t="str">
        <f t="shared" si="123"/>
        <v/>
      </c>
      <c r="AO310" s="782" t="str">
        <f t="shared" si="124"/>
        <v/>
      </c>
      <c r="AP310" s="783" t="str">
        <f t="shared" si="125"/>
        <v/>
      </c>
      <c r="AQ310" s="2083" t="b">
        <f>AND(Q310="A",COUNTIF(BP16:BR63,TRIM(Z310))&gt;0)</f>
        <v>0</v>
      </c>
      <c r="AR310" s="797" t="str">
        <f>IF(AL310&lt;&gt;"A","",IFERROR(IFERROR(_xlfn.XLOOKUP(TRIM(SUBSTITUTE(Z310,CHAR(160)," ")),BP16:BP63,BS16:BS63),IFERROR(_xlfn.XLOOKUP(TRIM(SUBSTITUTE(Z310,CHAR(160)," ")),BQ16:BQ63,BS16:BS63),_xlfn.XLOOKUP(TRIM(SUBSTITUTE(Z310,CHAR(160)," ")),BR16:BR63,BS16:BS63)))*Y310*IF(ISBLANK(V310),1,V310),0))</f>
        <v/>
      </c>
      <c r="AS310" s="784" t="str">
        <f t="shared" si="115"/>
        <v/>
      </c>
      <c r="AT310" s="1315" t="str">
        <f t="shared" si="126"/>
        <v/>
      </c>
      <c r="AU310" s="785">
        <f t="shared" si="127"/>
        <v>0</v>
      </c>
      <c r="AV310" s="785">
        <f t="shared" si="128"/>
        <v>0</v>
      </c>
      <c r="AW310" s="798">
        <f>IF(AK310="A",AY10,0)</f>
        <v>0</v>
      </c>
      <c r="AX310" s="5496" t="str">
        <f>IF(IFERROR(SEARCH("Adresse PC",TRIM(W310)),0)&gt;0,"▼ receta siguiente",IF(AK310="A",IF(AZ10&lt;&gt;"",AZ10&amp;" - ou.or.o ❾ + or - &gt;",""),""))</f>
        <v/>
      </c>
      <c r="AY310" s="810"/>
      <c r="AZ310" s="810"/>
      <c r="BA310" s="799" t="str">
        <f t="shared" si="118"/>
        <v/>
      </c>
      <c r="BB310" s="800" t="str">
        <f>IF(AK310="A",IF(AQ310,IF(AND(AW310&lt;&gt;"",N(AW310)&gt;0),IFERROR(IFERROR(_xlfn.XLOOKUP(AP310,BP10:BP57,BT10:BT57),IFERROR(_xlfn.XLOOKUP(AP310,BQ10:BQ57,BT10:BT57),_xlfn.XLOOKUP(AP310,BR10:BR57,BT10:BT57,""))),""),""),""),"")</f>
        <v/>
      </c>
      <c r="BC310" s="813" cm="1">
        <f t="array" ref="BC310">IF(NOT(AQ310),0,IF(OR(BA310="",N(BA310)&lt;=0.000000001),"",IF(OR(AU310="",N(AU310)&lt;=0.000000001),0,IF(ISNUMBER(BA310),IFERROR(_xlfn.LET(_xlpm.ai_test,TRIM(AP310),_xlpm.r,IFERROR(_xlfn.XLOOKUP(_xlpm.ai_test,BP16:BP63,ROW(BP16:BP63),0,1),IFERROR(_xlfn.XLOOKUP(_xlpm.ai_test,BQ16:BQ63,ROW(BQ16:BQ63),0,1),_xlfn.XLOOKUP(_xlpm.ai_test,BR16:BR63,ROW(BR16:BR63),0,1))),_xlpm.p,_xlpm.r-MIN(ROW(BP16:BP63))+1,_xlpm.f,INDEX(BS16:BS63,_xlpm.p),_xlpm.u,INDEX(BT16:BT63,_xlpm.p),_xlpm.s,INDEX(BV16:BV63,_xlpm.p),_xlpm.q,N(BA310)/_xlpm.f,IF(_xlpm.q&gt;=_xlpm.s,ROUND(_xlpm.q,1)&amp;" "&amp;_xlpm.ai_test&amp;" = "&amp;ROUND(_xlpm.q*_xlpm.f,1)&amp;" "&amp;_xlpm.u,ROUND(_xlpm.q,1)&amp;" "&amp;_xlpm.ai_test)),""),""))))</f>
        <v>0</v>
      </c>
      <c r="BD310" s="801"/>
      <c r="BE310" s="799" t="str">
        <f t="shared" si="129"/>
        <v/>
      </c>
      <c r="BF310" s="800" t="str">
        <f t="shared" si="130"/>
        <v/>
      </c>
      <c r="BG310" s="802">
        <f t="shared" si="133"/>
        <v>0</v>
      </c>
      <c r="BH310" s="803" t="str">
        <f t="shared" si="134"/>
        <v/>
      </c>
      <c r="BI310" s="792"/>
      <c r="BJ310" s="804">
        <f t="shared" si="132"/>
        <v>0</v>
      </c>
      <c r="BK310" s="794" t="str">
        <f t="shared" si="131"/>
        <v/>
      </c>
      <c r="BL310" s="227" t="s">
        <v>21</v>
      </c>
      <c r="BM310" s="773">
        <f t="shared" si="120"/>
        <v>0</v>
      </c>
      <c r="BN310" s="774">
        <f t="shared" si="121"/>
        <v>0</v>
      </c>
      <c r="BO310"/>
      <c r="BP310" s="627"/>
      <c r="BQ310" s="627"/>
      <c r="BR310" s="627"/>
      <c r="BS310" s="627"/>
      <c r="BT310" s="627"/>
      <c r="BU310" s="627"/>
      <c r="BV310" s="627"/>
      <c r="BW310" s="627"/>
      <c r="CD310" s="781" t="str">
        <f t="shared" si="114"/>
        <v>►</v>
      </c>
      <c r="CI310"/>
      <c r="CJ310" s="633"/>
      <c r="CR310" s="633"/>
      <c r="CZ310" s="633"/>
      <c r="DH310" s="633"/>
      <c r="DI310" s="3">
        <v>1</v>
      </c>
    </row>
    <row r="311" spans="1:115" ht="21" customHeight="1">
      <c r="B311" s="2265" t="str" cm="1">
        <f t="array" ref="B311">SUMPRODUCT(--(D311:J311&lt;&gt;""), LEN(TRIM(SUBSTITUTE(D311:J311, CHAR(160), "")))) &amp; " Car."</f>
        <v>0 Car.</v>
      </c>
      <c r="C311" s="1376" t="str">
        <f>IF(ISBLANK(D311),"",LARGE(C13:C310,1)+1)</f>
        <v/>
      </c>
      <c r="D311" s="1833"/>
      <c r="E311" s="1810"/>
      <c r="F311" s="1810"/>
      <c r="G311" s="1810"/>
      <c r="H311" s="1810"/>
      <c r="I311" s="1810"/>
      <c r="J311" s="1810"/>
      <c r="K311" s="1810"/>
      <c r="L311" s="1811"/>
      <c r="M311" s="9"/>
      <c r="N311" s="103" t="str">
        <f t="shared" si="116"/>
        <v>►</v>
      </c>
      <c r="O311" s="1616"/>
      <c r="P311" s="9"/>
      <c r="Q311" s="25" t="s">
        <v>15</v>
      </c>
      <c r="R311" s="31"/>
      <c r="S311" s="32"/>
      <c r="T311" s="31"/>
      <c r="U311" s="33"/>
      <c r="V311" s="1967"/>
      <c r="W311" s="1805"/>
      <c r="X311" s="91"/>
      <c r="Y311" s="1806"/>
      <c r="Z311" s="1968"/>
      <c r="AA311" s="2244"/>
      <c r="AB311" s="1969"/>
      <c r="AC311" s="1365"/>
      <c r="AD311" s="95"/>
      <c r="AE311" s="1326"/>
      <c r="AF311" s="97"/>
      <c r="AG311" s="1737"/>
      <c r="AH311" s="1970"/>
      <c r="AI311" s="99"/>
      <c r="AJ311" s="1809"/>
      <c r="AK311" s="6120" t="str">
        <f t="shared" si="117"/>
        <v>►</v>
      </c>
      <c r="AL311" s="781" t="str">
        <f t="shared" si="119"/>
        <v>►</v>
      </c>
      <c r="AM311" s="5499" t="str">
        <f t="shared" si="122"/>
        <v/>
      </c>
      <c r="AN311" s="783" t="str">
        <f t="shared" si="123"/>
        <v/>
      </c>
      <c r="AO311" s="782" t="str">
        <f t="shared" si="124"/>
        <v/>
      </c>
      <c r="AP311" s="783" t="str">
        <f t="shared" si="125"/>
        <v/>
      </c>
      <c r="AQ311" s="2083" t="b">
        <f>AND(Q311="A",COUNTIF(BP16:BR63,TRIM(Z311))&gt;0)</f>
        <v>0</v>
      </c>
      <c r="AR311" s="797" t="str">
        <f>IF(AL311&lt;&gt;"A","",IFERROR(IFERROR(_xlfn.XLOOKUP(TRIM(SUBSTITUTE(Z311,CHAR(160)," ")),BP16:BP63,BS16:BS63),IFERROR(_xlfn.XLOOKUP(TRIM(SUBSTITUTE(Z311,CHAR(160)," ")),BQ16:BQ63,BS16:BS63),_xlfn.XLOOKUP(TRIM(SUBSTITUTE(Z311,CHAR(160)," ")),BR16:BR63,BS16:BS63)))*Y311*IF(ISBLANK(V311),1,V311),0))</f>
        <v/>
      </c>
      <c r="AS311" s="784" t="str">
        <f t="shared" si="115"/>
        <v/>
      </c>
      <c r="AT311" s="1315" t="str">
        <f t="shared" si="126"/>
        <v/>
      </c>
      <c r="AU311" s="785">
        <f t="shared" si="127"/>
        <v>0</v>
      </c>
      <c r="AV311" s="785">
        <f t="shared" si="128"/>
        <v>0</v>
      </c>
      <c r="AW311" s="786">
        <f>IF(AK311="A",AY10,0)</f>
        <v>0</v>
      </c>
      <c r="AX311" s="5495" t="str">
        <f>IF(IFERROR(SEARCH("Adresse PC",TRIM(W311)),0)&gt;0,"▼ receta siguiente",IF(AK311="A",IF(AZ10&lt;&gt;"",AZ10&amp;" - ou.or.o ❾ + or - &gt;",""),""))</f>
        <v/>
      </c>
      <c r="AY311" s="810"/>
      <c r="AZ311" s="810"/>
      <c r="BA311" s="788" t="str">
        <f t="shared" si="118"/>
        <v/>
      </c>
      <c r="BB311" s="789" t="str">
        <f>IF(AK311="A",IF(AQ311,IF(AND(AW311&lt;&gt;"",N(AW311)&gt;0),IFERROR(IFERROR(_xlfn.XLOOKUP(AP311,BP10:BP57,BT10:BT57),IFERROR(_xlfn.XLOOKUP(AP311,BQ10:BQ57,BT10:BT57),_xlfn.XLOOKUP(AP311,BR10:BR57,BT10:BT57,""))),""),""),""),"")</f>
        <v/>
      </c>
      <c r="BC311" s="811" cm="1">
        <f t="array" ref="BC311">IF(NOT(AQ311),0,IF(OR(BA311="",N(BA311)&lt;=0.000000001),"",IF(OR(AU311="",N(AU311)&lt;=0.000000001),0,IF(ISNUMBER(BA311),IFERROR(_xlfn.LET(_xlpm.ai_test,TRIM(AP311),_xlpm.r,IFERROR(_xlfn.XLOOKUP(_xlpm.ai_test,BP16:BP63,ROW(BP16:BP63),0,1),IFERROR(_xlfn.XLOOKUP(_xlpm.ai_test,BQ16:BQ63,ROW(BQ16:BQ63),0,1),_xlfn.XLOOKUP(_xlpm.ai_test,BR16:BR63,ROW(BR16:BR63),0,1))),_xlpm.p,_xlpm.r-MIN(ROW(BP16:BP63))+1,_xlpm.f,INDEX(BS16:BS63,_xlpm.p),_xlpm.u,INDEX(BT16:BT63,_xlpm.p),_xlpm.s,INDEX(BV16:BV63,_xlpm.p),_xlpm.q,N(BA311)/_xlpm.f,IF(_xlpm.q&gt;=_xlpm.s,ROUND(_xlpm.q,1)&amp;" "&amp;_xlpm.ai_test&amp;" = "&amp;ROUND(_xlpm.q*_xlpm.f,1)&amp;" "&amp;_xlpm.u,ROUND(_xlpm.q,1)&amp;" "&amp;_xlpm.ai_test)),""),""))))</f>
        <v>0</v>
      </c>
      <c r="BD311" s="801"/>
      <c r="BE311" s="788" t="str">
        <f t="shared" si="129"/>
        <v/>
      </c>
      <c r="BF311" s="789" t="str">
        <f t="shared" si="130"/>
        <v/>
      </c>
      <c r="BG311" s="790">
        <f t="shared" si="133"/>
        <v>0</v>
      </c>
      <c r="BH311" s="791" t="str">
        <f t="shared" si="134"/>
        <v/>
      </c>
      <c r="BI311" s="792"/>
      <c r="BJ311" s="793">
        <f t="shared" si="132"/>
        <v>0</v>
      </c>
      <c r="BK311" s="794" t="str">
        <f t="shared" si="131"/>
        <v/>
      </c>
      <c r="BL311" s="227" t="s">
        <v>21</v>
      </c>
      <c r="BM311" s="773">
        <f t="shared" si="120"/>
        <v>0</v>
      </c>
      <c r="BN311" s="774">
        <f t="shared" si="121"/>
        <v>0</v>
      </c>
      <c r="BO311"/>
      <c r="BP311" s="627"/>
      <c r="BQ311" s="627"/>
      <c r="BR311" s="627"/>
      <c r="BS311" s="627"/>
      <c r="BT311" s="627"/>
      <c r="BU311" s="627"/>
      <c r="BV311" s="627"/>
      <c r="BW311" s="627"/>
      <c r="CD311" s="781" t="str">
        <f t="shared" si="114"/>
        <v>►</v>
      </c>
      <c r="CI311"/>
      <c r="CJ311" s="633"/>
      <c r="CR311" s="633"/>
      <c r="CZ311" s="633"/>
      <c r="DH311" s="633"/>
      <c r="DI311" s="3">
        <v>1</v>
      </c>
    </row>
    <row r="312" spans="1:115" ht="21" customHeight="1">
      <c r="B312" s="2265" t="str" cm="1">
        <f t="array" ref="B312">SUMPRODUCT(--(D312:J312&lt;&gt;""), LEN(TRIM(SUBSTITUTE(D312:J312, CHAR(160), "")))) &amp; " Car."</f>
        <v>0 Car.</v>
      </c>
      <c r="C312" s="1376" t="str">
        <f>IF(ISBLANK(D312),"",LARGE(C13:C311,1)+1)</f>
        <v/>
      </c>
      <c r="D312" s="1833"/>
      <c r="E312" s="1810"/>
      <c r="F312" s="1810"/>
      <c r="G312" s="1810"/>
      <c r="H312" s="1810"/>
      <c r="I312" s="1810"/>
      <c r="J312" s="1810"/>
      <c r="K312" s="1810"/>
      <c r="L312" s="1811"/>
      <c r="M312" s="9"/>
      <c r="N312" s="103" t="str">
        <f t="shared" si="116"/>
        <v>►</v>
      </c>
      <c r="O312" s="1616"/>
      <c r="P312" s="9"/>
      <c r="Q312" s="25" t="s">
        <v>15</v>
      </c>
      <c r="R312" s="31"/>
      <c r="S312" s="32"/>
      <c r="T312" s="31"/>
      <c r="U312" s="33"/>
      <c r="V312" s="1967"/>
      <c r="W312" s="1805"/>
      <c r="X312" s="91"/>
      <c r="Y312" s="1806"/>
      <c r="Z312" s="1968"/>
      <c r="AA312" s="2244"/>
      <c r="AB312" s="1969"/>
      <c r="AC312" s="1365"/>
      <c r="AD312" s="95"/>
      <c r="AE312" s="1326"/>
      <c r="AF312" s="97"/>
      <c r="AG312" s="1737"/>
      <c r="AH312" s="1970"/>
      <c r="AI312" s="99"/>
      <c r="AJ312" s="1809"/>
      <c r="AK312" s="6120" t="str">
        <f t="shared" si="117"/>
        <v>►</v>
      </c>
      <c r="AL312" s="781" t="str">
        <f t="shared" si="119"/>
        <v>►</v>
      </c>
      <c r="AM312" s="5498" t="str">
        <f t="shared" si="122"/>
        <v/>
      </c>
      <c r="AN312" s="783" t="str">
        <f t="shared" si="123"/>
        <v/>
      </c>
      <c r="AO312" s="782" t="str">
        <f t="shared" si="124"/>
        <v/>
      </c>
      <c r="AP312" s="783" t="str">
        <f t="shared" si="125"/>
        <v/>
      </c>
      <c r="AQ312" s="2083" t="b">
        <f>AND(Q312="A",COUNTIF(BP16:BR63,TRIM(Z312))&gt;0)</f>
        <v>0</v>
      </c>
      <c r="AR312" s="797" t="str">
        <f>IF(AL312&lt;&gt;"A","",IFERROR(IFERROR(_xlfn.XLOOKUP(TRIM(SUBSTITUTE(Z312,CHAR(160)," ")),BP16:BP63,BS16:BS63),IFERROR(_xlfn.XLOOKUP(TRIM(SUBSTITUTE(Z312,CHAR(160)," ")),BQ16:BQ63,BS16:BS63),_xlfn.XLOOKUP(TRIM(SUBSTITUTE(Z312,CHAR(160)," ")),BR16:BR63,BS16:BS63)))*Y312*IF(ISBLANK(V312),1,V312),0))</f>
        <v/>
      </c>
      <c r="AS312" s="784" t="str">
        <f t="shared" si="115"/>
        <v/>
      </c>
      <c r="AT312" s="1315" t="str">
        <f t="shared" si="126"/>
        <v/>
      </c>
      <c r="AU312" s="785">
        <f t="shared" si="127"/>
        <v>0</v>
      </c>
      <c r="AV312" s="785">
        <f t="shared" si="128"/>
        <v>0</v>
      </c>
      <c r="AW312" s="798">
        <f>IF(AK312="A",AY10,0)</f>
        <v>0</v>
      </c>
      <c r="AX312" s="5496" t="str">
        <f>IF(IFERROR(SEARCH("Adresse PC",TRIM(W312)),0)&gt;0,"▼ receta siguiente",IF(AK312="A",IF(AZ10&lt;&gt;"",AZ10&amp;" - ou.or.o ❾ + or - &gt;",""),""))</f>
        <v/>
      </c>
      <c r="AY312" s="810"/>
      <c r="AZ312" s="810"/>
      <c r="BA312" s="799" t="str">
        <f t="shared" si="118"/>
        <v/>
      </c>
      <c r="BB312" s="800" t="str">
        <f>IF(AK312="A",IF(AQ312,IF(AND(AW312&lt;&gt;"",N(AW312)&gt;0),IFERROR(IFERROR(_xlfn.XLOOKUP(AP312,BP10:BP57,BT10:BT57),IFERROR(_xlfn.XLOOKUP(AP312,BQ10:BQ57,BT10:BT57),_xlfn.XLOOKUP(AP312,BR10:BR57,BT10:BT57,""))),""),""),""),"")</f>
        <v/>
      </c>
      <c r="BC312" s="813" cm="1">
        <f t="array" ref="BC312">IF(NOT(AQ312),0,IF(OR(BA312="",N(BA312)&lt;=0.000000001),"",IF(OR(AU312="",N(AU312)&lt;=0.000000001),0,IF(ISNUMBER(BA312),IFERROR(_xlfn.LET(_xlpm.ai_test,TRIM(AP312),_xlpm.r,IFERROR(_xlfn.XLOOKUP(_xlpm.ai_test,BP16:BP63,ROW(BP16:BP63),0,1),IFERROR(_xlfn.XLOOKUP(_xlpm.ai_test,BQ16:BQ63,ROW(BQ16:BQ63),0,1),_xlfn.XLOOKUP(_xlpm.ai_test,BR16:BR63,ROW(BR16:BR63),0,1))),_xlpm.p,_xlpm.r-MIN(ROW(BP16:BP63))+1,_xlpm.f,INDEX(BS16:BS63,_xlpm.p),_xlpm.u,INDEX(BT16:BT63,_xlpm.p),_xlpm.s,INDEX(BV16:BV63,_xlpm.p),_xlpm.q,N(BA312)/_xlpm.f,IF(_xlpm.q&gt;=_xlpm.s,ROUND(_xlpm.q,1)&amp;" "&amp;_xlpm.ai_test&amp;" = "&amp;ROUND(_xlpm.q*_xlpm.f,1)&amp;" "&amp;_xlpm.u,ROUND(_xlpm.q,1)&amp;" "&amp;_xlpm.ai_test)),""),""))))</f>
        <v>0</v>
      </c>
      <c r="BD312" s="801"/>
      <c r="BE312" s="799" t="str">
        <f t="shared" si="129"/>
        <v/>
      </c>
      <c r="BF312" s="800" t="str">
        <f t="shared" si="130"/>
        <v/>
      </c>
      <c r="BG312" s="802">
        <f t="shared" si="133"/>
        <v>0</v>
      </c>
      <c r="BH312" s="803" t="str">
        <f t="shared" si="134"/>
        <v/>
      </c>
      <c r="BI312" s="792"/>
      <c r="BJ312" s="804">
        <f t="shared" si="132"/>
        <v>0</v>
      </c>
      <c r="BK312" s="794" t="str">
        <f t="shared" si="131"/>
        <v/>
      </c>
      <c r="BL312" s="227" t="s">
        <v>21</v>
      </c>
      <c r="BM312" s="773">
        <f t="shared" si="120"/>
        <v>0</v>
      </c>
      <c r="BN312" s="774">
        <f t="shared" si="121"/>
        <v>0</v>
      </c>
      <c r="BO312"/>
      <c r="BP312" s="627"/>
      <c r="BQ312" s="627"/>
      <c r="BR312" s="627"/>
      <c r="BS312" s="627"/>
      <c r="BT312" s="627"/>
      <c r="BU312" s="627"/>
      <c r="BV312" s="627"/>
      <c r="BW312" s="627"/>
      <c r="CD312" s="781" t="str">
        <f t="shared" si="114"/>
        <v>►</v>
      </c>
      <c r="CI312"/>
      <c r="CJ312" s="633"/>
      <c r="CR312" s="633"/>
      <c r="CZ312" s="633"/>
      <c r="DH312" s="633"/>
      <c r="DI312" s="3">
        <v>1</v>
      </c>
    </row>
    <row r="313" spans="1:115" ht="21" customHeight="1">
      <c r="B313" s="2265" t="str" cm="1">
        <f t="array" ref="B313">SUMPRODUCT(--(D313:J313&lt;&gt;""), LEN(TRIM(SUBSTITUTE(D313:J313, CHAR(160), "")))) &amp; " Car."</f>
        <v>0 Car.</v>
      </c>
      <c r="C313" s="1376" t="str">
        <f>IF(ISBLANK(D313),"",LARGE(C13:C312,1)+1)</f>
        <v/>
      </c>
      <c r="D313" s="1833"/>
      <c r="E313" s="1810"/>
      <c r="F313" s="1810"/>
      <c r="G313" s="1810"/>
      <c r="H313" s="1810"/>
      <c r="I313" s="1810"/>
      <c r="J313" s="1810"/>
      <c r="K313" s="1810"/>
      <c r="L313" s="1811"/>
      <c r="M313" s="9"/>
      <c r="N313" s="103" t="str">
        <f t="shared" si="116"/>
        <v>►</v>
      </c>
      <c r="O313" s="1616"/>
      <c r="P313" s="9"/>
      <c r="Q313" s="25" t="s">
        <v>15</v>
      </c>
      <c r="R313" s="31"/>
      <c r="S313" s="32"/>
      <c r="T313" s="31"/>
      <c r="U313" s="33"/>
      <c r="V313" s="1967"/>
      <c r="W313" s="1805"/>
      <c r="X313" s="91"/>
      <c r="Y313" s="1806"/>
      <c r="Z313" s="1968"/>
      <c r="AA313" s="2244"/>
      <c r="AB313" s="1969"/>
      <c r="AC313" s="1365"/>
      <c r="AD313" s="95"/>
      <c r="AE313" s="1326"/>
      <c r="AF313" s="97"/>
      <c r="AG313" s="1737"/>
      <c r="AH313" s="1970"/>
      <c r="AI313" s="99"/>
      <c r="AJ313" s="1809"/>
      <c r="AK313" s="6120" t="str">
        <f t="shared" si="117"/>
        <v>►</v>
      </c>
      <c r="AL313" s="781" t="str">
        <f t="shared" si="119"/>
        <v>►</v>
      </c>
      <c r="AM313" s="5499" t="str">
        <f t="shared" si="122"/>
        <v/>
      </c>
      <c r="AN313" s="783" t="str">
        <f t="shared" si="123"/>
        <v/>
      </c>
      <c r="AO313" s="782" t="str">
        <f t="shared" si="124"/>
        <v/>
      </c>
      <c r="AP313" s="783" t="str">
        <f t="shared" si="125"/>
        <v/>
      </c>
      <c r="AQ313" s="2083" t="b">
        <f>AND(Q313="A",COUNTIF(BP16:BR63,TRIM(Z313))&gt;0)</f>
        <v>0</v>
      </c>
      <c r="AR313" s="797" t="str">
        <f>IF(AL313&lt;&gt;"A","",IFERROR(IFERROR(_xlfn.XLOOKUP(TRIM(SUBSTITUTE(Z313,CHAR(160)," ")),BP16:BP63,BS16:BS63),IFERROR(_xlfn.XLOOKUP(TRIM(SUBSTITUTE(Z313,CHAR(160)," ")),BQ16:BQ63,BS16:BS63),_xlfn.XLOOKUP(TRIM(SUBSTITUTE(Z313,CHAR(160)," ")),BR16:BR63,BS16:BS63)))*Y313*IF(ISBLANK(V313),1,V313),0))</f>
        <v/>
      </c>
      <c r="AS313" s="784" t="str">
        <f t="shared" si="115"/>
        <v/>
      </c>
      <c r="AT313" s="1315" t="str">
        <f t="shared" si="126"/>
        <v/>
      </c>
      <c r="AU313" s="785">
        <f t="shared" si="127"/>
        <v>0</v>
      </c>
      <c r="AV313" s="785">
        <f t="shared" si="128"/>
        <v>0</v>
      </c>
      <c r="AW313" s="786">
        <f>IF(AK313="A",AY10,0)</f>
        <v>0</v>
      </c>
      <c r="AX313" s="5495" t="str">
        <f>IF(IFERROR(SEARCH("Adresse PC",TRIM(W313)),0)&gt;0,"▼ receta siguiente",IF(AK313="A",IF(AZ10&lt;&gt;"",AZ10&amp;" - ou.or.o ❾ + or - &gt;",""),""))</f>
        <v/>
      </c>
      <c r="AY313" s="810"/>
      <c r="AZ313" s="810"/>
      <c r="BA313" s="788" t="str">
        <f t="shared" si="118"/>
        <v/>
      </c>
      <c r="BB313" s="789" t="str">
        <f>IF(AK313="A",IF(AQ313,IF(AND(AW313&lt;&gt;"",N(AW313)&gt;0),IFERROR(IFERROR(_xlfn.XLOOKUP(AP313,BP10:BP57,BT10:BT57),IFERROR(_xlfn.XLOOKUP(AP313,BQ10:BQ57,BT10:BT57),_xlfn.XLOOKUP(AP313,BR10:BR57,BT10:BT57,""))),""),""),""),"")</f>
        <v/>
      </c>
      <c r="BC313" s="811" cm="1">
        <f t="array" ref="BC313">IF(NOT(AQ313),0,IF(OR(BA313="",N(BA313)&lt;=0.000000001),"",IF(OR(AU313="",N(AU313)&lt;=0.000000001),0,IF(ISNUMBER(BA313),IFERROR(_xlfn.LET(_xlpm.ai_test,TRIM(AP313),_xlpm.r,IFERROR(_xlfn.XLOOKUP(_xlpm.ai_test,BP16:BP63,ROW(BP16:BP63),0,1),IFERROR(_xlfn.XLOOKUP(_xlpm.ai_test,BQ16:BQ63,ROW(BQ16:BQ63),0,1),_xlfn.XLOOKUP(_xlpm.ai_test,BR16:BR63,ROW(BR16:BR63),0,1))),_xlpm.p,_xlpm.r-MIN(ROW(BP16:BP63))+1,_xlpm.f,INDEX(BS16:BS63,_xlpm.p),_xlpm.u,INDEX(BT16:BT63,_xlpm.p),_xlpm.s,INDEX(BV16:BV63,_xlpm.p),_xlpm.q,N(BA313)/_xlpm.f,IF(_xlpm.q&gt;=_xlpm.s,ROUND(_xlpm.q,1)&amp;" "&amp;_xlpm.ai_test&amp;" = "&amp;ROUND(_xlpm.q*_xlpm.f,1)&amp;" "&amp;_xlpm.u,ROUND(_xlpm.q,1)&amp;" "&amp;_xlpm.ai_test)),""),""))))</f>
        <v>0</v>
      </c>
      <c r="BD313" s="801"/>
      <c r="BE313" s="788" t="str">
        <f t="shared" si="129"/>
        <v/>
      </c>
      <c r="BF313" s="789" t="str">
        <f t="shared" si="130"/>
        <v/>
      </c>
      <c r="BG313" s="790">
        <f t="shared" si="133"/>
        <v>0</v>
      </c>
      <c r="BH313" s="791" t="str">
        <f t="shared" si="134"/>
        <v/>
      </c>
      <c r="BI313" s="792"/>
      <c r="BJ313" s="793">
        <f t="shared" si="132"/>
        <v>0</v>
      </c>
      <c r="BK313" s="794" t="str">
        <f t="shared" si="131"/>
        <v/>
      </c>
      <c r="BL313" s="227" t="s">
        <v>21</v>
      </c>
      <c r="BM313" s="773">
        <f t="shared" si="120"/>
        <v>0</v>
      </c>
      <c r="BN313" s="774">
        <f t="shared" si="121"/>
        <v>0</v>
      </c>
      <c r="BO313"/>
      <c r="BP313" s="627"/>
      <c r="BQ313" s="627"/>
      <c r="BR313" s="627"/>
      <c r="BS313" s="627"/>
      <c r="BT313" s="627"/>
      <c r="BU313" s="627"/>
      <c r="BV313" s="627"/>
      <c r="BW313" s="627"/>
      <c r="CD313" s="781" t="str">
        <f t="shared" si="114"/>
        <v>►</v>
      </c>
      <c r="CI313"/>
      <c r="CJ313" s="633"/>
      <c r="CR313" s="633"/>
      <c r="CZ313" s="633"/>
      <c r="DH313" s="633"/>
      <c r="DI313" s="3">
        <v>1</v>
      </c>
    </row>
    <row r="314" spans="1:115" ht="21" customHeight="1">
      <c r="B314" s="2265" t="str" cm="1">
        <f t="array" ref="B314">SUMPRODUCT(--(D314:J314&lt;&gt;""), LEN(TRIM(SUBSTITUTE(D314:J314, CHAR(160), "")))) &amp; " Car."</f>
        <v>0 Car.</v>
      </c>
      <c r="C314" s="1376" t="str">
        <f>IF(ISBLANK(D314),"",LARGE(C13:C313,1)+1)</f>
        <v/>
      </c>
      <c r="D314" s="1833"/>
      <c r="E314" s="1810"/>
      <c r="F314" s="1810"/>
      <c r="G314" s="1810"/>
      <c r="H314" s="1810"/>
      <c r="I314" s="1810"/>
      <c r="J314" s="1810"/>
      <c r="K314" s="1810"/>
      <c r="L314" s="1811"/>
      <c r="M314" s="9"/>
      <c r="N314" s="103" t="str">
        <f t="shared" si="116"/>
        <v>►</v>
      </c>
      <c r="O314" s="1616"/>
      <c r="P314" s="9"/>
      <c r="Q314" s="25" t="s">
        <v>15</v>
      </c>
      <c r="R314" s="31"/>
      <c r="S314" s="32"/>
      <c r="T314" s="31"/>
      <c r="U314" s="33"/>
      <c r="V314" s="1967"/>
      <c r="W314" s="1805"/>
      <c r="X314" s="91"/>
      <c r="Y314" s="1806"/>
      <c r="Z314" s="1968"/>
      <c r="AA314" s="2244"/>
      <c r="AB314" s="1969"/>
      <c r="AC314" s="1365"/>
      <c r="AD314" s="95"/>
      <c r="AE314" s="1326"/>
      <c r="AF314" s="97"/>
      <c r="AG314" s="1737"/>
      <c r="AH314" s="1970"/>
      <c r="AI314" s="99"/>
      <c r="AJ314" s="1809"/>
      <c r="AK314" s="6120" t="str">
        <f t="shared" si="117"/>
        <v>►</v>
      </c>
      <c r="AL314" s="781" t="str">
        <f t="shared" si="119"/>
        <v>►</v>
      </c>
      <c r="AM314" s="5498" t="str">
        <f t="shared" si="122"/>
        <v/>
      </c>
      <c r="AN314" s="783" t="str">
        <f t="shared" si="123"/>
        <v/>
      </c>
      <c r="AO314" s="782" t="str">
        <f t="shared" si="124"/>
        <v/>
      </c>
      <c r="AP314" s="783" t="str">
        <f t="shared" si="125"/>
        <v/>
      </c>
      <c r="AQ314" s="2083" t="b">
        <f>AND(Q314="A",COUNTIF(BP16:BR63,TRIM(Z314))&gt;0)</f>
        <v>0</v>
      </c>
      <c r="AR314" s="797" t="str">
        <f>IF(AL314&lt;&gt;"A","",IFERROR(IFERROR(_xlfn.XLOOKUP(TRIM(SUBSTITUTE(Z314,CHAR(160)," ")),BP16:BP63,BS16:BS63),IFERROR(_xlfn.XLOOKUP(TRIM(SUBSTITUTE(Z314,CHAR(160)," ")),BQ16:BQ63,BS16:BS63),_xlfn.XLOOKUP(TRIM(SUBSTITUTE(Z314,CHAR(160)," ")),BR16:BR63,BS16:BS63)))*Y314*IF(ISBLANK(V314),1,V314),0))</f>
        <v/>
      </c>
      <c r="AS314" s="784" t="str">
        <f t="shared" si="115"/>
        <v/>
      </c>
      <c r="AT314" s="1315" t="str">
        <f t="shared" si="126"/>
        <v/>
      </c>
      <c r="AU314" s="785">
        <f t="shared" si="127"/>
        <v>0</v>
      </c>
      <c r="AV314" s="785">
        <f t="shared" si="128"/>
        <v>0</v>
      </c>
      <c r="AW314" s="798">
        <f>IF(AK314="A",AY10,0)</f>
        <v>0</v>
      </c>
      <c r="AX314" s="5496" t="str">
        <f>IF(IFERROR(SEARCH("Adresse PC",TRIM(W314)),0)&gt;0,"▼ receta siguiente",IF(AK314="A",IF(AZ10&lt;&gt;"",AZ10&amp;" - ou.or.o ❾ + or - &gt;",""),""))</f>
        <v/>
      </c>
      <c r="AY314" s="810"/>
      <c r="AZ314" s="810"/>
      <c r="BA314" s="799" t="str">
        <f t="shared" si="118"/>
        <v/>
      </c>
      <c r="BB314" s="800" t="str">
        <f>IF(AK314="A",IF(AQ314,IF(AND(AW314&lt;&gt;"",N(AW314)&gt;0),IFERROR(IFERROR(_xlfn.XLOOKUP(AP314,BP10:BP57,BT10:BT57),IFERROR(_xlfn.XLOOKUP(AP314,BQ10:BQ57,BT10:BT57),_xlfn.XLOOKUP(AP314,BR10:BR57,BT10:BT57,""))),""),""),""),"")</f>
        <v/>
      </c>
      <c r="BC314" s="813" cm="1">
        <f t="array" ref="BC314">IF(NOT(AQ314),0,IF(OR(BA314="",N(BA314)&lt;=0.000000001),"",IF(OR(AU314="",N(AU314)&lt;=0.000000001),0,IF(ISNUMBER(BA314),IFERROR(_xlfn.LET(_xlpm.ai_test,TRIM(AP314),_xlpm.r,IFERROR(_xlfn.XLOOKUP(_xlpm.ai_test,BP16:BP63,ROW(BP16:BP63),0,1),IFERROR(_xlfn.XLOOKUP(_xlpm.ai_test,BQ16:BQ63,ROW(BQ16:BQ63),0,1),_xlfn.XLOOKUP(_xlpm.ai_test,BR16:BR63,ROW(BR16:BR63),0,1))),_xlpm.p,_xlpm.r-MIN(ROW(BP16:BP63))+1,_xlpm.f,INDEX(BS16:BS63,_xlpm.p),_xlpm.u,INDEX(BT16:BT63,_xlpm.p),_xlpm.s,INDEX(BV16:BV63,_xlpm.p),_xlpm.q,N(BA314)/_xlpm.f,IF(_xlpm.q&gt;=_xlpm.s,ROUND(_xlpm.q,1)&amp;" "&amp;_xlpm.ai_test&amp;" = "&amp;ROUND(_xlpm.q*_xlpm.f,1)&amp;" "&amp;_xlpm.u,ROUND(_xlpm.q,1)&amp;" "&amp;_xlpm.ai_test)),""),""))))</f>
        <v>0</v>
      </c>
      <c r="BD314" s="801"/>
      <c r="BE314" s="799" t="str">
        <f t="shared" si="129"/>
        <v/>
      </c>
      <c r="BF314" s="800" t="str">
        <f t="shared" si="130"/>
        <v/>
      </c>
      <c r="BG314" s="802">
        <f t="shared" si="133"/>
        <v>0</v>
      </c>
      <c r="BH314" s="803" t="str">
        <f t="shared" si="134"/>
        <v/>
      </c>
      <c r="BI314" s="792"/>
      <c r="BJ314" s="804">
        <f t="shared" si="132"/>
        <v>0</v>
      </c>
      <c r="BK314" s="794" t="str">
        <f t="shared" si="131"/>
        <v/>
      </c>
      <c r="BL314" s="227" t="s">
        <v>21</v>
      </c>
      <c r="BM314" s="773">
        <f t="shared" si="120"/>
        <v>0</v>
      </c>
      <c r="BN314" s="774">
        <f t="shared" si="121"/>
        <v>0</v>
      </c>
      <c r="BO314"/>
      <c r="BP314" s="627"/>
      <c r="BQ314" s="627"/>
      <c r="BR314" s="627"/>
      <c r="BS314" s="627"/>
      <c r="BT314" s="627"/>
      <c r="BU314" s="627"/>
      <c r="BV314" s="627"/>
      <c r="BW314" s="627"/>
      <c r="CD314" s="781" t="str">
        <f t="shared" si="114"/>
        <v>►</v>
      </c>
      <c r="CI314"/>
      <c r="CJ314" s="633"/>
      <c r="CR314" s="633"/>
      <c r="CZ314" s="633"/>
      <c r="DH314" s="633"/>
      <c r="DI314" s="3">
        <v>1</v>
      </c>
    </row>
    <row r="315" spans="1:115" ht="21" customHeight="1">
      <c r="B315" s="2265" t="str" cm="1">
        <f t="array" ref="B315">SUMPRODUCT(--(D315:J315&lt;&gt;""), LEN(TRIM(SUBSTITUTE(D315:J315, CHAR(160), "")))) &amp; " Car."</f>
        <v>0 Car.</v>
      </c>
      <c r="C315" s="1376" t="str">
        <f>IF(ISBLANK(D315),"",LARGE(C13:C314,1)+1)</f>
        <v/>
      </c>
      <c r="D315" s="1833"/>
      <c r="E315" s="1810"/>
      <c r="F315" s="1810"/>
      <c r="G315" s="1810"/>
      <c r="H315" s="1810"/>
      <c r="I315" s="1810"/>
      <c r="J315" s="1810"/>
      <c r="K315" s="1810"/>
      <c r="L315" s="1811"/>
      <c r="M315" s="9"/>
      <c r="N315" s="103" t="str">
        <f t="shared" si="116"/>
        <v>►</v>
      </c>
      <c r="O315" s="1616"/>
      <c r="P315" s="9"/>
      <c r="Q315" s="25" t="s">
        <v>15</v>
      </c>
      <c r="R315" s="31"/>
      <c r="S315" s="32"/>
      <c r="T315" s="31"/>
      <c r="U315" s="33"/>
      <c r="V315" s="1967"/>
      <c r="W315" s="1805"/>
      <c r="X315" s="91"/>
      <c r="Y315" s="1806"/>
      <c r="Z315" s="1968"/>
      <c r="AA315" s="2244"/>
      <c r="AB315" s="1969"/>
      <c r="AC315" s="1365"/>
      <c r="AD315" s="95"/>
      <c r="AE315" s="1326"/>
      <c r="AF315" s="97"/>
      <c r="AG315" s="1737"/>
      <c r="AH315" s="1970"/>
      <c r="AI315" s="99"/>
      <c r="AJ315" s="1809"/>
      <c r="AK315" s="6120" t="str">
        <f t="shared" si="117"/>
        <v>►</v>
      </c>
      <c r="AL315" s="781" t="str">
        <f t="shared" si="119"/>
        <v>►</v>
      </c>
      <c r="AM315" s="5499" t="str">
        <f t="shared" si="122"/>
        <v/>
      </c>
      <c r="AN315" s="783" t="str">
        <f t="shared" si="123"/>
        <v/>
      </c>
      <c r="AO315" s="782" t="str">
        <f t="shared" si="124"/>
        <v/>
      </c>
      <c r="AP315" s="783" t="str">
        <f t="shared" si="125"/>
        <v/>
      </c>
      <c r="AQ315" s="2083" t="b">
        <f>AND(Q315="A",COUNTIF(BP16:BR63,TRIM(Z315))&gt;0)</f>
        <v>0</v>
      </c>
      <c r="AR315" s="797" t="str">
        <f>IF(AL315&lt;&gt;"A","",IFERROR(IFERROR(_xlfn.XLOOKUP(TRIM(SUBSTITUTE(Z315,CHAR(160)," ")),BP16:BP63,BS16:BS63),IFERROR(_xlfn.XLOOKUP(TRIM(SUBSTITUTE(Z315,CHAR(160)," ")),BQ16:BQ63,BS16:BS63),_xlfn.XLOOKUP(TRIM(SUBSTITUTE(Z315,CHAR(160)," ")),BR16:BR63,BS16:BS63)))*Y315*IF(ISBLANK(V315),1,V315),0))</f>
        <v/>
      </c>
      <c r="AS315" s="784" t="str">
        <f t="shared" si="115"/>
        <v/>
      </c>
      <c r="AT315" s="1315" t="str">
        <f t="shared" si="126"/>
        <v/>
      </c>
      <c r="AU315" s="785">
        <f t="shared" si="127"/>
        <v>0</v>
      </c>
      <c r="AV315" s="785">
        <f t="shared" si="128"/>
        <v>0</v>
      </c>
      <c r="AW315" s="786">
        <f>IF(AK315="A",AY10,0)</f>
        <v>0</v>
      </c>
      <c r="AX315" s="5495" t="str">
        <f>IF(IFERROR(SEARCH("Adresse PC",TRIM(W315)),0)&gt;0,"▼ receta siguiente",IF(AK315="A",IF(AZ10&lt;&gt;"",AZ10&amp;" - ou.or.o ❾ + or - &gt;",""),""))</f>
        <v/>
      </c>
      <c r="AY315" s="810"/>
      <c r="AZ315" s="810"/>
      <c r="BA315" s="788" t="str">
        <f t="shared" si="118"/>
        <v/>
      </c>
      <c r="BB315" s="789" t="str">
        <f>IF(AK315="A",IF(AQ315,IF(AND(AW315&lt;&gt;"",N(AW315)&gt;0),IFERROR(IFERROR(_xlfn.XLOOKUP(AP315,BP10:BP57,BT10:BT57),IFERROR(_xlfn.XLOOKUP(AP315,BQ10:BQ57,BT10:BT57),_xlfn.XLOOKUP(AP315,BR10:BR57,BT10:BT57,""))),""),""),""),"")</f>
        <v/>
      </c>
      <c r="BC315" s="811" cm="1">
        <f t="array" ref="BC315">IF(NOT(AQ315),0,IF(OR(BA315="",N(BA315)&lt;=0.000000001),"",IF(OR(AU315="",N(AU315)&lt;=0.000000001),0,IF(ISNUMBER(BA315),IFERROR(_xlfn.LET(_xlpm.ai_test,TRIM(AP315),_xlpm.r,IFERROR(_xlfn.XLOOKUP(_xlpm.ai_test,BP16:BP63,ROW(BP16:BP63),0,1),IFERROR(_xlfn.XLOOKUP(_xlpm.ai_test,BQ16:BQ63,ROW(BQ16:BQ63),0,1),_xlfn.XLOOKUP(_xlpm.ai_test,BR16:BR63,ROW(BR16:BR63),0,1))),_xlpm.p,_xlpm.r-MIN(ROW(BP16:BP63))+1,_xlpm.f,INDEX(BS16:BS63,_xlpm.p),_xlpm.u,INDEX(BT16:BT63,_xlpm.p),_xlpm.s,INDEX(BV16:BV63,_xlpm.p),_xlpm.q,N(BA315)/_xlpm.f,IF(_xlpm.q&gt;=_xlpm.s,ROUND(_xlpm.q,1)&amp;" "&amp;_xlpm.ai_test&amp;" = "&amp;ROUND(_xlpm.q*_xlpm.f,1)&amp;" "&amp;_xlpm.u,ROUND(_xlpm.q,1)&amp;" "&amp;_xlpm.ai_test)),""),""))))</f>
        <v>0</v>
      </c>
      <c r="BD315" s="801"/>
      <c r="BE315" s="788" t="str">
        <f t="shared" si="129"/>
        <v/>
      </c>
      <c r="BF315" s="789" t="str">
        <f t="shared" si="130"/>
        <v/>
      </c>
      <c r="BG315" s="790">
        <f t="shared" si="133"/>
        <v>0</v>
      </c>
      <c r="BH315" s="791" t="str">
        <f t="shared" si="134"/>
        <v/>
      </c>
      <c r="BI315" s="792"/>
      <c r="BJ315" s="793">
        <f t="shared" si="132"/>
        <v>0</v>
      </c>
      <c r="BK315" s="794" t="str">
        <f t="shared" si="131"/>
        <v/>
      </c>
      <c r="BL315" s="227" t="s">
        <v>21</v>
      </c>
      <c r="BM315" s="773">
        <f t="shared" si="120"/>
        <v>0</v>
      </c>
      <c r="BN315" s="774">
        <f t="shared" si="121"/>
        <v>0</v>
      </c>
      <c r="BO315"/>
      <c r="BP315" s="627"/>
      <c r="BQ315" s="627"/>
      <c r="BR315" s="627"/>
      <c r="BS315" s="627"/>
      <c r="BT315" s="627"/>
      <c r="BU315" s="627"/>
      <c r="BV315" s="627"/>
      <c r="BW315" s="627"/>
      <c r="CD315" s="781" t="str">
        <f t="shared" si="114"/>
        <v>►</v>
      </c>
      <c r="CI315"/>
      <c r="CJ315" s="633"/>
      <c r="CR315" s="633"/>
      <c r="CZ315" s="633"/>
      <c r="DH315" s="633"/>
      <c r="DI315" s="3">
        <v>1</v>
      </c>
    </row>
    <row r="316" spans="1:115" ht="21" customHeight="1">
      <c r="B316" s="2265" t="str" cm="1">
        <f t="array" ref="B316">SUMPRODUCT(--(D316:J316&lt;&gt;""), LEN(TRIM(SUBSTITUTE(D316:J316, CHAR(160), "")))) &amp; " Car."</f>
        <v>0 Car.</v>
      </c>
      <c r="C316" s="1376" t="str">
        <f>IF(ISBLANK(D316),"",LARGE(C13:C315,1)+1)</f>
        <v/>
      </c>
      <c r="D316" s="1833"/>
      <c r="E316" s="1810"/>
      <c r="F316" s="1810"/>
      <c r="G316" s="1810"/>
      <c r="H316" s="1810"/>
      <c r="I316" s="1810"/>
      <c r="J316" s="1810"/>
      <c r="K316" s="1810"/>
      <c r="L316" s="1811"/>
      <c r="M316" s="9"/>
      <c r="N316" s="103" t="str">
        <f t="shared" si="116"/>
        <v>►</v>
      </c>
      <c r="O316" s="1616"/>
      <c r="P316" s="9"/>
      <c r="Q316" s="25" t="s">
        <v>15</v>
      </c>
      <c r="R316" s="31"/>
      <c r="S316" s="32"/>
      <c r="T316" s="31"/>
      <c r="U316" s="33"/>
      <c r="V316" s="1967"/>
      <c r="W316" s="1805"/>
      <c r="X316" s="91"/>
      <c r="Y316" s="1806"/>
      <c r="Z316" s="1968"/>
      <c r="AA316" s="2244"/>
      <c r="AB316" s="1969"/>
      <c r="AC316" s="1365"/>
      <c r="AD316" s="95"/>
      <c r="AE316" s="1326"/>
      <c r="AF316" s="97"/>
      <c r="AG316" s="1737"/>
      <c r="AH316" s="1970"/>
      <c r="AI316" s="99"/>
      <c r="AJ316" s="1809"/>
      <c r="AK316" s="6120" t="str">
        <f t="shared" si="117"/>
        <v>►</v>
      </c>
      <c r="AL316" s="781" t="str">
        <f t="shared" si="119"/>
        <v>►</v>
      </c>
      <c r="AM316" s="5498" t="str">
        <f t="shared" si="122"/>
        <v/>
      </c>
      <c r="AN316" s="783" t="str">
        <f t="shared" si="123"/>
        <v/>
      </c>
      <c r="AO316" s="782" t="str">
        <f t="shared" si="124"/>
        <v/>
      </c>
      <c r="AP316" s="783" t="str">
        <f t="shared" si="125"/>
        <v/>
      </c>
      <c r="AQ316" s="2083" t="b">
        <f>AND(Q316="A",COUNTIF(BP16:BR63,TRIM(Z316))&gt;0)</f>
        <v>0</v>
      </c>
      <c r="AR316" s="797" t="str">
        <f>IF(AL316&lt;&gt;"A","",IFERROR(IFERROR(_xlfn.XLOOKUP(TRIM(SUBSTITUTE(Z316,CHAR(160)," ")),BP16:BP63,BS16:BS63),IFERROR(_xlfn.XLOOKUP(TRIM(SUBSTITUTE(Z316,CHAR(160)," ")),BQ16:BQ63,BS16:BS63),_xlfn.XLOOKUP(TRIM(SUBSTITUTE(Z316,CHAR(160)," ")),BR16:BR63,BS16:BS63)))*Y316*IF(ISBLANK(V316),1,V316),0))</f>
        <v/>
      </c>
      <c r="AS316" s="784" t="str">
        <f t="shared" si="115"/>
        <v/>
      </c>
      <c r="AT316" s="1315" t="str">
        <f t="shared" si="126"/>
        <v/>
      </c>
      <c r="AU316" s="785">
        <f t="shared" si="127"/>
        <v>0</v>
      </c>
      <c r="AV316" s="785">
        <f t="shared" si="128"/>
        <v>0</v>
      </c>
      <c r="AW316" s="798">
        <f>IF(AK316="A",AY10,0)</f>
        <v>0</v>
      </c>
      <c r="AX316" s="5496" t="str">
        <f>IF(IFERROR(SEARCH("Adresse PC",TRIM(W316)),0)&gt;0,"▼ receta siguiente",IF(AK316="A",IF(AZ10&lt;&gt;"",AZ10&amp;" - ou.or.o ❾ + or - &gt;",""),""))</f>
        <v/>
      </c>
      <c r="AY316" s="810"/>
      <c r="AZ316" s="810"/>
      <c r="BA316" s="799" t="str">
        <f t="shared" si="118"/>
        <v/>
      </c>
      <c r="BB316" s="800" t="str">
        <f>IF(AK316="A",IF(AQ316,IF(AND(AW316&lt;&gt;"",N(AW316)&gt;0),IFERROR(IFERROR(_xlfn.XLOOKUP(AP316,BP10:BP57,BT10:BT57),IFERROR(_xlfn.XLOOKUP(AP316,BQ10:BQ57,BT10:BT57),_xlfn.XLOOKUP(AP316,BR10:BR57,BT10:BT57,""))),""),""),""),"")</f>
        <v/>
      </c>
      <c r="BC316" s="813" cm="1">
        <f t="array" ref="BC316">IF(NOT(AQ316),0,IF(OR(BA316="",N(BA316)&lt;=0.000000001),"",IF(OR(AU316="",N(AU316)&lt;=0.000000001),0,IF(ISNUMBER(BA316),IFERROR(_xlfn.LET(_xlpm.ai_test,TRIM(AP316),_xlpm.r,IFERROR(_xlfn.XLOOKUP(_xlpm.ai_test,BP16:BP63,ROW(BP16:BP63),0,1),IFERROR(_xlfn.XLOOKUP(_xlpm.ai_test,BQ16:BQ63,ROW(BQ16:BQ63),0,1),_xlfn.XLOOKUP(_xlpm.ai_test,BR16:BR63,ROW(BR16:BR63),0,1))),_xlpm.p,_xlpm.r-MIN(ROW(BP16:BP63))+1,_xlpm.f,INDEX(BS16:BS63,_xlpm.p),_xlpm.u,INDEX(BT16:BT63,_xlpm.p),_xlpm.s,INDEX(BV16:BV63,_xlpm.p),_xlpm.q,N(BA316)/_xlpm.f,IF(_xlpm.q&gt;=_xlpm.s,ROUND(_xlpm.q,1)&amp;" "&amp;_xlpm.ai_test&amp;" = "&amp;ROUND(_xlpm.q*_xlpm.f,1)&amp;" "&amp;_xlpm.u,ROUND(_xlpm.q,1)&amp;" "&amp;_xlpm.ai_test)),""),""))))</f>
        <v>0</v>
      </c>
      <c r="BD316" s="801"/>
      <c r="BE316" s="799" t="str">
        <f t="shared" si="129"/>
        <v/>
      </c>
      <c r="BF316" s="800" t="str">
        <f t="shared" si="130"/>
        <v/>
      </c>
      <c r="BG316" s="802">
        <f t="shared" si="133"/>
        <v>0</v>
      </c>
      <c r="BH316" s="803" t="str">
        <f t="shared" si="134"/>
        <v/>
      </c>
      <c r="BI316" s="792"/>
      <c r="BJ316" s="804">
        <f t="shared" si="132"/>
        <v>0</v>
      </c>
      <c r="BK316" s="794" t="str">
        <f t="shared" si="131"/>
        <v/>
      </c>
      <c r="BL316" s="227" t="s">
        <v>21</v>
      </c>
      <c r="BM316" s="773">
        <f t="shared" si="120"/>
        <v>0</v>
      </c>
      <c r="BN316" s="774">
        <f t="shared" si="121"/>
        <v>0</v>
      </c>
      <c r="BO316"/>
      <c r="BP316" s="627"/>
      <c r="BQ316" s="627"/>
      <c r="BR316" s="627"/>
      <c r="BS316" s="627"/>
      <c r="BT316" s="627"/>
      <c r="BU316" s="627"/>
      <c r="BV316" s="627"/>
      <c r="BW316" s="627"/>
      <c r="CD316" s="781" t="str">
        <f t="shared" si="114"/>
        <v>►</v>
      </c>
      <c r="CI316"/>
      <c r="CJ316" s="633"/>
      <c r="CR316" s="633"/>
      <c r="CZ316" s="633"/>
      <c r="DH316" s="633"/>
      <c r="DI316" s="3">
        <v>1</v>
      </c>
    </row>
    <row r="317" spans="1:115" ht="21" customHeight="1">
      <c r="B317" s="2265" t="str" cm="1">
        <f t="array" ref="B317">SUMPRODUCT(--(D317:J317&lt;&gt;""), LEN(TRIM(SUBSTITUTE(D317:J317, CHAR(160), "")))) &amp; " Car."</f>
        <v>0 Car.</v>
      </c>
      <c r="C317" s="1376" t="str">
        <f>IF(ISBLANK(D317),"",LARGE(C13:C316,1)+1)</f>
        <v/>
      </c>
      <c r="D317" s="1833"/>
      <c r="E317" s="1810"/>
      <c r="F317" s="1810"/>
      <c r="G317" s="1810"/>
      <c r="H317" s="1810"/>
      <c r="I317" s="1810"/>
      <c r="J317" s="1810"/>
      <c r="K317" s="1810"/>
      <c r="L317" s="1811"/>
      <c r="M317" s="9"/>
      <c r="N317" s="103" t="str">
        <f t="shared" si="116"/>
        <v>►</v>
      </c>
      <c r="O317" s="1616"/>
      <c r="P317" s="9"/>
      <c r="Q317" s="25" t="s">
        <v>15</v>
      </c>
      <c r="R317" s="31"/>
      <c r="S317" s="32"/>
      <c r="T317" s="31"/>
      <c r="U317" s="33"/>
      <c r="V317" s="1967"/>
      <c r="W317" s="1805"/>
      <c r="X317" s="91"/>
      <c r="Y317" s="1806"/>
      <c r="Z317" s="1968"/>
      <c r="AA317" s="2244"/>
      <c r="AB317" s="1969"/>
      <c r="AC317" s="1365"/>
      <c r="AD317" s="95"/>
      <c r="AE317" s="1326"/>
      <c r="AF317" s="97"/>
      <c r="AG317" s="1737"/>
      <c r="AH317" s="1970"/>
      <c r="AI317" s="99"/>
      <c r="AJ317" s="1809"/>
      <c r="AK317" s="6120" t="str">
        <f t="shared" si="117"/>
        <v>►</v>
      </c>
      <c r="AL317" s="781" t="str">
        <f t="shared" si="119"/>
        <v>►</v>
      </c>
      <c r="AM317" s="5499" t="str">
        <f t="shared" si="122"/>
        <v/>
      </c>
      <c r="AN317" s="783" t="str">
        <f t="shared" si="123"/>
        <v/>
      </c>
      <c r="AO317" s="782" t="str">
        <f t="shared" si="124"/>
        <v/>
      </c>
      <c r="AP317" s="783" t="str">
        <f t="shared" si="125"/>
        <v/>
      </c>
      <c r="AQ317" s="2083" t="b">
        <f>AND(Q317="A",COUNTIF(BP16:BR63,TRIM(Z317))&gt;0)</f>
        <v>0</v>
      </c>
      <c r="AR317" s="797" t="str">
        <f>IF(AL317&lt;&gt;"A","",IFERROR(IFERROR(_xlfn.XLOOKUP(TRIM(SUBSTITUTE(Z317,CHAR(160)," ")),BP16:BP63,BS16:BS63),IFERROR(_xlfn.XLOOKUP(TRIM(SUBSTITUTE(Z317,CHAR(160)," ")),BQ16:BQ63,BS16:BS63),_xlfn.XLOOKUP(TRIM(SUBSTITUTE(Z317,CHAR(160)," ")),BR16:BR63,BS16:BS63)))*Y317*IF(ISBLANK(V317),1,V317),0))</f>
        <v/>
      </c>
      <c r="AS317" s="784" t="str">
        <f t="shared" si="115"/>
        <v/>
      </c>
      <c r="AT317" s="1315" t="str">
        <f t="shared" si="126"/>
        <v/>
      </c>
      <c r="AU317" s="785">
        <f t="shared" si="127"/>
        <v>0</v>
      </c>
      <c r="AV317" s="785">
        <f t="shared" si="128"/>
        <v>0</v>
      </c>
      <c r="AW317" s="786">
        <f>IF(AK317="A",AY10,0)</f>
        <v>0</v>
      </c>
      <c r="AX317" s="5495" t="str">
        <f>IF(IFERROR(SEARCH("Adresse PC",TRIM(W317)),0)&gt;0,"▼ receta siguiente",IF(AK317="A",IF(AZ10&lt;&gt;"",AZ10&amp;" - ou.or.o ❾ + or - &gt;",""),""))</f>
        <v/>
      </c>
      <c r="AY317" s="810"/>
      <c r="AZ317" s="810"/>
      <c r="BA317" s="788" t="str">
        <f t="shared" si="118"/>
        <v/>
      </c>
      <c r="BB317" s="789" t="str">
        <f>IF(AK317="A",IF(AQ317,IF(AND(AW317&lt;&gt;"",N(AW317)&gt;0),IFERROR(IFERROR(_xlfn.XLOOKUP(AP317,BP10:BP57,BT10:BT57),IFERROR(_xlfn.XLOOKUP(AP317,BQ10:BQ57,BT10:BT57),_xlfn.XLOOKUP(AP317,BR10:BR57,BT10:BT57,""))),""),""),""),"")</f>
        <v/>
      </c>
      <c r="BC317" s="811" cm="1">
        <f t="array" ref="BC317">IF(NOT(AQ317),0,IF(OR(BA317="",N(BA317)&lt;=0.000000001),"",IF(OR(AU317="",N(AU317)&lt;=0.000000001),0,IF(ISNUMBER(BA317),IFERROR(_xlfn.LET(_xlpm.ai_test,TRIM(AP317),_xlpm.r,IFERROR(_xlfn.XLOOKUP(_xlpm.ai_test,BP16:BP63,ROW(BP16:BP63),0,1),IFERROR(_xlfn.XLOOKUP(_xlpm.ai_test,BQ16:BQ63,ROW(BQ16:BQ63),0,1),_xlfn.XLOOKUP(_xlpm.ai_test,BR16:BR63,ROW(BR16:BR63),0,1))),_xlpm.p,_xlpm.r-MIN(ROW(BP16:BP63))+1,_xlpm.f,INDEX(BS16:BS63,_xlpm.p),_xlpm.u,INDEX(BT16:BT63,_xlpm.p),_xlpm.s,INDEX(BV16:BV63,_xlpm.p),_xlpm.q,N(BA317)/_xlpm.f,IF(_xlpm.q&gt;=_xlpm.s,ROUND(_xlpm.q,1)&amp;" "&amp;_xlpm.ai_test&amp;" = "&amp;ROUND(_xlpm.q*_xlpm.f,1)&amp;" "&amp;_xlpm.u,ROUND(_xlpm.q,1)&amp;" "&amp;_xlpm.ai_test)),""),""))))</f>
        <v>0</v>
      </c>
      <c r="BD317" s="801"/>
      <c r="BE317" s="788" t="str">
        <f t="shared" si="129"/>
        <v/>
      </c>
      <c r="BF317" s="789" t="str">
        <f t="shared" si="130"/>
        <v/>
      </c>
      <c r="BG317" s="790">
        <f t="shared" si="133"/>
        <v>0</v>
      </c>
      <c r="BH317" s="791" t="str">
        <f t="shared" si="134"/>
        <v/>
      </c>
      <c r="BI317" s="792"/>
      <c r="BJ317" s="793">
        <f t="shared" si="132"/>
        <v>0</v>
      </c>
      <c r="BK317" s="794" t="str">
        <f t="shared" si="131"/>
        <v/>
      </c>
      <c r="BL317" s="227" t="s">
        <v>21</v>
      </c>
      <c r="BM317" s="773">
        <f t="shared" si="120"/>
        <v>0</v>
      </c>
      <c r="BN317" s="774">
        <f t="shared" si="121"/>
        <v>0</v>
      </c>
      <c r="BO317"/>
      <c r="BP317" s="627"/>
      <c r="BQ317" s="627"/>
      <c r="BR317" s="627"/>
      <c r="BS317" s="627"/>
      <c r="BT317" s="627"/>
      <c r="BU317" s="627"/>
      <c r="BV317" s="627"/>
      <c r="BW317" s="627"/>
      <c r="CD317" s="781" t="str">
        <f t="shared" si="114"/>
        <v>►</v>
      </c>
      <c r="CI317"/>
      <c r="CJ317" s="633"/>
      <c r="CR317" s="633"/>
      <c r="CZ317" s="633"/>
      <c r="DH317" s="633"/>
      <c r="DI317" s="3">
        <v>1</v>
      </c>
    </row>
    <row r="318" spans="1:115" ht="21" customHeight="1">
      <c r="B318" s="2265" t="str" cm="1">
        <f t="array" ref="B318">SUMPRODUCT(--(D318:J318&lt;&gt;""), LEN(TRIM(SUBSTITUTE(D318:J318, CHAR(160), "")))) &amp; " Car."</f>
        <v>0 Car.</v>
      </c>
      <c r="C318" s="1376" t="str">
        <f>IF(ISBLANK(D318),"",LARGE(C13:C317,1)+1)</f>
        <v/>
      </c>
      <c r="D318" s="1833"/>
      <c r="E318" s="1810"/>
      <c r="F318" s="1810"/>
      <c r="G318" s="1810"/>
      <c r="H318" s="1810"/>
      <c r="I318" s="1810"/>
      <c r="J318" s="1810"/>
      <c r="K318" s="1810"/>
      <c r="L318" s="1811"/>
      <c r="M318" s="9"/>
      <c r="N318" s="103" t="str">
        <f t="shared" si="116"/>
        <v>►</v>
      </c>
      <c r="O318" s="1616"/>
      <c r="P318" s="9"/>
      <c r="Q318" s="25" t="s">
        <v>15</v>
      </c>
      <c r="R318" s="31"/>
      <c r="S318" s="32"/>
      <c r="T318" s="31"/>
      <c r="U318" s="33"/>
      <c r="V318" s="1967"/>
      <c r="W318" s="1805"/>
      <c r="X318" s="91"/>
      <c r="Y318" s="1806"/>
      <c r="Z318" s="1968"/>
      <c r="AA318" s="2244"/>
      <c r="AB318" s="1969"/>
      <c r="AC318" s="1365"/>
      <c r="AD318" s="95"/>
      <c r="AE318" s="1326"/>
      <c r="AF318" s="97"/>
      <c r="AG318" s="1737"/>
      <c r="AH318" s="1970"/>
      <c r="AI318" s="99"/>
      <c r="AJ318" s="1809"/>
      <c r="AK318" s="6120" t="str">
        <f t="shared" si="117"/>
        <v>►</v>
      </c>
      <c r="AL318" s="781" t="str">
        <f t="shared" si="119"/>
        <v>►</v>
      </c>
      <c r="AM318" s="5498" t="str">
        <f t="shared" si="122"/>
        <v/>
      </c>
      <c r="AN318" s="783" t="str">
        <f t="shared" si="123"/>
        <v/>
      </c>
      <c r="AO318" s="782" t="str">
        <f t="shared" si="124"/>
        <v/>
      </c>
      <c r="AP318" s="783" t="str">
        <f t="shared" si="125"/>
        <v/>
      </c>
      <c r="AQ318" s="2083" t="b">
        <f>AND(Q318="A",COUNTIF(BP16:BR63,TRIM(Z318))&gt;0)</f>
        <v>0</v>
      </c>
      <c r="AR318" s="797" t="str">
        <f>IF(AL318&lt;&gt;"A","",IFERROR(IFERROR(_xlfn.XLOOKUP(TRIM(SUBSTITUTE(Z318,CHAR(160)," ")),BP16:BP63,BS16:BS63),IFERROR(_xlfn.XLOOKUP(TRIM(SUBSTITUTE(Z318,CHAR(160)," ")),BQ16:BQ63,BS16:BS63),_xlfn.XLOOKUP(TRIM(SUBSTITUTE(Z318,CHAR(160)," ")),BR16:BR63,BS16:BS63)))*Y318*IF(ISBLANK(V318),1,V318),0))</f>
        <v/>
      </c>
      <c r="AS318" s="784" t="str">
        <f t="shared" si="115"/>
        <v/>
      </c>
      <c r="AT318" s="1315" t="str">
        <f t="shared" si="126"/>
        <v/>
      </c>
      <c r="AU318" s="785">
        <f t="shared" si="127"/>
        <v>0</v>
      </c>
      <c r="AV318" s="785">
        <f t="shared" si="128"/>
        <v>0</v>
      </c>
      <c r="AW318" s="798">
        <f>IF(AK318="A",AY10,0)</f>
        <v>0</v>
      </c>
      <c r="AX318" s="5496" t="str">
        <f>IF(IFERROR(SEARCH("Adresse PC",TRIM(W318)),0)&gt;0,"▼ receta siguiente",IF(AK318="A",IF(AZ10&lt;&gt;"",AZ10&amp;" - ou.or.o ❾ + or - &gt;",""),""))</f>
        <v/>
      </c>
      <c r="AY318" s="810"/>
      <c r="AZ318" s="810"/>
      <c r="BA318" s="799" t="str">
        <f t="shared" si="118"/>
        <v/>
      </c>
      <c r="BB318" s="800" t="str">
        <f>IF(AK318="A",IF(AQ318,IF(AND(AW318&lt;&gt;"",N(AW318)&gt;0),IFERROR(IFERROR(_xlfn.XLOOKUP(AP318,BP10:BP57,BT10:BT57),IFERROR(_xlfn.XLOOKUP(AP318,BQ10:BQ57,BT10:BT57),_xlfn.XLOOKUP(AP318,BR10:BR57,BT10:BT57,""))),""),""),""),"")</f>
        <v/>
      </c>
      <c r="BC318" s="813" cm="1">
        <f t="array" ref="BC318">IF(NOT(AQ318),0,IF(OR(BA318="",N(BA318)&lt;=0.000000001),"",IF(OR(AU318="",N(AU318)&lt;=0.000000001),0,IF(ISNUMBER(BA318),IFERROR(_xlfn.LET(_xlpm.ai_test,TRIM(AP318),_xlpm.r,IFERROR(_xlfn.XLOOKUP(_xlpm.ai_test,BP16:BP63,ROW(BP16:BP63),0,1),IFERROR(_xlfn.XLOOKUP(_xlpm.ai_test,BQ16:BQ63,ROW(BQ16:BQ63),0,1),_xlfn.XLOOKUP(_xlpm.ai_test,BR16:BR63,ROW(BR16:BR63),0,1))),_xlpm.p,_xlpm.r-MIN(ROW(BP16:BP63))+1,_xlpm.f,INDEX(BS16:BS63,_xlpm.p),_xlpm.u,INDEX(BT16:BT63,_xlpm.p),_xlpm.s,INDEX(BV16:BV63,_xlpm.p),_xlpm.q,N(BA318)/_xlpm.f,IF(_xlpm.q&gt;=_xlpm.s,ROUND(_xlpm.q,1)&amp;" "&amp;_xlpm.ai_test&amp;" = "&amp;ROUND(_xlpm.q*_xlpm.f,1)&amp;" "&amp;_xlpm.u,ROUND(_xlpm.q,1)&amp;" "&amp;_xlpm.ai_test)),""),""))))</f>
        <v>0</v>
      </c>
      <c r="BD318" s="801"/>
      <c r="BE318" s="799" t="str">
        <f t="shared" si="129"/>
        <v/>
      </c>
      <c r="BF318" s="800" t="str">
        <f t="shared" si="130"/>
        <v/>
      </c>
      <c r="BG318" s="802">
        <f t="shared" si="133"/>
        <v>0</v>
      </c>
      <c r="BH318" s="803" t="str">
        <f t="shared" si="134"/>
        <v/>
      </c>
      <c r="BI318" s="792"/>
      <c r="BJ318" s="804">
        <f t="shared" si="132"/>
        <v>0</v>
      </c>
      <c r="BK318" s="794" t="str">
        <f t="shared" si="131"/>
        <v/>
      </c>
      <c r="BL318" s="227" t="s">
        <v>21</v>
      </c>
      <c r="BM318" s="773">
        <f t="shared" si="120"/>
        <v>0</v>
      </c>
      <c r="BN318" s="774">
        <f t="shared" si="121"/>
        <v>0</v>
      </c>
      <c r="BO318"/>
      <c r="BP318" s="627"/>
      <c r="BQ318" s="627"/>
      <c r="BR318" s="627"/>
      <c r="BS318" s="627"/>
      <c r="BT318" s="627"/>
      <c r="BU318" s="627"/>
      <c r="BV318" s="627"/>
      <c r="BW318" s="627"/>
      <c r="CD318" s="781" t="str">
        <f t="shared" si="114"/>
        <v>►</v>
      </c>
      <c r="CI318"/>
      <c r="CJ318" s="633"/>
      <c r="CR318" s="633"/>
      <c r="CZ318" s="633"/>
      <c r="DH318" s="633"/>
      <c r="DI318" s="3">
        <v>1</v>
      </c>
    </row>
    <row r="319" spans="1:115" ht="21" customHeight="1">
      <c r="B319" s="2265" t="str" cm="1">
        <f t="array" ref="B319">SUMPRODUCT(--(D319:J319&lt;&gt;""), LEN(TRIM(SUBSTITUTE(D319:J319, CHAR(160), "")))) &amp; " Car."</f>
        <v>0 Car.</v>
      </c>
      <c r="C319" s="1376" t="str">
        <f>IF(ISBLANK(D319),"",LARGE(C13:C318,1)+1)</f>
        <v/>
      </c>
      <c r="D319" s="1833"/>
      <c r="E319" s="1810"/>
      <c r="F319" s="1810"/>
      <c r="G319" s="1810"/>
      <c r="H319" s="1810"/>
      <c r="I319" s="1810"/>
      <c r="J319" s="1810"/>
      <c r="K319" s="1810"/>
      <c r="L319" s="1811"/>
      <c r="M319" s="9"/>
      <c r="N319" s="103" t="str">
        <f t="shared" si="116"/>
        <v>►</v>
      </c>
      <c r="O319" s="1616"/>
      <c r="P319" s="9"/>
      <c r="Q319" s="25" t="s">
        <v>15</v>
      </c>
      <c r="R319" s="31"/>
      <c r="S319" s="32"/>
      <c r="T319" s="31"/>
      <c r="U319" s="33"/>
      <c r="V319" s="1967"/>
      <c r="W319" s="1805"/>
      <c r="X319" s="91"/>
      <c r="Y319" s="1806"/>
      <c r="Z319" s="1968"/>
      <c r="AA319" s="2244"/>
      <c r="AB319" s="1969"/>
      <c r="AC319" s="1365"/>
      <c r="AD319" s="95"/>
      <c r="AE319" s="1326"/>
      <c r="AF319" s="97"/>
      <c r="AG319" s="1737"/>
      <c r="AH319" s="1970"/>
      <c r="AI319" s="99"/>
      <c r="AJ319" s="1809"/>
      <c r="AK319" s="6120" t="str">
        <f t="shared" si="117"/>
        <v>►</v>
      </c>
      <c r="AL319" s="781" t="str">
        <f t="shared" si="119"/>
        <v>►</v>
      </c>
      <c r="AM319" s="5499" t="str">
        <f t="shared" si="122"/>
        <v/>
      </c>
      <c r="AN319" s="783" t="str">
        <f t="shared" si="123"/>
        <v/>
      </c>
      <c r="AO319" s="782" t="str">
        <f t="shared" si="124"/>
        <v/>
      </c>
      <c r="AP319" s="783" t="str">
        <f t="shared" si="125"/>
        <v/>
      </c>
      <c r="AQ319" s="2083" t="b">
        <f>AND(Q319="A",COUNTIF(BP16:BR63,TRIM(Z319))&gt;0)</f>
        <v>0</v>
      </c>
      <c r="AR319" s="797" t="str">
        <f>IF(AL319&lt;&gt;"A","",IFERROR(IFERROR(_xlfn.XLOOKUP(TRIM(SUBSTITUTE(Z319,CHAR(160)," ")),BP16:BP63,BS16:BS63),IFERROR(_xlfn.XLOOKUP(TRIM(SUBSTITUTE(Z319,CHAR(160)," ")),BQ16:BQ63,BS16:BS63),_xlfn.XLOOKUP(TRIM(SUBSTITUTE(Z319,CHAR(160)," ")),BR16:BR63,BS16:BS63)))*Y319*IF(ISBLANK(V319),1,V319),0))</f>
        <v/>
      </c>
      <c r="AS319" s="784" t="str">
        <f t="shared" si="115"/>
        <v/>
      </c>
      <c r="AT319" s="1315" t="str">
        <f t="shared" si="126"/>
        <v/>
      </c>
      <c r="AU319" s="785">
        <f t="shared" si="127"/>
        <v>0</v>
      </c>
      <c r="AV319" s="785">
        <f t="shared" si="128"/>
        <v>0</v>
      </c>
      <c r="AW319" s="786">
        <f>IF(AK319="A",AY10,0)</f>
        <v>0</v>
      </c>
      <c r="AX319" s="5495" t="str">
        <f>IF(IFERROR(SEARCH("Adresse PC",TRIM(W319)),0)&gt;0,"▼ receta siguiente",IF(AK319="A",IF(AZ10&lt;&gt;"",AZ10&amp;" - ou.or.o ❾ + or - &gt;",""),""))</f>
        <v/>
      </c>
      <c r="AY319" s="810"/>
      <c r="AZ319" s="810"/>
      <c r="BA319" s="788" t="str">
        <f t="shared" si="118"/>
        <v/>
      </c>
      <c r="BB319" s="789" t="str">
        <f>IF(AK319="A",IF(AQ319,IF(AND(AW319&lt;&gt;"",N(AW319)&gt;0),IFERROR(IFERROR(_xlfn.XLOOKUP(AP319,BP10:BP57,BT10:BT57),IFERROR(_xlfn.XLOOKUP(AP319,BQ10:BQ57,BT10:BT57),_xlfn.XLOOKUP(AP319,BR10:BR57,BT10:BT57,""))),""),""),""),"")</f>
        <v/>
      </c>
      <c r="BC319" s="811" cm="1">
        <f t="array" ref="BC319">IF(NOT(AQ319),0,IF(OR(BA319="",N(BA319)&lt;=0.000000001),"",IF(OR(AU319="",N(AU319)&lt;=0.000000001),0,IF(ISNUMBER(BA319),IFERROR(_xlfn.LET(_xlpm.ai_test,TRIM(AP319),_xlpm.r,IFERROR(_xlfn.XLOOKUP(_xlpm.ai_test,BP16:BP63,ROW(BP16:BP63),0,1),IFERROR(_xlfn.XLOOKUP(_xlpm.ai_test,BQ16:BQ63,ROW(BQ16:BQ63),0,1),_xlfn.XLOOKUP(_xlpm.ai_test,BR16:BR63,ROW(BR16:BR63),0,1))),_xlpm.p,_xlpm.r-MIN(ROW(BP16:BP63))+1,_xlpm.f,INDEX(BS16:BS63,_xlpm.p),_xlpm.u,INDEX(BT16:BT63,_xlpm.p),_xlpm.s,INDEX(BV16:BV63,_xlpm.p),_xlpm.q,N(BA319)/_xlpm.f,IF(_xlpm.q&gt;=_xlpm.s,ROUND(_xlpm.q,1)&amp;" "&amp;_xlpm.ai_test&amp;" = "&amp;ROUND(_xlpm.q*_xlpm.f,1)&amp;" "&amp;_xlpm.u,ROUND(_xlpm.q,1)&amp;" "&amp;_xlpm.ai_test)),""),""))))</f>
        <v>0</v>
      </c>
      <c r="BD319" s="801"/>
      <c r="BE319" s="788" t="str">
        <f t="shared" si="129"/>
        <v/>
      </c>
      <c r="BF319" s="789" t="str">
        <f t="shared" si="130"/>
        <v/>
      </c>
      <c r="BG319" s="790">
        <f t="shared" si="133"/>
        <v>0</v>
      </c>
      <c r="BH319" s="791" t="str">
        <f t="shared" si="134"/>
        <v/>
      </c>
      <c r="BI319" s="792"/>
      <c r="BJ319" s="793">
        <f t="shared" si="132"/>
        <v>0</v>
      </c>
      <c r="BK319" s="794" t="str">
        <f t="shared" si="131"/>
        <v/>
      </c>
      <c r="BL319" s="227" t="s">
        <v>21</v>
      </c>
      <c r="BM319" s="773">
        <f t="shared" si="120"/>
        <v>0</v>
      </c>
      <c r="BN319" s="774">
        <f t="shared" si="121"/>
        <v>0</v>
      </c>
      <c r="BO319"/>
      <c r="BP319" s="627"/>
      <c r="BQ319" s="627"/>
      <c r="BR319" s="627"/>
      <c r="BS319" s="627"/>
      <c r="BT319" s="627"/>
      <c r="BU319" s="627"/>
      <c r="BV319" s="627"/>
      <c r="BW319" s="627"/>
      <c r="CD319" s="781" t="str">
        <f t="shared" si="114"/>
        <v>►</v>
      </c>
      <c r="CI319"/>
      <c r="CJ319" s="633"/>
      <c r="CR319" s="633"/>
      <c r="CZ319" s="633"/>
      <c r="DH319" s="633"/>
      <c r="DI319" s="3">
        <v>1</v>
      </c>
    </row>
    <row r="320" spans="1:115" ht="21" customHeight="1">
      <c r="B320" s="2265" t="str" cm="1">
        <f t="array" ref="B320">SUMPRODUCT(--(D320:J320&lt;&gt;""), LEN(TRIM(SUBSTITUTE(D320:J320, CHAR(160), "")))) &amp; " Car."</f>
        <v>0 Car.</v>
      </c>
      <c r="C320" s="1376" t="str">
        <f>IF(ISBLANK(D320),"",LARGE(C13:C319,1)+1)</f>
        <v/>
      </c>
      <c r="D320" s="1833"/>
      <c r="E320" s="1810"/>
      <c r="F320" s="1810"/>
      <c r="G320" s="1810"/>
      <c r="H320" s="1810"/>
      <c r="I320" s="1810"/>
      <c r="J320" s="1810"/>
      <c r="K320" s="1810"/>
      <c r="L320" s="1811"/>
      <c r="M320" s="9"/>
      <c r="N320" s="103" t="str">
        <f t="shared" si="116"/>
        <v>►</v>
      </c>
      <c r="O320" s="1616"/>
      <c r="P320" s="9"/>
      <c r="Q320" s="25" t="s">
        <v>15</v>
      </c>
      <c r="R320" s="31"/>
      <c r="S320" s="32"/>
      <c r="T320" s="31"/>
      <c r="U320" s="33"/>
      <c r="V320" s="1967"/>
      <c r="W320" s="1805"/>
      <c r="X320" s="91"/>
      <c r="Y320" s="1806"/>
      <c r="Z320" s="1968"/>
      <c r="AA320" s="2244"/>
      <c r="AB320" s="1969"/>
      <c r="AC320" s="1365"/>
      <c r="AD320" s="95"/>
      <c r="AE320" s="1326"/>
      <c r="AF320" s="97"/>
      <c r="AG320" s="1737"/>
      <c r="AH320" s="1970"/>
      <c r="AI320" s="99"/>
      <c r="AJ320" s="1809"/>
      <c r="AK320" s="6120" t="str">
        <f t="shared" si="117"/>
        <v>►</v>
      </c>
      <c r="AL320" s="781" t="str">
        <f t="shared" si="119"/>
        <v>►</v>
      </c>
      <c r="AM320" s="5498" t="str">
        <f t="shared" si="122"/>
        <v/>
      </c>
      <c r="AN320" s="783" t="str">
        <f t="shared" si="123"/>
        <v/>
      </c>
      <c r="AO320" s="782" t="str">
        <f t="shared" si="124"/>
        <v/>
      </c>
      <c r="AP320" s="783" t="str">
        <f t="shared" si="125"/>
        <v/>
      </c>
      <c r="AQ320" s="2083" t="b">
        <f>AND(Q320="A",COUNTIF(BP16:BR63,TRIM(Z320))&gt;0)</f>
        <v>0</v>
      </c>
      <c r="AR320" s="797" t="str">
        <f>IF(AL320&lt;&gt;"A","",IFERROR(IFERROR(_xlfn.XLOOKUP(TRIM(SUBSTITUTE(Z320,CHAR(160)," ")),BP16:BP63,BS16:BS63),IFERROR(_xlfn.XLOOKUP(TRIM(SUBSTITUTE(Z320,CHAR(160)," ")),BQ16:BQ63,BS16:BS63),_xlfn.XLOOKUP(TRIM(SUBSTITUTE(Z320,CHAR(160)," ")),BR16:BR63,BS16:BS63)))*Y320*IF(ISBLANK(V320),1,V320),0))</f>
        <v/>
      </c>
      <c r="AS320" s="784" t="str">
        <f t="shared" si="115"/>
        <v/>
      </c>
      <c r="AT320" s="1315" t="str">
        <f t="shared" si="126"/>
        <v/>
      </c>
      <c r="AU320" s="785">
        <f t="shared" si="127"/>
        <v>0</v>
      </c>
      <c r="AV320" s="785">
        <f t="shared" si="128"/>
        <v>0</v>
      </c>
      <c r="AW320" s="798">
        <f>IF(AK320="A",AY10,0)</f>
        <v>0</v>
      </c>
      <c r="AX320" s="5496" t="str">
        <f>IF(IFERROR(SEARCH("Adresse PC",TRIM(W320)),0)&gt;0,"▼ receta siguiente",IF(AK320="A",IF(AZ10&lt;&gt;"",AZ10&amp;" - ou.or.o ❾ + or - &gt;",""),""))</f>
        <v/>
      </c>
      <c r="AY320" s="810"/>
      <c r="AZ320" s="810"/>
      <c r="BA320" s="799" t="str">
        <f t="shared" si="118"/>
        <v/>
      </c>
      <c r="BB320" s="800" t="str">
        <f>IF(AK320="A",IF(AQ320,IF(AND(AW320&lt;&gt;"",N(AW320)&gt;0),IFERROR(IFERROR(_xlfn.XLOOKUP(AP320,BP10:BP57,BT10:BT57),IFERROR(_xlfn.XLOOKUP(AP320,BQ10:BQ57,BT10:BT57),_xlfn.XLOOKUP(AP320,BR10:BR57,BT10:BT57,""))),""),""),""),"")</f>
        <v/>
      </c>
      <c r="BC320" s="813" cm="1">
        <f t="array" ref="BC320">IF(NOT(AQ320),0,IF(OR(BA320="",N(BA320)&lt;=0.000000001),"",IF(OR(AU320="",N(AU320)&lt;=0.000000001),0,IF(ISNUMBER(BA320),IFERROR(_xlfn.LET(_xlpm.ai_test,TRIM(AP320),_xlpm.r,IFERROR(_xlfn.XLOOKUP(_xlpm.ai_test,BP16:BP63,ROW(BP16:BP63),0,1),IFERROR(_xlfn.XLOOKUP(_xlpm.ai_test,BQ16:BQ63,ROW(BQ16:BQ63),0,1),_xlfn.XLOOKUP(_xlpm.ai_test,BR16:BR63,ROW(BR16:BR63),0,1))),_xlpm.p,_xlpm.r-MIN(ROW(BP16:BP63))+1,_xlpm.f,INDEX(BS16:BS63,_xlpm.p),_xlpm.u,INDEX(BT16:BT63,_xlpm.p),_xlpm.s,INDEX(BV16:BV63,_xlpm.p),_xlpm.q,N(BA320)/_xlpm.f,IF(_xlpm.q&gt;=_xlpm.s,ROUND(_xlpm.q,1)&amp;" "&amp;_xlpm.ai_test&amp;" = "&amp;ROUND(_xlpm.q*_xlpm.f,1)&amp;" "&amp;_xlpm.u,ROUND(_xlpm.q,1)&amp;" "&amp;_xlpm.ai_test)),""),""))))</f>
        <v>0</v>
      </c>
      <c r="BD320" s="801"/>
      <c r="BE320" s="799" t="str">
        <f t="shared" si="129"/>
        <v/>
      </c>
      <c r="BF320" s="800" t="str">
        <f t="shared" si="130"/>
        <v/>
      </c>
      <c r="BG320" s="802">
        <f t="shared" si="133"/>
        <v>0</v>
      </c>
      <c r="BH320" s="803" t="str">
        <f t="shared" si="134"/>
        <v/>
      </c>
      <c r="BI320" s="792"/>
      <c r="BJ320" s="804">
        <f t="shared" si="132"/>
        <v>0</v>
      </c>
      <c r="BK320" s="794" t="str">
        <f t="shared" si="131"/>
        <v/>
      </c>
      <c r="BL320" s="227" t="s">
        <v>21</v>
      </c>
      <c r="BM320" s="773">
        <f t="shared" si="120"/>
        <v>0</v>
      </c>
      <c r="BN320" s="774">
        <f t="shared" si="121"/>
        <v>0</v>
      </c>
      <c r="BO320"/>
      <c r="BP320" s="627"/>
      <c r="BQ320" s="627"/>
      <c r="BR320" s="627"/>
      <c r="BS320" s="627"/>
      <c r="BT320" s="627"/>
      <c r="BU320" s="627"/>
      <c r="BV320" s="627"/>
      <c r="BW320" s="627"/>
      <c r="CD320" s="781" t="str">
        <f t="shared" si="114"/>
        <v>►</v>
      </c>
      <c r="CI320"/>
      <c r="CJ320" s="633"/>
      <c r="CR320" s="633"/>
      <c r="CZ320" s="633"/>
      <c r="DH320" s="633"/>
      <c r="DI320" s="3">
        <v>1</v>
      </c>
    </row>
    <row r="321" spans="2:113" ht="21" customHeight="1">
      <c r="B321" s="2265" t="str" cm="1">
        <f t="array" ref="B321">SUMPRODUCT(--(D321:J321&lt;&gt;""), LEN(TRIM(SUBSTITUTE(D321:J321, CHAR(160), "")))) &amp; " Car."</f>
        <v>0 Car.</v>
      </c>
      <c r="C321" s="1376" t="str">
        <f>IF(ISBLANK(D321),"",LARGE(C13:C320,1)+1)</f>
        <v/>
      </c>
      <c r="D321" s="1833"/>
      <c r="E321" s="1810"/>
      <c r="F321" s="1810"/>
      <c r="G321" s="1810"/>
      <c r="H321" s="1810"/>
      <c r="I321" s="1810"/>
      <c r="J321" s="1810"/>
      <c r="K321" s="1810"/>
      <c r="L321" s="1811"/>
      <c r="M321" s="9"/>
      <c r="N321" s="103" t="str">
        <f t="shared" si="116"/>
        <v>►</v>
      </c>
      <c r="O321" s="1616"/>
      <c r="P321" s="9"/>
      <c r="Q321" s="25" t="s">
        <v>15</v>
      </c>
      <c r="R321" s="31"/>
      <c r="S321" s="32"/>
      <c r="T321" s="31"/>
      <c r="U321" s="33"/>
      <c r="V321" s="1967"/>
      <c r="W321" s="1805"/>
      <c r="X321" s="91"/>
      <c r="Y321" s="1806"/>
      <c r="Z321" s="1968"/>
      <c r="AA321" s="2244"/>
      <c r="AB321" s="1969"/>
      <c r="AC321" s="1365"/>
      <c r="AD321" s="95"/>
      <c r="AE321" s="1326"/>
      <c r="AF321" s="97"/>
      <c r="AG321" s="1737"/>
      <c r="AH321" s="1970"/>
      <c r="AI321" s="99"/>
      <c r="AJ321" s="1809"/>
      <c r="AK321" s="6120" t="str">
        <f t="shared" si="117"/>
        <v>►</v>
      </c>
      <c r="AL321" s="781" t="str">
        <f t="shared" si="119"/>
        <v>►</v>
      </c>
      <c r="AM321" s="5499" t="str">
        <f t="shared" si="122"/>
        <v/>
      </c>
      <c r="AN321" s="783" t="str">
        <f t="shared" si="123"/>
        <v/>
      </c>
      <c r="AO321" s="782" t="str">
        <f t="shared" si="124"/>
        <v/>
      </c>
      <c r="AP321" s="783" t="str">
        <f t="shared" si="125"/>
        <v/>
      </c>
      <c r="AQ321" s="2083" t="b">
        <f>AND(Q321="A",COUNTIF(BP16:BR63,TRIM(Z321))&gt;0)</f>
        <v>0</v>
      </c>
      <c r="AR321" s="797" t="str">
        <f>IF(AL321&lt;&gt;"A","",IFERROR(IFERROR(_xlfn.XLOOKUP(TRIM(SUBSTITUTE(Z321,CHAR(160)," ")),BP16:BP63,BS16:BS63),IFERROR(_xlfn.XLOOKUP(TRIM(SUBSTITUTE(Z321,CHAR(160)," ")),BQ16:BQ63,BS16:BS63),_xlfn.XLOOKUP(TRIM(SUBSTITUTE(Z321,CHAR(160)," ")),BR16:BR63,BS16:BS63)))*Y321*IF(ISBLANK(V321),1,V321),0))</f>
        <v/>
      </c>
      <c r="AS321" s="784" t="str">
        <f t="shared" si="115"/>
        <v/>
      </c>
      <c r="AT321" s="1315" t="str">
        <f t="shared" si="126"/>
        <v/>
      </c>
      <c r="AU321" s="785">
        <f t="shared" si="127"/>
        <v>0</v>
      </c>
      <c r="AV321" s="785">
        <f t="shared" si="128"/>
        <v>0</v>
      </c>
      <c r="AW321" s="786">
        <f>IF(AK321="A",AY10,0)</f>
        <v>0</v>
      </c>
      <c r="AX321" s="5495" t="str">
        <f>IF(IFERROR(SEARCH("Adresse PC",TRIM(W321)),0)&gt;0,"▼ receta siguiente",IF(AK321="A",IF(AZ10&lt;&gt;"",AZ10&amp;" - ou.or.o ❾ + or - &gt;",""),""))</f>
        <v/>
      </c>
      <c r="AY321" s="810"/>
      <c r="AZ321" s="810"/>
      <c r="BA321" s="788" t="str">
        <f t="shared" si="118"/>
        <v/>
      </c>
      <c r="BB321" s="789" t="str">
        <f>IF(AK321="A",IF(AQ321,IF(AND(AW321&lt;&gt;"",N(AW321)&gt;0),IFERROR(IFERROR(_xlfn.XLOOKUP(AP321,BP10:BP57,BT10:BT57),IFERROR(_xlfn.XLOOKUP(AP321,BQ10:BQ57,BT10:BT57),_xlfn.XLOOKUP(AP321,BR10:BR57,BT10:BT57,""))),""),""),""),"")</f>
        <v/>
      </c>
      <c r="BC321" s="811" cm="1">
        <f t="array" ref="BC321">IF(NOT(AQ321),0,IF(OR(BA321="",N(BA321)&lt;=0.000000001),"",IF(OR(AU321="",N(AU321)&lt;=0.000000001),0,IF(ISNUMBER(BA321),IFERROR(_xlfn.LET(_xlpm.ai_test,TRIM(AP321),_xlpm.r,IFERROR(_xlfn.XLOOKUP(_xlpm.ai_test,BP16:BP63,ROW(BP16:BP63),0,1),IFERROR(_xlfn.XLOOKUP(_xlpm.ai_test,BQ16:BQ63,ROW(BQ16:BQ63),0,1),_xlfn.XLOOKUP(_xlpm.ai_test,BR16:BR63,ROW(BR16:BR63),0,1))),_xlpm.p,_xlpm.r-MIN(ROW(BP16:BP63))+1,_xlpm.f,INDEX(BS16:BS63,_xlpm.p),_xlpm.u,INDEX(BT16:BT63,_xlpm.p),_xlpm.s,INDEX(BV16:BV63,_xlpm.p),_xlpm.q,N(BA321)/_xlpm.f,IF(_xlpm.q&gt;=_xlpm.s,ROUND(_xlpm.q,1)&amp;" "&amp;_xlpm.ai_test&amp;" = "&amp;ROUND(_xlpm.q*_xlpm.f,1)&amp;" "&amp;_xlpm.u,ROUND(_xlpm.q,1)&amp;" "&amp;_xlpm.ai_test)),""),""))))</f>
        <v>0</v>
      </c>
      <c r="BD321" s="801"/>
      <c r="BE321" s="788" t="str">
        <f t="shared" si="129"/>
        <v/>
      </c>
      <c r="BF321" s="789" t="str">
        <f t="shared" si="130"/>
        <v/>
      </c>
      <c r="BG321" s="790">
        <f t="shared" si="133"/>
        <v>0</v>
      </c>
      <c r="BH321" s="791" t="str">
        <f t="shared" si="134"/>
        <v/>
      </c>
      <c r="BI321" s="792"/>
      <c r="BJ321" s="793">
        <f t="shared" si="132"/>
        <v>0</v>
      </c>
      <c r="BK321" s="794" t="str">
        <f t="shared" si="131"/>
        <v/>
      </c>
      <c r="BL321" s="227" t="s">
        <v>21</v>
      </c>
      <c r="BM321" s="773">
        <f t="shared" si="120"/>
        <v>0</v>
      </c>
      <c r="BN321" s="774">
        <f t="shared" si="121"/>
        <v>0</v>
      </c>
      <c r="BO321"/>
      <c r="BP321" s="627"/>
      <c r="BQ321" s="627"/>
      <c r="BR321" s="627"/>
      <c r="BS321" s="627"/>
      <c r="BT321" s="627"/>
      <c r="BU321" s="627"/>
      <c r="BV321" s="627"/>
      <c r="BW321" s="627"/>
      <c r="CD321" s="781" t="str">
        <f t="shared" si="114"/>
        <v>►</v>
      </c>
      <c r="CE321" s="633"/>
      <c r="CF321" s="633"/>
      <c r="CG321" s="633"/>
      <c r="CH321" s="633"/>
      <c r="CI321" s="633"/>
      <c r="CJ321" s="633"/>
      <c r="CR321" s="633"/>
      <c r="CZ321" s="633"/>
      <c r="DH321" s="633"/>
      <c r="DI321" s="3">
        <v>1</v>
      </c>
    </row>
    <row r="322" spans="2:113" s="627" customFormat="1" ht="21" customHeight="1">
      <c r="B322" s="2265" t="str" cm="1">
        <f t="array" ref="B322">SUMPRODUCT(--(D322:J322&lt;&gt;""), LEN(TRIM(SUBSTITUTE(D322:J322, CHAR(160), "")))) &amp; " Car."</f>
        <v>0 Car.</v>
      </c>
      <c r="C322" s="1376" t="str">
        <f>IF(ISBLANK(D322),"",LARGE(C13:C321,1)+1)</f>
        <v/>
      </c>
      <c r="D322" s="1833"/>
      <c r="E322" s="1810"/>
      <c r="F322" s="1810"/>
      <c r="G322" s="1810"/>
      <c r="H322" s="1810"/>
      <c r="I322" s="1810"/>
      <c r="J322" s="1810"/>
      <c r="K322" s="1810"/>
      <c r="L322" s="1811"/>
      <c r="M322" s="9"/>
      <c r="N322" s="103" t="str">
        <f t="shared" si="116"/>
        <v>►</v>
      </c>
      <c r="O322" s="1616"/>
      <c r="P322" s="9"/>
      <c r="Q322" s="25" t="s">
        <v>15</v>
      </c>
      <c r="R322" s="31"/>
      <c r="S322" s="32"/>
      <c r="T322" s="31"/>
      <c r="U322" s="33"/>
      <c r="V322" s="1967"/>
      <c r="W322" s="1805"/>
      <c r="X322" s="91"/>
      <c r="Y322" s="1806"/>
      <c r="Z322" s="1968"/>
      <c r="AA322" s="2244"/>
      <c r="AB322" s="1969"/>
      <c r="AC322" s="1365"/>
      <c r="AD322" s="95"/>
      <c r="AE322" s="1326"/>
      <c r="AF322" s="97"/>
      <c r="AG322" s="1737"/>
      <c r="AH322" s="1970"/>
      <c r="AI322" s="99"/>
      <c r="AJ322" s="1809"/>
      <c r="AK322" s="6120" t="str">
        <f t="shared" si="117"/>
        <v>►</v>
      </c>
      <c r="AL322" s="781" t="str">
        <f t="shared" si="119"/>
        <v>►</v>
      </c>
      <c r="AM322" s="5498" t="str">
        <f t="shared" si="122"/>
        <v/>
      </c>
      <c r="AN322" s="783" t="str">
        <f t="shared" si="123"/>
        <v/>
      </c>
      <c r="AO322" s="782" t="str">
        <f t="shared" si="124"/>
        <v/>
      </c>
      <c r="AP322" s="783" t="str">
        <f t="shared" si="125"/>
        <v/>
      </c>
      <c r="AQ322" s="2083" t="b">
        <f>AND(Q322="A",COUNTIF(BP16:BR63,TRIM(Z322))&gt;0)</f>
        <v>0</v>
      </c>
      <c r="AR322" s="797" t="str">
        <f>IF(AL322&lt;&gt;"A","",IFERROR(IFERROR(_xlfn.XLOOKUP(TRIM(SUBSTITUTE(Z322,CHAR(160)," ")),BP16:BP63,BS16:BS63),IFERROR(_xlfn.XLOOKUP(TRIM(SUBSTITUTE(Z322,CHAR(160)," ")),BQ16:BQ63,BS16:BS63),_xlfn.XLOOKUP(TRIM(SUBSTITUTE(Z322,CHAR(160)," ")),BR16:BR63,BS16:BS63)))*Y322*IF(ISBLANK(V322),1,V322),0))</f>
        <v/>
      </c>
      <c r="AS322" s="784" t="str">
        <f t="shared" si="115"/>
        <v/>
      </c>
      <c r="AT322" s="1315" t="str">
        <f t="shared" si="126"/>
        <v/>
      </c>
      <c r="AU322" s="785">
        <f t="shared" si="127"/>
        <v>0</v>
      </c>
      <c r="AV322" s="785">
        <f t="shared" si="128"/>
        <v>0</v>
      </c>
      <c r="AW322" s="798">
        <f>IF(AK322="A",AY10,0)</f>
        <v>0</v>
      </c>
      <c r="AX322" s="5496" t="str">
        <f>IF(IFERROR(SEARCH("Adresse PC",TRIM(W322)),0)&gt;0,"▼ receta siguiente",IF(AK322="A",IF(AZ10&lt;&gt;"",AZ10&amp;" - ou.or.o ❾ + or - &gt;",""),""))</f>
        <v/>
      </c>
      <c r="AY322" s="810"/>
      <c r="AZ322" s="810"/>
      <c r="BA322" s="799" t="str">
        <f t="shared" si="118"/>
        <v/>
      </c>
      <c r="BB322" s="800" t="str">
        <f>IF(AK322="A",IF(AQ322,IF(AND(AW322&lt;&gt;"",N(AW322)&gt;0),IFERROR(IFERROR(_xlfn.XLOOKUP(AP322,BP10:BP57,BT10:BT57),IFERROR(_xlfn.XLOOKUP(AP322,BQ10:BQ57,BT10:BT57),_xlfn.XLOOKUP(AP322,BR10:BR57,BT10:BT57,""))),""),""),""),"")</f>
        <v/>
      </c>
      <c r="BC322" s="813" cm="1">
        <f t="array" ref="BC322">IF(NOT(AQ322),0,IF(OR(BA322="",N(BA322)&lt;=0.000000001),"",IF(OR(AU322="",N(AU322)&lt;=0.000000001),0,IF(ISNUMBER(BA322),IFERROR(_xlfn.LET(_xlpm.ai_test,TRIM(AP322),_xlpm.r,IFERROR(_xlfn.XLOOKUP(_xlpm.ai_test,BP16:BP63,ROW(BP16:BP63),0,1),IFERROR(_xlfn.XLOOKUP(_xlpm.ai_test,BQ16:BQ63,ROW(BQ16:BQ63),0,1),_xlfn.XLOOKUP(_xlpm.ai_test,BR16:BR63,ROW(BR16:BR63),0,1))),_xlpm.p,_xlpm.r-MIN(ROW(BP16:BP63))+1,_xlpm.f,INDEX(BS16:BS63,_xlpm.p),_xlpm.u,INDEX(BT16:BT63,_xlpm.p),_xlpm.s,INDEX(BV16:BV63,_xlpm.p),_xlpm.q,N(BA322)/_xlpm.f,IF(_xlpm.q&gt;=_xlpm.s,ROUND(_xlpm.q,1)&amp;" "&amp;_xlpm.ai_test&amp;" = "&amp;ROUND(_xlpm.q*_xlpm.f,1)&amp;" "&amp;_xlpm.u,ROUND(_xlpm.q,1)&amp;" "&amp;_xlpm.ai_test)),""),""))))</f>
        <v>0</v>
      </c>
      <c r="BD322" s="801"/>
      <c r="BE322" s="799" t="str">
        <f t="shared" si="129"/>
        <v/>
      </c>
      <c r="BF322" s="800" t="str">
        <f t="shared" si="130"/>
        <v/>
      </c>
      <c r="BG322" s="802">
        <f t="shared" si="133"/>
        <v>0</v>
      </c>
      <c r="BH322" s="803" t="str">
        <f t="shared" si="134"/>
        <v/>
      </c>
      <c r="BI322" s="792"/>
      <c r="BJ322" s="804">
        <f t="shared" si="132"/>
        <v>0</v>
      </c>
      <c r="BK322" s="794" t="str">
        <f t="shared" si="131"/>
        <v/>
      </c>
      <c r="BL322" s="227" t="s">
        <v>21</v>
      </c>
      <c r="BM322" s="773">
        <f t="shared" si="120"/>
        <v>0</v>
      </c>
      <c r="BN322" s="774">
        <f t="shared" si="121"/>
        <v>0</v>
      </c>
      <c r="BO322"/>
      <c r="BX322"/>
      <c r="BY322"/>
      <c r="BZ322"/>
      <c r="CA322"/>
      <c r="CB322"/>
      <c r="CC322"/>
      <c r="CD322" s="781" t="str">
        <f t="shared" si="114"/>
        <v>►</v>
      </c>
      <c r="CE322" s="633"/>
      <c r="CF322" s="633"/>
      <c r="CG322" s="633"/>
      <c r="CH322" s="633"/>
      <c r="CI322" s="633"/>
      <c r="CJ322" s="633"/>
      <c r="CK322"/>
      <c r="CL322"/>
      <c r="CM322"/>
      <c r="CN322"/>
      <c r="CO322"/>
      <c r="CP322"/>
      <c r="CQ322"/>
      <c r="CR322" s="633"/>
      <c r="CS322"/>
      <c r="CT322"/>
      <c r="CU322"/>
      <c r="CV322"/>
      <c r="CW322"/>
      <c r="CX322"/>
      <c r="CY322"/>
      <c r="CZ322" s="633"/>
      <c r="DA322"/>
      <c r="DB322"/>
      <c r="DC322"/>
      <c r="DD322"/>
      <c r="DE322"/>
      <c r="DF322"/>
      <c r="DG322"/>
      <c r="DH322" s="633"/>
      <c r="DI322" s="3">
        <v>1</v>
      </c>
    </row>
    <row r="323" spans="2:113" s="627" customFormat="1" ht="21" customHeight="1">
      <c r="B323" s="2265" t="str" cm="1">
        <f t="array" ref="B323">SUMPRODUCT(--(D323:J323&lt;&gt;""), LEN(TRIM(SUBSTITUTE(D323:J323, CHAR(160), "")))) &amp; " Car."</f>
        <v>0 Car.</v>
      </c>
      <c r="C323" s="1376" t="str">
        <f>IF(ISBLANK(D323),"",LARGE(C13:C322,1)+1)</f>
        <v/>
      </c>
      <c r="D323" s="1833"/>
      <c r="E323" s="1810"/>
      <c r="F323" s="1810"/>
      <c r="G323" s="1810"/>
      <c r="H323" s="1810"/>
      <c r="I323" s="1810"/>
      <c r="J323" s="1810"/>
      <c r="K323" s="1810"/>
      <c r="L323" s="1811"/>
      <c r="M323" s="9"/>
      <c r="N323" s="103" t="str">
        <f t="shared" si="116"/>
        <v>►</v>
      </c>
      <c r="O323" s="1616"/>
      <c r="P323" s="9"/>
      <c r="Q323" s="25" t="s">
        <v>15</v>
      </c>
      <c r="R323" s="31"/>
      <c r="S323" s="32"/>
      <c r="T323" s="31"/>
      <c r="U323" s="33"/>
      <c r="V323" s="1967"/>
      <c r="W323" s="1805"/>
      <c r="X323" s="91"/>
      <c r="Y323" s="1806"/>
      <c r="Z323" s="1968"/>
      <c r="AA323" s="2244"/>
      <c r="AB323" s="1969"/>
      <c r="AC323" s="1365"/>
      <c r="AD323" s="95"/>
      <c r="AE323" s="1326"/>
      <c r="AF323" s="97"/>
      <c r="AG323" s="1737"/>
      <c r="AH323" s="1970"/>
      <c r="AI323" s="99"/>
      <c r="AJ323" s="1809"/>
      <c r="AK323" s="6120" t="str">
        <f t="shared" si="117"/>
        <v>►</v>
      </c>
      <c r="AL323" s="781" t="str">
        <f t="shared" si="119"/>
        <v>►</v>
      </c>
      <c r="AM323" s="5499" t="str">
        <f t="shared" si="122"/>
        <v/>
      </c>
      <c r="AN323" s="783" t="str">
        <f t="shared" si="123"/>
        <v/>
      </c>
      <c r="AO323" s="782" t="str">
        <f t="shared" si="124"/>
        <v/>
      </c>
      <c r="AP323" s="783" t="str">
        <f t="shared" si="125"/>
        <v/>
      </c>
      <c r="AQ323" s="2083" t="b">
        <f>AND(Q323="A",COUNTIF(BP16:BR63,TRIM(Z323))&gt;0)</f>
        <v>0</v>
      </c>
      <c r="AR323" s="797" t="str">
        <f>IF(AL323&lt;&gt;"A","",IFERROR(IFERROR(_xlfn.XLOOKUP(TRIM(SUBSTITUTE(Z323,CHAR(160)," ")),BP16:BP63,BS16:BS63),IFERROR(_xlfn.XLOOKUP(TRIM(SUBSTITUTE(Z323,CHAR(160)," ")),BQ16:BQ63,BS16:BS63),_xlfn.XLOOKUP(TRIM(SUBSTITUTE(Z323,CHAR(160)," ")),BR16:BR63,BS16:BS63)))*Y323*IF(ISBLANK(V323),1,V323),0))</f>
        <v/>
      </c>
      <c r="AS323" s="784" t="str">
        <f t="shared" si="115"/>
        <v/>
      </c>
      <c r="AT323" s="1315" t="str">
        <f t="shared" si="126"/>
        <v/>
      </c>
      <c r="AU323" s="785">
        <f t="shared" si="127"/>
        <v>0</v>
      </c>
      <c r="AV323" s="785">
        <f t="shared" si="128"/>
        <v>0</v>
      </c>
      <c r="AW323" s="786">
        <f>IF(AK323="A",AY10,0)</f>
        <v>0</v>
      </c>
      <c r="AX323" s="5495" t="str">
        <f>IF(IFERROR(SEARCH("Adresse PC",TRIM(W323)),0)&gt;0,"▼ receta siguiente",IF(AK323="A",IF(AZ10&lt;&gt;"",AZ10&amp;" - ou.or.o ❾ + or - &gt;",""),""))</f>
        <v/>
      </c>
      <c r="AY323" s="810"/>
      <c r="AZ323" s="810"/>
      <c r="BA323" s="788" t="str">
        <f t="shared" si="118"/>
        <v/>
      </c>
      <c r="BB323" s="789" t="str">
        <f>IF(AK323="A",IF(AQ323,IF(AND(AW323&lt;&gt;"",N(AW323)&gt;0),IFERROR(IFERROR(_xlfn.XLOOKUP(AP323,BP10:BP57,BT10:BT57),IFERROR(_xlfn.XLOOKUP(AP323,BQ10:BQ57,BT10:BT57),_xlfn.XLOOKUP(AP323,BR10:BR57,BT10:BT57,""))),""),""),""),"")</f>
        <v/>
      </c>
      <c r="BC323" s="811" cm="1">
        <f t="array" ref="BC323">IF(NOT(AQ323),0,IF(OR(BA323="",N(BA323)&lt;=0.000000001),"",IF(OR(AU323="",N(AU323)&lt;=0.000000001),0,IF(ISNUMBER(BA323),IFERROR(_xlfn.LET(_xlpm.ai_test,TRIM(AP323),_xlpm.r,IFERROR(_xlfn.XLOOKUP(_xlpm.ai_test,BP16:BP63,ROW(BP16:BP63),0,1),IFERROR(_xlfn.XLOOKUP(_xlpm.ai_test,BQ16:BQ63,ROW(BQ16:BQ63),0,1),_xlfn.XLOOKUP(_xlpm.ai_test,BR16:BR63,ROW(BR16:BR63),0,1))),_xlpm.p,_xlpm.r-MIN(ROW(BP16:BP63))+1,_xlpm.f,INDEX(BS16:BS63,_xlpm.p),_xlpm.u,INDEX(BT16:BT63,_xlpm.p),_xlpm.s,INDEX(BV16:BV63,_xlpm.p),_xlpm.q,N(BA323)/_xlpm.f,IF(_xlpm.q&gt;=_xlpm.s,ROUND(_xlpm.q,1)&amp;" "&amp;_xlpm.ai_test&amp;" = "&amp;ROUND(_xlpm.q*_xlpm.f,1)&amp;" "&amp;_xlpm.u,ROUND(_xlpm.q,1)&amp;" "&amp;_xlpm.ai_test)),""),""))))</f>
        <v>0</v>
      </c>
      <c r="BD323" s="801"/>
      <c r="BE323" s="788" t="str">
        <f t="shared" si="129"/>
        <v/>
      </c>
      <c r="BF323" s="789" t="str">
        <f t="shared" si="130"/>
        <v/>
      </c>
      <c r="BG323" s="790">
        <f t="shared" si="133"/>
        <v>0</v>
      </c>
      <c r="BH323" s="791" t="str">
        <f t="shared" si="134"/>
        <v/>
      </c>
      <c r="BI323" s="792"/>
      <c r="BJ323" s="793">
        <f t="shared" si="132"/>
        <v>0</v>
      </c>
      <c r="BK323" s="794" t="str">
        <f t="shared" si="131"/>
        <v/>
      </c>
      <c r="BL323" s="227" t="s">
        <v>21</v>
      </c>
      <c r="BM323" s="773">
        <f t="shared" si="120"/>
        <v>0</v>
      </c>
      <c r="BN323" s="774">
        <f t="shared" si="121"/>
        <v>0</v>
      </c>
      <c r="BO323"/>
      <c r="BX323"/>
      <c r="BY323"/>
      <c r="BZ323"/>
      <c r="CA323"/>
      <c r="CB323"/>
      <c r="CC323"/>
      <c r="CD323" s="781" t="str">
        <f t="shared" si="114"/>
        <v>►</v>
      </c>
      <c r="CE323"/>
      <c r="CF323"/>
      <c r="CG323"/>
      <c r="CH323"/>
      <c r="CI323"/>
      <c r="CJ323" s="633"/>
      <c r="CK323"/>
      <c r="CL323"/>
      <c r="CM323"/>
      <c r="CN323"/>
      <c r="CO323"/>
      <c r="CP323"/>
      <c r="CQ323"/>
      <c r="CR323" s="633"/>
      <c r="CS323"/>
      <c r="CT323"/>
      <c r="CU323"/>
      <c r="CV323"/>
      <c r="CW323"/>
      <c r="CX323"/>
      <c r="CY323"/>
      <c r="CZ323" s="633"/>
      <c r="DA323"/>
      <c r="DB323"/>
      <c r="DC323"/>
      <c r="DD323"/>
      <c r="DE323"/>
      <c r="DF323"/>
      <c r="DG323"/>
      <c r="DH323" s="633"/>
      <c r="DI323" s="3">
        <v>1</v>
      </c>
    </row>
    <row r="324" spans="2:113" s="627" customFormat="1" ht="21" customHeight="1">
      <c r="B324" s="2265" t="str" cm="1">
        <f t="array" ref="B324">SUMPRODUCT(--(D324:J324&lt;&gt;""), LEN(TRIM(SUBSTITUTE(D324:J324, CHAR(160), "")))) &amp; " Car."</f>
        <v>0 Car.</v>
      </c>
      <c r="C324" s="1376" t="str">
        <f>IF(ISBLANK(D324),"",LARGE(C13:C323,1)+1)</f>
        <v/>
      </c>
      <c r="D324" s="1833"/>
      <c r="E324" s="1810"/>
      <c r="F324" s="1810"/>
      <c r="G324" s="1810"/>
      <c r="H324" s="1810"/>
      <c r="I324" s="1810"/>
      <c r="J324" s="1810"/>
      <c r="K324" s="1810"/>
      <c r="L324" s="1811"/>
      <c r="M324" s="9"/>
      <c r="N324" s="103" t="str">
        <f t="shared" si="116"/>
        <v>►</v>
      </c>
      <c r="O324" s="1616"/>
      <c r="P324" s="9"/>
      <c r="Q324" s="25" t="s">
        <v>15</v>
      </c>
      <c r="R324" s="31"/>
      <c r="S324" s="32"/>
      <c r="T324" s="31"/>
      <c r="U324" s="33"/>
      <c r="V324" s="1967"/>
      <c r="W324" s="1805"/>
      <c r="X324" s="91"/>
      <c r="Y324" s="1806"/>
      <c r="Z324" s="1968"/>
      <c r="AA324" s="2244"/>
      <c r="AB324" s="1969"/>
      <c r="AC324" s="1365"/>
      <c r="AD324" s="95"/>
      <c r="AE324" s="1326"/>
      <c r="AF324" s="97"/>
      <c r="AG324" s="1737"/>
      <c r="AH324" s="1970"/>
      <c r="AI324" s="99"/>
      <c r="AJ324" s="1809"/>
      <c r="AK324" s="6120" t="str">
        <f t="shared" si="117"/>
        <v>►</v>
      </c>
      <c r="AL324" s="781" t="str">
        <f t="shared" si="119"/>
        <v>►</v>
      </c>
      <c r="AM324" s="5498" t="str">
        <f t="shared" si="122"/>
        <v/>
      </c>
      <c r="AN324" s="783" t="str">
        <f t="shared" si="123"/>
        <v/>
      </c>
      <c r="AO324" s="782" t="str">
        <f t="shared" si="124"/>
        <v/>
      </c>
      <c r="AP324" s="783" t="str">
        <f t="shared" si="125"/>
        <v/>
      </c>
      <c r="AQ324" s="2083" t="b">
        <f>AND(Q324="A",COUNTIF(BP16:BR63,TRIM(Z324))&gt;0)</f>
        <v>0</v>
      </c>
      <c r="AR324" s="797" t="str">
        <f>IF(AL324&lt;&gt;"A","",IFERROR(IFERROR(_xlfn.XLOOKUP(TRIM(SUBSTITUTE(Z324,CHAR(160)," ")),BP16:BP63,BS16:BS63),IFERROR(_xlfn.XLOOKUP(TRIM(SUBSTITUTE(Z324,CHAR(160)," ")),BQ16:BQ63,BS16:BS63),_xlfn.XLOOKUP(TRIM(SUBSTITUTE(Z324,CHAR(160)," ")),BR16:BR63,BS16:BS63)))*Y324*IF(ISBLANK(V324),1,V324),0))</f>
        <v/>
      </c>
      <c r="AS324" s="784" t="str">
        <f t="shared" si="115"/>
        <v/>
      </c>
      <c r="AT324" s="1315" t="str">
        <f t="shared" si="126"/>
        <v/>
      </c>
      <c r="AU324" s="785">
        <f t="shared" si="127"/>
        <v>0</v>
      </c>
      <c r="AV324" s="785">
        <f t="shared" si="128"/>
        <v>0</v>
      </c>
      <c r="AW324" s="798">
        <f>IF(AK324="A",AY10,0)</f>
        <v>0</v>
      </c>
      <c r="AX324" s="5496" t="str">
        <f>IF(IFERROR(SEARCH("Adresse PC",TRIM(W324)),0)&gt;0,"▼ receta siguiente",IF(AK324="A",IF(AZ10&lt;&gt;"",AZ10&amp;" - ou.or.o ❾ + or - &gt;",""),""))</f>
        <v/>
      </c>
      <c r="AY324" s="810"/>
      <c r="AZ324" s="810"/>
      <c r="BA324" s="799" t="str">
        <f t="shared" si="118"/>
        <v/>
      </c>
      <c r="BB324" s="800" t="str">
        <f>IF(AK324="A",IF(AQ324,IF(AND(AW324&lt;&gt;"",N(AW324)&gt;0),IFERROR(IFERROR(_xlfn.XLOOKUP(AP324,BP10:BP57,BT10:BT57),IFERROR(_xlfn.XLOOKUP(AP324,BQ10:BQ57,BT10:BT57),_xlfn.XLOOKUP(AP324,BR10:BR57,BT10:BT57,""))),""),""),""),"")</f>
        <v/>
      </c>
      <c r="BC324" s="813" cm="1">
        <f t="array" ref="BC324">IF(NOT(AQ324),0,IF(OR(BA324="",N(BA324)&lt;=0.000000001),"",IF(OR(AU324="",N(AU324)&lt;=0.000000001),0,IF(ISNUMBER(BA324),IFERROR(_xlfn.LET(_xlpm.ai_test,TRIM(AP324),_xlpm.r,IFERROR(_xlfn.XLOOKUP(_xlpm.ai_test,BP16:BP63,ROW(BP16:BP63),0,1),IFERROR(_xlfn.XLOOKUP(_xlpm.ai_test,BQ16:BQ63,ROW(BQ16:BQ63),0,1),_xlfn.XLOOKUP(_xlpm.ai_test,BR16:BR63,ROW(BR16:BR63),0,1))),_xlpm.p,_xlpm.r-MIN(ROW(BP16:BP63))+1,_xlpm.f,INDEX(BS16:BS63,_xlpm.p),_xlpm.u,INDEX(BT16:BT63,_xlpm.p),_xlpm.s,INDEX(BV16:BV63,_xlpm.p),_xlpm.q,N(BA324)/_xlpm.f,IF(_xlpm.q&gt;=_xlpm.s,ROUND(_xlpm.q,1)&amp;" "&amp;_xlpm.ai_test&amp;" = "&amp;ROUND(_xlpm.q*_xlpm.f,1)&amp;" "&amp;_xlpm.u,ROUND(_xlpm.q,1)&amp;" "&amp;_xlpm.ai_test)),""),""))))</f>
        <v>0</v>
      </c>
      <c r="BD324" s="801"/>
      <c r="BE324" s="799" t="str">
        <f t="shared" si="129"/>
        <v/>
      </c>
      <c r="BF324" s="800" t="str">
        <f t="shared" si="130"/>
        <v/>
      </c>
      <c r="BG324" s="802">
        <f t="shared" si="133"/>
        <v>0</v>
      </c>
      <c r="BH324" s="803" t="str">
        <f t="shared" si="134"/>
        <v/>
      </c>
      <c r="BI324" s="792"/>
      <c r="BJ324" s="804">
        <f t="shared" si="132"/>
        <v>0</v>
      </c>
      <c r="BK324" s="794" t="str">
        <f t="shared" si="131"/>
        <v/>
      </c>
      <c r="BL324" s="227" t="s">
        <v>21</v>
      </c>
      <c r="BM324" s="773">
        <f t="shared" si="120"/>
        <v>0</v>
      </c>
      <c r="BN324" s="774">
        <f t="shared" si="121"/>
        <v>0</v>
      </c>
      <c r="BO324"/>
      <c r="BX324"/>
      <c r="BY324"/>
      <c r="BZ324"/>
      <c r="CA324"/>
      <c r="CB324"/>
      <c r="CC324"/>
      <c r="CD324" s="781" t="str">
        <f t="shared" si="114"/>
        <v>►</v>
      </c>
      <c r="CE324" s="633"/>
      <c r="CF324" s="633"/>
      <c r="CG324" s="633"/>
      <c r="CH324" s="633"/>
      <c r="CI324" s="633"/>
      <c r="CJ324" s="633"/>
      <c r="CK324"/>
      <c r="CL324"/>
      <c r="CM324"/>
      <c r="CN324"/>
      <c r="CO324"/>
      <c r="CP324"/>
      <c r="CQ324"/>
      <c r="CR324" s="633"/>
      <c r="CS324"/>
      <c r="CT324"/>
      <c r="CU324"/>
      <c r="CV324"/>
      <c r="CW324"/>
      <c r="CX324"/>
      <c r="CY324"/>
      <c r="CZ324" s="633"/>
      <c r="DA324"/>
      <c r="DB324"/>
      <c r="DC324"/>
      <c r="DD324"/>
      <c r="DE324"/>
      <c r="DF324"/>
      <c r="DG324"/>
      <c r="DH324" s="633"/>
      <c r="DI324" s="3">
        <v>1</v>
      </c>
    </row>
    <row r="325" spans="2:113" s="627" customFormat="1" ht="21" customHeight="1">
      <c r="B325" s="2265" t="str" cm="1">
        <f t="array" ref="B325">SUMPRODUCT(--(D325:J325&lt;&gt;""), LEN(TRIM(SUBSTITUTE(D325:J325, CHAR(160), "")))) &amp; " Car."</f>
        <v>0 Car.</v>
      </c>
      <c r="C325" s="1376" t="str">
        <f>IF(ISBLANK(D325),"",LARGE(C13:C324,1)+1)</f>
        <v/>
      </c>
      <c r="D325" s="1833"/>
      <c r="E325" s="1810"/>
      <c r="F325" s="1810"/>
      <c r="G325" s="1810"/>
      <c r="H325" s="1810"/>
      <c r="I325" s="1810"/>
      <c r="J325" s="1810"/>
      <c r="K325" s="1810"/>
      <c r="L325" s="1811"/>
      <c r="M325" s="9"/>
      <c r="N325" s="103" t="str">
        <f t="shared" si="116"/>
        <v>►</v>
      </c>
      <c r="O325" s="1616"/>
      <c r="P325" s="9"/>
      <c r="Q325" s="25" t="s">
        <v>15</v>
      </c>
      <c r="R325" s="31"/>
      <c r="S325" s="32"/>
      <c r="T325" s="31"/>
      <c r="U325" s="33"/>
      <c r="V325" s="1967"/>
      <c r="W325" s="1805"/>
      <c r="X325" s="91"/>
      <c r="Y325" s="1806"/>
      <c r="Z325" s="1968"/>
      <c r="AA325" s="2244"/>
      <c r="AB325" s="1969"/>
      <c r="AC325" s="1365"/>
      <c r="AD325" s="95"/>
      <c r="AE325" s="1326"/>
      <c r="AF325" s="97"/>
      <c r="AG325" s="1737"/>
      <c r="AH325" s="1970"/>
      <c r="AI325" s="99"/>
      <c r="AJ325" s="1809"/>
      <c r="AK325" s="6120" t="str">
        <f t="shared" si="117"/>
        <v>►</v>
      </c>
      <c r="AL325" s="781" t="str">
        <f t="shared" si="119"/>
        <v>►</v>
      </c>
      <c r="AM325" s="5499" t="str">
        <f t="shared" si="122"/>
        <v/>
      </c>
      <c r="AN325" s="783" t="str">
        <f t="shared" si="123"/>
        <v/>
      </c>
      <c r="AO325" s="782" t="str">
        <f t="shared" si="124"/>
        <v/>
      </c>
      <c r="AP325" s="783" t="str">
        <f t="shared" si="125"/>
        <v/>
      </c>
      <c r="AQ325" s="2083" t="b">
        <f>AND(Q325="A",COUNTIF(BP16:BR63,TRIM(Z325))&gt;0)</f>
        <v>0</v>
      </c>
      <c r="AR325" s="797" t="str">
        <f>IF(AL325&lt;&gt;"A","",IFERROR(IFERROR(_xlfn.XLOOKUP(TRIM(SUBSTITUTE(Z325,CHAR(160)," ")),BP16:BP63,BS16:BS63),IFERROR(_xlfn.XLOOKUP(TRIM(SUBSTITUTE(Z325,CHAR(160)," ")),BQ16:BQ63,BS16:BS63),_xlfn.XLOOKUP(TRIM(SUBSTITUTE(Z325,CHAR(160)," ")),BR16:BR63,BS16:BS63)))*Y325*IF(ISBLANK(V325),1,V325),0))</f>
        <v/>
      </c>
      <c r="AS325" s="784" t="str">
        <f t="shared" si="115"/>
        <v/>
      </c>
      <c r="AT325" s="1315" t="str">
        <f t="shared" si="126"/>
        <v/>
      </c>
      <c r="AU325" s="785">
        <f t="shared" si="127"/>
        <v>0</v>
      </c>
      <c r="AV325" s="785">
        <f t="shared" si="128"/>
        <v>0</v>
      </c>
      <c r="AW325" s="786">
        <f>IF(AK325="A",AY10,0)</f>
        <v>0</v>
      </c>
      <c r="AX325" s="5495" t="str">
        <f>IF(IFERROR(SEARCH("Adresse PC",TRIM(W325)),0)&gt;0,"▼ receta siguiente",IF(AK325="A",IF(AZ10&lt;&gt;"",AZ10&amp;" - ou.or.o ❾ + or - &gt;",""),""))</f>
        <v/>
      </c>
      <c r="AY325" s="810"/>
      <c r="AZ325" s="810"/>
      <c r="BA325" s="788" t="str">
        <f t="shared" si="118"/>
        <v/>
      </c>
      <c r="BB325" s="789" t="str">
        <f>IF(AK325="A",IF(AQ325,IF(AND(AW325&lt;&gt;"",N(AW325)&gt;0),IFERROR(IFERROR(_xlfn.XLOOKUP(AP325,BP10:BP57,BT10:BT57),IFERROR(_xlfn.XLOOKUP(AP325,BQ10:BQ57,BT10:BT57),_xlfn.XLOOKUP(AP325,BR10:BR57,BT10:BT57,""))),""),""),""),"")</f>
        <v/>
      </c>
      <c r="BC325" s="811" cm="1">
        <f t="array" ref="BC325">IF(NOT(AQ325),0,IF(OR(BA325="",N(BA325)&lt;=0.000000001),"",IF(OR(AU325="",N(AU325)&lt;=0.000000001),0,IF(ISNUMBER(BA325),IFERROR(_xlfn.LET(_xlpm.ai_test,TRIM(AP325),_xlpm.r,IFERROR(_xlfn.XLOOKUP(_xlpm.ai_test,BP16:BP63,ROW(BP16:BP63),0,1),IFERROR(_xlfn.XLOOKUP(_xlpm.ai_test,BQ16:BQ63,ROW(BQ16:BQ63),0,1),_xlfn.XLOOKUP(_xlpm.ai_test,BR16:BR63,ROW(BR16:BR63),0,1))),_xlpm.p,_xlpm.r-MIN(ROW(BP16:BP63))+1,_xlpm.f,INDEX(BS16:BS63,_xlpm.p),_xlpm.u,INDEX(BT16:BT63,_xlpm.p),_xlpm.s,INDEX(BV16:BV63,_xlpm.p),_xlpm.q,N(BA325)/_xlpm.f,IF(_xlpm.q&gt;=_xlpm.s,ROUND(_xlpm.q,1)&amp;" "&amp;_xlpm.ai_test&amp;" = "&amp;ROUND(_xlpm.q*_xlpm.f,1)&amp;" "&amp;_xlpm.u,ROUND(_xlpm.q,1)&amp;" "&amp;_xlpm.ai_test)),""),""))))</f>
        <v>0</v>
      </c>
      <c r="BD325" s="801"/>
      <c r="BE325" s="788" t="str">
        <f t="shared" si="129"/>
        <v/>
      </c>
      <c r="BF325" s="789" t="str">
        <f t="shared" si="130"/>
        <v/>
      </c>
      <c r="BG325" s="790">
        <f t="shared" si="133"/>
        <v>0</v>
      </c>
      <c r="BH325" s="791" t="str">
        <f t="shared" si="134"/>
        <v/>
      </c>
      <c r="BI325" s="792"/>
      <c r="BJ325" s="793">
        <f t="shared" si="132"/>
        <v>0</v>
      </c>
      <c r="BK325" s="794" t="str">
        <f t="shared" si="131"/>
        <v/>
      </c>
      <c r="BL325" s="227" t="s">
        <v>21</v>
      </c>
      <c r="BM325" s="773">
        <f t="shared" si="120"/>
        <v>0</v>
      </c>
      <c r="BN325" s="774">
        <f t="shared" si="121"/>
        <v>0</v>
      </c>
      <c r="BO325"/>
      <c r="BX325"/>
      <c r="BY325"/>
      <c r="BZ325"/>
      <c r="CA325"/>
      <c r="CB325"/>
      <c r="CC325"/>
      <c r="CD325" s="781" t="str">
        <f t="shared" si="114"/>
        <v>►</v>
      </c>
      <c r="CE325" s="633"/>
      <c r="CF325" s="633"/>
      <c r="CG325" s="633"/>
      <c r="CH325" s="633"/>
      <c r="CI325" s="633"/>
      <c r="CJ325" s="633"/>
      <c r="CK325"/>
      <c r="CL325"/>
      <c r="CM325"/>
      <c r="CN325"/>
      <c r="CO325"/>
      <c r="CP325"/>
      <c r="CQ325"/>
      <c r="CR325" s="633"/>
      <c r="CS325"/>
      <c r="CT325"/>
      <c r="CU325"/>
      <c r="CV325"/>
      <c r="CW325"/>
      <c r="CX325"/>
      <c r="CY325"/>
      <c r="CZ325" s="633"/>
      <c r="DA325"/>
      <c r="DB325"/>
      <c r="DC325"/>
      <c r="DD325"/>
      <c r="DE325"/>
      <c r="DF325"/>
      <c r="DG325"/>
      <c r="DH325" s="633"/>
      <c r="DI325" s="3">
        <v>1</v>
      </c>
    </row>
    <row r="326" spans="2:113" s="627" customFormat="1" ht="21" customHeight="1">
      <c r="B326" s="2265" t="str" cm="1">
        <f t="array" ref="B326">SUMPRODUCT(--(D326:J326&lt;&gt;""), LEN(TRIM(SUBSTITUTE(D326:J326, CHAR(160), "")))) &amp; " Car."</f>
        <v>0 Car.</v>
      </c>
      <c r="C326" s="1376" t="str">
        <f>IF(ISBLANK(D326),"",LARGE(C13:C325,1)+1)</f>
        <v/>
      </c>
      <c r="D326" s="1833"/>
      <c r="E326" s="1810"/>
      <c r="F326" s="1810"/>
      <c r="G326" s="1810"/>
      <c r="H326" s="1810"/>
      <c r="I326" s="1810"/>
      <c r="J326" s="1810"/>
      <c r="K326" s="1810"/>
      <c r="L326" s="1811"/>
      <c r="M326" s="9"/>
      <c r="N326" s="103" t="str">
        <f t="shared" si="116"/>
        <v>►</v>
      </c>
      <c r="O326" s="1616"/>
      <c r="P326" s="9"/>
      <c r="Q326" s="25" t="s">
        <v>15</v>
      </c>
      <c r="R326" s="31"/>
      <c r="S326" s="32"/>
      <c r="T326" s="31"/>
      <c r="U326" s="33"/>
      <c r="V326" s="1967"/>
      <c r="W326" s="1805"/>
      <c r="X326" s="91"/>
      <c r="Y326" s="1806"/>
      <c r="Z326" s="1968"/>
      <c r="AA326" s="2244"/>
      <c r="AB326" s="1969"/>
      <c r="AC326" s="1365"/>
      <c r="AD326" s="95"/>
      <c r="AE326" s="1326"/>
      <c r="AF326" s="97"/>
      <c r="AG326" s="1737"/>
      <c r="AH326" s="1970"/>
      <c r="AI326" s="99"/>
      <c r="AJ326" s="1809"/>
      <c r="AK326" s="6120" t="str">
        <f t="shared" si="117"/>
        <v>►</v>
      </c>
      <c r="AL326" s="781" t="str">
        <f t="shared" si="119"/>
        <v>►</v>
      </c>
      <c r="AM326" s="5498" t="str">
        <f t="shared" si="122"/>
        <v/>
      </c>
      <c r="AN326" s="783" t="str">
        <f t="shared" si="123"/>
        <v/>
      </c>
      <c r="AO326" s="782" t="str">
        <f t="shared" si="124"/>
        <v/>
      </c>
      <c r="AP326" s="783" t="str">
        <f t="shared" si="125"/>
        <v/>
      </c>
      <c r="AQ326" s="2083" t="b">
        <f>AND(Q326="A",COUNTIF(BP16:BR63,TRIM(Z326))&gt;0)</f>
        <v>0</v>
      </c>
      <c r="AR326" s="797" t="str">
        <f>IF(AL326&lt;&gt;"A","",IFERROR(IFERROR(_xlfn.XLOOKUP(TRIM(SUBSTITUTE(Z326,CHAR(160)," ")),BP16:BP63,BS16:BS63),IFERROR(_xlfn.XLOOKUP(TRIM(SUBSTITUTE(Z326,CHAR(160)," ")),BQ16:BQ63,BS16:BS63),_xlfn.XLOOKUP(TRIM(SUBSTITUTE(Z326,CHAR(160)," ")),BR16:BR63,BS16:BS63)))*Y326*IF(ISBLANK(V326),1,V326),0))</f>
        <v/>
      </c>
      <c r="AS326" s="784" t="str">
        <f t="shared" si="115"/>
        <v/>
      </c>
      <c r="AT326" s="1315" t="str">
        <f t="shared" si="126"/>
        <v/>
      </c>
      <c r="AU326" s="785">
        <f t="shared" si="127"/>
        <v>0</v>
      </c>
      <c r="AV326" s="785">
        <f t="shared" si="128"/>
        <v>0</v>
      </c>
      <c r="AW326" s="798">
        <f>IF(AK326="A",AY10,0)</f>
        <v>0</v>
      </c>
      <c r="AX326" s="5496" t="str">
        <f>IF(IFERROR(SEARCH("Adresse PC",TRIM(W326)),0)&gt;0,"▼ receta siguiente",IF(AK326="A",IF(AZ10&lt;&gt;"",AZ10&amp;" - ou.or.o ❾ + or - &gt;",""),""))</f>
        <v/>
      </c>
      <c r="AY326" s="810"/>
      <c r="AZ326" s="810"/>
      <c r="BA326" s="799" t="str">
        <f t="shared" si="118"/>
        <v/>
      </c>
      <c r="BB326" s="800" t="str">
        <f>IF(AK326="A",IF(AQ326,IF(AND(AW326&lt;&gt;"",N(AW326)&gt;0),IFERROR(IFERROR(_xlfn.XLOOKUP(AP326,BP10:BP57,BT10:BT57),IFERROR(_xlfn.XLOOKUP(AP326,BQ10:BQ57,BT10:BT57),_xlfn.XLOOKUP(AP326,BR10:BR57,BT10:BT57,""))),""),""),""),"")</f>
        <v/>
      </c>
      <c r="BC326" s="813" cm="1">
        <f t="array" ref="BC326">IF(NOT(AQ326),0,IF(OR(BA326="",N(BA326)&lt;=0.000000001),"",IF(OR(AU326="",N(AU326)&lt;=0.000000001),0,IF(ISNUMBER(BA326),IFERROR(_xlfn.LET(_xlpm.ai_test,TRIM(AP326),_xlpm.r,IFERROR(_xlfn.XLOOKUP(_xlpm.ai_test,BP16:BP63,ROW(BP16:BP63),0,1),IFERROR(_xlfn.XLOOKUP(_xlpm.ai_test,BQ16:BQ63,ROW(BQ16:BQ63),0,1),_xlfn.XLOOKUP(_xlpm.ai_test,BR16:BR63,ROW(BR16:BR63),0,1))),_xlpm.p,_xlpm.r-MIN(ROW(BP16:BP63))+1,_xlpm.f,INDEX(BS16:BS63,_xlpm.p),_xlpm.u,INDEX(BT16:BT63,_xlpm.p),_xlpm.s,INDEX(BV16:BV63,_xlpm.p),_xlpm.q,N(BA326)/_xlpm.f,IF(_xlpm.q&gt;=_xlpm.s,ROUND(_xlpm.q,1)&amp;" "&amp;_xlpm.ai_test&amp;" = "&amp;ROUND(_xlpm.q*_xlpm.f,1)&amp;" "&amp;_xlpm.u,ROUND(_xlpm.q,1)&amp;" "&amp;_xlpm.ai_test)),""),""))))</f>
        <v>0</v>
      </c>
      <c r="BD326" s="801"/>
      <c r="BE326" s="799" t="str">
        <f t="shared" si="129"/>
        <v/>
      </c>
      <c r="BF326" s="800" t="str">
        <f t="shared" si="130"/>
        <v/>
      </c>
      <c r="BG326" s="802">
        <f t="shared" si="133"/>
        <v>0</v>
      </c>
      <c r="BH326" s="803" t="str">
        <f t="shared" si="134"/>
        <v/>
      </c>
      <c r="BI326" s="792"/>
      <c r="BJ326" s="804">
        <f t="shared" si="132"/>
        <v>0</v>
      </c>
      <c r="BK326" s="794" t="str">
        <f t="shared" si="131"/>
        <v/>
      </c>
      <c r="BL326" s="227" t="s">
        <v>21</v>
      </c>
      <c r="BM326" s="773">
        <f t="shared" si="120"/>
        <v>0</v>
      </c>
      <c r="BN326" s="774">
        <f t="shared" si="121"/>
        <v>0</v>
      </c>
      <c r="BO326"/>
      <c r="BX326"/>
      <c r="BY326"/>
      <c r="BZ326"/>
      <c r="CA326"/>
      <c r="CB326"/>
      <c r="CC326"/>
      <c r="CD326" s="781" t="str">
        <f t="shared" ref="CD326:CD389" si="135">AL326</f>
        <v>►</v>
      </c>
      <c r="CE326" s="633"/>
      <c r="CF326" s="633"/>
      <c r="CG326" s="633"/>
      <c r="CH326" s="633"/>
      <c r="CI326" s="633"/>
      <c r="CJ326" s="633"/>
      <c r="CK326"/>
      <c r="CL326"/>
      <c r="CM326"/>
      <c r="CN326"/>
      <c r="CO326"/>
      <c r="CP326"/>
      <c r="CQ326"/>
      <c r="CR326" s="633"/>
      <c r="CS326"/>
      <c r="CT326"/>
      <c r="CU326"/>
      <c r="CV326"/>
      <c r="CW326"/>
      <c r="CX326"/>
      <c r="CY326"/>
      <c r="CZ326" s="633"/>
      <c r="DA326"/>
      <c r="DB326"/>
      <c r="DC326"/>
      <c r="DD326"/>
      <c r="DE326"/>
      <c r="DF326"/>
      <c r="DG326"/>
      <c r="DH326" s="633"/>
      <c r="DI326" s="3">
        <v>1</v>
      </c>
    </row>
    <row r="327" spans="2:113" s="627" customFormat="1" ht="21" customHeight="1">
      <c r="B327" s="2265" t="str" cm="1">
        <f t="array" ref="B327">SUMPRODUCT(--(D327:J327&lt;&gt;""), LEN(TRIM(SUBSTITUTE(D327:J327, CHAR(160), "")))) &amp; " Car."</f>
        <v>0 Car.</v>
      </c>
      <c r="C327" s="1376" t="str">
        <f>IF(ISBLANK(D327),"",LARGE(C13:C326,1)+1)</f>
        <v/>
      </c>
      <c r="D327" s="1833"/>
      <c r="E327" s="1810"/>
      <c r="F327" s="1810"/>
      <c r="G327" s="1810"/>
      <c r="H327" s="1810"/>
      <c r="I327" s="1810"/>
      <c r="J327" s="1810"/>
      <c r="K327" s="1810"/>
      <c r="L327" s="1811"/>
      <c r="M327" s="9"/>
      <c r="N327" s="103" t="str">
        <f t="shared" si="116"/>
        <v>►</v>
      </c>
      <c r="O327" s="1616"/>
      <c r="P327" s="9"/>
      <c r="Q327" s="25" t="s">
        <v>15</v>
      </c>
      <c r="R327" s="31"/>
      <c r="S327" s="32"/>
      <c r="T327" s="31"/>
      <c r="U327" s="33"/>
      <c r="V327" s="1967"/>
      <c r="W327" s="1805"/>
      <c r="X327" s="91"/>
      <c r="Y327" s="1806"/>
      <c r="Z327" s="1968"/>
      <c r="AA327" s="2244"/>
      <c r="AB327" s="1969"/>
      <c r="AC327" s="1365"/>
      <c r="AD327" s="95"/>
      <c r="AE327" s="1326"/>
      <c r="AF327" s="97"/>
      <c r="AG327" s="1737"/>
      <c r="AH327" s="1970"/>
      <c r="AI327" s="99"/>
      <c r="AJ327" s="1809"/>
      <c r="AK327" s="6120" t="str">
        <f t="shared" si="117"/>
        <v>►</v>
      </c>
      <c r="AL327" s="781" t="str">
        <f t="shared" si="119"/>
        <v>►</v>
      </c>
      <c r="AM327" s="5499" t="str">
        <f t="shared" si="122"/>
        <v/>
      </c>
      <c r="AN327" s="783" t="str">
        <f t="shared" si="123"/>
        <v/>
      </c>
      <c r="AO327" s="782" t="str">
        <f t="shared" si="124"/>
        <v/>
      </c>
      <c r="AP327" s="783" t="str">
        <f t="shared" si="125"/>
        <v/>
      </c>
      <c r="AQ327" s="2083" t="b">
        <f>AND(Q327="A",COUNTIF(BP16:BR63,TRIM(Z327))&gt;0)</f>
        <v>0</v>
      </c>
      <c r="AR327" s="797" t="str">
        <f>IF(AL327&lt;&gt;"A","",IFERROR(IFERROR(_xlfn.XLOOKUP(TRIM(SUBSTITUTE(Z327,CHAR(160)," ")),BP16:BP63,BS16:BS63),IFERROR(_xlfn.XLOOKUP(TRIM(SUBSTITUTE(Z327,CHAR(160)," ")),BQ16:BQ63,BS16:BS63),_xlfn.XLOOKUP(TRIM(SUBSTITUTE(Z327,CHAR(160)," ")),BR16:BR63,BS16:BS63)))*Y327*IF(ISBLANK(V327),1,V327),0))</f>
        <v/>
      </c>
      <c r="AS327" s="784" t="str">
        <f t="shared" ref="AS327:AS390" si="136">IF(AK327="A",IF(AND(AQ327,AR327&gt;0),"Kg",""),"")</f>
        <v/>
      </c>
      <c r="AT327" s="1315" t="str">
        <f t="shared" si="126"/>
        <v/>
      </c>
      <c r="AU327" s="785">
        <f t="shared" si="127"/>
        <v>0</v>
      </c>
      <c r="AV327" s="785">
        <f t="shared" si="128"/>
        <v>0</v>
      </c>
      <c r="AW327" s="786">
        <f>IF(AK327="A",AY10,0)</f>
        <v>0</v>
      </c>
      <c r="AX327" s="5495" t="str">
        <f>IF(IFERROR(SEARCH("Adresse PC",TRIM(W327)),0)&gt;0,"▼ receta siguiente",IF(AK327="A",IF(AZ10&lt;&gt;"",AZ10&amp;" - ou.or.o ❾ + or - &gt;",""),""))</f>
        <v/>
      </c>
      <c r="AY327" s="810"/>
      <c r="AZ327" s="810"/>
      <c r="BA327" s="788" t="str">
        <f t="shared" si="118"/>
        <v/>
      </c>
      <c r="BB327" s="789" t="str">
        <f>IF(AK327="A",IF(AQ327,IF(AND(AW327&lt;&gt;"",N(AW327)&gt;0),IFERROR(IFERROR(_xlfn.XLOOKUP(AP327,BP10:BP57,BT10:BT57),IFERROR(_xlfn.XLOOKUP(AP327,BQ10:BQ57,BT10:BT57),_xlfn.XLOOKUP(AP327,BR10:BR57,BT10:BT57,""))),""),""),""),"")</f>
        <v/>
      </c>
      <c r="BC327" s="811" cm="1">
        <f t="array" ref="BC327">IF(NOT(AQ327),0,IF(OR(BA327="",N(BA327)&lt;=0.000000001),"",IF(OR(AU327="",N(AU327)&lt;=0.000000001),0,IF(ISNUMBER(BA327),IFERROR(_xlfn.LET(_xlpm.ai_test,TRIM(AP327),_xlpm.r,IFERROR(_xlfn.XLOOKUP(_xlpm.ai_test,BP16:BP63,ROW(BP16:BP63),0,1),IFERROR(_xlfn.XLOOKUP(_xlpm.ai_test,BQ16:BQ63,ROW(BQ16:BQ63),0,1),_xlfn.XLOOKUP(_xlpm.ai_test,BR16:BR63,ROW(BR16:BR63),0,1))),_xlpm.p,_xlpm.r-MIN(ROW(BP16:BP63))+1,_xlpm.f,INDEX(BS16:BS63,_xlpm.p),_xlpm.u,INDEX(BT16:BT63,_xlpm.p),_xlpm.s,INDEX(BV16:BV63,_xlpm.p),_xlpm.q,N(BA327)/_xlpm.f,IF(_xlpm.q&gt;=_xlpm.s,ROUND(_xlpm.q,1)&amp;" "&amp;_xlpm.ai_test&amp;" = "&amp;ROUND(_xlpm.q*_xlpm.f,1)&amp;" "&amp;_xlpm.u,ROUND(_xlpm.q,1)&amp;" "&amp;_xlpm.ai_test)),""),""))))</f>
        <v>0</v>
      </c>
      <c r="BD327" s="801"/>
      <c r="BE327" s="788" t="str">
        <f t="shared" si="129"/>
        <v/>
      </c>
      <c r="BF327" s="789" t="str">
        <f t="shared" si="130"/>
        <v/>
      </c>
      <c r="BG327" s="790">
        <f t="shared" si="133"/>
        <v>0</v>
      </c>
      <c r="BH327" s="791" t="str">
        <f t="shared" si="134"/>
        <v/>
      </c>
      <c r="BI327" s="792"/>
      <c r="BJ327" s="793">
        <f t="shared" si="132"/>
        <v>0</v>
      </c>
      <c r="BK327" s="794" t="str">
        <f t="shared" si="131"/>
        <v/>
      </c>
      <c r="BL327" s="227" t="s">
        <v>21</v>
      </c>
      <c r="BM327" s="773">
        <f t="shared" si="120"/>
        <v>0</v>
      </c>
      <c r="BN327" s="774">
        <f t="shared" si="121"/>
        <v>0</v>
      </c>
      <c r="BO327"/>
      <c r="BX327"/>
      <c r="BY327"/>
      <c r="BZ327"/>
      <c r="CA327"/>
      <c r="CB327"/>
      <c r="CC327"/>
      <c r="CD327" s="781" t="str">
        <f t="shared" si="135"/>
        <v>►</v>
      </c>
      <c r="CE327" s="633"/>
      <c r="CF327" s="633"/>
      <c r="CG327" s="633"/>
      <c r="CH327" s="633"/>
      <c r="CI327" s="633"/>
      <c r="CJ327" s="633"/>
      <c r="CK327"/>
      <c r="CL327"/>
      <c r="CM327"/>
      <c r="CN327"/>
      <c r="CO327"/>
      <c r="CP327"/>
      <c r="CQ327"/>
      <c r="CR327" s="633"/>
      <c r="CS327"/>
      <c r="CT327"/>
      <c r="CU327"/>
      <c r="CV327"/>
      <c r="CW327"/>
      <c r="CX327"/>
      <c r="CY327"/>
      <c r="CZ327" s="633"/>
      <c r="DA327"/>
      <c r="DB327"/>
      <c r="DC327"/>
      <c r="DD327"/>
      <c r="DE327"/>
      <c r="DF327"/>
      <c r="DG327"/>
      <c r="DH327" s="633"/>
      <c r="DI327" s="3">
        <v>1</v>
      </c>
    </row>
    <row r="328" spans="2:113" s="627" customFormat="1" ht="21" customHeight="1">
      <c r="B328" s="2265" t="str" cm="1">
        <f t="array" ref="B328">SUMPRODUCT(--(D328:J328&lt;&gt;""), LEN(TRIM(SUBSTITUTE(D328:J328, CHAR(160), "")))) &amp; " Car."</f>
        <v>0 Car.</v>
      </c>
      <c r="C328" s="1376" t="str">
        <f>IF(ISBLANK(D328),"",LARGE(C13:C327,1)+1)</f>
        <v/>
      </c>
      <c r="D328" s="1833"/>
      <c r="E328" s="1810"/>
      <c r="F328" s="1810"/>
      <c r="G328" s="1810"/>
      <c r="H328" s="1810"/>
      <c r="I328" s="1810"/>
      <c r="J328" s="1810"/>
      <c r="K328" s="1810"/>
      <c r="L328" s="1811"/>
      <c r="M328" s="9"/>
      <c r="N328" s="103" t="str">
        <f t="shared" si="116"/>
        <v>►</v>
      </c>
      <c r="O328" s="1616"/>
      <c r="P328" s="9"/>
      <c r="Q328" s="25" t="s">
        <v>15</v>
      </c>
      <c r="R328" s="31"/>
      <c r="S328" s="32"/>
      <c r="T328" s="31"/>
      <c r="U328" s="33"/>
      <c r="V328" s="1967"/>
      <c r="W328" s="1805"/>
      <c r="X328" s="91"/>
      <c r="Y328" s="1806"/>
      <c r="Z328" s="1968"/>
      <c r="AA328" s="2244"/>
      <c r="AB328" s="1969"/>
      <c r="AC328" s="1365"/>
      <c r="AD328" s="95"/>
      <c r="AE328" s="1326"/>
      <c r="AF328" s="97"/>
      <c r="AG328" s="1737"/>
      <c r="AH328" s="1970"/>
      <c r="AI328" s="99"/>
      <c r="AJ328" s="1809"/>
      <c r="AK328" s="6120" t="str">
        <f t="shared" si="117"/>
        <v>►</v>
      </c>
      <c r="AL328" s="781" t="str">
        <f t="shared" si="119"/>
        <v>►</v>
      </c>
      <c r="AM328" s="5498" t="str">
        <f t="shared" si="122"/>
        <v/>
      </c>
      <c r="AN328" s="783" t="str">
        <f t="shared" si="123"/>
        <v/>
      </c>
      <c r="AO328" s="782" t="str">
        <f t="shared" si="124"/>
        <v/>
      </c>
      <c r="AP328" s="783" t="str">
        <f t="shared" si="125"/>
        <v/>
      </c>
      <c r="AQ328" s="2083" t="b">
        <f>AND(Q328="A",COUNTIF(BP16:BR63,TRIM(Z328))&gt;0)</f>
        <v>0</v>
      </c>
      <c r="AR328" s="797" t="str">
        <f>IF(AL328&lt;&gt;"A","",IFERROR(IFERROR(_xlfn.XLOOKUP(TRIM(SUBSTITUTE(Z328,CHAR(160)," ")),BP16:BP63,BS16:BS63),IFERROR(_xlfn.XLOOKUP(TRIM(SUBSTITUTE(Z328,CHAR(160)," ")),BQ16:BQ63,BS16:BS63),_xlfn.XLOOKUP(TRIM(SUBSTITUTE(Z328,CHAR(160)," ")),BR16:BR63,BS16:BS63)))*Y328*IF(ISBLANK(V328),1,V328),0))</f>
        <v/>
      </c>
      <c r="AS328" s="784" t="str">
        <f t="shared" si="136"/>
        <v/>
      </c>
      <c r="AT328" s="1315" t="str">
        <f t="shared" si="126"/>
        <v/>
      </c>
      <c r="AU328" s="785">
        <f t="shared" si="127"/>
        <v>0</v>
      </c>
      <c r="AV328" s="785">
        <f t="shared" si="128"/>
        <v>0</v>
      </c>
      <c r="AW328" s="798">
        <f>IF(AK328="A",AY10,0)</f>
        <v>0</v>
      </c>
      <c r="AX328" s="5496" t="str">
        <f>IF(IFERROR(SEARCH("Adresse PC",TRIM(W328)),0)&gt;0,"▼ receta siguiente",IF(AK328="A",IF(AZ10&lt;&gt;"",AZ10&amp;" - ou.or.o ❾ + or - &gt;",""),""))</f>
        <v/>
      </c>
      <c r="AY328" s="810"/>
      <c r="AZ328" s="810"/>
      <c r="BA328" s="799" t="str">
        <f t="shared" si="118"/>
        <v/>
      </c>
      <c r="BB328" s="800" t="str">
        <f>IF(AK328="A",IF(AQ328,IF(AND(AW328&lt;&gt;"",N(AW328)&gt;0),IFERROR(IFERROR(_xlfn.XLOOKUP(AP328,BP10:BP57,BT10:BT57),IFERROR(_xlfn.XLOOKUP(AP328,BQ10:BQ57,BT10:BT57),_xlfn.XLOOKUP(AP328,BR10:BR57,BT10:BT57,""))),""),""),""),"")</f>
        <v/>
      </c>
      <c r="BC328" s="813" cm="1">
        <f t="array" ref="BC328">IF(NOT(AQ328),0,IF(OR(BA328="",N(BA328)&lt;=0.000000001),"",IF(OR(AU328="",N(AU328)&lt;=0.000000001),0,IF(ISNUMBER(BA328),IFERROR(_xlfn.LET(_xlpm.ai_test,TRIM(AP328),_xlpm.r,IFERROR(_xlfn.XLOOKUP(_xlpm.ai_test,BP16:BP63,ROW(BP16:BP63),0,1),IFERROR(_xlfn.XLOOKUP(_xlpm.ai_test,BQ16:BQ63,ROW(BQ16:BQ63),0,1),_xlfn.XLOOKUP(_xlpm.ai_test,BR16:BR63,ROW(BR16:BR63),0,1))),_xlpm.p,_xlpm.r-MIN(ROW(BP16:BP63))+1,_xlpm.f,INDEX(BS16:BS63,_xlpm.p),_xlpm.u,INDEX(BT16:BT63,_xlpm.p),_xlpm.s,INDEX(BV16:BV63,_xlpm.p),_xlpm.q,N(BA328)/_xlpm.f,IF(_xlpm.q&gt;=_xlpm.s,ROUND(_xlpm.q,1)&amp;" "&amp;_xlpm.ai_test&amp;" = "&amp;ROUND(_xlpm.q*_xlpm.f,1)&amp;" "&amp;_xlpm.u,ROUND(_xlpm.q,1)&amp;" "&amp;_xlpm.ai_test)),""),""))))</f>
        <v>0</v>
      </c>
      <c r="BD328" s="801"/>
      <c r="BE328" s="799" t="str">
        <f t="shared" si="129"/>
        <v/>
      </c>
      <c r="BF328" s="800" t="str">
        <f t="shared" si="130"/>
        <v/>
      </c>
      <c r="BG328" s="802">
        <f t="shared" si="133"/>
        <v>0</v>
      </c>
      <c r="BH328" s="803" t="str">
        <f t="shared" si="134"/>
        <v/>
      </c>
      <c r="BI328" s="792"/>
      <c r="BJ328" s="804">
        <f t="shared" si="132"/>
        <v>0</v>
      </c>
      <c r="BK328" s="794" t="str">
        <f t="shared" si="131"/>
        <v/>
      </c>
      <c r="BL328" s="227" t="s">
        <v>21</v>
      </c>
      <c r="BM328" s="773">
        <f t="shared" si="120"/>
        <v>0</v>
      </c>
      <c r="BN328" s="774">
        <f t="shared" si="121"/>
        <v>0</v>
      </c>
      <c r="BO328"/>
      <c r="BX328"/>
      <c r="BY328"/>
      <c r="BZ328"/>
      <c r="CA328"/>
      <c r="CB328"/>
      <c r="CC328"/>
      <c r="CD328" s="781" t="str">
        <f t="shared" si="135"/>
        <v>►</v>
      </c>
      <c r="CE328" s="633"/>
      <c r="CF328" s="633"/>
      <c r="CG328" s="633"/>
      <c r="CH328" s="633"/>
      <c r="CI328" s="633"/>
      <c r="CJ328" s="633"/>
      <c r="CK328"/>
      <c r="CL328"/>
      <c r="CM328"/>
      <c r="CN328"/>
      <c r="CO328"/>
      <c r="CP328"/>
      <c r="CQ328"/>
      <c r="CR328" s="633"/>
      <c r="CS328"/>
      <c r="CT328"/>
      <c r="CU328"/>
      <c r="CV328"/>
      <c r="CW328"/>
      <c r="CX328"/>
      <c r="CY328"/>
      <c r="CZ328" s="633"/>
      <c r="DA328"/>
      <c r="DB328"/>
      <c r="DC328"/>
      <c r="DD328"/>
      <c r="DE328"/>
      <c r="DF328"/>
      <c r="DG328"/>
      <c r="DH328" s="633"/>
      <c r="DI328" s="3">
        <v>1</v>
      </c>
    </row>
    <row r="329" spans="2:113" s="627" customFormat="1" ht="21" customHeight="1">
      <c r="B329" s="2265" t="str" cm="1">
        <f t="array" ref="B329">SUMPRODUCT(--(D329:J329&lt;&gt;""), LEN(TRIM(SUBSTITUTE(D329:J329, CHAR(160), "")))) &amp; " Car."</f>
        <v>0 Car.</v>
      </c>
      <c r="C329" s="1376" t="str">
        <f>IF(ISBLANK(D329),"",LARGE(C13:C328,1)+1)</f>
        <v/>
      </c>
      <c r="D329" s="1833"/>
      <c r="E329" s="1810"/>
      <c r="F329" s="1810"/>
      <c r="G329" s="1810"/>
      <c r="H329" s="1810"/>
      <c r="I329" s="1810"/>
      <c r="J329" s="1810"/>
      <c r="K329" s="1810"/>
      <c r="L329" s="1811"/>
      <c r="M329" s="9"/>
      <c r="N329" s="103" t="str">
        <f t="shared" si="116"/>
        <v>►</v>
      </c>
      <c r="O329" s="1616"/>
      <c r="P329" s="9"/>
      <c r="Q329" s="25" t="s">
        <v>15</v>
      </c>
      <c r="R329" s="31"/>
      <c r="S329" s="32"/>
      <c r="T329" s="31"/>
      <c r="U329" s="33"/>
      <c r="V329" s="1967"/>
      <c r="W329" s="1805"/>
      <c r="X329" s="91"/>
      <c r="Y329" s="1806"/>
      <c r="Z329" s="1968"/>
      <c r="AA329" s="2244"/>
      <c r="AB329" s="1969"/>
      <c r="AC329" s="1365"/>
      <c r="AD329" s="95"/>
      <c r="AE329" s="1326"/>
      <c r="AF329" s="97"/>
      <c r="AG329" s="1737"/>
      <c r="AH329" s="1970"/>
      <c r="AI329" s="99"/>
      <c r="AJ329" s="1809"/>
      <c r="AK329" s="6120" t="str">
        <f t="shared" si="117"/>
        <v>►</v>
      </c>
      <c r="AL329" s="781" t="str">
        <f t="shared" si="119"/>
        <v>►</v>
      </c>
      <c r="AM329" s="5499" t="str">
        <f t="shared" si="122"/>
        <v/>
      </c>
      <c r="AN329" s="783" t="str">
        <f t="shared" si="123"/>
        <v/>
      </c>
      <c r="AO329" s="782" t="str">
        <f t="shared" si="124"/>
        <v/>
      </c>
      <c r="AP329" s="783" t="str">
        <f t="shared" si="125"/>
        <v/>
      </c>
      <c r="AQ329" s="2083" t="b">
        <f>AND(Q329="A",COUNTIF(BP16:BR63,TRIM(Z329))&gt;0)</f>
        <v>0</v>
      </c>
      <c r="AR329" s="797" t="str">
        <f>IF(AL329&lt;&gt;"A","",IFERROR(IFERROR(_xlfn.XLOOKUP(TRIM(SUBSTITUTE(Z329,CHAR(160)," ")),BP16:BP63,BS16:BS63),IFERROR(_xlfn.XLOOKUP(TRIM(SUBSTITUTE(Z329,CHAR(160)," ")),BQ16:BQ63,BS16:BS63),_xlfn.XLOOKUP(TRIM(SUBSTITUTE(Z329,CHAR(160)," ")),BR16:BR63,BS16:BS63)))*Y329*IF(ISBLANK(V329),1,V329),0))</f>
        <v/>
      </c>
      <c r="AS329" s="784" t="str">
        <f t="shared" si="136"/>
        <v/>
      </c>
      <c r="AT329" s="1315" t="str">
        <f t="shared" si="126"/>
        <v/>
      </c>
      <c r="AU329" s="785">
        <f t="shared" si="127"/>
        <v>0</v>
      </c>
      <c r="AV329" s="785">
        <f t="shared" si="128"/>
        <v>0</v>
      </c>
      <c r="AW329" s="786">
        <f>IF(AK329="A",AY10,0)</f>
        <v>0</v>
      </c>
      <c r="AX329" s="5495" t="str">
        <f>IF(IFERROR(SEARCH("Adresse PC",TRIM(W329)),0)&gt;0,"▼ receta siguiente",IF(AK329="A",IF(AZ10&lt;&gt;"",AZ10&amp;" - ou.or.o ❾ + or - &gt;",""),""))</f>
        <v/>
      </c>
      <c r="AY329" s="810"/>
      <c r="AZ329" s="810"/>
      <c r="BA329" s="788" t="str">
        <f t="shared" si="118"/>
        <v/>
      </c>
      <c r="BB329" s="789" t="str">
        <f>IF(AK329="A",IF(AQ329,IF(AND(AW329&lt;&gt;"",N(AW329)&gt;0),IFERROR(IFERROR(_xlfn.XLOOKUP(AP329,BP10:BP57,BT10:BT57),IFERROR(_xlfn.XLOOKUP(AP329,BQ10:BQ57,BT10:BT57),_xlfn.XLOOKUP(AP329,BR10:BR57,BT10:BT57,""))),""),""),""),"")</f>
        <v/>
      </c>
      <c r="BC329" s="811" cm="1">
        <f t="array" ref="BC329">IF(NOT(AQ329),0,IF(OR(BA329="",N(BA329)&lt;=0.000000001),"",IF(OR(AU329="",N(AU329)&lt;=0.000000001),0,IF(ISNUMBER(BA329),IFERROR(_xlfn.LET(_xlpm.ai_test,TRIM(AP329),_xlpm.r,IFERROR(_xlfn.XLOOKUP(_xlpm.ai_test,BP16:BP63,ROW(BP16:BP63),0,1),IFERROR(_xlfn.XLOOKUP(_xlpm.ai_test,BQ16:BQ63,ROW(BQ16:BQ63),0,1),_xlfn.XLOOKUP(_xlpm.ai_test,BR16:BR63,ROW(BR16:BR63),0,1))),_xlpm.p,_xlpm.r-MIN(ROW(BP16:BP63))+1,_xlpm.f,INDEX(BS16:BS63,_xlpm.p),_xlpm.u,INDEX(BT16:BT63,_xlpm.p),_xlpm.s,INDEX(BV16:BV63,_xlpm.p),_xlpm.q,N(BA329)/_xlpm.f,IF(_xlpm.q&gt;=_xlpm.s,ROUND(_xlpm.q,1)&amp;" "&amp;_xlpm.ai_test&amp;" = "&amp;ROUND(_xlpm.q*_xlpm.f,1)&amp;" "&amp;_xlpm.u,ROUND(_xlpm.q,1)&amp;" "&amp;_xlpm.ai_test)),""),""))))</f>
        <v>0</v>
      </c>
      <c r="BD329" s="801"/>
      <c r="BE329" s="788" t="str">
        <f t="shared" si="129"/>
        <v/>
      </c>
      <c r="BF329" s="789" t="str">
        <f t="shared" si="130"/>
        <v/>
      </c>
      <c r="BG329" s="790">
        <f t="shared" si="133"/>
        <v>0</v>
      </c>
      <c r="BH329" s="791" t="str">
        <f t="shared" si="134"/>
        <v/>
      </c>
      <c r="BI329" s="792"/>
      <c r="BJ329" s="793">
        <f t="shared" si="132"/>
        <v>0</v>
      </c>
      <c r="BK329" s="794" t="str">
        <f t="shared" si="131"/>
        <v/>
      </c>
      <c r="BL329" s="227" t="s">
        <v>21</v>
      </c>
      <c r="BM329" s="773">
        <f t="shared" si="120"/>
        <v>0</v>
      </c>
      <c r="BN329" s="774">
        <f t="shared" si="121"/>
        <v>0</v>
      </c>
      <c r="BO329"/>
      <c r="BX329"/>
      <c r="BY329"/>
      <c r="BZ329"/>
      <c r="CA329"/>
      <c r="CB329"/>
      <c r="CC329"/>
      <c r="CD329" s="781" t="str">
        <f t="shared" si="135"/>
        <v>►</v>
      </c>
      <c r="CE329" s="633"/>
      <c r="CF329" s="633"/>
      <c r="CG329" s="633"/>
      <c r="CH329" s="633"/>
      <c r="CI329" s="633"/>
      <c r="CJ329" s="633"/>
      <c r="CK329"/>
      <c r="CL329"/>
      <c r="CM329"/>
      <c r="CN329"/>
      <c r="CO329"/>
      <c r="CP329"/>
      <c r="CQ329"/>
      <c r="CR329" s="633"/>
      <c r="CS329"/>
      <c r="CT329"/>
      <c r="CU329"/>
      <c r="CV329"/>
      <c r="CW329"/>
      <c r="CX329"/>
      <c r="CY329"/>
      <c r="CZ329" s="633"/>
      <c r="DA329"/>
      <c r="DB329"/>
      <c r="DC329"/>
      <c r="DD329"/>
      <c r="DE329"/>
      <c r="DF329"/>
      <c r="DG329"/>
      <c r="DH329" s="633"/>
      <c r="DI329" s="3">
        <v>1</v>
      </c>
    </row>
    <row r="330" spans="2:113" s="627" customFormat="1" ht="21" customHeight="1">
      <c r="B330" s="2265" t="str" cm="1">
        <f t="array" ref="B330">SUMPRODUCT(--(D330:J330&lt;&gt;""), LEN(TRIM(SUBSTITUTE(D330:J330, CHAR(160), "")))) &amp; " Car."</f>
        <v>0 Car.</v>
      </c>
      <c r="C330" s="1376" t="str">
        <f>IF(ISBLANK(D330),"",LARGE(C13:C329,1)+1)</f>
        <v/>
      </c>
      <c r="D330" s="1833"/>
      <c r="E330" s="1810"/>
      <c r="F330" s="1810"/>
      <c r="G330" s="1810"/>
      <c r="H330" s="1810"/>
      <c r="I330" s="1810"/>
      <c r="J330" s="1810"/>
      <c r="K330" s="1810"/>
      <c r="L330" s="1811"/>
      <c r="M330" s="9"/>
      <c r="N330" s="103" t="str">
        <f t="shared" si="116"/>
        <v>►</v>
      </c>
      <c r="O330" s="1616"/>
      <c r="P330" s="9"/>
      <c r="Q330" s="25" t="s">
        <v>15</v>
      </c>
      <c r="R330" s="31"/>
      <c r="S330" s="32"/>
      <c r="T330" s="31"/>
      <c r="U330" s="33"/>
      <c r="V330" s="1967"/>
      <c r="W330" s="1805"/>
      <c r="X330" s="91"/>
      <c r="Y330" s="1806"/>
      <c r="Z330" s="1968"/>
      <c r="AA330" s="2244"/>
      <c r="AB330" s="1969"/>
      <c r="AC330" s="1365"/>
      <c r="AD330" s="95"/>
      <c r="AE330" s="1326"/>
      <c r="AF330" s="97"/>
      <c r="AG330" s="1737"/>
      <c r="AH330" s="1970"/>
      <c r="AI330" s="99"/>
      <c r="AJ330" s="1809"/>
      <c r="AK330" s="6120" t="str">
        <f t="shared" si="117"/>
        <v>►</v>
      </c>
      <c r="AL330" s="781" t="str">
        <f t="shared" si="119"/>
        <v>►</v>
      </c>
      <c r="AM330" s="5498" t="str">
        <f t="shared" si="122"/>
        <v/>
      </c>
      <c r="AN330" s="783" t="str">
        <f t="shared" si="123"/>
        <v/>
      </c>
      <c r="AO330" s="782" t="str">
        <f t="shared" si="124"/>
        <v/>
      </c>
      <c r="AP330" s="783" t="str">
        <f t="shared" si="125"/>
        <v/>
      </c>
      <c r="AQ330" s="2083" t="b">
        <f>AND(Q330="A",COUNTIF(BP16:BR63,TRIM(Z330))&gt;0)</f>
        <v>0</v>
      </c>
      <c r="AR330" s="797" t="str">
        <f>IF(AL330&lt;&gt;"A","",IFERROR(IFERROR(_xlfn.XLOOKUP(TRIM(SUBSTITUTE(Z330,CHAR(160)," ")),BP16:BP63,BS16:BS63),IFERROR(_xlfn.XLOOKUP(TRIM(SUBSTITUTE(Z330,CHAR(160)," ")),BQ16:BQ63,BS16:BS63),_xlfn.XLOOKUP(TRIM(SUBSTITUTE(Z330,CHAR(160)," ")),BR16:BR63,BS16:BS63)))*Y330*IF(ISBLANK(V330),1,V330),0))</f>
        <v/>
      </c>
      <c r="AS330" s="784" t="str">
        <f t="shared" si="136"/>
        <v/>
      </c>
      <c r="AT330" s="1315" t="str">
        <f t="shared" si="126"/>
        <v/>
      </c>
      <c r="AU330" s="785">
        <f t="shared" si="127"/>
        <v>0</v>
      </c>
      <c r="AV330" s="785">
        <f t="shared" si="128"/>
        <v>0</v>
      </c>
      <c r="AW330" s="798">
        <f>IF(AK330="A",AY10,0)</f>
        <v>0</v>
      </c>
      <c r="AX330" s="5496" t="str">
        <f>IF(IFERROR(SEARCH("Adresse PC",TRIM(W330)),0)&gt;0,"▼ receta siguiente",IF(AK330="A",IF(AZ10&lt;&gt;"",AZ10&amp;" - ou.or.o ❾ + or - &gt;",""),""))</f>
        <v/>
      </c>
      <c r="AY330" s="810"/>
      <c r="AZ330" s="810"/>
      <c r="BA330" s="799" t="str">
        <f t="shared" si="118"/>
        <v/>
      </c>
      <c r="BB330" s="800" t="str">
        <f>IF(AK330="A",IF(AQ330,IF(AND(AW330&lt;&gt;"",N(AW330)&gt;0),IFERROR(IFERROR(_xlfn.XLOOKUP(AP330,BP10:BP57,BT10:BT57),IFERROR(_xlfn.XLOOKUP(AP330,BQ10:BQ57,BT10:BT57),_xlfn.XLOOKUP(AP330,BR10:BR57,BT10:BT57,""))),""),""),""),"")</f>
        <v/>
      </c>
      <c r="BC330" s="813" cm="1">
        <f t="array" ref="BC330">IF(NOT(AQ330),0,IF(OR(BA330="",N(BA330)&lt;=0.000000001),"",IF(OR(AU330="",N(AU330)&lt;=0.000000001),0,IF(ISNUMBER(BA330),IFERROR(_xlfn.LET(_xlpm.ai_test,TRIM(AP330),_xlpm.r,IFERROR(_xlfn.XLOOKUP(_xlpm.ai_test,BP16:BP63,ROW(BP16:BP63),0,1),IFERROR(_xlfn.XLOOKUP(_xlpm.ai_test,BQ16:BQ63,ROW(BQ16:BQ63),0,1),_xlfn.XLOOKUP(_xlpm.ai_test,BR16:BR63,ROW(BR16:BR63),0,1))),_xlpm.p,_xlpm.r-MIN(ROW(BP16:BP63))+1,_xlpm.f,INDEX(BS16:BS63,_xlpm.p),_xlpm.u,INDEX(BT16:BT63,_xlpm.p),_xlpm.s,INDEX(BV16:BV63,_xlpm.p),_xlpm.q,N(BA330)/_xlpm.f,IF(_xlpm.q&gt;=_xlpm.s,ROUND(_xlpm.q,1)&amp;" "&amp;_xlpm.ai_test&amp;" = "&amp;ROUND(_xlpm.q*_xlpm.f,1)&amp;" "&amp;_xlpm.u,ROUND(_xlpm.q,1)&amp;" "&amp;_xlpm.ai_test)),""),""))))</f>
        <v>0</v>
      </c>
      <c r="BD330" s="801"/>
      <c r="BE330" s="799" t="str">
        <f t="shared" si="129"/>
        <v/>
      </c>
      <c r="BF330" s="800" t="str">
        <f t="shared" si="130"/>
        <v/>
      </c>
      <c r="BG330" s="802">
        <f t="shared" si="133"/>
        <v>0</v>
      </c>
      <c r="BH330" s="803" t="str">
        <f t="shared" si="134"/>
        <v/>
      </c>
      <c r="BI330" s="792"/>
      <c r="BJ330" s="804">
        <f t="shared" si="132"/>
        <v>0</v>
      </c>
      <c r="BK330" s="794" t="str">
        <f t="shared" si="131"/>
        <v/>
      </c>
      <c r="BL330" s="227" t="s">
        <v>21</v>
      </c>
      <c r="BM330" s="773">
        <f t="shared" si="120"/>
        <v>0</v>
      </c>
      <c r="BN330" s="774">
        <f t="shared" si="121"/>
        <v>0</v>
      </c>
      <c r="BO330"/>
      <c r="BX330"/>
      <c r="BY330"/>
      <c r="BZ330"/>
      <c r="CA330"/>
      <c r="CB330"/>
      <c r="CC330"/>
      <c r="CD330" s="781" t="str">
        <f t="shared" si="135"/>
        <v>►</v>
      </c>
      <c r="CE330" s="633"/>
      <c r="CF330" s="633"/>
      <c r="CG330" s="633"/>
      <c r="CH330" s="633"/>
      <c r="CI330" s="633"/>
      <c r="CJ330" s="633"/>
      <c r="CK330"/>
      <c r="CL330"/>
      <c r="CM330"/>
      <c r="CN330"/>
      <c r="CO330"/>
      <c r="CP330"/>
      <c r="CQ330"/>
      <c r="CR330" s="633"/>
      <c r="CS330"/>
      <c r="CT330"/>
      <c r="CU330"/>
      <c r="CV330"/>
      <c r="CW330"/>
      <c r="CX330"/>
      <c r="CY330"/>
      <c r="CZ330" s="633"/>
      <c r="DA330"/>
      <c r="DB330"/>
      <c r="DC330"/>
      <c r="DD330"/>
      <c r="DE330"/>
      <c r="DF330"/>
      <c r="DG330"/>
      <c r="DH330" s="633"/>
      <c r="DI330" s="3">
        <v>1</v>
      </c>
    </row>
    <row r="331" spans="2:113" s="627" customFormat="1" ht="21" customHeight="1">
      <c r="B331" s="2265" t="str" cm="1">
        <f t="array" ref="B331">SUMPRODUCT(--(D331:J331&lt;&gt;""), LEN(TRIM(SUBSTITUTE(D331:J331, CHAR(160), "")))) &amp; " Car."</f>
        <v>0 Car.</v>
      </c>
      <c r="C331" s="1376" t="str">
        <f>IF(ISBLANK(D331),"",LARGE(C13:C330,1)+1)</f>
        <v/>
      </c>
      <c r="D331" s="1833"/>
      <c r="E331" s="1810"/>
      <c r="F331" s="1810"/>
      <c r="G331" s="1810"/>
      <c r="H331" s="1810"/>
      <c r="I331" s="1810"/>
      <c r="J331" s="1810"/>
      <c r="K331" s="1810"/>
      <c r="L331" s="1811"/>
      <c r="M331" s="9"/>
      <c r="N331" s="103" t="str">
        <f t="shared" si="116"/>
        <v>►</v>
      </c>
      <c r="O331" s="1616"/>
      <c r="P331" s="9"/>
      <c r="Q331" s="25" t="s">
        <v>15</v>
      </c>
      <c r="R331" s="31"/>
      <c r="S331" s="32"/>
      <c r="T331" s="31"/>
      <c r="U331" s="33"/>
      <c r="V331" s="1967"/>
      <c r="W331" s="1805"/>
      <c r="X331" s="91"/>
      <c r="Y331" s="1806"/>
      <c r="Z331" s="1968"/>
      <c r="AA331" s="2244"/>
      <c r="AB331" s="1969"/>
      <c r="AC331" s="1365"/>
      <c r="AD331" s="95"/>
      <c r="AE331" s="1326"/>
      <c r="AF331" s="97"/>
      <c r="AG331" s="1737"/>
      <c r="AH331" s="1970"/>
      <c r="AI331" s="99"/>
      <c r="AJ331" s="1809"/>
      <c r="AK331" s="6120" t="str">
        <f t="shared" si="117"/>
        <v>►</v>
      </c>
      <c r="AL331" s="781" t="str">
        <f t="shared" si="119"/>
        <v>►</v>
      </c>
      <c r="AM331" s="5499" t="str">
        <f t="shared" si="122"/>
        <v/>
      </c>
      <c r="AN331" s="783" t="str">
        <f t="shared" si="123"/>
        <v/>
      </c>
      <c r="AO331" s="782" t="str">
        <f t="shared" si="124"/>
        <v/>
      </c>
      <c r="AP331" s="783" t="str">
        <f t="shared" si="125"/>
        <v/>
      </c>
      <c r="AQ331" s="2083" t="b">
        <f>AND(Q331="A",COUNTIF(BP16:BR63,TRIM(Z331))&gt;0)</f>
        <v>0</v>
      </c>
      <c r="AR331" s="797" t="str">
        <f>IF(AL331&lt;&gt;"A","",IFERROR(IFERROR(_xlfn.XLOOKUP(TRIM(SUBSTITUTE(Z331,CHAR(160)," ")),BP16:BP63,BS16:BS63),IFERROR(_xlfn.XLOOKUP(TRIM(SUBSTITUTE(Z331,CHAR(160)," ")),BQ16:BQ63,BS16:BS63),_xlfn.XLOOKUP(TRIM(SUBSTITUTE(Z331,CHAR(160)," ")),BR16:BR63,BS16:BS63)))*Y331*IF(ISBLANK(V331),1,V331),0))</f>
        <v/>
      </c>
      <c r="AS331" s="784" t="str">
        <f t="shared" si="136"/>
        <v/>
      </c>
      <c r="AT331" s="1315" t="str">
        <f t="shared" si="126"/>
        <v/>
      </c>
      <c r="AU331" s="785">
        <f t="shared" si="127"/>
        <v>0</v>
      </c>
      <c r="AV331" s="785">
        <f t="shared" si="128"/>
        <v>0</v>
      </c>
      <c r="AW331" s="786">
        <f>IF(AK331="A",AY10,0)</f>
        <v>0</v>
      </c>
      <c r="AX331" s="5495" t="str">
        <f>IF(IFERROR(SEARCH("Adresse PC",TRIM(W331)),0)&gt;0,"▼ receta siguiente",IF(AK331="A",IF(AZ10&lt;&gt;"",AZ10&amp;" - ou.or.o ❾ + or - &gt;",""),""))</f>
        <v/>
      </c>
      <c r="AY331" s="810"/>
      <c r="AZ331" s="810"/>
      <c r="BA331" s="788" t="str">
        <f t="shared" si="118"/>
        <v/>
      </c>
      <c r="BB331" s="789" t="str">
        <f>IF(AK331="A",IF(AQ331,IF(AND(AW331&lt;&gt;"",N(AW331)&gt;0),IFERROR(IFERROR(_xlfn.XLOOKUP(AP331,BP10:BP57,BT10:BT57),IFERROR(_xlfn.XLOOKUP(AP331,BQ10:BQ57,BT10:BT57),_xlfn.XLOOKUP(AP331,BR10:BR57,BT10:BT57,""))),""),""),""),"")</f>
        <v/>
      </c>
      <c r="BC331" s="811" cm="1">
        <f t="array" ref="BC331">IF(NOT(AQ331),0,IF(OR(BA331="",N(BA331)&lt;=0.000000001),"",IF(OR(AU331="",N(AU331)&lt;=0.000000001),0,IF(ISNUMBER(BA331),IFERROR(_xlfn.LET(_xlpm.ai_test,TRIM(AP331),_xlpm.r,IFERROR(_xlfn.XLOOKUP(_xlpm.ai_test,BP16:BP63,ROW(BP16:BP63),0,1),IFERROR(_xlfn.XLOOKUP(_xlpm.ai_test,BQ16:BQ63,ROW(BQ16:BQ63),0,1),_xlfn.XLOOKUP(_xlpm.ai_test,BR16:BR63,ROW(BR16:BR63),0,1))),_xlpm.p,_xlpm.r-MIN(ROW(BP16:BP63))+1,_xlpm.f,INDEX(BS16:BS63,_xlpm.p),_xlpm.u,INDEX(BT16:BT63,_xlpm.p),_xlpm.s,INDEX(BV16:BV63,_xlpm.p),_xlpm.q,N(BA331)/_xlpm.f,IF(_xlpm.q&gt;=_xlpm.s,ROUND(_xlpm.q,1)&amp;" "&amp;_xlpm.ai_test&amp;" = "&amp;ROUND(_xlpm.q*_xlpm.f,1)&amp;" "&amp;_xlpm.u,ROUND(_xlpm.q,1)&amp;" "&amp;_xlpm.ai_test)),""),""))))</f>
        <v>0</v>
      </c>
      <c r="BD331" s="801"/>
      <c r="BE331" s="788" t="str">
        <f t="shared" si="129"/>
        <v/>
      </c>
      <c r="BF331" s="789" t="str">
        <f t="shared" si="130"/>
        <v/>
      </c>
      <c r="BG331" s="790">
        <f t="shared" si="133"/>
        <v>0</v>
      </c>
      <c r="BH331" s="791" t="str">
        <f t="shared" si="134"/>
        <v/>
      </c>
      <c r="BI331" s="792"/>
      <c r="BJ331" s="793">
        <f t="shared" si="132"/>
        <v>0</v>
      </c>
      <c r="BK331" s="794" t="str">
        <f t="shared" si="131"/>
        <v/>
      </c>
      <c r="BL331" s="227" t="s">
        <v>21</v>
      </c>
      <c r="BM331" s="773">
        <f t="shared" si="120"/>
        <v>0</v>
      </c>
      <c r="BN331" s="774">
        <f t="shared" si="121"/>
        <v>0</v>
      </c>
      <c r="BO331"/>
      <c r="BX331"/>
      <c r="BY331"/>
      <c r="BZ331"/>
      <c r="CA331"/>
      <c r="CB331"/>
      <c r="CC331"/>
      <c r="CD331" s="781" t="str">
        <f t="shared" si="135"/>
        <v>►</v>
      </c>
      <c r="CE331" s="633"/>
      <c r="CF331" s="633"/>
      <c r="CG331" s="633"/>
      <c r="CH331" s="633"/>
      <c r="CI331" s="633"/>
      <c r="CJ331" s="633"/>
      <c r="CK331"/>
      <c r="CL331"/>
      <c r="CM331"/>
      <c r="CN331"/>
      <c r="CO331"/>
      <c r="CP331"/>
      <c r="CQ331"/>
      <c r="CR331" s="633"/>
      <c r="CS331"/>
      <c r="CT331"/>
      <c r="CU331"/>
      <c r="CV331"/>
      <c r="CW331"/>
      <c r="CX331"/>
      <c r="CY331"/>
      <c r="CZ331" s="633"/>
      <c r="DA331"/>
      <c r="DB331"/>
      <c r="DC331"/>
      <c r="DD331"/>
      <c r="DE331"/>
      <c r="DF331"/>
      <c r="DG331"/>
      <c r="DH331" s="633"/>
      <c r="DI331" s="3">
        <v>1</v>
      </c>
    </row>
    <row r="332" spans="2:113" s="627" customFormat="1" ht="21" customHeight="1">
      <c r="B332" s="2265" t="str" cm="1">
        <f t="array" ref="B332">SUMPRODUCT(--(D332:J332&lt;&gt;""), LEN(TRIM(SUBSTITUTE(D332:J332, CHAR(160), "")))) &amp; " Car."</f>
        <v>0 Car.</v>
      </c>
      <c r="C332" s="1376" t="str">
        <f>IF(ISBLANK(D332),"",LARGE(C13:C331,1)+1)</f>
        <v/>
      </c>
      <c r="D332" s="1833"/>
      <c r="E332" s="1810"/>
      <c r="F332" s="1810"/>
      <c r="G332" s="1810"/>
      <c r="H332" s="1810"/>
      <c r="I332" s="1810"/>
      <c r="J332" s="1810"/>
      <c r="K332" s="1810"/>
      <c r="L332" s="1811"/>
      <c r="M332" s="9"/>
      <c r="N332" s="103" t="str">
        <f t="shared" si="116"/>
        <v>►</v>
      </c>
      <c r="O332" s="1616"/>
      <c r="P332" s="9"/>
      <c r="Q332" s="25" t="s">
        <v>15</v>
      </c>
      <c r="R332" s="31"/>
      <c r="S332" s="32"/>
      <c r="T332" s="31"/>
      <c r="U332" s="33"/>
      <c r="V332" s="1967"/>
      <c r="W332" s="1805"/>
      <c r="X332" s="91"/>
      <c r="Y332" s="1806"/>
      <c r="Z332" s="1968"/>
      <c r="AA332" s="2244"/>
      <c r="AB332" s="1969"/>
      <c r="AC332" s="1365"/>
      <c r="AD332" s="95"/>
      <c r="AE332" s="1326"/>
      <c r="AF332" s="97"/>
      <c r="AG332" s="1737"/>
      <c r="AH332" s="1970"/>
      <c r="AI332" s="99"/>
      <c r="AJ332" s="1809"/>
      <c r="AK332" s="6120" t="str">
        <f t="shared" si="117"/>
        <v>►</v>
      </c>
      <c r="AL332" s="781" t="str">
        <f t="shared" si="119"/>
        <v>►</v>
      </c>
      <c r="AM332" s="5498" t="str">
        <f t="shared" si="122"/>
        <v/>
      </c>
      <c r="AN332" s="783" t="str">
        <f t="shared" si="123"/>
        <v/>
      </c>
      <c r="AO332" s="782" t="str">
        <f t="shared" si="124"/>
        <v/>
      </c>
      <c r="AP332" s="783" t="str">
        <f t="shared" si="125"/>
        <v/>
      </c>
      <c r="AQ332" s="2083" t="b">
        <f>AND(Q332="A",COUNTIF(BP16:BR63,TRIM(Z332))&gt;0)</f>
        <v>0</v>
      </c>
      <c r="AR332" s="797" t="str">
        <f>IF(AL332&lt;&gt;"A","",IFERROR(IFERROR(_xlfn.XLOOKUP(TRIM(SUBSTITUTE(Z332,CHAR(160)," ")),BP16:BP63,BS16:BS63),IFERROR(_xlfn.XLOOKUP(TRIM(SUBSTITUTE(Z332,CHAR(160)," ")),BQ16:BQ63,BS16:BS63),_xlfn.XLOOKUP(TRIM(SUBSTITUTE(Z332,CHAR(160)," ")),BR16:BR63,BS16:BS63)))*Y332*IF(ISBLANK(V332),1,V332),0))</f>
        <v/>
      </c>
      <c r="AS332" s="784" t="str">
        <f t="shared" si="136"/>
        <v/>
      </c>
      <c r="AT332" s="1315" t="str">
        <f t="shared" si="126"/>
        <v/>
      </c>
      <c r="AU332" s="785">
        <f t="shared" si="127"/>
        <v>0</v>
      </c>
      <c r="AV332" s="785">
        <f t="shared" si="128"/>
        <v>0</v>
      </c>
      <c r="AW332" s="798">
        <f>IF(AK332="A",AY10,0)</f>
        <v>0</v>
      </c>
      <c r="AX332" s="5496" t="str">
        <f>IF(IFERROR(SEARCH("Adresse PC",TRIM(W332)),0)&gt;0,"▼ receta siguiente",IF(AK332="A",IF(AZ10&lt;&gt;"",AZ10&amp;" - ou.or.o ❾ + or - &gt;",""),""))</f>
        <v/>
      </c>
      <c r="AY332" s="810"/>
      <c r="AZ332" s="810"/>
      <c r="BA332" s="799" t="str">
        <f t="shared" si="118"/>
        <v/>
      </c>
      <c r="BB332" s="800" t="str">
        <f>IF(AK332="A",IF(AQ332,IF(AND(AW332&lt;&gt;"",N(AW332)&gt;0),IFERROR(IFERROR(_xlfn.XLOOKUP(AP332,BP10:BP57,BT10:BT57),IFERROR(_xlfn.XLOOKUP(AP332,BQ10:BQ57,BT10:BT57),_xlfn.XLOOKUP(AP332,BR10:BR57,BT10:BT57,""))),""),""),""),"")</f>
        <v/>
      </c>
      <c r="BC332" s="813" cm="1">
        <f t="array" ref="BC332">IF(NOT(AQ332),0,IF(OR(BA332="",N(BA332)&lt;=0.000000001),"",IF(OR(AU332="",N(AU332)&lt;=0.000000001),0,IF(ISNUMBER(BA332),IFERROR(_xlfn.LET(_xlpm.ai_test,TRIM(AP332),_xlpm.r,IFERROR(_xlfn.XLOOKUP(_xlpm.ai_test,BP16:BP63,ROW(BP16:BP63),0,1),IFERROR(_xlfn.XLOOKUP(_xlpm.ai_test,BQ16:BQ63,ROW(BQ16:BQ63),0,1),_xlfn.XLOOKUP(_xlpm.ai_test,BR16:BR63,ROW(BR16:BR63),0,1))),_xlpm.p,_xlpm.r-MIN(ROW(BP16:BP63))+1,_xlpm.f,INDEX(BS16:BS63,_xlpm.p),_xlpm.u,INDEX(BT16:BT63,_xlpm.p),_xlpm.s,INDEX(BV16:BV63,_xlpm.p),_xlpm.q,N(BA332)/_xlpm.f,IF(_xlpm.q&gt;=_xlpm.s,ROUND(_xlpm.q,1)&amp;" "&amp;_xlpm.ai_test&amp;" = "&amp;ROUND(_xlpm.q*_xlpm.f,1)&amp;" "&amp;_xlpm.u,ROUND(_xlpm.q,1)&amp;" "&amp;_xlpm.ai_test)),""),""))))</f>
        <v>0</v>
      </c>
      <c r="BD332" s="801"/>
      <c r="BE332" s="799" t="str">
        <f t="shared" si="129"/>
        <v/>
      </c>
      <c r="BF332" s="800" t="str">
        <f t="shared" si="130"/>
        <v/>
      </c>
      <c r="BG332" s="802">
        <f t="shared" si="133"/>
        <v>0</v>
      </c>
      <c r="BH332" s="803" t="str">
        <f t="shared" si="134"/>
        <v/>
      </c>
      <c r="BI332" s="792"/>
      <c r="BJ332" s="804">
        <f t="shared" si="132"/>
        <v>0</v>
      </c>
      <c r="BK332" s="794" t="str">
        <f t="shared" si="131"/>
        <v/>
      </c>
      <c r="BL332" s="227" t="s">
        <v>21</v>
      </c>
      <c r="BM332" s="773">
        <f t="shared" si="120"/>
        <v>0</v>
      </c>
      <c r="BN332" s="774">
        <f t="shared" si="121"/>
        <v>0</v>
      </c>
      <c r="BO332"/>
      <c r="BX332"/>
      <c r="BY332"/>
      <c r="BZ332"/>
      <c r="CA332"/>
      <c r="CB332"/>
      <c r="CC332"/>
      <c r="CD332" s="781" t="str">
        <f t="shared" si="135"/>
        <v>►</v>
      </c>
      <c r="CE332" s="633"/>
      <c r="CF332" s="633"/>
      <c r="CG332" s="633"/>
      <c r="CH332" s="633"/>
      <c r="CI332" s="633"/>
      <c r="CJ332" s="633"/>
      <c r="CK332"/>
      <c r="CL332"/>
      <c r="CM332"/>
      <c r="CN332"/>
      <c r="CO332"/>
      <c r="CP332"/>
      <c r="CQ332"/>
      <c r="CR332" s="633"/>
      <c r="CS332"/>
      <c r="CT332"/>
      <c r="CU332"/>
      <c r="CV332"/>
      <c r="CW332"/>
      <c r="CX332"/>
      <c r="CY332"/>
      <c r="CZ332" s="633"/>
      <c r="DA332"/>
      <c r="DB332"/>
      <c r="DC332"/>
      <c r="DD332"/>
      <c r="DE332"/>
      <c r="DF332"/>
      <c r="DG332"/>
      <c r="DH332" s="633"/>
      <c r="DI332" s="3">
        <v>1</v>
      </c>
    </row>
    <row r="333" spans="2:113" s="627" customFormat="1" ht="21" customHeight="1">
      <c r="B333" s="2265" t="str" cm="1">
        <f t="array" ref="B333">SUMPRODUCT(--(D333:J333&lt;&gt;""), LEN(TRIM(SUBSTITUTE(D333:J333, CHAR(160), "")))) &amp; " Car."</f>
        <v>0 Car.</v>
      </c>
      <c r="C333" s="1376" t="str">
        <f>IF(ISBLANK(D333),"",LARGE(C13:C332,1)+1)</f>
        <v/>
      </c>
      <c r="D333" s="1833"/>
      <c r="E333" s="1810"/>
      <c r="F333" s="1810"/>
      <c r="G333" s="1810"/>
      <c r="H333" s="1810"/>
      <c r="I333" s="1810"/>
      <c r="J333" s="1810"/>
      <c r="K333" s="1810"/>
      <c r="L333" s="1811"/>
      <c r="M333" s="9"/>
      <c r="N333" s="103" t="str">
        <f t="shared" si="116"/>
        <v>►</v>
      </c>
      <c r="O333" s="1616"/>
      <c r="P333" s="9"/>
      <c r="Q333" s="25" t="s">
        <v>15</v>
      </c>
      <c r="R333" s="31"/>
      <c r="S333" s="32"/>
      <c r="T333" s="31"/>
      <c r="U333" s="33"/>
      <c r="V333" s="1967"/>
      <c r="W333" s="1805"/>
      <c r="X333" s="91"/>
      <c r="Y333" s="1806"/>
      <c r="Z333" s="1968"/>
      <c r="AA333" s="2244"/>
      <c r="AB333" s="1969"/>
      <c r="AC333" s="1365"/>
      <c r="AD333" s="95"/>
      <c r="AE333" s="1326"/>
      <c r="AF333" s="97"/>
      <c r="AG333" s="1737"/>
      <c r="AH333" s="1970"/>
      <c r="AI333" s="99"/>
      <c r="AJ333" s="1809"/>
      <c r="AK333" s="6120" t="str">
        <f t="shared" si="117"/>
        <v>►</v>
      </c>
      <c r="AL333" s="781" t="str">
        <f t="shared" si="119"/>
        <v>►</v>
      </c>
      <c r="AM333" s="5499" t="str">
        <f t="shared" si="122"/>
        <v/>
      </c>
      <c r="AN333" s="783" t="str">
        <f t="shared" si="123"/>
        <v/>
      </c>
      <c r="AO333" s="782" t="str">
        <f t="shared" si="124"/>
        <v/>
      </c>
      <c r="AP333" s="783" t="str">
        <f t="shared" si="125"/>
        <v/>
      </c>
      <c r="AQ333" s="2083" t="b">
        <f>AND(Q333="A",COUNTIF(BP16:BR63,TRIM(Z333))&gt;0)</f>
        <v>0</v>
      </c>
      <c r="AR333" s="797" t="str">
        <f>IF(AL333&lt;&gt;"A","",IFERROR(IFERROR(_xlfn.XLOOKUP(TRIM(SUBSTITUTE(Z333,CHAR(160)," ")),BP16:BP63,BS16:BS63),IFERROR(_xlfn.XLOOKUP(TRIM(SUBSTITUTE(Z333,CHAR(160)," ")),BQ16:BQ63,BS16:BS63),_xlfn.XLOOKUP(TRIM(SUBSTITUTE(Z333,CHAR(160)," ")),BR16:BR63,BS16:BS63)))*Y333*IF(ISBLANK(V333),1,V333),0))</f>
        <v/>
      </c>
      <c r="AS333" s="784" t="str">
        <f t="shared" si="136"/>
        <v/>
      </c>
      <c r="AT333" s="1315" t="str">
        <f t="shared" si="126"/>
        <v/>
      </c>
      <c r="AU333" s="785">
        <f t="shared" si="127"/>
        <v>0</v>
      </c>
      <c r="AV333" s="785">
        <f t="shared" si="128"/>
        <v>0</v>
      </c>
      <c r="AW333" s="786">
        <f>IF(AK333="A",AY10,0)</f>
        <v>0</v>
      </c>
      <c r="AX333" s="5495" t="str">
        <f>IF(IFERROR(SEARCH("Adresse PC",TRIM(W333)),0)&gt;0,"▼ receta siguiente",IF(AK333="A",IF(AZ10&lt;&gt;"",AZ10&amp;" - ou.or.o ❾ + or - &gt;",""),""))</f>
        <v/>
      </c>
      <c r="AY333" s="810"/>
      <c r="AZ333" s="810"/>
      <c r="BA333" s="788" t="str">
        <f t="shared" si="118"/>
        <v/>
      </c>
      <c r="BB333" s="789" t="str">
        <f>IF(AK333="A",IF(AQ333,IF(AND(AW333&lt;&gt;"",N(AW333)&gt;0),IFERROR(IFERROR(_xlfn.XLOOKUP(AP333,BP10:BP57,BT10:BT57),IFERROR(_xlfn.XLOOKUP(AP333,BQ10:BQ57,BT10:BT57),_xlfn.XLOOKUP(AP333,BR10:BR57,BT10:BT57,""))),""),""),""),"")</f>
        <v/>
      </c>
      <c r="BC333" s="811" cm="1">
        <f t="array" ref="BC333">IF(NOT(AQ333),0,IF(OR(BA333="",N(BA333)&lt;=0.000000001),"",IF(OR(AU333="",N(AU333)&lt;=0.000000001),0,IF(ISNUMBER(BA333),IFERROR(_xlfn.LET(_xlpm.ai_test,TRIM(AP333),_xlpm.r,IFERROR(_xlfn.XLOOKUP(_xlpm.ai_test,BP16:BP63,ROW(BP16:BP63),0,1),IFERROR(_xlfn.XLOOKUP(_xlpm.ai_test,BQ16:BQ63,ROW(BQ16:BQ63),0,1),_xlfn.XLOOKUP(_xlpm.ai_test,BR16:BR63,ROW(BR16:BR63),0,1))),_xlpm.p,_xlpm.r-MIN(ROW(BP16:BP63))+1,_xlpm.f,INDEX(BS16:BS63,_xlpm.p),_xlpm.u,INDEX(BT16:BT63,_xlpm.p),_xlpm.s,INDEX(BV16:BV63,_xlpm.p),_xlpm.q,N(BA333)/_xlpm.f,IF(_xlpm.q&gt;=_xlpm.s,ROUND(_xlpm.q,1)&amp;" "&amp;_xlpm.ai_test&amp;" = "&amp;ROUND(_xlpm.q*_xlpm.f,1)&amp;" "&amp;_xlpm.u,ROUND(_xlpm.q,1)&amp;" "&amp;_xlpm.ai_test)),""),""))))</f>
        <v>0</v>
      </c>
      <c r="BD333" s="801"/>
      <c r="BE333" s="788" t="str">
        <f t="shared" si="129"/>
        <v/>
      </c>
      <c r="BF333" s="789" t="str">
        <f t="shared" si="130"/>
        <v/>
      </c>
      <c r="BG333" s="790">
        <f t="shared" si="133"/>
        <v>0</v>
      </c>
      <c r="BH333" s="791" t="str">
        <f t="shared" si="134"/>
        <v/>
      </c>
      <c r="BI333" s="792"/>
      <c r="BJ333" s="793">
        <f t="shared" si="132"/>
        <v>0</v>
      </c>
      <c r="BK333" s="794" t="str">
        <f t="shared" si="131"/>
        <v/>
      </c>
      <c r="BL333" s="227" t="s">
        <v>21</v>
      </c>
      <c r="BM333" s="773">
        <f t="shared" si="120"/>
        <v>0</v>
      </c>
      <c r="BN333" s="774">
        <f t="shared" si="121"/>
        <v>0</v>
      </c>
      <c r="BO333"/>
      <c r="BX333"/>
      <c r="BY333"/>
      <c r="BZ333"/>
      <c r="CA333"/>
      <c r="CB333"/>
      <c r="CC333"/>
      <c r="CD333" s="781" t="str">
        <f t="shared" si="135"/>
        <v>►</v>
      </c>
      <c r="CE333" s="633"/>
      <c r="CF333" s="633"/>
      <c r="CG333" s="633"/>
      <c r="CH333" s="633"/>
      <c r="CI333" s="633"/>
      <c r="CJ333" s="633"/>
      <c r="CK333"/>
      <c r="CL333"/>
      <c r="CM333"/>
      <c r="CN333"/>
      <c r="CO333"/>
      <c r="CP333"/>
      <c r="CQ333"/>
      <c r="CR333" s="227"/>
      <c r="CS333"/>
      <c r="CT333"/>
      <c r="CU333"/>
      <c r="CV333"/>
      <c r="CW333"/>
      <c r="CX333"/>
      <c r="CY333"/>
      <c r="CZ333" s="227"/>
      <c r="DA333"/>
      <c r="DB333"/>
      <c r="DC333"/>
      <c r="DD333"/>
      <c r="DE333"/>
      <c r="DF333"/>
      <c r="DG333"/>
      <c r="DH333" s="227"/>
      <c r="DI333" s="3">
        <v>1</v>
      </c>
    </row>
    <row r="334" spans="2:113" s="627" customFormat="1" ht="21" customHeight="1">
      <c r="B334" s="2265" t="str" cm="1">
        <f t="array" ref="B334">SUMPRODUCT(--(D334:J334&lt;&gt;""), LEN(TRIM(SUBSTITUTE(D334:J334, CHAR(160), "")))) &amp; " Car."</f>
        <v>0 Car.</v>
      </c>
      <c r="C334" s="1376" t="str">
        <f>IF(ISBLANK(D334),"",LARGE(C13:C333,1)+1)</f>
        <v/>
      </c>
      <c r="D334" s="1833"/>
      <c r="E334" s="1810"/>
      <c r="F334" s="1810"/>
      <c r="G334" s="1810"/>
      <c r="H334" s="1810"/>
      <c r="I334" s="1810"/>
      <c r="J334" s="1810"/>
      <c r="K334" s="1810"/>
      <c r="L334" s="1811"/>
      <c r="M334" s="9"/>
      <c r="N334" s="103" t="str">
        <f t="shared" ref="N334:N397" si="137">Q334</f>
        <v>►</v>
      </c>
      <c r="O334" s="1616"/>
      <c r="P334" s="9"/>
      <c r="Q334" s="25" t="s">
        <v>15</v>
      </c>
      <c r="R334" s="31"/>
      <c r="S334" s="32"/>
      <c r="T334" s="31"/>
      <c r="U334" s="33"/>
      <c r="V334" s="1967"/>
      <c r="W334" s="1805"/>
      <c r="X334" s="91"/>
      <c r="Y334" s="1806"/>
      <c r="Z334" s="1968"/>
      <c r="AA334" s="2244"/>
      <c r="AB334" s="1969"/>
      <c r="AC334" s="1365"/>
      <c r="AD334" s="95"/>
      <c r="AE334" s="1326"/>
      <c r="AF334" s="97"/>
      <c r="AG334" s="1737"/>
      <c r="AH334" s="1970"/>
      <c r="AI334" s="99"/>
      <c r="AJ334" s="1809"/>
      <c r="AK334" s="6120" t="str">
        <f t="shared" si="117"/>
        <v>►</v>
      </c>
      <c r="AL334" s="781" t="str">
        <f t="shared" si="119"/>
        <v>►</v>
      </c>
      <c r="AM334" s="5498" t="str">
        <f t="shared" si="122"/>
        <v/>
      </c>
      <c r="AN334" s="783" t="str">
        <f t="shared" si="123"/>
        <v/>
      </c>
      <c r="AO334" s="782" t="str">
        <f t="shared" si="124"/>
        <v/>
      </c>
      <c r="AP334" s="783" t="str">
        <f t="shared" si="125"/>
        <v/>
      </c>
      <c r="AQ334" s="2083" t="b">
        <f>AND(Q334="A",COUNTIF(BP16:BR63,TRIM(Z334))&gt;0)</f>
        <v>0</v>
      </c>
      <c r="AR334" s="797" t="str">
        <f>IF(AL334&lt;&gt;"A","",IFERROR(IFERROR(_xlfn.XLOOKUP(TRIM(SUBSTITUTE(Z334,CHAR(160)," ")),BP16:BP63,BS16:BS63),IFERROR(_xlfn.XLOOKUP(TRIM(SUBSTITUTE(Z334,CHAR(160)," ")),BQ16:BQ63,BS16:BS63),_xlfn.XLOOKUP(TRIM(SUBSTITUTE(Z334,CHAR(160)," ")),BR16:BR63,BS16:BS63)))*Y334*IF(ISBLANK(V334),1,V334),0))</f>
        <v/>
      </c>
      <c r="AS334" s="784" t="str">
        <f t="shared" si="136"/>
        <v/>
      </c>
      <c r="AT334" s="1315" t="str">
        <f t="shared" si="126"/>
        <v/>
      </c>
      <c r="AU334" s="785">
        <f t="shared" si="127"/>
        <v>0</v>
      </c>
      <c r="AV334" s="785">
        <f t="shared" si="128"/>
        <v>0</v>
      </c>
      <c r="AW334" s="798">
        <f>IF(AK334="A",AY10,0)</f>
        <v>0</v>
      </c>
      <c r="AX334" s="5496" t="str">
        <f>IF(IFERROR(SEARCH("Adresse PC",TRIM(W334)),0)&gt;0,"▼ receta siguiente",IF(AK334="A",IF(AZ10&lt;&gt;"",AZ10&amp;" - ou.or.o ❾ + or - &gt;",""),""))</f>
        <v/>
      </c>
      <c r="AY334" s="810"/>
      <c r="AZ334" s="810"/>
      <c r="BA334" s="799" t="str">
        <f t="shared" si="118"/>
        <v/>
      </c>
      <c r="BB334" s="800" t="str">
        <f>IF(AK334="A",IF(AQ334,IF(AND(AW334&lt;&gt;"",N(AW334)&gt;0),IFERROR(IFERROR(_xlfn.XLOOKUP(AP334,BP10:BP57,BT10:BT57),IFERROR(_xlfn.XLOOKUP(AP334,BQ10:BQ57,BT10:BT57),_xlfn.XLOOKUP(AP334,BR10:BR57,BT10:BT57,""))),""),""),""),"")</f>
        <v/>
      </c>
      <c r="BC334" s="813" cm="1">
        <f t="array" ref="BC334">IF(NOT(AQ334),0,IF(OR(BA334="",N(BA334)&lt;=0.000000001),"",IF(OR(AU334="",N(AU334)&lt;=0.000000001),0,IF(ISNUMBER(BA334),IFERROR(_xlfn.LET(_xlpm.ai_test,TRIM(AP334),_xlpm.r,IFERROR(_xlfn.XLOOKUP(_xlpm.ai_test,BP16:BP63,ROW(BP16:BP63),0,1),IFERROR(_xlfn.XLOOKUP(_xlpm.ai_test,BQ16:BQ63,ROW(BQ16:BQ63),0,1),_xlfn.XLOOKUP(_xlpm.ai_test,BR16:BR63,ROW(BR16:BR63),0,1))),_xlpm.p,_xlpm.r-MIN(ROW(BP16:BP63))+1,_xlpm.f,INDEX(BS16:BS63,_xlpm.p),_xlpm.u,INDEX(BT16:BT63,_xlpm.p),_xlpm.s,INDEX(BV16:BV63,_xlpm.p),_xlpm.q,N(BA334)/_xlpm.f,IF(_xlpm.q&gt;=_xlpm.s,ROUND(_xlpm.q,1)&amp;" "&amp;_xlpm.ai_test&amp;" = "&amp;ROUND(_xlpm.q*_xlpm.f,1)&amp;" "&amp;_xlpm.u,ROUND(_xlpm.q,1)&amp;" "&amp;_xlpm.ai_test)),""),""))))</f>
        <v>0</v>
      </c>
      <c r="BD334" s="801"/>
      <c r="BE334" s="799" t="str">
        <f t="shared" si="129"/>
        <v/>
      </c>
      <c r="BF334" s="800" t="str">
        <f t="shared" si="130"/>
        <v/>
      </c>
      <c r="BG334" s="802">
        <f t="shared" si="133"/>
        <v>0</v>
      </c>
      <c r="BH334" s="803" t="str">
        <f t="shared" si="134"/>
        <v/>
      </c>
      <c r="BI334" s="792"/>
      <c r="BJ334" s="804">
        <f t="shared" si="132"/>
        <v>0</v>
      </c>
      <c r="BK334" s="794" t="str">
        <f t="shared" si="131"/>
        <v/>
      </c>
      <c r="BL334" s="227" t="s">
        <v>21</v>
      </c>
      <c r="BM334" s="773">
        <f t="shared" si="120"/>
        <v>0</v>
      </c>
      <c r="BN334" s="774">
        <f t="shared" si="121"/>
        <v>0</v>
      </c>
      <c r="BO334"/>
      <c r="BX334"/>
      <c r="BY334"/>
      <c r="BZ334"/>
      <c r="CA334"/>
      <c r="CB334"/>
      <c r="CC334"/>
      <c r="CD334" s="781" t="str">
        <f t="shared" si="135"/>
        <v>►</v>
      </c>
      <c r="CE334" s="633"/>
      <c r="CF334" s="633"/>
      <c r="CG334" s="633"/>
      <c r="CH334" s="633"/>
      <c r="CI334" s="633"/>
      <c r="CJ334" s="227"/>
      <c r="CK334"/>
      <c r="CL334"/>
      <c r="CM334"/>
      <c r="CN334"/>
      <c r="CO334"/>
      <c r="CP334"/>
      <c r="CQ334"/>
      <c r="CR334" s="227"/>
      <c r="CS334"/>
      <c r="CT334"/>
      <c r="CU334"/>
      <c r="CV334"/>
      <c r="CW334"/>
      <c r="CX334"/>
      <c r="CY334"/>
      <c r="CZ334" s="227"/>
      <c r="DA334"/>
      <c r="DB334"/>
      <c r="DC334"/>
      <c r="DD334"/>
      <c r="DE334"/>
      <c r="DF334"/>
      <c r="DG334"/>
      <c r="DH334" s="227"/>
      <c r="DI334" s="3">
        <v>1</v>
      </c>
    </row>
    <row r="335" spans="2:113" s="627" customFormat="1" ht="21" customHeight="1">
      <c r="B335" s="2265" t="str" cm="1">
        <f t="array" ref="B335">SUMPRODUCT(--(D335:J335&lt;&gt;""), LEN(TRIM(SUBSTITUTE(D335:J335, CHAR(160), "")))) &amp; " Car."</f>
        <v>0 Car.</v>
      </c>
      <c r="C335" s="1376" t="str">
        <f>IF(ISBLANK(D335),"",LARGE(C13:C334,1)+1)</f>
        <v/>
      </c>
      <c r="D335" s="1833"/>
      <c r="E335" s="1810"/>
      <c r="F335" s="1810"/>
      <c r="G335" s="1810"/>
      <c r="H335" s="1810"/>
      <c r="I335" s="1810"/>
      <c r="J335" s="1810"/>
      <c r="K335" s="1810"/>
      <c r="L335" s="1811"/>
      <c r="M335" s="9"/>
      <c r="N335" s="103" t="str">
        <f t="shared" si="137"/>
        <v>►</v>
      </c>
      <c r="O335" s="1616"/>
      <c r="P335" s="9"/>
      <c r="Q335" s="25" t="s">
        <v>15</v>
      </c>
      <c r="R335" s="31"/>
      <c r="S335" s="32"/>
      <c r="T335" s="31"/>
      <c r="U335" s="33"/>
      <c r="V335" s="1967"/>
      <c r="W335" s="1805"/>
      <c r="X335" s="91"/>
      <c r="Y335" s="1806"/>
      <c r="Z335" s="1968"/>
      <c r="AA335" s="2244"/>
      <c r="AB335" s="1969"/>
      <c r="AC335" s="1365"/>
      <c r="AD335" s="95"/>
      <c r="AE335" s="1326"/>
      <c r="AF335" s="97"/>
      <c r="AG335" s="1737"/>
      <c r="AH335" s="1970"/>
      <c r="AI335" s="99"/>
      <c r="AJ335" s="1809"/>
      <c r="AK335" s="6120" t="str">
        <f t="shared" si="117"/>
        <v>►</v>
      </c>
      <c r="AL335" s="781" t="str">
        <f t="shared" si="119"/>
        <v>►</v>
      </c>
      <c r="AM335" s="5499" t="str">
        <f t="shared" si="122"/>
        <v/>
      </c>
      <c r="AN335" s="783" t="str">
        <f t="shared" si="123"/>
        <v/>
      </c>
      <c r="AO335" s="782" t="str">
        <f t="shared" si="124"/>
        <v/>
      </c>
      <c r="AP335" s="783" t="str">
        <f t="shared" si="125"/>
        <v/>
      </c>
      <c r="AQ335" s="2083" t="b">
        <f>AND(Q335="A",COUNTIF(BP16:BR63,TRIM(Z335))&gt;0)</f>
        <v>0</v>
      </c>
      <c r="AR335" s="797" t="str">
        <f>IF(AL335&lt;&gt;"A","",IFERROR(IFERROR(_xlfn.XLOOKUP(TRIM(SUBSTITUTE(Z335,CHAR(160)," ")),BP16:BP63,BS16:BS63),IFERROR(_xlfn.XLOOKUP(TRIM(SUBSTITUTE(Z335,CHAR(160)," ")),BQ16:BQ63,BS16:BS63),_xlfn.XLOOKUP(TRIM(SUBSTITUTE(Z335,CHAR(160)," ")),BR16:BR63,BS16:BS63)))*Y335*IF(ISBLANK(V335),1,V335),0))</f>
        <v/>
      </c>
      <c r="AS335" s="784" t="str">
        <f t="shared" si="136"/>
        <v/>
      </c>
      <c r="AT335" s="1315" t="str">
        <f t="shared" si="126"/>
        <v/>
      </c>
      <c r="AU335" s="785">
        <f t="shared" si="127"/>
        <v>0</v>
      </c>
      <c r="AV335" s="785">
        <f t="shared" si="128"/>
        <v>0</v>
      </c>
      <c r="AW335" s="786">
        <f>IF(AK335="A",AY10,0)</f>
        <v>0</v>
      </c>
      <c r="AX335" s="5495" t="str">
        <f>IF(IFERROR(SEARCH("Adresse PC",TRIM(W335)),0)&gt;0,"▼ receta siguiente",IF(AK335="A",IF(AZ10&lt;&gt;"",AZ10&amp;" - ou.or.o ❾ + or - &gt;",""),""))</f>
        <v/>
      </c>
      <c r="AY335" s="810"/>
      <c r="AZ335" s="810"/>
      <c r="BA335" s="788" t="str">
        <f t="shared" si="118"/>
        <v/>
      </c>
      <c r="BB335" s="789" t="str">
        <f>IF(AK335="A",IF(AQ335,IF(AND(AW335&lt;&gt;"",N(AW335)&gt;0),IFERROR(IFERROR(_xlfn.XLOOKUP(AP335,BP10:BP57,BT10:BT57),IFERROR(_xlfn.XLOOKUP(AP335,BQ10:BQ57,BT10:BT57),_xlfn.XLOOKUP(AP335,BR10:BR57,BT10:BT57,""))),""),""),""),"")</f>
        <v/>
      </c>
      <c r="BC335" s="811" cm="1">
        <f t="array" ref="BC335">IF(NOT(AQ335),0,IF(OR(BA335="",N(BA335)&lt;=0.000000001),"",IF(OR(AU335="",N(AU335)&lt;=0.000000001),0,IF(ISNUMBER(BA335),IFERROR(_xlfn.LET(_xlpm.ai_test,TRIM(AP335),_xlpm.r,IFERROR(_xlfn.XLOOKUP(_xlpm.ai_test,BP16:BP63,ROW(BP16:BP63),0,1),IFERROR(_xlfn.XLOOKUP(_xlpm.ai_test,BQ16:BQ63,ROW(BQ16:BQ63),0,1),_xlfn.XLOOKUP(_xlpm.ai_test,BR16:BR63,ROW(BR16:BR63),0,1))),_xlpm.p,_xlpm.r-MIN(ROW(BP16:BP63))+1,_xlpm.f,INDEX(BS16:BS63,_xlpm.p),_xlpm.u,INDEX(BT16:BT63,_xlpm.p),_xlpm.s,INDEX(BV16:BV63,_xlpm.p),_xlpm.q,N(BA335)/_xlpm.f,IF(_xlpm.q&gt;=_xlpm.s,ROUND(_xlpm.q,1)&amp;" "&amp;_xlpm.ai_test&amp;" = "&amp;ROUND(_xlpm.q*_xlpm.f,1)&amp;" "&amp;_xlpm.u,ROUND(_xlpm.q,1)&amp;" "&amp;_xlpm.ai_test)),""),""))))</f>
        <v>0</v>
      </c>
      <c r="BD335" s="801"/>
      <c r="BE335" s="788" t="str">
        <f t="shared" si="129"/>
        <v/>
      </c>
      <c r="BF335" s="789" t="str">
        <f t="shared" si="130"/>
        <v/>
      </c>
      <c r="BG335" s="790">
        <f t="shared" si="133"/>
        <v>0</v>
      </c>
      <c r="BH335" s="791" t="str">
        <f t="shared" si="134"/>
        <v/>
      </c>
      <c r="BI335" s="792"/>
      <c r="BJ335" s="793">
        <f t="shared" si="132"/>
        <v>0</v>
      </c>
      <c r="BK335" s="794" t="str">
        <f t="shared" si="131"/>
        <v/>
      </c>
      <c r="BL335" s="227" t="s">
        <v>21</v>
      </c>
      <c r="BM335" s="773">
        <f t="shared" si="120"/>
        <v>0</v>
      </c>
      <c r="BN335" s="774">
        <f t="shared" si="121"/>
        <v>0</v>
      </c>
      <c r="BO335"/>
      <c r="BX335"/>
      <c r="BY335"/>
      <c r="BZ335"/>
      <c r="CA335"/>
      <c r="CB335"/>
      <c r="CC335"/>
      <c r="CD335" s="781" t="str">
        <f t="shared" si="135"/>
        <v>►</v>
      </c>
      <c r="CE335" s="633"/>
      <c r="CF335" s="633"/>
      <c r="CG335" s="633"/>
      <c r="CH335" s="633"/>
      <c r="CI335" s="633"/>
      <c r="CJ335" s="227"/>
      <c r="CK335"/>
      <c r="CL335"/>
      <c r="CM335"/>
      <c r="CN335"/>
      <c r="CO335"/>
      <c r="CP335"/>
      <c r="CQ335"/>
      <c r="CR335" s="227"/>
      <c r="CS335"/>
      <c r="CT335"/>
      <c r="CU335"/>
      <c r="CV335"/>
      <c r="CW335"/>
      <c r="CX335"/>
      <c r="CY335"/>
      <c r="CZ335" s="227"/>
      <c r="DA335"/>
      <c r="DB335"/>
      <c r="DC335"/>
      <c r="DD335"/>
      <c r="DE335"/>
      <c r="DF335"/>
      <c r="DG335"/>
      <c r="DH335" s="227"/>
      <c r="DI335" s="3">
        <v>1</v>
      </c>
    </row>
    <row r="336" spans="2:113" s="627" customFormat="1" ht="21" customHeight="1">
      <c r="B336" s="2265" t="str" cm="1">
        <f t="array" ref="B336">SUMPRODUCT(--(D336:J336&lt;&gt;""), LEN(TRIM(SUBSTITUTE(D336:J336, CHAR(160), "")))) &amp; " Car."</f>
        <v>0 Car.</v>
      </c>
      <c r="C336" s="1376" t="str">
        <f>IF(ISBLANK(D336),"",LARGE(C13:C335,1)+1)</f>
        <v/>
      </c>
      <c r="D336" s="1833"/>
      <c r="E336" s="1810"/>
      <c r="F336" s="1810"/>
      <c r="G336" s="1810"/>
      <c r="H336" s="1810"/>
      <c r="I336" s="1810"/>
      <c r="J336" s="1810"/>
      <c r="K336" s="1810"/>
      <c r="L336" s="1811"/>
      <c r="M336" s="9"/>
      <c r="N336" s="103" t="str">
        <f t="shared" si="137"/>
        <v>►</v>
      </c>
      <c r="O336" s="1616"/>
      <c r="P336" s="9"/>
      <c r="Q336" s="25" t="s">
        <v>15</v>
      </c>
      <c r="R336" s="31"/>
      <c r="S336" s="32"/>
      <c r="T336" s="31"/>
      <c r="U336" s="33"/>
      <c r="V336" s="1967"/>
      <c r="W336" s="1805"/>
      <c r="X336" s="91"/>
      <c r="Y336" s="1806"/>
      <c r="Z336" s="1968"/>
      <c r="AA336" s="2244"/>
      <c r="AB336" s="1969"/>
      <c r="AC336" s="1365"/>
      <c r="AD336" s="95"/>
      <c r="AE336" s="1326"/>
      <c r="AF336" s="97"/>
      <c r="AG336" s="1737"/>
      <c r="AH336" s="1970"/>
      <c r="AI336" s="99"/>
      <c r="AJ336" s="1809"/>
      <c r="AK336" s="6120" t="str">
        <f t="shared" si="117"/>
        <v>►</v>
      </c>
      <c r="AL336" s="781" t="str">
        <f t="shared" si="119"/>
        <v>►</v>
      </c>
      <c r="AM336" s="5498" t="str">
        <f t="shared" si="122"/>
        <v/>
      </c>
      <c r="AN336" s="783" t="str">
        <f t="shared" si="123"/>
        <v/>
      </c>
      <c r="AO336" s="782" t="str">
        <f t="shared" si="124"/>
        <v/>
      </c>
      <c r="AP336" s="783" t="str">
        <f t="shared" si="125"/>
        <v/>
      </c>
      <c r="AQ336" s="2083" t="b">
        <f>AND(Q336="A",COUNTIF(BP16:BR63,TRIM(Z336))&gt;0)</f>
        <v>0</v>
      </c>
      <c r="AR336" s="797" t="str">
        <f>IF(AL336&lt;&gt;"A","",IFERROR(IFERROR(_xlfn.XLOOKUP(TRIM(SUBSTITUTE(Z336,CHAR(160)," ")),BP16:BP63,BS16:BS63),IFERROR(_xlfn.XLOOKUP(TRIM(SUBSTITUTE(Z336,CHAR(160)," ")),BQ16:BQ63,BS16:BS63),_xlfn.XLOOKUP(TRIM(SUBSTITUTE(Z336,CHAR(160)," ")),BR16:BR63,BS16:BS63)))*Y336*IF(ISBLANK(V336),1,V336),0))</f>
        <v/>
      </c>
      <c r="AS336" s="784" t="str">
        <f t="shared" si="136"/>
        <v/>
      </c>
      <c r="AT336" s="1315" t="str">
        <f t="shared" si="126"/>
        <v/>
      </c>
      <c r="AU336" s="785">
        <f t="shared" si="127"/>
        <v>0</v>
      </c>
      <c r="AV336" s="785">
        <f t="shared" si="128"/>
        <v>0</v>
      </c>
      <c r="AW336" s="798">
        <f>IF(AK336="A",AY10,0)</f>
        <v>0</v>
      </c>
      <c r="AX336" s="5496" t="str">
        <f>IF(IFERROR(SEARCH("Adresse PC",TRIM(W336)),0)&gt;0,"▼ receta siguiente",IF(AK336="A",IF(AZ10&lt;&gt;"",AZ10&amp;" - ou.or.o ❾ + or - &gt;",""),""))</f>
        <v/>
      </c>
      <c r="AY336" s="810"/>
      <c r="AZ336" s="810"/>
      <c r="BA336" s="799" t="str">
        <f t="shared" si="118"/>
        <v/>
      </c>
      <c r="BB336" s="800" t="str">
        <f>IF(AK336="A",IF(AQ336,IF(AND(AW336&lt;&gt;"",N(AW336)&gt;0),IFERROR(IFERROR(_xlfn.XLOOKUP(AP336,BP10:BP57,BT10:BT57),IFERROR(_xlfn.XLOOKUP(AP336,BQ10:BQ57,BT10:BT57),_xlfn.XLOOKUP(AP336,BR10:BR57,BT10:BT57,""))),""),""),""),"")</f>
        <v/>
      </c>
      <c r="BC336" s="813" cm="1">
        <f t="array" ref="BC336">IF(NOT(AQ336),0,IF(OR(BA336="",N(BA336)&lt;=0.000000001),"",IF(OR(AU336="",N(AU336)&lt;=0.000000001),0,IF(ISNUMBER(BA336),IFERROR(_xlfn.LET(_xlpm.ai_test,TRIM(AP336),_xlpm.r,IFERROR(_xlfn.XLOOKUP(_xlpm.ai_test,BP16:BP63,ROW(BP16:BP63),0,1),IFERROR(_xlfn.XLOOKUP(_xlpm.ai_test,BQ16:BQ63,ROW(BQ16:BQ63),0,1),_xlfn.XLOOKUP(_xlpm.ai_test,BR16:BR63,ROW(BR16:BR63),0,1))),_xlpm.p,_xlpm.r-MIN(ROW(BP16:BP63))+1,_xlpm.f,INDEX(BS16:BS63,_xlpm.p),_xlpm.u,INDEX(BT16:BT63,_xlpm.p),_xlpm.s,INDEX(BV16:BV63,_xlpm.p),_xlpm.q,N(BA336)/_xlpm.f,IF(_xlpm.q&gt;=_xlpm.s,ROUND(_xlpm.q,1)&amp;" "&amp;_xlpm.ai_test&amp;" = "&amp;ROUND(_xlpm.q*_xlpm.f,1)&amp;" "&amp;_xlpm.u,ROUND(_xlpm.q,1)&amp;" "&amp;_xlpm.ai_test)),""),""))))</f>
        <v>0</v>
      </c>
      <c r="BD336" s="801"/>
      <c r="BE336" s="799" t="str">
        <f t="shared" si="129"/>
        <v/>
      </c>
      <c r="BF336" s="800" t="str">
        <f t="shared" si="130"/>
        <v/>
      </c>
      <c r="BG336" s="802">
        <f t="shared" si="133"/>
        <v>0</v>
      </c>
      <c r="BH336" s="803" t="str">
        <f t="shared" si="134"/>
        <v/>
      </c>
      <c r="BI336" s="792"/>
      <c r="BJ336" s="804">
        <f t="shared" si="132"/>
        <v>0</v>
      </c>
      <c r="BK336" s="794" t="str">
        <f t="shared" si="131"/>
        <v/>
      </c>
      <c r="BL336" s="227" t="s">
        <v>21</v>
      </c>
      <c r="BM336" s="773">
        <f t="shared" si="120"/>
        <v>0</v>
      </c>
      <c r="BN336" s="774">
        <f t="shared" si="121"/>
        <v>0</v>
      </c>
      <c r="BO336"/>
      <c r="BX336"/>
      <c r="BY336"/>
      <c r="BZ336"/>
      <c r="CA336"/>
      <c r="CB336"/>
      <c r="CC336"/>
      <c r="CD336" s="781" t="str">
        <f t="shared" si="135"/>
        <v>►</v>
      </c>
      <c r="CE336" s="633"/>
      <c r="CF336" s="633"/>
      <c r="CG336" s="633"/>
      <c r="CH336" s="633"/>
      <c r="CI336" s="633"/>
      <c r="CJ336" s="227"/>
      <c r="CK336"/>
      <c r="CL336"/>
      <c r="CM336"/>
      <c r="CN336"/>
      <c r="CO336"/>
      <c r="CP336"/>
      <c r="CQ336"/>
      <c r="CR336" s="227"/>
      <c r="CS336"/>
      <c r="CT336"/>
      <c r="CU336"/>
      <c r="CV336"/>
      <c r="CW336"/>
      <c r="CX336"/>
      <c r="CY336"/>
      <c r="CZ336" s="227"/>
      <c r="DA336"/>
      <c r="DB336"/>
      <c r="DC336"/>
      <c r="DD336"/>
      <c r="DE336"/>
      <c r="DF336"/>
      <c r="DG336"/>
      <c r="DH336" s="227"/>
      <c r="DI336" s="3">
        <v>1</v>
      </c>
    </row>
    <row r="337" spans="2:113" s="627" customFormat="1" ht="21" customHeight="1">
      <c r="B337" s="2265" t="str" cm="1">
        <f t="array" ref="B337">SUMPRODUCT(--(D337:J337&lt;&gt;""), LEN(TRIM(SUBSTITUTE(D337:J337, CHAR(160), "")))) &amp; " Car."</f>
        <v>0 Car.</v>
      </c>
      <c r="C337" s="1376" t="str">
        <f>IF(ISBLANK(D337),"",LARGE(C13:C336,1)+1)</f>
        <v/>
      </c>
      <c r="D337" s="1833"/>
      <c r="E337" s="1810"/>
      <c r="F337" s="1810"/>
      <c r="G337" s="1810"/>
      <c r="H337" s="1810"/>
      <c r="I337" s="1810"/>
      <c r="J337" s="1810"/>
      <c r="K337" s="1810"/>
      <c r="L337" s="1811"/>
      <c r="M337" s="9"/>
      <c r="N337" s="103" t="str">
        <f t="shared" si="137"/>
        <v>►</v>
      </c>
      <c r="O337" s="1616"/>
      <c r="P337" s="9"/>
      <c r="Q337" s="25" t="s">
        <v>15</v>
      </c>
      <c r="R337" s="31"/>
      <c r="S337" s="32"/>
      <c r="T337" s="31"/>
      <c r="U337" s="33"/>
      <c r="V337" s="1967"/>
      <c r="W337" s="1805"/>
      <c r="X337" s="91"/>
      <c r="Y337" s="1806"/>
      <c r="Z337" s="1968"/>
      <c r="AA337" s="2244"/>
      <c r="AB337" s="1969"/>
      <c r="AC337" s="1365"/>
      <c r="AD337" s="95"/>
      <c r="AE337" s="1326"/>
      <c r="AF337" s="97"/>
      <c r="AG337" s="1737"/>
      <c r="AH337" s="1970"/>
      <c r="AI337" s="99"/>
      <c r="AJ337" s="1809"/>
      <c r="AK337" s="6120" t="str">
        <f t="shared" ref="AK337:AK400" si="138">IF(AND(IFERROR(SEARCH("►",AB337),0)&gt;0,ISNUMBER(IFERROR(VALUE(TRIM(SUBSTITUTE(AB337,"►",""))),NA())),AC337&lt;&gt;""),"A","►")</f>
        <v>►</v>
      </c>
      <c r="AL337" s="781" t="str">
        <f t="shared" si="119"/>
        <v>►</v>
      </c>
      <c r="AM337" s="5499" t="str">
        <f t="shared" si="122"/>
        <v/>
      </c>
      <c r="AN337" s="783" t="str">
        <f t="shared" si="123"/>
        <v/>
      </c>
      <c r="AO337" s="782" t="str">
        <f t="shared" si="124"/>
        <v/>
      </c>
      <c r="AP337" s="783" t="str">
        <f t="shared" si="125"/>
        <v/>
      </c>
      <c r="AQ337" s="2083" t="b">
        <f>AND(Q337="A",COUNTIF(BP16:BR63,TRIM(Z337))&gt;0)</f>
        <v>0</v>
      </c>
      <c r="AR337" s="797" t="str">
        <f>IF(AL337&lt;&gt;"A","",IFERROR(IFERROR(_xlfn.XLOOKUP(TRIM(SUBSTITUTE(Z337,CHAR(160)," ")),BP16:BP63,BS16:BS63),IFERROR(_xlfn.XLOOKUP(TRIM(SUBSTITUTE(Z337,CHAR(160)," ")),BQ16:BQ63,BS16:BS63),_xlfn.XLOOKUP(TRIM(SUBSTITUTE(Z337,CHAR(160)," ")),BR16:BR63,BS16:BS63)))*Y337*IF(ISBLANK(V337),1,V337),0))</f>
        <v/>
      </c>
      <c r="AS337" s="784" t="str">
        <f t="shared" si="136"/>
        <v/>
      </c>
      <c r="AT337" s="1315" t="str">
        <f t="shared" si="126"/>
        <v/>
      </c>
      <c r="AU337" s="785">
        <f t="shared" si="127"/>
        <v>0</v>
      </c>
      <c r="AV337" s="785">
        <f t="shared" si="128"/>
        <v>0</v>
      </c>
      <c r="AW337" s="786">
        <f>IF(AK337="A",AY10,0)</f>
        <v>0</v>
      </c>
      <c r="AX337" s="5495" t="str">
        <f>IF(IFERROR(SEARCH("Adresse PC",TRIM(W337)),0)&gt;0,"▼ receta siguiente",IF(AK337="A",IF(AZ10&lt;&gt;"",AZ10&amp;" - ou.or.o ❾ + or - &gt;",""),""))</f>
        <v/>
      </c>
      <c r="AY337" s="810"/>
      <c r="AZ337" s="810"/>
      <c r="BA337" s="788" t="str">
        <f t="shared" si="118"/>
        <v/>
      </c>
      <c r="BB337" s="789" t="str">
        <f>IF(AK337="A",IF(AQ337,IF(AND(AW337&lt;&gt;"",N(AW337)&gt;0),IFERROR(IFERROR(_xlfn.XLOOKUP(AP337,BP10:BP57,BT10:BT57),IFERROR(_xlfn.XLOOKUP(AP337,BQ10:BQ57,BT10:BT57),_xlfn.XLOOKUP(AP337,BR10:BR57,BT10:BT57,""))),""),""),""),"")</f>
        <v/>
      </c>
      <c r="BC337" s="811" cm="1">
        <f t="array" ref="BC337">IF(NOT(AQ337),0,IF(OR(BA337="",N(BA337)&lt;=0.000000001),"",IF(OR(AU337="",N(AU337)&lt;=0.000000001),0,IF(ISNUMBER(BA337),IFERROR(_xlfn.LET(_xlpm.ai_test,TRIM(AP337),_xlpm.r,IFERROR(_xlfn.XLOOKUP(_xlpm.ai_test,BP16:BP63,ROW(BP16:BP63),0,1),IFERROR(_xlfn.XLOOKUP(_xlpm.ai_test,BQ16:BQ63,ROW(BQ16:BQ63),0,1),_xlfn.XLOOKUP(_xlpm.ai_test,BR16:BR63,ROW(BR16:BR63),0,1))),_xlpm.p,_xlpm.r-MIN(ROW(BP16:BP63))+1,_xlpm.f,INDEX(BS16:BS63,_xlpm.p),_xlpm.u,INDEX(BT16:BT63,_xlpm.p),_xlpm.s,INDEX(BV16:BV63,_xlpm.p),_xlpm.q,N(BA337)/_xlpm.f,IF(_xlpm.q&gt;=_xlpm.s,ROUND(_xlpm.q,1)&amp;" "&amp;_xlpm.ai_test&amp;" = "&amp;ROUND(_xlpm.q*_xlpm.f,1)&amp;" "&amp;_xlpm.u,ROUND(_xlpm.q,1)&amp;" "&amp;_xlpm.ai_test)),""),""))))</f>
        <v>0</v>
      </c>
      <c r="BD337" s="801"/>
      <c r="BE337" s="788" t="str">
        <f t="shared" si="129"/>
        <v/>
      </c>
      <c r="BF337" s="789" t="str">
        <f t="shared" si="130"/>
        <v/>
      </c>
      <c r="BG337" s="790">
        <f t="shared" si="133"/>
        <v>0</v>
      </c>
      <c r="BH337" s="791" t="str">
        <f t="shared" si="134"/>
        <v/>
      </c>
      <c r="BI337" s="792"/>
      <c r="BJ337" s="793">
        <f t="shared" si="132"/>
        <v>0</v>
      </c>
      <c r="BK337" s="794" t="str">
        <f t="shared" si="131"/>
        <v/>
      </c>
      <c r="BL337" s="227" t="s">
        <v>21</v>
      </c>
      <c r="BM337" s="773">
        <f t="shared" si="120"/>
        <v>0</v>
      </c>
      <c r="BN337" s="774">
        <f t="shared" si="121"/>
        <v>0</v>
      </c>
      <c r="BO337"/>
      <c r="BX337"/>
      <c r="BY337"/>
      <c r="BZ337"/>
      <c r="CA337"/>
      <c r="CB337"/>
      <c r="CC337"/>
      <c r="CD337" s="781" t="str">
        <f t="shared" si="135"/>
        <v>►</v>
      </c>
      <c r="CE337" s="633"/>
      <c r="CF337" s="633"/>
      <c r="CG337" s="633"/>
      <c r="CH337" s="633"/>
      <c r="CI337" s="633"/>
      <c r="CJ337" s="227"/>
      <c r="CK337"/>
      <c r="CL337"/>
      <c r="CM337"/>
      <c r="CN337"/>
      <c r="CO337"/>
      <c r="CP337"/>
      <c r="CQ337"/>
      <c r="CR337" s="227"/>
      <c r="CS337"/>
      <c r="CT337"/>
      <c r="CU337"/>
      <c r="CV337"/>
      <c r="CW337"/>
      <c r="CX337"/>
      <c r="CY337"/>
      <c r="CZ337" s="227"/>
      <c r="DA337"/>
      <c r="DB337"/>
      <c r="DC337"/>
      <c r="DD337"/>
      <c r="DE337"/>
      <c r="DF337"/>
      <c r="DG337"/>
      <c r="DH337" s="227"/>
      <c r="DI337" s="3">
        <v>1</v>
      </c>
    </row>
    <row r="338" spans="2:113" s="627" customFormat="1" ht="21" customHeight="1">
      <c r="B338" s="2265" t="str" cm="1">
        <f t="array" ref="B338">SUMPRODUCT(--(D338:J338&lt;&gt;""), LEN(TRIM(SUBSTITUTE(D338:J338, CHAR(160), "")))) &amp; " Car."</f>
        <v>0 Car.</v>
      </c>
      <c r="C338" s="1376" t="str">
        <f>IF(ISBLANK(D338),"",LARGE(C13:C337,1)+1)</f>
        <v/>
      </c>
      <c r="D338" s="1833"/>
      <c r="E338" s="1810"/>
      <c r="F338" s="1810"/>
      <c r="G338" s="1810"/>
      <c r="H338" s="1810"/>
      <c r="I338" s="1810"/>
      <c r="J338" s="1810"/>
      <c r="K338" s="1810"/>
      <c r="L338" s="1811"/>
      <c r="M338" s="9"/>
      <c r="N338" s="103" t="str">
        <f t="shared" si="137"/>
        <v>►</v>
      </c>
      <c r="O338" s="1616"/>
      <c r="P338" s="9"/>
      <c r="Q338" s="25" t="s">
        <v>15</v>
      </c>
      <c r="R338" s="31"/>
      <c r="S338" s="32"/>
      <c r="T338" s="31"/>
      <c r="U338" s="33"/>
      <c r="V338" s="1967"/>
      <c r="W338" s="1805"/>
      <c r="X338" s="91"/>
      <c r="Y338" s="1806"/>
      <c r="Z338" s="1968"/>
      <c r="AA338" s="2244"/>
      <c r="AB338" s="1969"/>
      <c r="AC338" s="1365"/>
      <c r="AD338" s="95"/>
      <c r="AE338" s="1326"/>
      <c r="AF338" s="97"/>
      <c r="AG338" s="1737"/>
      <c r="AH338" s="1970"/>
      <c r="AI338" s="99"/>
      <c r="AJ338" s="1809"/>
      <c r="AK338" s="6120" t="str">
        <f t="shared" si="138"/>
        <v>►</v>
      </c>
      <c r="AL338" s="781" t="str">
        <f t="shared" si="119"/>
        <v>►</v>
      </c>
      <c r="AM338" s="5498" t="str">
        <f t="shared" si="122"/>
        <v/>
      </c>
      <c r="AN338" s="783" t="str">
        <f t="shared" si="123"/>
        <v/>
      </c>
      <c r="AO338" s="782" t="str">
        <f t="shared" si="124"/>
        <v/>
      </c>
      <c r="AP338" s="783" t="str">
        <f t="shared" si="125"/>
        <v/>
      </c>
      <c r="AQ338" s="2083" t="b">
        <f>AND(Q338="A",COUNTIF(BP16:BR63,TRIM(Z338))&gt;0)</f>
        <v>0</v>
      </c>
      <c r="AR338" s="797" t="str">
        <f>IF(AL338&lt;&gt;"A","",IFERROR(IFERROR(_xlfn.XLOOKUP(TRIM(SUBSTITUTE(Z338,CHAR(160)," ")),BP16:BP63,BS16:BS63),IFERROR(_xlfn.XLOOKUP(TRIM(SUBSTITUTE(Z338,CHAR(160)," ")),BQ16:BQ63,BS16:BS63),_xlfn.XLOOKUP(TRIM(SUBSTITUTE(Z338,CHAR(160)," ")),BR16:BR63,BS16:BS63)))*Y338*IF(ISBLANK(V338),1,V338),0))</f>
        <v/>
      </c>
      <c r="AS338" s="784" t="str">
        <f t="shared" si="136"/>
        <v/>
      </c>
      <c r="AT338" s="1315" t="str">
        <f t="shared" si="126"/>
        <v/>
      </c>
      <c r="AU338" s="785">
        <f t="shared" si="127"/>
        <v>0</v>
      </c>
      <c r="AV338" s="785">
        <f t="shared" si="128"/>
        <v>0</v>
      </c>
      <c r="AW338" s="798">
        <f>IF(AK338="A",AY10,0)</f>
        <v>0</v>
      </c>
      <c r="AX338" s="5496" t="str">
        <f>IF(IFERROR(SEARCH("Adresse PC",TRIM(W338)),0)&gt;0,"▼ receta siguiente",IF(AK338="A",IF(AZ10&lt;&gt;"",AZ10&amp;" - ou.or.o ❾ + or - &gt;",""),""))</f>
        <v/>
      </c>
      <c r="AY338" s="810"/>
      <c r="AZ338" s="810"/>
      <c r="BA338" s="799" t="str">
        <f t="shared" si="118"/>
        <v/>
      </c>
      <c r="BB338" s="800" t="str">
        <f>IF(AK338="A",IF(AQ338,IF(AND(AW338&lt;&gt;"",N(AW338)&gt;0),IFERROR(IFERROR(_xlfn.XLOOKUP(AP338,BP10:BP57,BT10:BT57),IFERROR(_xlfn.XLOOKUP(AP338,BQ10:BQ57,BT10:BT57),_xlfn.XLOOKUP(AP338,BR10:BR57,BT10:BT57,""))),""),""),""),"")</f>
        <v/>
      </c>
      <c r="BC338" s="813" cm="1">
        <f t="array" ref="BC338">IF(NOT(AQ338),0,IF(OR(BA338="",N(BA338)&lt;=0.000000001),"",IF(OR(AU338="",N(AU338)&lt;=0.000000001),0,IF(ISNUMBER(BA338),IFERROR(_xlfn.LET(_xlpm.ai_test,TRIM(AP338),_xlpm.r,IFERROR(_xlfn.XLOOKUP(_xlpm.ai_test,BP16:BP63,ROW(BP16:BP63),0,1),IFERROR(_xlfn.XLOOKUP(_xlpm.ai_test,BQ16:BQ63,ROW(BQ16:BQ63),0,1),_xlfn.XLOOKUP(_xlpm.ai_test,BR16:BR63,ROW(BR16:BR63),0,1))),_xlpm.p,_xlpm.r-MIN(ROW(BP16:BP63))+1,_xlpm.f,INDEX(BS16:BS63,_xlpm.p),_xlpm.u,INDEX(BT16:BT63,_xlpm.p),_xlpm.s,INDEX(BV16:BV63,_xlpm.p),_xlpm.q,N(BA338)/_xlpm.f,IF(_xlpm.q&gt;=_xlpm.s,ROUND(_xlpm.q,1)&amp;" "&amp;_xlpm.ai_test&amp;" = "&amp;ROUND(_xlpm.q*_xlpm.f,1)&amp;" "&amp;_xlpm.u,ROUND(_xlpm.q,1)&amp;" "&amp;_xlpm.ai_test)),""),""))))</f>
        <v>0</v>
      </c>
      <c r="BD338" s="801"/>
      <c r="BE338" s="799" t="str">
        <f t="shared" si="129"/>
        <v/>
      </c>
      <c r="BF338" s="800" t="str">
        <f t="shared" si="130"/>
        <v/>
      </c>
      <c r="BG338" s="802">
        <f t="shared" si="133"/>
        <v>0</v>
      </c>
      <c r="BH338" s="803" t="str">
        <f t="shared" si="134"/>
        <v/>
      </c>
      <c r="BI338" s="792"/>
      <c r="BJ338" s="804">
        <f t="shared" si="132"/>
        <v>0</v>
      </c>
      <c r="BK338" s="794" t="str">
        <f t="shared" si="131"/>
        <v/>
      </c>
      <c r="BL338" s="227" t="s">
        <v>21</v>
      </c>
      <c r="BM338" s="773">
        <f t="shared" si="120"/>
        <v>0</v>
      </c>
      <c r="BN338" s="774">
        <f t="shared" si="121"/>
        <v>0</v>
      </c>
      <c r="BO338"/>
      <c r="BX338"/>
      <c r="BY338"/>
      <c r="BZ338"/>
      <c r="CA338"/>
      <c r="CB338"/>
      <c r="CC338"/>
      <c r="CD338" s="781" t="str">
        <f t="shared" si="135"/>
        <v>►</v>
      </c>
      <c r="CE338" s="633"/>
      <c r="CF338" s="633"/>
      <c r="CG338" s="633"/>
      <c r="CH338" s="633"/>
      <c r="CI338" s="633"/>
      <c r="CJ338" s="227"/>
      <c r="CK338"/>
      <c r="CL338"/>
      <c r="CM338"/>
      <c r="CN338"/>
      <c r="CO338"/>
      <c r="CP338"/>
      <c r="CQ338"/>
      <c r="CR338" s="227"/>
      <c r="CS338"/>
      <c r="CT338"/>
      <c r="CU338"/>
      <c r="CV338"/>
      <c r="CW338"/>
      <c r="CX338"/>
      <c r="CY338"/>
      <c r="CZ338" s="227"/>
      <c r="DA338"/>
      <c r="DB338"/>
      <c r="DC338"/>
      <c r="DD338"/>
      <c r="DE338"/>
      <c r="DF338"/>
      <c r="DG338"/>
      <c r="DH338" s="227"/>
      <c r="DI338" s="3">
        <v>1</v>
      </c>
    </row>
    <row r="339" spans="2:113" s="627" customFormat="1" ht="21" customHeight="1">
      <c r="B339" s="2265" t="str" cm="1">
        <f t="array" ref="B339">SUMPRODUCT(--(D339:J339&lt;&gt;""), LEN(TRIM(SUBSTITUTE(D339:J339, CHAR(160), "")))) &amp; " Car."</f>
        <v>0 Car.</v>
      </c>
      <c r="C339" s="1376" t="str">
        <f>IF(ISBLANK(D339),"",LARGE(C13:C338,1)+1)</f>
        <v/>
      </c>
      <c r="D339" s="1833"/>
      <c r="E339" s="1810"/>
      <c r="F339" s="1810"/>
      <c r="G339" s="1810"/>
      <c r="H339" s="1810"/>
      <c r="I339" s="1810"/>
      <c r="J339" s="1810"/>
      <c r="K339" s="1810"/>
      <c r="L339" s="1811"/>
      <c r="M339" s="9"/>
      <c r="N339" s="103" t="str">
        <f t="shared" si="137"/>
        <v>►</v>
      </c>
      <c r="O339" s="1616"/>
      <c r="P339" s="9"/>
      <c r="Q339" s="25" t="s">
        <v>15</v>
      </c>
      <c r="R339" s="31"/>
      <c r="S339" s="32"/>
      <c r="T339" s="31"/>
      <c r="U339" s="33"/>
      <c r="V339" s="1967"/>
      <c r="W339" s="1805"/>
      <c r="X339" s="91"/>
      <c r="Y339" s="1806"/>
      <c r="Z339" s="1968"/>
      <c r="AA339" s="2244"/>
      <c r="AB339" s="1969"/>
      <c r="AC339" s="1365"/>
      <c r="AD339" s="95"/>
      <c r="AE339" s="1326"/>
      <c r="AF339" s="97"/>
      <c r="AG339" s="1737"/>
      <c r="AH339" s="1970"/>
      <c r="AI339" s="99"/>
      <c r="AJ339" s="1809"/>
      <c r="AK339" s="6120" t="str">
        <f t="shared" si="138"/>
        <v>►</v>
      </c>
      <c r="AL339" s="781" t="str">
        <f t="shared" si="119"/>
        <v>►</v>
      </c>
      <c r="AM339" s="5499" t="str">
        <f t="shared" si="122"/>
        <v/>
      </c>
      <c r="AN339" s="783" t="str">
        <f t="shared" si="123"/>
        <v/>
      </c>
      <c r="AO339" s="782" t="str">
        <f t="shared" si="124"/>
        <v/>
      </c>
      <c r="AP339" s="783" t="str">
        <f t="shared" si="125"/>
        <v/>
      </c>
      <c r="AQ339" s="2083" t="b">
        <f>AND(Q339="A",COUNTIF(BP16:BR63,TRIM(Z339))&gt;0)</f>
        <v>0</v>
      </c>
      <c r="AR339" s="797" t="str">
        <f>IF(AL339&lt;&gt;"A","",IFERROR(IFERROR(_xlfn.XLOOKUP(TRIM(SUBSTITUTE(Z339,CHAR(160)," ")),BP16:BP63,BS16:BS63),IFERROR(_xlfn.XLOOKUP(TRIM(SUBSTITUTE(Z339,CHAR(160)," ")),BQ16:BQ63,BS16:BS63),_xlfn.XLOOKUP(TRIM(SUBSTITUTE(Z339,CHAR(160)," ")),BR16:BR63,BS16:BS63)))*Y339*IF(ISBLANK(V339),1,V339),0))</f>
        <v/>
      </c>
      <c r="AS339" s="784" t="str">
        <f t="shared" si="136"/>
        <v/>
      </c>
      <c r="AT339" s="1315" t="str">
        <f t="shared" si="126"/>
        <v/>
      </c>
      <c r="AU339" s="785">
        <f t="shared" si="127"/>
        <v>0</v>
      </c>
      <c r="AV339" s="785">
        <f t="shared" si="128"/>
        <v>0</v>
      </c>
      <c r="AW339" s="786">
        <f>IF(AK339="A",AY10,0)</f>
        <v>0</v>
      </c>
      <c r="AX339" s="5495" t="str">
        <f>IF(IFERROR(SEARCH("Adresse PC",TRIM(W339)),0)&gt;0,"▼ receta siguiente",IF(AK339="A",IF(AZ10&lt;&gt;"",AZ10&amp;" - ou.or.o ❾ + or - &gt;",""),""))</f>
        <v/>
      </c>
      <c r="AY339" s="810"/>
      <c r="AZ339" s="810"/>
      <c r="BA339" s="788" t="str">
        <f t="shared" si="118"/>
        <v/>
      </c>
      <c r="BB339" s="789" t="str">
        <f>IF(AK339="A",IF(AQ339,IF(AND(AW339&lt;&gt;"",N(AW339)&gt;0),IFERROR(IFERROR(_xlfn.XLOOKUP(AP339,BP10:BP57,BT10:BT57),IFERROR(_xlfn.XLOOKUP(AP339,BQ10:BQ57,BT10:BT57),_xlfn.XLOOKUP(AP339,BR10:BR57,BT10:BT57,""))),""),""),""),"")</f>
        <v/>
      </c>
      <c r="BC339" s="811" cm="1">
        <f t="array" ref="BC339">IF(NOT(AQ339),0,IF(OR(BA339="",N(BA339)&lt;=0.000000001),"",IF(OR(AU339="",N(AU339)&lt;=0.000000001),0,IF(ISNUMBER(BA339),IFERROR(_xlfn.LET(_xlpm.ai_test,TRIM(AP339),_xlpm.r,IFERROR(_xlfn.XLOOKUP(_xlpm.ai_test,BP16:BP63,ROW(BP16:BP63),0,1),IFERROR(_xlfn.XLOOKUP(_xlpm.ai_test,BQ16:BQ63,ROW(BQ16:BQ63),0,1),_xlfn.XLOOKUP(_xlpm.ai_test,BR16:BR63,ROW(BR16:BR63),0,1))),_xlpm.p,_xlpm.r-MIN(ROW(BP16:BP63))+1,_xlpm.f,INDEX(BS16:BS63,_xlpm.p),_xlpm.u,INDEX(BT16:BT63,_xlpm.p),_xlpm.s,INDEX(BV16:BV63,_xlpm.p),_xlpm.q,N(BA339)/_xlpm.f,IF(_xlpm.q&gt;=_xlpm.s,ROUND(_xlpm.q,1)&amp;" "&amp;_xlpm.ai_test&amp;" = "&amp;ROUND(_xlpm.q*_xlpm.f,1)&amp;" "&amp;_xlpm.u,ROUND(_xlpm.q,1)&amp;" "&amp;_xlpm.ai_test)),""),""))))</f>
        <v>0</v>
      </c>
      <c r="BD339" s="801"/>
      <c r="BE339" s="788" t="str">
        <f t="shared" si="129"/>
        <v/>
      </c>
      <c r="BF339" s="789" t="str">
        <f t="shared" si="130"/>
        <v/>
      </c>
      <c r="BG339" s="790">
        <f t="shared" si="133"/>
        <v>0</v>
      </c>
      <c r="BH339" s="791" t="str">
        <f t="shared" si="134"/>
        <v/>
      </c>
      <c r="BI339" s="792"/>
      <c r="BJ339" s="793">
        <f t="shared" si="132"/>
        <v>0</v>
      </c>
      <c r="BK339" s="794" t="str">
        <f t="shared" si="131"/>
        <v/>
      </c>
      <c r="BL339" s="227" t="s">
        <v>21</v>
      </c>
      <c r="BM339" s="773">
        <f t="shared" si="120"/>
        <v>0</v>
      </c>
      <c r="BN339" s="774">
        <f t="shared" si="121"/>
        <v>0</v>
      </c>
      <c r="BO339"/>
      <c r="BX339"/>
      <c r="BY339"/>
      <c r="BZ339"/>
      <c r="CA339"/>
      <c r="CB339"/>
      <c r="CC339"/>
      <c r="CD339" s="781" t="str">
        <f t="shared" si="135"/>
        <v>►</v>
      </c>
      <c r="CE339" s="633"/>
      <c r="CF339" s="633"/>
      <c r="CG339" s="633"/>
      <c r="CH339" s="633"/>
      <c r="CI339" s="633"/>
      <c r="CJ339" s="227"/>
      <c r="CK339"/>
      <c r="CL339"/>
      <c r="CM339"/>
      <c r="CN339"/>
      <c r="CO339"/>
      <c r="CP339"/>
      <c r="CQ339"/>
      <c r="CR339" s="227"/>
      <c r="CS339"/>
      <c r="CT339"/>
      <c r="CU339"/>
      <c r="CV339"/>
      <c r="CW339"/>
      <c r="CX339"/>
      <c r="CY339"/>
      <c r="CZ339" s="227"/>
      <c r="DA339"/>
      <c r="DB339"/>
      <c r="DC339"/>
      <c r="DD339"/>
      <c r="DE339"/>
      <c r="DF339"/>
      <c r="DG339"/>
      <c r="DH339" s="227"/>
      <c r="DI339" s="3">
        <v>1</v>
      </c>
    </row>
    <row r="340" spans="2:113" s="627" customFormat="1" ht="21" customHeight="1">
      <c r="B340" s="2265" t="str" cm="1">
        <f t="array" ref="B340">SUMPRODUCT(--(D340:J340&lt;&gt;""), LEN(TRIM(SUBSTITUTE(D340:J340, CHAR(160), "")))) &amp; " Car."</f>
        <v>0 Car.</v>
      </c>
      <c r="C340" s="1376" t="str">
        <f>IF(ISBLANK(D340),"",LARGE(C13:C339,1)+1)</f>
        <v/>
      </c>
      <c r="D340" s="1833"/>
      <c r="E340" s="1810"/>
      <c r="F340" s="1810"/>
      <c r="G340" s="1810"/>
      <c r="H340" s="1810"/>
      <c r="I340" s="1810"/>
      <c r="J340" s="1810"/>
      <c r="K340" s="1810"/>
      <c r="L340" s="1811"/>
      <c r="M340" s="9"/>
      <c r="N340" s="103" t="str">
        <f t="shared" si="137"/>
        <v>►</v>
      </c>
      <c r="O340" s="1616"/>
      <c r="P340" s="9"/>
      <c r="Q340" s="25" t="s">
        <v>15</v>
      </c>
      <c r="R340" s="31"/>
      <c r="S340" s="32"/>
      <c r="T340" s="31"/>
      <c r="U340" s="33"/>
      <c r="V340" s="1967"/>
      <c r="W340" s="1805"/>
      <c r="X340" s="91"/>
      <c r="Y340" s="1806"/>
      <c r="Z340" s="1968"/>
      <c r="AA340" s="2244"/>
      <c r="AB340" s="1969"/>
      <c r="AC340" s="1365"/>
      <c r="AD340" s="95"/>
      <c r="AE340" s="1326"/>
      <c r="AF340" s="97"/>
      <c r="AG340" s="1737"/>
      <c r="AH340" s="1970"/>
      <c r="AI340" s="99"/>
      <c r="AJ340" s="1809"/>
      <c r="AK340" s="6120" t="str">
        <f t="shared" si="138"/>
        <v>►</v>
      </c>
      <c r="AL340" s="781" t="str">
        <f t="shared" si="119"/>
        <v>►</v>
      </c>
      <c r="AM340" s="5498" t="str">
        <f t="shared" si="122"/>
        <v/>
      </c>
      <c r="AN340" s="783" t="str">
        <f t="shared" si="123"/>
        <v/>
      </c>
      <c r="AO340" s="782" t="str">
        <f t="shared" si="124"/>
        <v/>
      </c>
      <c r="AP340" s="783" t="str">
        <f t="shared" si="125"/>
        <v/>
      </c>
      <c r="AQ340" s="2083" t="b">
        <f>AND(Q340="A",COUNTIF(BP16:BR63,TRIM(Z340))&gt;0)</f>
        <v>0</v>
      </c>
      <c r="AR340" s="797" t="str">
        <f>IF(AL340&lt;&gt;"A","",IFERROR(IFERROR(_xlfn.XLOOKUP(TRIM(SUBSTITUTE(Z340,CHAR(160)," ")),BP16:BP63,BS16:BS63),IFERROR(_xlfn.XLOOKUP(TRIM(SUBSTITUTE(Z340,CHAR(160)," ")),BQ16:BQ63,BS16:BS63),_xlfn.XLOOKUP(TRIM(SUBSTITUTE(Z340,CHAR(160)," ")),BR16:BR63,BS16:BS63)))*Y340*IF(ISBLANK(V340),1,V340),0))</f>
        <v/>
      </c>
      <c r="AS340" s="784" t="str">
        <f t="shared" si="136"/>
        <v/>
      </c>
      <c r="AT340" s="1315" t="str">
        <f t="shared" si="126"/>
        <v/>
      </c>
      <c r="AU340" s="785">
        <f t="shared" si="127"/>
        <v>0</v>
      </c>
      <c r="AV340" s="785">
        <f t="shared" si="128"/>
        <v>0</v>
      </c>
      <c r="AW340" s="798">
        <f>IF(AK340="A",AY10,0)</f>
        <v>0</v>
      </c>
      <c r="AX340" s="5496" t="str">
        <f>IF(IFERROR(SEARCH("Adresse PC",TRIM(W340)),0)&gt;0,"▼ receta siguiente",IF(AK340="A",IF(AZ10&lt;&gt;"",AZ10&amp;" - ou.or.o ❾ + or - &gt;",""),""))</f>
        <v/>
      </c>
      <c r="AY340" s="810"/>
      <c r="AZ340" s="810"/>
      <c r="BA340" s="799" t="str">
        <f t="shared" ref="BA340:BA403" si="139">IF(AK340="A",IF(UPPER(TRIM(SUBSTITUTE(AS340,CHAR(160),"")))="KG",N(AR340)*N(BN340),0),"")</f>
        <v/>
      </c>
      <c r="BB340" s="800" t="str">
        <f>IF(AK340="A",IF(AQ340,IF(AND(AW340&lt;&gt;"",N(AW340)&gt;0),IFERROR(IFERROR(_xlfn.XLOOKUP(AP340,BP10:BP57,BT10:BT57),IFERROR(_xlfn.XLOOKUP(AP340,BQ10:BQ57,BT10:BT57),_xlfn.XLOOKUP(AP340,BR10:BR57,BT10:BT57,""))),""),""),""),"")</f>
        <v/>
      </c>
      <c r="BC340" s="813" cm="1">
        <f t="array" ref="BC340">IF(NOT(AQ340),0,IF(OR(BA340="",N(BA340)&lt;=0.000000001),"",IF(OR(AU340="",N(AU340)&lt;=0.000000001),0,IF(ISNUMBER(BA340),IFERROR(_xlfn.LET(_xlpm.ai_test,TRIM(AP340),_xlpm.r,IFERROR(_xlfn.XLOOKUP(_xlpm.ai_test,BP16:BP63,ROW(BP16:BP63),0,1),IFERROR(_xlfn.XLOOKUP(_xlpm.ai_test,BQ16:BQ63,ROW(BQ16:BQ63),0,1),_xlfn.XLOOKUP(_xlpm.ai_test,BR16:BR63,ROW(BR16:BR63),0,1))),_xlpm.p,_xlpm.r-MIN(ROW(BP16:BP63))+1,_xlpm.f,INDEX(BS16:BS63,_xlpm.p),_xlpm.u,INDEX(BT16:BT63,_xlpm.p),_xlpm.s,INDEX(BV16:BV63,_xlpm.p),_xlpm.q,N(BA340)/_xlpm.f,IF(_xlpm.q&gt;=_xlpm.s,ROUND(_xlpm.q,1)&amp;" "&amp;_xlpm.ai_test&amp;" = "&amp;ROUND(_xlpm.q*_xlpm.f,1)&amp;" "&amp;_xlpm.u,ROUND(_xlpm.q,1)&amp;" "&amp;_xlpm.ai_test)),""),""))))</f>
        <v>0</v>
      </c>
      <c r="BD340" s="801"/>
      <c r="BE340" s="799" t="str">
        <f t="shared" si="129"/>
        <v/>
      </c>
      <c r="BF340" s="800" t="str">
        <f t="shared" si="130"/>
        <v/>
      </c>
      <c r="BG340" s="802">
        <f t="shared" si="133"/>
        <v>0</v>
      </c>
      <c r="BH340" s="803" t="str">
        <f t="shared" si="134"/>
        <v/>
      </c>
      <c r="BI340" s="792"/>
      <c r="BJ340" s="804">
        <f t="shared" si="132"/>
        <v>0</v>
      </c>
      <c r="BK340" s="794" t="str">
        <f t="shared" si="131"/>
        <v/>
      </c>
      <c r="BL340" s="227" t="s">
        <v>21</v>
      </c>
      <c r="BM340" s="773">
        <f t="shared" si="120"/>
        <v>0</v>
      </c>
      <c r="BN340" s="774">
        <f t="shared" si="121"/>
        <v>0</v>
      </c>
      <c r="BO340"/>
      <c r="BX340"/>
      <c r="BY340"/>
      <c r="BZ340"/>
      <c r="CA340"/>
      <c r="CB340"/>
      <c r="CC340"/>
      <c r="CD340" s="781" t="str">
        <f t="shared" si="135"/>
        <v>►</v>
      </c>
      <c r="CE340" s="633"/>
      <c r="CF340" s="633"/>
      <c r="CG340" s="633"/>
      <c r="CH340" s="633"/>
      <c r="CI340" s="633"/>
      <c r="CJ340" s="227"/>
      <c r="CK340"/>
      <c r="CL340"/>
      <c r="CM340"/>
      <c r="CN340"/>
      <c r="CO340"/>
      <c r="CP340"/>
      <c r="CQ340"/>
      <c r="CR340" s="227"/>
      <c r="CS340"/>
      <c r="CT340"/>
      <c r="CU340"/>
      <c r="CV340"/>
      <c r="CW340"/>
      <c r="CX340"/>
      <c r="CY340"/>
      <c r="CZ340" s="227"/>
      <c r="DA340"/>
      <c r="DB340"/>
      <c r="DC340"/>
      <c r="DD340"/>
      <c r="DE340"/>
      <c r="DF340"/>
      <c r="DG340"/>
      <c r="DH340" s="227"/>
      <c r="DI340" s="3">
        <v>1</v>
      </c>
    </row>
    <row r="341" spans="2:113" s="627" customFormat="1" ht="21" customHeight="1">
      <c r="B341" s="2265" t="str" cm="1">
        <f t="array" ref="B341">SUMPRODUCT(--(D341:J341&lt;&gt;""), LEN(TRIM(SUBSTITUTE(D341:J341, CHAR(160), "")))) &amp; " Car."</f>
        <v>0 Car.</v>
      </c>
      <c r="C341" s="1376" t="str">
        <f>IF(ISBLANK(D341),"",LARGE(C13:C340,1)+1)</f>
        <v/>
      </c>
      <c r="D341" s="1833"/>
      <c r="E341" s="1810"/>
      <c r="F341" s="1810"/>
      <c r="G341" s="1810"/>
      <c r="H341" s="1810"/>
      <c r="I341" s="1810"/>
      <c r="J341" s="1810"/>
      <c r="K341" s="1810"/>
      <c r="L341" s="1811"/>
      <c r="M341" s="9"/>
      <c r="N341" s="103" t="str">
        <f t="shared" si="137"/>
        <v>►</v>
      </c>
      <c r="O341" s="1616"/>
      <c r="P341" s="9"/>
      <c r="Q341" s="25" t="s">
        <v>15</v>
      </c>
      <c r="R341" s="31"/>
      <c r="S341" s="32"/>
      <c r="T341" s="31"/>
      <c r="U341" s="33"/>
      <c r="V341" s="1967"/>
      <c r="W341" s="1805"/>
      <c r="X341" s="91"/>
      <c r="Y341" s="1806"/>
      <c r="Z341" s="1968"/>
      <c r="AA341" s="2244"/>
      <c r="AB341" s="1969"/>
      <c r="AC341" s="1365"/>
      <c r="AD341" s="95"/>
      <c r="AE341" s="1326"/>
      <c r="AF341" s="97"/>
      <c r="AG341" s="1737"/>
      <c r="AH341" s="1970"/>
      <c r="AI341" s="99"/>
      <c r="AJ341" s="1809"/>
      <c r="AK341" s="6120" t="str">
        <f t="shared" si="138"/>
        <v>►</v>
      </c>
      <c r="AL341" s="781" t="str">
        <f t="shared" si="119"/>
        <v>►</v>
      </c>
      <c r="AM341" s="5499" t="str">
        <f t="shared" si="122"/>
        <v/>
      </c>
      <c r="AN341" s="783" t="str">
        <f t="shared" si="123"/>
        <v/>
      </c>
      <c r="AO341" s="782" t="str">
        <f t="shared" si="124"/>
        <v/>
      </c>
      <c r="AP341" s="783" t="str">
        <f t="shared" si="125"/>
        <v/>
      </c>
      <c r="AQ341" s="2083" t="b">
        <f>AND(Q341="A",COUNTIF(BP16:BR63,TRIM(Z341))&gt;0)</f>
        <v>0</v>
      </c>
      <c r="AR341" s="797" t="str">
        <f>IF(AL341&lt;&gt;"A","",IFERROR(IFERROR(_xlfn.XLOOKUP(TRIM(SUBSTITUTE(Z341,CHAR(160)," ")),BP16:BP63,BS16:BS63),IFERROR(_xlfn.XLOOKUP(TRIM(SUBSTITUTE(Z341,CHAR(160)," ")),BQ16:BQ63,BS16:BS63),_xlfn.XLOOKUP(TRIM(SUBSTITUTE(Z341,CHAR(160)," ")),BR16:BR63,BS16:BS63)))*Y341*IF(ISBLANK(V341),1,V341),0))</f>
        <v/>
      </c>
      <c r="AS341" s="784" t="str">
        <f t="shared" si="136"/>
        <v/>
      </c>
      <c r="AT341" s="1315" t="str">
        <f t="shared" si="126"/>
        <v/>
      </c>
      <c r="AU341" s="785">
        <f t="shared" si="127"/>
        <v>0</v>
      </c>
      <c r="AV341" s="785">
        <f t="shared" si="128"/>
        <v>0</v>
      </c>
      <c r="AW341" s="786">
        <f>IF(AK341="A",AY10,0)</f>
        <v>0</v>
      </c>
      <c r="AX341" s="5495" t="str">
        <f>IF(IFERROR(SEARCH("Adresse PC",TRIM(W341)),0)&gt;0,"▼ receta siguiente",IF(AK341="A",IF(AZ10&lt;&gt;"",AZ10&amp;" - ou.or.o ❾ + or - &gt;",""),""))</f>
        <v/>
      </c>
      <c r="AY341" s="810"/>
      <c r="AZ341" s="810"/>
      <c r="BA341" s="788" t="str">
        <f t="shared" si="139"/>
        <v/>
      </c>
      <c r="BB341" s="789" t="str">
        <f>IF(AK341="A",IF(AQ341,IF(AND(AW341&lt;&gt;"",N(AW341)&gt;0),IFERROR(IFERROR(_xlfn.XLOOKUP(AP341,BP10:BP57,BT10:BT57),IFERROR(_xlfn.XLOOKUP(AP341,BQ10:BQ57,BT10:BT57),_xlfn.XLOOKUP(AP341,BR10:BR57,BT10:BT57,""))),""),""),""),"")</f>
        <v/>
      </c>
      <c r="BC341" s="811" cm="1">
        <f t="array" ref="BC341">IF(NOT(AQ341),0,IF(OR(BA341="",N(BA341)&lt;=0.000000001),"",IF(OR(AU341="",N(AU341)&lt;=0.000000001),0,IF(ISNUMBER(BA341),IFERROR(_xlfn.LET(_xlpm.ai_test,TRIM(AP341),_xlpm.r,IFERROR(_xlfn.XLOOKUP(_xlpm.ai_test,BP16:BP63,ROW(BP16:BP63),0,1),IFERROR(_xlfn.XLOOKUP(_xlpm.ai_test,BQ16:BQ63,ROW(BQ16:BQ63),0,1),_xlfn.XLOOKUP(_xlpm.ai_test,BR16:BR63,ROW(BR16:BR63),0,1))),_xlpm.p,_xlpm.r-MIN(ROW(BP16:BP63))+1,_xlpm.f,INDEX(BS16:BS63,_xlpm.p),_xlpm.u,INDEX(BT16:BT63,_xlpm.p),_xlpm.s,INDEX(BV16:BV63,_xlpm.p),_xlpm.q,N(BA341)/_xlpm.f,IF(_xlpm.q&gt;=_xlpm.s,ROUND(_xlpm.q,1)&amp;" "&amp;_xlpm.ai_test&amp;" = "&amp;ROUND(_xlpm.q*_xlpm.f,1)&amp;" "&amp;_xlpm.u,ROUND(_xlpm.q,1)&amp;" "&amp;_xlpm.ai_test)),""),""))))</f>
        <v>0</v>
      </c>
      <c r="BD341" s="801"/>
      <c r="BE341" s="788" t="str">
        <f t="shared" si="129"/>
        <v/>
      </c>
      <c r="BF341" s="789" t="str">
        <f t="shared" si="130"/>
        <v/>
      </c>
      <c r="BG341" s="790">
        <f t="shared" si="133"/>
        <v>0</v>
      </c>
      <c r="BH341" s="791" t="str">
        <f t="shared" si="134"/>
        <v/>
      </c>
      <c r="BI341" s="792"/>
      <c r="BJ341" s="793">
        <f t="shared" si="132"/>
        <v>0</v>
      </c>
      <c r="BK341" s="794" t="str">
        <f t="shared" si="131"/>
        <v/>
      </c>
      <c r="BL341" s="227" t="s">
        <v>21</v>
      </c>
      <c r="BM341" s="773">
        <f t="shared" si="120"/>
        <v>0</v>
      </c>
      <c r="BN341" s="774">
        <f t="shared" si="121"/>
        <v>0</v>
      </c>
      <c r="BO341"/>
      <c r="BX341"/>
      <c r="BY341"/>
      <c r="BZ341"/>
      <c r="CA341"/>
      <c r="CB341"/>
      <c r="CC341"/>
      <c r="CD341" s="781" t="str">
        <f t="shared" si="135"/>
        <v>►</v>
      </c>
      <c r="CE341" s="633"/>
      <c r="CF341" s="633"/>
      <c r="CG341" s="633"/>
      <c r="CH341" s="633"/>
      <c r="CI341" s="633"/>
      <c r="CJ341" s="227"/>
      <c r="CK341"/>
      <c r="CL341"/>
      <c r="CM341"/>
      <c r="CN341"/>
      <c r="CO341"/>
      <c r="CP341"/>
      <c r="CQ341"/>
      <c r="CR341" s="227"/>
      <c r="CS341"/>
      <c r="CT341"/>
      <c r="CU341"/>
      <c r="CV341"/>
      <c r="CW341"/>
      <c r="CX341"/>
      <c r="CY341"/>
      <c r="CZ341" s="227"/>
      <c r="DA341"/>
      <c r="DB341"/>
      <c r="DC341"/>
      <c r="DD341"/>
      <c r="DE341"/>
      <c r="DF341"/>
      <c r="DG341"/>
      <c r="DH341" s="227"/>
      <c r="DI341" s="3">
        <v>1</v>
      </c>
    </row>
    <row r="342" spans="2:113" s="627" customFormat="1" ht="21" customHeight="1">
      <c r="B342" s="2265" t="str" cm="1">
        <f t="array" ref="B342">SUMPRODUCT(--(D342:J342&lt;&gt;""), LEN(TRIM(SUBSTITUTE(D342:J342, CHAR(160), "")))) &amp; " Car."</f>
        <v>0 Car.</v>
      </c>
      <c r="C342" s="1376" t="str">
        <f>IF(ISBLANK(D342),"",LARGE(C13:C341,1)+1)</f>
        <v/>
      </c>
      <c r="D342" s="1833"/>
      <c r="E342" s="1810"/>
      <c r="F342" s="1810"/>
      <c r="G342" s="1810"/>
      <c r="H342" s="1810"/>
      <c r="I342" s="1810"/>
      <c r="J342" s="1810"/>
      <c r="K342" s="1810"/>
      <c r="L342" s="1811"/>
      <c r="M342" s="9"/>
      <c r="N342" s="103" t="str">
        <f t="shared" si="137"/>
        <v>►</v>
      </c>
      <c r="O342" s="1616"/>
      <c r="P342" s="9"/>
      <c r="Q342" s="25" t="s">
        <v>15</v>
      </c>
      <c r="R342" s="31"/>
      <c r="S342" s="32"/>
      <c r="T342" s="31"/>
      <c r="U342" s="33"/>
      <c r="V342" s="1967"/>
      <c r="W342" s="1805"/>
      <c r="X342" s="91"/>
      <c r="Y342" s="1806"/>
      <c r="Z342" s="1968"/>
      <c r="AA342" s="2244"/>
      <c r="AB342" s="1969"/>
      <c r="AC342" s="1365"/>
      <c r="AD342" s="95"/>
      <c r="AE342" s="1326"/>
      <c r="AF342" s="97"/>
      <c r="AG342" s="1737"/>
      <c r="AH342" s="1970"/>
      <c r="AI342" s="99"/>
      <c r="AJ342" s="1809"/>
      <c r="AK342" s="6120" t="str">
        <f t="shared" si="138"/>
        <v>►</v>
      </c>
      <c r="AL342" s="781" t="str">
        <f t="shared" si="119"/>
        <v>►</v>
      </c>
      <c r="AM342" s="5498" t="str">
        <f t="shared" si="122"/>
        <v/>
      </c>
      <c r="AN342" s="783" t="str">
        <f t="shared" si="123"/>
        <v/>
      </c>
      <c r="AO342" s="782" t="str">
        <f t="shared" si="124"/>
        <v/>
      </c>
      <c r="AP342" s="783" t="str">
        <f t="shared" si="125"/>
        <v/>
      </c>
      <c r="AQ342" s="2083" t="b">
        <f>AND(Q342="A",COUNTIF(BP16:BR63,TRIM(Z342))&gt;0)</f>
        <v>0</v>
      </c>
      <c r="AR342" s="797" t="str">
        <f>IF(AL342&lt;&gt;"A","",IFERROR(IFERROR(_xlfn.XLOOKUP(TRIM(SUBSTITUTE(Z342,CHAR(160)," ")),BP16:BP63,BS16:BS63),IFERROR(_xlfn.XLOOKUP(TRIM(SUBSTITUTE(Z342,CHAR(160)," ")),BQ16:BQ63,BS16:BS63),_xlfn.XLOOKUP(TRIM(SUBSTITUTE(Z342,CHAR(160)," ")),BR16:BR63,BS16:BS63)))*Y342*IF(ISBLANK(V342),1,V342),0))</f>
        <v/>
      </c>
      <c r="AS342" s="784" t="str">
        <f t="shared" si="136"/>
        <v/>
      </c>
      <c r="AT342" s="1315" t="str">
        <f t="shared" si="126"/>
        <v/>
      </c>
      <c r="AU342" s="785">
        <f t="shared" si="127"/>
        <v>0</v>
      </c>
      <c r="AV342" s="785">
        <f t="shared" si="128"/>
        <v>0</v>
      </c>
      <c r="AW342" s="798">
        <f>IF(AK342="A",AY10,0)</f>
        <v>0</v>
      </c>
      <c r="AX342" s="5496" t="str">
        <f>IF(IFERROR(SEARCH("Adresse PC",TRIM(W342)),0)&gt;0,"▼ receta siguiente",IF(AK342="A",IF(AZ10&lt;&gt;"",AZ10&amp;" - ou.or.o ❾ + or - &gt;",""),""))</f>
        <v/>
      </c>
      <c r="AY342" s="810"/>
      <c r="AZ342" s="810"/>
      <c r="BA342" s="799" t="str">
        <f t="shared" si="139"/>
        <v/>
      </c>
      <c r="BB342" s="800" t="str">
        <f>IF(AK342="A",IF(AQ342,IF(AND(AW342&lt;&gt;"",N(AW342)&gt;0),IFERROR(IFERROR(_xlfn.XLOOKUP(AP342,BP10:BP57,BT10:BT57),IFERROR(_xlfn.XLOOKUP(AP342,BQ10:BQ57,BT10:BT57),_xlfn.XLOOKUP(AP342,BR10:BR57,BT10:BT57,""))),""),""),""),"")</f>
        <v/>
      </c>
      <c r="BC342" s="813" cm="1">
        <f t="array" ref="BC342">IF(NOT(AQ342),0,IF(OR(BA342="",N(BA342)&lt;=0.000000001),"",IF(OR(AU342="",N(AU342)&lt;=0.000000001),0,IF(ISNUMBER(BA342),IFERROR(_xlfn.LET(_xlpm.ai_test,TRIM(AP342),_xlpm.r,IFERROR(_xlfn.XLOOKUP(_xlpm.ai_test,BP16:BP63,ROW(BP16:BP63),0,1),IFERROR(_xlfn.XLOOKUP(_xlpm.ai_test,BQ16:BQ63,ROW(BQ16:BQ63),0,1),_xlfn.XLOOKUP(_xlpm.ai_test,BR16:BR63,ROW(BR16:BR63),0,1))),_xlpm.p,_xlpm.r-MIN(ROW(BP16:BP63))+1,_xlpm.f,INDEX(BS16:BS63,_xlpm.p),_xlpm.u,INDEX(BT16:BT63,_xlpm.p),_xlpm.s,INDEX(BV16:BV63,_xlpm.p),_xlpm.q,N(BA342)/_xlpm.f,IF(_xlpm.q&gt;=_xlpm.s,ROUND(_xlpm.q,1)&amp;" "&amp;_xlpm.ai_test&amp;" = "&amp;ROUND(_xlpm.q*_xlpm.f,1)&amp;" "&amp;_xlpm.u,ROUND(_xlpm.q,1)&amp;" "&amp;_xlpm.ai_test)),""),""))))</f>
        <v>0</v>
      </c>
      <c r="BD342" s="801"/>
      <c r="BE342" s="799" t="str">
        <f t="shared" si="129"/>
        <v/>
      </c>
      <c r="BF342" s="800" t="str">
        <f t="shared" si="130"/>
        <v/>
      </c>
      <c r="BG342" s="802">
        <f t="shared" si="133"/>
        <v>0</v>
      </c>
      <c r="BH342" s="803" t="str">
        <f t="shared" si="134"/>
        <v/>
      </c>
      <c r="BI342" s="792"/>
      <c r="BJ342" s="804">
        <f t="shared" si="132"/>
        <v>0</v>
      </c>
      <c r="BK342" s="794" t="str">
        <f t="shared" si="131"/>
        <v/>
      </c>
      <c r="BL342" s="227" t="s">
        <v>21</v>
      </c>
      <c r="BM342" s="773">
        <f t="shared" si="120"/>
        <v>0</v>
      </c>
      <c r="BN342" s="774">
        <f t="shared" si="121"/>
        <v>0</v>
      </c>
      <c r="BO342"/>
      <c r="BX342"/>
      <c r="BY342"/>
      <c r="BZ342"/>
      <c r="CA342"/>
      <c r="CB342"/>
      <c r="CC342"/>
      <c r="CD342" s="781" t="str">
        <f t="shared" si="135"/>
        <v>►</v>
      </c>
      <c r="CE342" s="633"/>
      <c r="CF342" s="633"/>
      <c r="CG342" s="633"/>
      <c r="CH342" s="633"/>
      <c r="CI342" s="633"/>
      <c r="CJ342" s="227"/>
      <c r="CK342"/>
      <c r="CL342"/>
      <c r="CM342"/>
      <c r="CN342"/>
      <c r="CO342"/>
      <c r="CP342"/>
      <c r="CQ342"/>
      <c r="CR342" s="227"/>
      <c r="CS342"/>
      <c r="CT342"/>
      <c r="CU342"/>
      <c r="CV342"/>
      <c r="CW342"/>
      <c r="CX342"/>
      <c r="CY342"/>
      <c r="CZ342" s="227"/>
      <c r="DA342"/>
      <c r="DB342"/>
      <c r="DC342"/>
      <c r="DD342"/>
      <c r="DE342"/>
      <c r="DF342"/>
      <c r="DG342"/>
      <c r="DH342" s="227"/>
      <c r="DI342" s="3">
        <v>1</v>
      </c>
    </row>
    <row r="343" spans="2:113" s="627" customFormat="1" ht="21" customHeight="1">
      <c r="B343" s="2265" t="str" cm="1">
        <f t="array" ref="B343">SUMPRODUCT(--(D343:J343&lt;&gt;""), LEN(TRIM(SUBSTITUTE(D343:J343, CHAR(160), "")))) &amp; " Car."</f>
        <v>0 Car.</v>
      </c>
      <c r="C343" s="1376" t="str">
        <f>IF(ISBLANK(D343),"",LARGE(C13:C342,1)+1)</f>
        <v/>
      </c>
      <c r="D343" s="1833"/>
      <c r="E343" s="1810"/>
      <c r="F343" s="1810"/>
      <c r="G343" s="1810"/>
      <c r="H343" s="1810"/>
      <c r="I343" s="1810"/>
      <c r="J343" s="1810"/>
      <c r="K343" s="1810"/>
      <c r="L343" s="1811"/>
      <c r="M343" s="9"/>
      <c r="N343" s="103" t="str">
        <f t="shared" si="137"/>
        <v>►</v>
      </c>
      <c r="O343" s="1616"/>
      <c r="P343" s="9"/>
      <c r="Q343" s="25" t="s">
        <v>15</v>
      </c>
      <c r="R343" s="31"/>
      <c r="S343" s="32"/>
      <c r="T343" s="31"/>
      <c r="U343" s="33"/>
      <c r="V343" s="1967"/>
      <c r="W343" s="1805"/>
      <c r="X343" s="91"/>
      <c r="Y343" s="1806"/>
      <c r="Z343" s="1968"/>
      <c r="AA343" s="2244"/>
      <c r="AB343" s="1969"/>
      <c r="AC343" s="1365"/>
      <c r="AD343" s="95"/>
      <c r="AE343" s="1326"/>
      <c r="AF343" s="97"/>
      <c r="AG343" s="1737"/>
      <c r="AH343" s="1970"/>
      <c r="AI343" s="99"/>
      <c r="AJ343" s="1809"/>
      <c r="AK343" s="6120" t="str">
        <f t="shared" si="138"/>
        <v>►</v>
      </c>
      <c r="AL343" s="781" t="str">
        <f t="shared" ref="AL343:AL406" si="140">IF(OR(AU343&gt;0,TRIM(AM343)="▼ recette suivante"),"A","►")</f>
        <v>►</v>
      </c>
      <c r="AM343" s="5499" t="str">
        <f t="shared" si="122"/>
        <v/>
      </c>
      <c r="AN343" s="783" t="str">
        <f t="shared" si="123"/>
        <v/>
      </c>
      <c r="AO343" s="782" t="str">
        <f t="shared" si="124"/>
        <v/>
      </c>
      <c r="AP343" s="783" t="str">
        <f t="shared" si="125"/>
        <v/>
      </c>
      <c r="AQ343" s="2083" t="b">
        <f>AND(Q343="A",COUNTIF(BP16:BR63,TRIM(Z343))&gt;0)</f>
        <v>0</v>
      </c>
      <c r="AR343" s="797" t="str">
        <f>IF(AL343&lt;&gt;"A","",IFERROR(IFERROR(_xlfn.XLOOKUP(TRIM(SUBSTITUTE(Z343,CHAR(160)," ")),BP16:BP63,BS16:BS63),IFERROR(_xlfn.XLOOKUP(TRIM(SUBSTITUTE(Z343,CHAR(160)," ")),BQ16:BQ63,BS16:BS63),_xlfn.XLOOKUP(TRIM(SUBSTITUTE(Z343,CHAR(160)," ")),BR16:BR63,BS16:BS63)))*Y343*IF(ISBLANK(V343),1,V343),0))</f>
        <v/>
      </c>
      <c r="AS343" s="784" t="str">
        <f t="shared" si="136"/>
        <v/>
      </c>
      <c r="AT343" s="1315" t="str">
        <f t="shared" si="126"/>
        <v/>
      </c>
      <c r="AU343" s="785">
        <f t="shared" si="127"/>
        <v>0</v>
      </c>
      <c r="AV343" s="785">
        <f t="shared" si="128"/>
        <v>0</v>
      </c>
      <c r="AW343" s="786">
        <f>IF(AK343="A",AY10,0)</f>
        <v>0</v>
      </c>
      <c r="AX343" s="5495" t="str">
        <f>IF(IFERROR(SEARCH("Adresse PC",TRIM(W343)),0)&gt;0,"▼ receta siguiente",IF(AK343="A",IF(AZ10&lt;&gt;"",AZ10&amp;" - ou.or.o ❾ + or - &gt;",""),""))</f>
        <v/>
      </c>
      <c r="AY343" s="810"/>
      <c r="AZ343" s="810"/>
      <c r="BA343" s="788" t="str">
        <f t="shared" si="139"/>
        <v/>
      </c>
      <c r="BB343" s="789" t="str">
        <f>IF(AK343="A",IF(AQ343,IF(AND(AW343&lt;&gt;"",N(AW343)&gt;0),IFERROR(IFERROR(_xlfn.XLOOKUP(AP343,BP10:BP57,BT10:BT57),IFERROR(_xlfn.XLOOKUP(AP343,BQ10:BQ57,BT10:BT57),_xlfn.XLOOKUP(AP343,BR10:BR57,BT10:BT57,""))),""),""),""),"")</f>
        <v/>
      </c>
      <c r="BC343" s="811" cm="1">
        <f t="array" ref="BC343">IF(NOT(AQ343),0,IF(OR(BA343="",N(BA343)&lt;=0.000000001),"",IF(OR(AU343="",N(AU343)&lt;=0.000000001),0,IF(ISNUMBER(BA343),IFERROR(_xlfn.LET(_xlpm.ai_test,TRIM(AP343),_xlpm.r,IFERROR(_xlfn.XLOOKUP(_xlpm.ai_test,BP16:BP63,ROW(BP16:BP63),0,1),IFERROR(_xlfn.XLOOKUP(_xlpm.ai_test,BQ16:BQ63,ROW(BQ16:BQ63),0,1),_xlfn.XLOOKUP(_xlpm.ai_test,BR16:BR63,ROW(BR16:BR63),0,1))),_xlpm.p,_xlpm.r-MIN(ROW(BP16:BP63))+1,_xlpm.f,INDEX(BS16:BS63,_xlpm.p),_xlpm.u,INDEX(BT16:BT63,_xlpm.p),_xlpm.s,INDEX(BV16:BV63,_xlpm.p),_xlpm.q,N(BA343)/_xlpm.f,IF(_xlpm.q&gt;=_xlpm.s,ROUND(_xlpm.q,1)&amp;" "&amp;_xlpm.ai_test&amp;" = "&amp;ROUND(_xlpm.q*_xlpm.f,1)&amp;" "&amp;_xlpm.u,ROUND(_xlpm.q,1)&amp;" "&amp;_xlpm.ai_test)),""),""))))</f>
        <v>0</v>
      </c>
      <c r="BD343" s="801"/>
      <c r="BE343" s="788" t="str">
        <f t="shared" si="129"/>
        <v/>
      </c>
      <c r="BF343" s="789" t="str">
        <f t="shared" si="130"/>
        <v/>
      </c>
      <c r="BG343" s="790">
        <f t="shared" si="133"/>
        <v>0</v>
      </c>
      <c r="BH343" s="791" t="str">
        <f t="shared" si="134"/>
        <v/>
      </c>
      <c r="BI343" s="792"/>
      <c r="BJ343" s="793">
        <f t="shared" si="132"/>
        <v>0</v>
      </c>
      <c r="BK343" s="794" t="str">
        <f t="shared" si="131"/>
        <v/>
      </c>
      <c r="BL343" s="227" t="s">
        <v>21</v>
      </c>
      <c r="BM343" s="773">
        <f t="shared" ref="BM343:BM406" si="141">IFERROR(_xlfn.LET(_xlpm.EPS,0.000000001,_xlpm.b,V343/AU343,IF(ISNUMBER(AY343),_xlpm.b*AY343,IF(OR(ISBLANK(AY343),AY343=""),_xlpm.b*AW343,IF(AND(BN343=0,ISNUMBER(V343)),_xlpm.b/AW343,0)))),0)</f>
        <v>0</v>
      </c>
      <c r="BN343" s="774">
        <f t="shared" ref="BN343:BN406" si="142">IF(AR343&gt;0,IFERROR(IF(OR(ISBLANK(AY343),AY343=""),AW343,AY343)/AU343,0),0)</f>
        <v>0</v>
      </c>
      <c r="BO343"/>
      <c r="BX343"/>
      <c r="BY343"/>
      <c r="BZ343"/>
      <c r="CA343"/>
      <c r="CB343"/>
      <c r="CC343"/>
      <c r="CD343" s="781" t="str">
        <f t="shared" si="135"/>
        <v>►</v>
      </c>
      <c r="CE343" s="633"/>
      <c r="CF343" s="633"/>
      <c r="CG343" s="633"/>
      <c r="CH343" s="633"/>
      <c r="CI343" s="633"/>
      <c r="CJ343" s="227"/>
      <c r="CK343"/>
      <c r="CL343"/>
      <c r="CM343"/>
      <c r="CN343"/>
      <c r="CO343"/>
      <c r="CP343"/>
      <c r="CQ343"/>
      <c r="CR343" s="227"/>
      <c r="CS343"/>
      <c r="CT343"/>
      <c r="CU343"/>
      <c r="CV343"/>
      <c r="CW343"/>
      <c r="CX343"/>
      <c r="CY343"/>
      <c r="CZ343" s="227"/>
      <c r="DA343"/>
      <c r="DB343"/>
      <c r="DC343"/>
      <c r="DD343"/>
      <c r="DE343"/>
      <c r="DF343"/>
      <c r="DG343"/>
      <c r="DH343" s="227"/>
      <c r="DI343" s="3">
        <v>1</v>
      </c>
    </row>
    <row r="344" spans="2:113" s="627" customFormat="1" ht="21" customHeight="1">
      <c r="B344" s="2265" t="str" cm="1">
        <f t="array" ref="B344">SUMPRODUCT(--(D344:J344&lt;&gt;""), LEN(TRIM(SUBSTITUTE(D344:J344, CHAR(160), "")))) &amp; " Car."</f>
        <v>0 Car.</v>
      </c>
      <c r="C344" s="1376" t="str">
        <f>IF(ISBLANK(D344),"",LARGE(C13:C343,1)+1)</f>
        <v/>
      </c>
      <c r="D344" s="1833"/>
      <c r="E344" s="1810"/>
      <c r="F344" s="1810"/>
      <c r="G344" s="1810"/>
      <c r="H344" s="1810"/>
      <c r="I344" s="1810"/>
      <c r="J344" s="1810"/>
      <c r="K344" s="1810"/>
      <c r="L344" s="1811"/>
      <c r="M344" s="9"/>
      <c r="N344" s="103" t="str">
        <f t="shared" si="137"/>
        <v>►</v>
      </c>
      <c r="O344" s="1616"/>
      <c r="P344" s="9"/>
      <c r="Q344" s="25" t="s">
        <v>15</v>
      </c>
      <c r="R344" s="31"/>
      <c r="S344" s="32"/>
      <c r="T344" s="31"/>
      <c r="U344" s="33"/>
      <c r="V344" s="1967"/>
      <c r="W344" s="1805"/>
      <c r="X344" s="91"/>
      <c r="Y344" s="1806"/>
      <c r="Z344" s="1968"/>
      <c r="AA344" s="2244"/>
      <c r="AB344" s="1969"/>
      <c r="AC344" s="1365"/>
      <c r="AD344" s="95"/>
      <c r="AE344" s="1326"/>
      <c r="AF344" s="97"/>
      <c r="AG344" s="1737"/>
      <c r="AH344" s="1970"/>
      <c r="AI344" s="99"/>
      <c r="AJ344" s="1809"/>
      <c r="AK344" s="6120" t="str">
        <f t="shared" si="138"/>
        <v>►</v>
      </c>
      <c r="AL344" s="781" t="str">
        <f t="shared" si="140"/>
        <v>►</v>
      </c>
      <c r="AM344" s="5498" t="str">
        <f t="shared" ref="AM344:AM407" si="143">IF(IFERROR(SEARCH("Adresse PC",TRIM(SUBSTITUTE(W344,CHAR(160)," "))),0)&gt;0,"▼ recette suivante",IF(AK344="A",R344,""))</f>
        <v/>
      </c>
      <c r="AN344" s="783" t="str">
        <f t="shared" ref="AN344:AN407" si="144">IF(AK344="A",S344,"")</f>
        <v/>
      </c>
      <c r="AO344" s="782" t="str">
        <f t="shared" ref="AO344:AO407" si="145">IF(AK344="A",T344,"")</f>
        <v/>
      </c>
      <c r="AP344" s="783" t="str">
        <f t="shared" ref="AP344:AP407" si="146">IF(AK344="A",Z344,"")</f>
        <v/>
      </c>
      <c r="AQ344" s="2083" t="b">
        <f>AND(Q344="A",COUNTIF(BP16:BR63,TRIM(Z344))&gt;0)</f>
        <v>0</v>
      </c>
      <c r="AR344" s="797" t="str">
        <f>IF(AL344&lt;&gt;"A","",IFERROR(IFERROR(_xlfn.XLOOKUP(TRIM(SUBSTITUTE(Z344,CHAR(160)," ")),BP16:BP63,BS16:BS63),IFERROR(_xlfn.XLOOKUP(TRIM(SUBSTITUTE(Z344,CHAR(160)," ")),BQ16:BQ63,BS16:BS63),_xlfn.XLOOKUP(TRIM(SUBSTITUTE(Z344,CHAR(160)," ")),BR16:BR63,BS16:BS63)))*Y344*IF(ISBLANK(V344),1,V344),0))</f>
        <v/>
      </c>
      <c r="AS344" s="784" t="str">
        <f t="shared" si="136"/>
        <v/>
      </c>
      <c r="AT344" s="1315" t="str">
        <f t="shared" ref="AT344:AT407" si="147">IF(AK344="A","❾ Author reference &gt;","")</f>
        <v/>
      </c>
      <c r="AU344" s="785">
        <f t="shared" ref="AU344:AU407" si="148">IF(AK344="A",S344,0)</f>
        <v>0</v>
      </c>
      <c r="AV344" s="785">
        <f t="shared" ref="AV344:AV407" si="149">IF(AK344="A",T344,0)</f>
        <v>0</v>
      </c>
      <c r="AW344" s="798">
        <f>IF(AK344="A",AY10,0)</f>
        <v>0</v>
      </c>
      <c r="AX344" s="5496" t="str">
        <f>IF(IFERROR(SEARCH("Adresse PC",TRIM(W344)),0)&gt;0,"▼ receta siguiente",IF(AK344="A",IF(AZ10&lt;&gt;"",AZ10&amp;" - ou.or.o ❾ + or - &gt;",""),""))</f>
        <v/>
      </c>
      <c r="AY344" s="810"/>
      <c r="AZ344" s="810"/>
      <c r="BA344" s="799" t="str">
        <f t="shared" si="139"/>
        <v/>
      </c>
      <c r="BB344" s="800" t="str">
        <f>IF(AK344="A",IF(AQ344,IF(AND(AW344&lt;&gt;"",N(AW344)&gt;0),IFERROR(IFERROR(_xlfn.XLOOKUP(AP344,BP10:BP57,BT10:BT57),IFERROR(_xlfn.XLOOKUP(AP344,BQ10:BQ57,BT10:BT57),_xlfn.XLOOKUP(AP344,BR10:BR57,BT10:BT57,""))),""),""),""),"")</f>
        <v/>
      </c>
      <c r="BC344" s="813" cm="1">
        <f t="array" ref="BC344">IF(NOT(AQ344),0,IF(OR(BA344="",N(BA344)&lt;=0.000000001),"",IF(OR(AU344="",N(AU344)&lt;=0.000000001),0,IF(ISNUMBER(BA344),IFERROR(_xlfn.LET(_xlpm.ai_test,TRIM(AP344),_xlpm.r,IFERROR(_xlfn.XLOOKUP(_xlpm.ai_test,BP16:BP63,ROW(BP16:BP63),0,1),IFERROR(_xlfn.XLOOKUP(_xlpm.ai_test,BQ16:BQ63,ROW(BQ16:BQ63),0,1),_xlfn.XLOOKUP(_xlpm.ai_test,BR16:BR63,ROW(BR16:BR63),0,1))),_xlpm.p,_xlpm.r-MIN(ROW(BP16:BP63))+1,_xlpm.f,INDEX(BS16:BS63,_xlpm.p),_xlpm.u,INDEX(BT16:BT63,_xlpm.p),_xlpm.s,INDEX(BV16:BV63,_xlpm.p),_xlpm.q,N(BA344)/_xlpm.f,IF(_xlpm.q&gt;=_xlpm.s,ROUND(_xlpm.q,1)&amp;" "&amp;_xlpm.ai_test&amp;" = "&amp;ROUND(_xlpm.q*_xlpm.f,1)&amp;" "&amp;_xlpm.u,ROUND(_xlpm.q,1)&amp;" "&amp;_xlpm.ai_test)),""),""))))</f>
        <v>0</v>
      </c>
      <c r="BD344" s="801"/>
      <c r="BE344" s="799" t="str">
        <f t="shared" ref="BE344:BE407" si="150">IF(IFERROR(SEARCH("Adresse PC",TRIM(W344)),0)&gt;0,"▼next ricipe ",IF(BA344="","",IF(AK344="A",IF(ISBLANK(BD344),BA344,ROUND(BA344*(1-MIN(1,MAX(0,IF(BD344&gt;1,BD344/100,BD344)))),3)))))</f>
        <v/>
      </c>
      <c r="BF344" s="800" t="str">
        <f t="shared" ref="BF344:BF407" si="151">IF(AQ344,BB344,"")</f>
        <v/>
      </c>
      <c r="BG344" s="802">
        <f t="shared" si="133"/>
        <v>0</v>
      </c>
      <c r="BH344" s="803" t="str">
        <f t="shared" si="134"/>
        <v/>
      </c>
      <c r="BI344" s="792"/>
      <c r="BJ344" s="804">
        <f t="shared" si="132"/>
        <v>0</v>
      </c>
      <c r="BK344" s="794" t="str">
        <f t="shared" ref="BK344:BK407" si="152">IF(AK344="A",IF(IFERROR(SEARCH("Adresse PC",TRIM(W344)),0)&gt;0,"▼recette suivante ",IF(BE344&gt;0,AC344,"")),"")</f>
        <v/>
      </c>
      <c r="BL344" s="227" t="s">
        <v>21</v>
      </c>
      <c r="BM344" s="773">
        <f t="shared" si="141"/>
        <v>0</v>
      </c>
      <c r="BN344" s="774">
        <f t="shared" si="142"/>
        <v>0</v>
      </c>
      <c r="BO344"/>
      <c r="BX344"/>
      <c r="BY344"/>
      <c r="BZ344"/>
      <c r="CA344"/>
      <c r="CB344"/>
      <c r="CC344"/>
      <c r="CD344" s="781" t="str">
        <f t="shared" si="135"/>
        <v>►</v>
      </c>
      <c r="CE344" s="633"/>
      <c r="CF344" s="633"/>
      <c r="CG344" s="633"/>
      <c r="CH344" s="633"/>
      <c r="CI344" s="633"/>
      <c r="CJ344" s="227"/>
      <c r="CK344"/>
      <c r="CL344"/>
      <c r="CM344"/>
      <c r="CN344"/>
      <c r="CO344"/>
      <c r="CP344"/>
      <c r="CQ344"/>
      <c r="CR344" s="227"/>
      <c r="CS344"/>
      <c r="CT344"/>
      <c r="CU344"/>
      <c r="CV344"/>
      <c r="CW344"/>
      <c r="CX344"/>
      <c r="CY344"/>
      <c r="CZ344" s="227"/>
      <c r="DA344"/>
      <c r="DB344"/>
      <c r="DC344"/>
      <c r="DD344"/>
      <c r="DE344"/>
      <c r="DF344"/>
      <c r="DG344"/>
      <c r="DH344" s="227"/>
      <c r="DI344" s="3">
        <v>1</v>
      </c>
    </row>
    <row r="345" spans="2:113" s="627" customFormat="1" ht="21" customHeight="1">
      <c r="B345" s="2265" t="str" cm="1">
        <f t="array" ref="B345">SUMPRODUCT(--(D345:J345&lt;&gt;""), LEN(TRIM(SUBSTITUTE(D345:J345, CHAR(160), "")))) &amp; " Car."</f>
        <v>0 Car.</v>
      </c>
      <c r="C345" s="1376" t="str">
        <f>IF(ISBLANK(D345),"",LARGE(C13:C344,1)+1)</f>
        <v/>
      </c>
      <c r="D345" s="1833"/>
      <c r="E345" s="1810"/>
      <c r="F345" s="1810"/>
      <c r="G345" s="1810"/>
      <c r="H345" s="1810"/>
      <c r="I345" s="1810"/>
      <c r="J345" s="1810"/>
      <c r="K345" s="1810"/>
      <c r="L345" s="1811"/>
      <c r="M345"/>
      <c r="N345" s="103" t="str">
        <f t="shared" si="137"/>
        <v>►</v>
      </c>
      <c r="O345" s="1616"/>
      <c r="P345"/>
      <c r="Q345" s="25" t="s">
        <v>15</v>
      </c>
      <c r="R345" s="31"/>
      <c r="S345" s="32"/>
      <c r="T345" s="31"/>
      <c r="U345" s="33"/>
      <c r="V345" s="1967"/>
      <c r="W345" s="1805"/>
      <c r="X345" s="91"/>
      <c r="Y345" s="1806"/>
      <c r="Z345" s="1968"/>
      <c r="AA345" s="2244"/>
      <c r="AB345" s="1969"/>
      <c r="AC345" s="1365"/>
      <c r="AD345" s="95"/>
      <c r="AE345" s="1326"/>
      <c r="AF345" s="97"/>
      <c r="AG345" s="1737"/>
      <c r="AH345" s="1970"/>
      <c r="AI345" s="99"/>
      <c r="AJ345" s="1809"/>
      <c r="AK345" s="6120" t="str">
        <f t="shared" si="138"/>
        <v>►</v>
      </c>
      <c r="AL345" s="781" t="str">
        <f t="shared" si="140"/>
        <v>►</v>
      </c>
      <c r="AM345" s="5499" t="str">
        <f t="shared" si="143"/>
        <v/>
      </c>
      <c r="AN345" s="783" t="str">
        <f t="shared" si="144"/>
        <v/>
      </c>
      <c r="AO345" s="782" t="str">
        <f t="shared" si="145"/>
        <v/>
      </c>
      <c r="AP345" s="783" t="str">
        <f t="shared" si="146"/>
        <v/>
      </c>
      <c r="AQ345" s="2083" t="b">
        <f>AND(Q345="A",COUNTIF(BP16:BR63,TRIM(Z345))&gt;0)</f>
        <v>0</v>
      </c>
      <c r="AR345" s="797" t="str">
        <f>IF(AL345&lt;&gt;"A","",IFERROR(IFERROR(_xlfn.XLOOKUP(TRIM(SUBSTITUTE(Z345,CHAR(160)," ")),BP16:BP63,BS16:BS63),IFERROR(_xlfn.XLOOKUP(TRIM(SUBSTITUTE(Z345,CHAR(160)," ")),BQ16:BQ63,BS16:BS63),_xlfn.XLOOKUP(TRIM(SUBSTITUTE(Z345,CHAR(160)," ")),BR16:BR63,BS16:BS63)))*Y345*IF(ISBLANK(V345),1,V345),0))</f>
        <v/>
      </c>
      <c r="AS345" s="784" t="str">
        <f t="shared" si="136"/>
        <v/>
      </c>
      <c r="AT345" s="1315" t="str">
        <f t="shared" si="147"/>
        <v/>
      </c>
      <c r="AU345" s="785">
        <f t="shared" si="148"/>
        <v>0</v>
      </c>
      <c r="AV345" s="785">
        <f t="shared" si="149"/>
        <v>0</v>
      </c>
      <c r="AW345" s="786">
        <f>IF(AK345="A",AY10,0)</f>
        <v>0</v>
      </c>
      <c r="AX345" s="5495" t="str">
        <f>IF(IFERROR(SEARCH("Adresse PC",TRIM(W345)),0)&gt;0,"▼ receta siguiente",IF(AK345="A",IF(AZ10&lt;&gt;"",AZ10&amp;" - ou.or.o ❾ + or - &gt;",""),""))</f>
        <v/>
      </c>
      <c r="AY345" s="810"/>
      <c r="AZ345" s="810"/>
      <c r="BA345" s="788" t="str">
        <f t="shared" si="139"/>
        <v/>
      </c>
      <c r="BB345" s="789" t="str">
        <f>IF(AK345="A",IF(AQ345,IF(AND(AW345&lt;&gt;"",N(AW345)&gt;0),IFERROR(IFERROR(_xlfn.XLOOKUP(AP345,BP10:BP57,BT10:BT57),IFERROR(_xlfn.XLOOKUP(AP345,BQ10:BQ57,BT10:BT57),_xlfn.XLOOKUP(AP345,BR10:BR57,BT10:BT57,""))),""),""),""),"")</f>
        <v/>
      </c>
      <c r="BC345" s="811" cm="1">
        <f t="array" ref="BC345">IF(NOT(AQ345),0,IF(OR(BA345="",N(BA345)&lt;=0.000000001),"",IF(OR(AU345="",N(AU345)&lt;=0.000000001),0,IF(ISNUMBER(BA345),IFERROR(_xlfn.LET(_xlpm.ai_test,TRIM(AP345),_xlpm.r,IFERROR(_xlfn.XLOOKUP(_xlpm.ai_test,BP16:BP63,ROW(BP16:BP63),0,1),IFERROR(_xlfn.XLOOKUP(_xlpm.ai_test,BQ16:BQ63,ROW(BQ16:BQ63),0,1),_xlfn.XLOOKUP(_xlpm.ai_test,BR16:BR63,ROW(BR16:BR63),0,1))),_xlpm.p,_xlpm.r-MIN(ROW(BP16:BP63))+1,_xlpm.f,INDEX(BS16:BS63,_xlpm.p),_xlpm.u,INDEX(BT16:BT63,_xlpm.p),_xlpm.s,INDEX(BV16:BV63,_xlpm.p),_xlpm.q,N(BA345)/_xlpm.f,IF(_xlpm.q&gt;=_xlpm.s,ROUND(_xlpm.q,1)&amp;" "&amp;_xlpm.ai_test&amp;" = "&amp;ROUND(_xlpm.q*_xlpm.f,1)&amp;" "&amp;_xlpm.u,ROUND(_xlpm.q,1)&amp;" "&amp;_xlpm.ai_test)),""),""))))</f>
        <v>0</v>
      </c>
      <c r="BD345" s="801"/>
      <c r="BE345" s="788" t="str">
        <f t="shared" si="150"/>
        <v/>
      </c>
      <c r="BF345" s="789" t="str">
        <f t="shared" si="151"/>
        <v/>
      </c>
      <c r="BG345" s="790">
        <f t="shared" si="133"/>
        <v>0</v>
      </c>
      <c r="BH345" s="791" t="str">
        <f t="shared" si="134"/>
        <v/>
      </c>
      <c r="BI345" s="792"/>
      <c r="BJ345" s="793">
        <f t="shared" si="132"/>
        <v>0</v>
      </c>
      <c r="BK345" s="794" t="str">
        <f t="shared" si="152"/>
        <v/>
      </c>
      <c r="BL345" s="227" t="s">
        <v>21</v>
      </c>
      <c r="BM345" s="773">
        <f t="shared" si="141"/>
        <v>0</v>
      </c>
      <c r="BN345" s="774">
        <f t="shared" si="142"/>
        <v>0</v>
      </c>
      <c r="BO345"/>
      <c r="BX345"/>
      <c r="BY345"/>
      <c r="BZ345"/>
      <c r="CA345"/>
      <c r="CB345"/>
      <c r="CC345"/>
      <c r="CD345" s="781" t="str">
        <f t="shared" si="135"/>
        <v>►</v>
      </c>
      <c r="CE345" s="633"/>
      <c r="CF345" s="633"/>
      <c r="CG345" s="633"/>
      <c r="CH345" s="633"/>
      <c r="CI345" s="633"/>
      <c r="CJ345" s="227"/>
      <c r="CK345"/>
      <c r="CL345"/>
      <c r="CM345"/>
      <c r="CN345"/>
      <c r="CO345"/>
      <c r="CP345"/>
      <c r="CQ345"/>
      <c r="CR345" s="227"/>
      <c r="CS345"/>
      <c r="CT345"/>
      <c r="CU345"/>
      <c r="CV345"/>
      <c r="CW345"/>
      <c r="CX345"/>
      <c r="CY345"/>
      <c r="CZ345" s="227"/>
      <c r="DA345"/>
      <c r="DB345"/>
      <c r="DC345"/>
      <c r="DD345"/>
      <c r="DE345"/>
      <c r="DF345"/>
      <c r="DG345"/>
      <c r="DH345" s="227"/>
      <c r="DI345" s="3">
        <v>1</v>
      </c>
    </row>
    <row r="346" spans="2:113" s="627" customFormat="1" ht="21" customHeight="1">
      <c r="B346" s="2265" t="str" cm="1">
        <f t="array" ref="B346">SUMPRODUCT(--(D346:J346&lt;&gt;""), LEN(TRIM(SUBSTITUTE(D346:J346, CHAR(160), "")))) &amp; " Car."</f>
        <v>0 Car.</v>
      </c>
      <c r="C346" s="1376" t="str">
        <f>IF(ISBLANK(D346),"",LARGE(C13:C345,1)+1)</f>
        <v/>
      </c>
      <c r="D346" s="1833"/>
      <c r="E346" s="1810"/>
      <c r="F346" s="1810"/>
      <c r="G346" s="1810"/>
      <c r="H346" s="1810"/>
      <c r="I346" s="1810"/>
      <c r="J346" s="1810"/>
      <c r="K346" s="1810"/>
      <c r="L346" s="1811"/>
      <c r="M346"/>
      <c r="N346" s="103" t="str">
        <f t="shared" si="137"/>
        <v>►</v>
      </c>
      <c r="O346" s="1616"/>
      <c r="P346"/>
      <c r="Q346" s="25" t="s">
        <v>15</v>
      </c>
      <c r="R346" s="31"/>
      <c r="S346" s="32"/>
      <c r="T346" s="31"/>
      <c r="U346" s="33"/>
      <c r="V346" s="1967"/>
      <c r="W346" s="1805"/>
      <c r="X346" s="91"/>
      <c r="Y346" s="1806"/>
      <c r="Z346" s="1968"/>
      <c r="AA346" s="2244"/>
      <c r="AB346" s="1969"/>
      <c r="AC346" s="1365"/>
      <c r="AD346" s="95"/>
      <c r="AE346" s="1326"/>
      <c r="AF346" s="97"/>
      <c r="AG346" s="1737"/>
      <c r="AH346" s="1970"/>
      <c r="AI346" s="99"/>
      <c r="AJ346" s="1809"/>
      <c r="AK346" s="6120" t="str">
        <f t="shared" si="138"/>
        <v>►</v>
      </c>
      <c r="AL346" s="781" t="str">
        <f t="shared" si="140"/>
        <v>►</v>
      </c>
      <c r="AM346" s="5498" t="str">
        <f t="shared" si="143"/>
        <v/>
      </c>
      <c r="AN346" s="783" t="str">
        <f t="shared" si="144"/>
        <v/>
      </c>
      <c r="AO346" s="782" t="str">
        <f t="shared" si="145"/>
        <v/>
      </c>
      <c r="AP346" s="783" t="str">
        <f t="shared" si="146"/>
        <v/>
      </c>
      <c r="AQ346" s="2083" t="b">
        <f>AND(Q346="A",COUNTIF(BP16:BR63,TRIM(Z346))&gt;0)</f>
        <v>0</v>
      </c>
      <c r="AR346" s="797" t="str">
        <f>IF(AL346&lt;&gt;"A","",IFERROR(IFERROR(_xlfn.XLOOKUP(TRIM(SUBSTITUTE(Z346,CHAR(160)," ")),BP16:BP63,BS16:BS63),IFERROR(_xlfn.XLOOKUP(TRIM(SUBSTITUTE(Z346,CHAR(160)," ")),BQ16:BQ63,BS16:BS63),_xlfn.XLOOKUP(TRIM(SUBSTITUTE(Z346,CHAR(160)," ")),BR16:BR63,BS16:BS63)))*Y346*IF(ISBLANK(V346),1,V346),0))</f>
        <v/>
      </c>
      <c r="AS346" s="784" t="str">
        <f t="shared" si="136"/>
        <v/>
      </c>
      <c r="AT346" s="1315" t="str">
        <f t="shared" si="147"/>
        <v/>
      </c>
      <c r="AU346" s="785">
        <f t="shared" si="148"/>
        <v>0</v>
      </c>
      <c r="AV346" s="785">
        <f t="shared" si="149"/>
        <v>0</v>
      </c>
      <c r="AW346" s="798">
        <f>IF(AK346="A",AY10,0)</f>
        <v>0</v>
      </c>
      <c r="AX346" s="5496" t="str">
        <f>IF(IFERROR(SEARCH("Adresse PC",TRIM(W346)),0)&gt;0,"▼ receta siguiente",IF(AK346="A",IF(AZ10&lt;&gt;"",AZ10&amp;" - ou.or.o ❾ + or - &gt;",""),""))</f>
        <v/>
      </c>
      <c r="AY346" s="810"/>
      <c r="AZ346" s="810"/>
      <c r="BA346" s="799" t="str">
        <f t="shared" si="139"/>
        <v/>
      </c>
      <c r="BB346" s="800" t="str">
        <f>IF(AK346="A",IF(AQ346,IF(AND(AW346&lt;&gt;"",N(AW346)&gt;0),IFERROR(IFERROR(_xlfn.XLOOKUP(AP346,BP10:BP57,BT10:BT57),IFERROR(_xlfn.XLOOKUP(AP346,BQ10:BQ57,BT10:BT57),_xlfn.XLOOKUP(AP346,BR10:BR57,BT10:BT57,""))),""),""),""),"")</f>
        <v/>
      </c>
      <c r="BC346" s="813" cm="1">
        <f t="array" ref="BC346">IF(NOT(AQ346),0,IF(OR(BA346="",N(BA346)&lt;=0.000000001),"",IF(OR(AU346="",N(AU346)&lt;=0.000000001),0,IF(ISNUMBER(BA346),IFERROR(_xlfn.LET(_xlpm.ai_test,TRIM(AP346),_xlpm.r,IFERROR(_xlfn.XLOOKUP(_xlpm.ai_test,BP16:BP63,ROW(BP16:BP63),0,1),IFERROR(_xlfn.XLOOKUP(_xlpm.ai_test,BQ16:BQ63,ROW(BQ16:BQ63),0,1),_xlfn.XLOOKUP(_xlpm.ai_test,BR16:BR63,ROW(BR16:BR63),0,1))),_xlpm.p,_xlpm.r-MIN(ROW(BP16:BP63))+1,_xlpm.f,INDEX(BS16:BS63,_xlpm.p),_xlpm.u,INDEX(BT16:BT63,_xlpm.p),_xlpm.s,INDEX(BV16:BV63,_xlpm.p),_xlpm.q,N(BA346)/_xlpm.f,IF(_xlpm.q&gt;=_xlpm.s,ROUND(_xlpm.q,1)&amp;" "&amp;_xlpm.ai_test&amp;" = "&amp;ROUND(_xlpm.q*_xlpm.f,1)&amp;" "&amp;_xlpm.u,ROUND(_xlpm.q,1)&amp;" "&amp;_xlpm.ai_test)),""),""))))</f>
        <v>0</v>
      </c>
      <c r="BD346" s="801"/>
      <c r="BE346" s="799" t="str">
        <f t="shared" si="150"/>
        <v/>
      </c>
      <c r="BF346" s="800" t="str">
        <f t="shared" si="151"/>
        <v/>
      </c>
      <c r="BG346" s="802">
        <f t="shared" si="133"/>
        <v>0</v>
      </c>
      <c r="BH346" s="803" t="str">
        <f t="shared" si="134"/>
        <v/>
      </c>
      <c r="BI346" s="792"/>
      <c r="BJ346" s="804">
        <f t="shared" si="132"/>
        <v>0</v>
      </c>
      <c r="BK346" s="794" t="str">
        <f t="shared" si="152"/>
        <v/>
      </c>
      <c r="BL346" s="227" t="s">
        <v>21</v>
      </c>
      <c r="BM346" s="773">
        <f t="shared" si="141"/>
        <v>0</v>
      </c>
      <c r="BN346" s="774">
        <f t="shared" si="142"/>
        <v>0</v>
      </c>
      <c r="BO346"/>
      <c r="BX346"/>
      <c r="BY346"/>
      <c r="BZ346"/>
      <c r="CA346"/>
      <c r="CB346"/>
      <c r="CC346"/>
      <c r="CD346" s="781" t="str">
        <f t="shared" si="135"/>
        <v>►</v>
      </c>
      <c r="CE346" s="633"/>
      <c r="CF346" s="633"/>
      <c r="CG346" s="633"/>
      <c r="CH346" s="633"/>
      <c r="CI346" s="633"/>
      <c r="CJ346" s="227"/>
      <c r="CK346"/>
      <c r="CL346"/>
      <c r="CM346"/>
      <c r="CN346"/>
      <c r="CO346"/>
      <c r="CP346"/>
      <c r="CQ346"/>
      <c r="CR346" s="227"/>
      <c r="CS346"/>
      <c r="CT346"/>
      <c r="CU346"/>
      <c r="CV346"/>
      <c r="CW346"/>
      <c r="CX346"/>
      <c r="CY346"/>
      <c r="CZ346" s="227"/>
      <c r="DA346"/>
      <c r="DB346"/>
      <c r="DC346"/>
      <c r="DD346"/>
      <c r="DE346"/>
      <c r="DF346"/>
      <c r="DG346"/>
      <c r="DH346" s="227"/>
      <c r="DI346" s="3">
        <v>1</v>
      </c>
    </row>
    <row r="347" spans="2:113" s="627" customFormat="1" ht="21" customHeight="1">
      <c r="B347" s="2265" t="str" cm="1">
        <f t="array" ref="B347">SUMPRODUCT(--(D347:J347&lt;&gt;""), LEN(TRIM(SUBSTITUTE(D347:J347, CHAR(160), "")))) &amp; " Car."</f>
        <v>0 Car.</v>
      </c>
      <c r="C347" s="1376" t="str">
        <f>IF(ISBLANK(D347),"",LARGE(C13:C346,1)+1)</f>
        <v/>
      </c>
      <c r="D347" s="1833"/>
      <c r="E347" s="1810"/>
      <c r="F347" s="1810"/>
      <c r="G347" s="1810"/>
      <c r="H347" s="1810"/>
      <c r="I347" s="1810"/>
      <c r="J347" s="1810"/>
      <c r="K347" s="1810"/>
      <c r="L347" s="1811"/>
      <c r="M347"/>
      <c r="N347" s="103" t="str">
        <f t="shared" si="137"/>
        <v>►</v>
      </c>
      <c r="O347" s="1616"/>
      <c r="P347"/>
      <c r="Q347" s="25" t="s">
        <v>15</v>
      </c>
      <c r="R347" s="31"/>
      <c r="S347" s="32"/>
      <c r="T347" s="31"/>
      <c r="U347" s="33"/>
      <c r="V347" s="1967"/>
      <c r="W347" s="1805"/>
      <c r="X347" s="91"/>
      <c r="Y347" s="1806"/>
      <c r="Z347" s="1968"/>
      <c r="AA347" s="2244"/>
      <c r="AB347" s="1969"/>
      <c r="AC347" s="1365"/>
      <c r="AD347" s="95"/>
      <c r="AE347" s="1326"/>
      <c r="AF347" s="97"/>
      <c r="AG347" s="1737"/>
      <c r="AH347" s="1970"/>
      <c r="AI347" s="99"/>
      <c r="AJ347" s="1809"/>
      <c r="AK347" s="6120" t="str">
        <f t="shared" si="138"/>
        <v>►</v>
      </c>
      <c r="AL347" s="781" t="str">
        <f t="shared" si="140"/>
        <v>►</v>
      </c>
      <c r="AM347" s="5499" t="str">
        <f t="shared" si="143"/>
        <v/>
      </c>
      <c r="AN347" s="783" t="str">
        <f t="shared" si="144"/>
        <v/>
      </c>
      <c r="AO347" s="782" t="str">
        <f t="shared" si="145"/>
        <v/>
      </c>
      <c r="AP347" s="783" t="str">
        <f t="shared" si="146"/>
        <v/>
      </c>
      <c r="AQ347" s="2083" t="b">
        <f>AND(Q347="A",COUNTIF(BP16:BR63,TRIM(Z347))&gt;0)</f>
        <v>0</v>
      </c>
      <c r="AR347" s="797" t="str">
        <f>IF(AL347&lt;&gt;"A","",IFERROR(IFERROR(_xlfn.XLOOKUP(TRIM(SUBSTITUTE(Z347,CHAR(160)," ")),BP16:BP63,BS16:BS63),IFERROR(_xlfn.XLOOKUP(TRIM(SUBSTITUTE(Z347,CHAR(160)," ")),BQ16:BQ63,BS16:BS63),_xlfn.XLOOKUP(TRIM(SUBSTITUTE(Z347,CHAR(160)," ")),BR16:BR63,BS16:BS63)))*Y347*IF(ISBLANK(V347),1,V347),0))</f>
        <v/>
      </c>
      <c r="AS347" s="784" t="str">
        <f t="shared" si="136"/>
        <v/>
      </c>
      <c r="AT347" s="1315" t="str">
        <f t="shared" si="147"/>
        <v/>
      </c>
      <c r="AU347" s="785">
        <f t="shared" si="148"/>
        <v>0</v>
      </c>
      <c r="AV347" s="785">
        <f t="shared" si="149"/>
        <v>0</v>
      </c>
      <c r="AW347" s="786">
        <f>IF(AK347="A",AY10,0)</f>
        <v>0</v>
      </c>
      <c r="AX347" s="5495" t="str">
        <f>IF(IFERROR(SEARCH("Adresse PC",TRIM(W347)),0)&gt;0,"▼ receta siguiente",IF(AK347="A",IF(AZ10&lt;&gt;"",AZ10&amp;" - ou.or.o ❾ + or - &gt;",""),""))</f>
        <v/>
      </c>
      <c r="AY347" s="810"/>
      <c r="AZ347" s="810"/>
      <c r="BA347" s="788" t="str">
        <f t="shared" si="139"/>
        <v/>
      </c>
      <c r="BB347" s="789" t="str">
        <f>IF(AK347="A",IF(AQ347,IF(AND(AW347&lt;&gt;"",N(AW347)&gt;0),IFERROR(IFERROR(_xlfn.XLOOKUP(AP347,BP10:BP57,BT10:BT57),IFERROR(_xlfn.XLOOKUP(AP347,BQ10:BQ57,BT10:BT57),_xlfn.XLOOKUP(AP347,BR10:BR57,BT10:BT57,""))),""),""),""),"")</f>
        <v/>
      </c>
      <c r="BC347" s="811" cm="1">
        <f t="array" ref="BC347">IF(NOT(AQ347),0,IF(OR(BA347="",N(BA347)&lt;=0.000000001),"",IF(OR(AU347="",N(AU347)&lt;=0.000000001),0,IF(ISNUMBER(BA347),IFERROR(_xlfn.LET(_xlpm.ai_test,TRIM(AP347),_xlpm.r,IFERROR(_xlfn.XLOOKUP(_xlpm.ai_test,BP16:BP63,ROW(BP16:BP63),0,1),IFERROR(_xlfn.XLOOKUP(_xlpm.ai_test,BQ16:BQ63,ROW(BQ16:BQ63),0,1),_xlfn.XLOOKUP(_xlpm.ai_test,BR16:BR63,ROW(BR16:BR63),0,1))),_xlpm.p,_xlpm.r-MIN(ROW(BP16:BP63))+1,_xlpm.f,INDEX(BS16:BS63,_xlpm.p),_xlpm.u,INDEX(BT16:BT63,_xlpm.p),_xlpm.s,INDEX(BV16:BV63,_xlpm.p),_xlpm.q,N(BA347)/_xlpm.f,IF(_xlpm.q&gt;=_xlpm.s,ROUND(_xlpm.q,1)&amp;" "&amp;_xlpm.ai_test&amp;" = "&amp;ROUND(_xlpm.q*_xlpm.f,1)&amp;" "&amp;_xlpm.u,ROUND(_xlpm.q,1)&amp;" "&amp;_xlpm.ai_test)),""),""))))</f>
        <v>0</v>
      </c>
      <c r="BD347" s="801"/>
      <c r="BE347" s="788" t="str">
        <f t="shared" si="150"/>
        <v/>
      </c>
      <c r="BF347" s="789" t="str">
        <f t="shared" si="151"/>
        <v/>
      </c>
      <c r="BG347" s="790">
        <f t="shared" si="133"/>
        <v>0</v>
      </c>
      <c r="BH347" s="791" t="str">
        <f t="shared" si="134"/>
        <v/>
      </c>
      <c r="BI347" s="792"/>
      <c r="BJ347" s="793">
        <f t="shared" si="132"/>
        <v>0</v>
      </c>
      <c r="BK347" s="794" t="str">
        <f t="shared" si="152"/>
        <v/>
      </c>
      <c r="BL347" s="227" t="s">
        <v>21</v>
      </c>
      <c r="BM347" s="773">
        <f t="shared" si="141"/>
        <v>0</v>
      </c>
      <c r="BN347" s="774">
        <f t="shared" si="142"/>
        <v>0</v>
      </c>
      <c r="BO347"/>
      <c r="BX347"/>
      <c r="BY347"/>
      <c r="BZ347"/>
      <c r="CA347"/>
      <c r="CB347"/>
      <c r="CC347"/>
      <c r="CD347" s="781" t="str">
        <f t="shared" si="135"/>
        <v>►</v>
      </c>
      <c r="CE347" s="633"/>
      <c r="CF347" s="633"/>
      <c r="CG347" s="633"/>
      <c r="CH347" s="633"/>
      <c r="CI347" s="633"/>
      <c r="CJ347" s="227"/>
      <c r="CK347"/>
      <c r="CL347"/>
      <c r="CM347"/>
      <c r="CN347"/>
      <c r="CO347"/>
      <c r="CP347"/>
      <c r="CQ347"/>
      <c r="CR347" s="227"/>
      <c r="CS347"/>
      <c r="CT347"/>
      <c r="CU347"/>
      <c r="CV347"/>
      <c r="CW347"/>
      <c r="CX347"/>
      <c r="CY347"/>
      <c r="CZ347" s="227"/>
      <c r="DA347"/>
      <c r="DB347"/>
      <c r="DC347"/>
      <c r="DD347"/>
      <c r="DE347"/>
      <c r="DF347"/>
      <c r="DG347"/>
      <c r="DH347" s="227"/>
      <c r="DI347" s="3">
        <v>1</v>
      </c>
    </row>
    <row r="348" spans="2:113" s="627" customFormat="1" ht="21" customHeight="1">
      <c r="B348" s="2265" t="str" cm="1">
        <f t="array" ref="B348">SUMPRODUCT(--(D348:J348&lt;&gt;""), LEN(TRIM(SUBSTITUTE(D348:J348, CHAR(160), "")))) &amp; " Car."</f>
        <v>0 Car.</v>
      </c>
      <c r="C348" s="1376" t="str">
        <f>IF(ISBLANK(D348),"",LARGE(C13:C347,1)+1)</f>
        <v/>
      </c>
      <c r="D348" s="1833"/>
      <c r="E348" s="1810"/>
      <c r="F348" s="1810"/>
      <c r="G348" s="1810"/>
      <c r="H348" s="1810"/>
      <c r="I348" s="1810"/>
      <c r="J348" s="1810"/>
      <c r="K348" s="1810"/>
      <c r="L348" s="1811"/>
      <c r="M348"/>
      <c r="N348" s="103" t="str">
        <f t="shared" si="137"/>
        <v>►</v>
      </c>
      <c r="O348" s="1616"/>
      <c r="P348"/>
      <c r="Q348" s="25" t="s">
        <v>15</v>
      </c>
      <c r="R348" s="31"/>
      <c r="S348" s="32"/>
      <c r="T348" s="31"/>
      <c r="U348" s="33"/>
      <c r="V348" s="1967"/>
      <c r="W348" s="1805"/>
      <c r="X348" s="91"/>
      <c r="Y348" s="1806"/>
      <c r="Z348" s="1968"/>
      <c r="AA348" s="2244"/>
      <c r="AB348" s="1969"/>
      <c r="AC348" s="1365"/>
      <c r="AD348" s="95"/>
      <c r="AE348" s="1326"/>
      <c r="AF348" s="97"/>
      <c r="AG348" s="1737"/>
      <c r="AH348" s="1970"/>
      <c r="AI348" s="99"/>
      <c r="AJ348" s="1809"/>
      <c r="AK348" s="6120" t="str">
        <f t="shared" si="138"/>
        <v>►</v>
      </c>
      <c r="AL348" s="781" t="str">
        <f t="shared" si="140"/>
        <v>►</v>
      </c>
      <c r="AM348" s="5498" t="str">
        <f t="shared" si="143"/>
        <v/>
      </c>
      <c r="AN348" s="783" t="str">
        <f t="shared" si="144"/>
        <v/>
      </c>
      <c r="AO348" s="782" t="str">
        <f t="shared" si="145"/>
        <v/>
      </c>
      <c r="AP348" s="783" t="str">
        <f t="shared" si="146"/>
        <v/>
      </c>
      <c r="AQ348" s="2083" t="b">
        <f>AND(Q348="A",COUNTIF(BP16:BR63,TRIM(Z348))&gt;0)</f>
        <v>0</v>
      </c>
      <c r="AR348" s="797" t="str">
        <f>IF(AL348&lt;&gt;"A","",IFERROR(IFERROR(_xlfn.XLOOKUP(TRIM(SUBSTITUTE(Z348,CHAR(160)," ")),BP16:BP63,BS16:BS63),IFERROR(_xlfn.XLOOKUP(TRIM(SUBSTITUTE(Z348,CHAR(160)," ")),BQ16:BQ63,BS16:BS63),_xlfn.XLOOKUP(TRIM(SUBSTITUTE(Z348,CHAR(160)," ")),BR16:BR63,BS16:BS63)))*Y348*IF(ISBLANK(V348),1,V348),0))</f>
        <v/>
      </c>
      <c r="AS348" s="784" t="str">
        <f t="shared" si="136"/>
        <v/>
      </c>
      <c r="AT348" s="1315" t="str">
        <f t="shared" si="147"/>
        <v/>
      </c>
      <c r="AU348" s="785">
        <f t="shared" si="148"/>
        <v>0</v>
      </c>
      <c r="AV348" s="785">
        <f t="shared" si="149"/>
        <v>0</v>
      </c>
      <c r="AW348" s="798">
        <f>IF(AK348="A",AY10,0)</f>
        <v>0</v>
      </c>
      <c r="AX348" s="5496" t="str">
        <f>IF(IFERROR(SEARCH("Adresse PC",TRIM(W348)),0)&gt;0,"▼ receta siguiente",IF(AK348="A",IF(AZ10&lt;&gt;"",AZ10&amp;" - ou.or.o ❾ + or - &gt;",""),""))</f>
        <v/>
      </c>
      <c r="AY348" s="810"/>
      <c r="AZ348" s="810"/>
      <c r="BA348" s="799" t="str">
        <f t="shared" si="139"/>
        <v/>
      </c>
      <c r="BB348" s="800" t="str">
        <f>IF(AK348="A",IF(AQ348,IF(AND(AW348&lt;&gt;"",N(AW348)&gt;0),IFERROR(IFERROR(_xlfn.XLOOKUP(AP348,BP10:BP57,BT10:BT57),IFERROR(_xlfn.XLOOKUP(AP348,BQ10:BQ57,BT10:BT57),_xlfn.XLOOKUP(AP348,BR10:BR57,BT10:BT57,""))),""),""),""),"")</f>
        <v/>
      </c>
      <c r="BC348" s="813" cm="1">
        <f t="array" ref="BC348">IF(NOT(AQ348),0,IF(OR(BA348="",N(BA348)&lt;=0.000000001),"",IF(OR(AU348="",N(AU348)&lt;=0.000000001),0,IF(ISNUMBER(BA348),IFERROR(_xlfn.LET(_xlpm.ai_test,TRIM(AP348),_xlpm.r,IFERROR(_xlfn.XLOOKUP(_xlpm.ai_test,BP16:BP63,ROW(BP16:BP63),0,1),IFERROR(_xlfn.XLOOKUP(_xlpm.ai_test,BQ16:BQ63,ROW(BQ16:BQ63),0,1),_xlfn.XLOOKUP(_xlpm.ai_test,BR16:BR63,ROW(BR16:BR63),0,1))),_xlpm.p,_xlpm.r-MIN(ROW(BP16:BP63))+1,_xlpm.f,INDEX(BS16:BS63,_xlpm.p),_xlpm.u,INDEX(BT16:BT63,_xlpm.p),_xlpm.s,INDEX(BV16:BV63,_xlpm.p),_xlpm.q,N(BA348)/_xlpm.f,IF(_xlpm.q&gt;=_xlpm.s,ROUND(_xlpm.q,1)&amp;" "&amp;_xlpm.ai_test&amp;" = "&amp;ROUND(_xlpm.q*_xlpm.f,1)&amp;" "&amp;_xlpm.u,ROUND(_xlpm.q,1)&amp;" "&amp;_xlpm.ai_test)),""),""))))</f>
        <v>0</v>
      </c>
      <c r="BD348" s="801"/>
      <c r="BE348" s="799" t="str">
        <f t="shared" si="150"/>
        <v/>
      </c>
      <c r="BF348" s="800" t="str">
        <f t="shared" si="151"/>
        <v/>
      </c>
      <c r="BG348" s="802">
        <f t="shared" si="133"/>
        <v>0</v>
      </c>
      <c r="BH348" s="803" t="str">
        <f t="shared" si="134"/>
        <v/>
      </c>
      <c r="BI348" s="792"/>
      <c r="BJ348" s="804">
        <f t="shared" si="132"/>
        <v>0</v>
      </c>
      <c r="BK348" s="794" t="str">
        <f t="shared" si="152"/>
        <v/>
      </c>
      <c r="BL348" s="227" t="s">
        <v>21</v>
      </c>
      <c r="BM348" s="773">
        <f t="shared" si="141"/>
        <v>0</v>
      </c>
      <c r="BN348" s="774">
        <f t="shared" si="142"/>
        <v>0</v>
      </c>
      <c r="BO348"/>
      <c r="BX348"/>
      <c r="BY348"/>
      <c r="BZ348"/>
      <c r="CA348"/>
      <c r="CB348"/>
      <c r="CC348"/>
      <c r="CD348" s="781" t="str">
        <f t="shared" si="135"/>
        <v>►</v>
      </c>
      <c r="CE348" s="633"/>
      <c r="CF348" s="633"/>
      <c r="CG348" s="633"/>
      <c r="CH348" s="633"/>
      <c r="CI348" s="633"/>
      <c r="CJ348" s="227"/>
      <c r="CK348"/>
      <c r="CL348"/>
      <c r="CM348"/>
      <c r="CN348"/>
      <c r="CO348"/>
      <c r="CP348"/>
      <c r="CQ348"/>
      <c r="CR348" s="227"/>
      <c r="CS348"/>
      <c r="CT348"/>
      <c r="CU348"/>
      <c r="CV348"/>
      <c r="CW348"/>
      <c r="CX348"/>
      <c r="CY348"/>
      <c r="CZ348" s="227"/>
      <c r="DA348"/>
      <c r="DB348"/>
      <c r="DC348"/>
      <c r="DD348"/>
      <c r="DE348"/>
      <c r="DF348"/>
      <c r="DG348"/>
      <c r="DH348" s="227"/>
      <c r="DI348" s="3">
        <v>1</v>
      </c>
    </row>
    <row r="349" spans="2:113" s="627" customFormat="1" ht="21" customHeight="1">
      <c r="B349" s="2265" t="str" cm="1">
        <f t="array" ref="B349">SUMPRODUCT(--(D349:J349&lt;&gt;""), LEN(TRIM(SUBSTITUTE(D349:J349, CHAR(160), "")))) &amp; " Car."</f>
        <v>0 Car.</v>
      </c>
      <c r="C349" s="1376" t="str">
        <f>IF(ISBLANK(D349),"",LARGE(C13:C348,1)+1)</f>
        <v/>
      </c>
      <c r="D349" s="1833"/>
      <c r="E349" s="1810"/>
      <c r="F349" s="1810"/>
      <c r="G349" s="1810"/>
      <c r="H349" s="1810"/>
      <c r="I349" s="1810"/>
      <c r="J349" s="1810"/>
      <c r="K349" s="1810"/>
      <c r="L349" s="1811"/>
      <c r="M349"/>
      <c r="N349" s="103" t="str">
        <f t="shared" si="137"/>
        <v>►</v>
      </c>
      <c r="O349" s="1616"/>
      <c r="P349"/>
      <c r="Q349" s="25" t="s">
        <v>15</v>
      </c>
      <c r="R349" s="31"/>
      <c r="S349" s="32"/>
      <c r="T349" s="31"/>
      <c r="U349" s="33"/>
      <c r="V349" s="1967"/>
      <c r="W349" s="1805"/>
      <c r="X349" s="91"/>
      <c r="Y349" s="1806"/>
      <c r="Z349" s="1968"/>
      <c r="AA349" s="2244"/>
      <c r="AB349" s="1969"/>
      <c r="AC349" s="1365"/>
      <c r="AD349" s="95"/>
      <c r="AE349" s="1326"/>
      <c r="AF349" s="97"/>
      <c r="AG349" s="1737"/>
      <c r="AH349" s="1970"/>
      <c r="AI349" s="99"/>
      <c r="AJ349" s="1809"/>
      <c r="AK349" s="6120" t="str">
        <f t="shared" si="138"/>
        <v>►</v>
      </c>
      <c r="AL349" s="781" t="str">
        <f t="shared" si="140"/>
        <v>►</v>
      </c>
      <c r="AM349" s="5499" t="str">
        <f t="shared" si="143"/>
        <v/>
      </c>
      <c r="AN349" s="783" t="str">
        <f t="shared" si="144"/>
        <v/>
      </c>
      <c r="AO349" s="782" t="str">
        <f t="shared" si="145"/>
        <v/>
      </c>
      <c r="AP349" s="783" t="str">
        <f t="shared" si="146"/>
        <v/>
      </c>
      <c r="AQ349" s="2083" t="b">
        <f>AND(Q349="A",COUNTIF(BP16:BR63,TRIM(Z349))&gt;0)</f>
        <v>0</v>
      </c>
      <c r="AR349" s="797" t="str">
        <f>IF(AL349&lt;&gt;"A","",IFERROR(IFERROR(_xlfn.XLOOKUP(TRIM(SUBSTITUTE(Z349,CHAR(160)," ")),BP16:BP63,BS16:BS63),IFERROR(_xlfn.XLOOKUP(TRIM(SUBSTITUTE(Z349,CHAR(160)," ")),BQ16:BQ63,BS16:BS63),_xlfn.XLOOKUP(TRIM(SUBSTITUTE(Z349,CHAR(160)," ")),BR16:BR63,BS16:BS63)))*Y349*IF(ISBLANK(V349),1,V349),0))</f>
        <v/>
      </c>
      <c r="AS349" s="784" t="str">
        <f t="shared" si="136"/>
        <v/>
      </c>
      <c r="AT349" s="1315" t="str">
        <f t="shared" si="147"/>
        <v/>
      </c>
      <c r="AU349" s="785">
        <f t="shared" si="148"/>
        <v>0</v>
      </c>
      <c r="AV349" s="785">
        <f t="shared" si="149"/>
        <v>0</v>
      </c>
      <c r="AW349" s="786">
        <f>IF(AK349="A",AY10,0)</f>
        <v>0</v>
      </c>
      <c r="AX349" s="5495" t="str">
        <f>IF(IFERROR(SEARCH("Adresse PC",TRIM(W349)),0)&gt;0,"▼ receta siguiente",IF(AK349="A",IF(AZ10&lt;&gt;"",AZ10&amp;" - ou.or.o ❾ + or - &gt;",""),""))</f>
        <v/>
      </c>
      <c r="AY349" s="810"/>
      <c r="AZ349" s="810"/>
      <c r="BA349" s="788" t="str">
        <f t="shared" si="139"/>
        <v/>
      </c>
      <c r="BB349" s="789" t="str">
        <f>IF(AK349="A",IF(AQ349,IF(AND(AW349&lt;&gt;"",N(AW349)&gt;0),IFERROR(IFERROR(_xlfn.XLOOKUP(AP349,BP10:BP57,BT10:BT57),IFERROR(_xlfn.XLOOKUP(AP349,BQ10:BQ57,BT10:BT57),_xlfn.XLOOKUP(AP349,BR10:BR57,BT10:BT57,""))),""),""),""),"")</f>
        <v/>
      </c>
      <c r="BC349" s="811" cm="1">
        <f t="array" ref="BC349">IF(NOT(AQ349),0,IF(OR(BA349="",N(BA349)&lt;=0.000000001),"",IF(OR(AU349="",N(AU349)&lt;=0.000000001),0,IF(ISNUMBER(BA349),IFERROR(_xlfn.LET(_xlpm.ai_test,TRIM(AP349),_xlpm.r,IFERROR(_xlfn.XLOOKUP(_xlpm.ai_test,BP16:BP63,ROW(BP16:BP63),0,1),IFERROR(_xlfn.XLOOKUP(_xlpm.ai_test,BQ16:BQ63,ROW(BQ16:BQ63),0,1),_xlfn.XLOOKUP(_xlpm.ai_test,BR16:BR63,ROW(BR16:BR63),0,1))),_xlpm.p,_xlpm.r-MIN(ROW(BP16:BP63))+1,_xlpm.f,INDEX(BS16:BS63,_xlpm.p),_xlpm.u,INDEX(BT16:BT63,_xlpm.p),_xlpm.s,INDEX(BV16:BV63,_xlpm.p),_xlpm.q,N(BA349)/_xlpm.f,IF(_xlpm.q&gt;=_xlpm.s,ROUND(_xlpm.q,1)&amp;" "&amp;_xlpm.ai_test&amp;" = "&amp;ROUND(_xlpm.q*_xlpm.f,1)&amp;" "&amp;_xlpm.u,ROUND(_xlpm.q,1)&amp;" "&amp;_xlpm.ai_test)),""),""))))</f>
        <v>0</v>
      </c>
      <c r="BD349" s="801"/>
      <c r="BE349" s="788" t="str">
        <f t="shared" si="150"/>
        <v/>
      </c>
      <c r="BF349" s="789" t="str">
        <f t="shared" si="151"/>
        <v/>
      </c>
      <c r="BG349" s="790">
        <f t="shared" si="133"/>
        <v>0</v>
      </c>
      <c r="BH349" s="791" t="str">
        <f t="shared" si="134"/>
        <v/>
      </c>
      <c r="BI349" s="792"/>
      <c r="BJ349" s="793">
        <f t="shared" si="132"/>
        <v>0</v>
      </c>
      <c r="BK349" s="794" t="str">
        <f t="shared" si="152"/>
        <v/>
      </c>
      <c r="BL349" s="227" t="s">
        <v>21</v>
      </c>
      <c r="BM349" s="773">
        <f t="shared" si="141"/>
        <v>0</v>
      </c>
      <c r="BN349" s="774">
        <f t="shared" si="142"/>
        <v>0</v>
      </c>
      <c r="BO349"/>
      <c r="BX349"/>
      <c r="BY349"/>
      <c r="BZ349"/>
      <c r="CA349"/>
      <c r="CB349"/>
      <c r="CC349"/>
      <c r="CD349" s="781" t="str">
        <f t="shared" si="135"/>
        <v>►</v>
      </c>
      <c r="CE349" s="633"/>
      <c r="CF349" s="633"/>
      <c r="CG349" s="633"/>
      <c r="CH349" s="633"/>
      <c r="CI349" s="633"/>
      <c r="CJ349" s="227"/>
      <c r="CK349"/>
      <c r="CL349"/>
      <c r="CM349"/>
      <c r="CN349"/>
      <c r="CO349"/>
      <c r="CP349"/>
      <c r="CQ349"/>
      <c r="CR349" s="227"/>
      <c r="CS349"/>
      <c r="CT349"/>
      <c r="CU349"/>
      <c r="CV349"/>
      <c r="CW349"/>
      <c r="CX349"/>
      <c r="CY349"/>
      <c r="CZ349" s="227"/>
      <c r="DA349"/>
      <c r="DB349"/>
      <c r="DC349"/>
      <c r="DD349"/>
      <c r="DE349"/>
      <c r="DF349"/>
      <c r="DG349"/>
      <c r="DH349" s="227"/>
      <c r="DI349" s="3">
        <v>1</v>
      </c>
    </row>
    <row r="350" spans="2:113" s="627" customFormat="1" ht="21" customHeight="1">
      <c r="B350" s="2265" t="str" cm="1">
        <f t="array" ref="B350">SUMPRODUCT(--(D350:J350&lt;&gt;""), LEN(TRIM(SUBSTITUTE(D350:J350, CHAR(160), "")))) &amp; " Car."</f>
        <v>0 Car.</v>
      </c>
      <c r="C350" s="1376" t="str">
        <f>IF(ISBLANK(D350),"",LARGE(C13:C349,1)+1)</f>
        <v/>
      </c>
      <c r="D350" s="1833"/>
      <c r="E350" s="1810"/>
      <c r="F350" s="1810"/>
      <c r="G350" s="1810"/>
      <c r="H350" s="1810"/>
      <c r="I350" s="1810"/>
      <c r="J350" s="1810"/>
      <c r="K350" s="1810"/>
      <c r="L350" s="1811"/>
      <c r="M350"/>
      <c r="N350" s="103" t="str">
        <f t="shared" si="137"/>
        <v>►</v>
      </c>
      <c r="O350" s="1616"/>
      <c r="P350"/>
      <c r="Q350" s="25" t="s">
        <v>15</v>
      </c>
      <c r="R350" s="31"/>
      <c r="S350" s="32"/>
      <c r="T350" s="31"/>
      <c r="U350" s="33"/>
      <c r="V350" s="1967"/>
      <c r="W350" s="1805"/>
      <c r="X350" s="91"/>
      <c r="Y350" s="1806"/>
      <c r="Z350" s="1968"/>
      <c r="AA350" s="2244"/>
      <c r="AB350" s="1969"/>
      <c r="AC350" s="1365"/>
      <c r="AD350" s="95"/>
      <c r="AE350" s="1326"/>
      <c r="AF350" s="97"/>
      <c r="AG350" s="1737"/>
      <c r="AH350" s="1970"/>
      <c r="AI350" s="99"/>
      <c r="AJ350" s="1809"/>
      <c r="AK350" s="6120" t="str">
        <f t="shared" si="138"/>
        <v>►</v>
      </c>
      <c r="AL350" s="781" t="str">
        <f t="shared" si="140"/>
        <v>►</v>
      </c>
      <c r="AM350" s="5498" t="str">
        <f t="shared" si="143"/>
        <v/>
      </c>
      <c r="AN350" s="783" t="str">
        <f t="shared" si="144"/>
        <v/>
      </c>
      <c r="AO350" s="782" t="str">
        <f t="shared" si="145"/>
        <v/>
      </c>
      <c r="AP350" s="783" t="str">
        <f t="shared" si="146"/>
        <v/>
      </c>
      <c r="AQ350" s="2083" t="b">
        <f>AND(Q350="A",COUNTIF(BP16:BR63,TRIM(Z350))&gt;0)</f>
        <v>0</v>
      </c>
      <c r="AR350" s="797" t="str">
        <f>IF(AL350&lt;&gt;"A","",IFERROR(IFERROR(_xlfn.XLOOKUP(TRIM(SUBSTITUTE(Z350,CHAR(160)," ")),BP16:BP63,BS16:BS63),IFERROR(_xlfn.XLOOKUP(TRIM(SUBSTITUTE(Z350,CHAR(160)," ")),BQ16:BQ63,BS16:BS63),_xlfn.XLOOKUP(TRIM(SUBSTITUTE(Z350,CHAR(160)," ")),BR16:BR63,BS16:BS63)))*Y350*IF(ISBLANK(V350),1,V350),0))</f>
        <v/>
      </c>
      <c r="AS350" s="784" t="str">
        <f t="shared" si="136"/>
        <v/>
      </c>
      <c r="AT350" s="1315" t="str">
        <f t="shared" si="147"/>
        <v/>
      </c>
      <c r="AU350" s="785">
        <f t="shared" si="148"/>
        <v>0</v>
      </c>
      <c r="AV350" s="785">
        <f t="shared" si="149"/>
        <v>0</v>
      </c>
      <c r="AW350" s="798">
        <f>IF(AK350="A",AY10,0)</f>
        <v>0</v>
      </c>
      <c r="AX350" s="5496" t="str">
        <f>IF(IFERROR(SEARCH("Adresse PC",TRIM(W350)),0)&gt;0,"▼ receta siguiente",IF(AK350="A",IF(AZ10&lt;&gt;"",AZ10&amp;" - ou.or.o ❾ + or - &gt;",""),""))</f>
        <v/>
      </c>
      <c r="AY350" s="810"/>
      <c r="AZ350" s="810"/>
      <c r="BA350" s="799" t="str">
        <f t="shared" si="139"/>
        <v/>
      </c>
      <c r="BB350" s="800" t="str">
        <f>IF(AK350="A",IF(AQ350,IF(AND(AW350&lt;&gt;"",N(AW350)&gt;0),IFERROR(IFERROR(_xlfn.XLOOKUP(AP350,BP10:BP57,BT10:BT57),IFERROR(_xlfn.XLOOKUP(AP350,BQ10:BQ57,BT10:BT57),_xlfn.XLOOKUP(AP350,BR10:BR57,BT10:BT57,""))),""),""),""),"")</f>
        <v/>
      </c>
      <c r="BC350" s="813" cm="1">
        <f t="array" ref="BC350">IF(NOT(AQ350),0,IF(OR(BA350="",N(BA350)&lt;=0.000000001),"",IF(OR(AU350="",N(AU350)&lt;=0.000000001),0,IF(ISNUMBER(BA350),IFERROR(_xlfn.LET(_xlpm.ai_test,TRIM(AP350),_xlpm.r,IFERROR(_xlfn.XLOOKUP(_xlpm.ai_test,BP16:BP63,ROW(BP16:BP63),0,1),IFERROR(_xlfn.XLOOKUP(_xlpm.ai_test,BQ16:BQ63,ROW(BQ16:BQ63),0,1),_xlfn.XLOOKUP(_xlpm.ai_test,BR16:BR63,ROW(BR16:BR63),0,1))),_xlpm.p,_xlpm.r-MIN(ROW(BP16:BP63))+1,_xlpm.f,INDEX(BS16:BS63,_xlpm.p),_xlpm.u,INDEX(BT16:BT63,_xlpm.p),_xlpm.s,INDEX(BV16:BV63,_xlpm.p),_xlpm.q,N(BA350)/_xlpm.f,IF(_xlpm.q&gt;=_xlpm.s,ROUND(_xlpm.q,1)&amp;" "&amp;_xlpm.ai_test&amp;" = "&amp;ROUND(_xlpm.q*_xlpm.f,1)&amp;" "&amp;_xlpm.u,ROUND(_xlpm.q,1)&amp;" "&amp;_xlpm.ai_test)),""),""))))</f>
        <v>0</v>
      </c>
      <c r="BD350" s="801"/>
      <c r="BE350" s="799" t="str">
        <f t="shared" si="150"/>
        <v/>
      </c>
      <c r="BF350" s="800" t="str">
        <f t="shared" si="151"/>
        <v/>
      </c>
      <c r="BG350" s="802">
        <f t="shared" si="133"/>
        <v>0</v>
      </c>
      <c r="BH350" s="803" t="str">
        <f t="shared" si="134"/>
        <v/>
      </c>
      <c r="BI350" s="792"/>
      <c r="BJ350" s="804">
        <f t="shared" ref="BJ350:BJ413" si="153">IF(OR(AU350=0,ISBLANK(BI350),ISTEXT(BG350)),0,(IF(BA350=0,BG350,BA350)*BI350))</f>
        <v>0</v>
      </c>
      <c r="BK350" s="794" t="str">
        <f t="shared" si="152"/>
        <v/>
      </c>
      <c r="BL350" s="227" t="s">
        <v>21</v>
      </c>
      <c r="BM350" s="773">
        <f t="shared" si="141"/>
        <v>0</v>
      </c>
      <c r="BN350" s="774">
        <f t="shared" si="142"/>
        <v>0</v>
      </c>
      <c r="BO350"/>
      <c r="BX350"/>
      <c r="BY350"/>
      <c r="BZ350"/>
      <c r="CA350"/>
      <c r="CB350"/>
      <c r="CC350"/>
      <c r="CD350" s="781" t="str">
        <f t="shared" si="135"/>
        <v>►</v>
      </c>
      <c r="CE350" s="633"/>
      <c r="CF350" s="633"/>
      <c r="CG350" s="633"/>
      <c r="CH350" s="633"/>
      <c r="CI350" s="633"/>
      <c r="CJ350" s="227"/>
      <c r="CK350"/>
      <c r="CL350"/>
      <c r="CM350"/>
      <c r="CN350"/>
      <c r="CO350"/>
      <c r="CP350"/>
      <c r="CQ350"/>
      <c r="CR350" s="227"/>
      <c r="CS350"/>
      <c r="CT350"/>
      <c r="CU350"/>
      <c r="CV350"/>
      <c r="CW350"/>
      <c r="CX350"/>
      <c r="CY350"/>
      <c r="CZ350" s="227"/>
      <c r="DA350"/>
      <c r="DB350"/>
      <c r="DC350"/>
      <c r="DD350"/>
      <c r="DE350"/>
      <c r="DF350"/>
      <c r="DG350"/>
      <c r="DH350" s="227"/>
      <c r="DI350" s="3">
        <v>1</v>
      </c>
    </row>
    <row r="351" spans="2:113" s="627" customFormat="1" ht="21" customHeight="1">
      <c r="B351" s="2265" t="str" cm="1">
        <f t="array" ref="B351">SUMPRODUCT(--(D351:J351&lt;&gt;""), LEN(TRIM(SUBSTITUTE(D351:J351, CHAR(160), "")))) &amp; " Car."</f>
        <v>0 Car.</v>
      </c>
      <c r="C351" s="1376" t="str">
        <f>IF(ISBLANK(D351),"",LARGE(C13:C350,1)+1)</f>
        <v/>
      </c>
      <c r="D351" s="1833"/>
      <c r="E351" s="1810"/>
      <c r="F351" s="1810"/>
      <c r="G351" s="1810"/>
      <c r="H351" s="1810"/>
      <c r="I351" s="1810"/>
      <c r="J351" s="1810"/>
      <c r="K351" s="1810"/>
      <c r="L351" s="1811"/>
      <c r="M351"/>
      <c r="N351" s="103" t="str">
        <f t="shared" si="137"/>
        <v>►</v>
      </c>
      <c r="O351" s="1616"/>
      <c r="P351"/>
      <c r="Q351" s="25" t="s">
        <v>15</v>
      </c>
      <c r="R351" s="31"/>
      <c r="S351" s="32"/>
      <c r="T351" s="31"/>
      <c r="U351" s="33"/>
      <c r="V351" s="1967"/>
      <c r="W351" s="1805"/>
      <c r="X351" s="91"/>
      <c r="Y351" s="1806"/>
      <c r="Z351" s="1968"/>
      <c r="AA351" s="2244"/>
      <c r="AB351" s="1969"/>
      <c r="AC351" s="1365"/>
      <c r="AD351" s="95"/>
      <c r="AE351" s="1326"/>
      <c r="AF351" s="97"/>
      <c r="AG351" s="1737"/>
      <c r="AH351" s="1970"/>
      <c r="AI351" s="99"/>
      <c r="AJ351" s="1809"/>
      <c r="AK351" s="6120" t="str">
        <f t="shared" si="138"/>
        <v>►</v>
      </c>
      <c r="AL351" s="781" t="str">
        <f t="shared" si="140"/>
        <v>►</v>
      </c>
      <c r="AM351" s="5499" t="str">
        <f t="shared" si="143"/>
        <v/>
      </c>
      <c r="AN351" s="783" t="str">
        <f t="shared" si="144"/>
        <v/>
      </c>
      <c r="AO351" s="782" t="str">
        <f t="shared" si="145"/>
        <v/>
      </c>
      <c r="AP351" s="783" t="str">
        <f t="shared" si="146"/>
        <v/>
      </c>
      <c r="AQ351" s="2083" t="b">
        <f>AND(Q351="A",COUNTIF(BP16:BR63,TRIM(Z351))&gt;0)</f>
        <v>0</v>
      </c>
      <c r="AR351" s="797" t="str">
        <f>IF(AL351&lt;&gt;"A","",IFERROR(IFERROR(_xlfn.XLOOKUP(TRIM(SUBSTITUTE(Z351,CHAR(160)," ")),BP16:BP63,BS16:BS63),IFERROR(_xlfn.XLOOKUP(TRIM(SUBSTITUTE(Z351,CHAR(160)," ")),BQ16:BQ63,BS16:BS63),_xlfn.XLOOKUP(TRIM(SUBSTITUTE(Z351,CHAR(160)," ")),BR16:BR63,BS16:BS63)))*Y351*IF(ISBLANK(V351),1,V351),0))</f>
        <v/>
      </c>
      <c r="AS351" s="784" t="str">
        <f t="shared" si="136"/>
        <v/>
      </c>
      <c r="AT351" s="1315" t="str">
        <f t="shared" si="147"/>
        <v/>
      </c>
      <c r="AU351" s="785">
        <f t="shared" si="148"/>
        <v>0</v>
      </c>
      <c r="AV351" s="785">
        <f t="shared" si="149"/>
        <v>0</v>
      </c>
      <c r="AW351" s="786">
        <f>IF(AK351="A",AY10,0)</f>
        <v>0</v>
      </c>
      <c r="AX351" s="5495" t="str">
        <f>IF(IFERROR(SEARCH("Adresse PC",TRIM(W351)),0)&gt;0,"▼ receta siguiente",IF(AK351="A",IF(AZ10&lt;&gt;"",AZ10&amp;" - ou.or.o ❾ + or - &gt;",""),""))</f>
        <v/>
      </c>
      <c r="AY351" s="810"/>
      <c r="AZ351" s="810"/>
      <c r="BA351" s="788" t="str">
        <f t="shared" si="139"/>
        <v/>
      </c>
      <c r="BB351" s="789" t="str">
        <f>IF(AK351="A",IF(AQ351,IF(AND(AW351&lt;&gt;"",N(AW351)&gt;0),IFERROR(IFERROR(_xlfn.XLOOKUP(AP351,BP10:BP57,BT10:BT57),IFERROR(_xlfn.XLOOKUP(AP351,BQ10:BQ57,BT10:BT57),_xlfn.XLOOKUP(AP351,BR10:BR57,BT10:BT57,""))),""),""),""),"")</f>
        <v/>
      </c>
      <c r="BC351" s="811" cm="1">
        <f t="array" ref="BC351">IF(NOT(AQ351),0,IF(OR(BA351="",N(BA351)&lt;=0.000000001),"",IF(OR(AU351="",N(AU351)&lt;=0.000000001),0,IF(ISNUMBER(BA351),IFERROR(_xlfn.LET(_xlpm.ai_test,TRIM(AP351),_xlpm.r,IFERROR(_xlfn.XLOOKUP(_xlpm.ai_test,BP16:BP63,ROW(BP16:BP63),0,1),IFERROR(_xlfn.XLOOKUP(_xlpm.ai_test,BQ16:BQ63,ROW(BQ16:BQ63),0,1),_xlfn.XLOOKUP(_xlpm.ai_test,BR16:BR63,ROW(BR16:BR63),0,1))),_xlpm.p,_xlpm.r-MIN(ROW(BP16:BP63))+1,_xlpm.f,INDEX(BS16:BS63,_xlpm.p),_xlpm.u,INDEX(BT16:BT63,_xlpm.p),_xlpm.s,INDEX(BV16:BV63,_xlpm.p),_xlpm.q,N(BA351)/_xlpm.f,IF(_xlpm.q&gt;=_xlpm.s,ROUND(_xlpm.q,1)&amp;" "&amp;_xlpm.ai_test&amp;" = "&amp;ROUND(_xlpm.q*_xlpm.f,1)&amp;" "&amp;_xlpm.u,ROUND(_xlpm.q,1)&amp;" "&amp;_xlpm.ai_test)),""),""))))</f>
        <v>0</v>
      </c>
      <c r="BD351" s="801"/>
      <c r="BE351" s="788" t="str">
        <f t="shared" si="150"/>
        <v/>
      </c>
      <c r="BF351" s="789" t="str">
        <f t="shared" si="151"/>
        <v/>
      </c>
      <c r="BG351" s="790">
        <f t="shared" si="133"/>
        <v>0</v>
      </c>
      <c r="BH351" s="791" t="str">
        <f t="shared" si="134"/>
        <v/>
      </c>
      <c r="BI351" s="792"/>
      <c r="BJ351" s="793">
        <f t="shared" si="153"/>
        <v>0</v>
      </c>
      <c r="BK351" s="794" t="str">
        <f t="shared" si="152"/>
        <v/>
      </c>
      <c r="BL351" s="227" t="s">
        <v>21</v>
      </c>
      <c r="BM351" s="773">
        <f t="shared" si="141"/>
        <v>0</v>
      </c>
      <c r="BN351" s="774">
        <f t="shared" si="142"/>
        <v>0</v>
      </c>
      <c r="BO351"/>
      <c r="BX351"/>
      <c r="BY351"/>
      <c r="BZ351"/>
      <c r="CA351"/>
      <c r="CB351"/>
      <c r="CC351"/>
      <c r="CD351" s="781" t="str">
        <f t="shared" si="135"/>
        <v>►</v>
      </c>
      <c r="CE351" s="633"/>
      <c r="CF351" s="633"/>
      <c r="CG351" s="633"/>
      <c r="CH351" s="633"/>
      <c r="CI351" s="633"/>
      <c r="CJ351" s="227"/>
      <c r="CK351"/>
      <c r="CL351"/>
      <c r="CM351"/>
      <c r="CN351"/>
      <c r="CO351"/>
      <c r="CP351"/>
      <c r="CQ351"/>
      <c r="CR351" s="227"/>
      <c r="CS351"/>
      <c r="CT351"/>
      <c r="CU351"/>
      <c r="CV351"/>
      <c r="CW351"/>
      <c r="CX351"/>
      <c r="CY351"/>
      <c r="CZ351" s="227"/>
      <c r="DA351"/>
      <c r="DB351"/>
      <c r="DC351"/>
      <c r="DD351"/>
      <c r="DE351"/>
      <c r="DF351"/>
      <c r="DG351"/>
      <c r="DH351" s="227"/>
      <c r="DI351" s="3">
        <v>1</v>
      </c>
    </row>
    <row r="352" spans="2:113" s="627" customFormat="1" ht="21" customHeight="1">
      <c r="B352" s="2265" t="str" cm="1">
        <f t="array" ref="B352">SUMPRODUCT(--(D352:J352&lt;&gt;""), LEN(TRIM(SUBSTITUTE(D352:J352, CHAR(160), "")))) &amp; " Car."</f>
        <v>0 Car.</v>
      </c>
      <c r="C352" s="1376" t="str">
        <f>IF(ISBLANK(D352),"",LARGE(C13:C351,1)+1)</f>
        <v/>
      </c>
      <c r="D352" s="1833"/>
      <c r="E352" s="1810"/>
      <c r="F352" s="1810"/>
      <c r="G352" s="1810"/>
      <c r="H352" s="1810"/>
      <c r="I352" s="1810"/>
      <c r="J352" s="1810"/>
      <c r="K352" s="1810"/>
      <c r="L352" s="1811"/>
      <c r="M352"/>
      <c r="N352" s="103" t="str">
        <f t="shared" si="137"/>
        <v>►</v>
      </c>
      <c r="O352" s="1616"/>
      <c r="P352"/>
      <c r="Q352" s="25" t="s">
        <v>15</v>
      </c>
      <c r="R352" s="31"/>
      <c r="S352" s="32"/>
      <c r="T352" s="31"/>
      <c r="U352" s="33"/>
      <c r="V352" s="1967"/>
      <c r="W352" s="1805"/>
      <c r="X352" s="91"/>
      <c r="Y352" s="1806"/>
      <c r="Z352" s="1968"/>
      <c r="AA352" s="2244"/>
      <c r="AB352" s="1969"/>
      <c r="AC352" s="1365"/>
      <c r="AD352" s="95"/>
      <c r="AE352" s="1326"/>
      <c r="AF352" s="97"/>
      <c r="AG352" s="1737"/>
      <c r="AH352" s="1970"/>
      <c r="AI352" s="99"/>
      <c r="AJ352" s="1809"/>
      <c r="AK352" s="6120" t="str">
        <f t="shared" si="138"/>
        <v>►</v>
      </c>
      <c r="AL352" s="781" t="str">
        <f t="shared" si="140"/>
        <v>►</v>
      </c>
      <c r="AM352" s="5498" t="str">
        <f t="shared" si="143"/>
        <v/>
      </c>
      <c r="AN352" s="783" t="str">
        <f t="shared" si="144"/>
        <v/>
      </c>
      <c r="AO352" s="782" t="str">
        <f t="shared" si="145"/>
        <v/>
      </c>
      <c r="AP352" s="783" t="str">
        <f t="shared" si="146"/>
        <v/>
      </c>
      <c r="AQ352" s="2083" t="b">
        <f>AND(Q352="A",COUNTIF(BP16:BR63,TRIM(Z352))&gt;0)</f>
        <v>0</v>
      </c>
      <c r="AR352" s="797" t="str">
        <f>IF(AL352&lt;&gt;"A","",IFERROR(IFERROR(_xlfn.XLOOKUP(TRIM(SUBSTITUTE(Z352,CHAR(160)," ")),BP16:BP63,BS16:BS63),IFERROR(_xlfn.XLOOKUP(TRIM(SUBSTITUTE(Z352,CHAR(160)," ")),BQ16:BQ63,BS16:BS63),_xlfn.XLOOKUP(TRIM(SUBSTITUTE(Z352,CHAR(160)," ")),BR16:BR63,BS16:BS63)))*Y352*IF(ISBLANK(V352),1,V352),0))</f>
        <v/>
      </c>
      <c r="AS352" s="784" t="str">
        <f t="shared" si="136"/>
        <v/>
      </c>
      <c r="AT352" s="1315" t="str">
        <f t="shared" si="147"/>
        <v/>
      </c>
      <c r="AU352" s="785">
        <f t="shared" si="148"/>
        <v>0</v>
      </c>
      <c r="AV352" s="785">
        <f t="shared" si="149"/>
        <v>0</v>
      </c>
      <c r="AW352" s="798">
        <f>IF(AK352="A",AY10,0)</f>
        <v>0</v>
      </c>
      <c r="AX352" s="5496" t="str">
        <f>IF(IFERROR(SEARCH("Adresse PC",TRIM(W352)),0)&gt;0,"▼ receta siguiente",IF(AK352="A",IF(AZ10&lt;&gt;"",AZ10&amp;" - ou.or.o ❾ + or - &gt;",""),""))</f>
        <v/>
      </c>
      <c r="AY352" s="810"/>
      <c r="AZ352" s="810"/>
      <c r="BA352" s="799" t="str">
        <f t="shared" si="139"/>
        <v/>
      </c>
      <c r="BB352" s="800" t="str">
        <f>IF(AK352="A",IF(AQ352,IF(AND(AW352&lt;&gt;"",N(AW352)&gt;0),IFERROR(IFERROR(_xlfn.XLOOKUP(AP352,BP10:BP57,BT10:BT57),IFERROR(_xlfn.XLOOKUP(AP352,BQ10:BQ57,BT10:BT57),_xlfn.XLOOKUP(AP352,BR10:BR57,BT10:BT57,""))),""),""),""),"")</f>
        <v/>
      </c>
      <c r="BC352" s="813" cm="1">
        <f t="array" ref="BC352">IF(NOT(AQ352),0,IF(OR(BA352="",N(BA352)&lt;=0.000000001),"",IF(OR(AU352="",N(AU352)&lt;=0.000000001),0,IF(ISNUMBER(BA352),IFERROR(_xlfn.LET(_xlpm.ai_test,TRIM(AP352),_xlpm.r,IFERROR(_xlfn.XLOOKUP(_xlpm.ai_test,BP16:BP63,ROW(BP16:BP63),0,1),IFERROR(_xlfn.XLOOKUP(_xlpm.ai_test,BQ16:BQ63,ROW(BQ16:BQ63),0,1),_xlfn.XLOOKUP(_xlpm.ai_test,BR16:BR63,ROW(BR16:BR63),0,1))),_xlpm.p,_xlpm.r-MIN(ROW(BP16:BP63))+1,_xlpm.f,INDEX(BS16:BS63,_xlpm.p),_xlpm.u,INDEX(BT16:BT63,_xlpm.p),_xlpm.s,INDEX(BV16:BV63,_xlpm.p),_xlpm.q,N(BA352)/_xlpm.f,IF(_xlpm.q&gt;=_xlpm.s,ROUND(_xlpm.q,1)&amp;" "&amp;_xlpm.ai_test&amp;" = "&amp;ROUND(_xlpm.q*_xlpm.f,1)&amp;" "&amp;_xlpm.u,ROUND(_xlpm.q,1)&amp;" "&amp;_xlpm.ai_test)),""),""))))</f>
        <v>0</v>
      </c>
      <c r="BD352" s="801"/>
      <c r="BE352" s="799" t="str">
        <f t="shared" si="150"/>
        <v/>
      </c>
      <c r="BF352" s="800" t="str">
        <f t="shared" si="151"/>
        <v/>
      </c>
      <c r="BG352" s="802">
        <f t="shared" ref="BG352:BG415" si="154">IF(AND(ISNUMBER(BM352),ABS(BM352)&gt;0.000000001),BM352,0)</f>
        <v>0</v>
      </c>
      <c r="BH352" s="803" t="str">
        <f t="shared" ref="BH352:BH415" si="155">IF(AND(AQ352, N(BG352)&gt;0.000000001), W352, "")</f>
        <v/>
      </c>
      <c r="BI352" s="792"/>
      <c r="BJ352" s="804">
        <f t="shared" si="153"/>
        <v>0</v>
      </c>
      <c r="BK352" s="794" t="str">
        <f t="shared" si="152"/>
        <v/>
      </c>
      <c r="BL352" s="227" t="s">
        <v>21</v>
      </c>
      <c r="BM352" s="773">
        <f t="shared" si="141"/>
        <v>0</v>
      </c>
      <c r="BN352" s="774">
        <f t="shared" si="142"/>
        <v>0</v>
      </c>
      <c r="BO352"/>
      <c r="BX352"/>
      <c r="BY352"/>
      <c r="BZ352"/>
      <c r="CA352"/>
      <c r="CB352"/>
      <c r="CC352"/>
      <c r="CD352" s="781" t="str">
        <f t="shared" si="135"/>
        <v>►</v>
      </c>
      <c r="CE352" s="633"/>
      <c r="CF352" s="633"/>
      <c r="CG352" s="633"/>
      <c r="CH352" s="633"/>
      <c r="CI352" s="633"/>
      <c r="CJ352" s="227"/>
      <c r="CK352"/>
      <c r="CL352"/>
      <c r="CM352"/>
      <c r="CN352"/>
      <c r="CO352"/>
      <c r="CP352"/>
      <c r="CQ352"/>
      <c r="CR352" s="227"/>
      <c r="CS352"/>
      <c r="CT352"/>
      <c r="CU352"/>
      <c r="CV352"/>
      <c r="CW352"/>
      <c r="CX352"/>
      <c r="CY352"/>
      <c r="CZ352" s="227"/>
      <c r="DA352"/>
      <c r="DB352"/>
      <c r="DC352"/>
      <c r="DD352"/>
      <c r="DE352"/>
      <c r="DF352"/>
      <c r="DG352"/>
      <c r="DH352" s="227"/>
      <c r="DI352" s="3">
        <v>1</v>
      </c>
    </row>
    <row r="353" spans="2:113" s="627" customFormat="1" ht="21" customHeight="1">
      <c r="B353" s="2265" t="str" cm="1">
        <f t="array" ref="B353">SUMPRODUCT(--(D353:J353&lt;&gt;""), LEN(TRIM(SUBSTITUTE(D353:J353, CHAR(160), "")))) &amp; " Car."</f>
        <v>0 Car.</v>
      </c>
      <c r="C353" s="1376" t="str">
        <f>IF(ISBLANK(D353),"",LARGE(C13:C352,1)+1)</f>
        <v/>
      </c>
      <c r="D353" s="1833"/>
      <c r="E353" s="1810"/>
      <c r="F353" s="1810"/>
      <c r="G353" s="1810"/>
      <c r="H353" s="1810"/>
      <c r="I353" s="1810"/>
      <c r="J353" s="1810"/>
      <c r="K353" s="1810"/>
      <c r="L353" s="1811"/>
      <c r="M353"/>
      <c r="N353" s="103" t="str">
        <f t="shared" si="137"/>
        <v>►</v>
      </c>
      <c r="O353" s="1616"/>
      <c r="P353"/>
      <c r="Q353" s="25" t="s">
        <v>15</v>
      </c>
      <c r="R353" s="31"/>
      <c r="S353" s="32"/>
      <c r="T353" s="31"/>
      <c r="U353" s="33"/>
      <c r="V353" s="1967"/>
      <c r="W353" s="1805"/>
      <c r="X353" s="91"/>
      <c r="Y353" s="1806"/>
      <c r="Z353" s="1968"/>
      <c r="AA353" s="2244"/>
      <c r="AB353" s="1969"/>
      <c r="AC353" s="1365"/>
      <c r="AD353" s="95"/>
      <c r="AE353" s="1326"/>
      <c r="AF353" s="97"/>
      <c r="AG353" s="1737"/>
      <c r="AH353" s="1970"/>
      <c r="AI353" s="99"/>
      <c r="AJ353" s="1809"/>
      <c r="AK353" s="6120" t="str">
        <f t="shared" si="138"/>
        <v>►</v>
      </c>
      <c r="AL353" s="781" t="str">
        <f t="shared" si="140"/>
        <v>►</v>
      </c>
      <c r="AM353" s="5499" t="str">
        <f t="shared" si="143"/>
        <v/>
      </c>
      <c r="AN353" s="783" t="str">
        <f t="shared" si="144"/>
        <v/>
      </c>
      <c r="AO353" s="782" t="str">
        <f t="shared" si="145"/>
        <v/>
      </c>
      <c r="AP353" s="783" t="str">
        <f t="shared" si="146"/>
        <v/>
      </c>
      <c r="AQ353" s="2083" t="b">
        <f>AND(Q353="A",COUNTIF(BP16:BR63,TRIM(Z353))&gt;0)</f>
        <v>0</v>
      </c>
      <c r="AR353" s="797" t="str">
        <f>IF(AL353&lt;&gt;"A","",IFERROR(IFERROR(_xlfn.XLOOKUP(TRIM(SUBSTITUTE(Z353,CHAR(160)," ")),BP16:BP63,BS16:BS63),IFERROR(_xlfn.XLOOKUP(TRIM(SUBSTITUTE(Z353,CHAR(160)," ")),BQ16:BQ63,BS16:BS63),_xlfn.XLOOKUP(TRIM(SUBSTITUTE(Z353,CHAR(160)," ")),BR16:BR63,BS16:BS63)))*Y353*IF(ISBLANK(V353),1,V353),0))</f>
        <v/>
      </c>
      <c r="AS353" s="784" t="str">
        <f t="shared" si="136"/>
        <v/>
      </c>
      <c r="AT353" s="1315" t="str">
        <f t="shared" si="147"/>
        <v/>
      </c>
      <c r="AU353" s="785">
        <f t="shared" si="148"/>
        <v>0</v>
      </c>
      <c r="AV353" s="785">
        <f t="shared" si="149"/>
        <v>0</v>
      </c>
      <c r="AW353" s="786">
        <f>IF(AK353="A",AY10,0)</f>
        <v>0</v>
      </c>
      <c r="AX353" s="5495" t="str">
        <f>IF(IFERROR(SEARCH("Adresse PC",TRIM(W353)),0)&gt;0,"▼ receta siguiente",IF(AK353="A",IF(AZ10&lt;&gt;"",AZ10&amp;" - ou.or.o ❾ + or - &gt;",""),""))</f>
        <v/>
      </c>
      <c r="AY353" s="810"/>
      <c r="AZ353" s="810"/>
      <c r="BA353" s="788" t="str">
        <f t="shared" si="139"/>
        <v/>
      </c>
      <c r="BB353" s="789" t="str">
        <f>IF(AK353="A",IF(AQ353,IF(AND(AW353&lt;&gt;"",N(AW353)&gt;0),IFERROR(IFERROR(_xlfn.XLOOKUP(AP353,BP10:BP57,BT10:BT57),IFERROR(_xlfn.XLOOKUP(AP353,BQ10:BQ57,BT10:BT57),_xlfn.XLOOKUP(AP353,BR10:BR57,BT10:BT57,""))),""),""),""),"")</f>
        <v/>
      </c>
      <c r="BC353" s="811" cm="1">
        <f t="array" ref="BC353">IF(NOT(AQ353),0,IF(OR(BA353="",N(BA353)&lt;=0.000000001),"",IF(OR(AU353="",N(AU353)&lt;=0.000000001),0,IF(ISNUMBER(BA353),IFERROR(_xlfn.LET(_xlpm.ai_test,TRIM(AP353),_xlpm.r,IFERROR(_xlfn.XLOOKUP(_xlpm.ai_test,BP16:BP63,ROW(BP16:BP63),0,1),IFERROR(_xlfn.XLOOKUP(_xlpm.ai_test,BQ16:BQ63,ROW(BQ16:BQ63),0,1),_xlfn.XLOOKUP(_xlpm.ai_test,BR16:BR63,ROW(BR16:BR63),0,1))),_xlpm.p,_xlpm.r-MIN(ROW(BP16:BP63))+1,_xlpm.f,INDEX(BS16:BS63,_xlpm.p),_xlpm.u,INDEX(BT16:BT63,_xlpm.p),_xlpm.s,INDEX(BV16:BV63,_xlpm.p),_xlpm.q,N(BA353)/_xlpm.f,IF(_xlpm.q&gt;=_xlpm.s,ROUND(_xlpm.q,1)&amp;" "&amp;_xlpm.ai_test&amp;" = "&amp;ROUND(_xlpm.q*_xlpm.f,1)&amp;" "&amp;_xlpm.u,ROUND(_xlpm.q,1)&amp;" "&amp;_xlpm.ai_test)),""),""))))</f>
        <v>0</v>
      </c>
      <c r="BD353" s="801"/>
      <c r="BE353" s="788" t="str">
        <f t="shared" si="150"/>
        <v/>
      </c>
      <c r="BF353" s="789" t="str">
        <f t="shared" si="151"/>
        <v/>
      </c>
      <c r="BG353" s="790">
        <f t="shared" si="154"/>
        <v>0</v>
      </c>
      <c r="BH353" s="791" t="str">
        <f t="shared" si="155"/>
        <v/>
      </c>
      <c r="BI353" s="792"/>
      <c r="BJ353" s="793">
        <f t="shared" si="153"/>
        <v>0</v>
      </c>
      <c r="BK353" s="794" t="str">
        <f t="shared" si="152"/>
        <v/>
      </c>
      <c r="BL353" s="227" t="s">
        <v>21</v>
      </c>
      <c r="BM353" s="773">
        <f t="shared" si="141"/>
        <v>0</v>
      </c>
      <c r="BN353" s="774">
        <f t="shared" si="142"/>
        <v>0</v>
      </c>
      <c r="BO353"/>
      <c r="BX353"/>
      <c r="BY353"/>
      <c r="BZ353"/>
      <c r="CA353"/>
      <c r="CB353"/>
      <c r="CC353"/>
      <c r="CD353" s="781" t="str">
        <f t="shared" si="135"/>
        <v>►</v>
      </c>
      <c r="CE353" s="633"/>
      <c r="CF353" s="633"/>
      <c r="CG353" s="633"/>
      <c r="CH353" s="633"/>
      <c r="CI353" s="633"/>
      <c r="CJ353" s="227"/>
      <c r="CK353"/>
      <c r="CL353"/>
      <c r="CM353"/>
      <c r="CN353"/>
      <c r="CO353"/>
      <c r="CP353"/>
      <c r="CQ353"/>
      <c r="CR353" s="227"/>
      <c r="CS353"/>
      <c r="CT353"/>
      <c r="CU353"/>
      <c r="CV353"/>
      <c r="CW353"/>
      <c r="CX353"/>
      <c r="CY353"/>
      <c r="CZ353" s="227"/>
      <c r="DA353"/>
      <c r="DB353"/>
      <c r="DC353"/>
      <c r="DD353"/>
      <c r="DE353"/>
      <c r="DF353"/>
      <c r="DG353"/>
      <c r="DH353" s="227"/>
      <c r="DI353" s="3">
        <v>1</v>
      </c>
    </row>
    <row r="354" spans="2:113" s="627" customFormat="1" ht="21" customHeight="1">
      <c r="B354" s="2265" t="str" cm="1">
        <f t="array" ref="B354">SUMPRODUCT(--(D354:J354&lt;&gt;""), LEN(TRIM(SUBSTITUTE(D354:J354, CHAR(160), "")))) &amp; " Car."</f>
        <v>0 Car.</v>
      </c>
      <c r="C354" s="1376" t="str">
        <f>IF(ISBLANK(D354),"",LARGE(C13:C353,1)+1)</f>
        <v/>
      </c>
      <c r="D354" s="1833"/>
      <c r="E354" s="1810"/>
      <c r="F354" s="1810"/>
      <c r="G354" s="1810"/>
      <c r="H354" s="1810"/>
      <c r="I354" s="1810"/>
      <c r="J354" s="1810"/>
      <c r="K354" s="1810"/>
      <c r="L354" s="1811"/>
      <c r="M354"/>
      <c r="N354" s="103" t="str">
        <f t="shared" si="137"/>
        <v>►</v>
      </c>
      <c r="O354" s="1616"/>
      <c r="P354"/>
      <c r="Q354" s="25" t="s">
        <v>15</v>
      </c>
      <c r="R354" s="31"/>
      <c r="S354" s="32"/>
      <c r="T354" s="31"/>
      <c r="U354" s="33"/>
      <c r="V354" s="1967"/>
      <c r="W354" s="1805"/>
      <c r="X354" s="91"/>
      <c r="Y354" s="1806"/>
      <c r="Z354" s="1968"/>
      <c r="AA354" s="2244"/>
      <c r="AB354" s="1969"/>
      <c r="AC354" s="1365"/>
      <c r="AD354" s="95"/>
      <c r="AE354" s="1326"/>
      <c r="AF354" s="97"/>
      <c r="AG354" s="1737"/>
      <c r="AH354" s="1970"/>
      <c r="AI354" s="99"/>
      <c r="AJ354" s="1809"/>
      <c r="AK354" s="6120" t="str">
        <f t="shared" si="138"/>
        <v>►</v>
      </c>
      <c r="AL354" s="781" t="str">
        <f t="shared" si="140"/>
        <v>►</v>
      </c>
      <c r="AM354" s="5498" t="str">
        <f t="shared" si="143"/>
        <v/>
      </c>
      <c r="AN354" s="783" t="str">
        <f t="shared" si="144"/>
        <v/>
      </c>
      <c r="AO354" s="782" t="str">
        <f t="shared" si="145"/>
        <v/>
      </c>
      <c r="AP354" s="783" t="str">
        <f t="shared" si="146"/>
        <v/>
      </c>
      <c r="AQ354" s="2083" t="b">
        <f>AND(Q354="A",COUNTIF(BP16:BR63,TRIM(Z354))&gt;0)</f>
        <v>0</v>
      </c>
      <c r="AR354" s="797" t="str">
        <f>IF(AL354&lt;&gt;"A","",IFERROR(IFERROR(_xlfn.XLOOKUP(TRIM(SUBSTITUTE(Z354,CHAR(160)," ")),BP16:BP63,BS16:BS63),IFERROR(_xlfn.XLOOKUP(TRIM(SUBSTITUTE(Z354,CHAR(160)," ")),BQ16:BQ63,BS16:BS63),_xlfn.XLOOKUP(TRIM(SUBSTITUTE(Z354,CHAR(160)," ")),BR16:BR63,BS16:BS63)))*Y354*IF(ISBLANK(V354),1,V354),0))</f>
        <v/>
      </c>
      <c r="AS354" s="784" t="str">
        <f t="shared" si="136"/>
        <v/>
      </c>
      <c r="AT354" s="1315" t="str">
        <f t="shared" si="147"/>
        <v/>
      </c>
      <c r="AU354" s="785">
        <f t="shared" si="148"/>
        <v>0</v>
      </c>
      <c r="AV354" s="785">
        <f t="shared" si="149"/>
        <v>0</v>
      </c>
      <c r="AW354" s="798">
        <f>IF(AK354="A",AY10,0)</f>
        <v>0</v>
      </c>
      <c r="AX354" s="5496" t="str">
        <f>IF(IFERROR(SEARCH("Adresse PC",TRIM(W354)),0)&gt;0,"▼ receta siguiente",IF(AK354="A",IF(AZ10&lt;&gt;"",AZ10&amp;" - ou.or.o ❾ + or - &gt;",""),""))</f>
        <v/>
      </c>
      <c r="AY354" s="810"/>
      <c r="AZ354" s="810"/>
      <c r="BA354" s="799" t="str">
        <f t="shared" si="139"/>
        <v/>
      </c>
      <c r="BB354" s="800" t="str">
        <f>IF(AK354="A",IF(AQ354,IF(AND(AW354&lt;&gt;"",N(AW354)&gt;0),IFERROR(IFERROR(_xlfn.XLOOKUP(AP354,BP10:BP57,BT10:BT57),IFERROR(_xlfn.XLOOKUP(AP354,BQ10:BQ57,BT10:BT57),_xlfn.XLOOKUP(AP354,BR10:BR57,BT10:BT57,""))),""),""),""),"")</f>
        <v/>
      </c>
      <c r="BC354" s="813" cm="1">
        <f t="array" ref="BC354">IF(NOT(AQ354),0,IF(OR(BA354="",N(BA354)&lt;=0.000000001),"",IF(OR(AU354="",N(AU354)&lt;=0.000000001),0,IF(ISNUMBER(BA354),IFERROR(_xlfn.LET(_xlpm.ai_test,TRIM(AP354),_xlpm.r,IFERROR(_xlfn.XLOOKUP(_xlpm.ai_test,BP16:BP63,ROW(BP16:BP63),0,1),IFERROR(_xlfn.XLOOKUP(_xlpm.ai_test,BQ16:BQ63,ROW(BQ16:BQ63),0,1),_xlfn.XLOOKUP(_xlpm.ai_test,BR16:BR63,ROW(BR16:BR63),0,1))),_xlpm.p,_xlpm.r-MIN(ROW(BP16:BP63))+1,_xlpm.f,INDEX(BS16:BS63,_xlpm.p),_xlpm.u,INDEX(BT16:BT63,_xlpm.p),_xlpm.s,INDEX(BV16:BV63,_xlpm.p),_xlpm.q,N(BA354)/_xlpm.f,IF(_xlpm.q&gt;=_xlpm.s,ROUND(_xlpm.q,1)&amp;" "&amp;_xlpm.ai_test&amp;" = "&amp;ROUND(_xlpm.q*_xlpm.f,1)&amp;" "&amp;_xlpm.u,ROUND(_xlpm.q,1)&amp;" "&amp;_xlpm.ai_test)),""),""))))</f>
        <v>0</v>
      </c>
      <c r="BD354" s="801"/>
      <c r="BE354" s="799" t="str">
        <f t="shared" si="150"/>
        <v/>
      </c>
      <c r="BF354" s="800" t="str">
        <f t="shared" si="151"/>
        <v/>
      </c>
      <c r="BG354" s="802">
        <f t="shared" si="154"/>
        <v>0</v>
      </c>
      <c r="BH354" s="803" t="str">
        <f t="shared" si="155"/>
        <v/>
      </c>
      <c r="BI354" s="792"/>
      <c r="BJ354" s="804">
        <f t="shared" si="153"/>
        <v>0</v>
      </c>
      <c r="BK354" s="794" t="str">
        <f t="shared" si="152"/>
        <v/>
      </c>
      <c r="BL354" s="227" t="s">
        <v>21</v>
      </c>
      <c r="BM354" s="773">
        <f t="shared" si="141"/>
        <v>0</v>
      </c>
      <c r="BN354" s="774">
        <f t="shared" si="142"/>
        <v>0</v>
      </c>
      <c r="BO354"/>
      <c r="BX354"/>
      <c r="BY354"/>
      <c r="BZ354"/>
      <c r="CA354"/>
      <c r="CB354"/>
      <c r="CC354"/>
      <c r="CD354" s="781" t="str">
        <f t="shared" si="135"/>
        <v>►</v>
      </c>
      <c r="CE354" s="633"/>
      <c r="CF354" s="633"/>
      <c r="CG354" s="633"/>
      <c r="CH354" s="633"/>
      <c r="CI354" s="633"/>
      <c r="CJ354" s="227"/>
      <c r="CK354"/>
      <c r="CL354"/>
      <c r="CM354"/>
      <c r="CN354"/>
      <c r="CO354"/>
      <c r="CP354"/>
      <c r="CQ354"/>
      <c r="CR354" s="227"/>
      <c r="CS354"/>
      <c r="CT354"/>
      <c r="CU354"/>
      <c r="CV354"/>
      <c r="CW354"/>
      <c r="CX354"/>
      <c r="CY354"/>
      <c r="CZ354" s="227"/>
      <c r="DA354"/>
      <c r="DB354"/>
      <c r="DC354"/>
      <c r="DD354"/>
      <c r="DE354"/>
      <c r="DF354"/>
      <c r="DG354"/>
      <c r="DH354" s="227"/>
      <c r="DI354" s="3">
        <v>1</v>
      </c>
    </row>
    <row r="355" spans="2:113" s="627" customFormat="1" ht="21" customHeight="1">
      <c r="B355" s="2265" t="str" cm="1">
        <f t="array" ref="B355">SUMPRODUCT(--(D355:J355&lt;&gt;""), LEN(TRIM(SUBSTITUTE(D355:J355, CHAR(160), "")))) &amp; " Car."</f>
        <v>0 Car.</v>
      </c>
      <c r="C355" s="1376" t="str">
        <f>IF(ISBLANK(D355),"",LARGE(C13:C354,1)+1)</f>
        <v/>
      </c>
      <c r="D355" s="1833"/>
      <c r="E355" s="1810"/>
      <c r="F355" s="1810"/>
      <c r="G355" s="1810"/>
      <c r="H355" s="1810"/>
      <c r="I355" s="1810"/>
      <c r="J355" s="1810"/>
      <c r="K355" s="1810"/>
      <c r="L355" s="1811"/>
      <c r="M355"/>
      <c r="N355" s="103" t="str">
        <f t="shared" si="137"/>
        <v>►</v>
      </c>
      <c r="O355" s="1616"/>
      <c r="P355"/>
      <c r="Q355" s="25" t="s">
        <v>15</v>
      </c>
      <c r="R355" s="31"/>
      <c r="S355" s="32"/>
      <c r="T355" s="31"/>
      <c r="U355" s="33"/>
      <c r="V355" s="1967"/>
      <c r="W355" s="1805"/>
      <c r="X355" s="91"/>
      <c r="Y355" s="1806"/>
      <c r="Z355" s="1968"/>
      <c r="AA355" s="2244"/>
      <c r="AB355" s="1969"/>
      <c r="AC355" s="1365"/>
      <c r="AD355" s="95"/>
      <c r="AE355" s="1326"/>
      <c r="AF355" s="97"/>
      <c r="AG355" s="1737"/>
      <c r="AH355" s="1970"/>
      <c r="AI355" s="99"/>
      <c r="AJ355" s="1809"/>
      <c r="AK355" s="6120" t="str">
        <f t="shared" si="138"/>
        <v>►</v>
      </c>
      <c r="AL355" s="781" t="str">
        <f t="shared" si="140"/>
        <v>►</v>
      </c>
      <c r="AM355" s="5499" t="str">
        <f t="shared" si="143"/>
        <v/>
      </c>
      <c r="AN355" s="783" t="str">
        <f t="shared" si="144"/>
        <v/>
      </c>
      <c r="AO355" s="782" t="str">
        <f t="shared" si="145"/>
        <v/>
      </c>
      <c r="AP355" s="783" t="str">
        <f t="shared" si="146"/>
        <v/>
      </c>
      <c r="AQ355" s="2083" t="b">
        <f>AND(Q355="A",COUNTIF(BP16:BR63,TRIM(Z355))&gt;0)</f>
        <v>0</v>
      </c>
      <c r="AR355" s="797" t="str">
        <f>IF(AL355&lt;&gt;"A","",IFERROR(IFERROR(_xlfn.XLOOKUP(TRIM(SUBSTITUTE(Z355,CHAR(160)," ")),BP16:BP63,BS16:BS63),IFERROR(_xlfn.XLOOKUP(TRIM(SUBSTITUTE(Z355,CHAR(160)," ")),BQ16:BQ63,BS16:BS63),_xlfn.XLOOKUP(TRIM(SUBSTITUTE(Z355,CHAR(160)," ")),BR16:BR63,BS16:BS63)))*Y355*IF(ISBLANK(V355),1,V355),0))</f>
        <v/>
      </c>
      <c r="AS355" s="784" t="str">
        <f t="shared" si="136"/>
        <v/>
      </c>
      <c r="AT355" s="1315" t="str">
        <f t="shared" si="147"/>
        <v/>
      </c>
      <c r="AU355" s="785">
        <f t="shared" si="148"/>
        <v>0</v>
      </c>
      <c r="AV355" s="785">
        <f t="shared" si="149"/>
        <v>0</v>
      </c>
      <c r="AW355" s="786">
        <f>IF(AK355="A",AY10,0)</f>
        <v>0</v>
      </c>
      <c r="AX355" s="5495" t="str">
        <f>IF(IFERROR(SEARCH("Adresse PC",TRIM(W355)),0)&gt;0,"▼ receta siguiente",IF(AK355="A",IF(AZ10&lt;&gt;"",AZ10&amp;" - ou.or.o ❾ + or - &gt;",""),""))</f>
        <v/>
      </c>
      <c r="AY355" s="810"/>
      <c r="AZ355" s="810"/>
      <c r="BA355" s="788" t="str">
        <f t="shared" si="139"/>
        <v/>
      </c>
      <c r="BB355" s="789" t="str">
        <f>IF(AK355="A",IF(AQ355,IF(AND(AW355&lt;&gt;"",N(AW355)&gt;0),IFERROR(IFERROR(_xlfn.XLOOKUP(AP355,BP10:BP57,BT10:BT57),IFERROR(_xlfn.XLOOKUP(AP355,BQ10:BQ57,BT10:BT57),_xlfn.XLOOKUP(AP355,BR10:BR57,BT10:BT57,""))),""),""),""),"")</f>
        <v/>
      </c>
      <c r="BC355" s="811" cm="1">
        <f t="array" ref="BC355">IF(NOT(AQ355),0,IF(OR(BA355="",N(BA355)&lt;=0.000000001),"",IF(OR(AU355="",N(AU355)&lt;=0.000000001),0,IF(ISNUMBER(BA355),IFERROR(_xlfn.LET(_xlpm.ai_test,TRIM(AP355),_xlpm.r,IFERROR(_xlfn.XLOOKUP(_xlpm.ai_test,BP16:BP63,ROW(BP16:BP63),0,1),IFERROR(_xlfn.XLOOKUP(_xlpm.ai_test,BQ16:BQ63,ROW(BQ16:BQ63),0,1),_xlfn.XLOOKUP(_xlpm.ai_test,BR16:BR63,ROW(BR16:BR63),0,1))),_xlpm.p,_xlpm.r-MIN(ROW(BP16:BP63))+1,_xlpm.f,INDEX(BS16:BS63,_xlpm.p),_xlpm.u,INDEX(BT16:BT63,_xlpm.p),_xlpm.s,INDEX(BV16:BV63,_xlpm.p),_xlpm.q,N(BA355)/_xlpm.f,IF(_xlpm.q&gt;=_xlpm.s,ROUND(_xlpm.q,1)&amp;" "&amp;_xlpm.ai_test&amp;" = "&amp;ROUND(_xlpm.q*_xlpm.f,1)&amp;" "&amp;_xlpm.u,ROUND(_xlpm.q,1)&amp;" "&amp;_xlpm.ai_test)),""),""))))</f>
        <v>0</v>
      </c>
      <c r="BD355" s="801"/>
      <c r="BE355" s="788" t="str">
        <f t="shared" si="150"/>
        <v/>
      </c>
      <c r="BF355" s="789" t="str">
        <f t="shared" si="151"/>
        <v/>
      </c>
      <c r="BG355" s="790">
        <f t="shared" si="154"/>
        <v>0</v>
      </c>
      <c r="BH355" s="791" t="str">
        <f t="shared" si="155"/>
        <v/>
      </c>
      <c r="BI355" s="792"/>
      <c r="BJ355" s="793">
        <f t="shared" si="153"/>
        <v>0</v>
      </c>
      <c r="BK355" s="794" t="str">
        <f t="shared" si="152"/>
        <v/>
      </c>
      <c r="BL355" s="227" t="s">
        <v>21</v>
      </c>
      <c r="BM355" s="773">
        <f t="shared" si="141"/>
        <v>0</v>
      </c>
      <c r="BN355" s="774">
        <f t="shared" si="142"/>
        <v>0</v>
      </c>
      <c r="BO355"/>
      <c r="BX355"/>
      <c r="BY355"/>
      <c r="BZ355"/>
      <c r="CA355"/>
      <c r="CB355"/>
      <c r="CC355"/>
      <c r="CD355" s="781" t="str">
        <f t="shared" si="135"/>
        <v>►</v>
      </c>
      <c r="CE355" s="633"/>
      <c r="CF355" s="633"/>
      <c r="CG355" s="633"/>
      <c r="CH355" s="633"/>
      <c r="CI355" s="633"/>
      <c r="CJ355" s="227"/>
      <c r="CK355"/>
      <c r="CL355"/>
      <c r="CM355"/>
      <c r="CN355"/>
      <c r="CO355"/>
      <c r="CP355"/>
      <c r="CQ355"/>
      <c r="CR355" s="227"/>
      <c r="CS355"/>
      <c r="CT355"/>
      <c r="CU355"/>
      <c r="CV355"/>
      <c r="CW355"/>
      <c r="CX355"/>
      <c r="CY355"/>
      <c r="CZ355" s="227"/>
      <c r="DA355"/>
      <c r="DB355"/>
      <c r="DC355"/>
      <c r="DD355"/>
      <c r="DE355"/>
      <c r="DF355"/>
      <c r="DG355"/>
      <c r="DH355" s="227"/>
      <c r="DI355" s="3">
        <v>1</v>
      </c>
    </row>
    <row r="356" spans="2:113" s="627" customFormat="1" ht="21" customHeight="1">
      <c r="B356" s="2265" t="str" cm="1">
        <f t="array" ref="B356">SUMPRODUCT(--(D356:J356&lt;&gt;""), LEN(TRIM(SUBSTITUTE(D356:J356, CHAR(160), "")))) &amp; " Car."</f>
        <v>0 Car.</v>
      </c>
      <c r="C356" s="1376" t="str">
        <f>IF(ISBLANK(D356),"",LARGE(C13:C355,1)+1)</f>
        <v/>
      </c>
      <c r="D356" s="1833"/>
      <c r="E356" s="1810"/>
      <c r="F356" s="1810"/>
      <c r="G356" s="1810"/>
      <c r="H356" s="1810"/>
      <c r="I356" s="1810"/>
      <c r="J356" s="1810"/>
      <c r="K356" s="1810"/>
      <c r="L356" s="1811"/>
      <c r="M356"/>
      <c r="N356" s="103" t="str">
        <f t="shared" si="137"/>
        <v>►</v>
      </c>
      <c r="O356" s="1616"/>
      <c r="P356"/>
      <c r="Q356" s="25" t="s">
        <v>15</v>
      </c>
      <c r="R356" s="31"/>
      <c r="S356" s="32"/>
      <c r="T356" s="31"/>
      <c r="U356" s="33"/>
      <c r="V356" s="1967"/>
      <c r="W356" s="1805"/>
      <c r="X356" s="91"/>
      <c r="Y356" s="1806"/>
      <c r="Z356" s="1968"/>
      <c r="AA356" s="2244"/>
      <c r="AB356" s="1969"/>
      <c r="AC356" s="1365"/>
      <c r="AD356" s="95"/>
      <c r="AE356" s="1326"/>
      <c r="AF356" s="97"/>
      <c r="AG356" s="1737"/>
      <c r="AH356" s="1970"/>
      <c r="AI356" s="99"/>
      <c r="AJ356" s="1809"/>
      <c r="AK356" s="6120" t="str">
        <f t="shared" si="138"/>
        <v>►</v>
      </c>
      <c r="AL356" s="781" t="str">
        <f t="shared" si="140"/>
        <v>►</v>
      </c>
      <c r="AM356" s="5498" t="str">
        <f t="shared" si="143"/>
        <v/>
      </c>
      <c r="AN356" s="783" t="str">
        <f t="shared" si="144"/>
        <v/>
      </c>
      <c r="AO356" s="782" t="str">
        <f t="shared" si="145"/>
        <v/>
      </c>
      <c r="AP356" s="783" t="str">
        <f t="shared" si="146"/>
        <v/>
      </c>
      <c r="AQ356" s="2083" t="b">
        <f>AND(Q356="A",COUNTIF(BP16:BR63,TRIM(Z356))&gt;0)</f>
        <v>0</v>
      </c>
      <c r="AR356" s="797" t="str">
        <f>IF(AL356&lt;&gt;"A","",IFERROR(IFERROR(_xlfn.XLOOKUP(TRIM(SUBSTITUTE(Z356,CHAR(160)," ")),BP16:BP63,BS16:BS63),IFERROR(_xlfn.XLOOKUP(TRIM(SUBSTITUTE(Z356,CHAR(160)," ")),BQ16:BQ63,BS16:BS63),_xlfn.XLOOKUP(TRIM(SUBSTITUTE(Z356,CHAR(160)," ")),BR16:BR63,BS16:BS63)))*Y356*IF(ISBLANK(V356),1,V356),0))</f>
        <v/>
      </c>
      <c r="AS356" s="784" t="str">
        <f t="shared" si="136"/>
        <v/>
      </c>
      <c r="AT356" s="1315" t="str">
        <f t="shared" si="147"/>
        <v/>
      </c>
      <c r="AU356" s="785">
        <f t="shared" si="148"/>
        <v>0</v>
      </c>
      <c r="AV356" s="785">
        <f t="shared" si="149"/>
        <v>0</v>
      </c>
      <c r="AW356" s="798">
        <f>IF(AK356="A",AY10,0)</f>
        <v>0</v>
      </c>
      <c r="AX356" s="5496" t="str">
        <f>IF(IFERROR(SEARCH("Adresse PC",TRIM(W356)),0)&gt;0,"▼ receta siguiente",IF(AK356="A",IF(AZ10&lt;&gt;"",AZ10&amp;" - ou.or.o ❾ + or - &gt;",""),""))</f>
        <v/>
      </c>
      <c r="AY356" s="810"/>
      <c r="AZ356" s="810"/>
      <c r="BA356" s="799" t="str">
        <f t="shared" si="139"/>
        <v/>
      </c>
      <c r="BB356" s="800" t="str">
        <f>IF(AK356="A",IF(AQ356,IF(AND(AW356&lt;&gt;"",N(AW356)&gt;0),IFERROR(IFERROR(_xlfn.XLOOKUP(AP356,BP10:BP57,BT10:BT57),IFERROR(_xlfn.XLOOKUP(AP356,BQ10:BQ57,BT10:BT57),_xlfn.XLOOKUP(AP356,BR10:BR57,BT10:BT57,""))),""),""),""),"")</f>
        <v/>
      </c>
      <c r="BC356" s="813" cm="1">
        <f t="array" ref="BC356">IF(NOT(AQ356),0,IF(OR(BA356="",N(BA356)&lt;=0.000000001),"",IF(OR(AU356="",N(AU356)&lt;=0.000000001),0,IF(ISNUMBER(BA356),IFERROR(_xlfn.LET(_xlpm.ai_test,TRIM(AP356),_xlpm.r,IFERROR(_xlfn.XLOOKUP(_xlpm.ai_test,BP16:BP63,ROW(BP16:BP63),0,1),IFERROR(_xlfn.XLOOKUP(_xlpm.ai_test,BQ16:BQ63,ROW(BQ16:BQ63),0,1),_xlfn.XLOOKUP(_xlpm.ai_test,BR16:BR63,ROW(BR16:BR63),0,1))),_xlpm.p,_xlpm.r-MIN(ROW(BP16:BP63))+1,_xlpm.f,INDEX(BS16:BS63,_xlpm.p),_xlpm.u,INDEX(BT16:BT63,_xlpm.p),_xlpm.s,INDEX(BV16:BV63,_xlpm.p),_xlpm.q,N(BA356)/_xlpm.f,IF(_xlpm.q&gt;=_xlpm.s,ROUND(_xlpm.q,1)&amp;" "&amp;_xlpm.ai_test&amp;" = "&amp;ROUND(_xlpm.q*_xlpm.f,1)&amp;" "&amp;_xlpm.u,ROUND(_xlpm.q,1)&amp;" "&amp;_xlpm.ai_test)),""),""))))</f>
        <v>0</v>
      </c>
      <c r="BD356" s="801"/>
      <c r="BE356" s="799" t="str">
        <f t="shared" si="150"/>
        <v/>
      </c>
      <c r="BF356" s="800" t="str">
        <f t="shared" si="151"/>
        <v/>
      </c>
      <c r="BG356" s="802">
        <f t="shared" si="154"/>
        <v>0</v>
      </c>
      <c r="BH356" s="803" t="str">
        <f t="shared" si="155"/>
        <v/>
      </c>
      <c r="BI356" s="792"/>
      <c r="BJ356" s="804">
        <f t="shared" si="153"/>
        <v>0</v>
      </c>
      <c r="BK356" s="794" t="str">
        <f t="shared" si="152"/>
        <v/>
      </c>
      <c r="BL356" s="227" t="s">
        <v>21</v>
      </c>
      <c r="BM356" s="773">
        <f t="shared" si="141"/>
        <v>0</v>
      </c>
      <c r="BN356" s="774">
        <f t="shared" si="142"/>
        <v>0</v>
      </c>
      <c r="BO356"/>
      <c r="BX356"/>
      <c r="BY356"/>
      <c r="BZ356"/>
      <c r="CA356"/>
      <c r="CB356"/>
      <c r="CC356"/>
      <c r="CD356" s="781" t="str">
        <f t="shared" si="135"/>
        <v>►</v>
      </c>
      <c r="CE356" s="633"/>
      <c r="CF356" s="633"/>
      <c r="CG356" s="633"/>
      <c r="CH356" s="633"/>
      <c r="CI356" s="633"/>
      <c r="CJ356" s="227"/>
      <c r="CK356"/>
      <c r="CL356"/>
      <c r="CM356"/>
      <c r="CN356"/>
      <c r="CO356"/>
      <c r="CP356"/>
      <c r="CQ356"/>
      <c r="CR356" s="227"/>
      <c r="CS356"/>
      <c r="CT356"/>
      <c r="CU356"/>
      <c r="CV356"/>
      <c r="CW356"/>
      <c r="CX356"/>
      <c r="CY356"/>
      <c r="CZ356" s="227"/>
      <c r="DA356"/>
      <c r="DB356"/>
      <c r="DC356"/>
      <c r="DD356"/>
      <c r="DE356"/>
      <c r="DF356"/>
      <c r="DG356"/>
      <c r="DH356" s="227"/>
      <c r="DI356" s="3">
        <v>1</v>
      </c>
    </row>
    <row r="357" spans="2:113" s="627" customFormat="1" ht="21" customHeight="1">
      <c r="B357" s="2265" t="str" cm="1">
        <f t="array" ref="B357">SUMPRODUCT(--(D357:J357&lt;&gt;""), LEN(TRIM(SUBSTITUTE(D357:J357, CHAR(160), "")))) &amp; " Car."</f>
        <v>0 Car.</v>
      </c>
      <c r="C357" s="1376" t="str">
        <f>IF(ISBLANK(D357),"",LARGE(C13:C356,1)+1)</f>
        <v/>
      </c>
      <c r="D357" s="1833"/>
      <c r="E357" s="1810"/>
      <c r="F357" s="1810"/>
      <c r="G357" s="1810"/>
      <c r="H357" s="1810"/>
      <c r="I357" s="1810"/>
      <c r="J357" s="1810"/>
      <c r="K357" s="1810"/>
      <c r="L357" s="1811"/>
      <c r="M357"/>
      <c r="N357" s="103" t="str">
        <f t="shared" si="137"/>
        <v>►</v>
      </c>
      <c r="O357" s="1616"/>
      <c r="P357"/>
      <c r="Q357" s="25" t="s">
        <v>15</v>
      </c>
      <c r="R357" s="31"/>
      <c r="S357" s="32"/>
      <c r="T357" s="31"/>
      <c r="U357" s="33"/>
      <c r="V357" s="1967"/>
      <c r="W357" s="1805"/>
      <c r="X357" s="91"/>
      <c r="Y357" s="1806"/>
      <c r="Z357" s="1968"/>
      <c r="AA357" s="2244"/>
      <c r="AB357" s="1969"/>
      <c r="AC357" s="1365"/>
      <c r="AD357" s="95"/>
      <c r="AE357" s="1326"/>
      <c r="AF357" s="97"/>
      <c r="AG357" s="1737"/>
      <c r="AH357" s="1970"/>
      <c r="AI357" s="99"/>
      <c r="AJ357" s="1809"/>
      <c r="AK357" s="6120" t="str">
        <f t="shared" si="138"/>
        <v>►</v>
      </c>
      <c r="AL357" s="781" t="str">
        <f t="shared" si="140"/>
        <v>►</v>
      </c>
      <c r="AM357" s="5499" t="str">
        <f t="shared" si="143"/>
        <v/>
      </c>
      <c r="AN357" s="783" t="str">
        <f t="shared" si="144"/>
        <v/>
      </c>
      <c r="AO357" s="782" t="str">
        <f t="shared" si="145"/>
        <v/>
      </c>
      <c r="AP357" s="783" t="str">
        <f t="shared" si="146"/>
        <v/>
      </c>
      <c r="AQ357" s="2083" t="b">
        <f>AND(Q357="A",COUNTIF(BP16:BR63,TRIM(Z357))&gt;0)</f>
        <v>0</v>
      </c>
      <c r="AR357" s="797" t="str">
        <f>IF(AL357&lt;&gt;"A","",IFERROR(IFERROR(_xlfn.XLOOKUP(TRIM(SUBSTITUTE(Z357,CHAR(160)," ")),BP16:BP63,BS16:BS63),IFERROR(_xlfn.XLOOKUP(TRIM(SUBSTITUTE(Z357,CHAR(160)," ")),BQ16:BQ63,BS16:BS63),_xlfn.XLOOKUP(TRIM(SUBSTITUTE(Z357,CHAR(160)," ")),BR16:BR63,BS16:BS63)))*Y357*IF(ISBLANK(V357),1,V357),0))</f>
        <v/>
      </c>
      <c r="AS357" s="784" t="str">
        <f t="shared" si="136"/>
        <v/>
      </c>
      <c r="AT357" s="1315" t="str">
        <f t="shared" si="147"/>
        <v/>
      </c>
      <c r="AU357" s="785">
        <f t="shared" si="148"/>
        <v>0</v>
      </c>
      <c r="AV357" s="785">
        <f t="shared" si="149"/>
        <v>0</v>
      </c>
      <c r="AW357" s="786">
        <f>IF(AK357="A",AY10,0)</f>
        <v>0</v>
      </c>
      <c r="AX357" s="5495" t="str">
        <f>IF(IFERROR(SEARCH("Adresse PC",TRIM(W357)),0)&gt;0,"▼ receta siguiente",IF(AK357="A",IF(AZ10&lt;&gt;"",AZ10&amp;" - ou.or.o ❾ + or - &gt;",""),""))</f>
        <v/>
      </c>
      <c r="AY357" s="810"/>
      <c r="AZ357" s="810"/>
      <c r="BA357" s="788" t="str">
        <f t="shared" si="139"/>
        <v/>
      </c>
      <c r="BB357" s="789" t="str">
        <f>IF(AK357="A",IF(AQ357,IF(AND(AW357&lt;&gt;"",N(AW357)&gt;0),IFERROR(IFERROR(_xlfn.XLOOKUP(AP357,BP10:BP57,BT10:BT57),IFERROR(_xlfn.XLOOKUP(AP357,BQ10:BQ57,BT10:BT57),_xlfn.XLOOKUP(AP357,BR10:BR57,BT10:BT57,""))),""),""),""),"")</f>
        <v/>
      </c>
      <c r="BC357" s="811" cm="1">
        <f t="array" ref="BC357">IF(NOT(AQ357),0,IF(OR(BA357="",N(BA357)&lt;=0.000000001),"",IF(OR(AU357="",N(AU357)&lt;=0.000000001),0,IF(ISNUMBER(BA357),IFERROR(_xlfn.LET(_xlpm.ai_test,TRIM(AP357),_xlpm.r,IFERROR(_xlfn.XLOOKUP(_xlpm.ai_test,BP16:BP63,ROW(BP16:BP63),0,1),IFERROR(_xlfn.XLOOKUP(_xlpm.ai_test,BQ16:BQ63,ROW(BQ16:BQ63),0,1),_xlfn.XLOOKUP(_xlpm.ai_test,BR16:BR63,ROW(BR16:BR63),0,1))),_xlpm.p,_xlpm.r-MIN(ROW(BP16:BP63))+1,_xlpm.f,INDEX(BS16:BS63,_xlpm.p),_xlpm.u,INDEX(BT16:BT63,_xlpm.p),_xlpm.s,INDEX(BV16:BV63,_xlpm.p),_xlpm.q,N(BA357)/_xlpm.f,IF(_xlpm.q&gt;=_xlpm.s,ROUND(_xlpm.q,1)&amp;" "&amp;_xlpm.ai_test&amp;" = "&amp;ROUND(_xlpm.q*_xlpm.f,1)&amp;" "&amp;_xlpm.u,ROUND(_xlpm.q,1)&amp;" "&amp;_xlpm.ai_test)),""),""))))</f>
        <v>0</v>
      </c>
      <c r="BD357" s="801"/>
      <c r="BE357" s="788" t="str">
        <f t="shared" si="150"/>
        <v/>
      </c>
      <c r="BF357" s="789" t="str">
        <f t="shared" si="151"/>
        <v/>
      </c>
      <c r="BG357" s="790">
        <f t="shared" si="154"/>
        <v>0</v>
      </c>
      <c r="BH357" s="791" t="str">
        <f t="shared" si="155"/>
        <v/>
      </c>
      <c r="BI357" s="792"/>
      <c r="BJ357" s="793">
        <f t="shared" si="153"/>
        <v>0</v>
      </c>
      <c r="BK357" s="794" t="str">
        <f t="shared" si="152"/>
        <v/>
      </c>
      <c r="BL357" s="227" t="s">
        <v>21</v>
      </c>
      <c r="BM357" s="773">
        <f t="shared" si="141"/>
        <v>0</v>
      </c>
      <c r="BN357" s="774">
        <f t="shared" si="142"/>
        <v>0</v>
      </c>
      <c r="BO357"/>
      <c r="BX357"/>
      <c r="BY357"/>
      <c r="BZ357"/>
      <c r="CA357"/>
      <c r="CB357"/>
      <c r="CC357"/>
      <c r="CD357" s="781" t="str">
        <f t="shared" si="135"/>
        <v>►</v>
      </c>
      <c r="CE357" s="633"/>
      <c r="CF357" s="633"/>
      <c r="CG357" s="633"/>
      <c r="CH357" s="633"/>
      <c r="CI357" s="633"/>
      <c r="CJ357" s="227"/>
      <c r="CK357"/>
      <c r="CL357"/>
      <c r="CM357"/>
      <c r="CN357"/>
      <c r="CO357"/>
      <c r="CP357"/>
      <c r="CQ357"/>
      <c r="CR357" s="227"/>
      <c r="CS357"/>
      <c r="CT357"/>
      <c r="CU357"/>
      <c r="CV357"/>
      <c r="CW357"/>
      <c r="CX357"/>
      <c r="CY357"/>
      <c r="CZ357" s="227"/>
      <c r="DA357"/>
      <c r="DB357"/>
      <c r="DC357"/>
      <c r="DD357"/>
      <c r="DE357"/>
      <c r="DF357"/>
      <c r="DG357"/>
      <c r="DH357" s="227"/>
      <c r="DI357" s="3">
        <v>1</v>
      </c>
    </row>
    <row r="358" spans="2:113" s="627" customFormat="1" ht="21" customHeight="1">
      <c r="B358" s="2265" t="str" cm="1">
        <f t="array" ref="B358">SUMPRODUCT(--(D358:J358&lt;&gt;""), LEN(TRIM(SUBSTITUTE(D358:J358, CHAR(160), "")))) &amp; " Car."</f>
        <v>0 Car.</v>
      </c>
      <c r="C358" s="1376" t="str">
        <f>IF(ISBLANK(D358),"",LARGE(C13:C357,1)+1)</f>
        <v/>
      </c>
      <c r="D358" s="1833"/>
      <c r="E358" s="1810"/>
      <c r="F358" s="1810"/>
      <c r="G358" s="1810"/>
      <c r="H358" s="1810"/>
      <c r="I358" s="1810"/>
      <c r="J358" s="1810"/>
      <c r="K358" s="1810"/>
      <c r="L358" s="1811"/>
      <c r="M358"/>
      <c r="N358" s="103" t="str">
        <f t="shared" si="137"/>
        <v>►</v>
      </c>
      <c r="O358" s="1616"/>
      <c r="P358"/>
      <c r="Q358" s="25" t="s">
        <v>15</v>
      </c>
      <c r="R358" s="31"/>
      <c r="S358" s="32"/>
      <c r="T358" s="31"/>
      <c r="U358" s="33"/>
      <c r="V358" s="1967"/>
      <c r="W358" s="1805"/>
      <c r="X358" s="91"/>
      <c r="Y358" s="1806"/>
      <c r="Z358" s="1968"/>
      <c r="AA358" s="2244"/>
      <c r="AB358" s="1969"/>
      <c r="AC358" s="1365"/>
      <c r="AD358" s="95"/>
      <c r="AE358" s="1326"/>
      <c r="AF358" s="97"/>
      <c r="AG358" s="1737"/>
      <c r="AH358" s="1970"/>
      <c r="AI358" s="99"/>
      <c r="AJ358" s="1809"/>
      <c r="AK358" s="6120" t="str">
        <f t="shared" si="138"/>
        <v>►</v>
      </c>
      <c r="AL358" s="781" t="str">
        <f t="shared" si="140"/>
        <v>►</v>
      </c>
      <c r="AM358" s="5498" t="str">
        <f t="shared" si="143"/>
        <v/>
      </c>
      <c r="AN358" s="783" t="str">
        <f t="shared" si="144"/>
        <v/>
      </c>
      <c r="AO358" s="782" t="str">
        <f t="shared" si="145"/>
        <v/>
      </c>
      <c r="AP358" s="783" t="str">
        <f t="shared" si="146"/>
        <v/>
      </c>
      <c r="AQ358" s="2083" t="b">
        <f>AND(Q358="A",COUNTIF(BP16:BR63,TRIM(Z358))&gt;0)</f>
        <v>0</v>
      </c>
      <c r="AR358" s="797" t="str">
        <f>IF(AL358&lt;&gt;"A","",IFERROR(IFERROR(_xlfn.XLOOKUP(TRIM(SUBSTITUTE(Z358,CHAR(160)," ")),BP16:BP63,BS16:BS63),IFERROR(_xlfn.XLOOKUP(TRIM(SUBSTITUTE(Z358,CHAR(160)," ")),BQ16:BQ63,BS16:BS63),_xlfn.XLOOKUP(TRIM(SUBSTITUTE(Z358,CHAR(160)," ")),BR16:BR63,BS16:BS63)))*Y358*IF(ISBLANK(V358),1,V358),0))</f>
        <v/>
      </c>
      <c r="AS358" s="784" t="str">
        <f t="shared" si="136"/>
        <v/>
      </c>
      <c r="AT358" s="1315" t="str">
        <f t="shared" si="147"/>
        <v/>
      </c>
      <c r="AU358" s="785">
        <f t="shared" si="148"/>
        <v>0</v>
      </c>
      <c r="AV358" s="785">
        <f t="shared" si="149"/>
        <v>0</v>
      </c>
      <c r="AW358" s="798">
        <f>IF(AK358="A",AY10,0)</f>
        <v>0</v>
      </c>
      <c r="AX358" s="5496" t="str">
        <f>IF(IFERROR(SEARCH("Adresse PC",TRIM(W358)),0)&gt;0,"▼ receta siguiente",IF(AK358="A",IF(AZ10&lt;&gt;"",AZ10&amp;" - ou.or.o ❾ + or - &gt;",""),""))</f>
        <v/>
      </c>
      <c r="AY358" s="810"/>
      <c r="AZ358" s="810"/>
      <c r="BA358" s="799" t="str">
        <f t="shared" si="139"/>
        <v/>
      </c>
      <c r="BB358" s="800" t="str">
        <f>IF(AK358="A",IF(AQ358,IF(AND(AW358&lt;&gt;"",N(AW358)&gt;0),IFERROR(IFERROR(_xlfn.XLOOKUP(AP358,BP10:BP57,BT10:BT57),IFERROR(_xlfn.XLOOKUP(AP358,BQ10:BQ57,BT10:BT57),_xlfn.XLOOKUP(AP358,BR10:BR57,BT10:BT57,""))),""),""),""),"")</f>
        <v/>
      </c>
      <c r="BC358" s="813" cm="1">
        <f t="array" ref="BC358">IF(NOT(AQ358),0,IF(OR(BA358="",N(BA358)&lt;=0.000000001),"",IF(OR(AU358="",N(AU358)&lt;=0.000000001),0,IF(ISNUMBER(BA358),IFERROR(_xlfn.LET(_xlpm.ai_test,TRIM(AP358),_xlpm.r,IFERROR(_xlfn.XLOOKUP(_xlpm.ai_test,BP16:BP63,ROW(BP16:BP63),0,1),IFERROR(_xlfn.XLOOKUP(_xlpm.ai_test,BQ16:BQ63,ROW(BQ16:BQ63),0,1),_xlfn.XLOOKUP(_xlpm.ai_test,BR16:BR63,ROW(BR16:BR63),0,1))),_xlpm.p,_xlpm.r-MIN(ROW(BP16:BP63))+1,_xlpm.f,INDEX(BS16:BS63,_xlpm.p),_xlpm.u,INDEX(BT16:BT63,_xlpm.p),_xlpm.s,INDEX(BV16:BV63,_xlpm.p),_xlpm.q,N(BA358)/_xlpm.f,IF(_xlpm.q&gt;=_xlpm.s,ROUND(_xlpm.q,1)&amp;" "&amp;_xlpm.ai_test&amp;" = "&amp;ROUND(_xlpm.q*_xlpm.f,1)&amp;" "&amp;_xlpm.u,ROUND(_xlpm.q,1)&amp;" "&amp;_xlpm.ai_test)),""),""))))</f>
        <v>0</v>
      </c>
      <c r="BD358" s="801"/>
      <c r="BE358" s="799" t="str">
        <f t="shared" si="150"/>
        <v/>
      </c>
      <c r="BF358" s="800" t="str">
        <f t="shared" si="151"/>
        <v/>
      </c>
      <c r="BG358" s="802">
        <f t="shared" si="154"/>
        <v>0</v>
      </c>
      <c r="BH358" s="803" t="str">
        <f t="shared" si="155"/>
        <v/>
      </c>
      <c r="BI358" s="792"/>
      <c r="BJ358" s="804">
        <f t="shared" si="153"/>
        <v>0</v>
      </c>
      <c r="BK358" s="794" t="str">
        <f t="shared" si="152"/>
        <v/>
      </c>
      <c r="BL358" s="227" t="s">
        <v>21</v>
      </c>
      <c r="BM358" s="773">
        <f t="shared" si="141"/>
        <v>0</v>
      </c>
      <c r="BN358" s="774">
        <f t="shared" si="142"/>
        <v>0</v>
      </c>
      <c r="BO358"/>
      <c r="BX358"/>
      <c r="BY358"/>
      <c r="BZ358"/>
      <c r="CA358"/>
      <c r="CB358"/>
      <c r="CC358"/>
      <c r="CD358" s="781" t="str">
        <f t="shared" si="135"/>
        <v>►</v>
      </c>
      <c r="CE358" s="633"/>
      <c r="CF358" s="633"/>
      <c r="CG358" s="633"/>
      <c r="CH358" s="633"/>
      <c r="CI358" s="633"/>
      <c r="CJ358" s="227"/>
      <c r="CK358"/>
      <c r="CL358"/>
      <c r="CM358"/>
      <c r="CN358"/>
      <c r="CO358"/>
      <c r="CP358"/>
      <c r="CQ358"/>
      <c r="CR358" s="227"/>
      <c r="CS358"/>
      <c r="CT358"/>
      <c r="CU358"/>
      <c r="CV358"/>
      <c r="CW358"/>
      <c r="CX358"/>
      <c r="CY358"/>
      <c r="CZ358" s="227"/>
      <c r="DA358"/>
      <c r="DB358"/>
      <c r="DC358"/>
      <c r="DD358"/>
      <c r="DE358"/>
      <c r="DF358"/>
      <c r="DG358"/>
      <c r="DH358" s="227"/>
      <c r="DI358" s="3">
        <v>1</v>
      </c>
    </row>
    <row r="359" spans="2:113" s="627" customFormat="1" ht="21" customHeight="1">
      <c r="B359" s="2265" t="str" cm="1">
        <f t="array" ref="B359">SUMPRODUCT(--(D359:J359&lt;&gt;""), LEN(TRIM(SUBSTITUTE(D359:J359, CHAR(160), "")))) &amp; " Car."</f>
        <v>0 Car.</v>
      </c>
      <c r="C359" s="1376" t="str">
        <f>IF(ISBLANK(D359),"",LARGE(C13:C358,1)+1)</f>
        <v/>
      </c>
      <c r="D359" s="1833"/>
      <c r="E359" s="1810"/>
      <c r="F359" s="1810"/>
      <c r="G359" s="1810"/>
      <c r="H359" s="1810"/>
      <c r="I359" s="1810"/>
      <c r="J359" s="1810"/>
      <c r="K359" s="1810"/>
      <c r="L359" s="1811"/>
      <c r="M359"/>
      <c r="N359" s="103" t="str">
        <f t="shared" si="137"/>
        <v>►</v>
      </c>
      <c r="O359" s="1616"/>
      <c r="P359"/>
      <c r="Q359" s="25" t="s">
        <v>15</v>
      </c>
      <c r="R359" s="31"/>
      <c r="S359" s="32"/>
      <c r="T359" s="31"/>
      <c r="U359" s="33"/>
      <c r="V359" s="1967"/>
      <c r="W359" s="1805"/>
      <c r="X359" s="91"/>
      <c r="Y359" s="1806"/>
      <c r="Z359" s="1968"/>
      <c r="AA359" s="2244"/>
      <c r="AB359" s="1969"/>
      <c r="AC359" s="1365"/>
      <c r="AD359" s="95"/>
      <c r="AE359" s="1326"/>
      <c r="AF359" s="97"/>
      <c r="AG359" s="1737"/>
      <c r="AH359" s="1970"/>
      <c r="AI359" s="99"/>
      <c r="AJ359" s="1809"/>
      <c r="AK359" s="6120" t="str">
        <f t="shared" si="138"/>
        <v>►</v>
      </c>
      <c r="AL359" s="781" t="str">
        <f t="shared" si="140"/>
        <v>►</v>
      </c>
      <c r="AM359" s="5499" t="str">
        <f t="shared" si="143"/>
        <v/>
      </c>
      <c r="AN359" s="783" t="str">
        <f t="shared" si="144"/>
        <v/>
      </c>
      <c r="AO359" s="782" t="str">
        <f t="shared" si="145"/>
        <v/>
      </c>
      <c r="AP359" s="783" t="str">
        <f t="shared" si="146"/>
        <v/>
      </c>
      <c r="AQ359" s="2083" t="b">
        <f>AND(Q359="A",COUNTIF(BP16:BR63,TRIM(Z359))&gt;0)</f>
        <v>0</v>
      </c>
      <c r="AR359" s="797" t="str">
        <f>IF(AL359&lt;&gt;"A","",IFERROR(IFERROR(_xlfn.XLOOKUP(TRIM(SUBSTITUTE(Z359,CHAR(160)," ")),BP16:BP63,BS16:BS63),IFERROR(_xlfn.XLOOKUP(TRIM(SUBSTITUTE(Z359,CHAR(160)," ")),BQ16:BQ63,BS16:BS63),_xlfn.XLOOKUP(TRIM(SUBSTITUTE(Z359,CHAR(160)," ")),BR16:BR63,BS16:BS63)))*Y359*IF(ISBLANK(V359),1,V359),0))</f>
        <v/>
      </c>
      <c r="AS359" s="784" t="str">
        <f t="shared" si="136"/>
        <v/>
      </c>
      <c r="AT359" s="1315" t="str">
        <f t="shared" si="147"/>
        <v/>
      </c>
      <c r="AU359" s="785">
        <f t="shared" si="148"/>
        <v>0</v>
      </c>
      <c r="AV359" s="785">
        <f t="shared" si="149"/>
        <v>0</v>
      </c>
      <c r="AW359" s="786">
        <f>IF(AK359="A",AY10,0)</f>
        <v>0</v>
      </c>
      <c r="AX359" s="5495" t="str">
        <f>IF(IFERROR(SEARCH("Adresse PC",TRIM(W359)),0)&gt;0,"▼ receta siguiente",IF(AK359="A",IF(AZ10&lt;&gt;"",AZ10&amp;" - ou.or.o ❾ + or - &gt;",""),""))</f>
        <v/>
      </c>
      <c r="AY359" s="810"/>
      <c r="AZ359" s="810"/>
      <c r="BA359" s="788" t="str">
        <f t="shared" si="139"/>
        <v/>
      </c>
      <c r="BB359" s="789" t="str">
        <f>IF(AK359="A",IF(AQ359,IF(AND(AW359&lt;&gt;"",N(AW359)&gt;0),IFERROR(IFERROR(_xlfn.XLOOKUP(AP359,BP10:BP57,BT10:BT57),IFERROR(_xlfn.XLOOKUP(AP359,BQ10:BQ57,BT10:BT57),_xlfn.XLOOKUP(AP359,BR10:BR57,BT10:BT57,""))),""),""),""),"")</f>
        <v/>
      </c>
      <c r="BC359" s="811" cm="1">
        <f t="array" ref="BC359">IF(NOT(AQ359),0,IF(OR(BA359="",N(BA359)&lt;=0.000000001),"",IF(OR(AU359="",N(AU359)&lt;=0.000000001),0,IF(ISNUMBER(BA359),IFERROR(_xlfn.LET(_xlpm.ai_test,TRIM(AP359),_xlpm.r,IFERROR(_xlfn.XLOOKUP(_xlpm.ai_test,BP16:BP63,ROW(BP16:BP63),0,1),IFERROR(_xlfn.XLOOKUP(_xlpm.ai_test,BQ16:BQ63,ROW(BQ16:BQ63),0,1),_xlfn.XLOOKUP(_xlpm.ai_test,BR16:BR63,ROW(BR16:BR63),0,1))),_xlpm.p,_xlpm.r-MIN(ROW(BP16:BP63))+1,_xlpm.f,INDEX(BS16:BS63,_xlpm.p),_xlpm.u,INDEX(BT16:BT63,_xlpm.p),_xlpm.s,INDEX(BV16:BV63,_xlpm.p),_xlpm.q,N(BA359)/_xlpm.f,IF(_xlpm.q&gt;=_xlpm.s,ROUND(_xlpm.q,1)&amp;" "&amp;_xlpm.ai_test&amp;" = "&amp;ROUND(_xlpm.q*_xlpm.f,1)&amp;" "&amp;_xlpm.u,ROUND(_xlpm.q,1)&amp;" "&amp;_xlpm.ai_test)),""),""))))</f>
        <v>0</v>
      </c>
      <c r="BD359" s="801"/>
      <c r="BE359" s="788" t="str">
        <f t="shared" si="150"/>
        <v/>
      </c>
      <c r="BF359" s="789" t="str">
        <f t="shared" si="151"/>
        <v/>
      </c>
      <c r="BG359" s="790">
        <f t="shared" si="154"/>
        <v>0</v>
      </c>
      <c r="BH359" s="791" t="str">
        <f t="shared" si="155"/>
        <v/>
      </c>
      <c r="BI359" s="792"/>
      <c r="BJ359" s="793">
        <f t="shared" si="153"/>
        <v>0</v>
      </c>
      <c r="BK359" s="794" t="str">
        <f t="shared" si="152"/>
        <v/>
      </c>
      <c r="BL359" s="227" t="s">
        <v>21</v>
      </c>
      <c r="BM359" s="773">
        <f t="shared" si="141"/>
        <v>0</v>
      </c>
      <c r="BN359" s="774">
        <f t="shared" si="142"/>
        <v>0</v>
      </c>
      <c r="BO359"/>
      <c r="BX359"/>
      <c r="BY359"/>
      <c r="BZ359"/>
      <c r="CA359"/>
      <c r="CB359"/>
      <c r="CC359"/>
      <c r="CD359" s="781" t="str">
        <f t="shared" si="135"/>
        <v>►</v>
      </c>
      <c r="CE359" s="633"/>
      <c r="CF359" s="633"/>
      <c r="CG359" s="633"/>
      <c r="CH359" s="633"/>
      <c r="CI359" s="633"/>
      <c r="CJ359" s="227"/>
      <c r="CK359"/>
      <c r="CL359"/>
      <c r="CM359"/>
      <c r="CN359"/>
      <c r="CO359"/>
      <c r="CP359"/>
      <c r="CQ359"/>
      <c r="CR359" s="227"/>
      <c r="CS359"/>
      <c r="CT359"/>
      <c r="CU359"/>
      <c r="CV359"/>
      <c r="CW359"/>
      <c r="CX359"/>
      <c r="CY359"/>
      <c r="CZ359" s="227"/>
      <c r="DA359"/>
      <c r="DB359"/>
      <c r="DC359"/>
      <c r="DD359"/>
      <c r="DE359"/>
      <c r="DF359"/>
      <c r="DG359"/>
      <c r="DH359" s="227"/>
      <c r="DI359" s="3">
        <v>1</v>
      </c>
    </row>
    <row r="360" spans="2:113" s="627" customFormat="1" ht="21" customHeight="1">
      <c r="B360" s="2265" t="str" cm="1">
        <f t="array" ref="B360">SUMPRODUCT(--(D360:J360&lt;&gt;""), LEN(TRIM(SUBSTITUTE(D360:J360, CHAR(160), "")))) &amp; " Car."</f>
        <v>0 Car.</v>
      </c>
      <c r="C360" s="1376" t="str">
        <f>IF(ISBLANK(D360),"",LARGE(C13:C359,1)+1)</f>
        <v/>
      </c>
      <c r="D360" s="1833"/>
      <c r="E360" s="1810"/>
      <c r="F360" s="1810"/>
      <c r="G360" s="1810"/>
      <c r="H360" s="1810"/>
      <c r="I360" s="1810"/>
      <c r="J360" s="1810"/>
      <c r="K360" s="1810"/>
      <c r="L360" s="1811"/>
      <c r="M360"/>
      <c r="N360" s="103" t="str">
        <f t="shared" si="137"/>
        <v>►</v>
      </c>
      <c r="O360" s="1616"/>
      <c r="P360"/>
      <c r="Q360" s="25" t="s">
        <v>15</v>
      </c>
      <c r="R360" s="31"/>
      <c r="S360" s="32"/>
      <c r="T360" s="31"/>
      <c r="U360" s="33"/>
      <c r="V360" s="1967"/>
      <c r="W360" s="1805"/>
      <c r="X360" s="91"/>
      <c r="Y360" s="1806"/>
      <c r="Z360" s="1968"/>
      <c r="AA360" s="2244"/>
      <c r="AB360" s="1969"/>
      <c r="AC360" s="1365"/>
      <c r="AD360" s="95"/>
      <c r="AE360" s="1326"/>
      <c r="AF360" s="97"/>
      <c r="AG360" s="1737"/>
      <c r="AH360" s="1970"/>
      <c r="AI360" s="99"/>
      <c r="AJ360" s="1809"/>
      <c r="AK360" s="6120" t="str">
        <f t="shared" si="138"/>
        <v>►</v>
      </c>
      <c r="AL360" s="781" t="str">
        <f t="shared" si="140"/>
        <v>►</v>
      </c>
      <c r="AM360" s="5498" t="str">
        <f t="shared" si="143"/>
        <v/>
      </c>
      <c r="AN360" s="783" t="str">
        <f t="shared" si="144"/>
        <v/>
      </c>
      <c r="AO360" s="782" t="str">
        <f t="shared" si="145"/>
        <v/>
      </c>
      <c r="AP360" s="783" t="str">
        <f t="shared" si="146"/>
        <v/>
      </c>
      <c r="AQ360" s="2083" t="b">
        <f>AND(Q360="A",COUNTIF(BP16:BR63,TRIM(Z360))&gt;0)</f>
        <v>0</v>
      </c>
      <c r="AR360" s="797" t="str">
        <f>IF(AL360&lt;&gt;"A","",IFERROR(IFERROR(_xlfn.XLOOKUP(TRIM(SUBSTITUTE(Z360,CHAR(160)," ")),BP16:BP63,BS16:BS63),IFERROR(_xlfn.XLOOKUP(TRIM(SUBSTITUTE(Z360,CHAR(160)," ")),BQ16:BQ63,BS16:BS63),_xlfn.XLOOKUP(TRIM(SUBSTITUTE(Z360,CHAR(160)," ")),BR16:BR63,BS16:BS63)))*Y360*IF(ISBLANK(V360),1,V360),0))</f>
        <v/>
      </c>
      <c r="AS360" s="784" t="str">
        <f t="shared" si="136"/>
        <v/>
      </c>
      <c r="AT360" s="1315" t="str">
        <f t="shared" si="147"/>
        <v/>
      </c>
      <c r="AU360" s="785">
        <f t="shared" si="148"/>
        <v>0</v>
      </c>
      <c r="AV360" s="785">
        <f t="shared" si="149"/>
        <v>0</v>
      </c>
      <c r="AW360" s="798">
        <f>IF(AK360="A",AY10,0)</f>
        <v>0</v>
      </c>
      <c r="AX360" s="5496" t="str">
        <f>IF(IFERROR(SEARCH("Adresse PC",TRIM(W360)),0)&gt;0,"▼ receta siguiente",IF(AK360="A",IF(AZ10&lt;&gt;"",AZ10&amp;" - ou.or.o ❾ + or - &gt;",""),""))</f>
        <v/>
      </c>
      <c r="AY360" s="810"/>
      <c r="AZ360" s="810"/>
      <c r="BA360" s="799" t="str">
        <f t="shared" si="139"/>
        <v/>
      </c>
      <c r="BB360" s="800" t="str">
        <f>IF(AK360="A",IF(AQ360,IF(AND(AW360&lt;&gt;"",N(AW360)&gt;0),IFERROR(IFERROR(_xlfn.XLOOKUP(AP360,BP10:BP57,BT10:BT57),IFERROR(_xlfn.XLOOKUP(AP360,BQ10:BQ57,BT10:BT57),_xlfn.XLOOKUP(AP360,BR10:BR57,BT10:BT57,""))),""),""),""),"")</f>
        <v/>
      </c>
      <c r="BC360" s="813" cm="1">
        <f t="array" ref="BC360">IF(NOT(AQ360),0,IF(OR(BA360="",N(BA360)&lt;=0.000000001),"",IF(OR(AU360="",N(AU360)&lt;=0.000000001),0,IF(ISNUMBER(BA360),IFERROR(_xlfn.LET(_xlpm.ai_test,TRIM(AP360),_xlpm.r,IFERROR(_xlfn.XLOOKUP(_xlpm.ai_test,BP16:BP63,ROW(BP16:BP63),0,1),IFERROR(_xlfn.XLOOKUP(_xlpm.ai_test,BQ16:BQ63,ROW(BQ16:BQ63),0,1),_xlfn.XLOOKUP(_xlpm.ai_test,BR16:BR63,ROW(BR16:BR63),0,1))),_xlpm.p,_xlpm.r-MIN(ROW(BP16:BP63))+1,_xlpm.f,INDEX(BS16:BS63,_xlpm.p),_xlpm.u,INDEX(BT16:BT63,_xlpm.p),_xlpm.s,INDEX(BV16:BV63,_xlpm.p),_xlpm.q,N(BA360)/_xlpm.f,IF(_xlpm.q&gt;=_xlpm.s,ROUND(_xlpm.q,1)&amp;" "&amp;_xlpm.ai_test&amp;" = "&amp;ROUND(_xlpm.q*_xlpm.f,1)&amp;" "&amp;_xlpm.u,ROUND(_xlpm.q,1)&amp;" "&amp;_xlpm.ai_test)),""),""))))</f>
        <v>0</v>
      </c>
      <c r="BD360" s="801"/>
      <c r="BE360" s="799" t="str">
        <f t="shared" si="150"/>
        <v/>
      </c>
      <c r="BF360" s="800" t="str">
        <f t="shared" si="151"/>
        <v/>
      </c>
      <c r="BG360" s="802">
        <f t="shared" si="154"/>
        <v>0</v>
      </c>
      <c r="BH360" s="803" t="str">
        <f t="shared" si="155"/>
        <v/>
      </c>
      <c r="BI360" s="792"/>
      <c r="BJ360" s="804">
        <f t="shared" si="153"/>
        <v>0</v>
      </c>
      <c r="BK360" s="794" t="str">
        <f t="shared" si="152"/>
        <v/>
      </c>
      <c r="BL360" s="227" t="s">
        <v>21</v>
      </c>
      <c r="BM360" s="773">
        <f t="shared" si="141"/>
        <v>0</v>
      </c>
      <c r="BN360" s="774">
        <f t="shared" si="142"/>
        <v>0</v>
      </c>
      <c r="BO360"/>
      <c r="BX360"/>
      <c r="BY360"/>
      <c r="BZ360"/>
      <c r="CA360"/>
      <c r="CB360"/>
      <c r="CC360"/>
      <c r="CD360" s="781" t="str">
        <f t="shared" si="135"/>
        <v>►</v>
      </c>
      <c r="CE360" s="633"/>
      <c r="CF360" s="633"/>
      <c r="CG360" s="633"/>
      <c r="CH360" s="633"/>
      <c r="CI360" s="633"/>
      <c r="CJ360" s="227"/>
      <c r="CK360"/>
      <c r="CL360"/>
      <c r="CM360"/>
      <c r="CN360"/>
      <c r="CO360"/>
      <c r="CP360"/>
      <c r="CQ360"/>
      <c r="CR360" s="227"/>
      <c r="CS360"/>
      <c r="CT360"/>
      <c r="CU360"/>
      <c r="CV360"/>
      <c r="CW360"/>
      <c r="CX360"/>
      <c r="CY360"/>
      <c r="CZ360" s="227"/>
      <c r="DA360"/>
      <c r="DB360"/>
      <c r="DC360"/>
      <c r="DD360"/>
      <c r="DE360"/>
      <c r="DF360"/>
      <c r="DG360"/>
      <c r="DH360" s="227"/>
      <c r="DI360" s="3">
        <v>1</v>
      </c>
    </row>
    <row r="361" spans="2:113" s="627" customFormat="1" ht="21" customHeight="1">
      <c r="B361" s="2265" t="str" cm="1">
        <f t="array" ref="B361">SUMPRODUCT(--(D361:J361&lt;&gt;""), LEN(TRIM(SUBSTITUTE(D361:J361, CHAR(160), "")))) &amp; " Car."</f>
        <v>0 Car.</v>
      </c>
      <c r="C361" s="1376" t="str">
        <f>IF(ISBLANK(D361),"",LARGE(C13:C360,1)+1)</f>
        <v/>
      </c>
      <c r="D361" s="1833"/>
      <c r="E361" s="1810"/>
      <c r="F361" s="1810"/>
      <c r="G361" s="1810"/>
      <c r="H361" s="1810"/>
      <c r="I361" s="1810"/>
      <c r="J361" s="1810"/>
      <c r="K361" s="1810"/>
      <c r="L361" s="1811"/>
      <c r="M361"/>
      <c r="N361" s="103" t="str">
        <f t="shared" si="137"/>
        <v>►</v>
      </c>
      <c r="O361" s="1616"/>
      <c r="P361"/>
      <c r="Q361" s="25" t="s">
        <v>15</v>
      </c>
      <c r="R361" s="31"/>
      <c r="S361" s="32"/>
      <c r="T361" s="31"/>
      <c r="U361" s="33"/>
      <c r="V361" s="1967"/>
      <c r="W361" s="1805"/>
      <c r="X361" s="91"/>
      <c r="Y361" s="1806"/>
      <c r="Z361" s="1968"/>
      <c r="AA361" s="2244"/>
      <c r="AB361" s="1969"/>
      <c r="AC361" s="1365"/>
      <c r="AD361" s="95"/>
      <c r="AE361" s="1326"/>
      <c r="AF361" s="97"/>
      <c r="AG361" s="1737"/>
      <c r="AH361" s="1970"/>
      <c r="AI361" s="99"/>
      <c r="AJ361" s="1809"/>
      <c r="AK361" s="6120" t="str">
        <f t="shared" si="138"/>
        <v>►</v>
      </c>
      <c r="AL361" s="781" t="str">
        <f t="shared" si="140"/>
        <v>►</v>
      </c>
      <c r="AM361" s="5499" t="str">
        <f t="shared" si="143"/>
        <v/>
      </c>
      <c r="AN361" s="783" t="str">
        <f t="shared" si="144"/>
        <v/>
      </c>
      <c r="AO361" s="782" t="str">
        <f t="shared" si="145"/>
        <v/>
      </c>
      <c r="AP361" s="783" t="str">
        <f t="shared" si="146"/>
        <v/>
      </c>
      <c r="AQ361" s="2083" t="b">
        <f>AND(Q361="A",COUNTIF(BP16:BR63,TRIM(Z361))&gt;0)</f>
        <v>0</v>
      </c>
      <c r="AR361" s="797" t="str">
        <f>IF(AL361&lt;&gt;"A","",IFERROR(IFERROR(_xlfn.XLOOKUP(TRIM(SUBSTITUTE(Z361,CHAR(160)," ")),BP16:BP63,BS16:BS63),IFERROR(_xlfn.XLOOKUP(TRIM(SUBSTITUTE(Z361,CHAR(160)," ")),BQ16:BQ63,BS16:BS63),_xlfn.XLOOKUP(TRIM(SUBSTITUTE(Z361,CHAR(160)," ")),BR16:BR63,BS16:BS63)))*Y361*IF(ISBLANK(V361),1,V361),0))</f>
        <v/>
      </c>
      <c r="AS361" s="784" t="str">
        <f t="shared" si="136"/>
        <v/>
      </c>
      <c r="AT361" s="1315" t="str">
        <f t="shared" si="147"/>
        <v/>
      </c>
      <c r="AU361" s="785">
        <f t="shared" si="148"/>
        <v>0</v>
      </c>
      <c r="AV361" s="785">
        <f t="shared" si="149"/>
        <v>0</v>
      </c>
      <c r="AW361" s="786">
        <f>IF(AK361="A",AY10,0)</f>
        <v>0</v>
      </c>
      <c r="AX361" s="5495" t="str">
        <f>IF(IFERROR(SEARCH("Adresse PC",TRIM(W361)),0)&gt;0,"▼ receta siguiente",IF(AK361="A",IF(AZ10&lt;&gt;"",AZ10&amp;" - ou.or.o ❾ + or - &gt;",""),""))</f>
        <v/>
      </c>
      <c r="AY361" s="810"/>
      <c r="AZ361" s="810"/>
      <c r="BA361" s="788" t="str">
        <f t="shared" si="139"/>
        <v/>
      </c>
      <c r="BB361" s="789" t="str">
        <f>IF(AK361="A",IF(AQ361,IF(AND(AW361&lt;&gt;"",N(AW361)&gt;0),IFERROR(IFERROR(_xlfn.XLOOKUP(AP361,BP10:BP57,BT10:BT57),IFERROR(_xlfn.XLOOKUP(AP361,BQ10:BQ57,BT10:BT57),_xlfn.XLOOKUP(AP361,BR10:BR57,BT10:BT57,""))),""),""),""),"")</f>
        <v/>
      </c>
      <c r="BC361" s="811" cm="1">
        <f t="array" ref="BC361">IF(NOT(AQ361),0,IF(OR(BA361="",N(BA361)&lt;=0.000000001),"",IF(OR(AU361="",N(AU361)&lt;=0.000000001),0,IF(ISNUMBER(BA361),IFERROR(_xlfn.LET(_xlpm.ai_test,TRIM(AP361),_xlpm.r,IFERROR(_xlfn.XLOOKUP(_xlpm.ai_test,BP16:BP63,ROW(BP16:BP63),0,1),IFERROR(_xlfn.XLOOKUP(_xlpm.ai_test,BQ16:BQ63,ROW(BQ16:BQ63),0,1),_xlfn.XLOOKUP(_xlpm.ai_test,BR16:BR63,ROW(BR16:BR63),0,1))),_xlpm.p,_xlpm.r-MIN(ROW(BP16:BP63))+1,_xlpm.f,INDEX(BS16:BS63,_xlpm.p),_xlpm.u,INDEX(BT16:BT63,_xlpm.p),_xlpm.s,INDEX(BV16:BV63,_xlpm.p),_xlpm.q,N(BA361)/_xlpm.f,IF(_xlpm.q&gt;=_xlpm.s,ROUND(_xlpm.q,1)&amp;" "&amp;_xlpm.ai_test&amp;" = "&amp;ROUND(_xlpm.q*_xlpm.f,1)&amp;" "&amp;_xlpm.u,ROUND(_xlpm.q,1)&amp;" "&amp;_xlpm.ai_test)),""),""))))</f>
        <v>0</v>
      </c>
      <c r="BD361" s="801"/>
      <c r="BE361" s="788" t="str">
        <f t="shared" si="150"/>
        <v/>
      </c>
      <c r="BF361" s="789" t="str">
        <f t="shared" si="151"/>
        <v/>
      </c>
      <c r="BG361" s="790">
        <f t="shared" si="154"/>
        <v>0</v>
      </c>
      <c r="BH361" s="791" t="str">
        <f t="shared" si="155"/>
        <v/>
      </c>
      <c r="BI361" s="792"/>
      <c r="BJ361" s="793">
        <f t="shared" si="153"/>
        <v>0</v>
      </c>
      <c r="BK361" s="794" t="str">
        <f t="shared" si="152"/>
        <v/>
      </c>
      <c r="BL361" s="227" t="s">
        <v>21</v>
      </c>
      <c r="BM361" s="773">
        <f t="shared" si="141"/>
        <v>0</v>
      </c>
      <c r="BN361" s="774">
        <f t="shared" si="142"/>
        <v>0</v>
      </c>
      <c r="BO361"/>
      <c r="BX361"/>
      <c r="BY361"/>
      <c r="BZ361"/>
      <c r="CA361"/>
      <c r="CB361"/>
      <c r="CC361"/>
      <c r="CD361" s="781" t="str">
        <f t="shared" si="135"/>
        <v>►</v>
      </c>
      <c r="CE361" s="633"/>
      <c r="CF361" s="633"/>
      <c r="CG361" s="633"/>
      <c r="CH361" s="633"/>
      <c r="CI361" s="633"/>
      <c r="CJ361" s="227"/>
      <c r="CK361"/>
      <c r="CL361"/>
      <c r="CM361"/>
      <c r="CN361"/>
      <c r="CO361"/>
      <c r="CP361"/>
      <c r="CQ361"/>
      <c r="CR361" s="227"/>
      <c r="CS361"/>
      <c r="CT361"/>
      <c r="CU361"/>
      <c r="CV361"/>
      <c r="CW361"/>
      <c r="CX361"/>
      <c r="CY361"/>
      <c r="CZ361" s="227"/>
      <c r="DA361"/>
      <c r="DB361"/>
      <c r="DC361"/>
      <c r="DD361"/>
      <c r="DE361"/>
      <c r="DF361"/>
      <c r="DG361"/>
      <c r="DH361" s="227"/>
      <c r="DI361" s="3">
        <v>1</v>
      </c>
    </row>
    <row r="362" spans="2:113" s="627" customFormat="1" ht="21" customHeight="1">
      <c r="B362" s="2265" t="str" cm="1">
        <f t="array" ref="B362">SUMPRODUCT(--(D362:J362&lt;&gt;""), LEN(TRIM(SUBSTITUTE(D362:J362, CHAR(160), "")))) &amp; " Car."</f>
        <v>0 Car.</v>
      </c>
      <c r="C362" s="1376" t="str">
        <f>IF(ISBLANK(D362),"",LARGE(C13:C361,1)+1)</f>
        <v/>
      </c>
      <c r="D362" s="1833"/>
      <c r="E362" s="1810"/>
      <c r="F362" s="1810"/>
      <c r="G362" s="1810"/>
      <c r="H362" s="1810"/>
      <c r="I362" s="1810"/>
      <c r="J362" s="1810"/>
      <c r="K362" s="1810"/>
      <c r="L362" s="1811"/>
      <c r="M362"/>
      <c r="N362" s="103" t="str">
        <f t="shared" si="137"/>
        <v>►</v>
      </c>
      <c r="O362" s="1616"/>
      <c r="P362"/>
      <c r="Q362" s="25" t="s">
        <v>15</v>
      </c>
      <c r="R362" s="31"/>
      <c r="S362" s="32"/>
      <c r="T362" s="31"/>
      <c r="U362" s="33"/>
      <c r="V362" s="1967"/>
      <c r="W362" s="1805"/>
      <c r="X362" s="91"/>
      <c r="Y362" s="1806"/>
      <c r="Z362" s="1968"/>
      <c r="AA362" s="2244"/>
      <c r="AB362" s="1969"/>
      <c r="AC362" s="1365"/>
      <c r="AD362" s="95"/>
      <c r="AE362" s="1326"/>
      <c r="AF362" s="97"/>
      <c r="AG362" s="1737"/>
      <c r="AH362" s="1970"/>
      <c r="AI362" s="99"/>
      <c r="AJ362" s="1809"/>
      <c r="AK362" s="6120" t="str">
        <f t="shared" si="138"/>
        <v>►</v>
      </c>
      <c r="AL362" s="781" t="str">
        <f t="shared" si="140"/>
        <v>►</v>
      </c>
      <c r="AM362" s="5498" t="str">
        <f t="shared" si="143"/>
        <v/>
      </c>
      <c r="AN362" s="783" t="str">
        <f t="shared" si="144"/>
        <v/>
      </c>
      <c r="AO362" s="782" t="str">
        <f t="shared" si="145"/>
        <v/>
      </c>
      <c r="AP362" s="783" t="str">
        <f t="shared" si="146"/>
        <v/>
      </c>
      <c r="AQ362" s="2083" t="b">
        <f>AND(Q362="A",COUNTIF(BP16:BR63,TRIM(Z362))&gt;0)</f>
        <v>0</v>
      </c>
      <c r="AR362" s="797" t="str">
        <f>IF(AL362&lt;&gt;"A","",IFERROR(IFERROR(_xlfn.XLOOKUP(TRIM(SUBSTITUTE(Z362,CHAR(160)," ")),BP16:BP63,BS16:BS63),IFERROR(_xlfn.XLOOKUP(TRIM(SUBSTITUTE(Z362,CHAR(160)," ")),BQ16:BQ63,BS16:BS63),_xlfn.XLOOKUP(TRIM(SUBSTITUTE(Z362,CHAR(160)," ")),BR16:BR63,BS16:BS63)))*Y362*IF(ISBLANK(V362),1,V362),0))</f>
        <v/>
      </c>
      <c r="AS362" s="784" t="str">
        <f t="shared" si="136"/>
        <v/>
      </c>
      <c r="AT362" s="1315" t="str">
        <f t="shared" si="147"/>
        <v/>
      </c>
      <c r="AU362" s="785">
        <f t="shared" si="148"/>
        <v>0</v>
      </c>
      <c r="AV362" s="785">
        <f t="shared" si="149"/>
        <v>0</v>
      </c>
      <c r="AW362" s="798">
        <f>IF(AK362="A",AY10,0)</f>
        <v>0</v>
      </c>
      <c r="AX362" s="5496" t="str">
        <f>IF(IFERROR(SEARCH("Adresse PC",TRIM(W362)),0)&gt;0,"▼ receta siguiente",IF(AK362="A",IF(AZ10&lt;&gt;"",AZ10&amp;" - ou.or.o ❾ + or - &gt;",""),""))</f>
        <v/>
      </c>
      <c r="AY362" s="810"/>
      <c r="AZ362" s="810"/>
      <c r="BA362" s="799" t="str">
        <f t="shared" si="139"/>
        <v/>
      </c>
      <c r="BB362" s="800" t="str">
        <f>IF(AK362="A",IF(AQ362,IF(AND(AW362&lt;&gt;"",N(AW362)&gt;0),IFERROR(IFERROR(_xlfn.XLOOKUP(AP362,BP10:BP57,BT10:BT57),IFERROR(_xlfn.XLOOKUP(AP362,BQ10:BQ57,BT10:BT57),_xlfn.XLOOKUP(AP362,BR10:BR57,BT10:BT57,""))),""),""),""),"")</f>
        <v/>
      </c>
      <c r="BC362" s="813" cm="1">
        <f t="array" ref="BC362">IF(NOT(AQ362),0,IF(OR(BA362="",N(BA362)&lt;=0.000000001),"",IF(OR(AU362="",N(AU362)&lt;=0.000000001),0,IF(ISNUMBER(BA362),IFERROR(_xlfn.LET(_xlpm.ai_test,TRIM(AP362),_xlpm.r,IFERROR(_xlfn.XLOOKUP(_xlpm.ai_test,BP16:BP63,ROW(BP16:BP63),0,1),IFERROR(_xlfn.XLOOKUP(_xlpm.ai_test,BQ16:BQ63,ROW(BQ16:BQ63),0,1),_xlfn.XLOOKUP(_xlpm.ai_test,BR16:BR63,ROW(BR16:BR63),0,1))),_xlpm.p,_xlpm.r-MIN(ROW(BP16:BP63))+1,_xlpm.f,INDEX(BS16:BS63,_xlpm.p),_xlpm.u,INDEX(BT16:BT63,_xlpm.p),_xlpm.s,INDEX(BV16:BV63,_xlpm.p),_xlpm.q,N(BA362)/_xlpm.f,IF(_xlpm.q&gt;=_xlpm.s,ROUND(_xlpm.q,1)&amp;" "&amp;_xlpm.ai_test&amp;" = "&amp;ROUND(_xlpm.q*_xlpm.f,1)&amp;" "&amp;_xlpm.u,ROUND(_xlpm.q,1)&amp;" "&amp;_xlpm.ai_test)),""),""))))</f>
        <v>0</v>
      </c>
      <c r="BD362" s="801"/>
      <c r="BE362" s="799" t="str">
        <f t="shared" si="150"/>
        <v/>
      </c>
      <c r="BF362" s="800" t="str">
        <f t="shared" si="151"/>
        <v/>
      </c>
      <c r="BG362" s="802">
        <f t="shared" si="154"/>
        <v>0</v>
      </c>
      <c r="BH362" s="803" t="str">
        <f t="shared" si="155"/>
        <v/>
      </c>
      <c r="BI362" s="792"/>
      <c r="BJ362" s="804">
        <f t="shared" si="153"/>
        <v>0</v>
      </c>
      <c r="BK362" s="794" t="str">
        <f t="shared" si="152"/>
        <v/>
      </c>
      <c r="BL362" s="227" t="s">
        <v>21</v>
      </c>
      <c r="BM362" s="773">
        <f t="shared" si="141"/>
        <v>0</v>
      </c>
      <c r="BN362" s="774">
        <f t="shared" si="142"/>
        <v>0</v>
      </c>
      <c r="BO362"/>
      <c r="BX362"/>
      <c r="BY362"/>
      <c r="BZ362"/>
      <c r="CA362"/>
      <c r="CB362"/>
      <c r="CC362"/>
      <c r="CD362" s="781" t="str">
        <f t="shared" si="135"/>
        <v>►</v>
      </c>
      <c r="CE362" s="633"/>
      <c r="CF362" s="633"/>
      <c r="CG362" s="633"/>
      <c r="CH362" s="633"/>
      <c r="CI362" s="633"/>
      <c r="CJ362" s="227"/>
      <c r="CK362"/>
      <c r="CL362"/>
      <c r="CM362"/>
      <c r="CN362"/>
      <c r="CO362"/>
      <c r="CP362"/>
      <c r="CQ362"/>
      <c r="CR362" s="227"/>
      <c r="CS362"/>
      <c r="CT362"/>
      <c r="CU362"/>
      <c r="CV362"/>
      <c r="CW362"/>
      <c r="CX362"/>
      <c r="CY362"/>
      <c r="CZ362" s="227"/>
      <c r="DA362"/>
      <c r="DB362"/>
      <c r="DC362"/>
      <c r="DD362"/>
      <c r="DE362"/>
      <c r="DF362"/>
      <c r="DG362"/>
      <c r="DH362" s="227"/>
      <c r="DI362" s="3">
        <v>1</v>
      </c>
    </row>
    <row r="363" spans="2:113" s="627" customFormat="1" ht="21" customHeight="1">
      <c r="B363" s="2265" t="str" cm="1">
        <f t="array" ref="B363">SUMPRODUCT(--(D363:J363&lt;&gt;""), LEN(TRIM(SUBSTITUTE(D363:J363, CHAR(160), "")))) &amp; " Car."</f>
        <v>0 Car.</v>
      </c>
      <c r="C363" s="1376" t="str">
        <f>IF(ISBLANK(D363),"",LARGE(C13:C362,1)+1)</f>
        <v/>
      </c>
      <c r="D363" s="1833"/>
      <c r="E363" s="1810"/>
      <c r="F363" s="1810"/>
      <c r="G363" s="1810"/>
      <c r="H363" s="1810"/>
      <c r="I363" s="1810"/>
      <c r="J363" s="1810"/>
      <c r="K363" s="1810"/>
      <c r="L363" s="1811"/>
      <c r="M363"/>
      <c r="N363" s="103" t="str">
        <f t="shared" si="137"/>
        <v>►</v>
      </c>
      <c r="O363" s="1616"/>
      <c r="P363"/>
      <c r="Q363" s="25" t="s">
        <v>15</v>
      </c>
      <c r="R363" s="31"/>
      <c r="S363" s="32"/>
      <c r="T363" s="31"/>
      <c r="U363" s="33"/>
      <c r="V363" s="1967"/>
      <c r="W363" s="1805"/>
      <c r="X363" s="91"/>
      <c r="Y363" s="1806"/>
      <c r="Z363" s="1968"/>
      <c r="AA363" s="2244"/>
      <c r="AB363" s="1969"/>
      <c r="AC363" s="1365"/>
      <c r="AD363" s="95"/>
      <c r="AE363" s="1326"/>
      <c r="AF363" s="97"/>
      <c r="AG363" s="1737"/>
      <c r="AH363" s="1970"/>
      <c r="AI363" s="99"/>
      <c r="AJ363" s="1809"/>
      <c r="AK363" s="6120" t="str">
        <f t="shared" si="138"/>
        <v>►</v>
      </c>
      <c r="AL363" s="781" t="str">
        <f t="shared" si="140"/>
        <v>►</v>
      </c>
      <c r="AM363" s="5499" t="str">
        <f t="shared" si="143"/>
        <v/>
      </c>
      <c r="AN363" s="783" t="str">
        <f t="shared" si="144"/>
        <v/>
      </c>
      <c r="AO363" s="782" t="str">
        <f t="shared" si="145"/>
        <v/>
      </c>
      <c r="AP363" s="783" t="str">
        <f t="shared" si="146"/>
        <v/>
      </c>
      <c r="AQ363" s="2083" t="b">
        <f>AND(Q363="A",COUNTIF(BP16:BR63,TRIM(Z363))&gt;0)</f>
        <v>0</v>
      </c>
      <c r="AR363" s="797" t="str">
        <f>IF(AL363&lt;&gt;"A","",IFERROR(IFERROR(_xlfn.XLOOKUP(TRIM(SUBSTITUTE(Z363,CHAR(160)," ")),BP16:BP63,BS16:BS63),IFERROR(_xlfn.XLOOKUP(TRIM(SUBSTITUTE(Z363,CHAR(160)," ")),BQ16:BQ63,BS16:BS63),_xlfn.XLOOKUP(TRIM(SUBSTITUTE(Z363,CHAR(160)," ")),BR16:BR63,BS16:BS63)))*Y363*IF(ISBLANK(V363),1,V363),0))</f>
        <v/>
      </c>
      <c r="AS363" s="784" t="str">
        <f t="shared" si="136"/>
        <v/>
      </c>
      <c r="AT363" s="1315" t="str">
        <f t="shared" si="147"/>
        <v/>
      </c>
      <c r="AU363" s="785">
        <f t="shared" si="148"/>
        <v>0</v>
      </c>
      <c r="AV363" s="785">
        <f t="shared" si="149"/>
        <v>0</v>
      </c>
      <c r="AW363" s="786">
        <f>IF(AK363="A",AY10,0)</f>
        <v>0</v>
      </c>
      <c r="AX363" s="5495" t="str">
        <f>IF(IFERROR(SEARCH("Adresse PC",TRIM(W363)),0)&gt;0,"▼ receta siguiente",IF(AK363="A",IF(AZ10&lt;&gt;"",AZ10&amp;" - ou.or.o ❾ + or - &gt;",""),""))</f>
        <v/>
      </c>
      <c r="AY363" s="810"/>
      <c r="AZ363" s="810"/>
      <c r="BA363" s="788" t="str">
        <f t="shared" si="139"/>
        <v/>
      </c>
      <c r="BB363" s="789" t="str">
        <f>IF(AK363="A",IF(AQ363,IF(AND(AW363&lt;&gt;"",N(AW363)&gt;0),IFERROR(IFERROR(_xlfn.XLOOKUP(AP363,BP10:BP57,BT10:BT57),IFERROR(_xlfn.XLOOKUP(AP363,BQ10:BQ57,BT10:BT57),_xlfn.XLOOKUP(AP363,BR10:BR57,BT10:BT57,""))),""),""),""),"")</f>
        <v/>
      </c>
      <c r="BC363" s="811" cm="1">
        <f t="array" ref="BC363">IF(NOT(AQ363),0,IF(OR(BA363="",N(BA363)&lt;=0.000000001),"",IF(OR(AU363="",N(AU363)&lt;=0.000000001),0,IF(ISNUMBER(BA363),IFERROR(_xlfn.LET(_xlpm.ai_test,TRIM(AP363),_xlpm.r,IFERROR(_xlfn.XLOOKUP(_xlpm.ai_test,BP16:BP63,ROW(BP16:BP63),0,1),IFERROR(_xlfn.XLOOKUP(_xlpm.ai_test,BQ16:BQ63,ROW(BQ16:BQ63),0,1),_xlfn.XLOOKUP(_xlpm.ai_test,BR16:BR63,ROW(BR16:BR63),0,1))),_xlpm.p,_xlpm.r-MIN(ROW(BP16:BP63))+1,_xlpm.f,INDEX(BS16:BS63,_xlpm.p),_xlpm.u,INDEX(BT16:BT63,_xlpm.p),_xlpm.s,INDEX(BV16:BV63,_xlpm.p),_xlpm.q,N(BA363)/_xlpm.f,IF(_xlpm.q&gt;=_xlpm.s,ROUND(_xlpm.q,1)&amp;" "&amp;_xlpm.ai_test&amp;" = "&amp;ROUND(_xlpm.q*_xlpm.f,1)&amp;" "&amp;_xlpm.u,ROUND(_xlpm.q,1)&amp;" "&amp;_xlpm.ai_test)),""),""))))</f>
        <v>0</v>
      </c>
      <c r="BD363" s="801"/>
      <c r="BE363" s="788" t="str">
        <f t="shared" si="150"/>
        <v/>
      </c>
      <c r="BF363" s="789" t="str">
        <f t="shared" si="151"/>
        <v/>
      </c>
      <c r="BG363" s="790">
        <f t="shared" si="154"/>
        <v>0</v>
      </c>
      <c r="BH363" s="791" t="str">
        <f t="shared" si="155"/>
        <v/>
      </c>
      <c r="BI363" s="792"/>
      <c r="BJ363" s="793">
        <f t="shared" si="153"/>
        <v>0</v>
      </c>
      <c r="BK363" s="794" t="str">
        <f t="shared" si="152"/>
        <v/>
      </c>
      <c r="BL363" s="227" t="s">
        <v>21</v>
      </c>
      <c r="BM363" s="773">
        <f t="shared" si="141"/>
        <v>0</v>
      </c>
      <c r="BN363" s="774">
        <f t="shared" si="142"/>
        <v>0</v>
      </c>
      <c r="BO363"/>
      <c r="BX363"/>
      <c r="BY363"/>
      <c r="BZ363"/>
      <c r="CA363"/>
      <c r="CB363"/>
      <c r="CC363"/>
      <c r="CD363" s="781" t="str">
        <f t="shared" si="135"/>
        <v>►</v>
      </c>
      <c r="CE363" s="633"/>
      <c r="CF363" s="633"/>
      <c r="CG363" s="633"/>
      <c r="CH363" s="633"/>
      <c r="CI363" s="633"/>
      <c r="CJ363" s="227"/>
      <c r="CK363"/>
      <c r="CL363"/>
      <c r="CM363"/>
      <c r="CN363"/>
      <c r="CO363"/>
      <c r="CP363"/>
      <c r="CQ363"/>
      <c r="CR363" s="227"/>
      <c r="CS363"/>
      <c r="CT363"/>
      <c r="CU363"/>
      <c r="CV363"/>
      <c r="CW363"/>
      <c r="CX363"/>
      <c r="CY363"/>
      <c r="CZ363" s="227"/>
      <c r="DA363"/>
      <c r="DB363"/>
      <c r="DC363"/>
      <c r="DD363"/>
      <c r="DE363"/>
      <c r="DF363"/>
      <c r="DG363"/>
      <c r="DH363" s="227"/>
      <c r="DI363" s="3">
        <v>1</v>
      </c>
    </row>
    <row r="364" spans="2:113" s="627" customFormat="1" ht="21" customHeight="1">
      <c r="B364" s="2265" t="str" cm="1">
        <f t="array" ref="B364">SUMPRODUCT(--(D364:J364&lt;&gt;""), LEN(TRIM(SUBSTITUTE(D364:J364, CHAR(160), "")))) &amp; " Car."</f>
        <v>0 Car.</v>
      </c>
      <c r="C364" s="1376" t="str">
        <f>IF(ISBLANK(D364),"",LARGE(C13:C363,1)+1)</f>
        <v/>
      </c>
      <c r="D364" s="1833"/>
      <c r="E364" s="1810"/>
      <c r="F364" s="1810"/>
      <c r="G364" s="1810"/>
      <c r="H364" s="1810"/>
      <c r="I364" s="1810"/>
      <c r="J364" s="1810"/>
      <c r="K364" s="1810"/>
      <c r="L364" s="1811"/>
      <c r="M364"/>
      <c r="N364" s="103" t="str">
        <f t="shared" si="137"/>
        <v>►</v>
      </c>
      <c r="O364" s="1616"/>
      <c r="P364"/>
      <c r="Q364" s="25" t="s">
        <v>15</v>
      </c>
      <c r="R364" s="31"/>
      <c r="S364" s="32"/>
      <c r="T364" s="31"/>
      <c r="U364" s="33"/>
      <c r="V364" s="1967"/>
      <c r="W364" s="1805"/>
      <c r="X364" s="91"/>
      <c r="Y364" s="1806"/>
      <c r="Z364" s="1968"/>
      <c r="AA364" s="2244"/>
      <c r="AB364" s="1969"/>
      <c r="AC364" s="1365"/>
      <c r="AD364" s="95"/>
      <c r="AE364" s="1326"/>
      <c r="AF364" s="97"/>
      <c r="AG364" s="1737"/>
      <c r="AH364" s="1970"/>
      <c r="AI364" s="99"/>
      <c r="AJ364" s="1809"/>
      <c r="AK364" s="6120" t="str">
        <f t="shared" si="138"/>
        <v>►</v>
      </c>
      <c r="AL364" s="781" t="str">
        <f t="shared" si="140"/>
        <v>►</v>
      </c>
      <c r="AM364" s="5498" t="str">
        <f t="shared" si="143"/>
        <v/>
      </c>
      <c r="AN364" s="783" t="str">
        <f t="shared" si="144"/>
        <v/>
      </c>
      <c r="AO364" s="782" t="str">
        <f t="shared" si="145"/>
        <v/>
      </c>
      <c r="AP364" s="783" t="str">
        <f t="shared" si="146"/>
        <v/>
      </c>
      <c r="AQ364" s="2083" t="b">
        <f>AND(Q364="A",COUNTIF(BP16:BR63,TRIM(Z364))&gt;0)</f>
        <v>0</v>
      </c>
      <c r="AR364" s="797" t="str">
        <f>IF(AL364&lt;&gt;"A","",IFERROR(IFERROR(_xlfn.XLOOKUP(TRIM(SUBSTITUTE(Z364,CHAR(160)," ")),BP16:BP63,BS16:BS63),IFERROR(_xlfn.XLOOKUP(TRIM(SUBSTITUTE(Z364,CHAR(160)," ")),BQ16:BQ63,BS16:BS63),_xlfn.XLOOKUP(TRIM(SUBSTITUTE(Z364,CHAR(160)," ")),BR16:BR63,BS16:BS63)))*Y364*IF(ISBLANK(V364),1,V364),0))</f>
        <v/>
      </c>
      <c r="AS364" s="784" t="str">
        <f t="shared" si="136"/>
        <v/>
      </c>
      <c r="AT364" s="1315" t="str">
        <f t="shared" si="147"/>
        <v/>
      </c>
      <c r="AU364" s="785">
        <f t="shared" si="148"/>
        <v>0</v>
      </c>
      <c r="AV364" s="785">
        <f t="shared" si="149"/>
        <v>0</v>
      </c>
      <c r="AW364" s="798">
        <f>IF(AK364="A",AY10,0)</f>
        <v>0</v>
      </c>
      <c r="AX364" s="5496" t="str">
        <f>IF(IFERROR(SEARCH("Adresse PC",TRIM(W364)),0)&gt;0,"▼ receta siguiente",IF(AK364="A",IF(AZ10&lt;&gt;"",AZ10&amp;" - ou.or.o ❾ + or - &gt;",""),""))</f>
        <v/>
      </c>
      <c r="AY364" s="810"/>
      <c r="AZ364" s="810"/>
      <c r="BA364" s="799" t="str">
        <f t="shared" si="139"/>
        <v/>
      </c>
      <c r="BB364" s="800" t="str">
        <f>IF(AK364="A",IF(AQ364,IF(AND(AW364&lt;&gt;"",N(AW364)&gt;0),IFERROR(IFERROR(_xlfn.XLOOKUP(AP364,BP10:BP57,BT10:BT57),IFERROR(_xlfn.XLOOKUP(AP364,BQ10:BQ57,BT10:BT57),_xlfn.XLOOKUP(AP364,BR10:BR57,BT10:BT57,""))),""),""),""),"")</f>
        <v/>
      </c>
      <c r="BC364" s="813" cm="1">
        <f t="array" ref="BC364">IF(NOT(AQ364),0,IF(OR(BA364="",N(BA364)&lt;=0.000000001),"",IF(OR(AU364="",N(AU364)&lt;=0.000000001),0,IF(ISNUMBER(BA364),IFERROR(_xlfn.LET(_xlpm.ai_test,TRIM(AP364),_xlpm.r,IFERROR(_xlfn.XLOOKUP(_xlpm.ai_test,BP16:BP63,ROW(BP16:BP63),0,1),IFERROR(_xlfn.XLOOKUP(_xlpm.ai_test,BQ16:BQ63,ROW(BQ16:BQ63),0,1),_xlfn.XLOOKUP(_xlpm.ai_test,BR16:BR63,ROW(BR16:BR63),0,1))),_xlpm.p,_xlpm.r-MIN(ROW(BP16:BP63))+1,_xlpm.f,INDEX(BS16:BS63,_xlpm.p),_xlpm.u,INDEX(BT16:BT63,_xlpm.p),_xlpm.s,INDEX(BV16:BV63,_xlpm.p),_xlpm.q,N(BA364)/_xlpm.f,IF(_xlpm.q&gt;=_xlpm.s,ROUND(_xlpm.q,1)&amp;" "&amp;_xlpm.ai_test&amp;" = "&amp;ROUND(_xlpm.q*_xlpm.f,1)&amp;" "&amp;_xlpm.u,ROUND(_xlpm.q,1)&amp;" "&amp;_xlpm.ai_test)),""),""))))</f>
        <v>0</v>
      </c>
      <c r="BD364" s="801"/>
      <c r="BE364" s="799" t="str">
        <f t="shared" si="150"/>
        <v/>
      </c>
      <c r="BF364" s="800" t="str">
        <f t="shared" si="151"/>
        <v/>
      </c>
      <c r="BG364" s="802">
        <f t="shared" si="154"/>
        <v>0</v>
      </c>
      <c r="BH364" s="803" t="str">
        <f t="shared" si="155"/>
        <v/>
      </c>
      <c r="BI364" s="792"/>
      <c r="BJ364" s="804">
        <f t="shared" si="153"/>
        <v>0</v>
      </c>
      <c r="BK364" s="794" t="str">
        <f t="shared" si="152"/>
        <v/>
      </c>
      <c r="BL364" s="227" t="s">
        <v>21</v>
      </c>
      <c r="BM364" s="773">
        <f t="shared" si="141"/>
        <v>0</v>
      </c>
      <c r="BN364" s="774">
        <f t="shared" si="142"/>
        <v>0</v>
      </c>
      <c r="BO364"/>
      <c r="BX364"/>
      <c r="BY364"/>
      <c r="BZ364"/>
      <c r="CA364"/>
      <c r="CB364"/>
      <c r="CC364"/>
      <c r="CD364" s="781" t="str">
        <f t="shared" si="135"/>
        <v>►</v>
      </c>
      <c r="CE364" s="633"/>
      <c r="CF364" s="633"/>
      <c r="CG364" s="633"/>
      <c r="CH364" s="633"/>
      <c r="CI364" s="633"/>
      <c r="CJ364" s="227"/>
      <c r="CK364"/>
      <c r="CL364"/>
      <c r="CM364"/>
      <c r="CN364"/>
      <c r="CO364"/>
      <c r="CP364"/>
      <c r="CQ364"/>
      <c r="CR364" s="227"/>
      <c r="CS364"/>
      <c r="CT364"/>
      <c r="CU364"/>
      <c r="CV364"/>
      <c r="CW364"/>
      <c r="CX364"/>
      <c r="CY364"/>
      <c r="CZ364" s="227"/>
      <c r="DA364"/>
      <c r="DB364"/>
      <c r="DC364"/>
      <c r="DD364"/>
      <c r="DE364"/>
      <c r="DF364"/>
      <c r="DG364"/>
      <c r="DH364" s="227"/>
      <c r="DI364" s="3">
        <v>1</v>
      </c>
    </row>
    <row r="365" spans="2:113" s="627" customFormat="1" ht="21" customHeight="1">
      <c r="B365" s="2265" t="str" cm="1">
        <f t="array" ref="B365">SUMPRODUCT(--(D365:J365&lt;&gt;""), LEN(TRIM(SUBSTITUTE(D365:J365, CHAR(160), "")))) &amp; " Car."</f>
        <v>0 Car.</v>
      </c>
      <c r="C365" s="1376" t="str">
        <f>IF(ISBLANK(D365),"",LARGE(C13:C364,1)+1)</f>
        <v/>
      </c>
      <c r="D365" s="1833"/>
      <c r="E365" s="1810"/>
      <c r="F365" s="1810"/>
      <c r="G365" s="1810"/>
      <c r="H365" s="1810"/>
      <c r="I365" s="1810"/>
      <c r="J365" s="1810"/>
      <c r="K365" s="1810"/>
      <c r="L365" s="1811"/>
      <c r="M365"/>
      <c r="N365" s="103" t="str">
        <f t="shared" si="137"/>
        <v>►</v>
      </c>
      <c r="O365" s="1616"/>
      <c r="P365"/>
      <c r="Q365" s="25" t="s">
        <v>15</v>
      </c>
      <c r="R365" s="31"/>
      <c r="S365" s="32"/>
      <c r="T365" s="31"/>
      <c r="U365" s="33"/>
      <c r="V365" s="1967"/>
      <c r="W365" s="1805"/>
      <c r="X365" s="91"/>
      <c r="Y365" s="1806"/>
      <c r="Z365" s="1968"/>
      <c r="AA365" s="2244"/>
      <c r="AB365" s="1969"/>
      <c r="AC365" s="1365"/>
      <c r="AD365" s="95"/>
      <c r="AE365" s="1326"/>
      <c r="AF365" s="97"/>
      <c r="AG365" s="1737"/>
      <c r="AH365" s="1970"/>
      <c r="AI365" s="99"/>
      <c r="AJ365" s="1809"/>
      <c r="AK365" s="6120" t="str">
        <f t="shared" si="138"/>
        <v>►</v>
      </c>
      <c r="AL365" s="781" t="str">
        <f t="shared" si="140"/>
        <v>►</v>
      </c>
      <c r="AM365" s="5499" t="str">
        <f t="shared" si="143"/>
        <v/>
      </c>
      <c r="AN365" s="783" t="str">
        <f t="shared" si="144"/>
        <v/>
      </c>
      <c r="AO365" s="782" t="str">
        <f t="shared" si="145"/>
        <v/>
      </c>
      <c r="AP365" s="783" t="str">
        <f t="shared" si="146"/>
        <v/>
      </c>
      <c r="AQ365" s="2083" t="b">
        <f>AND(Q365="A",COUNTIF(BP16:BR63,TRIM(Z365))&gt;0)</f>
        <v>0</v>
      </c>
      <c r="AR365" s="797" t="str">
        <f>IF(AL365&lt;&gt;"A","",IFERROR(IFERROR(_xlfn.XLOOKUP(TRIM(SUBSTITUTE(Z365,CHAR(160)," ")),BP16:BP63,BS16:BS63),IFERROR(_xlfn.XLOOKUP(TRIM(SUBSTITUTE(Z365,CHAR(160)," ")),BQ16:BQ63,BS16:BS63),_xlfn.XLOOKUP(TRIM(SUBSTITUTE(Z365,CHAR(160)," ")),BR16:BR63,BS16:BS63)))*Y365*IF(ISBLANK(V365),1,V365),0))</f>
        <v/>
      </c>
      <c r="AS365" s="784" t="str">
        <f t="shared" si="136"/>
        <v/>
      </c>
      <c r="AT365" s="1315" t="str">
        <f t="shared" si="147"/>
        <v/>
      </c>
      <c r="AU365" s="785">
        <f t="shared" si="148"/>
        <v>0</v>
      </c>
      <c r="AV365" s="785">
        <f t="shared" si="149"/>
        <v>0</v>
      </c>
      <c r="AW365" s="786">
        <f>IF(AK365="A",AY10,0)</f>
        <v>0</v>
      </c>
      <c r="AX365" s="5495" t="str">
        <f>IF(IFERROR(SEARCH("Adresse PC",TRIM(W365)),0)&gt;0,"▼ receta siguiente",IF(AK365="A",IF(AZ10&lt;&gt;"",AZ10&amp;" - ou.or.o ❾ + or - &gt;",""),""))</f>
        <v/>
      </c>
      <c r="AY365" s="810"/>
      <c r="AZ365" s="810"/>
      <c r="BA365" s="788" t="str">
        <f t="shared" si="139"/>
        <v/>
      </c>
      <c r="BB365" s="789" t="str">
        <f>IF(AK365="A",IF(AQ365,IF(AND(AW365&lt;&gt;"",N(AW365)&gt;0),IFERROR(IFERROR(_xlfn.XLOOKUP(AP365,BP10:BP57,BT10:BT57),IFERROR(_xlfn.XLOOKUP(AP365,BQ10:BQ57,BT10:BT57),_xlfn.XLOOKUP(AP365,BR10:BR57,BT10:BT57,""))),""),""),""),"")</f>
        <v/>
      </c>
      <c r="BC365" s="811" cm="1">
        <f t="array" ref="BC365">IF(NOT(AQ365),0,IF(OR(BA365="",N(BA365)&lt;=0.000000001),"",IF(OR(AU365="",N(AU365)&lt;=0.000000001),0,IF(ISNUMBER(BA365),IFERROR(_xlfn.LET(_xlpm.ai_test,TRIM(AP365),_xlpm.r,IFERROR(_xlfn.XLOOKUP(_xlpm.ai_test,BP16:BP63,ROW(BP16:BP63),0,1),IFERROR(_xlfn.XLOOKUP(_xlpm.ai_test,BQ16:BQ63,ROW(BQ16:BQ63),0,1),_xlfn.XLOOKUP(_xlpm.ai_test,BR16:BR63,ROW(BR16:BR63),0,1))),_xlpm.p,_xlpm.r-MIN(ROW(BP16:BP63))+1,_xlpm.f,INDEX(BS16:BS63,_xlpm.p),_xlpm.u,INDEX(BT16:BT63,_xlpm.p),_xlpm.s,INDEX(BV16:BV63,_xlpm.p),_xlpm.q,N(BA365)/_xlpm.f,IF(_xlpm.q&gt;=_xlpm.s,ROUND(_xlpm.q,1)&amp;" "&amp;_xlpm.ai_test&amp;" = "&amp;ROUND(_xlpm.q*_xlpm.f,1)&amp;" "&amp;_xlpm.u,ROUND(_xlpm.q,1)&amp;" "&amp;_xlpm.ai_test)),""),""))))</f>
        <v>0</v>
      </c>
      <c r="BD365" s="801"/>
      <c r="BE365" s="788" t="str">
        <f t="shared" si="150"/>
        <v/>
      </c>
      <c r="BF365" s="789" t="str">
        <f t="shared" si="151"/>
        <v/>
      </c>
      <c r="BG365" s="790">
        <f t="shared" si="154"/>
        <v>0</v>
      </c>
      <c r="BH365" s="791" t="str">
        <f t="shared" si="155"/>
        <v/>
      </c>
      <c r="BI365" s="792"/>
      <c r="BJ365" s="793">
        <f t="shared" si="153"/>
        <v>0</v>
      </c>
      <c r="BK365" s="794" t="str">
        <f t="shared" si="152"/>
        <v/>
      </c>
      <c r="BL365" s="227" t="s">
        <v>21</v>
      </c>
      <c r="BM365" s="773">
        <f t="shared" si="141"/>
        <v>0</v>
      </c>
      <c r="BN365" s="774">
        <f t="shared" si="142"/>
        <v>0</v>
      </c>
      <c r="BO365"/>
      <c r="BX365"/>
      <c r="BY365"/>
      <c r="BZ365"/>
      <c r="CA365"/>
      <c r="CB365"/>
      <c r="CC365"/>
      <c r="CD365" s="781" t="str">
        <f t="shared" si="135"/>
        <v>►</v>
      </c>
      <c r="CE365" s="633"/>
      <c r="CF365" s="633"/>
      <c r="CG365" s="633"/>
      <c r="CH365" s="633"/>
      <c r="CI365" s="633"/>
      <c r="CJ365" s="227"/>
      <c r="CK365"/>
      <c r="CL365"/>
      <c r="CM365"/>
      <c r="CN365"/>
      <c r="CO365"/>
      <c r="CP365"/>
      <c r="CQ365"/>
      <c r="CR365" s="227"/>
      <c r="CS365"/>
      <c r="CT365"/>
      <c r="CU365"/>
      <c r="CV365"/>
      <c r="CW365"/>
      <c r="CX365"/>
      <c r="CY365"/>
      <c r="CZ365" s="227"/>
      <c r="DA365"/>
      <c r="DB365"/>
      <c r="DC365"/>
      <c r="DD365"/>
      <c r="DE365"/>
      <c r="DF365"/>
      <c r="DG365"/>
      <c r="DH365" s="227"/>
      <c r="DI365" s="3">
        <v>1</v>
      </c>
    </row>
    <row r="366" spans="2:113" s="627" customFormat="1" ht="21" customHeight="1">
      <c r="B366" s="2265" t="str" cm="1">
        <f t="array" ref="B366">SUMPRODUCT(--(D366:J366&lt;&gt;""), LEN(TRIM(SUBSTITUTE(D366:J366, CHAR(160), "")))) &amp; " Car."</f>
        <v>0 Car.</v>
      </c>
      <c r="C366" s="1376" t="str">
        <f>IF(ISBLANK(D366),"",LARGE(C13:C365,1)+1)</f>
        <v/>
      </c>
      <c r="D366" s="1833"/>
      <c r="E366" s="1810"/>
      <c r="F366" s="1810"/>
      <c r="G366" s="1810"/>
      <c r="H366" s="1810"/>
      <c r="I366" s="1810"/>
      <c r="J366" s="1810"/>
      <c r="K366" s="1810"/>
      <c r="L366" s="1811"/>
      <c r="M366"/>
      <c r="N366" s="103" t="str">
        <f t="shared" si="137"/>
        <v>►</v>
      </c>
      <c r="O366" s="1616"/>
      <c r="P366"/>
      <c r="Q366" s="25" t="s">
        <v>15</v>
      </c>
      <c r="R366" s="31"/>
      <c r="S366" s="32"/>
      <c r="T366" s="31"/>
      <c r="U366" s="33"/>
      <c r="V366" s="1967"/>
      <c r="W366" s="1805"/>
      <c r="X366" s="91"/>
      <c r="Y366" s="1806"/>
      <c r="Z366" s="1968"/>
      <c r="AA366" s="2244"/>
      <c r="AB366" s="1969"/>
      <c r="AC366" s="1365"/>
      <c r="AD366" s="95"/>
      <c r="AE366" s="1326"/>
      <c r="AF366" s="97"/>
      <c r="AG366" s="1737"/>
      <c r="AH366" s="1970"/>
      <c r="AI366" s="99"/>
      <c r="AJ366" s="1809"/>
      <c r="AK366" s="6120" t="str">
        <f t="shared" si="138"/>
        <v>►</v>
      </c>
      <c r="AL366" s="781" t="str">
        <f t="shared" si="140"/>
        <v>►</v>
      </c>
      <c r="AM366" s="5498" t="str">
        <f t="shared" si="143"/>
        <v/>
      </c>
      <c r="AN366" s="783" t="str">
        <f t="shared" si="144"/>
        <v/>
      </c>
      <c r="AO366" s="782" t="str">
        <f t="shared" si="145"/>
        <v/>
      </c>
      <c r="AP366" s="783" t="str">
        <f t="shared" si="146"/>
        <v/>
      </c>
      <c r="AQ366" s="2083" t="b">
        <f>AND(Q366="A",COUNTIF(BP16:BR63,TRIM(Z366))&gt;0)</f>
        <v>0</v>
      </c>
      <c r="AR366" s="797" t="str">
        <f>IF(AL366&lt;&gt;"A","",IFERROR(IFERROR(_xlfn.XLOOKUP(TRIM(SUBSTITUTE(Z366,CHAR(160)," ")),BP16:BP63,BS16:BS63),IFERROR(_xlfn.XLOOKUP(TRIM(SUBSTITUTE(Z366,CHAR(160)," ")),BQ16:BQ63,BS16:BS63),_xlfn.XLOOKUP(TRIM(SUBSTITUTE(Z366,CHAR(160)," ")),BR16:BR63,BS16:BS63)))*Y366*IF(ISBLANK(V366),1,V366),0))</f>
        <v/>
      </c>
      <c r="AS366" s="784" t="str">
        <f t="shared" si="136"/>
        <v/>
      </c>
      <c r="AT366" s="1315" t="str">
        <f t="shared" si="147"/>
        <v/>
      </c>
      <c r="AU366" s="785">
        <f t="shared" si="148"/>
        <v>0</v>
      </c>
      <c r="AV366" s="785">
        <f t="shared" si="149"/>
        <v>0</v>
      </c>
      <c r="AW366" s="798">
        <f>IF(AK366="A",AY10,0)</f>
        <v>0</v>
      </c>
      <c r="AX366" s="5496" t="str">
        <f>IF(IFERROR(SEARCH("Adresse PC",TRIM(W366)),0)&gt;0,"▼ receta siguiente",IF(AK366="A",IF(AZ10&lt;&gt;"",AZ10&amp;" - ou.or.o ❾ + or - &gt;",""),""))</f>
        <v/>
      </c>
      <c r="AY366" s="810"/>
      <c r="AZ366" s="810"/>
      <c r="BA366" s="799" t="str">
        <f t="shared" si="139"/>
        <v/>
      </c>
      <c r="BB366" s="800" t="str">
        <f>IF(AK366="A",IF(AQ366,IF(AND(AW366&lt;&gt;"",N(AW366)&gt;0),IFERROR(IFERROR(_xlfn.XLOOKUP(AP366,BP10:BP57,BT10:BT57),IFERROR(_xlfn.XLOOKUP(AP366,BQ10:BQ57,BT10:BT57),_xlfn.XLOOKUP(AP366,BR10:BR57,BT10:BT57,""))),""),""),""),"")</f>
        <v/>
      </c>
      <c r="BC366" s="813" cm="1">
        <f t="array" ref="BC366">IF(NOT(AQ366),0,IF(OR(BA366="",N(BA366)&lt;=0.000000001),"",IF(OR(AU366="",N(AU366)&lt;=0.000000001),0,IF(ISNUMBER(BA366),IFERROR(_xlfn.LET(_xlpm.ai_test,TRIM(AP366),_xlpm.r,IFERROR(_xlfn.XLOOKUP(_xlpm.ai_test,BP16:BP63,ROW(BP16:BP63),0,1),IFERROR(_xlfn.XLOOKUP(_xlpm.ai_test,BQ16:BQ63,ROW(BQ16:BQ63),0,1),_xlfn.XLOOKUP(_xlpm.ai_test,BR16:BR63,ROW(BR16:BR63),0,1))),_xlpm.p,_xlpm.r-MIN(ROW(BP16:BP63))+1,_xlpm.f,INDEX(BS16:BS63,_xlpm.p),_xlpm.u,INDEX(BT16:BT63,_xlpm.p),_xlpm.s,INDEX(BV16:BV63,_xlpm.p),_xlpm.q,N(BA366)/_xlpm.f,IF(_xlpm.q&gt;=_xlpm.s,ROUND(_xlpm.q,1)&amp;" "&amp;_xlpm.ai_test&amp;" = "&amp;ROUND(_xlpm.q*_xlpm.f,1)&amp;" "&amp;_xlpm.u,ROUND(_xlpm.q,1)&amp;" "&amp;_xlpm.ai_test)),""),""))))</f>
        <v>0</v>
      </c>
      <c r="BD366" s="801"/>
      <c r="BE366" s="799" t="str">
        <f t="shared" si="150"/>
        <v/>
      </c>
      <c r="BF366" s="800" t="str">
        <f t="shared" si="151"/>
        <v/>
      </c>
      <c r="BG366" s="802">
        <f t="shared" si="154"/>
        <v>0</v>
      </c>
      <c r="BH366" s="803" t="str">
        <f t="shared" si="155"/>
        <v/>
      </c>
      <c r="BI366" s="792"/>
      <c r="BJ366" s="804">
        <f t="shared" si="153"/>
        <v>0</v>
      </c>
      <c r="BK366" s="794" t="str">
        <f t="shared" si="152"/>
        <v/>
      </c>
      <c r="BL366" s="227" t="s">
        <v>21</v>
      </c>
      <c r="BM366" s="773">
        <f t="shared" si="141"/>
        <v>0</v>
      </c>
      <c r="BN366" s="774">
        <f t="shared" si="142"/>
        <v>0</v>
      </c>
      <c r="BO366"/>
      <c r="BX366"/>
      <c r="BY366"/>
      <c r="BZ366"/>
      <c r="CA366"/>
      <c r="CB366"/>
      <c r="CC366"/>
      <c r="CD366" s="781" t="str">
        <f t="shared" si="135"/>
        <v>►</v>
      </c>
      <c r="CE366" s="633"/>
      <c r="CF366" s="633"/>
      <c r="CG366" s="633"/>
      <c r="CH366" s="633"/>
      <c r="CI366" s="633"/>
      <c r="CJ366" s="227"/>
      <c r="CK366"/>
      <c r="CL366"/>
      <c r="CM366"/>
      <c r="CN366"/>
      <c r="CO366"/>
      <c r="CP366"/>
      <c r="CQ366"/>
      <c r="CR366" s="227"/>
      <c r="CS366"/>
      <c r="CT366"/>
      <c r="CU366"/>
      <c r="CV366"/>
      <c r="CW366"/>
      <c r="CX366"/>
      <c r="CY366"/>
      <c r="CZ366" s="227"/>
      <c r="DA366"/>
      <c r="DB366"/>
      <c r="DC366"/>
      <c r="DD366"/>
      <c r="DE366"/>
      <c r="DF366"/>
      <c r="DG366"/>
      <c r="DH366" s="227"/>
      <c r="DI366" s="3">
        <v>1</v>
      </c>
    </row>
    <row r="367" spans="2:113" s="627" customFormat="1" ht="21" customHeight="1">
      <c r="B367" s="2265" t="str" cm="1">
        <f t="array" ref="B367">SUMPRODUCT(--(D367:J367&lt;&gt;""), LEN(TRIM(SUBSTITUTE(D367:J367, CHAR(160), "")))) &amp; " Car."</f>
        <v>0 Car.</v>
      </c>
      <c r="C367" s="1376" t="str">
        <f>IF(ISBLANK(D367),"",LARGE(C13:C366,1)+1)</f>
        <v/>
      </c>
      <c r="D367" s="1833"/>
      <c r="E367" s="1810"/>
      <c r="F367" s="1810"/>
      <c r="G367" s="1810"/>
      <c r="H367" s="1810"/>
      <c r="I367" s="1810"/>
      <c r="J367" s="1810"/>
      <c r="K367" s="1810"/>
      <c r="L367" s="1811"/>
      <c r="M367"/>
      <c r="N367" s="103" t="str">
        <f t="shared" si="137"/>
        <v>►</v>
      </c>
      <c r="O367" s="1616"/>
      <c r="P367"/>
      <c r="Q367" s="25" t="s">
        <v>15</v>
      </c>
      <c r="R367" s="31"/>
      <c r="S367" s="32"/>
      <c r="T367" s="31"/>
      <c r="U367" s="33"/>
      <c r="V367" s="1967"/>
      <c r="W367" s="1805"/>
      <c r="X367" s="91"/>
      <c r="Y367" s="1806"/>
      <c r="Z367" s="1968"/>
      <c r="AA367" s="2244"/>
      <c r="AB367" s="1969"/>
      <c r="AC367" s="1365"/>
      <c r="AD367" s="95"/>
      <c r="AE367" s="1326"/>
      <c r="AF367" s="97"/>
      <c r="AG367" s="1737"/>
      <c r="AH367" s="1970"/>
      <c r="AI367" s="99"/>
      <c r="AJ367" s="1809"/>
      <c r="AK367" s="6120" t="str">
        <f t="shared" si="138"/>
        <v>►</v>
      </c>
      <c r="AL367" s="781" t="str">
        <f t="shared" si="140"/>
        <v>►</v>
      </c>
      <c r="AM367" s="5499" t="str">
        <f t="shared" si="143"/>
        <v/>
      </c>
      <c r="AN367" s="783" t="str">
        <f t="shared" si="144"/>
        <v/>
      </c>
      <c r="AO367" s="782" t="str">
        <f t="shared" si="145"/>
        <v/>
      </c>
      <c r="AP367" s="783" t="str">
        <f t="shared" si="146"/>
        <v/>
      </c>
      <c r="AQ367" s="2083" t="b">
        <f>AND(Q367="A",COUNTIF(BP16:BR63,TRIM(Z367))&gt;0)</f>
        <v>0</v>
      </c>
      <c r="AR367" s="797" t="str">
        <f>IF(AL367&lt;&gt;"A","",IFERROR(IFERROR(_xlfn.XLOOKUP(TRIM(SUBSTITUTE(Z367,CHAR(160)," ")),BP16:BP63,BS16:BS63),IFERROR(_xlfn.XLOOKUP(TRIM(SUBSTITUTE(Z367,CHAR(160)," ")),BQ16:BQ63,BS16:BS63),_xlfn.XLOOKUP(TRIM(SUBSTITUTE(Z367,CHAR(160)," ")),BR16:BR63,BS16:BS63)))*Y367*IF(ISBLANK(V367),1,V367),0))</f>
        <v/>
      </c>
      <c r="AS367" s="784" t="str">
        <f t="shared" si="136"/>
        <v/>
      </c>
      <c r="AT367" s="1315" t="str">
        <f t="shared" si="147"/>
        <v/>
      </c>
      <c r="AU367" s="785">
        <f t="shared" si="148"/>
        <v>0</v>
      </c>
      <c r="AV367" s="785">
        <f t="shared" si="149"/>
        <v>0</v>
      </c>
      <c r="AW367" s="786">
        <f>IF(AK367="A",AY10,0)</f>
        <v>0</v>
      </c>
      <c r="AX367" s="5495" t="str">
        <f>IF(IFERROR(SEARCH("Adresse PC",TRIM(W367)),0)&gt;0,"▼ receta siguiente",IF(AK367="A",IF(AZ10&lt;&gt;"",AZ10&amp;" - ou.or.o ❾ + or - &gt;",""),""))</f>
        <v/>
      </c>
      <c r="AY367" s="810"/>
      <c r="AZ367" s="810"/>
      <c r="BA367" s="788" t="str">
        <f t="shared" si="139"/>
        <v/>
      </c>
      <c r="BB367" s="789" t="str">
        <f>IF(AK367="A",IF(AQ367,IF(AND(AW367&lt;&gt;"",N(AW367)&gt;0),IFERROR(IFERROR(_xlfn.XLOOKUP(AP367,BP10:BP57,BT10:BT57),IFERROR(_xlfn.XLOOKUP(AP367,BQ10:BQ57,BT10:BT57),_xlfn.XLOOKUP(AP367,BR10:BR57,BT10:BT57,""))),""),""),""),"")</f>
        <v/>
      </c>
      <c r="BC367" s="811" cm="1">
        <f t="array" ref="BC367">IF(NOT(AQ367),0,IF(OR(BA367="",N(BA367)&lt;=0.000000001),"",IF(OR(AU367="",N(AU367)&lt;=0.000000001),0,IF(ISNUMBER(BA367),IFERROR(_xlfn.LET(_xlpm.ai_test,TRIM(AP367),_xlpm.r,IFERROR(_xlfn.XLOOKUP(_xlpm.ai_test,BP16:BP63,ROW(BP16:BP63),0,1),IFERROR(_xlfn.XLOOKUP(_xlpm.ai_test,BQ16:BQ63,ROW(BQ16:BQ63),0,1),_xlfn.XLOOKUP(_xlpm.ai_test,BR16:BR63,ROW(BR16:BR63),0,1))),_xlpm.p,_xlpm.r-MIN(ROW(BP16:BP63))+1,_xlpm.f,INDEX(BS16:BS63,_xlpm.p),_xlpm.u,INDEX(BT16:BT63,_xlpm.p),_xlpm.s,INDEX(BV16:BV63,_xlpm.p),_xlpm.q,N(BA367)/_xlpm.f,IF(_xlpm.q&gt;=_xlpm.s,ROUND(_xlpm.q,1)&amp;" "&amp;_xlpm.ai_test&amp;" = "&amp;ROUND(_xlpm.q*_xlpm.f,1)&amp;" "&amp;_xlpm.u,ROUND(_xlpm.q,1)&amp;" "&amp;_xlpm.ai_test)),""),""))))</f>
        <v>0</v>
      </c>
      <c r="BD367" s="801"/>
      <c r="BE367" s="788" t="str">
        <f t="shared" si="150"/>
        <v/>
      </c>
      <c r="BF367" s="789" t="str">
        <f t="shared" si="151"/>
        <v/>
      </c>
      <c r="BG367" s="790">
        <f t="shared" si="154"/>
        <v>0</v>
      </c>
      <c r="BH367" s="791" t="str">
        <f t="shared" si="155"/>
        <v/>
      </c>
      <c r="BI367" s="792"/>
      <c r="BJ367" s="793">
        <f t="shared" si="153"/>
        <v>0</v>
      </c>
      <c r="BK367" s="794" t="str">
        <f t="shared" si="152"/>
        <v/>
      </c>
      <c r="BL367" s="227" t="s">
        <v>21</v>
      </c>
      <c r="BM367" s="773">
        <f t="shared" si="141"/>
        <v>0</v>
      </c>
      <c r="BN367" s="774">
        <f t="shared" si="142"/>
        <v>0</v>
      </c>
      <c r="BO367"/>
      <c r="BX367"/>
      <c r="BY367"/>
      <c r="BZ367"/>
      <c r="CA367"/>
      <c r="CB367"/>
      <c r="CC367"/>
      <c r="CD367" s="781" t="str">
        <f t="shared" si="135"/>
        <v>►</v>
      </c>
      <c r="CE367" s="633"/>
      <c r="CF367" s="633"/>
      <c r="CG367" s="633"/>
      <c r="CH367" s="633"/>
      <c r="CI367" s="633"/>
      <c r="CJ367" s="227"/>
      <c r="CK367"/>
      <c r="CL367"/>
      <c r="CM367"/>
      <c r="CN367"/>
      <c r="CO367"/>
      <c r="CP367"/>
      <c r="CQ367"/>
      <c r="CR367" s="227"/>
      <c r="CS367"/>
      <c r="CT367"/>
      <c r="CU367"/>
      <c r="CV367"/>
      <c r="CW367"/>
      <c r="CX367"/>
      <c r="CY367"/>
      <c r="CZ367" s="227"/>
      <c r="DA367"/>
      <c r="DB367"/>
      <c r="DC367"/>
      <c r="DD367"/>
      <c r="DE367"/>
      <c r="DF367"/>
      <c r="DG367"/>
      <c r="DH367" s="227"/>
      <c r="DI367" s="3">
        <v>1</v>
      </c>
    </row>
    <row r="368" spans="2:113" s="627" customFormat="1" ht="21" customHeight="1">
      <c r="B368" s="2265" t="str" cm="1">
        <f t="array" ref="B368">SUMPRODUCT(--(D368:J368&lt;&gt;""), LEN(TRIM(SUBSTITUTE(D368:J368, CHAR(160), "")))) &amp; " Car."</f>
        <v>0 Car.</v>
      </c>
      <c r="C368" s="1376" t="str">
        <f>IF(ISBLANK(D368),"",LARGE(C13:C367,1)+1)</f>
        <v/>
      </c>
      <c r="D368" s="1833"/>
      <c r="E368" s="1810"/>
      <c r="F368" s="1810"/>
      <c r="G368" s="1810"/>
      <c r="H368" s="1810"/>
      <c r="I368" s="1810"/>
      <c r="J368" s="1810"/>
      <c r="K368" s="1810"/>
      <c r="L368" s="1811"/>
      <c r="M368"/>
      <c r="N368" s="103" t="str">
        <f t="shared" si="137"/>
        <v>►</v>
      </c>
      <c r="O368" s="1616"/>
      <c r="P368"/>
      <c r="Q368" s="25" t="s">
        <v>15</v>
      </c>
      <c r="R368" s="31"/>
      <c r="S368" s="32"/>
      <c r="T368" s="31"/>
      <c r="U368" s="33"/>
      <c r="V368" s="1967"/>
      <c r="W368" s="1805"/>
      <c r="X368" s="91"/>
      <c r="Y368" s="1806"/>
      <c r="Z368" s="1968"/>
      <c r="AA368" s="2244"/>
      <c r="AB368" s="1969"/>
      <c r="AC368" s="1365"/>
      <c r="AD368" s="95"/>
      <c r="AE368" s="1326"/>
      <c r="AF368" s="97"/>
      <c r="AG368" s="1737"/>
      <c r="AH368" s="1970"/>
      <c r="AI368" s="99"/>
      <c r="AJ368" s="1809"/>
      <c r="AK368" s="6120" t="str">
        <f t="shared" si="138"/>
        <v>►</v>
      </c>
      <c r="AL368" s="781" t="str">
        <f t="shared" si="140"/>
        <v>►</v>
      </c>
      <c r="AM368" s="5498" t="str">
        <f t="shared" si="143"/>
        <v/>
      </c>
      <c r="AN368" s="783" t="str">
        <f t="shared" si="144"/>
        <v/>
      </c>
      <c r="AO368" s="782" t="str">
        <f t="shared" si="145"/>
        <v/>
      </c>
      <c r="AP368" s="783" t="str">
        <f t="shared" si="146"/>
        <v/>
      </c>
      <c r="AQ368" s="2083" t="b">
        <f>AND(Q368="A",COUNTIF(BP16:BR63,TRIM(Z368))&gt;0)</f>
        <v>0</v>
      </c>
      <c r="AR368" s="797" t="str">
        <f>IF(AL368&lt;&gt;"A","",IFERROR(IFERROR(_xlfn.XLOOKUP(TRIM(SUBSTITUTE(Z368,CHAR(160)," ")),BP16:BP63,BS16:BS63),IFERROR(_xlfn.XLOOKUP(TRIM(SUBSTITUTE(Z368,CHAR(160)," ")),BQ16:BQ63,BS16:BS63),_xlfn.XLOOKUP(TRIM(SUBSTITUTE(Z368,CHAR(160)," ")),BR16:BR63,BS16:BS63)))*Y368*IF(ISBLANK(V368),1,V368),0))</f>
        <v/>
      </c>
      <c r="AS368" s="784" t="str">
        <f t="shared" si="136"/>
        <v/>
      </c>
      <c r="AT368" s="1315" t="str">
        <f t="shared" si="147"/>
        <v/>
      </c>
      <c r="AU368" s="785">
        <f t="shared" si="148"/>
        <v>0</v>
      </c>
      <c r="AV368" s="785">
        <f t="shared" si="149"/>
        <v>0</v>
      </c>
      <c r="AW368" s="798">
        <f>IF(AK368="A",AY10,0)</f>
        <v>0</v>
      </c>
      <c r="AX368" s="5496" t="str">
        <f>IF(IFERROR(SEARCH("Adresse PC",TRIM(W368)),0)&gt;0,"▼ receta siguiente",IF(AK368="A",IF(AZ10&lt;&gt;"",AZ10&amp;" - ou.or.o ❾ + or - &gt;",""),""))</f>
        <v/>
      </c>
      <c r="AY368" s="810"/>
      <c r="AZ368" s="810"/>
      <c r="BA368" s="799" t="str">
        <f t="shared" si="139"/>
        <v/>
      </c>
      <c r="BB368" s="800" t="str">
        <f>IF(AK368="A",IF(AQ368,IF(AND(AW368&lt;&gt;"",N(AW368)&gt;0),IFERROR(IFERROR(_xlfn.XLOOKUP(AP368,BP10:BP57,BT10:BT57),IFERROR(_xlfn.XLOOKUP(AP368,BQ10:BQ57,BT10:BT57),_xlfn.XLOOKUP(AP368,BR10:BR57,BT10:BT57,""))),""),""),""),"")</f>
        <v/>
      </c>
      <c r="BC368" s="813" cm="1">
        <f t="array" ref="BC368">IF(NOT(AQ368),0,IF(OR(BA368="",N(BA368)&lt;=0.000000001),"",IF(OR(AU368="",N(AU368)&lt;=0.000000001),0,IF(ISNUMBER(BA368),IFERROR(_xlfn.LET(_xlpm.ai_test,TRIM(AP368),_xlpm.r,IFERROR(_xlfn.XLOOKUP(_xlpm.ai_test,BP16:BP63,ROW(BP16:BP63),0,1),IFERROR(_xlfn.XLOOKUP(_xlpm.ai_test,BQ16:BQ63,ROW(BQ16:BQ63),0,1),_xlfn.XLOOKUP(_xlpm.ai_test,BR16:BR63,ROW(BR16:BR63),0,1))),_xlpm.p,_xlpm.r-MIN(ROW(BP16:BP63))+1,_xlpm.f,INDEX(BS16:BS63,_xlpm.p),_xlpm.u,INDEX(BT16:BT63,_xlpm.p),_xlpm.s,INDEX(BV16:BV63,_xlpm.p),_xlpm.q,N(BA368)/_xlpm.f,IF(_xlpm.q&gt;=_xlpm.s,ROUND(_xlpm.q,1)&amp;" "&amp;_xlpm.ai_test&amp;" = "&amp;ROUND(_xlpm.q*_xlpm.f,1)&amp;" "&amp;_xlpm.u,ROUND(_xlpm.q,1)&amp;" "&amp;_xlpm.ai_test)),""),""))))</f>
        <v>0</v>
      </c>
      <c r="BD368" s="801"/>
      <c r="BE368" s="799" t="str">
        <f t="shared" si="150"/>
        <v/>
      </c>
      <c r="BF368" s="800" t="str">
        <f t="shared" si="151"/>
        <v/>
      </c>
      <c r="BG368" s="802">
        <f t="shared" si="154"/>
        <v>0</v>
      </c>
      <c r="BH368" s="803" t="str">
        <f t="shared" si="155"/>
        <v/>
      </c>
      <c r="BI368" s="792"/>
      <c r="BJ368" s="804">
        <f t="shared" si="153"/>
        <v>0</v>
      </c>
      <c r="BK368" s="794" t="str">
        <f t="shared" si="152"/>
        <v/>
      </c>
      <c r="BL368" s="227" t="s">
        <v>21</v>
      </c>
      <c r="BM368" s="773">
        <f t="shared" si="141"/>
        <v>0</v>
      </c>
      <c r="BN368" s="774">
        <f t="shared" si="142"/>
        <v>0</v>
      </c>
      <c r="BO368"/>
      <c r="BX368"/>
      <c r="BY368"/>
      <c r="BZ368"/>
      <c r="CA368"/>
      <c r="CB368"/>
      <c r="CC368"/>
      <c r="CD368" s="781" t="str">
        <f t="shared" si="135"/>
        <v>►</v>
      </c>
      <c r="CE368" s="633"/>
      <c r="CF368" s="633"/>
      <c r="CG368" s="633"/>
      <c r="CH368" s="633"/>
      <c r="CI368" s="633"/>
      <c r="CJ368" s="227"/>
      <c r="CK368"/>
      <c r="CL368"/>
      <c r="CM368"/>
      <c r="CN368"/>
      <c r="CO368"/>
      <c r="CP368"/>
      <c r="CQ368"/>
      <c r="CR368" s="227"/>
      <c r="CS368"/>
      <c r="CT368"/>
      <c r="CU368"/>
      <c r="CV368"/>
      <c r="CW368"/>
      <c r="CX368"/>
      <c r="CY368"/>
      <c r="CZ368" s="227"/>
      <c r="DA368"/>
      <c r="DB368"/>
      <c r="DC368"/>
      <c r="DD368"/>
      <c r="DE368"/>
      <c r="DF368"/>
      <c r="DG368"/>
      <c r="DH368" s="227"/>
      <c r="DI368" s="3">
        <v>1</v>
      </c>
    </row>
    <row r="369" spans="2:113" s="627" customFormat="1" ht="21" customHeight="1">
      <c r="B369" s="2265" t="str" cm="1">
        <f t="array" ref="B369">SUMPRODUCT(--(D369:J369&lt;&gt;""), LEN(TRIM(SUBSTITUTE(D369:J369, CHAR(160), "")))) &amp; " Car."</f>
        <v>0 Car.</v>
      </c>
      <c r="C369" s="1376" t="str">
        <f>IF(ISBLANK(D369),"",LARGE(C13:C368,1)+1)</f>
        <v/>
      </c>
      <c r="D369" s="1833"/>
      <c r="E369" s="1810"/>
      <c r="F369" s="1810"/>
      <c r="G369" s="1810"/>
      <c r="H369" s="1810"/>
      <c r="I369" s="1810"/>
      <c r="J369" s="1810"/>
      <c r="K369" s="1810"/>
      <c r="L369" s="1811"/>
      <c r="M369"/>
      <c r="N369" s="103" t="str">
        <f t="shared" si="137"/>
        <v>►</v>
      </c>
      <c r="O369" s="1616"/>
      <c r="P369"/>
      <c r="Q369" s="25" t="s">
        <v>15</v>
      </c>
      <c r="R369" s="31"/>
      <c r="S369" s="32"/>
      <c r="T369" s="31"/>
      <c r="U369" s="33"/>
      <c r="V369" s="1967"/>
      <c r="W369" s="1805"/>
      <c r="X369" s="91"/>
      <c r="Y369" s="1806"/>
      <c r="Z369" s="1968"/>
      <c r="AA369" s="2244"/>
      <c r="AB369" s="1969"/>
      <c r="AC369" s="1365"/>
      <c r="AD369" s="95"/>
      <c r="AE369" s="1326"/>
      <c r="AF369" s="97"/>
      <c r="AG369" s="1737"/>
      <c r="AH369" s="1970"/>
      <c r="AI369" s="99"/>
      <c r="AJ369" s="1809"/>
      <c r="AK369" s="6120" t="str">
        <f t="shared" si="138"/>
        <v>►</v>
      </c>
      <c r="AL369" s="781" t="str">
        <f t="shared" si="140"/>
        <v>►</v>
      </c>
      <c r="AM369" s="5499" t="str">
        <f t="shared" si="143"/>
        <v/>
      </c>
      <c r="AN369" s="783" t="str">
        <f t="shared" si="144"/>
        <v/>
      </c>
      <c r="AO369" s="782" t="str">
        <f t="shared" si="145"/>
        <v/>
      </c>
      <c r="AP369" s="783" t="str">
        <f t="shared" si="146"/>
        <v/>
      </c>
      <c r="AQ369" s="2083" t="b">
        <f>AND(Q369="A",COUNTIF(BP16:BR63,TRIM(Z369))&gt;0)</f>
        <v>0</v>
      </c>
      <c r="AR369" s="797" t="str">
        <f>IF(AL369&lt;&gt;"A","",IFERROR(IFERROR(_xlfn.XLOOKUP(TRIM(SUBSTITUTE(Z369,CHAR(160)," ")),BP16:BP63,BS16:BS63),IFERROR(_xlfn.XLOOKUP(TRIM(SUBSTITUTE(Z369,CHAR(160)," ")),BQ16:BQ63,BS16:BS63),_xlfn.XLOOKUP(TRIM(SUBSTITUTE(Z369,CHAR(160)," ")),BR16:BR63,BS16:BS63)))*Y369*IF(ISBLANK(V369),1,V369),0))</f>
        <v/>
      </c>
      <c r="AS369" s="784" t="str">
        <f t="shared" si="136"/>
        <v/>
      </c>
      <c r="AT369" s="1315" t="str">
        <f t="shared" si="147"/>
        <v/>
      </c>
      <c r="AU369" s="785">
        <f t="shared" si="148"/>
        <v>0</v>
      </c>
      <c r="AV369" s="785">
        <f t="shared" si="149"/>
        <v>0</v>
      </c>
      <c r="AW369" s="786">
        <f>IF(AK369="A",AY10,0)</f>
        <v>0</v>
      </c>
      <c r="AX369" s="5495" t="str">
        <f>IF(IFERROR(SEARCH("Adresse PC",TRIM(W369)),0)&gt;0,"▼ receta siguiente",IF(AK369="A",IF(AZ10&lt;&gt;"",AZ10&amp;" - ou.or.o ❾ + or - &gt;",""),""))</f>
        <v/>
      </c>
      <c r="AY369" s="810"/>
      <c r="AZ369" s="810"/>
      <c r="BA369" s="788" t="str">
        <f t="shared" si="139"/>
        <v/>
      </c>
      <c r="BB369" s="789" t="str">
        <f>IF(AK369="A",IF(AQ369,IF(AND(AW369&lt;&gt;"",N(AW369)&gt;0),IFERROR(IFERROR(_xlfn.XLOOKUP(AP369,BP10:BP57,BT10:BT57),IFERROR(_xlfn.XLOOKUP(AP369,BQ10:BQ57,BT10:BT57),_xlfn.XLOOKUP(AP369,BR10:BR57,BT10:BT57,""))),""),""),""),"")</f>
        <v/>
      </c>
      <c r="BC369" s="811" cm="1">
        <f t="array" ref="BC369">IF(NOT(AQ369),0,IF(OR(BA369="",N(BA369)&lt;=0.000000001),"",IF(OR(AU369="",N(AU369)&lt;=0.000000001),0,IF(ISNUMBER(BA369),IFERROR(_xlfn.LET(_xlpm.ai_test,TRIM(AP369),_xlpm.r,IFERROR(_xlfn.XLOOKUP(_xlpm.ai_test,BP16:BP63,ROW(BP16:BP63),0,1),IFERROR(_xlfn.XLOOKUP(_xlpm.ai_test,BQ16:BQ63,ROW(BQ16:BQ63),0,1),_xlfn.XLOOKUP(_xlpm.ai_test,BR16:BR63,ROW(BR16:BR63),0,1))),_xlpm.p,_xlpm.r-MIN(ROW(BP16:BP63))+1,_xlpm.f,INDEX(BS16:BS63,_xlpm.p),_xlpm.u,INDEX(BT16:BT63,_xlpm.p),_xlpm.s,INDEX(BV16:BV63,_xlpm.p),_xlpm.q,N(BA369)/_xlpm.f,IF(_xlpm.q&gt;=_xlpm.s,ROUND(_xlpm.q,1)&amp;" "&amp;_xlpm.ai_test&amp;" = "&amp;ROUND(_xlpm.q*_xlpm.f,1)&amp;" "&amp;_xlpm.u,ROUND(_xlpm.q,1)&amp;" "&amp;_xlpm.ai_test)),""),""))))</f>
        <v>0</v>
      </c>
      <c r="BD369" s="801"/>
      <c r="BE369" s="788" t="str">
        <f t="shared" si="150"/>
        <v/>
      </c>
      <c r="BF369" s="789" t="str">
        <f t="shared" si="151"/>
        <v/>
      </c>
      <c r="BG369" s="790">
        <f t="shared" si="154"/>
        <v>0</v>
      </c>
      <c r="BH369" s="791" t="str">
        <f t="shared" si="155"/>
        <v/>
      </c>
      <c r="BI369" s="792"/>
      <c r="BJ369" s="793">
        <f t="shared" si="153"/>
        <v>0</v>
      </c>
      <c r="BK369" s="794" t="str">
        <f t="shared" si="152"/>
        <v/>
      </c>
      <c r="BL369" s="227" t="s">
        <v>21</v>
      </c>
      <c r="BM369" s="773">
        <f t="shared" si="141"/>
        <v>0</v>
      </c>
      <c r="BN369" s="774">
        <f t="shared" si="142"/>
        <v>0</v>
      </c>
      <c r="BO369"/>
      <c r="BX369"/>
      <c r="BY369"/>
      <c r="BZ369"/>
      <c r="CA369"/>
      <c r="CB369"/>
      <c r="CC369"/>
      <c r="CD369" s="781" t="str">
        <f t="shared" si="135"/>
        <v>►</v>
      </c>
      <c r="CE369" s="633"/>
      <c r="CF369" s="633"/>
      <c r="CG369" s="633"/>
      <c r="CH369" s="633"/>
      <c r="CI369" s="633"/>
      <c r="CJ369" s="227"/>
      <c r="CK369"/>
      <c r="CL369"/>
      <c r="CM369"/>
      <c r="CN369"/>
      <c r="CO369"/>
      <c r="CP369"/>
      <c r="CQ369"/>
      <c r="CR369" s="227"/>
      <c r="CS369"/>
      <c r="CT369"/>
      <c r="CU369"/>
      <c r="CV369"/>
      <c r="CW369"/>
      <c r="CX369"/>
      <c r="CY369"/>
      <c r="CZ369" s="227"/>
      <c r="DA369"/>
      <c r="DB369"/>
      <c r="DC369"/>
      <c r="DD369"/>
      <c r="DE369"/>
      <c r="DF369"/>
      <c r="DG369"/>
      <c r="DH369" s="227"/>
      <c r="DI369" s="3">
        <v>1</v>
      </c>
    </row>
    <row r="370" spans="2:113" s="627" customFormat="1" ht="21" customHeight="1">
      <c r="B370" s="2265" t="str" cm="1">
        <f t="array" ref="B370">SUMPRODUCT(--(D370:J370&lt;&gt;""), LEN(TRIM(SUBSTITUTE(D370:J370, CHAR(160), "")))) &amp; " Car."</f>
        <v>0 Car.</v>
      </c>
      <c r="C370" s="1376" t="str">
        <f>IF(ISBLANK(D370),"",LARGE(C13:C369,1)+1)</f>
        <v/>
      </c>
      <c r="D370" s="1833"/>
      <c r="E370" s="1810"/>
      <c r="F370" s="1810"/>
      <c r="G370" s="1810"/>
      <c r="H370" s="1810"/>
      <c r="I370" s="1810"/>
      <c r="J370" s="1810"/>
      <c r="K370" s="1810"/>
      <c r="L370" s="1811"/>
      <c r="M370"/>
      <c r="N370" s="103" t="str">
        <f t="shared" si="137"/>
        <v>►</v>
      </c>
      <c r="O370" s="1616"/>
      <c r="P370"/>
      <c r="Q370" s="25" t="s">
        <v>15</v>
      </c>
      <c r="R370" s="31"/>
      <c r="S370" s="32"/>
      <c r="T370" s="31"/>
      <c r="U370" s="33"/>
      <c r="V370" s="1967"/>
      <c r="W370" s="1805"/>
      <c r="X370" s="91"/>
      <c r="Y370" s="1806"/>
      <c r="Z370" s="1968"/>
      <c r="AA370" s="2244"/>
      <c r="AB370" s="1969"/>
      <c r="AC370" s="1365"/>
      <c r="AD370" s="95"/>
      <c r="AE370" s="1326"/>
      <c r="AF370" s="97"/>
      <c r="AG370" s="1737"/>
      <c r="AH370" s="1970"/>
      <c r="AI370" s="99"/>
      <c r="AJ370" s="1809"/>
      <c r="AK370" s="6120" t="str">
        <f t="shared" si="138"/>
        <v>►</v>
      </c>
      <c r="AL370" s="781" t="str">
        <f t="shared" si="140"/>
        <v>►</v>
      </c>
      <c r="AM370" s="5498" t="str">
        <f t="shared" si="143"/>
        <v/>
      </c>
      <c r="AN370" s="783" t="str">
        <f t="shared" si="144"/>
        <v/>
      </c>
      <c r="AO370" s="782" t="str">
        <f t="shared" si="145"/>
        <v/>
      </c>
      <c r="AP370" s="783" t="str">
        <f t="shared" si="146"/>
        <v/>
      </c>
      <c r="AQ370" s="2083" t="b">
        <f>AND(Q370="A",COUNTIF(BP16:BR63,TRIM(Z370))&gt;0)</f>
        <v>0</v>
      </c>
      <c r="AR370" s="797" t="str">
        <f>IF(AL370&lt;&gt;"A","",IFERROR(IFERROR(_xlfn.XLOOKUP(TRIM(SUBSTITUTE(Z370,CHAR(160)," ")),BP16:BP63,BS16:BS63),IFERROR(_xlfn.XLOOKUP(TRIM(SUBSTITUTE(Z370,CHAR(160)," ")),BQ16:BQ63,BS16:BS63),_xlfn.XLOOKUP(TRIM(SUBSTITUTE(Z370,CHAR(160)," ")),BR16:BR63,BS16:BS63)))*Y370*IF(ISBLANK(V370),1,V370),0))</f>
        <v/>
      </c>
      <c r="AS370" s="784" t="str">
        <f t="shared" si="136"/>
        <v/>
      </c>
      <c r="AT370" s="1315" t="str">
        <f t="shared" si="147"/>
        <v/>
      </c>
      <c r="AU370" s="785">
        <f t="shared" si="148"/>
        <v>0</v>
      </c>
      <c r="AV370" s="785">
        <f t="shared" si="149"/>
        <v>0</v>
      </c>
      <c r="AW370" s="798">
        <f>IF(AK370="A",AY10,0)</f>
        <v>0</v>
      </c>
      <c r="AX370" s="5496" t="str">
        <f>IF(IFERROR(SEARCH("Adresse PC",TRIM(W370)),0)&gt;0,"▼ receta siguiente",IF(AK370="A",IF(AZ10&lt;&gt;"",AZ10&amp;" - ou.or.o ❾ + or - &gt;",""),""))</f>
        <v/>
      </c>
      <c r="AY370" s="810"/>
      <c r="AZ370" s="810"/>
      <c r="BA370" s="799" t="str">
        <f t="shared" si="139"/>
        <v/>
      </c>
      <c r="BB370" s="800" t="str">
        <f>IF(AK370="A",IF(AQ370,IF(AND(AW370&lt;&gt;"",N(AW370)&gt;0),IFERROR(IFERROR(_xlfn.XLOOKUP(AP370,BP10:BP57,BT10:BT57),IFERROR(_xlfn.XLOOKUP(AP370,BQ10:BQ57,BT10:BT57),_xlfn.XLOOKUP(AP370,BR10:BR57,BT10:BT57,""))),""),""),""),"")</f>
        <v/>
      </c>
      <c r="BC370" s="813" cm="1">
        <f t="array" ref="BC370">IF(NOT(AQ370),0,IF(OR(BA370="",N(BA370)&lt;=0.000000001),"",IF(OR(AU370="",N(AU370)&lt;=0.000000001),0,IF(ISNUMBER(BA370),IFERROR(_xlfn.LET(_xlpm.ai_test,TRIM(AP370),_xlpm.r,IFERROR(_xlfn.XLOOKUP(_xlpm.ai_test,BP16:BP63,ROW(BP16:BP63),0,1),IFERROR(_xlfn.XLOOKUP(_xlpm.ai_test,BQ16:BQ63,ROW(BQ16:BQ63),0,1),_xlfn.XLOOKUP(_xlpm.ai_test,BR16:BR63,ROW(BR16:BR63),0,1))),_xlpm.p,_xlpm.r-MIN(ROW(BP16:BP63))+1,_xlpm.f,INDEX(BS16:BS63,_xlpm.p),_xlpm.u,INDEX(BT16:BT63,_xlpm.p),_xlpm.s,INDEX(BV16:BV63,_xlpm.p),_xlpm.q,N(BA370)/_xlpm.f,IF(_xlpm.q&gt;=_xlpm.s,ROUND(_xlpm.q,1)&amp;" "&amp;_xlpm.ai_test&amp;" = "&amp;ROUND(_xlpm.q*_xlpm.f,1)&amp;" "&amp;_xlpm.u,ROUND(_xlpm.q,1)&amp;" "&amp;_xlpm.ai_test)),""),""))))</f>
        <v>0</v>
      </c>
      <c r="BD370" s="801"/>
      <c r="BE370" s="799" t="str">
        <f t="shared" si="150"/>
        <v/>
      </c>
      <c r="BF370" s="800" t="str">
        <f t="shared" si="151"/>
        <v/>
      </c>
      <c r="BG370" s="802">
        <f t="shared" si="154"/>
        <v>0</v>
      </c>
      <c r="BH370" s="803" t="str">
        <f t="shared" si="155"/>
        <v/>
      </c>
      <c r="BI370" s="792"/>
      <c r="BJ370" s="804">
        <f t="shared" si="153"/>
        <v>0</v>
      </c>
      <c r="BK370" s="794" t="str">
        <f t="shared" si="152"/>
        <v/>
      </c>
      <c r="BL370" s="227" t="s">
        <v>21</v>
      </c>
      <c r="BM370" s="773">
        <f t="shared" si="141"/>
        <v>0</v>
      </c>
      <c r="BN370" s="774">
        <f t="shared" si="142"/>
        <v>0</v>
      </c>
      <c r="BO370"/>
      <c r="BX370"/>
      <c r="BY370"/>
      <c r="BZ370"/>
      <c r="CA370"/>
      <c r="CB370"/>
      <c r="CC370"/>
      <c r="CD370" s="781" t="str">
        <f t="shared" si="135"/>
        <v>►</v>
      </c>
      <c r="CE370" s="633"/>
      <c r="CF370" s="633"/>
      <c r="CG370" s="633"/>
      <c r="CH370" s="633"/>
      <c r="CI370" s="633"/>
      <c r="CJ370" s="227"/>
      <c r="CK370"/>
      <c r="CL370"/>
      <c r="CM370"/>
      <c r="CN370"/>
      <c r="CO370"/>
      <c r="CP370"/>
      <c r="CQ370"/>
      <c r="CR370" s="227"/>
      <c r="CS370"/>
      <c r="CT370"/>
      <c r="CU370"/>
      <c r="CV370"/>
      <c r="CW370"/>
      <c r="CX370"/>
      <c r="CY370"/>
      <c r="CZ370" s="227"/>
      <c r="DA370"/>
      <c r="DB370"/>
      <c r="DC370"/>
      <c r="DD370"/>
      <c r="DE370"/>
      <c r="DF370"/>
      <c r="DG370"/>
      <c r="DH370" s="227"/>
      <c r="DI370" s="3">
        <v>1</v>
      </c>
    </row>
    <row r="371" spans="2:113" s="627" customFormat="1" ht="21" customHeight="1">
      <c r="B371" s="2265" t="str" cm="1">
        <f t="array" ref="B371">SUMPRODUCT(--(D371:J371&lt;&gt;""), LEN(TRIM(SUBSTITUTE(D371:J371, CHAR(160), "")))) &amp; " Car."</f>
        <v>0 Car.</v>
      </c>
      <c r="C371" s="1376" t="str">
        <f>IF(ISBLANK(D371),"",LARGE(C13:C370,1)+1)</f>
        <v/>
      </c>
      <c r="D371" s="1833"/>
      <c r="E371" s="1810"/>
      <c r="F371" s="1810"/>
      <c r="G371" s="1810"/>
      <c r="H371" s="1810"/>
      <c r="I371" s="1810"/>
      <c r="J371" s="1810"/>
      <c r="K371" s="1810"/>
      <c r="L371" s="1811"/>
      <c r="M371"/>
      <c r="N371" s="103" t="str">
        <f t="shared" si="137"/>
        <v>►</v>
      </c>
      <c r="O371" s="1616"/>
      <c r="P371"/>
      <c r="Q371" s="25" t="s">
        <v>15</v>
      </c>
      <c r="R371" s="31"/>
      <c r="S371" s="32"/>
      <c r="T371" s="31"/>
      <c r="U371" s="33"/>
      <c r="V371" s="1967"/>
      <c r="W371" s="1805"/>
      <c r="X371" s="91"/>
      <c r="Y371" s="1806"/>
      <c r="Z371" s="1968"/>
      <c r="AA371" s="2244"/>
      <c r="AB371" s="1969"/>
      <c r="AC371" s="1365"/>
      <c r="AD371" s="95"/>
      <c r="AE371" s="1326"/>
      <c r="AF371" s="97"/>
      <c r="AG371" s="1737"/>
      <c r="AH371" s="1970"/>
      <c r="AI371" s="99"/>
      <c r="AJ371" s="1809"/>
      <c r="AK371" s="6120" t="str">
        <f t="shared" si="138"/>
        <v>►</v>
      </c>
      <c r="AL371" s="781" t="str">
        <f t="shared" si="140"/>
        <v>►</v>
      </c>
      <c r="AM371" s="5499" t="str">
        <f t="shared" si="143"/>
        <v/>
      </c>
      <c r="AN371" s="783" t="str">
        <f t="shared" si="144"/>
        <v/>
      </c>
      <c r="AO371" s="782" t="str">
        <f t="shared" si="145"/>
        <v/>
      </c>
      <c r="AP371" s="783" t="str">
        <f t="shared" si="146"/>
        <v/>
      </c>
      <c r="AQ371" s="2083" t="b">
        <f>AND(Q371="A",COUNTIF(BP16:BR63,TRIM(Z371))&gt;0)</f>
        <v>0</v>
      </c>
      <c r="AR371" s="797" t="str">
        <f>IF(AL371&lt;&gt;"A","",IFERROR(IFERROR(_xlfn.XLOOKUP(TRIM(SUBSTITUTE(Z371,CHAR(160)," ")),BP16:BP63,BS16:BS63),IFERROR(_xlfn.XLOOKUP(TRIM(SUBSTITUTE(Z371,CHAR(160)," ")),BQ16:BQ63,BS16:BS63),_xlfn.XLOOKUP(TRIM(SUBSTITUTE(Z371,CHAR(160)," ")),BR16:BR63,BS16:BS63)))*Y371*IF(ISBLANK(V371),1,V371),0))</f>
        <v/>
      </c>
      <c r="AS371" s="784" t="str">
        <f t="shared" si="136"/>
        <v/>
      </c>
      <c r="AT371" s="1315" t="str">
        <f t="shared" si="147"/>
        <v/>
      </c>
      <c r="AU371" s="785">
        <f t="shared" si="148"/>
        <v>0</v>
      </c>
      <c r="AV371" s="785">
        <f t="shared" si="149"/>
        <v>0</v>
      </c>
      <c r="AW371" s="786">
        <f>IF(AK371="A",AY10,0)</f>
        <v>0</v>
      </c>
      <c r="AX371" s="5495" t="str">
        <f>IF(IFERROR(SEARCH("Adresse PC",TRIM(W371)),0)&gt;0,"▼ receta siguiente",IF(AK371="A",IF(AZ10&lt;&gt;"",AZ10&amp;" - ou.or.o ❾ + or - &gt;",""),""))</f>
        <v/>
      </c>
      <c r="AY371" s="810"/>
      <c r="AZ371" s="810"/>
      <c r="BA371" s="788" t="str">
        <f t="shared" si="139"/>
        <v/>
      </c>
      <c r="BB371" s="789" t="str">
        <f>IF(AK371="A",IF(AQ371,IF(AND(AW371&lt;&gt;"",N(AW371)&gt;0),IFERROR(IFERROR(_xlfn.XLOOKUP(AP371,BP10:BP57,BT10:BT57),IFERROR(_xlfn.XLOOKUP(AP371,BQ10:BQ57,BT10:BT57),_xlfn.XLOOKUP(AP371,BR10:BR57,BT10:BT57,""))),""),""),""),"")</f>
        <v/>
      </c>
      <c r="BC371" s="811" cm="1">
        <f t="array" ref="BC371">IF(NOT(AQ371),0,IF(OR(BA371="",N(BA371)&lt;=0.000000001),"",IF(OR(AU371="",N(AU371)&lt;=0.000000001),0,IF(ISNUMBER(BA371),IFERROR(_xlfn.LET(_xlpm.ai_test,TRIM(AP371),_xlpm.r,IFERROR(_xlfn.XLOOKUP(_xlpm.ai_test,BP16:BP63,ROW(BP16:BP63),0,1),IFERROR(_xlfn.XLOOKUP(_xlpm.ai_test,BQ16:BQ63,ROW(BQ16:BQ63),0,1),_xlfn.XLOOKUP(_xlpm.ai_test,BR16:BR63,ROW(BR16:BR63),0,1))),_xlpm.p,_xlpm.r-MIN(ROW(BP16:BP63))+1,_xlpm.f,INDEX(BS16:BS63,_xlpm.p),_xlpm.u,INDEX(BT16:BT63,_xlpm.p),_xlpm.s,INDEX(BV16:BV63,_xlpm.p),_xlpm.q,N(BA371)/_xlpm.f,IF(_xlpm.q&gt;=_xlpm.s,ROUND(_xlpm.q,1)&amp;" "&amp;_xlpm.ai_test&amp;" = "&amp;ROUND(_xlpm.q*_xlpm.f,1)&amp;" "&amp;_xlpm.u,ROUND(_xlpm.q,1)&amp;" "&amp;_xlpm.ai_test)),""),""))))</f>
        <v>0</v>
      </c>
      <c r="BD371" s="801"/>
      <c r="BE371" s="788" t="str">
        <f t="shared" si="150"/>
        <v/>
      </c>
      <c r="BF371" s="789" t="str">
        <f t="shared" si="151"/>
        <v/>
      </c>
      <c r="BG371" s="790">
        <f t="shared" si="154"/>
        <v>0</v>
      </c>
      <c r="BH371" s="791" t="str">
        <f t="shared" si="155"/>
        <v/>
      </c>
      <c r="BI371" s="792"/>
      <c r="BJ371" s="793">
        <f t="shared" si="153"/>
        <v>0</v>
      </c>
      <c r="BK371" s="794" t="str">
        <f t="shared" si="152"/>
        <v/>
      </c>
      <c r="BL371" s="227" t="s">
        <v>21</v>
      </c>
      <c r="BM371" s="773">
        <f t="shared" si="141"/>
        <v>0</v>
      </c>
      <c r="BN371" s="774">
        <f t="shared" si="142"/>
        <v>0</v>
      </c>
      <c r="BO371"/>
      <c r="BX371"/>
      <c r="BY371"/>
      <c r="BZ371"/>
      <c r="CA371"/>
      <c r="CB371"/>
      <c r="CC371"/>
      <c r="CD371" s="781" t="str">
        <f t="shared" si="135"/>
        <v>►</v>
      </c>
      <c r="CE371" s="633"/>
      <c r="CF371" s="633"/>
      <c r="CG371" s="633"/>
      <c r="CH371" s="633"/>
      <c r="CI371" s="633"/>
      <c r="CJ371" s="227"/>
      <c r="CK371"/>
      <c r="CL371"/>
      <c r="CM371"/>
      <c r="CN371"/>
      <c r="CO371"/>
      <c r="CP371"/>
      <c r="CQ371"/>
      <c r="CR371" s="227"/>
      <c r="CS371"/>
      <c r="CT371"/>
      <c r="CU371"/>
      <c r="CV371"/>
      <c r="CW371"/>
      <c r="CX371"/>
      <c r="CY371"/>
      <c r="CZ371" s="227"/>
      <c r="DA371"/>
      <c r="DB371"/>
      <c r="DC371"/>
      <c r="DD371"/>
      <c r="DE371"/>
      <c r="DF371"/>
      <c r="DG371"/>
      <c r="DH371" s="227"/>
      <c r="DI371" s="3">
        <v>1</v>
      </c>
    </row>
    <row r="372" spans="2:113" s="627" customFormat="1" ht="21" customHeight="1">
      <c r="B372" s="2265" t="str" cm="1">
        <f t="array" ref="B372">SUMPRODUCT(--(D372:J372&lt;&gt;""), LEN(TRIM(SUBSTITUTE(D372:J372, CHAR(160), "")))) &amp; " Car."</f>
        <v>0 Car.</v>
      </c>
      <c r="C372" s="1376" t="str">
        <f>IF(ISBLANK(D372),"",LARGE(C13:C371,1)+1)</f>
        <v/>
      </c>
      <c r="D372" s="1833"/>
      <c r="E372" s="1810"/>
      <c r="F372" s="1810"/>
      <c r="G372" s="1810"/>
      <c r="H372" s="1810"/>
      <c r="I372" s="1810"/>
      <c r="J372" s="1810"/>
      <c r="K372" s="1810"/>
      <c r="L372" s="1811"/>
      <c r="M372"/>
      <c r="N372" s="103" t="str">
        <f t="shared" si="137"/>
        <v>►</v>
      </c>
      <c r="O372" s="1616"/>
      <c r="P372"/>
      <c r="Q372" s="25" t="s">
        <v>15</v>
      </c>
      <c r="R372" s="31"/>
      <c r="S372" s="32"/>
      <c r="T372" s="31"/>
      <c r="U372" s="33"/>
      <c r="V372" s="1967"/>
      <c r="W372" s="1805"/>
      <c r="X372" s="91"/>
      <c r="Y372" s="1806"/>
      <c r="Z372" s="1968"/>
      <c r="AA372" s="2244"/>
      <c r="AB372" s="1969"/>
      <c r="AC372" s="1365"/>
      <c r="AD372" s="95"/>
      <c r="AE372" s="1326"/>
      <c r="AF372" s="97"/>
      <c r="AG372" s="1737"/>
      <c r="AH372" s="1970"/>
      <c r="AI372" s="99"/>
      <c r="AJ372" s="1809"/>
      <c r="AK372" s="6120" t="str">
        <f t="shared" si="138"/>
        <v>►</v>
      </c>
      <c r="AL372" s="781" t="str">
        <f t="shared" si="140"/>
        <v>►</v>
      </c>
      <c r="AM372" s="5498" t="str">
        <f t="shared" si="143"/>
        <v/>
      </c>
      <c r="AN372" s="783" t="str">
        <f t="shared" si="144"/>
        <v/>
      </c>
      <c r="AO372" s="782" t="str">
        <f t="shared" si="145"/>
        <v/>
      </c>
      <c r="AP372" s="783" t="str">
        <f t="shared" si="146"/>
        <v/>
      </c>
      <c r="AQ372" s="2083" t="b">
        <f>AND(Q372="A",COUNTIF(BP16:BR63,TRIM(Z372))&gt;0)</f>
        <v>0</v>
      </c>
      <c r="AR372" s="797" t="str">
        <f>IF(AL372&lt;&gt;"A","",IFERROR(IFERROR(_xlfn.XLOOKUP(TRIM(SUBSTITUTE(Z372,CHAR(160)," ")),BP16:BP63,BS16:BS63),IFERROR(_xlfn.XLOOKUP(TRIM(SUBSTITUTE(Z372,CHAR(160)," ")),BQ16:BQ63,BS16:BS63),_xlfn.XLOOKUP(TRIM(SUBSTITUTE(Z372,CHAR(160)," ")),BR16:BR63,BS16:BS63)))*Y372*IF(ISBLANK(V372),1,V372),0))</f>
        <v/>
      </c>
      <c r="AS372" s="784" t="str">
        <f t="shared" si="136"/>
        <v/>
      </c>
      <c r="AT372" s="1315" t="str">
        <f t="shared" si="147"/>
        <v/>
      </c>
      <c r="AU372" s="785">
        <f t="shared" si="148"/>
        <v>0</v>
      </c>
      <c r="AV372" s="785">
        <f t="shared" si="149"/>
        <v>0</v>
      </c>
      <c r="AW372" s="798">
        <f>IF(AK372="A",AY10,0)</f>
        <v>0</v>
      </c>
      <c r="AX372" s="5496" t="str">
        <f>IF(IFERROR(SEARCH("Adresse PC",TRIM(W372)),0)&gt;0,"▼ receta siguiente",IF(AK372="A",IF(AZ10&lt;&gt;"",AZ10&amp;" - ou.or.o ❾ + or - &gt;",""),""))</f>
        <v/>
      </c>
      <c r="AY372" s="810"/>
      <c r="AZ372" s="810"/>
      <c r="BA372" s="799" t="str">
        <f t="shared" si="139"/>
        <v/>
      </c>
      <c r="BB372" s="800" t="str">
        <f>IF(AK372="A",IF(AQ372,IF(AND(AW372&lt;&gt;"",N(AW372)&gt;0),IFERROR(IFERROR(_xlfn.XLOOKUP(AP372,BP10:BP57,BT10:BT57),IFERROR(_xlfn.XLOOKUP(AP372,BQ10:BQ57,BT10:BT57),_xlfn.XLOOKUP(AP372,BR10:BR57,BT10:BT57,""))),""),""),""),"")</f>
        <v/>
      </c>
      <c r="BC372" s="813" cm="1">
        <f t="array" ref="BC372">IF(NOT(AQ372),0,IF(OR(BA372="",N(BA372)&lt;=0.000000001),"",IF(OR(AU372="",N(AU372)&lt;=0.000000001),0,IF(ISNUMBER(BA372),IFERROR(_xlfn.LET(_xlpm.ai_test,TRIM(AP372),_xlpm.r,IFERROR(_xlfn.XLOOKUP(_xlpm.ai_test,BP16:BP63,ROW(BP16:BP63),0,1),IFERROR(_xlfn.XLOOKUP(_xlpm.ai_test,BQ16:BQ63,ROW(BQ16:BQ63),0,1),_xlfn.XLOOKUP(_xlpm.ai_test,BR16:BR63,ROW(BR16:BR63),0,1))),_xlpm.p,_xlpm.r-MIN(ROW(BP16:BP63))+1,_xlpm.f,INDEX(BS16:BS63,_xlpm.p),_xlpm.u,INDEX(BT16:BT63,_xlpm.p),_xlpm.s,INDEX(BV16:BV63,_xlpm.p),_xlpm.q,N(BA372)/_xlpm.f,IF(_xlpm.q&gt;=_xlpm.s,ROUND(_xlpm.q,1)&amp;" "&amp;_xlpm.ai_test&amp;" = "&amp;ROUND(_xlpm.q*_xlpm.f,1)&amp;" "&amp;_xlpm.u,ROUND(_xlpm.q,1)&amp;" "&amp;_xlpm.ai_test)),""),""))))</f>
        <v>0</v>
      </c>
      <c r="BD372" s="801"/>
      <c r="BE372" s="799" t="str">
        <f t="shared" si="150"/>
        <v/>
      </c>
      <c r="BF372" s="800" t="str">
        <f t="shared" si="151"/>
        <v/>
      </c>
      <c r="BG372" s="802">
        <f t="shared" si="154"/>
        <v>0</v>
      </c>
      <c r="BH372" s="803" t="str">
        <f t="shared" si="155"/>
        <v/>
      </c>
      <c r="BI372" s="792"/>
      <c r="BJ372" s="804">
        <f t="shared" si="153"/>
        <v>0</v>
      </c>
      <c r="BK372" s="794" t="str">
        <f t="shared" si="152"/>
        <v/>
      </c>
      <c r="BL372" s="227" t="s">
        <v>21</v>
      </c>
      <c r="BM372" s="773">
        <f t="shared" si="141"/>
        <v>0</v>
      </c>
      <c r="BN372" s="774">
        <f t="shared" si="142"/>
        <v>0</v>
      </c>
      <c r="BO372"/>
      <c r="BX372"/>
      <c r="BY372"/>
      <c r="BZ372"/>
      <c r="CA372"/>
      <c r="CB372"/>
      <c r="CC372"/>
      <c r="CD372" s="781" t="str">
        <f t="shared" si="135"/>
        <v>►</v>
      </c>
      <c r="CE372" s="633"/>
      <c r="CF372" s="633"/>
      <c r="CG372" s="633"/>
      <c r="CH372" s="633"/>
      <c r="CI372" s="633"/>
      <c r="CJ372" s="227"/>
      <c r="CK372"/>
      <c r="CL372"/>
      <c r="CM372"/>
      <c r="CN372"/>
      <c r="CO372"/>
      <c r="CP372"/>
      <c r="CQ372"/>
      <c r="CR372" s="227"/>
      <c r="CS372"/>
      <c r="CT372"/>
      <c r="CU372"/>
      <c r="CV372"/>
      <c r="CW372"/>
      <c r="CX372"/>
      <c r="CY372"/>
      <c r="CZ372" s="227"/>
      <c r="DA372"/>
      <c r="DB372"/>
      <c r="DC372"/>
      <c r="DD372"/>
      <c r="DE372"/>
      <c r="DF372"/>
      <c r="DG372"/>
      <c r="DH372" s="227"/>
      <c r="DI372" s="3">
        <v>1</v>
      </c>
    </row>
    <row r="373" spans="2:113" s="627" customFormat="1" ht="21" customHeight="1">
      <c r="B373" s="2265" t="str" cm="1">
        <f t="array" ref="B373">SUMPRODUCT(--(D373:J373&lt;&gt;""), LEN(TRIM(SUBSTITUTE(D373:J373, CHAR(160), "")))) &amp; " Car."</f>
        <v>0 Car.</v>
      </c>
      <c r="C373" s="1376" t="str">
        <f>IF(ISBLANK(D373),"",LARGE(C13:C372,1)+1)</f>
        <v/>
      </c>
      <c r="D373" s="1833"/>
      <c r="E373" s="1810"/>
      <c r="F373" s="1810"/>
      <c r="G373" s="1810"/>
      <c r="H373" s="1810"/>
      <c r="I373" s="1810"/>
      <c r="J373" s="1810"/>
      <c r="K373" s="1810"/>
      <c r="L373" s="1811"/>
      <c r="M373"/>
      <c r="N373" s="103" t="str">
        <f t="shared" si="137"/>
        <v>►</v>
      </c>
      <c r="O373" s="1616"/>
      <c r="P373"/>
      <c r="Q373" s="25" t="s">
        <v>15</v>
      </c>
      <c r="R373" s="31"/>
      <c r="S373" s="32"/>
      <c r="T373" s="31"/>
      <c r="U373" s="33"/>
      <c r="V373" s="1967"/>
      <c r="W373" s="1805"/>
      <c r="X373" s="91"/>
      <c r="Y373" s="1806"/>
      <c r="Z373" s="1968"/>
      <c r="AA373" s="2244"/>
      <c r="AB373" s="1969"/>
      <c r="AC373" s="1365"/>
      <c r="AD373" s="95"/>
      <c r="AE373" s="1326"/>
      <c r="AF373" s="97"/>
      <c r="AG373" s="1737"/>
      <c r="AH373" s="1970"/>
      <c r="AI373" s="99"/>
      <c r="AJ373" s="1809"/>
      <c r="AK373" s="6120" t="str">
        <f t="shared" si="138"/>
        <v>►</v>
      </c>
      <c r="AL373" s="781" t="str">
        <f t="shared" si="140"/>
        <v>►</v>
      </c>
      <c r="AM373" s="5499" t="str">
        <f t="shared" si="143"/>
        <v/>
      </c>
      <c r="AN373" s="783" t="str">
        <f t="shared" si="144"/>
        <v/>
      </c>
      <c r="AO373" s="782" t="str">
        <f t="shared" si="145"/>
        <v/>
      </c>
      <c r="AP373" s="783" t="str">
        <f t="shared" si="146"/>
        <v/>
      </c>
      <c r="AQ373" s="2083" t="b">
        <f>AND(Q373="A",COUNTIF(BP16:BR63,TRIM(Z373))&gt;0)</f>
        <v>0</v>
      </c>
      <c r="AR373" s="797" t="str">
        <f>IF(AL373&lt;&gt;"A","",IFERROR(IFERROR(_xlfn.XLOOKUP(TRIM(SUBSTITUTE(Z373,CHAR(160)," ")),BP16:BP63,BS16:BS63),IFERROR(_xlfn.XLOOKUP(TRIM(SUBSTITUTE(Z373,CHAR(160)," ")),BQ16:BQ63,BS16:BS63),_xlfn.XLOOKUP(TRIM(SUBSTITUTE(Z373,CHAR(160)," ")),BR16:BR63,BS16:BS63)))*Y373*IF(ISBLANK(V373),1,V373),0))</f>
        <v/>
      </c>
      <c r="AS373" s="784" t="str">
        <f t="shared" si="136"/>
        <v/>
      </c>
      <c r="AT373" s="1315" t="str">
        <f t="shared" si="147"/>
        <v/>
      </c>
      <c r="AU373" s="785">
        <f t="shared" si="148"/>
        <v>0</v>
      </c>
      <c r="AV373" s="785">
        <f t="shared" si="149"/>
        <v>0</v>
      </c>
      <c r="AW373" s="786">
        <f>IF(AK373="A",AY10,0)</f>
        <v>0</v>
      </c>
      <c r="AX373" s="5495" t="str">
        <f>IF(IFERROR(SEARCH("Adresse PC",TRIM(W373)),0)&gt;0,"▼ receta siguiente",IF(AK373="A",IF(AZ10&lt;&gt;"",AZ10&amp;" - ou.or.o ❾ + or - &gt;",""),""))</f>
        <v/>
      </c>
      <c r="AY373" s="810"/>
      <c r="AZ373" s="810"/>
      <c r="BA373" s="788" t="str">
        <f t="shared" si="139"/>
        <v/>
      </c>
      <c r="BB373" s="789" t="str">
        <f>IF(AK373="A",IF(AQ373,IF(AND(AW373&lt;&gt;"",N(AW373)&gt;0),IFERROR(IFERROR(_xlfn.XLOOKUP(AP373,BP10:BP57,BT10:BT57),IFERROR(_xlfn.XLOOKUP(AP373,BQ10:BQ57,BT10:BT57),_xlfn.XLOOKUP(AP373,BR10:BR57,BT10:BT57,""))),""),""),""),"")</f>
        <v/>
      </c>
      <c r="BC373" s="811" cm="1">
        <f t="array" ref="BC373">IF(NOT(AQ373),0,IF(OR(BA373="",N(BA373)&lt;=0.000000001),"",IF(OR(AU373="",N(AU373)&lt;=0.000000001),0,IF(ISNUMBER(BA373),IFERROR(_xlfn.LET(_xlpm.ai_test,TRIM(AP373),_xlpm.r,IFERROR(_xlfn.XLOOKUP(_xlpm.ai_test,BP16:BP63,ROW(BP16:BP63),0,1),IFERROR(_xlfn.XLOOKUP(_xlpm.ai_test,BQ16:BQ63,ROW(BQ16:BQ63),0,1),_xlfn.XLOOKUP(_xlpm.ai_test,BR16:BR63,ROW(BR16:BR63),0,1))),_xlpm.p,_xlpm.r-MIN(ROW(BP16:BP63))+1,_xlpm.f,INDEX(BS16:BS63,_xlpm.p),_xlpm.u,INDEX(BT16:BT63,_xlpm.p),_xlpm.s,INDEX(BV16:BV63,_xlpm.p),_xlpm.q,N(BA373)/_xlpm.f,IF(_xlpm.q&gt;=_xlpm.s,ROUND(_xlpm.q,1)&amp;" "&amp;_xlpm.ai_test&amp;" = "&amp;ROUND(_xlpm.q*_xlpm.f,1)&amp;" "&amp;_xlpm.u,ROUND(_xlpm.q,1)&amp;" "&amp;_xlpm.ai_test)),""),""))))</f>
        <v>0</v>
      </c>
      <c r="BD373" s="801"/>
      <c r="BE373" s="788" t="str">
        <f t="shared" si="150"/>
        <v/>
      </c>
      <c r="BF373" s="789" t="str">
        <f t="shared" si="151"/>
        <v/>
      </c>
      <c r="BG373" s="790">
        <f t="shared" si="154"/>
        <v>0</v>
      </c>
      <c r="BH373" s="791" t="str">
        <f t="shared" si="155"/>
        <v/>
      </c>
      <c r="BI373" s="792"/>
      <c r="BJ373" s="793">
        <f t="shared" si="153"/>
        <v>0</v>
      </c>
      <c r="BK373" s="794" t="str">
        <f t="shared" si="152"/>
        <v/>
      </c>
      <c r="BL373" s="227" t="s">
        <v>21</v>
      </c>
      <c r="BM373" s="773">
        <f t="shared" si="141"/>
        <v>0</v>
      </c>
      <c r="BN373" s="774">
        <f t="shared" si="142"/>
        <v>0</v>
      </c>
      <c r="BO373"/>
      <c r="BX373"/>
      <c r="BY373"/>
      <c r="BZ373"/>
      <c r="CA373"/>
      <c r="CB373"/>
      <c r="CC373"/>
      <c r="CD373" s="781" t="str">
        <f t="shared" si="135"/>
        <v>►</v>
      </c>
      <c r="CE373" s="633"/>
      <c r="CF373" s="633"/>
      <c r="CG373" s="633"/>
      <c r="CH373" s="633"/>
      <c r="CI373" s="633"/>
      <c r="CJ373" s="227"/>
      <c r="CK373"/>
      <c r="CL373"/>
      <c r="CM373"/>
      <c r="CN373"/>
      <c r="CO373"/>
      <c r="CP373"/>
      <c r="CQ373"/>
      <c r="CR373" s="227"/>
      <c r="CS373"/>
      <c r="CT373"/>
      <c r="CU373"/>
      <c r="CV373"/>
      <c r="CW373"/>
      <c r="CX373"/>
      <c r="CY373"/>
      <c r="CZ373" s="227"/>
      <c r="DA373"/>
      <c r="DB373"/>
      <c r="DC373"/>
      <c r="DD373"/>
      <c r="DE373"/>
      <c r="DF373"/>
      <c r="DG373"/>
      <c r="DH373" s="227"/>
      <c r="DI373" s="3">
        <v>1</v>
      </c>
    </row>
    <row r="374" spans="2:113" s="627" customFormat="1" ht="21" customHeight="1">
      <c r="B374" s="2265" t="str" cm="1">
        <f t="array" ref="B374">SUMPRODUCT(--(D374:J374&lt;&gt;""), LEN(TRIM(SUBSTITUTE(D374:J374, CHAR(160), "")))) &amp; " Car."</f>
        <v>0 Car.</v>
      </c>
      <c r="C374" s="1376" t="str">
        <f>IF(ISBLANK(D374),"",LARGE(C13:C373,1)+1)</f>
        <v/>
      </c>
      <c r="D374" s="1833"/>
      <c r="E374" s="1810"/>
      <c r="F374" s="1810"/>
      <c r="G374" s="1810"/>
      <c r="H374" s="1810"/>
      <c r="I374" s="1810"/>
      <c r="J374" s="1810"/>
      <c r="K374" s="1810"/>
      <c r="L374" s="1811"/>
      <c r="M374"/>
      <c r="N374" s="103" t="str">
        <f t="shared" si="137"/>
        <v>►</v>
      </c>
      <c r="O374" s="1616"/>
      <c r="P374"/>
      <c r="Q374" s="25" t="s">
        <v>15</v>
      </c>
      <c r="R374" s="31"/>
      <c r="S374" s="32"/>
      <c r="T374" s="31"/>
      <c r="U374" s="33"/>
      <c r="V374" s="1967"/>
      <c r="W374" s="1805"/>
      <c r="X374" s="91"/>
      <c r="Y374" s="1806"/>
      <c r="Z374" s="1968"/>
      <c r="AA374" s="2244"/>
      <c r="AB374" s="1969"/>
      <c r="AC374" s="1365"/>
      <c r="AD374" s="95"/>
      <c r="AE374" s="1326"/>
      <c r="AF374" s="97"/>
      <c r="AG374" s="1737"/>
      <c r="AH374" s="1970"/>
      <c r="AI374" s="99"/>
      <c r="AJ374" s="1809"/>
      <c r="AK374" s="6120" t="str">
        <f t="shared" si="138"/>
        <v>►</v>
      </c>
      <c r="AL374" s="781" t="str">
        <f t="shared" si="140"/>
        <v>►</v>
      </c>
      <c r="AM374" s="5498" t="str">
        <f t="shared" si="143"/>
        <v/>
      </c>
      <c r="AN374" s="783" t="str">
        <f t="shared" si="144"/>
        <v/>
      </c>
      <c r="AO374" s="782" t="str">
        <f t="shared" si="145"/>
        <v/>
      </c>
      <c r="AP374" s="783" t="str">
        <f t="shared" si="146"/>
        <v/>
      </c>
      <c r="AQ374" s="2083" t="b">
        <f>AND(Q374="A",COUNTIF(BP16:BR63,TRIM(Z374))&gt;0)</f>
        <v>0</v>
      </c>
      <c r="AR374" s="797" t="str">
        <f>IF(AL374&lt;&gt;"A","",IFERROR(IFERROR(_xlfn.XLOOKUP(TRIM(SUBSTITUTE(Z374,CHAR(160)," ")),BP16:BP63,BS16:BS63),IFERROR(_xlfn.XLOOKUP(TRIM(SUBSTITUTE(Z374,CHAR(160)," ")),BQ16:BQ63,BS16:BS63),_xlfn.XLOOKUP(TRIM(SUBSTITUTE(Z374,CHAR(160)," ")),BR16:BR63,BS16:BS63)))*Y374*IF(ISBLANK(V374),1,V374),0))</f>
        <v/>
      </c>
      <c r="AS374" s="784" t="str">
        <f t="shared" si="136"/>
        <v/>
      </c>
      <c r="AT374" s="1315" t="str">
        <f t="shared" si="147"/>
        <v/>
      </c>
      <c r="AU374" s="785">
        <f t="shared" si="148"/>
        <v>0</v>
      </c>
      <c r="AV374" s="785">
        <f t="shared" si="149"/>
        <v>0</v>
      </c>
      <c r="AW374" s="798">
        <f>IF(AK374="A",AY10,0)</f>
        <v>0</v>
      </c>
      <c r="AX374" s="5496" t="str">
        <f>IF(IFERROR(SEARCH("Adresse PC",TRIM(W374)),0)&gt;0,"▼ receta siguiente",IF(AK374="A",IF(AZ10&lt;&gt;"",AZ10&amp;" - ou.or.o ❾ + or - &gt;",""),""))</f>
        <v/>
      </c>
      <c r="AY374" s="810"/>
      <c r="AZ374" s="810"/>
      <c r="BA374" s="799" t="str">
        <f t="shared" si="139"/>
        <v/>
      </c>
      <c r="BB374" s="800" t="str">
        <f>IF(AK374="A",IF(AQ374,IF(AND(AW374&lt;&gt;"",N(AW374)&gt;0),IFERROR(IFERROR(_xlfn.XLOOKUP(AP374,BP10:BP57,BT10:BT57),IFERROR(_xlfn.XLOOKUP(AP374,BQ10:BQ57,BT10:BT57),_xlfn.XLOOKUP(AP374,BR10:BR57,BT10:BT57,""))),""),""),""),"")</f>
        <v/>
      </c>
      <c r="BC374" s="813" cm="1">
        <f t="array" ref="BC374">IF(NOT(AQ374),0,IF(OR(BA374="",N(BA374)&lt;=0.000000001),"",IF(OR(AU374="",N(AU374)&lt;=0.000000001),0,IF(ISNUMBER(BA374),IFERROR(_xlfn.LET(_xlpm.ai_test,TRIM(AP374),_xlpm.r,IFERROR(_xlfn.XLOOKUP(_xlpm.ai_test,BP16:BP63,ROW(BP16:BP63),0,1),IFERROR(_xlfn.XLOOKUP(_xlpm.ai_test,BQ16:BQ63,ROW(BQ16:BQ63),0,1),_xlfn.XLOOKUP(_xlpm.ai_test,BR16:BR63,ROW(BR16:BR63),0,1))),_xlpm.p,_xlpm.r-MIN(ROW(BP16:BP63))+1,_xlpm.f,INDEX(BS16:BS63,_xlpm.p),_xlpm.u,INDEX(BT16:BT63,_xlpm.p),_xlpm.s,INDEX(BV16:BV63,_xlpm.p),_xlpm.q,N(BA374)/_xlpm.f,IF(_xlpm.q&gt;=_xlpm.s,ROUND(_xlpm.q,1)&amp;" "&amp;_xlpm.ai_test&amp;" = "&amp;ROUND(_xlpm.q*_xlpm.f,1)&amp;" "&amp;_xlpm.u,ROUND(_xlpm.q,1)&amp;" "&amp;_xlpm.ai_test)),""),""))))</f>
        <v>0</v>
      </c>
      <c r="BD374" s="801"/>
      <c r="BE374" s="799" t="str">
        <f t="shared" si="150"/>
        <v/>
      </c>
      <c r="BF374" s="800" t="str">
        <f t="shared" si="151"/>
        <v/>
      </c>
      <c r="BG374" s="802">
        <f t="shared" si="154"/>
        <v>0</v>
      </c>
      <c r="BH374" s="803" t="str">
        <f t="shared" si="155"/>
        <v/>
      </c>
      <c r="BI374" s="792"/>
      <c r="BJ374" s="804">
        <f t="shared" si="153"/>
        <v>0</v>
      </c>
      <c r="BK374" s="794" t="str">
        <f t="shared" si="152"/>
        <v/>
      </c>
      <c r="BL374" s="227" t="s">
        <v>21</v>
      </c>
      <c r="BM374" s="773">
        <f t="shared" si="141"/>
        <v>0</v>
      </c>
      <c r="BN374" s="774">
        <f t="shared" si="142"/>
        <v>0</v>
      </c>
      <c r="BO374"/>
      <c r="BX374"/>
      <c r="BY374"/>
      <c r="BZ374"/>
      <c r="CA374"/>
      <c r="CB374"/>
      <c r="CC374"/>
      <c r="CD374" s="781" t="str">
        <f t="shared" si="135"/>
        <v>►</v>
      </c>
      <c r="CE374" s="633"/>
      <c r="CF374" s="633"/>
      <c r="CG374" s="633"/>
      <c r="CH374" s="633"/>
      <c r="CI374" s="633"/>
      <c r="CJ374" s="227"/>
      <c r="CK374"/>
      <c r="CL374"/>
      <c r="CM374"/>
      <c r="CN374"/>
      <c r="CO374"/>
      <c r="CP374"/>
      <c r="CQ374"/>
      <c r="CR374" s="227"/>
      <c r="CS374"/>
      <c r="CT374"/>
      <c r="CU374"/>
      <c r="CV374"/>
      <c r="CW374"/>
      <c r="CX374"/>
      <c r="CY374"/>
      <c r="CZ374" s="227"/>
      <c r="DA374"/>
      <c r="DB374"/>
      <c r="DC374"/>
      <c r="DD374"/>
      <c r="DE374"/>
      <c r="DF374"/>
      <c r="DG374"/>
      <c r="DH374" s="227"/>
      <c r="DI374" s="3">
        <v>1</v>
      </c>
    </row>
    <row r="375" spans="2:113" s="627" customFormat="1" ht="21" customHeight="1">
      <c r="B375" s="2265" t="str" cm="1">
        <f t="array" ref="B375">SUMPRODUCT(--(D375:J375&lt;&gt;""), LEN(TRIM(SUBSTITUTE(D375:J375, CHAR(160), "")))) &amp; " Car."</f>
        <v>0 Car.</v>
      </c>
      <c r="C375" s="1376" t="str">
        <f>IF(ISBLANK(D375),"",LARGE(C13:C374,1)+1)</f>
        <v/>
      </c>
      <c r="D375" s="1833"/>
      <c r="E375" s="1810"/>
      <c r="F375" s="1810"/>
      <c r="G375" s="1810"/>
      <c r="H375" s="1810"/>
      <c r="I375" s="1810"/>
      <c r="J375" s="1810"/>
      <c r="K375" s="1810"/>
      <c r="L375" s="1811"/>
      <c r="M375"/>
      <c r="N375" s="103" t="str">
        <f t="shared" si="137"/>
        <v>►</v>
      </c>
      <c r="O375" s="1616"/>
      <c r="P375"/>
      <c r="Q375" s="25" t="s">
        <v>15</v>
      </c>
      <c r="R375" s="31"/>
      <c r="S375" s="32"/>
      <c r="T375" s="31"/>
      <c r="U375" s="33"/>
      <c r="V375" s="1967"/>
      <c r="W375" s="1805"/>
      <c r="X375" s="91"/>
      <c r="Y375" s="1806"/>
      <c r="Z375" s="1968"/>
      <c r="AA375" s="2244"/>
      <c r="AB375" s="1969"/>
      <c r="AC375" s="1365"/>
      <c r="AD375" s="95"/>
      <c r="AE375" s="1326"/>
      <c r="AF375" s="97"/>
      <c r="AG375" s="1737"/>
      <c r="AH375" s="1970"/>
      <c r="AI375" s="99"/>
      <c r="AJ375" s="1809"/>
      <c r="AK375" s="6120" t="str">
        <f t="shared" si="138"/>
        <v>►</v>
      </c>
      <c r="AL375" s="781" t="str">
        <f t="shared" si="140"/>
        <v>►</v>
      </c>
      <c r="AM375" s="5499" t="str">
        <f t="shared" si="143"/>
        <v/>
      </c>
      <c r="AN375" s="783" t="str">
        <f t="shared" si="144"/>
        <v/>
      </c>
      <c r="AO375" s="782" t="str">
        <f t="shared" si="145"/>
        <v/>
      </c>
      <c r="AP375" s="783" t="str">
        <f t="shared" si="146"/>
        <v/>
      </c>
      <c r="AQ375" s="2083" t="b">
        <f>AND(Q375="A",COUNTIF(BP16:BR63,TRIM(Z375))&gt;0)</f>
        <v>0</v>
      </c>
      <c r="AR375" s="797" t="str">
        <f>IF(AL375&lt;&gt;"A","",IFERROR(IFERROR(_xlfn.XLOOKUP(TRIM(SUBSTITUTE(Z375,CHAR(160)," ")),BP16:BP63,BS16:BS63),IFERROR(_xlfn.XLOOKUP(TRIM(SUBSTITUTE(Z375,CHAR(160)," ")),BQ16:BQ63,BS16:BS63),_xlfn.XLOOKUP(TRIM(SUBSTITUTE(Z375,CHAR(160)," ")),BR16:BR63,BS16:BS63)))*Y375*IF(ISBLANK(V375),1,V375),0))</f>
        <v/>
      </c>
      <c r="AS375" s="784" t="str">
        <f t="shared" si="136"/>
        <v/>
      </c>
      <c r="AT375" s="1315" t="str">
        <f t="shared" si="147"/>
        <v/>
      </c>
      <c r="AU375" s="785">
        <f t="shared" si="148"/>
        <v>0</v>
      </c>
      <c r="AV375" s="785">
        <f t="shared" si="149"/>
        <v>0</v>
      </c>
      <c r="AW375" s="786">
        <f>IF(AK375="A",AY10,0)</f>
        <v>0</v>
      </c>
      <c r="AX375" s="5495" t="str">
        <f>IF(IFERROR(SEARCH("Adresse PC",TRIM(W375)),0)&gt;0,"▼ receta siguiente",IF(AK375="A",IF(AZ10&lt;&gt;"",AZ10&amp;" - ou.or.o ❾ + or - &gt;",""),""))</f>
        <v/>
      </c>
      <c r="AY375" s="810"/>
      <c r="AZ375" s="810"/>
      <c r="BA375" s="788" t="str">
        <f t="shared" si="139"/>
        <v/>
      </c>
      <c r="BB375" s="789" t="str">
        <f>IF(AK375="A",IF(AQ375,IF(AND(AW375&lt;&gt;"",N(AW375)&gt;0),IFERROR(IFERROR(_xlfn.XLOOKUP(AP375,BP10:BP57,BT10:BT57),IFERROR(_xlfn.XLOOKUP(AP375,BQ10:BQ57,BT10:BT57),_xlfn.XLOOKUP(AP375,BR10:BR57,BT10:BT57,""))),""),""),""),"")</f>
        <v/>
      </c>
      <c r="BC375" s="811" cm="1">
        <f t="array" ref="BC375">IF(NOT(AQ375),0,IF(OR(BA375="",N(BA375)&lt;=0.000000001),"",IF(OR(AU375="",N(AU375)&lt;=0.000000001),0,IF(ISNUMBER(BA375),IFERROR(_xlfn.LET(_xlpm.ai_test,TRIM(AP375),_xlpm.r,IFERROR(_xlfn.XLOOKUP(_xlpm.ai_test,BP16:BP63,ROW(BP16:BP63),0,1),IFERROR(_xlfn.XLOOKUP(_xlpm.ai_test,BQ16:BQ63,ROW(BQ16:BQ63),0,1),_xlfn.XLOOKUP(_xlpm.ai_test,BR16:BR63,ROW(BR16:BR63),0,1))),_xlpm.p,_xlpm.r-MIN(ROW(BP16:BP63))+1,_xlpm.f,INDEX(BS16:BS63,_xlpm.p),_xlpm.u,INDEX(BT16:BT63,_xlpm.p),_xlpm.s,INDEX(BV16:BV63,_xlpm.p),_xlpm.q,N(BA375)/_xlpm.f,IF(_xlpm.q&gt;=_xlpm.s,ROUND(_xlpm.q,1)&amp;" "&amp;_xlpm.ai_test&amp;" = "&amp;ROUND(_xlpm.q*_xlpm.f,1)&amp;" "&amp;_xlpm.u,ROUND(_xlpm.q,1)&amp;" "&amp;_xlpm.ai_test)),""),""))))</f>
        <v>0</v>
      </c>
      <c r="BD375" s="801"/>
      <c r="BE375" s="788" t="str">
        <f t="shared" si="150"/>
        <v/>
      </c>
      <c r="BF375" s="789" t="str">
        <f t="shared" si="151"/>
        <v/>
      </c>
      <c r="BG375" s="790">
        <f t="shared" si="154"/>
        <v>0</v>
      </c>
      <c r="BH375" s="791" t="str">
        <f t="shared" si="155"/>
        <v/>
      </c>
      <c r="BI375" s="792"/>
      <c r="BJ375" s="793">
        <f t="shared" si="153"/>
        <v>0</v>
      </c>
      <c r="BK375" s="794" t="str">
        <f t="shared" si="152"/>
        <v/>
      </c>
      <c r="BL375" s="227" t="s">
        <v>21</v>
      </c>
      <c r="BM375" s="773">
        <f t="shared" si="141"/>
        <v>0</v>
      </c>
      <c r="BN375" s="774">
        <f t="shared" si="142"/>
        <v>0</v>
      </c>
      <c r="BO375"/>
      <c r="BX375"/>
      <c r="BY375"/>
      <c r="BZ375"/>
      <c r="CA375"/>
      <c r="CB375"/>
      <c r="CC375"/>
      <c r="CD375" s="781" t="str">
        <f t="shared" si="135"/>
        <v>►</v>
      </c>
      <c r="CE375" s="633"/>
      <c r="CF375" s="633"/>
      <c r="CG375" s="633"/>
      <c r="CH375" s="633"/>
      <c r="CI375" s="633"/>
      <c r="CJ375" s="227"/>
      <c r="CK375"/>
      <c r="CL375"/>
      <c r="CM375"/>
      <c r="CN375"/>
      <c r="CO375"/>
      <c r="CP375"/>
      <c r="CQ375"/>
      <c r="CR375" s="227"/>
      <c r="CS375"/>
      <c r="CT375"/>
      <c r="CU375"/>
      <c r="CV375"/>
      <c r="CW375"/>
      <c r="CX375"/>
      <c r="CY375"/>
      <c r="CZ375" s="227"/>
      <c r="DA375"/>
      <c r="DB375"/>
      <c r="DC375"/>
      <c r="DD375"/>
      <c r="DE375"/>
      <c r="DF375"/>
      <c r="DG375"/>
      <c r="DH375" s="227"/>
      <c r="DI375" s="3">
        <v>1</v>
      </c>
    </row>
    <row r="376" spans="2:113" s="627" customFormat="1" ht="21" customHeight="1">
      <c r="B376" s="2265" t="str" cm="1">
        <f t="array" ref="B376">SUMPRODUCT(--(D376:J376&lt;&gt;""), LEN(TRIM(SUBSTITUTE(D376:J376, CHAR(160), "")))) &amp; " Car."</f>
        <v>0 Car.</v>
      </c>
      <c r="C376" s="1376" t="str">
        <f>IF(ISBLANK(D376),"",LARGE(C13:C375,1)+1)</f>
        <v/>
      </c>
      <c r="D376" s="1833"/>
      <c r="E376" s="1810"/>
      <c r="F376" s="1810"/>
      <c r="G376" s="1810"/>
      <c r="H376" s="1810"/>
      <c r="I376" s="1810"/>
      <c r="J376" s="1810"/>
      <c r="K376" s="1810"/>
      <c r="L376" s="1811"/>
      <c r="M376"/>
      <c r="N376" s="103" t="str">
        <f t="shared" si="137"/>
        <v>►</v>
      </c>
      <c r="O376" s="1616"/>
      <c r="P376"/>
      <c r="Q376" s="25" t="s">
        <v>15</v>
      </c>
      <c r="R376" s="31"/>
      <c r="S376" s="32"/>
      <c r="T376" s="31"/>
      <c r="U376" s="33"/>
      <c r="V376" s="1967"/>
      <c r="W376" s="1805"/>
      <c r="X376" s="91"/>
      <c r="Y376" s="1806"/>
      <c r="Z376" s="1968"/>
      <c r="AA376" s="2244"/>
      <c r="AB376" s="1969"/>
      <c r="AC376" s="1365"/>
      <c r="AD376" s="95"/>
      <c r="AE376" s="1326"/>
      <c r="AF376" s="97"/>
      <c r="AG376" s="1737"/>
      <c r="AH376" s="1970"/>
      <c r="AI376" s="99"/>
      <c r="AJ376" s="1809"/>
      <c r="AK376" s="6120" t="str">
        <f t="shared" si="138"/>
        <v>►</v>
      </c>
      <c r="AL376" s="781" t="str">
        <f t="shared" si="140"/>
        <v>►</v>
      </c>
      <c r="AM376" s="5498" t="str">
        <f t="shared" si="143"/>
        <v/>
      </c>
      <c r="AN376" s="783" t="str">
        <f t="shared" si="144"/>
        <v/>
      </c>
      <c r="AO376" s="782" t="str">
        <f t="shared" si="145"/>
        <v/>
      </c>
      <c r="AP376" s="783" t="str">
        <f t="shared" si="146"/>
        <v/>
      </c>
      <c r="AQ376" s="2083" t="b">
        <f>AND(Q376="A",COUNTIF(BP16:BR63,TRIM(Z376))&gt;0)</f>
        <v>0</v>
      </c>
      <c r="AR376" s="797" t="str">
        <f>IF(AL376&lt;&gt;"A","",IFERROR(IFERROR(_xlfn.XLOOKUP(TRIM(SUBSTITUTE(Z376,CHAR(160)," ")),BP16:BP63,BS16:BS63),IFERROR(_xlfn.XLOOKUP(TRIM(SUBSTITUTE(Z376,CHAR(160)," ")),BQ16:BQ63,BS16:BS63),_xlfn.XLOOKUP(TRIM(SUBSTITUTE(Z376,CHAR(160)," ")),BR16:BR63,BS16:BS63)))*Y376*IF(ISBLANK(V376),1,V376),0))</f>
        <v/>
      </c>
      <c r="AS376" s="784" t="str">
        <f t="shared" si="136"/>
        <v/>
      </c>
      <c r="AT376" s="1315" t="str">
        <f t="shared" si="147"/>
        <v/>
      </c>
      <c r="AU376" s="785">
        <f t="shared" si="148"/>
        <v>0</v>
      </c>
      <c r="AV376" s="785">
        <f t="shared" si="149"/>
        <v>0</v>
      </c>
      <c r="AW376" s="798">
        <f>IF(AK376="A",AY10,0)</f>
        <v>0</v>
      </c>
      <c r="AX376" s="5496" t="str">
        <f>IF(IFERROR(SEARCH("Adresse PC",TRIM(W376)),0)&gt;0,"▼ receta siguiente",IF(AK376="A",IF(AZ10&lt;&gt;"",AZ10&amp;" - ou.or.o ❾ + or - &gt;",""),""))</f>
        <v/>
      </c>
      <c r="AY376" s="810"/>
      <c r="AZ376" s="810"/>
      <c r="BA376" s="799" t="str">
        <f t="shared" si="139"/>
        <v/>
      </c>
      <c r="BB376" s="800" t="str">
        <f>IF(AK376="A",IF(AQ376,IF(AND(AW376&lt;&gt;"",N(AW376)&gt;0),IFERROR(IFERROR(_xlfn.XLOOKUP(AP376,BP10:BP57,BT10:BT57),IFERROR(_xlfn.XLOOKUP(AP376,BQ10:BQ57,BT10:BT57),_xlfn.XLOOKUP(AP376,BR10:BR57,BT10:BT57,""))),""),""),""),"")</f>
        <v/>
      </c>
      <c r="BC376" s="813" cm="1">
        <f t="array" ref="BC376">IF(NOT(AQ376),0,IF(OR(BA376="",N(BA376)&lt;=0.000000001),"",IF(OR(AU376="",N(AU376)&lt;=0.000000001),0,IF(ISNUMBER(BA376),IFERROR(_xlfn.LET(_xlpm.ai_test,TRIM(AP376),_xlpm.r,IFERROR(_xlfn.XLOOKUP(_xlpm.ai_test,BP16:BP63,ROW(BP16:BP63),0,1),IFERROR(_xlfn.XLOOKUP(_xlpm.ai_test,BQ16:BQ63,ROW(BQ16:BQ63),0,1),_xlfn.XLOOKUP(_xlpm.ai_test,BR16:BR63,ROW(BR16:BR63),0,1))),_xlpm.p,_xlpm.r-MIN(ROW(BP16:BP63))+1,_xlpm.f,INDEX(BS16:BS63,_xlpm.p),_xlpm.u,INDEX(BT16:BT63,_xlpm.p),_xlpm.s,INDEX(BV16:BV63,_xlpm.p),_xlpm.q,N(BA376)/_xlpm.f,IF(_xlpm.q&gt;=_xlpm.s,ROUND(_xlpm.q,1)&amp;" "&amp;_xlpm.ai_test&amp;" = "&amp;ROUND(_xlpm.q*_xlpm.f,1)&amp;" "&amp;_xlpm.u,ROUND(_xlpm.q,1)&amp;" "&amp;_xlpm.ai_test)),""),""))))</f>
        <v>0</v>
      </c>
      <c r="BD376" s="801"/>
      <c r="BE376" s="799" t="str">
        <f t="shared" si="150"/>
        <v/>
      </c>
      <c r="BF376" s="800" t="str">
        <f t="shared" si="151"/>
        <v/>
      </c>
      <c r="BG376" s="802">
        <f t="shared" si="154"/>
        <v>0</v>
      </c>
      <c r="BH376" s="803" t="str">
        <f t="shared" si="155"/>
        <v/>
      </c>
      <c r="BI376" s="792"/>
      <c r="BJ376" s="804">
        <f t="shared" si="153"/>
        <v>0</v>
      </c>
      <c r="BK376" s="794" t="str">
        <f t="shared" si="152"/>
        <v/>
      </c>
      <c r="BL376" s="227" t="s">
        <v>21</v>
      </c>
      <c r="BM376" s="773">
        <f t="shared" si="141"/>
        <v>0</v>
      </c>
      <c r="BN376" s="774">
        <f t="shared" si="142"/>
        <v>0</v>
      </c>
      <c r="BO376"/>
      <c r="BX376"/>
      <c r="BY376"/>
      <c r="BZ376"/>
      <c r="CA376"/>
      <c r="CB376"/>
      <c r="CC376"/>
      <c r="CD376" s="781" t="str">
        <f t="shared" si="135"/>
        <v>►</v>
      </c>
      <c r="CE376" s="633"/>
      <c r="CF376" s="633"/>
      <c r="CG376" s="633"/>
      <c r="CH376" s="633"/>
      <c r="CI376" s="633"/>
      <c r="CJ376" s="227"/>
      <c r="CK376"/>
      <c r="CL376"/>
      <c r="CM376"/>
      <c r="CN376"/>
      <c r="CO376"/>
      <c r="CP376"/>
      <c r="CQ376"/>
      <c r="CR376" s="227"/>
      <c r="CS376"/>
      <c r="CT376"/>
      <c r="CU376"/>
      <c r="CV376"/>
      <c r="CW376"/>
      <c r="CX376"/>
      <c r="CY376"/>
      <c r="CZ376" s="227"/>
      <c r="DA376"/>
      <c r="DB376"/>
      <c r="DC376"/>
      <c r="DD376"/>
      <c r="DE376"/>
      <c r="DF376"/>
      <c r="DG376"/>
      <c r="DH376" s="227"/>
      <c r="DI376" s="3">
        <v>1</v>
      </c>
    </row>
    <row r="377" spans="2:113" s="627" customFormat="1" ht="21" customHeight="1">
      <c r="B377" s="2265" t="str" cm="1">
        <f t="array" ref="B377">SUMPRODUCT(--(D377:J377&lt;&gt;""), LEN(TRIM(SUBSTITUTE(D377:J377, CHAR(160), "")))) &amp; " Car."</f>
        <v>0 Car.</v>
      </c>
      <c r="C377" s="1376" t="str">
        <f>IF(ISBLANK(D377),"",LARGE(C13:C376,1)+1)</f>
        <v/>
      </c>
      <c r="D377" s="1833"/>
      <c r="E377" s="1810"/>
      <c r="F377" s="1810"/>
      <c r="G377" s="1810"/>
      <c r="H377" s="1810"/>
      <c r="I377" s="1810"/>
      <c r="J377" s="1810"/>
      <c r="K377" s="1810"/>
      <c r="L377" s="1811"/>
      <c r="M377"/>
      <c r="N377" s="103" t="str">
        <f t="shared" si="137"/>
        <v>►</v>
      </c>
      <c r="O377" s="1616"/>
      <c r="P377"/>
      <c r="Q377" s="25" t="s">
        <v>15</v>
      </c>
      <c r="R377" s="31"/>
      <c r="S377" s="32"/>
      <c r="T377" s="31"/>
      <c r="U377" s="33"/>
      <c r="V377" s="1967"/>
      <c r="W377" s="1805"/>
      <c r="X377" s="91"/>
      <c r="Y377" s="1806"/>
      <c r="Z377" s="1968"/>
      <c r="AA377" s="2244"/>
      <c r="AB377" s="1969"/>
      <c r="AC377" s="1365"/>
      <c r="AD377" s="95"/>
      <c r="AE377" s="1326"/>
      <c r="AF377" s="97"/>
      <c r="AG377" s="1737"/>
      <c r="AH377" s="1970"/>
      <c r="AI377" s="99"/>
      <c r="AJ377" s="1809"/>
      <c r="AK377" s="6120" t="str">
        <f t="shared" si="138"/>
        <v>►</v>
      </c>
      <c r="AL377" s="781" t="str">
        <f t="shared" si="140"/>
        <v>►</v>
      </c>
      <c r="AM377" s="5499" t="str">
        <f t="shared" si="143"/>
        <v/>
      </c>
      <c r="AN377" s="783" t="str">
        <f t="shared" si="144"/>
        <v/>
      </c>
      <c r="AO377" s="782" t="str">
        <f t="shared" si="145"/>
        <v/>
      </c>
      <c r="AP377" s="783" t="str">
        <f t="shared" si="146"/>
        <v/>
      </c>
      <c r="AQ377" s="2083" t="b">
        <f>AND(Q377="A",COUNTIF(BP16:BR63,TRIM(Z377))&gt;0)</f>
        <v>0</v>
      </c>
      <c r="AR377" s="797" t="str">
        <f>IF(AL377&lt;&gt;"A","",IFERROR(IFERROR(_xlfn.XLOOKUP(TRIM(SUBSTITUTE(Z377,CHAR(160)," ")),BP16:BP63,BS16:BS63),IFERROR(_xlfn.XLOOKUP(TRIM(SUBSTITUTE(Z377,CHAR(160)," ")),BQ16:BQ63,BS16:BS63),_xlfn.XLOOKUP(TRIM(SUBSTITUTE(Z377,CHAR(160)," ")),BR16:BR63,BS16:BS63)))*Y377*IF(ISBLANK(V377),1,V377),0))</f>
        <v/>
      </c>
      <c r="AS377" s="784" t="str">
        <f t="shared" si="136"/>
        <v/>
      </c>
      <c r="AT377" s="1315" t="str">
        <f t="shared" si="147"/>
        <v/>
      </c>
      <c r="AU377" s="785">
        <f t="shared" si="148"/>
        <v>0</v>
      </c>
      <c r="AV377" s="785">
        <f t="shared" si="149"/>
        <v>0</v>
      </c>
      <c r="AW377" s="786">
        <f>IF(AK377="A",AY10,0)</f>
        <v>0</v>
      </c>
      <c r="AX377" s="5495" t="str">
        <f>IF(IFERROR(SEARCH("Adresse PC",TRIM(W377)),0)&gt;0,"▼ receta siguiente",IF(AK377="A",IF(AZ10&lt;&gt;"",AZ10&amp;" - ou.or.o ❾ + or - &gt;",""),""))</f>
        <v/>
      </c>
      <c r="AY377" s="810"/>
      <c r="AZ377" s="810"/>
      <c r="BA377" s="788" t="str">
        <f t="shared" si="139"/>
        <v/>
      </c>
      <c r="BB377" s="789" t="str">
        <f>IF(AK377="A",IF(AQ377,IF(AND(AW377&lt;&gt;"",N(AW377)&gt;0),IFERROR(IFERROR(_xlfn.XLOOKUP(AP377,BP10:BP57,BT10:BT57),IFERROR(_xlfn.XLOOKUP(AP377,BQ10:BQ57,BT10:BT57),_xlfn.XLOOKUP(AP377,BR10:BR57,BT10:BT57,""))),""),""),""),"")</f>
        <v/>
      </c>
      <c r="BC377" s="811" cm="1">
        <f t="array" ref="BC377">IF(NOT(AQ377),0,IF(OR(BA377="",N(BA377)&lt;=0.000000001),"",IF(OR(AU377="",N(AU377)&lt;=0.000000001),0,IF(ISNUMBER(BA377),IFERROR(_xlfn.LET(_xlpm.ai_test,TRIM(AP377),_xlpm.r,IFERROR(_xlfn.XLOOKUP(_xlpm.ai_test,BP16:BP63,ROW(BP16:BP63),0,1),IFERROR(_xlfn.XLOOKUP(_xlpm.ai_test,BQ16:BQ63,ROW(BQ16:BQ63),0,1),_xlfn.XLOOKUP(_xlpm.ai_test,BR16:BR63,ROW(BR16:BR63),0,1))),_xlpm.p,_xlpm.r-MIN(ROW(BP16:BP63))+1,_xlpm.f,INDEX(BS16:BS63,_xlpm.p),_xlpm.u,INDEX(BT16:BT63,_xlpm.p),_xlpm.s,INDEX(BV16:BV63,_xlpm.p),_xlpm.q,N(BA377)/_xlpm.f,IF(_xlpm.q&gt;=_xlpm.s,ROUND(_xlpm.q,1)&amp;" "&amp;_xlpm.ai_test&amp;" = "&amp;ROUND(_xlpm.q*_xlpm.f,1)&amp;" "&amp;_xlpm.u,ROUND(_xlpm.q,1)&amp;" "&amp;_xlpm.ai_test)),""),""))))</f>
        <v>0</v>
      </c>
      <c r="BD377" s="801"/>
      <c r="BE377" s="788" t="str">
        <f t="shared" si="150"/>
        <v/>
      </c>
      <c r="BF377" s="789" t="str">
        <f t="shared" si="151"/>
        <v/>
      </c>
      <c r="BG377" s="790">
        <f t="shared" si="154"/>
        <v>0</v>
      </c>
      <c r="BH377" s="791" t="str">
        <f t="shared" si="155"/>
        <v/>
      </c>
      <c r="BI377" s="792"/>
      <c r="BJ377" s="793">
        <f t="shared" si="153"/>
        <v>0</v>
      </c>
      <c r="BK377" s="794" t="str">
        <f t="shared" si="152"/>
        <v/>
      </c>
      <c r="BL377" s="227" t="s">
        <v>21</v>
      </c>
      <c r="BM377" s="773">
        <f t="shared" si="141"/>
        <v>0</v>
      </c>
      <c r="BN377" s="774">
        <f t="shared" si="142"/>
        <v>0</v>
      </c>
      <c r="BO377"/>
      <c r="BX377"/>
      <c r="BY377"/>
      <c r="BZ377"/>
      <c r="CA377"/>
      <c r="CB377"/>
      <c r="CC377"/>
      <c r="CD377" s="781" t="str">
        <f t="shared" si="135"/>
        <v>►</v>
      </c>
      <c r="CE377" s="633"/>
      <c r="CF377" s="633"/>
      <c r="CG377" s="633"/>
      <c r="CH377" s="633"/>
      <c r="CI377" s="633"/>
      <c r="CJ377" s="227"/>
      <c r="CK377"/>
      <c r="CL377"/>
      <c r="CM377"/>
      <c r="CN377"/>
      <c r="CO377"/>
      <c r="CP377"/>
      <c r="CQ377"/>
      <c r="CR377" s="227"/>
      <c r="CS377"/>
      <c r="CT377"/>
      <c r="CU377"/>
      <c r="CV377"/>
      <c r="CW377"/>
      <c r="CX377"/>
      <c r="CY377"/>
      <c r="CZ377" s="227"/>
      <c r="DA377"/>
      <c r="DB377"/>
      <c r="DC377"/>
      <c r="DD377"/>
      <c r="DE377"/>
      <c r="DF377"/>
      <c r="DG377"/>
      <c r="DH377" s="227"/>
      <c r="DI377" s="3">
        <v>1</v>
      </c>
    </row>
    <row r="378" spans="2:113" s="627" customFormat="1" ht="21" customHeight="1">
      <c r="B378" s="2265" t="str" cm="1">
        <f t="array" ref="B378">SUMPRODUCT(--(D378:J378&lt;&gt;""), LEN(TRIM(SUBSTITUTE(D378:J378, CHAR(160), "")))) &amp; " Car."</f>
        <v>0 Car.</v>
      </c>
      <c r="C378" s="1376" t="str">
        <f>IF(ISBLANK(D378),"",LARGE(C13:C377,1)+1)</f>
        <v/>
      </c>
      <c r="D378" s="1833"/>
      <c r="E378" s="1810"/>
      <c r="F378" s="1810"/>
      <c r="G378" s="1810"/>
      <c r="H378" s="1810"/>
      <c r="I378" s="1810"/>
      <c r="J378" s="1810"/>
      <c r="K378" s="1810"/>
      <c r="L378" s="1811"/>
      <c r="M378"/>
      <c r="N378" s="103" t="str">
        <f t="shared" si="137"/>
        <v>►</v>
      </c>
      <c r="O378" s="1616"/>
      <c r="P378"/>
      <c r="Q378" s="25" t="s">
        <v>15</v>
      </c>
      <c r="R378" s="31"/>
      <c r="S378" s="32"/>
      <c r="T378" s="31"/>
      <c r="U378" s="33"/>
      <c r="V378" s="1967"/>
      <c r="W378" s="1805"/>
      <c r="X378" s="91"/>
      <c r="Y378" s="1806"/>
      <c r="Z378" s="1968"/>
      <c r="AA378" s="2244"/>
      <c r="AB378" s="1969"/>
      <c r="AC378" s="1365"/>
      <c r="AD378" s="95"/>
      <c r="AE378" s="1326"/>
      <c r="AF378" s="97"/>
      <c r="AG378" s="1737"/>
      <c r="AH378" s="1970"/>
      <c r="AI378" s="99"/>
      <c r="AJ378" s="1809"/>
      <c r="AK378" s="6120" t="str">
        <f t="shared" si="138"/>
        <v>►</v>
      </c>
      <c r="AL378" s="781" t="str">
        <f t="shared" si="140"/>
        <v>►</v>
      </c>
      <c r="AM378" s="5498" t="str">
        <f t="shared" si="143"/>
        <v/>
      </c>
      <c r="AN378" s="783" t="str">
        <f t="shared" si="144"/>
        <v/>
      </c>
      <c r="AO378" s="782" t="str">
        <f t="shared" si="145"/>
        <v/>
      </c>
      <c r="AP378" s="783" t="str">
        <f t="shared" si="146"/>
        <v/>
      </c>
      <c r="AQ378" s="2083" t="b">
        <f>AND(Q378="A",COUNTIF(BP16:BR63,TRIM(Z378))&gt;0)</f>
        <v>0</v>
      </c>
      <c r="AR378" s="797" t="str">
        <f>IF(AL378&lt;&gt;"A","",IFERROR(IFERROR(_xlfn.XLOOKUP(TRIM(SUBSTITUTE(Z378,CHAR(160)," ")),BP16:BP63,BS16:BS63),IFERROR(_xlfn.XLOOKUP(TRIM(SUBSTITUTE(Z378,CHAR(160)," ")),BQ16:BQ63,BS16:BS63),_xlfn.XLOOKUP(TRIM(SUBSTITUTE(Z378,CHAR(160)," ")),BR16:BR63,BS16:BS63)))*Y378*IF(ISBLANK(V378),1,V378),0))</f>
        <v/>
      </c>
      <c r="AS378" s="784" t="str">
        <f t="shared" si="136"/>
        <v/>
      </c>
      <c r="AT378" s="1315" t="str">
        <f t="shared" si="147"/>
        <v/>
      </c>
      <c r="AU378" s="785">
        <f t="shared" si="148"/>
        <v>0</v>
      </c>
      <c r="AV378" s="785">
        <f t="shared" si="149"/>
        <v>0</v>
      </c>
      <c r="AW378" s="798">
        <f>IF(AK378="A",AY10,0)</f>
        <v>0</v>
      </c>
      <c r="AX378" s="5496" t="str">
        <f>IF(IFERROR(SEARCH("Adresse PC",TRIM(W378)),0)&gt;0,"▼ receta siguiente",IF(AK378="A",IF(AZ10&lt;&gt;"",AZ10&amp;" - ou.or.o ❾ + or - &gt;",""),""))</f>
        <v/>
      </c>
      <c r="AY378" s="810"/>
      <c r="AZ378" s="810"/>
      <c r="BA378" s="799" t="str">
        <f t="shared" si="139"/>
        <v/>
      </c>
      <c r="BB378" s="800" t="str">
        <f>IF(AK378="A",IF(AQ378,IF(AND(AW378&lt;&gt;"",N(AW378)&gt;0),IFERROR(IFERROR(_xlfn.XLOOKUP(AP378,BP10:BP57,BT10:BT57),IFERROR(_xlfn.XLOOKUP(AP378,BQ10:BQ57,BT10:BT57),_xlfn.XLOOKUP(AP378,BR10:BR57,BT10:BT57,""))),""),""),""),"")</f>
        <v/>
      </c>
      <c r="BC378" s="813" cm="1">
        <f t="array" ref="BC378">IF(NOT(AQ378),0,IF(OR(BA378="",N(BA378)&lt;=0.000000001),"",IF(OR(AU378="",N(AU378)&lt;=0.000000001),0,IF(ISNUMBER(BA378),IFERROR(_xlfn.LET(_xlpm.ai_test,TRIM(AP378),_xlpm.r,IFERROR(_xlfn.XLOOKUP(_xlpm.ai_test,BP16:BP63,ROW(BP16:BP63),0,1),IFERROR(_xlfn.XLOOKUP(_xlpm.ai_test,BQ16:BQ63,ROW(BQ16:BQ63),0,1),_xlfn.XLOOKUP(_xlpm.ai_test,BR16:BR63,ROW(BR16:BR63),0,1))),_xlpm.p,_xlpm.r-MIN(ROW(BP16:BP63))+1,_xlpm.f,INDEX(BS16:BS63,_xlpm.p),_xlpm.u,INDEX(BT16:BT63,_xlpm.p),_xlpm.s,INDEX(BV16:BV63,_xlpm.p),_xlpm.q,N(BA378)/_xlpm.f,IF(_xlpm.q&gt;=_xlpm.s,ROUND(_xlpm.q,1)&amp;" "&amp;_xlpm.ai_test&amp;" = "&amp;ROUND(_xlpm.q*_xlpm.f,1)&amp;" "&amp;_xlpm.u,ROUND(_xlpm.q,1)&amp;" "&amp;_xlpm.ai_test)),""),""))))</f>
        <v>0</v>
      </c>
      <c r="BD378" s="801"/>
      <c r="BE378" s="799" t="str">
        <f t="shared" si="150"/>
        <v/>
      </c>
      <c r="BF378" s="800" t="str">
        <f t="shared" si="151"/>
        <v/>
      </c>
      <c r="BG378" s="802">
        <f t="shared" si="154"/>
        <v>0</v>
      </c>
      <c r="BH378" s="803" t="str">
        <f t="shared" si="155"/>
        <v/>
      </c>
      <c r="BI378" s="792"/>
      <c r="BJ378" s="804">
        <f t="shared" si="153"/>
        <v>0</v>
      </c>
      <c r="BK378" s="794" t="str">
        <f t="shared" si="152"/>
        <v/>
      </c>
      <c r="BL378" s="227" t="s">
        <v>21</v>
      </c>
      <c r="BM378" s="773">
        <f t="shared" si="141"/>
        <v>0</v>
      </c>
      <c r="BN378" s="774">
        <f t="shared" si="142"/>
        <v>0</v>
      </c>
      <c r="BO378"/>
      <c r="BX378"/>
      <c r="BY378"/>
      <c r="BZ378"/>
      <c r="CA378"/>
      <c r="CB378"/>
      <c r="CC378"/>
      <c r="CD378" s="781" t="str">
        <f t="shared" si="135"/>
        <v>►</v>
      </c>
      <c r="CE378" s="633"/>
      <c r="CF378" s="633"/>
      <c r="CG378" s="633"/>
      <c r="CH378" s="633"/>
      <c r="CI378" s="633"/>
      <c r="CJ378" s="227"/>
      <c r="CK378"/>
      <c r="CL378"/>
      <c r="CM378"/>
      <c r="CN378"/>
      <c r="CO378"/>
      <c r="CP378"/>
      <c r="CQ378"/>
      <c r="CR378" s="227"/>
      <c r="CS378"/>
      <c r="CT378"/>
      <c r="CU378"/>
      <c r="CV378"/>
      <c r="CW378"/>
      <c r="CX378"/>
      <c r="CY378"/>
      <c r="CZ378" s="227"/>
      <c r="DA378"/>
      <c r="DB378"/>
      <c r="DC378"/>
      <c r="DD378"/>
      <c r="DE378"/>
      <c r="DF378"/>
      <c r="DG378"/>
      <c r="DH378" s="227"/>
      <c r="DI378" s="3">
        <v>1</v>
      </c>
    </row>
    <row r="379" spans="2:113" s="627" customFormat="1" ht="21" customHeight="1">
      <c r="B379" s="2265" t="str" cm="1">
        <f t="array" ref="B379">SUMPRODUCT(--(D379:J379&lt;&gt;""), LEN(TRIM(SUBSTITUTE(D379:J379, CHAR(160), "")))) &amp; " Car."</f>
        <v>0 Car.</v>
      </c>
      <c r="C379" s="1376" t="str">
        <f>IF(ISBLANK(D379),"",LARGE(C13:C378,1)+1)</f>
        <v/>
      </c>
      <c r="D379" s="1833"/>
      <c r="E379" s="1810"/>
      <c r="F379" s="1810"/>
      <c r="G379" s="1810"/>
      <c r="H379" s="1810"/>
      <c r="I379" s="1810"/>
      <c r="J379" s="1810"/>
      <c r="K379" s="1810"/>
      <c r="L379" s="1811"/>
      <c r="M379"/>
      <c r="N379" s="103" t="str">
        <f t="shared" si="137"/>
        <v>►</v>
      </c>
      <c r="O379" s="1616"/>
      <c r="P379"/>
      <c r="Q379" s="25" t="s">
        <v>15</v>
      </c>
      <c r="R379" s="31"/>
      <c r="S379" s="32"/>
      <c r="T379" s="31"/>
      <c r="U379" s="33"/>
      <c r="V379" s="1967"/>
      <c r="W379" s="1805"/>
      <c r="X379" s="91"/>
      <c r="Y379" s="1806"/>
      <c r="Z379" s="1968"/>
      <c r="AA379" s="2244"/>
      <c r="AB379" s="1969"/>
      <c r="AC379" s="1365"/>
      <c r="AD379" s="95"/>
      <c r="AE379" s="1326"/>
      <c r="AF379" s="97"/>
      <c r="AG379" s="1737"/>
      <c r="AH379" s="1970"/>
      <c r="AI379" s="99"/>
      <c r="AJ379" s="1809"/>
      <c r="AK379" s="6120" t="str">
        <f t="shared" si="138"/>
        <v>►</v>
      </c>
      <c r="AL379" s="781" t="str">
        <f t="shared" si="140"/>
        <v>►</v>
      </c>
      <c r="AM379" s="5499" t="str">
        <f t="shared" si="143"/>
        <v/>
      </c>
      <c r="AN379" s="783" t="str">
        <f t="shared" si="144"/>
        <v/>
      </c>
      <c r="AO379" s="782" t="str">
        <f t="shared" si="145"/>
        <v/>
      </c>
      <c r="AP379" s="783" t="str">
        <f t="shared" si="146"/>
        <v/>
      </c>
      <c r="AQ379" s="2083" t="b">
        <f>AND(Q379="A",COUNTIF(BP16:BR63,TRIM(Z379))&gt;0)</f>
        <v>0</v>
      </c>
      <c r="AR379" s="797" t="str">
        <f>IF(AL379&lt;&gt;"A","",IFERROR(IFERROR(_xlfn.XLOOKUP(TRIM(SUBSTITUTE(Z379,CHAR(160)," ")),BP16:BP63,BS16:BS63),IFERROR(_xlfn.XLOOKUP(TRIM(SUBSTITUTE(Z379,CHAR(160)," ")),BQ16:BQ63,BS16:BS63),_xlfn.XLOOKUP(TRIM(SUBSTITUTE(Z379,CHAR(160)," ")),BR16:BR63,BS16:BS63)))*Y379*IF(ISBLANK(V379),1,V379),0))</f>
        <v/>
      </c>
      <c r="AS379" s="784" t="str">
        <f t="shared" si="136"/>
        <v/>
      </c>
      <c r="AT379" s="1315" t="str">
        <f t="shared" si="147"/>
        <v/>
      </c>
      <c r="AU379" s="785">
        <f t="shared" si="148"/>
        <v>0</v>
      </c>
      <c r="AV379" s="785">
        <f t="shared" si="149"/>
        <v>0</v>
      </c>
      <c r="AW379" s="786">
        <f>IF(AK379="A",AY10,0)</f>
        <v>0</v>
      </c>
      <c r="AX379" s="5495" t="str">
        <f>IF(IFERROR(SEARCH("Adresse PC",TRIM(W379)),0)&gt;0,"▼ receta siguiente",IF(AK379="A",IF(AZ10&lt;&gt;"",AZ10&amp;" - ou.or.o ❾ + or - &gt;",""),""))</f>
        <v/>
      </c>
      <c r="AY379" s="810"/>
      <c r="AZ379" s="810"/>
      <c r="BA379" s="788" t="str">
        <f t="shared" si="139"/>
        <v/>
      </c>
      <c r="BB379" s="789" t="str">
        <f>IF(AK379="A",IF(AQ379,IF(AND(AW379&lt;&gt;"",N(AW379)&gt;0),IFERROR(IFERROR(_xlfn.XLOOKUP(AP379,BP10:BP57,BT10:BT57),IFERROR(_xlfn.XLOOKUP(AP379,BQ10:BQ57,BT10:BT57),_xlfn.XLOOKUP(AP379,BR10:BR57,BT10:BT57,""))),""),""),""),"")</f>
        <v/>
      </c>
      <c r="BC379" s="811" cm="1">
        <f t="array" ref="BC379">IF(NOT(AQ379),0,IF(OR(BA379="",N(BA379)&lt;=0.000000001),"",IF(OR(AU379="",N(AU379)&lt;=0.000000001),0,IF(ISNUMBER(BA379),IFERROR(_xlfn.LET(_xlpm.ai_test,TRIM(AP379),_xlpm.r,IFERROR(_xlfn.XLOOKUP(_xlpm.ai_test,BP16:BP63,ROW(BP16:BP63),0,1),IFERROR(_xlfn.XLOOKUP(_xlpm.ai_test,BQ16:BQ63,ROW(BQ16:BQ63),0,1),_xlfn.XLOOKUP(_xlpm.ai_test,BR16:BR63,ROW(BR16:BR63),0,1))),_xlpm.p,_xlpm.r-MIN(ROW(BP16:BP63))+1,_xlpm.f,INDEX(BS16:BS63,_xlpm.p),_xlpm.u,INDEX(BT16:BT63,_xlpm.p),_xlpm.s,INDEX(BV16:BV63,_xlpm.p),_xlpm.q,N(BA379)/_xlpm.f,IF(_xlpm.q&gt;=_xlpm.s,ROUND(_xlpm.q,1)&amp;" "&amp;_xlpm.ai_test&amp;" = "&amp;ROUND(_xlpm.q*_xlpm.f,1)&amp;" "&amp;_xlpm.u,ROUND(_xlpm.q,1)&amp;" "&amp;_xlpm.ai_test)),""),""))))</f>
        <v>0</v>
      </c>
      <c r="BD379" s="801"/>
      <c r="BE379" s="788" t="str">
        <f t="shared" si="150"/>
        <v/>
      </c>
      <c r="BF379" s="789" t="str">
        <f t="shared" si="151"/>
        <v/>
      </c>
      <c r="BG379" s="790">
        <f t="shared" si="154"/>
        <v>0</v>
      </c>
      <c r="BH379" s="791" t="str">
        <f t="shared" si="155"/>
        <v/>
      </c>
      <c r="BI379" s="792"/>
      <c r="BJ379" s="793">
        <f t="shared" si="153"/>
        <v>0</v>
      </c>
      <c r="BK379" s="794" t="str">
        <f t="shared" si="152"/>
        <v/>
      </c>
      <c r="BL379" s="227" t="s">
        <v>21</v>
      </c>
      <c r="BM379" s="773">
        <f t="shared" si="141"/>
        <v>0</v>
      </c>
      <c r="BN379" s="774">
        <f t="shared" si="142"/>
        <v>0</v>
      </c>
      <c r="BO379"/>
      <c r="BX379"/>
      <c r="BY379"/>
      <c r="BZ379"/>
      <c r="CA379"/>
      <c r="CB379"/>
      <c r="CC379"/>
      <c r="CD379" s="781" t="str">
        <f t="shared" si="135"/>
        <v>►</v>
      </c>
      <c r="CE379" s="633"/>
      <c r="CF379" s="633"/>
      <c r="CG379" s="633"/>
      <c r="CH379" s="633"/>
      <c r="CI379" s="633"/>
      <c r="CJ379" s="227"/>
      <c r="CK379"/>
      <c r="CL379"/>
      <c r="CM379"/>
      <c r="CN379"/>
      <c r="CO379"/>
      <c r="CP379"/>
      <c r="CQ379"/>
      <c r="CR379" s="227"/>
      <c r="CS379"/>
      <c r="CT379"/>
      <c r="CU379"/>
      <c r="CV379"/>
      <c r="CW379"/>
      <c r="CX379"/>
      <c r="CY379"/>
      <c r="CZ379" s="227"/>
      <c r="DA379"/>
      <c r="DB379"/>
      <c r="DC379"/>
      <c r="DD379"/>
      <c r="DE379"/>
      <c r="DF379"/>
      <c r="DG379"/>
      <c r="DH379" s="227"/>
      <c r="DI379" s="3">
        <v>1</v>
      </c>
    </row>
    <row r="380" spans="2:113" s="627" customFormat="1" ht="21" customHeight="1">
      <c r="B380" s="2265" t="str" cm="1">
        <f t="array" ref="B380">SUMPRODUCT(--(D380:J380&lt;&gt;""), LEN(TRIM(SUBSTITUTE(D380:J380, CHAR(160), "")))) &amp; " Car."</f>
        <v>0 Car.</v>
      </c>
      <c r="C380" s="1376" t="str">
        <f>IF(ISBLANK(D380),"",LARGE(C13:C379,1)+1)</f>
        <v/>
      </c>
      <c r="D380" s="1833"/>
      <c r="E380" s="1810"/>
      <c r="F380" s="1810"/>
      <c r="G380" s="1810"/>
      <c r="H380" s="1810"/>
      <c r="I380" s="1810"/>
      <c r="J380" s="1810"/>
      <c r="K380" s="1810"/>
      <c r="L380" s="1811"/>
      <c r="M380"/>
      <c r="N380" s="103" t="str">
        <f t="shared" si="137"/>
        <v>►</v>
      </c>
      <c r="O380" s="1616"/>
      <c r="P380"/>
      <c r="Q380" s="25" t="s">
        <v>15</v>
      </c>
      <c r="R380" s="31"/>
      <c r="S380" s="32"/>
      <c r="T380" s="31"/>
      <c r="U380" s="33"/>
      <c r="V380" s="1967"/>
      <c r="W380" s="1805"/>
      <c r="X380" s="91"/>
      <c r="Y380" s="1806"/>
      <c r="Z380" s="1968"/>
      <c r="AA380" s="2244"/>
      <c r="AB380" s="1969"/>
      <c r="AC380" s="1365"/>
      <c r="AD380" s="95"/>
      <c r="AE380" s="1326"/>
      <c r="AF380" s="97"/>
      <c r="AG380" s="1737"/>
      <c r="AH380" s="1970"/>
      <c r="AI380" s="99"/>
      <c r="AJ380" s="1809"/>
      <c r="AK380" s="6120" t="str">
        <f t="shared" si="138"/>
        <v>►</v>
      </c>
      <c r="AL380" s="781" t="str">
        <f t="shared" si="140"/>
        <v>►</v>
      </c>
      <c r="AM380" s="5498" t="str">
        <f t="shared" si="143"/>
        <v/>
      </c>
      <c r="AN380" s="783" t="str">
        <f t="shared" si="144"/>
        <v/>
      </c>
      <c r="AO380" s="782" t="str">
        <f t="shared" si="145"/>
        <v/>
      </c>
      <c r="AP380" s="783" t="str">
        <f t="shared" si="146"/>
        <v/>
      </c>
      <c r="AQ380" s="2083" t="b">
        <f>AND(Q380="A",COUNTIF(BP16:BR63,TRIM(Z380))&gt;0)</f>
        <v>0</v>
      </c>
      <c r="AR380" s="797" t="str">
        <f>IF(AL380&lt;&gt;"A","",IFERROR(IFERROR(_xlfn.XLOOKUP(TRIM(SUBSTITUTE(Z380,CHAR(160)," ")),BP16:BP63,BS16:BS63),IFERROR(_xlfn.XLOOKUP(TRIM(SUBSTITUTE(Z380,CHAR(160)," ")),BQ16:BQ63,BS16:BS63),_xlfn.XLOOKUP(TRIM(SUBSTITUTE(Z380,CHAR(160)," ")),BR16:BR63,BS16:BS63)))*Y380*IF(ISBLANK(V380),1,V380),0))</f>
        <v/>
      </c>
      <c r="AS380" s="784" t="str">
        <f t="shared" si="136"/>
        <v/>
      </c>
      <c r="AT380" s="1315" t="str">
        <f t="shared" si="147"/>
        <v/>
      </c>
      <c r="AU380" s="785">
        <f t="shared" si="148"/>
        <v>0</v>
      </c>
      <c r="AV380" s="785">
        <f t="shared" si="149"/>
        <v>0</v>
      </c>
      <c r="AW380" s="798">
        <f>IF(AK380="A",AY10,0)</f>
        <v>0</v>
      </c>
      <c r="AX380" s="5496" t="str">
        <f>IF(IFERROR(SEARCH("Adresse PC",TRIM(W380)),0)&gt;0,"▼ receta siguiente",IF(AK380="A",IF(AZ10&lt;&gt;"",AZ10&amp;" - ou.or.o ❾ + or - &gt;",""),""))</f>
        <v/>
      </c>
      <c r="AY380" s="810"/>
      <c r="AZ380" s="810"/>
      <c r="BA380" s="799" t="str">
        <f t="shared" si="139"/>
        <v/>
      </c>
      <c r="BB380" s="800" t="str">
        <f>IF(AK380="A",IF(AQ380,IF(AND(AW380&lt;&gt;"",N(AW380)&gt;0),IFERROR(IFERROR(_xlfn.XLOOKUP(AP380,BP10:BP57,BT10:BT57),IFERROR(_xlfn.XLOOKUP(AP380,BQ10:BQ57,BT10:BT57),_xlfn.XLOOKUP(AP380,BR10:BR57,BT10:BT57,""))),""),""),""),"")</f>
        <v/>
      </c>
      <c r="BC380" s="813" cm="1">
        <f t="array" ref="BC380">IF(NOT(AQ380),0,IF(OR(BA380="",N(BA380)&lt;=0.000000001),"",IF(OR(AU380="",N(AU380)&lt;=0.000000001),0,IF(ISNUMBER(BA380),IFERROR(_xlfn.LET(_xlpm.ai_test,TRIM(AP380),_xlpm.r,IFERROR(_xlfn.XLOOKUP(_xlpm.ai_test,BP16:BP63,ROW(BP16:BP63),0,1),IFERROR(_xlfn.XLOOKUP(_xlpm.ai_test,BQ16:BQ63,ROW(BQ16:BQ63),0,1),_xlfn.XLOOKUP(_xlpm.ai_test,BR16:BR63,ROW(BR16:BR63),0,1))),_xlpm.p,_xlpm.r-MIN(ROW(BP16:BP63))+1,_xlpm.f,INDEX(BS16:BS63,_xlpm.p),_xlpm.u,INDEX(BT16:BT63,_xlpm.p),_xlpm.s,INDEX(BV16:BV63,_xlpm.p),_xlpm.q,N(BA380)/_xlpm.f,IF(_xlpm.q&gt;=_xlpm.s,ROUND(_xlpm.q,1)&amp;" "&amp;_xlpm.ai_test&amp;" = "&amp;ROUND(_xlpm.q*_xlpm.f,1)&amp;" "&amp;_xlpm.u,ROUND(_xlpm.q,1)&amp;" "&amp;_xlpm.ai_test)),""),""))))</f>
        <v>0</v>
      </c>
      <c r="BD380" s="801"/>
      <c r="BE380" s="799" t="str">
        <f t="shared" si="150"/>
        <v/>
      </c>
      <c r="BF380" s="800" t="str">
        <f t="shared" si="151"/>
        <v/>
      </c>
      <c r="BG380" s="802">
        <f t="shared" si="154"/>
        <v>0</v>
      </c>
      <c r="BH380" s="803" t="str">
        <f t="shared" si="155"/>
        <v/>
      </c>
      <c r="BI380" s="792"/>
      <c r="BJ380" s="804">
        <f t="shared" si="153"/>
        <v>0</v>
      </c>
      <c r="BK380" s="794" t="str">
        <f t="shared" si="152"/>
        <v/>
      </c>
      <c r="BL380" s="227" t="s">
        <v>21</v>
      </c>
      <c r="BM380" s="773">
        <f t="shared" si="141"/>
        <v>0</v>
      </c>
      <c r="BN380" s="774">
        <f t="shared" si="142"/>
        <v>0</v>
      </c>
      <c r="BO380"/>
      <c r="BX380"/>
      <c r="BY380"/>
      <c r="BZ380"/>
      <c r="CA380"/>
      <c r="CB380"/>
      <c r="CC380"/>
      <c r="CD380" s="781" t="str">
        <f t="shared" si="135"/>
        <v>►</v>
      </c>
      <c r="CE380" s="633"/>
      <c r="CF380" s="633"/>
      <c r="CG380" s="633"/>
      <c r="CH380" s="633"/>
      <c r="CI380" s="633"/>
      <c r="CJ380" s="227"/>
      <c r="CK380"/>
      <c r="CL380"/>
      <c r="CM380"/>
      <c r="CN380"/>
      <c r="CO380"/>
      <c r="CP380"/>
      <c r="CQ380"/>
      <c r="CR380" s="227"/>
      <c r="CS380"/>
      <c r="CT380"/>
      <c r="CU380"/>
      <c r="CV380"/>
      <c r="CW380"/>
      <c r="CX380"/>
      <c r="CY380"/>
      <c r="CZ380" s="227"/>
      <c r="DA380"/>
      <c r="DB380"/>
      <c r="DC380"/>
      <c r="DD380"/>
      <c r="DE380"/>
      <c r="DF380"/>
      <c r="DG380"/>
      <c r="DH380" s="227"/>
      <c r="DI380" s="3">
        <v>1</v>
      </c>
    </row>
    <row r="381" spans="2:113" s="627" customFormat="1" ht="21" customHeight="1">
      <c r="B381" s="2265" t="str" cm="1">
        <f t="array" ref="B381">SUMPRODUCT(--(D381:J381&lt;&gt;""), LEN(TRIM(SUBSTITUTE(D381:J381, CHAR(160), "")))) &amp; " Car."</f>
        <v>0 Car.</v>
      </c>
      <c r="C381" s="1376" t="str">
        <f>IF(ISBLANK(D381),"",LARGE(C13:C380,1)+1)</f>
        <v/>
      </c>
      <c r="D381" s="1833"/>
      <c r="E381" s="1810"/>
      <c r="F381" s="1810"/>
      <c r="G381" s="1810"/>
      <c r="H381" s="1810"/>
      <c r="I381" s="1810"/>
      <c r="J381" s="1810"/>
      <c r="K381" s="1810"/>
      <c r="L381" s="1811"/>
      <c r="M381"/>
      <c r="N381" s="103" t="str">
        <f t="shared" si="137"/>
        <v>►</v>
      </c>
      <c r="O381" s="1616"/>
      <c r="P381"/>
      <c r="Q381" s="25" t="s">
        <v>15</v>
      </c>
      <c r="R381" s="31"/>
      <c r="S381" s="32"/>
      <c r="T381" s="31"/>
      <c r="U381" s="33"/>
      <c r="V381" s="1967"/>
      <c r="W381" s="1805"/>
      <c r="X381" s="91"/>
      <c r="Y381" s="1806"/>
      <c r="Z381" s="1968"/>
      <c r="AA381" s="2244"/>
      <c r="AB381" s="1969"/>
      <c r="AC381" s="1365"/>
      <c r="AD381" s="95"/>
      <c r="AE381" s="1326"/>
      <c r="AF381" s="97"/>
      <c r="AG381" s="1737"/>
      <c r="AH381" s="1970"/>
      <c r="AI381" s="99"/>
      <c r="AJ381" s="1809"/>
      <c r="AK381" s="6120" t="str">
        <f t="shared" si="138"/>
        <v>►</v>
      </c>
      <c r="AL381" s="781" t="str">
        <f t="shared" si="140"/>
        <v>►</v>
      </c>
      <c r="AM381" s="5499" t="str">
        <f t="shared" si="143"/>
        <v/>
      </c>
      <c r="AN381" s="783" t="str">
        <f t="shared" si="144"/>
        <v/>
      </c>
      <c r="AO381" s="782" t="str">
        <f t="shared" si="145"/>
        <v/>
      </c>
      <c r="AP381" s="783" t="str">
        <f t="shared" si="146"/>
        <v/>
      </c>
      <c r="AQ381" s="2083" t="b">
        <f>AND(Q381="A",COUNTIF(BP16:BR63,TRIM(Z381))&gt;0)</f>
        <v>0</v>
      </c>
      <c r="AR381" s="797" t="str">
        <f>IF(AL381&lt;&gt;"A","",IFERROR(IFERROR(_xlfn.XLOOKUP(TRIM(SUBSTITUTE(Z381,CHAR(160)," ")),BP16:BP63,BS16:BS63),IFERROR(_xlfn.XLOOKUP(TRIM(SUBSTITUTE(Z381,CHAR(160)," ")),BQ16:BQ63,BS16:BS63),_xlfn.XLOOKUP(TRIM(SUBSTITUTE(Z381,CHAR(160)," ")),BR16:BR63,BS16:BS63)))*Y381*IF(ISBLANK(V381),1,V381),0))</f>
        <v/>
      </c>
      <c r="AS381" s="784" t="str">
        <f t="shared" si="136"/>
        <v/>
      </c>
      <c r="AT381" s="1315" t="str">
        <f t="shared" si="147"/>
        <v/>
      </c>
      <c r="AU381" s="785">
        <f t="shared" si="148"/>
        <v>0</v>
      </c>
      <c r="AV381" s="785">
        <f t="shared" si="149"/>
        <v>0</v>
      </c>
      <c r="AW381" s="786">
        <f>IF(AK381="A",AY10,0)</f>
        <v>0</v>
      </c>
      <c r="AX381" s="5495" t="str">
        <f>IF(IFERROR(SEARCH("Adresse PC",TRIM(W381)),0)&gt;0,"▼ receta siguiente",IF(AK381="A",IF(AZ10&lt;&gt;"",AZ10&amp;" - ou.or.o ❾ + or - &gt;",""),""))</f>
        <v/>
      </c>
      <c r="AY381" s="810"/>
      <c r="AZ381" s="810"/>
      <c r="BA381" s="788" t="str">
        <f t="shared" si="139"/>
        <v/>
      </c>
      <c r="BB381" s="789" t="str">
        <f>IF(AK381="A",IF(AQ381,IF(AND(AW381&lt;&gt;"",N(AW381)&gt;0),IFERROR(IFERROR(_xlfn.XLOOKUP(AP381,BP10:BP57,BT10:BT57),IFERROR(_xlfn.XLOOKUP(AP381,BQ10:BQ57,BT10:BT57),_xlfn.XLOOKUP(AP381,BR10:BR57,BT10:BT57,""))),""),""),""),"")</f>
        <v/>
      </c>
      <c r="BC381" s="811" cm="1">
        <f t="array" ref="BC381">IF(NOT(AQ381),0,IF(OR(BA381="",N(BA381)&lt;=0.000000001),"",IF(OR(AU381="",N(AU381)&lt;=0.000000001),0,IF(ISNUMBER(BA381),IFERROR(_xlfn.LET(_xlpm.ai_test,TRIM(AP381),_xlpm.r,IFERROR(_xlfn.XLOOKUP(_xlpm.ai_test,BP16:BP63,ROW(BP16:BP63),0,1),IFERROR(_xlfn.XLOOKUP(_xlpm.ai_test,BQ16:BQ63,ROW(BQ16:BQ63),0,1),_xlfn.XLOOKUP(_xlpm.ai_test,BR16:BR63,ROW(BR16:BR63),0,1))),_xlpm.p,_xlpm.r-MIN(ROW(BP16:BP63))+1,_xlpm.f,INDEX(BS16:BS63,_xlpm.p),_xlpm.u,INDEX(BT16:BT63,_xlpm.p),_xlpm.s,INDEX(BV16:BV63,_xlpm.p),_xlpm.q,N(BA381)/_xlpm.f,IF(_xlpm.q&gt;=_xlpm.s,ROUND(_xlpm.q,1)&amp;" "&amp;_xlpm.ai_test&amp;" = "&amp;ROUND(_xlpm.q*_xlpm.f,1)&amp;" "&amp;_xlpm.u,ROUND(_xlpm.q,1)&amp;" "&amp;_xlpm.ai_test)),""),""))))</f>
        <v>0</v>
      </c>
      <c r="BD381" s="801"/>
      <c r="BE381" s="788" t="str">
        <f t="shared" si="150"/>
        <v/>
      </c>
      <c r="BF381" s="789" t="str">
        <f t="shared" si="151"/>
        <v/>
      </c>
      <c r="BG381" s="790">
        <f t="shared" si="154"/>
        <v>0</v>
      </c>
      <c r="BH381" s="791" t="str">
        <f t="shared" si="155"/>
        <v/>
      </c>
      <c r="BI381" s="792"/>
      <c r="BJ381" s="793">
        <f t="shared" si="153"/>
        <v>0</v>
      </c>
      <c r="BK381" s="794" t="str">
        <f t="shared" si="152"/>
        <v/>
      </c>
      <c r="BL381" s="227" t="s">
        <v>21</v>
      </c>
      <c r="BM381" s="773">
        <f t="shared" si="141"/>
        <v>0</v>
      </c>
      <c r="BN381" s="774">
        <f t="shared" si="142"/>
        <v>0</v>
      </c>
      <c r="BO381"/>
      <c r="BX381"/>
      <c r="BY381"/>
      <c r="BZ381"/>
      <c r="CA381"/>
      <c r="CB381"/>
      <c r="CC381"/>
      <c r="CD381" s="781" t="str">
        <f t="shared" si="135"/>
        <v>►</v>
      </c>
      <c r="CE381" s="633"/>
      <c r="CF381" s="633"/>
      <c r="CG381" s="633"/>
      <c r="CH381" s="633"/>
      <c r="CI381" s="633"/>
      <c r="CJ381" s="227"/>
      <c r="CK381"/>
      <c r="CL381"/>
      <c r="CM381"/>
      <c r="CN381"/>
      <c r="CO381"/>
      <c r="CP381"/>
      <c r="CQ381"/>
      <c r="CR381" s="227"/>
      <c r="CS381"/>
      <c r="CT381"/>
      <c r="CU381"/>
      <c r="CV381"/>
      <c r="CW381"/>
      <c r="CX381"/>
      <c r="CY381"/>
      <c r="CZ381" s="227"/>
      <c r="DA381"/>
      <c r="DB381"/>
      <c r="DC381"/>
      <c r="DD381"/>
      <c r="DE381"/>
      <c r="DF381"/>
      <c r="DG381"/>
      <c r="DH381" s="227"/>
      <c r="DI381" s="3">
        <v>1</v>
      </c>
    </row>
    <row r="382" spans="2:113" s="627" customFormat="1" ht="21" customHeight="1">
      <c r="B382" s="2265" t="str" cm="1">
        <f t="array" ref="B382">SUMPRODUCT(--(D382:J382&lt;&gt;""), LEN(TRIM(SUBSTITUTE(D382:J382, CHAR(160), "")))) &amp; " Car."</f>
        <v>0 Car.</v>
      </c>
      <c r="C382" s="1376" t="str">
        <f>IF(ISBLANK(D382),"",LARGE(C13:C381,1)+1)</f>
        <v/>
      </c>
      <c r="D382" s="1833"/>
      <c r="E382" s="1810"/>
      <c r="F382" s="1810"/>
      <c r="G382" s="1810"/>
      <c r="H382" s="1810"/>
      <c r="I382" s="1810"/>
      <c r="J382" s="1810"/>
      <c r="K382" s="1810"/>
      <c r="L382" s="1811"/>
      <c r="M382"/>
      <c r="N382" s="103" t="str">
        <f t="shared" si="137"/>
        <v>►</v>
      </c>
      <c r="O382" s="1616"/>
      <c r="P382"/>
      <c r="Q382" s="25" t="s">
        <v>15</v>
      </c>
      <c r="R382" s="31"/>
      <c r="S382" s="32"/>
      <c r="T382" s="31"/>
      <c r="U382" s="33"/>
      <c r="V382" s="1967"/>
      <c r="W382" s="1805"/>
      <c r="X382" s="91"/>
      <c r="Y382" s="1806"/>
      <c r="Z382" s="1968"/>
      <c r="AA382" s="2244"/>
      <c r="AB382" s="1969"/>
      <c r="AC382" s="1365"/>
      <c r="AD382" s="95"/>
      <c r="AE382" s="1326"/>
      <c r="AF382" s="97"/>
      <c r="AG382" s="1737"/>
      <c r="AH382" s="1970"/>
      <c r="AI382" s="99"/>
      <c r="AJ382" s="1809"/>
      <c r="AK382" s="6120" t="str">
        <f t="shared" si="138"/>
        <v>►</v>
      </c>
      <c r="AL382" s="781" t="str">
        <f t="shared" si="140"/>
        <v>►</v>
      </c>
      <c r="AM382" s="5498" t="str">
        <f t="shared" si="143"/>
        <v/>
      </c>
      <c r="AN382" s="783" t="str">
        <f t="shared" si="144"/>
        <v/>
      </c>
      <c r="AO382" s="782" t="str">
        <f t="shared" si="145"/>
        <v/>
      </c>
      <c r="AP382" s="783" t="str">
        <f t="shared" si="146"/>
        <v/>
      </c>
      <c r="AQ382" s="2083" t="b">
        <f>AND(Q382="A",COUNTIF(BP16:BR63,TRIM(Z382))&gt;0)</f>
        <v>0</v>
      </c>
      <c r="AR382" s="797" t="str">
        <f>IF(AL382&lt;&gt;"A","",IFERROR(IFERROR(_xlfn.XLOOKUP(TRIM(SUBSTITUTE(Z382,CHAR(160)," ")),BP16:BP63,BS16:BS63),IFERROR(_xlfn.XLOOKUP(TRIM(SUBSTITUTE(Z382,CHAR(160)," ")),BQ16:BQ63,BS16:BS63),_xlfn.XLOOKUP(TRIM(SUBSTITUTE(Z382,CHAR(160)," ")),BR16:BR63,BS16:BS63)))*Y382*IF(ISBLANK(V382),1,V382),0))</f>
        <v/>
      </c>
      <c r="AS382" s="784" t="str">
        <f t="shared" si="136"/>
        <v/>
      </c>
      <c r="AT382" s="1315" t="str">
        <f t="shared" si="147"/>
        <v/>
      </c>
      <c r="AU382" s="785">
        <f t="shared" si="148"/>
        <v>0</v>
      </c>
      <c r="AV382" s="785">
        <f t="shared" si="149"/>
        <v>0</v>
      </c>
      <c r="AW382" s="798">
        <f>IF(AK382="A",AY10,0)</f>
        <v>0</v>
      </c>
      <c r="AX382" s="5496" t="str">
        <f>IF(IFERROR(SEARCH("Adresse PC",TRIM(W382)),0)&gt;0,"▼ receta siguiente",IF(AK382="A",IF(AZ10&lt;&gt;"",AZ10&amp;" - ou.or.o ❾ + or - &gt;",""),""))</f>
        <v/>
      </c>
      <c r="AY382" s="810"/>
      <c r="AZ382" s="810"/>
      <c r="BA382" s="799" t="str">
        <f t="shared" si="139"/>
        <v/>
      </c>
      <c r="BB382" s="800" t="str">
        <f>IF(AK382="A",IF(AQ382,IF(AND(AW382&lt;&gt;"",N(AW382)&gt;0),IFERROR(IFERROR(_xlfn.XLOOKUP(AP382,BP10:BP57,BT10:BT57),IFERROR(_xlfn.XLOOKUP(AP382,BQ10:BQ57,BT10:BT57),_xlfn.XLOOKUP(AP382,BR10:BR57,BT10:BT57,""))),""),""),""),"")</f>
        <v/>
      </c>
      <c r="BC382" s="813" cm="1">
        <f t="array" ref="BC382">IF(NOT(AQ382),0,IF(OR(BA382="",N(BA382)&lt;=0.000000001),"",IF(OR(AU382="",N(AU382)&lt;=0.000000001),0,IF(ISNUMBER(BA382),IFERROR(_xlfn.LET(_xlpm.ai_test,TRIM(AP382),_xlpm.r,IFERROR(_xlfn.XLOOKUP(_xlpm.ai_test,BP16:BP63,ROW(BP16:BP63),0,1),IFERROR(_xlfn.XLOOKUP(_xlpm.ai_test,BQ16:BQ63,ROW(BQ16:BQ63),0,1),_xlfn.XLOOKUP(_xlpm.ai_test,BR16:BR63,ROW(BR16:BR63),0,1))),_xlpm.p,_xlpm.r-MIN(ROW(BP16:BP63))+1,_xlpm.f,INDEX(BS16:BS63,_xlpm.p),_xlpm.u,INDEX(BT16:BT63,_xlpm.p),_xlpm.s,INDEX(BV16:BV63,_xlpm.p),_xlpm.q,N(BA382)/_xlpm.f,IF(_xlpm.q&gt;=_xlpm.s,ROUND(_xlpm.q,1)&amp;" "&amp;_xlpm.ai_test&amp;" = "&amp;ROUND(_xlpm.q*_xlpm.f,1)&amp;" "&amp;_xlpm.u,ROUND(_xlpm.q,1)&amp;" "&amp;_xlpm.ai_test)),""),""))))</f>
        <v>0</v>
      </c>
      <c r="BD382" s="801"/>
      <c r="BE382" s="799" t="str">
        <f t="shared" si="150"/>
        <v/>
      </c>
      <c r="BF382" s="800" t="str">
        <f t="shared" si="151"/>
        <v/>
      </c>
      <c r="BG382" s="802">
        <f t="shared" si="154"/>
        <v>0</v>
      </c>
      <c r="BH382" s="803" t="str">
        <f t="shared" si="155"/>
        <v/>
      </c>
      <c r="BI382" s="792"/>
      <c r="BJ382" s="804">
        <f t="shared" si="153"/>
        <v>0</v>
      </c>
      <c r="BK382" s="794" t="str">
        <f t="shared" si="152"/>
        <v/>
      </c>
      <c r="BL382" s="227" t="s">
        <v>21</v>
      </c>
      <c r="BM382" s="773">
        <f t="shared" si="141"/>
        <v>0</v>
      </c>
      <c r="BN382" s="774">
        <f t="shared" si="142"/>
        <v>0</v>
      </c>
      <c r="BO382"/>
      <c r="BX382"/>
      <c r="BY382"/>
      <c r="BZ382"/>
      <c r="CA382"/>
      <c r="CB382"/>
      <c r="CC382"/>
      <c r="CD382" s="781" t="str">
        <f t="shared" si="135"/>
        <v>►</v>
      </c>
      <c r="CE382" s="633"/>
      <c r="CF382" s="633"/>
      <c r="CG382" s="633"/>
      <c r="CH382" s="633"/>
      <c r="CI382" s="633"/>
      <c r="CJ382" s="227"/>
      <c r="CK382"/>
      <c r="CL382"/>
      <c r="CM382"/>
      <c r="CN382"/>
      <c r="CO382"/>
      <c r="CP382"/>
      <c r="CQ382"/>
      <c r="CR382" s="227"/>
      <c r="CS382"/>
      <c r="CT382"/>
      <c r="CU382"/>
      <c r="CV382"/>
      <c r="CW382"/>
      <c r="CX382"/>
      <c r="CY382"/>
      <c r="CZ382" s="227"/>
      <c r="DA382"/>
      <c r="DB382"/>
      <c r="DC382"/>
      <c r="DD382"/>
      <c r="DE382"/>
      <c r="DF382"/>
      <c r="DG382"/>
      <c r="DH382" s="227"/>
      <c r="DI382" s="3">
        <v>1</v>
      </c>
    </row>
    <row r="383" spans="2:113" s="627" customFormat="1" ht="21" customHeight="1">
      <c r="B383" s="2265" t="str" cm="1">
        <f t="array" ref="B383">SUMPRODUCT(--(D383:J383&lt;&gt;""), LEN(TRIM(SUBSTITUTE(D383:J383, CHAR(160), "")))) &amp; " Car."</f>
        <v>0 Car.</v>
      </c>
      <c r="C383" s="1376" t="str">
        <f>IF(ISBLANK(D383),"",LARGE(C13:C382,1)+1)</f>
        <v/>
      </c>
      <c r="D383" s="1833"/>
      <c r="E383" s="1810"/>
      <c r="F383" s="1810"/>
      <c r="G383" s="1810"/>
      <c r="H383" s="1810"/>
      <c r="I383" s="1810"/>
      <c r="J383" s="1810"/>
      <c r="K383" s="1810"/>
      <c r="L383" s="1811"/>
      <c r="M383"/>
      <c r="N383" s="103" t="str">
        <f t="shared" si="137"/>
        <v>►</v>
      </c>
      <c r="O383" s="1616"/>
      <c r="P383"/>
      <c r="Q383" s="25" t="s">
        <v>15</v>
      </c>
      <c r="R383" s="31"/>
      <c r="S383" s="32"/>
      <c r="T383" s="31"/>
      <c r="U383" s="33"/>
      <c r="V383" s="1967"/>
      <c r="W383" s="1805"/>
      <c r="X383" s="91"/>
      <c r="Y383" s="1806"/>
      <c r="Z383" s="1968"/>
      <c r="AA383" s="2244"/>
      <c r="AB383" s="1969"/>
      <c r="AC383" s="1365"/>
      <c r="AD383" s="95"/>
      <c r="AE383" s="1326"/>
      <c r="AF383" s="97"/>
      <c r="AG383" s="1737"/>
      <c r="AH383" s="1970"/>
      <c r="AI383" s="99"/>
      <c r="AJ383" s="1809"/>
      <c r="AK383" s="6120" t="str">
        <f t="shared" si="138"/>
        <v>►</v>
      </c>
      <c r="AL383" s="781" t="str">
        <f t="shared" si="140"/>
        <v>►</v>
      </c>
      <c r="AM383" s="5499" t="str">
        <f t="shared" si="143"/>
        <v/>
      </c>
      <c r="AN383" s="783" t="str">
        <f t="shared" si="144"/>
        <v/>
      </c>
      <c r="AO383" s="782" t="str">
        <f t="shared" si="145"/>
        <v/>
      </c>
      <c r="AP383" s="783" t="str">
        <f t="shared" si="146"/>
        <v/>
      </c>
      <c r="AQ383" s="2083" t="b">
        <f>AND(Q383="A",COUNTIF(BP16:BR63,TRIM(Z383))&gt;0)</f>
        <v>0</v>
      </c>
      <c r="AR383" s="797" t="str">
        <f>IF(AL383&lt;&gt;"A","",IFERROR(IFERROR(_xlfn.XLOOKUP(TRIM(SUBSTITUTE(Z383,CHAR(160)," ")),BP16:BP63,BS16:BS63),IFERROR(_xlfn.XLOOKUP(TRIM(SUBSTITUTE(Z383,CHAR(160)," ")),BQ16:BQ63,BS16:BS63),_xlfn.XLOOKUP(TRIM(SUBSTITUTE(Z383,CHAR(160)," ")),BR16:BR63,BS16:BS63)))*Y383*IF(ISBLANK(V383),1,V383),0))</f>
        <v/>
      </c>
      <c r="AS383" s="784" t="str">
        <f t="shared" si="136"/>
        <v/>
      </c>
      <c r="AT383" s="1315" t="str">
        <f t="shared" si="147"/>
        <v/>
      </c>
      <c r="AU383" s="785">
        <f t="shared" si="148"/>
        <v>0</v>
      </c>
      <c r="AV383" s="785">
        <f t="shared" si="149"/>
        <v>0</v>
      </c>
      <c r="AW383" s="786">
        <f>IF(AK383="A",AY10,0)</f>
        <v>0</v>
      </c>
      <c r="AX383" s="5495" t="str">
        <f>IF(IFERROR(SEARCH("Adresse PC",TRIM(W383)),0)&gt;0,"▼ receta siguiente",IF(AK383="A",IF(AZ10&lt;&gt;"",AZ10&amp;" - ou.or.o ❾ + or - &gt;",""),""))</f>
        <v/>
      </c>
      <c r="AY383" s="810"/>
      <c r="AZ383" s="810"/>
      <c r="BA383" s="788" t="str">
        <f t="shared" si="139"/>
        <v/>
      </c>
      <c r="BB383" s="789" t="str">
        <f>IF(AK383="A",IF(AQ383,IF(AND(AW383&lt;&gt;"",N(AW383)&gt;0),IFERROR(IFERROR(_xlfn.XLOOKUP(AP383,BP10:BP57,BT10:BT57),IFERROR(_xlfn.XLOOKUP(AP383,BQ10:BQ57,BT10:BT57),_xlfn.XLOOKUP(AP383,BR10:BR57,BT10:BT57,""))),""),""),""),"")</f>
        <v/>
      </c>
      <c r="BC383" s="811" cm="1">
        <f t="array" ref="BC383">IF(NOT(AQ383),0,IF(OR(BA383="",N(BA383)&lt;=0.000000001),"",IF(OR(AU383="",N(AU383)&lt;=0.000000001),0,IF(ISNUMBER(BA383),IFERROR(_xlfn.LET(_xlpm.ai_test,TRIM(AP383),_xlpm.r,IFERROR(_xlfn.XLOOKUP(_xlpm.ai_test,BP16:BP63,ROW(BP16:BP63),0,1),IFERROR(_xlfn.XLOOKUP(_xlpm.ai_test,BQ16:BQ63,ROW(BQ16:BQ63),0,1),_xlfn.XLOOKUP(_xlpm.ai_test,BR16:BR63,ROW(BR16:BR63),0,1))),_xlpm.p,_xlpm.r-MIN(ROW(BP16:BP63))+1,_xlpm.f,INDEX(BS16:BS63,_xlpm.p),_xlpm.u,INDEX(BT16:BT63,_xlpm.p),_xlpm.s,INDEX(BV16:BV63,_xlpm.p),_xlpm.q,N(BA383)/_xlpm.f,IF(_xlpm.q&gt;=_xlpm.s,ROUND(_xlpm.q,1)&amp;" "&amp;_xlpm.ai_test&amp;" = "&amp;ROUND(_xlpm.q*_xlpm.f,1)&amp;" "&amp;_xlpm.u,ROUND(_xlpm.q,1)&amp;" "&amp;_xlpm.ai_test)),""),""))))</f>
        <v>0</v>
      </c>
      <c r="BD383" s="801"/>
      <c r="BE383" s="788" t="str">
        <f t="shared" si="150"/>
        <v/>
      </c>
      <c r="BF383" s="789" t="str">
        <f t="shared" si="151"/>
        <v/>
      </c>
      <c r="BG383" s="790">
        <f t="shared" si="154"/>
        <v>0</v>
      </c>
      <c r="BH383" s="791" t="str">
        <f t="shared" si="155"/>
        <v/>
      </c>
      <c r="BI383" s="792"/>
      <c r="BJ383" s="793">
        <f t="shared" si="153"/>
        <v>0</v>
      </c>
      <c r="BK383" s="794" t="str">
        <f t="shared" si="152"/>
        <v/>
      </c>
      <c r="BL383" s="227" t="s">
        <v>21</v>
      </c>
      <c r="BM383" s="773">
        <f t="shared" si="141"/>
        <v>0</v>
      </c>
      <c r="BN383" s="774">
        <f t="shared" si="142"/>
        <v>0</v>
      </c>
      <c r="BO383"/>
      <c r="BX383"/>
      <c r="BY383"/>
      <c r="BZ383"/>
      <c r="CA383"/>
      <c r="CB383"/>
      <c r="CC383"/>
      <c r="CD383" s="781" t="str">
        <f t="shared" si="135"/>
        <v>►</v>
      </c>
      <c r="CE383" s="633"/>
      <c r="CF383" s="633"/>
      <c r="CG383" s="633"/>
      <c r="CH383" s="633"/>
      <c r="CI383" s="633"/>
      <c r="CJ383" s="227"/>
      <c r="CK383"/>
      <c r="CL383"/>
      <c r="CM383"/>
      <c r="CN383"/>
      <c r="CO383"/>
      <c r="CP383"/>
      <c r="CQ383"/>
      <c r="CR383" s="227"/>
      <c r="CS383"/>
      <c r="CT383"/>
      <c r="CU383"/>
      <c r="CV383"/>
      <c r="CW383"/>
      <c r="CX383"/>
      <c r="CY383"/>
      <c r="CZ383" s="227"/>
      <c r="DA383"/>
      <c r="DB383"/>
      <c r="DC383"/>
      <c r="DD383"/>
      <c r="DE383"/>
      <c r="DF383"/>
      <c r="DG383"/>
      <c r="DH383" s="227"/>
      <c r="DI383" s="3">
        <v>1</v>
      </c>
    </row>
    <row r="384" spans="2:113" s="627" customFormat="1" ht="21" customHeight="1">
      <c r="B384" s="2265" t="str" cm="1">
        <f t="array" ref="B384">SUMPRODUCT(--(D384:J384&lt;&gt;""), LEN(TRIM(SUBSTITUTE(D384:J384, CHAR(160), "")))) &amp; " Car."</f>
        <v>0 Car.</v>
      </c>
      <c r="C384" s="1376" t="str">
        <f>IF(ISBLANK(D384),"",LARGE(C13:C383,1)+1)</f>
        <v/>
      </c>
      <c r="D384" s="1833"/>
      <c r="E384" s="1810"/>
      <c r="F384" s="1810"/>
      <c r="G384" s="1810"/>
      <c r="H384" s="1810"/>
      <c r="I384" s="1810"/>
      <c r="J384" s="1810"/>
      <c r="K384" s="1810"/>
      <c r="L384" s="1811"/>
      <c r="M384"/>
      <c r="N384" s="103" t="str">
        <f t="shared" si="137"/>
        <v>►</v>
      </c>
      <c r="O384" s="1616"/>
      <c r="P384"/>
      <c r="Q384" s="25" t="s">
        <v>15</v>
      </c>
      <c r="R384" s="31"/>
      <c r="S384" s="32"/>
      <c r="T384" s="31"/>
      <c r="U384" s="33"/>
      <c r="V384" s="1967"/>
      <c r="W384" s="1805"/>
      <c r="X384" s="91"/>
      <c r="Y384" s="1806"/>
      <c r="Z384" s="1968"/>
      <c r="AA384" s="2244"/>
      <c r="AB384" s="1969"/>
      <c r="AC384" s="1365"/>
      <c r="AD384" s="95"/>
      <c r="AE384" s="1326"/>
      <c r="AF384" s="97"/>
      <c r="AG384" s="1737"/>
      <c r="AH384" s="1970"/>
      <c r="AI384" s="99"/>
      <c r="AJ384" s="1809"/>
      <c r="AK384" s="6120" t="str">
        <f t="shared" si="138"/>
        <v>►</v>
      </c>
      <c r="AL384" s="781" t="str">
        <f t="shared" si="140"/>
        <v>►</v>
      </c>
      <c r="AM384" s="5498" t="str">
        <f t="shared" si="143"/>
        <v/>
      </c>
      <c r="AN384" s="783" t="str">
        <f t="shared" si="144"/>
        <v/>
      </c>
      <c r="AO384" s="782" t="str">
        <f t="shared" si="145"/>
        <v/>
      </c>
      <c r="AP384" s="783" t="str">
        <f t="shared" si="146"/>
        <v/>
      </c>
      <c r="AQ384" s="2083" t="b">
        <f>AND(Q384="A",COUNTIF(BP16:BR63,TRIM(Z384))&gt;0)</f>
        <v>0</v>
      </c>
      <c r="AR384" s="797" t="str">
        <f>IF(AL384&lt;&gt;"A","",IFERROR(IFERROR(_xlfn.XLOOKUP(TRIM(SUBSTITUTE(Z384,CHAR(160)," ")),BP16:BP63,BS16:BS63),IFERROR(_xlfn.XLOOKUP(TRIM(SUBSTITUTE(Z384,CHAR(160)," ")),BQ16:BQ63,BS16:BS63),_xlfn.XLOOKUP(TRIM(SUBSTITUTE(Z384,CHAR(160)," ")),BR16:BR63,BS16:BS63)))*Y384*IF(ISBLANK(V384),1,V384),0))</f>
        <v/>
      </c>
      <c r="AS384" s="784" t="str">
        <f t="shared" si="136"/>
        <v/>
      </c>
      <c r="AT384" s="1315" t="str">
        <f t="shared" si="147"/>
        <v/>
      </c>
      <c r="AU384" s="785">
        <f t="shared" si="148"/>
        <v>0</v>
      </c>
      <c r="AV384" s="785">
        <f t="shared" si="149"/>
        <v>0</v>
      </c>
      <c r="AW384" s="798">
        <f>IF(AK384="A",AY10,0)</f>
        <v>0</v>
      </c>
      <c r="AX384" s="5496" t="str">
        <f>IF(IFERROR(SEARCH("Adresse PC",TRIM(W384)),0)&gt;0,"▼ receta siguiente",IF(AK384="A",IF(AZ10&lt;&gt;"",AZ10&amp;" - ou.or.o ❾ + or - &gt;",""),""))</f>
        <v/>
      </c>
      <c r="AY384" s="810"/>
      <c r="AZ384" s="810"/>
      <c r="BA384" s="799" t="str">
        <f t="shared" si="139"/>
        <v/>
      </c>
      <c r="BB384" s="800" t="str">
        <f>IF(AK384="A",IF(AQ384,IF(AND(AW384&lt;&gt;"",N(AW384)&gt;0),IFERROR(IFERROR(_xlfn.XLOOKUP(AP384,BP10:BP57,BT10:BT57),IFERROR(_xlfn.XLOOKUP(AP384,BQ10:BQ57,BT10:BT57),_xlfn.XLOOKUP(AP384,BR10:BR57,BT10:BT57,""))),""),""),""),"")</f>
        <v/>
      </c>
      <c r="BC384" s="813" cm="1">
        <f t="array" ref="BC384">IF(NOT(AQ384),0,IF(OR(BA384="",N(BA384)&lt;=0.000000001),"",IF(OR(AU384="",N(AU384)&lt;=0.000000001),0,IF(ISNUMBER(BA384),IFERROR(_xlfn.LET(_xlpm.ai_test,TRIM(AP384),_xlpm.r,IFERROR(_xlfn.XLOOKUP(_xlpm.ai_test,BP16:BP63,ROW(BP16:BP63),0,1),IFERROR(_xlfn.XLOOKUP(_xlpm.ai_test,BQ16:BQ63,ROW(BQ16:BQ63),0,1),_xlfn.XLOOKUP(_xlpm.ai_test,BR16:BR63,ROW(BR16:BR63),0,1))),_xlpm.p,_xlpm.r-MIN(ROW(BP16:BP63))+1,_xlpm.f,INDEX(BS16:BS63,_xlpm.p),_xlpm.u,INDEX(BT16:BT63,_xlpm.p),_xlpm.s,INDEX(BV16:BV63,_xlpm.p),_xlpm.q,N(BA384)/_xlpm.f,IF(_xlpm.q&gt;=_xlpm.s,ROUND(_xlpm.q,1)&amp;" "&amp;_xlpm.ai_test&amp;" = "&amp;ROUND(_xlpm.q*_xlpm.f,1)&amp;" "&amp;_xlpm.u,ROUND(_xlpm.q,1)&amp;" "&amp;_xlpm.ai_test)),""),""))))</f>
        <v>0</v>
      </c>
      <c r="BD384" s="801"/>
      <c r="BE384" s="799" t="str">
        <f t="shared" si="150"/>
        <v/>
      </c>
      <c r="BF384" s="800" t="str">
        <f t="shared" si="151"/>
        <v/>
      </c>
      <c r="BG384" s="802">
        <f t="shared" si="154"/>
        <v>0</v>
      </c>
      <c r="BH384" s="803" t="str">
        <f t="shared" si="155"/>
        <v/>
      </c>
      <c r="BI384" s="792"/>
      <c r="BJ384" s="804">
        <f t="shared" si="153"/>
        <v>0</v>
      </c>
      <c r="BK384" s="794" t="str">
        <f t="shared" si="152"/>
        <v/>
      </c>
      <c r="BL384" s="227" t="s">
        <v>21</v>
      </c>
      <c r="BM384" s="773">
        <f t="shared" si="141"/>
        <v>0</v>
      </c>
      <c r="BN384" s="774">
        <f t="shared" si="142"/>
        <v>0</v>
      </c>
      <c r="BO384"/>
      <c r="BX384"/>
      <c r="BY384"/>
      <c r="BZ384"/>
      <c r="CA384"/>
      <c r="CB384"/>
      <c r="CC384"/>
      <c r="CD384" s="781" t="str">
        <f t="shared" si="135"/>
        <v>►</v>
      </c>
      <c r="CE384" s="633"/>
      <c r="CF384" s="633"/>
      <c r="CG384" s="633"/>
      <c r="CH384" s="633"/>
      <c r="CI384" s="633"/>
      <c r="CJ384" s="227"/>
      <c r="CK384"/>
      <c r="CL384"/>
      <c r="CM384"/>
      <c r="CN384"/>
      <c r="CO384"/>
      <c r="CP384"/>
      <c r="CQ384"/>
      <c r="CR384" s="227"/>
      <c r="CS384"/>
      <c r="CT384"/>
      <c r="CU384"/>
      <c r="CV384"/>
      <c r="CW384"/>
      <c r="CX384"/>
      <c r="CY384"/>
      <c r="CZ384" s="227"/>
      <c r="DA384"/>
      <c r="DB384"/>
      <c r="DC384"/>
      <c r="DD384"/>
      <c r="DE384"/>
      <c r="DF384"/>
      <c r="DG384"/>
      <c r="DH384" s="227"/>
      <c r="DI384" s="3">
        <v>1</v>
      </c>
    </row>
    <row r="385" spans="2:113" s="627" customFormat="1" ht="21" customHeight="1">
      <c r="B385" s="2265" t="str" cm="1">
        <f t="array" ref="B385">SUMPRODUCT(--(D385:J385&lt;&gt;""), LEN(TRIM(SUBSTITUTE(D385:J385, CHAR(160), "")))) &amp; " Car."</f>
        <v>0 Car.</v>
      </c>
      <c r="C385" s="1376" t="str">
        <f>IF(ISBLANK(D385),"",LARGE(C13:C384,1)+1)</f>
        <v/>
      </c>
      <c r="D385" s="1833"/>
      <c r="E385" s="1810"/>
      <c r="F385" s="1810"/>
      <c r="G385" s="1810"/>
      <c r="H385" s="1810"/>
      <c r="I385" s="1810"/>
      <c r="J385" s="1810"/>
      <c r="K385" s="1810"/>
      <c r="L385" s="1811"/>
      <c r="M385"/>
      <c r="N385" s="103" t="str">
        <f t="shared" si="137"/>
        <v>►</v>
      </c>
      <c r="O385" s="1616"/>
      <c r="P385"/>
      <c r="Q385" s="25" t="s">
        <v>15</v>
      </c>
      <c r="R385" s="31"/>
      <c r="S385" s="32"/>
      <c r="T385" s="31"/>
      <c r="U385" s="33"/>
      <c r="V385" s="1967"/>
      <c r="W385" s="1805"/>
      <c r="X385" s="91"/>
      <c r="Y385" s="1806"/>
      <c r="Z385" s="1968"/>
      <c r="AA385" s="2244"/>
      <c r="AB385" s="1969"/>
      <c r="AC385" s="1365"/>
      <c r="AD385" s="95"/>
      <c r="AE385" s="1326"/>
      <c r="AF385" s="97"/>
      <c r="AG385" s="1737"/>
      <c r="AH385" s="1970"/>
      <c r="AI385" s="99"/>
      <c r="AJ385" s="1809"/>
      <c r="AK385" s="6120" t="str">
        <f t="shared" si="138"/>
        <v>►</v>
      </c>
      <c r="AL385" s="781" t="str">
        <f t="shared" si="140"/>
        <v>►</v>
      </c>
      <c r="AM385" s="5499" t="str">
        <f t="shared" si="143"/>
        <v/>
      </c>
      <c r="AN385" s="783" t="str">
        <f t="shared" si="144"/>
        <v/>
      </c>
      <c r="AO385" s="782" t="str">
        <f t="shared" si="145"/>
        <v/>
      </c>
      <c r="AP385" s="783" t="str">
        <f t="shared" si="146"/>
        <v/>
      </c>
      <c r="AQ385" s="2083" t="b">
        <f>AND(Q385="A",COUNTIF(BP16:BR63,TRIM(Z385))&gt;0)</f>
        <v>0</v>
      </c>
      <c r="AR385" s="797" t="str">
        <f>IF(AL385&lt;&gt;"A","",IFERROR(IFERROR(_xlfn.XLOOKUP(TRIM(SUBSTITUTE(Z385,CHAR(160)," ")),BP16:BP63,BS16:BS63),IFERROR(_xlfn.XLOOKUP(TRIM(SUBSTITUTE(Z385,CHAR(160)," ")),BQ16:BQ63,BS16:BS63),_xlfn.XLOOKUP(TRIM(SUBSTITUTE(Z385,CHAR(160)," ")),BR16:BR63,BS16:BS63)))*Y385*IF(ISBLANK(V385),1,V385),0))</f>
        <v/>
      </c>
      <c r="AS385" s="784" t="str">
        <f t="shared" si="136"/>
        <v/>
      </c>
      <c r="AT385" s="1315" t="str">
        <f t="shared" si="147"/>
        <v/>
      </c>
      <c r="AU385" s="785">
        <f t="shared" si="148"/>
        <v>0</v>
      </c>
      <c r="AV385" s="785">
        <f t="shared" si="149"/>
        <v>0</v>
      </c>
      <c r="AW385" s="786">
        <f>IF(AK385="A",AY10,0)</f>
        <v>0</v>
      </c>
      <c r="AX385" s="5495" t="str">
        <f>IF(IFERROR(SEARCH("Adresse PC",TRIM(W385)),0)&gt;0,"▼ receta siguiente",IF(AK385="A",IF(AZ10&lt;&gt;"",AZ10&amp;" - ou.or.o ❾ + or - &gt;",""),""))</f>
        <v/>
      </c>
      <c r="AY385" s="810"/>
      <c r="AZ385" s="810"/>
      <c r="BA385" s="788" t="str">
        <f t="shared" si="139"/>
        <v/>
      </c>
      <c r="BB385" s="789" t="str">
        <f>IF(AK385="A",IF(AQ385,IF(AND(AW385&lt;&gt;"",N(AW385)&gt;0),IFERROR(IFERROR(_xlfn.XLOOKUP(AP385,BP10:BP57,BT10:BT57),IFERROR(_xlfn.XLOOKUP(AP385,BQ10:BQ57,BT10:BT57),_xlfn.XLOOKUP(AP385,BR10:BR57,BT10:BT57,""))),""),""),""),"")</f>
        <v/>
      </c>
      <c r="BC385" s="811" cm="1">
        <f t="array" ref="BC385">IF(NOT(AQ385),0,IF(OR(BA385="",N(BA385)&lt;=0.000000001),"",IF(OR(AU385="",N(AU385)&lt;=0.000000001),0,IF(ISNUMBER(BA385),IFERROR(_xlfn.LET(_xlpm.ai_test,TRIM(AP385),_xlpm.r,IFERROR(_xlfn.XLOOKUP(_xlpm.ai_test,BP16:BP63,ROW(BP16:BP63),0,1),IFERROR(_xlfn.XLOOKUP(_xlpm.ai_test,BQ16:BQ63,ROW(BQ16:BQ63),0,1),_xlfn.XLOOKUP(_xlpm.ai_test,BR16:BR63,ROW(BR16:BR63),0,1))),_xlpm.p,_xlpm.r-MIN(ROW(BP16:BP63))+1,_xlpm.f,INDEX(BS16:BS63,_xlpm.p),_xlpm.u,INDEX(BT16:BT63,_xlpm.p),_xlpm.s,INDEX(BV16:BV63,_xlpm.p),_xlpm.q,N(BA385)/_xlpm.f,IF(_xlpm.q&gt;=_xlpm.s,ROUND(_xlpm.q,1)&amp;" "&amp;_xlpm.ai_test&amp;" = "&amp;ROUND(_xlpm.q*_xlpm.f,1)&amp;" "&amp;_xlpm.u,ROUND(_xlpm.q,1)&amp;" "&amp;_xlpm.ai_test)),""),""))))</f>
        <v>0</v>
      </c>
      <c r="BD385" s="801"/>
      <c r="BE385" s="788" t="str">
        <f t="shared" si="150"/>
        <v/>
      </c>
      <c r="BF385" s="789" t="str">
        <f t="shared" si="151"/>
        <v/>
      </c>
      <c r="BG385" s="790">
        <f t="shared" si="154"/>
        <v>0</v>
      </c>
      <c r="BH385" s="791" t="str">
        <f t="shared" si="155"/>
        <v/>
      </c>
      <c r="BI385" s="792"/>
      <c r="BJ385" s="793">
        <f t="shared" si="153"/>
        <v>0</v>
      </c>
      <c r="BK385" s="794" t="str">
        <f t="shared" si="152"/>
        <v/>
      </c>
      <c r="BL385" s="227" t="s">
        <v>21</v>
      </c>
      <c r="BM385" s="773">
        <f t="shared" si="141"/>
        <v>0</v>
      </c>
      <c r="BN385" s="774">
        <f t="shared" si="142"/>
        <v>0</v>
      </c>
      <c r="BO385"/>
      <c r="BX385"/>
      <c r="BY385"/>
      <c r="BZ385"/>
      <c r="CA385"/>
      <c r="CB385"/>
      <c r="CC385"/>
      <c r="CD385" s="781" t="str">
        <f t="shared" si="135"/>
        <v>►</v>
      </c>
      <c r="CE385" s="633"/>
      <c r="CF385" s="633"/>
      <c r="CG385" s="633"/>
      <c r="CH385" s="633"/>
      <c r="CI385" s="633"/>
      <c r="CJ385" s="227"/>
      <c r="CK385"/>
      <c r="CL385"/>
      <c r="CM385"/>
      <c r="CN385"/>
      <c r="CO385"/>
      <c r="CP385"/>
      <c r="CQ385"/>
      <c r="CR385" s="227"/>
      <c r="CS385"/>
      <c r="CT385"/>
      <c r="CU385"/>
      <c r="CV385"/>
      <c r="CW385"/>
      <c r="CX385"/>
      <c r="CY385"/>
      <c r="CZ385" s="227"/>
      <c r="DA385"/>
      <c r="DB385"/>
      <c r="DC385"/>
      <c r="DD385"/>
      <c r="DE385"/>
      <c r="DF385"/>
      <c r="DG385"/>
      <c r="DH385" s="227"/>
      <c r="DI385" s="3">
        <v>1</v>
      </c>
    </row>
    <row r="386" spans="2:113" s="627" customFormat="1" ht="21" customHeight="1">
      <c r="B386" s="2265" t="str" cm="1">
        <f t="array" ref="B386">SUMPRODUCT(--(D386:J386&lt;&gt;""), LEN(TRIM(SUBSTITUTE(D386:J386, CHAR(160), "")))) &amp; " Car."</f>
        <v>0 Car.</v>
      </c>
      <c r="C386" s="1376" t="str">
        <f>IF(ISBLANK(D386),"",LARGE(C13:C385,1)+1)</f>
        <v/>
      </c>
      <c r="D386" s="1833"/>
      <c r="E386" s="1810"/>
      <c r="F386" s="1810"/>
      <c r="G386" s="1810"/>
      <c r="H386" s="1810"/>
      <c r="I386" s="1810"/>
      <c r="J386" s="1810"/>
      <c r="K386" s="1810"/>
      <c r="L386" s="1811"/>
      <c r="M386"/>
      <c r="N386" s="103" t="str">
        <f t="shared" si="137"/>
        <v>►</v>
      </c>
      <c r="O386" s="1616"/>
      <c r="P386"/>
      <c r="Q386" s="25" t="s">
        <v>15</v>
      </c>
      <c r="R386" s="31"/>
      <c r="S386" s="32"/>
      <c r="T386" s="31"/>
      <c r="U386" s="33"/>
      <c r="V386" s="1967"/>
      <c r="W386" s="1805"/>
      <c r="X386" s="91"/>
      <c r="Y386" s="1806"/>
      <c r="Z386" s="1968"/>
      <c r="AA386" s="2244"/>
      <c r="AB386" s="1969"/>
      <c r="AC386" s="1365"/>
      <c r="AD386" s="95"/>
      <c r="AE386" s="1326"/>
      <c r="AF386" s="97"/>
      <c r="AG386" s="1737"/>
      <c r="AH386" s="1970"/>
      <c r="AI386" s="99"/>
      <c r="AJ386" s="1809"/>
      <c r="AK386" s="6120" t="str">
        <f t="shared" si="138"/>
        <v>►</v>
      </c>
      <c r="AL386" s="781" t="str">
        <f t="shared" si="140"/>
        <v>►</v>
      </c>
      <c r="AM386" s="5498" t="str">
        <f t="shared" si="143"/>
        <v/>
      </c>
      <c r="AN386" s="783" t="str">
        <f t="shared" si="144"/>
        <v/>
      </c>
      <c r="AO386" s="782" t="str">
        <f t="shared" si="145"/>
        <v/>
      </c>
      <c r="AP386" s="783" t="str">
        <f t="shared" si="146"/>
        <v/>
      </c>
      <c r="AQ386" s="2083" t="b">
        <f>AND(Q386="A",COUNTIF(BP16:BR63,TRIM(Z386))&gt;0)</f>
        <v>0</v>
      </c>
      <c r="AR386" s="797" t="str">
        <f>IF(AL386&lt;&gt;"A","",IFERROR(IFERROR(_xlfn.XLOOKUP(TRIM(SUBSTITUTE(Z386,CHAR(160)," ")),BP16:BP63,BS16:BS63),IFERROR(_xlfn.XLOOKUP(TRIM(SUBSTITUTE(Z386,CHAR(160)," ")),BQ16:BQ63,BS16:BS63),_xlfn.XLOOKUP(TRIM(SUBSTITUTE(Z386,CHAR(160)," ")),BR16:BR63,BS16:BS63)))*Y386*IF(ISBLANK(V386),1,V386),0))</f>
        <v/>
      </c>
      <c r="AS386" s="784" t="str">
        <f t="shared" si="136"/>
        <v/>
      </c>
      <c r="AT386" s="1315" t="str">
        <f t="shared" si="147"/>
        <v/>
      </c>
      <c r="AU386" s="785">
        <f t="shared" si="148"/>
        <v>0</v>
      </c>
      <c r="AV386" s="785">
        <f t="shared" si="149"/>
        <v>0</v>
      </c>
      <c r="AW386" s="798">
        <f>IF(AK386="A",AY10,0)</f>
        <v>0</v>
      </c>
      <c r="AX386" s="5496" t="str">
        <f>IF(IFERROR(SEARCH("Adresse PC",TRIM(W386)),0)&gt;0,"▼ receta siguiente",IF(AK386="A",IF(AZ10&lt;&gt;"",AZ10&amp;" - ou.or.o ❾ + or - &gt;",""),""))</f>
        <v/>
      </c>
      <c r="AY386" s="810"/>
      <c r="AZ386" s="810"/>
      <c r="BA386" s="799" t="str">
        <f t="shared" si="139"/>
        <v/>
      </c>
      <c r="BB386" s="800" t="str">
        <f>IF(AK386="A",IF(AQ386,IF(AND(AW386&lt;&gt;"",N(AW386)&gt;0),IFERROR(IFERROR(_xlfn.XLOOKUP(AP386,BP10:BP57,BT10:BT57),IFERROR(_xlfn.XLOOKUP(AP386,BQ10:BQ57,BT10:BT57),_xlfn.XLOOKUP(AP386,BR10:BR57,BT10:BT57,""))),""),""),""),"")</f>
        <v/>
      </c>
      <c r="BC386" s="813" cm="1">
        <f t="array" ref="BC386">IF(NOT(AQ386),0,IF(OR(BA386="",N(BA386)&lt;=0.000000001),"",IF(OR(AU386="",N(AU386)&lt;=0.000000001),0,IF(ISNUMBER(BA386),IFERROR(_xlfn.LET(_xlpm.ai_test,TRIM(AP386),_xlpm.r,IFERROR(_xlfn.XLOOKUP(_xlpm.ai_test,BP16:BP63,ROW(BP16:BP63),0,1),IFERROR(_xlfn.XLOOKUP(_xlpm.ai_test,BQ16:BQ63,ROW(BQ16:BQ63),0,1),_xlfn.XLOOKUP(_xlpm.ai_test,BR16:BR63,ROW(BR16:BR63),0,1))),_xlpm.p,_xlpm.r-MIN(ROW(BP16:BP63))+1,_xlpm.f,INDEX(BS16:BS63,_xlpm.p),_xlpm.u,INDEX(BT16:BT63,_xlpm.p),_xlpm.s,INDEX(BV16:BV63,_xlpm.p),_xlpm.q,N(BA386)/_xlpm.f,IF(_xlpm.q&gt;=_xlpm.s,ROUND(_xlpm.q,1)&amp;" "&amp;_xlpm.ai_test&amp;" = "&amp;ROUND(_xlpm.q*_xlpm.f,1)&amp;" "&amp;_xlpm.u,ROUND(_xlpm.q,1)&amp;" "&amp;_xlpm.ai_test)),""),""))))</f>
        <v>0</v>
      </c>
      <c r="BD386" s="801"/>
      <c r="BE386" s="799" t="str">
        <f t="shared" si="150"/>
        <v/>
      </c>
      <c r="BF386" s="800" t="str">
        <f t="shared" si="151"/>
        <v/>
      </c>
      <c r="BG386" s="802">
        <f t="shared" si="154"/>
        <v>0</v>
      </c>
      <c r="BH386" s="803" t="str">
        <f t="shared" si="155"/>
        <v/>
      </c>
      <c r="BI386" s="792"/>
      <c r="BJ386" s="804">
        <f t="shared" si="153"/>
        <v>0</v>
      </c>
      <c r="BK386" s="794" t="str">
        <f t="shared" si="152"/>
        <v/>
      </c>
      <c r="BL386" s="227" t="s">
        <v>21</v>
      </c>
      <c r="BM386" s="773">
        <f t="shared" si="141"/>
        <v>0</v>
      </c>
      <c r="BN386" s="774">
        <f t="shared" si="142"/>
        <v>0</v>
      </c>
      <c r="BO386"/>
      <c r="BX386"/>
      <c r="BY386"/>
      <c r="BZ386"/>
      <c r="CA386"/>
      <c r="CB386"/>
      <c r="CC386"/>
      <c r="CD386" s="781" t="str">
        <f t="shared" si="135"/>
        <v>►</v>
      </c>
      <c r="CE386" s="633"/>
      <c r="CF386" s="633"/>
      <c r="CG386" s="633"/>
      <c r="CH386" s="633"/>
      <c r="CI386" s="633"/>
      <c r="CJ386" s="227"/>
      <c r="CK386"/>
      <c r="CL386"/>
      <c r="CM386"/>
      <c r="CN386"/>
      <c r="CO386"/>
      <c r="CP386"/>
      <c r="CQ386"/>
      <c r="CR386" s="227"/>
      <c r="CS386"/>
      <c r="CT386"/>
      <c r="CU386"/>
      <c r="CV386"/>
      <c r="CW386"/>
      <c r="CX386"/>
      <c r="CY386"/>
      <c r="CZ386" s="227"/>
      <c r="DA386"/>
      <c r="DB386"/>
      <c r="DC386"/>
      <c r="DD386"/>
      <c r="DE386"/>
      <c r="DF386"/>
      <c r="DG386"/>
      <c r="DH386" s="227"/>
      <c r="DI386" s="3">
        <v>1</v>
      </c>
    </row>
    <row r="387" spans="2:113" s="627" customFormat="1" ht="21" customHeight="1">
      <c r="B387" s="2265" t="str" cm="1">
        <f t="array" ref="B387">SUMPRODUCT(--(D387:J387&lt;&gt;""), LEN(TRIM(SUBSTITUTE(D387:J387, CHAR(160), "")))) &amp; " Car."</f>
        <v>0 Car.</v>
      </c>
      <c r="C387" s="1376" t="str">
        <f>IF(ISBLANK(D387),"",LARGE(C13:C386,1)+1)</f>
        <v/>
      </c>
      <c r="D387" s="1833"/>
      <c r="E387" s="1810"/>
      <c r="F387" s="1810"/>
      <c r="G387" s="1810"/>
      <c r="H387" s="1810"/>
      <c r="I387" s="1810"/>
      <c r="J387" s="1810"/>
      <c r="K387" s="1810"/>
      <c r="L387" s="1811"/>
      <c r="M387"/>
      <c r="N387" s="103" t="str">
        <f t="shared" si="137"/>
        <v>►</v>
      </c>
      <c r="O387" s="1616"/>
      <c r="P387"/>
      <c r="Q387" s="25" t="s">
        <v>15</v>
      </c>
      <c r="R387" s="31"/>
      <c r="S387" s="32"/>
      <c r="T387" s="31"/>
      <c r="U387" s="33"/>
      <c r="V387" s="1967"/>
      <c r="W387" s="1805"/>
      <c r="X387" s="91"/>
      <c r="Y387" s="1806"/>
      <c r="Z387" s="1968"/>
      <c r="AA387" s="2244"/>
      <c r="AB387" s="1969"/>
      <c r="AC387" s="1365"/>
      <c r="AD387" s="95"/>
      <c r="AE387" s="1326"/>
      <c r="AF387" s="97"/>
      <c r="AG387" s="1737"/>
      <c r="AH387" s="1970"/>
      <c r="AI387" s="99"/>
      <c r="AJ387" s="1809"/>
      <c r="AK387" s="6120" t="str">
        <f t="shared" si="138"/>
        <v>►</v>
      </c>
      <c r="AL387" s="781" t="str">
        <f t="shared" si="140"/>
        <v>►</v>
      </c>
      <c r="AM387" s="5499" t="str">
        <f t="shared" si="143"/>
        <v/>
      </c>
      <c r="AN387" s="783" t="str">
        <f t="shared" si="144"/>
        <v/>
      </c>
      <c r="AO387" s="782" t="str">
        <f t="shared" si="145"/>
        <v/>
      </c>
      <c r="AP387" s="783" t="str">
        <f t="shared" si="146"/>
        <v/>
      </c>
      <c r="AQ387" s="2083" t="b">
        <f>AND(Q387="A",COUNTIF(BP16:BR63,TRIM(Z387))&gt;0)</f>
        <v>0</v>
      </c>
      <c r="AR387" s="797" t="str">
        <f>IF(AL387&lt;&gt;"A","",IFERROR(IFERROR(_xlfn.XLOOKUP(TRIM(SUBSTITUTE(Z387,CHAR(160)," ")),BP16:BP63,BS16:BS63),IFERROR(_xlfn.XLOOKUP(TRIM(SUBSTITUTE(Z387,CHAR(160)," ")),BQ16:BQ63,BS16:BS63),_xlfn.XLOOKUP(TRIM(SUBSTITUTE(Z387,CHAR(160)," ")),BR16:BR63,BS16:BS63)))*Y387*IF(ISBLANK(V387),1,V387),0))</f>
        <v/>
      </c>
      <c r="AS387" s="784" t="str">
        <f t="shared" si="136"/>
        <v/>
      </c>
      <c r="AT387" s="1315" t="str">
        <f t="shared" si="147"/>
        <v/>
      </c>
      <c r="AU387" s="785">
        <f t="shared" si="148"/>
        <v>0</v>
      </c>
      <c r="AV387" s="785">
        <f t="shared" si="149"/>
        <v>0</v>
      </c>
      <c r="AW387" s="786">
        <f>IF(AK387="A",AY10,0)</f>
        <v>0</v>
      </c>
      <c r="AX387" s="5495" t="str">
        <f>IF(IFERROR(SEARCH("Adresse PC",TRIM(W387)),0)&gt;0,"▼ receta siguiente",IF(AK387="A",IF(AZ10&lt;&gt;"",AZ10&amp;" - ou.or.o ❾ + or - &gt;",""),""))</f>
        <v/>
      </c>
      <c r="AY387" s="810"/>
      <c r="AZ387" s="810"/>
      <c r="BA387" s="788" t="str">
        <f t="shared" si="139"/>
        <v/>
      </c>
      <c r="BB387" s="789" t="str">
        <f>IF(AK387="A",IF(AQ387,IF(AND(AW387&lt;&gt;"",N(AW387)&gt;0),IFERROR(IFERROR(_xlfn.XLOOKUP(AP387,BP10:BP57,BT10:BT57),IFERROR(_xlfn.XLOOKUP(AP387,BQ10:BQ57,BT10:BT57),_xlfn.XLOOKUP(AP387,BR10:BR57,BT10:BT57,""))),""),""),""),"")</f>
        <v/>
      </c>
      <c r="BC387" s="811" cm="1">
        <f t="array" ref="BC387">IF(NOT(AQ387),0,IF(OR(BA387="",N(BA387)&lt;=0.000000001),"",IF(OR(AU387="",N(AU387)&lt;=0.000000001),0,IF(ISNUMBER(BA387),IFERROR(_xlfn.LET(_xlpm.ai_test,TRIM(AP387),_xlpm.r,IFERROR(_xlfn.XLOOKUP(_xlpm.ai_test,BP16:BP63,ROW(BP16:BP63),0,1),IFERROR(_xlfn.XLOOKUP(_xlpm.ai_test,BQ16:BQ63,ROW(BQ16:BQ63),0,1),_xlfn.XLOOKUP(_xlpm.ai_test,BR16:BR63,ROW(BR16:BR63),0,1))),_xlpm.p,_xlpm.r-MIN(ROW(BP16:BP63))+1,_xlpm.f,INDEX(BS16:BS63,_xlpm.p),_xlpm.u,INDEX(BT16:BT63,_xlpm.p),_xlpm.s,INDEX(BV16:BV63,_xlpm.p),_xlpm.q,N(BA387)/_xlpm.f,IF(_xlpm.q&gt;=_xlpm.s,ROUND(_xlpm.q,1)&amp;" "&amp;_xlpm.ai_test&amp;" = "&amp;ROUND(_xlpm.q*_xlpm.f,1)&amp;" "&amp;_xlpm.u,ROUND(_xlpm.q,1)&amp;" "&amp;_xlpm.ai_test)),""),""))))</f>
        <v>0</v>
      </c>
      <c r="BD387" s="801"/>
      <c r="BE387" s="788" t="str">
        <f t="shared" si="150"/>
        <v/>
      </c>
      <c r="BF387" s="789" t="str">
        <f t="shared" si="151"/>
        <v/>
      </c>
      <c r="BG387" s="790">
        <f t="shared" si="154"/>
        <v>0</v>
      </c>
      <c r="BH387" s="791" t="str">
        <f t="shared" si="155"/>
        <v/>
      </c>
      <c r="BI387" s="792"/>
      <c r="BJ387" s="793">
        <f t="shared" si="153"/>
        <v>0</v>
      </c>
      <c r="BK387" s="794" t="str">
        <f t="shared" si="152"/>
        <v/>
      </c>
      <c r="BL387" s="227" t="s">
        <v>21</v>
      </c>
      <c r="BM387" s="773">
        <f t="shared" si="141"/>
        <v>0</v>
      </c>
      <c r="BN387" s="774">
        <f t="shared" si="142"/>
        <v>0</v>
      </c>
      <c r="BO387"/>
      <c r="BX387"/>
      <c r="BY387"/>
      <c r="BZ387"/>
      <c r="CA387"/>
      <c r="CB387"/>
      <c r="CC387"/>
      <c r="CD387" s="781" t="str">
        <f t="shared" si="135"/>
        <v>►</v>
      </c>
      <c r="CE387" s="633"/>
      <c r="CF387" s="633"/>
      <c r="CG387" s="633"/>
      <c r="CH387" s="633"/>
      <c r="CI387" s="633"/>
      <c r="CJ387" s="227"/>
      <c r="CK387"/>
      <c r="CL387"/>
      <c r="CM387"/>
      <c r="CN387"/>
      <c r="CO387"/>
      <c r="CP387"/>
      <c r="CQ387"/>
      <c r="CR387" s="227"/>
      <c r="CS387"/>
      <c r="CT387"/>
      <c r="CU387"/>
      <c r="CV387"/>
      <c r="CW387"/>
      <c r="CX387"/>
      <c r="CY387"/>
      <c r="CZ387" s="227"/>
      <c r="DA387"/>
      <c r="DB387"/>
      <c r="DC387"/>
      <c r="DD387"/>
      <c r="DE387"/>
      <c r="DF387"/>
      <c r="DG387"/>
      <c r="DH387" s="227"/>
      <c r="DI387" s="3">
        <v>1</v>
      </c>
    </row>
    <row r="388" spans="2:113" s="627" customFormat="1" ht="21" customHeight="1">
      <c r="B388" s="2265" t="str" cm="1">
        <f t="array" ref="B388">SUMPRODUCT(--(D388:J388&lt;&gt;""), LEN(TRIM(SUBSTITUTE(D388:J388, CHAR(160), "")))) &amp; " Car."</f>
        <v>0 Car.</v>
      </c>
      <c r="C388" s="1376" t="str">
        <f>IF(ISBLANK(D388),"",LARGE(C13:C387,1)+1)</f>
        <v/>
      </c>
      <c r="D388" s="1833"/>
      <c r="E388" s="1810"/>
      <c r="F388" s="1810"/>
      <c r="G388" s="1810"/>
      <c r="H388" s="1810"/>
      <c r="I388" s="1810"/>
      <c r="J388" s="1810"/>
      <c r="K388" s="1810"/>
      <c r="L388" s="1811"/>
      <c r="M388"/>
      <c r="N388" s="103" t="str">
        <f t="shared" si="137"/>
        <v>►</v>
      </c>
      <c r="O388" s="1616"/>
      <c r="P388"/>
      <c r="Q388" s="25" t="s">
        <v>15</v>
      </c>
      <c r="R388" s="31"/>
      <c r="S388" s="32"/>
      <c r="T388" s="31"/>
      <c r="U388" s="33"/>
      <c r="V388" s="1967"/>
      <c r="W388" s="1805"/>
      <c r="X388" s="91"/>
      <c r="Y388" s="1806"/>
      <c r="Z388" s="1968"/>
      <c r="AA388" s="2244"/>
      <c r="AB388" s="1969"/>
      <c r="AC388" s="1365"/>
      <c r="AD388" s="95"/>
      <c r="AE388" s="1326"/>
      <c r="AF388" s="97"/>
      <c r="AG388" s="1737"/>
      <c r="AH388" s="1970"/>
      <c r="AI388" s="99"/>
      <c r="AJ388" s="1809"/>
      <c r="AK388" s="6120" t="str">
        <f t="shared" si="138"/>
        <v>►</v>
      </c>
      <c r="AL388" s="781" t="str">
        <f t="shared" si="140"/>
        <v>►</v>
      </c>
      <c r="AM388" s="5498" t="str">
        <f t="shared" si="143"/>
        <v/>
      </c>
      <c r="AN388" s="783" t="str">
        <f t="shared" si="144"/>
        <v/>
      </c>
      <c r="AO388" s="782" t="str">
        <f t="shared" si="145"/>
        <v/>
      </c>
      <c r="AP388" s="783" t="str">
        <f t="shared" si="146"/>
        <v/>
      </c>
      <c r="AQ388" s="2083" t="b">
        <f>AND(Q388="A",COUNTIF(BP16:BR63,TRIM(Z388))&gt;0)</f>
        <v>0</v>
      </c>
      <c r="AR388" s="797" t="str">
        <f>IF(AL388&lt;&gt;"A","",IFERROR(IFERROR(_xlfn.XLOOKUP(TRIM(SUBSTITUTE(Z388,CHAR(160)," ")),BP16:BP63,BS16:BS63),IFERROR(_xlfn.XLOOKUP(TRIM(SUBSTITUTE(Z388,CHAR(160)," ")),BQ16:BQ63,BS16:BS63),_xlfn.XLOOKUP(TRIM(SUBSTITUTE(Z388,CHAR(160)," ")),BR16:BR63,BS16:BS63)))*Y388*IF(ISBLANK(V388),1,V388),0))</f>
        <v/>
      </c>
      <c r="AS388" s="784" t="str">
        <f t="shared" si="136"/>
        <v/>
      </c>
      <c r="AT388" s="1315" t="str">
        <f t="shared" si="147"/>
        <v/>
      </c>
      <c r="AU388" s="785">
        <f t="shared" si="148"/>
        <v>0</v>
      </c>
      <c r="AV388" s="785">
        <f t="shared" si="149"/>
        <v>0</v>
      </c>
      <c r="AW388" s="798">
        <f>IF(AK388="A",AY10,0)</f>
        <v>0</v>
      </c>
      <c r="AX388" s="5496" t="str">
        <f>IF(IFERROR(SEARCH("Adresse PC",TRIM(W388)),0)&gt;0,"▼ receta siguiente",IF(AK388="A",IF(AZ10&lt;&gt;"",AZ10&amp;" - ou.or.o ❾ + or - &gt;",""),""))</f>
        <v/>
      </c>
      <c r="AY388" s="810"/>
      <c r="AZ388" s="810"/>
      <c r="BA388" s="799" t="str">
        <f t="shared" si="139"/>
        <v/>
      </c>
      <c r="BB388" s="800" t="str">
        <f>IF(AK388="A",IF(AQ388,IF(AND(AW388&lt;&gt;"",N(AW388)&gt;0),IFERROR(IFERROR(_xlfn.XLOOKUP(AP388,BP10:BP57,BT10:BT57),IFERROR(_xlfn.XLOOKUP(AP388,BQ10:BQ57,BT10:BT57),_xlfn.XLOOKUP(AP388,BR10:BR57,BT10:BT57,""))),""),""),""),"")</f>
        <v/>
      </c>
      <c r="BC388" s="813" cm="1">
        <f t="array" ref="BC388">IF(NOT(AQ388),0,IF(OR(BA388="",N(BA388)&lt;=0.000000001),"",IF(OR(AU388="",N(AU388)&lt;=0.000000001),0,IF(ISNUMBER(BA388),IFERROR(_xlfn.LET(_xlpm.ai_test,TRIM(AP388),_xlpm.r,IFERROR(_xlfn.XLOOKUP(_xlpm.ai_test,BP16:BP63,ROW(BP16:BP63),0,1),IFERROR(_xlfn.XLOOKUP(_xlpm.ai_test,BQ16:BQ63,ROW(BQ16:BQ63),0,1),_xlfn.XLOOKUP(_xlpm.ai_test,BR16:BR63,ROW(BR16:BR63),0,1))),_xlpm.p,_xlpm.r-MIN(ROW(BP16:BP63))+1,_xlpm.f,INDEX(BS16:BS63,_xlpm.p),_xlpm.u,INDEX(BT16:BT63,_xlpm.p),_xlpm.s,INDEX(BV16:BV63,_xlpm.p),_xlpm.q,N(BA388)/_xlpm.f,IF(_xlpm.q&gt;=_xlpm.s,ROUND(_xlpm.q,1)&amp;" "&amp;_xlpm.ai_test&amp;" = "&amp;ROUND(_xlpm.q*_xlpm.f,1)&amp;" "&amp;_xlpm.u,ROUND(_xlpm.q,1)&amp;" "&amp;_xlpm.ai_test)),""),""))))</f>
        <v>0</v>
      </c>
      <c r="BD388" s="801"/>
      <c r="BE388" s="799" t="str">
        <f t="shared" si="150"/>
        <v/>
      </c>
      <c r="BF388" s="800" t="str">
        <f t="shared" si="151"/>
        <v/>
      </c>
      <c r="BG388" s="802">
        <f t="shared" si="154"/>
        <v>0</v>
      </c>
      <c r="BH388" s="803" t="str">
        <f t="shared" si="155"/>
        <v/>
      </c>
      <c r="BI388" s="792"/>
      <c r="BJ388" s="804">
        <f t="shared" si="153"/>
        <v>0</v>
      </c>
      <c r="BK388" s="794" t="str">
        <f t="shared" si="152"/>
        <v/>
      </c>
      <c r="BL388" s="227" t="s">
        <v>21</v>
      </c>
      <c r="BM388" s="773">
        <f t="shared" si="141"/>
        <v>0</v>
      </c>
      <c r="BN388" s="774">
        <f t="shared" si="142"/>
        <v>0</v>
      </c>
      <c r="BO388"/>
      <c r="BX388"/>
      <c r="BY388"/>
      <c r="BZ388"/>
      <c r="CA388"/>
      <c r="CB388"/>
      <c r="CC388"/>
      <c r="CD388" s="781" t="str">
        <f t="shared" si="135"/>
        <v>►</v>
      </c>
      <c r="CE388" s="633"/>
      <c r="CF388" s="633"/>
      <c r="CG388" s="633"/>
      <c r="CH388" s="633"/>
      <c r="CI388" s="633"/>
      <c r="CJ388" s="227"/>
      <c r="CK388"/>
      <c r="CL388"/>
      <c r="CM388"/>
      <c r="CN388"/>
      <c r="CO388"/>
      <c r="CP388"/>
      <c r="CQ388"/>
      <c r="CR388" s="227"/>
      <c r="CS388"/>
      <c r="CT388"/>
      <c r="CU388"/>
      <c r="CV388"/>
      <c r="CW388"/>
      <c r="CX388"/>
      <c r="CY388"/>
      <c r="CZ388" s="227"/>
      <c r="DA388"/>
      <c r="DB388"/>
      <c r="DC388"/>
      <c r="DD388"/>
      <c r="DE388"/>
      <c r="DF388"/>
      <c r="DG388"/>
      <c r="DH388" s="227"/>
      <c r="DI388" s="3">
        <v>1</v>
      </c>
    </row>
    <row r="389" spans="2:113" s="627" customFormat="1" ht="21" customHeight="1">
      <c r="B389" s="2265" t="str" cm="1">
        <f t="array" ref="B389">SUMPRODUCT(--(D389:J389&lt;&gt;""), LEN(TRIM(SUBSTITUTE(D389:J389, CHAR(160), "")))) &amp; " Car."</f>
        <v>0 Car.</v>
      </c>
      <c r="C389" s="1376" t="str">
        <f>IF(ISBLANK(D389),"",LARGE(C13:C388,1)+1)</f>
        <v/>
      </c>
      <c r="D389" s="1833"/>
      <c r="E389" s="1810"/>
      <c r="F389" s="1810"/>
      <c r="G389" s="1810"/>
      <c r="H389" s="1810"/>
      <c r="I389" s="1810"/>
      <c r="J389" s="1810"/>
      <c r="K389" s="1810"/>
      <c r="L389" s="1811"/>
      <c r="M389"/>
      <c r="N389" s="103" t="str">
        <f t="shared" si="137"/>
        <v>►</v>
      </c>
      <c r="O389" s="1616"/>
      <c r="P389"/>
      <c r="Q389" s="25" t="s">
        <v>15</v>
      </c>
      <c r="R389" s="31"/>
      <c r="S389" s="32"/>
      <c r="T389" s="31"/>
      <c r="U389" s="33"/>
      <c r="V389" s="1967"/>
      <c r="W389" s="1805"/>
      <c r="X389" s="91"/>
      <c r="Y389" s="1806"/>
      <c r="Z389" s="1968"/>
      <c r="AA389" s="2244"/>
      <c r="AB389" s="1969"/>
      <c r="AC389" s="1365"/>
      <c r="AD389" s="95"/>
      <c r="AE389" s="1326"/>
      <c r="AF389" s="97"/>
      <c r="AG389" s="1737"/>
      <c r="AH389" s="1970"/>
      <c r="AI389" s="99"/>
      <c r="AJ389" s="1809"/>
      <c r="AK389" s="6120" t="str">
        <f t="shared" si="138"/>
        <v>►</v>
      </c>
      <c r="AL389" s="781" t="str">
        <f t="shared" si="140"/>
        <v>►</v>
      </c>
      <c r="AM389" s="5499" t="str">
        <f t="shared" si="143"/>
        <v/>
      </c>
      <c r="AN389" s="783" t="str">
        <f t="shared" si="144"/>
        <v/>
      </c>
      <c r="AO389" s="782" t="str">
        <f t="shared" si="145"/>
        <v/>
      </c>
      <c r="AP389" s="783" t="str">
        <f t="shared" si="146"/>
        <v/>
      </c>
      <c r="AQ389" s="2083" t="b">
        <f>AND(Q389="A",COUNTIF(BP16:BR63,TRIM(Z389))&gt;0)</f>
        <v>0</v>
      </c>
      <c r="AR389" s="797" t="str">
        <f>IF(AL389&lt;&gt;"A","",IFERROR(IFERROR(_xlfn.XLOOKUP(TRIM(SUBSTITUTE(Z389,CHAR(160)," ")),BP16:BP63,BS16:BS63),IFERROR(_xlfn.XLOOKUP(TRIM(SUBSTITUTE(Z389,CHAR(160)," ")),BQ16:BQ63,BS16:BS63),_xlfn.XLOOKUP(TRIM(SUBSTITUTE(Z389,CHAR(160)," ")),BR16:BR63,BS16:BS63)))*Y389*IF(ISBLANK(V389),1,V389),0))</f>
        <v/>
      </c>
      <c r="AS389" s="784" t="str">
        <f t="shared" si="136"/>
        <v/>
      </c>
      <c r="AT389" s="1315" t="str">
        <f t="shared" si="147"/>
        <v/>
      </c>
      <c r="AU389" s="785">
        <f t="shared" si="148"/>
        <v>0</v>
      </c>
      <c r="AV389" s="785">
        <f t="shared" si="149"/>
        <v>0</v>
      </c>
      <c r="AW389" s="786">
        <f>IF(AK389="A",AY10,0)</f>
        <v>0</v>
      </c>
      <c r="AX389" s="5495" t="str">
        <f>IF(IFERROR(SEARCH("Adresse PC",TRIM(W389)),0)&gt;0,"▼ receta siguiente",IF(AK389="A",IF(AZ10&lt;&gt;"",AZ10&amp;" - ou.or.o ❾ + or - &gt;",""),""))</f>
        <v/>
      </c>
      <c r="AY389" s="810"/>
      <c r="AZ389" s="810"/>
      <c r="BA389" s="788" t="str">
        <f t="shared" si="139"/>
        <v/>
      </c>
      <c r="BB389" s="789" t="str">
        <f>IF(AK389="A",IF(AQ389,IF(AND(AW389&lt;&gt;"",N(AW389)&gt;0),IFERROR(IFERROR(_xlfn.XLOOKUP(AP389,BP10:BP57,BT10:BT57),IFERROR(_xlfn.XLOOKUP(AP389,BQ10:BQ57,BT10:BT57),_xlfn.XLOOKUP(AP389,BR10:BR57,BT10:BT57,""))),""),""),""),"")</f>
        <v/>
      </c>
      <c r="BC389" s="811" cm="1">
        <f t="array" ref="BC389">IF(NOT(AQ389),0,IF(OR(BA389="",N(BA389)&lt;=0.000000001),"",IF(OR(AU389="",N(AU389)&lt;=0.000000001),0,IF(ISNUMBER(BA389),IFERROR(_xlfn.LET(_xlpm.ai_test,TRIM(AP389),_xlpm.r,IFERROR(_xlfn.XLOOKUP(_xlpm.ai_test,BP16:BP63,ROW(BP16:BP63),0,1),IFERROR(_xlfn.XLOOKUP(_xlpm.ai_test,BQ16:BQ63,ROW(BQ16:BQ63),0,1),_xlfn.XLOOKUP(_xlpm.ai_test,BR16:BR63,ROW(BR16:BR63),0,1))),_xlpm.p,_xlpm.r-MIN(ROW(BP16:BP63))+1,_xlpm.f,INDEX(BS16:BS63,_xlpm.p),_xlpm.u,INDEX(BT16:BT63,_xlpm.p),_xlpm.s,INDEX(BV16:BV63,_xlpm.p),_xlpm.q,N(BA389)/_xlpm.f,IF(_xlpm.q&gt;=_xlpm.s,ROUND(_xlpm.q,1)&amp;" "&amp;_xlpm.ai_test&amp;" = "&amp;ROUND(_xlpm.q*_xlpm.f,1)&amp;" "&amp;_xlpm.u,ROUND(_xlpm.q,1)&amp;" "&amp;_xlpm.ai_test)),""),""))))</f>
        <v>0</v>
      </c>
      <c r="BD389" s="801"/>
      <c r="BE389" s="788" t="str">
        <f t="shared" si="150"/>
        <v/>
      </c>
      <c r="BF389" s="789" t="str">
        <f t="shared" si="151"/>
        <v/>
      </c>
      <c r="BG389" s="790">
        <f t="shared" si="154"/>
        <v>0</v>
      </c>
      <c r="BH389" s="791" t="str">
        <f t="shared" si="155"/>
        <v/>
      </c>
      <c r="BI389" s="792"/>
      <c r="BJ389" s="793">
        <f t="shared" si="153"/>
        <v>0</v>
      </c>
      <c r="BK389" s="794" t="str">
        <f t="shared" si="152"/>
        <v/>
      </c>
      <c r="BL389" s="227" t="s">
        <v>21</v>
      </c>
      <c r="BM389" s="773">
        <f t="shared" si="141"/>
        <v>0</v>
      </c>
      <c r="BN389" s="774">
        <f t="shared" si="142"/>
        <v>0</v>
      </c>
      <c r="BO389"/>
      <c r="BX389"/>
      <c r="BY389"/>
      <c r="BZ389"/>
      <c r="CA389"/>
      <c r="CB389"/>
      <c r="CC389"/>
      <c r="CD389" s="781" t="str">
        <f t="shared" si="135"/>
        <v>►</v>
      </c>
      <c r="CE389" s="633"/>
      <c r="CF389" s="633"/>
      <c r="CG389" s="633"/>
      <c r="CH389" s="633"/>
      <c r="CI389" s="633"/>
      <c r="CJ389" s="227"/>
      <c r="CK389"/>
      <c r="CL389"/>
      <c r="CM389"/>
      <c r="CN389"/>
      <c r="CO389"/>
      <c r="CP389"/>
      <c r="CQ389"/>
      <c r="CR389" s="227"/>
      <c r="CS389"/>
      <c r="CT389"/>
      <c r="CU389"/>
      <c r="CV389"/>
      <c r="CW389"/>
      <c r="CX389"/>
      <c r="CY389"/>
      <c r="CZ389" s="227"/>
      <c r="DA389"/>
      <c r="DB389"/>
      <c r="DC389"/>
      <c r="DD389"/>
      <c r="DE389"/>
      <c r="DF389"/>
      <c r="DG389"/>
      <c r="DH389" s="227"/>
      <c r="DI389" s="3">
        <v>1</v>
      </c>
    </row>
    <row r="390" spans="2:113" s="627" customFormat="1" ht="21" customHeight="1">
      <c r="B390" s="2265" t="str" cm="1">
        <f t="array" ref="B390">SUMPRODUCT(--(D390:J390&lt;&gt;""), LEN(TRIM(SUBSTITUTE(D390:J390, CHAR(160), "")))) &amp; " Car."</f>
        <v>0 Car.</v>
      </c>
      <c r="C390" s="1376" t="str">
        <f>IF(ISBLANK(D390),"",LARGE(C13:C389,1)+1)</f>
        <v/>
      </c>
      <c r="D390" s="1833"/>
      <c r="E390" s="1810"/>
      <c r="F390" s="1810"/>
      <c r="G390" s="1810"/>
      <c r="H390" s="1810"/>
      <c r="I390" s="1810"/>
      <c r="J390" s="1810"/>
      <c r="K390" s="1810"/>
      <c r="L390" s="1811"/>
      <c r="M390"/>
      <c r="N390" s="103" t="str">
        <f t="shared" si="137"/>
        <v>►</v>
      </c>
      <c r="O390" s="1616"/>
      <c r="P390"/>
      <c r="Q390" s="25" t="s">
        <v>15</v>
      </c>
      <c r="R390" s="31"/>
      <c r="S390" s="32"/>
      <c r="T390" s="31"/>
      <c r="U390" s="33"/>
      <c r="V390" s="1967"/>
      <c r="W390" s="1805"/>
      <c r="X390" s="91"/>
      <c r="Y390" s="1806"/>
      <c r="Z390" s="1968"/>
      <c r="AA390" s="2244"/>
      <c r="AB390" s="1969"/>
      <c r="AC390" s="1365"/>
      <c r="AD390" s="95"/>
      <c r="AE390" s="1326"/>
      <c r="AF390" s="97"/>
      <c r="AG390" s="1737"/>
      <c r="AH390" s="1970"/>
      <c r="AI390" s="99"/>
      <c r="AJ390" s="1809"/>
      <c r="AK390" s="6120" t="str">
        <f t="shared" si="138"/>
        <v>►</v>
      </c>
      <c r="AL390" s="781" t="str">
        <f t="shared" si="140"/>
        <v>►</v>
      </c>
      <c r="AM390" s="5498" t="str">
        <f t="shared" si="143"/>
        <v/>
      </c>
      <c r="AN390" s="783" t="str">
        <f t="shared" si="144"/>
        <v/>
      </c>
      <c r="AO390" s="782" t="str">
        <f t="shared" si="145"/>
        <v/>
      </c>
      <c r="AP390" s="783" t="str">
        <f t="shared" si="146"/>
        <v/>
      </c>
      <c r="AQ390" s="2083" t="b">
        <f>AND(Q390="A",COUNTIF(BP16:BR63,TRIM(Z390))&gt;0)</f>
        <v>0</v>
      </c>
      <c r="AR390" s="797" t="str">
        <f>IF(AL390&lt;&gt;"A","",IFERROR(IFERROR(_xlfn.XLOOKUP(TRIM(SUBSTITUTE(Z390,CHAR(160)," ")),BP16:BP63,BS16:BS63),IFERROR(_xlfn.XLOOKUP(TRIM(SUBSTITUTE(Z390,CHAR(160)," ")),BQ16:BQ63,BS16:BS63),_xlfn.XLOOKUP(TRIM(SUBSTITUTE(Z390,CHAR(160)," ")),BR16:BR63,BS16:BS63)))*Y390*IF(ISBLANK(V390),1,V390),0))</f>
        <v/>
      </c>
      <c r="AS390" s="784" t="str">
        <f t="shared" si="136"/>
        <v/>
      </c>
      <c r="AT390" s="1315" t="str">
        <f t="shared" si="147"/>
        <v/>
      </c>
      <c r="AU390" s="785">
        <f t="shared" si="148"/>
        <v>0</v>
      </c>
      <c r="AV390" s="785">
        <f t="shared" si="149"/>
        <v>0</v>
      </c>
      <c r="AW390" s="798">
        <f>IF(AK390="A",AY10,0)</f>
        <v>0</v>
      </c>
      <c r="AX390" s="5496" t="str">
        <f>IF(IFERROR(SEARCH("Adresse PC",TRIM(W390)),0)&gt;0,"▼ receta siguiente",IF(AK390="A",IF(AZ10&lt;&gt;"",AZ10&amp;" - ou.or.o ❾ + or - &gt;",""),""))</f>
        <v/>
      </c>
      <c r="AY390" s="810"/>
      <c r="AZ390" s="810"/>
      <c r="BA390" s="799" t="str">
        <f t="shared" si="139"/>
        <v/>
      </c>
      <c r="BB390" s="800" t="str">
        <f>IF(AK390="A",IF(AQ390,IF(AND(AW390&lt;&gt;"",N(AW390)&gt;0),IFERROR(IFERROR(_xlfn.XLOOKUP(AP390,BP10:BP57,BT10:BT57),IFERROR(_xlfn.XLOOKUP(AP390,BQ10:BQ57,BT10:BT57),_xlfn.XLOOKUP(AP390,BR10:BR57,BT10:BT57,""))),""),""),""),"")</f>
        <v/>
      </c>
      <c r="BC390" s="813" cm="1">
        <f t="array" ref="BC390">IF(NOT(AQ390),0,IF(OR(BA390="",N(BA390)&lt;=0.000000001),"",IF(OR(AU390="",N(AU390)&lt;=0.000000001),0,IF(ISNUMBER(BA390),IFERROR(_xlfn.LET(_xlpm.ai_test,TRIM(AP390),_xlpm.r,IFERROR(_xlfn.XLOOKUP(_xlpm.ai_test,BP16:BP63,ROW(BP16:BP63),0,1),IFERROR(_xlfn.XLOOKUP(_xlpm.ai_test,BQ16:BQ63,ROW(BQ16:BQ63),0,1),_xlfn.XLOOKUP(_xlpm.ai_test,BR16:BR63,ROW(BR16:BR63),0,1))),_xlpm.p,_xlpm.r-MIN(ROW(BP16:BP63))+1,_xlpm.f,INDEX(BS16:BS63,_xlpm.p),_xlpm.u,INDEX(BT16:BT63,_xlpm.p),_xlpm.s,INDEX(BV16:BV63,_xlpm.p),_xlpm.q,N(BA390)/_xlpm.f,IF(_xlpm.q&gt;=_xlpm.s,ROUND(_xlpm.q,1)&amp;" "&amp;_xlpm.ai_test&amp;" = "&amp;ROUND(_xlpm.q*_xlpm.f,1)&amp;" "&amp;_xlpm.u,ROUND(_xlpm.q,1)&amp;" "&amp;_xlpm.ai_test)),""),""))))</f>
        <v>0</v>
      </c>
      <c r="BD390" s="801"/>
      <c r="BE390" s="799" t="str">
        <f t="shared" si="150"/>
        <v/>
      </c>
      <c r="BF390" s="800" t="str">
        <f t="shared" si="151"/>
        <v/>
      </c>
      <c r="BG390" s="802">
        <f t="shared" si="154"/>
        <v>0</v>
      </c>
      <c r="BH390" s="803" t="str">
        <f t="shared" si="155"/>
        <v/>
      </c>
      <c r="BI390" s="792"/>
      <c r="BJ390" s="804">
        <f t="shared" si="153"/>
        <v>0</v>
      </c>
      <c r="BK390" s="794" t="str">
        <f t="shared" si="152"/>
        <v/>
      </c>
      <c r="BL390" s="227" t="s">
        <v>21</v>
      </c>
      <c r="BM390" s="773">
        <f t="shared" si="141"/>
        <v>0</v>
      </c>
      <c r="BN390" s="774">
        <f t="shared" si="142"/>
        <v>0</v>
      </c>
      <c r="BO390"/>
      <c r="BX390"/>
      <c r="BY390"/>
      <c r="BZ390"/>
      <c r="CA390"/>
      <c r="CB390"/>
      <c r="CC390"/>
      <c r="CD390" s="781" t="str">
        <f t="shared" ref="CD390:CD453" si="156">AL390</f>
        <v>►</v>
      </c>
      <c r="CE390" s="633"/>
      <c r="CF390" s="633"/>
      <c r="CG390" s="633"/>
      <c r="CH390" s="633"/>
      <c r="CI390" s="633"/>
      <c r="CJ390" s="227"/>
      <c r="CK390"/>
      <c r="CL390"/>
      <c r="CM390"/>
      <c r="CN390"/>
      <c r="CO390"/>
      <c r="CP390"/>
      <c r="CQ390"/>
      <c r="CR390" s="227"/>
      <c r="CS390"/>
      <c r="CT390"/>
      <c r="CU390"/>
      <c r="CV390"/>
      <c r="CW390"/>
      <c r="CX390"/>
      <c r="CY390"/>
      <c r="CZ390" s="227"/>
      <c r="DA390"/>
      <c r="DB390"/>
      <c r="DC390"/>
      <c r="DD390"/>
      <c r="DE390"/>
      <c r="DF390"/>
      <c r="DG390"/>
      <c r="DH390" s="227"/>
      <c r="DI390" s="3">
        <v>1</v>
      </c>
    </row>
    <row r="391" spans="2:113" s="627" customFormat="1" ht="21" customHeight="1">
      <c r="B391" s="2265" t="str" cm="1">
        <f t="array" ref="B391">SUMPRODUCT(--(D391:J391&lt;&gt;""), LEN(TRIM(SUBSTITUTE(D391:J391, CHAR(160), "")))) &amp; " Car."</f>
        <v>0 Car.</v>
      </c>
      <c r="C391" s="1376" t="str">
        <f>IF(ISBLANK(D391),"",LARGE(C13:C390,1)+1)</f>
        <v/>
      </c>
      <c r="D391" s="1833"/>
      <c r="E391" s="1810"/>
      <c r="F391" s="1810"/>
      <c r="G391" s="1810"/>
      <c r="H391" s="1810"/>
      <c r="I391" s="1810"/>
      <c r="J391" s="1810"/>
      <c r="K391" s="1810"/>
      <c r="L391" s="1811"/>
      <c r="M391"/>
      <c r="N391" s="103" t="str">
        <f t="shared" si="137"/>
        <v>►</v>
      </c>
      <c r="O391" s="1616"/>
      <c r="P391"/>
      <c r="Q391" s="25" t="s">
        <v>15</v>
      </c>
      <c r="R391" s="31"/>
      <c r="S391" s="32"/>
      <c r="T391" s="31"/>
      <c r="U391" s="33"/>
      <c r="V391" s="1967"/>
      <c r="W391" s="1805"/>
      <c r="X391" s="91"/>
      <c r="Y391" s="1806"/>
      <c r="Z391" s="1968"/>
      <c r="AA391" s="2244"/>
      <c r="AB391" s="1969"/>
      <c r="AC391" s="1365"/>
      <c r="AD391" s="95"/>
      <c r="AE391" s="1326"/>
      <c r="AF391" s="97"/>
      <c r="AG391" s="1737"/>
      <c r="AH391" s="1970"/>
      <c r="AI391" s="99"/>
      <c r="AJ391" s="1809"/>
      <c r="AK391" s="6120" t="str">
        <f t="shared" si="138"/>
        <v>►</v>
      </c>
      <c r="AL391" s="781" t="str">
        <f t="shared" si="140"/>
        <v>►</v>
      </c>
      <c r="AM391" s="5499" t="str">
        <f t="shared" si="143"/>
        <v/>
      </c>
      <c r="AN391" s="783" t="str">
        <f t="shared" si="144"/>
        <v/>
      </c>
      <c r="AO391" s="782" t="str">
        <f t="shared" si="145"/>
        <v/>
      </c>
      <c r="AP391" s="783" t="str">
        <f t="shared" si="146"/>
        <v/>
      </c>
      <c r="AQ391" s="2083" t="b">
        <f>AND(Q391="A",COUNTIF(BP16:BR63,TRIM(Z391))&gt;0)</f>
        <v>0</v>
      </c>
      <c r="AR391" s="797" t="str">
        <f>IF(AL391&lt;&gt;"A","",IFERROR(IFERROR(_xlfn.XLOOKUP(TRIM(SUBSTITUTE(Z391,CHAR(160)," ")),BP16:BP63,BS16:BS63),IFERROR(_xlfn.XLOOKUP(TRIM(SUBSTITUTE(Z391,CHAR(160)," ")),BQ16:BQ63,BS16:BS63),_xlfn.XLOOKUP(TRIM(SUBSTITUTE(Z391,CHAR(160)," ")),BR16:BR63,BS16:BS63)))*Y391*IF(ISBLANK(V391),1,V391),0))</f>
        <v/>
      </c>
      <c r="AS391" s="784" t="str">
        <f t="shared" ref="AS391:AS454" si="157">IF(AK391="A",IF(AND(AQ391,AR391&gt;0),"Kg",""),"")</f>
        <v/>
      </c>
      <c r="AT391" s="1315" t="str">
        <f t="shared" si="147"/>
        <v/>
      </c>
      <c r="AU391" s="785">
        <f t="shared" si="148"/>
        <v>0</v>
      </c>
      <c r="AV391" s="785">
        <f t="shared" si="149"/>
        <v>0</v>
      </c>
      <c r="AW391" s="786">
        <f>IF(AK391="A",AY10,0)</f>
        <v>0</v>
      </c>
      <c r="AX391" s="5495" t="str">
        <f>IF(IFERROR(SEARCH("Adresse PC",TRIM(W391)),0)&gt;0,"▼ receta siguiente",IF(AK391="A",IF(AZ10&lt;&gt;"",AZ10&amp;" - ou.or.o ❾ + or - &gt;",""),""))</f>
        <v/>
      </c>
      <c r="AY391" s="810"/>
      <c r="AZ391" s="810"/>
      <c r="BA391" s="788" t="str">
        <f t="shared" si="139"/>
        <v/>
      </c>
      <c r="BB391" s="789" t="str">
        <f>IF(AK391="A",IF(AQ391,IF(AND(AW391&lt;&gt;"",N(AW391)&gt;0),IFERROR(IFERROR(_xlfn.XLOOKUP(AP391,BP10:BP57,BT10:BT57),IFERROR(_xlfn.XLOOKUP(AP391,BQ10:BQ57,BT10:BT57),_xlfn.XLOOKUP(AP391,BR10:BR57,BT10:BT57,""))),""),""),""),"")</f>
        <v/>
      </c>
      <c r="BC391" s="811" cm="1">
        <f t="array" ref="BC391">IF(NOT(AQ391),0,IF(OR(BA391="",N(BA391)&lt;=0.000000001),"",IF(OR(AU391="",N(AU391)&lt;=0.000000001),0,IF(ISNUMBER(BA391),IFERROR(_xlfn.LET(_xlpm.ai_test,TRIM(AP391),_xlpm.r,IFERROR(_xlfn.XLOOKUP(_xlpm.ai_test,BP16:BP63,ROW(BP16:BP63),0,1),IFERROR(_xlfn.XLOOKUP(_xlpm.ai_test,BQ16:BQ63,ROW(BQ16:BQ63),0,1),_xlfn.XLOOKUP(_xlpm.ai_test,BR16:BR63,ROW(BR16:BR63),0,1))),_xlpm.p,_xlpm.r-MIN(ROW(BP16:BP63))+1,_xlpm.f,INDEX(BS16:BS63,_xlpm.p),_xlpm.u,INDEX(BT16:BT63,_xlpm.p),_xlpm.s,INDEX(BV16:BV63,_xlpm.p),_xlpm.q,N(BA391)/_xlpm.f,IF(_xlpm.q&gt;=_xlpm.s,ROUND(_xlpm.q,1)&amp;" "&amp;_xlpm.ai_test&amp;" = "&amp;ROUND(_xlpm.q*_xlpm.f,1)&amp;" "&amp;_xlpm.u,ROUND(_xlpm.q,1)&amp;" "&amp;_xlpm.ai_test)),""),""))))</f>
        <v>0</v>
      </c>
      <c r="BD391" s="801"/>
      <c r="BE391" s="788" t="str">
        <f t="shared" si="150"/>
        <v/>
      </c>
      <c r="BF391" s="789" t="str">
        <f t="shared" si="151"/>
        <v/>
      </c>
      <c r="BG391" s="790">
        <f t="shared" si="154"/>
        <v>0</v>
      </c>
      <c r="BH391" s="791" t="str">
        <f t="shared" si="155"/>
        <v/>
      </c>
      <c r="BI391" s="792"/>
      <c r="BJ391" s="793">
        <f t="shared" si="153"/>
        <v>0</v>
      </c>
      <c r="BK391" s="794" t="str">
        <f t="shared" si="152"/>
        <v/>
      </c>
      <c r="BL391" s="227" t="s">
        <v>21</v>
      </c>
      <c r="BM391" s="773">
        <f t="shared" si="141"/>
        <v>0</v>
      </c>
      <c r="BN391" s="774">
        <f t="shared" si="142"/>
        <v>0</v>
      </c>
      <c r="BO391"/>
      <c r="BX391"/>
      <c r="BY391"/>
      <c r="BZ391"/>
      <c r="CA391"/>
      <c r="CB391"/>
      <c r="CC391"/>
      <c r="CD391" s="781" t="str">
        <f t="shared" si="156"/>
        <v>►</v>
      </c>
      <c r="CE391" s="633"/>
      <c r="CF391" s="633"/>
      <c r="CG391" s="633"/>
      <c r="CH391" s="633"/>
      <c r="CI391" s="633"/>
      <c r="CJ391" s="227"/>
      <c r="CK391"/>
      <c r="CL391"/>
      <c r="CM391"/>
      <c r="CN391"/>
      <c r="CO391"/>
      <c r="CP391"/>
      <c r="CQ391"/>
      <c r="CR391" s="227"/>
      <c r="CS391"/>
      <c r="CT391"/>
      <c r="CU391"/>
      <c r="CV391"/>
      <c r="CW391"/>
      <c r="CX391"/>
      <c r="CY391"/>
      <c r="CZ391" s="227"/>
      <c r="DA391"/>
      <c r="DB391"/>
      <c r="DC391"/>
      <c r="DD391"/>
      <c r="DE391"/>
      <c r="DF391"/>
      <c r="DG391"/>
      <c r="DH391" s="227"/>
      <c r="DI391" s="3">
        <v>1</v>
      </c>
    </row>
    <row r="392" spans="2:113" s="627" customFormat="1" ht="21" customHeight="1">
      <c r="B392" s="2265" t="str" cm="1">
        <f t="array" ref="B392">SUMPRODUCT(--(D392:J392&lt;&gt;""), LEN(TRIM(SUBSTITUTE(D392:J392, CHAR(160), "")))) &amp; " Car."</f>
        <v>0 Car.</v>
      </c>
      <c r="C392" s="1376" t="str">
        <f>IF(ISBLANK(D392),"",LARGE(C13:C391,1)+1)</f>
        <v/>
      </c>
      <c r="D392" s="1833"/>
      <c r="E392" s="1810"/>
      <c r="F392" s="1810"/>
      <c r="G392" s="1810"/>
      <c r="H392" s="1810"/>
      <c r="I392" s="1810"/>
      <c r="J392" s="1810"/>
      <c r="K392" s="1810"/>
      <c r="L392" s="1811"/>
      <c r="M392"/>
      <c r="N392" s="103" t="str">
        <f t="shared" si="137"/>
        <v>►</v>
      </c>
      <c r="O392" s="1616"/>
      <c r="P392"/>
      <c r="Q392" s="25" t="s">
        <v>15</v>
      </c>
      <c r="R392" s="31"/>
      <c r="S392" s="32"/>
      <c r="T392" s="31"/>
      <c r="U392" s="33"/>
      <c r="V392" s="1967"/>
      <c r="W392" s="1805"/>
      <c r="X392" s="91"/>
      <c r="Y392" s="1806"/>
      <c r="Z392" s="1968"/>
      <c r="AA392" s="2244"/>
      <c r="AB392" s="1969"/>
      <c r="AC392" s="1365"/>
      <c r="AD392" s="95"/>
      <c r="AE392" s="1326"/>
      <c r="AF392" s="97"/>
      <c r="AG392" s="1737"/>
      <c r="AH392" s="1970"/>
      <c r="AI392" s="99"/>
      <c r="AJ392" s="1809"/>
      <c r="AK392" s="6120" t="str">
        <f t="shared" si="138"/>
        <v>►</v>
      </c>
      <c r="AL392" s="781" t="str">
        <f t="shared" si="140"/>
        <v>►</v>
      </c>
      <c r="AM392" s="5498" t="str">
        <f t="shared" si="143"/>
        <v/>
      </c>
      <c r="AN392" s="783" t="str">
        <f t="shared" si="144"/>
        <v/>
      </c>
      <c r="AO392" s="782" t="str">
        <f t="shared" si="145"/>
        <v/>
      </c>
      <c r="AP392" s="783" t="str">
        <f t="shared" si="146"/>
        <v/>
      </c>
      <c r="AQ392" s="2083" t="b">
        <f>AND(Q392="A",COUNTIF(BP16:BR63,TRIM(Z392))&gt;0)</f>
        <v>0</v>
      </c>
      <c r="AR392" s="797" t="str">
        <f>IF(AL392&lt;&gt;"A","",IFERROR(IFERROR(_xlfn.XLOOKUP(TRIM(SUBSTITUTE(Z392,CHAR(160)," ")),BP16:BP63,BS16:BS63),IFERROR(_xlfn.XLOOKUP(TRIM(SUBSTITUTE(Z392,CHAR(160)," ")),BQ16:BQ63,BS16:BS63),_xlfn.XLOOKUP(TRIM(SUBSTITUTE(Z392,CHAR(160)," ")),BR16:BR63,BS16:BS63)))*Y392*IF(ISBLANK(V392),1,V392),0))</f>
        <v/>
      </c>
      <c r="AS392" s="784" t="str">
        <f t="shared" si="157"/>
        <v/>
      </c>
      <c r="AT392" s="1315" t="str">
        <f t="shared" si="147"/>
        <v/>
      </c>
      <c r="AU392" s="785">
        <f t="shared" si="148"/>
        <v>0</v>
      </c>
      <c r="AV392" s="785">
        <f t="shared" si="149"/>
        <v>0</v>
      </c>
      <c r="AW392" s="798">
        <f>IF(AK392="A",AY10,0)</f>
        <v>0</v>
      </c>
      <c r="AX392" s="5496" t="str">
        <f>IF(IFERROR(SEARCH("Adresse PC",TRIM(W392)),0)&gt;0,"▼ receta siguiente",IF(AK392="A",IF(AZ10&lt;&gt;"",AZ10&amp;" - ou.or.o ❾ + or - &gt;",""),""))</f>
        <v/>
      </c>
      <c r="AY392" s="810"/>
      <c r="AZ392" s="810"/>
      <c r="BA392" s="799" t="str">
        <f t="shared" si="139"/>
        <v/>
      </c>
      <c r="BB392" s="800" t="str">
        <f>IF(AK392="A",IF(AQ392,IF(AND(AW392&lt;&gt;"",N(AW392)&gt;0),IFERROR(IFERROR(_xlfn.XLOOKUP(AP392,BP10:BP57,BT10:BT57),IFERROR(_xlfn.XLOOKUP(AP392,BQ10:BQ57,BT10:BT57),_xlfn.XLOOKUP(AP392,BR10:BR57,BT10:BT57,""))),""),""),""),"")</f>
        <v/>
      </c>
      <c r="BC392" s="813" cm="1">
        <f t="array" ref="BC392">IF(NOT(AQ392),0,IF(OR(BA392="",N(BA392)&lt;=0.000000001),"",IF(OR(AU392="",N(AU392)&lt;=0.000000001),0,IF(ISNUMBER(BA392),IFERROR(_xlfn.LET(_xlpm.ai_test,TRIM(AP392),_xlpm.r,IFERROR(_xlfn.XLOOKUP(_xlpm.ai_test,BP16:BP63,ROW(BP16:BP63),0,1),IFERROR(_xlfn.XLOOKUP(_xlpm.ai_test,BQ16:BQ63,ROW(BQ16:BQ63),0,1),_xlfn.XLOOKUP(_xlpm.ai_test,BR16:BR63,ROW(BR16:BR63),0,1))),_xlpm.p,_xlpm.r-MIN(ROW(BP16:BP63))+1,_xlpm.f,INDEX(BS16:BS63,_xlpm.p),_xlpm.u,INDEX(BT16:BT63,_xlpm.p),_xlpm.s,INDEX(BV16:BV63,_xlpm.p),_xlpm.q,N(BA392)/_xlpm.f,IF(_xlpm.q&gt;=_xlpm.s,ROUND(_xlpm.q,1)&amp;" "&amp;_xlpm.ai_test&amp;" = "&amp;ROUND(_xlpm.q*_xlpm.f,1)&amp;" "&amp;_xlpm.u,ROUND(_xlpm.q,1)&amp;" "&amp;_xlpm.ai_test)),""),""))))</f>
        <v>0</v>
      </c>
      <c r="BD392" s="801"/>
      <c r="BE392" s="799" t="str">
        <f t="shared" si="150"/>
        <v/>
      </c>
      <c r="BF392" s="800" t="str">
        <f t="shared" si="151"/>
        <v/>
      </c>
      <c r="BG392" s="802">
        <f t="shared" si="154"/>
        <v>0</v>
      </c>
      <c r="BH392" s="803" t="str">
        <f t="shared" si="155"/>
        <v/>
      </c>
      <c r="BI392" s="792"/>
      <c r="BJ392" s="804">
        <f t="shared" si="153"/>
        <v>0</v>
      </c>
      <c r="BK392" s="794" t="str">
        <f t="shared" si="152"/>
        <v/>
      </c>
      <c r="BL392" s="227" t="s">
        <v>21</v>
      </c>
      <c r="BM392" s="773">
        <f t="shared" si="141"/>
        <v>0</v>
      </c>
      <c r="BN392" s="774">
        <f t="shared" si="142"/>
        <v>0</v>
      </c>
      <c r="BO392"/>
      <c r="BX392"/>
      <c r="BY392"/>
      <c r="BZ392"/>
      <c r="CA392"/>
      <c r="CB392"/>
      <c r="CC392"/>
      <c r="CD392" s="781" t="str">
        <f t="shared" si="156"/>
        <v>►</v>
      </c>
      <c r="CE392" s="633"/>
      <c r="CF392" s="633"/>
      <c r="CG392" s="633"/>
      <c r="CH392" s="633"/>
      <c r="CI392" s="633"/>
      <c r="CJ392" s="227"/>
      <c r="CK392"/>
      <c r="CL392"/>
      <c r="CM392"/>
      <c r="CN392"/>
      <c r="CO392"/>
      <c r="CP392"/>
      <c r="CQ392"/>
      <c r="CR392" s="227"/>
      <c r="CS392"/>
      <c r="CT392"/>
      <c r="CU392"/>
      <c r="CV392"/>
      <c r="CW392"/>
      <c r="CX392"/>
      <c r="CY392"/>
      <c r="CZ392" s="227"/>
      <c r="DA392"/>
      <c r="DB392"/>
      <c r="DC392"/>
      <c r="DD392"/>
      <c r="DE392"/>
      <c r="DF392"/>
      <c r="DG392"/>
      <c r="DH392" s="227"/>
      <c r="DI392" s="3">
        <v>1</v>
      </c>
    </row>
    <row r="393" spans="2:113" s="627" customFormat="1" ht="21" customHeight="1">
      <c r="B393" s="2265" t="str" cm="1">
        <f t="array" ref="B393">SUMPRODUCT(--(D393:J393&lt;&gt;""), LEN(TRIM(SUBSTITUTE(D393:J393, CHAR(160), "")))) &amp; " Car."</f>
        <v>0 Car.</v>
      </c>
      <c r="C393" s="1376" t="str">
        <f>IF(ISBLANK(D393),"",LARGE(C13:C392,1)+1)</f>
        <v/>
      </c>
      <c r="D393" s="1833"/>
      <c r="E393" s="1810"/>
      <c r="F393" s="1810"/>
      <c r="G393" s="1810"/>
      <c r="H393" s="1810"/>
      <c r="I393" s="1810"/>
      <c r="J393" s="1810"/>
      <c r="K393" s="1810"/>
      <c r="L393" s="1811"/>
      <c r="M393"/>
      <c r="N393" s="103" t="str">
        <f t="shared" si="137"/>
        <v>►</v>
      </c>
      <c r="O393" s="1616"/>
      <c r="P393"/>
      <c r="Q393" s="25" t="s">
        <v>15</v>
      </c>
      <c r="R393" s="31"/>
      <c r="S393" s="32"/>
      <c r="T393" s="31"/>
      <c r="U393" s="33"/>
      <c r="V393" s="1967"/>
      <c r="W393" s="1805"/>
      <c r="X393" s="91"/>
      <c r="Y393" s="1806"/>
      <c r="Z393" s="1968"/>
      <c r="AA393" s="2244"/>
      <c r="AB393" s="1969"/>
      <c r="AC393" s="1365"/>
      <c r="AD393" s="95"/>
      <c r="AE393" s="1326"/>
      <c r="AF393" s="97"/>
      <c r="AG393" s="1737"/>
      <c r="AH393" s="1970"/>
      <c r="AI393" s="99"/>
      <c r="AJ393" s="1809"/>
      <c r="AK393" s="6120" t="str">
        <f t="shared" si="138"/>
        <v>►</v>
      </c>
      <c r="AL393" s="781" t="str">
        <f t="shared" si="140"/>
        <v>►</v>
      </c>
      <c r="AM393" s="5499" t="str">
        <f t="shared" si="143"/>
        <v/>
      </c>
      <c r="AN393" s="783" t="str">
        <f t="shared" si="144"/>
        <v/>
      </c>
      <c r="AO393" s="782" t="str">
        <f t="shared" si="145"/>
        <v/>
      </c>
      <c r="AP393" s="783" t="str">
        <f t="shared" si="146"/>
        <v/>
      </c>
      <c r="AQ393" s="2083" t="b">
        <f>AND(Q393="A",COUNTIF(BP16:BR63,TRIM(Z393))&gt;0)</f>
        <v>0</v>
      </c>
      <c r="AR393" s="797" t="str">
        <f>IF(AL393&lt;&gt;"A","",IFERROR(IFERROR(_xlfn.XLOOKUP(TRIM(SUBSTITUTE(Z393,CHAR(160)," ")),BP16:BP63,BS16:BS63),IFERROR(_xlfn.XLOOKUP(TRIM(SUBSTITUTE(Z393,CHAR(160)," ")),BQ16:BQ63,BS16:BS63),_xlfn.XLOOKUP(TRIM(SUBSTITUTE(Z393,CHAR(160)," ")),BR16:BR63,BS16:BS63)))*Y393*IF(ISBLANK(V393),1,V393),0))</f>
        <v/>
      </c>
      <c r="AS393" s="784" t="str">
        <f t="shared" si="157"/>
        <v/>
      </c>
      <c r="AT393" s="1315" t="str">
        <f t="shared" si="147"/>
        <v/>
      </c>
      <c r="AU393" s="785">
        <f t="shared" si="148"/>
        <v>0</v>
      </c>
      <c r="AV393" s="785">
        <f t="shared" si="149"/>
        <v>0</v>
      </c>
      <c r="AW393" s="786">
        <f>IF(AK393="A",AY10,0)</f>
        <v>0</v>
      </c>
      <c r="AX393" s="5495" t="str">
        <f>IF(IFERROR(SEARCH("Adresse PC",TRIM(W393)),0)&gt;0,"▼ receta siguiente",IF(AK393="A",IF(AZ10&lt;&gt;"",AZ10&amp;" - ou.or.o ❾ + or - &gt;",""),""))</f>
        <v/>
      </c>
      <c r="AY393" s="810"/>
      <c r="AZ393" s="810"/>
      <c r="BA393" s="788" t="str">
        <f t="shared" si="139"/>
        <v/>
      </c>
      <c r="BB393" s="789" t="str">
        <f>IF(AK393="A",IF(AQ393,IF(AND(AW393&lt;&gt;"",N(AW393)&gt;0),IFERROR(IFERROR(_xlfn.XLOOKUP(AP393,BP10:BP57,BT10:BT57),IFERROR(_xlfn.XLOOKUP(AP393,BQ10:BQ57,BT10:BT57),_xlfn.XLOOKUP(AP393,BR10:BR57,BT10:BT57,""))),""),""),""),"")</f>
        <v/>
      </c>
      <c r="BC393" s="811" cm="1">
        <f t="array" ref="BC393">IF(NOT(AQ393),0,IF(OR(BA393="",N(BA393)&lt;=0.000000001),"",IF(OR(AU393="",N(AU393)&lt;=0.000000001),0,IF(ISNUMBER(BA393),IFERROR(_xlfn.LET(_xlpm.ai_test,TRIM(AP393),_xlpm.r,IFERROR(_xlfn.XLOOKUP(_xlpm.ai_test,BP16:BP63,ROW(BP16:BP63),0,1),IFERROR(_xlfn.XLOOKUP(_xlpm.ai_test,BQ16:BQ63,ROW(BQ16:BQ63),0,1),_xlfn.XLOOKUP(_xlpm.ai_test,BR16:BR63,ROW(BR16:BR63),0,1))),_xlpm.p,_xlpm.r-MIN(ROW(BP16:BP63))+1,_xlpm.f,INDEX(BS16:BS63,_xlpm.p),_xlpm.u,INDEX(BT16:BT63,_xlpm.p),_xlpm.s,INDEX(BV16:BV63,_xlpm.p),_xlpm.q,N(BA393)/_xlpm.f,IF(_xlpm.q&gt;=_xlpm.s,ROUND(_xlpm.q,1)&amp;" "&amp;_xlpm.ai_test&amp;" = "&amp;ROUND(_xlpm.q*_xlpm.f,1)&amp;" "&amp;_xlpm.u,ROUND(_xlpm.q,1)&amp;" "&amp;_xlpm.ai_test)),""),""))))</f>
        <v>0</v>
      </c>
      <c r="BD393" s="801"/>
      <c r="BE393" s="788" t="str">
        <f t="shared" si="150"/>
        <v/>
      </c>
      <c r="BF393" s="789" t="str">
        <f t="shared" si="151"/>
        <v/>
      </c>
      <c r="BG393" s="790">
        <f t="shared" si="154"/>
        <v>0</v>
      </c>
      <c r="BH393" s="791" t="str">
        <f t="shared" si="155"/>
        <v/>
      </c>
      <c r="BI393" s="792"/>
      <c r="BJ393" s="793">
        <f t="shared" si="153"/>
        <v>0</v>
      </c>
      <c r="BK393" s="794" t="str">
        <f t="shared" si="152"/>
        <v/>
      </c>
      <c r="BL393" s="227" t="s">
        <v>21</v>
      </c>
      <c r="BM393" s="773">
        <f t="shared" si="141"/>
        <v>0</v>
      </c>
      <c r="BN393" s="774">
        <f t="shared" si="142"/>
        <v>0</v>
      </c>
      <c r="BO393"/>
      <c r="BX393"/>
      <c r="BY393"/>
      <c r="BZ393"/>
      <c r="CA393"/>
      <c r="CB393"/>
      <c r="CC393"/>
      <c r="CD393" s="781" t="str">
        <f t="shared" si="156"/>
        <v>►</v>
      </c>
      <c r="CE393" s="633"/>
      <c r="CF393" s="633"/>
      <c r="CG393" s="633"/>
      <c r="CH393" s="633"/>
      <c r="CI393" s="633"/>
      <c r="CJ393" s="227"/>
      <c r="CK393"/>
      <c r="CL393"/>
      <c r="CM393"/>
      <c r="CN393"/>
      <c r="CO393"/>
      <c r="CP393"/>
      <c r="CQ393"/>
      <c r="CR393" s="227"/>
      <c r="CS393"/>
      <c r="CT393"/>
      <c r="CU393"/>
      <c r="CV393"/>
      <c r="CW393"/>
      <c r="CX393"/>
      <c r="CY393"/>
      <c r="CZ393" s="227"/>
      <c r="DA393"/>
      <c r="DB393"/>
      <c r="DC393"/>
      <c r="DD393"/>
      <c r="DE393"/>
      <c r="DF393"/>
      <c r="DG393"/>
      <c r="DH393" s="227"/>
      <c r="DI393" s="3">
        <v>1</v>
      </c>
    </row>
    <row r="394" spans="2:113" s="627" customFormat="1" ht="21" customHeight="1">
      <c r="B394" s="2265" t="str" cm="1">
        <f t="array" ref="B394">SUMPRODUCT(--(D394:J394&lt;&gt;""), LEN(TRIM(SUBSTITUTE(D394:J394, CHAR(160), "")))) &amp; " Car."</f>
        <v>0 Car.</v>
      </c>
      <c r="C394" s="1376" t="str">
        <f>IF(ISBLANK(D394),"",LARGE(C13:C393,1)+1)</f>
        <v/>
      </c>
      <c r="D394" s="1833"/>
      <c r="E394" s="1810"/>
      <c r="F394" s="1810"/>
      <c r="G394" s="1810"/>
      <c r="H394" s="1810"/>
      <c r="I394" s="1810"/>
      <c r="J394" s="1810"/>
      <c r="K394" s="1810"/>
      <c r="L394" s="1811"/>
      <c r="M394"/>
      <c r="N394" s="103" t="str">
        <f t="shared" si="137"/>
        <v>►</v>
      </c>
      <c r="O394" s="1616"/>
      <c r="P394"/>
      <c r="Q394" s="25" t="s">
        <v>15</v>
      </c>
      <c r="R394" s="31"/>
      <c r="S394" s="32"/>
      <c r="T394" s="31"/>
      <c r="U394" s="33"/>
      <c r="V394" s="1967"/>
      <c r="W394" s="1805"/>
      <c r="X394" s="91"/>
      <c r="Y394" s="1806"/>
      <c r="Z394" s="1968"/>
      <c r="AA394" s="2244"/>
      <c r="AB394" s="1969"/>
      <c r="AC394" s="1365"/>
      <c r="AD394" s="95"/>
      <c r="AE394" s="1326"/>
      <c r="AF394" s="97"/>
      <c r="AG394" s="1737"/>
      <c r="AH394" s="1970"/>
      <c r="AI394" s="99"/>
      <c r="AJ394" s="1809"/>
      <c r="AK394" s="6120" t="str">
        <f t="shared" si="138"/>
        <v>►</v>
      </c>
      <c r="AL394" s="781" t="str">
        <f t="shared" si="140"/>
        <v>►</v>
      </c>
      <c r="AM394" s="5498" t="str">
        <f t="shared" si="143"/>
        <v/>
      </c>
      <c r="AN394" s="783" t="str">
        <f t="shared" si="144"/>
        <v/>
      </c>
      <c r="AO394" s="782" t="str">
        <f t="shared" si="145"/>
        <v/>
      </c>
      <c r="AP394" s="783" t="str">
        <f t="shared" si="146"/>
        <v/>
      </c>
      <c r="AQ394" s="2083" t="b">
        <f>AND(Q394="A",COUNTIF(BP16:BR63,TRIM(Z394))&gt;0)</f>
        <v>0</v>
      </c>
      <c r="AR394" s="797" t="str">
        <f>IF(AL394&lt;&gt;"A","",IFERROR(IFERROR(_xlfn.XLOOKUP(TRIM(SUBSTITUTE(Z394,CHAR(160)," ")),BP16:BP63,BS16:BS63),IFERROR(_xlfn.XLOOKUP(TRIM(SUBSTITUTE(Z394,CHAR(160)," ")),BQ16:BQ63,BS16:BS63),_xlfn.XLOOKUP(TRIM(SUBSTITUTE(Z394,CHAR(160)," ")),BR16:BR63,BS16:BS63)))*Y394*IF(ISBLANK(V394),1,V394),0))</f>
        <v/>
      </c>
      <c r="AS394" s="784" t="str">
        <f t="shared" si="157"/>
        <v/>
      </c>
      <c r="AT394" s="1315" t="str">
        <f t="shared" si="147"/>
        <v/>
      </c>
      <c r="AU394" s="785">
        <f t="shared" si="148"/>
        <v>0</v>
      </c>
      <c r="AV394" s="785">
        <f t="shared" si="149"/>
        <v>0</v>
      </c>
      <c r="AW394" s="798">
        <f>IF(AK394="A",AY10,0)</f>
        <v>0</v>
      </c>
      <c r="AX394" s="5496" t="str">
        <f>IF(IFERROR(SEARCH("Adresse PC",TRIM(W394)),0)&gt;0,"▼ receta siguiente",IF(AK394="A",IF(AZ10&lt;&gt;"",AZ10&amp;" - ou.or.o ❾ + or - &gt;",""),""))</f>
        <v/>
      </c>
      <c r="AY394" s="810"/>
      <c r="AZ394" s="810"/>
      <c r="BA394" s="799" t="str">
        <f t="shared" si="139"/>
        <v/>
      </c>
      <c r="BB394" s="800" t="str">
        <f>IF(AK394="A",IF(AQ394,IF(AND(AW394&lt;&gt;"",N(AW394)&gt;0),IFERROR(IFERROR(_xlfn.XLOOKUP(AP394,BP10:BP57,BT10:BT57),IFERROR(_xlfn.XLOOKUP(AP394,BQ10:BQ57,BT10:BT57),_xlfn.XLOOKUP(AP394,BR10:BR57,BT10:BT57,""))),""),""),""),"")</f>
        <v/>
      </c>
      <c r="BC394" s="813" cm="1">
        <f t="array" ref="BC394">IF(NOT(AQ394),0,IF(OR(BA394="",N(BA394)&lt;=0.000000001),"",IF(OR(AU394="",N(AU394)&lt;=0.000000001),0,IF(ISNUMBER(BA394),IFERROR(_xlfn.LET(_xlpm.ai_test,TRIM(AP394),_xlpm.r,IFERROR(_xlfn.XLOOKUP(_xlpm.ai_test,BP16:BP63,ROW(BP16:BP63),0,1),IFERROR(_xlfn.XLOOKUP(_xlpm.ai_test,BQ16:BQ63,ROW(BQ16:BQ63),0,1),_xlfn.XLOOKUP(_xlpm.ai_test,BR16:BR63,ROW(BR16:BR63),0,1))),_xlpm.p,_xlpm.r-MIN(ROW(BP16:BP63))+1,_xlpm.f,INDEX(BS16:BS63,_xlpm.p),_xlpm.u,INDEX(BT16:BT63,_xlpm.p),_xlpm.s,INDEX(BV16:BV63,_xlpm.p),_xlpm.q,N(BA394)/_xlpm.f,IF(_xlpm.q&gt;=_xlpm.s,ROUND(_xlpm.q,1)&amp;" "&amp;_xlpm.ai_test&amp;" = "&amp;ROUND(_xlpm.q*_xlpm.f,1)&amp;" "&amp;_xlpm.u,ROUND(_xlpm.q,1)&amp;" "&amp;_xlpm.ai_test)),""),""))))</f>
        <v>0</v>
      </c>
      <c r="BD394" s="801"/>
      <c r="BE394" s="799" t="str">
        <f t="shared" si="150"/>
        <v/>
      </c>
      <c r="BF394" s="800" t="str">
        <f t="shared" si="151"/>
        <v/>
      </c>
      <c r="BG394" s="802">
        <f t="shared" si="154"/>
        <v>0</v>
      </c>
      <c r="BH394" s="803" t="str">
        <f t="shared" si="155"/>
        <v/>
      </c>
      <c r="BI394" s="792"/>
      <c r="BJ394" s="804">
        <f t="shared" si="153"/>
        <v>0</v>
      </c>
      <c r="BK394" s="794" t="str">
        <f t="shared" si="152"/>
        <v/>
      </c>
      <c r="BL394" s="227" t="s">
        <v>21</v>
      </c>
      <c r="BM394" s="773">
        <f t="shared" si="141"/>
        <v>0</v>
      </c>
      <c r="BN394" s="774">
        <f t="shared" si="142"/>
        <v>0</v>
      </c>
      <c r="BO394"/>
      <c r="BX394"/>
      <c r="BY394"/>
      <c r="BZ394"/>
      <c r="CA394"/>
      <c r="CB394"/>
      <c r="CC394"/>
      <c r="CD394" s="781" t="str">
        <f t="shared" si="156"/>
        <v>►</v>
      </c>
      <c r="CE394" s="633"/>
      <c r="CF394" s="633"/>
      <c r="CG394" s="633"/>
      <c r="CH394" s="633"/>
      <c r="CI394" s="633"/>
      <c r="CJ394" s="227"/>
      <c r="CK394"/>
      <c r="CL394"/>
      <c r="CM394"/>
      <c r="CN394"/>
      <c r="CO394"/>
      <c r="CP394"/>
      <c r="CQ394"/>
      <c r="CR394" s="227"/>
      <c r="CS394"/>
      <c r="CT394"/>
      <c r="CU394"/>
      <c r="CV394"/>
      <c r="CW394"/>
      <c r="CX394"/>
      <c r="CY394"/>
      <c r="CZ394" s="227"/>
      <c r="DA394"/>
      <c r="DB394"/>
      <c r="DC394"/>
      <c r="DD394"/>
      <c r="DE394"/>
      <c r="DF394"/>
      <c r="DG394"/>
      <c r="DH394" s="227"/>
      <c r="DI394" s="3">
        <v>1</v>
      </c>
    </row>
    <row r="395" spans="2:113" s="627" customFormat="1" ht="21" customHeight="1">
      <c r="B395" s="2265" t="str" cm="1">
        <f t="array" ref="B395">SUMPRODUCT(--(D395:J395&lt;&gt;""), LEN(TRIM(SUBSTITUTE(D395:J395, CHAR(160), "")))) &amp; " Car."</f>
        <v>0 Car.</v>
      </c>
      <c r="C395" s="1376" t="str">
        <f>IF(ISBLANK(D395),"",LARGE(C13:C394,1)+1)</f>
        <v/>
      </c>
      <c r="D395" s="1833"/>
      <c r="E395" s="1810"/>
      <c r="F395" s="1810"/>
      <c r="G395" s="1810"/>
      <c r="H395" s="1810"/>
      <c r="I395" s="1810"/>
      <c r="J395" s="1810"/>
      <c r="K395" s="1810"/>
      <c r="L395" s="1811"/>
      <c r="M395"/>
      <c r="N395" s="103" t="str">
        <f t="shared" si="137"/>
        <v>►</v>
      </c>
      <c r="O395" s="1616"/>
      <c r="P395"/>
      <c r="Q395" s="25" t="s">
        <v>15</v>
      </c>
      <c r="R395" s="31"/>
      <c r="S395" s="32"/>
      <c r="T395" s="31"/>
      <c r="U395" s="33"/>
      <c r="V395" s="1967"/>
      <c r="W395" s="1805"/>
      <c r="X395" s="91"/>
      <c r="Y395" s="1806"/>
      <c r="Z395" s="1968"/>
      <c r="AA395" s="2244"/>
      <c r="AB395" s="1969"/>
      <c r="AC395" s="1365"/>
      <c r="AD395" s="95"/>
      <c r="AE395" s="1326"/>
      <c r="AF395" s="97"/>
      <c r="AG395" s="1737"/>
      <c r="AH395" s="1970"/>
      <c r="AI395" s="99"/>
      <c r="AJ395" s="1809"/>
      <c r="AK395" s="6120" t="str">
        <f t="shared" si="138"/>
        <v>►</v>
      </c>
      <c r="AL395" s="781" t="str">
        <f t="shared" si="140"/>
        <v>►</v>
      </c>
      <c r="AM395" s="5499" t="str">
        <f t="shared" si="143"/>
        <v/>
      </c>
      <c r="AN395" s="783" t="str">
        <f t="shared" si="144"/>
        <v/>
      </c>
      <c r="AO395" s="782" t="str">
        <f t="shared" si="145"/>
        <v/>
      </c>
      <c r="AP395" s="783" t="str">
        <f t="shared" si="146"/>
        <v/>
      </c>
      <c r="AQ395" s="2083" t="b">
        <f>AND(Q395="A",COUNTIF(BP16:BR63,TRIM(Z395))&gt;0)</f>
        <v>0</v>
      </c>
      <c r="AR395" s="797" t="str">
        <f>IF(AL395&lt;&gt;"A","",IFERROR(IFERROR(_xlfn.XLOOKUP(TRIM(SUBSTITUTE(Z395,CHAR(160)," ")),BP16:BP63,BS16:BS63),IFERROR(_xlfn.XLOOKUP(TRIM(SUBSTITUTE(Z395,CHAR(160)," ")),BQ16:BQ63,BS16:BS63),_xlfn.XLOOKUP(TRIM(SUBSTITUTE(Z395,CHAR(160)," ")),BR16:BR63,BS16:BS63)))*Y395*IF(ISBLANK(V395),1,V395),0))</f>
        <v/>
      </c>
      <c r="AS395" s="784" t="str">
        <f t="shared" si="157"/>
        <v/>
      </c>
      <c r="AT395" s="1315" t="str">
        <f t="shared" si="147"/>
        <v/>
      </c>
      <c r="AU395" s="785">
        <f t="shared" si="148"/>
        <v>0</v>
      </c>
      <c r="AV395" s="785">
        <f t="shared" si="149"/>
        <v>0</v>
      </c>
      <c r="AW395" s="786">
        <f>IF(AK395="A",AY10,0)</f>
        <v>0</v>
      </c>
      <c r="AX395" s="5495" t="str">
        <f>IF(IFERROR(SEARCH("Adresse PC",TRIM(W395)),0)&gt;0,"▼ receta siguiente",IF(AK395="A",IF(AZ10&lt;&gt;"",AZ10&amp;" - ou.or.o ❾ + or - &gt;",""),""))</f>
        <v/>
      </c>
      <c r="AY395" s="810"/>
      <c r="AZ395" s="810"/>
      <c r="BA395" s="788" t="str">
        <f t="shared" si="139"/>
        <v/>
      </c>
      <c r="BB395" s="789" t="str">
        <f>IF(AK395="A",IF(AQ395,IF(AND(AW395&lt;&gt;"",N(AW395)&gt;0),IFERROR(IFERROR(_xlfn.XLOOKUP(AP395,BP10:BP57,BT10:BT57),IFERROR(_xlfn.XLOOKUP(AP395,BQ10:BQ57,BT10:BT57),_xlfn.XLOOKUP(AP395,BR10:BR57,BT10:BT57,""))),""),""),""),"")</f>
        <v/>
      </c>
      <c r="BC395" s="811" cm="1">
        <f t="array" ref="BC395">IF(NOT(AQ395),0,IF(OR(BA395="",N(BA395)&lt;=0.000000001),"",IF(OR(AU395="",N(AU395)&lt;=0.000000001),0,IF(ISNUMBER(BA395),IFERROR(_xlfn.LET(_xlpm.ai_test,TRIM(AP395),_xlpm.r,IFERROR(_xlfn.XLOOKUP(_xlpm.ai_test,BP16:BP63,ROW(BP16:BP63),0,1),IFERROR(_xlfn.XLOOKUP(_xlpm.ai_test,BQ16:BQ63,ROW(BQ16:BQ63),0,1),_xlfn.XLOOKUP(_xlpm.ai_test,BR16:BR63,ROW(BR16:BR63),0,1))),_xlpm.p,_xlpm.r-MIN(ROW(BP16:BP63))+1,_xlpm.f,INDEX(BS16:BS63,_xlpm.p),_xlpm.u,INDEX(BT16:BT63,_xlpm.p),_xlpm.s,INDEX(BV16:BV63,_xlpm.p),_xlpm.q,N(BA395)/_xlpm.f,IF(_xlpm.q&gt;=_xlpm.s,ROUND(_xlpm.q,1)&amp;" "&amp;_xlpm.ai_test&amp;" = "&amp;ROUND(_xlpm.q*_xlpm.f,1)&amp;" "&amp;_xlpm.u,ROUND(_xlpm.q,1)&amp;" "&amp;_xlpm.ai_test)),""),""))))</f>
        <v>0</v>
      </c>
      <c r="BD395" s="801"/>
      <c r="BE395" s="788" t="str">
        <f t="shared" si="150"/>
        <v/>
      </c>
      <c r="BF395" s="789" t="str">
        <f t="shared" si="151"/>
        <v/>
      </c>
      <c r="BG395" s="790">
        <f t="shared" si="154"/>
        <v>0</v>
      </c>
      <c r="BH395" s="791" t="str">
        <f t="shared" si="155"/>
        <v/>
      </c>
      <c r="BI395" s="792"/>
      <c r="BJ395" s="793">
        <f t="shared" si="153"/>
        <v>0</v>
      </c>
      <c r="BK395" s="794" t="str">
        <f t="shared" si="152"/>
        <v/>
      </c>
      <c r="BL395" s="227" t="s">
        <v>21</v>
      </c>
      <c r="BM395" s="773">
        <f t="shared" si="141"/>
        <v>0</v>
      </c>
      <c r="BN395" s="774">
        <f t="shared" si="142"/>
        <v>0</v>
      </c>
      <c r="BO395"/>
      <c r="BX395"/>
      <c r="BY395"/>
      <c r="BZ395"/>
      <c r="CA395"/>
      <c r="CB395"/>
      <c r="CC395"/>
      <c r="CD395" s="781" t="str">
        <f t="shared" si="156"/>
        <v>►</v>
      </c>
      <c r="CE395" s="633"/>
      <c r="CF395" s="633"/>
      <c r="CG395" s="633"/>
      <c r="CH395" s="633"/>
      <c r="CI395" s="633"/>
      <c r="CJ395" s="227"/>
      <c r="CK395"/>
      <c r="CL395"/>
      <c r="CM395"/>
      <c r="CN395"/>
      <c r="CO395"/>
      <c r="CP395"/>
      <c r="CQ395"/>
      <c r="CR395" s="227"/>
      <c r="CS395"/>
      <c r="CT395"/>
      <c r="CU395"/>
      <c r="CV395"/>
      <c r="CW395"/>
      <c r="CX395"/>
      <c r="CY395"/>
      <c r="CZ395" s="227"/>
      <c r="DA395"/>
      <c r="DB395"/>
      <c r="DC395"/>
      <c r="DD395"/>
      <c r="DE395"/>
      <c r="DF395"/>
      <c r="DG395"/>
      <c r="DH395" s="227"/>
      <c r="DI395" s="3">
        <v>1</v>
      </c>
    </row>
    <row r="396" spans="2:113" s="627" customFormat="1" ht="21" customHeight="1">
      <c r="B396" s="2265" t="str" cm="1">
        <f t="array" ref="B396">SUMPRODUCT(--(D396:J396&lt;&gt;""), LEN(TRIM(SUBSTITUTE(D396:J396, CHAR(160), "")))) &amp; " Car."</f>
        <v>0 Car.</v>
      </c>
      <c r="C396" s="1376" t="str">
        <f>IF(ISBLANK(D396),"",LARGE(C13:C395,1)+1)</f>
        <v/>
      </c>
      <c r="D396" s="1833"/>
      <c r="E396" s="1810"/>
      <c r="F396" s="1810"/>
      <c r="G396" s="1810"/>
      <c r="H396" s="1810"/>
      <c r="I396" s="1810"/>
      <c r="J396" s="1810"/>
      <c r="K396" s="1810"/>
      <c r="L396" s="1811"/>
      <c r="M396"/>
      <c r="N396" s="103" t="str">
        <f t="shared" si="137"/>
        <v>►</v>
      </c>
      <c r="O396" s="1616"/>
      <c r="P396"/>
      <c r="Q396" s="25" t="s">
        <v>15</v>
      </c>
      <c r="R396" s="31"/>
      <c r="S396" s="32"/>
      <c r="T396" s="31"/>
      <c r="U396" s="33"/>
      <c r="V396" s="1967"/>
      <c r="W396" s="1805"/>
      <c r="X396" s="91"/>
      <c r="Y396" s="1806"/>
      <c r="Z396" s="1968"/>
      <c r="AA396" s="2244"/>
      <c r="AB396" s="1969"/>
      <c r="AC396" s="1365"/>
      <c r="AD396" s="95"/>
      <c r="AE396" s="1326"/>
      <c r="AF396" s="97"/>
      <c r="AG396" s="1737"/>
      <c r="AH396" s="1970"/>
      <c r="AI396" s="99"/>
      <c r="AJ396" s="1809"/>
      <c r="AK396" s="6120" t="str">
        <f t="shared" si="138"/>
        <v>►</v>
      </c>
      <c r="AL396" s="781" t="str">
        <f t="shared" si="140"/>
        <v>►</v>
      </c>
      <c r="AM396" s="5498" t="str">
        <f t="shared" si="143"/>
        <v/>
      </c>
      <c r="AN396" s="783" t="str">
        <f t="shared" si="144"/>
        <v/>
      </c>
      <c r="AO396" s="782" t="str">
        <f t="shared" si="145"/>
        <v/>
      </c>
      <c r="AP396" s="783" t="str">
        <f t="shared" si="146"/>
        <v/>
      </c>
      <c r="AQ396" s="2083" t="b">
        <f>AND(Q396="A",COUNTIF(BP16:BR63,TRIM(Z396))&gt;0)</f>
        <v>0</v>
      </c>
      <c r="AR396" s="797" t="str">
        <f>IF(AL396&lt;&gt;"A","",IFERROR(IFERROR(_xlfn.XLOOKUP(TRIM(SUBSTITUTE(Z396,CHAR(160)," ")),BP16:BP63,BS16:BS63),IFERROR(_xlfn.XLOOKUP(TRIM(SUBSTITUTE(Z396,CHAR(160)," ")),BQ16:BQ63,BS16:BS63),_xlfn.XLOOKUP(TRIM(SUBSTITUTE(Z396,CHAR(160)," ")),BR16:BR63,BS16:BS63)))*Y396*IF(ISBLANK(V396),1,V396),0))</f>
        <v/>
      </c>
      <c r="AS396" s="784" t="str">
        <f t="shared" si="157"/>
        <v/>
      </c>
      <c r="AT396" s="1315" t="str">
        <f t="shared" si="147"/>
        <v/>
      </c>
      <c r="AU396" s="785">
        <f t="shared" si="148"/>
        <v>0</v>
      </c>
      <c r="AV396" s="785">
        <f t="shared" si="149"/>
        <v>0</v>
      </c>
      <c r="AW396" s="798">
        <f>IF(AK396="A",AY10,0)</f>
        <v>0</v>
      </c>
      <c r="AX396" s="5496" t="str">
        <f>IF(IFERROR(SEARCH("Adresse PC",TRIM(W396)),0)&gt;0,"▼ receta siguiente",IF(AK396="A",IF(AZ10&lt;&gt;"",AZ10&amp;" - ou.or.o ❾ + or - &gt;",""),""))</f>
        <v/>
      </c>
      <c r="AY396" s="810"/>
      <c r="AZ396" s="810"/>
      <c r="BA396" s="799" t="str">
        <f t="shared" si="139"/>
        <v/>
      </c>
      <c r="BB396" s="800" t="str">
        <f>IF(AK396="A",IF(AQ396,IF(AND(AW396&lt;&gt;"",N(AW396)&gt;0),IFERROR(IFERROR(_xlfn.XLOOKUP(AP396,BP10:BP57,BT10:BT57),IFERROR(_xlfn.XLOOKUP(AP396,BQ10:BQ57,BT10:BT57),_xlfn.XLOOKUP(AP396,BR10:BR57,BT10:BT57,""))),""),""),""),"")</f>
        <v/>
      </c>
      <c r="BC396" s="813" cm="1">
        <f t="array" ref="BC396">IF(NOT(AQ396),0,IF(OR(BA396="",N(BA396)&lt;=0.000000001),"",IF(OR(AU396="",N(AU396)&lt;=0.000000001),0,IF(ISNUMBER(BA396),IFERROR(_xlfn.LET(_xlpm.ai_test,TRIM(AP396),_xlpm.r,IFERROR(_xlfn.XLOOKUP(_xlpm.ai_test,BP16:BP63,ROW(BP16:BP63),0,1),IFERROR(_xlfn.XLOOKUP(_xlpm.ai_test,BQ16:BQ63,ROW(BQ16:BQ63),0,1),_xlfn.XLOOKUP(_xlpm.ai_test,BR16:BR63,ROW(BR16:BR63),0,1))),_xlpm.p,_xlpm.r-MIN(ROW(BP16:BP63))+1,_xlpm.f,INDEX(BS16:BS63,_xlpm.p),_xlpm.u,INDEX(BT16:BT63,_xlpm.p),_xlpm.s,INDEX(BV16:BV63,_xlpm.p),_xlpm.q,N(BA396)/_xlpm.f,IF(_xlpm.q&gt;=_xlpm.s,ROUND(_xlpm.q,1)&amp;" "&amp;_xlpm.ai_test&amp;" = "&amp;ROUND(_xlpm.q*_xlpm.f,1)&amp;" "&amp;_xlpm.u,ROUND(_xlpm.q,1)&amp;" "&amp;_xlpm.ai_test)),""),""))))</f>
        <v>0</v>
      </c>
      <c r="BD396" s="801"/>
      <c r="BE396" s="799" t="str">
        <f t="shared" si="150"/>
        <v/>
      </c>
      <c r="BF396" s="800" t="str">
        <f t="shared" si="151"/>
        <v/>
      </c>
      <c r="BG396" s="802">
        <f t="shared" si="154"/>
        <v>0</v>
      </c>
      <c r="BH396" s="803" t="str">
        <f t="shared" si="155"/>
        <v/>
      </c>
      <c r="BI396" s="792"/>
      <c r="BJ396" s="804">
        <f t="shared" si="153"/>
        <v>0</v>
      </c>
      <c r="BK396" s="794" t="str">
        <f t="shared" si="152"/>
        <v/>
      </c>
      <c r="BL396" s="227" t="s">
        <v>21</v>
      </c>
      <c r="BM396" s="773">
        <f t="shared" si="141"/>
        <v>0</v>
      </c>
      <c r="BN396" s="774">
        <f t="shared" si="142"/>
        <v>0</v>
      </c>
      <c r="BO396"/>
      <c r="BX396"/>
      <c r="BY396"/>
      <c r="BZ396"/>
      <c r="CA396"/>
      <c r="CB396"/>
      <c r="CC396"/>
      <c r="CD396" s="781" t="str">
        <f t="shared" si="156"/>
        <v>►</v>
      </c>
      <c r="CE396" s="633"/>
      <c r="CF396" s="633"/>
      <c r="CG396" s="633"/>
      <c r="CH396" s="633"/>
      <c r="CI396" s="633"/>
      <c r="CJ396" s="227"/>
      <c r="CK396"/>
      <c r="CL396"/>
      <c r="CM396"/>
      <c r="CN396"/>
      <c r="CO396"/>
      <c r="CP396"/>
      <c r="CQ396"/>
      <c r="CR396" s="227"/>
      <c r="CS396"/>
      <c r="CT396"/>
      <c r="CU396"/>
      <c r="CV396"/>
      <c r="CW396"/>
      <c r="CX396"/>
      <c r="CY396"/>
      <c r="CZ396" s="227"/>
      <c r="DA396"/>
      <c r="DB396"/>
      <c r="DC396"/>
      <c r="DD396"/>
      <c r="DE396"/>
      <c r="DF396"/>
      <c r="DG396"/>
      <c r="DH396" s="227"/>
      <c r="DI396" s="3">
        <v>1</v>
      </c>
    </row>
    <row r="397" spans="2:113" s="627" customFormat="1" ht="21" customHeight="1">
      <c r="B397" s="2265" t="str" cm="1">
        <f t="array" ref="B397">SUMPRODUCT(--(D397:J397&lt;&gt;""), LEN(TRIM(SUBSTITUTE(D397:J397, CHAR(160), "")))) &amp; " Car."</f>
        <v>0 Car.</v>
      </c>
      <c r="C397" s="1376" t="str">
        <f>IF(ISBLANK(D397),"",LARGE(C13:C396,1)+1)</f>
        <v/>
      </c>
      <c r="D397" s="1833"/>
      <c r="E397" s="1810"/>
      <c r="F397" s="1810"/>
      <c r="G397" s="1810"/>
      <c r="H397" s="1810"/>
      <c r="I397" s="1810"/>
      <c r="J397" s="1810"/>
      <c r="K397" s="1810"/>
      <c r="L397" s="1811"/>
      <c r="M397"/>
      <c r="N397" s="103" t="str">
        <f t="shared" si="137"/>
        <v>►</v>
      </c>
      <c r="O397" s="1616"/>
      <c r="P397"/>
      <c r="Q397" s="25" t="s">
        <v>15</v>
      </c>
      <c r="R397" s="31"/>
      <c r="S397" s="32"/>
      <c r="T397" s="31"/>
      <c r="U397" s="33"/>
      <c r="V397" s="1967"/>
      <c r="W397" s="1805"/>
      <c r="X397" s="91"/>
      <c r="Y397" s="1806"/>
      <c r="Z397" s="1968"/>
      <c r="AA397" s="2244"/>
      <c r="AB397" s="1969"/>
      <c r="AC397" s="1365"/>
      <c r="AD397" s="95"/>
      <c r="AE397" s="1326"/>
      <c r="AF397" s="97"/>
      <c r="AG397" s="1737"/>
      <c r="AH397" s="1970"/>
      <c r="AI397" s="99"/>
      <c r="AJ397" s="1809"/>
      <c r="AK397" s="6120" t="str">
        <f t="shared" si="138"/>
        <v>►</v>
      </c>
      <c r="AL397" s="781" t="str">
        <f t="shared" si="140"/>
        <v>►</v>
      </c>
      <c r="AM397" s="5499" t="str">
        <f t="shared" si="143"/>
        <v/>
      </c>
      <c r="AN397" s="783" t="str">
        <f t="shared" si="144"/>
        <v/>
      </c>
      <c r="AO397" s="782" t="str">
        <f t="shared" si="145"/>
        <v/>
      </c>
      <c r="AP397" s="783" t="str">
        <f t="shared" si="146"/>
        <v/>
      </c>
      <c r="AQ397" s="2083" t="b">
        <f>AND(Q397="A",COUNTIF(BP16:BR63,TRIM(Z397))&gt;0)</f>
        <v>0</v>
      </c>
      <c r="AR397" s="797" t="str">
        <f>IF(AL397&lt;&gt;"A","",IFERROR(IFERROR(_xlfn.XLOOKUP(TRIM(SUBSTITUTE(Z397,CHAR(160)," ")),BP16:BP63,BS16:BS63),IFERROR(_xlfn.XLOOKUP(TRIM(SUBSTITUTE(Z397,CHAR(160)," ")),BQ16:BQ63,BS16:BS63),_xlfn.XLOOKUP(TRIM(SUBSTITUTE(Z397,CHAR(160)," ")),BR16:BR63,BS16:BS63)))*Y397*IF(ISBLANK(V397),1,V397),0))</f>
        <v/>
      </c>
      <c r="AS397" s="784" t="str">
        <f t="shared" si="157"/>
        <v/>
      </c>
      <c r="AT397" s="1315" t="str">
        <f t="shared" si="147"/>
        <v/>
      </c>
      <c r="AU397" s="785">
        <f t="shared" si="148"/>
        <v>0</v>
      </c>
      <c r="AV397" s="785">
        <f t="shared" si="149"/>
        <v>0</v>
      </c>
      <c r="AW397" s="786">
        <f>IF(AK397="A",AY10,0)</f>
        <v>0</v>
      </c>
      <c r="AX397" s="5495" t="str">
        <f>IF(IFERROR(SEARCH("Adresse PC",TRIM(W397)),0)&gt;0,"▼ receta siguiente",IF(AK397="A",IF(AZ10&lt;&gt;"",AZ10&amp;" - ou.or.o ❾ + or - &gt;",""),""))</f>
        <v/>
      </c>
      <c r="AY397" s="810"/>
      <c r="AZ397" s="810"/>
      <c r="BA397" s="788" t="str">
        <f t="shared" si="139"/>
        <v/>
      </c>
      <c r="BB397" s="789" t="str">
        <f>IF(AK397="A",IF(AQ397,IF(AND(AW397&lt;&gt;"",N(AW397)&gt;0),IFERROR(IFERROR(_xlfn.XLOOKUP(AP397,BP10:BP57,BT10:BT57),IFERROR(_xlfn.XLOOKUP(AP397,BQ10:BQ57,BT10:BT57),_xlfn.XLOOKUP(AP397,BR10:BR57,BT10:BT57,""))),""),""),""),"")</f>
        <v/>
      </c>
      <c r="BC397" s="811" cm="1">
        <f t="array" ref="BC397">IF(NOT(AQ397),0,IF(OR(BA397="",N(BA397)&lt;=0.000000001),"",IF(OR(AU397="",N(AU397)&lt;=0.000000001),0,IF(ISNUMBER(BA397),IFERROR(_xlfn.LET(_xlpm.ai_test,TRIM(AP397),_xlpm.r,IFERROR(_xlfn.XLOOKUP(_xlpm.ai_test,BP16:BP63,ROW(BP16:BP63),0,1),IFERROR(_xlfn.XLOOKUP(_xlpm.ai_test,BQ16:BQ63,ROW(BQ16:BQ63),0,1),_xlfn.XLOOKUP(_xlpm.ai_test,BR16:BR63,ROW(BR16:BR63),0,1))),_xlpm.p,_xlpm.r-MIN(ROW(BP16:BP63))+1,_xlpm.f,INDEX(BS16:BS63,_xlpm.p),_xlpm.u,INDEX(BT16:BT63,_xlpm.p),_xlpm.s,INDEX(BV16:BV63,_xlpm.p),_xlpm.q,N(BA397)/_xlpm.f,IF(_xlpm.q&gt;=_xlpm.s,ROUND(_xlpm.q,1)&amp;" "&amp;_xlpm.ai_test&amp;" = "&amp;ROUND(_xlpm.q*_xlpm.f,1)&amp;" "&amp;_xlpm.u,ROUND(_xlpm.q,1)&amp;" "&amp;_xlpm.ai_test)),""),""))))</f>
        <v>0</v>
      </c>
      <c r="BD397" s="801"/>
      <c r="BE397" s="788" t="str">
        <f t="shared" si="150"/>
        <v/>
      </c>
      <c r="BF397" s="789" t="str">
        <f t="shared" si="151"/>
        <v/>
      </c>
      <c r="BG397" s="790">
        <f t="shared" si="154"/>
        <v>0</v>
      </c>
      <c r="BH397" s="791" t="str">
        <f t="shared" si="155"/>
        <v/>
      </c>
      <c r="BI397" s="792"/>
      <c r="BJ397" s="793">
        <f t="shared" si="153"/>
        <v>0</v>
      </c>
      <c r="BK397" s="794" t="str">
        <f t="shared" si="152"/>
        <v/>
      </c>
      <c r="BL397" s="227" t="s">
        <v>21</v>
      </c>
      <c r="BM397" s="773">
        <f t="shared" si="141"/>
        <v>0</v>
      </c>
      <c r="BN397" s="774">
        <f t="shared" si="142"/>
        <v>0</v>
      </c>
      <c r="BO397"/>
      <c r="BX397"/>
      <c r="BY397"/>
      <c r="BZ397"/>
      <c r="CA397"/>
      <c r="CB397"/>
      <c r="CC397"/>
      <c r="CD397" s="781" t="str">
        <f t="shared" si="156"/>
        <v>►</v>
      </c>
      <c r="CE397" s="633"/>
      <c r="CF397" s="633"/>
      <c r="CG397" s="633"/>
      <c r="CH397" s="633"/>
      <c r="CI397" s="633"/>
      <c r="CJ397" s="227"/>
      <c r="CK397"/>
      <c r="CL397"/>
      <c r="CM397"/>
      <c r="CN397"/>
      <c r="CO397"/>
      <c r="CP397"/>
      <c r="CQ397"/>
      <c r="CR397" s="227"/>
      <c r="CS397"/>
      <c r="CT397"/>
      <c r="CU397"/>
      <c r="CV397"/>
      <c r="CW397"/>
      <c r="CX397"/>
      <c r="CY397"/>
      <c r="CZ397" s="227"/>
      <c r="DA397"/>
      <c r="DB397"/>
      <c r="DC397"/>
      <c r="DD397"/>
      <c r="DE397"/>
      <c r="DF397"/>
      <c r="DG397"/>
      <c r="DH397" s="227"/>
      <c r="DI397" s="3">
        <v>1</v>
      </c>
    </row>
    <row r="398" spans="2:113" s="627" customFormat="1" ht="21" customHeight="1">
      <c r="B398" s="2265" t="str" cm="1">
        <f t="array" ref="B398">SUMPRODUCT(--(D398:J398&lt;&gt;""), LEN(TRIM(SUBSTITUTE(D398:J398, CHAR(160), "")))) &amp; " Car."</f>
        <v>0 Car.</v>
      </c>
      <c r="C398" s="1376" t="str">
        <f>IF(ISBLANK(D398),"",LARGE(C13:C397,1)+1)</f>
        <v/>
      </c>
      <c r="D398" s="1833"/>
      <c r="E398" s="1810"/>
      <c r="F398" s="1810"/>
      <c r="G398" s="1810"/>
      <c r="H398" s="1810"/>
      <c r="I398" s="1810"/>
      <c r="J398" s="1810"/>
      <c r="K398" s="1810"/>
      <c r="L398" s="1811"/>
      <c r="M398"/>
      <c r="N398" s="103" t="str">
        <f t="shared" ref="N398:N461" si="158">Q398</f>
        <v>►</v>
      </c>
      <c r="O398" s="1616"/>
      <c r="P398"/>
      <c r="Q398" s="25" t="s">
        <v>15</v>
      </c>
      <c r="R398" s="31"/>
      <c r="S398" s="32"/>
      <c r="T398" s="31"/>
      <c r="U398" s="33"/>
      <c r="V398" s="1967"/>
      <c r="W398" s="1805"/>
      <c r="X398" s="91"/>
      <c r="Y398" s="1806"/>
      <c r="Z398" s="1968"/>
      <c r="AA398" s="2244"/>
      <c r="AB398" s="1969"/>
      <c r="AC398" s="1365"/>
      <c r="AD398" s="95"/>
      <c r="AE398" s="1326"/>
      <c r="AF398" s="97"/>
      <c r="AG398" s="1737"/>
      <c r="AH398" s="1970"/>
      <c r="AI398" s="99"/>
      <c r="AJ398" s="1809"/>
      <c r="AK398" s="6120" t="str">
        <f t="shared" si="138"/>
        <v>►</v>
      </c>
      <c r="AL398" s="781" t="str">
        <f t="shared" si="140"/>
        <v>►</v>
      </c>
      <c r="AM398" s="5498" t="str">
        <f t="shared" si="143"/>
        <v/>
      </c>
      <c r="AN398" s="783" t="str">
        <f t="shared" si="144"/>
        <v/>
      </c>
      <c r="AO398" s="782" t="str">
        <f t="shared" si="145"/>
        <v/>
      </c>
      <c r="AP398" s="783" t="str">
        <f t="shared" si="146"/>
        <v/>
      </c>
      <c r="AQ398" s="2083" t="b">
        <f>AND(Q398="A",COUNTIF(BP16:BR63,TRIM(Z398))&gt;0)</f>
        <v>0</v>
      </c>
      <c r="AR398" s="797" t="str">
        <f>IF(AL398&lt;&gt;"A","",IFERROR(IFERROR(_xlfn.XLOOKUP(TRIM(SUBSTITUTE(Z398,CHAR(160)," ")),BP16:BP63,BS16:BS63),IFERROR(_xlfn.XLOOKUP(TRIM(SUBSTITUTE(Z398,CHAR(160)," ")),BQ16:BQ63,BS16:BS63),_xlfn.XLOOKUP(TRIM(SUBSTITUTE(Z398,CHAR(160)," ")),BR16:BR63,BS16:BS63)))*Y398*IF(ISBLANK(V398),1,V398),0))</f>
        <v/>
      </c>
      <c r="AS398" s="784" t="str">
        <f t="shared" si="157"/>
        <v/>
      </c>
      <c r="AT398" s="1315" t="str">
        <f t="shared" si="147"/>
        <v/>
      </c>
      <c r="AU398" s="785">
        <f t="shared" si="148"/>
        <v>0</v>
      </c>
      <c r="AV398" s="785">
        <f t="shared" si="149"/>
        <v>0</v>
      </c>
      <c r="AW398" s="798">
        <f>IF(AK398="A",AY10,0)</f>
        <v>0</v>
      </c>
      <c r="AX398" s="5496" t="str">
        <f>IF(IFERROR(SEARCH("Adresse PC",TRIM(W398)),0)&gt;0,"▼ receta siguiente",IF(AK398="A",IF(AZ10&lt;&gt;"",AZ10&amp;" - ou.or.o ❾ + or - &gt;",""),""))</f>
        <v/>
      </c>
      <c r="AY398" s="810"/>
      <c r="AZ398" s="810"/>
      <c r="BA398" s="799" t="str">
        <f t="shared" si="139"/>
        <v/>
      </c>
      <c r="BB398" s="800" t="str">
        <f>IF(AK398="A",IF(AQ398,IF(AND(AW398&lt;&gt;"",N(AW398)&gt;0),IFERROR(IFERROR(_xlfn.XLOOKUP(AP398,BP10:BP57,BT10:BT57),IFERROR(_xlfn.XLOOKUP(AP398,BQ10:BQ57,BT10:BT57),_xlfn.XLOOKUP(AP398,BR10:BR57,BT10:BT57,""))),""),""),""),"")</f>
        <v/>
      </c>
      <c r="BC398" s="813" cm="1">
        <f t="array" ref="BC398">IF(NOT(AQ398),0,IF(OR(BA398="",N(BA398)&lt;=0.000000001),"",IF(OR(AU398="",N(AU398)&lt;=0.000000001),0,IF(ISNUMBER(BA398),IFERROR(_xlfn.LET(_xlpm.ai_test,TRIM(AP398),_xlpm.r,IFERROR(_xlfn.XLOOKUP(_xlpm.ai_test,BP16:BP63,ROW(BP16:BP63),0,1),IFERROR(_xlfn.XLOOKUP(_xlpm.ai_test,BQ16:BQ63,ROW(BQ16:BQ63),0,1),_xlfn.XLOOKUP(_xlpm.ai_test,BR16:BR63,ROW(BR16:BR63),0,1))),_xlpm.p,_xlpm.r-MIN(ROW(BP16:BP63))+1,_xlpm.f,INDEX(BS16:BS63,_xlpm.p),_xlpm.u,INDEX(BT16:BT63,_xlpm.p),_xlpm.s,INDEX(BV16:BV63,_xlpm.p),_xlpm.q,N(BA398)/_xlpm.f,IF(_xlpm.q&gt;=_xlpm.s,ROUND(_xlpm.q,1)&amp;" "&amp;_xlpm.ai_test&amp;" = "&amp;ROUND(_xlpm.q*_xlpm.f,1)&amp;" "&amp;_xlpm.u,ROUND(_xlpm.q,1)&amp;" "&amp;_xlpm.ai_test)),""),""))))</f>
        <v>0</v>
      </c>
      <c r="BD398" s="801"/>
      <c r="BE398" s="799" t="str">
        <f t="shared" si="150"/>
        <v/>
      </c>
      <c r="BF398" s="800" t="str">
        <f t="shared" si="151"/>
        <v/>
      </c>
      <c r="BG398" s="802">
        <f t="shared" si="154"/>
        <v>0</v>
      </c>
      <c r="BH398" s="803" t="str">
        <f t="shared" si="155"/>
        <v/>
      </c>
      <c r="BI398" s="792"/>
      <c r="BJ398" s="804">
        <f t="shared" si="153"/>
        <v>0</v>
      </c>
      <c r="BK398" s="794" t="str">
        <f t="shared" si="152"/>
        <v/>
      </c>
      <c r="BL398" s="227" t="s">
        <v>21</v>
      </c>
      <c r="BM398" s="773">
        <f t="shared" si="141"/>
        <v>0</v>
      </c>
      <c r="BN398" s="774">
        <f t="shared" si="142"/>
        <v>0</v>
      </c>
      <c r="BO398"/>
      <c r="BX398"/>
      <c r="BY398"/>
      <c r="BZ398"/>
      <c r="CA398"/>
      <c r="CB398"/>
      <c r="CC398"/>
      <c r="CD398" s="781" t="str">
        <f t="shared" si="156"/>
        <v>►</v>
      </c>
      <c r="CE398" s="633"/>
      <c r="CF398" s="633"/>
      <c r="CG398" s="633"/>
      <c r="CH398" s="633"/>
      <c r="CI398" s="633"/>
      <c r="CJ398" s="227"/>
      <c r="CK398"/>
      <c r="CL398"/>
      <c r="CM398"/>
      <c r="CN398"/>
      <c r="CO398"/>
      <c r="CP398"/>
      <c r="CQ398"/>
      <c r="CR398" s="227"/>
      <c r="CS398"/>
      <c r="CT398"/>
      <c r="CU398"/>
      <c r="CV398"/>
      <c r="CW398"/>
      <c r="CX398"/>
      <c r="CY398"/>
      <c r="CZ398" s="227"/>
      <c r="DA398"/>
      <c r="DB398"/>
      <c r="DC398"/>
      <c r="DD398"/>
      <c r="DE398"/>
      <c r="DF398"/>
      <c r="DG398"/>
      <c r="DH398" s="227"/>
      <c r="DI398" s="3">
        <v>1</v>
      </c>
    </row>
    <row r="399" spans="2:113" s="627" customFormat="1" ht="21" customHeight="1">
      <c r="B399" s="2265" t="str" cm="1">
        <f t="array" ref="B399">SUMPRODUCT(--(D399:J399&lt;&gt;""), LEN(TRIM(SUBSTITUTE(D399:J399, CHAR(160), "")))) &amp; " Car."</f>
        <v>0 Car.</v>
      </c>
      <c r="C399" s="1376" t="str">
        <f>IF(ISBLANK(D399),"",LARGE(C13:C398,1)+1)</f>
        <v/>
      </c>
      <c r="D399" s="1833"/>
      <c r="E399" s="1810"/>
      <c r="F399" s="1810"/>
      <c r="G399" s="1810"/>
      <c r="H399" s="1810"/>
      <c r="I399" s="1810"/>
      <c r="J399" s="1810"/>
      <c r="K399" s="1810"/>
      <c r="L399" s="1811"/>
      <c r="M399"/>
      <c r="N399" s="103" t="str">
        <f t="shared" si="158"/>
        <v>►</v>
      </c>
      <c r="O399" s="1616"/>
      <c r="P399"/>
      <c r="Q399" s="25" t="s">
        <v>15</v>
      </c>
      <c r="R399" s="31"/>
      <c r="S399" s="32"/>
      <c r="T399" s="31"/>
      <c r="U399" s="33"/>
      <c r="V399" s="1967"/>
      <c r="W399" s="1805"/>
      <c r="X399" s="91"/>
      <c r="Y399" s="1806"/>
      <c r="Z399" s="1968"/>
      <c r="AA399" s="2244"/>
      <c r="AB399" s="1969"/>
      <c r="AC399" s="1365"/>
      <c r="AD399" s="95"/>
      <c r="AE399" s="1326"/>
      <c r="AF399" s="97"/>
      <c r="AG399" s="1737"/>
      <c r="AH399" s="1970"/>
      <c r="AI399" s="99"/>
      <c r="AJ399" s="1809"/>
      <c r="AK399" s="6120" t="str">
        <f t="shared" si="138"/>
        <v>►</v>
      </c>
      <c r="AL399" s="781" t="str">
        <f t="shared" si="140"/>
        <v>►</v>
      </c>
      <c r="AM399" s="5499" t="str">
        <f t="shared" si="143"/>
        <v/>
      </c>
      <c r="AN399" s="783" t="str">
        <f t="shared" si="144"/>
        <v/>
      </c>
      <c r="AO399" s="782" t="str">
        <f t="shared" si="145"/>
        <v/>
      </c>
      <c r="AP399" s="783" t="str">
        <f t="shared" si="146"/>
        <v/>
      </c>
      <c r="AQ399" s="2083" t="b">
        <f>AND(Q399="A",COUNTIF(BP16:BR63,TRIM(Z399))&gt;0)</f>
        <v>0</v>
      </c>
      <c r="AR399" s="797" t="str">
        <f>IF(AL399&lt;&gt;"A","",IFERROR(IFERROR(_xlfn.XLOOKUP(TRIM(SUBSTITUTE(Z399,CHAR(160)," ")),BP16:BP63,BS16:BS63),IFERROR(_xlfn.XLOOKUP(TRIM(SUBSTITUTE(Z399,CHAR(160)," ")),BQ16:BQ63,BS16:BS63),_xlfn.XLOOKUP(TRIM(SUBSTITUTE(Z399,CHAR(160)," ")),BR16:BR63,BS16:BS63)))*Y399*IF(ISBLANK(V399),1,V399),0))</f>
        <v/>
      </c>
      <c r="AS399" s="784" t="str">
        <f t="shared" si="157"/>
        <v/>
      </c>
      <c r="AT399" s="1315" t="str">
        <f t="shared" si="147"/>
        <v/>
      </c>
      <c r="AU399" s="785">
        <f t="shared" si="148"/>
        <v>0</v>
      </c>
      <c r="AV399" s="785">
        <f t="shared" si="149"/>
        <v>0</v>
      </c>
      <c r="AW399" s="786">
        <f>IF(AK399="A",AY10,0)</f>
        <v>0</v>
      </c>
      <c r="AX399" s="5495" t="str">
        <f>IF(IFERROR(SEARCH("Adresse PC",TRIM(W399)),0)&gt;0,"▼ receta siguiente",IF(AK399="A",IF(AZ10&lt;&gt;"",AZ10&amp;" - ou.or.o ❾ + or - &gt;",""),""))</f>
        <v/>
      </c>
      <c r="AY399" s="810"/>
      <c r="AZ399" s="810"/>
      <c r="BA399" s="788" t="str">
        <f t="shared" si="139"/>
        <v/>
      </c>
      <c r="BB399" s="789" t="str">
        <f>IF(AK399="A",IF(AQ399,IF(AND(AW399&lt;&gt;"",N(AW399)&gt;0),IFERROR(IFERROR(_xlfn.XLOOKUP(AP399,BP10:BP57,BT10:BT57),IFERROR(_xlfn.XLOOKUP(AP399,BQ10:BQ57,BT10:BT57),_xlfn.XLOOKUP(AP399,BR10:BR57,BT10:BT57,""))),""),""),""),"")</f>
        <v/>
      </c>
      <c r="BC399" s="811" cm="1">
        <f t="array" ref="BC399">IF(NOT(AQ399),0,IF(OR(BA399="",N(BA399)&lt;=0.000000001),"",IF(OR(AU399="",N(AU399)&lt;=0.000000001),0,IF(ISNUMBER(BA399),IFERROR(_xlfn.LET(_xlpm.ai_test,TRIM(AP399),_xlpm.r,IFERROR(_xlfn.XLOOKUP(_xlpm.ai_test,BP16:BP63,ROW(BP16:BP63),0,1),IFERROR(_xlfn.XLOOKUP(_xlpm.ai_test,BQ16:BQ63,ROW(BQ16:BQ63),0,1),_xlfn.XLOOKUP(_xlpm.ai_test,BR16:BR63,ROW(BR16:BR63),0,1))),_xlpm.p,_xlpm.r-MIN(ROW(BP16:BP63))+1,_xlpm.f,INDEX(BS16:BS63,_xlpm.p),_xlpm.u,INDEX(BT16:BT63,_xlpm.p),_xlpm.s,INDEX(BV16:BV63,_xlpm.p),_xlpm.q,N(BA399)/_xlpm.f,IF(_xlpm.q&gt;=_xlpm.s,ROUND(_xlpm.q,1)&amp;" "&amp;_xlpm.ai_test&amp;" = "&amp;ROUND(_xlpm.q*_xlpm.f,1)&amp;" "&amp;_xlpm.u,ROUND(_xlpm.q,1)&amp;" "&amp;_xlpm.ai_test)),""),""))))</f>
        <v>0</v>
      </c>
      <c r="BD399" s="801"/>
      <c r="BE399" s="788" t="str">
        <f t="shared" si="150"/>
        <v/>
      </c>
      <c r="BF399" s="789" t="str">
        <f t="shared" si="151"/>
        <v/>
      </c>
      <c r="BG399" s="790">
        <f t="shared" si="154"/>
        <v>0</v>
      </c>
      <c r="BH399" s="791" t="str">
        <f t="shared" si="155"/>
        <v/>
      </c>
      <c r="BI399" s="792"/>
      <c r="BJ399" s="793">
        <f t="shared" si="153"/>
        <v>0</v>
      </c>
      <c r="BK399" s="794" t="str">
        <f t="shared" si="152"/>
        <v/>
      </c>
      <c r="BL399" s="227" t="s">
        <v>21</v>
      </c>
      <c r="BM399" s="773">
        <f t="shared" si="141"/>
        <v>0</v>
      </c>
      <c r="BN399" s="774">
        <f t="shared" si="142"/>
        <v>0</v>
      </c>
      <c r="BO399"/>
      <c r="BX399"/>
      <c r="BY399"/>
      <c r="BZ399"/>
      <c r="CA399"/>
      <c r="CB399"/>
      <c r="CC399"/>
      <c r="CD399" s="781" t="str">
        <f t="shared" si="156"/>
        <v>►</v>
      </c>
      <c r="CE399" s="633"/>
      <c r="CF399" s="633"/>
      <c r="CG399" s="633"/>
      <c r="CH399" s="633"/>
      <c r="CI399" s="633"/>
      <c r="CJ399" s="227"/>
      <c r="CK399"/>
      <c r="CL399"/>
      <c r="CM399"/>
      <c r="CN399"/>
      <c r="CO399"/>
      <c r="CP399"/>
      <c r="CQ399"/>
      <c r="CR399" s="227"/>
      <c r="CS399"/>
      <c r="CT399"/>
      <c r="CU399"/>
      <c r="CV399"/>
      <c r="CW399"/>
      <c r="CX399"/>
      <c r="CY399"/>
      <c r="CZ399" s="227"/>
      <c r="DA399"/>
      <c r="DB399"/>
      <c r="DC399"/>
      <c r="DD399"/>
      <c r="DE399"/>
      <c r="DF399"/>
      <c r="DG399"/>
      <c r="DH399" s="227"/>
      <c r="DI399" s="3">
        <v>1</v>
      </c>
    </row>
    <row r="400" spans="2:113" s="627" customFormat="1" ht="21" customHeight="1">
      <c r="B400" s="2265" t="str" cm="1">
        <f t="array" ref="B400">SUMPRODUCT(--(D400:J400&lt;&gt;""), LEN(TRIM(SUBSTITUTE(D400:J400, CHAR(160), "")))) &amp; " Car."</f>
        <v>0 Car.</v>
      </c>
      <c r="C400" s="1376" t="str">
        <f>IF(ISBLANK(D400),"",LARGE(C13:C399,1)+1)</f>
        <v/>
      </c>
      <c r="D400" s="1833"/>
      <c r="E400" s="1810"/>
      <c r="F400" s="1810"/>
      <c r="G400" s="1810"/>
      <c r="H400" s="1810"/>
      <c r="I400" s="1810"/>
      <c r="J400" s="1810"/>
      <c r="K400" s="1810"/>
      <c r="L400" s="1811"/>
      <c r="M400"/>
      <c r="N400" s="103" t="str">
        <f t="shared" si="158"/>
        <v>►</v>
      </c>
      <c r="O400" s="1616"/>
      <c r="P400"/>
      <c r="Q400" s="25" t="s">
        <v>15</v>
      </c>
      <c r="R400" s="31"/>
      <c r="S400" s="32"/>
      <c r="T400" s="31"/>
      <c r="U400" s="33"/>
      <c r="V400" s="1967"/>
      <c r="W400" s="1805"/>
      <c r="X400" s="91"/>
      <c r="Y400" s="1806"/>
      <c r="Z400" s="1968"/>
      <c r="AA400" s="2244"/>
      <c r="AB400" s="1969"/>
      <c r="AC400" s="1365"/>
      <c r="AD400" s="95"/>
      <c r="AE400" s="1326"/>
      <c r="AF400" s="97"/>
      <c r="AG400" s="1737"/>
      <c r="AH400" s="1970"/>
      <c r="AI400" s="99"/>
      <c r="AJ400" s="1809"/>
      <c r="AK400" s="6120" t="str">
        <f t="shared" si="138"/>
        <v>►</v>
      </c>
      <c r="AL400" s="781" t="str">
        <f t="shared" si="140"/>
        <v>►</v>
      </c>
      <c r="AM400" s="5498" t="str">
        <f t="shared" si="143"/>
        <v/>
      </c>
      <c r="AN400" s="783" t="str">
        <f t="shared" si="144"/>
        <v/>
      </c>
      <c r="AO400" s="782" t="str">
        <f t="shared" si="145"/>
        <v/>
      </c>
      <c r="AP400" s="783" t="str">
        <f t="shared" si="146"/>
        <v/>
      </c>
      <c r="AQ400" s="2083" t="b">
        <f>AND(Q400="A",COUNTIF(BP16:BR63,TRIM(Z400))&gt;0)</f>
        <v>0</v>
      </c>
      <c r="AR400" s="797" t="str">
        <f>IF(AL400&lt;&gt;"A","",IFERROR(IFERROR(_xlfn.XLOOKUP(TRIM(SUBSTITUTE(Z400,CHAR(160)," ")),BP16:BP63,BS16:BS63),IFERROR(_xlfn.XLOOKUP(TRIM(SUBSTITUTE(Z400,CHAR(160)," ")),BQ16:BQ63,BS16:BS63),_xlfn.XLOOKUP(TRIM(SUBSTITUTE(Z400,CHAR(160)," ")),BR16:BR63,BS16:BS63)))*Y400*IF(ISBLANK(V400),1,V400),0))</f>
        <v/>
      </c>
      <c r="AS400" s="784" t="str">
        <f t="shared" si="157"/>
        <v/>
      </c>
      <c r="AT400" s="1315" t="str">
        <f t="shared" si="147"/>
        <v/>
      </c>
      <c r="AU400" s="785">
        <f t="shared" si="148"/>
        <v>0</v>
      </c>
      <c r="AV400" s="785">
        <f t="shared" si="149"/>
        <v>0</v>
      </c>
      <c r="AW400" s="798">
        <f>IF(AK400="A",AY10,0)</f>
        <v>0</v>
      </c>
      <c r="AX400" s="5496" t="str">
        <f>IF(IFERROR(SEARCH("Adresse PC",TRIM(W400)),0)&gt;0,"▼ receta siguiente",IF(AK400="A",IF(AZ10&lt;&gt;"",AZ10&amp;" - ou.or.o ❾ + or - &gt;",""),""))</f>
        <v/>
      </c>
      <c r="AY400" s="810"/>
      <c r="AZ400" s="810"/>
      <c r="BA400" s="799" t="str">
        <f t="shared" si="139"/>
        <v/>
      </c>
      <c r="BB400" s="800" t="str">
        <f>IF(AK400="A",IF(AQ400,IF(AND(AW400&lt;&gt;"",N(AW400)&gt;0),IFERROR(IFERROR(_xlfn.XLOOKUP(AP400,BP10:BP57,BT10:BT57),IFERROR(_xlfn.XLOOKUP(AP400,BQ10:BQ57,BT10:BT57),_xlfn.XLOOKUP(AP400,BR10:BR57,BT10:BT57,""))),""),""),""),"")</f>
        <v/>
      </c>
      <c r="BC400" s="813" cm="1">
        <f t="array" ref="BC400">IF(NOT(AQ400),0,IF(OR(BA400="",N(BA400)&lt;=0.000000001),"",IF(OR(AU400="",N(AU400)&lt;=0.000000001),0,IF(ISNUMBER(BA400),IFERROR(_xlfn.LET(_xlpm.ai_test,TRIM(AP400),_xlpm.r,IFERROR(_xlfn.XLOOKUP(_xlpm.ai_test,BP16:BP63,ROW(BP16:BP63),0,1),IFERROR(_xlfn.XLOOKUP(_xlpm.ai_test,BQ16:BQ63,ROW(BQ16:BQ63),0,1),_xlfn.XLOOKUP(_xlpm.ai_test,BR16:BR63,ROW(BR16:BR63),0,1))),_xlpm.p,_xlpm.r-MIN(ROW(BP16:BP63))+1,_xlpm.f,INDEX(BS16:BS63,_xlpm.p),_xlpm.u,INDEX(BT16:BT63,_xlpm.p),_xlpm.s,INDEX(BV16:BV63,_xlpm.p),_xlpm.q,N(BA400)/_xlpm.f,IF(_xlpm.q&gt;=_xlpm.s,ROUND(_xlpm.q,1)&amp;" "&amp;_xlpm.ai_test&amp;" = "&amp;ROUND(_xlpm.q*_xlpm.f,1)&amp;" "&amp;_xlpm.u,ROUND(_xlpm.q,1)&amp;" "&amp;_xlpm.ai_test)),""),""))))</f>
        <v>0</v>
      </c>
      <c r="BD400" s="801"/>
      <c r="BE400" s="799" t="str">
        <f t="shared" si="150"/>
        <v/>
      </c>
      <c r="BF400" s="800" t="str">
        <f t="shared" si="151"/>
        <v/>
      </c>
      <c r="BG400" s="802">
        <f t="shared" si="154"/>
        <v>0</v>
      </c>
      <c r="BH400" s="803" t="str">
        <f t="shared" si="155"/>
        <v/>
      </c>
      <c r="BI400" s="792"/>
      <c r="BJ400" s="804">
        <f t="shared" si="153"/>
        <v>0</v>
      </c>
      <c r="BK400" s="794" t="str">
        <f t="shared" si="152"/>
        <v/>
      </c>
      <c r="BL400" s="227" t="s">
        <v>21</v>
      </c>
      <c r="BM400" s="773">
        <f t="shared" si="141"/>
        <v>0</v>
      </c>
      <c r="BN400" s="774">
        <f t="shared" si="142"/>
        <v>0</v>
      </c>
      <c r="BO400"/>
      <c r="BX400"/>
      <c r="BY400"/>
      <c r="BZ400"/>
      <c r="CA400"/>
      <c r="CB400"/>
      <c r="CC400"/>
      <c r="CD400" s="781" t="str">
        <f t="shared" si="156"/>
        <v>►</v>
      </c>
      <c r="CE400" s="633"/>
      <c r="CF400" s="633"/>
      <c r="CG400" s="633"/>
      <c r="CH400" s="633"/>
      <c r="CI400" s="633"/>
      <c r="CJ400" s="227"/>
      <c r="CK400"/>
      <c r="CL400"/>
      <c r="CM400"/>
      <c r="CN400"/>
      <c r="CO400"/>
      <c r="CP400"/>
      <c r="CQ400"/>
      <c r="CR400" s="227"/>
      <c r="CS400"/>
      <c r="CT400"/>
      <c r="CU400"/>
      <c r="CV400"/>
      <c r="CW400"/>
      <c r="CX400"/>
      <c r="CY400"/>
      <c r="CZ400" s="227"/>
      <c r="DA400"/>
      <c r="DB400"/>
      <c r="DC400"/>
      <c r="DD400"/>
      <c r="DE400"/>
      <c r="DF400"/>
      <c r="DG400"/>
      <c r="DH400" s="227"/>
      <c r="DI400" s="3">
        <v>1</v>
      </c>
    </row>
    <row r="401" spans="2:113" s="627" customFormat="1" ht="21" customHeight="1">
      <c r="B401" s="2265" t="str" cm="1">
        <f t="array" ref="B401">SUMPRODUCT(--(D401:J401&lt;&gt;""), LEN(TRIM(SUBSTITUTE(D401:J401, CHAR(160), "")))) &amp; " Car."</f>
        <v>0 Car.</v>
      </c>
      <c r="C401" s="1376" t="str">
        <f>IF(ISBLANK(D401),"",LARGE(C13:C400,1)+1)</f>
        <v/>
      </c>
      <c r="D401" s="1833"/>
      <c r="E401" s="1810"/>
      <c r="F401" s="1810"/>
      <c r="G401" s="1810"/>
      <c r="H401" s="1810"/>
      <c r="I401" s="1810"/>
      <c r="J401" s="1810"/>
      <c r="K401" s="1810"/>
      <c r="L401" s="1811"/>
      <c r="M401"/>
      <c r="N401" s="103" t="str">
        <f t="shared" si="158"/>
        <v>►</v>
      </c>
      <c r="O401" s="1616"/>
      <c r="P401"/>
      <c r="Q401" s="25" t="s">
        <v>15</v>
      </c>
      <c r="R401" s="31"/>
      <c r="S401" s="32"/>
      <c r="T401" s="31"/>
      <c r="U401" s="33"/>
      <c r="V401" s="1967"/>
      <c r="W401" s="1805"/>
      <c r="X401" s="91"/>
      <c r="Y401" s="1806"/>
      <c r="Z401" s="1968"/>
      <c r="AA401" s="2244"/>
      <c r="AB401" s="1969"/>
      <c r="AC401" s="1365"/>
      <c r="AD401" s="95"/>
      <c r="AE401" s="1326"/>
      <c r="AF401" s="97"/>
      <c r="AG401" s="1737"/>
      <c r="AH401" s="1970"/>
      <c r="AI401" s="99"/>
      <c r="AJ401" s="1809"/>
      <c r="AK401" s="6120" t="str">
        <f t="shared" ref="AK401:AK464" si="159">IF(AND(IFERROR(SEARCH("►",AB401),0)&gt;0,ISNUMBER(IFERROR(VALUE(TRIM(SUBSTITUTE(AB401,"►",""))),NA())),AC401&lt;&gt;""),"A","►")</f>
        <v>►</v>
      </c>
      <c r="AL401" s="781" t="str">
        <f t="shared" si="140"/>
        <v>►</v>
      </c>
      <c r="AM401" s="5499" t="str">
        <f t="shared" si="143"/>
        <v/>
      </c>
      <c r="AN401" s="783" t="str">
        <f t="shared" si="144"/>
        <v/>
      </c>
      <c r="AO401" s="782" t="str">
        <f t="shared" si="145"/>
        <v/>
      </c>
      <c r="AP401" s="783" t="str">
        <f t="shared" si="146"/>
        <v/>
      </c>
      <c r="AQ401" s="2083" t="b">
        <f>AND(Q401="A",COUNTIF(BP16:BR63,TRIM(Z401))&gt;0)</f>
        <v>0</v>
      </c>
      <c r="AR401" s="797" t="str">
        <f>IF(AL401&lt;&gt;"A","",IFERROR(IFERROR(_xlfn.XLOOKUP(TRIM(SUBSTITUTE(Z401,CHAR(160)," ")),BP16:BP63,BS16:BS63),IFERROR(_xlfn.XLOOKUP(TRIM(SUBSTITUTE(Z401,CHAR(160)," ")),BQ16:BQ63,BS16:BS63),_xlfn.XLOOKUP(TRIM(SUBSTITUTE(Z401,CHAR(160)," ")),BR16:BR63,BS16:BS63)))*Y401*IF(ISBLANK(V401),1,V401),0))</f>
        <v/>
      </c>
      <c r="AS401" s="784" t="str">
        <f t="shared" si="157"/>
        <v/>
      </c>
      <c r="AT401" s="1315" t="str">
        <f t="shared" si="147"/>
        <v/>
      </c>
      <c r="AU401" s="785">
        <f t="shared" si="148"/>
        <v>0</v>
      </c>
      <c r="AV401" s="785">
        <f t="shared" si="149"/>
        <v>0</v>
      </c>
      <c r="AW401" s="786">
        <f>IF(AK401="A",AY10,0)</f>
        <v>0</v>
      </c>
      <c r="AX401" s="5495" t="str">
        <f>IF(IFERROR(SEARCH("Adresse PC",TRIM(W401)),0)&gt;0,"▼ receta siguiente",IF(AK401="A",IF(AZ10&lt;&gt;"",AZ10&amp;" - ou.or.o ❾ + or - &gt;",""),""))</f>
        <v/>
      </c>
      <c r="AY401" s="810"/>
      <c r="AZ401" s="810"/>
      <c r="BA401" s="788" t="str">
        <f t="shared" si="139"/>
        <v/>
      </c>
      <c r="BB401" s="789" t="str">
        <f>IF(AK401="A",IF(AQ401,IF(AND(AW401&lt;&gt;"",N(AW401)&gt;0),IFERROR(IFERROR(_xlfn.XLOOKUP(AP401,BP10:BP57,BT10:BT57),IFERROR(_xlfn.XLOOKUP(AP401,BQ10:BQ57,BT10:BT57),_xlfn.XLOOKUP(AP401,BR10:BR57,BT10:BT57,""))),""),""),""),"")</f>
        <v/>
      </c>
      <c r="BC401" s="811" cm="1">
        <f t="array" ref="BC401">IF(NOT(AQ401),0,IF(OR(BA401="",N(BA401)&lt;=0.000000001),"",IF(OR(AU401="",N(AU401)&lt;=0.000000001),0,IF(ISNUMBER(BA401),IFERROR(_xlfn.LET(_xlpm.ai_test,TRIM(AP401),_xlpm.r,IFERROR(_xlfn.XLOOKUP(_xlpm.ai_test,BP16:BP63,ROW(BP16:BP63),0,1),IFERROR(_xlfn.XLOOKUP(_xlpm.ai_test,BQ16:BQ63,ROW(BQ16:BQ63),0,1),_xlfn.XLOOKUP(_xlpm.ai_test,BR16:BR63,ROW(BR16:BR63),0,1))),_xlpm.p,_xlpm.r-MIN(ROW(BP16:BP63))+1,_xlpm.f,INDEX(BS16:BS63,_xlpm.p),_xlpm.u,INDEX(BT16:BT63,_xlpm.p),_xlpm.s,INDEX(BV16:BV63,_xlpm.p),_xlpm.q,N(BA401)/_xlpm.f,IF(_xlpm.q&gt;=_xlpm.s,ROUND(_xlpm.q,1)&amp;" "&amp;_xlpm.ai_test&amp;" = "&amp;ROUND(_xlpm.q*_xlpm.f,1)&amp;" "&amp;_xlpm.u,ROUND(_xlpm.q,1)&amp;" "&amp;_xlpm.ai_test)),""),""))))</f>
        <v>0</v>
      </c>
      <c r="BD401" s="801"/>
      <c r="BE401" s="788" t="str">
        <f t="shared" si="150"/>
        <v/>
      </c>
      <c r="BF401" s="789" t="str">
        <f t="shared" si="151"/>
        <v/>
      </c>
      <c r="BG401" s="790">
        <f t="shared" si="154"/>
        <v>0</v>
      </c>
      <c r="BH401" s="791" t="str">
        <f t="shared" si="155"/>
        <v/>
      </c>
      <c r="BI401" s="792"/>
      <c r="BJ401" s="793">
        <f t="shared" si="153"/>
        <v>0</v>
      </c>
      <c r="BK401" s="794" t="str">
        <f t="shared" si="152"/>
        <v/>
      </c>
      <c r="BL401" s="227" t="s">
        <v>21</v>
      </c>
      <c r="BM401" s="773">
        <f t="shared" si="141"/>
        <v>0</v>
      </c>
      <c r="BN401" s="774">
        <f t="shared" si="142"/>
        <v>0</v>
      </c>
      <c r="BO401"/>
      <c r="BX401"/>
      <c r="BY401"/>
      <c r="BZ401"/>
      <c r="CA401"/>
      <c r="CB401"/>
      <c r="CC401"/>
      <c r="CD401" s="781" t="str">
        <f t="shared" si="156"/>
        <v>►</v>
      </c>
      <c r="CE401" s="633"/>
      <c r="CF401" s="633"/>
      <c r="CG401" s="633"/>
      <c r="CH401" s="633"/>
      <c r="CI401" s="633"/>
      <c r="CJ401" s="227"/>
      <c r="CK401"/>
      <c r="CL401"/>
      <c r="CM401"/>
      <c r="CN401"/>
      <c r="CO401"/>
      <c r="CP401"/>
      <c r="CQ401"/>
      <c r="CR401" s="227"/>
      <c r="CS401"/>
      <c r="CT401"/>
      <c r="CU401"/>
      <c r="CV401"/>
      <c r="CW401"/>
      <c r="CX401"/>
      <c r="CY401"/>
      <c r="CZ401" s="227"/>
      <c r="DA401"/>
      <c r="DB401"/>
      <c r="DC401"/>
      <c r="DD401"/>
      <c r="DE401"/>
      <c r="DF401"/>
      <c r="DG401"/>
      <c r="DH401" s="227"/>
      <c r="DI401" s="3">
        <v>1</v>
      </c>
    </row>
    <row r="402" spans="2:113" s="627" customFormat="1" ht="21" customHeight="1">
      <c r="B402" s="2265" t="str" cm="1">
        <f t="array" ref="B402">SUMPRODUCT(--(D402:J402&lt;&gt;""), LEN(TRIM(SUBSTITUTE(D402:J402, CHAR(160), "")))) &amp; " Car."</f>
        <v>0 Car.</v>
      </c>
      <c r="C402" s="1376" t="str">
        <f>IF(ISBLANK(D402),"",LARGE(C13:C401,1)+1)</f>
        <v/>
      </c>
      <c r="D402" s="1833"/>
      <c r="E402" s="1810"/>
      <c r="F402" s="1810"/>
      <c r="G402" s="1810"/>
      <c r="H402" s="1810"/>
      <c r="I402" s="1810"/>
      <c r="J402" s="1810"/>
      <c r="K402" s="1810"/>
      <c r="L402" s="1811"/>
      <c r="M402"/>
      <c r="N402" s="103" t="str">
        <f t="shared" si="158"/>
        <v>►</v>
      </c>
      <c r="O402" s="1616"/>
      <c r="P402"/>
      <c r="Q402" s="25" t="s">
        <v>15</v>
      </c>
      <c r="R402" s="31"/>
      <c r="S402" s="32"/>
      <c r="T402" s="31"/>
      <c r="U402" s="33"/>
      <c r="V402" s="1967"/>
      <c r="W402" s="1805"/>
      <c r="X402" s="91"/>
      <c r="Y402" s="1806"/>
      <c r="Z402" s="1968"/>
      <c r="AA402" s="2244"/>
      <c r="AB402" s="1969"/>
      <c r="AC402" s="1365"/>
      <c r="AD402" s="95"/>
      <c r="AE402" s="1326"/>
      <c r="AF402" s="97"/>
      <c r="AG402" s="1737"/>
      <c r="AH402" s="1970"/>
      <c r="AI402" s="99"/>
      <c r="AJ402" s="1809"/>
      <c r="AK402" s="6120" t="str">
        <f t="shared" si="159"/>
        <v>►</v>
      </c>
      <c r="AL402" s="781" t="str">
        <f t="shared" si="140"/>
        <v>►</v>
      </c>
      <c r="AM402" s="5498" t="str">
        <f t="shared" si="143"/>
        <v/>
      </c>
      <c r="AN402" s="783" t="str">
        <f t="shared" si="144"/>
        <v/>
      </c>
      <c r="AO402" s="782" t="str">
        <f t="shared" si="145"/>
        <v/>
      </c>
      <c r="AP402" s="783" t="str">
        <f t="shared" si="146"/>
        <v/>
      </c>
      <c r="AQ402" s="2083" t="b">
        <f>AND(Q402="A",COUNTIF(BP16:BR63,TRIM(Z402))&gt;0)</f>
        <v>0</v>
      </c>
      <c r="AR402" s="797" t="str">
        <f>IF(AL402&lt;&gt;"A","",IFERROR(IFERROR(_xlfn.XLOOKUP(TRIM(SUBSTITUTE(Z402,CHAR(160)," ")),BP16:BP63,BS16:BS63),IFERROR(_xlfn.XLOOKUP(TRIM(SUBSTITUTE(Z402,CHAR(160)," ")),BQ16:BQ63,BS16:BS63),_xlfn.XLOOKUP(TRIM(SUBSTITUTE(Z402,CHAR(160)," ")),BR16:BR63,BS16:BS63)))*Y402*IF(ISBLANK(V402),1,V402),0))</f>
        <v/>
      </c>
      <c r="AS402" s="784" t="str">
        <f t="shared" si="157"/>
        <v/>
      </c>
      <c r="AT402" s="1315" t="str">
        <f t="shared" si="147"/>
        <v/>
      </c>
      <c r="AU402" s="785">
        <f t="shared" si="148"/>
        <v>0</v>
      </c>
      <c r="AV402" s="785">
        <f t="shared" si="149"/>
        <v>0</v>
      </c>
      <c r="AW402" s="798">
        <f>IF(AK402="A",AY10,0)</f>
        <v>0</v>
      </c>
      <c r="AX402" s="5496" t="str">
        <f>IF(IFERROR(SEARCH("Adresse PC",TRIM(W402)),0)&gt;0,"▼ receta siguiente",IF(AK402="A",IF(AZ10&lt;&gt;"",AZ10&amp;" - ou.or.o ❾ + or - &gt;",""),""))</f>
        <v/>
      </c>
      <c r="AY402" s="810"/>
      <c r="AZ402" s="810"/>
      <c r="BA402" s="799" t="str">
        <f t="shared" si="139"/>
        <v/>
      </c>
      <c r="BB402" s="800" t="str">
        <f>IF(AK402="A",IF(AQ402,IF(AND(AW402&lt;&gt;"",N(AW402)&gt;0),IFERROR(IFERROR(_xlfn.XLOOKUP(AP402,BP10:BP57,BT10:BT57),IFERROR(_xlfn.XLOOKUP(AP402,BQ10:BQ57,BT10:BT57),_xlfn.XLOOKUP(AP402,BR10:BR57,BT10:BT57,""))),""),""),""),"")</f>
        <v/>
      </c>
      <c r="BC402" s="813" cm="1">
        <f t="array" ref="BC402">IF(NOT(AQ402),0,IF(OR(BA402="",N(BA402)&lt;=0.000000001),"",IF(OR(AU402="",N(AU402)&lt;=0.000000001),0,IF(ISNUMBER(BA402),IFERROR(_xlfn.LET(_xlpm.ai_test,TRIM(AP402),_xlpm.r,IFERROR(_xlfn.XLOOKUP(_xlpm.ai_test,BP16:BP63,ROW(BP16:BP63),0,1),IFERROR(_xlfn.XLOOKUP(_xlpm.ai_test,BQ16:BQ63,ROW(BQ16:BQ63),0,1),_xlfn.XLOOKUP(_xlpm.ai_test,BR16:BR63,ROW(BR16:BR63),0,1))),_xlpm.p,_xlpm.r-MIN(ROW(BP16:BP63))+1,_xlpm.f,INDEX(BS16:BS63,_xlpm.p),_xlpm.u,INDEX(BT16:BT63,_xlpm.p),_xlpm.s,INDEX(BV16:BV63,_xlpm.p),_xlpm.q,N(BA402)/_xlpm.f,IF(_xlpm.q&gt;=_xlpm.s,ROUND(_xlpm.q,1)&amp;" "&amp;_xlpm.ai_test&amp;" = "&amp;ROUND(_xlpm.q*_xlpm.f,1)&amp;" "&amp;_xlpm.u,ROUND(_xlpm.q,1)&amp;" "&amp;_xlpm.ai_test)),""),""))))</f>
        <v>0</v>
      </c>
      <c r="BD402" s="801"/>
      <c r="BE402" s="799" t="str">
        <f t="shared" si="150"/>
        <v/>
      </c>
      <c r="BF402" s="800" t="str">
        <f t="shared" si="151"/>
        <v/>
      </c>
      <c r="BG402" s="802">
        <f t="shared" si="154"/>
        <v>0</v>
      </c>
      <c r="BH402" s="803" t="str">
        <f t="shared" si="155"/>
        <v/>
      </c>
      <c r="BI402" s="792"/>
      <c r="BJ402" s="804">
        <f t="shared" si="153"/>
        <v>0</v>
      </c>
      <c r="BK402" s="794" t="str">
        <f t="shared" si="152"/>
        <v/>
      </c>
      <c r="BL402" s="227" t="s">
        <v>21</v>
      </c>
      <c r="BM402" s="773">
        <f t="shared" si="141"/>
        <v>0</v>
      </c>
      <c r="BN402" s="774">
        <f t="shared" si="142"/>
        <v>0</v>
      </c>
      <c r="BO402"/>
      <c r="BX402"/>
      <c r="BY402"/>
      <c r="BZ402"/>
      <c r="CA402"/>
      <c r="CB402"/>
      <c r="CC402"/>
      <c r="CD402" s="781" t="str">
        <f t="shared" si="156"/>
        <v>►</v>
      </c>
      <c r="CE402" s="633"/>
      <c r="CF402" s="633"/>
      <c r="CG402" s="633"/>
      <c r="CH402" s="633"/>
      <c r="CI402" s="633"/>
      <c r="CJ402" s="227"/>
      <c r="CK402"/>
      <c r="CL402"/>
      <c r="CM402"/>
      <c r="CN402"/>
      <c r="CO402"/>
      <c r="CP402"/>
      <c r="CQ402"/>
      <c r="CR402" s="227"/>
      <c r="CS402"/>
      <c r="CT402"/>
      <c r="CU402"/>
      <c r="CV402"/>
      <c r="CW402"/>
      <c r="CX402"/>
      <c r="CY402"/>
      <c r="CZ402" s="227"/>
      <c r="DA402"/>
      <c r="DB402"/>
      <c r="DC402"/>
      <c r="DD402"/>
      <c r="DE402"/>
      <c r="DF402"/>
      <c r="DG402"/>
      <c r="DH402" s="227"/>
      <c r="DI402" s="3">
        <v>1</v>
      </c>
    </row>
    <row r="403" spans="2:113" s="627" customFormat="1" ht="21" customHeight="1">
      <c r="B403" s="2265" t="str" cm="1">
        <f t="array" ref="B403">SUMPRODUCT(--(D403:J403&lt;&gt;""), LEN(TRIM(SUBSTITUTE(D403:J403, CHAR(160), "")))) &amp; " Car."</f>
        <v>0 Car.</v>
      </c>
      <c r="C403" s="1376" t="str">
        <f>IF(ISBLANK(D403),"",LARGE(C13:C402,1)+1)</f>
        <v/>
      </c>
      <c r="D403" s="1833"/>
      <c r="E403" s="1810"/>
      <c r="F403" s="1810"/>
      <c r="G403" s="1810"/>
      <c r="H403" s="1810"/>
      <c r="I403" s="1810"/>
      <c r="J403" s="1810"/>
      <c r="K403" s="1810"/>
      <c r="L403" s="1811"/>
      <c r="M403"/>
      <c r="N403" s="103" t="str">
        <f t="shared" si="158"/>
        <v>►</v>
      </c>
      <c r="O403" s="1616"/>
      <c r="P403"/>
      <c r="Q403" s="25" t="s">
        <v>15</v>
      </c>
      <c r="R403" s="31"/>
      <c r="S403" s="32"/>
      <c r="T403" s="31"/>
      <c r="U403" s="33"/>
      <c r="V403" s="1967"/>
      <c r="W403" s="1805"/>
      <c r="X403" s="91"/>
      <c r="Y403" s="1806"/>
      <c r="Z403" s="1968"/>
      <c r="AA403" s="2244"/>
      <c r="AB403" s="1969"/>
      <c r="AC403" s="1365"/>
      <c r="AD403" s="95"/>
      <c r="AE403" s="1326"/>
      <c r="AF403" s="97"/>
      <c r="AG403" s="1737"/>
      <c r="AH403" s="1970"/>
      <c r="AI403" s="99"/>
      <c r="AJ403" s="1809"/>
      <c r="AK403" s="6120" t="str">
        <f t="shared" si="159"/>
        <v>►</v>
      </c>
      <c r="AL403" s="781" t="str">
        <f t="shared" si="140"/>
        <v>►</v>
      </c>
      <c r="AM403" s="5499" t="str">
        <f t="shared" si="143"/>
        <v/>
      </c>
      <c r="AN403" s="783" t="str">
        <f t="shared" si="144"/>
        <v/>
      </c>
      <c r="AO403" s="782" t="str">
        <f t="shared" si="145"/>
        <v/>
      </c>
      <c r="AP403" s="783" t="str">
        <f t="shared" si="146"/>
        <v/>
      </c>
      <c r="AQ403" s="2083" t="b">
        <f>AND(Q403="A",COUNTIF(BP16:BR63,TRIM(Z403))&gt;0)</f>
        <v>0</v>
      </c>
      <c r="AR403" s="797" t="str">
        <f>IF(AL403&lt;&gt;"A","",IFERROR(IFERROR(_xlfn.XLOOKUP(TRIM(SUBSTITUTE(Z403,CHAR(160)," ")),BP16:BP63,BS16:BS63),IFERROR(_xlfn.XLOOKUP(TRIM(SUBSTITUTE(Z403,CHAR(160)," ")),BQ16:BQ63,BS16:BS63),_xlfn.XLOOKUP(TRIM(SUBSTITUTE(Z403,CHAR(160)," ")),BR16:BR63,BS16:BS63)))*Y403*IF(ISBLANK(V403),1,V403),0))</f>
        <v/>
      </c>
      <c r="AS403" s="784" t="str">
        <f t="shared" si="157"/>
        <v/>
      </c>
      <c r="AT403" s="1315" t="str">
        <f t="shared" si="147"/>
        <v/>
      </c>
      <c r="AU403" s="785">
        <f t="shared" si="148"/>
        <v>0</v>
      </c>
      <c r="AV403" s="785">
        <f t="shared" si="149"/>
        <v>0</v>
      </c>
      <c r="AW403" s="786">
        <f>IF(AK403="A",AY10,0)</f>
        <v>0</v>
      </c>
      <c r="AX403" s="5495" t="str">
        <f>IF(IFERROR(SEARCH("Adresse PC",TRIM(W403)),0)&gt;0,"▼ receta siguiente",IF(AK403="A",IF(AZ10&lt;&gt;"",AZ10&amp;" - ou.or.o ❾ + or - &gt;",""),""))</f>
        <v/>
      </c>
      <c r="AY403" s="810"/>
      <c r="AZ403" s="810"/>
      <c r="BA403" s="788" t="str">
        <f t="shared" si="139"/>
        <v/>
      </c>
      <c r="BB403" s="789" t="str">
        <f>IF(AK403="A",IF(AQ403,IF(AND(AW403&lt;&gt;"",N(AW403)&gt;0),IFERROR(IFERROR(_xlfn.XLOOKUP(AP403,BP10:BP57,BT10:BT57),IFERROR(_xlfn.XLOOKUP(AP403,BQ10:BQ57,BT10:BT57),_xlfn.XLOOKUP(AP403,BR10:BR57,BT10:BT57,""))),""),""),""),"")</f>
        <v/>
      </c>
      <c r="BC403" s="811" cm="1">
        <f t="array" ref="BC403">IF(NOT(AQ403),0,IF(OR(BA403="",N(BA403)&lt;=0.000000001),"",IF(OR(AU403="",N(AU403)&lt;=0.000000001),0,IF(ISNUMBER(BA403),IFERROR(_xlfn.LET(_xlpm.ai_test,TRIM(AP403),_xlpm.r,IFERROR(_xlfn.XLOOKUP(_xlpm.ai_test,BP16:BP63,ROW(BP16:BP63),0,1),IFERROR(_xlfn.XLOOKUP(_xlpm.ai_test,BQ16:BQ63,ROW(BQ16:BQ63),0,1),_xlfn.XLOOKUP(_xlpm.ai_test,BR16:BR63,ROW(BR16:BR63),0,1))),_xlpm.p,_xlpm.r-MIN(ROW(BP16:BP63))+1,_xlpm.f,INDEX(BS16:BS63,_xlpm.p),_xlpm.u,INDEX(BT16:BT63,_xlpm.p),_xlpm.s,INDEX(BV16:BV63,_xlpm.p),_xlpm.q,N(BA403)/_xlpm.f,IF(_xlpm.q&gt;=_xlpm.s,ROUND(_xlpm.q,1)&amp;" "&amp;_xlpm.ai_test&amp;" = "&amp;ROUND(_xlpm.q*_xlpm.f,1)&amp;" "&amp;_xlpm.u,ROUND(_xlpm.q,1)&amp;" "&amp;_xlpm.ai_test)),""),""))))</f>
        <v>0</v>
      </c>
      <c r="BD403" s="801"/>
      <c r="BE403" s="788" t="str">
        <f t="shared" si="150"/>
        <v/>
      </c>
      <c r="BF403" s="789" t="str">
        <f t="shared" si="151"/>
        <v/>
      </c>
      <c r="BG403" s="790">
        <f t="shared" si="154"/>
        <v>0</v>
      </c>
      <c r="BH403" s="791" t="str">
        <f t="shared" si="155"/>
        <v/>
      </c>
      <c r="BI403" s="792"/>
      <c r="BJ403" s="793">
        <f t="shared" si="153"/>
        <v>0</v>
      </c>
      <c r="BK403" s="794" t="str">
        <f t="shared" si="152"/>
        <v/>
      </c>
      <c r="BL403" s="227" t="s">
        <v>21</v>
      </c>
      <c r="BM403" s="773">
        <f t="shared" si="141"/>
        <v>0</v>
      </c>
      <c r="BN403" s="774">
        <f t="shared" si="142"/>
        <v>0</v>
      </c>
      <c r="BO403"/>
      <c r="BX403"/>
      <c r="BY403"/>
      <c r="BZ403"/>
      <c r="CA403"/>
      <c r="CB403"/>
      <c r="CC403"/>
      <c r="CD403" s="781" t="str">
        <f t="shared" si="156"/>
        <v>►</v>
      </c>
      <c r="CE403" s="633"/>
      <c r="CF403" s="633"/>
      <c r="CG403" s="633"/>
      <c r="CH403" s="633"/>
      <c r="CI403" s="633"/>
      <c r="CJ403" s="227"/>
      <c r="CK403"/>
      <c r="CL403"/>
      <c r="CM403"/>
      <c r="CN403"/>
      <c r="CO403"/>
      <c r="CP403"/>
      <c r="CQ403"/>
      <c r="CR403" s="227"/>
      <c r="CS403"/>
      <c r="CT403"/>
      <c r="CU403"/>
      <c r="CV403"/>
      <c r="CW403"/>
      <c r="CX403"/>
      <c r="CY403"/>
      <c r="CZ403" s="227"/>
      <c r="DA403"/>
      <c r="DB403"/>
      <c r="DC403"/>
      <c r="DD403"/>
      <c r="DE403"/>
      <c r="DF403"/>
      <c r="DG403"/>
      <c r="DH403" s="227"/>
      <c r="DI403" s="3">
        <v>1</v>
      </c>
    </row>
    <row r="404" spans="2:113" s="627" customFormat="1" ht="21" customHeight="1">
      <c r="B404" s="2265" t="str" cm="1">
        <f t="array" ref="B404">SUMPRODUCT(--(D404:J404&lt;&gt;""), LEN(TRIM(SUBSTITUTE(D404:J404, CHAR(160), "")))) &amp; " Car."</f>
        <v>0 Car.</v>
      </c>
      <c r="C404" s="1376" t="str">
        <f>IF(ISBLANK(D404),"",LARGE(C13:C403,1)+1)</f>
        <v/>
      </c>
      <c r="D404" s="1833"/>
      <c r="E404" s="1810"/>
      <c r="F404" s="1810"/>
      <c r="G404" s="1810"/>
      <c r="H404" s="1810"/>
      <c r="I404" s="1810"/>
      <c r="J404" s="1810"/>
      <c r="K404" s="1810"/>
      <c r="L404" s="1811"/>
      <c r="M404"/>
      <c r="N404" s="103" t="str">
        <f t="shared" si="158"/>
        <v>►</v>
      </c>
      <c r="O404" s="1616"/>
      <c r="P404"/>
      <c r="Q404" s="25" t="s">
        <v>15</v>
      </c>
      <c r="R404" s="31"/>
      <c r="S404" s="32"/>
      <c r="T404" s="31"/>
      <c r="U404" s="33"/>
      <c r="V404" s="1967"/>
      <c r="W404" s="1805"/>
      <c r="X404" s="91"/>
      <c r="Y404" s="1806"/>
      <c r="Z404" s="1968"/>
      <c r="AA404" s="2244"/>
      <c r="AB404" s="1969"/>
      <c r="AC404" s="1365"/>
      <c r="AD404" s="95"/>
      <c r="AE404" s="1326"/>
      <c r="AF404" s="97"/>
      <c r="AG404" s="1737"/>
      <c r="AH404" s="1970"/>
      <c r="AI404" s="99"/>
      <c r="AJ404" s="1809"/>
      <c r="AK404" s="6120" t="str">
        <f t="shared" si="159"/>
        <v>►</v>
      </c>
      <c r="AL404" s="781" t="str">
        <f t="shared" si="140"/>
        <v>►</v>
      </c>
      <c r="AM404" s="5498" t="str">
        <f t="shared" si="143"/>
        <v/>
      </c>
      <c r="AN404" s="783" t="str">
        <f t="shared" si="144"/>
        <v/>
      </c>
      <c r="AO404" s="782" t="str">
        <f t="shared" si="145"/>
        <v/>
      </c>
      <c r="AP404" s="783" t="str">
        <f t="shared" si="146"/>
        <v/>
      </c>
      <c r="AQ404" s="2083" t="b">
        <f>AND(Q404="A",COUNTIF(BP16:BR63,TRIM(Z404))&gt;0)</f>
        <v>0</v>
      </c>
      <c r="AR404" s="797" t="str">
        <f>IF(AL404&lt;&gt;"A","",IFERROR(IFERROR(_xlfn.XLOOKUP(TRIM(SUBSTITUTE(Z404,CHAR(160)," ")),BP16:BP63,BS16:BS63),IFERROR(_xlfn.XLOOKUP(TRIM(SUBSTITUTE(Z404,CHAR(160)," ")),BQ16:BQ63,BS16:BS63),_xlfn.XLOOKUP(TRIM(SUBSTITUTE(Z404,CHAR(160)," ")),BR16:BR63,BS16:BS63)))*Y404*IF(ISBLANK(V404),1,V404),0))</f>
        <v/>
      </c>
      <c r="AS404" s="784" t="str">
        <f t="shared" si="157"/>
        <v/>
      </c>
      <c r="AT404" s="1315" t="str">
        <f t="shared" si="147"/>
        <v/>
      </c>
      <c r="AU404" s="785">
        <f t="shared" si="148"/>
        <v>0</v>
      </c>
      <c r="AV404" s="785">
        <f t="shared" si="149"/>
        <v>0</v>
      </c>
      <c r="AW404" s="798">
        <f>IF(AK404="A",AY10,0)</f>
        <v>0</v>
      </c>
      <c r="AX404" s="5496" t="str">
        <f>IF(IFERROR(SEARCH("Adresse PC",TRIM(W404)),0)&gt;0,"▼ receta siguiente",IF(AK404="A",IF(AZ10&lt;&gt;"",AZ10&amp;" - ou.or.o ❾ + or - &gt;",""),""))</f>
        <v/>
      </c>
      <c r="AY404" s="810"/>
      <c r="AZ404" s="810"/>
      <c r="BA404" s="799" t="str">
        <f t="shared" ref="BA404:BA467" si="160">IF(AK404="A",IF(UPPER(TRIM(SUBSTITUTE(AS404,CHAR(160),"")))="KG",N(AR404)*N(BN404),0),"")</f>
        <v/>
      </c>
      <c r="BB404" s="800" t="str">
        <f>IF(AK404="A",IF(AQ404,IF(AND(AW404&lt;&gt;"",N(AW404)&gt;0),IFERROR(IFERROR(_xlfn.XLOOKUP(AP404,BP10:BP57,BT10:BT57),IFERROR(_xlfn.XLOOKUP(AP404,BQ10:BQ57,BT10:BT57),_xlfn.XLOOKUP(AP404,BR10:BR57,BT10:BT57,""))),""),""),""),"")</f>
        <v/>
      </c>
      <c r="BC404" s="813" cm="1">
        <f t="array" ref="BC404">IF(NOT(AQ404),0,IF(OR(BA404="",N(BA404)&lt;=0.000000001),"",IF(OR(AU404="",N(AU404)&lt;=0.000000001),0,IF(ISNUMBER(BA404),IFERROR(_xlfn.LET(_xlpm.ai_test,TRIM(AP404),_xlpm.r,IFERROR(_xlfn.XLOOKUP(_xlpm.ai_test,BP16:BP63,ROW(BP16:BP63),0,1),IFERROR(_xlfn.XLOOKUP(_xlpm.ai_test,BQ16:BQ63,ROW(BQ16:BQ63),0,1),_xlfn.XLOOKUP(_xlpm.ai_test,BR16:BR63,ROW(BR16:BR63),0,1))),_xlpm.p,_xlpm.r-MIN(ROW(BP16:BP63))+1,_xlpm.f,INDEX(BS16:BS63,_xlpm.p),_xlpm.u,INDEX(BT16:BT63,_xlpm.p),_xlpm.s,INDEX(BV16:BV63,_xlpm.p),_xlpm.q,N(BA404)/_xlpm.f,IF(_xlpm.q&gt;=_xlpm.s,ROUND(_xlpm.q,1)&amp;" "&amp;_xlpm.ai_test&amp;" = "&amp;ROUND(_xlpm.q*_xlpm.f,1)&amp;" "&amp;_xlpm.u,ROUND(_xlpm.q,1)&amp;" "&amp;_xlpm.ai_test)),""),""))))</f>
        <v>0</v>
      </c>
      <c r="BD404" s="801"/>
      <c r="BE404" s="799" t="str">
        <f t="shared" si="150"/>
        <v/>
      </c>
      <c r="BF404" s="800" t="str">
        <f t="shared" si="151"/>
        <v/>
      </c>
      <c r="BG404" s="802">
        <f t="shared" si="154"/>
        <v>0</v>
      </c>
      <c r="BH404" s="803" t="str">
        <f t="shared" si="155"/>
        <v/>
      </c>
      <c r="BI404" s="792"/>
      <c r="BJ404" s="804">
        <f t="shared" si="153"/>
        <v>0</v>
      </c>
      <c r="BK404" s="794" t="str">
        <f t="shared" si="152"/>
        <v/>
      </c>
      <c r="BL404" s="227" t="s">
        <v>21</v>
      </c>
      <c r="BM404" s="773">
        <f t="shared" si="141"/>
        <v>0</v>
      </c>
      <c r="BN404" s="774">
        <f t="shared" si="142"/>
        <v>0</v>
      </c>
      <c r="BO404"/>
      <c r="BX404"/>
      <c r="BY404"/>
      <c r="BZ404"/>
      <c r="CA404"/>
      <c r="CB404"/>
      <c r="CC404"/>
      <c r="CD404" s="781" t="str">
        <f t="shared" si="156"/>
        <v>►</v>
      </c>
      <c r="CE404" s="633"/>
      <c r="CF404" s="633"/>
      <c r="CG404" s="633"/>
      <c r="CH404" s="633"/>
      <c r="CI404" s="633"/>
      <c r="CJ404" s="227"/>
      <c r="CK404"/>
      <c r="CL404"/>
      <c r="CM404"/>
      <c r="CN404"/>
      <c r="CO404"/>
      <c r="CP404"/>
      <c r="CQ404"/>
      <c r="CR404" s="227"/>
      <c r="CS404"/>
      <c r="CT404"/>
      <c r="CU404"/>
      <c r="CV404"/>
      <c r="CW404"/>
      <c r="CX404"/>
      <c r="CY404"/>
      <c r="CZ404" s="227"/>
      <c r="DA404"/>
      <c r="DB404"/>
      <c r="DC404"/>
      <c r="DD404"/>
      <c r="DE404"/>
      <c r="DF404"/>
      <c r="DG404"/>
      <c r="DH404" s="227"/>
      <c r="DI404" s="3">
        <v>1</v>
      </c>
    </row>
    <row r="405" spans="2:113" s="627" customFormat="1" ht="21" customHeight="1">
      <c r="B405" s="2265" t="str" cm="1">
        <f t="array" ref="B405">SUMPRODUCT(--(D405:J405&lt;&gt;""), LEN(TRIM(SUBSTITUTE(D405:J405, CHAR(160), "")))) &amp; " Car."</f>
        <v>0 Car.</v>
      </c>
      <c r="C405" s="1376" t="str">
        <f>IF(ISBLANK(D405),"",LARGE(C13:C404,1)+1)</f>
        <v/>
      </c>
      <c r="D405" s="1833"/>
      <c r="E405" s="1810"/>
      <c r="F405" s="1810"/>
      <c r="G405" s="1810"/>
      <c r="H405" s="1810"/>
      <c r="I405" s="1810"/>
      <c r="J405" s="1810"/>
      <c r="K405" s="1810"/>
      <c r="L405" s="1811"/>
      <c r="M405"/>
      <c r="N405" s="103" t="str">
        <f t="shared" si="158"/>
        <v>►</v>
      </c>
      <c r="O405" s="1616"/>
      <c r="P405"/>
      <c r="Q405" s="25" t="s">
        <v>15</v>
      </c>
      <c r="R405" s="31"/>
      <c r="S405" s="32"/>
      <c r="T405" s="31"/>
      <c r="U405" s="33"/>
      <c r="V405" s="1967"/>
      <c r="W405" s="1805"/>
      <c r="X405" s="91"/>
      <c r="Y405" s="1806"/>
      <c r="Z405" s="1968"/>
      <c r="AA405" s="2244"/>
      <c r="AB405" s="1969"/>
      <c r="AC405" s="1365"/>
      <c r="AD405" s="95"/>
      <c r="AE405" s="1326"/>
      <c r="AF405" s="97"/>
      <c r="AG405" s="1737"/>
      <c r="AH405" s="1970"/>
      <c r="AI405" s="99"/>
      <c r="AJ405" s="1809"/>
      <c r="AK405" s="6120" t="str">
        <f t="shared" si="159"/>
        <v>►</v>
      </c>
      <c r="AL405" s="781" t="str">
        <f t="shared" si="140"/>
        <v>►</v>
      </c>
      <c r="AM405" s="5499" t="str">
        <f t="shared" si="143"/>
        <v/>
      </c>
      <c r="AN405" s="783" t="str">
        <f t="shared" si="144"/>
        <v/>
      </c>
      <c r="AO405" s="782" t="str">
        <f t="shared" si="145"/>
        <v/>
      </c>
      <c r="AP405" s="783" t="str">
        <f t="shared" si="146"/>
        <v/>
      </c>
      <c r="AQ405" s="2083" t="b">
        <f>AND(Q405="A",COUNTIF(BP16:BR63,TRIM(Z405))&gt;0)</f>
        <v>0</v>
      </c>
      <c r="AR405" s="797" t="str">
        <f>IF(AL405&lt;&gt;"A","",IFERROR(IFERROR(_xlfn.XLOOKUP(TRIM(SUBSTITUTE(Z405,CHAR(160)," ")),BP16:BP63,BS16:BS63),IFERROR(_xlfn.XLOOKUP(TRIM(SUBSTITUTE(Z405,CHAR(160)," ")),BQ16:BQ63,BS16:BS63),_xlfn.XLOOKUP(TRIM(SUBSTITUTE(Z405,CHAR(160)," ")),BR16:BR63,BS16:BS63)))*Y405*IF(ISBLANK(V405),1,V405),0))</f>
        <v/>
      </c>
      <c r="AS405" s="784" t="str">
        <f t="shared" si="157"/>
        <v/>
      </c>
      <c r="AT405" s="1315" t="str">
        <f t="shared" si="147"/>
        <v/>
      </c>
      <c r="AU405" s="785">
        <f t="shared" si="148"/>
        <v>0</v>
      </c>
      <c r="AV405" s="785">
        <f t="shared" si="149"/>
        <v>0</v>
      </c>
      <c r="AW405" s="786">
        <f>IF(AK405="A",AY10,0)</f>
        <v>0</v>
      </c>
      <c r="AX405" s="5495" t="str">
        <f>IF(IFERROR(SEARCH("Adresse PC",TRIM(W405)),0)&gt;0,"▼ receta siguiente",IF(AK405="A",IF(AZ10&lt;&gt;"",AZ10&amp;" - ou.or.o ❾ + or - &gt;",""),""))</f>
        <v/>
      </c>
      <c r="AY405" s="810"/>
      <c r="AZ405" s="810"/>
      <c r="BA405" s="788" t="str">
        <f t="shared" si="160"/>
        <v/>
      </c>
      <c r="BB405" s="789" t="str">
        <f>IF(AK405="A",IF(AQ405,IF(AND(AW405&lt;&gt;"",N(AW405)&gt;0),IFERROR(IFERROR(_xlfn.XLOOKUP(AP405,BP10:BP57,BT10:BT57),IFERROR(_xlfn.XLOOKUP(AP405,BQ10:BQ57,BT10:BT57),_xlfn.XLOOKUP(AP405,BR10:BR57,BT10:BT57,""))),""),""),""),"")</f>
        <v/>
      </c>
      <c r="BC405" s="811" cm="1">
        <f t="array" ref="BC405">IF(NOT(AQ405),0,IF(OR(BA405="",N(BA405)&lt;=0.000000001),"",IF(OR(AU405="",N(AU405)&lt;=0.000000001),0,IF(ISNUMBER(BA405),IFERROR(_xlfn.LET(_xlpm.ai_test,TRIM(AP405),_xlpm.r,IFERROR(_xlfn.XLOOKUP(_xlpm.ai_test,BP16:BP63,ROW(BP16:BP63),0,1),IFERROR(_xlfn.XLOOKUP(_xlpm.ai_test,BQ16:BQ63,ROW(BQ16:BQ63),0,1),_xlfn.XLOOKUP(_xlpm.ai_test,BR16:BR63,ROW(BR16:BR63),0,1))),_xlpm.p,_xlpm.r-MIN(ROW(BP16:BP63))+1,_xlpm.f,INDEX(BS16:BS63,_xlpm.p),_xlpm.u,INDEX(BT16:BT63,_xlpm.p),_xlpm.s,INDEX(BV16:BV63,_xlpm.p),_xlpm.q,N(BA405)/_xlpm.f,IF(_xlpm.q&gt;=_xlpm.s,ROUND(_xlpm.q,1)&amp;" "&amp;_xlpm.ai_test&amp;" = "&amp;ROUND(_xlpm.q*_xlpm.f,1)&amp;" "&amp;_xlpm.u,ROUND(_xlpm.q,1)&amp;" "&amp;_xlpm.ai_test)),""),""))))</f>
        <v>0</v>
      </c>
      <c r="BD405" s="801"/>
      <c r="BE405" s="788" t="str">
        <f t="shared" si="150"/>
        <v/>
      </c>
      <c r="BF405" s="789" t="str">
        <f t="shared" si="151"/>
        <v/>
      </c>
      <c r="BG405" s="790">
        <f t="shared" si="154"/>
        <v>0</v>
      </c>
      <c r="BH405" s="791" t="str">
        <f t="shared" si="155"/>
        <v/>
      </c>
      <c r="BI405" s="792"/>
      <c r="BJ405" s="793">
        <f t="shared" si="153"/>
        <v>0</v>
      </c>
      <c r="BK405" s="794" t="str">
        <f t="shared" si="152"/>
        <v/>
      </c>
      <c r="BL405" s="227" t="s">
        <v>21</v>
      </c>
      <c r="BM405" s="773">
        <f t="shared" si="141"/>
        <v>0</v>
      </c>
      <c r="BN405" s="774">
        <f t="shared" si="142"/>
        <v>0</v>
      </c>
      <c r="BO405"/>
      <c r="BX405"/>
      <c r="BY405"/>
      <c r="BZ405"/>
      <c r="CA405"/>
      <c r="CB405"/>
      <c r="CC405"/>
      <c r="CD405" s="781" t="str">
        <f t="shared" si="156"/>
        <v>►</v>
      </c>
      <c r="CE405" s="633"/>
      <c r="CF405" s="633"/>
      <c r="CG405" s="633"/>
      <c r="CH405" s="633"/>
      <c r="CI405" s="633"/>
      <c r="CJ405" s="227"/>
      <c r="CK405"/>
      <c r="CL405"/>
      <c r="CM405"/>
      <c r="CN405"/>
      <c r="CO405"/>
      <c r="CP405"/>
      <c r="CQ405"/>
      <c r="CR405" s="227"/>
      <c r="CS405"/>
      <c r="CT405"/>
      <c r="CU405"/>
      <c r="CV405"/>
      <c r="CW405"/>
      <c r="CX405"/>
      <c r="CY405"/>
      <c r="CZ405" s="227"/>
      <c r="DA405"/>
      <c r="DB405"/>
      <c r="DC405"/>
      <c r="DD405"/>
      <c r="DE405"/>
      <c r="DF405"/>
      <c r="DG405"/>
      <c r="DH405" s="227"/>
      <c r="DI405" s="3">
        <v>1</v>
      </c>
    </row>
    <row r="406" spans="2:113" s="627" customFormat="1" ht="21" customHeight="1">
      <c r="B406" s="2265" t="str" cm="1">
        <f t="array" ref="B406">SUMPRODUCT(--(D406:J406&lt;&gt;""), LEN(TRIM(SUBSTITUTE(D406:J406, CHAR(160), "")))) &amp; " Car."</f>
        <v>0 Car.</v>
      </c>
      <c r="C406" s="1376" t="str">
        <f>IF(ISBLANK(D406),"",LARGE(C13:C405,1)+1)</f>
        <v/>
      </c>
      <c r="D406" s="1833"/>
      <c r="E406" s="1810"/>
      <c r="F406" s="1810"/>
      <c r="G406" s="1810"/>
      <c r="H406" s="1810"/>
      <c r="I406" s="1810"/>
      <c r="J406" s="1810"/>
      <c r="K406" s="1810"/>
      <c r="L406" s="1811"/>
      <c r="M406"/>
      <c r="N406" s="103" t="str">
        <f t="shared" si="158"/>
        <v>►</v>
      </c>
      <c r="O406" s="1616"/>
      <c r="P406"/>
      <c r="Q406" s="25" t="s">
        <v>15</v>
      </c>
      <c r="R406" s="31"/>
      <c r="S406" s="32"/>
      <c r="T406" s="31"/>
      <c r="U406" s="33"/>
      <c r="V406" s="1967"/>
      <c r="W406" s="1805"/>
      <c r="X406" s="91"/>
      <c r="Y406" s="1806"/>
      <c r="Z406" s="1968"/>
      <c r="AA406" s="2244"/>
      <c r="AB406" s="1969"/>
      <c r="AC406" s="1365"/>
      <c r="AD406" s="95"/>
      <c r="AE406" s="1326"/>
      <c r="AF406" s="97"/>
      <c r="AG406" s="1737"/>
      <c r="AH406" s="1970"/>
      <c r="AI406" s="99"/>
      <c r="AJ406" s="1809"/>
      <c r="AK406" s="6120" t="str">
        <f t="shared" si="159"/>
        <v>►</v>
      </c>
      <c r="AL406" s="781" t="str">
        <f t="shared" si="140"/>
        <v>►</v>
      </c>
      <c r="AM406" s="5498" t="str">
        <f t="shared" si="143"/>
        <v/>
      </c>
      <c r="AN406" s="783" t="str">
        <f t="shared" si="144"/>
        <v/>
      </c>
      <c r="AO406" s="782" t="str">
        <f t="shared" si="145"/>
        <v/>
      </c>
      <c r="AP406" s="783" t="str">
        <f t="shared" si="146"/>
        <v/>
      </c>
      <c r="AQ406" s="2083" t="b">
        <f>AND(Q406="A",COUNTIF(BP16:BR63,TRIM(Z406))&gt;0)</f>
        <v>0</v>
      </c>
      <c r="AR406" s="797" t="str">
        <f>IF(AL406&lt;&gt;"A","",IFERROR(IFERROR(_xlfn.XLOOKUP(TRIM(SUBSTITUTE(Z406,CHAR(160)," ")),BP16:BP63,BS16:BS63),IFERROR(_xlfn.XLOOKUP(TRIM(SUBSTITUTE(Z406,CHAR(160)," ")),BQ16:BQ63,BS16:BS63),_xlfn.XLOOKUP(TRIM(SUBSTITUTE(Z406,CHAR(160)," ")),BR16:BR63,BS16:BS63)))*Y406*IF(ISBLANK(V406),1,V406),0))</f>
        <v/>
      </c>
      <c r="AS406" s="784" t="str">
        <f t="shared" si="157"/>
        <v/>
      </c>
      <c r="AT406" s="1315" t="str">
        <f t="shared" si="147"/>
        <v/>
      </c>
      <c r="AU406" s="785">
        <f t="shared" si="148"/>
        <v>0</v>
      </c>
      <c r="AV406" s="785">
        <f t="shared" si="149"/>
        <v>0</v>
      </c>
      <c r="AW406" s="798">
        <f>IF(AK406="A",AY10,0)</f>
        <v>0</v>
      </c>
      <c r="AX406" s="5496" t="str">
        <f>IF(IFERROR(SEARCH("Adresse PC",TRIM(W406)),0)&gt;0,"▼ receta siguiente",IF(AK406="A",IF(AZ10&lt;&gt;"",AZ10&amp;" - ou.or.o ❾ + or - &gt;",""),""))</f>
        <v/>
      </c>
      <c r="AY406" s="810"/>
      <c r="AZ406" s="810"/>
      <c r="BA406" s="799" t="str">
        <f t="shared" si="160"/>
        <v/>
      </c>
      <c r="BB406" s="800" t="str">
        <f>IF(AK406="A",IF(AQ406,IF(AND(AW406&lt;&gt;"",N(AW406)&gt;0),IFERROR(IFERROR(_xlfn.XLOOKUP(AP406,BP10:BP57,BT10:BT57),IFERROR(_xlfn.XLOOKUP(AP406,BQ10:BQ57,BT10:BT57),_xlfn.XLOOKUP(AP406,BR10:BR57,BT10:BT57,""))),""),""),""),"")</f>
        <v/>
      </c>
      <c r="BC406" s="813" cm="1">
        <f t="array" ref="BC406">IF(NOT(AQ406),0,IF(OR(BA406="",N(BA406)&lt;=0.000000001),"",IF(OR(AU406="",N(AU406)&lt;=0.000000001),0,IF(ISNUMBER(BA406),IFERROR(_xlfn.LET(_xlpm.ai_test,TRIM(AP406),_xlpm.r,IFERROR(_xlfn.XLOOKUP(_xlpm.ai_test,BP16:BP63,ROW(BP16:BP63),0,1),IFERROR(_xlfn.XLOOKUP(_xlpm.ai_test,BQ16:BQ63,ROW(BQ16:BQ63),0,1),_xlfn.XLOOKUP(_xlpm.ai_test,BR16:BR63,ROW(BR16:BR63),0,1))),_xlpm.p,_xlpm.r-MIN(ROW(BP16:BP63))+1,_xlpm.f,INDEX(BS16:BS63,_xlpm.p),_xlpm.u,INDEX(BT16:BT63,_xlpm.p),_xlpm.s,INDEX(BV16:BV63,_xlpm.p),_xlpm.q,N(BA406)/_xlpm.f,IF(_xlpm.q&gt;=_xlpm.s,ROUND(_xlpm.q,1)&amp;" "&amp;_xlpm.ai_test&amp;" = "&amp;ROUND(_xlpm.q*_xlpm.f,1)&amp;" "&amp;_xlpm.u,ROUND(_xlpm.q,1)&amp;" "&amp;_xlpm.ai_test)),""),""))))</f>
        <v>0</v>
      </c>
      <c r="BD406" s="801"/>
      <c r="BE406" s="799" t="str">
        <f t="shared" si="150"/>
        <v/>
      </c>
      <c r="BF406" s="800" t="str">
        <f t="shared" si="151"/>
        <v/>
      </c>
      <c r="BG406" s="802">
        <f t="shared" si="154"/>
        <v>0</v>
      </c>
      <c r="BH406" s="803" t="str">
        <f t="shared" si="155"/>
        <v/>
      </c>
      <c r="BI406" s="792"/>
      <c r="BJ406" s="804">
        <f t="shared" si="153"/>
        <v>0</v>
      </c>
      <c r="BK406" s="794" t="str">
        <f t="shared" si="152"/>
        <v/>
      </c>
      <c r="BL406" s="227" t="s">
        <v>21</v>
      </c>
      <c r="BM406" s="773">
        <f t="shared" si="141"/>
        <v>0</v>
      </c>
      <c r="BN406" s="774">
        <f t="shared" si="142"/>
        <v>0</v>
      </c>
      <c r="BO406"/>
      <c r="BX406"/>
      <c r="BY406"/>
      <c r="BZ406"/>
      <c r="CA406"/>
      <c r="CB406"/>
      <c r="CC406"/>
      <c r="CD406" s="781" t="str">
        <f t="shared" si="156"/>
        <v>►</v>
      </c>
      <c r="CE406" s="633"/>
      <c r="CF406" s="633"/>
      <c r="CG406" s="633"/>
      <c r="CH406" s="633"/>
      <c r="CI406" s="633"/>
      <c r="CJ406" s="227"/>
      <c r="CK406"/>
      <c r="CL406"/>
      <c r="CM406"/>
      <c r="CN406"/>
      <c r="CO406"/>
      <c r="CP406"/>
      <c r="CQ406"/>
      <c r="CR406" s="227"/>
      <c r="CS406"/>
      <c r="CT406"/>
      <c r="CU406"/>
      <c r="CV406"/>
      <c r="CW406"/>
      <c r="CX406"/>
      <c r="CY406"/>
      <c r="CZ406" s="227"/>
      <c r="DA406"/>
      <c r="DB406"/>
      <c r="DC406"/>
      <c r="DD406"/>
      <c r="DE406"/>
      <c r="DF406"/>
      <c r="DG406"/>
      <c r="DH406" s="227"/>
      <c r="DI406" s="3">
        <v>1</v>
      </c>
    </row>
    <row r="407" spans="2:113" s="627" customFormat="1" ht="21" customHeight="1">
      <c r="B407" s="2265" t="str" cm="1">
        <f t="array" ref="B407">SUMPRODUCT(--(D407:J407&lt;&gt;""), LEN(TRIM(SUBSTITUTE(D407:J407, CHAR(160), "")))) &amp; " Car."</f>
        <v>0 Car.</v>
      </c>
      <c r="C407" s="1376" t="str">
        <f>IF(ISBLANK(D407),"",LARGE(C13:C406,1)+1)</f>
        <v/>
      </c>
      <c r="D407" s="1833"/>
      <c r="E407" s="1810"/>
      <c r="F407" s="1810"/>
      <c r="G407" s="1810"/>
      <c r="H407" s="1810"/>
      <c r="I407" s="1810"/>
      <c r="J407" s="1810"/>
      <c r="K407" s="1810"/>
      <c r="L407" s="1811"/>
      <c r="M407"/>
      <c r="N407" s="103" t="str">
        <f t="shared" si="158"/>
        <v>►</v>
      </c>
      <c r="O407" s="1616"/>
      <c r="P407"/>
      <c r="Q407" s="25" t="s">
        <v>15</v>
      </c>
      <c r="R407" s="31"/>
      <c r="S407" s="32"/>
      <c r="T407" s="31"/>
      <c r="U407" s="33"/>
      <c r="V407" s="1967"/>
      <c r="W407" s="1805"/>
      <c r="X407" s="91"/>
      <c r="Y407" s="1806"/>
      <c r="Z407" s="1968"/>
      <c r="AA407" s="2244"/>
      <c r="AB407" s="1969"/>
      <c r="AC407" s="1365"/>
      <c r="AD407" s="95"/>
      <c r="AE407" s="1326"/>
      <c r="AF407" s="97"/>
      <c r="AG407" s="1737"/>
      <c r="AH407" s="1970"/>
      <c r="AI407" s="99"/>
      <c r="AJ407" s="1809"/>
      <c r="AK407" s="6120" t="str">
        <f t="shared" si="159"/>
        <v>►</v>
      </c>
      <c r="AL407" s="781" t="str">
        <f t="shared" ref="AL407:AL470" si="161">IF(OR(AU407&gt;0,TRIM(AM407)="▼ recette suivante"),"A","►")</f>
        <v>►</v>
      </c>
      <c r="AM407" s="5499" t="str">
        <f t="shared" si="143"/>
        <v/>
      </c>
      <c r="AN407" s="783" t="str">
        <f t="shared" si="144"/>
        <v/>
      </c>
      <c r="AO407" s="782" t="str">
        <f t="shared" si="145"/>
        <v/>
      </c>
      <c r="AP407" s="783" t="str">
        <f t="shared" si="146"/>
        <v/>
      </c>
      <c r="AQ407" s="2083" t="b">
        <f>AND(Q407="A",COUNTIF(BP16:BR63,TRIM(Z407))&gt;0)</f>
        <v>0</v>
      </c>
      <c r="AR407" s="797" t="str">
        <f>IF(AL407&lt;&gt;"A","",IFERROR(IFERROR(_xlfn.XLOOKUP(TRIM(SUBSTITUTE(Z407,CHAR(160)," ")),BP16:BP63,BS16:BS63),IFERROR(_xlfn.XLOOKUP(TRIM(SUBSTITUTE(Z407,CHAR(160)," ")),BQ16:BQ63,BS16:BS63),_xlfn.XLOOKUP(TRIM(SUBSTITUTE(Z407,CHAR(160)," ")),BR16:BR63,BS16:BS63)))*Y407*IF(ISBLANK(V407),1,V407),0))</f>
        <v/>
      </c>
      <c r="AS407" s="784" t="str">
        <f t="shared" si="157"/>
        <v/>
      </c>
      <c r="AT407" s="1315" t="str">
        <f t="shared" si="147"/>
        <v/>
      </c>
      <c r="AU407" s="785">
        <f t="shared" si="148"/>
        <v>0</v>
      </c>
      <c r="AV407" s="785">
        <f t="shared" si="149"/>
        <v>0</v>
      </c>
      <c r="AW407" s="786">
        <f>IF(AK407="A",AY10,0)</f>
        <v>0</v>
      </c>
      <c r="AX407" s="5495" t="str">
        <f>IF(IFERROR(SEARCH("Adresse PC",TRIM(W407)),0)&gt;0,"▼ receta siguiente",IF(AK407="A",IF(AZ10&lt;&gt;"",AZ10&amp;" - ou.or.o ❾ + or - &gt;",""),""))</f>
        <v/>
      </c>
      <c r="AY407" s="810"/>
      <c r="AZ407" s="810"/>
      <c r="BA407" s="788" t="str">
        <f t="shared" si="160"/>
        <v/>
      </c>
      <c r="BB407" s="789" t="str">
        <f>IF(AK407="A",IF(AQ407,IF(AND(AW407&lt;&gt;"",N(AW407)&gt;0),IFERROR(IFERROR(_xlfn.XLOOKUP(AP407,BP10:BP57,BT10:BT57),IFERROR(_xlfn.XLOOKUP(AP407,BQ10:BQ57,BT10:BT57),_xlfn.XLOOKUP(AP407,BR10:BR57,BT10:BT57,""))),""),""),""),"")</f>
        <v/>
      </c>
      <c r="BC407" s="811" cm="1">
        <f t="array" ref="BC407">IF(NOT(AQ407),0,IF(OR(BA407="",N(BA407)&lt;=0.000000001),"",IF(OR(AU407="",N(AU407)&lt;=0.000000001),0,IF(ISNUMBER(BA407),IFERROR(_xlfn.LET(_xlpm.ai_test,TRIM(AP407),_xlpm.r,IFERROR(_xlfn.XLOOKUP(_xlpm.ai_test,BP16:BP63,ROW(BP16:BP63),0,1),IFERROR(_xlfn.XLOOKUP(_xlpm.ai_test,BQ16:BQ63,ROW(BQ16:BQ63),0,1),_xlfn.XLOOKUP(_xlpm.ai_test,BR16:BR63,ROW(BR16:BR63),0,1))),_xlpm.p,_xlpm.r-MIN(ROW(BP16:BP63))+1,_xlpm.f,INDEX(BS16:BS63,_xlpm.p),_xlpm.u,INDEX(BT16:BT63,_xlpm.p),_xlpm.s,INDEX(BV16:BV63,_xlpm.p),_xlpm.q,N(BA407)/_xlpm.f,IF(_xlpm.q&gt;=_xlpm.s,ROUND(_xlpm.q,1)&amp;" "&amp;_xlpm.ai_test&amp;" = "&amp;ROUND(_xlpm.q*_xlpm.f,1)&amp;" "&amp;_xlpm.u,ROUND(_xlpm.q,1)&amp;" "&amp;_xlpm.ai_test)),""),""))))</f>
        <v>0</v>
      </c>
      <c r="BD407" s="801"/>
      <c r="BE407" s="788" t="str">
        <f t="shared" si="150"/>
        <v/>
      </c>
      <c r="BF407" s="789" t="str">
        <f t="shared" si="151"/>
        <v/>
      </c>
      <c r="BG407" s="790">
        <f t="shared" si="154"/>
        <v>0</v>
      </c>
      <c r="BH407" s="791" t="str">
        <f t="shared" si="155"/>
        <v/>
      </c>
      <c r="BI407" s="792"/>
      <c r="BJ407" s="793">
        <f t="shared" si="153"/>
        <v>0</v>
      </c>
      <c r="BK407" s="794" t="str">
        <f t="shared" si="152"/>
        <v/>
      </c>
      <c r="BL407" s="227" t="s">
        <v>21</v>
      </c>
      <c r="BM407" s="773">
        <f t="shared" ref="BM407:BM470" si="162">IFERROR(_xlfn.LET(_xlpm.EPS,0.000000001,_xlpm.b,V407/AU407,IF(ISNUMBER(AY407),_xlpm.b*AY407,IF(OR(ISBLANK(AY407),AY407=""),_xlpm.b*AW407,IF(AND(BN407=0,ISNUMBER(V407)),_xlpm.b/AW407,0)))),0)</f>
        <v>0</v>
      </c>
      <c r="BN407" s="774">
        <f t="shared" ref="BN407:BN470" si="163">IF(AR407&gt;0,IFERROR(IF(OR(ISBLANK(AY407),AY407=""),AW407,AY407)/AU407,0),0)</f>
        <v>0</v>
      </c>
      <c r="BO407"/>
      <c r="BX407"/>
      <c r="BY407"/>
      <c r="BZ407"/>
      <c r="CA407"/>
      <c r="CB407"/>
      <c r="CC407"/>
      <c r="CD407" s="781" t="str">
        <f t="shared" si="156"/>
        <v>►</v>
      </c>
      <c r="CE407" s="633"/>
      <c r="CF407" s="633"/>
      <c r="CG407" s="633"/>
      <c r="CH407" s="633"/>
      <c r="CI407" s="633"/>
      <c r="CJ407" s="227"/>
      <c r="CK407"/>
      <c r="CL407"/>
      <c r="CM407"/>
      <c r="CN407"/>
      <c r="CO407"/>
      <c r="CP407"/>
      <c r="CQ407"/>
      <c r="CR407" s="227"/>
      <c r="CS407"/>
      <c r="CT407"/>
      <c r="CU407"/>
      <c r="CV407"/>
      <c r="CW407"/>
      <c r="CX407"/>
      <c r="CY407"/>
      <c r="CZ407" s="227"/>
      <c r="DA407"/>
      <c r="DB407"/>
      <c r="DC407"/>
      <c r="DD407"/>
      <c r="DE407"/>
      <c r="DF407"/>
      <c r="DG407"/>
      <c r="DH407" s="227"/>
      <c r="DI407" s="3">
        <v>1</v>
      </c>
    </row>
    <row r="408" spans="2:113" s="627" customFormat="1" ht="21" customHeight="1">
      <c r="B408" s="2265" t="str" cm="1">
        <f t="array" ref="B408">SUMPRODUCT(--(D408:J408&lt;&gt;""), LEN(TRIM(SUBSTITUTE(D408:J408, CHAR(160), "")))) &amp; " Car."</f>
        <v>0 Car.</v>
      </c>
      <c r="C408" s="1376" t="str">
        <f>IF(ISBLANK(D408),"",LARGE(C13:C407,1)+1)</f>
        <v/>
      </c>
      <c r="D408" s="1833"/>
      <c r="E408" s="1810"/>
      <c r="F408" s="1810"/>
      <c r="G408" s="1810"/>
      <c r="H408" s="1810"/>
      <c r="I408" s="1810"/>
      <c r="J408" s="1810"/>
      <c r="K408" s="1810"/>
      <c r="L408" s="1811"/>
      <c r="M408"/>
      <c r="N408" s="103" t="str">
        <f t="shared" si="158"/>
        <v>►</v>
      </c>
      <c r="O408" s="1616"/>
      <c r="P408"/>
      <c r="Q408" s="25" t="s">
        <v>15</v>
      </c>
      <c r="R408" s="31"/>
      <c r="S408" s="32"/>
      <c r="T408" s="31"/>
      <c r="U408" s="33"/>
      <c r="V408" s="1967"/>
      <c r="W408" s="1805"/>
      <c r="X408" s="91"/>
      <c r="Y408" s="1806"/>
      <c r="Z408" s="1968"/>
      <c r="AA408" s="2244"/>
      <c r="AB408" s="1969"/>
      <c r="AC408" s="1365"/>
      <c r="AD408" s="95"/>
      <c r="AE408" s="1326"/>
      <c r="AF408" s="97"/>
      <c r="AG408" s="1737"/>
      <c r="AH408" s="1970"/>
      <c r="AI408" s="99"/>
      <c r="AJ408" s="1809"/>
      <c r="AK408" s="6120" t="str">
        <f t="shared" si="159"/>
        <v>►</v>
      </c>
      <c r="AL408" s="781" t="str">
        <f t="shared" si="161"/>
        <v>►</v>
      </c>
      <c r="AM408" s="5498" t="str">
        <f t="shared" ref="AM408:AM471" si="164">IF(IFERROR(SEARCH("Adresse PC",TRIM(SUBSTITUTE(W408,CHAR(160)," "))),0)&gt;0,"▼ recette suivante",IF(AK408="A",R408,""))</f>
        <v/>
      </c>
      <c r="AN408" s="783" t="str">
        <f t="shared" ref="AN408:AN471" si="165">IF(AK408="A",S408,"")</f>
        <v/>
      </c>
      <c r="AO408" s="782" t="str">
        <f t="shared" ref="AO408:AO471" si="166">IF(AK408="A",T408,"")</f>
        <v/>
      </c>
      <c r="AP408" s="783" t="str">
        <f t="shared" ref="AP408:AP471" si="167">IF(AK408="A",Z408,"")</f>
        <v/>
      </c>
      <c r="AQ408" s="2083" t="b">
        <f>AND(Q408="A",COUNTIF(BP16:BR63,TRIM(Z408))&gt;0)</f>
        <v>0</v>
      </c>
      <c r="AR408" s="797" t="str">
        <f>IF(AL408&lt;&gt;"A","",IFERROR(IFERROR(_xlfn.XLOOKUP(TRIM(SUBSTITUTE(Z408,CHAR(160)," ")),BP16:BP63,BS16:BS63),IFERROR(_xlfn.XLOOKUP(TRIM(SUBSTITUTE(Z408,CHAR(160)," ")),BQ16:BQ63,BS16:BS63),_xlfn.XLOOKUP(TRIM(SUBSTITUTE(Z408,CHAR(160)," ")),BR16:BR63,BS16:BS63)))*Y408*IF(ISBLANK(V408),1,V408),0))</f>
        <v/>
      </c>
      <c r="AS408" s="784" t="str">
        <f t="shared" si="157"/>
        <v/>
      </c>
      <c r="AT408" s="1315" t="str">
        <f t="shared" ref="AT408:AT471" si="168">IF(AK408="A","❾ Author reference &gt;","")</f>
        <v/>
      </c>
      <c r="AU408" s="785">
        <f t="shared" ref="AU408:AU471" si="169">IF(AK408="A",S408,0)</f>
        <v>0</v>
      </c>
      <c r="AV408" s="785">
        <f t="shared" ref="AV408:AV471" si="170">IF(AK408="A",T408,0)</f>
        <v>0</v>
      </c>
      <c r="AW408" s="798">
        <f>IF(AK408="A",AY10,0)</f>
        <v>0</v>
      </c>
      <c r="AX408" s="5496" t="str">
        <f>IF(IFERROR(SEARCH("Adresse PC",TRIM(W408)),0)&gt;0,"▼ receta siguiente",IF(AK408="A",IF(AZ10&lt;&gt;"",AZ10&amp;" - ou.or.o ❾ + or - &gt;",""),""))</f>
        <v/>
      </c>
      <c r="AY408" s="810"/>
      <c r="AZ408" s="810"/>
      <c r="BA408" s="799" t="str">
        <f t="shared" si="160"/>
        <v/>
      </c>
      <c r="BB408" s="800" t="str">
        <f>IF(AK408="A",IF(AQ408,IF(AND(AW408&lt;&gt;"",N(AW408)&gt;0),IFERROR(IFERROR(_xlfn.XLOOKUP(AP408,BP10:BP57,BT10:BT57),IFERROR(_xlfn.XLOOKUP(AP408,BQ10:BQ57,BT10:BT57),_xlfn.XLOOKUP(AP408,BR10:BR57,BT10:BT57,""))),""),""),""),"")</f>
        <v/>
      </c>
      <c r="BC408" s="813" cm="1">
        <f t="array" ref="BC408">IF(NOT(AQ408),0,IF(OR(BA408="",N(BA408)&lt;=0.000000001),"",IF(OR(AU408="",N(AU408)&lt;=0.000000001),0,IF(ISNUMBER(BA408),IFERROR(_xlfn.LET(_xlpm.ai_test,TRIM(AP408),_xlpm.r,IFERROR(_xlfn.XLOOKUP(_xlpm.ai_test,BP16:BP63,ROW(BP16:BP63),0,1),IFERROR(_xlfn.XLOOKUP(_xlpm.ai_test,BQ16:BQ63,ROW(BQ16:BQ63),0,1),_xlfn.XLOOKUP(_xlpm.ai_test,BR16:BR63,ROW(BR16:BR63),0,1))),_xlpm.p,_xlpm.r-MIN(ROW(BP16:BP63))+1,_xlpm.f,INDEX(BS16:BS63,_xlpm.p),_xlpm.u,INDEX(BT16:BT63,_xlpm.p),_xlpm.s,INDEX(BV16:BV63,_xlpm.p),_xlpm.q,N(BA408)/_xlpm.f,IF(_xlpm.q&gt;=_xlpm.s,ROUND(_xlpm.q,1)&amp;" "&amp;_xlpm.ai_test&amp;" = "&amp;ROUND(_xlpm.q*_xlpm.f,1)&amp;" "&amp;_xlpm.u,ROUND(_xlpm.q,1)&amp;" "&amp;_xlpm.ai_test)),""),""))))</f>
        <v>0</v>
      </c>
      <c r="BD408" s="801"/>
      <c r="BE408" s="799" t="str">
        <f t="shared" ref="BE408:BE471" si="171">IF(IFERROR(SEARCH("Adresse PC",TRIM(W408)),0)&gt;0,"▼next ricipe ",IF(BA408="","",IF(AK408="A",IF(ISBLANK(BD408),BA408,ROUND(BA408*(1-MIN(1,MAX(0,IF(BD408&gt;1,BD408/100,BD408)))),3)))))</f>
        <v/>
      </c>
      <c r="BF408" s="800" t="str">
        <f t="shared" ref="BF408:BF471" si="172">IF(AQ408,BB408,"")</f>
        <v/>
      </c>
      <c r="BG408" s="802">
        <f t="shared" si="154"/>
        <v>0</v>
      </c>
      <c r="BH408" s="803" t="str">
        <f t="shared" si="155"/>
        <v/>
      </c>
      <c r="BI408" s="792"/>
      <c r="BJ408" s="804">
        <f t="shared" si="153"/>
        <v>0</v>
      </c>
      <c r="BK408" s="794" t="str">
        <f t="shared" ref="BK408:BK471" si="173">IF(AK408="A",IF(IFERROR(SEARCH("Adresse PC",TRIM(W408)),0)&gt;0,"▼recette suivante ",IF(BE408&gt;0,AC408,"")),"")</f>
        <v/>
      </c>
      <c r="BL408" s="227" t="s">
        <v>21</v>
      </c>
      <c r="BM408" s="773">
        <f t="shared" si="162"/>
        <v>0</v>
      </c>
      <c r="BN408" s="774">
        <f t="shared" si="163"/>
        <v>0</v>
      </c>
      <c r="BO408"/>
      <c r="BX408"/>
      <c r="BY408"/>
      <c r="BZ408"/>
      <c r="CA408"/>
      <c r="CB408"/>
      <c r="CC408"/>
      <c r="CD408" s="781" t="str">
        <f t="shared" si="156"/>
        <v>►</v>
      </c>
      <c r="CE408" s="633"/>
      <c r="CF408" s="633"/>
      <c r="CG408" s="633"/>
      <c r="CH408" s="633"/>
      <c r="CI408" s="633"/>
      <c r="CJ408" s="227"/>
      <c r="CK408"/>
      <c r="CL408"/>
      <c r="CM408"/>
      <c r="CN408"/>
      <c r="CO408"/>
      <c r="CP408"/>
      <c r="CQ408"/>
      <c r="CR408" s="227"/>
      <c r="CS408"/>
      <c r="CT408"/>
      <c r="CU408"/>
      <c r="CV408"/>
      <c r="CW408"/>
      <c r="CX408"/>
      <c r="CY408"/>
      <c r="CZ408" s="227"/>
      <c r="DA408"/>
      <c r="DB408"/>
      <c r="DC408"/>
      <c r="DD408"/>
      <c r="DE408"/>
      <c r="DF408"/>
      <c r="DG408"/>
      <c r="DH408" s="227"/>
      <c r="DI408" s="3">
        <v>1</v>
      </c>
    </row>
    <row r="409" spans="2:113" s="627" customFormat="1" ht="21" customHeight="1">
      <c r="B409" s="2265" t="str" cm="1">
        <f t="array" ref="B409">SUMPRODUCT(--(D409:J409&lt;&gt;""), LEN(TRIM(SUBSTITUTE(D409:J409, CHAR(160), "")))) &amp; " Car."</f>
        <v>0 Car.</v>
      </c>
      <c r="C409" s="1376" t="str">
        <f>IF(ISBLANK(D409),"",LARGE(C13:C408,1)+1)</f>
        <v/>
      </c>
      <c r="D409" s="1833"/>
      <c r="E409" s="1810"/>
      <c r="F409" s="1810"/>
      <c r="G409" s="1810"/>
      <c r="H409" s="1810"/>
      <c r="I409" s="1810"/>
      <c r="J409" s="1810"/>
      <c r="K409" s="1810"/>
      <c r="L409" s="1811"/>
      <c r="M409"/>
      <c r="N409" s="103" t="str">
        <f t="shared" si="158"/>
        <v>►</v>
      </c>
      <c r="O409" s="1616"/>
      <c r="P409"/>
      <c r="Q409" s="25" t="s">
        <v>15</v>
      </c>
      <c r="R409" s="31"/>
      <c r="S409" s="32"/>
      <c r="T409" s="31"/>
      <c r="U409" s="33"/>
      <c r="V409" s="1967"/>
      <c r="W409" s="1805"/>
      <c r="X409" s="91"/>
      <c r="Y409" s="1806"/>
      <c r="Z409" s="1968"/>
      <c r="AA409" s="2244"/>
      <c r="AB409" s="1969"/>
      <c r="AC409" s="1365"/>
      <c r="AD409" s="95"/>
      <c r="AE409" s="1326"/>
      <c r="AF409" s="97"/>
      <c r="AG409" s="1737"/>
      <c r="AH409" s="1970"/>
      <c r="AI409" s="99"/>
      <c r="AJ409" s="1809"/>
      <c r="AK409" s="6120" t="str">
        <f t="shared" si="159"/>
        <v>►</v>
      </c>
      <c r="AL409" s="781" t="str">
        <f t="shared" si="161"/>
        <v>►</v>
      </c>
      <c r="AM409" s="5499" t="str">
        <f t="shared" si="164"/>
        <v/>
      </c>
      <c r="AN409" s="783" t="str">
        <f t="shared" si="165"/>
        <v/>
      </c>
      <c r="AO409" s="782" t="str">
        <f t="shared" si="166"/>
        <v/>
      </c>
      <c r="AP409" s="783" t="str">
        <f t="shared" si="167"/>
        <v/>
      </c>
      <c r="AQ409" s="2083" t="b">
        <f>AND(Q409="A",COUNTIF(BP16:BR63,TRIM(Z409))&gt;0)</f>
        <v>0</v>
      </c>
      <c r="AR409" s="797" t="str">
        <f>IF(AL409&lt;&gt;"A","",IFERROR(IFERROR(_xlfn.XLOOKUP(TRIM(SUBSTITUTE(Z409,CHAR(160)," ")),BP16:BP63,BS16:BS63),IFERROR(_xlfn.XLOOKUP(TRIM(SUBSTITUTE(Z409,CHAR(160)," ")),BQ16:BQ63,BS16:BS63),_xlfn.XLOOKUP(TRIM(SUBSTITUTE(Z409,CHAR(160)," ")),BR16:BR63,BS16:BS63)))*Y409*IF(ISBLANK(V409),1,V409),0))</f>
        <v/>
      </c>
      <c r="AS409" s="784" t="str">
        <f t="shared" si="157"/>
        <v/>
      </c>
      <c r="AT409" s="1315" t="str">
        <f t="shared" si="168"/>
        <v/>
      </c>
      <c r="AU409" s="785">
        <f t="shared" si="169"/>
        <v>0</v>
      </c>
      <c r="AV409" s="785">
        <f t="shared" si="170"/>
        <v>0</v>
      </c>
      <c r="AW409" s="786">
        <f>IF(AK409="A",AY10,0)</f>
        <v>0</v>
      </c>
      <c r="AX409" s="5495" t="str">
        <f>IF(IFERROR(SEARCH("Adresse PC",TRIM(W409)),0)&gt;0,"▼ receta siguiente",IF(AK409="A",IF(AZ10&lt;&gt;"",AZ10&amp;" - ou.or.o ❾ + or - &gt;",""),""))</f>
        <v/>
      </c>
      <c r="AY409" s="810"/>
      <c r="AZ409" s="810"/>
      <c r="BA409" s="788" t="str">
        <f t="shared" si="160"/>
        <v/>
      </c>
      <c r="BB409" s="789" t="str">
        <f>IF(AK409="A",IF(AQ409,IF(AND(AW409&lt;&gt;"",N(AW409)&gt;0),IFERROR(IFERROR(_xlfn.XLOOKUP(AP409,BP10:BP57,BT10:BT57),IFERROR(_xlfn.XLOOKUP(AP409,BQ10:BQ57,BT10:BT57),_xlfn.XLOOKUP(AP409,BR10:BR57,BT10:BT57,""))),""),""),""),"")</f>
        <v/>
      </c>
      <c r="BC409" s="811" cm="1">
        <f t="array" ref="BC409">IF(NOT(AQ409),0,IF(OR(BA409="",N(BA409)&lt;=0.000000001),"",IF(OR(AU409="",N(AU409)&lt;=0.000000001),0,IF(ISNUMBER(BA409),IFERROR(_xlfn.LET(_xlpm.ai_test,TRIM(AP409),_xlpm.r,IFERROR(_xlfn.XLOOKUP(_xlpm.ai_test,BP16:BP63,ROW(BP16:BP63),0,1),IFERROR(_xlfn.XLOOKUP(_xlpm.ai_test,BQ16:BQ63,ROW(BQ16:BQ63),0,1),_xlfn.XLOOKUP(_xlpm.ai_test,BR16:BR63,ROW(BR16:BR63),0,1))),_xlpm.p,_xlpm.r-MIN(ROW(BP16:BP63))+1,_xlpm.f,INDEX(BS16:BS63,_xlpm.p),_xlpm.u,INDEX(BT16:BT63,_xlpm.p),_xlpm.s,INDEX(BV16:BV63,_xlpm.p),_xlpm.q,N(BA409)/_xlpm.f,IF(_xlpm.q&gt;=_xlpm.s,ROUND(_xlpm.q,1)&amp;" "&amp;_xlpm.ai_test&amp;" = "&amp;ROUND(_xlpm.q*_xlpm.f,1)&amp;" "&amp;_xlpm.u,ROUND(_xlpm.q,1)&amp;" "&amp;_xlpm.ai_test)),""),""))))</f>
        <v>0</v>
      </c>
      <c r="BD409" s="801"/>
      <c r="BE409" s="788" t="str">
        <f t="shared" si="171"/>
        <v/>
      </c>
      <c r="BF409" s="789" t="str">
        <f t="shared" si="172"/>
        <v/>
      </c>
      <c r="BG409" s="790">
        <f t="shared" si="154"/>
        <v>0</v>
      </c>
      <c r="BH409" s="791" t="str">
        <f t="shared" si="155"/>
        <v/>
      </c>
      <c r="BI409" s="792"/>
      <c r="BJ409" s="793">
        <f t="shared" si="153"/>
        <v>0</v>
      </c>
      <c r="BK409" s="794" t="str">
        <f t="shared" si="173"/>
        <v/>
      </c>
      <c r="BL409" s="227" t="s">
        <v>21</v>
      </c>
      <c r="BM409" s="773">
        <f t="shared" si="162"/>
        <v>0</v>
      </c>
      <c r="BN409" s="774">
        <f t="shared" si="163"/>
        <v>0</v>
      </c>
      <c r="BO409"/>
      <c r="BX409"/>
      <c r="BY409"/>
      <c r="BZ409"/>
      <c r="CA409"/>
      <c r="CB409"/>
      <c r="CC409"/>
      <c r="CD409" s="781" t="str">
        <f t="shared" si="156"/>
        <v>►</v>
      </c>
      <c r="CE409" s="633"/>
      <c r="CF409" s="633"/>
      <c r="CG409" s="633"/>
      <c r="CH409" s="633"/>
      <c r="CI409" s="633"/>
      <c r="CJ409" s="227"/>
      <c r="CK409"/>
      <c r="CL409"/>
      <c r="CM409"/>
      <c r="CN409"/>
      <c r="CO409"/>
      <c r="CP409"/>
      <c r="CQ409"/>
      <c r="CR409" s="227"/>
      <c r="CS409"/>
      <c r="CT409"/>
      <c r="CU409"/>
      <c r="CV409"/>
      <c r="CW409"/>
      <c r="CX409"/>
      <c r="CY409"/>
      <c r="CZ409" s="227"/>
      <c r="DA409"/>
      <c r="DB409"/>
      <c r="DC409"/>
      <c r="DD409"/>
      <c r="DE409"/>
      <c r="DF409"/>
      <c r="DG409"/>
      <c r="DH409" s="227"/>
      <c r="DI409" s="3">
        <v>1</v>
      </c>
    </row>
    <row r="410" spans="2:113" s="627" customFormat="1" ht="21" customHeight="1">
      <c r="B410" s="2265" t="str" cm="1">
        <f t="array" ref="B410">SUMPRODUCT(--(D410:J410&lt;&gt;""), LEN(TRIM(SUBSTITUTE(D410:J410, CHAR(160), "")))) &amp; " Car."</f>
        <v>0 Car.</v>
      </c>
      <c r="C410" s="1376" t="str">
        <f>IF(ISBLANK(D410),"",LARGE(C13:C409,1)+1)</f>
        <v/>
      </c>
      <c r="D410" s="1833"/>
      <c r="E410" s="1810"/>
      <c r="F410" s="1810"/>
      <c r="G410" s="1810"/>
      <c r="H410" s="1810"/>
      <c r="I410" s="1810"/>
      <c r="J410" s="1810"/>
      <c r="K410" s="1810"/>
      <c r="L410" s="1811"/>
      <c r="M410"/>
      <c r="N410" s="103" t="str">
        <f t="shared" si="158"/>
        <v>►</v>
      </c>
      <c r="O410" s="1616"/>
      <c r="P410"/>
      <c r="Q410" s="25" t="s">
        <v>15</v>
      </c>
      <c r="R410" s="31"/>
      <c r="S410" s="32"/>
      <c r="T410" s="31"/>
      <c r="U410" s="33"/>
      <c r="V410" s="1967"/>
      <c r="W410" s="1805"/>
      <c r="X410" s="91"/>
      <c r="Y410" s="1806"/>
      <c r="Z410" s="1968"/>
      <c r="AA410" s="2244"/>
      <c r="AB410" s="1969"/>
      <c r="AC410" s="1365"/>
      <c r="AD410" s="95"/>
      <c r="AE410" s="1326"/>
      <c r="AF410" s="97"/>
      <c r="AG410" s="1737"/>
      <c r="AH410" s="1970"/>
      <c r="AI410" s="99"/>
      <c r="AJ410" s="1809"/>
      <c r="AK410" s="6120" t="str">
        <f t="shared" si="159"/>
        <v>►</v>
      </c>
      <c r="AL410" s="781" t="str">
        <f t="shared" si="161"/>
        <v>►</v>
      </c>
      <c r="AM410" s="5498" t="str">
        <f t="shared" si="164"/>
        <v/>
      </c>
      <c r="AN410" s="783" t="str">
        <f t="shared" si="165"/>
        <v/>
      </c>
      <c r="AO410" s="782" t="str">
        <f t="shared" si="166"/>
        <v/>
      </c>
      <c r="AP410" s="783" t="str">
        <f t="shared" si="167"/>
        <v/>
      </c>
      <c r="AQ410" s="2083" t="b">
        <f>AND(Q410="A",COUNTIF(BP16:BR63,TRIM(Z410))&gt;0)</f>
        <v>0</v>
      </c>
      <c r="AR410" s="797" t="str">
        <f>IF(AL410&lt;&gt;"A","",IFERROR(IFERROR(_xlfn.XLOOKUP(TRIM(SUBSTITUTE(Z410,CHAR(160)," ")),BP16:BP63,BS16:BS63),IFERROR(_xlfn.XLOOKUP(TRIM(SUBSTITUTE(Z410,CHAR(160)," ")),BQ16:BQ63,BS16:BS63),_xlfn.XLOOKUP(TRIM(SUBSTITUTE(Z410,CHAR(160)," ")),BR16:BR63,BS16:BS63)))*Y410*IF(ISBLANK(V410),1,V410),0))</f>
        <v/>
      </c>
      <c r="AS410" s="784" t="str">
        <f t="shared" si="157"/>
        <v/>
      </c>
      <c r="AT410" s="1315" t="str">
        <f t="shared" si="168"/>
        <v/>
      </c>
      <c r="AU410" s="785">
        <f t="shared" si="169"/>
        <v>0</v>
      </c>
      <c r="AV410" s="785">
        <f t="shared" si="170"/>
        <v>0</v>
      </c>
      <c r="AW410" s="798">
        <f>IF(AK410="A",AY10,0)</f>
        <v>0</v>
      </c>
      <c r="AX410" s="5496" t="str">
        <f>IF(IFERROR(SEARCH("Adresse PC",TRIM(W410)),0)&gt;0,"▼ receta siguiente",IF(AK410="A",IF(AZ10&lt;&gt;"",AZ10&amp;" - ou.or.o ❾ + or - &gt;",""),""))</f>
        <v/>
      </c>
      <c r="AY410" s="810"/>
      <c r="AZ410" s="810"/>
      <c r="BA410" s="799" t="str">
        <f t="shared" si="160"/>
        <v/>
      </c>
      <c r="BB410" s="800" t="str">
        <f>IF(AK410="A",IF(AQ410,IF(AND(AW410&lt;&gt;"",N(AW410)&gt;0),IFERROR(IFERROR(_xlfn.XLOOKUP(AP410,BP10:BP57,BT10:BT57),IFERROR(_xlfn.XLOOKUP(AP410,BQ10:BQ57,BT10:BT57),_xlfn.XLOOKUP(AP410,BR10:BR57,BT10:BT57,""))),""),""),""),"")</f>
        <v/>
      </c>
      <c r="BC410" s="813" cm="1">
        <f t="array" ref="BC410">IF(NOT(AQ410),0,IF(OR(BA410="",N(BA410)&lt;=0.000000001),"",IF(OR(AU410="",N(AU410)&lt;=0.000000001),0,IF(ISNUMBER(BA410),IFERROR(_xlfn.LET(_xlpm.ai_test,TRIM(AP410),_xlpm.r,IFERROR(_xlfn.XLOOKUP(_xlpm.ai_test,BP16:BP63,ROW(BP16:BP63),0,1),IFERROR(_xlfn.XLOOKUP(_xlpm.ai_test,BQ16:BQ63,ROW(BQ16:BQ63),0,1),_xlfn.XLOOKUP(_xlpm.ai_test,BR16:BR63,ROW(BR16:BR63),0,1))),_xlpm.p,_xlpm.r-MIN(ROW(BP16:BP63))+1,_xlpm.f,INDEX(BS16:BS63,_xlpm.p),_xlpm.u,INDEX(BT16:BT63,_xlpm.p),_xlpm.s,INDEX(BV16:BV63,_xlpm.p),_xlpm.q,N(BA410)/_xlpm.f,IF(_xlpm.q&gt;=_xlpm.s,ROUND(_xlpm.q,1)&amp;" "&amp;_xlpm.ai_test&amp;" = "&amp;ROUND(_xlpm.q*_xlpm.f,1)&amp;" "&amp;_xlpm.u,ROUND(_xlpm.q,1)&amp;" "&amp;_xlpm.ai_test)),""),""))))</f>
        <v>0</v>
      </c>
      <c r="BD410" s="801"/>
      <c r="BE410" s="799" t="str">
        <f t="shared" si="171"/>
        <v/>
      </c>
      <c r="BF410" s="800" t="str">
        <f t="shared" si="172"/>
        <v/>
      </c>
      <c r="BG410" s="802">
        <f t="shared" si="154"/>
        <v>0</v>
      </c>
      <c r="BH410" s="803" t="str">
        <f t="shared" si="155"/>
        <v/>
      </c>
      <c r="BI410" s="792"/>
      <c r="BJ410" s="804">
        <f t="shared" si="153"/>
        <v>0</v>
      </c>
      <c r="BK410" s="794" t="str">
        <f t="shared" si="173"/>
        <v/>
      </c>
      <c r="BL410" s="227" t="s">
        <v>21</v>
      </c>
      <c r="BM410" s="773">
        <f t="shared" si="162"/>
        <v>0</v>
      </c>
      <c r="BN410" s="774">
        <f t="shared" si="163"/>
        <v>0</v>
      </c>
      <c r="BO410"/>
      <c r="BX410"/>
      <c r="BY410"/>
      <c r="BZ410"/>
      <c r="CA410"/>
      <c r="CB410"/>
      <c r="CC410"/>
      <c r="CD410" s="781" t="str">
        <f t="shared" si="156"/>
        <v>►</v>
      </c>
      <c r="CE410" s="633"/>
      <c r="CF410" s="633"/>
      <c r="CG410" s="633"/>
      <c r="CH410" s="633"/>
      <c r="CI410" s="633"/>
      <c r="CJ410" s="227"/>
      <c r="CK410"/>
      <c r="CL410"/>
      <c r="CM410"/>
      <c r="CN410"/>
      <c r="CO410"/>
      <c r="CP410"/>
      <c r="CQ410"/>
      <c r="CR410" s="227"/>
      <c r="CS410"/>
      <c r="CT410"/>
      <c r="CU410"/>
      <c r="CV410"/>
      <c r="CW410"/>
      <c r="CX410"/>
      <c r="CY410"/>
      <c r="CZ410" s="227"/>
      <c r="DA410"/>
      <c r="DB410"/>
      <c r="DC410"/>
      <c r="DD410"/>
      <c r="DE410"/>
      <c r="DF410"/>
      <c r="DG410"/>
      <c r="DH410" s="227"/>
      <c r="DI410" s="3">
        <v>1</v>
      </c>
    </row>
    <row r="411" spans="2:113" s="627" customFormat="1" ht="21" customHeight="1">
      <c r="B411" s="2265" t="str" cm="1">
        <f t="array" ref="B411">SUMPRODUCT(--(D411:J411&lt;&gt;""), LEN(TRIM(SUBSTITUTE(D411:J411, CHAR(160), "")))) &amp; " Car."</f>
        <v>0 Car.</v>
      </c>
      <c r="C411" s="1376" t="str">
        <f>IF(ISBLANK(D411),"",LARGE(C13:C410,1)+1)</f>
        <v/>
      </c>
      <c r="D411" s="1833"/>
      <c r="E411" s="1810"/>
      <c r="F411" s="1810"/>
      <c r="G411" s="1810"/>
      <c r="H411" s="1810"/>
      <c r="I411" s="1810"/>
      <c r="J411" s="1810"/>
      <c r="K411" s="1810"/>
      <c r="L411" s="1811"/>
      <c r="M411"/>
      <c r="N411" s="103" t="str">
        <f t="shared" si="158"/>
        <v>►</v>
      </c>
      <c r="O411" s="1616"/>
      <c r="P411"/>
      <c r="Q411" s="25" t="s">
        <v>15</v>
      </c>
      <c r="R411" s="31"/>
      <c r="S411" s="32"/>
      <c r="T411" s="31"/>
      <c r="U411" s="33"/>
      <c r="V411" s="1967"/>
      <c r="W411" s="1805"/>
      <c r="X411" s="91"/>
      <c r="Y411" s="1806"/>
      <c r="Z411" s="1968"/>
      <c r="AA411" s="2244"/>
      <c r="AB411" s="1969"/>
      <c r="AC411" s="1365"/>
      <c r="AD411" s="95"/>
      <c r="AE411" s="1326"/>
      <c r="AF411" s="97"/>
      <c r="AG411" s="1737"/>
      <c r="AH411" s="1970"/>
      <c r="AI411" s="99"/>
      <c r="AJ411" s="1809"/>
      <c r="AK411" s="6120" t="str">
        <f t="shared" si="159"/>
        <v>►</v>
      </c>
      <c r="AL411" s="781" t="str">
        <f t="shared" si="161"/>
        <v>►</v>
      </c>
      <c r="AM411" s="5499" t="str">
        <f t="shared" si="164"/>
        <v/>
      </c>
      <c r="AN411" s="783" t="str">
        <f t="shared" si="165"/>
        <v/>
      </c>
      <c r="AO411" s="782" t="str">
        <f t="shared" si="166"/>
        <v/>
      </c>
      <c r="AP411" s="783" t="str">
        <f t="shared" si="167"/>
        <v/>
      </c>
      <c r="AQ411" s="2083" t="b">
        <f>AND(Q411="A",COUNTIF(BP16:BR63,TRIM(Z411))&gt;0)</f>
        <v>0</v>
      </c>
      <c r="AR411" s="797" t="str">
        <f>IF(AL411&lt;&gt;"A","",IFERROR(IFERROR(_xlfn.XLOOKUP(TRIM(SUBSTITUTE(Z411,CHAR(160)," ")),BP16:BP63,BS16:BS63),IFERROR(_xlfn.XLOOKUP(TRIM(SUBSTITUTE(Z411,CHAR(160)," ")),BQ16:BQ63,BS16:BS63),_xlfn.XLOOKUP(TRIM(SUBSTITUTE(Z411,CHAR(160)," ")),BR16:BR63,BS16:BS63)))*Y411*IF(ISBLANK(V411),1,V411),0))</f>
        <v/>
      </c>
      <c r="AS411" s="784" t="str">
        <f t="shared" si="157"/>
        <v/>
      </c>
      <c r="AT411" s="1315" t="str">
        <f t="shared" si="168"/>
        <v/>
      </c>
      <c r="AU411" s="785">
        <f t="shared" si="169"/>
        <v>0</v>
      </c>
      <c r="AV411" s="785">
        <f t="shared" si="170"/>
        <v>0</v>
      </c>
      <c r="AW411" s="786">
        <f>IF(AK411="A",AY10,0)</f>
        <v>0</v>
      </c>
      <c r="AX411" s="5495" t="str">
        <f>IF(IFERROR(SEARCH("Adresse PC",TRIM(W411)),0)&gt;0,"▼ receta siguiente",IF(AK411="A",IF(AZ10&lt;&gt;"",AZ10&amp;" - ou.or.o ❾ + or - &gt;",""),""))</f>
        <v/>
      </c>
      <c r="AY411" s="810"/>
      <c r="AZ411" s="810"/>
      <c r="BA411" s="788" t="str">
        <f t="shared" si="160"/>
        <v/>
      </c>
      <c r="BB411" s="789" t="str">
        <f>IF(AK411="A",IF(AQ411,IF(AND(AW411&lt;&gt;"",N(AW411)&gt;0),IFERROR(IFERROR(_xlfn.XLOOKUP(AP411,BP10:BP57,BT10:BT57),IFERROR(_xlfn.XLOOKUP(AP411,BQ10:BQ57,BT10:BT57),_xlfn.XLOOKUP(AP411,BR10:BR57,BT10:BT57,""))),""),""),""),"")</f>
        <v/>
      </c>
      <c r="BC411" s="811" cm="1">
        <f t="array" ref="BC411">IF(NOT(AQ411),0,IF(OR(BA411="",N(BA411)&lt;=0.000000001),"",IF(OR(AU411="",N(AU411)&lt;=0.000000001),0,IF(ISNUMBER(BA411),IFERROR(_xlfn.LET(_xlpm.ai_test,TRIM(AP411),_xlpm.r,IFERROR(_xlfn.XLOOKUP(_xlpm.ai_test,BP16:BP63,ROW(BP16:BP63),0,1),IFERROR(_xlfn.XLOOKUP(_xlpm.ai_test,BQ16:BQ63,ROW(BQ16:BQ63),0,1),_xlfn.XLOOKUP(_xlpm.ai_test,BR16:BR63,ROW(BR16:BR63),0,1))),_xlpm.p,_xlpm.r-MIN(ROW(BP16:BP63))+1,_xlpm.f,INDEX(BS16:BS63,_xlpm.p),_xlpm.u,INDEX(BT16:BT63,_xlpm.p),_xlpm.s,INDEX(BV16:BV63,_xlpm.p),_xlpm.q,N(BA411)/_xlpm.f,IF(_xlpm.q&gt;=_xlpm.s,ROUND(_xlpm.q,1)&amp;" "&amp;_xlpm.ai_test&amp;" = "&amp;ROUND(_xlpm.q*_xlpm.f,1)&amp;" "&amp;_xlpm.u,ROUND(_xlpm.q,1)&amp;" "&amp;_xlpm.ai_test)),""),""))))</f>
        <v>0</v>
      </c>
      <c r="BD411" s="801"/>
      <c r="BE411" s="788" t="str">
        <f t="shared" si="171"/>
        <v/>
      </c>
      <c r="BF411" s="789" t="str">
        <f t="shared" si="172"/>
        <v/>
      </c>
      <c r="BG411" s="790">
        <f t="shared" si="154"/>
        <v>0</v>
      </c>
      <c r="BH411" s="791" t="str">
        <f t="shared" si="155"/>
        <v/>
      </c>
      <c r="BI411" s="792"/>
      <c r="BJ411" s="793">
        <f t="shared" si="153"/>
        <v>0</v>
      </c>
      <c r="BK411" s="794" t="str">
        <f t="shared" si="173"/>
        <v/>
      </c>
      <c r="BL411" s="227" t="s">
        <v>21</v>
      </c>
      <c r="BM411" s="773">
        <f t="shared" si="162"/>
        <v>0</v>
      </c>
      <c r="BN411" s="774">
        <f t="shared" si="163"/>
        <v>0</v>
      </c>
      <c r="BO411"/>
      <c r="BX411"/>
      <c r="BY411"/>
      <c r="BZ411"/>
      <c r="CA411"/>
      <c r="CB411"/>
      <c r="CC411"/>
      <c r="CD411" s="781" t="str">
        <f t="shared" si="156"/>
        <v>►</v>
      </c>
      <c r="CE411" s="633"/>
      <c r="CF411" s="633"/>
      <c r="CG411" s="633"/>
      <c r="CH411" s="633"/>
      <c r="CI411" s="633"/>
      <c r="CJ411" s="227"/>
      <c r="CK411"/>
      <c r="CL411"/>
      <c r="CM411"/>
      <c r="CN411"/>
      <c r="CO411"/>
      <c r="CP411"/>
      <c r="CQ411"/>
      <c r="CR411" s="227"/>
      <c r="CS411"/>
      <c r="CT411"/>
      <c r="CU411"/>
      <c r="CV411"/>
      <c r="CW411"/>
      <c r="CX411"/>
      <c r="CY411"/>
      <c r="CZ411" s="227"/>
      <c r="DA411"/>
      <c r="DB411"/>
      <c r="DC411"/>
      <c r="DD411"/>
      <c r="DE411"/>
      <c r="DF411"/>
      <c r="DG411"/>
      <c r="DH411" s="227"/>
      <c r="DI411" s="3">
        <v>1</v>
      </c>
    </row>
    <row r="412" spans="2:113" s="627" customFormat="1" ht="21" customHeight="1">
      <c r="B412" s="2265" t="str" cm="1">
        <f t="array" ref="B412">SUMPRODUCT(--(D412:J412&lt;&gt;""), LEN(TRIM(SUBSTITUTE(D412:J412, CHAR(160), "")))) &amp; " Car."</f>
        <v>0 Car.</v>
      </c>
      <c r="C412" s="1376" t="str">
        <f>IF(ISBLANK(D412),"",LARGE(C13:C411,1)+1)</f>
        <v/>
      </c>
      <c r="D412" s="1833"/>
      <c r="E412" s="1810"/>
      <c r="F412" s="1810"/>
      <c r="G412" s="1810"/>
      <c r="H412" s="1810"/>
      <c r="I412" s="1810"/>
      <c r="J412" s="1810"/>
      <c r="K412" s="1810"/>
      <c r="L412" s="1811"/>
      <c r="M412"/>
      <c r="N412" s="103" t="str">
        <f t="shared" si="158"/>
        <v>►</v>
      </c>
      <c r="O412" s="1616"/>
      <c r="P412"/>
      <c r="Q412" s="25" t="s">
        <v>15</v>
      </c>
      <c r="R412" s="31"/>
      <c r="S412" s="32"/>
      <c r="T412" s="31"/>
      <c r="U412" s="33"/>
      <c r="V412" s="1967"/>
      <c r="W412" s="1805"/>
      <c r="X412" s="91"/>
      <c r="Y412" s="1806"/>
      <c r="Z412" s="1968"/>
      <c r="AA412" s="2244"/>
      <c r="AB412" s="1969"/>
      <c r="AC412" s="1365"/>
      <c r="AD412" s="95"/>
      <c r="AE412" s="1326"/>
      <c r="AF412" s="97"/>
      <c r="AG412" s="1737"/>
      <c r="AH412" s="1970"/>
      <c r="AI412" s="99"/>
      <c r="AJ412" s="1809"/>
      <c r="AK412" s="6120" t="str">
        <f t="shared" si="159"/>
        <v>►</v>
      </c>
      <c r="AL412" s="781" t="str">
        <f t="shared" si="161"/>
        <v>►</v>
      </c>
      <c r="AM412" s="5498" t="str">
        <f t="shared" si="164"/>
        <v/>
      </c>
      <c r="AN412" s="783" t="str">
        <f t="shared" si="165"/>
        <v/>
      </c>
      <c r="AO412" s="782" t="str">
        <f t="shared" si="166"/>
        <v/>
      </c>
      <c r="AP412" s="783" t="str">
        <f t="shared" si="167"/>
        <v/>
      </c>
      <c r="AQ412" s="2083" t="b">
        <f>AND(Q412="A",COUNTIF(BP16:BR63,TRIM(Z412))&gt;0)</f>
        <v>0</v>
      </c>
      <c r="AR412" s="797" t="str">
        <f>IF(AL412&lt;&gt;"A","",IFERROR(IFERROR(_xlfn.XLOOKUP(TRIM(SUBSTITUTE(Z412,CHAR(160)," ")),BP16:BP63,BS16:BS63),IFERROR(_xlfn.XLOOKUP(TRIM(SUBSTITUTE(Z412,CHAR(160)," ")),BQ16:BQ63,BS16:BS63),_xlfn.XLOOKUP(TRIM(SUBSTITUTE(Z412,CHAR(160)," ")),BR16:BR63,BS16:BS63)))*Y412*IF(ISBLANK(V412),1,V412),0))</f>
        <v/>
      </c>
      <c r="AS412" s="784" t="str">
        <f t="shared" si="157"/>
        <v/>
      </c>
      <c r="AT412" s="1315" t="str">
        <f t="shared" si="168"/>
        <v/>
      </c>
      <c r="AU412" s="785">
        <f t="shared" si="169"/>
        <v>0</v>
      </c>
      <c r="AV412" s="785">
        <f t="shared" si="170"/>
        <v>0</v>
      </c>
      <c r="AW412" s="798">
        <f>IF(AK412="A",AY10,0)</f>
        <v>0</v>
      </c>
      <c r="AX412" s="5496" t="str">
        <f>IF(IFERROR(SEARCH("Adresse PC",TRIM(W412)),0)&gt;0,"▼ receta siguiente",IF(AK412="A",IF(AZ10&lt;&gt;"",AZ10&amp;" - ou.or.o ❾ + or - &gt;",""),""))</f>
        <v/>
      </c>
      <c r="AY412" s="810"/>
      <c r="AZ412" s="810"/>
      <c r="BA412" s="799" t="str">
        <f t="shared" si="160"/>
        <v/>
      </c>
      <c r="BB412" s="800" t="str">
        <f>IF(AK412="A",IF(AQ412,IF(AND(AW412&lt;&gt;"",N(AW412)&gt;0),IFERROR(IFERROR(_xlfn.XLOOKUP(AP412,BP10:BP57,BT10:BT57),IFERROR(_xlfn.XLOOKUP(AP412,BQ10:BQ57,BT10:BT57),_xlfn.XLOOKUP(AP412,BR10:BR57,BT10:BT57,""))),""),""),""),"")</f>
        <v/>
      </c>
      <c r="BC412" s="813" cm="1">
        <f t="array" ref="BC412">IF(NOT(AQ412),0,IF(OR(BA412="",N(BA412)&lt;=0.000000001),"",IF(OR(AU412="",N(AU412)&lt;=0.000000001),0,IF(ISNUMBER(BA412),IFERROR(_xlfn.LET(_xlpm.ai_test,TRIM(AP412),_xlpm.r,IFERROR(_xlfn.XLOOKUP(_xlpm.ai_test,BP16:BP63,ROW(BP16:BP63),0,1),IFERROR(_xlfn.XLOOKUP(_xlpm.ai_test,BQ16:BQ63,ROW(BQ16:BQ63),0,1),_xlfn.XLOOKUP(_xlpm.ai_test,BR16:BR63,ROW(BR16:BR63),0,1))),_xlpm.p,_xlpm.r-MIN(ROW(BP16:BP63))+1,_xlpm.f,INDEX(BS16:BS63,_xlpm.p),_xlpm.u,INDEX(BT16:BT63,_xlpm.p),_xlpm.s,INDEX(BV16:BV63,_xlpm.p),_xlpm.q,N(BA412)/_xlpm.f,IF(_xlpm.q&gt;=_xlpm.s,ROUND(_xlpm.q,1)&amp;" "&amp;_xlpm.ai_test&amp;" = "&amp;ROUND(_xlpm.q*_xlpm.f,1)&amp;" "&amp;_xlpm.u,ROUND(_xlpm.q,1)&amp;" "&amp;_xlpm.ai_test)),""),""))))</f>
        <v>0</v>
      </c>
      <c r="BD412" s="801"/>
      <c r="BE412" s="799" t="str">
        <f t="shared" si="171"/>
        <v/>
      </c>
      <c r="BF412" s="800" t="str">
        <f t="shared" si="172"/>
        <v/>
      </c>
      <c r="BG412" s="802">
        <f t="shared" si="154"/>
        <v>0</v>
      </c>
      <c r="BH412" s="803" t="str">
        <f t="shared" si="155"/>
        <v/>
      </c>
      <c r="BI412" s="792"/>
      <c r="BJ412" s="804">
        <f t="shared" si="153"/>
        <v>0</v>
      </c>
      <c r="BK412" s="794" t="str">
        <f t="shared" si="173"/>
        <v/>
      </c>
      <c r="BL412" s="227" t="s">
        <v>21</v>
      </c>
      <c r="BM412" s="773">
        <f t="shared" si="162"/>
        <v>0</v>
      </c>
      <c r="BN412" s="774">
        <f t="shared" si="163"/>
        <v>0</v>
      </c>
      <c r="BO412"/>
      <c r="BX412"/>
      <c r="BY412"/>
      <c r="BZ412"/>
      <c r="CA412"/>
      <c r="CB412"/>
      <c r="CC412"/>
      <c r="CD412" s="781" t="str">
        <f t="shared" si="156"/>
        <v>►</v>
      </c>
      <c r="CE412" s="633"/>
      <c r="CF412" s="633"/>
      <c r="CG412" s="633"/>
      <c r="CH412" s="633"/>
      <c r="CI412" s="633"/>
      <c r="CJ412" s="227"/>
      <c r="CK412"/>
      <c r="CL412"/>
      <c r="CM412"/>
      <c r="CN412"/>
      <c r="CO412"/>
      <c r="CP412"/>
      <c r="CQ412"/>
      <c r="CR412" s="227"/>
      <c r="CS412"/>
      <c r="CT412"/>
      <c r="CU412"/>
      <c r="CV412"/>
      <c r="CW412"/>
      <c r="CX412"/>
      <c r="CY412"/>
      <c r="CZ412" s="227"/>
      <c r="DA412"/>
      <c r="DB412"/>
      <c r="DC412"/>
      <c r="DD412"/>
      <c r="DE412"/>
      <c r="DF412"/>
      <c r="DG412"/>
      <c r="DH412" s="227"/>
      <c r="DI412" s="3">
        <v>1</v>
      </c>
    </row>
    <row r="413" spans="2:113" s="627" customFormat="1" ht="21" customHeight="1">
      <c r="B413" s="2265" t="str" cm="1">
        <f t="array" ref="B413">SUMPRODUCT(--(D413:J413&lt;&gt;""), LEN(TRIM(SUBSTITUTE(D413:J413, CHAR(160), "")))) &amp; " Car."</f>
        <v>0 Car.</v>
      </c>
      <c r="C413" s="1376" t="str">
        <f>IF(ISBLANK(D413),"",LARGE(C13:C412,1)+1)</f>
        <v/>
      </c>
      <c r="D413" s="1833"/>
      <c r="E413" s="1810"/>
      <c r="F413" s="1810"/>
      <c r="G413" s="1810"/>
      <c r="H413" s="1810"/>
      <c r="I413" s="1810"/>
      <c r="J413" s="1810"/>
      <c r="K413" s="1810"/>
      <c r="L413" s="1811"/>
      <c r="M413"/>
      <c r="N413" s="103" t="str">
        <f t="shared" si="158"/>
        <v>►</v>
      </c>
      <c r="O413" s="1616"/>
      <c r="P413"/>
      <c r="Q413" s="25" t="s">
        <v>15</v>
      </c>
      <c r="R413" s="31"/>
      <c r="S413" s="32"/>
      <c r="T413" s="31"/>
      <c r="U413" s="33"/>
      <c r="V413" s="1967"/>
      <c r="W413" s="1805"/>
      <c r="X413" s="91"/>
      <c r="Y413" s="1806"/>
      <c r="Z413" s="1968"/>
      <c r="AA413" s="2244"/>
      <c r="AB413" s="1969"/>
      <c r="AC413" s="1365"/>
      <c r="AD413" s="95"/>
      <c r="AE413" s="1326"/>
      <c r="AF413" s="97"/>
      <c r="AG413" s="1737"/>
      <c r="AH413" s="1970"/>
      <c r="AI413" s="99"/>
      <c r="AJ413" s="1809"/>
      <c r="AK413" s="6120" t="str">
        <f t="shared" si="159"/>
        <v>►</v>
      </c>
      <c r="AL413" s="781" t="str">
        <f t="shared" si="161"/>
        <v>►</v>
      </c>
      <c r="AM413" s="5499" t="str">
        <f t="shared" si="164"/>
        <v/>
      </c>
      <c r="AN413" s="783" t="str">
        <f t="shared" si="165"/>
        <v/>
      </c>
      <c r="AO413" s="782" t="str">
        <f t="shared" si="166"/>
        <v/>
      </c>
      <c r="AP413" s="783" t="str">
        <f t="shared" si="167"/>
        <v/>
      </c>
      <c r="AQ413" s="2083" t="b">
        <f>AND(Q413="A",COUNTIF(BP16:BR63,TRIM(Z413))&gt;0)</f>
        <v>0</v>
      </c>
      <c r="AR413" s="797" t="str">
        <f>IF(AL413&lt;&gt;"A","",IFERROR(IFERROR(_xlfn.XLOOKUP(TRIM(SUBSTITUTE(Z413,CHAR(160)," ")),BP16:BP63,BS16:BS63),IFERROR(_xlfn.XLOOKUP(TRIM(SUBSTITUTE(Z413,CHAR(160)," ")),BQ16:BQ63,BS16:BS63),_xlfn.XLOOKUP(TRIM(SUBSTITUTE(Z413,CHAR(160)," ")),BR16:BR63,BS16:BS63)))*Y413*IF(ISBLANK(V413),1,V413),0))</f>
        <v/>
      </c>
      <c r="AS413" s="784" t="str">
        <f t="shared" si="157"/>
        <v/>
      </c>
      <c r="AT413" s="1315" t="str">
        <f t="shared" si="168"/>
        <v/>
      </c>
      <c r="AU413" s="785">
        <f t="shared" si="169"/>
        <v>0</v>
      </c>
      <c r="AV413" s="785">
        <f t="shared" si="170"/>
        <v>0</v>
      </c>
      <c r="AW413" s="786">
        <f>IF(AK413="A",AY10,0)</f>
        <v>0</v>
      </c>
      <c r="AX413" s="5495" t="str">
        <f>IF(IFERROR(SEARCH("Adresse PC",TRIM(W413)),0)&gt;0,"▼ receta siguiente",IF(AK413="A",IF(AZ10&lt;&gt;"",AZ10&amp;" - ou.or.o ❾ + or - &gt;",""),""))</f>
        <v/>
      </c>
      <c r="AY413" s="810"/>
      <c r="AZ413" s="810"/>
      <c r="BA413" s="788" t="str">
        <f t="shared" si="160"/>
        <v/>
      </c>
      <c r="BB413" s="789" t="str">
        <f>IF(AK413="A",IF(AQ413,IF(AND(AW413&lt;&gt;"",N(AW413)&gt;0),IFERROR(IFERROR(_xlfn.XLOOKUP(AP413,BP10:BP57,BT10:BT57),IFERROR(_xlfn.XLOOKUP(AP413,BQ10:BQ57,BT10:BT57),_xlfn.XLOOKUP(AP413,BR10:BR57,BT10:BT57,""))),""),""),""),"")</f>
        <v/>
      </c>
      <c r="BC413" s="811" cm="1">
        <f t="array" ref="BC413">IF(NOT(AQ413),0,IF(OR(BA413="",N(BA413)&lt;=0.000000001),"",IF(OR(AU413="",N(AU413)&lt;=0.000000001),0,IF(ISNUMBER(BA413),IFERROR(_xlfn.LET(_xlpm.ai_test,TRIM(AP413),_xlpm.r,IFERROR(_xlfn.XLOOKUP(_xlpm.ai_test,BP16:BP63,ROW(BP16:BP63),0,1),IFERROR(_xlfn.XLOOKUP(_xlpm.ai_test,BQ16:BQ63,ROW(BQ16:BQ63),0,1),_xlfn.XLOOKUP(_xlpm.ai_test,BR16:BR63,ROW(BR16:BR63),0,1))),_xlpm.p,_xlpm.r-MIN(ROW(BP16:BP63))+1,_xlpm.f,INDEX(BS16:BS63,_xlpm.p),_xlpm.u,INDEX(BT16:BT63,_xlpm.p),_xlpm.s,INDEX(BV16:BV63,_xlpm.p),_xlpm.q,N(BA413)/_xlpm.f,IF(_xlpm.q&gt;=_xlpm.s,ROUND(_xlpm.q,1)&amp;" "&amp;_xlpm.ai_test&amp;" = "&amp;ROUND(_xlpm.q*_xlpm.f,1)&amp;" "&amp;_xlpm.u,ROUND(_xlpm.q,1)&amp;" "&amp;_xlpm.ai_test)),""),""))))</f>
        <v>0</v>
      </c>
      <c r="BD413" s="801"/>
      <c r="BE413" s="788" t="str">
        <f t="shared" si="171"/>
        <v/>
      </c>
      <c r="BF413" s="789" t="str">
        <f t="shared" si="172"/>
        <v/>
      </c>
      <c r="BG413" s="790">
        <f t="shared" si="154"/>
        <v>0</v>
      </c>
      <c r="BH413" s="791" t="str">
        <f t="shared" si="155"/>
        <v/>
      </c>
      <c r="BI413" s="792"/>
      <c r="BJ413" s="793">
        <f t="shared" si="153"/>
        <v>0</v>
      </c>
      <c r="BK413" s="794" t="str">
        <f t="shared" si="173"/>
        <v/>
      </c>
      <c r="BL413" s="227" t="s">
        <v>21</v>
      </c>
      <c r="BM413" s="773">
        <f t="shared" si="162"/>
        <v>0</v>
      </c>
      <c r="BN413" s="774">
        <f t="shared" si="163"/>
        <v>0</v>
      </c>
      <c r="BO413"/>
      <c r="BX413"/>
      <c r="BY413"/>
      <c r="BZ413"/>
      <c r="CA413"/>
      <c r="CB413"/>
      <c r="CC413"/>
      <c r="CD413" s="781" t="str">
        <f t="shared" si="156"/>
        <v>►</v>
      </c>
      <c r="CE413" s="633"/>
      <c r="CF413" s="633"/>
      <c r="CG413" s="633"/>
      <c r="CH413" s="633"/>
      <c r="CI413" s="633"/>
      <c r="CJ413" s="227"/>
      <c r="CK413"/>
      <c r="CL413"/>
      <c r="CM413"/>
      <c r="CN413"/>
      <c r="CO413"/>
      <c r="CP413"/>
      <c r="CQ413"/>
      <c r="CR413" s="227"/>
      <c r="CS413"/>
      <c r="CT413"/>
      <c r="CU413"/>
      <c r="CV413"/>
      <c r="CW413"/>
      <c r="CX413"/>
      <c r="CY413"/>
      <c r="CZ413" s="227"/>
      <c r="DA413"/>
      <c r="DB413"/>
      <c r="DC413"/>
      <c r="DD413"/>
      <c r="DE413"/>
      <c r="DF413"/>
      <c r="DG413"/>
      <c r="DH413" s="227"/>
      <c r="DI413" s="3">
        <v>1</v>
      </c>
    </row>
    <row r="414" spans="2:113" s="627" customFormat="1" ht="21" customHeight="1">
      <c r="B414" s="2265" t="str" cm="1">
        <f t="array" ref="B414">SUMPRODUCT(--(D414:J414&lt;&gt;""), LEN(TRIM(SUBSTITUTE(D414:J414, CHAR(160), "")))) &amp; " Car."</f>
        <v>0 Car.</v>
      </c>
      <c r="C414" s="1376" t="str">
        <f>IF(ISBLANK(D414),"",LARGE(C13:C413,1)+1)</f>
        <v/>
      </c>
      <c r="D414" s="1833"/>
      <c r="E414" s="1810"/>
      <c r="F414" s="1810"/>
      <c r="G414" s="1810"/>
      <c r="H414" s="1810"/>
      <c r="I414" s="1810"/>
      <c r="J414" s="1810"/>
      <c r="K414" s="1810"/>
      <c r="L414" s="1811"/>
      <c r="M414"/>
      <c r="N414" s="103" t="str">
        <f t="shared" si="158"/>
        <v>►</v>
      </c>
      <c r="O414" s="1616"/>
      <c r="P414"/>
      <c r="Q414" s="25" t="s">
        <v>15</v>
      </c>
      <c r="R414" s="31"/>
      <c r="S414" s="32"/>
      <c r="T414" s="31"/>
      <c r="U414" s="33"/>
      <c r="V414" s="1967"/>
      <c r="W414" s="1805"/>
      <c r="X414" s="91"/>
      <c r="Y414" s="1806"/>
      <c r="Z414" s="1968"/>
      <c r="AA414" s="2244"/>
      <c r="AB414" s="1969"/>
      <c r="AC414" s="1365"/>
      <c r="AD414" s="95"/>
      <c r="AE414" s="1326"/>
      <c r="AF414" s="97"/>
      <c r="AG414" s="1737"/>
      <c r="AH414" s="1970"/>
      <c r="AI414" s="99"/>
      <c r="AJ414" s="1809"/>
      <c r="AK414" s="6120" t="str">
        <f t="shared" si="159"/>
        <v>►</v>
      </c>
      <c r="AL414" s="781" t="str">
        <f t="shared" si="161"/>
        <v>►</v>
      </c>
      <c r="AM414" s="5498" t="str">
        <f t="shared" si="164"/>
        <v/>
      </c>
      <c r="AN414" s="783" t="str">
        <f t="shared" si="165"/>
        <v/>
      </c>
      <c r="AO414" s="782" t="str">
        <f t="shared" si="166"/>
        <v/>
      </c>
      <c r="AP414" s="783" t="str">
        <f t="shared" si="167"/>
        <v/>
      </c>
      <c r="AQ414" s="2083" t="b">
        <f>AND(Q414="A",COUNTIF(BP16:BR63,TRIM(Z414))&gt;0)</f>
        <v>0</v>
      </c>
      <c r="AR414" s="797" t="str">
        <f>IF(AL414&lt;&gt;"A","",IFERROR(IFERROR(_xlfn.XLOOKUP(TRIM(SUBSTITUTE(Z414,CHAR(160)," ")),BP16:BP63,BS16:BS63),IFERROR(_xlfn.XLOOKUP(TRIM(SUBSTITUTE(Z414,CHAR(160)," ")),BQ16:BQ63,BS16:BS63),_xlfn.XLOOKUP(TRIM(SUBSTITUTE(Z414,CHAR(160)," ")),BR16:BR63,BS16:BS63)))*Y414*IF(ISBLANK(V414),1,V414),0))</f>
        <v/>
      </c>
      <c r="AS414" s="784" t="str">
        <f t="shared" si="157"/>
        <v/>
      </c>
      <c r="AT414" s="1315" t="str">
        <f t="shared" si="168"/>
        <v/>
      </c>
      <c r="AU414" s="785">
        <f t="shared" si="169"/>
        <v>0</v>
      </c>
      <c r="AV414" s="785">
        <f t="shared" si="170"/>
        <v>0</v>
      </c>
      <c r="AW414" s="798">
        <f>IF(AK414="A",AY10,0)</f>
        <v>0</v>
      </c>
      <c r="AX414" s="5496" t="str">
        <f>IF(IFERROR(SEARCH("Adresse PC",TRIM(W414)),0)&gt;0,"▼ receta siguiente",IF(AK414="A",IF(AZ10&lt;&gt;"",AZ10&amp;" - ou.or.o ❾ + or - &gt;",""),""))</f>
        <v/>
      </c>
      <c r="AY414" s="810"/>
      <c r="AZ414" s="810"/>
      <c r="BA414" s="799" t="str">
        <f t="shared" si="160"/>
        <v/>
      </c>
      <c r="BB414" s="800" t="str">
        <f>IF(AK414="A",IF(AQ414,IF(AND(AW414&lt;&gt;"",N(AW414)&gt;0),IFERROR(IFERROR(_xlfn.XLOOKUP(AP414,BP10:BP57,BT10:BT57),IFERROR(_xlfn.XLOOKUP(AP414,BQ10:BQ57,BT10:BT57),_xlfn.XLOOKUP(AP414,BR10:BR57,BT10:BT57,""))),""),""),""),"")</f>
        <v/>
      </c>
      <c r="BC414" s="813" cm="1">
        <f t="array" ref="BC414">IF(NOT(AQ414),0,IF(OR(BA414="",N(BA414)&lt;=0.000000001),"",IF(OR(AU414="",N(AU414)&lt;=0.000000001),0,IF(ISNUMBER(BA414),IFERROR(_xlfn.LET(_xlpm.ai_test,TRIM(AP414),_xlpm.r,IFERROR(_xlfn.XLOOKUP(_xlpm.ai_test,BP16:BP63,ROW(BP16:BP63),0,1),IFERROR(_xlfn.XLOOKUP(_xlpm.ai_test,BQ16:BQ63,ROW(BQ16:BQ63),0,1),_xlfn.XLOOKUP(_xlpm.ai_test,BR16:BR63,ROW(BR16:BR63),0,1))),_xlpm.p,_xlpm.r-MIN(ROW(BP16:BP63))+1,_xlpm.f,INDEX(BS16:BS63,_xlpm.p),_xlpm.u,INDEX(BT16:BT63,_xlpm.p),_xlpm.s,INDEX(BV16:BV63,_xlpm.p),_xlpm.q,N(BA414)/_xlpm.f,IF(_xlpm.q&gt;=_xlpm.s,ROUND(_xlpm.q,1)&amp;" "&amp;_xlpm.ai_test&amp;" = "&amp;ROUND(_xlpm.q*_xlpm.f,1)&amp;" "&amp;_xlpm.u,ROUND(_xlpm.q,1)&amp;" "&amp;_xlpm.ai_test)),""),""))))</f>
        <v>0</v>
      </c>
      <c r="BD414" s="801"/>
      <c r="BE414" s="799" t="str">
        <f t="shared" si="171"/>
        <v/>
      </c>
      <c r="BF414" s="800" t="str">
        <f t="shared" si="172"/>
        <v/>
      </c>
      <c r="BG414" s="802">
        <f t="shared" si="154"/>
        <v>0</v>
      </c>
      <c r="BH414" s="803" t="str">
        <f t="shared" si="155"/>
        <v/>
      </c>
      <c r="BI414" s="792"/>
      <c r="BJ414" s="804">
        <f t="shared" ref="BJ414:BJ477" si="174">IF(OR(AU414=0,ISBLANK(BI414),ISTEXT(BG414)),0,(IF(BA414=0,BG414,BA414)*BI414))</f>
        <v>0</v>
      </c>
      <c r="BK414" s="794" t="str">
        <f t="shared" si="173"/>
        <v/>
      </c>
      <c r="BL414" s="227" t="s">
        <v>21</v>
      </c>
      <c r="BM414" s="773">
        <f t="shared" si="162"/>
        <v>0</v>
      </c>
      <c r="BN414" s="774">
        <f t="shared" si="163"/>
        <v>0</v>
      </c>
      <c r="BO414"/>
      <c r="BX414"/>
      <c r="BY414"/>
      <c r="BZ414"/>
      <c r="CA414"/>
      <c r="CB414"/>
      <c r="CC414"/>
      <c r="CD414" s="781" t="str">
        <f t="shared" si="156"/>
        <v>►</v>
      </c>
      <c r="CE414" s="633"/>
      <c r="CF414" s="633"/>
      <c r="CG414" s="633"/>
      <c r="CH414" s="633"/>
      <c r="CI414" s="633"/>
      <c r="CJ414" s="227"/>
      <c r="CK414"/>
      <c r="CL414"/>
      <c r="CM414"/>
      <c r="CN414"/>
      <c r="CO414"/>
      <c r="CP414"/>
      <c r="CQ414"/>
      <c r="CR414" s="227"/>
      <c r="CS414"/>
      <c r="CT414"/>
      <c r="CU414"/>
      <c r="CV414"/>
      <c r="CW414"/>
      <c r="CX414"/>
      <c r="CY414"/>
      <c r="CZ414" s="227"/>
      <c r="DA414"/>
      <c r="DB414"/>
      <c r="DC414"/>
      <c r="DD414"/>
      <c r="DE414"/>
      <c r="DF414"/>
      <c r="DG414"/>
      <c r="DH414" s="227"/>
      <c r="DI414" s="3">
        <v>1</v>
      </c>
    </row>
    <row r="415" spans="2:113" s="627" customFormat="1" ht="21" customHeight="1">
      <c r="B415" s="2265" t="str" cm="1">
        <f t="array" ref="B415">SUMPRODUCT(--(D415:J415&lt;&gt;""), LEN(TRIM(SUBSTITUTE(D415:J415, CHAR(160), "")))) &amp; " Car."</f>
        <v>0 Car.</v>
      </c>
      <c r="C415" s="1376" t="str">
        <f>IF(ISBLANK(D415),"",LARGE(C13:C414,1)+1)</f>
        <v/>
      </c>
      <c r="D415" s="1833"/>
      <c r="E415" s="1810"/>
      <c r="F415" s="1810"/>
      <c r="G415" s="1810"/>
      <c r="H415" s="1810"/>
      <c r="I415" s="1810"/>
      <c r="J415" s="1810"/>
      <c r="K415" s="1810"/>
      <c r="L415" s="1811"/>
      <c r="M415"/>
      <c r="N415" s="103" t="str">
        <f t="shared" si="158"/>
        <v>►</v>
      </c>
      <c r="O415" s="1616"/>
      <c r="P415"/>
      <c r="Q415" s="25" t="s">
        <v>15</v>
      </c>
      <c r="R415" s="31"/>
      <c r="S415" s="32"/>
      <c r="T415" s="31"/>
      <c r="U415" s="33"/>
      <c r="V415" s="1967"/>
      <c r="W415" s="1805"/>
      <c r="X415" s="91"/>
      <c r="Y415" s="1806"/>
      <c r="Z415" s="1968"/>
      <c r="AA415" s="2244"/>
      <c r="AB415" s="1969"/>
      <c r="AC415" s="1365"/>
      <c r="AD415" s="95"/>
      <c r="AE415" s="1326"/>
      <c r="AF415" s="97"/>
      <c r="AG415" s="1737"/>
      <c r="AH415" s="1970"/>
      <c r="AI415" s="99"/>
      <c r="AJ415" s="1809"/>
      <c r="AK415" s="6120" t="str">
        <f t="shared" si="159"/>
        <v>►</v>
      </c>
      <c r="AL415" s="781" t="str">
        <f t="shared" si="161"/>
        <v>►</v>
      </c>
      <c r="AM415" s="5499" t="str">
        <f t="shared" si="164"/>
        <v/>
      </c>
      <c r="AN415" s="783" t="str">
        <f t="shared" si="165"/>
        <v/>
      </c>
      <c r="AO415" s="782" t="str">
        <f t="shared" si="166"/>
        <v/>
      </c>
      <c r="AP415" s="783" t="str">
        <f t="shared" si="167"/>
        <v/>
      </c>
      <c r="AQ415" s="2083" t="b">
        <f>AND(Q415="A",COUNTIF(BP16:BR63,TRIM(Z415))&gt;0)</f>
        <v>0</v>
      </c>
      <c r="AR415" s="797" t="str">
        <f>IF(AL415&lt;&gt;"A","",IFERROR(IFERROR(_xlfn.XLOOKUP(TRIM(SUBSTITUTE(Z415,CHAR(160)," ")),BP16:BP63,BS16:BS63),IFERROR(_xlfn.XLOOKUP(TRIM(SUBSTITUTE(Z415,CHAR(160)," ")),BQ16:BQ63,BS16:BS63),_xlfn.XLOOKUP(TRIM(SUBSTITUTE(Z415,CHAR(160)," ")),BR16:BR63,BS16:BS63)))*Y415*IF(ISBLANK(V415),1,V415),0))</f>
        <v/>
      </c>
      <c r="AS415" s="784" t="str">
        <f t="shared" si="157"/>
        <v/>
      </c>
      <c r="AT415" s="1315" t="str">
        <f t="shared" si="168"/>
        <v/>
      </c>
      <c r="AU415" s="785">
        <f t="shared" si="169"/>
        <v>0</v>
      </c>
      <c r="AV415" s="785">
        <f t="shared" si="170"/>
        <v>0</v>
      </c>
      <c r="AW415" s="786">
        <f>IF(AK415="A",AY10,0)</f>
        <v>0</v>
      </c>
      <c r="AX415" s="5495" t="str">
        <f>IF(IFERROR(SEARCH("Adresse PC",TRIM(W415)),0)&gt;0,"▼ receta siguiente",IF(AK415="A",IF(AZ10&lt;&gt;"",AZ10&amp;" - ou.or.o ❾ + or - &gt;",""),""))</f>
        <v/>
      </c>
      <c r="AY415" s="810"/>
      <c r="AZ415" s="810"/>
      <c r="BA415" s="788" t="str">
        <f t="shared" si="160"/>
        <v/>
      </c>
      <c r="BB415" s="789" t="str">
        <f>IF(AK415="A",IF(AQ415,IF(AND(AW415&lt;&gt;"",N(AW415)&gt;0),IFERROR(IFERROR(_xlfn.XLOOKUP(AP415,BP10:BP57,BT10:BT57),IFERROR(_xlfn.XLOOKUP(AP415,BQ10:BQ57,BT10:BT57),_xlfn.XLOOKUP(AP415,BR10:BR57,BT10:BT57,""))),""),""),""),"")</f>
        <v/>
      </c>
      <c r="BC415" s="811" cm="1">
        <f t="array" ref="BC415">IF(NOT(AQ415),0,IF(OR(BA415="",N(BA415)&lt;=0.000000001),"",IF(OR(AU415="",N(AU415)&lt;=0.000000001),0,IF(ISNUMBER(BA415),IFERROR(_xlfn.LET(_xlpm.ai_test,TRIM(AP415),_xlpm.r,IFERROR(_xlfn.XLOOKUP(_xlpm.ai_test,BP16:BP63,ROW(BP16:BP63),0,1),IFERROR(_xlfn.XLOOKUP(_xlpm.ai_test,BQ16:BQ63,ROW(BQ16:BQ63),0,1),_xlfn.XLOOKUP(_xlpm.ai_test,BR16:BR63,ROW(BR16:BR63),0,1))),_xlpm.p,_xlpm.r-MIN(ROW(BP16:BP63))+1,_xlpm.f,INDEX(BS16:BS63,_xlpm.p),_xlpm.u,INDEX(BT16:BT63,_xlpm.p),_xlpm.s,INDEX(BV16:BV63,_xlpm.p),_xlpm.q,N(BA415)/_xlpm.f,IF(_xlpm.q&gt;=_xlpm.s,ROUND(_xlpm.q,1)&amp;" "&amp;_xlpm.ai_test&amp;" = "&amp;ROUND(_xlpm.q*_xlpm.f,1)&amp;" "&amp;_xlpm.u,ROUND(_xlpm.q,1)&amp;" "&amp;_xlpm.ai_test)),""),""))))</f>
        <v>0</v>
      </c>
      <c r="BD415" s="801"/>
      <c r="BE415" s="788" t="str">
        <f t="shared" si="171"/>
        <v/>
      </c>
      <c r="BF415" s="789" t="str">
        <f t="shared" si="172"/>
        <v/>
      </c>
      <c r="BG415" s="790">
        <f t="shared" si="154"/>
        <v>0</v>
      </c>
      <c r="BH415" s="791" t="str">
        <f t="shared" si="155"/>
        <v/>
      </c>
      <c r="BI415" s="792"/>
      <c r="BJ415" s="793">
        <f t="shared" si="174"/>
        <v>0</v>
      </c>
      <c r="BK415" s="794" t="str">
        <f t="shared" si="173"/>
        <v/>
      </c>
      <c r="BL415" s="227" t="s">
        <v>21</v>
      </c>
      <c r="BM415" s="773">
        <f t="shared" si="162"/>
        <v>0</v>
      </c>
      <c r="BN415" s="774">
        <f t="shared" si="163"/>
        <v>0</v>
      </c>
      <c r="BO415"/>
      <c r="BX415"/>
      <c r="BY415"/>
      <c r="BZ415"/>
      <c r="CA415"/>
      <c r="CB415"/>
      <c r="CC415"/>
      <c r="CD415" s="781" t="str">
        <f t="shared" si="156"/>
        <v>►</v>
      </c>
      <c r="CE415" s="633"/>
      <c r="CF415" s="633"/>
      <c r="CG415" s="633"/>
      <c r="CH415" s="633"/>
      <c r="CI415" s="633"/>
      <c r="CJ415" s="227"/>
      <c r="CK415"/>
      <c r="CL415"/>
      <c r="CM415"/>
      <c r="CN415"/>
      <c r="CO415"/>
      <c r="CP415"/>
      <c r="CQ415"/>
      <c r="CR415" s="227"/>
      <c r="CS415"/>
      <c r="CT415"/>
      <c r="CU415"/>
      <c r="CV415"/>
      <c r="CW415"/>
      <c r="CX415"/>
      <c r="CY415"/>
      <c r="CZ415" s="227"/>
      <c r="DA415"/>
      <c r="DB415"/>
      <c r="DC415"/>
      <c r="DD415"/>
      <c r="DE415"/>
      <c r="DF415"/>
      <c r="DG415"/>
      <c r="DH415" s="227"/>
      <c r="DI415" s="3">
        <v>1</v>
      </c>
    </row>
    <row r="416" spans="2:113" s="627" customFormat="1" ht="21" customHeight="1">
      <c r="B416" s="2265" t="str" cm="1">
        <f t="array" ref="B416">SUMPRODUCT(--(D416:J416&lt;&gt;""), LEN(TRIM(SUBSTITUTE(D416:J416, CHAR(160), "")))) &amp; " Car."</f>
        <v>0 Car.</v>
      </c>
      <c r="C416" s="1376" t="str">
        <f>IF(ISBLANK(D416),"",LARGE(C13:C415,1)+1)</f>
        <v/>
      </c>
      <c r="D416" s="1833"/>
      <c r="E416" s="1810"/>
      <c r="F416" s="1810"/>
      <c r="G416" s="1810"/>
      <c r="H416" s="1810"/>
      <c r="I416" s="1810"/>
      <c r="J416" s="1810"/>
      <c r="K416" s="1810"/>
      <c r="L416" s="1811"/>
      <c r="M416"/>
      <c r="N416" s="103" t="str">
        <f t="shared" si="158"/>
        <v>►</v>
      </c>
      <c r="O416" s="1616"/>
      <c r="P416"/>
      <c r="Q416" s="25" t="s">
        <v>15</v>
      </c>
      <c r="R416" s="31"/>
      <c r="S416" s="32"/>
      <c r="T416" s="31"/>
      <c r="U416" s="33"/>
      <c r="V416" s="1967"/>
      <c r="W416" s="1805"/>
      <c r="X416" s="91"/>
      <c r="Y416" s="1806"/>
      <c r="Z416" s="1968"/>
      <c r="AA416" s="2244"/>
      <c r="AB416" s="1969"/>
      <c r="AC416" s="1365"/>
      <c r="AD416" s="95"/>
      <c r="AE416" s="1326"/>
      <c r="AF416" s="97"/>
      <c r="AG416" s="1737"/>
      <c r="AH416" s="1970"/>
      <c r="AI416" s="99"/>
      <c r="AJ416" s="1809"/>
      <c r="AK416" s="6120" t="str">
        <f t="shared" si="159"/>
        <v>►</v>
      </c>
      <c r="AL416" s="781" t="str">
        <f t="shared" si="161"/>
        <v>►</v>
      </c>
      <c r="AM416" s="5498" t="str">
        <f t="shared" si="164"/>
        <v/>
      </c>
      <c r="AN416" s="783" t="str">
        <f t="shared" si="165"/>
        <v/>
      </c>
      <c r="AO416" s="782" t="str">
        <f t="shared" si="166"/>
        <v/>
      </c>
      <c r="AP416" s="783" t="str">
        <f t="shared" si="167"/>
        <v/>
      </c>
      <c r="AQ416" s="2083" t="b">
        <f>AND(Q416="A",COUNTIF(BP16:BR63,TRIM(Z416))&gt;0)</f>
        <v>0</v>
      </c>
      <c r="AR416" s="797" t="str">
        <f>IF(AL416&lt;&gt;"A","",IFERROR(IFERROR(_xlfn.XLOOKUP(TRIM(SUBSTITUTE(Z416,CHAR(160)," ")),BP16:BP63,BS16:BS63),IFERROR(_xlfn.XLOOKUP(TRIM(SUBSTITUTE(Z416,CHAR(160)," ")),BQ16:BQ63,BS16:BS63),_xlfn.XLOOKUP(TRIM(SUBSTITUTE(Z416,CHAR(160)," ")),BR16:BR63,BS16:BS63)))*Y416*IF(ISBLANK(V416),1,V416),0))</f>
        <v/>
      </c>
      <c r="AS416" s="784" t="str">
        <f t="shared" si="157"/>
        <v/>
      </c>
      <c r="AT416" s="1315" t="str">
        <f t="shared" si="168"/>
        <v/>
      </c>
      <c r="AU416" s="785">
        <f t="shared" si="169"/>
        <v>0</v>
      </c>
      <c r="AV416" s="785">
        <f t="shared" si="170"/>
        <v>0</v>
      </c>
      <c r="AW416" s="798">
        <f>IF(AK416="A",AY10,0)</f>
        <v>0</v>
      </c>
      <c r="AX416" s="5496" t="str">
        <f>IF(IFERROR(SEARCH("Adresse PC",TRIM(W416)),0)&gt;0,"▼ receta siguiente",IF(AK416="A",IF(AZ10&lt;&gt;"",AZ10&amp;" - ou.or.o ❾ + or - &gt;",""),""))</f>
        <v/>
      </c>
      <c r="AY416" s="810"/>
      <c r="AZ416" s="810"/>
      <c r="BA416" s="799" t="str">
        <f t="shared" si="160"/>
        <v/>
      </c>
      <c r="BB416" s="800" t="str">
        <f>IF(AK416="A",IF(AQ416,IF(AND(AW416&lt;&gt;"",N(AW416)&gt;0),IFERROR(IFERROR(_xlfn.XLOOKUP(AP416,BP10:BP57,BT10:BT57),IFERROR(_xlfn.XLOOKUP(AP416,BQ10:BQ57,BT10:BT57),_xlfn.XLOOKUP(AP416,BR10:BR57,BT10:BT57,""))),""),""),""),"")</f>
        <v/>
      </c>
      <c r="BC416" s="813" cm="1">
        <f t="array" ref="BC416">IF(NOT(AQ416),0,IF(OR(BA416="",N(BA416)&lt;=0.000000001),"",IF(OR(AU416="",N(AU416)&lt;=0.000000001),0,IF(ISNUMBER(BA416),IFERROR(_xlfn.LET(_xlpm.ai_test,TRIM(AP416),_xlpm.r,IFERROR(_xlfn.XLOOKUP(_xlpm.ai_test,BP16:BP63,ROW(BP16:BP63),0,1),IFERROR(_xlfn.XLOOKUP(_xlpm.ai_test,BQ16:BQ63,ROW(BQ16:BQ63),0,1),_xlfn.XLOOKUP(_xlpm.ai_test,BR16:BR63,ROW(BR16:BR63),0,1))),_xlpm.p,_xlpm.r-MIN(ROW(BP16:BP63))+1,_xlpm.f,INDEX(BS16:BS63,_xlpm.p),_xlpm.u,INDEX(BT16:BT63,_xlpm.p),_xlpm.s,INDEX(BV16:BV63,_xlpm.p),_xlpm.q,N(BA416)/_xlpm.f,IF(_xlpm.q&gt;=_xlpm.s,ROUND(_xlpm.q,1)&amp;" "&amp;_xlpm.ai_test&amp;" = "&amp;ROUND(_xlpm.q*_xlpm.f,1)&amp;" "&amp;_xlpm.u,ROUND(_xlpm.q,1)&amp;" "&amp;_xlpm.ai_test)),""),""))))</f>
        <v>0</v>
      </c>
      <c r="BD416" s="801"/>
      <c r="BE416" s="799" t="str">
        <f t="shared" si="171"/>
        <v/>
      </c>
      <c r="BF416" s="800" t="str">
        <f t="shared" si="172"/>
        <v/>
      </c>
      <c r="BG416" s="802">
        <f t="shared" ref="BG416:BG479" si="175">IF(AND(ISNUMBER(BM416),ABS(BM416)&gt;0.000000001),BM416,0)</f>
        <v>0</v>
      </c>
      <c r="BH416" s="803" t="str">
        <f t="shared" ref="BH416:BH479" si="176">IF(AND(AQ416, N(BG416)&gt;0.000000001), W416, "")</f>
        <v/>
      </c>
      <c r="BI416" s="792"/>
      <c r="BJ416" s="804">
        <f t="shared" si="174"/>
        <v>0</v>
      </c>
      <c r="BK416" s="794" t="str">
        <f t="shared" si="173"/>
        <v/>
      </c>
      <c r="BL416" s="227" t="s">
        <v>21</v>
      </c>
      <c r="BM416" s="773">
        <f t="shared" si="162"/>
        <v>0</v>
      </c>
      <c r="BN416" s="774">
        <f t="shared" si="163"/>
        <v>0</v>
      </c>
      <c r="BO416"/>
      <c r="BX416"/>
      <c r="BY416"/>
      <c r="BZ416"/>
      <c r="CA416"/>
      <c r="CB416"/>
      <c r="CC416"/>
      <c r="CD416" s="781" t="str">
        <f t="shared" si="156"/>
        <v>►</v>
      </c>
      <c r="CE416" s="633"/>
      <c r="CF416" s="633"/>
      <c r="CG416" s="633"/>
      <c r="CH416" s="633"/>
      <c r="CI416" s="633"/>
      <c r="CJ416" s="227"/>
      <c r="CK416"/>
      <c r="CL416"/>
      <c r="CM416"/>
      <c r="CN416"/>
      <c r="CO416"/>
      <c r="CP416"/>
      <c r="CQ416"/>
      <c r="CR416" s="227"/>
      <c r="CS416"/>
      <c r="CT416"/>
      <c r="CU416"/>
      <c r="CV416"/>
      <c r="CW416"/>
      <c r="CX416"/>
      <c r="CY416"/>
      <c r="CZ416" s="227"/>
      <c r="DA416"/>
      <c r="DB416"/>
      <c r="DC416"/>
      <c r="DD416"/>
      <c r="DE416"/>
      <c r="DF416"/>
      <c r="DG416"/>
      <c r="DH416" s="227"/>
      <c r="DI416" s="3">
        <v>1</v>
      </c>
    </row>
    <row r="417" spans="2:113" s="627" customFormat="1" ht="21" customHeight="1">
      <c r="B417" s="2265" t="str" cm="1">
        <f t="array" ref="B417">SUMPRODUCT(--(D417:J417&lt;&gt;""), LEN(TRIM(SUBSTITUTE(D417:J417, CHAR(160), "")))) &amp; " Car."</f>
        <v>0 Car.</v>
      </c>
      <c r="C417" s="1376" t="str">
        <f>IF(ISBLANK(D417),"",LARGE(C13:C416,1)+1)</f>
        <v/>
      </c>
      <c r="D417" s="1833"/>
      <c r="E417" s="1810"/>
      <c r="F417" s="1810"/>
      <c r="G417" s="1810"/>
      <c r="H417" s="1810"/>
      <c r="I417" s="1810"/>
      <c r="J417" s="1810"/>
      <c r="K417" s="1810"/>
      <c r="L417" s="1811"/>
      <c r="M417"/>
      <c r="N417" s="103" t="str">
        <f t="shared" si="158"/>
        <v>►</v>
      </c>
      <c r="O417" s="1616"/>
      <c r="P417"/>
      <c r="Q417" s="25" t="s">
        <v>15</v>
      </c>
      <c r="R417" s="31"/>
      <c r="S417" s="32"/>
      <c r="T417" s="31"/>
      <c r="U417" s="33"/>
      <c r="V417" s="1967"/>
      <c r="W417" s="1805"/>
      <c r="X417" s="91"/>
      <c r="Y417" s="1806"/>
      <c r="Z417" s="1968"/>
      <c r="AA417" s="2244"/>
      <c r="AB417" s="1969"/>
      <c r="AC417" s="1365"/>
      <c r="AD417" s="95"/>
      <c r="AE417" s="1326"/>
      <c r="AF417" s="97"/>
      <c r="AG417" s="1737"/>
      <c r="AH417" s="1970"/>
      <c r="AI417" s="99"/>
      <c r="AJ417" s="1809"/>
      <c r="AK417" s="6120" t="str">
        <f t="shared" si="159"/>
        <v>►</v>
      </c>
      <c r="AL417" s="781" t="str">
        <f t="shared" si="161"/>
        <v>►</v>
      </c>
      <c r="AM417" s="5499" t="str">
        <f t="shared" si="164"/>
        <v/>
      </c>
      <c r="AN417" s="783" t="str">
        <f t="shared" si="165"/>
        <v/>
      </c>
      <c r="AO417" s="782" t="str">
        <f t="shared" si="166"/>
        <v/>
      </c>
      <c r="AP417" s="783" t="str">
        <f t="shared" si="167"/>
        <v/>
      </c>
      <c r="AQ417" s="2083" t="b">
        <f>AND(Q417="A",COUNTIF(BP16:BR63,TRIM(Z417))&gt;0)</f>
        <v>0</v>
      </c>
      <c r="AR417" s="797" t="str">
        <f>IF(AL417&lt;&gt;"A","",IFERROR(IFERROR(_xlfn.XLOOKUP(TRIM(SUBSTITUTE(Z417,CHAR(160)," ")),BP16:BP63,BS16:BS63),IFERROR(_xlfn.XLOOKUP(TRIM(SUBSTITUTE(Z417,CHAR(160)," ")),BQ16:BQ63,BS16:BS63),_xlfn.XLOOKUP(TRIM(SUBSTITUTE(Z417,CHAR(160)," ")),BR16:BR63,BS16:BS63)))*Y417*IF(ISBLANK(V417),1,V417),0))</f>
        <v/>
      </c>
      <c r="AS417" s="784" t="str">
        <f t="shared" si="157"/>
        <v/>
      </c>
      <c r="AT417" s="1315" t="str">
        <f t="shared" si="168"/>
        <v/>
      </c>
      <c r="AU417" s="785">
        <f t="shared" si="169"/>
        <v>0</v>
      </c>
      <c r="AV417" s="785">
        <f t="shared" si="170"/>
        <v>0</v>
      </c>
      <c r="AW417" s="786">
        <f>IF(AK417="A",AY10,0)</f>
        <v>0</v>
      </c>
      <c r="AX417" s="5495" t="str">
        <f>IF(IFERROR(SEARCH("Adresse PC",TRIM(W417)),0)&gt;0,"▼ receta siguiente",IF(AK417="A",IF(AZ10&lt;&gt;"",AZ10&amp;" - ou.or.o ❾ + or - &gt;",""),""))</f>
        <v/>
      </c>
      <c r="AY417" s="810"/>
      <c r="AZ417" s="810"/>
      <c r="BA417" s="788" t="str">
        <f t="shared" si="160"/>
        <v/>
      </c>
      <c r="BB417" s="789" t="str">
        <f>IF(AK417="A",IF(AQ417,IF(AND(AW417&lt;&gt;"",N(AW417)&gt;0),IFERROR(IFERROR(_xlfn.XLOOKUP(AP417,BP10:BP57,BT10:BT57),IFERROR(_xlfn.XLOOKUP(AP417,BQ10:BQ57,BT10:BT57),_xlfn.XLOOKUP(AP417,BR10:BR57,BT10:BT57,""))),""),""),""),"")</f>
        <v/>
      </c>
      <c r="BC417" s="811" cm="1">
        <f t="array" ref="BC417">IF(NOT(AQ417),0,IF(OR(BA417="",N(BA417)&lt;=0.000000001),"",IF(OR(AU417="",N(AU417)&lt;=0.000000001),0,IF(ISNUMBER(BA417),IFERROR(_xlfn.LET(_xlpm.ai_test,TRIM(AP417),_xlpm.r,IFERROR(_xlfn.XLOOKUP(_xlpm.ai_test,BP16:BP63,ROW(BP16:BP63),0,1),IFERROR(_xlfn.XLOOKUP(_xlpm.ai_test,BQ16:BQ63,ROW(BQ16:BQ63),0,1),_xlfn.XLOOKUP(_xlpm.ai_test,BR16:BR63,ROW(BR16:BR63),0,1))),_xlpm.p,_xlpm.r-MIN(ROW(BP16:BP63))+1,_xlpm.f,INDEX(BS16:BS63,_xlpm.p),_xlpm.u,INDEX(BT16:BT63,_xlpm.p),_xlpm.s,INDEX(BV16:BV63,_xlpm.p),_xlpm.q,N(BA417)/_xlpm.f,IF(_xlpm.q&gt;=_xlpm.s,ROUND(_xlpm.q,1)&amp;" "&amp;_xlpm.ai_test&amp;" = "&amp;ROUND(_xlpm.q*_xlpm.f,1)&amp;" "&amp;_xlpm.u,ROUND(_xlpm.q,1)&amp;" "&amp;_xlpm.ai_test)),""),""))))</f>
        <v>0</v>
      </c>
      <c r="BD417" s="801"/>
      <c r="BE417" s="788" t="str">
        <f t="shared" si="171"/>
        <v/>
      </c>
      <c r="BF417" s="789" t="str">
        <f t="shared" si="172"/>
        <v/>
      </c>
      <c r="BG417" s="790">
        <f t="shared" si="175"/>
        <v>0</v>
      </c>
      <c r="BH417" s="791" t="str">
        <f t="shared" si="176"/>
        <v/>
      </c>
      <c r="BI417" s="792"/>
      <c r="BJ417" s="793">
        <f t="shared" si="174"/>
        <v>0</v>
      </c>
      <c r="BK417" s="794" t="str">
        <f t="shared" si="173"/>
        <v/>
      </c>
      <c r="BL417" s="227" t="s">
        <v>21</v>
      </c>
      <c r="BM417" s="773">
        <f t="shared" si="162"/>
        <v>0</v>
      </c>
      <c r="BN417" s="774">
        <f t="shared" si="163"/>
        <v>0</v>
      </c>
      <c r="BO417"/>
      <c r="BX417"/>
      <c r="BY417"/>
      <c r="BZ417"/>
      <c r="CA417"/>
      <c r="CB417"/>
      <c r="CC417"/>
      <c r="CD417" s="781" t="str">
        <f t="shared" si="156"/>
        <v>►</v>
      </c>
      <c r="CE417" s="633"/>
      <c r="CF417" s="633"/>
      <c r="CG417" s="633"/>
      <c r="CH417" s="633"/>
      <c r="CI417" s="633"/>
      <c r="CJ417" s="227"/>
      <c r="CK417"/>
      <c r="CL417"/>
      <c r="CM417"/>
      <c r="CN417"/>
      <c r="CO417"/>
      <c r="CP417"/>
      <c r="CQ417"/>
      <c r="CR417" s="227"/>
      <c r="CS417"/>
      <c r="CT417"/>
      <c r="CU417"/>
      <c r="CV417"/>
      <c r="CW417"/>
      <c r="CX417"/>
      <c r="CY417"/>
      <c r="CZ417" s="227"/>
      <c r="DA417"/>
      <c r="DB417"/>
      <c r="DC417"/>
      <c r="DD417"/>
      <c r="DE417"/>
      <c r="DF417"/>
      <c r="DG417"/>
      <c r="DH417" s="227"/>
      <c r="DI417" s="3">
        <v>1</v>
      </c>
    </row>
    <row r="418" spans="2:113" s="627" customFormat="1" ht="21" customHeight="1">
      <c r="B418" s="2265" t="str" cm="1">
        <f t="array" ref="B418">SUMPRODUCT(--(D418:J418&lt;&gt;""), LEN(TRIM(SUBSTITUTE(D418:J418, CHAR(160), "")))) &amp; " Car."</f>
        <v>0 Car.</v>
      </c>
      <c r="C418" s="1376" t="str">
        <f>IF(ISBLANK(D418),"",LARGE(C13:C417,1)+1)</f>
        <v/>
      </c>
      <c r="D418" s="1833"/>
      <c r="E418" s="1810"/>
      <c r="F418" s="1810"/>
      <c r="G418" s="1810"/>
      <c r="H418" s="1810"/>
      <c r="I418" s="1810"/>
      <c r="J418" s="1810"/>
      <c r="K418" s="1810"/>
      <c r="L418" s="1811"/>
      <c r="M418"/>
      <c r="N418" s="103" t="str">
        <f t="shared" si="158"/>
        <v>►</v>
      </c>
      <c r="O418" s="1616"/>
      <c r="P418"/>
      <c r="Q418" s="25" t="s">
        <v>15</v>
      </c>
      <c r="R418" s="31"/>
      <c r="S418" s="32"/>
      <c r="T418" s="31"/>
      <c r="U418" s="33"/>
      <c r="V418" s="1967"/>
      <c r="W418" s="1805"/>
      <c r="X418" s="91"/>
      <c r="Y418" s="1806"/>
      <c r="Z418" s="1968"/>
      <c r="AA418" s="2244"/>
      <c r="AB418" s="1969"/>
      <c r="AC418" s="1365"/>
      <c r="AD418" s="95"/>
      <c r="AE418" s="1326"/>
      <c r="AF418" s="97"/>
      <c r="AG418" s="1737"/>
      <c r="AH418" s="1970"/>
      <c r="AI418" s="99"/>
      <c r="AJ418" s="1809"/>
      <c r="AK418" s="6120" t="str">
        <f t="shared" si="159"/>
        <v>►</v>
      </c>
      <c r="AL418" s="781" t="str">
        <f t="shared" si="161"/>
        <v>►</v>
      </c>
      <c r="AM418" s="5498" t="str">
        <f t="shared" si="164"/>
        <v/>
      </c>
      <c r="AN418" s="783" t="str">
        <f t="shared" si="165"/>
        <v/>
      </c>
      <c r="AO418" s="782" t="str">
        <f t="shared" si="166"/>
        <v/>
      </c>
      <c r="AP418" s="783" t="str">
        <f t="shared" si="167"/>
        <v/>
      </c>
      <c r="AQ418" s="2083" t="b">
        <f>AND(Q418="A",COUNTIF(BP16:BR63,TRIM(Z418))&gt;0)</f>
        <v>0</v>
      </c>
      <c r="AR418" s="797" t="str">
        <f>IF(AL418&lt;&gt;"A","",IFERROR(IFERROR(_xlfn.XLOOKUP(TRIM(SUBSTITUTE(Z418,CHAR(160)," ")),BP16:BP63,BS16:BS63),IFERROR(_xlfn.XLOOKUP(TRIM(SUBSTITUTE(Z418,CHAR(160)," ")),BQ16:BQ63,BS16:BS63),_xlfn.XLOOKUP(TRIM(SUBSTITUTE(Z418,CHAR(160)," ")),BR16:BR63,BS16:BS63)))*Y418*IF(ISBLANK(V418),1,V418),0))</f>
        <v/>
      </c>
      <c r="AS418" s="784" t="str">
        <f t="shared" si="157"/>
        <v/>
      </c>
      <c r="AT418" s="1315" t="str">
        <f t="shared" si="168"/>
        <v/>
      </c>
      <c r="AU418" s="785">
        <f t="shared" si="169"/>
        <v>0</v>
      </c>
      <c r="AV418" s="785">
        <f t="shared" si="170"/>
        <v>0</v>
      </c>
      <c r="AW418" s="798">
        <f>IF(AK418="A",AY10,0)</f>
        <v>0</v>
      </c>
      <c r="AX418" s="5496" t="str">
        <f>IF(IFERROR(SEARCH("Adresse PC",TRIM(W418)),0)&gt;0,"▼ receta siguiente",IF(AK418="A",IF(AZ10&lt;&gt;"",AZ10&amp;" - ou.or.o ❾ + or - &gt;",""),""))</f>
        <v/>
      </c>
      <c r="AY418" s="810"/>
      <c r="AZ418" s="810"/>
      <c r="BA418" s="799" t="str">
        <f t="shared" si="160"/>
        <v/>
      </c>
      <c r="BB418" s="800" t="str">
        <f>IF(AK418="A",IF(AQ418,IF(AND(AW418&lt;&gt;"",N(AW418)&gt;0),IFERROR(IFERROR(_xlfn.XLOOKUP(AP418,BP10:BP57,BT10:BT57),IFERROR(_xlfn.XLOOKUP(AP418,BQ10:BQ57,BT10:BT57),_xlfn.XLOOKUP(AP418,BR10:BR57,BT10:BT57,""))),""),""),""),"")</f>
        <v/>
      </c>
      <c r="BC418" s="813" cm="1">
        <f t="array" ref="BC418">IF(NOT(AQ418),0,IF(OR(BA418="",N(BA418)&lt;=0.000000001),"",IF(OR(AU418="",N(AU418)&lt;=0.000000001),0,IF(ISNUMBER(BA418),IFERROR(_xlfn.LET(_xlpm.ai_test,TRIM(AP418),_xlpm.r,IFERROR(_xlfn.XLOOKUP(_xlpm.ai_test,BP16:BP63,ROW(BP16:BP63),0,1),IFERROR(_xlfn.XLOOKUP(_xlpm.ai_test,BQ16:BQ63,ROW(BQ16:BQ63),0,1),_xlfn.XLOOKUP(_xlpm.ai_test,BR16:BR63,ROW(BR16:BR63),0,1))),_xlpm.p,_xlpm.r-MIN(ROW(BP16:BP63))+1,_xlpm.f,INDEX(BS16:BS63,_xlpm.p),_xlpm.u,INDEX(BT16:BT63,_xlpm.p),_xlpm.s,INDEX(BV16:BV63,_xlpm.p),_xlpm.q,N(BA418)/_xlpm.f,IF(_xlpm.q&gt;=_xlpm.s,ROUND(_xlpm.q,1)&amp;" "&amp;_xlpm.ai_test&amp;" = "&amp;ROUND(_xlpm.q*_xlpm.f,1)&amp;" "&amp;_xlpm.u,ROUND(_xlpm.q,1)&amp;" "&amp;_xlpm.ai_test)),""),""))))</f>
        <v>0</v>
      </c>
      <c r="BD418" s="801"/>
      <c r="BE418" s="799" t="str">
        <f t="shared" si="171"/>
        <v/>
      </c>
      <c r="BF418" s="800" t="str">
        <f t="shared" si="172"/>
        <v/>
      </c>
      <c r="BG418" s="802">
        <f t="shared" si="175"/>
        <v>0</v>
      </c>
      <c r="BH418" s="803" t="str">
        <f t="shared" si="176"/>
        <v/>
      </c>
      <c r="BI418" s="792"/>
      <c r="BJ418" s="804">
        <f t="shared" si="174"/>
        <v>0</v>
      </c>
      <c r="BK418" s="794" t="str">
        <f t="shared" si="173"/>
        <v/>
      </c>
      <c r="BL418" s="227" t="s">
        <v>21</v>
      </c>
      <c r="BM418" s="773">
        <f t="shared" si="162"/>
        <v>0</v>
      </c>
      <c r="BN418" s="774">
        <f t="shared" si="163"/>
        <v>0</v>
      </c>
      <c r="BO418"/>
      <c r="BX418"/>
      <c r="BY418"/>
      <c r="BZ418"/>
      <c r="CA418"/>
      <c r="CB418"/>
      <c r="CC418"/>
      <c r="CD418" s="781" t="str">
        <f t="shared" si="156"/>
        <v>►</v>
      </c>
      <c r="CE418" s="633"/>
      <c r="CF418" s="633"/>
      <c r="CG418" s="633"/>
      <c r="CH418" s="633"/>
      <c r="CI418" s="633"/>
      <c r="CJ418" s="227"/>
      <c r="CK418"/>
      <c r="CL418"/>
      <c r="CM418"/>
      <c r="CN418"/>
      <c r="CO418"/>
      <c r="CP418"/>
      <c r="CQ418"/>
      <c r="CR418" s="227"/>
      <c r="CS418"/>
      <c r="CT418"/>
      <c r="CU418"/>
      <c r="CV418"/>
      <c r="CW418"/>
      <c r="CX418"/>
      <c r="CY418"/>
      <c r="CZ418" s="227"/>
      <c r="DA418"/>
      <c r="DB418"/>
      <c r="DC418"/>
      <c r="DD418"/>
      <c r="DE418"/>
      <c r="DF418"/>
      <c r="DG418"/>
      <c r="DH418" s="227"/>
      <c r="DI418" s="3">
        <v>1</v>
      </c>
    </row>
    <row r="419" spans="2:113" s="627" customFormat="1" ht="21" customHeight="1">
      <c r="B419" s="2265" t="str" cm="1">
        <f t="array" ref="B419">SUMPRODUCT(--(D419:J419&lt;&gt;""), LEN(TRIM(SUBSTITUTE(D419:J419, CHAR(160), "")))) &amp; " Car."</f>
        <v>0 Car.</v>
      </c>
      <c r="C419" s="1376" t="str">
        <f>IF(ISBLANK(D419),"",LARGE(C13:C418,1)+1)</f>
        <v/>
      </c>
      <c r="D419" s="1833"/>
      <c r="E419" s="1810"/>
      <c r="F419" s="1810"/>
      <c r="G419" s="1810"/>
      <c r="H419" s="1810"/>
      <c r="I419" s="1810"/>
      <c r="J419" s="1810"/>
      <c r="K419" s="1810"/>
      <c r="L419" s="1811"/>
      <c r="M419"/>
      <c r="N419" s="103" t="str">
        <f t="shared" si="158"/>
        <v>►</v>
      </c>
      <c r="O419" s="1616"/>
      <c r="P419"/>
      <c r="Q419" s="25" t="s">
        <v>15</v>
      </c>
      <c r="R419" s="31"/>
      <c r="S419" s="32"/>
      <c r="T419" s="31"/>
      <c r="U419" s="33"/>
      <c r="V419" s="1967"/>
      <c r="W419" s="1805"/>
      <c r="X419" s="91"/>
      <c r="Y419" s="1806"/>
      <c r="Z419" s="1968"/>
      <c r="AA419" s="2244"/>
      <c r="AB419" s="1969"/>
      <c r="AC419" s="1365"/>
      <c r="AD419" s="95"/>
      <c r="AE419" s="1326"/>
      <c r="AF419" s="97"/>
      <c r="AG419" s="1737"/>
      <c r="AH419" s="1970"/>
      <c r="AI419" s="99"/>
      <c r="AJ419" s="1809"/>
      <c r="AK419" s="6120" t="str">
        <f t="shared" si="159"/>
        <v>►</v>
      </c>
      <c r="AL419" s="781" t="str">
        <f t="shared" si="161"/>
        <v>►</v>
      </c>
      <c r="AM419" s="5499" t="str">
        <f t="shared" si="164"/>
        <v/>
      </c>
      <c r="AN419" s="783" t="str">
        <f t="shared" si="165"/>
        <v/>
      </c>
      <c r="AO419" s="782" t="str">
        <f t="shared" si="166"/>
        <v/>
      </c>
      <c r="AP419" s="783" t="str">
        <f t="shared" si="167"/>
        <v/>
      </c>
      <c r="AQ419" s="2083" t="b">
        <f>AND(Q419="A",COUNTIF(BP16:BR63,TRIM(Z419))&gt;0)</f>
        <v>0</v>
      </c>
      <c r="AR419" s="797" t="str">
        <f>IF(AL419&lt;&gt;"A","",IFERROR(IFERROR(_xlfn.XLOOKUP(TRIM(SUBSTITUTE(Z419,CHAR(160)," ")),BP16:BP63,BS16:BS63),IFERROR(_xlfn.XLOOKUP(TRIM(SUBSTITUTE(Z419,CHAR(160)," ")),BQ16:BQ63,BS16:BS63),_xlfn.XLOOKUP(TRIM(SUBSTITUTE(Z419,CHAR(160)," ")),BR16:BR63,BS16:BS63)))*Y419*IF(ISBLANK(V419),1,V419),0))</f>
        <v/>
      </c>
      <c r="AS419" s="784" t="str">
        <f t="shared" si="157"/>
        <v/>
      </c>
      <c r="AT419" s="1315" t="str">
        <f t="shared" si="168"/>
        <v/>
      </c>
      <c r="AU419" s="785">
        <f t="shared" si="169"/>
        <v>0</v>
      </c>
      <c r="AV419" s="785">
        <f t="shared" si="170"/>
        <v>0</v>
      </c>
      <c r="AW419" s="786">
        <f>IF(AK419="A",AY10,0)</f>
        <v>0</v>
      </c>
      <c r="AX419" s="5495" t="str">
        <f>IF(IFERROR(SEARCH("Adresse PC",TRIM(W419)),0)&gt;0,"▼ receta siguiente",IF(AK419="A",IF(AZ10&lt;&gt;"",AZ10&amp;" - ou.or.o ❾ + or - &gt;",""),""))</f>
        <v/>
      </c>
      <c r="AY419" s="810"/>
      <c r="AZ419" s="810"/>
      <c r="BA419" s="788" t="str">
        <f t="shared" si="160"/>
        <v/>
      </c>
      <c r="BB419" s="789" t="str">
        <f>IF(AK419="A",IF(AQ419,IF(AND(AW419&lt;&gt;"",N(AW419)&gt;0),IFERROR(IFERROR(_xlfn.XLOOKUP(AP419,BP10:BP57,BT10:BT57),IFERROR(_xlfn.XLOOKUP(AP419,BQ10:BQ57,BT10:BT57),_xlfn.XLOOKUP(AP419,BR10:BR57,BT10:BT57,""))),""),""),""),"")</f>
        <v/>
      </c>
      <c r="BC419" s="811" cm="1">
        <f t="array" ref="BC419">IF(NOT(AQ419),0,IF(OR(BA419="",N(BA419)&lt;=0.000000001),"",IF(OR(AU419="",N(AU419)&lt;=0.000000001),0,IF(ISNUMBER(BA419),IFERROR(_xlfn.LET(_xlpm.ai_test,TRIM(AP419),_xlpm.r,IFERROR(_xlfn.XLOOKUP(_xlpm.ai_test,BP16:BP63,ROW(BP16:BP63),0,1),IFERROR(_xlfn.XLOOKUP(_xlpm.ai_test,BQ16:BQ63,ROW(BQ16:BQ63),0,1),_xlfn.XLOOKUP(_xlpm.ai_test,BR16:BR63,ROW(BR16:BR63),0,1))),_xlpm.p,_xlpm.r-MIN(ROW(BP16:BP63))+1,_xlpm.f,INDEX(BS16:BS63,_xlpm.p),_xlpm.u,INDEX(BT16:BT63,_xlpm.p),_xlpm.s,INDEX(BV16:BV63,_xlpm.p),_xlpm.q,N(BA419)/_xlpm.f,IF(_xlpm.q&gt;=_xlpm.s,ROUND(_xlpm.q,1)&amp;" "&amp;_xlpm.ai_test&amp;" = "&amp;ROUND(_xlpm.q*_xlpm.f,1)&amp;" "&amp;_xlpm.u,ROUND(_xlpm.q,1)&amp;" "&amp;_xlpm.ai_test)),""),""))))</f>
        <v>0</v>
      </c>
      <c r="BD419" s="801"/>
      <c r="BE419" s="788" t="str">
        <f t="shared" si="171"/>
        <v/>
      </c>
      <c r="BF419" s="789" t="str">
        <f t="shared" si="172"/>
        <v/>
      </c>
      <c r="BG419" s="790">
        <f t="shared" si="175"/>
        <v>0</v>
      </c>
      <c r="BH419" s="791" t="str">
        <f t="shared" si="176"/>
        <v/>
      </c>
      <c r="BI419" s="792"/>
      <c r="BJ419" s="793">
        <f t="shared" si="174"/>
        <v>0</v>
      </c>
      <c r="BK419" s="794" t="str">
        <f t="shared" si="173"/>
        <v/>
      </c>
      <c r="BL419" s="227" t="s">
        <v>21</v>
      </c>
      <c r="BM419" s="773">
        <f t="shared" si="162"/>
        <v>0</v>
      </c>
      <c r="BN419" s="774">
        <f t="shared" si="163"/>
        <v>0</v>
      </c>
      <c r="BO419"/>
      <c r="BX419"/>
      <c r="BY419"/>
      <c r="BZ419"/>
      <c r="CA419"/>
      <c r="CB419"/>
      <c r="CC419"/>
      <c r="CD419" s="781" t="str">
        <f t="shared" si="156"/>
        <v>►</v>
      </c>
      <c r="CE419" s="633"/>
      <c r="CF419" s="633"/>
      <c r="CG419" s="633"/>
      <c r="CH419" s="633"/>
      <c r="CI419" s="633"/>
      <c r="CJ419" s="227"/>
      <c r="CK419"/>
      <c r="CL419"/>
      <c r="CM419"/>
      <c r="CN419"/>
      <c r="CO419"/>
      <c r="CP419"/>
      <c r="CQ419"/>
      <c r="CR419" s="227"/>
      <c r="CS419"/>
      <c r="CT419"/>
      <c r="CU419"/>
      <c r="CV419"/>
      <c r="CW419"/>
      <c r="CX419"/>
      <c r="CY419"/>
      <c r="CZ419" s="227"/>
      <c r="DA419"/>
      <c r="DB419"/>
      <c r="DC419"/>
      <c r="DD419"/>
      <c r="DE419"/>
      <c r="DF419"/>
      <c r="DG419"/>
      <c r="DH419" s="227"/>
      <c r="DI419" s="3">
        <v>1</v>
      </c>
    </row>
    <row r="420" spans="2:113" s="627" customFormat="1" ht="21" customHeight="1">
      <c r="B420" s="2265" t="str" cm="1">
        <f t="array" ref="B420">SUMPRODUCT(--(D420:J420&lt;&gt;""), LEN(TRIM(SUBSTITUTE(D420:J420, CHAR(160), "")))) &amp; " Car."</f>
        <v>0 Car.</v>
      </c>
      <c r="C420" s="1376" t="str">
        <f>IF(ISBLANK(D420),"",LARGE(C13:C419,1)+1)</f>
        <v/>
      </c>
      <c r="D420" s="1833"/>
      <c r="E420" s="1810"/>
      <c r="F420" s="1810"/>
      <c r="G420" s="1810"/>
      <c r="H420" s="1810"/>
      <c r="I420" s="1810"/>
      <c r="J420" s="1810"/>
      <c r="K420" s="1810"/>
      <c r="L420" s="1811"/>
      <c r="M420"/>
      <c r="N420" s="103" t="str">
        <f t="shared" si="158"/>
        <v>►</v>
      </c>
      <c r="O420" s="1616"/>
      <c r="P420"/>
      <c r="Q420" s="25" t="s">
        <v>15</v>
      </c>
      <c r="R420" s="31"/>
      <c r="S420" s="32"/>
      <c r="T420" s="31"/>
      <c r="U420" s="33"/>
      <c r="V420" s="1967"/>
      <c r="W420" s="1805"/>
      <c r="X420" s="91"/>
      <c r="Y420" s="1806"/>
      <c r="Z420" s="1968"/>
      <c r="AA420" s="2244"/>
      <c r="AB420" s="1969"/>
      <c r="AC420" s="1365"/>
      <c r="AD420" s="95"/>
      <c r="AE420" s="1326"/>
      <c r="AF420" s="97"/>
      <c r="AG420" s="1737"/>
      <c r="AH420" s="1970"/>
      <c r="AI420" s="99"/>
      <c r="AJ420" s="1809"/>
      <c r="AK420" s="6120" t="str">
        <f t="shared" si="159"/>
        <v>►</v>
      </c>
      <c r="AL420" s="781" t="str">
        <f t="shared" si="161"/>
        <v>►</v>
      </c>
      <c r="AM420" s="5498" t="str">
        <f t="shared" si="164"/>
        <v/>
      </c>
      <c r="AN420" s="783" t="str">
        <f t="shared" si="165"/>
        <v/>
      </c>
      <c r="AO420" s="782" t="str">
        <f t="shared" si="166"/>
        <v/>
      </c>
      <c r="AP420" s="783" t="str">
        <f t="shared" si="167"/>
        <v/>
      </c>
      <c r="AQ420" s="2083" t="b">
        <f>AND(Q420="A",COUNTIF(BP16:BR63,TRIM(Z420))&gt;0)</f>
        <v>0</v>
      </c>
      <c r="AR420" s="797" t="str">
        <f>IF(AL420&lt;&gt;"A","",IFERROR(IFERROR(_xlfn.XLOOKUP(TRIM(SUBSTITUTE(Z420,CHAR(160)," ")),BP16:BP63,BS16:BS63),IFERROR(_xlfn.XLOOKUP(TRIM(SUBSTITUTE(Z420,CHAR(160)," ")),BQ16:BQ63,BS16:BS63),_xlfn.XLOOKUP(TRIM(SUBSTITUTE(Z420,CHAR(160)," ")),BR16:BR63,BS16:BS63)))*Y420*IF(ISBLANK(V420),1,V420),0))</f>
        <v/>
      </c>
      <c r="AS420" s="784" t="str">
        <f t="shared" si="157"/>
        <v/>
      </c>
      <c r="AT420" s="1315" t="str">
        <f t="shared" si="168"/>
        <v/>
      </c>
      <c r="AU420" s="785">
        <f t="shared" si="169"/>
        <v>0</v>
      </c>
      <c r="AV420" s="785">
        <f t="shared" si="170"/>
        <v>0</v>
      </c>
      <c r="AW420" s="798">
        <f>IF(AK420="A",AY10,0)</f>
        <v>0</v>
      </c>
      <c r="AX420" s="5496" t="str">
        <f>IF(IFERROR(SEARCH("Adresse PC",TRIM(W420)),0)&gt;0,"▼ receta siguiente",IF(AK420="A",IF(AZ10&lt;&gt;"",AZ10&amp;" - ou.or.o ❾ + or - &gt;",""),""))</f>
        <v/>
      </c>
      <c r="AY420" s="810"/>
      <c r="AZ420" s="810"/>
      <c r="BA420" s="799" t="str">
        <f t="shared" si="160"/>
        <v/>
      </c>
      <c r="BB420" s="800" t="str">
        <f>IF(AK420="A",IF(AQ420,IF(AND(AW420&lt;&gt;"",N(AW420)&gt;0),IFERROR(IFERROR(_xlfn.XLOOKUP(AP420,BP10:BP57,BT10:BT57),IFERROR(_xlfn.XLOOKUP(AP420,BQ10:BQ57,BT10:BT57),_xlfn.XLOOKUP(AP420,BR10:BR57,BT10:BT57,""))),""),""),""),"")</f>
        <v/>
      </c>
      <c r="BC420" s="813" cm="1">
        <f t="array" ref="BC420">IF(NOT(AQ420),0,IF(OR(BA420="",N(BA420)&lt;=0.000000001),"",IF(OR(AU420="",N(AU420)&lt;=0.000000001),0,IF(ISNUMBER(BA420),IFERROR(_xlfn.LET(_xlpm.ai_test,TRIM(AP420),_xlpm.r,IFERROR(_xlfn.XLOOKUP(_xlpm.ai_test,BP16:BP63,ROW(BP16:BP63),0,1),IFERROR(_xlfn.XLOOKUP(_xlpm.ai_test,BQ16:BQ63,ROW(BQ16:BQ63),0,1),_xlfn.XLOOKUP(_xlpm.ai_test,BR16:BR63,ROW(BR16:BR63),0,1))),_xlpm.p,_xlpm.r-MIN(ROW(BP16:BP63))+1,_xlpm.f,INDEX(BS16:BS63,_xlpm.p),_xlpm.u,INDEX(BT16:BT63,_xlpm.p),_xlpm.s,INDEX(BV16:BV63,_xlpm.p),_xlpm.q,N(BA420)/_xlpm.f,IF(_xlpm.q&gt;=_xlpm.s,ROUND(_xlpm.q,1)&amp;" "&amp;_xlpm.ai_test&amp;" = "&amp;ROUND(_xlpm.q*_xlpm.f,1)&amp;" "&amp;_xlpm.u,ROUND(_xlpm.q,1)&amp;" "&amp;_xlpm.ai_test)),""),""))))</f>
        <v>0</v>
      </c>
      <c r="BD420" s="801"/>
      <c r="BE420" s="799" t="str">
        <f t="shared" si="171"/>
        <v/>
      </c>
      <c r="BF420" s="800" t="str">
        <f t="shared" si="172"/>
        <v/>
      </c>
      <c r="BG420" s="802">
        <f t="shared" si="175"/>
        <v>0</v>
      </c>
      <c r="BH420" s="803" t="str">
        <f t="shared" si="176"/>
        <v/>
      </c>
      <c r="BI420" s="792"/>
      <c r="BJ420" s="804">
        <f t="shared" si="174"/>
        <v>0</v>
      </c>
      <c r="BK420" s="794" t="str">
        <f t="shared" si="173"/>
        <v/>
      </c>
      <c r="BL420" s="227" t="s">
        <v>21</v>
      </c>
      <c r="BM420" s="773">
        <f t="shared" si="162"/>
        <v>0</v>
      </c>
      <c r="BN420" s="774">
        <f t="shared" si="163"/>
        <v>0</v>
      </c>
      <c r="BO420"/>
      <c r="BX420"/>
      <c r="BY420"/>
      <c r="BZ420"/>
      <c r="CA420"/>
      <c r="CB420"/>
      <c r="CC420"/>
      <c r="CD420" s="781" t="str">
        <f t="shared" si="156"/>
        <v>►</v>
      </c>
      <c r="CE420" s="633"/>
      <c r="CF420" s="633"/>
      <c r="CG420" s="633"/>
      <c r="CH420" s="633"/>
      <c r="CI420" s="633"/>
      <c r="CJ420" s="227"/>
      <c r="CK420"/>
      <c r="CL420"/>
      <c r="CM420"/>
      <c r="CN420"/>
      <c r="CO420"/>
      <c r="CP420"/>
      <c r="CQ420"/>
      <c r="CR420" s="227"/>
      <c r="CS420"/>
      <c r="CT420"/>
      <c r="CU420"/>
      <c r="CV420"/>
      <c r="CW420"/>
      <c r="CX420"/>
      <c r="CY420"/>
      <c r="CZ420" s="227"/>
      <c r="DA420"/>
      <c r="DB420"/>
      <c r="DC420"/>
      <c r="DD420"/>
      <c r="DE420"/>
      <c r="DF420"/>
      <c r="DG420"/>
      <c r="DH420" s="227"/>
      <c r="DI420" s="3">
        <v>1</v>
      </c>
    </row>
    <row r="421" spans="2:113" s="627" customFormat="1" ht="21" customHeight="1">
      <c r="B421" s="2265" t="str" cm="1">
        <f t="array" ref="B421">SUMPRODUCT(--(D421:J421&lt;&gt;""), LEN(TRIM(SUBSTITUTE(D421:J421, CHAR(160), "")))) &amp; " Car."</f>
        <v>0 Car.</v>
      </c>
      <c r="C421" s="1376" t="str">
        <f>IF(ISBLANK(D421),"",LARGE(C13:C420,1)+1)</f>
        <v/>
      </c>
      <c r="D421" s="1833"/>
      <c r="E421" s="1810"/>
      <c r="F421" s="1810"/>
      <c r="G421" s="1810"/>
      <c r="H421" s="1810"/>
      <c r="I421" s="1810"/>
      <c r="J421" s="1810"/>
      <c r="K421" s="1810"/>
      <c r="L421" s="1811"/>
      <c r="M421"/>
      <c r="N421" s="103" t="str">
        <f t="shared" si="158"/>
        <v>►</v>
      </c>
      <c r="O421" s="1616"/>
      <c r="P421"/>
      <c r="Q421" s="25" t="s">
        <v>15</v>
      </c>
      <c r="R421" s="31"/>
      <c r="S421" s="32"/>
      <c r="T421" s="31"/>
      <c r="U421" s="33"/>
      <c r="V421" s="1967"/>
      <c r="W421" s="1805"/>
      <c r="X421" s="91"/>
      <c r="Y421" s="1806"/>
      <c r="Z421" s="1968"/>
      <c r="AA421" s="2244"/>
      <c r="AB421" s="1969"/>
      <c r="AC421" s="1365"/>
      <c r="AD421" s="95"/>
      <c r="AE421" s="1326"/>
      <c r="AF421" s="97"/>
      <c r="AG421" s="1737"/>
      <c r="AH421" s="1970"/>
      <c r="AI421" s="99"/>
      <c r="AJ421" s="1809"/>
      <c r="AK421" s="6120" t="str">
        <f t="shared" si="159"/>
        <v>►</v>
      </c>
      <c r="AL421" s="781" t="str">
        <f t="shared" si="161"/>
        <v>►</v>
      </c>
      <c r="AM421" s="5499" t="str">
        <f t="shared" si="164"/>
        <v/>
      </c>
      <c r="AN421" s="783" t="str">
        <f t="shared" si="165"/>
        <v/>
      </c>
      <c r="AO421" s="782" t="str">
        <f t="shared" si="166"/>
        <v/>
      </c>
      <c r="AP421" s="783" t="str">
        <f t="shared" si="167"/>
        <v/>
      </c>
      <c r="AQ421" s="2083" t="b">
        <f>AND(Q421="A",COUNTIF(BP16:BR63,TRIM(Z421))&gt;0)</f>
        <v>0</v>
      </c>
      <c r="AR421" s="797" t="str">
        <f>IF(AL421&lt;&gt;"A","",IFERROR(IFERROR(_xlfn.XLOOKUP(TRIM(SUBSTITUTE(Z421,CHAR(160)," ")),BP16:BP63,BS16:BS63),IFERROR(_xlfn.XLOOKUP(TRIM(SUBSTITUTE(Z421,CHAR(160)," ")),BQ16:BQ63,BS16:BS63),_xlfn.XLOOKUP(TRIM(SUBSTITUTE(Z421,CHAR(160)," ")),BR16:BR63,BS16:BS63)))*Y421*IF(ISBLANK(V421),1,V421),0))</f>
        <v/>
      </c>
      <c r="AS421" s="784" t="str">
        <f t="shared" si="157"/>
        <v/>
      </c>
      <c r="AT421" s="1315" t="str">
        <f t="shared" si="168"/>
        <v/>
      </c>
      <c r="AU421" s="785">
        <f t="shared" si="169"/>
        <v>0</v>
      </c>
      <c r="AV421" s="785">
        <f t="shared" si="170"/>
        <v>0</v>
      </c>
      <c r="AW421" s="786">
        <f>IF(AK421="A",AY10,0)</f>
        <v>0</v>
      </c>
      <c r="AX421" s="5495" t="str">
        <f>IF(IFERROR(SEARCH("Adresse PC",TRIM(W421)),0)&gt;0,"▼ receta siguiente",IF(AK421="A",IF(AZ10&lt;&gt;"",AZ10&amp;" - ou.or.o ❾ + or - &gt;",""),""))</f>
        <v/>
      </c>
      <c r="AY421" s="810"/>
      <c r="AZ421" s="810"/>
      <c r="BA421" s="788" t="str">
        <f t="shared" si="160"/>
        <v/>
      </c>
      <c r="BB421" s="789" t="str">
        <f>IF(AK421="A",IF(AQ421,IF(AND(AW421&lt;&gt;"",N(AW421)&gt;0),IFERROR(IFERROR(_xlfn.XLOOKUP(AP421,BP10:BP57,BT10:BT57),IFERROR(_xlfn.XLOOKUP(AP421,BQ10:BQ57,BT10:BT57),_xlfn.XLOOKUP(AP421,BR10:BR57,BT10:BT57,""))),""),""),""),"")</f>
        <v/>
      </c>
      <c r="BC421" s="811" cm="1">
        <f t="array" ref="BC421">IF(NOT(AQ421),0,IF(OR(BA421="",N(BA421)&lt;=0.000000001),"",IF(OR(AU421="",N(AU421)&lt;=0.000000001),0,IF(ISNUMBER(BA421),IFERROR(_xlfn.LET(_xlpm.ai_test,TRIM(AP421),_xlpm.r,IFERROR(_xlfn.XLOOKUP(_xlpm.ai_test,BP16:BP63,ROW(BP16:BP63),0,1),IFERROR(_xlfn.XLOOKUP(_xlpm.ai_test,BQ16:BQ63,ROW(BQ16:BQ63),0,1),_xlfn.XLOOKUP(_xlpm.ai_test,BR16:BR63,ROW(BR16:BR63),0,1))),_xlpm.p,_xlpm.r-MIN(ROW(BP16:BP63))+1,_xlpm.f,INDEX(BS16:BS63,_xlpm.p),_xlpm.u,INDEX(BT16:BT63,_xlpm.p),_xlpm.s,INDEX(BV16:BV63,_xlpm.p),_xlpm.q,N(BA421)/_xlpm.f,IF(_xlpm.q&gt;=_xlpm.s,ROUND(_xlpm.q,1)&amp;" "&amp;_xlpm.ai_test&amp;" = "&amp;ROUND(_xlpm.q*_xlpm.f,1)&amp;" "&amp;_xlpm.u,ROUND(_xlpm.q,1)&amp;" "&amp;_xlpm.ai_test)),""),""))))</f>
        <v>0</v>
      </c>
      <c r="BD421" s="801"/>
      <c r="BE421" s="788" t="str">
        <f t="shared" si="171"/>
        <v/>
      </c>
      <c r="BF421" s="789" t="str">
        <f t="shared" si="172"/>
        <v/>
      </c>
      <c r="BG421" s="790">
        <f t="shared" si="175"/>
        <v>0</v>
      </c>
      <c r="BH421" s="791" t="str">
        <f t="shared" si="176"/>
        <v/>
      </c>
      <c r="BI421" s="792"/>
      <c r="BJ421" s="793">
        <f t="shared" si="174"/>
        <v>0</v>
      </c>
      <c r="BK421" s="794" t="str">
        <f t="shared" si="173"/>
        <v/>
      </c>
      <c r="BL421" s="227" t="s">
        <v>21</v>
      </c>
      <c r="BM421" s="773">
        <f t="shared" si="162"/>
        <v>0</v>
      </c>
      <c r="BN421" s="774">
        <f t="shared" si="163"/>
        <v>0</v>
      </c>
      <c r="BO421"/>
      <c r="BX421"/>
      <c r="BY421"/>
      <c r="BZ421"/>
      <c r="CA421"/>
      <c r="CB421"/>
      <c r="CC421"/>
      <c r="CD421" s="781" t="str">
        <f t="shared" si="156"/>
        <v>►</v>
      </c>
      <c r="CE421" s="633"/>
      <c r="CF421" s="633"/>
      <c r="CG421" s="633"/>
      <c r="CH421" s="633"/>
      <c r="CI421" s="633"/>
      <c r="CJ421" s="227"/>
      <c r="CK421"/>
      <c r="CL421"/>
      <c r="CM421"/>
      <c r="CN421"/>
      <c r="CO421"/>
      <c r="CP421"/>
      <c r="CQ421"/>
      <c r="CR421" s="227"/>
      <c r="CS421"/>
      <c r="CT421"/>
      <c r="CU421"/>
      <c r="CV421"/>
      <c r="CW421"/>
      <c r="CX421"/>
      <c r="CY421"/>
      <c r="CZ421" s="227"/>
      <c r="DA421"/>
      <c r="DB421"/>
      <c r="DC421"/>
      <c r="DD421"/>
      <c r="DE421"/>
      <c r="DF421"/>
      <c r="DG421"/>
      <c r="DH421" s="227"/>
      <c r="DI421" s="3">
        <v>1</v>
      </c>
    </row>
    <row r="422" spans="2:113" s="627" customFormat="1" ht="21" customHeight="1">
      <c r="B422" s="2265" t="str" cm="1">
        <f t="array" ref="B422">SUMPRODUCT(--(D422:J422&lt;&gt;""), LEN(TRIM(SUBSTITUTE(D422:J422, CHAR(160), "")))) &amp; " Car."</f>
        <v>0 Car.</v>
      </c>
      <c r="C422" s="1376" t="str">
        <f>IF(ISBLANK(D422),"",LARGE(C13:C421,1)+1)</f>
        <v/>
      </c>
      <c r="D422" s="1833"/>
      <c r="E422" s="1810"/>
      <c r="F422" s="1810"/>
      <c r="G422" s="1810"/>
      <c r="H422" s="1810"/>
      <c r="I422" s="1810"/>
      <c r="J422" s="1810"/>
      <c r="K422" s="1810"/>
      <c r="L422" s="1811"/>
      <c r="M422"/>
      <c r="N422" s="103" t="str">
        <f t="shared" si="158"/>
        <v>►</v>
      </c>
      <c r="O422" s="1616"/>
      <c r="P422"/>
      <c r="Q422" s="25" t="s">
        <v>15</v>
      </c>
      <c r="R422" s="31"/>
      <c r="S422" s="32"/>
      <c r="T422" s="31"/>
      <c r="U422" s="33"/>
      <c r="V422" s="1967"/>
      <c r="W422" s="1805"/>
      <c r="X422" s="91"/>
      <c r="Y422" s="1806"/>
      <c r="Z422" s="1968"/>
      <c r="AA422" s="2244"/>
      <c r="AB422" s="1969"/>
      <c r="AC422" s="1365"/>
      <c r="AD422" s="95"/>
      <c r="AE422" s="1326"/>
      <c r="AF422" s="97"/>
      <c r="AG422" s="1737"/>
      <c r="AH422" s="1970"/>
      <c r="AI422" s="99"/>
      <c r="AJ422" s="1809"/>
      <c r="AK422" s="6120" t="str">
        <f t="shared" si="159"/>
        <v>►</v>
      </c>
      <c r="AL422" s="781" t="str">
        <f t="shared" si="161"/>
        <v>►</v>
      </c>
      <c r="AM422" s="5498" t="str">
        <f t="shared" si="164"/>
        <v/>
      </c>
      <c r="AN422" s="783" t="str">
        <f t="shared" si="165"/>
        <v/>
      </c>
      <c r="AO422" s="782" t="str">
        <f t="shared" si="166"/>
        <v/>
      </c>
      <c r="AP422" s="783" t="str">
        <f t="shared" si="167"/>
        <v/>
      </c>
      <c r="AQ422" s="2083" t="b">
        <f>AND(Q422="A",COUNTIF(BP16:BR63,TRIM(Z422))&gt;0)</f>
        <v>0</v>
      </c>
      <c r="AR422" s="797" t="str">
        <f>IF(AL422&lt;&gt;"A","",IFERROR(IFERROR(_xlfn.XLOOKUP(TRIM(SUBSTITUTE(Z422,CHAR(160)," ")),BP16:BP63,BS16:BS63),IFERROR(_xlfn.XLOOKUP(TRIM(SUBSTITUTE(Z422,CHAR(160)," ")),BQ16:BQ63,BS16:BS63),_xlfn.XLOOKUP(TRIM(SUBSTITUTE(Z422,CHAR(160)," ")),BR16:BR63,BS16:BS63)))*Y422*IF(ISBLANK(V422),1,V422),0))</f>
        <v/>
      </c>
      <c r="AS422" s="784" t="str">
        <f t="shared" si="157"/>
        <v/>
      </c>
      <c r="AT422" s="1315" t="str">
        <f t="shared" si="168"/>
        <v/>
      </c>
      <c r="AU422" s="785">
        <f t="shared" si="169"/>
        <v>0</v>
      </c>
      <c r="AV422" s="785">
        <f t="shared" si="170"/>
        <v>0</v>
      </c>
      <c r="AW422" s="798">
        <f>IF(AK422="A",AY10,0)</f>
        <v>0</v>
      </c>
      <c r="AX422" s="5496" t="str">
        <f>IF(IFERROR(SEARCH("Adresse PC",TRIM(W422)),0)&gt;0,"▼ receta siguiente",IF(AK422="A",IF(AZ10&lt;&gt;"",AZ10&amp;" - ou.or.o ❾ + or - &gt;",""),""))</f>
        <v/>
      </c>
      <c r="AY422" s="810"/>
      <c r="AZ422" s="810"/>
      <c r="BA422" s="799" t="str">
        <f t="shared" si="160"/>
        <v/>
      </c>
      <c r="BB422" s="800" t="str">
        <f>IF(AK422="A",IF(AQ422,IF(AND(AW422&lt;&gt;"",N(AW422)&gt;0),IFERROR(IFERROR(_xlfn.XLOOKUP(AP422,BP10:BP57,BT10:BT57),IFERROR(_xlfn.XLOOKUP(AP422,BQ10:BQ57,BT10:BT57),_xlfn.XLOOKUP(AP422,BR10:BR57,BT10:BT57,""))),""),""),""),"")</f>
        <v/>
      </c>
      <c r="BC422" s="813" cm="1">
        <f t="array" ref="BC422">IF(NOT(AQ422),0,IF(OR(BA422="",N(BA422)&lt;=0.000000001),"",IF(OR(AU422="",N(AU422)&lt;=0.000000001),0,IF(ISNUMBER(BA422),IFERROR(_xlfn.LET(_xlpm.ai_test,TRIM(AP422),_xlpm.r,IFERROR(_xlfn.XLOOKUP(_xlpm.ai_test,BP16:BP63,ROW(BP16:BP63),0,1),IFERROR(_xlfn.XLOOKUP(_xlpm.ai_test,BQ16:BQ63,ROW(BQ16:BQ63),0,1),_xlfn.XLOOKUP(_xlpm.ai_test,BR16:BR63,ROW(BR16:BR63),0,1))),_xlpm.p,_xlpm.r-MIN(ROW(BP16:BP63))+1,_xlpm.f,INDEX(BS16:BS63,_xlpm.p),_xlpm.u,INDEX(BT16:BT63,_xlpm.p),_xlpm.s,INDEX(BV16:BV63,_xlpm.p),_xlpm.q,N(BA422)/_xlpm.f,IF(_xlpm.q&gt;=_xlpm.s,ROUND(_xlpm.q,1)&amp;" "&amp;_xlpm.ai_test&amp;" = "&amp;ROUND(_xlpm.q*_xlpm.f,1)&amp;" "&amp;_xlpm.u,ROUND(_xlpm.q,1)&amp;" "&amp;_xlpm.ai_test)),""),""))))</f>
        <v>0</v>
      </c>
      <c r="BD422" s="801"/>
      <c r="BE422" s="799" t="str">
        <f t="shared" si="171"/>
        <v/>
      </c>
      <c r="BF422" s="800" t="str">
        <f t="shared" si="172"/>
        <v/>
      </c>
      <c r="BG422" s="802">
        <f t="shared" si="175"/>
        <v>0</v>
      </c>
      <c r="BH422" s="803" t="str">
        <f t="shared" si="176"/>
        <v/>
      </c>
      <c r="BI422" s="792"/>
      <c r="BJ422" s="804">
        <f t="shared" si="174"/>
        <v>0</v>
      </c>
      <c r="BK422" s="794" t="str">
        <f t="shared" si="173"/>
        <v/>
      </c>
      <c r="BL422" s="227" t="s">
        <v>21</v>
      </c>
      <c r="BM422" s="773">
        <f t="shared" si="162"/>
        <v>0</v>
      </c>
      <c r="BN422" s="774">
        <f t="shared" si="163"/>
        <v>0</v>
      </c>
      <c r="BO422"/>
      <c r="BX422"/>
      <c r="BY422"/>
      <c r="BZ422"/>
      <c r="CA422"/>
      <c r="CB422"/>
      <c r="CC422"/>
      <c r="CD422" s="781" t="str">
        <f t="shared" si="156"/>
        <v>►</v>
      </c>
      <c r="CE422" s="633"/>
      <c r="CF422" s="633"/>
      <c r="CG422" s="633"/>
      <c r="CH422" s="633"/>
      <c r="CI422" s="633"/>
      <c r="CJ422" s="227"/>
      <c r="CK422"/>
      <c r="CL422"/>
      <c r="CM422"/>
      <c r="CN422"/>
      <c r="CO422"/>
      <c r="CP422"/>
      <c r="CQ422"/>
      <c r="CR422" s="227"/>
      <c r="CS422"/>
      <c r="CT422"/>
      <c r="CU422"/>
      <c r="CV422"/>
      <c r="CW422"/>
      <c r="CX422"/>
      <c r="CY422"/>
      <c r="CZ422" s="227"/>
      <c r="DA422"/>
      <c r="DB422"/>
      <c r="DC422"/>
      <c r="DD422"/>
      <c r="DE422"/>
      <c r="DF422"/>
      <c r="DG422"/>
      <c r="DH422" s="227"/>
      <c r="DI422" s="3">
        <v>1</v>
      </c>
    </row>
    <row r="423" spans="2:113" s="627" customFormat="1" ht="21" customHeight="1">
      <c r="B423" s="2265" t="str" cm="1">
        <f t="array" ref="B423">SUMPRODUCT(--(D423:J423&lt;&gt;""), LEN(TRIM(SUBSTITUTE(D423:J423, CHAR(160), "")))) &amp; " Car."</f>
        <v>0 Car.</v>
      </c>
      <c r="C423" s="1376" t="str">
        <f>IF(ISBLANK(D423),"",LARGE(C13:C422,1)+1)</f>
        <v/>
      </c>
      <c r="D423" s="1833"/>
      <c r="E423" s="1810"/>
      <c r="F423" s="1810"/>
      <c r="G423" s="1810"/>
      <c r="H423" s="1810"/>
      <c r="I423" s="1810"/>
      <c r="J423" s="1810"/>
      <c r="K423" s="1810"/>
      <c r="L423" s="1811"/>
      <c r="M423"/>
      <c r="N423" s="103" t="str">
        <f t="shared" si="158"/>
        <v>►</v>
      </c>
      <c r="O423" s="1616"/>
      <c r="P423"/>
      <c r="Q423" s="25" t="s">
        <v>15</v>
      </c>
      <c r="R423" s="31"/>
      <c r="S423" s="32"/>
      <c r="T423" s="31"/>
      <c r="U423" s="33"/>
      <c r="V423" s="1967"/>
      <c r="W423" s="1805"/>
      <c r="X423" s="91"/>
      <c r="Y423" s="1806"/>
      <c r="Z423" s="1968"/>
      <c r="AA423" s="2244"/>
      <c r="AB423" s="1969"/>
      <c r="AC423" s="1365"/>
      <c r="AD423" s="95"/>
      <c r="AE423" s="1326"/>
      <c r="AF423" s="97"/>
      <c r="AG423" s="1737"/>
      <c r="AH423" s="1970"/>
      <c r="AI423" s="99"/>
      <c r="AJ423" s="1809"/>
      <c r="AK423" s="6120" t="str">
        <f t="shared" si="159"/>
        <v>►</v>
      </c>
      <c r="AL423" s="781" t="str">
        <f t="shared" si="161"/>
        <v>►</v>
      </c>
      <c r="AM423" s="5499" t="str">
        <f t="shared" si="164"/>
        <v/>
      </c>
      <c r="AN423" s="783" t="str">
        <f t="shared" si="165"/>
        <v/>
      </c>
      <c r="AO423" s="782" t="str">
        <f t="shared" si="166"/>
        <v/>
      </c>
      <c r="AP423" s="783" t="str">
        <f t="shared" si="167"/>
        <v/>
      </c>
      <c r="AQ423" s="2083" t="b">
        <f>AND(Q423="A",COUNTIF(BP16:BR63,TRIM(Z423))&gt;0)</f>
        <v>0</v>
      </c>
      <c r="AR423" s="797" t="str">
        <f>IF(AL423&lt;&gt;"A","",IFERROR(IFERROR(_xlfn.XLOOKUP(TRIM(SUBSTITUTE(Z423,CHAR(160)," ")),BP16:BP63,BS16:BS63),IFERROR(_xlfn.XLOOKUP(TRIM(SUBSTITUTE(Z423,CHAR(160)," ")),BQ16:BQ63,BS16:BS63),_xlfn.XLOOKUP(TRIM(SUBSTITUTE(Z423,CHAR(160)," ")),BR16:BR63,BS16:BS63)))*Y423*IF(ISBLANK(V423),1,V423),0))</f>
        <v/>
      </c>
      <c r="AS423" s="784" t="str">
        <f t="shared" si="157"/>
        <v/>
      </c>
      <c r="AT423" s="1315" t="str">
        <f t="shared" si="168"/>
        <v/>
      </c>
      <c r="AU423" s="785">
        <f t="shared" si="169"/>
        <v>0</v>
      </c>
      <c r="AV423" s="785">
        <f t="shared" si="170"/>
        <v>0</v>
      </c>
      <c r="AW423" s="786">
        <f>IF(AK423="A",AY10,0)</f>
        <v>0</v>
      </c>
      <c r="AX423" s="5495" t="str">
        <f>IF(IFERROR(SEARCH("Adresse PC",TRIM(W423)),0)&gt;0,"▼ receta siguiente",IF(AK423="A",IF(AZ10&lt;&gt;"",AZ10&amp;" - ou.or.o ❾ + or - &gt;",""),""))</f>
        <v/>
      </c>
      <c r="AY423" s="810"/>
      <c r="AZ423" s="810"/>
      <c r="BA423" s="788" t="str">
        <f t="shared" si="160"/>
        <v/>
      </c>
      <c r="BB423" s="789" t="str">
        <f>IF(AK423="A",IF(AQ423,IF(AND(AW423&lt;&gt;"",N(AW423)&gt;0),IFERROR(IFERROR(_xlfn.XLOOKUP(AP423,BP10:BP57,BT10:BT57),IFERROR(_xlfn.XLOOKUP(AP423,BQ10:BQ57,BT10:BT57),_xlfn.XLOOKUP(AP423,BR10:BR57,BT10:BT57,""))),""),""),""),"")</f>
        <v/>
      </c>
      <c r="BC423" s="811" cm="1">
        <f t="array" ref="BC423">IF(NOT(AQ423),0,IF(OR(BA423="",N(BA423)&lt;=0.000000001),"",IF(OR(AU423="",N(AU423)&lt;=0.000000001),0,IF(ISNUMBER(BA423),IFERROR(_xlfn.LET(_xlpm.ai_test,TRIM(AP423),_xlpm.r,IFERROR(_xlfn.XLOOKUP(_xlpm.ai_test,BP16:BP63,ROW(BP16:BP63),0,1),IFERROR(_xlfn.XLOOKUP(_xlpm.ai_test,BQ16:BQ63,ROW(BQ16:BQ63),0,1),_xlfn.XLOOKUP(_xlpm.ai_test,BR16:BR63,ROW(BR16:BR63),0,1))),_xlpm.p,_xlpm.r-MIN(ROW(BP16:BP63))+1,_xlpm.f,INDEX(BS16:BS63,_xlpm.p),_xlpm.u,INDEX(BT16:BT63,_xlpm.p),_xlpm.s,INDEX(BV16:BV63,_xlpm.p),_xlpm.q,N(BA423)/_xlpm.f,IF(_xlpm.q&gt;=_xlpm.s,ROUND(_xlpm.q,1)&amp;" "&amp;_xlpm.ai_test&amp;" = "&amp;ROUND(_xlpm.q*_xlpm.f,1)&amp;" "&amp;_xlpm.u,ROUND(_xlpm.q,1)&amp;" "&amp;_xlpm.ai_test)),""),""))))</f>
        <v>0</v>
      </c>
      <c r="BD423" s="801"/>
      <c r="BE423" s="788" t="str">
        <f t="shared" si="171"/>
        <v/>
      </c>
      <c r="BF423" s="789" t="str">
        <f t="shared" si="172"/>
        <v/>
      </c>
      <c r="BG423" s="790">
        <f t="shared" si="175"/>
        <v>0</v>
      </c>
      <c r="BH423" s="791" t="str">
        <f t="shared" si="176"/>
        <v/>
      </c>
      <c r="BI423" s="792"/>
      <c r="BJ423" s="793">
        <f t="shared" si="174"/>
        <v>0</v>
      </c>
      <c r="BK423" s="794" t="str">
        <f t="shared" si="173"/>
        <v/>
      </c>
      <c r="BL423" s="227" t="s">
        <v>21</v>
      </c>
      <c r="BM423" s="773">
        <f t="shared" si="162"/>
        <v>0</v>
      </c>
      <c r="BN423" s="774">
        <f t="shared" si="163"/>
        <v>0</v>
      </c>
      <c r="BO423"/>
      <c r="BX423"/>
      <c r="BY423"/>
      <c r="BZ423"/>
      <c r="CA423"/>
      <c r="CB423"/>
      <c r="CC423"/>
      <c r="CD423" s="781" t="str">
        <f t="shared" si="156"/>
        <v>►</v>
      </c>
      <c r="CE423" s="633"/>
      <c r="CF423" s="633"/>
      <c r="CG423" s="633"/>
      <c r="CH423" s="633"/>
      <c r="CI423" s="633"/>
      <c r="CJ423" s="227"/>
      <c r="CK423"/>
      <c r="CL423"/>
      <c r="CM423"/>
      <c r="CN423"/>
      <c r="CO423"/>
      <c r="CP423"/>
      <c r="CQ423"/>
      <c r="CR423" s="227"/>
      <c r="CS423"/>
      <c r="CT423"/>
      <c r="CU423"/>
      <c r="CV423"/>
      <c r="CW423"/>
      <c r="CX423"/>
      <c r="CY423"/>
      <c r="CZ423" s="227"/>
      <c r="DA423"/>
      <c r="DB423"/>
      <c r="DC423"/>
      <c r="DD423"/>
      <c r="DE423"/>
      <c r="DF423"/>
      <c r="DG423"/>
      <c r="DH423" s="227"/>
      <c r="DI423" s="3">
        <v>1</v>
      </c>
    </row>
    <row r="424" spans="2:113" s="627" customFormat="1" ht="21" customHeight="1">
      <c r="B424" s="2265" t="str" cm="1">
        <f t="array" ref="B424">SUMPRODUCT(--(D424:J424&lt;&gt;""), LEN(TRIM(SUBSTITUTE(D424:J424, CHAR(160), "")))) &amp; " Car."</f>
        <v>0 Car.</v>
      </c>
      <c r="C424" s="1376" t="str">
        <f>IF(ISBLANK(D424),"",LARGE(C13:C423,1)+1)</f>
        <v/>
      </c>
      <c r="D424" s="1833"/>
      <c r="E424" s="1810"/>
      <c r="F424" s="1810"/>
      <c r="G424" s="1810"/>
      <c r="H424" s="1810"/>
      <c r="I424" s="1810"/>
      <c r="J424" s="1810"/>
      <c r="K424" s="1810"/>
      <c r="L424" s="1811"/>
      <c r="M424"/>
      <c r="N424" s="103" t="str">
        <f t="shared" si="158"/>
        <v>►</v>
      </c>
      <c r="O424" s="1616"/>
      <c r="P424"/>
      <c r="Q424" s="25" t="s">
        <v>15</v>
      </c>
      <c r="R424" s="31"/>
      <c r="S424" s="32"/>
      <c r="T424" s="31"/>
      <c r="U424" s="33"/>
      <c r="V424" s="1967"/>
      <c r="W424" s="1805"/>
      <c r="X424" s="91"/>
      <c r="Y424" s="1806"/>
      <c r="Z424" s="1968"/>
      <c r="AA424" s="2244"/>
      <c r="AB424" s="1969"/>
      <c r="AC424" s="1365"/>
      <c r="AD424" s="95"/>
      <c r="AE424" s="1326"/>
      <c r="AF424" s="97"/>
      <c r="AG424" s="1737"/>
      <c r="AH424" s="1970"/>
      <c r="AI424" s="99"/>
      <c r="AJ424" s="1809"/>
      <c r="AK424" s="6120" t="str">
        <f t="shared" si="159"/>
        <v>►</v>
      </c>
      <c r="AL424" s="781" t="str">
        <f t="shared" si="161"/>
        <v>►</v>
      </c>
      <c r="AM424" s="5498" t="str">
        <f t="shared" si="164"/>
        <v/>
      </c>
      <c r="AN424" s="783" t="str">
        <f t="shared" si="165"/>
        <v/>
      </c>
      <c r="AO424" s="782" t="str">
        <f t="shared" si="166"/>
        <v/>
      </c>
      <c r="AP424" s="783" t="str">
        <f t="shared" si="167"/>
        <v/>
      </c>
      <c r="AQ424" s="2083" t="b">
        <f>AND(Q424="A",COUNTIF(BP16:BR63,TRIM(Z424))&gt;0)</f>
        <v>0</v>
      </c>
      <c r="AR424" s="797" t="str">
        <f>IF(AL424&lt;&gt;"A","",IFERROR(IFERROR(_xlfn.XLOOKUP(TRIM(SUBSTITUTE(Z424,CHAR(160)," ")),BP16:BP63,BS16:BS63),IFERROR(_xlfn.XLOOKUP(TRIM(SUBSTITUTE(Z424,CHAR(160)," ")),BQ16:BQ63,BS16:BS63),_xlfn.XLOOKUP(TRIM(SUBSTITUTE(Z424,CHAR(160)," ")),BR16:BR63,BS16:BS63)))*Y424*IF(ISBLANK(V424),1,V424),0))</f>
        <v/>
      </c>
      <c r="AS424" s="784" t="str">
        <f t="shared" si="157"/>
        <v/>
      </c>
      <c r="AT424" s="1315" t="str">
        <f t="shared" si="168"/>
        <v/>
      </c>
      <c r="AU424" s="785">
        <f t="shared" si="169"/>
        <v>0</v>
      </c>
      <c r="AV424" s="785">
        <f t="shared" si="170"/>
        <v>0</v>
      </c>
      <c r="AW424" s="798">
        <f>IF(AK424="A",AY10,0)</f>
        <v>0</v>
      </c>
      <c r="AX424" s="5496" t="str">
        <f>IF(IFERROR(SEARCH("Adresse PC",TRIM(W424)),0)&gt;0,"▼ receta siguiente",IF(AK424="A",IF(AZ10&lt;&gt;"",AZ10&amp;" - ou.or.o ❾ + or - &gt;",""),""))</f>
        <v/>
      </c>
      <c r="AY424" s="810"/>
      <c r="AZ424" s="810"/>
      <c r="BA424" s="799" t="str">
        <f t="shared" si="160"/>
        <v/>
      </c>
      <c r="BB424" s="800" t="str">
        <f>IF(AK424="A",IF(AQ424,IF(AND(AW424&lt;&gt;"",N(AW424)&gt;0),IFERROR(IFERROR(_xlfn.XLOOKUP(AP424,BP10:BP57,BT10:BT57),IFERROR(_xlfn.XLOOKUP(AP424,BQ10:BQ57,BT10:BT57),_xlfn.XLOOKUP(AP424,BR10:BR57,BT10:BT57,""))),""),""),""),"")</f>
        <v/>
      </c>
      <c r="BC424" s="813" cm="1">
        <f t="array" ref="BC424">IF(NOT(AQ424),0,IF(OR(BA424="",N(BA424)&lt;=0.000000001),"",IF(OR(AU424="",N(AU424)&lt;=0.000000001),0,IF(ISNUMBER(BA424),IFERROR(_xlfn.LET(_xlpm.ai_test,TRIM(AP424),_xlpm.r,IFERROR(_xlfn.XLOOKUP(_xlpm.ai_test,BP16:BP63,ROW(BP16:BP63),0,1),IFERROR(_xlfn.XLOOKUP(_xlpm.ai_test,BQ16:BQ63,ROW(BQ16:BQ63),0,1),_xlfn.XLOOKUP(_xlpm.ai_test,BR16:BR63,ROW(BR16:BR63),0,1))),_xlpm.p,_xlpm.r-MIN(ROW(BP16:BP63))+1,_xlpm.f,INDEX(BS16:BS63,_xlpm.p),_xlpm.u,INDEX(BT16:BT63,_xlpm.p),_xlpm.s,INDEX(BV16:BV63,_xlpm.p),_xlpm.q,N(BA424)/_xlpm.f,IF(_xlpm.q&gt;=_xlpm.s,ROUND(_xlpm.q,1)&amp;" "&amp;_xlpm.ai_test&amp;" = "&amp;ROUND(_xlpm.q*_xlpm.f,1)&amp;" "&amp;_xlpm.u,ROUND(_xlpm.q,1)&amp;" "&amp;_xlpm.ai_test)),""),""))))</f>
        <v>0</v>
      </c>
      <c r="BD424" s="801"/>
      <c r="BE424" s="799" t="str">
        <f t="shared" si="171"/>
        <v/>
      </c>
      <c r="BF424" s="800" t="str">
        <f t="shared" si="172"/>
        <v/>
      </c>
      <c r="BG424" s="802">
        <f t="shared" si="175"/>
        <v>0</v>
      </c>
      <c r="BH424" s="803" t="str">
        <f t="shared" si="176"/>
        <v/>
      </c>
      <c r="BI424" s="792"/>
      <c r="BJ424" s="804">
        <f t="shared" si="174"/>
        <v>0</v>
      </c>
      <c r="BK424" s="794" t="str">
        <f t="shared" si="173"/>
        <v/>
      </c>
      <c r="BL424" s="227" t="s">
        <v>21</v>
      </c>
      <c r="BM424" s="773">
        <f t="shared" si="162"/>
        <v>0</v>
      </c>
      <c r="BN424" s="774">
        <f t="shared" si="163"/>
        <v>0</v>
      </c>
      <c r="BO424"/>
      <c r="BX424"/>
      <c r="BY424"/>
      <c r="BZ424"/>
      <c r="CA424"/>
      <c r="CB424"/>
      <c r="CC424"/>
      <c r="CD424" s="781" t="str">
        <f t="shared" si="156"/>
        <v>►</v>
      </c>
      <c r="CE424" s="633"/>
      <c r="CF424" s="633"/>
      <c r="CG424" s="633"/>
      <c r="CH424" s="633"/>
      <c r="CI424" s="633"/>
      <c r="CJ424" s="227"/>
      <c r="CK424"/>
      <c r="CL424"/>
      <c r="CM424"/>
      <c r="CN424"/>
      <c r="CO424"/>
      <c r="CP424"/>
      <c r="CQ424"/>
      <c r="CR424" s="227"/>
      <c r="CS424"/>
      <c r="CT424"/>
      <c r="CU424"/>
      <c r="CV424"/>
      <c r="CW424"/>
      <c r="CX424"/>
      <c r="CY424"/>
      <c r="CZ424" s="227"/>
      <c r="DA424"/>
      <c r="DB424"/>
      <c r="DC424"/>
      <c r="DD424"/>
      <c r="DE424"/>
      <c r="DF424"/>
      <c r="DG424"/>
      <c r="DH424" s="227"/>
      <c r="DI424" s="3">
        <v>1</v>
      </c>
    </row>
    <row r="425" spans="2:113" s="627" customFormat="1" ht="21" customHeight="1">
      <c r="B425" s="2265" t="str" cm="1">
        <f t="array" ref="B425">SUMPRODUCT(--(D425:J425&lt;&gt;""), LEN(TRIM(SUBSTITUTE(D425:J425, CHAR(160), "")))) &amp; " Car."</f>
        <v>0 Car.</v>
      </c>
      <c r="C425" s="1376" t="str">
        <f>IF(ISBLANK(D425),"",LARGE(C13:C424,1)+1)</f>
        <v/>
      </c>
      <c r="D425" s="1833"/>
      <c r="E425" s="1810"/>
      <c r="F425" s="1810"/>
      <c r="G425" s="1810"/>
      <c r="H425" s="1810"/>
      <c r="I425" s="1810"/>
      <c r="J425" s="1810"/>
      <c r="K425" s="1810"/>
      <c r="L425" s="1811"/>
      <c r="M425"/>
      <c r="N425" s="103" t="str">
        <f t="shared" si="158"/>
        <v>►</v>
      </c>
      <c r="O425" s="1616"/>
      <c r="P425"/>
      <c r="Q425" s="25" t="s">
        <v>15</v>
      </c>
      <c r="R425" s="31"/>
      <c r="S425" s="32"/>
      <c r="T425" s="31"/>
      <c r="U425" s="33"/>
      <c r="V425" s="1967"/>
      <c r="W425" s="1805"/>
      <c r="X425" s="91"/>
      <c r="Y425" s="1806"/>
      <c r="Z425" s="1968"/>
      <c r="AA425" s="2244"/>
      <c r="AB425" s="1969"/>
      <c r="AC425" s="1365"/>
      <c r="AD425" s="95"/>
      <c r="AE425" s="1326"/>
      <c r="AF425" s="97"/>
      <c r="AG425" s="1737"/>
      <c r="AH425" s="1970"/>
      <c r="AI425" s="99"/>
      <c r="AJ425" s="1809"/>
      <c r="AK425" s="6120" t="str">
        <f t="shared" si="159"/>
        <v>►</v>
      </c>
      <c r="AL425" s="781" t="str">
        <f t="shared" si="161"/>
        <v>►</v>
      </c>
      <c r="AM425" s="5499" t="str">
        <f t="shared" si="164"/>
        <v/>
      </c>
      <c r="AN425" s="783" t="str">
        <f t="shared" si="165"/>
        <v/>
      </c>
      <c r="AO425" s="782" t="str">
        <f t="shared" si="166"/>
        <v/>
      </c>
      <c r="AP425" s="783" t="str">
        <f t="shared" si="167"/>
        <v/>
      </c>
      <c r="AQ425" s="2083" t="b">
        <f>AND(Q425="A",COUNTIF(BP16:BR63,TRIM(Z425))&gt;0)</f>
        <v>0</v>
      </c>
      <c r="AR425" s="797" t="str">
        <f>IF(AL425&lt;&gt;"A","",IFERROR(IFERROR(_xlfn.XLOOKUP(TRIM(SUBSTITUTE(Z425,CHAR(160)," ")),BP16:BP63,BS16:BS63),IFERROR(_xlfn.XLOOKUP(TRIM(SUBSTITUTE(Z425,CHAR(160)," ")),BQ16:BQ63,BS16:BS63),_xlfn.XLOOKUP(TRIM(SUBSTITUTE(Z425,CHAR(160)," ")),BR16:BR63,BS16:BS63)))*Y425*IF(ISBLANK(V425),1,V425),0))</f>
        <v/>
      </c>
      <c r="AS425" s="784" t="str">
        <f t="shared" si="157"/>
        <v/>
      </c>
      <c r="AT425" s="1315" t="str">
        <f t="shared" si="168"/>
        <v/>
      </c>
      <c r="AU425" s="785">
        <f t="shared" si="169"/>
        <v>0</v>
      </c>
      <c r="AV425" s="785">
        <f t="shared" si="170"/>
        <v>0</v>
      </c>
      <c r="AW425" s="786">
        <f>IF(AK425="A",AY10,0)</f>
        <v>0</v>
      </c>
      <c r="AX425" s="5495" t="str">
        <f>IF(IFERROR(SEARCH("Adresse PC",TRIM(W425)),0)&gt;0,"▼ receta siguiente",IF(AK425="A",IF(AZ10&lt;&gt;"",AZ10&amp;" - ou.or.o ❾ + or - &gt;",""),""))</f>
        <v/>
      </c>
      <c r="AY425" s="810"/>
      <c r="AZ425" s="810"/>
      <c r="BA425" s="788" t="str">
        <f t="shared" si="160"/>
        <v/>
      </c>
      <c r="BB425" s="789" t="str">
        <f>IF(AK425="A",IF(AQ425,IF(AND(AW425&lt;&gt;"",N(AW425)&gt;0),IFERROR(IFERROR(_xlfn.XLOOKUP(AP425,BP10:BP57,BT10:BT57),IFERROR(_xlfn.XLOOKUP(AP425,BQ10:BQ57,BT10:BT57),_xlfn.XLOOKUP(AP425,BR10:BR57,BT10:BT57,""))),""),""),""),"")</f>
        <v/>
      </c>
      <c r="BC425" s="811" cm="1">
        <f t="array" ref="BC425">IF(NOT(AQ425),0,IF(OR(BA425="",N(BA425)&lt;=0.000000001),"",IF(OR(AU425="",N(AU425)&lt;=0.000000001),0,IF(ISNUMBER(BA425),IFERROR(_xlfn.LET(_xlpm.ai_test,TRIM(AP425),_xlpm.r,IFERROR(_xlfn.XLOOKUP(_xlpm.ai_test,BP16:BP63,ROW(BP16:BP63),0,1),IFERROR(_xlfn.XLOOKUP(_xlpm.ai_test,BQ16:BQ63,ROW(BQ16:BQ63),0,1),_xlfn.XLOOKUP(_xlpm.ai_test,BR16:BR63,ROW(BR16:BR63),0,1))),_xlpm.p,_xlpm.r-MIN(ROW(BP16:BP63))+1,_xlpm.f,INDEX(BS16:BS63,_xlpm.p),_xlpm.u,INDEX(BT16:BT63,_xlpm.p),_xlpm.s,INDEX(BV16:BV63,_xlpm.p),_xlpm.q,N(BA425)/_xlpm.f,IF(_xlpm.q&gt;=_xlpm.s,ROUND(_xlpm.q,1)&amp;" "&amp;_xlpm.ai_test&amp;" = "&amp;ROUND(_xlpm.q*_xlpm.f,1)&amp;" "&amp;_xlpm.u,ROUND(_xlpm.q,1)&amp;" "&amp;_xlpm.ai_test)),""),""))))</f>
        <v>0</v>
      </c>
      <c r="BD425" s="801"/>
      <c r="BE425" s="788" t="str">
        <f t="shared" si="171"/>
        <v/>
      </c>
      <c r="BF425" s="789" t="str">
        <f t="shared" si="172"/>
        <v/>
      </c>
      <c r="BG425" s="790">
        <f t="shared" si="175"/>
        <v>0</v>
      </c>
      <c r="BH425" s="791" t="str">
        <f t="shared" si="176"/>
        <v/>
      </c>
      <c r="BI425" s="792"/>
      <c r="BJ425" s="793">
        <f t="shared" si="174"/>
        <v>0</v>
      </c>
      <c r="BK425" s="794" t="str">
        <f t="shared" si="173"/>
        <v/>
      </c>
      <c r="BL425" s="227" t="s">
        <v>21</v>
      </c>
      <c r="BM425" s="773">
        <f t="shared" si="162"/>
        <v>0</v>
      </c>
      <c r="BN425" s="774">
        <f t="shared" si="163"/>
        <v>0</v>
      </c>
      <c r="BO425"/>
      <c r="BX425"/>
      <c r="BY425"/>
      <c r="BZ425"/>
      <c r="CA425"/>
      <c r="CB425"/>
      <c r="CC425"/>
      <c r="CD425" s="781" t="str">
        <f t="shared" si="156"/>
        <v>►</v>
      </c>
      <c r="CE425" s="633"/>
      <c r="CF425" s="633"/>
      <c r="CG425" s="633"/>
      <c r="CH425" s="633"/>
      <c r="CI425" s="633"/>
      <c r="CJ425" s="227"/>
      <c r="CK425"/>
      <c r="CL425"/>
      <c r="CM425"/>
      <c r="CN425"/>
      <c r="CO425"/>
      <c r="CP425"/>
      <c r="CQ425"/>
      <c r="CR425" s="227"/>
      <c r="CS425"/>
      <c r="CT425"/>
      <c r="CU425"/>
      <c r="CV425"/>
      <c r="CW425"/>
      <c r="CX425"/>
      <c r="CY425"/>
      <c r="CZ425" s="227"/>
      <c r="DA425"/>
      <c r="DB425"/>
      <c r="DC425"/>
      <c r="DD425"/>
      <c r="DE425"/>
      <c r="DF425"/>
      <c r="DG425"/>
      <c r="DH425" s="227"/>
      <c r="DI425" s="3">
        <v>1</v>
      </c>
    </row>
    <row r="426" spans="2:113" s="627" customFormat="1" ht="21" customHeight="1">
      <c r="B426" s="2265" t="str" cm="1">
        <f t="array" ref="B426">SUMPRODUCT(--(D426:J426&lt;&gt;""), LEN(TRIM(SUBSTITUTE(D426:J426, CHAR(160), "")))) &amp; " Car."</f>
        <v>0 Car.</v>
      </c>
      <c r="C426" s="1376" t="str">
        <f>IF(ISBLANK(D426),"",LARGE(C13:C425,1)+1)</f>
        <v/>
      </c>
      <c r="D426" s="1833"/>
      <c r="E426" s="1810"/>
      <c r="F426" s="1810"/>
      <c r="G426" s="1810"/>
      <c r="H426" s="1810"/>
      <c r="I426" s="1810"/>
      <c r="J426" s="1810"/>
      <c r="K426" s="1810"/>
      <c r="L426" s="1811"/>
      <c r="M426"/>
      <c r="N426" s="103" t="str">
        <f t="shared" si="158"/>
        <v>►</v>
      </c>
      <c r="O426" s="1616"/>
      <c r="P426"/>
      <c r="Q426" s="25" t="s">
        <v>15</v>
      </c>
      <c r="R426" s="31"/>
      <c r="S426" s="32"/>
      <c r="T426" s="31"/>
      <c r="U426" s="33"/>
      <c r="V426" s="1967"/>
      <c r="W426" s="1805"/>
      <c r="X426" s="91"/>
      <c r="Y426" s="1806"/>
      <c r="Z426" s="1968"/>
      <c r="AA426" s="2244"/>
      <c r="AB426" s="1969"/>
      <c r="AC426" s="1365"/>
      <c r="AD426" s="95"/>
      <c r="AE426" s="1326"/>
      <c r="AF426" s="97"/>
      <c r="AG426" s="1737"/>
      <c r="AH426" s="1970"/>
      <c r="AI426" s="99"/>
      <c r="AJ426" s="1809"/>
      <c r="AK426" s="6120" t="str">
        <f t="shared" si="159"/>
        <v>►</v>
      </c>
      <c r="AL426" s="781" t="str">
        <f t="shared" si="161"/>
        <v>►</v>
      </c>
      <c r="AM426" s="5498" t="str">
        <f t="shared" si="164"/>
        <v/>
      </c>
      <c r="AN426" s="783" t="str">
        <f t="shared" si="165"/>
        <v/>
      </c>
      <c r="AO426" s="782" t="str">
        <f t="shared" si="166"/>
        <v/>
      </c>
      <c r="AP426" s="783" t="str">
        <f t="shared" si="167"/>
        <v/>
      </c>
      <c r="AQ426" s="2083" t="b">
        <f>AND(Q426="A",COUNTIF(BP16:BR63,TRIM(Z426))&gt;0)</f>
        <v>0</v>
      </c>
      <c r="AR426" s="797" t="str">
        <f>IF(AL426&lt;&gt;"A","",IFERROR(IFERROR(_xlfn.XLOOKUP(TRIM(SUBSTITUTE(Z426,CHAR(160)," ")),BP16:BP63,BS16:BS63),IFERROR(_xlfn.XLOOKUP(TRIM(SUBSTITUTE(Z426,CHAR(160)," ")),BQ16:BQ63,BS16:BS63),_xlfn.XLOOKUP(TRIM(SUBSTITUTE(Z426,CHAR(160)," ")),BR16:BR63,BS16:BS63)))*Y426*IF(ISBLANK(V426),1,V426),0))</f>
        <v/>
      </c>
      <c r="AS426" s="784" t="str">
        <f t="shared" si="157"/>
        <v/>
      </c>
      <c r="AT426" s="1315" t="str">
        <f t="shared" si="168"/>
        <v/>
      </c>
      <c r="AU426" s="785">
        <f t="shared" si="169"/>
        <v>0</v>
      </c>
      <c r="AV426" s="785">
        <f t="shared" si="170"/>
        <v>0</v>
      </c>
      <c r="AW426" s="798">
        <f>IF(AK426="A",AY10,0)</f>
        <v>0</v>
      </c>
      <c r="AX426" s="5496" t="str">
        <f>IF(IFERROR(SEARCH("Adresse PC",TRIM(W426)),0)&gt;0,"▼ receta siguiente",IF(AK426="A",IF(AZ10&lt;&gt;"",AZ10&amp;" - ou.or.o ❾ + or - &gt;",""),""))</f>
        <v/>
      </c>
      <c r="AY426" s="810"/>
      <c r="AZ426" s="810"/>
      <c r="BA426" s="799" t="str">
        <f t="shared" si="160"/>
        <v/>
      </c>
      <c r="BB426" s="800" t="str">
        <f>IF(AK426="A",IF(AQ426,IF(AND(AW426&lt;&gt;"",N(AW426)&gt;0),IFERROR(IFERROR(_xlfn.XLOOKUP(AP426,BP10:BP57,BT10:BT57),IFERROR(_xlfn.XLOOKUP(AP426,BQ10:BQ57,BT10:BT57),_xlfn.XLOOKUP(AP426,BR10:BR57,BT10:BT57,""))),""),""),""),"")</f>
        <v/>
      </c>
      <c r="BC426" s="813" cm="1">
        <f t="array" ref="BC426">IF(NOT(AQ426),0,IF(OR(BA426="",N(BA426)&lt;=0.000000001),"",IF(OR(AU426="",N(AU426)&lt;=0.000000001),0,IF(ISNUMBER(BA426),IFERROR(_xlfn.LET(_xlpm.ai_test,TRIM(AP426),_xlpm.r,IFERROR(_xlfn.XLOOKUP(_xlpm.ai_test,BP16:BP63,ROW(BP16:BP63),0,1),IFERROR(_xlfn.XLOOKUP(_xlpm.ai_test,BQ16:BQ63,ROW(BQ16:BQ63),0,1),_xlfn.XLOOKUP(_xlpm.ai_test,BR16:BR63,ROW(BR16:BR63),0,1))),_xlpm.p,_xlpm.r-MIN(ROW(BP16:BP63))+1,_xlpm.f,INDEX(BS16:BS63,_xlpm.p),_xlpm.u,INDEX(BT16:BT63,_xlpm.p),_xlpm.s,INDEX(BV16:BV63,_xlpm.p),_xlpm.q,N(BA426)/_xlpm.f,IF(_xlpm.q&gt;=_xlpm.s,ROUND(_xlpm.q,1)&amp;" "&amp;_xlpm.ai_test&amp;" = "&amp;ROUND(_xlpm.q*_xlpm.f,1)&amp;" "&amp;_xlpm.u,ROUND(_xlpm.q,1)&amp;" "&amp;_xlpm.ai_test)),""),""))))</f>
        <v>0</v>
      </c>
      <c r="BD426" s="801"/>
      <c r="BE426" s="799" t="str">
        <f t="shared" si="171"/>
        <v/>
      </c>
      <c r="BF426" s="800" t="str">
        <f t="shared" si="172"/>
        <v/>
      </c>
      <c r="BG426" s="802">
        <f t="shared" si="175"/>
        <v>0</v>
      </c>
      <c r="BH426" s="803" t="str">
        <f t="shared" si="176"/>
        <v/>
      </c>
      <c r="BI426" s="792"/>
      <c r="BJ426" s="804">
        <f t="shared" si="174"/>
        <v>0</v>
      </c>
      <c r="BK426" s="794" t="str">
        <f t="shared" si="173"/>
        <v/>
      </c>
      <c r="BL426" s="227" t="s">
        <v>21</v>
      </c>
      <c r="BM426" s="773">
        <f t="shared" si="162"/>
        <v>0</v>
      </c>
      <c r="BN426" s="774">
        <f t="shared" si="163"/>
        <v>0</v>
      </c>
      <c r="BO426"/>
      <c r="BX426"/>
      <c r="BY426"/>
      <c r="BZ426"/>
      <c r="CA426"/>
      <c r="CB426"/>
      <c r="CC426"/>
      <c r="CD426" s="781" t="str">
        <f t="shared" si="156"/>
        <v>►</v>
      </c>
      <c r="CE426" s="633"/>
      <c r="CF426" s="633"/>
      <c r="CG426" s="633"/>
      <c r="CH426" s="633"/>
      <c r="CI426" s="633"/>
      <c r="CJ426" s="227"/>
      <c r="CK426"/>
      <c r="CL426"/>
      <c r="CM426"/>
      <c r="CN426"/>
      <c r="CO426"/>
      <c r="CP426"/>
      <c r="CQ426"/>
      <c r="CR426" s="227"/>
      <c r="CS426"/>
      <c r="CT426"/>
      <c r="CU426"/>
      <c r="CV426"/>
      <c r="CW426"/>
      <c r="CX426"/>
      <c r="CY426"/>
      <c r="CZ426" s="227"/>
      <c r="DA426"/>
      <c r="DB426"/>
      <c r="DC426"/>
      <c r="DD426"/>
      <c r="DE426"/>
      <c r="DF426"/>
      <c r="DG426"/>
      <c r="DH426" s="227"/>
      <c r="DI426" s="3">
        <v>1</v>
      </c>
    </row>
    <row r="427" spans="2:113" s="627" customFormat="1" ht="21" customHeight="1">
      <c r="B427" s="2265" t="str" cm="1">
        <f t="array" ref="B427">SUMPRODUCT(--(D427:J427&lt;&gt;""), LEN(TRIM(SUBSTITUTE(D427:J427, CHAR(160), "")))) &amp; " Car."</f>
        <v>0 Car.</v>
      </c>
      <c r="C427" s="1376" t="str">
        <f>IF(ISBLANK(D427),"",LARGE(C13:C426,1)+1)</f>
        <v/>
      </c>
      <c r="D427" s="1833"/>
      <c r="E427" s="1810"/>
      <c r="F427" s="1810"/>
      <c r="G427" s="1810"/>
      <c r="H427" s="1810"/>
      <c r="I427" s="1810"/>
      <c r="J427" s="1810"/>
      <c r="K427" s="1810"/>
      <c r="L427" s="1811"/>
      <c r="M427"/>
      <c r="N427" s="103" t="str">
        <f t="shared" si="158"/>
        <v>►</v>
      </c>
      <c r="O427" s="1616"/>
      <c r="P427"/>
      <c r="Q427" s="25" t="s">
        <v>15</v>
      </c>
      <c r="R427" s="31"/>
      <c r="S427" s="32"/>
      <c r="T427" s="31"/>
      <c r="U427" s="33"/>
      <c r="V427" s="1967"/>
      <c r="W427" s="1805"/>
      <c r="X427" s="91"/>
      <c r="Y427" s="1806"/>
      <c r="Z427" s="1968"/>
      <c r="AA427" s="2244"/>
      <c r="AB427" s="1969"/>
      <c r="AC427" s="1365"/>
      <c r="AD427" s="95"/>
      <c r="AE427" s="1326"/>
      <c r="AF427" s="97"/>
      <c r="AG427" s="1737"/>
      <c r="AH427" s="1970"/>
      <c r="AI427" s="99"/>
      <c r="AJ427" s="1809"/>
      <c r="AK427" s="6120" t="str">
        <f t="shared" si="159"/>
        <v>►</v>
      </c>
      <c r="AL427" s="781" t="str">
        <f t="shared" si="161"/>
        <v>►</v>
      </c>
      <c r="AM427" s="5499" t="str">
        <f t="shared" si="164"/>
        <v/>
      </c>
      <c r="AN427" s="783" t="str">
        <f t="shared" si="165"/>
        <v/>
      </c>
      <c r="AO427" s="782" t="str">
        <f t="shared" si="166"/>
        <v/>
      </c>
      <c r="AP427" s="783" t="str">
        <f t="shared" si="167"/>
        <v/>
      </c>
      <c r="AQ427" s="2083" t="b">
        <f>AND(Q427="A",COUNTIF(BP16:BR63,TRIM(Z427))&gt;0)</f>
        <v>0</v>
      </c>
      <c r="AR427" s="797" t="str">
        <f>IF(AL427&lt;&gt;"A","",IFERROR(IFERROR(_xlfn.XLOOKUP(TRIM(SUBSTITUTE(Z427,CHAR(160)," ")),BP16:BP63,BS16:BS63),IFERROR(_xlfn.XLOOKUP(TRIM(SUBSTITUTE(Z427,CHAR(160)," ")),BQ16:BQ63,BS16:BS63),_xlfn.XLOOKUP(TRIM(SUBSTITUTE(Z427,CHAR(160)," ")),BR16:BR63,BS16:BS63)))*Y427*IF(ISBLANK(V427),1,V427),0))</f>
        <v/>
      </c>
      <c r="AS427" s="784" t="str">
        <f t="shared" si="157"/>
        <v/>
      </c>
      <c r="AT427" s="1315" t="str">
        <f t="shared" si="168"/>
        <v/>
      </c>
      <c r="AU427" s="785">
        <f t="shared" si="169"/>
        <v>0</v>
      </c>
      <c r="AV427" s="785">
        <f t="shared" si="170"/>
        <v>0</v>
      </c>
      <c r="AW427" s="786">
        <f>IF(AK427="A",AY10,0)</f>
        <v>0</v>
      </c>
      <c r="AX427" s="5495" t="str">
        <f>IF(IFERROR(SEARCH("Adresse PC",TRIM(W427)),0)&gt;0,"▼ receta siguiente",IF(AK427="A",IF(AZ10&lt;&gt;"",AZ10&amp;" - ou.or.o ❾ + or - &gt;",""),""))</f>
        <v/>
      </c>
      <c r="AY427" s="810"/>
      <c r="AZ427" s="810"/>
      <c r="BA427" s="788" t="str">
        <f t="shared" si="160"/>
        <v/>
      </c>
      <c r="BB427" s="789" t="str">
        <f>IF(AK427="A",IF(AQ427,IF(AND(AW427&lt;&gt;"",N(AW427)&gt;0),IFERROR(IFERROR(_xlfn.XLOOKUP(AP427,BP10:BP57,BT10:BT57),IFERROR(_xlfn.XLOOKUP(AP427,BQ10:BQ57,BT10:BT57),_xlfn.XLOOKUP(AP427,BR10:BR57,BT10:BT57,""))),""),""),""),"")</f>
        <v/>
      </c>
      <c r="BC427" s="811" cm="1">
        <f t="array" ref="BC427">IF(NOT(AQ427),0,IF(OR(BA427="",N(BA427)&lt;=0.000000001),"",IF(OR(AU427="",N(AU427)&lt;=0.000000001),0,IF(ISNUMBER(BA427),IFERROR(_xlfn.LET(_xlpm.ai_test,TRIM(AP427),_xlpm.r,IFERROR(_xlfn.XLOOKUP(_xlpm.ai_test,BP16:BP63,ROW(BP16:BP63),0,1),IFERROR(_xlfn.XLOOKUP(_xlpm.ai_test,BQ16:BQ63,ROW(BQ16:BQ63),0,1),_xlfn.XLOOKUP(_xlpm.ai_test,BR16:BR63,ROW(BR16:BR63),0,1))),_xlpm.p,_xlpm.r-MIN(ROW(BP16:BP63))+1,_xlpm.f,INDEX(BS16:BS63,_xlpm.p),_xlpm.u,INDEX(BT16:BT63,_xlpm.p),_xlpm.s,INDEX(BV16:BV63,_xlpm.p),_xlpm.q,N(BA427)/_xlpm.f,IF(_xlpm.q&gt;=_xlpm.s,ROUND(_xlpm.q,1)&amp;" "&amp;_xlpm.ai_test&amp;" = "&amp;ROUND(_xlpm.q*_xlpm.f,1)&amp;" "&amp;_xlpm.u,ROUND(_xlpm.q,1)&amp;" "&amp;_xlpm.ai_test)),""),""))))</f>
        <v>0</v>
      </c>
      <c r="BD427" s="801"/>
      <c r="BE427" s="788" t="str">
        <f t="shared" si="171"/>
        <v/>
      </c>
      <c r="BF427" s="789" t="str">
        <f t="shared" si="172"/>
        <v/>
      </c>
      <c r="BG427" s="790">
        <f t="shared" si="175"/>
        <v>0</v>
      </c>
      <c r="BH427" s="791" t="str">
        <f t="shared" si="176"/>
        <v/>
      </c>
      <c r="BI427" s="792"/>
      <c r="BJ427" s="793">
        <f t="shared" si="174"/>
        <v>0</v>
      </c>
      <c r="BK427" s="794" t="str">
        <f t="shared" si="173"/>
        <v/>
      </c>
      <c r="BL427" s="227" t="s">
        <v>21</v>
      </c>
      <c r="BM427" s="773">
        <f t="shared" si="162"/>
        <v>0</v>
      </c>
      <c r="BN427" s="774">
        <f t="shared" si="163"/>
        <v>0</v>
      </c>
      <c r="BO427"/>
      <c r="BX427"/>
      <c r="BY427"/>
      <c r="BZ427"/>
      <c r="CA427"/>
      <c r="CB427"/>
      <c r="CC427"/>
      <c r="CD427" s="781" t="str">
        <f t="shared" si="156"/>
        <v>►</v>
      </c>
      <c r="CE427" s="633"/>
      <c r="CF427" s="633"/>
      <c r="CG427" s="633"/>
      <c r="CH427" s="633"/>
      <c r="CI427" s="633"/>
      <c r="CJ427" s="227"/>
      <c r="CK427"/>
      <c r="CL427"/>
      <c r="CM427"/>
      <c r="CN427"/>
      <c r="CO427"/>
      <c r="CP427"/>
      <c r="CQ427"/>
      <c r="CR427" s="227"/>
      <c r="CS427"/>
      <c r="CT427"/>
      <c r="CU427"/>
      <c r="CV427"/>
      <c r="CW427"/>
      <c r="CX427"/>
      <c r="CY427"/>
      <c r="CZ427" s="227"/>
      <c r="DA427"/>
      <c r="DB427"/>
      <c r="DC427"/>
      <c r="DD427"/>
      <c r="DE427"/>
      <c r="DF427"/>
      <c r="DG427"/>
      <c r="DH427" s="227"/>
      <c r="DI427" s="3">
        <v>1</v>
      </c>
    </row>
    <row r="428" spans="2:113" s="627" customFormat="1" ht="21" customHeight="1">
      <c r="B428" s="2265" t="str" cm="1">
        <f t="array" ref="B428">SUMPRODUCT(--(D428:J428&lt;&gt;""), LEN(TRIM(SUBSTITUTE(D428:J428, CHAR(160), "")))) &amp; " Car."</f>
        <v>0 Car.</v>
      </c>
      <c r="C428" s="1376" t="str">
        <f>IF(ISBLANK(D428),"",LARGE(C13:C427,1)+1)</f>
        <v/>
      </c>
      <c r="D428" s="1833"/>
      <c r="E428" s="1810"/>
      <c r="F428" s="1810"/>
      <c r="G428" s="1810"/>
      <c r="H428" s="1810"/>
      <c r="I428" s="1810"/>
      <c r="J428" s="1810"/>
      <c r="K428" s="1810"/>
      <c r="L428" s="1811"/>
      <c r="M428"/>
      <c r="N428" s="103" t="str">
        <f t="shared" si="158"/>
        <v>►</v>
      </c>
      <c r="O428" s="1616"/>
      <c r="P428"/>
      <c r="Q428" s="25" t="s">
        <v>15</v>
      </c>
      <c r="R428" s="31"/>
      <c r="S428" s="32"/>
      <c r="T428" s="31"/>
      <c r="U428" s="33"/>
      <c r="V428" s="1967"/>
      <c r="W428" s="1805"/>
      <c r="X428" s="91"/>
      <c r="Y428" s="1806"/>
      <c r="Z428" s="1968"/>
      <c r="AA428" s="2244"/>
      <c r="AB428" s="1969"/>
      <c r="AC428" s="1365"/>
      <c r="AD428" s="95"/>
      <c r="AE428" s="1326"/>
      <c r="AF428" s="97"/>
      <c r="AG428" s="1737"/>
      <c r="AH428" s="1970"/>
      <c r="AI428" s="99"/>
      <c r="AJ428" s="1809"/>
      <c r="AK428" s="6120" t="str">
        <f t="shared" si="159"/>
        <v>►</v>
      </c>
      <c r="AL428" s="781" t="str">
        <f t="shared" si="161"/>
        <v>►</v>
      </c>
      <c r="AM428" s="5498" t="str">
        <f t="shared" si="164"/>
        <v/>
      </c>
      <c r="AN428" s="783" t="str">
        <f t="shared" si="165"/>
        <v/>
      </c>
      <c r="AO428" s="782" t="str">
        <f t="shared" si="166"/>
        <v/>
      </c>
      <c r="AP428" s="783" t="str">
        <f t="shared" si="167"/>
        <v/>
      </c>
      <c r="AQ428" s="2083" t="b">
        <f>AND(Q428="A",COUNTIF(BP16:BR63,TRIM(Z428))&gt;0)</f>
        <v>0</v>
      </c>
      <c r="AR428" s="797" t="str">
        <f>IF(AL428&lt;&gt;"A","",IFERROR(IFERROR(_xlfn.XLOOKUP(TRIM(SUBSTITUTE(Z428,CHAR(160)," ")),BP16:BP63,BS16:BS63),IFERROR(_xlfn.XLOOKUP(TRIM(SUBSTITUTE(Z428,CHAR(160)," ")),BQ16:BQ63,BS16:BS63),_xlfn.XLOOKUP(TRIM(SUBSTITUTE(Z428,CHAR(160)," ")),BR16:BR63,BS16:BS63)))*Y428*IF(ISBLANK(V428),1,V428),0))</f>
        <v/>
      </c>
      <c r="AS428" s="784" t="str">
        <f t="shared" si="157"/>
        <v/>
      </c>
      <c r="AT428" s="1315" t="str">
        <f t="shared" si="168"/>
        <v/>
      </c>
      <c r="AU428" s="785">
        <f t="shared" si="169"/>
        <v>0</v>
      </c>
      <c r="AV428" s="785">
        <f t="shared" si="170"/>
        <v>0</v>
      </c>
      <c r="AW428" s="798">
        <f>IF(AK428="A",AY10,0)</f>
        <v>0</v>
      </c>
      <c r="AX428" s="5496" t="str">
        <f>IF(IFERROR(SEARCH("Adresse PC",TRIM(W428)),0)&gt;0,"▼ receta siguiente",IF(AK428="A",IF(AZ10&lt;&gt;"",AZ10&amp;" - ou.or.o ❾ + or - &gt;",""),""))</f>
        <v/>
      </c>
      <c r="AY428" s="810"/>
      <c r="AZ428" s="810"/>
      <c r="BA428" s="799" t="str">
        <f t="shared" si="160"/>
        <v/>
      </c>
      <c r="BB428" s="800" t="str">
        <f>IF(AK428="A",IF(AQ428,IF(AND(AW428&lt;&gt;"",N(AW428)&gt;0),IFERROR(IFERROR(_xlfn.XLOOKUP(AP428,BP10:BP57,BT10:BT57),IFERROR(_xlfn.XLOOKUP(AP428,BQ10:BQ57,BT10:BT57),_xlfn.XLOOKUP(AP428,BR10:BR57,BT10:BT57,""))),""),""),""),"")</f>
        <v/>
      </c>
      <c r="BC428" s="813" cm="1">
        <f t="array" ref="BC428">IF(NOT(AQ428),0,IF(OR(BA428="",N(BA428)&lt;=0.000000001),"",IF(OR(AU428="",N(AU428)&lt;=0.000000001),0,IF(ISNUMBER(BA428),IFERROR(_xlfn.LET(_xlpm.ai_test,TRIM(AP428),_xlpm.r,IFERROR(_xlfn.XLOOKUP(_xlpm.ai_test,BP16:BP63,ROW(BP16:BP63),0,1),IFERROR(_xlfn.XLOOKUP(_xlpm.ai_test,BQ16:BQ63,ROW(BQ16:BQ63),0,1),_xlfn.XLOOKUP(_xlpm.ai_test,BR16:BR63,ROW(BR16:BR63),0,1))),_xlpm.p,_xlpm.r-MIN(ROW(BP16:BP63))+1,_xlpm.f,INDEX(BS16:BS63,_xlpm.p),_xlpm.u,INDEX(BT16:BT63,_xlpm.p),_xlpm.s,INDEX(BV16:BV63,_xlpm.p),_xlpm.q,N(BA428)/_xlpm.f,IF(_xlpm.q&gt;=_xlpm.s,ROUND(_xlpm.q,1)&amp;" "&amp;_xlpm.ai_test&amp;" = "&amp;ROUND(_xlpm.q*_xlpm.f,1)&amp;" "&amp;_xlpm.u,ROUND(_xlpm.q,1)&amp;" "&amp;_xlpm.ai_test)),""),""))))</f>
        <v>0</v>
      </c>
      <c r="BD428" s="801"/>
      <c r="BE428" s="799" t="str">
        <f t="shared" si="171"/>
        <v/>
      </c>
      <c r="BF428" s="800" t="str">
        <f t="shared" si="172"/>
        <v/>
      </c>
      <c r="BG428" s="802">
        <f t="shared" si="175"/>
        <v>0</v>
      </c>
      <c r="BH428" s="803" t="str">
        <f t="shared" si="176"/>
        <v/>
      </c>
      <c r="BI428" s="792"/>
      <c r="BJ428" s="804">
        <f t="shared" si="174"/>
        <v>0</v>
      </c>
      <c r="BK428" s="794" t="str">
        <f t="shared" si="173"/>
        <v/>
      </c>
      <c r="BL428" s="227" t="s">
        <v>21</v>
      </c>
      <c r="BM428" s="773">
        <f t="shared" si="162"/>
        <v>0</v>
      </c>
      <c r="BN428" s="774">
        <f t="shared" si="163"/>
        <v>0</v>
      </c>
      <c r="BO428"/>
      <c r="BX428"/>
      <c r="BY428"/>
      <c r="BZ428"/>
      <c r="CA428"/>
      <c r="CB428"/>
      <c r="CC428"/>
      <c r="CD428" s="781" t="str">
        <f t="shared" si="156"/>
        <v>►</v>
      </c>
      <c r="CE428" s="633"/>
      <c r="CF428" s="633"/>
      <c r="CG428" s="633"/>
      <c r="CH428" s="633"/>
      <c r="CI428" s="633"/>
      <c r="CJ428" s="227"/>
      <c r="CK428"/>
      <c r="CL428"/>
      <c r="CM428"/>
      <c r="CN428"/>
      <c r="CO428"/>
      <c r="CP428"/>
      <c r="CQ428"/>
      <c r="CR428" s="227"/>
      <c r="CS428"/>
      <c r="CT428"/>
      <c r="CU428"/>
      <c r="CV428"/>
      <c r="CW428"/>
      <c r="CX428"/>
      <c r="CY428"/>
      <c r="CZ428" s="227"/>
      <c r="DA428"/>
      <c r="DB428"/>
      <c r="DC428"/>
      <c r="DD428"/>
      <c r="DE428"/>
      <c r="DF428"/>
      <c r="DG428"/>
      <c r="DH428" s="227"/>
      <c r="DI428" s="3">
        <v>1</v>
      </c>
    </row>
    <row r="429" spans="2:113" s="627" customFormat="1" ht="21" customHeight="1">
      <c r="B429" s="2265" t="str" cm="1">
        <f t="array" ref="B429">SUMPRODUCT(--(D429:J429&lt;&gt;""), LEN(TRIM(SUBSTITUTE(D429:J429, CHAR(160), "")))) &amp; " Car."</f>
        <v>0 Car.</v>
      </c>
      <c r="C429" s="1376" t="str">
        <f>IF(ISBLANK(D429),"",LARGE(C13:C428,1)+1)</f>
        <v/>
      </c>
      <c r="D429" s="1833"/>
      <c r="E429" s="1810"/>
      <c r="F429" s="1810"/>
      <c r="G429" s="1810"/>
      <c r="H429" s="1810"/>
      <c r="I429" s="1810"/>
      <c r="J429" s="1810"/>
      <c r="K429" s="1810"/>
      <c r="L429" s="1811"/>
      <c r="M429"/>
      <c r="N429" s="103" t="str">
        <f t="shared" si="158"/>
        <v>►</v>
      </c>
      <c r="O429" s="1616"/>
      <c r="P429"/>
      <c r="Q429" s="25" t="s">
        <v>15</v>
      </c>
      <c r="R429" s="31"/>
      <c r="S429" s="32"/>
      <c r="T429" s="31"/>
      <c r="U429" s="33"/>
      <c r="V429" s="1967"/>
      <c r="W429" s="1805"/>
      <c r="X429" s="91"/>
      <c r="Y429" s="1806"/>
      <c r="Z429" s="1968"/>
      <c r="AA429" s="2244"/>
      <c r="AB429" s="1969"/>
      <c r="AC429" s="1365"/>
      <c r="AD429" s="95"/>
      <c r="AE429" s="1326"/>
      <c r="AF429" s="97"/>
      <c r="AG429" s="1737"/>
      <c r="AH429" s="1970"/>
      <c r="AI429" s="99"/>
      <c r="AJ429" s="1809"/>
      <c r="AK429" s="6120" t="str">
        <f t="shared" si="159"/>
        <v>►</v>
      </c>
      <c r="AL429" s="781" t="str">
        <f t="shared" si="161"/>
        <v>►</v>
      </c>
      <c r="AM429" s="5499" t="str">
        <f t="shared" si="164"/>
        <v/>
      </c>
      <c r="AN429" s="783" t="str">
        <f t="shared" si="165"/>
        <v/>
      </c>
      <c r="AO429" s="782" t="str">
        <f t="shared" si="166"/>
        <v/>
      </c>
      <c r="AP429" s="783" t="str">
        <f t="shared" si="167"/>
        <v/>
      </c>
      <c r="AQ429" s="2083" t="b">
        <f>AND(Q429="A",COUNTIF(BP16:BR63,TRIM(Z429))&gt;0)</f>
        <v>0</v>
      </c>
      <c r="AR429" s="797" t="str">
        <f>IF(AL429&lt;&gt;"A","",IFERROR(IFERROR(_xlfn.XLOOKUP(TRIM(SUBSTITUTE(Z429,CHAR(160)," ")),BP16:BP63,BS16:BS63),IFERROR(_xlfn.XLOOKUP(TRIM(SUBSTITUTE(Z429,CHAR(160)," ")),BQ16:BQ63,BS16:BS63),_xlfn.XLOOKUP(TRIM(SUBSTITUTE(Z429,CHAR(160)," ")),BR16:BR63,BS16:BS63)))*Y429*IF(ISBLANK(V429),1,V429),0))</f>
        <v/>
      </c>
      <c r="AS429" s="784" t="str">
        <f t="shared" si="157"/>
        <v/>
      </c>
      <c r="AT429" s="1315" t="str">
        <f t="shared" si="168"/>
        <v/>
      </c>
      <c r="AU429" s="785">
        <f t="shared" si="169"/>
        <v>0</v>
      </c>
      <c r="AV429" s="785">
        <f t="shared" si="170"/>
        <v>0</v>
      </c>
      <c r="AW429" s="786">
        <f>IF(AK429="A",AY10,0)</f>
        <v>0</v>
      </c>
      <c r="AX429" s="5495" t="str">
        <f>IF(IFERROR(SEARCH("Adresse PC",TRIM(W429)),0)&gt;0,"▼ receta siguiente",IF(AK429="A",IF(AZ10&lt;&gt;"",AZ10&amp;" - ou.or.o ❾ + or - &gt;",""),""))</f>
        <v/>
      </c>
      <c r="AY429" s="810"/>
      <c r="AZ429" s="810"/>
      <c r="BA429" s="788" t="str">
        <f t="shared" si="160"/>
        <v/>
      </c>
      <c r="BB429" s="789" t="str">
        <f>IF(AK429="A",IF(AQ429,IF(AND(AW429&lt;&gt;"",N(AW429)&gt;0),IFERROR(IFERROR(_xlfn.XLOOKUP(AP429,BP10:BP57,BT10:BT57),IFERROR(_xlfn.XLOOKUP(AP429,BQ10:BQ57,BT10:BT57),_xlfn.XLOOKUP(AP429,BR10:BR57,BT10:BT57,""))),""),""),""),"")</f>
        <v/>
      </c>
      <c r="BC429" s="811" cm="1">
        <f t="array" ref="BC429">IF(NOT(AQ429),0,IF(OR(BA429="",N(BA429)&lt;=0.000000001),"",IF(OR(AU429="",N(AU429)&lt;=0.000000001),0,IF(ISNUMBER(BA429),IFERROR(_xlfn.LET(_xlpm.ai_test,TRIM(AP429),_xlpm.r,IFERROR(_xlfn.XLOOKUP(_xlpm.ai_test,BP16:BP63,ROW(BP16:BP63),0,1),IFERROR(_xlfn.XLOOKUP(_xlpm.ai_test,BQ16:BQ63,ROW(BQ16:BQ63),0,1),_xlfn.XLOOKUP(_xlpm.ai_test,BR16:BR63,ROW(BR16:BR63),0,1))),_xlpm.p,_xlpm.r-MIN(ROW(BP16:BP63))+1,_xlpm.f,INDEX(BS16:BS63,_xlpm.p),_xlpm.u,INDEX(BT16:BT63,_xlpm.p),_xlpm.s,INDEX(BV16:BV63,_xlpm.p),_xlpm.q,N(BA429)/_xlpm.f,IF(_xlpm.q&gt;=_xlpm.s,ROUND(_xlpm.q,1)&amp;" "&amp;_xlpm.ai_test&amp;" = "&amp;ROUND(_xlpm.q*_xlpm.f,1)&amp;" "&amp;_xlpm.u,ROUND(_xlpm.q,1)&amp;" "&amp;_xlpm.ai_test)),""),""))))</f>
        <v>0</v>
      </c>
      <c r="BD429" s="801"/>
      <c r="BE429" s="788" t="str">
        <f t="shared" si="171"/>
        <v/>
      </c>
      <c r="BF429" s="789" t="str">
        <f t="shared" si="172"/>
        <v/>
      </c>
      <c r="BG429" s="790">
        <f t="shared" si="175"/>
        <v>0</v>
      </c>
      <c r="BH429" s="791" t="str">
        <f t="shared" si="176"/>
        <v/>
      </c>
      <c r="BI429" s="792"/>
      <c r="BJ429" s="793">
        <f t="shared" si="174"/>
        <v>0</v>
      </c>
      <c r="BK429" s="794" t="str">
        <f t="shared" si="173"/>
        <v/>
      </c>
      <c r="BL429" s="227" t="s">
        <v>21</v>
      </c>
      <c r="BM429" s="773">
        <f t="shared" si="162"/>
        <v>0</v>
      </c>
      <c r="BN429" s="774">
        <f t="shared" si="163"/>
        <v>0</v>
      </c>
      <c r="BO429"/>
      <c r="BX429"/>
      <c r="BY429"/>
      <c r="BZ429"/>
      <c r="CA429"/>
      <c r="CB429"/>
      <c r="CC429"/>
      <c r="CD429" s="781" t="str">
        <f t="shared" si="156"/>
        <v>►</v>
      </c>
      <c r="CE429" s="633"/>
      <c r="CF429" s="633"/>
      <c r="CG429" s="633"/>
      <c r="CH429" s="633"/>
      <c r="CI429" s="633"/>
      <c r="CJ429" s="227"/>
      <c r="CK429"/>
      <c r="CL429"/>
      <c r="CM429"/>
      <c r="CN429"/>
      <c r="CO429"/>
      <c r="CP429"/>
      <c r="CQ429"/>
      <c r="CR429" s="227"/>
      <c r="CS429"/>
      <c r="CT429"/>
      <c r="CU429"/>
      <c r="CV429"/>
      <c r="CW429"/>
      <c r="CX429"/>
      <c r="CY429"/>
      <c r="CZ429" s="227"/>
      <c r="DA429"/>
      <c r="DB429"/>
      <c r="DC429"/>
      <c r="DD429"/>
      <c r="DE429"/>
      <c r="DF429"/>
      <c r="DG429"/>
      <c r="DH429" s="227"/>
      <c r="DI429" s="3">
        <v>1</v>
      </c>
    </row>
    <row r="430" spans="2:113" s="627" customFormat="1" ht="21" customHeight="1">
      <c r="B430" s="2265" t="str" cm="1">
        <f t="array" ref="B430">SUMPRODUCT(--(D430:J430&lt;&gt;""), LEN(TRIM(SUBSTITUTE(D430:J430, CHAR(160), "")))) &amp; " Car."</f>
        <v>0 Car.</v>
      </c>
      <c r="C430" s="1376" t="str">
        <f>IF(ISBLANK(D430),"",LARGE(C13:C429,1)+1)</f>
        <v/>
      </c>
      <c r="D430" s="1833"/>
      <c r="E430" s="1810"/>
      <c r="F430" s="1810"/>
      <c r="G430" s="1810"/>
      <c r="H430" s="1810"/>
      <c r="I430" s="1810"/>
      <c r="J430" s="1810"/>
      <c r="K430" s="1810"/>
      <c r="L430" s="1811"/>
      <c r="M430"/>
      <c r="N430" s="103" t="str">
        <f t="shared" si="158"/>
        <v>►</v>
      </c>
      <c r="O430" s="1616"/>
      <c r="P430"/>
      <c r="Q430" s="25" t="s">
        <v>15</v>
      </c>
      <c r="R430" s="31"/>
      <c r="S430" s="32"/>
      <c r="T430" s="31"/>
      <c r="U430" s="33"/>
      <c r="V430" s="1967"/>
      <c r="W430" s="1805"/>
      <c r="X430" s="91"/>
      <c r="Y430" s="1806"/>
      <c r="Z430" s="1968"/>
      <c r="AA430" s="2244"/>
      <c r="AB430" s="1969"/>
      <c r="AC430" s="1365"/>
      <c r="AD430" s="95"/>
      <c r="AE430" s="1326"/>
      <c r="AF430" s="97"/>
      <c r="AG430" s="1737"/>
      <c r="AH430" s="1970"/>
      <c r="AI430" s="99"/>
      <c r="AJ430" s="1809"/>
      <c r="AK430" s="6120" t="str">
        <f t="shared" si="159"/>
        <v>►</v>
      </c>
      <c r="AL430" s="781" t="str">
        <f t="shared" si="161"/>
        <v>►</v>
      </c>
      <c r="AM430" s="5498" t="str">
        <f t="shared" si="164"/>
        <v/>
      </c>
      <c r="AN430" s="783" t="str">
        <f t="shared" si="165"/>
        <v/>
      </c>
      <c r="AO430" s="782" t="str">
        <f t="shared" si="166"/>
        <v/>
      </c>
      <c r="AP430" s="783" t="str">
        <f t="shared" si="167"/>
        <v/>
      </c>
      <c r="AQ430" s="2083" t="b">
        <f>AND(Q430="A",COUNTIF(BP16:BR63,TRIM(Z430))&gt;0)</f>
        <v>0</v>
      </c>
      <c r="AR430" s="797" t="str">
        <f>IF(AL430&lt;&gt;"A","",IFERROR(IFERROR(_xlfn.XLOOKUP(TRIM(SUBSTITUTE(Z430,CHAR(160)," ")),BP16:BP63,BS16:BS63),IFERROR(_xlfn.XLOOKUP(TRIM(SUBSTITUTE(Z430,CHAR(160)," ")),BQ16:BQ63,BS16:BS63),_xlfn.XLOOKUP(TRIM(SUBSTITUTE(Z430,CHAR(160)," ")),BR16:BR63,BS16:BS63)))*Y430*IF(ISBLANK(V430),1,V430),0))</f>
        <v/>
      </c>
      <c r="AS430" s="784" t="str">
        <f t="shared" si="157"/>
        <v/>
      </c>
      <c r="AT430" s="1315" t="str">
        <f t="shared" si="168"/>
        <v/>
      </c>
      <c r="AU430" s="785">
        <f t="shared" si="169"/>
        <v>0</v>
      </c>
      <c r="AV430" s="785">
        <f t="shared" si="170"/>
        <v>0</v>
      </c>
      <c r="AW430" s="798">
        <f>IF(AK430="A",AY10,0)</f>
        <v>0</v>
      </c>
      <c r="AX430" s="5496" t="str">
        <f>IF(IFERROR(SEARCH("Adresse PC",TRIM(W430)),0)&gt;0,"▼ receta siguiente",IF(AK430="A",IF(AZ10&lt;&gt;"",AZ10&amp;" - ou.or.o ❾ + or - &gt;",""),""))</f>
        <v/>
      </c>
      <c r="AY430" s="810"/>
      <c r="AZ430" s="810"/>
      <c r="BA430" s="799" t="str">
        <f t="shared" si="160"/>
        <v/>
      </c>
      <c r="BB430" s="800" t="str">
        <f>IF(AK430="A",IF(AQ430,IF(AND(AW430&lt;&gt;"",N(AW430)&gt;0),IFERROR(IFERROR(_xlfn.XLOOKUP(AP430,BP10:BP57,BT10:BT57),IFERROR(_xlfn.XLOOKUP(AP430,BQ10:BQ57,BT10:BT57),_xlfn.XLOOKUP(AP430,BR10:BR57,BT10:BT57,""))),""),""),""),"")</f>
        <v/>
      </c>
      <c r="BC430" s="813" cm="1">
        <f t="array" ref="BC430">IF(NOT(AQ430),0,IF(OR(BA430="",N(BA430)&lt;=0.000000001),"",IF(OR(AU430="",N(AU430)&lt;=0.000000001),0,IF(ISNUMBER(BA430),IFERROR(_xlfn.LET(_xlpm.ai_test,TRIM(AP430),_xlpm.r,IFERROR(_xlfn.XLOOKUP(_xlpm.ai_test,BP16:BP63,ROW(BP16:BP63),0,1),IFERROR(_xlfn.XLOOKUP(_xlpm.ai_test,BQ16:BQ63,ROW(BQ16:BQ63),0,1),_xlfn.XLOOKUP(_xlpm.ai_test,BR16:BR63,ROW(BR16:BR63),0,1))),_xlpm.p,_xlpm.r-MIN(ROW(BP16:BP63))+1,_xlpm.f,INDEX(BS16:BS63,_xlpm.p),_xlpm.u,INDEX(BT16:BT63,_xlpm.p),_xlpm.s,INDEX(BV16:BV63,_xlpm.p),_xlpm.q,N(BA430)/_xlpm.f,IF(_xlpm.q&gt;=_xlpm.s,ROUND(_xlpm.q,1)&amp;" "&amp;_xlpm.ai_test&amp;" = "&amp;ROUND(_xlpm.q*_xlpm.f,1)&amp;" "&amp;_xlpm.u,ROUND(_xlpm.q,1)&amp;" "&amp;_xlpm.ai_test)),""),""))))</f>
        <v>0</v>
      </c>
      <c r="BD430" s="801"/>
      <c r="BE430" s="799" t="str">
        <f t="shared" si="171"/>
        <v/>
      </c>
      <c r="BF430" s="800" t="str">
        <f t="shared" si="172"/>
        <v/>
      </c>
      <c r="BG430" s="802">
        <f t="shared" si="175"/>
        <v>0</v>
      </c>
      <c r="BH430" s="803" t="str">
        <f t="shared" si="176"/>
        <v/>
      </c>
      <c r="BI430" s="792"/>
      <c r="BJ430" s="804">
        <f t="shared" si="174"/>
        <v>0</v>
      </c>
      <c r="BK430" s="794" t="str">
        <f t="shared" si="173"/>
        <v/>
      </c>
      <c r="BL430" s="227" t="s">
        <v>21</v>
      </c>
      <c r="BM430" s="773">
        <f t="shared" si="162"/>
        <v>0</v>
      </c>
      <c r="BN430" s="774">
        <f t="shared" si="163"/>
        <v>0</v>
      </c>
      <c r="BO430"/>
      <c r="BX430"/>
      <c r="BY430"/>
      <c r="BZ430"/>
      <c r="CA430"/>
      <c r="CB430"/>
      <c r="CC430"/>
      <c r="CD430" s="781" t="str">
        <f t="shared" si="156"/>
        <v>►</v>
      </c>
      <c r="CE430" s="633"/>
      <c r="CF430" s="633"/>
      <c r="CG430" s="633"/>
      <c r="CH430" s="633"/>
      <c r="CI430" s="633"/>
      <c r="CJ430" s="227"/>
      <c r="CK430"/>
      <c r="CL430"/>
      <c r="CM430"/>
      <c r="CN430"/>
      <c r="CO430"/>
      <c r="CP430"/>
      <c r="CQ430"/>
      <c r="CR430" s="227"/>
      <c r="CS430"/>
      <c r="CT430"/>
      <c r="CU430"/>
      <c r="CV430"/>
      <c r="CW430"/>
      <c r="CX430"/>
      <c r="CY430"/>
      <c r="CZ430" s="227"/>
      <c r="DA430"/>
      <c r="DB430"/>
      <c r="DC430"/>
      <c r="DD430"/>
      <c r="DE430"/>
      <c r="DF430"/>
      <c r="DG430"/>
      <c r="DH430" s="227"/>
      <c r="DI430" s="3">
        <v>1</v>
      </c>
    </row>
    <row r="431" spans="2:113" s="627" customFormat="1" ht="21" customHeight="1">
      <c r="B431" s="2265" t="str" cm="1">
        <f t="array" ref="B431">SUMPRODUCT(--(D431:J431&lt;&gt;""), LEN(TRIM(SUBSTITUTE(D431:J431, CHAR(160), "")))) &amp; " Car."</f>
        <v>0 Car.</v>
      </c>
      <c r="C431" s="1376" t="str">
        <f>IF(ISBLANK(D431),"",LARGE(C13:C430,1)+1)</f>
        <v/>
      </c>
      <c r="D431" s="1833"/>
      <c r="E431" s="1810"/>
      <c r="F431" s="1810"/>
      <c r="G431" s="1810"/>
      <c r="H431" s="1810"/>
      <c r="I431" s="1810"/>
      <c r="J431" s="1810"/>
      <c r="K431" s="1810"/>
      <c r="L431" s="1811"/>
      <c r="M431"/>
      <c r="N431" s="103" t="str">
        <f t="shared" si="158"/>
        <v>►</v>
      </c>
      <c r="O431" s="1616"/>
      <c r="P431"/>
      <c r="Q431" s="25" t="s">
        <v>15</v>
      </c>
      <c r="R431" s="31"/>
      <c r="S431" s="32"/>
      <c r="T431" s="31"/>
      <c r="U431" s="33"/>
      <c r="V431" s="1967"/>
      <c r="W431" s="1805"/>
      <c r="X431" s="91"/>
      <c r="Y431" s="1806"/>
      <c r="Z431" s="1968"/>
      <c r="AA431" s="2244"/>
      <c r="AB431" s="1969"/>
      <c r="AC431" s="1365"/>
      <c r="AD431" s="95"/>
      <c r="AE431" s="1326"/>
      <c r="AF431" s="97"/>
      <c r="AG431" s="1737"/>
      <c r="AH431" s="1970"/>
      <c r="AI431" s="99"/>
      <c r="AJ431" s="1809"/>
      <c r="AK431" s="6120" t="str">
        <f t="shared" si="159"/>
        <v>►</v>
      </c>
      <c r="AL431" s="781" t="str">
        <f t="shared" si="161"/>
        <v>►</v>
      </c>
      <c r="AM431" s="5499" t="str">
        <f t="shared" si="164"/>
        <v/>
      </c>
      <c r="AN431" s="783" t="str">
        <f t="shared" si="165"/>
        <v/>
      </c>
      <c r="AO431" s="782" t="str">
        <f t="shared" si="166"/>
        <v/>
      </c>
      <c r="AP431" s="783" t="str">
        <f t="shared" si="167"/>
        <v/>
      </c>
      <c r="AQ431" s="2083" t="b">
        <f>AND(Q431="A",COUNTIF(BP16:BR63,TRIM(Z431))&gt;0)</f>
        <v>0</v>
      </c>
      <c r="AR431" s="797" t="str">
        <f>IF(AL431&lt;&gt;"A","",IFERROR(IFERROR(_xlfn.XLOOKUP(TRIM(SUBSTITUTE(Z431,CHAR(160)," ")),BP16:BP63,BS16:BS63),IFERROR(_xlfn.XLOOKUP(TRIM(SUBSTITUTE(Z431,CHAR(160)," ")),BQ16:BQ63,BS16:BS63),_xlfn.XLOOKUP(TRIM(SUBSTITUTE(Z431,CHAR(160)," ")),BR16:BR63,BS16:BS63)))*Y431*IF(ISBLANK(V431),1,V431),0))</f>
        <v/>
      </c>
      <c r="AS431" s="784" t="str">
        <f t="shared" si="157"/>
        <v/>
      </c>
      <c r="AT431" s="1315" t="str">
        <f t="shared" si="168"/>
        <v/>
      </c>
      <c r="AU431" s="785">
        <f t="shared" si="169"/>
        <v>0</v>
      </c>
      <c r="AV431" s="785">
        <f t="shared" si="170"/>
        <v>0</v>
      </c>
      <c r="AW431" s="786">
        <f>IF(AK431="A",AY10,0)</f>
        <v>0</v>
      </c>
      <c r="AX431" s="5495" t="str">
        <f>IF(IFERROR(SEARCH("Adresse PC",TRIM(W431)),0)&gt;0,"▼ receta siguiente",IF(AK431="A",IF(AZ10&lt;&gt;"",AZ10&amp;" - ou.or.o ❾ + or - &gt;",""),""))</f>
        <v/>
      </c>
      <c r="AY431" s="810"/>
      <c r="AZ431" s="810"/>
      <c r="BA431" s="788" t="str">
        <f t="shared" si="160"/>
        <v/>
      </c>
      <c r="BB431" s="789" t="str">
        <f>IF(AK431="A",IF(AQ431,IF(AND(AW431&lt;&gt;"",N(AW431)&gt;0),IFERROR(IFERROR(_xlfn.XLOOKUP(AP431,BP10:BP57,BT10:BT57),IFERROR(_xlfn.XLOOKUP(AP431,BQ10:BQ57,BT10:BT57),_xlfn.XLOOKUP(AP431,BR10:BR57,BT10:BT57,""))),""),""),""),"")</f>
        <v/>
      </c>
      <c r="BC431" s="811" cm="1">
        <f t="array" ref="BC431">IF(NOT(AQ431),0,IF(OR(BA431="",N(BA431)&lt;=0.000000001),"",IF(OR(AU431="",N(AU431)&lt;=0.000000001),0,IF(ISNUMBER(BA431),IFERROR(_xlfn.LET(_xlpm.ai_test,TRIM(AP431),_xlpm.r,IFERROR(_xlfn.XLOOKUP(_xlpm.ai_test,BP16:BP63,ROW(BP16:BP63),0,1),IFERROR(_xlfn.XLOOKUP(_xlpm.ai_test,BQ16:BQ63,ROW(BQ16:BQ63),0,1),_xlfn.XLOOKUP(_xlpm.ai_test,BR16:BR63,ROW(BR16:BR63),0,1))),_xlpm.p,_xlpm.r-MIN(ROW(BP16:BP63))+1,_xlpm.f,INDEX(BS16:BS63,_xlpm.p),_xlpm.u,INDEX(BT16:BT63,_xlpm.p),_xlpm.s,INDEX(BV16:BV63,_xlpm.p),_xlpm.q,N(BA431)/_xlpm.f,IF(_xlpm.q&gt;=_xlpm.s,ROUND(_xlpm.q,1)&amp;" "&amp;_xlpm.ai_test&amp;" = "&amp;ROUND(_xlpm.q*_xlpm.f,1)&amp;" "&amp;_xlpm.u,ROUND(_xlpm.q,1)&amp;" "&amp;_xlpm.ai_test)),""),""))))</f>
        <v>0</v>
      </c>
      <c r="BD431" s="801"/>
      <c r="BE431" s="788" t="str">
        <f t="shared" si="171"/>
        <v/>
      </c>
      <c r="BF431" s="789" t="str">
        <f t="shared" si="172"/>
        <v/>
      </c>
      <c r="BG431" s="790">
        <f t="shared" si="175"/>
        <v>0</v>
      </c>
      <c r="BH431" s="791" t="str">
        <f t="shared" si="176"/>
        <v/>
      </c>
      <c r="BI431" s="792"/>
      <c r="BJ431" s="793">
        <f t="shared" si="174"/>
        <v>0</v>
      </c>
      <c r="BK431" s="794" t="str">
        <f t="shared" si="173"/>
        <v/>
      </c>
      <c r="BL431" s="227" t="s">
        <v>21</v>
      </c>
      <c r="BM431" s="773">
        <f t="shared" si="162"/>
        <v>0</v>
      </c>
      <c r="BN431" s="774">
        <f t="shared" si="163"/>
        <v>0</v>
      </c>
      <c r="BO431"/>
      <c r="BX431"/>
      <c r="BY431"/>
      <c r="BZ431"/>
      <c r="CA431"/>
      <c r="CB431"/>
      <c r="CC431"/>
      <c r="CD431" s="781" t="str">
        <f t="shared" si="156"/>
        <v>►</v>
      </c>
      <c r="CE431" s="633"/>
      <c r="CF431" s="633"/>
      <c r="CG431" s="633"/>
      <c r="CH431" s="633"/>
      <c r="CI431" s="633"/>
      <c r="CJ431" s="227"/>
      <c r="CK431"/>
      <c r="CL431"/>
      <c r="CM431"/>
      <c r="CN431"/>
      <c r="CO431"/>
      <c r="CP431"/>
      <c r="CQ431"/>
      <c r="CR431" s="227"/>
      <c r="CS431"/>
      <c r="CT431"/>
      <c r="CU431"/>
      <c r="CV431"/>
      <c r="CW431"/>
      <c r="CX431"/>
      <c r="CY431"/>
      <c r="CZ431" s="227"/>
      <c r="DA431"/>
      <c r="DB431"/>
      <c r="DC431"/>
      <c r="DD431"/>
      <c r="DE431"/>
      <c r="DF431"/>
      <c r="DG431"/>
      <c r="DH431" s="227"/>
      <c r="DI431" s="3">
        <v>1</v>
      </c>
    </row>
    <row r="432" spans="2:113" s="627" customFormat="1" ht="21" customHeight="1">
      <c r="B432" s="2265" t="str" cm="1">
        <f t="array" ref="B432">SUMPRODUCT(--(D432:J432&lt;&gt;""), LEN(TRIM(SUBSTITUTE(D432:J432, CHAR(160), "")))) &amp; " Car."</f>
        <v>0 Car.</v>
      </c>
      <c r="C432" s="1376" t="str">
        <f>IF(ISBLANK(D432),"",LARGE(C13:C431,1)+1)</f>
        <v/>
      </c>
      <c r="D432" s="1833"/>
      <c r="E432" s="1810"/>
      <c r="F432" s="1810"/>
      <c r="G432" s="1810"/>
      <c r="H432" s="1810"/>
      <c r="I432" s="1810"/>
      <c r="J432" s="1810"/>
      <c r="K432" s="1810"/>
      <c r="L432" s="1811"/>
      <c r="M432"/>
      <c r="N432" s="103" t="str">
        <f t="shared" si="158"/>
        <v>►</v>
      </c>
      <c r="O432" s="1616"/>
      <c r="P432"/>
      <c r="Q432" s="25" t="s">
        <v>15</v>
      </c>
      <c r="R432" s="31"/>
      <c r="S432" s="32"/>
      <c r="T432" s="31"/>
      <c r="U432" s="33"/>
      <c r="V432" s="1967"/>
      <c r="W432" s="1805"/>
      <c r="X432" s="91"/>
      <c r="Y432" s="1806"/>
      <c r="Z432" s="1968"/>
      <c r="AA432" s="2244"/>
      <c r="AB432" s="1969"/>
      <c r="AC432" s="1365"/>
      <c r="AD432" s="95"/>
      <c r="AE432" s="1326"/>
      <c r="AF432" s="97"/>
      <c r="AG432" s="1737"/>
      <c r="AH432" s="1970"/>
      <c r="AI432" s="99"/>
      <c r="AJ432" s="1809"/>
      <c r="AK432" s="6120" t="str">
        <f t="shared" si="159"/>
        <v>►</v>
      </c>
      <c r="AL432" s="781" t="str">
        <f t="shared" si="161"/>
        <v>►</v>
      </c>
      <c r="AM432" s="5498" t="str">
        <f t="shared" si="164"/>
        <v/>
      </c>
      <c r="AN432" s="783" t="str">
        <f t="shared" si="165"/>
        <v/>
      </c>
      <c r="AO432" s="782" t="str">
        <f t="shared" si="166"/>
        <v/>
      </c>
      <c r="AP432" s="783" t="str">
        <f t="shared" si="167"/>
        <v/>
      </c>
      <c r="AQ432" s="2083" t="b">
        <f>AND(Q432="A",COUNTIF(BP16:BR63,TRIM(Z432))&gt;0)</f>
        <v>0</v>
      </c>
      <c r="AR432" s="797" t="str">
        <f>IF(AL432&lt;&gt;"A","",IFERROR(IFERROR(_xlfn.XLOOKUP(TRIM(SUBSTITUTE(Z432,CHAR(160)," ")),BP16:BP63,BS16:BS63),IFERROR(_xlfn.XLOOKUP(TRIM(SUBSTITUTE(Z432,CHAR(160)," ")),BQ16:BQ63,BS16:BS63),_xlfn.XLOOKUP(TRIM(SUBSTITUTE(Z432,CHAR(160)," ")),BR16:BR63,BS16:BS63)))*Y432*IF(ISBLANK(V432),1,V432),0))</f>
        <v/>
      </c>
      <c r="AS432" s="784" t="str">
        <f t="shared" si="157"/>
        <v/>
      </c>
      <c r="AT432" s="1315" t="str">
        <f t="shared" si="168"/>
        <v/>
      </c>
      <c r="AU432" s="785">
        <f t="shared" si="169"/>
        <v>0</v>
      </c>
      <c r="AV432" s="785">
        <f t="shared" si="170"/>
        <v>0</v>
      </c>
      <c r="AW432" s="798">
        <f>IF(AK432="A",AY10,0)</f>
        <v>0</v>
      </c>
      <c r="AX432" s="5496" t="str">
        <f>IF(IFERROR(SEARCH("Adresse PC",TRIM(W432)),0)&gt;0,"▼ receta siguiente",IF(AK432="A",IF(AZ10&lt;&gt;"",AZ10&amp;" - ou.or.o ❾ + or - &gt;",""),""))</f>
        <v/>
      </c>
      <c r="AY432" s="810"/>
      <c r="AZ432" s="810"/>
      <c r="BA432" s="799" t="str">
        <f t="shared" si="160"/>
        <v/>
      </c>
      <c r="BB432" s="800" t="str">
        <f>IF(AK432="A",IF(AQ432,IF(AND(AW432&lt;&gt;"",N(AW432)&gt;0),IFERROR(IFERROR(_xlfn.XLOOKUP(AP432,BP10:BP57,BT10:BT57),IFERROR(_xlfn.XLOOKUP(AP432,BQ10:BQ57,BT10:BT57),_xlfn.XLOOKUP(AP432,BR10:BR57,BT10:BT57,""))),""),""),""),"")</f>
        <v/>
      </c>
      <c r="BC432" s="813" cm="1">
        <f t="array" ref="BC432">IF(NOT(AQ432),0,IF(OR(BA432="",N(BA432)&lt;=0.000000001),"",IF(OR(AU432="",N(AU432)&lt;=0.000000001),0,IF(ISNUMBER(BA432),IFERROR(_xlfn.LET(_xlpm.ai_test,TRIM(AP432),_xlpm.r,IFERROR(_xlfn.XLOOKUP(_xlpm.ai_test,BP16:BP63,ROW(BP16:BP63),0,1),IFERROR(_xlfn.XLOOKUP(_xlpm.ai_test,BQ16:BQ63,ROW(BQ16:BQ63),0,1),_xlfn.XLOOKUP(_xlpm.ai_test,BR16:BR63,ROW(BR16:BR63),0,1))),_xlpm.p,_xlpm.r-MIN(ROW(BP16:BP63))+1,_xlpm.f,INDEX(BS16:BS63,_xlpm.p),_xlpm.u,INDEX(BT16:BT63,_xlpm.p),_xlpm.s,INDEX(BV16:BV63,_xlpm.p),_xlpm.q,N(BA432)/_xlpm.f,IF(_xlpm.q&gt;=_xlpm.s,ROUND(_xlpm.q,1)&amp;" "&amp;_xlpm.ai_test&amp;" = "&amp;ROUND(_xlpm.q*_xlpm.f,1)&amp;" "&amp;_xlpm.u,ROUND(_xlpm.q,1)&amp;" "&amp;_xlpm.ai_test)),""),""))))</f>
        <v>0</v>
      </c>
      <c r="BD432" s="801"/>
      <c r="BE432" s="799" t="str">
        <f t="shared" si="171"/>
        <v/>
      </c>
      <c r="BF432" s="800" t="str">
        <f t="shared" si="172"/>
        <v/>
      </c>
      <c r="BG432" s="802">
        <f t="shared" si="175"/>
        <v>0</v>
      </c>
      <c r="BH432" s="803" t="str">
        <f t="shared" si="176"/>
        <v/>
      </c>
      <c r="BI432" s="792"/>
      <c r="BJ432" s="804">
        <f t="shared" si="174"/>
        <v>0</v>
      </c>
      <c r="BK432" s="794" t="str">
        <f t="shared" si="173"/>
        <v/>
      </c>
      <c r="BL432" s="227" t="s">
        <v>21</v>
      </c>
      <c r="BM432" s="773">
        <f t="shared" si="162"/>
        <v>0</v>
      </c>
      <c r="BN432" s="774">
        <f t="shared" si="163"/>
        <v>0</v>
      </c>
      <c r="BO432"/>
      <c r="BX432"/>
      <c r="BY432"/>
      <c r="BZ432"/>
      <c r="CA432"/>
      <c r="CB432"/>
      <c r="CC432"/>
      <c r="CD432" s="781" t="str">
        <f t="shared" si="156"/>
        <v>►</v>
      </c>
      <c r="CE432" s="633"/>
      <c r="CF432" s="633"/>
      <c r="CG432" s="633"/>
      <c r="CH432" s="633"/>
      <c r="CI432" s="633"/>
      <c r="CJ432" s="227"/>
      <c r="CK432"/>
      <c r="CL432"/>
      <c r="CM432"/>
      <c r="CN432"/>
      <c r="CO432"/>
      <c r="CP432"/>
      <c r="CQ432"/>
      <c r="CR432" s="227"/>
      <c r="CS432"/>
      <c r="CT432"/>
      <c r="CU432"/>
      <c r="CV432"/>
      <c r="CW432"/>
      <c r="CX432"/>
      <c r="CY432"/>
      <c r="CZ432" s="227"/>
      <c r="DA432"/>
      <c r="DB432"/>
      <c r="DC432"/>
      <c r="DD432"/>
      <c r="DE432"/>
      <c r="DF432"/>
      <c r="DG432"/>
      <c r="DH432" s="227"/>
      <c r="DI432" s="3">
        <v>1</v>
      </c>
    </row>
    <row r="433" spans="2:113" s="627" customFormat="1" ht="21" customHeight="1">
      <c r="B433" s="2265" t="str" cm="1">
        <f t="array" ref="B433">SUMPRODUCT(--(D433:J433&lt;&gt;""), LEN(TRIM(SUBSTITUTE(D433:J433, CHAR(160), "")))) &amp; " Car."</f>
        <v>0 Car.</v>
      </c>
      <c r="C433" s="1376" t="str">
        <f>IF(ISBLANK(D433),"",LARGE(C13:C432,1)+1)</f>
        <v/>
      </c>
      <c r="D433" s="1833"/>
      <c r="E433" s="1810"/>
      <c r="F433" s="1810"/>
      <c r="G433" s="1810"/>
      <c r="H433" s="1810"/>
      <c r="I433" s="1810"/>
      <c r="J433" s="1810"/>
      <c r="K433" s="1810"/>
      <c r="L433" s="1811"/>
      <c r="M433"/>
      <c r="N433" s="103" t="str">
        <f t="shared" si="158"/>
        <v>►</v>
      </c>
      <c r="O433" s="1616"/>
      <c r="P433"/>
      <c r="Q433" s="25" t="s">
        <v>15</v>
      </c>
      <c r="R433" s="31"/>
      <c r="S433" s="32"/>
      <c r="T433" s="31"/>
      <c r="U433" s="33"/>
      <c r="V433" s="1967"/>
      <c r="W433" s="1805"/>
      <c r="X433" s="91"/>
      <c r="Y433" s="1806"/>
      <c r="Z433" s="1968"/>
      <c r="AA433" s="2244"/>
      <c r="AB433" s="1969"/>
      <c r="AC433" s="1365"/>
      <c r="AD433" s="95"/>
      <c r="AE433" s="1326"/>
      <c r="AF433" s="97"/>
      <c r="AG433" s="1737"/>
      <c r="AH433" s="1970"/>
      <c r="AI433" s="99"/>
      <c r="AJ433" s="1809"/>
      <c r="AK433" s="6120" t="str">
        <f t="shared" si="159"/>
        <v>►</v>
      </c>
      <c r="AL433" s="781" t="str">
        <f t="shared" si="161"/>
        <v>►</v>
      </c>
      <c r="AM433" s="5499" t="str">
        <f t="shared" si="164"/>
        <v/>
      </c>
      <c r="AN433" s="783" t="str">
        <f t="shared" si="165"/>
        <v/>
      </c>
      <c r="AO433" s="782" t="str">
        <f t="shared" si="166"/>
        <v/>
      </c>
      <c r="AP433" s="783" t="str">
        <f t="shared" si="167"/>
        <v/>
      </c>
      <c r="AQ433" s="2083" t="b">
        <f>AND(Q433="A",COUNTIF(BP16:BR63,TRIM(Z433))&gt;0)</f>
        <v>0</v>
      </c>
      <c r="AR433" s="797" t="str">
        <f>IF(AL433&lt;&gt;"A","",IFERROR(IFERROR(_xlfn.XLOOKUP(TRIM(SUBSTITUTE(Z433,CHAR(160)," ")),BP16:BP63,BS16:BS63),IFERROR(_xlfn.XLOOKUP(TRIM(SUBSTITUTE(Z433,CHAR(160)," ")),BQ16:BQ63,BS16:BS63),_xlfn.XLOOKUP(TRIM(SUBSTITUTE(Z433,CHAR(160)," ")),BR16:BR63,BS16:BS63)))*Y433*IF(ISBLANK(V433),1,V433),0))</f>
        <v/>
      </c>
      <c r="AS433" s="784" t="str">
        <f t="shared" si="157"/>
        <v/>
      </c>
      <c r="AT433" s="1315" t="str">
        <f t="shared" si="168"/>
        <v/>
      </c>
      <c r="AU433" s="785">
        <f t="shared" si="169"/>
        <v>0</v>
      </c>
      <c r="AV433" s="785">
        <f t="shared" si="170"/>
        <v>0</v>
      </c>
      <c r="AW433" s="786">
        <f>IF(AK433="A",AY10,0)</f>
        <v>0</v>
      </c>
      <c r="AX433" s="5495" t="str">
        <f>IF(IFERROR(SEARCH("Adresse PC",TRIM(W433)),0)&gt;0,"▼ receta siguiente",IF(AK433="A",IF(AZ10&lt;&gt;"",AZ10&amp;" - ou.or.o ❾ + or - &gt;",""),""))</f>
        <v/>
      </c>
      <c r="AY433" s="810"/>
      <c r="AZ433" s="810"/>
      <c r="BA433" s="788" t="str">
        <f t="shared" si="160"/>
        <v/>
      </c>
      <c r="BB433" s="789" t="str">
        <f>IF(AK433="A",IF(AQ433,IF(AND(AW433&lt;&gt;"",N(AW433)&gt;0),IFERROR(IFERROR(_xlfn.XLOOKUP(AP433,BP10:BP57,BT10:BT57),IFERROR(_xlfn.XLOOKUP(AP433,BQ10:BQ57,BT10:BT57),_xlfn.XLOOKUP(AP433,BR10:BR57,BT10:BT57,""))),""),""),""),"")</f>
        <v/>
      </c>
      <c r="BC433" s="811" cm="1">
        <f t="array" ref="BC433">IF(NOT(AQ433),0,IF(OR(BA433="",N(BA433)&lt;=0.000000001),"",IF(OR(AU433="",N(AU433)&lt;=0.000000001),0,IF(ISNUMBER(BA433),IFERROR(_xlfn.LET(_xlpm.ai_test,TRIM(AP433),_xlpm.r,IFERROR(_xlfn.XLOOKUP(_xlpm.ai_test,BP16:BP63,ROW(BP16:BP63),0,1),IFERROR(_xlfn.XLOOKUP(_xlpm.ai_test,BQ16:BQ63,ROW(BQ16:BQ63),0,1),_xlfn.XLOOKUP(_xlpm.ai_test,BR16:BR63,ROW(BR16:BR63),0,1))),_xlpm.p,_xlpm.r-MIN(ROW(BP16:BP63))+1,_xlpm.f,INDEX(BS16:BS63,_xlpm.p),_xlpm.u,INDEX(BT16:BT63,_xlpm.p),_xlpm.s,INDEX(BV16:BV63,_xlpm.p),_xlpm.q,N(BA433)/_xlpm.f,IF(_xlpm.q&gt;=_xlpm.s,ROUND(_xlpm.q,1)&amp;" "&amp;_xlpm.ai_test&amp;" = "&amp;ROUND(_xlpm.q*_xlpm.f,1)&amp;" "&amp;_xlpm.u,ROUND(_xlpm.q,1)&amp;" "&amp;_xlpm.ai_test)),""),""))))</f>
        <v>0</v>
      </c>
      <c r="BD433" s="801"/>
      <c r="BE433" s="788" t="str">
        <f t="shared" si="171"/>
        <v/>
      </c>
      <c r="BF433" s="789" t="str">
        <f t="shared" si="172"/>
        <v/>
      </c>
      <c r="BG433" s="790">
        <f t="shared" si="175"/>
        <v>0</v>
      </c>
      <c r="BH433" s="791" t="str">
        <f t="shared" si="176"/>
        <v/>
      </c>
      <c r="BI433" s="792"/>
      <c r="BJ433" s="793">
        <f t="shared" si="174"/>
        <v>0</v>
      </c>
      <c r="BK433" s="794" t="str">
        <f t="shared" si="173"/>
        <v/>
      </c>
      <c r="BL433" s="227" t="s">
        <v>21</v>
      </c>
      <c r="BM433" s="773">
        <f t="shared" si="162"/>
        <v>0</v>
      </c>
      <c r="BN433" s="774">
        <f t="shared" si="163"/>
        <v>0</v>
      </c>
      <c r="BO433"/>
      <c r="BX433"/>
      <c r="BY433"/>
      <c r="BZ433"/>
      <c r="CA433"/>
      <c r="CB433"/>
      <c r="CC433"/>
      <c r="CD433" s="781" t="str">
        <f t="shared" si="156"/>
        <v>►</v>
      </c>
      <c r="CE433" s="633"/>
      <c r="CF433" s="633"/>
      <c r="CG433" s="633"/>
      <c r="CH433" s="633"/>
      <c r="CI433" s="633"/>
      <c r="CJ433" s="227"/>
      <c r="CK433"/>
      <c r="CL433"/>
      <c r="CM433"/>
      <c r="CN433"/>
      <c r="CO433"/>
      <c r="CP433"/>
      <c r="CQ433"/>
      <c r="CR433" s="227"/>
      <c r="CS433"/>
      <c r="CT433"/>
      <c r="CU433"/>
      <c r="CV433"/>
      <c r="CW433"/>
      <c r="CX433"/>
      <c r="CY433"/>
      <c r="CZ433" s="227"/>
      <c r="DA433"/>
      <c r="DB433"/>
      <c r="DC433"/>
      <c r="DD433"/>
      <c r="DE433"/>
      <c r="DF433"/>
      <c r="DG433"/>
      <c r="DH433" s="227"/>
      <c r="DI433" s="3">
        <v>1</v>
      </c>
    </row>
    <row r="434" spans="2:113" s="627" customFormat="1" ht="21" customHeight="1">
      <c r="B434" s="2265" t="str" cm="1">
        <f t="array" ref="B434">SUMPRODUCT(--(D434:J434&lt;&gt;""), LEN(TRIM(SUBSTITUTE(D434:J434, CHAR(160), "")))) &amp; " Car."</f>
        <v>0 Car.</v>
      </c>
      <c r="C434" s="1376" t="str">
        <f>IF(ISBLANK(D434),"",LARGE(C13:C433,1)+1)</f>
        <v/>
      </c>
      <c r="D434" s="1833"/>
      <c r="E434" s="1810"/>
      <c r="F434" s="1810"/>
      <c r="G434" s="1810"/>
      <c r="H434" s="1810"/>
      <c r="I434" s="1810"/>
      <c r="J434" s="1810"/>
      <c r="K434" s="1810"/>
      <c r="L434" s="1811"/>
      <c r="M434"/>
      <c r="N434" s="103" t="str">
        <f t="shared" si="158"/>
        <v>►</v>
      </c>
      <c r="O434" s="1616"/>
      <c r="P434"/>
      <c r="Q434" s="25" t="s">
        <v>15</v>
      </c>
      <c r="R434" s="31"/>
      <c r="S434" s="32"/>
      <c r="T434" s="31"/>
      <c r="U434" s="33"/>
      <c r="V434" s="1967"/>
      <c r="W434" s="1805"/>
      <c r="X434" s="91"/>
      <c r="Y434" s="1806"/>
      <c r="Z434" s="1968"/>
      <c r="AA434" s="2244"/>
      <c r="AB434" s="1969"/>
      <c r="AC434" s="1365"/>
      <c r="AD434" s="95"/>
      <c r="AE434" s="1326"/>
      <c r="AF434" s="97"/>
      <c r="AG434" s="1737"/>
      <c r="AH434" s="1970"/>
      <c r="AI434" s="99"/>
      <c r="AJ434" s="1809"/>
      <c r="AK434" s="6120" t="str">
        <f t="shared" si="159"/>
        <v>►</v>
      </c>
      <c r="AL434" s="781" t="str">
        <f t="shared" si="161"/>
        <v>►</v>
      </c>
      <c r="AM434" s="5498" t="str">
        <f t="shared" si="164"/>
        <v/>
      </c>
      <c r="AN434" s="783" t="str">
        <f t="shared" si="165"/>
        <v/>
      </c>
      <c r="AO434" s="782" t="str">
        <f t="shared" si="166"/>
        <v/>
      </c>
      <c r="AP434" s="783" t="str">
        <f t="shared" si="167"/>
        <v/>
      </c>
      <c r="AQ434" s="2083" t="b">
        <f>AND(Q434="A",COUNTIF(BP16:BR63,TRIM(Z434))&gt;0)</f>
        <v>0</v>
      </c>
      <c r="AR434" s="797" t="str">
        <f>IF(AL434&lt;&gt;"A","",IFERROR(IFERROR(_xlfn.XLOOKUP(TRIM(SUBSTITUTE(Z434,CHAR(160)," ")),BP16:BP63,BS16:BS63),IFERROR(_xlfn.XLOOKUP(TRIM(SUBSTITUTE(Z434,CHAR(160)," ")),BQ16:BQ63,BS16:BS63),_xlfn.XLOOKUP(TRIM(SUBSTITUTE(Z434,CHAR(160)," ")),BR16:BR63,BS16:BS63)))*Y434*IF(ISBLANK(V434),1,V434),0))</f>
        <v/>
      </c>
      <c r="AS434" s="784" t="str">
        <f t="shared" si="157"/>
        <v/>
      </c>
      <c r="AT434" s="1315" t="str">
        <f t="shared" si="168"/>
        <v/>
      </c>
      <c r="AU434" s="785">
        <f t="shared" si="169"/>
        <v>0</v>
      </c>
      <c r="AV434" s="785">
        <f t="shared" si="170"/>
        <v>0</v>
      </c>
      <c r="AW434" s="798">
        <f>IF(AK434="A",AY10,0)</f>
        <v>0</v>
      </c>
      <c r="AX434" s="5496" t="str">
        <f>IF(IFERROR(SEARCH("Adresse PC",TRIM(W434)),0)&gt;0,"▼ receta siguiente",IF(AK434="A",IF(AZ10&lt;&gt;"",AZ10&amp;" - ou.or.o ❾ + or - &gt;",""),""))</f>
        <v/>
      </c>
      <c r="AY434" s="810"/>
      <c r="AZ434" s="810"/>
      <c r="BA434" s="799" t="str">
        <f t="shared" si="160"/>
        <v/>
      </c>
      <c r="BB434" s="800" t="str">
        <f>IF(AK434="A",IF(AQ434,IF(AND(AW434&lt;&gt;"",N(AW434)&gt;0),IFERROR(IFERROR(_xlfn.XLOOKUP(AP434,BP10:BP57,BT10:BT57),IFERROR(_xlfn.XLOOKUP(AP434,BQ10:BQ57,BT10:BT57),_xlfn.XLOOKUP(AP434,BR10:BR57,BT10:BT57,""))),""),""),""),"")</f>
        <v/>
      </c>
      <c r="BC434" s="813" cm="1">
        <f t="array" ref="BC434">IF(NOT(AQ434),0,IF(OR(BA434="",N(BA434)&lt;=0.000000001),"",IF(OR(AU434="",N(AU434)&lt;=0.000000001),0,IF(ISNUMBER(BA434),IFERROR(_xlfn.LET(_xlpm.ai_test,TRIM(AP434),_xlpm.r,IFERROR(_xlfn.XLOOKUP(_xlpm.ai_test,BP16:BP63,ROW(BP16:BP63),0,1),IFERROR(_xlfn.XLOOKUP(_xlpm.ai_test,BQ16:BQ63,ROW(BQ16:BQ63),0,1),_xlfn.XLOOKUP(_xlpm.ai_test,BR16:BR63,ROW(BR16:BR63),0,1))),_xlpm.p,_xlpm.r-MIN(ROW(BP16:BP63))+1,_xlpm.f,INDEX(BS16:BS63,_xlpm.p),_xlpm.u,INDEX(BT16:BT63,_xlpm.p),_xlpm.s,INDEX(BV16:BV63,_xlpm.p),_xlpm.q,N(BA434)/_xlpm.f,IF(_xlpm.q&gt;=_xlpm.s,ROUND(_xlpm.q,1)&amp;" "&amp;_xlpm.ai_test&amp;" = "&amp;ROUND(_xlpm.q*_xlpm.f,1)&amp;" "&amp;_xlpm.u,ROUND(_xlpm.q,1)&amp;" "&amp;_xlpm.ai_test)),""),""))))</f>
        <v>0</v>
      </c>
      <c r="BD434" s="801"/>
      <c r="BE434" s="799" t="str">
        <f t="shared" si="171"/>
        <v/>
      </c>
      <c r="BF434" s="800" t="str">
        <f t="shared" si="172"/>
        <v/>
      </c>
      <c r="BG434" s="802">
        <f t="shared" si="175"/>
        <v>0</v>
      </c>
      <c r="BH434" s="803" t="str">
        <f t="shared" si="176"/>
        <v/>
      </c>
      <c r="BI434" s="792"/>
      <c r="BJ434" s="804">
        <f t="shared" si="174"/>
        <v>0</v>
      </c>
      <c r="BK434" s="794" t="str">
        <f t="shared" si="173"/>
        <v/>
      </c>
      <c r="BL434" s="227" t="s">
        <v>21</v>
      </c>
      <c r="BM434" s="773">
        <f t="shared" si="162"/>
        <v>0</v>
      </c>
      <c r="BN434" s="774">
        <f t="shared" si="163"/>
        <v>0</v>
      </c>
      <c r="BO434"/>
      <c r="BX434"/>
      <c r="BY434"/>
      <c r="BZ434"/>
      <c r="CA434"/>
      <c r="CB434"/>
      <c r="CC434"/>
      <c r="CD434" s="781" t="str">
        <f t="shared" si="156"/>
        <v>►</v>
      </c>
      <c r="CE434" s="633"/>
      <c r="CF434" s="633"/>
      <c r="CG434" s="633"/>
      <c r="CH434" s="633"/>
      <c r="CI434" s="633"/>
      <c r="CJ434" s="227"/>
      <c r="CK434"/>
      <c r="CL434"/>
      <c r="CM434"/>
      <c r="CN434"/>
      <c r="CO434"/>
      <c r="CP434"/>
      <c r="CQ434"/>
      <c r="CR434" s="227"/>
      <c r="CS434"/>
      <c r="CT434"/>
      <c r="CU434"/>
      <c r="CV434"/>
      <c r="CW434"/>
      <c r="CX434"/>
      <c r="CY434"/>
      <c r="CZ434" s="227"/>
      <c r="DA434"/>
      <c r="DB434"/>
      <c r="DC434"/>
      <c r="DD434"/>
      <c r="DE434"/>
      <c r="DF434"/>
      <c r="DG434"/>
      <c r="DH434" s="227"/>
      <c r="DI434" s="3">
        <v>1</v>
      </c>
    </row>
    <row r="435" spans="2:113" s="627" customFormat="1" ht="21" customHeight="1">
      <c r="B435" s="2265" t="str" cm="1">
        <f t="array" ref="B435">SUMPRODUCT(--(D435:J435&lt;&gt;""), LEN(TRIM(SUBSTITUTE(D435:J435, CHAR(160), "")))) &amp; " Car."</f>
        <v>0 Car.</v>
      </c>
      <c r="C435" s="1376" t="str">
        <f>IF(ISBLANK(D435),"",LARGE(C13:C434,1)+1)</f>
        <v/>
      </c>
      <c r="D435" s="1833"/>
      <c r="E435" s="1810"/>
      <c r="F435" s="1810"/>
      <c r="G435" s="1810"/>
      <c r="H435" s="1810"/>
      <c r="I435" s="1810"/>
      <c r="J435" s="1810"/>
      <c r="K435" s="1810"/>
      <c r="L435" s="1811"/>
      <c r="M435"/>
      <c r="N435" s="103" t="str">
        <f t="shared" si="158"/>
        <v>►</v>
      </c>
      <c r="O435" s="1616"/>
      <c r="P435"/>
      <c r="Q435" s="25" t="s">
        <v>15</v>
      </c>
      <c r="R435" s="31"/>
      <c r="S435" s="32"/>
      <c r="T435" s="31"/>
      <c r="U435" s="33"/>
      <c r="V435" s="1967"/>
      <c r="W435" s="1805"/>
      <c r="X435" s="91"/>
      <c r="Y435" s="1806"/>
      <c r="Z435" s="1968"/>
      <c r="AA435" s="2244"/>
      <c r="AB435" s="1969"/>
      <c r="AC435" s="1365"/>
      <c r="AD435" s="95"/>
      <c r="AE435" s="1326"/>
      <c r="AF435" s="97"/>
      <c r="AG435" s="1737"/>
      <c r="AH435" s="1970"/>
      <c r="AI435" s="99"/>
      <c r="AJ435" s="1809"/>
      <c r="AK435" s="6120" t="str">
        <f t="shared" si="159"/>
        <v>►</v>
      </c>
      <c r="AL435" s="781" t="str">
        <f t="shared" si="161"/>
        <v>►</v>
      </c>
      <c r="AM435" s="5499" t="str">
        <f t="shared" si="164"/>
        <v/>
      </c>
      <c r="AN435" s="783" t="str">
        <f t="shared" si="165"/>
        <v/>
      </c>
      <c r="AO435" s="782" t="str">
        <f t="shared" si="166"/>
        <v/>
      </c>
      <c r="AP435" s="783" t="str">
        <f t="shared" si="167"/>
        <v/>
      </c>
      <c r="AQ435" s="2083" t="b">
        <f>AND(Q435="A",COUNTIF(BP16:BR63,TRIM(Z435))&gt;0)</f>
        <v>0</v>
      </c>
      <c r="AR435" s="797" t="str">
        <f>IF(AL435&lt;&gt;"A","",IFERROR(IFERROR(_xlfn.XLOOKUP(TRIM(SUBSTITUTE(Z435,CHAR(160)," ")),BP16:BP63,BS16:BS63),IFERROR(_xlfn.XLOOKUP(TRIM(SUBSTITUTE(Z435,CHAR(160)," ")),BQ16:BQ63,BS16:BS63),_xlfn.XLOOKUP(TRIM(SUBSTITUTE(Z435,CHAR(160)," ")),BR16:BR63,BS16:BS63)))*Y435*IF(ISBLANK(V435),1,V435),0))</f>
        <v/>
      </c>
      <c r="AS435" s="784" t="str">
        <f t="shared" si="157"/>
        <v/>
      </c>
      <c r="AT435" s="1315" t="str">
        <f t="shared" si="168"/>
        <v/>
      </c>
      <c r="AU435" s="785">
        <f t="shared" si="169"/>
        <v>0</v>
      </c>
      <c r="AV435" s="785">
        <f t="shared" si="170"/>
        <v>0</v>
      </c>
      <c r="AW435" s="786">
        <f>IF(AK435="A",AY10,0)</f>
        <v>0</v>
      </c>
      <c r="AX435" s="5495" t="str">
        <f>IF(IFERROR(SEARCH("Adresse PC",TRIM(W435)),0)&gt;0,"▼ receta siguiente",IF(AK435="A",IF(AZ10&lt;&gt;"",AZ10&amp;" - ou.or.o ❾ + or - &gt;",""),""))</f>
        <v/>
      </c>
      <c r="AY435" s="810"/>
      <c r="AZ435" s="810"/>
      <c r="BA435" s="788" t="str">
        <f t="shared" si="160"/>
        <v/>
      </c>
      <c r="BB435" s="789" t="str">
        <f>IF(AK435="A",IF(AQ435,IF(AND(AW435&lt;&gt;"",N(AW435)&gt;0),IFERROR(IFERROR(_xlfn.XLOOKUP(AP435,BP10:BP57,BT10:BT57),IFERROR(_xlfn.XLOOKUP(AP435,BQ10:BQ57,BT10:BT57),_xlfn.XLOOKUP(AP435,BR10:BR57,BT10:BT57,""))),""),""),""),"")</f>
        <v/>
      </c>
      <c r="BC435" s="811" cm="1">
        <f t="array" ref="BC435">IF(NOT(AQ435),0,IF(OR(BA435="",N(BA435)&lt;=0.000000001),"",IF(OR(AU435="",N(AU435)&lt;=0.000000001),0,IF(ISNUMBER(BA435),IFERROR(_xlfn.LET(_xlpm.ai_test,TRIM(AP435),_xlpm.r,IFERROR(_xlfn.XLOOKUP(_xlpm.ai_test,BP16:BP63,ROW(BP16:BP63),0,1),IFERROR(_xlfn.XLOOKUP(_xlpm.ai_test,BQ16:BQ63,ROW(BQ16:BQ63),0,1),_xlfn.XLOOKUP(_xlpm.ai_test,BR16:BR63,ROW(BR16:BR63),0,1))),_xlpm.p,_xlpm.r-MIN(ROW(BP16:BP63))+1,_xlpm.f,INDEX(BS16:BS63,_xlpm.p),_xlpm.u,INDEX(BT16:BT63,_xlpm.p),_xlpm.s,INDEX(BV16:BV63,_xlpm.p),_xlpm.q,N(BA435)/_xlpm.f,IF(_xlpm.q&gt;=_xlpm.s,ROUND(_xlpm.q,1)&amp;" "&amp;_xlpm.ai_test&amp;" = "&amp;ROUND(_xlpm.q*_xlpm.f,1)&amp;" "&amp;_xlpm.u,ROUND(_xlpm.q,1)&amp;" "&amp;_xlpm.ai_test)),""),""))))</f>
        <v>0</v>
      </c>
      <c r="BD435" s="801"/>
      <c r="BE435" s="788" t="str">
        <f t="shared" si="171"/>
        <v/>
      </c>
      <c r="BF435" s="789" t="str">
        <f t="shared" si="172"/>
        <v/>
      </c>
      <c r="BG435" s="790">
        <f t="shared" si="175"/>
        <v>0</v>
      </c>
      <c r="BH435" s="791" t="str">
        <f t="shared" si="176"/>
        <v/>
      </c>
      <c r="BI435" s="792"/>
      <c r="BJ435" s="793">
        <f t="shared" si="174"/>
        <v>0</v>
      </c>
      <c r="BK435" s="794" t="str">
        <f t="shared" si="173"/>
        <v/>
      </c>
      <c r="BL435" s="227" t="s">
        <v>21</v>
      </c>
      <c r="BM435" s="773">
        <f t="shared" si="162"/>
        <v>0</v>
      </c>
      <c r="BN435" s="774">
        <f t="shared" si="163"/>
        <v>0</v>
      </c>
      <c r="BO435"/>
      <c r="BX435"/>
      <c r="BY435"/>
      <c r="BZ435"/>
      <c r="CA435"/>
      <c r="CB435"/>
      <c r="CC435"/>
      <c r="CD435" s="781" t="str">
        <f t="shared" si="156"/>
        <v>►</v>
      </c>
      <c r="CE435" s="633"/>
      <c r="CF435" s="633"/>
      <c r="CG435" s="633"/>
      <c r="CH435" s="633"/>
      <c r="CI435" s="633"/>
      <c r="CJ435" s="227"/>
      <c r="CK435"/>
      <c r="CL435"/>
      <c r="CM435"/>
      <c r="CN435"/>
      <c r="CO435"/>
      <c r="CP435"/>
      <c r="CQ435"/>
      <c r="CR435" s="227"/>
      <c r="CS435"/>
      <c r="CT435"/>
      <c r="CU435"/>
      <c r="CV435"/>
      <c r="CW435"/>
      <c r="CX435"/>
      <c r="CY435"/>
      <c r="CZ435" s="227"/>
      <c r="DA435"/>
      <c r="DB435"/>
      <c r="DC435"/>
      <c r="DD435"/>
      <c r="DE435"/>
      <c r="DF435"/>
      <c r="DG435"/>
      <c r="DH435" s="227"/>
      <c r="DI435" s="3">
        <v>1</v>
      </c>
    </row>
    <row r="436" spans="2:113" s="627" customFormat="1" ht="21" customHeight="1">
      <c r="B436" s="2265" t="str" cm="1">
        <f t="array" ref="B436">SUMPRODUCT(--(D436:J436&lt;&gt;""), LEN(TRIM(SUBSTITUTE(D436:J436, CHAR(160), "")))) &amp; " Car."</f>
        <v>0 Car.</v>
      </c>
      <c r="C436" s="1376" t="str">
        <f>IF(ISBLANK(D436),"",LARGE(C13:C435,1)+1)</f>
        <v/>
      </c>
      <c r="D436" s="1833"/>
      <c r="E436" s="1810"/>
      <c r="F436" s="1810"/>
      <c r="G436" s="1810"/>
      <c r="H436" s="1810"/>
      <c r="I436" s="1810"/>
      <c r="J436" s="1810"/>
      <c r="K436" s="1810"/>
      <c r="L436" s="1811"/>
      <c r="M436"/>
      <c r="N436" s="103" t="str">
        <f t="shared" si="158"/>
        <v>►</v>
      </c>
      <c r="O436" s="1616"/>
      <c r="P436"/>
      <c r="Q436" s="25" t="s">
        <v>15</v>
      </c>
      <c r="R436" s="31"/>
      <c r="S436" s="32"/>
      <c r="T436" s="31"/>
      <c r="U436" s="33"/>
      <c r="V436" s="1967"/>
      <c r="W436" s="1805"/>
      <c r="X436" s="91"/>
      <c r="Y436" s="1806"/>
      <c r="Z436" s="1968"/>
      <c r="AA436" s="2244"/>
      <c r="AB436" s="1969"/>
      <c r="AC436" s="1365"/>
      <c r="AD436" s="95"/>
      <c r="AE436" s="1326"/>
      <c r="AF436" s="97"/>
      <c r="AG436" s="1737"/>
      <c r="AH436" s="1970"/>
      <c r="AI436" s="99"/>
      <c r="AJ436" s="1809"/>
      <c r="AK436" s="6120" t="str">
        <f t="shared" si="159"/>
        <v>►</v>
      </c>
      <c r="AL436" s="781" t="str">
        <f t="shared" si="161"/>
        <v>►</v>
      </c>
      <c r="AM436" s="5498" t="str">
        <f t="shared" si="164"/>
        <v/>
      </c>
      <c r="AN436" s="783" t="str">
        <f t="shared" si="165"/>
        <v/>
      </c>
      <c r="AO436" s="782" t="str">
        <f t="shared" si="166"/>
        <v/>
      </c>
      <c r="AP436" s="783" t="str">
        <f t="shared" si="167"/>
        <v/>
      </c>
      <c r="AQ436" s="2083" t="b">
        <f>AND(Q436="A",COUNTIF(BP16:BR63,TRIM(Z436))&gt;0)</f>
        <v>0</v>
      </c>
      <c r="AR436" s="797" t="str">
        <f>IF(AL436&lt;&gt;"A","",IFERROR(IFERROR(_xlfn.XLOOKUP(TRIM(SUBSTITUTE(Z436,CHAR(160)," ")),BP16:BP63,BS16:BS63),IFERROR(_xlfn.XLOOKUP(TRIM(SUBSTITUTE(Z436,CHAR(160)," ")),BQ16:BQ63,BS16:BS63),_xlfn.XLOOKUP(TRIM(SUBSTITUTE(Z436,CHAR(160)," ")),BR16:BR63,BS16:BS63)))*Y436*IF(ISBLANK(V436),1,V436),0))</f>
        <v/>
      </c>
      <c r="AS436" s="784" t="str">
        <f t="shared" si="157"/>
        <v/>
      </c>
      <c r="AT436" s="1315" t="str">
        <f t="shared" si="168"/>
        <v/>
      </c>
      <c r="AU436" s="785">
        <f t="shared" si="169"/>
        <v>0</v>
      </c>
      <c r="AV436" s="785">
        <f t="shared" si="170"/>
        <v>0</v>
      </c>
      <c r="AW436" s="798">
        <f>IF(AK436="A",AY10,0)</f>
        <v>0</v>
      </c>
      <c r="AX436" s="5496" t="str">
        <f>IF(IFERROR(SEARCH("Adresse PC",TRIM(W436)),0)&gt;0,"▼ receta siguiente",IF(AK436="A",IF(AZ10&lt;&gt;"",AZ10&amp;" - ou.or.o ❾ + or - &gt;",""),""))</f>
        <v/>
      </c>
      <c r="AY436" s="810"/>
      <c r="AZ436" s="810"/>
      <c r="BA436" s="799" t="str">
        <f t="shared" si="160"/>
        <v/>
      </c>
      <c r="BB436" s="800" t="str">
        <f>IF(AK436="A",IF(AQ436,IF(AND(AW436&lt;&gt;"",N(AW436)&gt;0),IFERROR(IFERROR(_xlfn.XLOOKUP(AP436,BP10:BP57,BT10:BT57),IFERROR(_xlfn.XLOOKUP(AP436,BQ10:BQ57,BT10:BT57),_xlfn.XLOOKUP(AP436,BR10:BR57,BT10:BT57,""))),""),""),""),"")</f>
        <v/>
      </c>
      <c r="BC436" s="813" cm="1">
        <f t="array" ref="BC436">IF(NOT(AQ436),0,IF(OR(BA436="",N(BA436)&lt;=0.000000001),"",IF(OR(AU436="",N(AU436)&lt;=0.000000001),0,IF(ISNUMBER(BA436),IFERROR(_xlfn.LET(_xlpm.ai_test,TRIM(AP436),_xlpm.r,IFERROR(_xlfn.XLOOKUP(_xlpm.ai_test,BP16:BP63,ROW(BP16:BP63),0,1),IFERROR(_xlfn.XLOOKUP(_xlpm.ai_test,BQ16:BQ63,ROW(BQ16:BQ63),0,1),_xlfn.XLOOKUP(_xlpm.ai_test,BR16:BR63,ROW(BR16:BR63),0,1))),_xlpm.p,_xlpm.r-MIN(ROW(BP16:BP63))+1,_xlpm.f,INDEX(BS16:BS63,_xlpm.p),_xlpm.u,INDEX(BT16:BT63,_xlpm.p),_xlpm.s,INDEX(BV16:BV63,_xlpm.p),_xlpm.q,N(BA436)/_xlpm.f,IF(_xlpm.q&gt;=_xlpm.s,ROUND(_xlpm.q,1)&amp;" "&amp;_xlpm.ai_test&amp;" = "&amp;ROUND(_xlpm.q*_xlpm.f,1)&amp;" "&amp;_xlpm.u,ROUND(_xlpm.q,1)&amp;" "&amp;_xlpm.ai_test)),""),""))))</f>
        <v>0</v>
      </c>
      <c r="BD436" s="801"/>
      <c r="BE436" s="799" t="str">
        <f t="shared" si="171"/>
        <v/>
      </c>
      <c r="BF436" s="800" t="str">
        <f t="shared" si="172"/>
        <v/>
      </c>
      <c r="BG436" s="802">
        <f t="shared" si="175"/>
        <v>0</v>
      </c>
      <c r="BH436" s="803" t="str">
        <f t="shared" si="176"/>
        <v/>
      </c>
      <c r="BI436" s="792"/>
      <c r="BJ436" s="804">
        <f t="shared" si="174"/>
        <v>0</v>
      </c>
      <c r="BK436" s="794" t="str">
        <f t="shared" si="173"/>
        <v/>
      </c>
      <c r="BL436" s="227" t="s">
        <v>21</v>
      </c>
      <c r="BM436" s="773">
        <f t="shared" si="162"/>
        <v>0</v>
      </c>
      <c r="BN436" s="774">
        <f t="shared" si="163"/>
        <v>0</v>
      </c>
      <c r="BO436"/>
      <c r="BX436"/>
      <c r="BY436"/>
      <c r="BZ436"/>
      <c r="CA436"/>
      <c r="CB436"/>
      <c r="CC436"/>
      <c r="CD436" s="781" t="str">
        <f t="shared" si="156"/>
        <v>►</v>
      </c>
      <c r="CE436" s="633"/>
      <c r="CF436" s="633"/>
      <c r="CG436" s="633"/>
      <c r="CH436" s="633"/>
      <c r="CI436" s="633"/>
      <c r="CJ436" s="227"/>
      <c r="CK436"/>
      <c r="CL436"/>
      <c r="CM436"/>
      <c r="CN436"/>
      <c r="CO436"/>
      <c r="CP436"/>
      <c r="CQ436"/>
      <c r="CR436"/>
      <c r="CS436"/>
      <c r="CT436"/>
      <c r="CU436"/>
      <c r="CV436"/>
      <c r="CW436"/>
      <c r="CX436"/>
      <c r="CY436"/>
      <c r="CZ436"/>
      <c r="DA436"/>
      <c r="DB436"/>
      <c r="DC436"/>
      <c r="DD436"/>
      <c r="DE436"/>
      <c r="DF436"/>
      <c r="DG436"/>
      <c r="DH436"/>
      <c r="DI436" s="3">
        <v>1</v>
      </c>
    </row>
    <row r="437" spans="2:113" s="627" customFormat="1" ht="21" customHeight="1">
      <c r="B437" s="2265" t="str" cm="1">
        <f t="array" ref="B437">SUMPRODUCT(--(D437:J437&lt;&gt;""), LEN(TRIM(SUBSTITUTE(D437:J437, CHAR(160), "")))) &amp; " Car."</f>
        <v>0 Car.</v>
      </c>
      <c r="C437" s="1376" t="str">
        <f>IF(ISBLANK(D437),"",LARGE(C13:C436,1)+1)</f>
        <v/>
      </c>
      <c r="D437" s="1833"/>
      <c r="E437" s="1810"/>
      <c r="F437" s="1810"/>
      <c r="G437" s="1810"/>
      <c r="H437" s="1810"/>
      <c r="I437" s="1810"/>
      <c r="J437" s="1810"/>
      <c r="K437" s="1810"/>
      <c r="L437" s="1811"/>
      <c r="M437"/>
      <c r="N437" s="103" t="str">
        <f t="shared" si="158"/>
        <v>►</v>
      </c>
      <c r="O437" s="1616"/>
      <c r="P437"/>
      <c r="Q437" s="25" t="s">
        <v>15</v>
      </c>
      <c r="R437" s="31"/>
      <c r="S437" s="32"/>
      <c r="T437" s="31"/>
      <c r="U437" s="33"/>
      <c r="V437" s="1967"/>
      <c r="W437" s="1805"/>
      <c r="X437" s="91"/>
      <c r="Y437" s="1806"/>
      <c r="Z437" s="1968"/>
      <c r="AA437" s="2244"/>
      <c r="AB437" s="1969"/>
      <c r="AC437" s="1365"/>
      <c r="AD437" s="95"/>
      <c r="AE437" s="1326"/>
      <c r="AF437" s="97"/>
      <c r="AG437" s="1737"/>
      <c r="AH437" s="1970"/>
      <c r="AI437" s="99"/>
      <c r="AJ437" s="1809"/>
      <c r="AK437" s="6120" t="str">
        <f t="shared" si="159"/>
        <v>►</v>
      </c>
      <c r="AL437" s="781" t="str">
        <f t="shared" si="161"/>
        <v>►</v>
      </c>
      <c r="AM437" s="5499" t="str">
        <f t="shared" si="164"/>
        <v/>
      </c>
      <c r="AN437" s="783" t="str">
        <f t="shared" si="165"/>
        <v/>
      </c>
      <c r="AO437" s="782" t="str">
        <f t="shared" si="166"/>
        <v/>
      </c>
      <c r="AP437" s="783" t="str">
        <f t="shared" si="167"/>
        <v/>
      </c>
      <c r="AQ437" s="2083" t="b">
        <f>AND(Q437="A",COUNTIF(BP16:BR63,TRIM(Z437))&gt;0)</f>
        <v>0</v>
      </c>
      <c r="AR437" s="797" t="str">
        <f>IF(AL437&lt;&gt;"A","",IFERROR(IFERROR(_xlfn.XLOOKUP(TRIM(SUBSTITUTE(Z437,CHAR(160)," ")),BP16:BP63,BS16:BS63),IFERROR(_xlfn.XLOOKUP(TRIM(SUBSTITUTE(Z437,CHAR(160)," ")),BQ16:BQ63,BS16:BS63),_xlfn.XLOOKUP(TRIM(SUBSTITUTE(Z437,CHAR(160)," ")),BR16:BR63,BS16:BS63)))*Y437*IF(ISBLANK(V437),1,V437),0))</f>
        <v/>
      </c>
      <c r="AS437" s="784" t="str">
        <f t="shared" si="157"/>
        <v/>
      </c>
      <c r="AT437" s="1315" t="str">
        <f t="shared" si="168"/>
        <v/>
      </c>
      <c r="AU437" s="785">
        <f t="shared" si="169"/>
        <v>0</v>
      </c>
      <c r="AV437" s="785">
        <f t="shared" si="170"/>
        <v>0</v>
      </c>
      <c r="AW437" s="786">
        <f>IF(AK437="A",AY10,0)</f>
        <v>0</v>
      </c>
      <c r="AX437" s="5495" t="str">
        <f>IF(IFERROR(SEARCH("Adresse PC",TRIM(W437)),0)&gt;0,"▼ receta siguiente",IF(AK437="A",IF(AZ10&lt;&gt;"",AZ10&amp;" - ou.or.o ❾ + or - &gt;",""),""))</f>
        <v/>
      </c>
      <c r="AY437" s="810"/>
      <c r="AZ437" s="810"/>
      <c r="BA437" s="788" t="str">
        <f t="shared" si="160"/>
        <v/>
      </c>
      <c r="BB437" s="789" t="str">
        <f>IF(AK437="A",IF(AQ437,IF(AND(AW437&lt;&gt;"",N(AW437)&gt;0),IFERROR(IFERROR(_xlfn.XLOOKUP(AP437,BP10:BP57,BT10:BT57),IFERROR(_xlfn.XLOOKUP(AP437,BQ10:BQ57,BT10:BT57),_xlfn.XLOOKUP(AP437,BR10:BR57,BT10:BT57,""))),""),""),""),"")</f>
        <v/>
      </c>
      <c r="BC437" s="811" cm="1">
        <f t="array" ref="BC437">IF(NOT(AQ437),0,IF(OR(BA437="",N(BA437)&lt;=0.000000001),"",IF(OR(AU437="",N(AU437)&lt;=0.000000001),0,IF(ISNUMBER(BA437),IFERROR(_xlfn.LET(_xlpm.ai_test,TRIM(AP437),_xlpm.r,IFERROR(_xlfn.XLOOKUP(_xlpm.ai_test,BP16:BP63,ROW(BP16:BP63),0,1),IFERROR(_xlfn.XLOOKUP(_xlpm.ai_test,BQ16:BQ63,ROW(BQ16:BQ63),0,1),_xlfn.XLOOKUP(_xlpm.ai_test,BR16:BR63,ROW(BR16:BR63),0,1))),_xlpm.p,_xlpm.r-MIN(ROW(BP16:BP63))+1,_xlpm.f,INDEX(BS16:BS63,_xlpm.p),_xlpm.u,INDEX(BT16:BT63,_xlpm.p),_xlpm.s,INDEX(BV16:BV63,_xlpm.p),_xlpm.q,N(BA437)/_xlpm.f,IF(_xlpm.q&gt;=_xlpm.s,ROUND(_xlpm.q,1)&amp;" "&amp;_xlpm.ai_test&amp;" = "&amp;ROUND(_xlpm.q*_xlpm.f,1)&amp;" "&amp;_xlpm.u,ROUND(_xlpm.q,1)&amp;" "&amp;_xlpm.ai_test)),""),""))))</f>
        <v>0</v>
      </c>
      <c r="BD437" s="801"/>
      <c r="BE437" s="788" t="str">
        <f t="shared" si="171"/>
        <v/>
      </c>
      <c r="BF437" s="789" t="str">
        <f t="shared" si="172"/>
        <v/>
      </c>
      <c r="BG437" s="790">
        <f t="shared" si="175"/>
        <v>0</v>
      </c>
      <c r="BH437" s="791" t="str">
        <f t="shared" si="176"/>
        <v/>
      </c>
      <c r="BI437" s="792"/>
      <c r="BJ437" s="793">
        <f t="shared" si="174"/>
        <v>0</v>
      </c>
      <c r="BK437" s="794" t="str">
        <f t="shared" si="173"/>
        <v/>
      </c>
      <c r="BL437" s="227" t="s">
        <v>21</v>
      </c>
      <c r="BM437" s="773">
        <f t="shared" si="162"/>
        <v>0</v>
      </c>
      <c r="BN437" s="774">
        <f t="shared" si="163"/>
        <v>0</v>
      </c>
      <c r="BO437"/>
      <c r="BX437"/>
      <c r="BY437"/>
      <c r="BZ437"/>
      <c r="CA437"/>
      <c r="CB437"/>
      <c r="CC437"/>
      <c r="CD437" s="781" t="str">
        <f t="shared" si="156"/>
        <v>►</v>
      </c>
      <c r="CE437" s="633"/>
      <c r="CF437" s="633"/>
      <c r="CG437" s="633"/>
      <c r="CH437" s="633"/>
      <c r="CI437" s="633"/>
      <c r="CJ437" s="227"/>
      <c r="CK437"/>
      <c r="CL437"/>
      <c r="CM437"/>
      <c r="CN437"/>
      <c r="CO437"/>
      <c r="CP437"/>
      <c r="CQ437"/>
      <c r="CR437" s="227"/>
      <c r="CS437"/>
      <c r="CT437"/>
      <c r="CU437"/>
      <c r="CV437"/>
      <c r="CW437"/>
      <c r="CX437"/>
      <c r="CY437"/>
      <c r="CZ437" s="227"/>
      <c r="DA437"/>
      <c r="DB437"/>
      <c r="DC437"/>
      <c r="DD437"/>
      <c r="DE437"/>
      <c r="DF437"/>
      <c r="DG437"/>
      <c r="DH437" s="227"/>
      <c r="DI437" s="3">
        <v>1</v>
      </c>
    </row>
    <row r="438" spans="2:113" s="627" customFormat="1" ht="21" customHeight="1">
      <c r="B438" s="2265" t="str" cm="1">
        <f t="array" ref="B438">SUMPRODUCT(--(D438:J438&lt;&gt;""), LEN(TRIM(SUBSTITUTE(D438:J438, CHAR(160), "")))) &amp; " Car."</f>
        <v>0 Car.</v>
      </c>
      <c r="C438" s="1376" t="str">
        <f>IF(ISBLANK(D438),"",LARGE(C13:C437,1)+1)</f>
        <v/>
      </c>
      <c r="D438" s="1833"/>
      <c r="E438" s="1810"/>
      <c r="F438" s="1810"/>
      <c r="G438" s="1810"/>
      <c r="H438" s="1810"/>
      <c r="I438" s="1810"/>
      <c r="J438" s="1810"/>
      <c r="K438" s="1810"/>
      <c r="L438" s="1811"/>
      <c r="M438"/>
      <c r="N438" s="103" t="str">
        <f t="shared" si="158"/>
        <v>►</v>
      </c>
      <c r="O438" s="1616"/>
      <c r="P438"/>
      <c r="Q438" s="25" t="s">
        <v>15</v>
      </c>
      <c r="R438" s="31"/>
      <c r="S438" s="32"/>
      <c r="T438" s="31"/>
      <c r="U438" s="33"/>
      <c r="V438" s="1967"/>
      <c r="W438" s="1805"/>
      <c r="X438" s="91"/>
      <c r="Y438" s="1806"/>
      <c r="Z438" s="1968"/>
      <c r="AA438" s="2244"/>
      <c r="AB438" s="1969"/>
      <c r="AC438" s="1365"/>
      <c r="AD438" s="95"/>
      <c r="AE438" s="1326"/>
      <c r="AF438" s="97"/>
      <c r="AG438" s="1737"/>
      <c r="AH438" s="1970"/>
      <c r="AI438" s="99"/>
      <c r="AJ438" s="1809"/>
      <c r="AK438" s="6120" t="str">
        <f t="shared" si="159"/>
        <v>►</v>
      </c>
      <c r="AL438" s="781" t="str">
        <f t="shared" si="161"/>
        <v>►</v>
      </c>
      <c r="AM438" s="5498" t="str">
        <f t="shared" si="164"/>
        <v/>
      </c>
      <c r="AN438" s="783" t="str">
        <f t="shared" si="165"/>
        <v/>
      </c>
      <c r="AO438" s="782" t="str">
        <f t="shared" si="166"/>
        <v/>
      </c>
      <c r="AP438" s="783" t="str">
        <f t="shared" si="167"/>
        <v/>
      </c>
      <c r="AQ438" s="2083" t="b">
        <f>AND(Q438="A",COUNTIF(BP16:BR63,TRIM(Z438))&gt;0)</f>
        <v>0</v>
      </c>
      <c r="AR438" s="797" t="str">
        <f>IF(AL438&lt;&gt;"A","",IFERROR(IFERROR(_xlfn.XLOOKUP(TRIM(SUBSTITUTE(Z438,CHAR(160)," ")),BP16:BP63,BS16:BS63),IFERROR(_xlfn.XLOOKUP(TRIM(SUBSTITUTE(Z438,CHAR(160)," ")),BQ16:BQ63,BS16:BS63),_xlfn.XLOOKUP(TRIM(SUBSTITUTE(Z438,CHAR(160)," ")),BR16:BR63,BS16:BS63)))*Y438*IF(ISBLANK(V438),1,V438),0))</f>
        <v/>
      </c>
      <c r="AS438" s="784" t="str">
        <f t="shared" si="157"/>
        <v/>
      </c>
      <c r="AT438" s="1315" t="str">
        <f t="shared" si="168"/>
        <v/>
      </c>
      <c r="AU438" s="785">
        <f t="shared" si="169"/>
        <v>0</v>
      </c>
      <c r="AV438" s="785">
        <f t="shared" si="170"/>
        <v>0</v>
      </c>
      <c r="AW438" s="798">
        <f>IF(AK438="A",AY10,0)</f>
        <v>0</v>
      </c>
      <c r="AX438" s="5496" t="str">
        <f>IF(IFERROR(SEARCH("Adresse PC",TRIM(W438)),0)&gt;0,"▼ receta siguiente",IF(AK438="A",IF(AZ10&lt;&gt;"",AZ10&amp;" - ou.or.o ❾ + or - &gt;",""),""))</f>
        <v/>
      </c>
      <c r="AY438" s="810"/>
      <c r="AZ438" s="810"/>
      <c r="BA438" s="799" t="str">
        <f t="shared" si="160"/>
        <v/>
      </c>
      <c r="BB438" s="800" t="str">
        <f>IF(AK438="A",IF(AQ438,IF(AND(AW438&lt;&gt;"",N(AW438)&gt;0),IFERROR(IFERROR(_xlfn.XLOOKUP(AP438,BP10:BP57,BT10:BT57),IFERROR(_xlfn.XLOOKUP(AP438,BQ10:BQ57,BT10:BT57),_xlfn.XLOOKUP(AP438,BR10:BR57,BT10:BT57,""))),""),""),""),"")</f>
        <v/>
      </c>
      <c r="BC438" s="813" cm="1">
        <f t="array" ref="BC438">IF(NOT(AQ438),0,IF(OR(BA438="",N(BA438)&lt;=0.000000001),"",IF(OR(AU438="",N(AU438)&lt;=0.000000001),0,IF(ISNUMBER(BA438),IFERROR(_xlfn.LET(_xlpm.ai_test,TRIM(AP438),_xlpm.r,IFERROR(_xlfn.XLOOKUP(_xlpm.ai_test,BP16:BP63,ROW(BP16:BP63),0,1),IFERROR(_xlfn.XLOOKUP(_xlpm.ai_test,BQ16:BQ63,ROW(BQ16:BQ63),0,1),_xlfn.XLOOKUP(_xlpm.ai_test,BR16:BR63,ROW(BR16:BR63),0,1))),_xlpm.p,_xlpm.r-MIN(ROW(BP16:BP63))+1,_xlpm.f,INDEX(BS16:BS63,_xlpm.p),_xlpm.u,INDEX(BT16:BT63,_xlpm.p),_xlpm.s,INDEX(BV16:BV63,_xlpm.p),_xlpm.q,N(BA438)/_xlpm.f,IF(_xlpm.q&gt;=_xlpm.s,ROUND(_xlpm.q,1)&amp;" "&amp;_xlpm.ai_test&amp;" = "&amp;ROUND(_xlpm.q*_xlpm.f,1)&amp;" "&amp;_xlpm.u,ROUND(_xlpm.q,1)&amp;" "&amp;_xlpm.ai_test)),""),""))))</f>
        <v>0</v>
      </c>
      <c r="BD438" s="801"/>
      <c r="BE438" s="799" t="str">
        <f t="shared" si="171"/>
        <v/>
      </c>
      <c r="BF438" s="800" t="str">
        <f t="shared" si="172"/>
        <v/>
      </c>
      <c r="BG438" s="802">
        <f t="shared" si="175"/>
        <v>0</v>
      </c>
      <c r="BH438" s="803" t="str">
        <f t="shared" si="176"/>
        <v/>
      </c>
      <c r="BI438" s="792"/>
      <c r="BJ438" s="804">
        <f t="shared" si="174"/>
        <v>0</v>
      </c>
      <c r="BK438" s="794" t="str">
        <f t="shared" si="173"/>
        <v/>
      </c>
      <c r="BL438" s="227" t="s">
        <v>21</v>
      </c>
      <c r="BM438" s="773">
        <f t="shared" si="162"/>
        <v>0</v>
      </c>
      <c r="BN438" s="774">
        <f t="shared" si="163"/>
        <v>0</v>
      </c>
      <c r="BO438"/>
      <c r="BX438"/>
      <c r="BY438"/>
      <c r="BZ438"/>
      <c r="CA438"/>
      <c r="CB438"/>
      <c r="CC438"/>
      <c r="CD438" s="781" t="str">
        <f t="shared" si="156"/>
        <v>►</v>
      </c>
      <c r="CE438" s="633"/>
      <c r="CF438" s="633"/>
      <c r="CG438" s="633"/>
      <c r="CH438" s="633"/>
      <c r="CI438" s="633"/>
      <c r="CJ438" s="227"/>
      <c r="CK438"/>
      <c r="CL438"/>
      <c r="CM438"/>
      <c r="CN438"/>
      <c r="CO438"/>
      <c r="CP438"/>
      <c r="CQ438"/>
      <c r="CR438" s="227"/>
      <c r="CS438"/>
      <c r="CT438"/>
      <c r="CU438"/>
      <c r="CV438"/>
      <c r="CW438"/>
      <c r="CX438"/>
      <c r="CY438"/>
      <c r="CZ438" s="227"/>
      <c r="DA438"/>
      <c r="DB438"/>
      <c r="DC438"/>
      <c r="DD438"/>
      <c r="DE438"/>
      <c r="DF438"/>
      <c r="DG438"/>
      <c r="DH438" s="227"/>
      <c r="DI438" s="3">
        <v>1</v>
      </c>
    </row>
    <row r="439" spans="2:113" s="627" customFormat="1" ht="21" customHeight="1">
      <c r="B439" s="2265" t="str" cm="1">
        <f t="array" ref="B439">SUMPRODUCT(--(D439:J439&lt;&gt;""), LEN(TRIM(SUBSTITUTE(D439:J439, CHAR(160), "")))) &amp; " Car."</f>
        <v>0 Car.</v>
      </c>
      <c r="C439" s="1376" t="str">
        <f>IF(ISBLANK(D439),"",LARGE(C13:C438,1)+1)</f>
        <v/>
      </c>
      <c r="D439" s="1833"/>
      <c r="E439" s="1810"/>
      <c r="F439" s="1810"/>
      <c r="G439" s="1810"/>
      <c r="H439" s="1810"/>
      <c r="I439" s="1810"/>
      <c r="J439" s="1810"/>
      <c r="K439" s="1810"/>
      <c r="L439" s="1811"/>
      <c r="M439"/>
      <c r="N439" s="103" t="str">
        <f t="shared" si="158"/>
        <v>►</v>
      </c>
      <c r="O439" s="1616"/>
      <c r="P439"/>
      <c r="Q439" s="25" t="s">
        <v>15</v>
      </c>
      <c r="R439" s="31"/>
      <c r="S439" s="32"/>
      <c r="T439" s="31"/>
      <c r="U439" s="33"/>
      <c r="V439" s="1967"/>
      <c r="W439" s="1805"/>
      <c r="X439" s="91"/>
      <c r="Y439" s="1806"/>
      <c r="Z439" s="1968"/>
      <c r="AA439" s="2244"/>
      <c r="AB439" s="1969"/>
      <c r="AC439" s="1365"/>
      <c r="AD439" s="95"/>
      <c r="AE439" s="1326"/>
      <c r="AF439" s="97"/>
      <c r="AG439" s="1737"/>
      <c r="AH439" s="1970"/>
      <c r="AI439" s="99"/>
      <c r="AJ439" s="1809"/>
      <c r="AK439" s="6120" t="str">
        <f t="shared" si="159"/>
        <v>►</v>
      </c>
      <c r="AL439" s="781" t="str">
        <f t="shared" si="161"/>
        <v>►</v>
      </c>
      <c r="AM439" s="5499" t="str">
        <f t="shared" si="164"/>
        <v/>
      </c>
      <c r="AN439" s="783" t="str">
        <f t="shared" si="165"/>
        <v/>
      </c>
      <c r="AO439" s="782" t="str">
        <f t="shared" si="166"/>
        <v/>
      </c>
      <c r="AP439" s="783" t="str">
        <f t="shared" si="167"/>
        <v/>
      </c>
      <c r="AQ439" s="2083" t="b">
        <f>AND(Q439="A",COUNTIF(BP16:BR63,TRIM(Z439))&gt;0)</f>
        <v>0</v>
      </c>
      <c r="AR439" s="797" t="str">
        <f>IF(AL439&lt;&gt;"A","",IFERROR(IFERROR(_xlfn.XLOOKUP(TRIM(SUBSTITUTE(Z439,CHAR(160)," ")),BP16:BP63,BS16:BS63),IFERROR(_xlfn.XLOOKUP(TRIM(SUBSTITUTE(Z439,CHAR(160)," ")),BQ16:BQ63,BS16:BS63),_xlfn.XLOOKUP(TRIM(SUBSTITUTE(Z439,CHAR(160)," ")),BR16:BR63,BS16:BS63)))*Y439*IF(ISBLANK(V439),1,V439),0))</f>
        <v/>
      </c>
      <c r="AS439" s="784" t="str">
        <f t="shared" si="157"/>
        <v/>
      </c>
      <c r="AT439" s="1315" t="str">
        <f t="shared" si="168"/>
        <v/>
      </c>
      <c r="AU439" s="785">
        <f t="shared" si="169"/>
        <v>0</v>
      </c>
      <c r="AV439" s="785">
        <f t="shared" si="170"/>
        <v>0</v>
      </c>
      <c r="AW439" s="786">
        <f>IF(AK439="A",AY10,0)</f>
        <v>0</v>
      </c>
      <c r="AX439" s="5495" t="str">
        <f>IF(IFERROR(SEARCH("Adresse PC",TRIM(W439)),0)&gt;0,"▼ receta siguiente",IF(AK439="A",IF(AZ10&lt;&gt;"",AZ10&amp;" - ou.or.o ❾ + or - &gt;",""),""))</f>
        <v/>
      </c>
      <c r="AY439" s="810"/>
      <c r="AZ439" s="810"/>
      <c r="BA439" s="788" t="str">
        <f t="shared" si="160"/>
        <v/>
      </c>
      <c r="BB439" s="789" t="str">
        <f>IF(AK439="A",IF(AQ439,IF(AND(AW439&lt;&gt;"",N(AW439)&gt;0),IFERROR(IFERROR(_xlfn.XLOOKUP(AP439,BP10:BP57,BT10:BT57),IFERROR(_xlfn.XLOOKUP(AP439,BQ10:BQ57,BT10:BT57),_xlfn.XLOOKUP(AP439,BR10:BR57,BT10:BT57,""))),""),""),""),"")</f>
        <v/>
      </c>
      <c r="BC439" s="811" cm="1">
        <f t="array" ref="BC439">IF(NOT(AQ439),0,IF(OR(BA439="",N(BA439)&lt;=0.000000001),"",IF(OR(AU439="",N(AU439)&lt;=0.000000001),0,IF(ISNUMBER(BA439),IFERROR(_xlfn.LET(_xlpm.ai_test,TRIM(AP439),_xlpm.r,IFERROR(_xlfn.XLOOKUP(_xlpm.ai_test,BP16:BP63,ROW(BP16:BP63),0,1),IFERROR(_xlfn.XLOOKUP(_xlpm.ai_test,BQ16:BQ63,ROW(BQ16:BQ63),0,1),_xlfn.XLOOKUP(_xlpm.ai_test,BR16:BR63,ROW(BR16:BR63),0,1))),_xlpm.p,_xlpm.r-MIN(ROW(BP16:BP63))+1,_xlpm.f,INDEX(BS16:BS63,_xlpm.p),_xlpm.u,INDEX(BT16:BT63,_xlpm.p),_xlpm.s,INDEX(BV16:BV63,_xlpm.p),_xlpm.q,N(BA439)/_xlpm.f,IF(_xlpm.q&gt;=_xlpm.s,ROUND(_xlpm.q,1)&amp;" "&amp;_xlpm.ai_test&amp;" = "&amp;ROUND(_xlpm.q*_xlpm.f,1)&amp;" "&amp;_xlpm.u,ROUND(_xlpm.q,1)&amp;" "&amp;_xlpm.ai_test)),""),""))))</f>
        <v>0</v>
      </c>
      <c r="BD439" s="801"/>
      <c r="BE439" s="788" t="str">
        <f t="shared" si="171"/>
        <v/>
      </c>
      <c r="BF439" s="789" t="str">
        <f t="shared" si="172"/>
        <v/>
      </c>
      <c r="BG439" s="790">
        <f t="shared" si="175"/>
        <v>0</v>
      </c>
      <c r="BH439" s="791" t="str">
        <f t="shared" si="176"/>
        <v/>
      </c>
      <c r="BI439" s="792"/>
      <c r="BJ439" s="793">
        <f t="shared" si="174"/>
        <v>0</v>
      </c>
      <c r="BK439" s="794" t="str">
        <f t="shared" si="173"/>
        <v/>
      </c>
      <c r="BL439" s="227" t="s">
        <v>21</v>
      </c>
      <c r="BM439" s="773">
        <f t="shared" si="162"/>
        <v>0</v>
      </c>
      <c r="BN439" s="774">
        <f t="shared" si="163"/>
        <v>0</v>
      </c>
      <c r="BO439"/>
      <c r="BX439"/>
      <c r="BY439"/>
      <c r="BZ439"/>
      <c r="CA439"/>
      <c r="CB439"/>
      <c r="CC439"/>
      <c r="CD439" s="781" t="str">
        <f t="shared" si="156"/>
        <v>►</v>
      </c>
      <c r="CE439" s="633"/>
      <c r="CF439" s="633"/>
      <c r="CG439" s="633"/>
      <c r="CH439" s="633"/>
      <c r="CI439" s="633"/>
      <c r="CJ439" s="227"/>
      <c r="CK439"/>
      <c r="CL439"/>
      <c r="CM439"/>
      <c r="CN439"/>
      <c r="CO439"/>
      <c r="CP439"/>
      <c r="CQ439"/>
      <c r="CR439" s="227"/>
      <c r="CS439"/>
      <c r="CT439"/>
      <c r="CU439"/>
      <c r="CV439"/>
      <c r="CW439"/>
      <c r="CX439"/>
      <c r="CY439"/>
      <c r="CZ439" s="227"/>
      <c r="DA439"/>
      <c r="DB439"/>
      <c r="DC439"/>
      <c r="DD439"/>
      <c r="DE439"/>
      <c r="DF439"/>
      <c r="DG439"/>
      <c r="DH439" s="227"/>
      <c r="DI439" s="3">
        <v>1</v>
      </c>
    </row>
    <row r="440" spans="2:113" s="627" customFormat="1" ht="21" customHeight="1">
      <c r="B440" s="2265" t="str" cm="1">
        <f t="array" ref="B440">SUMPRODUCT(--(D440:J440&lt;&gt;""), LEN(TRIM(SUBSTITUTE(D440:J440, CHAR(160), "")))) &amp; " Car."</f>
        <v>0 Car.</v>
      </c>
      <c r="C440" s="1376" t="str">
        <f>IF(ISBLANK(D440),"",LARGE(C13:C439,1)+1)</f>
        <v/>
      </c>
      <c r="D440" s="1833"/>
      <c r="E440" s="1810"/>
      <c r="F440" s="1810"/>
      <c r="G440" s="1810"/>
      <c r="H440" s="1810"/>
      <c r="I440" s="1810"/>
      <c r="J440" s="1810"/>
      <c r="K440" s="1810"/>
      <c r="L440" s="1811"/>
      <c r="M440"/>
      <c r="N440" s="103" t="str">
        <f t="shared" si="158"/>
        <v>►</v>
      </c>
      <c r="O440" s="1616"/>
      <c r="P440"/>
      <c r="Q440" s="25" t="s">
        <v>15</v>
      </c>
      <c r="R440" s="31"/>
      <c r="S440" s="32"/>
      <c r="T440" s="31"/>
      <c r="U440" s="33"/>
      <c r="V440" s="1967"/>
      <c r="W440" s="1805"/>
      <c r="X440" s="91"/>
      <c r="Y440" s="1806"/>
      <c r="Z440" s="1968"/>
      <c r="AA440" s="2244"/>
      <c r="AB440" s="1969"/>
      <c r="AC440" s="1365"/>
      <c r="AD440" s="95"/>
      <c r="AE440" s="1326"/>
      <c r="AF440" s="97"/>
      <c r="AG440" s="1737"/>
      <c r="AH440" s="1970"/>
      <c r="AI440" s="99"/>
      <c r="AJ440" s="1809"/>
      <c r="AK440" s="6120" t="str">
        <f t="shared" si="159"/>
        <v>►</v>
      </c>
      <c r="AL440" s="781" t="str">
        <f t="shared" si="161"/>
        <v>►</v>
      </c>
      <c r="AM440" s="5498" t="str">
        <f t="shared" si="164"/>
        <v/>
      </c>
      <c r="AN440" s="783" t="str">
        <f t="shared" si="165"/>
        <v/>
      </c>
      <c r="AO440" s="782" t="str">
        <f t="shared" si="166"/>
        <v/>
      </c>
      <c r="AP440" s="783" t="str">
        <f t="shared" si="167"/>
        <v/>
      </c>
      <c r="AQ440" s="2083" t="b">
        <f>AND(Q440="A",COUNTIF(BP16:BR63,TRIM(Z440))&gt;0)</f>
        <v>0</v>
      </c>
      <c r="AR440" s="797" t="str">
        <f>IF(AL440&lt;&gt;"A","",IFERROR(IFERROR(_xlfn.XLOOKUP(TRIM(SUBSTITUTE(Z440,CHAR(160)," ")),BP16:BP63,BS16:BS63),IFERROR(_xlfn.XLOOKUP(TRIM(SUBSTITUTE(Z440,CHAR(160)," ")),BQ16:BQ63,BS16:BS63),_xlfn.XLOOKUP(TRIM(SUBSTITUTE(Z440,CHAR(160)," ")),BR16:BR63,BS16:BS63)))*Y440*IF(ISBLANK(V440),1,V440),0))</f>
        <v/>
      </c>
      <c r="AS440" s="784" t="str">
        <f t="shared" si="157"/>
        <v/>
      </c>
      <c r="AT440" s="1315" t="str">
        <f t="shared" si="168"/>
        <v/>
      </c>
      <c r="AU440" s="785">
        <f t="shared" si="169"/>
        <v>0</v>
      </c>
      <c r="AV440" s="785">
        <f t="shared" si="170"/>
        <v>0</v>
      </c>
      <c r="AW440" s="798">
        <f>IF(AK440="A",AY10,0)</f>
        <v>0</v>
      </c>
      <c r="AX440" s="5496" t="str">
        <f>IF(IFERROR(SEARCH("Adresse PC",TRIM(W440)),0)&gt;0,"▼ receta siguiente",IF(AK440="A",IF(AZ10&lt;&gt;"",AZ10&amp;" - ou.or.o ❾ + or - &gt;",""),""))</f>
        <v/>
      </c>
      <c r="AY440" s="810"/>
      <c r="AZ440" s="810"/>
      <c r="BA440" s="799" t="str">
        <f t="shared" si="160"/>
        <v/>
      </c>
      <c r="BB440" s="800" t="str">
        <f>IF(AK440="A",IF(AQ440,IF(AND(AW440&lt;&gt;"",N(AW440)&gt;0),IFERROR(IFERROR(_xlfn.XLOOKUP(AP440,BP10:BP57,BT10:BT57),IFERROR(_xlfn.XLOOKUP(AP440,BQ10:BQ57,BT10:BT57),_xlfn.XLOOKUP(AP440,BR10:BR57,BT10:BT57,""))),""),""),""),"")</f>
        <v/>
      </c>
      <c r="BC440" s="813" cm="1">
        <f t="array" ref="BC440">IF(NOT(AQ440),0,IF(OR(BA440="",N(BA440)&lt;=0.000000001),"",IF(OR(AU440="",N(AU440)&lt;=0.000000001),0,IF(ISNUMBER(BA440),IFERROR(_xlfn.LET(_xlpm.ai_test,TRIM(AP440),_xlpm.r,IFERROR(_xlfn.XLOOKUP(_xlpm.ai_test,BP16:BP63,ROW(BP16:BP63),0,1),IFERROR(_xlfn.XLOOKUP(_xlpm.ai_test,BQ16:BQ63,ROW(BQ16:BQ63),0,1),_xlfn.XLOOKUP(_xlpm.ai_test,BR16:BR63,ROW(BR16:BR63),0,1))),_xlpm.p,_xlpm.r-MIN(ROW(BP16:BP63))+1,_xlpm.f,INDEX(BS16:BS63,_xlpm.p),_xlpm.u,INDEX(BT16:BT63,_xlpm.p),_xlpm.s,INDEX(BV16:BV63,_xlpm.p),_xlpm.q,N(BA440)/_xlpm.f,IF(_xlpm.q&gt;=_xlpm.s,ROUND(_xlpm.q,1)&amp;" "&amp;_xlpm.ai_test&amp;" = "&amp;ROUND(_xlpm.q*_xlpm.f,1)&amp;" "&amp;_xlpm.u,ROUND(_xlpm.q,1)&amp;" "&amp;_xlpm.ai_test)),""),""))))</f>
        <v>0</v>
      </c>
      <c r="BD440" s="801"/>
      <c r="BE440" s="799" t="str">
        <f t="shared" si="171"/>
        <v/>
      </c>
      <c r="BF440" s="800" t="str">
        <f t="shared" si="172"/>
        <v/>
      </c>
      <c r="BG440" s="802">
        <f t="shared" si="175"/>
        <v>0</v>
      </c>
      <c r="BH440" s="803" t="str">
        <f t="shared" si="176"/>
        <v/>
      </c>
      <c r="BI440" s="792"/>
      <c r="BJ440" s="804">
        <f t="shared" si="174"/>
        <v>0</v>
      </c>
      <c r="BK440" s="794" t="str">
        <f t="shared" si="173"/>
        <v/>
      </c>
      <c r="BL440" s="227" t="s">
        <v>21</v>
      </c>
      <c r="BM440" s="773">
        <f t="shared" si="162"/>
        <v>0</v>
      </c>
      <c r="BN440" s="774">
        <f t="shared" si="163"/>
        <v>0</v>
      </c>
      <c r="BO440"/>
      <c r="BX440"/>
      <c r="BY440"/>
      <c r="BZ440"/>
      <c r="CA440"/>
      <c r="CB440"/>
      <c r="CC440"/>
      <c r="CD440" s="781" t="str">
        <f t="shared" si="156"/>
        <v>►</v>
      </c>
      <c r="CE440" s="633"/>
      <c r="CF440" s="633"/>
      <c r="CG440" s="633"/>
      <c r="CH440" s="633"/>
      <c r="CI440" s="633"/>
      <c r="CJ440" s="227"/>
      <c r="CK440"/>
      <c r="CL440"/>
      <c r="CM440"/>
      <c r="CN440"/>
      <c r="CO440"/>
      <c r="CP440"/>
      <c r="CQ440"/>
      <c r="CR440" s="227"/>
      <c r="CS440"/>
      <c r="CT440"/>
      <c r="CU440"/>
      <c r="CV440"/>
      <c r="CW440"/>
      <c r="CX440"/>
      <c r="CY440"/>
      <c r="CZ440" s="227"/>
      <c r="DA440"/>
      <c r="DB440"/>
      <c r="DC440"/>
      <c r="DD440"/>
      <c r="DE440"/>
      <c r="DF440"/>
      <c r="DG440"/>
      <c r="DH440" s="227"/>
      <c r="DI440" s="3">
        <v>1</v>
      </c>
    </row>
    <row r="441" spans="2:113" s="627" customFormat="1" ht="21" customHeight="1">
      <c r="B441" s="2265" t="str" cm="1">
        <f t="array" ref="B441">SUMPRODUCT(--(D441:J441&lt;&gt;""), LEN(TRIM(SUBSTITUTE(D441:J441, CHAR(160), "")))) &amp; " Car."</f>
        <v>0 Car.</v>
      </c>
      <c r="C441" s="1376" t="str">
        <f>IF(ISBLANK(D441),"",LARGE(C13:C440,1)+1)</f>
        <v/>
      </c>
      <c r="D441" s="1833"/>
      <c r="E441" s="1810"/>
      <c r="F441" s="1810"/>
      <c r="G441" s="1810"/>
      <c r="H441" s="1810"/>
      <c r="I441" s="1810"/>
      <c r="J441" s="1810"/>
      <c r="K441" s="1810"/>
      <c r="L441" s="1811"/>
      <c r="M441"/>
      <c r="N441" s="103" t="str">
        <f t="shared" si="158"/>
        <v>►</v>
      </c>
      <c r="O441" s="1616"/>
      <c r="P441"/>
      <c r="Q441" s="25" t="s">
        <v>15</v>
      </c>
      <c r="R441" s="31"/>
      <c r="S441" s="32"/>
      <c r="T441" s="31"/>
      <c r="U441" s="33"/>
      <c r="V441" s="1967"/>
      <c r="W441" s="1805"/>
      <c r="X441" s="91"/>
      <c r="Y441" s="1806"/>
      <c r="Z441" s="1968"/>
      <c r="AA441" s="2244"/>
      <c r="AB441" s="1969"/>
      <c r="AC441" s="1365"/>
      <c r="AD441" s="95"/>
      <c r="AE441" s="1326"/>
      <c r="AF441" s="97"/>
      <c r="AG441" s="1737"/>
      <c r="AH441" s="1970"/>
      <c r="AI441" s="99"/>
      <c r="AJ441" s="1809"/>
      <c r="AK441" s="6120" t="str">
        <f t="shared" si="159"/>
        <v>►</v>
      </c>
      <c r="AL441" s="781" t="str">
        <f t="shared" si="161"/>
        <v>►</v>
      </c>
      <c r="AM441" s="5499" t="str">
        <f t="shared" si="164"/>
        <v/>
      </c>
      <c r="AN441" s="783" t="str">
        <f t="shared" si="165"/>
        <v/>
      </c>
      <c r="AO441" s="782" t="str">
        <f t="shared" si="166"/>
        <v/>
      </c>
      <c r="AP441" s="783" t="str">
        <f t="shared" si="167"/>
        <v/>
      </c>
      <c r="AQ441" s="2083" t="b">
        <f>AND(Q441="A",COUNTIF(BP16:BR63,TRIM(Z441))&gt;0)</f>
        <v>0</v>
      </c>
      <c r="AR441" s="797" t="str">
        <f>IF(AL441&lt;&gt;"A","",IFERROR(IFERROR(_xlfn.XLOOKUP(TRIM(SUBSTITUTE(Z441,CHAR(160)," ")),BP16:BP63,BS16:BS63),IFERROR(_xlfn.XLOOKUP(TRIM(SUBSTITUTE(Z441,CHAR(160)," ")),BQ16:BQ63,BS16:BS63),_xlfn.XLOOKUP(TRIM(SUBSTITUTE(Z441,CHAR(160)," ")),BR16:BR63,BS16:BS63)))*Y441*IF(ISBLANK(V441),1,V441),0))</f>
        <v/>
      </c>
      <c r="AS441" s="784" t="str">
        <f t="shared" si="157"/>
        <v/>
      </c>
      <c r="AT441" s="1315" t="str">
        <f t="shared" si="168"/>
        <v/>
      </c>
      <c r="AU441" s="785">
        <f t="shared" si="169"/>
        <v>0</v>
      </c>
      <c r="AV441" s="785">
        <f t="shared" si="170"/>
        <v>0</v>
      </c>
      <c r="AW441" s="786">
        <f>IF(AK441="A",AY10,0)</f>
        <v>0</v>
      </c>
      <c r="AX441" s="5495" t="str">
        <f>IF(IFERROR(SEARCH("Adresse PC",TRIM(W441)),0)&gt;0,"▼ receta siguiente",IF(AK441="A",IF(AZ10&lt;&gt;"",AZ10&amp;" - ou.or.o ❾ + or - &gt;",""),""))</f>
        <v/>
      </c>
      <c r="AY441" s="810"/>
      <c r="AZ441" s="810"/>
      <c r="BA441" s="788" t="str">
        <f t="shared" si="160"/>
        <v/>
      </c>
      <c r="BB441" s="789" t="str">
        <f>IF(AK441="A",IF(AQ441,IF(AND(AW441&lt;&gt;"",N(AW441)&gt;0),IFERROR(IFERROR(_xlfn.XLOOKUP(AP441,BP10:BP57,BT10:BT57),IFERROR(_xlfn.XLOOKUP(AP441,BQ10:BQ57,BT10:BT57),_xlfn.XLOOKUP(AP441,BR10:BR57,BT10:BT57,""))),""),""),""),"")</f>
        <v/>
      </c>
      <c r="BC441" s="811" cm="1">
        <f t="array" ref="BC441">IF(NOT(AQ441),0,IF(OR(BA441="",N(BA441)&lt;=0.000000001),"",IF(OR(AU441="",N(AU441)&lt;=0.000000001),0,IF(ISNUMBER(BA441),IFERROR(_xlfn.LET(_xlpm.ai_test,TRIM(AP441),_xlpm.r,IFERROR(_xlfn.XLOOKUP(_xlpm.ai_test,BP16:BP63,ROW(BP16:BP63),0,1),IFERROR(_xlfn.XLOOKUP(_xlpm.ai_test,BQ16:BQ63,ROW(BQ16:BQ63),0,1),_xlfn.XLOOKUP(_xlpm.ai_test,BR16:BR63,ROW(BR16:BR63),0,1))),_xlpm.p,_xlpm.r-MIN(ROW(BP16:BP63))+1,_xlpm.f,INDEX(BS16:BS63,_xlpm.p),_xlpm.u,INDEX(BT16:BT63,_xlpm.p),_xlpm.s,INDEX(BV16:BV63,_xlpm.p),_xlpm.q,N(BA441)/_xlpm.f,IF(_xlpm.q&gt;=_xlpm.s,ROUND(_xlpm.q,1)&amp;" "&amp;_xlpm.ai_test&amp;" = "&amp;ROUND(_xlpm.q*_xlpm.f,1)&amp;" "&amp;_xlpm.u,ROUND(_xlpm.q,1)&amp;" "&amp;_xlpm.ai_test)),""),""))))</f>
        <v>0</v>
      </c>
      <c r="BD441" s="801"/>
      <c r="BE441" s="788" t="str">
        <f t="shared" si="171"/>
        <v/>
      </c>
      <c r="BF441" s="789" t="str">
        <f t="shared" si="172"/>
        <v/>
      </c>
      <c r="BG441" s="790">
        <f t="shared" si="175"/>
        <v>0</v>
      </c>
      <c r="BH441" s="791" t="str">
        <f t="shared" si="176"/>
        <v/>
      </c>
      <c r="BI441" s="792"/>
      <c r="BJ441" s="793">
        <f t="shared" si="174"/>
        <v>0</v>
      </c>
      <c r="BK441" s="794" t="str">
        <f t="shared" si="173"/>
        <v/>
      </c>
      <c r="BL441" s="227" t="s">
        <v>21</v>
      </c>
      <c r="BM441" s="773">
        <f t="shared" si="162"/>
        <v>0</v>
      </c>
      <c r="BN441" s="774">
        <f t="shared" si="163"/>
        <v>0</v>
      </c>
      <c r="BO441"/>
      <c r="BX441"/>
      <c r="BY441"/>
      <c r="BZ441"/>
      <c r="CA441"/>
      <c r="CB441"/>
      <c r="CC441"/>
      <c r="CD441" s="781" t="str">
        <f t="shared" si="156"/>
        <v>►</v>
      </c>
      <c r="CE441" s="633"/>
      <c r="CF441" s="633"/>
      <c r="CG441" s="633"/>
      <c r="CH441" s="633"/>
      <c r="CI441" s="633"/>
      <c r="CJ441" s="227"/>
      <c r="CK441"/>
      <c r="CL441"/>
      <c r="CM441"/>
      <c r="CN441"/>
      <c r="CO441"/>
      <c r="CP441"/>
      <c r="CQ441"/>
      <c r="CR441" s="227"/>
      <c r="CS441"/>
      <c r="CT441"/>
      <c r="CU441"/>
      <c r="CV441"/>
      <c r="CW441"/>
      <c r="CX441"/>
      <c r="CY441"/>
      <c r="CZ441" s="227"/>
      <c r="DA441"/>
      <c r="DB441"/>
      <c r="DC441"/>
      <c r="DD441"/>
      <c r="DE441"/>
      <c r="DF441"/>
      <c r="DG441"/>
      <c r="DH441" s="227"/>
      <c r="DI441" s="3">
        <v>1</v>
      </c>
    </row>
    <row r="442" spans="2:113" s="627" customFormat="1" ht="21" customHeight="1">
      <c r="B442" s="2265" t="str" cm="1">
        <f t="array" ref="B442">SUMPRODUCT(--(D442:J442&lt;&gt;""), LEN(TRIM(SUBSTITUTE(D442:J442, CHAR(160), "")))) &amp; " Car."</f>
        <v>0 Car.</v>
      </c>
      <c r="C442" s="1376" t="str">
        <f>IF(ISBLANK(D442),"",LARGE(C13:C441,1)+1)</f>
        <v/>
      </c>
      <c r="D442" s="1833"/>
      <c r="E442" s="1810"/>
      <c r="F442" s="1810"/>
      <c r="G442" s="1810"/>
      <c r="H442" s="1810"/>
      <c r="I442" s="1810"/>
      <c r="J442" s="1810"/>
      <c r="K442" s="1810"/>
      <c r="L442" s="1811"/>
      <c r="M442"/>
      <c r="N442" s="103" t="str">
        <f t="shared" si="158"/>
        <v>►</v>
      </c>
      <c r="O442" s="1616"/>
      <c r="P442"/>
      <c r="Q442" s="25" t="s">
        <v>15</v>
      </c>
      <c r="R442" s="31"/>
      <c r="S442" s="32"/>
      <c r="T442" s="31"/>
      <c r="U442" s="33"/>
      <c r="V442" s="1967"/>
      <c r="W442" s="1805"/>
      <c r="X442" s="91"/>
      <c r="Y442" s="1806"/>
      <c r="Z442" s="1968"/>
      <c r="AA442" s="2244"/>
      <c r="AB442" s="1969"/>
      <c r="AC442" s="1365"/>
      <c r="AD442" s="95"/>
      <c r="AE442" s="1326"/>
      <c r="AF442" s="97"/>
      <c r="AG442" s="1737"/>
      <c r="AH442" s="1970"/>
      <c r="AI442" s="99"/>
      <c r="AJ442" s="1809"/>
      <c r="AK442" s="6120" t="str">
        <f t="shared" si="159"/>
        <v>►</v>
      </c>
      <c r="AL442" s="781" t="str">
        <f t="shared" si="161"/>
        <v>►</v>
      </c>
      <c r="AM442" s="5498" t="str">
        <f t="shared" si="164"/>
        <v/>
      </c>
      <c r="AN442" s="783" t="str">
        <f t="shared" si="165"/>
        <v/>
      </c>
      <c r="AO442" s="782" t="str">
        <f t="shared" si="166"/>
        <v/>
      </c>
      <c r="AP442" s="783" t="str">
        <f t="shared" si="167"/>
        <v/>
      </c>
      <c r="AQ442" s="2083" t="b">
        <f>AND(Q442="A",COUNTIF(BP16:BR63,TRIM(Z442))&gt;0)</f>
        <v>0</v>
      </c>
      <c r="AR442" s="797" t="str">
        <f>IF(AL442&lt;&gt;"A","",IFERROR(IFERROR(_xlfn.XLOOKUP(TRIM(SUBSTITUTE(Z442,CHAR(160)," ")),BP16:BP63,BS16:BS63),IFERROR(_xlfn.XLOOKUP(TRIM(SUBSTITUTE(Z442,CHAR(160)," ")),BQ16:BQ63,BS16:BS63),_xlfn.XLOOKUP(TRIM(SUBSTITUTE(Z442,CHAR(160)," ")),BR16:BR63,BS16:BS63)))*Y442*IF(ISBLANK(V442),1,V442),0))</f>
        <v/>
      </c>
      <c r="AS442" s="784" t="str">
        <f t="shared" si="157"/>
        <v/>
      </c>
      <c r="AT442" s="1315" t="str">
        <f t="shared" si="168"/>
        <v/>
      </c>
      <c r="AU442" s="785">
        <f t="shared" si="169"/>
        <v>0</v>
      </c>
      <c r="AV442" s="785">
        <f t="shared" si="170"/>
        <v>0</v>
      </c>
      <c r="AW442" s="798">
        <f>IF(AK442="A",AY10,0)</f>
        <v>0</v>
      </c>
      <c r="AX442" s="5496" t="str">
        <f>IF(IFERROR(SEARCH("Adresse PC",TRIM(W442)),0)&gt;0,"▼ receta siguiente",IF(AK442="A",IF(AZ10&lt;&gt;"",AZ10&amp;" - ou.or.o ❾ + or - &gt;",""),""))</f>
        <v/>
      </c>
      <c r="AY442" s="810"/>
      <c r="AZ442" s="810"/>
      <c r="BA442" s="799" t="str">
        <f t="shared" si="160"/>
        <v/>
      </c>
      <c r="BB442" s="800" t="str">
        <f>IF(AK442="A",IF(AQ442,IF(AND(AW442&lt;&gt;"",N(AW442)&gt;0),IFERROR(IFERROR(_xlfn.XLOOKUP(AP442,BP10:BP57,BT10:BT57),IFERROR(_xlfn.XLOOKUP(AP442,BQ10:BQ57,BT10:BT57),_xlfn.XLOOKUP(AP442,BR10:BR57,BT10:BT57,""))),""),""),""),"")</f>
        <v/>
      </c>
      <c r="BC442" s="813" cm="1">
        <f t="array" ref="BC442">IF(NOT(AQ442),0,IF(OR(BA442="",N(BA442)&lt;=0.000000001),"",IF(OR(AU442="",N(AU442)&lt;=0.000000001),0,IF(ISNUMBER(BA442),IFERROR(_xlfn.LET(_xlpm.ai_test,TRIM(AP442),_xlpm.r,IFERROR(_xlfn.XLOOKUP(_xlpm.ai_test,BP16:BP63,ROW(BP16:BP63),0,1),IFERROR(_xlfn.XLOOKUP(_xlpm.ai_test,BQ16:BQ63,ROW(BQ16:BQ63),0,1),_xlfn.XLOOKUP(_xlpm.ai_test,BR16:BR63,ROW(BR16:BR63),0,1))),_xlpm.p,_xlpm.r-MIN(ROW(BP16:BP63))+1,_xlpm.f,INDEX(BS16:BS63,_xlpm.p),_xlpm.u,INDEX(BT16:BT63,_xlpm.p),_xlpm.s,INDEX(BV16:BV63,_xlpm.p),_xlpm.q,N(BA442)/_xlpm.f,IF(_xlpm.q&gt;=_xlpm.s,ROUND(_xlpm.q,1)&amp;" "&amp;_xlpm.ai_test&amp;" = "&amp;ROUND(_xlpm.q*_xlpm.f,1)&amp;" "&amp;_xlpm.u,ROUND(_xlpm.q,1)&amp;" "&amp;_xlpm.ai_test)),""),""))))</f>
        <v>0</v>
      </c>
      <c r="BD442" s="801"/>
      <c r="BE442" s="799" t="str">
        <f t="shared" si="171"/>
        <v/>
      </c>
      <c r="BF442" s="800" t="str">
        <f t="shared" si="172"/>
        <v/>
      </c>
      <c r="BG442" s="802">
        <f t="shared" si="175"/>
        <v>0</v>
      </c>
      <c r="BH442" s="803" t="str">
        <f t="shared" si="176"/>
        <v/>
      </c>
      <c r="BI442" s="792"/>
      <c r="BJ442" s="804">
        <f t="shared" si="174"/>
        <v>0</v>
      </c>
      <c r="BK442" s="794" t="str">
        <f t="shared" si="173"/>
        <v/>
      </c>
      <c r="BL442" s="227" t="s">
        <v>21</v>
      </c>
      <c r="BM442" s="773">
        <f t="shared" si="162"/>
        <v>0</v>
      </c>
      <c r="BN442" s="774">
        <f t="shared" si="163"/>
        <v>0</v>
      </c>
      <c r="BO442"/>
      <c r="BX442"/>
      <c r="BY442"/>
      <c r="BZ442"/>
      <c r="CA442"/>
      <c r="CB442"/>
      <c r="CC442"/>
      <c r="CD442" s="781" t="str">
        <f t="shared" si="156"/>
        <v>►</v>
      </c>
      <c r="CE442" s="633"/>
      <c r="CF442" s="633"/>
      <c r="CG442" s="633"/>
      <c r="CH442" s="633"/>
      <c r="CI442" s="633"/>
      <c r="CJ442" s="227"/>
      <c r="CK442"/>
      <c r="CL442"/>
      <c r="CM442"/>
      <c r="CN442"/>
      <c r="CO442"/>
      <c r="CP442"/>
      <c r="CQ442"/>
      <c r="CR442" s="227"/>
      <c r="CS442"/>
      <c r="CT442"/>
      <c r="CU442"/>
      <c r="CV442"/>
      <c r="CW442"/>
      <c r="CX442"/>
      <c r="CY442"/>
      <c r="CZ442" s="227"/>
      <c r="DA442"/>
      <c r="DB442"/>
      <c r="DC442"/>
      <c r="DD442"/>
      <c r="DE442"/>
      <c r="DF442"/>
      <c r="DG442"/>
      <c r="DH442" s="227"/>
      <c r="DI442" s="3">
        <v>1</v>
      </c>
    </row>
    <row r="443" spans="2:113" s="627" customFormat="1" ht="21" customHeight="1">
      <c r="B443" s="2265" t="str" cm="1">
        <f t="array" ref="B443">SUMPRODUCT(--(D443:J443&lt;&gt;""), LEN(TRIM(SUBSTITUTE(D443:J443, CHAR(160), "")))) &amp; " Car."</f>
        <v>0 Car.</v>
      </c>
      <c r="C443" s="1376" t="str">
        <f>IF(ISBLANK(D443),"",LARGE(C13:C442,1)+1)</f>
        <v/>
      </c>
      <c r="D443" s="1833"/>
      <c r="E443" s="1810"/>
      <c r="F443" s="1810"/>
      <c r="G443" s="1810"/>
      <c r="H443" s="1810"/>
      <c r="I443" s="1810"/>
      <c r="J443" s="1810"/>
      <c r="K443" s="1810"/>
      <c r="L443" s="1811"/>
      <c r="M443"/>
      <c r="N443" s="103" t="str">
        <f t="shared" si="158"/>
        <v>►</v>
      </c>
      <c r="O443" s="1616"/>
      <c r="P443"/>
      <c r="Q443" s="25" t="s">
        <v>15</v>
      </c>
      <c r="R443" s="31"/>
      <c r="S443" s="32"/>
      <c r="T443" s="31"/>
      <c r="U443" s="33"/>
      <c r="V443" s="1967"/>
      <c r="W443" s="1805"/>
      <c r="X443" s="91"/>
      <c r="Y443" s="1806"/>
      <c r="Z443" s="1968"/>
      <c r="AA443" s="2244"/>
      <c r="AB443" s="1969"/>
      <c r="AC443" s="1365"/>
      <c r="AD443" s="95"/>
      <c r="AE443" s="1326"/>
      <c r="AF443" s="97"/>
      <c r="AG443" s="1737"/>
      <c r="AH443" s="1970"/>
      <c r="AI443" s="99"/>
      <c r="AJ443" s="1809"/>
      <c r="AK443" s="6120" t="str">
        <f t="shared" si="159"/>
        <v>►</v>
      </c>
      <c r="AL443" s="781" t="str">
        <f t="shared" si="161"/>
        <v>►</v>
      </c>
      <c r="AM443" s="5499" t="str">
        <f t="shared" si="164"/>
        <v/>
      </c>
      <c r="AN443" s="783" t="str">
        <f t="shared" si="165"/>
        <v/>
      </c>
      <c r="AO443" s="782" t="str">
        <f t="shared" si="166"/>
        <v/>
      </c>
      <c r="AP443" s="783" t="str">
        <f t="shared" si="167"/>
        <v/>
      </c>
      <c r="AQ443" s="2083" t="b">
        <f>AND(Q443="A",COUNTIF(BP16:BR63,TRIM(Z443))&gt;0)</f>
        <v>0</v>
      </c>
      <c r="AR443" s="797" t="str">
        <f>IF(AL443&lt;&gt;"A","",IFERROR(IFERROR(_xlfn.XLOOKUP(TRIM(SUBSTITUTE(Z443,CHAR(160)," ")),BP16:BP63,BS16:BS63),IFERROR(_xlfn.XLOOKUP(TRIM(SUBSTITUTE(Z443,CHAR(160)," ")),BQ16:BQ63,BS16:BS63),_xlfn.XLOOKUP(TRIM(SUBSTITUTE(Z443,CHAR(160)," ")),BR16:BR63,BS16:BS63)))*Y443*IF(ISBLANK(V443),1,V443),0))</f>
        <v/>
      </c>
      <c r="AS443" s="784" t="str">
        <f t="shared" si="157"/>
        <v/>
      </c>
      <c r="AT443" s="1315" t="str">
        <f t="shared" si="168"/>
        <v/>
      </c>
      <c r="AU443" s="785">
        <f t="shared" si="169"/>
        <v>0</v>
      </c>
      <c r="AV443" s="785">
        <f t="shared" si="170"/>
        <v>0</v>
      </c>
      <c r="AW443" s="786">
        <f>IF(AK443="A",AY10,0)</f>
        <v>0</v>
      </c>
      <c r="AX443" s="5495" t="str">
        <f>IF(IFERROR(SEARCH("Adresse PC",TRIM(W443)),0)&gt;0,"▼ receta siguiente",IF(AK443="A",IF(AZ10&lt;&gt;"",AZ10&amp;" - ou.or.o ❾ + or - &gt;",""),""))</f>
        <v/>
      </c>
      <c r="AY443" s="810"/>
      <c r="AZ443" s="810"/>
      <c r="BA443" s="788" t="str">
        <f t="shared" si="160"/>
        <v/>
      </c>
      <c r="BB443" s="789" t="str">
        <f>IF(AK443="A",IF(AQ443,IF(AND(AW443&lt;&gt;"",N(AW443)&gt;0),IFERROR(IFERROR(_xlfn.XLOOKUP(AP443,BP10:BP57,BT10:BT57),IFERROR(_xlfn.XLOOKUP(AP443,BQ10:BQ57,BT10:BT57),_xlfn.XLOOKUP(AP443,BR10:BR57,BT10:BT57,""))),""),""),""),"")</f>
        <v/>
      </c>
      <c r="BC443" s="811" cm="1">
        <f t="array" ref="BC443">IF(NOT(AQ443),0,IF(OR(BA443="",N(BA443)&lt;=0.000000001),"",IF(OR(AU443="",N(AU443)&lt;=0.000000001),0,IF(ISNUMBER(BA443),IFERROR(_xlfn.LET(_xlpm.ai_test,TRIM(AP443),_xlpm.r,IFERROR(_xlfn.XLOOKUP(_xlpm.ai_test,BP16:BP63,ROW(BP16:BP63),0,1),IFERROR(_xlfn.XLOOKUP(_xlpm.ai_test,BQ16:BQ63,ROW(BQ16:BQ63),0,1),_xlfn.XLOOKUP(_xlpm.ai_test,BR16:BR63,ROW(BR16:BR63),0,1))),_xlpm.p,_xlpm.r-MIN(ROW(BP16:BP63))+1,_xlpm.f,INDEX(BS16:BS63,_xlpm.p),_xlpm.u,INDEX(BT16:BT63,_xlpm.p),_xlpm.s,INDEX(BV16:BV63,_xlpm.p),_xlpm.q,N(BA443)/_xlpm.f,IF(_xlpm.q&gt;=_xlpm.s,ROUND(_xlpm.q,1)&amp;" "&amp;_xlpm.ai_test&amp;" = "&amp;ROUND(_xlpm.q*_xlpm.f,1)&amp;" "&amp;_xlpm.u,ROUND(_xlpm.q,1)&amp;" "&amp;_xlpm.ai_test)),""),""))))</f>
        <v>0</v>
      </c>
      <c r="BD443" s="801"/>
      <c r="BE443" s="788" t="str">
        <f t="shared" si="171"/>
        <v/>
      </c>
      <c r="BF443" s="789" t="str">
        <f t="shared" si="172"/>
        <v/>
      </c>
      <c r="BG443" s="790">
        <f t="shared" si="175"/>
        <v>0</v>
      </c>
      <c r="BH443" s="791" t="str">
        <f t="shared" si="176"/>
        <v/>
      </c>
      <c r="BI443" s="792"/>
      <c r="BJ443" s="793">
        <f t="shared" si="174"/>
        <v>0</v>
      </c>
      <c r="BK443" s="794" t="str">
        <f t="shared" si="173"/>
        <v/>
      </c>
      <c r="BL443" s="227" t="s">
        <v>21</v>
      </c>
      <c r="BM443" s="773">
        <f t="shared" si="162"/>
        <v>0</v>
      </c>
      <c r="BN443" s="774">
        <f t="shared" si="163"/>
        <v>0</v>
      </c>
      <c r="BO443"/>
      <c r="BX443"/>
      <c r="BY443"/>
      <c r="BZ443"/>
      <c r="CA443"/>
      <c r="CB443"/>
      <c r="CC443"/>
      <c r="CD443" s="781" t="str">
        <f t="shared" si="156"/>
        <v>►</v>
      </c>
      <c r="CE443" s="633"/>
      <c r="CF443" s="633"/>
      <c r="CG443" s="633"/>
      <c r="CH443" s="633"/>
      <c r="CI443" s="633"/>
      <c r="CJ443" s="227"/>
      <c r="CK443"/>
      <c r="CL443"/>
      <c r="CM443"/>
      <c r="CN443"/>
      <c r="CO443"/>
      <c r="CP443"/>
      <c r="CQ443"/>
      <c r="CR443" s="227"/>
      <c r="CS443"/>
      <c r="CT443"/>
      <c r="CU443"/>
      <c r="CV443"/>
      <c r="CW443"/>
      <c r="CX443"/>
      <c r="CY443"/>
      <c r="CZ443" s="227"/>
      <c r="DA443"/>
      <c r="DB443"/>
      <c r="DC443"/>
      <c r="DD443"/>
      <c r="DE443"/>
      <c r="DF443"/>
      <c r="DG443"/>
      <c r="DH443" s="227"/>
      <c r="DI443" s="3">
        <v>1</v>
      </c>
    </row>
    <row r="444" spans="2:113" s="627" customFormat="1" ht="21" customHeight="1">
      <c r="B444" s="2265" t="str" cm="1">
        <f t="array" ref="B444">SUMPRODUCT(--(D444:J444&lt;&gt;""), LEN(TRIM(SUBSTITUTE(D444:J444, CHAR(160), "")))) &amp; " Car."</f>
        <v>0 Car.</v>
      </c>
      <c r="C444" s="1376" t="str">
        <f>IF(ISBLANK(D444),"",LARGE(C13:C443,1)+1)</f>
        <v/>
      </c>
      <c r="D444" s="1833"/>
      <c r="E444" s="1810"/>
      <c r="F444" s="1810"/>
      <c r="G444" s="1810"/>
      <c r="H444" s="1810"/>
      <c r="I444" s="1810"/>
      <c r="J444" s="1810"/>
      <c r="K444" s="1810"/>
      <c r="L444" s="1811"/>
      <c r="M444"/>
      <c r="N444" s="103" t="str">
        <f t="shared" si="158"/>
        <v>►</v>
      </c>
      <c r="O444" s="1616"/>
      <c r="P444"/>
      <c r="Q444" s="25" t="s">
        <v>15</v>
      </c>
      <c r="R444" s="31"/>
      <c r="S444" s="32"/>
      <c r="T444" s="31"/>
      <c r="U444" s="33"/>
      <c r="V444" s="1967"/>
      <c r="W444" s="1805"/>
      <c r="X444" s="91"/>
      <c r="Y444" s="1806"/>
      <c r="Z444" s="1968"/>
      <c r="AA444" s="2244"/>
      <c r="AB444" s="1969"/>
      <c r="AC444" s="1365"/>
      <c r="AD444" s="95"/>
      <c r="AE444" s="1326"/>
      <c r="AF444" s="97"/>
      <c r="AG444" s="1737"/>
      <c r="AH444" s="1970"/>
      <c r="AI444" s="99"/>
      <c r="AJ444" s="1809"/>
      <c r="AK444" s="6120" t="str">
        <f t="shared" si="159"/>
        <v>►</v>
      </c>
      <c r="AL444" s="781" t="str">
        <f t="shared" si="161"/>
        <v>►</v>
      </c>
      <c r="AM444" s="5498" t="str">
        <f t="shared" si="164"/>
        <v/>
      </c>
      <c r="AN444" s="783" t="str">
        <f t="shared" si="165"/>
        <v/>
      </c>
      <c r="AO444" s="782" t="str">
        <f t="shared" si="166"/>
        <v/>
      </c>
      <c r="AP444" s="783" t="str">
        <f t="shared" si="167"/>
        <v/>
      </c>
      <c r="AQ444" s="2083" t="b">
        <f>AND(Q444="A",COUNTIF(BP16:BR63,TRIM(Z444))&gt;0)</f>
        <v>0</v>
      </c>
      <c r="AR444" s="797" t="str">
        <f>IF(AL444&lt;&gt;"A","",IFERROR(IFERROR(_xlfn.XLOOKUP(TRIM(SUBSTITUTE(Z444,CHAR(160)," ")),BP16:BP63,BS16:BS63),IFERROR(_xlfn.XLOOKUP(TRIM(SUBSTITUTE(Z444,CHAR(160)," ")),BQ16:BQ63,BS16:BS63),_xlfn.XLOOKUP(TRIM(SUBSTITUTE(Z444,CHAR(160)," ")),BR16:BR63,BS16:BS63)))*Y444*IF(ISBLANK(V444),1,V444),0))</f>
        <v/>
      </c>
      <c r="AS444" s="784" t="str">
        <f t="shared" si="157"/>
        <v/>
      </c>
      <c r="AT444" s="1315" t="str">
        <f t="shared" si="168"/>
        <v/>
      </c>
      <c r="AU444" s="785">
        <f t="shared" si="169"/>
        <v>0</v>
      </c>
      <c r="AV444" s="785">
        <f t="shared" si="170"/>
        <v>0</v>
      </c>
      <c r="AW444" s="798">
        <f>IF(AK444="A",AY10,0)</f>
        <v>0</v>
      </c>
      <c r="AX444" s="5496" t="str">
        <f>IF(IFERROR(SEARCH("Adresse PC",TRIM(W444)),0)&gt;0,"▼ receta siguiente",IF(AK444="A",IF(AZ10&lt;&gt;"",AZ10&amp;" - ou.or.o ❾ + or - &gt;",""),""))</f>
        <v/>
      </c>
      <c r="AY444" s="810"/>
      <c r="AZ444" s="810"/>
      <c r="BA444" s="799" t="str">
        <f t="shared" si="160"/>
        <v/>
      </c>
      <c r="BB444" s="800" t="str">
        <f>IF(AK444="A",IF(AQ444,IF(AND(AW444&lt;&gt;"",N(AW444)&gt;0),IFERROR(IFERROR(_xlfn.XLOOKUP(AP444,BP10:BP57,BT10:BT57),IFERROR(_xlfn.XLOOKUP(AP444,BQ10:BQ57,BT10:BT57),_xlfn.XLOOKUP(AP444,BR10:BR57,BT10:BT57,""))),""),""),""),"")</f>
        <v/>
      </c>
      <c r="BC444" s="813" cm="1">
        <f t="array" ref="BC444">IF(NOT(AQ444),0,IF(OR(BA444="",N(BA444)&lt;=0.000000001),"",IF(OR(AU444="",N(AU444)&lt;=0.000000001),0,IF(ISNUMBER(BA444),IFERROR(_xlfn.LET(_xlpm.ai_test,TRIM(AP444),_xlpm.r,IFERROR(_xlfn.XLOOKUP(_xlpm.ai_test,BP16:BP63,ROW(BP16:BP63),0,1),IFERROR(_xlfn.XLOOKUP(_xlpm.ai_test,BQ16:BQ63,ROW(BQ16:BQ63),0,1),_xlfn.XLOOKUP(_xlpm.ai_test,BR16:BR63,ROW(BR16:BR63),0,1))),_xlpm.p,_xlpm.r-MIN(ROW(BP16:BP63))+1,_xlpm.f,INDEX(BS16:BS63,_xlpm.p),_xlpm.u,INDEX(BT16:BT63,_xlpm.p),_xlpm.s,INDEX(BV16:BV63,_xlpm.p),_xlpm.q,N(BA444)/_xlpm.f,IF(_xlpm.q&gt;=_xlpm.s,ROUND(_xlpm.q,1)&amp;" "&amp;_xlpm.ai_test&amp;" = "&amp;ROUND(_xlpm.q*_xlpm.f,1)&amp;" "&amp;_xlpm.u,ROUND(_xlpm.q,1)&amp;" "&amp;_xlpm.ai_test)),""),""))))</f>
        <v>0</v>
      </c>
      <c r="BD444" s="801"/>
      <c r="BE444" s="799" t="str">
        <f t="shared" si="171"/>
        <v/>
      </c>
      <c r="BF444" s="800" t="str">
        <f t="shared" si="172"/>
        <v/>
      </c>
      <c r="BG444" s="802">
        <f t="shared" si="175"/>
        <v>0</v>
      </c>
      <c r="BH444" s="803" t="str">
        <f t="shared" si="176"/>
        <v/>
      </c>
      <c r="BI444" s="792"/>
      <c r="BJ444" s="804">
        <f t="shared" si="174"/>
        <v>0</v>
      </c>
      <c r="BK444" s="794" t="str">
        <f t="shared" si="173"/>
        <v/>
      </c>
      <c r="BL444" s="227" t="s">
        <v>21</v>
      </c>
      <c r="BM444" s="773">
        <f t="shared" si="162"/>
        <v>0</v>
      </c>
      <c r="BN444" s="774">
        <f t="shared" si="163"/>
        <v>0</v>
      </c>
      <c r="BO444"/>
      <c r="BX444"/>
      <c r="BY444"/>
      <c r="BZ444"/>
      <c r="CA444"/>
      <c r="CB444"/>
      <c r="CC444"/>
      <c r="CD444" s="781" t="str">
        <f t="shared" si="156"/>
        <v>►</v>
      </c>
      <c r="CE444" s="633"/>
      <c r="CF444" s="633"/>
      <c r="CG444" s="633"/>
      <c r="CH444" s="633"/>
      <c r="CI444" s="633"/>
      <c r="CJ444" s="227"/>
      <c r="CK444"/>
      <c r="CL444"/>
      <c r="CM444"/>
      <c r="CN444"/>
      <c r="CO444"/>
      <c r="CP444"/>
      <c r="CQ444"/>
      <c r="CR444" s="227"/>
      <c r="CS444"/>
      <c r="CT444"/>
      <c r="CU444"/>
      <c r="CV444"/>
      <c r="CW444"/>
      <c r="CX444"/>
      <c r="CY444"/>
      <c r="CZ444" s="227"/>
      <c r="DA444"/>
      <c r="DB444"/>
      <c r="DC444"/>
      <c r="DD444"/>
      <c r="DE444"/>
      <c r="DF444"/>
      <c r="DG444"/>
      <c r="DH444" s="227"/>
      <c r="DI444" s="3">
        <v>1</v>
      </c>
    </row>
    <row r="445" spans="2:113" s="627" customFormat="1" ht="21" customHeight="1">
      <c r="B445" s="2265" t="str" cm="1">
        <f t="array" ref="B445">SUMPRODUCT(--(D445:J445&lt;&gt;""), LEN(TRIM(SUBSTITUTE(D445:J445, CHAR(160), "")))) &amp; " Car."</f>
        <v>0 Car.</v>
      </c>
      <c r="C445" s="1376" t="str">
        <f>IF(ISBLANK(D445),"",LARGE(C13:C444,1)+1)</f>
        <v/>
      </c>
      <c r="D445" s="1833"/>
      <c r="E445" s="1810"/>
      <c r="F445" s="1810"/>
      <c r="G445" s="1810"/>
      <c r="H445" s="1810"/>
      <c r="I445" s="1810"/>
      <c r="J445" s="1810"/>
      <c r="K445" s="1810"/>
      <c r="L445" s="1811"/>
      <c r="M445"/>
      <c r="N445" s="103" t="str">
        <f t="shared" si="158"/>
        <v>►</v>
      </c>
      <c r="O445" s="1616"/>
      <c r="P445"/>
      <c r="Q445" s="25" t="s">
        <v>15</v>
      </c>
      <c r="R445" s="31"/>
      <c r="S445" s="32"/>
      <c r="T445" s="31"/>
      <c r="U445" s="33"/>
      <c r="V445" s="1967"/>
      <c r="W445" s="1805"/>
      <c r="X445" s="91"/>
      <c r="Y445" s="1806"/>
      <c r="Z445" s="1968"/>
      <c r="AA445" s="2244"/>
      <c r="AB445" s="1969"/>
      <c r="AC445" s="1365"/>
      <c r="AD445" s="95"/>
      <c r="AE445" s="1326"/>
      <c r="AF445" s="97"/>
      <c r="AG445" s="1737"/>
      <c r="AH445" s="1970"/>
      <c r="AI445" s="99"/>
      <c r="AJ445" s="1809"/>
      <c r="AK445" s="6120" t="str">
        <f t="shared" si="159"/>
        <v>►</v>
      </c>
      <c r="AL445" s="781" t="str">
        <f t="shared" si="161"/>
        <v>►</v>
      </c>
      <c r="AM445" s="5499" t="str">
        <f t="shared" si="164"/>
        <v/>
      </c>
      <c r="AN445" s="783" t="str">
        <f t="shared" si="165"/>
        <v/>
      </c>
      <c r="AO445" s="782" t="str">
        <f t="shared" si="166"/>
        <v/>
      </c>
      <c r="AP445" s="783" t="str">
        <f t="shared" si="167"/>
        <v/>
      </c>
      <c r="AQ445" s="2083" t="b">
        <f>AND(Q445="A",COUNTIF(BP16:BR63,TRIM(Z445))&gt;0)</f>
        <v>0</v>
      </c>
      <c r="AR445" s="797" t="str">
        <f>IF(AL445&lt;&gt;"A","",IFERROR(IFERROR(_xlfn.XLOOKUP(TRIM(SUBSTITUTE(Z445,CHAR(160)," ")),BP16:BP63,BS16:BS63),IFERROR(_xlfn.XLOOKUP(TRIM(SUBSTITUTE(Z445,CHAR(160)," ")),BQ16:BQ63,BS16:BS63),_xlfn.XLOOKUP(TRIM(SUBSTITUTE(Z445,CHAR(160)," ")),BR16:BR63,BS16:BS63)))*Y445*IF(ISBLANK(V445),1,V445),0))</f>
        <v/>
      </c>
      <c r="AS445" s="784" t="str">
        <f t="shared" si="157"/>
        <v/>
      </c>
      <c r="AT445" s="1315" t="str">
        <f t="shared" si="168"/>
        <v/>
      </c>
      <c r="AU445" s="785">
        <f t="shared" si="169"/>
        <v>0</v>
      </c>
      <c r="AV445" s="785">
        <f t="shared" si="170"/>
        <v>0</v>
      </c>
      <c r="AW445" s="786">
        <f>IF(AK445="A",AY10,0)</f>
        <v>0</v>
      </c>
      <c r="AX445" s="5495" t="str">
        <f>IF(IFERROR(SEARCH("Adresse PC",TRIM(W445)),0)&gt;0,"▼ receta siguiente",IF(AK445="A",IF(AZ10&lt;&gt;"",AZ10&amp;" - ou.or.o ❾ + or - &gt;",""),""))</f>
        <v/>
      </c>
      <c r="AY445" s="810"/>
      <c r="AZ445" s="810"/>
      <c r="BA445" s="788" t="str">
        <f t="shared" si="160"/>
        <v/>
      </c>
      <c r="BB445" s="789" t="str">
        <f>IF(AK445="A",IF(AQ445,IF(AND(AW445&lt;&gt;"",N(AW445)&gt;0),IFERROR(IFERROR(_xlfn.XLOOKUP(AP445,BP10:BP57,BT10:BT57),IFERROR(_xlfn.XLOOKUP(AP445,BQ10:BQ57,BT10:BT57),_xlfn.XLOOKUP(AP445,BR10:BR57,BT10:BT57,""))),""),""),""),"")</f>
        <v/>
      </c>
      <c r="BC445" s="811" cm="1">
        <f t="array" ref="BC445">IF(NOT(AQ445),0,IF(OR(BA445="",N(BA445)&lt;=0.000000001),"",IF(OR(AU445="",N(AU445)&lt;=0.000000001),0,IF(ISNUMBER(BA445),IFERROR(_xlfn.LET(_xlpm.ai_test,TRIM(AP445),_xlpm.r,IFERROR(_xlfn.XLOOKUP(_xlpm.ai_test,BP16:BP63,ROW(BP16:BP63),0,1),IFERROR(_xlfn.XLOOKUP(_xlpm.ai_test,BQ16:BQ63,ROW(BQ16:BQ63),0,1),_xlfn.XLOOKUP(_xlpm.ai_test,BR16:BR63,ROW(BR16:BR63),0,1))),_xlpm.p,_xlpm.r-MIN(ROW(BP16:BP63))+1,_xlpm.f,INDEX(BS16:BS63,_xlpm.p),_xlpm.u,INDEX(BT16:BT63,_xlpm.p),_xlpm.s,INDEX(BV16:BV63,_xlpm.p),_xlpm.q,N(BA445)/_xlpm.f,IF(_xlpm.q&gt;=_xlpm.s,ROUND(_xlpm.q,1)&amp;" "&amp;_xlpm.ai_test&amp;" = "&amp;ROUND(_xlpm.q*_xlpm.f,1)&amp;" "&amp;_xlpm.u,ROUND(_xlpm.q,1)&amp;" "&amp;_xlpm.ai_test)),""),""))))</f>
        <v>0</v>
      </c>
      <c r="BD445" s="801"/>
      <c r="BE445" s="788" t="str">
        <f t="shared" si="171"/>
        <v/>
      </c>
      <c r="BF445" s="789" t="str">
        <f t="shared" si="172"/>
        <v/>
      </c>
      <c r="BG445" s="790">
        <f t="shared" si="175"/>
        <v>0</v>
      </c>
      <c r="BH445" s="791" t="str">
        <f t="shared" si="176"/>
        <v/>
      </c>
      <c r="BI445" s="792"/>
      <c r="BJ445" s="793">
        <f t="shared" si="174"/>
        <v>0</v>
      </c>
      <c r="BK445" s="794" t="str">
        <f t="shared" si="173"/>
        <v/>
      </c>
      <c r="BL445" s="227" t="s">
        <v>21</v>
      </c>
      <c r="BM445" s="773">
        <f t="shared" si="162"/>
        <v>0</v>
      </c>
      <c r="BN445" s="774">
        <f t="shared" si="163"/>
        <v>0</v>
      </c>
      <c r="BO445"/>
      <c r="BX445"/>
      <c r="BY445"/>
      <c r="BZ445"/>
      <c r="CA445"/>
      <c r="CB445"/>
      <c r="CC445"/>
      <c r="CD445" s="781" t="str">
        <f t="shared" si="156"/>
        <v>►</v>
      </c>
      <c r="CE445" s="633"/>
      <c r="CF445" s="633"/>
      <c r="CG445" s="633"/>
      <c r="CH445" s="633"/>
      <c r="CI445" s="633"/>
      <c r="CJ445" s="227"/>
      <c r="CK445"/>
      <c r="CL445"/>
      <c r="CM445"/>
      <c r="CN445"/>
      <c r="CO445"/>
      <c r="CP445"/>
      <c r="CQ445"/>
      <c r="CR445" s="227"/>
      <c r="CS445"/>
      <c r="CT445"/>
      <c r="CU445"/>
      <c r="CV445"/>
      <c r="CW445"/>
      <c r="CX445"/>
      <c r="CY445"/>
      <c r="CZ445" s="227"/>
      <c r="DA445"/>
      <c r="DB445"/>
      <c r="DC445"/>
      <c r="DD445"/>
      <c r="DE445"/>
      <c r="DF445"/>
      <c r="DG445"/>
      <c r="DH445" s="227"/>
      <c r="DI445" s="3">
        <v>1</v>
      </c>
    </row>
    <row r="446" spans="2:113" s="627" customFormat="1" ht="21" customHeight="1">
      <c r="B446" s="2265" t="str" cm="1">
        <f t="array" ref="B446">SUMPRODUCT(--(D446:J446&lt;&gt;""), LEN(TRIM(SUBSTITUTE(D446:J446, CHAR(160), "")))) &amp; " Car."</f>
        <v>0 Car.</v>
      </c>
      <c r="C446" s="1376" t="str">
        <f>IF(ISBLANK(D446),"",LARGE(C13:C445,1)+1)</f>
        <v/>
      </c>
      <c r="D446" s="1833"/>
      <c r="E446" s="1810"/>
      <c r="F446" s="1810"/>
      <c r="G446" s="1810"/>
      <c r="H446" s="1810"/>
      <c r="I446" s="1810"/>
      <c r="J446" s="1810"/>
      <c r="K446" s="1810"/>
      <c r="L446" s="1811"/>
      <c r="M446"/>
      <c r="N446" s="103" t="str">
        <f t="shared" si="158"/>
        <v>►</v>
      </c>
      <c r="O446" s="1616"/>
      <c r="P446"/>
      <c r="Q446" s="25" t="s">
        <v>15</v>
      </c>
      <c r="R446" s="31"/>
      <c r="S446" s="32"/>
      <c r="T446" s="31"/>
      <c r="U446" s="33"/>
      <c r="V446" s="1967"/>
      <c r="W446" s="1805"/>
      <c r="X446" s="91"/>
      <c r="Y446" s="1806"/>
      <c r="Z446" s="1968"/>
      <c r="AA446" s="2244"/>
      <c r="AB446" s="1969"/>
      <c r="AC446" s="1365"/>
      <c r="AD446" s="95"/>
      <c r="AE446" s="1326"/>
      <c r="AF446" s="97"/>
      <c r="AG446" s="1737"/>
      <c r="AH446" s="1970"/>
      <c r="AI446" s="99"/>
      <c r="AJ446" s="1809"/>
      <c r="AK446" s="6120" t="str">
        <f t="shared" si="159"/>
        <v>►</v>
      </c>
      <c r="AL446" s="781" t="str">
        <f t="shared" si="161"/>
        <v>►</v>
      </c>
      <c r="AM446" s="5498" t="str">
        <f t="shared" si="164"/>
        <v/>
      </c>
      <c r="AN446" s="783" t="str">
        <f t="shared" si="165"/>
        <v/>
      </c>
      <c r="AO446" s="782" t="str">
        <f t="shared" si="166"/>
        <v/>
      </c>
      <c r="AP446" s="783" t="str">
        <f t="shared" si="167"/>
        <v/>
      </c>
      <c r="AQ446" s="2083" t="b">
        <f>AND(Q446="A",COUNTIF(BP16:BR63,TRIM(Z446))&gt;0)</f>
        <v>0</v>
      </c>
      <c r="AR446" s="797" t="str">
        <f>IF(AL446&lt;&gt;"A","",IFERROR(IFERROR(_xlfn.XLOOKUP(TRIM(SUBSTITUTE(Z446,CHAR(160)," ")),BP16:BP63,BS16:BS63),IFERROR(_xlfn.XLOOKUP(TRIM(SUBSTITUTE(Z446,CHAR(160)," ")),BQ16:BQ63,BS16:BS63),_xlfn.XLOOKUP(TRIM(SUBSTITUTE(Z446,CHAR(160)," ")),BR16:BR63,BS16:BS63)))*Y446*IF(ISBLANK(V446),1,V446),0))</f>
        <v/>
      </c>
      <c r="AS446" s="784" t="str">
        <f t="shared" si="157"/>
        <v/>
      </c>
      <c r="AT446" s="1315" t="str">
        <f t="shared" si="168"/>
        <v/>
      </c>
      <c r="AU446" s="785">
        <f t="shared" si="169"/>
        <v>0</v>
      </c>
      <c r="AV446" s="785">
        <f t="shared" si="170"/>
        <v>0</v>
      </c>
      <c r="AW446" s="798">
        <f>IF(AK446="A",AY10,0)</f>
        <v>0</v>
      </c>
      <c r="AX446" s="5496" t="str">
        <f>IF(IFERROR(SEARCH("Adresse PC",TRIM(W446)),0)&gt;0,"▼ receta siguiente",IF(AK446="A",IF(AZ10&lt;&gt;"",AZ10&amp;" - ou.or.o ❾ + or - &gt;",""),""))</f>
        <v/>
      </c>
      <c r="AY446" s="810"/>
      <c r="AZ446" s="810"/>
      <c r="BA446" s="799" t="str">
        <f t="shared" si="160"/>
        <v/>
      </c>
      <c r="BB446" s="800" t="str">
        <f>IF(AK446="A",IF(AQ446,IF(AND(AW446&lt;&gt;"",N(AW446)&gt;0),IFERROR(IFERROR(_xlfn.XLOOKUP(AP446,BP10:BP57,BT10:BT57),IFERROR(_xlfn.XLOOKUP(AP446,BQ10:BQ57,BT10:BT57),_xlfn.XLOOKUP(AP446,BR10:BR57,BT10:BT57,""))),""),""),""),"")</f>
        <v/>
      </c>
      <c r="BC446" s="813" cm="1">
        <f t="array" ref="BC446">IF(NOT(AQ446),0,IF(OR(BA446="",N(BA446)&lt;=0.000000001),"",IF(OR(AU446="",N(AU446)&lt;=0.000000001),0,IF(ISNUMBER(BA446),IFERROR(_xlfn.LET(_xlpm.ai_test,TRIM(AP446),_xlpm.r,IFERROR(_xlfn.XLOOKUP(_xlpm.ai_test,BP16:BP63,ROW(BP16:BP63),0,1),IFERROR(_xlfn.XLOOKUP(_xlpm.ai_test,BQ16:BQ63,ROW(BQ16:BQ63),0,1),_xlfn.XLOOKUP(_xlpm.ai_test,BR16:BR63,ROW(BR16:BR63),0,1))),_xlpm.p,_xlpm.r-MIN(ROW(BP16:BP63))+1,_xlpm.f,INDEX(BS16:BS63,_xlpm.p),_xlpm.u,INDEX(BT16:BT63,_xlpm.p),_xlpm.s,INDEX(BV16:BV63,_xlpm.p),_xlpm.q,N(BA446)/_xlpm.f,IF(_xlpm.q&gt;=_xlpm.s,ROUND(_xlpm.q,1)&amp;" "&amp;_xlpm.ai_test&amp;" = "&amp;ROUND(_xlpm.q*_xlpm.f,1)&amp;" "&amp;_xlpm.u,ROUND(_xlpm.q,1)&amp;" "&amp;_xlpm.ai_test)),""),""))))</f>
        <v>0</v>
      </c>
      <c r="BD446" s="801"/>
      <c r="BE446" s="799" t="str">
        <f t="shared" si="171"/>
        <v/>
      </c>
      <c r="BF446" s="800" t="str">
        <f t="shared" si="172"/>
        <v/>
      </c>
      <c r="BG446" s="802">
        <f t="shared" si="175"/>
        <v>0</v>
      </c>
      <c r="BH446" s="803" t="str">
        <f t="shared" si="176"/>
        <v/>
      </c>
      <c r="BI446" s="792"/>
      <c r="BJ446" s="804">
        <f t="shared" si="174"/>
        <v>0</v>
      </c>
      <c r="BK446" s="794" t="str">
        <f t="shared" si="173"/>
        <v/>
      </c>
      <c r="BL446" s="227" t="s">
        <v>21</v>
      </c>
      <c r="BM446" s="773">
        <f t="shared" si="162"/>
        <v>0</v>
      </c>
      <c r="BN446" s="774">
        <f t="shared" si="163"/>
        <v>0</v>
      </c>
      <c r="BO446"/>
      <c r="BX446"/>
      <c r="BY446"/>
      <c r="BZ446"/>
      <c r="CA446"/>
      <c r="CB446"/>
      <c r="CC446"/>
      <c r="CD446" s="781" t="str">
        <f t="shared" si="156"/>
        <v>►</v>
      </c>
      <c r="CE446" s="633"/>
      <c r="CF446" s="633"/>
      <c r="CG446" s="633"/>
      <c r="CH446" s="633"/>
      <c r="CI446" s="633"/>
      <c r="CJ446" s="227"/>
      <c r="CK446"/>
      <c r="CL446"/>
      <c r="CM446"/>
      <c r="CN446"/>
      <c r="CO446"/>
      <c r="CP446"/>
      <c r="CQ446"/>
      <c r="CR446" s="227"/>
      <c r="CS446"/>
      <c r="CT446"/>
      <c r="CU446"/>
      <c r="CV446"/>
      <c r="CW446"/>
      <c r="CX446"/>
      <c r="CY446"/>
      <c r="CZ446" s="227"/>
      <c r="DA446"/>
      <c r="DB446"/>
      <c r="DC446"/>
      <c r="DD446"/>
      <c r="DE446"/>
      <c r="DF446"/>
      <c r="DG446"/>
      <c r="DH446" s="227"/>
      <c r="DI446" s="3">
        <v>1</v>
      </c>
    </row>
    <row r="447" spans="2:113" s="627" customFormat="1" ht="21" customHeight="1">
      <c r="B447" s="2265" t="str" cm="1">
        <f t="array" ref="B447">SUMPRODUCT(--(D447:J447&lt;&gt;""), LEN(TRIM(SUBSTITUTE(D447:J447, CHAR(160), "")))) &amp; " Car."</f>
        <v>0 Car.</v>
      </c>
      <c r="C447" s="1376" t="str">
        <f>IF(ISBLANK(D447),"",LARGE(C13:C446,1)+1)</f>
        <v/>
      </c>
      <c r="D447" s="1833"/>
      <c r="E447" s="1810"/>
      <c r="F447" s="1810"/>
      <c r="G447" s="1810"/>
      <c r="H447" s="1810"/>
      <c r="I447" s="1810"/>
      <c r="J447" s="1810"/>
      <c r="K447" s="1810"/>
      <c r="L447" s="1811"/>
      <c r="M447"/>
      <c r="N447" s="103" t="str">
        <f t="shared" si="158"/>
        <v>►</v>
      </c>
      <c r="O447" s="1616"/>
      <c r="P447"/>
      <c r="Q447" s="25" t="s">
        <v>15</v>
      </c>
      <c r="R447" s="31"/>
      <c r="S447" s="32"/>
      <c r="T447" s="31"/>
      <c r="U447" s="33"/>
      <c r="V447" s="1967"/>
      <c r="W447" s="1805"/>
      <c r="X447" s="91"/>
      <c r="Y447" s="1806"/>
      <c r="Z447" s="1968"/>
      <c r="AA447" s="2244"/>
      <c r="AB447" s="1969"/>
      <c r="AC447" s="1365"/>
      <c r="AD447" s="95"/>
      <c r="AE447" s="1326"/>
      <c r="AF447" s="97"/>
      <c r="AG447" s="1737"/>
      <c r="AH447" s="1970"/>
      <c r="AI447" s="99"/>
      <c r="AJ447" s="1809"/>
      <c r="AK447" s="6120" t="str">
        <f t="shared" si="159"/>
        <v>►</v>
      </c>
      <c r="AL447" s="781" t="str">
        <f t="shared" si="161"/>
        <v>►</v>
      </c>
      <c r="AM447" s="5499" t="str">
        <f t="shared" si="164"/>
        <v/>
      </c>
      <c r="AN447" s="783" t="str">
        <f t="shared" si="165"/>
        <v/>
      </c>
      <c r="AO447" s="782" t="str">
        <f t="shared" si="166"/>
        <v/>
      </c>
      <c r="AP447" s="783" t="str">
        <f t="shared" si="167"/>
        <v/>
      </c>
      <c r="AQ447" s="2083" t="b">
        <f>AND(Q447="A",COUNTIF(BP16:BR63,TRIM(Z447))&gt;0)</f>
        <v>0</v>
      </c>
      <c r="AR447" s="797" t="str">
        <f>IF(AL447&lt;&gt;"A","",IFERROR(IFERROR(_xlfn.XLOOKUP(TRIM(SUBSTITUTE(Z447,CHAR(160)," ")),BP16:BP63,BS16:BS63),IFERROR(_xlfn.XLOOKUP(TRIM(SUBSTITUTE(Z447,CHAR(160)," ")),BQ16:BQ63,BS16:BS63),_xlfn.XLOOKUP(TRIM(SUBSTITUTE(Z447,CHAR(160)," ")),BR16:BR63,BS16:BS63)))*Y447*IF(ISBLANK(V447),1,V447),0))</f>
        <v/>
      </c>
      <c r="AS447" s="784" t="str">
        <f t="shared" si="157"/>
        <v/>
      </c>
      <c r="AT447" s="1315" t="str">
        <f t="shared" si="168"/>
        <v/>
      </c>
      <c r="AU447" s="785">
        <f t="shared" si="169"/>
        <v>0</v>
      </c>
      <c r="AV447" s="785">
        <f t="shared" si="170"/>
        <v>0</v>
      </c>
      <c r="AW447" s="786">
        <f>IF(AK447="A",AY10,0)</f>
        <v>0</v>
      </c>
      <c r="AX447" s="5495" t="str">
        <f>IF(IFERROR(SEARCH("Adresse PC",TRIM(W447)),0)&gt;0,"▼ receta siguiente",IF(AK447="A",IF(AZ10&lt;&gt;"",AZ10&amp;" - ou.or.o ❾ + or - &gt;",""),""))</f>
        <v/>
      </c>
      <c r="AY447" s="810"/>
      <c r="AZ447" s="810"/>
      <c r="BA447" s="788" t="str">
        <f t="shared" si="160"/>
        <v/>
      </c>
      <c r="BB447" s="789" t="str">
        <f>IF(AK447="A",IF(AQ447,IF(AND(AW447&lt;&gt;"",N(AW447)&gt;0),IFERROR(IFERROR(_xlfn.XLOOKUP(AP447,BP10:BP57,BT10:BT57),IFERROR(_xlfn.XLOOKUP(AP447,BQ10:BQ57,BT10:BT57),_xlfn.XLOOKUP(AP447,BR10:BR57,BT10:BT57,""))),""),""),""),"")</f>
        <v/>
      </c>
      <c r="BC447" s="811" cm="1">
        <f t="array" ref="BC447">IF(NOT(AQ447),0,IF(OR(BA447="",N(BA447)&lt;=0.000000001),"",IF(OR(AU447="",N(AU447)&lt;=0.000000001),0,IF(ISNUMBER(BA447),IFERROR(_xlfn.LET(_xlpm.ai_test,TRIM(AP447),_xlpm.r,IFERROR(_xlfn.XLOOKUP(_xlpm.ai_test,BP16:BP63,ROW(BP16:BP63),0,1),IFERROR(_xlfn.XLOOKUP(_xlpm.ai_test,BQ16:BQ63,ROW(BQ16:BQ63),0,1),_xlfn.XLOOKUP(_xlpm.ai_test,BR16:BR63,ROW(BR16:BR63),0,1))),_xlpm.p,_xlpm.r-MIN(ROW(BP16:BP63))+1,_xlpm.f,INDEX(BS16:BS63,_xlpm.p),_xlpm.u,INDEX(BT16:BT63,_xlpm.p),_xlpm.s,INDEX(BV16:BV63,_xlpm.p),_xlpm.q,N(BA447)/_xlpm.f,IF(_xlpm.q&gt;=_xlpm.s,ROUND(_xlpm.q,1)&amp;" "&amp;_xlpm.ai_test&amp;" = "&amp;ROUND(_xlpm.q*_xlpm.f,1)&amp;" "&amp;_xlpm.u,ROUND(_xlpm.q,1)&amp;" "&amp;_xlpm.ai_test)),""),""))))</f>
        <v>0</v>
      </c>
      <c r="BD447" s="801"/>
      <c r="BE447" s="788" t="str">
        <f t="shared" si="171"/>
        <v/>
      </c>
      <c r="BF447" s="789" t="str">
        <f t="shared" si="172"/>
        <v/>
      </c>
      <c r="BG447" s="790">
        <f t="shared" si="175"/>
        <v>0</v>
      </c>
      <c r="BH447" s="791" t="str">
        <f t="shared" si="176"/>
        <v/>
      </c>
      <c r="BI447" s="792"/>
      <c r="BJ447" s="793">
        <f t="shared" si="174"/>
        <v>0</v>
      </c>
      <c r="BK447" s="794" t="str">
        <f t="shared" si="173"/>
        <v/>
      </c>
      <c r="BL447" s="227" t="s">
        <v>21</v>
      </c>
      <c r="BM447" s="773">
        <f t="shared" si="162"/>
        <v>0</v>
      </c>
      <c r="BN447" s="774">
        <f t="shared" si="163"/>
        <v>0</v>
      </c>
      <c r="BO447"/>
      <c r="BX447"/>
      <c r="BY447"/>
      <c r="BZ447"/>
      <c r="CA447"/>
      <c r="CB447"/>
      <c r="CC447"/>
      <c r="CD447" s="781" t="str">
        <f t="shared" si="156"/>
        <v>►</v>
      </c>
      <c r="CE447" s="633"/>
      <c r="CF447" s="633"/>
      <c r="CG447" s="633"/>
      <c r="CH447" s="633"/>
      <c r="CI447" s="633"/>
      <c r="CJ447" s="227"/>
      <c r="CK447"/>
      <c r="CL447"/>
      <c r="CM447"/>
      <c r="CN447"/>
      <c r="CO447"/>
      <c r="CP447"/>
      <c r="CQ447"/>
      <c r="CR447" s="227"/>
      <c r="CS447"/>
      <c r="CT447"/>
      <c r="CU447"/>
      <c r="CV447"/>
      <c r="CW447"/>
      <c r="CX447"/>
      <c r="CY447"/>
      <c r="CZ447" s="227"/>
      <c r="DA447"/>
      <c r="DB447"/>
      <c r="DC447"/>
      <c r="DD447"/>
      <c r="DE447"/>
      <c r="DF447"/>
      <c r="DG447"/>
      <c r="DH447" s="227"/>
      <c r="DI447" s="3">
        <v>1</v>
      </c>
    </row>
    <row r="448" spans="2:113" s="627" customFormat="1" ht="21" customHeight="1">
      <c r="B448" s="2265" t="str" cm="1">
        <f t="array" ref="B448">SUMPRODUCT(--(D448:J448&lt;&gt;""), LEN(TRIM(SUBSTITUTE(D448:J448, CHAR(160), "")))) &amp; " Car."</f>
        <v>0 Car.</v>
      </c>
      <c r="C448" s="1376" t="str">
        <f>IF(ISBLANK(D448),"",LARGE(C13:C447,1)+1)</f>
        <v/>
      </c>
      <c r="D448" s="1833"/>
      <c r="E448" s="1810"/>
      <c r="F448" s="1810"/>
      <c r="G448" s="1810"/>
      <c r="H448" s="1810"/>
      <c r="I448" s="1810"/>
      <c r="J448" s="1810"/>
      <c r="K448" s="1810"/>
      <c r="L448" s="1811"/>
      <c r="M448"/>
      <c r="N448" s="103" t="str">
        <f t="shared" si="158"/>
        <v>►</v>
      </c>
      <c r="O448" s="1616"/>
      <c r="P448"/>
      <c r="Q448" s="25" t="s">
        <v>15</v>
      </c>
      <c r="R448" s="31"/>
      <c r="S448" s="32"/>
      <c r="T448" s="31"/>
      <c r="U448" s="33"/>
      <c r="V448" s="1967"/>
      <c r="W448" s="1805"/>
      <c r="X448" s="91"/>
      <c r="Y448" s="1806"/>
      <c r="Z448" s="1968"/>
      <c r="AA448" s="2244"/>
      <c r="AB448" s="1969"/>
      <c r="AC448" s="1365"/>
      <c r="AD448" s="95"/>
      <c r="AE448" s="1326"/>
      <c r="AF448" s="97"/>
      <c r="AG448" s="1737"/>
      <c r="AH448" s="1970"/>
      <c r="AI448" s="99"/>
      <c r="AJ448" s="1809"/>
      <c r="AK448" s="6120" t="str">
        <f t="shared" si="159"/>
        <v>►</v>
      </c>
      <c r="AL448" s="781" t="str">
        <f t="shared" si="161"/>
        <v>►</v>
      </c>
      <c r="AM448" s="5498" t="str">
        <f t="shared" si="164"/>
        <v/>
      </c>
      <c r="AN448" s="783" t="str">
        <f t="shared" si="165"/>
        <v/>
      </c>
      <c r="AO448" s="782" t="str">
        <f t="shared" si="166"/>
        <v/>
      </c>
      <c r="AP448" s="783" t="str">
        <f t="shared" si="167"/>
        <v/>
      </c>
      <c r="AQ448" s="2083" t="b">
        <f>AND(Q448="A",COUNTIF(BP16:BR63,TRIM(Z448))&gt;0)</f>
        <v>0</v>
      </c>
      <c r="AR448" s="797" t="str">
        <f>IF(AL448&lt;&gt;"A","",IFERROR(IFERROR(_xlfn.XLOOKUP(TRIM(SUBSTITUTE(Z448,CHAR(160)," ")),BP16:BP63,BS16:BS63),IFERROR(_xlfn.XLOOKUP(TRIM(SUBSTITUTE(Z448,CHAR(160)," ")),BQ16:BQ63,BS16:BS63),_xlfn.XLOOKUP(TRIM(SUBSTITUTE(Z448,CHAR(160)," ")),BR16:BR63,BS16:BS63)))*Y448*IF(ISBLANK(V448),1,V448),0))</f>
        <v/>
      </c>
      <c r="AS448" s="784" t="str">
        <f t="shared" si="157"/>
        <v/>
      </c>
      <c r="AT448" s="1315" t="str">
        <f t="shared" si="168"/>
        <v/>
      </c>
      <c r="AU448" s="785">
        <f t="shared" si="169"/>
        <v>0</v>
      </c>
      <c r="AV448" s="785">
        <f t="shared" si="170"/>
        <v>0</v>
      </c>
      <c r="AW448" s="798">
        <f>IF(AK448="A",AY10,0)</f>
        <v>0</v>
      </c>
      <c r="AX448" s="5496" t="str">
        <f>IF(IFERROR(SEARCH("Adresse PC",TRIM(W448)),0)&gt;0,"▼ receta siguiente",IF(AK448="A",IF(AZ10&lt;&gt;"",AZ10&amp;" - ou.or.o ❾ + or - &gt;",""),""))</f>
        <v/>
      </c>
      <c r="AY448" s="810"/>
      <c r="AZ448" s="810"/>
      <c r="BA448" s="799" t="str">
        <f t="shared" si="160"/>
        <v/>
      </c>
      <c r="BB448" s="800" t="str">
        <f>IF(AK448="A",IF(AQ448,IF(AND(AW448&lt;&gt;"",N(AW448)&gt;0),IFERROR(IFERROR(_xlfn.XLOOKUP(AP448,BP10:BP57,BT10:BT57),IFERROR(_xlfn.XLOOKUP(AP448,BQ10:BQ57,BT10:BT57),_xlfn.XLOOKUP(AP448,BR10:BR57,BT10:BT57,""))),""),""),""),"")</f>
        <v/>
      </c>
      <c r="BC448" s="813" cm="1">
        <f t="array" ref="BC448">IF(NOT(AQ448),0,IF(OR(BA448="",N(BA448)&lt;=0.000000001),"",IF(OR(AU448="",N(AU448)&lt;=0.000000001),0,IF(ISNUMBER(BA448),IFERROR(_xlfn.LET(_xlpm.ai_test,TRIM(AP448),_xlpm.r,IFERROR(_xlfn.XLOOKUP(_xlpm.ai_test,BP16:BP63,ROW(BP16:BP63),0,1),IFERROR(_xlfn.XLOOKUP(_xlpm.ai_test,BQ16:BQ63,ROW(BQ16:BQ63),0,1),_xlfn.XLOOKUP(_xlpm.ai_test,BR16:BR63,ROW(BR16:BR63),0,1))),_xlpm.p,_xlpm.r-MIN(ROW(BP16:BP63))+1,_xlpm.f,INDEX(BS16:BS63,_xlpm.p),_xlpm.u,INDEX(BT16:BT63,_xlpm.p),_xlpm.s,INDEX(BV16:BV63,_xlpm.p),_xlpm.q,N(BA448)/_xlpm.f,IF(_xlpm.q&gt;=_xlpm.s,ROUND(_xlpm.q,1)&amp;" "&amp;_xlpm.ai_test&amp;" = "&amp;ROUND(_xlpm.q*_xlpm.f,1)&amp;" "&amp;_xlpm.u,ROUND(_xlpm.q,1)&amp;" "&amp;_xlpm.ai_test)),""),""))))</f>
        <v>0</v>
      </c>
      <c r="BD448" s="801"/>
      <c r="BE448" s="799" t="str">
        <f t="shared" si="171"/>
        <v/>
      </c>
      <c r="BF448" s="800" t="str">
        <f t="shared" si="172"/>
        <v/>
      </c>
      <c r="BG448" s="802">
        <f t="shared" si="175"/>
        <v>0</v>
      </c>
      <c r="BH448" s="803" t="str">
        <f t="shared" si="176"/>
        <v/>
      </c>
      <c r="BI448" s="792"/>
      <c r="BJ448" s="804">
        <f t="shared" si="174"/>
        <v>0</v>
      </c>
      <c r="BK448" s="794" t="str">
        <f t="shared" si="173"/>
        <v/>
      </c>
      <c r="BL448" s="227" t="s">
        <v>21</v>
      </c>
      <c r="BM448" s="773">
        <f t="shared" si="162"/>
        <v>0</v>
      </c>
      <c r="BN448" s="774">
        <f t="shared" si="163"/>
        <v>0</v>
      </c>
      <c r="BO448"/>
      <c r="BX448"/>
      <c r="BY448"/>
      <c r="BZ448"/>
      <c r="CA448"/>
      <c r="CB448"/>
      <c r="CC448"/>
      <c r="CD448" s="781" t="str">
        <f t="shared" si="156"/>
        <v>►</v>
      </c>
      <c r="CE448" s="633"/>
      <c r="CF448" s="633"/>
      <c r="CG448" s="633"/>
      <c r="CH448" s="633"/>
      <c r="CI448" s="633"/>
      <c r="CJ448" s="227"/>
      <c r="CK448"/>
      <c r="CL448"/>
      <c r="CM448"/>
      <c r="CN448"/>
      <c r="CO448"/>
      <c r="CP448"/>
      <c r="CQ448"/>
      <c r="CR448" s="227"/>
      <c r="CS448"/>
      <c r="CT448"/>
      <c r="CU448"/>
      <c r="CV448"/>
      <c r="CW448"/>
      <c r="CX448"/>
      <c r="CY448"/>
      <c r="CZ448" s="227"/>
      <c r="DA448"/>
      <c r="DB448"/>
      <c r="DC448"/>
      <c r="DD448"/>
      <c r="DE448"/>
      <c r="DF448"/>
      <c r="DG448"/>
      <c r="DH448" s="227"/>
      <c r="DI448" s="3">
        <v>1</v>
      </c>
    </row>
    <row r="449" spans="2:113" s="627" customFormat="1" ht="21" customHeight="1">
      <c r="B449" s="2265" t="str" cm="1">
        <f t="array" ref="B449">SUMPRODUCT(--(D449:J449&lt;&gt;""), LEN(TRIM(SUBSTITUTE(D449:J449, CHAR(160), "")))) &amp; " Car."</f>
        <v>0 Car.</v>
      </c>
      <c r="C449" s="1376" t="str">
        <f>IF(ISBLANK(D449),"",LARGE(C13:C448,1)+1)</f>
        <v/>
      </c>
      <c r="D449" s="1833"/>
      <c r="E449" s="1810"/>
      <c r="F449" s="1810"/>
      <c r="G449" s="1810"/>
      <c r="H449" s="1810"/>
      <c r="I449" s="1810"/>
      <c r="J449" s="1810"/>
      <c r="K449" s="1810"/>
      <c r="L449" s="1811"/>
      <c r="M449"/>
      <c r="N449" s="103" t="str">
        <f t="shared" si="158"/>
        <v>►</v>
      </c>
      <c r="O449" s="1616"/>
      <c r="P449"/>
      <c r="Q449" s="25" t="s">
        <v>15</v>
      </c>
      <c r="R449" s="31"/>
      <c r="S449" s="32"/>
      <c r="T449" s="31"/>
      <c r="U449" s="33"/>
      <c r="V449" s="1967"/>
      <c r="W449" s="1805"/>
      <c r="X449" s="91"/>
      <c r="Y449" s="1806"/>
      <c r="Z449" s="1968"/>
      <c r="AA449" s="2244"/>
      <c r="AB449" s="1969"/>
      <c r="AC449" s="1365"/>
      <c r="AD449" s="95"/>
      <c r="AE449" s="1326"/>
      <c r="AF449" s="97"/>
      <c r="AG449" s="1737"/>
      <c r="AH449" s="1970"/>
      <c r="AI449" s="99"/>
      <c r="AJ449" s="1809"/>
      <c r="AK449" s="6120" t="str">
        <f t="shared" si="159"/>
        <v>►</v>
      </c>
      <c r="AL449" s="781" t="str">
        <f t="shared" si="161"/>
        <v>►</v>
      </c>
      <c r="AM449" s="5499" t="str">
        <f t="shared" si="164"/>
        <v/>
      </c>
      <c r="AN449" s="783" t="str">
        <f t="shared" si="165"/>
        <v/>
      </c>
      <c r="AO449" s="782" t="str">
        <f t="shared" si="166"/>
        <v/>
      </c>
      <c r="AP449" s="783" t="str">
        <f t="shared" si="167"/>
        <v/>
      </c>
      <c r="AQ449" s="2083" t="b">
        <f>AND(Q449="A",COUNTIF(BP16:BR63,TRIM(Z449))&gt;0)</f>
        <v>0</v>
      </c>
      <c r="AR449" s="797" t="str">
        <f>IF(AL449&lt;&gt;"A","",IFERROR(IFERROR(_xlfn.XLOOKUP(TRIM(SUBSTITUTE(Z449,CHAR(160)," ")),BP16:BP63,BS16:BS63),IFERROR(_xlfn.XLOOKUP(TRIM(SUBSTITUTE(Z449,CHAR(160)," ")),BQ16:BQ63,BS16:BS63),_xlfn.XLOOKUP(TRIM(SUBSTITUTE(Z449,CHAR(160)," ")),BR16:BR63,BS16:BS63)))*Y449*IF(ISBLANK(V449),1,V449),0))</f>
        <v/>
      </c>
      <c r="AS449" s="784" t="str">
        <f t="shared" si="157"/>
        <v/>
      </c>
      <c r="AT449" s="1315" t="str">
        <f t="shared" si="168"/>
        <v/>
      </c>
      <c r="AU449" s="785">
        <f t="shared" si="169"/>
        <v>0</v>
      </c>
      <c r="AV449" s="785">
        <f t="shared" si="170"/>
        <v>0</v>
      </c>
      <c r="AW449" s="786">
        <f>IF(AK449="A",AY10,0)</f>
        <v>0</v>
      </c>
      <c r="AX449" s="5495" t="str">
        <f>IF(IFERROR(SEARCH("Adresse PC",TRIM(W449)),0)&gt;0,"▼ receta siguiente",IF(AK449="A",IF(AZ10&lt;&gt;"",AZ10&amp;" - ou.or.o ❾ + or - &gt;",""),""))</f>
        <v/>
      </c>
      <c r="AY449" s="810"/>
      <c r="AZ449" s="810"/>
      <c r="BA449" s="788" t="str">
        <f t="shared" si="160"/>
        <v/>
      </c>
      <c r="BB449" s="789" t="str">
        <f>IF(AK449="A",IF(AQ449,IF(AND(AW449&lt;&gt;"",N(AW449)&gt;0),IFERROR(IFERROR(_xlfn.XLOOKUP(AP449,BP10:BP57,BT10:BT57),IFERROR(_xlfn.XLOOKUP(AP449,BQ10:BQ57,BT10:BT57),_xlfn.XLOOKUP(AP449,BR10:BR57,BT10:BT57,""))),""),""),""),"")</f>
        <v/>
      </c>
      <c r="BC449" s="811" cm="1">
        <f t="array" ref="BC449">IF(NOT(AQ449),0,IF(OR(BA449="",N(BA449)&lt;=0.000000001),"",IF(OR(AU449="",N(AU449)&lt;=0.000000001),0,IF(ISNUMBER(BA449),IFERROR(_xlfn.LET(_xlpm.ai_test,TRIM(AP449),_xlpm.r,IFERROR(_xlfn.XLOOKUP(_xlpm.ai_test,BP16:BP63,ROW(BP16:BP63),0,1),IFERROR(_xlfn.XLOOKUP(_xlpm.ai_test,BQ16:BQ63,ROW(BQ16:BQ63),0,1),_xlfn.XLOOKUP(_xlpm.ai_test,BR16:BR63,ROW(BR16:BR63),0,1))),_xlpm.p,_xlpm.r-MIN(ROW(BP16:BP63))+1,_xlpm.f,INDEX(BS16:BS63,_xlpm.p),_xlpm.u,INDEX(BT16:BT63,_xlpm.p),_xlpm.s,INDEX(BV16:BV63,_xlpm.p),_xlpm.q,N(BA449)/_xlpm.f,IF(_xlpm.q&gt;=_xlpm.s,ROUND(_xlpm.q,1)&amp;" "&amp;_xlpm.ai_test&amp;" = "&amp;ROUND(_xlpm.q*_xlpm.f,1)&amp;" "&amp;_xlpm.u,ROUND(_xlpm.q,1)&amp;" "&amp;_xlpm.ai_test)),""),""))))</f>
        <v>0</v>
      </c>
      <c r="BD449" s="801"/>
      <c r="BE449" s="788" t="str">
        <f t="shared" si="171"/>
        <v/>
      </c>
      <c r="BF449" s="789" t="str">
        <f t="shared" si="172"/>
        <v/>
      </c>
      <c r="BG449" s="790">
        <f t="shared" si="175"/>
        <v>0</v>
      </c>
      <c r="BH449" s="791" t="str">
        <f t="shared" si="176"/>
        <v/>
      </c>
      <c r="BI449" s="792"/>
      <c r="BJ449" s="793">
        <f t="shared" si="174"/>
        <v>0</v>
      </c>
      <c r="BK449" s="794" t="str">
        <f t="shared" si="173"/>
        <v/>
      </c>
      <c r="BL449" s="227" t="s">
        <v>21</v>
      </c>
      <c r="BM449" s="773">
        <f t="shared" si="162"/>
        <v>0</v>
      </c>
      <c r="BN449" s="774">
        <f t="shared" si="163"/>
        <v>0</v>
      </c>
      <c r="BO449"/>
      <c r="BX449"/>
      <c r="BY449"/>
      <c r="BZ449"/>
      <c r="CA449"/>
      <c r="CB449"/>
      <c r="CC449"/>
      <c r="CD449" s="781" t="str">
        <f t="shared" si="156"/>
        <v>►</v>
      </c>
      <c r="CE449" s="633"/>
      <c r="CF449" s="633"/>
      <c r="CG449" s="633"/>
      <c r="CH449" s="633"/>
      <c r="CI449" s="633"/>
      <c r="CJ449" s="227"/>
      <c r="CK449"/>
      <c r="CL449"/>
      <c r="CM449"/>
      <c r="CN449"/>
      <c r="CO449"/>
      <c r="CP449"/>
      <c r="CQ449"/>
      <c r="CR449" s="227"/>
      <c r="CS449"/>
      <c r="CT449"/>
      <c r="CU449"/>
      <c r="CV449"/>
      <c r="CW449"/>
      <c r="CX449"/>
      <c r="CY449"/>
      <c r="CZ449" s="227"/>
      <c r="DA449"/>
      <c r="DB449"/>
      <c r="DC449"/>
      <c r="DD449"/>
      <c r="DE449"/>
      <c r="DF449"/>
      <c r="DG449"/>
      <c r="DH449" s="227"/>
      <c r="DI449" s="3">
        <v>1</v>
      </c>
    </row>
    <row r="450" spans="2:113" s="627" customFormat="1" ht="21" customHeight="1">
      <c r="B450" s="2265" t="str" cm="1">
        <f t="array" ref="B450">SUMPRODUCT(--(D450:J450&lt;&gt;""), LEN(TRIM(SUBSTITUTE(D450:J450, CHAR(160), "")))) &amp; " Car."</f>
        <v>0 Car.</v>
      </c>
      <c r="C450" s="1376" t="str">
        <f>IF(ISBLANK(D450),"",LARGE(C13:C449,1)+1)</f>
        <v/>
      </c>
      <c r="D450" s="1833"/>
      <c r="E450" s="1810"/>
      <c r="F450" s="1810"/>
      <c r="G450" s="1810"/>
      <c r="H450" s="1810"/>
      <c r="I450" s="1810"/>
      <c r="J450" s="1810"/>
      <c r="K450" s="1810"/>
      <c r="L450" s="1811"/>
      <c r="M450"/>
      <c r="N450" s="103" t="str">
        <f t="shared" si="158"/>
        <v>►</v>
      </c>
      <c r="O450" s="1616"/>
      <c r="P450"/>
      <c r="Q450" s="25" t="s">
        <v>15</v>
      </c>
      <c r="R450" s="31"/>
      <c r="S450" s="32"/>
      <c r="T450" s="31"/>
      <c r="U450" s="33"/>
      <c r="V450" s="1967"/>
      <c r="W450" s="1805"/>
      <c r="X450" s="91"/>
      <c r="Y450" s="1806"/>
      <c r="Z450" s="1968"/>
      <c r="AA450" s="2244"/>
      <c r="AB450" s="1969"/>
      <c r="AC450" s="1365"/>
      <c r="AD450" s="95"/>
      <c r="AE450" s="1326"/>
      <c r="AF450" s="97"/>
      <c r="AG450" s="1737"/>
      <c r="AH450" s="1970"/>
      <c r="AI450" s="99"/>
      <c r="AJ450" s="1809"/>
      <c r="AK450" s="6120" t="str">
        <f t="shared" si="159"/>
        <v>►</v>
      </c>
      <c r="AL450" s="781" t="str">
        <f t="shared" si="161"/>
        <v>►</v>
      </c>
      <c r="AM450" s="5498" t="str">
        <f t="shared" si="164"/>
        <v/>
      </c>
      <c r="AN450" s="783" t="str">
        <f t="shared" si="165"/>
        <v/>
      </c>
      <c r="AO450" s="782" t="str">
        <f t="shared" si="166"/>
        <v/>
      </c>
      <c r="AP450" s="783" t="str">
        <f t="shared" si="167"/>
        <v/>
      </c>
      <c r="AQ450" s="2083" t="b">
        <f>AND(Q450="A",COUNTIF(BP16:BR63,TRIM(Z450))&gt;0)</f>
        <v>0</v>
      </c>
      <c r="AR450" s="797" t="str">
        <f>IF(AL450&lt;&gt;"A","",IFERROR(IFERROR(_xlfn.XLOOKUP(TRIM(SUBSTITUTE(Z450,CHAR(160)," ")),BP16:BP63,BS16:BS63),IFERROR(_xlfn.XLOOKUP(TRIM(SUBSTITUTE(Z450,CHAR(160)," ")),BQ16:BQ63,BS16:BS63),_xlfn.XLOOKUP(TRIM(SUBSTITUTE(Z450,CHAR(160)," ")),BR16:BR63,BS16:BS63)))*Y450*IF(ISBLANK(V450),1,V450),0))</f>
        <v/>
      </c>
      <c r="AS450" s="784" t="str">
        <f t="shared" si="157"/>
        <v/>
      </c>
      <c r="AT450" s="1315" t="str">
        <f t="shared" si="168"/>
        <v/>
      </c>
      <c r="AU450" s="785">
        <f t="shared" si="169"/>
        <v>0</v>
      </c>
      <c r="AV450" s="785">
        <f t="shared" si="170"/>
        <v>0</v>
      </c>
      <c r="AW450" s="798">
        <f>IF(AK450="A",AY10,0)</f>
        <v>0</v>
      </c>
      <c r="AX450" s="5496" t="str">
        <f>IF(IFERROR(SEARCH("Adresse PC",TRIM(W450)),0)&gt;0,"▼ receta siguiente",IF(AK450="A",IF(AZ10&lt;&gt;"",AZ10&amp;" - ou.or.o ❾ + or - &gt;",""),""))</f>
        <v/>
      </c>
      <c r="AY450" s="810"/>
      <c r="AZ450" s="810"/>
      <c r="BA450" s="799" t="str">
        <f t="shared" si="160"/>
        <v/>
      </c>
      <c r="BB450" s="800" t="str">
        <f>IF(AK450="A",IF(AQ450,IF(AND(AW450&lt;&gt;"",N(AW450)&gt;0),IFERROR(IFERROR(_xlfn.XLOOKUP(AP450,BP10:BP57,BT10:BT57),IFERROR(_xlfn.XLOOKUP(AP450,BQ10:BQ57,BT10:BT57),_xlfn.XLOOKUP(AP450,BR10:BR57,BT10:BT57,""))),""),""),""),"")</f>
        <v/>
      </c>
      <c r="BC450" s="813" cm="1">
        <f t="array" ref="BC450">IF(NOT(AQ450),0,IF(OR(BA450="",N(BA450)&lt;=0.000000001),"",IF(OR(AU450="",N(AU450)&lt;=0.000000001),0,IF(ISNUMBER(BA450),IFERROR(_xlfn.LET(_xlpm.ai_test,TRIM(AP450),_xlpm.r,IFERROR(_xlfn.XLOOKUP(_xlpm.ai_test,BP16:BP63,ROW(BP16:BP63),0,1),IFERROR(_xlfn.XLOOKUP(_xlpm.ai_test,BQ16:BQ63,ROW(BQ16:BQ63),0,1),_xlfn.XLOOKUP(_xlpm.ai_test,BR16:BR63,ROW(BR16:BR63),0,1))),_xlpm.p,_xlpm.r-MIN(ROW(BP16:BP63))+1,_xlpm.f,INDEX(BS16:BS63,_xlpm.p),_xlpm.u,INDEX(BT16:BT63,_xlpm.p),_xlpm.s,INDEX(BV16:BV63,_xlpm.p),_xlpm.q,N(BA450)/_xlpm.f,IF(_xlpm.q&gt;=_xlpm.s,ROUND(_xlpm.q,1)&amp;" "&amp;_xlpm.ai_test&amp;" = "&amp;ROUND(_xlpm.q*_xlpm.f,1)&amp;" "&amp;_xlpm.u,ROUND(_xlpm.q,1)&amp;" "&amp;_xlpm.ai_test)),""),""))))</f>
        <v>0</v>
      </c>
      <c r="BD450" s="801"/>
      <c r="BE450" s="799" t="str">
        <f t="shared" si="171"/>
        <v/>
      </c>
      <c r="BF450" s="800" t="str">
        <f t="shared" si="172"/>
        <v/>
      </c>
      <c r="BG450" s="802">
        <f t="shared" si="175"/>
        <v>0</v>
      </c>
      <c r="BH450" s="803" t="str">
        <f t="shared" si="176"/>
        <v/>
      </c>
      <c r="BI450" s="792"/>
      <c r="BJ450" s="804">
        <f t="shared" si="174"/>
        <v>0</v>
      </c>
      <c r="BK450" s="794" t="str">
        <f t="shared" si="173"/>
        <v/>
      </c>
      <c r="BL450" s="227" t="s">
        <v>21</v>
      </c>
      <c r="BM450" s="773">
        <f t="shared" si="162"/>
        <v>0</v>
      </c>
      <c r="BN450" s="774">
        <f t="shared" si="163"/>
        <v>0</v>
      </c>
      <c r="BO450"/>
      <c r="BX450"/>
      <c r="BY450"/>
      <c r="BZ450"/>
      <c r="CA450"/>
      <c r="CB450"/>
      <c r="CC450"/>
      <c r="CD450" s="781" t="str">
        <f t="shared" si="156"/>
        <v>►</v>
      </c>
      <c r="CE450" s="633"/>
      <c r="CF450" s="633"/>
      <c r="CG450" s="633"/>
      <c r="CH450" s="633"/>
      <c r="CI450" s="633"/>
      <c r="CJ450" s="227"/>
      <c r="CK450"/>
      <c r="CL450"/>
      <c r="CM450"/>
      <c r="CN450"/>
      <c r="CO450"/>
      <c r="CP450"/>
      <c r="CQ450"/>
      <c r="CR450" s="227"/>
      <c r="CS450"/>
      <c r="CT450"/>
      <c r="CU450"/>
      <c r="CV450"/>
      <c r="CW450"/>
      <c r="CX450"/>
      <c r="CY450"/>
      <c r="CZ450" s="227"/>
      <c r="DA450"/>
      <c r="DB450"/>
      <c r="DC450"/>
      <c r="DD450"/>
      <c r="DE450"/>
      <c r="DF450"/>
      <c r="DG450"/>
      <c r="DH450" s="227"/>
      <c r="DI450" s="3">
        <v>1</v>
      </c>
    </row>
    <row r="451" spans="2:113" s="627" customFormat="1" ht="21" customHeight="1">
      <c r="B451" s="2265" t="str" cm="1">
        <f t="array" ref="B451">SUMPRODUCT(--(D451:J451&lt;&gt;""), LEN(TRIM(SUBSTITUTE(D451:J451, CHAR(160), "")))) &amp; " Car."</f>
        <v>0 Car.</v>
      </c>
      <c r="C451" s="1376" t="str">
        <f>IF(ISBLANK(D451),"",LARGE(C13:C450,1)+1)</f>
        <v/>
      </c>
      <c r="D451" s="1833"/>
      <c r="E451" s="1810"/>
      <c r="F451" s="1810"/>
      <c r="G451" s="1810"/>
      <c r="H451" s="1810"/>
      <c r="I451" s="1810"/>
      <c r="J451" s="1810"/>
      <c r="K451" s="1810"/>
      <c r="L451" s="1811"/>
      <c r="M451"/>
      <c r="N451" s="103" t="str">
        <f t="shared" si="158"/>
        <v>►</v>
      </c>
      <c r="O451" s="1616"/>
      <c r="P451"/>
      <c r="Q451" s="25" t="s">
        <v>15</v>
      </c>
      <c r="R451" s="31"/>
      <c r="S451" s="32"/>
      <c r="T451" s="31"/>
      <c r="U451" s="33"/>
      <c r="V451" s="1967"/>
      <c r="W451" s="1805"/>
      <c r="X451" s="91"/>
      <c r="Y451" s="1806"/>
      <c r="Z451" s="1968"/>
      <c r="AA451" s="2244"/>
      <c r="AB451" s="1969"/>
      <c r="AC451" s="1365"/>
      <c r="AD451" s="95"/>
      <c r="AE451" s="1326"/>
      <c r="AF451" s="97"/>
      <c r="AG451" s="1737"/>
      <c r="AH451" s="1970"/>
      <c r="AI451" s="99"/>
      <c r="AJ451" s="1809"/>
      <c r="AK451" s="6120" t="str">
        <f t="shared" si="159"/>
        <v>►</v>
      </c>
      <c r="AL451" s="781" t="str">
        <f t="shared" si="161"/>
        <v>►</v>
      </c>
      <c r="AM451" s="5499" t="str">
        <f t="shared" si="164"/>
        <v/>
      </c>
      <c r="AN451" s="783" t="str">
        <f t="shared" si="165"/>
        <v/>
      </c>
      <c r="AO451" s="782" t="str">
        <f t="shared" si="166"/>
        <v/>
      </c>
      <c r="AP451" s="783" t="str">
        <f t="shared" si="167"/>
        <v/>
      </c>
      <c r="AQ451" s="2083" t="b">
        <f>AND(Q451="A",COUNTIF(BP16:BR63,TRIM(Z451))&gt;0)</f>
        <v>0</v>
      </c>
      <c r="AR451" s="797" t="str">
        <f>IF(AL451&lt;&gt;"A","",IFERROR(IFERROR(_xlfn.XLOOKUP(TRIM(SUBSTITUTE(Z451,CHAR(160)," ")),BP16:BP63,BS16:BS63),IFERROR(_xlfn.XLOOKUP(TRIM(SUBSTITUTE(Z451,CHAR(160)," ")),BQ16:BQ63,BS16:BS63),_xlfn.XLOOKUP(TRIM(SUBSTITUTE(Z451,CHAR(160)," ")),BR16:BR63,BS16:BS63)))*Y451*IF(ISBLANK(V451),1,V451),0))</f>
        <v/>
      </c>
      <c r="AS451" s="784" t="str">
        <f t="shared" si="157"/>
        <v/>
      </c>
      <c r="AT451" s="1315" t="str">
        <f t="shared" si="168"/>
        <v/>
      </c>
      <c r="AU451" s="785">
        <f t="shared" si="169"/>
        <v>0</v>
      </c>
      <c r="AV451" s="785">
        <f t="shared" si="170"/>
        <v>0</v>
      </c>
      <c r="AW451" s="786">
        <f>IF(AK451="A",AY10,0)</f>
        <v>0</v>
      </c>
      <c r="AX451" s="5495" t="str">
        <f>IF(IFERROR(SEARCH("Adresse PC",TRIM(W451)),0)&gt;0,"▼ receta siguiente",IF(AK451="A",IF(AZ10&lt;&gt;"",AZ10&amp;" - ou.or.o ❾ + or - &gt;",""),""))</f>
        <v/>
      </c>
      <c r="AY451" s="810"/>
      <c r="AZ451" s="810"/>
      <c r="BA451" s="788" t="str">
        <f t="shared" si="160"/>
        <v/>
      </c>
      <c r="BB451" s="789" t="str">
        <f>IF(AK451="A",IF(AQ451,IF(AND(AW451&lt;&gt;"",N(AW451)&gt;0),IFERROR(IFERROR(_xlfn.XLOOKUP(AP451,BP10:BP57,BT10:BT57),IFERROR(_xlfn.XLOOKUP(AP451,BQ10:BQ57,BT10:BT57),_xlfn.XLOOKUP(AP451,BR10:BR57,BT10:BT57,""))),""),""),""),"")</f>
        <v/>
      </c>
      <c r="BC451" s="811" cm="1">
        <f t="array" ref="BC451">IF(NOT(AQ451),0,IF(OR(BA451="",N(BA451)&lt;=0.000000001),"",IF(OR(AU451="",N(AU451)&lt;=0.000000001),0,IF(ISNUMBER(BA451),IFERROR(_xlfn.LET(_xlpm.ai_test,TRIM(AP451),_xlpm.r,IFERROR(_xlfn.XLOOKUP(_xlpm.ai_test,BP16:BP63,ROW(BP16:BP63),0,1),IFERROR(_xlfn.XLOOKUP(_xlpm.ai_test,BQ16:BQ63,ROW(BQ16:BQ63),0,1),_xlfn.XLOOKUP(_xlpm.ai_test,BR16:BR63,ROW(BR16:BR63),0,1))),_xlpm.p,_xlpm.r-MIN(ROW(BP16:BP63))+1,_xlpm.f,INDEX(BS16:BS63,_xlpm.p),_xlpm.u,INDEX(BT16:BT63,_xlpm.p),_xlpm.s,INDEX(BV16:BV63,_xlpm.p),_xlpm.q,N(BA451)/_xlpm.f,IF(_xlpm.q&gt;=_xlpm.s,ROUND(_xlpm.q,1)&amp;" "&amp;_xlpm.ai_test&amp;" = "&amp;ROUND(_xlpm.q*_xlpm.f,1)&amp;" "&amp;_xlpm.u,ROUND(_xlpm.q,1)&amp;" "&amp;_xlpm.ai_test)),""),""))))</f>
        <v>0</v>
      </c>
      <c r="BD451" s="801"/>
      <c r="BE451" s="788" t="str">
        <f t="shared" si="171"/>
        <v/>
      </c>
      <c r="BF451" s="789" t="str">
        <f t="shared" si="172"/>
        <v/>
      </c>
      <c r="BG451" s="790">
        <f t="shared" si="175"/>
        <v>0</v>
      </c>
      <c r="BH451" s="791" t="str">
        <f t="shared" si="176"/>
        <v/>
      </c>
      <c r="BI451" s="792"/>
      <c r="BJ451" s="793">
        <f t="shared" si="174"/>
        <v>0</v>
      </c>
      <c r="BK451" s="794" t="str">
        <f t="shared" si="173"/>
        <v/>
      </c>
      <c r="BL451" s="227" t="s">
        <v>21</v>
      </c>
      <c r="BM451" s="773">
        <f t="shared" si="162"/>
        <v>0</v>
      </c>
      <c r="BN451" s="774">
        <f t="shared" si="163"/>
        <v>0</v>
      </c>
      <c r="BO451"/>
      <c r="BX451"/>
      <c r="BY451"/>
      <c r="BZ451"/>
      <c r="CA451"/>
      <c r="CB451"/>
      <c r="CC451"/>
      <c r="CD451" s="781" t="str">
        <f t="shared" si="156"/>
        <v>►</v>
      </c>
      <c r="CE451" s="633"/>
      <c r="CF451" s="633"/>
      <c r="CG451" s="633"/>
      <c r="CH451" s="633"/>
      <c r="CI451" s="633"/>
      <c r="CJ451" s="227"/>
      <c r="CK451"/>
      <c r="CL451"/>
      <c r="CM451"/>
      <c r="CN451"/>
      <c r="CO451"/>
      <c r="CP451"/>
      <c r="CQ451"/>
      <c r="CR451" s="227"/>
      <c r="CS451"/>
      <c r="CT451"/>
      <c r="CU451"/>
      <c r="CV451"/>
      <c r="CW451"/>
      <c r="CX451"/>
      <c r="CY451"/>
      <c r="CZ451" s="227"/>
      <c r="DA451"/>
      <c r="DB451"/>
      <c r="DC451"/>
      <c r="DD451"/>
      <c r="DE451"/>
      <c r="DF451"/>
      <c r="DG451"/>
      <c r="DH451" s="227"/>
      <c r="DI451" s="3">
        <v>1</v>
      </c>
    </row>
    <row r="452" spans="2:113" s="627" customFormat="1" ht="21" customHeight="1">
      <c r="B452" s="2265" t="str" cm="1">
        <f t="array" ref="B452">SUMPRODUCT(--(D452:J452&lt;&gt;""), LEN(TRIM(SUBSTITUTE(D452:J452, CHAR(160), "")))) &amp; " Car."</f>
        <v>0 Car.</v>
      </c>
      <c r="C452" s="1376" t="str">
        <f>IF(ISBLANK(D452),"",LARGE(C13:C451,1)+1)</f>
        <v/>
      </c>
      <c r="D452" s="1833"/>
      <c r="E452" s="1810"/>
      <c r="F452" s="1810"/>
      <c r="G452" s="1810"/>
      <c r="H452" s="1810"/>
      <c r="I452" s="1810"/>
      <c r="J452" s="1810"/>
      <c r="K452" s="1810"/>
      <c r="L452" s="1811"/>
      <c r="M452"/>
      <c r="N452" s="103" t="str">
        <f t="shared" si="158"/>
        <v>►</v>
      </c>
      <c r="O452" s="1616"/>
      <c r="P452"/>
      <c r="Q452" s="25" t="s">
        <v>15</v>
      </c>
      <c r="R452" s="31"/>
      <c r="S452" s="32"/>
      <c r="T452" s="31"/>
      <c r="U452" s="33"/>
      <c r="V452" s="1967"/>
      <c r="W452" s="1805"/>
      <c r="X452" s="91"/>
      <c r="Y452" s="1806"/>
      <c r="Z452" s="1968"/>
      <c r="AA452" s="2244"/>
      <c r="AB452" s="1969"/>
      <c r="AC452" s="1365"/>
      <c r="AD452" s="95"/>
      <c r="AE452" s="1326"/>
      <c r="AF452" s="97"/>
      <c r="AG452" s="1737"/>
      <c r="AH452" s="1970"/>
      <c r="AI452" s="99"/>
      <c r="AJ452" s="1809"/>
      <c r="AK452" s="6120" t="str">
        <f t="shared" si="159"/>
        <v>►</v>
      </c>
      <c r="AL452" s="781" t="str">
        <f t="shared" si="161"/>
        <v>►</v>
      </c>
      <c r="AM452" s="5498" t="str">
        <f t="shared" si="164"/>
        <v/>
      </c>
      <c r="AN452" s="783" t="str">
        <f t="shared" si="165"/>
        <v/>
      </c>
      <c r="AO452" s="782" t="str">
        <f t="shared" si="166"/>
        <v/>
      </c>
      <c r="AP452" s="783" t="str">
        <f t="shared" si="167"/>
        <v/>
      </c>
      <c r="AQ452" s="2083" t="b">
        <f>AND(Q452="A",COUNTIF(BP16:BR63,TRIM(Z452))&gt;0)</f>
        <v>0</v>
      </c>
      <c r="AR452" s="797" t="str">
        <f>IF(AL452&lt;&gt;"A","",IFERROR(IFERROR(_xlfn.XLOOKUP(TRIM(SUBSTITUTE(Z452,CHAR(160)," ")),BP16:BP63,BS16:BS63),IFERROR(_xlfn.XLOOKUP(TRIM(SUBSTITUTE(Z452,CHAR(160)," ")),BQ16:BQ63,BS16:BS63),_xlfn.XLOOKUP(TRIM(SUBSTITUTE(Z452,CHAR(160)," ")),BR16:BR63,BS16:BS63)))*Y452*IF(ISBLANK(V452),1,V452),0))</f>
        <v/>
      </c>
      <c r="AS452" s="784" t="str">
        <f t="shared" si="157"/>
        <v/>
      </c>
      <c r="AT452" s="1315" t="str">
        <f t="shared" si="168"/>
        <v/>
      </c>
      <c r="AU452" s="785">
        <f t="shared" si="169"/>
        <v>0</v>
      </c>
      <c r="AV452" s="785">
        <f t="shared" si="170"/>
        <v>0</v>
      </c>
      <c r="AW452" s="798">
        <f>IF(AK452="A",AY10,0)</f>
        <v>0</v>
      </c>
      <c r="AX452" s="5496" t="str">
        <f>IF(IFERROR(SEARCH("Adresse PC",TRIM(W452)),0)&gt;0,"▼ receta siguiente",IF(AK452="A",IF(AZ10&lt;&gt;"",AZ10&amp;" - ou.or.o ❾ + or - &gt;",""),""))</f>
        <v/>
      </c>
      <c r="AY452" s="810"/>
      <c r="AZ452" s="810"/>
      <c r="BA452" s="799" t="str">
        <f t="shared" si="160"/>
        <v/>
      </c>
      <c r="BB452" s="800" t="str">
        <f>IF(AK452="A",IF(AQ452,IF(AND(AW452&lt;&gt;"",N(AW452)&gt;0),IFERROR(IFERROR(_xlfn.XLOOKUP(AP452,BP10:BP57,BT10:BT57),IFERROR(_xlfn.XLOOKUP(AP452,BQ10:BQ57,BT10:BT57),_xlfn.XLOOKUP(AP452,BR10:BR57,BT10:BT57,""))),""),""),""),"")</f>
        <v/>
      </c>
      <c r="BC452" s="813" cm="1">
        <f t="array" ref="BC452">IF(NOT(AQ452),0,IF(OR(BA452="",N(BA452)&lt;=0.000000001),"",IF(OR(AU452="",N(AU452)&lt;=0.000000001),0,IF(ISNUMBER(BA452),IFERROR(_xlfn.LET(_xlpm.ai_test,TRIM(AP452),_xlpm.r,IFERROR(_xlfn.XLOOKUP(_xlpm.ai_test,BP16:BP63,ROW(BP16:BP63),0,1),IFERROR(_xlfn.XLOOKUP(_xlpm.ai_test,BQ16:BQ63,ROW(BQ16:BQ63),0,1),_xlfn.XLOOKUP(_xlpm.ai_test,BR16:BR63,ROW(BR16:BR63),0,1))),_xlpm.p,_xlpm.r-MIN(ROW(BP16:BP63))+1,_xlpm.f,INDEX(BS16:BS63,_xlpm.p),_xlpm.u,INDEX(BT16:BT63,_xlpm.p),_xlpm.s,INDEX(BV16:BV63,_xlpm.p),_xlpm.q,N(BA452)/_xlpm.f,IF(_xlpm.q&gt;=_xlpm.s,ROUND(_xlpm.q,1)&amp;" "&amp;_xlpm.ai_test&amp;" = "&amp;ROUND(_xlpm.q*_xlpm.f,1)&amp;" "&amp;_xlpm.u,ROUND(_xlpm.q,1)&amp;" "&amp;_xlpm.ai_test)),""),""))))</f>
        <v>0</v>
      </c>
      <c r="BD452" s="801"/>
      <c r="BE452" s="799" t="str">
        <f t="shared" si="171"/>
        <v/>
      </c>
      <c r="BF452" s="800" t="str">
        <f t="shared" si="172"/>
        <v/>
      </c>
      <c r="BG452" s="802">
        <f t="shared" si="175"/>
        <v>0</v>
      </c>
      <c r="BH452" s="803" t="str">
        <f t="shared" si="176"/>
        <v/>
      </c>
      <c r="BI452" s="792"/>
      <c r="BJ452" s="804">
        <f t="shared" si="174"/>
        <v>0</v>
      </c>
      <c r="BK452" s="794" t="str">
        <f t="shared" si="173"/>
        <v/>
      </c>
      <c r="BL452" s="227" t="s">
        <v>21</v>
      </c>
      <c r="BM452" s="773">
        <f t="shared" si="162"/>
        <v>0</v>
      </c>
      <c r="BN452" s="774">
        <f t="shared" si="163"/>
        <v>0</v>
      </c>
      <c r="BO452"/>
      <c r="BX452"/>
      <c r="BY452"/>
      <c r="BZ452"/>
      <c r="CA452"/>
      <c r="CB452"/>
      <c r="CC452"/>
      <c r="CD452" s="781" t="str">
        <f t="shared" si="156"/>
        <v>►</v>
      </c>
      <c r="CE452" s="633"/>
      <c r="CF452" s="633"/>
      <c r="CG452" s="633"/>
      <c r="CH452" s="633"/>
      <c r="CI452" s="633"/>
      <c r="CJ452" s="227"/>
      <c r="CK452"/>
      <c r="CL452"/>
      <c r="CM452"/>
      <c r="CN452"/>
      <c r="CO452"/>
      <c r="CP452"/>
      <c r="CQ452"/>
      <c r="CR452" s="227"/>
      <c r="CS452"/>
      <c r="CT452"/>
      <c r="CU452"/>
      <c r="CV452"/>
      <c r="CW452"/>
      <c r="CX452"/>
      <c r="CY452"/>
      <c r="CZ452" s="227"/>
      <c r="DA452"/>
      <c r="DB452"/>
      <c r="DC452"/>
      <c r="DD452"/>
      <c r="DE452"/>
      <c r="DF452"/>
      <c r="DG452"/>
      <c r="DH452" s="227"/>
      <c r="DI452" s="3">
        <v>1</v>
      </c>
    </row>
    <row r="453" spans="2:113" s="627" customFormat="1" ht="21" customHeight="1">
      <c r="B453" s="2265" t="str" cm="1">
        <f t="array" ref="B453">SUMPRODUCT(--(D453:J453&lt;&gt;""), LEN(TRIM(SUBSTITUTE(D453:J453, CHAR(160), "")))) &amp; " Car."</f>
        <v>0 Car.</v>
      </c>
      <c r="C453" s="1376" t="str">
        <f>IF(ISBLANK(D453),"",LARGE(C13:C452,1)+1)</f>
        <v/>
      </c>
      <c r="D453" s="1833"/>
      <c r="E453" s="1810"/>
      <c r="F453" s="1810"/>
      <c r="G453" s="1810"/>
      <c r="H453" s="1810"/>
      <c r="I453" s="1810"/>
      <c r="J453" s="1810"/>
      <c r="K453" s="1810"/>
      <c r="L453" s="1811"/>
      <c r="M453"/>
      <c r="N453" s="103" t="str">
        <f t="shared" si="158"/>
        <v>►</v>
      </c>
      <c r="O453" s="1616"/>
      <c r="P453"/>
      <c r="Q453" s="25" t="s">
        <v>15</v>
      </c>
      <c r="R453" s="31"/>
      <c r="S453" s="32"/>
      <c r="T453" s="31"/>
      <c r="U453" s="33"/>
      <c r="V453" s="1967"/>
      <c r="W453" s="1805"/>
      <c r="X453" s="91"/>
      <c r="Y453" s="1806"/>
      <c r="Z453" s="1968"/>
      <c r="AA453" s="2244"/>
      <c r="AB453" s="1969"/>
      <c r="AC453" s="1365"/>
      <c r="AD453" s="95"/>
      <c r="AE453" s="1326"/>
      <c r="AF453" s="97"/>
      <c r="AG453" s="1737"/>
      <c r="AH453" s="1970"/>
      <c r="AI453" s="99"/>
      <c r="AJ453" s="1809"/>
      <c r="AK453" s="6120" t="str">
        <f t="shared" si="159"/>
        <v>►</v>
      </c>
      <c r="AL453" s="781" t="str">
        <f t="shared" si="161"/>
        <v>►</v>
      </c>
      <c r="AM453" s="5499" t="str">
        <f t="shared" si="164"/>
        <v/>
      </c>
      <c r="AN453" s="783" t="str">
        <f t="shared" si="165"/>
        <v/>
      </c>
      <c r="AO453" s="782" t="str">
        <f t="shared" si="166"/>
        <v/>
      </c>
      <c r="AP453" s="783" t="str">
        <f t="shared" si="167"/>
        <v/>
      </c>
      <c r="AQ453" s="2083" t="b">
        <f>AND(Q453="A",COUNTIF(BP16:BR63,TRIM(Z453))&gt;0)</f>
        <v>0</v>
      </c>
      <c r="AR453" s="797" t="str">
        <f>IF(AL453&lt;&gt;"A","",IFERROR(IFERROR(_xlfn.XLOOKUP(TRIM(SUBSTITUTE(Z453,CHAR(160)," ")),BP16:BP63,BS16:BS63),IFERROR(_xlfn.XLOOKUP(TRIM(SUBSTITUTE(Z453,CHAR(160)," ")),BQ16:BQ63,BS16:BS63),_xlfn.XLOOKUP(TRIM(SUBSTITUTE(Z453,CHAR(160)," ")),BR16:BR63,BS16:BS63)))*Y453*IF(ISBLANK(V453),1,V453),0))</f>
        <v/>
      </c>
      <c r="AS453" s="784" t="str">
        <f t="shared" si="157"/>
        <v/>
      </c>
      <c r="AT453" s="1315" t="str">
        <f t="shared" si="168"/>
        <v/>
      </c>
      <c r="AU453" s="785">
        <f t="shared" si="169"/>
        <v>0</v>
      </c>
      <c r="AV453" s="785">
        <f t="shared" si="170"/>
        <v>0</v>
      </c>
      <c r="AW453" s="786">
        <f>IF(AK453="A",AY10,0)</f>
        <v>0</v>
      </c>
      <c r="AX453" s="5495" t="str">
        <f>IF(IFERROR(SEARCH("Adresse PC",TRIM(W453)),0)&gt;0,"▼ receta siguiente",IF(AK453="A",IF(AZ10&lt;&gt;"",AZ10&amp;" - ou.or.o ❾ + or - &gt;",""),""))</f>
        <v/>
      </c>
      <c r="AY453" s="810"/>
      <c r="AZ453" s="810"/>
      <c r="BA453" s="788" t="str">
        <f t="shared" si="160"/>
        <v/>
      </c>
      <c r="BB453" s="789" t="str">
        <f>IF(AK453="A",IF(AQ453,IF(AND(AW453&lt;&gt;"",N(AW453)&gt;0),IFERROR(IFERROR(_xlfn.XLOOKUP(AP453,BP10:BP57,BT10:BT57),IFERROR(_xlfn.XLOOKUP(AP453,BQ10:BQ57,BT10:BT57),_xlfn.XLOOKUP(AP453,BR10:BR57,BT10:BT57,""))),""),""),""),"")</f>
        <v/>
      </c>
      <c r="BC453" s="811" cm="1">
        <f t="array" ref="BC453">IF(NOT(AQ453),0,IF(OR(BA453="",N(BA453)&lt;=0.000000001),"",IF(OR(AU453="",N(AU453)&lt;=0.000000001),0,IF(ISNUMBER(BA453),IFERROR(_xlfn.LET(_xlpm.ai_test,TRIM(AP453),_xlpm.r,IFERROR(_xlfn.XLOOKUP(_xlpm.ai_test,BP16:BP63,ROW(BP16:BP63),0,1),IFERROR(_xlfn.XLOOKUP(_xlpm.ai_test,BQ16:BQ63,ROW(BQ16:BQ63),0,1),_xlfn.XLOOKUP(_xlpm.ai_test,BR16:BR63,ROW(BR16:BR63),0,1))),_xlpm.p,_xlpm.r-MIN(ROW(BP16:BP63))+1,_xlpm.f,INDEX(BS16:BS63,_xlpm.p),_xlpm.u,INDEX(BT16:BT63,_xlpm.p),_xlpm.s,INDEX(BV16:BV63,_xlpm.p),_xlpm.q,N(BA453)/_xlpm.f,IF(_xlpm.q&gt;=_xlpm.s,ROUND(_xlpm.q,1)&amp;" "&amp;_xlpm.ai_test&amp;" = "&amp;ROUND(_xlpm.q*_xlpm.f,1)&amp;" "&amp;_xlpm.u,ROUND(_xlpm.q,1)&amp;" "&amp;_xlpm.ai_test)),""),""))))</f>
        <v>0</v>
      </c>
      <c r="BD453" s="801"/>
      <c r="BE453" s="788" t="str">
        <f t="shared" si="171"/>
        <v/>
      </c>
      <c r="BF453" s="789" t="str">
        <f t="shared" si="172"/>
        <v/>
      </c>
      <c r="BG453" s="790">
        <f t="shared" si="175"/>
        <v>0</v>
      </c>
      <c r="BH453" s="791" t="str">
        <f t="shared" si="176"/>
        <v/>
      </c>
      <c r="BI453" s="792"/>
      <c r="BJ453" s="793">
        <f t="shared" si="174"/>
        <v>0</v>
      </c>
      <c r="BK453" s="794" t="str">
        <f t="shared" si="173"/>
        <v/>
      </c>
      <c r="BL453" s="227" t="s">
        <v>21</v>
      </c>
      <c r="BM453" s="773">
        <f t="shared" si="162"/>
        <v>0</v>
      </c>
      <c r="BN453" s="774">
        <f t="shared" si="163"/>
        <v>0</v>
      </c>
      <c r="BO453"/>
      <c r="BX453"/>
      <c r="BY453"/>
      <c r="BZ453"/>
      <c r="CA453"/>
      <c r="CB453"/>
      <c r="CC453"/>
      <c r="CD453" s="781" t="str">
        <f t="shared" si="156"/>
        <v>►</v>
      </c>
      <c r="CE453" s="633"/>
      <c r="CF453" s="633"/>
      <c r="CG453" s="633"/>
      <c r="CH453" s="633"/>
      <c r="CI453" s="633"/>
      <c r="CJ453" s="227"/>
      <c r="CK453"/>
      <c r="CL453"/>
      <c r="CM453"/>
      <c r="CN453"/>
      <c r="CO453"/>
      <c r="CP453"/>
      <c r="CQ453"/>
      <c r="CR453" s="227"/>
      <c r="CS453"/>
      <c r="CT453"/>
      <c r="CU453"/>
      <c r="CV453"/>
      <c r="CW453"/>
      <c r="CX453"/>
      <c r="CY453"/>
      <c r="CZ453" s="227"/>
      <c r="DA453"/>
      <c r="DB453"/>
      <c r="DC453"/>
      <c r="DD453"/>
      <c r="DE453"/>
      <c r="DF453"/>
      <c r="DG453"/>
      <c r="DH453" s="227"/>
      <c r="DI453" s="3">
        <v>1</v>
      </c>
    </row>
    <row r="454" spans="2:113" s="627" customFormat="1" ht="21" customHeight="1">
      <c r="B454" s="2265" t="str" cm="1">
        <f t="array" ref="B454">SUMPRODUCT(--(D454:J454&lt;&gt;""), LEN(TRIM(SUBSTITUTE(D454:J454, CHAR(160), "")))) &amp; " Car."</f>
        <v>0 Car.</v>
      </c>
      <c r="C454" s="1376" t="str">
        <f>IF(ISBLANK(D454),"",LARGE(C13:C453,1)+1)</f>
        <v/>
      </c>
      <c r="D454" s="1833"/>
      <c r="E454" s="1810"/>
      <c r="F454" s="1810"/>
      <c r="G454" s="1810"/>
      <c r="H454" s="1810"/>
      <c r="I454" s="1810"/>
      <c r="J454" s="1810"/>
      <c r="K454" s="1810"/>
      <c r="L454" s="1811"/>
      <c r="M454"/>
      <c r="N454" s="103" t="str">
        <f t="shared" si="158"/>
        <v>►</v>
      </c>
      <c r="O454" s="1616"/>
      <c r="P454"/>
      <c r="Q454" s="25" t="s">
        <v>15</v>
      </c>
      <c r="R454" s="31"/>
      <c r="S454" s="32"/>
      <c r="T454" s="31"/>
      <c r="U454" s="33"/>
      <c r="V454" s="1967"/>
      <c r="W454" s="1805"/>
      <c r="X454" s="91"/>
      <c r="Y454" s="1806"/>
      <c r="Z454" s="1968"/>
      <c r="AA454" s="2244"/>
      <c r="AB454" s="1969"/>
      <c r="AC454" s="1365"/>
      <c r="AD454" s="95"/>
      <c r="AE454" s="1326"/>
      <c r="AF454" s="97"/>
      <c r="AG454" s="1737"/>
      <c r="AH454" s="1970"/>
      <c r="AI454" s="99"/>
      <c r="AJ454" s="1809"/>
      <c r="AK454" s="6120" t="str">
        <f t="shared" si="159"/>
        <v>►</v>
      </c>
      <c r="AL454" s="781" t="str">
        <f t="shared" si="161"/>
        <v>►</v>
      </c>
      <c r="AM454" s="5498" t="str">
        <f t="shared" si="164"/>
        <v/>
      </c>
      <c r="AN454" s="783" t="str">
        <f t="shared" si="165"/>
        <v/>
      </c>
      <c r="AO454" s="782" t="str">
        <f t="shared" si="166"/>
        <v/>
      </c>
      <c r="AP454" s="783" t="str">
        <f t="shared" si="167"/>
        <v/>
      </c>
      <c r="AQ454" s="2083" t="b">
        <f>AND(Q454="A",COUNTIF(BP16:BR63,TRIM(Z454))&gt;0)</f>
        <v>0</v>
      </c>
      <c r="AR454" s="797" t="str">
        <f>IF(AL454&lt;&gt;"A","",IFERROR(IFERROR(_xlfn.XLOOKUP(TRIM(SUBSTITUTE(Z454,CHAR(160)," ")),BP16:BP63,BS16:BS63),IFERROR(_xlfn.XLOOKUP(TRIM(SUBSTITUTE(Z454,CHAR(160)," ")),BQ16:BQ63,BS16:BS63),_xlfn.XLOOKUP(TRIM(SUBSTITUTE(Z454,CHAR(160)," ")),BR16:BR63,BS16:BS63)))*Y454*IF(ISBLANK(V454),1,V454),0))</f>
        <v/>
      </c>
      <c r="AS454" s="784" t="str">
        <f t="shared" si="157"/>
        <v/>
      </c>
      <c r="AT454" s="1315" t="str">
        <f t="shared" si="168"/>
        <v/>
      </c>
      <c r="AU454" s="785">
        <f t="shared" si="169"/>
        <v>0</v>
      </c>
      <c r="AV454" s="785">
        <f t="shared" si="170"/>
        <v>0</v>
      </c>
      <c r="AW454" s="798">
        <f>IF(AK454="A",AY10,0)</f>
        <v>0</v>
      </c>
      <c r="AX454" s="5496" t="str">
        <f>IF(IFERROR(SEARCH("Adresse PC",TRIM(W454)),0)&gt;0,"▼ receta siguiente",IF(AK454="A",IF(AZ10&lt;&gt;"",AZ10&amp;" - ou.or.o ❾ + or - &gt;",""),""))</f>
        <v/>
      </c>
      <c r="AY454" s="810"/>
      <c r="AZ454" s="810"/>
      <c r="BA454" s="799" t="str">
        <f t="shared" si="160"/>
        <v/>
      </c>
      <c r="BB454" s="800" t="str">
        <f>IF(AK454="A",IF(AQ454,IF(AND(AW454&lt;&gt;"",N(AW454)&gt;0),IFERROR(IFERROR(_xlfn.XLOOKUP(AP454,BP10:BP57,BT10:BT57),IFERROR(_xlfn.XLOOKUP(AP454,BQ10:BQ57,BT10:BT57),_xlfn.XLOOKUP(AP454,BR10:BR57,BT10:BT57,""))),""),""),""),"")</f>
        <v/>
      </c>
      <c r="BC454" s="813" cm="1">
        <f t="array" ref="BC454">IF(NOT(AQ454),0,IF(OR(BA454="",N(BA454)&lt;=0.000000001),"",IF(OR(AU454="",N(AU454)&lt;=0.000000001),0,IF(ISNUMBER(BA454),IFERROR(_xlfn.LET(_xlpm.ai_test,TRIM(AP454),_xlpm.r,IFERROR(_xlfn.XLOOKUP(_xlpm.ai_test,BP16:BP63,ROW(BP16:BP63),0,1),IFERROR(_xlfn.XLOOKUP(_xlpm.ai_test,BQ16:BQ63,ROW(BQ16:BQ63),0,1),_xlfn.XLOOKUP(_xlpm.ai_test,BR16:BR63,ROW(BR16:BR63),0,1))),_xlpm.p,_xlpm.r-MIN(ROW(BP16:BP63))+1,_xlpm.f,INDEX(BS16:BS63,_xlpm.p),_xlpm.u,INDEX(BT16:BT63,_xlpm.p),_xlpm.s,INDEX(BV16:BV63,_xlpm.p),_xlpm.q,N(BA454)/_xlpm.f,IF(_xlpm.q&gt;=_xlpm.s,ROUND(_xlpm.q,1)&amp;" "&amp;_xlpm.ai_test&amp;" = "&amp;ROUND(_xlpm.q*_xlpm.f,1)&amp;" "&amp;_xlpm.u,ROUND(_xlpm.q,1)&amp;" "&amp;_xlpm.ai_test)),""),""))))</f>
        <v>0</v>
      </c>
      <c r="BD454" s="801"/>
      <c r="BE454" s="799" t="str">
        <f t="shared" si="171"/>
        <v/>
      </c>
      <c r="BF454" s="800" t="str">
        <f t="shared" si="172"/>
        <v/>
      </c>
      <c r="BG454" s="802">
        <f t="shared" si="175"/>
        <v>0</v>
      </c>
      <c r="BH454" s="803" t="str">
        <f t="shared" si="176"/>
        <v/>
      </c>
      <c r="BI454" s="792"/>
      <c r="BJ454" s="804">
        <f t="shared" si="174"/>
        <v>0</v>
      </c>
      <c r="BK454" s="794" t="str">
        <f t="shared" si="173"/>
        <v/>
      </c>
      <c r="BL454" s="227" t="s">
        <v>21</v>
      </c>
      <c r="BM454" s="773">
        <f t="shared" si="162"/>
        <v>0</v>
      </c>
      <c r="BN454" s="774">
        <f t="shared" si="163"/>
        <v>0</v>
      </c>
      <c r="BO454"/>
      <c r="BX454"/>
      <c r="BY454"/>
      <c r="BZ454"/>
      <c r="CA454"/>
      <c r="CB454"/>
      <c r="CC454"/>
      <c r="CD454" s="781" t="str">
        <f t="shared" ref="CD454:CD517" si="177">AL454</f>
        <v>►</v>
      </c>
      <c r="CE454" s="633"/>
      <c r="CF454" s="633"/>
      <c r="CG454" s="633"/>
      <c r="CH454" s="633"/>
      <c r="CI454" s="633"/>
      <c r="CJ454" s="227"/>
      <c r="CK454"/>
      <c r="CL454"/>
      <c r="CM454"/>
      <c r="CN454"/>
      <c r="CO454"/>
      <c r="CP454"/>
      <c r="CQ454"/>
      <c r="CR454" s="227"/>
      <c r="CS454"/>
      <c r="CT454"/>
      <c r="CU454"/>
      <c r="CV454"/>
      <c r="CW454"/>
      <c r="CX454"/>
      <c r="CY454"/>
      <c r="CZ454" s="227"/>
      <c r="DA454"/>
      <c r="DB454"/>
      <c r="DC454"/>
      <c r="DD454"/>
      <c r="DE454"/>
      <c r="DF454"/>
      <c r="DG454"/>
      <c r="DH454" s="227"/>
      <c r="DI454" s="3">
        <v>1</v>
      </c>
    </row>
    <row r="455" spans="2:113" s="627" customFormat="1" ht="21" customHeight="1">
      <c r="B455" s="2265" t="str" cm="1">
        <f t="array" ref="B455">SUMPRODUCT(--(D455:J455&lt;&gt;""), LEN(TRIM(SUBSTITUTE(D455:J455, CHAR(160), "")))) &amp; " Car."</f>
        <v>0 Car.</v>
      </c>
      <c r="C455" s="1376" t="str">
        <f>IF(ISBLANK(D455),"",LARGE(C13:C454,1)+1)</f>
        <v/>
      </c>
      <c r="D455" s="1833"/>
      <c r="E455" s="1810"/>
      <c r="F455" s="1810"/>
      <c r="G455" s="1810"/>
      <c r="H455" s="1810"/>
      <c r="I455" s="1810"/>
      <c r="J455" s="1810"/>
      <c r="K455" s="1810"/>
      <c r="L455" s="1811"/>
      <c r="M455"/>
      <c r="N455" s="103" t="str">
        <f t="shared" si="158"/>
        <v>►</v>
      </c>
      <c r="O455" s="1616"/>
      <c r="P455"/>
      <c r="Q455" s="25" t="s">
        <v>15</v>
      </c>
      <c r="R455" s="31"/>
      <c r="S455" s="32"/>
      <c r="T455" s="31"/>
      <c r="U455" s="33"/>
      <c r="V455" s="1967"/>
      <c r="W455" s="1805"/>
      <c r="X455" s="91"/>
      <c r="Y455" s="1806"/>
      <c r="Z455" s="1968"/>
      <c r="AA455" s="2244"/>
      <c r="AB455" s="1969"/>
      <c r="AC455" s="1365"/>
      <c r="AD455" s="95"/>
      <c r="AE455" s="1326"/>
      <c r="AF455" s="97"/>
      <c r="AG455" s="1737"/>
      <c r="AH455" s="1970"/>
      <c r="AI455" s="99"/>
      <c r="AJ455" s="1809"/>
      <c r="AK455" s="6120" t="str">
        <f t="shared" si="159"/>
        <v>►</v>
      </c>
      <c r="AL455" s="781" t="str">
        <f t="shared" si="161"/>
        <v>►</v>
      </c>
      <c r="AM455" s="5499" t="str">
        <f t="shared" si="164"/>
        <v/>
      </c>
      <c r="AN455" s="783" t="str">
        <f t="shared" si="165"/>
        <v/>
      </c>
      <c r="AO455" s="782" t="str">
        <f t="shared" si="166"/>
        <v/>
      </c>
      <c r="AP455" s="783" t="str">
        <f t="shared" si="167"/>
        <v/>
      </c>
      <c r="AQ455" s="2083" t="b">
        <f>AND(Q455="A",COUNTIF(BP16:BR63,TRIM(Z455))&gt;0)</f>
        <v>0</v>
      </c>
      <c r="AR455" s="797" t="str">
        <f>IF(AL455&lt;&gt;"A","",IFERROR(IFERROR(_xlfn.XLOOKUP(TRIM(SUBSTITUTE(Z455,CHAR(160)," ")),BP16:BP63,BS16:BS63),IFERROR(_xlfn.XLOOKUP(TRIM(SUBSTITUTE(Z455,CHAR(160)," ")),BQ16:BQ63,BS16:BS63),_xlfn.XLOOKUP(TRIM(SUBSTITUTE(Z455,CHAR(160)," ")),BR16:BR63,BS16:BS63)))*Y455*IF(ISBLANK(V455),1,V455),0))</f>
        <v/>
      </c>
      <c r="AS455" s="784" t="str">
        <f t="shared" ref="AS455:AS518" si="178">IF(AK455="A",IF(AND(AQ455,AR455&gt;0),"Kg",""),"")</f>
        <v/>
      </c>
      <c r="AT455" s="1315" t="str">
        <f t="shared" si="168"/>
        <v/>
      </c>
      <c r="AU455" s="785">
        <f t="shared" si="169"/>
        <v>0</v>
      </c>
      <c r="AV455" s="785">
        <f t="shared" si="170"/>
        <v>0</v>
      </c>
      <c r="AW455" s="786">
        <f>IF(AK455="A",AY10,0)</f>
        <v>0</v>
      </c>
      <c r="AX455" s="5495" t="str">
        <f>IF(IFERROR(SEARCH("Adresse PC",TRIM(W455)),0)&gt;0,"▼ receta siguiente",IF(AK455="A",IF(AZ10&lt;&gt;"",AZ10&amp;" - ou.or.o ❾ + or - &gt;",""),""))</f>
        <v/>
      </c>
      <c r="AY455" s="810"/>
      <c r="AZ455" s="810"/>
      <c r="BA455" s="788" t="str">
        <f t="shared" si="160"/>
        <v/>
      </c>
      <c r="BB455" s="789" t="str">
        <f>IF(AK455="A",IF(AQ455,IF(AND(AW455&lt;&gt;"",N(AW455)&gt;0),IFERROR(IFERROR(_xlfn.XLOOKUP(AP455,BP10:BP57,BT10:BT57),IFERROR(_xlfn.XLOOKUP(AP455,BQ10:BQ57,BT10:BT57),_xlfn.XLOOKUP(AP455,BR10:BR57,BT10:BT57,""))),""),""),""),"")</f>
        <v/>
      </c>
      <c r="BC455" s="811" cm="1">
        <f t="array" ref="BC455">IF(NOT(AQ455),0,IF(OR(BA455="",N(BA455)&lt;=0.000000001),"",IF(OR(AU455="",N(AU455)&lt;=0.000000001),0,IF(ISNUMBER(BA455),IFERROR(_xlfn.LET(_xlpm.ai_test,TRIM(AP455),_xlpm.r,IFERROR(_xlfn.XLOOKUP(_xlpm.ai_test,BP16:BP63,ROW(BP16:BP63),0,1),IFERROR(_xlfn.XLOOKUP(_xlpm.ai_test,BQ16:BQ63,ROW(BQ16:BQ63),0,1),_xlfn.XLOOKUP(_xlpm.ai_test,BR16:BR63,ROW(BR16:BR63),0,1))),_xlpm.p,_xlpm.r-MIN(ROW(BP16:BP63))+1,_xlpm.f,INDEX(BS16:BS63,_xlpm.p),_xlpm.u,INDEX(BT16:BT63,_xlpm.p),_xlpm.s,INDEX(BV16:BV63,_xlpm.p),_xlpm.q,N(BA455)/_xlpm.f,IF(_xlpm.q&gt;=_xlpm.s,ROUND(_xlpm.q,1)&amp;" "&amp;_xlpm.ai_test&amp;" = "&amp;ROUND(_xlpm.q*_xlpm.f,1)&amp;" "&amp;_xlpm.u,ROUND(_xlpm.q,1)&amp;" "&amp;_xlpm.ai_test)),""),""))))</f>
        <v>0</v>
      </c>
      <c r="BD455" s="801"/>
      <c r="BE455" s="788" t="str">
        <f t="shared" si="171"/>
        <v/>
      </c>
      <c r="BF455" s="789" t="str">
        <f t="shared" si="172"/>
        <v/>
      </c>
      <c r="BG455" s="790">
        <f t="shared" si="175"/>
        <v>0</v>
      </c>
      <c r="BH455" s="791" t="str">
        <f t="shared" si="176"/>
        <v/>
      </c>
      <c r="BI455" s="792"/>
      <c r="BJ455" s="793">
        <f t="shared" si="174"/>
        <v>0</v>
      </c>
      <c r="BK455" s="794" t="str">
        <f t="shared" si="173"/>
        <v/>
      </c>
      <c r="BL455" s="227" t="s">
        <v>21</v>
      </c>
      <c r="BM455" s="773">
        <f t="shared" si="162"/>
        <v>0</v>
      </c>
      <c r="BN455" s="774">
        <f t="shared" si="163"/>
        <v>0</v>
      </c>
      <c r="BO455"/>
      <c r="BX455"/>
      <c r="BY455"/>
      <c r="BZ455"/>
      <c r="CA455"/>
      <c r="CB455"/>
      <c r="CC455"/>
      <c r="CD455" s="781" t="str">
        <f t="shared" si="177"/>
        <v>►</v>
      </c>
      <c r="CE455" s="633"/>
      <c r="CF455" s="633"/>
      <c r="CG455" s="633"/>
      <c r="CH455" s="633"/>
      <c r="CI455" s="633"/>
      <c r="CJ455" s="227"/>
      <c r="CK455"/>
      <c r="CL455"/>
      <c r="CM455"/>
      <c r="CN455"/>
      <c r="CO455"/>
      <c r="CP455"/>
      <c r="CQ455"/>
      <c r="CR455" s="227"/>
      <c r="CS455"/>
      <c r="CT455"/>
      <c r="CU455"/>
      <c r="CV455"/>
      <c r="CW455"/>
      <c r="CX455"/>
      <c r="CY455"/>
      <c r="CZ455" s="227"/>
      <c r="DA455"/>
      <c r="DB455"/>
      <c r="DC455"/>
      <c r="DD455"/>
      <c r="DE455"/>
      <c r="DF455"/>
      <c r="DG455"/>
      <c r="DH455" s="227"/>
      <c r="DI455" s="3">
        <v>1</v>
      </c>
    </row>
    <row r="456" spans="2:113" s="627" customFormat="1" ht="21" customHeight="1">
      <c r="B456" s="2265" t="str" cm="1">
        <f t="array" ref="B456">SUMPRODUCT(--(D456:J456&lt;&gt;""), LEN(TRIM(SUBSTITUTE(D456:J456, CHAR(160), "")))) &amp; " Car."</f>
        <v>0 Car.</v>
      </c>
      <c r="C456" s="1376" t="str">
        <f>IF(ISBLANK(D456),"",LARGE(C13:C455,1)+1)</f>
        <v/>
      </c>
      <c r="D456" s="1833"/>
      <c r="E456" s="1810"/>
      <c r="F456" s="1810"/>
      <c r="G456" s="1810"/>
      <c r="H456" s="1810"/>
      <c r="I456" s="1810"/>
      <c r="J456" s="1810"/>
      <c r="K456" s="1810"/>
      <c r="L456" s="1811"/>
      <c r="M456"/>
      <c r="N456" s="103" t="str">
        <f t="shared" si="158"/>
        <v>►</v>
      </c>
      <c r="O456" s="1616"/>
      <c r="P456"/>
      <c r="Q456" s="25" t="s">
        <v>15</v>
      </c>
      <c r="R456" s="31"/>
      <c r="S456" s="32"/>
      <c r="T456" s="31"/>
      <c r="U456" s="33"/>
      <c r="V456" s="1967"/>
      <c r="W456" s="1805"/>
      <c r="X456" s="91"/>
      <c r="Y456" s="1806"/>
      <c r="Z456" s="1968"/>
      <c r="AA456" s="2244"/>
      <c r="AB456" s="1969"/>
      <c r="AC456" s="1365"/>
      <c r="AD456" s="95"/>
      <c r="AE456" s="1326"/>
      <c r="AF456" s="97"/>
      <c r="AG456" s="1737"/>
      <c r="AH456" s="1970"/>
      <c r="AI456" s="99"/>
      <c r="AJ456" s="1809"/>
      <c r="AK456" s="6120" t="str">
        <f t="shared" si="159"/>
        <v>►</v>
      </c>
      <c r="AL456" s="781" t="str">
        <f t="shared" si="161"/>
        <v>►</v>
      </c>
      <c r="AM456" s="5498" t="str">
        <f t="shared" si="164"/>
        <v/>
      </c>
      <c r="AN456" s="783" t="str">
        <f t="shared" si="165"/>
        <v/>
      </c>
      <c r="AO456" s="782" t="str">
        <f t="shared" si="166"/>
        <v/>
      </c>
      <c r="AP456" s="783" t="str">
        <f t="shared" si="167"/>
        <v/>
      </c>
      <c r="AQ456" s="2083" t="b">
        <f>AND(Q456="A",COUNTIF(BP16:BR63,TRIM(Z456))&gt;0)</f>
        <v>0</v>
      </c>
      <c r="AR456" s="797" t="str">
        <f>IF(AL456&lt;&gt;"A","",IFERROR(IFERROR(_xlfn.XLOOKUP(TRIM(SUBSTITUTE(Z456,CHAR(160)," ")),BP16:BP63,BS16:BS63),IFERROR(_xlfn.XLOOKUP(TRIM(SUBSTITUTE(Z456,CHAR(160)," ")),BQ16:BQ63,BS16:BS63),_xlfn.XLOOKUP(TRIM(SUBSTITUTE(Z456,CHAR(160)," ")),BR16:BR63,BS16:BS63)))*Y456*IF(ISBLANK(V456),1,V456),0))</f>
        <v/>
      </c>
      <c r="AS456" s="784" t="str">
        <f t="shared" si="178"/>
        <v/>
      </c>
      <c r="AT456" s="1315" t="str">
        <f t="shared" si="168"/>
        <v/>
      </c>
      <c r="AU456" s="785">
        <f t="shared" si="169"/>
        <v>0</v>
      </c>
      <c r="AV456" s="785">
        <f t="shared" si="170"/>
        <v>0</v>
      </c>
      <c r="AW456" s="798">
        <f>IF(AK456="A",AY10,0)</f>
        <v>0</v>
      </c>
      <c r="AX456" s="5496" t="str">
        <f>IF(IFERROR(SEARCH("Adresse PC",TRIM(W456)),0)&gt;0,"▼ receta siguiente",IF(AK456="A",IF(AZ10&lt;&gt;"",AZ10&amp;" - ou.or.o ❾ + or - &gt;",""),""))</f>
        <v/>
      </c>
      <c r="AY456" s="810"/>
      <c r="AZ456" s="810"/>
      <c r="BA456" s="799" t="str">
        <f t="shared" si="160"/>
        <v/>
      </c>
      <c r="BB456" s="800" t="str">
        <f>IF(AK456="A",IF(AQ456,IF(AND(AW456&lt;&gt;"",N(AW456)&gt;0),IFERROR(IFERROR(_xlfn.XLOOKUP(AP456,BP10:BP57,BT10:BT57),IFERROR(_xlfn.XLOOKUP(AP456,BQ10:BQ57,BT10:BT57),_xlfn.XLOOKUP(AP456,BR10:BR57,BT10:BT57,""))),""),""),""),"")</f>
        <v/>
      </c>
      <c r="BC456" s="813" cm="1">
        <f t="array" ref="BC456">IF(NOT(AQ456),0,IF(OR(BA456="",N(BA456)&lt;=0.000000001),"",IF(OR(AU456="",N(AU456)&lt;=0.000000001),0,IF(ISNUMBER(BA456),IFERROR(_xlfn.LET(_xlpm.ai_test,TRIM(AP456),_xlpm.r,IFERROR(_xlfn.XLOOKUP(_xlpm.ai_test,BP16:BP63,ROW(BP16:BP63),0,1),IFERROR(_xlfn.XLOOKUP(_xlpm.ai_test,BQ16:BQ63,ROW(BQ16:BQ63),0,1),_xlfn.XLOOKUP(_xlpm.ai_test,BR16:BR63,ROW(BR16:BR63),0,1))),_xlpm.p,_xlpm.r-MIN(ROW(BP16:BP63))+1,_xlpm.f,INDEX(BS16:BS63,_xlpm.p),_xlpm.u,INDEX(BT16:BT63,_xlpm.p),_xlpm.s,INDEX(BV16:BV63,_xlpm.p),_xlpm.q,N(BA456)/_xlpm.f,IF(_xlpm.q&gt;=_xlpm.s,ROUND(_xlpm.q,1)&amp;" "&amp;_xlpm.ai_test&amp;" = "&amp;ROUND(_xlpm.q*_xlpm.f,1)&amp;" "&amp;_xlpm.u,ROUND(_xlpm.q,1)&amp;" "&amp;_xlpm.ai_test)),""),""))))</f>
        <v>0</v>
      </c>
      <c r="BD456" s="801"/>
      <c r="BE456" s="799" t="str">
        <f t="shared" si="171"/>
        <v/>
      </c>
      <c r="BF456" s="800" t="str">
        <f t="shared" si="172"/>
        <v/>
      </c>
      <c r="BG456" s="802">
        <f t="shared" si="175"/>
        <v>0</v>
      </c>
      <c r="BH456" s="803" t="str">
        <f t="shared" si="176"/>
        <v/>
      </c>
      <c r="BI456" s="792"/>
      <c r="BJ456" s="804">
        <f t="shared" si="174"/>
        <v>0</v>
      </c>
      <c r="BK456" s="794" t="str">
        <f t="shared" si="173"/>
        <v/>
      </c>
      <c r="BL456" s="227" t="s">
        <v>21</v>
      </c>
      <c r="BM456" s="773">
        <f t="shared" si="162"/>
        <v>0</v>
      </c>
      <c r="BN456" s="774">
        <f t="shared" si="163"/>
        <v>0</v>
      </c>
      <c r="BO456"/>
      <c r="BX456"/>
      <c r="BY456"/>
      <c r="BZ456"/>
      <c r="CA456"/>
      <c r="CB456"/>
      <c r="CC456"/>
      <c r="CD456" s="781" t="str">
        <f t="shared" si="177"/>
        <v>►</v>
      </c>
      <c r="CE456" s="633"/>
      <c r="CF456" s="633"/>
      <c r="CG456" s="633"/>
      <c r="CH456" s="633"/>
      <c r="CI456" s="633"/>
      <c r="CJ456" s="227"/>
      <c r="CK456"/>
      <c r="CL456"/>
      <c r="CM456"/>
      <c r="CN456"/>
      <c r="CO456"/>
      <c r="CP456"/>
      <c r="CQ456"/>
      <c r="CR456" s="227"/>
      <c r="CS456"/>
      <c r="CT456"/>
      <c r="CU456"/>
      <c r="CV456"/>
      <c r="CW456"/>
      <c r="CX456"/>
      <c r="CY456"/>
      <c r="CZ456" s="227"/>
      <c r="DA456"/>
      <c r="DB456"/>
      <c r="DC456"/>
      <c r="DD456"/>
      <c r="DE456"/>
      <c r="DF456"/>
      <c r="DG456"/>
      <c r="DH456" s="227"/>
      <c r="DI456" s="3">
        <v>1</v>
      </c>
    </row>
    <row r="457" spans="2:113" s="627" customFormat="1" ht="21" customHeight="1">
      <c r="B457" s="2265" t="str" cm="1">
        <f t="array" ref="B457">SUMPRODUCT(--(D457:J457&lt;&gt;""), LEN(TRIM(SUBSTITUTE(D457:J457, CHAR(160), "")))) &amp; " Car."</f>
        <v>0 Car.</v>
      </c>
      <c r="C457" s="1376" t="str">
        <f>IF(ISBLANK(D457),"",LARGE(C13:C456,1)+1)</f>
        <v/>
      </c>
      <c r="D457" s="1833"/>
      <c r="E457" s="1810"/>
      <c r="F457" s="1810"/>
      <c r="G457" s="1810"/>
      <c r="H457" s="1810"/>
      <c r="I457" s="1810"/>
      <c r="J457" s="1810"/>
      <c r="K457" s="1810"/>
      <c r="L457" s="1811"/>
      <c r="M457"/>
      <c r="N457" s="103" t="str">
        <f t="shared" si="158"/>
        <v>►</v>
      </c>
      <c r="O457" s="1616"/>
      <c r="P457"/>
      <c r="Q457" s="25" t="s">
        <v>15</v>
      </c>
      <c r="R457" s="31"/>
      <c r="S457" s="32"/>
      <c r="T457" s="31"/>
      <c r="U457" s="33"/>
      <c r="V457" s="1967"/>
      <c r="W457" s="1805"/>
      <c r="X457" s="91"/>
      <c r="Y457" s="1806"/>
      <c r="Z457" s="1968"/>
      <c r="AA457" s="2244"/>
      <c r="AB457" s="1969"/>
      <c r="AC457" s="1365"/>
      <c r="AD457" s="95"/>
      <c r="AE457" s="1326"/>
      <c r="AF457" s="97"/>
      <c r="AG457" s="1737"/>
      <c r="AH457" s="1970"/>
      <c r="AI457" s="99"/>
      <c r="AJ457" s="1809"/>
      <c r="AK457" s="6120" t="str">
        <f t="shared" si="159"/>
        <v>►</v>
      </c>
      <c r="AL457" s="781" t="str">
        <f t="shared" si="161"/>
        <v>►</v>
      </c>
      <c r="AM457" s="5499" t="str">
        <f t="shared" si="164"/>
        <v/>
      </c>
      <c r="AN457" s="783" t="str">
        <f t="shared" si="165"/>
        <v/>
      </c>
      <c r="AO457" s="782" t="str">
        <f t="shared" si="166"/>
        <v/>
      </c>
      <c r="AP457" s="783" t="str">
        <f t="shared" si="167"/>
        <v/>
      </c>
      <c r="AQ457" s="2083" t="b">
        <f>AND(Q457="A",COUNTIF(BP16:BR63,TRIM(Z457))&gt;0)</f>
        <v>0</v>
      </c>
      <c r="AR457" s="797" t="str">
        <f>IF(AL457&lt;&gt;"A","",IFERROR(IFERROR(_xlfn.XLOOKUP(TRIM(SUBSTITUTE(Z457,CHAR(160)," ")),BP16:BP63,BS16:BS63),IFERROR(_xlfn.XLOOKUP(TRIM(SUBSTITUTE(Z457,CHAR(160)," ")),BQ16:BQ63,BS16:BS63),_xlfn.XLOOKUP(TRIM(SUBSTITUTE(Z457,CHAR(160)," ")),BR16:BR63,BS16:BS63)))*Y457*IF(ISBLANK(V457),1,V457),0))</f>
        <v/>
      </c>
      <c r="AS457" s="784" t="str">
        <f t="shared" si="178"/>
        <v/>
      </c>
      <c r="AT457" s="1315" t="str">
        <f t="shared" si="168"/>
        <v/>
      </c>
      <c r="AU457" s="785">
        <f t="shared" si="169"/>
        <v>0</v>
      </c>
      <c r="AV457" s="785">
        <f t="shared" si="170"/>
        <v>0</v>
      </c>
      <c r="AW457" s="786">
        <f>IF(AK457="A",AY10,0)</f>
        <v>0</v>
      </c>
      <c r="AX457" s="5495" t="str">
        <f>IF(IFERROR(SEARCH("Adresse PC",TRIM(W457)),0)&gt;0,"▼ receta siguiente",IF(AK457="A",IF(AZ10&lt;&gt;"",AZ10&amp;" - ou.or.o ❾ + or - &gt;",""),""))</f>
        <v/>
      </c>
      <c r="AY457" s="810"/>
      <c r="AZ457" s="810"/>
      <c r="BA457" s="788" t="str">
        <f t="shared" si="160"/>
        <v/>
      </c>
      <c r="BB457" s="789" t="str">
        <f>IF(AK457="A",IF(AQ457,IF(AND(AW457&lt;&gt;"",N(AW457)&gt;0),IFERROR(IFERROR(_xlfn.XLOOKUP(AP457,BP10:BP57,BT10:BT57),IFERROR(_xlfn.XLOOKUP(AP457,BQ10:BQ57,BT10:BT57),_xlfn.XLOOKUP(AP457,BR10:BR57,BT10:BT57,""))),""),""),""),"")</f>
        <v/>
      </c>
      <c r="BC457" s="811" cm="1">
        <f t="array" ref="BC457">IF(NOT(AQ457),0,IF(OR(BA457="",N(BA457)&lt;=0.000000001),"",IF(OR(AU457="",N(AU457)&lt;=0.000000001),0,IF(ISNUMBER(BA457),IFERROR(_xlfn.LET(_xlpm.ai_test,TRIM(AP457),_xlpm.r,IFERROR(_xlfn.XLOOKUP(_xlpm.ai_test,BP16:BP63,ROW(BP16:BP63),0,1),IFERROR(_xlfn.XLOOKUP(_xlpm.ai_test,BQ16:BQ63,ROW(BQ16:BQ63),0,1),_xlfn.XLOOKUP(_xlpm.ai_test,BR16:BR63,ROW(BR16:BR63),0,1))),_xlpm.p,_xlpm.r-MIN(ROW(BP16:BP63))+1,_xlpm.f,INDEX(BS16:BS63,_xlpm.p),_xlpm.u,INDEX(BT16:BT63,_xlpm.p),_xlpm.s,INDEX(BV16:BV63,_xlpm.p),_xlpm.q,N(BA457)/_xlpm.f,IF(_xlpm.q&gt;=_xlpm.s,ROUND(_xlpm.q,1)&amp;" "&amp;_xlpm.ai_test&amp;" = "&amp;ROUND(_xlpm.q*_xlpm.f,1)&amp;" "&amp;_xlpm.u,ROUND(_xlpm.q,1)&amp;" "&amp;_xlpm.ai_test)),""),""))))</f>
        <v>0</v>
      </c>
      <c r="BD457" s="801"/>
      <c r="BE457" s="788" t="str">
        <f t="shared" si="171"/>
        <v/>
      </c>
      <c r="BF457" s="789" t="str">
        <f t="shared" si="172"/>
        <v/>
      </c>
      <c r="BG457" s="790">
        <f t="shared" si="175"/>
        <v>0</v>
      </c>
      <c r="BH457" s="791" t="str">
        <f t="shared" si="176"/>
        <v/>
      </c>
      <c r="BI457" s="792"/>
      <c r="BJ457" s="793">
        <f t="shared" si="174"/>
        <v>0</v>
      </c>
      <c r="BK457" s="794" t="str">
        <f t="shared" si="173"/>
        <v/>
      </c>
      <c r="BL457" s="227" t="s">
        <v>21</v>
      </c>
      <c r="BM457" s="773">
        <f t="shared" si="162"/>
        <v>0</v>
      </c>
      <c r="BN457" s="774">
        <f t="shared" si="163"/>
        <v>0</v>
      </c>
      <c r="BO457"/>
      <c r="BX457"/>
      <c r="BY457"/>
      <c r="BZ457"/>
      <c r="CA457"/>
      <c r="CB457"/>
      <c r="CC457"/>
      <c r="CD457" s="781" t="str">
        <f t="shared" si="177"/>
        <v>►</v>
      </c>
      <c r="CE457" s="633"/>
      <c r="CF457" s="633"/>
      <c r="CG457" s="633"/>
      <c r="CH457" s="633"/>
      <c r="CI457" s="633"/>
      <c r="CJ457" s="227"/>
      <c r="CK457"/>
      <c r="CL457"/>
      <c r="CM457"/>
      <c r="CN457"/>
      <c r="CO457"/>
      <c r="CP457"/>
      <c r="CQ457"/>
      <c r="CR457" s="227"/>
      <c r="CS457"/>
      <c r="CT457"/>
      <c r="CU457"/>
      <c r="CV457"/>
      <c r="CW457"/>
      <c r="CX457"/>
      <c r="CY457"/>
      <c r="CZ457" s="227"/>
      <c r="DA457"/>
      <c r="DB457"/>
      <c r="DC457"/>
      <c r="DD457"/>
      <c r="DE457"/>
      <c r="DF457"/>
      <c r="DG457"/>
      <c r="DH457" s="227"/>
      <c r="DI457" s="3">
        <v>1</v>
      </c>
    </row>
    <row r="458" spans="2:113" s="627" customFormat="1" ht="21" customHeight="1">
      <c r="B458" s="2265" t="str" cm="1">
        <f t="array" ref="B458">SUMPRODUCT(--(D458:J458&lt;&gt;""), LEN(TRIM(SUBSTITUTE(D458:J458, CHAR(160), "")))) &amp; " Car."</f>
        <v>0 Car.</v>
      </c>
      <c r="C458" s="1376" t="str">
        <f>IF(ISBLANK(D458),"",LARGE(C13:C457,1)+1)</f>
        <v/>
      </c>
      <c r="D458" s="1833"/>
      <c r="E458" s="1810"/>
      <c r="F458" s="1810"/>
      <c r="G458" s="1810"/>
      <c r="H458" s="1810"/>
      <c r="I458" s="1810"/>
      <c r="J458" s="1810"/>
      <c r="K458" s="1810"/>
      <c r="L458" s="1811"/>
      <c r="M458"/>
      <c r="N458" s="103" t="str">
        <f t="shared" si="158"/>
        <v>►</v>
      </c>
      <c r="O458" s="1616"/>
      <c r="P458"/>
      <c r="Q458" s="25" t="s">
        <v>15</v>
      </c>
      <c r="R458" s="31"/>
      <c r="S458" s="32"/>
      <c r="T458" s="31"/>
      <c r="U458" s="33"/>
      <c r="V458" s="1967"/>
      <c r="W458" s="1805"/>
      <c r="X458" s="91"/>
      <c r="Y458" s="1806"/>
      <c r="Z458" s="1968"/>
      <c r="AA458" s="2244"/>
      <c r="AB458" s="1969"/>
      <c r="AC458" s="1365"/>
      <c r="AD458" s="95"/>
      <c r="AE458" s="1326"/>
      <c r="AF458" s="97"/>
      <c r="AG458" s="1737"/>
      <c r="AH458" s="1970"/>
      <c r="AI458" s="99"/>
      <c r="AJ458" s="1809"/>
      <c r="AK458" s="6120" t="str">
        <f t="shared" si="159"/>
        <v>►</v>
      </c>
      <c r="AL458" s="781" t="str">
        <f t="shared" si="161"/>
        <v>►</v>
      </c>
      <c r="AM458" s="5498" t="str">
        <f t="shared" si="164"/>
        <v/>
      </c>
      <c r="AN458" s="783" t="str">
        <f t="shared" si="165"/>
        <v/>
      </c>
      <c r="AO458" s="782" t="str">
        <f t="shared" si="166"/>
        <v/>
      </c>
      <c r="AP458" s="783" t="str">
        <f t="shared" si="167"/>
        <v/>
      </c>
      <c r="AQ458" s="2083" t="b">
        <f>AND(Q458="A",COUNTIF(BP16:BR63,TRIM(Z458))&gt;0)</f>
        <v>0</v>
      </c>
      <c r="AR458" s="797" t="str">
        <f>IF(AL458&lt;&gt;"A","",IFERROR(IFERROR(_xlfn.XLOOKUP(TRIM(SUBSTITUTE(Z458,CHAR(160)," ")),BP16:BP63,BS16:BS63),IFERROR(_xlfn.XLOOKUP(TRIM(SUBSTITUTE(Z458,CHAR(160)," ")),BQ16:BQ63,BS16:BS63),_xlfn.XLOOKUP(TRIM(SUBSTITUTE(Z458,CHAR(160)," ")),BR16:BR63,BS16:BS63)))*Y458*IF(ISBLANK(V458),1,V458),0))</f>
        <v/>
      </c>
      <c r="AS458" s="784" t="str">
        <f t="shared" si="178"/>
        <v/>
      </c>
      <c r="AT458" s="1315" t="str">
        <f t="shared" si="168"/>
        <v/>
      </c>
      <c r="AU458" s="785">
        <f t="shared" si="169"/>
        <v>0</v>
      </c>
      <c r="AV458" s="785">
        <f t="shared" si="170"/>
        <v>0</v>
      </c>
      <c r="AW458" s="798">
        <f>IF(AK458="A",AY10,0)</f>
        <v>0</v>
      </c>
      <c r="AX458" s="5496" t="str">
        <f>IF(IFERROR(SEARCH("Adresse PC",TRIM(W458)),0)&gt;0,"▼ receta siguiente",IF(AK458="A",IF(AZ10&lt;&gt;"",AZ10&amp;" - ou.or.o ❾ + or - &gt;",""),""))</f>
        <v/>
      </c>
      <c r="AY458" s="810"/>
      <c r="AZ458" s="810"/>
      <c r="BA458" s="799" t="str">
        <f t="shared" si="160"/>
        <v/>
      </c>
      <c r="BB458" s="800" t="str">
        <f>IF(AK458="A",IF(AQ458,IF(AND(AW458&lt;&gt;"",N(AW458)&gt;0),IFERROR(IFERROR(_xlfn.XLOOKUP(AP458,BP10:BP57,BT10:BT57),IFERROR(_xlfn.XLOOKUP(AP458,BQ10:BQ57,BT10:BT57),_xlfn.XLOOKUP(AP458,BR10:BR57,BT10:BT57,""))),""),""),""),"")</f>
        <v/>
      </c>
      <c r="BC458" s="813" cm="1">
        <f t="array" ref="BC458">IF(NOT(AQ458),0,IF(OR(BA458="",N(BA458)&lt;=0.000000001),"",IF(OR(AU458="",N(AU458)&lt;=0.000000001),0,IF(ISNUMBER(BA458),IFERROR(_xlfn.LET(_xlpm.ai_test,TRIM(AP458),_xlpm.r,IFERROR(_xlfn.XLOOKUP(_xlpm.ai_test,BP16:BP63,ROW(BP16:BP63),0,1),IFERROR(_xlfn.XLOOKUP(_xlpm.ai_test,BQ16:BQ63,ROW(BQ16:BQ63),0,1),_xlfn.XLOOKUP(_xlpm.ai_test,BR16:BR63,ROW(BR16:BR63),0,1))),_xlpm.p,_xlpm.r-MIN(ROW(BP16:BP63))+1,_xlpm.f,INDEX(BS16:BS63,_xlpm.p),_xlpm.u,INDEX(BT16:BT63,_xlpm.p),_xlpm.s,INDEX(BV16:BV63,_xlpm.p),_xlpm.q,N(BA458)/_xlpm.f,IF(_xlpm.q&gt;=_xlpm.s,ROUND(_xlpm.q,1)&amp;" "&amp;_xlpm.ai_test&amp;" = "&amp;ROUND(_xlpm.q*_xlpm.f,1)&amp;" "&amp;_xlpm.u,ROUND(_xlpm.q,1)&amp;" "&amp;_xlpm.ai_test)),""),""))))</f>
        <v>0</v>
      </c>
      <c r="BD458" s="801"/>
      <c r="BE458" s="799" t="str">
        <f t="shared" si="171"/>
        <v/>
      </c>
      <c r="BF458" s="800" t="str">
        <f t="shared" si="172"/>
        <v/>
      </c>
      <c r="BG458" s="802">
        <f t="shared" si="175"/>
        <v>0</v>
      </c>
      <c r="BH458" s="803" t="str">
        <f t="shared" si="176"/>
        <v/>
      </c>
      <c r="BI458" s="792"/>
      <c r="BJ458" s="804">
        <f t="shared" si="174"/>
        <v>0</v>
      </c>
      <c r="BK458" s="794" t="str">
        <f t="shared" si="173"/>
        <v/>
      </c>
      <c r="BL458" s="227" t="s">
        <v>21</v>
      </c>
      <c r="BM458" s="773">
        <f t="shared" si="162"/>
        <v>0</v>
      </c>
      <c r="BN458" s="774">
        <f t="shared" si="163"/>
        <v>0</v>
      </c>
      <c r="BO458"/>
      <c r="BX458"/>
      <c r="BY458"/>
      <c r="BZ458"/>
      <c r="CA458"/>
      <c r="CB458"/>
      <c r="CC458"/>
      <c r="CD458" s="781" t="str">
        <f t="shared" si="177"/>
        <v>►</v>
      </c>
      <c r="CE458" s="633"/>
      <c r="CF458" s="633"/>
      <c r="CG458" s="633"/>
      <c r="CH458" s="633"/>
      <c r="CI458" s="633"/>
      <c r="CJ458" s="227"/>
      <c r="CK458"/>
      <c r="CL458"/>
      <c r="CM458"/>
      <c r="CN458"/>
      <c r="CO458"/>
      <c r="CP458"/>
      <c r="CQ458"/>
      <c r="CR458" s="227"/>
      <c r="CS458"/>
      <c r="CT458"/>
      <c r="CU458"/>
      <c r="CV458"/>
      <c r="CW458"/>
      <c r="CX458"/>
      <c r="CY458"/>
      <c r="CZ458" s="227"/>
      <c r="DA458"/>
      <c r="DB458"/>
      <c r="DC458"/>
      <c r="DD458"/>
      <c r="DE458"/>
      <c r="DF458"/>
      <c r="DG458"/>
      <c r="DH458" s="227"/>
      <c r="DI458" s="3">
        <v>1</v>
      </c>
    </row>
    <row r="459" spans="2:113" s="627" customFormat="1" ht="21" customHeight="1">
      <c r="B459" s="2265" t="str" cm="1">
        <f t="array" ref="B459">SUMPRODUCT(--(D459:J459&lt;&gt;""), LEN(TRIM(SUBSTITUTE(D459:J459, CHAR(160), "")))) &amp; " Car."</f>
        <v>0 Car.</v>
      </c>
      <c r="C459" s="1376" t="str">
        <f>IF(ISBLANK(D459),"",LARGE(C13:C458,1)+1)</f>
        <v/>
      </c>
      <c r="D459" s="1833"/>
      <c r="E459" s="1810"/>
      <c r="F459" s="1810"/>
      <c r="G459" s="1810"/>
      <c r="H459" s="1810"/>
      <c r="I459" s="1810"/>
      <c r="J459" s="1810"/>
      <c r="K459" s="1810"/>
      <c r="L459" s="1811"/>
      <c r="M459"/>
      <c r="N459" s="103" t="str">
        <f t="shared" si="158"/>
        <v>►</v>
      </c>
      <c r="O459" s="1616"/>
      <c r="P459"/>
      <c r="Q459" s="25" t="s">
        <v>15</v>
      </c>
      <c r="R459" s="31"/>
      <c r="S459" s="32"/>
      <c r="T459" s="31"/>
      <c r="U459" s="33"/>
      <c r="V459" s="1967"/>
      <c r="W459" s="1805"/>
      <c r="X459" s="91"/>
      <c r="Y459" s="1806"/>
      <c r="Z459" s="1968"/>
      <c r="AA459" s="2244"/>
      <c r="AB459" s="1969"/>
      <c r="AC459" s="1365"/>
      <c r="AD459" s="95"/>
      <c r="AE459" s="1326"/>
      <c r="AF459" s="97"/>
      <c r="AG459" s="1737"/>
      <c r="AH459" s="1970"/>
      <c r="AI459" s="99"/>
      <c r="AJ459" s="1809"/>
      <c r="AK459" s="6120" t="str">
        <f t="shared" si="159"/>
        <v>►</v>
      </c>
      <c r="AL459" s="781" t="str">
        <f t="shared" si="161"/>
        <v>►</v>
      </c>
      <c r="AM459" s="5499" t="str">
        <f t="shared" si="164"/>
        <v/>
      </c>
      <c r="AN459" s="783" t="str">
        <f t="shared" si="165"/>
        <v/>
      </c>
      <c r="AO459" s="782" t="str">
        <f t="shared" si="166"/>
        <v/>
      </c>
      <c r="AP459" s="783" t="str">
        <f t="shared" si="167"/>
        <v/>
      </c>
      <c r="AQ459" s="2083" t="b">
        <f>AND(Q459="A",COUNTIF(BP16:BR63,TRIM(Z459))&gt;0)</f>
        <v>0</v>
      </c>
      <c r="AR459" s="797" t="str">
        <f>IF(AL459&lt;&gt;"A","",IFERROR(IFERROR(_xlfn.XLOOKUP(TRIM(SUBSTITUTE(Z459,CHAR(160)," ")),BP16:BP63,BS16:BS63),IFERROR(_xlfn.XLOOKUP(TRIM(SUBSTITUTE(Z459,CHAR(160)," ")),BQ16:BQ63,BS16:BS63),_xlfn.XLOOKUP(TRIM(SUBSTITUTE(Z459,CHAR(160)," ")),BR16:BR63,BS16:BS63)))*Y459*IF(ISBLANK(V459),1,V459),0))</f>
        <v/>
      </c>
      <c r="AS459" s="784" t="str">
        <f t="shared" si="178"/>
        <v/>
      </c>
      <c r="AT459" s="1315" t="str">
        <f t="shared" si="168"/>
        <v/>
      </c>
      <c r="AU459" s="785">
        <f t="shared" si="169"/>
        <v>0</v>
      </c>
      <c r="AV459" s="785">
        <f t="shared" si="170"/>
        <v>0</v>
      </c>
      <c r="AW459" s="786">
        <f>IF(AK459="A",AY10,0)</f>
        <v>0</v>
      </c>
      <c r="AX459" s="5495" t="str">
        <f>IF(IFERROR(SEARCH("Adresse PC",TRIM(W459)),0)&gt;0,"▼ receta siguiente",IF(AK459="A",IF(AZ10&lt;&gt;"",AZ10&amp;" - ou.or.o ❾ + or - &gt;",""),""))</f>
        <v/>
      </c>
      <c r="AY459" s="810"/>
      <c r="AZ459" s="810"/>
      <c r="BA459" s="788" t="str">
        <f t="shared" si="160"/>
        <v/>
      </c>
      <c r="BB459" s="789" t="str">
        <f>IF(AK459="A",IF(AQ459,IF(AND(AW459&lt;&gt;"",N(AW459)&gt;0),IFERROR(IFERROR(_xlfn.XLOOKUP(AP459,BP10:BP57,BT10:BT57),IFERROR(_xlfn.XLOOKUP(AP459,BQ10:BQ57,BT10:BT57),_xlfn.XLOOKUP(AP459,BR10:BR57,BT10:BT57,""))),""),""),""),"")</f>
        <v/>
      </c>
      <c r="BC459" s="811" cm="1">
        <f t="array" ref="BC459">IF(NOT(AQ459),0,IF(OR(BA459="",N(BA459)&lt;=0.000000001),"",IF(OR(AU459="",N(AU459)&lt;=0.000000001),0,IF(ISNUMBER(BA459),IFERROR(_xlfn.LET(_xlpm.ai_test,TRIM(AP459),_xlpm.r,IFERROR(_xlfn.XLOOKUP(_xlpm.ai_test,BP16:BP63,ROW(BP16:BP63),0,1),IFERROR(_xlfn.XLOOKUP(_xlpm.ai_test,BQ16:BQ63,ROW(BQ16:BQ63),0,1),_xlfn.XLOOKUP(_xlpm.ai_test,BR16:BR63,ROW(BR16:BR63),0,1))),_xlpm.p,_xlpm.r-MIN(ROW(BP16:BP63))+1,_xlpm.f,INDEX(BS16:BS63,_xlpm.p),_xlpm.u,INDEX(BT16:BT63,_xlpm.p),_xlpm.s,INDEX(BV16:BV63,_xlpm.p),_xlpm.q,N(BA459)/_xlpm.f,IF(_xlpm.q&gt;=_xlpm.s,ROUND(_xlpm.q,1)&amp;" "&amp;_xlpm.ai_test&amp;" = "&amp;ROUND(_xlpm.q*_xlpm.f,1)&amp;" "&amp;_xlpm.u,ROUND(_xlpm.q,1)&amp;" "&amp;_xlpm.ai_test)),""),""))))</f>
        <v>0</v>
      </c>
      <c r="BD459" s="801"/>
      <c r="BE459" s="788" t="str">
        <f t="shared" si="171"/>
        <v/>
      </c>
      <c r="BF459" s="789" t="str">
        <f t="shared" si="172"/>
        <v/>
      </c>
      <c r="BG459" s="790">
        <f t="shared" si="175"/>
        <v>0</v>
      </c>
      <c r="BH459" s="791" t="str">
        <f t="shared" si="176"/>
        <v/>
      </c>
      <c r="BI459" s="792"/>
      <c r="BJ459" s="793">
        <f t="shared" si="174"/>
        <v>0</v>
      </c>
      <c r="BK459" s="794" t="str">
        <f t="shared" si="173"/>
        <v/>
      </c>
      <c r="BL459" s="227" t="s">
        <v>21</v>
      </c>
      <c r="BM459" s="773">
        <f t="shared" si="162"/>
        <v>0</v>
      </c>
      <c r="BN459" s="774">
        <f t="shared" si="163"/>
        <v>0</v>
      </c>
      <c r="BO459"/>
      <c r="BX459"/>
      <c r="BY459"/>
      <c r="BZ459"/>
      <c r="CA459"/>
      <c r="CB459"/>
      <c r="CC459"/>
      <c r="CD459" s="781" t="str">
        <f t="shared" si="177"/>
        <v>►</v>
      </c>
      <c r="CE459" s="633"/>
      <c r="CF459" s="633"/>
      <c r="CG459" s="633"/>
      <c r="CH459" s="633"/>
      <c r="CI459" s="633"/>
      <c r="CJ459" s="227"/>
      <c r="CK459"/>
      <c r="CL459"/>
      <c r="CM459"/>
      <c r="CN459"/>
      <c r="CO459"/>
      <c r="CP459"/>
      <c r="CQ459"/>
      <c r="CR459" s="227"/>
      <c r="CS459"/>
      <c r="CT459"/>
      <c r="CU459"/>
      <c r="CV459"/>
      <c r="CW459"/>
      <c r="CX459"/>
      <c r="CY459"/>
      <c r="CZ459" s="227"/>
      <c r="DA459"/>
      <c r="DB459"/>
      <c r="DC459"/>
      <c r="DD459"/>
      <c r="DE459"/>
      <c r="DF459"/>
      <c r="DG459"/>
      <c r="DH459" s="227"/>
      <c r="DI459" s="3">
        <v>1</v>
      </c>
    </row>
    <row r="460" spans="2:113" s="627" customFormat="1" ht="21" customHeight="1">
      <c r="B460" s="2265" t="str" cm="1">
        <f t="array" ref="B460">SUMPRODUCT(--(D460:J460&lt;&gt;""), LEN(TRIM(SUBSTITUTE(D460:J460, CHAR(160), "")))) &amp; " Car."</f>
        <v>0 Car.</v>
      </c>
      <c r="C460" s="1376" t="str">
        <f>IF(ISBLANK(D460),"",LARGE(C13:C459,1)+1)</f>
        <v/>
      </c>
      <c r="D460" s="1833"/>
      <c r="E460" s="1810"/>
      <c r="F460" s="1810"/>
      <c r="G460" s="1810"/>
      <c r="H460" s="1810"/>
      <c r="I460" s="1810"/>
      <c r="J460" s="1810"/>
      <c r="K460" s="1810"/>
      <c r="L460" s="1811"/>
      <c r="M460"/>
      <c r="N460" s="103" t="str">
        <f t="shared" si="158"/>
        <v>►</v>
      </c>
      <c r="O460" s="1616"/>
      <c r="P460"/>
      <c r="Q460" s="25" t="s">
        <v>15</v>
      </c>
      <c r="R460" s="31"/>
      <c r="S460" s="32"/>
      <c r="T460" s="31"/>
      <c r="U460" s="33"/>
      <c r="V460" s="1967"/>
      <c r="W460" s="1805"/>
      <c r="X460" s="91"/>
      <c r="Y460" s="1806"/>
      <c r="Z460" s="1968"/>
      <c r="AA460" s="2244"/>
      <c r="AB460" s="1969"/>
      <c r="AC460" s="1365"/>
      <c r="AD460" s="95"/>
      <c r="AE460" s="1326"/>
      <c r="AF460" s="97"/>
      <c r="AG460" s="1737"/>
      <c r="AH460" s="1970"/>
      <c r="AI460" s="99"/>
      <c r="AJ460" s="1809"/>
      <c r="AK460" s="6120" t="str">
        <f t="shared" si="159"/>
        <v>►</v>
      </c>
      <c r="AL460" s="781" t="str">
        <f t="shared" si="161"/>
        <v>►</v>
      </c>
      <c r="AM460" s="5498" t="str">
        <f t="shared" si="164"/>
        <v/>
      </c>
      <c r="AN460" s="783" t="str">
        <f t="shared" si="165"/>
        <v/>
      </c>
      <c r="AO460" s="782" t="str">
        <f t="shared" si="166"/>
        <v/>
      </c>
      <c r="AP460" s="783" t="str">
        <f t="shared" si="167"/>
        <v/>
      </c>
      <c r="AQ460" s="2083" t="b">
        <f>AND(Q460="A",COUNTIF(BP16:BR63,TRIM(Z460))&gt;0)</f>
        <v>0</v>
      </c>
      <c r="AR460" s="797" t="str">
        <f>IF(AL460&lt;&gt;"A","",IFERROR(IFERROR(_xlfn.XLOOKUP(TRIM(SUBSTITUTE(Z460,CHAR(160)," ")),BP16:BP63,BS16:BS63),IFERROR(_xlfn.XLOOKUP(TRIM(SUBSTITUTE(Z460,CHAR(160)," ")),BQ16:BQ63,BS16:BS63),_xlfn.XLOOKUP(TRIM(SUBSTITUTE(Z460,CHAR(160)," ")),BR16:BR63,BS16:BS63)))*Y460*IF(ISBLANK(V460),1,V460),0))</f>
        <v/>
      </c>
      <c r="AS460" s="784" t="str">
        <f t="shared" si="178"/>
        <v/>
      </c>
      <c r="AT460" s="1315" t="str">
        <f t="shared" si="168"/>
        <v/>
      </c>
      <c r="AU460" s="785">
        <f t="shared" si="169"/>
        <v>0</v>
      </c>
      <c r="AV460" s="785">
        <f t="shared" si="170"/>
        <v>0</v>
      </c>
      <c r="AW460" s="798">
        <f>IF(AK460="A",AY10,0)</f>
        <v>0</v>
      </c>
      <c r="AX460" s="5496" t="str">
        <f>IF(IFERROR(SEARCH("Adresse PC",TRIM(W460)),0)&gt;0,"▼ receta siguiente",IF(AK460="A",IF(AZ10&lt;&gt;"",AZ10&amp;" - ou.or.o ❾ + or - &gt;",""),""))</f>
        <v/>
      </c>
      <c r="AY460" s="810"/>
      <c r="AZ460" s="810"/>
      <c r="BA460" s="799" t="str">
        <f t="shared" si="160"/>
        <v/>
      </c>
      <c r="BB460" s="800" t="str">
        <f>IF(AK460="A",IF(AQ460,IF(AND(AW460&lt;&gt;"",N(AW460)&gt;0),IFERROR(IFERROR(_xlfn.XLOOKUP(AP460,BP10:BP57,BT10:BT57),IFERROR(_xlfn.XLOOKUP(AP460,BQ10:BQ57,BT10:BT57),_xlfn.XLOOKUP(AP460,BR10:BR57,BT10:BT57,""))),""),""),""),"")</f>
        <v/>
      </c>
      <c r="BC460" s="813" cm="1">
        <f t="array" ref="BC460">IF(NOT(AQ460),0,IF(OR(BA460="",N(BA460)&lt;=0.000000001),"",IF(OR(AU460="",N(AU460)&lt;=0.000000001),0,IF(ISNUMBER(BA460),IFERROR(_xlfn.LET(_xlpm.ai_test,TRIM(AP460),_xlpm.r,IFERROR(_xlfn.XLOOKUP(_xlpm.ai_test,BP16:BP63,ROW(BP16:BP63),0,1),IFERROR(_xlfn.XLOOKUP(_xlpm.ai_test,BQ16:BQ63,ROW(BQ16:BQ63),0,1),_xlfn.XLOOKUP(_xlpm.ai_test,BR16:BR63,ROW(BR16:BR63),0,1))),_xlpm.p,_xlpm.r-MIN(ROW(BP16:BP63))+1,_xlpm.f,INDEX(BS16:BS63,_xlpm.p),_xlpm.u,INDEX(BT16:BT63,_xlpm.p),_xlpm.s,INDEX(BV16:BV63,_xlpm.p),_xlpm.q,N(BA460)/_xlpm.f,IF(_xlpm.q&gt;=_xlpm.s,ROUND(_xlpm.q,1)&amp;" "&amp;_xlpm.ai_test&amp;" = "&amp;ROUND(_xlpm.q*_xlpm.f,1)&amp;" "&amp;_xlpm.u,ROUND(_xlpm.q,1)&amp;" "&amp;_xlpm.ai_test)),""),""))))</f>
        <v>0</v>
      </c>
      <c r="BD460" s="801"/>
      <c r="BE460" s="799" t="str">
        <f t="shared" si="171"/>
        <v/>
      </c>
      <c r="BF460" s="800" t="str">
        <f t="shared" si="172"/>
        <v/>
      </c>
      <c r="BG460" s="802">
        <f t="shared" si="175"/>
        <v>0</v>
      </c>
      <c r="BH460" s="803" t="str">
        <f t="shared" si="176"/>
        <v/>
      </c>
      <c r="BI460" s="792"/>
      <c r="BJ460" s="804">
        <f t="shared" si="174"/>
        <v>0</v>
      </c>
      <c r="BK460" s="794" t="str">
        <f t="shared" si="173"/>
        <v/>
      </c>
      <c r="BL460" s="227" t="s">
        <v>21</v>
      </c>
      <c r="BM460" s="773">
        <f t="shared" si="162"/>
        <v>0</v>
      </c>
      <c r="BN460" s="774">
        <f t="shared" si="163"/>
        <v>0</v>
      </c>
      <c r="BO460"/>
      <c r="BX460"/>
      <c r="BY460"/>
      <c r="BZ460"/>
      <c r="CA460"/>
      <c r="CB460"/>
      <c r="CC460"/>
      <c r="CD460" s="781" t="str">
        <f t="shared" si="177"/>
        <v>►</v>
      </c>
      <c r="CE460" s="633"/>
      <c r="CF460" s="633"/>
      <c r="CG460" s="633"/>
      <c r="CH460" s="633"/>
      <c r="CI460" s="633"/>
      <c r="CJ460" s="227"/>
      <c r="CK460"/>
      <c r="CL460"/>
      <c r="CM460"/>
      <c r="CN460"/>
      <c r="CO460"/>
      <c r="CP460"/>
      <c r="CQ460"/>
      <c r="CR460" s="227"/>
      <c r="CS460"/>
      <c r="CT460"/>
      <c r="CU460"/>
      <c r="CV460"/>
      <c r="CW460"/>
      <c r="CX460"/>
      <c r="CY460"/>
      <c r="CZ460" s="227"/>
      <c r="DA460"/>
      <c r="DB460"/>
      <c r="DC460"/>
      <c r="DD460"/>
      <c r="DE460"/>
      <c r="DF460"/>
      <c r="DG460"/>
      <c r="DH460" s="227"/>
      <c r="DI460" s="3">
        <v>1</v>
      </c>
    </row>
    <row r="461" spans="2:113" s="627" customFormat="1" ht="21" customHeight="1">
      <c r="B461" s="2265" t="str" cm="1">
        <f t="array" ref="B461">SUMPRODUCT(--(D461:J461&lt;&gt;""), LEN(TRIM(SUBSTITUTE(D461:J461, CHAR(160), "")))) &amp; " Car."</f>
        <v>0 Car.</v>
      </c>
      <c r="C461" s="1376" t="str">
        <f>IF(ISBLANK(D461),"",LARGE(C13:C460,1)+1)</f>
        <v/>
      </c>
      <c r="D461" s="1833"/>
      <c r="E461" s="1810"/>
      <c r="F461" s="1810"/>
      <c r="G461" s="1810"/>
      <c r="H461" s="1810"/>
      <c r="I461" s="1810"/>
      <c r="J461" s="1810"/>
      <c r="K461" s="1810"/>
      <c r="L461" s="1811"/>
      <c r="M461"/>
      <c r="N461" s="103" t="str">
        <f t="shared" si="158"/>
        <v>►</v>
      </c>
      <c r="O461" s="1616"/>
      <c r="P461"/>
      <c r="Q461" s="25" t="s">
        <v>15</v>
      </c>
      <c r="R461" s="31"/>
      <c r="S461" s="32"/>
      <c r="T461" s="31"/>
      <c r="U461" s="33"/>
      <c r="V461" s="1967"/>
      <c r="W461" s="1805"/>
      <c r="X461" s="91"/>
      <c r="Y461" s="1806"/>
      <c r="Z461" s="1968"/>
      <c r="AA461" s="2244"/>
      <c r="AB461" s="1969"/>
      <c r="AC461" s="1365"/>
      <c r="AD461" s="95"/>
      <c r="AE461" s="1326"/>
      <c r="AF461" s="97"/>
      <c r="AG461" s="1737"/>
      <c r="AH461" s="1970"/>
      <c r="AI461" s="99"/>
      <c r="AJ461" s="1809"/>
      <c r="AK461" s="6120" t="str">
        <f t="shared" si="159"/>
        <v>►</v>
      </c>
      <c r="AL461" s="781" t="str">
        <f t="shared" si="161"/>
        <v>►</v>
      </c>
      <c r="AM461" s="5499" t="str">
        <f t="shared" si="164"/>
        <v/>
      </c>
      <c r="AN461" s="783" t="str">
        <f t="shared" si="165"/>
        <v/>
      </c>
      <c r="AO461" s="782" t="str">
        <f t="shared" si="166"/>
        <v/>
      </c>
      <c r="AP461" s="783" t="str">
        <f t="shared" si="167"/>
        <v/>
      </c>
      <c r="AQ461" s="2083" t="b">
        <f>AND(Q461="A",COUNTIF(BP16:BR63,TRIM(Z461))&gt;0)</f>
        <v>0</v>
      </c>
      <c r="AR461" s="797" t="str">
        <f>IF(AL461&lt;&gt;"A","",IFERROR(IFERROR(_xlfn.XLOOKUP(TRIM(SUBSTITUTE(Z461,CHAR(160)," ")),BP16:BP63,BS16:BS63),IFERROR(_xlfn.XLOOKUP(TRIM(SUBSTITUTE(Z461,CHAR(160)," ")),BQ16:BQ63,BS16:BS63),_xlfn.XLOOKUP(TRIM(SUBSTITUTE(Z461,CHAR(160)," ")),BR16:BR63,BS16:BS63)))*Y461*IF(ISBLANK(V461),1,V461),0))</f>
        <v/>
      </c>
      <c r="AS461" s="784" t="str">
        <f t="shared" si="178"/>
        <v/>
      </c>
      <c r="AT461" s="1315" t="str">
        <f t="shared" si="168"/>
        <v/>
      </c>
      <c r="AU461" s="785">
        <f t="shared" si="169"/>
        <v>0</v>
      </c>
      <c r="AV461" s="785">
        <f t="shared" si="170"/>
        <v>0</v>
      </c>
      <c r="AW461" s="786">
        <f>IF(AK461="A",AY10,0)</f>
        <v>0</v>
      </c>
      <c r="AX461" s="5495" t="str">
        <f>IF(IFERROR(SEARCH("Adresse PC",TRIM(W461)),0)&gt;0,"▼ receta siguiente",IF(AK461="A",IF(AZ10&lt;&gt;"",AZ10&amp;" - ou.or.o ❾ + or - &gt;",""),""))</f>
        <v/>
      </c>
      <c r="AY461" s="810"/>
      <c r="AZ461" s="810"/>
      <c r="BA461" s="788" t="str">
        <f t="shared" si="160"/>
        <v/>
      </c>
      <c r="BB461" s="789" t="str">
        <f>IF(AK461="A",IF(AQ461,IF(AND(AW461&lt;&gt;"",N(AW461)&gt;0),IFERROR(IFERROR(_xlfn.XLOOKUP(AP461,BP10:BP57,BT10:BT57),IFERROR(_xlfn.XLOOKUP(AP461,BQ10:BQ57,BT10:BT57),_xlfn.XLOOKUP(AP461,BR10:BR57,BT10:BT57,""))),""),""),""),"")</f>
        <v/>
      </c>
      <c r="BC461" s="811" cm="1">
        <f t="array" ref="BC461">IF(NOT(AQ461),0,IF(OR(BA461="",N(BA461)&lt;=0.000000001),"",IF(OR(AU461="",N(AU461)&lt;=0.000000001),0,IF(ISNUMBER(BA461),IFERROR(_xlfn.LET(_xlpm.ai_test,TRIM(AP461),_xlpm.r,IFERROR(_xlfn.XLOOKUP(_xlpm.ai_test,BP16:BP63,ROW(BP16:BP63),0,1),IFERROR(_xlfn.XLOOKUP(_xlpm.ai_test,BQ16:BQ63,ROW(BQ16:BQ63),0,1),_xlfn.XLOOKUP(_xlpm.ai_test,BR16:BR63,ROW(BR16:BR63),0,1))),_xlpm.p,_xlpm.r-MIN(ROW(BP16:BP63))+1,_xlpm.f,INDEX(BS16:BS63,_xlpm.p),_xlpm.u,INDEX(BT16:BT63,_xlpm.p),_xlpm.s,INDEX(BV16:BV63,_xlpm.p),_xlpm.q,N(BA461)/_xlpm.f,IF(_xlpm.q&gt;=_xlpm.s,ROUND(_xlpm.q,1)&amp;" "&amp;_xlpm.ai_test&amp;" = "&amp;ROUND(_xlpm.q*_xlpm.f,1)&amp;" "&amp;_xlpm.u,ROUND(_xlpm.q,1)&amp;" "&amp;_xlpm.ai_test)),""),""))))</f>
        <v>0</v>
      </c>
      <c r="BD461" s="801"/>
      <c r="BE461" s="788" t="str">
        <f t="shared" si="171"/>
        <v/>
      </c>
      <c r="BF461" s="789" t="str">
        <f t="shared" si="172"/>
        <v/>
      </c>
      <c r="BG461" s="790">
        <f t="shared" si="175"/>
        <v>0</v>
      </c>
      <c r="BH461" s="791" t="str">
        <f t="shared" si="176"/>
        <v/>
      </c>
      <c r="BI461" s="792"/>
      <c r="BJ461" s="793">
        <f t="shared" si="174"/>
        <v>0</v>
      </c>
      <c r="BK461" s="794" t="str">
        <f t="shared" si="173"/>
        <v/>
      </c>
      <c r="BL461" s="227" t="s">
        <v>21</v>
      </c>
      <c r="BM461" s="773">
        <f t="shared" si="162"/>
        <v>0</v>
      </c>
      <c r="BN461" s="774">
        <f t="shared" si="163"/>
        <v>0</v>
      </c>
      <c r="BO461"/>
      <c r="BX461"/>
      <c r="BY461"/>
      <c r="BZ461"/>
      <c r="CA461"/>
      <c r="CB461"/>
      <c r="CC461"/>
      <c r="CD461" s="781" t="str">
        <f t="shared" si="177"/>
        <v>►</v>
      </c>
      <c r="CE461" s="633"/>
      <c r="CF461" s="633"/>
      <c r="CG461" s="633"/>
      <c r="CH461" s="633"/>
      <c r="CI461" s="633"/>
      <c r="CJ461" s="227"/>
      <c r="CK461"/>
      <c r="CL461"/>
      <c r="CM461"/>
      <c r="CN461"/>
      <c r="CO461"/>
      <c r="CP461"/>
      <c r="CQ461"/>
      <c r="CR461" s="227"/>
      <c r="CS461"/>
      <c r="CT461"/>
      <c r="CU461"/>
      <c r="CV461"/>
      <c r="CW461"/>
      <c r="CX461"/>
      <c r="CY461"/>
      <c r="CZ461" s="227"/>
      <c r="DA461"/>
      <c r="DB461"/>
      <c r="DC461"/>
      <c r="DD461"/>
      <c r="DE461"/>
      <c r="DF461"/>
      <c r="DG461"/>
      <c r="DH461" s="227"/>
      <c r="DI461" s="3">
        <v>1</v>
      </c>
    </row>
    <row r="462" spans="2:113" s="627" customFormat="1" ht="21" customHeight="1">
      <c r="B462" s="2265" t="str" cm="1">
        <f t="array" ref="B462">SUMPRODUCT(--(D462:J462&lt;&gt;""), LEN(TRIM(SUBSTITUTE(D462:J462, CHAR(160), "")))) &amp; " Car."</f>
        <v>0 Car.</v>
      </c>
      <c r="C462" s="1376" t="str">
        <f>IF(ISBLANK(D462),"",LARGE(C13:C461,1)+1)</f>
        <v/>
      </c>
      <c r="D462" s="1833"/>
      <c r="E462" s="1810"/>
      <c r="F462" s="1810"/>
      <c r="G462" s="1810"/>
      <c r="H462" s="1810"/>
      <c r="I462" s="1810"/>
      <c r="J462" s="1810"/>
      <c r="K462" s="1810"/>
      <c r="L462" s="1811"/>
      <c r="M462"/>
      <c r="N462" s="103" t="str">
        <f t="shared" ref="N462:N525" si="179">Q462</f>
        <v>►</v>
      </c>
      <c r="O462" s="1616"/>
      <c r="P462"/>
      <c r="Q462" s="25" t="s">
        <v>15</v>
      </c>
      <c r="R462" s="31"/>
      <c r="S462" s="32"/>
      <c r="T462" s="31"/>
      <c r="U462" s="33"/>
      <c r="V462" s="1967"/>
      <c r="W462" s="1805"/>
      <c r="X462" s="91"/>
      <c r="Y462" s="1806"/>
      <c r="Z462" s="1968"/>
      <c r="AA462" s="2244"/>
      <c r="AB462" s="1969"/>
      <c r="AC462" s="1365"/>
      <c r="AD462" s="95"/>
      <c r="AE462" s="1326"/>
      <c r="AF462" s="97"/>
      <c r="AG462" s="1737"/>
      <c r="AH462" s="1970"/>
      <c r="AI462" s="99"/>
      <c r="AJ462" s="1809"/>
      <c r="AK462" s="6120" t="str">
        <f t="shared" si="159"/>
        <v>►</v>
      </c>
      <c r="AL462" s="781" t="str">
        <f t="shared" si="161"/>
        <v>►</v>
      </c>
      <c r="AM462" s="5498" t="str">
        <f t="shared" si="164"/>
        <v/>
      </c>
      <c r="AN462" s="783" t="str">
        <f t="shared" si="165"/>
        <v/>
      </c>
      <c r="AO462" s="782" t="str">
        <f t="shared" si="166"/>
        <v/>
      </c>
      <c r="AP462" s="783" t="str">
        <f t="shared" si="167"/>
        <v/>
      </c>
      <c r="AQ462" s="2083" t="b">
        <f>AND(Q462="A",COUNTIF(BP16:BR63,TRIM(Z462))&gt;0)</f>
        <v>0</v>
      </c>
      <c r="AR462" s="797" t="str">
        <f>IF(AL462&lt;&gt;"A","",IFERROR(IFERROR(_xlfn.XLOOKUP(TRIM(SUBSTITUTE(Z462,CHAR(160)," ")),BP16:BP63,BS16:BS63),IFERROR(_xlfn.XLOOKUP(TRIM(SUBSTITUTE(Z462,CHAR(160)," ")),BQ16:BQ63,BS16:BS63),_xlfn.XLOOKUP(TRIM(SUBSTITUTE(Z462,CHAR(160)," ")),BR16:BR63,BS16:BS63)))*Y462*IF(ISBLANK(V462),1,V462),0))</f>
        <v/>
      </c>
      <c r="AS462" s="784" t="str">
        <f t="shared" si="178"/>
        <v/>
      </c>
      <c r="AT462" s="1315" t="str">
        <f t="shared" si="168"/>
        <v/>
      </c>
      <c r="AU462" s="785">
        <f t="shared" si="169"/>
        <v>0</v>
      </c>
      <c r="AV462" s="785">
        <f t="shared" si="170"/>
        <v>0</v>
      </c>
      <c r="AW462" s="798">
        <f>IF(AK462="A",AY10,0)</f>
        <v>0</v>
      </c>
      <c r="AX462" s="5496" t="str">
        <f>IF(IFERROR(SEARCH("Adresse PC",TRIM(W462)),0)&gt;0,"▼ receta siguiente",IF(AK462="A",IF(AZ10&lt;&gt;"",AZ10&amp;" - ou.or.o ❾ + or - &gt;",""),""))</f>
        <v/>
      </c>
      <c r="AY462" s="810"/>
      <c r="AZ462" s="810"/>
      <c r="BA462" s="799" t="str">
        <f t="shared" si="160"/>
        <v/>
      </c>
      <c r="BB462" s="800" t="str">
        <f>IF(AK462="A",IF(AQ462,IF(AND(AW462&lt;&gt;"",N(AW462)&gt;0),IFERROR(IFERROR(_xlfn.XLOOKUP(AP462,BP10:BP57,BT10:BT57),IFERROR(_xlfn.XLOOKUP(AP462,BQ10:BQ57,BT10:BT57),_xlfn.XLOOKUP(AP462,BR10:BR57,BT10:BT57,""))),""),""),""),"")</f>
        <v/>
      </c>
      <c r="BC462" s="813" cm="1">
        <f t="array" ref="BC462">IF(NOT(AQ462),0,IF(OR(BA462="",N(BA462)&lt;=0.000000001),"",IF(OR(AU462="",N(AU462)&lt;=0.000000001),0,IF(ISNUMBER(BA462),IFERROR(_xlfn.LET(_xlpm.ai_test,TRIM(AP462),_xlpm.r,IFERROR(_xlfn.XLOOKUP(_xlpm.ai_test,BP16:BP63,ROW(BP16:BP63),0,1),IFERROR(_xlfn.XLOOKUP(_xlpm.ai_test,BQ16:BQ63,ROW(BQ16:BQ63),0,1),_xlfn.XLOOKUP(_xlpm.ai_test,BR16:BR63,ROW(BR16:BR63),0,1))),_xlpm.p,_xlpm.r-MIN(ROW(BP16:BP63))+1,_xlpm.f,INDEX(BS16:BS63,_xlpm.p),_xlpm.u,INDEX(BT16:BT63,_xlpm.p),_xlpm.s,INDEX(BV16:BV63,_xlpm.p),_xlpm.q,N(BA462)/_xlpm.f,IF(_xlpm.q&gt;=_xlpm.s,ROUND(_xlpm.q,1)&amp;" "&amp;_xlpm.ai_test&amp;" = "&amp;ROUND(_xlpm.q*_xlpm.f,1)&amp;" "&amp;_xlpm.u,ROUND(_xlpm.q,1)&amp;" "&amp;_xlpm.ai_test)),""),""))))</f>
        <v>0</v>
      </c>
      <c r="BD462" s="801"/>
      <c r="BE462" s="799" t="str">
        <f t="shared" si="171"/>
        <v/>
      </c>
      <c r="BF462" s="800" t="str">
        <f t="shared" si="172"/>
        <v/>
      </c>
      <c r="BG462" s="802">
        <f t="shared" si="175"/>
        <v>0</v>
      </c>
      <c r="BH462" s="803" t="str">
        <f t="shared" si="176"/>
        <v/>
      </c>
      <c r="BI462" s="792"/>
      <c r="BJ462" s="804">
        <f t="shared" si="174"/>
        <v>0</v>
      </c>
      <c r="BK462" s="794" t="str">
        <f t="shared" si="173"/>
        <v/>
      </c>
      <c r="BL462" s="227" t="s">
        <v>21</v>
      </c>
      <c r="BM462" s="773">
        <f t="shared" si="162"/>
        <v>0</v>
      </c>
      <c r="BN462" s="774">
        <f t="shared" si="163"/>
        <v>0</v>
      </c>
      <c r="BO462"/>
      <c r="BX462"/>
      <c r="BY462"/>
      <c r="BZ462"/>
      <c r="CA462"/>
      <c r="CB462"/>
      <c r="CC462"/>
      <c r="CD462" s="781" t="str">
        <f t="shared" si="177"/>
        <v>►</v>
      </c>
      <c r="CE462" s="633"/>
      <c r="CF462" s="633"/>
      <c r="CG462" s="633"/>
      <c r="CH462" s="633"/>
      <c r="CI462" s="633"/>
      <c r="CJ462" s="227"/>
      <c r="CK462"/>
      <c r="CL462"/>
      <c r="CM462"/>
      <c r="CN462"/>
      <c r="CO462"/>
      <c r="CP462"/>
      <c r="CQ462"/>
      <c r="CR462" s="227"/>
      <c r="CS462"/>
      <c r="CT462"/>
      <c r="CU462"/>
      <c r="CV462"/>
      <c r="CW462"/>
      <c r="CX462"/>
      <c r="CY462"/>
      <c r="CZ462" s="227"/>
      <c r="DA462"/>
      <c r="DB462"/>
      <c r="DC462"/>
      <c r="DD462"/>
      <c r="DE462"/>
      <c r="DF462"/>
      <c r="DG462"/>
      <c r="DH462" s="227"/>
      <c r="DI462" s="3">
        <v>1</v>
      </c>
    </row>
    <row r="463" spans="2:113" s="627" customFormat="1" ht="21" customHeight="1">
      <c r="B463" s="2265" t="str" cm="1">
        <f t="array" ref="B463">SUMPRODUCT(--(D463:J463&lt;&gt;""), LEN(TRIM(SUBSTITUTE(D463:J463, CHAR(160), "")))) &amp; " Car."</f>
        <v>0 Car.</v>
      </c>
      <c r="C463" s="1376" t="str">
        <f>IF(ISBLANK(D463),"",LARGE(C13:C462,1)+1)</f>
        <v/>
      </c>
      <c r="D463" s="1833"/>
      <c r="E463" s="1810"/>
      <c r="F463" s="1810"/>
      <c r="G463" s="1810"/>
      <c r="H463" s="1810"/>
      <c r="I463" s="1810"/>
      <c r="J463" s="1810"/>
      <c r="K463" s="1810"/>
      <c r="L463" s="1811"/>
      <c r="M463"/>
      <c r="N463" s="103" t="str">
        <f t="shared" si="179"/>
        <v>►</v>
      </c>
      <c r="O463" s="1616"/>
      <c r="P463"/>
      <c r="Q463" s="25" t="s">
        <v>15</v>
      </c>
      <c r="R463" s="31"/>
      <c r="S463" s="32"/>
      <c r="T463" s="31"/>
      <c r="U463" s="33"/>
      <c r="V463" s="1967"/>
      <c r="W463" s="1805"/>
      <c r="X463" s="91"/>
      <c r="Y463" s="1806"/>
      <c r="Z463" s="1968"/>
      <c r="AA463" s="2244"/>
      <c r="AB463" s="1969"/>
      <c r="AC463" s="1365"/>
      <c r="AD463" s="95"/>
      <c r="AE463" s="1326"/>
      <c r="AF463" s="97"/>
      <c r="AG463" s="1737"/>
      <c r="AH463" s="1970"/>
      <c r="AI463" s="99"/>
      <c r="AJ463" s="1809"/>
      <c r="AK463" s="6120" t="str">
        <f t="shared" si="159"/>
        <v>►</v>
      </c>
      <c r="AL463" s="781" t="str">
        <f t="shared" si="161"/>
        <v>►</v>
      </c>
      <c r="AM463" s="5499" t="str">
        <f t="shared" si="164"/>
        <v/>
      </c>
      <c r="AN463" s="783" t="str">
        <f t="shared" si="165"/>
        <v/>
      </c>
      <c r="AO463" s="782" t="str">
        <f t="shared" si="166"/>
        <v/>
      </c>
      <c r="AP463" s="783" t="str">
        <f t="shared" si="167"/>
        <v/>
      </c>
      <c r="AQ463" s="2083" t="b">
        <f>AND(Q463="A",COUNTIF(BP16:BR63,TRIM(Z463))&gt;0)</f>
        <v>0</v>
      </c>
      <c r="AR463" s="797" t="str">
        <f>IF(AL463&lt;&gt;"A","",IFERROR(IFERROR(_xlfn.XLOOKUP(TRIM(SUBSTITUTE(Z463,CHAR(160)," ")),BP16:BP63,BS16:BS63),IFERROR(_xlfn.XLOOKUP(TRIM(SUBSTITUTE(Z463,CHAR(160)," ")),BQ16:BQ63,BS16:BS63),_xlfn.XLOOKUP(TRIM(SUBSTITUTE(Z463,CHAR(160)," ")),BR16:BR63,BS16:BS63)))*Y463*IF(ISBLANK(V463),1,V463),0))</f>
        <v/>
      </c>
      <c r="AS463" s="784" t="str">
        <f t="shared" si="178"/>
        <v/>
      </c>
      <c r="AT463" s="1315" t="str">
        <f t="shared" si="168"/>
        <v/>
      </c>
      <c r="AU463" s="785">
        <f t="shared" si="169"/>
        <v>0</v>
      </c>
      <c r="AV463" s="785">
        <f t="shared" si="170"/>
        <v>0</v>
      </c>
      <c r="AW463" s="786">
        <f>IF(AK463="A",AY10,0)</f>
        <v>0</v>
      </c>
      <c r="AX463" s="5495" t="str">
        <f>IF(IFERROR(SEARCH("Adresse PC",TRIM(W463)),0)&gt;0,"▼ receta siguiente",IF(AK463="A",IF(AZ10&lt;&gt;"",AZ10&amp;" - ou.or.o ❾ + or - &gt;",""),""))</f>
        <v/>
      </c>
      <c r="AY463" s="810"/>
      <c r="AZ463" s="810"/>
      <c r="BA463" s="788" t="str">
        <f t="shared" si="160"/>
        <v/>
      </c>
      <c r="BB463" s="789" t="str">
        <f>IF(AK463="A",IF(AQ463,IF(AND(AW463&lt;&gt;"",N(AW463)&gt;0),IFERROR(IFERROR(_xlfn.XLOOKUP(AP463,BP10:BP57,BT10:BT57),IFERROR(_xlfn.XLOOKUP(AP463,BQ10:BQ57,BT10:BT57),_xlfn.XLOOKUP(AP463,BR10:BR57,BT10:BT57,""))),""),""),""),"")</f>
        <v/>
      </c>
      <c r="BC463" s="811" cm="1">
        <f t="array" ref="BC463">IF(NOT(AQ463),0,IF(OR(BA463="",N(BA463)&lt;=0.000000001),"",IF(OR(AU463="",N(AU463)&lt;=0.000000001),0,IF(ISNUMBER(BA463),IFERROR(_xlfn.LET(_xlpm.ai_test,TRIM(AP463),_xlpm.r,IFERROR(_xlfn.XLOOKUP(_xlpm.ai_test,BP16:BP63,ROW(BP16:BP63),0,1),IFERROR(_xlfn.XLOOKUP(_xlpm.ai_test,BQ16:BQ63,ROW(BQ16:BQ63),0,1),_xlfn.XLOOKUP(_xlpm.ai_test,BR16:BR63,ROW(BR16:BR63),0,1))),_xlpm.p,_xlpm.r-MIN(ROW(BP16:BP63))+1,_xlpm.f,INDEX(BS16:BS63,_xlpm.p),_xlpm.u,INDEX(BT16:BT63,_xlpm.p),_xlpm.s,INDEX(BV16:BV63,_xlpm.p),_xlpm.q,N(BA463)/_xlpm.f,IF(_xlpm.q&gt;=_xlpm.s,ROUND(_xlpm.q,1)&amp;" "&amp;_xlpm.ai_test&amp;" = "&amp;ROUND(_xlpm.q*_xlpm.f,1)&amp;" "&amp;_xlpm.u,ROUND(_xlpm.q,1)&amp;" "&amp;_xlpm.ai_test)),""),""))))</f>
        <v>0</v>
      </c>
      <c r="BD463" s="801"/>
      <c r="BE463" s="788" t="str">
        <f t="shared" si="171"/>
        <v/>
      </c>
      <c r="BF463" s="789" t="str">
        <f t="shared" si="172"/>
        <v/>
      </c>
      <c r="BG463" s="790">
        <f t="shared" si="175"/>
        <v>0</v>
      </c>
      <c r="BH463" s="791" t="str">
        <f t="shared" si="176"/>
        <v/>
      </c>
      <c r="BI463" s="792"/>
      <c r="BJ463" s="793">
        <f t="shared" si="174"/>
        <v>0</v>
      </c>
      <c r="BK463" s="794" t="str">
        <f t="shared" si="173"/>
        <v/>
      </c>
      <c r="BL463" s="227" t="s">
        <v>21</v>
      </c>
      <c r="BM463" s="773">
        <f t="shared" si="162"/>
        <v>0</v>
      </c>
      <c r="BN463" s="774">
        <f t="shared" si="163"/>
        <v>0</v>
      </c>
      <c r="BO463"/>
      <c r="BX463"/>
      <c r="BY463"/>
      <c r="BZ463"/>
      <c r="CA463"/>
      <c r="CB463"/>
      <c r="CC463"/>
      <c r="CD463" s="781" t="str">
        <f t="shared" si="177"/>
        <v>►</v>
      </c>
      <c r="CE463" s="633"/>
      <c r="CF463" s="633"/>
      <c r="CG463" s="633"/>
      <c r="CH463" s="633"/>
      <c r="CI463" s="633"/>
      <c r="CJ463" s="227"/>
      <c r="CK463"/>
      <c r="CL463"/>
      <c r="CM463"/>
      <c r="CN463"/>
      <c r="CO463"/>
      <c r="CP463"/>
      <c r="CQ463"/>
      <c r="CR463" s="227"/>
      <c r="CS463"/>
      <c r="CT463"/>
      <c r="CU463"/>
      <c r="CV463"/>
      <c r="CW463"/>
      <c r="CX463"/>
      <c r="CY463"/>
      <c r="CZ463" s="227"/>
      <c r="DA463"/>
      <c r="DB463"/>
      <c r="DC463"/>
      <c r="DD463"/>
      <c r="DE463"/>
      <c r="DF463"/>
      <c r="DG463"/>
      <c r="DH463" s="227"/>
      <c r="DI463" s="3">
        <v>1</v>
      </c>
    </row>
    <row r="464" spans="2:113" s="627" customFormat="1" ht="21" customHeight="1">
      <c r="B464" s="2265" t="str" cm="1">
        <f t="array" ref="B464">SUMPRODUCT(--(D464:J464&lt;&gt;""), LEN(TRIM(SUBSTITUTE(D464:J464, CHAR(160), "")))) &amp; " Car."</f>
        <v>0 Car.</v>
      </c>
      <c r="C464" s="1376" t="str">
        <f>IF(ISBLANK(D464),"",LARGE(C13:C463,1)+1)</f>
        <v/>
      </c>
      <c r="D464" s="1833"/>
      <c r="E464" s="1810"/>
      <c r="F464" s="1810"/>
      <c r="G464" s="1810"/>
      <c r="H464" s="1810"/>
      <c r="I464" s="1810"/>
      <c r="J464" s="1810"/>
      <c r="K464" s="1810"/>
      <c r="L464" s="1811"/>
      <c r="M464"/>
      <c r="N464" s="103" t="str">
        <f t="shared" si="179"/>
        <v>►</v>
      </c>
      <c r="O464" s="1616"/>
      <c r="P464"/>
      <c r="Q464" s="25" t="s">
        <v>15</v>
      </c>
      <c r="R464" s="31"/>
      <c r="S464" s="32"/>
      <c r="T464" s="31"/>
      <c r="U464" s="33"/>
      <c r="V464" s="1967"/>
      <c r="W464" s="1805"/>
      <c r="X464" s="91"/>
      <c r="Y464" s="1806"/>
      <c r="Z464" s="1968"/>
      <c r="AA464" s="2244"/>
      <c r="AB464" s="1969"/>
      <c r="AC464" s="1365"/>
      <c r="AD464" s="95"/>
      <c r="AE464" s="1326"/>
      <c r="AF464" s="97"/>
      <c r="AG464" s="1737"/>
      <c r="AH464" s="1970"/>
      <c r="AI464" s="99"/>
      <c r="AJ464" s="1809"/>
      <c r="AK464" s="6120" t="str">
        <f t="shared" si="159"/>
        <v>►</v>
      </c>
      <c r="AL464" s="781" t="str">
        <f t="shared" si="161"/>
        <v>►</v>
      </c>
      <c r="AM464" s="5498" t="str">
        <f t="shared" si="164"/>
        <v/>
      </c>
      <c r="AN464" s="783" t="str">
        <f t="shared" si="165"/>
        <v/>
      </c>
      <c r="AO464" s="782" t="str">
        <f t="shared" si="166"/>
        <v/>
      </c>
      <c r="AP464" s="783" t="str">
        <f t="shared" si="167"/>
        <v/>
      </c>
      <c r="AQ464" s="2083" t="b">
        <f>AND(Q464="A",COUNTIF(BP16:BR63,TRIM(Z464))&gt;0)</f>
        <v>0</v>
      </c>
      <c r="AR464" s="797" t="str">
        <f>IF(AL464&lt;&gt;"A","",IFERROR(IFERROR(_xlfn.XLOOKUP(TRIM(SUBSTITUTE(Z464,CHAR(160)," ")),BP16:BP63,BS16:BS63),IFERROR(_xlfn.XLOOKUP(TRIM(SUBSTITUTE(Z464,CHAR(160)," ")),BQ16:BQ63,BS16:BS63),_xlfn.XLOOKUP(TRIM(SUBSTITUTE(Z464,CHAR(160)," ")),BR16:BR63,BS16:BS63)))*Y464*IF(ISBLANK(V464),1,V464),0))</f>
        <v/>
      </c>
      <c r="AS464" s="784" t="str">
        <f t="shared" si="178"/>
        <v/>
      </c>
      <c r="AT464" s="1315" t="str">
        <f t="shared" si="168"/>
        <v/>
      </c>
      <c r="AU464" s="785">
        <f t="shared" si="169"/>
        <v>0</v>
      </c>
      <c r="AV464" s="785">
        <f t="shared" si="170"/>
        <v>0</v>
      </c>
      <c r="AW464" s="798">
        <f>IF(AK464="A",AY10,0)</f>
        <v>0</v>
      </c>
      <c r="AX464" s="5496" t="str">
        <f>IF(IFERROR(SEARCH("Adresse PC",TRIM(W464)),0)&gt;0,"▼ receta siguiente",IF(AK464="A",IF(AZ10&lt;&gt;"",AZ10&amp;" - ou.or.o ❾ + or - &gt;",""),""))</f>
        <v/>
      </c>
      <c r="AY464" s="810"/>
      <c r="AZ464" s="810"/>
      <c r="BA464" s="799" t="str">
        <f t="shared" si="160"/>
        <v/>
      </c>
      <c r="BB464" s="800" t="str">
        <f>IF(AK464="A",IF(AQ464,IF(AND(AW464&lt;&gt;"",N(AW464)&gt;0),IFERROR(IFERROR(_xlfn.XLOOKUP(AP464,BP10:BP57,BT10:BT57),IFERROR(_xlfn.XLOOKUP(AP464,BQ10:BQ57,BT10:BT57),_xlfn.XLOOKUP(AP464,BR10:BR57,BT10:BT57,""))),""),""),""),"")</f>
        <v/>
      </c>
      <c r="BC464" s="813" cm="1">
        <f t="array" ref="BC464">IF(NOT(AQ464),0,IF(OR(BA464="",N(BA464)&lt;=0.000000001),"",IF(OR(AU464="",N(AU464)&lt;=0.000000001),0,IF(ISNUMBER(BA464),IFERROR(_xlfn.LET(_xlpm.ai_test,TRIM(AP464),_xlpm.r,IFERROR(_xlfn.XLOOKUP(_xlpm.ai_test,BP16:BP63,ROW(BP16:BP63),0,1),IFERROR(_xlfn.XLOOKUP(_xlpm.ai_test,BQ16:BQ63,ROW(BQ16:BQ63),0,1),_xlfn.XLOOKUP(_xlpm.ai_test,BR16:BR63,ROW(BR16:BR63),0,1))),_xlpm.p,_xlpm.r-MIN(ROW(BP16:BP63))+1,_xlpm.f,INDEX(BS16:BS63,_xlpm.p),_xlpm.u,INDEX(BT16:BT63,_xlpm.p),_xlpm.s,INDEX(BV16:BV63,_xlpm.p),_xlpm.q,N(BA464)/_xlpm.f,IF(_xlpm.q&gt;=_xlpm.s,ROUND(_xlpm.q,1)&amp;" "&amp;_xlpm.ai_test&amp;" = "&amp;ROUND(_xlpm.q*_xlpm.f,1)&amp;" "&amp;_xlpm.u,ROUND(_xlpm.q,1)&amp;" "&amp;_xlpm.ai_test)),""),""))))</f>
        <v>0</v>
      </c>
      <c r="BD464" s="801"/>
      <c r="BE464" s="799" t="str">
        <f t="shared" si="171"/>
        <v/>
      </c>
      <c r="BF464" s="800" t="str">
        <f t="shared" si="172"/>
        <v/>
      </c>
      <c r="BG464" s="802">
        <f t="shared" si="175"/>
        <v>0</v>
      </c>
      <c r="BH464" s="803" t="str">
        <f t="shared" si="176"/>
        <v/>
      </c>
      <c r="BI464" s="792"/>
      <c r="BJ464" s="804">
        <f t="shared" si="174"/>
        <v>0</v>
      </c>
      <c r="BK464" s="794" t="str">
        <f t="shared" si="173"/>
        <v/>
      </c>
      <c r="BL464" s="227" t="s">
        <v>21</v>
      </c>
      <c r="BM464" s="773">
        <f t="shared" si="162"/>
        <v>0</v>
      </c>
      <c r="BN464" s="774">
        <f t="shared" si="163"/>
        <v>0</v>
      </c>
      <c r="BO464"/>
      <c r="BX464"/>
      <c r="BY464"/>
      <c r="BZ464"/>
      <c r="CA464"/>
      <c r="CB464"/>
      <c r="CC464"/>
      <c r="CD464" s="781" t="str">
        <f t="shared" si="177"/>
        <v>►</v>
      </c>
      <c r="CE464" s="633"/>
      <c r="CF464" s="633"/>
      <c r="CG464" s="633"/>
      <c r="CH464" s="633"/>
      <c r="CI464" s="633"/>
      <c r="CJ464" s="227"/>
      <c r="CK464"/>
      <c r="CL464"/>
      <c r="CM464"/>
      <c r="CN464"/>
      <c r="CO464"/>
      <c r="CP464"/>
      <c r="CQ464"/>
      <c r="CR464" s="227"/>
      <c r="CS464"/>
      <c r="CT464"/>
      <c r="CU464"/>
      <c r="CV464"/>
      <c r="CW464"/>
      <c r="CX464"/>
      <c r="CY464"/>
      <c r="CZ464" s="227"/>
      <c r="DA464"/>
      <c r="DB464"/>
      <c r="DC464"/>
      <c r="DD464"/>
      <c r="DE464"/>
      <c r="DF464"/>
      <c r="DG464"/>
      <c r="DH464" s="227"/>
      <c r="DI464" s="3">
        <v>1</v>
      </c>
    </row>
    <row r="465" spans="2:113" s="627" customFormat="1" ht="21" customHeight="1">
      <c r="B465" s="2265" t="str" cm="1">
        <f t="array" ref="B465">SUMPRODUCT(--(D465:J465&lt;&gt;""), LEN(TRIM(SUBSTITUTE(D465:J465, CHAR(160), "")))) &amp; " Car."</f>
        <v>0 Car.</v>
      </c>
      <c r="C465" s="1376" t="str">
        <f>IF(ISBLANK(D465),"",LARGE(C13:C464,1)+1)</f>
        <v/>
      </c>
      <c r="D465" s="1833"/>
      <c r="E465" s="1810"/>
      <c r="F465" s="1810"/>
      <c r="G465" s="1810"/>
      <c r="H465" s="1810"/>
      <c r="I465" s="1810"/>
      <c r="J465" s="1810"/>
      <c r="K465" s="1810"/>
      <c r="L465" s="1811"/>
      <c r="M465"/>
      <c r="N465" s="103" t="str">
        <f t="shared" si="179"/>
        <v>►</v>
      </c>
      <c r="O465" s="1616"/>
      <c r="P465"/>
      <c r="Q465" s="25" t="s">
        <v>15</v>
      </c>
      <c r="R465" s="31"/>
      <c r="S465" s="32"/>
      <c r="T465" s="31"/>
      <c r="U465" s="33"/>
      <c r="V465" s="1967"/>
      <c r="W465" s="1805"/>
      <c r="X465" s="91"/>
      <c r="Y465" s="1806"/>
      <c r="Z465" s="1968"/>
      <c r="AA465" s="2244"/>
      <c r="AB465" s="1969"/>
      <c r="AC465" s="1365"/>
      <c r="AD465" s="95"/>
      <c r="AE465" s="1326"/>
      <c r="AF465" s="97"/>
      <c r="AG465" s="1737"/>
      <c r="AH465" s="1970"/>
      <c r="AI465" s="99"/>
      <c r="AJ465" s="1809"/>
      <c r="AK465" s="6120" t="str">
        <f t="shared" ref="AK465:AK528" si="180">IF(AND(IFERROR(SEARCH("►",AB465),0)&gt;0,ISNUMBER(IFERROR(VALUE(TRIM(SUBSTITUTE(AB465,"►",""))),NA())),AC465&lt;&gt;""),"A","►")</f>
        <v>►</v>
      </c>
      <c r="AL465" s="781" t="str">
        <f t="shared" si="161"/>
        <v>►</v>
      </c>
      <c r="AM465" s="5499" t="str">
        <f t="shared" si="164"/>
        <v/>
      </c>
      <c r="AN465" s="783" t="str">
        <f t="shared" si="165"/>
        <v/>
      </c>
      <c r="AO465" s="782" t="str">
        <f t="shared" si="166"/>
        <v/>
      </c>
      <c r="AP465" s="783" t="str">
        <f t="shared" si="167"/>
        <v/>
      </c>
      <c r="AQ465" s="2083" t="b">
        <f>AND(Q465="A",COUNTIF(BP16:BR63,TRIM(Z465))&gt;0)</f>
        <v>0</v>
      </c>
      <c r="AR465" s="797" t="str">
        <f>IF(AL465&lt;&gt;"A","",IFERROR(IFERROR(_xlfn.XLOOKUP(TRIM(SUBSTITUTE(Z465,CHAR(160)," ")),BP16:BP63,BS16:BS63),IFERROR(_xlfn.XLOOKUP(TRIM(SUBSTITUTE(Z465,CHAR(160)," ")),BQ16:BQ63,BS16:BS63),_xlfn.XLOOKUP(TRIM(SUBSTITUTE(Z465,CHAR(160)," ")),BR16:BR63,BS16:BS63)))*Y465*IF(ISBLANK(V465),1,V465),0))</f>
        <v/>
      </c>
      <c r="AS465" s="784" t="str">
        <f t="shared" si="178"/>
        <v/>
      </c>
      <c r="AT465" s="1315" t="str">
        <f t="shared" si="168"/>
        <v/>
      </c>
      <c r="AU465" s="785">
        <f t="shared" si="169"/>
        <v>0</v>
      </c>
      <c r="AV465" s="785">
        <f t="shared" si="170"/>
        <v>0</v>
      </c>
      <c r="AW465" s="786">
        <f>IF(AK465="A",AY10,0)</f>
        <v>0</v>
      </c>
      <c r="AX465" s="5495" t="str">
        <f>IF(IFERROR(SEARCH("Adresse PC",TRIM(W465)),0)&gt;0,"▼ receta siguiente",IF(AK465="A",IF(AZ10&lt;&gt;"",AZ10&amp;" - ou.or.o ❾ + or - &gt;",""),""))</f>
        <v/>
      </c>
      <c r="AY465" s="810"/>
      <c r="AZ465" s="810"/>
      <c r="BA465" s="788" t="str">
        <f t="shared" si="160"/>
        <v/>
      </c>
      <c r="BB465" s="789" t="str">
        <f>IF(AK465="A",IF(AQ465,IF(AND(AW465&lt;&gt;"",N(AW465)&gt;0),IFERROR(IFERROR(_xlfn.XLOOKUP(AP465,BP10:BP57,BT10:BT57),IFERROR(_xlfn.XLOOKUP(AP465,BQ10:BQ57,BT10:BT57),_xlfn.XLOOKUP(AP465,BR10:BR57,BT10:BT57,""))),""),""),""),"")</f>
        <v/>
      </c>
      <c r="BC465" s="811" cm="1">
        <f t="array" ref="BC465">IF(NOT(AQ465),0,IF(OR(BA465="",N(BA465)&lt;=0.000000001),"",IF(OR(AU465="",N(AU465)&lt;=0.000000001),0,IF(ISNUMBER(BA465),IFERROR(_xlfn.LET(_xlpm.ai_test,TRIM(AP465),_xlpm.r,IFERROR(_xlfn.XLOOKUP(_xlpm.ai_test,BP16:BP63,ROW(BP16:BP63),0,1),IFERROR(_xlfn.XLOOKUP(_xlpm.ai_test,BQ16:BQ63,ROW(BQ16:BQ63),0,1),_xlfn.XLOOKUP(_xlpm.ai_test,BR16:BR63,ROW(BR16:BR63),0,1))),_xlpm.p,_xlpm.r-MIN(ROW(BP16:BP63))+1,_xlpm.f,INDEX(BS16:BS63,_xlpm.p),_xlpm.u,INDEX(BT16:BT63,_xlpm.p),_xlpm.s,INDEX(BV16:BV63,_xlpm.p),_xlpm.q,N(BA465)/_xlpm.f,IF(_xlpm.q&gt;=_xlpm.s,ROUND(_xlpm.q,1)&amp;" "&amp;_xlpm.ai_test&amp;" = "&amp;ROUND(_xlpm.q*_xlpm.f,1)&amp;" "&amp;_xlpm.u,ROUND(_xlpm.q,1)&amp;" "&amp;_xlpm.ai_test)),""),""))))</f>
        <v>0</v>
      </c>
      <c r="BD465" s="801"/>
      <c r="BE465" s="788" t="str">
        <f t="shared" si="171"/>
        <v/>
      </c>
      <c r="BF465" s="789" t="str">
        <f t="shared" si="172"/>
        <v/>
      </c>
      <c r="BG465" s="790">
        <f t="shared" si="175"/>
        <v>0</v>
      </c>
      <c r="BH465" s="791" t="str">
        <f t="shared" si="176"/>
        <v/>
      </c>
      <c r="BI465" s="792"/>
      <c r="BJ465" s="793">
        <f t="shared" si="174"/>
        <v>0</v>
      </c>
      <c r="BK465" s="794" t="str">
        <f t="shared" si="173"/>
        <v/>
      </c>
      <c r="BL465" s="227" t="s">
        <v>21</v>
      </c>
      <c r="BM465" s="773">
        <f t="shared" si="162"/>
        <v>0</v>
      </c>
      <c r="BN465" s="774">
        <f t="shared" si="163"/>
        <v>0</v>
      </c>
      <c r="BO465"/>
      <c r="BX465"/>
      <c r="BY465"/>
      <c r="BZ465"/>
      <c r="CA465"/>
      <c r="CB465"/>
      <c r="CC465"/>
      <c r="CD465" s="781" t="str">
        <f t="shared" si="177"/>
        <v>►</v>
      </c>
      <c r="CE465" s="633"/>
      <c r="CF465" s="633"/>
      <c r="CG465" s="633"/>
      <c r="CH465" s="633"/>
      <c r="CI465" s="633"/>
      <c r="CJ465" s="227"/>
      <c r="CK465"/>
      <c r="CL465"/>
      <c r="CM465"/>
      <c r="CN465"/>
      <c r="CO465"/>
      <c r="CP465"/>
      <c r="CQ465"/>
      <c r="CR465" s="227"/>
      <c r="CS465"/>
      <c r="CT465"/>
      <c r="CU465"/>
      <c r="CV465"/>
      <c r="CW465"/>
      <c r="CX465"/>
      <c r="CY465"/>
      <c r="CZ465" s="227"/>
      <c r="DA465"/>
      <c r="DB465"/>
      <c r="DC465"/>
      <c r="DD465"/>
      <c r="DE465"/>
      <c r="DF465"/>
      <c r="DG465"/>
      <c r="DH465" s="227"/>
      <c r="DI465" s="3">
        <v>1</v>
      </c>
    </row>
    <row r="466" spans="2:113" s="627" customFormat="1" ht="21" customHeight="1">
      <c r="B466" s="2265" t="str" cm="1">
        <f t="array" ref="B466">SUMPRODUCT(--(D466:J466&lt;&gt;""), LEN(TRIM(SUBSTITUTE(D466:J466, CHAR(160), "")))) &amp; " Car."</f>
        <v>0 Car.</v>
      </c>
      <c r="C466" s="1376" t="str">
        <f>IF(ISBLANK(D466),"",LARGE(C13:C465,1)+1)</f>
        <v/>
      </c>
      <c r="D466" s="1833"/>
      <c r="E466" s="1810"/>
      <c r="F466" s="1810"/>
      <c r="G466" s="1810"/>
      <c r="H466" s="1810"/>
      <c r="I466" s="1810"/>
      <c r="J466" s="1810"/>
      <c r="K466" s="1810"/>
      <c r="L466" s="1811"/>
      <c r="M466"/>
      <c r="N466" s="103" t="str">
        <f t="shared" si="179"/>
        <v>►</v>
      </c>
      <c r="O466" s="1616"/>
      <c r="P466"/>
      <c r="Q466" s="25" t="s">
        <v>15</v>
      </c>
      <c r="R466" s="31"/>
      <c r="S466" s="32"/>
      <c r="T466" s="31"/>
      <c r="U466" s="33"/>
      <c r="V466" s="1967"/>
      <c r="W466" s="1805"/>
      <c r="X466" s="91"/>
      <c r="Y466" s="1806"/>
      <c r="Z466" s="1968"/>
      <c r="AA466" s="2244"/>
      <c r="AB466" s="1969"/>
      <c r="AC466" s="1365"/>
      <c r="AD466" s="95"/>
      <c r="AE466" s="1326"/>
      <c r="AF466" s="97"/>
      <c r="AG466" s="1737"/>
      <c r="AH466" s="1970"/>
      <c r="AI466" s="99"/>
      <c r="AJ466" s="1809"/>
      <c r="AK466" s="6120" t="str">
        <f t="shared" si="180"/>
        <v>►</v>
      </c>
      <c r="AL466" s="781" t="str">
        <f t="shared" si="161"/>
        <v>►</v>
      </c>
      <c r="AM466" s="5498" t="str">
        <f t="shared" si="164"/>
        <v/>
      </c>
      <c r="AN466" s="783" t="str">
        <f t="shared" si="165"/>
        <v/>
      </c>
      <c r="AO466" s="782" t="str">
        <f t="shared" si="166"/>
        <v/>
      </c>
      <c r="AP466" s="783" t="str">
        <f t="shared" si="167"/>
        <v/>
      </c>
      <c r="AQ466" s="2083" t="b">
        <f>AND(Q466="A",COUNTIF(BP16:BR63,TRIM(Z466))&gt;0)</f>
        <v>0</v>
      </c>
      <c r="AR466" s="797" t="str">
        <f>IF(AL466&lt;&gt;"A","",IFERROR(IFERROR(_xlfn.XLOOKUP(TRIM(SUBSTITUTE(Z466,CHAR(160)," ")),BP16:BP63,BS16:BS63),IFERROR(_xlfn.XLOOKUP(TRIM(SUBSTITUTE(Z466,CHAR(160)," ")),BQ16:BQ63,BS16:BS63),_xlfn.XLOOKUP(TRIM(SUBSTITUTE(Z466,CHAR(160)," ")),BR16:BR63,BS16:BS63)))*Y466*IF(ISBLANK(V466),1,V466),0))</f>
        <v/>
      </c>
      <c r="AS466" s="784" t="str">
        <f t="shared" si="178"/>
        <v/>
      </c>
      <c r="AT466" s="1315" t="str">
        <f t="shared" si="168"/>
        <v/>
      </c>
      <c r="AU466" s="785">
        <f t="shared" si="169"/>
        <v>0</v>
      </c>
      <c r="AV466" s="785">
        <f t="shared" si="170"/>
        <v>0</v>
      </c>
      <c r="AW466" s="798">
        <f>IF(AK466="A",AY10,0)</f>
        <v>0</v>
      </c>
      <c r="AX466" s="5496" t="str">
        <f>IF(IFERROR(SEARCH("Adresse PC",TRIM(W466)),0)&gt;0,"▼ receta siguiente",IF(AK466="A",IF(AZ10&lt;&gt;"",AZ10&amp;" - ou.or.o ❾ + or - &gt;",""),""))</f>
        <v/>
      </c>
      <c r="AY466" s="810"/>
      <c r="AZ466" s="810"/>
      <c r="BA466" s="799" t="str">
        <f t="shared" si="160"/>
        <v/>
      </c>
      <c r="BB466" s="800" t="str">
        <f>IF(AK466="A",IF(AQ466,IF(AND(AW466&lt;&gt;"",N(AW466)&gt;0),IFERROR(IFERROR(_xlfn.XLOOKUP(AP466,BP10:BP57,BT10:BT57),IFERROR(_xlfn.XLOOKUP(AP466,BQ10:BQ57,BT10:BT57),_xlfn.XLOOKUP(AP466,BR10:BR57,BT10:BT57,""))),""),""),""),"")</f>
        <v/>
      </c>
      <c r="BC466" s="813" cm="1">
        <f t="array" ref="BC466">IF(NOT(AQ466),0,IF(OR(BA466="",N(BA466)&lt;=0.000000001),"",IF(OR(AU466="",N(AU466)&lt;=0.000000001),0,IF(ISNUMBER(BA466),IFERROR(_xlfn.LET(_xlpm.ai_test,TRIM(AP466),_xlpm.r,IFERROR(_xlfn.XLOOKUP(_xlpm.ai_test,BP16:BP63,ROW(BP16:BP63),0,1),IFERROR(_xlfn.XLOOKUP(_xlpm.ai_test,BQ16:BQ63,ROW(BQ16:BQ63),0,1),_xlfn.XLOOKUP(_xlpm.ai_test,BR16:BR63,ROW(BR16:BR63),0,1))),_xlpm.p,_xlpm.r-MIN(ROW(BP16:BP63))+1,_xlpm.f,INDEX(BS16:BS63,_xlpm.p),_xlpm.u,INDEX(BT16:BT63,_xlpm.p),_xlpm.s,INDEX(BV16:BV63,_xlpm.p),_xlpm.q,N(BA466)/_xlpm.f,IF(_xlpm.q&gt;=_xlpm.s,ROUND(_xlpm.q,1)&amp;" "&amp;_xlpm.ai_test&amp;" = "&amp;ROUND(_xlpm.q*_xlpm.f,1)&amp;" "&amp;_xlpm.u,ROUND(_xlpm.q,1)&amp;" "&amp;_xlpm.ai_test)),""),""))))</f>
        <v>0</v>
      </c>
      <c r="BD466" s="801"/>
      <c r="BE466" s="799" t="str">
        <f t="shared" si="171"/>
        <v/>
      </c>
      <c r="BF466" s="800" t="str">
        <f t="shared" si="172"/>
        <v/>
      </c>
      <c r="BG466" s="802">
        <f t="shared" si="175"/>
        <v>0</v>
      </c>
      <c r="BH466" s="803" t="str">
        <f t="shared" si="176"/>
        <v/>
      </c>
      <c r="BI466" s="792"/>
      <c r="BJ466" s="804">
        <f t="shared" si="174"/>
        <v>0</v>
      </c>
      <c r="BK466" s="794" t="str">
        <f t="shared" si="173"/>
        <v/>
      </c>
      <c r="BL466" s="227" t="s">
        <v>21</v>
      </c>
      <c r="BM466" s="773">
        <f t="shared" si="162"/>
        <v>0</v>
      </c>
      <c r="BN466" s="774">
        <f t="shared" si="163"/>
        <v>0</v>
      </c>
      <c r="BO466"/>
      <c r="BX466"/>
      <c r="BY466"/>
      <c r="BZ466"/>
      <c r="CA466"/>
      <c r="CB466"/>
      <c r="CC466"/>
      <c r="CD466" s="781" t="str">
        <f t="shared" si="177"/>
        <v>►</v>
      </c>
      <c r="CE466" s="633"/>
      <c r="CF466" s="633"/>
      <c r="CG466" s="633"/>
      <c r="CH466" s="633"/>
      <c r="CI466" s="633"/>
      <c r="CJ466" s="227"/>
      <c r="CK466"/>
      <c r="CL466"/>
      <c r="CM466"/>
      <c r="CN466"/>
      <c r="CO466"/>
      <c r="CP466"/>
      <c r="CQ466"/>
      <c r="CR466" s="227"/>
      <c r="CS466"/>
      <c r="CT466"/>
      <c r="CU466"/>
      <c r="CV466"/>
      <c r="CW466"/>
      <c r="CX466"/>
      <c r="CY466"/>
      <c r="CZ466" s="227"/>
      <c r="DA466"/>
      <c r="DB466"/>
      <c r="DC466"/>
      <c r="DD466"/>
      <c r="DE466"/>
      <c r="DF466"/>
      <c r="DG466"/>
      <c r="DH466" s="227"/>
      <c r="DI466" s="3">
        <v>1</v>
      </c>
    </row>
    <row r="467" spans="2:113" s="627" customFormat="1" ht="21" customHeight="1">
      <c r="B467" s="2265" t="str" cm="1">
        <f t="array" ref="B467">SUMPRODUCT(--(D467:J467&lt;&gt;""), LEN(TRIM(SUBSTITUTE(D467:J467, CHAR(160), "")))) &amp; " Car."</f>
        <v>0 Car.</v>
      </c>
      <c r="C467" s="1376" t="str">
        <f>IF(ISBLANK(D467),"",LARGE(C13:C466,1)+1)</f>
        <v/>
      </c>
      <c r="D467" s="1833"/>
      <c r="E467" s="1810"/>
      <c r="F467" s="1810"/>
      <c r="G467" s="1810"/>
      <c r="H467" s="1810"/>
      <c r="I467" s="1810"/>
      <c r="J467" s="1810"/>
      <c r="K467" s="1810"/>
      <c r="L467" s="1811"/>
      <c r="M467"/>
      <c r="N467" s="103" t="str">
        <f t="shared" si="179"/>
        <v>►</v>
      </c>
      <c r="O467" s="1616"/>
      <c r="P467"/>
      <c r="Q467" s="25" t="s">
        <v>15</v>
      </c>
      <c r="R467" s="31"/>
      <c r="S467" s="32"/>
      <c r="T467" s="31"/>
      <c r="U467" s="33"/>
      <c r="V467" s="1967"/>
      <c r="W467" s="1805"/>
      <c r="X467" s="91"/>
      <c r="Y467" s="1806"/>
      <c r="Z467" s="1968"/>
      <c r="AA467" s="2244"/>
      <c r="AB467" s="1969"/>
      <c r="AC467" s="1365"/>
      <c r="AD467" s="95"/>
      <c r="AE467" s="1326"/>
      <c r="AF467" s="97"/>
      <c r="AG467" s="1737"/>
      <c r="AH467" s="1970"/>
      <c r="AI467" s="99"/>
      <c r="AJ467" s="1809"/>
      <c r="AK467" s="6120" t="str">
        <f t="shared" si="180"/>
        <v>►</v>
      </c>
      <c r="AL467" s="781" t="str">
        <f t="shared" si="161"/>
        <v>►</v>
      </c>
      <c r="AM467" s="5499" t="str">
        <f t="shared" si="164"/>
        <v/>
      </c>
      <c r="AN467" s="783" t="str">
        <f t="shared" si="165"/>
        <v/>
      </c>
      <c r="AO467" s="782" t="str">
        <f t="shared" si="166"/>
        <v/>
      </c>
      <c r="AP467" s="783" t="str">
        <f t="shared" si="167"/>
        <v/>
      </c>
      <c r="AQ467" s="2083" t="b">
        <f>AND(Q467="A",COUNTIF(BP16:BR63,TRIM(Z467))&gt;0)</f>
        <v>0</v>
      </c>
      <c r="AR467" s="797" t="str">
        <f>IF(AL467&lt;&gt;"A","",IFERROR(IFERROR(_xlfn.XLOOKUP(TRIM(SUBSTITUTE(Z467,CHAR(160)," ")),BP16:BP63,BS16:BS63),IFERROR(_xlfn.XLOOKUP(TRIM(SUBSTITUTE(Z467,CHAR(160)," ")),BQ16:BQ63,BS16:BS63),_xlfn.XLOOKUP(TRIM(SUBSTITUTE(Z467,CHAR(160)," ")),BR16:BR63,BS16:BS63)))*Y467*IF(ISBLANK(V467),1,V467),0))</f>
        <v/>
      </c>
      <c r="AS467" s="784" t="str">
        <f t="shared" si="178"/>
        <v/>
      </c>
      <c r="AT467" s="1315" t="str">
        <f t="shared" si="168"/>
        <v/>
      </c>
      <c r="AU467" s="785">
        <f t="shared" si="169"/>
        <v>0</v>
      </c>
      <c r="AV467" s="785">
        <f t="shared" si="170"/>
        <v>0</v>
      </c>
      <c r="AW467" s="786">
        <f>IF(AK467="A",AY10,0)</f>
        <v>0</v>
      </c>
      <c r="AX467" s="5495" t="str">
        <f>IF(IFERROR(SEARCH("Adresse PC",TRIM(W467)),0)&gt;0,"▼ receta siguiente",IF(AK467="A",IF(AZ10&lt;&gt;"",AZ10&amp;" - ou.or.o ❾ + or - &gt;",""),""))</f>
        <v/>
      </c>
      <c r="AY467" s="810"/>
      <c r="AZ467" s="810"/>
      <c r="BA467" s="788" t="str">
        <f t="shared" si="160"/>
        <v/>
      </c>
      <c r="BB467" s="789" t="str">
        <f>IF(AK467="A",IF(AQ467,IF(AND(AW467&lt;&gt;"",N(AW467)&gt;0),IFERROR(IFERROR(_xlfn.XLOOKUP(AP467,BP10:BP57,BT10:BT57),IFERROR(_xlfn.XLOOKUP(AP467,BQ10:BQ57,BT10:BT57),_xlfn.XLOOKUP(AP467,BR10:BR57,BT10:BT57,""))),""),""),""),"")</f>
        <v/>
      </c>
      <c r="BC467" s="811" cm="1">
        <f t="array" ref="BC467">IF(NOT(AQ467),0,IF(OR(BA467="",N(BA467)&lt;=0.000000001),"",IF(OR(AU467="",N(AU467)&lt;=0.000000001),0,IF(ISNUMBER(BA467),IFERROR(_xlfn.LET(_xlpm.ai_test,TRIM(AP467),_xlpm.r,IFERROR(_xlfn.XLOOKUP(_xlpm.ai_test,BP16:BP63,ROW(BP16:BP63),0,1),IFERROR(_xlfn.XLOOKUP(_xlpm.ai_test,BQ16:BQ63,ROW(BQ16:BQ63),0,1),_xlfn.XLOOKUP(_xlpm.ai_test,BR16:BR63,ROW(BR16:BR63),0,1))),_xlpm.p,_xlpm.r-MIN(ROW(BP16:BP63))+1,_xlpm.f,INDEX(BS16:BS63,_xlpm.p),_xlpm.u,INDEX(BT16:BT63,_xlpm.p),_xlpm.s,INDEX(BV16:BV63,_xlpm.p),_xlpm.q,N(BA467)/_xlpm.f,IF(_xlpm.q&gt;=_xlpm.s,ROUND(_xlpm.q,1)&amp;" "&amp;_xlpm.ai_test&amp;" = "&amp;ROUND(_xlpm.q*_xlpm.f,1)&amp;" "&amp;_xlpm.u,ROUND(_xlpm.q,1)&amp;" "&amp;_xlpm.ai_test)),""),""))))</f>
        <v>0</v>
      </c>
      <c r="BD467" s="801"/>
      <c r="BE467" s="788" t="str">
        <f t="shared" si="171"/>
        <v/>
      </c>
      <c r="BF467" s="789" t="str">
        <f t="shared" si="172"/>
        <v/>
      </c>
      <c r="BG467" s="790">
        <f t="shared" si="175"/>
        <v>0</v>
      </c>
      <c r="BH467" s="791" t="str">
        <f t="shared" si="176"/>
        <v/>
      </c>
      <c r="BI467" s="792"/>
      <c r="BJ467" s="793">
        <f t="shared" si="174"/>
        <v>0</v>
      </c>
      <c r="BK467" s="794" t="str">
        <f t="shared" si="173"/>
        <v/>
      </c>
      <c r="BL467" s="227" t="s">
        <v>21</v>
      </c>
      <c r="BM467" s="773">
        <f t="shared" si="162"/>
        <v>0</v>
      </c>
      <c r="BN467" s="774">
        <f t="shared" si="163"/>
        <v>0</v>
      </c>
      <c r="BO467"/>
      <c r="BX467"/>
      <c r="BY467"/>
      <c r="BZ467"/>
      <c r="CA467"/>
      <c r="CB467"/>
      <c r="CC467"/>
      <c r="CD467" s="781" t="str">
        <f t="shared" si="177"/>
        <v>►</v>
      </c>
      <c r="CE467" s="633"/>
      <c r="CF467" s="633"/>
      <c r="CG467" s="633"/>
      <c r="CH467" s="633"/>
      <c r="CI467" s="633"/>
      <c r="CJ467" s="227"/>
      <c r="CK467"/>
      <c r="CL467"/>
      <c r="CM467"/>
      <c r="CN467"/>
      <c r="CO467"/>
      <c r="CP467"/>
      <c r="CQ467"/>
      <c r="CR467" s="227"/>
      <c r="CS467"/>
      <c r="CT467"/>
      <c r="CU467"/>
      <c r="CV467"/>
      <c r="CW467"/>
      <c r="CX467"/>
      <c r="CY467"/>
      <c r="CZ467" s="227"/>
      <c r="DA467"/>
      <c r="DB467"/>
      <c r="DC467"/>
      <c r="DD467"/>
      <c r="DE467"/>
      <c r="DF467"/>
      <c r="DG467"/>
      <c r="DH467" s="227"/>
      <c r="DI467" s="3">
        <v>1</v>
      </c>
    </row>
    <row r="468" spans="2:113" s="627" customFormat="1" ht="21" customHeight="1">
      <c r="B468" s="2265" t="str" cm="1">
        <f t="array" ref="B468">SUMPRODUCT(--(D468:J468&lt;&gt;""), LEN(TRIM(SUBSTITUTE(D468:J468, CHAR(160), "")))) &amp; " Car."</f>
        <v>0 Car.</v>
      </c>
      <c r="C468" s="1376" t="str">
        <f>IF(ISBLANK(D468),"",LARGE(C13:C467,1)+1)</f>
        <v/>
      </c>
      <c r="D468" s="1833"/>
      <c r="E468" s="1810"/>
      <c r="F468" s="1810"/>
      <c r="G468" s="1810"/>
      <c r="H468" s="1810"/>
      <c r="I468" s="1810"/>
      <c r="J468" s="1810"/>
      <c r="K468" s="1810"/>
      <c r="L468" s="1811"/>
      <c r="M468"/>
      <c r="N468" s="103" t="str">
        <f t="shared" si="179"/>
        <v>►</v>
      </c>
      <c r="O468" s="1616"/>
      <c r="P468"/>
      <c r="Q468" s="25" t="s">
        <v>15</v>
      </c>
      <c r="R468" s="31"/>
      <c r="S468" s="32"/>
      <c r="T468" s="31"/>
      <c r="U468" s="33"/>
      <c r="V468" s="1967"/>
      <c r="W468" s="1805"/>
      <c r="X468" s="91"/>
      <c r="Y468" s="1806"/>
      <c r="Z468" s="1968"/>
      <c r="AA468" s="2244"/>
      <c r="AB468" s="1969"/>
      <c r="AC468" s="1365"/>
      <c r="AD468" s="95"/>
      <c r="AE468" s="1326"/>
      <c r="AF468" s="97"/>
      <c r="AG468" s="1737"/>
      <c r="AH468" s="1970"/>
      <c r="AI468" s="99"/>
      <c r="AJ468" s="1809"/>
      <c r="AK468" s="6120" t="str">
        <f t="shared" si="180"/>
        <v>►</v>
      </c>
      <c r="AL468" s="781" t="str">
        <f t="shared" si="161"/>
        <v>►</v>
      </c>
      <c r="AM468" s="5498" t="str">
        <f t="shared" si="164"/>
        <v/>
      </c>
      <c r="AN468" s="783" t="str">
        <f t="shared" si="165"/>
        <v/>
      </c>
      <c r="AO468" s="782" t="str">
        <f t="shared" si="166"/>
        <v/>
      </c>
      <c r="AP468" s="783" t="str">
        <f t="shared" si="167"/>
        <v/>
      </c>
      <c r="AQ468" s="2083" t="b">
        <f>AND(Q468="A",COUNTIF(BP16:BR63,TRIM(Z468))&gt;0)</f>
        <v>0</v>
      </c>
      <c r="AR468" s="797" t="str">
        <f>IF(AL468&lt;&gt;"A","",IFERROR(IFERROR(_xlfn.XLOOKUP(TRIM(SUBSTITUTE(Z468,CHAR(160)," ")),BP16:BP63,BS16:BS63),IFERROR(_xlfn.XLOOKUP(TRIM(SUBSTITUTE(Z468,CHAR(160)," ")),BQ16:BQ63,BS16:BS63),_xlfn.XLOOKUP(TRIM(SUBSTITUTE(Z468,CHAR(160)," ")),BR16:BR63,BS16:BS63)))*Y468*IF(ISBLANK(V468),1,V468),0))</f>
        <v/>
      </c>
      <c r="AS468" s="784" t="str">
        <f t="shared" si="178"/>
        <v/>
      </c>
      <c r="AT468" s="1315" t="str">
        <f t="shared" si="168"/>
        <v/>
      </c>
      <c r="AU468" s="785">
        <f t="shared" si="169"/>
        <v>0</v>
      </c>
      <c r="AV468" s="785">
        <f t="shared" si="170"/>
        <v>0</v>
      </c>
      <c r="AW468" s="798">
        <f>IF(AK468="A",AY10,0)</f>
        <v>0</v>
      </c>
      <c r="AX468" s="5496" t="str">
        <f>IF(IFERROR(SEARCH("Adresse PC",TRIM(W468)),0)&gt;0,"▼ receta siguiente",IF(AK468="A",IF(AZ10&lt;&gt;"",AZ10&amp;" - ou.or.o ❾ + or - &gt;",""),""))</f>
        <v/>
      </c>
      <c r="AY468" s="810"/>
      <c r="AZ468" s="810"/>
      <c r="BA468" s="799" t="str">
        <f t="shared" ref="BA468:BA531" si="181">IF(AK468="A",IF(UPPER(TRIM(SUBSTITUTE(AS468,CHAR(160),"")))="KG",N(AR468)*N(BN468),0),"")</f>
        <v/>
      </c>
      <c r="BB468" s="800" t="str">
        <f>IF(AK468="A",IF(AQ468,IF(AND(AW468&lt;&gt;"",N(AW468)&gt;0),IFERROR(IFERROR(_xlfn.XLOOKUP(AP468,BP10:BP57,BT10:BT57),IFERROR(_xlfn.XLOOKUP(AP468,BQ10:BQ57,BT10:BT57),_xlfn.XLOOKUP(AP468,BR10:BR57,BT10:BT57,""))),""),""),""),"")</f>
        <v/>
      </c>
      <c r="BC468" s="813" cm="1">
        <f t="array" ref="BC468">IF(NOT(AQ468),0,IF(OR(BA468="",N(BA468)&lt;=0.000000001),"",IF(OR(AU468="",N(AU468)&lt;=0.000000001),0,IF(ISNUMBER(BA468),IFERROR(_xlfn.LET(_xlpm.ai_test,TRIM(AP468),_xlpm.r,IFERROR(_xlfn.XLOOKUP(_xlpm.ai_test,BP16:BP63,ROW(BP16:BP63),0,1),IFERROR(_xlfn.XLOOKUP(_xlpm.ai_test,BQ16:BQ63,ROW(BQ16:BQ63),0,1),_xlfn.XLOOKUP(_xlpm.ai_test,BR16:BR63,ROW(BR16:BR63),0,1))),_xlpm.p,_xlpm.r-MIN(ROW(BP16:BP63))+1,_xlpm.f,INDEX(BS16:BS63,_xlpm.p),_xlpm.u,INDEX(BT16:BT63,_xlpm.p),_xlpm.s,INDEX(BV16:BV63,_xlpm.p),_xlpm.q,N(BA468)/_xlpm.f,IF(_xlpm.q&gt;=_xlpm.s,ROUND(_xlpm.q,1)&amp;" "&amp;_xlpm.ai_test&amp;" = "&amp;ROUND(_xlpm.q*_xlpm.f,1)&amp;" "&amp;_xlpm.u,ROUND(_xlpm.q,1)&amp;" "&amp;_xlpm.ai_test)),""),""))))</f>
        <v>0</v>
      </c>
      <c r="BD468" s="801"/>
      <c r="BE468" s="799" t="str">
        <f t="shared" si="171"/>
        <v/>
      </c>
      <c r="BF468" s="800" t="str">
        <f t="shared" si="172"/>
        <v/>
      </c>
      <c r="BG468" s="802">
        <f t="shared" si="175"/>
        <v>0</v>
      </c>
      <c r="BH468" s="803" t="str">
        <f t="shared" si="176"/>
        <v/>
      </c>
      <c r="BI468" s="792"/>
      <c r="BJ468" s="804">
        <f t="shared" si="174"/>
        <v>0</v>
      </c>
      <c r="BK468" s="794" t="str">
        <f t="shared" si="173"/>
        <v/>
      </c>
      <c r="BL468" s="227" t="s">
        <v>21</v>
      </c>
      <c r="BM468" s="773">
        <f t="shared" si="162"/>
        <v>0</v>
      </c>
      <c r="BN468" s="774">
        <f t="shared" si="163"/>
        <v>0</v>
      </c>
      <c r="BO468"/>
      <c r="BX468"/>
      <c r="BY468"/>
      <c r="BZ468"/>
      <c r="CA468"/>
      <c r="CB468"/>
      <c r="CC468"/>
      <c r="CD468" s="781" t="str">
        <f t="shared" si="177"/>
        <v>►</v>
      </c>
      <c r="CE468" s="633"/>
      <c r="CF468" s="633"/>
      <c r="CG468" s="633"/>
      <c r="CH468" s="633"/>
      <c r="CI468" s="633"/>
      <c r="CJ468" s="227"/>
      <c r="CK468"/>
      <c r="CL468"/>
      <c r="CM468"/>
      <c r="CN468"/>
      <c r="CO468"/>
      <c r="CP468"/>
      <c r="CQ468"/>
      <c r="CR468" s="227"/>
      <c r="CS468"/>
      <c r="CT468"/>
      <c r="CU468"/>
      <c r="CV468"/>
      <c r="CW468"/>
      <c r="CX468"/>
      <c r="CY468"/>
      <c r="CZ468" s="227"/>
      <c r="DA468"/>
      <c r="DB468"/>
      <c r="DC468"/>
      <c r="DD468"/>
      <c r="DE468"/>
      <c r="DF468"/>
      <c r="DG468"/>
      <c r="DH468" s="227"/>
      <c r="DI468" s="3">
        <v>1</v>
      </c>
    </row>
    <row r="469" spans="2:113" s="627" customFormat="1" ht="21" customHeight="1">
      <c r="B469" s="2265" t="str" cm="1">
        <f t="array" ref="B469">SUMPRODUCT(--(D469:J469&lt;&gt;""), LEN(TRIM(SUBSTITUTE(D469:J469, CHAR(160), "")))) &amp; " Car."</f>
        <v>0 Car.</v>
      </c>
      <c r="C469" s="1376" t="str">
        <f>IF(ISBLANK(D469),"",LARGE(C13:C468,1)+1)</f>
        <v/>
      </c>
      <c r="D469" s="1833"/>
      <c r="E469" s="1810"/>
      <c r="F469" s="1810"/>
      <c r="G469" s="1810"/>
      <c r="H469" s="1810"/>
      <c r="I469" s="1810"/>
      <c r="J469" s="1810"/>
      <c r="K469" s="1810"/>
      <c r="L469" s="1811"/>
      <c r="M469"/>
      <c r="N469" s="103" t="str">
        <f t="shared" si="179"/>
        <v>►</v>
      </c>
      <c r="O469" s="1616"/>
      <c r="P469"/>
      <c r="Q469" s="25" t="s">
        <v>15</v>
      </c>
      <c r="R469" s="31"/>
      <c r="S469" s="32"/>
      <c r="T469" s="31"/>
      <c r="U469" s="33"/>
      <c r="V469" s="1967"/>
      <c r="W469" s="1805"/>
      <c r="X469" s="91"/>
      <c r="Y469" s="1806"/>
      <c r="Z469" s="1968"/>
      <c r="AA469" s="2244"/>
      <c r="AB469" s="1969"/>
      <c r="AC469" s="1365"/>
      <c r="AD469" s="95"/>
      <c r="AE469" s="1326"/>
      <c r="AF469" s="97"/>
      <c r="AG469" s="1737"/>
      <c r="AH469" s="1970"/>
      <c r="AI469" s="99"/>
      <c r="AJ469" s="1809"/>
      <c r="AK469" s="6120" t="str">
        <f t="shared" si="180"/>
        <v>►</v>
      </c>
      <c r="AL469" s="781" t="str">
        <f t="shared" si="161"/>
        <v>►</v>
      </c>
      <c r="AM469" s="5499" t="str">
        <f t="shared" si="164"/>
        <v/>
      </c>
      <c r="AN469" s="783" t="str">
        <f t="shared" si="165"/>
        <v/>
      </c>
      <c r="AO469" s="782" t="str">
        <f t="shared" si="166"/>
        <v/>
      </c>
      <c r="AP469" s="783" t="str">
        <f t="shared" si="167"/>
        <v/>
      </c>
      <c r="AQ469" s="2083" t="b">
        <f>AND(Q469="A",COUNTIF(BP16:BR63,TRIM(Z469))&gt;0)</f>
        <v>0</v>
      </c>
      <c r="AR469" s="797" t="str">
        <f>IF(AL469&lt;&gt;"A","",IFERROR(IFERROR(_xlfn.XLOOKUP(TRIM(SUBSTITUTE(Z469,CHAR(160)," ")),BP16:BP63,BS16:BS63),IFERROR(_xlfn.XLOOKUP(TRIM(SUBSTITUTE(Z469,CHAR(160)," ")),BQ16:BQ63,BS16:BS63),_xlfn.XLOOKUP(TRIM(SUBSTITUTE(Z469,CHAR(160)," ")),BR16:BR63,BS16:BS63)))*Y469*IF(ISBLANK(V469),1,V469),0))</f>
        <v/>
      </c>
      <c r="AS469" s="784" t="str">
        <f t="shared" si="178"/>
        <v/>
      </c>
      <c r="AT469" s="1315" t="str">
        <f t="shared" si="168"/>
        <v/>
      </c>
      <c r="AU469" s="785">
        <f t="shared" si="169"/>
        <v>0</v>
      </c>
      <c r="AV469" s="785">
        <f t="shared" si="170"/>
        <v>0</v>
      </c>
      <c r="AW469" s="786">
        <f>IF(AK469="A",AY10,0)</f>
        <v>0</v>
      </c>
      <c r="AX469" s="5495" t="str">
        <f>IF(IFERROR(SEARCH("Adresse PC",TRIM(W469)),0)&gt;0,"▼ receta siguiente",IF(AK469="A",IF(AZ10&lt;&gt;"",AZ10&amp;" - ou.or.o ❾ + or - &gt;",""),""))</f>
        <v/>
      </c>
      <c r="AY469" s="810"/>
      <c r="AZ469" s="810"/>
      <c r="BA469" s="788" t="str">
        <f t="shared" si="181"/>
        <v/>
      </c>
      <c r="BB469" s="789" t="str">
        <f>IF(AK469="A",IF(AQ469,IF(AND(AW469&lt;&gt;"",N(AW469)&gt;0),IFERROR(IFERROR(_xlfn.XLOOKUP(AP469,BP10:BP57,BT10:BT57),IFERROR(_xlfn.XLOOKUP(AP469,BQ10:BQ57,BT10:BT57),_xlfn.XLOOKUP(AP469,BR10:BR57,BT10:BT57,""))),""),""),""),"")</f>
        <v/>
      </c>
      <c r="BC469" s="811" cm="1">
        <f t="array" ref="BC469">IF(NOT(AQ469),0,IF(OR(BA469="",N(BA469)&lt;=0.000000001),"",IF(OR(AU469="",N(AU469)&lt;=0.000000001),0,IF(ISNUMBER(BA469),IFERROR(_xlfn.LET(_xlpm.ai_test,TRIM(AP469),_xlpm.r,IFERROR(_xlfn.XLOOKUP(_xlpm.ai_test,BP16:BP63,ROW(BP16:BP63),0,1),IFERROR(_xlfn.XLOOKUP(_xlpm.ai_test,BQ16:BQ63,ROW(BQ16:BQ63),0,1),_xlfn.XLOOKUP(_xlpm.ai_test,BR16:BR63,ROW(BR16:BR63),0,1))),_xlpm.p,_xlpm.r-MIN(ROW(BP16:BP63))+1,_xlpm.f,INDEX(BS16:BS63,_xlpm.p),_xlpm.u,INDEX(BT16:BT63,_xlpm.p),_xlpm.s,INDEX(BV16:BV63,_xlpm.p),_xlpm.q,N(BA469)/_xlpm.f,IF(_xlpm.q&gt;=_xlpm.s,ROUND(_xlpm.q,1)&amp;" "&amp;_xlpm.ai_test&amp;" = "&amp;ROUND(_xlpm.q*_xlpm.f,1)&amp;" "&amp;_xlpm.u,ROUND(_xlpm.q,1)&amp;" "&amp;_xlpm.ai_test)),""),""))))</f>
        <v>0</v>
      </c>
      <c r="BD469" s="801"/>
      <c r="BE469" s="788" t="str">
        <f t="shared" si="171"/>
        <v/>
      </c>
      <c r="BF469" s="789" t="str">
        <f t="shared" si="172"/>
        <v/>
      </c>
      <c r="BG469" s="790">
        <f t="shared" si="175"/>
        <v>0</v>
      </c>
      <c r="BH469" s="791" t="str">
        <f t="shared" si="176"/>
        <v/>
      </c>
      <c r="BI469" s="792"/>
      <c r="BJ469" s="793">
        <f t="shared" si="174"/>
        <v>0</v>
      </c>
      <c r="BK469" s="794" t="str">
        <f t="shared" si="173"/>
        <v/>
      </c>
      <c r="BL469" s="227" t="s">
        <v>21</v>
      </c>
      <c r="BM469" s="773">
        <f t="shared" si="162"/>
        <v>0</v>
      </c>
      <c r="BN469" s="774">
        <f t="shared" si="163"/>
        <v>0</v>
      </c>
      <c r="BO469"/>
      <c r="BX469"/>
      <c r="BY469"/>
      <c r="BZ469"/>
      <c r="CA469"/>
      <c r="CB469"/>
      <c r="CC469"/>
      <c r="CD469" s="781" t="str">
        <f t="shared" si="177"/>
        <v>►</v>
      </c>
      <c r="CE469" s="633"/>
      <c r="CF469" s="633"/>
      <c r="CG469" s="633"/>
      <c r="CH469" s="633"/>
      <c r="CI469" s="633"/>
      <c r="CJ469" s="227"/>
      <c r="CK469"/>
      <c r="CL469"/>
      <c r="CM469"/>
      <c r="CN469"/>
      <c r="CO469"/>
      <c r="CP469"/>
      <c r="CQ469"/>
      <c r="CR469" s="227"/>
      <c r="CS469"/>
      <c r="CT469"/>
      <c r="CU469"/>
      <c r="CV469"/>
      <c r="CW469"/>
      <c r="CX469"/>
      <c r="CY469"/>
      <c r="CZ469" s="227"/>
      <c r="DA469"/>
      <c r="DB469"/>
      <c r="DC469"/>
      <c r="DD469"/>
      <c r="DE469"/>
      <c r="DF469"/>
      <c r="DG469"/>
      <c r="DH469" s="227"/>
      <c r="DI469" s="3">
        <v>1</v>
      </c>
    </row>
    <row r="470" spans="2:113" s="627" customFormat="1" ht="21" customHeight="1">
      <c r="B470" s="2265" t="str" cm="1">
        <f t="array" ref="B470">SUMPRODUCT(--(D470:J470&lt;&gt;""), LEN(TRIM(SUBSTITUTE(D470:J470, CHAR(160), "")))) &amp; " Car."</f>
        <v>0 Car.</v>
      </c>
      <c r="C470" s="1376" t="str">
        <f>IF(ISBLANK(D470),"",LARGE(C13:C469,1)+1)</f>
        <v/>
      </c>
      <c r="D470" s="1833"/>
      <c r="E470" s="1810"/>
      <c r="F470" s="1810"/>
      <c r="G470" s="1810"/>
      <c r="H470" s="1810"/>
      <c r="I470" s="1810"/>
      <c r="J470" s="1810"/>
      <c r="K470" s="1810"/>
      <c r="L470" s="1811"/>
      <c r="M470"/>
      <c r="N470" s="103" t="str">
        <f t="shared" si="179"/>
        <v>►</v>
      </c>
      <c r="O470" s="1616"/>
      <c r="P470"/>
      <c r="Q470" s="25" t="s">
        <v>15</v>
      </c>
      <c r="R470" s="31"/>
      <c r="S470" s="32"/>
      <c r="T470" s="31"/>
      <c r="U470" s="33"/>
      <c r="V470" s="1967"/>
      <c r="W470" s="1805"/>
      <c r="X470" s="91"/>
      <c r="Y470" s="1806"/>
      <c r="Z470" s="1968"/>
      <c r="AA470" s="2244"/>
      <c r="AB470" s="1969"/>
      <c r="AC470" s="1365"/>
      <c r="AD470" s="95"/>
      <c r="AE470" s="1326"/>
      <c r="AF470" s="97"/>
      <c r="AG470" s="1737"/>
      <c r="AH470" s="1970"/>
      <c r="AI470" s="99"/>
      <c r="AJ470" s="1809"/>
      <c r="AK470" s="6120" t="str">
        <f t="shared" si="180"/>
        <v>►</v>
      </c>
      <c r="AL470" s="781" t="str">
        <f t="shared" si="161"/>
        <v>►</v>
      </c>
      <c r="AM470" s="5498" t="str">
        <f t="shared" si="164"/>
        <v/>
      </c>
      <c r="AN470" s="783" t="str">
        <f t="shared" si="165"/>
        <v/>
      </c>
      <c r="AO470" s="782" t="str">
        <f t="shared" si="166"/>
        <v/>
      </c>
      <c r="AP470" s="783" t="str">
        <f t="shared" si="167"/>
        <v/>
      </c>
      <c r="AQ470" s="2083" t="b">
        <f>AND(Q470="A",COUNTIF(BP16:BR63,TRIM(Z470))&gt;0)</f>
        <v>0</v>
      </c>
      <c r="AR470" s="797" t="str">
        <f>IF(AL470&lt;&gt;"A","",IFERROR(IFERROR(_xlfn.XLOOKUP(TRIM(SUBSTITUTE(Z470,CHAR(160)," ")),BP16:BP63,BS16:BS63),IFERROR(_xlfn.XLOOKUP(TRIM(SUBSTITUTE(Z470,CHAR(160)," ")),BQ16:BQ63,BS16:BS63),_xlfn.XLOOKUP(TRIM(SUBSTITUTE(Z470,CHAR(160)," ")),BR16:BR63,BS16:BS63)))*Y470*IF(ISBLANK(V470),1,V470),0))</f>
        <v/>
      </c>
      <c r="AS470" s="784" t="str">
        <f t="shared" si="178"/>
        <v/>
      </c>
      <c r="AT470" s="1315" t="str">
        <f t="shared" si="168"/>
        <v/>
      </c>
      <c r="AU470" s="785">
        <f t="shared" si="169"/>
        <v>0</v>
      </c>
      <c r="AV470" s="785">
        <f t="shared" si="170"/>
        <v>0</v>
      </c>
      <c r="AW470" s="798">
        <f>IF(AK470="A",AY10,0)</f>
        <v>0</v>
      </c>
      <c r="AX470" s="5496" t="str">
        <f>IF(IFERROR(SEARCH("Adresse PC",TRIM(W470)),0)&gt;0,"▼ receta siguiente",IF(AK470="A",IF(AZ10&lt;&gt;"",AZ10&amp;" - ou.or.o ❾ + or - &gt;",""),""))</f>
        <v/>
      </c>
      <c r="AY470" s="810"/>
      <c r="AZ470" s="810"/>
      <c r="BA470" s="799" t="str">
        <f t="shared" si="181"/>
        <v/>
      </c>
      <c r="BB470" s="800" t="str">
        <f>IF(AK470="A",IF(AQ470,IF(AND(AW470&lt;&gt;"",N(AW470)&gt;0),IFERROR(IFERROR(_xlfn.XLOOKUP(AP470,BP10:BP57,BT10:BT57),IFERROR(_xlfn.XLOOKUP(AP470,BQ10:BQ57,BT10:BT57),_xlfn.XLOOKUP(AP470,BR10:BR57,BT10:BT57,""))),""),""),""),"")</f>
        <v/>
      </c>
      <c r="BC470" s="813" cm="1">
        <f t="array" ref="BC470">IF(NOT(AQ470),0,IF(OR(BA470="",N(BA470)&lt;=0.000000001),"",IF(OR(AU470="",N(AU470)&lt;=0.000000001),0,IF(ISNUMBER(BA470),IFERROR(_xlfn.LET(_xlpm.ai_test,TRIM(AP470),_xlpm.r,IFERROR(_xlfn.XLOOKUP(_xlpm.ai_test,BP16:BP63,ROW(BP16:BP63),0,1),IFERROR(_xlfn.XLOOKUP(_xlpm.ai_test,BQ16:BQ63,ROW(BQ16:BQ63),0,1),_xlfn.XLOOKUP(_xlpm.ai_test,BR16:BR63,ROW(BR16:BR63),0,1))),_xlpm.p,_xlpm.r-MIN(ROW(BP16:BP63))+1,_xlpm.f,INDEX(BS16:BS63,_xlpm.p),_xlpm.u,INDEX(BT16:BT63,_xlpm.p),_xlpm.s,INDEX(BV16:BV63,_xlpm.p),_xlpm.q,N(BA470)/_xlpm.f,IF(_xlpm.q&gt;=_xlpm.s,ROUND(_xlpm.q,1)&amp;" "&amp;_xlpm.ai_test&amp;" = "&amp;ROUND(_xlpm.q*_xlpm.f,1)&amp;" "&amp;_xlpm.u,ROUND(_xlpm.q,1)&amp;" "&amp;_xlpm.ai_test)),""),""))))</f>
        <v>0</v>
      </c>
      <c r="BD470" s="801"/>
      <c r="BE470" s="799" t="str">
        <f t="shared" si="171"/>
        <v/>
      </c>
      <c r="BF470" s="800" t="str">
        <f t="shared" si="172"/>
        <v/>
      </c>
      <c r="BG470" s="802">
        <f t="shared" si="175"/>
        <v>0</v>
      </c>
      <c r="BH470" s="803" t="str">
        <f t="shared" si="176"/>
        <v/>
      </c>
      <c r="BI470" s="792"/>
      <c r="BJ470" s="804">
        <f t="shared" si="174"/>
        <v>0</v>
      </c>
      <c r="BK470" s="794" t="str">
        <f t="shared" si="173"/>
        <v/>
      </c>
      <c r="BL470" s="227" t="s">
        <v>21</v>
      </c>
      <c r="BM470" s="773">
        <f t="shared" si="162"/>
        <v>0</v>
      </c>
      <c r="BN470" s="774">
        <f t="shared" si="163"/>
        <v>0</v>
      </c>
      <c r="BO470"/>
      <c r="BX470"/>
      <c r="BY470"/>
      <c r="BZ470"/>
      <c r="CA470"/>
      <c r="CB470"/>
      <c r="CC470"/>
      <c r="CD470" s="781" t="str">
        <f t="shared" si="177"/>
        <v>►</v>
      </c>
      <c r="CE470" s="633"/>
      <c r="CF470" s="633"/>
      <c r="CG470" s="633"/>
      <c r="CH470" s="633"/>
      <c r="CI470" s="633"/>
      <c r="CJ470" s="227"/>
      <c r="CK470"/>
      <c r="CL470"/>
      <c r="CM470"/>
      <c r="CN470"/>
      <c r="CO470"/>
      <c r="CP470"/>
      <c r="CQ470"/>
      <c r="CR470" s="227"/>
      <c r="CS470"/>
      <c r="CT470"/>
      <c r="CU470"/>
      <c r="CV470"/>
      <c r="CW470"/>
      <c r="CX470"/>
      <c r="CY470"/>
      <c r="CZ470" s="227"/>
      <c r="DA470"/>
      <c r="DB470"/>
      <c r="DC470"/>
      <c r="DD470"/>
      <c r="DE470"/>
      <c r="DF470"/>
      <c r="DG470"/>
      <c r="DH470" s="227"/>
      <c r="DI470" s="3">
        <v>1</v>
      </c>
    </row>
    <row r="471" spans="2:113" s="627" customFormat="1" ht="21" customHeight="1">
      <c r="B471" s="2265" t="str" cm="1">
        <f t="array" ref="B471">SUMPRODUCT(--(D471:J471&lt;&gt;""), LEN(TRIM(SUBSTITUTE(D471:J471, CHAR(160), "")))) &amp; " Car."</f>
        <v>0 Car.</v>
      </c>
      <c r="C471" s="1376" t="str">
        <f>IF(ISBLANK(D471),"",LARGE(C13:C470,1)+1)</f>
        <v/>
      </c>
      <c r="D471" s="1833"/>
      <c r="E471" s="1810"/>
      <c r="F471" s="1810"/>
      <c r="G471" s="1810"/>
      <c r="H471" s="1810"/>
      <c r="I471" s="1810"/>
      <c r="J471" s="1810"/>
      <c r="K471" s="1810"/>
      <c r="L471" s="1811"/>
      <c r="M471"/>
      <c r="N471" s="103" t="str">
        <f t="shared" si="179"/>
        <v>►</v>
      </c>
      <c r="O471" s="1616"/>
      <c r="P471"/>
      <c r="Q471" s="25" t="s">
        <v>15</v>
      </c>
      <c r="R471" s="31"/>
      <c r="S471" s="32"/>
      <c r="T471" s="31"/>
      <c r="U471" s="33"/>
      <c r="V471" s="1967"/>
      <c r="W471" s="1805"/>
      <c r="X471" s="91"/>
      <c r="Y471" s="1806"/>
      <c r="Z471" s="1968"/>
      <c r="AA471" s="2244"/>
      <c r="AB471" s="1969"/>
      <c r="AC471" s="1365"/>
      <c r="AD471" s="95"/>
      <c r="AE471" s="1326"/>
      <c r="AF471" s="97"/>
      <c r="AG471" s="1737"/>
      <c r="AH471" s="1970"/>
      <c r="AI471" s="99"/>
      <c r="AJ471" s="1809"/>
      <c r="AK471" s="6120" t="str">
        <f t="shared" si="180"/>
        <v>►</v>
      </c>
      <c r="AL471" s="781" t="str">
        <f t="shared" ref="AL471:AL534" si="182">IF(OR(AU471&gt;0,TRIM(AM471)="▼ recette suivante"),"A","►")</f>
        <v>►</v>
      </c>
      <c r="AM471" s="5499" t="str">
        <f t="shared" si="164"/>
        <v/>
      </c>
      <c r="AN471" s="783" t="str">
        <f t="shared" si="165"/>
        <v/>
      </c>
      <c r="AO471" s="782" t="str">
        <f t="shared" si="166"/>
        <v/>
      </c>
      <c r="AP471" s="783" t="str">
        <f t="shared" si="167"/>
        <v/>
      </c>
      <c r="AQ471" s="2083" t="b">
        <f>AND(Q471="A",COUNTIF(BP16:BR63,TRIM(Z471))&gt;0)</f>
        <v>0</v>
      </c>
      <c r="AR471" s="797" t="str">
        <f>IF(AL471&lt;&gt;"A","",IFERROR(IFERROR(_xlfn.XLOOKUP(TRIM(SUBSTITUTE(Z471,CHAR(160)," ")),BP16:BP63,BS16:BS63),IFERROR(_xlfn.XLOOKUP(TRIM(SUBSTITUTE(Z471,CHAR(160)," ")),BQ16:BQ63,BS16:BS63),_xlfn.XLOOKUP(TRIM(SUBSTITUTE(Z471,CHAR(160)," ")),BR16:BR63,BS16:BS63)))*Y471*IF(ISBLANK(V471),1,V471),0))</f>
        <v/>
      </c>
      <c r="AS471" s="784" t="str">
        <f t="shared" si="178"/>
        <v/>
      </c>
      <c r="AT471" s="1315" t="str">
        <f t="shared" si="168"/>
        <v/>
      </c>
      <c r="AU471" s="785">
        <f t="shared" si="169"/>
        <v>0</v>
      </c>
      <c r="AV471" s="785">
        <f t="shared" si="170"/>
        <v>0</v>
      </c>
      <c r="AW471" s="786">
        <f>IF(AK471="A",AY10,0)</f>
        <v>0</v>
      </c>
      <c r="AX471" s="5495" t="str">
        <f>IF(IFERROR(SEARCH("Adresse PC",TRIM(W471)),0)&gt;0,"▼ receta siguiente",IF(AK471="A",IF(AZ10&lt;&gt;"",AZ10&amp;" - ou.or.o ❾ + or - &gt;",""),""))</f>
        <v/>
      </c>
      <c r="AY471" s="810"/>
      <c r="AZ471" s="810"/>
      <c r="BA471" s="788" t="str">
        <f t="shared" si="181"/>
        <v/>
      </c>
      <c r="BB471" s="789" t="str">
        <f>IF(AK471="A",IF(AQ471,IF(AND(AW471&lt;&gt;"",N(AW471)&gt;0),IFERROR(IFERROR(_xlfn.XLOOKUP(AP471,BP10:BP57,BT10:BT57),IFERROR(_xlfn.XLOOKUP(AP471,BQ10:BQ57,BT10:BT57),_xlfn.XLOOKUP(AP471,BR10:BR57,BT10:BT57,""))),""),""),""),"")</f>
        <v/>
      </c>
      <c r="BC471" s="811" cm="1">
        <f t="array" ref="BC471">IF(NOT(AQ471),0,IF(OR(BA471="",N(BA471)&lt;=0.000000001),"",IF(OR(AU471="",N(AU471)&lt;=0.000000001),0,IF(ISNUMBER(BA471),IFERROR(_xlfn.LET(_xlpm.ai_test,TRIM(AP471),_xlpm.r,IFERROR(_xlfn.XLOOKUP(_xlpm.ai_test,BP16:BP63,ROW(BP16:BP63),0,1),IFERROR(_xlfn.XLOOKUP(_xlpm.ai_test,BQ16:BQ63,ROW(BQ16:BQ63),0,1),_xlfn.XLOOKUP(_xlpm.ai_test,BR16:BR63,ROW(BR16:BR63),0,1))),_xlpm.p,_xlpm.r-MIN(ROW(BP16:BP63))+1,_xlpm.f,INDEX(BS16:BS63,_xlpm.p),_xlpm.u,INDEX(BT16:BT63,_xlpm.p),_xlpm.s,INDEX(BV16:BV63,_xlpm.p),_xlpm.q,N(BA471)/_xlpm.f,IF(_xlpm.q&gt;=_xlpm.s,ROUND(_xlpm.q,1)&amp;" "&amp;_xlpm.ai_test&amp;" = "&amp;ROUND(_xlpm.q*_xlpm.f,1)&amp;" "&amp;_xlpm.u,ROUND(_xlpm.q,1)&amp;" "&amp;_xlpm.ai_test)),""),""))))</f>
        <v>0</v>
      </c>
      <c r="BD471" s="801"/>
      <c r="BE471" s="788" t="str">
        <f t="shared" si="171"/>
        <v/>
      </c>
      <c r="BF471" s="789" t="str">
        <f t="shared" si="172"/>
        <v/>
      </c>
      <c r="BG471" s="790">
        <f t="shared" si="175"/>
        <v>0</v>
      </c>
      <c r="BH471" s="791" t="str">
        <f t="shared" si="176"/>
        <v/>
      </c>
      <c r="BI471" s="792"/>
      <c r="BJ471" s="793">
        <f t="shared" si="174"/>
        <v>0</v>
      </c>
      <c r="BK471" s="794" t="str">
        <f t="shared" si="173"/>
        <v/>
      </c>
      <c r="BL471" s="227" t="s">
        <v>21</v>
      </c>
      <c r="BM471" s="773">
        <f t="shared" ref="BM471:BM534" si="183">IFERROR(_xlfn.LET(_xlpm.EPS,0.000000001,_xlpm.b,V471/AU471,IF(ISNUMBER(AY471),_xlpm.b*AY471,IF(OR(ISBLANK(AY471),AY471=""),_xlpm.b*AW471,IF(AND(BN471=0,ISNUMBER(V471)),_xlpm.b/AW471,0)))),0)</f>
        <v>0</v>
      </c>
      <c r="BN471" s="774">
        <f t="shared" ref="BN471:BN534" si="184">IF(AR471&gt;0,IFERROR(IF(OR(ISBLANK(AY471),AY471=""),AW471,AY471)/AU471,0),0)</f>
        <v>0</v>
      </c>
      <c r="BO471"/>
      <c r="BX471"/>
      <c r="BY471"/>
      <c r="BZ471"/>
      <c r="CA471"/>
      <c r="CB471"/>
      <c r="CC471"/>
      <c r="CD471" s="781" t="str">
        <f t="shared" si="177"/>
        <v>►</v>
      </c>
      <c r="CE471" s="633"/>
      <c r="CF471" s="633"/>
      <c r="CG471" s="633"/>
      <c r="CH471" s="633"/>
      <c r="CI471" s="633"/>
      <c r="CJ471" s="227"/>
      <c r="CK471"/>
      <c r="CL471"/>
      <c r="CM471"/>
      <c r="CN471"/>
      <c r="CO471"/>
      <c r="CP471"/>
      <c r="CQ471"/>
      <c r="CR471" s="227"/>
      <c r="CS471"/>
      <c r="CT471"/>
      <c r="CU471"/>
      <c r="CV471"/>
      <c r="CW471"/>
      <c r="CX471"/>
      <c r="CY471"/>
      <c r="CZ471" s="227"/>
      <c r="DA471"/>
      <c r="DB471"/>
      <c r="DC471"/>
      <c r="DD471"/>
      <c r="DE471"/>
      <c r="DF471"/>
      <c r="DG471"/>
      <c r="DH471" s="227"/>
      <c r="DI471" s="3">
        <v>1</v>
      </c>
    </row>
    <row r="472" spans="2:113" s="627" customFormat="1" ht="21" customHeight="1">
      <c r="B472" s="2265" t="str" cm="1">
        <f t="array" ref="B472">SUMPRODUCT(--(D472:J472&lt;&gt;""), LEN(TRIM(SUBSTITUTE(D472:J472, CHAR(160), "")))) &amp; " Car."</f>
        <v>0 Car.</v>
      </c>
      <c r="C472" s="1376" t="str">
        <f>IF(ISBLANK(D472),"",LARGE(C13:C471,1)+1)</f>
        <v/>
      </c>
      <c r="D472" s="1833"/>
      <c r="E472" s="1810"/>
      <c r="F472" s="1810"/>
      <c r="G472" s="1810"/>
      <c r="H472" s="1810"/>
      <c r="I472" s="1810"/>
      <c r="J472" s="1810"/>
      <c r="K472" s="1810"/>
      <c r="L472" s="1811"/>
      <c r="M472"/>
      <c r="N472" s="103" t="str">
        <f t="shared" si="179"/>
        <v>►</v>
      </c>
      <c r="O472" s="1616"/>
      <c r="P472"/>
      <c r="Q472" s="25" t="s">
        <v>15</v>
      </c>
      <c r="R472" s="31"/>
      <c r="S472" s="32"/>
      <c r="T472" s="31"/>
      <c r="U472" s="33"/>
      <c r="V472" s="1967"/>
      <c r="W472" s="1805"/>
      <c r="X472" s="91"/>
      <c r="Y472" s="1806"/>
      <c r="Z472" s="1968"/>
      <c r="AA472" s="2244"/>
      <c r="AB472" s="1969"/>
      <c r="AC472" s="1365"/>
      <c r="AD472" s="95"/>
      <c r="AE472" s="1326"/>
      <c r="AF472" s="97"/>
      <c r="AG472" s="1737"/>
      <c r="AH472" s="1970"/>
      <c r="AI472" s="99"/>
      <c r="AJ472" s="1809"/>
      <c r="AK472" s="6120" t="str">
        <f t="shared" si="180"/>
        <v>►</v>
      </c>
      <c r="AL472" s="781" t="str">
        <f t="shared" si="182"/>
        <v>►</v>
      </c>
      <c r="AM472" s="5498" t="str">
        <f t="shared" ref="AM472:AM535" si="185">IF(IFERROR(SEARCH("Adresse PC",TRIM(SUBSTITUTE(W472,CHAR(160)," "))),0)&gt;0,"▼ recette suivante",IF(AK472="A",R472,""))</f>
        <v/>
      </c>
      <c r="AN472" s="783" t="str">
        <f t="shared" ref="AN472:AN535" si="186">IF(AK472="A",S472,"")</f>
        <v/>
      </c>
      <c r="AO472" s="782" t="str">
        <f t="shared" ref="AO472:AO535" si="187">IF(AK472="A",T472,"")</f>
        <v/>
      </c>
      <c r="AP472" s="783" t="str">
        <f t="shared" ref="AP472:AP535" si="188">IF(AK472="A",Z472,"")</f>
        <v/>
      </c>
      <c r="AQ472" s="2083" t="b">
        <f>AND(Q472="A",COUNTIF(BP16:BR63,TRIM(Z472))&gt;0)</f>
        <v>0</v>
      </c>
      <c r="AR472" s="797" t="str">
        <f>IF(AL472&lt;&gt;"A","",IFERROR(IFERROR(_xlfn.XLOOKUP(TRIM(SUBSTITUTE(Z472,CHAR(160)," ")),BP16:BP63,BS16:BS63),IFERROR(_xlfn.XLOOKUP(TRIM(SUBSTITUTE(Z472,CHAR(160)," ")),BQ16:BQ63,BS16:BS63),_xlfn.XLOOKUP(TRIM(SUBSTITUTE(Z472,CHAR(160)," ")),BR16:BR63,BS16:BS63)))*Y472*IF(ISBLANK(V472),1,V472),0))</f>
        <v/>
      </c>
      <c r="AS472" s="784" t="str">
        <f t="shared" si="178"/>
        <v/>
      </c>
      <c r="AT472" s="1315" t="str">
        <f t="shared" ref="AT472:AT535" si="189">IF(AK472="A","❾ Author reference &gt;","")</f>
        <v/>
      </c>
      <c r="AU472" s="785">
        <f t="shared" ref="AU472:AU535" si="190">IF(AK472="A",S472,0)</f>
        <v>0</v>
      </c>
      <c r="AV472" s="785">
        <f t="shared" ref="AV472:AV535" si="191">IF(AK472="A",T472,0)</f>
        <v>0</v>
      </c>
      <c r="AW472" s="798">
        <f>IF(AK472="A",AY10,0)</f>
        <v>0</v>
      </c>
      <c r="AX472" s="5496" t="str">
        <f>IF(IFERROR(SEARCH("Adresse PC",TRIM(W472)),0)&gt;0,"▼ receta siguiente",IF(AK472="A",IF(AZ10&lt;&gt;"",AZ10&amp;" - ou.or.o ❾ + or - &gt;",""),""))</f>
        <v/>
      </c>
      <c r="AY472" s="810"/>
      <c r="AZ472" s="810"/>
      <c r="BA472" s="799" t="str">
        <f t="shared" si="181"/>
        <v/>
      </c>
      <c r="BB472" s="800" t="str">
        <f>IF(AK472="A",IF(AQ472,IF(AND(AW472&lt;&gt;"",N(AW472)&gt;0),IFERROR(IFERROR(_xlfn.XLOOKUP(AP472,BP10:BP57,BT10:BT57),IFERROR(_xlfn.XLOOKUP(AP472,BQ10:BQ57,BT10:BT57),_xlfn.XLOOKUP(AP472,BR10:BR57,BT10:BT57,""))),""),""),""),"")</f>
        <v/>
      </c>
      <c r="BC472" s="813" cm="1">
        <f t="array" ref="BC472">IF(NOT(AQ472),0,IF(OR(BA472="",N(BA472)&lt;=0.000000001),"",IF(OR(AU472="",N(AU472)&lt;=0.000000001),0,IF(ISNUMBER(BA472),IFERROR(_xlfn.LET(_xlpm.ai_test,TRIM(AP472),_xlpm.r,IFERROR(_xlfn.XLOOKUP(_xlpm.ai_test,BP16:BP63,ROW(BP16:BP63),0,1),IFERROR(_xlfn.XLOOKUP(_xlpm.ai_test,BQ16:BQ63,ROW(BQ16:BQ63),0,1),_xlfn.XLOOKUP(_xlpm.ai_test,BR16:BR63,ROW(BR16:BR63),0,1))),_xlpm.p,_xlpm.r-MIN(ROW(BP16:BP63))+1,_xlpm.f,INDEX(BS16:BS63,_xlpm.p),_xlpm.u,INDEX(BT16:BT63,_xlpm.p),_xlpm.s,INDEX(BV16:BV63,_xlpm.p),_xlpm.q,N(BA472)/_xlpm.f,IF(_xlpm.q&gt;=_xlpm.s,ROUND(_xlpm.q,1)&amp;" "&amp;_xlpm.ai_test&amp;" = "&amp;ROUND(_xlpm.q*_xlpm.f,1)&amp;" "&amp;_xlpm.u,ROUND(_xlpm.q,1)&amp;" "&amp;_xlpm.ai_test)),""),""))))</f>
        <v>0</v>
      </c>
      <c r="BD472" s="801"/>
      <c r="BE472" s="799" t="str">
        <f t="shared" ref="BE472:BE535" si="192">IF(IFERROR(SEARCH("Adresse PC",TRIM(W472)),0)&gt;0,"▼next ricipe ",IF(BA472="","",IF(AK472="A",IF(ISBLANK(BD472),BA472,ROUND(BA472*(1-MIN(1,MAX(0,IF(BD472&gt;1,BD472/100,BD472)))),3)))))</f>
        <v/>
      </c>
      <c r="BF472" s="800" t="str">
        <f t="shared" ref="BF472:BF535" si="193">IF(AQ472,BB472,"")</f>
        <v/>
      </c>
      <c r="BG472" s="802">
        <f t="shared" si="175"/>
        <v>0</v>
      </c>
      <c r="BH472" s="803" t="str">
        <f t="shared" si="176"/>
        <v/>
      </c>
      <c r="BI472" s="792"/>
      <c r="BJ472" s="804">
        <f t="shared" si="174"/>
        <v>0</v>
      </c>
      <c r="BK472" s="794" t="str">
        <f t="shared" ref="BK472:BK535" si="194">IF(AK472="A",IF(IFERROR(SEARCH("Adresse PC",TRIM(W472)),0)&gt;0,"▼recette suivante ",IF(BE472&gt;0,AC472,"")),"")</f>
        <v/>
      </c>
      <c r="BL472" s="227" t="s">
        <v>21</v>
      </c>
      <c r="BM472" s="773">
        <f t="shared" si="183"/>
        <v>0</v>
      </c>
      <c r="BN472" s="774">
        <f t="shared" si="184"/>
        <v>0</v>
      </c>
      <c r="BO472"/>
      <c r="BX472"/>
      <c r="BY472"/>
      <c r="BZ472"/>
      <c r="CA472"/>
      <c r="CB472"/>
      <c r="CC472"/>
      <c r="CD472" s="781" t="str">
        <f t="shared" si="177"/>
        <v>►</v>
      </c>
      <c r="CE472" s="633"/>
      <c r="CF472" s="633"/>
      <c r="CG472" s="633"/>
      <c r="CH472" s="633"/>
      <c r="CI472" s="633"/>
      <c r="CJ472" s="227"/>
      <c r="CK472"/>
      <c r="CL472"/>
      <c r="CM472"/>
      <c r="CN472"/>
      <c r="CO472"/>
      <c r="CP472"/>
      <c r="CQ472"/>
      <c r="CR472" s="227"/>
      <c r="CS472"/>
      <c r="CT472"/>
      <c r="CU472"/>
      <c r="CV472"/>
      <c r="CW472"/>
      <c r="CX472"/>
      <c r="CY472"/>
      <c r="CZ472" s="227"/>
      <c r="DA472"/>
      <c r="DB472"/>
      <c r="DC472"/>
      <c r="DD472"/>
      <c r="DE472"/>
      <c r="DF472"/>
      <c r="DG472"/>
      <c r="DH472" s="227"/>
      <c r="DI472" s="3">
        <v>1</v>
      </c>
    </row>
    <row r="473" spans="2:113" s="627" customFormat="1" ht="21" customHeight="1">
      <c r="B473" s="2265" t="str" cm="1">
        <f t="array" ref="B473">SUMPRODUCT(--(D473:J473&lt;&gt;""), LEN(TRIM(SUBSTITUTE(D473:J473, CHAR(160), "")))) &amp; " Car."</f>
        <v>0 Car.</v>
      </c>
      <c r="C473" s="1376" t="str">
        <f>IF(ISBLANK(D473),"",LARGE(C13:C472,1)+1)</f>
        <v/>
      </c>
      <c r="D473" s="1833"/>
      <c r="E473" s="1810"/>
      <c r="F473" s="1810"/>
      <c r="G473" s="1810"/>
      <c r="H473" s="1810"/>
      <c r="I473" s="1810"/>
      <c r="J473" s="1810"/>
      <c r="K473" s="1810"/>
      <c r="L473" s="1811"/>
      <c r="M473"/>
      <c r="N473" s="103" t="str">
        <f t="shared" si="179"/>
        <v>►</v>
      </c>
      <c r="O473" s="1616"/>
      <c r="P473"/>
      <c r="Q473" s="25" t="s">
        <v>15</v>
      </c>
      <c r="R473" s="31"/>
      <c r="S473" s="32"/>
      <c r="T473" s="31"/>
      <c r="U473" s="33"/>
      <c r="V473" s="1967"/>
      <c r="W473" s="1805"/>
      <c r="X473" s="91"/>
      <c r="Y473" s="1806"/>
      <c r="Z473" s="1968"/>
      <c r="AA473" s="2244"/>
      <c r="AB473" s="1969"/>
      <c r="AC473" s="1365"/>
      <c r="AD473" s="95"/>
      <c r="AE473" s="1326"/>
      <c r="AF473" s="97"/>
      <c r="AG473" s="1737"/>
      <c r="AH473" s="1970"/>
      <c r="AI473" s="99"/>
      <c r="AJ473" s="1809"/>
      <c r="AK473" s="6120" t="str">
        <f t="shared" si="180"/>
        <v>►</v>
      </c>
      <c r="AL473" s="781" t="str">
        <f t="shared" si="182"/>
        <v>►</v>
      </c>
      <c r="AM473" s="5499" t="str">
        <f t="shared" si="185"/>
        <v/>
      </c>
      <c r="AN473" s="783" t="str">
        <f t="shared" si="186"/>
        <v/>
      </c>
      <c r="AO473" s="782" t="str">
        <f t="shared" si="187"/>
        <v/>
      </c>
      <c r="AP473" s="783" t="str">
        <f t="shared" si="188"/>
        <v/>
      </c>
      <c r="AQ473" s="2083" t="b">
        <f>AND(Q473="A",COUNTIF(BP16:BR63,TRIM(Z473))&gt;0)</f>
        <v>0</v>
      </c>
      <c r="AR473" s="797" t="str">
        <f>IF(AL473&lt;&gt;"A","",IFERROR(IFERROR(_xlfn.XLOOKUP(TRIM(SUBSTITUTE(Z473,CHAR(160)," ")),BP16:BP63,BS16:BS63),IFERROR(_xlfn.XLOOKUP(TRIM(SUBSTITUTE(Z473,CHAR(160)," ")),BQ16:BQ63,BS16:BS63),_xlfn.XLOOKUP(TRIM(SUBSTITUTE(Z473,CHAR(160)," ")),BR16:BR63,BS16:BS63)))*Y473*IF(ISBLANK(V473),1,V473),0))</f>
        <v/>
      </c>
      <c r="AS473" s="784" t="str">
        <f t="shared" si="178"/>
        <v/>
      </c>
      <c r="AT473" s="1315" t="str">
        <f t="shared" si="189"/>
        <v/>
      </c>
      <c r="AU473" s="785">
        <f t="shared" si="190"/>
        <v>0</v>
      </c>
      <c r="AV473" s="785">
        <f t="shared" si="191"/>
        <v>0</v>
      </c>
      <c r="AW473" s="786">
        <f>IF(AK473="A",AY10,0)</f>
        <v>0</v>
      </c>
      <c r="AX473" s="5495" t="str">
        <f>IF(IFERROR(SEARCH("Adresse PC",TRIM(W473)),0)&gt;0,"▼ receta siguiente",IF(AK473="A",IF(AZ10&lt;&gt;"",AZ10&amp;" - ou.or.o ❾ + or - &gt;",""),""))</f>
        <v/>
      </c>
      <c r="AY473" s="810"/>
      <c r="AZ473" s="810"/>
      <c r="BA473" s="788" t="str">
        <f t="shared" si="181"/>
        <v/>
      </c>
      <c r="BB473" s="789" t="str">
        <f>IF(AK473="A",IF(AQ473,IF(AND(AW473&lt;&gt;"",N(AW473)&gt;0),IFERROR(IFERROR(_xlfn.XLOOKUP(AP473,BP10:BP57,BT10:BT57),IFERROR(_xlfn.XLOOKUP(AP473,BQ10:BQ57,BT10:BT57),_xlfn.XLOOKUP(AP473,BR10:BR57,BT10:BT57,""))),""),""),""),"")</f>
        <v/>
      </c>
      <c r="BC473" s="811" cm="1">
        <f t="array" ref="BC473">IF(NOT(AQ473),0,IF(OR(BA473="",N(BA473)&lt;=0.000000001),"",IF(OR(AU473="",N(AU473)&lt;=0.000000001),0,IF(ISNUMBER(BA473),IFERROR(_xlfn.LET(_xlpm.ai_test,TRIM(AP473),_xlpm.r,IFERROR(_xlfn.XLOOKUP(_xlpm.ai_test,BP16:BP63,ROW(BP16:BP63),0,1),IFERROR(_xlfn.XLOOKUP(_xlpm.ai_test,BQ16:BQ63,ROW(BQ16:BQ63),0,1),_xlfn.XLOOKUP(_xlpm.ai_test,BR16:BR63,ROW(BR16:BR63),0,1))),_xlpm.p,_xlpm.r-MIN(ROW(BP16:BP63))+1,_xlpm.f,INDEX(BS16:BS63,_xlpm.p),_xlpm.u,INDEX(BT16:BT63,_xlpm.p),_xlpm.s,INDEX(BV16:BV63,_xlpm.p),_xlpm.q,N(BA473)/_xlpm.f,IF(_xlpm.q&gt;=_xlpm.s,ROUND(_xlpm.q,1)&amp;" "&amp;_xlpm.ai_test&amp;" = "&amp;ROUND(_xlpm.q*_xlpm.f,1)&amp;" "&amp;_xlpm.u,ROUND(_xlpm.q,1)&amp;" "&amp;_xlpm.ai_test)),""),""))))</f>
        <v>0</v>
      </c>
      <c r="BD473" s="801"/>
      <c r="BE473" s="788" t="str">
        <f t="shared" si="192"/>
        <v/>
      </c>
      <c r="BF473" s="789" t="str">
        <f t="shared" si="193"/>
        <v/>
      </c>
      <c r="BG473" s="790">
        <f t="shared" si="175"/>
        <v>0</v>
      </c>
      <c r="BH473" s="791" t="str">
        <f t="shared" si="176"/>
        <v/>
      </c>
      <c r="BI473" s="792"/>
      <c r="BJ473" s="793">
        <f t="shared" si="174"/>
        <v>0</v>
      </c>
      <c r="BK473" s="794" t="str">
        <f t="shared" si="194"/>
        <v/>
      </c>
      <c r="BL473" s="227" t="s">
        <v>21</v>
      </c>
      <c r="BM473" s="773">
        <f t="shared" si="183"/>
        <v>0</v>
      </c>
      <c r="BN473" s="774">
        <f t="shared" si="184"/>
        <v>0</v>
      </c>
      <c r="BO473"/>
      <c r="BX473"/>
      <c r="BY473"/>
      <c r="BZ473"/>
      <c r="CA473"/>
      <c r="CB473"/>
      <c r="CC473"/>
      <c r="CD473" s="781" t="str">
        <f t="shared" si="177"/>
        <v>►</v>
      </c>
      <c r="CE473" s="633"/>
      <c r="CF473" s="633"/>
      <c r="CG473" s="633"/>
      <c r="CH473" s="633"/>
      <c r="CI473" s="633"/>
      <c r="CJ473" s="227"/>
      <c r="CK473"/>
      <c r="CL473"/>
      <c r="CM473"/>
      <c r="CN473"/>
      <c r="CO473"/>
      <c r="CP473"/>
      <c r="CQ473"/>
      <c r="CR473" s="227"/>
      <c r="CS473"/>
      <c r="CT473"/>
      <c r="CU473"/>
      <c r="CV473"/>
      <c r="CW473"/>
      <c r="CX473"/>
      <c r="CY473"/>
      <c r="CZ473" s="227"/>
      <c r="DA473"/>
      <c r="DB473"/>
      <c r="DC473"/>
      <c r="DD473"/>
      <c r="DE473"/>
      <c r="DF473"/>
      <c r="DG473"/>
      <c r="DH473" s="227"/>
      <c r="DI473" s="3">
        <v>1</v>
      </c>
    </row>
    <row r="474" spans="2:113" s="627" customFormat="1" ht="21" customHeight="1">
      <c r="B474" s="2265" t="str" cm="1">
        <f t="array" ref="B474">SUMPRODUCT(--(D474:J474&lt;&gt;""), LEN(TRIM(SUBSTITUTE(D474:J474, CHAR(160), "")))) &amp; " Car."</f>
        <v>0 Car.</v>
      </c>
      <c r="C474" s="1376" t="str">
        <f>IF(ISBLANK(D474),"",LARGE(C13:C473,1)+1)</f>
        <v/>
      </c>
      <c r="D474" s="1833"/>
      <c r="E474" s="1810"/>
      <c r="F474" s="1810"/>
      <c r="G474" s="1810"/>
      <c r="H474" s="1810"/>
      <c r="I474" s="1810"/>
      <c r="J474" s="1810"/>
      <c r="K474" s="1810"/>
      <c r="L474" s="1811"/>
      <c r="M474"/>
      <c r="N474" s="103" t="str">
        <f t="shared" si="179"/>
        <v>►</v>
      </c>
      <c r="O474" s="1616"/>
      <c r="P474"/>
      <c r="Q474" s="25" t="s">
        <v>15</v>
      </c>
      <c r="R474" s="31"/>
      <c r="S474" s="32"/>
      <c r="T474" s="31"/>
      <c r="U474" s="33"/>
      <c r="V474" s="1967"/>
      <c r="W474" s="1805"/>
      <c r="X474" s="91"/>
      <c r="Y474" s="1806"/>
      <c r="Z474" s="1968"/>
      <c r="AA474" s="2244"/>
      <c r="AB474" s="1969"/>
      <c r="AC474" s="1365"/>
      <c r="AD474" s="95"/>
      <c r="AE474" s="1326"/>
      <c r="AF474" s="97"/>
      <c r="AG474" s="1737"/>
      <c r="AH474" s="1970"/>
      <c r="AI474" s="99"/>
      <c r="AJ474" s="1809"/>
      <c r="AK474" s="6120" t="str">
        <f t="shared" si="180"/>
        <v>►</v>
      </c>
      <c r="AL474" s="781" t="str">
        <f t="shared" si="182"/>
        <v>►</v>
      </c>
      <c r="AM474" s="5498" t="str">
        <f t="shared" si="185"/>
        <v/>
      </c>
      <c r="AN474" s="783" t="str">
        <f t="shared" si="186"/>
        <v/>
      </c>
      <c r="AO474" s="782" t="str">
        <f t="shared" si="187"/>
        <v/>
      </c>
      <c r="AP474" s="783" t="str">
        <f t="shared" si="188"/>
        <v/>
      </c>
      <c r="AQ474" s="2083" t="b">
        <f>AND(Q474="A",COUNTIF(BP16:BR63,TRIM(Z474))&gt;0)</f>
        <v>0</v>
      </c>
      <c r="AR474" s="797" t="str">
        <f>IF(AL474&lt;&gt;"A","",IFERROR(IFERROR(_xlfn.XLOOKUP(TRIM(SUBSTITUTE(Z474,CHAR(160)," ")),BP16:BP63,BS16:BS63),IFERROR(_xlfn.XLOOKUP(TRIM(SUBSTITUTE(Z474,CHAR(160)," ")),BQ16:BQ63,BS16:BS63),_xlfn.XLOOKUP(TRIM(SUBSTITUTE(Z474,CHAR(160)," ")),BR16:BR63,BS16:BS63)))*Y474*IF(ISBLANK(V474),1,V474),0))</f>
        <v/>
      </c>
      <c r="AS474" s="784" t="str">
        <f t="shared" si="178"/>
        <v/>
      </c>
      <c r="AT474" s="1315" t="str">
        <f t="shared" si="189"/>
        <v/>
      </c>
      <c r="AU474" s="785">
        <f t="shared" si="190"/>
        <v>0</v>
      </c>
      <c r="AV474" s="785">
        <f t="shared" si="191"/>
        <v>0</v>
      </c>
      <c r="AW474" s="798">
        <f>IF(AK474="A",AY10,0)</f>
        <v>0</v>
      </c>
      <c r="AX474" s="5496" t="str">
        <f>IF(IFERROR(SEARCH("Adresse PC",TRIM(W474)),0)&gt;0,"▼ receta siguiente",IF(AK474="A",IF(AZ10&lt;&gt;"",AZ10&amp;" - ou.or.o ❾ + or - &gt;",""),""))</f>
        <v/>
      </c>
      <c r="AY474" s="810"/>
      <c r="AZ474" s="810"/>
      <c r="BA474" s="799" t="str">
        <f t="shared" si="181"/>
        <v/>
      </c>
      <c r="BB474" s="800" t="str">
        <f>IF(AK474="A",IF(AQ474,IF(AND(AW474&lt;&gt;"",N(AW474)&gt;0),IFERROR(IFERROR(_xlfn.XLOOKUP(AP474,BP10:BP57,BT10:BT57),IFERROR(_xlfn.XLOOKUP(AP474,BQ10:BQ57,BT10:BT57),_xlfn.XLOOKUP(AP474,BR10:BR57,BT10:BT57,""))),""),""),""),"")</f>
        <v/>
      </c>
      <c r="BC474" s="813" cm="1">
        <f t="array" ref="BC474">IF(NOT(AQ474),0,IF(OR(BA474="",N(BA474)&lt;=0.000000001),"",IF(OR(AU474="",N(AU474)&lt;=0.000000001),0,IF(ISNUMBER(BA474),IFERROR(_xlfn.LET(_xlpm.ai_test,TRIM(AP474),_xlpm.r,IFERROR(_xlfn.XLOOKUP(_xlpm.ai_test,BP16:BP63,ROW(BP16:BP63),0,1),IFERROR(_xlfn.XLOOKUP(_xlpm.ai_test,BQ16:BQ63,ROW(BQ16:BQ63),0,1),_xlfn.XLOOKUP(_xlpm.ai_test,BR16:BR63,ROW(BR16:BR63),0,1))),_xlpm.p,_xlpm.r-MIN(ROW(BP16:BP63))+1,_xlpm.f,INDEX(BS16:BS63,_xlpm.p),_xlpm.u,INDEX(BT16:BT63,_xlpm.p),_xlpm.s,INDEX(BV16:BV63,_xlpm.p),_xlpm.q,N(BA474)/_xlpm.f,IF(_xlpm.q&gt;=_xlpm.s,ROUND(_xlpm.q,1)&amp;" "&amp;_xlpm.ai_test&amp;" = "&amp;ROUND(_xlpm.q*_xlpm.f,1)&amp;" "&amp;_xlpm.u,ROUND(_xlpm.q,1)&amp;" "&amp;_xlpm.ai_test)),""),""))))</f>
        <v>0</v>
      </c>
      <c r="BD474" s="801"/>
      <c r="BE474" s="799" t="str">
        <f t="shared" si="192"/>
        <v/>
      </c>
      <c r="BF474" s="800" t="str">
        <f t="shared" si="193"/>
        <v/>
      </c>
      <c r="BG474" s="802">
        <f t="shared" si="175"/>
        <v>0</v>
      </c>
      <c r="BH474" s="803" t="str">
        <f t="shared" si="176"/>
        <v/>
      </c>
      <c r="BI474" s="792"/>
      <c r="BJ474" s="804">
        <f t="shared" si="174"/>
        <v>0</v>
      </c>
      <c r="BK474" s="794" t="str">
        <f t="shared" si="194"/>
        <v/>
      </c>
      <c r="BL474" s="227" t="s">
        <v>21</v>
      </c>
      <c r="BM474" s="773">
        <f t="shared" si="183"/>
        <v>0</v>
      </c>
      <c r="BN474" s="774">
        <f t="shared" si="184"/>
        <v>0</v>
      </c>
      <c r="BO474"/>
      <c r="BX474"/>
      <c r="BY474"/>
      <c r="BZ474"/>
      <c r="CA474"/>
      <c r="CB474"/>
      <c r="CC474"/>
      <c r="CD474" s="781" t="str">
        <f t="shared" si="177"/>
        <v>►</v>
      </c>
      <c r="CE474" s="633"/>
      <c r="CF474" s="633"/>
      <c r="CG474" s="633"/>
      <c r="CH474" s="633"/>
      <c r="CI474" s="633"/>
      <c r="CJ474" s="227"/>
      <c r="CK474"/>
      <c r="CL474"/>
      <c r="CM474"/>
      <c r="CN474"/>
      <c r="CO474"/>
      <c r="CP474"/>
      <c r="CQ474"/>
      <c r="CR474" s="227"/>
      <c r="CS474"/>
      <c r="CT474"/>
      <c r="CU474"/>
      <c r="CV474"/>
      <c r="CW474"/>
      <c r="CX474"/>
      <c r="CY474"/>
      <c r="CZ474" s="227"/>
      <c r="DA474"/>
      <c r="DB474"/>
      <c r="DC474"/>
      <c r="DD474"/>
      <c r="DE474"/>
      <c r="DF474"/>
      <c r="DG474"/>
      <c r="DH474" s="227"/>
      <c r="DI474" s="3">
        <v>1</v>
      </c>
    </row>
    <row r="475" spans="2:113" s="627" customFormat="1" ht="21" customHeight="1">
      <c r="B475" s="2265" t="str" cm="1">
        <f t="array" ref="B475">SUMPRODUCT(--(D475:J475&lt;&gt;""), LEN(TRIM(SUBSTITUTE(D475:J475, CHAR(160), "")))) &amp; " Car."</f>
        <v>0 Car.</v>
      </c>
      <c r="C475" s="1376" t="str">
        <f>IF(ISBLANK(D475),"",LARGE(C13:C474,1)+1)</f>
        <v/>
      </c>
      <c r="D475" s="1833"/>
      <c r="E475" s="1810"/>
      <c r="F475" s="1810"/>
      <c r="G475" s="1810"/>
      <c r="H475" s="1810"/>
      <c r="I475" s="1810"/>
      <c r="J475" s="1810"/>
      <c r="K475" s="1810"/>
      <c r="L475" s="1811"/>
      <c r="M475"/>
      <c r="N475" s="103" t="str">
        <f t="shared" si="179"/>
        <v>►</v>
      </c>
      <c r="O475" s="1616"/>
      <c r="P475"/>
      <c r="Q475" s="25" t="s">
        <v>15</v>
      </c>
      <c r="R475" s="31"/>
      <c r="S475" s="32"/>
      <c r="T475" s="31"/>
      <c r="U475" s="33"/>
      <c r="V475" s="1967"/>
      <c r="W475" s="1805"/>
      <c r="X475" s="91"/>
      <c r="Y475" s="1806"/>
      <c r="Z475" s="1968"/>
      <c r="AA475" s="2244"/>
      <c r="AB475" s="1969"/>
      <c r="AC475" s="1365"/>
      <c r="AD475" s="95"/>
      <c r="AE475" s="1326"/>
      <c r="AF475" s="97"/>
      <c r="AG475" s="1737"/>
      <c r="AH475" s="1970"/>
      <c r="AI475" s="99"/>
      <c r="AJ475" s="1809"/>
      <c r="AK475" s="6120" t="str">
        <f t="shared" si="180"/>
        <v>►</v>
      </c>
      <c r="AL475" s="781" t="str">
        <f t="shared" si="182"/>
        <v>►</v>
      </c>
      <c r="AM475" s="5499" t="str">
        <f t="shared" si="185"/>
        <v/>
      </c>
      <c r="AN475" s="783" t="str">
        <f t="shared" si="186"/>
        <v/>
      </c>
      <c r="AO475" s="782" t="str">
        <f t="shared" si="187"/>
        <v/>
      </c>
      <c r="AP475" s="783" t="str">
        <f t="shared" si="188"/>
        <v/>
      </c>
      <c r="AQ475" s="2083" t="b">
        <f>AND(Q475="A",COUNTIF(BP16:BR63,TRIM(Z475))&gt;0)</f>
        <v>0</v>
      </c>
      <c r="AR475" s="797" t="str">
        <f>IF(AL475&lt;&gt;"A","",IFERROR(IFERROR(_xlfn.XLOOKUP(TRIM(SUBSTITUTE(Z475,CHAR(160)," ")),BP16:BP63,BS16:BS63),IFERROR(_xlfn.XLOOKUP(TRIM(SUBSTITUTE(Z475,CHAR(160)," ")),BQ16:BQ63,BS16:BS63),_xlfn.XLOOKUP(TRIM(SUBSTITUTE(Z475,CHAR(160)," ")),BR16:BR63,BS16:BS63)))*Y475*IF(ISBLANK(V475),1,V475),0))</f>
        <v/>
      </c>
      <c r="AS475" s="784" t="str">
        <f t="shared" si="178"/>
        <v/>
      </c>
      <c r="AT475" s="1315" t="str">
        <f t="shared" si="189"/>
        <v/>
      </c>
      <c r="AU475" s="785">
        <f t="shared" si="190"/>
        <v>0</v>
      </c>
      <c r="AV475" s="785">
        <f t="shared" si="191"/>
        <v>0</v>
      </c>
      <c r="AW475" s="786">
        <f>IF(AK475="A",AY10,0)</f>
        <v>0</v>
      </c>
      <c r="AX475" s="5495" t="str">
        <f>IF(IFERROR(SEARCH("Adresse PC",TRIM(W475)),0)&gt;0,"▼ receta siguiente",IF(AK475="A",IF(AZ10&lt;&gt;"",AZ10&amp;" - ou.or.o ❾ + or - &gt;",""),""))</f>
        <v/>
      </c>
      <c r="AY475" s="810"/>
      <c r="AZ475" s="810"/>
      <c r="BA475" s="788" t="str">
        <f t="shared" si="181"/>
        <v/>
      </c>
      <c r="BB475" s="789" t="str">
        <f>IF(AK475="A",IF(AQ475,IF(AND(AW475&lt;&gt;"",N(AW475)&gt;0),IFERROR(IFERROR(_xlfn.XLOOKUP(AP475,BP10:BP57,BT10:BT57),IFERROR(_xlfn.XLOOKUP(AP475,BQ10:BQ57,BT10:BT57),_xlfn.XLOOKUP(AP475,BR10:BR57,BT10:BT57,""))),""),""),""),"")</f>
        <v/>
      </c>
      <c r="BC475" s="811" cm="1">
        <f t="array" ref="BC475">IF(NOT(AQ475),0,IF(OR(BA475="",N(BA475)&lt;=0.000000001),"",IF(OR(AU475="",N(AU475)&lt;=0.000000001),0,IF(ISNUMBER(BA475),IFERROR(_xlfn.LET(_xlpm.ai_test,TRIM(AP475),_xlpm.r,IFERROR(_xlfn.XLOOKUP(_xlpm.ai_test,BP16:BP63,ROW(BP16:BP63),0,1),IFERROR(_xlfn.XLOOKUP(_xlpm.ai_test,BQ16:BQ63,ROW(BQ16:BQ63),0,1),_xlfn.XLOOKUP(_xlpm.ai_test,BR16:BR63,ROW(BR16:BR63),0,1))),_xlpm.p,_xlpm.r-MIN(ROW(BP16:BP63))+1,_xlpm.f,INDEX(BS16:BS63,_xlpm.p),_xlpm.u,INDEX(BT16:BT63,_xlpm.p),_xlpm.s,INDEX(BV16:BV63,_xlpm.p),_xlpm.q,N(BA475)/_xlpm.f,IF(_xlpm.q&gt;=_xlpm.s,ROUND(_xlpm.q,1)&amp;" "&amp;_xlpm.ai_test&amp;" = "&amp;ROUND(_xlpm.q*_xlpm.f,1)&amp;" "&amp;_xlpm.u,ROUND(_xlpm.q,1)&amp;" "&amp;_xlpm.ai_test)),""),""))))</f>
        <v>0</v>
      </c>
      <c r="BD475" s="801"/>
      <c r="BE475" s="788" t="str">
        <f t="shared" si="192"/>
        <v/>
      </c>
      <c r="BF475" s="789" t="str">
        <f t="shared" si="193"/>
        <v/>
      </c>
      <c r="BG475" s="790">
        <f t="shared" si="175"/>
        <v>0</v>
      </c>
      <c r="BH475" s="791" t="str">
        <f t="shared" si="176"/>
        <v/>
      </c>
      <c r="BI475" s="792"/>
      <c r="BJ475" s="793">
        <f t="shared" si="174"/>
        <v>0</v>
      </c>
      <c r="BK475" s="794" t="str">
        <f t="shared" si="194"/>
        <v/>
      </c>
      <c r="BL475" s="227" t="s">
        <v>21</v>
      </c>
      <c r="BM475" s="773">
        <f t="shared" si="183"/>
        <v>0</v>
      </c>
      <c r="BN475" s="774">
        <f t="shared" si="184"/>
        <v>0</v>
      </c>
      <c r="BO475"/>
      <c r="BX475"/>
      <c r="BY475"/>
      <c r="BZ475"/>
      <c r="CA475"/>
      <c r="CB475"/>
      <c r="CC475"/>
      <c r="CD475" s="781" t="str">
        <f t="shared" si="177"/>
        <v>►</v>
      </c>
      <c r="CE475" s="633"/>
      <c r="CF475" s="633"/>
      <c r="CG475" s="633"/>
      <c r="CH475" s="633"/>
      <c r="CI475" s="633"/>
      <c r="CJ475" s="227"/>
      <c r="CK475"/>
      <c r="CL475"/>
      <c r="CM475"/>
      <c r="CN475"/>
      <c r="CO475"/>
      <c r="CP475"/>
      <c r="CQ475"/>
      <c r="CR475" s="227"/>
      <c r="CS475"/>
      <c r="CT475"/>
      <c r="CU475"/>
      <c r="CV475"/>
      <c r="CW475"/>
      <c r="CX475"/>
      <c r="CY475"/>
      <c r="CZ475" s="227"/>
      <c r="DA475"/>
      <c r="DB475"/>
      <c r="DC475"/>
      <c r="DD475"/>
      <c r="DE475"/>
      <c r="DF475"/>
      <c r="DG475"/>
      <c r="DH475" s="227"/>
      <c r="DI475" s="3">
        <v>1</v>
      </c>
    </row>
    <row r="476" spans="2:113" s="627" customFormat="1" ht="21" customHeight="1">
      <c r="B476" s="2265" t="str" cm="1">
        <f t="array" ref="B476">SUMPRODUCT(--(D476:J476&lt;&gt;""), LEN(TRIM(SUBSTITUTE(D476:J476, CHAR(160), "")))) &amp; " Car."</f>
        <v>0 Car.</v>
      </c>
      <c r="C476" s="1376" t="str">
        <f>IF(ISBLANK(D476),"",LARGE(C13:C475,1)+1)</f>
        <v/>
      </c>
      <c r="D476" s="1833"/>
      <c r="E476" s="1810"/>
      <c r="F476" s="1810"/>
      <c r="G476" s="1810"/>
      <c r="H476" s="1810"/>
      <c r="I476" s="1810"/>
      <c r="J476" s="1810"/>
      <c r="K476" s="1810"/>
      <c r="L476" s="1811"/>
      <c r="M476"/>
      <c r="N476" s="103" t="str">
        <f t="shared" si="179"/>
        <v>►</v>
      </c>
      <c r="O476" s="1616"/>
      <c r="P476"/>
      <c r="Q476" s="25" t="s">
        <v>15</v>
      </c>
      <c r="R476" s="31"/>
      <c r="S476" s="32"/>
      <c r="T476" s="31"/>
      <c r="U476" s="33"/>
      <c r="V476" s="1967"/>
      <c r="W476" s="1805"/>
      <c r="X476" s="91"/>
      <c r="Y476" s="1806"/>
      <c r="Z476" s="1968"/>
      <c r="AA476" s="2244"/>
      <c r="AB476" s="1969"/>
      <c r="AC476" s="1365"/>
      <c r="AD476" s="95"/>
      <c r="AE476" s="1326"/>
      <c r="AF476" s="97"/>
      <c r="AG476" s="1737"/>
      <c r="AH476" s="1970"/>
      <c r="AI476" s="99"/>
      <c r="AJ476" s="1809"/>
      <c r="AK476" s="6120" t="str">
        <f t="shared" si="180"/>
        <v>►</v>
      </c>
      <c r="AL476" s="781" t="str">
        <f t="shared" si="182"/>
        <v>►</v>
      </c>
      <c r="AM476" s="5498" t="str">
        <f t="shared" si="185"/>
        <v/>
      </c>
      <c r="AN476" s="783" t="str">
        <f t="shared" si="186"/>
        <v/>
      </c>
      <c r="AO476" s="782" t="str">
        <f t="shared" si="187"/>
        <v/>
      </c>
      <c r="AP476" s="783" t="str">
        <f t="shared" si="188"/>
        <v/>
      </c>
      <c r="AQ476" s="2083" t="b">
        <f>AND(Q476="A",COUNTIF(BP16:BR63,TRIM(Z476))&gt;0)</f>
        <v>0</v>
      </c>
      <c r="AR476" s="797" t="str">
        <f>IF(AL476&lt;&gt;"A","",IFERROR(IFERROR(_xlfn.XLOOKUP(TRIM(SUBSTITUTE(Z476,CHAR(160)," ")),BP16:BP63,BS16:BS63),IFERROR(_xlfn.XLOOKUP(TRIM(SUBSTITUTE(Z476,CHAR(160)," ")),BQ16:BQ63,BS16:BS63),_xlfn.XLOOKUP(TRIM(SUBSTITUTE(Z476,CHAR(160)," ")),BR16:BR63,BS16:BS63)))*Y476*IF(ISBLANK(V476),1,V476),0))</f>
        <v/>
      </c>
      <c r="AS476" s="784" t="str">
        <f t="shared" si="178"/>
        <v/>
      </c>
      <c r="AT476" s="1315" t="str">
        <f t="shared" si="189"/>
        <v/>
      </c>
      <c r="AU476" s="785">
        <f t="shared" si="190"/>
        <v>0</v>
      </c>
      <c r="AV476" s="785">
        <f t="shared" si="191"/>
        <v>0</v>
      </c>
      <c r="AW476" s="798">
        <f>IF(AK476="A",AY10,0)</f>
        <v>0</v>
      </c>
      <c r="AX476" s="5496" t="str">
        <f>IF(IFERROR(SEARCH("Adresse PC",TRIM(W476)),0)&gt;0,"▼ receta siguiente",IF(AK476="A",IF(AZ10&lt;&gt;"",AZ10&amp;" - ou.or.o ❾ + or - &gt;",""),""))</f>
        <v/>
      </c>
      <c r="AY476" s="810"/>
      <c r="AZ476" s="810"/>
      <c r="BA476" s="799" t="str">
        <f t="shared" si="181"/>
        <v/>
      </c>
      <c r="BB476" s="800" t="str">
        <f>IF(AK476="A",IF(AQ476,IF(AND(AW476&lt;&gt;"",N(AW476)&gt;0),IFERROR(IFERROR(_xlfn.XLOOKUP(AP476,BP10:BP57,BT10:BT57),IFERROR(_xlfn.XLOOKUP(AP476,BQ10:BQ57,BT10:BT57),_xlfn.XLOOKUP(AP476,BR10:BR57,BT10:BT57,""))),""),""),""),"")</f>
        <v/>
      </c>
      <c r="BC476" s="813" cm="1">
        <f t="array" ref="BC476">IF(NOT(AQ476),0,IF(OR(BA476="",N(BA476)&lt;=0.000000001),"",IF(OR(AU476="",N(AU476)&lt;=0.000000001),0,IF(ISNUMBER(BA476),IFERROR(_xlfn.LET(_xlpm.ai_test,TRIM(AP476),_xlpm.r,IFERROR(_xlfn.XLOOKUP(_xlpm.ai_test,BP16:BP63,ROW(BP16:BP63),0,1),IFERROR(_xlfn.XLOOKUP(_xlpm.ai_test,BQ16:BQ63,ROW(BQ16:BQ63),0,1),_xlfn.XLOOKUP(_xlpm.ai_test,BR16:BR63,ROW(BR16:BR63),0,1))),_xlpm.p,_xlpm.r-MIN(ROW(BP16:BP63))+1,_xlpm.f,INDEX(BS16:BS63,_xlpm.p),_xlpm.u,INDEX(BT16:BT63,_xlpm.p),_xlpm.s,INDEX(BV16:BV63,_xlpm.p),_xlpm.q,N(BA476)/_xlpm.f,IF(_xlpm.q&gt;=_xlpm.s,ROUND(_xlpm.q,1)&amp;" "&amp;_xlpm.ai_test&amp;" = "&amp;ROUND(_xlpm.q*_xlpm.f,1)&amp;" "&amp;_xlpm.u,ROUND(_xlpm.q,1)&amp;" "&amp;_xlpm.ai_test)),""),""))))</f>
        <v>0</v>
      </c>
      <c r="BD476" s="801"/>
      <c r="BE476" s="799" t="str">
        <f t="shared" si="192"/>
        <v/>
      </c>
      <c r="BF476" s="800" t="str">
        <f t="shared" si="193"/>
        <v/>
      </c>
      <c r="BG476" s="802">
        <f t="shared" si="175"/>
        <v>0</v>
      </c>
      <c r="BH476" s="803" t="str">
        <f t="shared" si="176"/>
        <v/>
      </c>
      <c r="BI476" s="792"/>
      <c r="BJ476" s="804">
        <f t="shared" si="174"/>
        <v>0</v>
      </c>
      <c r="BK476" s="794" t="str">
        <f t="shared" si="194"/>
        <v/>
      </c>
      <c r="BL476" s="227" t="s">
        <v>21</v>
      </c>
      <c r="BM476" s="773">
        <f t="shared" si="183"/>
        <v>0</v>
      </c>
      <c r="BN476" s="774">
        <f t="shared" si="184"/>
        <v>0</v>
      </c>
      <c r="BO476"/>
      <c r="BX476"/>
      <c r="BY476"/>
      <c r="BZ476"/>
      <c r="CA476"/>
      <c r="CB476"/>
      <c r="CC476"/>
      <c r="CD476" s="781" t="str">
        <f t="shared" si="177"/>
        <v>►</v>
      </c>
      <c r="CE476" s="633"/>
      <c r="CF476" s="633"/>
      <c r="CG476" s="633"/>
      <c r="CH476" s="633"/>
      <c r="CI476" s="633"/>
      <c r="CJ476" s="227"/>
      <c r="CK476"/>
      <c r="CL476"/>
      <c r="CM476"/>
      <c r="CN476"/>
      <c r="CO476"/>
      <c r="CP476"/>
      <c r="CQ476"/>
      <c r="CR476" s="227"/>
      <c r="CS476"/>
      <c r="CT476"/>
      <c r="CU476"/>
      <c r="CV476"/>
      <c r="CW476"/>
      <c r="CX476"/>
      <c r="CY476"/>
      <c r="CZ476" s="227"/>
      <c r="DA476"/>
      <c r="DB476"/>
      <c r="DC476"/>
      <c r="DD476"/>
      <c r="DE476"/>
      <c r="DF476"/>
      <c r="DG476"/>
      <c r="DH476" s="227"/>
      <c r="DI476" s="3">
        <v>1</v>
      </c>
    </row>
    <row r="477" spans="2:113" s="627" customFormat="1" ht="21" customHeight="1">
      <c r="B477" s="2265" t="str" cm="1">
        <f t="array" ref="B477">SUMPRODUCT(--(D477:J477&lt;&gt;""), LEN(TRIM(SUBSTITUTE(D477:J477, CHAR(160), "")))) &amp; " Car."</f>
        <v>0 Car.</v>
      </c>
      <c r="C477" s="1376" t="str">
        <f>IF(ISBLANK(D477),"",LARGE(C13:C476,1)+1)</f>
        <v/>
      </c>
      <c r="D477" s="1833"/>
      <c r="E477" s="1810"/>
      <c r="F477" s="1810"/>
      <c r="G477" s="1810"/>
      <c r="H477" s="1810"/>
      <c r="I477" s="1810"/>
      <c r="J477" s="1810"/>
      <c r="K477" s="1810"/>
      <c r="L477" s="1811"/>
      <c r="M477"/>
      <c r="N477" s="103" t="str">
        <f t="shared" si="179"/>
        <v>►</v>
      </c>
      <c r="O477" s="1616"/>
      <c r="P477"/>
      <c r="Q477" s="25" t="s">
        <v>15</v>
      </c>
      <c r="R477" s="31"/>
      <c r="S477" s="32"/>
      <c r="T477" s="31"/>
      <c r="U477" s="33"/>
      <c r="V477" s="1967"/>
      <c r="W477" s="1805"/>
      <c r="X477" s="91"/>
      <c r="Y477" s="1806"/>
      <c r="Z477" s="1968"/>
      <c r="AA477" s="2244"/>
      <c r="AB477" s="1969"/>
      <c r="AC477" s="1365"/>
      <c r="AD477" s="95"/>
      <c r="AE477" s="1326"/>
      <c r="AF477" s="97"/>
      <c r="AG477" s="1737"/>
      <c r="AH477" s="1970"/>
      <c r="AI477" s="99"/>
      <c r="AJ477" s="1809"/>
      <c r="AK477" s="6120" t="str">
        <f t="shared" si="180"/>
        <v>►</v>
      </c>
      <c r="AL477" s="781" t="str">
        <f t="shared" si="182"/>
        <v>►</v>
      </c>
      <c r="AM477" s="5499" t="str">
        <f t="shared" si="185"/>
        <v/>
      </c>
      <c r="AN477" s="783" t="str">
        <f t="shared" si="186"/>
        <v/>
      </c>
      <c r="AO477" s="782" t="str">
        <f t="shared" si="187"/>
        <v/>
      </c>
      <c r="AP477" s="783" t="str">
        <f t="shared" si="188"/>
        <v/>
      </c>
      <c r="AQ477" s="2083" t="b">
        <f>AND(Q477="A",COUNTIF(BP16:BR63,TRIM(Z477))&gt;0)</f>
        <v>0</v>
      </c>
      <c r="AR477" s="797" t="str">
        <f>IF(AL477&lt;&gt;"A","",IFERROR(IFERROR(_xlfn.XLOOKUP(TRIM(SUBSTITUTE(Z477,CHAR(160)," ")),BP16:BP63,BS16:BS63),IFERROR(_xlfn.XLOOKUP(TRIM(SUBSTITUTE(Z477,CHAR(160)," ")),BQ16:BQ63,BS16:BS63),_xlfn.XLOOKUP(TRIM(SUBSTITUTE(Z477,CHAR(160)," ")),BR16:BR63,BS16:BS63)))*Y477*IF(ISBLANK(V477),1,V477),0))</f>
        <v/>
      </c>
      <c r="AS477" s="784" t="str">
        <f t="shared" si="178"/>
        <v/>
      </c>
      <c r="AT477" s="1315" t="str">
        <f t="shared" si="189"/>
        <v/>
      </c>
      <c r="AU477" s="785">
        <f t="shared" si="190"/>
        <v>0</v>
      </c>
      <c r="AV477" s="785">
        <f t="shared" si="191"/>
        <v>0</v>
      </c>
      <c r="AW477" s="786">
        <f>IF(AK477="A",AY10,0)</f>
        <v>0</v>
      </c>
      <c r="AX477" s="5495" t="str">
        <f>IF(IFERROR(SEARCH("Adresse PC",TRIM(W477)),0)&gt;0,"▼ receta siguiente",IF(AK477="A",IF(AZ10&lt;&gt;"",AZ10&amp;" - ou.or.o ❾ + or - &gt;",""),""))</f>
        <v/>
      </c>
      <c r="AY477" s="810"/>
      <c r="AZ477" s="810"/>
      <c r="BA477" s="788" t="str">
        <f t="shared" si="181"/>
        <v/>
      </c>
      <c r="BB477" s="789" t="str">
        <f>IF(AK477="A",IF(AQ477,IF(AND(AW477&lt;&gt;"",N(AW477)&gt;0),IFERROR(IFERROR(_xlfn.XLOOKUP(AP477,BP10:BP57,BT10:BT57),IFERROR(_xlfn.XLOOKUP(AP477,BQ10:BQ57,BT10:BT57),_xlfn.XLOOKUP(AP477,BR10:BR57,BT10:BT57,""))),""),""),""),"")</f>
        <v/>
      </c>
      <c r="BC477" s="811" cm="1">
        <f t="array" ref="BC477">IF(NOT(AQ477),0,IF(OR(BA477="",N(BA477)&lt;=0.000000001),"",IF(OR(AU477="",N(AU477)&lt;=0.000000001),0,IF(ISNUMBER(BA477),IFERROR(_xlfn.LET(_xlpm.ai_test,TRIM(AP477),_xlpm.r,IFERROR(_xlfn.XLOOKUP(_xlpm.ai_test,BP16:BP63,ROW(BP16:BP63),0,1),IFERROR(_xlfn.XLOOKUP(_xlpm.ai_test,BQ16:BQ63,ROW(BQ16:BQ63),0,1),_xlfn.XLOOKUP(_xlpm.ai_test,BR16:BR63,ROW(BR16:BR63),0,1))),_xlpm.p,_xlpm.r-MIN(ROW(BP16:BP63))+1,_xlpm.f,INDEX(BS16:BS63,_xlpm.p),_xlpm.u,INDEX(BT16:BT63,_xlpm.p),_xlpm.s,INDEX(BV16:BV63,_xlpm.p),_xlpm.q,N(BA477)/_xlpm.f,IF(_xlpm.q&gt;=_xlpm.s,ROUND(_xlpm.q,1)&amp;" "&amp;_xlpm.ai_test&amp;" = "&amp;ROUND(_xlpm.q*_xlpm.f,1)&amp;" "&amp;_xlpm.u,ROUND(_xlpm.q,1)&amp;" "&amp;_xlpm.ai_test)),""),""))))</f>
        <v>0</v>
      </c>
      <c r="BD477" s="801"/>
      <c r="BE477" s="788" t="str">
        <f t="shared" si="192"/>
        <v/>
      </c>
      <c r="BF477" s="789" t="str">
        <f t="shared" si="193"/>
        <v/>
      </c>
      <c r="BG477" s="790">
        <f t="shared" si="175"/>
        <v>0</v>
      </c>
      <c r="BH477" s="791" t="str">
        <f t="shared" si="176"/>
        <v/>
      </c>
      <c r="BI477" s="792"/>
      <c r="BJ477" s="793">
        <f t="shared" si="174"/>
        <v>0</v>
      </c>
      <c r="BK477" s="794" t="str">
        <f t="shared" si="194"/>
        <v/>
      </c>
      <c r="BL477" s="227" t="s">
        <v>21</v>
      </c>
      <c r="BM477" s="773">
        <f t="shared" si="183"/>
        <v>0</v>
      </c>
      <c r="BN477" s="774">
        <f t="shared" si="184"/>
        <v>0</v>
      </c>
      <c r="BO477"/>
      <c r="BX477"/>
      <c r="BY477"/>
      <c r="BZ477"/>
      <c r="CA477"/>
      <c r="CB477"/>
      <c r="CC477"/>
      <c r="CD477" s="781" t="str">
        <f t="shared" si="177"/>
        <v>►</v>
      </c>
      <c r="CE477" s="633"/>
      <c r="CF477" s="633"/>
      <c r="CG477" s="633"/>
      <c r="CH477" s="633"/>
      <c r="CI477" s="633"/>
      <c r="CJ477" s="227"/>
      <c r="CK477"/>
      <c r="CL477"/>
      <c r="CM477"/>
      <c r="CN477"/>
      <c r="CO477"/>
      <c r="CP477"/>
      <c r="CQ477"/>
      <c r="CR477" s="227"/>
      <c r="CS477"/>
      <c r="CT477"/>
      <c r="CU477"/>
      <c r="CV477"/>
      <c r="CW477"/>
      <c r="CX477"/>
      <c r="CY477"/>
      <c r="CZ477" s="227"/>
      <c r="DA477"/>
      <c r="DB477"/>
      <c r="DC477"/>
      <c r="DD477"/>
      <c r="DE477"/>
      <c r="DF477"/>
      <c r="DG477"/>
      <c r="DH477" s="227"/>
      <c r="DI477" s="3">
        <v>1</v>
      </c>
    </row>
    <row r="478" spans="2:113" s="627" customFormat="1" ht="21" customHeight="1">
      <c r="B478" s="2265" t="str" cm="1">
        <f t="array" ref="B478">SUMPRODUCT(--(D478:J478&lt;&gt;""), LEN(TRIM(SUBSTITUTE(D478:J478, CHAR(160), "")))) &amp; " Car."</f>
        <v>0 Car.</v>
      </c>
      <c r="C478" s="1376" t="str">
        <f>IF(ISBLANK(D478),"",LARGE(C13:C477,1)+1)</f>
        <v/>
      </c>
      <c r="D478" s="1833"/>
      <c r="E478" s="1810"/>
      <c r="F478" s="1810"/>
      <c r="G478" s="1810"/>
      <c r="H478" s="1810"/>
      <c r="I478" s="1810"/>
      <c r="J478" s="1810"/>
      <c r="K478" s="1810"/>
      <c r="L478" s="1811"/>
      <c r="M478"/>
      <c r="N478" s="103" t="str">
        <f t="shared" si="179"/>
        <v>►</v>
      </c>
      <c r="O478" s="1616"/>
      <c r="P478"/>
      <c r="Q478" s="25" t="s">
        <v>15</v>
      </c>
      <c r="R478" s="31"/>
      <c r="S478" s="32"/>
      <c r="T478" s="31"/>
      <c r="U478" s="33"/>
      <c r="V478" s="1967"/>
      <c r="W478" s="1805"/>
      <c r="X478" s="91"/>
      <c r="Y478" s="1806"/>
      <c r="Z478" s="1968"/>
      <c r="AA478" s="2244"/>
      <c r="AB478" s="1969"/>
      <c r="AC478" s="1365"/>
      <c r="AD478" s="95"/>
      <c r="AE478" s="1326"/>
      <c r="AF478" s="97"/>
      <c r="AG478" s="1737"/>
      <c r="AH478" s="1970"/>
      <c r="AI478" s="99"/>
      <c r="AJ478" s="1809"/>
      <c r="AK478" s="6120" t="str">
        <f t="shared" si="180"/>
        <v>►</v>
      </c>
      <c r="AL478" s="781" t="str">
        <f t="shared" si="182"/>
        <v>►</v>
      </c>
      <c r="AM478" s="5498" t="str">
        <f t="shared" si="185"/>
        <v/>
      </c>
      <c r="AN478" s="783" t="str">
        <f t="shared" si="186"/>
        <v/>
      </c>
      <c r="AO478" s="782" t="str">
        <f t="shared" si="187"/>
        <v/>
      </c>
      <c r="AP478" s="783" t="str">
        <f t="shared" si="188"/>
        <v/>
      </c>
      <c r="AQ478" s="2083" t="b">
        <f>AND(Q478="A",COUNTIF(BP16:BR63,TRIM(Z478))&gt;0)</f>
        <v>0</v>
      </c>
      <c r="AR478" s="797" t="str">
        <f>IF(AL478&lt;&gt;"A","",IFERROR(IFERROR(_xlfn.XLOOKUP(TRIM(SUBSTITUTE(Z478,CHAR(160)," ")),BP16:BP63,BS16:BS63),IFERROR(_xlfn.XLOOKUP(TRIM(SUBSTITUTE(Z478,CHAR(160)," ")),BQ16:BQ63,BS16:BS63),_xlfn.XLOOKUP(TRIM(SUBSTITUTE(Z478,CHAR(160)," ")),BR16:BR63,BS16:BS63)))*Y478*IF(ISBLANK(V478),1,V478),0))</f>
        <v/>
      </c>
      <c r="AS478" s="784" t="str">
        <f t="shared" si="178"/>
        <v/>
      </c>
      <c r="AT478" s="1315" t="str">
        <f t="shared" si="189"/>
        <v/>
      </c>
      <c r="AU478" s="785">
        <f t="shared" si="190"/>
        <v>0</v>
      </c>
      <c r="AV478" s="785">
        <f t="shared" si="191"/>
        <v>0</v>
      </c>
      <c r="AW478" s="798">
        <f>IF(AK478="A",AY10,0)</f>
        <v>0</v>
      </c>
      <c r="AX478" s="5496" t="str">
        <f>IF(IFERROR(SEARCH("Adresse PC",TRIM(W478)),0)&gt;0,"▼ receta siguiente",IF(AK478="A",IF(AZ10&lt;&gt;"",AZ10&amp;" - ou.or.o ❾ + or - &gt;",""),""))</f>
        <v/>
      </c>
      <c r="AY478" s="810"/>
      <c r="AZ478" s="810"/>
      <c r="BA478" s="799" t="str">
        <f t="shared" si="181"/>
        <v/>
      </c>
      <c r="BB478" s="800" t="str">
        <f>IF(AK478="A",IF(AQ478,IF(AND(AW478&lt;&gt;"",N(AW478)&gt;0),IFERROR(IFERROR(_xlfn.XLOOKUP(AP478,BP10:BP57,BT10:BT57),IFERROR(_xlfn.XLOOKUP(AP478,BQ10:BQ57,BT10:BT57),_xlfn.XLOOKUP(AP478,BR10:BR57,BT10:BT57,""))),""),""),""),"")</f>
        <v/>
      </c>
      <c r="BC478" s="813" cm="1">
        <f t="array" ref="BC478">IF(NOT(AQ478),0,IF(OR(BA478="",N(BA478)&lt;=0.000000001),"",IF(OR(AU478="",N(AU478)&lt;=0.000000001),0,IF(ISNUMBER(BA478),IFERROR(_xlfn.LET(_xlpm.ai_test,TRIM(AP478),_xlpm.r,IFERROR(_xlfn.XLOOKUP(_xlpm.ai_test,BP16:BP63,ROW(BP16:BP63),0,1),IFERROR(_xlfn.XLOOKUP(_xlpm.ai_test,BQ16:BQ63,ROW(BQ16:BQ63),0,1),_xlfn.XLOOKUP(_xlpm.ai_test,BR16:BR63,ROW(BR16:BR63),0,1))),_xlpm.p,_xlpm.r-MIN(ROW(BP16:BP63))+1,_xlpm.f,INDEX(BS16:BS63,_xlpm.p),_xlpm.u,INDEX(BT16:BT63,_xlpm.p),_xlpm.s,INDEX(BV16:BV63,_xlpm.p),_xlpm.q,N(BA478)/_xlpm.f,IF(_xlpm.q&gt;=_xlpm.s,ROUND(_xlpm.q,1)&amp;" "&amp;_xlpm.ai_test&amp;" = "&amp;ROUND(_xlpm.q*_xlpm.f,1)&amp;" "&amp;_xlpm.u,ROUND(_xlpm.q,1)&amp;" "&amp;_xlpm.ai_test)),""),""))))</f>
        <v>0</v>
      </c>
      <c r="BD478" s="801"/>
      <c r="BE478" s="799" t="str">
        <f t="shared" si="192"/>
        <v/>
      </c>
      <c r="BF478" s="800" t="str">
        <f t="shared" si="193"/>
        <v/>
      </c>
      <c r="BG478" s="802">
        <f t="shared" si="175"/>
        <v>0</v>
      </c>
      <c r="BH478" s="803" t="str">
        <f t="shared" si="176"/>
        <v/>
      </c>
      <c r="BI478" s="792"/>
      <c r="BJ478" s="804">
        <f t="shared" ref="BJ478:BJ541" si="195">IF(OR(AU478=0,ISBLANK(BI478),ISTEXT(BG478)),0,(IF(BA478=0,BG478,BA478)*BI478))</f>
        <v>0</v>
      </c>
      <c r="BK478" s="794" t="str">
        <f t="shared" si="194"/>
        <v/>
      </c>
      <c r="BL478" s="227" t="s">
        <v>21</v>
      </c>
      <c r="BM478" s="773">
        <f t="shared" si="183"/>
        <v>0</v>
      </c>
      <c r="BN478" s="774">
        <f t="shared" si="184"/>
        <v>0</v>
      </c>
      <c r="BO478"/>
      <c r="BX478"/>
      <c r="BY478"/>
      <c r="BZ478"/>
      <c r="CA478"/>
      <c r="CB478"/>
      <c r="CC478"/>
      <c r="CD478" s="781" t="str">
        <f t="shared" si="177"/>
        <v>►</v>
      </c>
      <c r="CE478" s="633"/>
      <c r="CF478" s="633"/>
      <c r="CG478" s="633"/>
      <c r="CH478" s="633"/>
      <c r="CI478" s="633"/>
      <c r="CJ478" s="227"/>
      <c r="CK478"/>
      <c r="CL478"/>
      <c r="CM478"/>
      <c r="CN478"/>
      <c r="CO478"/>
      <c r="CP478"/>
      <c r="CQ478"/>
      <c r="CR478" s="227"/>
      <c r="CS478"/>
      <c r="CT478"/>
      <c r="CU478"/>
      <c r="CV478"/>
      <c r="CW478"/>
      <c r="CX478"/>
      <c r="CY478"/>
      <c r="CZ478" s="227"/>
      <c r="DA478"/>
      <c r="DB478"/>
      <c r="DC478"/>
      <c r="DD478"/>
      <c r="DE478"/>
      <c r="DF478"/>
      <c r="DG478"/>
      <c r="DH478" s="227"/>
      <c r="DI478" s="3">
        <v>1</v>
      </c>
    </row>
    <row r="479" spans="2:113" s="627" customFormat="1" ht="21" customHeight="1">
      <c r="B479" s="2265" t="str" cm="1">
        <f t="array" ref="B479">SUMPRODUCT(--(D479:J479&lt;&gt;""), LEN(TRIM(SUBSTITUTE(D479:J479, CHAR(160), "")))) &amp; " Car."</f>
        <v>0 Car.</v>
      </c>
      <c r="C479" s="1376" t="str">
        <f>IF(ISBLANK(D479),"",LARGE(C13:C478,1)+1)</f>
        <v/>
      </c>
      <c r="D479" s="1833"/>
      <c r="E479" s="1810"/>
      <c r="F479" s="1810"/>
      <c r="G479" s="1810"/>
      <c r="H479" s="1810"/>
      <c r="I479" s="1810"/>
      <c r="J479" s="1810"/>
      <c r="K479" s="1810"/>
      <c r="L479" s="1811"/>
      <c r="M479"/>
      <c r="N479" s="103" t="str">
        <f t="shared" si="179"/>
        <v>►</v>
      </c>
      <c r="O479" s="1616"/>
      <c r="P479"/>
      <c r="Q479" s="25" t="s">
        <v>15</v>
      </c>
      <c r="R479" s="31"/>
      <c r="S479" s="32"/>
      <c r="T479" s="31"/>
      <c r="U479" s="33"/>
      <c r="V479" s="1967"/>
      <c r="W479" s="1805"/>
      <c r="X479" s="91"/>
      <c r="Y479" s="1806"/>
      <c r="Z479" s="1968"/>
      <c r="AA479" s="2244"/>
      <c r="AB479" s="1969"/>
      <c r="AC479" s="1365"/>
      <c r="AD479" s="95"/>
      <c r="AE479" s="1326"/>
      <c r="AF479" s="97"/>
      <c r="AG479" s="1737"/>
      <c r="AH479" s="1970"/>
      <c r="AI479" s="99"/>
      <c r="AJ479" s="1809"/>
      <c r="AK479" s="6120" t="str">
        <f t="shared" si="180"/>
        <v>►</v>
      </c>
      <c r="AL479" s="781" t="str">
        <f t="shared" si="182"/>
        <v>►</v>
      </c>
      <c r="AM479" s="5499" t="str">
        <f t="shared" si="185"/>
        <v/>
      </c>
      <c r="AN479" s="783" t="str">
        <f t="shared" si="186"/>
        <v/>
      </c>
      <c r="AO479" s="782" t="str">
        <f t="shared" si="187"/>
        <v/>
      </c>
      <c r="AP479" s="783" t="str">
        <f t="shared" si="188"/>
        <v/>
      </c>
      <c r="AQ479" s="2083" t="b">
        <f>AND(Q479="A",COUNTIF(BP16:BR63,TRIM(Z479))&gt;0)</f>
        <v>0</v>
      </c>
      <c r="AR479" s="797" t="str">
        <f>IF(AL479&lt;&gt;"A","",IFERROR(IFERROR(_xlfn.XLOOKUP(TRIM(SUBSTITUTE(Z479,CHAR(160)," ")),BP16:BP63,BS16:BS63),IFERROR(_xlfn.XLOOKUP(TRIM(SUBSTITUTE(Z479,CHAR(160)," ")),BQ16:BQ63,BS16:BS63),_xlfn.XLOOKUP(TRIM(SUBSTITUTE(Z479,CHAR(160)," ")),BR16:BR63,BS16:BS63)))*Y479*IF(ISBLANK(V479),1,V479),0))</f>
        <v/>
      </c>
      <c r="AS479" s="784" t="str">
        <f t="shared" si="178"/>
        <v/>
      </c>
      <c r="AT479" s="1315" t="str">
        <f t="shared" si="189"/>
        <v/>
      </c>
      <c r="AU479" s="785">
        <f t="shared" si="190"/>
        <v>0</v>
      </c>
      <c r="AV479" s="785">
        <f t="shared" si="191"/>
        <v>0</v>
      </c>
      <c r="AW479" s="786">
        <f>IF(AK479="A",AY10,0)</f>
        <v>0</v>
      </c>
      <c r="AX479" s="5495" t="str">
        <f>IF(IFERROR(SEARCH("Adresse PC",TRIM(W479)),0)&gt;0,"▼ receta siguiente",IF(AK479="A",IF(AZ10&lt;&gt;"",AZ10&amp;" - ou.or.o ❾ + or - &gt;",""),""))</f>
        <v/>
      </c>
      <c r="AY479" s="810"/>
      <c r="AZ479" s="810"/>
      <c r="BA479" s="788" t="str">
        <f t="shared" si="181"/>
        <v/>
      </c>
      <c r="BB479" s="789" t="str">
        <f>IF(AK479="A",IF(AQ479,IF(AND(AW479&lt;&gt;"",N(AW479)&gt;0),IFERROR(IFERROR(_xlfn.XLOOKUP(AP479,BP10:BP57,BT10:BT57),IFERROR(_xlfn.XLOOKUP(AP479,BQ10:BQ57,BT10:BT57),_xlfn.XLOOKUP(AP479,BR10:BR57,BT10:BT57,""))),""),""),""),"")</f>
        <v/>
      </c>
      <c r="BC479" s="811" cm="1">
        <f t="array" ref="BC479">IF(NOT(AQ479),0,IF(OR(BA479="",N(BA479)&lt;=0.000000001),"",IF(OR(AU479="",N(AU479)&lt;=0.000000001),0,IF(ISNUMBER(BA479),IFERROR(_xlfn.LET(_xlpm.ai_test,TRIM(AP479),_xlpm.r,IFERROR(_xlfn.XLOOKUP(_xlpm.ai_test,BP16:BP63,ROW(BP16:BP63),0,1),IFERROR(_xlfn.XLOOKUP(_xlpm.ai_test,BQ16:BQ63,ROW(BQ16:BQ63),0,1),_xlfn.XLOOKUP(_xlpm.ai_test,BR16:BR63,ROW(BR16:BR63),0,1))),_xlpm.p,_xlpm.r-MIN(ROW(BP16:BP63))+1,_xlpm.f,INDEX(BS16:BS63,_xlpm.p),_xlpm.u,INDEX(BT16:BT63,_xlpm.p),_xlpm.s,INDEX(BV16:BV63,_xlpm.p),_xlpm.q,N(BA479)/_xlpm.f,IF(_xlpm.q&gt;=_xlpm.s,ROUND(_xlpm.q,1)&amp;" "&amp;_xlpm.ai_test&amp;" = "&amp;ROUND(_xlpm.q*_xlpm.f,1)&amp;" "&amp;_xlpm.u,ROUND(_xlpm.q,1)&amp;" "&amp;_xlpm.ai_test)),""),""))))</f>
        <v>0</v>
      </c>
      <c r="BD479" s="801"/>
      <c r="BE479" s="788" t="str">
        <f t="shared" si="192"/>
        <v/>
      </c>
      <c r="BF479" s="789" t="str">
        <f t="shared" si="193"/>
        <v/>
      </c>
      <c r="BG479" s="790">
        <f t="shared" si="175"/>
        <v>0</v>
      </c>
      <c r="BH479" s="791" t="str">
        <f t="shared" si="176"/>
        <v/>
      </c>
      <c r="BI479" s="792"/>
      <c r="BJ479" s="793">
        <f t="shared" si="195"/>
        <v>0</v>
      </c>
      <c r="BK479" s="794" t="str">
        <f t="shared" si="194"/>
        <v/>
      </c>
      <c r="BL479" s="227" t="s">
        <v>21</v>
      </c>
      <c r="BM479" s="773">
        <f t="shared" si="183"/>
        <v>0</v>
      </c>
      <c r="BN479" s="774">
        <f t="shared" si="184"/>
        <v>0</v>
      </c>
      <c r="BO479"/>
      <c r="BX479"/>
      <c r="BY479"/>
      <c r="BZ479"/>
      <c r="CA479"/>
      <c r="CB479"/>
      <c r="CC479"/>
      <c r="CD479" s="781" t="str">
        <f t="shared" si="177"/>
        <v>►</v>
      </c>
      <c r="CE479" s="633"/>
      <c r="CF479" s="633"/>
      <c r="CG479" s="633"/>
      <c r="CH479" s="633"/>
      <c r="CI479" s="633"/>
      <c r="CJ479" s="227"/>
      <c r="CK479"/>
      <c r="CL479"/>
      <c r="CM479"/>
      <c r="CN479"/>
      <c r="CO479"/>
      <c r="CP479"/>
      <c r="CQ479"/>
      <c r="CR479" s="227"/>
      <c r="CS479"/>
      <c r="CT479"/>
      <c r="CU479"/>
      <c r="CV479"/>
      <c r="CW479"/>
      <c r="CX479"/>
      <c r="CY479"/>
      <c r="CZ479" s="227"/>
      <c r="DA479"/>
      <c r="DB479"/>
      <c r="DC479"/>
      <c r="DD479"/>
      <c r="DE479"/>
      <c r="DF479"/>
      <c r="DG479"/>
      <c r="DH479" s="227"/>
      <c r="DI479" s="3">
        <v>1</v>
      </c>
    </row>
    <row r="480" spans="2:113" s="627" customFormat="1" ht="21" customHeight="1">
      <c r="B480" s="2265" t="str" cm="1">
        <f t="array" ref="B480">SUMPRODUCT(--(D480:J480&lt;&gt;""), LEN(TRIM(SUBSTITUTE(D480:J480, CHAR(160), "")))) &amp; " Car."</f>
        <v>0 Car.</v>
      </c>
      <c r="C480" s="1376" t="str">
        <f>IF(ISBLANK(D480),"",LARGE(C13:C479,1)+1)</f>
        <v/>
      </c>
      <c r="D480" s="1833"/>
      <c r="E480" s="1810"/>
      <c r="F480" s="1810"/>
      <c r="G480" s="1810"/>
      <c r="H480" s="1810"/>
      <c r="I480" s="1810"/>
      <c r="J480" s="1810"/>
      <c r="K480" s="1810"/>
      <c r="L480" s="1811"/>
      <c r="M480"/>
      <c r="N480" s="103" t="str">
        <f t="shared" si="179"/>
        <v>►</v>
      </c>
      <c r="O480" s="1616"/>
      <c r="P480"/>
      <c r="Q480" s="25" t="s">
        <v>15</v>
      </c>
      <c r="R480" s="31"/>
      <c r="S480" s="32"/>
      <c r="T480" s="31"/>
      <c r="U480" s="33"/>
      <c r="V480" s="1967"/>
      <c r="W480" s="1805"/>
      <c r="X480" s="91"/>
      <c r="Y480" s="1806"/>
      <c r="Z480" s="1968"/>
      <c r="AA480" s="2244"/>
      <c r="AB480" s="1969"/>
      <c r="AC480" s="1365"/>
      <c r="AD480" s="95"/>
      <c r="AE480" s="1326"/>
      <c r="AF480" s="97"/>
      <c r="AG480" s="1737"/>
      <c r="AH480" s="1970"/>
      <c r="AI480" s="99"/>
      <c r="AJ480" s="1809"/>
      <c r="AK480" s="6120" t="str">
        <f t="shared" si="180"/>
        <v>►</v>
      </c>
      <c r="AL480" s="781" t="str">
        <f t="shared" si="182"/>
        <v>►</v>
      </c>
      <c r="AM480" s="5498" t="str">
        <f t="shared" si="185"/>
        <v/>
      </c>
      <c r="AN480" s="783" t="str">
        <f t="shared" si="186"/>
        <v/>
      </c>
      <c r="AO480" s="782" t="str">
        <f t="shared" si="187"/>
        <v/>
      </c>
      <c r="AP480" s="783" t="str">
        <f t="shared" si="188"/>
        <v/>
      </c>
      <c r="AQ480" s="2083" t="b">
        <f>AND(Q480="A",COUNTIF(BP16:BR63,TRIM(Z480))&gt;0)</f>
        <v>0</v>
      </c>
      <c r="AR480" s="797" t="str">
        <f>IF(AL480&lt;&gt;"A","",IFERROR(IFERROR(_xlfn.XLOOKUP(TRIM(SUBSTITUTE(Z480,CHAR(160)," ")),BP16:BP63,BS16:BS63),IFERROR(_xlfn.XLOOKUP(TRIM(SUBSTITUTE(Z480,CHAR(160)," ")),BQ16:BQ63,BS16:BS63),_xlfn.XLOOKUP(TRIM(SUBSTITUTE(Z480,CHAR(160)," ")),BR16:BR63,BS16:BS63)))*Y480*IF(ISBLANK(V480),1,V480),0))</f>
        <v/>
      </c>
      <c r="AS480" s="784" t="str">
        <f t="shared" si="178"/>
        <v/>
      </c>
      <c r="AT480" s="1315" t="str">
        <f t="shared" si="189"/>
        <v/>
      </c>
      <c r="AU480" s="785">
        <f t="shared" si="190"/>
        <v>0</v>
      </c>
      <c r="AV480" s="785">
        <f t="shared" si="191"/>
        <v>0</v>
      </c>
      <c r="AW480" s="798">
        <f>IF(AK480="A",AY10,0)</f>
        <v>0</v>
      </c>
      <c r="AX480" s="5496" t="str">
        <f>IF(IFERROR(SEARCH("Adresse PC",TRIM(W480)),0)&gt;0,"▼ receta siguiente",IF(AK480="A",IF(AZ10&lt;&gt;"",AZ10&amp;" - ou.or.o ❾ + or - &gt;",""),""))</f>
        <v/>
      </c>
      <c r="AY480" s="810"/>
      <c r="AZ480" s="810"/>
      <c r="BA480" s="799" t="str">
        <f t="shared" si="181"/>
        <v/>
      </c>
      <c r="BB480" s="800" t="str">
        <f>IF(AK480="A",IF(AQ480,IF(AND(AW480&lt;&gt;"",N(AW480)&gt;0),IFERROR(IFERROR(_xlfn.XLOOKUP(AP480,BP10:BP57,BT10:BT57),IFERROR(_xlfn.XLOOKUP(AP480,BQ10:BQ57,BT10:BT57),_xlfn.XLOOKUP(AP480,BR10:BR57,BT10:BT57,""))),""),""),""),"")</f>
        <v/>
      </c>
      <c r="BC480" s="813" cm="1">
        <f t="array" ref="BC480">IF(NOT(AQ480),0,IF(OR(BA480="",N(BA480)&lt;=0.000000001),"",IF(OR(AU480="",N(AU480)&lt;=0.000000001),0,IF(ISNUMBER(BA480),IFERROR(_xlfn.LET(_xlpm.ai_test,TRIM(AP480),_xlpm.r,IFERROR(_xlfn.XLOOKUP(_xlpm.ai_test,BP16:BP63,ROW(BP16:BP63),0,1),IFERROR(_xlfn.XLOOKUP(_xlpm.ai_test,BQ16:BQ63,ROW(BQ16:BQ63),0,1),_xlfn.XLOOKUP(_xlpm.ai_test,BR16:BR63,ROW(BR16:BR63),0,1))),_xlpm.p,_xlpm.r-MIN(ROW(BP16:BP63))+1,_xlpm.f,INDEX(BS16:BS63,_xlpm.p),_xlpm.u,INDEX(BT16:BT63,_xlpm.p),_xlpm.s,INDEX(BV16:BV63,_xlpm.p),_xlpm.q,N(BA480)/_xlpm.f,IF(_xlpm.q&gt;=_xlpm.s,ROUND(_xlpm.q,1)&amp;" "&amp;_xlpm.ai_test&amp;" = "&amp;ROUND(_xlpm.q*_xlpm.f,1)&amp;" "&amp;_xlpm.u,ROUND(_xlpm.q,1)&amp;" "&amp;_xlpm.ai_test)),""),""))))</f>
        <v>0</v>
      </c>
      <c r="BD480" s="801"/>
      <c r="BE480" s="799" t="str">
        <f t="shared" si="192"/>
        <v/>
      </c>
      <c r="BF480" s="800" t="str">
        <f t="shared" si="193"/>
        <v/>
      </c>
      <c r="BG480" s="802">
        <f t="shared" ref="BG480:BG543" si="196">IF(AND(ISNUMBER(BM480),ABS(BM480)&gt;0.000000001),BM480,0)</f>
        <v>0</v>
      </c>
      <c r="BH480" s="803" t="str">
        <f t="shared" ref="BH480:BH543" si="197">IF(AND(AQ480, N(BG480)&gt;0.000000001), W480, "")</f>
        <v/>
      </c>
      <c r="BI480" s="792"/>
      <c r="BJ480" s="804">
        <f t="shared" si="195"/>
        <v>0</v>
      </c>
      <c r="BK480" s="794" t="str">
        <f t="shared" si="194"/>
        <v/>
      </c>
      <c r="BL480" s="227" t="s">
        <v>21</v>
      </c>
      <c r="BM480" s="773">
        <f t="shared" si="183"/>
        <v>0</v>
      </c>
      <c r="BN480" s="774">
        <f t="shared" si="184"/>
        <v>0</v>
      </c>
      <c r="BO480"/>
      <c r="BX480"/>
      <c r="BY480"/>
      <c r="BZ480"/>
      <c r="CA480"/>
      <c r="CB480"/>
      <c r="CC480"/>
      <c r="CD480" s="781" t="str">
        <f t="shared" si="177"/>
        <v>►</v>
      </c>
      <c r="CE480" s="633"/>
      <c r="CF480" s="633"/>
      <c r="CG480" s="633"/>
      <c r="CH480" s="633"/>
      <c r="CI480" s="633"/>
      <c r="CJ480" s="227"/>
      <c r="CK480"/>
      <c r="CL480"/>
      <c r="CM480"/>
      <c r="CN480"/>
      <c r="CO480"/>
      <c r="CP480"/>
      <c r="CQ480"/>
      <c r="CR480" s="227"/>
      <c r="CS480"/>
      <c r="CT480"/>
      <c r="CU480"/>
      <c r="CV480"/>
      <c r="CW480"/>
      <c r="CX480"/>
      <c r="CY480"/>
      <c r="CZ480" s="227"/>
      <c r="DA480"/>
      <c r="DB480"/>
      <c r="DC480"/>
      <c r="DD480"/>
      <c r="DE480"/>
      <c r="DF480"/>
      <c r="DG480"/>
      <c r="DH480" s="227"/>
      <c r="DI480" s="3">
        <v>1</v>
      </c>
    </row>
    <row r="481" spans="2:113" s="627" customFormat="1" ht="21" customHeight="1">
      <c r="B481" s="2265" t="str" cm="1">
        <f t="array" ref="B481">SUMPRODUCT(--(D481:J481&lt;&gt;""), LEN(TRIM(SUBSTITUTE(D481:J481, CHAR(160), "")))) &amp; " Car."</f>
        <v>0 Car.</v>
      </c>
      <c r="C481" s="1376" t="str">
        <f>IF(ISBLANK(D481),"",LARGE(C13:C480,1)+1)</f>
        <v/>
      </c>
      <c r="D481" s="1833"/>
      <c r="E481" s="1810"/>
      <c r="F481" s="1810"/>
      <c r="G481" s="1810"/>
      <c r="H481" s="1810"/>
      <c r="I481" s="1810"/>
      <c r="J481" s="1810"/>
      <c r="K481" s="1810"/>
      <c r="L481" s="1811"/>
      <c r="M481"/>
      <c r="N481" s="103" t="str">
        <f t="shared" si="179"/>
        <v>►</v>
      </c>
      <c r="O481" s="1616"/>
      <c r="P481"/>
      <c r="Q481" s="25" t="s">
        <v>15</v>
      </c>
      <c r="R481" s="31"/>
      <c r="S481" s="32"/>
      <c r="T481" s="31"/>
      <c r="U481" s="33"/>
      <c r="V481" s="1967"/>
      <c r="W481" s="1805"/>
      <c r="X481" s="91"/>
      <c r="Y481" s="1806"/>
      <c r="Z481" s="1968"/>
      <c r="AA481" s="2244"/>
      <c r="AB481" s="1969"/>
      <c r="AC481" s="1365"/>
      <c r="AD481" s="95"/>
      <c r="AE481" s="1326"/>
      <c r="AF481" s="97"/>
      <c r="AG481" s="1737"/>
      <c r="AH481" s="1970"/>
      <c r="AI481" s="99"/>
      <c r="AJ481" s="1809"/>
      <c r="AK481" s="6120" t="str">
        <f t="shared" si="180"/>
        <v>►</v>
      </c>
      <c r="AL481" s="781" t="str">
        <f t="shared" si="182"/>
        <v>►</v>
      </c>
      <c r="AM481" s="5499" t="str">
        <f t="shared" si="185"/>
        <v/>
      </c>
      <c r="AN481" s="783" t="str">
        <f t="shared" si="186"/>
        <v/>
      </c>
      <c r="AO481" s="782" t="str">
        <f t="shared" si="187"/>
        <v/>
      </c>
      <c r="AP481" s="783" t="str">
        <f t="shared" si="188"/>
        <v/>
      </c>
      <c r="AQ481" s="2083" t="b">
        <f>AND(Q481="A",COUNTIF(BP16:BR63,TRIM(Z481))&gt;0)</f>
        <v>0</v>
      </c>
      <c r="AR481" s="797" t="str">
        <f>IF(AL481&lt;&gt;"A","",IFERROR(IFERROR(_xlfn.XLOOKUP(TRIM(SUBSTITUTE(Z481,CHAR(160)," ")),BP16:BP63,BS16:BS63),IFERROR(_xlfn.XLOOKUP(TRIM(SUBSTITUTE(Z481,CHAR(160)," ")),BQ16:BQ63,BS16:BS63),_xlfn.XLOOKUP(TRIM(SUBSTITUTE(Z481,CHAR(160)," ")),BR16:BR63,BS16:BS63)))*Y481*IF(ISBLANK(V481),1,V481),0))</f>
        <v/>
      </c>
      <c r="AS481" s="784" t="str">
        <f t="shared" si="178"/>
        <v/>
      </c>
      <c r="AT481" s="1315" t="str">
        <f t="shared" si="189"/>
        <v/>
      </c>
      <c r="AU481" s="785">
        <f t="shared" si="190"/>
        <v>0</v>
      </c>
      <c r="AV481" s="785">
        <f t="shared" si="191"/>
        <v>0</v>
      </c>
      <c r="AW481" s="786">
        <f>IF(AK481="A",AY10,0)</f>
        <v>0</v>
      </c>
      <c r="AX481" s="5495" t="str">
        <f>IF(IFERROR(SEARCH("Adresse PC",TRIM(W481)),0)&gt;0,"▼ receta siguiente",IF(AK481="A",IF(AZ10&lt;&gt;"",AZ10&amp;" - ou.or.o ❾ + or - &gt;",""),""))</f>
        <v/>
      </c>
      <c r="AY481" s="810"/>
      <c r="AZ481" s="810"/>
      <c r="BA481" s="788" t="str">
        <f t="shared" si="181"/>
        <v/>
      </c>
      <c r="BB481" s="789" t="str">
        <f>IF(AK481="A",IF(AQ481,IF(AND(AW481&lt;&gt;"",N(AW481)&gt;0),IFERROR(IFERROR(_xlfn.XLOOKUP(AP481,BP10:BP57,BT10:BT57),IFERROR(_xlfn.XLOOKUP(AP481,BQ10:BQ57,BT10:BT57),_xlfn.XLOOKUP(AP481,BR10:BR57,BT10:BT57,""))),""),""),""),"")</f>
        <v/>
      </c>
      <c r="BC481" s="811" cm="1">
        <f t="array" ref="BC481">IF(NOT(AQ481),0,IF(OR(BA481="",N(BA481)&lt;=0.000000001),"",IF(OR(AU481="",N(AU481)&lt;=0.000000001),0,IF(ISNUMBER(BA481),IFERROR(_xlfn.LET(_xlpm.ai_test,TRIM(AP481),_xlpm.r,IFERROR(_xlfn.XLOOKUP(_xlpm.ai_test,BP16:BP63,ROW(BP16:BP63),0,1),IFERROR(_xlfn.XLOOKUP(_xlpm.ai_test,BQ16:BQ63,ROW(BQ16:BQ63),0,1),_xlfn.XLOOKUP(_xlpm.ai_test,BR16:BR63,ROW(BR16:BR63),0,1))),_xlpm.p,_xlpm.r-MIN(ROW(BP16:BP63))+1,_xlpm.f,INDEX(BS16:BS63,_xlpm.p),_xlpm.u,INDEX(BT16:BT63,_xlpm.p),_xlpm.s,INDEX(BV16:BV63,_xlpm.p),_xlpm.q,N(BA481)/_xlpm.f,IF(_xlpm.q&gt;=_xlpm.s,ROUND(_xlpm.q,1)&amp;" "&amp;_xlpm.ai_test&amp;" = "&amp;ROUND(_xlpm.q*_xlpm.f,1)&amp;" "&amp;_xlpm.u,ROUND(_xlpm.q,1)&amp;" "&amp;_xlpm.ai_test)),""),""))))</f>
        <v>0</v>
      </c>
      <c r="BD481" s="801"/>
      <c r="BE481" s="788" t="str">
        <f t="shared" si="192"/>
        <v/>
      </c>
      <c r="BF481" s="789" t="str">
        <f t="shared" si="193"/>
        <v/>
      </c>
      <c r="BG481" s="790">
        <f t="shared" si="196"/>
        <v>0</v>
      </c>
      <c r="BH481" s="791" t="str">
        <f t="shared" si="197"/>
        <v/>
      </c>
      <c r="BI481" s="792"/>
      <c r="BJ481" s="793">
        <f t="shared" si="195"/>
        <v>0</v>
      </c>
      <c r="BK481" s="794" t="str">
        <f t="shared" si="194"/>
        <v/>
      </c>
      <c r="BL481" s="227" t="s">
        <v>21</v>
      </c>
      <c r="BM481" s="773">
        <f t="shared" si="183"/>
        <v>0</v>
      </c>
      <c r="BN481" s="774">
        <f t="shared" si="184"/>
        <v>0</v>
      </c>
      <c r="BO481"/>
      <c r="BX481"/>
      <c r="BY481"/>
      <c r="BZ481"/>
      <c r="CA481"/>
      <c r="CB481"/>
      <c r="CC481"/>
      <c r="CD481" s="781" t="str">
        <f t="shared" si="177"/>
        <v>►</v>
      </c>
      <c r="CE481" s="633"/>
      <c r="CF481" s="633"/>
      <c r="CG481" s="633"/>
      <c r="CH481" s="633"/>
      <c r="CI481" s="633"/>
      <c r="CJ481" s="227"/>
      <c r="CK481"/>
      <c r="CL481"/>
      <c r="CM481"/>
      <c r="CN481"/>
      <c r="CO481"/>
      <c r="CP481"/>
      <c r="CQ481"/>
      <c r="CR481" s="227"/>
      <c r="CS481"/>
      <c r="CT481"/>
      <c r="CU481"/>
      <c r="CV481"/>
      <c r="CW481"/>
      <c r="CX481"/>
      <c r="CY481"/>
      <c r="CZ481" s="227"/>
      <c r="DA481"/>
      <c r="DB481"/>
      <c r="DC481"/>
      <c r="DD481"/>
      <c r="DE481"/>
      <c r="DF481"/>
      <c r="DG481"/>
      <c r="DH481" s="227"/>
      <c r="DI481" s="3">
        <v>1</v>
      </c>
    </row>
    <row r="482" spans="2:113" s="627" customFormat="1" ht="21" customHeight="1">
      <c r="B482" s="2265" t="str" cm="1">
        <f t="array" ref="B482">SUMPRODUCT(--(D482:J482&lt;&gt;""), LEN(TRIM(SUBSTITUTE(D482:J482, CHAR(160), "")))) &amp; " Car."</f>
        <v>0 Car.</v>
      </c>
      <c r="C482" s="1376" t="str">
        <f>IF(ISBLANK(D482),"",LARGE(C13:C481,1)+1)</f>
        <v/>
      </c>
      <c r="D482" s="1833"/>
      <c r="E482" s="1810"/>
      <c r="F482" s="1810"/>
      <c r="G482" s="1810"/>
      <c r="H482" s="1810"/>
      <c r="I482" s="1810"/>
      <c r="J482" s="1810"/>
      <c r="K482" s="1810"/>
      <c r="L482" s="1811"/>
      <c r="M482"/>
      <c r="N482" s="103" t="str">
        <f t="shared" si="179"/>
        <v>►</v>
      </c>
      <c r="O482" s="1616"/>
      <c r="P482"/>
      <c r="Q482" s="25" t="s">
        <v>15</v>
      </c>
      <c r="R482" s="31"/>
      <c r="S482" s="32"/>
      <c r="T482" s="31"/>
      <c r="U482" s="33"/>
      <c r="V482" s="1967"/>
      <c r="W482" s="1805"/>
      <c r="X482" s="91"/>
      <c r="Y482" s="1806"/>
      <c r="Z482" s="1968"/>
      <c r="AA482" s="2244"/>
      <c r="AB482" s="1969"/>
      <c r="AC482" s="1365"/>
      <c r="AD482" s="95"/>
      <c r="AE482" s="1326"/>
      <c r="AF482" s="97"/>
      <c r="AG482" s="1737"/>
      <c r="AH482" s="1970"/>
      <c r="AI482" s="99"/>
      <c r="AJ482" s="1809"/>
      <c r="AK482" s="6120" t="str">
        <f t="shared" si="180"/>
        <v>►</v>
      </c>
      <c r="AL482" s="781" t="str">
        <f t="shared" si="182"/>
        <v>►</v>
      </c>
      <c r="AM482" s="5498" t="str">
        <f t="shared" si="185"/>
        <v/>
      </c>
      <c r="AN482" s="783" t="str">
        <f t="shared" si="186"/>
        <v/>
      </c>
      <c r="AO482" s="782" t="str">
        <f t="shared" si="187"/>
        <v/>
      </c>
      <c r="AP482" s="783" t="str">
        <f t="shared" si="188"/>
        <v/>
      </c>
      <c r="AQ482" s="2083" t="b">
        <f>AND(Q482="A",COUNTIF(BP16:BR63,TRIM(Z482))&gt;0)</f>
        <v>0</v>
      </c>
      <c r="AR482" s="797" t="str">
        <f>IF(AL482&lt;&gt;"A","",IFERROR(IFERROR(_xlfn.XLOOKUP(TRIM(SUBSTITUTE(Z482,CHAR(160)," ")),BP16:BP63,BS16:BS63),IFERROR(_xlfn.XLOOKUP(TRIM(SUBSTITUTE(Z482,CHAR(160)," ")),BQ16:BQ63,BS16:BS63),_xlfn.XLOOKUP(TRIM(SUBSTITUTE(Z482,CHAR(160)," ")),BR16:BR63,BS16:BS63)))*Y482*IF(ISBLANK(V482),1,V482),0))</f>
        <v/>
      </c>
      <c r="AS482" s="784" t="str">
        <f t="shared" si="178"/>
        <v/>
      </c>
      <c r="AT482" s="1315" t="str">
        <f t="shared" si="189"/>
        <v/>
      </c>
      <c r="AU482" s="785">
        <f t="shared" si="190"/>
        <v>0</v>
      </c>
      <c r="AV482" s="785">
        <f t="shared" si="191"/>
        <v>0</v>
      </c>
      <c r="AW482" s="798">
        <f>IF(AK482="A",AY10,0)</f>
        <v>0</v>
      </c>
      <c r="AX482" s="5496" t="str">
        <f>IF(IFERROR(SEARCH("Adresse PC",TRIM(W482)),0)&gt;0,"▼ receta siguiente",IF(AK482="A",IF(AZ10&lt;&gt;"",AZ10&amp;" - ou.or.o ❾ + or - &gt;",""),""))</f>
        <v/>
      </c>
      <c r="AY482" s="810"/>
      <c r="AZ482" s="810"/>
      <c r="BA482" s="799" t="str">
        <f t="shared" si="181"/>
        <v/>
      </c>
      <c r="BB482" s="800" t="str">
        <f>IF(AK482="A",IF(AQ482,IF(AND(AW482&lt;&gt;"",N(AW482)&gt;0),IFERROR(IFERROR(_xlfn.XLOOKUP(AP482,BP10:BP57,BT10:BT57),IFERROR(_xlfn.XLOOKUP(AP482,BQ10:BQ57,BT10:BT57),_xlfn.XLOOKUP(AP482,BR10:BR57,BT10:BT57,""))),""),""),""),"")</f>
        <v/>
      </c>
      <c r="BC482" s="813" cm="1">
        <f t="array" ref="BC482">IF(NOT(AQ482),0,IF(OR(BA482="",N(BA482)&lt;=0.000000001),"",IF(OR(AU482="",N(AU482)&lt;=0.000000001),0,IF(ISNUMBER(BA482),IFERROR(_xlfn.LET(_xlpm.ai_test,TRIM(AP482),_xlpm.r,IFERROR(_xlfn.XLOOKUP(_xlpm.ai_test,BP16:BP63,ROW(BP16:BP63),0,1),IFERROR(_xlfn.XLOOKUP(_xlpm.ai_test,BQ16:BQ63,ROW(BQ16:BQ63),0,1),_xlfn.XLOOKUP(_xlpm.ai_test,BR16:BR63,ROW(BR16:BR63),0,1))),_xlpm.p,_xlpm.r-MIN(ROW(BP16:BP63))+1,_xlpm.f,INDEX(BS16:BS63,_xlpm.p),_xlpm.u,INDEX(BT16:BT63,_xlpm.p),_xlpm.s,INDEX(BV16:BV63,_xlpm.p),_xlpm.q,N(BA482)/_xlpm.f,IF(_xlpm.q&gt;=_xlpm.s,ROUND(_xlpm.q,1)&amp;" "&amp;_xlpm.ai_test&amp;" = "&amp;ROUND(_xlpm.q*_xlpm.f,1)&amp;" "&amp;_xlpm.u,ROUND(_xlpm.q,1)&amp;" "&amp;_xlpm.ai_test)),""),""))))</f>
        <v>0</v>
      </c>
      <c r="BD482" s="801"/>
      <c r="BE482" s="799" t="str">
        <f t="shared" si="192"/>
        <v/>
      </c>
      <c r="BF482" s="800" t="str">
        <f t="shared" si="193"/>
        <v/>
      </c>
      <c r="BG482" s="802">
        <f t="shared" si="196"/>
        <v>0</v>
      </c>
      <c r="BH482" s="803" t="str">
        <f t="shared" si="197"/>
        <v/>
      </c>
      <c r="BI482" s="792"/>
      <c r="BJ482" s="804">
        <f t="shared" si="195"/>
        <v>0</v>
      </c>
      <c r="BK482" s="794" t="str">
        <f t="shared" si="194"/>
        <v/>
      </c>
      <c r="BL482" s="227" t="s">
        <v>21</v>
      </c>
      <c r="BM482" s="773">
        <f t="shared" si="183"/>
        <v>0</v>
      </c>
      <c r="BN482" s="774">
        <f t="shared" si="184"/>
        <v>0</v>
      </c>
      <c r="BO482"/>
      <c r="BX482"/>
      <c r="BY482"/>
      <c r="BZ482"/>
      <c r="CA482"/>
      <c r="CB482"/>
      <c r="CC482"/>
      <c r="CD482" s="781" t="str">
        <f t="shared" si="177"/>
        <v>►</v>
      </c>
      <c r="CE482" s="633"/>
      <c r="CF482" s="633"/>
      <c r="CG482" s="633"/>
      <c r="CH482" s="633"/>
      <c r="CI482" s="633"/>
      <c r="CJ482" s="227"/>
      <c r="CK482"/>
      <c r="CL482"/>
      <c r="CM482"/>
      <c r="CN482"/>
      <c r="CO482"/>
      <c r="CP482"/>
      <c r="CQ482"/>
      <c r="CR482" s="227"/>
      <c r="CS482"/>
      <c r="CT482"/>
      <c r="CU482"/>
      <c r="CV482"/>
      <c r="CW482"/>
      <c r="CX482"/>
      <c r="CY482"/>
      <c r="CZ482" s="227"/>
      <c r="DA482"/>
      <c r="DB482"/>
      <c r="DC482"/>
      <c r="DD482"/>
      <c r="DE482"/>
      <c r="DF482"/>
      <c r="DG482"/>
      <c r="DH482" s="227"/>
      <c r="DI482" s="3">
        <v>1</v>
      </c>
    </row>
    <row r="483" spans="2:113" s="627" customFormat="1" ht="21" customHeight="1">
      <c r="B483" s="2265" t="str" cm="1">
        <f t="array" ref="B483">SUMPRODUCT(--(D483:J483&lt;&gt;""), LEN(TRIM(SUBSTITUTE(D483:J483, CHAR(160), "")))) &amp; " Car."</f>
        <v>0 Car.</v>
      </c>
      <c r="C483" s="1376" t="str">
        <f>IF(ISBLANK(D483),"",LARGE(C13:C482,1)+1)</f>
        <v/>
      </c>
      <c r="D483" s="1833"/>
      <c r="E483" s="1810"/>
      <c r="F483" s="1810"/>
      <c r="G483" s="1810"/>
      <c r="H483" s="1810"/>
      <c r="I483" s="1810"/>
      <c r="J483" s="1810"/>
      <c r="K483" s="1810"/>
      <c r="L483" s="1811"/>
      <c r="M483"/>
      <c r="N483" s="103" t="str">
        <f t="shared" si="179"/>
        <v>►</v>
      </c>
      <c r="O483" s="1616"/>
      <c r="P483"/>
      <c r="Q483" s="25" t="s">
        <v>15</v>
      </c>
      <c r="R483" s="31"/>
      <c r="S483" s="32"/>
      <c r="T483" s="31"/>
      <c r="U483" s="33"/>
      <c r="V483" s="1967"/>
      <c r="W483" s="1805"/>
      <c r="X483" s="91"/>
      <c r="Y483" s="1806"/>
      <c r="Z483" s="1968"/>
      <c r="AA483" s="2244"/>
      <c r="AB483" s="1969"/>
      <c r="AC483" s="1365"/>
      <c r="AD483" s="95"/>
      <c r="AE483" s="1326"/>
      <c r="AF483" s="97"/>
      <c r="AG483" s="1737"/>
      <c r="AH483" s="1970"/>
      <c r="AI483" s="99"/>
      <c r="AJ483" s="1809"/>
      <c r="AK483" s="6120" t="str">
        <f t="shared" si="180"/>
        <v>►</v>
      </c>
      <c r="AL483" s="781" t="str">
        <f t="shared" si="182"/>
        <v>►</v>
      </c>
      <c r="AM483" s="5499" t="str">
        <f t="shared" si="185"/>
        <v/>
      </c>
      <c r="AN483" s="783" t="str">
        <f t="shared" si="186"/>
        <v/>
      </c>
      <c r="AO483" s="782" t="str">
        <f t="shared" si="187"/>
        <v/>
      </c>
      <c r="AP483" s="783" t="str">
        <f t="shared" si="188"/>
        <v/>
      </c>
      <c r="AQ483" s="2083" t="b">
        <f>AND(Q483="A",COUNTIF(BP16:BR63,TRIM(Z483))&gt;0)</f>
        <v>0</v>
      </c>
      <c r="AR483" s="797" t="str">
        <f>IF(AL483&lt;&gt;"A","",IFERROR(IFERROR(_xlfn.XLOOKUP(TRIM(SUBSTITUTE(Z483,CHAR(160)," ")),BP16:BP63,BS16:BS63),IFERROR(_xlfn.XLOOKUP(TRIM(SUBSTITUTE(Z483,CHAR(160)," ")),BQ16:BQ63,BS16:BS63),_xlfn.XLOOKUP(TRIM(SUBSTITUTE(Z483,CHAR(160)," ")),BR16:BR63,BS16:BS63)))*Y483*IF(ISBLANK(V483),1,V483),0))</f>
        <v/>
      </c>
      <c r="AS483" s="784" t="str">
        <f t="shared" si="178"/>
        <v/>
      </c>
      <c r="AT483" s="1315" t="str">
        <f t="shared" si="189"/>
        <v/>
      </c>
      <c r="AU483" s="785">
        <f t="shared" si="190"/>
        <v>0</v>
      </c>
      <c r="AV483" s="785">
        <f t="shared" si="191"/>
        <v>0</v>
      </c>
      <c r="AW483" s="786">
        <f>IF(AK483="A",AY10,0)</f>
        <v>0</v>
      </c>
      <c r="AX483" s="5495" t="str">
        <f>IF(IFERROR(SEARCH("Adresse PC",TRIM(W483)),0)&gt;0,"▼ receta siguiente",IF(AK483="A",IF(AZ10&lt;&gt;"",AZ10&amp;" - ou.or.o ❾ + or - &gt;",""),""))</f>
        <v/>
      </c>
      <c r="AY483" s="810"/>
      <c r="AZ483" s="810"/>
      <c r="BA483" s="788" t="str">
        <f t="shared" si="181"/>
        <v/>
      </c>
      <c r="BB483" s="789" t="str">
        <f>IF(AK483="A",IF(AQ483,IF(AND(AW483&lt;&gt;"",N(AW483)&gt;0),IFERROR(IFERROR(_xlfn.XLOOKUP(AP483,BP10:BP57,BT10:BT57),IFERROR(_xlfn.XLOOKUP(AP483,BQ10:BQ57,BT10:BT57),_xlfn.XLOOKUP(AP483,BR10:BR57,BT10:BT57,""))),""),""),""),"")</f>
        <v/>
      </c>
      <c r="BC483" s="811" cm="1">
        <f t="array" ref="BC483">IF(NOT(AQ483),0,IF(OR(BA483="",N(BA483)&lt;=0.000000001),"",IF(OR(AU483="",N(AU483)&lt;=0.000000001),0,IF(ISNUMBER(BA483),IFERROR(_xlfn.LET(_xlpm.ai_test,TRIM(AP483),_xlpm.r,IFERROR(_xlfn.XLOOKUP(_xlpm.ai_test,BP16:BP63,ROW(BP16:BP63),0,1),IFERROR(_xlfn.XLOOKUP(_xlpm.ai_test,BQ16:BQ63,ROW(BQ16:BQ63),0,1),_xlfn.XLOOKUP(_xlpm.ai_test,BR16:BR63,ROW(BR16:BR63),0,1))),_xlpm.p,_xlpm.r-MIN(ROW(BP16:BP63))+1,_xlpm.f,INDEX(BS16:BS63,_xlpm.p),_xlpm.u,INDEX(BT16:BT63,_xlpm.p),_xlpm.s,INDEX(BV16:BV63,_xlpm.p),_xlpm.q,N(BA483)/_xlpm.f,IF(_xlpm.q&gt;=_xlpm.s,ROUND(_xlpm.q,1)&amp;" "&amp;_xlpm.ai_test&amp;" = "&amp;ROUND(_xlpm.q*_xlpm.f,1)&amp;" "&amp;_xlpm.u,ROUND(_xlpm.q,1)&amp;" "&amp;_xlpm.ai_test)),""),""))))</f>
        <v>0</v>
      </c>
      <c r="BD483" s="801"/>
      <c r="BE483" s="788" t="str">
        <f t="shared" si="192"/>
        <v/>
      </c>
      <c r="BF483" s="789" t="str">
        <f t="shared" si="193"/>
        <v/>
      </c>
      <c r="BG483" s="790">
        <f t="shared" si="196"/>
        <v>0</v>
      </c>
      <c r="BH483" s="791" t="str">
        <f t="shared" si="197"/>
        <v/>
      </c>
      <c r="BI483" s="792"/>
      <c r="BJ483" s="793">
        <f t="shared" si="195"/>
        <v>0</v>
      </c>
      <c r="BK483" s="794" t="str">
        <f t="shared" si="194"/>
        <v/>
      </c>
      <c r="BL483" s="227" t="s">
        <v>21</v>
      </c>
      <c r="BM483" s="773">
        <f t="shared" si="183"/>
        <v>0</v>
      </c>
      <c r="BN483" s="774">
        <f t="shared" si="184"/>
        <v>0</v>
      </c>
      <c r="BO483"/>
      <c r="BX483"/>
      <c r="BY483"/>
      <c r="BZ483"/>
      <c r="CA483"/>
      <c r="CB483"/>
      <c r="CC483"/>
      <c r="CD483" s="781" t="str">
        <f t="shared" si="177"/>
        <v>►</v>
      </c>
      <c r="CE483" s="633"/>
      <c r="CF483" s="633"/>
      <c r="CG483" s="633"/>
      <c r="CH483" s="633"/>
      <c r="CI483" s="633"/>
      <c r="CJ483" s="227"/>
      <c r="CK483"/>
      <c r="CL483"/>
      <c r="CM483"/>
      <c r="CN483"/>
      <c r="CO483"/>
      <c r="CP483"/>
      <c r="CQ483"/>
      <c r="CR483" s="227"/>
      <c r="CS483"/>
      <c r="CT483"/>
      <c r="CU483"/>
      <c r="CV483"/>
      <c r="CW483"/>
      <c r="CX483"/>
      <c r="CY483"/>
      <c r="CZ483" s="227"/>
      <c r="DA483"/>
      <c r="DB483"/>
      <c r="DC483"/>
      <c r="DD483"/>
      <c r="DE483"/>
      <c r="DF483"/>
      <c r="DG483"/>
      <c r="DH483" s="227"/>
      <c r="DI483" s="3">
        <v>1</v>
      </c>
    </row>
    <row r="484" spans="2:113" s="627" customFormat="1" ht="21" customHeight="1">
      <c r="B484" s="2265" t="str" cm="1">
        <f t="array" ref="B484">SUMPRODUCT(--(D484:J484&lt;&gt;""), LEN(TRIM(SUBSTITUTE(D484:J484, CHAR(160), "")))) &amp; " Car."</f>
        <v>0 Car.</v>
      </c>
      <c r="C484" s="1376" t="str">
        <f>IF(ISBLANK(D484),"",LARGE(C13:C483,1)+1)</f>
        <v/>
      </c>
      <c r="D484" s="1833"/>
      <c r="E484" s="1810"/>
      <c r="F484" s="1810"/>
      <c r="G484" s="1810"/>
      <c r="H484" s="1810"/>
      <c r="I484" s="1810"/>
      <c r="J484" s="1810"/>
      <c r="K484" s="1810"/>
      <c r="L484" s="1811"/>
      <c r="M484"/>
      <c r="N484" s="103" t="str">
        <f t="shared" si="179"/>
        <v>►</v>
      </c>
      <c r="O484" s="1616"/>
      <c r="P484"/>
      <c r="Q484" s="25" t="s">
        <v>15</v>
      </c>
      <c r="R484" s="31"/>
      <c r="S484" s="32"/>
      <c r="T484" s="31"/>
      <c r="U484" s="33"/>
      <c r="V484" s="1967"/>
      <c r="W484" s="1805"/>
      <c r="X484" s="91"/>
      <c r="Y484" s="1806"/>
      <c r="Z484" s="1968"/>
      <c r="AA484" s="2244"/>
      <c r="AB484" s="1969"/>
      <c r="AC484" s="1365"/>
      <c r="AD484" s="95"/>
      <c r="AE484" s="1326"/>
      <c r="AF484" s="97"/>
      <c r="AG484" s="1737"/>
      <c r="AH484" s="1970"/>
      <c r="AI484" s="99"/>
      <c r="AJ484" s="1809"/>
      <c r="AK484" s="6120" t="str">
        <f t="shared" si="180"/>
        <v>►</v>
      </c>
      <c r="AL484" s="781" t="str">
        <f t="shared" si="182"/>
        <v>►</v>
      </c>
      <c r="AM484" s="5498" t="str">
        <f t="shared" si="185"/>
        <v/>
      </c>
      <c r="AN484" s="783" t="str">
        <f t="shared" si="186"/>
        <v/>
      </c>
      <c r="AO484" s="782" t="str">
        <f t="shared" si="187"/>
        <v/>
      </c>
      <c r="AP484" s="783" t="str">
        <f t="shared" si="188"/>
        <v/>
      </c>
      <c r="AQ484" s="2083" t="b">
        <f>AND(Q484="A",COUNTIF(BP16:BR63,TRIM(Z484))&gt;0)</f>
        <v>0</v>
      </c>
      <c r="AR484" s="797" t="str">
        <f>IF(AL484&lt;&gt;"A","",IFERROR(IFERROR(_xlfn.XLOOKUP(TRIM(SUBSTITUTE(Z484,CHAR(160)," ")),BP16:BP63,BS16:BS63),IFERROR(_xlfn.XLOOKUP(TRIM(SUBSTITUTE(Z484,CHAR(160)," ")),BQ16:BQ63,BS16:BS63),_xlfn.XLOOKUP(TRIM(SUBSTITUTE(Z484,CHAR(160)," ")),BR16:BR63,BS16:BS63)))*Y484*IF(ISBLANK(V484),1,V484),0))</f>
        <v/>
      </c>
      <c r="AS484" s="784" t="str">
        <f t="shared" si="178"/>
        <v/>
      </c>
      <c r="AT484" s="1315" t="str">
        <f t="shared" si="189"/>
        <v/>
      </c>
      <c r="AU484" s="785">
        <f t="shared" si="190"/>
        <v>0</v>
      </c>
      <c r="AV484" s="785">
        <f t="shared" si="191"/>
        <v>0</v>
      </c>
      <c r="AW484" s="798">
        <f>IF(AK484="A",AY10,0)</f>
        <v>0</v>
      </c>
      <c r="AX484" s="5496" t="str">
        <f>IF(IFERROR(SEARCH("Adresse PC",TRIM(W484)),0)&gt;0,"▼ receta siguiente",IF(AK484="A",IF(AZ10&lt;&gt;"",AZ10&amp;" - ou.or.o ❾ + or - &gt;",""),""))</f>
        <v/>
      </c>
      <c r="AY484" s="810"/>
      <c r="AZ484" s="810"/>
      <c r="BA484" s="799" t="str">
        <f t="shared" si="181"/>
        <v/>
      </c>
      <c r="BB484" s="800" t="str">
        <f>IF(AK484="A",IF(AQ484,IF(AND(AW484&lt;&gt;"",N(AW484)&gt;0),IFERROR(IFERROR(_xlfn.XLOOKUP(AP484,BP10:BP57,BT10:BT57),IFERROR(_xlfn.XLOOKUP(AP484,BQ10:BQ57,BT10:BT57),_xlfn.XLOOKUP(AP484,BR10:BR57,BT10:BT57,""))),""),""),""),"")</f>
        <v/>
      </c>
      <c r="BC484" s="813" cm="1">
        <f t="array" ref="BC484">IF(NOT(AQ484),0,IF(OR(BA484="",N(BA484)&lt;=0.000000001),"",IF(OR(AU484="",N(AU484)&lt;=0.000000001),0,IF(ISNUMBER(BA484),IFERROR(_xlfn.LET(_xlpm.ai_test,TRIM(AP484),_xlpm.r,IFERROR(_xlfn.XLOOKUP(_xlpm.ai_test,BP16:BP63,ROW(BP16:BP63),0,1),IFERROR(_xlfn.XLOOKUP(_xlpm.ai_test,BQ16:BQ63,ROW(BQ16:BQ63),0,1),_xlfn.XLOOKUP(_xlpm.ai_test,BR16:BR63,ROW(BR16:BR63),0,1))),_xlpm.p,_xlpm.r-MIN(ROW(BP16:BP63))+1,_xlpm.f,INDEX(BS16:BS63,_xlpm.p),_xlpm.u,INDEX(BT16:BT63,_xlpm.p),_xlpm.s,INDEX(BV16:BV63,_xlpm.p),_xlpm.q,N(BA484)/_xlpm.f,IF(_xlpm.q&gt;=_xlpm.s,ROUND(_xlpm.q,1)&amp;" "&amp;_xlpm.ai_test&amp;" = "&amp;ROUND(_xlpm.q*_xlpm.f,1)&amp;" "&amp;_xlpm.u,ROUND(_xlpm.q,1)&amp;" "&amp;_xlpm.ai_test)),""),""))))</f>
        <v>0</v>
      </c>
      <c r="BD484" s="801"/>
      <c r="BE484" s="799" t="str">
        <f t="shared" si="192"/>
        <v/>
      </c>
      <c r="BF484" s="800" t="str">
        <f t="shared" si="193"/>
        <v/>
      </c>
      <c r="BG484" s="802">
        <f t="shared" si="196"/>
        <v>0</v>
      </c>
      <c r="BH484" s="803" t="str">
        <f t="shared" si="197"/>
        <v/>
      </c>
      <c r="BI484" s="792"/>
      <c r="BJ484" s="804">
        <f t="shared" si="195"/>
        <v>0</v>
      </c>
      <c r="BK484" s="794" t="str">
        <f t="shared" si="194"/>
        <v/>
      </c>
      <c r="BL484" s="227" t="s">
        <v>21</v>
      </c>
      <c r="BM484" s="773">
        <f t="shared" si="183"/>
        <v>0</v>
      </c>
      <c r="BN484" s="774">
        <f t="shared" si="184"/>
        <v>0</v>
      </c>
      <c r="BO484"/>
      <c r="BX484"/>
      <c r="BY484"/>
      <c r="BZ484"/>
      <c r="CA484"/>
      <c r="CB484"/>
      <c r="CC484"/>
      <c r="CD484" s="781" t="str">
        <f t="shared" si="177"/>
        <v>►</v>
      </c>
      <c r="CE484" s="633"/>
      <c r="CF484" s="633"/>
      <c r="CG484" s="633"/>
      <c r="CH484" s="633"/>
      <c r="CI484" s="633"/>
      <c r="CJ484" s="227"/>
      <c r="CK484"/>
      <c r="CL484"/>
      <c r="CM484"/>
      <c r="CN484"/>
      <c r="CO484"/>
      <c r="CP484"/>
      <c r="CQ484"/>
      <c r="CR484" s="227"/>
      <c r="CS484"/>
      <c r="CT484"/>
      <c r="CU484"/>
      <c r="CV484"/>
      <c r="CW484"/>
      <c r="CX484"/>
      <c r="CY484"/>
      <c r="CZ484" s="227"/>
      <c r="DA484"/>
      <c r="DB484"/>
      <c r="DC484"/>
      <c r="DD484"/>
      <c r="DE484"/>
      <c r="DF484"/>
      <c r="DG484"/>
      <c r="DH484" s="227"/>
      <c r="DI484" s="3">
        <v>1</v>
      </c>
    </row>
    <row r="485" spans="2:113" s="627" customFormat="1" ht="21" customHeight="1">
      <c r="B485" s="2265" t="str" cm="1">
        <f t="array" ref="B485">SUMPRODUCT(--(D485:J485&lt;&gt;""), LEN(TRIM(SUBSTITUTE(D485:J485, CHAR(160), "")))) &amp; " Car."</f>
        <v>0 Car.</v>
      </c>
      <c r="C485" s="1376" t="str">
        <f>IF(ISBLANK(D485),"",LARGE(C13:C484,1)+1)</f>
        <v/>
      </c>
      <c r="D485" s="1833"/>
      <c r="E485" s="1810"/>
      <c r="F485" s="1810"/>
      <c r="G485" s="1810"/>
      <c r="H485" s="1810"/>
      <c r="I485" s="1810"/>
      <c r="J485" s="1810"/>
      <c r="K485" s="1810"/>
      <c r="L485" s="1811"/>
      <c r="M485"/>
      <c r="N485" s="103" t="str">
        <f t="shared" si="179"/>
        <v>►</v>
      </c>
      <c r="O485" s="1616"/>
      <c r="P485"/>
      <c r="Q485" s="25" t="s">
        <v>15</v>
      </c>
      <c r="R485" s="31"/>
      <c r="S485" s="32"/>
      <c r="T485" s="31"/>
      <c r="U485" s="33"/>
      <c r="V485" s="1967"/>
      <c r="W485" s="1805"/>
      <c r="X485" s="91"/>
      <c r="Y485" s="1806"/>
      <c r="Z485" s="1968"/>
      <c r="AA485" s="2244"/>
      <c r="AB485" s="1969"/>
      <c r="AC485" s="1365"/>
      <c r="AD485" s="95"/>
      <c r="AE485" s="1326"/>
      <c r="AF485" s="97"/>
      <c r="AG485" s="1737"/>
      <c r="AH485" s="1970"/>
      <c r="AI485" s="99"/>
      <c r="AJ485" s="1809"/>
      <c r="AK485" s="6120" t="str">
        <f t="shared" si="180"/>
        <v>►</v>
      </c>
      <c r="AL485" s="781" t="str">
        <f t="shared" si="182"/>
        <v>►</v>
      </c>
      <c r="AM485" s="5499" t="str">
        <f t="shared" si="185"/>
        <v/>
      </c>
      <c r="AN485" s="783" t="str">
        <f t="shared" si="186"/>
        <v/>
      </c>
      <c r="AO485" s="782" t="str">
        <f t="shared" si="187"/>
        <v/>
      </c>
      <c r="AP485" s="783" t="str">
        <f t="shared" si="188"/>
        <v/>
      </c>
      <c r="AQ485" s="2083" t="b">
        <f>AND(Q485="A",COUNTIF(BP16:BR63,TRIM(Z485))&gt;0)</f>
        <v>0</v>
      </c>
      <c r="AR485" s="797" t="str">
        <f>IF(AL485&lt;&gt;"A","",IFERROR(IFERROR(_xlfn.XLOOKUP(TRIM(SUBSTITUTE(Z485,CHAR(160)," ")),BP16:BP63,BS16:BS63),IFERROR(_xlfn.XLOOKUP(TRIM(SUBSTITUTE(Z485,CHAR(160)," ")),BQ16:BQ63,BS16:BS63),_xlfn.XLOOKUP(TRIM(SUBSTITUTE(Z485,CHAR(160)," ")),BR16:BR63,BS16:BS63)))*Y485*IF(ISBLANK(V485),1,V485),0))</f>
        <v/>
      </c>
      <c r="AS485" s="784" t="str">
        <f t="shared" si="178"/>
        <v/>
      </c>
      <c r="AT485" s="1315" t="str">
        <f t="shared" si="189"/>
        <v/>
      </c>
      <c r="AU485" s="785">
        <f t="shared" si="190"/>
        <v>0</v>
      </c>
      <c r="AV485" s="785">
        <f t="shared" si="191"/>
        <v>0</v>
      </c>
      <c r="AW485" s="786">
        <f>IF(AK485="A",AY10,0)</f>
        <v>0</v>
      </c>
      <c r="AX485" s="5495" t="str">
        <f>IF(IFERROR(SEARCH("Adresse PC",TRIM(W485)),0)&gt;0,"▼ receta siguiente",IF(AK485="A",IF(AZ10&lt;&gt;"",AZ10&amp;" - ou.or.o ❾ + or - &gt;",""),""))</f>
        <v/>
      </c>
      <c r="AY485" s="810"/>
      <c r="AZ485" s="810"/>
      <c r="BA485" s="788" t="str">
        <f t="shared" si="181"/>
        <v/>
      </c>
      <c r="BB485" s="789" t="str">
        <f>IF(AK485="A",IF(AQ485,IF(AND(AW485&lt;&gt;"",N(AW485)&gt;0),IFERROR(IFERROR(_xlfn.XLOOKUP(AP485,BP10:BP57,BT10:BT57),IFERROR(_xlfn.XLOOKUP(AP485,BQ10:BQ57,BT10:BT57),_xlfn.XLOOKUP(AP485,BR10:BR57,BT10:BT57,""))),""),""),""),"")</f>
        <v/>
      </c>
      <c r="BC485" s="811" cm="1">
        <f t="array" ref="BC485">IF(NOT(AQ485),0,IF(OR(BA485="",N(BA485)&lt;=0.000000001),"",IF(OR(AU485="",N(AU485)&lt;=0.000000001),0,IF(ISNUMBER(BA485),IFERROR(_xlfn.LET(_xlpm.ai_test,TRIM(AP485),_xlpm.r,IFERROR(_xlfn.XLOOKUP(_xlpm.ai_test,BP16:BP63,ROW(BP16:BP63),0,1),IFERROR(_xlfn.XLOOKUP(_xlpm.ai_test,BQ16:BQ63,ROW(BQ16:BQ63),0,1),_xlfn.XLOOKUP(_xlpm.ai_test,BR16:BR63,ROW(BR16:BR63),0,1))),_xlpm.p,_xlpm.r-MIN(ROW(BP16:BP63))+1,_xlpm.f,INDEX(BS16:BS63,_xlpm.p),_xlpm.u,INDEX(BT16:BT63,_xlpm.p),_xlpm.s,INDEX(BV16:BV63,_xlpm.p),_xlpm.q,N(BA485)/_xlpm.f,IF(_xlpm.q&gt;=_xlpm.s,ROUND(_xlpm.q,1)&amp;" "&amp;_xlpm.ai_test&amp;" = "&amp;ROUND(_xlpm.q*_xlpm.f,1)&amp;" "&amp;_xlpm.u,ROUND(_xlpm.q,1)&amp;" "&amp;_xlpm.ai_test)),""),""))))</f>
        <v>0</v>
      </c>
      <c r="BD485" s="801"/>
      <c r="BE485" s="788" t="str">
        <f t="shared" si="192"/>
        <v/>
      </c>
      <c r="BF485" s="789" t="str">
        <f t="shared" si="193"/>
        <v/>
      </c>
      <c r="BG485" s="790">
        <f t="shared" si="196"/>
        <v>0</v>
      </c>
      <c r="BH485" s="791" t="str">
        <f t="shared" si="197"/>
        <v/>
      </c>
      <c r="BI485" s="792"/>
      <c r="BJ485" s="793">
        <f t="shared" si="195"/>
        <v>0</v>
      </c>
      <c r="BK485" s="794" t="str">
        <f t="shared" si="194"/>
        <v/>
      </c>
      <c r="BL485" s="227" t="s">
        <v>21</v>
      </c>
      <c r="BM485" s="773">
        <f t="shared" si="183"/>
        <v>0</v>
      </c>
      <c r="BN485" s="774">
        <f t="shared" si="184"/>
        <v>0</v>
      </c>
      <c r="BO485"/>
      <c r="BX485"/>
      <c r="BY485"/>
      <c r="BZ485"/>
      <c r="CA485"/>
      <c r="CB485"/>
      <c r="CC485"/>
      <c r="CD485" s="781" t="str">
        <f t="shared" si="177"/>
        <v>►</v>
      </c>
      <c r="CE485" s="633"/>
      <c r="CF485" s="633"/>
      <c r="CG485" s="633"/>
      <c r="CH485" s="633"/>
      <c r="CI485" s="633"/>
      <c r="CJ485" s="227"/>
      <c r="CK485"/>
      <c r="CL485"/>
      <c r="CM485"/>
      <c r="CN485"/>
      <c r="CO485"/>
      <c r="CP485"/>
      <c r="CQ485"/>
      <c r="CR485" s="227"/>
      <c r="CS485"/>
      <c r="CT485"/>
      <c r="CU485"/>
      <c r="CV485"/>
      <c r="CW485"/>
      <c r="CX485"/>
      <c r="CY485"/>
      <c r="CZ485" s="227"/>
      <c r="DA485"/>
      <c r="DB485"/>
      <c r="DC485"/>
      <c r="DD485"/>
      <c r="DE485"/>
      <c r="DF485"/>
      <c r="DG485"/>
      <c r="DH485" s="227"/>
      <c r="DI485" s="3">
        <v>1</v>
      </c>
    </row>
    <row r="486" spans="2:113" s="627" customFormat="1" ht="21" customHeight="1">
      <c r="B486" s="2265" t="str" cm="1">
        <f t="array" ref="B486">SUMPRODUCT(--(D486:J486&lt;&gt;""), LEN(TRIM(SUBSTITUTE(D486:J486, CHAR(160), "")))) &amp; " Car."</f>
        <v>0 Car.</v>
      </c>
      <c r="C486" s="1376" t="str">
        <f>IF(ISBLANK(D486),"",LARGE(C13:C485,1)+1)</f>
        <v/>
      </c>
      <c r="D486" s="1833"/>
      <c r="E486" s="1810"/>
      <c r="F486" s="1810"/>
      <c r="G486" s="1810"/>
      <c r="H486" s="1810"/>
      <c r="I486" s="1810"/>
      <c r="J486" s="1810"/>
      <c r="K486" s="1810"/>
      <c r="L486" s="1811"/>
      <c r="M486"/>
      <c r="N486" s="103" t="str">
        <f t="shared" si="179"/>
        <v>►</v>
      </c>
      <c r="O486" s="1616"/>
      <c r="P486"/>
      <c r="Q486" s="25" t="s">
        <v>15</v>
      </c>
      <c r="R486" s="31"/>
      <c r="S486" s="32"/>
      <c r="T486" s="31"/>
      <c r="U486" s="33"/>
      <c r="V486" s="1967"/>
      <c r="W486" s="1805"/>
      <c r="X486" s="91"/>
      <c r="Y486" s="1806"/>
      <c r="Z486" s="1968"/>
      <c r="AA486" s="2244"/>
      <c r="AB486" s="1969"/>
      <c r="AC486" s="1365"/>
      <c r="AD486" s="95"/>
      <c r="AE486" s="1326"/>
      <c r="AF486" s="97"/>
      <c r="AG486" s="1737"/>
      <c r="AH486" s="1970"/>
      <c r="AI486" s="99"/>
      <c r="AJ486" s="1809"/>
      <c r="AK486" s="6120" t="str">
        <f t="shared" si="180"/>
        <v>►</v>
      </c>
      <c r="AL486" s="781" t="str">
        <f t="shared" si="182"/>
        <v>►</v>
      </c>
      <c r="AM486" s="5498" t="str">
        <f t="shared" si="185"/>
        <v/>
      </c>
      <c r="AN486" s="783" t="str">
        <f t="shared" si="186"/>
        <v/>
      </c>
      <c r="AO486" s="782" t="str">
        <f t="shared" si="187"/>
        <v/>
      </c>
      <c r="AP486" s="783" t="str">
        <f t="shared" si="188"/>
        <v/>
      </c>
      <c r="AQ486" s="2083" t="b">
        <f>AND(Q486="A",COUNTIF(BP16:BR63,TRIM(Z486))&gt;0)</f>
        <v>0</v>
      </c>
      <c r="AR486" s="797" t="str">
        <f>IF(AL486&lt;&gt;"A","",IFERROR(IFERROR(_xlfn.XLOOKUP(TRIM(SUBSTITUTE(Z486,CHAR(160)," ")),BP16:BP63,BS16:BS63),IFERROR(_xlfn.XLOOKUP(TRIM(SUBSTITUTE(Z486,CHAR(160)," ")),BQ16:BQ63,BS16:BS63),_xlfn.XLOOKUP(TRIM(SUBSTITUTE(Z486,CHAR(160)," ")),BR16:BR63,BS16:BS63)))*Y486*IF(ISBLANK(V486),1,V486),0))</f>
        <v/>
      </c>
      <c r="AS486" s="784" t="str">
        <f t="shared" si="178"/>
        <v/>
      </c>
      <c r="AT486" s="1315" t="str">
        <f t="shared" si="189"/>
        <v/>
      </c>
      <c r="AU486" s="785">
        <f t="shared" si="190"/>
        <v>0</v>
      </c>
      <c r="AV486" s="785">
        <f t="shared" si="191"/>
        <v>0</v>
      </c>
      <c r="AW486" s="798">
        <f>IF(AK486="A",AY10,0)</f>
        <v>0</v>
      </c>
      <c r="AX486" s="5496" t="str">
        <f>IF(IFERROR(SEARCH("Adresse PC",TRIM(W486)),0)&gt;0,"▼ receta siguiente",IF(AK486="A",IF(AZ10&lt;&gt;"",AZ10&amp;" - ou.or.o ❾ + or - &gt;",""),""))</f>
        <v/>
      </c>
      <c r="AY486" s="810"/>
      <c r="AZ486" s="810"/>
      <c r="BA486" s="799" t="str">
        <f t="shared" si="181"/>
        <v/>
      </c>
      <c r="BB486" s="800" t="str">
        <f>IF(AK486="A",IF(AQ486,IF(AND(AW486&lt;&gt;"",N(AW486)&gt;0),IFERROR(IFERROR(_xlfn.XLOOKUP(AP486,BP10:BP57,BT10:BT57),IFERROR(_xlfn.XLOOKUP(AP486,BQ10:BQ57,BT10:BT57),_xlfn.XLOOKUP(AP486,BR10:BR57,BT10:BT57,""))),""),""),""),"")</f>
        <v/>
      </c>
      <c r="BC486" s="813" cm="1">
        <f t="array" ref="BC486">IF(NOT(AQ486),0,IF(OR(BA486="",N(BA486)&lt;=0.000000001),"",IF(OR(AU486="",N(AU486)&lt;=0.000000001),0,IF(ISNUMBER(BA486),IFERROR(_xlfn.LET(_xlpm.ai_test,TRIM(AP486),_xlpm.r,IFERROR(_xlfn.XLOOKUP(_xlpm.ai_test,BP16:BP63,ROW(BP16:BP63),0,1),IFERROR(_xlfn.XLOOKUP(_xlpm.ai_test,BQ16:BQ63,ROW(BQ16:BQ63),0,1),_xlfn.XLOOKUP(_xlpm.ai_test,BR16:BR63,ROW(BR16:BR63),0,1))),_xlpm.p,_xlpm.r-MIN(ROW(BP16:BP63))+1,_xlpm.f,INDEX(BS16:BS63,_xlpm.p),_xlpm.u,INDEX(BT16:BT63,_xlpm.p),_xlpm.s,INDEX(BV16:BV63,_xlpm.p),_xlpm.q,N(BA486)/_xlpm.f,IF(_xlpm.q&gt;=_xlpm.s,ROUND(_xlpm.q,1)&amp;" "&amp;_xlpm.ai_test&amp;" = "&amp;ROUND(_xlpm.q*_xlpm.f,1)&amp;" "&amp;_xlpm.u,ROUND(_xlpm.q,1)&amp;" "&amp;_xlpm.ai_test)),""),""))))</f>
        <v>0</v>
      </c>
      <c r="BD486" s="801"/>
      <c r="BE486" s="799" t="str">
        <f t="shared" si="192"/>
        <v/>
      </c>
      <c r="BF486" s="800" t="str">
        <f t="shared" si="193"/>
        <v/>
      </c>
      <c r="BG486" s="802">
        <f t="shared" si="196"/>
        <v>0</v>
      </c>
      <c r="BH486" s="803" t="str">
        <f t="shared" si="197"/>
        <v/>
      </c>
      <c r="BI486" s="792"/>
      <c r="BJ486" s="804">
        <f t="shared" si="195"/>
        <v>0</v>
      </c>
      <c r="BK486" s="794" t="str">
        <f t="shared" si="194"/>
        <v/>
      </c>
      <c r="BL486" s="227" t="s">
        <v>21</v>
      </c>
      <c r="BM486" s="773">
        <f t="shared" si="183"/>
        <v>0</v>
      </c>
      <c r="BN486" s="774">
        <f t="shared" si="184"/>
        <v>0</v>
      </c>
      <c r="BO486"/>
      <c r="BX486"/>
      <c r="BY486"/>
      <c r="BZ486"/>
      <c r="CA486"/>
      <c r="CB486"/>
      <c r="CC486"/>
      <c r="CD486" s="781" t="str">
        <f t="shared" si="177"/>
        <v>►</v>
      </c>
      <c r="CE486" s="633"/>
      <c r="CF486" s="633"/>
      <c r="CG486" s="633"/>
      <c r="CH486" s="633"/>
      <c r="CI486" s="633"/>
      <c r="CJ486" s="227"/>
      <c r="CK486"/>
      <c r="CL486"/>
      <c r="CM486"/>
      <c r="CN486"/>
      <c r="CO486"/>
      <c r="CP486"/>
      <c r="CQ486"/>
      <c r="CR486" s="227"/>
      <c r="CS486"/>
      <c r="CT486"/>
      <c r="CU486"/>
      <c r="CV486"/>
      <c r="CW486"/>
      <c r="CX486"/>
      <c r="CY486"/>
      <c r="CZ486" s="227"/>
      <c r="DA486"/>
      <c r="DB486"/>
      <c r="DC486"/>
      <c r="DD486"/>
      <c r="DE486"/>
      <c r="DF486"/>
      <c r="DG486"/>
      <c r="DH486" s="227"/>
      <c r="DI486" s="3">
        <v>1</v>
      </c>
    </row>
    <row r="487" spans="2:113" s="627" customFormat="1" ht="21" customHeight="1">
      <c r="B487" s="2265" t="str" cm="1">
        <f t="array" ref="B487">SUMPRODUCT(--(D487:J487&lt;&gt;""), LEN(TRIM(SUBSTITUTE(D487:J487, CHAR(160), "")))) &amp; " Car."</f>
        <v>0 Car.</v>
      </c>
      <c r="C487" s="1376" t="str">
        <f>IF(ISBLANK(D487),"",LARGE(C13:C486,1)+1)</f>
        <v/>
      </c>
      <c r="D487" s="1833"/>
      <c r="E487" s="1810"/>
      <c r="F487" s="1810"/>
      <c r="G487" s="1810"/>
      <c r="H487" s="1810"/>
      <c r="I487" s="1810"/>
      <c r="J487" s="1810"/>
      <c r="K487" s="1810"/>
      <c r="L487" s="1811"/>
      <c r="M487"/>
      <c r="N487" s="103" t="str">
        <f t="shared" si="179"/>
        <v>►</v>
      </c>
      <c r="O487" s="1616"/>
      <c r="P487"/>
      <c r="Q487" s="25" t="s">
        <v>15</v>
      </c>
      <c r="R487" s="31"/>
      <c r="S487" s="32"/>
      <c r="T487" s="31"/>
      <c r="U487" s="33"/>
      <c r="V487" s="1967"/>
      <c r="W487" s="1805"/>
      <c r="X487" s="91"/>
      <c r="Y487" s="1806"/>
      <c r="Z487" s="1968"/>
      <c r="AA487" s="2244"/>
      <c r="AB487" s="1969"/>
      <c r="AC487" s="1365"/>
      <c r="AD487" s="95"/>
      <c r="AE487" s="1326"/>
      <c r="AF487" s="97"/>
      <c r="AG487" s="1737"/>
      <c r="AH487" s="1970"/>
      <c r="AI487" s="99"/>
      <c r="AJ487" s="1809"/>
      <c r="AK487" s="6120" t="str">
        <f t="shared" si="180"/>
        <v>►</v>
      </c>
      <c r="AL487" s="781" t="str">
        <f t="shared" si="182"/>
        <v>►</v>
      </c>
      <c r="AM487" s="5499" t="str">
        <f t="shared" si="185"/>
        <v/>
      </c>
      <c r="AN487" s="783" t="str">
        <f t="shared" si="186"/>
        <v/>
      </c>
      <c r="AO487" s="782" t="str">
        <f t="shared" si="187"/>
        <v/>
      </c>
      <c r="AP487" s="783" t="str">
        <f t="shared" si="188"/>
        <v/>
      </c>
      <c r="AQ487" s="2083" t="b">
        <f>AND(Q487="A",COUNTIF(BP16:BR63,TRIM(Z487))&gt;0)</f>
        <v>0</v>
      </c>
      <c r="AR487" s="797" t="str">
        <f>IF(AL487&lt;&gt;"A","",IFERROR(IFERROR(_xlfn.XLOOKUP(TRIM(SUBSTITUTE(Z487,CHAR(160)," ")),BP16:BP63,BS16:BS63),IFERROR(_xlfn.XLOOKUP(TRIM(SUBSTITUTE(Z487,CHAR(160)," ")),BQ16:BQ63,BS16:BS63),_xlfn.XLOOKUP(TRIM(SUBSTITUTE(Z487,CHAR(160)," ")),BR16:BR63,BS16:BS63)))*Y487*IF(ISBLANK(V487),1,V487),0))</f>
        <v/>
      </c>
      <c r="AS487" s="784" t="str">
        <f t="shared" si="178"/>
        <v/>
      </c>
      <c r="AT487" s="1315" t="str">
        <f t="shared" si="189"/>
        <v/>
      </c>
      <c r="AU487" s="785">
        <f t="shared" si="190"/>
        <v>0</v>
      </c>
      <c r="AV487" s="785">
        <f t="shared" si="191"/>
        <v>0</v>
      </c>
      <c r="AW487" s="786">
        <f>IF(AK487="A",AY10,0)</f>
        <v>0</v>
      </c>
      <c r="AX487" s="5495" t="str">
        <f>IF(IFERROR(SEARCH("Adresse PC",TRIM(W487)),0)&gt;0,"▼ receta siguiente",IF(AK487="A",IF(AZ10&lt;&gt;"",AZ10&amp;" - ou.or.o ❾ + or - &gt;",""),""))</f>
        <v/>
      </c>
      <c r="AY487" s="810"/>
      <c r="AZ487" s="810"/>
      <c r="BA487" s="788" t="str">
        <f t="shared" si="181"/>
        <v/>
      </c>
      <c r="BB487" s="789" t="str">
        <f>IF(AK487="A",IF(AQ487,IF(AND(AW487&lt;&gt;"",N(AW487)&gt;0),IFERROR(IFERROR(_xlfn.XLOOKUP(AP487,BP10:BP57,BT10:BT57),IFERROR(_xlfn.XLOOKUP(AP487,BQ10:BQ57,BT10:BT57),_xlfn.XLOOKUP(AP487,BR10:BR57,BT10:BT57,""))),""),""),""),"")</f>
        <v/>
      </c>
      <c r="BC487" s="811" cm="1">
        <f t="array" ref="BC487">IF(NOT(AQ487),0,IF(OR(BA487="",N(BA487)&lt;=0.000000001),"",IF(OR(AU487="",N(AU487)&lt;=0.000000001),0,IF(ISNUMBER(BA487),IFERROR(_xlfn.LET(_xlpm.ai_test,TRIM(AP487),_xlpm.r,IFERROR(_xlfn.XLOOKUP(_xlpm.ai_test,BP16:BP63,ROW(BP16:BP63),0,1),IFERROR(_xlfn.XLOOKUP(_xlpm.ai_test,BQ16:BQ63,ROW(BQ16:BQ63),0,1),_xlfn.XLOOKUP(_xlpm.ai_test,BR16:BR63,ROW(BR16:BR63),0,1))),_xlpm.p,_xlpm.r-MIN(ROW(BP16:BP63))+1,_xlpm.f,INDEX(BS16:BS63,_xlpm.p),_xlpm.u,INDEX(BT16:BT63,_xlpm.p),_xlpm.s,INDEX(BV16:BV63,_xlpm.p),_xlpm.q,N(BA487)/_xlpm.f,IF(_xlpm.q&gt;=_xlpm.s,ROUND(_xlpm.q,1)&amp;" "&amp;_xlpm.ai_test&amp;" = "&amp;ROUND(_xlpm.q*_xlpm.f,1)&amp;" "&amp;_xlpm.u,ROUND(_xlpm.q,1)&amp;" "&amp;_xlpm.ai_test)),""),""))))</f>
        <v>0</v>
      </c>
      <c r="BD487" s="801"/>
      <c r="BE487" s="788" t="str">
        <f t="shared" si="192"/>
        <v/>
      </c>
      <c r="BF487" s="789" t="str">
        <f t="shared" si="193"/>
        <v/>
      </c>
      <c r="BG487" s="790">
        <f t="shared" si="196"/>
        <v>0</v>
      </c>
      <c r="BH487" s="791" t="str">
        <f t="shared" si="197"/>
        <v/>
      </c>
      <c r="BI487" s="792"/>
      <c r="BJ487" s="793">
        <f t="shared" si="195"/>
        <v>0</v>
      </c>
      <c r="BK487" s="794" t="str">
        <f t="shared" si="194"/>
        <v/>
      </c>
      <c r="BL487" s="227" t="s">
        <v>21</v>
      </c>
      <c r="BM487" s="773">
        <f t="shared" si="183"/>
        <v>0</v>
      </c>
      <c r="BN487" s="774">
        <f t="shared" si="184"/>
        <v>0</v>
      </c>
      <c r="BO487"/>
      <c r="BX487"/>
      <c r="BY487"/>
      <c r="BZ487"/>
      <c r="CA487"/>
      <c r="CB487"/>
      <c r="CC487"/>
      <c r="CD487" s="781" t="str">
        <f t="shared" si="177"/>
        <v>►</v>
      </c>
      <c r="CE487" s="633"/>
      <c r="CF487" s="633"/>
      <c r="CG487" s="633"/>
      <c r="CH487" s="633"/>
      <c r="CI487" s="633"/>
      <c r="CJ487" s="227"/>
      <c r="CK487"/>
      <c r="CL487"/>
      <c r="CM487"/>
      <c r="CN487"/>
      <c r="CO487"/>
      <c r="CP487"/>
      <c r="CQ487"/>
      <c r="CR487" s="227"/>
      <c r="CS487"/>
      <c r="CT487"/>
      <c r="CU487"/>
      <c r="CV487"/>
      <c r="CW487"/>
      <c r="CX487"/>
      <c r="CY487"/>
      <c r="CZ487" s="227"/>
      <c r="DA487"/>
      <c r="DB487"/>
      <c r="DC487"/>
      <c r="DD487"/>
      <c r="DE487"/>
      <c r="DF487"/>
      <c r="DG487"/>
      <c r="DH487" s="227"/>
      <c r="DI487" s="3">
        <v>1</v>
      </c>
    </row>
    <row r="488" spans="2:113" s="627" customFormat="1" ht="21" customHeight="1">
      <c r="B488" s="2265" t="str" cm="1">
        <f t="array" ref="B488">SUMPRODUCT(--(D488:J488&lt;&gt;""), LEN(TRIM(SUBSTITUTE(D488:J488, CHAR(160), "")))) &amp; " Car."</f>
        <v>0 Car.</v>
      </c>
      <c r="C488" s="1376" t="str">
        <f>IF(ISBLANK(D488),"",LARGE(C13:C487,1)+1)</f>
        <v/>
      </c>
      <c r="D488" s="1833"/>
      <c r="E488" s="1810"/>
      <c r="F488" s="1810"/>
      <c r="G488" s="1810"/>
      <c r="H488" s="1810"/>
      <c r="I488" s="1810"/>
      <c r="J488" s="1810"/>
      <c r="K488" s="1810"/>
      <c r="L488" s="1811"/>
      <c r="M488"/>
      <c r="N488" s="103" t="str">
        <f t="shared" si="179"/>
        <v>►</v>
      </c>
      <c r="O488" s="1616"/>
      <c r="P488"/>
      <c r="Q488" s="25" t="s">
        <v>15</v>
      </c>
      <c r="R488" s="31"/>
      <c r="S488" s="32"/>
      <c r="T488" s="31"/>
      <c r="U488" s="33"/>
      <c r="V488" s="1967"/>
      <c r="W488" s="1805"/>
      <c r="X488" s="91"/>
      <c r="Y488" s="1806"/>
      <c r="Z488" s="1968"/>
      <c r="AA488" s="2244"/>
      <c r="AB488" s="1969"/>
      <c r="AC488" s="1365"/>
      <c r="AD488" s="95"/>
      <c r="AE488" s="1326"/>
      <c r="AF488" s="97"/>
      <c r="AG488" s="1737"/>
      <c r="AH488" s="1970"/>
      <c r="AI488" s="99"/>
      <c r="AJ488" s="1809"/>
      <c r="AK488" s="6120" t="str">
        <f t="shared" si="180"/>
        <v>►</v>
      </c>
      <c r="AL488" s="781" t="str">
        <f t="shared" si="182"/>
        <v>►</v>
      </c>
      <c r="AM488" s="5498" t="str">
        <f t="shared" si="185"/>
        <v/>
      </c>
      <c r="AN488" s="783" t="str">
        <f t="shared" si="186"/>
        <v/>
      </c>
      <c r="AO488" s="782" t="str">
        <f t="shared" si="187"/>
        <v/>
      </c>
      <c r="AP488" s="783" t="str">
        <f t="shared" si="188"/>
        <v/>
      </c>
      <c r="AQ488" s="2083" t="b">
        <f>AND(Q488="A",COUNTIF(BP16:BR63,TRIM(Z488))&gt;0)</f>
        <v>0</v>
      </c>
      <c r="AR488" s="797" t="str">
        <f>IF(AL488&lt;&gt;"A","",IFERROR(IFERROR(_xlfn.XLOOKUP(TRIM(SUBSTITUTE(Z488,CHAR(160)," ")),BP16:BP63,BS16:BS63),IFERROR(_xlfn.XLOOKUP(TRIM(SUBSTITUTE(Z488,CHAR(160)," ")),BQ16:BQ63,BS16:BS63),_xlfn.XLOOKUP(TRIM(SUBSTITUTE(Z488,CHAR(160)," ")),BR16:BR63,BS16:BS63)))*Y488*IF(ISBLANK(V488),1,V488),0))</f>
        <v/>
      </c>
      <c r="AS488" s="784" t="str">
        <f t="shared" si="178"/>
        <v/>
      </c>
      <c r="AT488" s="1315" t="str">
        <f t="shared" si="189"/>
        <v/>
      </c>
      <c r="AU488" s="785">
        <f t="shared" si="190"/>
        <v>0</v>
      </c>
      <c r="AV488" s="785">
        <f t="shared" si="191"/>
        <v>0</v>
      </c>
      <c r="AW488" s="798">
        <f>IF(AK488="A",AY10,0)</f>
        <v>0</v>
      </c>
      <c r="AX488" s="5496" t="str">
        <f>IF(IFERROR(SEARCH("Adresse PC",TRIM(W488)),0)&gt;0,"▼ receta siguiente",IF(AK488="A",IF(AZ10&lt;&gt;"",AZ10&amp;" - ou.or.o ❾ + or - &gt;",""),""))</f>
        <v/>
      </c>
      <c r="AY488" s="810"/>
      <c r="AZ488" s="810"/>
      <c r="BA488" s="799" t="str">
        <f t="shared" si="181"/>
        <v/>
      </c>
      <c r="BB488" s="800" t="str">
        <f>IF(AK488="A",IF(AQ488,IF(AND(AW488&lt;&gt;"",N(AW488)&gt;0),IFERROR(IFERROR(_xlfn.XLOOKUP(AP488,BP10:BP57,BT10:BT57),IFERROR(_xlfn.XLOOKUP(AP488,BQ10:BQ57,BT10:BT57),_xlfn.XLOOKUP(AP488,BR10:BR57,BT10:BT57,""))),""),""),""),"")</f>
        <v/>
      </c>
      <c r="BC488" s="813" cm="1">
        <f t="array" ref="BC488">IF(NOT(AQ488),0,IF(OR(BA488="",N(BA488)&lt;=0.000000001),"",IF(OR(AU488="",N(AU488)&lt;=0.000000001),0,IF(ISNUMBER(BA488),IFERROR(_xlfn.LET(_xlpm.ai_test,TRIM(AP488),_xlpm.r,IFERROR(_xlfn.XLOOKUP(_xlpm.ai_test,BP16:BP63,ROW(BP16:BP63),0,1),IFERROR(_xlfn.XLOOKUP(_xlpm.ai_test,BQ16:BQ63,ROW(BQ16:BQ63),0,1),_xlfn.XLOOKUP(_xlpm.ai_test,BR16:BR63,ROW(BR16:BR63),0,1))),_xlpm.p,_xlpm.r-MIN(ROW(BP16:BP63))+1,_xlpm.f,INDEX(BS16:BS63,_xlpm.p),_xlpm.u,INDEX(BT16:BT63,_xlpm.p),_xlpm.s,INDEX(BV16:BV63,_xlpm.p),_xlpm.q,N(BA488)/_xlpm.f,IF(_xlpm.q&gt;=_xlpm.s,ROUND(_xlpm.q,1)&amp;" "&amp;_xlpm.ai_test&amp;" = "&amp;ROUND(_xlpm.q*_xlpm.f,1)&amp;" "&amp;_xlpm.u,ROUND(_xlpm.q,1)&amp;" "&amp;_xlpm.ai_test)),""),""))))</f>
        <v>0</v>
      </c>
      <c r="BD488" s="801"/>
      <c r="BE488" s="799" t="str">
        <f t="shared" si="192"/>
        <v/>
      </c>
      <c r="BF488" s="800" t="str">
        <f t="shared" si="193"/>
        <v/>
      </c>
      <c r="BG488" s="802">
        <f t="shared" si="196"/>
        <v>0</v>
      </c>
      <c r="BH488" s="803" t="str">
        <f t="shared" si="197"/>
        <v/>
      </c>
      <c r="BI488" s="792"/>
      <c r="BJ488" s="804">
        <f t="shared" si="195"/>
        <v>0</v>
      </c>
      <c r="BK488" s="794" t="str">
        <f t="shared" si="194"/>
        <v/>
      </c>
      <c r="BL488" s="227" t="s">
        <v>21</v>
      </c>
      <c r="BM488" s="773">
        <f t="shared" si="183"/>
        <v>0</v>
      </c>
      <c r="BN488" s="774">
        <f t="shared" si="184"/>
        <v>0</v>
      </c>
      <c r="BO488"/>
      <c r="BX488"/>
      <c r="BY488"/>
      <c r="BZ488"/>
      <c r="CA488"/>
      <c r="CB488"/>
      <c r="CC488"/>
      <c r="CD488" s="781" t="str">
        <f t="shared" si="177"/>
        <v>►</v>
      </c>
      <c r="CE488" s="633"/>
      <c r="CF488" s="633"/>
      <c r="CG488" s="633"/>
      <c r="CH488" s="633"/>
      <c r="CI488" s="633"/>
      <c r="CJ488" s="227"/>
      <c r="CK488"/>
      <c r="CL488"/>
      <c r="CM488"/>
      <c r="CN488"/>
      <c r="CO488"/>
      <c r="CP488"/>
      <c r="CQ488"/>
      <c r="CR488" s="227"/>
      <c r="CS488"/>
      <c r="CT488"/>
      <c r="CU488"/>
      <c r="CV488"/>
      <c r="CW488"/>
      <c r="CX488"/>
      <c r="CY488"/>
      <c r="CZ488" s="227"/>
      <c r="DA488"/>
      <c r="DB488"/>
      <c r="DC488"/>
      <c r="DD488"/>
      <c r="DE488"/>
      <c r="DF488"/>
      <c r="DG488"/>
      <c r="DH488" s="227"/>
      <c r="DI488" s="3">
        <v>1</v>
      </c>
    </row>
    <row r="489" spans="2:113" s="627" customFormat="1" ht="21" customHeight="1">
      <c r="B489" s="2265" t="str" cm="1">
        <f t="array" ref="B489">SUMPRODUCT(--(D489:J489&lt;&gt;""), LEN(TRIM(SUBSTITUTE(D489:J489, CHAR(160), "")))) &amp; " Car."</f>
        <v>0 Car.</v>
      </c>
      <c r="C489" s="1376" t="str">
        <f>IF(ISBLANK(D489),"",LARGE(C13:C488,1)+1)</f>
        <v/>
      </c>
      <c r="D489" s="1833"/>
      <c r="E489" s="1810"/>
      <c r="F489" s="1810"/>
      <c r="G489" s="1810"/>
      <c r="H489" s="1810"/>
      <c r="I489" s="1810"/>
      <c r="J489" s="1810"/>
      <c r="K489" s="1810"/>
      <c r="L489" s="1811"/>
      <c r="M489"/>
      <c r="N489" s="103" t="str">
        <f t="shared" si="179"/>
        <v>►</v>
      </c>
      <c r="O489" s="1616"/>
      <c r="P489"/>
      <c r="Q489" s="25" t="s">
        <v>15</v>
      </c>
      <c r="R489" s="31"/>
      <c r="S489" s="32"/>
      <c r="T489" s="31"/>
      <c r="U489" s="33"/>
      <c r="V489" s="1967"/>
      <c r="W489" s="1805"/>
      <c r="X489" s="91"/>
      <c r="Y489" s="1806"/>
      <c r="Z489" s="1968"/>
      <c r="AA489" s="2244"/>
      <c r="AB489" s="1969"/>
      <c r="AC489" s="1365"/>
      <c r="AD489" s="95"/>
      <c r="AE489" s="1326"/>
      <c r="AF489" s="97"/>
      <c r="AG489" s="1737"/>
      <c r="AH489" s="1970"/>
      <c r="AI489" s="99"/>
      <c r="AJ489" s="1809"/>
      <c r="AK489" s="6120" t="str">
        <f t="shared" si="180"/>
        <v>►</v>
      </c>
      <c r="AL489" s="781" t="str">
        <f t="shared" si="182"/>
        <v>►</v>
      </c>
      <c r="AM489" s="5499" t="str">
        <f t="shared" si="185"/>
        <v/>
      </c>
      <c r="AN489" s="783" t="str">
        <f t="shared" si="186"/>
        <v/>
      </c>
      <c r="AO489" s="782" t="str">
        <f t="shared" si="187"/>
        <v/>
      </c>
      <c r="AP489" s="783" t="str">
        <f t="shared" si="188"/>
        <v/>
      </c>
      <c r="AQ489" s="2083" t="b">
        <f>AND(Q489="A",COUNTIF(BP16:BR63,TRIM(Z489))&gt;0)</f>
        <v>0</v>
      </c>
      <c r="AR489" s="797" t="str">
        <f>IF(AL489&lt;&gt;"A","",IFERROR(IFERROR(_xlfn.XLOOKUP(TRIM(SUBSTITUTE(Z489,CHAR(160)," ")),BP16:BP63,BS16:BS63),IFERROR(_xlfn.XLOOKUP(TRIM(SUBSTITUTE(Z489,CHAR(160)," ")),BQ16:BQ63,BS16:BS63),_xlfn.XLOOKUP(TRIM(SUBSTITUTE(Z489,CHAR(160)," ")),BR16:BR63,BS16:BS63)))*Y489*IF(ISBLANK(V489),1,V489),0))</f>
        <v/>
      </c>
      <c r="AS489" s="784" t="str">
        <f t="shared" si="178"/>
        <v/>
      </c>
      <c r="AT489" s="1315" t="str">
        <f t="shared" si="189"/>
        <v/>
      </c>
      <c r="AU489" s="785">
        <f t="shared" si="190"/>
        <v>0</v>
      </c>
      <c r="AV489" s="785">
        <f t="shared" si="191"/>
        <v>0</v>
      </c>
      <c r="AW489" s="786">
        <f>IF(AK489="A",AY10,0)</f>
        <v>0</v>
      </c>
      <c r="AX489" s="5495" t="str">
        <f>IF(IFERROR(SEARCH("Adresse PC",TRIM(W489)),0)&gt;0,"▼ receta siguiente",IF(AK489="A",IF(AZ10&lt;&gt;"",AZ10&amp;" - ou.or.o ❾ + or - &gt;",""),""))</f>
        <v/>
      </c>
      <c r="AY489" s="810"/>
      <c r="AZ489" s="810"/>
      <c r="BA489" s="788" t="str">
        <f t="shared" si="181"/>
        <v/>
      </c>
      <c r="BB489" s="789" t="str">
        <f>IF(AK489="A",IF(AQ489,IF(AND(AW489&lt;&gt;"",N(AW489)&gt;0),IFERROR(IFERROR(_xlfn.XLOOKUP(AP489,BP10:BP57,BT10:BT57),IFERROR(_xlfn.XLOOKUP(AP489,BQ10:BQ57,BT10:BT57),_xlfn.XLOOKUP(AP489,BR10:BR57,BT10:BT57,""))),""),""),""),"")</f>
        <v/>
      </c>
      <c r="BC489" s="811" cm="1">
        <f t="array" ref="BC489">IF(NOT(AQ489),0,IF(OR(BA489="",N(BA489)&lt;=0.000000001),"",IF(OR(AU489="",N(AU489)&lt;=0.000000001),0,IF(ISNUMBER(BA489),IFERROR(_xlfn.LET(_xlpm.ai_test,TRIM(AP489),_xlpm.r,IFERROR(_xlfn.XLOOKUP(_xlpm.ai_test,BP16:BP63,ROW(BP16:BP63),0,1),IFERROR(_xlfn.XLOOKUP(_xlpm.ai_test,BQ16:BQ63,ROW(BQ16:BQ63),0,1),_xlfn.XLOOKUP(_xlpm.ai_test,BR16:BR63,ROW(BR16:BR63),0,1))),_xlpm.p,_xlpm.r-MIN(ROW(BP16:BP63))+1,_xlpm.f,INDEX(BS16:BS63,_xlpm.p),_xlpm.u,INDEX(BT16:BT63,_xlpm.p),_xlpm.s,INDEX(BV16:BV63,_xlpm.p),_xlpm.q,N(BA489)/_xlpm.f,IF(_xlpm.q&gt;=_xlpm.s,ROUND(_xlpm.q,1)&amp;" "&amp;_xlpm.ai_test&amp;" = "&amp;ROUND(_xlpm.q*_xlpm.f,1)&amp;" "&amp;_xlpm.u,ROUND(_xlpm.q,1)&amp;" "&amp;_xlpm.ai_test)),""),""))))</f>
        <v>0</v>
      </c>
      <c r="BD489" s="801"/>
      <c r="BE489" s="788" t="str">
        <f t="shared" si="192"/>
        <v/>
      </c>
      <c r="BF489" s="789" t="str">
        <f t="shared" si="193"/>
        <v/>
      </c>
      <c r="BG489" s="790">
        <f t="shared" si="196"/>
        <v>0</v>
      </c>
      <c r="BH489" s="791" t="str">
        <f t="shared" si="197"/>
        <v/>
      </c>
      <c r="BI489" s="792"/>
      <c r="BJ489" s="793">
        <f t="shared" si="195"/>
        <v>0</v>
      </c>
      <c r="BK489" s="794" t="str">
        <f t="shared" si="194"/>
        <v/>
      </c>
      <c r="BL489" s="227" t="s">
        <v>21</v>
      </c>
      <c r="BM489" s="773">
        <f t="shared" si="183"/>
        <v>0</v>
      </c>
      <c r="BN489" s="774">
        <f t="shared" si="184"/>
        <v>0</v>
      </c>
      <c r="BO489"/>
      <c r="BX489"/>
      <c r="BY489"/>
      <c r="BZ489"/>
      <c r="CA489"/>
      <c r="CB489"/>
      <c r="CC489"/>
      <c r="CD489" s="781" t="str">
        <f t="shared" si="177"/>
        <v>►</v>
      </c>
      <c r="CE489" s="633"/>
      <c r="CF489" s="633"/>
      <c r="CG489" s="633"/>
      <c r="CH489" s="633"/>
      <c r="CI489" s="633"/>
      <c r="CJ489" s="227"/>
      <c r="CK489"/>
      <c r="CL489"/>
      <c r="CM489"/>
      <c r="CN489"/>
      <c r="CO489"/>
      <c r="CP489"/>
      <c r="CQ489"/>
      <c r="CR489" s="227"/>
      <c r="CS489"/>
      <c r="CT489"/>
      <c r="CU489"/>
      <c r="CV489"/>
      <c r="CW489"/>
      <c r="CX489"/>
      <c r="CY489"/>
      <c r="CZ489" s="227"/>
      <c r="DA489"/>
      <c r="DB489"/>
      <c r="DC489"/>
      <c r="DD489"/>
      <c r="DE489"/>
      <c r="DF489"/>
      <c r="DG489"/>
      <c r="DH489" s="227"/>
      <c r="DI489" s="3">
        <v>1</v>
      </c>
    </row>
    <row r="490" spans="2:113" s="627" customFormat="1" ht="21" customHeight="1">
      <c r="B490" s="2265" t="str" cm="1">
        <f t="array" ref="B490">SUMPRODUCT(--(D490:J490&lt;&gt;""), LEN(TRIM(SUBSTITUTE(D490:J490, CHAR(160), "")))) &amp; " Car."</f>
        <v>0 Car.</v>
      </c>
      <c r="C490" s="1376" t="str">
        <f>IF(ISBLANK(D490),"",LARGE(C13:C489,1)+1)</f>
        <v/>
      </c>
      <c r="D490" s="1833"/>
      <c r="E490" s="1810"/>
      <c r="F490" s="1810"/>
      <c r="G490" s="1810"/>
      <c r="H490" s="1810"/>
      <c r="I490" s="1810"/>
      <c r="J490" s="1810"/>
      <c r="K490" s="1810"/>
      <c r="L490" s="1811"/>
      <c r="M490"/>
      <c r="N490" s="103" t="str">
        <f t="shared" si="179"/>
        <v>►</v>
      </c>
      <c r="O490" s="1616"/>
      <c r="P490"/>
      <c r="Q490" s="25" t="s">
        <v>15</v>
      </c>
      <c r="R490" s="31"/>
      <c r="S490" s="32"/>
      <c r="T490" s="31"/>
      <c r="U490" s="33"/>
      <c r="V490" s="1967"/>
      <c r="W490" s="1805"/>
      <c r="X490" s="91"/>
      <c r="Y490" s="1806"/>
      <c r="Z490" s="1968"/>
      <c r="AA490" s="2244"/>
      <c r="AB490" s="1969"/>
      <c r="AC490" s="1365"/>
      <c r="AD490" s="95"/>
      <c r="AE490" s="1326"/>
      <c r="AF490" s="97"/>
      <c r="AG490" s="1737"/>
      <c r="AH490" s="1970"/>
      <c r="AI490" s="99"/>
      <c r="AJ490" s="1809"/>
      <c r="AK490" s="6120" t="str">
        <f t="shared" si="180"/>
        <v>►</v>
      </c>
      <c r="AL490" s="781" t="str">
        <f t="shared" si="182"/>
        <v>►</v>
      </c>
      <c r="AM490" s="5498" t="str">
        <f t="shared" si="185"/>
        <v/>
      </c>
      <c r="AN490" s="783" t="str">
        <f t="shared" si="186"/>
        <v/>
      </c>
      <c r="AO490" s="782" t="str">
        <f t="shared" si="187"/>
        <v/>
      </c>
      <c r="AP490" s="783" t="str">
        <f t="shared" si="188"/>
        <v/>
      </c>
      <c r="AQ490" s="2083" t="b">
        <f>AND(Q490="A",COUNTIF(BP16:BR63,TRIM(Z490))&gt;0)</f>
        <v>0</v>
      </c>
      <c r="AR490" s="797" t="str">
        <f>IF(AL490&lt;&gt;"A","",IFERROR(IFERROR(_xlfn.XLOOKUP(TRIM(SUBSTITUTE(Z490,CHAR(160)," ")),BP16:BP63,BS16:BS63),IFERROR(_xlfn.XLOOKUP(TRIM(SUBSTITUTE(Z490,CHAR(160)," ")),BQ16:BQ63,BS16:BS63),_xlfn.XLOOKUP(TRIM(SUBSTITUTE(Z490,CHAR(160)," ")),BR16:BR63,BS16:BS63)))*Y490*IF(ISBLANK(V490),1,V490),0))</f>
        <v/>
      </c>
      <c r="AS490" s="784" t="str">
        <f t="shared" si="178"/>
        <v/>
      </c>
      <c r="AT490" s="1315" t="str">
        <f t="shared" si="189"/>
        <v/>
      </c>
      <c r="AU490" s="785">
        <f t="shared" si="190"/>
        <v>0</v>
      </c>
      <c r="AV490" s="785">
        <f t="shared" si="191"/>
        <v>0</v>
      </c>
      <c r="AW490" s="798">
        <f>IF(AK490="A",AY10,0)</f>
        <v>0</v>
      </c>
      <c r="AX490" s="5496" t="str">
        <f>IF(IFERROR(SEARCH("Adresse PC",TRIM(W490)),0)&gt;0,"▼ receta siguiente",IF(AK490="A",IF(AZ10&lt;&gt;"",AZ10&amp;" - ou.or.o ❾ + or - &gt;",""),""))</f>
        <v/>
      </c>
      <c r="AY490" s="810"/>
      <c r="AZ490" s="810"/>
      <c r="BA490" s="799" t="str">
        <f t="shared" si="181"/>
        <v/>
      </c>
      <c r="BB490" s="800" t="str">
        <f>IF(AK490="A",IF(AQ490,IF(AND(AW490&lt;&gt;"",N(AW490)&gt;0),IFERROR(IFERROR(_xlfn.XLOOKUP(AP490,BP10:BP57,BT10:BT57),IFERROR(_xlfn.XLOOKUP(AP490,BQ10:BQ57,BT10:BT57),_xlfn.XLOOKUP(AP490,BR10:BR57,BT10:BT57,""))),""),""),""),"")</f>
        <v/>
      </c>
      <c r="BC490" s="813" cm="1">
        <f t="array" ref="BC490">IF(NOT(AQ490),0,IF(OR(BA490="",N(BA490)&lt;=0.000000001),"",IF(OR(AU490="",N(AU490)&lt;=0.000000001),0,IF(ISNUMBER(BA490),IFERROR(_xlfn.LET(_xlpm.ai_test,TRIM(AP490),_xlpm.r,IFERROR(_xlfn.XLOOKUP(_xlpm.ai_test,BP16:BP63,ROW(BP16:BP63),0,1),IFERROR(_xlfn.XLOOKUP(_xlpm.ai_test,BQ16:BQ63,ROW(BQ16:BQ63),0,1),_xlfn.XLOOKUP(_xlpm.ai_test,BR16:BR63,ROW(BR16:BR63),0,1))),_xlpm.p,_xlpm.r-MIN(ROW(BP16:BP63))+1,_xlpm.f,INDEX(BS16:BS63,_xlpm.p),_xlpm.u,INDEX(BT16:BT63,_xlpm.p),_xlpm.s,INDEX(BV16:BV63,_xlpm.p),_xlpm.q,N(BA490)/_xlpm.f,IF(_xlpm.q&gt;=_xlpm.s,ROUND(_xlpm.q,1)&amp;" "&amp;_xlpm.ai_test&amp;" = "&amp;ROUND(_xlpm.q*_xlpm.f,1)&amp;" "&amp;_xlpm.u,ROUND(_xlpm.q,1)&amp;" "&amp;_xlpm.ai_test)),""),""))))</f>
        <v>0</v>
      </c>
      <c r="BD490" s="801"/>
      <c r="BE490" s="799" t="str">
        <f t="shared" si="192"/>
        <v/>
      </c>
      <c r="BF490" s="800" t="str">
        <f t="shared" si="193"/>
        <v/>
      </c>
      <c r="BG490" s="802">
        <f t="shared" si="196"/>
        <v>0</v>
      </c>
      <c r="BH490" s="803" t="str">
        <f t="shared" si="197"/>
        <v/>
      </c>
      <c r="BI490" s="792"/>
      <c r="BJ490" s="804">
        <f t="shared" si="195"/>
        <v>0</v>
      </c>
      <c r="BK490" s="794" t="str">
        <f t="shared" si="194"/>
        <v/>
      </c>
      <c r="BL490" s="227" t="s">
        <v>21</v>
      </c>
      <c r="BM490" s="773">
        <f t="shared" si="183"/>
        <v>0</v>
      </c>
      <c r="BN490" s="774">
        <f t="shared" si="184"/>
        <v>0</v>
      </c>
      <c r="BO490"/>
      <c r="BX490"/>
      <c r="BY490"/>
      <c r="BZ490"/>
      <c r="CA490"/>
      <c r="CB490"/>
      <c r="CC490"/>
      <c r="CD490" s="781" t="str">
        <f t="shared" si="177"/>
        <v>►</v>
      </c>
      <c r="CE490" s="633"/>
      <c r="CF490" s="633"/>
      <c r="CG490" s="633"/>
      <c r="CH490" s="633"/>
      <c r="CI490" s="633"/>
      <c r="CJ490" s="227"/>
      <c r="CK490"/>
      <c r="CL490"/>
      <c r="CM490"/>
      <c r="CN490"/>
      <c r="CO490"/>
      <c r="CP490"/>
      <c r="CQ490"/>
      <c r="CR490" s="227"/>
      <c r="CS490"/>
      <c r="CT490"/>
      <c r="CU490"/>
      <c r="CV490"/>
      <c r="CW490"/>
      <c r="CX490"/>
      <c r="CY490"/>
      <c r="CZ490" s="227"/>
      <c r="DA490"/>
      <c r="DB490"/>
      <c r="DC490"/>
      <c r="DD490"/>
      <c r="DE490"/>
      <c r="DF490"/>
      <c r="DG490"/>
      <c r="DH490" s="227"/>
      <c r="DI490" s="3">
        <v>1</v>
      </c>
    </row>
    <row r="491" spans="2:113" s="627" customFormat="1" ht="21" customHeight="1">
      <c r="B491" s="2265" t="str" cm="1">
        <f t="array" ref="B491">SUMPRODUCT(--(D491:J491&lt;&gt;""), LEN(TRIM(SUBSTITUTE(D491:J491, CHAR(160), "")))) &amp; " Car."</f>
        <v>0 Car.</v>
      </c>
      <c r="C491" s="1376" t="str">
        <f>IF(ISBLANK(D491),"",LARGE(C13:C490,1)+1)</f>
        <v/>
      </c>
      <c r="D491" s="1833"/>
      <c r="E491" s="1810"/>
      <c r="F491" s="1810"/>
      <c r="G491" s="1810"/>
      <c r="H491" s="1810"/>
      <c r="I491" s="1810"/>
      <c r="J491" s="1810"/>
      <c r="K491" s="1810"/>
      <c r="L491" s="1811"/>
      <c r="M491"/>
      <c r="N491" s="103" t="str">
        <f t="shared" si="179"/>
        <v>►</v>
      </c>
      <c r="O491" s="1616"/>
      <c r="P491"/>
      <c r="Q491" s="25" t="s">
        <v>15</v>
      </c>
      <c r="R491" s="31"/>
      <c r="S491" s="32"/>
      <c r="T491" s="31"/>
      <c r="U491" s="33"/>
      <c r="V491" s="1967"/>
      <c r="W491" s="1805"/>
      <c r="X491" s="91"/>
      <c r="Y491" s="1806"/>
      <c r="Z491" s="1968"/>
      <c r="AA491" s="2244"/>
      <c r="AB491" s="1969"/>
      <c r="AC491" s="1365"/>
      <c r="AD491" s="95"/>
      <c r="AE491" s="1326"/>
      <c r="AF491" s="97"/>
      <c r="AG491" s="1737"/>
      <c r="AH491" s="1970"/>
      <c r="AI491" s="99"/>
      <c r="AJ491" s="1809"/>
      <c r="AK491" s="6120" t="str">
        <f t="shared" si="180"/>
        <v>►</v>
      </c>
      <c r="AL491" s="781" t="str">
        <f t="shared" si="182"/>
        <v>►</v>
      </c>
      <c r="AM491" s="5499" t="str">
        <f t="shared" si="185"/>
        <v/>
      </c>
      <c r="AN491" s="783" t="str">
        <f t="shared" si="186"/>
        <v/>
      </c>
      <c r="AO491" s="782" t="str">
        <f t="shared" si="187"/>
        <v/>
      </c>
      <c r="AP491" s="783" t="str">
        <f t="shared" si="188"/>
        <v/>
      </c>
      <c r="AQ491" s="2083" t="b">
        <f>AND(Q491="A",COUNTIF(BP16:BR63,TRIM(Z491))&gt;0)</f>
        <v>0</v>
      </c>
      <c r="AR491" s="797" t="str">
        <f>IF(AL491&lt;&gt;"A","",IFERROR(IFERROR(_xlfn.XLOOKUP(TRIM(SUBSTITUTE(Z491,CHAR(160)," ")),BP16:BP63,BS16:BS63),IFERROR(_xlfn.XLOOKUP(TRIM(SUBSTITUTE(Z491,CHAR(160)," ")),BQ16:BQ63,BS16:BS63),_xlfn.XLOOKUP(TRIM(SUBSTITUTE(Z491,CHAR(160)," ")),BR16:BR63,BS16:BS63)))*Y491*IF(ISBLANK(V491),1,V491),0))</f>
        <v/>
      </c>
      <c r="AS491" s="784" t="str">
        <f t="shared" si="178"/>
        <v/>
      </c>
      <c r="AT491" s="1315" t="str">
        <f t="shared" si="189"/>
        <v/>
      </c>
      <c r="AU491" s="785">
        <f t="shared" si="190"/>
        <v>0</v>
      </c>
      <c r="AV491" s="785">
        <f t="shared" si="191"/>
        <v>0</v>
      </c>
      <c r="AW491" s="786">
        <f>IF(AK491="A",AY10,0)</f>
        <v>0</v>
      </c>
      <c r="AX491" s="5495" t="str">
        <f>IF(IFERROR(SEARCH("Adresse PC",TRIM(W491)),0)&gt;0,"▼ receta siguiente",IF(AK491="A",IF(AZ10&lt;&gt;"",AZ10&amp;" - ou.or.o ❾ + or - &gt;",""),""))</f>
        <v/>
      </c>
      <c r="AY491" s="810"/>
      <c r="AZ491" s="810"/>
      <c r="BA491" s="788" t="str">
        <f t="shared" si="181"/>
        <v/>
      </c>
      <c r="BB491" s="789" t="str">
        <f>IF(AK491="A",IF(AQ491,IF(AND(AW491&lt;&gt;"",N(AW491)&gt;0),IFERROR(IFERROR(_xlfn.XLOOKUP(AP491,BP10:BP57,BT10:BT57),IFERROR(_xlfn.XLOOKUP(AP491,BQ10:BQ57,BT10:BT57),_xlfn.XLOOKUP(AP491,BR10:BR57,BT10:BT57,""))),""),""),""),"")</f>
        <v/>
      </c>
      <c r="BC491" s="811" cm="1">
        <f t="array" ref="BC491">IF(NOT(AQ491),0,IF(OR(BA491="",N(BA491)&lt;=0.000000001),"",IF(OR(AU491="",N(AU491)&lt;=0.000000001),0,IF(ISNUMBER(BA491),IFERROR(_xlfn.LET(_xlpm.ai_test,TRIM(AP491),_xlpm.r,IFERROR(_xlfn.XLOOKUP(_xlpm.ai_test,BP16:BP63,ROW(BP16:BP63),0,1),IFERROR(_xlfn.XLOOKUP(_xlpm.ai_test,BQ16:BQ63,ROW(BQ16:BQ63),0,1),_xlfn.XLOOKUP(_xlpm.ai_test,BR16:BR63,ROW(BR16:BR63),0,1))),_xlpm.p,_xlpm.r-MIN(ROW(BP16:BP63))+1,_xlpm.f,INDEX(BS16:BS63,_xlpm.p),_xlpm.u,INDEX(BT16:BT63,_xlpm.p),_xlpm.s,INDEX(BV16:BV63,_xlpm.p),_xlpm.q,N(BA491)/_xlpm.f,IF(_xlpm.q&gt;=_xlpm.s,ROUND(_xlpm.q,1)&amp;" "&amp;_xlpm.ai_test&amp;" = "&amp;ROUND(_xlpm.q*_xlpm.f,1)&amp;" "&amp;_xlpm.u,ROUND(_xlpm.q,1)&amp;" "&amp;_xlpm.ai_test)),""),""))))</f>
        <v>0</v>
      </c>
      <c r="BD491" s="801"/>
      <c r="BE491" s="788" t="str">
        <f t="shared" si="192"/>
        <v/>
      </c>
      <c r="BF491" s="789" t="str">
        <f t="shared" si="193"/>
        <v/>
      </c>
      <c r="BG491" s="790">
        <f t="shared" si="196"/>
        <v>0</v>
      </c>
      <c r="BH491" s="791" t="str">
        <f t="shared" si="197"/>
        <v/>
      </c>
      <c r="BI491" s="792"/>
      <c r="BJ491" s="793">
        <f t="shared" si="195"/>
        <v>0</v>
      </c>
      <c r="BK491" s="794" t="str">
        <f t="shared" si="194"/>
        <v/>
      </c>
      <c r="BL491" s="227" t="s">
        <v>21</v>
      </c>
      <c r="BM491" s="773">
        <f t="shared" si="183"/>
        <v>0</v>
      </c>
      <c r="BN491" s="774">
        <f t="shared" si="184"/>
        <v>0</v>
      </c>
      <c r="BO491"/>
      <c r="BX491"/>
      <c r="BY491"/>
      <c r="BZ491"/>
      <c r="CA491"/>
      <c r="CB491"/>
      <c r="CC491"/>
      <c r="CD491" s="781" t="str">
        <f t="shared" si="177"/>
        <v>►</v>
      </c>
      <c r="CE491" s="633"/>
      <c r="CF491" s="633"/>
      <c r="CG491" s="633"/>
      <c r="CH491" s="633"/>
      <c r="CI491" s="633"/>
      <c r="CJ491" s="227"/>
      <c r="CK491"/>
      <c r="CL491"/>
      <c r="CM491"/>
      <c r="CN491"/>
      <c r="CO491"/>
      <c r="CP491"/>
      <c r="CQ491"/>
      <c r="CR491" s="227"/>
      <c r="CS491"/>
      <c r="CT491"/>
      <c r="CU491"/>
      <c r="CV491"/>
      <c r="CW491"/>
      <c r="CX491"/>
      <c r="CY491"/>
      <c r="CZ491" s="227"/>
      <c r="DA491"/>
      <c r="DB491"/>
      <c r="DC491"/>
      <c r="DD491"/>
      <c r="DE491"/>
      <c r="DF491"/>
      <c r="DG491"/>
      <c r="DH491" s="227"/>
      <c r="DI491" s="3">
        <v>1</v>
      </c>
    </row>
    <row r="492" spans="2:113" s="627" customFormat="1" ht="21" customHeight="1">
      <c r="B492" s="2265" t="str" cm="1">
        <f t="array" ref="B492">SUMPRODUCT(--(D492:J492&lt;&gt;""), LEN(TRIM(SUBSTITUTE(D492:J492, CHAR(160), "")))) &amp; " Car."</f>
        <v>0 Car.</v>
      </c>
      <c r="C492" s="1376" t="str">
        <f>IF(ISBLANK(D492),"",LARGE(C13:C491,1)+1)</f>
        <v/>
      </c>
      <c r="D492" s="1833"/>
      <c r="E492" s="1810"/>
      <c r="F492" s="1810"/>
      <c r="G492" s="1810"/>
      <c r="H492" s="1810"/>
      <c r="I492" s="1810"/>
      <c r="J492" s="1810"/>
      <c r="K492" s="1810"/>
      <c r="L492" s="1811"/>
      <c r="M492"/>
      <c r="N492" s="103" t="str">
        <f t="shared" si="179"/>
        <v>►</v>
      </c>
      <c r="O492" s="1616"/>
      <c r="P492"/>
      <c r="Q492" s="25" t="s">
        <v>15</v>
      </c>
      <c r="R492" s="31"/>
      <c r="S492" s="32"/>
      <c r="T492" s="31"/>
      <c r="U492" s="33"/>
      <c r="V492" s="1967"/>
      <c r="W492" s="1805"/>
      <c r="X492" s="91"/>
      <c r="Y492" s="1806"/>
      <c r="Z492" s="1968"/>
      <c r="AA492" s="2244"/>
      <c r="AB492" s="1969"/>
      <c r="AC492" s="1365"/>
      <c r="AD492" s="95"/>
      <c r="AE492" s="1326"/>
      <c r="AF492" s="97"/>
      <c r="AG492" s="1737"/>
      <c r="AH492" s="1970"/>
      <c r="AI492" s="99"/>
      <c r="AJ492" s="1809"/>
      <c r="AK492" s="6120" t="str">
        <f t="shared" si="180"/>
        <v>►</v>
      </c>
      <c r="AL492" s="781" t="str">
        <f t="shared" si="182"/>
        <v>►</v>
      </c>
      <c r="AM492" s="5498" t="str">
        <f t="shared" si="185"/>
        <v/>
      </c>
      <c r="AN492" s="783" t="str">
        <f t="shared" si="186"/>
        <v/>
      </c>
      <c r="AO492" s="782" t="str">
        <f t="shared" si="187"/>
        <v/>
      </c>
      <c r="AP492" s="783" t="str">
        <f t="shared" si="188"/>
        <v/>
      </c>
      <c r="AQ492" s="2083" t="b">
        <f>AND(Q492="A",COUNTIF(BP16:BR63,TRIM(Z492))&gt;0)</f>
        <v>0</v>
      </c>
      <c r="AR492" s="797" t="str">
        <f>IF(AL492&lt;&gt;"A","",IFERROR(IFERROR(_xlfn.XLOOKUP(TRIM(SUBSTITUTE(Z492,CHAR(160)," ")),BP16:BP63,BS16:BS63),IFERROR(_xlfn.XLOOKUP(TRIM(SUBSTITUTE(Z492,CHAR(160)," ")),BQ16:BQ63,BS16:BS63),_xlfn.XLOOKUP(TRIM(SUBSTITUTE(Z492,CHAR(160)," ")),BR16:BR63,BS16:BS63)))*Y492*IF(ISBLANK(V492),1,V492),0))</f>
        <v/>
      </c>
      <c r="AS492" s="784" t="str">
        <f t="shared" si="178"/>
        <v/>
      </c>
      <c r="AT492" s="1315" t="str">
        <f t="shared" si="189"/>
        <v/>
      </c>
      <c r="AU492" s="785">
        <f t="shared" si="190"/>
        <v>0</v>
      </c>
      <c r="AV492" s="785">
        <f t="shared" si="191"/>
        <v>0</v>
      </c>
      <c r="AW492" s="798">
        <f>IF(AK492="A",AY10,0)</f>
        <v>0</v>
      </c>
      <c r="AX492" s="5496" t="str">
        <f>IF(IFERROR(SEARCH("Adresse PC",TRIM(W492)),0)&gt;0,"▼ receta siguiente",IF(AK492="A",IF(AZ10&lt;&gt;"",AZ10&amp;" - ou.or.o ❾ + or - &gt;",""),""))</f>
        <v/>
      </c>
      <c r="AY492" s="810"/>
      <c r="AZ492" s="810"/>
      <c r="BA492" s="799" t="str">
        <f t="shared" si="181"/>
        <v/>
      </c>
      <c r="BB492" s="800" t="str">
        <f>IF(AK492="A",IF(AQ492,IF(AND(AW492&lt;&gt;"",N(AW492)&gt;0),IFERROR(IFERROR(_xlfn.XLOOKUP(AP492,BP10:BP57,BT10:BT57),IFERROR(_xlfn.XLOOKUP(AP492,BQ10:BQ57,BT10:BT57),_xlfn.XLOOKUP(AP492,BR10:BR57,BT10:BT57,""))),""),""),""),"")</f>
        <v/>
      </c>
      <c r="BC492" s="813" cm="1">
        <f t="array" ref="BC492">IF(NOT(AQ492),0,IF(OR(BA492="",N(BA492)&lt;=0.000000001),"",IF(OR(AU492="",N(AU492)&lt;=0.000000001),0,IF(ISNUMBER(BA492),IFERROR(_xlfn.LET(_xlpm.ai_test,TRIM(AP492),_xlpm.r,IFERROR(_xlfn.XLOOKUP(_xlpm.ai_test,BP16:BP63,ROW(BP16:BP63),0,1),IFERROR(_xlfn.XLOOKUP(_xlpm.ai_test,BQ16:BQ63,ROW(BQ16:BQ63),0,1),_xlfn.XLOOKUP(_xlpm.ai_test,BR16:BR63,ROW(BR16:BR63),0,1))),_xlpm.p,_xlpm.r-MIN(ROW(BP16:BP63))+1,_xlpm.f,INDEX(BS16:BS63,_xlpm.p),_xlpm.u,INDEX(BT16:BT63,_xlpm.p),_xlpm.s,INDEX(BV16:BV63,_xlpm.p),_xlpm.q,N(BA492)/_xlpm.f,IF(_xlpm.q&gt;=_xlpm.s,ROUND(_xlpm.q,1)&amp;" "&amp;_xlpm.ai_test&amp;" = "&amp;ROUND(_xlpm.q*_xlpm.f,1)&amp;" "&amp;_xlpm.u,ROUND(_xlpm.q,1)&amp;" "&amp;_xlpm.ai_test)),""),""))))</f>
        <v>0</v>
      </c>
      <c r="BD492" s="801"/>
      <c r="BE492" s="799" t="str">
        <f t="shared" si="192"/>
        <v/>
      </c>
      <c r="BF492" s="800" t="str">
        <f t="shared" si="193"/>
        <v/>
      </c>
      <c r="BG492" s="802">
        <f t="shared" si="196"/>
        <v>0</v>
      </c>
      <c r="BH492" s="803" t="str">
        <f t="shared" si="197"/>
        <v/>
      </c>
      <c r="BI492" s="792"/>
      <c r="BJ492" s="804">
        <f t="shared" si="195"/>
        <v>0</v>
      </c>
      <c r="BK492" s="794" t="str">
        <f t="shared" si="194"/>
        <v/>
      </c>
      <c r="BL492" s="227" t="s">
        <v>21</v>
      </c>
      <c r="BM492" s="773">
        <f t="shared" si="183"/>
        <v>0</v>
      </c>
      <c r="BN492" s="774">
        <f t="shared" si="184"/>
        <v>0</v>
      </c>
      <c r="BO492"/>
      <c r="BX492"/>
      <c r="BY492"/>
      <c r="BZ492"/>
      <c r="CA492"/>
      <c r="CB492"/>
      <c r="CC492"/>
      <c r="CD492" s="781" t="str">
        <f t="shared" si="177"/>
        <v>►</v>
      </c>
      <c r="CE492" s="633"/>
      <c r="CF492" s="633"/>
      <c r="CG492" s="633"/>
      <c r="CH492" s="633"/>
      <c r="CI492" s="633"/>
      <c r="CJ492" s="227"/>
      <c r="CK492"/>
      <c r="CL492"/>
      <c r="CM492"/>
      <c r="CN492"/>
      <c r="CO492"/>
      <c r="CP492"/>
      <c r="CQ492"/>
      <c r="CR492" s="227"/>
      <c r="CS492"/>
      <c r="CT492"/>
      <c r="CU492"/>
      <c r="CV492"/>
      <c r="CW492"/>
      <c r="CX492"/>
      <c r="CY492"/>
      <c r="CZ492" s="227"/>
      <c r="DA492"/>
      <c r="DB492"/>
      <c r="DC492"/>
      <c r="DD492"/>
      <c r="DE492"/>
      <c r="DF492"/>
      <c r="DG492"/>
      <c r="DH492" s="227"/>
      <c r="DI492" s="3">
        <v>1</v>
      </c>
    </row>
    <row r="493" spans="2:113" s="627" customFormat="1" ht="21" customHeight="1">
      <c r="B493" s="2265" t="str" cm="1">
        <f t="array" ref="B493">SUMPRODUCT(--(D493:J493&lt;&gt;""), LEN(TRIM(SUBSTITUTE(D493:J493, CHAR(160), "")))) &amp; " Car."</f>
        <v>0 Car.</v>
      </c>
      <c r="C493" s="1376" t="str">
        <f>IF(ISBLANK(D493),"",LARGE(C13:C492,1)+1)</f>
        <v/>
      </c>
      <c r="D493" s="1833"/>
      <c r="E493" s="1810"/>
      <c r="F493" s="1810"/>
      <c r="G493" s="1810"/>
      <c r="H493" s="1810"/>
      <c r="I493" s="1810"/>
      <c r="J493" s="1810"/>
      <c r="K493" s="1810"/>
      <c r="L493" s="1811"/>
      <c r="M493"/>
      <c r="N493" s="103" t="str">
        <f t="shared" si="179"/>
        <v>►</v>
      </c>
      <c r="O493" s="1616"/>
      <c r="P493"/>
      <c r="Q493" s="25" t="s">
        <v>15</v>
      </c>
      <c r="R493" s="31"/>
      <c r="S493" s="32"/>
      <c r="T493" s="31"/>
      <c r="U493" s="33"/>
      <c r="V493" s="1967"/>
      <c r="W493" s="1805"/>
      <c r="X493" s="91"/>
      <c r="Y493" s="1806"/>
      <c r="Z493" s="1968"/>
      <c r="AA493" s="2244"/>
      <c r="AB493" s="1969"/>
      <c r="AC493" s="1365"/>
      <c r="AD493" s="95"/>
      <c r="AE493" s="1326"/>
      <c r="AF493" s="97"/>
      <c r="AG493" s="1737"/>
      <c r="AH493" s="1970"/>
      <c r="AI493" s="99"/>
      <c r="AJ493" s="1809"/>
      <c r="AK493" s="6120" t="str">
        <f t="shared" si="180"/>
        <v>►</v>
      </c>
      <c r="AL493" s="781" t="str">
        <f t="shared" si="182"/>
        <v>►</v>
      </c>
      <c r="AM493" s="5499" t="str">
        <f t="shared" si="185"/>
        <v/>
      </c>
      <c r="AN493" s="783" t="str">
        <f t="shared" si="186"/>
        <v/>
      </c>
      <c r="AO493" s="782" t="str">
        <f t="shared" si="187"/>
        <v/>
      </c>
      <c r="AP493" s="783" t="str">
        <f t="shared" si="188"/>
        <v/>
      </c>
      <c r="AQ493" s="2083" t="b">
        <f>AND(Q493="A",COUNTIF(BP16:BR63,TRIM(Z493))&gt;0)</f>
        <v>0</v>
      </c>
      <c r="AR493" s="797" t="str">
        <f>IF(AL493&lt;&gt;"A","",IFERROR(IFERROR(_xlfn.XLOOKUP(TRIM(SUBSTITUTE(Z493,CHAR(160)," ")),BP16:BP63,BS16:BS63),IFERROR(_xlfn.XLOOKUP(TRIM(SUBSTITUTE(Z493,CHAR(160)," ")),BQ16:BQ63,BS16:BS63),_xlfn.XLOOKUP(TRIM(SUBSTITUTE(Z493,CHAR(160)," ")),BR16:BR63,BS16:BS63)))*Y493*IF(ISBLANK(V493),1,V493),0))</f>
        <v/>
      </c>
      <c r="AS493" s="784" t="str">
        <f t="shared" si="178"/>
        <v/>
      </c>
      <c r="AT493" s="1315" t="str">
        <f t="shared" si="189"/>
        <v/>
      </c>
      <c r="AU493" s="785">
        <f t="shared" si="190"/>
        <v>0</v>
      </c>
      <c r="AV493" s="785">
        <f t="shared" si="191"/>
        <v>0</v>
      </c>
      <c r="AW493" s="786">
        <f>IF(AK493="A",AY10,0)</f>
        <v>0</v>
      </c>
      <c r="AX493" s="5495" t="str">
        <f>IF(IFERROR(SEARCH("Adresse PC",TRIM(W493)),0)&gt;0,"▼ receta siguiente",IF(AK493="A",IF(AZ10&lt;&gt;"",AZ10&amp;" - ou.or.o ❾ + or - &gt;",""),""))</f>
        <v/>
      </c>
      <c r="AY493" s="810"/>
      <c r="AZ493" s="810"/>
      <c r="BA493" s="788" t="str">
        <f t="shared" si="181"/>
        <v/>
      </c>
      <c r="BB493" s="789" t="str">
        <f>IF(AK493="A",IF(AQ493,IF(AND(AW493&lt;&gt;"",N(AW493)&gt;0),IFERROR(IFERROR(_xlfn.XLOOKUP(AP493,BP10:BP57,BT10:BT57),IFERROR(_xlfn.XLOOKUP(AP493,BQ10:BQ57,BT10:BT57),_xlfn.XLOOKUP(AP493,BR10:BR57,BT10:BT57,""))),""),""),""),"")</f>
        <v/>
      </c>
      <c r="BC493" s="811" cm="1">
        <f t="array" ref="BC493">IF(NOT(AQ493),0,IF(OR(BA493="",N(BA493)&lt;=0.000000001),"",IF(OR(AU493="",N(AU493)&lt;=0.000000001),0,IF(ISNUMBER(BA493),IFERROR(_xlfn.LET(_xlpm.ai_test,TRIM(AP493),_xlpm.r,IFERROR(_xlfn.XLOOKUP(_xlpm.ai_test,BP16:BP63,ROW(BP16:BP63),0,1),IFERROR(_xlfn.XLOOKUP(_xlpm.ai_test,BQ16:BQ63,ROW(BQ16:BQ63),0,1),_xlfn.XLOOKUP(_xlpm.ai_test,BR16:BR63,ROW(BR16:BR63),0,1))),_xlpm.p,_xlpm.r-MIN(ROW(BP16:BP63))+1,_xlpm.f,INDEX(BS16:BS63,_xlpm.p),_xlpm.u,INDEX(BT16:BT63,_xlpm.p),_xlpm.s,INDEX(BV16:BV63,_xlpm.p),_xlpm.q,N(BA493)/_xlpm.f,IF(_xlpm.q&gt;=_xlpm.s,ROUND(_xlpm.q,1)&amp;" "&amp;_xlpm.ai_test&amp;" = "&amp;ROUND(_xlpm.q*_xlpm.f,1)&amp;" "&amp;_xlpm.u,ROUND(_xlpm.q,1)&amp;" "&amp;_xlpm.ai_test)),""),""))))</f>
        <v>0</v>
      </c>
      <c r="BD493" s="801"/>
      <c r="BE493" s="788" t="str">
        <f t="shared" si="192"/>
        <v/>
      </c>
      <c r="BF493" s="789" t="str">
        <f t="shared" si="193"/>
        <v/>
      </c>
      <c r="BG493" s="790">
        <f t="shared" si="196"/>
        <v>0</v>
      </c>
      <c r="BH493" s="791" t="str">
        <f t="shared" si="197"/>
        <v/>
      </c>
      <c r="BI493" s="792"/>
      <c r="BJ493" s="793">
        <f t="shared" si="195"/>
        <v>0</v>
      </c>
      <c r="BK493" s="794" t="str">
        <f t="shared" si="194"/>
        <v/>
      </c>
      <c r="BL493" s="227" t="s">
        <v>21</v>
      </c>
      <c r="BM493" s="773">
        <f t="shared" si="183"/>
        <v>0</v>
      </c>
      <c r="BN493" s="774">
        <f t="shared" si="184"/>
        <v>0</v>
      </c>
      <c r="BO493"/>
      <c r="BX493"/>
      <c r="BY493"/>
      <c r="BZ493"/>
      <c r="CA493"/>
      <c r="CB493"/>
      <c r="CC493"/>
      <c r="CD493" s="781" t="str">
        <f t="shared" si="177"/>
        <v>►</v>
      </c>
      <c r="CE493" s="633"/>
      <c r="CF493" s="633"/>
      <c r="CG493" s="633"/>
      <c r="CH493" s="633"/>
      <c r="CI493" s="633"/>
      <c r="CJ493" s="227"/>
      <c r="CK493"/>
      <c r="CL493"/>
      <c r="CM493"/>
      <c r="CN493"/>
      <c r="CO493"/>
      <c r="CP493"/>
      <c r="CQ493"/>
      <c r="CR493" s="227"/>
      <c r="CS493"/>
      <c r="CT493"/>
      <c r="CU493"/>
      <c r="CV493"/>
      <c r="CW493"/>
      <c r="CX493"/>
      <c r="CY493"/>
      <c r="CZ493" s="227"/>
      <c r="DA493"/>
      <c r="DB493"/>
      <c r="DC493"/>
      <c r="DD493"/>
      <c r="DE493"/>
      <c r="DF493"/>
      <c r="DG493"/>
      <c r="DH493" s="227"/>
      <c r="DI493" s="3">
        <v>1</v>
      </c>
    </row>
    <row r="494" spans="2:113" s="627" customFormat="1" ht="21" customHeight="1">
      <c r="B494" s="2265" t="str" cm="1">
        <f t="array" ref="B494">SUMPRODUCT(--(D494:J494&lt;&gt;""), LEN(TRIM(SUBSTITUTE(D494:J494, CHAR(160), "")))) &amp; " Car."</f>
        <v>0 Car.</v>
      </c>
      <c r="C494" s="1376" t="str">
        <f>IF(ISBLANK(D494),"",LARGE(C13:C493,1)+1)</f>
        <v/>
      </c>
      <c r="D494" s="1833"/>
      <c r="E494" s="1810"/>
      <c r="F494" s="1810"/>
      <c r="G494" s="1810"/>
      <c r="H494" s="1810"/>
      <c r="I494" s="1810"/>
      <c r="J494" s="1810"/>
      <c r="K494" s="1810"/>
      <c r="L494" s="1811"/>
      <c r="M494"/>
      <c r="N494" s="103" t="str">
        <f t="shared" si="179"/>
        <v>►</v>
      </c>
      <c r="O494" s="1616"/>
      <c r="P494"/>
      <c r="Q494" s="25" t="s">
        <v>15</v>
      </c>
      <c r="R494" s="31"/>
      <c r="S494" s="32"/>
      <c r="T494" s="31"/>
      <c r="U494" s="33"/>
      <c r="V494" s="1967"/>
      <c r="W494" s="1805"/>
      <c r="X494" s="91"/>
      <c r="Y494" s="1806"/>
      <c r="Z494" s="1968"/>
      <c r="AA494" s="2244"/>
      <c r="AB494" s="1969"/>
      <c r="AC494" s="1365"/>
      <c r="AD494" s="95"/>
      <c r="AE494" s="1326"/>
      <c r="AF494" s="97"/>
      <c r="AG494" s="1737"/>
      <c r="AH494" s="1970"/>
      <c r="AI494" s="99"/>
      <c r="AJ494" s="1809"/>
      <c r="AK494" s="6120" t="str">
        <f t="shared" si="180"/>
        <v>►</v>
      </c>
      <c r="AL494" s="781" t="str">
        <f t="shared" si="182"/>
        <v>►</v>
      </c>
      <c r="AM494" s="5498" t="str">
        <f t="shared" si="185"/>
        <v/>
      </c>
      <c r="AN494" s="783" t="str">
        <f t="shared" si="186"/>
        <v/>
      </c>
      <c r="AO494" s="782" t="str">
        <f t="shared" si="187"/>
        <v/>
      </c>
      <c r="AP494" s="783" t="str">
        <f t="shared" si="188"/>
        <v/>
      </c>
      <c r="AQ494" s="2083" t="b">
        <f>AND(Q494="A",COUNTIF(BP16:BR63,TRIM(Z494))&gt;0)</f>
        <v>0</v>
      </c>
      <c r="AR494" s="797" t="str">
        <f>IF(AL494&lt;&gt;"A","",IFERROR(IFERROR(_xlfn.XLOOKUP(TRIM(SUBSTITUTE(Z494,CHAR(160)," ")),BP16:BP63,BS16:BS63),IFERROR(_xlfn.XLOOKUP(TRIM(SUBSTITUTE(Z494,CHAR(160)," ")),BQ16:BQ63,BS16:BS63),_xlfn.XLOOKUP(TRIM(SUBSTITUTE(Z494,CHAR(160)," ")),BR16:BR63,BS16:BS63)))*Y494*IF(ISBLANK(V494),1,V494),0))</f>
        <v/>
      </c>
      <c r="AS494" s="784" t="str">
        <f t="shared" si="178"/>
        <v/>
      </c>
      <c r="AT494" s="1315" t="str">
        <f t="shared" si="189"/>
        <v/>
      </c>
      <c r="AU494" s="785">
        <f t="shared" si="190"/>
        <v>0</v>
      </c>
      <c r="AV494" s="785">
        <f t="shared" si="191"/>
        <v>0</v>
      </c>
      <c r="AW494" s="798">
        <f>IF(AK494="A",AY10,0)</f>
        <v>0</v>
      </c>
      <c r="AX494" s="5496" t="str">
        <f>IF(IFERROR(SEARCH("Adresse PC",TRIM(W494)),0)&gt;0,"▼ receta siguiente",IF(AK494="A",IF(AZ10&lt;&gt;"",AZ10&amp;" - ou.or.o ❾ + or - &gt;",""),""))</f>
        <v/>
      </c>
      <c r="AY494" s="810"/>
      <c r="AZ494" s="810"/>
      <c r="BA494" s="799" t="str">
        <f t="shared" si="181"/>
        <v/>
      </c>
      <c r="BB494" s="800" t="str">
        <f>IF(AK494="A",IF(AQ494,IF(AND(AW494&lt;&gt;"",N(AW494)&gt;0),IFERROR(IFERROR(_xlfn.XLOOKUP(AP494,BP10:BP57,BT10:BT57),IFERROR(_xlfn.XLOOKUP(AP494,BQ10:BQ57,BT10:BT57),_xlfn.XLOOKUP(AP494,BR10:BR57,BT10:BT57,""))),""),""),""),"")</f>
        <v/>
      </c>
      <c r="BC494" s="813" cm="1">
        <f t="array" ref="BC494">IF(NOT(AQ494),0,IF(OR(BA494="",N(BA494)&lt;=0.000000001),"",IF(OR(AU494="",N(AU494)&lt;=0.000000001),0,IF(ISNUMBER(BA494),IFERROR(_xlfn.LET(_xlpm.ai_test,TRIM(AP494),_xlpm.r,IFERROR(_xlfn.XLOOKUP(_xlpm.ai_test,BP16:BP63,ROW(BP16:BP63),0,1),IFERROR(_xlfn.XLOOKUP(_xlpm.ai_test,BQ16:BQ63,ROW(BQ16:BQ63),0,1),_xlfn.XLOOKUP(_xlpm.ai_test,BR16:BR63,ROW(BR16:BR63),0,1))),_xlpm.p,_xlpm.r-MIN(ROW(BP16:BP63))+1,_xlpm.f,INDEX(BS16:BS63,_xlpm.p),_xlpm.u,INDEX(BT16:BT63,_xlpm.p),_xlpm.s,INDEX(BV16:BV63,_xlpm.p),_xlpm.q,N(BA494)/_xlpm.f,IF(_xlpm.q&gt;=_xlpm.s,ROUND(_xlpm.q,1)&amp;" "&amp;_xlpm.ai_test&amp;" = "&amp;ROUND(_xlpm.q*_xlpm.f,1)&amp;" "&amp;_xlpm.u,ROUND(_xlpm.q,1)&amp;" "&amp;_xlpm.ai_test)),""),""))))</f>
        <v>0</v>
      </c>
      <c r="BD494" s="801"/>
      <c r="BE494" s="799" t="str">
        <f t="shared" si="192"/>
        <v/>
      </c>
      <c r="BF494" s="800" t="str">
        <f t="shared" si="193"/>
        <v/>
      </c>
      <c r="BG494" s="802">
        <f t="shared" si="196"/>
        <v>0</v>
      </c>
      <c r="BH494" s="803" t="str">
        <f t="shared" si="197"/>
        <v/>
      </c>
      <c r="BI494" s="792"/>
      <c r="BJ494" s="804">
        <f t="shared" si="195"/>
        <v>0</v>
      </c>
      <c r="BK494" s="794" t="str">
        <f t="shared" si="194"/>
        <v/>
      </c>
      <c r="BL494" s="227" t="s">
        <v>21</v>
      </c>
      <c r="BM494" s="773">
        <f t="shared" si="183"/>
        <v>0</v>
      </c>
      <c r="BN494" s="774">
        <f t="shared" si="184"/>
        <v>0</v>
      </c>
      <c r="BO494"/>
      <c r="BX494"/>
      <c r="BY494"/>
      <c r="BZ494"/>
      <c r="CA494"/>
      <c r="CB494"/>
      <c r="CC494"/>
      <c r="CD494" s="781" t="str">
        <f t="shared" si="177"/>
        <v>►</v>
      </c>
      <c r="CE494" s="633"/>
      <c r="CF494" s="633"/>
      <c r="CG494" s="633"/>
      <c r="CH494" s="633"/>
      <c r="CI494" s="633"/>
      <c r="CJ494" s="227"/>
      <c r="CK494"/>
      <c r="CL494"/>
      <c r="CM494"/>
      <c r="CN494"/>
      <c r="CO494"/>
      <c r="CP494"/>
      <c r="CQ494"/>
      <c r="CR494" s="227"/>
      <c r="CS494"/>
      <c r="CT494"/>
      <c r="CU494"/>
      <c r="CV494"/>
      <c r="CW494"/>
      <c r="CX494"/>
      <c r="CY494"/>
      <c r="CZ494" s="227"/>
      <c r="DA494"/>
      <c r="DB494"/>
      <c r="DC494"/>
      <c r="DD494"/>
      <c r="DE494"/>
      <c r="DF494"/>
      <c r="DG494"/>
      <c r="DH494" s="227"/>
      <c r="DI494" s="3">
        <v>1</v>
      </c>
    </row>
    <row r="495" spans="2:113" s="627" customFormat="1" ht="21" customHeight="1">
      <c r="B495" s="2265" t="str" cm="1">
        <f t="array" ref="B495">SUMPRODUCT(--(D495:J495&lt;&gt;""), LEN(TRIM(SUBSTITUTE(D495:J495, CHAR(160), "")))) &amp; " Car."</f>
        <v>0 Car.</v>
      </c>
      <c r="C495" s="1376" t="str">
        <f>IF(ISBLANK(D495),"",LARGE(C13:C494,1)+1)</f>
        <v/>
      </c>
      <c r="D495" s="1833"/>
      <c r="E495" s="1810"/>
      <c r="F495" s="1810"/>
      <c r="G495" s="1810"/>
      <c r="H495" s="1810"/>
      <c r="I495" s="1810"/>
      <c r="J495" s="1810"/>
      <c r="K495" s="1810"/>
      <c r="L495" s="1811"/>
      <c r="M495"/>
      <c r="N495" s="103" t="str">
        <f t="shared" si="179"/>
        <v>►</v>
      </c>
      <c r="O495" s="1616"/>
      <c r="P495"/>
      <c r="Q495" s="25" t="s">
        <v>15</v>
      </c>
      <c r="R495" s="31"/>
      <c r="S495" s="32"/>
      <c r="T495" s="31"/>
      <c r="U495" s="33"/>
      <c r="V495" s="1967"/>
      <c r="W495" s="1805"/>
      <c r="X495" s="91"/>
      <c r="Y495" s="1806"/>
      <c r="Z495" s="1968"/>
      <c r="AA495" s="2244"/>
      <c r="AB495" s="1969"/>
      <c r="AC495" s="1365"/>
      <c r="AD495" s="95"/>
      <c r="AE495" s="1326"/>
      <c r="AF495" s="97"/>
      <c r="AG495" s="1737"/>
      <c r="AH495" s="1970"/>
      <c r="AI495" s="99"/>
      <c r="AJ495" s="1809"/>
      <c r="AK495" s="6120" t="str">
        <f t="shared" si="180"/>
        <v>►</v>
      </c>
      <c r="AL495" s="781" t="str">
        <f t="shared" si="182"/>
        <v>►</v>
      </c>
      <c r="AM495" s="5499" t="str">
        <f t="shared" si="185"/>
        <v/>
      </c>
      <c r="AN495" s="783" t="str">
        <f t="shared" si="186"/>
        <v/>
      </c>
      <c r="AO495" s="782" t="str">
        <f t="shared" si="187"/>
        <v/>
      </c>
      <c r="AP495" s="783" t="str">
        <f t="shared" si="188"/>
        <v/>
      </c>
      <c r="AQ495" s="2083" t="b">
        <f>AND(Q495="A",COUNTIF(BP16:BR63,TRIM(Z495))&gt;0)</f>
        <v>0</v>
      </c>
      <c r="AR495" s="797" t="str">
        <f>IF(AL495&lt;&gt;"A","",IFERROR(IFERROR(_xlfn.XLOOKUP(TRIM(SUBSTITUTE(Z495,CHAR(160)," ")),BP16:BP63,BS16:BS63),IFERROR(_xlfn.XLOOKUP(TRIM(SUBSTITUTE(Z495,CHAR(160)," ")),BQ16:BQ63,BS16:BS63),_xlfn.XLOOKUP(TRIM(SUBSTITUTE(Z495,CHAR(160)," ")),BR16:BR63,BS16:BS63)))*Y495*IF(ISBLANK(V495),1,V495),0))</f>
        <v/>
      </c>
      <c r="AS495" s="784" t="str">
        <f t="shared" si="178"/>
        <v/>
      </c>
      <c r="AT495" s="1315" t="str">
        <f t="shared" si="189"/>
        <v/>
      </c>
      <c r="AU495" s="785">
        <f t="shared" si="190"/>
        <v>0</v>
      </c>
      <c r="AV495" s="785">
        <f t="shared" si="191"/>
        <v>0</v>
      </c>
      <c r="AW495" s="786">
        <f>IF(AK495="A",AY10,0)</f>
        <v>0</v>
      </c>
      <c r="AX495" s="5495" t="str">
        <f>IF(IFERROR(SEARCH("Adresse PC",TRIM(W495)),0)&gt;0,"▼ receta siguiente",IF(AK495="A",IF(AZ10&lt;&gt;"",AZ10&amp;" - ou.or.o ❾ + or - &gt;",""),""))</f>
        <v/>
      </c>
      <c r="AY495" s="810"/>
      <c r="AZ495" s="810"/>
      <c r="BA495" s="788" t="str">
        <f t="shared" si="181"/>
        <v/>
      </c>
      <c r="BB495" s="789" t="str">
        <f>IF(AK495="A",IF(AQ495,IF(AND(AW495&lt;&gt;"",N(AW495)&gt;0),IFERROR(IFERROR(_xlfn.XLOOKUP(AP495,BP10:BP57,BT10:BT57),IFERROR(_xlfn.XLOOKUP(AP495,BQ10:BQ57,BT10:BT57),_xlfn.XLOOKUP(AP495,BR10:BR57,BT10:BT57,""))),""),""),""),"")</f>
        <v/>
      </c>
      <c r="BC495" s="811" cm="1">
        <f t="array" ref="BC495">IF(NOT(AQ495),0,IF(OR(BA495="",N(BA495)&lt;=0.000000001),"",IF(OR(AU495="",N(AU495)&lt;=0.000000001),0,IF(ISNUMBER(BA495),IFERROR(_xlfn.LET(_xlpm.ai_test,TRIM(AP495),_xlpm.r,IFERROR(_xlfn.XLOOKUP(_xlpm.ai_test,BP16:BP63,ROW(BP16:BP63),0,1),IFERROR(_xlfn.XLOOKUP(_xlpm.ai_test,BQ16:BQ63,ROW(BQ16:BQ63),0,1),_xlfn.XLOOKUP(_xlpm.ai_test,BR16:BR63,ROW(BR16:BR63),0,1))),_xlpm.p,_xlpm.r-MIN(ROW(BP16:BP63))+1,_xlpm.f,INDEX(BS16:BS63,_xlpm.p),_xlpm.u,INDEX(BT16:BT63,_xlpm.p),_xlpm.s,INDEX(BV16:BV63,_xlpm.p),_xlpm.q,N(BA495)/_xlpm.f,IF(_xlpm.q&gt;=_xlpm.s,ROUND(_xlpm.q,1)&amp;" "&amp;_xlpm.ai_test&amp;" = "&amp;ROUND(_xlpm.q*_xlpm.f,1)&amp;" "&amp;_xlpm.u,ROUND(_xlpm.q,1)&amp;" "&amp;_xlpm.ai_test)),""),""))))</f>
        <v>0</v>
      </c>
      <c r="BD495" s="801"/>
      <c r="BE495" s="788" t="str">
        <f t="shared" si="192"/>
        <v/>
      </c>
      <c r="BF495" s="789" t="str">
        <f t="shared" si="193"/>
        <v/>
      </c>
      <c r="BG495" s="790">
        <f t="shared" si="196"/>
        <v>0</v>
      </c>
      <c r="BH495" s="791" t="str">
        <f t="shared" si="197"/>
        <v/>
      </c>
      <c r="BI495" s="792"/>
      <c r="BJ495" s="793">
        <f t="shared" si="195"/>
        <v>0</v>
      </c>
      <c r="BK495" s="794" t="str">
        <f t="shared" si="194"/>
        <v/>
      </c>
      <c r="BL495" s="227" t="s">
        <v>21</v>
      </c>
      <c r="BM495" s="773">
        <f t="shared" si="183"/>
        <v>0</v>
      </c>
      <c r="BN495" s="774">
        <f t="shared" si="184"/>
        <v>0</v>
      </c>
      <c r="BO495"/>
      <c r="BX495"/>
      <c r="BY495"/>
      <c r="BZ495"/>
      <c r="CA495"/>
      <c r="CB495"/>
      <c r="CC495"/>
      <c r="CD495" s="781" t="str">
        <f t="shared" si="177"/>
        <v>►</v>
      </c>
      <c r="CE495" s="633"/>
      <c r="CF495" s="633"/>
      <c r="CG495" s="633"/>
      <c r="CH495" s="633"/>
      <c r="CI495" s="633"/>
      <c r="CJ495" s="227"/>
      <c r="CK495"/>
      <c r="CL495"/>
      <c r="CM495"/>
      <c r="CN495"/>
      <c r="CO495"/>
      <c r="CP495"/>
      <c r="CQ495"/>
      <c r="CR495" s="227"/>
      <c r="CS495"/>
      <c r="CT495"/>
      <c r="CU495"/>
      <c r="CV495"/>
      <c r="CW495"/>
      <c r="CX495"/>
      <c r="CY495"/>
      <c r="CZ495" s="227"/>
      <c r="DA495"/>
      <c r="DB495"/>
      <c r="DC495"/>
      <c r="DD495"/>
      <c r="DE495"/>
      <c r="DF495"/>
      <c r="DG495"/>
      <c r="DH495" s="227"/>
      <c r="DI495" s="3">
        <v>1</v>
      </c>
    </row>
    <row r="496" spans="2:113" s="627" customFormat="1" ht="21" customHeight="1">
      <c r="B496" s="2265" t="str" cm="1">
        <f t="array" ref="B496">SUMPRODUCT(--(D496:J496&lt;&gt;""), LEN(TRIM(SUBSTITUTE(D496:J496, CHAR(160), "")))) &amp; " Car."</f>
        <v>0 Car.</v>
      </c>
      <c r="C496" s="1376" t="str">
        <f>IF(ISBLANK(D496),"",LARGE(C13:C495,1)+1)</f>
        <v/>
      </c>
      <c r="D496" s="1833"/>
      <c r="E496" s="1810"/>
      <c r="F496" s="1810"/>
      <c r="G496" s="1810"/>
      <c r="H496" s="1810"/>
      <c r="I496" s="1810"/>
      <c r="J496" s="1810"/>
      <c r="K496" s="1810"/>
      <c r="L496" s="1811"/>
      <c r="M496"/>
      <c r="N496" s="103" t="str">
        <f t="shared" si="179"/>
        <v>►</v>
      </c>
      <c r="O496" s="1616"/>
      <c r="P496"/>
      <c r="Q496" s="25" t="s">
        <v>15</v>
      </c>
      <c r="R496" s="31"/>
      <c r="S496" s="32"/>
      <c r="T496" s="31"/>
      <c r="U496" s="33"/>
      <c r="V496" s="1967"/>
      <c r="W496" s="1805"/>
      <c r="X496" s="91"/>
      <c r="Y496" s="1806"/>
      <c r="Z496" s="1968"/>
      <c r="AA496" s="2244"/>
      <c r="AB496" s="1969"/>
      <c r="AC496" s="1365"/>
      <c r="AD496" s="95"/>
      <c r="AE496" s="1326"/>
      <c r="AF496" s="97"/>
      <c r="AG496" s="1737"/>
      <c r="AH496" s="1970"/>
      <c r="AI496" s="99"/>
      <c r="AJ496" s="1809"/>
      <c r="AK496" s="6120" t="str">
        <f t="shared" si="180"/>
        <v>►</v>
      </c>
      <c r="AL496" s="781" t="str">
        <f t="shared" si="182"/>
        <v>►</v>
      </c>
      <c r="AM496" s="5498" t="str">
        <f t="shared" si="185"/>
        <v/>
      </c>
      <c r="AN496" s="783" t="str">
        <f t="shared" si="186"/>
        <v/>
      </c>
      <c r="AO496" s="782" t="str">
        <f t="shared" si="187"/>
        <v/>
      </c>
      <c r="AP496" s="783" t="str">
        <f t="shared" si="188"/>
        <v/>
      </c>
      <c r="AQ496" s="2083" t="b">
        <f>AND(Q496="A",COUNTIF(BP16:BR63,TRIM(Z496))&gt;0)</f>
        <v>0</v>
      </c>
      <c r="AR496" s="797" t="str">
        <f>IF(AL496&lt;&gt;"A","",IFERROR(IFERROR(_xlfn.XLOOKUP(TRIM(SUBSTITUTE(Z496,CHAR(160)," ")),BP16:BP63,BS16:BS63),IFERROR(_xlfn.XLOOKUP(TRIM(SUBSTITUTE(Z496,CHAR(160)," ")),BQ16:BQ63,BS16:BS63),_xlfn.XLOOKUP(TRIM(SUBSTITUTE(Z496,CHAR(160)," ")),BR16:BR63,BS16:BS63)))*Y496*IF(ISBLANK(V496),1,V496),0))</f>
        <v/>
      </c>
      <c r="AS496" s="784" t="str">
        <f t="shared" si="178"/>
        <v/>
      </c>
      <c r="AT496" s="1315" t="str">
        <f t="shared" si="189"/>
        <v/>
      </c>
      <c r="AU496" s="785">
        <f t="shared" si="190"/>
        <v>0</v>
      </c>
      <c r="AV496" s="785">
        <f t="shared" si="191"/>
        <v>0</v>
      </c>
      <c r="AW496" s="798">
        <f>IF(AK496="A",AY10,0)</f>
        <v>0</v>
      </c>
      <c r="AX496" s="5496" t="str">
        <f>IF(IFERROR(SEARCH("Adresse PC",TRIM(W496)),0)&gt;0,"▼ receta siguiente",IF(AK496="A",IF(AZ10&lt;&gt;"",AZ10&amp;" - ou.or.o ❾ + or - &gt;",""),""))</f>
        <v/>
      </c>
      <c r="AY496" s="810"/>
      <c r="AZ496" s="810"/>
      <c r="BA496" s="799" t="str">
        <f t="shared" si="181"/>
        <v/>
      </c>
      <c r="BB496" s="800" t="str">
        <f>IF(AK496="A",IF(AQ496,IF(AND(AW496&lt;&gt;"",N(AW496)&gt;0),IFERROR(IFERROR(_xlfn.XLOOKUP(AP496,BP10:BP57,BT10:BT57),IFERROR(_xlfn.XLOOKUP(AP496,BQ10:BQ57,BT10:BT57),_xlfn.XLOOKUP(AP496,BR10:BR57,BT10:BT57,""))),""),""),""),"")</f>
        <v/>
      </c>
      <c r="BC496" s="813" cm="1">
        <f t="array" ref="BC496">IF(NOT(AQ496),0,IF(OR(BA496="",N(BA496)&lt;=0.000000001),"",IF(OR(AU496="",N(AU496)&lt;=0.000000001),0,IF(ISNUMBER(BA496),IFERROR(_xlfn.LET(_xlpm.ai_test,TRIM(AP496),_xlpm.r,IFERROR(_xlfn.XLOOKUP(_xlpm.ai_test,BP16:BP63,ROW(BP16:BP63),0,1),IFERROR(_xlfn.XLOOKUP(_xlpm.ai_test,BQ16:BQ63,ROW(BQ16:BQ63),0,1),_xlfn.XLOOKUP(_xlpm.ai_test,BR16:BR63,ROW(BR16:BR63),0,1))),_xlpm.p,_xlpm.r-MIN(ROW(BP16:BP63))+1,_xlpm.f,INDEX(BS16:BS63,_xlpm.p),_xlpm.u,INDEX(BT16:BT63,_xlpm.p),_xlpm.s,INDEX(BV16:BV63,_xlpm.p),_xlpm.q,N(BA496)/_xlpm.f,IF(_xlpm.q&gt;=_xlpm.s,ROUND(_xlpm.q,1)&amp;" "&amp;_xlpm.ai_test&amp;" = "&amp;ROUND(_xlpm.q*_xlpm.f,1)&amp;" "&amp;_xlpm.u,ROUND(_xlpm.q,1)&amp;" "&amp;_xlpm.ai_test)),""),""))))</f>
        <v>0</v>
      </c>
      <c r="BD496" s="801"/>
      <c r="BE496" s="799" t="str">
        <f t="shared" si="192"/>
        <v/>
      </c>
      <c r="BF496" s="800" t="str">
        <f t="shared" si="193"/>
        <v/>
      </c>
      <c r="BG496" s="802">
        <f t="shared" si="196"/>
        <v>0</v>
      </c>
      <c r="BH496" s="803" t="str">
        <f t="shared" si="197"/>
        <v/>
      </c>
      <c r="BI496" s="792"/>
      <c r="BJ496" s="804">
        <f t="shared" si="195"/>
        <v>0</v>
      </c>
      <c r="BK496" s="794" t="str">
        <f t="shared" si="194"/>
        <v/>
      </c>
      <c r="BL496" s="227" t="s">
        <v>21</v>
      </c>
      <c r="BM496" s="773">
        <f t="shared" si="183"/>
        <v>0</v>
      </c>
      <c r="BN496" s="774">
        <f t="shared" si="184"/>
        <v>0</v>
      </c>
      <c r="BO496"/>
      <c r="BX496"/>
      <c r="BY496"/>
      <c r="BZ496"/>
      <c r="CA496"/>
      <c r="CB496"/>
      <c r="CC496"/>
      <c r="CD496" s="781" t="str">
        <f t="shared" si="177"/>
        <v>►</v>
      </c>
      <c r="CE496" s="633"/>
      <c r="CF496" s="633"/>
      <c r="CG496" s="633"/>
      <c r="CH496" s="633"/>
      <c r="CI496" s="633"/>
      <c r="CJ496" s="227"/>
      <c r="CK496"/>
      <c r="CL496"/>
      <c r="CM496"/>
      <c r="CN496"/>
      <c r="CO496"/>
      <c r="CP496"/>
      <c r="CQ496"/>
      <c r="CR496" s="227"/>
      <c r="CS496"/>
      <c r="CT496"/>
      <c r="CU496"/>
      <c r="CV496"/>
      <c r="CW496"/>
      <c r="CX496"/>
      <c r="CY496"/>
      <c r="CZ496" s="227"/>
      <c r="DA496"/>
      <c r="DB496"/>
      <c r="DC496"/>
      <c r="DD496"/>
      <c r="DE496"/>
      <c r="DF496"/>
      <c r="DG496"/>
      <c r="DH496" s="227"/>
      <c r="DI496" s="3">
        <v>1</v>
      </c>
    </row>
    <row r="497" spans="2:113" s="627" customFormat="1" ht="21" customHeight="1">
      <c r="B497" s="2265" t="str" cm="1">
        <f t="array" ref="B497">SUMPRODUCT(--(D497:J497&lt;&gt;""), LEN(TRIM(SUBSTITUTE(D497:J497, CHAR(160), "")))) &amp; " Car."</f>
        <v>0 Car.</v>
      </c>
      <c r="C497" s="1376" t="str">
        <f>IF(ISBLANK(D497),"",LARGE(C13:C496,1)+1)</f>
        <v/>
      </c>
      <c r="D497" s="1833"/>
      <c r="E497" s="1810"/>
      <c r="F497" s="1810"/>
      <c r="G497" s="1810"/>
      <c r="H497" s="1810"/>
      <c r="I497" s="1810"/>
      <c r="J497" s="1810"/>
      <c r="K497" s="1810"/>
      <c r="L497" s="1811"/>
      <c r="M497"/>
      <c r="N497" s="103" t="str">
        <f t="shared" si="179"/>
        <v>►</v>
      </c>
      <c r="O497" s="1616"/>
      <c r="P497"/>
      <c r="Q497" s="25" t="s">
        <v>15</v>
      </c>
      <c r="R497" s="31"/>
      <c r="S497" s="32"/>
      <c r="T497" s="31"/>
      <c r="U497" s="33"/>
      <c r="V497" s="1967"/>
      <c r="W497" s="1805"/>
      <c r="X497" s="91"/>
      <c r="Y497" s="1806"/>
      <c r="Z497" s="1968"/>
      <c r="AA497" s="2244"/>
      <c r="AB497" s="1969"/>
      <c r="AC497" s="1365"/>
      <c r="AD497" s="95"/>
      <c r="AE497" s="1326"/>
      <c r="AF497" s="97"/>
      <c r="AG497" s="1737"/>
      <c r="AH497" s="1970"/>
      <c r="AI497" s="99"/>
      <c r="AJ497" s="1809"/>
      <c r="AK497" s="6120" t="str">
        <f t="shared" si="180"/>
        <v>►</v>
      </c>
      <c r="AL497" s="781" t="str">
        <f t="shared" si="182"/>
        <v>►</v>
      </c>
      <c r="AM497" s="5499" t="str">
        <f t="shared" si="185"/>
        <v/>
      </c>
      <c r="AN497" s="783" t="str">
        <f t="shared" si="186"/>
        <v/>
      </c>
      <c r="AO497" s="782" t="str">
        <f t="shared" si="187"/>
        <v/>
      </c>
      <c r="AP497" s="783" t="str">
        <f t="shared" si="188"/>
        <v/>
      </c>
      <c r="AQ497" s="2083" t="b">
        <f>AND(Q497="A",COUNTIF(BP16:BR63,TRIM(Z497))&gt;0)</f>
        <v>0</v>
      </c>
      <c r="AR497" s="797" t="str">
        <f>IF(AL497&lt;&gt;"A","",IFERROR(IFERROR(_xlfn.XLOOKUP(TRIM(SUBSTITUTE(Z497,CHAR(160)," ")),BP16:BP63,BS16:BS63),IFERROR(_xlfn.XLOOKUP(TRIM(SUBSTITUTE(Z497,CHAR(160)," ")),BQ16:BQ63,BS16:BS63),_xlfn.XLOOKUP(TRIM(SUBSTITUTE(Z497,CHAR(160)," ")),BR16:BR63,BS16:BS63)))*Y497*IF(ISBLANK(V497),1,V497),0))</f>
        <v/>
      </c>
      <c r="AS497" s="784" t="str">
        <f t="shared" si="178"/>
        <v/>
      </c>
      <c r="AT497" s="1315" t="str">
        <f t="shared" si="189"/>
        <v/>
      </c>
      <c r="AU497" s="785">
        <f t="shared" si="190"/>
        <v>0</v>
      </c>
      <c r="AV497" s="785">
        <f t="shared" si="191"/>
        <v>0</v>
      </c>
      <c r="AW497" s="786">
        <f>IF(AK497="A",AY10,0)</f>
        <v>0</v>
      </c>
      <c r="AX497" s="5495" t="str">
        <f>IF(IFERROR(SEARCH("Adresse PC",TRIM(W497)),0)&gt;0,"▼ receta siguiente",IF(AK497="A",IF(AZ10&lt;&gt;"",AZ10&amp;" - ou.or.o ❾ + or - &gt;",""),""))</f>
        <v/>
      </c>
      <c r="AY497" s="810"/>
      <c r="AZ497" s="810"/>
      <c r="BA497" s="788" t="str">
        <f t="shared" si="181"/>
        <v/>
      </c>
      <c r="BB497" s="789" t="str">
        <f>IF(AK497="A",IF(AQ497,IF(AND(AW497&lt;&gt;"",N(AW497)&gt;0),IFERROR(IFERROR(_xlfn.XLOOKUP(AP497,BP10:BP57,BT10:BT57),IFERROR(_xlfn.XLOOKUP(AP497,BQ10:BQ57,BT10:BT57),_xlfn.XLOOKUP(AP497,BR10:BR57,BT10:BT57,""))),""),""),""),"")</f>
        <v/>
      </c>
      <c r="BC497" s="811" cm="1">
        <f t="array" ref="BC497">IF(NOT(AQ497),0,IF(OR(BA497="",N(BA497)&lt;=0.000000001),"",IF(OR(AU497="",N(AU497)&lt;=0.000000001),0,IF(ISNUMBER(BA497),IFERROR(_xlfn.LET(_xlpm.ai_test,TRIM(AP497),_xlpm.r,IFERROR(_xlfn.XLOOKUP(_xlpm.ai_test,BP16:BP63,ROW(BP16:BP63),0,1),IFERROR(_xlfn.XLOOKUP(_xlpm.ai_test,BQ16:BQ63,ROW(BQ16:BQ63),0,1),_xlfn.XLOOKUP(_xlpm.ai_test,BR16:BR63,ROW(BR16:BR63),0,1))),_xlpm.p,_xlpm.r-MIN(ROW(BP16:BP63))+1,_xlpm.f,INDEX(BS16:BS63,_xlpm.p),_xlpm.u,INDEX(BT16:BT63,_xlpm.p),_xlpm.s,INDEX(BV16:BV63,_xlpm.p),_xlpm.q,N(BA497)/_xlpm.f,IF(_xlpm.q&gt;=_xlpm.s,ROUND(_xlpm.q,1)&amp;" "&amp;_xlpm.ai_test&amp;" = "&amp;ROUND(_xlpm.q*_xlpm.f,1)&amp;" "&amp;_xlpm.u,ROUND(_xlpm.q,1)&amp;" "&amp;_xlpm.ai_test)),""),""))))</f>
        <v>0</v>
      </c>
      <c r="BD497" s="801"/>
      <c r="BE497" s="788" t="str">
        <f t="shared" si="192"/>
        <v/>
      </c>
      <c r="BF497" s="789" t="str">
        <f t="shared" si="193"/>
        <v/>
      </c>
      <c r="BG497" s="790">
        <f t="shared" si="196"/>
        <v>0</v>
      </c>
      <c r="BH497" s="791" t="str">
        <f t="shared" si="197"/>
        <v/>
      </c>
      <c r="BI497" s="792"/>
      <c r="BJ497" s="793">
        <f t="shared" si="195"/>
        <v>0</v>
      </c>
      <c r="BK497" s="794" t="str">
        <f t="shared" si="194"/>
        <v/>
      </c>
      <c r="BL497" s="227" t="s">
        <v>21</v>
      </c>
      <c r="BM497" s="773">
        <f t="shared" si="183"/>
        <v>0</v>
      </c>
      <c r="BN497" s="774">
        <f t="shared" si="184"/>
        <v>0</v>
      </c>
      <c r="BO497"/>
      <c r="BX497"/>
      <c r="BY497"/>
      <c r="BZ497"/>
      <c r="CA497"/>
      <c r="CB497"/>
      <c r="CC497"/>
      <c r="CD497" s="781" t="str">
        <f t="shared" si="177"/>
        <v>►</v>
      </c>
      <c r="CE497" s="633"/>
      <c r="CF497" s="633"/>
      <c r="CG497" s="633"/>
      <c r="CH497" s="633"/>
      <c r="CI497" s="633"/>
      <c r="CJ497" s="227"/>
      <c r="CK497"/>
      <c r="CL497"/>
      <c r="CM497"/>
      <c r="CN497"/>
      <c r="CO497"/>
      <c r="CP497"/>
      <c r="CQ497"/>
      <c r="CR497" s="227"/>
      <c r="CS497"/>
      <c r="CT497"/>
      <c r="CU497"/>
      <c r="CV497"/>
      <c r="CW497"/>
      <c r="CX497"/>
      <c r="CY497"/>
      <c r="CZ497" s="227"/>
      <c r="DA497"/>
      <c r="DB497"/>
      <c r="DC497"/>
      <c r="DD497"/>
      <c r="DE497"/>
      <c r="DF497"/>
      <c r="DG497"/>
      <c r="DH497" s="227"/>
      <c r="DI497" s="3">
        <v>1</v>
      </c>
    </row>
    <row r="498" spans="2:113" s="627" customFormat="1" ht="21" customHeight="1">
      <c r="B498" s="2265" t="str" cm="1">
        <f t="array" ref="B498">SUMPRODUCT(--(D498:J498&lt;&gt;""), LEN(TRIM(SUBSTITUTE(D498:J498, CHAR(160), "")))) &amp; " Car."</f>
        <v>0 Car.</v>
      </c>
      <c r="C498" s="1376" t="str">
        <f>IF(ISBLANK(D498),"",LARGE(C13:C497,1)+1)</f>
        <v/>
      </c>
      <c r="D498" s="1833"/>
      <c r="E498" s="1810"/>
      <c r="F498" s="1810"/>
      <c r="G498" s="1810"/>
      <c r="H498" s="1810"/>
      <c r="I498" s="1810"/>
      <c r="J498" s="1810"/>
      <c r="K498" s="1810"/>
      <c r="L498" s="1811"/>
      <c r="M498"/>
      <c r="N498" s="103" t="str">
        <f t="shared" si="179"/>
        <v>►</v>
      </c>
      <c r="O498" s="1616"/>
      <c r="P498"/>
      <c r="Q498" s="25" t="s">
        <v>15</v>
      </c>
      <c r="R498" s="31"/>
      <c r="S498" s="32"/>
      <c r="T498" s="31"/>
      <c r="U498" s="33"/>
      <c r="V498" s="1967"/>
      <c r="W498" s="1805"/>
      <c r="X498" s="91"/>
      <c r="Y498" s="1806"/>
      <c r="Z498" s="1968"/>
      <c r="AA498" s="2244"/>
      <c r="AB498" s="1969"/>
      <c r="AC498" s="1365"/>
      <c r="AD498" s="95"/>
      <c r="AE498" s="1326"/>
      <c r="AF498" s="97"/>
      <c r="AG498" s="1737"/>
      <c r="AH498" s="1970"/>
      <c r="AI498" s="99"/>
      <c r="AJ498" s="1809"/>
      <c r="AK498" s="6120" t="str">
        <f t="shared" si="180"/>
        <v>►</v>
      </c>
      <c r="AL498" s="781" t="str">
        <f t="shared" si="182"/>
        <v>►</v>
      </c>
      <c r="AM498" s="5498" t="str">
        <f t="shared" si="185"/>
        <v/>
      </c>
      <c r="AN498" s="783" t="str">
        <f t="shared" si="186"/>
        <v/>
      </c>
      <c r="AO498" s="782" t="str">
        <f t="shared" si="187"/>
        <v/>
      </c>
      <c r="AP498" s="783" t="str">
        <f t="shared" si="188"/>
        <v/>
      </c>
      <c r="AQ498" s="2083" t="b">
        <f>AND(Q498="A",COUNTIF(BP16:BR63,TRIM(Z498))&gt;0)</f>
        <v>0</v>
      </c>
      <c r="AR498" s="797" t="str">
        <f>IF(AL498&lt;&gt;"A","",IFERROR(IFERROR(_xlfn.XLOOKUP(TRIM(SUBSTITUTE(Z498,CHAR(160)," ")),BP16:BP63,BS16:BS63),IFERROR(_xlfn.XLOOKUP(TRIM(SUBSTITUTE(Z498,CHAR(160)," ")),BQ16:BQ63,BS16:BS63),_xlfn.XLOOKUP(TRIM(SUBSTITUTE(Z498,CHAR(160)," ")),BR16:BR63,BS16:BS63)))*Y498*IF(ISBLANK(V498),1,V498),0))</f>
        <v/>
      </c>
      <c r="AS498" s="784" t="str">
        <f t="shared" si="178"/>
        <v/>
      </c>
      <c r="AT498" s="1315" t="str">
        <f t="shared" si="189"/>
        <v/>
      </c>
      <c r="AU498" s="785">
        <f t="shared" si="190"/>
        <v>0</v>
      </c>
      <c r="AV498" s="785">
        <f t="shared" si="191"/>
        <v>0</v>
      </c>
      <c r="AW498" s="798">
        <f>IF(AK498="A",AY10,0)</f>
        <v>0</v>
      </c>
      <c r="AX498" s="5496" t="str">
        <f>IF(IFERROR(SEARCH("Adresse PC",TRIM(W498)),0)&gt;0,"▼ receta siguiente",IF(AK498="A",IF(AZ10&lt;&gt;"",AZ10&amp;" - ou.or.o ❾ + or - &gt;",""),""))</f>
        <v/>
      </c>
      <c r="AY498" s="810"/>
      <c r="AZ498" s="810"/>
      <c r="BA498" s="799" t="str">
        <f t="shared" si="181"/>
        <v/>
      </c>
      <c r="BB498" s="800" t="str">
        <f>IF(AK498="A",IF(AQ498,IF(AND(AW498&lt;&gt;"",N(AW498)&gt;0),IFERROR(IFERROR(_xlfn.XLOOKUP(AP498,BP10:BP57,BT10:BT57),IFERROR(_xlfn.XLOOKUP(AP498,BQ10:BQ57,BT10:BT57),_xlfn.XLOOKUP(AP498,BR10:BR57,BT10:BT57,""))),""),""),""),"")</f>
        <v/>
      </c>
      <c r="BC498" s="813" cm="1">
        <f t="array" ref="BC498">IF(NOT(AQ498),0,IF(OR(BA498="",N(BA498)&lt;=0.000000001),"",IF(OR(AU498="",N(AU498)&lt;=0.000000001),0,IF(ISNUMBER(BA498),IFERROR(_xlfn.LET(_xlpm.ai_test,TRIM(AP498),_xlpm.r,IFERROR(_xlfn.XLOOKUP(_xlpm.ai_test,BP16:BP63,ROW(BP16:BP63),0,1),IFERROR(_xlfn.XLOOKUP(_xlpm.ai_test,BQ16:BQ63,ROW(BQ16:BQ63),0,1),_xlfn.XLOOKUP(_xlpm.ai_test,BR16:BR63,ROW(BR16:BR63),0,1))),_xlpm.p,_xlpm.r-MIN(ROW(BP16:BP63))+1,_xlpm.f,INDEX(BS16:BS63,_xlpm.p),_xlpm.u,INDEX(BT16:BT63,_xlpm.p),_xlpm.s,INDEX(BV16:BV63,_xlpm.p),_xlpm.q,N(BA498)/_xlpm.f,IF(_xlpm.q&gt;=_xlpm.s,ROUND(_xlpm.q,1)&amp;" "&amp;_xlpm.ai_test&amp;" = "&amp;ROUND(_xlpm.q*_xlpm.f,1)&amp;" "&amp;_xlpm.u,ROUND(_xlpm.q,1)&amp;" "&amp;_xlpm.ai_test)),""),""))))</f>
        <v>0</v>
      </c>
      <c r="BD498" s="801"/>
      <c r="BE498" s="799" t="str">
        <f t="shared" si="192"/>
        <v/>
      </c>
      <c r="BF498" s="800" t="str">
        <f t="shared" si="193"/>
        <v/>
      </c>
      <c r="BG498" s="802">
        <f t="shared" si="196"/>
        <v>0</v>
      </c>
      <c r="BH498" s="803" t="str">
        <f t="shared" si="197"/>
        <v/>
      </c>
      <c r="BI498" s="792"/>
      <c r="BJ498" s="804">
        <f t="shared" si="195"/>
        <v>0</v>
      </c>
      <c r="BK498" s="794" t="str">
        <f t="shared" si="194"/>
        <v/>
      </c>
      <c r="BL498" s="227" t="s">
        <v>21</v>
      </c>
      <c r="BM498" s="773">
        <f t="shared" si="183"/>
        <v>0</v>
      </c>
      <c r="BN498" s="774">
        <f t="shared" si="184"/>
        <v>0</v>
      </c>
      <c r="BO498"/>
      <c r="BX498"/>
      <c r="BY498"/>
      <c r="BZ498"/>
      <c r="CA498"/>
      <c r="CB498"/>
      <c r="CC498"/>
      <c r="CD498" s="781" t="str">
        <f t="shared" si="177"/>
        <v>►</v>
      </c>
      <c r="CE498" s="633"/>
      <c r="CF498" s="633"/>
      <c r="CG498" s="633"/>
      <c r="CH498" s="633"/>
      <c r="CI498" s="633"/>
      <c r="CJ498" s="227"/>
      <c r="CK498"/>
      <c r="CL498"/>
      <c r="CM498"/>
      <c r="CN498"/>
      <c r="CO498"/>
      <c r="CP498"/>
      <c r="CQ498"/>
      <c r="CR498" s="227"/>
      <c r="CS498"/>
      <c r="CT498"/>
      <c r="CU498"/>
      <c r="CV498"/>
      <c r="CW498"/>
      <c r="CX498"/>
      <c r="CY498"/>
      <c r="CZ498" s="227"/>
      <c r="DA498"/>
      <c r="DB498"/>
      <c r="DC498"/>
      <c r="DD498"/>
      <c r="DE498"/>
      <c r="DF498"/>
      <c r="DG498"/>
      <c r="DH498" s="227"/>
      <c r="DI498" s="3">
        <v>1</v>
      </c>
    </row>
    <row r="499" spans="2:113" s="627" customFormat="1" ht="21" customHeight="1">
      <c r="B499" s="2265" t="str" cm="1">
        <f t="array" ref="B499">SUMPRODUCT(--(D499:J499&lt;&gt;""), LEN(TRIM(SUBSTITUTE(D499:J499, CHAR(160), "")))) &amp; " Car."</f>
        <v>0 Car.</v>
      </c>
      <c r="C499" s="1376" t="str">
        <f>IF(ISBLANK(D499),"",LARGE(C13:C498,1)+1)</f>
        <v/>
      </c>
      <c r="D499" s="1833"/>
      <c r="E499" s="1810"/>
      <c r="F499" s="1810"/>
      <c r="G499" s="1810"/>
      <c r="H499" s="1810"/>
      <c r="I499" s="1810"/>
      <c r="J499" s="1810"/>
      <c r="K499" s="1810"/>
      <c r="L499" s="1811"/>
      <c r="M499"/>
      <c r="N499" s="103" t="str">
        <f t="shared" si="179"/>
        <v>►</v>
      </c>
      <c r="O499" s="1616"/>
      <c r="P499"/>
      <c r="Q499" s="25" t="s">
        <v>15</v>
      </c>
      <c r="R499" s="31"/>
      <c r="S499" s="32"/>
      <c r="T499" s="31"/>
      <c r="U499" s="33"/>
      <c r="V499" s="1967"/>
      <c r="W499" s="1805"/>
      <c r="X499" s="91"/>
      <c r="Y499" s="1806"/>
      <c r="Z499" s="1968"/>
      <c r="AA499" s="2244"/>
      <c r="AB499" s="1969"/>
      <c r="AC499" s="1365"/>
      <c r="AD499" s="95"/>
      <c r="AE499" s="1326"/>
      <c r="AF499" s="97"/>
      <c r="AG499" s="1737"/>
      <c r="AH499" s="1970"/>
      <c r="AI499" s="99"/>
      <c r="AJ499" s="1809"/>
      <c r="AK499" s="6120" t="str">
        <f t="shared" si="180"/>
        <v>►</v>
      </c>
      <c r="AL499" s="781" t="str">
        <f t="shared" si="182"/>
        <v>►</v>
      </c>
      <c r="AM499" s="5499" t="str">
        <f t="shared" si="185"/>
        <v/>
      </c>
      <c r="AN499" s="783" t="str">
        <f t="shared" si="186"/>
        <v/>
      </c>
      <c r="AO499" s="782" t="str">
        <f t="shared" si="187"/>
        <v/>
      </c>
      <c r="AP499" s="783" t="str">
        <f t="shared" si="188"/>
        <v/>
      </c>
      <c r="AQ499" s="2083" t="b">
        <f>AND(Q499="A",COUNTIF(BP16:BR63,TRIM(Z499))&gt;0)</f>
        <v>0</v>
      </c>
      <c r="AR499" s="797" t="str">
        <f>IF(AL499&lt;&gt;"A","",IFERROR(IFERROR(_xlfn.XLOOKUP(TRIM(SUBSTITUTE(Z499,CHAR(160)," ")),BP16:BP63,BS16:BS63),IFERROR(_xlfn.XLOOKUP(TRIM(SUBSTITUTE(Z499,CHAR(160)," ")),BQ16:BQ63,BS16:BS63),_xlfn.XLOOKUP(TRIM(SUBSTITUTE(Z499,CHAR(160)," ")),BR16:BR63,BS16:BS63)))*Y499*IF(ISBLANK(V499),1,V499),0))</f>
        <v/>
      </c>
      <c r="AS499" s="784" t="str">
        <f t="shared" si="178"/>
        <v/>
      </c>
      <c r="AT499" s="1315" t="str">
        <f t="shared" si="189"/>
        <v/>
      </c>
      <c r="AU499" s="785">
        <f t="shared" si="190"/>
        <v>0</v>
      </c>
      <c r="AV499" s="785">
        <f t="shared" si="191"/>
        <v>0</v>
      </c>
      <c r="AW499" s="786">
        <f>IF(AK499="A",AY10,0)</f>
        <v>0</v>
      </c>
      <c r="AX499" s="5495" t="str">
        <f>IF(IFERROR(SEARCH("Adresse PC",TRIM(W499)),0)&gt;0,"▼ receta siguiente",IF(AK499="A",IF(AZ10&lt;&gt;"",AZ10&amp;" - ou.or.o ❾ + or - &gt;",""),""))</f>
        <v/>
      </c>
      <c r="AY499" s="810"/>
      <c r="AZ499" s="810"/>
      <c r="BA499" s="788" t="str">
        <f t="shared" si="181"/>
        <v/>
      </c>
      <c r="BB499" s="789" t="str">
        <f>IF(AK499="A",IF(AQ499,IF(AND(AW499&lt;&gt;"",N(AW499)&gt;0),IFERROR(IFERROR(_xlfn.XLOOKUP(AP499,BP10:BP57,BT10:BT57),IFERROR(_xlfn.XLOOKUP(AP499,BQ10:BQ57,BT10:BT57),_xlfn.XLOOKUP(AP499,BR10:BR57,BT10:BT57,""))),""),""),""),"")</f>
        <v/>
      </c>
      <c r="BC499" s="811" cm="1">
        <f t="array" ref="BC499">IF(NOT(AQ499),0,IF(OR(BA499="",N(BA499)&lt;=0.000000001),"",IF(OR(AU499="",N(AU499)&lt;=0.000000001),0,IF(ISNUMBER(BA499),IFERROR(_xlfn.LET(_xlpm.ai_test,TRIM(AP499),_xlpm.r,IFERROR(_xlfn.XLOOKUP(_xlpm.ai_test,BP16:BP63,ROW(BP16:BP63),0,1),IFERROR(_xlfn.XLOOKUP(_xlpm.ai_test,BQ16:BQ63,ROW(BQ16:BQ63),0,1),_xlfn.XLOOKUP(_xlpm.ai_test,BR16:BR63,ROW(BR16:BR63),0,1))),_xlpm.p,_xlpm.r-MIN(ROW(BP16:BP63))+1,_xlpm.f,INDEX(BS16:BS63,_xlpm.p),_xlpm.u,INDEX(BT16:BT63,_xlpm.p),_xlpm.s,INDEX(BV16:BV63,_xlpm.p),_xlpm.q,N(BA499)/_xlpm.f,IF(_xlpm.q&gt;=_xlpm.s,ROUND(_xlpm.q,1)&amp;" "&amp;_xlpm.ai_test&amp;" = "&amp;ROUND(_xlpm.q*_xlpm.f,1)&amp;" "&amp;_xlpm.u,ROUND(_xlpm.q,1)&amp;" "&amp;_xlpm.ai_test)),""),""))))</f>
        <v>0</v>
      </c>
      <c r="BD499" s="801"/>
      <c r="BE499" s="788" t="str">
        <f t="shared" si="192"/>
        <v/>
      </c>
      <c r="BF499" s="789" t="str">
        <f t="shared" si="193"/>
        <v/>
      </c>
      <c r="BG499" s="790">
        <f t="shared" si="196"/>
        <v>0</v>
      </c>
      <c r="BH499" s="791" t="str">
        <f t="shared" si="197"/>
        <v/>
      </c>
      <c r="BI499" s="792"/>
      <c r="BJ499" s="793">
        <f t="shared" si="195"/>
        <v>0</v>
      </c>
      <c r="BK499" s="794" t="str">
        <f t="shared" si="194"/>
        <v/>
      </c>
      <c r="BL499" s="227" t="s">
        <v>21</v>
      </c>
      <c r="BM499" s="773">
        <f t="shared" si="183"/>
        <v>0</v>
      </c>
      <c r="BN499" s="774">
        <f t="shared" si="184"/>
        <v>0</v>
      </c>
      <c r="BO499"/>
      <c r="BX499"/>
      <c r="BY499"/>
      <c r="BZ499"/>
      <c r="CA499"/>
      <c r="CB499"/>
      <c r="CC499"/>
      <c r="CD499" s="781" t="str">
        <f t="shared" si="177"/>
        <v>►</v>
      </c>
      <c r="CE499" s="633"/>
      <c r="CF499" s="633"/>
      <c r="CG499" s="633"/>
      <c r="CH499" s="633"/>
      <c r="CI499" s="633"/>
      <c r="CJ499" s="227"/>
      <c r="CK499"/>
      <c r="CL499"/>
      <c r="CM499"/>
      <c r="CN499"/>
      <c r="CO499"/>
      <c r="CP499"/>
      <c r="CQ499"/>
      <c r="CR499" s="227"/>
      <c r="CS499"/>
      <c r="CT499"/>
      <c r="CU499"/>
      <c r="CV499"/>
      <c r="CW499"/>
      <c r="CX499"/>
      <c r="CY499"/>
      <c r="CZ499" s="227"/>
      <c r="DA499"/>
      <c r="DB499"/>
      <c r="DC499"/>
      <c r="DD499"/>
      <c r="DE499"/>
      <c r="DF499"/>
      <c r="DG499"/>
      <c r="DH499" s="227"/>
      <c r="DI499" s="3">
        <v>1</v>
      </c>
    </row>
    <row r="500" spans="2:113" s="627" customFormat="1" ht="21" customHeight="1">
      <c r="B500" s="2265" t="str" cm="1">
        <f t="array" ref="B500">SUMPRODUCT(--(D500:J500&lt;&gt;""), LEN(TRIM(SUBSTITUTE(D500:J500, CHAR(160), "")))) &amp; " Car."</f>
        <v>0 Car.</v>
      </c>
      <c r="C500" s="1376" t="str">
        <f>IF(ISBLANK(D500),"",LARGE(C13:C499,1)+1)</f>
        <v/>
      </c>
      <c r="D500" s="1833"/>
      <c r="E500" s="1810"/>
      <c r="F500" s="1810"/>
      <c r="G500" s="1810"/>
      <c r="H500" s="1810"/>
      <c r="I500" s="1810"/>
      <c r="J500" s="1810"/>
      <c r="K500" s="1810"/>
      <c r="L500" s="1811"/>
      <c r="M500"/>
      <c r="N500" s="103" t="str">
        <f t="shared" si="179"/>
        <v>►</v>
      </c>
      <c r="O500" s="1616"/>
      <c r="P500"/>
      <c r="Q500" s="25" t="s">
        <v>15</v>
      </c>
      <c r="R500" s="31"/>
      <c r="S500" s="32"/>
      <c r="T500" s="31"/>
      <c r="U500" s="33"/>
      <c r="V500" s="1967"/>
      <c r="W500" s="1805"/>
      <c r="X500" s="91"/>
      <c r="Y500" s="1806"/>
      <c r="Z500" s="1968"/>
      <c r="AA500" s="2244"/>
      <c r="AB500" s="1969"/>
      <c r="AC500" s="1365"/>
      <c r="AD500" s="95"/>
      <c r="AE500" s="1326"/>
      <c r="AF500" s="97"/>
      <c r="AG500" s="1737"/>
      <c r="AH500" s="1970"/>
      <c r="AI500" s="99"/>
      <c r="AJ500" s="1809"/>
      <c r="AK500" s="6120" t="str">
        <f t="shared" si="180"/>
        <v>►</v>
      </c>
      <c r="AL500" s="781" t="str">
        <f t="shared" si="182"/>
        <v>►</v>
      </c>
      <c r="AM500" s="5498" t="str">
        <f t="shared" si="185"/>
        <v/>
      </c>
      <c r="AN500" s="783" t="str">
        <f t="shared" si="186"/>
        <v/>
      </c>
      <c r="AO500" s="782" t="str">
        <f t="shared" si="187"/>
        <v/>
      </c>
      <c r="AP500" s="783" t="str">
        <f t="shared" si="188"/>
        <v/>
      </c>
      <c r="AQ500" s="2083" t="b">
        <f>AND(Q500="A",COUNTIF(BP16:BR63,TRIM(Z500))&gt;0)</f>
        <v>0</v>
      </c>
      <c r="AR500" s="797" t="str">
        <f>IF(AL500&lt;&gt;"A","",IFERROR(IFERROR(_xlfn.XLOOKUP(TRIM(SUBSTITUTE(Z500,CHAR(160)," ")),BP16:BP63,BS16:BS63),IFERROR(_xlfn.XLOOKUP(TRIM(SUBSTITUTE(Z500,CHAR(160)," ")),BQ16:BQ63,BS16:BS63),_xlfn.XLOOKUP(TRIM(SUBSTITUTE(Z500,CHAR(160)," ")),BR16:BR63,BS16:BS63)))*Y500*IF(ISBLANK(V500),1,V500),0))</f>
        <v/>
      </c>
      <c r="AS500" s="784" t="str">
        <f t="shared" si="178"/>
        <v/>
      </c>
      <c r="AT500" s="1315" t="str">
        <f t="shared" si="189"/>
        <v/>
      </c>
      <c r="AU500" s="785">
        <f t="shared" si="190"/>
        <v>0</v>
      </c>
      <c r="AV500" s="785">
        <f t="shared" si="191"/>
        <v>0</v>
      </c>
      <c r="AW500" s="798">
        <f>IF(AK500="A",AY10,0)</f>
        <v>0</v>
      </c>
      <c r="AX500" s="5496" t="str">
        <f>IF(IFERROR(SEARCH("Adresse PC",TRIM(W500)),0)&gt;0,"▼ receta siguiente",IF(AK500="A",IF(AZ10&lt;&gt;"",AZ10&amp;" - ou.or.o ❾ + or - &gt;",""),""))</f>
        <v/>
      </c>
      <c r="AY500" s="810"/>
      <c r="AZ500" s="810"/>
      <c r="BA500" s="799" t="str">
        <f t="shared" si="181"/>
        <v/>
      </c>
      <c r="BB500" s="800" t="str">
        <f>IF(AK500="A",IF(AQ500,IF(AND(AW500&lt;&gt;"",N(AW500)&gt;0),IFERROR(IFERROR(_xlfn.XLOOKUP(AP500,BP10:BP57,BT10:BT57),IFERROR(_xlfn.XLOOKUP(AP500,BQ10:BQ57,BT10:BT57),_xlfn.XLOOKUP(AP500,BR10:BR57,BT10:BT57,""))),""),""),""),"")</f>
        <v/>
      </c>
      <c r="BC500" s="813" cm="1">
        <f t="array" ref="BC500">IF(NOT(AQ500),0,IF(OR(BA500="",N(BA500)&lt;=0.000000001),"",IF(OR(AU500="",N(AU500)&lt;=0.000000001),0,IF(ISNUMBER(BA500),IFERROR(_xlfn.LET(_xlpm.ai_test,TRIM(AP500),_xlpm.r,IFERROR(_xlfn.XLOOKUP(_xlpm.ai_test,BP16:BP63,ROW(BP16:BP63),0,1),IFERROR(_xlfn.XLOOKUP(_xlpm.ai_test,BQ16:BQ63,ROW(BQ16:BQ63),0,1),_xlfn.XLOOKUP(_xlpm.ai_test,BR16:BR63,ROW(BR16:BR63),0,1))),_xlpm.p,_xlpm.r-MIN(ROW(BP16:BP63))+1,_xlpm.f,INDEX(BS16:BS63,_xlpm.p),_xlpm.u,INDEX(BT16:BT63,_xlpm.p),_xlpm.s,INDEX(BV16:BV63,_xlpm.p),_xlpm.q,N(BA500)/_xlpm.f,IF(_xlpm.q&gt;=_xlpm.s,ROUND(_xlpm.q,1)&amp;" "&amp;_xlpm.ai_test&amp;" = "&amp;ROUND(_xlpm.q*_xlpm.f,1)&amp;" "&amp;_xlpm.u,ROUND(_xlpm.q,1)&amp;" "&amp;_xlpm.ai_test)),""),""))))</f>
        <v>0</v>
      </c>
      <c r="BD500" s="801"/>
      <c r="BE500" s="799" t="str">
        <f t="shared" si="192"/>
        <v/>
      </c>
      <c r="BF500" s="800" t="str">
        <f t="shared" si="193"/>
        <v/>
      </c>
      <c r="BG500" s="802">
        <f t="shared" si="196"/>
        <v>0</v>
      </c>
      <c r="BH500" s="803" t="str">
        <f t="shared" si="197"/>
        <v/>
      </c>
      <c r="BI500" s="792"/>
      <c r="BJ500" s="804">
        <f t="shared" si="195"/>
        <v>0</v>
      </c>
      <c r="BK500" s="794" t="str">
        <f t="shared" si="194"/>
        <v/>
      </c>
      <c r="BL500" s="227" t="s">
        <v>21</v>
      </c>
      <c r="BM500" s="773">
        <f t="shared" si="183"/>
        <v>0</v>
      </c>
      <c r="BN500" s="774">
        <f t="shared" si="184"/>
        <v>0</v>
      </c>
      <c r="BO500"/>
      <c r="BX500"/>
      <c r="BY500"/>
      <c r="BZ500"/>
      <c r="CA500"/>
      <c r="CB500"/>
      <c r="CC500"/>
      <c r="CD500" s="781" t="str">
        <f t="shared" si="177"/>
        <v>►</v>
      </c>
      <c r="CE500" s="633"/>
      <c r="CF500" s="633"/>
      <c r="CG500" s="633"/>
      <c r="CH500" s="633"/>
      <c r="CI500" s="633"/>
      <c r="CJ500" s="227"/>
      <c r="CK500"/>
      <c r="CL500"/>
      <c r="CM500"/>
      <c r="CN500"/>
      <c r="CO500"/>
      <c r="CP500"/>
      <c r="CQ500"/>
      <c r="CR500" s="227"/>
      <c r="CS500"/>
      <c r="CT500"/>
      <c r="CU500"/>
      <c r="CV500"/>
      <c r="CW500"/>
      <c r="CX500"/>
      <c r="CY500"/>
      <c r="CZ500" s="227"/>
      <c r="DA500"/>
      <c r="DB500"/>
      <c r="DC500"/>
      <c r="DD500"/>
      <c r="DE500"/>
      <c r="DF500"/>
      <c r="DG500"/>
      <c r="DH500" s="227"/>
      <c r="DI500" s="3">
        <v>1</v>
      </c>
    </row>
    <row r="501" spans="2:113" s="627" customFormat="1" ht="21" customHeight="1">
      <c r="B501" s="2265" t="str" cm="1">
        <f t="array" ref="B501">SUMPRODUCT(--(D501:J501&lt;&gt;""), LEN(TRIM(SUBSTITUTE(D501:J501, CHAR(160), "")))) &amp; " Car."</f>
        <v>0 Car.</v>
      </c>
      <c r="C501" s="1376" t="str">
        <f>IF(ISBLANK(D501),"",LARGE(C13:C500,1)+1)</f>
        <v/>
      </c>
      <c r="D501" s="1833"/>
      <c r="E501" s="1810"/>
      <c r="F501" s="1810"/>
      <c r="G501" s="1810"/>
      <c r="H501" s="1810"/>
      <c r="I501" s="1810"/>
      <c r="J501" s="1810"/>
      <c r="K501" s="1810"/>
      <c r="L501" s="1811"/>
      <c r="M501"/>
      <c r="N501" s="103" t="str">
        <f t="shared" si="179"/>
        <v>►</v>
      </c>
      <c r="O501" s="1616"/>
      <c r="P501"/>
      <c r="Q501" s="25" t="s">
        <v>15</v>
      </c>
      <c r="R501" s="31"/>
      <c r="S501" s="32"/>
      <c r="T501" s="31"/>
      <c r="U501" s="33"/>
      <c r="V501" s="1967"/>
      <c r="W501" s="1805"/>
      <c r="X501" s="91"/>
      <c r="Y501" s="1806"/>
      <c r="Z501" s="1968"/>
      <c r="AA501" s="2244"/>
      <c r="AB501" s="1969"/>
      <c r="AC501" s="1365"/>
      <c r="AD501" s="95"/>
      <c r="AE501" s="1326"/>
      <c r="AF501" s="97"/>
      <c r="AG501" s="1737"/>
      <c r="AH501" s="1970"/>
      <c r="AI501" s="99"/>
      <c r="AJ501" s="1809"/>
      <c r="AK501" s="6120" t="str">
        <f t="shared" si="180"/>
        <v>►</v>
      </c>
      <c r="AL501" s="781" t="str">
        <f t="shared" si="182"/>
        <v>►</v>
      </c>
      <c r="AM501" s="5499" t="str">
        <f t="shared" si="185"/>
        <v/>
      </c>
      <c r="AN501" s="783" t="str">
        <f t="shared" si="186"/>
        <v/>
      </c>
      <c r="AO501" s="782" t="str">
        <f t="shared" si="187"/>
        <v/>
      </c>
      <c r="AP501" s="783" t="str">
        <f t="shared" si="188"/>
        <v/>
      </c>
      <c r="AQ501" s="2083" t="b">
        <f>AND(Q501="A",COUNTIF(BP16:BR63,TRIM(Z501))&gt;0)</f>
        <v>0</v>
      </c>
      <c r="AR501" s="797" t="str">
        <f>IF(AL501&lt;&gt;"A","",IFERROR(IFERROR(_xlfn.XLOOKUP(TRIM(SUBSTITUTE(Z501,CHAR(160)," ")),BP16:BP63,BS16:BS63),IFERROR(_xlfn.XLOOKUP(TRIM(SUBSTITUTE(Z501,CHAR(160)," ")),BQ16:BQ63,BS16:BS63),_xlfn.XLOOKUP(TRIM(SUBSTITUTE(Z501,CHAR(160)," ")),BR16:BR63,BS16:BS63)))*Y501*IF(ISBLANK(V501),1,V501),0))</f>
        <v/>
      </c>
      <c r="AS501" s="784" t="str">
        <f t="shared" si="178"/>
        <v/>
      </c>
      <c r="AT501" s="1315" t="str">
        <f t="shared" si="189"/>
        <v/>
      </c>
      <c r="AU501" s="785">
        <f t="shared" si="190"/>
        <v>0</v>
      </c>
      <c r="AV501" s="785">
        <f t="shared" si="191"/>
        <v>0</v>
      </c>
      <c r="AW501" s="786">
        <f>IF(AK501="A",AY10,0)</f>
        <v>0</v>
      </c>
      <c r="AX501" s="5495" t="str">
        <f>IF(IFERROR(SEARCH("Adresse PC",TRIM(W501)),0)&gt;0,"▼ receta siguiente",IF(AK501="A",IF(AZ10&lt;&gt;"",AZ10&amp;" - ou.or.o ❾ + or - &gt;",""),""))</f>
        <v/>
      </c>
      <c r="AY501" s="810"/>
      <c r="AZ501" s="810"/>
      <c r="BA501" s="788" t="str">
        <f t="shared" si="181"/>
        <v/>
      </c>
      <c r="BB501" s="789" t="str">
        <f>IF(AK501="A",IF(AQ501,IF(AND(AW501&lt;&gt;"",N(AW501)&gt;0),IFERROR(IFERROR(_xlfn.XLOOKUP(AP501,BP10:BP57,BT10:BT57),IFERROR(_xlfn.XLOOKUP(AP501,BQ10:BQ57,BT10:BT57),_xlfn.XLOOKUP(AP501,BR10:BR57,BT10:BT57,""))),""),""),""),"")</f>
        <v/>
      </c>
      <c r="BC501" s="811" cm="1">
        <f t="array" ref="BC501">IF(NOT(AQ501),0,IF(OR(BA501="",N(BA501)&lt;=0.000000001),"",IF(OR(AU501="",N(AU501)&lt;=0.000000001),0,IF(ISNUMBER(BA501),IFERROR(_xlfn.LET(_xlpm.ai_test,TRIM(AP501),_xlpm.r,IFERROR(_xlfn.XLOOKUP(_xlpm.ai_test,BP16:BP63,ROW(BP16:BP63),0,1),IFERROR(_xlfn.XLOOKUP(_xlpm.ai_test,BQ16:BQ63,ROW(BQ16:BQ63),0,1),_xlfn.XLOOKUP(_xlpm.ai_test,BR16:BR63,ROW(BR16:BR63),0,1))),_xlpm.p,_xlpm.r-MIN(ROW(BP16:BP63))+1,_xlpm.f,INDEX(BS16:BS63,_xlpm.p),_xlpm.u,INDEX(BT16:BT63,_xlpm.p),_xlpm.s,INDEX(BV16:BV63,_xlpm.p),_xlpm.q,N(BA501)/_xlpm.f,IF(_xlpm.q&gt;=_xlpm.s,ROUND(_xlpm.q,1)&amp;" "&amp;_xlpm.ai_test&amp;" = "&amp;ROUND(_xlpm.q*_xlpm.f,1)&amp;" "&amp;_xlpm.u,ROUND(_xlpm.q,1)&amp;" "&amp;_xlpm.ai_test)),""),""))))</f>
        <v>0</v>
      </c>
      <c r="BD501" s="801"/>
      <c r="BE501" s="788" t="str">
        <f t="shared" si="192"/>
        <v/>
      </c>
      <c r="BF501" s="789" t="str">
        <f t="shared" si="193"/>
        <v/>
      </c>
      <c r="BG501" s="790">
        <f t="shared" si="196"/>
        <v>0</v>
      </c>
      <c r="BH501" s="791" t="str">
        <f t="shared" si="197"/>
        <v/>
      </c>
      <c r="BI501" s="792"/>
      <c r="BJ501" s="793">
        <f t="shared" si="195"/>
        <v>0</v>
      </c>
      <c r="BK501" s="794" t="str">
        <f t="shared" si="194"/>
        <v/>
      </c>
      <c r="BL501" s="227" t="s">
        <v>21</v>
      </c>
      <c r="BM501" s="773">
        <f t="shared" si="183"/>
        <v>0</v>
      </c>
      <c r="BN501" s="774">
        <f t="shared" si="184"/>
        <v>0</v>
      </c>
      <c r="BO501"/>
      <c r="BX501"/>
      <c r="BY501"/>
      <c r="BZ501"/>
      <c r="CA501"/>
      <c r="CB501"/>
      <c r="CC501"/>
      <c r="CD501" s="781" t="str">
        <f t="shared" si="177"/>
        <v>►</v>
      </c>
      <c r="CE501" s="633"/>
      <c r="CF501" s="633"/>
      <c r="CG501" s="633"/>
      <c r="CH501" s="633"/>
      <c r="CI501" s="633"/>
      <c r="CJ501" s="227"/>
      <c r="CK501"/>
      <c r="CL501"/>
      <c r="CM501"/>
      <c r="CN501"/>
      <c r="CO501"/>
      <c r="CP501"/>
      <c r="CQ501"/>
      <c r="CR501" s="227"/>
      <c r="CS501"/>
      <c r="CT501"/>
      <c r="CU501"/>
      <c r="CV501"/>
      <c r="CW501"/>
      <c r="CX501"/>
      <c r="CY501"/>
      <c r="CZ501" s="227"/>
      <c r="DA501"/>
      <c r="DB501"/>
      <c r="DC501"/>
      <c r="DD501"/>
      <c r="DE501"/>
      <c r="DF501"/>
      <c r="DG501"/>
      <c r="DH501" s="227"/>
      <c r="DI501" s="3">
        <v>1</v>
      </c>
    </row>
    <row r="502" spans="2:113" s="627" customFormat="1" ht="21" customHeight="1">
      <c r="B502" s="2265" t="str" cm="1">
        <f t="array" ref="B502">SUMPRODUCT(--(D502:J502&lt;&gt;""), LEN(TRIM(SUBSTITUTE(D502:J502, CHAR(160), "")))) &amp; " Car."</f>
        <v>0 Car.</v>
      </c>
      <c r="C502" s="1376" t="str">
        <f>IF(ISBLANK(D502),"",LARGE(C13:C501,1)+1)</f>
        <v/>
      </c>
      <c r="D502" s="1833"/>
      <c r="E502" s="1810"/>
      <c r="F502" s="1810"/>
      <c r="G502" s="1810"/>
      <c r="H502" s="1810"/>
      <c r="I502" s="1810"/>
      <c r="J502" s="1810"/>
      <c r="K502" s="1810"/>
      <c r="L502" s="1811"/>
      <c r="M502"/>
      <c r="N502" s="103" t="str">
        <f t="shared" si="179"/>
        <v>►</v>
      </c>
      <c r="O502" s="1616"/>
      <c r="P502"/>
      <c r="Q502" s="25" t="s">
        <v>15</v>
      </c>
      <c r="R502" s="31"/>
      <c r="S502" s="32"/>
      <c r="T502" s="31"/>
      <c r="U502" s="33"/>
      <c r="V502" s="1967"/>
      <c r="W502" s="1805"/>
      <c r="X502" s="91"/>
      <c r="Y502" s="1806"/>
      <c r="Z502" s="1968"/>
      <c r="AA502" s="2244"/>
      <c r="AB502" s="1969"/>
      <c r="AC502" s="1365"/>
      <c r="AD502" s="95"/>
      <c r="AE502" s="1326"/>
      <c r="AF502" s="97"/>
      <c r="AG502" s="1737"/>
      <c r="AH502" s="1970"/>
      <c r="AI502" s="99"/>
      <c r="AJ502" s="1809"/>
      <c r="AK502" s="6120" t="str">
        <f t="shared" si="180"/>
        <v>►</v>
      </c>
      <c r="AL502" s="781" t="str">
        <f t="shared" si="182"/>
        <v>►</v>
      </c>
      <c r="AM502" s="5498" t="str">
        <f t="shared" si="185"/>
        <v/>
      </c>
      <c r="AN502" s="783" t="str">
        <f t="shared" si="186"/>
        <v/>
      </c>
      <c r="AO502" s="782" t="str">
        <f t="shared" si="187"/>
        <v/>
      </c>
      <c r="AP502" s="783" t="str">
        <f t="shared" si="188"/>
        <v/>
      </c>
      <c r="AQ502" s="2083" t="b">
        <f>AND(Q502="A",COUNTIF(BP16:BR63,TRIM(Z502))&gt;0)</f>
        <v>0</v>
      </c>
      <c r="AR502" s="797" t="str">
        <f>IF(AL502&lt;&gt;"A","",IFERROR(IFERROR(_xlfn.XLOOKUP(TRIM(SUBSTITUTE(Z502,CHAR(160)," ")),BP16:BP63,BS16:BS63),IFERROR(_xlfn.XLOOKUP(TRIM(SUBSTITUTE(Z502,CHAR(160)," ")),BQ16:BQ63,BS16:BS63),_xlfn.XLOOKUP(TRIM(SUBSTITUTE(Z502,CHAR(160)," ")),BR16:BR63,BS16:BS63)))*Y502*IF(ISBLANK(V502),1,V502),0))</f>
        <v/>
      </c>
      <c r="AS502" s="784" t="str">
        <f t="shared" si="178"/>
        <v/>
      </c>
      <c r="AT502" s="1315" t="str">
        <f t="shared" si="189"/>
        <v/>
      </c>
      <c r="AU502" s="785">
        <f t="shared" si="190"/>
        <v>0</v>
      </c>
      <c r="AV502" s="785">
        <f t="shared" si="191"/>
        <v>0</v>
      </c>
      <c r="AW502" s="798">
        <f>IF(AK502="A",AY10,0)</f>
        <v>0</v>
      </c>
      <c r="AX502" s="5496" t="str">
        <f>IF(IFERROR(SEARCH("Adresse PC",TRIM(W502)),0)&gt;0,"▼ receta siguiente",IF(AK502="A",IF(AZ10&lt;&gt;"",AZ10&amp;" - ou.or.o ❾ + or - &gt;",""),""))</f>
        <v/>
      </c>
      <c r="AY502" s="810"/>
      <c r="AZ502" s="810"/>
      <c r="BA502" s="799" t="str">
        <f t="shared" si="181"/>
        <v/>
      </c>
      <c r="BB502" s="800" t="str">
        <f>IF(AK502="A",IF(AQ502,IF(AND(AW502&lt;&gt;"",N(AW502)&gt;0),IFERROR(IFERROR(_xlfn.XLOOKUP(AP502,BP10:BP57,BT10:BT57),IFERROR(_xlfn.XLOOKUP(AP502,BQ10:BQ57,BT10:BT57),_xlfn.XLOOKUP(AP502,BR10:BR57,BT10:BT57,""))),""),""),""),"")</f>
        <v/>
      </c>
      <c r="BC502" s="813" cm="1">
        <f t="array" ref="BC502">IF(NOT(AQ502),0,IF(OR(BA502="",N(BA502)&lt;=0.000000001),"",IF(OR(AU502="",N(AU502)&lt;=0.000000001),0,IF(ISNUMBER(BA502),IFERROR(_xlfn.LET(_xlpm.ai_test,TRIM(AP502),_xlpm.r,IFERROR(_xlfn.XLOOKUP(_xlpm.ai_test,BP16:BP63,ROW(BP16:BP63),0,1),IFERROR(_xlfn.XLOOKUP(_xlpm.ai_test,BQ16:BQ63,ROW(BQ16:BQ63),0,1),_xlfn.XLOOKUP(_xlpm.ai_test,BR16:BR63,ROW(BR16:BR63),0,1))),_xlpm.p,_xlpm.r-MIN(ROW(BP16:BP63))+1,_xlpm.f,INDEX(BS16:BS63,_xlpm.p),_xlpm.u,INDEX(BT16:BT63,_xlpm.p),_xlpm.s,INDEX(BV16:BV63,_xlpm.p),_xlpm.q,N(BA502)/_xlpm.f,IF(_xlpm.q&gt;=_xlpm.s,ROUND(_xlpm.q,1)&amp;" "&amp;_xlpm.ai_test&amp;" = "&amp;ROUND(_xlpm.q*_xlpm.f,1)&amp;" "&amp;_xlpm.u,ROUND(_xlpm.q,1)&amp;" "&amp;_xlpm.ai_test)),""),""))))</f>
        <v>0</v>
      </c>
      <c r="BD502" s="801"/>
      <c r="BE502" s="799" t="str">
        <f t="shared" si="192"/>
        <v/>
      </c>
      <c r="BF502" s="800" t="str">
        <f t="shared" si="193"/>
        <v/>
      </c>
      <c r="BG502" s="802">
        <f t="shared" si="196"/>
        <v>0</v>
      </c>
      <c r="BH502" s="803" t="str">
        <f t="shared" si="197"/>
        <v/>
      </c>
      <c r="BI502" s="792"/>
      <c r="BJ502" s="804">
        <f t="shared" si="195"/>
        <v>0</v>
      </c>
      <c r="BK502" s="794" t="str">
        <f t="shared" si="194"/>
        <v/>
      </c>
      <c r="BL502" s="227" t="s">
        <v>21</v>
      </c>
      <c r="BM502" s="773">
        <f t="shared" si="183"/>
        <v>0</v>
      </c>
      <c r="BN502" s="774">
        <f t="shared" si="184"/>
        <v>0</v>
      </c>
      <c r="BO502"/>
      <c r="BX502"/>
      <c r="BY502"/>
      <c r="BZ502"/>
      <c r="CA502"/>
      <c r="CB502"/>
      <c r="CC502"/>
      <c r="CD502" s="781" t="str">
        <f t="shared" si="177"/>
        <v>►</v>
      </c>
      <c r="CE502" s="633"/>
      <c r="CF502" s="633"/>
      <c r="CG502" s="633"/>
      <c r="CH502" s="633"/>
      <c r="CI502" s="633"/>
      <c r="CJ502" s="227"/>
      <c r="CK502"/>
      <c r="CL502"/>
      <c r="CM502"/>
      <c r="CN502"/>
      <c r="CO502"/>
      <c r="CP502"/>
      <c r="CQ502"/>
      <c r="CR502" s="227"/>
      <c r="CS502"/>
      <c r="CT502"/>
      <c r="CU502"/>
      <c r="CV502"/>
      <c r="CW502"/>
      <c r="CX502"/>
      <c r="CY502"/>
      <c r="CZ502" s="227"/>
      <c r="DA502"/>
      <c r="DB502"/>
      <c r="DC502"/>
      <c r="DD502"/>
      <c r="DE502"/>
      <c r="DF502"/>
      <c r="DG502"/>
      <c r="DH502" s="227"/>
      <c r="DI502" s="3">
        <v>1</v>
      </c>
    </row>
    <row r="503" spans="2:113" s="627" customFormat="1" ht="21" customHeight="1">
      <c r="B503" s="2265" t="str" cm="1">
        <f t="array" ref="B503">SUMPRODUCT(--(D503:J503&lt;&gt;""), LEN(TRIM(SUBSTITUTE(D503:J503, CHAR(160), "")))) &amp; " Car."</f>
        <v>0 Car.</v>
      </c>
      <c r="C503" s="1376" t="str">
        <f>IF(ISBLANK(D503),"",LARGE(C13:C502,1)+1)</f>
        <v/>
      </c>
      <c r="D503" s="1833"/>
      <c r="E503" s="1810"/>
      <c r="F503" s="1810"/>
      <c r="G503" s="1810"/>
      <c r="H503" s="1810"/>
      <c r="I503" s="1810"/>
      <c r="J503" s="1810"/>
      <c r="K503" s="1810"/>
      <c r="L503" s="1811"/>
      <c r="M503"/>
      <c r="N503" s="103" t="str">
        <f t="shared" si="179"/>
        <v>►</v>
      </c>
      <c r="O503" s="1616"/>
      <c r="P503"/>
      <c r="Q503" s="25" t="s">
        <v>15</v>
      </c>
      <c r="R503" s="31"/>
      <c r="S503" s="32"/>
      <c r="T503" s="31"/>
      <c r="U503" s="33"/>
      <c r="V503" s="1967"/>
      <c r="W503" s="1805"/>
      <c r="X503" s="91"/>
      <c r="Y503" s="1806"/>
      <c r="Z503" s="1968"/>
      <c r="AA503" s="2244"/>
      <c r="AB503" s="1969"/>
      <c r="AC503" s="1365"/>
      <c r="AD503" s="95"/>
      <c r="AE503" s="1326"/>
      <c r="AF503" s="97"/>
      <c r="AG503" s="1737"/>
      <c r="AH503" s="1970"/>
      <c r="AI503" s="99"/>
      <c r="AJ503" s="1809"/>
      <c r="AK503" s="6120" t="str">
        <f t="shared" si="180"/>
        <v>►</v>
      </c>
      <c r="AL503" s="781" t="str">
        <f t="shared" si="182"/>
        <v>►</v>
      </c>
      <c r="AM503" s="5499" t="str">
        <f t="shared" si="185"/>
        <v/>
      </c>
      <c r="AN503" s="783" t="str">
        <f t="shared" si="186"/>
        <v/>
      </c>
      <c r="AO503" s="782" t="str">
        <f t="shared" si="187"/>
        <v/>
      </c>
      <c r="AP503" s="783" t="str">
        <f t="shared" si="188"/>
        <v/>
      </c>
      <c r="AQ503" s="2083" t="b">
        <f>AND(Q503="A",COUNTIF(BP16:BR63,TRIM(Z503))&gt;0)</f>
        <v>0</v>
      </c>
      <c r="AR503" s="797" t="str">
        <f>IF(AL503&lt;&gt;"A","",IFERROR(IFERROR(_xlfn.XLOOKUP(TRIM(SUBSTITUTE(Z503,CHAR(160)," ")),BP16:BP63,BS16:BS63),IFERROR(_xlfn.XLOOKUP(TRIM(SUBSTITUTE(Z503,CHAR(160)," ")),BQ16:BQ63,BS16:BS63),_xlfn.XLOOKUP(TRIM(SUBSTITUTE(Z503,CHAR(160)," ")),BR16:BR63,BS16:BS63)))*Y503*IF(ISBLANK(V503),1,V503),0))</f>
        <v/>
      </c>
      <c r="AS503" s="784" t="str">
        <f t="shared" si="178"/>
        <v/>
      </c>
      <c r="AT503" s="1315" t="str">
        <f t="shared" si="189"/>
        <v/>
      </c>
      <c r="AU503" s="785">
        <f t="shared" si="190"/>
        <v>0</v>
      </c>
      <c r="AV503" s="785">
        <f t="shared" si="191"/>
        <v>0</v>
      </c>
      <c r="AW503" s="786">
        <f>IF(AK503="A",AY10,0)</f>
        <v>0</v>
      </c>
      <c r="AX503" s="5495" t="str">
        <f>IF(IFERROR(SEARCH("Adresse PC",TRIM(W503)),0)&gt;0,"▼ receta siguiente",IF(AK503="A",IF(AZ10&lt;&gt;"",AZ10&amp;" - ou.or.o ❾ + or - &gt;",""),""))</f>
        <v/>
      </c>
      <c r="AY503" s="810"/>
      <c r="AZ503" s="810"/>
      <c r="BA503" s="788" t="str">
        <f t="shared" si="181"/>
        <v/>
      </c>
      <c r="BB503" s="789" t="str">
        <f>IF(AK503="A",IF(AQ503,IF(AND(AW503&lt;&gt;"",N(AW503)&gt;0),IFERROR(IFERROR(_xlfn.XLOOKUP(AP503,BP10:BP57,BT10:BT57),IFERROR(_xlfn.XLOOKUP(AP503,BQ10:BQ57,BT10:BT57),_xlfn.XLOOKUP(AP503,BR10:BR57,BT10:BT57,""))),""),""),""),"")</f>
        <v/>
      </c>
      <c r="BC503" s="811" cm="1">
        <f t="array" ref="BC503">IF(NOT(AQ503),0,IF(OR(BA503="",N(BA503)&lt;=0.000000001),"",IF(OR(AU503="",N(AU503)&lt;=0.000000001),0,IF(ISNUMBER(BA503),IFERROR(_xlfn.LET(_xlpm.ai_test,TRIM(AP503),_xlpm.r,IFERROR(_xlfn.XLOOKUP(_xlpm.ai_test,BP16:BP63,ROW(BP16:BP63),0,1),IFERROR(_xlfn.XLOOKUP(_xlpm.ai_test,BQ16:BQ63,ROW(BQ16:BQ63),0,1),_xlfn.XLOOKUP(_xlpm.ai_test,BR16:BR63,ROW(BR16:BR63),0,1))),_xlpm.p,_xlpm.r-MIN(ROW(BP16:BP63))+1,_xlpm.f,INDEX(BS16:BS63,_xlpm.p),_xlpm.u,INDEX(BT16:BT63,_xlpm.p),_xlpm.s,INDEX(BV16:BV63,_xlpm.p),_xlpm.q,N(BA503)/_xlpm.f,IF(_xlpm.q&gt;=_xlpm.s,ROUND(_xlpm.q,1)&amp;" "&amp;_xlpm.ai_test&amp;" = "&amp;ROUND(_xlpm.q*_xlpm.f,1)&amp;" "&amp;_xlpm.u,ROUND(_xlpm.q,1)&amp;" "&amp;_xlpm.ai_test)),""),""))))</f>
        <v>0</v>
      </c>
      <c r="BD503" s="801"/>
      <c r="BE503" s="788" t="str">
        <f t="shared" si="192"/>
        <v/>
      </c>
      <c r="BF503" s="789" t="str">
        <f t="shared" si="193"/>
        <v/>
      </c>
      <c r="BG503" s="790">
        <f t="shared" si="196"/>
        <v>0</v>
      </c>
      <c r="BH503" s="791" t="str">
        <f t="shared" si="197"/>
        <v/>
      </c>
      <c r="BI503" s="792"/>
      <c r="BJ503" s="793">
        <f t="shared" si="195"/>
        <v>0</v>
      </c>
      <c r="BK503" s="794" t="str">
        <f t="shared" si="194"/>
        <v/>
      </c>
      <c r="BL503" s="227" t="s">
        <v>21</v>
      </c>
      <c r="BM503" s="773">
        <f t="shared" si="183"/>
        <v>0</v>
      </c>
      <c r="BN503" s="774">
        <f t="shared" si="184"/>
        <v>0</v>
      </c>
      <c r="BO503"/>
      <c r="BX503"/>
      <c r="BY503"/>
      <c r="BZ503"/>
      <c r="CA503"/>
      <c r="CB503"/>
      <c r="CC503"/>
      <c r="CD503" s="781" t="str">
        <f t="shared" si="177"/>
        <v>►</v>
      </c>
      <c r="CE503" s="633"/>
      <c r="CF503" s="633"/>
      <c r="CG503" s="633"/>
      <c r="CH503" s="633"/>
      <c r="CI503" s="633"/>
      <c r="CJ503" s="227"/>
      <c r="CK503"/>
      <c r="CL503"/>
      <c r="CM503"/>
      <c r="CN503"/>
      <c r="CO503"/>
      <c r="CP503"/>
      <c r="CQ503"/>
      <c r="CR503" s="227"/>
      <c r="CS503"/>
      <c r="CT503"/>
      <c r="CU503"/>
      <c r="CV503"/>
      <c r="CW503"/>
      <c r="CX503"/>
      <c r="CY503"/>
      <c r="CZ503" s="227"/>
      <c r="DA503"/>
      <c r="DB503"/>
      <c r="DC503"/>
      <c r="DD503"/>
      <c r="DE503"/>
      <c r="DF503"/>
      <c r="DG503"/>
      <c r="DH503" s="227"/>
      <c r="DI503" s="3">
        <v>1</v>
      </c>
    </row>
    <row r="504" spans="2:113" s="627" customFormat="1" ht="21" customHeight="1">
      <c r="B504" s="2265" t="str" cm="1">
        <f t="array" ref="B504">SUMPRODUCT(--(D504:J504&lt;&gt;""), LEN(TRIM(SUBSTITUTE(D504:J504, CHAR(160), "")))) &amp; " Car."</f>
        <v>0 Car.</v>
      </c>
      <c r="C504" s="1376" t="str">
        <f>IF(ISBLANK(D504),"",LARGE(C13:C503,1)+1)</f>
        <v/>
      </c>
      <c r="D504" s="1833"/>
      <c r="E504" s="1810"/>
      <c r="F504" s="1810"/>
      <c r="G504" s="1810"/>
      <c r="H504" s="1810"/>
      <c r="I504" s="1810"/>
      <c r="J504" s="1810"/>
      <c r="K504" s="1810"/>
      <c r="L504" s="1811"/>
      <c r="M504"/>
      <c r="N504" s="103" t="str">
        <f t="shared" si="179"/>
        <v>►</v>
      </c>
      <c r="O504" s="1616"/>
      <c r="P504"/>
      <c r="Q504" s="25" t="s">
        <v>15</v>
      </c>
      <c r="R504" s="31"/>
      <c r="S504" s="32"/>
      <c r="T504" s="31"/>
      <c r="U504" s="33"/>
      <c r="V504" s="1967"/>
      <c r="W504" s="1805"/>
      <c r="X504" s="91"/>
      <c r="Y504" s="1806"/>
      <c r="Z504" s="1968"/>
      <c r="AA504" s="2244"/>
      <c r="AB504" s="1969"/>
      <c r="AC504" s="1365"/>
      <c r="AD504" s="95"/>
      <c r="AE504" s="1326"/>
      <c r="AF504" s="97"/>
      <c r="AG504" s="1737"/>
      <c r="AH504" s="1970"/>
      <c r="AI504" s="99"/>
      <c r="AJ504" s="1809"/>
      <c r="AK504" s="6120" t="str">
        <f t="shared" si="180"/>
        <v>►</v>
      </c>
      <c r="AL504" s="781" t="str">
        <f t="shared" si="182"/>
        <v>►</v>
      </c>
      <c r="AM504" s="5498" t="str">
        <f t="shared" si="185"/>
        <v/>
      </c>
      <c r="AN504" s="783" t="str">
        <f t="shared" si="186"/>
        <v/>
      </c>
      <c r="AO504" s="782" t="str">
        <f t="shared" si="187"/>
        <v/>
      </c>
      <c r="AP504" s="783" t="str">
        <f t="shared" si="188"/>
        <v/>
      </c>
      <c r="AQ504" s="2083" t="b">
        <f>AND(Q504="A",COUNTIF(BP16:BR63,TRIM(Z504))&gt;0)</f>
        <v>0</v>
      </c>
      <c r="AR504" s="797" t="str">
        <f>IF(AL504&lt;&gt;"A","",IFERROR(IFERROR(_xlfn.XLOOKUP(TRIM(SUBSTITUTE(Z504,CHAR(160)," ")),BP16:BP63,BS16:BS63),IFERROR(_xlfn.XLOOKUP(TRIM(SUBSTITUTE(Z504,CHAR(160)," ")),BQ16:BQ63,BS16:BS63),_xlfn.XLOOKUP(TRIM(SUBSTITUTE(Z504,CHAR(160)," ")),BR16:BR63,BS16:BS63)))*Y504*IF(ISBLANK(V504),1,V504),0))</f>
        <v/>
      </c>
      <c r="AS504" s="784" t="str">
        <f t="shared" si="178"/>
        <v/>
      </c>
      <c r="AT504" s="1315" t="str">
        <f t="shared" si="189"/>
        <v/>
      </c>
      <c r="AU504" s="785">
        <f t="shared" si="190"/>
        <v>0</v>
      </c>
      <c r="AV504" s="785">
        <f t="shared" si="191"/>
        <v>0</v>
      </c>
      <c r="AW504" s="798">
        <f>IF(AK504="A",AY10,0)</f>
        <v>0</v>
      </c>
      <c r="AX504" s="5496" t="str">
        <f>IF(IFERROR(SEARCH("Adresse PC",TRIM(W504)),0)&gt;0,"▼ receta siguiente",IF(AK504="A",IF(AZ10&lt;&gt;"",AZ10&amp;" - ou.or.o ❾ + or - &gt;",""),""))</f>
        <v/>
      </c>
      <c r="AY504" s="810"/>
      <c r="AZ504" s="810"/>
      <c r="BA504" s="799" t="str">
        <f t="shared" si="181"/>
        <v/>
      </c>
      <c r="BB504" s="800" t="str">
        <f>IF(AK504="A",IF(AQ504,IF(AND(AW504&lt;&gt;"",N(AW504)&gt;0),IFERROR(IFERROR(_xlfn.XLOOKUP(AP504,BP10:BP57,BT10:BT57),IFERROR(_xlfn.XLOOKUP(AP504,BQ10:BQ57,BT10:BT57),_xlfn.XLOOKUP(AP504,BR10:BR57,BT10:BT57,""))),""),""),""),"")</f>
        <v/>
      </c>
      <c r="BC504" s="813" cm="1">
        <f t="array" ref="BC504">IF(NOT(AQ504),0,IF(OR(BA504="",N(BA504)&lt;=0.000000001),"",IF(OR(AU504="",N(AU504)&lt;=0.000000001),0,IF(ISNUMBER(BA504),IFERROR(_xlfn.LET(_xlpm.ai_test,TRIM(AP504),_xlpm.r,IFERROR(_xlfn.XLOOKUP(_xlpm.ai_test,BP16:BP63,ROW(BP16:BP63),0,1),IFERROR(_xlfn.XLOOKUP(_xlpm.ai_test,BQ16:BQ63,ROW(BQ16:BQ63),0,1),_xlfn.XLOOKUP(_xlpm.ai_test,BR16:BR63,ROW(BR16:BR63),0,1))),_xlpm.p,_xlpm.r-MIN(ROW(BP16:BP63))+1,_xlpm.f,INDEX(BS16:BS63,_xlpm.p),_xlpm.u,INDEX(BT16:BT63,_xlpm.p),_xlpm.s,INDEX(BV16:BV63,_xlpm.p),_xlpm.q,N(BA504)/_xlpm.f,IF(_xlpm.q&gt;=_xlpm.s,ROUND(_xlpm.q,1)&amp;" "&amp;_xlpm.ai_test&amp;" = "&amp;ROUND(_xlpm.q*_xlpm.f,1)&amp;" "&amp;_xlpm.u,ROUND(_xlpm.q,1)&amp;" "&amp;_xlpm.ai_test)),""),""))))</f>
        <v>0</v>
      </c>
      <c r="BD504" s="801"/>
      <c r="BE504" s="799" t="str">
        <f t="shared" si="192"/>
        <v/>
      </c>
      <c r="BF504" s="800" t="str">
        <f t="shared" si="193"/>
        <v/>
      </c>
      <c r="BG504" s="802">
        <f t="shared" si="196"/>
        <v>0</v>
      </c>
      <c r="BH504" s="803" t="str">
        <f t="shared" si="197"/>
        <v/>
      </c>
      <c r="BI504" s="792"/>
      <c r="BJ504" s="804">
        <f t="shared" si="195"/>
        <v>0</v>
      </c>
      <c r="BK504" s="794" t="str">
        <f t="shared" si="194"/>
        <v/>
      </c>
      <c r="BL504" s="227" t="s">
        <v>21</v>
      </c>
      <c r="BM504" s="773">
        <f t="shared" si="183"/>
        <v>0</v>
      </c>
      <c r="BN504" s="774">
        <f t="shared" si="184"/>
        <v>0</v>
      </c>
      <c r="BO504"/>
      <c r="BX504"/>
      <c r="BY504"/>
      <c r="BZ504"/>
      <c r="CA504"/>
      <c r="CB504"/>
      <c r="CC504"/>
      <c r="CD504" s="781" t="str">
        <f t="shared" si="177"/>
        <v>►</v>
      </c>
      <c r="CE504" s="633"/>
      <c r="CF504" s="633"/>
      <c r="CG504" s="633"/>
      <c r="CH504" s="633"/>
      <c r="CI504" s="633"/>
      <c r="CJ504" s="227"/>
      <c r="CK504"/>
      <c r="CL504"/>
      <c r="CM504"/>
      <c r="CN504"/>
      <c r="CO504"/>
      <c r="CP504"/>
      <c r="CQ504"/>
      <c r="CR504" s="227"/>
      <c r="CS504"/>
      <c r="CT504"/>
      <c r="CU504"/>
      <c r="CV504"/>
      <c r="CW504"/>
      <c r="CX504"/>
      <c r="CY504"/>
      <c r="CZ504" s="227"/>
      <c r="DA504"/>
      <c r="DB504"/>
      <c r="DC504"/>
      <c r="DD504"/>
      <c r="DE504"/>
      <c r="DF504"/>
      <c r="DG504"/>
      <c r="DH504" s="227"/>
      <c r="DI504" s="3">
        <v>1</v>
      </c>
    </row>
    <row r="505" spans="2:113" s="627" customFormat="1" ht="21" customHeight="1">
      <c r="B505" s="2265" t="str" cm="1">
        <f t="array" ref="B505">SUMPRODUCT(--(D505:J505&lt;&gt;""), LEN(TRIM(SUBSTITUTE(D505:J505, CHAR(160), "")))) &amp; " Car."</f>
        <v>0 Car.</v>
      </c>
      <c r="C505" s="1376" t="str">
        <f>IF(ISBLANK(D505),"",LARGE(C13:C504,1)+1)</f>
        <v/>
      </c>
      <c r="D505" s="1833"/>
      <c r="E505" s="1810"/>
      <c r="F505" s="1810"/>
      <c r="G505" s="1810"/>
      <c r="H505" s="1810"/>
      <c r="I505" s="1810"/>
      <c r="J505" s="1810"/>
      <c r="K505" s="1810"/>
      <c r="L505" s="1811"/>
      <c r="M505"/>
      <c r="N505" s="103" t="str">
        <f t="shared" si="179"/>
        <v>►</v>
      </c>
      <c r="O505" s="1616"/>
      <c r="P505"/>
      <c r="Q505" s="25" t="s">
        <v>15</v>
      </c>
      <c r="R505" s="31"/>
      <c r="S505" s="32"/>
      <c r="T505" s="31"/>
      <c r="U505" s="33"/>
      <c r="V505" s="1967"/>
      <c r="W505" s="1805"/>
      <c r="X505" s="91"/>
      <c r="Y505" s="1806"/>
      <c r="Z505" s="1968"/>
      <c r="AA505" s="2244"/>
      <c r="AB505" s="1969"/>
      <c r="AC505" s="1365"/>
      <c r="AD505" s="95"/>
      <c r="AE505" s="1326"/>
      <c r="AF505" s="97"/>
      <c r="AG505" s="1737"/>
      <c r="AH505" s="1970"/>
      <c r="AI505" s="99"/>
      <c r="AJ505" s="1809"/>
      <c r="AK505" s="6120" t="str">
        <f t="shared" si="180"/>
        <v>►</v>
      </c>
      <c r="AL505" s="781" t="str">
        <f t="shared" si="182"/>
        <v>►</v>
      </c>
      <c r="AM505" s="5499" t="str">
        <f t="shared" si="185"/>
        <v/>
      </c>
      <c r="AN505" s="783" t="str">
        <f t="shared" si="186"/>
        <v/>
      </c>
      <c r="AO505" s="782" t="str">
        <f t="shared" si="187"/>
        <v/>
      </c>
      <c r="AP505" s="783" t="str">
        <f t="shared" si="188"/>
        <v/>
      </c>
      <c r="AQ505" s="2083" t="b">
        <f>AND(Q505="A",COUNTIF(BP16:BR63,TRIM(Z505))&gt;0)</f>
        <v>0</v>
      </c>
      <c r="AR505" s="797" t="str">
        <f>IF(AL505&lt;&gt;"A","",IFERROR(IFERROR(_xlfn.XLOOKUP(TRIM(SUBSTITUTE(Z505,CHAR(160)," ")),BP16:BP63,BS16:BS63),IFERROR(_xlfn.XLOOKUP(TRIM(SUBSTITUTE(Z505,CHAR(160)," ")),BQ16:BQ63,BS16:BS63),_xlfn.XLOOKUP(TRIM(SUBSTITUTE(Z505,CHAR(160)," ")),BR16:BR63,BS16:BS63)))*Y505*IF(ISBLANK(V505),1,V505),0))</f>
        <v/>
      </c>
      <c r="AS505" s="784" t="str">
        <f t="shared" si="178"/>
        <v/>
      </c>
      <c r="AT505" s="1315" t="str">
        <f t="shared" si="189"/>
        <v/>
      </c>
      <c r="AU505" s="785">
        <f t="shared" si="190"/>
        <v>0</v>
      </c>
      <c r="AV505" s="785">
        <f t="shared" si="191"/>
        <v>0</v>
      </c>
      <c r="AW505" s="786">
        <f>IF(AK505="A",AY10,0)</f>
        <v>0</v>
      </c>
      <c r="AX505" s="5495" t="str">
        <f>IF(IFERROR(SEARCH("Adresse PC",TRIM(W505)),0)&gt;0,"▼ receta siguiente",IF(AK505="A",IF(AZ10&lt;&gt;"",AZ10&amp;" - ou.or.o ❾ + or - &gt;",""),""))</f>
        <v/>
      </c>
      <c r="AY505" s="810"/>
      <c r="AZ505" s="810"/>
      <c r="BA505" s="788" t="str">
        <f t="shared" si="181"/>
        <v/>
      </c>
      <c r="BB505" s="789" t="str">
        <f>IF(AK505="A",IF(AQ505,IF(AND(AW505&lt;&gt;"",N(AW505)&gt;0),IFERROR(IFERROR(_xlfn.XLOOKUP(AP505,BP10:BP57,BT10:BT57),IFERROR(_xlfn.XLOOKUP(AP505,BQ10:BQ57,BT10:BT57),_xlfn.XLOOKUP(AP505,BR10:BR57,BT10:BT57,""))),""),""),""),"")</f>
        <v/>
      </c>
      <c r="BC505" s="811" cm="1">
        <f t="array" ref="BC505">IF(NOT(AQ505),0,IF(OR(BA505="",N(BA505)&lt;=0.000000001),"",IF(OR(AU505="",N(AU505)&lt;=0.000000001),0,IF(ISNUMBER(BA505),IFERROR(_xlfn.LET(_xlpm.ai_test,TRIM(AP505),_xlpm.r,IFERROR(_xlfn.XLOOKUP(_xlpm.ai_test,BP16:BP63,ROW(BP16:BP63),0,1),IFERROR(_xlfn.XLOOKUP(_xlpm.ai_test,BQ16:BQ63,ROW(BQ16:BQ63),0,1),_xlfn.XLOOKUP(_xlpm.ai_test,BR16:BR63,ROW(BR16:BR63),0,1))),_xlpm.p,_xlpm.r-MIN(ROW(BP16:BP63))+1,_xlpm.f,INDEX(BS16:BS63,_xlpm.p),_xlpm.u,INDEX(BT16:BT63,_xlpm.p),_xlpm.s,INDEX(BV16:BV63,_xlpm.p),_xlpm.q,N(BA505)/_xlpm.f,IF(_xlpm.q&gt;=_xlpm.s,ROUND(_xlpm.q,1)&amp;" "&amp;_xlpm.ai_test&amp;" = "&amp;ROUND(_xlpm.q*_xlpm.f,1)&amp;" "&amp;_xlpm.u,ROUND(_xlpm.q,1)&amp;" "&amp;_xlpm.ai_test)),""),""))))</f>
        <v>0</v>
      </c>
      <c r="BD505" s="801"/>
      <c r="BE505" s="788" t="str">
        <f t="shared" si="192"/>
        <v/>
      </c>
      <c r="BF505" s="789" t="str">
        <f t="shared" si="193"/>
        <v/>
      </c>
      <c r="BG505" s="790">
        <f t="shared" si="196"/>
        <v>0</v>
      </c>
      <c r="BH505" s="791" t="str">
        <f t="shared" si="197"/>
        <v/>
      </c>
      <c r="BI505" s="792"/>
      <c r="BJ505" s="793">
        <f t="shared" si="195"/>
        <v>0</v>
      </c>
      <c r="BK505" s="794" t="str">
        <f t="shared" si="194"/>
        <v/>
      </c>
      <c r="BL505" s="227" t="s">
        <v>21</v>
      </c>
      <c r="BM505" s="773">
        <f t="shared" si="183"/>
        <v>0</v>
      </c>
      <c r="BN505" s="774">
        <f t="shared" si="184"/>
        <v>0</v>
      </c>
      <c r="BO505"/>
      <c r="BX505"/>
      <c r="BY505"/>
      <c r="BZ505"/>
      <c r="CA505"/>
      <c r="CB505"/>
      <c r="CC505"/>
      <c r="CD505" s="781" t="str">
        <f t="shared" si="177"/>
        <v>►</v>
      </c>
      <c r="CE505" s="633"/>
      <c r="CF505" s="633"/>
      <c r="CG505" s="633"/>
      <c r="CH505" s="633"/>
      <c r="CI505" s="633"/>
      <c r="CJ505" s="227"/>
      <c r="CK505"/>
      <c r="CL505"/>
      <c r="CM505"/>
      <c r="CN505"/>
      <c r="CO505"/>
      <c r="CP505"/>
      <c r="CQ505"/>
      <c r="CR505" s="227"/>
      <c r="CS505"/>
      <c r="CT505"/>
      <c r="CU505"/>
      <c r="CV505"/>
      <c r="CW505"/>
      <c r="CX505"/>
      <c r="CY505"/>
      <c r="CZ505" s="227"/>
      <c r="DA505"/>
      <c r="DB505"/>
      <c r="DC505"/>
      <c r="DD505"/>
      <c r="DE505"/>
      <c r="DF505"/>
      <c r="DG505"/>
      <c r="DH505" s="227"/>
      <c r="DI505" s="3">
        <v>1</v>
      </c>
    </row>
    <row r="506" spans="2:113" s="627" customFormat="1" ht="21" customHeight="1">
      <c r="B506" s="2265" t="str" cm="1">
        <f t="array" ref="B506">SUMPRODUCT(--(D506:J506&lt;&gt;""), LEN(TRIM(SUBSTITUTE(D506:J506, CHAR(160), "")))) &amp; " Car."</f>
        <v>0 Car.</v>
      </c>
      <c r="C506" s="1376" t="str">
        <f>IF(ISBLANK(D506),"",LARGE(C13:C505,1)+1)</f>
        <v/>
      </c>
      <c r="D506" s="1833"/>
      <c r="E506" s="1810"/>
      <c r="F506" s="1810"/>
      <c r="G506" s="1810"/>
      <c r="H506" s="1810"/>
      <c r="I506" s="1810"/>
      <c r="J506" s="1810"/>
      <c r="K506" s="1810"/>
      <c r="L506" s="1811"/>
      <c r="M506"/>
      <c r="N506" s="103" t="str">
        <f t="shared" si="179"/>
        <v>►</v>
      </c>
      <c r="O506" s="1616"/>
      <c r="P506"/>
      <c r="Q506" s="25" t="s">
        <v>15</v>
      </c>
      <c r="R506" s="31"/>
      <c r="S506" s="32"/>
      <c r="T506" s="31"/>
      <c r="U506" s="33"/>
      <c r="V506" s="1967"/>
      <c r="W506" s="1805"/>
      <c r="X506" s="91"/>
      <c r="Y506" s="1806"/>
      <c r="Z506" s="1968"/>
      <c r="AA506" s="2244"/>
      <c r="AB506" s="1969"/>
      <c r="AC506" s="1365"/>
      <c r="AD506" s="95"/>
      <c r="AE506" s="1326"/>
      <c r="AF506" s="97"/>
      <c r="AG506" s="1737"/>
      <c r="AH506" s="1970"/>
      <c r="AI506" s="99"/>
      <c r="AJ506" s="1809"/>
      <c r="AK506" s="6120" t="str">
        <f t="shared" si="180"/>
        <v>►</v>
      </c>
      <c r="AL506" s="781" t="str">
        <f t="shared" si="182"/>
        <v>►</v>
      </c>
      <c r="AM506" s="5498" t="str">
        <f t="shared" si="185"/>
        <v/>
      </c>
      <c r="AN506" s="783" t="str">
        <f t="shared" si="186"/>
        <v/>
      </c>
      <c r="AO506" s="782" t="str">
        <f t="shared" si="187"/>
        <v/>
      </c>
      <c r="AP506" s="783" t="str">
        <f t="shared" si="188"/>
        <v/>
      </c>
      <c r="AQ506" s="2083" t="b">
        <f>AND(Q506="A",COUNTIF(BP16:BR63,TRIM(Z506))&gt;0)</f>
        <v>0</v>
      </c>
      <c r="AR506" s="797" t="str">
        <f>IF(AL506&lt;&gt;"A","",IFERROR(IFERROR(_xlfn.XLOOKUP(TRIM(SUBSTITUTE(Z506,CHAR(160)," ")),BP16:BP63,BS16:BS63),IFERROR(_xlfn.XLOOKUP(TRIM(SUBSTITUTE(Z506,CHAR(160)," ")),BQ16:BQ63,BS16:BS63),_xlfn.XLOOKUP(TRIM(SUBSTITUTE(Z506,CHAR(160)," ")),BR16:BR63,BS16:BS63)))*Y506*IF(ISBLANK(V506),1,V506),0))</f>
        <v/>
      </c>
      <c r="AS506" s="784" t="str">
        <f t="shared" si="178"/>
        <v/>
      </c>
      <c r="AT506" s="1315" t="str">
        <f t="shared" si="189"/>
        <v/>
      </c>
      <c r="AU506" s="785">
        <f t="shared" si="190"/>
        <v>0</v>
      </c>
      <c r="AV506" s="785">
        <f t="shared" si="191"/>
        <v>0</v>
      </c>
      <c r="AW506" s="798">
        <f>IF(AK506="A",AY10,0)</f>
        <v>0</v>
      </c>
      <c r="AX506" s="5496" t="str">
        <f>IF(IFERROR(SEARCH("Adresse PC",TRIM(W506)),0)&gt;0,"▼ receta siguiente",IF(AK506="A",IF(AZ10&lt;&gt;"",AZ10&amp;" - ou.or.o ❾ + or - &gt;",""),""))</f>
        <v/>
      </c>
      <c r="AY506" s="810"/>
      <c r="AZ506" s="810"/>
      <c r="BA506" s="799" t="str">
        <f t="shared" si="181"/>
        <v/>
      </c>
      <c r="BB506" s="800" t="str">
        <f>IF(AK506="A",IF(AQ506,IF(AND(AW506&lt;&gt;"",N(AW506)&gt;0),IFERROR(IFERROR(_xlfn.XLOOKUP(AP506,BP10:BP57,BT10:BT57),IFERROR(_xlfn.XLOOKUP(AP506,BQ10:BQ57,BT10:BT57),_xlfn.XLOOKUP(AP506,BR10:BR57,BT10:BT57,""))),""),""),""),"")</f>
        <v/>
      </c>
      <c r="BC506" s="813" cm="1">
        <f t="array" ref="BC506">IF(NOT(AQ506),0,IF(OR(BA506="",N(BA506)&lt;=0.000000001),"",IF(OR(AU506="",N(AU506)&lt;=0.000000001),0,IF(ISNUMBER(BA506),IFERROR(_xlfn.LET(_xlpm.ai_test,TRIM(AP506),_xlpm.r,IFERROR(_xlfn.XLOOKUP(_xlpm.ai_test,BP16:BP63,ROW(BP16:BP63),0,1),IFERROR(_xlfn.XLOOKUP(_xlpm.ai_test,BQ16:BQ63,ROW(BQ16:BQ63),0,1),_xlfn.XLOOKUP(_xlpm.ai_test,BR16:BR63,ROW(BR16:BR63),0,1))),_xlpm.p,_xlpm.r-MIN(ROW(BP16:BP63))+1,_xlpm.f,INDEX(BS16:BS63,_xlpm.p),_xlpm.u,INDEX(BT16:BT63,_xlpm.p),_xlpm.s,INDEX(BV16:BV63,_xlpm.p),_xlpm.q,N(BA506)/_xlpm.f,IF(_xlpm.q&gt;=_xlpm.s,ROUND(_xlpm.q,1)&amp;" "&amp;_xlpm.ai_test&amp;" = "&amp;ROUND(_xlpm.q*_xlpm.f,1)&amp;" "&amp;_xlpm.u,ROUND(_xlpm.q,1)&amp;" "&amp;_xlpm.ai_test)),""),""))))</f>
        <v>0</v>
      </c>
      <c r="BD506" s="801"/>
      <c r="BE506" s="799" t="str">
        <f t="shared" si="192"/>
        <v/>
      </c>
      <c r="BF506" s="800" t="str">
        <f t="shared" si="193"/>
        <v/>
      </c>
      <c r="BG506" s="802">
        <f t="shared" si="196"/>
        <v>0</v>
      </c>
      <c r="BH506" s="803" t="str">
        <f t="shared" si="197"/>
        <v/>
      </c>
      <c r="BI506" s="792"/>
      <c r="BJ506" s="804">
        <f t="shared" si="195"/>
        <v>0</v>
      </c>
      <c r="BK506" s="794" t="str">
        <f t="shared" si="194"/>
        <v/>
      </c>
      <c r="BL506" s="227" t="s">
        <v>21</v>
      </c>
      <c r="BM506" s="773">
        <f t="shared" si="183"/>
        <v>0</v>
      </c>
      <c r="BN506" s="774">
        <f t="shared" si="184"/>
        <v>0</v>
      </c>
      <c r="BO506"/>
      <c r="BX506"/>
      <c r="BY506"/>
      <c r="BZ506"/>
      <c r="CA506"/>
      <c r="CB506"/>
      <c r="CC506"/>
      <c r="CD506" s="781" t="str">
        <f t="shared" si="177"/>
        <v>►</v>
      </c>
      <c r="CE506" s="633"/>
      <c r="CF506" s="633"/>
      <c r="CG506" s="633"/>
      <c r="CH506" s="633"/>
      <c r="CI506" s="633"/>
      <c r="CJ506" s="227"/>
      <c r="CK506"/>
      <c r="CL506"/>
      <c r="CM506"/>
      <c r="CN506"/>
      <c r="CO506"/>
      <c r="CP506"/>
      <c r="CQ506"/>
      <c r="CR506" s="227"/>
      <c r="CS506"/>
      <c r="CT506"/>
      <c r="CU506"/>
      <c r="CV506"/>
      <c r="CW506"/>
      <c r="CX506"/>
      <c r="CY506"/>
      <c r="CZ506" s="227"/>
      <c r="DA506"/>
      <c r="DB506"/>
      <c r="DC506"/>
      <c r="DD506"/>
      <c r="DE506"/>
      <c r="DF506"/>
      <c r="DG506"/>
      <c r="DH506" s="227"/>
      <c r="DI506" s="3">
        <v>1</v>
      </c>
    </row>
    <row r="507" spans="2:113" s="627" customFormat="1" ht="21" customHeight="1">
      <c r="B507" s="2265" t="str" cm="1">
        <f t="array" ref="B507">SUMPRODUCT(--(D507:J507&lt;&gt;""), LEN(TRIM(SUBSTITUTE(D507:J507, CHAR(160), "")))) &amp; " Car."</f>
        <v>0 Car.</v>
      </c>
      <c r="C507" s="1376" t="str">
        <f>IF(ISBLANK(D507),"",LARGE(C13:C506,1)+1)</f>
        <v/>
      </c>
      <c r="D507" s="1833"/>
      <c r="E507" s="1810"/>
      <c r="F507" s="1810"/>
      <c r="G507" s="1810"/>
      <c r="H507" s="1810"/>
      <c r="I507" s="1810"/>
      <c r="J507" s="1810"/>
      <c r="K507" s="1810"/>
      <c r="L507" s="1811"/>
      <c r="M507"/>
      <c r="N507" s="103" t="str">
        <f t="shared" si="179"/>
        <v>►</v>
      </c>
      <c r="O507" s="1616"/>
      <c r="P507"/>
      <c r="Q507" s="25" t="s">
        <v>15</v>
      </c>
      <c r="R507" s="31"/>
      <c r="S507" s="32"/>
      <c r="T507" s="31"/>
      <c r="U507" s="33"/>
      <c r="V507" s="1967"/>
      <c r="W507" s="1805"/>
      <c r="X507" s="91"/>
      <c r="Y507" s="1806"/>
      <c r="Z507" s="1968"/>
      <c r="AA507" s="2244"/>
      <c r="AB507" s="1969"/>
      <c r="AC507" s="1365"/>
      <c r="AD507" s="95"/>
      <c r="AE507" s="1326"/>
      <c r="AF507" s="97"/>
      <c r="AG507" s="1737"/>
      <c r="AH507" s="1970"/>
      <c r="AI507" s="99"/>
      <c r="AJ507" s="1809"/>
      <c r="AK507" s="6120" t="str">
        <f t="shared" si="180"/>
        <v>►</v>
      </c>
      <c r="AL507" s="781" t="str">
        <f t="shared" si="182"/>
        <v>►</v>
      </c>
      <c r="AM507" s="5499" t="str">
        <f t="shared" si="185"/>
        <v/>
      </c>
      <c r="AN507" s="783" t="str">
        <f t="shared" si="186"/>
        <v/>
      </c>
      <c r="AO507" s="782" t="str">
        <f t="shared" si="187"/>
        <v/>
      </c>
      <c r="AP507" s="783" t="str">
        <f t="shared" si="188"/>
        <v/>
      </c>
      <c r="AQ507" s="2083" t="b">
        <f>AND(Q507="A",COUNTIF(BP16:BR63,TRIM(Z507))&gt;0)</f>
        <v>0</v>
      </c>
      <c r="AR507" s="797" t="str">
        <f>IF(AL507&lt;&gt;"A","",IFERROR(IFERROR(_xlfn.XLOOKUP(TRIM(SUBSTITUTE(Z507,CHAR(160)," ")),BP16:BP63,BS16:BS63),IFERROR(_xlfn.XLOOKUP(TRIM(SUBSTITUTE(Z507,CHAR(160)," ")),BQ16:BQ63,BS16:BS63),_xlfn.XLOOKUP(TRIM(SUBSTITUTE(Z507,CHAR(160)," ")),BR16:BR63,BS16:BS63)))*Y507*IF(ISBLANK(V507),1,V507),0))</f>
        <v/>
      </c>
      <c r="AS507" s="784" t="str">
        <f t="shared" si="178"/>
        <v/>
      </c>
      <c r="AT507" s="1315" t="str">
        <f t="shared" si="189"/>
        <v/>
      </c>
      <c r="AU507" s="785">
        <f t="shared" si="190"/>
        <v>0</v>
      </c>
      <c r="AV507" s="785">
        <f t="shared" si="191"/>
        <v>0</v>
      </c>
      <c r="AW507" s="786">
        <f>IF(AK507="A",AY10,0)</f>
        <v>0</v>
      </c>
      <c r="AX507" s="5495" t="str">
        <f>IF(IFERROR(SEARCH("Adresse PC",TRIM(W507)),0)&gt;0,"▼ receta siguiente",IF(AK507="A",IF(AZ10&lt;&gt;"",AZ10&amp;" - ou.or.o ❾ + or - &gt;",""),""))</f>
        <v/>
      </c>
      <c r="AY507" s="810"/>
      <c r="AZ507" s="810"/>
      <c r="BA507" s="788" t="str">
        <f t="shared" si="181"/>
        <v/>
      </c>
      <c r="BB507" s="789" t="str">
        <f>IF(AK507="A",IF(AQ507,IF(AND(AW507&lt;&gt;"",N(AW507)&gt;0),IFERROR(IFERROR(_xlfn.XLOOKUP(AP507,BP10:BP57,BT10:BT57),IFERROR(_xlfn.XLOOKUP(AP507,BQ10:BQ57,BT10:BT57),_xlfn.XLOOKUP(AP507,BR10:BR57,BT10:BT57,""))),""),""),""),"")</f>
        <v/>
      </c>
      <c r="BC507" s="811" cm="1">
        <f t="array" ref="BC507">IF(NOT(AQ507),0,IF(OR(BA507="",N(BA507)&lt;=0.000000001),"",IF(OR(AU507="",N(AU507)&lt;=0.000000001),0,IF(ISNUMBER(BA507),IFERROR(_xlfn.LET(_xlpm.ai_test,TRIM(AP507),_xlpm.r,IFERROR(_xlfn.XLOOKUP(_xlpm.ai_test,BP16:BP63,ROW(BP16:BP63),0,1),IFERROR(_xlfn.XLOOKUP(_xlpm.ai_test,BQ16:BQ63,ROW(BQ16:BQ63),0,1),_xlfn.XLOOKUP(_xlpm.ai_test,BR16:BR63,ROW(BR16:BR63),0,1))),_xlpm.p,_xlpm.r-MIN(ROW(BP16:BP63))+1,_xlpm.f,INDEX(BS16:BS63,_xlpm.p),_xlpm.u,INDEX(BT16:BT63,_xlpm.p),_xlpm.s,INDEX(BV16:BV63,_xlpm.p),_xlpm.q,N(BA507)/_xlpm.f,IF(_xlpm.q&gt;=_xlpm.s,ROUND(_xlpm.q,1)&amp;" "&amp;_xlpm.ai_test&amp;" = "&amp;ROUND(_xlpm.q*_xlpm.f,1)&amp;" "&amp;_xlpm.u,ROUND(_xlpm.q,1)&amp;" "&amp;_xlpm.ai_test)),""),""))))</f>
        <v>0</v>
      </c>
      <c r="BD507" s="801"/>
      <c r="BE507" s="788" t="str">
        <f t="shared" si="192"/>
        <v/>
      </c>
      <c r="BF507" s="789" t="str">
        <f t="shared" si="193"/>
        <v/>
      </c>
      <c r="BG507" s="790">
        <f t="shared" si="196"/>
        <v>0</v>
      </c>
      <c r="BH507" s="791" t="str">
        <f t="shared" si="197"/>
        <v/>
      </c>
      <c r="BI507" s="792"/>
      <c r="BJ507" s="793">
        <f t="shared" si="195"/>
        <v>0</v>
      </c>
      <c r="BK507" s="794" t="str">
        <f t="shared" si="194"/>
        <v/>
      </c>
      <c r="BL507" s="227" t="s">
        <v>21</v>
      </c>
      <c r="BM507" s="773">
        <f t="shared" si="183"/>
        <v>0</v>
      </c>
      <c r="BN507" s="774">
        <f t="shared" si="184"/>
        <v>0</v>
      </c>
      <c r="BO507"/>
      <c r="BX507"/>
      <c r="BY507"/>
      <c r="BZ507"/>
      <c r="CA507"/>
      <c r="CB507"/>
      <c r="CC507"/>
      <c r="CD507" s="781" t="str">
        <f t="shared" si="177"/>
        <v>►</v>
      </c>
      <c r="CE507" s="633"/>
      <c r="CF507" s="633"/>
      <c r="CG507" s="633"/>
      <c r="CH507" s="633"/>
      <c r="CI507" s="633"/>
      <c r="CJ507" s="227"/>
      <c r="CK507"/>
      <c r="CL507"/>
      <c r="CM507"/>
      <c r="CN507"/>
      <c r="CO507"/>
      <c r="CP507"/>
      <c r="CQ507"/>
      <c r="CR507" s="227"/>
      <c r="CS507"/>
      <c r="CT507"/>
      <c r="CU507"/>
      <c r="CV507"/>
      <c r="CW507"/>
      <c r="CX507"/>
      <c r="CY507"/>
      <c r="CZ507" s="227"/>
      <c r="DA507"/>
      <c r="DB507"/>
      <c r="DC507"/>
      <c r="DD507"/>
      <c r="DE507"/>
      <c r="DF507"/>
      <c r="DG507"/>
      <c r="DH507" s="227"/>
      <c r="DI507" s="3">
        <v>1</v>
      </c>
    </row>
    <row r="508" spans="2:113" s="627" customFormat="1" ht="21" customHeight="1">
      <c r="B508" s="2265" t="str" cm="1">
        <f t="array" ref="B508">SUMPRODUCT(--(D508:J508&lt;&gt;""), LEN(TRIM(SUBSTITUTE(D508:J508, CHAR(160), "")))) &amp; " Car."</f>
        <v>0 Car.</v>
      </c>
      <c r="C508" s="1376" t="str">
        <f>IF(ISBLANK(D508),"",LARGE(C13:C507,1)+1)</f>
        <v/>
      </c>
      <c r="D508" s="1833"/>
      <c r="E508" s="1810"/>
      <c r="F508" s="1810"/>
      <c r="G508" s="1810"/>
      <c r="H508" s="1810"/>
      <c r="I508" s="1810"/>
      <c r="J508" s="1810"/>
      <c r="K508" s="1810"/>
      <c r="L508" s="1811"/>
      <c r="M508"/>
      <c r="N508" s="103" t="str">
        <f t="shared" si="179"/>
        <v>►</v>
      </c>
      <c r="O508" s="1616"/>
      <c r="P508"/>
      <c r="Q508" s="25" t="s">
        <v>15</v>
      </c>
      <c r="R508" s="31"/>
      <c r="S508" s="32"/>
      <c r="T508" s="31"/>
      <c r="U508" s="33"/>
      <c r="V508" s="1967"/>
      <c r="W508" s="1805"/>
      <c r="X508" s="91"/>
      <c r="Y508" s="1806"/>
      <c r="Z508" s="1968"/>
      <c r="AA508" s="2244"/>
      <c r="AB508" s="1969"/>
      <c r="AC508" s="1365"/>
      <c r="AD508" s="95"/>
      <c r="AE508" s="1326"/>
      <c r="AF508" s="97"/>
      <c r="AG508" s="1737"/>
      <c r="AH508" s="1970"/>
      <c r="AI508" s="99"/>
      <c r="AJ508" s="1809"/>
      <c r="AK508" s="6120" t="str">
        <f t="shared" si="180"/>
        <v>►</v>
      </c>
      <c r="AL508" s="781" t="str">
        <f t="shared" si="182"/>
        <v>►</v>
      </c>
      <c r="AM508" s="5498" t="str">
        <f t="shared" si="185"/>
        <v/>
      </c>
      <c r="AN508" s="783" t="str">
        <f t="shared" si="186"/>
        <v/>
      </c>
      <c r="AO508" s="782" t="str">
        <f t="shared" si="187"/>
        <v/>
      </c>
      <c r="AP508" s="783" t="str">
        <f t="shared" si="188"/>
        <v/>
      </c>
      <c r="AQ508" s="2083" t="b">
        <f>AND(Q508="A",COUNTIF(BP16:BR63,TRIM(Z508))&gt;0)</f>
        <v>0</v>
      </c>
      <c r="AR508" s="797" t="str">
        <f>IF(AL508&lt;&gt;"A","",IFERROR(IFERROR(_xlfn.XLOOKUP(TRIM(SUBSTITUTE(Z508,CHAR(160)," ")),BP16:BP63,BS16:BS63),IFERROR(_xlfn.XLOOKUP(TRIM(SUBSTITUTE(Z508,CHAR(160)," ")),BQ16:BQ63,BS16:BS63),_xlfn.XLOOKUP(TRIM(SUBSTITUTE(Z508,CHAR(160)," ")),BR16:BR63,BS16:BS63)))*Y508*IF(ISBLANK(V508),1,V508),0))</f>
        <v/>
      </c>
      <c r="AS508" s="784" t="str">
        <f t="shared" si="178"/>
        <v/>
      </c>
      <c r="AT508" s="1315" t="str">
        <f t="shared" si="189"/>
        <v/>
      </c>
      <c r="AU508" s="785">
        <f t="shared" si="190"/>
        <v>0</v>
      </c>
      <c r="AV508" s="785">
        <f t="shared" si="191"/>
        <v>0</v>
      </c>
      <c r="AW508" s="798">
        <f>IF(AK508="A",AY10,0)</f>
        <v>0</v>
      </c>
      <c r="AX508" s="5496" t="str">
        <f>IF(IFERROR(SEARCH("Adresse PC",TRIM(W508)),0)&gt;0,"▼ receta siguiente",IF(AK508="A",IF(AZ10&lt;&gt;"",AZ10&amp;" - ou.or.o ❾ + or - &gt;",""),""))</f>
        <v/>
      </c>
      <c r="AY508" s="810"/>
      <c r="AZ508" s="810"/>
      <c r="BA508" s="799" t="str">
        <f t="shared" si="181"/>
        <v/>
      </c>
      <c r="BB508" s="800" t="str">
        <f>IF(AK508="A",IF(AQ508,IF(AND(AW508&lt;&gt;"",N(AW508)&gt;0),IFERROR(IFERROR(_xlfn.XLOOKUP(AP508,BP10:BP57,BT10:BT57),IFERROR(_xlfn.XLOOKUP(AP508,BQ10:BQ57,BT10:BT57),_xlfn.XLOOKUP(AP508,BR10:BR57,BT10:BT57,""))),""),""),""),"")</f>
        <v/>
      </c>
      <c r="BC508" s="813" cm="1">
        <f t="array" ref="BC508">IF(NOT(AQ508),0,IF(OR(BA508="",N(BA508)&lt;=0.000000001),"",IF(OR(AU508="",N(AU508)&lt;=0.000000001),0,IF(ISNUMBER(BA508),IFERROR(_xlfn.LET(_xlpm.ai_test,TRIM(AP508),_xlpm.r,IFERROR(_xlfn.XLOOKUP(_xlpm.ai_test,BP16:BP63,ROW(BP16:BP63),0,1),IFERROR(_xlfn.XLOOKUP(_xlpm.ai_test,BQ16:BQ63,ROW(BQ16:BQ63),0,1),_xlfn.XLOOKUP(_xlpm.ai_test,BR16:BR63,ROW(BR16:BR63),0,1))),_xlpm.p,_xlpm.r-MIN(ROW(BP16:BP63))+1,_xlpm.f,INDEX(BS16:BS63,_xlpm.p),_xlpm.u,INDEX(BT16:BT63,_xlpm.p),_xlpm.s,INDEX(BV16:BV63,_xlpm.p),_xlpm.q,N(BA508)/_xlpm.f,IF(_xlpm.q&gt;=_xlpm.s,ROUND(_xlpm.q,1)&amp;" "&amp;_xlpm.ai_test&amp;" = "&amp;ROUND(_xlpm.q*_xlpm.f,1)&amp;" "&amp;_xlpm.u,ROUND(_xlpm.q,1)&amp;" "&amp;_xlpm.ai_test)),""),""))))</f>
        <v>0</v>
      </c>
      <c r="BD508" s="801"/>
      <c r="BE508" s="799" t="str">
        <f t="shared" si="192"/>
        <v/>
      </c>
      <c r="BF508" s="800" t="str">
        <f t="shared" si="193"/>
        <v/>
      </c>
      <c r="BG508" s="802">
        <f t="shared" si="196"/>
        <v>0</v>
      </c>
      <c r="BH508" s="803" t="str">
        <f t="shared" si="197"/>
        <v/>
      </c>
      <c r="BI508" s="792"/>
      <c r="BJ508" s="804">
        <f t="shared" si="195"/>
        <v>0</v>
      </c>
      <c r="BK508" s="794" t="str">
        <f t="shared" si="194"/>
        <v/>
      </c>
      <c r="BL508" s="227" t="s">
        <v>21</v>
      </c>
      <c r="BM508" s="773">
        <f t="shared" si="183"/>
        <v>0</v>
      </c>
      <c r="BN508" s="774">
        <f t="shared" si="184"/>
        <v>0</v>
      </c>
      <c r="BO508"/>
      <c r="BX508"/>
      <c r="BY508"/>
      <c r="BZ508"/>
      <c r="CA508"/>
      <c r="CB508"/>
      <c r="CC508"/>
      <c r="CD508" s="781" t="str">
        <f t="shared" si="177"/>
        <v>►</v>
      </c>
      <c r="CE508" s="633"/>
      <c r="CF508" s="633"/>
      <c r="CG508" s="633"/>
      <c r="CH508" s="633"/>
      <c r="CI508" s="633"/>
      <c r="CJ508" s="227"/>
      <c r="CK508"/>
      <c r="CL508"/>
      <c r="CM508"/>
      <c r="CN508"/>
      <c r="CO508"/>
      <c r="CP508"/>
      <c r="CQ508"/>
      <c r="CR508" s="227"/>
      <c r="CS508"/>
      <c r="CT508"/>
      <c r="CU508"/>
      <c r="CV508"/>
      <c r="CW508"/>
      <c r="CX508"/>
      <c r="CY508"/>
      <c r="CZ508" s="227"/>
      <c r="DA508"/>
      <c r="DB508"/>
      <c r="DC508"/>
      <c r="DD508"/>
      <c r="DE508"/>
      <c r="DF508"/>
      <c r="DG508"/>
      <c r="DH508" s="227"/>
      <c r="DI508" s="3">
        <v>1</v>
      </c>
    </row>
    <row r="509" spans="2:113" s="627" customFormat="1" ht="21" customHeight="1">
      <c r="B509" s="2265" t="str" cm="1">
        <f t="array" ref="B509">SUMPRODUCT(--(D509:J509&lt;&gt;""), LEN(TRIM(SUBSTITUTE(D509:J509, CHAR(160), "")))) &amp; " Car."</f>
        <v>0 Car.</v>
      </c>
      <c r="C509" s="1376" t="str">
        <f>IF(ISBLANK(D509),"",LARGE(C13:C508,1)+1)</f>
        <v/>
      </c>
      <c r="D509" s="1833"/>
      <c r="E509" s="1810"/>
      <c r="F509" s="1810"/>
      <c r="G509" s="1810"/>
      <c r="H509" s="1810"/>
      <c r="I509" s="1810"/>
      <c r="J509" s="1810"/>
      <c r="K509" s="1810"/>
      <c r="L509" s="1811"/>
      <c r="M509"/>
      <c r="N509" s="103" t="str">
        <f t="shared" si="179"/>
        <v>►</v>
      </c>
      <c r="O509" s="1616"/>
      <c r="P509"/>
      <c r="Q509" s="25" t="s">
        <v>15</v>
      </c>
      <c r="R509" s="31"/>
      <c r="S509" s="32"/>
      <c r="T509" s="31"/>
      <c r="U509" s="33"/>
      <c r="V509" s="1967"/>
      <c r="W509" s="1805"/>
      <c r="X509" s="91"/>
      <c r="Y509" s="1806"/>
      <c r="Z509" s="1968"/>
      <c r="AA509" s="2244"/>
      <c r="AB509" s="1969"/>
      <c r="AC509" s="1365"/>
      <c r="AD509" s="95"/>
      <c r="AE509" s="1326"/>
      <c r="AF509" s="97"/>
      <c r="AG509" s="1737"/>
      <c r="AH509" s="1970"/>
      <c r="AI509" s="99"/>
      <c r="AJ509" s="1809"/>
      <c r="AK509" s="6120" t="str">
        <f t="shared" si="180"/>
        <v>►</v>
      </c>
      <c r="AL509" s="781" t="str">
        <f t="shared" si="182"/>
        <v>►</v>
      </c>
      <c r="AM509" s="5499" t="str">
        <f t="shared" si="185"/>
        <v/>
      </c>
      <c r="AN509" s="783" t="str">
        <f t="shared" si="186"/>
        <v/>
      </c>
      <c r="AO509" s="782" t="str">
        <f t="shared" si="187"/>
        <v/>
      </c>
      <c r="AP509" s="783" t="str">
        <f t="shared" si="188"/>
        <v/>
      </c>
      <c r="AQ509" s="2083" t="b">
        <f>AND(Q509="A",COUNTIF(BP16:BR63,TRIM(Z509))&gt;0)</f>
        <v>0</v>
      </c>
      <c r="AR509" s="797" t="str">
        <f>IF(AL509&lt;&gt;"A","",IFERROR(IFERROR(_xlfn.XLOOKUP(TRIM(SUBSTITUTE(Z509,CHAR(160)," ")),BP16:BP63,BS16:BS63),IFERROR(_xlfn.XLOOKUP(TRIM(SUBSTITUTE(Z509,CHAR(160)," ")),BQ16:BQ63,BS16:BS63),_xlfn.XLOOKUP(TRIM(SUBSTITUTE(Z509,CHAR(160)," ")),BR16:BR63,BS16:BS63)))*Y509*IF(ISBLANK(V509),1,V509),0))</f>
        <v/>
      </c>
      <c r="AS509" s="784" t="str">
        <f t="shared" si="178"/>
        <v/>
      </c>
      <c r="AT509" s="1315" t="str">
        <f t="shared" si="189"/>
        <v/>
      </c>
      <c r="AU509" s="785">
        <f t="shared" si="190"/>
        <v>0</v>
      </c>
      <c r="AV509" s="785">
        <f t="shared" si="191"/>
        <v>0</v>
      </c>
      <c r="AW509" s="786">
        <f>IF(AK509="A",AY10,0)</f>
        <v>0</v>
      </c>
      <c r="AX509" s="5495" t="str">
        <f>IF(IFERROR(SEARCH("Adresse PC",TRIM(W509)),0)&gt;0,"▼ receta siguiente",IF(AK509="A",IF(AZ10&lt;&gt;"",AZ10&amp;" - ou.or.o ❾ + or - &gt;",""),""))</f>
        <v/>
      </c>
      <c r="AY509" s="810"/>
      <c r="AZ509" s="810"/>
      <c r="BA509" s="788" t="str">
        <f t="shared" si="181"/>
        <v/>
      </c>
      <c r="BB509" s="789" t="str">
        <f>IF(AK509="A",IF(AQ509,IF(AND(AW509&lt;&gt;"",N(AW509)&gt;0),IFERROR(IFERROR(_xlfn.XLOOKUP(AP509,BP10:BP57,BT10:BT57),IFERROR(_xlfn.XLOOKUP(AP509,BQ10:BQ57,BT10:BT57),_xlfn.XLOOKUP(AP509,BR10:BR57,BT10:BT57,""))),""),""),""),"")</f>
        <v/>
      </c>
      <c r="BC509" s="811" cm="1">
        <f t="array" ref="BC509">IF(NOT(AQ509),0,IF(OR(BA509="",N(BA509)&lt;=0.000000001),"",IF(OR(AU509="",N(AU509)&lt;=0.000000001),0,IF(ISNUMBER(BA509),IFERROR(_xlfn.LET(_xlpm.ai_test,TRIM(AP509),_xlpm.r,IFERROR(_xlfn.XLOOKUP(_xlpm.ai_test,BP16:BP63,ROW(BP16:BP63),0,1),IFERROR(_xlfn.XLOOKUP(_xlpm.ai_test,BQ16:BQ63,ROW(BQ16:BQ63),0,1),_xlfn.XLOOKUP(_xlpm.ai_test,BR16:BR63,ROW(BR16:BR63),0,1))),_xlpm.p,_xlpm.r-MIN(ROW(BP16:BP63))+1,_xlpm.f,INDEX(BS16:BS63,_xlpm.p),_xlpm.u,INDEX(BT16:BT63,_xlpm.p),_xlpm.s,INDEX(BV16:BV63,_xlpm.p),_xlpm.q,N(BA509)/_xlpm.f,IF(_xlpm.q&gt;=_xlpm.s,ROUND(_xlpm.q,1)&amp;" "&amp;_xlpm.ai_test&amp;" = "&amp;ROUND(_xlpm.q*_xlpm.f,1)&amp;" "&amp;_xlpm.u,ROUND(_xlpm.q,1)&amp;" "&amp;_xlpm.ai_test)),""),""))))</f>
        <v>0</v>
      </c>
      <c r="BD509" s="801"/>
      <c r="BE509" s="788" t="str">
        <f t="shared" si="192"/>
        <v/>
      </c>
      <c r="BF509" s="789" t="str">
        <f t="shared" si="193"/>
        <v/>
      </c>
      <c r="BG509" s="790">
        <f t="shared" si="196"/>
        <v>0</v>
      </c>
      <c r="BH509" s="791" t="str">
        <f t="shared" si="197"/>
        <v/>
      </c>
      <c r="BI509" s="792"/>
      <c r="BJ509" s="793">
        <f t="shared" si="195"/>
        <v>0</v>
      </c>
      <c r="BK509" s="794" t="str">
        <f t="shared" si="194"/>
        <v/>
      </c>
      <c r="BL509" s="227" t="s">
        <v>21</v>
      </c>
      <c r="BM509" s="773">
        <f t="shared" si="183"/>
        <v>0</v>
      </c>
      <c r="BN509" s="774">
        <f t="shared" si="184"/>
        <v>0</v>
      </c>
      <c r="BO509"/>
      <c r="BX509"/>
      <c r="BY509"/>
      <c r="BZ509"/>
      <c r="CA509"/>
      <c r="CB509"/>
      <c r="CC509"/>
      <c r="CD509" s="781" t="str">
        <f t="shared" si="177"/>
        <v>►</v>
      </c>
      <c r="CE509" s="633"/>
      <c r="CF509" s="633"/>
      <c r="CG509" s="633"/>
      <c r="CH509" s="633"/>
      <c r="CI509" s="633"/>
      <c r="CJ509" s="227"/>
      <c r="CK509"/>
      <c r="CL509"/>
      <c r="CM509"/>
      <c r="CN509"/>
      <c r="CO509"/>
      <c r="CP509"/>
      <c r="CQ509"/>
      <c r="CR509" s="227"/>
      <c r="CS509"/>
      <c r="CT509"/>
      <c r="CU509"/>
      <c r="CV509"/>
      <c r="CW509"/>
      <c r="CX509"/>
      <c r="CY509"/>
      <c r="CZ509" s="227"/>
      <c r="DA509"/>
      <c r="DB509"/>
      <c r="DC509"/>
      <c r="DD509"/>
      <c r="DE509"/>
      <c r="DF509"/>
      <c r="DG509"/>
      <c r="DH509" s="227"/>
      <c r="DI509" s="3">
        <v>1</v>
      </c>
    </row>
    <row r="510" spans="2:113" s="627" customFormat="1" ht="21" customHeight="1">
      <c r="B510" s="2265" t="str" cm="1">
        <f t="array" ref="B510">SUMPRODUCT(--(D510:J510&lt;&gt;""), LEN(TRIM(SUBSTITUTE(D510:J510, CHAR(160), "")))) &amp; " Car."</f>
        <v>0 Car.</v>
      </c>
      <c r="C510" s="1376" t="str">
        <f>IF(ISBLANK(D510),"",LARGE(C13:C509,1)+1)</f>
        <v/>
      </c>
      <c r="D510" s="1833"/>
      <c r="E510" s="1810"/>
      <c r="F510" s="1810"/>
      <c r="G510" s="1810"/>
      <c r="H510" s="1810"/>
      <c r="I510" s="1810"/>
      <c r="J510" s="1810"/>
      <c r="K510" s="1810"/>
      <c r="L510" s="1811"/>
      <c r="M510"/>
      <c r="N510" s="103" t="str">
        <f t="shared" si="179"/>
        <v>►</v>
      </c>
      <c r="O510" s="1616"/>
      <c r="P510"/>
      <c r="Q510" s="25" t="s">
        <v>15</v>
      </c>
      <c r="R510" s="31"/>
      <c r="S510" s="32"/>
      <c r="T510" s="31"/>
      <c r="U510" s="33"/>
      <c r="V510" s="1967"/>
      <c r="W510" s="1805"/>
      <c r="X510" s="91"/>
      <c r="Y510" s="1806"/>
      <c r="Z510" s="1968"/>
      <c r="AA510" s="2244"/>
      <c r="AB510" s="1969"/>
      <c r="AC510" s="1365"/>
      <c r="AD510" s="95"/>
      <c r="AE510" s="1326"/>
      <c r="AF510" s="97"/>
      <c r="AG510" s="1737"/>
      <c r="AH510" s="1970"/>
      <c r="AI510" s="99"/>
      <c r="AJ510" s="1809"/>
      <c r="AK510" s="6120" t="str">
        <f t="shared" si="180"/>
        <v>►</v>
      </c>
      <c r="AL510" s="781" t="str">
        <f t="shared" si="182"/>
        <v>►</v>
      </c>
      <c r="AM510" s="5498" t="str">
        <f t="shared" si="185"/>
        <v/>
      </c>
      <c r="AN510" s="783" t="str">
        <f t="shared" si="186"/>
        <v/>
      </c>
      <c r="AO510" s="782" t="str">
        <f t="shared" si="187"/>
        <v/>
      </c>
      <c r="AP510" s="783" t="str">
        <f t="shared" si="188"/>
        <v/>
      </c>
      <c r="AQ510" s="2083" t="b">
        <f>AND(Q510="A",COUNTIF(BP16:BR63,TRIM(Z510))&gt;0)</f>
        <v>0</v>
      </c>
      <c r="AR510" s="797" t="str">
        <f>IF(AL510&lt;&gt;"A","",IFERROR(IFERROR(_xlfn.XLOOKUP(TRIM(SUBSTITUTE(Z510,CHAR(160)," ")),BP16:BP63,BS16:BS63),IFERROR(_xlfn.XLOOKUP(TRIM(SUBSTITUTE(Z510,CHAR(160)," ")),BQ16:BQ63,BS16:BS63),_xlfn.XLOOKUP(TRIM(SUBSTITUTE(Z510,CHAR(160)," ")),BR16:BR63,BS16:BS63)))*Y510*IF(ISBLANK(V510),1,V510),0))</f>
        <v/>
      </c>
      <c r="AS510" s="784" t="str">
        <f t="shared" si="178"/>
        <v/>
      </c>
      <c r="AT510" s="1315" t="str">
        <f t="shared" si="189"/>
        <v/>
      </c>
      <c r="AU510" s="785">
        <f t="shared" si="190"/>
        <v>0</v>
      </c>
      <c r="AV510" s="785">
        <f t="shared" si="191"/>
        <v>0</v>
      </c>
      <c r="AW510" s="798">
        <f>IF(AK510="A",AY10,0)</f>
        <v>0</v>
      </c>
      <c r="AX510" s="5496" t="str">
        <f>IF(IFERROR(SEARCH("Adresse PC",TRIM(W510)),0)&gt;0,"▼ receta siguiente",IF(AK510="A",IF(AZ10&lt;&gt;"",AZ10&amp;" - ou.or.o ❾ + or - &gt;",""),""))</f>
        <v/>
      </c>
      <c r="AY510" s="810"/>
      <c r="AZ510" s="810"/>
      <c r="BA510" s="799" t="str">
        <f t="shared" si="181"/>
        <v/>
      </c>
      <c r="BB510" s="800" t="str">
        <f>IF(AK510="A",IF(AQ510,IF(AND(AW510&lt;&gt;"",N(AW510)&gt;0),IFERROR(IFERROR(_xlfn.XLOOKUP(AP510,BP10:BP57,BT10:BT57),IFERROR(_xlfn.XLOOKUP(AP510,BQ10:BQ57,BT10:BT57),_xlfn.XLOOKUP(AP510,BR10:BR57,BT10:BT57,""))),""),""),""),"")</f>
        <v/>
      </c>
      <c r="BC510" s="813" cm="1">
        <f t="array" ref="BC510">IF(NOT(AQ510),0,IF(OR(BA510="",N(BA510)&lt;=0.000000001),"",IF(OR(AU510="",N(AU510)&lt;=0.000000001),0,IF(ISNUMBER(BA510),IFERROR(_xlfn.LET(_xlpm.ai_test,TRIM(AP510),_xlpm.r,IFERROR(_xlfn.XLOOKUP(_xlpm.ai_test,BP16:BP63,ROW(BP16:BP63),0,1),IFERROR(_xlfn.XLOOKUP(_xlpm.ai_test,BQ16:BQ63,ROW(BQ16:BQ63),0,1),_xlfn.XLOOKUP(_xlpm.ai_test,BR16:BR63,ROW(BR16:BR63),0,1))),_xlpm.p,_xlpm.r-MIN(ROW(BP16:BP63))+1,_xlpm.f,INDEX(BS16:BS63,_xlpm.p),_xlpm.u,INDEX(BT16:BT63,_xlpm.p),_xlpm.s,INDEX(BV16:BV63,_xlpm.p),_xlpm.q,N(BA510)/_xlpm.f,IF(_xlpm.q&gt;=_xlpm.s,ROUND(_xlpm.q,1)&amp;" "&amp;_xlpm.ai_test&amp;" = "&amp;ROUND(_xlpm.q*_xlpm.f,1)&amp;" "&amp;_xlpm.u,ROUND(_xlpm.q,1)&amp;" "&amp;_xlpm.ai_test)),""),""))))</f>
        <v>0</v>
      </c>
      <c r="BD510" s="801"/>
      <c r="BE510" s="799" t="str">
        <f t="shared" si="192"/>
        <v/>
      </c>
      <c r="BF510" s="800" t="str">
        <f t="shared" si="193"/>
        <v/>
      </c>
      <c r="BG510" s="802">
        <f t="shared" si="196"/>
        <v>0</v>
      </c>
      <c r="BH510" s="803" t="str">
        <f t="shared" si="197"/>
        <v/>
      </c>
      <c r="BI510" s="792"/>
      <c r="BJ510" s="804">
        <f t="shared" si="195"/>
        <v>0</v>
      </c>
      <c r="BK510" s="794" t="str">
        <f t="shared" si="194"/>
        <v/>
      </c>
      <c r="BL510" s="227" t="s">
        <v>21</v>
      </c>
      <c r="BM510" s="773">
        <f t="shared" si="183"/>
        <v>0</v>
      </c>
      <c r="BN510" s="774">
        <f t="shared" si="184"/>
        <v>0</v>
      </c>
      <c r="BO510"/>
      <c r="BX510"/>
      <c r="BY510"/>
      <c r="BZ510"/>
      <c r="CA510"/>
      <c r="CB510"/>
      <c r="CC510"/>
      <c r="CD510" s="781" t="str">
        <f t="shared" si="177"/>
        <v>►</v>
      </c>
      <c r="CE510" s="633"/>
      <c r="CF510" s="633"/>
      <c r="CG510" s="633"/>
      <c r="CH510" s="633"/>
      <c r="CI510" s="633"/>
      <c r="CJ510" s="227"/>
      <c r="CK510"/>
      <c r="CL510"/>
      <c r="CM510"/>
      <c r="CN510"/>
      <c r="CO510"/>
      <c r="CP510"/>
      <c r="CQ510"/>
      <c r="CR510" s="227"/>
      <c r="CS510"/>
      <c r="CT510"/>
      <c r="CU510"/>
      <c r="CV510"/>
      <c r="CW510"/>
      <c r="CX510"/>
      <c r="CY510"/>
      <c r="CZ510" s="227"/>
      <c r="DA510"/>
      <c r="DB510"/>
      <c r="DC510"/>
      <c r="DD510"/>
      <c r="DE510"/>
      <c r="DF510"/>
      <c r="DG510"/>
      <c r="DH510" s="227"/>
      <c r="DI510" s="3">
        <v>1</v>
      </c>
    </row>
    <row r="511" spans="2:113" s="627" customFormat="1" ht="21" customHeight="1">
      <c r="B511" s="2265" t="str" cm="1">
        <f t="array" ref="B511">SUMPRODUCT(--(D511:J511&lt;&gt;""), LEN(TRIM(SUBSTITUTE(D511:J511, CHAR(160), "")))) &amp; " Car."</f>
        <v>0 Car.</v>
      </c>
      <c r="C511" s="1376" t="str">
        <f>IF(ISBLANK(D511),"",LARGE(C13:C510,1)+1)</f>
        <v/>
      </c>
      <c r="D511" s="1833"/>
      <c r="E511" s="1810"/>
      <c r="F511" s="1810"/>
      <c r="G511" s="1810"/>
      <c r="H511" s="1810"/>
      <c r="I511" s="1810"/>
      <c r="J511" s="1810"/>
      <c r="K511" s="1810"/>
      <c r="L511" s="1811"/>
      <c r="M511"/>
      <c r="N511" s="103" t="str">
        <f t="shared" si="179"/>
        <v>►</v>
      </c>
      <c r="O511" s="1616"/>
      <c r="P511"/>
      <c r="Q511" s="25" t="s">
        <v>15</v>
      </c>
      <c r="R511" s="31"/>
      <c r="S511" s="32"/>
      <c r="T511" s="31"/>
      <c r="U511" s="33"/>
      <c r="V511" s="1967"/>
      <c r="W511" s="1805"/>
      <c r="X511" s="91"/>
      <c r="Y511" s="1806"/>
      <c r="Z511" s="1968"/>
      <c r="AA511" s="2244"/>
      <c r="AB511" s="1969"/>
      <c r="AC511" s="1365"/>
      <c r="AD511" s="95"/>
      <c r="AE511" s="1326"/>
      <c r="AF511" s="97"/>
      <c r="AG511" s="1737"/>
      <c r="AH511" s="1970"/>
      <c r="AI511" s="99"/>
      <c r="AJ511" s="1809"/>
      <c r="AK511" s="6120" t="str">
        <f t="shared" si="180"/>
        <v>►</v>
      </c>
      <c r="AL511" s="781" t="str">
        <f t="shared" si="182"/>
        <v>►</v>
      </c>
      <c r="AM511" s="5499" t="str">
        <f t="shared" si="185"/>
        <v/>
      </c>
      <c r="AN511" s="783" t="str">
        <f t="shared" si="186"/>
        <v/>
      </c>
      <c r="AO511" s="782" t="str">
        <f t="shared" si="187"/>
        <v/>
      </c>
      <c r="AP511" s="783" t="str">
        <f t="shared" si="188"/>
        <v/>
      </c>
      <c r="AQ511" s="2083" t="b">
        <f>AND(Q511="A",COUNTIF(BP16:BR63,TRIM(Z511))&gt;0)</f>
        <v>0</v>
      </c>
      <c r="AR511" s="797" t="str">
        <f>IF(AL511&lt;&gt;"A","",IFERROR(IFERROR(_xlfn.XLOOKUP(TRIM(SUBSTITUTE(Z511,CHAR(160)," ")),BP16:BP63,BS16:BS63),IFERROR(_xlfn.XLOOKUP(TRIM(SUBSTITUTE(Z511,CHAR(160)," ")),BQ16:BQ63,BS16:BS63),_xlfn.XLOOKUP(TRIM(SUBSTITUTE(Z511,CHAR(160)," ")),BR16:BR63,BS16:BS63)))*Y511*IF(ISBLANK(V511),1,V511),0))</f>
        <v/>
      </c>
      <c r="AS511" s="784" t="str">
        <f t="shared" si="178"/>
        <v/>
      </c>
      <c r="AT511" s="1315" t="str">
        <f t="shared" si="189"/>
        <v/>
      </c>
      <c r="AU511" s="785">
        <f t="shared" si="190"/>
        <v>0</v>
      </c>
      <c r="AV511" s="785">
        <f t="shared" si="191"/>
        <v>0</v>
      </c>
      <c r="AW511" s="786">
        <f>IF(AK511="A",AY10,0)</f>
        <v>0</v>
      </c>
      <c r="AX511" s="5495" t="str">
        <f>IF(IFERROR(SEARCH("Adresse PC",TRIM(W511)),0)&gt;0,"▼ receta siguiente",IF(AK511="A",IF(AZ10&lt;&gt;"",AZ10&amp;" - ou.or.o ❾ + or - &gt;",""),""))</f>
        <v/>
      </c>
      <c r="AY511" s="810"/>
      <c r="AZ511" s="810"/>
      <c r="BA511" s="788" t="str">
        <f t="shared" si="181"/>
        <v/>
      </c>
      <c r="BB511" s="789" t="str">
        <f>IF(AK511="A",IF(AQ511,IF(AND(AW511&lt;&gt;"",N(AW511)&gt;0),IFERROR(IFERROR(_xlfn.XLOOKUP(AP511,BP10:BP57,BT10:BT57),IFERROR(_xlfn.XLOOKUP(AP511,BQ10:BQ57,BT10:BT57),_xlfn.XLOOKUP(AP511,BR10:BR57,BT10:BT57,""))),""),""),""),"")</f>
        <v/>
      </c>
      <c r="BC511" s="811" cm="1">
        <f t="array" ref="BC511">IF(NOT(AQ511),0,IF(OR(BA511="",N(BA511)&lt;=0.000000001),"",IF(OR(AU511="",N(AU511)&lt;=0.000000001),0,IF(ISNUMBER(BA511),IFERROR(_xlfn.LET(_xlpm.ai_test,TRIM(AP511),_xlpm.r,IFERROR(_xlfn.XLOOKUP(_xlpm.ai_test,BP16:BP63,ROW(BP16:BP63),0,1),IFERROR(_xlfn.XLOOKUP(_xlpm.ai_test,BQ16:BQ63,ROW(BQ16:BQ63),0,1),_xlfn.XLOOKUP(_xlpm.ai_test,BR16:BR63,ROW(BR16:BR63),0,1))),_xlpm.p,_xlpm.r-MIN(ROW(BP16:BP63))+1,_xlpm.f,INDEX(BS16:BS63,_xlpm.p),_xlpm.u,INDEX(BT16:BT63,_xlpm.p),_xlpm.s,INDEX(BV16:BV63,_xlpm.p),_xlpm.q,N(BA511)/_xlpm.f,IF(_xlpm.q&gt;=_xlpm.s,ROUND(_xlpm.q,1)&amp;" "&amp;_xlpm.ai_test&amp;" = "&amp;ROUND(_xlpm.q*_xlpm.f,1)&amp;" "&amp;_xlpm.u,ROUND(_xlpm.q,1)&amp;" "&amp;_xlpm.ai_test)),""),""))))</f>
        <v>0</v>
      </c>
      <c r="BD511" s="801"/>
      <c r="BE511" s="788" t="str">
        <f t="shared" si="192"/>
        <v/>
      </c>
      <c r="BF511" s="789" t="str">
        <f t="shared" si="193"/>
        <v/>
      </c>
      <c r="BG511" s="790">
        <f t="shared" si="196"/>
        <v>0</v>
      </c>
      <c r="BH511" s="791" t="str">
        <f t="shared" si="197"/>
        <v/>
      </c>
      <c r="BI511" s="792"/>
      <c r="BJ511" s="793">
        <f t="shared" si="195"/>
        <v>0</v>
      </c>
      <c r="BK511" s="794" t="str">
        <f t="shared" si="194"/>
        <v/>
      </c>
      <c r="BL511" s="227" t="s">
        <v>21</v>
      </c>
      <c r="BM511" s="773">
        <f t="shared" si="183"/>
        <v>0</v>
      </c>
      <c r="BN511" s="774">
        <f t="shared" si="184"/>
        <v>0</v>
      </c>
      <c r="BO511"/>
      <c r="BX511"/>
      <c r="BY511"/>
      <c r="BZ511"/>
      <c r="CA511"/>
      <c r="CB511"/>
      <c r="CC511"/>
      <c r="CD511" s="781" t="str">
        <f t="shared" si="177"/>
        <v>►</v>
      </c>
      <c r="CE511" s="633"/>
      <c r="CF511" s="633"/>
      <c r="CG511" s="633"/>
      <c r="CH511" s="633"/>
      <c r="CI511" s="633"/>
      <c r="CJ511" s="227"/>
      <c r="CK511"/>
      <c r="CL511"/>
      <c r="CM511"/>
      <c r="CN511"/>
      <c r="CO511"/>
      <c r="CP511"/>
      <c r="CQ511"/>
      <c r="CR511" s="227"/>
      <c r="CS511"/>
      <c r="CT511"/>
      <c r="CU511"/>
      <c r="CV511"/>
      <c r="CW511"/>
      <c r="CX511"/>
      <c r="CY511"/>
      <c r="CZ511" s="227"/>
      <c r="DA511"/>
      <c r="DB511"/>
      <c r="DC511"/>
      <c r="DD511"/>
      <c r="DE511"/>
      <c r="DF511"/>
      <c r="DG511"/>
      <c r="DH511" s="227"/>
      <c r="DI511" s="3">
        <v>1</v>
      </c>
    </row>
    <row r="512" spans="2:113" s="627" customFormat="1" ht="21" customHeight="1">
      <c r="B512" s="2265" t="str" cm="1">
        <f t="array" ref="B512">SUMPRODUCT(--(D512:J512&lt;&gt;""), LEN(TRIM(SUBSTITUTE(D512:J512, CHAR(160), "")))) &amp; " Car."</f>
        <v>0 Car.</v>
      </c>
      <c r="C512" s="1376" t="str">
        <f>IF(ISBLANK(D512),"",LARGE(C13:C511,1)+1)</f>
        <v/>
      </c>
      <c r="D512" s="1833"/>
      <c r="E512" s="1810"/>
      <c r="F512" s="1810"/>
      <c r="G512" s="1810"/>
      <c r="H512" s="1810"/>
      <c r="I512" s="1810"/>
      <c r="J512" s="1810"/>
      <c r="K512" s="1810"/>
      <c r="L512" s="1811"/>
      <c r="M512"/>
      <c r="N512" s="103" t="str">
        <f t="shared" si="179"/>
        <v>►</v>
      </c>
      <c r="O512" s="1616"/>
      <c r="P512"/>
      <c r="Q512" s="25" t="s">
        <v>15</v>
      </c>
      <c r="R512" s="31"/>
      <c r="S512" s="32"/>
      <c r="T512" s="31"/>
      <c r="U512" s="33"/>
      <c r="V512" s="1967"/>
      <c r="W512" s="1805"/>
      <c r="X512" s="91"/>
      <c r="Y512" s="1806"/>
      <c r="Z512" s="1968"/>
      <c r="AA512" s="2244"/>
      <c r="AB512" s="1969"/>
      <c r="AC512" s="1365"/>
      <c r="AD512" s="95"/>
      <c r="AE512" s="1326"/>
      <c r="AF512" s="97"/>
      <c r="AG512" s="1737"/>
      <c r="AH512" s="1970"/>
      <c r="AI512" s="99"/>
      <c r="AJ512" s="1809"/>
      <c r="AK512" s="6120" t="str">
        <f t="shared" si="180"/>
        <v>►</v>
      </c>
      <c r="AL512" s="781" t="str">
        <f t="shared" si="182"/>
        <v>►</v>
      </c>
      <c r="AM512" s="5498" t="str">
        <f t="shared" si="185"/>
        <v/>
      </c>
      <c r="AN512" s="783" t="str">
        <f t="shared" si="186"/>
        <v/>
      </c>
      <c r="AO512" s="782" t="str">
        <f t="shared" si="187"/>
        <v/>
      </c>
      <c r="AP512" s="783" t="str">
        <f t="shared" si="188"/>
        <v/>
      </c>
      <c r="AQ512" s="2083" t="b">
        <f>AND(Q512="A",COUNTIF(BP16:BR63,TRIM(Z512))&gt;0)</f>
        <v>0</v>
      </c>
      <c r="AR512" s="797" t="str">
        <f>IF(AL512&lt;&gt;"A","",IFERROR(IFERROR(_xlfn.XLOOKUP(TRIM(SUBSTITUTE(Z512,CHAR(160)," ")),BP16:BP63,BS16:BS63),IFERROR(_xlfn.XLOOKUP(TRIM(SUBSTITUTE(Z512,CHAR(160)," ")),BQ16:BQ63,BS16:BS63),_xlfn.XLOOKUP(TRIM(SUBSTITUTE(Z512,CHAR(160)," ")),BR16:BR63,BS16:BS63)))*Y512*IF(ISBLANK(V512),1,V512),0))</f>
        <v/>
      </c>
      <c r="AS512" s="784" t="str">
        <f t="shared" si="178"/>
        <v/>
      </c>
      <c r="AT512" s="1315" t="str">
        <f t="shared" si="189"/>
        <v/>
      </c>
      <c r="AU512" s="785">
        <f t="shared" si="190"/>
        <v>0</v>
      </c>
      <c r="AV512" s="785">
        <f t="shared" si="191"/>
        <v>0</v>
      </c>
      <c r="AW512" s="798">
        <f>IF(AK512="A",AY10,0)</f>
        <v>0</v>
      </c>
      <c r="AX512" s="5496" t="str">
        <f>IF(IFERROR(SEARCH("Adresse PC",TRIM(W512)),0)&gt;0,"▼ receta siguiente",IF(AK512="A",IF(AZ10&lt;&gt;"",AZ10&amp;" - ou.or.o ❾ + or - &gt;",""),""))</f>
        <v/>
      </c>
      <c r="AY512" s="810"/>
      <c r="AZ512" s="810"/>
      <c r="BA512" s="799" t="str">
        <f t="shared" si="181"/>
        <v/>
      </c>
      <c r="BB512" s="800" t="str">
        <f>IF(AK512="A",IF(AQ512,IF(AND(AW512&lt;&gt;"",N(AW512)&gt;0),IFERROR(IFERROR(_xlfn.XLOOKUP(AP512,BP10:BP57,BT10:BT57),IFERROR(_xlfn.XLOOKUP(AP512,BQ10:BQ57,BT10:BT57),_xlfn.XLOOKUP(AP512,BR10:BR57,BT10:BT57,""))),""),""),""),"")</f>
        <v/>
      </c>
      <c r="BC512" s="813" cm="1">
        <f t="array" ref="BC512">IF(NOT(AQ512),0,IF(OR(BA512="",N(BA512)&lt;=0.000000001),"",IF(OR(AU512="",N(AU512)&lt;=0.000000001),0,IF(ISNUMBER(BA512),IFERROR(_xlfn.LET(_xlpm.ai_test,TRIM(AP512),_xlpm.r,IFERROR(_xlfn.XLOOKUP(_xlpm.ai_test,BP16:BP63,ROW(BP16:BP63),0,1),IFERROR(_xlfn.XLOOKUP(_xlpm.ai_test,BQ16:BQ63,ROW(BQ16:BQ63),0,1),_xlfn.XLOOKUP(_xlpm.ai_test,BR16:BR63,ROW(BR16:BR63),0,1))),_xlpm.p,_xlpm.r-MIN(ROW(BP16:BP63))+1,_xlpm.f,INDEX(BS16:BS63,_xlpm.p),_xlpm.u,INDEX(BT16:BT63,_xlpm.p),_xlpm.s,INDEX(BV16:BV63,_xlpm.p),_xlpm.q,N(BA512)/_xlpm.f,IF(_xlpm.q&gt;=_xlpm.s,ROUND(_xlpm.q,1)&amp;" "&amp;_xlpm.ai_test&amp;" = "&amp;ROUND(_xlpm.q*_xlpm.f,1)&amp;" "&amp;_xlpm.u,ROUND(_xlpm.q,1)&amp;" "&amp;_xlpm.ai_test)),""),""))))</f>
        <v>0</v>
      </c>
      <c r="BD512" s="801"/>
      <c r="BE512" s="799" t="str">
        <f t="shared" si="192"/>
        <v/>
      </c>
      <c r="BF512" s="800" t="str">
        <f t="shared" si="193"/>
        <v/>
      </c>
      <c r="BG512" s="802">
        <f t="shared" si="196"/>
        <v>0</v>
      </c>
      <c r="BH512" s="803" t="str">
        <f t="shared" si="197"/>
        <v/>
      </c>
      <c r="BI512" s="792"/>
      <c r="BJ512" s="804">
        <f t="shared" si="195"/>
        <v>0</v>
      </c>
      <c r="BK512" s="794" t="str">
        <f t="shared" si="194"/>
        <v/>
      </c>
      <c r="BL512" s="227" t="s">
        <v>21</v>
      </c>
      <c r="BM512" s="773">
        <f t="shared" si="183"/>
        <v>0</v>
      </c>
      <c r="BN512" s="774">
        <f t="shared" si="184"/>
        <v>0</v>
      </c>
      <c r="BO512"/>
      <c r="BX512"/>
      <c r="BY512"/>
      <c r="BZ512"/>
      <c r="CA512"/>
      <c r="CB512"/>
      <c r="CC512"/>
      <c r="CD512" s="781" t="str">
        <f t="shared" si="177"/>
        <v>►</v>
      </c>
      <c r="CE512" s="633"/>
      <c r="CF512" s="633"/>
      <c r="CG512" s="633"/>
      <c r="CH512" s="633"/>
      <c r="CI512" s="633"/>
      <c r="CJ512" s="227"/>
      <c r="CK512"/>
      <c r="CL512"/>
      <c r="CM512"/>
      <c r="CN512"/>
      <c r="CO512"/>
      <c r="CP512"/>
      <c r="CQ512"/>
      <c r="CR512" s="227"/>
      <c r="CS512"/>
      <c r="CT512"/>
      <c r="CU512"/>
      <c r="CV512"/>
      <c r="CW512"/>
      <c r="CX512"/>
      <c r="CY512"/>
      <c r="CZ512" s="227"/>
      <c r="DA512"/>
      <c r="DB512"/>
      <c r="DC512"/>
      <c r="DD512"/>
      <c r="DE512"/>
      <c r="DF512"/>
      <c r="DG512"/>
      <c r="DH512" s="227"/>
      <c r="DI512" s="3">
        <v>1</v>
      </c>
    </row>
    <row r="513" spans="2:113" s="627" customFormat="1" ht="21" customHeight="1">
      <c r="B513" s="2265" t="str" cm="1">
        <f t="array" ref="B513">SUMPRODUCT(--(D513:J513&lt;&gt;""), LEN(TRIM(SUBSTITUTE(D513:J513, CHAR(160), "")))) &amp; " Car."</f>
        <v>0 Car.</v>
      </c>
      <c r="C513" s="1376" t="str">
        <f>IF(ISBLANK(D513),"",LARGE(C13:C512,1)+1)</f>
        <v/>
      </c>
      <c r="D513" s="1833"/>
      <c r="E513" s="1810"/>
      <c r="F513" s="1810"/>
      <c r="G513" s="1810"/>
      <c r="H513" s="1810"/>
      <c r="I513" s="1810"/>
      <c r="J513" s="1810"/>
      <c r="K513" s="1810"/>
      <c r="L513" s="1811"/>
      <c r="M513"/>
      <c r="N513" s="103" t="str">
        <f t="shared" si="179"/>
        <v>►</v>
      </c>
      <c r="O513" s="1616"/>
      <c r="P513"/>
      <c r="Q513" s="25" t="s">
        <v>15</v>
      </c>
      <c r="R513" s="31"/>
      <c r="S513" s="32"/>
      <c r="T513" s="31"/>
      <c r="U513" s="33"/>
      <c r="V513" s="1967"/>
      <c r="W513" s="1805"/>
      <c r="X513" s="91"/>
      <c r="Y513" s="1806"/>
      <c r="Z513" s="1968"/>
      <c r="AA513" s="2244"/>
      <c r="AB513" s="1969"/>
      <c r="AC513" s="1365"/>
      <c r="AD513" s="95"/>
      <c r="AE513" s="1326"/>
      <c r="AF513" s="97"/>
      <c r="AG513" s="1737"/>
      <c r="AH513" s="1970"/>
      <c r="AI513" s="99"/>
      <c r="AJ513" s="1809"/>
      <c r="AK513" s="6120" t="str">
        <f t="shared" si="180"/>
        <v>►</v>
      </c>
      <c r="AL513" s="781" t="str">
        <f t="shared" si="182"/>
        <v>►</v>
      </c>
      <c r="AM513" s="5499" t="str">
        <f t="shared" si="185"/>
        <v/>
      </c>
      <c r="AN513" s="783" t="str">
        <f t="shared" si="186"/>
        <v/>
      </c>
      <c r="AO513" s="782" t="str">
        <f t="shared" si="187"/>
        <v/>
      </c>
      <c r="AP513" s="783" t="str">
        <f t="shared" si="188"/>
        <v/>
      </c>
      <c r="AQ513" s="2083" t="b">
        <f>AND(Q513="A",COUNTIF(BP16:BR63,TRIM(Z513))&gt;0)</f>
        <v>0</v>
      </c>
      <c r="AR513" s="797" t="str">
        <f>IF(AL513&lt;&gt;"A","",IFERROR(IFERROR(_xlfn.XLOOKUP(TRIM(SUBSTITUTE(Z513,CHAR(160)," ")),BP16:BP63,BS16:BS63),IFERROR(_xlfn.XLOOKUP(TRIM(SUBSTITUTE(Z513,CHAR(160)," ")),BQ16:BQ63,BS16:BS63),_xlfn.XLOOKUP(TRIM(SUBSTITUTE(Z513,CHAR(160)," ")),BR16:BR63,BS16:BS63)))*Y513*IF(ISBLANK(V513),1,V513),0))</f>
        <v/>
      </c>
      <c r="AS513" s="784" t="str">
        <f t="shared" si="178"/>
        <v/>
      </c>
      <c r="AT513" s="1315" t="str">
        <f t="shared" si="189"/>
        <v/>
      </c>
      <c r="AU513" s="785">
        <f t="shared" si="190"/>
        <v>0</v>
      </c>
      <c r="AV513" s="785">
        <f t="shared" si="191"/>
        <v>0</v>
      </c>
      <c r="AW513" s="786">
        <f>IF(AK513="A",AY10,0)</f>
        <v>0</v>
      </c>
      <c r="AX513" s="5495" t="str">
        <f>IF(IFERROR(SEARCH("Adresse PC",TRIM(W513)),0)&gt;0,"▼ receta siguiente",IF(AK513="A",IF(AZ10&lt;&gt;"",AZ10&amp;" - ou.or.o ❾ + or - &gt;",""),""))</f>
        <v/>
      </c>
      <c r="AY513" s="810"/>
      <c r="AZ513" s="810"/>
      <c r="BA513" s="788" t="str">
        <f t="shared" si="181"/>
        <v/>
      </c>
      <c r="BB513" s="789" t="str">
        <f>IF(AK513="A",IF(AQ513,IF(AND(AW513&lt;&gt;"",N(AW513)&gt;0),IFERROR(IFERROR(_xlfn.XLOOKUP(AP513,BP10:BP57,BT10:BT57),IFERROR(_xlfn.XLOOKUP(AP513,BQ10:BQ57,BT10:BT57),_xlfn.XLOOKUP(AP513,BR10:BR57,BT10:BT57,""))),""),""),""),"")</f>
        <v/>
      </c>
      <c r="BC513" s="811" cm="1">
        <f t="array" ref="BC513">IF(NOT(AQ513),0,IF(OR(BA513="",N(BA513)&lt;=0.000000001),"",IF(OR(AU513="",N(AU513)&lt;=0.000000001),0,IF(ISNUMBER(BA513),IFERROR(_xlfn.LET(_xlpm.ai_test,TRIM(AP513),_xlpm.r,IFERROR(_xlfn.XLOOKUP(_xlpm.ai_test,BP16:BP63,ROW(BP16:BP63),0,1),IFERROR(_xlfn.XLOOKUP(_xlpm.ai_test,BQ16:BQ63,ROW(BQ16:BQ63),0,1),_xlfn.XLOOKUP(_xlpm.ai_test,BR16:BR63,ROW(BR16:BR63),0,1))),_xlpm.p,_xlpm.r-MIN(ROW(BP16:BP63))+1,_xlpm.f,INDEX(BS16:BS63,_xlpm.p),_xlpm.u,INDEX(BT16:BT63,_xlpm.p),_xlpm.s,INDEX(BV16:BV63,_xlpm.p),_xlpm.q,N(BA513)/_xlpm.f,IF(_xlpm.q&gt;=_xlpm.s,ROUND(_xlpm.q,1)&amp;" "&amp;_xlpm.ai_test&amp;" = "&amp;ROUND(_xlpm.q*_xlpm.f,1)&amp;" "&amp;_xlpm.u,ROUND(_xlpm.q,1)&amp;" "&amp;_xlpm.ai_test)),""),""))))</f>
        <v>0</v>
      </c>
      <c r="BD513" s="801"/>
      <c r="BE513" s="788" t="str">
        <f t="shared" si="192"/>
        <v/>
      </c>
      <c r="BF513" s="789" t="str">
        <f t="shared" si="193"/>
        <v/>
      </c>
      <c r="BG513" s="790">
        <f t="shared" si="196"/>
        <v>0</v>
      </c>
      <c r="BH513" s="791" t="str">
        <f t="shared" si="197"/>
        <v/>
      </c>
      <c r="BI513" s="792"/>
      <c r="BJ513" s="793">
        <f t="shared" si="195"/>
        <v>0</v>
      </c>
      <c r="BK513" s="794" t="str">
        <f t="shared" si="194"/>
        <v/>
      </c>
      <c r="BL513" s="227" t="s">
        <v>21</v>
      </c>
      <c r="BM513" s="773">
        <f t="shared" si="183"/>
        <v>0</v>
      </c>
      <c r="BN513" s="774">
        <f t="shared" si="184"/>
        <v>0</v>
      </c>
      <c r="BO513"/>
      <c r="BX513"/>
      <c r="BY513"/>
      <c r="BZ513"/>
      <c r="CA513"/>
      <c r="CB513"/>
      <c r="CC513"/>
      <c r="CD513" s="781" t="str">
        <f t="shared" si="177"/>
        <v>►</v>
      </c>
      <c r="CE513" s="633"/>
      <c r="CF513" s="633"/>
      <c r="CG513" s="633"/>
      <c r="CH513" s="633"/>
      <c r="CI513" s="633"/>
      <c r="CJ513" s="227"/>
      <c r="CK513"/>
      <c r="CL513"/>
      <c r="CM513"/>
      <c r="CN513"/>
      <c r="CO513"/>
      <c r="CP513"/>
      <c r="CQ513"/>
      <c r="CR513" s="227"/>
      <c r="CS513"/>
      <c r="CT513"/>
      <c r="CU513"/>
      <c r="CV513"/>
      <c r="CW513"/>
      <c r="CX513"/>
      <c r="CY513"/>
      <c r="CZ513" s="227"/>
      <c r="DA513"/>
      <c r="DB513"/>
      <c r="DC513"/>
      <c r="DD513"/>
      <c r="DE513"/>
      <c r="DF513"/>
      <c r="DG513"/>
      <c r="DH513" s="227"/>
      <c r="DI513" s="3">
        <v>1</v>
      </c>
    </row>
    <row r="514" spans="2:113" s="627" customFormat="1" ht="21" customHeight="1">
      <c r="B514" s="2265" t="str" cm="1">
        <f t="array" ref="B514">SUMPRODUCT(--(D514:J514&lt;&gt;""), LEN(TRIM(SUBSTITUTE(D514:J514, CHAR(160), "")))) &amp; " Car."</f>
        <v>0 Car.</v>
      </c>
      <c r="C514" s="1376" t="str">
        <f>IF(ISBLANK(D514),"",LARGE(C13:C513,1)+1)</f>
        <v/>
      </c>
      <c r="D514" s="1833"/>
      <c r="E514" s="1810"/>
      <c r="F514" s="1810"/>
      <c r="G514" s="1810"/>
      <c r="H514" s="1810"/>
      <c r="I514" s="1810"/>
      <c r="J514" s="1810"/>
      <c r="K514" s="1810"/>
      <c r="L514" s="1811"/>
      <c r="M514"/>
      <c r="N514" s="103" t="str">
        <f t="shared" si="179"/>
        <v>►</v>
      </c>
      <c r="O514" s="1616"/>
      <c r="P514"/>
      <c r="Q514" s="25" t="s">
        <v>15</v>
      </c>
      <c r="R514" s="31"/>
      <c r="S514" s="32"/>
      <c r="T514" s="31"/>
      <c r="U514" s="33"/>
      <c r="V514" s="1967"/>
      <c r="W514" s="1805"/>
      <c r="X514" s="91"/>
      <c r="Y514" s="1806"/>
      <c r="Z514" s="1968"/>
      <c r="AA514" s="2244"/>
      <c r="AB514" s="1969"/>
      <c r="AC514" s="1365"/>
      <c r="AD514" s="95"/>
      <c r="AE514" s="1326"/>
      <c r="AF514" s="97"/>
      <c r="AG514" s="1737"/>
      <c r="AH514" s="1970"/>
      <c r="AI514" s="99"/>
      <c r="AJ514" s="1809"/>
      <c r="AK514" s="6120" t="str">
        <f t="shared" si="180"/>
        <v>►</v>
      </c>
      <c r="AL514" s="781" t="str">
        <f t="shared" si="182"/>
        <v>►</v>
      </c>
      <c r="AM514" s="5498" t="str">
        <f t="shared" si="185"/>
        <v/>
      </c>
      <c r="AN514" s="783" t="str">
        <f t="shared" si="186"/>
        <v/>
      </c>
      <c r="AO514" s="782" t="str">
        <f t="shared" si="187"/>
        <v/>
      </c>
      <c r="AP514" s="783" t="str">
        <f t="shared" si="188"/>
        <v/>
      </c>
      <c r="AQ514" s="2083" t="b">
        <f>AND(Q514="A",COUNTIF(BP16:BR63,TRIM(Z514))&gt;0)</f>
        <v>0</v>
      </c>
      <c r="AR514" s="797" t="str">
        <f>IF(AL514&lt;&gt;"A","",IFERROR(IFERROR(_xlfn.XLOOKUP(TRIM(SUBSTITUTE(Z514,CHAR(160)," ")),BP16:BP63,BS16:BS63),IFERROR(_xlfn.XLOOKUP(TRIM(SUBSTITUTE(Z514,CHAR(160)," ")),BQ16:BQ63,BS16:BS63),_xlfn.XLOOKUP(TRIM(SUBSTITUTE(Z514,CHAR(160)," ")),BR16:BR63,BS16:BS63)))*Y514*IF(ISBLANK(V514),1,V514),0))</f>
        <v/>
      </c>
      <c r="AS514" s="784" t="str">
        <f t="shared" si="178"/>
        <v/>
      </c>
      <c r="AT514" s="1315" t="str">
        <f t="shared" si="189"/>
        <v/>
      </c>
      <c r="AU514" s="785">
        <f t="shared" si="190"/>
        <v>0</v>
      </c>
      <c r="AV514" s="785">
        <f t="shared" si="191"/>
        <v>0</v>
      </c>
      <c r="AW514" s="798">
        <f>IF(AK514="A",AY10,0)</f>
        <v>0</v>
      </c>
      <c r="AX514" s="5496" t="str">
        <f>IF(IFERROR(SEARCH("Adresse PC",TRIM(W514)),0)&gt;0,"▼ receta siguiente",IF(AK514="A",IF(AZ10&lt;&gt;"",AZ10&amp;" - ou.or.o ❾ + or - &gt;",""),""))</f>
        <v/>
      </c>
      <c r="AY514" s="810"/>
      <c r="AZ514" s="810"/>
      <c r="BA514" s="799" t="str">
        <f t="shared" si="181"/>
        <v/>
      </c>
      <c r="BB514" s="800" t="str">
        <f>IF(AK514="A",IF(AQ514,IF(AND(AW514&lt;&gt;"",N(AW514)&gt;0),IFERROR(IFERROR(_xlfn.XLOOKUP(AP514,BP10:BP57,BT10:BT57),IFERROR(_xlfn.XLOOKUP(AP514,BQ10:BQ57,BT10:BT57),_xlfn.XLOOKUP(AP514,BR10:BR57,BT10:BT57,""))),""),""),""),"")</f>
        <v/>
      </c>
      <c r="BC514" s="813" cm="1">
        <f t="array" ref="BC514">IF(NOT(AQ514),0,IF(OR(BA514="",N(BA514)&lt;=0.000000001),"",IF(OR(AU514="",N(AU514)&lt;=0.000000001),0,IF(ISNUMBER(BA514),IFERROR(_xlfn.LET(_xlpm.ai_test,TRIM(AP514),_xlpm.r,IFERROR(_xlfn.XLOOKUP(_xlpm.ai_test,BP16:BP63,ROW(BP16:BP63),0,1),IFERROR(_xlfn.XLOOKUP(_xlpm.ai_test,BQ16:BQ63,ROW(BQ16:BQ63),0,1),_xlfn.XLOOKUP(_xlpm.ai_test,BR16:BR63,ROW(BR16:BR63),0,1))),_xlpm.p,_xlpm.r-MIN(ROW(BP16:BP63))+1,_xlpm.f,INDEX(BS16:BS63,_xlpm.p),_xlpm.u,INDEX(BT16:BT63,_xlpm.p),_xlpm.s,INDEX(BV16:BV63,_xlpm.p),_xlpm.q,N(BA514)/_xlpm.f,IF(_xlpm.q&gt;=_xlpm.s,ROUND(_xlpm.q,1)&amp;" "&amp;_xlpm.ai_test&amp;" = "&amp;ROUND(_xlpm.q*_xlpm.f,1)&amp;" "&amp;_xlpm.u,ROUND(_xlpm.q,1)&amp;" "&amp;_xlpm.ai_test)),""),""))))</f>
        <v>0</v>
      </c>
      <c r="BD514" s="801"/>
      <c r="BE514" s="799" t="str">
        <f t="shared" si="192"/>
        <v/>
      </c>
      <c r="BF514" s="800" t="str">
        <f t="shared" si="193"/>
        <v/>
      </c>
      <c r="BG514" s="802">
        <f t="shared" si="196"/>
        <v>0</v>
      </c>
      <c r="BH514" s="803" t="str">
        <f t="shared" si="197"/>
        <v/>
      </c>
      <c r="BI514" s="792"/>
      <c r="BJ514" s="804">
        <f t="shared" si="195"/>
        <v>0</v>
      </c>
      <c r="BK514" s="794" t="str">
        <f t="shared" si="194"/>
        <v/>
      </c>
      <c r="BL514" s="227" t="s">
        <v>21</v>
      </c>
      <c r="BM514" s="773">
        <f t="shared" si="183"/>
        <v>0</v>
      </c>
      <c r="BN514" s="774">
        <f t="shared" si="184"/>
        <v>0</v>
      </c>
      <c r="BO514"/>
      <c r="BX514"/>
      <c r="BY514"/>
      <c r="BZ514"/>
      <c r="CA514"/>
      <c r="CB514"/>
      <c r="CC514"/>
      <c r="CD514" s="781" t="str">
        <f t="shared" si="177"/>
        <v>►</v>
      </c>
      <c r="CE514" s="633"/>
      <c r="CF514" s="633"/>
      <c r="CG514" s="633"/>
      <c r="CH514" s="633"/>
      <c r="CI514" s="633"/>
      <c r="CJ514" s="227"/>
      <c r="CK514"/>
      <c r="CL514"/>
      <c r="CM514"/>
      <c r="CN514"/>
      <c r="CO514"/>
      <c r="CP514"/>
      <c r="CQ514"/>
      <c r="CR514" s="227"/>
      <c r="CS514"/>
      <c r="CT514"/>
      <c r="CU514"/>
      <c r="CV514"/>
      <c r="CW514"/>
      <c r="CX514"/>
      <c r="CY514"/>
      <c r="CZ514" s="227"/>
      <c r="DA514"/>
      <c r="DB514"/>
      <c r="DC514"/>
      <c r="DD514"/>
      <c r="DE514"/>
      <c r="DF514"/>
      <c r="DG514"/>
      <c r="DH514" s="227"/>
      <c r="DI514" s="3">
        <v>1</v>
      </c>
    </row>
    <row r="515" spans="2:113" s="627" customFormat="1" ht="21" customHeight="1">
      <c r="B515" s="2265" t="str" cm="1">
        <f t="array" ref="B515">SUMPRODUCT(--(D515:J515&lt;&gt;""), LEN(TRIM(SUBSTITUTE(D515:J515, CHAR(160), "")))) &amp; " Car."</f>
        <v>0 Car.</v>
      </c>
      <c r="C515" s="1376" t="str">
        <f>IF(ISBLANK(D515),"",LARGE(C13:C514,1)+1)</f>
        <v/>
      </c>
      <c r="D515" s="1833"/>
      <c r="E515" s="1810"/>
      <c r="F515" s="1810"/>
      <c r="G515" s="1810"/>
      <c r="H515" s="1810"/>
      <c r="I515" s="1810"/>
      <c r="J515" s="1810"/>
      <c r="K515" s="1810"/>
      <c r="L515" s="1811"/>
      <c r="M515"/>
      <c r="N515" s="103" t="str">
        <f t="shared" si="179"/>
        <v>►</v>
      </c>
      <c r="O515" s="1616"/>
      <c r="P515"/>
      <c r="Q515" s="25" t="s">
        <v>15</v>
      </c>
      <c r="R515" s="31"/>
      <c r="S515" s="32"/>
      <c r="T515" s="31"/>
      <c r="U515" s="33"/>
      <c r="V515" s="1967"/>
      <c r="W515" s="1805"/>
      <c r="X515" s="91"/>
      <c r="Y515" s="1806"/>
      <c r="Z515" s="1968"/>
      <c r="AA515" s="2244"/>
      <c r="AB515" s="1969"/>
      <c r="AC515" s="1365"/>
      <c r="AD515" s="95"/>
      <c r="AE515" s="1326"/>
      <c r="AF515" s="97"/>
      <c r="AG515" s="1737"/>
      <c r="AH515" s="1970"/>
      <c r="AI515" s="99"/>
      <c r="AJ515" s="1809"/>
      <c r="AK515" s="6120" t="str">
        <f t="shared" si="180"/>
        <v>►</v>
      </c>
      <c r="AL515" s="781" t="str">
        <f t="shared" si="182"/>
        <v>►</v>
      </c>
      <c r="AM515" s="5499" t="str">
        <f t="shared" si="185"/>
        <v/>
      </c>
      <c r="AN515" s="783" t="str">
        <f t="shared" si="186"/>
        <v/>
      </c>
      <c r="AO515" s="782" t="str">
        <f t="shared" si="187"/>
        <v/>
      </c>
      <c r="AP515" s="783" t="str">
        <f t="shared" si="188"/>
        <v/>
      </c>
      <c r="AQ515" s="2083" t="b">
        <f>AND(Q515="A",COUNTIF(BP16:BR63,TRIM(Z515))&gt;0)</f>
        <v>0</v>
      </c>
      <c r="AR515" s="797" t="str">
        <f>IF(AL515&lt;&gt;"A","",IFERROR(IFERROR(_xlfn.XLOOKUP(TRIM(SUBSTITUTE(Z515,CHAR(160)," ")),BP16:BP63,BS16:BS63),IFERROR(_xlfn.XLOOKUP(TRIM(SUBSTITUTE(Z515,CHAR(160)," ")),BQ16:BQ63,BS16:BS63),_xlfn.XLOOKUP(TRIM(SUBSTITUTE(Z515,CHAR(160)," ")),BR16:BR63,BS16:BS63)))*Y515*IF(ISBLANK(V515),1,V515),0))</f>
        <v/>
      </c>
      <c r="AS515" s="784" t="str">
        <f t="shared" si="178"/>
        <v/>
      </c>
      <c r="AT515" s="1315" t="str">
        <f t="shared" si="189"/>
        <v/>
      </c>
      <c r="AU515" s="785">
        <f t="shared" si="190"/>
        <v>0</v>
      </c>
      <c r="AV515" s="785">
        <f t="shared" si="191"/>
        <v>0</v>
      </c>
      <c r="AW515" s="786">
        <f>IF(AK515="A",AY10,0)</f>
        <v>0</v>
      </c>
      <c r="AX515" s="5495" t="str">
        <f>IF(IFERROR(SEARCH("Adresse PC",TRIM(W515)),0)&gt;0,"▼ receta siguiente",IF(AK515="A",IF(AZ10&lt;&gt;"",AZ10&amp;" - ou.or.o ❾ + or - &gt;",""),""))</f>
        <v/>
      </c>
      <c r="AY515" s="810"/>
      <c r="AZ515" s="810"/>
      <c r="BA515" s="788" t="str">
        <f t="shared" si="181"/>
        <v/>
      </c>
      <c r="BB515" s="789" t="str">
        <f>IF(AK515="A",IF(AQ515,IF(AND(AW515&lt;&gt;"",N(AW515)&gt;0),IFERROR(IFERROR(_xlfn.XLOOKUP(AP515,BP10:BP57,BT10:BT57),IFERROR(_xlfn.XLOOKUP(AP515,BQ10:BQ57,BT10:BT57),_xlfn.XLOOKUP(AP515,BR10:BR57,BT10:BT57,""))),""),""),""),"")</f>
        <v/>
      </c>
      <c r="BC515" s="811" cm="1">
        <f t="array" ref="BC515">IF(NOT(AQ515),0,IF(OR(BA515="",N(BA515)&lt;=0.000000001),"",IF(OR(AU515="",N(AU515)&lt;=0.000000001),0,IF(ISNUMBER(BA515),IFERROR(_xlfn.LET(_xlpm.ai_test,TRIM(AP515),_xlpm.r,IFERROR(_xlfn.XLOOKUP(_xlpm.ai_test,BP16:BP63,ROW(BP16:BP63),0,1),IFERROR(_xlfn.XLOOKUP(_xlpm.ai_test,BQ16:BQ63,ROW(BQ16:BQ63),0,1),_xlfn.XLOOKUP(_xlpm.ai_test,BR16:BR63,ROW(BR16:BR63),0,1))),_xlpm.p,_xlpm.r-MIN(ROW(BP16:BP63))+1,_xlpm.f,INDEX(BS16:BS63,_xlpm.p),_xlpm.u,INDEX(BT16:BT63,_xlpm.p),_xlpm.s,INDEX(BV16:BV63,_xlpm.p),_xlpm.q,N(BA515)/_xlpm.f,IF(_xlpm.q&gt;=_xlpm.s,ROUND(_xlpm.q,1)&amp;" "&amp;_xlpm.ai_test&amp;" = "&amp;ROUND(_xlpm.q*_xlpm.f,1)&amp;" "&amp;_xlpm.u,ROUND(_xlpm.q,1)&amp;" "&amp;_xlpm.ai_test)),""),""))))</f>
        <v>0</v>
      </c>
      <c r="BD515" s="801"/>
      <c r="BE515" s="788" t="str">
        <f t="shared" si="192"/>
        <v/>
      </c>
      <c r="BF515" s="789" t="str">
        <f t="shared" si="193"/>
        <v/>
      </c>
      <c r="BG515" s="790">
        <f t="shared" si="196"/>
        <v>0</v>
      </c>
      <c r="BH515" s="791" t="str">
        <f t="shared" si="197"/>
        <v/>
      </c>
      <c r="BI515" s="792"/>
      <c r="BJ515" s="793">
        <f t="shared" si="195"/>
        <v>0</v>
      </c>
      <c r="BK515" s="794" t="str">
        <f t="shared" si="194"/>
        <v/>
      </c>
      <c r="BL515" s="227" t="s">
        <v>21</v>
      </c>
      <c r="BM515" s="773">
        <f t="shared" si="183"/>
        <v>0</v>
      </c>
      <c r="BN515" s="774">
        <f t="shared" si="184"/>
        <v>0</v>
      </c>
      <c r="BO515"/>
      <c r="BX515"/>
      <c r="BY515"/>
      <c r="BZ515"/>
      <c r="CA515"/>
      <c r="CB515"/>
      <c r="CC515"/>
      <c r="CD515" s="781" t="str">
        <f t="shared" si="177"/>
        <v>►</v>
      </c>
      <c r="CE515" s="633"/>
      <c r="CF515" s="633"/>
      <c r="CG515" s="633"/>
      <c r="CH515" s="633"/>
      <c r="CI515" s="633"/>
      <c r="CJ515" s="227"/>
      <c r="CK515"/>
      <c r="CL515"/>
      <c r="CM515"/>
      <c r="CN515"/>
      <c r="CO515"/>
      <c r="CP515"/>
      <c r="CQ515"/>
      <c r="CR515" s="227"/>
      <c r="CS515"/>
      <c r="CT515"/>
      <c r="CU515"/>
      <c r="CV515"/>
      <c r="CW515"/>
      <c r="CX515"/>
      <c r="CY515"/>
      <c r="CZ515" s="227"/>
      <c r="DA515"/>
      <c r="DB515"/>
      <c r="DC515"/>
      <c r="DD515"/>
      <c r="DE515"/>
      <c r="DF515"/>
      <c r="DG515"/>
      <c r="DH515" s="227"/>
      <c r="DI515" s="3">
        <v>1</v>
      </c>
    </row>
    <row r="516" spans="2:113" s="627" customFormat="1" ht="21" customHeight="1">
      <c r="B516" s="2265" t="str" cm="1">
        <f t="array" ref="B516">SUMPRODUCT(--(D516:J516&lt;&gt;""), LEN(TRIM(SUBSTITUTE(D516:J516, CHAR(160), "")))) &amp; " Car."</f>
        <v>0 Car.</v>
      </c>
      <c r="C516" s="1376" t="str">
        <f>IF(ISBLANK(D516),"",LARGE(C13:C515,1)+1)</f>
        <v/>
      </c>
      <c r="D516" s="1833"/>
      <c r="E516" s="1810"/>
      <c r="F516" s="1810"/>
      <c r="G516" s="1810"/>
      <c r="H516" s="1810"/>
      <c r="I516" s="1810"/>
      <c r="J516" s="1810"/>
      <c r="K516" s="1810"/>
      <c r="L516" s="1811"/>
      <c r="M516"/>
      <c r="N516" s="103" t="str">
        <f t="shared" si="179"/>
        <v>►</v>
      </c>
      <c r="O516" s="1616"/>
      <c r="P516"/>
      <c r="Q516" s="25" t="s">
        <v>15</v>
      </c>
      <c r="R516" s="31"/>
      <c r="S516" s="32"/>
      <c r="T516" s="31"/>
      <c r="U516" s="33"/>
      <c r="V516" s="1967"/>
      <c r="W516" s="1805"/>
      <c r="X516" s="91"/>
      <c r="Y516" s="1806"/>
      <c r="Z516" s="1968"/>
      <c r="AA516" s="2244"/>
      <c r="AB516" s="1969"/>
      <c r="AC516" s="1365"/>
      <c r="AD516" s="95"/>
      <c r="AE516" s="1326"/>
      <c r="AF516" s="97"/>
      <c r="AG516" s="1737"/>
      <c r="AH516" s="1970"/>
      <c r="AI516" s="99"/>
      <c r="AJ516" s="1809"/>
      <c r="AK516" s="6120" t="str">
        <f t="shared" si="180"/>
        <v>►</v>
      </c>
      <c r="AL516" s="781" t="str">
        <f t="shared" si="182"/>
        <v>►</v>
      </c>
      <c r="AM516" s="5498" t="str">
        <f t="shared" si="185"/>
        <v/>
      </c>
      <c r="AN516" s="783" t="str">
        <f t="shared" si="186"/>
        <v/>
      </c>
      <c r="AO516" s="782" t="str">
        <f t="shared" si="187"/>
        <v/>
      </c>
      <c r="AP516" s="783" t="str">
        <f t="shared" si="188"/>
        <v/>
      </c>
      <c r="AQ516" s="2083" t="b">
        <f>AND(Q516="A",COUNTIF(BP16:BR63,TRIM(Z516))&gt;0)</f>
        <v>0</v>
      </c>
      <c r="AR516" s="797" t="str">
        <f>IF(AL516&lt;&gt;"A","",IFERROR(IFERROR(_xlfn.XLOOKUP(TRIM(SUBSTITUTE(Z516,CHAR(160)," ")),BP16:BP63,BS16:BS63),IFERROR(_xlfn.XLOOKUP(TRIM(SUBSTITUTE(Z516,CHAR(160)," ")),BQ16:BQ63,BS16:BS63),_xlfn.XLOOKUP(TRIM(SUBSTITUTE(Z516,CHAR(160)," ")),BR16:BR63,BS16:BS63)))*Y516*IF(ISBLANK(V516),1,V516),0))</f>
        <v/>
      </c>
      <c r="AS516" s="784" t="str">
        <f t="shared" si="178"/>
        <v/>
      </c>
      <c r="AT516" s="1315" t="str">
        <f t="shared" si="189"/>
        <v/>
      </c>
      <c r="AU516" s="785">
        <f t="shared" si="190"/>
        <v>0</v>
      </c>
      <c r="AV516" s="785">
        <f t="shared" si="191"/>
        <v>0</v>
      </c>
      <c r="AW516" s="798">
        <f>IF(AK516="A",AY10,0)</f>
        <v>0</v>
      </c>
      <c r="AX516" s="5496" t="str">
        <f>IF(IFERROR(SEARCH("Adresse PC",TRIM(W516)),0)&gt;0,"▼ receta siguiente",IF(AK516="A",IF(AZ10&lt;&gt;"",AZ10&amp;" - ou.or.o ❾ + or - &gt;",""),""))</f>
        <v/>
      </c>
      <c r="AY516" s="810"/>
      <c r="AZ516" s="810"/>
      <c r="BA516" s="799" t="str">
        <f t="shared" si="181"/>
        <v/>
      </c>
      <c r="BB516" s="800" t="str">
        <f>IF(AK516="A",IF(AQ516,IF(AND(AW516&lt;&gt;"",N(AW516)&gt;0),IFERROR(IFERROR(_xlfn.XLOOKUP(AP516,BP10:BP57,BT10:BT57),IFERROR(_xlfn.XLOOKUP(AP516,BQ10:BQ57,BT10:BT57),_xlfn.XLOOKUP(AP516,BR10:BR57,BT10:BT57,""))),""),""),""),"")</f>
        <v/>
      </c>
      <c r="BC516" s="813" cm="1">
        <f t="array" ref="BC516">IF(NOT(AQ516),0,IF(OR(BA516="",N(BA516)&lt;=0.000000001),"",IF(OR(AU516="",N(AU516)&lt;=0.000000001),0,IF(ISNUMBER(BA516),IFERROR(_xlfn.LET(_xlpm.ai_test,TRIM(AP516),_xlpm.r,IFERROR(_xlfn.XLOOKUP(_xlpm.ai_test,BP16:BP63,ROW(BP16:BP63),0,1),IFERROR(_xlfn.XLOOKUP(_xlpm.ai_test,BQ16:BQ63,ROW(BQ16:BQ63),0,1),_xlfn.XLOOKUP(_xlpm.ai_test,BR16:BR63,ROW(BR16:BR63),0,1))),_xlpm.p,_xlpm.r-MIN(ROW(BP16:BP63))+1,_xlpm.f,INDEX(BS16:BS63,_xlpm.p),_xlpm.u,INDEX(BT16:BT63,_xlpm.p),_xlpm.s,INDEX(BV16:BV63,_xlpm.p),_xlpm.q,N(BA516)/_xlpm.f,IF(_xlpm.q&gt;=_xlpm.s,ROUND(_xlpm.q,1)&amp;" "&amp;_xlpm.ai_test&amp;" = "&amp;ROUND(_xlpm.q*_xlpm.f,1)&amp;" "&amp;_xlpm.u,ROUND(_xlpm.q,1)&amp;" "&amp;_xlpm.ai_test)),""),""))))</f>
        <v>0</v>
      </c>
      <c r="BD516" s="801"/>
      <c r="BE516" s="799" t="str">
        <f t="shared" si="192"/>
        <v/>
      </c>
      <c r="BF516" s="800" t="str">
        <f t="shared" si="193"/>
        <v/>
      </c>
      <c r="BG516" s="802">
        <f t="shared" si="196"/>
        <v>0</v>
      </c>
      <c r="BH516" s="803" t="str">
        <f t="shared" si="197"/>
        <v/>
      </c>
      <c r="BI516" s="792"/>
      <c r="BJ516" s="804">
        <f t="shared" si="195"/>
        <v>0</v>
      </c>
      <c r="BK516" s="794" t="str">
        <f t="shared" si="194"/>
        <v/>
      </c>
      <c r="BL516" s="227" t="s">
        <v>21</v>
      </c>
      <c r="BM516" s="773">
        <f t="shared" si="183"/>
        <v>0</v>
      </c>
      <c r="BN516" s="774">
        <f t="shared" si="184"/>
        <v>0</v>
      </c>
      <c r="BO516"/>
      <c r="BX516"/>
      <c r="BY516"/>
      <c r="BZ516"/>
      <c r="CA516"/>
      <c r="CB516"/>
      <c r="CC516"/>
      <c r="CD516" s="781" t="str">
        <f t="shared" si="177"/>
        <v>►</v>
      </c>
      <c r="CE516" s="633"/>
      <c r="CF516" s="633"/>
      <c r="CG516" s="633"/>
      <c r="CH516" s="633"/>
      <c r="CI516" s="633"/>
      <c r="CJ516" s="227"/>
      <c r="CK516"/>
      <c r="CL516"/>
      <c r="CM516"/>
      <c r="CN516"/>
      <c r="CO516"/>
      <c r="CP516"/>
      <c r="CQ516"/>
      <c r="CR516" s="227"/>
      <c r="CS516"/>
      <c r="CT516"/>
      <c r="CU516"/>
      <c r="CV516"/>
      <c r="CW516"/>
      <c r="CX516"/>
      <c r="CY516"/>
      <c r="CZ516" s="227"/>
      <c r="DA516"/>
      <c r="DB516"/>
      <c r="DC516"/>
      <c r="DD516"/>
      <c r="DE516"/>
      <c r="DF516"/>
      <c r="DG516"/>
      <c r="DH516" s="227"/>
      <c r="DI516" s="3">
        <v>1</v>
      </c>
    </row>
    <row r="517" spans="2:113" s="627" customFormat="1" ht="21" customHeight="1">
      <c r="B517" s="2265" t="str" cm="1">
        <f t="array" ref="B517">SUMPRODUCT(--(D517:J517&lt;&gt;""), LEN(TRIM(SUBSTITUTE(D517:J517, CHAR(160), "")))) &amp; " Car."</f>
        <v>0 Car.</v>
      </c>
      <c r="C517" s="1376" t="str">
        <f>IF(ISBLANK(D517),"",LARGE(C13:C516,1)+1)</f>
        <v/>
      </c>
      <c r="D517" s="1833"/>
      <c r="E517" s="1810"/>
      <c r="F517" s="1810"/>
      <c r="G517" s="1810"/>
      <c r="H517" s="1810"/>
      <c r="I517" s="1810"/>
      <c r="J517" s="1810"/>
      <c r="K517" s="1810"/>
      <c r="L517" s="1811"/>
      <c r="M517"/>
      <c r="N517" s="103" t="str">
        <f t="shared" si="179"/>
        <v>►</v>
      </c>
      <c r="O517" s="1616"/>
      <c r="P517"/>
      <c r="Q517" s="25" t="s">
        <v>15</v>
      </c>
      <c r="R517" s="31"/>
      <c r="S517" s="32"/>
      <c r="T517" s="31"/>
      <c r="U517" s="33"/>
      <c r="V517" s="1967"/>
      <c r="W517" s="1805"/>
      <c r="X517" s="91"/>
      <c r="Y517" s="1806"/>
      <c r="Z517" s="1968"/>
      <c r="AA517" s="2244"/>
      <c r="AB517" s="1969"/>
      <c r="AC517" s="1365"/>
      <c r="AD517" s="95"/>
      <c r="AE517" s="1326"/>
      <c r="AF517" s="97"/>
      <c r="AG517" s="1737"/>
      <c r="AH517" s="1970"/>
      <c r="AI517" s="99"/>
      <c r="AJ517" s="1809"/>
      <c r="AK517" s="6120" t="str">
        <f t="shared" si="180"/>
        <v>►</v>
      </c>
      <c r="AL517" s="781" t="str">
        <f t="shared" si="182"/>
        <v>►</v>
      </c>
      <c r="AM517" s="5499" t="str">
        <f t="shared" si="185"/>
        <v/>
      </c>
      <c r="AN517" s="783" t="str">
        <f t="shared" si="186"/>
        <v/>
      </c>
      <c r="AO517" s="782" t="str">
        <f t="shared" si="187"/>
        <v/>
      </c>
      <c r="AP517" s="783" t="str">
        <f t="shared" si="188"/>
        <v/>
      </c>
      <c r="AQ517" s="2083" t="b">
        <f>AND(Q517="A",COUNTIF(BP16:BR63,TRIM(Z517))&gt;0)</f>
        <v>0</v>
      </c>
      <c r="AR517" s="797" t="str">
        <f>IF(AL517&lt;&gt;"A","",IFERROR(IFERROR(_xlfn.XLOOKUP(TRIM(SUBSTITUTE(Z517,CHAR(160)," ")),BP16:BP63,BS16:BS63),IFERROR(_xlfn.XLOOKUP(TRIM(SUBSTITUTE(Z517,CHAR(160)," ")),BQ16:BQ63,BS16:BS63),_xlfn.XLOOKUP(TRIM(SUBSTITUTE(Z517,CHAR(160)," ")),BR16:BR63,BS16:BS63)))*Y517*IF(ISBLANK(V517),1,V517),0))</f>
        <v/>
      </c>
      <c r="AS517" s="784" t="str">
        <f t="shared" si="178"/>
        <v/>
      </c>
      <c r="AT517" s="1315" t="str">
        <f t="shared" si="189"/>
        <v/>
      </c>
      <c r="AU517" s="785">
        <f t="shared" si="190"/>
        <v>0</v>
      </c>
      <c r="AV517" s="785">
        <f t="shared" si="191"/>
        <v>0</v>
      </c>
      <c r="AW517" s="786">
        <f>IF(AK517="A",AY10,0)</f>
        <v>0</v>
      </c>
      <c r="AX517" s="5495" t="str">
        <f>IF(IFERROR(SEARCH("Adresse PC",TRIM(W517)),0)&gt;0,"▼ receta siguiente",IF(AK517="A",IF(AZ10&lt;&gt;"",AZ10&amp;" - ou.or.o ❾ + or - &gt;",""),""))</f>
        <v/>
      </c>
      <c r="AY517" s="810"/>
      <c r="AZ517" s="810"/>
      <c r="BA517" s="788" t="str">
        <f t="shared" si="181"/>
        <v/>
      </c>
      <c r="BB517" s="789" t="str">
        <f>IF(AK517="A",IF(AQ517,IF(AND(AW517&lt;&gt;"",N(AW517)&gt;0),IFERROR(IFERROR(_xlfn.XLOOKUP(AP517,BP10:BP57,BT10:BT57),IFERROR(_xlfn.XLOOKUP(AP517,BQ10:BQ57,BT10:BT57),_xlfn.XLOOKUP(AP517,BR10:BR57,BT10:BT57,""))),""),""),""),"")</f>
        <v/>
      </c>
      <c r="BC517" s="811" cm="1">
        <f t="array" ref="BC517">IF(NOT(AQ517),0,IF(OR(BA517="",N(BA517)&lt;=0.000000001),"",IF(OR(AU517="",N(AU517)&lt;=0.000000001),0,IF(ISNUMBER(BA517),IFERROR(_xlfn.LET(_xlpm.ai_test,TRIM(AP517),_xlpm.r,IFERROR(_xlfn.XLOOKUP(_xlpm.ai_test,BP16:BP63,ROW(BP16:BP63),0,1),IFERROR(_xlfn.XLOOKUP(_xlpm.ai_test,BQ16:BQ63,ROW(BQ16:BQ63),0,1),_xlfn.XLOOKUP(_xlpm.ai_test,BR16:BR63,ROW(BR16:BR63),0,1))),_xlpm.p,_xlpm.r-MIN(ROW(BP16:BP63))+1,_xlpm.f,INDEX(BS16:BS63,_xlpm.p),_xlpm.u,INDEX(BT16:BT63,_xlpm.p),_xlpm.s,INDEX(BV16:BV63,_xlpm.p),_xlpm.q,N(BA517)/_xlpm.f,IF(_xlpm.q&gt;=_xlpm.s,ROUND(_xlpm.q,1)&amp;" "&amp;_xlpm.ai_test&amp;" = "&amp;ROUND(_xlpm.q*_xlpm.f,1)&amp;" "&amp;_xlpm.u,ROUND(_xlpm.q,1)&amp;" "&amp;_xlpm.ai_test)),""),""))))</f>
        <v>0</v>
      </c>
      <c r="BD517" s="801"/>
      <c r="BE517" s="788" t="str">
        <f t="shared" si="192"/>
        <v/>
      </c>
      <c r="BF517" s="789" t="str">
        <f t="shared" si="193"/>
        <v/>
      </c>
      <c r="BG517" s="790">
        <f t="shared" si="196"/>
        <v>0</v>
      </c>
      <c r="BH517" s="791" t="str">
        <f t="shared" si="197"/>
        <v/>
      </c>
      <c r="BI517" s="792"/>
      <c r="BJ517" s="793">
        <f t="shared" si="195"/>
        <v>0</v>
      </c>
      <c r="BK517" s="794" t="str">
        <f t="shared" si="194"/>
        <v/>
      </c>
      <c r="BL517" s="227" t="s">
        <v>21</v>
      </c>
      <c r="BM517" s="773">
        <f t="shared" si="183"/>
        <v>0</v>
      </c>
      <c r="BN517" s="774">
        <f t="shared" si="184"/>
        <v>0</v>
      </c>
      <c r="BO517"/>
      <c r="BX517"/>
      <c r="BY517"/>
      <c r="BZ517"/>
      <c r="CA517"/>
      <c r="CB517"/>
      <c r="CC517"/>
      <c r="CD517" s="781" t="str">
        <f t="shared" si="177"/>
        <v>►</v>
      </c>
      <c r="CE517" s="633"/>
      <c r="CF517" s="633"/>
      <c r="CG517" s="633"/>
      <c r="CH517" s="633"/>
      <c r="CI517" s="633"/>
      <c r="CJ517" s="227"/>
      <c r="CK517"/>
      <c r="CL517"/>
      <c r="CM517"/>
      <c r="CN517"/>
      <c r="CO517"/>
      <c r="CP517"/>
      <c r="CQ517"/>
      <c r="CR517" s="227"/>
      <c r="CS517"/>
      <c r="CT517"/>
      <c r="CU517"/>
      <c r="CV517"/>
      <c r="CW517"/>
      <c r="CX517"/>
      <c r="CY517"/>
      <c r="CZ517" s="227"/>
      <c r="DA517"/>
      <c r="DB517"/>
      <c r="DC517"/>
      <c r="DD517"/>
      <c r="DE517"/>
      <c r="DF517"/>
      <c r="DG517"/>
      <c r="DH517" s="227"/>
      <c r="DI517" s="3">
        <v>1</v>
      </c>
    </row>
    <row r="518" spans="2:113" s="627" customFormat="1" ht="21" customHeight="1">
      <c r="B518" s="2265" t="str" cm="1">
        <f t="array" ref="B518">SUMPRODUCT(--(D518:J518&lt;&gt;""), LEN(TRIM(SUBSTITUTE(D518:J518, CHAR(160), "")))) &amp; " Car."</f>
        <v>0 Car.</v>
      </c>
      <c r="C518" s="1376" t="str">
        <f>IF(ISBLANK(D518),"",LARGE(C13:C517,1)+1)</f>
        <v/>
      </c>
      <c r="D518" s="1833"/>
      <c r="E518" s="1810"/>
      <c r="F518" s="1810"/>
      <c r="G518" s="1810"/>
      <c r="H518" s="1810"/>
      <c r="I518" s="1810"/>
      <c r="J518" s="1810"/>
      <c r="K518" s="1810"/>
      <c r="L518" s="1811"/>
      <c r="M518"/>
      <c r="N518" s="103" t="str">
        <f t="shared" si="179"/>
        <v>►</v>
      </c>
      <c r="O518" s="1616"/>
      <c r="P518"/>
      <c r="Q518" s="25" t="s">
        <v>15</v>
      </c>
      <c r="R518" s="31"/>
      <c r="S518" s="32"/>
      <c r="T518" s="31"/>
      <c r="U518" s="33"/>
      <c r="V518" s="1967"/>
      <c r="W518" s="1805"/>
      <c r="X518" s="91"/>
      <c r="Y518" s="1806"/>
      <c r="Z518" s="1968"/>
      <c r="AA518" s="2244"/>
      <c r="AB518" s="1969"/>
      <c r="AC518" s="1365"/>
      <c r="AD518" s="95"/>
      <c r="AE518" s="1326"/>
      <c r="AF518" s="97"/>
      <c r="AG518" s="1737"/>
      <c r="AH518" s="1970"/>
      <c r="AI518" s="99"/>
      <c r="AJ518" s="1809"/>
      <c r="AK518" s="6120" t="str">
        <f t="shared" si="180"/>
        <v>►</v>
      </c>
      <c r="AL518" s="781" t="str">
        <f t="shared" si="182"/>
        <v>►</v>
      </c>
      <c r="AM518" s="5498" t="str">
        <f t="shared" si="185"/>
        <v/>
      </c>
      <c r="AN518" s="783" t="str">
        <f t="shared" si="186"/>
        <v/>
      </c>
      <c r="AO518" s="782" t="str">
        <f t="shared" si="187"/>
        <v/>
      </c>
      <c r="AP518" s="783" t="str">
        <f t="shared" si="188"/>
        <v/>
      </c>
      <c r="AQ518" s="2083" t="b">
        <f>AND(Q518="A",COUNTIF(BP16:BR63,TRIM(Z518))&gt;0)</f>
        <v>0</v>
      </c>
      <c r="AR518" s="797" t="str">
        <f>IF(AL518&lt;&gt;"A","",IFERROR(IFERROR(_xlfn.XLOOKUP(TRIM(SUBSTITUTE(Z518,CHAR(160)," ")),BP16:BP63,BS16:BS63),IFERROR(_xlfn.XLOOKUP(TRIM(SUBSTITUTE(Z518,CHAR(160)," ")),BQ16:BQ63,BS16:BS63),_xlfn.XLOOKUP(TRIM(SUBSTITUTE(Z518,CHAR(160)," ")),BR16:BR63,BS16:BS63)))*Y518*IF(ISBLANK(V518),1,V518),0))</f>
        <v/>
      </c>
      <c r="AS518" s="784" t="str">
        <f t="shared" si="178"/>
        <v/>
      </c>
      <c r="AT518" s="1315" t="str">
        <f t="shared" si="189"/>
        <v/>
      </c>
      <c r="AU518" s="785">
        <f t="shared" si="190"/>
        <v>0</v>
      </c>
      <c r="AV518" s="785">
        <f t="shared" si="191"/>
        <v>0</v>
      </c>
      <c r="AW518" s="798">
        <f>IF(AK518="A",AY10,0)</f>
        <v>0</v>
      </c>
      <c r="AX518" s="5496" t="str">
        <f>IF(IFERROR(SEARCH("Adresse PC",TRIM(W518)),0)&gt;0,"▼ receta siguiente",IF(AK518="A",IF(AZ10&lt;&gt;"",AZ10&amp;" - ou.or.o ❾ + or - &gt;",""),""))</f>
        <v/>
      </c>
      <c r="AY518" s="810"/>
      <c r="AZ518" s="810"/>
      <c r="BA518" s="799" t="str">
        <f t="shared" si="181"/>
        <v/>
      </c>
      <c r="BB518" s="800" t="str">
        <f>IF(AK518="A",IF(AQ518,IF(AND(AW518&lt;&gt;"",N(AW518)&gt;0),IFERROR(IFERROR(_xlfn.XLOOKUP(AP518,BP10:BP57,BT10:BT57),IFERROR(_xlfn.XLOOKUP(AP518,BQ10:BQ57,BT10:BT57),_xlfn.XLOOKUP(AP518,BR10:BR57,BT10:BT57,""))),""),""),""),"")</f>
        <v/>
      </c>
      <c r="BC518" s="813" cm="1">
        <f t="array" ref="BC518">IF(NOT(AQ518),0,IF(OR(BA518="",N(BA518)&lt;=0.000000001),"",IF(OR(AU518="",N(AU518)&lt;=0.000000001),0,IF(ISNUMBER(BA518),IFERROR(_xlfn.LET(_xlpm.ai_test,TRIM(AP518),_xlpm.r,IFERROR(_xlfn.XLOOKUP(_xlpm.ai_test,BP16:BP63,ROW(BP16:BP63),0,1),IFERROR(_xlfn.XLOOKUP(_xlpm.ai_test,BQ16:BQ63,ROW(BQ16:BQ63),0,1),_xlfn.XLOOKUP(_xlpm.ai_test,BR16:BR63,ROW(BR16:BR63),0,1))),_xlpm.p,_xlpm.r-MIN(ROW(BP16:BP63))+1,_xlpm.f,INDEX(BS16:BS63,_xlpm.p),_xlpm.u,INDEX(BT16:BT63,_xlpm.p),_xlpm.s,INDEX(BV16:BV63,_xlpm.p),_xlpm.q,N(BA518)/_xlpm.f,IF(_xlpm.q&gt;=_xlpm.s,ROUND(_xlpm.q,1)&amp;" "&amp;_xlpm.ai_test&amp;" = "&amp;ROUND(_xlpm.q*_xlpm.f,1)&amp;" "&amp;_xlpm.u,ROUND(_xlpm.q,1)&amp;" "&amp;_xlpm.ai_test)),""),""))))</f>
        <v>0</v>
      </c>
      <c r="BD518" s="801"/>
      <c r="BE518" s="799" t="str">
        <f t="shared" si="192"/>
        <v/>
      </c>
      <c r="BF518" s="800" t="str">
        <f t="shared" si="193"/>
        <v/>
      </c>
      <c r="BG518" s="802">
        <f t="shared" si="196"/>
        <v>0</v>
      </c>
      <c r="BH518" s="803" t="str">
        <f t="shared" si="197"/>
        <v/>
      </c>
      <c r="BI518" s="792"/>
      <c r="BJ518" s="804">
        <f t="shared" si="195"/>
        <v>0</v>
      </c>
      <c r="BK518" s="794" t="str">
        <f t="shared" si="194"/>
        <v/>
      </c>
      <c r="BL518" s="227" t="s">
        <v>21</v>
      </c>
      <c r="BM518" s="773">
        <f t="shared" si="183"/>
        <v>0</v>
      </c>
      <c r="BN518" s="774">
        <f t="shared" si="184"/>
        <v>0</v>
      </c>
      <c r="BO518"/>
      <c r="BX518"/>
      <c r="BY518"/>
      <c r="BZ518"/>
      <c r="CA518"/>
      <c r="CB518"/>
      <c r="CC518"/>
      <c r="CD518" s="781" t="str">
        <f t="shared" ref="CD518:CD550" si="198">AL518</f>
        <v>►</v>
      </c>
      <c r="CE518" s="633"/>
      <c r="CF518" s="633"/>
      <c r="CG518" s="633"/>
      <c r="CH518" s="633"/>
      <c r="CI518" s="633"/>
      <c r="CJ518" s="227"/>
      <c r="CK518"/>
      <c r="CL518"/>
      <c r="CM518"/>
      <c r="CN518"/>
      <c r="CO518"/>
      <c r="CP518"/>
      <c r="CQ518"/>
      <c r="CR518" s="227"/>
      <c r="CS518"/>
      <c r="CT518"/>
      <c r="CU518"/>
      <c r="CV518"/>
      <c r="CW518"/>
      <c r="CX518"/>
      <c r="CY518"/>
      <c r="CZ518" s="227"/>
      <c r="DA518"/>
      <c r="DB518"/>
      <c r="DC518"/>
      <c r="DD518"/>
      <c r="DE518"/>
      <c r="DF518"/>
      <c r="DG518"/>
      <c r="DH518" s="227"/>
      <c r="DI518" s="3">
        <v>1</v>
      </c>
    </row>
    <row r="519" spans="2:113" s="627" customFormat="1" ht="21" customHeight="1">
      <c r="B519" s="2265" t="str" cm="1">
        <f t="array" ref="B519">SUMPRODUCT(--(D519:J519&lt;&gt;""), LEN(TRIM(SUBSTITUTE(D519:J519, CHAR(160), "")))) &amp; " Car."</f>
        <v>0 Car.</v>
      </c>
      <c r="C519" s="1376" t="str">
        <f>IF(ISBLANK(D519),"",LARGE(C13:C518,1)+1)</f>
        <v/>
      </c>
      <c r="D519" s="1833"/>
      <c r="E519" s="1810"/>
      <c r="F519" s="1810"/>
      <c r="G519" s="1810"/>
      <c r="H519" s="1810"/>
      <c r="I519" s="1810"/>
      <c r="J519" s="1810"/>
      <c r="K519" s="1810"/>
      <c r="L519" s="1811"/>
      <c r="M519"/>
      <c r="N519" s="103" t="str">
        <f t="shared" si="179"/>
        <v>►</v>
      </c>
      <c r="O519" s="1616"/>
      <c r="P519"/>
      <c r="Q519" s="25" t="s">
        <v>15</v>
      </c>
      <c r="R519" s="31"/>
      <c r="S519" s="32"/>
      <c r="T519" s="31"/>
      <c r="U519" s="33"/>
      <c r="V519" s="1967"/>
      <c r="W519" s="1805"/>
      <c r="X519" s="91"/>
      <c r="Y519" s="1806"/>
      <c r="Z519" s="1968"/>
      <c r="AA519" s="2244"/>
      <c r="AB519" s="1969"/>
      <c r="AC519" s="1365"/>
      <c r="AD519" s="95"/>
      <c r="AE519" s="1326"/>
      <c r="AF519" s="97"/>
      <c r="AG519" s="1737"/>
      <c r="AH519" s="1970"/>
      <c r="AI519" s="99"/>
      <c r="AJ519" s="1809"/>
      <c r="AK519" s="6120" t="str">
        <f t="shared" si="180"/>
        <v>►</v>
      </c>
      <c r="AL519" s="781" t="str">
        <f t="shared" si="182"/>
        <v>►</v>
      </c>
      <c r="AM519" s="5499" t="str">
        <f t="shared" si="185"/>
        <v/>
      </c>
      <c r="AN519" s="783" t="str">
        <f t="shared" si="186"/>
        <v/>
      </c>
      <c r="AO519" s="782" t="str">
        <f t="shared" si="187"/>
        <v/>
      </c>
      <c r="AP519" s="783" t="str">
        <f t="shared" si="188"/>
        <v/>
      </c>
      <c r="AQ519" s="2083" t="b">
        <f>AND(Q519="A",COUNTIF(BP16:BR63,TRIM(Z519))&gt;0)</f>
        <v>0</v>
      </c>
      <c r="AR519" s="797" t="str">
        <f>IF(AL519&lt;&gt;"A","",IFERROR(IFERROR(_xlfn.XLOOKUP(TRIM(SUBSTITUTE(Z519,CHAR(160)," ")),BP16:BP63,BS16:BS63),IFERROR(_xlfn.XLOOKUP(TRIM(SUBSTITUTE(Z519,CHAR(160)," ")),BQ16:BQ63,BS16:BS63),_xlfn.XLOOKUP(TRIM(SUBSTITUTE(Z519,CHAR(160)," ")),BR16:BR63,BS16:BS63)))*Y519*IF(ISBLANK(V519),1,V519),0))</f>
        <v/>
      </c>
      <c r="AS519" s="784" t="str">
        <f t="shared" ref="AS519:AS550" si="199">IF(AK519="A",IF(AND(AQ519,AR519&gt;0),"Kg",""),"")</f>
        <v/>
      </c>
      <c r="AT519" s="1315" t="str">
        <f t="shared" si="189"/>
        <v/>
      </c>
      <c r="AU519" s="785">
        <f t="shared" si="190"/>
        <v>0</v>
      </c>
      <c r="AV519" s="785">
        <f t="shared" si="191"/>
        <v>0</v>
      </c>
      <c r="AW519" s="786">
        <f>IF(AK519="A",AY10,0)</f>
        <v>0</v>
      </c>
      <c r="AX519" s="5495" t="str">
        <f>IF(IFERROR(SEARCH("Adresse PC",TRIM(W519)),0)&gt;0,"▼ receta siguiente",IF(AK519="A",IF(AZ10&lt;&gt;"",AZ10&amp;" - ou.or.o ❾ + or - &gt;",""),""))</f>
        <v/>
      </c>
      <c r="AY519" s="810"/>
      <c r="AZ519" s="810"/>
      <c r="BA519" s="788" t="str">
        <f t="shared" si="181"/>
        <v/>
      </c>
      <c r="BB519" s="789" t="str">
        <f>IF(AK519="A",IF(AQ519,IF(AND(AW519&lt;&gt;"",N(AW519)&gt;0),IFERROR(IFERROR(_xlfn.XLOOKUP(AP519,BP10:BP57,BT10:BT57),IFERROR(_xlfn.XLOOKUP(AP519,BQ10:BQ57,BT10:BT57),_xlfn.XLOOKUP(AP519,BR10:BR57,BT10:BT57,""))),""),""),""),"")</f>
        <v/>
      </c>
      <c r="BC519" s="811" cm="1">
        <f t="array" ref="BC519">IF(NOT(AQ519),0,IF(OR(BA519="",N(BA519)&lt;=0.000000001),"",IF(OR(AU519="",N(AU519)&lt;=0.000000001),0,IF(ISNUMBER(BA519),IFERROR(_xlfn.LET(_xlpm.ai_test,TRIM(AP519),_xlpm.r,IFERROR(_xlfn.XLOOKUP(_xlpm.ai_test,BP16:BP63,ROW(BP16:BP63),0,1),IFERROR(_xlfn.XLOOKUP(_xlpm.ai_test,BQ16:BQ63,ROW(BQ16:BQ63),0,1),_xlfn.XLOOKUP(_xlpm.ai_test,BR16:BR63,ROW(BR16:BR63),0,1))),_xlpm.p,_xlpm.r-MIN(ROW(BP16:BP63))+1,_xlpm.f,INDEX(BS16:BS63,_xlpm.p),_xlpm.u,INDEX(BT16:BT63,_xlpm.p),_xlpm.s,INDEX(BV16:BV63,_xlpm.p),_xlpm.q,N(BA519)/_xlpm.f,IF(_xlpm.q&gt;=_xlpm.s,ROUND(_xlpm.q,1)&amp;" "&amp;_xlpm.ai_test&amp;" = "&amp;ROUND(_xlpm.q*_xlpm.f,1)&amp;" "&amp;_xlpm.u,ROUND(_xlpm.q,1)&amp;" "&amp;_xlpm.ai_test)),""),""))))</f>
        <v>0</v>
      </c>
      <c r="BD519" s="801"/>
      <c r="BE519" s="788" t="str">
        <f t="shared" si="192"/>
        <v/>
      </c>
      <c r="BF519" s="789" t="str">
        <f t="shared" si="193"/>
        <v/>
      </c>
      <c r="BG519" s="790">
        <f t="shared" si="196"/>
        <v>0</v>
      </c>
      <c r="BH519" s="791" t="str">
        <f t="shared" si="197"/>
        <v/>
      </c>
      <c r="BI519" s="792"/>
      <c r="BJ519" s="793">
        <f t="shared" si="195"/>
        <v>0</v>
      </c>
      <c r="BK519" s="794" t="str">
        <f t="shared" si="194"/>
        <v/>
      </c>
      <c r="BL519" s="227" t="s">
        <v>21</v>
      </c>
      <c r="BM519" s="773">
        <f t="shared" si="183"/>
        <v>0</v>
      </c>
      <c r="BN519" s="774">
        <f t="shared" si="184"/>
        <v>0</v>
      </c>
      <c r="BO519"/>
      <c r="BX519"/>
      <c r="BY519"/>
      <c r="BZ519"/>
      <c r="CA519"/>
      <c r="CB519"/>
      <c r="CC519"/>
      <c r="CD519" s="781" t="str">
        <f t="shared" si="198"/>
        <v>►</v>
      </c>
      <c r="CE519" s="633"/>
      <c r="CF519" s="633"/>
      <c r="CG519" s="633"/>
      <c r="CH519" s="633"/>
      <c r="CI519" s="633"/>
      <c r="CJ519" s="227"/>
      <c r="CK519"/>
      <c r="CL519"/>
      <c r="CM519"/>
      <c r="CN519"/>
      <c r="CO519"/>
      <c r="CP519"/>
      <c r="CQ519"/>
      <c r="CR519" s="227"/>
      <c r="CS519"/>
      <c r="CT519"/>
      <c r="CU519"/>
      <c r="CV519"/>
      <c r="CW519"/>
      <c r="CX519"/>
      <c r="CY519"/>
      <c r="CZ519" s="227"/>
      <c r="DA519"/>
      <c r="DB519"/>
      <c r="DC519"/>
      <c r="DD519"/>
      <c r="DE519"/>
      <c r="DF519"/>
      <c r="DG519"/>
      <c r="DH519" s="227"/>
      <c r="DI519" s="3">
        <v>1</v>
      </c>
    </row>
    <row r="520" spans="2:113" s="627" customFormat="1" ht="21" customHeight="1">
      <c r="B520" s="2265" t="str" cm="1">
        <f t="array" ref="B520">SUMPRODUCT(--(D520:J520&lt;&gt;""), LEN(TRIM(SUBSTITUTE(D520:J520, CHAR(160), "")))) &amp; " Car."</f>
        <v>0 Car.</v>
      </c>
      <c r="C520" s="1376" t="str">
        <f>IF(ISBLANK(D520),"",LARGE(C13:C519,1)+1)</f>
        <v/>
      </c>
      <c r="D520" s="1833"/>
      <c r="E520" s="1810"/>
      <c r="F520" s="1810"/>
      <c r="G520" s="1810"/>
      <c r="H520" s="1810"/>
      <c r="I520" s="1810"/>
      <c r="J520" s="1810"/>
      <c r="K520" s="1810"/>
      <c r="L520" s="1811"/>
      <c r="M520"/>
      <c r="N520" s="103" t="str">
        <f t="shared" si="179"/>
        <v>►</v>
      </c>
      <c r="O520" s="1616"/>
      <c r="P520"/>
      <c r="Q520" s="25" t="s">
        <v>15</v>
      </c>
      <c r="R520" s="31"/>
      <c r="S520" s="32"/>
      <c r="T520" s="31"/>
      <c r="U520" s="33"/>
      <c r="V520" s="1967"/>
      <c r="W520" s="1805"/>
      <c r="X520" s="91"/>
      <c r="Y520" s="1806"/>
      <c r="Z520" s="1968"/>
      <c r="AA520" s="2244"/>
      <c r="AB520" s="1969"/>
      <c r="AC520" s="1365"/>
      <c r="AD520" s="95"/>
      <c r="AE520" s="1326"/>
      <c r="AF520" s="97"/>
      <c r="AG520" s="1737"/>
      <c r="AH520" s="1970"/>
      <c r="AI520" s="99"/>
      <c r="AJ520" s="1809"/>
      <c r="AK520" s="6120" t="str">
        <f t="shared" si="180"/>
        <v>►</v>
      </c>
      <c r="AL520" s="781" t="str">
        <f t="shared" si="182"/>
        <v>►</v>
      </c>
      <c r="AM520" s="5498" t="str">
        <f t="shared" si="185"/>
        <v/>
      </c>
      <c r="AN520" s="783" t="str">
        <f t="shared" si="186"/>
        <v/>
      </c>
      <c r="AO520" s="782" t="str">
        <f t="shared" si="187"/>
        <v/>
      </c>
      <c r="AP520" s="783" t="str">
        <f t="shared" si="188"/>
        <v/>
      </c>
      <c r="AQ520" s="2083" t="b">
        <f>AND(Q520="A",COUNTIF(BP16:BR63,TRIM(Z520))&gt;0)</f>
        <v>0</v>
      </c>
      <c r="AR520" s="797" t="str">
        <f>IF(AL520&lt;&gt;"A","",IFERROR(IFERROR(_xlfn.XLOOKUP(TRIM(SUBSTITUTE(Z520,CHAR(160)," ")),BP16:BP63,BS16:BS63),IFERROR(_xlfn.XLOOKUP(TRIM(SUBSTITUTE(Z520,CHAR(160)," ")),BQ16:BQ63,BS16:BS63),_xlfn.XLOOKUP(TRIM(SUBSTITUTE(Z520,CHAR(160)," ")),BR16:BR63,BS16:BS63)))*Y520*IF(ISBLANK(V520),1,V520),0))</f>
        <v/>
      </c>
      <c r="AS520" s="784" t="str">
        <f t="shared" si="199"/>
        <v/>
      </c>
      <c r="AT520" s="1315" t="str">
        <f t="shared" si="189"/>
        <v/>
      </c>
      <c r="AU520" s="785">
        <f t="shared" si="190"/>
        <v>0</v>
      </c>
      <c r="AV520" s="785">
        <f t="shared" si="191"/>
        <v>0</v>
      </c>
      <c r="AW520" s="798">
        <f>IF(AK520="A",AY10,0)</f>
        <v>0</v>
      </c>
      <c r="AX520" s="5496" t="str">
        <f>IF(IFERROR(SEARCH("Adresse PC",TRIM(W520)),0)&gt;0,"▼ receta siguiente",IF(AK520="A",IF(AZ10&lt;&gt;"",AZ10&amp;" - ou.or.o ❾ + or - &gt;",""),""))</f>
        <v/>
      </c>
      <c r="AY520" s="810"/>
      <c r="AZ520" s="810"/>
      <c r="BA520" s="799" t="str">
        <f t="shared" si="181"/>
        <v/>
      </c>
      <c r="BB520" s="800" t="str">
        <f>IF(AK520="A",IF(AQ520,IF(AND(AW520&lt;&gt;"",N(AW520)&gt;0),IFERROR(IFERROR(_xlfn.XLOOKUP(AP520,BP10:BP57,BT10:BT57),IFERROR(_xlfn.XLOOKUP(AP520,BQ10:BQ57,BT10:BT57),_xlfn.XLOOKUP(AP520,BR10:BR57,BT10:BT57,""))),""),""),""),"")</f>
        <v/>
      </c>
      <c r="BC520" s="813" cm="1">
        <f t="array" ref="BC520">IF(NOT(AQ520),0,IF(OR(BA520="",N(BA520)&lt;=0.000000001),"",IF(OR(AU520="",N(AU520)&lt;=0.000000001),0,IF(ISNUMBER(BA520),IFERROR(_xlfn.LET(_xlpm.ai_test,TRIM(AP520),_xlpm.r,IFERROR(_xlfn.XLOOKUP(_xlpm.ai_test,BP16:BP63,ROW(BP16:BP63),0,1),IFERROR(_xlfn.XLOOKUP(_xlpm.ai_test,BQ16:BQ63,ROW(BQ16:BQ63),0,1),_xlfn.XLOOKUP(_xlpm.ai_test,BR16:BR63,ROW(BR16:BR63),0,1))),_xlpm.p,_xlpm.r-MIN(ROW(BP16:BP63))+1,_xlpm.f,INDEX(BS16:BS63,_xlpm.p),_xlpm.u,INDEX(BT16:BT63,_xlpm.p),_xlpm.s,INDEX(BV16:BV63,_xlpm.p),_xlpm.q,N(BA520)/_xlpm.f,IF(_xlpm.q&gt;=_xlpm.s,ROUND(_xlpm.q,1)&amp;" "&amp;_xlpm.ai_test&amp;" = "&amp;ROUND(_xlpm.q*_xlpm.f,1)&amp;" "&amp;_xlpm.u,ROUND(_xlpm.q,1)&amp;" "&amp;_xlpm.ai_test)),""),""))))</f>
        <v>0</v>
      </c>
      <c r="BD520" s="801"/>
      <c r="BE520" s="799" t="str">
        <f t="shared" si="192"/>
        <v/>
      </c>
      <c r="BF520" s="800" t="str">
        <f t="shared" si="193"/>
        <v/>
      </c>
      <c r="BG520" s="802">
        <f t="shared" si="196"/>
        <v>0</v>
      </c>
      <c r="BH520" s="803" t="str">
        <f t="shared" si="197"/>
        <v/>
      </c>
      <c r="BI520" s="792"/>
      <c r="BJ520" s="804">
        <f t="shared" si="195"/>
        <v>0</v>
      </c>
      <c r="BK520" s="794" t="str">
        <f t="shared" si="194"/>
        <v/>
      </c>
      <c r="BL520" s="227" t="s">
        <v>21</v>
      </c>
      <c r="BM520" s="773">
        <f t="shared" si="183"/>
        <v>0</v>
      </c>
      <c r="BN520" s="774">
        <f t="shared" si="184"/>
        <v>0</v>
      </c>
      <c r="BO520"/>
      <c r="BX520"/>
      <c r="BY520"/>
      <c r="BZ520"/>
      <c r="CA520"/>
      <c r="CB520"/>
      <c r="CC520"/>
      <c r="CD520" s="781" t="str">
        <f t="shared" si="198"/>
        <v>►</v>
      </c>
      <c r="CE520" s="633"/>
      <c r="CF520" s="633"/>
      <c r="CG520" s="633"/>
      <c r="CH520" s="633"/>
      <c r="CI520" s="633"/>
      <c r="CJ520" s="227"/>
      <c r="CK520"/>
      <c r="CL520"/>
      <c r="CM520"/>
      <c r="CN520"/>
      <c r="CO520"/>
      <c r="CP520"/>
      <c r="CQ520"/>
      <c r="CR520" s="227"/>
      <c r="CS520"/>
      <c r="CT520"/>
      <c r="CU520"/>
      <c r="CV520"/>
      <c r="CW520"/>
      <c r="CX520"/>
      <c r="CY520"/>
      <c r="CZ520" s="227"/>
      <c r="DA520"/>
      <c r="DB520"/>
      <c r="DC520"/>
      <c r="DD520"/>
      <c r="DE520"/>
      <c r="DF520"/>
      <c r="DG520"/>
      <c r="DH520" s="227"/>
      <c r="DI520" s="3">
        <v>1</v>
      </c>
    </row>
    <row r="521" spans="2:113" s="627" customFormat="1" ht="21" customHeight="1">
      <c r="B521" s="2265" t="str" cm="1">
        <f t="array" ref="B521">SUMPRODUCT(--(D521:J521&lt;&gt;""), LEN(TRIM(SUBSTITUTE(D521:J521, CHAR(160), "")))) &amp; " Car."</f>
        <v>0 Car.</v>
      </c>
      <c r="C521" s="1376" t="str">
        <f>IF(ISBLANK(D521),"",LARGE(C13:C520,1)+1)</f>
        <v/>
      </c>
      <c r="D521" s="1833"/>
      <c r="E521" s="1810"/>
      <c r="F521" s="1810"/>
      <c r="G521" s="1810"/>
      <c r="H521" s="1810"/>
      <c r="I521" s="1810"/>
      <c r="J521" s="1810"/>
      <c r="K521" s="1810"/>
      <c r="L521" s="1811"/>
      <c r="M521"/>
      <c r="N521" s="103" t="str">
        <f t="shared" si="179"/>
        <v>►</v>
      </c>
      <c r="O521" s="1616"/>
      <c r="P521"/>
      <c r="Q521" s="25" t="s">
        <v>15</v>
      </c>
      <c r="R521" s="31"/>
      <c r="S521" s="32"/>
      <c r="T521" s="31"/>
      <c r="U521" s="33"/>
      <c r="V521" s="1967"/>
      <c r="W521" s="1805"/>
      <c r="X521" s="91"/>
      <c r="Y521" s="1806"/>
      <c r="Z521" s="1968"/>
      <c r="AA521" s="2244"/>
      <c r="AB521" s="1969"/>
      <c r="AC521" s="1365"/>
      <c r="AD521" s="95"/>
      <c r="AE521" s="1326"/>
      <c r="AF521" s="97"/>
      <c r="AG521" s="1737"/>
      <c r="AH521" s="1970"/>
      <c r="AI521" s="99"/>
      <c r="AJ521" s="1809"/>
      <c r="AK521" s="6120" t="str">
        <f t="shared" si="180"/>
        <v>►</v>
      </c>
      <c r="AL521" s="781" t="str">
        <f t="shared" si="182"/>
        <v>►</v>
      </c>
      <c r="AM521" s="5499" t="str">
        <f t="shared" si="185"/>
        <v/>
      </c>
      <c r="AN521" s="783" t="str">
        <f t="shared" si="186"/>
        <v/>
      </c>
      <c r="AO521" s="782" t="str">
        <f t="shared" si="187"/>
        <v/>
      </c>
      <c r="AP521" s="783" t="str">
        <f t="shared" si="188"/>
        <v/>
      </c>
      <c r="AQ521" s="2083" t="b">
        <f>AND(Q521="A",COUNTIF(BP16:BR63,TRIM(Z521))&gt;0)</f>
        <v>0</v>
      </c>
      <c r="AR521" s="797" t="str">
        <f>IF(AL521&lt;&gt;"A","",IFERROR(IFERROR(_xlfn.XLOOKUP(TRIM(SUBSTITUTE(Z521,CHAR(160)," ")),BP16:BP63,BS16:BS63),IFERROR(_xlfn.XLOOKUP(TRIM(SUBSTITUTE(Z521,CHAR(160)," ")),BQ16:BQ63,BS16:BS63),_xlfn.XLOOKUP(TRIM(SUBSTITUTE(Z521,CHAR(160)," ")),BR16:BR63,BS16:BS63)))*Y521*IF(ISBLANK(V521),1,V521),0))</f>
        <v/>
      </c>
      <c r="AS521" s="784" t="str">
        <f t="shared" si="199"/>
        <v/>
      </c>
      <c r="AT521" s="1315" t="str">
        <f t="shared" si="189"/>
        <v/>
      </c>
      <c r="AU521" s="785">
        <f t="shared" si="190"/>
        <v>0</v>
      </c>
      <c r="AV521" s="785">
        <f t="shared" si="191"/>
        <v>0</v>
      </c>
      <c r="AW521" s="786">
        <f>IF(AK521="A",AY10,0)</f>
        <v>0</v>
      </c>
      <c r="AX521" s="5495" t="str">
        <f>IF(IFERROR(SEARCH("Adresse PC",TRIM(W521)),0)&gt;0,"▼ receta siguiente",IF(AK521="A",IF(AZ10&lt;&gt;"",AZ10&amp;" - ou.or.o ❾ + or - &gt;",""),""))</f>
        <v/>
      </c>
      <c r="AY521" s="810"/>
      <c r="AZ521" s="810"/>
      <c r="BA521" s="788" t="str">
        <f t="shared" si="181"/>
        <v/>
      </c>
      <c r="BB521" s="789" t="str">
        <f>IF(AK521="A",IF(AQ521,IF(AND(AW521&lt;&gt;"",N(AW521)&gt;0),IFERROR(IFERROR(_xlfn.XLOOKUP(AP521,BP10:BP57,BT10:BT57),IFERROR(_xlfn.XLOOKUP(AP521,BQ10:BQ57,BT10:BT57),_xlfn.XLOOKUP(AP521,BR10:BR57,BT10:BT57,""))),""),""),""),"")</f>
        <v/>
      </c>
      <c r="BC521" s="811" cm="1">
        <f t="array" ref="BC521">IF(NOT(AQ521),0,IF(OR(BA521="",N(BA521)&lt;=0.000000001),"",IF(OR(AU521="",N(AU521)&lt;=0.000000001),0,IF(ISNUMBER(BA521),IFERROR(_xlfn.LET(_xlpm.ai_test,TRIM(AP521),_xlpm.r,IFERROR(_xlfn.XLOOKUP(_xlpm.ai_test,BP16:BP63,ROW(BP16:BP63),0,1),IFERROR(_xlfn.XLOOKUP(_xlpm.ai_test,BQ16:BQ63,ROW(BQ16:BQ63),0,1),_xlfn.XLOOKUP(_xlpm.ai_test,BR16:BR63,ROW(BR16:BR63),0,1))),_xlpm.p,_xlpm.r-MIN(ROW(BP16:BP63))+1,_xlpm.f,INDEX(BS16:BS63,_xlpm.p),_xlpm.u,INDEX(BT16:BT63,_xlpm.p),_xlpm.s,INDEX(BV16:BV63,_xlpm.p),_xlpm.q,N(BA521)/_xlpm.f,IF(_xlpm.q&gt;=_xlpm.s,ROUND(_xlpm.q,1)&amp;" "&amp;_xlpm.ai_test&amp;" = "&amp;ROUND(_xlpm.q*_xlpm.f,1)&amp;" "&amp;_xlpm.u,ROUND(_xlpm.q,1)&amp;" "&amp;_xlpm.ai_test)),""),""))))</f>
        <v>0</v>
      </c>
      <c r="BD521" s="801"/>
      <c r="BE521" s="788" t="str">
        <f t="shared" si="192"/>
        <v/>
      </c>
      <c r="BF521" s="789" t="str">
        <f t="shared" si="193"/>
        <v/>
      </c>
      <c r="BG521" s="790">
        <f t="shared" si="196"/>
        <v>0</v>
      </c>
      <c r="BH521" s="791" t="str">
        <f t="shared" si="197"/>
        <v/>
      </c>
      <c r="BI521" s="792"/>
      <c r="BJ521" s="793">
        <f t="shared" si="195"/>
        <v>0</v>
      </c>
      <c r="BK521" s="794" t="str">
        <f t="shared" si="194"/>
        <v/>
      </c>
      <c r="BL521" s="227" t="s">
        <v>21</v>
      </c>
      <c r="BM521" s="773">
        <f t="shared" si="183"/>
        <v>0</v>
      </c>
      <c r="BN521" s="774">
        <f t="shared" si="184"/>
        <v>0</v>
      </c>
      <c r="BO521"/>
      <c r="BX521"/>
      <c r="BY521"/>
      <c r="BZ521"/>
      <c r="CA521"/>
      <c r="CB521"/>
      <c r="CC521"/>
      <c r="CD521" s="781" t="str">
        <f t="shared" si="198"/>
        <v>►</v>
      </c>
      <c r="CE521" s="633"/>
      <c r="CF521" s="633"/>
      <c r="CG521" s="633"/>
      <c r="CH521" s="633"/>
      <c r="CI521" s="633"/>
      <c r="CJ521" s="227"/>
      <c r="CK521"/>
      <c r="CL521"/>
      <c r="CM521"/>
      <c r="CN521"/>
      <c r="CO521"/>
      <c r="CP521"/>
      <c r="CQ521"/>
      <c r="CR521" s="227"/>
      <c r="CS521"/>
      <c r="CT521"/>
      <c r="CU521"/>
      <c r="CV521"/>
      <c r="CW521"/>
      <c r="CX521"/>
      <c r="CY521"/>
      <c r="CZ521" s="227"/>
      <c r="DA521"/>
      <c r="DB521"/>
      <c r="DC521"/>
      <c r="DD521"/>
      <c r="DE521"/>
      <c r="DF521"/>
      <c r="DG521"/>
      <c r="DH521" s="227"/>
      <c r="DI521" s="3">
        <v>1</v>
      </c>
    </row>
    <row r="522" spans="2:113" s="627" customFormat="1" ht="21" customHeight="1">
      <c r="B522" s="2265" t="str" cm="1">
        <f t="array" ref="B522">SUMPRODUCT(--(D522:J522&lt;&gt;""), LEN(TRIM(SUBSTITUTE(D522:J522, CHAR(160), "")))) &amp; " Car."</f>
        <v>0 Car.</v>
      </c>
      <c r="C522" s="1376" t="str">
        <f>IF(ISBLANK(D522),"",LARGE(C13:C521,1)+1)</f>
        <v/>
      </c>
      <c r="D522" s="1833"/>
      <c r="E522" s="1810"/>
      <c r="F522" s="1810"/>
      <c r="G522" s="1810"/>
      <c r="H522" s="1810"/>
      <c r="I522" s="1810"/>
      <c r="J522" s="1810"/>
      <c r="K522" s="1810"/>
      <c r="L522" s="1811"/>
      <c r="M522"/>
      <c r="N522" s="103" t="str">
        <f t="shared" si="179"/>
        <v>►</v>
      </c>
      <c r="O522" s="1616"/>
      <c r="P522"/>
      <c r="Q522" s="25" t="s">
        <v>15</v>
      </c>
      <c r="R522" s="31"/>
      <c r="S522" s="32"/>
      <c r="T522" s="31"/>
      <c r="U522" s="33"/>
      <c r="V522" s="1967"/>
      <c r="W522" s="1805"/>
      <c r="X522" s="91"/>
      <c r="Y522" s="1806"/>
      <c r="Z522" s="1968"/>
      <c r="AA522" s="2244"/>
      <c r="AB522" s="1969"/>
      <c r="AC522" s="1365"/>
      <c r="AD522" s="95"/>
      <c r="AE522" s="1326"/>
      <c r="AF522" s="97"/>
      <c r="AG522" s="1737"/>
      <c r="AH522" s="1970"/>
      <c r="AI522" s="99"/>
      <c r="AJ522" s="1809"/>
      <c r="AK522" s="6120" t="str">
        <f t="shared" si="180"/>
        <v>►</v>
      </c>
      <c r="AL522" s="781" t="str">
        <f t="shared" si="182"/>
        <v>►</v>
      </c>
      <c r="AM522" s="5498" t="str">
        <f t="shared" si="185"/>
        <v/>
      </c>
      <c r="AN522" s="783" t="str">
        <f t="shared" si="186"/>
        <v/>
      </c>
      <c r="AO522" s="782" t="str">
        <f t="shared" si="187"/>
        <v/>
      </c>
      <c r="AP522" s="783" t="str">
        <f t="shared" si="188"/>
        <v/>
      </c>
      <c r="AQ522" s="2083" t="b">
        <f>AND(Q522="A",COUNTIF(BP16:BR63,TRIM(Z522))&gt;0)</f>
        <v>0</v>
      </c>
      <c r="AR522" s="797" t="str">
        <f>IF(AL522&lt;&gt;"A","",IFERROR(IFERROR(_xlfn.XLOOKUP(TRIM(SUBSTITUTE(Z522,CHAR(160)," ")),BP16:BP63,BS16:BS63),IFERROR(_xlfn.XLOOKUP(TRIM(SUBSTITUTE(Z522,CHAR(160)," ")),BQ16:BQ63,BS16:BS63),_xlfn.XLOOKUP(TRIM(SUBSTITUTE(Z522,CHAR(160)," ")),BR16:BR63,BS16:BS63)))*Y522*IF(ISBLANK(V522),1,V522),0))</f>
        <v/>
      </c>
      <c r="AS522" s="784" t="str">
        <f t="shared" si="199"/>
        <v/>
      </c>
      <c r="AT522" s="1315" t="str">
        <f t="shared" si="189"/>
        <v/>
      </c>
      <c r="AU522" s="785">
        <f t="shared" si="190"/>
        <v>0</v>
      </c>
      <c r="AV522" s="785">
        <f t="shared" si="191"/>
        <v>0</v>
      </c>
      <c r="AW522" s="798">
        <f>IF(AK522="A",AY10,0)</f>
        <v>0</v>
      </c>
      <c r="AX522" s="5496" t="str">
        <f>IF(IFERROR(SEARCH("Adresse PC",TRIM(W522)),0)&gt;0,"▼ receta siguiente",IF(AK522="A",IF(AZ10&lt;&gt;"",AZ10&amp;" - ou.or.o ❾ + or - &gt;",""),""))</f>
        <v/>
      </c>
      <c r="AY522" s="810"/>
      <c r="AZ522" s="810"/>
      <c r="BA522" s="799" t="str">
        <f t="shared" si="181"/>
        <v/>
      </c>
      <c r="BB522" s="800" t="str">
        <f>IF(AK522="A",IF(AQ522,IF(AND(AW522&lt;&gt;"",N(AW522)&gt;0),IFERROR(IFERROR(_xlfn.XLOOKUP(AP522,BP10:BP57,BT10:BT57),IFERROR(_xlfn.XLOOKUP(AP522,BQ10:BQ57,BT10:BT57),_xlfn.XLOOKUP(AP522,BR10:BR57,BT10:BT57,""))),""),""),""),"")</f>
        <v/>
      </c>
      <c r="BC522" s="813" cm="1">
        <f t="array" ref="BC522">IF(NOT(AQ522),0,IF(OR(BA522="",N(BA522)&lt;=0.000000001),"",IF(OR(AU522="",N(AU522)&lt;=0.000000001),0,IF(ISNUMBER(BA522),IFERROR(_xlfn.LET(_xlpm.ai_test,TRIM(AP522),_xlpm.r,IFERROR(_xlfn.XLOOKUP(_xlpm.ai_test,BP16:BP63,ROW(BP16:BP63),0,1),IFERROR(_xlfn.XLOOKUP(_xlpm.ai_test,BQ16:BQ63,ROW(BQ16:BQ63),0,1),_xlfn.XLOOKUP(_xlpm.ai_test,BR16:BR63,ROW(BR16:BR63),0,1))),_xlpm.p,_xlpm.r-MIN(ROW(BP16:BP63))+1,_xlpm.f,INDEX(BS16:BS63,_xlpm.p),_xlpm.u,INDEX(BT16:BT63,_xlpm.p),_xlpm.s,INDEX(BV16:BV63,_xlpm.p),_xlpm.q,N(BA522)/_xlpm.f,IF(_xlpm.q&gt;=_xlpm.s,ROUND(_xlpm.q,1)&amp;" "&amp;_xlpm.ai_test&amp;" = "&amp;ROUND(_xlpm.q*_xlpm.f,1)&amp;" "&amp;_xlpm.u,ROUND(_xlpm.q,1)&amp;" "&amp;_xlpm.ai_test)),""),""))))</f>
        <v>0</v>
      </c>
      <c r="BD522" s="801"/>
      <c r="BE522" s="799" t="str">
        <f t="shared" si="192"/>
        <v/>
      </c>
      <c r="BF522" s="800" t="str">
        <f t="shared" si="193"/>
        <v/>
      </c>
      <c r="BG522" s="802">
        <f t="shared" si="196"/>
        <v>0</v>
      </c>
      <c r="BH522" s="803" t="str">
        <f t="shared" si="197"/>
        <v/>
      </c>
      <c r="BI522" s="792"/>
      <c r="BJ522" s="804">
        <f t="shared" si="195"/>
        <v>0</v>
      </c>
      <c r="BK522" s="794" t="str">
        <f t="shared" si="194"/>
        <v/>
      </c>
      <c r="BL522" s="227" t="s">
        <v>21</v>
      </c>
      <c r="BM522" s="773">
        <f t="shared" si="183"/>
        <v>0</v>
      </c>
      <c r="BN522" s="774">
        <f t="shared" si="184"/>
        <v>0</v>
      </c>
      <c r="BO522"/>
      <c r="BX522"/>
      <c r="BY522"/>
      <c r="BZ522"/>
      <c r="CA522"/>
      <c r="CB522"/>
      <c r="CC522"/>
      <c r="CD522" s="781" t="str">
        <f t="shared" si="198"/>
        <v>►</v>
      </c>
      <c r="CE522" s="633"/>
      <c r="CF522" s="633"/>
      <c r="CG522" s="633"/>
      <c r="CH522" s="633"/>
      <c r="CI522" s="633"/>
      <c r="CJ522" s="227"/>
      <c r="CK522"/>
      <c r="CL522"/>
      <c r="CM522"/>
      <c r="CN522"/>
      <c r="CO522"/>
      <c r="CP522"/>
      <c r="CQ522"/>
      <c r="CR522" s="227"/>
      <c r="CS522"/>
      <c r="CT522"/>
      <c r="CU522"/>
      <c r="CV522"/>
      <c r="CW522"/>
      <c r="CX522"/>
      <c r="CY522"/>
      <c r="CZ522" s="227"/>
      <c r="DA522"/>
      <c r="DB522"/>
      <c r="DC522"/>
      <c r="DD522"/>
      <c r="DE522"/>
      <c r="DF522"/>
      <c r="DG522"/>
      <c r="DH522" s="227"/>
      <c r="DI522" s="3">
        <v>1</v>
      </c>
    </row>
    <row r="523" spans="2:113" s="627" customFormat="1" ht="21" customHeight="1">
      <c r="B523" s="2265" t="str" cm="1">
        <f t="array" ref="B523">SUMPRODUCT(--(D523:J523&lt;&gt;""), LEN(TRIM(SUBSTITUTE(D523:J523, CHAR(160), "")))) &amp; " Car."</f>
        <v>0 Car.</v>
      </c>
      <c r="C523" s="1376" t="str">
        <f>IF(ISBLANK(D523),"",LARGE(C13:C522,1)+1)</f>
        <v/>
      </c>
      <c r="D523" s="1833"/>
      <c r="E523" s="1810"/>
      <c r="F523" s="1810"/>
      <c r="G523" s="1810"/>
      <c r="H523" s="1810"/>
      <c r="I523" s="1810"/>
      <c r="J523" s="1810"/>
      <c r="K523" s="1810"/>
      <c r="L523" s="1811"/>
      <c r="M523"/>
      <c r="N523" s="103" t="str">
        <f t="shared" si="179"/>
        <v>►</v>
      </c>
      <c r="O523" s="1616"/>
      <c r="P523"/>
      <c r="Q523" s="25" t="s">
        <v>15</v>
      </c>
      <c r="R523" s="31"/>
      <c r="S523" s="32"/>
      <c r="T523" s="31"/>
      <c r="U523" s="33"/>
      <c r="V523" s="1967"/>
      <c r="W523" s="1805"/>
      <c r="X523" s="91"/>
      <c r="Y523" s="1806"/>
      <c r="Z523" s="1968"/>
      <c r="AA523" s="2244"/>
      <c r="AB523" s="1969"/>
      <c r="AC523" s="1365"/>
      <c r="AD523" s="95"/>
      <c r="AE523" s="1326"/>
      <c r="AF523" s="97"/>
      <c r="AG523" s="1737"/>
      <c r="AH523" s="1970"/>
      <c r="AI523" s="99"/>
      <c r="AJ523" s="1809"/>
      <c r="AK523" s="6120" t="str">
        <f t="shared" si="180"/>
        <v>►</v>
      </c>
      <c r="AL523" s="781" t="str">
        <f t="shared" si="182"/>
        <v>►</v>
      </c>
      <c r="AM523" s="5499" t="str">
        <f t="shared" si="185"/>
        <v/>
      </c>
      <c r="AN523" s="783" t="str">
        <f t="shared" si="186"/>
        <v/>
      </c>
      <c r="AO523" s="782" t="str">
        <f t="shared" si="187"/>
        <v/>
      </c>
      <c r="AP523" s="783" t="str">
        <f t="shared" si="188"/>
        <v/>
      </c>
      <c r="AQ523" s="2083" t="b">
        <f>AND(Q523="A",COUNTIF(BP16:BR63,TRIM(Z523))&gt;0)</f>
        <v>0</v>
      </c>
      <c r="AR523" s="797" t="str">
        <f>IF(AL523&lt;&gt;"A","",IFERROR(IFERROR(_xlfn.XLOOKUP(TRIM(SUBSTITUTE(Z523,CHAR(160)," ")),BP16:BP63,BS16:BS63),IFERROR(_xlfn.XLOOKUP(TRIM(SUBSTITUTE(Z523,CHAR(160)," ")),BQ16:BQ63,BS16:BS63),_xlfn.XLOOKUP(TRIM(SUBSTITUTE(Z523,CHAR(160)," ")),BR16:BR63,BS16:BS63)))*Y523*IF(ISBLANK(V523),1,V523),0))</f>
        <v/>
      </c>
      <c r="AS523" s="784" t="str">
        <f t="shared" si="199"/>
        <v/>
      </c>
      <c r="AT523" s="1315" t="str">
        <f t="shared" si="189"/>
        <v/>
      </c>
      <c r="AU523" s="785">
        <f t="shared" si="190"/>
        <v>0</v>
      </c>
      <c r="AV523" s="785">
        <f t="shared" si="191"/>
        <v>0</v>
      </c>
      <c r="AW523" s="786">
        <f>IF(AK523="A",AY10,0)</f>
        <v>0</v>
      </c>
      <c r="AX523" s="5495" t="str">
        <f>IF(IFERROR(SEARCH("Adresse PC",TRIM(W523)),0)&gt;0,"▼ receta siguiente",IF(AK523="A",IF(AZ10&lt;&gt;"",AZ10&amp;" - ou.or.o ❾ + or - &gt;",""),""))</f>
        <v/>
      </c>
      <c r="AY523" s="810"/>
      <c r="AZ523" s="810"/>
      <c r="BA523" s="788" t="str">
        <f t="shared" si="181"/>
        <v/>
      </c>
      <c r="BB523" s="789" t="str">
        <f>IF(AK523="A",IF(AQ523,IF(AND(AW523&lt;&gt;"",N(AW523)&gt;0),IFERROR(IFERROR(_xlfn.XLOOKUP(AP523,BP10:BP57,BT10:BT57),IFERROR(_xlfn.XLOOKUP(AP523,BQ10:BQ57,BT10:BT57),_xlfn.XLOOKUP(AP523,BR10:BR57,BT10:BT57,""))),""),""),""),"")</f>
        <v/>
      </c>
      <c r="BC523" s="811" cm="1">
        <f t="array" ref="BC523">IF(NOT(AQ523),0,IF(OR(BA523="",N(BA523)&lt;=0.000000001),"",IF(OR(AU523="",N(AU523)&lt;=0.000000001),0,IF(ISNUMBER(BA523),IFERROR(_xlfn.LET(_xlpm.ai_test,TRIM(AP523),_xlpm.r,IFERROR(_xlfn.XLOOKUP(_xlpm.ai_test,BP16:BP63,ROW(BP16:BP63),0,1),IFERROR(_xlfn.XLOOKUP(_xlpm.ai_test,BQ16:BQ63,ROW(BQ16:BQ63),0,1),_xlfn.XLOOKUP(_xlpm.ai_test,BR16:BR63,ROW(BR16:BR63),0,1))),_xlpm.p,_xlpm.r-MIN(ROW(BP16:BP63))+1,_xlpm.f,INDEX(BS16:BS63,_xlpm.p),_xlpm.u,INDEX(BT16:BT63,_xlpm.p),_xlpm.s,INDEX(BV16:BV63,_xlpm.p),_xlpm.q,N(BA523)/_xlpm.f,IF(_xlpm.q&gt;=_xlpm.s,ROUND(_xlpm.q,1)&amp;" "&amp;_xlpm.ai_test&amp;" = "&amp;ROUND(_xlpm.q*_xlpm.f,1)&amp;" "&amp;_xlpm.u,ROUND(_xlpm.q,1)&amp;" "&amp;_xlpm.ai_test)),""),""))))</f>
        <v>0</v>
      </c>
      <c r="BD523" s="801"/>
      <c r="BE523" s="788" t="str">
        <f t="shared" si="192"/>
        <v/>
      </c>
      <c r="BF523" s="789" t="str">
        <f t="shared" si="193"/>
        <v/>
      </c>
      <c r="BG523" s="790">
        <f t="shared" si="196"/>
        <v>0</v>
      </c>
      <c r="BH523" s="791" t="str">
        <f t="shared" si="197"/>
        <v/>
      </c>
      <c r="BI523" s="792"/>
      <c r="BJ523" s="793">
        <f t="shared" si="195"/>
        <v>0</v>
      </c>
      <c r="BK523" s="794" t="str">
        <f t="shared" si="194"/>
        <v/>
      </c>
      <c r="BL523" s="227" t="s">
        <v>21</v>
      </c>
      <c r="BM523" s="773">
        <f t="shared" si="183"/>
        <v>0</v>
      </c>
      <c r="BN523" s="774">
        <f t="shared" si="184"/>
        <v>0</v>
      </c>
      <c r="BO523"/>
      <c r="BX523"/>
      <c r="BY523"/>
      <c r="BZ523"/>
      <c r="CA523"/>
      <c r="CB523"/>
      <c r="CC523"/>
      <c r="CD523" s="781" t="str">
        <f t="shared" si="198"/>
        <v>►</v>
      </c>
      <c r="CE523" s="633"/>
      <c r="CF523" s="633"/>
      <c r="CG523" s="633"/>
      <c r="CH523" s="633"/>
      <c r="CI523" s="633"/>
      <c r="CJ523" s="227"/>
      <c r="CK523"/>
      <c r="CL523"/>
      <c r="CM523"/>
      <c r="CN523"/>
      <c r="CO523"/>
      <c r="CP523"/>
      <c r="CQ523"/>
      <c r="CR523" s="227"/>
      <c r="CS523"/>
      <c r="CT523"/>
      <c r="CU523"/>
      <c r="CV523"/>
      <c r="CW523"/>
      <c r="CX523"/>
      <c r="CY523"/>
      <c r="CZ523" s="227"/>
      <c r="DA523"/>
      <c r="DB523"/>
      <c r="DC523"/>
      <c r="DD523"/>
      <c r="DE523"/>
      <c r="DF523"/>
      <c r="DG523"/>
      <c r="DH523" s="227"/>
      <c r="DI523" s="3">
        <v>1</v>
      </c>
    </row>
    <row r="524" spans="2:113" s="627" customFormat="1" ht="21" customHeight="1">
      <c r="B524" s="2265" t="str" cm="1">
        <f t="array" ref="B524">SUMPRODUCT(--(D524:J524&lt;&gt;""), LEN(TRIM(SUBSTITUTE(D524:J524, CHAR(160), "")))) &amp; " Car."</f>
        <v>0 Car.</v>
      </c>
      <c r="C524" s="1376" t="str">
        <f>IF(ISBLANK(D524),"",LARGE(C13:C523,1)+1)</f>
        <v/>
      </c>
      <c r="D524" s="1833"/>
      <c r="E524" s="1810"/>
      <c r="F524" s="1810"/>
      <c r="G524" s="1810"/>
      <c r="H524" s="1810"/>
      <c r="I524" s="1810"/>
      <c r="J524" s="1810"/>
      <c r="K524" s="1810"/>
      <c r="L524" s="1811"/>
      <c r="M524"/>
      <c r="N524" s="103" t="str">
        <f t="shared" si="179"/>
        <v>►</v>
      </c>
      <c r="O524" s="1616"/>
      <c r="P524"/>
      <c r="Q524" s="25" t="s">
        <v>15</v>
      </c>
      <c r="R524" s="31"/>
      <c r="S524" s="32"/>
      <c r="T524" s="31"/>
      <c r="U524" s="33"/>
      <c r="V524" s="1967"/>
      <c r="W524" s="1805"/>
      <c r="X524" s="91"/>
      <c r="Y524" s="1806"/>
      <c r="Z524" s="1968"/>
      <c r="AA524" s="2244"/>
      <c r="AB524" s="1969"/>
      <c r="AC524" s="1365"/>
      <c r="AD524" s="95"/>
      <c r="AE524" s="1326"/>
      <c r="AF524" s="97"/>
      <c r="AG524" s="1737"/>
      <c r="AH524" s="1970"/>
      <c r="AI524" s="99"/>
      <c r="AJ524" s="1809"/>
      <c r="AK524" s="6120" t="str">
        <f t="shared" si="180"/>
        <v>►</v>
      </c>
      <c r="AL524" s="781" t="str">
        <f t="shared" si="182"/>
        <v>►</v>
      </c>
      <c r="AM524" s="5498" t="str">
        <f t="shared" si="185"/>
        <v/>
      </c>
      <c r="AN524" s="783" t="str">
        <f t="shared" si="186"/>
        <v/>
      </c>
      <c r="AO524" s="782" t="str">
        <f t="shared" si="187"/>
        <v/>
      </c>
      <c r="AP524" s="783" t="str">
        <f t="shared" si="188"/>
        <v/>
      </c>
      <c r="AQ524" s="2083" t="b">
        <f>AND(Q524="A",COUNTIF(BP16:BR63,TRIM(Z524))&gt;0)</f>
        <v>0</v>
      </c>
      <c r="AR524" s="797" t="str">
        <f>IF(AL524&lt;&gt;"A","",IFERROR(IFERROR(_xlfn.XLOOKUP(TRIM(SUBSTITUTE(Z524,CHAR(160)," ")),BP16:BP63,BS16:BS63),IFERROR(_xlfn.XLOOKUP(TRIM(SUBSTITUTE(Z524,CHAR(160)," ")),BQ16:BQ63,BS16:BS63),_xlfn.XLOOKUP(TRIM(SUBSTITUTE(Z524,CHAR(160)," ")),BR16:BR63,BS16:BS63)))*Y524*IF(ISBLANK(V524),1,V524),0))</f>
        <v/>
      </c>
      <c r="AS524" s="784" t="str">
        <f t="shared" si="199"/>
        <v/>
      </c>
      <c r="AT524" s="1315" t="str">
        <f t="shared" si="189"/>
        <v/>
      </c>
      <c r="AU524" s="785">
        <f t="shared" si="190"/>
        <v>0</v>
      </c>
      <c r="AV524" s="785">
        <f t="shared" si="191"/>
        <v>0</v>
      </c>
      <c r="AW524" s="798">
        <f>IF(AK524="A",AY10,0)</f>
        <v>0</v>
      </c>
      <c r="AX524" s="5496" t="str">
        <f>IF(IFERROR(SEARCH("Adresse PC",TRIM(W524)),0)&gt;0,"▼ receta siguiente",IF(AK524="A",IF(AZ10&lt;&gt;"",AZ10&amp;" - ou.or.o ❾ + or - &gt;",""),""))</f>
        <v/>
      </c>
      <c r="AY524" s="810"/>
      <c r="AZ524" s="810"/>
      <c r="BA524" s="799" t="str">
        <f t="shared" si="181"/>
        <v/>
      </c>
      <c r="BB524" s="800" t="str">
        <f>IF(AK524="A",IF(AQ524,IF(AND(AW524&lt;&gt;"",N(AW524)&gt;0),IFERROR(IFERROR(_xlfn.XLOOKUP(AP524,BP10:BP57,BT10:BT57),IFERROR(_xlfn.XLOOKUP(AP524,BQ10:BQ57,BT10:BT57),_xlfn.XLOOKUP(AP524,BR10:BR57,BT10:BT57,""))),""),""),""),"")</f>
        <v/>
      </c>
      <c r="BC524" s="813" cm="1">
        <f t="array" ref="BC524">IF(NOT(AQ524),0,IF(OR(BA524="",N(BA524)&lt;=0.000000001),"",IF(OR(AU524="",N(AU524)&lt;=0.000000001),0,IF(ISNUMBER(BA524),IFERROR(_xlfn.LET(_xlpm.ai_test,TRIM(AP524),_xlpm.r,IFERROR(_xlfn.XLOOKUP(_xlpm.ai_test,BP16:BP63,ROW(BP16:BP63),0,1),IFERROR(_xlfn.XLOOKUP(_xlpm.ai_test,BQ16:BQ63,ROW(BQ16:BQ63),0,1),_xlfn.XLOOKUP(_xlpm.ai_test,BR16:BR63,ROW(BR16:BR63),0,1))),_xlpm.p,_xlpm.r-MIN(ROW(BP16:BP63))+1,_xlpm.f,INDEX(BS16:BS63,_xlpm.p),_xlpm.u,INDEX(BT16:BT63,_xlpm.p),_xlpm.s,INDEX(BV16:BV63,_xlpm.p),_xlpm.q,N(BA524)/_xlpm.f,IF(_xlpm.q&gt;=_xlpm.s,ROUND(_xlpm.q,1)&amp;" "&amp;_xlpm.ai_test&amp;" = "&amp;ROUND(_xlpm.q*_xlpm.f,1)&amp;" "&amp;_xlpm.u,ROUND(_xlpm.q,1)&amp;" "&amp;_xlpm.ai_test)),""),""))))</f>
        <v>0</v>
      </c>
      <c r="BD524" s="801"/>
      <c r="BE524" s="799" t="str">
        <f t="shared" si="192"/>
        <v/>
      </c>
      <c r="BF524" s="800" t="str">
        <f t="shared" si="193"/>
        <v/>
      </c>
      <c r="BG524" s="802">
        <f t="shared" si="196"/>
        <v>0</v>
      </c>
      <c r="BH524" s="803" t="str">
        <f t="shared" si="197"/>
        <v/>
      </c>
      <c r="BI524" s="792"/>
      <c r="BJ524" s="804">
        <f t="shared" si="195"/>
        <v>0</v>
      </c>
      <c r="BK524" s="794" t="str">
        <f t="shared" si="194"/>
        <v/>
      </c>
      <c r="BL524" s="227" t="s">
        <v>21</v>
      </c>
      <c r="BM524" s="773">
        <f t="shared" si="183"/>
        <v>0</v>
      </c>
      <c r="BN524" s="774">
        <f t="shared" si="184"/>
        <v>0</v>
      </c>
      <c r="BO524"/>
      <c r="BX524"/>
      <c r="BY524"/>
      <c r="BZ524"/>
      <c r="CA524"/>
      <c r="CB524"/>
      <c r="CC524"/>
      <c r="CD524" s="781" t="str">
        <f t="shared" si="198"/>
        <v>►</v>
      </c>
      <c r="CE524" s="633"/>
      <c r="CF524" s="633"/>
      <c r="CG524" s="633"/>
      <c r="CH524" s="633"/>
      <c r="CI524" s="633"/>
      <c r="CJ524" s="227"/>
      <c r="CK524"/>
      <c r="CL524"/>
      <c r="CM524"/>
      <c r="CN524"/>
      <c r="CO524"/>
      <c r="CP524"/>
      <c r="CQ524"/>
      <c r="CR524" s="227"/>
      <c r="CS524"/>
      <c r="CT524"/>
      <c r="CU524"/>
      <c r="CV524"/>
      <c r="CW524"/>
      <c r="CX524"/>
      <c r="CY524"/>
      <c r="CZ524" s="227"/>
      <c r="DA524"/>
      <c r="DB524"/>
      <c r="DC524"/>
      <c r="DD524"/>
      <c r="DE524"/>
      <c r="DF524"/>
      <c r="DG524"/>
      <c r="DH524" s="227"/>
      <c r="DI524" s="3">
        <v>1</v>
      </c>
    </row>
    <row r="525" spans="2:113" s="627" customFormat="1" ht="21" customHeight="1">
      <c r="B525" s="2265" t="str" cm="1">
        <f t="array" ref="B525">SUMPRODUCT(--(D525:J525&lt;&gt;""), LEN(TRIM(SUBSTITUTE(D525:J525, CHAR(160), "")))) &amp; " Car."</f>
        <v>0 Car.</v>
      </c>
      <c r="C525" s="1376" t="str">
        <f>IF(ISBLANK(D525),"",LARGE(C13:C524,1)+1)</f>
        <v/>
      </c>
      <c r="D525" s="1833"/>
      <c r="E525" s="1810"/>
      <c r="F525" s="1810"/>
      <c r="G525" s="1810"/>
      <c r="H525" s="1810"/>
      <c r="I525" s="1810"/>
      <c r="J525" s="1810"/>
      <c r="K525" s="1810"/>
      <c r="L525" s="1811"/>
      <c r="M525"/>
      <c r="N525" s="103" t="str">
        <f t="shared" si="179"/>
        <v>►</v>
      </c>
      <c r="O525" s="1616"/>
      <c r="P525"/>
      <c r="Q525" s="25" t="s">
        <v>15</v>
      </c>
      <c r="R525" s="31"/>
      <c r="S525" s="32"/>
      <c r="T525" s="31"/>
      <c r="U525" s="33"/>
      <c r="V525" s="1967"/>
      <c r="W525" s="1805"/>
      <c r="X525" s="91"/>
      <c r="Y525" s="1806"/>
      <c r="Z525" s="1968"/>
      <c r="AA525" s="2244"/>
      <c r="AB525" s="1969"/>
      <c r="AC525" s="1365"/>
      <c r="AD525" s="95"/>
      <c r="AE525" s="1326"/>
      <c r="AF525" s="97"/>
      <c r="AG525" s="1737"/>
      <c r="AH525" s="1970"/>
      <c r="AI525" s="99"/>
      <c r="AJ525" s="1809"/>
      <c r="AK525" s="6120" t="str">
        <f t="shared" si="180"/>
        <v>►</v>
      </c>
      <c r="AL525" s="781" t="str">
        <f t="shared" si="182"/>
        <v>►</v>
      </c>
      <c r="AM525" s="5499" t="str">
        <f t="shared" si="185"/>
        <v/>
      </c>
      <c r="AN525" s="783" t="str">
        <f t="shared" si="186"/>
        <v/>
      </c>
      <c r="AO525" s="782" t="str">
        <f t="shared" si="187"/>
        <v/>
      </c>
      <c r="AP525" s="783" t="str">
        <f t="shared" si="188"/>
        <v/>
      </c>
      <c r="AQ525" s="2083" t="b">
        <f>AND(Q525="A",COUNTIF(BP16:BR63,TRIM(Z525))&gt;0)</f>
        <v>0</v>
      </c>
      <c r="AR525" s="797" t="str">
        <f>IF(AL525&lt;&gt;"A","",IFERROR(IFERROR(_xlfn.XLOOKUP(TRIM(SUBSTITUTE(Z525,CHAR(160)," ")),BP16:BP63,BS16:BS63),IFERROR(_xlfn.XLOOKUP(TRIM(SUBSTITUTE(Z525,CHAR(160)," ")),BQ16:BQ63,BS16:BS63),_xlfn.XLOOKUP(TRIM(SUBSTITUTE(Z525,CHAR(160)," ")),BR16:BR63,BS16:BS63)))*Y525*IF(ISBLANK(V525),1,V525),0))</f>
        <v/>
      </c>
      <c r="AS525" s="784" t="str">
        <f t="shared" si="199"/>
        <v/>
      </c>
      <c r="AT525" s="1315" t="str">
        <f t="shared" si="189"/>
        <v/>
      </c>
      <c r="AU525" s="785">
        <f t="shared" si="190"/>
        <v>0</v>
      </c>
      <c r="AV525" s="785">
        <f t="shared" si="191"/>
        <v>0</v>
      </c>
      <c r="AW525" s="786">
        <f>IF(AK525="A",AY10,0)</f>
        <v>0</v>
      </c>
      <c r="AX525" s="5495" t="str">
        <f>IF(IFERROR(SEARCH("Adresse PC",TRIM(W525)),0)&gt;0,"▼ receta siguiente",IF(AK525="A",IF(AZ10&lt;&gt;"",AZ10&amp;" - ou.or.o ❾ + or - &gt;",""),""))</f>
        <v/>
      </c>
      <c r="AY525" s="810"/>
      <c r="AZ525" s="810"/>
      <c r="BA525" s="788" t="str">
        <f t="shared" si="181"/>
        <v/>
      </c>
      <c r="BB525" s="789" t="str">
        <f>IF(AK525="A",IF(AQ525,IF(AND(AW525&lt;&gt;"",N(AW525)&gt;0),IFERROR(IFERROR(_xlfn.XLOOKUP(AP525,BP10:BP57,BT10:BT57),IFERROR(_xlfn.XLOOKUP(AP525,BQ10:BQ57,BT10:BT57),_xlfn.XLOOKUP(AP525,BR10:BR57,BT10:BT57,""))),""),""),""),"")</f>
        <v/>
      </c>
      <c r="BC525" s="811" cm="1">
        <f t="array" ref="BC525">IF(NOT(AQ525),0,IF(OR(BA525="",N(BA525)&lt;=0.000000001),"",IF(OR(AU525="",N(AU525)&lt;=0.000000001),0,IF(ISNUMBER(BA525),IFERROR(_xlfn.LET(_xlpm.ai_test,TRIM(AP525),_xlpm.r,IFERROR(_xlfn.XLOOKUP(_xlpm.ai_test,BP16:BP63,ROW(BP16:BP63),0,1),IFERROR(_xlfn.XLOOKUP(_xlpm.ai_test,BQ16:BQ63,ROW(BQ16:BQ63),0,1),_xlfn.XLOOKUP(_xlpm.ai_test,BR16:BR63,ROW(BR16:BR63),0,1))),_xlpm.p,_xlpm.r-MIN(ROW(BP16:BP63))+1,_xlpm.f,INDEX(BS16:BS63,_xlpm.p),_xlpm.u,INDEX(BT16:BT63,_xlpm.p),_xlpm.s,INDEX(BV16:BV63,_xlpm.p),_xlpm.q,N(BA525)/_xlpm.f,IF(_xlpm.q&gt;=_xlpm.s,ROUND(_xlpm.q,1)&amp;" "&amp;_xlpm.ai_test&amp;" = "&amp;ROUND(_xlpm.q*_xlpm.f,1)&amp;" "&amp;_xlpm.u,ROUND(_xlpm.q,1)&amp;" "&amp;_xlpm.ai_test)),""),""))))</f>
        <v>0</v>
      </c>
      <c r="BD525" s="801"/>
      <c r="BE525" s="788" t="str">
        <f t="shared" si="192"/>
        <v/>
      </c>
      <c r="BF525" s="789" t="str">
        <f t="shared" si="193"/>
        <v/>
      </c>
      <c r="BG525" s="790">
        <f t="shared" si="196"/>
        <v>0</v>
      </c>
      <c r="BH525" s="791" t="str">
        <f t="shared" si="197"/>
        <v/>
      </c>
      <c r="BI525" s="792"/>
      <c r="BJ525" s="793">
        <f t="shared" si="195"/>
        <v>0</v>
      </c>
      <c r="BK525" s="794" t="str">
        <f t="shared" si="194"/>
        <v/>
      </c>
      <c r="BL525" s="227" t="s">
        <v>21</v>
      </c>
      <c r="BM525" s="773">
        <f t="shared" si="183"/>
        <v>0</v>
      </c>
      <c r="BN525" s="774">
        <f t="shared" si="184"/>
        <v>0</v>
      </c>
      <c r="BO525"/>
      <c r="BX525"/>
      <c r="BY525"/>
      <c r="BZ525"/>
      <c r="CA525"/>
      <c r="CB525"/>
      <c r="CC525"/>
      <c r="CD525" s="781" t="str">
        <f t="shared" si="198"/>
        <v>►</v>
      </c>
      <c r="CE525" s="633"/>
      <c r="CF525" s="633"/>
      <c r="CG525" s="633"/>
      <c r="CH525" s="633"/>
      <c r="CI525" s="633"/>
      <c r="CJ525" s="227"/>
      <c r="CK525"/>
      <c r="CL525"/>
      <c r="CM525"/>
      <c r="CN525"/>
      <c r="CO525"/>
      <c r="CP525"/>
      <c r="CQ525"/>
      <c r="CR525" s="227"/>
      <c r="CS525"/>
      <c r="CT525"/>
      <c r="CU525"/>
      <c r="CV525"/>
      <c r="CW525"/>
      <c r="CX525"/>
      <c r="CY525"/>
      <c r="CZ525" s="227"/>
      <c r="DA525"/>
      <c r="DB525"/>
      <c r="DC525"/>
      <c r="DD525"/>
      <c r="DE525"/>
      <c r="DF525"/>
      <c r="DG525"/>
      <c r="DH525" s="227"/>
      <c r="DI525" s="3">
        <v>1</v>
      </c>
    </row>
    <row r="526" spans="2:113" s="627" customFormat="1" ht="21" customHeight="1">
      <c r="B526" s="2265" t="str" cm="1">
        <f t="array" ref="B526">SUMPRODUCT(--(D526:J526&lt;&gt;""), LEN(TRIM(SUBSTITUTE(D526:J526, CHAR(160), "")))) &amp; " Car."</f>
        <v>0 Car.</v>
      </c>
      <c r="C526" s="1376" t="str">
        <f>IF(ISBLANK(D526),"",LARGE(C13:C525,1)+1)</f>
        <v/>
      </c>
      <c r="D526" s="1833"/>
      <c r="E526" s="1810"/>
      <c r="F526" s="1810"/>
      <c r="G526" s="1810"/>
      <c r="H526" s="1810"/>
      <c r="I526" s="1810"/>
      <c r="J526" s="1810"/>
      <c r="K526" s="1810"/>
      <c r="L526" s="1811"/>
      <c r="M526"/>
      <c r="N526" s="103" t="str">
        <f t="shared" ref="N526:N551" si="200">Q526</f>
        <v>►</v>
      </c>
      <c r="O526" s="1616"/>
      <c r="P526"/>
      <c r="Q526" s="25" t="s">
        <v>15</v>
      </c>
      <c r="R526" s="31"/>
      <c r="S526" s="32"/>
      <c r="T526" s="31"/>
      <c r="U526" s="33"/>
      <c r="V526" s="1967"/>
      <c r="W526" s="1805"/>
      <c r="X526" s="91"/>
      <c r="Y526" s="1806"/>
      <c r="Z526" s="1968"/>
      <c r="AA526" s="2244"/>
      <c r="AB526" s="1969"/>
      <c r="AC526" s="1365"/>
      <c r="AD526" s="95"/>
      <c r="AE526" s="1326"/>
      <c r="AF526" s="97"/>
      <c r="AG526" s="1737"/>
      <c r="AH526" s="1970"/>
      <c r="AI526" s="99"/>
      <c r="AJ526" s="1809"/>
      <c r="AK526" s="6120" t="str">
        <f t="shared" si="180"/>
        <v>►</v>
      </c>
      <c r="AL526" s="781" t="str">
        <f t="shared" si="182"/>
        <v>►</v>
      </c>
      <c r="AM526" s="5498" t="str">
        <f t="shared" si="185"/>
        <v/>
      </c>
      <c r="AN526" s="783" t="str">
        <f t="shared" si="186"/>
        <v/>
      </c>
      <c r="AO526" s="782" t="str">
        <f t="shared" si="187"/>
        <v/>
      </c>
      <c r="AP526" s="783" t="str">
        <f t="shared" si="188"/>
        <v/>
      </c>
      <c r="AQ526" s="2083" t="b">
        <f>AND(Q526="A",COUNTIF(BP16:BR63,TRIM(Z526))&gt;0)</f>
        <v>0</v>
      </c>
      <c r="AR526" s="797" t="str">
        <f>IF(AL526&lt;&gt;"A","",IFERROR(IFERROR(_xlfn.XLOOKUP(TRIM(SUBSTITUTE(Z526,CHAR(160)," ")),BP16:BP63,BS16:BS63),IFERROR(_xlfn.XLOOKUP(TRIM(SUBSTITUTE(Z526,CHAR(160)," ")),BQ16:BQ63,BS16:BS63),_xlfn.XLOOKUP(TRIM(SUBSTITUTE(Z526,CHAR(160)," ")),BR16:BR63,BS16:BS63)))*Y526*IF(ISBLANK(V526),1,V526),0))</f>
        <v/>
      </c>
      <c r="AS526" s="784" t="str">
        <f t="shared" si="199"/>
        <v/>
      </c>
      <c r="AT526" s="1315" t="str">
        <f t="shared" si="189"/>
        <v/>
      </c>
      <c r="AU526" s="785">
        <f t="shared" si="190"/>
        <v>0</v>
      </c>
      <c r="AV526" s="785">
        <f t="shared" si="191"/>
        <v>0</v>
      </c>
      <c r="AW526" s="798">
        <f>IF(AK526="A",AY10,0)</f>
        <v>0</v>
      </c>
      <c r="AX526" s="5496" t="str">
        <f>IF(IFERROR(SEARCH("Adresse PC",TRIM(W526)),0)&gt;0,"▼ receta siguiente",IF(AK526="A",IF(AZ10&lt;&gt;"",AZ10&amp;" - ou.or.o ❾ + or - &gt;",""),""))</f>
        <v/>
      </c>
      <c r="AY526" s="810"/>
      <c r="AZ526" s="810"/>
      <c r="BA526" s="799" t="str">
        <f t="shared" si="181"/>
        <v/>
      </c>
      <c r="BB526" s="800" t="str">
        <f>IF(AK526="A",IF(AQ526,IF(AND(AW526&lt;&gt;"",N(AW526)&gt;0),IFERROR(IFERROR(_xlfn.XLOOKUP(AP526,BP10:BP57,BT10:BT57),IFERROR(_xlfn.XLOOKUP(AP526,BQ10:BQ57,BT10:BT57),_xlfn.XLOOKUP(AP526,BR10:BR57,BT10:BT57,""))),""),""),""),"")</f>
        <v/>
      </c>
      <c r="BC526" s="813" cm="1">
        <f t="array" ref="BC526">IF(NOT(AQ526),0,IF(OR(BA526="",N(BA526)&lt;=0.000000001),"",IF(OR(AU526="",N(AU526)&lt;=0.000000001),0,IF(ISNUMBER(BA526),IFERROR(_xlfn.LET(_xlpm.ai_test,TRIM(AP526),_xlpm.r,IFERROR(_xlfn.XLOOKUP(_xlpm.ai_test,BP16:BP63,ROW(BP16:BP63),0,1),IFERROR(_xlfn.XLOOKUP(_xlpm.ai_test,BQ16:BQ63,ROW(BQ16:BQ63),0,1),_xlfn.XLOOKUP(_xlpm.ai_test,BR16:BR63,ROW(BR16:BR63),0,1))),_xlpm.p,_xlpm.r-MIN(ROW(BP16:BP63))+1,_xlpm.f,INDEX(BS16:BS63,_xlpm.p),_xlpm.u,INDEX(BT16:BT63,_xlpm.p),_xlpm.s,INDEX(BV16:BV63,_xlpm.p),_xlpm.q,N(BA526)/_xlpm.f,IF(_xlpm.q&gt;=_xlpm.s,ROUND(_xlpm.q,1)&amp;" "&amp;_xlpm.ai_test&amp;" = "&amp;ROUND(_xlpm.q*_xlpm.f,1)&amp;" "&amp;_xlpm.u,ROUND(_xlpm.q,1)&amp;" "&amp;_xlpm.ai_test)),""),""))))</f>
        <v>0</v>
      </c>
      <c r="BD526" s="801"/>
      <c r="BE526" s="799" t="str">
        <f t="shared" si="192"/>
        <v/>
      </c>
      <c r="BF526" s="800" t="str">
        <f t="shared" si="193"/>
        <v/>
      </c>
      <c r="BG526" s="802">
        <f t="shared" si="196"/>
        <v>0</v>
      </c>
      <c r="BH526" s="803" t="str">
        <f t="shared" si="197"/>
        <v/>
      </c>
      <c r="BI526" s="792"/>
      <c r="BJ526" s="804">
        <f t="shared" si="195"/>
        <v>0</v>
      </c>
      <c r="BK526" s="794" t="str">
        <f t="shared" si="194"/>
        <v/>
      </c>
      <c r="BL526" s="227" t="s">
        <v>21</v>
      </c>
      <c r="BM526" s="773">
        <f t="shared" si="183"/>
        <v>0</v>
      </c>
      <c r="BN526" s="774">
        <f t="shared" si="184"/>
        <v>0</v>
      </c>
      <c r="BO526"/>
      <c r="BX526"/>
      <c r="BY526"/>
      <c r="BZ526"/>
      <c r="CA526"/>
      <c r="CB526"/>
      <c r="CC526"/>
      <c r="CD526" s="781" t="str">
        <f t="shared" si="198"/>
        <v>►</v>
      </c>
      <c r="CE526" s="633"/>
      <c r="CF526" s="633"/>
      <c r="CG526" s="633"/>
      <c r="CH526" s="633"/>
      <c r="CI526" s="633"/>
      <c r="CJ526" s="227"/>
      <c r="CK526"/>
      <c r="CL526"/>
      <c r="CM526"/>
      <c r="CN526"/>
      <c r="CO526"/>
      <c r="CP526"/>
      <c r="CQ526"/>
      <c r="CR526" s="227"/>
      <c r="CS526"/>
      <c r="CT526"/>
      <c r="CU526"/>
      <c r="CV526"/>
      <c r="CW526"/>
      <c r="CX526"/>
      <c r="CY526"/>
      <c r="CZ526" s="227"/>
      <c r="DA526"/>
      <c r="DB526"/>
      <c r="DC526"/>
      <c r="DD526"/>
      <c r="DE526"/>
      <c r="DF526"/>
      <c r="DG526"/>
      <c r="DH526" s="227"/>
      <c r="DI526" s="3">
        <v>1</v>
      </c>
    </row>
    <row r="527" spans="2:113" s="627" customFormat="1" ht="21" customHeight="1">
      <c r="B527" s="2265" t="str" cm="1">
        <f t="array" ref="B527">SUMPRODUCT(--(D527:J527&lt;&gt;""), LEN(TRIM(SUBSTITUTE(D527:J527, CHAR(160), "")))) &amp; " Car."</f>
        <v>0 Car.</v>
      </c>
      <c r="C527" s="1376" t="str">
        <f>IF(ISBLANK(D527),"",LARGE(C13:C526,1)+1)</f>
        <v/>
      </c>
      <c r="D527" s="1833"/>
      <c r="E527" s="1810"/>
      <c r="F527" s="1810"/>
      <c r="G527" s="1810"/>
      <c r="H527" s="1810"/>
      <c r="I527" s="1810"/>
      <c r="J527" s="1810"/>
      <c r="K527" s="1810"/>
      <c r="L527" s="1811"/>
      <c r="M527"/>
      <c r="N527" s="103" t="str">
        <f t="shared" si="200"/>
        <v>►</v>
      </c>
      <c r="O527" s="1616"/>
      <c r="P527"/>
      <c r="Q527" s="25" t="s">
        <v>15</v>
      </c>
      <c r="R527" s="31"/>
      <c r="S527" s="32"/>
      <c r="T527" s="31"/>
      <c r="U527" s="33"/>
      <c r="V527" s="1967"/>
      <c r="W527" s="1805"/>
      <c r="X527" s="91"/>
      <c r="Y527" s="1806"/>
      <c r="Z527" s="1968"/>
      <c r="AA527" s="2244"/>
      <c r="AB527" s="1969"/>
      <c r="AC527" s="1365"/>
      <c r="AD527" s="95"/>
      <c r="AE527" s="1326"/>
      <c r="AF527" s="97"/>
      <c r="AG527" s="1737"/>
      <c r="AH527" s="1970"/>
      <c r="AI527" s="99"/>
      <c r="AJ527" s="1809"/>
      <c r="AK527" s="6120" t="str">
        <f t="shared" si="180"/>
        <v>►</v>
      </c>
      <c r="AL527" s="781" t="str">
        <f t="shared" si="182"/>
        <v>►</v>
      </c>
      <c r="AM527" s="5499" t="str">
        <f t="shared" si="185"/>
        <v/>
      </c>
      <c r="AN527" s="783" t="str">
        <f t="shared" si="186"/>
        <v/>
      </c>
      <c r="AO527" s="782" t="str">
        <f t="shared" si="187"/>
        <v/>
      </c>
      <c r="AP527" s="783" t="str">
        <f t="shared" si="188"/>
        <v/>
      </c>
      <c r="AQ527" s="2083" t="b">
        <f>AND(Q527="A",COUNTIF(BP16:BR63,TRIM(Z527))&gt;0)</f>
        <v>0</v>
      </c>
      <c r="AR527" s="797" t="str">
        <f>IF(AL527&lt;&gt;"A","",IFERROR(IFERROR(_xlfn.XLOOKUP(TRIM(SUBSTITUTE(Z527,CHAR(160)," ")),BP16:BP63,BS16:BS63),IFERROR(_xlfn.XLOOKUP(TRIM(SUBSTITUTE(Z527,CHAR(160)," ")),BQ16:BQ63,BS16:BS63),_xlfn.XLOOKUP(TRIM(SUBSTITUTE(Z527,CHAR(160)," ")),BR16:BR63,BS16:BS63)))*Y527*IF(ISBLANK(V527),1,V527),0))</f>
        <v/>
      </c>
      <c r="AS527" s="784" t="str">
        <f t="shared" si="199"/>
        <v/>
      </c>
      <c r="AT527" s="1315" t="str">
        <f t="shared" si="189"/>
        <v/>
      </c>
      <c r="AU527" s="785">
        <f t="shared" si="190"/>
        <v>0</v>
      </c>
      <c r="AV527" s="785">
        <f t="shared" si="191"/>
        <v>0</v>
      </c>
      <c r="AW527" s="786">
        <f>IF(AK527="A",AY10,0)</f>
        <v>0</v>
      </c>
      <c r="AX527" s="5495" t="str">
        <f>IF(IFERROR(SEARCH("Adresse PC",TRIM(W527)),0)&gt;0,"▼ receta siguiente",IF(AK527="A",IF(AZ10&lt;&gt;"",AZ10&amp;" - ou.or.o ❾ + or - &gt;",""),""))</f>
        <v/>
      </c>
      <c r="AY527" s="810"/>
      <c r="AZ527" s="810"/>
      <c r="BA527" s="788" t="str">
        <f t="shared" si="181"/>
        <v/>
      </c>
      <c r="BB527" s="789" t="str">
        <f>IF(AK527="A",IF(AQ527,IF(AND(AW527&lt;&gt;"",N(AW527)&gt;0),IFERROR(IFERROR(_xlfn.XLOOKUP(AP527,BP10:BP57,BT10:BT57),IFERROR(_xlfn.XLOOKUP(AP527,BQ10:BQ57,BT10:BT57),_xlfn.XLOOKUP(AP527,BR10:BR57,BT10:BT57,""))),""),""),""),"")</f>
        <v/>
      </c>
      <c r="BC527" s="811" cm="1">
        <f t="array" ref="BC527">IF(NOT(AQ527),0,IF(OR(BA527="",N(BA527)&lt;=0.000000001),"",IF(OR(AU527="",N(AU527)&lt;=0.000000001),0,IF(ISNUMBER(BA527),IFERROR(_xlfn.LET(_xlpm.ai_test,TRIM(AP527),_xlpm.r,IFERROR(_xlfn.XLOOKUP(_xlpm.ai_test,BP16:BP63,ROW(BP16:BP63),0,1),IFERROR(_xlfn.XLOOKUP(_xlpm.ai_test,BQ16:BQ63,ROW(BQ16:BQ63),0,1),_xlfn.XLOOKUP(_xlpm.ai_test,BR16:BR63,ROW(BR16:BR63),0,1))),_xlpm.p,_xlpm.r-MIN(ROW(BP16:BP63))+1,_xlpm.f,INDEX(BS16:BS63,_xlpm.p),_xlpm.u,INDEX(BT16:BT63,_xlpm.p),_xlpm.s,INDEX(BV16:BV63,_xlpm.p),_xlpm.q,N(BA527)/_xlpm.f,IF(_xlpm.q&gt;=_xlpm.s,ROUND(_xlpm.q,1)&amp;" "&amp;_xlpm.ai_test&amp;" = "&amp;ROUND(_xlpm.q*_xlpm.f,1)&amp;" "&amp;_xlpm.u,ROUND(_xlpm.q,1)&amp;" "&amp;_xlpm.ai_test)),""),""))))</f>
        <v>0</v>
      </c>
      <c r="BD527" s="801"/>
      <c r="BE527" s="788" t="str">
        <f t="shared" si="192"/>
        <v/>
      </c>
      <c r="BF527" s="789" t="str">
        <f t="shared" si="193"/>
        <v/>
      </c>
      <c r="BG527" s="790">
        <f t="shared" si="196"/>
        <v>0</v>
      </c>
      <c r="BH527" s="791" t="str">
        <f t="shared" si="197"/>
        <v/>
      </c>
      <c r="BI527" s="792"/>
      <c r="BJ527" s="793">
        <f t="shared" si="195"/>
        <v>0</v>
      </c>
      <c r="BK527" s="794" t="str">
        <f t="shared" si="194"/>
        <v/>
      </c>
      <c r="BL527" s="227" t="s">
        <v>21</v>
      </c>
      <c r="BM527" s="773">
        <f t="shared" si="183"/>
        <v>0</v>
      </c>
      <c r="BN527" s="774">
        <f t="shared" si="184"/>
        <v>0</v>
      </c>
      <c r="BO527"/>
      <c r="BX527"/>
      <c r="BY527"/>
      <c r="BZ527"/>
      <c r="CA527"/>
      <c r="CB527"/>
      <c r="CC527"/>
      <c r="CD527" s="781" t="str">
        <f t="shared" si="198"/>
        <v>►</v>
      </c>
      <c r="CE527" s="633"/>
      <c r="CF527" s="633"/>
      <c r="CG527" s="633"/>
      <c r="CH527" s="633"/>
      <c r="CI527" s="633"/>
      <c r="CJ527" s="227"/>
      <c r="CK527"/>
      <c r="CL527"/>
      <c r="CM527"/>
      <c r="CN527"/>
      <c r="CO527"/>
      <c r="CP527"/>
      <c r="CQ527"/>
      <c r="CR527" s="227"/>
      <c r="CS527"/>
      <c r="CT527"/>
      <c r="CU527"/>
      <c r="CV527"/>
      <c r="CW527"/>
      <c r="CX527"/>
      <c r="CY527"/>
      <c r="CZ527" s="227"/>
      <c r="DA527"/>
      <c r="DB527"/>
      <c r="DC527"/>
      <c r="DD527"/>
      <c r="DE527"/>
      <c r="DF527"/>
      <c r="DG527"/>
      <c r="DH527" s="227"/>
      <c r="DI527" s="3">
        <v>1</v>
      </c>
    </row>
    <row r="528" spans="2:113" s="627" customFormat="1" ht="21" customHeight="1">
      <c r="B528" s="2265" t="str" cm="1">
        <f t="array" ref="B528">SUMPRODUCT(--(D528:J528&lt;&gt;""), LEN(TRIM(SUBSTITUTE(D528:J528, CHAR(160), "")))) &amp; " Car."</f>
        <v>0 Car.</v>
      </c>
      <c r="C528" s="1376" t="str">
        <f>IF(ISBLANK(D528),"",LARGE(C13:C527,1)+1)</f>
        <v/>
      </c>
      <c r="D528" s="1833"/>
      <c r="E528" s="1810"/>
      <c r="F528" s="1810"/>
      <c r="G528" s="1810"/>
      <c r="H528" s="1810"/>
      <c r="I528" s="1810"/>
      <c r="J528" s="1810"/>
      <c r="K528" s="1810"/>
      <c r="L528" s="1811"/>
      <c r="M528"/>
      <c r="N528" s="103" t="str">
        <f t="shared" si="200"/>
        <v>►</v>
      </c>
      <c r="O528" s="1616"/>
      <c r="P528"/>
      <c r="Q528" s="25" t="s">
        <v>15</v>
      </c>
      <c r="R528" s="31"/>
      <c r="S528" s="32"/>
      <c r="T528" s="31"/>
      <c r="U528" s="33"/>
      <c r="V528" s="1967"/>
      <c r="W528" s="1805"/>
      <c r="X528" s="91"/>
      <c r="Y528" s="1806"/>
      <c r="Z528" s="1968"/>
      <c r="AA528" s="2244"/>
      <c r="AB528" s="1969"/>
      <c r="AC528" s="1365"/>
      <c r="AD528" s="95"/>
      <c r="AE528" s="1326"/>
      <c r="AF528" s="97"/>
      <c r="AG528" s="1737"/>
      <c r="AH528" s="1970"/>
      <c r="AI528" s="99"/>
      <c r="AJ528" s="1809"/>
      <c r="AK528" s="6120" t="str">
        <f t="shared" si="180"/>
        <v>►</v>
      </c>
      <c r="AL528" s="781" t="str">
        <f t="shared" si="182"/>
        <v>►</v>
      </c>
      <c r="AM528" s="5498" t="str">
        <f t="shared" si="185"/>
        <v/>
      </c>
      <c r="AN528" s="783" t="str">
        <f t="shared" si="186"/>
        <v/>
      </c>
      <c r="AO528" s="782" t="str">
        <f t="shared" si="187"/>
        <v/>
      </c>
      <c r="AP528" s="783" t="str">
        <f t="shared" si="188"/>
        <v/>
      </c>
      <c r="AQ528" s="2083" t="b">
        <f>AND(Q528="A",COUNTIF(BP16:BR63,TRIM(Z528))&gt;0)</f>
        <v>0</v>
      </c>
      <c r="AR528" s="797" t="str">
        <f>IF(AL528&lt;&gt;"A","",IFERROR(IFERROR(_xlfn.XLOOKUP(TRIM(SUBSTITUTE(Z528,CHAR(160)," ")),BP16:BP63,BS16:BS63),IFERROR(_xlfn.XLOOKUP(TRIM(SUBSTITUTE(Z528,CHAR(160)," ")),BQ16:BQ63,BS16:BS63),_xlfn.XLOOKUP(TRIM(SUBSTITUTE(Z528,CHAR(160)," ")),BR16:BR63,BS16:BS63)))*Y528*IF(ISBLANK(V528),1,V528),0))</f>
        <v/>
      </c>
      <c r="AS528" s="784" t="str">
        <f t="shared" si="199"/>
        <v/>
      </c>
      <c r="AT528" s="1315" t="str">
        <f t="shared" si="189"/>
        <v/>
      </c>
      <c r="AU528" s="785">
        <f t="shared" si="190"/>
        <v>0</v>
      </c>
      <c r="AV528" s="785">
        <f t="shared" si="191"/>
        <v>0</v>
      </c>
      <c r="AW528" s="798">
        <f>IF(AK528="A",AY10,0)</f>
        <v>0</v>
      </c>
      <c r="AX528" s="5496" t="str">
        <f>IF(IFERROR(SEARCH("Adresse PC",TRIM(W528)),0)&gt;0,"▼ receta siguiente",IF(AK528="A",IF(AZ10&lt;&gt;"",AZ10&amp;" - ou.or.o ❾ + or - &gt;",""),""))</f>
        <v/>
      </c>
      <c r="AY528" s="810"/>
      <c r="AZ528" s="810"/>
      <c r="BA528" s="799" t="str">
        <f t="shared" si="181"/>
        <v/>
      </c>
      <c r="BB528" s="800" t="str">
        <f>IF(AK528="A",IF(AQ528,IF(AND(AW528&lt;&gt;"",N(AW528)&gt;0),IFERROR(IFERROR(_xlfn.XLOOKUP(AP528,BP10:BP57,BT10:BT57),IFERROR(_xlfn.XLOOKUP(AP528,BQ10:BQ57,BT10:BT57),_xlfn.XLOOKUP(AP528,BR10:BR57,BT10:BT57,""))),""),""),""),"")</f>
        <v/>
      </c>
      <c r="BC528" s="813" cm="1">
        <f t="array" ref="BC528">IF(NOT(AQ528),0,IF(OR(BA528="",N(BA528)&lt;=0.000000001),"",IF(OR(AU528="",N(AU528)&lt;=0.000000001),0,IF(ISNUMBER(BA528),IFERROR(_xlfn.LET(_xlpm.ai_test,TRIM(AP528),_xlpm.r,IFERROR(_xlfn.XLOOKUP(_xlpm.ai_test,BP16:BP63,ROW(BP16:BP63),0,1),IFERROR(_xlfn.XLOOKUP(_xlpm.ai_test,BQ16:BQ63,ROW(BQ16:BQ63),0,1),_xlfn.XLOOKUP(_xlpm.ai_test,BR16:BR63,ROW(BR16:BR63),0,1))),_xlpm.p,_xlpm.r-MIN(ROW(BP16:BP63))+1,_xlpm.f,INDEX(BS16:BS63,_xlpm.p),_xlpm.u,INDEX(BT16:BT63,_xlpm.p),_xlpm.s,INDEX(BV16:BV63,_xlpm.p),_xlpm.q,N(BA528)/_xlpm.f,IF(_xlpm.q&gt;=_xlpm.s,ROUND(_xlpm.q,1)&amp;" "&amp;_xlpm.ai_test&amp;" = "&amp;ROUND(_xlpm.q*_xlpm.f,1)&amp;" "&amp;_xlpm.u,ROUND(_xlpm.q,1)&amp;" "&amp;_xlpm.ai_test)),""),""))))</f>
        <v>0</v>
      </c>
      <c r="BD528" s="801"/>
      <c r="BE528" s="799" t="str">
        <f t="shared" si="192"/>
        <v/>
      </c>
      <c r="BF528" s="800" t="str">
        <f t="shared" si="193"/>
        <v/>
      </c>
      <c r="BG528" s="802">
        <f t="shared" si="196"/>
        <v>0</v>
      </c>
      <c r="BH528" s="803" t="str">
        <f t="shared" si="197"/>
        <v/>
      </c>
      <c r="BI528" s="792"/>
      <c r="BJ528" s="804">
        <f t="shared" si="195"/>
        <v>0</v>
      </c>
      <c r="BK528" s="794" t="str">
        <f t="shared" si="194"/>
        <v/>
      </c>
      <c r="BL528" s="227" t="s">
        <v>21</v>
      </c>
      <c r="BM528" s="773">
        <f t="shared" si="183"/>
        <v>0</v>
      </c>
      <c r="BN528" s="774">
        <f t="shared" si="184"/>
        <v>0</v>
      </c>
      <c r="BO528"/>
      <c r="BX528"/>
      <c r="BY528"/>
      <c r="BZ528"/>
      <c r="CA528"/>
      <c r="CB528"/>
      <c r="CC528"/>
      <c r="CD528" s="781" t="str">
        <f t="shared" si="198"/>
        <v>►</v>
      </c>
      <c r="CE528" s="633"/>
      <c r="CF528" s="633"/>
      <c r="CG528" s="633"/>
      <c r="CH528" s="633"/>
      <c r="CI528" s="633"/>
      <c r="CJ528" s="227"/>
      <c r="CK528"/>
      <c r="CL528"/>
      <c r="CM528"/>
      <c r="CN528"/>
      <c r="CO528"/>
      <c r="CP528"/>
      <c r="CQ528"/>
      <c r="CR528" s="227"/>
      <c r="CS528"/>
      <c r="CT528"/>
      <c r="CU528"/>
      <c r="CV528"/>
      <c r="CW528"/>
      <c r="CX528"/>
      <c r="CY528"/>
      <c r="CZ528" s="227"/>
      <c r="DA528"/>
      <c r="DB528"/>
      <c r="DC528"/>
      <c r="DD528"/>
      <c r="DE528"/>
      <c r="DF528"/>
      <c r="DG528"/>
      <c r="DH528" s="227"/>
      <c r="DI528" s="3">
        <v>1</v>
      </c>
    </row>
    <row r="529" spans="2:113" s="627" customFormat="1" ht="21" customHeight="1">
      <c r="B529" s="2265" t="str" cm="1">
        <f t="array" ref="B529">SUMPRODUCT(--(D529:J529&lt;&gt;""), LEN(TRIM(SUBSTITUTE(D529:J529, CHAR(160), "")))) &amp; " Car."</f>
        <v>0 Car.</v>
      </c>
      <c r="C529" s="1376" t="str">
        <f>IF(ISBLANK(D529),"",LARGE(C13:C528,1)+1)</f>
        <v/>
      </c>
      <c r="D529" s="1833"/>
      <c r="E529" s="1810"/>
      <c r="F529" s="1810"/>
      <c r="G529" s="1810"/>
      <c r="H529" s="1810"/>
      <c r="I529" s="1810"/>
      <c r="J529" s="1810"/>
      <c r="K529" s="1810"/>
      <c r="L529" s="1811"/>
      <c r="M529"/>
      <c r="N529" s="103" t="str">
        <f t="shared" si="200"/>
        <v>►</v>
      </c>
      <c r="O529" s="1616"/>
      <c r="P529"/>
      <c r="Q529" s="25" t="s">
        <v>15</v>
      </c>
      <c r="R529" s="31"/>
      <c r="S529" s="32"/>
      <c r="T529" s="31"/>
      <c r="U529" s="33"/>
      <c r="V529" s="1967"/>
      <c r="W529" s="1805"/>
      <c r="X529" s="91"/>
      <c r="Y529" s="1806"/>
      <c r="Z529" s="1968"/>
      <c r="AA529" s="2244"/>
      <c r="AB529" s="1969"/>
      <c r="AC529" s="1365"/>
      <c r="AD529" s="95"/>
      <c r="AE529" s="1326"/>
      <c r="AF529" s="97"/>
      <c r="AG529" s="1737"/>
      <c r="AH529" s="1970"/>
      <c r="AI529" s="99"/>
      <c r="AJ529" s="1809"/>
      <c r="AK529" s="6120" t="str">
        <f t="shared" ref="AK529:AK550" si="201">IF(AND(IFERROR(SEARCH("►",AB529),0)&gt;0,ISNUMBER(IFERROR(VALUE(TRIM(SUBSTITUTE(AB529,"►",""))),NA())),AC529&lt;&gt;""),"A","►")</f>
        <v>►</v>
      </c>
      <c r="AL529" s="781" t="str">
        <f t="shared" si="182"/>
        <v>►</v>
      </c>
      <c r="AM529" s="5499" t="str">
        <f t="shared" si="185"/>
        <v/>
      </c>
      <c r="AN529" s="783" t="str">
        <f t="shared" si="186"/>
        <v/>
      </c>
      <c r="AO529" s="782" t="str">
        <f t="shared" si="187"/>
        <v/>
      </c>
      <c r="AP529" s="783" t="str">
        <f t="shared" si="188"/>
        <v/>
      </c>
      <c r="AQ529" s="2083" t="b">
        <f>AND(Q529="A",COUNTIF(BP16:BR63,TRIM(Z529))&gt;0)</f>
        <v>0</v>
      </c>
      <c r="AR529" s="797" t="str">
        <f>IF(AL529&lt;&gt;"A","",IFERROR(IFERROR(_xlfn.XLOOKUP(TRIM(SUBSTITUTE(Z529,CHAR(160)," ")),BP16:BP63,BS16:BS63),IFERROR(_xlfn.XLOOKUP(TRIM(SUBSTITUTE(Z529,CHAR(160)," ")),BQ16:BQ63,BS16:BS63),_xlfn.XLOOKUP(TRIM(SUBSTITUTE(Z529,CHAR(160)," ")),BR16:BR63,BS16:BS63)))*Y529*IF(ISBLANK(V529),1,V529),0))</f>
        <v/>
      </c>
      <c r="AS529" s="784" t="str">
        <f t="shared" si="199"/>
        <v/>
      </c>
      <c r="AT529" s="1315" t="str">
        <f t="shared" si="189"/>
        <v/>
      </c>
      <c r="AU529" s="785">
        <f t="shared" si="190"/>
        <v>0</v>
      </c>
      <c r="AV529" s="785">
        <f t="shared" si="191"/>
        <v>0</v>
      </c>
      <c r="AW529" s="786">
        <f>IF(AK529="A",AY10,0)</f>
        <v>0</v>
      </c>
      <c r="AX529" s="5495" t="str">
        <f>IF(IFERROR(SEARCH("Adresse PC",TRIM(W529)),0)&gt;0,"▼ receta siguiente",IF(AK529="A",IF(AZ10&lt;&gt;"",AZ10&amp;" - ou.or.o ❾ + or - &gt;",""),""))</f>
        <v/>
      </c>
      <c r="AY529" s="810"/>
      <c r="AZ529" s="810"/>
      <c r="BA529" s="788" t="str">
        <f t="shared" si="181"/>
        <v/>
      </c>
      <c r="BB529" s="789" t="str">
        <f>IF(AK529="A",IF(AQ529,IF(AND(AW529&lt;&gt;"",N(AW529)&gt;0),IFERROR(IFERROR(_xlfn.XLOOKUP(AP529,BP10:BP57,BT10:BT57),IFERROR(_xlfn.XLOOKUP(AP529,BQ10:BQ57,BT10:BT57),_xlfn.XLOOKUP(AP529,BR10:BR57,BT10:BT57,""))),""),""),""),"")</f>
        <v/>
      </c>
      <c r="BC529" s="811" cm="1">
        <f t="array" ref="BC529">IF(NOT(AQ529),0,IF(OR(BA529="",N(BA529)&lt;=0.000000001),"",IF(OR(AU529="",N(AU529)&lt;=0.000000001),0,IF(ISNUMBER(BA529),IFERROR(_xlfn.LET(_xlpm.ai_test,TRIM(AP529),_xlpm.r,IFERROR(_xlfn.XLOOKUP(_xlpm.ai_test,BP16:BP63,ROW(BP16:BP63),0,1),IFERROR(_xlfn.XLOOKUP(_xlpm.ai_test,BQ16:BQ63,ROW(BQ16:BQ63),0,1),_xlfn.XLOOKUP(_xlpm.ai_test,BR16:BR63,ROW(BR16:BR63),0,1))),_xlpm.p,_xlpm.r-MIN(ROW(BP16:BP63))+1,_xlpm.f,INDEX(BS16:BS63,_xlpm.p),_xlpm.u,INDEX(BT16:BT63,_xlpm.p),_xlpm.s,INDEX(BV16:BV63,_xlpm.p),_xlpm.q,N(BA529)/_xlpm.f,IF(_xlpm.q&gt;=_xlpm.s,ROUND(_xlpm.q,1)&amp;" "&amp;_xlpm.ai_test&amp;" = "&amp;ROUND(_xlpm.q*_xlpm.f,1)&amp;" "&amp;_xlpm.u,ROUND(_xlpm.q,1)&amp;" "&amp;_xlpm.ai_test)),""),""))))</f>
        <v>0</v>
      </c>
      <c r="BD529" s="801"/>
      <c r="BE529" s="788" t="str">
        <f t="shared" si="192"/>
        <v/>
      </c>
      <c r="BF529" s="789" t="str">
        <f t="shared" si="193"/>
        <v/>
      </c>
      <c r="BG529" s="790">
        <f t="shared" si="196"/>
        <v>0</v>
      </c>
      <c r="BH529" s="791" t="str">
        <f t="shared" si="197"/>
        <v/>
      </c>
      <c r="BI529" s="792"/>
      <c r="BJ529" s="793">
        <f t="shared" si="195"/>
        <v>0</v>
      </c>
      <c r="BK529" s="794" t="str">
        <f t="shared" si="194"/>
        <v/>
      </c>
      <c r="BL529" s="227" t="s">
        <v>21</v>
      </c>
      <c r="BM529" s="773">
        <f t="shared" si="183"/>
        <v>0</v>
      </c>
      <c r="BN529" s="774">
        <f t="shared" si="184"/>
        <v>0</v>
      </c>
      <c r="BO529"/>
      <c r="BX529"/>
      <c r="BY529"/>
      <c r="BZ529"/>
      <c r="CA529"/>
      <c r="CB529"/>
      <c r="CC529"/>
      <c r="CD529" s="781" t="str">
        <f t="shared" si="198"/>
        <v>►</v>
      </c>
      <c r="CE529" s="633"/>
      <c r="CF529" s="633"/>
      <c r="CG529" s="633"/>
      <c r="CH529" s="633"/>
      <c r="CI529" s="633"/>
      <c r="CJ529" s="227"/>
      <c r="CK529"/>
      <c r="CL529"/>
      <c r="CM529"/>
      <c r="CN529"/>
      <c r="CO529"/>
      <c r="CP529"/>
      <c r="CQ529"/>
      <c r="CR529" s="227"/>
      <c r="CS529"/>
      <c r="CT529"/>
      <c r="CU529"/>
      <c r="CV529"/>
      <c r="CW529"/>
      <c r="CX529"/>
      <c r="CY529"/>
      <c r="CZ529" s="227"/>
      <c r="DA529"/>
      <c r="DB529"/>
      <c r="DC529"/>
      <c r="DD529"/>
      <c r="DE529"/>
      <c r="DF529"/>
      <c r="DG529"/>
      <c r="DH529" s="227"/>
      <c r="DI529" s="3">
        <v>1</v>
      </c>
    </row>
    <row r="530" spans="2:113" s="627" customFormat="1" ht="21" customHeight="1">
      <c r="B530" s="2265" t="str" cm="1">
        <f t="array" ref="B530">SUMPRODUCT(--(D530:J530&lt;&gt;""), LEN(TRIM(SUBSTITUTE(D530:J530, CHAR(160), "")))) &amp; " Car."</f>
        <v>0 Car.</v>
      </c>
      <c r="C530" s="1376" t="str">
        <f>IF(ISBLANK(D530),"",LARGE(C13:C529,1)+1)</f>
        <v/>
      </c>
      <c r="D530" s="1833"/>
      <c r="E530" s="1810"/>
      <c r="F530" s="1810"/>
      <c r="G530" s="1810"/>
      <c r="H530" s="1810"/>
      <c r="I530" s="1810"/>
      <c r="J530" s="1810"/>
      <c r="K530" s="1810"/>
      <c r="L530" s="1811"/>
      <c r="M530"/>
      <c r="N530" s="103" t="str">
        <f t="shared" si="200"/>
        <v>►</v>
      </c>
      <c r="O530" s="1616"/>
      <c r="P530"/>
      <c r="Q530" s="25" t="s">
        <v>15</v>
      </c>
      <c r="R530" s="31"/>
      <c r="S530" s="32"/>
      <c r="T530" s="31"/>
      <c r="U530" s="33"/>
      <c r="V530" s="1967"/>
      <c r="W530" s="1805"/>
      <c r="X530" s="91"/>
      <c r="Y530" s="1806"/>
      <c r="Z530" s="1968"/>
      <c r="AA530" s="2244"/>
      <c r="AB530" s="1969"/>
      <c r="AC530" s="1365"/>
      <c r="AD530" s="95"/>
      <c r="AE530" s="1326"/>
      <c r="AF530" s="97"/>
      <c r="AG530" s="1737"/>
      <c r="AH530" s="1970"/>
      <c r="AI530" s="99"/>
      <c r="AJ530" s="1809"/>
      <c r="AK530" s="6120" t="str">
        <f t="shared" si="201"/>
        <v>►</v>
      </c>
      <c r="AL530" s="781" t="str">
        <f t="shared" si="182"/>
        <v>►</v>
      </c>
      <c r="AM530" s="5498" t="str">
        <f t="shared" si="185"/>
        <v/>
      </c>
      <c r="AN530" s="783" t="str">
        <f t="shared" si="186"/>
        <v/>
      </c>
      <c r="AO530" s="782" t="str">
        <f t="shared" si="187"/>
        <v/>
      </c>
      <c r="AP530" s="783" t="str">
        <f t="shared" si="188"/>
        <v/>
      </c>
      <c r="AQ530" s="2083" t="b">
        <f>AND(Q530="A",COUNTIF(BP16:BR63,TRIM(Z530))&gt;0)</f>
        <v>0</v>
      </c>
      <c r="AR530" s="797" t="str">
        <f>IF(AL530&lt;&gt;"A","",IFERROR(IFERROR(_xlfn.XLOOKUP(TRIM(SUBSTITUTE(Z530,CHAR(160)," ")),BP16:BP63,BS16:BS63),IFERROR(_xlfn.XLOOKUP(TRIM(SUBSTITUTE(Z530,CHAR(160)," ")),BQ16:BQ63,BS16:BS63),_xlfn.XLOOKUP(TRIM(SUBSTITUTE(Z530,CHAR(160)," ")),BR16:BR63,BS16:BS63)))*Y530*IF(ISBLANK(V530),1,V530),0))</f>
        <v/>
      </c>
      <c r="AS530" s="784" t="str">
        <f t="shared" si="199"/>
        <v/>
      </c>
      <c r="AT530" s="1315" t="str">
        <f t="shared" si="189"/>
        <v/>
      </c>
      <c r="AU530" s="785">
        <f t="shared" si="190"/>
        <v>0</v>
      </c>
      <c r="AV530" s="785">
        <f t="shared" si="191"/>
        <v>0</v>
      </c>
      <c r="AW530" s="798">
        <f>IF(AK530="A",AY10,0)</f>
        <v>0</v>
      </c>
      <c r="AX530" s="5496" t="str">
        <f>IF(IFERROR(SEARCH("Adresse PC",TRIM(W530)),0)&gt;0,"▼ receta siguiente",IF(AK530="A",IF(AZ10&lt;&gt;"",AZ10&amp;" - ou.or.o ❾ + or - &gt;",""),""))</f>
        <v/>
      </c>
      <c r="AY530" s="810"/>
      <c r="AZ530" s="810"/>
      <c r="BA530" s="799" t="str">
        <f t="shared" si="181"/>
        <v/>
      </c>
      <c r="BB530" s="800" t="str">
        <f>IF(AK530="A",IF(AQ530,IF(AND(AW530&lt;&gt;"",N(AW530)&gt;0),IFERROR(IFERROR(_xlfn.XLOOKUP(AP530,BP10:BP57,BT10:BT57),IFERROR(_xlfn.XLOOKUP(AP530,BQ10:BQ57,BT10:BT57),_xlfn.XLOOKUP(AP530,BR10:BR57,BT10:BT57,""))),""),""),""),"")</f>
        <v/>
      </c>
      <c r="BC530" s="813" cm="1">
        <f t="array" ref="BC530">IF(NOT(AQ530),0,IF(OR(BA530="",N(BA530)&lt;=0.000000001),"",IF(OR(AU530="",N(AU530)&lt;=0.000000001),0,IF(ISNUMBER(BA530),IFERROR(_xlfn.LET(_xlpm.ai_test,TRIM(AP530),_xlpm.r,IFERROR(_xlfn.XLOOKUP(_xlpm.ai_test,BP16:BP63,ROW(BP16:BP63),0,1),IFERROR(_xlfn.XLOOKUP(_xlpm.ai_test,BQ16:BQ63,ROW(BQ16:BQ63),0,1),_xlfn.XLOOKUP(_xlpm.ai_test,BR16:BR63,ROW(BR16:BR63),0,1))),_xlpm.p,_xlpm.r-MIN(ROW(BP16:BP63))+1,_xlpm.f,INDEX(BS16:BS63,_xlpm.p),_xlpm.u,INDEX(BT16:BT63,_xlpm.p),_xlpm.s,INDEX(BV16:BV63,_xlpm.p),_xlpm.q,N(BA530)/_xlpm.f,IF(_xlpm.q&gt;=_xlpm.s,ROUND(_xlpm.q,1)&amp;" "&amp;_xlpm.ai_test&amp;" = "&amp;ROUND(_xlpm.q*_xlpm.f,1)&amp;" "&amp;_xlpm.u,ROUND(_xlpm.q,1)&amp;" "&amp;_xlpm.ai_test)),""),""))))</f>
        <v>0</v>
      </c>
      <c r="BD530" s="801"/>
      <c r="BE530" s="799" t="str">
        <f t="shared" si="192"/>
        <v/>
      </c>
      <c r="BF530" s="800" t="str">
        <f t="shared" si="193"/>
        <v/>
      </c>
      <c r="BG530" s="802">
        <f t="shared" si="196"/>
        <v>0</v>
      </c>
      <c r="BH530" s="803" t="str">
        <f t="shared" si="197"/>
        <v/>
      </c>
      <c r="BI530" s="792"/>
      <c r="BJ530" s="804">
        <f t="shared" si="195"/>
        <v>0</v>
      </c>
      <c r="BK530" s="794" t="str">
        <f t="shared" si="194"/>
        <v/>
      </c>
      <c r="BL530" s="227" t="s">
        <v>21</v>
      </c>
      <c r="BM530" s="773">
        <f t="shared" si="183"/>
        <v>0</v>
      </c>
      <c r="BN530" s="774">
        <f t="shared" si="184"/>
        <v>0</v>
      </c>
      <c r="BO530"/>
      <c r="BX530"/>
      <c r="BY530"/>
      <c r="BZ530"/>
      <c r="CA530"/>
      <c r="CB530"/>
      <c r="CC530"/>
      <c r="CD530" s="781" t="str">
        <f t="shared" si="198"/>
        <v>►</v>
      </c>
      <c r="CE530" s="633"/>
      <c r="CF530" s="633"/>
      <c r="CG530" s="633"/>
      <c r="CH530" s="633"/>
      <c r="CI530" s="633"/>
      <c r="CJ530" s="227"/>
      <c r="CK530"/>
      <c r="CL530"/>
      <c r="CM530"/>
      <c r="CN530"/>
      <c r="CO530"/>
      <c r="CP530"/>
      <c r="CQ530"/>
      <c r="CR530" s="227"/>
      <c r="CS530"/>
      <c r="CT530"/>
      <c r="CU530"/>
      <c r="CV530"/>
      <c r="CW530"/>
      <c r="CX530"/>
      <c r="CY530"/>
      <c r="CZ530" s="227"/>
      <c r="DA530"/>
      <c r="DB530"/>
      <c r="DC530"/>
      <c r="DD530"/>
      <c r="DE530"/>
      <c r="DF530"/>
      <c r="DG530"/>
      <c r="DH530" s="227"/>
      <c r="DI530" s="3">
        <v>1</v>
      </c>
    </row>
    <row r="531" spans="2:113" s="627" customFormat="1" ht="21" customHeight="1">
      <c r="B531" s="2265" t="str" cm="1">
        <f t="array" ref="B531">SUMPRODUCT(--(D531:J531&lt;&gt;""), LEN(TRIM(SUBSTITUTE(D531:J531, CHAR(160), "")))) &amp; " Car."</f>
        <v>0 Car.</v>
      </c>
      <c r="C531" s="1376" t="str">
        <f>IF(ISBLANK(D531),"",LARGE(C13:C530,1)+1)</f>
        <v/>
      </c>
      <c r="D531" s="1833"/>
      <c r="E531" s="1810"/>
      <c r="F531" s="1810"/>
      <c r="G531" s="1810"/>
      <c r="H531" s="1810"/>
      <c r="I531" s="1810"/>
      <c r="J531" s="1810"/>
      <c r="K531" s="1810"/>
      <c r="L531" s="1811"/>
      <c r="M531"/>
      <c r="N531" s="103" t="str">
        <f t="shared" si="200"/>
        <v>►</v>
      </c>
      <c r="O531" s="1616"/>
      <c r="P531"/>
      <c r="Q531" s="25" t="s">
        <v>15</v>
      </c>
      <c r="R531" s="31"/>
      <c r="S531" s="32"/>
      <c r="T531" s="31"/>
      <c r="U531" s="33"/>
      <c r="V531" s="1967"/>
      <c r="W531" s="1805"/>
      <c r="X531" s="91"/>
      <c r="Y531" s="1806"/>
      <c r="Z531" s="1968"/>
      <c r="AA531" s="2244"/>
      <c r="AB531" s="1969"/>
      <c r="AC531" s="1365"/>
      <c r="AD531" s="95"/>
      <c r="AE531" s="1326"/>
      <c r="AF531" s="97"/>
      <c r="AG531" s="1737"/>
      <c r="AH531" s="1970"/>
      <c r="AI531" s="99"/>
      <c r="AJ531" s="1809"/>
      <c r="AK531" s="6120" t="str">
        <f t="shared" si="201"/>
        <v>►</v>
      </c>
      <c r="AL531" s="781" t="str">
        <f t="shared" si="182"/>
        <v>►</v>
      </c>
      <c r="AM531" s="5499" t="str">
        <f t="shared" si="185"/>
        <v/>
      </c>
      <c r="AN531" s="783" t="str">
        <f t="shared" si="186"/>
        <v/>
      </c>
      <c r="AO531" s="782" t="str">
        <f t="shared" si="187"/>
        <v/>
      </c>
      <c r="AP531" s="783" t="str">
        <f t="shared" si="188"/>
        <v/>
      </c>
      <c r="AQ531" s="2083" t="b">
        <f>AND(Q531="A",COUNTIF(BP16:BR63,TRIM(Z531))&gt;0)</f>
        <v>0</v>
      </c>
      <c r="AR531" s="797" t="str">
        <f>IF(AL531&lt;&gt;"A","",IFERROR(IFERROR(_xlfn.XLOOKUP(TRIM(SUBSTITUTE(Z531,CHAR(160)," ")),BP16:BP63,BS16:BS63),IFERROR(_xlfn.XLOOKUP(TRIM(SUBSTITUTE(Z531,CHAR(160)," ")),BQ16:BQ63,BS16:BS63),_xlfn.XLOOKUP(TRIM(SUBSTITUTE(Z531,CHAR(160)," ")),BR16:BR63,BS16:BS63)))*Y531*IF(ISBLANK(V531),1,V531),0))</f>
        <v/>
      </c>
      <c r="AS531" s="784" t="str">
        <f t="shared" si="199"/>
        <v/>
      </c>
      <c r="AT531" s="1315" t="str">
        <f t="shared" si="189"/>
        <v/>
      </c>
      <c r="AU531" s="785">
        <f t="shared" si="190"/>
        <v>0</v>
      </c>
      <c r="AV531" s="785">
        <f t="shared" si="191"/>
        <v>0</v>
      </c>
      <c r="AW531" s="786">
        <f>IF(AK531="A",AY10,0)</f>
        <v>0</v>
      </c>
      <c r="AX531" s="5495" t="str">
        <f>IF(IFERROR(SEARCH("Adresse PC",TRIM(W531)),0)&gt;0,"▼ receta siguiente",IF(AK531="A",IF(AZ10&lt;&gt;"",AZ10&amp;" - ou.or.o ❾ + or - &gt;",""),""))</f>
        <v/>
      </c>
      <c r="AY531" s="810"/>
      <c r="AZ531" s="810"/>
      <c r="BA531" s="788" t="str">
        <f t="shared" si="181"/>
        <v/>
      </c>
      <c r="BB531" s="789" t="str">
        <f>IF(AK531="A",IF(AQ531,IF(AND(AW531&lt;&gt;"",N(AW531)&gt;0),IFERROR(IFERROR(_xlfn.XLOOKUP(AP531,BP10:BP57,BT10:BT57),IFERROR(_xlfn.XLOOKUP(AP531,BQ10:BQ57,BT10:BT57),_xlfn.XLOOKUP(AP531,BR10:BR57,BT10:BT57,""))),""),""),""),"")</f>
        <v/>
      </c>
      <c r="BC531" s="811" cm="1">
        <f t="array" ref="BC531">IF(NOT(AQ531),0,IF(OR(BA531="",N(BA531)&lt;=0.000000001),"",IF(OR(AU531="",N(AU531)&lt;=0.000000001),0,IF(ISNUMBER(BA531),IFERROR(_xlfn.LET(_xlpm.ai_test,TRIM(AP531),_xlpm.r,IFERROR(_xlfn.XLOOKUP(_xlpm.ai_test,BP16:BP63,ROW(BP16:BP63),0,1),IFERROR(_xlfn.XLOOKUP(_xlpm.ai_test,BQ16:BQ63,ROW(BQ16:BQ63),0,1),_xlfn.XLOOKUP(_xlpm.ai_test,BR16:BR63,ROW(BR16:BR63),0,1))),_xlpm.p,_xlpm.r-MIN(ROW(BP16:BP63))+1,_xlpm.f,INDEX(BS16:BS63,_xlpm.p),_xlpm.u,INDEX(BT16:BT63,_xlpm.p),_xlpm.s,INDEX(BV16:BV63,_xlpm.p),_xlpm.q,N(BA531)/_xlpm.f,IF(_xlpm.q&gt;=_xlpm.s,ROUND(_xlpm.q,1)&amp;" "&amp;_xlpm.ai_test&amp;" = "&amp;ROUND(_xlpm.q*_xlpm.f,1)&amp;" "&amp;_xlpm.u,ROUND(_xlpm.q,1)&amp;" "&amp;_xlpm.ai_test)),""),""))))</f>
        <v>0</v>
      </c>
      <c r="BD531" s="801"/>
      <c r="BE531" s="788" t="str">
        <f t="shared" si="192"/>
        <v/>
      </c>
      <c r="BF531" s="789" t="str">
        <f t="shared" si="193"/>
        <v/>
      </c>
      <c r="BG531" s="790">
        <f t="shared" si="196"/>
        <v>0</v>
      </c>
      <c r="BH531" s="791" t="str">
        <f t="shared" si="197"/>
        <v/>
      </c>
      <c r="BI531" s="792"/>
      <c r="BJ531" s="793">
        <f t="shared" si="195"/>
        <v>0</v>
      </c>
      <c r="BK531" s="794" t="str">
        <f t="shared" si="194"/>
        <v/>
      </c>
      <c r="BL531" s="227" t="s">
        <v>21</v>
      </c>
      <c r="BM531" s="773">
        <f t="shared" si="183"/>
        <v>0</v>
      </c>
      <c r="BN531" s="774">
        <f t="shared" si="184"/>
        <v>0</v>
      </c>
      <c r="BO531"/>
      <c r="BX531"/>
      <c r="BY531"/>
      <c r="BZ531"/>
      <c r="CA531"/>
      <c r="CB531"/>
      <c r="CC531"/>
      <c r="CD531" s="781" t="str">
        <f t="shared" si="198"/>
        <v>►</v>
      </c>
      <c r="CE531" s="633"/>
      <c r="CF531" s="633"/>
      <c r="CG531" s="633"/>
      <c r="CH531" s="633"/>
      <c r="CI531" s="633"/>
      <c r="CJ531" s="227"/>
      <c r="CK531"/>
      <c r="CL531"/>
      <c r="CM531"/>
      <c r="CN531"/>
      <c r="CO531"/>
      <c r="CP531"/>
      <c r="CQ531"/>
      <c r="CR531" s="227"/>
      <c r="CS531"/>
      <c r="CT531"/>
      <c r="CU531"/>
      <c r="CV531"/>
      <c r="CW531"/>
      <c r="CX531"/>
      <c r="CY531"/>
      <c r="CZ531" s="227"/>
      <c r="DA531"/>
      <c r="DB531"/>
      <c r="DC531"/>
      <c r="DD531"/>
      <c r="DE531"/>
      <c r="DF531"/>
      <c r="DG531"/>
      <c r="DH531" s="227"/>
      <c r="DI531" s="3">
        <v>1</v>
      </c>
    </row>
    <row r="532" spans="2:113" s="627" customFormat="1" ht="21" customHeight="1">
      <c r="B532" s="2265" t="str" cm="1">
        <f t="array" ref="B532">SUMPRODUCT(--(D532:J532&lt;&gt;""), LEN(TRIM(SUBSTITUTE(D532:J532, CHAR(160), "")))) &amp; " Car."</f>
        <v>0 Car.</v>
      </c>
      <c r="C532" s="1376" t="str">
        <f>IF(ISBLANK(D532),"",LARGE(C13:C531,1)+1)</f>
        <v/>
      </c>
      <c r="D532" s="1833"/>
      <c r="E532" s="1810"/>
      <c r="F532" s="1810"/>
      <c r="G532" s="1810"/>
      <c r="H532" s="1810"/>
      <c r="I532" s="1810"/>
      <c r="J532" s="1810"/>
      <c r="K532" s="1810"/>
      <c r="L532" s="1811"/>
      <c r="M532"/>
      <c r="N532" s="103" t="str">
        <f t="shared" si="200"/>
        <v>►</v>
      </c>
      <c r="O532" s="1616"/>
      <c r="P532"/>
      <c r="Q532" s="25" t="s">
        <v>15</v>
      </c>
      <c r="R532" s="31"/>
      <c r="S532" s="32"/>
      <c r="T532" s="31"/>
      <c r="U532" s="33"/>
      <c r="V532" s="1967"/>
      <c r="W532" s="1805"/>
      <c r="X532" s="91"/>
      <c r="Y532" s="1806"/>
      <c r="Z532" s="1968"/>
      <c r="AA532" s="2244"/>
      <c r="AB532" s="1969"/>
      <c r="AC532" s="1365"/>
      <c r="AD532" s="95"/>
      <c r="AE532" s="1326"/>
      <c r="AF532" s="97"/>
      <c r="AG532" s="1737"/>
      <c r="AH532" s="1970"/>
      <c r="AI532" s="99"/>
      <c r="AJ532" s="1809"/>
      <c r="AK532" s="6120" t="str">
        <f t="shared" si="201"/>
        <v>►</v>
      </c>
      <c r="AL532" s="781" t="str">
        <f t="shared" si="182"/>
        <v>►</v>
      </c>
      <c r="AM532" s="5498" t="str">
        <f t="shared" si="185"/>
        <v/>
      </c>
      <c r="AN532" s="783" t="str">
        <f t="shared" si="186"/>
        <v/>
      </c>
      <c r="AO532" s="782" t="str">
        <f t="shared" si="187"/>
        <v/>
      </c>
      <c r="AP532" s="783" t="str">
        <f t="shared" si="188"/>
        <v/>
      </c>
      <c r="AQ532" s="2083" t="b">
        <f>AND(Q532="A",COUNTIF(BP16:BR63,TRIM(Z532))&gt;0)</f>
        <v>0</v>
      </c>
      <c r="AR532" s="797" t="str">
        <f>IF(AL532&lt;&gt;"A","",IFERROR(IFERROR(_xlfn.XLOOKUP(TRIM(SUBSTITUTE(Z532,CHAR(160)," ")),BP16:BP63,BS16:BS63),IFERROR(_xlfn.XLOOKUP(TRIM(SUBSTITUTE(Z532,CHAR(160)," ")),BQ16:BQ63,BS16:BS63),_xlfn.XLOOKUP(TRIM(SUBSTITUTE(Z532,CHAR(160)," ")),BR16:BR63,BS16:BS63)))*Y532*IF(ISBLANK(V532),1,V532),0))</f>
        <v/>
      </c>
      <c r="AS532" s="784" t="str">
        <f t="shared" si="199"/>
        <v/>
      </c>
      <c r="AT532" s="1315" t="str">
        <f t="shared" si="189"/>
        <v/>
      </c>
      <c r="AU532" s="785">
        <f t="shared" si="190"/>
        <v>0</v>
      </c>
      <c r="AV532" s="785">
        <f t="shared" si="191"/>
        <v>0</v>
      </c>
      <c r="AW532" s="798">
        <f>IF(AK532="A",AY10,0)</f>
        <v>0</v>
      </c>
      <c r="AX532" s="5496" t="str">
        <f>IF(IFERROR(SEARCH("Adresse PC",TRIM(W532)),0)&gt;0,"▼ receta siguiente",IF(AK532="A",IF(AZ10&lt;&gt;"",AZ10&amp;" - ou.or.o ❾ + or - &gt;",""),""))</f>
        <v/>
      </c>
      <c r="AY532" s="810"/>
      <c r="AZ532" s="810"/>
      <c r="BA532" s="799" t="str">
        <f t="shared" ref="BA532:BA550" si="202">IF(AK532="A",IF(UPPER(TRIM(SUBSTITUTE(AS532,CHAR(160),"")))="KG",N(AR532)*N(BN532),0),"")</f>
        <v/>
      </c>
      <c r="BB532" s="800" t="str">
        <f>IF(AK532="A",IF(AQ532,IF(AND(AW532&lt;&gt;"",N(AW532)&gt;0),IFERROR(IFERROR(_xlfn.XLOOKUP(AP532,BP10:BP57,BT10:BT57),IFERROR(_xlfn.XLOOKUP(AP532,BQ10:BQ57,BT10:BT57),_xlfn.XLOOKUP(AP532,BR10:BR57,BT10:BT57,""))),""),""),""),"")</f>
        <v/>
      </c>
      <c r="BC532" s="813" cm="1">
        <f t="array" ref="BC532">IF(NOT(AQ532),0,IF(OR(BA532="",N(BA532)&lt;=0.000000001),"",IF(OR(AU532="",N(AU532)&lt;=0.000000001),0,IF(ISNUMBER(BA532),IFERROR(_xlfn.LET(_xlpm.ai_test,TRIM(AP532),_xlpm.r,IFERROR(_xlfn.XLOOKUP(_xlpm.ai_test,BP16:BP63,ROW(BP16:BP63),0,1),IFERROR(_xlfn.XLOOKUP(_xlpm.ai_test,BQ16:BQ63,ROW(BQ16:BQ63),0,1),_xlfn.XLOOKUP(_xlpm.ai_test,BR16:BR63,ROW(BR16:BR63),0,1))),_xlpm.p,_xlpm.r-MIN(ROW(BP16:BP63))+1,_xlpm.f,INDEX(BS16:BS63,_xlpm.p),_xlpm.u,INDEX(BT16:BT63,_xlpm.p),_xlpm.s,INDEX(BV16:BV63,_xlpm.p),_xlpm.q,N(BA532)/_xlpm.f,IF(_xlpm.q&gt;=_xlpm.s,ROUND(_xlpm.q,1)&amp;" "&amp;_xlpm.ai_test&amp;" = "&amp;ROUND(_xlpm.q*_xlpm.f,1)&amp;" "&amp;_xlpm.u,ROUND(_xlpm.q,1)&amp;" "&amp;_xlpm.ai_test)),""),""))))</f>
        <v>0</v>
      </c>
      <c r="BD532" s="801"/>
      <c r="BE532" s="799" t="str">
        <f t="shared" si="192"/>
        <v/>
      </c>
      <c r="BF532" s="800" t="str">
        <f t="shared" si="193"/>
        <v/>
      </c>
      <c r="BG532" s="802">
        <f t="shared" si="196"/>
        <v>0</v>
      </c>
      <c r="BH532" s="803" t="str">
        <f t="shared" si="197"/>
        <v/>
      </c>
      <c r="BI532" s="792"/>
      <c r="BJ532" s="804">
        <f t="shared" si="195"/>
        <v>0</v>
      </c>
      <c r="BK532" s="794" t="str">
        <f t="shared" si="194"/>
        <v/>
      </c>
      <c r="BL532" s="227" t="s">
        <v>21</v>
      </c>
      <c r="BM532" s="773">
        <f t="shared" si="183"/>
        <v>0</v>
      </c>
      <c r="BN532" s="774">
        <f t="shared" si="184"/>
        <v>0</v>
      </c>
      <c r="BO532"/>
      <c r="BX532"/>
      <c r="BY532"/>
      <c r="BZ532"/>
      <c r="CA532"/>
      <c r="CB532"/>
      <c r="CC532"/>
      <c r="CD532" s="781" t="str">
        <f t="shared" si="198"/>
        <v>►</v>
      </c>
      <c r="CE532" s="633"/>
      <c r="CF532" s="633"/>
      <c r="CG532" s="633"/>
      <c r="CH532" s="633"/>
      <c r="CI532" s="633"/>
      <c r="CJ532" s="227"/>
      <c r="CK532"/>
      <c r="CL532"/>
      <c r="CM532"/>
      <c r="CN532"/>
      <c r="CO532"/>
      <c r="CP532"/>
      <c r="CQ532"/>
      <c r="CR532" s="227"/>
      <c r="CS532"/>
      <c r="CT532"/>
      <c r="CU532"/>
      <c r="CV532"/>
      <c r="CW532"/>
      <c r="CX532"/>
      <c r="CY532"/>
      <c r="CZ532" s="227"/>
      <c r="DA532"/>
      <c r="DB532"/>
      <c r="DC532"/>
      <c r="DD532"/>
      <c r="DE532"/>
      <c r="DF532"/>
      <c r="DG532"/>
      <c r="DH532" s="227"/>
      <c r="DI532" s="3">
        <v>1</v>
      </c>
    </row>
    <row r="533" spans="2:113" s="627" customFormat="1" ht="21" customHeight="1">
      <c r="B533" s="2265" t="str" cm="1">
        <f t="array" ref="B533">SUMPRODUCT(--(D533:J533&lt;&gt;""), LEN(TRIM(SUBSTITUTE(D533:J533, CHAR(160), "")))) &amp; " Car."</f>
        <v>0 Car.</v>
      </c>
      <c r="C533" s="1376" t="str">
        <f>IF(ISBLANK(D533),"",LARGE(C13:C532,1)+1)</f>
        <v/>
      </c>
      <c r="D533" s="1833"/>
      <c r="E533" s="1810"/>
      <c r="F533" s="1810"/>
      <c r="G533" s="1810"/>
      <c r="H533" s="1810"/>
      <c r="I533" s="1810"/>
      <c r="J533" s="1810"/>
      <c r="K533" s="1810"/>
      <c r="L533" s="1811"/>
      <c r="M533"/>
      <c r="N533" s="103" t="str">
        <f t="shared" si="200"/>
        <v>►</v>
      </c>
      <c r="O533" s="1616"/>
      <c r="P533"/>
      <c r="Q533" s="25" t="s">
        <v>15</v>
      </c>
      <c r="R533" s="31"/>
      <c r="S533" s="32"/>
      <c r="T533" s="31"/>
      <c r="U533" s="33"/>
      <c r="V533" s="1967"/>
      <c r="W533" s="1805"/>
      <c r="X533" s="91"/>
      <c r="Y533" s="1806"/>
      <c r="Z533" s="1968"/>
      <c r="AA533" s="2244"/>
      <c r="AB533" s="1969"/>
      <c r="AC533" s="1365"/>
      <c r="AD533" s="95"/>
      <c r="AE533" s="1326"/>
      <c r="AF533" s="97"/>
      <c r="AG533" s="1737"/>
      <c r="AH533" s="1970"/>
      <c r="AI533" s="99"/>
      <c r="AJ533" s="1809"/>
      <c r="AK533" s="6120" t="str">
        <f t="shared" si="201"/>
        <v>►</v>
      </c>
      <c r="AL533" s="781" t="str">
        <f t="shared" si="182"/>
        <v>►</v>
      </c>
      <c r="AM533" s="5499" t="str">
        <f t="shared" si="185"/>
        <v/>
      </c>
      <c r="AN533" s="783" t="str">
        <f t="shared" si="186"/>
        <v/>
      </c>
      <c r="AO533" s="782" t="str">
        <f t="shared" si="187"/>
        <v/>
      </c>
      <c r="AP533" s="783" t="str">
        <f t="shared" si="188"/>
        <v/>
      </c>
      <c r="AQ533" s="2083" t="b">
        <f>AND(Q533="A",COUNTIF(BP16:BR63,TRIM(Z533))&gt;0)</f>
        <v>0</v>
      </c>
      <c r="AR533" s="797" t="str">
        <f>IF(AL533&lt;&gt;"A","",IFERROR(IFERROR(_xlfn.XLOOKUP(TRIM(SUBSTITUTE(Z533,CHAR(160)," ")),BP16:BP63,BS16:BS63),IFERROR(_xlfn.XLOOKUP(TRIM(SUBSTITUTE(Z533,CHAR(160)," ")),BQ16:BQ63,BS16:BS63),_xlfn.XLOOKUP(TRIM(SUBSTITUTE(Z533,CHAR(160)," ")),BR16:BR63,BS16:BS63)))*Y533*IF(ISBLANK(V533),1,V533),0))</f>
        <v/>
      </c>
      <c r="AS533" s="784" t="str">
        <f t="shared" si="199"/>
        <v/>
      </c>
      <c r="AT533" s="1315" t="str">
        <f t="shared" si="189"/>
        <v/>
      </c>
      <c r="AU533" s="785">
        <f t="shared" si="190"/>
        <v>0</v>
      </c>
      <c r="AV533" s="785">
        <f t="shared" si="191"/>
        <v>0</v>
      </c>
      <c r="AW533" s="786">
        <f>IF(AK533="A",AY10,0)</f>
        <v>0</v>
      </c>
      <c r="AX533" s="5495" t="str">
        <f>IF(IFERROR(SEARCH("Adresse PC",TRIM(W533)),0)&gt;0,"▼ receta siguiente",IF(AK533="A",IF(AZ10&lt;&gt;"",AZ10&amp;" - ou.or.o ❾ + or - &gt;",""),""))</f>
        <v/>
      </c>
      <c r="AY533" s="810"/>
      <c r="AZ533" s="810"/>
      <c r="BA533" s="788" t="str">
        <f t="shared" si="202"/>
        <v/>
      </c>
      <c r="BB533" s="789" t="str">
        <f>IF(AK533="A",IF(AQ533,IF(AND(AW533&lt;&gt;"",N(AW533)&gt;0),IFERROR(IFERROR(_xlfn.XLOOKUP(AP533,BP10:BP57,BT10:BT57),IFERROR(_xlfn.XLOOKUP(AP533,BQ10:BQ57,BT10:BT57),_xlfn.XLOOKUP(AP533,BR10:BR57,BT10:BT57,""))),""),""),""),"")</f>
        <v/>
      </c>
      <c r="BC533" s="811" cm="1">
        <f t="array" ref="BC533">IF(NOT(AQ533),0,IF(OR(BA533="",N(BA533)&lt;=0.000000001),"",IF(OR(AU533="",N(AU533)&lt;=0.000000001),0,IF(ISNUMBER(BA533),IFERROR(_xlfn.LET(_xlpm.ai_test,TRIM(AP533),_xlpm.r,IFERROR(_xlfn.XLOOKUP(_xlpm.ai_test,BP16:BP63,ROW(BP16:BP63),0,1),IFERROR(_xlfn.XLOOKUP(_xlpm.ai_test,BQ16:BQ63,ROW(BQ16:BQ63),0,1),_xlfn.XLOOKUP(_xlpm.ai_test,BR16:BR63,ROW(BR16:BR63),0,1))),_xlpm.p,_xlpm.r-MIN(ROW(BP16:BP63))+1,_xlpm.f,INDEX(BS16:BS63,_xlpm.p),_xlpm.u,INDEX(BT16:BT63,_xlpm.p),_xlpm.s,INDEX(BV16:BV63,_xlpm.p),_xlpm.q,N(BA533)/_xlpm.f,IF(_xlpm.q&gt;=_xlpm.s,ROUND(_xlpm.q,1)&amp;" "&amp;_xlpm.ai_test&amp;" = "&amp;ROUND(_xlpm.q*_xlpm.f,1)&amp;" "&amp;_xlpm.u,ROUND(_xlpm.q,1)&amp;" "&amp;_xlpm.ai_test)),""),""))))</f>
        <v>0</v>
      </c>
      <c r="BD533" s="801"/>
      <c r="BE533" s="788" t="str">
        <f t="shared" si="192"/>
        <v/>
      </c>
      <c r="BF533" s="789" t="str">
        <f t="shared" si="193"/>
        <v/>
      </c>
      <c r="BG533" s="790">
        <f t="shared" si="196"/>
        <v>0</v>
      </c>
      <c r="BH533" s="791" t="str">
        <f t="shared" si="197"/>
        <v/>
      </c>
      <c r="BI533" s="792"/>
      <c r="BJ533" s="793">
        <f t="shared" si="195"/>
        <v>0</v>
      </c>
      <c r="BK533" s="794" t="str">
        <f t="shared" si="194"/>
        <v/>
      </c>
      <c r="BL533" s="227" t="s">
        <v>21</v>
      </c>
      <c r="BM533" s="773">
        <f t="shared" si="183"/>
        <v>0</v>
      </c>
      <c r="BN533" s="774">
        <f t="shared" si="184"/>
        <v>0</v>
      </c>
      <c r="BO533"/>
      <c r="BX533"/>
      <c r="BY533"/>
      <c r="BZ533"/>
      <c r="CA533"/>
      <c r="CB533"/>
      <c r="CC533"/>
      <c r="CD533" s="781" t="str">
        <f t="shared" si="198"/>
        <v>►</v>
      </c>
      <c r="CE533" s="633"/>
      <c r="CF533" s="633"/>
      <c r="CG533" s="633"/>
      <c r="CH533" s="633"/>
      <c r="CI533" s="633"/>
      <c r="CJ533" s="227"/>
      <c r="CK533"/>
      <c r="CL533"/>
      <c r="CM533"/>
      <c r="CN533"/>
      <c r="CO533"/>
      <c r="CP533"/>
      <c r="CQ533"/>
      <c r="CR533" s="227"/>
      <c r="CS533"/>
      <c r="CT533"/>
      <c r="CU533"/>
      <c r="CV533"/>
      <c r="CW533"/>
      <c r="CX533"/>
      <c r="CY533"/>
      <c r="CZ533" s="227"/>
      <c r="DA533"/>
      <c r="DB533"/>
      <c r="DC533"/>
      <c r="DD533"/>
      <c r="DE533"/>
      <c r="DF533"/>
      <c r="DG533"/>
      <c r="DH533" s="227"/>
      <c r="DI533" s="3">
        <v>1</v>
      </c>
    </row>
    <row r="534" spans="2:113" s="627" customFormat="1" ht="21" customHeight="1">
      <c r="B534" s="2265" t="str" cm="1">
        <f t="array" ref="B534">SUMPRODUCT(--(D534:J534&lt;&gt;""), LEN(TRIM(SUBSTITUTE(D534:J534, CHAR(160), "")))) &amp; " Car."</f>
        <v>0 Car.</v>
      </c>
      <c r="C534" s="1376" t="str">
        <f>IF(ISBLANK(D534),"",LARGE(C13:C533,1)+1)</f>
        <v/>
      </c>
      <c r="D534" s="1833"/>
      <c r="E534" s="1810"/>
      <c r="F534" s="1810"/>
      <c r="G534" s="1810"/>
      <c r="H534" s="1810"/>
      <c r="I534" s="1810"/>
      <c r="J534" s="1810"/>
      <c r="K534" s="1810"/>
      <c r="L534" s="1811"/>
      <c r="M534"/>
      <c r="N534" s="103" t="str">
        <f t="shared" si="200"/>
        <v>►</v>
      </c>
      <c r="O534" s="1616"/>
      <c r="P534"/>
      <c r="Q534" s="25" t="s">
        <v>15</v>
      </c>
      <c r="R534" s="31"/>
      <c r="S534" s="32"/>
      <c r="T534" s="31"/>
      <c r="U534" s="33"/>
      <c r="V534" s="1967"/>
      <c r="W534" s="1805"/>
      <c r="X534" s="91"/>
      <c r="Y534" s="1806"/>
      <c r="Z534" s="1968"/>
      <c r="AA534" s="2244"/>
      <c r="AB534" s="1969"/>
      <c r="AC534" s="1365"/>
      <c r="AD534" s="95"/>
      <c r="AE534" s="1326"/>
      <c r="AF534" s="97"/>
      <c r="AG534" s="1737"/>
      <c r="AH534" s="1970"/>
      <c r="AI534" s="99"/>
      <c r="AJ534" s="1809"/>
      <c r="AK534" s="6120" t="str">
        <f t="shared" si="201"/>
        <v>►</v>
      </c>
      <c r="AL534" s="781" t="str">
        <f t="shared" si="182"/>
        <v>►</v>
      </c>
      <c r="AM534" s="5498" t="str">
        <f t="shared" si="185"/>
        <v/>
      </c>
      <c r="AN534" s="783" t="str">
        <f t="shared" si="186"/>
        <v/>
      </c>
      <c r="AO534" s="782" t="str">
        <f t="shared" si="187"/>
        <v/>
      </c>
      <c r="AP534" s="783" t="str">
        <f t="shared" si="188"/>
        <v/>
      </c>
      <c r="AQ534" s="2083" t="b">
        <f>AND(Q534="A",COUNTIF(BP16:BR63,TRIM(Z534))&gt;0)</f>
        <v>0</v>
      </c>
      <c r="AR534" s="797" t="str">
        <f>IF(AL534&lt;&gt;"A","",IFERROR(IFERROR(_xlfn.XLOOKUP(TRIM(SUBSTITUTE(Z534,CHAR(160)," ")),BP16:BP63,BS16:BS63),IFERROR(_xlfn.XLOOKUP(TRIM(SUBSTITUTE(Z534,CHAR(160)," ")),BQ16:BQ63,BS16:BS63),_xlfn.XLOOKUP(TRIM(SUBSTITUTE(Z534,CHAR(160)," ")),BR16:BR63,BS16:BS63)))*Y534*IF(ISBLANK(V534),1,V534),0))</f>
        <v/>
      </c>
      <c r="AS534" s="784" t="str">
        <f t="shared" si="199"/>
        <v/>
      </c>
      <c r="AT534" s="1315" t="str">
        <f t="shared" si="189"/>
        <v/>
      </c>
      <c r="AU534" s="785">
        <f t="shared" si="190"/>
        <v>0</v>
      </c>
      <c r="AV534" s="785">
        <f t="shared" si="191"/>
        <v>0</v>
      </c>
      <c r="AW534" s="798">
        <f>IF(AK534="A",AY10,0)</f>
        <v>0</v>
      </c>
      <c r="AX534" s="5496" t="str">
        <f>IF(IFERROR(SEARCH("Adresse PC",TRIM(W534)),0)&gt;0,"▼ receta siguiente",IF(AK534="A",IF(AZ10&lt;&gt;"",AZ10&amp;" - ou.or.o ❾ + or - &gt;",""),""))</f>
        <v/>
      </c>
      <c r="AY534" s="810"/>
      <c r="AZ534" s="810"/>
      <c r="BA534" s="799" t="str">
        <f t="shared" si="202"/>
        <v/>
      </c>
      <c r="BB534" s="800" t="str">
        <f>IF(AK534="A",IF(AQ534,IF(AND(AW534&lt;&gt;"",N(AW534)&gt;0),IFERROR(IFERROR(_xlfn.XLOOKUP(AP534,BP10:BP57,BT10:BT57),IFERROR(_xlfn.XLOOKUP(AP534,BQ10:BQ57,BT10:BT57),_xlfn.XLOOKUP(AP534,BR10:BR57,BT10:BT57,""))),""),""),""),"")</f>
        <v/>
      </c>
      <c r="BC534" s="813" cm="1">
        <f t="array" ref="BC534">IF(NOT(AQ534),0,IF(OR(BA534="",N(BA534)&lt;=0.000000001),"",IF(OR(AU534="",N(AU534)&lt;=0.000000001),0,IF(ISNUMBER(BA534),IFERROR(_xlfn.LET(_xlpm.ai_test,TRIM(AP534),_xlpm.r,IFERROR(_xlfn.XLOOKUP(_xlpm.ai_test,BP16:BP63,ROW(BP16:BP63),0,1),IFERROR(_xlfn.XLOOKUP(_xlpm.ai_test,BQ16:BQ63,ROW(BQ16:BQ63),0,1),_xlfn.XLOOKUP(_xlpm.ai_test,BR16:BR63,ROW(BR16:BR63),0,1))),_xlpm.p,_xlpm.r-MIN(ROW(BP16:BP63))+1,_xlpm.f,INDEX(BS16:BS63,_xlpm.p),_xlpm.u,INDEX(BT16:BT63,_xlpm.p),_xlpm.s,INDEX(BV16:BV63,_xlpm.p),_xlpm.q,N(BA534)/_xlpm.f,IF(_xlpm.q&gt;=_xlpm.s,ROUND(_xlpm.q,1)&amp;" "&amp;_xlpm.ai_test&amp;" = "&amp;ROUND(_xlpm.q*_xlpm.f,1)&amp;" "&amp;_xlpm.u,ROUND(_xlpm.q,1)&amp;" "&amp;_xlpm.ai_test)),""),""))))</f>
        <v>0</v>
      </c>
      <c r="BD534" s="801"/>
      <c r="BE534" s="799" t="str">
        <f t="shared" si="192"/>
        <v/>
      </c>
      <c r="BF534" s="800" t="str">
        <f t="shared" si="193"/>
        <v/>
      </c>
      <c r="BG534" s="802">
        <f t="shared" si="196"/>
        <v>0</v>
      </c>
      <c r="BH534" s="803" t="str">
        <f t="shared" si="197"/>
        <v/>
      </c>
      <c r="BI534" s="792"/>
      <c r="BJ534" s="804">
        <f t="shared" si="195"/>
        <v>0</v>
      </c>
      <c r="BK534" s="794" t="str">
        <f t="shared" si="194"/>
        <v/>
      </c>
      <c r="BL534" s="227" t="s">
        <v>21</v>
      </c>
      <c r="BM534" s="773">
        <f t="shared" si="183"/>
        <v>0</v>
      </c>
      <c r="BN534" s="774">
        <f t="shared" si="184"/>
        <v>0</v>
      </c>
      <c r="BO534"/>
      <c r="BX534"/>
      <c r="BY534"/>
      <c r="BZ534"/>
      <c r="CA534"/>
      <c r="CB534"/>
      <c r="CC534"/>
      <c r="CD534" s="781" t="str">
        <f t="shared" si="198"/>
        <v>►</v>
      </c>
      <c r="CE534" s="633"/>
      <c r="CF534" s="633"/>
      <c r="CG534" s="633"/>
      <c r="CH534" s="633"/>
      <c r="CI534" s="633"/>
      <c r="CJ534" s="227"/>
      <c r="CK534"/>
      <c r="CL534"/>
      <c r="CM534"/>
      <c r="CN534"/>
      <c r="CO534"/>
      <c r="CP534"/>
      <c r="CQ534"/>
      <c r="CR534" s="227"/>
      <c r="CS534"/>
      <c r="CT534"/>
      <c r="CU534"/>
      <c r="CV534"/>
      <c r="CW534"/>
      <c r="CX534"/>
      <c r="CY534"/>
      <c r="CZ534" s="227"/>
      <c r="DA534"/>
      <c r="DB534"/>
      <c r="DC534"/>
      <c r="DD534"/>
      <c r="DE534"/>
      <c r="DF534"/>
      <c r="DG534"/>
      <c r="DH534" s="227"/>
      <c r="DI534" s="3">
        <v>1</v>
      </c>
    </row>
    <row r="535" spans="2:113" s="627" customFormat="1" ht="21" customHeight="1">
      <c r="B535" s="2265" t="str" cm="1">
        <f t="array" ref="B535">SUMPRODUCT(--(D535:J535&lt;&gt;""), LEN(TRIM(SUBSTITUTE(D535:J535, CHAR(160), "")))) &amp; " Car."</f>
        <v>0 Car.</v>
      </c>
      <c r="C535" s="1376" t="str">
        <f>IF(ISBLANK(D535),"",LARGE(C13:C534,1)+1)</f>
        <v/>
      </c>
      <c r="D535" s="1833"/>
      <c r="E535" s="1810"/>
      <c r="F535" s="1810"/>
      <c r="G535" s="1810"/>
      <c r="H535" s="1810"/>
      <c r="I535" s="1810"/>
      <c r="J535" s="1810"/>
      <c r="K535" s="1810"/>
      <c r="L535" s="1811"/>
      <c r="M535"/>
      <c r="N535" s="103" t="str">
        <f t="shared" si="200"/>
        <v>►</v>
      </c>
      <c r="O535" s="1616"/>
      <c r="P535"/>
      <c r="Q535" s="25" t="s">
        <v>15</v>
      </c>
      <c r="R535" s="31"/>
      <c r="S535" s="32"/>
      <c r="T535" s="31"/>
      <c r="U535" s="33"/>
      <c r="V535" s="1967"/>
      <c r="W535" s="1805"/>
      <c r="X535" s="91"/>
      <c r="Y535" s="1806"/>
      <c r="Z535" s="1968"/>
      <c r="AA535" s="2244"/>
      <c r="AB535" s="1969"/>
      <c r="AC535" s="1365"/>
      <c r="AD535" s="95"/>
      <c r="AE535" s="1326"/>
      <c r="AF535" s="97"/>
      <c r="AG535" s="1737"/>
      <c r="AH535" s="1970"/>
      <c r="AI535" s="99"/>
      <c r="AJ535" s="1809"/>
      <c r="AK535" s="6120" t="str">
        <f t="shared" si="201"/>
        <v>►</v>
      </c>
      <c r="AL535" s="781" t="str">
        <f t="shared" ref="AL535:AL550" si="203">IF(OR(AU535&gt;0,TRIM(AM535)="▼ recette suivante"),"A","►")</f>
        <v>►</v>
      </c>
      <c r="AM535" s="5499" t="str">
        <f t="shared" si="185"/>
        <v/>
      </c>
      <c r="AN535" s="783" t="str">
        <f t="shared" si="186"/>
        <v/>
      </c>
      <c r="AO535" s="782" t="str">
        <f t="shared" si="187"/>
        <v/>
      </c>
      <c r="AP535" s="783" t="str">
        <f t="shared" si="188"/>
        <v/>
      </c>
      <c r="AQ535" s="2083" t="b">
        <f>AND(Q535="A",COUNTIF(BP16:BR63,TRIM(Z535))&gt;0)</f>
        <v>0</v>
      </c>
      <c r="AR535" s="797" t="str">
        <f>IF(AL535&lt;&gt;"A","",IFERROR(IFERROR(_xlfn.XLOOKUP(TRIM(SUBSTITUTE(Z535,CHAR(160)," ")),BP16:BP63,BS16:BS63),IFERROR(_xlfn.XLOOKUP(TRIM(SUBSTITUTE(Z535,CHAR(160)," ")),BQ16:BQ63,BS16:BS63),_xlfn.XLOOKUP(TRIM(SUBSTITUTE(Z535,CHAR(160)," ")),BR16:BR63,BS16:BS63)))*Y535*IF(ISBLANK(V535),1,V535),0))</f>
        <v/>
      </c>
      <c r="AS535" s="784" t="str">
        <f t="shared" si="199"/>
        <v/>
      </c>
      <c r="AT535" s="1315" t="str">
        <f t="shared" si="189"/>
        <v/>
      </c>
      <c r="AU535" s="785">
        <f t="shared" si="190"/>
        <v>0</v>
      </c>
      <c r="AV535" s="785">
        <f t="shared" si="191"/>
        <v>0</v>
      </c>
      <c r="AW535" s="786">
        <f>IF(AK535="A",AY10,0)</f>
        <v>0</v>
      </c>
      <c r="AX535" s="5495" t="str">
        <f>IF(IFERROR(SEARCH("Adresse PC",TRIM(W535)),0)&gt;0,"▼ receta siguiente",IF(AK535="A",IF(AZ10&lt;&gt;"",AZ10&amp;" - ou.or.o ❾ + or - &gt;",""),""))</f>
        <v/>
      </c>
      <c r="AY535" s="810"/>
      <c r="AZ535" s="810"/>
      <c r="BA535" s="788" t="str">
        <f t="shared" si="202"/>
        <v/>
      </c>
      <c r="BB535" s="789" t="str">
        <f>IF(AK535="A",IF(AQ535,IF(AND(AW535&lt;&gt;"",N(AW535)&gt;0),IFERROR(IFERROR(_xlfn.XLOOKUP(AP535,BP10:BP57,BT10:BT57),IFERROR(_xlfn.XLOOKUP(AP535,BQ10:BQ57,BT10:BT57),_xlfn.XLOOKUP(AP535,BR10:BR57,BT10:BT57,""))),""),""),""),"")</f>
        <v/>
      </c>
      <c r="BC535" s="811" cm="1">
        <f t="array" ref="BC535">IF(NOT(AQ535),0,IF(OR(BA535="",N(BA535)&lt;=0.000000001),"",IF(OR(AU535="",N(AU535)&lt;=0.000000001),0,IF(ISNUMBER(BA535),IFERROR(_xlfn.LET(_xlpm.ai_test,TRIM(AP535),_xlpm.r,IFERROR(_xlfn.XLOOKUP(_xlpm.ai_test,BP16:BP63,ROW(BP16:BP63),0,1),IFERROR(_xlfn.XLOOKUP(_xlpm.ai_test,BQ16:BQ63,ROW(BQ16:BQ63),0,1),_xlfn.XLOOKUP(_xlpm.ai_test,BR16:BR63,ROW(BR16:BR63),0,1))),_xlpm.p,_xlpm.r-MIN(ROW(BP16:BP63))+1,_xlpm.f,INDEX(BS16:BS63,_xlpm.p),_xlpm.u,INDEX(BT16:BT63,_xlpm.p),_xlpm.s,INDEX(BV16:BV63,_xlpm.p),_xlpm.q,N(BA535)/_xlpm.f,IF(_xlpm.q&gt;=_xlpm.s,ROUND(_xlpm.q,1)&amp;" "&amp;_xlpm.ai_test&amp;" = "&amp;ROUND(_xlpm.q*_xlpm.f,1)&amp;" "&amp;_xlpm.u,ROUND(_xlpm.q,1)&amp;" "&amp;_xlpm.ai_test)),""),""))))</f>
        <v>0</v>
      </c>
      <c r="BD535" s="801"/>
      <c r="BE535" s="788" t="str">
        <f t="shared" si="192"/>
        <v/>
      </c>
      <c r="BF535" s="789" t="str">
        <f t="shared" si="193"/>
        <v/>
      </c>
      <c r="BG535" s="790">
        <f t="shared" si="196"/>
        <v>0</v>
      </c>
      <c r="BH535" s="791" t="str">
        <f t="shared" si="197"/>
        <v/>
      </c>
      <c r="BI535" s="792"/>
      <c r="BJ535" s="793">
        <f t="shared" si="195"/>
        <v>0</v>
      </c>
      <c r="BK535" s="794" t="str">
        <f t="shared" si="194"/>
        <v/>
      </c>
      <c r="BL535" s="227" t="s">
        <v>21</v>
      </c>
      <c r="BM535" s="773">
        <f t="shared" ref="BM535:BM550" si="204">IFERROR(_xlfn.LET(_xlpm.EPS,0.000000001,_xlpm.b,V535/AU535,IF(ISNUMBER(AY535),_xlpm.b*AY535,IF(OR(ISBLANK(AY535),AY535=""),_xlpm.b*AW535,IF(AND(BN535=0,ISNUMBER(V535)),_xlpm.b/AW535,0)))),0)</f>
        <v>0</v>
      </c>
      <c r="BN535" s="774">
        <f t="shared" ref="BN535:BN550" si="205">IF(AR535&gt;0,IFERROR(IF(OR(ISBLANK(AY535),AY535=""),AW535,AY535)/AU535,0),0)</f>
        <v>0</v>
      </c>
      <c r="BO535"/>
      <c r="BX535"/>
      <c r="BY535"/>
      <c r="BZ535"/>
      <c r="CA535"/>
      <c r="CB535"/>
      <c r="CC535"/>
      <c r="CD535" s="781" t="str">
        <f t="shared" si="198"/>
        <v>►</v>
      </c>
      <c r="CE535" s="633"/>
      <c r="CF535" s="633"/>
      <c r="CG535" s="633"/>
      <c r="CH535" s="633"/>
      <c r="CI535" s="633"/>
      <c r="CJ535" s="227"/>
      <c r="CK535"/>
      <c r="CL535"/>
      <c r="CM535"/>
      <c r="CN535"/>
      <c r="CO535"/>
      <c r="CP535"/>
      <c r="CQ535"/>
      <c r="CR535" s="227"/>
      <c r="CS535"/>
      <c r="CT535"/>
      <c r="CU535"/>
      <c r="CV535"/>
      <c r="CW535"/>
      <c r="CX535"/>
      <c r="CY535"/>
      <c r="CZ535" s="227"/>
      <c r="DA535"/>
      <c r="DB535"/>
      <c r="DC535"/>
      <c r="DD535"/>
      <c r="DE535"/>
      <c r="DF535"/>
      <c r="DG535"/>
      <c r="DH535" s="227"/>
      <c r="DI535" s="3">
        <v>1</v>
      </c>
    </row>
    <row r="536" spans="2:113" s="627" customFormat="1" ht="21" customHeight="1">
      <c r="B536" s="2265" t="str" cm="1">
        <f t="array" ref="B536">SUMPRODUCT(--(D536:J536&lt;&gt;""), LEN(TRIM(SUBSTITUTE(D536:J536, CHAR(160), "")))) &amp; " Car."</f>
        <v>0 Car.</v>
      </c>
      <c r="C536" s="1376" t="str">
        <f>IF(ISBLANK(D536),"",LARGE(C13:C535,1)+1)</f>
        <v/>
      </c>
      <c r="D536" s="1833"/>
      <c r="E536" s="1810"/>
      <c r="F536" s="1810"/>
      <c r="G536" s="1810"/>
      <c r="H536" s="1810"/>
      <c r="I536" s="1810"/>
      <c r="J536" s="1810"/>
      <c r="K536" s="1810"/>
      <c r="L536" s="1811"/>
      <c r="M536"/>
      <c r="N536" s="103" t="str">
        <f t="shared" si="200"/>
        <v>►</v>
      </c>
      <c r="O536" s="1616"/>
      <c r="P536"/>
      <c r="Q536" s="25" t="s">
        <v>15</v>
      </c>
      <c r="R536" s="31"/>
      <c r="S536" s="32"/>
      <c r="T536" s="31"/>
      <c r="U536" s="33"/>
      <c r="V536" s="1967"/>
      <c r="W536" s="1805"/>
      <c r="X536" s="91"/>
      <c r="Y536" s="1806"/>
      <c r="Z536" s="1968"/>
      <c r="AA536" s="2244"/>
      <c r="AB536" s="1969"/>
      <c r="AC536" s="1365"/>
      <c r="AD536" s="95"/>
      <c r="AE536" s="1326"/>
      <c r="AF536" s="97"/>
      <c r="AG536" s="1737"/>
      <c r="AH536" s="1970"/>
      <c r="AI536" s="99"/>
      <c r="AJ536" s="1809"/>
      <c r="AK536" s="6120" t="str">
        <f t="shared" si="201"/>
        <v>►</v>
      </c>
      <c r="AL536" s="781" t="str">
        <f t="shared" si="203"/>
        <v>►</v>
      </c>
      <c r="AM536" s="5498" t="str">
        <f t="shared" ref="AM536:AM550" si="206">IF(IFERROR(SEARCH("Adresse PC",TRIM(SUBSTITUTE(W536,CHAR(160)," "))),0)&gt;0,"▼ recette suivante",IF(AK536="A",R536,""))</f>
        <v/>
      </c>
      <c r="AN536" s="783" t="str">
        <f t="shared" ref="AN536:AN550" si="207">IF(AK536="A",S536,"")</f>
        <v/>
      </c>
      <c r="AO536" s="782" t="str">
        <f t="shared" ref="AO536:AO550" si="208">IF(AK536="A",T536,"")</f>
        <v/>
      </c>
      <c r="AP536" s="783" t="str">
        <f t="shared" ref="AP536:AP550" si="209">IF(AK536="A",Z536,"")</f>
        <v/>
      </c>
      <c r="AQ536" s="2083" t="b">
        <f>AND(Q536="A",COUNTIF(BP16:BR63,TRIM(Z536))&gt;0)</f>
        <v>0</v>
      </c>
      <c r="AR536" s="797" t="str">
        <f>IF(AL536&lt;&gt;"A","",IFERROR(IFERROR(_xlfn.XLOOKUP(TRIM(SUBSTITUTE(Z536,CHAR(160)," ")),BP16:BP63,BS16:BS63),IFERROR(_xlfn.XLOOKUP(TRIM(SUBSTITUTE(Z536,CHAR(160)," ")),BQ16:BQ63,BS16:BS63),_xlfn.XLOOKUP(TRIM(SUBSTITUTE(Z536,CHAR(160)," ")),BR16:BR63,BS16:BS63)))*Y536*IF(ISBLANK(V536),1,V536),0))</f>
        <v/>
      </c>
      <c r="AS536" s="784" t="str">
        <f t="shared" si="199"/>
        <v/>
      </c>
      <c r="AT536" s="1315" t="str">
        <f t="shared" ref="AT536:AT550" si="210">IF(AK536="A","❾ Author reference &gt;","")</f>
        <v/>
      </c>
      <c r="AU536" s="785">
        <f t="shared" ref="AU536:AU550" si="211">IF(AK536="A",S536,0)</f>
        <v>0</v>
      </c>
      <c r="AV536" s="785">
        <f t="shared" ref="AV536:AV550" si="212">IF(AK536="A",T536,0)</f>
        <v>0</v>
      </c>
      <c r="AW536" s="798">
        <f>IF(AK536="A",AY10,0)</f>
        <v>0</v>
      </c>
      <c r="AX536" s="5496" t="str">
        <f>IF(IFERROR(SEARCH("Adresse PC",TRIM(W536)),0)&gt;0,"▼ receta siguiente",IF(AK536="A",IF(AZ10&lt;&gt;"",AZ10&amp;" - ou.or.o ❾ + or - &gt;",""),""))</f>
        <v/>
      </c>
      <c r="AY536" s="810"/>
      <c r="AZ536" s="810"/>
      <c r="BA536" s="799" t="str">
        <f t="shared" si="202"/>
        <v/>
      </c>
      <c r="BB536" s="800" t="str">
        <f>IF(AK536="A",IF(AQ536,IF(AND(AW536&lt;&gt;"",N(AW536)&gt;0),IFERROR(IFERROR(_xlfn.XLOOKUP(AP536,BP10:BP57,BT10:BT57),IFERROR(_xlfn.XLOOKUP(AP536,BQ10:BQ57,BT10:BT57),_xlfn.XLOOKUP(AP536,BR10:BR57,BT10:BT57,""))),""),""),""),"")</f>
        <v/>
      </c>
      <c r="BC536" s="813" cm="1">
        <f t="array" ref="BC536">IF(NOT(AQ536),0,IF(OR(BA536="",N(BA536)&lt;=0.000000001),"",IF(OR(AU536="",N(AU536)&lt;=0.000000001),0,IF(ISNUMBER(BA536),IFERROR(_xlfn.LET(_xlpm.ai_test,TRIM(AP536),_xlpm.r,IFERROR(_xlfn.XLOOKUP(_xlpm.ai_test,BP16:BP63,ROW(BP16:BP63),0,1),IFERROR(_xlfn.XLOOKUP(_xlpm.ai_test,BQ16:BQ63,ROW(BQ16:BQ63),0,1),_xlfn.XLOOKUP(_xlpm.ai_test,BR16:BR63,ROW(BR16:BR63),0,1))),_xlpm.p,_xlpm.r-MIN(ROW(BP16:BP63))+1,_xlpm.f,INDEX(BS16:BS63,_xlpm.p),_xlpm.u,INDEX(BT16:BT63,_xlpm.p),_xlpm.s,INDEX(BV16:BV63,_xlpm.p),_xlpm.q,N(BA536)/_xlpm.f,IF(_xlpm.q&gt;=_xlpm.s,ROUND(_xlpm.q,1)&amp;" "&amp;_xlpm.ai_test&amp;" = "&amp;ROUND(_xlpm.q*_xlpm.f,1)&amp;" "&amp;_xlpm.u,ROUND(_xlpm.q,1)&amp;" "&amp;_xlpm.ai_test)),""),""))))</f>
        <v>0</v>
      </c>
      <c r="BD536" s="801"/>
      <c r="BE536" s="799" t="str">
        <f t="shared" ref="BE536:BE550" si="213">IF(IFERROR(SEARCH("Adresse PC",TRIM(W536)),0)&gt;0,"▼next ricipe ",IF(BA536="","",IF(AK536="A",IF(ISBLANK(BD536),BA536,ROUND(BA536*(1-MIN(1,MAX(0,IF(BD536&gt;1,BD536/100,BD536)))),3)))))</f>
        <v/>
      </c>
      <c r="BF536" s="800" t="str">
        <f t="shared" ref="BF536:BF550" si="214">IF(AQ536,BB536,"")</f>
        <v/>
      </c>
      <c r="BG536" s="802">
        <f t="shared" si="196"/>
        <v>0</v>
      </c>
      <c r="BH536" s="803" t="str">
        <f t="shared" si="197"/>
        <v/>
      </c>
      <c r="BI536" s="792"/>
      <c r="BJ536" s="804">
        <f t="shared" si="195"/>
        <v>0</v>
      </c>
      <c r="BK536" s="794" t="str">
        <f t="shared" ref="BK536:BK550" si="215">IF(AK536="A",IF(IFERROR(SEARCH("Adresse PC",TRIM(W536)),0)&gt;0,"▼recette suivante ",IF(BE536&gt;0,AC536,"")),"")</f>
        <v/>
      </c>
      <c r="BL536" s="227" t="s">
        <v>21</v>
      </c>
      <c r="BM536" s="773">
        <f t="shared" si="204"/>
        <v>0</v>
      </c>
      <c r="BN536" s="774">
        <f t="shared" si="205"/>
        <v>0</v>
      </c>
      <c r="BO536"/>
      <c r="BX536"/>
      <c r="BY536"/>
      <c r="BZ536"/>
      <c r="CA536"/>
      <c r="CB536"/>
      <c r="CC536"/>
      <c r="CD536" s="781" t="str">
        <f t="shared" si="198"/>
        <v>►</v>
      </c>
      <c r="CE536" s="633"/>
      <c r="CF536" s="633"/>
      <c r="CG536" s="633"/>
      <c r="CH536" s="633"/>
      <c r="CI536" s="633"/>
      <c r="CJ536" s="227"/>
      <c r="CK536"/>
      <c r="CL536"/>
      <c r="CM536"/>
      <c r="CN536"/>
      <c r="CO536"/>
      <c r="CP536"/>
      <c r="CQ536"/>
      <c r="CR536" s="227"/>
      <c r="CS536"/>
      <c r="CT536"/>
      <c r="CU536"/>
      <c r="CV536"/>
      <c r="CW536"/>
      <c r="CX536"/>
      <c r="CY536"/>
      <c r="CZ536" s="227"/>
      <c r="DA536"/>
      <c r="DB536"/>
      <c r="DC536"/>
      <c r="DD536"/>
      <c r="DE536"/>
      <c r="DF536"/>
      <c r="DG536"/>
      <c r="DH536" s="227"/>
      <c r="DI536" s="3">
        <v>1</v>
      </c>
    </row>
    <row r="537" spans="2:113" s="627" customFormat="1" ht="21" customHeight="1">
      <c r="B537" s="2265" t="str" cm="1">
        <f t="array" ref="B537">SUMPRODUCT(--(D537:J537&lt;&gt;""), LEN(TRIM(SUBSTITUTE(D537:J537, CHAR(160), "")))) &amp; " Car."</f>
        <v>0 Car.</v>
      </c>
      <c r="C537" s="1376" t="str">
        <f>IF(ISBLANK(D537),"",LARGE(C13:C536,1)+1)</f>
        <v/>
      </c>
      <c r="D537" s="1833"/>
      <c r="E537" s="1810"/>
      <c r="F537" s="1810"/>
      <c r="G537" s="1810"/>
      <c r="H537" s="1810"/>
      <c r="I537" s="1810"/>
      <c r="J537" s="1810"/>
      <c r="K537" s="1810"/>
      <c r="L537" s="1811"/>
      <c r="M537"/>
      <c r="N537" s="103" t="str">
        <f t="shared" si="200"/>
        <v>►</v>
      </c>
      <c r="O537" s="1616"/>
      <c r="P537"/>
      <c r="Q537" s="25" t="s">
        <v>15</v>
      </c>
      <c r="R537" s="31"/>
      <c r="S537" s="32"/>
      <c r="T537" s="31"/>
      <c r="U537" s="33"/>
      <c r="V537" s="1967"/>
      <c r="W537" s="1805"/>
      <c r="X537" s="91"/>
      <c r="Y537" s="1806"/>
      <c r="Z537" s="1968"/>
      <c r="AA537" s="2244"/>
      <c r="AB537" s="1969"/>
      <c r="AC537" s="1365"/>
      <c r="AD537" s="95"/>
      <c r="AE537" s="1326"/>
      <c r="AF537" s="97"/>
      <c r="AG537" s="1737"/>
      <c r="AH537" s="1970"/>
      <c r="AI537" s="99"/>
      <c r="AJ537" s="1809"/>
      <c r="AK537" s="6120" t="str">
        <f t="shared" si="201"/>
        <v>►</v>
      </c>
      <c r="AL537" s="781" t="str">
        <f t="shared" si="203"/>
        <v>►</v>
      </c>
      <c r="AM537" s="5499" t="str">
        <f t="shared" si="206"/>
        <v/>
      </c>
      <c r="AN537" s="783" t="str">
        <f t="shared" si="207"/>
        <v/>
      </c>
      <c r="AO537" s="782" t="str">
        <f t="shared" si="208"/>
        <v/>
      </c>
      <c r="AP537" s="783" t="str">
        <f t="shared" si="209"/>
        <v/>
      </c>
      <c r="AQ537" s="2083" t="b">
        <f>AND(Q537="A",COUNTIF(BP16:BR63,TRIM(Z537))&gt;0)</f>
        <v>0</v>
      </c>
      <c r="AR537" s="797" t="str">
        <f>IF(AL537&lt;&gt;"A","",IFERROR(IFERROR(_xlfn.XLOOKUP(TRIM(SUBSTITUTE(Z537,CHAR(160)," ")),BP16:BP63,BS16:BS63),IFERROR(_xlfn.XLOOKUP(TRIM(SUBSTITUTE(Z537,CHAR(160)," ")),BQ16:BQ63,BS16:BS63),_xlfn.XLOOKUP(TRIM(SUBSTITUTE(Z537,CHAR(160)," ")),BR16:BR63,BS16:BS63)))*Y537*IF(ISBLANK(V537),1,V537),0))</f>
        <v/>
      </c>
      <c r="AS537" s="784" t="str">
        <f t="shared" si="199"/>
        <v/>
      </c>
      <c r="AT537" s="1315" t="str">
        <f t="shared" si="210"/>
        <v/>
      </c>
      <c r="AU537" s="785">
        <f t="shared" si="211"/>
        <v>0</v>
      </c>
      <c r="AV537" s="785">
        <f t="shared" si="212"/>
        <v>0</v>
      </c>
      <c r="AW537" s="786">
        <f>IF(AK537="A",AY10,0)</f>
        <v>0</v>
      </c>
      <c r="AX537" s="5495" t="str">
        <f>IF(IFERROR(SEARCH("Adresse PC",TRIM(W537)),0)&gt;0,"▼ receta siguiente",IF(AK537="A",IF(AZ10&lt;&gt;"",AZ10&amp;" - ou.or.o ❾ + or - &gt;",""),""))</f>
        <v/>
      </c>
      <c r="AY537" s="810"/>
      <c r="AZ537" s="810"/>
      <c r="BA537" s="788" t="str">
        <f t="shared" si="202"/>
        <v/>
      </c>
      <c r="BB537" s="789" t="str">
        <f>IF(AK537="A",IF(AQ537,IF(AND(AW537&lt;&gt;"",N(AW537)&gt;0),IFERROR(IFERROR(_xlfn.XLOOKUP(AP537,BP10:BP57,BT10:BT57),IFERROR(_xlfn.XLOOKUP(AP537,BQ10:BQ57,BT10:BT57),_xlfn.XLOOKUP(AP537,BR10:BR57,BT10:BT57,""))),""),""),""),"")</f>
        <v/>
      </c>
      <c r="BC537" s="811" cm="1">
        <f t="array" ref="BC537">IF(NOT(AQ537),0,IF(OR(BA537="",N(BA537)&lt;=0.000000001),"",IF(OR(AU537="",N(AU537)&lt;=0.000000001),0,IF(ISNUMBER(BA537),IFERROR(_xlfn.LET(_xlpm.ai_test,TRIM(AP537),_xlpm.r,IFERROR(_xlfn.XLOOKUP(_xlpm.ai_test,BP16:BP63,ROW(BP16:BP63),0,1),IFERROR(_xlfn.XLOOKUP(_xlpm.ai_test,BQ16:BQ63,ROW(BQ16:BQ63),0,1),_xlfn.XLOOKUP(_xlpm.ai_test,BR16:BR63,ROW(BR16:BR63),0,1))),_xlpm.p,_xlpm.r-MIN(ROW(BP16:BP63))+1,_xlpm.f,INDEX(BS16:BS63,_xlpm.p),_xlpm.u,INDEX(BT16:BT63,_xlpm.p),_xlpm.s,INDEX(BV16:BV63,_xlpm.p),_xlpm.q,N(BA537)/_xlpm.f,IF(_xlpm.q&gt;=_xlpm.s,ROUND(_xlpm.q,1)&amp;" "&amp;_xlpm.ai_test&amp;" = "&amp;ROUND(_xlpm.q*_xlpm.f,1)&amp;" "&amp;_xlpm.u,ROUND(_xlpm.q,1)&amp;" "&amp;_xlpm.ai_test)),""),""))))</f>
        <v>0</v>
      </c>
      <c r="BD537" s="801"/>
      <c r="BE537" s="788" t="str">
        <f t="shared" si="213"/>
        <v/>
      </c>
      <c r="BF537" s="789" t="str">
        <f t="shared" si="214"/>
        <v/>
      </c>
      <c r="BG537" s="790">
        <f t="shared" si="196"/>
        <v>0</v>
      </c>
      <c r="BH537" s="791" t="str">
        <f t="shared" si="197"/>
        <v/>
      </c>
      <c r="BI537" s="792"/>
      <c r="BJ537" s="793">
        <f t="shared" si="195"/>
        <v>0</v>
      </c>
      <c r="BK537" s="794" t="str">
        <f t="shared" si="215"/>
        <v/>
      </c>
      <c r="BL537" s="227" t="s">
        <v>21</v>
      </c>
      <c r="BM537" s="773">
        <f t="shared" si="204"/>
        <v>0</v>
      </c>
      <c r="BN537" s="774">
        <f t="shared" si="205"/>
        <v>0</v>
      </c>
      <c r="BO537"/>
      <c r="BX537"/>
      <c r="BY537"/>
      <c r="BZ537"/>
      <c r="CA537"/>
      <c r="CB537"/>
      <c r="CC537"/>
      <c r="CD537" s="781" t="str">
        <f t="shared" si="198"/>
        <v>►</v>
      </c>
      <c r="CE537" s="633"/>
      <c r="CF537" s="633"/>
      <c r="CG537" s="633"/>
      <c r="CH537" s="633"/>
      <c r="CI537" s="633"/>
      <c r="CJ537" s="227"/>
      <c r="CK537"/>
      <c r="CL537"/>
      <c r="CM537"/>
      <c r="CN537"/>
      <c r="CO537"/>
      <c r="CP537"/>
      <c r="CQ537"/>
      <c r="CR537" s="227"/>
      <c r="CS537"/>
      <c r="CT537"/>
      <c r="CU537"/>
      <c r="CV537"/>
      <c r="CW537"/>
      <c r="CX537"/>
      <c r="CY537"/>
      <c r="CZ537" s="227"/>
      <c r="DA537"/>
      <c r="DB537"/>
      <c r="DC537"/>
      <c r="DD537"/>
      <c r="DE537"/>
      <c r="DF537"/>
      <c r="DG537"/>
      <c r="DH537" s="227"/>
      <c r="DI537" s="3">
        <v>1</v>
      </c>
    </row>
    <row r="538" spans="2:113" s="627" customFormat="1" ht="21" customHeight="1">
      <c r="B538" s="2265" t="str" cm="1">
        <f t="array" ref="B538">SUMPRODUCT(--(D538:J538&lt;&gt;""), LEN(TRIM(SUBSTITUTE(D538:J538, CHAR(160), "")))) &amp; " Car."</f>
        <v>0 Car.</v>
      </c>
      <c r="C538" s="1376" t="str">
        <f>IF(ISBLANK(D538),"",LARGE(C13:C537,1)+1)</f>
        <v/>
      </c>
      <c r="D538" s="1833"/>
      <c r="E538" s="1810"/>
      <c r="F538" s="1810"/>
      <c r="G538" s="1810"/>
      <c r="H538" s="1810"/>
      <c r="I538" s="1810"/>
      <c r="J538" s="1810"/>
      <c r="K538" s="1810"/>
      <c r="L538" s="1811"/>
      <c r="M538"/>
      <c r="N538" s="103" t="str">
        <f t="shared" si="200"/>
        <v>►</v>
      </c>
      <c r="O538" s="1616"/>
      <c r="P538"/>
      <c r="Q538" s="25" t="s">
        <v>15</v>
      </c>
      <c r="R538" s="31"/>
      <c r="S538" s="32"/>
      <c r="T538" s="31"/>
      <c r="U538" s="33"/>
      <c r="V538" s="1967"/>
      <c r="W538" s="1805"/>
      <c r="X538" s="91"/>
      <c r="Y538" s="1806"/>
      <c r="Z538" s="1968"/>
      <c r="AA538" s="2244"/>
      <c r="AB538" s="1969"/>
      <c r="AC538" s="1365"/>
      <c r="AD538" s="95"/>
      <c r="AE538" s="1326"/>
      <c r="AF538" s="97"/>
      <c r="AG538" s="1737"/>
      <c r="AH538" s="1970"/>
      <c r="AI538" s="99"/>
      <c r="AJ538" s="1809"/>
      <c r="AK538" s="6120" t="str">
        <f t="shared" si="201"/>
        <v>►</v>
      </c>
      <c r="AL538" s="781" t="str">
        <f t="shared" si="203"/>
        <v>►</v>
      </c>
      <c r="AM538" s="5498" t="str">
        <f t="shared" si="206"/>
        <v/>
      </c>
      <c r="AN538" s="783" t="str">
        <f t="shared" si="207"/>
        <v/>
      </c>
      <c r="AO538" s="782" t="str">
        <f t="shared" si="208"/>
        <v/>
      </c>
      <c r="AP538" s="783" t="str">
        <f t="shared" si="209"/>
        <v/>
      </c>
      <c r="AQ538" s="2083" t="b">
        <f>AND(Q538="A",COUNTIF(BP16:BR63,TRIM(Z538))&gt;0)</f>
        <v>0</v>
      </c>
      <c r="AR538" s="797" t="str">
        <f>IF(AL538&lt;&gt;"A","",IFERROR(IFERROR(_xlfn.XLOOKUP(TRIM(SUBSTITUTE(Z538,CHAR(160)," ")),BP16:BP63,BS16:BS63),IFERROR(_xlfn.XLOOKUP(TRIM(SUBSTITUTE(Z538,CHAR(160)," ")),BQ16:BQ63,BS16:BS63),_xlfn.XLOOKUP(TRIM(SUBSTITUTE(Z538,CHAR(160)," ")),BR16:BR63,BS16:BS63)))*Y538*IF(ISBLANK(V538),1,V538),0))</f>
        <v/>
      </c>
      <c r="AS538" s="784" t="str">
        <f t="shared" si="199"/>
        <v/>
      </c>
      <c r="AT538" s="1315" t="str">
        <f t="shared" si="210"/>
        <v/>
      </c>
      <c r="AU538" s="785">
        <f t="shared" si="211"/>
        <v>0</v>
      </c>
      <c r="AV538" s="785">
        <f t="shared" si="212"/>
        <v>0</v>
      </c>
      <c r="AW538" s="798">
        <f>IF(AK538="A",AY10,0)</f>
        <v>0</v>
      </c>
      <c r="AX538" s="5496" t="str">
        <f>IF(IFERROR(SEARCH("Adresse PC",TRIM(W538)),0)&gt;0,"▼ receta siguiente",IF(AK538="A",IF(AZ10&lt;&gt;"",AZ10&amp;" - ou.or.o ❾ + or - &gt;",""),""))</f>
        <v/>
      </c>
      <c r="AY538" s="810"/>
      <c r="AZ538" s="810"/>
      <c r="BA538" s="799" t="str">
        <f t="shared" si="202"/>
        <v/>
      </c>
      <c r="BB538" s="800" t="str">
        <f>IF(AK538="A",IF(AQ538,IF(AND(AW538&lt;&gt;"",N(AW538)&gt;0),IFERROR(IFERROR(_xlfn.XLOOKUP(AP538,BP10:BP57,BT10:BT57),IFERROR(_xlfn.XLOOKUP(AP538,BQ10:BQ57,BT10:BT57),_xlfn.XLOOKUP(AP538,BR10:BR57,BT10:BT57,""))),""),""),""),"")</f>
        <v/>
      </c>
      <c r="BC538" s="813" cm="1">
        <f t="array" ref="BC538">IF(NOT(AQ538),0,IF(OR(BA538="",N(BA538)&lt;=0.000000001),"",IF(OR(AU538="",N(AU538)&lt;=0.000000001),0,IF(ISNUMBER(BA538),IFERROR(_xlfn.LET(_xlpm.ai_test,TRIM(AP538),_xlpm.r,IFERROR(_xlfn.XLOOKUP(_xlpm.ai_test,BP16:BP63,ROW(BP16:BP63),0,1),IFERROR(_xlfn.XLOOKUP(_xlpm.ai_test,BQ16:BQ63,ROW(BQ16:BQ63),0,1),_xlfn.XLOOKUP(_xlpm.ai_test,BR16:BR63,ROW(BR16:BR63),0,1))),_xlpm.p,_xlpm.r-MIN(ROW(BP16:BP63))+1,_xlpm.f,INDEX(BS16:BS63,_xlpm.p),_xlpm.u,INDEX(BT16:BT63,_xlpm.p),_xlpm.s,INDEX(BV16:BV63,_xlpm.p),_xlpm.q,N(BA538)/_xlpm.f,IF(_xlpm.q&gt;=_xlpm.s,ROUND(_xlpm.q,1)&amp;" "&amp;_xlpm.ai_test&amp;" = "&amp;ROUND(_xlpm.q*_xlpm.f,1)&amp;" "&amp;_xlpm.u,ROUND(_xlpm.q,1)&amp;" "&amp;_xlpm.ai_test)),""),""))))</f>
        <v>0</v>
      </c>
      <c r="BD538" s="801"/>
      <c r="BE538" s="799" t="str">
        <f t="shared" si="213"/>
        <v/>
      </c>
      <c r="BF538" s="800" t="str">
        <f t="shared" si="214"/>
        <v/>
      </c>
      <c r="BG538" s="802">
        <f t="shared" si="196"/>
        <v>0</v>
      </c>
      <c r="BH538" s="803" t="str">
        <f t="shared" si="197"/>
        <v/>
      </c>
      <c r="BI538" s="792"/>
      <c r="BJ538" s="804">
        <f t="shared" si="195"/>
        <v>0</v>
      </c>
      <c r="BK538" s="794" t="str">
        <f t="shared" si="215"/>
        <v/>
      </c>
      <c r="BL538" s="227" t="s">
        <v>21</v>
      </c>
      <c r="BM538" s="773">
        <f t="shared" si="204"/>
        <v>0</v>
      </c>
      <c r="BN538" s="774">
        <f t="shared" si="205"/>
        <v>0</v>
      </c>
      <c r="BO538"/>
      <c r="BX538"/>
      <c r="BY538"/>
      <c r="BZ538"/>
      <c r="CA538"/>
      <c r="CB538"/>
      <c r="CC538"/>
      <c r="CD538" s="781" t="str">
        <f t="shared" si="198"/>
        <v>►</v>
      </c>
      <c r="CE538" s="633"/>
      <c r="CF538" s="633"/>
      <c r="CG538" s="633"/>
      <c r="CH538" s="633"/>
      <c r="CI538" s="633"/>
      <c r="CJ538" s="227"/>
      <c r="CK538"/>
      <c r="CL538"/>
      <c r="CM538"/>
      <c r="CN538"/>
      <c r="CO538"/>
      <c r="CP538"/>
      <c r="CQ538"/>
      <c r="CR538" s="227"/>
      <c r="CS538"/>
      <c r="CT538"/>
      <c r="CU538"/>
      <c r="CV538"/>
      <c r="CW538"/>
      <c r="CX538"/>
      <c r="CY538"/>
      <c r="CZ538" s="227"/>
      <c r="DA538"/>
      <c r="DB538"/>
      <c r="DC538"/>
      <c r="DD538"/>
      <c r="DE538"/>
      <c r="DF538"/>
      <c r="DG538"/>
      <c r="DH538" s="227"/>
      <c r="DI538" s="3">
        <v>1</v>
      </c>
    </row>
    <row r="539" spans="2:113" s="627" customFormat="1" ht="21" customHeight="1">
      <c r="B539" s="2265" t="str" cm="1">
        <f t="array" ref="B539">SUMPRODUCT(--(D539:J539&lt;&gt;""), LEN(TRIM(SUBSTITUTE(D539:J539, CHAR(160), "")))) &amp; " Car."</f>
        <v>0 Car.</v>
      </c>
      <c r="C539" s="1376" t="str">
        <f>IF(ISBLANK(D539),"",LARGE(C13:C538,1)+1)</f>
        <v/>
      </c>
      <c r="D539" s="1833"/>
      <c r="E539" s="1810"/>
      <c r="F539" s="1810"/>
      <c r="G539" s="1810"/>
      <c r="H539" s="1810"/>
      <c r="I539" s="1810"/>
      <c r="J539" s="1810"/>
      <c r="K539" s="1810"/>
      <c r="L539" s="1811"/>
      <c r="M539"/>
      <c r="N539" s="103" t="str">
        <f t="shared" si="200"/>
        <v>►</v>
      </c>
      <c r="O539" s="1616"/>
      <c r="P539"/>
      <c r="Q539" s="25" t="s">
        <v>15</v>
      </c>
      <c r="R539" s="31"/>
      <c r="S539" s="32"/>
      <c r="T539" s="31"/>
      <c r="U539" s="33"/>
      <c r="V539" s="1967"/>
      <c r="W539" s="1805"/>
      <c r="X539" s="91"/>
      <c r="Y539" s="1806"/>
      <c r="Z539" s="1968"/>
      <c r="AA539" s="2244"/>
      <c r="AB539" s="1969"/>
      <c r="AC539" s="1365"/>
      <c r="AD539" s="95"/>
      <c r="AE539" s="1326"/>
      <c r="AF539" s="97"/>
      <c r="AG539" s="1737"/>
      <c r="AH539" s="1970"/>
      <c r="AI539" s="99"/>
      <c r="AJ539" s="1809"/>
      <c r="AK539" s="6120" t="str">
        <f t="shared" si="201"/>
        <v>►</v>
      </c>
      <c r="AL539" s="781" t="str">
        <f t="shared" si="203"/>
        <v>►</v>
      </c>
      <c r="AM539" s="5499" t="str">
        <f t="shared" si="206"/>
        <v/>
      </c>
      <c r="AN539" s="783" t="str">
        <f t="shared" si="207"/>
        <v/>
      </c>
      <c r="AO539" s="782" t="str">
        <f t="shared" si="208"/>
        <v/>
      </c>
      <c r="AP539" s="783" t="str">
        <f t="shared" si="209"/>
        <v/>
      </c>
      <c r="AQ539" s="2083" t="b">
        <f>AND(Q539="A",COUNTIF(BP16:BR63,TRIM(Z539))&gt;0)</f>
        <v>0</v>
      </c>
      <c r="AR539" s="797" t="str">
        <f>IF(AL539&lt;&gt;"A","",IFERROR(IFERROR(_xlfn.XLOOKUP(TRIM(SUBSTITUTE(Z539,CHAR(160)," ")),BP16:BP63,BS16:BS63),IFERROR(_xlfn.XLOOKUP(TRIM(SUBSTITUTE(Z539,CHAR(160)," ")),BQ16:BQ63,BS16:BS63),_xlfn.XLOOKUP(TRIM(SUBSTITUTE(Z539,CHAR(160)," ")),BR16:BR63,BS16:BS63)))*Y539*IF(ISBLANK(V539),1,V539),0))</f>
        <v/>
      </c>
      <c r="AS539" s="784" t="str">
        <f t="shared" si="199"/>
        <v/>
      </c>
      <c r="AT539" s="1315" t="str">
        <f t="shared" si="210"/>
        <v/>
      </c>
      <c r="AU539" s="785">
        <f t="shared" si="211"/>
        <v>0</v>
      </c>
      <c r="AV539" s="785">
        <f t="shared" si="212"/>
        <v>0</v>
      </c>
      <c r="AW539" s="786">
        <f>IF(AK539="A",AY10,0)</f>
        <v>0</v>
      </c>
      <c r="AX539" s="5495" t="str">
        <f>IF(IFERROR(SEARCH("Adresse PC",TRIM(W539)),0)&gt;0,"▼ receta siguiente",IF(AK539="A",IF(AZ10&lt;&gt;"",AZ10&amp;" - ou.or.o ❾ + or - &gt;",""),""))</f>
        <v/>
      </c>
      <c r="AY539" s="810"/>
      <c r="AZ539" s="810"/>
      <c r="BA539" s="788" t="str">
        <f t="shared" si="202"/>
        <v/>
      </c>
      <c r="BB539" s="789" t="str">
        <f>IF(AK539="A",IF(AQ539,IF(AND(AW539&lt;&gt;"",N(AW539)&gt;0),IFERROR(IFERROR(_xlfn.XLOOKUP(AP539,BP10:BP57,BT10:BT57),IFERROR(_xlfn.XLOOKUP(AP539,BQ10:BQ57,BT10:BT57),_xlfn.XLOOKUP(AP539,BR10:BR57,BT10:BT57,""))),""),""),""),"")</f>
        <v/>
      </c>
      <c r="BC539" s="811" cm="1">
        <f t="array" ref="BC539">IF(NOT(AQ539),0,IF(OR(BA539="",N(BA539)&lt;=0.000000001),"",IF(OR(AU539="",N(AU539)&lt;=0.000000001),0,IF(ISNUMBER(BA539),IFERROR(_xlfn.LET(_xlpm.ai_test,TRIM(AP539),_xlpm.r,IFERROR(_xlfn.XLOOKUP(_xlpm.ai_test,BP16:BP63,ROW(BP16:BP63),0,1),IFERROR(_xlfn.XLOOKUP(_xlpm.ai_test,BQ16:BQ63,ROW(BQ16:BQ63),0,1),_xlfn.XLOOKUP(_xlpm.ai_test,BR16:BR63,ROW(BR16:BR63),0,1))),_xlpm.p,_xlpm.r-MIN(ROW(BP16:BP63))+1,_xlpm.f,INDEX(BS16:BS63,_xlpm.p),_xlpm.u,INDEX(BT16:BT63,_xlpm.p),_xlpm.s,INDEX(BV16:BV63,_xlpm.p),_xlpm.q,N(BA539)/_xlpm.f,IF(_xlpm.q&gt;=_xlpm.s,ROUND(_xlpm.q,1)&amp;" "&amp;_xlpm.ai_test&amp;" = "&amp;ROUND(_xlpm.q*_xlpm.f,1)&amp;" "&amp;_xlpm.u,ROUND(_xlpm.q,1)&amp;" "&amp;_xlpm.ai_test)),""),""))))</f>
        <v>0</v>
      </c>
      <c r="BD539" s="801"/>
      <c r="BE539" s="788" t="str">
        <f t="shared" si="213"/>
        <v/>
      </c>
      <c r="BF539" s="789" t="str">
        <f t="shared" si="214"/>
        <v/>
      </c>
      <c r="BG539" s="790">
        <f t="shared" si="196"/>
        <v>0</v>
      </c>
      <c r="BH539" s="791" t="str">
        <f t="shared" si="197"/>
        <v/>
      </c>
      <c r="BI539" s="792"/>
      <c r="BJ539" s="793">
        <f t="shared" si="195"/>
        <v>0</v>
      </c>
      <c r="BK539" s="794" t="str">
        <f t="shared" si="215"/>
        <v/>
      </c>
      <c r="BL539" s="227" t="s">
        <v>21</v>
      </c>
      <c r="BM539" s="773">
        <f t="shared" si="204"/>
        <v>0</v>
      </c>
      <c r="BN539" s="774">
        <f t="shared" si="205"/>
        <v>0</v>
      </c>
      <c r="BO539"/>
      <c r="BX539"/>
      <c r="BY539"/>
      <c r="BZ539"/>
      <c r="CA539"/>
      <c r="CB539"/>
      <c r="CC539"/>
      <c r="CD539" s="781" t="str">
        <f t="shared" si="198"/>
        <v>►</v>
      </c>
      <c r="CE539" s="633"/>
      <c r="CF539" s="633"/>
      <c r="CG539" s="633"/>
      <c r="CH539" s="633"/>
      <c r="CI539" s="633"/>
      <c r="CJ539" s="227"/>
      <c r="CK539"/>
      <c r="CL539"/>
      <c r="CM539"/>
      <c r="CN539"/>
      <c r="CO539"/>
      <c r="CP539"/>
      <c r="CQ539"/>
      <c r="CR539" s="227"/>
      <c r="CS539"/>
      <c r="CT539"/>
      <c r="CU539"/>
      <c r="CV539"/>
      <c r="CW539"/>
      <c r="CX539"/>
      <c r="CY539"/>
      <c r="CZ539" s="227"/>
      <c r="DA539"/>
      <c r="DB539"/>
      <c r="DC539"/>
      <c r="DD539"/>
      <c r="DE539"/>
      <c r="DF539"/>
      <c r="DG539"/>
      <c r="DH539" s="227"/>
      <c r="DI539" s="3">
        <v>1</v>
      </c>
    </row>
    <row r="540" spans="2:113" s="627" customFormat="1" ht="21" customHeight="1">
      <c r="B540" s="2265" t="str" cm="1">
        <f t="array" ref="B540">SUMPRODUCT(--(D540:J540&lt;&gt;""), LEN(TRIM(SUBSTITUTE(D540:J540, CHAR(160), "")))) &amp; " Car."</f>
        <v>0 Car.</v>
      </c>
      <c r="C540" s="1376" t="str">
        <f>IF(ISBLANK(D540),"",LARGE(C13:C539,1)+1)</f>
        <v/>
      </c>
      <c r="D540" s="1833"/>
      <c r="E540" s="1810"/>
      <c r="F540" s="1810"/>
      <c r="G540" s="1810"/>
      <c r="H540" s="1810"/>
      <c r="I540" s="1810"/>
      <c r="J540" s="1810"/>
      <c r="K540" s="1810"/>
      <c r="L540" s="1811"/>
      <c r="M540"/>
      <c r="N540" s="103" t="str">
        <f t="shared" si="200"/>
        <v>►</v>
      </c>
      <c r="O540" s="1616"/>
      <c r="P540"/>
      <c r="Q540" s="25" t="s">
        <v>15</v>
      </c>
      <c r="R540" s="31"/>
      <c r="S540" s="32"/>
      <c r="T540" s="31"/>
      <c r="U540" s="33"/>
      <c r="V540" s="1967"/>
      <c r="W540" s="1805"/>
      <c r="X540" s="91"/>
      <c r="Y540" s="1806"/>
      <c r="Z540" s="1968"/>
      <c r="AA540" s="2244"/>
      <c r="AB540" s="1969"/>
      <c r="AC540" s="1365"/>
      <c r="AD540" s="95"/>
      <c r="AE540" s="1326"/>
      <c r="AF540" s="97"/>
      <c r="AG540" s="1737"/>
      <c r="AH540" s="1970"/>
      <c r="AI540" s="99"/>
      <c r="AJ540" s="1809"/>
      <c r="AK540" s="6120" t="str">
        <f t="shared" si="201"/>
        <v>►</v>
      </c>
      <c r="AL540" s="781" t="str">
        <f t="shared" si="203"/>
        <v>►</v>
      </c>
      <c r="AM540" s="5498" t="str">
        <f t="shared" si="206"/>
        <v/>
      </c>
      <c r="AN540" s="783" t="str">
        <f t="shared" si="207"/>
        <v/>
      </c>
      <c r="AO540" s="782" t="str">
        <f t="shared" si="208"/>
        <v/>
      </c>
      <c r="AP540" s="783" t="str">
        <f t="shared" si="209"/>
        <v/>
      </c>
      <c r="AQ540" s="2083" t="b">
        <f>AND(Q540="A",COUNTIF(BP16:BR63,TRIM(Z540))&gt;0)</f>
        <v>0</v>
      </c>
      <c r="AR540" s="797" t="str">
        <f>IF(AL540&lt;&gt;"A","",IFERROR(IFERROR(_xlfn.XLOOKUP(TRIM(SUBSTITUTE(Z540,CHAR(160)," ")),BP16:BP63,BS16:BS63),IFERROR(_xlfn.XLOOKUP(TRIM(SUBSTITUTE(Z540,CHAR(160)," ")),BQ16:BQ63,BS16:BS63),_xlfn.XLOOKUP(TRIM(SUBSTITUTE(Z540,CHAR(160)," ")),BR16:BR63,BS16:BS63)))*Y540*IF(ISBLANK(V540),1,V540),0))</f>
        <v/>
      </c>
      <c r="AS540" s="784" t="str">
        <f t="shared" si="199"/>
        <v/>
      </c>
      <c r="AT540" s="1315" t="str">
        <f t="shared" si="210"/>
        <v/>
      </c>
      <c r="AU540" s="785">
        <f t="shared" si="211"/>
        <v>0</v>
      </c>
      <c r="AV540" s="785">
        <f t="shared" si="212"/>
        <v>0</v>
      </c>
      <c r="AW540" s="798">
        <f>IF(AK540="A",AY10,0)</f>
        <v>0</v>
      </c>
      <c r="AX540" s="5496" t="str">
        <f>IF(IFERROR(SEARCH("Adresse PC",TRIM(W540)),0)&gt;0,"▼ receta siguiente",IF(AK540="A",IF(AZ10&lt;&gt;"",AZ10&amp;" - ou.or.o ❾ + or - &gt;",""),""))</f>
        <v/>
      </c>
      <c r="AY540" s="810"/>
      <c r="AZ540" s="810"/>
      <c r="BA540" s="799" t="str">
        <f t="shared" si="202"/>
        <v/>
      </c>
      <c r="BB540" s="800" t="str">
        <f>IF(AK540="A",IF(AQ540,IF(AND(AW540&lt;&gt;"",N(AW540)&gt;0),IFERROR(IFERROR(_xlfn.XLOOKUP(AP540,BP10:BP57,BT10:BT57),IFERROR(_xlfn.XLOOKUP(AP540,BQ10:BQ57,BT10:BT57),_xlfn.XLOOKUP(AP540,BR10:BR57,BT10:BT57,""))),""),""),""),"")</f>
        <v/>
      </c>
      <c r="BC540" s="813" cm="1">
        <f t="array" ref="BC540">IF(NOT(AQ540),0,IF(OR(BA540="",N(BA540)&lt;=0.000000001),"",IF(OR(AU540="",N(AU540)&lt;=0.000000001),0,IF(ISNUMBER(BA540),IFERROR(_xlfn.LET(_xlpm.ai_test,TRIM(AP540),_xlpm.r,IFERROR(_xlfn.XLOOKUP(_xlpm.ai_test,BP16:BP63,ROW(BP16:BP63),0,1),IFERROR(_xlfn.XLOOKUP(_xlpm.ai_test,BQ16:BQ63,ROW(BQ16:BQ63),0,1),_xlfn.XLOOKUP(_xlpm.ai_test,BR16:BR63,ROW(BR16:BR63),0,1))),_xlpm.p,_xlpm.r-MIN(ROW(BP16:BP63))+1,_xlpm.f,INDEX(BS16:BS63,_xlpm.p),_xlpm.u,INDEX(BT16:BT63,_xlpm.p),_xlpm.s,INDEX(BV16:BV63,_xlpm.p),_xlpm.q,N(BA540)/_xlpm.f,IF(_xlpm.q&gt;=_xlpm.s,ROUND(_xlpm.q,1)&amp;" "&amp;_xlpm.ai_test&amp;" = "&amp;ROUND(_xlpm.q*_xlpm.f,1)&amp;" "&amp;_xlpm.u,ROUND(_xlpm.q,1)&amp;" "&amp;_xlpm.ai_test)),""),""))))</f>
        <v>0</v>
      </c>
      <c r="BD540" s="801"/>
      <c r="BE540" s="799" t="str">
        <f t="shared" si="213"/>
        <v/>
      </c>
      <c r="BF540" s="800" t="str">
        <f t="shared" si="214"/>
        <v/>
      </c>
      <c r="BG540" s="802">
        <f t="shared" si="196"/>
        <v>0</v>
      </c>
      <c r="BH540" s="803" t="str">
        <f t="shared" si="197"/>
        <v/>
      </c>
      <c r="BI540" s="792"/>
      <c r="BJ540" s="804">
        <f t="shared" si="195"/>
        <v>0</v>
      </c>
      <c r="BK540" s="794" t="str">
        <f t="shared" si="215"/>
        <v/>
      </c>
      <c r="BL540" s="227" t="s">
        <v>21</v>
      </c>
      <c r="BM540" s="773">
        <f t="shared" si="204"/>
        <v>0</v>
      </c>
      <c r="BN540" s="774">
        <f t="shared" si="205"/>
        <v>0</v>
      </c>
      <c r="BO540"/>
      <c r="BX540"/>
      <c r="BY540"/>
      <c r="BZ540"/>
      <c r="CA540"/>
      <c r="CB540"/>
      <c r="CC540"/>
      <c r="CD540" s="781" t="str">
        <f t="shared" si="198"/>
        <v>►</v>
      </c>
      <c r="CE540" s="633"/>
      <c r="CF540" s="633"/>
      <c r="CG540" s="633"/>
      <c r="CH540" s="633"/>
      <c r="CI540" s="633"/>
      <c r="CJ540" s="227"/>
      <c r="CK540"/>
      <c r="CL540"/>
      <c r="CM540"/>
      <c r="CN540"/>
      <c r="CO540"/>
      <c r="CP540"/>
      <c r="CQ540"/>
      <c r="CR540" s="227"/>
      <c r="CS540"/>
      <c r="CT540"/>
      <c r="CU540"/>
      <c r="CV540"/>
      <c r="CW540"/>
      <c r="CX540"/>
      <c r="CY540"/>
      <c r="CZ540" s="227"/>
      <c r="DA540"/>
      <c r="DB540"/>
      <c r="DC540"/>
      <c r="DD540"/>
      <c r="DE540"/>
      <c r="DF540"/>
      <c r="DG540"/>
      <c r="DH540" s="227"/>
      <c r="DI540" s="3">
        <v>1</v>
      </c>
    </row>
    <row r="541" spans="2:113" s="627" customFormat="1" ht="21" customHeight="1">
      <c r="B541" s="2265" t="str" cm="1">
        <f t="array" ref="B541">SUMPRODUCT(--(D541:J541&lt;&gt;""), LEN(TRIM(SUBSTITUTE(D541:J541, CHAR(160), "")))) &amp; " Car."</f>
        <v>0 Car.</v>
      </c>
      <c r="C541" s="1376" t="str">
        <f>IF(ISBLANK(D541),"",LARGE(C13:C540,1)+1)</f>
        <v/>
      </c>
      <c r="D541" s="1833"/>
      <c r="E541" s="1810"/>
      <c r="F541" s="1810"/>
      <c r="G541" s="1810"/>
      <c r="H541" s="1810"/>
      <c r="I541" s="1810"/>
      <c r="J541" s="1810"/>
      <c r="K541" s="1810"/>
      <c r="L541" s="1811"/>
      <c r="M541"/>
      <c r="N541" s="103" t="str">
        <f t="shared" si="200"/>
        <v>►</v>
      </c>
      <c r="O541" s="1616"/>
      <c r="P541"/>
      <c r="Q541" s="25" t="s">
        <v>15</v>
      </c>
      <c r="R541" s="31"/>
      <c r="S541" s="32"/>
      <c r="T541" s="31"/>
      <c r="U541" s="33"/>
      <c r="V541" s="1967"/>
      <c r="W541" s="1805"/>
      <c r="X541" s="91"/>
      <c r="Y541" s="1806"/>
      <c r="Z541" s="1968"/>
      <c r="AA541" s="2244"/>
      <c r="AB541" s="1969"/>
      <c r="AC541" s="1365"/>
      <c r="AD541" s="95"/>
      <c r="AE541" s="1326"/>
      <c r="AF541" s="97"/>
      <c r="AG541" s="1737"/>
      <c r="AH541" s="1970"/>
      <c r="AI541" s="99"/>
      <c r="AJ541" s="1809"/>
      <c r="AK541" s="6120" t="str">
        <f t="shared" si="201"/>
        <v>►</v>
      </c>
      <c r="AL541" s="781" t="str">
        <f t="shared" si="203"/>
        <v>►</v>
      </c>
      <c r="AM541" s="5499" t="str">
        <f t="shared" si="206"/>
        <v/>
      </c>
      <c r="AN541" s="783" t="str">
        <f t="shared" si="207"/>
        <v/>
      </c>
      <c r="AO541" s="782" t="str">
        <f t="shared" si="208"/>
        <v/>
      </c>
      <c r="AP541" s="783" t="str">
        <f t="shared" si="209"/>
        <v/>
      </c>
      <c r="AQ541" s="2083" t="b">
        <f>AND(Q541="A",COUNTIF(BP16:BR63,TRIM(Z541))&gt;0)</f>
        <v>0</v>
      </c>
      <c r="AR541" s="797" t="str">
        <f>IF(AL541&lt;&gt;"A","",IFERROR(IFERROR(_xlfn.XLOOKUP(TRIM(SUBSTITUTE(Z541,CHAR(160)," ")),BP16:BP63,BS16:BS63),IFERROR(_xlfn.XLOOKUP(TRIM(SUBSTITUTE(Z541,CHAR(160)," ")),BQ16:BQ63,BS16:BS63),_xlfn.XLOOKUP(TRIM(SUBSTITUTE(Z541,CHAR(160)," ")),BR16:BR63,BS16:BS63)))*Y541*IF(ISBLANK(V541),1,V541),0))</f>
        <v/>
      </c>
      <c r="AS541" s="784" t="str">
        <f t="shared" si="199"/>
        <v/>
      </c>
      <c r="AT541" s="1315" t="str">
        <f t="shared" si="210"/>
        <v/>
      </c>
      <c r="AU541" s="785">
        <f t="shared" si="211"/>
        <v>0</v>
      </c>
      <c r="AV541" s="785">
        <f t="shared" si="212"/>
        <v>0</v>
      </c>
      <c r="AW541" s="786">
        <f>IF(AK541="A",AY10,0)</f>
        <v>0</v>
      </c>
      <c r="AX541" s="5495" t="str">
        <f>IF(IFERROR(SEARCH("Adresse PC",TRIM(W541)),0)&gt;0,"▼ receta siguiente",IF(AK541="A",IF(AZ10&lt;&gt;"",AZ10&amp;" - ou.or.o ❾ + or - &gt;",""),""))</f>
        <v/>
      </c>
      <c r="AY541" s="810"/>
      <c r="AZ541" s="810"/>
      <c r="BA541" s="788" t="str">
        <f t="shared" si="202"/>
        <v/>
      </c>
      <c r="BB541" s="789" t="str">
        <f>IF(AK541="A",IF(AQ541,IF(AND(AW541&lt;&gt;"",N(AW541)&gt;0),IFERROR(IFERROR(_xlfn.XLOOKUP(AP541,BP10:BP57,BT10:BT57),IFERROR(_xlfn.XLOOKUP(AP541,BQ10:BQ57,BT10:BT57),_xlfn.XLOOKUP(AP541,BR10:BR57,BT10:BT57,""))),""),""),""),"")</f>
        <v/>
      </c>
      <c r="BC541" s="811" cm="1">
        <f t="array" ref="BC541">IF(NOT(AQ541),0,IF(OR(BA541="",N(BA541)&lt;=0.000000001),"",IF(OR(AU541="",N(AU541)&lt;=0.000000001),0,IF(ISNUMBER(BA541),IFERROR(_xlfn.LET(_xlpm.ai_test,TRIM(AP541),_xlpm.r,IFERROR(_xlfn.XLOOKUP(_xlpm.ai_test,BP16:BP63,ROW(BP16:BP63),0,1),IFERROR(_xlfn.XLOOKUP(_xlpm.ai_test,BQ16:BQ63,ROW(BQ16:BQ63),0,1),_xlfn.XLOOKUP(_xlpm.ai_test,BR16:BR63,ROW(BR16:BR63),0,1))),_xlpm.p,_xlpm.r-MIN(ROW(BP16:BP63))+1,_xlpm.f,INDEX(BS16:BS63,_xlpm.p),_xlpm.u,INDEX(BT16:BT63,_xlpm.p),_xlpm.s,INDEX(BV16:BV63,_xlpm.p),_xlpm.q,N(BA541)/_xlpm.f,IF(_xlpm.q&gt;=_xlpm.s,ROUND(_xlpm.q,1)&amp;" "&amp;_xlpm.ai_test&amp;" = "&amp;ROUND(_xlpm.q*_xlpm.f,1)&amp;" "&amp;_xlpm.u,ROUND(_xlpm.q,1)&amp;" "&amp;_xlpm.ai_test)),""),""))))</f>
        <v>0</v>
      </c>
      <c r="BD541" s="801"/>
      <c r="BE541" s="788" t="str">
        <f t="shared" si="213"/>
        <v/>
      </c>
      <c r="BF541" s="789" t="str">
        <f t="shared" si="214"/>
        <v/>
      </c>
      <c r="BG541" s="790">
        <f t="shared" si="196"/>
        <v>0</v>
      </c>
      <c r="BH541" s="791" t="str">
        <f t="shared" si="197"/>
        <v/>
      </c>
      <c r="BI541" s="792"/>
      <c r="BJ541" s="793">
        <f t="shared" si="195"/>
        <v>0</v>
      </c>
      <c r="BK541" s="794" t="str">
        <f t="shared" si="215"/>
        <v/>
      </c>
      <c r="BL541" s="227" t="s">
        <v>21</v>
      </c>
      <c r="BM541" s="773">
        <f t="shared" si="204"/>
        <v>0</v>
      </c>
      <c r="BN541" s="774">
        <f t="shared" si="205"/>
        <v>0</v>
      </c>
      <c r="BO541"/>
      <c r="BX541"/>
      <c r="BY541"/>
      <c r="BZ541"/>
      <c r="CA541"/>
      <c r="CB541"/>
      <c r="CC541"/>
      <c r="CD541" s="781" t="str">
        <f t="shared" si="198"/>
        <v>►</v>
      </c>
      <c r="CE541" s="633"/>
      <c r="CF541" s="633"/>
      <c r="CG541" s="633"/>
      <c r="CH541" s="633"/>
      <c r="CI541" s="633"/>
      <c r="CJ541" s="227"/>
      <c r="CK541"/>
      <c r="CL541"/>
      <c r="CM541"/>
      <c r="CN541"/>
      <c r="CO541"/>
      <c r="CP541"/>
      <c r="CQ541"/>
      <c r="CR541" s="227"/>
      <c r="CS541"/>
      <c r="CT541"/>
      <c r="CU541"/>
      <c r="CV541"/>
      <c r="CW541"/>
      <c r="CX541"/>
      <c r="CY541"/>
      <c r="CZ541" s="227"/>
      <c r="DA541"/>
      <c r="DB541"/>
      <c r="DC541"/>
      <c r="DD541"/>
      <c r="DE541"/>
      <c r="DF541"/>
      <c r="DG541"/>
      <c r="DH541" s="227"/>
      <c r="DI541" s="3">
        <v>1</v>
      </c>
    </row>
    <row r="542" spans="2:113" s="627" customFormat="1" ht="21" customHeight="1">
      <c r="B542" s="2265" t="str" cm="1">
        <f t="array" ref="B542">SUMPRODUCT(--(D542:J542&lt;&gt;""), LEN(TRIM(SUBSTITUTE(D542:J542, CHAR(160), "")))) &amp; " Car."</f>
        <v>0 Car.</v>
      </c>
      <c r="C542" s="1376" t="str">
        <f>IF(ISBLANK(D542),"",LARGE(C13:C541,1)+1)</f>
        <v/>
      </c>
      <c r="D542" s="1833"/>
      <c r="E542" s="1810"/>
      <c r="F542" s="1810"/>
      <c r="G542" s="1810"/>
      <c r="H542" s="1810"/>
      <c r="I542" s="1810"/>
      <c r="J542" s="1810"/>
      <c r="K542" s="1810"/>
      <c r="L542" s="1811"/>
      <c r="M542"/>
      <c r="N542" s="103" t="str">
        <f t="shared" si="200"/>
        <v>►</v>
      </c>
      <c r="O542" s="1616"/>
      <c r="P542"/>
      <c r="Q542" s="25" t="s">
        <v>15</v>
      </c>
      <c r="R542" s="31"/>
      <c r="S542" s="32"/>
      <c r="T542" s="31"/>
      <c r="U542" s="33"/>
      <c r="V542" s="1967"/>
      <c r="W542" s="1805"/>
      <c r="X542" s="91"/>
      <c r="Y542" s="1806"/>
      <c r="Z542" s="1968"/>
      <c r="AA542" s="2244"/>
      <c r="AB542" s="1969"/>
      <c r="AC542" s="1365"/>
      <c r="AD542" s="95"/>
      <c r="AE542" s="1326"/>
      <c r="AF542" s="97"/>
      <c r="AG542" s="1737"/>
      <c r="AH542" s="1970"/>
      <c r="AI542" s="99"/>
      <c r="AJ542" s="1809"/>
      <c r="AK542" s="6120" t="str">
        <f t="shared" si="201"/>
        <v>►</v>
      </c>
      <c r="AL542" s="781" t="str">
        <f t="shared" si="203"/>
        <v>►</v>
      </c>
      <c r="AM542" s="5498" t="str">
        <f t="shared" si="206"/>
        <v/>
      </c>
      <c r="AN542" s="783" t="str">
        <f t="shared" si="207"/>
        <v/>
      </c>
      <c r="AO542" s="782" t="str">
        <f t="shared" si="208"/>
        <v/>
      </c>
      <c r="AP542" s="783" t="str">
        <f t="shared" si="209"/>
        <v/>
      </c>
      <c r="AQ542" s="2083" t="b">
        <f>AND(Q542="A",COUNTIF(BP16:BR63,TRIM(Z542))&gt;0)</f>
        <v>0</v>
      </c>
      <c r="AR542" s="797" t="str">
        <f>IF(AL542&lt;&gt;"A","",IFERROR(IFERROR(_xlfn.XLOOKUP(TRIM(SUBSTITUTE(Z542,CHAR(160)," ")),BP16:BP63,BS16:BS63),IFERROR(_xlfn.XLOOKUP(TRIM(SUBSTITUTE(Z542,CHAR(160)," ")),BQ16:BQ63,BS16:BS63),_xlfn.XLOOKUP(TRIM(SUBSTITUTE(Z542,CHAR(160)," ")),BR16:BR63,BS16:BS63)))*Y542*IF(ISBLANK(V542),1,V542),0))</f>
        <v/>
      </c>
      <c r="AS542" s="784" t="str">
        <f t="shared" si="199"/>
        <v/>
      </c>
      <c r="AT542" s="1315" t="str">
        <f t="shared" si="210"/>
        <v/>
      </c>
      <c r="AU542" s="785">
        <f t="shared" si="211"/>
        <v>0</v>
      </c>
      <c r="AV542" s="785">
        <f t="shared" si="212"/>
        <v>0</v>
      </c>
      <c r="AW542" s="798">
        <f>IF(AK542="A",AY10,0)</f>
        <v>0</v>
      </c>
      <c r="AX542" s="5496" t="str">
        <f>IF(IFERROR(SEARCH("Adresse PC",TRIM(W542)),0)&gt;0,"▼ receta siguiente",IF(AK542="A",IF(AZ10&lt;&gt;"",AZ10&amp;" - ou.or.o ❾ + or - &gt;",""),""))</f>
        <v/>
      </c>
      <c r="AY542" s="810"/>
      <c r="AZ542" s="810"/>
      <c r="BA542" s="799" t="str">
        <f t="shared" si="202"/>
        <v/>
      </c>
      <c r="BB542" s="800" t="str">
        <f>IF(AK542="A",IF(AQ542,IF(AND(AW542&lt;&gt;"",N(AW542)&gt;0),IFERROR(IFERROR(_xlfn.XLOOKUP(AP542,BP10:BP57,BT10:BT57),IFERROR(_xlfn.XLOOKUP(AP542,BQ10:BQ57,BT10:BT57),_xlfn.XLOOKUP(AP542,BR10:BR57,BT10:BT57,""))),""),""),""),"")</f>
        <v/>
      </c>
      <c r="BC542" s="813" cm="1">
        <f t="array" ref="BC542">IF(NOT(AQ542),0,IF(OR(BA542="",N(BA542)&lt;=0.000000001),"",IF(OR(AU542="",N(AU542)&lt;=0.000000001),0,IF(ISNUMBER(BA542),IFERROR(_xlfn.LET(_xlpm.ai_test,TRIM(AP542),_xlpm.r,IFERROR(_xlfn.XLOOKUP(_xlpm.ai_test,BP16:BP63,ROW(BP16:BP63),0,1),IFERROR(_xlfn.XLOOKUP(_xlpm.ai_test,BQ16:BQ63,ROW(BQ16:BQ63),0,1),_xlfn.XLOOKUP(_xlpm.ai_test,BR16:BR63,ROW(BR16:BR63),0,1))),_xlpm.p,_xlpm.r-MIN(ROW(BP16:BP63))+1,_xlpm.f,INDEX(BS16:BS63,_xlpm.p),_xlpm.u,INDEX(BT16:BT63,_xlpm.p),_xlpm.s,INDEX(BV16:BV63,_xlpm.p),_xlpm.q,N(BA542)/_xlpm.f,IF(_xlpm.q&gt;=_xlpm.s,ROUND(_xlpm.q,1)&amp;" "&amp;_xlpm.ai_test&amp;" = "&amp;ROUND(_xlpm.q*_xlpm.f,1)&amp;" "&amp;_xlpm.u,ROUND(_xlpm.q,1)&amp;" "&amp;_xlpm.ai_test)),""),""))))</f>
        <v>0</v>
      </c>
      <c r="BD542" s="801"/>
      <c r="BE542" s="799" t="str">
        <f t="shared" si="213"/>
        <v/>
      </c>
      <c r="BF542" s="800" t="str">
        <f t="shared" si="214"/>
        <v/>
      </c>
      <c r="BG542" s="802">
        <f t="shared" si="196"/>
        <v>0</v>
      </c>
      <c r="BH542" s="803" t="str">
        <f t="shared" si="197"/>
        <v/>
      </c>
      <c r="BI542" s="792"/>
      <c r="BJ542" s="804">
        <f t="shared" ref="BJ542:BJ550" si="216">IF(OR(AU542=0,ISBLANK(BI542),ISTEXT(BG542)),0,(IF(BA542=0,BG542,BA542)*BI542))</f>
        <v>0</v>
      </c>
      <c r="BK542" s="794" t="str">
        <f t="shared" si="215"/>
        <v/>
      </c>
      <c r="BL542" s="227" t="s">
        <v>21</v>
      </c>
      <c r="BM542" s="773">
        <f t="shared" si="204"/>
        <v>0</v>
      </c>
      <c r="BN542" s="774">
        <f t="shared" si="205"/>
        <v>0</v>
      </c>
      <c r="BO542"/>
      <c r="BX542"/>
      <c r="BY542"/>
      <c r="BZ542"/>
      <c r="CA542"/>
      <c r="CB542"/>
      <c r="CC542"/>
      <c r="CD542" s="781" t="str">
        <f t="shared" si="198"/>
        <v>►</v>
      </c>
      <c r="CE542" s="633"/>
      <c r="CF542" s="633"/>
      <c r="CG542" s="633"/>
      <c r="CH542" s="633"/>
      <c r="CI542" s="633"/>
      <c r="CJ542" s="227"/>
      <c r="CK542"/>
      <c r="CL542"/>
      <c r="CM542"/>
      <c r="CN542"/>
      <c r="CO542"/>
      <c r="CP542"/>
      <c r="CQ542"/>
      <c r="CR542" s="227"/>
      <c r="CS542"/>
      <c r="CT542"/>
      <c r="CU542"/>
      <c r="CV542"/>
      <c r="CW542"/>
      <c r="CX542"/>
      <c r="CY542"/>
      <c r="CZ542" s="227"/>
      <c r="DA542"/>
      <c r="DB542"/>
      <c r="DC542"/>
      <c r="DD542"/>
      <c r="DE542"/>
      <c r="DF542"/>
      <c r="DG542"/>
      <c r="DH542" s="227"/>
      <c r="DI542" s="3">
        <v>1</v>
      </c>
    </row>
    <row r="543" spans="2:113" s="627" customFormat="1" ht="21" customHeight="1">
      <c r="B543" s="2265" t="str" cm="1">
        <f t="array" ref="B543">SUMPRODUCT(--(D543:J543&lt;&gt;""), LEN(TRIM(SUBSTITUTE(D543:J543, CHAR(160), "")))) &amp; " Car."</f>
        <v>0 Car.</v>
      </c>
      <c r="C543" s="1376" t="str">
        <f>IF(ISBLANK(D543),"",LARGE(C13:C542,1)+1)</f>
        <v/>
      </c>
      <c r="D543" s="1833"/>
      <c r="E543" s="1810"/>
      <c r="F543" s="1810"/>
      <c r="G543" s="1810"/>
      <c r="H543" s="1810"/>
      <c r="I543" s="1810"/>
      <c r="J543" s="1810"/>
      <c r="K543" s="1810"/>
      <c r="L543" s="1811"/>
      <c r="M543"/>
      <c r="N543" s="103" t="str">
        <f t="shared" si="200"/>
        <v>►</v>
      </c>
      <c r="O543" s="1616"/>
      <c r="P543"/>
      <c r="Q543" s="25" t="s">
        <v>15</v>
      </c>
      <c r="R543" s="31"/>
      <c r="S543" s="32"/>
      <c r="T543" s="31"/>
      <c r="U543" s="33"/>
      <c r="V543" s="1967"/>
      <c r="W543" s="1805"/>
      <c r="X543" s="91"/>
      <c r="Y543" s="1806"/>
      <c r="Z543" s="1968"/>
      <c r="AA543" s="2244"/>
      <c r="AB543" s="1969"/>
      <c r="AC543" s="1365"/>
      <c r="AD543" s="95"/>
      <c r="AE543" s="1326"/>
      <c r="AF543" s="97"/>
      <c r="AG543" s="1737"/>
      <c r="AH543" s="1970"/>
      <c r="AI543" s="99"/>
      <c r="AJ543" s="1809"/>
      <c r="AK543" s="6120" t="str">
        <f t="shared" si="201"/>
        <v>►</v>
      </c>
      <c r="AL543" s="781" t="str">
        <f t="shared" si="203"/>
        <v>►</v>
      </c>
      <c r="AM543" s="5499" t="str">
        <f t="shared" si="206"/>
        <v/>
      </c>
      <c r="AN543" s="783" t="str">
        <f t="shared" si="207"/>
        <v/>
      </c>
      <c r="AO543" s="782" t="str">
        <f t="shared" si="208"/>
        <v/>
      </c>
      <c r="AP543" s="783" t="str">
        <f t="shared" si="209"/>
        <v/>
      </c>
      <c r="AQ543" s="2083" t="b">
        <f>AND(Q543="A",COUNTIF(BP16:BR63,TRIM(Z543))&gt;0)</f>
        <v>0</v>
      </c>
      <c r="AR543" s="797" t="str">
        <f>IF(AL543&lt;&gt;"A","",IFERROR(IFERROR(_xlfn.XLOOKUP(TRIM(SUBSTITUTE(Z543,CHAR(160)," ")),BP16:BP63,BS16:BS63),IFERROR(_xlfn.XLOOKUP(TRIM(SUBSTITUTE(Z543,CHAR(160)," ")),BQ16:BQ63,BS16:BS63),_xlfn.XLOOKUP(TRIM(SUBSTITUTE(Z543,CHAR(160)," ")),BR16:BR63,BS16:BS63)))*Y543*IF(ISBLANK(V543),1,V543),0))</f>
        <v/>
      </c>
      <c r="AS543" s="784" t="str">
        <f t="shared" si="199"/>
        <v/>
      </c>
      <c r="AT543" s="1315" t="str">
        <f t="shared" si="210"/>
        <v/>
      </c>
      <c r="AU543" s="785">
        <f t="shared" si="211"/>
        <v>0</v>
      </c>
      <c r="AV543" s="785">
        <f t="shared" si="212"/>
        <v>0</v>
      </c>
      <c r="AW543" s="786">
        <f>IF(AK543="A",AY10,0)</f>
        <v>0</v>
      </c>
      <c r="AX543" s="5495" t="str">
        <f>IF(IFERROR(SEARCH("Adresse PC",TRIM(W543)),0)&gt;0,"▼ receta siguiente",IF(AK543="A",IF(AZ10&lt;&gt;"",AZ10&amp;" - ou.or.o ❾ + or - &gt;",""),""))</f>
        <v/>
      </c>
      <c r="AY543" s="810"/>
      <c r="AZ543" s="810"/>
      <c r="BA543" s="788" t="str">
        <f t="shared" si="202"/>
        <v/>
      </c>
      <c r="BB543" s="789" t="str">
        <f>IF(AK543="A",IF(AQ543,IF(AND(AW543&lt;&gt;"",N(AW543)&gt;0),IFERROR(IFERROR(_xlfn.XLOOKUP(AP543,BP10:BP57,BT10:BT57),IFERROR(_xlfn.XLOOKUP(AP543,BQ10:BQ57,BT10:BT57),_xlfn.XLOOKUP(AP543,BR10:BR57,BT10:BT57,""))),""),""),""),"")</f>
        <v/>
      </c>
      <c r="BC543" s="811" cm="1">
        <f t="array" ref="BC543">IF(NOT(AQ543),0,IF(OR(BA543="",N(BA543)&lt;=0.000000001),"",IF(OR(AU543="",N(AU543)&lt;=0.000000001),0,IF(ISNUMBER(BA543),IFERROR(_xlfn.LET(_xlpm.ai_test,TRIM(AP543),_xlpm.r,IFERROR(_xlfn.XLOOKUP(_xlpm.ai_test,BP16:BP63,ROW(BP16:BP63),0,1),IFERROR(_xlfn.XLOOKUP(_xlpm.ai_test,BQ16:BQ63,ROW(BQ16:BQ63),0,1),_xlfn.XLOOKUP(_xlpm.ai_test,BR16:BR63,ROW(BR16:BR63),0,1))),_xlpm.p,_xlpm.r-MIN(ROW(BP16:BP63))+1,_xlpm.f,INDEX(BS16:BS63,_xlpm.p),_xlpm.u,INDEX(BT16:BT63,_xlpm.p),_xlpm.s,INDEX(BV16:BV63,_xlpm.p),_xlpm.q,N(BA543)/_xlpm.f,IF(_xlpm.q&gt;=_xlpm.s,ROUND(_xlpm.q,1)&amp;" "&amp;_xlpm.ai_test&amp;" = "&amp;ROUND(_xlpm.q*_xlpm.f,1)&amp;" "&amp;_xlpm.u,ROUND(_xlpm.q,1)&amp;" "&amp;_xlpm.ai_test)),""),""))))</f>
        <v>0</v>
      </c>
      <c r="BD543" s="801"/>
      <c r="BE543" s="788" t="str">
        <f t="shared" si="213"/>
        <v/>
      </c>
      <c r="BF543" s="789" t="str">
        <f t="shared" si="214"/>
        <v/>
      </c>
      <c r="BG543" s="790">
        <f t="shared" si="196"/>
        <v>0</v>
      </c>
      <c r="BH543" s="791" t="str">
        <f t="shared" si="197"/>
        <v/>
      </c>
      <c r="BI543" s="792"/>
      <c r="BJ543" s="793">
        <f t="shared" si="216"/>
        <v>0</v>
      </c>
      <c r="BK543" s="794" t="str">
        <f t="shared" si="215"/>
        <v/>
      </c>
      <c r="BL543" s="227" t="s">
        <v>21</v>
      </c>
      <c r="BM543" s="773">
        <f t="shared" si="204"/>
        <v>0</v>
      </c>
      <c r="BN543" s="774">
        <f t="shared" si="205"/>
        <v>0</v>
      </c>
      <c r="BO543"/>
      <c r="BX543"/>
      <c r="BY543"/>
      <c r="BZ543"/>
      <c r="CA543"/>
      <c r="CB543"/>
      <c r="CC543"/>
      <c r="CD543" s="781" t="str">
        <f t="shared" si="198"/>
        <v>►</v>
      </c>
      <c r="CE543" s="633"/>
      <c r="CF543" s="633"/>
      <c r="CG543" s="633"/>
      <c r="CH543" s="633"/>
      <c r="CI543" s="633"/>
      <c r="CJ543" s="227"/>
      <c r="CK543"/>
      <c r="CL543"/>
      <c r="CM543"/>
      <c r="CN543"/>
      <c r="CO543"/>
      <c r="CP543"/>
      <c r="CQ543"/>
      <c r="CR543" s="227"/>
      <c r="CS543"/>
      <c r="CT543"/>
      <c r="CU543"/>
      <c r="CV543"/>
      <c r="CW543"/>
      <c r="CX543"/>
      <c r="CY543"/>
      <c r="CZ543" s="227"/>
      <c r="DA543"/>
      <c r="DB543"/>
      <c r="DC543"/>
      <c r="DD543"/>
      <c r="DE543"/>
      <c r="DF543"/>
      <c r="DG543"/>
      <c r="DH543" s="227"/>
      <c r="DI543" s="3">
        <v>1</v>
      </c>
    </row>
    <row r="544" spans="2:113" s="627" customFormat="1" ht="21" customHeight="1">
      <c r="B544" s="2265" t="str" cm="1">
        <f t="array" ref="B544">SUMPRODUCT(--(D544:J544&lt;&gt;""), LEN(TRIM(SUBSTITUTE(D544:J544, CHAR(160), "")))) &amp; " Car."</f>
        <v>0 Car.</v>
      </c>
      <c r="C544" s="1376" t="str">
        <f>IF(ISBLANK(D544),"",LARGE(C13:C543,1)+1)</f>
        <v/>
      </c>
      <c r="D544" s="1833"/>
      <c r="E544" s="1810"/>
      <c r="F544" s="1810"/>
      <c r="G544" s="1810"/>
      <c r="H544" s="1810"/>
      <c r="I544" s="1810"/>
      <c r="J544" s="1810"/>
      <c r="K544" s="1810"/>
      <c r="L544" s="1811"/>
      <c r="M544"/>
      <c r="N544" s="103" t="str">
        <f t="shared" si="200"/>
        <v>►</v>
      </c>
      <c r="O544" s="1616"/>
      <c r="P544"/>
      <c r="Q544" s="25" t="s">
        <v>15</v>
      </c>
      <c r="R544" s="31"/>
      <c r="S544" s="32"/>
      <c r="T544" s="31"/>
      <c r="U544" s="33"/>
      <c r="V544" s="1967"/>
      <c r="W544" s="1805"/>
      <c r="X544" s="91"/>
      <c r="Y544" s="1806"/>
      <c r="Z544" s="1968"/>
      <c r="AA544" s="2244"/>
      <c r="AB544" s="1969"/>
      <c r="AC544" s="1365"/>
      <c r="AD544" s="95"/>
      <c r="AE544" s="1326"/>
      <c r="AF544" s="97"/>
      <c r="AG544" s="1737"/>
      <c r="AH544" s="1970"/>
      <c r="AI544" s="99"/>
      <c r="AJ544" s="1809"/>
      <c r="AK544" s="6120" t="str">
        <f t="shared" si="201"/>
        <v>►</v>
      </c>
      <c r="AL544" s="781" t="str">
        <f t="shared" si="203"/>
        <v>►</v>
      </c>
      <c r="AM544" s="5498" t="str">
        <f t="shared" si="206"/>
        <v/>
      </c>
      <c r="AN544" s="783" t="str">
        <f t="shared" si="207"/>
        <v/>
      </c>
      <c r="AO544" s="782" t="str">
        <f t="shared" si="208"/>
        <v/>
      </c>
      <c r="AP544" s="783" t="str">
        <f t="shared" si="209"/>
        <v/>
      </c>
      <c r="AQ544" s="2083" t="b">
        <f>AND(Q544="A",COUNTIF(BP16:BR63,TRIM(Z544))&gt;0)</f>
        <v>0</v>
      </c>
      <c r="AR544" s="797" t="str">
        <f>IF(AL544&lt;&gt;"A","",IFERROR(IFERROR(_xlfn.XLOOKUP(TRIM(SUBSTITUTE(Z544,CHAR(160)," ")),BP16:BP63,BS16:BS63),IFERROR(_xlfn.XLOOKUP(TRIM(SUBSTITUTE(Z544,CHAR(160)," ")),BQ16:BQ63,BS16:BS63),_xlfn.XLOOKUP(TRIM(SUBSTITUTE(Z544,CHAR(160)," ")),BR16:BR63,BS16:BS63)))*Y544*IF(ISBLANK(V544),1,V544),0))</f>
        <v/>
      </c>
      <c r="AS544" s="784" t="str">
        <f t="shared" si="199"/>
        <v/>
      </c>
      <c r="AT544" s="1315" t="str">
        <f t="shared" si="210"/>
        <v/>
      </c>
      <c r="AU544" s="785">
        <f t="shared" si="211"/>
        <v>0</v>
      </c>
      <c r="AV544" s="785">
        <f t="shared" si="212"/>
        <v>0</v>
      </c>
      <c r="AW544" s="798">
        <f>IF(AK544="A",AY10,0)</f>
        <v>0</v>
      </c>
      <c r="AX544" s="5496" t="str">
        <f>IF(IFERROR(SEARCH("Adresse PC",TRIM(W544)),0)&gt;0,"▼ receta siguiente",IF(AK544="A",IF(AZ10&lt;&gt;"",AZ10&amp;" - ou.or.o ❾ + or - &gt;",""),""))</f>
        <v/>
      </c>
      <c r="AY544" s="810"/>
      <c r="AZ544" s="810"/>
      <c r="BA544" s="799" t="str">
        <f t="shared" si="202"/>
        <v/>
      </c>
      <c r="BB544" s="800" t="str">
        <f>IF(AK544="A",IF(AQ544,IF(AND(AW544&lt;&gt;"",N(AW544)&gt;0),IFERROR(IFERROR(_xlfn.XLOOKUP(AP544,BP10:BP57,BT10:BT57),IFERROR(_xlfn.XLOOKUP(AP544,BQ10:BQ57,BT10:BT57),_xlfn.XLOOKUP(AP544,BR10:BR57,BT10:BT57,""))),""),""),""),"")</f>
        <v/>
      </c>
      <c r="BC544" s="813" cm="1">
        <f t="array" ref="BC544">IF(NOT(AQ544),0,IF(OR(BA544="",N(BA544)&lt;=0.000000001),"",IF(OR(AU544="",N(AU544)&lt;=0.000000001),0,IF(ISNUMBER(BA544),IFERROR(_xlfn.LET(_xlpm.ai_test,TRIM(AP544),_xlpm.r,IFERROR(_xlfn.XLOOKUP(_xlpm.ai_test,BP16:BP63,ROW(BP16:BP63),0,1),IFERROR(_xlfn.XLOOKUP(_xlpm.ai_test,BQ16:BQ63,ROW(BQ16:BQ63),0,1),_xlfn.XLOOKUP(_xlpm.ai_test,BR16:BR63,ROW(BR16:BR63),0,1))),_xlpm.p,_xlpm.r-MIN(ROW(BP16:BP63))+1,_xlpm.f,INDEX(BS16:BS63,_xlpm.p),_xlpm.u,INDEX(BT16:BT63,_xlpm.p),_xlpm.s,INDEX(BV16:BV63,_xlpm.p),_xlpm.q,N(BA544)/_xlpm.f,IF(_xlpm.q&gt;=_xlpm.s,ROUND(_xlpm.q,1)&amp;" "&amp;_xlpm.ai_test&amp;" = "&amp;ROUND(_xlpm.q*_xlpm.f,1)&amp;" "&amp;_xlpm.u,ROUND(_xlpm.q,1)&amp;" "&amp;_xlpm.ai_test)),""),""))))</f>
        <v>0</v>
      </c>
      <c r="BD544" s="801"/>
      <c r="BE544" s="799" t="str">
        <f t="shared" si="213"/>
        <v/>
      </c>
      <c r="BF544" s="800" t="str">
        <f t="shared" si="214"/>
        <v/>
      </c>
      <c r="BG544" s="802">
        <f t="shared" ref="BG544:BG550" si="217">IF(AND(ISNUMBER(BM544),ABS(BM544)&gt;0.000000001),BM544,0)</f>
        <v>0</v>
      </c>
      <c r="BH544" s="803" t="str">
        <f t="shared" ref="BH544:BH550" si="218">IF(AND(AQ544, N(BG544)&gt;0.000000001), W544, "")</f>
        <v/>
      </c>
      <c r="BI544" s="792"/>
      <c r="BJ544" s="804">
        <f t="shared" si="216"/>
        <v>0</v>
      </c>
      <c r="BK544" s="794" t="str">
        <f t="shared" si="215"/>
        <v/>
      </c>
      <c r="BL544" s="227" t="s">
        <v>21</v>
      </c>
      <c r="BM544" s="773">
        <f t="shared" si="204"/>
        <v>0</v>
      </c>
      <c r="BN544" s="774">
        <f t="shared" si="205"/>
        <v>0</v>
      </c>
      <c r="BO544"/>
      <c r="BX544"/>
      <c r="BY544"/>
      <c r="BZ544"/>
      <c r="CA544"/>
      <c r="CB544"/>
      <c r="CC544"/>
      <c r="CD544" s="781" t="str">
        <f t="shared" si="198"/>
        <v>►</v>
      </c>
      <c r="CE544" s="633"/>
      <c r="CF544" s="633"/>
      <c r="CG544" s="633"/>
      <c r="CH544" s="633"/>
      <c r="CI544" s="633"/>
      <c r="CJ544" s="227"/>
      <c r="CK544"/>
      <c r="CL544"/>
      <c r="CM544"/>
      <c r="CN544"/>
      <c r="CO544"/>
      <c r="CP544"/>
      <c r="CQ544"/>
      <c r="CR544" s="227"/>
      <c r="CS544"/>
      <c r="CT544"/>
      <c r="CU544"/>
      <c r="CV544"/>
      <c r="CW544"/>
      <c r="CX544"/>
      <c r="CY544"/>
      <c r="CZ544" s="227"/>
      <c r="DA544"/>
      <c r="DB544"/>
      <c r="DC544"/>
      <c r="DD544"/>
      <c r="DE544"/>
      <c r="DF544"/>
      <c r="DG544"/>
      <c r="DH544" s="227"/>
      <c r="DI544" s="3">
        <v>1</v>
      </c>
    </row>
    <row r="545" spans="1:115" s="627" customFormat="1" ht="21" customHeight="1">
      <c r="B545" s="2265" t="str" cm="1">
        <f t="array" ref="B545">SUMPRODUCT(--(D545:J545&lt;&gt;""), LEN(TRIM(SUBSTITUTE(D545:J545, CHAR(160), "")))) &amp; " Car."</f>
        <v>0 Car.</v>
      </c>
      <c r="C545" s="1376" t="str">
        <f>IF(ISBLANK(D545),"",LARGE(C13:C544,1)+1)</f>
        <v/>
      </c>
      <c r="D545" s="1833"/>
      <c r="E545" s="1810"/>
      <c r="F545" s="1810"/>
      <c r="G545" s="1810"/>
      <c r="H545" s="1810"/>
      <c r="I545" s="1810"/>
      <c r="J545" s="1810"/>
      <c r="K545" s="1810"/>
      <c r="L545" s="1811"/>
      <c r="M545"/>
      <c r="N545" s="103" t="str">
        <f t="shared" si="200"/>
        <v>►</v>
      </c>
      <c r="O545" s="1616"/>
      <c r="P545"/>
      <c r="Q545" s="25" t="s">
        <v>15</v>
      </c>
      <c r="R545" s="31"/>
      <c r="S545" s="32"/>
      <c r="T545" s="31"/>
      <c r="U545" s="33"/>
      <c r="V545" s="1967"/>
      <c r="W545" s="1805"/>
      <c r="X545" s="91"/>
      <c r="Y545" s="1806"/>
      <c r="Z545" s="1968"/>
      <c r="AA545" s="2244"/>
      <c r="AB545" s="1969"/>
      <c r="AC545" s="1365"/>
      <c r="AD545" s="95"/>
      <c r="AE545" s="1326"/>
      <c r="AF545" s="97"/>
      <c r="AG545" s="1737"/>
      <c r="AH545" s="1970"/>
      <c r="AI545" s="99"/>
      <c r="AJ545" s="1809"/>
      <c r="AK545" s="6120" t="str">
        <f t="shared" si="201"/>
        <v>►</v>
      </c>
      <c r="AL545" s="781" t="str">
        <f t="shared" si="203"/>
        <v>►</v>
      </c>
      <c r="AM545" s="5499" t="str">
        <f t="shared" si="206"/>
        <v/>
      </c>
      <c r="AN545" s="783" t="str">
        <f t="shared" si="207"/>
        <v/>
      </c>
      <c r="AO545" s="782" t="str">
        <f t="shared" si="208"/>
        <v/>
      </c>
      <c r="AP545" s="783" t="str">
        <f t="shared" si="209"/>
        <v/>
      </c>
      <c r="AQ545" s="2083" t="b">
        <f>AND(Q545="A",COUNTIF(BP16:BR63,TRIM(Z545))&gt;0)</f>
        <v>0</v>
      </c>
      <c r="AR545" s="797" t="str">
        <f>IF(AL545&lt;&gt;"A","",IFERROR(IFERROR(_xlfn.XLOOKUP(TRIM(SUBSTITUTE(Z545,CHAR(160)," ")),BP16:BP63,BS16:BS63),IFERROR(_xlfn.XLOOKUP(TRIM(SUBSTITUTE(Z545,CHAR(160)," ")),BQ16:BQ63,BS16:BS63),_xlfn.XLOOKUP(TRIM(SUBSTITUTE(Z545,CHAR(160)," ")),BR16:BR63,BS16:BS63)))*Y545*IF(ISBLANK(V545),1,V545),0))</f>
        <v/>
      </c>
      <c r="AS545" s="784" t="str">
        <f t="shared" si="199"/>
        <v/>
      </c>
      <c r="AT545" s="1315" t="str">
        <f t="shared" si="210"/>
        <v/>
      </c>
      <c r="AU545" s="785">
        <f t="shared" si="211"/>
        <v>0</v>
      </c>
      <c r="AV545" s="785">
        <f t="shared" si="212"/>
        <v>0</v>
      </c>
      <c r="AW545" s="786">
        <f>IF(AK545="A",AY10,0)</f>
        <v>0</v>
      </c>
      <c r="AX545" s="5495" t="str">
        <f>IF(IFERROR(SEARCH("Adresse PC",TRIM(W545)),0)&gt;0,"▼ receta siguiente",IF(AK545="A",IF(AZ10&lt;&gt;"",AZ10&amp;" - ou.or.o ❾ + or - &gt;",""),""))</f>
        <v/>
      </c>
      <c r="AY545" s="810"/>
      <c r="AZ545" s="810"/>
      <c r="BA545" s="788" t="str">
        <f t="shared" si="202"/>
        <v/>
      </c>
      <c r="BB545" s="789" t="str">
        <f>IF(AK545="A",IF(AQ545,IF(AND(AW545&lt;&gt;"",N(AW545)&gt;0),IFERROR(IFERROR(_xlfn.XLOOKUP(AP545,BP10:BP57,BT10:BT57),IFERROR(_xlfn.XLOOKUP(AP545,BQ10:BQ57,BT10:BT57),_xlfn.XLOOKUP(AP545,BR10:BR57,BT10:BT57,""))),""),""),""),"")</f>
        <v/>
      </c>
      <c r="BC545" s="811" cm="1">
        <f t="array" ref="BC545">IF(NOT(AQ545),0,IF(OR(BA545="",N(BA545)&lt;=0.000000001),"",IF(OR(AU545="",N(AU545)&lt;=0.000000001),0,IF(ISNUMBER(BA545),IFERROR(_xlfn.LET(_xlpm.ai_test,TRIM(AP545),_xlpm.r,IFERROR(_xlfn.XLOOKUP(_xlpm.ai_test,BP16:BP63,ROW(BP16:BP63),0,1),IFERROR(_xlfn.XLOOKUP(_xlpm.ai_test,BQ16:BQ63,ROW(BQ16:BQ63),0,1),_xlfn.XLOOKUP(_xlpm.ai_test,BR16:BR63,ROW(BR16:BR63),0,1))),_xlpm.p,_xlpm.r-MIN(ROW(BP16:BP63))+1,_xlpm.f,INDEX(BS16:BS63,_xlpm.p),_xlpm.u,INDEX(BT16:BT63,_xlpm.p),_xlpm.s,INDEX(BV16:BV63,_xlpm.p),_xlpm.q,N(BA545)/_xlpm.f,IF(_xlpm.q&gt;=_xlpm.s,ROUND(_xlpm.q,1)&amp;" "&amp;_xlpm.ai_test&amp;" = "&amp;ROUND(_xlpm.q*_xlpm.f,1)&amp;" "&amp;_xlpm.u,ROUND(_xlpm.q,1)&amp;" "&amp;_xlpm.ai_test)),""),""))))</f>
        <v>0</v>
      </c>
      <c r="BD545" s="801"/>
      <c r="BE545" s="788" t="str">
        <f t="shared" si="213"/>
        <v/>
      </c>
      <c r="BF545" s="789" t="str">
        <f t="shared" si="214"/>
        <v/>
      </c>
      <c r="BG545" s="790">
        <f t="shared" si="217"/>
        <v>0</v>
      </c>
      <c r="BH545" s="791" t="str">
        <f t="shared" si="218"/>
        <v/>
      </c>
      <c r="BI545" s="792"/>
      <c r="BJ545" s="793">
        <f t="shared" si="216"/>
        <v>0</v>
      </c>
      <c r="BK545" s="794" t="str">
        <f t="shared" si="215"/>
        <v/>
      </c>
      <c r="BL545" s="227" t="s">
        <v>21</v>
      </c>
      <c r="BM545" s="773">
        <f t="shared" si="204"/>
        <v>0</v>
      </c>
      <c r="BN545" s="774">
        <f t="shared" si="205"/>
        <v>0</v>
      </c>
      <c r="BO545"/>
      <c r="BX545"/>
      <c r="BY545"/>
      <c r="BZ545"/>
      <c r="CA545"/>
      <c r="CB545"/>
      <c r="CC545"/>
      <c r="CD545" s="781" t="str">
        <f t="shared" si="198"/>
        <v>►</v>
      </c>
      <c r="CE545" s="633"/>
      <c r="CF545" s="633"/>
      <c r="CG545" s="633"/>
      <c r="CH545" s="633"/>
      <c r="CI545" s="633"/>
      <c r="CJ545" s="227"/>
      <c r="CK545"/>
      <c r="CL545"/>
      <c r="CM545"/>
      <c r="CN545"/>
      <c r="CO545"/>
      <c r="CP545"/>
      <c r="CQ545"/>
      <c r="CR545" s="227"/>
      <c r="CS545"/>
      <c r="CT545"/>
      <c r="CU545"/>
      <c r="CV545"/>
      <c r="CW545"/>
      <c r="CX545"/>
      <c r="CY545"/>
      <c r="CZ545" s="227"/>
      <c r="DA545"/>
      <c r="DB545"/>
      <c r="DC545"/>
      <c r="DD545"/>
      <c r="DE545"/>
      <c r="DF545"/>
      <c r="DG545"/>
      <c r="DH545" s="227"/>
      <c r="DI545" s="3">
        <v>1</v>
      </c>
    </row>
    <row r="546" spans="1:115" ht="21" customHeight="1">
      <c r="B546" s="2265" t="str" cm="1">
        <f t="array" ref="B546">SUMPRODUCT(--(D546:J546&lt;&gt;""), LEN(TRIM(SUBSTITUTE(D546:J546, CHAR(160), "")))) &amp; " Car."</f>
        <v>0 Car.</v>
      </c>
      <c r="C546" s="1376" t="str">
        <f>IF(ISBLANK(D546),"",LARGE(C13:C545,1)+1)</f>
        <v/>
      </c>
      <c r="D546" s="1833"/>
      <c r="E546" s="1810"/>
      <c r="F546" s="1810"/>
      <c r="G546" s="1810"/>
      <c r="H546" s="1810"/>
      <c r="I546" s="1810"/>
      <c r="J546" s="1810"/>
      <c r="K546" s="1810"/>
      <c r="L546" s="1811"/>
      <c r="N546" s="103" t="str">
        <f t="shared" si="200"/>
        <v>►</v>
      </c>
      <c r="O546" s="1616"/>
      <c r="Q546" s="25" t="s">
        <v>15</v>
      </c>
      <c r="R546" s="31"/>
      <c r="S546" s="32"/>
      <c r="T546" s="31"/>
      <c r="U546" s="33"/>
      <c r="V546" s="1967"/>
      <c r="W546" s="1805"/>
      <c r="X546" s="91"/>
      <c r="Y546" s="1806"/>
      <c r="Z546" s="1968"/>
      <c r="AA546" s="2244"/>
      <c r="AB546" s="1969"/>
      <c r="AC546" s="1365"/>
      <c r="AD546" s="95"/>
      <c r="AE546" s="1326"/>
      <c r="AF546" s="97"/>
      <c r="AG546" s="1737"/>
      <c r="AH546" s="1970"/>
      <c r="AI546" s="99"/>
      <c r="AJ546" s="1809"/>
      <c r="AK546" s="6120" t="str">
        <f t="shared" si="201"/>
        <v>►</v>
      </c>
      <c r="AL546" s="781" t="str">
        <f t="shared" si="203"/>
        <v>►</v>
      </c>
      <c r="AM546" s="5498" t="str">
        <f t="shared" si="206"/>
        <v/>
      </c>
      <c r="AN546" s="783" t="str">
        <f t="shared" si="207"/>
        <v/>
      </c>
      <c r="AO546" s="782" t="str">
        <f t="shared" si="208"/>
        <v/>
      </c>
      <c r="AP546" s="783" t="str">
        <f t="shared" si="209"/>
        <v/>
      </c>
      <c r="AQ546" s="2083" t="b">
        <f>AND(Q546="A",COUNTIF(BP16:BR63,TRIM(Z546))&gt;0)</f>
        <v>0</v>
      </c>
      <c r="AR546" s="797" t="str">
        <f>IF(AL546&lt;&gt;"A","",IFERROR(IFERROR(_xlfn.XLOOKUP(TRIM(SUBSTITUTE(Z546,CHAR(160)," ")),BP16:BP63,BS16:BS63),IFERROR(_xlfn.XLOOKUP(TRIM(SUBSTITUTE(Z546,CHAR(160)," ")),BQ16:BQ63,BS16:BS63),_xlfn.XLOOKUP(TRIM(SUBSTITUTE(Z546,CHAR(160)," ")),BR16:BR63,BS16:BS63)))*Y546*IF(ISBLANK(V546),1,V546),0))</f>
        <v/>
      </c>
      <c r="AS546" s="784" t="str">
        <f t="shared" si="199"/>
        <v/>
      </c>
      <c r="AT546" s="1315" t="str">
        <f t="shared" si="210"/>
        <v/>
      </c>
      <c r="AU546" s="785">
        <f t="shared" si="211"/>
        <v>0</v>
      </c>
      <c r="AV546" s="785">
        <f t="shared" si="212"/>
        <v>0</v>
      </c>
      <c r="AW546" s="798">
        <f>IF(AK546="A",AY10,0)</f>
        <v>0</v>
      </c>
      <c r="AX546" s="5496" t="str">
        <f>IF(IFERROR(SEARCH("Adresse PC",TRIM(W546)),0)&gt;0,"▼ receta siguiente",IF(AK546="A",IF(AZ10&lt;&gt;"",AZ10&amp;" - ou.or.o ❾ + or - &gt;",""),""))</f>
        <v/>
      </c>
      <c r="AY546" s="810"/>
      <c r="AZ546" s="810"/>
      <c r="BA546" s="799" t="str">
        <f t="shared" si="202"/>
        <v/>
      </c>
      <c r="BB546" s="800" t="str">
        <f>IF(AK546="A",IF(AQ546,IF(AND(AW546&lt;&gt;"",N(AW546)&gt;0),IFERROR(IFERROR(_xlfn.XLOOKUP(AP546,BP10:BP57,BT10:BT57),IFERROR(_xlfn.XLOOKUP(AP546,BQ10:BQ57,BT10:BT57),_xlfn.XLOOKUP(AP546,BR10:BR57,BT10:BT57,""))),""),""),""),"")</f>
        <v/>
      </c>
      <c r="BC546" s="813" cm="1">
        <f t="array" ref="BC546">IF(NOT(AQ546),0,IF(OR(BA546="",N(BA546)&lt;=0.000000001),"",IF(OR(AU546="",N(AU546)&lt;=0.000000001),0,IF(ISNUMBER(BA546),IFERROR(_xlfn.LET(_xlpm.ai_test,TRIM(AP546),_xlpm.r,IFERROR(_xlfn.XLOOKUP(_xlpm.ai_test,BP16:BP63,ROW(BP16:BP63),0,1),IFERROR(_xlfn.XLOOKUP(_xlpm.ai_test,BQ16:BQ63,ROW(BQ16:BQ63),0,1),_xlfn.XLOOKUP(_xlpm.ai_test,BR16:BR63,ROW(BR16:BR63),0,1))),_xlpm.p,_xlpm.r-MIN(ROW(BP16:BP63))+1,_xlpm.f,INDEX(BS16:BS63,_xlpm.p),_xlpm.u,INDEX(BT16:BT63,_xlpm.p),_xlpm.s,INDEX(BV16:BV63,_xlpm.p),_xlpm.q,N(BA546)/_xlpm.f,IF(_xlpm.q&gt;=_xlpm.s,ROUND(_xlpm.q,1)&amp;" "&amp;_xlpm.ai_test&amp;" = "&amp;ROUND(_xlpm.q*_xlpm.f,1)&amp;" "&amp;_xlpm.u,ROUND(_xlpm.q,1)&amp;" "&amp;_xlpm.ai_test)),""),""))))</f>
        <v>0</v>
      </c>
      <c r="BD546" s="801"/>
      <c r="BE546" s="799" t="str">
        <f t="shared" si="213"/>
        <v/>
      </c>
      <c r="BF546" s="800" t="str">
        <f t="shared" si="214"/>
        <v/>
      </c>
      <c r="BG546" s="802">
        <f t="shared" si="217"/>
        <v>0</v>
      </c>
      <c r="BH546" s="803" t="str">
        <f t="shared" si="218"/>
        <v/>
      </c>
      <c r="BI546" s="792"/>
      <c r="BJ546" s="804">
        <f t="shared" si="216"/>
        <v>0</v>
      </c>
      <c r="BK546" s="794" t="str">
        <f t="shared" si="215"/>
        <v/>
      </c>
      <c r="BL546" s="227" t="s">
        <v>21</v>
      </c>
      <c r="BM546" s="773">
        <f t="shared" si="204"/>
        <v>0</v>
      </c>
      <c r="BN546" s="774">
        <f t="shared" si="205"/>
        <v>0</v>
      </c>
      <c r="BO546"/>
      <c r="BP546" s="627"/>
      <c r="BQ546" s="627"/>
      <c r="BR546" s="627"/>
      <c r="BS546" s="627"/>
      <c r="BT546" s="627"/>
      <c r="BU546" s="627"/>
      <c r="BV546" s="627"/>
      <c r="BW546" s="627"/>
      <c r="CD546" s="781" t="str">
        <f t="shared" si="198"/>
        <v>►</v>
      </c>
      <c r="CE546" s="633"/>
      <c r="CF546" s="633"/>
      <c r="CG546" s="633"/>
      <c r="CH546" s="633"/>
      <c r="CI546" s="633"/>
      <c r="DI546" s="3">
        <v>1</v>
      </c>
    </row>
    <row r="547" spans="1:115" ht="21" customHeight="1">
      <c r="B547" s="2265" t="str" cm="1">
        <f t="array" ref="B547">SUMPRODUCT(--(D547:J547&lt;&gt;""), LEN(TRIM(SUBSTITUTE(D547:J547, CHAR(160), "")))) &amp; " Car."</f>
        <v>0 Car.</v>
      </c>
      <c r="C547" s="1376" t="str">
        <f>IF(ISBLANK(D547),"",LARGE(C13:C546,1)+1)</f>
        <v/>
      </c>
      <c r="D547" s="1833"/>
      <c r="E547" s="1810"/>
      <c r="F547" s="1810"/>
      <c r="G547" s="1810"/>
      <c r="H547" s="1810"/>
      <c r="I547" s="1810"/>
      <c r="J547" s="1810"/>
      <c r="K547" s="1810"/>
      <c r="L547" s="1811"/>
      <c r="N547" s="103" t="str">
        <f t="shared" si="200"/>
        <v>►</v>
      </c>
      <c r="O547" s="1616"/>
      <c r="Q547" s="25" t="s">
        <v>15</v>
      </c>
      <c r="R547" s="31"/>
      <c r="S547" s="32"/>
      <c r="T547" s="31"/>
      <c r="U547" s="33"/>
      <c r="V547" s="1967"/>
      <c r="W547" s="1805"/>
      <c r="X547" s="91"/>
      <c r="Y547" s="1806"/>
      <c r="Z547" s="1968"/>
      <c r="AA547" s="2244"/>
      <c r="AB547" s="1969"/>
      <c r="AC547" s="1365"/>
      <c r="AD547" s="95"/>
      <c r="AE547" s="1326"/>
      <c r="AF547" s="97"/>
      <c r="AG547" s="1737"/>
      <c r="AH547" s="1970"/>
      <c r="AI547" s="99"/>
      <c r="AJ547" s="1809"/>
      <c r="AK547" s="6120" t="str">
        <f t="shared" si="201"/>
        <v>►</v>
      </c>
      <c r="AL547" s="781" t="str">
        <f t="shared" si="203"/>
        <v>►</v>
      </c>
      <c r="AM547" s="5499" t="str">
        <f t="shared" si="206"/>
        <v/>
      </c>
      <c r="AN547" s="783" t="str">
        <f t="shared" si="207"/>
        <v/>
      </c>
      <c r="AO547" s="782" t="str">
        <f t="shared" si="208"/>
        <v/>
      </c>
      <c r="AP547" s="783" t="str">
        <f t="shared" si="209"/>
        <v/>
      </c>
      <c r="AQ547" s="2083" t="b">
        <f>AND(Q547="A",COUNTIF(BP16:BR63,TRIM(Z547))&gt;0)</f>
        <v>0</v>
      </c>
      <c r="AR547" s="797" t="str">
        <f>IF(AL547&lt;&gt;"A","",IFERROR(IFERROR(_xlfn.XLOOKUP(TRIM(SUBSTITUTE(Z547,CHAR(160)," ")),BP16:BP63,BS16:BS63),IFERROR(_xlfn.XLOOKUP(TRIM(SUBSTITUTE(Z547,CHAR(160)," ")),BQ16:BQ63,BS16:BS63),_xlfn.XLOOKUP(TRIM(SUBSTITUTE(Z547,CHAR(160)," ")),BR16:BR63,BS16:BS63)))*Y547*IF(ISBLANK(V547),1,V547),0))</f>
        <v/>
      </c>
      <c r="AS547" s="784" t="str">
        <f t="shared" si="199"/>
        <v/>
      </c>
      <c r="AT547" s="1315" t="str">
        <f t="shared" si="210"/>
        <v/>
      </c>
      <c r="AU547" s="785">
        <f t="shared" si="211"/>
        <v>0</v>
      </c>
      <c r="AV547" s="785">
        <f t="shared" si="212"/>
        <v>0</v>
      </c>
      <c r="AW547" s="786">
        <f>IF(AK547="A",AY10,0)</f>
        <v>0</v>
      </c>
      <c r="AX547" s="5495" t="str">
        <f>IF(IFERROR(SEARCH("Adresse PC",TRIM(W547)),0)&gt;0,"▼ receta siguiente",IF(AK547="A",IF(AZ10&lt;&gt;"",AZ10&amp;" - ou.or.o ❾ + or - &gt;",""),""))</f>
        <v/>
      </c>
      <c r="AY547" s="810"/>
      <c r="AZ547" s="810"/>
      <c r="BA547" s="788" t="str">
        <f t="shared" si="202"/>
        <v/>
      </c>
      <c r="BB547" s="789" t="str">
        <f>IF(AK547="A",IF(AQ547,IF(AND(AW547&lt;&gt;"",N(AW547)&gt;0),IFERROR(IFERROR(_xlfn.XLOOKUP(AP547,BP10:BP57,BT10:BT57),IFERROR(_xlfn.XLOOKUP(AP547,BQ10:BQ57,BT10:BT57),_xlfn.XLOOKUP(AP547,BR10:BR57,BT10:BT57,""))),""),""),""),"")</f>
        <v/>
      </c>
      <c r="BC547" s="811" cm="1">
        <f t="array" ref="BC547">IF(NOT(AQ547),0,IF(OR(BA547="",N(BA547)&lt;=0.000000001),"",IF(OR(AU547="",N(AU547)&lt;=0.000000001),0,IF(ISNUMBER(BA547),IFERROR(_xlfn.LET(_xlpm.ai_test,TRIM(AP547),_xlpm.r,IFERROR(_xlfn.XLOOKUP(_xlpm.ai_test,BP16:BP63,ROW(BP16:BP63),0,1),IFERROR(_xlfn.XLOOKUP(_xlpm.ai_test,BQ16:BQ63,ROW(BQ16:BQ63),0,1),_xlfn.XLOOKUP(_xlpm.ai_test,BR16:BR63,ROW(BR16:BR63),0,1))),_xlpm.p,_xlpm.r-MIN(ROW(BP16:BP63))+1,_xlpm.f,INDEX(BS16:BS63,_xlpm.p),_xlpm.u,INDEX(BT16:BT63,_xlpm.p),_xlpm.s,INDEX(BV16:BV63,_xlpm.p),_xlpm.q,N(BA547)/_xlpm.f,IF(_xlpm.q&gt;=_xlpm.s,ROUND(_xlpm.q,1)&amp;" "&amp;_xlpm.ai_test&amp;" = "&amp;ROUND(_xlpm.q*_xlpm.f,1)&amp;" "&amp;_xlpm.u,ROUND(_xlpm.q,1)&amp;" "&amp;_xlpm.ai_test)),""),""))))</f>
        <v>0</v>
      </c>
      <c r="BD547" s="801"/>
      <c r="BE547" s="788" t="str">
        <f t="shared" si="213"/>
        <v/>
      </c>
      <c r="BF547" s="789" t="str">
        <f t="shared" si="214"/>
        <v/>
      </c>
      <c r="BG547" s="790">
        <f t="shared" si="217"/>
        <v>0</v>
      </c>
      <c r="BH547" s="791" t="str">
        <f t="shared" si="218"/>
        <v/>
      </c>
      <c r="BI547" s="792"/>
      <c r="BJ547" s="793">
        <f t="shared" si="216"/>
        <v>0</v>
      </c>
      <c r="BK547" s="794" t="str">
        <f t="shared" si="215"/>
        <v/>
      </c>
      <c r="BL547" s="227" t="s">
        <v>21</v>
      </c>
      <c r="BM547" s="773">
        <f t="shared" si="204"/>
        <v>0</v>
      </c>
      <c r="BN547" s="774">
        <f t="shared" si="205"/>
        <v>0</v>
      </c>
      <c r="BO547"/>
      <c r="BP547" s="627"/>
      <c r="BQ547" s="627"/>
      <c r="BR547" s="627"/>
      <c r="BS547" s="627"/>
      <c r="BT547" s="627"/>
      <c r="BU547" s="627"/>
      <c r="BV547" s="627"/>
      <c r="BW547" s="627"/>
      <c r="CD547" s="781" t="str">
        <f t="shared" si="198"/>
        <v>►</v>
      </c>
      <c r="CE547" s="633"/>
      <c r="CF547" s="633"/>
      <c r="CG547" s="633"/>
      <c r="CH547" s="633"/>
      <c r="CI547" s="633"/>
      <c r="DI547" s="3">
        <v>1</v>
      </c>
    </row>
    <row r="548" spans="1:115" ht="21" customHeight="1">
      <c r="B548" s="2265" t="str" cm="1">
        <f t="array" ref="B548">SUMPRODUCT(--(D548:J548&lt;&gt;""), LEN(TRIM(SUBSTITUTE(D548:J548, CHAR(160), "")))) &amp; " Car."</f>
        <v>0 Car.</v>
      </c>
      <c r="C548" s="1376" t="str">
        <f>IF(ISBLANK(D548),"",LARGE(C13:C547,1)+1)</f>
        <v/>
      </c>
      <c r="D548" s="1833"/>
      <c r="E548" s="1810"/>
      <c r="F548" s="1810"/>
      <c r="G548" s="1810"/>
      <c r="H548" s="1810"/>
      <c r="I548" s="1810"/>
      <c r="J548" s="1810"/>
      <c r="K548" s="1810"/>
      <c r="L548" s="1811"/>
      <c r="N548" s="103" t="str">
        <f t="shared" si="200"/>
        <v>►</v>
      </c>
      <c r="O548" s="1616"/>
      <c r="Q548" s="25" t="s">
        <v>15</v>
      </c>
      <c r="R548" s="31"/>
      <c r="S548" s="32"/>
      <c r="T548" s="31"/>
      <c r="U548" s="33"/>
      <c r="V548" s="1967"/>
      <c r="W548" s="1805"/>
      <c r="X548" s="91"/>
      <c r="Y548" s="1806"/>
      <c r="Z548" s="1968"/>
      <c r="AA548" s="2244"/>
      <c r="AB548" s="1969"/>
      <c r="AC548" s="1365"/>
      <c r="AD548" s="95"/>
      <c r="AE548" s="1326"/>
      <c r="AF548" s="97"/>
      <c r="AG548" s="1737"/>
      <c r="AH548" s="1970"/>
      <c r="AI548" s="99"/>
      <c r="AJ548" s="1809"/>
      <c r="AK548" s="6120" t="str">
        <f t="shared" si="201"/>
        <v>►</v>
      </c>
      <c r="AL548" s="781" t="str">
        <f t="shared" si="203"/>
        <v>►</v>
      </c>
      <c r="AM548" s="5498" t="str">
        <f t="shared" si="206"/>
        <v/>
      </c>
      <c r="AN548" s="783" t="str">
        <f t="shared" si="207"/>
        <v/>
      </c>
      <c r="AO548" s="782" t="str">
        <f t="shared" si="208"/>
        <v/>
      </c>
      <c r="AP548" s="783" t="str">
        <f t="shared" si="209"/>
        <v/>
      </c>
      <c r="AQ548" s="2083" t="b">
        <f>AND(Q548="A",COUNTIF(BP16:BR63,TRIM(Z548))&gt;0)</f>
        <v>0</v>
      </c>
      <c r="AR548" s="797" t="str">
        <f>IF(AL548&lt;&gt;"A","",IFERROR(IFERROR(_xlfn.XLOOKUP(TRIM(SUBSTITUTE(Z548,CHAR(160)," ")),BP16:BP63,BS16:BS63),IFERROR(_xlfn.XLOOKUP(TRIM(SUBSTITUTE(Z548,CHAR(160)," ")),BQ16:BQ63,BS16:BS63),_xlfn.XLOOKUP(TRIM(SUBSTITUTE(Z548,CHAR(160)," ")),BR16:BR63,BS16:BS63)))*Y548*IF(ISBLANK(V548),1,V548),0))</f>
        <v/>
      </c>
      <c r="AS548" s="784" t="str">
        <f t="shared" si="199"/>
        <v/>
      </c>
      <c r="AT548" s="1315" t="str">
        <f t="shared" si="210"/>
        <v/>
      </c>
      <c r="AU548" s="785">
        <f t="shared" si="211"/>
        <v>0</v>
      </c>
      <c r="AV548" s="785">
        <f t="shared" si="212"/>
        <v>0</v>
      </c>
      <c r="AW548" s="798">
        <f>IF(AK548="A",AY10,0)</f>
        <v>0</v>
      </c>
      <c r="AX548" s="5496" t="str">
        <f>IF(IFERROR(SEARCH("Adresse PC",TRIM(W548)),0)&gt;0,"▼ receta siguiente",IF(AK548="A",IF(AZ10&lt;&gt;"",AZ10&amp;" - ou.or.o ❾ + or - &gt;",""),""))</f>
        <v/>
      </c>
      <c r="AY548" s="810"/>
      <c r="AZ548" s="810"/>
      <c r="BA548" s="799" t="str">
        <f t="shared" si="202"/>
        <v/>
      </c>
      <c r="BB548" s="800" t="str">
        <f>IF(AK548="A",IF(AQ548,IF(AND(AW548&lt;&gt;"",N(AW548)&gt;0),IFERROR(IFERROR(_xlfn.XLOOKUP(AP548,BP10:BP57,BT10:BT57),IFERROR(_xlfn.XLOOKUP(AP548,BQ10:BQ57,BT10:BT57),_xlfn.XLOOKUP(AP548,BR10:BR57,BT10:BT57,""))),""),""),""),"")</f>
        <v/>
      </c>
      <c r="BC548" s="813" cm="1">
        <f t="array" ref="BC548">IF(NOT(AQ548),0,IF(OR(BA548="",N(BA548)&lt;=0.000000001),"",IF(OR(AU548="",N(AU548)&lt;=0.000000001),0,IF(ISNUMBER(BA548),IFERROR(_xlfn.LET(_xlpm.ai_test,TRIM(AP548),_xlpm.r,IFERROR(_xlfn.XLOOKUP(_xlpm.ai_test,BP16:BP63,ROW(BP16:BP63),0,1),IFERROR(_xlfn.XLOOKUP(_xlpm.ai_test,BQ16:BQ63,ROW(BQ16:BQ63),0,1),_xlfn.XLOOKUP(_xlpm.ai_test,BR16:BR63,ROW(BR16:BR63),0,1))),_xlpm.p,_xlpm.r-MIN(ROW(BP16:BP63))+1,_xlpm.f,INDEX(BS16:BS63,_xlpm.p),_xlpm.u,INDEX(BT16:BT63,_xlpm.p),_xlpm.s,INDEX(BV16:BV63,_xlpm.p),_xlpm.q,N(BA548)/_xlpm.f,IF(_xlpm.q&gt;=_xlpm.s,ROUND(_xlpm.q,1)&amp;" "&amp;_xlpm.ai_test&amp;" = "&amp;ROUND(_xlpm.q*_xlpm.f,1)&amp;" "&amp;_xlpm.u,ROUND(_xlpm.q,1)&amp;" "&amp;_xlpm.ai_test)),""),""))))</f>
        <v>0</v>
      </c>
      <c r="BD548" s="801"/>
      <c r="BE548" s="799" t="str">
        <f t="shared" si="213"/>
        <v/>
      </c>
      <c r="BF548" s="800" t="str">
        <f t="shared" si="214"/>
        <v/>
      </c>
      <c r="BG548" s="802">
        <f t="shared" si="217"/>
        <v>0</v>
      </c>
      <c r="BH548" s="803" t="str">
        <f t="shared" si="218"/>
        <v/>
      </c>
      <c r="BI548" s="792"/>
      <c r="BJ548" s="804">
        <f t="shared" si="216"/>
        <v>0</v>
      </c>
      <c r="BK548" s="794" t="str">
        <f t="shared" si="215"/>
        <v/>
      </c>
      <c r="BL548" s="227" t="s">
        <v>21</v>
      </c>
      <c r="BM548" s="773">
        <f t="shared" si="204"/>
        <v>0</v>
      </c>
      <c r="BN548" s="774">
        <f t="shared" si="205"/>
        <v>0</v>
      </c>
      <c r="BO548"/>
      <c r="BP548" s="627"/>
      <c r="BQ548" s="627"/>
      <c r="BR548" s="627"/>
      <c r="BS548" s="627"/>
      <c r="BT548" s="627"/>
      <c r="BU548" s="627"/>
      <c r="BV548" s="627"/>
      <c r="BW548" s="627"/>
      <c r="CD548" s="781" t="str">
        <f t="shared" si="198"/>
        <v>►</v>
      </c>
      <c r="CE548" s="633"/>
      <c r="CF548" s="633"/>
      <c r="CG548" s="633"/>
      <c r="CH548" s="633"/>
      <c r="CI548" s="633"/>
      <c r="DI548" s="3">
        <v>1</v>
      </c>
    </row>
    <row r="549" spans="1:115" ht="21" customHeight="1">
      <c r="B549" s="2265" t="str" cm="1">
        <f t="array" ref="B549">SUMPRODUCT(--(D549:J549&lt;&gt;""), LEN(TRIM(SUBSTITUTE(D549:J549, CHAR(160), "")))) &amp; " Car."</f>
        <v>0 Car.</v>
      </c>
      <c r="C549" s="1376" t="str">
        <f>IF(ISBLANK(D549),"",LARGE(C13:C548,1)+1)</f>
        <v/>
      </c>
      <c r="D549" s="1833"/>
      <c r="E549" s="1810"/>
      <c r="F549" s="1810"/>
      <c r="G549" s="1810"/>
      <c r="H549" s="1810"/>
      <c r="I549" s="1810"/>
      <c r="J549" s="1810"/>
      <c r="K549" s="1810"/>
      <c r="L549" s="1811"/>
      <c r="N549" s="103" t="str">
        <f t="shared" si="200"/>
        <v>►</v>
      </c>
      <c r="O549" s="1616"/>
      <c r="Q549" s="25" t="s">
        <v>15</v>
      </c>
      <c r="R549" s="31"/>
      <c r="S549" s="32"/>
      <c r="T549" s="31"/>
      <c r="U549" s="33"/>
      <c r="V549" s="1967"/>
      <c r="W549" s="1805"/>
      <c r="X549" s="91"/>
      <c r="Y549" s="1806"/>
      <c r="Z549" s="1968"/>
      <c r="AA549" s="2244"/>
      <c r="AB549" s="1969"/>
      <c r="AC549" s="1365"/>
      <c r="AD549" s="95"/>
      <c r="AE549" s="1326"/>
      <c r="AF549" s="97"/>
      <c r="AG549" s="1737"/>
      <c r="AH549" s="1970"/>
      <c r="AI549" s="99"/>
      <c r="AJ549" s="1809"/>
      <c r="AK549" s="6120" t="str">
        <f t="shared" si="201"/>
        <v>►</v>
      </c>
      <c r="AL549" s="781" t="str">
        <f t="shared" si="203"/>
        <v>►</v>
      </c>
      <c r="AM549" s="5499" t="str">
        <f t="shared" si="206"/>
        <v/>
      </c>
      <c r="AN549" s="783" t="str">
        <f t="shared" si="207"/>
        <v/>
      </c>
      <c r="AO549" s="782" t="str">
        <f t="shared" si="208"/>
        <v/>
      </c>
      <c r="AP549" s="783" t="str">
        <f t="shared" si="209"/>
        <v/>
      </c>
      <c r="AQ549" s="2083" t="b">
        <f>AND(Q549="A",COUNTIF(BP16:BR63,TRIM(Z549))&gt;0)</f>
        <v>0</v>
      </c>
      <c r="AR549" s="797" t="str">
        <f>IF(AL549&lt;&gt;"A","",IFERROR(IFERROR(_xlfn.XLOOKUP(TRIM(SUBSTITUTE(Z549,CHAR(160)," ")),BP16:BP63,BS16:BS63),IFERROR(_xlfn.XLOOKUP(TRIM(SUBSTITUTE(Z549,CHAR(160)," ")),BQ16:BQ63,BS16:BS63),_xlfn.XLOOKUP(TRIM(SUBSTITUTE(Z549,CHAR(160)," ")),BR16:BR63,BS16:BS63)))*Y549*IF(ISBLANK(V549),1,V549),0))</f>
        <v/>
      </c>
      <c r="AS549" s="784" t="str">
        <f t="shared" si="199"/>
        <v/>
      </c>
      <c r="AT549" s="1315" t="str">
        <f t="shared" si="210"/>
        <v/>
      </c>
      <c r="AU549" s="785">
        <f t="shared" si="211"/>
        <v>0</v>
      </c>
      <c r="AV549" s="785">
        <f t="shared" si="212"/>
        <v>0</v>
      </c>
      <c r="AW549" s="786">
        <f>IF(AK549="A",AY10,0)</f>
        <v>0</v>
      </c>
      <c r="AX549" s="5495" t="str">
        <f>IF(IFERROR(SEARCH("Adresse PC",TRIM(W549)),0)&gt;0,"▼ receta siguiente",IF(AK549="A",IF(AZ10&lt;&gt;"",AZ10&amp;" - ou.or.o ❾ + or - &gt;",""),""))</f>
        <v/>
      </c>
      <c r="AY549" s="810"/>
      <c r="AZ549" s="810"/>
      <c r="BA549" s="788" t="str">
        <f t="shared" si="202"/>
        <v/>
      </c>
      <c r="BB549" s="789" t="str">
        <f>IF(AK549="A",IF(AQ549,IF(AND(AW549&lt;&gt;"",N(AW549)&gt;0),IFERROR(IFERROR(_xlfn.XLOOKUP(AP549,BP10:BP57,BT10:BT57),IFERROR(_xlfn.XLOOKUP(AP549,BQ10:BQ57,BT10:BT57),_xlfn.XLOOKUP(AP549,BR10:BR57,BT10:BT57,""))),""),""),""),"")</f>
        <v/>
      </c>
      <c r="BC549" s="811" cm="1">
        <f t="array" ref="BC549">IF(NOT(AQ549),0,IF(OR(BA549="",N(BA549)&lt;=0.000000001),"",IF(OR(AU549="",N(AU549)&lt;=0.000000001),0,IF(ISNUMBER(BA549),IFERROR(_xlfn.LET(_xlpm.ai_test,TRIM(AP549),_xlpm.r,IFERROR(_xlfn.XLOOKUP(_xlpm.ai_test,BP16:BP63,ROW(BP16:BP63),0,1),IFERROR(_xlfn.XLOOKUP(_xlpm.ai_test,BQ16:BQ63,ROW(BQ16:BQ63),0,1),_xlfn.XLOOKUP(_xlpm.ai_test,BR16:BR63,ROW(BR16:BR63),0,1))),_xlpm.p,_xlpm.r-MIN(ROW(BP16:BP63))+1,_xlpm.f,INDEX(BS16:BS63,_xlpm.p),_xlpm.u,INDEX(BT16:BT63,_xlpm.p),_xlpm.s,INDEX(BV16:BV63,_xlpm.p),_xlpm.q,N(BA549)/_xlpm.f,IF(_xlpm.q&gt;=_xlpm.s,ROUND(_xlpm.q,1)&amp;" "&amp;_xlpm.ai_test&amp;" = "&amp;ROUND(_xlpm.q*_xlpm.f,1)&amp;" "&amp;_xlpm.u,ROUND(_xlpm.q,1)&amp;" "&amp;_xlpm.ai_test)),""),""))))</f>
        <v>0</v>
      </c>
      <c r="BD549" s="801"/>
      <c r="BE549" s="788" t="str">
        <f t="shared" si="213"/>
        <v/>
      </c>
      <c r="BF549" s="789" t="str">
        <f t="shared" si="214"/>
        <v/>
      </c>
      <c r="BG549" s="790">
        <f t="shared" si="217"/>
        <v>0</v>
      </c>
      <c r="BH549" s="791" t="str">
        <f t="shared" si="218"/>
        <v/>
      </c>
      <c r="BI549" s="792"/>
      <c r="BJ549" s="793">
        <f t="shared" si="216"/>
        <v>0</v>
      </c>
      <c r="BK549" s="794" t="str">
        <f t="shared" si="215"/>
        <v/>
      </c>
      <c r="BL549" s="227" t="s">
        <v>21</v>
      </c>
      <c r="BM549" s="773">
        <f t="shared" si="204"/>
        <v>0</v>
      </c>
      <c r="BN549" s="774">
        <f t="shared" si="205"/>
        <v>0</v>
      </c>
      <c r="BO549"/>
      <c r="BP549" s="627"/>
      <c r="BQ549" s="627"/>
      <c r="BR549" s="627"/>
      <c r="BS549" s="627"/>
      <c r="BT549" s="627"/>
      <c r="BU549" s="627"/>
      <c r="BV549" s="627"/>
      <c r="BW549" s="627"/>
      <c r="CD549" s="781" t="str">
        <f t="shared" si="198"/>
        <v>►</v>
      </c>
      <c r="CE549" s="633"/>
      <c r="CF549" s="633"/>
      <c r="CG549" s="633"/>
      <c r="CH549" s="633"/>
      <c r="CI549" s="633"/>
      <c r="DI549" s="3">
        <v>1</v>
      </c>
    </row>
    <row r="550" spans="1:115" ht="21" customHeight="1" thickBot="1">
      <c r="B550" s="2266" t="str" cm="1">
        <f t="array" ref="B550">SUMPRODUCT(--(D550:J550&lt;&gt;""), LEN(TRIM(SUBSTITUTE(D550:J550, CHAR(160), "")))) &amp; " Car."</f>
        <v>0 Car.</v>
      </c>
      <c r="C550" s="2267" t="str">
        <f>IF(ISBLANK(D550),"",LARGE(C13:C549,1)+1)</f>
        <v/>
      </c>
      <c r="D550" s="2268"/>
      <c r="E550" s="2269"/>
      <c r="F550" s="2269"/>
      <c r="G550" s="2269"/>
      <c r="H550" s="2269"/>
      <c r="I550" s="2269"/>
      <c r="J550" s="2269"/>
      <c r="K550" s="2269"/>
      <c r="L550" s="2270"/>
      <c r="N550" s="103" t="str">
        <f t="shared" si="200"/>
        <v>►</v>
      </c>
      <c r="O550" s="1616"/>
      <c r="Q550" s="25" t="s">
        <v>15</v>
      </c>
      <c r="R550" s="31"/>
      <c r="S550" s="32"/>
      <c r="T550" s="31"/>
      <c r="U550" s="33"/>
      <c r="V550" s="1967"/>
      <c r="W550" s="1805"/>
      <c r="X550" s="91"/>
      <c r="Y550" s="1806"/>
      <c r="Z550" s="1968"/>
      <c r="AA550" s="2244"/>
      <c r="AB550" s="1969"/>
      <c r="AC550" s="1365"/>
      <c r="AD550" s="95"/>
      <c r="AE550" s="1326"/>
      <c r="AF550" s="97"/>
      <c r="AG550" s="1737"/>
      <c r="AH550" s="1970"/>
      <c r="AI550" s="99"/>
      <c r="AJ550" s="1809"/>
      <c r="AK550" s="6120" t="str">
        <f t="shared" si="201"/>
        <v>►</v>
      </c>
      <c r="AL550" s="781" t="str">
        <f t="shared" si="203"/>
        <v>►</v>
      </c>
      <c r="AM550" s="5498" t="str">
        <f t="shared" si="206"/>
        <v/>
      </c>
      <c r="AN550" s="783" t="str">
        <f t="shared" si="207"/>
        <v/>
      </c>
      <c r="AO550" s="782" t="str">
        <f t="shared" si="208"/>
        <v/>
      </c>
      <c r="AP550" s="783" t="str">
        <f t="shared" si="209"/>
        <v/>
      </c>
      <c r="AQ550" s="2083" t="b">
        <f>AND(Q550="A",COUNTIF(BP16:BR63,TRIM(Z550))&gt;0)</f>
        <v>0</v>
      </c>
      <c r="AR550" s="797" t="str">
        <f>IF(AL550&lt;&gt;"A","",IFERROR(IFERROR(_xlfn.XLOOKUP(TRIM(SUBSTITUTE(Z550,CHAR(160)," ")),BP16:BP63,BS16:BS63),IFERROR(_xlfn.XLOOKUP(TRIM(SUBSTITUTE(Z550,CHAR(160)," ")),BQ16:BQ63,BS16:BS63),_xlfn.XLOOKUP(TRIM(SUBSTITUTE(Z550,CHAR(160)," ")),BR16:BR63,BS16:BS63)))*Y550*IF(ISBLANK(V550),1,V550),0))</f>
        <v/>
      </c>
      <c r="AS550" s="784" t="str">
        <f t="shared" si="199"/>
        <v/>
      </c>
      <c r="AT550" s="1315" t="str">
        <f t="shared" si="210"/>
        <v/>
      </c>
      <c r="AU550" s="785">
        <f t="shared" si="211"/>
        <v>0</v>
      </c>
      <c r="AV550" s="785">
        <f t="shared" si="212"/>
        <v>0</v>
      </c>
      <c r="AW550" s="798">
        <f>IF(AK550="A",AY10,0)</f>
        <v>0</v>
      </c>
      <c r="AX550" s="5496" t="str">
        <f>IF(IFERROR(SEARCH("Adresse PC",TRIM(W550)),0)&gt;0,"▼ receta siguiente",IF(AK550="A",IF(AZ10&lt;&gt;"",AZ10&amp;" - ou.or.o ❾ + or - &gt;",""),""))</f>
        <v/>
      </c>
      <c r="AY550" s="810"/>
      <c r="AZ550" s="810"/>
      <c r="BA550" s="799" t="str">
        <f t="shared" si="202"/>
        <v/>
      </c>
      <c r="BB550" s="800" t="str">
        <f>IF(AK550="A",IF(AQ550,IF(AND(AW550&lt;&gt;"",N(AW550)&gt;0),IFERROR(IFERROR(_xlfn.XLOOKUP(AP550,BP10:BP57,BT10:BT57),IFERROR(_xlfn.XLOOKUP(AP550,BQ10:BQ57,BT10:BT57),_xlfn.XLOOKUP(AP550,BR10:BR57,BT10:BT57,""))),""),""),""),"")</f>
        <v/>
      </c>
      <c r="BC550" s="813" cm="1">
        <f t="array" ref="BC550">IF(NOT(AQ550),0,IF(OR(BA550="",N(BA550)&lt;=0.000000001),"",IF(OR(AU550="",N(AU550)&lt;=0.000000001),0,IF(ISNUMBER(BA550),IFERROR(_xlfn.LET(_xlpm.ai_test,TRIM(AP550),_xlpm.r,IFERROR(_xlfn.XLOOKUP(_xlpm.ai_test,BP16:BP63,ROW(BP16:BP63),0,1),IFERROR(_xlfn.XLOOKUP(_xlpm.ai_test,BQ16:BQ63,ROW(BQ16:BQ63),0,1),_xlfn.XLOOKUP(_xlpm.ai_test,BR16:BR63,ROW(BR16:BR63),0,1))),_xlpm.p,_xlpm.r-MIN(ROW(BP16:BP63))+1,_xlpm.f,INDEX(BS16:BS63,_xlpm.p),_xlpm.u,INDEX(BT16:BT63,_xlpm.p),_xlpm.s,INDEX(BV16:BV63,_xlpm.p),_xlpm.q,N(BA550)/_xlpm.f,IF(_xlpm.q&gt;=_xlpm.s,ROUND(_xlpm.q,1)&amp;" "&amp;_xlpm.ai_test&amp;" = "&amp;ROUND(_xlpm.q*_xlpm.f,1)&amp;" "&amp;_xlpm.u,ROUND(_xlpm.q,1)&amp;" "&amp;_xlpm.ai_test)),""),""))))</f>
        <v>0</v>
      </c>
      <c r="BD550" s="801"/>
      <c r="BE550" s="799" t="str">
        <f t="shared" si="213"/>
        <v/>
      </c>
      <c r="BF550" s="800" t="str">
        <f t="shared" si="214"/>
        <v/>
      </c>
      <c r="BG550" s="802">
        <f t="shared" si="217"/>
        <v>0</v>
      </c>
      <c r="BH550" s="803" t="str">
        <f t="shared" si="218"/>
        <v/>
      </c>
      <c r="BI550" s="792"/>
      <c r="BJ550" s="804">
        <f t="shared" si="216"/>
        <v>0</v>
      </c>
      <c r="BK550" s="794" t="str">
        <f t="shared" si="215"/>
        <v/>
      </c>
      <c r="BL550" s="227" t="s">
        <v>21</v>
      </c>
      <c r="BM550" s="773">
        <f t="shared" si="204"/>
        <v>0</v>
      </c>
      <c r="BN550" s="774">
        <f t="shared" si="205"/>
        <v>0</v>
      </c>
      <c r="BO550"/>
      <c r="BP550"/>
      <c r="BQ550"/>
      <c r="BR550"/>
      <c r="BS550"/>
      <c r="BT550"/>
      <c r="BU550"/>
      <c r="BV550"/>
      <c r="BW550"/>
      <c r="CD550" s="781" t="str">
        <f t="shared" si="198"/>
        <v>►</v>
      </c>
      <c r="CE550" s="633"/>
      <c r="CF550" s="633"/>
      <c r="CG550" s="633"/>
      <c r="CH550" s="633"/>
      <c r="CI550" s="633"/>
      <c r="DI550" s="3">
        <v>1</v>
      </c>
    </row>
    <row r="551" spans="1:115" ht="21" customHeight="1" thickBot="1">
      <c r="A551" s="225"/>
      <c r="B551" s="1216" t="s">
        <v>10</v>
      </c>
      <c r="C551" s="1218" t="s">
        <v>2394</v>
      </c>
      <c r="D551" s="1217"/>
      <c r="E551" s="1217"/>
      <c r="F551" s="1217"/>
      <c r="G551" s="1218"/>
      <c r="H551" s="1217"/>
      <c r="I551" s="1217"/>
      <c r="J551" s="1217"/>
      <c r="K551" s="1217"/>
      <c r="L551" s="1224" t="s">
        <v>1755</v>
      </c>
      <c r="N551" s="224" t="str">
        <f t="shared" si="200"/>
        <v>A</v>
      </c>
      <c r="O551" s="5600"/>
      <c r="Q551" s="224" t="s">
        <v>10</v>
      </c>
      <c r="R551" s="225"/>
      <c r="S551" s="225"/>
      <c r="T551" s="225"/>
      <c r="U551" s="225"/>
      <c r="V551" s="225"/>
      <c r="W551" s="225"/>
      <c r="X551" s="225"/>
      <c r="Y551" s="225"/>
      <c r="Z551" s="225"/>
      <c r="AA551" s="225"/>
      <c r="AB551" s="225"/>
      <c r="AC551" s="225"/>
      <c r="AD551" s="225"/>
      <c r="AE551" s="225"/>
      <c r="AF551" s="225"/>
      <c r="AG551" s="225"/>
      <c r="AH551" s="225"/>
      <c r="AI551" s="225"/>
      <c r="AJ551" s="225"/>
      <c r="AK551" s="6119"/>
      <c r="AL551" s="225"/>
      <c r="AM551" s="225"/>
      <c r="AN551" s="225"/>
      <c r="AO551" s="225"/>
      <c r="AP551" s="225"/>
      <c r="AQ551" s="225"/>
      <c r="AR551" s="225"/>
      <c r="AS551" s="225"/>
      <c r="AT551" s="225"/>
      <c r="AU551" s="225"/>
      <c r="AV551" s="225"/>
      <c r="AW551" s="225"/>
      <c r="AX551" s="225"/>
      <c r="AY551" s="225"/>
      <c r="AZ551" s="225"/>
      <c r="BA551" s="225"/>
      <c r="BB551" s="225"/>
      <c r="BC551" s="225"/>
      <c r="BD551" s="225"/>
      <c r="BE551" s="225"/>
      <c r="BF551" s="225"/>
      <c r="BG551" s="225"/>
      <c r="BH551" s="225"/>
      <c r="BI551" s="225"/>
      <c r="BJ551" s="225"/>
      <c r="BK551" s="225"/>
      <c r="BL551" s="225"/>
      <c r="BM551" s="225"/>
      <c r="BN551" s="225"/>
      <c r="BO551" s="225"/>
      <c r="BP551" s="225"/>
      <c r="BQ551" s="225"/>
      <c r="BR551" s="225"/>
      <c r="BS551" s="225"/>
      <c r="BT551" s="225"/>
      <c r="BU551" s="225"/>
      <c r="BV551" s="225"/>
      <c r="BW551" s="225"/>
      <c r="BX551" s="225"/>
      <c r="BY551" s="225"/>
      <c r="BZ551" s="225"/>
      <c r="CA551" s="225"/>
      <c r="CB551" s="225"/>
      <c r="CC551" s="225"/>
      <c r="CD551" s="225"/>
      <c r="CE551" s="880"/>
      <c r="CF551" s="880"/>
      <c r="CG551" s="880"/>
      <c r="CH551" s="880"/>
      <c r="CI551" s="880"/>
      <c r="CJ551" s="880"/>
      <c r="CK551" s="880"/>
      <c r="CL551" s="880"/>
      <c r="CM551" s="880"/>
      <c r="CN551" s="880"/>
      <c r="CO551" s="880"/>
      <c r="CP551" s="880"/>
      <c r="CQ551" s="880"/>
      <c r="CR551" s="880"/>
      <c r="CS551" s="880"/>
      <c r="CT551" s="880"/>
      <c r="CU551" s="880"/>
      <c r="CV551" s="880"/>
      <c r="CW551" s="880"/>
      <c r="CX551" s="880"/>
      <c r="CY551" s="880"/>
      <c r="CZ551" s="880"/>
      <c r="DA551" s="880"/>
      <c r="DB551" s="880"/>
      <c r="DC551" s="880"/>
      <c r="DD551" s="880"/>
      <c r="DE551" s="880"/>
      <c r="DF551" s="880"/>
      <c r="DG551" s="880"/>
      <c r="DH551" s="880"/>
      <c r="DI551" s="1148" t="s">
        <v>793</v>
      </c>
    </row>
    <row r="552" spans="1:115">
      <c r="A552" s="3">
        <v>1</v>
      </c>
      <c r="B552" s="3">
        <v>1</v>
      </c>
      <c r="C552" s="3">
        <v>1</v>
      </c>
      <c r="D552" s="3">
        <v>1</v>
      </c>
      <c r="E552" s="3">
        <v>1</v>
      </c>
      <c r="F552" s="3">
        <v>1</v>
      </c>
      <c r="G552" s="3">
        <v>1</v>
      </c>
      <c r="H552" s="3">
        <v>1</v>
      </c>
      <c r="I552" s="3">
        <v>1</v>
      </c>
      <c r="J552" s="3">
        <v>1</v>
      </c>
      <c r="K552" s="3">
        <v>1</v>
      </c>
      <c r="L552" s="3">
        <v>1</v>
      </c>
      <c r="M552" s="3">
        <v>1</v>
      </c>
      <c r="N552" s="3">
        <v>1</v>
      </c>
      <c r="O552" s="3">
        <v>1</v>
      </c>
      <c r="P552" s="3">
        <v>1</v>
      </c>
      <c r="Q552" s="3">
        <v>1</v>
      </c>
      <c r="R552" s="3">
        <v>1</v>
      </c>
      <c r="S552" s="3">
        <v>1</v>
      </c>
      <c r="T552" s="3">
        <v>1</v>
      </c>
      <c r="U552" s="3">
        <v>1</v>
      </c>
      <c r="V552" s="3">
        <v>1</v>
      </c>
      <c r="W552" s="3">
        <v>1</v>
      </c>
      <c r="X552" s="3">
        <v>1</v>
      </c>
      <c r="Y552" s="3">
        <v>1</v>
      </c>
      <c r="Z552" s="3">
        <v>1</v>
      </c>
      <c r="AA552" s="3">
        <v>1</v>
      </c>
      <c r="AB552" s="3">
        <v>1</v>
      </c>
      <c r="AC552" s="3">
        <v>1</v>
      </c>
      <c r="AD552" s="3">
        <v>1</v>
      </c>
      <c r="AE552" s="3">
        <v>1</v>
      </c>
      <c r="AF552" s="3">
        <v>1</v>
      </c>
      <c r="AG552" s="3">
        <v>1</v>
      </c>
      <c r="AH552" s="3">
        <v>1</v>
      </c>
      <c r="AI552" s="3">
        <v>1</v>
      </c>
      <c r="AJ552" s="3">
        <v>1</v>
      </c>
      <c r="AK552" s="3">
        <v>1</v>
      </c>
      <c r="AL552" s="3">
        <v>1</v>
      </c>
      <c r="AM552" s="3">
        <v>1</v>
      </c>
      <c r="AN552" s="3">
        <v>1</v>
      </c>
      <c r="AO552" s="3">
        <v>1</v>
      </c>
      <c r="AP552" s="3">
        <v>1</v>
      </c>
      <c r="AQ552" s="3">
        <v>1</v>
      </c>
      <c r="AR552" s="3">
        <v>1</v>
      </c>
      <c r="AS552" s="3">
        <v>1</v>
      </c>
      <c r="AT552" s="3">
        <v>1</v>
      </c>
      <c r="AU552" s="3">
        <v>1</v>
      </c>
      <c r="AV552" s="3">
        <v>1</v>
      </c>
      <c r="AW552" s="3">
        <v>1</v>
      </c>
      <c r="AX552" s="3">
        <v>1</v>
      </c>
      <c r="AY552" s="3">
        <v>1</v>
      </c>
      <c r="AZ552" s="3">
        <v>1</v>
      </c>
      <c r="BA552" s="3">
        <v>1</v>
      </c>
      <c r="BB552" s="3">
        <v>1</v>
      </c>
      <c r="BC552" s="3">
        <v>1</v>
      </c>
      <c r="BD552" s="3">
        <v>1</v>
      </c>
      <c r="BE552" s="3">
        <v>1</v>
      </c>
      <c r="BF552" s="3">
        <v>1</v>
      </c>
      <c r="BG552" s="3">
        <v>1</v>
      </c>
      <c r="BH552" s="3">
        <v>1</v>
      </c>
      <c r="BI552" s="3">
        <v>1</v>
      </c>
      <c r="BJ552" s="3">
        <v>1</v>
      </c>
      <c r="BK552" s="3">
        <v>1</v>
      </c>
      <c r="BL552" s="3">
        <v>1</v>
      </c>
      <c r="BM552" s="3">
        <v>1</v>
      </c>
      <c r="BN552" s="3">
        <v>1</v>
      </c>
      <c r="BO552" s="3">
        <v>1</v>
      </c>
      <c r="BP552" s="3">
        <v>1</v>
      </c>
      <c r="BQ552" s="3">
        <v>1</v>
      </c>
      <c r="BR552" s="3">
        <v>1</v>
      </c>
      <c r="BS552" s="3">
        <v>1</v>
      </c>
      <c r="BT552" s="3">
        <v>1</v>
      </c>
      <c r="BU552" s="3">
        <v>1</v>
      </c>
      <c r="BV552" s="3">
        <v>1</v>
      </c>
      <c r="BW552" s="3">
        <v>1</v>
      </c>
      <c r="BX552" s="3">
        <v>1</v>
      </c>
      <c r="BY552" s="3">
        <v>1</v>
      </c>
      <c r="BZ552" s="3">
        <v>1</v>
      </c>
      <c r="CA552" s="3">
        <v>1</v>
      </c>
      <c r="CB552" s="3">
        <v>1</v>
      </c>
      <c r="CC552" s="3">
        <v>1</v>
      </c>
      <c r="CD552" s="3">
        <v>1</v>
      </c>
      <c r="CE552" s="3">
        <v>1</v>
      </c>
      <c r="CF552" s="3">
        <v>1</v>
      </c>
      <c r="CG552" s="3">
        <v>1</v>
      </c>
      <c r="CH552" s="3">
        <v>1</v>
      </c>
      <c r="CI552" s="3">
        <v>1</v>
      </c>
      <c r="CJ552" s="3">
        <v>1</v>
      </c>
      <c r="CK552" s="3">
        <v>1</v>
      </c>
      <c r="CL552" s="3">
        <v>1</v>
      </c>
      <c r="CM552" s="3">
        <v>1</v>
      </c>
      <c r="CN552" s="3">
        <v>1</v>
      </c>
      <c r="CO552" s="3">
        <v>1</v>
      </c>
      <c r="CP552" s="3">
        <v>1</v>
      </c>
      <c r="CQ552" s="3">
        <v>1</v>
      </c>
      <c r="CR552" s="3">
        <v>1</v>
      </c>
      <c r="CS552" s="3">
        <v>1</v>
      </c>
      <c r="CT552" s="3">
        <v>1</v>
      </c>
      <c r="CU552" s="3">
        <v>1</v>
      </c>
      <c r="CV552" s="3">
        <v>1</v>
      </c>
      <c r="CW552" s="3">
        <v>1</v>
      </c>
      <c r="CX552" s="3">
        <v>1</v>
      </c>
      <c r="CY552" s="3">
        <v>1</v>
      </c>
      <c r="CZ552" s="3">
        <v>1</v>
      </c>
      <c r="DA552" s="3">
        <v>1</v>
      </c>
      <c r="DB552" s="3">
        <v>1</v>
      </c>
      <c r="DC552" s="3">
        <v>1</v>
      </c>
      <c r="DD552" s="3">
        <v>1</v>
      </c>
      <c r="DE552" s="3">
        <v>1</v>
      </c>
      <c r="DF552" s="3">
        <v>1</v>
      </c>
      <c r="DG552" s="3">
        <v>1</v>
      </c>
      <c r="DH552" s="3">
        <v>1</v>
      </c>
      <c r="DI552" s="1" t="str">
        <f>ADDRESS(ROW(),COLUMN(),4)</f>
        <v>DI552</v>
      </c>
      <c r="DJ552" s="628"/>
      <c r="DK552" s="629" t="str">
        <f>ADDRESS(ROW(),COLUMN(),4)</f>
        <v>DK552</v>
      </c>
    </row>
  </sheetData>
  <mergeCells count="108">
    <mergeCell ref="O55:O57"/>
    <mergeCell ref="O58:O60"/>
    <mergeCell ref="CE59:CI60"/>
    <mergeCell ref="CE62:CI63"/>
    <mergeCell ref="BP64:BW65"/>
    <mergeCell ref="CE65:CI66"/>
    <mergeCell ref="CS37:CY39"/>
    <mergeCell ref="DA37:DG39"/>
    <mergeCell ref="O38:O41"/>
    <mergeCell ref="O46:O49"/>
    <mergeCell ref="DA49:DG50"/>
    <mergeCell ref="CE46:CI47"/>
    <mergeCell ref="CE49:CI50"/>
    <mergeCell ref="CK49:CQ50"/>
    <mergeCell ref="CS49:CY50"/>
    <mergeCell ref="BP91:CB92"/>
    <mergeCell ref="BP100:CB101"/>
    <mergeCell ref="BP108:CB109"/>
    <mergeCell ref="BP83:CB84"/>
    <mergeCell ref="BP75:CB76"/>
    <mergeCell ref="DA75:DG76"/>
    <mergeCell ref="BP68:BW69"/>
    <mergeCell ref="CE68:CI70"/>
    <mergeCell ref="BP70:BW71"/>
    <mergeCell ref="CK70:CQ71"/>
    <mergeCell ref="CS70:CY71"/>
    <mergeCell ref="DA70:DG71"/>
    <mergeCell ref="O25:O27"/>
    <mergeCell ref="O30:O32"/>
    <mergeCell ref="CE31:CI32"/>
    <mergeCell ref="CE34:CI35"/>
    <mergeCell ref="CE37:CI38"/>
    <mergeCell ref="CK37:CQ39"/>
    <mergeCell ref="AK1:AK2"/>
    <mergeCell ref="M1:M2"/>
    <mergeCell ref="AM21:AQ22"/>
    <mergeCell ref="AR21:AV22"/>
    <mergeCell ref="AW21:AX22"/>
    <mergeCell ref="AY21:AZ21"/>
    <mergeCell ref="BA21:BB22"/>
    <mergeCell ref="BA15:BB16"/>
    <mergeCell ref="BC15:BC16"/>
    <mergeCell ref="BD15:BD16"/>
    <mergeCell ref="BE15:BF16"/>
    <mergeCell ref="O23:O24"/>
    <mergeCell ref="BH17:BH18"/>
    <mergeCell ref="BI17:BI18"/>
    <mergeCell ref="BJ17:BJ18"/>
    <mergeCell ref="BK17:BK18"/>
    <mergeCell ref="AY17:AZ18"/>
    <mergeCell ref="BA17:BB18"/>
    <mergeCell ref="BC17:BC18"/>
    <mergeCell ref="BD17:BD18"/>
    <mergeCell ref="BE17:BF18"/>
    <mergeCell ref="BG17:BG18"/>
    <mergeCell ref="BJ21:BJ22"/>
    <mergeCell ref="BK21:BK22"/>
    <mergeCell ref="BC21:BC22"/>
    <mergeCell ref="BD21:BD22"/>
    <mergeCell ref="BE21:BF22"/>
    <mergeCell ref="BG21:BG22"/>
    <mergeCell ref="BH21:BH22"/>
    <mergeCell ref="BI21:BI22"/>
    <mergeCell ref="O21:O22"/>
    <mergeCell ref="D13:L13"/>
    <mergeCell ref="AM15:AM16"/>
    <mergeCell ref="AR15:AV16"/>
    <mergeCell ref="B9:L9"/>
    <mergeCell ref="CK9:CQ9"/>
    <mergeCell ref="CS9:CY9"/>
    <mergeCell ref="DA9:DG9"/>
    <mergeCell ref="B10:L10"/>
    <mergeCell ref="AV10:AX11"/>
    <mergeCell ref="AY10:AY11"/>
    <mergeCell ref="AZ10:BA11"/>
    <mergeCell ref="CK10:CQ11"/>
    <mergeCell ref="CS10:CY11"/>
    <mergeCell ref="BG15:BG16"/>
    <mergeCell ref="BH15:BH16"/>
    <mergeCell ref="BI15:BI16"/>
    <mergeCell ref="BJ15:BJ16"/>
    <mergeCell ref="BK15:BK16"/>
    <mergeCell ref="O16:O17"/>
    <mergeCell ref="AM17:AM18"/>
    <mergeCell ref="AR17:AV18"/>
    <mergeCell ref="AW17:AX18"/>
    <mergeCell ref="AW15:AX16"/>
    <mergeCell ref="AY15:AZ16"/>
    <mergeCell ref="B8:L8"/>
    <mergeCell ref="AM8:AQ9"/>
    <mergeCell ref="AR8:AR9"/>
    <mergeCell ref="AS8:BG9"/>
    <mergeCell ref="BH8:BI9"/>
    <mergeCell ref="BJ8:BJ9"/>
    <mergeCell ref="DA10:DG11"/>
    <mergeCell ref="CK12:CQ12"/>
    <mergeCell ref="CS12:CY12"/>
    <mergeCell ref="DA12:DG12"/>
    <mergeCell ref="BF4:BK5"/>
    <mergeCell ref="AQ6:AR7"/>
    <mergeCell ref="AS6:BG7"/>
    <mergeCell ref="BH6:BI7"/>
    <mergeCell ref="BJ6:BJ7"/>
    <mergeCell ref="BK6:BK9"/>
    <mergeCell ref="CK6:CQ8"/>
    <mergeCell ref="CS6:CY8"/>
    <mergeCell ref="DA6:DG8"/>
    <mergeCell ref="CE7:CI8"/>
  </mergeCells>
  <hyperlinks>
    <hyperlink ref="O71" r:id="rId1" xr:uid="{4109467D-52B5-4A6E-9EB5-3CC50CEAE626}"/>
    <hyperlink ref="O79" r:id="rId2" xr:uid="{AC7774B3-4F68-4952-8428-A6B081F2F5D1}"/>
    <hyperlink ref="O82" r:id="rId3" xr:uid="{4570C053-27B8-46AE-B497-902F672C10DF}"/>
    <hyperlink ref="O74" r:id="rId4" xr:uid="{B50B9ECD-1B60-4F06-8791-56653D1E0E0B}"/>
  </hyperlinks>
  <printOptions horizontalCentered="1"/>
  <pageMargins left="0.25" right="0.25" top="0.75" bottom="0.75" header="0.3" footer="0.3"/>
  <pageSetup paperSize="9" scale="31"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54EDB-283D-427F-B41E-C509393800B2}">
  <dimension ref="A1:CA721"/>
  <sheetViews>
    <sheetView showZeros="0" topLeftCell="H1" workbookViewId="0">
      <selection activeCell="W19" sqref="W19"/>
    </sheetView>
  </sheetViews>
  <sheetFormatPr baseColWidth="10" defaultRowHeight="15"/>
  <cols>
    <col min="1" max="1" width="2.85546875" customWidth="1"/>
    <col min="2" max="2" width="11.7109375" customWidth="1"/>
    <col min="3" max="3" width="9.7109375" customWidth="1"/>
    <col min="4" max="4" width="6.7109375" customWidth="1"/>
    <col min="5" max="5" width="40.7109375" customWidth="1"/>
    <col min="6" max="6" width="10.7109375" customWidth="1"/>
    <col min="7" max="7" width="9.7109375" customWidth="1"/>
    <col min="8" max="8" width="11.7109375" customWidth="1"/>
    <col min="9" max="11" width="13.7109375" customWidth="1"/>
    <col min="12" max="12" width="17.7109375" customWidth="1"/>
    <col min="13" max="13" width="4.85546875" customWidth="1"/>
    <col min="14" max="17" width="3.7109375" customWidth="1"/>
    <col min="18" max="18" width="5.7109375" customWidth="1"/>
    <col min="19" max="20" width="12.7109375" customWidth="1"/>
    <col min="21" max="21" width="3.7109375" customWidth="1"/>
    <col min="22" max="22" width="9.7109375" customWidth="1"/>
    <col min="23" max="23" width="12.7109375" customWidth="1"/>
    <col min="24" max="24" width="9.7109375" customWidth="1"/>
    <col min="25" max="25" width="6.7109375" customWidth="1"/>
    <col min="26" max="26" width="40.7109375" customWidth="1"/>
    <col min="27" max="27" width="10.7109375" customWidth="1"/>
    <col min="28" max="28" width="9.7109375" customWidth="1"/>
    <col min="29" max="29" width="11.42578125" customWidth="1"/>
    <col min="30" max="32" width="13.7109375" customWidth="1"/>
    <col min="33" max="33" width="17.7109375" customWidth="1"/>
    <col min="34" max="34" width="19.28515625" customWidth="1"/>
    <col min="35" max="38" width="3.7109375" customWidth="1"/>
    <col min="39" max="39" width="5.7109375" customWidth="1"/>
    <col min="40" max="41" width="12.7109375" customWidth="1"/>
    <col min="42" max="42" width="3.7109375" customWidth="1"/>
    <col min="43" max="43" width="9.7109375" customWidth="1"/>
    <col min="44" max="44" width="12.7109375" customWidth="1"/>
    <col min="45" max="45" width="9.7109375" customWidth="1"/>
    <col min="46" max="46" width="6.7109375" customWidth="1"/>
    <col min="47" max="47" width="40.7109375" customWidth="1"/>
    <col min="48" max="48" width="10.7109375" customWidth="1"/>
    <col min="49" max="49" width="9.7109375" customWidth="1"/>
    <col min="50" max="50" width="11.7109375" customWidth="1"/>
    <col min="51" max="53" width="13.7109375" customWidth="1"/>
    <col min="54" max="54" width="17.7109375" customWidth="1"/>
    <col min="55" max="55" width="8.140625" customWidth="1"/>
    <col min="56" max="59" width="3.7109375" customWidth="1"/>
    <col min="60" max="60" width="5.7109375" customWidth="1"/>
    <col min="61" max="62" width="12.7109375" customWidth="1"/>
    <col min="63" max="63" width="3.7109375" customWidth="1"/>
    <col min="64" max="64" width="9.7109375" customWidth="1"/>
    <col min="65" max="65" width="12.7109375" customWidth="1"/>
    <col min="66" max="66" width="9.7109375" customWidth="1"/>
    <col min="67" max="67" width="6.7109375" customWidth="1"/>
    <col min="68" max="68" width="40.7109375" customWidth="1"/>
    <col min="69" max="69" width="10.7109375" customWidth="1"/>
    <col min="70" max="70" width="9.7109375" customWidth="1"/>
    <col min="71" max="71" width="11.7109375" customWidth="1"/>
    <col min="72" max="74" width="13.7109375" customWidth="1"/>
    <col min="75" max="75" width="17.7109375" customWidth="1"/>
    <col min="76" max="76" width="21.5703125" customWidth="1"/>
    <col min="77" max="77" width="5.42578125" customWidth="1"/>
    <col min="79" max="79" width="86" customWidth="1"/>
  </cols>
  <sheetData>
    <row r="1" spans="1:79" ht="15.75" customHeight="1" thickTop="1">
      <c r="A1" s="1" t="str">
        <f>ADDRESS(ROW(),COLUMN(),4)</f>
        <v>A1</v>
      </c>
      <c r="B1" s="2" t="str">
        <f t="shared" ref="B1:L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278"/>
      <c r="N1" s="2" t="str">
        <f t="shared" ref="N1:BW1" si="1">SUBSTITUTE(ADDRESS(1,COLUMN(),4),"1","")</f>
        <v>N</v>
      </c>
      <c r="O1" s="2" t="str">
        <f t="shared" si="1"/>
        <v>O</v>
      </c>
      <c r="P1" s="2" t="str">
        <f t="shared" si="1"/>
        <v>P</v>
      </c>
      <c r="Q1" s="2" t="str">
        <f t="shared" si="1"/>
        <v>Q</v>
      </c>
      <c r="R1" s="2" t="str">
        <f t="shared" si="1"/>
        <v>R</v>
      </c>
      <c r="S1" s="2" t="str">
        <f t="shared" si="1"/>
        <v>S</v>
      </c>
      <c r="T1" s="2" t="str">
        <f t="shared" si="1"/>
        <v>T</v>
      </c>
      <c r="U1" s="2" t="str">
        <f t="shared" si="1"/>
        <v>U</v>
      </c>
      <c r="V1" s="2" t="str">
        <f t="shared" si="1"/>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6628" t="s">
        <v>8774</v>
      </c>
      <c r="AI1" s="2" t="str">
        <f t="shared" si="1"/>
        <v>AI</v>
      </c>
      <c r="AJ1" s="2" t="str">
        <f t="shared" si="1"/>
        <v>AJ</v>
      </c>
      <c r="AK1" s="2" t="str">
        <f t="shared" si="1"/>
        <v>AK</v>
      </c>
      <c r="AL1" s="2" t="str">
        <f t="shared" si="1"/>
        <v>AL</v>
      </c>
      <c r="AM1" s="2" t="str">
        <f t="shared" si="1"/>
        <v>AM</v>
      </c>
      <c r="AN1" s="2" t="str">
        <f t="shared" si="1"/>
        <v>AN</v>
      </c>
      <c r="AO1" s="2" t="str">
        <f t="shared" si="1"/>
        <v>AO</v>
      </c>
      <c r="AP1" s="2" t="str">
        <f t="shared" si="1"/>
        <v>AP</v>
      </c>
      <c r="AQ1" s="2" t="str">
        <f t="shared" si="1"/>
        <v>AQ</v>
      </c>
      <c r="AR1" s="2" t="str">
        <f t="shared" si="1"/>
        <v>AR</v>
      </c>
      <c r="AS1" s="2" t="str">
        <f t="shared" si="1"/>
        <v>AS</v>
      </c>
      <c r="AT1" s="2" t="str">
        <f t="shared" si="1"/>
        <v>AT</v>
      </c>
      <c r="AU1" s="2" t="str">
        <f t="shared" si="1"/>
        <v>AU</v>
      </c>
      <c r="AV1" s="2" t="str">
        <f t="shared" si="1"/>
        <v>AV</v>
      </c>
      <c r="AW1" s="2" t="str">
        <f t="shared" si="1"/>
        <v>AW</v>
      </c>
      <c r="AX1" s="2" t="str">
        <f t="shared" si="1"/>
        <v>AX</v>
      </c>
      <c r="AY1" s="2" t="str">
        <f t="shared" si="1"/>
        <v>AY</v>
      </c>
      <c r="AZ1" s="2" t="str">
        <f t="shared" si="1"/>
        <v>AZ</v>
      </c>
      <c r="BA1" s="2" t="str">
        <f t="shared" si="1"/>
        <v>BA</v>
      </c>
      <c r="BB1" s="2" t="str">
        <f t="shared" si="1"/>
        <v>BB</v>
      </c>
      <c r="BC1" s="2276"/>
      <c r="BD1" s="2" t="str">
        <f t="shared" si="1"/>
        <v>BD</v>
      </c>
      <c r="BE1" s="2" t="str">
        <f t="shared" si="1"/>
        <v>BE</v>
      </c>
      <c r="BF1" s="2" t="str">
        <f t="shared" si="1"/>
        <v>BF</v>
      </c>
      <c r="BG1" s="2" t="str">
        <f t="shared" si="1"/>
        <v>BG</v>
      </c>
      <c r="BH1" s="2" t="str">
        <f t="shared" si="1"/>
        <v>BH</v>
      </c>
      <c r="BI1" s="2" t="str">
        <f t="shared" si="1"/>
        <v>BI</v>
      </c>
      <c r="BJ1" s="2" t="str">
        <f t="shared" si="1"/>
        <v>BJ</v>
      </c>
      <c r="BK1" s="2" t="str">
        <f t="shared" si="1"/>
        <v>BK</v>
      </c>
      <c r="BL1" s="2" t="str">
        <f t="shared" si="1"/>
        <v>BL</v>
      </c>
      <c r="BM1" s="2" t="str">
        <f t="shared" si="1"/>
        <v>BM</v>
      </c>
      <c r="BN1" s="2" t="str">
        <f t="shared" si="1"/>
        <v>BN</v>
      </c>
      <c r="BO1" s="2" t="str">
        <f t="shared" si="1"/>
        <v>BO</v>
      </c>
      <c r="BP1" s="2" t="str">
        <f t="shared" si="1"/>
        <v>BP</v>
      </c>
      <c r="BQ1" s="2" t="str">
        <f t="shared" si="1"/>
        <v>BQ</v>
      </c>
      <c r="BR1" s="2" t="str">
        <f t="shared" si="1"/>
        <v>BR</v>
      </c>
      <c r="BS1" s="2" t="str">
        <f t="shared" si="1"/>
        <v>BS</v>
      </c>
      <c r="BT1" s="2" t="str">
        <f t="shared" si="1"/>
        <v>BT</v>
      </c>
      <c r="BU1" s="2" t="str">
        <f t="shared" si="1"/>
        <v>BU</v>
      </c>
      <c r="BV1" s="2" t="str">
        <f t="shared" si="1"/>
        <v>BV</v>
      </c>
      <c r="BW1" s="2" t="str">
        <f t="shared" si="1"/>
        <v>BW</v>
      </c>
      <c r="BX1" s="6628" t="s">
        <v>8774</v>
      </c>
      <c r="BY1" s="3">
        <v>1</v>
      </c>
      <c r="BZ1" s="4" t="str">
        <f>SUBSTITUTE(ADDRESS(1,COLUMN(),4),"1","")</f>
        <v>BZ</v>
      </c>
      <c r="CA1" s="5" t="str">
        <f>SUBSTITUTE(ADDRESS(1,COLUMN(),4),"1","")</f>
        <v>CA</v>
      </c>
    </row>
    <row r="2" spans="1:79">
      <c r="B2" s="694">
        <f t="shared" ref="B2:L2" ca="1" si="2">CELL("largeur",B2)</f>
        <v>11</v>
      </c>
      <c r="C2" s="694">
        <f t="shared" ca="1" si="2"/>
        <v>9</v>
      </c>
      <c r="D2" s="694">
        <f t="shared" ca="1" si="2"/>
        <v>6</v>
      </c>
      <c r="E2" s="694">
        <f t="shared" ca="1" si="2"/>
        <v>40</v>
      </c>
      <c r="F2" s="694">
        <f t="shared" ca="1" si="2"/>
        <v>10</v>
      </c>
      <c r="G2" s="694">
        <f t="shared" ca="1" si="2"/>
        <v>9</v>
      </c>
      <c r="H2" s="694">
        <f t="shared" ca="1" si="2"/>
        <v>11</v>
      </c>
      <c r="I2" s="694">
        <f t="shared" ca="1" si="2"/>
        <v>13</v>
      </c>
      <c r="J2" s="694">
        <f t="shared" ca="1" si="2"/>
        <v>13</v>
      </c>
      <c r="K2" s="694">
        <f t="shared" ca="1" si="2"/>
        <v>13</v>
      </c>
      <c r="L2" s="694">
        <f t="shared" ca="1" si="2"/>
        <v>17</v>
      </c>
      <c r="M2" s="2278" t="s">
        <v>8774</v>
      </c>
      <c r="N2" s="694">
        <f t="shared" ref="N2:BW2" ca="1" si="3">CELL("largeur",N2)</f>
        <v>3</v>
      </c>
      <c r="O2" s="694">
        <f t="shared" ca="1" si="3"/>
        <v>3</v>
      </c>
      <c r="P2" s="694">
        <f t="shared" ca="1" si="3"/>
        <v>3</v>
      </c>
      <c r="Q2" s="694">
        <f t="shared" ca="1" si="3"/>
        <v>3</v>
      </c>
      <c r="R2" s="694">
        <f t="shared" ca="1" si="3"/>
        <v>5</v>
      </c>
      <c r="S2" s="694">
        <f t="shared" ca="1" si="3"/>
        <v>12</v>
      </c>
      <c r="T2" s="694">
        <f t="shared" ca="1" si="3"/>
        <v>12</v>
      </c>
      <c r="U2" s="694">
        <f t="shared" ca="1" si="3"/>
        <v>3</v>
      </c>
      <c r="V2" s="694">
        <f t="shared" ca="1" si="3"/>
        <v>9</v>
      </c>
      <c r="W2" s="694">
        <f t="shared" ca="1" si="3"/>
        <v>12</v>
      </c>
      <c r="X2" s="694">
        <f t="shared" ca="1" si="3"/>
        <v>9</v>
      </c>
      <c r="Y2" s="694">
        <f t="shared" ca="1" si="3"/>
        <v>6</v>
      </c>
      <c r="Z2" s="694">
        <f t="shared" ca="1" si="3"/>
        <v>40</v>
      </c>
      <c r="AA2" s="694">
        <f t="shared" ca="1" si="3"/>
        <v>10</v>
      </c>
      <c r="AB2" s="694">
        <f t="shared" ca="1" si="3"/>
        <v>9</v>
      </c>
      <c r="AC2" s="694">
        <f t="shared" ca="1" si="3"/>
        <v>11</v>
      </c>
      <c r="AD2" s="694">
        <f t="shared" ca="1" si="3"/>
        <v>13</v>
      </c>
      <c r="AE2" s="694">
        <f t="shared" ca="1" si="3"/>
        <v>13</v>
      </c>
      <c r="AF2" s="694">
        <f t="shared" ca="1" si="3"/>
        <v>13</v>
      </c>
      <c r="AG2" s="694">
        <f t="shared" ca="1" si="3"/>
        <v>17</v>
      </c>
      <c r="AH2" s="6628"/>
      <c r="AI2" s="694">
        <f t="shared" ca="1" si="3"/>
        <v>3</v>
      </c>
      <c r="AJ2" s="694">
        <f t="shared" ca="1" si="3"/>
        <v>3</v>
      </c>
      <c r="AK2" s="694">
        <f t="shared" ca="1" si="3"/>
        <v>3</v>
      </c>
      <c r="AL2" s="694">
        <f t="shared" ca="1" si="3"/>
        <v>3</v>
      </c>
      <c r="AM2" s="694">
        <f t="shared" ca="1" si="3"/>
        <v>5</v>
      </c>
      <c r="AN2" s="694">
        <f t="shared" ca="1" si="3"/>
        <v>12</v>
      </c>
      <c r="AO2" s="694">
        <f t="shared" ca="1" si="3"/>
        <v>12</v>
      </c>
      <c r="AP2" s="694">
        <f t="shared" ca="1" si="3"/>
        <v>3</v>
      </c>
      <c r="AQ2" s="694">
        <f t="shared" ca="1" si="3"/>
        <v>9</v>
      </c>
      <c r="AR2" s="694">
        <f t="shared" ca="1" si="3"/>
        <v>12</v>
      </c>
      <c r="AS2" s="694">
        <f t="shared" ca="1" si="3"/>
        <v>9</v>
      </c>
      <c r="AT2" s="694">
        <f t="shared" ca="1" si="3"/>
        <v>6</v>
      </c>
      <c r="AU2" s="694">
        <f t="shared" ca="1" si="3"/>
        <v>40</v>
      </c>
      <c r="AV2" s="694">
        <f t="shared" ca="1" si="3"/>
        <v>10</v>
      </c>
      <c r="AW2" s="694">
        <f t="shared" ca="1" si="3"/>
        <v>9</v>
      </c>
      <c r="AX2" s="694">
        <f t="shared" ca="1" si="3"/>
        <v>11</v>
      </c>
      <c r="AY2" s="694">
        <f t="shared" ca="1" si="3"/>
        <v>13</v>
      </c>
      <c r="AZ2" s="694">
        <f t="shared" ca="1" si="3"/>
        <v>13</v>
      </c>
      <c r="BA2" s="694">
        <f t="shared" ca="1" si="3"/>
        <v>13</v>
      </c>
      <c r="BB2" s="694">
        <f t="shared" ca="1" si="3"/>
        <v>17</v>
      </c>
      <c r="BC2" s="2276" t="s">
        <v>8774</v>
      </c>
      <c r="BD2" s="694">
        <f t="shared" ca="1" si="3"/>
        <v>3</v>
      </c>
      <c r="BE2" s="694">
        <f t="shared" ca="1" si="3"/>
        <v>3</v>
      </c>
      <c r="BF2" s="694">
        <f t="shared" ca="1" si="3"/>
        <v>3</v>
      </c>
      <c r="BG2" s="694">
        <f t="shared" ca="1" si="3"/>
        <v>3</v>
      </c>
      <c r="BH2" s="694">
        <f t="shared" ca="1" si="3"/>
        <v>5</v>
      </c>
      <c r="BI2" s="694">
        <f t="shared" ca="1" si="3"/>
        <v>12</v>
      </c>
      <c r="BJ2" s="694">
        <f t="shared" ca="1" si="3"/>
        <v>12</v>
      </c>
      <c r="BK2" s="694">
        <f t="shared" ca="1" si="3"/>
        <v>3</v>
      </c>
      <c r="BL2" s="694">
        <f t="shared" ca="1" si="3"/>
        <v>9</v>
      </c>
      <c r="BM2" s="694">
        <f t="shared" ca="1" si="3"/>
        <v>12</v>
      </c>
      <c r="BN2" s="694">
        <f t="shared" ca="1" si="3"/>
        <v>9</v>
      </c>
      <c r="BO2" s="694">
        <f t="shared" ca="1" si="3"/>
        <v>6</v>
      </c>
      <c r="BP2" s="694">
        <f t="shared" ca="1" si="3"/>
        <v>40</v>
      </c>
      <c r="BQ2" s="694">
        <f t="shared" ca="1" si="3"/>
        <v>10</v>
      </c>
      <c r="BR2" s="694">
        <f t="shared" ca="1" si="3"/>
        <v>9</v>
      </c>
      <c r="BS2" s="694">
        <f t="shared" ca="1" si="3"/>
        <v>11</v>
      </c>
      <c r="BT2" s="694">
        <f t="shared" ca="1" si="3"/>
        <v>13</v>
      </c>
      <c r="BU2" s="694">
        <f t="shared" ca="1" si="3"/>
        <v>13</v>
      </c>
      <c r="BV2" s="694">
        <f t="shared" ca="1" si="3"/>
        <v>13</v>
      </c>
      <c r="BW2" s="694">
        <f t="shared" ca="1" si="3"/>
        <v>17</v>
      </c>
      <c r="BX2" s="6628"/>
      <c r="BY2" s="3">
        <v>1</v>
      </c>
      <c r="BZ2" s="7" t="s">
        <v>3</v>
      </c>
      <c r="CA2" s="8"/>
    </row>
    <row r="3" spans="1:79" ht="19.5" customHeight="1" thickBot="1">
      <c r="B3" s="2069">
        <v>11</v>
      </c>
      <c r="C3" s="2069">
        <v>9</v>
      </c>
      <c r="D3" s="2069">
        <v>6</v>
      </c>
      <c r="E3" s="2069">
        <v>40</v>
      </c>
      <c r="F3" s="2069">
        <v>10</v>
      </c>
      <c r="G3" s="2069">
        <v>9</v>
      </c>
      <c r="H3" s="2069">
        <v>11</v>
      </c>
      <c r="I3" s="2069">
        <v>13</v>
      </c>
      <c r="J3" s="2069">
        <v>13</v>
      </c>
      <c r="K3" s="2069">
        <v>13</v>
      </c>
      <c r="L3" s="2069">
        <v>17</v>
      </c>
      <c r="M3" s="2277" t="s">
        <v>8779</v>
      </c>
      <c r="N3" s="695">
        <v>3</v>
      </c>
      <c r="O3" s="695">
        <v>3</v>
      </c>
      <c r="P3" s="695">
        <v>3</v>
      </c>
      <c r="Q3" s="695">
        <v>3</v>
      </c>
      <c r="R3" s="695">
        <v>5</v>
      </c>
      <c r="S3" s="695">
        <v>12</v>
      </c>
      <c r="T3" s="695">
        <v>12</v>
      </c>
      <c r="U3" s="695">
        <v>3</v>
      </c>
      <c r="V3" s="695">
        <v>9</v>
      </c>
      <c r="W3" s="695">
        <v>12</v>
      </c>
      <c r="X3" s="695">
        <v>9</v>
      </c>
      <c r="Y3" s="695">
        <v>6</v>
      </c>
      <c r="Z3" s="695">
        <v>40</v>
      </c>
      <c r="AA3" s="695">
        <v>10</v>
      </c>
      <c r="AB3" s="695">
        <v>9</v>
      </c>
      <c r="AC3" s="695">
        <v>11</v>
      </c>
      <c r="AD3" s="695">
        <v>13</v>
      </c>
      <c r="AE3" s="695">
        <v>13</v>
      </c>
      <c r="AF3" s="695">
        <v>13</v>
      </c>
      <c r="AG3" s="695">
        <v>17</v>
      </c>
      <c r="AH3" s="2066" t="s">
        <v>8779</v>
      </c>
      <c r="AI3" s="695">
        <v>3</v>
      </c>
      <c r="AJ3" s="695">
        <v>3</v>
      </c>
      <c r="AK3" s="695">
        <v>3</v>
      </c>
      <c r="AL3" s="695">
        <v>3</v>
      </c>
      <c r="AM3" s="695">
        <v>5</v>
      </c>
      <c r="AN3" s="695">
        <v>12</v>
      </c>
      <c r="AO3" s="695">
        <v>12</v>
      </c>
      <c r="AP3" s="695">
        <v>3</v>
      </c>
      <c r="AQ3" s="695">
        <v>9</v>
      </c>
      <c r="AR3" s="695">
        <v>12</v>
      </c>
      <c r="AS3" s="695">
        <v>9</v>
      </c>
      <c r="AT3" s="695">
        <v>6</v>
      </c>
      <c r="AU3" s="695">
        <v>40</v>
      </c>
      <c r="AV3" s="695">
        <v>10</v>
      </c>
      <c r="AW3" s="695">
        <v>9</v>
      </c>
      <c r="AX3" s="695">
        <v>11</v>
      </c>
      <c r="AY3" s="695">
        <v>13</v>
      </c>
      <c r="AZ3" s="695">
        <v>13</v>
      </c>
      <c r="BA3" s="695">
        <v>13</v>
      </c>
      <c r="BB3" s="695">
        <v>17</v>
      </c>
      <c r="BC3" s="2277" t="s">
        <v>8779</v>
      </c>
      <c r="BD3" s="695">
        <v>3</v>
      </c>
      <c r="BE3" s="695">
        <v>3</v>
      </c>
      <c r="BF3" s="695">
        <v>3</v>
      </c>
      <c r="BG3" s="695">
        <v>3</v>
      </c>
      <c r="BH3" s="695">
        <v>5</v>
      </c>
      <c r="BI3" s="695">
        <v>12</v>
      </c>
      <c r="BJ3" s="695">
        <v>12</v>
      </c>
      <c r="BK3" s="695">
        <v>3</v>
      </c>
      <c r="BL3" s="695">
        <v>9</v>
      </c>
      <c r="BM3" s="695">
        <v>12</v>
      </c>
      <c r="BN3" s="695">
        <v>9</v>
      </c>
      <c r="BO3" s="695">
        <v>6</v>
      </c>
      <c r="BP3" s="695">
        <v>40</v>
      </c>
      <c r="BQ3" s="695">
        <v>10</v>
      </c>
      <c r="BR3" s="695">
        <v>9</v>
      </c>
      <c r="BS3" s="695">
        <v>11</v>
      </c>
      <c r="BT3" s="695">
        <v>13</v>
      </c>
      <c r="BU3" s="695">
        <v>13</v>
      </c>
      <c r="BV3" s="695">
        <v>13</v>
      </c>
      <c r="BW3" s="695">
        <v>17</v>
      </c>
      <c r="BX3" s="2066" t="s">
        <v>8779</v>
      </c>
      <c r="BY3" s="3">
        <v>1</v>
      </c>
      <c r="BZ3" s="10">
        <f ca="1">COUNTA(A1:BX343) + COUNTBLANK(A1:BX343)</f>
        <v>26397</v>
      </c>
      <c r="CA3" s="11" t="str">
        <f>"cellules entre -cells -celdas  "&amp;" " &amp;A1&amp;" et  "&amp;BY343</f>
        <v>cellules entre -cells -celdas   A1 et  BY343</v>
      </c>
    </row>
    <row r="4" spans="1:79" s="900" customFormat="1" ht="21" customHeight="1">
      <c r="B4" s="9"/>
      <c r="C4" s="9"/>
      <c r="D4" s="9"/>
      <c r="E4" s="9"/>
      <c r="F4" s="9"/>
      <c r="G4" s="2275"/>
      <c r="H4" s="2275"/>
      <c r="I4" s="2275"/>
      <c r="J4" s="2275"/>
      <c r="K4" s="2275"/>
      <c r="L4" s="2275"/>
      <c r="M4" s="2275"/>
      <c r="N4" s="6983" t="s">
        <v>2402</v>
      </c>
      <c r="O4" s="6984"/>
      <c r="P4" s="6984"/>
      <c r="Q4" s="6984"/>
      <c r="R4" s="6984"/>
      <c r="S4" s="6984"/>
      <c r="T4" s="6984"/>
      <c r="U4" s="6984"/>
      <c r="V4" s="6984"/>
      <c r="W4" s="6984"/>
      <c r="X4" s="6984"/>
      <c r="Y4" s="6984"/>
      <c r="Z4" s="6984"/>
      <c r="AA4" s="6984"/>
      <c r="AB4" s="6984"/>
      <c r="AC4" s="6984"/>
      <c r="AD4" s="6984"/>
      <c r="AE4" s="6984"/>
      <c r="AF4" s="6984"/>
      <c r="AG4" s="6984"/>
      <c r="AH4" s="6984"/>
      <c r="AI4" s="6984"/>
      <c r="AJ4" s="6984"/>
      <c r="AK4" s="6984"/>
      <c r="AL4" s="6984"/>
      <c r="AM4" s="6984"/>
      <c r="AN4" s="6984"/>
      <c r="AO4" s="6984"/>
      <c r="AP4" s="6984"/>
      <c r="AQ4" s="6984"/>
      <c r="AR4" s="6984"/>
      <c r="AS4" s="6984"/>
      <c r="AT4" s="6984"/>
      <c r="AU4" s="6984"/>
      <c r="AV4" s="6984"/>
      <c r="AW4" s="6984"/>
      <c r="AX4" s="6984"/>
      <c r="AY4" s="6984"/>
      <c r="AZ4" s="6984"/>
      <c r="BA4" s="6984"/>
      <c r="BB4" s="6984"/>
      <c r="BC4" s="6984"/>
      <c r="BD4" s="6984"/>
      <c r="BE4" s="6984"/>
      <c r="BF4" s="6984"/>
      <c r="BG4" s="6984"/>
      <c r="BH4" s="6984"/>
      <c r="BI4" s="6984"/>
      <c r="BJ4" s="6984"/>
      <c r="BK4" s="6984"/>
      <c r="BL4" s="6984"/>
      <c r="BM4" s="6984"/>
      <c r="BN4" s="6984"/>
      <c r="BO4" s="6984"/>
      <c r="BP4" s="6984"/>
      <c r="BQ4" s="6984"/>
      <c r="BR4" s="6984"/>
      <c r="BS4" s="6984"/>
      <c r="BT4" s="901"/>
      <c r="BU4" s="901"/>
      <c r="BV4" s="6987" t="s">
        <v>3083</v>
      </c>
      <c r="BW4" s="6988"/>
      <c r="BY4" s="3">
        <v>1</v>
      </c>
      <c r="BZ4" s="10">
        <f ca="1">COUNTA(A1:BX343)</f>
        <v>1983</v>
      </c>
      <c r="CA4" s="11" t="s">
        <v>9</v>
      </c>
    </row>
    <row r="5" spans="1:79" ht="21" customHeight="1">
      <c r="B5" s="2180" t="s">
        <v>1489</v>
      </c>
      <c r="C5" s="2180"/>
      <c r="D5" s="2180"/>
      <c r="E5" s="2180"/>
      <c r="F5" s="2180"/>
      <c r="G5" s="9"/>
      <c r="H5" s="9"/>
      <c r="I5" s="9"/>
      <c r="J5" s="9"/>
      <c r="K5" s="9"/>
      <c r="L5" s="9"/>
      <c r="M5" s="9"/>
      <c r="N5" s="6985"/>
      <c r="O5" s="6986"/>
      <c r="P5" s="6986"/>
      <c r="Q5" s="6986"/>
      <c r="R5" s="6986"/>
      <c r="S5" s="6986"/>
      <c r="T5" s="6986"/>
      <c r="U5" s="6986"/>
      <c r="V5" s="6986"/>
      <c r="W5" s="6986"/>
      <c r="X5" s="6986"/>
      <c r="Y5" s="6986"/>
      <c r="Z5" s="6986"/>
      <c r="AA5" s="6986"/>
      <c r="AB5" s="6986"/>
      <c r="AC5" s="6986"/>
      <c r="AD5" s="6986"/>
      <c r="AE5" s="6986"/>
      <c r="AF5" s="6986"/>
      <c r="AG5" s="6986"/>
      <c r="AH5" s="6986"/>
      <c r="AI5" s="6986"/>
      <c r="AJ5" s="6986"/>
      <c r="AK5" s="6986"/>
      <c r="AL5" s="6986"/>
      <c r="AM5" s="6986"/>
      <c r="AN5" s="6986"/>
      <c r="AO5" s="6986"/>
      <c r="AP5" s="6986"/>
      <c r="AQ5" s="6986"/>
      <c r="AR5" s="6986"/>
      <c r="AS5" s="6986"/>
      <c r="AT5" s="6986"/>
      <c r="AU5" s="6986"/>
      <c r="AV5" s="6986"/>
      <c r="AW5" s="6986"/>
      <c r="AX5" s="6986"/>
      <c r="AY5" s="6986"/>
      <c r="AZ5" s="6986"/>
      <c r="BA5" s="6986"/>
      <c r="BB5" s="6986"/>
      <c r="BC5" s="6986"/>
      <c r="BD5" s="6986"/>
      <c r="BE5" s="6986"/>
      <c r="BF5" s="6986"/>
      <c r="BG5" s="6986"/>
      <c r="BH5" s="6986"/>
      <c r="BI5" s="6986"/>
      <c r="BJ5" s="6986"/>
      <c r="BK5" s="6986"/>
      <c r="BL5" s="6986"/>
      <c r="BM5" s="6986"/>
      <c r="BN5" s="6986"/>
      <c r="BO5" s="6986"/>
      <c r="BP5" s="6986"/>
      <c r="BQ5" s="6986"/>
      <c r="BR5" s="6986"/>
      <c r="BS5" s="6986"/>
      <c r="BT5" s="902"/>
      <c r="BU5" s="902"/>
      <c r="BV5" s="6806"/>
      <c r="BW5" s="6807"/>
      <c r="BY5" s="3">
        <v>1</v>
      </c>
      <c r="BZ5" s="10">
        <f ca="1">COUNTBLANK(A1:BX343)</f>
        <v>24414</v>
      </c>
      <c r="CA5" s="11" t="s">
        <v>12</v>
      </c>
    </row>
    <row r="6" spans="1:79" ht="21" customHeight="1">
      <c r="B6" s="2221" t="s">
        <v>1492</v>
      </c>
      <c r="C6" s="14"/>
      <c r="D6" s="14"/>
      <c r="E6" s="14"/>
      <c r="F6" s="14"/>
      <c r="G6" s="9"/>
      <c r="H6" s="9"/>
      <c r="I6" s="9"/>
      <c r="J6" s="9"/>
      <c r="K6" s="9"/>
      <c r="L6" s="9"/>
      <c r="M6" s="9"/>
      <c r="N6" s="903" t="s">
        <v>8954</v>
      </c>
      <c r="O6" s="904"/>
      <c r="P6" s="904"/>
      <c r="Q6" s="904"/>
      <c r="R6" s="904"/>
      <c r="S6" s="904"/>
      <c r="T6" s="904"/>
      <c r="U6" s="904"/>
      <c r="V6" s="904"/>
      <c r="W6" s="904"/>
      <c r="X6" s="904"/>
      <c r="Y6" s="904"/>
      <c r="Z6" s="904"/>
      <c r="AA6" s="904" t="s">
        <v>8955</v>
      </c>
      <c r="AB6" s="904"/>
      <c r="AC6" s="904"/>
      <c r="AD6" s="904"/>
      <c r="AE6" s="904"/>
      <c r="AF6" s="904"/>
      <c r="AG6" s="904"/>
      <c r="AH6" s="904"/>
      <c r="AI6" s="904"/>
      <c r="AJ6" s="904"/>
      <c r="AK6" s="904"/>
      <c r="AL6" s="904"/>
      <c r="AM6" s="904"/>
      <c r="AN6" s="904"/>
      <c r="AO6" s="904"/>
      <c r="AP6" s="904" t="s">
        <v>8956</v>
      </c>
      <c r="AQ6" s="904"/>
      <c r="AR6" s="904"/>
      <c r="AS6" s="904"/>
      <c r="AT6" s="904"/>
      <c r="AU6" s="904"/>
      <c r="AV6" s="904"/>
      <c r="AW6" s="904"/>
      <c r="AX6" s="904"/>
      <c r="AY6" s="904"/>
      <c r="AZ6" s="904"/>
      <c r="BA6" s="904"/>
      <c r="BB6" s="904"/>
      <c r="BC6" s="904"/>
      <c r="BD6" s="904"/>
      <c r="BE6" s="904"/>
      <c r="BF6" s="904"/>
      <c r="BG6" s="905"/>
      <c r="BH6" s="905"/>
      <c r="BI6" s="905"/>
      <c r="BJ6" s="905"/>
      <c r="BK6" s="905"/>
      <c r="BL6" s="905"/>
      <c r="BM6" s="905"/>
      <c r="BN6" s="905"/>
      <c r="BO6" s="905"/>
      <c r="BP6" s="905"/>
      <c r="BQ6" s="905"/>
      <c r="BR6" s="905"/>
      <c r="BS6" s="905"/>
      <c r="BT6" s="905"/>
      <c r="BU6" s="905"/>
      <c r="BV6" s="6806"/>
      <c r="BW6" s="6807"/>
      <c r="BY6" s="3">
        <v>1</v>
      </c>
      <c r="BZ6" s="10">
        <f>SUM(BY1:BY341)+2</f>
        <v>343</v>
      </c>
      <c r="CA6" s="11" t="s">
        <v>14</v>
      </c>
    </row>
    <row r="7" spans="1:79" ht="21" customHeight="1" thickBot="1">
      <c r="B7" s="2227"/>
      <c r="C7" s="2228"/>
      <c r="D7" s="2227"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7" s="2228"/>
      <c r="F7" s="2229"/>
      <c r="G7" s="9"/>
      <c r="H7" s="9"/>
      <c r="I7" s="9"/>
      <c r="J7" s="9"/>
      <c r="K7" s="9"/>
      <c r="L7" s="9"/>
      <c r="M7" s="9"/>
      <c r="N7" s="903" t="s">
        <v>2403</v>
      </c>
      <c r="O7" s="906"/>
      <c r="P7" s="906"/>
      <c r="Q7" s="906"/>
      <c r="R7" s="906"/>
      <c r="S7" s="906"/>
      <c r="T7" s="906"/>
      <c r="U7" s="906"/>
      <c r="V7" s="906"/>
      <c r="W7" s="906"/>
      <c r="X7" s="906"/>
      <c r="Y7" s="906"/>
      <c r="Z7" s="906" t="s">
        <v>2404</v>
      </c>
      <c r="AA7" s="906"/>
      <c r="AB7" s="906"/>
      <c r="AC7" s="906"/>
      <c r="AD7" s="906"/>
      <c r="AE7" s="906"/>
      <c r="AF7" s="906"/>
      <c r="AG7" s="906"/>
      <c r="AH7" s="906"/>
      <c r="AI7" s="906"/>
      <c r="AJ7" s="906"/>
      <c r="AK7" s="906"/>
      <c r="AL7" s="906"/>
      <c r="AM7" s="906"/>
      <c r="AN7" s="906"/>
      <c r="AO7" s="906"/>
      <c r="AP7" s="906"/>
      <c r="AQ7" s="906" t="s">
        <v>2405</v>
      </c>
      <c r="AR7" s="906"/>
      <c r="AS7" s="906"/>
      <c r="AT7" s="906"/>
      <c r="AU7" s="906"/>
      <c r="AV7" s="906"/>
      <c r="AW7" s="906"/>
      <c r="AX7" s="906"/>
      <c r="AY7" s="906"/>
      <c r="AZ7" s="906"/>
      <c r="BA7" s="906"/>
      <c r="BB7" s="906"/>
      <c r="BC7" s="906"/>
      <c r="BD7" s="906"/>
      <c r="BE7" s="906"/>
      <c r="BF7" s="906"/>
      <c r="BG7" s="907"/>
      <c r="BH7" s="907"/>
      <c r="BI7" s="907"/>
      <c r="BJ7" s="907"/>
      <c r="BK7" s="907"/>
      <c r="BL7" s="907"/>
      <c r="BM7" s="907"/>
      <c r="BN7" s="907"/>
      <c r="BO7" s="908" t="s">
        <v>8957</v>
      </c>
      <c r="BP7" s="908"/>
      <c r="BQ7" s="908"/>
      <c r="BR7" s="909"/>
      <c r="BS7" s="909"/>
      <c r="BT7" s="909"/>
      <c r="BU7" s="909"/>
      <c r="BV7" s="6989"/>
      <c r="BW7" s="6990"/>
      <c r="BY7" s="3">
        <v>1</v>
      </c>
      <c r="BZ7" s="10">
        <f>SUM(A343:BX343)+1</f>
        <v>77</v>
      </c>
      <c r="CA7" s="11" t="s">
        <v>17</v>
      </c>
    </row>
    <row r="8" spans="1:79" ht="21" customHeight="1">
      <c r="B8" s="6923" t="s">
        <v>8952</v>
      </c>
      <c r="C8" s="6924"/>
      <c r="D8" s="6924"/>
      <c r="E8" s="6924"/>
      <c r="F8" s="6924"/>
      <c r="G8" s="6924"/>
      <c r="H8" s="6924"/>
      <c r="I8" s="6924"/>
      <c r="J8" s="6924"/>
      <c r="K8" s="6924"/>
      <c r="L8" s="6925"/>
      <c r="M8" s="9"/>
      <c r="N8" s="910" t="s">
        <v>207</v>
      </c>
      <c r="O8" s="911" t="str">
        <f ca="1">CELL("nomfichier")</f>
        <v>D:\Données\1.UPRT\0-UPRT.fait\1-UPRT.FR-SITE-WEB\ff-fiches-fabrications\ff.fiches.fabrication.2023\ffr.restaurant.2023\[ff.FICHE.TRILINGUE.20.COLONNES.05.01.2026.xlsx]Couleurs.pour.vos.documents</v>
      </c>
      <c r="P8" s="911"/>
      <c r="Q8" s="901"/>
      <c r="R8" s="901"/>
      <c r="S8" s="901"/>
      <c r="T8" s="901"/>
      <c r="U8" s="901"/>
      <c r="V8" s="901"/>
      <c r="W8" s="901"/>
      <c r="X8" s="901"/>
      <c r="Y8" s="901"/>
      <c r="Z8" s="901"/>
      <c r="AA8" s="901"/>
      <c r="AB8" s="901"/>
      <c r="AC8" s="901"/>
      <c r="AD8" s="901"/>
      <c r="AE8" s="901"/>
      <c r="AF8" s="901"/>
      <c r="AG8" s="901"/>
      <c r="AH8" s="901"/>
      <c r="AI8" s="914" t="s">
        <v>1516</v>
      </c>
      <c r="AJ8" s="901"/>
      <c r="AK8" s="901"/>
      <c r="AL8" s="901"/>
      <c r="AM8" s="901"/>
      <c r="AN8" s="901"/>
      <c r="AO8" s="901"/>
      <c r="AP8" s="901"/>
      <c r="AQ8" s="901"/>
      <c r="AR8" s="901"/>
      <c r="AS8" s="901"/>
      <c r="AT8" s="901"/>
      <c r="AU8" s="901"/>
      <c r="AV8" s="901"/>
      <c r="AW8" s="901"/>
      <c r="AX8" s="901"/>
      <c r="AY8" s="901"/>
      <c r="AZ8" s="901"/>
      <c r="BA8" s="901"/>
      <c r="BB8" s="901"/>
      <c r="BC8" s="901"/>
      <c r="BD8" s="912"/>
      <c r="BE8" s="912"/>
      <c r="BF8" s="912"/>
      <c r="BG8" s="912"/>
      <c r="BH8" s="912"/>
      <c r="BI8" s="912"/>
      <c r="BJ8" s="912"/>
      <c r="BK8" s="912"/>
      <c r="BL8" s="912"/>
      <c r="BM8" s="912"/>
      <c r="BN8" s="912"/>
      <c r="BO8" s="912"/>
      <c r="BP8" s="912"/>
      <c r="BQ8" s="912"/>
      <c r="BR8" s="912"/>
      <c r="BS8" s="912"/>
      <c r="BT8" s="912"/>
      <c r="BU8" s="912"/>
      <c r="BV8" s="705" t="s">
        <v>1491</v>
      </c>
      <c r="BW8" s="706" t="str">
        <f>BY343</f>
        <v>BY343</v>
      </c>
      <c r="BY8" s="3">
        <v>1</v>
      </c>
    </row>
    <row r="9" spans="1:79" ht="21" customHeight="1" thickBot="1">
      <c r="B9" s="6926" t="s">
        <v>8953</v>
      </c>
      <c r="C9" s="6927"/>
      <c r="D9" s="6927"/>
      <c r="E9" s="6927"/>
      <c r="F9" s="6927"/>
      <c r="G9" s="6927"/>
      <c r="H9" s="6927"/>
      <c r="I9" s="6927"/>
      <c r="J9" s="6927"/>
      <c r="K9" s="6927"/>
      <c r="L9" s="6928"/>
      <c r="M9" s="9"/>
      <c r="N9" s="1346"/>
      <c r="O9" s="1347"/>
      <c r="P9" s="1340"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9" s="1347"/>
      <c r="R9" s="1347"/>
      <c r="S9" s="1347"/>
      <c r="T9" s="1347"/>
      <c r="U9" s="1347"/>
      <c r="V9" s="1347"/>
      <c r="W9" s="1347"/>
      <c r="X9" s="1347"/>
      <c r="Y9" s="1347"/>
      <c r="Z9" s="1347"/>
      <c r="AA9" s="1347"/>
      <c r="AB9" s="1347"/>
      <c r="AC9" s="1347"/>
      <c r="AD9" s="1347"/>
      <c r="AE9" s="1347"/>
      <c r="AF9" s="1347"/>
      <c r="AG9" s="1347"/>
      <c r="AH9" s="1347"/>
      <c r="AI9" s="1347"/>
      <c r="AJ9" s="1343" t="str">
        <f>IF(ISNUMBER(IFERROR(VALUE("0,5"),"")),"On this computer, type a COMMA as the decimal separator",IF(ISNUMBER(IFERROR(VALUE("0.5"),"")),"On this computer, type a POINT as the decimal separator","Unable to determine the decimal separator"))</f>
        <v>On this computer, type a POINT as the decimal separator</v>
      </c>
      <c r="AK9" s="1347"/>
      <c r="AL9" s="1347"/>
      <c r="AM9" s="1347"/>
      <c r="AN9" s="1347"/>
      <c r="AO9" s="1347"/>
      <c r="AP9" s="1347"/>
      <c r="AR9" s="915"/>
      <c r="AS9" s="913"/>
      <c r="AT9" s="915"/>
      <c r="AU9" s="913"/>
      <c r="AV9" s="915"/>
      <c r="AW9" s="913"/>
      <c r="AX9" s="915"/>
      <c r="AY9" s="915"/>
      <c r="AZ9" s="913"/>
      <c r="BA9" s="913"/>
      <c r="BB9" s="915"/>
      <c r="BC9" s="902"/>
      <c r="BD9" s="913"/>
      <c r="BE9" s="134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BF9" s="913"/>
      <c r="BG9" s="915"/>
      <c r="BH9" s="913"/>
      <c r="BI9" s="915"/>
      <c r="BJ9" s="913"/>
      <c r="BK9" s="915"/>
      <c r="BL9" s="913"/>
      <c r="BM9" s="915"/>
      <c r="BN9" s="913"/>
      <c r="BO9" s="915"/>
      <c r="BP9" s="913"/>
      <c r="BQ9" s="915"/>
      <c r="BR9" s="913"/>
      <c r="BS9" s="915"/>
      <c r="BT9" s="915"/>
      <c r="BU9" s="915"/>
      <c r="BV9" s="913"/>
      <c r="BW9" s="915"/>
      <c r="BY9" s="3">
        <v>1</v>
      </c>
    </row>
    <row r="10" spans="1:79" ht="21" customHeight="1">
      <c r="B10" s="6903" t="s">
        <v>1508</v>
      </c>
      <c r="C10" s="6904"/>
      <c r="D10" s="6904"/>
      <c r="E10" s="6904"/>
      <c r="F10" s="6904"/>
      <c r="G10" s="6904"/>
      <c r="H10" s="6904"/>
      <c r="I10" s="6904"/>
      <c r="J10" s="6904"/>
      <c r="K10" s="6904"/>
      <c r="L10" s="6905"/>
      <c r="M10" s="9"/>
      <c r="N10" s="19" t="s">
        <v>10</v>
      </c>
      <c r="O10" s="20"/>
      <c r="P10" s="21"/>
      <c r="Q10" s="21"/>
      <c r="R10" s="22"/>
      <c r="S10" s="23"/>
      <c r="T10" s="24"/>
      <c r="U10" s="24"/>
      <c r="V10" s="5432" t="s">
        <v>13760</v>
      </c>
      <c r="W10" s="5431"/>
      <c r="X10" s="5431"/>
      <c r="Y10" s="5431"/>
      <c r="Z10" s="51"/>
      <c r="AA10" s="51"/>
      <c r="AB10" s="51"/>
      <c r="AC10" s="51"/>
      <c r="AD10" s="51"/>
      <c r="AE10" s="916"/>
      <c r="AF10" s="916"/>
      <c r="AG10" s="917"/>
      <c r="AH10" s="918"/>
      <c r="AI10" s="19"/>
      <c r="AJ10" s="20"/>
      <c r="AK10" s="21"/>
      <c r="AL10" s="21"/>
      <c r="AM10" s="22"/>
      <c r="AN10" s="1802"/>
      <c r="AO10" s="1803"/>
      <c r="AP10" s="1803"/>
      <c r="AQ10" s="51"/>
      <c r="AR10" s="51"/>
      <c r="AS10" s="51"/>
      <c r="AT10" s="51"/>
      <c r="AU10" s="51"/>
      <c r="AV10" s="51"/>
      <c r="AW10" s="51"/>
      <c r="AX10" s="51"/>
      <c r="AY10" s="51"/>
      <c r="AZ10" s="916"/>
      <c r="BA10" s="916"/>
      <c r="BB10" s="917"/>
      <c r="BC10" s="918"/>
      <c r="BD10" s="19"/>
      <c r="BE10" s="20"/>
      <c r="BF10" s="21"/>
      <c r="BG10" s="21"/>
      <c r="BH10" s="22"/>
      <c r="BI10" s="1802"/>
      <c r="BJ10" s="1803"/>
      <c r="BK10" s="1803"/>
      <c r="BL10" s="51"/>
      <c r="BM10" s="51"/>
      <c r="BN10" s="51"/>
      <c r="BO10" s="51"/>
      <c r="BP10" s="51"/>
      <c r="BQ10" s="51"/>
      <c r="BR10" s="51"/>
      <c r="BS10" s="51"/>
      <c r="BT10" s="51"/>
      <c r="BU10" s="916"/>
      <c r="BV10" s="916"/>
      <c r="BW10" s="917"/>
      <c r="BY10" s="3">
        <v>1</v>
      </c>
    </row>
    <row r="11" spans="1:79" ht="21" customHeight="1">
      <c r="B11" s="2222" t="str">
        <f>IF(ISNUMBER(IFERROR(VALUE("0,5"),"")),"On this computer, type a COMMA as the decimal separator",IF(ISNUMBER(IFERROR(VALUE("0.5"),"")),"On this computer, type a POINT as the decimal separator","Unable to determine the decimal separator"))</f>
        <v>On this computer, type a POINT as the decimal separator</v>
      </c>
      <c r="C11" s="1344"/>
      <c r="D11" s="1344"/>
      <c r="E11" s="14"/>
      <c r="F11" s="9"/>
      <c r="G11" s="9"/>
      <c r="H11" s="9"/>
      <c r="I11" s="9"/>
      <c r="J11" s="9"/>
      <c r="K11" s="9"/>
      <c r="L11" s="222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M11" s="9"/>
      <c r="N11" s="2252" t="s">
        <v>15</v>
      </c>
      <c r="O11" s="2237"/>
      <c r="P11" s="2237"/>
      <c r="Q11" s="2237"/>
      <c r="R11" s="2237"/>
      <c r="S11" s="2240"/>
      <c r="T11" s="2241"/>
      <c r="U11" s="2239"/>
      <c r="V11" s="2242"/>
      <c r="W11" s="2250"/>
      <c r="X11" s="2244"/>
      <c r="Y11" s="2244"/>
      <c r="Z11" s="2245"/>
      <c r="AA11" s="2246"/>
      <c r="AB11" s="2247"/>
      <c r="AC11" s="2248"/>
      <c r="AD11" s="2249"/>
      <c r="AE11" s="2249"/>
      <c r="AF11" s="2238"/>
      <c r="AG11" s="2264"/>
      <c r="AH11" s="918"/>
      <c r="AI11" s="2252" t="s">
        <v>15</v>
      </c>
      <c r="AJ11" s="2237"/>
      <c r="AK11" s="2237"/>
      <c r="AL11" s="2237"/>
      <c r="AM11" s="2237"/>
      <c r="AN11" s="2240"/>
      <c r="AO11" s="2241"/>
      <c r="AP11" s="2239"/>
      <c r="AQ11" s="2242"/>
      <c r="AR11" s="2250"/>
      <c r="AS11" s="2244"/>
      <c r="AT11" s="2244"/>
      <c r="AU11" s="2245"/>
      <c r="AV11" s="2246"/>
      <c r="AW11" s="2247"/>
      <c r="AX11" s="2248"/>
      <c r="AY11" s="2249"/>
      <c r="AZ11" s="2249"/>
      <c r="BA11" s="2238"/>
      <c r="BB11" s="2264"/>
      <c r="BC11" s="918"/>
      <c r="BD11" s="2252" t="s">
        <v>15</v>
      </c>
      <c r="BE11" s="2237"/>
      <c r="BF11" s="2237"/>
      <c r="BG11" s="2237"/>
      <c r="BH11" s="2237"/>
      <c r="BI11" s="2240"/>
      <c r="BJ11" s="2241"/>
      <c r="BK11" s="2239"/>
      <c r="BL11" s="2242"/>
      <c r="BM11" s="2250"/>
      <c r="BN11" s="2244"/>
      <c r="BO11" s="2244"/>
      <c r="BP11" s="2245"/>
      <c r="BQ11" s="2246"/>
      <c r="BR11" s="2247"/>
      <c r="BS11" s="2248"/>
      <c r="BT11" s="2249"/>
      <c r="BU11" s="2249"/>
      <c r="BV11" s="2238"/>
      <c r="BW11" s="2264"/>
      <c r="BY11" s="3">
        <v>1</v>
      </c>
      <c r="CA11" s="198" t="s">
        <v>14241</v>
      </c>
    </row>
    <row r="12" spans="1:79" ht="21" customHeight="1">
      <c r="B12" s="227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12" s="2273"/>
      <c r="D12" s="2273"/>
      <c r="E12" s="2273"/>
      <c r="F12" s="2273"/>
      <c r="G12" s="2273"/>
      <c r="H12" s="2273"/>
      <c r="I12" s="2273"/>
      <c r="J12" s="2273"/>
      <c r="K12" s="2273"/>
      <c r="L12" s="2274"/>
      <c r="M12" s="9"/>
      <c r="N12" s="2252" t="s">
        <v>15</v>
      </c>
      <c r="O12" s="2237"/>
      <c r="P12" s="2237"/>
      <c r="Q12" s="2237"/>
      <c r="R12" s="2237"/>
      <c r="S12" s="2240"/>
      <c r="T12" s="2241"/>
      <c r="U12" s="2239"/>
      <c r="V12" s="2242"/>
      <c r="W12" s="2250"/>
      <c r="X12" s="2244"/>
      <c r="Y12" s="2244"/>
      <c r="Z12" s="2245"/>
      <c r="AA12" s="2246"/>
      <c r="AB12" s="2247"/>
      <c r="AC12" s="2248"/>
      <c r="AD12" s="2249"/>
      <c r="AE12" s="2249"/>
      <c r="AF12" s="2238"/>
      <c r="AG12" s="2264"/>
      <c r="AH12" s="918"/>
      <c r="AI12" s="2252" t="s">
        <v>15</v>
      </c>
      <c r="AJ12" s="2237"/>
      <c r="AK12" s="2237"/>
      <c r="AL12" s="2237"/>
      <c r="AM12" s="2237"/>
      <c r="AN12" s="2240"/>
      <c r="AO12" s="2241"/>
      <c r="AP12" s="2239"/>
      <c r="AQ12" s="2242"/>
      <c r="AR12" s="2250"/>
      <c r="AS12" s="2244"/>
      <c r="AT12" s="2244"/>
      <c r="AU12" s="2245"/>
      <c r="AV12" s="2246"/>
      <c r="AW12" s="2247"/>
      <c r="AX12" s="2248"/>
      <c r="AY12" s="2249"/>
      <c r="AZ12" s="2249"/>
      <c r="BA12" s="2238"/>
      <c r="BB12" s="2264"/>
      <c r="BC12" s="918"/>
      <c r="BD12" s="2252" t="s">
        <v>15</v>
      </c>
      <c r="BE12" s="2237"/>
      <c r="BF12" s="2237"/>
      <c r="BG12" s="2237"/>
      <c r="BH12" s="2237"/>
      <c r="BI12" s="2240"/>
      <c r="BJ12" s="2241"/>
      <c r="BK12" s="2239"/>
      <c r="BL12" s="2242"/>
      <c r="BM12" s="2250"/>
      <c r="BN12" s="2244"/>
      <c r="BO12" s="2244"/>
      <c r="BP12" s="2245"/>
      <c r="BQ12" s="2246"/>
      <c r="BR12" s="2247"/>
      <c r="BS12" s="2248"/>
      <c r="BT12" s="2249"/>
      <c r="BU12" s="2249"/>
      <c r="BV12" s="2238"/>
      <c r="BW12" s="2264"/>
      <c r="BY12" s="3">
        <v>1</v>
      </c>
      <c r="CA12" s="198" t="s">
        <v>14229</v>
      </c>
    </row>
    <row r="13" spans="1:79" ht="21" customHeight="1">
      <c r="B13" s="2271">
        <f>SUM(D11:L11)</f>
        <v>0</v>
      </c>
      <c r="C13" s="78">
        <v>0</v>
      </c>
      <c r="D13" s="6906" t="s">
        <v>2397</v>
      </c>
      <c r="E13" s="6906"/>
      <c r="F13" s="6906"/>
      <c r="G13" s="6906"/>
      <c r="H13" s="6906"/>
      <c r="I13" s="6906"/>
      <c r="J13" s="6906"/>
      <c r="K13" s="6906"/>
      <c r="L13" s="6907"/>
      <c r="M13" s="9"/>
      <c r="N13" s="2252" t="s">
        <v>15</v>
      </c>
      <c r="O13" s="2237"/>
      <c r="P13" s="2237"/>
      <c r="Q13" s="2237"/>
      <c r="R13" s="2237"/>
      <c r="S13" s="2240"/>
      <c r="T13" s="2241"/>
      <c r="U13" s="2239"/>
      <c r="V13" s="2242"/>
      <c r="W13" s="2250"/>
      <c r="X13" s="2244"/>
      <c r="Y13" s="2244"/>
      <c r="Z13" s="2245"/>
      <c r="AA13" s="2246"/>
      <c r="AB13" s="2247"/>
      <c r="AC13" s="2248"/>
      <c r="AD13" s="2249"/>
      <c r="AE13" s="2249"/>
      <c r="AF13" s="2238"/>
      <c r="AG13" s="2264"/>
      <c r="AH13" s="918"/>
      <c r="AI13" s="2252" t="s">
        <v>15</v>
      </c>
      <c r="AJ13" s="2237"/>
      <c r="AK13" s="2237"/>
      <c r="AL13" s="2237"/>
      <c r="AM13" s="2237"/>
      <c r="AN13" s="2240"/>
      <c r="AO13" s="2241"/>
      <c r="AP13" s="2239"/>
      <c r="AQ13" s="2242"/>
      <c r="AR13" s="2250"/>
      <c r="AS13" s="2244"/>
      <c r="AT13" s="2244"/>
      <c r="AU13" s="2245"/>
      <c r="AV13" s="2246"/>
      <c r="AW13" s="2247"/>
      <c r="AX13" s="2248"/>
      <c r="AY13" s="2249"/>
      <c r="AZ13" s="2249"/>
      <c r="BA13" s="2238"/>
      <c r="BB13" s="2264"/>
      <c r="BC13" s="918"/>
      <c r="BD13" s="2252" t="s">
        <v>15</v>
      </c>
      <c r="BE13" s="2237"/>
      <c r="BF13" s="2237"/>
      <c r="BG13" s="2237"/>
      <c r="BH13" s="2237"/>
      <c r="BI13" s="2240"/>
      <c r="BJ13" s="2241"/>
      <c r="BK13" s="2239"/>
      <c r="BL13" s="2242"/>
      <c r="BM13" s="2250"/>
      <c r="BN13" s="2244"/>
      <c r="BO13" s="2244"/>
      <c r="BP13" s="2245"/>
      <c r="BQ13" s="2246"/>
      <c r="BR13" s="2247"/>
      <c r="BS13" s="2248"/>
      <c r="BT13" s="2249"/>
      <c r="BU13" s="2249"/>
      <c r="BV13" s="2238"/>
      <c r="BW13" s="2264"/>
      <c r="BY13" s="3">
        <v>1</v>
      </c>
      <c r="CA13" s="198"/>
    </row>
    <row r="14" spans="1:79" ht="21" customHeight="1">
      <c r="B14" s="2265" t="str" cm="1">
        <f t="array" ref="B14">SUMPRODUCT(--(D14:J14&lt;&gt;""), LEN(TRIM(SUBSTITUTE(D14:J14, CHAR(160), "")))) &amp; " Car."</f>
        <v>0 Car.</v>
      </c>
      <c r="C14" s="1376" t="str">
        <f>IF(ISBLANK(D14),"",LARGE(C13:C13,1)+1)</f>
        <v/>
      </c>
      <c r="D14" s="1833"/>
      <c r="E14" s="1810"/>
      <c r="F14" s="1810"/>
      <c r="G14" s="1810"/>
      <c r="H14" s="1810"/>
      <c r="I14" s="1810"/>
      <c r="J14" s="1810"/>
      <c r="K14" s="1810"/>
      <c r="L14" s="1811"/>
      <c r="M14" s="9"/>
      <c r="N14" s="2252" t="s">
        <v>15</v>
      </c>
      <c r="O14" s="2237"/>
      <c r="P14" s="2237"/>
      <c r="Q14" s="2237"/>
      <c r="R14" s="2237"/>
      <c r="S14" s="2240"/>
      <c r="T14" s="2241"/>
      <c r="U14" s="2239"/>
      <c r="V14" s="2242"/>
      <c r="W14" s="2250"/>
      <c r="X14" s="2244"/>
      <c r="Y14" s="2244"/>
      <c r="Z14" s="2245"/>
      <c r="AA14" s="2246"/>
      <c r="AB14" s="2247"/>
      <c r="AC14" s="2248"/>
      <c r="AD14" s="2249"/>
      <c r="AE14" s="2249"/>
      <c r="AF14" s="2238"/>
      <c r="AG14" s="2264"/>
      <c r="AH14" s="918"/>
      <c r="AI14" s="2252" t="s">
        <v>15</v>
      </c>
      <c r="AJ14" s="2237"/>
      <c r="AK14" s="2237"/>
      <c r="AL14" s="2237"/>
      <c r="AM14" s="2237"/>
      <c r="AN14" s="2240"/>
      <c r="AO14" s="2241"/>
      <c r="AP14" s="2239"/>
      <c r="AQ14" s="2242"/>
      <c r="AR14" s="2250"/>
      <c r="AS14" s="2244"/>
      <c r="AT14" s="2244"/>
      <c r="AU14" s="2245"/>
      <c r="AV14" s="2246"/>
      <c r="AW14" s="2247"/>
      <c r="AX14" s="2248"/>
      <c r="AY14" s="2249"/>
      <c r="AZ14" s="2249"/>
      <c r="BA14" s="2238"/>
      <c r="BB14" s="2264"/>
      <c r="BC14" s="918"/>
      <c r="BD14" s="2252" t="s">
        <v>15</v>
      </c>
      <c r="BE14" s="2237"/>
      <c r="BF14" s="2237"/>
      <c r="BG14" s="2237"/>
      <c r="BH14" s="2237"/>
      <c r="BI14" s="2240"/>
      <c r="BJ14" s="2241"/>
      <c r="BK14" s="2239"/>
      <c r="BL14" s="2242"/>
      <c r="BM14" s="2250"/>
      <c r="BN14" s="2244"/>
      <c r="BO14" s="2244"/>
      <c r="BP14" s="2245"/>
      <c r="BQ14" s="2246"/>
      <c r="BR14" s="2247"/>
      <c r="BS14" s="2248"/>
      <c r="BT14" s="2249"/>
      <c r="BU14" s="2249"/>
      <c r="BV14" s="2238"/>
      <c r="BW14" s="2264"/>
      <c r="BY14" s="3">
        <v>1</v>
      </c>
      <c r="CA14" s="198" t="s">
        <v>14232</v>
      </c>
    </row>
    <row r="15" spans="1:79" ht="21" customHeight="1">
      <c r="B15" s="2265" t="str" cm="1">
        <f t="array" ref="B15">SUMPRODUCT(--(D15:J15&lt;&gt;""), LEN(TRIM(SUBSTITUTE(D15:J15, CHAR(160), "")))) &amp; " Car."</f>
        <v>0 Car.</v>
      </c>
      <c r="C15" s="1376" t="str">
        <f>IF(ISBLANK(D15),"",LARGE(C13:C14,1)+1)</f>
        <v/>
      </c>
      <c r="D15" s="1833"/>
      <c r="E15" s="1810"/>
      <c r="F15" s="1810"/>
      <c r="G15" s="1810"/>
      <c r="H15" s="1810"/>
      <c r="I15" s="1810"/>
      <c r="J15" s="1810"/>
      <c r="K15" s="1810"/>
      <c r="L15" s="1811"/>
      <c r="M15" s="9"/>
      <c r="N15" s="2252" t="s">
        <v>15</v>
      </c>
      <c r="O15" s="2237"/>
      <c r="P15" s="2237"/>
      <c r="Q15" s="2237"/>
      <c r="R15" s="2237"/>
      <c r="S15" s="2240"/>
      <c r="T15" s="2241"/>
      <c r="U15" s="2239"/>
      <c r="V15" s="2242"/>
      <c r="W15" s="2250"/>
      <c r="X15" s="2244"/>
      <c r="Y15" s="2244"/>
      <c r="Z15" s="2245"/>
      <c r="AA15" s="2246"/>
      <c r="AB15" s="2247"/>
      <c r="AC15" s="2248"/>
      <c r="AD15" s="2249"/>
      <c r="AE15" s="2249"/>
      <c r="AF15" s="2238"/>
      <c r="AG15" s="2264"/>
      <c r="AH15" s="918"/>
      <c r="AI15" s="2252" t="s">
        <v>15</v>
      </c>
      <c r="AJ15" s="2237"/>
      <c r="AK15" s="2237"/>
      <c r="AL15" s="2237"/>
      <c r="AM15" s="2237"/>
      <c r="AN15" s="2240"/>
      <c r="AO15" s="2241"/>
      <c r="AP15" s="2239"/>
      <c r="AQ15" s="2242"/>
      <c r="AR15" s="2250"/>
      <c r="AS15" s="2244"/>
      <c r="AT15" s="2244"/>
      <c r="AU15" s="2245"/>
      <c r="AV15" s="2246"/>
      <c r="AW15" s="2247"/>
      <c r="AX15" s="2248"/>
      <c r="AY15" s="2249"/>
      <c r="AZ15" s="2249"/>
      <c r="BA15" s="2238"/>
      <c r="BB15" s="2264"/>
      <c r="BC15" s="918"/>
      <c r="BD15" s="2252" t="s">
        <v>15</v>
      </c>
      <c r="BE15" s="2237"/>
      <c r="BF15" s="2237"/>
      <c r="BG15" s="2237"/>
      <c r="BH15" s="2237"/>
      <c r="BI15" s="2240"/>
      <c r="BJ15" s="2241"/>
      <c r="BK15" s="2239"/>
      <c r="BL15" s="2242"/>
      <c r="BM15" s="2250"/>
      <c r="BN15" s="2244"/>
      <c r="BO15" s="2244"/>
      <c r="BP15" s="2245"/>
      <c r="BQ15" s="2246"/>
      <c r="BR15" s="2247"/>
      <c r="BS15" s="2248"/>
      <c r="BT15" s="2249"/>
      <c r="BU15" s="2249"/>
      <c r="BV15" s="2238"/>
      <c r="BW15" s="2264"/>
      <c r="BY15" s="3">
        <v>1</v>
      </c>
      <c r="CA15" s="198" t="s">
        <v>14235</v>
      </c>
    </row>
    <row r="16" spans="1:79" ht="21" customHeight="1">
      <c r="B16" s="2265" t="str" cm="1">
        <f t="array" ref="B16">SUMPRODUCT(--(D16:J16&lt;&gt;""), LEN(TRIM(SUBSTITUTE(D16:J16, CHAR(160), "")))) &amp; " Car."</f>
        <v>0 Car.</v>
      </c>
      <c r="C16" s="1376" t="str">
        <f>IF(ISBLANK(D16),"",LARGE(C13:C15,1)+1)</f>
        <v/>
      </c>
      <c r="D16" s="1833"/>
      <c r="E16" s="1810"/>
      <c r="F16" s="1810"/>
      <c r="G16" s="1810"/>
      <c r="H16" s="1810"/>
      <c r="I16" s="1810"/>
      <c r="J16" s="1810"/>
      <c r="K16" s="1810"/>
      <c r="L16" s="1811"/>
      <c r="M16" s="9"/>
      <c r="N16" s="2252" t="s">
        <v>15</v>
      </c>
      <c r="O16" s="2237"/>
      <c r="P16" s="2237"/>
      <c r="Q16" s="2237"/>
      <c r="R16" s="2237"/>
      <c r="S16" s="2240"/>
      <c r="T16" s="2241"/>
      <c r="U16" s="2239"/>
      <c r="V16" s="2242"/>
      <c r="W16" s="2250"/>
      <c r="X16" s="2244"/>
      <c r="Y16" s="2244"/>
      <c r="Z16" s="2245"/>
      <c r="AA16" s="2246"/>
      <c r="AB16" s="2247"/>
      <c r="AC16" s="2248"/>
      <c r="AD16" s="2249"/>
      <c r="AE16" s="2249"/>
      <c r="AF16" s="2238"/>
      <c r="AG16" s="2264"/>
      <c r="AH16" s="918"/>
      <c r="AI16" s="2252" t="s">
        <v>15</v>
      </c>
      <c r="AJ16" s="2237"/>
      <c r="AK16" s="2237"/>
      <c r="AL16" s="2237"/>
      <c r="AM16" s="2237"/>
      <c r="AN16" s="2240"/>
      <c r="AO16" s="2241"/>
      <c r="AP16" s="2239"/>
      <c r="AQ16" s="2242"/>
      <c r="AR16" s="2250"/>
      <c r="AS16" s="2244"/>
      <c r="AT16" s="2244"/>
      <c r="AU16" s="2245"/>
      <c r="AV16" s="2246"/>
      <c r="AW16" s="2247"/>
      <c r="AX16" s="2248"/>
      <c r="AY16" s="2249"/>
      <c r="AZ16" s="2249"/>
      <c r="BA16" s="2238"/>
      <c r="BB16" s="2264"/>
      <c r="BC16" s="918"/>
      <c r="BD16" s="2252" t="s">
        <v>15</v>
      </c>
      <c r="BE16" s="2237"/>
      <c r="BF16" s="2237"/>
      <c r="BG16" s="2237"/>
      <c r="BH16" s="2237"/>
      <c r="BI16" s="2240"/>
      <c r="BJ16" s="2241"/>
      <c r="BK16" s="2239"/>
      <c r="BL16" s="2242"/>
      <c r="BM16" s="2250"/>
      <c r="BN16" s="2244"/>
      <c r="BO16" s="2244"/>
      <c r="BP16" s="2245"/>
      <c r="BQ16" s="2246"/>
      <c r="BR16" s="2247"/>
      <c r="BS16" s="2248"/>
      <c r="BT16" s="2249"/>
      <c r="BU16" s="2249"/>
      <c r="BV16" s="2238"/>
      <c r="BW16" s="2264"/>
      <c r="BY16" s="3">
        <v>1</v>
      </c>
    </row>
    <row r="17" spans="2:79" ht="21" customHeight="1">
      <c r="B17" s="2265" t="str" cm="1">
        <f t="array" ref="B17">SUMPRODUCT(--(D17:J17&lt;&gt;""), LEN(TRIM(SUBSTITUTE(D17:J17, CHAR(160), "")))) &amp; " Car."</f>
        <v>0 Car.</v>
      </c>
      <c r="C17" s="1376" t="str">
        <f>IF(ISBLANK(D17),"",LARGE(C13:C16,1)+1)</f>
        <v/>
      </c>
      <c r="D17" s="1833"/>
      <c r="E17" s="1810"/>
      <c r="F17" s="1810"/>
      <c r="G17" s="1810"/>
      <c r="H17" s="1810"/>
      <c r="I17" s="1810"/>
      <c r="J17" s="1810"/>
      <c r="K17" s="1810"/>
      <c r="L17" s="1811"/>
      <c r="M17" s="9"/>
      <c r="N17" s="2252" t="s">
        <v>15</v>
      </c>
      <c r="O17" s="2237"/>
      <c r="P17" s="2237"/>
      <c r="Q17" s="2237"/>
      <c r="R17" s="2237"/>
      <c r="S17" s="2240"/>
      <c r="T17" s="2241"/>
      <c r="U17" s="2239"/>
      <c r="V17" s="2242"/>
      <c r="W17" s="2250"/>
      <c r="X17" s="2244"/>
      <c r="Y17" s="2244"/>
      <c r="Z17" s="2245"/>
      <c r="AA17" s="2246"/>
      <c r="AB17" s="2247"/>
      <c r="AC17" s="2248"/>
      <c r="AD17" s="2249"/>
      <c r="AE17" s="2249"/>
      <c r="AF17" s="2238"/>
      <c r="AG17" s="2264"/>
      <c r="AH17" s="918"/>
      <c r="AI17" s="2252" t="s">
        <v>15</v>
      </c>
      <c r="AJ17" s="2237"/>
      <c r="AK17" s="2237"/>
      <c r="AL17" s="2237"/>
      <c r="AM17" s="2237"/>
      <c r="AN17" s="2240"/>
      <c r="AO17" s="2241"/>
      <c r="AP17" s="2239"/>
      <c r="AQ17" s="2242"/>
      <c r="AR17" s="2250"/>
      <c r="AS17" s="2244"/>
      <c r="AT17" s="2244"/>
      <c r="AU17" s="2245"/>
      <c r="AV17" s="2246"/>
      <c r="AW17" s="2247"/>
      <c r="AX17" s="2248"/>
      <c r="AY17" s="2249"/>
      <c r="AZ17" s="2249"/>
      <c r="BA17" s="2238"/>
      <c r="BB17" s="2264"/>
      <c r="BC17" s="918"/>
      <c r="BD17" s="2252" t="s">
        <v>15</v>
      </c>
      <c r="BE17" s="2237"/>
      <c r="BF17" s="2237"/>
      <c r="BG17" s="2237"/>
      <c r="BH17" s="2237"/>
      <c r="BI17" s="2240"/>
      <c r="BJ17" s="2241"/>
      <c r="BK17" s="2239"/>
      <c r="BL17" s="2242"/>
      <c r="BM17" s="2250"/>
      <c r="BN17" s="2244"/>
      <c r="BO17" s="2244"/>
      <c r="BP17" s="2245"/>
      <c r="BQ17" s="2246"/>
      <c r="BR17" s="2247"/>
      <c r="BS17" s="2248"/>
      <c r="BT17" s="2249"/>
      <c r="BU17" s="2249"/>
      <c r="BV17" s="2238"/>
      <c r="BW17" s="2264"/>
      <c r="BY17" s="3">
        <v>1</v>
      </c>
    </row>
    <row r="18" spans="2:79" ht="21" customHeight="1">
      <c r="B18" s="2265" t="str" cm="1">
        <f t="array" ref="B18">SUMPRODUCT(--(D18:J18&lt;&gt;""), LEN(TRIM(SUBSTITUTE(D18:J18, CHAR(160), "")))) &amp; " Car."</f>
        <v>0 Car.</v>
      </c>
      <c r="C18" s="1376" t="str">
        <f>IF(ISBLANK(D18),"",LARGE(C13:C17,1)+1)</f>
        <v/>
      </c>
      <c r="D18" s="1833"/>
      <c r="E18" s="1810"/>
      <c r="F18" s="1810"/>
      <c r="G18" s="1810"/>
      <c r="H18" s="1810"/>
      <c r="I18" s="1810"/>
      <c r="J18" s="1810"/>
      <c r="K18" s="1810"/>
      <c r="L18" s="1811"/>
      <c r="M18" s="9"/>
      <c r="N18" s="2252" t="s">
        <v>15</v>
      </c>
      <c r="O18" s="2237"/>
      <c r="P18" s="2237"/>
      <c r="Q18" s="2237"/>
      <c r="R18" s="2237"/>
      <c r="S18" s="2240"/>
      <c r="T18" s="2241"/>
      <c r="U18" s="2239"/>
      <c r="V18" s="2242"/>
      <c r="W18" s="2250"/>
      <c r="X18" s="2244"/>
      <c r="Y18" s="2244"/>
      <c r="Z18" s="2245"/>
      <c r="AA18" s="2246"/>
      <c r="AB18" s="2247"/>
      <c r="AC18" s="2248"/>
      <c r="AD18" s="2249"/>
      <c r="AE18" s="2249"/>
      <c r="AF18" s="2238"/>
      <c r="AG18" s="2264"/>
      <c r="AH18" s="918"/>
      <c r="AI18" s="2252" t="s">
        <v>15</v>
      </c>
      <c r="AJ18" s="2237"/>
      <c r="AK18" s="2237"/>
      <c r="AL18" s="2237"/>
      <c r="AM18" s="2237"/>
      <c r="AN18" s="2240"/>
      <c r="AO18" s="2241"/>
      <c r="AP18" s="2239"/>
      <c r="AQ18" s="2242"/>
      <c r="AR18" s="2250"/>
      <c r="AS18" s="2244"/>
      <c r="AT18" s="2244"/>
      <c r="AU18" s="2245"/>
      <c r="AV18" s="2246"/>
      <c r="AW18" s="2247"/>
      <c r="AX18" s="2248"/>
      <c r="AY18" s="2249"/>
      <c r="AZ18" s="2249"/>
      <c r="BA18" s="2238"/>
      <c r="BB18" s="2264"/>
      <c r="BC18" s="918"/>
      <c r="BD18" s="2252" t="s">
        <v>15</v>
      </c>
      <c r="BE18" s="2237"/>
      <c r="BF18" s="2237"/>
      <c r="BG18" s="2237"/>
      <c r="BH18" s="2237"/>
      <c r="BI18" s="2240"/>
      <c r="BJ18" s="2241"/>
      <c r="BK18" s="2239"/>
      <c r="BL18" s="2242"/>
      <c r="BM18" s="2250"/>
      <c r="BN18" s="2244"/>
      <c r="BO18" s="2244"/>
      <c r="BP18" s="2245"/>
      <c r="BQ18" s="2246"/>
      <c r="BR18" s="2247"/>
      <c r="BS18" s="2248"/>
      <c r="BT18" s="2249"/>
      <c r="BU18" s="2249"/>
      <c r="BV18" s="2238"/>
      <c r="BW18" s="2264"/>
      <c r="BY18" s="3">
        <v>1</v>
      </c>
      <c r="CA18" s="198" t="s">
        <v>14242</v>
      </c>
    </row>
    <row r="19" spans="2:79" ht="21" customHeight="1">
      <c r="B19" s="2265" t="str" cm="1">
        <f t="array" ref="B19">SUMPRODUCT(--(D19:J19&lt;&gt;""), LEN(TRIM(SUBSTITUTE(D19:J19, CHAR(160), "")))) &amp; " Car."</f>
        <v>0 Car.</v>
      </c>
      <c r="C19" s="1376" t="str">
        <f>IF(ISBLANK(D19),"",LARGE(C13:C18,1)+1)</f>
        <v/>
      </c>
      <c r="D19" s="1833"/>
      <c r="E19" s="1810"/>
      <c r="F19" s="1810"/>
      <c r="G19" s="1810"/>
      <c r="H19" s="1810"/>
      <c r="I19" s="1810"/>
      <c r="J19" s="1810"/>
      <c r="K19" s="1810"/>
      <c r="L19" s="1811"/>
      <c r="M19" s="9"/>
      <c r="N19" s="2252" t="s">
        <v>15</v>
      </c>
      <c r="O19" s="2237"/>
      <c r="P19" s="2237"/>
      <c r="Q19" s="2237"/>
      <c r="R19" s="2237"/>
      <c r="S19" s="2240"/>
      <c r="T19" s="2241"/>
      <c r="U19" s="2239"/>
      <c r="V19" s="2242"/>
      <c r="W19" s="2250"/>
      <c r="X19" s="2244"/>
      <c r="Y19" s="2244"/>
      <c r="Z19" s="2245"/>
      <c r="AA19" s="2246"/>
      <c r="AB19" s="2247"/>
      <c r="AC19" s="2248"/>
      <c r="AD19" s="2249"/>
      <c r="AE19" s="2249"/>
      <c r="AF19" s="2238"/>
      <c r="AG19" s="2264"/>
      <c r="AH19" s="918"/>
      <c r="AI19" s="2252" t="s">
        <v>15</v>
      </c>
      <c r="AJ19" s="2237"/>
      <c r="AK19" s="2237"/>
      <c r="AL19" s="2237"/>
      <c r="AM19" s="2237"/>
      <c r="AN19" s="2240"/>
      <c r="AO19" s="2241"/>
      <c r="AP19" s="2239"/>
      <c r="AQ19" s="2242"/>
      <c r="AR19" s="2250"/>
      <c r="AS19" s="2244"/>
      <c r="AT19" s="2244"/>
      <c r="AU19" s="2245"/>
      <c r="AV19" s="2246"/>
      <c r="AW19" s="2247"/>
      <c r="AX19" s="2248"/>
      <c r="AY19" s="2249"/>
      <c r="AZ19" s="2249"/>
      <c r="BA19" s="2238"/>
      <c r="BB19" s="2264"/>
      <c r="BC19" s="918"/>
      <c r="BD19" s="2252" t="s">
        <v>15</v>
      </c>
      <c r="BE19" s="2237"/>
      <c r="BF19" s="2237"/>
      <c r="BG19" s="2237"/>
      <c r="BH19" s="2237"/>
      <c r="BI19" s="2240"/>
      <c r="BJ19" s="2241"/>
      <c r="BK19" s="2239"/>
      <c r="BL19" s="2242"/>
      <c r="BM19" s="2250"/>
      <c r="BN19" s="2244"/>
      <c r="BO19" s="2244"/>
      <c r="BP19" s="2245"/>
      <c r="BQ19" s="2246"/>
      <c r="BR19" s="2247"/>
      <c r="BS19" s="2248"/>
      <c r="BT19" s="2249"/>
      <c r="BU19" s="2249"/>
      <c r="BV19" s="2238"/>
      <c r="BW19" s="2264"/>
      <c r="BY19" s="3">
        <v>1</v>
      </c>
      <c r="CA19" s="198" t="s">
        <v>14230</v>
      </c>
    </row>
    <row r="20" spans="2:79" ht="21" customHeight="1">
      <c r="B20" s="2265" t="str" cm="1">
        <f t="array" ref="B20">SUMPRODUCT(--(D20:J20&lt;&gt;""), LEN(TRIM(SUBSTITUTE(D20:J20, CHAR(160), "")))) &amp; " Car."</f>
        <v>0 Car.</v>
      </c>
      <c r="C20" s="1376" t="str">
        <f>IF(ISBLANK(D20),"",LARGE(C13:C19,1)+1)</f>
        <v/>
      </c>
      <c r="D20" s="1833"/>
      <c r="E20" s="1810"/>
      <c r="F20" s="1810"/>
      <c r="G20" s="1810"/>
      <c r="H20" s="1810"/>
      <c r="I20" s="1810"/>
      <c r="J20" s="1810"/>
      <c r="K20" s="1810"/>
      <c r="L20" s="1811"/>
      <c r="M20" s="9"/>
      <c r="N20" s="2252" t="s">
        <v>15</v>
      </c>
      <c r="O20" s="2237"/>
      <c r="P20" s="2237"/>
      <c r="Q20" s="2237"/>
      <c r="R20" s="2237"/>
      <c r="S20" s="2240"/>
      <c r="T20" s="2241"/>
      <c r="U20" s="2239"/>
      <c r="V20" s="2242"/>
      <c r="W20" s="2250"/>
      <c r="X20" s="2244"/>
      <c r="Y20" s="2244"/>
      <c r="Z20" s="2245"/>
      <c r="AA20" s="2246"/>
      <c r="AB20" s="2247"/>
      <c r="AC20" s="2248"/>
      <c r="AD20" s="2249"/>
      <c r="AE20" s="2249"/>
      <c r="AF20" s="2238"/>
      <c r="AG20" s="2264"/>
      <c r="AH20" s="918"/>
      <c r="AI20" s="2252" t="s">
        <v>15</v>
      </c>
      <c r="AJ20" s="2237"/>
      <c r="AK20" s="2237"/>
      <c r="AL20" s="2237"/>
      <c r="AM20" s="2237"/>
      <c r="AN20" s="2240"/>
      <c r="AO20" s="2241"/>
      <c r="AP20" s="2239"/>
      <c r="AQ20" s="2242"/>
      <c r="AR20" s="2250"/>
      <c r="AS20" s="2244"/>
      <c r="AT20" s="2244"/>
      <c r="AU20" s="2245"/>
      <c r="AV20" s="2246"/>
      <c r="AW20" s="2247"/>
      <c r="AX20" s="2248"/>
      <c r="AY20" s="2249"/>
      <c r="AZ20" s="2249"/>
      <c r="BA20" s="2238"/>
      <c r="BB20" s="2264"/>
      <c r="BC20" s="918"/>
      <c r="BD20" s="2252" t="s">
        <v>15</v>
      </c>
      <c r="BE20" s="2237"/>
      <c r="BF20" s="2237"/>
      <c r="BG20" s="2237"/>
      <c r="BH20" s="2237"/>
      <c r="BI20" s="2240"/>
      <c r="BJ20" s="2241"/>
      <c r="BK20" s="2239"/>
      <c r="BL20" s="2242"/>
      <c r="BM20" s="2250"/>
      <c r="BN20" s="2244"/>
      <c r="BO20" s="2244"/>
      <c r="BP20" s="2245"/>
      <c r="BQ20" s="2246"/>
      <c r="BR20" s="2247"/>
      <c r="BS20" s="2248"/>
      <c r="BT20" s="2249"/>
      <c r="BU20" s="2249"/>
      <c r="BV20" s="2238"/>
      <c r="BW20" s="2264"/>
      <c r="BY20" s="3">
        <v>1</v>
      </c>
      <c r="CA20" s="198"/>
    </row>
    <row r="21" spans="2:79" ht="21" customHeight="1">
      <c r="B21" s="2265" t="str" cm="1">
        <f t="array" ref="B21">SUMPRODUCT(--(D21:J21&lt;&gt;""), LEN(TRIM(SUBSTITUTE(D21:J21, CHAR(160), "")))) &amp; " Car."</f>
        <v>0 Car.</v>
      </c>
      <c r="C21" s="1376" t="str">
        <f>IF(ISBLANK(D21),"",LARGE(C13:C20,1)+1)</f>
        <v/>
      </c>
      <c r="D21" s="1833"/>
      <c r="E21" s="1810"/>
      <c r="F21" s="1810"/>
      <c r="G21" s="1810"/>
      <c r="H21" s="1810"/>
      <c r="I21" s="1810"/>
      <c r="J21" s="1810"/>
      <c r="K21" s="1810"/>
      <c r="L21" s="1811"/>
      <c r="M21" s="9"/>
      <c r="N21" s="2252" t="s">
        <v>15</v>
      </c>
      <c r="O21" s="2237"/>
      <c r="P21" s="2237"/>
      <c r="Q21" s="2237"/>
      <c r="R21" s="2237"/>
      <c r="S21" s="2240"/>
      <c r="T21" s="2241"/>
      <c r="U21" s="2239"/>
      <c r="V21" s="2242"/>
      <c r="W21" s="2250"/>
      <c r="X21" s="2244"/>
      <c r="Y21" s="2244"/>
      <c r="Z21" s="2245"/>
      <c r="AA21" s="2246"/>
      <c r="AB21" s="2247"/>
      <c r="AC21" s="2248"/>
      <c r="AD21" s="2249"/>
      <c r="AE21" s="2249"/>
      <c r="AF21" s="2238"/>
      <c r="AG21" s="2264"/>
      <c r="AH21" s="918"/>
      <c r="AI21" s="2252" t="s">
        <v>15</v>
      </c>
      <c r="AJ21" s="2237"/>
      <c r="AK21" s="2237"/>
      <c r="AL21" s="2237"/>
      <c r="AM21" s="2237"/>
      <c r="AN21" s="2240"/>
      <c r="AO21" s="2241"/>
      <c r="AP21" s="2239"/>
      <c r="AQ21" s="2242"/>
      <c r="AR21" s="2250"/>
      <c r="AS21" s="2244"/>
      <c r="AT21" s="2244"/>
      <c r="AU21" s="2245"/>
      <c r="AV21" s="2246"/>
      <c r="AW21" s="2247"/>
      <c r="AX21" s="2248"/>
      <c r="AY21" s="2249"/>
      <c r="AZ21" s="2249"/>
      <c r="BA21" s="2238"/>
      <c r="BB21" s="2264"/>
      <c r="BC21" s="918"/>
      <c r="BD21" s="2252" t="s">
        <v>15</v>
      </c>
      <c r="BE21" s="2237"/>
      <c r="BF21" s="2237"/>
      <c r="BG21" s="2237"/>
      <c r="BH21" s="2237"/>
      <c r="BI21" s="2240"/>
      <c r="BJ21" s="2241"/>
      <c r="BK21" s="2239"/>
      <c r="BL21" s="2242"/>
      <c r="BM21" s="2250"/>
      <c r="BN21" s="2244"/>
      <c r="BO21" s="2244"/>
      <c r="BP21" s="2245"/>
      <c r="BQ21" s="2246"/>
      <c r="BR21" s="2247"/>
      <c r="BS21" s="2248"/>
      <c r="BT21" s="2249"/>
      <c r="BU21" s="2249"/>
      <c r="BV21" s="2238"/>
      <c r="BW21" s="2264"/>
      <c r="BY21" s="3">
        <v>1</v>
      </c>
      <c r="CA21" s="198" t="s">
        <v>14233</v>
      </c>
    </row>
    <row r="22" spans="2:79" ht="21" customHeight="1">
      <c r="B22" s="2265" t="str" cm="1">
        <f t="array" ref="B22">SUMPRODUCT(--(D22:J22&lt;&gt;""), LEN(TRIM(SUBSTITUTE(D22:J22, CHAR(160), "")))) &amp; " Car."</f>
        <v>0 Car.</v>
      </c>
      <c r="C22" s="1376" t="str">
        <f>IF(ISBLANK(D22),"",LARGE(C13:C21,1)+1)</f>
        <v/>
      </c>
      <c r="D22" s="1833"/>
      <c r="E22" s="1810"/>
      <c r="F22" s="1810"/>
      <c r="G22" s="1810"/>
      <c r="H22" s="1810"/>
      <c r="I22" s="1810"/>
      <c r="J22" s="1810"/>
      <c r="K22" s="1810"/>
      <c r="L22" s="1811"/>
      <c r="M22" s="9"/>
      <c r="N22" s="2252" t="s">
        <v>15</v>
      </c>
      <c r="O22" s="2237"/>
      <c r="P22" s="2237"/>
      <c r="Q22" s="2237"/>
      <c r="R22" s="2237"/>
      <c r="S22" s="2240"/>
      <c r="T22" s="2241"/>
      <c r="U22" s="2239"/>
      <c r="V22" s="2242"/>
      <c r="W22" s="2250"/>
      <c r="X22" s="2244"/>
      <c r="Y22" s="2244"/>
      <c r="Z22" s="2245"/>
      <c r="AA22" s="2246"/>
      <c r="AB22" s="2247"/>
      <c r="AC22" s="2248"/>
      <c r="AD22" s="2249"/>
      <c r="AE22" s="2249"/>
      <c r="AF22" s="2238"/>
      <c r="AG22" s="2264"/>
      <c r="AH22" s="918"/>
      <c r="AI22" s="2252" t="s">
        <v>15</v>
      </c>
      <c r="AJ22" s="2237"/>
      <c r="AK22" s="2237"/>
      <c r="AL22" s="2237"/>
      <c r="AM22" s="2237"/>
      <c r="AN22" s="2240"/>
      <c r="AO22" s="2241"/>
      <c r="AP22" s="2239"/>
      <c r="AQ22" s="2242"/>
      <c r="AR22" s="2250"/>
      <c r="AS22" s="2244"/>
      <c r="AT22" s="2244"/>
      <c r="AU22" s="2245"/>
      <c r="AV22" s="2246"/>
      <c r="AW22" s="2247"/>
      <c r="AX22" s="2248"/>
      <c r="AY22" s="2249"/>
      <c r="AZ22" s="2249"/>
      <c r="BA22" s="2238"/>
      <c r="BB22" s="2264"/>
      <c r="BC22" s="918"/>
      <c r="BD22" s="2252" t="s">
        <v>15</v>
      </c>
      <c r="BE22" s="2237"/>
      <c r="BF22" s="2237"/>
      <c r="BG22" s="2237"/>
      <c r="BH22" s="2237"/>
      <c r="BI22" s="2240"/>
      <c r="BJ22" s="2241"/>
      <c r="BK22" s="2239"/>
      <c r="BL22" s="2242"/>
      <c r="BM22" s="2250"/>
      <c r="BN22" s="2244"/>
      <c r="BO22" s="2244"/>
      <c r="BP22" s="2245"/>
      <c r="BQ22" s="2246"/>
      <c r="BR22" s="2247"/>
      <c r="BS22" s="2248"/>
      <c r="BT22" s="2249"/>
      <c r="BU22" s="2249"/>
      <c r="BV22" s="2238"/>
      <c r="BW22" s="2264"/>
      <c r="BY22" s="3">
        <v>1</v>
      </c>
      <c r="CA22" s="198" t="s">
        <v>14236</v>
      </c>
    </row>
    <row r="23" spans="2:79" ht="21" customHeight="1">
      <c r="B23" s="2265" t="str" cm="1">
        <f t="array" ref="B23">SUMPRODUCT(--(D23:J23&lt;&gt;""), LEN(TRIM(SUBSTITUTE(D23:J23, CHAR(160), "")))) &amp; " Car."</f>
        <v>0 Car.</v>
      </c>
      <c r="C23" s="1376" t="str">
        <f>IF(ISBLANK(D23),"",LARGE(C13:C22,1)+1)</f>
        <v/>
      </c>
      <c r="D23" s="1833"/>
      <c r="E23" s="1810"/>
      <c r="F23" s="1810"/>
      <c r="G23" s="1810"/>
      <c r="H23" s="1810"/>
      <c r="I23" s="1810"/>
      <c r="J23" s="1810"/>
      <c r="K23" s="1810"/>
      <c r="L23" s="1811"/>
      <c r="M23" s="9"/>
      <c r="N23" s="2252" t="s">
        <v>15</v>
      </c>
      <c r="O23" s="2237"/>
      <c r="P23" s="2237"/>
      <c r="Q23" s="2237"/>
      <c r="R23" s="2237"/>
      <c r="S23" s="2240"/>
      <c r="T23" s="2241"/>
      <c r="U23" s="2239"/>
      <c r="V23" s="2242"/>
      <c r="W23" s="2250"/>
      <c r="X23" s="2244"/>
      <c r="Y23" s="2244"/>
      <c r="Z23" s="2245"/>
      <c r="AA23" s="2246"/>
      <c r="AB23" s="2247"/>
      <c r="AC23" s="2248"/>
      <c r="AD23" s="2249"/>
      <c r="AE23" s="2249"/>
      <c r="AF23" s="2238"/>
      <c r="AG23" s="2264"/>
      <c r="AH23" s="918"/>
      <c r="AI23" s="2252" t="s">
        <v>15</v>
      </c>
      <c r="AJ23" s="2237"/>
      <c r="AK23" s="2237"/>
      <c r="AL23" s="2237"/>
      <c r="AM23" s="2237"/>
      <c r="AN23" s="2240"/>
      <c r="AO23" s="2241"/>
      <c r="AP23" s="2239"/>
      <c r="AQ23" s="2242"/>
      <c r="AR23" s="2250"/>
      <c r="AS23" s="2244"/>
      <c r="AT23" s="2244"/>
      <c r="AU23" s="2245"/>
      <c r="AV23" s="2246"/>
      <c r="AW23" s="2247"/>
      <c r="AX23" s="2248"/>
      <c r="AY23" s="2249"/>
      <c r="AZ23" s="2249"/>
      <c r="BA23" s="2238"/>
      <c r="BB23" s="2264"/>
      <c r="BC23" s="918"/>
      <c r="BD23" s="2252" t="s">
        <v>15</v>
      </c>
      <c r="BE23" s="2237"/>
      <c r="BF23" s="2237"/>
      <c r="BG23" s="2237"/>
      <c r="BH23" s="2237"/>
      <c r="BI23" s="2240"/>
      <c r="BJ23" s="2241"/>
      <c r="BK23" s="2239"/>
      <c r="BL23" s="2242"/>
      <c r="BM23" s="2250"/>
      <c r="BN23" s="2244"/>
      <c r="BO23" s="2244"/>
      <c r="BP23" s="2245"/>
      <c r="BQ23" s="2246"/>
      <c r="BR23" s="2247"/>
      <c r="BS23" s="2248"/>
      <c r="BT23" s="2249"/>
      <c r="BU23" s="2249"/>
      <c r="BV23" s="2238"/>
      <c r="BW23" s="2264"/>
      <c r="BY23" s="3">
        <v>1</v>
      </c>
    </row>
    <row r="24" spans="2:79" ht="21" customHeight="1">
      <c r="B24" s="2265" t="str" cm="1">
        <f t="array" ref="B24">SUMPRODUCT(--(D24:J24&lt;&gt;""), LEN(TRIM(SUBSTITUTE(D24:J24, CHAR(160), "")))) &amp; " Car."</f>
        <v>0 Car.</v>
      </c>
      <c r="C24" s="1376" t="str">
        <f>IF(ISBLANK(D24),"",LARGE(C13:C23,1)+1)</f>
        <v/>
      </c>
      <c r="D24" s="1833"/>
      <c r="E24" s="1810"/>
      <c r="F24" s="1810"/>
      <c r="G24" s="1810"/>
      <c r="H24" s="1810"/>
      <c r="I24" s="1810"/>
      <c r="J24" s="1810"/>
      <c r="K24" s="1810"/>
      <c r="L24" s="1811"/>
      <c r="M24" s="9"/>
      <c r="N24" s="2252" t="s">
        <v>15</v>
      </c>
      <c r="O24" s="2237"/>
      <c r="P24" s="2237"/>
      <c r="Q24" s="2237"/>
      <c r="R24" s="2237"/>
      <c r="S24" s="2240"/>
      <c r="T24" s="2241"/>
      <c r="U24" s="2239"/>
      <c r="V24" s="2242"/>
      <c r="W24" s="2250"/>
      <c r="X24" s="2244"/>
      <c r="Y24" s="2244"/>
      <c r="Z24" s="2245"/>
      <c r="AA24" s="2246"/>
      <c r="AB24" s="2247"/>
      <c r="AC24" s="2248"/>
      <c r="AD24" s="2249"/>
      <c r="AE24" s="2249"/>
      <c r="AF24" s="2238"/>
      <c r="AG24" s="2264"/>
      <c r="AH24" s="918"/>
      <c r="AI24" s="2252" t="s">
        <v>15</v>
      </c>
      <c r="AJ24" s="2237"/>
      <c r="AK24" s="2237"/>
      <c r="AL24" s="2237"/>
      <c r="AM24" s="2237"/>
      <c r="AN24" s="2240"/>
      <c r="AO24" s="2241"/>
      <c r="AP24" s="2239"/>
      <c r="AQ24" s="2242"/>
      <c r="AR24" s="2250"/>
      <c r="AS24" s="2244"/>
      <c r="AT24" s="2244"/>
      <c r="AU24" s="2245"/>
      <c r="AV24" s="2246"/>
      <c r="AW24" s="2247"/>
      <c r="AX24" s="2248"/>
      <c r="AY24" s="2249"/>
      <c r="AZ24" s="2249"/>
      <c r="BA24" s="2238"/>
      <c r="BB24" s="2264"/>
      <c r="BC24" s="918"/>
      <c r="BD24" s="2252" t="s">
        <v>15</v>
      </c>
      <c r="BE24" s="2237"/>
      <c r="BF24" s="2237"/>
      <c r="BG24" s="2237"/>
      <c r="BH24" s="2237"/>
      <c r="BI24" s="2240"/>
      <c r="BJ24" s="2241"/>
      <c r="BK24" s="2239"/>
      <c r="BL24" s="2242"/>
      <c r="BM24" s="2250"/>
      <c r="BN24" s="2244"/>
      <c r="BO24" s="2244"/>
      <c r="BP24" s="2245"/>
      <c r="BQ24" s="2246"/>
      <c r="BR24" s="2247"/>
      <c r="BS24" s="2248"/>
      <c r="BT24" s="2249"/>
      <c r="BU24" s="2249"/>
      <c r="BV24" s="2238"/>
      <c r="BW24" s="2264"/>
      <c r="BY24" s="3">
        <v>1</v>
      </c>
    </row>
    <row r="25" spans="2:79" ht="21" customHeight="1">
      <c r="B25" s="2265" t="str" cm="1">
        <f t="array" ref="B25">SUMPRODUCT(--(D25:J25&lt;&gt;""), LEN(TRIM(SUBSTITUTE(D25:J25, CHAR(160), "")))) &amp; " Car."</f>
        <v>0 Car.</v>
      </c>
      <c r="C25" s="1376" t="str">
        <f>IF(ISBLANK(D25),"",LARGE(C13:C24,1)+1)</f>
        <v/>
      </c>
      <c r="D25" s="1833"/>
      <c r="E25" s="1810"/>
      <c r="F25" s="1810"/>
      <c r="G25" s="1810"/>
      <c r="H25" s="1810"/>
      <c r="I25" s="1810"/>
      <c r="J25" s="1810"/>
      <c r="K25" s="1810"/>
      <c r="L25" s="1811"/>
      <c r="M25" s="9"/>
      <c r="N25" s="2252" t="s">
        <v>15</v>
      </c>
      <c r="O25" s="2237"/>
      <c r="P25" s="2237"/>
      <c r="Q25" s="2237"/>
      <c r="R25" s="2237"/>
      <c r="S25" s="2240"/>
      <c r="T25" s="2241"/>
      <c r="U25" s="2239"/>
      <c r="V25" s="2242"/>
      <c r="W25" s="2250"/>
      <c r="X25" s="2244"/>
      <c r="Y25" s="2244"/>
      <c r="Z25" s="2245"/>
      <c r="AA25" s="2246"/>
      <c r="AB25" s="2247"/>
      <c r="AC25" s="2248"/>
      <c r="AD25" s="2249"/>
      <c r="AE25" s="2249"/>
      <c r="AF25" s="2238"/>
      <c r="AG25" s="2264"/>
      <c r="AH25" s="918"/>
      <c r="AI25" s="2252" t="s">
        <v>15</v>
      </c>
      <c r="AJ25" s="2237"/>
      <c r="AK25" s="2237"/>
      <c r="AL25" s="2237"/>
      <c r="AM25" s="2237"/>
      <c r="AN25" s="2240"/>
      <c r="AO25" s="2241"/>
      <c r="AP25" s="2239"/>
      <c r="AQ25" s="2242"/>
      <c r="AR25" s="2250"/>
      <c r="AS25" s="2244"/>
      <c r="AT25" s="2244"/>
      <c r="AU25" s="2245"/>
      <c r="AV25" s="2246"/>
      <c r="AW25" s="2247"/>
      <c r="AX25" s="2248"/>
      <c r="AY25" s="2249"/>
      <c r="AZ25" s="2249"/>
      <c r="BA25" s="2238"/>
      <c r="BB25" s="2264"/>
      <c r="BC25" s="918"/>
      <c r="BD25" s="2252" t="s">
        <v>15</v>
      </c>
      <c r="BE25" s="2237"/>
      <c r="BF25" s="2237"/>
      <c r="BG25" s="2237"/>
      <c r="BH25" s="2237"/>
      <c r="BI25" s="2240"/>
      <c r="BJ25" s="2241"/>
      <c r="BK25" s="2239"/>
      <c r="BL25" s="2242"/>
      <c r="BM25" s="2250"/>
      <c r="BN25" s="2244"/>
      <c r="BO25" s="2244"/>
      <c r="BP25" s="2245"/>
      <c r="BQ25" s="2246"/>
      <c r="BR25" s="2247"/>
      <c r="BS25" s="2248"/>
      <c r="BT25" s="2249"/>
      <c r="BU25" s="2249"/>
      <c r="BV25" s="2238"/>
      <c r="BW25" s="2264"/>
      <c r="BY25" s="3">
        <v>1</v>
      </c>
      <c r="CA25" s="198" t="s">
        <v>14243</v>
      </c>
    </row>
    <row r="26" spans="2:79" ht="21" customHeight="1">
      <c r="B26" s="2265" t="str" cm="1">
        <f t="array" ref="B26">SUMPRODUCT(--(D26:J26&lt;&gt;""), LEN(TRIM(SUBSTITUTE(D26:J26, CHAR(160), "")))) &amp; " Car."</f>
        <v>0 Car.</v>
      </c>
      <c r="C26" s="1376" t="str">
        <f>IF(ISBLANK(D26),"",LARGE(C13:C25,1)+1)</f>
        <v/>
      </c>
      <c r="D26" s="1833"/>
      <c r="E26" s="1810"/>
      <c r="F26" s="1810"/>
      <c r="G26" s="1810"/>
      <c r="H26" s="1810"/>
      <c r="I26" s="1810"/>
      <c r="J26" s="1810"/>
      <c r="K26" s="1810"/>
      <c r="L26" s="1811"/>
      <c r="M26" s="9"/>
      <c r="N26" s="2252" t="s">
        <v>15</v>
      </c>
      <c r="O26" s="2237"/>
      <c r="P26" s="2237"/>
      <c r="Q26" s="2237"/>
      <c r="R26" s="2237"/>
      <c r="S26" s="2240"/>
      <c r="T26" s="2241"/>
      <c r="U26" s="2239"/>
      <c r="V26" s="2242"/>
      <c r="W26" s="2250"/>
      <c r="X26" s="2244"/>
      <c r="Y26" s="2244"/>
      <c r="Z26" s="2245"/>
      <c r="AA26" s="2246"/>
      <c r="AB26" s="2247"/>
      <c r="AC26" s="2248"/>
      <c r="AD26" s="2249"/>
      <c r="AE26" s="2249"/>
      <c r="AF26" s="2238"/>
      <c r="AG26" s="2264"/>
      <c r="AH26" s="918"/>
      <c r="AI26" s="2252" t="s">
        <v>15</v>
      </c>
      <c r="AJ26" s="2237"/>
      <c r="AK26" s="2237"/>
      <c r="AL26" s="2237"/>
      <c r="AM26" s="2237"/>
      <c r="AN26" s="2240"/>
      <c r="AO26" s="2241"/>
      <c r="AP26" s="2239"/>
      <c r="AQ26" s="2242"/>
      <c r="AR26" s="2250"/>
      <c r="AS26" s="2244"/>
      <c r="AT26" s="2244"/>
      <c r="AU26" s="2245"/>
      <c r="AV26" s="2246"/>
      <c r="AW26" s="2247"/>
      <c r="AX26" s="2248"/>
      <c r="AY26" s="2249"/>
      <c r="AZ26" s="2249"/>
      <c r="BA26" s="2238"/>
      <c r="BB26" s="2264"/>
      <c r="BC26" s="918"/>
      <c r="BD26" s="2252" t="s">
        <v>15</v>
      </c>
      <c r="BE26" s="2237"/>
      <c r="BF26" s="2237"/>
      <c r="BG26" s="2237"/>
      <c r="BH26" s="2237"/>
      <c r="BI26" s="2240"/>
      <c r="BJ26" s="2241"/>
      <c r="BK26" s="2239"/>
      <c r="BL26" s="2242"/>
      <c r="BM26" s="2250"/>
      <c r="BN26" s="2244"/>
      <c r="BO26" s="2244"/>
      <c r="BP26" s="2245"/>
      <c r="BQ26" s="2246"/>
      <c r="BR26" s="2247"/>
      <c r="BS26" s="2248"/>
      <c r="BT26" s="2249"/>
      <c r="BU26" s="2249"/>
      <c r="BV26" s="2238"/>
      <c r="BW26" s="2264"/>
      <c r="BY26" s="3">
        <v>1</v>
      </c>
      <c r="CA26" s="198" t="s">
        <v>14231</v>
      </c>
    </row>
    <row r="27" spans="2:79" ht="21" customHeight="1">
      <c r="B27" s="2265" t="str" cm="1">
        <f t="array" ref="B27">SUMPRODUCT(--(D27:J27&lt;&gt;""), LEN(TRIM(SUBSTITUTE(D27:J27, CHAR(160), "")))) &amp; " Car."</f>
        <v>0 Car.</v>
      </c>
      <c r="C27" s="1376" t="str">
        <f>IF(ISBLANK(D27),"",LARGE(C13:C26,1)+1)</f>
        <v/>
      </c>
      <c r="D27" s="1833"/>
      <c r="E27" s="1810"/>
      <c r="F27" s="1810"/>
      <c r="G27" s="1810"/>
      <c r="H27" s="1810"/>
      <c r="I27" s="1810"/>
      <c r="J27" s="1810"/>
      <c r="K27" s="1810"/>
      <c r="L27" s="1811"/>
      <c r="M27" s="9"/>
      <c r="N27" s="2252" t="s">
        <v>15</v>
      </c>
      <c r="O27" s="2237"/>
      <c r="P27" s="2237"/>
      <c r="Q27" s="2237"/>
      <c r="R27" s="2237"/>
      <c r="S27" s="2240"/>
      <c r="T27" s="2241"/>
      <c r="U27" s="2239"/>
      <c r="V27" s="2242"/>
      <c r="W27" s="2250"/>
      <c r="X27" s="2244"/>
      <c r="Y27" s="2244"/>
      <c r="Z27" s="2245"/>
      <c r="AA27" s="2246"/>
      <c r="AB27" s="2247"/>
      <c r="AC27" s="2248"/>
      <c r="AD27" s="2249"/>
      <c r="AE27" s="2249"/>
      <c r="AF27" s="2238"/>
      <c r="AG27" s="2264"/>
      <c r="AH27" s="918"/>
      <c r="AI27" s="2252" t="s">
        <v>15</v>
      </c>
      <c r="AJ27" s="2237"/>
      <c r="AK27" s="2237"/>
      <c r="AL27" s="2237"/>
      <c r="AM27" s="2237"/>
      <c r="AN27" s="2240"/>
      <c r="AO27" s="2241"/>
      <c r="AP27" s="2239"/>
      <c r="AQ27" s="2242"/>
      <c r="AR27" s="2250"/>
      <c r="AS27" s="2244"/>
      <c r="AT27" s="2244"/>
      <c r="AU27" s="2245"/>
      <c r="AV27" s="2246"/>
      <c r="AW27" s="2247"/>
      <c r="AX27" s="2248"/>
      <c r="AY27" s="2249"/>
      <c r="AZ27" s="2249"/>
      <c r="BA27" s="2238"/>
      <c r="BB27" s="2264"/>
      <c r="BC27" s="918"/>
      <c r="BD27" s="2252" t="s">
        <v>15</v>
      </c>
      <c r="BE27" s="2237"/>
      <c r="BF27" s="2237"/>
      <c r="BG27" s="2237"/>
      <c r="BH27" s="2237"/>
      <c r="BI27" s="2240"/>
      <c r="BJ27" s="2241"/>
      <c r="BK27" s="2239"/>
      <c r="BL27" s="2242"/>
      <c r="BM27" s="2250"/>
      <c r="BN27" s="2244"/>
      <c r="BO27" s="2244"/>
      <c r="BP27" s="2245"/>
      <c r="BQ27" s="2246"/>
      <c r="BR27" s="2247"/>
      <c r="BS27" s="2248"/>
      <c r="BT27" s="2249"/>
      <c r="BU27" s="2249"/>
      <c r="BV27" s="2238"/>
      <c r="BW27" s="2264"/>
      <c r="BY27" s="3">
        <v>1</v>
      </c>
      <c r="CA27" s="198"/>
    </row>
    <row r="28" spans="2:79" ht="21" customHeight="1">
      <c r="B28" s="2265" t="str" cm="1">
        <f t="array" ref="B28">SUMPRODUCT(--(D28:J28&lt;&gt;""), LEN(TRIM(SUBSTITUTE(D28:J28, CHAR(160), "")))) &amp; " Car."</f>
        <v>0 Car.</v>
      </c>
      <c r="C28" s="1376" t="str">
        <f>IF(ISBLANK(D28),"",LARGE(C13:C27,1)+1)</f>
        <v/>
      </c>
      <c r="D28" s="1833"/>
      <c r="E28" s="1810"/>
      <c r="F28" s="1810"/>
      <c r="G28" s="1810"/>
      <c r="H28" s="1810"/>
      <c r="I28" s="1810"/>
      <c r="J28" s="1810"/>
      <c r="K28" s="1810"/>
      <c r="L28" s="1811"/>
      <c r="M28" s="9"/>
      <c r="N28" s="2252" t="s">
        <v>15</v>
      </c>
      <c r="O28" s="2237"/>
      <c r="P28" s="2237"/>
      <c r="Q28" s="2237"/>
      <c r="R28" s="2237"/>
      <c r="S28" s="2240"/>
      <c r="T28" s="2241"/>
      <c r="U28" s="2239"/>
      <c r="V28" s="2242"/>
      <c r="W28" s="2250"/>
      <c r="X28" s="2244"/>
      <c r="Y28" s="2244"/>
      <c r="Z28" s="2245"/>
      <c r="AA28" s="2246"/>
      <c r="AB28" s="2247"/>
      <c r="AC28" s="2248"/>
      <c r="AD28" s="2249"/>
      <c r="AE28" s="2249"/>
      <c r="AF28" s="2238"/>
      <c r="AG28" s="2264"/>
      <c r="AH28" s="918"/>
      <c r="AI28" s="2252" t="s">
        <v>15</v>
      </c>
      <c r="AJ28" s="2237"/>
      <c r="AK28" s="2237"/>
      <c r="AL28" s="2237"/>
      <c r="AM28" s="2237"/>
      <c r="AN28" s="2240"/>
      <c r="AO28" s="2241"/>
      <c r="AP28" s="2239"/>
      <c r="AQ28" s="2242"/>
      <c r="AR28" s="2250"/>
      <c r="AS28" s="2244"/>
      <c r="AT28" s="2244"/>
      <c r="AU28" s="2245"/>
      <c r="AV28" s="2246"/>
      <c r="AW28" s="2247"/>
      <c r="AX28" s="2248"/>
      <c r="AY28" s="2249"/>
      <c r="AZ28" s="2249"/>
      <c r="BA28" s="2238"/>
      <c r="BB28" s="2264"/>
      <c r="BC28" s="918"/>
      <c r="BD28" s="2252" t="s">
        <v>15</v>
      </c>
      <c r="BE28" s="2237"/>
      <c r="BF28" s="2237"/>
      <c r="BG28" s="2237"/>
      <c r="BH28" s="2237"/>
      <c r="BI28" s="2240"/>
      <c r="BJ28" s="2241"/>
      <c r="BK28" s="2239"/>
      <c r="BL28" s="2242"/>
      <c r="BM28" s="2250"/>
      <c r="BN28" s="2244"/>
      <c r="BO28" s="2244"/>
      <c r="BP28" s="2245"/>
      <c r="BQ28" s="2246"/>
      <c r="BR28" s="2247"/>
      <c r="BS28" s="2248"/>
      <c r="BT28" s="2249"/>
      <c r="BU28" s="2249"/>
      <c r="BV28" s="2238"/>
      <c r="BW28" s="2264"/>
      <c r="BY28" s="3">
        <v>1</v>
      </c>
      <c r="CA28" s="198" t="s">
        <v>14234</v>
      </c>
    </row>
    <row r="29" spans="2:79" ht="21" customHeight="1">
      <c r="B29" s="2265" t="str" cm="1">
        <f t="array" ref="B29">SUMPRODUCT(--(D29:J29&lt;&gt;""), LEN(TRIM(SUBSTITUTE(D29:J29, CHAR(160), "")))) &amp; " Car."</f>
        <v>0 Car.</v>
      </c>
      <c r="C29" s="1376" t="str">
        <f>IF(ISBLANK(D29),"",LARGE(C13:C28,1)+1)</f>
        <v/>
      </c>
      <c r="D29" s="1833"/>
      <c r="E29" s="1810"/>
      <c r="F29" s="1810"/>
      <c r="G29" s="1810"/>
      <c r="H29" s="1810"/>
      <c r="I29" s="1810"/>
      <c r="J29" s="1810"/>
      <c r="K29" s="1810"/>
      <c r="L29" s="1811"/>
      <c r="M29" s="9"/>
      <c r="N29" s="2252" t="s">
        <v>15</v>
      </c>
      <c r="O29" s="2237"/>
      <c r="P29" s="2237"/>
      <c r="Q29" s="2237"/>
      <c r="R29" s="2237"/>
      <c r="S29" s="2240"/>
      <c r="T29" s="2241"/>
      <c r="U29" s="2239"/>
      <c r="V29" s="2242"/>
      <c r="W29" s="2250"/>
      <c r="X29" s="2244"/>
      <c r="Y29" s="2244"/>
      <c r="Z29" s="2245"/>
      <c r="AA29" s="2246"/>
      <c r="AB29" s="2247"/>
      <c r="AC29" s="2248"/>
      <c r="AD29" s="2249"/>
      <c r="AE29" s="2249"/>
      <c r="AF29" s="2238"/>
      <c r="AG29" s="2264"/>
      <c r="AH29" s="918"/>
      <c r="AI29" s="2252" t="s">
        <v>15</v>
      </c>
      <c r="AJ29" s="2237"/>
      <c r="AK29" s="2237"/>
      <c r="AL29" s="2237"/>
      <c r="AM29" s="2237"/>
      <c r="AN29" s="2240"/>
      <c r="AO29" s="2241"/>
      <c r="AP29" s="2239"/>
      <c r="AQ29" s="2242"/>
      <c r="AR29" s="2250"/>
      <c r="AS29" s="2244"/>
      <c r="AT29" s="2244"/>
      <c r="AU29" s="2245"/>
      <c r="AV29" s="2246"/>
      <c r="AW29" s="2247"/>
      <c r="AX29" s="2248"/>
      <c r="AY29" s="2249"/>
      <c r="AZ29" s="2249"/>
      <c r="BA29" s="2238"/>
      <c r="BB29" s="2264"/>
      <c r="BC29" s="918"/>
      <c r="BD29" s="2252" t="s">
        <v>15</v>
      </c>
      <c r="BE29" s="2237"/>
      <c r="BF29" s="2237"/>
      <c r="BG29" s="2237"/>
      <c r="BH29" s="2237"/>
      <c r="BI29" s="2240"/>
      <c r="BJ29" s="2241"/>
      <c r="BK29" s="2239"/>
      <c r="BL29" s="2242"/>
      <c r="BM29" s="2250"/>
      <c r="BN29" s="2244"/>
      <c r="BO29" s="2244"/>
      <c r="BP29" s="2245"/>
      <c r="BQ29" s="2246"/>
      <c r="BR29" s="2247"/>
      <c r="BS29" s="2248"/>
      <c r="BT29" s="2249"/>
      <c r="BU29" s="2249"/>
      <c r="BV29" s="2238"/>
      <c r="BW29" s="2264"/>
      <c r="BY29" s="3">
        <v>1</v>
      </c>
      <c r="CA29" s="198" t="s">
        <v>14237</v>
      </c>
    </row>
    <row r="30" spans="2:79" ht="21" customHeight="1">
      <c r="B30" s="2265" t="str" cm="1">
        <f t="array" ref="B30">SUMPRODUCT(--(D30:J30&lt;&gt;""), LEN(TRIM(SUBSTITUTE(D30:J30, CHAR(160), "")))) &amp; " Car."</f>
        <v>0 Car.</v>
      </c>
      <c r="C30" s="1376" t="str">
        <f>IF(ISBLANK(D30),"",LARGE(C13:C29,1)+1)</f>
        <v/>
      </c>
      <c r="D30" s="1833"/>
      <c r="E30" s="1810"/>
      <c r="F30" s="1810"/>
      <c r="G30" s="1810"/>
      <c r="H30" s="1810"/>
      <c r="I30" s="1810"/>
      <c r="J30" s="1810"/>
      <c r="K30" s="1810"/>
      <c r="L30" s="1811"/>
      <c r="M30" s="9"/>
      <c r="N30" s="2252" t="s">
        <v>15</v>
      </c>
      <c r="O30" s="2237"/>
      <c r="P30" s="2237"/>
      <c r="Q30" s="2237"/>
      <c r="R30" s="2237"/>
      <c r="S30" s="2240"/>
      <c r="T30" s="2241"/>
      <c r="U30" s="2239"/>
      <c r="V30" s="2242"/>
      <c r="W30" s="2250"/>
      <c r="X30" s="2244"/>
      <c r="Y30" s="2244"/>
      <c r="Z30" s="2245"/>
      <c r="AA30" s="2246"/>
      <c r="AB30" s="2247"/>
      <c r="AC30" s="2248"/>
      <c r="AD30" s="2249"/>
      <c r="AE30" s="2249"/>
      <c r="AF30" s="2238"/>
      <c r="AG30" s="2264"/>
      <c r="AH30" s="918"/>
      <c r="AI30" s="2252" t="s">
        <v>15</v>
      </c>
      <c r="AJ30" s="2237"/>
      <c r="AK30" s="2237"/>
      <c r="AL30" s="2237"/>
      <c r="AM30" s="2237"/>
      <c r="AN30" s="2240"/>
      <c r="AO30" s="2241"/>
      <c r="AP30" s="2239"/>
      <c r="AQ30" s="2242"/>
      <c r="AR30" s="2250"/>
      <c r="AS30" s="2244"/>
      <c r="AT30" s="2244"/>
      <c r="AU30" s="2245"/>
      <c r="AV30" s="2246"/>
      <c r="AW30" s="2247"/>
      <c r="AX30" s="2248"/>
      <c r="AY30" s="2249"/>
      <c r="AZ30" s="2249"/>
      <c r="BA30" s="2238"/>
      <c r="BB30" s="2264"/>
      <c r="BC30" s="918"/>
      <c r="BD30" s="2252" t="s">
        <v>15</v>
      </c>
      <c r="BE30" s="2237"/>
      <c r="BF30" s="2237"/>
      <c r="BG30" s="2237"/>
      <c r="BH30" s="2237"/>
      <c r="BI30" s="2240"/>
      <c r="BJ30" s="2241"/>
      <c r="BK30" s="2239"/>
      <c r="BL30" s="2242"/>
      <c r="BM30" s="2250"/>
      <c r="BN30" s="2244"/>
      <c r="BO30" s="2244"/>
      <c r="BP30" s="2245"/>
      <c r="BQ30" s="2246"/>
      <c r="BR30" s="2247"/>
      <c r="BS30" s="2248"/>
      <c r="BT30" s="2249"/>
      <c r="BU30" s="2249"/>
      <c r="BV30" s="2238"/>
      <c r="BW30" s="2264"/>
      <c r="BY30" s="3">
        <v>1</v>
      </c>
    </row>
    <row r="31" spans="2:79" ht="21" customHeight="1">
      <c r="B31" s="2265" t="str" cm="1">
        <f t="array" ref="B31">SUMPRODUCT(--(D31:J31&lt;&gt;""), LEN(TRIM(SUBSTITUTE(D31:J31, CHAR(160), "")))) &amp; " Car."</f>
        <v>0 Car.</v>
      </c>
      <c r="C31" s="1376" t="str">
        <f>IF(ISBLANK(D31),"",LARGE(C13:C30,1)+1)</f>
        <v/>
      </c>
      <c r="D31" s="1833"/>
      <c r="E31" s="1810"/>
      <c r="F31" s="1810"/>
      <c r="G31" s="1810"/>
      <c r="H31" s="1810"/>
      <c r="I31" s="1810"/>
      <c r="J31" s="1810"/>
      <c r="K31" s="1810"/>
      <c r="L31" s="1811"/>
      <c r="M31" s="9"/>
      <c r="N31" s="2252" t="s">
        <v>15</v>
      </c>
      <c r="O31" s="2237"/>
      <c r="P31" s="2237"/>
      <c r="Q31" s="2237"/>
      <c r="R31" s="2237"/>
      <c r="S31" s="2240"/>
      <c r="T31" s="2241"/>
      <c r="U31" s="2239"/>
      <c r="V31" s="2242"/>
      <c r="W31" s="2250"/>
      <c r="X31" s="2244"/>
      <c r="Y31" s="2244"/>
      <c r="Z31" s="2245"/>
      <c r="AA31" s="2246"/>
      <c r="AB31" s="2247"/>
      <c r="AC31" s="2248"/>
      <c r="AD31" s="2249"/>
      <c r="AE31" s="2249"/>
      <c r="AF31" s="2238"/>
      <c r="AG31" s="2264"/>
      <c r="AH31" s="918"/>
      <c r="AI31" s="2252" t="s">
        <v>15</v>
      </c>
      <c r="AJ31" s="2237"/>
      <c r="AK31" s="2237"/>
      <c r="AL31" s="2237"/>
      <c r="AM31" s="2237"/>
      <c r="AN31" s="2240"/>
      <c r="AO31" s="2241"/>
      <c r="AP31" s="2239"/>
      <c r="AQ31" s="2242"/>
      <c r="AR31" s="2250"/>
      <c r="AS31" s="2244"/>
      <c r="AT31" s="2244"/>
      <c r="AU31" s="2245"/>
      <c r="AV31" s="2246"/>
      <c r="AW31" s="2247"/>
      <c r="AX31" s="2248"/>
      <c r="AY31" s="2249"/>
      <c r="AZ31" s="2249"/>
      <c r="BA31" s="2238"/>
      <c r="BB31" s="2264"/>
      <c r="BC31" s="918"/>
      <c r="BD31" s="2252" t="s">
        <v>15</v>
      </c>
      <c r="BE31" s="2237"/>
      <c r="BF31" s="2237"/>
      <c r="BG31" s="2237"/>
      <c r="BH31" s="2237"/>
      <c r="BI31" s="2240"/>
      <c r="BJ31" s="2241"/>
      <c r="BK31" s="2239"/>
      <c r="BL31" s="2242"/>
      <c r="BM31" s="2250"/>
      <c r="BN31" s="2244"/>
      <c r="BO31" s="2244"/>
      <c r="BP31" s="2245"/>
      <c r="BQ31" s="2246"/>
      <c r="BR31" s="2247"/>
      <c r="BS31" s="2248"/>
      <c r="BT31" s="2249"/>
      <c r="BU31" s="2249"/>
      <c r="BV31" s="2238"/>
      <c r="BW31" s="2264"/>
      <c r="BY31" s="3">
        <v>1</v>
      </c>
    </row>
    <row r="32" spans="2:79" ht="21" customHeight="1">
      <c r="B32" s="2265" t="str" cm="1">
        <f t="array" ref="B32">SUMPRODUCT(--(D32:J32&lt;&gt;""), LEN(TRIM(SUBSTITUTE(D32:J32, CHAR(160), "")))) &amp; " Car."</f>
        <v>0 Car.</v>
      </c>
      <c r="C32" s="1376" t="str">
        <f>IF(ISBLANK(D32),"",LARGE(C13:C31,1)+1)</f>
        <v/>
      </c>
      <c r="D32" s="1833"/>
      <c r="E32" s="1810"/>
      <c r="F32" s="1810"/>
      <c r="G32" s="1810"/>
      <c r="H32" s="1810"/>
      <c r="I32" s="1810"/>
      <c r="J32" s="1810"/>
      <c r="K32" s="1810"/>
      <c r="L32" s="1811"/>
      <c r="M32" s="9"/>
      <c r="N32" s="2252" t="s">
        <v>15</v>
      </c>
      <c r="O32" s="2237"/>
      <c r="P32" s="2237"/>
      <c r="Q32" s="2237"/>
      <c r="R32" s="2237"/>
      <c r="S32" s="2240"/>
      <c r="T32" s="2241"/>
      <c r="U32" s="2239"/>
      <c r="V32" s="2242"/>
      <c r="W32" s="2250"/>
      <c r="X32" s="2244"/>
      <c r="Y32" s="2244"/>
      <c r="Z32" s="2245"/>
      <c r="AA32" s="2246"/>
      <c r="AB32" s="2247"/>
      <c r="AC32" s="2248"/>
      <c r="AD32" s="2249"/>
      <c r="AE32" s="2249"/>
      <c r="AF32" s="2238"/>
      <c r="AG32" s="2264"/>
      <c r="AH32" s="918"/>
      <c r="AI32" s="2252" t="s">
        <v>15</v>
      </c>
      <c r="AJ32" s="2237"/>
      <c r="AK32" s="2237"/>
      <c r="AL32" s="2237"/>
      <c r="AM32" s="2237"/>
      <c r="AN32" s="2240"/>
      <c r="AO32" s="2241"/>
      <c r="AP32" s="2239"/>
      <c r="AQ32" s="2242"/>
      <c r="AR32" s="2250"/>
      <c r="AS32" s="2244"/>
      <c r="AT32" s="2244"/>
      <c r="AU32" s="2245"/>
      <c r="AV32" s="2246"/>
      <c r="AW32" s="2247"/>
      <c r="AX32" s="2248"/>
      <c r="AY32" s="2249"/>
      <c r="AZ32" s="2249"/>
      <c r="BA32" s="2238"/>
      <c r="BB32" s="2264"/>
      <c r="BC32" s="918"/>
      <c r="BD32" s="2252" t="s">
        <v>15</v>
      </c>
      <c r="BE32" s="2237"/>
      <c r="BF32" s="2237"/>
      <c r="BG32" s="2237"/>
      <c r="BH32" s="2237"/>
      <c r="BI32" s="2240"/>
      <c r="BJ32" s="2241"/>
      <c r="BK32" s="2239"/>
      <c r="BL32" s="2242"/>
      <c r="BM32" s="2250"/>
      <c r="BN32" s="2244"/>
      <c r="BO32" s="2244"/>
      <c r="BP32" s="2245"/>
      <c r="BQ32" s="2246"/>
      <c r="BR32" s="2247"/>
      <c r="BS32" s="2248"/>
      <c r="BT32" s="2249"/>
      <c r="BU32" s="2249"/>
      <c r="BV32" s="2238"/>
      <c r="BW32" s="2264"/>
      <c r="BY32" s="3">
        <v>1</v>
      </c>
    </row>
    <row r="33" spans="2:77" ht="21" customHeight="1">
      <c r="B33" s="2265" t="str" cm="1">
        <f t="array" ref="B33">SUMPRODUCT(--(D33:J33&lt;&gt;""), LEN(TRIM(SUBSTITUTE(D33:J33, CHAR(160), "")))) &amp; " Car."</f>
        <v>0 Car.</v>
      </c>
      <c r="C33" s="1376" t="str">
        <f>IF(ISBLANK(D33),"",LARGE(C13:C32,1)+1)</f>
        <v/>
      </c>
      <c r="D33" s="1833"/>
      <c r="E33" s="1810"/>
      <c r="F33" s="1810"/>
      <c r="G33" s="1810"/>
      <c r="H33" s="1810"/>
      <c r="I33" s="1810"/>
      <c r="J33" s="1810"/>
      <c r="K33" s="1810"/>
      <c r="L33" s="1811"/>
      <c r="M33" s="9"/>
      <c r="N33" s="2252" t="s">
        <v>15</v>
      </c>
      <c r="O33" s="2237"/>
      <c r="P33" s="2237"/>
      <c r="Q33" s="2237"/>
      <c r="R33" s="2237"/>
      <c r="S33" s="2240"/>
      <c r="T33" s="2241"/>
      <c r="U33" s="2239"/>
      <c r="V33" s="2242"/>
      <c r="W33" s="2250"/>
      <c r="X33" s="2244"/>
      <c r="Y33" s="2244"/>
      <c r="Z33" s="2245"/>
      <c r="AA33" s="2246"/>
      <c r="AB33" s="2247"/>
      <c r="AC33" s="2248"/>
      <c r="AD33" s="2249"/>
      <c r="AE33" s="2249"/>
      <c r="AF33" s="2238"/>
      <c r="AG33" s="2264"/>
      <c r="AH33" s="918"/>
      <c r="AI33" s="2252" t="s">
        <v>15</v>
      </c>
      <c r="AJ33" s="2237"/>
      <c r="AK33" s="2237"/>
      <c r="AL33" s="2237"/>
      <c r="AM33" s="2237"/>
      <c r="AN33" s="2240"/>
      <c r="AO33" s="2241"/>
      <c r="AP33" s="2239"/>
      <c r="AQ33" s="2242"/>
      <c r="AR33" s="2250"/>
      <c r="AS33" s="2244"/>
      <c r="AT33" s="2244"/>
      <c r="AU33" s="2245"/>
      <c r="AV33" s="2246"/>
      <c r="AW33" s="2247"/>
      <c r="AX33" s="2248"/>
      <c r="AY33" s="2249"/>
      <c r="AZ33" s="2249"/>
      <c r="BA33" s="2238"/>
      <c r="BB33" s="2264"/>
      <c r="BC33" s="918"/>
      <c r="BD33" s="2252" t="s">
        <v>15</v>
      </c>
      <c r="BE33" s="2237"/>
      <c r="BF33" s="2237"/>
      <c r="BG33" s="2237"/>
      <c r="BH33" s="2237"/>
      <c r="BI33" s="2240"/>
      <c r="BJ33" s="2241"/>
      <c r="BK33" s="2239"/>
      <c r="BL33" s="2242"/>
      <c r="BM33" s="2250"/>
      <c r="BN33" s="2244"/>
      <c r="BO33" s="2244"/>
      <c r="BP33" s="2245"/>
      <c r="BQ33" s="2246"/>
      <c r="BR33" s="2247"/>
      <c r="BS33" s="2248"/>
      <c r="BT33" s="2249"/>
      <c r="BU33" s="2249"/>
      <c r="BV33" s="2238"/>
      <c r="BW33" s="2264"/>
      <c r="BY33" s="3">
        <v>1</v>
      </c>
    </row>
    <row r="34" spans="2:77" ht="21" customHeight="1">
      <c r="B34" s="2265" t="str" cm="1">
        <f t="array" ref="B34">SUMPRODUCT(--(D34:J34&lt;&gt;""), LEN(TRIM(SUBSTITUTE(D34:J34, CHAR(160), "")))) &amp; " Car."</f>
        <v>0 Car.</v>
      </c>
      <c r="C34" s="1376" t="str">
        <f>IF(ISBLANK(D34),"",LARGE(C13:C33,1)+1)</f>
        <v/>
      </c>
      <c r="D34" s="1833"/>
      <c r="E34" s="1810"/>
      <c r="F34" s="1810"/>
      <c r="G34" s="1810"/>
      <c r="H34" s="1810"/>
      <c r="I34" s="1810"/>
      <c r="J34" s="1810"/>
      <c r="K34" s="1810"/>
      <c r="L34" s="1811"/>
      <c r="M34" s="9"/>
      <c r="N34" s="2252" t="s">
        <v>15</v>
      </c>
      <c r="O34" s="2237"/>
      <c r="P34" s="2237"/>
      <c r="Q34" s="2237"/>
      <c r="R34" s="2237"/>
      <c r="S34" s="2240"/>
      <c r="T34" s="2241"/>
      <c r="U34" s="2239"/>
      <c r="V34" s="2242"/>
      <c r="W34" s="2250"/>
      <c r="X34" s="2244"/>
      <c r="Y34" s="2244"/>
      <c r="Z34" s="2245"/>
      <c r="AA34" s="2246"/>
      <c r="AB34" s="2247"/>
      <c r="AC34" s="2248"/>
      <c r="AD34" s="2249"/>
      <c r="AE34" s="2249"/>
      <c r="AF34" s="2238"/>
      <c r="AG34" s="2264"/>
      <c r="AH34" s="918"/>
      <c r="AI34" s="2252" t="s">
        <v>15</v>
      </c>
      <c r="AJ34" s="2237"/>
      <c r="AK34" s="2237"/>
      <c r="AL34" s="2237"/>
      <c r="AM34" s="2237"/>
      <c r="AN34" s="2240"/>
      <c r="AO34" s="2241"/>
      <c r="AP34" s="2239"/>
      <c r="AQ34" s="2242"/>
      <c r="AR34" s="2250"/>
      <c r="AS34" s="2244"/>
      <c r="AT34" s="2244"/>
      <c r="AU34" s="2245"/>
      <c r="AV34" s="2246"/>
      <c r="AW34" s="2247"/>
      <c r="AX34" s="2248"/>
      <c r="AY34" s="2249"/>
      <c r="AZ34" s="2249"/>
      <c r="BA34" s="2238"/>
      <c r="BB34" s="2264"/>
      <c r="BC34" s="918"/>
      <c r="BD34" s="2252" t="s">
        <v>15</v>
      </c>
      <c r="BE34" s="2237"/>
      <c r="BF34" s="2237"/>
      <c r="BG34" s="2237"/>
      <c r="BH34" s="2237"/>
      <c r="BI34" s="2240"/>
      <c r="BJ34" s="2241"/>
      <c r="BK34" s="2239"/>
      <c r="BL34" s="2242"/>
      <c r="BM34" s="2250"/>
      <c r="BN34" s="2244"/>
      <c r="BO34" s="2244"/>
      <c r="BP34" s="2245"/>
      <c r="BQ34" s="2246"/>
      <c r="BR34" s="2247"/>
      <c r="BS34" s="2248"/>
      <c r="BT34" s="2249"/>
      <c r="BU34" s="2249"/>
      <c r="BV34" s="2238"/>
      <c r="BW34" s="2264"/>
      <c r="BY34" s="3">
        <v>1</v>
      </c>
    </row>
    <row r="35" spans="2:77" ht="21" customHeight="1">
      <c r="B35" s="2265" t="str" cm="1">
        <f t="array" ref="B35">SUMPRODUCT(--(D35:J35&lt;&gt;""), LEN(TRIM(SUBSTITUTE(D35:J35, CHAR(160), "")))) &amp; " Car."</f>
        <v>0 Car.</v>
      </c>
      <c r="C35" s="1376" t="str">
        <f>IF(ISBLANK(D35),"",LARGE(C13:C34,1)+1)</f>
        <v/>
      </c>
      <c r="D35" s="1833"/>
      <c r="E35" s="1810"/>
      <c r="F35" s="1810"/>
      <c r="G35" s="1810"/>
      <c r="H35" s="1810"/>
      <c r="I35" s="1810"/>
      <c r="J35" s="1810"/>
      <c r="K35" s="1810"/>
      <c r="L35" s="1811"/>
      <c r="M35" s="9"/>
      <c r="N35" s="2252" t="s">
        <v>15</v>
      </c>
      <c r="O35" s="2237"/>
      <c r="P35" s="2237"/>
      <c r="Q35" s="2237"/>
      <c r="R35" s="2237"/>
      <c r="S35" s="2240"/>
      <c r="T35" s="2241"/>
      <c r="U35" s="2239"/>
      <c r="V35" s="2242"/>
      <c r="W35" s="2250"/>
      <c r="X35" s="2244"/>
      <c r="Y35" s="2244"/>
      <c r="Z35" s="2245"/>
      <c r="AA35" s="2246"/>
      <c r="AB35" s="2247"/>
      <c r="AC35" s="2248"/>
      <c r="AD35" s="2249"/>
      <c r="AE35" s="2249"/>
      <c r="AF35" s="2238"/>
      <c r="AG35" s="2264"/>
      <c r="AH35" s="918"/>
      <c r="AI35" s="2252" t="s">
        <v>15</v>
      </c>
      <c r="AJ35" s="2237"/>
      <c r="AK35" s="2237"/>
      <c r="AL35" s="2237"/>
      <c r="AM35" s="2237"/>
      <c r="AN35" s="2240"/>
      <c r="AO35" s="2241"/>
      <c r="AP35" s="2239"/>
      <c r="AQ35" s="2242"/>
      <c r="AR35" s="2250"/>
      <c r="AS35" s="2244"/>
      <c r="AT35" s="2244"/>
      <c r="AU35" s="2245"/>
      <c r="AV35" s="2246"/>
      <c r="AW35" s="2247"/>
      <c r="AX35" s="2248"/>
      <c r="AY35" s="2249"/>
      <c r="AZ35" s="2249"/>
      <c r="BA35" s="2238"/>
      <c r="BB35" s="2264"/>
      <c r="BC35" s="918"/>
      <c r="BD35" s="2252" t="s">
        <v>15</v>
      </c>
      <c r="BE35" s="2237"/>
      <c r="BF35" s="2237"/>
      <c r="BG35" s="2237"/>
      <c r="BH35" s="2237"/>
      <c r="BI35" s="2240"/>
      <c r="BJ35" s="2241"/>
      <c r="BK35" s="2239"/>
      <c r="BL35" s="2242"/>
      <c r="BM35" s="2250"/>
      <c r="BN35" s="2244"/>
      <c r="BO35" s="2244"/>
      <c r="BP35" s="2245"/>
      <c r="BQ35" s="2246"/>
      <c r="BR35" s="2247"/>
      <c r="BS35" s="2248"/>
      <c r="BT35" s="2249"/>
      <c r="BU35" s="2249"/>
      <c r="BV35" s="2238"/>
      <c r="BW35" s="2264"/>
      <c r="BY35" s="3">
        <v>1</v>
      </c>
    </row>
    <row r="36" spans="2:77" ht="21" customHeight="1">
      <c r="B36" s="2265" t="str" cm="1">
        <f t="array" ref="B36">SUMPRODUCT(--(D36:J36&lt;&gt;""), LEN(TRIM(SUBSTITUTE(D36:J36, CHAR(160), "")))) &amp; " Car."</f>
        <v>0 Car.</v>
      </c>
      <c r="C36" s="1376" t="str">
        <f>IF(ISBLANK(D36),"",LARGE(C13:C35,1)+1)</f>
        <v/>
      </c>
      <c r="D36" s="1833"/>
      <c r="E36" s="1810"/>
      <c r="F36" s="1810"/>
      <c r="G36" s="1810"/>
      <c r="H36" s="1810"/>
      <c r="I36" s="1810"/>
      <c r="J36" s="1810"/>
      <c r="K36" s="1810"/>
      <c r="L36" s="1811"/>
      <c r="M36" s="9"/>
      <c r="N36" s="2252" t="s">
        <v>15</v>
      </c>
      <c r="O36" s="2237"/>
      <c r="P36" s="2237"/>
      <c r="Q36" s="2237"/>
      <c r="R36" s="2237"/>
      <c r="S36" s="2240"/>
      <c r="T36" s="2241"/>
      <c r="U36" s="2239"/>
      <c r="V36" s="2242"/>
      <c r="W36" s="2250"/>
      <c r="X36" s="2244"/>
      <c r="Y36" s="2244"/>
      <c r="Z36" s="2245"/>
      <c r="AA36" s="2246"/>
      <c r="AB36" s="2247"/>
      <c r="AC36" s="2248"/>
      <c r="AD36" s="2249"/>
      <c r="AE36" s="2249"/>
      <c r="AF36" s="2238"/>
      <c r="AG36" s="2264"/>
      <c r="AH36" s="918"/>
      <c r="AI36" s="2252" t="s">
        <v>15</v>
      </c>
      <c r="AJ36" s="2237"/>
      <c r="AK36" s="2237"/>
      <c r="AL36" s="2237"/>
      <c r="AM36" s="2237"/>
      <c r="AN36" s="2240"/>
      <c r="AO36" s="2241"/>
      <c r="AP36" s="2239"/>
      <c r="AQ36" s="2242"/>
      <c r="AR36" s="2250"/>
      <c r="AS36" s="2244"/>
      <c r="AT36" s="2244"/>
      <c r="AU36" s="2245"/>
      <c r="AV36" s="2246"/>
      <c r="AW36" s="2247"/>
      <c r="AX36" s="2248"/>
      <c r="AY36" s="2249"/>
      <c r="AZ36" s="2249"/>
      <c r="BA36" s="2238"/>
      <c r="BB36" s="2264"/>
      <c r="BC36" s="918"/>
      <c r="BD36" s="2252" t="s">
        <v>15</v>
      </c>
      <c r="BE36" s="2237"/>
      <c r="BF36" s="2237"/>
      <c r="BG36" s="2237"/>
      <c r="BH36" s="2237"/>
      <c r="BI36" s="2240"/>
      <c r="BJ36" s="2241"/>
      <c r="BK36" s="2239"/>
      <c r="BL36" s="2242"/>
      <c r="BM36" s="2250"/>
      <c r="BN36" s="2244"/>
      <c r="BO36" s="2244"/>
      <c r="BP36" s="2245"/>
      <c r="BQ36" s="2246"/>
      <c r="BR36" s="2247"/>
      <c r="BS36" s="2248"/>
      <c r="BT36" s="2249"/>
      <c r="BU36" s="2249"/>
      <c r="BV36" s="2238"/>
      <c r="BW36" s="2264"/>
      <c r="BY36" s="3">
        <v>1</v>
      </c>
    </row>
    <row r="37" spans="2:77" ht="21" customHeight="1">
      <c r="B37" s="2265" t="str" cm="1">
        <f t="array" ref="B37">SUMPRODUCT(--(D37:J37&lt;&gt;""), LEN(TRIM(SUBSTITUTE(D37:J37, CHAR(160), "")))) &amp; " Car."</f>
        <v>0 Car.</v>
      </c>
      <c r="C37" s="1376" t="str">
        <f>IF(ISBLANK(D37),"",LARGE(C13:C36,1)+1)</f>
        <v/>
      </c>
      <c r="D37" s="1833"/>
      <c r="E37" s="1810"/>
      <c r="F37" s="1810"/>
      <c r="G37" s="1810"/>
      <c r="H37" s="1810"/>
      <c r="I37" s="1810"/>
      <c r="J37" s="1810"/>
      <c r="K37" s="1810"/>
      <c r="L37" s="1811"/>
      <c r="M37" s="9"/>
      <c r="N37" s="2252" t="s">
        <v>15</v>
      </c>
      <c r="O37" s="2237"/>
      <c r="P37" s="2237"/>
      <c r="Q37" s="2237"/>
      <c r="R37" s="2237"/>
      <c r="S37" s="2240"/>
      <c r="T37" s="2241"/>
      <c r="U37" s="2239"/>
      <c r="V37" s="2242"/>
      <c r="W37" s="2250"/>
      <c r="X37" s="2244"/>
      <c r="Y37" s="2244"/>
      <c r="Z37" s="2245"/>
      <c r="AA37" s="2246"/>
      <c r="AB37" s="2247"/>
      <c r="AC37" s="2248"/>
      <c r="AD37" s="2249"/>
      <c r="AE37" s="2249"/>
      <c r="AF37" s="2238"/>
      <c r="AG37" s="2264"/>
      <c r="AH37" s="918"/>
      <c r="AI37" s="2252" t="s">
        <v>15</v>
      </c>
      <c r="AJ37" s="2237"/>
      <c r="AK37" s="2237"/>
      <c r="AL37" s="2237"/>
      <c r="AM37" s="2237"/>
      <c r="AN37" s="2240"/>
      <c r="AO37" s="2241"/>
      <c r="AP37" s="2239"/>
      <c r="AQ37" s="2242"/>
      <c r="AR37" s="2250"/>
      <c r="AS37" s="2244"/>
      <c r="AT37" s="2244"/>
      <c r="AU37" s="2245"/>
      <c r="AV37" s="2246"/>
      <c r="AW37" s="2247"/>
      <c r="AX37" s="2248"/>
      <c r="AY37" s="2249"/>
      <c r="AZ37" s="2249"/>
      <c r="BA37" s="2238"/>
      <c r="BB37" s="2264"/>
      <c r="BC37" s="918"/>
      <c r="BD37" s="2252" t="s">
        <v>15</v>
      </c>
      <c r="BE37" s="2237"/>
      <c r="BF37" s="2237"/>
      <c r="BG37" s="2237"/>
      <c r="BH37" s="2237"/>
      <c r="BI37" s="2240"/>
      <c r="BJ37" s="2241"/>
      <c r="BK37" s="2239"/>
      <c r="BL37" s="2242"/>
      <c r="BM37" s="2250"/>
      <c r="BN37" s="2244"/>
      <c r="BO37" s="2244"/>
      <c r="BP37" s="2245"/>
      <c r="BQ37" s="2246"/>
      <c r="BR37" s="2247"/>
      <c r="BS37" s="2248"/>
      <c r="BT37" s="2249"/>
      <c r="BU37" s="2249"/>
      <c r="BV37" s="2238"/>
      <c r="BW37" s="2264"/>
      <c r="BY37" s="3">
        <v>1</v>
      </c>
    </row>
    <row r="38" spans="2:77" ht="21" customHeight="1">
      <c r="B38" s="2265" t="str" cm="1">
        <f t="array" ref="B38">SUMPRODUCT(--(D38:J38&lt;&gt;""), LEN(TRIM(SUBSTITUTE(D38:J38, CHAR(160), "")))) &amp; " Car."</f>
        <v>0 Car.</v>
      </c>
      <c r="C38" s="1376" t="str">
        <f>IF(ISBLANK(D38),"",LARGE(C13:C37,1)+1)</f>
        <v/>
      </c>
      <c r="D38" s="1833"/>
      <c r="E38" s="1810"/>
      <c r="F38" s="1810"/>
      <c r="G38" s="1810"/>
      <c r="H38" s="1810"/>
      <c r="I38" s="1810"/>
      <c r="J38" s="1810"/>
      <c r="K38" s="1810"/>
      <c r="L38" s="1811"/>
      <c r="M38" s="9"/>
      <c r="N38" s="2252" t="s">
        <v>15</v>
      </c>
      <c r="O38" s="2237"/>
      <c r="P38" s="2237"/>
      <c r="Q38" s="2237"/>
      <c r="R38" s="2237"/>
      <c r="S38" s="2240"/>
      <c r="T38" s="2241"/>
      <c r="U38" s="2239"/>
      <c r="V38" s="2242"/>
      <c r="W38" s="2250"/>
      <c r="X38" s="2244"/>
      <c r="Y38" s="2244"/>
      <c r="Z38" s="2245"/>
      <c r="AA38" s="2246"/>
      <c r="AB38" s="2247"/>
      <c r="AC38" s="2248"/>
      <c r="AD38" s="2249"/>
      <c r="AE38" s="2249"/>
      <c r="AF38" s="2238"/>
      <c r="AG38" s="2264"/>
      <c r="AH38" s="918"/>
      <c r="AI38" s="2252" t="s">
        <v>15</v>
      </c>
      <c r="AJ38" s="2237"/>
      <c r="AK38" s="2237"/>
      <c r="AL38" s="2237"/>
      <c r="AM38" s="2237"/>
      <c r="AN38" s="2240"/>
      <c r="AO38" s="2241"/>
      <c r="AP38" s="2239"/>
      <c r="AQ38" s="2242"/>
      <c r="AR38" s="2250"/>
      <c r="AS38" s="2244"/>
      <c r="AT38" s="2244"/>
      <c r="AU38" s="2245"/>
      <c r="AV38" s="2246"/>
      <c r="AW38" s="2247"/>
      <c r="AX38" s="2248"/>
      <c r="AY38" s="2249"/>
      <c r="AZ38" s="2249"/>
      <c r="BA38" s="2238"/>
      <c r="BB38" s="2264"/>
      <c r="BC38" s="918"/>
      <c r="BD38" s="2252" t="s">
        <v>15</v>
      </c>
      <c r="BE38" s="2237"/>
      <c r="BF38" s="2237"/>
      <c r="BG38" s="2237"/>
      <c r="BH38" s="2237"/>
      <c r="BI38" s="2240"/>
      <c r="BJ38" s="2241"/>
      <c r="BK38" s="2239"/>
      <c r="BL38" s="2242"/>
      <c r="BM38" s="2250"/>
      <c r="BN38" s="2244"/>
      <c r="BO38" s="2244"/>
      <c r="BP38" s="2245"/>
      <c r="BQ38" s="2246"/>
      <c r="BR38" s="2247"/>
      <c r="BS38" s="2248"/>
      <c r="BT38" s="2249"/>
      <c r="BU38" s="2249"/>
      <c r="BV38" s="2238"/>
      <c r="BW38" s="2264"/>
      <c r="BY38" s="3">
        <v>1</v>
      </c>
    </row>
    <row r="39" spans="2:77" ht="21" customHeight="1">
      <c r="B39" s="2265" t="str" cm="1">
        <f t="array" ref="B39">SUMPRODUCT(--(D39:J39&lt;&gt;""), LEN(TRIM(SUBSTITUTE(D39:J39, CHAR(160), "")))) &amp; " Car."</f>
        <v>0 Car.</v>
      </c>
      <c r="C39" s="1376" t="str">
        <f>IF(ISBLANK(D39),"",LARGE(C13:C38,1)+1)</f>
        <v/>
      </c>
      <c r="D39" s="1833"/>
      <c r="E39" s="1810"/>
      <c r="F39" s="1810"/>
      <c r="G39" s="1810"/>
      <c r="H39" s="1810"/>
      <c r="I39" s="1810"/>
      <c r="J39" s="1810"/>
      <c r="K39" s="1810"/>
      <c r="L39" s="1811"/>
      <c r="M39" s="9"/>
      <c r="N39" s="2252" t="s">
        <v>15</v>
      </c>
      <c r="O39" s="2237"/>
      <c r="P39" s="2237"/>
      <c r="Q39" s="2237"/>
      <c r="R39" s="2237"/>
      <c r="S39" s="2240"/>
      <c r="T39" s="2241"/>
      <c r="U39" s="2239"/>
      <c r="V39" s="2242"/>
      <c r="W39" s="2250"/>
      <c r="X39" s="2244"/>
      <c r="Y39" s="2244"/>
      <c r="Z39" s="2245"/>
      <c r="AA39" s="2246"/>
      <c r="AB39" s="2247"/>
      <c r="AC39" s="2248"/>
      <c r="AD39" s="2249"/>
      <c r="AE39" s="2249"/>
      <c r="AF39" s="2238"/>
      <c r="AG39" s="2264"/>
      <c r="AH39" s="918"/>
      <c r="AI39" s="2252" t="s">
        <v>15</v>
      </c>
      <c r="AJ39" s="2237"/>
      <c r="AK39" s="2237"/>
      <c r="AL39" s="2237"/>
      <c r="AM39" s="2237"/>
      <c r="AN39" s="2240"/>
      <c r="AO39" s="2241"/>
      <c r="AP39" s="2239"/>
      <c r="AQ39" s="2242"/>
      <c r="AR39" s="2250"/>
      <c r="AS39" s="2244"/>
      <c r="AT39" s="2244"/>
      <c r="AU39" s="2245"/>
      <c r="AV39" s="2246"/>
      <c r="AW39" s="2247"/>
      <c r="AX39" s="2248"/>
      <c r="AY39" s="2249"/>
      <c r="AZ39" s="2249"/>
      <c r="BA39" s="2238"/>
      <c r="BB39" s="2264"/>
      <c r="BC39" s="918"/>
      <c r="BD39" s="2252" t="s">
        <v>15</v>
      </c>
      <c r="BE39" s="2237"/>
      <c r="BF39" s="2237"/>
      <c r="BG39" s="2237"/>
      <c r="BH39" s="2237"/>
      <c r="BI39" s="2240"/>
      <c r="BJ39" s="2241"/>
      <c r="BK39" s="2239"/>
      <c r="BL39" s="2242"/>
      <c r="BM39" s="2250"/>
      <c r="BN39" s="2244"/>
      <c r="BO39" s="2244"/>
      <c r="BP39" s="2245"/>
      <c r="BQ39" s="2246"/>
      <c r="BR39" s="2247"/>
      <c r="BS39" s="2248"/>
      <c r="BT39" s="2249"/>
      <c r="BU39" s="2249"/>
      <c r="BV39" s="2238"/>
      <c r="BW39" s="2264"/>
      <c r="BY39" s="3">
        <v>1</v>
      </c>
    </row>
    <row r="40" spans="2:77" ht="21" customHeight="1">
      <c r="B40" s="2265" t="str" cm="1">
        <f t="array" ref="B40">SUMPRODUCT(--(D40:J40&lt;&gt;""), LEN(TRIM(SUBSTITUTE(D40:J40, CHAR(160), "")))) &amp; " Car."</f>
        <v>0 Car.</v>
      </c>
      <c r="C40" s="1376" t="str">
        <f>IF(ISBLANK(D40),"",LARGE(C13:C39,1)+1)</f>
        <v/>
      </c>
      <c r="D40" s="1833"/>
      <c r="E40" s="1810"/>
      <c r="F40" s="1810"/>
      <c r="G40" s="1810"/>
      <c r="H40" s="1810"/>
      <c r="I40" s="1810"/>
      <c r="J40" s="1810"/>
      <c r="K40" s="1810"/>
      <c r="L40" s="1811"/>
      <c r="M40" s="9"/>
      <c r="N40" s="2252" t="s">
        <v>15</v>
      </c>
      <c r="O40" s="2237"/>
      <c r="P40" s="2237"/>
      <c r="Q40" s="2237"/>
      <c r="R40" s="2237"/>
      <c r="S40" s="2240"/>
      <c r="T40" s="2241"/>
      <c r="U40" s="2239"/>
      <c r="V40" s="2242"/>
      <c r="W40" s="2250"/>
      <c r="X40" s="2244"/>
      <c r="Y40" s="2244"/>
      <c r="Z40" s="2245"/>
      <c r="AA40" s="2246"/>
      <c r="AB40" s="2247"/>
      <c r="AC40" s="2248"/>
      <c r="AD40" s="2249"/>
      <c r="AE40" s="2249"/>
      <c r="AF40" s="2238"/>
      <c r="AG40" s="2264"/>
      <c r="AH40" s="918"/>
      <c r="AI40" s="2252" t="s">
        <v>15</v>
      </c>
      <c r="AJ40" s="2237"/>
      <c r="AK40" s="2237"/>
      <c r="AL40" s="2237"/>
      <c r="AM40" s="2237"/>
      <c r="AN40" s="2240"/>
      <c r="AO40" s="2241"/>
      <c r="AP40" s="2239"/>
      <c r="AQ40" s="2242"/>
      <c r="AR40" s="2250"/>
      <c r="AS40" s="2244"/>
      <c r="AT40" s="2244"/>
      <c r="AU40" s="2245"/>
      <c r="AV40" s="2246"/>
      <c r="AW40" s="2247"/>
      <c r="AX40" s="2248"/>
      <c r="AY40" s="2249"/>
      <c r="AZ40" s="2249"/>
      <c r="BA40" s="2238"/>
      <c r="BB40" s="2264"/>
      <c r="BC40" s="918"/>
      <c r="BD40" s="2252" t="s">
        <v>15</v>
      </c>
      <c r="BE40" s="2237"/>
      <c r="BF40" s="2237"/>
      <c r="BG40" s="2237"/>
      <c r="BH40" s="2237"/>
      <c r="BI40" s="2240"/>
      <c r="BJ40" s="2241"/>
      <c r="BK40" s="2239"/>
      <c r="BL40" s="2242"/>
      <c r="BM40" s="2250"/>
      <c r="BN40" s="2244"/>
      <c r="BO40" s="2244"/>
      <c r="BP40" s="2245"/>
      <c r="BQ40" s="2246"/>
      <c r="BR40" s="2247"/>
      <c r="BS40" s="2248"/>
      <c r="BT40" s="2249"/>
      <c r="BU40" s="2249"/>
      <c r="BV40" s="2238"/>
      <c r="BW40" s="2264"/>
      <c r="BY40" s="3">
        <v>1</v>
      </c>
    </row>
    <row r="41" spans="2:77" ht="21" customHeight="1">
      <c r="B41" s="2265" t="str" cm="1">
        <f t="array" ref="B41">SUMPRODUCT(--(D41:J41&lt;&gt;""), LEN(TRIM(SUBSTITUTE(D41:J41, CHAR(160), "")))) &amp; " Car."</f>
        <v>0 Car.</v>
      </c>
      <c r="C41" s="1376" t="str">
        <f>IF(ISBLANK(D41),"",LARGE(C13:C40,1)+1)</f>
        <v/>
      </c>
      <c r="D41" s="1833"/>
      <c r="E41" s="1810"/>
      <c r="F41" s="1810"/>
      <c r="G41" s="1810"/>
      <c r="H41" s="1810"/>
      <c r="I41" s="1810"/>
      <c r="J41" s="1810"/>
      <c r="K41" s="1810"/>
      <c r="L41" s="1811"/>
      <c r="M41" s="9"/>
      <c r="N41" s="2252" t="s">
        <v>15</v>
      </c>
      <c r="O41" s="2237"/>
      <c r="P41" s="2237"/>
      <c r="Q41" s="2237"/>
      <c r="R41" s="2237"/>
      <c r="S41" s="2240"/>
      <c r="T41" s="2241"/>
      <c r="U41" s="2239"/>
      <c r="V41" s="2242"/>
      <c r="W41" s="2250"/>
      <c r="X41" s="2244"/>
      <c r="Y41" s="2244"/>
      <c r="Z41" s="2245"/>
      <c r="AA41" s="2246"/>
      <c r="AB41" s="2247"/>
      <c r="AC41" s="2248"/>
      <c r="AD41" s="2249"/>
      <c r="AE41" s="2249"/>
      <c r="AF41" s="2238"/>
      <c r="AG41" s="2264"/>
      <c r="AH41" s="918"/>
      <c r="AI41" s="2252" t="s">
        <v>15</v>
      </c>
      <c r="AJ41" s="2237"/>
      <c r="AK41" s="2237"/>
      <c r="AL41" s="2237"/>
      <c r="AM41" s="2237"/>
      <c r="AN41" s="2240"/>
      <c r="AO41" s="2241"/>
      <c r="AP41" s="2239"/>
      <c r="AQ41" s="2242"/>
      <c r="AR41" s="2250"/>
      <c r="AS41" s="2244"/>
      <c r="AT41" s="2244"/>
      <c r="AU41" s="2245"/>
      <c r="AV41" s="2246"/>
      <c r="AW41" s="2247"/>
      <c r="AX41" s="2248"/>
      <c r="AY41" s="2249"/>
      <c r="AZ41" s="2249"/>
      <c r="BA41" s="2238"/>
      <c r="BB41" s="2264"/>
      <c r="BC41" s="918"/>
      <c r="BD41" s="2252" t="s">
        <v>15</v>
      </c>
      <c r="BE41" s="2237"/>
      <c r="BF41" s="2237"/>
      <c r="BG41" s="2237"/>
      <c r="BH41" s="2237"/>
      <c r="BI41" s="2240"/>
      <c r="BJ41" s="2241"/>
      <c r="BK41" s="2239"/>
      <c r="BL41" s="2242"/>
      <c r="BM41" s="2250"/>
      <c r="BN41" s="2244"/>
      <c r="BO41" s="2244"/>
      <c r="BP41" s="2245"/>
      <c r="BQ41" s="2246"/>
      <c r="BR41" s="2247"/>
      <c r="BS41" s="2248"/>
      <c r="BT41" s="2249"/>
      <c r="BU41" s="2249"/>
      <c r="BV41" s="2238"/>
      <c r="BW41" s="2264"/>
      <c r="BY41" s="3">
        <v>1</v>
      </c>
    </row>
    <row r="42" spans="2:77" ht="21" customHeight="1">
      <c r="B42" s="2265" t="str" cm="1">
        <f t="array" ref="B42">SUMPRODUCT(--(D42:J42&lt;&gt;""), LEN(TRIM(SUBSTITUTE(D42:J42, CHAR(160), "")))) &amp; " Car."</f>
        <v>0 Car.</v>
      </c>
      <c r="C42" s="1376" t="str">
        <f>IF(ISBLANK(D42),"",LARGE(C13:C41,1)+1)</f>
        <v/>
      </c>
      <c r="D42" s="1833"/>
      <c r="E42" s="1810"/>
      <c r="F42" s="1810"/>
      <c r="G42" s="1810"/>
      <c r="H42" s="1810"/>
      <c r="I42" s="1810"/>
      <c r="J42" s="1810"/>
      <c r="K42" s="1810"/>
      <c r="L42" s="1811"/>
      <c r="M42" s="9"/>
      <c r="N42" s="2252" t="s">
        <v>15</v>
      </c>
      <c r="O42" s="2237"/>
      <c r="P42" s="2237"/>
      <c r="Q42" s="2237"/>
      <c r="R42" s="2237"/>
      <c r="S42" s="2240"/>
      <c r="T42" s="2241"/>
      <c r="U42" s="2239"/>
      <c r="V42" s="2242"/>
      <c r="W42" s="2250"/>
      <c r="X42" s="2244"/>
      <c r="Y42" s="2244"/>
      <c r="Z42" s="2245"/>
      <c r="AA42" s="2246"/>
      <c r="AB42" s="2247"/>
      <c r="AC42" s="2248"/>
      <c r="AD42" s="2249"/>
      <c r="AE42" s="2249"/>
      <c r="AF42" s="2238"/>
      <c r="AG42" s="2264"/>
      <c r="AH42" s="918"/>
      <c r="AI42" s="2252" t="s">
        <v>15</v>
      </c>
      <c r="AJ42" s="2237"/>
      <c r="AK42" s="2237"/>
      <c r="AL42" s="2237"/>
      <c r="AM42" s="2237"/>
      <c r="AN42" s="2240"/>
      <c r="AO42" s="2241"/>
      <c r="AP42" s="2239"/>
      <c r="AQ42" s="2242"/>
      <c r="AR42" s="2250"/>
      <c r="AS42" s="2244"/>
      <c r="AT42" s="2244"/>
      <c r="AU42" s="2245"/>
      <c r="AV42" s="2246"/>
      <c r="AW42" s="2247"/>
      <c r="AX42" s="2248"/>
      <c r="AY42" s="2249"/>
      <c r="AZ42" s="2249"/>
      <c r="BA42" s="2238"/>
      <c r="BB42" s="2264"/>
      <c r="BC42" s="918"/>
      <c r="BD42" s="2252" t="s">
        <v>15</v>
      </c>
      <c r="BE42" s="2237"/>
      <c r="BF42" s="2237"/>
      <c r="BG42" s="2237"/>
      <c r="BH42" s="2237"/>
      <c r="BI42" s="2240"/>
      <c r="BJ42" s="2241"/>
      <c r="BK42" s="2239"/>
      <c r="BL42" s="2242"/>
      <c r="BM42" s="2250"/>
      <c r="BN42" s="2244"/>
      <c r="BO42" s="2244"/>
      <c r="BP42" s="2245"/>
      <c r="BQ42" s="2246"/>
      <c r="BR42" s="2247"/>
      <c r="BS42" s="2248"/>
      <c r="BT42" s="2249"/>
      <c r="BU42" s="2249"/>
      <c r="BV42" s="2238"/>
      <c r="BW42" s="2264"/>
      <c r="BY42" s="3">
        <v>1</v>
      </c>
    </row>
    <row r="43" spans="2:77" ht="21" customHeight="1">
      <c r="B43" s="2265" t="str" cm="1">
        <f t="array" ref="B43">SUMPRODUCT(--(D43:J43&lt;&gt;""), LEN(TRIM(SUBSTITUTE(D43:J43, CHAR(160), "")))) &amp; " Car."</f>
        <v>0 Car.</v>
      </c>
      <c r="C43" s="1376" t="str">
        <f>IF(ISBLANK(D43),"",LARGE(C13:C42,1)+1)</f>
        <v/>
      </c>
      <c r="D43" s="1833"/>
      <c r="E43" s="1810"/>
      <c r="F43" s="1810"/>
      <c r="G43" s="1810"/>
      <c r="H43" s="1810"/>
      <c r="I43" s="1810"/>
      <c r="J43" s="1810"/>
      <c r="K43" s="1810"/>
      <c r="L43" s="1811"/>
      <c r="M43" s="9"/>
      <c r="N43" s="2252" t="s">
        <v>15</v>
      </c>
      <c r="O43" s="2237"/>
      <c r="P43" s="2237"/>
      <c r="Q43" s="2237"/>
      <c r="R43" s="2237"/>
      <c r="S43" s="2240"/>
      <c r="T43" s="2241"/>
      <c r="U43" s="2239"/>
      <c r="V43" s="2242"/>
      <c r="W43" s="2250"/>
      <c r="X43" s="2244"/>
      <c r="Y43" s="2244"/>
      <c r="Z43" s="2245"/>
      <c r="AA43" s="2246"/>
      <c r="AB43" s="2247"/>
      <c r="AC43" s="2248"/>
      <c r="AD43" s="2249"/>
      <c r="AE43" s="2249"/>
      <c r="AF43" s="2238"/>
      <c r="AG43" s="2264"/>
      <c r="AH43" s="918"/>
      <c r="AI43" s="2252" t="s">
        <v>15</v>
      </c>
      <c r="AJ43" s="2237"/>
      <c r="AK43" s="2237"/>
      <c r="AL43" s="2237"/>
      <c r="AM43" s="2237"/>
      <c r="AN43" s="2240"/>
      <c r="AO43" s="2241"/>
      <c r="AP43" s="2239"/>
      <c r="AQ43" s="2242"/>
      <c r="AR43" s="2250"/>
      <c r="AS43" s="2244"/>
      <c r="AT43" s="2244"/>
      <c r="AU43" s="2245"/>
      <c r="AV43" s="2246"/>
      <c r="AW43" s="2247"/>
      <c r="AX43" s="2248"/>
      <c r="AY43" s="2249"/>
      <c r="AZ43" s="2249"/>
      <c r="BA43" s="2238"/>
      <c r="BB43" s="2264"/>
      <c r="BC43" s="918"/>
      <c r="BD43" s="2252" t="s">
        <v>15</v>
      </c>
      <c r="BE43" s="2237"/>
      <c r="BF43" s="2237"/>
      <c r="BG43" s="2237"/>
      <c r="BH43" s="2237"/>
      <c r="BI43" s="2240"/>
      <c r="BJ43" s="2241"/>
      <c r="BK43" s="2239"/>
      <c r="BL43" s="2242"/>
      <c r="BM43" s="2250"/>
      <c r="BN43" s="2244"/>
      <c r="BO43" s="2244"/>
      <c r="BP43" s="2245"/>
      <c r="BQ43" s="2246"/>
      <c r="BR43" s="2247"/>
      <c r="BS43" s="2248"/>
      <c r="BT43" s="2249"/>
      <c r="BU43" s="2249"/>
      <c r="BV43" s="2238"/>
      <c r="BW43" s="2264"/>
      <c r="BY43" s="3">
        <v>1</v>
      </c>
    </row>
    <row r="44" spans="2:77" ht="21" customHeight="1">
      <c r="B44" s="2265" t="str" cm="1">
        <f t="array" ref="B44">SUMPRODUCT(--(D44:J44&lt;&gt;""), LEN(TRIM(SUBSTITUTE(D44:J44, CHAR(160), "")))) &amp; " Car."</f>
        <v>0 Car.</v>
      </c>
      <c r="C44" s="1376" t="str">
        <f>IF(ISBLANK(D44),"",LARGE(C13:C43,1)+1)</f>
        <v/>
      </c>
      <c r="D44" s="1833"/>
      <c r="E44" s="1810"/>
      <c r="F44" s="1810"/>
      <c r="G44" s="1810"/>
      <c r="H44" s="1810"/>
      <c r="I44" s="1810"/>
      <c r="J44" s="1810"/>
      <c r="K44" s="1810"/>
      <c r="L44" s="1811"/>
      <c r="M44" s="9"/>
      <c r="N44" s="2252" t="s">
        <v>15</v>
      </c>
      <c r="O44" s="2237"/>
      <c r="P44" s="2237"/>
      <c r="Q44" s="2237"/>
      <c r="R44" s="2237"/>
      <c r="S44" s="2240"/>
      <c r="T44" s="2241"/>
      <c r="U44" s="2239"/>
      <c r="V44" s="2242"/>
      <c r="W44" s="2250"/>
      <c r="X44" s="2244"/>
      <c r="Y44" s="2244"/>
      <c r="Z44" s="2245"/>
      <c r="AA44" s="2246"/>
      <c r="AB44" s="2247"/>
      <c r="AC44" s="2248"/>
      <c r="AD44" s="2249"/>
      <c r="AE44" s="2249"/>
      <c r="AF44" s="2238"/>
      <c r="AG44" s="2264"/>
      <c r="AH44" s="918"/>
      <c r="AI44" s="2252" t="s">
        <v>15</v>
      </c>
      <c r="AJ44" s="2237"/>
      <c r="AK44" s="2237"/>
      <c r="AL44" s="2237"/>
      <c r="AM44" s="2237"/>
      <c r="AN44" s="2240"/>
      <c r="AO44" s="2241"/>
      <c r="AP44" s="2239"/>
      <c r="AQ44" s="2242"/>
      <c r="AR44" s="2250"/>
      <c r="AS44" s="2244"/>
      <c r="AT44" s="2244"/>
      <c r="AU44" s="2245"/>
      <c r="AV44" s="2246"/>
      <c r="AW44" s="2247"/>
      <c r="AX44" s="2248"/>
      <c r="AY44" s="2249"/>
      <c r="AZ44" s="2249"/>
      <c r="BA44" s="2238"/>
      <c r="BB44" s="2264"/>
      <c r="BC44" s="918"/>
      <c r="BD44" s="2252" t="s">
        <v>15</v>
      </c>
      <c r="BE44" s="2237"/>
      <c r="BF44" s="2237"/>
      <c r="BG44" s="2237"/>
      <c r="BH44" s="2237"/>
      <c r="BI44" s="2240"/>
      <c r="BJ44" s="2241"/>
      <c r="BK44" s="2239"/>
      <c r="BL44" s="2242"/>
      <c r="BM44" s="2250"/>
      <c r="BN44" s="2244"/>
      <c r="BO44" s="2244"/>
      <c r="BP44" s="2245"/>
      <c r="BQ44" s="2246"/>
      <c r="BR44" s="2247"/>
      <c r="BS44" s="2248"/>
      <c r="BT44" s="2249"/>
      <c r="BU44" s="2249"/>
      <c r="BV44" s="2238"/>
      <c r="BW44" s="2264"/>
      <c r="BY44" s="3">
        <v>1</v>
      </c>
    </row>
    <row r="45" spans="2:77" ht="21" customHeight="1">
      <c r="B45" s="2265" t="str" cm="1">
        <f t="array" ref="B45">SUMPRODUCT(--(D45:J45&lt;&gt;""), LEN(TRIM(SUBSTITUTE(D45:J45, CHAR(160), "")))) &amp; " Car."</f>
        <v>0 Car.</v>
      </c>
      <c r="C45" s="1376" t="str">
        <f>IF(ISBLANK(D45),"",LARGE(C13:C44,1)+1)</f>
        <v/>
      </c>
      <c r="D45" s="1833"/>
      <c r="E45" s="1810"/>
      <c r="F45" s="1810"/>
      <c r="G45" s="1810"/>
      <c r="H45" s="1810"/>
      <c r="I45" s="1810"/>
      <c r="J45" s="1810"/>
      <c r="K45" s="1810"/>
      <c r="L45" s="1811"/>
      <c r="M45" s="9"/>
      <c r="N45" s="2252" t="s">
        <v>15</v>
      </c>
      <c r="O45" s="2237"/>
      <c r="P45" s="2237"/>
      <c r="Q45" s="2237"/>
      <c r="R45" s="2237"/>
      <c r="S45" s="2240"/>
      <c r="T45" s="2241"/>
      <c r="U45" s="2239"/>
      <c r="V45" s="2242"/>
      <c r="W45" s="2250"/>
      <c r="X45" s="2244"/>
      <c r="Y45" s="2244"/>
      <c r="Z45" s="2245"/>
      <c r="AA45" s="2246"/>
      <c r="AB45" s="2247"/>
      <c r="AC45" s="2248"/>
      <c r="AD45" s="2249"/>
      <c r="AE45" s="2249"/>
      <c r="AF45" s="2238"/>
      <c r="AG45" s="2264"/>
      <c r="AH45" s="918"/>
      <c r="AI45" s="2252" t="s">
        <v>15</v>
      </c>
      <c r="AJ45" s="2237"/>
      <c r="AK45" s="2237"/>
      <c r="AL45" s="2237"/>
      <c r="AM45" s="2237"/>
      <c r="AN45" s="2240"/>
      <c r="AO45" s="2241"/>
      <c r="AP45" s="2239"/>
      <c r="AQ45" s="2242"/>
      <c r="AR45" s="2250"/>
      <c r="AS45" s="2244"/>
      <c r="AT45" s="2244"/>
      <c r="AU45" s="2245"/>
      <c r="AV45" s="2246"/>
      <c r="AW45" s="2247"/>
      <c r="AX45" s="2248"/>
      <c r="AY45" s="2249"/>
      <c r="AZ45" s="2249"/>
      <c r="BA45" s="2238"/>
      <c r="BB45" s="2264"/>
      <c r="BC45" s="918"/>
      <c r="BD45" s="2252" t="s">
        <v>15</v>
      </c>
      <c r="BE45" s="2237"/>
      <c r="BF45" s="2237"/>
      <c r="BG45" s="2237"/>
      <c r="BH45" s="2237"/>
      <c r="BI45" s="2240"/>
      <c r="BJ45" s="2241"/>
      <c r="BK45" s="2239"/>
      <c r="BL45" s="2242"/>
      <c r="BM45" s="2250"/>
      <c r="BN45" s="2244"/>
      <c r="BO45" s="2244"/>
      <c r="BP45" s="2245"/>
      <c r="BQ45" s="2246"/>
      <c r="BR45" s="2247"/>
      <c r="BS45" s="2248"/>
      <c r="BT45" s="2249"/>
      <c r="BU45" s="2249"/>
      <c r="BV45" s="2238"/>
      <c r="BW45" s="2264"/>
      <c r="BY45" s="3">
        <v>1</v>
      </c>
    </row>
    <row r="46" spans="2:77" ht="21" customHeight="1">
      <c r="B46" s="2265" t="str" cm="1">
        <f t="array" ref="B46">SUMPRODUCT(--(D46:J46&lt;&gt;""), LEN(TRIM(SUBSTITUTE(D46:J46, CHAR(160), "")))) &amp; " Car."</f>
        <v>0 Car.</v>
      </c>
      <c r="C46" s="1376" t="str">
        <f>IF(ISBLANK(D46),"",LARGE(C13:C45,1)+1)</f>
        <v/>
      </c>
      <c r="D46" s="1833"/>
      <c r="E46" s="1810"/>
      <c r="F46" s="1810"/>
      <c r="G46" s="1810"/>
      <c r="H46" s="1810"/>
      <c r="I46" s="1810"/>
      <c r="J46" s="1810"/>
      <c r="K46" s="1810"/>
      <c r="L46" s="1811"/>
      <c r="M46" s="9"/>
      <c r="N46" s="2252" t="s">
        <v>15</v>
      </c>
      <c r="O46" s="2237"/>
      <c r="P46" s="2237"/>
      <c r="Q46" s="2237"/>
      <c r="R46" s="2237"/>
      <c r="S46" s="2240"/>
      <c r="T46" s="2241"/>
      <c r="U46" s="2239"/>
      <c r="V46" s="2242"/>
      <c r="W46" s="2250"/>
      <c r="X46" s="2244"/>
      <c r="Y46" s="2244"/>
      <c r="Z46" s="2245"/>
      <c r="AA46" s="2246"/>
      <c r="AB46" s="2247"/>
      <c r="AC46" s="2248"/>
      <c r="AD46" s="2249"/>
      <c r="AE46" s="2249"/>
      <c r="AF46" s="2238"/>
      <c r="AG46" s="2264"/>
      <c r="AH46" s="918"/>
      <c r="AI46" s="2252" t="s">
        <v>15</v>
      </c>
      <c r="AJ46" s="2237"/>
      <c r="AK46" s="2237"/>
      <c r="AL46" s="2237"/>
      <c r="AM46" s="2237"/>
      <c r="AN46" s="2240"/>
      <c r="AO46" s="2241"/>
      <c r="AP46" s="2239"/>
      <c r="AQ46" s="2242"/>
      <c r="AR46" s="2250"/>
      <c r="AS46" s="2244"/>
      <c r="AT46" s="2244"/>
      <c r="AU46" s="2245"/>
      <c r="AV46" s="2246"/>
      <c r="AW46" s="2247"/>
      <c r="AX46" s="2248"/>
      <c r="AY46" s="2249"/>
      <c r="AZ46" s="2249"/>
      <c r="BA46" s="2238"/>
      <c r="BB46" s="2264"/>
      <c r="BC46" s="918"/>
      <c r="BD46" s="2252" t="s">
        <v>15</v>
      </c>
      <c r="BE46" s="2237"/>
      <c r="BF46" s="2237"/>
      <c r="BG46" s="2237"/>
      <c r="BH46" s="2237"/>
      <c r="BI46" s="2240"/>
      <c r="BJ46" s="2241"/>
      <c r="BK46" s="2239"/>
      <c r="BL46" s="2242"/>
      <c r="BM46" s="2250"/>
      <c r="BN46" s="2244"/>
      <c r="BO46" s="2244"/>
      <c r="BP46" s="2245"/>
      <c r="BQ46" s="2246"/>
      <c r="BR46" s="2247"/>
      <c r="BS46" s="2248"/>
      <c r="BT46" s="2249"/>
      <c r="BU46" s="2249"/>
      <c r="BV46" s="2238"/>
      <c r="BW46" s="2264"/>
      <c r="BY46" s="3">
        <v>1</v>
      </c>
    </row>
    <row r="47" spans="2:77" ht="21" customHeight="1">
      <c r="B47" s="2265" t="str" cm="1">
        <f t="array" ref="B47">SUMPRODUCT(--(D47:J47&lt;&gt;""), LEN(TRIM(SUBSTITUTE(D47:J47, CHAR(160), "")))) &amp; " Car."</f>
        <v>0 Car.</v>
      </c>
      <c r="C47" s="1376" t="str">
        <f>IF(ISBLANK(D47),"",LARGE(C13:C46,1)+1)</f>
        <v/>
      </c>
      <c r="D47" s="1833"/>
      <c r="E47" s="1810"/>
      <c r="F47" s="1810"/>
      <c r="G47" s="1810"/>
      <c r="H47" s="1810"/>
      <c r="I47" s="1810"/>
      <c r="J47" s="1810"/>
      <c r="K47" s="1810"/>
      <c r="L47" s="1811"/>
      <c r="M47" s="9"/>
      <c r="N47" s="2252" t="s">
        <v>15</v>
      </c>
      <c r="O47" s="2237"/>
      <c r="P47" s="2237"/>
      <c r="Q47" s="2237"/>
      <c r="R47" s="2237"/>
      <c r="S47" s="2240"/>
      <c r="T47" s="2241"/>
      <c r="U47" s="2239"/>
      <c r="V47" s="2242"/>
      <c r="W47" s="2250"/>
      <c r="X47" s="2244"/>
      <c r="Y47" s="2244"/>
      <c r="Z47" s="2245"/>
      <c r="AA47" s="2246"/>
      <c r="AB47" s="2247"/>
      <c r="AC47" s="2248"/>
      <c r="AD47" s="2249"/>
      <c r="AE47" s="2249"/>
      <c r="AF47" s="2238"/>
      <c r="AG47" s="2264"/>
      <c r="AH47" s="918"/>
      <c r="AI47" s="2252" t="s">
        <v>15</v>
      </c>
      <c r="AJ47" s="2237"/>
      <c r="AK47" s="2237"/>
      <c r="AL47" s="2237"/>
      <c r="AM47" s="2237"/>
      <c r="AN47" s="2240"/>
      <c r="AO47" s="2241"/>
      <c r="AP47" s="2239"/>
      <c r="AQ47" s="2242"/>
      <c r="AR47" s="2250"/>
      <c r="AS47" s="2244"/>
      <c r="AT47" s="2244"/>
      <c r="AU47" s="2245"/>
      <c r="AV47" s="2246"/>
      <c r="AW47" s="2247"/>
      <c r="AX47" s="2248"/>
      <c r="AY47" s="2249"/>
      <c r="AZ47" s="2249"/>
      <c r="BA47" s="2238"/>
      <c r="BB47" s="2264"/>
      <c r="BC47" s="918"/>
      <c r="BD47" s="2252" t="s">
        <v>15</v>
      </c>
      <c r="BE47" s="2237"/>
      <c r="BF47" s="2237"/>
      <c r="BG47" s="2237"/>
      <c r="BH47" s="2237"/>
      <c r="BI47" s="2240"/>
      <c r="BJ47" s="2241"/>
      <c r="BK47" s="2239"/>
      <c r="BL47" s="2242"/>
      <c r="BM47" s="2250"/>
      <c r="BN47" s="2244"/>
      <c r="BO47" s="2244"/>
      <c r="BP47" s="2245"/>
      <c r="BQ47" s="2246"/>
      <c r="BR47" s="2247"/>
      <c r="BS47" s="2248"/>
      <c r="BT47" s="2249"/>
      <c r="BU47" s="2249"/>
      <c r="BV47" s="2238"/>
      <c r="BW47" s="2264"/>
      <c r="BY47" s="3">
        <v>1</v>
      </c>
    </row>
    <row r="48" spans="2:77" ht="21" customHeight="1">
      <c r="B48" s="2265" t="str" cm="1">
        <f t="array" ref="B48">SUMPRODUCT(--(D48:J48&lt;&gt;""), LEN(TRIM(SUBSTITUTE(D48:J48, CHAR(160), "")))) &amp; " Car."</f>
        <v>0 Car.</v>
      </c>
      <c r="C48" s="1376" t="str">
        <f>IF(ISBLANK(D48),"",LARGE(C13:C47,1)+1)</f>
        <v/>
      </c>
      <c r="D48" s="1833"/>
      <c r="E48" s="1810"/>
      <c r="F48" s="1810"/>
      <c r="G48" s="1810"/>
      <c r="H48" s="1810"/>
      <c r="I48" s="1810"/>
      <c r="J48" s="1810"/>
      <c r="K48" s="1810"/>
      <c r="L48" s="1811"/>
      <c r="M48" s="9"/>
      <c r="N48" s="2252" t="s">
        <v>15</v>
      </c>
      <c r="O48" s="2237"/>
      <c r="P48" s="2237"/>
      <c r="Q48" s="2237"/>
      <c r="R48" s="2237"/>
      <c r="S48" s="2240"/>
      <c r="T48" s="2241"/>
      <c r="U48" s="2239"/>
      <c r="V48" s="2242"/>
      <c r="W48" s="2250"/>
      <c r="X48" s="2244"/>
      <c r="Y48" s="2244"/>
      <c r="Z48" s="2245"/>
      <c r="AA48" s="2246"/>
      <c r="AB48" s="2247"/>
      <c r="AC48" s="2248"/>
      <c r="AD48" s="2249"/>
      <c r="AE48" s="2249"/>
      <c r="AF48" s="2238"/>
      <c r="AG48" s="2264"/>
      <c r="AH48" s="918"/>
      <c r="AI48" s="2252" t="s">
        <v>15</v>
      </c>
      <c r="AJ48" s="2237"/>
      <c r="AK48" s="2237"/>
      <c r="AL48" s="2237"/>
      <c r="AM48" s="2237"/>
      <c r="AN48" s="2240"/>
      <c r="AO48" s="2241"/>
      <c r="AP48" s="2239"/>
      <c r="AQ48" s="2242"/>
      <c r="AR48" s="2250"/>
      <c r="AS48" s="2244"/>
      <c r="AT48" s="2244"/>
      <c r="AU48" s="2245"/>
      <c r="AV48" s="2246"/>
      <c r="AW48" s="2247"/>
      <c r="AX48" s="2248"/>
      <c r="AY48" s="2249"/>
      <c r="AZ48" s="2249"/>
      <c r="BA48" s="2238"/>
      <c r="BB48" s="2264"/>
      <c r="BC48" s="918"/>
      <c r="BD48" s="2252" t="s">
        <v>15</v>
      </c>
      <c r="BE48" s="2237"/>
      <c r="BF48" s="2237"/>
      <c r="BG48" s="2237"/>
      <c r="BH48" s="2237"/>
      <c r="BI48" s="2240"/>
      <c r="BJ48" s="2241"/>
      <c r="BK48" s="2239"/>
      <c r="BL48" s="2242"/>
      <c r="BM48" s="2250"/>
      <c r="BN48" s="2244"/>
      <c r="BO48" s="2244"/>
      <c r="BP48" s="2245"/>
      <c r="BQ48" s="2246"/>
      <c r="BR48" s="2247"/>
      <c r="BS48" s="2248"/>
      <c r="BT48" s="2249"/>
      <c r="BU48" s="2249"/>
      <c r="BV48" s="2238"/>
      <c r="BW48" s="2264"/>
      <c r="BY48" s="3">
        <v>1</v>
      </c>
    </row>
    <row r="49" spans="2:77" ht="21" customHeight="1">
      <c r="B49" s="2265" t="str" cm="1">
        <f t="array" ref="B49">SUMPRODUCT(--(D49:J49&lt;&gt;""), LEN(TRIM(SUBSTITUTE(D49:J49, CHAR(160), "")))) &amp; " Car."</f>
        <v>0 Car.</v>
      </c>
      <c r="C49" s="1376" t="str">
        <f>IF(ISBLANK(D49),"",LARGE(C13:C48,1)+1)</f>
        <v/>
      </c>
      <c r="D49" s="1833"/>
      <c r="E49" s="1810"/>
      <c r="F49" s="1810"/>
      <c r="G49" s="1810"/>
      <c r="H49" s="1810"/>
      <c r="I49" s="1810"/>
      <c r="J49" s="1810"/>
      <c r="K49" s="1810"/>
      <c r="L49" s="1811"/>
      <c r="M49" s="9"/>
      <c r="N49" s="2252" t="s">
        <v>15</v>
      </c>
      <c r="O49" s="2237"/>
      <c r="P49" s="2237"/>
      <c r="Q49" s="2237"/>
      <c r="R49" s="2237"/>
      <c r="S49" s="2240"/>
      <c r="T49" s="2241"/>
      <c r="U49" s="2239"/>
      <c r="V49" s="2242"/>
      <c r="W49" s="2250"/>
      <c r="X49" s="2244"/>
      <c r="Y49" s="2244"/>
      <c r="Z49" s="2245"/>
      <c r="AA49" s="2246"/>
      <c r="AB49" s="2247"/>
      <c r="AC49" s="2248"/>
      <c r="AD49" s="2249"/>
      <c r="AE49" s="2249"/>
      <c r="AF49" s="2238"/>
      <c r="AG49" s="2264"/>
      <c r="AH49" s="918"/>
      <c r="AI49" s="2252" t="s">
        <v>15</v>
      </c>
      <c r="AJ49" s="2237"/>
      <c r="AK49" s="2237"/>
      <c r="AL49" s="2237"/>
      <c r="AM49" s="2237"/>
      <c r="AN49" s="2240"/>
      <c r="AO49" s="2241"/>
      <c r="AP49" s="2239"/>
      <c r="AQ49" s="2242"/>
      <c r="AR49" s="2250"/>
      <c r="AS49" s="2244"/>
      <c r="AT49" s="2244"/>
      <c r="AU49" s="2245"/>
      <c r="AV49" s="2246"/>
      <c r="AW49" s="2247"/>
      <c r="AX49" s="2248"/>
      <c r="AY49" s="2249"/>
      <c r="AZ49" s="2249"/>
      <c r="BA49" s="2238"/>
      <c r="BB49" s="2264"/>
      <c r="BC49" s="918"/>
      <c r="BD49" s="2252" t="s">
        <v>15</v>
      </c>
      <c r="BE49" s="2237"/>
      <c r="BF49" s="2237"/>
      <c r="BG49" s="2237"/>
      <c r="BH49" s="2237"/>
      <c r="BI49" s="2240"/>
      <c r="BJ49" s="2241"/>
      <c r="BK49" s="2239"/>
      <c r="BL49" s="2242"/>
      <c r="BM49" s="2250"/>
      <c r="BN49" s="2244"/>
      <c r="BO49" s="2244"/>
      <c r="BP49" s="2245"/>
      <c r="BQ49" s="2246"/>
      <c r="BR49" s="2247"/>
      <c r="BS49" s="2248"/>
      <c r="BT49" s="2249"/>
      <c r="BU49" s="2249"/>
      <c r="BV49" s="2238"/>
      <c r="BW49" s="2264"/>
      <c r="BY49" s="3">
        <v>1</v>
      </c>
    </row>
    <row r="50" spans="2:77" ht="21" customHeight="1">
      <c r="B50" s="2265" t="str" cm="1">
        <f t="array" ref="B50">SUMPRODUCT(--(D50:J50&lt;&gt;""), LEN(TRIM(SUBSTITUTE(D50:J50, CHAR(160), "")))) &amp; " Car."</f>
        <v>0 Car.</v>
      </c>
      <c r="C50" s="1376" t="str">
        <f>IF(ISBLANK(D50),"",LARGE(C13:C49,1)+1)</f>
        <v/>
      </c>
      <c r="D50" s="1833"/>
      <c r="E50" s="1810"/>
      <c r="F50" s="1810"/>
      <c r="G50" s="1810"/>
      <c r="H50" s="1810"/>
      <c r="I50" s="1810"/>
      <c r="J50" s="1810"/>
      <c r="K50" s="1810"/>
      <c r="L50" s="1811"/>
      <c r="M50" s="9"/>
      <c r="N50" s="2252" t="s">
        <v>15</v>
      </c>
      <c r="O50" s="2237"/>
      <c r="P50" s="2237"/>
      <c r="Q50" s="2237"/>
      <c r="R50" s="2237"/>
      <c r="S50" s="2240"/>
      <c r="T50" s="2241"/>
      <c r="U50" s="2239"/>
      <c r="V50" s="2242"/>
      <c r="W50" s="2250"/>
      <c r="X50" s="2244"/>
      <c r="Y50" s="2244"/>
      <c r="Z50" s="2245"/>
      <c r="AA50" s="2246"/>
      <c r="AB50" s="2247"/>
      <c r="AC50" s="2248"/>
      <c r="AD50" s="2249"/>
      <c r="AE50" s="2249"/>
      <c r="AF50" s="2238"/>
      <c r="AG50" s="2264"/>
      <c r="AH50" s="918"/>
      <c r="AI50" s="2252" t="s">
        <v>15</v>
      </c>
      <c r="AJ50" s="2237"/>
      <c r="AK50" s="2237"/>
      <c r="AL50" s="2237"/>
      <c r="AM50" s="2237"/>
      <c r="AN50" s="2240"/>
      <c r="AO50" s="2241"/>
      <c r="AP50" s="2239"/>
      <c r="AQ50" s="2242"/>
      <c r="AR50" s="2250"/>
      <c r="AS50" s="2244"/>
      <c r="AT50" s="2244"/>
      <c r="AU50" s="2245"/>
      <c r="AV50" s="2246"/>
      <c r="AW50" s="2247"/>
      <c r="AX50" s="2248"/>
      <c r="AY50" s="2249"/>
      <c r="AZ50" s="2249"/>
      <c r="BA50" s="2238"/>
      <c r="BB50" s="2264"/>
      <c r="BC50" s="918"/>
      <c r="BD50" s="2252" t="s">
        <v>15</v>
      </c>
      <c r="BE50" s="2237"/>
      <c r="BF50" s="2237"/>
      <c r="BG50" s="2237"/>
      <c r="BH50" s="2237"/>
      <c r="BI50" s="2240"/>
      <c r="BJ50" s="2241"/>
      <c r="BK50" s="2239"/>
      <c r="BL50" s="2242"/>
      <c r="BM50" s="2250"/>
      <c r="BN50" s="2244"/>
      <c r="BO50" s="2244"/>
      <c r="BP50" s="2245"/>
      <c r="BQ50" s="2246"/>
      <c r="BR50" s="2247"/>
      <c r="BS50" s="2248"/>
      <c r="BT50" s="2249"/>
      <c r="BU50" s="2249"/>
      <c r="BV50" s="2238"/>
      <c r="BW50" s="2264"/>
      <c r="BY50" s="3">
        <v>1</v>
      </c>
    </row>
    <row r="51" spans="2:77" ht="21" customHeight="1">
      <c r="B51" s="2265" t="str" cm="1">
        <f t="array" ref="B51">SUMPRODUCT(--(D51:J51&lt;&gt;""), LEN(TRIM(SUBSTITUTE(D51:J51, CHAR(160), "")))) &amp; " Car."</f>
        <v>0 Car.</v>
      </c>
      <c r="C51" s="1376" t="str">
        <f>IF(ISBLANK(D51),"",LARGE(C13:C50,1)+1)</f>
        <v/>
      </c>
      <c r="D51" s="1833"/>
      <c r="E51" s="1810"/>
      <c r="F51" s="1810"/>
      <c r="G51" s="1810"/>
      <c r="H51" s="1810"/>
      <c r="I51" s="1810"/>
      <c r="J51" s="1810"/>
      <c r="K51" s="1810"/>
      <c r="L51" s="1811"/>
      <c r="M51" s="9"/>
      <c r="N51" s="2252" t="s">
        <v>15</v>
      </c>
      <c r="O51" s="2237"/>
      <c r="P51" s="2237"/>
      <c r="Q51" s="2237"/>
      <c r="R51" s="2237"/>
      <c r="S51" s="2240"/>
      <c r="T51" s="2241"/>
      <c r="U51" s="2239"/>
      <c r="V51" s="2242"/>
      <c r="W51" s="2250"/>
      <c r="X51" s="2244"/>
      <c r="Y51" s="2244"/>
      <c r="Z51" s="2245"/>
      <c r="AA51" s="2246"/>
      <c r="AB51" s="2247"/>
      <c r="AC51" s="2248"/>
      <c r="AD51" s="2249"/>
      <c r="AE51" s="2249"/>
      <c r="AF51" s="2238"/>
      <c r="AG51" s="2264"/>
      <c r="AH51" s="918"/>
      <c r="AI51" s="2252" t="s">
        <v>15</v>
      </c>
      <c r="AJ51" s="2237"/>
      <c r="AK51" s="2237"/>
      <c r="AL51" s="2237"/>
      <c r="AM51" s="2237"/>
      <c r="AN51" s="2240"/>
      <c r="AO51" s="2241"/>
      <c r="AP51" s="2239"/>
      <c r="AQ51" s="2242"/>
      <c r="AR51" s="2250"/>
      <c r="AS51" s="2244"/>
      <c r="AT51" s="2244"/>
      <c r="AU51" s="2245"/>
      <c r="AV51" s="2246"/>
      <c r="AW51" s="2247"/>
      <c r="AX51" s="2248"/>
      <c r="AY51" s="2249"/>
      <c r="AZ51" s="2249"/>
      <c r="BA51" s="2238"/>
      <c r="BB51" s="2264"/>
      <c r="BC51" s="918"/>
      <c r="BD51" s="2252" t="s">
        <v>15</v>
      </c>
      <c r="BE51" s="2237"/>
      <c r="BF51" s="2237"/>
      <c r="BG51" s="2237"/>
      <c r="BH51" s="2237"/>
      <c r="BI51" s="2240"/>
      <c r="BJ51" s="2241"/>
      <c r="BK51" s="2239"/>
      <c r="BL51" s="2242"/>
      <c r="BM51" s="2250"/>
      <c r="BN51" s="2244"/>
      <c r="BO51" s="2244"/>
      <c r="BP51" s="2245"/>
      <c r="BQ51" s="2246"/>
      <c r="BR51" s="2247"/>
      <c r="BS51" s="2248"/>
      <c r="BT51" s="2249"/>
      <c r="BU51" s="2249"/>
      <c r="BV51" s="2238"/>
      <c r="BW51" s="2264"/>
      <c r="BY51" s="3">
        <v>1</v>
      </c>
    </row>
    <row r="52" spans="2:77" ht="21" customHeight="1">
      <c r="B52" s="2265" t="str" cm="1">
        <f t="array" ref="B52">SUMPRODUCT(--(D52:J52&lt;&gt;""), LEN(TRIM(SUBSTITUTE(D52:J52, CHAR(160), "")))) &amp; " Car."</f>
        <v>0 Car.</v>
      </c>
      <c r="C52" s="1376" t="str">
        <f>IF(ISBLANK(D52),"",LARGE(C13:C51,1)+1)</f>
        <v/>
      </c>
      <c r="D52" s="1833"/>
      <c r="E52" s="1810"/>
      <c r="F52" s="1810"/>
      <c r="G52" s="1810"/>
      <c r="H52" s="1810"/>
      <c r="I52" s="1810"/>
      <c r="J52" s="1810"/>
      <c r="K52" s="1810"/>
      <c r="L52" s="1811"/>
      <c r="M52" s="9"/>
      <c r="N52" s="2252" t="s">
        <v>15</v>
      </c>
      <c r="O52" s="2237"/>
      <c r="P52" s="2237"/>
      <c r="Q52" s="2237"/>
      <c r="R52" s="2237"/>
      <c r="S52" s="2240"/>
      <c r="T52" s="2241"/>
      <c r="U52" s="2239"/>
      <c r="V52" s="2242"/>
      <c r="W52" s="2250"/>
      <c r="X52" s="2244"/>
      <c r="Y52" s="2244"/>
      <c r="Z52" s="2245"/>
      <c r="AA52" s="2246"/>
      <c r="AB52" s="2247"/>
      <c r="AC52" s="2248"/>
      <c r="AD52" s="2249"/>
      <c r="AE52" s="2249"/>
      <c r="AF52" s="2238"/>
      <c r="AG52" s="2264"/>
      <c r="AH52" s="918"/>
      <c r="AI52" s="2252" t="s">
        <v>15</v>
      </c>
      <c r="AJ52" s="2237"/>
      <c r="AK52" s="2237"/>
      <c r="AL52" s="2237"/>
      <c r="AM52" s="2237"/>
      <c r="AN52" s="2240"/>
      <c r="AO52" s="2241"/>
      <c r="AP52" s="2239"/>
      <c r="AQ52" s="2242"/>
      <c r="AR52" s="2250"/>
      <c r="AS52" s="2244"/>
      <c r="AT52" s="2244"/>
      <c r="AU52" s="2245"/>
      <c r="AV52" s="2246"/>
      <c r="AW52" s="2247"/>
      <c r="AX52" s="2248"/>
      <c r="AY52" s="2249"/>
      <c r="AZ52" s="2249"/>
      <c r="BA52" s="2238"/>
      <c r="BB52" s="2264"/>
      <c r="BC52" s="918"/>
      <c r="BD52" s="2252" t="s">
        <v>15</v>
      </c>
      <c r="BE52" s="2237"/>
      <c r="BF52" s="2237"/>
      <c r="BG52" s="2237"/>
      <c r="BH52" s="2237"/>
      <c r="BI52" s="2240"/>
      <c r="BJ52" s="2241"/>
      <c r="BK52" s="2239"/>
      <c r="BL52" s="2242"/>
      <c r="BM52" s="2250"/>
      <c r="BN52" s="2244"/>
      <c r="BO52" s="2244"/>
      <c r="BP52" s="2245"/>
      <c r="BQ52" s="2246"/>
      <c r="BR52" s="2247"/>
      <c r="BS52" s="2248"/>
      <c r="BT52" s="2249"/>
      <c r="BU52" s="2249"/>
      <c r="BV52" s="2238"/>
      <c r="BW52" s="2264"/>
      <c r="BY52" s="3">
        <v>1</v>
      </c>
    </row>
    <row r="53" spans="2:77" ht="21" customHeight="1">
      <c r="B53" s="2265" t="str" cm="1">
        <f t="array" ref="B53">SUMPRODUCT(--(D53:J53&lt;&gt;""), LEN(TRIM(SUBSTITUTE(D53:J53, CHAR(160), "")))) &amp; " Car."</f>
        <v>0 Car.</v>
      </c>
      <c r="C53" s="1376" t="str">
        <f>IF(ISBLANK(D53),"",LARGE(C13:C52,1)+1)</f>
        <v/>
      </c>
      <c r="D53" s="1833"/>
      <c r="E53" s="1810"/>
      <c r="F53" s="1810"/>
      <c r="G53" s="1810"/>
      <c r="H53" s="1810"/>
      <c r="I53" s="1810"/>
      <c r="J53" s="1810"/>
      <c r="K53" s="1810"/>
      <c r="L53" s="1811"/>
      <c r="M53" s="9"/>
      <c r="N53" s="2252" t="s">
        <v>15</v>
      </c>
      <c r="O53" s="2237"/>
      <c r="P53" s="2237"/>
      <c r="Q53" s="2237"/>
      <c r="R53" s="2237"/>
      <c r="S53" s="2240"/>
      <c r="T53" s="2241"/>
      <c r="U53" s="2239"/>
      <c r="V53" s="2242"/>
      <c r="W53" s="2250"/>
      <c r="X53" s="2244"/>
      <c r="Y53" s="2244"/>
      <c r="Z53" s="2245"/>
      <c r="AA53" s="2246"/>
      <c r="AB53" s="2247"/>
      <c r="AC53" s="2248"/>
      <c r="AD53" s="2249"/>
      <c r="AE53" s="2249"/>
      <c r="AF53" s="2238"/>
      <c r="AG53" s="2264"/>
      <c r="AH53" s="918"/>
      <c r="AI53" s="2252" t="s">
        <v>15</v>
      </c>
      <c r="AJ53" s="2237"/>
      <c r="AK53" s="2237"/>
      <c r="AL53" s="2237"/>
      <c r="AM53" s="2237"/>
      <c r="AN53" s="2240"/>
      <c r="AO53" s="2241"/>
      <c r="AP53" s="2239"/>
      <c r="AQ53" s="2242"/>
      <c r="AR53" s="2250"/>
      <c r="AS53" s="2244"/>
      <c r="AT53" s="2244"/>
      <c r="AU53" s="2245"/>
      <c r="AV53" s="2246"/>
      <c r="AW53" s="2247"/>
      <c r="AX53" s="2248"/>
      <c r="AY53" s="2249"/>
      <c r="AZ53" s="2249"/>
      <c r="BA53" s="2238"/>
      <c r="BB53" s="2264"/>
      <c r="BC53" s="918"/>
      <c r="BD53" s="2252" t="s">
        <v>15</v>
      </c>
      <c r="BE53" s="2237"/>
      <c r="BF53" s="2237"/>
      <c r="BG53" s="2237"/>
      <c r="BH53" s="2237"/>
      <c r="BI53" s="2240"/>
      <c r="BJ53" s="2241"/>
      <c r="BK53" s="2239"/>
      <c r="BL53" s="2242"/>
      <c r="BM53" s="2250"/>
      <c r="BN53" s="2244"/>
      <c r="BO53" s="2244"/>
      <c r="BP53" s="2245"/>
      <c r="BQ53" s="2246"/>
      <c r="BR53" s="2247"/>
      <c r="BS53" s="2248"/>
      <c r="BT53" s="2249"/>
      <c r="BU53" s="2249"/>
      <c r="BV53" s="2238"/>
      <c r="BW53" s="2264"/>
      <c r="BY53" s="3">
        <v>1</v>
      </c>
    </row>
    <row r="54" spans="2:77" ht="21" customHeight="1">
      <c r="B54" s="2265" t="str" cm="1">
        <f t="array" ref="B54">SUMPRODUCT(--(D54:J54&lt;&gt;""), LEN(TRIM(SUBSTITUTE(D54:J54, CHAR(160), "")))) &amp; " Car."</f>
        <v>0 Car.</v>
      </c>
      <c r="C54" s="1376" t="str">
        <f>IF(ISBLANK(D54),"",LARGE(C13:C53,1)+1)</f>
        <v/>
      </c>
      <c r="D54" s="1833"/>
      <c r="E54" s="1810"/>
      <c r="F54" s="1810"/>
      <c r="G54" s="1810"/>
      <c r="H54" s="1810"/>
      <c r="I54" s="1810"/>
      <c r="J54" s="1810"/>
      <c r="K54" s="1810"/>
      <c r="L54" s="1811"/>
      <c r="M54" s="9"/>
      <c r="N54" s="2252" t="s">
        <v>15</v>
      </c>
      <c r="O54" s="2237"/>
      <c r="P54" s="2237"/>
      <c r="Q54" s="2237"/>
      <c r="R54" s="2237"/>
      <c r="S54" s="2240"/>
      <c r="T54" s="2241"/>
      <c r="U54" s="2239"/>
      <c r="V54" s="2242"/>
      <c r="W54" s="2250"/>
      <c r="X54" s="2244"/>
      <c r="Y54" s="2244"/>
      <c r="Z54" s="2245"/>
      <c r="AA54" s="2246"/>
      <c r="AB54" s="2247"/>
      <c r="AC54" s="2248"/>
      <c r="AD54" s="2249"/>
      <c r="AE54" s="2249"/>
      <c r="AF54" s="2238"/>
      <c r="AG54" s="2264"/>
      <c r="AH54" s="918"/>
      <c r="AI54" s="2252" t="s">
        <v>15</v>
      </c>
      <c r="AJ54" s="2237"/>
      <c r="AK54" s="2237"/>
      <c r="AL54" s="2237"/>
      <c r="AM54" s="2237"/>
      <c r="AN54" s="2240"/>
      <c r="AO54" s="2241"/>
      <c r="AP54" s="2239"/>
      <c r="AQ54" s="2242"/>
      <c r="AR54" s="2250"/>
      <c r="AS54" s="2244"/>
      <c r="AT54" s="2244"/>
      <c r="AU54" s="2245"/>
      <c r="AV54" s="2246"/>
      <c r="AW54" s="2247"/>
      <c r="AX54" s="2248"/>
      <c r="AY54" s="2249"/>
      <c r="AZ54" s="2249"/>
      <c r="BA54" s="2238"/>
      <c r="BB54" s="2264"/>
      <c r="BC54" s="918"/>
      <c r="BD54" s="2252" t="s">
        <v>15</v>
      </c>
      <c r="BE54" s="2237"/>
      <c r="BF54" s="2237"/>
      <c r="BG54" s="2237"/>
      <c r="BH54" s="2237"/>
      <c r="BI54" s="2240"/>
      <c r="BJ54" s="2241"/>
      <c r="BK54" s="2239"/>
      <c r="BL54" s="2242"/>
      <c r="BM54" s="2250"/>
      <c r="BN54" s="2244"/>
      <c r="BO54" s="2244"/>
      <c r="BP54" s="2245"/>
      <c r="BQ54" s="2246"/>
      <c r="BR54" s="2247"/>
      <c r="BS54" s="2248"/>
      <c r="BT54" s="2249"/>
      <c r="BU54" s="2249"/>
      <c r="BV54" s="2238"/>
      <c r="BW54" s="2264"/>
      <c r="BY54" s="3">
        <v>1</v>
      </c>
    </row>
    <row r="55" spans="2:77" ht="21" customHeight="1">
      <c r="B55" s="2265" t="str" cm="1">
        <f t="array" ref="B55">SUMPRODUCT(--(D55:J55&lt;&gt;""), LEN(TRIM(SUBSTITUTE(D55:J55, CHAR(160), "")))) &amp; " Car."</f>
        <v>0 Car.</v>
      </c>
      <c r="C55" s="1376" t="str">
        <f>IF(ISBLANK(D55),"",LARGE(C13:C54,1)+1)</f>
        <v/>
      </c>
      <c r="D55" s="1833"/>
      <c r="E55" s="1810"/>
      <c r="F55" s="1810"/>
      <c r="G55" s="1810"/>
      <c r="H55" s="1810"/>
      <c r="I55" s="1810"/>
      <c r="J55" s="1810"/>
      <c r="K55" s="1810"/>
      <c r="L55" s="1811"/>
      <c r="M55" s="9"/>
      <c r="N55" s="2252" t="s">
        <v>15</v>
      </c>
      <c r="O55" s="2237"/>
      <c r="P55" s="2237"/>
      <c r="Q55" s="2237"/>
      <c r="R55" s="2237"/>
      <c r="S55" s="2240"/>
      <c r="T55" s="2241"/>
      <c r="U55" s="2239"/>
      <c r="V55" s="2242"/>
      <c r="W55" s="2250"/>
      <c r="X55" s="2244"/>
      <c r="Y55" s="2244"/>
      <c r="Z55" s="2245"/>
      <c r="AA55" s="2246"/>
      <c r="AB55" s="2247"/>
      <c r="AC55" s="2248"/>
      <c r="AD55" s="2249"/>
      <c r="AE55" s="2249"/>
      <c r="AF55" s="2238"/>
      <c r="AG55" s="2264"/>
      <c r="AH55" s="918"/>
      <c r="AI55" s="2252" t="s">
        <v>15</v>
      </c>
      <c r="AJ55" s="2237"/>
      <c r="AK55" s="2237"/>
      <c r="AL55" s="2237"/>
      <c r="AM55" s="2237"/>
      <c r="AN55" s="2240"/>
      <c r="AO55" s="2241"/>
      <c r="AP55" s="2239"/>
      <c r="AQ55" s="2242"/>
      <c r="AR55" s="2250"/>
      <c r="AS55" s="2244"/>
      <c r="AT55" s="2244"/>
      <c r="AU55" s="2245"/>
      <c r="AV55" s="2246"/>
      <c r="AW55" s="2247"/>
      <c r="AX55" s="2248"/>
      <c r="AY55" s="2249"/>
      <c r="AZ55" s="2249"/>
      <c r="BA55" s="2238"/>
      <c r="BB55" s="2264"/>
      <c r="BC55" s="918"/>
      <c r="BD55" s="2252" t="s">
        <v>15</v>
      </c>
      <c r="BE55" s="2237"/>
      <c r="BF55" s="2237"/>
      <c r="BG55" s="2237"/>
      <c r="BH55" s="2237"/>
      <c r="BI55" s="2240"/>
      <c r="BJ55" s="2241"/>
      <c r="BK55" s="2239"/>
      <c r="BL55" s="2242"/>
      <c r="BM55" s="2250"/>
      <c r="BN55" s="2244"/>
      <c r="BO55" s="2244"/>
      <c r="BP55" s="2245"/>
      <c r="BQ55" s="2246"/>
      <c r="BR55" s="2247"/>
      <c r="BS55" s="2248"/>
      <c r="BT55" s="2249"/>
      <c r="BU55" s="2249"/>
      <c r="BV55" s="2238"/>
      <c r="BW55" s="2264"/>
      <c r="BY55" s="3">
        <v>1</v>
      </c>
    </row>
    <row r="56" spans="2:77" ht="21" customHeight="1">
      <c r="B56" s="2265" t="str" cm="1">
        <f t="array" ref="B56">SUMPRODUCT(--(D56:J56&lt;&gt;""), LEN(TRIM(SUBSTITUTE(D56:J56, CHAR(160), "")))) &amp; " Car."</f>
        <v>0 Car.</v>
      </c>
      <c r="C56" s="1376" t="str">
        <f>IF(ISBLANK(D56),"",LARGE(C13:C55,1)+1)</f>
        <v/>
      </c>
      <c r="D56" s="1833"/>
      <c r="E56" s="1810"/>
      <c r="F56" s="1810"/>
      <c r="G56" s="1810"/>
      <c r="H56" s="1810"/>
      <c r="I56" s="1810"/>
      <c r="J56" s="1810"/>
      <c r="K56" s="1810"/>
      <c r="L56" s="1811"/>
      <c r="M56" s="9"/>
      <c r="N56" s="2252" t="s">
        <v>15</v>
      </c>
      <c r="O56" s="2237"/>
      <c r="P56" s="2237"/>
      <c r="Q56" s="2237"/>
      <c r="R56" s="2237"/>
      <c r="S56" s="2240"/>
      <c r="T56" s="2241"/>
      <c r="U56" s="2239"/>
      <c r="V56" s="2242"/>
      <c r="W56" s="2250"/>
      <c r="X56" s="2244"/>
      <c r="Y56" s="2244"/>
      <c r="Z56" s="2245"/>
      <c r="AA56" s="2246"/>
      <c r="AB56" s="2247"/>
      <c r="AC56" s="2248"/>
      <c r="AD56" s="2249"/>
      <c r="AE56" s="2249"/>
      <c r="AF56" s="2238"/>
      <c r="AG56" s="2264"/>
      <c r="AH56" s="918"/>
      <c r="AI56" s="2252" t="s">
        <v>15</v>
      </c>
      <c r="AJ56" s="2237"/>
      <c r="AK56" s="2237"/>
      <c r="AL56" s="2237"/>
      <c r="AM56" s="2237"/>
      <c r="AN56" s="2240"/>
      <c r="AO56" s="2241"/>
      <c r="AP56" s="2239"/>
      <c r="AQ56" s="2242"/>
      <c r="AR56" s="2250"/>
      <c r="AS56" s="2244"/>
      <c r="AT56" s="2244"/>
      <c r="AU56" s="2245"/>
      <c r="AV56" s="2246"/>
      <c r="AW56" s="2247"/>
      <c r="AX56" s="2248"/>
      <c r="AY56" s="2249"/>
      <c r="AZ56" s="2249"/>
      <c r="BA56" s="2238"/>
      <c r="BB56" s="2264"/>
      <c r="BC56" s="918"/>
      <c r="BD56" s="2252" t="s">
        <v>15</v>
      </c>
      <c r="BE56" s="2237"/>
      <c r="BF56" s="2237"/>
      <c r="BG56" s="2237"/>
      <c r="BH56" s="2237"/>
      <c r="BI56" s="2240"/>
      <c r="BJ56" s="2241"/>
      <c r="BK56" s="2239"/>
      <c r="BL56" s="2242"/>
      <c r="BM56" s="2250"/>
      <c r="BN56" s="2244"/>
      <c r="BO56" s="2244"/>
      <c r="BP56" s="2245"/>
      <c r="BQ56" s="2246"/>
      <c r="BR56" s="2247"/>
      <c r="BS56" s="2248"/>
      <c r="BT56" s="2249"/>
      <c r="BU56" s="2249"/>
      <c r="BV56" s="2238"/>
      <c r="BW56" s="2264"/>
      <c r="BY56" s="3">
        <v>1</v>
      </c>
    </row>
    <row r="57" spans="2:77" ht="21" customHeight="1">
      <c r="B57" s="2265" t="str" cm="1">
        <f t="array" ref="B57">SUMPRODUCT(--(D57:J57&lt;&gt;""), LEN(TRIM(SUBSTITUTE(D57:J57, CHAR(160), "")))) &amp; " Car."</f>
        <v>0 Car.</v>
      </c>
      <c r="C57" s="1376" t="str">
        <f>IF(ISBLANK(D57),"",LARGE(C13:C56,1)+1)</f>
        <v/>
      </c>
      <c r="D57" s="1833"/>
      <c r="E57" s="1810"/>
      <c r="F57" s="1810"/>
      <c r="G57" s="1810"/>
      <c r="H57" s="1810"/>
      <c r="I57" s="1810"/>
      <c r="J57" s="1810"/>
      <c r="K57" s="1810"/>
      <c r="L57" s="1811"/>
      <c r="M57" s="9"/>
      <c r="N57" s="2252" t="s">
        <v>15</v>
      </c>
      <c r="O57" s="2237"/>
      <c r="P57" s="2237"/>
      <c r="Q57" s="2237"/>
      <c r="R57" s="2237"/>
      <c r="S57" s="2240"/>
      <c r="T57" s="2241"/>
      <c r="U57" s="2239"/>
      <c r="V57" s="2242"/>
      <c r="W57" s="2250"/>
      <c r="X57" s="2244"/>
      <c r="Y57" s="2244"/>
      <c r="Z57" s="2245"/>
      <c r="AA57" s="2246"/>
      <c r="AB57" s="2247"/>
      <c r="AC57" s="2248"/>
      <c r="AD57" s="2249"/>
      <c r="AE57" s="2249"/>
      <c r="AF57" s="2238"/>
      <c r="AG57" s="2264"/>
      <c r="AH57" s="918"/>
      <c r="AI57" s="2252" t="s">
        <v>15</v>
      </c>
      <c r="AJ57" s="2237"/>
      <c r="AK57" s="2237"/>
      <c r="AL57" s="2237"/>
      <c r="AM57" s="2237"/>
      <c r="AN57" s="2240"/>
      <c r="AO57" s="2241"/>
      <c r="AP57" s="2239"/>
      <c r="AQ57" s="2242"/>
      <c r="AR57" s="2250"/>
      <c r="AS57" s="2244"/>
      <c r="AT57" s="2244"/>
      <c r="AU57" s="2245"/>
      <c r="AV57" s="2246"/>
      <c r="AW57" s="2247"/>
      <c r="AX57" s="2248"/>
      <c r="AY57" s="2249"/>
      <c r="AZ57" s="2249"/>
      <c r="BA57" s="2238"/>
      <c r="BB57" s="2264"/>
      <c r="BC57" s="918"/>
      <c r="BD57" s="2252" t="s">
        <v>15</v>
      </c>
      <c r="BE57" s="2237"/>
      <c r="BF57" s="2237"/>
      <c r="BG57" s="2237"/>
      <c r="BH57" s="2237"/>
      <c r="BI57" s="2240"/>
      <c r="BJ57" s="2241"/>
      <c r="BK57" s="2239"/>
      <c r="BL57" s="2242"/>
      <c r="BM57" s="2250"/>
      <c r="BN57" s="2244"/>
      <c r="BO57" s="2244"/>
      <c r="BP57" s="2245"/>
      <c r="BQ57" s="2246"/>
      <c r="BR57" s="2247"/>
      <c r="BS57" s="2248"/>
      <c r="BT57" s="2249"/>
      <c r="BU57" s="2249"/>
      <c r="BV57" s="2238"/>
      <c r="BW57" s="2264"/>
      <c r="BY57" s="3">
        <v>1</v>
      </c>
    </row>
    <row r="58" spans="2:77" ht="21" customHeight="1">
      <c r="B58" s="2265" t="str" cm="1">
        <f t="array" ref="B58">SUMPRODUCT(--(D58:J58&lt;&gt;""), LEN(TRIM(SUBSTITUTE(D58:J58, CHAR(160), "")))) &amp; " Car."</f>
        <v>0 Car.</v>
      </c>
      <c r="C58" s="1376" t="str">
        <f>IF(ISBLANK(D58),"",LARGE(C13:C57,1)+1)</f>
        <v/>
      </c>
      <c r="D58" s="1833"/>
      <c r="E58" s="1810"/>
      <c r="F58" s="1810"/>
      <c r="G58" s="1810"/>
      <c r="H58" s="1810"/>
      <c r="I58" s="1810"/>
      <c r="J58" s="1810"/>
      <c r="K58" s="1810"/>
      <c r="L58" s="1811"/>
      <c r="M58" s="9"/>
      <c r="N58" s="2252" t="s">
        <v>15</v>
      </c>
      <c r="O58" s="2237"/>
      <c r="P58" s="2237"/>
      <c r="Q58" s="2237"/>
      <c r="R58" s="2237"/>
      <c r="S58" s="2240"/>
      <c r="T58" s="2241"/>
      <c r="U58" s="2239"/>
      <c r="V58" s="2242"/>
      <c r="W58" s="2250"/>
      <c r="X58" s="2244"/>
      <c r="Y58" s="2244"/>
      <c r="Z58" s="2245"/>
      <c r="AA58" s="2246"/>
      <c r="AB58" s="2247"/>
      <c r="AC58" s="2248"/>
      <c r="AD58" s="2249"/>
      <c r="AE58" s="2249"/>
      <c r="AF58" s="2238"/>
      <c r="AG58" s="2264"/>
      <c r="AH58" s="918"/>
      <c r="AI58" s="2252" t="s">
        <v>15</v>
      </c>
      <c r="AJ58" s="2237"/>
      <c r="AK58" s="2237"/>
      <c r="AL58" s="2237"/>
      <c r="AM58" s="2237"/>
      <c r="AN58" s="2240"/>
      <c r="AO58" s="2241"/>
      <c r="AP58" s="2239"/>
      <c r="AQ58" s="2242"/>
      <c r="AR58" s="2250"/>
      <c r="AS58" s="2244"/>
      <c r="AT58" s="2244"/>
      <c r="AU58" s="2245"/>
      <c r="AV58" s="2246"/>
      <c r="AW58" s="2247"/>
      <c r="AX58" s="2248"/>
      <c r="AY58" s="2249"/>
      <c r="AZ58" s="2249"/>
      <c r="BA58" s="2238"/>
      <c r="BB58" s="2264"/>
      <c r="BC58" s="918"/>
      <c r="BD58" s="2252" t="s">
        <v>15</v>
      </c>
      <c r="BE58" s="2237"/>
      <c r="BF58" s="2237"/>
      <c r="BG58" s="2237"/>
      <c r="BH58" s="2237"/>
      <c r="BI58" s="2240"/>
      <c r="BJ58" s="2241"/>
      <c r="BK58" s="2239"/>
      <c r="BL58" s="2242"/>
      <c r="BM58" s="2250"/>
      <c r="BN58" s="2244"/>
      <c r="BO58" s="2244"/>
      <c r="BP58" s="2245"/>
      <c r="BQ58" s="2246"/>
      <c r="BR58" s="2247"/>
      <c r="BS58" s="2248"/>
      <c r="BT58" s="2249"/>
      <c r="BU58" s="2249"/>
      <c r="BV58" s="2238"/>
      <c r="BW58" s="2264"/>
      <c r="BY58" s="3">
        <v>1</v>
      </c>
    </row>
    <row r="59" spans="2:77" ht="21" customHeight="1">
      <c r="B59" s="2265" t="str" cm="1">
        <f t="array" ref="B59">SUMPRODUCT(--(D59:J59&lt;&gt;""), LEN(TRIM(SUBSTITUTE(D59:J59, CHAR(160), "")))) &amp; " Car."</f>
        <v>0 Car.</v>
      </c>
      <c r="C59" s="1376" t="str">
        <f>IF(ISBLANK(D59),"",LARGE(C13:C58,1)+1)</f>
        <v/>
      </c>
      <c r="D59" s="1833"/>
      <c r="E59" s="1810"/>
      <c r="F59" s="1810"/>
      <c r="G59" s="1810"/>
      <c r="H59" s="1810"/>
      <c r="I59" s="1810"/>
      <c r="J59" s="1810"/>
      <c r="K59" s="1810"/>
      <c r="L59" s="1811"/>
      <c r="M59" s="9"/>
      <c r="N59" s="2252" t="s">
        <v>15</v>
      </c>
      <c r="O59" s="2237"/>
      <c r="P59" s="2237"/>
      <c r="Q59" s="2237"/>
      <c r="R59" s="2237"/>
      <c r="S59" s="2240"/>
      <c r="T59" s="2241"/>
      <c r="U59" s="2239"/>
      <c r="V59" s="2242"/>
      <c r="W59" s="2250"/>
      <c r="X59" s="2244"/>
      <c r="Y59" s="2244"/>
      <c r="Z59" s="2245"/>
      <c r="AA59" s="2246"/>
      <c r="AB59" s="2247"/>
      <c r="AC59" s="2248"/>
      <c r="AD59" s="2249"/>
      <c r="AE59" s="2249"/>
      <c r="AF59" s="2238"/>
      <c r="AG59" s="2264"/>
      <c r="AH59" s="918"/>
      <c r="AI59" s="2252" t="s">
        <v>15</v>
      </c>
      <c r="AJ59" s="2237"/>
      <c r="AK59" s="2237"/>
      <c r="AL59" s="2237"/>
      <c r="AM59" s="2237"/>
      <c r="AN59" s="2240"/>
      <c r="AO59" s="2241"/>
      <c r="AP59" s="2239"/>
      <c r="AQ59" s="2242"/>
      <c r="AR59" s="2250"/>
      <c r="AS59" s="2244"/>
      <c r="AT59" s="2244"/>
      <c r="AU59" s="2245"/>
      <c r="AV59" s="2246"/>
      <c r="AW59" s="2247"/>
      <c r="AX59" s="2248"/>
      <c r="AY59" s="2249"/>
      <c r="AZ59" s="2249"/>
      <c r="BA59" s="2238"/>
      <c r="BB59" s="2264"/>
      <c r="BC59" s="918"/>
      <c r="BD59" s="2252" t="s">
        <v>15</v>
      </c>
      <c r="BE59" s="2237"/>
      <c r="BF59" s="2237"/>
      <c r="BG59" s="2237"/>
      <c r="BH59" s="2237"/>
      <c r="BI59" s="2240"/>
      <c r="BJ59" s="2241"/>
      <c r="BK59" s="2239"/>
      <c r="BL59" s="2242"/>
      <c r="BM59" s="2250"/>
      <c r="BN59" s="2244"/>
      <c r="BO59" s="2244"/>
      <c r="BP59" s="2245"/>
      <c r="BQ59" s="2246"/>
      <c r="BR59" s="2247"/>
      <c r="BS59" s="2248"/>
      <c r="BT59" s="2249"/>
      <c r="BU59" s="2249"/>
      <c r="BV59" s="2238"/>
      <c r="BW59" s="2264"/>
      <c r="BY59" s="3">
        <v>1</v>
      </c>
    </row>
    <row r="60" spans="2:77" ht="21" customHeight="1">
      <c r="B60" s="2265" t="str" cm="1">
        <f t="array" ref="B60">SUMPRODUCT(--(D60:J60&lt;&gt;""), LEN(TRIM(SUBSTITUTE(D60:J60, CHAR(160), "")))) &amp; " Car."</f>
        <v>0 Car.</v>
      </c>
      <c r="C60" s="1376" t="str">
        <f>IF(ISBLANK(D60),"",LARGE(C13:C59,1)+1)</f>
        <v/>
      </c>
      <c r="D60" s="1833"/>
      <c r="E60" s="1810"/>
      <c r="F60" s="1810"/>
      <c r="G60" s="1810"/>
      <c r="H60" s="1810"/>
      <c r="I60" s="1810"/>
      <c r="J60" s="1810"/>
      <c r="K60" s="1810"/>
      <c r="L60" s="1811"/>
      <c r="M60" s="9"/>
      <c r="N60" s="2252" t="s">
        <v>15</v>
      </c>
      <c r="O60" s="2237"/>
      <c r="P60" s="2237"/>
      <c r="Q60" s="2237"/>
      <c r="R60" s="2237"/>
      <c r="S60" s="2240"/>
      <c r="T60" s="2241"/>
      <c r="U60" s="2239"/>
      <c r="V60" s="2242"/>
      <c r="W60" s="2250"/>
      <c r="X60" s="2244"/>
      <c r="Y60" s="2244"/>
      <c r="Z60" s="2245"/>
      <c r="AA60" s="2246"/>
      <c r="AB60" s="2247"/>
      <c r="AC60" s="2248"/>
      <c r="AD60" s="2249"/>
      <c r="AE60" s="2249"/>
      <c r="AF60" s="2238"/>
      <c r="AG60" s="2264"/>
      <c r="AH60" s="918"/>
      <c r="AI60" s="2252" t="s">
        <v>15</v>
      </c>
      <c r="AJ60" s="2237"/>
      <c r="AK60" s="2237"/>
      <c r="AL60" s="2237"/>
      <c r="AM60" s="2237"/>
      <c r="AN60" s="2240"/>
      <c r="AO60" s="2241"/>
      <c r="AP60" s="2239"/>
      <c r="AQ60" s="2242"/>
      <c r="AR60" s="2250"/>
      <c r="AS60" s="2244"/>
      <c r="AT60" s="2244"/>
      <c r="AU60" s="2245"/>
      <c r="AV60" s="2246"/>
      <c r="AW60" s="2247"/>
      <c r="AX60" s="2248"/>
      <c r="AY60" s="2249"/>
      <c r="AZ60" s="2249"/>
      <c r="BA60" s="2238"/>
      <c r="BB60" s="2264"/>
      <c r="BC60" s="918"/>
      <c r="BD60" s="2252" t="s">
        <v>15</v>
      </c>
      <c r="BE60" s="2237"/>
      <c r="BF60" s="2237"/>
      <c r="BG60" s="2237"/>
      <c r="BH60" s="2237"/>
      <c r="BI60" s="2240"/>
      <c r="BJ60" s="2241"/>
      <c r="BK60" s="2239"/>
      <c r="BL60" s="2242"/>
      <c r="BM60" s="2250"/>
      <c r="BN60" s="2244"/>
      <c r="BO60" s="2244"/>
      <c r="BP60" s="2245"/>
      <c r="BQ60" s="2246"/>
      <c r="BR60" s="2247"/>
      <c r="BS60" s="2248"/>
      <c r="BT60" s="2249"/>
      <c r="BU60" s="2249"/>
      <c r="BV60" s="2238"/>
      <c r="BW60" s="2264"/>
      <c r="BY60" s="3">
        <v>1</v>
      </c>
    </row>
    <row r="61" spans="2:77" ht="21" customHeight="1">
      <c r="B61" s="2265" t="str" cm="1">
        <f t="array" ref="B61">SUMPRODUCT(--(D61:J61&lt;&gt;""), LEN(TRIM(SUBSTITUTE(D61:J61, CHAR(160), "")))) &amp; " Car."</f>
        <v>0 Car.</v>
      </c>
      <c r="C61" s="1376" t="str">
        <f>IF(ISBLANK(D61),"",LARGE(C13:C60,1)+1)</f>
        <v/>
      </c>
      <c r="D61" s="1833"/>
      <c r="E61" s="1810"/>
      <c r="F61" s="1810"/>
      <c r="G61" s="1810"/>
      <c r="H61" s="1810"/>
      <c r="I61" s="1810"/>
      <c r="J61" s="1810"/>
      <c r="K61" s="1810"/>
      <c r="L61" s="1811"/>
      <c r="M61" s="9"/>
      <c r="N61" s="2252" t="s">
        <v>15</v>
      </c>
      <c r="O61" s="2237"/>
      <c r="P61" s="2237"/>
      <c r="Q61" s="2237"/>
      <c r="R61" s="2237"/>
      <c r="S61" s="2240"/>
      <c r="T61" s="2241"/>
      <c r="U61" s="2239"/>
      <c r="V61" s="2242"/>
      <c r="W61" s="2250"/>
      <c r="X61" s="2244"/>
      <c r="Y61" s="2244"/>
      <c r="Z61" s="2245"/>
      <c r="AA61" s="2246"/>
      <c r="AB61" s="2247"/>
      <c r="AC61" s="2248"/>
      <c r="AD61" s="2249"/>
      <c r="AE61" s="2249"/>
      <c r="AF61" s="2238"/>
      <c r="AG61" s="2264"/>
      <c r="AH61" s="918"/>
      <c r="AI61" s="2252" t="s">
        <v>15</v>
      </c>
      <c r="AJ61" s="2237"/>
      <c r="AK61" s="2237"/>
      <c r="AL61" s="2237"/>
      <c r="AM61" s="2237"/>
      <c r="AN61" s="2240"/>
      <c r="AO61" s="2241"/>
      <c r="AP61" s="2239"/>
      <c r="AQ61" s="2242"/>
      <c r="AR61" s="2250"/>
      <c r="AS61" s="2244"/>
      <c r="AT61" s="2244"/>
      <c r="AU61" s="2245"/>
      <c r="AV61" s="2246"/>
      <c r="AW61" s="2247"/>
      <c r="AX61" s="2248"/>
      <c r="AY61" s="2249"/>
      <c r="AZ61" s="2249"/>
      <c r="BA61" s="2238"/>
      <c r="BB61" s="2264"/>
      <c r="BC61" s="918"/>
      <c r="BD61" s="2252" t="s">
        <v>15</v>
      </c>
      <c r="BE61" s="2237"/>
      <c r="BF61" s="2237"/>
      <c r="BG61" s="2237"/>
      <c r="BH61" s="2237"/>
      <c r="BI61" s="2240"/>
      <c r="BJ61" s="2241"/>
      <c r="BK61" s="2239"/>
      <c r="BL61" s="2242"/>
      <c r="BM61" s="2250"/>
      <c r="BN61" s="2244"/>
      <c r="BO61" s="2244"/>
      <c r="BP61" s="2245"/>
      <c r="BQ61" s="2246"/>
      <c r="BR61" s="2247"/>
      <c r="BS61" s="2248"/>
      <c r="BT61" s="2249"/>
      <c r="BU61" s="2249"/>
      <c r="BV61" s="2238"/>
      <c r="BW61" s="2264"/>
      <c r="BY61" s="3">
        <v>1</v>
      </c>
    </row>
    <row r="62" spans="2:77" ht="21" customHeight="1">
      <c r="B62" s="2265" t="str" cm="1">
        <f t="array" ref="B62">SUMPRODUCT(--(D62:J62&lt;&gt;""), LEN(TRIM(SUBSTITUTE(D62:J62, CHAR(160), "")))) &amp; " Car."</f>
        <v>0 Car.</v>
      </c>
      <c r="C62" s="1376" t="str">
        <f>IF(ISBLANK(D62),"",LARGE(C13:C61,1)+1)</f>
        <v/>
      </c>
      <c r="D62" s="1833"/>
      <c r="E62" s="1810"/>
      <c r="F62" s="1810"/>
      <c r="G62" s="1810"/>
      <c r="H62" s="1810"/>
      <c r="I62" s="1810"/>
      <c r="J62" s="1810"/>
      <c r="K62" s="1810"/>
      <c r="L62" s="1811"/>
      <c r="M62" s="9"/>
      <c r="N62" s="2252" t="s">
        <v>15</v>
      </c>
      <c r="O62" s="2237"/>
      <c r="P62" s="2237"/>
      <c r="Q62" s="2237"/>
      <c r="R62" s="2237"/>
      <c r="S62" s="2240"/>
      <c r="T62" s="2241"/>
      <c r="U62" s="2239"/>
      <c r="V62" s="2242"/>
      <c r="W62" s="2250"/>
      <c r="X62" s="2244"/>
      <c r="Y62" s="2244"/>
      <c r="Z62" s="2245"/>
      <c r="AA62" s="2246"/>
      <c r="AB62" s="2247"/>
      <c r="AC62" s="2248"/>
      <c r="AD62" s="2249"/>
      <c r="AE62" s="2249"/>
      <c r="AF62" s="2238"/>
      <c r="AG62" s="2264"/>
      <c r="AH62" s="918"/>
      <c r="AI62" s="2252" t="s">
        <v>15</v>
      </c>
      <c r="AJ62" s="2237"/>
      <c r="AK62" s="2237"/>
      <c r="AL62" s="2237"/>
      <c r="AM62" s="2237"/>
      <c r="AN62" s="2240"/>
      <c r="AO62" s="2241"/>
      <c r="AP62" s="2239"/>
      <c r="AQ62" s="2242"/>
      <c r="AR62" s="2250"/>
      <c r="AS62" s="2244"/>
      <c r="AT62" s="2244"/>
      <c r="AU62" s="2245"/>
      <c r="AV62" s="2246"/>
      <c r="AW62" s="2247"/>
      <c r="AX62" s="2248"/>
      <c r="AY62" s="2249"/>
      <c r="AZ62" s="2249"/>
      <c r="BA62" s="2238"/>
      <c r="BB62" s="2264"/>
      <c r="BC62" s="918"/>
      <c r="BD62" s="2252" t="s">
        <v>15</v>
      </c>
      <c r="BE62" s="2237"/>
      <c r="BF62" s="2237"/>
      <c r="BG62" s="2237"/>
      <c r="BH62" s="2237"/>
      <c r="BI62" s="2240"/>
      <c r="BJ62" s="2241"/>
      <c r="BK62" s="2239"/>
      <c r="BL62" s="2242"/>
      <c r="BM62" s="2250"/>
      <c r="BN62" s="2244"/>
      <c r="BO62" s="2244"/>
      <c r="BP62" s="2245"/>
      <c r="BQ62" s="2246"/>
      <c r="BR62" s="2247"/>
      <c r="BS62" s="2248"/>
      <c r="BT62" s="2249"/>
      <c r="BU62" s="2249"/>
      <c r="BV62" s="2238"/>
      <c r="BW62" s="2264"/>
      <c r="BY62" s="3">
        <v>1</v>
      </c>
    </row>
    <row r="63" spans="2:77" ht="21" customHeight="1">
      <c r="B63" s="2265" t="str" cm="1">
        <f t="array" ref="B63">SUMPRODUCT(--(D63:J63&lt;&gt;""), LEN(TRIM(SUBSTITUTE(D63:J63, CHAR(160), "")))) &amp; " Car."</f>
        <v>0 Car.</v>
      </c>
      <c r="C63" s="1376" t="str">
        <f>IF(ISBLANK(D63),"",LARGE(C13:C62,1)+1)</f>
        <v/>
      </c>
      <c r="D63" s="1833"/>
      <c r="E63" s="1810"/>
      <c r="F63" s="1810"/>
      <c r="G63" s="1810"/>
      <c r="H63" s="1810"/>
      <c r="I63" s="1810"/>
      <c r="J63" s="1810"/>
      <c r="K63" s="1810"/>
      <c r="L63" s="1811"/>
      <c r="M63" s="9"/>
      <c r="N63" s="2252" t="s">
        <v>15</v>
      </c>
      <c r="O63" s="2237"/>
      <c r="P63" s="2237"/>
      <c r="Q63" s="2237"/>
      <c r="R63" s="2237"/>
      <c r="S63" s="2240"/>
      <c r="T63" s="2241"/>
      <c r="U63" s="2239"/>
      <c r="V63" s="2242"/>
      <c r="W63" s="2250"/>
      <c r="X63" s="2244"/>
      <c r="Y63" s="2244"/>
      <c r="Z63" s="2245"/>
      <c r="AA63" s="2246"/>
      <c r="AB63" s="2247"/>
      <c r="AC63" s="2248"/>
      <c r="AD63" s="2249"/>
      <c r="AE63" s="2249"/>
      <c r="AF63" s="2238"/>
      <c r="AG63" s="2264"/>
      <c r="AH63" s="918"/>
      <c r="AI63" s="2252" t="s">
        <v>15</v>
      </c>
      <c r="AJ63" s="2237"/>
      <c r="AK63" s="2237"/>
      <c r="AL63" s="2237"/>
      <c r="AM63" s="2237"/>
      <c r="AN63" s="2240"/>
      <c r="AO63" s="2241"/>
      <c r="AP63" s="2239"/>
      <c r="AQ63" s="2242"/>
      <c r="AR63" s="2250"/>
      <c r="AS63" s="2244"/>
      <c r="AT63" s="2244"/>
      <c r="AU63" s="2245"/>
      <c r="AV63" s="2246"/>
      <c r="AW63" s="2247"/>
      <c r="AX63" s="2248"/>
      <c r="AY63" s="2249"/>
      <c r="AZ63" s="2249"/>
      <c r="BA63" s="2238"/>
      <c r="BB63" s="2264"/>
      <c r="BC63" s="918"/>
      <c r="BD63" s="2252" t="s">
        <v>15</v>
      </c>
      <c r="BE63" s="2237"/>
      <c r="BF63" s="2237"/>
      <c r="BG63" s="2237"/>
      <c r="BH63" s="2237"/>
      <c r="BI63" s="2240"/>
      <c r="BJ63" s="2241"/>
      <c r="BK63" s="2239"/>
      <c r="BL63" s="2242"/>
      <c r="BM63" s="2250"/>
      <c r="BN63" s="2244"/>
      <c r="BO63" s="2244"/>
      <c r="BP63" s="2245"/>
      <c r="BQ63" s="2246"/>
      <c r="BR63" s="2247"/>
      <c r="BS63" s="2248"/>
      <c r="BT63" s="2249"/>
      <c r="BU63" s="2249"/>
      <c r="BV63" s="2238"/>
      <c r="BW63" s="2264"/>
      <c r="BY63" s="3">
        <v>1</v>
      </c>
    </row>
    <row r="64" spans="2:77" ht="21" customHeight="1">
      <c r="B64" s="2265" t="str" cm="1">
        <f t="array" ref="B64">SUMPRODUCT(--(D64:J64&lt;&gt;""), LEN(TRIM(SUBSTITUTE(D64:J64, CHAR(160), "")))) &amp; " Car."</f>
        <v>0 Car.</v>
      </c>
      <c r="C64" s="1376" t="str">
        <f>IF(ISBLANK(D64),"",LARGE(C13:C63,1)+1)</f>
        <v/>
      </c>
      <c r="D64" s="1833"/>
      <c r="E64" s="1810"/>
      <c r="F64" s="1810"/>
      <c r="G64" s="1810"/>
      <c r="H64" s="1810"/>
      <c r="I64" s="1810"/>
      <c r="J64" s="1810"/>
      <c r="K64" s="1810"/>
      <c r="L64" s="1811"/>
      <c r="M64" s="9"/>
      <c r="N64" s="2252" t="s">
        <v>15</v>
      </c>
      <c r="O64" s="2237"/>
      <c r="P64" s="2237"/>
      <c r="Q64" s="2237"/>
      <c r="R64" s="2237"/>
      <c r="S64" s="2240"/>
      <c r="T64" s="2241"/>
      <c r="U64" s="2239"/>
      <c r="V64" s="2242"/>
      <c r="W64" s="2250"/>
      <c r="X64" s="2244"/>
      <c r="Y64" s="2244"/>
      <c r="Z64" s="2245"/>
      <c r="AA64" s="2246"/>
      <c r="AB64" s="2247"/>
      <c r="AC64" s="2248"/>
      <c r="AD64" s="2249"/>
      <c r="AE64" s="2249"/>
      <c r="AF64" s="2238"/>
      <c r="AG64" s="2264"/>
      <c r="AH64" s="918"/>
      <c r="AI64" s="2252" t="s">
        <v>15</v>
      </c>
      <c r="AJ64" s="2237"/>
      <c r="AK64" s="2237"/>
      <c r="AL64" s="2237"/>
      <c r="AM64" s="2237"/>
      <c r="AN64" s="2240"/>
      <c r="AO64" s="2241"/>
      <c r="AP64" s="2239"/>
      <c r="AQ64" s="2242"/>
      <c r="AR64" s="2250"/>
      <c r="AS64" s="2244"/>
      <c r="AT64" s="2244"/>
      <c r="AU64" s="2245"/>
      <c r="AV64" s="2246"/>
      <c r="AW64" s="2247"/>
      <c r="AX64" s="2248"/>
      <c r="AY64" s="2249"/>
      <c r="AZ64" s="2249"/>
      <c r="BA64" s="2238"/>
      <c r="BB64" s="2264"/>
      <c r="BC64" s="918"/>
      <c r="BD64" s="2252" t="s">
        <v>15</v>
      </c>
      <c r="BE64" s="2237"/>
      <c r="BF64" s="2237"/>
      <c r="BG64" s="2237"/>
      <c r="BH64" s="2237"/>
      <c r="BI64" s="2240"/>
      <c r="BJ64" s="2241"/>
      <c r="BK64" s="2239"/>
      <c r="BL64" s="2242"/>
      <c r="BM64" s="2250"/>
      <c r="BN64" s="2244"/>
      <c r="BO64" s="2244"/>
      <c r="BP64" s="2245"/>
      <c r="BQ64" s="2246"/>
      <c r="BR64" s="2247"/>
      <c r="BS64" s="2248"/>
      <c r="BT64" s="2249"/>
      <c r="BU64" s="2249"/>
      <c r="BV64" s="2238"/>
      <c r="BW64" s="2264"/>
      <c r="BY64" s="3">
        <v>1</v>
      </c>
    </row>
    <row r="65" spans="2:77" ht="21" customHeight="1">
      <c r="B65" s="2265" t="str" cm="1">
        <f t="array" ref="B65">SUMPRODUCT(--(D65:J65&lt;&gt;""), LEN(TRIM(SUBSTITUTE(D65:J65, CHAR(160), "")))) &amp; " Car."</f>
        <v>0 Car.</v>
      </c>
      <c r="C65" s="1376" t="str">
        <f>IF(ISBLANK(D65),"",LARGE(C13:C64,1)+1)</f>
        <v/>
      </c>
      <c r="D65" s="1833"/>
      <c r="E65" s="1810"/>
      <c r="F65" s="1810"/>
      <c r="G65" s="1810"/>
      <c r="H65" s="1810"/>
      <c r="I65" s="1810"/>
      <c r="J65" s="1810"/>
      <c r="K65" s="1810"/>
      <c r="L65" s="1811"/>
      <c r="M65" s="9"/>
      <c r="N65" s="2252" t="s">
        <v>15</v>
      </c>
      <c r="O65" s="2237"/>
      <c r="P65" s="2237"/>
      <c r="Q65" s="2237"/>
      <c r="R65" s="2237"/>
      <c r="S65" s="2240"/>
      <c r="T65" s="2241"/>
      <c r="U65" s="2239"/>
      <c r="V65" s="2242"/>
      <c r="W65" s="2250"/>
      <c r="X65" s="2244"/>
      <c r="Y65" s="2244"/>
      <c r="Z65" s="2245"/>
      <c r="AA65" s="2246"/>
      <c r="AB65" s="2247"/>
      <c r="AC65" s="2248"/>
      <c r="AD65" s="2249"/>
      <c r="AE65" s="2249"/>
      <c r="AF65" s="2238"/>
      <c r="AG65" s="2264"/>
      <c r="AH65" s="918"/>
      <c r="AI65" s="2252" t="s">
        <v>15</v>
      </c>
      <c r="AJ65" s="2237"/>
      <c r="AK65" s="2237"/>
      <c r="AL65" s="2237"/>
      <c r="AM65" s="2237"/>
      <c r="AN65" s="2240"/>
      <c r="AO65" s="2241"/>
      <c r="AP65" s="2239"/>
      <c r="AQ65" s="2242"/>
      <c r="AR65" s="2250"/>
      <c r="AS65" s="2244"/>
      <c r="AT65" s="2244"/>
      <c r="AU65" s="2245"/>
      <c r="AV65" s="2246"/>
      <c r="AW65" s="2247"/>
      <c r="AX65" s="2248"/>
      <c r="AY65" s="2249"/>
      <c r="AZ65" s="2249"/>
      <c r="BA65" s="2238"/>
      <c r="BB65" s="2264"/>
      <c r="BC65" s="918"/>
      <c r="BD65" s="2252" t="s">
        <v>15</v>
      </c>
      <c r="BE65" s="2237"/>
      <c r="BF65" s="2237"/>
      <c r="BG65" s="2237"/>
      <c r="BH65" s="2237"/>
      <c r="BI65" s="2240"/>
      <c r="BJ65" s="2241"/>
      <c r="BK65" s="2239"/>
      <c r="BL65" s="2242"/>
      <c r="BM65" s="2250"/>
      <c r="BN65" s="2244"/>
      <c r="BO65" s="2244"/>
      <c r="BP65" s="2245"/>
      <c r="BQ65" s="2246"/>
      <c r="BR65" s="2247"/>
      <c r="BS65" s="2248"/>
      <c r="BT65" s="2249"/>
      <c r="BU65" s="2249"/>
      <c r="BV65" s="2238"/>
      <c r="BW65" s="2264"/>
      <c r="BY65" s="3">
        <v>1</v>
      </c>
    </row>
    <row r="66" spans="2:77" ht="21" customHeight="1">
      <c r="B66" s="2265" t="str" cm="1">
        <f t="array" ref="B66">SUMPRODUCT(--(D66:J66&lt;&gt;""), LEN(TRIM(SUBSTITUTE(D66:J66, CHAR(160), "")))) &amp; " Car."</f>
        <v>0 Car.</v>
      </c>
      <c r="C66" s="1376" t="str">
        <f>IF(ISBLANK(D66),"",LARGE(C13:C65,1)+1)</f>
        <v/>
      </c>
      <c r="D66" s="1833"/>
      <c r="E66" s="1810"/>
      <c r="F66" s="1810"/>
      <c r="G66" s="1810"/>
      <c r="H66" s="1810"/>
      <c r="I66" s="1810"/>
      <c r="J66" s="1810"/>
      <c r="K66" s="1810"/>
      <c r="L66" s="1811"/>
      <c r="M66" s="9"/>
      <c r="N66" s="2252" t="s">
        <v>15</v>
      </c>
      <c r="O66" s="2237"/>
      <c r="P66" s="2237"/>
      <c r="Q66" s="2237"/>
      <c r="R66" s="2237"/>
      <c r="S66" s="2240"/>
      <c r="T66" s="2241"/>
      <c r="U66" s="2239"/>
      <c r="V66" s="2242"/>
      <c r="W66" s="2250"/>
      <c r="X66" s="2244"/>
      <c r="Y66" s="2244"/>
      <c r="Z66" s="2245"/>
      <c r="AA66" s="2246"/>
      <c r="AB66" s="2247"/>
      <c r="AC66" s="2248"/>
      <c r="AD66" s="2249"/>
      <c r="AE66" s="2249"/>
      <c r="AF66" s="2238"/>
      <c r="AG66" s="2264"/>
      <c r="AH66" s="918"/>
      <c r="AI66" s="2252" t="s">
        <v>15</v>
      </c>
      <c r="AJ66" s="2237"/>
      <c r="AK66" s="2237"/>
      <c r="AL66" s="2237"/>
      <c r="AM66" s="2237"/>
      <c r="AN66" s="2240"/>
      <c r="AO66" s="2241"/>
      <c r="AP66" s="2239"/>
      <c r="AQ66" s="2242"/>
      <c r="AR66" s="2250"/>
      <c r="AS66" s="2244"/>
      <c r="AT66" s="2244"/>
      <c r="AU66" s="2245"/>
      <c r="AV66" s="2246"/>
      <c r="AW66" s="2247"/>
      <c r="AX66" s="2248"/>
      <c r="AY66" s="2249"/>
      <c r="AZ66" s="2249"/>
      <c r="BA66" s="2238"/>
      <c r="BB66" s="2264"/>
      <c r="BD66" s="2252" t="s">
        <v>15</v>
      </c>
      <c r="BE66" s="2237"/>
      <c r="BF66" s="2237"/>
      <c r="BG66" s="2237"/>
      <c r="BH66" s="2237"/>
      <c r="BI66" s="2240"/>
      <c r="BJ66" s="2241"/>
      <c r="BK66" s="2239"/>
      <c r="BL66" s="2242"/>
      <c r="BM66" s="2250"/>
      <c r="BN66" s="2244"/>
      <c r="BO66" s="2244"/>
      <c r="BP66" s="2245"/>
      <c r="BQ66" s="2246"/>
      <c r="BR66" s="2247"/>
      <c r="BS66" s="2248"/>
      <c r="BT66" s="2249"/>
      <c r="BU66" s="2249"/>
      <c r="BV66" s="2238"/>
      <c r="BW66" s="2264"/>
      <c r="BY66" s="3">
        <v>1</v>
      </c>
    </row>
    <row r="67" spans="2:77" ht="21" customHeight="1">
      <c r="B67" s="2265" t="str" cm="1">
        <f t="array" ref="B67">SUMPRODUCT(--(D67:J67&lt;&gt;""), LEN(TRIM(SUBSTITUTE(D67:J67, CHAR(160), "")))) &amp; " Car."</f>
        <v>0 Car.</v>
      </c>
      <c r="C67" s="1376" t="str">
        <f>IF(ISBLANK(D67),"",LARGE(C13:C66,1)+1)</f>
        <v/>
      </c>
      <c r="D67" s="1833"/>
      <c r="E67" s="1810"/>
      <c r="F67" s="1810"/>
      <c r="G67" s="1810"/>
      <c r="H67" s="1810"/>
      <c r="I67" s="1810"/>
      <c r="J67" s="1810"/>
      <c r="K67" s="1810"/>
      <c r="L67" s="1811"/>
      <c r="M67" s="9"/>
      <c r="N67" s="2252" t="s">
        <v>15</v>
      </c>
      <c r="O67" s="2237"/>
      <c r="P67" s="2237"/>
      <c r="Q67" s="2237"/>
      <c r="R67" s="2237"/>
      <c r="S67" s="2240"/>
      <c r="T67" s="2241"/>
      <c r="U67" s="2239"/>
      <c r="V67" s="2242"/>
      <c r="W67" s="2250"/>
      <c r="X67" s="2244"/>
      <c r="Y67" s="2244"/>
      <c r="Z67" s="2245"/>
      <c r="AA67" s="2246"/>
      <c r="AB67" s="2247"/>
      <c r="AC67" s="2248"/>
      <c r="AD67" s="2249"/>
      <c r="AE67" s="2249"/>
      <c r="AF67" s="2238"/>
      <c r="AG67" s="2264"/>
      <c r="AH67" s="918"/>
      <c r="AI67" s="2252" t="s">
        <v>15</v>
      </c>
      <c r="AJ67" s="2237"/>
      <c r="AK67" s="2237"/>
      <c r="AL67" s="2237"/>
      <c r="AM67" s="2237"/>
      <c r="AN67" s="2240"/>
      <c r="AO67" s="2241"/>
      <c r="AP67" s="2239"/>
      <c r="AQ67" s="2242"/>
      <c r="AR67" s="2250"/>
      <c r="AS67" s="2244"/>
      <c r="AT67" s="2244"/>
      <c r="AU67" s="2245"/>
      <c r="AV67" s="2246"/>
      <c r="AW67" s="2247"/>
      <c r="AX67" s="2248"/>
      <c r="AY67" s="2249"/>
      <c r="AZ67" s="2249"/>
      <c r="BA67" s="2238"/>
      <c r="BB67" s="2264"/>
      <c r="BD67" s="2252" t="s">
        <v>15</v>
      </c>
      <c r="BE67" s="2237"/>
      <c r="BF67" s="2237"/>
      <c r="BG67" s="2237"/>
      <c r="BH67" s="2237"/>
      <c r="BI67" s="2240"/>
      <c r="BJ67" s="2241"/>
      <c r="BK67" s="2239"/>
      <c r="BL67" s="2242"/>
      <c r="BM67" s="2250"/>
      <c r="BN67" s="2244"/>
      <c r="BO67" s="2244"/>
      <c r="BP67" s="2245"/>
      <c r="BQ67" s="2246"/>
      <c r="BR67" s="2247"/>
      <c r="BS67" s="2248"/>
      <c r="BT67" s="2249"/>
      <c r="BU67" s="2249"/>
      <c r="BV67" s="2238"/>
      <c r="BW67" s="2264"/>
      <c r="BY67" s="3">
        <v>1</v>
      </c>
    </row>
    <row r="68" spans="2:77" ht="21" customHeight="1">
      <c r="B68" s="2265" t="str" cm="1">
        <f t="array" ref="B68">SUMPRODUCT(--(D68:J68&lt;&gt;""), LEN(TRIM(SUBSTITUTE(D68:J68, CHAR(160), "")))) &amp; " Car."</f>
        <v>0 Car.</v>
      </c>
      <c r="C68" s="1376" t="str">
        <f>IF(ISBLANK(D68),"",LARGE(C13:C67,1)+1)</f>
        <v/>
      </c>
      <c r="D68" s="1833"/>
      <c r="E68" s="1810"/>
      <c r="F68" s="1810"/>
      <c r="G68" s="1810"/>
      <c r="H68" s="1810"/>
      <c r="I68" s="1810"/>
      <c r="J68" s="1810"/>
      <c r="K68" s="1810"/>
      <c r="L68" s="1811"/>
      <c r="M68" s="9"/>
      <c r="N68" s="2252" t="s">
        <v>15</v>
      </c>
      <c r="O68" s="2237"/>
      <c r="P68" s="2237"/>
      <c r="Q68" s="2237"/>
      <c r="R68" s="2237"/>
      <c r="S68" s="2240"/>
      <c r="T68" s="2241"/>
      <c r="U68" s="2239"/>
      <c r="V68" s="2242"/>
      <c r="W68" s="2250"/>
      <c r="X68" s="2244"/>
      <c r="Y68" s="2244"/>
      <c r="Z68" s="2245"/>
      <c r="AA68" s="2246"/>
      <c r="AB68" s="2247"/>
      <c r="AC68" s="2248"/>
      <c r="AD68" s="2249"/>
      <c r="AE68" s="2249"/>
      <c r="AF68" s="2238"/>
      <c r="AG68" s="2264"/>
      <c r="AH68" s="918"/>
      <c r="AI68" s="2252" t="s">
        <v>15</v>
      </c>
      <c r="AJ68" s="2237"/>
      <c r="AK68" s="2237"/>
      <c r="AL68" s="2237"/>
      <c r="AM68" s="2237"/>
      <c r="AN68" s="2240"/>
      <c r="AO68" s="2241"/>
      <c r="AP68" s="2239"/>
      <c r="AQ68" s="2242"/>
      <c r="AR68" s="2250"/>
      <c r="AS68" s="2244"/>
      <c r="AT68" s="2244"/>
      <c r="AU68" s="2245"/>
      <c r="AV68" s="2246"/>
      <c r="AW68" s="2247"/>
      <c r="AX68" s="2248"/>
      <c r="AY68" s="2249"/>
      <c r="AZ68" s="2249"/>
      <c r="BA68" s="2238"/>
      <c r="BB68" s="2264"/>
      <c r="BD68" s="2252" t="s">
        <v>15</v>
      </c>
      <c r="BE68" s="2237"/>
      <c r="BF68" s="2237"/>
      <c r="BG68" s="2237"/>
      <c r="BH68" s="2237"/>
      <c r="BI68" s="2240"/>
      <c r="BJ68" s="2241"/>
      <c r="BK68" s="2239"/>
      <c r="BL68" s="2242"/>
      <c r="BM68" s="2250"/>
      <c r="BN68" s="2244"/>
      <c r="BO68" s="2244"/>
      <c r="BP68" s="2245"/>
      <c r="BQ68" s="2246"/>
      <c r="BR68" s="2247"/>
      <c r="BS68" s="2248"/>
      <c r="BT68" s="2249"/>
      <c r="BU68" s="2249"/>
      <c r="BV68" s="2238"/>
      <c r="BW68" s="2264"/>
      <c r="BY68" s="3">
        <v>1</v>
      </c>
    </row>
    <row r="69" spans="2:77" ht="21" customHeight="1">
      <c r="B69" s="2265" t="str" cm="1">
        <f t="array" ref="B69">SUMPRODUCT(--(D69:J69&lt;&gt;""), LEN(TRIM(SUBSTITUTE(D69:J69, CHAR(160), "")))) &amp; " Car."</f>
        <v>0 Car.</v>
      </c>
      <c r="C69" s="1376" t="str">
        <f>IF(ISBLANK(D69),"",LARGE(C13:C68,1)+1)</f>
        <v/>
      </c>
      <c r="D69" s="1833"/>
      <c r="E69" s="1810"/>
      <c r="F69" s="1810"/>
      <c r="G69" s="1810"/>
      <c r="H69" s="1810"/>
      <c r="I69" s="1810"/>
      <c r="J69" s="1810"/>
      <c r="K69" s="1810"/>
      <c r="L69" s="1811"/>
      <c r="M69" s="9"/>
      <c r="N69" s="2252" t="s">
        <v>15</v>
      </c>
      <c r="O69" s="2237"/>
      <c r="P69" s="2237"/>
      <c r="Q69" s="2237"/>
      <c r="R69" s="2237"/>
      <c r="S69" s="2240"/>
      <c r="T69" s="2241"/>
      <c r="U69" s="2239"/>
      <c r="V69" s="2242"/>
      <c r="W69" s="2250"/>
      <c r="X69" s="2244"/>
      <c r="Y69" s="2244"/>
      <c r="Z69" s="2245"/>
      <c r="AA69" s="2246"/>
      <c r="AB69" s="2247"/>
      <c r="AC69" s="2248"/>
      <c r="AD69" s="2249"/>
      <c r="AE69" s="2249"/>
      <c r="AF69" s="2238"/>
      <c r="AG69" s="2264"/>
      <c r="AH69" s="918"/>
      <c r="AI69" s="2252" t="s">
        <v>15</v>
      </c>
      <c r="AJ69" s="2237"/>
      <c r="AK69" s="2237"/>
      <c r="AL69" s="2237"/>
      <c r="AM69" s="2237"/>
      <c r="AN69" s="2240"/>
      <c r="AO69" s="2241"/>
      <c r="AP69" s="2239"/>
      <c r="AQ69" s="2242"/>
      <c r="AR69" s="2250"/>
      <c r="AS69" s="2244"/>
      <c r="AT69" s="2244"/>
      <c r="AU69" s="2245"/>
      <c r="AV69" s="2246"/>
      <c r="AW69" s="2247"/>
      <c r="AX69" s="2248"/>
      <c r="AY69" s="2249"/>
      <c r="AZ69" s="2249"/>
      <c r="BA69" s="2238"/>
      <c r="BB69" s="2264"/>
      <c r="BC69" s="918"/>
      <c r="BD69" s="2252" t="s">
        <v>15</v>
      </c>
      <c r="BE69" s="2237"/>
      <c r="BF69" s="2237"/>
      <c r="BG69" s="2237"/>
      <c r="BH69" s="2237"/>
      <c r="BI69" s="2240"/>
      <c r="BJ69" s="2241"/>
      <c r="BK69" s="2239"/>
      <c r="BL69" s="2242"/>
      <c r="BM69" s="2250"/>
      <c r="BN69" s="2244"/>
      <c r="BO69" s="2244"/>
      <c r="BP69" s="2245"/>
      <c r="BQ69" s="2246"/>
      <c r="BR69" s="2247"/>
      <c r="BS69" s="2248"/>
      <c r="BT69" s="2249"/>
      <c r="BU69" s="2249"/>
      <c r="BV69" s="2238"/>
      <c r="BW69" s="2264"/>
      <c r="BY69" s="3">
        <v>1</v>
      </c>
    </row>
    <row r="70" spans="2:77" ht="21" customHeight="1">
      <c r="B70" s="2265" t="str" cm="1">
        <f t="array" ref="B70">SUMPRODUCT(--(D70:J70&lt;&gt;""), LEN(TRIM(SUBSTITUTE(D70:J70, CHAR(160), "")))) &amp; " Car."</f>
        <v>0 Car.</v>
      </c>
      <c r="C70" s="1376" t="str">
        <f>IF(ISBLANK(D70),"",LARGE(C13:C69,1)+1)</f>
        <v/>
      </c>
      <c r="D70" s="1833"/>
      <c r="E70" s="1810"/>
      <c r="F70" s="1810"/>
      <c r="G70" s="1810"/>
      <c r="H70" s="1810"/>
      <c r="I70" s="1810"/>
      <c r="J70" s="1810"/>
      <c r="K70" s="1810"/>
      <c r="L70" s="1811"/>
      <c r="M70" s="9"/>
      <c r="N70" s="2252" t="s">
        <v>15</v>
      </c>
      <c r="O70" s="2237"/>
      <c r="P70" s="2237"/>
      <c r="Q70" s="2237"/>
      <c r="R70" s="2237"/>
      <c r="S70" s="2240"/>
      <c r="T70" s="2241"/>
      <c r="U70" s="2239"/>
      <c r="V70" s="2242"/>
      <c r="W70" s="2250"/>
      <c r="X70" s="2244"/>
      <c r="Y70" s="2244"/>
      <c r="Z70" s="2245"/>
      <c r="AA70" s="2246"/>
      <c r="AB70" s="2247"/>
      <c r="AC70" s="2248"/>
      <c r="AD70" s="2249"/>
      <c r="AE70" s="2249"/>
      <c r="AF70" s="2238"/>
      <c r="AG70" s="2264"/>
      <c r="AH70" s="918"/>
      <c r="AI70" s="2252" t="s">
        <v>15</v>
      </c>
      <c r="AJ70" s="2237"/>
      <c r="AK70" s="2237"/>
      <c r="AL70" s="2237"/>
      <c r="AM70" s="2237"/>
      <c r="AN70" s="2240"/>
      <c r="AO70" s="2241"/>
      <c r="AP70" s="2239"/>
      <c r="AQ70" s="2242"/>
      <c r="AR70" s="2250"/>
      <c r="AS70" s="2244"/>
      <c r="AT70" s="2244"/>
      <c r="AU70" s="2245"/>
      <c r="AV70" s="2246"/>
      <c r="AW70" s="2247"/>
      <c r="AX70" s="2248"/>
      <c r="AY70" s="2249"/>
      <c r="AZ70" s="2249"/>
      <c r="BA70" s="2238"/>
      <c r="BB70" s="2264"/>
      <c r="BC70" s="918"/>
      <c r="BD70" s="2252" t="s">
        <v>15</v>
      </c>
      <c r="BE70" s="2237"/>
      <c r="BF70" s="2237"/>
      <c r="BG70" s="2237"/>
      <c r="BH70" s="2237"/>
      <c r="BI70" s="2240"/>
      <c r="BJ70" s="2241"/>
      <c r="BK70" s="2239"/>
      <c r="BL70" s="2242"/>
      <c r="BM70" s="2250"/>
      <c r="BN70" s="2244"/>
      <c r="BO70" s="2244"/>
      <c r="BP70" s="2245"/>
      <c r="BQ70" s="2246"/>
      <c r="BR70" s="2247"/>
      <c r="BS70" s="2248"/>
      <c r="BT70" s="2249"/>
      <c r="BU70" s="2249"/>
      <c r="BV70" s="2238"/>
      <c r="BW70" s="2264"/>
      <c r="BY70" s="3">
        <v>1</v>
      </c>
    </row>
    <row r="71" spans="2:77" ht="21" customHeight="1">
      <c r="B71" s="2265" t="str" cm="1">
        <f t="array" ref="B71">SUMPRODUCT(--(D71:J71&lt;&gt;""), LEN(TRIM(SUBSTITUTE(D71:J71, CHAR(160), "")))) &amp; " Car."</f>
        <v>0 Car.</v>
      </c>
      <c r="C71" s="1376" t="str">
        <f>IF(ISBLANK(D71),"",LARGE(C13:C70,1)+1)</f>
        <v/>
      </c>
      <c r="D71" s="1833"/>
      <c r="E71" s="1810"/>
      <c r="F71" s="1810"/>
      <c r="G71" s="1810"/>
      <c r="H71" s="1810"/>
      <c r="I71" s="1810"/>
      <c r="J71" s="1810"/>
      <c r="K71" s="1810"/>
      <c r="L71" s="1811"/>
      <c r="M71" s="9"/>
      <c r="N71" s="2252" t="s">
        <v>15</v>
      </c>
      <c r="O71" s="2237"/>
      <c r="P71" s="2237"/>
      <c r="Q71" s="2237"/>
      <c r="R71" s="2237"/>
      <c r="S71" s="2240"/>
      <c r="T71" s="2241"/>
      <c r="U71" s="2239"/>
      <c r="V71" s="2242"/>
      <c r="W71" s="2250"/>
      <c r="X71" s="2244"/>
      <c r="Y71" s="2244"/>
      <c r="Z71" s="2245"/>
      <c r="AA71" s="2246"/>
      <c r="AB71" s="2247"/>
      <c r="AC71" s="2248"/>
      <c r="AD71" s="2249"/>
      <c r="AE71" s="2249"/>
      <c r="AF71" s="2238"/>
      <c r="AG71" s="2264"/>
      <c r="AH71" s="918"/>
      <c r="AI71" s="2252" t="s">
        <v>15</v>
      </c>
      <c r="AJ71" s="2237"/>
      <c r="AK71" s="2237"/>
      <c r="AL71" s="2237"/>
      <c r="AM71" s="2237"/>
      <c r="AN71" s="2240"/>
      <c r="AO71" s="2241"/>
      <c r="AP71" s="2239"/>
      <c r="AQ71" s="2242"/>
      <c r="AR71" s="2250"/>
      <c r="AS71" s="2244"/>
      <c r="AT71" s="2244"/>
      <c r="AU71" s="2245"/>
      <c r="AV71" s="2246"/>
      <c r="AW71" s="2247"/>
      <c r="AX71" s="2248"/>
      <c r="AY71" s="2249"/>
      <c r="AZ71" s="2249"/>
      <c r="BA71" s="2238"/>
      <c r="BB71" s="2264"/>
      <c r="BC71" s="918"/>
      <c r="BD71" s="2252" t="s">
        <v>15</v>
      </c>
      <c r="BE71" s="2237"/>
      <c r="BF71" s="2237"/>
      <c r="BG71" s="2237"/>
      <c r="BH71" s="2237"/>
      <c r="BI71" s="2240"/>
      <c r="BJ71" s="2241"/>
      <c r="BK71" s="2239"/>
      <c r="BL71" s="2242"/>
      <c r="BM71" s="2250"/>
      <c r="BN71" s="2244"/>
      <c r="BO71" s="2244"/>
      <c r="BP71" s="2245"/>
      <c r="BQ71" s="2246"/>
      <c r="BR71" s="2247"/>
      <c r="BS71" s="2248"/>
      <c r="BT71" s="2249"/>
      <c r="BU71" s="2249"/>
      <c r="BV71" s="2238"/>
      <c r="BW71" s="2264"/>
      <c r="BY71" s="3">
        <v>1</v>
      </c>
    </row>
    <row r="72" spans="2:77" ht="21" customHeight="1">
      <c r="B72" s="2265" t="str" cm="1">
        <f t="array" ref="B72">SUMPRODUCT(--(D72:J72&lt;&gt;""), LEN(TRIM(SUBSTITUTE(D72:J72, CHAR(160), "")))) &amp; " Car."</f>
        <v>0 Car.</v>
      </c>
      <c r="C72" s="1376" t="str">
        <f>IF(ISBLANK(D72),"",LARGE(C13:C71,1)+1)</f>
        <v/>
      </c>
      <c r="D72" s="1833"/>
      <c r="E72" s="1810"/>
      <c r="F72" s="1810"/>
      <c r="G72" s="1810"/>
      <c r="H72" s="1810"/>
      <c r="I72" s="1810"/>
      <c r="J72" s="1810"/>
      <c r="K72" s="1810"/>
      <c r="L72" s="1811"/>
      <c r="M72" s="9"/>
      <c r="N72" s="2252" t="s">
        <v>15</v>
      </c>
      <c r="O72" s="2237"/>
      <c r="P72" s="2237"/>
      <c r="Q72" s="2237"/>
      <c r="R72" s="2237"/>
      <c r="S72" s="2240"/>
      <c r="T72" s="2241"/>
      <c r="U72" s="2239"/>
      <c r="V72" s="2242"/>
      <c r="W72" s="2250"/>
      <c r="X72" s="2244"/>
      <c r="Y72" s="2244"/>
      <c r="Z72" s="2245"/>
      <c r="AA72" s="2246"/>
      <c r="AB72" s="2247"/>
      <c r="AC72" s="2248"/>
      <c r="AD72" s="2249"/>
      <c r="AE72" s="2249"/>
      <c r="AF72" s="2238"/>
      <c r="AG72" s="2264"/>
      <c r="AH72" s="918"/>
      <c r="AI72" s="2252" t="s">
        <v>15</v>
      </c>
      <c r="AJ72" s="2237"/>
      <c r="AK72" s="2237"/>
      <c r="AL72" s="2237"/>
      <c r="AM72" s="2237"/>
      <c r="AN72" s="2240"/>
      <c r="AO72" s="2241"/>
      <c r="AP72" s="2239"/>
      <c r="AQ72" s="2242"/>
      <c r="AR72" s="2250"/>
      <c r="AS72" s="2244"/>
      <c r="AT72" s="2244"/>
      <c r="AU72" s="2245"/>
      <c r="AV72" s="2246"/>
      <c r="AW72" s="2247"/>
      <c r="AX72" s="2248"/>
      <c r="AY72" s="2249"/>
      <c r="AZ72" s="2249"/>
      <c r="BA72" s="2238"/>
      <c r="BB72" s="2264"/>
      <c r="BC72" s="918"/>
      <c r="BD72" s="2252" t="s">
        <v>15</v>
      </c>
      <c r="BE72" s="2237"/>
      <c r="BF72" s="2237"/>
      <c r="BG72" s="2237"/>
      <c r="BH72" s="2237"/>
      <c r="BI72" s="2240"/>
      <c r="BJ72" s="2241"/>
      <c r="BK72" s="2239"/>
      <c r="BL72" s="2242"/>
      <c r="BM72" s="2250"/>
      <c r="BN72" s="2244"/>
      <c r="BO72" s="2244"/>
      <c r="BP72" s="2245"/>
      <c r="BQ72" s="2246"/>
      <c r="BR72" s="2247"/>
      <c r="BS72" s="2248"/>
      <c r="BT72" s="2249"/>
      <c r="BU72" s="2249"/>
      <c r="BV72" s="2238"/>
      <c r="BW72" s="2264"/>
      <c r="BY72" s="3">
        <v>1</v>
      </c>
    </row>
    <row r="73" spans="2:77" ht="21" customHeight="1">
      <c r="B73" s="2265" t="str" cm="1">
        <f t="array" ref="B73">SUMPRODUCT(--(D73:J73&lt;&gt;""), LEN(TRIM(SUBSTITUTE(D73:J73, CHAR(160), "")))) &amp; " Car."</f>
        <v>0 Car.</v>
      </c>
      <c r="C73" s="1376" t="str">
        <f>IF(ISBLANK(D73),"",LARGE(C13:C72,1)+1)</f>
        <v/>
      </c>
      <c r="D73" s="1833"/>
      <c r="E73" s="1810"/>
      <c r="F73" s="1810"/>
      <c r="G73" s="1810"/>
      <c r="H73" s="1810"/>
      <c r="I73" s="1810"/>
      <c r="J73" s="1810"/>
      <c r="K73" s="1810"/>
      <c r="L73" s="1811"/>
      <c r="M73" s="9"/>
      <c r="N73" s="2252" t="s">
        <v>15</v>
      </c>
      <c r="O73" s="2237"/>
      <c r="P73" s="2237"/>
      <c r="Q73" s="2237"/>
      <c r="R73" s="2237"/>
      <c r="S73" s="2240"/>
      <c r="T73" s="2241"/>
      <c r="U73" s="2239"/>
      <c r="V73" s="2242"/>
      <c r="W73" s="2250"/>
      <c r="X73" s="2244"/>
      <c r="Y73" s="2244"/>
      <c r="Z73" s="2245"/>
      <c r="AA73" s="2246"/>
      <c r="AB73" s="2247"/>
      <c r="AC73" s="2248"/>
      <c r="AD73" s="2249"/>
      <c r="AE73" s="2249"/>
      <c r="AF73" s="2238"/>
      <c r="AG73" s="2264"/>
      <c r="AH73" s="918"/>
      <c r="AI73" s="2252" t="s">
        <v>15</v>
      </c>
      <c r="AJ73" s="2237"/>
      <c r="AK73" s="2237"/>
      <c r="AL73" s="2237"/>
      <c r="AM73" s="2237"/>
      <c r="AN73" s="2240"/>
      <c r="AO73" s="2241"/>
      <c r="AP73" s="2239"/>
      <c r="AQ73" s="2242"/>
      <c r="AR73" s="2250"/>
      <c r="AS73" s="2244"/>
      <c r="AT73" s="2244"/>
      <c r="AU73" s="2245"/>
      <c r="AV73" s="2246"/>
      <c r="AW73" s="2247"/>
      <c r="AX73" s="2248"/>
      <c r="AY73" s="2249"/>
      <c r="AZ73" s="2249"/>
      <c r="BA73" s="2238"/>
      <c r="BB73" s="2264"/>
      <c r="BC73" s="918"/>
      <c r="BD73" s="2252" t="s">
        <v>15</v>
      </c>
      <c r="BE73" s="2237"/>
      <c r="BF73" s="2237"/>
      <c r="BG73" s="2237"/>
      <c r="BH73" s="2237"/>
      <c r="BI73" s="2240"/>
      <c r="BJ73" s="2241"/>
      <c r="BK73" s="2239"/>
      <c r="BL73" s="2242"/>
      <c r="BM73" s="2250"/>
      <c r="BN73" s="2244"/>
      <c r="BO73" s="2244"/>
      <c r="BP73" s="2245"/>
      <c r="BQ73" s="2246"/>
      <c r="BR73" s="2247"/>
      <c r="BS73" s="2248"/>
      <c r="BT73" s="2249"/>
      <c r="BU73" s="2249"/>
      <c r="BV73" s="2238"/>
      <c r="BW73" s="2264"/>
      <c r="BY73" s="3">
        <v>1</v>
      </c>
    </row>
    <row r="74" spans="2:77" ht="21" customHeight="1">
      <c r="B74" s="2265" t="str" cm="1">
        <f t="array" ref="B74">SUMPRODUCT(--(D74:J74&lt;&gt;""), LEN(TRIM(SUBSTITUTE(D74:J74, CHAR(160), "")))) &amp; " Car."</f>
        <v>0 Car.</v>
      </c>
      <c r="C74" s="1376" t="str">
        <f>IF(ISBLANK(D74),"",LARGE(C13:C73,1)+1)</f>
        <v/>
      </c>
      <c r="D74" s="1833"/>
      <c r="E74" s="1810"/>
      <c r="F74" s="1810"/>
      <c r="G74" s="1810"/>
      <c r="H74" s="1810"/>
      <c r="I74" s="1810"/>
      <c r="J74" s="1810"/>
      <c r="K74" s="1810"/>
      <c r="L74" s="1811"/>
      <c r="M74" s="9"/>
      <c r="N74" s="2252" t="s">
        <v>15</v>
      </c>
      <c r="O74" s="2237"/>
      <c r="P74" s="2237"/>
      <c r="Q74" s="2237"/>
      <c r="R74" s="2237"/>
      <c r="S74" s="2240"/>
      <c r="T74" s="2241"/>
      <c r="U74" s="2239"/>
      <c r="V74" s="2242"/>
      <c r="W74" s="2250"/>
      <c r="X74" s="2244"/>
      <c r="Y74" s="2244"/>
      <c r="Z74" s="2245"/>
      <c r="AA74" s="2246"/>
      <c r="AB74" s="2247"/>
      <c r="AC74" s="2248"/>
      <c r="AD74" s="2249"/>
      <c r="AE74" s="2249"/>
      <c r="AF74" s="2238"/>
      <c r="AG74" s="2264"/>
      <c r="AH74" s="918"/>
      <c r="AI74" s="2252" t="s">
        <v>15</v>
      </c>
      <c r="AJ74" s="2237"/>
      <c r="AK74" s="2237"/>
      <c r="AL74" s="2237"/>
      <c r="AM74" s="2237"/>
      <c r="AN74" s="2240"/>
      <c r="AO74" s="2241"/>
      <c r="AP74" s="2239"/>
      <c r="AQ74" s="2242"/>
      <c r="AR74" s="2250"/>
      <c r="AS74" s="2244"/>
      <c r="AT74" s="2244"/>
      <c r="AU74" s="2245"/>
      <c r="AV74" s="2246"/>
      <c r="AW74" s="2247"/>
      <c r="AX74" s="2248"/>
      <c r="AY74" s="2249"/>
      <c r="AZ74" s="2249"/>
      <c r="BA74" s="2238"/>
      <c r="BB74" s="2264"/>
      <c r="BC74" s="918"/>
      <c r="BD74" s="2252" t="s">
        <v>15</v>
      </c>
      <c r="BE74" s="2237"/>
      <c r="BF74" s="2237"/>
      <c r="BG74" s="2237"/>
      <c r="BH74" s="2237"/>
      <c r="BI74" s="2240"/>
      <c r="BJ74" s="2241"/>
      <c r="BK74" s="2239"/>
      <c r="BL74" s="2242"/>
      <c r="BM74" s="2250"/>
      <c r="BN74" s="2244"/>
      <c r="BO74" s="2244"/>
      <c r="BP74" s="2245"/>
      <c r="BQ74" s="2246"/>
      <c r="BR74" s="2247"/>
      <c r="BS74" s="2248"/>
      <c r="BT74" s="2249"/>
      <c r="BU74" s="2249"/>
      <c r="BV74" s="2238"/>
      <c r="BW74" s="2264"/>
      <c r="BY74" s="3">
        <v>1</v>
      </c>
    </row>
    <row r="75" spans="2:77" ht="21" customHeight="1">
      <c r="B75" s="2265" t="str" cm="1">
        <f t="array" ref="B75">SUMPRODUCT(--(D75:J75&lt;&gt;""), LEN(TRIM(SUBSTITUTE(D75:J75, CHAR(160), "")))) &amp; " Car."</f>
        <v>0 Car.</v>
      </c>
      <c r="C75" s="1376" t="str">
        <f>IF(ISBLANK(D75),"",LARGE(C13:C74,1)+1)</f>
        <v/>
      </c>
      <c r="D75" s="1833"/>
      <c r="E75" s="1810"/>
      <c r="F75" s="1810"/>
      <c r="G75" s="1810"/>
      <c r="H75" s="1810"/>
      <c r="I75" s="1810"/>
      <c r="J75" s="1810"/>
      <c r="K75" s="1810"/>
      <c r="L75" s="1811"/>
      <c r="M75" s="9"/>
      <c r="N75" s="2252" t="s">
        <v>15</v>
      </c>
      <c r="O75" s="2237"/>
      <c r="P75" s="2237"/>
      <c r="Q75" s="2237"/>
      <c r="R75" s="2237"/>
      <c r="S75" s="2240"/>
      <c r="T75" s="2241"/>
      <c r="U75" s="2239"/>
      <c r="V75" s="2242"/>
      <c r="W75" s="2250"/>
      <c r="X75" s="2244"/>
      <c r="Y75" s="2244"/>
      <c r="Z75" s="2245"/>
      <c r="AA75" s="2246"/>
      <c r="AB75" s="2247"/>
      <c r="AC75" s="2248"/>
      <c r="AD75" s="2249"/>
      <c r="AE75" s="2249"/>
      <c r="AF75" s="2238"/>
      <c r="AG75" s="2264"/>
      <c r="AH75" s="918"/>
      <c r="AI75" s="2252" t="s">
        <v>15</v>
      </c>
      <c r="AJ75" s="2237"/>
      <c r="AK75" s="2237"/>
      <c r="AL75" s="2237"/>
      <c r="AM75" s="2237"/>
      <c r="AN75" s="2240"/>
      <c r="AO75" s="2241"/>
      <c r="AP75" s="2239"/>
      <c r="AQ75" s="2242"/>
      <c r="AR75" s="2250"/>
      <c r="AS75" s="2244"/>
      <c r="AT75" s="2244"/>
      <c r="AU75" s="2245"/>
      <c r="AV75" s="2246"/>
      <c r="AW75" s="2247"/>
      <c r="AX75" s="2248"/>
      <c r="AY75" s="2249"/>
      <c r="AZ75" s="2249"/>
      <c r="BA75" s="2238"/>
      <c r="BB75" s="2264"/>
      <c r="BC75" s="918"/>
      <c r="BD75" s="2252" t="s">
        <v>15</v>
      </c>
      <c r="BE75" s="2237"/>
      <c r="BF75" s="2237"/>
      <c r="BG75" s="2237"/>
      <c r="BH75" s="2237"/>
      <c r="BI75" s="2240"/>
      <c r="BJ75" s="2241"/>
      <c r="BK75" s="2239"/>
      <c r="BL75" s="2242"/>
      <c r="BM75" s="2250"/>
      <c r="BN75" s="2244"/>
      <c r="BO75" s="2244"/>
      <c r="BP75" s="2245"/>
      <c r="BQ75" s="2246"/>
      <c r="BR75" s="2247"/>
      <c r="BS75" s="2248"/>
      <c r="BT75" s="2249"/>
      <c r="BU75" s="2249"/>
      <c r="BV75" s="2238"/>
      <c r="BW75" s="2264"/>
      <c r="BY75" s="3">
        <v>1</v>
      </c>
    </row>
    <row r="76" spans="2:77" ht="21" customHeight="1">
      <c r="B76" s="2265" t="str" cm="1">
        <f t="array" ref="B76">SUMPRODUCT(--(D76:J76&lt;&gt;""), LEN(TRIM(SUBSTITUTE(D76:J76, CHAR(160), "")))) &amp; " Car."</f>
        <v>0 Car.</v>
      </c>
      <c r="C76" s="1376" t="str">
        <f>IF(ISBLANK(D76),"",LARGE(C13:C75,1)+1)</f>
        <v/>
      </c>
      <c r="D76" s="1833"/>
      <c r="E76" s="1810"/>
      <c r="F76" s="1810"/>
      <c r="G76" s="1810"/>
      <c r="H76" s="1810"/>
      <c r="I76" s="1810"/>
      <c r="J76" s="1810"/>
      <c r="K76" s="1810"/>
      <c r="L76" s="1811"/>
      <c r="M76" s="9"/>
      <c r="N76" s="2252" t="s">
        <v>15</v>
      </c>
      <c r="O76" s="2237"/>
      <c r="P76" s="2237"/>
      <c r="Q76" s="2237"/>
      <c r="R76" s="2237"/>
      <c r="S76" s="2240"/>
      <c r="T76" s="2241"/>
      <c r="U76" s="2239"/>
      <c r="V76" s="2242"/>
      <c r="W76" s="2250"/>
      <c r="X76" s="2244"/>
      <c r="Y76" s="2244"/>
      <c r="Z76" s="2245"/>
      <c r="AA76" s="2246"/>
      <c r="AB76" s="2247"/>
      <c r="AC76" s="2248"/>
      <c r="AD76" s="2249"/>
      <c r="AE76" s="2249"/>
      <c r="AF76" s="2238"/>
      <c r="AG76" s="2264"/>
      <c r="AH76" s="918"/>
      <c r="AI76" s="2252" t="s">
        <v>15</v>
      </c>
      <c r="AJ76" s="2237"/>
      <c r="AK76" s="2237"/>
      <c r="AL76" s="2237"/>
      <c r="AM76" s="2237"/>
      <c r="AN76" s="2240"/>
      <c r="AO76" s="2241"/>
      <c r="AP76" s="2239"/>
      <c r="AQ76" s="2242"/>
      <c r="AR76" s="2250"/>
      <c r="AS76" s="2244"/>
      <c r="AT76" s="2244"/>
      <c r="AU76" s="2245"/>
      <c r="AV76" s="2246"/>
      <c r="AW76" s="2247"/>
      <c r="AX76" s="2248"/>
      <c r="AY76" s="2249"/>
      <c r="AZ76" s="2249"/>
      <c r="BA76" s="2238"/>
      <c r="BB76" s="2264"/>
      <c r="BC76" s="918"/>
      <c r="BD76" s="2252" t="s">
        <v>15</v>
      </c>
      <c r="BE76" s="2237"/>
      <c r="BF76" s="2237"/>
      <c r="BG76" s="2237"/>
      <c r="BH76" s="2237"/>
      <c r="BI76" s="2240"/>
      <c r="BJ76" s="2241"/>
      <c r="BK76" s="2239"/>
      <c r="BL76" s="2242"/>
      <c r="BM76" s="2250"/>
      <c r="BN76" s="2244"/>
      <c r="BO76" s="2244"/>
      <c r="BP76" s="2245"/>
      <c r="BQ76" s="2246"/>
      <c r="BR76" s="2247"/>
      <c r="BS76" s="2248"/>
      <c r="BT76" s="2249"/>
      <c r="BU76" s="2249"/>
      <c r="BV76" s="2238"/>
      <c r="BW76" s="2264"/>
      <c r="BY76" s="3">
        <v>1</v>
      </c>
    </row>
    <row r="77" spans="2:77" ht="21" customHeight="1">
      <c r="B77" s="2265" t="str" cm="1">
        <f t="array" ref="B77">SUMPRODUCT(--(D77:J77&lt;&gt;""), LEN(TRIM(SUBSTITUTE(D77:J77, CHAR(160), "")))) &amp; " Car."</f>
        <v>0 Car.</v>
      </c>
      <c r="C77" s="1376" t="str">
        <f>IF(ISBLANK(D77),"",LARGE(C13:C76,1)+1)</f>
        <v/>
      </c>
      <c r="D77" s="1833"/>
      <c r="E77" s="1810"/>
      <c r="F77" s="1810"/>
      <c r="G77" s="1810"/>
      <c r="H77" s="1810"/>
      <c r="I77" s="1810"/>
      <c r="J77" s="1810"/>
      <c r="K77" s="1810"/>
      <c r="L77" s="1811"/>
      <c r="M77" s="9"/>
      <c r="N77" s="2252" t="s">
        <v>15</v>
      </c>
      <c r="O77" s="2237"/>
      <c r="P77" s="2237"/>
      <c r="Q77" s="2237"/>
      <c r="R77" s="2237"/>
      <c r="S77" s="2240"/>
      <c r="T77" s="2241"/>
      <c r="U77" s="2239"/>
      <c r="V77" s="2242"/>
      <c r="W77" s="2250"/>
      <c r="X77" s="2244"/>
      <c r="Y77" s="2244"/>
      <c r="Z77" s="2245"/>
      <c r="AA77" s="2246"/>
      <c r="AB77" s="2247"/>
      <c r="AC77" s="2248"/>
      <c r="AD77" s="2249"/>
      <c r="AE77" s="2249"/>
      <c r="AF77" s="2238"/>
      <c r="AG77" s="2264"/>
      <c r="AH77" s="918"/>
      <c r="AI77" s="2252" t="s">
        <v>15</v>
      </c>
      <c r="AJ77" s="2237"/>
      <c r="AK77" s="2237"/>
      <c r="AL77" s="2237"/>
      <c r="AM77" s="2237"/>
      <c r="AN77" s="2240"/>
      <c r="AO77" s="2241"/>
      <c r="AP77" s="2239"/>
      <c r="AQ77" s="2242"/>
      <c r="AR77" s="2250"/>
      <c r="AS77" s="2244"/>
      <c r="AT77" s="2244"/>
      <c r="AU77" s="2245"/>
      <c r="AV77" s="2246"/>
      <c r="AW77" s="2247"/>
      <c r="AX77" s="2248"/>
      <c r="AY77" s="2249"/>
      <c r="AZ77" s="2249"/>
      <c r="BA77" s="2238"/>
      <c r="BB77" s="2264"/>
      <c r="BC77" s="918"/>
      <c r="BD77" s="2252" t="s">
        <v>15</v>
      </c>
      <c r="BE77" s="2237"/>
      <c r="BF77" s="2237"/>
      <c r="BG77" s="2237"/>
      <c r="BH77" s="2237"/>
      <c r="BI77" s="2240"/>
      <c r="BJ77" s="2241"/>
      <c r="BK77" s="2239"/>
      <c r="BL77" s="2242"/>
      <c r="BM77" s="2250"/>
      <c r="BN77" s="2244"/>
      <c r="BO77" s="2244"/>
      <c r="BP77" s="2245"/>
      <c r="BQ77" s="2246"/>
      <c r="BR77" s="2247"/>
      <c r="BS77" s="2248"/>
      <c r="BT77" s="2249"/>
      <c r="BU77" s="2249"/>
      <c r="BV77" s="2238"/>
      <c r="BW77" s="2264"/>
      <c r="BY77" s="3">
        <v>1</v>
      </c>
    </row>
    <row r="78" spans="2:77" ht="21" customHeight="1">
      <c r="B78" s="2265" t="str" cm="1">
        <f t="array" ref="B78">SUMPRODUCT(--(D78:J78&lt;&gt;""), LEN(TRIM(SUBSTITUTE(D78:J78, CHAR(160), "")))) &amp; " Car."</f>
        <v>0 Car.</v>
      </c>
      <c r="C78" s="1376" t="str">
        <f>IF(ISBLANK(D78),"",LARGE(C13:C77,1)+1)</f>
        <v/>
      </c>
      <c r="D78" s="1833"/>
      <c r="E78" s="1810"/>
      <c r="F78" s="1810"/>
      <c r="G78" s="1810"/>
      <c r="H78" s="1810"/>
      <c r="I78" s="1810"/>
      <c r="J78" s="1810"/>
      <c r="K78" s="1810"/>
      <c r="L78" s="1811"/>
      <c r="M78" s="9"/>
      <c r="N78" s="2252" t="s">
        <v>15</v>
      </c>
      <c r="O78" s="2237"/>
      <c r="P78" s="2237"/>
      <c r="Q78" s="2237"/>
      <c r="R78" s="2237"/>
      <c r="S78" s="2240"/>
      <c r="T78" s="2241"/>
      <c r="U78" s="2239"/>
      <c r="V78" s="2242"/>
      <c r="W78" s="2250"/>
      <c r="X78" s="2244"/>
      <c r="Y78" s="2244"/>
      <c r="Z78" s="2245"/>
      <c r="AA78" s="2246"/>
      <c r="AB78" s="2247"/>
      <c r="AC78" s="2248"/>
      <c r="AD78" s="2249"/>
      <c r="AE78" s="2249"/>
      <c r="AF78" s="2238"/>
      <c r="AG78" s="2264"/>
      <c r="AH78" s="918"/>
      <c r="AI78" s="2252" t="s">
        <v>15</v>
      </c>
      <c r="AJ78" s="2237"/>
      <c r="AK78" s="2237"/>
      <c r="AL78" s="2237"/>
      <c r="AM78" s="2237"/>
      <c r="AN78" s="2240"/>
      <c r="AO78" s="2241"/>
      <c r="AP78" s="2239"/>
      <c r="AQ78" s="2242"/>
      <c r="AR78" s="2250"/>
      <c r="AS78" s="2244"/>
      <c r="AT78" s="2244"/>
      <c r="AU78" s="2245"/>
      <c r="AV78" s="2246"/>
      <c r="AW78" s="2247"/>
      <c r="AX78" s="2248"/>
      <c r="AY78" s="2249"/>
      <c r="AZ78" s="2249"/>
      <c r="BA78" s="2238"/>
      <c r="BB78" s="2264"/>
      <c r="BC78" s="918"/>
      <c r="BD78" s="2252" t="s">
        <v>15</v>
      </c>
      <c r="BE78" s="2237"/>
      <c r="BF78" s="2237"/>
      <c r="BG78" s="2237"/>
      <c r="BH78" s="2237"/>
      <c r="BI78" s="2240"/>
      <c r="BJ78" s="2241"/>
      <c r="BK78" s="2239"/>
      <c r="BL78" s="2242"/>
      <c r="BM78" s="2250"/>
      <c r="BN78" s="2244"/>
      <c r="BO78" s="2244"/>
      <c r="BP78" s="2245"/>
      <c r="BQ78" s="2246"/>
      <c r="BR78" s="2247"/>
      <c r="BS78" s="2248"/>
      <c r="BT78" s="2249"/>
      <c r="BU78" s="2249"/>
      <c r="BV78" s="2238"/>
      <c r="BW78" s="2264"/>
      <c r="BY78" s="3">
        <v>1</v>
      </c>
    </row>
    <row r="79" spans="2:77" ht="21" customHeight="1">
      <c r="B79" s="2265" t="str" cm="1">
        <f t="array" ref="B79">SUMPRODUCT(--(D79:J79&lt;&gt;""), LEN(TRIM(SUBSTITUTE(D79:J79, CHAR(160), "")))) &amp; " Car."</f>
        <v>0 Car.</v>
      </c>
      <c r="C79" s="1376" t="str">
        <f>IF(ISBLANK(D79),"",LARGE(C13:C78,1)+1)</f>
        <v/>
      </c>
      <c r="D79" s="1833"/>
      <c r="E79" s="1810"/>
      <c r="F79" s="1810"/>
      <c r="G79" s="1810"/>
      <c r="H79" s="1810"/>
      <c r="I79" s="1810"/>
      <c r="J79" s="1810"/>
      <c r="K79" s="1810"/>
      <c r="L79" s="1811"/>
      <c r="M79" s="9"/>
      <c r="N79" s="2252" t="s">
        <v>15</v>
      </c>
      <c r="O79" s="2237"/>
      <c r="P79" s="2237"/>
      <c r="Q79" s="2237"/>
      <c r="R79" s="2237"/>
      <c r="S79" s="2240"/>
      <c r="T79" s="2241"/>
      <c r="U79" s="2239"/>
      <c r="V79" s="2242"/>
      <c r="W79" s="2250"/>
      <c r="X79" s="2244"/>
      <c r="Y79" s="2244"/>
      <c r="Z79" s="2245"/>
      <c r="AA79" s="2246"/>
      <c r="AB79" s="2247"/>
      <c r="AC79" s="2248"/>
      <c r="AD79" s="2249"/>
      <c r="AE79" s="2249"/>
      <c r="AF79" s="2238"/>
      <c r="AG79" s="2264"/>
      <c r="AH79" s="918"/>
      <c r="AI79" s="2252" t="s">
        <v>15</v>
      </c>
      <c r="AJ79" s="2237"/>
      <c r="AK79" s="2237"/>
      <c r="AL79" s="2237"/>
      <c r="AM79" s="2237"/>
      <c r="AN79" s="2240"/>
      <c r="AO79" s="2241"/>
      <c r="AP79" s="2239"/>
      <c r="AQ79" s="2242"/>
      <c r="AR79" s="2250"/>
      <c r="AS79" s="2244"/>
      <c r="AT79" s="2244"/>
      <c r="AU79" s="2245"/>
      <c r="AV79" s="2246"/>
      <c r="AW79" s="2247"/>
      <c r="AX79" s="2248"/>
      <c r="AY79" s="2249"/>
      <c r="AZ79" s="2249"/>
      <c r="BA79" s="2238"/>
      <c r="BB79" s="2264"/>
      <c r="BC79" s="918"/>
      <c r="BD79" s="2252" t="s">
        <v>15</v>
      </c>
      <c r="BE79" s="2237"/>
      <c r="BF79" s="2237"/>
      <c r="BG79" s="2237"/>
      <c r="BH79" s="2237"/>
      <c r="BI79" s="2240"/>
      <c r="BJ79" s="2241"/>
      <c r="BK79" s="2239"/>
      <c r="BL79" s="2242"/>
      <c r="BM79" s="2250"/>
      <c r="BN79" s="2244"/>
      <c r="BO79" s="2244"/>
      <c r="BP79" s="2245"/>
      <c r="BQ79" s="2246"/>
      <c r="BR79" s="2247"/>
      <c r="BS79" s="2248"/>
      <c r="BT79" s="2249"/>
      <c r="BU79" s="2249"/>
      <c r="BV79" s="2238"/>
      <c r="BW79" s="2264"/>
      <c r="BY79" s="3">
        <v>1</v>
      </c>
    </row>
    <row r="80" spans="2:77" ht="21" customHeight="1">
      <c r="B80" s="2265" t="str" cm="1">
        <f t="array" ref="B80">SUMPRODUCT(--(D80:J80&lt;&gt;""), LEN(TRIM(SUBSTITUTE(D80:J80, CHAR(160), "")))) &amp; " Car."</f>
        <v>0 Car.</v>
      </c>
      <c r="C80" s="1376" t="str">
        <f>IF(ISBLANK(D80),"",LARGE(C13:C79,1)+1)</f>
        <v/>
      </c>
      <c r="D80" s="1833"/>
      <c r="E80" s="1810"/>
      <c r="F80" s="1810"/>
      <c r="G80" s="1810"/>
      <c r="H80" s="1810"/>
      <c r="I80" s="1810"/>
      <c r="J80" s="1810"/>
      <c r="K80" s="1810"/>
      <c r="L80" s="1811"/>
      <c r="M80" s="9"/>
      <c r="N80" s="2252" t="s">
        <v>15</v>
      </c>
      <c r="O80" s="2237"/>
      <c r="P80" s="2237"/>
      <c r="Q80" s="2237"/>
      <c r="R80" s="2237"/>
      <c r="S80" s="2240"/>
      <c r="T80" s="2241"/>
      <c r="U80" s="2239"/>
      <c r="V80" s="2242"/>
      <c r="W80" s="2250"/>
      <c r="X80" s="2244"/>
      <c r="Y80" s="2244"/>
      <c r="Z80" s="2245"/>
      <c r="AA80" s="2246"/>
      <c r="AB80" s="2247"/>
      <c r="AC80" s="2248"/>
      <c r="AD80" s="2249"/>
      <c r="AE80" s="2249"/>
      <c r="AF80" s="2238"/>
      <c r="AG80" s="2264"/>
      <c r="AH80" s="918"/>
      <c r="AI80" s="2252" t="s">
        <v>15</v>
      </c>
      <c r="AJ80" s="2237"/>
      <c r="AK80" s="2237"/>
      <c r="AL80" s="2237"/>
      <c r="AM80" s="2237"/>
      <c r="AN80" s="2240"/>
      <c r="AO80" s="2241"/>
      <c r="AP80" s="2239"/>
      <c r="AQ80" s="2242"/>
      <c r="AR80" s="2250"/>
      <c r="AS80" s="2244"/>
      <c r="AT80" s="2244"/>
      <c r="AU80" s="2245"/>
      <c r="AV80" s="2246"/>
      <c r="AW80" s="2247"/>
      <c r="AX80" s="2248"/>
      <c r="AY80" s="2249"/>
      <c r="AZ80" s="2249"/>
      <c r="BA80" s="2238"/>
      <c r="BB80" s="2264"/>
      <c r="BC80" s="918"/>
      <c r="BD80" s="2252" t="s">
        <v>15</v>
      </c>
      <c r="BE80" s="2237"/>
      <c r="BF80" s="2237"/>
      <c r="BG80" s="2237"/>
      <c r="BH80" s="2237"/>
      <c r="BI80" s="2240"/>
      <c r="BJ80" s="2241"/>
      <c r="BK80" s="2239"/>
      <c r="BL80" s="2242"/>
      <c r="BM80" s="2250"/>
      <c r="BN80" s="2244"/>
      <c r="BO80" s="2244"/>
      <c r="BP80" s="2245"/>
      <c r="BQ80" s="2246"/>
      <c r="BR80" s="2247"/>
      <c r="BS80" s="2248"/>
      <c r="BT80" s="2249"/>
      <c r="BU80" s="2249"/>
      <c r="BV80" s="2238"/>
      <c r="BW80" s="2264"/>
      <c r="BY80" s="3">
        <v>1</v>
      </c>
    </row>
    <row r="81" spans="2:77" ht="21" customHeight="1">
      <c r="B81" s="2265" t="str" cm="1">
        <f t="array" ref="B81">SUMPRODUCT(--(D81:J81&lt;&gt;""), LEN(TRIM(SUBSTITUTE(D81:J81, CHAR(160), "")))) &amp; " Car."</f>
        <v>0 Car.</v>
      </c>
      <c r="C81" s="1376" t="str">
        <f>IF(ISBLANK(D81),"",LARGE(C13:C80,1)+1)</f>
        <v/>
      </c>
      <c r="D81" s="1833"/>
      <c r="E81" s="1810"/>
      <c r="F81" s="1810"/>
      <c r="G81" s="1810"/>
      <c r="H81" s="1810"/>
      <c r="I81" s="1810"/>
      <c r="J81" s="1810"/>
      <c r="K81" s="1810"/>
      <c r="L81" s="1811"/>
      <c r="M81" s="9"/>
      <c r="N81" s="2252" t="s">
        <v>15</v>
      </c>
      <c r="O81" s="2237"/>
      <c r="P81" s="2237"/>
      <c r="Q81" s="2237"/>
      <c r="R81" s="2237"/>
      <c r="S81" s="2240"/>
      <c r="T81" s="2241"/>
      <c r="U81" s="2239"/>
      <c r="V81" s="2242"/>
      <c r="W81" s="2250"/>
      <c r="X81" s="2244"/>
      <c r="Y81" s="2244"/>
      <c r="Z81" s="2245"/>
      <c r="AA81" s="2246"/>
      <c r="AB81" s="2247"/>
      <c r="AC81" s="2248"/>
      <c r="AD81" s="2249"/>
      <c r="AE81" s="2249"/>
      <c r="AF81" s="2238"/>
      <c r="AG81" s="2264"/>
      <c r="AH81" s="918"/>
      <c r="AI81" s="2252" t="s">
        <v>15</v>
      </c>
      <c r="AJ81" s="2237"/>
      <c r="AK81" s="2237"/>
      <c r="AL81" s="2237"/>
      <c r="AM81" s="2237"/>
      <c r="AN81" s="2240"/>
      <c r="AO81" s="2241"/>
      <c r="AP81" s="2239"/>
      <c r="AQ81" s="2242"/>
      <c r="AR81" s="2250"/>
      <c r="AS81" s="2244"/>
      <c r="AT81" s="2244"/>
      <c r="AU81" s="2245"/>
      <c r="AV81" s="2246"/>
      <c r="AW81" s="2247"/>
      <c r="AX81" s="2248"/>
      <c r="AY81" s="2249"/>
      <c r="AZ81" s="2249"/>
      <c r="BA81" s="2238"/>
      <c r="BB81" s="2264"/>
      <c r="BC81" s="918"/>
      <c r="BD81" s="2252" t="s">
        <v>15</v>
      </c>
      <c r="BE81" s="2237"/>
      <c r="BF81" s="2237"/>
      <c r="BG81" s="2237"/>
      <c r="BH81" s="2237"/>
      <c r="BI81" s="2240"/>
      <c r="BJ81" s="2241"/>
      <c r="BK81" s="2239"/>
      <c r="BL81" s="2242"/>
      <c r="BM81" s="2250"/>
      <c r="BN81" s="2244"/>
      <c r="BO81" s="2244"/>
      <c r="BP81" s="2245"/>
      <c r="BQ81" s="2246"/>
      <c r="BR81" s="2247"/>
      <c r="BS81" s="2248"/>
      <c r="BT81" s="2249"/>
      <c r="BU81" s="2249"/>
      <c r="BV81" s="2238"/>
      <c r="BW81" s="2264"/>
      <c r="BY81" s="3">
        <v>1</v>
      </c>
    </row>
    <row r="82" spans="2:77" ht="21" customHeight="1">
      <c r="B82" s="2265" t="str" cm="1">
        <f t="array" ref="B82">SUMPRODUCT(--(D82:J82&lt;&gt;""), LEN(TRIM(SUBSTITUTE(D82:J82, CHAR(160), "")))) &amp; " Car."</f>
        <v>0 Car.</v>
      </c>
      <c r="C82" s="1376" t="str">
        <f>IF(ISBLANK(D82),"",LARGE(C13:C81,1)+1)</f>
        <v/>
      </c>
      <c r="D82" s="1833"/>
      <c r="E82" s="1810"/>
      <c r="F82" s="1810"/>
      <c r="G82" s="1810"/>
      <c r="H82" s="1810"/>
      <c r="I82" s="1810"/>
      <c r="J82" s="1810"/>
      <c r="K82" s="1810"/>
      <c r="L82" s="1811"/>
      <c r="M82" s="9"/>
      <c r="N82" s="2252" t="s">
        <v>15</v>
      </c>
      <c r="O82" s="2237"/>
      <c r="P82" s="2237"/>
      <c r="Q82" s="2237"/>
      <c r="R82" s="2237"/>
      <c r="S82" s="2240"/>
      <c r="T82" s="2241"/>
      <c r="U82" s="2239"/>
      <c r="V82" s="2242"/>
      <c r="W82" s="2250"/>
      <c r="X82" s="2244"/>
      <c r="Y82" s="2244"/>
      <c r="Z82" s="2245"/>
      <c r="AA82" s="2246"/>
      <c r="AB82" s="2247"/>
      <c r="AC82" s="2248"/>
      <c r="AD82" s="2249"/>
      <c r="AE82" s="2249"/>
      <c r="AF82" s="2238"/>
      <c r="AG82" s="2264"/>
      <c r="AH82" s="918"/>
      <c r="AI82" s="2252" t="s">
        <v>15</v>
      </c>
      <c r="AJ82" s="2237"/>
      <c r="AK82" s="2237"/>
      <c r="AL82" s="2237"/>
      <c r="AM82" s="2237"/>
      <c r="AN82" s="2240"/>
      <c r="AO82" s="2241"/>
      <c r="AP82" s="2239"/>
      <c r="AQ82" s="2242"/>
      <c r="AR82" s="2250"/>
      <c r="AS82" s="2244"/>
      <c r="AT82" s="2244"/>
      <c r="AU82" s="2245"/>
      <c r="AV82" s="2246"/>
      <c r="AW82" s="2247"/>
      <c r="AX82" s="2248"/>
      <c r="AY82" s="2249"/>
      <c r="AZ82" s="2249"/>
      <c r="BA82" s="2238"/>
      <c r="BB82" s="2264"/>
      <c r="BC82" s="918"/>
      <c r="BD82" s="2252" t="s">
        <v>15</v>
      </c>
      <c r="BE82" s="2237"/>
      <c r="BF82" s="2237"/>
      <c r="BG82" s="2237"/>
      <c r="BH82" s="2237"/>
      <c r="BI82" s="2240"/>
      <c r="BJ82" s="2241"/>
      <c r="BK82" s="2239"/>
      <c r="BL82" s="2242"/>
      <c r="BM82" s="2250"/>
      <c r="BN82" s="2244"/>
      <c r="BO82" s="2244"/>
      <c r="BP82" s="2245"/>
      <c r="BQ82" s="2246"/>
      <c r="BR82" s="2247"/>
      <c r="BS82" s="2248"/>
      <c r="BT82" s="2249"/>
      <c r="BU82" s="2249"/>
      <c r="BV82" s="2238"/>
      <c r="BW82" s="2264"/>
      <c r="BY82" s="3">
        <v>1</v>
      </c>
    </row>
    <row r="83" spans="2:77" ht="21" customHeight="1">
      <c r="B83" s="2265" t="str" cm="1">
        <f t="array" ref="B83">SUMPRODUCT(--(D83:J83&lt;&gt;""), LEN(TRIM(SUBSTITUTE(D83:J83, CHAR(160), "")))) &amp; " Car."</f>
        <v>0 Car.</v>
      </c>
      <c r="C83" s="1376" t="str">
        <f>IF(ISBLANK(D83),"",LARGE(C13:C82,1)+1)</f>
        <v/>
      </c>
      <c r="D83" s="1833"/>
      <c r="E83" s="1810"/>
      <c r="F83" s="1810"/>
      <c r="G83" s="1810"/>
      <c r="H83" s="1810"/>
      <c r="I83" s="1810"/>
      <c r="J83" s="1810"/>
      <c r="K83" s="1810"/>
      <c r="L83" s="1811"/>
      <c r="M83" s="9"/>
      <c r="N83" s="2252" t="s">
        <v>15</v>
      </c>
      <c r="O83" s="2237"/>
      <c r="P83" s="2237"/>
      <c r="Q83" s="2237"/>
      <c r="R83" s="2237"/>
      <c r="S83" s="2240"/>
      <c r="T83" s="2241"/>
      <c r="U83" s="2239"/>
      <c r="V83" s="2242"/>
      <c r="W83" s="2250"/>
      <c r="X83" s="2244"/>
      <c r="Y83" s="2244"/>
      <c r="Z83" s="2245"/>
      <c r="AA83" s="2246"/>
      <c r="AB83" s="2247"/>
      <c r="AC83" s="2248"/>
      <c r="AD83" s="2249"/>
      <c r="AE83" s="2249"/>
      <c r="AF83" s="2238"/>
      <c r="AG83" s="2264"/>
      <c r="AH83" s="918"/>
      <c r="AI83" s="2252" t="s">
        <v>15</v>
      </c>
      <c r="AJ83" s="2237"/>
      <c r="AK83" s="2237"/>
      <c r="AL83" s="2237"/>
      <c r="AM83" s="2237"/>
      <c r="AN83" s="2240"/>
      <c r="AO83" s="2241"/>
      <c r="AP83" s="2239"/>
      <c r="AQ83" s="2242"/>
      <c r="AR83" s="2250"/>
      <c r="AS83" s="2244"/>
      <c r="AT83" s="2244"/>
      <c r="AU83" s="2245"/>
      <c r="AV83" s="2246"/>
      <c r="AW83" s="2247"/>
      <c r="AX83" s="2248"/>
      <c r="AY83" s="2249"/>
      <c r="AZ83" s="2249"/>
      <c r="BA83" s="2238"/>
      <c r="BB83" s="2264"/>
      <c r="BC83" s="918"/>
      <c r="BD83" s="2252" t="s">
        <v>15</v>
      </c>
      <c r="BE83" s="2237"/>
      <c r="BF83" s="2237"/>
      <c r="BG83" s="2237"/>
      <c r="BH83" s="2237"/>
      <c r="BI83" s="2240"/>
      <c r="BJ83" s="2241"/>
      <c r="BK83" s="2239"/>
      <c r="BL83" s="2242"/>
      <c r="BM83" s="2250"/>
      <c r="BN83" s="2244"/>
      <c r="BO83" s="2244"/>
      <c r="BP83" s="2245"/>
      <c r="BQ83" s="2246"/>
      <c r="BR83" s="2247"/>
      <c r="BS83" s="2248"/>
      <c r="BT83" s="2249"/>
      <c r="BU83" s="2249"/>
      <c r="BV83" s="2238"/>
      <c r="BW83" s="2264"/>
      <c r="BY83" s="3">
        <v>1</v>
      </c>
    </row>
    <row r="84" spans="2:77" ht="21" customHeight="1">
      <c r="B84" s="2265" t="str" cm="1">
        <f t="array" ref="B84">SUMPRODUCT(--(D84:J84&lt;&gt;""), LEN(TRIM(SUBSTITUTE(D84:J84, CHAR(160), "")))) &amp; " Car."</f>
        <v>0 Car.</v>
      </c>
      <c r="C84" s="1376" t="str">
        <f>IF(ISBLANK(D84),"",LARGE(C13:C83,1)+1)</f>
        <v/>
      </c>
      <c r="D84" s="1833"/>
      <c r="E84" s="1810"/>
      <c r="F84" s="1810"/>
      <c r="G84" s="1810"/>
      <c r="H84" s="1810"/>
      <c r="I84" s="1810"/>
      <c r="J84" s="1810"/>
      <c r="K84" s="1810"/>
      <c r="L84" s="1811"/>
      <c r="M84" s="9"/>
      <c r="N84" s="2252" t="s">
        <v>15</v>
      </c>
      <c r="O84" s="2237"/>
      <c r="P84" s="2237"/>
      <c r="Q84" s="2237"/>
      <c r="R84" s="2237"/>
      <c r="S84" s="2240"/>
      <c r="T84" s="2241"/>
      <c r="U84" s="2239"/>
      <c r="V84" s="2242"/>
      <c r="W84" s="2250"/>
      <c r="X84" s="2244"/>
      <c r="Y84" s="2244"/>
      <c r="Z84" s="2245"/>
      <c r="AA84" s="2246"/>
      <c r="AB84" s="2247"/>
      <c r="AC84" s="2248"/>
      <c r="AD84" s="2249"/>
      <c r="AE84" s="2249"/>
      <c r="AF84" s="2238"/>
      <c r="AG84" s="2264"/>
      <c r="AH84" s="918"/>
      <c r="AI84" s="2252" t="s">
        <v>15</v>
      </c>
      <c r="AJ84" s="2237"/>
      <c r="AK84" s="2237"/>
      <c r="AL84" s="2237"/>
      <c r="AM84" s="2237"/>
      <c r="AN84" s="2240"/>
      <c r="AO84" s="2241"/>
      <c r="AP84" s="2239"/>
      <c r="AQ84" s="2242"/>
      <c r="AR84" s="2250"/>
      <c r="AS84" s="2244"/>
      <c r="AT84" s="2244"/>
      <c r="AU84" s="2245"/>
      <c r="AV84" s="2246"/>
      <c r="AW84" s="2247"/>
      <c r="AX84" s="2248"/>
      <c r="AY84" s="2249"/>
      <c r="AZ84" s="2249"/>
      <c r="BA84" s="2238"/>
      <c r="BB84" s="2264"/>
      <c r="BC84" s="918"/>
      <c r="BD84" s="2252" t="s">
        <v>15</v>
      </c>
      <c r="BE84" s="2237"/>
      <c r="BF84" s="2237"/>
      <c r="BG84" s="2237"/>
      <c r="BH84" s="2237"/>
      <c r="BI84" s="2240"/>
      <c r="BJ84" s="2241"/>
      <c r="BK84" s="2239"/>
      <c r="BL84" s="2242"/>
      <c r="BM84" s="2250"/>
      <c r="BN84" s="2244"/>
      <c r="BO84" s="2244"/>
      <c r="BP84" s="2245"/>
      <c r="BQ84" s="2246"/>
      <c r="BR84" s="2247"/>
      <c r="BS84" s="2248"/>
      <c r="BT84" s="2249"/>
      <c r="BU84" s="2249"/>
      <c r="BV84" s="2238"/>
      <c r="BW84" s="2264"/>
      <c r="BY84" s="3">
        <v>1</v>
      </c>
    </row>
    <row r="85" spans="2:77" ht="21" customHeight="1">
      <c r="B85" s="2265" t="str" cm="1">
        <f t="array" ref="B85">SUMPRODUCT(--(D85:J85&lt;&gt;""), LEN(TRIM(SUBSTITUTE(D85:J85, CHAR(160), "")))) &amp; " Car."</f>
        <v>0 Car.</v>
      </c>
      <c r="C85" s="1376" t="str">
        <f>IF(ISBLANK(D85),"",LARGE(C13:C84,1)+1)</f>
        <v/>
      </c>
      <c r="D85" s="1833"/>
      <c r="E85" s="1810"/>
      <c r="F85" s="1810"/>
      <c r="G85" s="1810"/>
      <c r="H85" s="1810"/>
      <c r="I85" s="1810"/>
      <c r="J85" s="1810"/>
      <c r="K85" s="1810"/>
      <c r="L85" s="1811"/>
      <c r="M85" s="9"/>
      <c r="N85" s="2252" t="s">
        <v>15</v>
      </c>
      <c r="O85" s="2237"/>
      <c r="P85" s="2237"/>
      <c r="Q85" s="2237"/>
      <c r="R85" s="2237"/>
      <c r="S85" s="2240"/>
      <c r="T85" s="2241"/>
      <c r="U85" s="2239"/>
      <c r="V85" s="2242"/>
      <c r="W85" s="2250"/>
      <c r="X85" s="2244"/>
      <c r="Y85" s="2244"/>
      <c r="Z85" s="2245"/>
      <c r="AA85" s="2246"/>
      <c r="AB85" s="2247"/>
      <c r="AC85" s="2248"/>
      <c r="AD85" s="2249"/>
      <c r="AE85" s="2249"/>
      <c r="AF85" s="2238"/>
      <c r="AG85" s="2264"/>
      <c r="AH85" s="918"/>
      <c r="AI85" s="2252" t="s">
        <v>15</v>
      </c>
      <c r="AJ85" s="2237"/>
      <c r="AK85" s="2237"/>
      <c r="AL85" s="2237"/>
      <c r="AM85" s="2237"/>
      <c r="AN85" s="2240"/>
      <c r="AO85" s="2241"/>
      <c r="AP85" s="2239"/>
      <c r="AQ85" s="2242"/>
      <c r="AR85" s="2250"/>
      <c r="AS85" s="2244"/>
      <c r="AT85" s="2244"/>
      <c r="AU85" s="2245"/>
      <c r="AV85" s="2246"/>
      <c r="AW85" s="2247"/>
      <c r="AX85" s="2248"/>
      <c r="AY85" s="2249"/>
      <c r="AZ85" s="2249"/>
      <c r="BA85" s="2238"/>
      <c r="BB85" s="2264"/>
      <c r="BC85" s="918"/>
      <c r="BD85" s="2252" t="s">
        <v>15</v>
      </c>
      <c r="BE85" s="2237"/>
      <c r="BF85" s="2237"/>
      <c r="BG85" s="2237"/>
      <c r="BH85" s="2237"/>
      <c r="BI85" s="2240"/>
      <c r="BJ85" s="2241"/>
      <c r="BK85" s="2239"/>
      <c r="BL85" s="2242"/>
      <c r="BM85" s="2250"/>
      <c r="BN85" s="2244"/>
      <c r="BO85" s="2244"/>
      <c r="BP85" s="2245"/>
      <c r="BQ85" s="2246"/>
      <c r="BR85" s="2247"/>
      <c r="BS85" s="2248"/>
      <c r="BT85" s="2249"/>
      <c r="BU85" s="2249"/>
      <c r="BV85" s="2238"/>
      <c r="BW85" s="2264"/>
      <c r="BY85" s="3">
        <v>1</v>
      </c>
    </row>
    <row r="86" spans="2:77" ht="21" customHeight="1">
      <c r="B86" s="2265" t="str" cm="1">
        <f t="array" ref="B86">SUMPRODUCT(--(D86:J86&lt;&gt;""), LEN(TRIM(SUBSTITUTE(D86:J86, CHAR(160), "")))) &amp; " Car."</f>
        <v>0 Car.</v>
      </c>
      <c r="C86" s="1376" t="str">
        <f>IF(ISBLANK(D86),"",LARGE(C13:C85,1)+1)</f>
        <v/>
      </c>
      <c r="D86" s="1833"/>
      <c r="E86" s="1810"/>
      <c r="F86" s="1810"/>
      <c r="G86" s="1810"/>
      <c r="H86" s="1810"/>
      <c r="I86" s="1810"/>
      <c r="J86" s="1810"/>
      <c r="K86" s="1810"/>
      <c r="L86" s="1811"/>
      <c r="M86" s="9"/>
      <c r="N86" s="2252" t="s">
        <v>15</v>
      </c>
      <c r="O86" s="2237"/>
      <c r="P86" s="2237"/>
      <c r="Q86" s="2237"/>
      <c r="R86" s="2237"/>
      <c r="S86" s="2240"/>
      <c r="T86" s="2241"/>
      <c r="U86" s="2239"/>
      <c r="V86" s="2242"/>
      <c r="W86" s="2250"/>
      <c r="X86" s="2244"/>
      <c r="Y86" s="2244"/>
      <c r="Z86" s="2245"/>
      <c r="AA86" s="2246"/>
      <c r="AB86" s="2247"/>
      <c r="AC86" s="2248"/>
      <c r="AD86" s="2249"/>
      <c r="AE86" s="2249"/>
      <c r="AF86" s="2238"/>
      <c r="AG86" s="2264"/>
      <c r="AH86" s="918"/>
      <c r="AI86" s="2252" t="s">
        <v>15</v>
      </c>
      <c r="AJ86" s="2237"/>
      <c r="AK86" s="2237"/>
      <c r="AL86" s="2237"/>
      <c r="AM86" s="2237"/>
      <c r="AN86" s="2240"/>
      <c r="AO86" s="2241"/>
      <c r="AP86" s="2239"/>
      <c r="AQ86" s="2242"/>
      <c r="AR86" s="2250"/>
      <c r="AS86" s="2244"/>
      <c r="AT86" s="2244"/>
      <c r="AU86" s="2245"/>
      <c r="AV86" s="2246"/>
      <c r="AW86" s="2247"/>
      <c r="AX86" s="2248"/>
      <c r="AY86" s="2249"/>
      <c r="AZ86" s="2249"/>
      <c r="BA86" s="2238"/>
      <c r="BB86" s="2264"/>
      <c r="BC86" s="918"/>
      <c r="BD86" s="2252" t="s">
        <v>15</v>
      </c>
      <c r="BE86" s="2237"/>
      <c r="BF86" s="2237"/>
      <c r="BG86" s="2237"/>
      <c r="BH86" s="2237"/>
      <c r="BI86" s="2240"/>
      <c r="BJ86" s="2241"/>
      <c r="BK86" s="2239"/>
      <c r="BL86" s="2242"/>
      <c r="BM86" s="2250"/>
      <c r="BN86" s="2244"/>
      <c r="BO86" s="2244"/>
      <c r="BP86" s="2245"/>
      <c r="BQ86" s="2246"/>
      <c r="BR86" s="2247"/>
      <c r="BS86" s="2248"/>
      <c r="BT86" s="2249"/>
      <c r="BU86" s="2249"/>
      <c r="BV86" s="2238"/>
      <c r="BW86" s="2264"/>
      <c r="BY86" s="3">
        <v>1</v>
      </c>
    </row>
    <row r="87" spans="2:77" ht="21" customHeight="1">
      <c r="B87" s="2265" t="str" cm="1">
        <f t="array" ref="B87">SUMPRODUCT(--(D87:J87&lt;&gt;""), LEN(TRIM(SUBSTITUTE(D87:J87, CHAR(160), "")))) &amp; " Car."</f>
        <v>0 Car.</v>
      </c>
      <c r="C87" s="1376" t="str">
        <f>IF(ISBLANK(D87),"",LARGE(C13:C86,1)+1)</f>
        <v/>
      </c>
      <c r="D87" s="1833"/>
      <c r="E87" s="1810"/>
      <c r="F87" s="1810"/>
      <c r="G87" s="1810"/>
      <c r="H87" s="1810"/>
      <c r="I87" s="1810"/>
      <c r="J87" s="1810"/>
      <c r="K87" s="1810"/>
      <c r="L87" s="1811"/>
      <c r="M87" s="9"/>
      <c r="N87" s="2252" t="s">
        <v>15</v>
      </c>
      <c r="O87" s="2237"/>
      <c r="P87" s="2237"/>
      <c r="Q87" s="2237"/>
      <c r="R87" s="2237"/>
      <c r="S87" s="2240"/>
      <c r="T87" s="2241"/>
      <c r="U87" s="2239"/>
      <c r="V87" s="2242"/>
      <c r="W87" s="2250"/>
      <c r="X87" s="2244"/>
      <c r="Y87" s="2244"/>
      <c r="Z87" s="2245"/>
      <c r="AA87" s="2246"/>
      <c r="AB87" s="2247"/>
      <c r="AC87" s="2248"/>
      <c r="AD87" s="2249"/>
      <c r="AE87" s="2249"/>
      <c r="AF87" s="2238"/>
      <c r="AG87" s="2264"/>
      <c r="AH87" s="918"/>
      <c r="AI87" s="2252" t="s">
        <v>15</v>
      </c>
      <c r="AJ87" s="2237"/>
      <c r="AK87" s="2237"/>
      <c r="AL87" s="2237"/>
      <c r="AM87" s="2237"/>
      <c r="AN87" s="2240"/>
      <c r="AO87" s="2241"/>
      <c r="AP87" s="2239"/>
      <c r="AQ87" s="2242"/>
      <c r="AR87" s="2250"/>
      <c r="AS87" s="2244"/>
      <c r="AT87" s="2244"/>
      <c r="AU87" s="2245"/>
      <c r="AV87" s="2246"/>
      <c r="AW87" s="2247"/>
      <c r="AX87" s="2248"/>
      <c r="AY87" s="2249"/>
      <c r="AZ87" s="2249"/>
      <c r="BA87" s="2238"/>
      <c r="BB87" s="2264"/>
      <c r="BC87" s="918"/>
      <c r="BD87" s="2252" t="s">
        <v>15</v>
      </c>
      <c r="BE87" s="2237"/>
      <c r="BF87" s="2237"/>
      <c r="BG87" s="2237"/>
      <c r="BH87" s="2237"/>
      <c r="BI87" s="2240"/>
      <c r="BJ87" s="2241"/>
      <c r="BK87" s="2239"/>
      <c r="BL87" s="2242"/>
      <c r="BM87" s="2250"/>
      <c r="BN87" s="2244"/>
      <c r="BO87" s="2244"/>
      <c r="BP87" s="2245"/>
      <c r="BQ87" s="2246"/>
      <c r="BR87" s="2247"/>
      <c r="BS87" s="2248"/>
      <c r="BT87" s="2249"/>
      <c r="BU87" s="2249"/>
      <c r="BV87" s="2238"/>
      <c r="BW87" s="2264"/>
      <c r="BY87" s="3">
        <v>1</v>
      </c>
    </row>
    <row r="88" spans="2:77" ht="21" customHeight="1">
      <c r="B88" s="2265" t="str" cm="1">
        <f t="array" ref="B88">SUMPRODUCT(--(D88:J88&lt;&gt;""), LEN(TRIM(SUBSTITUTE(D88:J88, CHAR(160), "")))) &amp; " Car."</f>
        <v>0 Car.</v>
      </c>
      <c r="C88" s="1376" t="str">
        <f>IF(ISBLANK(D88),"",LARGE(C13:C87,1)+1)</f>
        <v/>
      </c>
      <c r="D88" s="1833"/>
      <c r="E88" s="1810"/>
      <c r="F88" s="1810"/>
      <c r="G88" s="1810"/>
      <c r="H88" s="1810"/>
      <c r="I88" s="1810"/>
      <c r="J88" s="1810"/>
      <c r="K88" s="1810"/>
      <c r="L88" s="1811"/>
      <c r="M88" s="9"/>
      <c r="N88" s="2252" t="s">
        <v>15</v>
      </c>
      <c r="O88" s="2237"/>
      <c r="P88" s="2237"/>
      <c r="Q88" s="2237"/>
      <c r="R88" s="2237"/>
      <c r="S88" s="2240"/>
      <c r="T88" s="2241"/>
      <c r="U88" s="2239"/>
      <c r="V88" s="2242"/>
      <c r="W88" s="2250"/>
      <c r="X88" s="2244"/>
      <c r="Y88" s="2244"/>
      <c r="Z88" s="2245"/>
      <c r="AA88" s="2246"/>
      <c r="AB88" s="2247"/>
      <c r="AC88" s="2248"/>
      <c r="AD88" s="2249"/>
      <c r="AE88" s="2249"/>
      <c r="AF88" s="2238"/>
      <c r="AG88" s="2264"/>
      <c r="AH88" s="918"/>
      <c r="AI88" s="2252" t="s">
        <v>15</v>
      </c>
      <c r="AJ88" s="2237"/>
      <c r="AK88" s="2237"/>
      <c r="AL88" s="2237"/>
      <c r="AM88" s="2237"/>
      <c r="AN88" s="2240"/>
      <c r="AO88" s="2241"/>
      <c r="AP88" s="2239"/>
      <c r="AQ88" s="2242"/>
      <c r="AR88" s="2250"/>
      <c r="AS88" s="2244"/>
      <c r="AT88" s="2244"/>
      <c r="AU88" s="2245"/>
      <c r="AV88" s="2246"/>
      <c r="AW88" s="2247"/>
      <c r="AX88" s="2248"/>
      <c r="AY88" s="2249"/>
      <c r="AZ88" s="2249"/>
      <c r="BA88" s="2238"/>
      <c r="BB88" s="2264"/>
      <c r="BC88" s="918"/>
      <c r="BD88" s="2252" t="s">
        <v>15</v>
      </c>
      <c r="BE88" s="2237"/>
      <c r="BF88" s="2237"/>
      <c r="BG88" s="2237"/>
      <c r="BH88" s="2237"/>
      <c r="BI88" s="2240"/>
      <c r="BJ88" s="2241"/>
      <c r="BK88" s="2239"/>
      <c r="BL88" s="2242"/>
      <c r="BM88" s="2250"/>
      <c r="BN88" s="2244"/>
      <c r="BO88" s="2244"/>
      <c r="BP88" s="2245"/>
      <c r="BQ88" s="2246"/>
      <c r="BR88" s="2247"/>
      <c r="BS88" s="2248"/>
      <c r="BT88" s="2249"/>
      <c r="BU88" s="2249"/>
      <c r="BV88" s="2238"/>
      <c r="BW88" s="2264"/>
      <c r="BY88" s="3">
        <v>1</v>
      </c>
    </row>
    <row r="89" spans="2:77" ht="21" customHeight="1">
      <c r="B89" s="2265" t="str" cm="1">
        <f t="array" ref="B89">SUMPRODUCT(--(D89:J89&lt;&gt;""), LEN(TRIM(SUBSTITUTE(D89:J89, CHAR(160), "")))) &amp; " Car."</f>
        <v>0 Car.</v>
      </c>
      <c r="C89" s="1376" t="str">
        <f>IF(ISBLANK(D89),"",LARGE(C13:C88,1)+1)</f>
        <v/>
      </c>
      <c r="D89" s="1833"/>
      <c r="E89" s="1810"/>
      <c r="F89" s="1810"/>
      <c r="G89" s="1810"/>
      <c r="H89" s="1810"/>
      <c r="I89" s="1810"/>
      <c r="J89" s="1810"/>
      <c r="K89" s="1810"/>
      <c r="L89" s="1811"/>
      <c r="M89" s="9"/>
      <c r="N89" s="2252" t="s">
        <v>15</v>
      </c>
      <c r="O89" s="2237"/>
      <c r="P89" s="2237"/>
      <c r="Q89" s="2237"/>
      <c r="R89" s="2237"/>
      <c r="S89" s="2240"/>
      <c r="T89" s="2241"/>
      <c r="U89" s="2239"/>
      <c r="V89" s="2242"/>
      <c r="W89" s="2250"/>
      <c r="X89" s="2244"/>
      <c r="Y89" s="2244"/>
      <c r="Z89" s="2245"/>
      <c r="AA89" s="2246"/>
      <c r="AB89" s="2247"/>
      <c r="AC89" s="2248"/>
      <c r="AD89" s="2249"/>
      <c r="AE89" s="2249"/>
      <c r="AF89" s="2238"/>
      <c r="AG89" s="2264"/>
      <c r="AH89" s="918"/>
      <c r="AI89" s="2252" t="s">
        <v>15</v>
      </c>
      <c r="AJ89" s="2237"/>
      <c r="AK89" s="2237"/>
      <c r="AL89" s="2237"/>
      <c r="AM89" s="2237"/>
      <c r="AN89" s="2240"/>
      <c r="AO89" s="2241"/>
      <c r="AP89" s="2239"/>
      <c r="AQ89" s="2242"/>
      <c r="AR89" s="2250"/>
      <c r="AS89" s="2244"/>
      <c r="AT89" s="2244"/>
      <c r="AU89" s="2245"/>
      <c r="AV89" s="2246"/>
      <c r="AW89" s="2247"/>
      <c r="AX89" s="2248"/>
      <c r="AY89" s="2249"/>
      <c r="AZ89" s="2249"/>
      <c r="BA89" s="2238"/>
      <c r="BB89" s="2264"/>
      <c r="BC89" s="918"/>
      <c r="BD89" s="2252" t="s">
        <v>15</v>
      </c>
      <c r="BE89" s="2237"/>
      <c r="BF89" s="2237"/>
      <c r="BG89" s="2237"/>
      <c r="BH89" s="2237"/>
      <c r="BI89" s="2240"/>
      <c r="BJ89" s="2241"/>
      <c r="BK89" s="2239"/>
      <c r="BL89" s="2242"/>
      <c r="BM89" s="2250"/>
      <c r="BN89" s="2244"/>
      <c r="BO89" s="2244"/>
      <c r="BP89" s="2245"/>
      <c r="BQ89" s="2246"/>
      <c r="BR89" s="2247"/>
      <c r="BS89" s="2248"/>
      <c r="BT89" s="2249"/>
      <c r="BU89" s="2249"/>
      <c r="BV89" s="2238"/>
      <c r="BW89" s="2264"/>
      <c r="BY89" s="3">
        <v>1</v>
      </c>
    </row>
    <row r="90" spans="2:77" ht="21" customHeight="1">
      <c r="B90" s="2265" t="str" cm="1">
        <f t="array" ref="B90">SUMPRODUCT(--(D90:J90&lt;&gt;""), LEN(TRIM(SUBSTITUTE(D90:J90, CHAR(160), "")))) &amp; " Car."</f>
        <v>0 Car.</v>
      </c>
      <c r="C90" s="1376" t="str">
        <f>IF(ISBLANK(D90),"",LARGE(C13:C89,1)+1)</f>
        <v/>
      </c>
      <c r="D90" s="1833"/>
      <c r="E90" s="1810"/>
      <c r="F90" s="1810"/>
      <c r="G90" s="1810"/>
      <c r="H90" s="1810"/>
      <c r="I90" s="1810"/>
      <c r="J90" s="1810"/>
      <c r="K90" s="1810"/>
      <c r="L90" s="1811"/>
      <c r="M90" s="9"/>
      <c r="N90" s="2252" t="s">
        <v>15</v>
      </c>
      <c r="O90" s="2237"/>
      <c r="P90" s="2237"/>
      <c r="Q90" s="2237"/>
      <c r="R90" s="2237"/>
      <c r="S90" s="2240"/>
      <c r="T90" s="2241"/>
      <c r="U90" s="2239"/>
      <c r="V90" s="2242"/>
      <c r="W90" s="2250"/>
      <c r="X90" s="2244"/>
      <c r="Y90" s="2244"/>
      <c r="Z90" s="2245"/>
      <c r="AA90" s="2246"/>
      <c r="AB90" s="2247"/>
      <c r="AC90" s="2248"/>
      <c r="AD90" s="2249"/>
      <c r="AE90" s="2249"/>
      <c r="AF90" s="2238"/>
      <c r="AG90" s="2264"/>
      <c r="AH90" s="918"/>
      <c r="AI90" s="2252" t="s">
        <v>15</v>
      </c>
      <c r="AJ90" s="2237"/>
      <c r="AK90" s="2237"/>
      <c r="AL90" s="2237"/>
      <c r="AM90" s="2237"/>
      <c r="AN90" s="2240"/>
      <c r="AO90" s="2241"/>
      <c r="AP90" s="2239"/>
      <c r="AQ90" s="2242"/>
      <c r="AR90" s="2250"/>
      <c r="AS90" s="2244"/>
      <c r="AT90" s="2244"/>
      <c r="AU90" s="2245"/>
      <c r="AV90" s="2246"/>
      <c r="AW90" s="2247"/>
      <c r="AX90" s="2248"/>
      <c r="AY90" s="2249"/>
      <c r="AZ90" s="2249"/>
      <c r="BA90" s="2238"/>
      <c r="BB90" s="2264"/>
      <c r="BC90" s="918"/>
      <c r="BD90" s="2252" t="s">
        <v>15</v>
      </c>
      <c r="BE90" s="2237"/>
      <c r="BF90" s="2237"/>
      <c r="BG90" s="2237"/>
      <c r="BH90" s="2237"/>
      <c r="BI90" s="2240"/>
      <c r="BJ90" s="2241"/>
      <c r="BK90" s="2239"/>
      <c r="BL90" s="2242"/>
      <c r="BM90" s="2250"/>
      <c r="BN90" s="2244"/>
      <c r="BO90" s="2244"/>
      <c r="BP90" s="2245"/>
      <c r="BQ90" s="2246"/>
      <c r="BR90" s="2247"/>
      <c r="BS90" s="2248"/>
      <c r="BT90" s="2249"/>
      <c r="BU90" s="2249"/>
      <c r="BV90" s="2238"/>
      <c r="BW90" s="2264"/>
      <c r="BY90" s="3">
        <v>1</v>
      </c>
    </row>
    <row r="91" spans="2:77" ht="21" customHeight="1">
      <c r="B91" s="2265" t="str" cm="1">
        <f t="array" ref="B91">SUMPRODUCT(--(D91:J91&lt;&gt;""), LEN(TRIM(SUBSTITUTE(D91:J91, CHAR(160), "")))) &amp; " Car."</f>
        <v>0 Car.</v>
      </c>
      <c r="C91" s="1376" t="str">
        <f>IF(ISBLANK(D91),"",LARGE(C13:C90,1)+1)</f>
        <v/>
      </c>
      <c r="D91" s="1833"/>
      <c r="E91" s="1810"/>
      <c r="F91" s="1810"/>
      <c r="G91" s="1810"/>
      <c r="H91" s="1810"/>
      <c r="I91" s="1810"/>
      <c r="J91" s="1810"/>
      <c r="K91" s="1810"/>
      <c r="L91" s="1811"/>
      <c r="M91" s="9"/>
      <c r="N91" s="2252" t="s">
        <v>15</v>
      </c>
      <c r="O91" s="2237"/>
      <c r="P91" s="2237"/>
      <c r="Q91" s="2237"/>
      <c r="R91" s="2237"/>
      <c r="S91" s="2240"/>
      <c r="T91" s="2241"/>
      <c r="U91" s="2239"/>
      <c r="V91" s="2242"/>
      <c r="W91" s="2250"/>
      <c r="X91" s="2244"/>
      <c r="Y91" s="2244"/>
      <c r="Z91" s="2245"/>
      <c r="AA91" s="2246"/>
      <c r="AB91" s="2247"/>
      <c r="AC91" s="2248"/>
      <c r="AD91" s="2249"/>
      <c r="AE91" s="2249"/>
      <c r="AF91" s="2238"/>
      <c r="AG91" s="2264"/>
      <c r="AH91" s="918"/>
      <c r="AI91" s="2252" t="s">
        <v>15</v>
      </c>
      <c r="AJ91" s="2237"/>
      <c r="AK91" s="2237"/>
      <c r="AL91" s="2237"/>
      <c r="AM91" s="2237"/>
      <c r="AN91" s="2240"/>
      <c r="AO91" s="2241"/>
      <c r="AP91" s="2239"/>
      <c r="AQ91" s="2242"/>
      <c r="AR91" s="2250"/>
      <c r="AS91" s="2244"/>
      <c r="AT91" s="2244"/>
      <c r="AU91" s="2245"/>
      <c r="AV91" s="2246"/>
      <c r="AW91" s="2247"/>
      <c r="AX91" s="2248"/>
      <c r="AY91" s="2249"/>
      <c r="AZ91" s="2249"/>
      <c r="BA91" s="2238"/>
      <c r="BB91" s="2264"/>
      <c r="BC91" s="918"/>
      <c r="BD91" s="2252" t="s">
        <v>15</v>
      </c>
      <c r="BE91" s="2237"/>
      <c r="BF91" s="2237"/>
      <c r="BG91" s="2237"/>
      <c r="BH91" s="2237"/>
      <c r="BI91" s="2240"/>
      <c r="BJ91" s="2241"/>
      <c r="BK91" s="2239"/>
      <c r="BL91" s="2242"/>
      <c r="BM91" s="2250"/>
      <c r="BN91" s="2244"/>
      <c r="BO91" s="2244"/>
      <c r="BP91" s="2245"/>
      <c r="BQ91" s="2246"/>
      <c r="BR91" s="2247"/>
      <c r="BS91" s="2248"/>
      <c r="BT91" s="2249"/>
      <c r="BU91" s="2249"/>
      <c r="BV91" s="2238"/>
      <c r="BW91" s="2264"/>
      <c r="BY91" s="3">
        <v>1</v>
      </c>
    </row>
    <row r="92" spans="2:77" ht="21" customHeight="1">
      <c r="B92" s="2265" t="str" cm="1">
        <f t="array" ref="B92">SUMPRODUCT(--(D92:J92&lt;&gt;""), LEN(TRIM(SUBSTITUTE(D92:J92, CHAR(160), "")))) &amp; " Car."</f>
        <v>0 Car.</v>
      </c>
      <c r="C92" s="1376" t="str">
        <f>IF(ISBLANK(D92),"",LARGE(C13:C91,1)+1)</f>
        <v/>
      </c>
      <c r="D92" s="1833"/>
      <c r="E92" s="1810"/>
      <c r="F92" s="1810"/>
      <c r="G92" s="1810"/>
      <c r="H92" s="1810"/>
      <c r="I92" s="1810"/>
      <c r="J92" s="1810"/>
      <c r="K92" s="1810"/>
      <c r="L92" s="1811"/>
      <c r="M92" s="9"/>
      <c r="N92" s="2252" t="s">
        <v>15</v>
      </c>
      <c r="O92" s="2237"/>
      <c r="P92" s="2237"/>
      <c r="Q92" s="2237"/>
      <c r="R92" s="2237"/>
      <c r="S92" s="2240"/>
      <c r="T92" s="2241"/>
      <c r="U92" s="2239"/>
      <c r="V92" s="2242"/>
      <c r="W92" s="2250"/>
      <c r="X92" s="2244"/>
      <c r="Y92" s="2244"/>
      <c r="Z92" s="2245"/>
      <c r="AA92" s="2246"/>
      <c r="AB92" s="2247"/>
      <c r="AC92" s="2248"/>
      <c r="AD92" s="2249"/>
      <c r="AE92" s="2249"/>
      <c r="AF92" s="2238"/>
      <c r="AG92" s="2264"/>
      <c r="AH92" s="918"/>
      <c r="AI92" s="2252" t="s">
        <v>15</v>
      </c>
      <c r="AJ92" s="2237"/>
      <c r="AK92" s="2237"/>
      <c r="AL92" s="2237"/>
      <c r="AM92" s="2237"/>
      <c r="AN92" s="2240"/>
      <c r="AO92" s="2241"/>
      <c r="AP92" s="2239"/>
      <c r="AQ92" s="2242"/>
      <c r="AR92" s="2250"/>
      <c r="AS92" s="2244"/>
      <c r="AT92" s="2244"/>
      <c r="AU92" s="2245"/>
      <c r="AV92" s="2246"/>
      <c r="AW92" s="2247"/>
      <c r="AX92" s="2248"/>
      <c r="AY92" s="2249"/>
      <c r="AZ92" s="2249"/>
      <c r="BA92" s="2238"/>
      <c r="BB92" s="2264"/>
      <c r="BC92" s="918"/>
      <c r="BD92" s="2252" t="s">
        <v>15</v>
      </c>
      <c r="BE92" s="2237"/>
      <c r="BF92" s="2237"/>
      <c r="BG92" s="2237"/>
      <c r="BH92" s="2237"/>
      <c r="BI92" s="2240"/>
      <c r="BJ92" s="2241"/>
      <c r="BK92" s="2239"/>
      <c r="BL92" s="2242"/>
      <c r="BM92" s="2250"/>
      <c r="BN92" s="2244"/>
      <c r="BO92" s="2244"/>
      <c r="BP92" s="2245"/>
      <c r="BQ92" s="2246"/>
      <c r="BR92" s="2247"/>
      <c r="BS92" s="2248"/>
      <c r="BT92" s="2249"/>
      <c r="BU92" s="2249"/>
      <c r="BV92" s="2238"/>
      <c r="BW92" s="2264"/>
      <c r="BY92" s="3">
        <v>1</v>
      </c>
    </row>
    <row r="93" spans="2:77" ht="21" customHeight="1">
      <c r="B93" s="2265" t="str" cm="1">
        <f t="array" ref="B93">SUMPRODUCT(--(D93:J93&lt;&gt;""), LEN(TRIM(SUBSTITUTE(D93:J93, CHAR(160), "")))) &amp; " Car."</f>
        <v>0 Car.</v>
      </c>
      <c r="C93" s="1376" t="str">
        <f>IF(ISBLANK(D93),"",LARGE(C13:C92,1)+1)</f>
        <v/>
      </c>
      <c r="D93" s="1833"/>
      <c r="E93" s="1810"/>
      <c r="F93" s="1810"/>
      <c r="G93" s="1810"/>
      <c r="H93" s="1810"/>
      <c r="I93" s="1810"/>
      <c r="J93" s="1810"/>
      <c r="K93" s="1810"/>
      <c r="L93" s="1811"/>
      <c r="M93" s="9"/>
      <c r="N93" s="2252" t="s">
        <v>15</v>
      </c>
      <c r="O93" s="2237"/>
      <c r="P93" s="2237"/>
      <c r="Q93" s="2237"/>
      <c r="R93" s="2237"/>
      <c r="S93" s="2240"/>
      <c r="T93" s="2241"/>
      <c r="U93" s="2239"/>
      <c r="V93" s="2242"/>
      <c r="W93" s="2250"/>
      <c r="X93" s="2244"/>
      <c r="Y93" s="2244"/>
      <c r="Z93" s="2245"/>
      <c r="AA93" s="2246"/>
      <c r="AB93" s="2247"/>
      <c r="AC93" s="2248"/>
      <c r="AD93" s="2249"/>
      <c r="AE93" s="2249"/>
      <c r="AF93" s="2238"/>
      <c r="AG93" s="2264"/>
      <c r="AH93" s="918"/>
      <c r="AI93" s="2252" t="s">
        <v>15</v>
      </c>
      <c r="AJ93" s="2237"/>
      <c r="AK93" s="2237"/>
      <c r="AL93" s="2237"/>
      <c r="AM93" s="2237"/>
      <c r="AN93" s="2240"/>
      <c r="AO93" s="2241"/>
      <c r="AP93" s="2239"/>
      <c r="AQ93" s="2242"/>
      <c r="AR93" s="2250"/>
      <c r="AS93" s="2244"/>
      <c r="AT93" s="2244"/>
      <c r="AU93" s="2245"/>
      <c r="AV93" s="2246"/>
      <c r="AW93" s="2247"/>
      <c r="AX93" s="2248"/>
      <c r="AY93" s="2249"/>
      <c r="AZ93" s="2249"/>
      <c r="BA93" s="2238"/>
      <c r="BB93" s="2264"/>
      <c r="BC93" s="918"/>
      <c r="BD93" s="2252" t="s">
        <v>15</v>
      </c>
      <c r="BE93" s="2237"/>
      <c r="BF93" s="2237"/>
      <c r="BG93" s="2237"/>
      <c r="BH93" s="2237"/>
      <c r="BI93" s="2240"/>
      <c r="BJ93" s="2241"/>
      <c r="BK93" s="2239"/>
      <c r="BL93" s="2242"/>
      <c r="BM93" s="2250"/>
      <c r="BN93" s="2244"/>
      <c r="BO93" s="2244"/>
      <c r="BP93" s="2245"/>
      <c r="BQ93" s="2246"/>
      <c r="BR93" s="2247"/>
      <c r="BS93" s="2248"/>
      <c r="BT93" s="2249"/>
      <c r="BU93" s="2249"/>
      <c r="BV93" s="2238"/>
      <c r="BW93" s="2264"/>
      <c r="BY93" s="3">
        <v>1</v>
      </c>
    </row>
    <row r="94" spans="2:77" ht="21" customHeight="1">
      <c r="B94" s="2265" t="str" cm="1">
        <f t="array" ref="B94">SUMPRODUCT(--(D94:J94&lt;&gt;""), LEN(TRIM(SUBSTITUTE(D94:J94, CHAR(160), "")))) &amp; " Car."</f>
        <v>0 Car.</v>
      </c>
      <c r="C94" s="1376" t="str">
        <f>IF(ISBLANK(D94),"",LARGE(C13:C93,1)+1)</f>
        <v/>
      </c>
      <c r="D94" s="1833"/>
      <c r="E94" s="1810"/>
      <c r="F94" s="1810"/>
      <c r="G94" s="1810"/>
      <c r="H94" s="1810"/>
      <c r="I94" s="1810"/>
      <c r="J94" s="1810"/>
      <c r="K94" s="1810"/>
      <c r="L94" s="1811"/>
      <c r="M94" s="9"/>
      <c r="N94" s="2252" t="s">
        <v>15</v>
      </c>
      <c r="O94" s="2237"/>
      <c r="P94" s="2237"/>
      <c r="Q94" s="2237"/>
      <c r="R94" s="2237"/>
      <c r="S94" s="2240"/>
      <c r="T94" s="2241"/>
      <c r="U94" s="2239"/>
      <c r="V94" s="2242"/>
      <c r="W94" s="2250"/>
      <c r="X94" s="2244"/>
      <c r="Y94" s="2244"/>
      <c r="Z94" s="2245"/>
      <c r="AA94" s="2246"/>
      <c r="AB94" s="2247"/>
      <c r="AC94" s="2248"/>
      <c r="AD94" s="2249"/>
      <c r="AE94" s="2249"/>
      <c r="AF94" s="2238"/>
      <c r="AG94" s="2264"/>
      <c r="AH94" s="918"/>
      <c r="AI94" s="2252" t="s">
        <v>15</v>
      </c>
      <c r="AJ94" s="2237"/>
      <c r="AK94" s="2237"/>
      <c r="AL94" s="2237"/>
      <c r="AM94" s="2237"/>
      <c r="AN94" s="2240"/>
      <c r="AO94" s="2241"/>
      <c r="AP94" s="2239"/>
      <c r="AQ94" s="2242"/>
      <c r="AR94" s="2250"/>
      <c r="AS94" s="2244"/>
      <c r="AT94" s="2244"/>
      <c r="AU94" s="2245"/>
      <c r="AV94" s="2246"/>
      <c r="AW94" s="2247"/>
      <c r="AX94" s="2248"/>
      <c r="AY94" s="2249"/>
      <c r="AZ94" s="2249"/>
      <c r="BA94" s="2238"/>
      <c r="BB94" s="2264"/>
      <c r="BC94" s="918"/>
      <c r="BD94" s="2252" t="s">
        <v>15</v>
      </c>
      <c r="BE94" s="2237"/>
      <c r="BF94" s="2237"/>
      <c r="BG94" s="2237"/>
      <c r="BH94" s="2237"/>
      <c r="BI94" s="2240"/>
      <c r="BJ94" s="2241"/>
      <c r="BK94" s="2239"/>
      <c r="BL94" s="2242"/>
      <c r="BM94" s="2250"/>
      <c r="BN94" s="2244"/>
      <c r="BO94" s="2244"/>
      <c r="BP94" s="2245"/>
      <c r="BQ94" s="2246"/>
      <c r="BR94" s="2247"/>
      <c r="BS94" s="2248"/>
      <c r="BT94" s="2249"/>
      <c r="BU94" s="2249"/>
      <c r="BV94" s="2238"/>
      <c r="BW94" s="2264"/>
      <c r="BY94" s="3">
        <v>1</v>
      </c>
    </row>
    <row r="95" spans="2:77" ht="21" customHeight="1">
      <c r="B95" s="2265" t="str" cm="1">
        <f t="array" ref="B95">SUMPRODUCT(--(D95:J95&lt;&gt;""), LEN(TRIM(SUBSTITUTE(D95:J95, CHAR(160), "")))) &amp; " Car."</f>
        <v>0 Car.</v>
      </c>
      <c r="C95" s="1376" t="str">
        <f>IF(ISBLANK(D95),"",LARGE(C13:C94,1)+1)</f>
        <v/>
      </c>
      <c r="D95" s="1833"/>
      <c r="E95" s="1810"/>
      <c r="F95" s="1810"/>
      <c r="G95" s="1810"/>
      <c r="H95" s="1810"/>
      <c r="I95" s="1810"/>
      <c r="J95" s="1810"/>
      <c r="K95" s="1810"/>
      <c r="L95" s="1811"/>
      <c r="M95" s="9"/>
      <c r="N95" s="2252" t="s">
        <v>15</v>
      </c>
      <c r="O95" s="2237"/>
      <c r="P95" s="2237"/>
      <c r="Q95" s="2237"/>
      <c r="R95" s="2237"/>
      <c r="S95" s="2240"/>
      <c r="T95" s="2241"/>
      <c r="U95" s="2239"/>
      <c r="V95" s="2242"/>
      <c r="W95" s="2250"/>
      <c r="X95" s="2244"/>
      <c r="Y95" s="2244"/>
      <c r="Z95" s="2245"/>
      <c r="AA95" s="2246"/>
      <c r="AB95" s="2247"/>
      <c r="AC95" s="2248"/>
      <c r="AD95" s="2249"/>
      <c r="AE95" s="2249"/>
      <c r="AF95" s="2238"/>
      <c r="AG95" s="2264"/>
      <c r="AH95" s="918"/>
      <c r="AI95" s="2252" t="s">
        <v>15</v>
      </c>
      <c r="AJ95" s="2237"/>
      <c r="AK95" s="2237"/>
      <c r="AL95" s="2237"/>
      <c r="AM95" s="2237"/>
      <c r="AN95" s="2240"/>
      <c r="AO95" s="2241"/>
      <c r="AP95" s="2239"/>
      <c r="AQ95" s="2242"/>
      <c r="AR95" s="2250"/>
      <c r="AS95" s="2244"/>
      <c r="AT95" s="2244"/>
      <c r="AU95" s="2245"/>
      <c r="AV95" s="2246"/>
      <c r="AW95" s="2247"/>
      <c r="AX95" s="2248"/>
      <c r="AY95" s="2249"/>
      <c r="AZ95" s="2249"/>
      <c r="BA95" s="2238"/>
      <c r="BB95" s="2264"/>
      <c r="BC95" s="918"/>
      <c r="BD95" s="2252" t="s">
        <v>15</v>
      </c>
      <c r="BE95" s="2237"/>
      <c r="BF95" s="2237"/>
      <c r="BG95" s="2237"/>
      <c r="BH95" s="2237"/>
      <c r="BI95" s="2240"/>
      <c r="BJ95" s="2241"/>
      <c r="BK95" s="2239"/>
      <c r="BL95" s="2242"/>
      <c r="BM95" s="2250"/>
      <c r="BN95" s="2244"/>
      <c r="BO95" s="2244"/>
      <c r="BP95" s="2245"/>
      <c r="BQ95" s="2246"/>
      <c r="BR95" s="2247"/>
      <c r="BS95" s="2248"/>
      <c r="BT95" s="2249"/>
      <c r="BU95" s="2249"/>
      <c r="BV95" s="2238"/>
      <c r="BW95" s="2264"/>
      <c r="BY95" s="3">
        <v>1</v>
      </c>
    </row>
    <row r="96" spans="2:77" ht="21" customHeight="1">
      <c r="B96" s="2265" t="str" cm="1">
        <f t="array" ref="B96">SUMPRODUCT(--(D96:J96&lt;&gt;""), LEN(TRIM(SUBSTITUTE(D96:J96, CHAR(160), "")))) &amp; " Car."</f>
        <v>0 Car.</v>
      </c>
      <c r="C96" s="1376" t="str">
        <f>IF(ISBLANK(D96),"",LARGE(C13:C95,1)+1)</f>
        <v/>
      </c>
      <c r="D96" s="1833"/>
      <c r="E96" s="1810"/>
      <c r="F96" s="1810"/>
      <c r="G96" s="1810"/>
      <c r="H96" s="1810"/>
      <c r="I96" s="1810"/>
      <c r="J96" s="1810"/>
      <c r="K96" s="1810"/>
      <c r="L96" s="1811"/>
      <c r="M96" s="9"/>
      <c r="N96" s="2252" t="s">
        <v>15</v>
      </c>
      <c r="O96" s="2237"/>
      <c r="P96" s="2237"/>
      <c r="Q96" s="2237"/>
      <c r="R96" s="2237"/>
      <c r="S96" s="2240"/>
      <c r="T96" s="2241"/>
      <c r="U96" s="2239"/>
      <c r="V96" s="2242"/>
      <c r="W96" s="2250"/>
      <c r="X96" s="2244"/>
      <c r="Y96" s="2244"/>
      <c r="Z96" s="2245"/>
      <c r="AA96" s="2246"/>
      <c r="AB96" s="2247"/>
      <c r="AC96" s="2248"/>
      <c r="AD96" s="2249"/>
      <c r="AE96" s="2249"/>
      <c r="AF96" s="2238"/>
      <c r="AG96" s="2264"/>
      <c r="AH96" s="918"/>
      <c r="AI96" s="2252" t="s">
        <v>15</v>
      </c>
      <c r="AJ96" s="2237"/>
      <c r="AK96" s="2237"/>
      <c r="AL96" s="2237"/>
      <c r="AM96" s="2237"/>
      <c r="AN96" s="2240"/>
      <c r="AO96" s="2241"/>
      <c r="AP96" s="2239"/>
      <c r="AQ96" s="2242"/>
      <c r="AR96" s="2250"/>
      <c r="AS96" s="2244"/>
      <c r="AT96" s="2244"/>
      <c r="AU96" s="2245"/>
      <c r="AV96" s="2246"/>
      <c r="AW96" s="2247"/>
      <c r="AX96" s="2248"/>
      <c r="AY96" s="2249"/>
      <c r="AZ96" s="2249"/>
      <c r="BA96" s="2238"/>
      <c r="BB96" s="2264"/>
      <c r="BC96" s="918"/>
      <c r="BD96" s="2252" t="s">
        <v>15</v>
      </c>
      <c r="BE96" s="2237"/>
      <c r="BF96" s="2237"/>
      <c r="BG96" s="2237"/>
      <c r="BH96" s="2237"/>
      <c r="BI96" s="2240"/>
      <c r="BJ96" s="2241"/>
      <c r="BK96" s="2239"/>
      <c r="BL96" s="2242"/>
      <c r="BM96" s="2250"/>
      <c r="BN96" s="2244"/>
      <c r="BO96" s="2244"/>
      <c r="BP96" s="2245"/>
      <c r="BQ96" s="2246"/>
      <c r="BR96" s="2247"/>
      <c r="BS96" s="2248"/>
      <c r="BT96" s="2249"/>
      <c r="BU96" s="2249"/>
      <c r="BV96" s="2238"/>
      <c r="BW96" s="2264"/>
      <c r="BY96" s="3">
        <v>1</v>
      </c>
    </row>
    <row r="97" spans="2:77" ht="21" customHeight="1">
      <c r="B97" s="2265" t="str" cm="1">
        <f t="array" ref="B97">SUMPRODUCT(--(D97:J97&lt;&gt;""), LEN(TRIM(SUBSTITUTE(D97:J97, CHAR(160), "")))) &amp; " Car."</f>
        <v>0 Car.</v>
      </c>
      <c r="C97" s="1376" t="str">
        <f>IF(ISBLANK(D97),"",LARGE(C13:C96,1)+1)</f>
        <v/>
      </c>
      <c r="D97" s="1833"/>
      <c r="E97" s="1810"/>
      <c r="F97" s="1810"/>
      <c r="G97" s="1810"/>
      <c r="H97" s="1810"/>
      <c r="I97" s="1810"/>
      <c r="J97" s="1810"/>
      <c r="K97" s="1810"/>
      <c r="L97" s="1811"/>
      <c r="M97" s="9"/>
      <c r="N97" s="2252" t="s">
        <v>15</v>
      </c>
      <c r="O97" s="2237"/>
      <c r="P97" s="2237"/>
      <c r="Q97" s="2237"/>
      <c r="R97" s="2237"/>
      <c r="S97" s="2240"/>
      <c r="T97" s="2241"/>
      <c r="U97" s="2239"/>
      <c r="V97" s="2242"/>
      <c r="W97" s="2250"/>
      <c r="X97" s="2244"/>
      <c r="Y97" s="2244"/>
      <c r="Z97" s="2245"/>
      <c r="AA97" s="2246"/>
      <c r="AB97" s="2247"/>
      <c r="AC97" s="2248"/>
      <c r="AD97" s="2249"/>
      <c r="AE97" s="2249"/>
      <c r="AF97" s="2238"/>
      <c r="AG97" s="2264"/>
      <c r="AH97" s="918"/>
      <c r="AI97" s="2252" t="s">
        <v>15</v>
      </c>
      <c r="AJ97" s="2237"/>
      <c r="AK97" s="2237"/>
      <c r="AL97" s="2237"/>
      <c r="AM97" s="2237"/>
      <c r="AN97" s="2240"/>
      <c r="AO97" s="2241"/>
      <c r="AP97" s="2239"/>
      <c r="AQ97" s="2242"/>
      <c r="AR97" s="2250"/>
      <c r="AS97" s="2244"/>
      <c r="AT97" s="2244"/>
      <c r="AU97" s="2245"/>
      <c r="AV97" s="2246"/>
      <c r="AW97" s="2247"/>
      <c r="AX97" s="2248"/>
      <c r="AY97" s="2249"/>
      <c r="AZ97" s="2249"/>
      <c r="BA97" s="2238"/>
      <c r="BB97" s="2264"/>
      <c r="BC97" s="918"/>
      <c r="BD97" s="2252" t="s">
        <v>15</v>
      </c>
      <c r="BE97" s="2237"/>
      <c r="BF97" s="2237"/>
      <c r="BG97" s="2237"/>
      <c r="BH97" s="2237"/>
      <c r="BI97" s="2240"/>
      <c r="BJ97" s="2241"/>
      <c r="BK97" s="2239"/>
      <c r="BL97" s="2242"/>
      <c r="BM97" s="2250"/>
      <c r="BN97" s="2244"/>
      <c r="BO97" s="2244"/>
      <c r="BP97" s="2245"/>
      <c r="BQ97" s="2246"/>
      <c r="BR97" s="2247"/>
      <c r="BS97" s="2248"/>
      <c r="BT97" s="2249"/>
      <c r="BU97" s="2249"/>
      <c r="BV97" s="2238"/>
      <c r="BW97" s="2264"/>
      <c r="BY97" s="3">
        <v>1</v>
      </c>
    </row>
    <row r="98" spans="2:77" ht="21" customHeight="1">
      <c r="B98" s="2265" t="str" cm="1">
        <f t="array" ref="B98">SUMPRODUCT(--(D98:J98&lt;&gt;""), LEN(TRIM(SUBSTITUTE(D98:J98, CHAR(160), "")))) &amp; " Car."</f>
        <v>0 Car.</v>
      </c>
      <c r="C98" s="1376" t="str">
        <f>IF(ISBLANK(D98),"",LARGE(C13:C97,1)+1)</f>
        <v/>
      </c>
      <c r="D98" s="1833"/>
      <c r="E98" s="1810"/>
      <c r="F98" s="1810"/>
      <c r="G98" s="1810"/>
      <c r="H98" s="1810"/>
      <c r="I98" s="1810"/>
      <c r="J98" s="1810"/>
      <c r="K98" s="1810"/>
      <c r="L98" s="1811"/>
      <c r="M98" s="9"/>
      <c r="N98" s="2252" t="s">
        <v>15</v>
      </c>
      <c r="O98" s="2237"/>
      <c r="P98" s="2237"/>
      <c r="Q98" s="2237"/>
      <c r="R98" s="2237"/>
      <c r="S98" s="2240"/>
      <c r="T98" s="2241"/>
      <c r="U98" s="2239"/>
      <c r="V98" s="2242"/>
      <c r="W98" s="2250"/>
      <c r="X98" s="2244"/>
      <c r="Y98" s="2244"/>
      <c r="Z98" s="2245"/>
      <c r="AA98" s="2246"/>
      <c r="AB98" s="2247"/>
      <c r="AC98" s="2248"/>
      <c r="AD98" s="2249"/>
      <c r="AE98" s="2249"/>
      <c r="AF98" s="2238"/>
      <c r="AG98" s="2264"/>
      <c r="AH98" s="918"/>
      <c r="AI98" s="2252" t="s">
        <v>15</v>
      </c>
      <c r="AJ98" s="2237"/>
      <c r="AK98" s="2237"/>
      <c r="AL98" s="2237"/>
      <c r="AM98" s="2237"/>
      <c r="AN98" s="2240"/>
      <c r="AO98" s="2241"/>
      <c r="AP98" s="2239"/>
      <c r="AQ98" s="2242"/>
      <c r="AR98" s="2250"/>
      <c r="AS98" s="2244"/>
      <c r="AT98" s="2244"/>
      <c r="AU98" s="2245"/>
      <c r="AV98" s="2246"/>
      <c r="AW98" s="2247"/>
      <c r="AX98" s="2248"/>
      <c r="AY98" s="2249"/>
      <c r="AZ98" s="2249"/>
      <c r="BA98" s="2238"/>
      <c r="BB98" s="2264"/>
      <c r="BC98" s="918"/>
      <c r="BD98" s="2252" t="s">
        <v>15</v>
      </c>
      <c r="BE98" s="2237"/>
      <c r="BF98" s="2237"/>
      <c r="BG98" s="2237"/>
      <c r="BH98" s="2237"/>
      <c r="BI98" s="2240"/>
      <c r="BJ98" s="2241"/>
      <c r="BK98" s="2239"/>
      <c r="BL98" s="2242"/>
      <c r="BM98" s="2250"/>
      <c r="BN98" s="2244"/>
      <c r="BO98" s="2244"/>
      <c r="BP98" s="2245"/>
      <c r="BQ98" s="2246"/>
      <c r="BR98" s="2247"/>
      <c r="BS98" s="2248"/>
      <c r="BT98" s="2249"/>
      <c r="BU98" s="2249"/>
      <c r="BV98" s="2238"/>
      <c r="BW98" s="2264"/>
      <c r="BY98" s="3">
        <v>1</v>
      </c>
    </row>
    <row r="99" spans="2:77" ht="21" customHeight="1">
      <c r="B99" s="2265" t="str" cm="1">
        <f t="array" ref="B99">SUMPRODUCT(--(D99:J99&lt;&gt;""), LEN(TRIM(SUBSTITUTE(D99:J99, CHAR(160), "")))) &amp; " Car."</f>
        <v>0 Car.</v>
      </c>
      <c r="C99" s="1376" t="str">
        <f>IF(ISBLANK(D99),"",LARGE(C13:C98,1)+1)</f>
        <v/>
      </c>
      <c r="D99" s="1833"/>
      <c r="E99" s="1810"/>
      <c r="F99" s="1810"/>
      <c r="G99" s="1810"/>
      <c r="H99" s="1810"/>
      <c r="I99" s="1810"/>
      <c r="J99" s="1810"/>
      <c r="K99" s="1810"/>
      <c r="L99" s="1811"/>
      <c r="M99" s="9"/>
      <c r="N99" s="2252" t="s">
        <v>15</v>
      </c>
      <c r="O99" s="2237"/>
      <c r="P99" s="2237"/>
      <c r="Q99" s="2237"/>
      <c r="R99" s="2237"/>
      <c r="S99" s="2240"/>
      <c r="T99" s="2241"/>
      <c r="U99" s="2239"/>
      <c r="V99" s="2242"/>
      <c r="W99" s="2250"/>
      <c r="X99" s="2244"/>
      <c r="Y99" s="2244"/>
      <c r="Z99" s="2245"/>
      <c r="AA99" s="2246"/>
      <c r="AB99" s="2247"/>
      <c r="AC99" s="2248"/>
      <c r="AD99" s="2249"/>
      <c r="AE99" s="2249"/>
      <c r="AF99" s="2238"/>
      <c r="AG99" s="2264"/>
      <c r="AH99" s="918"/>
      <c r="AI99" s="2252" t="s">
        <v>15</v>
      </c>
      <c r="AJ99" s="2237"/>
      <c r="AK99" s="2237"/>
      <c r="AL99" s="2237"/>
      <c r="AM99" s="2237"/>
      <c r="AN99" s="2240"/>
      <c r="AO99" s="2241"/>
      <c r="AP99" s="2239"/>
      <c r="AQ99" s="2242"/>
      <c r="AR99" s="2250"/>
      <c r="AS99" s="2244"/>
      <c r="AT99" s="2244"/>
      <c r="AU99" s="2245"/>
      <c r="AV99" s="2246"/>
      <c r="AW99" s="2247"/>
      <c r="AX99" s="2248"/>
      <c r="AY99" s="2249"/>
      <c r="AZ99" s="2249"/>
      <c r="BA99" s="2238"/>
      <c r="BB99" s="2264"/>
      <c r="BC99" s="918"/>
      <c r="BD99" s="2252" t="s">
        <v>15</v>
      </c>
      <c r="BE99" s="2237"/>
      <c r="BF99" s="2237"/>
      <c r="BG99" s="2237"/>
      <c r="BH99" s="2237"/>
      <c r="BI99" s="2240"/>
      <c r="BJ99" s="2241"/>
      <c r="BK99" s="2239"/>
      <c r="BL99" s="2242"/>
      <c r="BM99" s="2250"/>
      <c r="BN99" s="2244"/>
      <c r="BO99" s="2244"/>
      <c r="BP99" s="2245"/>
      <c r="BQ99" s="2246"/>
      <c r="BR99" s="2247"/>
      <c r="BS99" s="2248"/>
      <c r="BT99" s="2249"/>
      <c r="BU99" s="2249"/>
      <c r="BV99" s="2238"/>
      <c r="BW99" s="2264"/>
      <c r="BY99" s="3">
        <v>1</v>
      </c>
    </row>
    <row r="100" spans="2:77" ht="21" customHeight="1">
      <c r="B100" s="2265" t="str" cm="1">
        <f t="array" ref="B100">SUMPRODUCT(--(D100:J100&lt;&gt;""), LEN(TRIM(SUBSTITUTE(D100:J100, CHAR(160), "")))) &amp; " Car."</f>
        <v>0 Car.</v>
      </c>
      <c r="C100" s="1376" t="str">
        <f>IF(ISBLANK(D100),"",LARGE(C13:C99,1)+1)</f>
        <v/>
      </c>
      <c r="D100" s="1833"/>
      <c r="E100" s="1810"/>
      <c r="F100" s="1810"/>
      <c r="G100" s="1810"/>
      <c r="H100" s="1810"/>
      <c r="I100" s="1810"/>
      <c r="J100" s="1810"/>
      <c r="K100" s="1810"/>
      <c r="L100" s="1811"/>
      <c r="M100" s="9"/>
      <c r="N100" s="2252" t="s">
        <v>15</v>
      </c>
      <c r="O100" s="2237"/>
      <c r="P100" s="2237"/>
      <c r="Q100" s="2237"/>
      <c r="R100" s="2237"/>
      <c r="S100" s="2240"/>
      <c r="T100" s="2241"/>
      <c r="U100" s="2239"/>
      <c r="V100" s="2242"/>
      <c r="W100" s="2250"/>
      <c r="X100" s="2244"/>
      <c r="Y100" s="2244"/>
      <c r="Z100" s="2245"/>
      <c r="AA100" s="2246"/>
      <c r="AB100" s="2247"/>
      <c r="AC100" s="2248"/>
      <c r="AD100" s="2249"/>
      <c r="AE100" s="2249"/>
      <c r="AF100" s="2238"/>
      <c r="AG100" s="2264"/>
      <c r="AH100" s="918"/>
      <c r="AI100" s="2252" t="s">
        <v>15</v>
      </c>
      <c r="AJ100" s="2237"/>
      <c r="AK100" s="2237"/>
      <c r="AL100" s="2237"/>
      <c r="AM100" s="2237"/>
      <c r="AN100" s="2240"/>
      <c r="AO100" s="2241"/>
      <c r="AP100" s="2239"/>
      <c r="AQ100" s="2242"/>
      <c r="AR100" s="2250"/>
      <c r="AS100" s="2244"/>
      <c r="AT100" s="2244"/>
      <c r="AU100" s="2245"/>
      <c r="AV100" s="2246"/>
      <c r="AW100" s="2247"/>
      <c r="AX100" s="2248"/>
      <c r="AY100" s="2249"/>
      <c r="AZ100" s="2249"/>
      <c r="BA100" s="2238"/>
      <c r="BB100" s="2264"/>
      <c r="BC100" s="918"/>
      <c r="BD100" s="2252" t="s">
        <v>15</v>
      </c>
      <c r="BE100" s="2237"/>
      <c r="BF100" s="2237"/>
      <c r="BG100" s="2237"/>
      <c r="BH100" s="2237"/>
      <c r="BI100" s="2240"/>
      <c r="BJ100" s="2241"/>
      <c r="BK100" s="2239"/>
      <c r="BL100" s="2242"/>
      <c r="BM100" s="2250"/>
      <c r="BN100" s="2244"/>
      <c r="BO100" s="2244"/>
      <c r="BP100" s="2245"/>
      <c r="BQ100" s="2246"/>
      <c r="BR100" s="2247"/>
      <c r="BS100" s="2248"/>
      <c r="BT100" s="2249"/>
      <c r="BU100" s="2249"/>
      <c r="BV100" s="2238"/>
      <c r="BW100" s="2264"/>
      <c r="BY100" s="3">
        <v>1</v>
      </c>
    </row>
    <row r="101" spans="2:77" ht="21" customHeight="1">
      <c r="B101" s="2265" t="str" cm="1">
        <f t="array" ref="B101">SUMPRODUCT(--(D101:J101&lt;&gt;""), LEN(TRIM(SUBSTITUTE(D101:J101, CHAR(160), "")))) &amp; " Car."</f>
        <v>0 Car.</v>
      </c>
      <c r="C101" s="1376" t="str">
        <f>IF(ISBLANK(D101),"",LARGE(C13:C100,1)+1)</f>
        <v/>
      </c>
      <c r="D101" s="1833"/>
      <c r="E101" s="1810"/>
      <c r="F101" s="1810"/>
      <c r="G101" s="1810"/>
      <c r="H101" s="1810"/>
      <c r="I101" s="1810"/>
      <c r="J101" s="1810"/>
      <c r="K101" s="1810"/>
      <c r="L101" s="1811"/>
      <c r="M101" s="9"/>
      <c r="N101" s="2252" t="s">
        <v>15</v>
      </c>
      <c r="O101" s="2237"/>
      <c r="P101" s="2237"/>
      <c r="Q101" s="2237"/>
      <c r="R101" s="2237"/>
      <c r="S101" s="2240"/>
      <c r="T101" s="2241"/>
      <c r="U101" s="2239"/>
      <c r="V101" s="2242"/>
      <c r="W101" s="2250"/>
      <c r="X101" s="2244"/>
      <c r="Y101" s="2244"/>
      <c r="Z101" s="2245"/>
      <c r="AA101" s="2246"/>
      <c r="AB101" s="2247"/>
      <c r="AC101" s="2248"/>
      <c r="AD101" s="2249"/>
      <c r="AE101" s="2249"/>
      <c r="AF101" s="2238"/>
      <c r="AG101" s="2264"/>
      <c r="AH101" s="918"/>
      <c r="AI101" s="2252" t="s">
        <v>15</v>
      </c>
      <c r="AJ101" s="2237"/>
      <c r="AK101" s="2237"/>
      <c r="AL101" s="2237"/>
      <c r="AM101" s="2237"/>
      <c r="AN101" s="2240"/>
      <c r="AO101" s="2241"/>
      <c r="AP101" s="2239"/>
      <c r="AQ101" s="2242"/>
      <c r="AR101" s="2250"/>
      <c r="AS101" s="2244"/>
      <c r="AT101" s="2244"/>
      <c r="AU101" s="2245"/>
      <c r="AV101" s="2246"/>
      <c r="AW101" s="2247"/>
      <c r="AX101" s="2248"/>
      <c r="AY101" s="2249"/>
      <c r="AZ101" s="2249"/>
      <c r="BA101" s="2238"/>
      <c r="BB101" s="2264"/>
      <c r="BC101" s="918"/>
      <c r="BD101" s="2252" t="s">
        <v>15</v>
      </c>
      <c r="BE101" s="2237"/>
      <c r="BF101" s="2237"/>
      <c r="BG101" s="2237"/>
      <c r="BH101" s="2237"/>
      <c r="BI101" s="2240"/>
      <c r="BJ101" s="2241"/>
      <c r="BK101" s="2239"/>
      <c r="BL101" s="2242"/>
      <c r="BM101" s="2250"/>
      <c r="BN101" s="2244"/>
      <c r="BO101" s="2244"/>
      <c r="BP101" s="2245"/>
      <c r="BQ101" s="2246"/>
      <c r="BR101" s="2247"/>
      <c r="BS101" s="2248"/>
      <c r="BT101" s="2249"/>
      <c r="BU101" s="2249"/>
      <c r="BV101" s="2238"/>
      <c r="BW101" s="2264"/>
      <c r="BY101" s="3">
        <v>1</v>
      </c>
    </row>
    <row r="102" spans="2:77" ht="21" customHeight="1">
      <c r="B102" s="2265" t="str" cm="1">
        <f t="array" ref="B102">SUMPRODUCT(--(D102:J102&lt;&gt;""), LEN(TRIM(SUBSTITUTE(D102:J102, CHAR(160), "")))) &amp; " Car."</f>
        <v>0 Car.</v>
      </c>
      <c r="C102" s="1376" t="str">
        <f>IF(ISBLANK(D102),"",LARGE(C13:C101,1)+1)</f>
        <v/>
      </c>
      <c r="D102" s="1833"/>
      <c r="E102" s="1810"/>
      <c r="F102" s="1810"/>
      <c r="G102" s="1810"/>
      <c r="H102" s="1810"/>
      <c r="I102" s="1810"/>
      <c r="J102" s="1810"/>
      <c r="K102" s="1810"/>
      <c r="L102" s="1811"/>
      <c r="M102" s="9"/>
      <c r="N102" s="2252" t="s">
        <v>15</v>
      </c>
      <c r="O102" s="2237"/>
      <c r="P102" s="2237"/>
      <c r="Q102" s="2237"/>
      <c r="R102" s="2237"/>
      <c r="S102" s="2240"/>
      <c r="T102" s="2241"/>
      <c r="U102" s="2239"/>
      <c r="V102" s="2242"/>
      <c r="W102" s="2250"/>
      <c r="X102" s="2244"/>
      <c r="Y102" s="2244"/>
      <c r="Z102" s="2245"/>
      <c r="AA102" s="2246"/>
      <c r="AB102" s="2247"/>
      <c r="AC102" s="2248"/>
      <c r="AD102" s="2249"/>
      <c r="AE102" s="2249"/>
      <c r="AF102" s="2238"/>
      <c r="AG102" s="2264"/>
      <c r="AH102" s="918"/>
      <c r="AI102" s="2252" t="s">
        <v>15</v>
      </c>
      <c r="AJ102" s="2237"/>
      <c r="AK102" s="2237"/>
      <c r="AL102" s="2237"/>
      <c r="AM102" s="2237"/>
      <c r="AN102" s="2240"/>
      <c r="AO102" s="2241"/>
      <c r="AP102" s="2239"/>
      <c r="AQ102" s="2242"/>
      <c r="AR102" s="2250"/>
      <c r="AS102" s="2244"/>
      <c r="AT102" s="2244"/>
      <c r="AU102" s="2245"/>
      <c r="AV102" s="2246"/>
      <c r="AW102" s="2247"/>
      <c r="AX102" s="2248"/>
      <c r="AY102" s="2249"/>
      <c r="AZ102" s="2249"/>
      <c r="BA102" s="2238"/>
      <c r="BB102" s="2264"/>
      <c r="BC102" s="918"/>
      <c r="BD102" s="2252" t="s">
        <v>15</v>
      </c>
      <c r="BE102" s="2237"/>
      <c r="BF102" s="2237"/>
      <c r="BG102" s="2237"/>
      <c r="BH102" s="2237"/>
      <c r="BI102" s="2240"/>
      <c r="BJ102" s="2241"/>
      <c r="BK102" s="2239"/>
      <c r="BL102" s="2242"/>
      <c r="BM102" s="2250"/>
      <c r="BN102" s="2244"/>
      <c r="BO102" s="2244"/>
      <c r="BP102" s="2245"/>
      <c r="BQ102" s="2246"/>
      <c r="BR102" s="2247"/>
      <c r="BS102" s="2248"/>
      <c r="BT102" s="2249"/>
      <c r="BU102" s="2249"/>
      <c r="BV102" s="2238"/>
      <c r="BW102" s="2264"/>
      <c r="BY102" s="3">
        <v>1</v>
      </c>
    </row>
    <row r="103" spans="2:77" ht="21" customHeight="1">
      <c r="B103" s="2265" t="str" cm="1">
        <f t="array" ref="B103">SUMPRODUCT(--(D103:J103&lt;&gt;""), LEN(TRIM(SUBSTITUTE(D103:J103, CHAR(160), "")))) &amp; " Car."</f>
        <v>0 Car.</v>
      </c>
      <c r="C103" s="1376" t="str">
        <f>IF(ISBLANK(D103),"",LARGE(C13:C102,1)+1)</f>
        <v/>
      </c>
      <c r="D103" s="1833"/>
      <c r="E103" s="1810"/>
      <c r="F103" s="1810"/>
      <c r="G103" s="1810"/>
      <c r="H103" s="1810"/>
      <c r="I103" s="1810"/>
      <c r="J103" s="1810"/>
      <c r="K103" s="1810"/>
      <c r="L103" s="1811"/>
      <c r="M103" s="9"/>
      <c r="N103" s="2252" t="s">
        <v>15</v>
      </c>
      <c r="O103" s="2237"/>
      <c r="P103" s="2237"/>
      <c r="Q103" s="2237"/>
      <c r="R103" s="2237"/>
      <c r="S103" s="2240"/>
      <c r="T103" s="2241"/>
      <c r="U103" s="2239"/>
      <c r="V103" s="2242"/>
      <c r="W103" s="2250"/>
      <c r="X103" s="2244"/>
      <c r="Y103" s="2244"/>
      <c r="Z103" s="2245"/>
      <c r="AA103" s="2246"/>
      <c r="AB103" s="2247"/>
      <c r="AC103" s="2248"/>
      <c r="AD103" s="2249"/>
      <c r="AE103" s="2249"/>
      <c r="AF103" s="2238"/>
      <c r="AG103" s="2264"/>
      <c r="AH103" s="918"/>
      <c r="AI103" s="2252" t="s">
        <v>15</v>
      </c>
      <c r="AJ103" s="2237"/>
      <c r="AK103" s="2237"/>
      <c r="AL103" s="2237"/>
      <c r="AM103" s="2237"/>
      <c r="AN103" s="2240"/>
      <c r="AO103" s="2241"/>
      <c r="AP103" s="2239"/>
      <c r="AQ103" s="2242"/>
      <c r="AR103" s="2250"/>
      <c r="AS103" s="2244"/>
      <c r="AT103" s="2244"/>
      <c r="AU103" s="2245"/>
      <c r="AV103" s="2246"/>
      <c r="AW103" s="2247"/>
      <c r="AX103" s="2248"/>
      <c r="AY103" s="2249"/>
      <c r="AZ103" s="2249"/>
      <c r="BA103" s="2238"/>
      <c r="BB103" s="2264"/>
      <c r="BC103" s="918"/>
      <c r="BD103" s="2252" t="s">
        <v>15</v>
      </c>
      <c r="BE103" s="2237"/>
      <c r="BF103" s="2237"/>
      <c r="BG103" s="2237"/>
      <c r="BH103" s="2237"/>
      <c r="BI103" s="2240"/>
      <c r="BJ103" s="2241"/>
      <c r="BK103" s="2239"/>
      <c r="BL103" s="2242"/>
      <c r="BM103" s="2250"/>
      <c r="BN103" s="2244"/>
      <c r="BO103" s="2244"/>
      <c r="BP103" s="2245"/>
      <c r="BQ103" s="2246"/>
      <c r="BR103" s="2247"/>
      <c r="BS103" s="2248"/>
      <c r="BT103" s="2249"/>
      <c r="BU103" s="2249"/>
      <c r="BV103" s="2238"/>
      <c r="BW103" s="2264"/>
      <c r="BY103" s="3">
        <v>1</v>
      </c>
    </row>
    <row r="104" spans="2:77" ht="21" customHeight="1">
      <c r="B104" s="2265" t="str" cm="1">
        <f t="array" ref="B104">SUMPRODUCT(--(D104:J104&lt;&gt;""), LEN(TRIM(SUBSTITUTE(D104:J104, CHAR(160), "")))) &amp; " Car."</f>
        <v>0 Car.</v>
      </c>
      <c r="C104" s="1376" t="str">
        <f>IF(ISBLANK(D104),"",LARGE(C13:C103,1)+1)</f>
        <v/>
      </c>
      <c r="D104" s="1833"/>
      <c r="E104" s="1810"/>
      <c r="F104" s="1810"/>
      <c r="G104" s="1810"/>
      <c r="H104" s="1810"/>
      <c r="I104" s="1810"/>
      <c r="J104" s="1810"/>
      <c r="K104" s="1810"/>
      <c r="L104" s="1811"/>
      <c r="M104" s="9"/>
      <c r="N104" s="2252" t="s">
        <v>15</v>
      </c>
      <c r="O104" s="2237"/>
      <c r="P104" s="2237"/>
      <c r="Q104" s="2237"/>
      <c r="R104" s="2237"/>
      <c r="S104" s="2240"/>
      <c r="T104" s="2241"/>
      <c r="U104" s="2239"/>
      <c r="V104" s="2242"/>
      <c r="W104" s="2250"/>
      <c r="X104" s="2244"/>
      <c r="Y104" s="2244"/>
      <c r="Z104" s="2245"/>
      <c r="AA104" s="2246"/>
      <c r="AB104" s="2247"/>
      <c r="AC104" s="2248"/>
      <c r="AD104" s="2249"/>
      <c r="AE104" s="2249"/>
      <c r="AF104" s="2238"/>
      <c r="AG104" s="2264"/>
      <c r="AH104" s="918"/>
      <c r="AI104" s="2252" t="s">
        <v>15</v>
      </c>
      <c r="AJ104" s="2237"/>
      <c r="AK104" s="2237"/>
      <c r="AL104" s="2237"/>
      <c r="AM104" s="2237"/>
      <c r="AN104" s="2240"/>
      <c r="AO104" s="2241"/>
      <c r="AP104" s="2239"/>
      <c r="AQ104" s="2242"/>
      <c r="AR104" s="2250"/>
      <c r="AS104" s="2244"/>
      <c r="AT104" s="2244"/>
      <c r="AU104" s="2245"/>
      <c r="AV104" s="2246"/>
      <c r="AW104" s="2247"/>
      <c r="AX104" s="2248"/>
      <c r="AY104" s="2249"/>
      <c r="AZ104" s="2249"/>
      <c r="BA104" s="2238"/>
      <c r="BB104" s="2264"/>
      <c r="BC104" s="918"/>
      <c r="BD104" s="2252" t="s">
        <v>15</v>
      </c>
      <c r="BE104" s="2237"/>
      <c r="BF104" s="2237"/>
      <c r="BG104" s="2237"/>
      <c r="BH104" s="2237"/>
      <c r="BI104" s="2240"/>
      <c r="BJ104" s="2241"/>
      <c r="BK104" s="2239"/>
      <c r="BL104" s="2242"/>
      <c r="BM104" s="2250"/>
      <c r="BN104" s="2244"/>
      <c r="BO104" s="2244"/>
      <c r="BP104" s="2245"/>
      <c r="BQ104" s="2246"/>
      <c r="BR104" s="2247"/>
      <c r="BS104" s="2248"/>
      <c r="BT104" s="2249"/>
      <c r="BU104" s="2249"/>
      <c r="BV104" s="2238"/>
      <c r="BW104" s="2264"/>
      <c r="BY104" s="3">
        <v>1</v>
      </c>
    </row>
    <row r="105" spans="2:77" ht="21" customHeight="1">
      <c r="B105" s="2265" t="str" cm="1">
        <f t="array" ref="B105">SUMPRODUCT(--(D105:J105&lt;&gt;""), LEN(TRIM(SUBSTITUTE(D105:J105, CHAR(160), "")))) &amp; " Car."</f>
        <v>0 Car.</v>
      </c>
      <c r="C105" s="1376" t="str">
        <f>IF(ISBLANK(D105),"",LARGE(C13:C104,1)+1)</f>
        <v/>
      </c>
      <c r="D105" s="1833"/>
      <c r="E105" s="1810"/>
      <c r="F105" s="1810"/>
      <c r="G105" s="1810"/>
      <c r="H105" s="1810"/>
      <c r="I105" s="1810"/>
      <c r="J105" s="1810"/>
      <c r="K105" s="1810"/>
      <c r="L105" s="1811"/>
      <c r="M105" s="9"/>
      <c r="N105" s="2252" t="s">
        <v>15</v>
      </c>
      <c r="O105" s="2237"/>
      <c r="P105" s="2237"/>
      <c r="Q105" s="2237"/>
      <c r="R105" s="2237"/>
      <c r="S105" s="2240"/>
      <c r="T105" s="2241"/>
      <c r="U105" s="2239"/>
      <c r="V105" s="2242"/>
      <c r="W105" s="2250"/>
      <c r="X105" s="2244"/>
      <c r="Y105" s="2244"/>
      <c r="Z105" s="2245"/>
      <c r="AA105" s="2246"/>
      <c r="AB105" s="2247"/>
      <c r="AC105" s="2248"/>
      <c r="AD105" s="2249"/>
      <c r="AE105" s="2249"/>
      <c r="AF105" s="2238"/>
      <c r="AG105" s="2264"/>
      <c r="AH105" s="918"/>
      <c r="AI105" s="2252" t="s">
        <v>15</v>
      </c>
      <c r="AJ105" s="2237"/>
      <c r="AK105" s="2237"/>
      <c r="AL105" s="2237"/>
      <c r="AM105" s="2237"/>
      <c r="AN105" s="2240"/>
      <c r="AO105" s="2241"/>
      <c r="AP105" s="2239"/>
      <c r="AQ105" s="2242"/>
      <c r="AR105" s="2250"/>
      <c r="AS105" s="2244"/>
      <c r="AT105" s="2244"/>
      <c r="AU105" s="2245"/>
      <c r="AV105" s="2246"/>
      <c r="AW105" s="2247"/>
      <c r="AX105" s="2248"/>
      <c r="AY105" s="2249"/>
      <c r="AZ105" s="2249"/>
      <c r="BA105" s="2238"/>
      <c r="BB105" s="2264"/>
      <c r="BC105" s="918"/>
      <c r="BD105" s="2252" t="s">
        <v>15</v>
      </c>
      <c r="BE105" s="2237"/>
      <c r="BF105" s="2237"/>
      <c r="BG105" s="2237"/>
      <c r="BH105" s="2237"/>
      <c r="BI105" s="2240"/>
      <c r="BJ105" s="2241"/>
      <c r="BK105" s="2239"/>
      <c r="BL105" s="2242"/>
      <c r="BM105" s="2250"/>
      <c r="BN105" s="2244"/>
      <c r="BO105" s="2244"/>
      <c r="BP105" s="2245"/>
      <c r="BQ105" s="2246"/>
      <c r="BR105" s="2247"/>
      <c r="BS105" s="2248"/>
      <c r="BT105" s="2249"/>
      <c r="BU105" s="2249"/>
      <c r="BV105" s="2238"/>
      <c r="BW105" s="2264"/>
      <c r="BY105" s="3">
        <v>1</v>
      </c>
    </row>
    <row r="106" spans="2:77" ht="21" customHeight="1">
      <c r="B106" s="2265" t="str" cm="1">
        <f t="array" ref="B106">SUMPRODUCT(--(D106:J106&lt;&gt;""), LEN(TRIM(SUBSTITUTE(D106:J106, CHAR(160), "")))) &amp; " Car."</f>
        <v>0 Car.</v>
      </c>
      <c r="C106" s="1376" t="str">
        <f>IF(ISBLANK(D106),"",LARGE(C13:C105,1)+1)</f>
        <v/>
      </c>
      <c r="D106" s="1833"/>
      <c r="E106" s="1810"/>
      <c r="F106" s="1810"/>
      <c r="G106" s="1810"/>
      <c r="H106" s="1810"/>
      <c r="I106" s="1810"/>
      <c r="J106" s="1810"/>
      <c r="K106" s="1810"/>
      <c r="L106" s="1811"/>
      <c r="M106" s="9"/>
      <c r="N106" s="2252" t="s">
        <v>15</v>
      </c>
      <c r="O106" s="2237"/>
      <c r="P106" s="2237"/>
      <c r="Q106" s="2237"/>
      <c r="R106" s="2237"/>
      <c r="S106" s="2240"/>
      <c r="T106" s="2241"/>
      <c r="U106" s="2239"/>
      <c r="V106" s="2242"/>
      <c r="W106" s="2250"/>
      <c r="X106" s="2244"/>
      <c r="Y106" s="2244"/>
      <c r="Z106" s="2245"/>
      <c r="AA106" s="2246"/>
      <c r="AB106" s="2247"/>
      <c r="AC106" s="2248"/>
      <c r="AD106" s="2249"/>
      <c r="AE106" s="2249"/>
      <c r="AF106" s="2238"/>
      <c r="AG106" s="2264"/>
      <c r="AH106" s="918"/>
      <c r="AI106" s="2252" t="s">
        <v>15</v>
      </c>
      <c r="AJ106" s="2237"/>
      <c r="AK106" s="2237"/>
      <c r="AL106" s="2237"/>
      <c r="AM106" s="2237"/>
      <c r="AN106" s="2240"/>
      <c r="AO106" s="2241"/>
      <c r="AP106" s="2239"/>
      <c r="AQ106" s="2242"/>
      <c r="AR106" s="2250"/>
      <c r="AS106" s="2244"/>
      <c r="AT106" s="2244"/>
      <c r="AU106" s="2245"/>
      <c r="AV106" s="2246"/>
      <c r="AW106" s="2247"/>
      <c r="AX106" s="2248"/>
      <c r="AY106" s="2249"/>
      <c r="AZ106" s="2249"/>
      <c r="BA106" s="2238"/>
      <c r="BB106" s="2264"/>
      <c r="BC106" s="918"/>
      <c r="BD106" s="2252" t="s">
        <v>15</v>
      </c>
      <c r="BE106" s="2237"/>
      <c r="BF106" s="2237"/>
      <c r="BG106" s="2237"/>
      <c r="BH106" s="2237"/>
      <c r="BI106" s="2240"/>
      <c r="BJ106" s="2241"/>
      <c r="BK106" s="2239"/>
      <c r="BL106" s="2242"/>
      <c r="BM106" s="2250"/>
      <c r="BN106" s="2244"/>
      <c r="BO106" s="2244"/>
      <c r="BP106" s="2245"/>
      <c r="BQ106" s="2246"/>
      <c r="BR106" s="2247"/>
      <c r="BS106" s="2248"/>
      <c r="BT106" s="2249"/>
      <c r="BU106" s="2249"/>
      <c r="BV106" s="2238"/>
      <c r="BW106" s="2264"/>
      <c r="BY106" s="3">
        <v>1</v>
      </c>
    </row>
    <row r="107" spans="2:77" ht="21" customHeight="1">
      <c r="B107" s="2265" t="str" cm="1">
        <f t="array" ref="B107">SUMPRODUCT(--(D107:J107&lt;&gt;""), LEN(TRIM(SUBSTITUTE(D107:J107, CHAR(160), "")))) &amp; " Car."</f>
        <v>0 Car.</v>
      </c>
      <c r="C107" s="1376" t="str">
        <f>IF(ISBLANK(D107),"",LARGE(C13:C106,1)+1)</f>
        <v/>
      </c>
      <c r="D107" s="1833"/>
      <c r="E107" s="1810"/>
      <c r="F107" s="1810"/>
      <c r="G107" s="1810"/>
      <c r="H107" s="1810"/>
      <c r="I107" s="1810"/>
      <c r="J107" s="1810"/>
      <c r="K107" s="1810"/>
      <c r="L107" s="1811"/>
      <c r="M107" s="9"/>
      <c r="N107" s="2252" t="s">
        <v>15</v>
      </c>
      <c r="O107" s="2237"/>
      <c r="P107" s="2237"/>
      <c r="Q107" s="2237"/>
      <c r="R107" s="2237"/>
      <c r="S107" s="2240"/>
      <c r="T107" s="2241"/>
      <c r="U107" s="2239"/>
      <c r="V107" s="2242"/>
      <c r="W107" s="2250"/>
      <c r="X107" s="2244"/>
      <c r="Y107" s="2244"/>
      <c r="Z107" s="2245"/>
      <c r="AA107" s="2246"/>
      <c r="AB107" s="2247"/>
      <c r="AC107" s="2248"/>
      <c r="AD107" s="2249"/>
      <c r="AE107" s="2249"/>
      <c r="AF107" s="2238"/>
      <c r="AG107" s="2264"/>
      <c r="AH107" s="918"/>
      <c r="AI107" s="2252" t="s">
        <v>15</v>
      </c>
      <c r="AJ107" s="2237"/>
      <c r="AK107" s="2237"/>
      <c r="AL107" s="2237"/>
      <c r="AM107" s="2237"/>
      <c r="AN107" s="2240"/>
      <c r="AO107" s="2241"/>
      <c r="AP107" s="2239"/>
      <c r="AQ107" s="2242"/>
      <c r="AR107" s="2250"/>
      <c r="AS107" s="2244"/>
      <c r="AT107" s="2244"/>
      <c r="AU107" s="2245"/>
      <c r="AV107" s="2246"/>
      <c r="AW107" s="2247"/>
      <c r="AX107" s="2248"/>
      <c r="AY107" s="2249"/>
      <c r="AZ107" s="2249"/>
      <c r="BA107" s="2238"/>
      <c r="BB107" s="2264"/>
      <c r="BC107" s="918"/>
      <c r="BD107" s="2252" t="s">
        <v>15</v>
      </c>
      <c r="BE107" s="2237"/>
      <c r="BF107" s="2237"/>
      <c r="BG107" s="2237"/>
      <c r="BH107" s="2237"/>
      <c r="BI107" s="2240"/>
      <c r="BJ107" s="2241"/>
      <c r="BK107" s="2239"/>
      <c r="BL107" s="2242"/>
      <c r="BM107" s="2250"/>
      <c r="BN107" s="2244"/>
      <c r="BO107" s="2244"/>
      <c r="BP107" s="2245"/>
      <c r="BQ107" s="2246"/>
      <c r="BR107" s="2247"/>
      <c r="BS107" s="2248"/>
      <c r="BT107" s="2249"/>
      <c r="BU107" s="2249"/>
      <c r="BV107" s="2238"/>
      <c r="BW107" s="2264"/>
      <c r="BY107" s="3">
        <v>1</v>
      </c>
    </row>
    <row r="108" spans="2:77" ht="21" customHeight="1">
      <c r="B108" s="2265" t="str" cm="1">
        <f t="array" ref="B108">SUMPRODUCT(--(D108:J108&lt;&gt;""), LEN(TRIM(SUBSTITUTE(D108:J108, CHAR(160), "")))) &amp; " Car."</f>
        <v>0 Car.</v>
      </c>
      <c r="C108" s="1376" t="str">
        <f>IF(ISBLANK(D108),"",LARGE(C13:C107,1)+1)</f>
        <v/>
      </c>
      <c r="D108" s="1833"/>
      <c r="E108" s="1810"/>
      <c r="F108" s="1810"/>
      <c r="G108" s="1810"/>
      <c r="H108" s="1810"/>
      <c r="I108" s="1810"/>
      <c r="J108" s="1810"/>
      <c r="K108" s="1810"/>
      <c r="L108" s="1811"/>
      <c r="M108" s="9"/>
      <c r="N108" s="2252" t="s">
        <v>15</v>
      </c>
      <c r="O108" s="2237"/>
      <c r="P108" s="2237"/>
      <c r="Q108" s="2237"/>
      <c r="R108" s="2237"/>
      <c r="S108" s="2240"/>
      <c r="T108" s="2241"/>
      <c r="U108" s="2239"/>
      <c r="V108" s="2242"/>
      <c r="W108" s="2250"/>
      <c r="X108" s="2244"/>
      <c r="Y108" s="2244"/>
      <c r="Z108" s="2245"/>
      <c r="AA108" s="2246"/>
      <c r="AB108" s="2247"/>
      <c r="AC108" s="2248"/>
      <c r="AD108" s="2249"/>
      <c r="AE108" s="2249"/>
      <c r="AF108" s="2238"/>
      <c r="AG108" s="2264"/>
      <c r="AH108" s="918"/>
      <c r="AI108" s="2252" t="s">
        <v>15</v>
      </c>
      <c r="AJ108" s="2237"/>
      <c r="AK108" s="2237"/>
      <c r="AL108" s="2237"/>
      <c r="AM108" s="2237"/>
      <c r="AN108" s="2240"/>
      <c r="AO108" s="2241"/>
      <c r="AP108" s="2239"/>
      <c r="AQ108" s="2242"/>
      <c r="AR108" s="2250"/>
      <c r="AS108" s="2244"/>
      <c r="AT108" s="2244"/>
      <c r="AU108" s="2245"/>
      <c r="AV108" s="2246"/>
      <c r="AW108" s="2247"/>
      <c r="AX108" s="2248"/>
      <c r="AY108" s="2249"/>
      <c r="AZ108" s="2249"/>
      <c r="BA108" s="2238"/>
      <c r="BB108" s="2264"/>
      <c r="BC108" s="918"/>
      <c r="BD108" s="2252" t="s">
        <v>15</v>
      </c>
      <c r="BE108" s="2237"/>
      <c r="BF108" s="2237"/>
      <c r="BG108" s="2237"/>
      <c r="BH108" s="2237"/>
      <c r="BI108" s="2240"/>
      <c r="BJ108" s="2241"/>
      <c r="BK108" s="2239"/>
      <c r="BL108" s="2242"/>
      <c r="BM108" s="2250"/>
      <c r="BN108" s="2244"/>
      <c r="BO108" s="2244"/>
      <c r="BP108" s="2245"/>
      <c r="BQ108" s="2246"/>
      <c r="BR108" s="2247"/>
      <c r="BS108" s="2248"/>
      <c r="BT108" s="2249"/>
      <c r="BU108" s="2249"/>
      <c r="BV108" s="2238"/>
      <c r="BW108" s="2264"/>
      <c r="BY108" s="3">
        <v>1</v>
      </c>
    </row>
    <row r="109" spans="2:77" ht="21" customHeight="1">
      <c r="B109" s="2265" t="str" cm="1">
        <f t="array" ref="B109">SUMPRODUCT(--(D109:J109&lt;&gt;""), LEN(TRIM(SUBSTITUTE(D109:J109, CHAR(160), "")))) &amp; " Car."</f>
        <v>0 Car.</v>
      </c>
      <c r="C109" s="1376" t="str">
        <f>IF(ISBLANK(D109),"",LARGE(C13:C108,1)+1)</f>
        <v/>
      </c>
      <c r="D109" s="1833"/>
      <c r="E109" s="1810"/>
      <c r="F109" s="1810"/>
      <c r="G109" s="1810"/>
      <c r="H109" s="1810"/>
      <c r="I109" s="1810"/>
      <c r="J109" s="1810"/>
      <c r="K109" s="1810"/>
      <c r="L109" s="1811"/>
      <c r="M109" s="9"/>
      <c r="N109" s="2252" t="s">
        <v>15</v>
      </c>
      <c r="O109" s="2237"/>
      <c r="P109" s="2237"/>
      <c r="Q109" s="2237"/>
      <c r="R109" s="2237"/>
      <c r="S109" s="2240"/>
      <c r="T109" s="2241"/>
      <c r="U109" s="2239"/>
      <c r="V109" s="2242"/>
      <c r="W109" s="2250"/>
      <c r="X109" s="2244"/>
      <c r="Y109" s="2244"/>
      <c r="Z109" s="2245"/>
      <c r="AA109" s="2246"/>
      <c r="AB109" s="2247"/>
      <c r="AC109" s="2248"/>
      <c r="AD109" s="2249"/>
      <c r="AE109" s="2249"/>
      <c r="AF109" s="2238"/>
      <c r="AG109" s="2264"/>
      <c r="AH109" s="918"/>
      <c r="AI109" s="2252" t="s">
        <v>15</v>
      </c>
      <c r="AJ109" s="2237"/>
      <c r="AK109" s="2237"/>
      <c r="AL109" s="2237"/>
      <c r="AM109" s="2237"/>
      <c r="AN109" s="2240"/>
      <c r="AO109" s="2241"/>
      <c r="AP109" s="2239"/>
      <c r="AQ109" s="2242"/>
      <c r="AR109" s="2250"/>
      <c r="AS109" s="2244"/>
      <c r="AT109" s="2244"/>
      <c r="AU109" s="2245"/>
      <c r="AV109" s="2246"/>
      <c r="AW109" s="2247"/>
      <c r="AX109" s="2248"/>
      <c r="AY109" s="2249"/>
      <c r="AZ109" s="2249"/>
      <c r="BA109" s="2238"/>
      <c r="BB109" s="2264"/>
      <c r="BC109" s="918"/>
      <c r="BD109" s="2252" t="s">
        <v>15</v>
      </c>
      <c r="BE109" s="2237"/>
      <c r="BF109" s="2237"/>
      <c r="BG109" s="2237"/>
      <c r="BH109" s="2237"/>
      <c r="BI109" s="2240"/>
      <c r="BJ109" s="2241"/>
      <c r="BK109" s="2239"/>
      <c r="BL109" s="2242"/>
      <c r="BM109" s="2250"/>
      <c r="BN109" s="2244"/>
      <c r="BO109" s="2244"/>
      <c r="BP109" s="2245"/>
      <c r="BQ109" s="2246"/>
      <c r="BR109" s="2247"/>
      <c r="BS109" s="2248"/>
      <c r="BT109" s="2249"/>
      <c r="BU109" s="2249"/>
      <c r="BV109" s="2238"/>
      <c r="BW109" s="2264"/>
      <c r="BY109" s="3">
        <v>1</v>
      </c>
    </row>
    <row r="110" spans="2:77" ht="21" customHeight="1">
      <c r="B110" s="2265" t="str" cm="1">
        <f t="array" ref="B110">SUMPRODUCT(--(D110:J110&lt;&gt;""), LEN(TRIM(SUBSTITUTE(D110:J110, CHAR(160), "")))) &amp; " Car."</f>
        <v>0 Car.</v>
      </c>
      <c r="C110" s="1376" t="str">
        <f>IF(ISBLANK(D110),"",LARGE(C13:C109,1)+1)</f>
        <v/>
      </c>
      <c r="D110" s="1833"/>
      <c r="E110" s="1810"/>
      <c r="F110" s="1810"/>
      <c r="G110" s="1810"/>
      <c r="H110" s="1810"/>
      <c r="I110" s="1810"/>
      <c r="J110" s="1810"/>
      <c r="K110" s="1810"/>
      <c r="L110" s="1811"/>
      <c r="M110" s="9"/>
      <c r="N110" s="2252" t="s">
        <v>15</v>
      </c>
      <c r="O110" s="2237"/>
      <c r="P110" s="2237"/>
      <c r="Q110" s="2237"/>
      <c r="R110" s="2237"/>
      <c r="S110" s="2240"/>
      <c r="T110" s="2241"/>
      <c r="U110" s="2239"/>
      <c r="V110" s="2242"/>
      <c r="W110" s="2250"/>
      <c r="X110" s="2244"/>
      <c r="Y110" s="2244"/>
      <c r="Z110" s="2245"/>
      <c r="AA110" s="2246"/>
      <c r="AB110" s="2247"/>
      <c r="AC110" s="2248"/>
      <c r="AD110" s="2249"/>
      <c r="AE110" s="2249"/>
      <c r="AF110" s="2238"/>
      <c r="AG110" s="2264"/>
      <c r="AH110" s="918"/>
      <c r="AI110" s="2252" t="s">
        <v>15</v>
      </c>
      <c r="AJ110" s="2237"/>
      <c r="AK110" s="2237"/>
      <c r="AL110" s="2237"/>
      <c r="AM110" s="2237"/>
      <c r="AN110" s="2240"/>
      <c r="AO110" s="2241"/>
      <c r="AP110" s="2239"/>
      <c r="AQ110" s="2242"/>
      <c r="AR110" s="2250"/>
      <c r="AS110" s="2244"/>
      <c r="AT110" s="2244"/>
      <c r="AU110" s="2245"/>
      <c r="AV110" s="2246"/>
      <c r="AW110" s="2247"/>
      <c r="AX110" s="2248"/>
      <c r="AY110" s="2249"/>
      <c r="AZ110" s="2249"/>
      <c r="BA110" s="2238"/>
      <c r="BB110" s="2264"/>
      <c r="BC110" s="918"/>
      <c r="BD110" s="2252" t="s">
        <v>15</v>
      </c>
      <c r="BE110" s="2237"/>
      <c r="BF110" s="2237"/>
      <c r="BG110" s="2237"/>
      <c r="BH110" s="2237"/>
      <c r="BI110" s="2240"/>
      <c r="BJ110" s="2241"/>
      <c r="BK110" s="2239"/>
      <c r="BL110" s="2242"/>
      <c r="BM110" s="2250"/>
      <c r="BN110" s="2244"/>
      <c r="BO110" s="2244"/>
      <c r="BP110" s="2245"/>
      <c r="BQ110" s="2246"/>
      <c r="BR110" s="2247"/>
      <c r="BS110" s="2248"/>
      <c r="BT110" s="2249"/>
      <c r="BU110" s="2249"/>
      <c r="BV110" s="2238"/>
      <c r="BW110" s="2264"/>
      <c r="BY110" s="3">
        <v>1</v>
      </c>
    </row>
    <row r="111" spans="2:77" ht="21" customHeight="1">
      <c r="B111" s="2265" t="str" cm="1">
        <f t="array" ref="B111">SUMPRODUCT(--(D111:J111&lt;&gt;""), LEN(TRIM(SUBSTITUTE(D111:J111, CHAR(160), "")))) &amp; " Car."</f>
        <v>0 Car.</v>
      </c>
      <c r="C111" s="1376" t="str">
        <f>IF(ISBLANK(D111),"",LARGE(C13:C110,1)+1)</f>
        <v/>
      </c>
      <c r="D111" s="1833"/>
      <c r="E111" s="1810"/>
      <c r="F111" s="1810"/>
      <c r="G111" s="1810"/>
      <c r="H111" s="1810"/>
      <c r="I111" s="1810"/>
      <c r="J111" s="1810"/>
      <c r="K111" s="1810"/>
      <c r="L111" s="1811"/>
      <c r="M111" s="9"/>
      <c r="N111" s="2252" t="s">
        <v>15</v>
      </c>
      <c r="O111" s="2237"/>
      <c r="P111" s="2237"/>
      <c r="Q111" s="2237"/>
      <c r="R111" s="2237"/>
      <c r="S111" s="2240"/>
      <c r="T111" s="2241"/>
      <c r="U111" s="2239"/>
      <c r="V111" s="2242"/>
      <c r="W111" s="2250"/>
      <c r="X111" s="2244"/>
      <c r="Y111" s="2244"/>
      <c r="Z111" s="2245"/>
      <c r="AA111" s="2246"/>
      <c r="AB111" s="2247"/>
      <c r="AC111" s="2248"/>
      <c r="AD111" s="2249"/>
      <c r="AE111" s="2249"/>
      <c r="AF111" s="2238"/>
      <c r="AG111" s="2264"/>
      <c r="AH111" s="918"/>
      <c r="AI111" s="2252" t="s">
        <v>15</v>
      </c>
      <c r="AJ111" s="2237"/>
      <c r="AK111" s="2237"/>
      <c r="AL111" s="2237"/>
      <c r="AM111" s="2237"/>
      <c r="AN111" s="2240"/>
      <c r="AO111" s="2241"/>
      <c r="AP111" s="2239"/>
      <c r="AQ111" s="2242"/>
      <c r="AR111" s="2250"/>
      <c r="AS111" s="2244"/>
      <c r="AT111" s="2244"/>
      <c r="AU111" s="2245"/>
      <c r="AV111" s="2246"/>
      <c r="AW111" s="2247"/>
      <c r="AX111" s="2248"/>
      <c r="AY111" s="2249"/>
      <c r="AZ111" s="2249"/>
      <c r="BA111" s="2238"/>
      <c r="BB111" s="2264"/>
      <c r="BC111" s="918"/>
      <c r="BD111" s="2252" t="s">
        <v>15</v>
      </c>
      <c r="BE111" s="2237"/>
      <c r="BF111" s="2237"/>
      <c r="BG111" s="2237"/>
      <c r="BH111" s="2237"/>
      <c r="BI111" s="2240"/>
      <c r="BJ111" s="2241"/>
      <c r="BK111" s="2239"/>
      <c r="BL111" s="2242"/>
      <c r="BM111" s="2250"/>
      <c r="BN111" s="2244"/>
      <c r="BO111" s="2244"/>
      <c r="BP111" s="2245"/>
      <c r="BQ111" s="2246"/>
      <c r="BR111" s="2247"/>
      <c r="BS111" s="2248"/>
      <c r="BT111" s="2249"/>
      <c r="BU111" s="2249"/>
      <c r="BV111" s="2238"/>
      <c r="BW111" s="2264"/>
      <c r="BY111" s="3">
        <v>1</v>
      </c>
    </row>
    <row r="112" spans="2:77" ht="21" customHeight="1">
      <c r="B112" s="2265" t="str" cm="1">
        <f t="array" ref="B112">SUMPRODUCT(--(D112:J112&lt;&gt;""), LEN(TRIM(SUBSTITUTE(D112:J112, CHAR(160), "")))) &amp; " Car."</f>
        <v>0 Car.</v>
      </c>
      <c r="C112" s="1376" t="str">
        <f>IF(ISBLANK(D112),"",LARGE(C13:C111,1)+1)</f>
        <v/>
      </c>
      <c r="D112" s="1833"/>
      <c r="E112" s="1810"/>
      <c r="F112" s="1810"/>
      <c r="G112" s="1810"/>
      <c r="H112" s="1810"/>
      <c r="I112" s="1810"/>
      <c r="J112" s="1810"/>
      <c r="K112" s="1810"/>
      <c r="L112" s="1811"/>
      <c r="M112" s="9"/>
      <c r="N112" s="2252" t="s">
        <v>15</v>
      </c>
      <c r="O112" s="2237"/>
      <c r="P112" s="2237"/>
      <c r="Q112" s="2237"/>
      <c r="R112" s="2237"/>
      <c r="S112" s="2240"/>
      <c r="T112" s="2241"/>
      <c r="U112" s="2239"/>
      <c r="V112" s="2242"/>
      <c r="W112" s="2250"/>
      <c r="X112" s="2244"/>
      <c r="Y112" s="2244"/>
      <c r="Z112" s="2245"/>
      <c r="AA112" s="2246"/>
      <c r="AB112" s="2247"/>
      <c r="AC112" s="2248"/>
      <c r="AD112" s="2249"/>
      <c r="AE112" s="2249"/>
      <c r="AF112" s="2238"/>
      <c r="AG112" s="2264"/>
      <c r="AH112" s="918"/>
      <c r="AI112" s="2252" t="s">
        <v>15</v>
      </c>
      <c r="AJ112" s="2237"/>
      <c r="AK112" s="2237"/>
      <c r="AL112" s="2237"/>
      <c r="AM112" s="2237"/>
      <c r="AN112" s="2240"/>
      <c r="AO112" s="2241"/>
      <c r="AP112" s="2239"/>
      <c r="AQ112" s="2242"/>
      <c r="AR112" s="2250"/>
      <c r="AS112" s="2244"/>
      <c r="AT112" s="2244"/>
      <c r="AU112" s="2245"/>
      <c r="AV112" s="2246"/>
      <c r="AW112" s="2247"/>
      <c r="AX112" s="2248"/>
      <c r="AY112" s="2249"/>
      <c r="AZ112" s="2249"/>
      <c r="BA112" s="2238"/>
      <c r="BB112" s="2264"/>
      <c r="BC112" s="918"/>
      <c r="BD112" s="2252" t="s">
        <v>15</v>
      </c>
      <c r="BE112" s="2237"/>
      <c r="BF112" s="2237"/>
      <c r="BG112" s="2237"/>
      <c r="BH112" s="2237"/>
      <c r="BI112" s="2240"/>
      <c r="BJ112" s="2241"/>
      <c r="BK112" s="2239"/>
      <c r="BL112" s="2242"/>
      <c r="BM112" s="2250"/>
      <c r="BN112" s="2244"/>
      <c r="BO112" s="2244"/>
      <c r="BP112" s="2245"/>
      <c r="BQ112" s="2246"/>
      <c r="BR112" s="2247"/>
      <c r="BS112" s="2248"/>
      <c r="BT112" s="2249"/>
      <c r="BU112" s="2249"/>
      <c r="BV112" s="2238"/>
      <c r="BW112" s="2264"/>
      <c r="BY112" s="3">
        <v>1</v>
      </c>
    </row>
    <row r="113" spans="2:77" ht="21" customHeight="1">
      <c r="B113" s="2265" t="str" cm="1">
        <f t="array" ref="B113">SUMPRODUCT(--(D113:J113&lt;&gt;""), LEN(TRIM(SUBSTITUTE(D113:J113, CHAR(160), "")))) &amp; " Car."</f>
        <v>0 Car.</v>
      </c>
      <c r="C113" s="1376" t="str">
        <f>IF(ISBLANK(D113),"",LARGE(C13:C112,1)+1)</f>
        <v/>
      </c>
      <c r="D113" s="1833"/>
      <c r="E113" s="1810"/>
      <c r="F113" s="1810"/>
      <c r="G113" s="1810"/>
      <c r="H113" s="1810"/>
      <c r="I113" s="1810"/>
      <c r="J113" s="1810"/>
      <c r="K113" s="1810"/>
      <c r="L113" s="1811"/>
      <c r="M113" s="9"/>
      <c r="N113" s="2252" t="s">
        <v>15</v>
      </c>
      <c r="O113" s="2237"/>
      <c r="P113" s="2237"/>
      <c r="Q113" s="2237"/>
      <c r="R113" s="2237"/>
      <c r="S113" s="2240"/>
      <c r="T113" s="2241"/>
      <c r="U113" s="2239"/>
      <c r="V113" s="2242"/>
      <c r="W113" s="2250"/>
      <c r="X113" s="2244"/>
      <c r="Y113" s="2244"/>
      <c r="Z113" s="2245"/>
      <c r="AA113" s="2246"/>
      <c r="AB113" s="2247"/>
      <c r="AC113" s="2248"/>
      <c r="AD113" s="2249"/>
      <c r="AE113" s="2249"/>
      <c r="AF113" s="2238"/>
      <c r="AG113" s="2264"/>
      <c r="AH113" s="918"/>
      <c r="AI113" s="2252" t="s">
        <v>15</v>
      </c>
      <c r="AJ113" s="2237"/>
      <c r="AK113" s="2237"/>
      <c r="AL113" s="2237"/>
      <c r="AM113" s="2237"/>
      <c r="AN113" s="2240"/>
      <c r="AO113" s="2241"/>
      <c r="AP113" s="2239"/>
      <c r="AQ113" s="2242"/>
      <c r="AR113" s="2250"/>
      <c r="AS113" s="2244"/>
      <c r="AT113" s="2244"/>
      <c r="AU113" s="2245"/>
      <c r="AV113" s="2246"/>
      <c r="AW113" s="2247"/>
      <c r="AX113" s="2248"/>
      <c r="AY113" s="2249"/>
      <c r="AZ113" s="2249"/>
      <c r="BA113" s="2238"/>
      <c r="BB113" s="2264"/>
      <c r="BC113" s="918"/>
      <c r="BD113" s="2252" t="s">
        <v>15</v>
      </c>
      <c r="BE113" s="2237"/>
      <c r="BF113" s="2237"/>
      <c r="BG113" s="2237"/>
      <c r="BH113" s="2237"/>
      <c r="BI113" s="2240"/>
      <c r="BJ113" s="2241"/>
      <c r="BK113" s="2239"/>
      <c r="BL113" s="2242"/>
      <c r="BM113" s="2250"/>
      <c r="BN113" s="2244"/>
      <c r="BO113" s="2244"/>
      <c r="BP113" s="2245"/>
      <c r="BQ113" s="2246"/>
      <c r="BR113" s="2247"/>
      <c r="BS113" s="2248"/>
      <c r="BT113" s="2249"/>
      <c r="BU113" s="2249"/>
      <c r="BV113" s="2238"/>
      <c r="BW113" s="2264"/>
      <c r="BY113" s="3">
        <v>1</v>
      </c>
    </row>
    <row r="114" spans="2:77" ht="21" customHeight="1">
      <c r="B114" s="2265" t="str" cm="1">
        <f t="array" ref="B114">SUMPRODUCT(--(D114:J114&lt;&gt;""), LEN(TRIM(SUBSTITUTE(D114:J114, CHAR(160), "")))) &amp; " Car."</f>
        <v>0 Car.</v>
      </c>
      <c r="C114" s="1376" t="str">
        <f>IF(ISBLANK(D114),"",LARGE(C13:C113,1)+1)</f>
        <v/>
      </c>
      <c r="D114" s="1833"/>
      <c r="E114" s="1810"/>
      <c r="F114" s="1810"/>
      <c r="G114" s="1810"/>
      <c r="H114" s="1810"/>
      <c r="I114" s="1810"/>
      <c r="J114" s="1810"/>
      <c r="K114" s="1810"/>
      <c r="L114" s="1811"/>
      <c r="M114" s="9"/>
      <c r="N114" s="2252" t="s">
        <v>15</v>
      </c>
      <c r="O114" s="2237"/>
      <c r="P114" s="2237"/>
      <c r="Q114" s="2237"/>
      <c r="R114" s="2237"/>
      <c r="S114" s="2240"/>
      <c r="T114" s="2241"/>
      <c r="U114" s="2239"/>
      <c r="V114" s="2242"/>
      <c r="W114" s="2250"/>
      <c r="X114" s="2244"/>
      <c r="Y114" s="2244"/>
      <c r="Z114" s="2245"/>
      <c r="AA114" s="2246"/>
      <c r="AB114" s="2247"/>
      <c r="AC114" s="2248"/>
      <c r="AD114" s="2249"/>
      <c r="AE114" s="2249"/>
      <c r="AF114" s="2238"/>
      <c r="AG114" s="2264"/>
      <c r="AH114" s="918"/>
      <c r="AI114" s="2252" t="s">
        <v>15</v>
      </c>
      <c r="AJ114" s="2237"/>
      <c r="AK114" s="2237"/>
      <c r="AL114" s="2237"/>
      <c r="AM114" s="2237"/>
      <c r="AN114" s="2240"/>
      <c r="AO114" s="2241"/>
      <c r="AP114" s="2239"/>
      <c r="AQ114" s="2242"/>
      <c r="AR114" s="2250"/>
      <c r="AS114" s="2244"/>
      <c r="AT114" s="2244"/>
      <c r="AU114" s="2245"/>
      <c r="AV114" s="2246"/>
      <c r="AW114" s="2247"/>
      <c r="AX114" s="2248"/>
      <c r="AY114" s="2249"/>
      <c r="AZ114" s="2249"/>
      <c r="BA114" s="2238"/>
      <c r="BB114" s="2264"/>
      <c r="BC114" s="918"/>
      <c r="BD114" s="2252" t="s">
        <v>15</v>
      </c>
      <c r="BE114" s="2237"/>
      <c r="BF114" s="2237"/>
      <c r="BG114" s="2237"/>
      <c r="BH114" s="2237"/>
      <c r="BI114" s="2240"/>
      <c r="BJ114" s="2241"/>
      <c r="BK114" s="2239"/>
      <c r="BL114" s="2242"/>
      <c r="BM114" s="2250"/>
      <c r="BN114" s="2244"/>
      <c r="BO114" s="2244"/>
      <c r="BP114" s="2245"/>
      <c r="BQ114" s="2246"/>
      <c r="BR114" s="2247"/>
      <c r="BS114" s="2248"/>
      <c r="BT114" s="2249"/>
      <c r="BU114" s="2249"/>
      <c r="BV114" s="2238"/>
      <c r="BW114" s="2264"/>
      <c r="BY114" s="3">
        <v>1</v>
      </c>
    </row>
    <row r="115" spans="2:77" ht="21" customHeight="1">
      <c r="B115" s="2265" t="str" cm="1">
        <f t="array" ref="B115">SUMPRODUCT(--(D115:J115&lt;&gt;""), LEN(TRIM(SUBSTITUTE(D115:J115, CHAR(160), "")))) &amp; " Car."</f>
        <v>0 Car.</v>
      </c>
      <c r="C115" s="1376" t="str">
        <f>IF(ISBLANK(D115),"",LARGE(C13:C114,1)+1)</f>
        <v/>
      </c>
      <c r="D115" s="1833"/>
      <c r="E115" s="1810"/>
      <c r="F115" s="1810"/>
      <c r="G115" s="1810"/>
      <c r="H115" s="1810"/>
      <c r="I115" s="1810"/>
      <c r="J115" s="1810"/>
      <c r="K115" s="1810"/>
      <c r="L115" s="1811"/>
      <c r="M115" s="9"/>
      <c r="N115" s="2252" t="s">
        <v>15</v>
      </c>
      <c r="O115" s="2237"/>
      <c r="P115" s="2237"/>
      <c r="Q115" s="2237"/>
      <c r="R115" s="2237"/>
      <c r="S115" s="2240"/>
      <c r="T115" s="2241"/>
      <c r="U115" s="2239"/>
      <c r="V115" s="2242"/>
      <c r="W115" s="2250"/>
      <c r="X115" s="2244"/>
      <c r="Y115" s="2244"/>
      <c r="Z115" s="2245"/>
      <c r="AA115" s="2246"/>
      <c r="AB115" s="2247"/>
      <c r="AC115" s="2248"/>
      <c r="AD115" s="2249"/>
      <c r="AE115" s="2249"/>
      <c r="AF115" s="2238"/>
      <c r="AG115" s="2264"/>
      <c r="AH115" s="918"/>
      <c r="AI115" s="2252" t="s">
        <v>15</v>
      </c>
      <c r="AJ115" s="2237"/>
      <c r="AK115" s="2237"/>
      <c r="AL115" s="2237"/>
      <c r="AM115" s="2237"/>
      <c r="AN115" s="2240"/>
      <c r="AO115" s="2241"/>
      <c r="AP115" s="2239"/>
      <c r="AQ115" s="2242"/>
      <c r="AR115" s="2250"/>
      <c r="AS115" s="2244"/>
      <c r="AT115" s="2244"/>
      <c r="AU115" s="2245"/>
      <c r="AV115" s="2246"/>
      <c r="AW115" s="2247"/>
      <c r="AX115" s="2248"/>
      <c r="AY115" s="2249"/>
      <c r="AZ115" s="2249"/>
      <c r="BA115" s="2238"/>
      <c r="BB115" s="2264"/>
      <c r="BC115" s="918"/>
      <c r="BD115" s="2252" t="s">
        <v>15</v>
      </c>
      <c r="BE115" s="2237"/>
      <c r="BF115" s="2237"/>
      <c r="BG115" s="2237"/>
      <c r="BH115" s="2237"/>
      <c r="BI115" s="2240"/>
      <c r="BJ115" s="2241"/>
      <c r="BK115" s="2239"/>
      <c r="BL115" s="2242"/>
      <c r="BM115" s="2250"/>
      <c r="BN115" s="2244"/>
      <c r="BO115" s="2244"/>
      <c r="BP115" s="2245"/>
      <c r="BQ115" s="2246"/>
      <c r="BR115" s="2247"/>
      <c r="BS115" s="2248"/>
      <c r="BT115" s="2249"/>
      <c r="BU115" s="2249"/>
      <c r="BV115" s="2238"/>
      <c r="BW115" s="2264"/>
      <c r="BY115" s="3">
        <v>1</v>
      </c>
    </row>
    <row r="116" spans="2:77" ht="21" customHeight="1">
      <c r="B116" s="2265" t="str" cm="1">
        <f t="array" ref="B116">SUMPRODUCT(--(D116:J116&lt;&gt;""), LEN(TRIM(SUBSTITUTE(D116:J116, CHAR(160), "")))) &amp; " Car."</f>
        <v>0 Car.</v>
      </c>
      <c r="C116" s="1376" t="str">
        <f>IF(ISBLANK(D116),"",LARGE(C13:C115,1)+1)</f>
        <v/>
      </c>
      <c r="D116" s="1833"/>
      <c r="E116" s="1810"/>
      <c r="F116" s="1810"/>
      <c r="G116" s="1810"/>
      <c r="H116" s="1810"/>
      <c r="I116" s="1810"/>
      <c r="J116" s="1810"/>
      <c r="K116" s="1810"/>
      <c r="L116" s="1811"/>
      <c r="M116" s="9"/>
      <c r="N116" s="2252" t="s">
        <v>15</v>
      </c>
      <c r="O116" s="2237"/>
      <c r="P116" s="2237"/>
      <c r="Q116" s="2237"/>
      <c r="R116" s="2237"/>
      <c r="S116" s="2240"/>
      <c r="T116" s="2241"/>
      <c r="U116" s="2239"/>
      <c r="V116" s="2242"/>
      <c r="W116" s="2250"/>
      <c r="X116" s="2244"/>
      <c r="Y116" s="2244"/>
      <c r="Z116" s="2245"/>
      <c r="AA116" s="2246"/>
      <c r="AB116" s="2247"/>
      <c r="AC116" s="2248"/>
      <c r="AD116" s="2249"/>
      <c r="AE116" s="2249"/>
      <c r="AF116" s="2238"/>
      <c r="AG116" s="2264"/>
      <c r="AH116" s="918"/>
      <c r="AI116" s="2252" t="s">
        <v>15</v>
      </c>
      <c r="AJ116" s="2237"/>
      <c r="AK116" s="2237"/>
      <c r="AL116" s="2237"/>
      <c r="AM116" s="2237"/>
      <c r="AN116" s="2240"/>
      <c r="AO116" s="2241"/>
      <c r="AP116" s="2239"/>
      <c r="AQ116" s="2242"/>
      <c r="AR116" s="2250"/>
      <c r="AS116" s="2244"/>
      <c r="AT116" s="2244"/>
      <c r="AU116" s="2245"/>
      <c r="AV116" s="2246"/>
      <c r="AW116" s="2247"/>
      <c r="AX116" s="2248"/>
      <c r="AY116" s="2249"/>
      <c r="AZ116" s="2249"/>
      <c r="BA116" s="2238"/>
      <c r="BB116" s="2264"/>
      <c r="BC116" s="918"/>
      <c r="BD116" s="2252" t="s">
        <v>15</v>
      </c>
      <c r="BE116" s="2237"/>
      <c r="BF116" s="2237"/>
      <c r="BG116" s="2237"/>
      <c r="BH116" s="2237"/>
      <c r="BI116" s="2240"/>
      <c r="BJ116" s="2241"/>
      <c r="BK116" s="2239"/>
      <c r="BL116" s="2242"/>
      <c r="BM116" s="2250"/>
      <c r="BN116" s="2244"/>
      <c r="BO116" s="2244"/>
      <c r="BP116" s="2245"/>
      <c r="BQ116" s="2246"/>
      <c r="BR116" s="2247"/>
      <c r="BS116" s="2248"/>
      <c r="BT116" s="2249"/>
      <c r="BU116" s="2249"/>
      <c r="BV116" s="2238"/>
      <c r="BW116" s="2264"/>
      <c r="BY116" s="3">
        <v>1</v>
      </c>
    </row>
    <row r="117" spans="2:77" ht="21" customHeight="1">
      <c r="B117" s="2265" t="str" cm="1">
        <f t="array" ref="B117">SUMPRODUCT(--(D117:J117&lt;&gt;""), LEN(TRIM(SUBSTITUTE(D117:J117, CHAR(160), "")))) &amp; " Car."</f>
        <v>0 Car.</v>
      </c>
      <c r="C117" s="1376" t="str">
        <f>IF(ISBLANK(D117),"",LARGE(C13:C116,1)+1)</f>
        <v/>
      </c>
      <c r="D117" s="1833"/>
      <c r="E117" s="1810"/>
      <c r="F117" s="1810"/>
      <c r="G117" s="1810"/>
      <c r="H117" s="1810"/>
      <c r="I117" s="1810"/>
      <c r="J117" s="1810"/>
      <c r="K117" s="1810"/>
      <c r="L117" s="1811"/>
      <c r="M117" s="9"/>
      <c r="N117" s="2252" t="s">
        <v>15</v>
      </c>
      <c r="O117" s="2237"/>
      <c r="P117" s="2237"/>
      <c r="Q117" s="2237"/>
      <c r="R117" s="2237"/>
      <c r="S117" s="2240"/>
      <c r="T117" s="2241"/>
      <c r="U117" s="2239"/>
      <c r="V117" s="2242"/>
      <c r="W117" s="2250"/>
      <c r="X117" s="2244"/>
      <c r="Y117" s="2244"/>
      <c r="Z117" s="2245"/>
      <c r="AA117" s="2246"/>
      <c r="AB117" s="2247"/>
      <c r="AC117" s="2248"/>
      <c r="AD117" s="2249"/>
      <c r="AE117" s="2249"/>
      <c r="AF117" s="2238"/>
      <c r="AG117" s="2264"/>
      <c r="AH117" s="918"/>
      <c r="AI117" s="2252" t="s">
        <v>15</v>
      </c>
      <c r="AJ117" s="2237"/>
      <c r="AK117" s="2237"/>
      <c r="AL117" s="2237"/>
      <c r="AM117" s="2237"/>
      <c r="AN117" s="2240"/>
      <c r="AO117" s="2241"/>
      <c r="AP117" s="2239"/>
      <c r="AQ117" s="2242"/>
      <c r="AR117" s="2250"/>
      <c r="AS117" s="2244"/>
      <c r="AT117" s="2244"/>
      <c r="AU117" s="2245"/>
      <c r="AV117" s="2246"/>
      <c r="AW117" s="2247"/>
      <c r="AX117" s="2248"/>
      <c r="AY117" s="2249"/>
      <c r="AZ117" s="2249"/>
      <c r="BA117" s="2238"/>
      <c r="BB117" s="2264"/>
      <c r="BC117" s="918"/>
      <c r="BD117" s="2252" t="s">
        <v>15</v>
      </c>
      <c r="BE117" s="2237"/>
      <c r="BF117" s="2237"/>
      <c r="BG117" s="2237"/>
      <c r="BH117" s="2237"/>
      <c r="BI117" s="2240"/>
      <c r="BJ117" s="2241"/>
      <c r="BK117" s="2239"/>
      <c r="BL117" s="2242"/>
      <c r="BM117" s="2250"/>
      <c r="BN117" s="2244"/>
      <c r="BO117" s="2244"/>
      <c r="BP117" s="2245"/>
      <c r="BQ117" s="2246"/>
      <c r="BR117" s="2247"/>
      <c r="BS117" s="2248"/>
      <c r="BT117" s="2249"/>
      <c r="BU117" s="2249"/>
      <c r="BV117" s="2238"/>
      <c r="BW117" s="2264"/>
      <c r="BY117" s="3">
        <v>1</v>
      </c>
    </row>
    <row r="118" spans="2:77" ht="21" customHeight="1">
      <c r="B118" s="2265" t="str" cm="1">
        <f t="array" ref="B118">SUMPRODUCT(--(D118:J118&lt;&gt;""), LEN(TRIM(SUBSTITUTE(D118:J118, CHAR(160), "")))) &amp; " Car."</f>
        <v>0 Car.</v>
      </c>
      <c r="C118" s="1376" t="str">
        <f>IF(ISBLANK(D118),"",LARGE(C13:C117,1)+1)</f>
        <v/>
      </c>
      <c r="D118" s="1833"/>
      <c r="E118" s="1810"/>
      <c r="F118" s="1810"/>
      <c r="G118" s="1810"/>
      <c r="H118" s="1810"/>
      <c r="I118" s="1810"/>
      <c r="J118" s="1810"/>
      <c r="K118" s="1810"/>
      <c r="L118" s="1811"/>
      <c r="M118" s="9"/>
      <c r="N118" s="2252" t="s">
        <v>15</v>
      </c>
      <c r="O118" s="2237"/>
      <c r="P118" s="2237"/>
      <c r="Q118" s="2237"/>
      <c r="R118" s="2237"/>
      <c r="S118" s="2240"/>
      <c r="T118" s="2241"/>
      <c r="U118" s="2239"/>
      <c r="V118" s="2242"/>
      <c r="W118" s="2250"/>
      <c r="X118" s="2244"/>
      <c r="Y118" s="2244"/>
      <c r="Z118" s="2245"/>
      <c r="AA118" s="2246"/>
      <c r="AB118" s="2247"/>
      <c r="AC118" s="2248"/>
      <c r="AD118" s="2249"/>
      <c r="AE118" s="2249"/>
      <c r="AF118" s="2238"/>
      <c r="AG118" s="2264"/>
      <c r="AH118" s="918"/>
      <c r="AI118" s="2252" t="s">
        <v>15</v>
      </c>
      <c r="AJ118" s="2237"/>
      <c r="AK118" s="2237"/>
      <c r="AL118" s="2237"/>
      <c r="AM118" s="2237"/>
      <c r="AN118" s="2240"/>
      <c r="AO118" s="2241"/>
      <c r="AP118" s="2239"/>
      <c r="AQ118" s="2242"/>
      <c r="AR118" s="2250"/>
      <c r="AS118" s="2244"/>
      <c r="AT118" s="2244"/>
      <c r="AU118" s="2245"/>
      <c r="AV118" s="2246"/>
      <c r="AW118" s="2247"/>
      <c r="AX118" s="2248"/>
      <c r="AY118" s="2249"/>
      <c r="AZ118" s="2249"/>
      <c r="BA118" s="2238"/>
      <c r="BB118" s="2264"/>
      <c r="BC118" s="918"/>
      <c r="BD118" s="2252" t="s">
        <v>15</v>
      </c>
      <c r="BE118" s="2237"/>
      <c r="BF118" s="2237"/>
      <c r="BG118" s="2237"/>
      <c r="BH118" s="2237"/>
      <c r="BI118" s="2240"/>
      <c r="BJ118" s="2241"/>
      <c r="BK118" s="2239"/>
      <c r="BL118" s="2242"/>
      <c r="BM118" s="2250"/>
      <c r="BN118" s="2244"/>
      <c r="BO118" s="2244"/>
      <c r="BP118" s="2245"/>
      <c r="BQ118" s="2246"/>
      <c r="BR118" s="2247"/>
      <c r="BS118" s="2248"/>
      <c r="BT118" s="2249"/>
      <c r="BU118" s="2249"/>
      <c r="BV118" s="2238"/>
      <c r="BW118" s="2264"/>
      <c r="BY118" s="3">
        <v>1</v>
      </c>
    </row>
    <row r="119" spans="2:77" ht="21" customHeight="1">
      <c r="B119" s="2265" t="str" cm="1">
        <f t="array" ref="B119">SUMPRODUCT(--(D119:J119&lt;&gt;""), LEN(TRIM(SUBSTITUTE(D119:J119, CHAR(160), "")))) &amp; " Car."</f>
        <v>0 Car.</v>
      </c>
      <c r="C119" s="1376" t="str">
        <f>IF(ISBLANK(D119),"",LARGE(C13:C118,1)+1)</f>
        <v/>
      </c>
      <c r="D119" s="1833"/>
      <c r="E119" s="1810"/>
      <c r="F119" s="1810"/>
      <c r="G119" s="1810"/>
      <c r="H119" s="1810"/>
      <c r="I119" s="1810"/>
      <c r="J119" s="1810"/>
      <c r="K119" s="1810"/>
      <c r="L119" s="1811"/>
      <c r="M119" s="9"/>
      <c r="N119" s="2252" t="s">
        <v>15</v>
      </c>
      <c r="O119" s="2237"/>
      <c r="P119" s="2237"/>
      <c r="Q119" s="2237"/>
      <c r="R119" s="2237"/>
      <c r="S119" s="2240"/>
      <c r="T119" s="2241"/>
      <c r="U119" s="2239"/>
      <c r="V119" s="2242"/>
      <c r="W119" s="2250"/>
      <c r="X119" s="2244"/>
      <c r="Y119" s="2244"/>
      <c r="Z119" s="2245"/>
      <c r="AA119" s="2246"/>
      <c r="AB119" s="2247"/>
      <c r="AC119" s="2248"/>
      <c r="AD119" s="2249"/>
      <c r="AE119" s="2249"/>
      <c r="AF119" s="2238"/>
      <c r="AG119" s="2264"/>
      <c r="AH119" s="918"/>
      <c r="AI119" s="2252" t="s">
        <v>15</v>
      </c>
      <c r="AJ119" s="2237"/>
      <c r="AK119" s="2237"/>
      <c r="AL119" s="2237"/>
      <c r="AM119" s="2237"/>
      <c r="AN119" s="2240"/>
      <c r="AO119" s="2241"/>
      <c r="AP119" s="2239"/>
      <c r="AQ119" s="2242"/>
      <c r="AR119" s="2250"/>
      <c r="AS119" s="2244"/>
      <c r="AT119" s="2244"/>
      <c r="AU119" s="2245"/>
      <c r="AV119" s="2246"/>
      <c r="AW119" s="2247"/>
      <c r="AX119" s="2248"/>
      <c r="AY119" s="2249"/>
      <c r="AZ119" s="2249"/>
      <c r="BA119" s="2238"/>
      <c r="BB119" s="2264"/>
      <c r="BC119" s="918"/>
      <c r="BD119" s="2252" t="s">
        <v>15</v>
      </c>
      <c r="BE119" s="2237"/>
      <c r="BF119" s="2237"/>
      <c r="BG119" s="2237"/>
      <c r="BH119" s="2237"/>
      <c r="BI119" s="2240"/>
      <c r="BJ119" s="2241"/>
      <c r="BK119" s="2239"/>
      <c r="BL119" s="2242"/>
      <c r="BM119" s="2250"/>
      <c r="BN119" s="2244"/>
      <c r="BO119" s="2244"/>
      <c r="BP119" s="2245"/>
      <c r="BQ119" s="2246"/>
      <c r="BR119" s="2247"/>
      <c r="BS119" s="2248"/>
      <c r="BT119" s="2249"/>
      <c r="BU119" s="2249"/>
      <c r="BV119" s="2238"/>
      <c r="BW119" s="2264"/>
      <c r="BY119" s="3">
        <v>1</v>
      </c>
    </row>
    <row r="120" spans="2:77" ht="21" customHeight="1">
      <c r="B120" s="2265" t="str" cm="1">
        <f t="array" ref="B120">SUMPRODUCT(--(D120:J120&lt;&gt;""), LEN(TRIM(SUBSTITUTE(D120:J120, CHAR(160), "")))) &amp; " Car."</f>
        <v>0 Car.</v>
      </c>
      <c r="C120" s="1376" t="str">
        <f>IF(ISBLANK(D120),"",LARGE(C13:C119,1)+1)</f>
        <v/>
      </c>
      <c r="D120" s="1833"/>
      <c r="E120" s="1810"/>
      <c r="F120" s="1810"/>
      <c r="G120" s="1810"/>
      <c r="H120" s="1810"/>
      <c r="I120" s="1810"/>
      <c r="J120" s="1810"/>
      <c r="K120" s="1810"/>
      <c r="L120" s="1811"/>
      <c r="M120" s="9"/>
      <c r="N120" s="2252" t="s">
        <v>15</v>
      </c>
      <c r="O120" s="2237"/>
      <c r="P120" s="2237"/>
      <c r="Q120" s="2237"/>
      <c r="R120" s="2237"/>
      <c r="S120" s="2240"/>
      <c r="T120" s="2241"/>
      <c r="U120" s="2239"/>
      <c r="V120" s="2242"/>
      <c r="W120" s="2250"/>
      <c r="X120" s="2244"/>
      <c r="Y120" s="2244"/>
      <c r="Z120" s="2245"/>
      <c r="AA120" s="2246"/>
      <c r="AB120" s="2247"/>
      <c r="AC120" s="2248"/>
      <c r="AD120" s="2249"/>
      <c r="AE120" s="2249"/>
      <c r="AF120" s="2238"/>
      <c r="AG120" s="2264"/>
      <c r="AH120" s="918"/>
      <c r="AI120" s="2252" t="s">
        <v>15</v>
      </c>
      <c r="AJ120" s="2237"/>
      <c r="AK120" s="2237"/>
      <c r="AL120" s="2237"/>
      <c r="AM120" s="2237"/>
      <c r="AN120" s="2240"/>
      <c r="AO120" s="2241"/>
      <c r="AP120" s="2239"/>
      <c r="AQ120" s="2242"/>
      <c r="AR120" s="2250"/>
      <c r="AS120" s="2244"/>
      <c r="AT120" s="2244"/>
      <c r="AU120" s="2245"/>
      <c r="AV120" s="2246"/>
      <c r="AW120" s="2247"/>
      <c r="AX120" s="2248"/>
      <c r="AY120" s="2249"/>
      <c r="AZ120" s="2249"/>
      <c r="BA120" s="2238"/>
      <c r="BB120" s="2264"/>
      <c r="BC120" s="918"/>
      <c r="BD120" s="2252" t="s">
        <v>15</v>
      </c>
      <c r="BE120" s="2237"/>
      <c r="BF120" s="2237"/>
      <c r="BG120" s="2237"/>
      <c r="BH120" s="2237"/>
      <c r="BI120" s="2240"/>
      <c r="BJ120" s="2241"/>
      <c r="BK120" s="2239"/>
      <c r="BL120" s="2242"/>
      <c r="BM120" s="2250"/>
      <c r="BN120" s="2244"/>
      <c r="BO120" s="2244"/>
      <c r="BP120" s="2245"/>
      <c r="BQ120" s="2246"/>
      <c r="BR120" s="2247"/>
      <c r="BS120" s="2248"/>
      <c r="BT120" s="2249"/>
      <c r="BU120" s="2249"/>
      <c r="BV120" s="2238"/>
      <c r="BW120" s="2264"/>
      <c r="BY120" s="3">
        <v>1</v>
      </c>
    </row>
    <row r="121" spans="2:77" ht="21" customHeight="1">
      <c r="B121" s="2265" t="str" cm="1">
        <f t="array" ref="B121">SUMPRODUCT(--(D121:J121&lt;&gt;""), LEN(TRIM(SUBSTITUTE(D121:J121, CHAR(160), "")))) &amp; " Car."</f>
        <v>0 Car.</v>
      </c>
      <c r="C121" s="1376" t="str">
        <f>IF(ISBLANK(D121),"",LARGE(C13:C120,1)+1)</f>
        <v/>
      </c>
      <c r="D121" s="1833"/>
      <c r="E121" s="1810"/>
      <c r="F121" s="1810"/>
      <c r="G121" s="1810"/>
      <c r="H121" s="1810"/>
      <c r="I121" s="1810"/>
      <c r="J121" s="1810"/>
      <c r="K121" s="1810"/>
      <c r="L121" s="1811"/>
      <c r="M121" s="9"/>
      <c r="N121" s="2252" t="s">
        <v>15</v>
      </c>
      <c r="O121" s="2237"/>
      <c r="P121" s="2237"/>
      <c r="Q121" s="2237"/>
      <c r="R121" s="2237"/>
      <c r="S121" s="2240"/>
      <c r="T121" s="2241"/>
      <c r="U121" s="2239"/>
      <c r="V121" s="2242"/>
      <c r="W121" s="2250"/>
      <c r="X121" s="2244"/>
      <c r="Y121" s="2244"/>
      <c r="Z121" s="2245"/>
      <c r="AA121" s="2246"/>
      <c r="AB121" s="2247"/>
      <c r="AC121" s="2248"/>
      <c r="AD121" s="2249"/>
      <c r="AE121" s="2249"/>
      <c r="AF121" s="2238"/>
      <c r="AG121" s="2264"/>
      <c r="AH121" s="918"/>
      <c r="AI121" s="2252" t="s">
        <v>15</v>
      </c>
      <c r="AJ121" s="2237"/>
      <c r="AK121" s="2237"/>
      <c r="AL121" s="2237"/>
      <c r="AM121" s="2237"/>
      <c r="AN121" s="2240"/>
      <c r="AO121" s="2241"/>
      <c r="AP121" s="2239"/>
      <c r="AQ121" s="2242"/>
      <c r="AR121" s="2250"/>
      <c r="AS121" s="2244"/>
      <c r="AT121" s="2244"/>
      <c r="AU121" s="2245"/>
      <c r="AV121" s="2246"/>
      <c r="AW121" s="2247"/>
      <c r="AX121" s="2248"/>
      <c r="AY121" s="2249"/>
      <c r="AZ121" s="2249"/>
      <c r="BA121" s="2238"/>
      <c r="BB121" s="2264"/>
      <c r="BD121" s="2252" t="s">
        <v>15</v>
      </c>
      <c r="BE121" s="2237"/>
      <c r="BF121" s="2237"/>
      <c r="BG121" s="2237"/>
      <c r="BH121" s="2237"/>
      <c r="BI121" s="2240"/>
      <c r="BJ121" s="2241"/>
      <c r="BK121" s="2239"/>
      <c r="BL121" s="2242"/>
      <c r="BM121" s="2250"/>
      <c r="BN121" s="2244"/>
      <c r="BO121" s="2244"/>
      <c r="BP121" s="2245"/>
      <c r="BQ121" s="2246"/>
      <c r="BR121" s="2247"/>
      <c r="BS121" s="2248"/>
      <c r="BT121" s="2249"/>
      <c r="BU121" s="2249"/>
      <c r="BV121" s="2238"/>
      <c r="BW121" s="2264"/>
      <c r="BY121" s="3">
        <v>1</v>
      </c>
    </row>
    <row r="122" spans="2:77" ht="21" customHeight="1">
      <c r="B122" s="2265" t="str" cm="1">
        <f t="array" ref="B122">SUMPRODUCT(--(D122:J122&lt;&gt;""), LEN(TRIM(SUBSTITUTE(D122:J122, CHAR(160), "")))) &amp; " Car."</f>
        <v>0 Car.</v>
      </c>
      <c r="C122" s="1376" t="str">
        <f>IF(ISBLANK(D122),"",LARGE(C13:C121,1)+1)</f>
        <v/>
      </c>
      <c r="D122" s="1833"/>
      <c r="E122" s="1810"/>
      <c r="F122" s="1810"/>
      <c r="G122" s="1810"/>
      <c r="H122" s="1810"/>
      <c r="I122" s="1810"/>
      <c r="J122" s="1810"/>
      <c r="K122" s="1810"/>
      <c r="L122" s="1811"/>
      <c r="M122" s="9"/>
      <c r="N122" s="2252" t="s">
        <v>15</v>
      </c>
      <c r="O122" s="2237"/>
      <c r="P122" s="2237"/>
      <c r="Q122" s="2237"/>
      <c r="R122" s="2237"/>
      <c r="S122" s="2240"/>
      <c r="T122" s="2241"/>
      <c r="U122" s="2239"/>
      <c r="V122" s="2242"/>
      <c r="W122" s="2250"/>
      <c r="X122" s="2244"/>
      <c r="Y122" s="2244"/>
      <c r="Z122" s="2245"/>
      <c r="AA122" s="2246"/>
      <c r="AB122" s="2247"/>
      <c r="AC122" s="2248"/>
      <c r="AD122" s="2249"/>
      <c r="AE122" s="2249"/>
      <c r="AF122" s="2238"/>
      <c r="AG122" s="2264"/>
      <c r="AH122" s="918"/>
      <c r="AI122" s="2252" t="s">
        <v>15</v>
      </c>
      <c r="AJ122" s="2237"/>
      <c r="AK122" s="2237"/>
      <c r="AL122" s="2237"/>
      <c r="AM122" s="2237"/>
      <c r="AN122" s="2240"/>
      <c r="AO122" s="2241"/>
      <c r="AP122" s="2239"/>
      <c r="AQ122" s="2242"/>
      <c r="AR122" s="2250"/>
      <c r="AS122" s="2244"/>
      <c r="AT122" s="2244"/>
      <c r="AU122" s="2245"/>
      <c r="AV122" s="2246"/>
      <c r="AW122" s="2247"/>
      <c r="AX122" s="2248"/>
      <c r="AY122" s="2249"/>
      <c r="AZ122" s="2249"/>
      <c r="BA122" s="2238"/>
      <c r="BB122" s="2264"/>
      <c r="BD122" s="2252" t="s">
        <v>15</v>
      </c>
      <c r="BE122" s="2237"/>
      <c r="BF122" s="2237"/>
      <c r="BG122" s="2237"/>
      <c r="BH122" s="2237"/>
      <c r="BI122" s="2240"/>
      <c r="BJ122" s="2241"/>
      <c r="BK122" s="2239"/>
      <c r="BL122" s="2242"/>
      <c r="BM122" s="2250"/>
      <c r="BN122" s="2244"/>
      <c r="BO122" s="2244"/>
      <c r="BP122" s="2245"/>
      <c r="BQ122" s="2246"/>
      <c r="BR122" s="2247"/>
      <c r="BS122" s="2248"/>
      <c r="BT122" s="2249"/>
      <c r="BU122" s="2249"/>
      <c r="BV122" s="2238"/>
      <c r="BW122" s="2264"/>
      <c r="BY122" s="3">
        <v>1</v>
      </c>
    </row>
    <row r="123" spans="2:77" ht="21" customHeight="1">
      <c r="B123" s="2265" t="str" cm="1">
        <f t="array" ref="B123">SUMPRODUCT(--(D123:J123&lt;&gt;""), LEN(TRIM(SUBSTITUTE(D123:J123, CHAR(160), "")))) &amp; " Car."</f>
        <v>0 Car.</v>
      </c>
      <c r="C123" s="1376" t="str">
        <f>IF(ISBLANK(D123),"",LARGE(C13:C122,1)+1)</f>
        <v/>
      </c>
      <c r="D123" s="1833"/>
      <c r="E123" s="1810"/>
      <c r="F123" s="1810"/>
      <c r="G123" s="1810"/>
      <c r="H123" s="1810"/>
      <c r="I123" s="1810"/>
      <c r="J123" s="1810"/>
      <c r="K123" s="1810"/>
      <c r="L123" s="1811"/>
      <c r="M123" s="9"/>
      <c r="N123" s="2252" t="s">
        <v>15</v>
      </c>
      <c r="O123" s="2237"/>
      <c r="P123" s="2237"/>
      <c r="Q123" s="2237"/>
      <c r="R123" s="2237"/>
      <c r="S123" s="2240"/>
      <c r="T123" s="2241"/>
      <c r="U123" s="2239"/>
      <c r="V123" s="2242"/>
      <c r="W123" s="2250"/>
      <c r="X123" s="2244"/>
      <c r="Y123" s="2244"/>
      <c r="Z123" s="2245"/>
      <c r="AA123" s="2246"/>
      <c r="AB123" s="2247"/>
      <c r="AC123" s="2248"/>
      <c r="AD123" s="2249"/>
      <c r="AE123" s="2249"/>
      <c r="AF123" s="2238"/>
      <c r="AG123" s="2264"/>
      <c r="AH123" s="918"/>
      <c r="AI123" s="2252" t="s">
        <v>15</v>
      </c>
      <c r="AJ123" s="2237"/>
      <c r="AK123" s="2237"/>
      <c r="AL123" s="2237"/>
      <c r="AM123" s="2237"/>
      <c r="AN123" s="2240"/>
      <c r="AO123" s="2241"/>
      <c r="AP123" s="2239"/>
      <c r="AQ123" s="2242"/>
      <c r="AR123" s="2250"/>
      <c r="AS123" s="2244"/>
      <c r="AT123" s="2244"/>
      <c r="AU123" s="2245"/>
      <c r="AV123" s="2246"/>
      <c r="AW123" s="2247"/>
      <c r="AX123" s="2248"/>
      <c r="AY123" s="2249"/>
      <c r="AZ123" s="2249"/>
      <c r="BA123" s="2238"/>
      <c r="BB123" s="2264"/>
      <c r="BD123" s="2252" t="s">
        <v>15</v>
      </c>
      <c r="BE123" s="2237"/>
      <c r="BF123" s="2237"/>
      <c r="BG123" s="2237"/>
      <c r="BH123" s="2237"/>
      <c r="BI123" s="2240"/>
      <c r="BJ123" s="2241"/>
      <c r="BK123" s="2239"/>
      <c r="BL123" s="2242"/>
      <c r="BM123" s="2250"/>
      <c r="BN123" s="2244"/>
      <c r="BO123" s="2244"/>
      <c r="BP123" s="2245"/>
      <c r="BQ123" s="2246"/>
      <c r="BR123" s="2247"/>
      <c r="BS123" s="2248"/>
      <c r="BT123" s="2249"/>
      <c r="BU123" s="2249"/>
      <c r="BV123" s="2238"/>
      <c r="BW123" s="2264"/>
      <c r="BY123" s="3">
        <v>1</v>
      </c>
    </row>
    <row r="124" spans="2:77" ht="21" customHeight="1">
      <c r="B124" s="2265" t="str" cm="1">
        <f t="array" ref="B124">SUMPRODUCT(--(D124:J124&lt;&gt;""), LEN(TRIM(SUBSTITUTE(D124:J124, CHAR(160), "")))) &amp; " Car."</f>
        <v>0 Car.</v>
      </c>
      <c r="C124" s="1376" t="str">
        <f>IF(ISBLANK(D124),"",LARGE(C13:C123,1)+1)</f>
        <v/>
      </c>
      <c r="D124" s="1833"/>
      <c r="E124" s="1810"/>
      <c r="F124" s="1810"/>
      <c r="G124" s="1810"/>
      <c r="H124" s="1810"/>
      <c r="I124" s="1810"/>
      <c r="J124" s="1810"/>
      <c r="K124" s="1810"/>
      <c r="L124" s="1811"/>
      <c r="M124" s="9"/>
      <c r="N124" s="2252" t="s">
        <v>15</v>
      </c>
      <c r="O124" s="2237"/>
      <c r="P124" s="2237"/>
      <c r="Q124" s="2237"/>
      <c r="R124" s="2237"/>
      <c r="S124" s="2240"/>
      <c r="T124" s="2241"/>
      <c r="U124" s="2239"/>
      <c r="V124" s="2242"/>
      <c r="W124" s="2250"/>
      <c r="X124" s="2244"/>
      <c r="Y124" s="2244"/>
      <c r="Z124" s="2245"/>
      <c r="AA124" s="2246"/>
      <c r="AB124" s="2247"/>
      <c r="AC124" s="2248"/>
      <c r="AD124" s="2249"/>
      <c r="AE124" s="2249"/>
      <c r="AF124" s="2238"/>
      <c r="AG124" s="2264"/>
      <c r="AH124" s="918"/>
      <c r="AI124" s="2252" t="s">
        <v>15</v>
      </c>
      <c r="AJ124" s="2237"/>
      <c r="AK124" s="2237"/>
      <c r="AL124" s="2237"/>
      <c r="AM124" s="2237"/>
      <c r="AN124" s="2240"/>
      <c r="AO124" s="2241"/>
      <c r="AP124" s="2239"/>
      <c r="AQ124" s="2242"/>
      <c r="AR124" s="2250"/>
      <c r="AS124" s="2244"/>
      <c r="AT124" s="2244"/>
      <c r="AU124" s="2245"/>
      <c r="AV124" s="2246"/>
      <c r="AW124" s="2247"/>
      <c r="AX124" s="2248"/>
      <c r="AY124" s="2249"/>
      <c r="AZ124" s="2249"/>
      <c r="BA124" s="2238"/>
      <c r="BB124" s="2264"/>
      <c r="BC124" s="918"/>
      <c r="BD124" s="2252" t="s">
        <v>15</v>
      </c>
      <c r="BE124" s="2237"/>
      <c r="BF124" s="2237"/>
      <c r="BG124" s="2237"/>
      <c r="BH124" s="2237"/>
      <c r="BI124" s="2240"/>
      <c r="BJ124" s="2241"/>
      <c r="BK124" s="2239"/>
      <c r="BL124" s="2242"/>
      <c r="BM124" s="2250"/>
      <c r="BN124" s="2244"/>
      <c r="BO124" s="2244"/>
      <c r="BP124" s="2245"/>
      <c r="BQ124" s="2246"/>
      <c r="BR124" s="2247"/>
      <c r="BS124" s="2248"/>
      <c r="BT124" s="2249"/>
      <c r="BU124" s="2249"/>
      <c r="BV124" s="2238"/>
      <c r="BW124" s="2264"/>
      <c r="BY124" s="3">
        <v>1</v>
      </c>
    </row>
    <row r="125" spans="2:77" ht="21" customHeight="1">
      <c r="B125" s="2265" t="str" cm="1">
        <f t="array" ref="B125">SUMPRODUCT(--(D125:J125&lt;&gt;""), LEN(TRIM(SUBSTITUTE(D125:J125, CHAR(160), "")))) &amp; " Car."</f>
        <v>0 Car.</v>
      </c>
      <c r="C125" s="1376" t="str">
        <f>IF(ISBLANK(D125),"",LARGE(C13:C124,1)+1)</f>
        <v/>
      </c>
      <c r="D125" s="1833"/>
      <c r="E125" s="1810"/>
      <c r="F125" s="1810"/>
      <c r="G125" s="1810"/>
      <c r="H125" s="1810"/>
      <c r="I125" s="1810"/>
      <c r="J125" s="1810"/>
      <c r="K125" s="1810"/>
      <c r="L125" s="1811"/>
      <c r="M125" s="9"/>
      <c r="N125" s="2252" t="s">
        <v>15</v>
      </c>
      <c r="O125" s="2237"/>
      <c r="P125" s="2237"/>
      <c r="Q125" s="2237"/>
      <c r="R125" s="2237"/>
      <c r="S125" s="2240"/>
      <c r="T125" s="2241"/>
      <c r="U125" s="2239"/>
      <c r="V125" s="2242"/>
      <c r="W125" s="2250"/>
      <c r="X125" s="2244"/>
      <c r="Y125" s="2244"/>
      <c r="Z125" s="2245"/>
      <c r="AA125" s="2246"/>
      <c r="AB125" s="2247"/>
      <c r="AC125" s="2248"/>
      <c r="AD125" s="2249"/>
      <c r="AE125" s="2249"/>
      <c r="AF125" s="2238"/>
      <c r="AG125" s="2264"/>
      <c r="AH125" s="918"/>
      <c r="AI125" s="2252" t="s">
        <v>15</v>
      </c>
      <c r="AJ125" s="2237"/>
      <c r="AK125" s="2237"/>
      <c r="AL125" s="2237"/>
      <c r="AM125" s="2237"/>
      <c r="AN125" s="2240"/>
      <c r="AO125" s="2241"/>
      <c r="AP125" s="2239"/>
      <c r="AQ125" s="2242"/>
      <c r="AR125" s="2250"/>
      <c r="AS125" s="2244"/>
      <c r="AT125" s="2244"/>
      <c r="AU125" s="2245"/>
      <c r="AV125" s="2246"/>
      <c r="AW125" s="2247"/>
      <c r="AX125" s="2248"/>
      <c r="AY125" s="2249"/>
      <c r="AZ125" s="2249"/>
      <c r="BA125" s="2238"/>
      <c r="BB125" s="2264"/>
      <c r="BC125" s="918"/>
      <c r="BD125" s="2252" t="s">
        <v>15</v>
      </c>
      <c r="BE125" s="2237"/>
      <c r="BF125" s="2237"/>
      <c r="BG125" s="2237"/>
      <c r="BH125" s="2237"/>
      <c r="BI125" s="2240"/>
      <c r="BJ125" s="2241"/>
      <c r="BK125" s="2239"/>
      <c r="BL125" s="2242"/>
      <c r="BM125" s="2250"/>
      <c r="BN125" s="2244"/>
      <c r="BO125" s="2244"/>
      <c r="BP125" s="2245"/>
      <c r="BQ125" s="2246"/>
      <c r="BR125" s="2247"/>
      <c r="BS125" s="2248"/>
      <c r="BT125" s="2249"/>
      <c r="BU125" s="2249"/>
      <c r="BV125" s="2238"/>
      <c r="BW125" s="2264"/>
      <c r="BY125" s="3">
        <v>1</v>
      </c>
    </row>
    <row r="126" spans="2:77" ht="21" customHeight="1">
      <c r="B126" s="2265" t="str" cm="1">
        <f t="array" ref="B126">SUMPRODUCT(--(D126:J126&lt;&gt;""), LEN(TRIM(SUBSTITUTE(D126:J126, CHAR(160), "")))) &amp; " Car."</f>
        <v>0 Car.</v>
      </c>
      <c r="C126" s="1376" t="str">
        <f>IF(ISBLANK(D126),"",LARGE(C13:C125,1)+1)</f>
        <v/>
      </c>
      <c r="D126" s="1833"/>
      <c r="E126" s="1810"/>
      <c r="F126" s="1810"/>
      <c r="G126" s="1810"/>
      <c r="H126" s="1810"/>
      <c r="I126" s="1810"/>
      <c r="J126" s="1810"/>
      <c r="K126" s="1810"/>
      <c r="L126" s="1811"/>
      <c r="M126" s="9"/>
      <c r="N126" s="2252" t="s">
        <v>15</v>
      </c>
      <c r="O126" s="2237"/>
      <c r="P126" s="2237"/>
      <c r="Q126" s="2237"/>
      <c r="R126" s="2237"/>
      <c r="S126" s="2240"/>
      <c r="T126" s="2241"/>
      <c r="U126" s="2239"/>
      <c r="V126" s="2242"/>
      <c r="W126" s="2250"/>
      <c r="X126" s="2244"/>
      <c r="Y126" s="2244"/>
      <c r="Z126" s="2245"/>
      <c r="AA126" s="2246"/>
      <c r="AB126" s="2247"/>
      <c r="AC126" s="2248"/>
      <c r="AD126" s="2249"/>
      <c r="AE126" s="2249"/>
      <c r="AF126" s="2238"/>
      <c r="AG126" s="2264"/>
      <c r="AH126" s="918"/>
      <c r="AI126" s="2252" t="s">
        <v>15</v>
      </c>
      <c r="AJ126" s="2237"/>
      <c r="AK126" s="2237"/>
      <c r="AL126" s="2237"/>
      <c r="AM126" s="2237"/>
      <c r="AN126" s="2240"/>
      <c r="AO126" s="2241"/>
      <c r="AP126" s="2239"/>
      <c r="AQ126" s="2242"/>
      <c r="AR126" s="2250"/>
      <c r="AS126" s="2244"/>
      <c r="AT126" s="2244"/>
      <c r="AU126" s="2245"/>
      <c r="AV126" s="2246"/>
      <c r="AW126" s="2247"/>
      <c r="AX126" s="2248"/>
      <c r="AY126" s="2249"/>
      <c r="AZ126" s="2249"/>
      <c r="BA126" s="2238"/>
      <c r="BB126" s="2264"/>
      <c r="BC126" s="918"/>
      <c r="BD126" s="2252" t="s">
        <v>15</v>
      </c>
      <c r="BE126" s="2237"/>
      <c r="BF126" s="2237"/>
      <c r="BG126" s="2237"/>
      <c r="BH126" s="2237"/>
      <c r="BI126" s="2240"/>
      <c r="BJ126" s="2241"/>
      <c r="BK126" s="2239"/>
      <c r="BL126" s="2242"/>
      <c r="BM126" s="2250"/>
      <c r="BN126" s="2244"/>
      <c r="BO126" s="2244"/>
      <c r="BP126" s="2245"/>
      <c r="BQ126" s="2246"/>
      <c r="BR126" s="2247"/>
      <c r="BS126" s="2248"/>
      <c r="BT126" s="2249"/>
      <c r="BU126" s="2249"/>
      <c r="BV126" s="2238"/>
      <c r="BW126" s="2264"/>
      <c r="BY126" s="3">
        <v>1</v>
      </c>
    </row>
    <row r="127" spans="2:77" ht="21" customHeight="1">
      <c r="B127" s="2265" t="str" cm="1">
        <f t="array" ref="B127">SUMPRODUCT(--(D127:J127&lt;&gt;""), LEN(TRIM(SUBSTITUTE(D127:J127, CHAR(160), "")))) &amp; " Car."</f>
        <v>0 Car.</v>
      </c>
      <c r="C127" s="1376" t="str">
        <f>IF(ISBLANK(D127),"",LARGE(C13:C126,1)+1)</f>
        <v/>
      </c>
      <c r="D127" s="1833"/>
      <c r="E127" s="1810"/>
      <c r="F127" s="1810"/>
      <c r="G127" s="1810"/>
      <c r="H127" s="1810"/>
      <c r="I127" s="1810"/>
      <c r="J127" s="1810"/>
      <c r="K127" s="1810"/>
      <c r="L127" s="1811"/>
      <c r="M127" s="9"/>
      <c r="N127" s="2252" t="s">
        <v>15</v>
      </c>
      <c r="O127" s="2237"/>
      <c r="P127" s="2237"/>
      <c r="Q127" s="2237"/>
      <c r="R127" s="2237"/>
      <c r="S127" s="2240"/>
      <c r="T127" s="2241"/>
      <c r="U127" s="2239"/>
      <c r="V127" s="2242"/>
      <c r="W127" s="2250"/>
      <c r="X127" s="2244"/>
      <c r="Y127" s="2244"/>
      <c r="Z127" s="2245"/>
      <c r="AA127" s="2246"/>
      <c r="AB127" s="2247"/>
      <c r="AC127" s="2248"/>
      <c r="AD127" s="2249"/>
      <c r="AE127" s="2249"/>
      <c r="AF127" s="2238"/>
      <c r="AG127" s="2264"/>
      <c r="AH127" s="918"/>
      <c r="AI127" s="2252" t="s">
        <v>15</v>
      </c>
      <c r="AJ127" s="2237"/>
      <c r="AK127" s="2237"/>
      <c r="AL127" s="2237"/>
      <c r="AM127" s="2237"/>
      <c r="AN127" s="2240"/>
      <c r="AO127" s="2241"/>
      <c r="AP127" s="2239"/>
      <c r="AQ127" s="2242"/>
      <c r="AR127" s="2250"/>
      <c r="AS127" s="2244"/>
      <c r="AT127" s="2244"/>
      <c r="AU127" s="2245"/>
      <c r="AV127" s="2246"/>
      <c r="AW127" s="2247"/>
      <c r="AX127" s="2248"/>
      <c r="AY127" s="2249"/>
      <c r="AZ127" s="2249"/>
      <c r="BA127" s="2238"/>
      <c r="BB127" s="2264"/>
      <c r="BC127" s="918"/>
      <c r="BD127" s="2252" t="s">
        <v>15</v>
      </c>
      <c r="BE127" s="2237"/>
      <c r="BF127" s="2237"/>
      <c r="BG127" s="2237"/>
      <c r="BH127" s="2237"/>
      <c r="BI127" s="2240"/>
      <c r="BJ127" s="2241"/>
      <c r="BK127" s="2239"/>
      <c r="BL127" s="2242"/>
      <c r="BM127" s="2250"/>
      <c r="BN127" s="2244"/>
      <c r="BO127" s="2244"/>
      <c r="BP127" s="2245"/>
      <c r="BQ127" s="2246"/>
      <c r="BR127" s="2247"/>
      <c r="BS127" s="2248"/>
      <c r="BT127" s="2249"/>
      <c r="BU127" s="2249"/>
      <c r="BV127" s="2238"/>
      <c r="BW127" s="2264"/>
      <c r="BY127" s="3">
        <v>1</v>
      </c>
    </row>
    <row r="128" spans="2:77" ht="21" customHeight="1">
      <c r="B128" s="2265" t="str" cm="1">
        <f t="array" ref="B128">SUMPRODUCT(--(D128:J128&lt;&gt;""), LEN(TRIM(SUBSTITUTE(D128:J128, CHAR(160), "")))) &amp; " Car."</f>
        <v>0 Car.</v>
      </c>
      <c r="C128" s="1376" t="str">
        <f>IF(ISBLANK(D128),"",LARGE(C13:C127,1)+1)</f>
        <v/>
      </c>
      <c r="D128" s="1833"/>
      <c r="E128" s="1810"/>
      <c r="F128" s="1810"/>
      <c r="G128" s="1810"/>
      <c r="H128" s="1810"/>
      <c r="I128" s="1810"/>
      <c r="J128" s="1810"/>
      <c r="K128" s="1810"/>
      <c r="L128" s="1811"/>
      <c r="M128" s="9"/>
      <c r="N128" s="2252" t="s">
        <v>15</v>
      </c>
      <c r="O128" s="2237"/>
      <c r="P128" s="2237"/>
      <c r="Q128" s="2237"/>
      <c r="R128" s="2237"/>
      <c r="S128" s="2240"/>
      <c r="T128" s="2241"/>
      <c r="U128" s="2239"/>
      <c r="V128" s="2242"/>
      <c r="W128" s="2250"/>
      <c r="X128" s="2244"/>
      <c r="Y128" s="2244"/>
      <c r="Z128" s="2245"/>
      <c r="AA128" s="2246"/>
      <c r="AB128" s="2247"/>
      <c r="AC128" s="2248"/>
      <c r="AD128" s="2249"/>
      <c r="AE128" s="2249"/>
      <c r="AF128" s="2238"/>
      <c r="AG128" s="2264"/>
      <c r="AH128" s="918"/>
      <c r="AI128" s="2252" t="s">
        <v>15</v>
      </c>
      <c r="AJ128" s="2237"/>
      <c r="AK128" s="2237"/>
      <c r="AL128" s="2237"/>
      <c r="AM128" s="2237"/>
      <c r="AN128" s="2240"/>
      <c r="AO128" s="2241"/>
      <c r="AP128" s="2239"/>
      <c r="AQ128" s="2242"/>
      <c r="AR128" s="2250"/>
      <c r="AS128" s="2244"/>
      <c r="AT128" s="2244"/>
      <c r="AU128" s="2245"/>
      <c r="AV128" s="2246"/>
      <c r="AW128" s="2247"/>
      <c r="AX128" s="2248"/>
      <c r="AY128" s="2249"/>
      <c r="AZ128" s="2249"/>
      <c r="BA128" s="2238"/>
      <c r="BB128" s="2264"/>
      <c r="BC128" s="918"/>
      <c r="BD128" s="2252" t="s">
        <v>15</v>
      </c>
      <c r="BE128" s="2237"/>
      <c r="BF128" s="2237"/>
      <c r="BG128" s="2237"/>
      <c r="BH128" s="2237"/>
      <c r="BI128" s="2240"/>
      <c r="BJ128" s="2241"/>
      <c r="BK128" s="2239"/>
      <c r="BL128" s="2242"/>
      <c r="BM128" s="2250"/>
      <c r="BN128" s="2244"/>
      <c r="BO128" s="2244"/>
      <c r="BP128" s="2245"/>
      <c r="BQ128" s="2246"/>
      <c r="BR128" s="2247"/>
      <c r="BS128" s="2248"/>
      <c r="BT128" s="2249"/>
      <c r="BU128" s="2249"/>
      <c r="BV128" s="2238"/>
      <c r="BW128" s="2264"/>
      <c r="BY128" s="3">
        <v>1</v>
      </c>
    </row>
    <row r="129" spans="2:77" ht="21" customHeight="1">
      <c r="B129" s="2265" t="str" cm="1">
        <f t="array" ref="B129">SUMPRODUCT(--(D129:J129&lt;&gt;""), LEN(TRIM(SUBSTITUTE(D129:J129, CHAR(160), "")))) &amp; " Car."</f>
        <v>0 Car.</v>
      </c>
      <c r="C129" s="1376" t="str">
        <f>IF(ISBLANK(D129),"",LARGE(C13:C128,1)+1)</f>
        <v/>
      </c>
      <c r="D129" s="1833"/>
      <c r="E129" s="1810"/>
      <c r="F129" s="1810"/>
      <c r="G129" s="1810"/>
      <c r="H129" s="1810"/>
      <c r="I129" s="1810"/>
      <c r="J129" s="1810"/>
      <c r="K129" s="1810"/>
      <c r="L129" s="1811"/>
      <c r="M129" s="9"/>
      <c r="N129" s="2252" t="s">
        <v>15</v>
      </c>
      <c r="O129" s="2237"/>
      <c r="P129" s="2237"/>
      <c r="Q129" s="2237"/>
      <c r="R129" s="2237"/>
      <c r="S129" s="2240"/>
      <c r="T129" s="2241"/>
      <c r="U129" s="2239"/>
      <c r="V129" s="2242"/>
      <c r="W129" s="2250"/>
      <c r="X129" s="2244"/>
      <c r="Y129" s="2244"/>
      <c r="Z129" s="2245"/>
      <c r="AA129" s="2246"/>
      <c r="AB129" s="2247"/>
      <c r="AC129" s="2248"/>
      <c r="AD129" s="2249"/>
      <c r="AE129" s="2249"/>
      <c r="AF129" s="2238"/>
      <c r="AG129" s="2264"/>
      <c r="AH129" s="918"/>
      <c r="AI129" s="2252" t="s">
        <v>15</v>
      </c>
      <c r="AJ129" s="2237"/>
      <c r="AK129" s="2237"/>
      <c r="AL129" s="2237"/>
      <c r="AM129" s="2237"/>
      <c r="AN129" s="2240"/>
      <c r="AO129" s="2241"/>
      <c r="AP129" s="2239"/>
      <c r="AQ129" s="2242"/>
      <c r="AR129" s="2250"/>
      <c r="AS129" s="2244"/>
      <c r="AT129" s="2244"/>
      <c r="AU129" s="2245"/>
      <c r="AV129" s="2246"/>
      <c r="AW129" s="2247"/>
      <c r="AX129" s="2248"/>
      <c r="AY129" s="2249"/>
      <c r="AZ129" s="2249"/>
      <c r="BA129" s="2238"/>
      <c r="BB129" s="2264"/>
      <c r="BC129" s="918"/>
      <c r="BD129" s="2252" t="s">
        <v>15</v>
      </c>
      <c r="BE129" s="2237"/>
      <c r="BF129" s="2237"/>
      <c r="BG129" s="2237"/>
      <c r="BH129" s="2237"/>
      <c r="BI129" s="2240"/>
      <c r="BJ129" s="2241"/>
      <c r="BK129" s="2239"/>
      <c r="BL129" s="2242"/>
      <c r="BM129" s="2250"/>
      <c r="BN129" s="2244"/>
      <c r="BO129" s="2244"/>
      <c r="BP129" s="2245"/>
      <c r="BQ129" s="2246"/>
      <c r="BR129" s="2247"/>
      <c r="BS129" s="2248"/>
      <c r="BT129" s="2249"/>
      <c r="BU129" s="2249"/>
      <c r="BV129" s="2238"/>
      <c r="BW129" s="2264"/>
      <c r="BY129" s="3">
        <v>1</v>
      </c>
    </row>
    <row r="130" spans="2:77" ht="21" customHeight="1">
      <c r="B130" s="2265" t="str" cm="1">
        <f t="array" ref="B130">SUMPRODUCT(--(D130:J130&lt;&gt;""), LEN(TRIM(SUBSTITUTE(D130:J130, CHAR(160), "")))) &amp; " Car."</f>
        <v>0 Car.</v>
      </c>
      <c r="C130" s="1376" t="str">
        <f>IF(ISBLANK(D130),"",LARGE(C13:C129,1)+1)</f>
        <v/>
      </c>
      <c r="D130" s="1833"/>
      <c r="E130" s="1810"/>
      <c r="F130" s="1810"/>
      <c r="G130" s="1810"/>
      <c r="H130" s="1810"/>
      <c r="I130" s="1810"/>
      <c r="J130" s="1810"/>
      <c r="K130" s="1810"/>
      <c r="L130" s="1811"/>
      <c r="M130" s="9"/>
      <c r="N130" s="2252" t="s">
        <v>15</v>
      </c>
      <c r="O130" s="2237"/>
      <c r="P130" s="2237"/>
      <c r="Q130" s="2237"/>
      <c r="R130" s="2237"/>
      <c r="S130" s="2240"/>
      <c r="T130" s="2241"/>
      <c r="U130" s="2239"/>
      <c r="V130" s="2242"/>
      <c r="W130" s="2250"/>
      <c r="X130" s="2244"/>
      <c r="Y130" s="2244"/>
      <c r="Z130" s="2245"/>
      <c r="AA130" s="2246"/>
      <c r="AB130" s="2247"/>
      <c r="AC130" s="2248"/>
      <c r="AD130" s="2249"/>
      <c r="AE130" s="2249"/>
      <c r="AF130" s="2238"/>
      <c r="AG130" s="2264"/>
      <c r="AH130" s="918"/>
      <c r="AI130" s="2252" t="s">
        <v>15</v>
      </c>
      <c r="AJ130" s="2237"/>
      <c r="AK130" s="2237"/>
      <c r="AL130" s="2237"/>
      <c r="AM130" s="2237"/>
      <c r="AN130" s="2240"/>
      <c r="AO130" s="2241"/>
      <c r="AP130" s="2239"/>
      <c r="AQ130" s="2242"/>
      <c r="AR130" s="2250"/>
      <c r="AS130" s="2244"/>
      <c r="AT130" s="2244"/>
      <c r="AU130" s="2245"/>
      <c r="AV130" s="2246"/>
      <c r="AW130" s="2247"/>
      <c r="AX130" s="2248"/>
      <c r="AY130" s="2249"/>
      <c r="AZ130" s="2249"/>
      <c r="BA130" s="2238"/>
      <c r="BB130" s="2264"/>
      <c r="BC130" s="918"/>
      <c r="BD130" s="2252" t="s">
        <v>15</v>
      </c>
      <c r="BE130" s="2237"/>
      <c r="BF130" s="2237"/>
      <c r="BG130" s="2237"/>
      <c r="BH130" s="2237"/>
      <c r="BI130" s="2240"/>
      <c r="BJ130" s="2241"/>
      <c r="BK130" s="2239"/>
      <c r="BL130" s="2242"/>
      <c r="BM130" s="2250"/>
      <c r="BN130" s="2244"/>
      <c r="BO130" s="2244"/>
      <c r="BP130" s="2245"/>
      <c r="BQ130" s="2246"/>
      <c r="BR130" s="2247"/>
      <c r="BS130" s="2248"/>
      <c r="BT130" s="2249"/>
      <c r="BU130" s="2249"/>
      <c r="BV130" s="2238"/>
      <c r="BW130" s="2264"/>
      <c r="BY130" s="3">
        <v>1</v>
      </c>
    </row>
    <row r="131" spans="2:77" ht="21" customHeight="1">
      <c r="B131" s="2265" t="str" cm="1">
        <f t="array" ref="B131">SUMPRODUCT(--(D131:J131&lt;&gt;""), LEN(TRIM(SUBSTITUTE(D131:J131, CHAR(160), "")))) &amp; " Car."</f>
        <v>0 Car.</v>
      </c>
      <c r="C131" s="1376" t="str">
        <f>IF(ISBLANK(D131),"",LARGE(C13:C130,1)+1)</f>
        <v/>
      </c>
      <c r="D131" s="1833"/>
      <c r="E131" s="1810"/>
      <c r="F131" s="1810"/>
      <c r="G131" s="1810"/>
      <c r="H131" s="1810"/>
      <c r="I131" s="1810"/>
      <c r="J131" s="1810"/>
      <c r="K131" s="1810"/>
      <c r="L131" s="1811"/>
      <c r="M131" s="9"/>
      <c r="N131" s="2252" t="s">
        <v>15</v>
      </c>
      <c r="O131" s="2237"/>
      <c r="P131" s="2237"/>
      <c r="Q131" s="2237"/>
      <c r="R131" s="2237"/>
      <c r="S131" s="2240"/>
      <c r="T131" s="2241"/>
      <c r="U131" s="2239"/>
      <c r="V131" s="2242"/>
      <c r="W131" s="2250"/>
      <c r="X131" s="2244"/>
      <c r="Y131" s="2244"/>
      <c r="Z131" s="2245"/>
      <c r="AA131" s="2246"/>
      <c r="AB131" s="2247"/>
      <c r="AC131" s="2248"/>
      <c r="AD131" s="2249"/>
      <c r="AE131" s="2249"/>
      <c r="AF131" s="2238"/>
      <c r="AG131" s="2264"/>
      <c r="AH131" s="918"/>
      <c r="AI131" s="2252" t="s">
        <v>15</v>
      </c>
      <c r="AJ131" s="2237"/>
      <c r="AK131" s="2237"/>
      <c r="AL131" s="2237"/>
      <c r="AM131" s="2237"/>
      <c r="AN131" s="2240"/>
      <c r="AO131" s="2241"/>
      <c r="AP131" s="2239"/>
      <c r="AQ131" s="2242"/>
      <c r="AR131" s="2250"/>
      <c r="AS131" s="2244"/>
      <c r="AT131" s="2244"/>
      <c r="AU131" s="2245"/>
      <c r="AV131" s="2246"/>
      <c r="AW131" s="2247"/>
      <c r="AX131" s="2248"/>
      <c r="AY131" s="2249"/>
      <c r="AZ131" s="2249"/>
      <c r="BA131" s="2238"/>
      <c r="BB131" s="2264"/>
      <c r="BC131" s="918"/>
      <c r="BD131" s="2252" t="s">
        <v>15</v>
      </c>
      <c r="BE131" s="2237"/>
      <c r="BF131" s="2237"/>
      <c r="BG131" s="2237"/>
      <c r="BH131" s="2237"/>
      <c r="BI131" s="2240"/>
      <c r="BJ131" s="2241"/>
      <c r="BK131" s="2239"/>
      <c r="BL131" s="2242"/>
      <c r="BM131" s="2250"/>
      <c r="BN131" s="2244"/>
      <c r="BO131" s="2244"/>
      <c r="BP131" s="2245"/>
      <c r="BQ131" s="2246"/>
      <c r="BR131" s="2247"/>
      <c r="BS131" s="2248"/>
      <c r="BT131" s="2249"/>
      <c r="BU131" s="2249"/>
      <c r="BV131" s="2238"/>
      <c r="BW131" s="2264"/>
      <c r="BY131" s="3">
        <v>1</v>
      </c>
    </row>
    <row r="132" spans="2:77" ht="21" customHeight="1">
      <c r="B132" s="2265" t="str" cm="1">
        <f t="array" ref="B132">SUMPRODUCT(--(D132:J132&lt;&gt;""), LEN(TRIM(SUBSTITUTE(D132:J132, CHAR(160), "")))) &amp; " Car."</f>
        <v>0 Car.</v>
      </c>
      <c r="C132" s="1376" t="str">
        <f>IF(ISBLANK(D132),"",LARGE(C13:C131,1)+1)</f>
        <v/>
      </c>
      <c r="D132" s="1833"/>
      <c r="E132" s="1810"/>
      <c r="F132" s="1810"/>
      <c r="G132" s="1810"/>
      <c r="H132" s="1810"/>
      <c r="I132" s="1810"/>
      <c r="J132" s="1810"/>
      <c r="K132" s="1810"/>
      <c r="L132" s="1811"/>
      <c r="M132" s="9"/>
      <c r="N132" s="2252" t="s">
        <v>15</v>
      </c>
      <c r="O132" s="2237"/>
      <c r="P132" s="2237"/>
      <c r="Q132" s="2237"/>
      <c r="R132" s="2237"/>
      <c r="S132" s="2240"/>
      <c r="T132" s="2241"/>
      <c r="U132" s="2239"/>
      <c r="V132" s="2242"/>
      <c r="W132" s="2250"/>
      <c r="X132" s="2244"/>
      <c r="Y132" s="2244"/>
      <c r="Z132" s="2245"/>
      <c r="AA132" s="2246"/>
      <c r="AB132" s="2247"/>
      <c r="AC132" s="2248"/>
      <c r="AD132" s="2249"/>
      <c r="AE132" s="2249"/>
      <c r="AF132" s="2238"/>
      <c r="AG132" s="2264"/>
      <c r="AH132" s="918"/>
      <c r="AI132" s="2252" t="s">
        <v>15</v>
      </c>
      <c r="AJ132" s="2237"/>
      <c r="AK132" s="2237"/>
      <c r="AL132" s="2237"/>
      <c r="AM132" s="2237"/>
      <c r="AN132" s="2240"/>
      <c r="AO132" s="2241"/>
      <c r="AP132" s="2239"/>
      <c r="AQ132" s="2242"/>
      <c r="AR132" s="2250"/>
      <c r="AS132" s="2244"/>
      <c r="AT132" s="2244"/>
      <c r="AU132" s="2245"/>
      <c r="AV132" s="2246"/>
      <c r="AW132" s="2247"/>
      <c r="AX132" s="2248"/>
      <c r="AY132" s="2249"/>
      <c r="AZ132" s="2249"/>
      <c r="BA132" s="2238"/>
      <c r="BB132" s="2264"/>
      <c r="BC132" s="918"/>
      <c r="BD132" s="2252" t="s">
        <v>15</v>
      </c>
      <c r="BE132" s="2237"/>
      <c r="BF132" s="2237"/>
      <c r="BG132" s="2237"/>
      <c r="BH132" s="2237"/>
      <c r="BI132" s="2240"/>
      <c r="BJ132" s="2241"/>
      <c r="BK132" s="2239"/>
      <c r="BL132" s="2242"/>
      <c r="BM132" s="2250"/>
      <c r="BN132" s="2244"/>
      <c r="BO132" s="2244"/>
      <c r="BP132" s="2245"/>
      <c r="BQ132" s="2246"/>
      <c r="BR132" s="2247"/>
      <c r="BS132" s="2248"/>
      <c r="BT132" s="2249"/>
      <c r="BU132" s="2249"/>
      <c r="BV132" s="2238"/>
      <c r="BW132" s="2264"/>
      <c r="BY132" s="3">
        <v>1</v>
      </c>
    </row>
    <row r="133" spans="2:77" ht="21" customHeight="1">
      <c r="B133" s="2265" t="str" cm="1">
        <f t="array" ref="B133">SUMPRODUCT(--(D133:J133&lt;&gt;""), LEN(TRIM(SUBSTITUTE(D133:J133, CHAR(160), "")))) &amp; " Car."</f>
        <v>0 Car.</v>
      </c>
      <c r="C133" s="1376" t="str">
        <f>IF(ISBLANK(D133),"",LARGE(C13:C132,1)+1)</f>
        <v/>
      </c>
      <c r="D133" s="1833"/>
      <c r="E133" s="1810"/>
      <c r="F133" s="1810"/>
      <c r="G133" s="1810"/>
      <c r="H133" s="1810"/>
      <c r="I133" s="1810"/>
      <c r="J133" s="1810"/>
      <c r="K133" s="1810"/>
      <c r="L133" s="1811"/>
      <c r="M133" s="9"/>
      <c r="N133" s="2252" t="s">
        <v>15</v>
      </c>
      <c r="O133" s="2237"/>
      <c r="P133" s="2237"/>
      <c r="Q133" s="2237"/>
      <c r="R133" s="2237"/>
      <c r="S133" s="2240"/>
      <c r="T133" s="2241"/>
      <c r="U133" s="2239"/>
      <c r="V133" s="2242"/>
      <c r="W133" s="2250"/>
      <c r="X133" s="2244"/>
      <c r="Y133" s="2244"/>
      <c r="Z133" s="2245"/>
      <c r="AA133" s="2246"/>
      <c r="AB133" s="2247"/>
      <c r="AC133" s="2248"/>
      <c r="AD133" s="2249"/>
      <c r="AE133" s="2249"/>
      <c r="AF133" s="2238"/>
      <c r="AG133" s="2264"/>
      <c r="AH133" s="918"/>
      <c r="AI133" s="2252" t="s">
        <v>15</v>
      </c>
      <c r="AJ133" s="2237"/>
      <c r="AK133" s="2237"/>
      <c r="AL133" s="2237"/>
      <c r="AM133" s="2237"/>
      <c r="AN133" s="2240"/>
      <c r="AO133" s="2241"/>
      <c r="AP133" s="2239"/>
      <c r="AQ133" s="2242"/>
      <c r="AR133" s="2250"/>
      <c r="AS133" s="2244"/>
      <c r="AT133" s="2244"/>
      <c r="AU133" s="2245"/>
      <c r="AV133" s="2246"/>
      <c r="AW133" s="2247"/>
      <c r="AX133" s="2248"/>
      <c r="AY133" s="2249"/>
      <c r="AZ133" s="2249"/>
      <c r="BA133" s="2238"/>
      <c r="BB133" s="2264"/>
      <c r="BC133" s="918"/>
      <c r="BD133" s="2252" t="s">
        <v>15</v>
      </c>
      <c r="BE133" s="2237"/>
      <c r="BF133" s="2237"/>
      <c r="BG133" s="2237"/>
      <c r="BH133" s="2237"/>
      <c r="BI133" s="2240"/>
      <c r="BJ133" s="2241"/>
      <c r="BK133" s="2239"/>
      <c r="BL133" s="2242"/>
      <c r="BM133" s="2250"/>
      <c r="BN133" s="2244"/>
      <c r="BO133" s="2244"/>
      <c r="BP133" s="2245"/>
      <c r="BQ133" s="2246"/>
      <c r="BR133" s="2247"/>
      <c r="BS133" s="2248"/>
      <c r="BT133" s="2249"/>
      <c r="BU133" s="2249"/>
      <c r="BV133" s="2238"/>
      <c r="BW133" s="2264"/>
      <c r="BY133" s="3">
        <v>1</v>
      </c>
    </row>
    <row r="134" spans="2:77" ht="21" customHeight="1">
      <c r="B134" s="2265" t="str" cm="1">
        <f t="array" ref="B134">SUMPRODUCT(--(D134:J134&lt;&gt;""), LEN(TRIM(SUBSTITUTE(D134:J134, CHAR(160), "")))) &amp; " Car."</f>
        <v>0 Car.</v>
      </c>
      <c r="C134" s="1376" t="str">
        <f>IF(ISBLANK(D134),"",LARGE(C13:C133,1)+1)</f>
        <v/>
      </c>
      <c r="D134" s="1833"/>
      <c r="E134" s="1810"/>
      <c r="F134" s="1810"/>
      <c r="G134" s="1810"/>
      <c r="H134" s="1810"/>
      <c r="I134" s="1810"/>
      <c r="J134" s="1810"/>
      <c r="K134" s="1810"/>
      <c r="L134" s="1811"/>
      <c r="M134" s="9"/>
      <c r="N134" s="2252" t="s">
        <v>15</v>
      </c>
      <c r="O134" s="2237"/>
      <c r="P134" s="2237"/>
      <c r="Q134" s="2237"/>
      <c r="R134" s="2237"/>
      <c r="S134" s="2240"/>
      <c r="T134" s="2241"/>
      <c r="U134" s="2239"/>
      <c r="V134" s="2242"/>
      <c r="W134" s="2250"/>
      <c r="X134" s="2244"/>
      <c r="Y134" s="2244"/>
      <c r="Z134" s="2245"/>
      <c r="AA134" s="2246"/>
      <c r="AB134" s="2247"/>
      <c r="AC134" s="2248"/>
      <c r="AD134" s="2249"/>
      <c r="AE134" s="2249"/>
      <c r="AF134" s="2238"/>
      <c r="AG134" s="2264"/>
      <c r="AH134" s="918"/>
      <c r="AI134" s="2252" t="s">
        <v>15</v>
      </c>
      <c r="AJ134" s="2237"/>
      <c r="AK134" s="2237"/>
      <c r="AL134" s="2237"/>
      <c r="AM134" s="2237"/>
      <c r="AN134" s="2240"/>
      <c r="AO134" s="2241"/>
      <c r="AP134" s="2239"/>
      <c r="AQ134" s="2242"/>
      <c r="AR134" s="2250"/>
      <c r="AS134" s="2244"/>
      <c r="AT134" s="2244"/>
      <c r="AU134" s="2245"/>
      <c r="AV134" s="2246"/>
      <c r="AW134" s="2247"/>
      <c r="AX134" s="2248"/>
      <c r="AY134" s="2249"/>
      <c r="AZ134" s="2249"/>
      <c r="BA134" s="2238"/>
      <c r="BB134" s="2264"/>
      <c r="BC134" s="918"/>
      <c r="BD134" s="2252" t="s">
        <v>15</v>
      </c>
      <c r="BE134" s="2237"/>
      <c r="BF134" s="2237"/>
      <c r="BG134" s="2237"/>
      <c r="BH134" s="2237"/>
      <c r="BI134" s="2240"/>
      <c r="BJ134" s="2241"/>
      <c r="BK134" s="2239"/>
      <c r="BL134" s="2242"/>
      <c r="BM134" s="2250"/>
      <c r="BN134" s="2244"/>
      <c r="BO134" s="2244"/>
      <c r="BP134" s="2245"/>
      <c r="BQ134" s="2246"/>
      <c r="BR134" s="2247"/>
      <c r="BS134" s="2248"/>
      <c r="BT134" s="2249"/>
      <c r="BU134" s="2249"/>
      <c r="BV134" s="2238"/>
      <c r="BW134" s="2264"/>
      <c r="BY134" s="3">
        <v>1</v>
      </c>
    </row>
    <row r="135" spans="2:77" ht="21" customHeight="1">
      <c r="B135" s="2265" t="str" cm="1">
        <f t="array" ref="B135">SUMPRODUCT(--(D135:J135&lt;&gt;""), LEN(TRIM(SUBSTITUTE(D135:J135, CHAR(160), "")))) &amp; " Car."</f>
        <v>0 Car.</v>
      </c>
      <c r="C135" s="1376" t="str">
        <f>IF(ISBLANK(D135),"",LARGE(C13:C134,1)+1)</f>
        <v/>
      </c>
      <c r="D135" s="1833"/>
      <c r="E135" s="1810"/>
      <c r="F135" s="1810"/>
      <c r="G135" s="1810"/>
      <c r="H135" s="1810"/>
      <c r="I135" s="1810"/>
      <c r="J135" s="1810"/>
      <c r="K135" s="1810"/>
      <c r="L135" s="1811"/>
      <c r="M135" s="9"/>
      <c r="N135" s="2252" t="s">
        <v>15</v>
      </c>
      <c r="O135" s="2237"/>
      <c r="P135" s="2237"/>
      <c r="Q135" s="2237"/>
      <c r="R135" s="2237"/>
      <c r="S135" s="2240"/>
      <c r="T135" s="2241"/>
      <c r="U135" s="2239"/>
      <c r="V135" s="2242"/>
      <c r="W135" s="2250"/>
      <c r="X135" s="2244"/>
      <c r="Y135" s="2244"/>
      <c r="Z135" s="2245"/>
      <c r="AA135" s="2246"/>
      <c r="AB135" s="2247"/>
      <c r="AC135" s="2248"/>
      <c r="AD135" s="2249"/>
      <c r="AE135" s="2249"/>
      <c r="AF135" s="2238"/>
      <c r="AG135" s="2264"/>
      <c r="AH135" s="918"/>
      <c r="AI135" s="2252" t="s">
        <v>15</v>
      </c>
      <c r="AJ135" s="2237"/>
      <c r="AK135" s="2237"/>
      <c r="AL135" s="2237"/>
      <c r="AM135" s="2237"/>
      <c r="AN135" s="2240"/>
      <c r="AO135" s="2241"/>
      <c r="AP135" s="2239"/>
      <c r="AQ135" s="2242"/>
      <c r="AR135" s="2250"/>
      <c r="AS135" s="2244"/>
      <c r="AT135" s="2244"/>
      <c r="AU135" s="2245"/>
      <c r="AV135" s="2246"/>
      <c r="AW135" s="2247"/>
      <c r="AX135" s="2248"/>
      <c r="AY135" s="2249"/>
      <c r="AZ135" s="2249"/>
      <c r="BA135" s="2238"/>
      <c r="BB135" s="2264"/>
      <c r="BC135" s="918"/>
      <c r="BD135" s="2252" t="s">
        <v>15</v>
      </c>
      <c r="BE135" s="2237"/>
      <c r="BF135" s="2237"/>
      <c r="BG135" s="2237"/>
      <c r="BH135" s="2237"/>
      <c r="BI135" s="2240"/>
      <c r="BJ135" s="2241"/>
      <c r="BK135" s="2239"/>
      <c r="BL135" s="2242"/>
      <c r="BM135" s="2250"/>
      <c r="BN135" s="2244"/>
      <c r="BO135" s="2244"/>
      <c r="BP135" s="2245"/>
      <c r="BQ135" s="2246"/>
      <c r="BR135" s="2247"/>
      <c r="BS135" s="2248"/>
      <c r="BT135" s="2249"/>
      <c r="BU135" s="2249"/>
      <c r="BV135" s="2238"/>
      <c r="BW135" s="2264"/>
      <c r="BY135" s="3">
        <v>1</v>
      </c>
    </row>
    <row r="136" spans="2:77" ht="21" customHeight="1">
      <c r="B136" s="2265" t="str" cm="1">
        <f t="array" ref="B136">SUMPRODUCT(--(D136:J136&lt;&gt;""), LEN(TRIM(SUBSTITUTE(D136:J136, CHAR(160), "")))) &amp; " Car."</f>
        <v>0 Car.</v>
      </c>
      <c r="C136" s="1376" t="str">
        <f>IF(ISBLANK(D136),"",LARGE(C13:C135,1)+1)</f>
        <v/>
      </c>
      <c r="D136" s="1833"/>
      <c r="E136" s="1810"/>
      <c r="F136" s="1810"/>
      <c r="G136" s="1810"/>
      <c r="H136" s="1810"/>
      <c r="I136" s="1810"/>
      <c r="J136" s="1810"/>
      <c r="K136" s="1810"/>
      <c r="L136" s="1811"/>
      <c r="M136" s="9"/>
      <c r="N136" s="2252" t="s">
        <v>15</v>
      </c>
      <c r="O136" s="2237"/>
      <c r="P136" s="2237"/>
      <c r="Q136" s="2237"/>
      <c r="R136" s="2237"/>
      <c r="S136" s="2240"/>
      <c r="T136" s="2241"/>
      <c r="U136" s="2239"/>
      <c r="V136" s="2242"/>
      <c r="W136" s="2250"/>
      <c r="X136" s="2244"/>
      <c r="Y136" s="2244"/>
      <c r="Z136" s="2245"/>
      <c r="AA136" s="2246"/>
      <c r="AB136" s="2247"/>
      <c r="AC136" s="2248"/>
      <c r="AD136" s="2249"/>
      <c r="AE136" s="2249"/>
      <c r="AF136" s="2238"/>
      <c r="AG136" s="2264"/>
      <c r="AH136" s="918"/>
      <c r="AI136" s="2252" t="s">
        <v>15</v>
      </c>
      <c r="AJ136" s="2237"/>
      <c r="AK136" s="2237"/>
      <c r="AL136" s="2237"/>
      <c r="AM136" s="2237"/>
      <c r="AN136" s="2240"/>
      <c r="AO136" s="2241"/>
      <c r="AP136" s="2239"/>
      <c r="AQ136" s="2242"/>
      <c r="AR136" s="2250"/>
      <c r="AS136" s="2244"/>
      <c r="AT136" s="2244"/>
      <c r="AU136" s="2245"/>
      <c r="AV136" s="2246"/>
      <c r="AW136" s="2247"/>
      <c r="AX136" s="2248"/>
      <c r="AY136" s="2249"/>
      <c r="AZ136" s="2249"/>
      <c r="BA136" s="2238"/>
      <c r="BB136" s="2264"/>
      <c r="BC136" s="918"/>
      <c r="BD136" s="2252" t="s">
        <v>15</v>
      </c>
      <c r="BE136" s="2237"/>
      <c r="BF136" s="2237"/>
      <c r="BG136" s="2237"/>
      <c r="BH136" s="2237"/>
      <c r="BI136" s="2240"/>
      <c r="BJ136" s="2241"/>
      <c r="BK136" s="2239"/>
      <c r="BL136" s="2242"/>
      <c r="BM136" s="2250"/>
      <c r="BN136" s="2244"/>
      <c r="BO136" s="2244"/>
      <c r="BP136" s="2245"/>
      <c r="BQ136" s="2246"/>
      <c r="BR136" s="2247"/>
      <c r="BS136" s="2248"/>
      <c r="BT136" s="2249"/>
      <c r="BU136" s="2249"/>
      <c r="BV136" s="2238"/>
      <c r="BW136" s="2264"/>
      <c r="BY136" s="3">
        <v>1</v>
      </c>
    </row>
    <row r="137" spans="2:77" ht="21" customHeight="1">
      <c r="B137" s="2265" t="str" cm="1">
        <f t="array" ref="B137">SUMPRODUCT(--(D137:J137&lt;&gt;""), LEN(TRIM(SUBSTITUTE(D137:J137, CHAR(160), "")))) &amp; " Car."</f>
        <v>0 Car.</v>
      </c>
      <c r="C137" s="1376" t="str">
        <f>IF(ISBLANK(D137),"",LARGE(C13:C136,1)+1)</f>
        <v/>
      </c>
      <c r="D137" s="1833"/>
      <c r="E137" s="1810"/>
      <c r="F137" s="1810"/>
      <c r="G137" s="1810"/>
      <c r="H137" s="1810"/>
      <c r="I137" s="1810"/>
      <c r="J137" s="1810"/>
      <c r="K137" s="1810"/>
      <c r="L137" s="1811"/>
      <c r="M137" s="9"/>
      <c r="N137" s="2252" t="s">
        <v>15</v>
      </c>
      <c r="O137" s="2237"/>
      <c r="P137" s="2237"/>
      <c r="Q137" s="2237"/>
      <c r="R137" s="2237"/>
      <c r="S137" s="2240"/>
      <c r="T137" s="2241"/>
      <c r="U137" s="2239"/>
      <c r="V137" s="2242"/>
      <c r="W137" s="2250"/>
      <c r="X137" s="2244"/>
      <c r="Y137" s="2244"/>
      <c r="Z137" s="2245"/>
      <c r="AA137" s="2246"/>
      <c r="AB137" s="2247"/>
      <c r="AC137" s="2248"/>
      <c r="AD137" s="2249"/>
      <c r="AE137" s="2249"/>
      <c r="AF137" s="2238"/>
      <c r="AG137" s="2264"/>
      <c r="AH137" s="918"/>
      <c r="AI137" s="2252" t="s">
        <v>15</v>
      </c>
      <c r="AJ137" s="2237"/>
      <c r="AK137" s="2237"/>
      <c r="AL137" s="2237"/>
      <c r="AM137" s="2237"/>
      <c r="AN137" s="2240"/>
      <c r="AO137" s="2241"/>
      <c r="AP137" s="2239"/>
      <c r="AQ137" s="2242"/>
      <c r="AR137" s="2250"/>
      <c r="AS137" s="2244"/>
      <c r="AT137" s="2244"/>
      <c r="AU137" s="2245"/>
      <c r="AV137" s="2246"/>
      <c r="AW137" s="2247"/>
      <c r="AX137" s="2248"/>
      <c r="AY137" s="2249"/>
      <c r="AZ137" s="2249"/>
      <c r="BA137" s="2238"/>
      <c r="BB137" s="2264"/>
      <c r="BC137" s="918"/>
      <c r="BD137" s="2252" t="s">
        <v>15</v>
      </c>
      <c r="BE137" s="2237"/>
      <c r="BF137" s="2237"/>
      <c r="BG137" s="2237"/>
      <c r="BH137" s="2237"/>
      <c r="BI137" s="2240"/>
      <c r="BJ137" s="2241"/>
      <c r="BK137" s="2239"/>
      <c r="BL137" s="2242"/>
      <c r="BM137" s="2250"/>
      <c r="BN137" s="2244"/>
      <c r="BO137" s="2244"/>
      <c r="BP137" s="2245"/>
      <c r="BQ137" s="2246"/>
      <c r="BR137" s="2247"/>
      <c r="BS137" s="2248"/>
      <c r="BT137" s="2249"/>
      <c r="BU137" s="2249"/>
      <c r="BV137" s="2238"/>
      <c r="BW137" s="2264"/>
      <c r="BY137" s="3">
        <v>1</v>
      </c>
    </row>
    <row r="138" spans="2:77" ht="21" customHeight="1">
      <c r="B138" s="2265" t="str" cm="1">
        <f t="array" ref="B138">SUMPRODUCT(--(D138:J138&lt;&gt;""), LEN(TRIM(SUBSTITUTE(D138:J138, CHAR(160), "")))) &amp; " Car."</f>
        <v>0 Car.</v>
      </c>
      <c r="C138" s="1376" t="str">
        <f>IF(ISBLANK(D138),"",LARGE(C13:C137,1)+1)</f>
        <v/>
      </c>
      <c r="D138" s="1833"/>
      <c r="E138" s="1810"/>
      <c r="F138" s="1810"/>
      <c r="G138" s="1810"/>
      <c r="H138" s="1810"/>
      <c r="I138" s="1810"/>
      <c r="J138" s="1810"/>
      <c r="K138" s="1810"/>
      <c r="L138" s="1811"/>
      <c r="M138" s="9"/>
      <c r="N138" s="2252" t="s">
        <v>15</v>
      </c>
      <c r="O138" s="2237"/>
      <c r="P138" s="2237"/>
      <c r="Q138" s="2237"/>
      <c r="R138" s="2237"/>
      <c r="S138" s="2240"/>
      <c r="T138" s="2241"/>
      <c r="U138" s="2239"/>
      <c r="V138" s="2242"/>
      <c r="W138" s="2250"/>
      <c r="X138" s="2244"/>
      <c r="Y138" s="2244"/>
      <c r="Z138" s="2245"/>
      <c r="AA138" s="2246"/>
      <c r="AB138" s="2247"/>
      <c r="AC138" s="2248"/>
      <c r="AD138" s="2249"/>
      <c r="AE138" s="2249"/>
      <c r="AF138" s="2238"/>
      <c r="AG138" s="2264"/>
      <c r="AH138" s="918"/>
      <c r="AI138" s="2252" t="s">
        <v>15</v>
      </c>
      <c r="AJ138" s="2237"/>
      <c r="AK138" s="2237"/>
      <c r="AL138" s="2237"/>
      <c r="AM138" s="2237"/>
      <c r="AN138" s="2240"/>
      <c r="AO138" s="2241"/>
      <c r="AP138" s="2239"/>
      <c r="AQ138" s="2242"/>
      <c r="AR138" s="2250"/>
      <c r="AS138" s="2244"/>
      <c r="AT138" s="2244"/>
      <c r="AU138" s="2245"/>
      <c r="AV138" s="2246"/>
      <c r="AW138" s="2247"/>
      <c r="AX138" s="2248"/>
      <c r="AY138" s="2249"/>
      <c r="AZ138" s="2249"/>
      <c r="BA138" s="2238"/>
      <c r="BB138" s="2264"/>
      <c r="BC138" s="918"/>
      <c r="BD138" s="2252" t="s">
        <v>15</v>
      </c>
      <c r="BE138" s="2237"/>
      <c r="BF138" s="2237"/>
      <c r="BG138" s="2237"/>
      <c r="BH138" s="2237"/>
      <c r="BI138" s="2240"/>
      <c r="BJ138" s="2241"/>
      <c r="BK138" s="2239"/>
      <c r="BL138" s="2242"/>
      <c r="BM138" s="2250"/>
      <c r="BN138" s="2244"/>
      <c r="BO138" s="2244"/>
      <c r="BP138" s="2245"/>
      <c r="BQ138" s="2246"/>
      <c r="BR138" s="2247"/>
      <c r="BS138" s="2248"/>
      <c r="BT138" s="2249"/>
      <c r="BU138" s="2249"/>
      <c r="BV138" s="2238"/>
      <c r="BW138" s="2264"/>
      <c r="BY138" s="3">
        <v>1</v>
      </c>
    </row>
    <row r="139" spans="2:77" ht="21" customHeight="1">
      <c r="B139" s="2265" t="str" cm="1">
        <f t="array" ref="B139">SUMPRODUCT(--(D139:J139&lt;&gt;""), LEN(TRIM(SUBSTITUTE(D139:J139, CHAR(160), "")))) &amp; " Car."</f>
        <v>0 Car.</v>
      </c>
      <c r="C139" s="1376" t="str">
        <f>IF(ISBLANK(D139),"",LARGE(C13:C138,1)+1)</f>
        <v/>
      </c>
      <c r="D139" s="1833"/>
      <c r="E139" s="1810"/>
      <c r="F139" s="1810"/>
      <c r="G139" s="1810"/>
      <c r="H139" s="1810"/>
      <c r="I139" s="1810"/>
      <c r="J139" s="1810"/>
      <c r="K139" s="1810"/>
      <c r="L139" s="1811"/>
      <c r="M139" s="9"/>
      <c r="N139" s="2252" t="s">
        <v>15</v>
      </c>
      <c r="O139" s="2237"/>
      <c r="P139" s="2237"/>
      <c r="Q139" s="2237"/>
      <c r="R139" s="2237"/>
      <c r="S139" s="2240"/>
      <c r="T139" s="2241"/>
      <c r="U139" s="2239"/>
      <c r="V139" s="2242"/>
      <c r="W139" s="2250"/>
      <c r="X139" s="2244"/>
      <c r="Y139" s="2244"/>
      <c r="Z139" s="2245"/>
      <c r="AA139" s="2246"/>
      <c r="AB139" s="2247"/>
      <c r="AC139" s="2248"/>
      <c r="AD139" s="2249"/>
      <c r="AE139" s="2249"/>
      <c r="AF139" s="2238"/>
      <c r="AG139" s="2264"/>
      <c r="AH139" s="918"/>
      <c r="AI139" s="2252" t="s">
        <v>15</v>
      </c>
      <c r="AJ139" s="2237"/>
      <c r="AK139" s="2237"/>
      <c r="AL139" s="2237"/>
      <c r="AM139" s="2237"/>
      <c r="AN139" s="2240"/>
      <c r="AO139" s="2241"/>
      <c r="AP139" s="2239"/>
      <c r="AQ139" s="2242"/>
      <c r="AR139" s="2250"/>
      <c r="AS139" s="2244"/>
      <c r="AT139" s="2244"/>
      <c r="AU139" s="2245"/>
      <c r="AV139" s="2246"/>
      <c r="AW139" s="2247"/>
      <c r="AX139" s="2248"/>
      <c r="AY139" s="2249"/>
      <c r="AZ139" s="2249"/>
      <c r="BA139" s="2238"/>
      <c r="BB139" s="2264"/>
      <c r="BC139" s="918"/>
      <c r="BD139" s="2252" t="s">
        <v>15</v>
      </c>
      <c r="BE139" s="2237"/>
      <c r="BF139" s="2237"/>
      <c r="BG139" s="2237"/>
      <c r="BH139" s="2237"/>
      <c r="BI139" s="2240"/>
      <c r="BJ139" s="2241"/>
      <c r="BK139" s="2239"/>
      <c r="BL139" s="2242"/>
      <c r="BM139" s="2250"/>
      <c r="BN139" s="2244"/>
      <c r="BO139" s="2244"/>
      <c r="BP139" s="2245"/>
      <c r="BQ139" s="2246"/>
      <c r="BR139" s="2247"/>
      <c r="BS139" s="2248"/>
      <c r="BT139" s="2249"/>
      <c r="BU139" s="2249"/>
      <c r="BV139" s="2238"/>
      <c r="BW139" s="2264"/>
      <c r="BY139" s="3">
        <v>1</v>
      </c>
    </row>
    <row r="140" spans="2:77" ht="21" customHeight="1">
      <c r="B140" s="2265" t="str" cm="1">
        <f t="array" ref="B140">SUMPRODUCT(--(D140:J140&lt;&gt;""), LEN(TRIM(SUBSTITUTE(D140:J140, CHAR(160), "")))) &amp; " Car."</f>
        <v>0 Car.</v>
      </c>
      <c r="C140" s="1376" t="str">
        <f>IF(ISBLANK(D140),"",LARGE(C13:C139,1)+1)</f>
        <v/>
      </c>
      <c r="D140" s="1833"/>
      <c r="E140" s="1810"/>
      <c r="F140" s="1810"/>
      <c r="G140" s="1810"/>
      <c r="H140" s="1810"/>
      <c r="I140" s="1810"/>
      <c r="J140" s="1810"/>
      <c r="K140" s="1810"/>
      <c r="L140" s="1811"/>
      <c r="M140" s="9"/>
      <c r="N140" s="2252" t="s">
        <v>15</v>
      </c>
      <c r="O140" s="2237"/>
      <c r="P140" s="2237"/>
      <c r="Q140" s="2237"/>
      <c r="R140" s="2237"/>
      <c r="S140" s="2240"/>
      <c r="T140" s="2241"/>
      <c r="U140" s="2239"/>
      <c r="V140" s="2242"/>
      <c r="W140" s="2250"/>
      <c r="X140" s="2244"/>
      <c r="Y140" s="2244"/>
      <c r="Z140" s="2245"/>
      <c r="AA140" s="2246"/>
      <c r="AB140" s="2247"/>
      <c r="AC140" s="2248"/>
      <c r="AD140" s="2249"/>
      <c r="AE140" s="2249"/>
      <c r="AF140" s="2238"/>
      <c r="AG140" s="2264"/>
      <c r="AH140" s="918"/>
      <c r="AI140" s="2252" t="s">
        <v>15</v>
      </c>
      <c r="AJ140" s="2237"/>
      <c r="AK140" s="2237"/>
      <c r="AL140" s="2237"/>
      <c r="AM140" s="2237"/>
      <c r="AN140" s="2240"/>
      <c r="AO140" s="2241"/>
      <c r="AP140" s="2239"/>
      <c r="AQ140" s="2242"/>
      <c r="AR140" s="2250"/>
      <c r="AS140" s="2244"/>
      <c r="AT140" s="2244"/>
      <c r="AU140" s="2245"/>
      <c r="AV140" s="2246"/>
      <c r="AW140" s="2247"/>
      <c r="AX140" s="2248"/>
      <c r="AY140" s="2249"/>
      <c r="AZ140" s="2249"/>
      <c r="BA140" s="2238"/>
      <c r="BB140" s="2264"/>
      <c r="BC140" s="918"/>
      <c r="BD140" s="2252" t="s">
        <v>15</v>
      </c>
      <c r="BE140" s="2237"/>
      <c r="BF140" s="2237"/>
      <c r="BG140" s="2237"/>
      <c r="BH140" s="2237"/>
      <c r="BI140" s="2240"/>
      <c r="BJ140" s="2241"/>
      <c r="BK140" s="2239"/>
      <c r="BL140" s="2242"/>
      <c r="BM140" s="2250"/>
      <c r="BN140" s="2244"/>
      <c r="BO140" s="2244"/>
      <c r="BP140" s="2245"/>
      <c r="BQ140" s="2246"/>
      <c r="BR140" s="2247"/>
      <c r="BS140" s="2248"/>
      <c r="BT140" s="2249"/>
      <c r="BU140" s="2249"/>
      <c r="BV140" s="2238"/>
      <c r="BW140" s="2264"/>
      <c r="BY140" s="3">
        <v>1</v>
      </c>
    </row>
    <row r="141" spans="2:77" ht="21" customHeight="1">
      <c r="B141" s="2265" t="str" cm="1">
        <f t="array" ref="B141">SUMPRODUCT(--(D141:J141&lt;&gt;""), LEN(TRIM(SUBSTITUTE(D141:J141, CHAR(160), "")))) &amp; " Car."</f>
        <v>0 Car.</v>
      </c>
      <c r="C141" s="1376" t="str">
        <f>IF(ISBLANK(D141),"",LARGE(C13:C140,1)+1)</f>
        <v/>
      </c>
      <c r="D141" s="1833"/>
      <c r="E141" s="1810"/>
      <c r="F141" s="1810"/>
      <c r="G141" s="1810"/>
      <c r="H141" s="1810"/>
      <c r="I141" s="1810"/>
      <c r="J141" s="1810"/>
      <c r="K141" s="1810"/>
      <c r="L141" s="1811"/>
      <c r="M141" s="9"/>
      <c r="N141" s="2252" t="s">
        <v>15</v>
      </c>
      <c r="O141" s="2237"/>
      <c r="P141" s="2237"/>
      <c r="Q141" s="2237"/>
      <c r="R141" s="2237"/>
      <c r="S141" s="2240"/>
      <c r="T141" s="2241"/>
      <c r="U141" s="2239"/>
      <c r="V141" s="2242"/>
      <c r="W141" s="2250"/>
      <c r="X141" s="2244"/>
      <c r="Y141" s="2244"/>
      <c r="Z141" s="2245"/>
      <c r="AA141" s="2246"/>
      <c r="AB141" s="2247"/>
      <c r="AC141" s="2248"/>
      <c r="AD141" s="2249"/>
      <c r="AE141" s="2249"/>
      <c r="AF141" s="2238"/>
      <c r="AG141" s="2264"/>
      <c r="AH141" s="918"/>
      <c r="AI141" s="2252" t="s">
        <v>15</v>
      </c>
      <c r="AJ141" s="2237"/>
      <c r="AK141" s="2237"/>
      <c r="AL141" s="2237"/>
      <c r="AM141" s="2237"/>
      <c r="AN141" s="2240"/>
      <c r="AO141" s="2241"/>
      <c r="AP141" s="2239"/>
      <c r="AQ141" s="2242"/>
      <c r="AR141" s="2250"/>
      <c r="AS141" s="2244"/>
      <c r="AT141" s="2244"/>
      <c r="AU141" s="2245"/>
      <c r="AV141" s="2246"/>
      <c r="AW141" s="2247"/>
      <c r="AX141" s="2248"/>
      <c r="AY141" s="2249"/>
      <c r="AZ141" s="2249"/>
      <c r="BA141" s="2238"/>
      <c r="BB141" s="2264"/>
      <c r="BC141" s="918"/>
      <c r="BD141" s="2252" t="s">
        <v>15</v>
      </c>
      <c r="BE141" s="2237"/>
      <c r="BF141" s="2237"/>
      <c r="BG141" s="2237"/>
      <c r="BH141" s="2237"/>
      <c r="BI141" s="2240"/>
      <c r="BJ141" s="2241"/>
      <c r="BK141" s="2239"/>
      <c r="BL141" s="2242"/>
      <c r="BM141" s="2250"/>
      <c r="BN141" s="2244"/>
      <c r="BO141" s="2244"/>
      <c r="BP141" s="2245"/>
      <c r="BQ141" s="2246"/>
      <c r="BR141" s="2247"/>
      <c r="BS141" s="2248"/>
      <c r="BT141" s="2249"/>
      <c r="BU141" s="2249"/>
      <c r="BV141" s="2238"/>
      <c r="BW141" s="2264"/>
      <c r="BY141" s="3">
        <v>1</v>
      </c>
    </row>
    <row r="142" spans="2:77" ht="21" customHeight="1">
      <c r="B142" s="2265" t="str" cm="1">
        <f t="array" ref="B142">SUMPRODUCT(--(D142:J142&lt;&gt;""), LEN(TRIM(SUBSTITUTE(D142:J142, CHAR(160), "")))) &amp; " Car."</f>
        <v>0 Car.</v>
      </c>
      <c r="C142" s="1376" t="str">
        <f>IF(ISBLANK(D142),"",LARGE(C13:C141,1)+1)</f>
        <v/>
      </c>
      <c r="D142" s="1833"/>
      <c r="E142" s="1810"/>
      <c r="F142" s="1810"/>
      <c r="G142" s="1810"/>
      <c r="H142" s="1810"/>
      <c r="I142" s="1810"/>
      <c r="J142" s="1810"/>
      <c r="K142" s="1810"/>
      <c r="L142" s="1811"/>
      <c r="M142" s="9"/>
      <c r="N142" s="2252" t="s">
        <v>15</v>
      </c>
      <c r="O142" s="2237"/>
      <c r="P142" s="2237"/>
      <c r="Q142" s="2237"/>
      <c r="R142" s="2237"/>
      <c r="S142" s="2240"/>
      <c r="T142" s="2241"/>
      <c r="U142" s="2239"/>
      <c r="V142" s="2242"/>
      <c r="W142" s="2250"/>
      <c r="X142" s="2244"/>
      <c r="Y142" s="2244"/>
      <c r="Z142" s="2245"/>
      <c r="AA142" s="2246"/>
      <c r="AB142" s="2247"/>
      <c r="AC142" s="2248"/>
      <c r="AD142" s="2249"/>
      <c r="AE142" s="2249"/>
      <c r="AF142" s="2238"/>
      <c r="AG142" s="2264"/>
      <c r="AH142" s="918"/>
      <c r="AI142" s="2252" t="s">
        <v>15</v>
      </c>
      <c r="AJ142" s="2237"/>
      <c r="AK142" s="2237"/>
      <c r="AL142" s="2237"/>
      <c r="AM142" s="2237"/>
      <c r="AN142" s="2240"/>
      <c r="AO142" s="2241"/>
      <c r="AP142" s="2239"/>
      <c r="AQ142" s="2242"/>
      <c r="AR142" s="2250"/>
      <c r="AS142" s="2244"/>
      <c r="AT142" s="2244"/>
      <c r="AU142" s="2245"/>
      <c r="AV142" s="2246"/>
      <c r="AW142" s="2247"/>
      <c r="AX142" s="2248"/>
      <c r="AY142" s="2249"/>
      <c r="AZ142" s="2249"/>
      <c r="BA142" s="2238"/>
      <c r="BB142" s="2264"/>
      <c r="BC142" s="918"/>
      <c r="BD142" s="2252" t="s">
        <v>15</v>
      </c>
      <c r="BE142" s="2237"/>
      <c r="BF142" s="2237"/>
      <c r="BG142" s="2237"/>
      <c r="BH142" s="2237"/>
      <c r="BI142" s="2240"/>
      <c r="BJ142" s="2241"/>
      <c r="BK142" s="2239"/>
      <c r="BL142" s="2242"/>
      <c r="BM142" s="2250"/>
      <c r="BN142" s="2244"/>
      <c r="BO142" s="2244"/>
      <c r="BP142" s="2245"/>
      <c r="BQ142" s="2246"/>
      <c r="BR142" s="2247"/>
      <c r="BS142" s="2248"/>
      <c r="BT142" s="2249"/>
      <c r="BU142" s="2249"/>
      <c r="BV142" s="2238"/>
      <c r="BW142" s="2264"/>
      <c r="BY142" s="3">
        <v>1</v>
      </c>
    </row>
    <row r="143" spans="2:77" ht="21" customHeight="1">
      <c r="B143" s="2265" t="str" cm="1">
        <f t="array" ref="B143">SUMPRODUCT(--(D143:J143&lt;&gt;""), LEN(TRIM(SUBSTITUTE(D143:J143, CHAR(160), "")))) &amp; " Car."</f>
        <v>0 Car.</v>
      </c>
      <c r="C143" s="1376" t="str">
        <f>IF(ISBLANK(D143),"",LARGE(C13:C142,1)+1)</f>
        <v/>
      </c>
      <c r="D143" s="1833"/>
      <c r="E143" s="1810"/>
      <c r="F143" s="1810"/>
      <c r="G143" s="1810"/>
      <c r="H143" s="1810"/>
      <c r="I143" s="1810"/>
      <c r="J143" s="1810"/>
      <c r="K143" s="1810"/>
      <c r="L143" s="1811"/>
      <c r="M143" s="9"/>
      <c r="N143" s="2252" t="s">
        <v>15</v>
      </c>
      <c r="O143" s="2237"/>
      <c r="P143" s="2237"/>
      <c r="Q143" s="2237"/>
      <c r="R143" s="2237"/>
      <c r="S143" s="2240"/>
      <c r="T143" s="2241"/>
      <c r="U143" s="2239"/>
      <c r="V143" s="2242"/>
      <c r="W143" s="2250"/>
      <c r="X143" s="2244"/>
      <c r="Y143" s="2244"/>
      <c r="Z143" s="2245"/>
      <c r="AA143" s="2246"/>
      <c r="AB143" s="2247"/>
      <c r="AC143" s="2248"/>
      <c r="AD143" s="2249"/>
      <c r="AE143" s="2249"/>
      <c r="AF143" s="2238"/>
      <c r="AG143" s="2264"/>
      <c r="AH143" s="918"/>
      <c r="AI143" s="2252" t="s">
        <v>15</v>
      </c>
      <c r="AJ143" s="2237"/>
      <c r="AK143" s="2237"/>
      <c r="AL143" s="2237"/>
      <c r="AM143" s="2237"/>
      <c r="AN143" s="2240"/>
      <c r="AO143" s="2241"/>
      <c r="AP143" s="2239"/>
      <c r="AQ143" s="2242"/>
      <c r="AR143" s="2250"/>
      <c r="AS143" s="2244"/>
      <c r="AT143" s="2244"/>
      <c r="AU143" s="2245"/>
      <c r="AV143" s="2246"/>
      <c r="AW143" s="2247"/>
      <c r="AX143" s="2248"/>
      <c r="AY143" s="2249"/>
      <c r="AZ143" s="2249"/>
      <c r="BA143" s="2238"/>
      <c r="BB143" s="2264"/>
      <c r="BC143" s="918"/>
      <c r="BD143" s="2252" t="s">
        <v>15</v>
      </c>
      <c r="BE143" s="2237"/>
      <c r="BF143" s="2237"/>
      <c r="BG143" s="2237"/>
      <c r="BH143" s="2237"/>
      <c r="BI143" s="2240"/>
      <c r="BJ143" s="2241"/>
      <c r="BK143" s="2239"/>
      <c r="BL143" s="2242"/>
      <c r="BM143" s="2250"/>
      <c r="BN143" s="2244"/>
      <c r="BO143" s="2244"/>
      <c r="BP143" s="2245"/>
      <c r="BQ143" s="2246"/>
      <c r="BR143" s="2247"/>
      <c r="BS143" s="2248"/>
      <c r="BT143" s="2249"/>
      <c r="BU143" s="2249"/>
      <c r="BV143" s="2238"/>
      <c r="BW143" s="2264"/>
      <c r="BY143" s="3">
        <v>1</v>
      </c>
    </row>
    <row r="144" spans="2:77" ht="21" customHeight="1">
      <c r="B144" s="2265" t="str" cm="1">
        <f t="array" ref="B144">SUMPRODUCT(--(D144:J144&lt;&gt;""), LEN(TRIM(SUBSTITUTE(D144:J144, CHAR(160), "")))) &amp; " Car."</f>
        <v>0 Car.</v>
      </c>
      <c r="C144" s="1376" t="str">
        <f>IF(ISBLANK(D144),"",LARGE(C13:C143,1)+1)</f>
        <v/>
      </c>
      <c r="D144" s="1833"/>
      <c r="E144" s="1810"/>
      <c r="F144" s="1810"/>
      <c r="G144" s="1810"/>
      <c r="H144" s="1810"/>
      <c r="I144" s="1810"/>
      <c r="J144" s="1810"/>
      <c r="K144" s="1810"/>
      <c r="L144" s="1811"/>
      <c r="M144" s="9"/>
      <c r="N144" s="2252" t="s">
        <v>15</v>
      </c>
      <c r="O144" s="2237"/>
      <c r="P144" s="2237"/>
      <c r="Q144" s="2237"/>
      <c r="R144" s="2237"/>
      <c r="S144" s="2240"/>
      <c r="T144" s="2241"/>
      <c r="U144" s="2239"/>
      <c r="V144" s="2242"/>
      <c r="W144" s="2250"/>
      <c r="X144" s="2244"/>
      <c r="Y144" s="2244"/>
      <c r="Z144" s="2245"/>
      <c r="AA144" s="2246"/>
      <c r="AB144" s="2247"/>
      <c r="AC144" s="2248"/>
      <c r="AD144" s="2249"/>
      <c r="AE144" s="2249"/>
      <c r="AF144" s="2238"/>
      <c r="AG144" s="2264"/>
      <c r="AH144" s="918"/>
      <c r="AI144" s="2252" t="s">
        <v>15</v>
      </c>
      <c r="AJ144" s="2237"/>
      <c r="AK144" s="2237"/>
      <c r="AL144" s="2237"/>
      <c r="AM144" s="2237"/>
      <c r="AN144" s="2240"/>
      <c r="AO144" s="2241"/>
      <c r="AP144" s="2239"/>
      <c r="AQ144" s="2242"/>
      <c r="AR144" s="2250"/>
      <c r="AS144" s="2244"/>
      <c r="AT144" s="2244"/>
      <c r="AU144" s="2245"/>
      <c r="AV144" s="2246"/>
      <c r="AW144" s="2247"/>
      <c r="AX144" s="2248"/>
      <c r="AY144" s="2249"/>
      <c r="AZ144" s="2249"/>
      <c r="BA144" s="2238"/>
      <c r="BB144" s="2264"/>
      <c r="BC144" s="918"/>
      <c r="BD144" s="2252" t="s">
        <v>15</v>
      </c>
      <c r="BE144" s="2237"/>
      <c r="BF144" s="2237"/>
      <c r="BG144" s="2237"/>
      <c r="BH144" s="2237"/>
      <c r="BI144" s="2240"/>
      <c r="BJ144" s="2241"/>
      <c r="BK144" s="2239"/>
      <c r="BL144" s="2242"/>
      <c r="BM144" s="2250"/>
      <c r="BN144" s="2244"/>
      <c r="BO144" s="2244"/>
      <c r="BP144" s="2245"/>
      <c r="BQ144" s="2246"/>
      <c r="BR144" s="2247"/>
      <c r="BS144" s="2248"/>
      <c r="BT144" s="2249"/>
      <c r="BU144" s="2249"/>
      <c r="BV144" s="2238"/>
      <c r="BW144" s="2264"/>
      <c r="BY144" s="3">
        <v>1</v>
      </c>
    </row>
    <row r="145" spans="2:77" ht="21" customHeight="1">
      <c r="B145" s="2265" t="str" cm="1">
        <f t="array" ref="B145">SUMPRODUCT(--(D145:J145&lt;&gt;""), LEN(TRIM(SUBSTITUTE(D145:J145, CHAR(160), "")))) &amp; " Car."</f>
        <v>0 Car.</v>
      </c>
      <c r="C145" s="1376" t="str">
        <f>IF(ISBLANK(D145),"",LARGE(C13:C144,1)+1)</f>
        <v/>
      </c>
      <c r="D145" s="1833"/>
      <c r="E145" s="1810"/>
      <c r="F145" s="1810"/>
      <c r="G145" s="1810"/>
      <c r="H145" s="1810"/>
      <c r="I145" s="1810"/>
      <c r="J145" s="1810"/>
      <c r="K145" s="1810"/>
      <c r="L145" s="1811"/>
      <c r="M145" s="9"/>
      <c r="N145" s="2252" t="s">
        <v>15</v>
      </c>
      <c r="O145" s="2237"/>
      <c r="P145" s="2237"/>
      <c r="Q145" s="2237"/>
      <c r="R145" s="2237"/>
      <c r="S145" s="2240"/>
      <c r="T145" s="2241"/>
      <c r="U145" s="2239"/>
      <c r="V145" s="2242"/>
      <c r="W145" s="2250"/>
      <c r="X145" s="2244"/>
      <c r="Y145" s="2244"/>
      <c r="Z145" s="2245"/>
      <c r="AA145" s="2246"/>
      <c r="AB145" s="2247"/>
      <c r="AC145" s="2248"/>
      <c r="AD145" s="2249"/>
      <c r="AE145" s="2249"/>
      <c r="AF145" s="2238"/>
      <c r="AG145" s="2264"/>
      <c r="AH145" s="918"/>
      <c r="AI145" s="2252" t="s">
        <v>15</v>
      </c>
      <c r="AJ145" s="2237"/>
      <c r="AK145" s="2237"/>
      <c r="AL145" s="2237"/>
      <c r="AM145" s="2237"/>
      <c r="AN145" s="2240"/>
      <c r="AO145" s="2241"/>
      <c r="AP145" s="2239"/>
      <c r="AQ145" s="2242"/>
      <c r="AR145" s="2250"/>
      <c r="AS145" s="2244"/>
      <c r="AT145" s="2244"/>
      <c r="AU145" s="2245"/>
      <c r="AV145" s="2246"/>
      <c r="AW145" s="2247"/>
      <c r="AX145" s="2248"/>
      <c r="AY145" s="2249"/>
      <c r="AZ145" s="2249"/>
      <c r="BA145" s="2238"/>
      <c r="BB145" s="2264"/>
      <c r="BC145" s="918"/>
      <c r="BD145" s="2252" t="s">
        <v>15</v>
      </c>
      <c r="BE145" s="2237"/>
      <c r="BF145" s="2237"/>
      <c r="BG145" s="2237"/>
      <c r="BH145" s="2237"/>
      <c r="BI145" s="2240"/>
      <c r="BJ145" s="2241"/>
      <c r="BK145" s="2239"/>
      <c r="BL145" s="2242"/>
      <c r="BM145" s="2250"/>
      <c r="BN145" s="2244"/>
      <c r="BO145" s="2244"/>
      <c r="BP145" s="2245"/>
      <c r="BQ145" s="2246"/>
      <c r="BR145" s="2247"/>
      <c r="BS145" s="2248"/>
      <c r="BT145" s="2249"/>
      <c r="BU145" s="2249"/>
      <c r="BV145" s="2238"/>
      <c r="BW145" s="2264"/>
      <c r="BY145" s="3">
        <v>1</v>
      </c>
    </row>
    <row r="146" spans="2:77" ht="21" customHeight="1">
      <c r="B146" s="2265" t="str" cm="1">
        <f t="array" ref="B146">SUMPRODUCT(--(D146:J146&lt;&gt;""), LEN(TRIM(SUBSTITUTE(D146:J146, CHAR(160), "")))) &amp; " Car."</f>
        <v>0 Car.</v>
      </c>
      <c r="C146" s="1376" t="str">
        <f>IF(ISBLANK(D146),"",LARGE(C13:C145,1)+1)</f>
        <v/>
      </c>
      <c r="D146" s="1833"/>
      <c r="E146" s="1810"/>
      <c r="F146" s="1810"/>
      <c r="G146" s="1810"/>
      <c r="H146" s="1810"/>
      <c r="I146" s="1810"/>
      <c r="J146" s="1810"/>
      <c r="K146" s="1810"/>
      <c r="L146" s="1811"/>
      <c r="M146" s="9"/>
      <c r="N146" s="2252" t="s">
        <v>15</v>
      </c>
      <c r="O146" s="2237"/>
      <c r="P146" s="2237"/>
      <c r="Q146" s="2237"/>
      <c r="R146" s="2237"/>
      <c r="S146" s="2240"/>
      <c r="T146" s="2241"/>
      <c r="U146" s="2239"/>
      <c r="V146" s="2242"/>
      <c r="W146" s="2250"/>
      <c r="X146" s="2244"/>
      <c r="Y146" s="2244"/>
      <c r="Z146" s="2245"/>
      <c r="AA146" s="2246"/>
      <c r="AB146" s="2247"/>
      <c r="AC146" s="2248"/>
      <c r="AD146" s="2249"/>
      <c r="AE146" s="2249"/>
      <c r="AF146" s="2238"/>
      <c r="AG146" s="2264"/>
      <c r="AH146" s="918"/>
      <c r="AI146" s="2252" t="s">
        <v>15</v>
      </c>
      <c r="AJ146" s="2237"/>
      <c r="AK146" s="2237"/>
      <c r="AL146" s="2237"/>
      <c r="AM146" s="2237"/>
      <c r="AN146" s="2240"/>
      <c r="AO146" s="2241"/>
      <c r="AP146" s="2239"/>
      <c r="AQ146" s="2242"/>
      <c r="AR146" s="2250"/>
      <c r="AS146" s="2244"/>
      <c r="AT146" s="2244"/>
      <c r="AU146" s="2245"/>
      <c r="AV146" s="2246"/>
      <c r="AW146" s="2247"/>
      <c r="AX146" s="2248"/>
      <c r="AY146" s="2249"/>
      <c r="AZ146" s="2249"/>
      <c r="BA146" s="2238"/>
      <c r="BB146" s="2264"/>
      <c r="BC146" s="918"/>
      <c r="BD146" s="2252" t="s">
        <v>15</v>
      </c>
      <c r="BE146" s="2237"/>
      <c r="BF146" s="2237"/>
      <c r="BG146" s="2237"/>
      <c r="BH146" s="2237"/>
      <c r="BI146" s="2240"/>
      <c r="BJ146" s="2241"/>
      <c r="BK146" s="2239"/>
      <c r="BL146" s="2242"/>
      <c r="BM146" s="2250"/>
      <c r="BN146" s="2244"/>
      <c r="BO146" s="2244"/>
      <c r="BP146" s="2245"/>
      <c r="BQ146" s="2246"/>
      <c r="BR146" s="2247"/>
      <c r="BS146" s="2248"/>
      <c r="BT146" s="2249"/>
      <c r="BU146" s="2249"/>
      <c r="BV146" s="2238"/>
      <c r="BW146" s="2264"/>
      <c r="BY146" s="3">
        <v>1</v>
      </c>
    </row>
    <row r="147" spans="2:77" ht="21" customHeight="1">
      <c r="B147" s="2265" t="str" cm="1">
        <f t="array" ref="B147">SUMPRODUCT(--(D147:J147&lt;&gt;""), LEN(TRIM(SUBSTITUTE(D147:J147, CHAR(160), "")))) &amp; " Car."</f>
        <v>0 Car.</v>
      </c>
      <c r="C147" s="1376" t="str">
        <f>IF(ISBLANK(D147),"",LARGE(C13:C146,1)+1)</f>
        <v/>
      </c>
      <c r="D147" s="1833"/>
      <c r="E147" s="1810"/>
      <c r="F147" s="1810"/>
      <c r="G147" s="1810"/>
      <c r="H147" s="1810"/>
      <c r="I147" s="1810"/>
      <c r="J147" s="1810"/>
      <c r="K147" s="1810"/>
      <c r="L147" s="1811"/>
      <c r="M147" s="9"/>
      <c r="N147" s="2252" t="s">
        <v>15</v>
      </c>
      <c r="O147" s="2237"/>
      <c r="P147" s="2237"/>
      <c r="Q147" s="2237"/>
      <c r="R147" s="2237"/>
      <c r="S147" s="2240"/>
      <c r="T147" s="2241"/>
      <c r="U147" s="2239"/>
      <c r="V147" s="2242"/>
      <c r="W147" s="2250"/>
      <c r="X147" s="2244"/>
      <c r="Y147" s="2244"/>
      <c r="Z147" s="2245"/>
      <c r="AA147" s="2246"/>
      <c r="AB147" s="2247"/>
      <c r="AC147" s="2248"/>
      <c r="AD147" s="2249"/>
      <c r="AE147" s="2249"/>
      <c r="AF147" s="2238"/>
      <c r="AG147" s="2264"/>
      <c r="AH147" s="918"/>
      <c r="AI147" s="2252" t="s">
        <v>15</v>
      </c>
      <c r="AJ147" s="2237"/>
      <c r="AK147" s="2237"/>
      <c r="AL147" s="2237"/>
      <c r="AM147" s="2237"/>
      <c r="AN147" s="2240"/>
      <c r="AO147" s="2241"/>
      <c r="AP147" s="2239"/>
      <c r="AQ147" s="2242"/>
      <c r="AR147" s="2250"/>
      <c r="AS147" s="2244"/>
      <c r="AT147" s="2244"/>
      <c r="AU147" s="2245"/>
      <c r="AV147" s="2246"/>
      <c r="AW147" s="2247"/>
      <c r="AX147" s="2248"/>
      <c r="AY147" s="2249"/>
      <c r="AZ147" s="2249"/>
      <c r="BA147" s="2238"/>
      <c r="BB147" s="2264"/>
      <c r="BC147" s="918"/>
      <c r="BD147" s="2252" t="s">
        <v>15</v>
      </c>
      <c r="BE147" s="2237"/>
      <c r="BF147" s="2237"/>
      <c r="BG147" s="2237"/>
      <c r="BH147" s="2237"/>
      <c r="BI147" s="2240"/>
      <c r="BJ147" s="2241"/>
      <c r="BK147" s="2239"/>
      <c r="BL147" s="2242"/>
      <c r="BM147" s="2250"/>
      <c r="BN147" s="2244"/>
      <c r="BO147" s="2244"/>
      <c r="BP147" s="2245"/>
      <c r="BQ147" s="2246"/>
      <c r="BR147" s="2247"/>
      <c r="BS147" s="2248"/>
      <c r="BT147" s="2249"/>
      <c r="BU147" s="2249"/>
      <c r="BV147" s="2238"/>
      <c r="BW147" s="2264"/>
      <c r="BY147" s="3">
        <v>1</v>
      </c>
    </row>
    <row r="148" spans="2:77" ht="21" customHeight="1">
      <c r="B148" s="2265" t="str" cm="1">
        <f t="array" ref="B148">SUMPRODUCT(--(D148:J148&lt;&gt;""), LEN(TRIM(SUBSTITUTE(D148:J148, CHAR(160), "")))) &amp; " Car."</f>
        <v>0 Car.</v>
      </c>
      <c r="C148" s="1376" t="str">
        <f>IF(ISBLANK(D148),"",LARGE(C13:C147,1)+1)</f>
        <v/>
      </c>
      <c r="D148" s="1833"/>
      <c r="E148" s="1810"/>
      <c r="F148" s="1810"/>
      <c r="G148" s="1810"/>
      <c r="H148" s="1810"/>
      <c r="I148" s="1810"/>
      <c r="J148" s="1810"/>
      <c r="K148" s="1810"/>
      <c r="L148" s="1811"/>
      <c r="M148" s="9"/>
      <c r="N148" s="2252" t="s">
        <v>15</v>
      </c>
      <c r="O148" s="2237"/>
      <c r="P148" s="2237"/>
      <c r="Q148" s="2237"/>
      <c r="R148" s="2237"/>
      <c r="S148" s="2240"/>
      <c r="T148" s="2241"/>
      <c r="U148" s="2239"/>
      <c r="V148" s="2242"/>
      <c r="W148" s="2250"/>
      <c r="X148" s="2244"/>
      <c r="Y148" s="2244"/>
      <c r="Z148" s="2245"/>
      <c r="AA148" s="2246"/>
      <c r="AB148" s="2247"/>
      <c r="AC148" s="2248"/>
      <c r="AD148" s="2249"/>
      <c r="AE148" s="2249"/>
      <c r="AF148" s="2238"/>
      <c r="AG148" s="2264"/>
      <c r="AH148" s="918"/>
      <c r="AI148" s="2252" t="s">
        <v>15</v>
      </c>
      <c r="AJ148" s="2237"/>
      <c r="AK148" s="2237"/>
      <c r="AL148" s="2237"/>
      <c r="AM148" s="2237"/>
      <c r="AN148" s="2240"/>
      <c r="AO148" s="2241"/>
      <c r="AP148" s="2239"/>
      <c r="AQ148" s="2242"/>
      <c r="AR148" s="2250"/>
      <c r="AS148" s="2244"/>
      <c r="AT148" s="2244"/>
      <c r="AU148" s="2245"/>
      <c r="AV148" s="2246"/>
      <c r="AW148" s="2247"/>
      <c r="AX148" s="2248"/>
      <c r="AY148" s="2249"/>
      <c r="AZ148" s="2249"/>
      <c r="BA148" s="2238"/>
      <c r="BB148" s="2264"/>
      <c r="BC148" s="918"/>
      <c r="BD148" s="2252" t="s">
        <v>15</v>
      </c>
      <c r="BE148" s="2237"/>
      <c r="BF148" s="2237"/>
      <c r="BG148" s="2237"/>
      <c r="BH148" s="2237"/>
      <c r="BI148" s="2240"/>
      <c r="BJ148" s="2241"/>
      <c r="BK148" s="2239"/>
      <c r="BL148" s="2242"/>
      <c r="BM148" s="2250"/>
      <c r="BN148" s="2244"/>
      <c r="BO148" s="2244"/>
      <c r="BP148" s="2245"/>
      <c r="BQ148" s="2246"/>
      <c r="BR148" s="2247"/>
      <c r="BS148" s="2248"/>
      <c r="BT148" s="2249"/>
      <c r="BU148" s="2249"/>
      <c r="BV148" s="2238"/>
      <c r="BW148" s="2264"/>
      <c r="BY148" s="3">
        <v>1</v>
      </c>
    </row>
    <row r="149" spans="2:77" ht="21" customHeight="1">
      <c r="B149" s="2265" t="str" cm="1">
        <f t="array" ref="B149">SUMPRODUCT(--(D149:J149&lt;&gt;""), LEN(TRIM(SUBSTITUTE(D149:J149, CHAR(160), "")))) &amp; " Car."</f>
        <v>0 Car.</v>
      </c>
      <c r="C149" s="1376" t="str">
        <f>IF(ISBLANK(D149),"",LARGE(C13:C148,1)+1)</f>
        <v/>
      </c>
      <c r="D149" s="1833"/>
      <c r="E149" s="1810"/>
      <c r="F149" s="1810"/>
      <c r="G149" s="1810"/>
      <c r="H149" s="1810"/>
      <c r="I149" s="1810"/>
      <c r="J149" s="1810"/>
      <c r="K149" s="1810"/>
      <c r="L149" s="1811"/>
      <c r="M149" s="9"/>
      <c r="N149" s="2252" t="s">
        <v>15</v>
      </c>
      <c r="O149" s="2237"/>
      <c r="P149" s="2237"/>
      <c r="Q149" s="2237"/>
      <c r="R149" s="2237"/>
      <c r="S149" s="2240"/>
      <c r="T149" s="2241"/>
      <c r="U149" s="2239"/>
      <c r="V149" s="2242"/>
      <c r="W149" s="2250"/>
      <c r="X149" s="2244"/>
      <c r="Y149" s="2244"/>
      <c r="Z149" s="2245"/>
      <c r="AA149" s="2246"/>
      <c r="AB149" s="2247"/>
      <c r="AC149" s="2248"/>
      <c r="AD149" s="2249"/>
      <c r="AE149" s="2249"/>
      <c r="AF149" s="2238"/>
      <c r="AG149" s="2264"/>
      <c r="AH149" s="918"/>
      <c r="AI149" s="2252" t="s">
        <v>15</v>
      </c>
      <c r="AJ149" s="2237"/>
      <c r="AK149" s="2237"/>
      <c r="AL149" s="2237"/>
      <c r="AM149" s="2237"/>
      <c r="AN149" s="2240"/>
      <c r="AO149" s="2241"/>
      <c r="AP149" s="2239"/>
      <c r="AQ149" s="2242"/>
      <c r="AR149" s="2250"/>
      <c r="AS149" s="2244"/>
      <c r="AT149" s="2244"/>
      <c r="AU149" s="2245"/>
      <c r="AV149" s="2246"/>
      <c r="AW149" s="2247"/>
      <c r="AX149" s="2248"/>
      <c r="AY149" s="2249"/>
      <c r="AZ149" s="2249"/>
      <c r="BA149" s="2238"/>
      <c r="BB149" s="2264"/>
      <c r="BC149" s="918"/>
      <c r="BD149" s="2252" t="s">
        <v>15</v>
      </c>
      <c r="BE149" s="2237"/>
      <c r="BF149" s="2237"/>
      <c r="BG149" s="2237"/>
      <c r="BH149" s="2237"/>
      <c r="BI149" s="2240"/>
      <c r="BJ149" s="2241"/>
      <c r="BK149" s="2239"/>
      <c r="BL149" s="2242"/>
      <c r="BM149" s="2250"/>
      <c r="BN149" s="2244"/>
      <c r="BO149" s="2244"/>
      <c r="BP149" s="2245"/>
      <c r="BQ149" s="2246"/>
      <c r="BR149" s="2247"/>
      <c r="BS149" s="2248"/>
      <c r="BT149" s="2249"/>
      <c r="BU149" s="2249"/>
      <c r="BV149" s="2238"/>
      <c r="BW149" s="2264"/>
      <c r="BY149" s="3">
        <v>1</v>
      </c>
    </row>
    <row r="150" spans="2:77" ht="21" customHeight="1">
      <c r="B150" s="2265" t="str" cm="1">
        <f t="array" ref="B150">SUMPRODUCT(--(D150:J150&lt;&gt;""), LEN(TRIM(SUBSTITUTE(D150:J150, CHAR(160), "")))) &amp; " Car."</f>
        <v>0 Car.</v>
      </c>
      <c r="C150" s="1376" t="str">
        <f>IF(ISBLANK(D150),"",LARGE(C13:C149,1)+1)</f>
        <v/>
      </c>
      <c r="D150" s="1833"/>
      <c r="E150" s="1810"/>
      <c r="F150" s="1810"/>
      <c r="G150" s="1810"/>
      <c r="H150" s="1810"/>
      <c r="I150" s="1810"/>
      <c r="J150" s="1810"/>
      <c r="K150" s="1810"/>
      <c r="L150" s="1811"/>
      <c r="M150" s="9"/>
      <c r="N150" s="2252" t="s">
        <v>15</v>
      </c>
      <c r="O150" s="2237"/>
      <c r="P150" s="2237"/>
      <c r="Q150" s="2237"/>
      <c r="R150" s="2237"/>
      <c r="S150" s="2240"/>
      <c r="T150" s="2241"/>
      <c r="U150" s="2239"/>
      <c r="V150" s="2242"/>
      <c r="W150" s="2250"/>
      <c r="X150" s="2244"/>
      <c r="Y150" s="2244"/>
      <c r="Z150" s="2245"/>
      <c r="AA150" s="2246"/>
      <c r="AB150" s="2247"/>
      <c r="AC150" s="2248"/>
      <c r="AD150" s="2249"/>
      <c r="AE150" s="2249"/>
      <c r="AF150" s="2238"/>
      <c r="AG150" s="2264"/>
      <c r="AH150" s="918"/>
      <c r="AI150" s="2252" t="s">
        <v>15</v>
      </c>
      <c r="AJ150" s="2237"/>
      <c r="AK150" s="2237"/>
      <c r="AL150" s="2237"/>
      <c r="AM150" s="2237"/>
      <c r="AN150" s="2240"/>
      <c r="AO150" s="2241"/>
      <c r="AP150" s="2239"/>
      <c r="AQ150" s="2242"/>
      <c r="AR150" s="2250"/>
      <c r="AS150" s="2244"/>
      <c r="AT150" s="2244"/>
      <c r="AU150" s="2245"/>
      <c r="AV150" s="2246"/>
      <c r="AW150" s="2247"/>
      <c r="AX150" s="2248"/>
      <c r="AY150" s="2249"/>
      <c r="AZ150" s="2249"/>
      <c r="BA150" s="2238"/>
      <c r="BB150" s="2264"/>
      <c r="BC150" s="918"/>
      <c r="BD150" s="2252" t="s">
        <v>15</v>
      </c>
      <c r="BE150" s="2237"/>
      <c r="BF150" s="2237"/>
      <c r="BG150" s="2237"/>
      <c r="BH150" s="2237"/>
      <c r="BI150" s="2240"/>
      <c r="BJ150" s="2241"/>
      <c r="BK150" s="2239"/>
      <c r="BL150" s="2242"/>
      <c r="BM150" s="2250"/>
      <c r="BN150" s="2244"/>
      <c r="BO150" s="2244"/>
      <c r="BP150" s="2245"/>
      <c r="BQ150" s="2246"/>
      <c r="BR150" s="2247"/>
      <c r="BS150" s="2248"/>
      <c r="BT150" s="2249"/>
      <c r="BU150" s="2249"/>
      <c r="BV150" s="2238"/>
      <c r="BW150" s="2264"/>
      <c r="BY150" s="3">
        <v>1</v>
      </c>
    </row>
    <row r="151" spans="2:77" ht="21" customHeight="1">
      <c r="B151" s="2265" t="str" cm="1">
        <f t="array" ref="B151">SUMPRODUCT(--(D151:J151&lt;&gt;""), LEN(TRIM(SUBSTITUTE(D151:J151, CHAR(160), "")))) &amp; " Car."</f>
        <v>0 Car.</v>
      </c>
      <c r="C151" s="1376" t="str">
        <f>IF(ISBLANK(D151),"",LARGE(C13:C150,1)+1)</f>
        <v/>
      </c>
      <c r="D151" s="1833"/>
      <c r="E151" s="1810"/>
      <c r="F151" s="1810"/>
      <c r="G151" s="1810"/>
      <c r="H151" s="1810"/>
      <c r="I151" s="1810"/>
      <c r="J151" s="1810"/>
      <c r="K151" s="1810"/>
      <c r="L151" s="1811"/>
      <c r="M151" s="9"/>
      <c r="N151" s="2252" t="s">
        <v>15</v>
      </c>
      <c r="O151" s="2237"/>
      <c r="P151" s="2237"/>
      <c r="Q151" s="2237"/>
      <c r="R151" s="2237"/>
      <c r="S151" s="2240"/>
      <c r="T151" s="2241"/>
      <c r="U151" s="2239"/>
      <c r="V151" s="2242"/>
      <c r="W151" s="2250"/>
      <c r="X151" s="2244"/>
      <c r="Y151" s="2244"/>
      <c r="Z151" s="2245"/>
      <c r="AA151" s="2246"/>
      <c r="AB151" s="2247"/>
      <c r="AC151" s="2248"/>
      <c r="AD151" s="2249"/>
      <c r="AE151" s="2249"/>
      <c r="AF151" s="2238"/>
      <c r="AG151" s="2264"/>
      <c r="AH151" s="918"/>
      <c r="AI151" s="2252" t="s">
        <v>15</v>
      </c>
      <c r="AJ151" s="2237"/>
      <c r="AK151" s="2237"/>
      <c r="AL151" s="2237"/>
      <c r="AM151" s="2237"/>
      <c r="AN151" s="2240"/>
      <c r="AO151" s="2241"/>
      <c r="AP151" s="2239"/>
      <c r="AQ151" s="2242"/>
      <c r="AR151" s="2250"/>
      <c r="AS151" s="2244"/>
      <c r="AT151" s="2244"/>
      <c r="AU151" s="2245"/>
      <c r="AV151" s="2246"/>
      <c r="AW151" s="2247"/>
      <c r="AX151" s="2248"/>
      <c r="AY151" s="2249"/>
      <c r="AZ151" s="2249"/>
      <c r="BA151" s="2238"/>
      <c r="BB151" s="2264"/>
      <c r="BC151" s="918"/>
      <c r="BD151" s="2252" t="s">
        <v>15</v>
      </c>
      <c r="BE151" s="2237"/>
      <c r="BF151" s="2237"/>
      <c r="BG151" s="2237"/>
      <c r="BH151" s="2237"/>
      <c r="BI151" s="2240"/>
      <c r="BJ151" s="2241"/>
      <c r="BK151" s="2239"/>
      <c r="BL151" s="2242"/>
      <c r="BM151" s="2250"/>
      <c r="BN151" s="2244"/>
      <c r="BO151" s="2244"/>
      <c r="BP151" s="2245"/>
      <c r="BQ151" s="2246"/>
      <c r="BR151" s="2247"/>
      <c r="BS151" s="2248"/>
      <c r="BT151" s="2249"/>
      <c r="BU151" s="2249"/>
      <c r="BV151" s="2238"/>
      <c r="BW151" s="2264"/>
      <c r="BY151" s="3">
        <v>1</v>
      </c>
    </row>
    <row r="152" spans="2:77" ht="21" customHeight="1">
      <c r="B152" s="2265" t="str" cm="1">
        <f t="array" ref="B152">SUMPRODUCT(--(D152:J152&lt;&gt;""), LEN(TRIM(SUBSTITUTE(D152:J152, CHAR(160), "")))) &amp; " Car."</f>
        <v>0 Car.</v>
      </c>
      <c r="C152" s="1376" t="str">
        <f>IF(ISBLANK(D152),"",LARGE(C13:C151,1)+1)</f>
        <v/>
      </c>
      <c r="D152" s="1833"/>
      <c r="E152" s="1810"/>
      <c r="F152" s="1810"/>
      <c r="G152" s="1810"/>
      <c r="H152" s="1810"/>
      <c r="I152" s="1810"/>
      <c r="J152" s="1810"/>
      <c r="K152" s="1810"/>
      <c r="L152" s="1811"/>
      <c r="M152" s="9"/>
      <c r="N152" s="2252" t="s">
        <v>15</v>
      </c>
      <c r="O152" s="2237"/>
      <c r="P152" s="2237"/>
      <c r="Q152" s="2237"/>
      <c r="R152" s="2237"/>
      <c r="S152" s="2240"/>
      <c r="T152" s="2241"/>
      <c r="U152" s="2239"/>
      <c r="V152" s="2242"/>
      <c r="W152" s="2250"/>
      <c r="X152" s="2244"/>
      <c r="Y152" s="2244"/>
      <c r="Z152" s="2245"/>
      <c r="AA152" s="2246"/>
      <c r="AB152" s="2247"/>
      <c r="AC152" s="2248"/>
      <c r="AD152" s="2249"/>
      <c r="AE152" s="2249"/>
      <c r="AF152" s="2238"/>
      <c r="AG152" s="2264"/>
      <c r="AH152" s="918"/>
      <c r="AI152" s="2252" t="s">
        <v>15</v>
      </c>
      <c r="AJ152" s="2237"/>
      <c r="AK152" s="2237"/>
      <c r="AL152" s="2237"/>
      <c r="AM152" s="2237"/>
      <c r="AN152" s="2240"/>
      <c r="AO152" s="2241"/>
      <c r="AP152" s="2239"/>
      <c r="AQ152" s="2242"/>
      <c r="AR152" s="2250"/>
      <c r="AS152" s="2244"/>
      <c r="AT152" s="2244"/>
      <c r="AU152" s="2245"/>
      <c r="AV152" s="2246"/>
      <c r="AW152" s="2247"/>
      <c r="AX152" s="2248"/>
      <c r="AY152" s="2249"/>
      <c r="AZ152" s="2249"/>
      <c r="BA152" s="2238"/>
      <c r="BB152" s="2264"/>
      <c r="BC152" s="918"/>
      <c r="BD152" s="2252" t="s">
        <v>15</v>
      </c>
      <c r="BE152" s="2237"/>
      <c r="BF152" s="2237"/>
      <c r="BG152" s="2237"/>
      <c r="BH152" s="2237"/>
      <c r="BI152" s="2240"/>
      <c r="BJ152" s="2241"/>
      <c r="BK152" s="2239"/>
      <c r="BL152" s="2242"/>
      <c r="BM152" s="2250"/>
      <c r="BN152" s="2244"/>
      <c r="BO152" s="2244"/>
      <c r="BP152" s="2245"/>
      <c r="BQ152" s="2246"/>
      <c r="BR152" s="2247"/>
      <c r="BS152" s="2248"/>
      <c r="BT152" s="2249"/>
      <c r="BU152" s="2249"/>
      <c r="BV152" s="2238"/>
      <c r="BW152" s="2264"/>
      <c r="BY152" s="3">
        <v>1</v>
      </c>
    </row>
    <row r="153" spans="2:77" ht="21" customHeight="1">
      <c r="B153" s="2265" t="str" cm="1">
        <f t="array" ref="B153">SUMPRODUCT(--(D153:J153&lt;&gt;""), LEN(TRIM(SUBSTITUTE(D153:J153, CHAR(160), "")))) &amp; " Car."</f>
        <v>0 Car.</v>
      </c>
      <c r="C153" s="1376" t="str">
        <f>IF(ISBLANK(D153),"",LARGE(C13:C152,1)+1)</f>
        <v/>
      </c>
      <c r="D153" s="1833"/>
      <c r="E153" s="1810"/>
      <c r="F153" s="1810"/>
      <c r="G153" s="1810"/>
      <c r="H153" s="1810"/>
      <c r="I153" s="1810"/>
      <c r="J153" s="1810"/>
      <c r="K153" s="1810"/>
      <c r="L153" s="1811"/>
      <c r="M153" s="9"/>
      <c r="N153" s="2252" t="s">
        <v>15</v>
      </c>
      <c r="O153" s="2237"/>
      <c r="P153" s="2237"/>
      <c r="Q153" s="2237"/>
      <c r="R153" s="2237"/>
      <c r="S153" s="2240"/>
      <c r="T153" s="2241"/>
      <c r="U153" s="2239"/>
      <c r="V153" s="2242"/>
      <c r="W153" s="2250"/>
      <c r="X153" s="2244"/>
      <c r="Y153" s="2244"/>
      <c r="Z153" s="2245"/>
      <c r="AA153" s="2246"/>
      <c r="AB153" s="2247"/>
      <c r="AC153" s="2248"/>
      <c r="AD153" s="2249"/>
      <c r="AE153" s="2249"/>
      <c r="AF153" s="2238"/>
      <c r="AG153" s="2264"/>
      <c r="AH153" s="918"/>
      <c r="AI153" s="2252" t="s">
        <v>15</v>
      </c>
      <c r="AJ153" s="2237"/>
      <c r="AK153" s="2237"/>
      <c r="AL153" s="2237"/>
      <c r="AM153" s="2237"/>
      <c r="AN153" s="2240"/>
      <c r="AO153" s="2241"/>
      <c r="AP153" s="2239"/>
      <c r="AQ153" s="2242"/>
      <c r="AR153" s="2250"/>
      <c r="AS153" s="2244"/>
      <c r="AT153" s="2244"/>
      <c r="AU153" s="2245"/>
      <c r="AV153" s="2246"/>
      <c r="AW153" s="2247"/>
      <c r="AX153" s="2248"/>
      <c r="AY153" s="2249"/>
      <c r="AZ153" s="2249"/>
      <c r="BA153" s="2238"/>
      <c r="BB153" s="2264"/>
      <c r="BC153" s="918"/>
      <c r="BD153" s="2252" t="s">
        <v>15</v>
      </c>
      <c r="BE153" s="2237"/>
      <c r="BF153" s="2237"/>
      <c r="BG153" s="2237"/>
      <c r="BH153" s="2237"/>
      <c r="BI153" s="2240"/>
      <c r="BJ153" s="2241"/>
      <c r="BK153" s="2239"/>
      <c r="BL153" s="2242"/>
      <c r="BM153" s="2250"/>
      <c r="BN153" s="2244"/>
      <c r="BO153" s="2244"/>
      <c r="BP153" s="2245"/>
      <c r="BQ153" s="2246"/>
      <c r="BR153" s="2247"/>
      <c r="BS153" s="2248"/>
      <c r="BT153" s="2249"/>
      <c r="BU153" s="2249"/>
      <c r="BV153" s="2238"/>
      <c r="BW153" s="2264"/>
      <c r="BY153" s="3">
        <v>1</v>
      </c>
    </row>
    <row r="154" spans="2:77" ht="21" customHeight="1">
      <c r="B154" s="2265" t="str" cm="1">
        <f t="array" ref="B154">SUMPRODUCT(--(D154:J154&lt;&gt;""), LEN(TRIM(SUBSTITUTE(D154:J154, CHAR(160), "")))) &amp; " Car."</f>
        <v>0 Car.</v>
      </c>
      <c r="C154" s="1376" t="str">
        <f>IF(ISBLANK(D154),"",LARGE(C13:C153,1)+1)</f>
        <v/>
      </c>
      <c r="D154" s="1833"/>
      <c r="E154" s="1810"/>
      <c r="F154" s="1810"/>
      <c r="G154" s="1810"/>
      <c r="H154" s="1810"/>
      <c r="I154" s="1810"/>
      <c r="J154" s="1810"/>
      <c r="K154" s="1810"/>
      <c r="L154" s="1811"/>
      <c r="M154" s="9"/>
      <c r="N154" s="2252" t="s">
        <v>15</v>
      </c>
      <c r="O154" s="2237"/>
      <c r="P154" s="2237"/>
      <c r="Q154" s="2237"/>
      <c r="R154" s="2237"/>
      <c r="S154" s="2240"/>
      <c r="T154" s="2241"/>
      <c r="U154" s="2239"/>
      <c r="V154" s="2242"/>
      <c r="W154" s="2250"/>
      <c r="X154" s="2244"/>
      <c r="Y154" s="2244"/>
      <c r="Z154" s="2245"/>
      <c r="AA154" s="2246"/>
      <c r="AB154" s="2247"/>
      <c r="AC154" s="2248"/>
      <c r="AD154" s="2249"/>
      <c r="AE154" s="2249"/>
      <c r="AF154" s="2238"/>
      <c r="AG154" s="2264"/>
      <c r="AH154" s="918"/>
      <c r="AI154" s="2252" t="s">
        <v>15</v>
      </c>
      <c r="AJ154" s="2237"/>
      <c r="AK154" s="2237"/>
      <c r="AL154" s="2237"/>
      <c r="AM154" s="2237"/>
      <c r="AN154" s="2240"/>
      <c r="AO154" s="2241"/>
      <c r="AP154" s="2239"/>
      <c r="AQ154" s="2242"/>
      <c r="AR154" s="2250"/>
      <c r="AS154" s="2244"/>
      <c r="AT154" s="2244"/>
      <c r="AU154" s="2245"/>
      <c r="AV154" s="2246"/>
      <c r="AW154" s="2247"/>
      <c r="AX154" s="2248"/>
      <c r="AY154" s="2249"/>
      <c r="AZ154" s="2249"/>
      <c r="BA154" s="2238"/>
      <c r="BB154" s="2264"/>
      <c r="BC154" s="918"/>
      <c r="BD154" s="2252" t="s">
        <v>15</v>
      </c>
      <c r="BE154" s="2237"/>
      <c r="BF154" s="2237"/>
      <c r="BG154" s="2237"/>
      <c r="BH154" s="2237"/>
      <c r="BI154" s="2240"/>
      <c r="BJ154" s="2241"/>
      <c r="BK154" s="2239"/>
      <c r="BL154" s="2242"/>
      <c r="BM154" s="2250"/>
      <c r="BN154" s="2244"/>
      <c r="BO154" s="2244"/>
      <c r="BP154" s="2245"/>
      <c r="BQ154" s="2246"/>
      <c r="BR154" s="2247"/>
      <c r="BS154" s="2248"/>
      <c r="BT154" s="2249"/>
      <c r="BU154" s="2249"/>
      <c r="BV154" s="2238"/>
      <c r="BW154" s="2264"/>
      <c r="BY154" s="3">
        <v>1</v>
      </c>
    </row>
    <row r="155" spans="2:77" ht="21" customHeight="1">
      <c r="B155" s="2265" t="str" cm="1">
        <f t="array" ref="B155">SUMPRODUCT(--(D155:J155&lt;&gt;""), LEN(TRIM(SUBSTITUTE(D155:J155, CHAR(160), "")))) &amp; " Car."</f>
        <v>0 Car.</v>
      </c>
      <c r="C155" s="1376" t="str">
        <f>IF(ISBLANK(D155),"",LARGE(C13:C154,1)+1)</f>
        <v/>
      </c>
      <c r="D155" s="1833"/>
      <c r="E155" s="1810"/>
      <c r="F155" s="1810"/>
      <c r="G155" s="1810"/>
      <c r="H155" s="1810"/>
      <c r="I155" s="1810"/>
      <c r="J155" s="1810"/>
      <c r="K155" s="1810"/>
      <c r="L155" s="1811"/>
      <c r="M155" s="9"/>
      <c r="N155" s="2252" t="s">
        <v>15</v>
      </c>
      <c r="O155" s="2237"/>
      <c r="P155" s="2237"/>
      <c r="Q155" s="2237"/>
      <c r="R155" s="2237"/>
      <c r="S155" s="2240"/>
      <c r="T155" s="2241"/>
      <c r="U155" s="2239"/>
      <c r="V155" s="2242"/>
      <c r="W155" s="2250"/>
      <c r="X155" s="2244"/>
      <c r="Y155" s="2244"/>
      <c r="Z155" s="2245"/>
      <c r="AA155" s="2246"/>
      <c r="AB155" s="2247"/>
      <c r="AC155" s="2248"/>
      <c r="AD155" s="2249"/>
      <c r="AE155" s="2249"/>
      <c r="AF155" s="2238"/>
      <c r="AG155" s="2264"/>
      <c r="AH155" s="918"/>
      <c r="AI155" s="2252" t="s">
        <v>15</v>
      </c>
      <c r="AJ155" s="2237"/>
      <c r="AK155" s="2237"/>
      <c r="AL155" s="2237"/>
      <c r="AM155" s="2237"/>
      <c r="AN155" s="2240"/>
      <c r="AO155" s="2241"/>
      <c r="AP155" s="2239"/>
      <c r="AQ155" s="2242"/>
      <c r="AR155" s="2250"/>
      <c r="AS155" s="2244"/>
      <c r="AT155" s="2244"/>
      <c r="AU155" s="2245"/>
      <c r="AV155" s="2246"/>
      <c r="AW155" s="2247"/>
      <c r="AX155" s="2248"/>
      <c r="AY155" s="2249"/>
      <c r="AZ155" s="2249"/>
      <c r="BA155" s="2238"/>
      <c r="BB155" s="2264"/>
      <c r="BC155" s="918"/>
      <c r="BD155" s="2252" t="s">
        <v>15</v>
      </c>
      <c r="BE155" s="2237"/>
      <c r="BF155" s="2237"/>
      <c r="BG155" s="2237"/>
      <c r="BH155" s="2237"/>
      <c r="BI155" s="2240"/>
      <c r="BJ155" s="2241"/>
      <c r="BK155" s="2239"/>
      <c r="BL155" s="2242"/>
      <c r="BM155" s="2250"/>
      <c r="BN155" s="2244"/>
      <c r="BO155" s="2244"/>
      <c r="BP155" s="2245"/>
      <c r="BQ155" s="2246"/>
      <c r="BR155" s="2247"/>
      <c r="BS155" s="2248"/>
      <c r="BT155" s="2249"/>
      <c r="BU155" s="2249"/>
      <c r="BV155" s="2238"/>
      <c r="BW155" s="2264"/>
      <c r="BY155" s="3">
        <v>1</v>
      </c>
    </row>
    <row r="156" spans="2:77" ht="21" customHeight="1">
      <c r="B156" s="2265" t="str" cm="1">
        <f t="array" ref="B156">SUMPRODUCT(--(D156:J156&lt;&gt;""), LEN(TRIM(SUBSTITUTE(D156:J156, CHAR(160), "")))) &amp; " Car."</f>
        <v>0 Car.</v>
      </c>
      <c r="C156" s="1376" t="str">
        <f>IF(ISBLANK(D156),"",LARGE(C13:C155,1)+1)</f>
        <v/>
      </c>
      <c r="D156" s="1833"/>
      <c r="E156" s="1810"/>
      <c r="F156" s="1810"/>
      <c r="G156" s="1810"/>
      <c r="H156" s="1810"/>
      <c r="I156" s="1810"/>
      <c r="J156" s="1810"/>
      <c r="K156" s="1810"/>
      <c r="L156" s="1811"/>
      <c r="M156" s="9"/>
      <c r="N156" s="2252" t="s">
        <v>15</v>
      </c>
      <c r="O156" s="2237"/>
      <c r="P156" s="2237"/>
      <c r="Q156" s="2237"/>
      <c r="R156" s="2237"/>
      <c r="S156" s="2240"/>
      <c r="T156" s="2241"/>
      <c r="U156" s="2239"/>
      <c r="V156" s="2242"/>
      <c r="W156" s="2250"/>
      <c r="X156" s="2244"/>
      <c r="Y156" s="2244"/>
      <c r="Z156" s="2245"/>
      <c r="AA156" s="2246"/>
      <c r="AB156" s="2247"/>
      <c r="AC156" s="2248"/>
      <c r="AD156" s="2249"/>
      <c r="AE156" s="2249"/>
      <c r="AF156" s="2238"/>
      <c r="AG156" s="2264"/>
      <c r="AH156" s="918"/>
      <c r="AI156" s="2252" t="s">
        <v>15</v>
      </c>
      <c r="AJ156" s="2237"/>
      <c r="AK156" s="2237"/>
      <c r="AL156" s="2237"/>
      <c r="AM156" s="2237"/>
      <c r="AN156" s="2240"/>
      <c r="AO156" s="2241"/>
      <c r="AP156" s="2239"/>
      <c r="AQ156" s="2242"/>
      <c r="AR156" s="2250"/>
      <c r="AS156" s="2244"/>
      <c r="AT156" s="2244"/>
      <c r="AU156" s="2245"/>
      <c r="AV156" s="2246"/>
      <c r="AW156" s="2247"/>
      <c r="AX156" s="2248"/>
      <c r="AY156" s="2249"/>
      <c r="AZ156" s="2249"/>
      <c r="BA156" s="2238"/>
      <c r="BB156" s="2264"/>
      <c r="BC156" s="918"/>
      <c r="BD156" s="2252" t="s">
        <v>15</v>
      </c>
      <c r="BE156" s="2237"/>
      <c r="BF156" s="2237"/>
      <c r="BG156" s="2237"/>
      <c r="BH156" s="2237"/>
      <c r="BI156" s="2240"/>
      <c r="BJ156" s="2241"/>
      <c r="BK156" s="2239"/>
      <c r="BL156" s="2242"/>
      <c r="BM156" s="2250"/>
      <c r="BN156" s="2244"/>
      <c r="BO156" s="2244"/>
      <c r="BP156" s="2245"/>
      <c r="BQ156" s="2246"/>
      <c r="BR156" s="2247"/>
      <c r="BS156" s="2248"/>
      <c r="BT156" s="2249"/>
      <c r="BU156" s="2249"/>
      <c r="BV156" s="2238"/>
      <c r="BW156" s="2264"/>
      <c r="BY156" s="3">
        <v>1</v>
      </c>
    </row>
    <row r="157" spans="2:77" ht="21" customHeight="1">
      <c r="B157" s="2265" t="str" cm="1">
        <f t="array" ref="B157">SUMPRODUCT(--(D157:J157&lt;&gt;""), LEN(TRIM(SUBSTITUTE(D157:J157, CHAR(160), "")))) &amp; " Car."</f>
        <v>0 Car.</v>
      </c>
      <c r="C157" s="1376" t="str">
        <f>IF(ISBLANK(D157),"",LARGE(C13:C156,1)+1)</f>
        <v/>
      </c>
      <c r="D157" s="1833"/>
      <c r="E157" s="1810"/>
      <c r="F157" s="1810"/>
      <c r="G157" s="1810"/>
      <c r="H157" s="1810"/>
      <c r="I157" s="1810"/>
      <c r="J157" s="1810"/>
      <c r="K157" s="1810"/>
      <c r="L157" s="1811"/>
      <c r="M157" s="9"/>
      <c r="N157" s="2252" t="s">
        <v>15</v>
      </c>
      <c r="O157" s="2237"/>
      <c r="P157" s="2237"/>
      <c r="Q157" s="2237"/>
      <c r="R157" s="2237"/>
      <c r="S157" s="2240"/>
      <c r="T157" s="2241"/>
      <c r="U157" s="2239"/>
      <c r="V157" s="2242"/>
      <c r="W157" s="2250"/>
      <c r="X157" s="2244"/>
      <c r="Y157" s="2244"/>
      <c r="Z157" s="2245"/>
      <c r="AA157" s="2246"/>
      <c r="AB157" s="2247"/>
      <c r="AC157" s="2248"/>
      <c r="AD157" s="2249"/>
      <c r="AE157" s="2249"/>
      <c r="AF157" s="2238"/>
      <c r="AG157" s="2264"/>
      <c r="AH157" s="918"/>
      <c r="AI157" s="2252" t="s">
        <v>15</v>
      </c>
      <c r="AJ157" s="2237"/>
      <c r="AK157" s="2237"/>
      <c r="AL157" s="2237"/>
      <c r="AM157" s="2237"/>
      <c r="AN157" s="2240"/>
      <c r="AO157" s="2241"/>
      <c r="AP157" s="2239"/>
      <c r="AQ157" s="2242"/>
      <c r="AR157" s="2250"/>
      <c r="AS157" s="2244"/>
      <c r="AT157" s="2244"/>
      <c r="AU157" s="2245"/>
      <c r="AV157" s="2246"/>
      <c r="AW157" s="2247"/>
      <c r="AX157" s="2248"/>
      <c r="AY157" s="2249"/>
      <c r="AZ157" s="2249"/>
      <c r="BA157" s="2238"/>
      <c r="BB157" s="2264"/>
      <c r="BC157" s="918"/>
      <c r="BD157" s="2252" t="s">
        <v>15</v>
      </c>
      <c r="BE157" s="2237"/>
      <c r="BF157" s="2237"/>
      <c r="BG157" s="2237"/>
      <c r="BH157" s="2237"/>
      <c r="BI157" s="2240"/>
      <c r="BJ157" s="2241"/>
      <c r="BK157" s="2239"/>
      <c r="BL157" s="2242"/>
      <c r="BM157" s="2250"/>
      <c r="BN157" s="2244"/>
      <c r="BO157" s="2244"/>
      <c r="BP157" s="2245"/>
      <c r="BQ157" s="2246"/>
      <c r="BR157" s="2247"/>
      <c r="BS157" s="2248"/>
      <c r="BT157" s="2249"/>
      <c r="BU157" s="2249"/>
      <c r="BV157" s="2238"/>
      <c r="BW157" s="2264"/>
      <c r="BY157" s="3">
        <v>1</v>
      </c>
    </row>
    <row r="158" spans="2:77" ht="21" customHeight="1">
      <c r="B158" s="2265" t="str" cm="1">
        <f t="array" ref="B158">SUMPRODUCT(--(D158:J158&lt;&gt;""), LEN(TRIM(SUBSTITUTE(D158:J158, CHAR(160), "")))) &amp; " Car."</f>
        <v>0 Car.</v>
      </c>
      <c r="C158" s="1376" t="str">
        <f>IF(ISBLANK(D158),"",LARGE(C13:C157,1)+1)</f>
        <v/>
      </c>
      <c r="D158" s="1833"/>
      <c r="E158" s="1810"/>
      <c r="F158" s="1810"/>
      <c r="G158" s="1810"/>
      <c r="H158" s="1810"/>
      <c r="I158" s="1810"/>
      <c r="J158" s="1810"/>
      <c r="K158" s="1810"/>
      <c r="L158" s="1811"/>
      <c r="M158" s="9"/>
      <c r="N158" s="2252" t="s">
        <v>15</v>
      </c>
      <c r="O158" s="2237"/>
      <c r="P158" s="2237"/>
      <c r="Q158" s="2237"/>
      <c r="R158" s="2237"/>
      <c r="S158" s="2240"/>
      <c r="T158" s="2241"/>
      <c r="U158" s="2239"/>
      <c r="V158" s="2242"/>
      <c r="W158" s="2250"/>
      <c r="X158" s="2244"/>
      <c r="Y158" s="2244"/>
      <c r="Z158" s="2245"/>
      <c r="AA158" s="2246"/>
      <c r="AB158" s="2247"/>
      <c r="AC158" s="2248"/>
      <c r="AD158" s="2249"/>
      <c r="AE158" s="2249"/>
      <c r="AF158" s="2238"/>
      <c r="AG158" s="2264"/>
      <c r="AH158" s="918"/>
      <c r="AI158" s="2252" t="s">
        <v>15</v>
      </c>
      <c r="AJ158" s="2237"/>
      <c r="AK158" s="2237"/>
      <c r="AL158" s="2237"/>
      <c r="AM158" s="2237"/>
      <c r="AN158" s="2240"/>
      <c r="AO158" s="2241"/>
      <c r="AP158" s="2239"/>
      <c r="AQ158" s="2242"/>
      <c r="AR158" s="2250"/>
      <c r="AS158" s="2244"/>
      <c r="AT158" s="2244"/>
      <c r="AU158" s="2245"/>
      <c r="AV158" s="2246"/>
      <c r="AW158" s="2247"/>
      <c r="AX158" s="2248"/>
      <c r="AY158" s="2249"/>
      <c r="AZ158" s="2249"/>
      <c r="BA158" s="2238"/>
      <c r="BB158" s="2264"/>
      <c r="BC158" s="918"/>
      <c r="BD158" s="2252" t="s">
        <v>15</v>
      </c>
      <c r="BE158" s="2237"/>
      <c r="BF158" s="2237"/>
      <c r="BG158" s="2237"/>
      <c r="BH158" s="2237"/>
      <c r="BI158" s="2240"/>
      <c r="BJ158" s="2241"/>
      <c r="BK158" s="2239"/>
      <c r="BL158" s="2242"/>
      <c r="BM158" s="2250"/>
      <c r="BN158" s="2244"/>
      <c r="BO158" s="2244"/>
      <c r="BP158" s="2245"/>
      <c r="BQ158" s="2246"/>
      <c r="BR158" s="2247"/>
      <c r="BS158" s="2248"/>
      <c r="BT158" s="2249"/>
      <c r="BU158" s="2249"/>
      <c r="BV158" s="2238"/>
      <c r="BW158" s="2264"/>
      <c r="BY158" s="3">
        <v>1</v>
      </c>
    </row>
    <row r="159" spans="2:77" ht="21" customHeight="1">
      <c r="B159" s="2265" t="str" cm="1">
        <f t="array" ref="B159">SUMPRODUCT(--(D159:J159&lt;&gt;""), LEN(TRIM(SUBSTITUTE(D159:J159, CHAR(160), "")))) &amp; " Car."</f>
        <v>0 Car.</v>
      </c>
      <c r="C159" s="1376" t="str">
        <f>IF(ISBLANK(D159),"",LARGE(C13:C158,1)+1)</f>
        <v/>
      </c>
      <c r="D159" s="1833"/>
      <c r="E159" s="1810"/>
      <c r="F159" s="1810"/>
      <c r="G159" s="1810"/>
      <c r="H159" s="1810"/>
      <c r="I159" s="1810"/>
      <c r="J159" s="1810"/>
      <c r="K159" s="1810"/>
      <c r="L159" s="1811"/>
      <c r="M159" s="9"/>
      <c r="N159" s="2252" t="s">
        <v>15</v>
      </c>
      <c r="O159" s="2237"/>
      <c r="P159" s="2237"/>
      <c r="Q159" s="2237"/>
      <c r="R159" s="2237"/>
      <c r="S159" s="2240"/>
      <c r="T159" s="2241"/>
      <c r="U159" s="2239"/>
      <c r="V159" s="2242"/>
      <c r="W159" s="2250"/>
      <c r="X159" s="2244"/>
      <c r="Y159" s="2244"/>
      <c r="Z159" s="2245"/>
      <c r="AA159" s="2246"/>
      <c r="AB159" s="2247"/>
      <c r="AC159" s="2248"/>
      <c r="AD159" s="2249"/>
      <c r="AE159" s="2249"/>
      <c r="AF159" s="2238"/>
      <c r="AG159" s="2264"/>
      <c r="AH159" s="918"/>
      <c r="AI159" s="2252" t="s">
        <v>15</v>
      </c>
      <c r="AJ159" s="2237"/>
      <c r="AK159" s="2237"/>
      <c r="AL159" s="2237"/>
      <c r="AM159" s="2237"/>
      <c r="AN159" s="2240"/>
      <c r="AO159" s="2241"/>
      <c r="AP159" s="2239"/>
      <c r="AQ159" s="2242"/>
      <c r="AR159" s="2250"/>
      <c r="AS159" s="2244"/>
      <c r="AT159" s="2244"/>
      <c r="AU159" s="2245"/>
      <c r="AV159" s="2246"/>
      <c r="AW159" s="2247"/>
      <c r="AX159" s="2248"/>
      <c r="AY159" s="2249"/>
      <c r="AZ159" s="2249"/>
      <c r="BA159" s="2238"/>
      <c r="BB159" s="2264"/>
      <c r="BC159" s="918"/>
      <c r="BD159" s="2252" t="s">
        <v>15</v>
      </c>
      <c r="BE159" s="2237"/>
      <c r="BF159" s="2237"/>
      <c r="BG159" s="2237"/>
      <c r="BH159" s="2237"/>
      <c r="BI159" s="2240"/>
      <c r="BJ159" s="2241"/>
      <c r="BK159" s="2239"/>
      <c r="BL159" s="2242"/>
      <c r="BM159" s="2250"/>
      <c r="BN159" s="2244"/>
      <c r="BO159" s="2244"/>
      <c r="BP159" s="2245"/>
      <c r="BQ159" s="2246"/>
      <c r="BR159" s="2247"/>
      <c r="BS159" s="2248"/>
      <c r="BT159" s="2249"/>
      <c r="BU159" s="2249"/>
      <c r="BV159" s="2238"/>
      <c r="BW159" s="2264"/>
      <c r="BY159" s="3">
        <v>1</v>
      </c>
    </row>
    <row r="160" spans="2:77" ht="21" customHeight="1">
      <c r="B160" s="2265" t="str" cm="1">
        <f t="array" ref="B160">SUMPRODUCT(--(D160:J160&lt;&gt;""), LEN(TRIM(SUBSTITUTE(D160:J160, CHAR(160), "")))) &amp; " Car."</f>
        <v>0 Car.</v>
      </c>
      <c r="C160" s="1376" t="str">
        <f>IF(ISBLANK(D160),"",LARGE(C13:C159,1)+1)</f>
        <v/>
      </c>
      <c r="D160" s="1833"/>
      <c r="E160" s="1810"/>
      <c r="F160" s="1810"/>
      <c r="G160" s="1810"/>
      <c r="H160" s="1810"/>
      <c r="I160" s="1810"/>
      <c r="J160" s="1810"/>
      <c r="K160" s="1810"/>
      <c r="L160" s="1811"/>
      <c r="M160" s="9"/>
      <c r="N160" s="2252" t="s">
        <v>15</v>
      </c>
      <c r="O160" s="2237"/>
      <c r="P160" s="2237"/>
      <c r="Q160" s="2237"/>
      <c r="R160" s="2237"/>
      <c r="S160" s="2240"/>
      <c r="T160" s="2241"/>
      <c r="U160" s="2239"/>
      <c r="V160" s="2242"/>
      <c r="W160" s="2250"/>
      <c r="X160" s="2244"/>
      <c r="Y160" s="2244"/>
      <c r="Z160" s="2245"/>
      <c r="AA160" s="2246"/>
      <c r="AB160" s="2247"/>
      <c r="AC160" s="2248"/>
      <c r="AD160" s="2249"/>
      <c r="AE160" s="2249"/>
      <c r="AF160" s="2238"/>
      <c r="AG160" s="2264"/>
      <c r="AH160" s="918"/>
      <c r="AI160" s="2252" t="s">
        <v>15</v>
      </c>
      <c r="AJ160" s="2237"/>
      <c r="AK160" s="2237"/>
      <c r="AL160" s="2237"/>
      <c r="AM160" s="2237"/>
      <c r="AN160" s="2240"/>
      <c r="AO160" s="2241"/>
      <c r="AP160" s="2239"/>
      <c r="AQ160" s="2242"/>
      <c r="AR160" s="2250"/>
      <c r="AS160" s="2244"/>
      <c r="AT160" s="2244"/>
      <c r="AU160" s="2245"/>
      <c r="AV160" s="2246"/>
      <c r="AW160" s="2247"/>
      <c r="AX160" s="2248"/>
      <c r="AY160" s="2249"/>
      <c r="AZ160" s="2249"/>
      <c r="BA160" s="2238"/>
      <c r="BB160" s="2264"/>
      <c r="BC160" s="918"/>
      <c r="BD160" s="2252" t="s">
        <v>15</v>
      </c>
      <c r="BE160" s="2237"/>
      <c r="BF160" s="2237"/>
      <c r="BG160" s="2237"/>
      <c r="BH160" s="2237"/>
      <c r="BI160" s="2240"/>
      <c r="BJ160" s="2241"/>
      <c r="BK160" s="2239"/>
      <c r="BL160" s="2242"/>
      <c r="BM160" s="2250"/>
      <c r="BN160" s="2244"/>
      <c r="BO160" s="2244"/>
      <c r="BP160" s="2245"/>
      <c r="BQ160" s="2246"/>
      <c r="BR160" s="2247"/>
      <c r="BS160" s="2248"/>
      <c r="BT160" s="2249"/>
      <c r="BU160" s="2249"/>
      <c r="BV160" s="2238"/>
      <c r="BW160" s="2264"/>
      <c r="BY160" s="3">
        <v>1</v>
      </c>
    </row>
    <row r="161" spans="2:77" ht="21" customHeight="1">
      <c r="B161" s="2265" t="str" cm="1">
        <f t="array" ref="B161">SUMPRODUCT(--(D161:J161&lt;&gt;""), LEN(TRIM(SUBSTITUTE(D161:J161, CHAR(160), "")))) &amp; " Car."</f>
        <v>0 Car.</v>
      </c>
      <c r="C161" s="1376" t="str">
        <f>IF(ISBLANK(D161),"",LARGE(C13:C160,1)+1)</f>
        <v/>
      </c>
      <c r="D161" s="1833"/>
      <c r="E161" s="1810"/>
      <c r="F161" s="1810"/>
      <c r="G161" s="1810"/>
      <c r="H161" s="1810"/>
      <c r="I161" s="1810"/>
      <c r="J161" s="1810"/>
      <c r="K161" s="1810"/>
      <c r="L161" s="1811"/>
      <c r="M161" s="9"/>
      <c r="N161" s="2252" t="s">
        <v>15</v>
      </c>
      <c r="O161" s="2237"/>
      <c r="P161" s="2237"/>
      <c r="Q161" s="2237"/>
      <c r="R161" s="2237"/>
      <c r="S161" s="2240"/>
      <c r="T161" s="2241"/>
      <c r="U161" s="2239"/>
      <c r="V161" s="2242"/>
      <c r="W161" s="2250"/>
      <c r="X161" s="2244"/>
      <c r="Y161" s="2244"/>
      <c r="Z161" s="2245"/>
      <c r="AA161" s="2246"/>
      <c r="AB161" s="2247"/>
      <c r="AC161" s="2248"/>
      <c r="AD161" s="2249"/>
      <c r="AE161" s="2249"/>
      <c r="AF161" s="2238"/>
      <c r="AG161" s="2264"/>
      <c r="AH161" s="918"/>
      <c r="AI161" s="2252" t="s">
        <v>15</v>
      </c>
      <c r="AJ161" s="2237"/>
      <c r="AK161" s="2237"/>
      <c r="AL161" s="2237"/>
      <c r="AM161" s="2237"/>
      <c r="AN161" s="2240"/>
      <c r="AO161" s="2241"/>
      <c r="AP161" s="2239"/>
      <c r="AQ161" s="2242"/>
      <c r="AR161" s="2250"/>
      <c r="AS161" s="2244"/>
      <c r="AT161" s="2244"/>
      <c r="AU161" s="2245"/>
      <c r="AV161" s="2246"/>
      <c r="AW161" s="2247"/>
      <c r="AX161" s="2248"/>
      <c r="AY161" s="2249"/>
      <c r="AZ161" s="2249"/>
      <c r="BA161" s="2238"/>
      <c r="BB161" s="2264"/>
      <c r="BC161" s="918"/>
      <c r="BD161" s="2252" t="s">
        <v>15</v>
      </c>
      <c r="BE161" s="2237"/>
      <c r="BF161" s="2237"/>
      <c r="BG161" s="2237"/>
      <c r="BH161" s="2237"/>
      <c r="BI161" s="2240"/>
      <c r="BJ161" s="2241"/>
      <c r="BK161" s="2239"/>
      <c r="BL161" s="2242"/>
      <c r="BM161" s="2250"/>
      <c r="BN161" s="2244"/>
      <c r="BO161" s="2244"/>
      <c r="BP161" s="2245"/>
      <c r="BQ161" s="2246"/>
      <c r="BR161" s="2247"/>
      <c r="BS161" s="2248"/>
      <c r="BT161" s="2249"/>
      <c r="BU161" s="2249"/>
      <c r="BV161" s="2238"/>
      <c r="BW161" s="2264"/>
      <c r="BY161" s="3">
        <v>1</v>
      </c>
    </row>
    <row r="162" spans="2:77" ht="21" customHeight="1">
      <c r="B162" s="2265" t="str" cm="1">
        <f t="array" ref="B162">SUMPRODUCT(--(D162:J162&lt;&gt;""), LEN(TRIM(SUBSTITUTE(D162:J162, CHAR(160), "")))) &amp; " Car."</f>
        <v>0 Car.</v>
      </c>
      <c r="C162" s="1376" t="str">
        <f>IF(ISBLANK(D162),"",LARGE(C13:C161,1)+1)</f>
        <v/>
      </c>
      <c r="D162" s="1833"/>
      <c r="E162" s="1810"/>
      <c r="F162" s="1810"/>
      <c r="G162" s="1810"/>
      <c r="H162" s="1810"/>
      <c r="I162" s="1810"/>
      <c r="J162" s="1810"/>
      <c r="K162" s="1810"/>
      <c r="L162" s="1811"/>
      <c r="M162" s="9"/>
      <c r="N162" s="2252" t="s">
        <v>15</v>
      </c>
      <c r="O162" s="2237"/>
      <c r="P162" s="2237"/>
      <c r="Q162" s="2237"/>
      <c r="R162" s="2237"/>
      <c r="S162" s="2240"/>
      <c r="T162" s="2241"/>
      <c r="U162" s="2239"/>
      <c r="V162" s="2242"/>
      <c r="W162" s="2250"/>
      <c r="X162" s="2244"/>
      <c r="Y162" s="2244"/>
      <c r="Z162" s="2245"/>
      <c r="AA162" s="2246"/>
      <c r="AB162" s="2247"/>
      <c r="AC162" s="2248"/>
      <c r="AD162" s="2249"/>
      <c r="AE162" s="2249"/>
      <c r="AF162" s="2238"/>
      <c r="AG162" s="2264"/>
      <c r="AH162" s="918"/>
      <c r="AI162" s="2252" t="s">
        <v>15</v>
      </c>
      <c r="AJ162" s="2237"/>
      <c r="AK162" s="2237"/>
      <c r="AL162" s="2237"/>
      <c r="AM162" s="2237"/>
      <c r="AN162" s="2240"/>
      <c r="AO162" s="2241"/>
      <c r="AP162" s="2239"/>
      <c r="AQ162" s="2242"/>
      <c r="AR162" s="2250"/>
      <c r="AS162" s="2244"/>
      <c r="AT162" s="2244"/>
      <c r="AU162" s="2245"/>
      <c r="AV162" s="2246"/>
      <c r="AW162" s="2247"/>
      <c r="AX162" s="2248"/>
      <c r="AY162" s="2249"/>
      <c r="AZ162" s="2249"/>
      <c r="BA162" s="2238"/>
      <c r="BB162" s="2264"/>
      <c r="BC162" s="918"/>
      <c r="BD162" s="2252" t="s">
        <v>15</v>
      </c>
      <c r="BE162" s="2237"/>
      <c r="BF162" s="2237"/>
      <c r="BG162" s="2237"/>
      <c r="BH162" s="2237"/>
      <c r="BI162" s="2240"/>
      <c r="BJ162" s="2241"/>
      <c r="BK162" s="2239"/>
      <c r="BL162" s="2242"/>
      <c r="BM162" s="2250"/>
      <c r="BN162" s="2244"/>
      <c r="BO162" s="2244"/>
      <c r="BP162" s="2245"/>
      <c r="BQ162" s="2246"/>
      <c r="BR162" s="2247"/>
      <c r="BS162" s="2248"/>
      <c r="BT162" s="2249"/>
      <c r="BU162" s="2249"/>
      <c r="BV162" s="2238"/>
      <c r="BW162" s="2264"/>
      <c r="BY162" s="3">
        <v>1</v>
      </c>
    </row>
    <row r="163" spans="2:77" ht="21" customHeight="1">
      <c r="B163" s="2265" t="str" cm="1">
        <f t="array" ref="B163">SUMPRODUCT(--(D163:J163&lt;&gt;""), LEN(TRIM(SUBSTITUTE(D163:J163, CHAR(160), "")))) &amp; " Car."</f>
        <v>0 Car.</v>
      </c>
      <c r="C163" s="1376" t="str">
        <f>IF(ISBLANK(D163),"",LARGE(C13:C162,1)+1)</f>
        <v/>
      </c>
      <c r="D163" s="1833"/>
      <c r="E163" s="1810"/>
      <c r="F163" s="1810"/>
      <c r="G163" s="1810"/>
      <c r="H163" s="1810"/>
      <c r="I163" s="1810"/>
      <c r="J163" s="1810"/>
      <c r="K163" s="1810"/>
      <c r="L163" s="1811"/>
      <c r="M163" s="9"/>
      <c r="N163" s="2252" t="s">
        <v>15</v>
      </c>
      <c r="O163" s="2237"/>
      <c r="P163" s="2237"/>
      <c r="Q163" s="2237"/>
      <c r="R163" s="2237"/>
      <c r="S163" s="2240"/>
      <c r="T163" s="2241"/>
      <c r="U163" s="2239"/>
      <c r="V163" s="2242"/>
      <c r="W163" s="2250"/>
      <c r="X163" s="2244"/>
      <c r="Y163" s="2244"/>
      <c r="Z163" s="2245"/>
      <c r="AA163" s="2246"/>
      <c r="AB163" s="2247"/>
      <c r="AC163" s="2248"/>
      <c r="AD163" s="2249"/>
      <c r="AE163" s="2249"/>
      <c r="AF163" s="2238"/>
      <c r="AG163" s="2264"/>
      <c r="AH163" s="918"/>
      <c r="AI163" s="2252" t="s">
        <v>15</v>
      </c>
      <c r="AJ163" s="2237"/>
      <c r="AK163" s="2237"/>
      <c r="AL163" s="2237"/>
      <c r="AM163" s="2237"/>
      <c r="AN163" s="2240"/>
      <c r="AO163" s="2241"/>
      <c r="AP163" s="2239"/>
      <c r="AQ163" s="2242"/>
      <c r="AR163" s="2250"/>
      <c r="AS163" s="2244"/>
      <c r="AT163" s="2244"/>
      <c r="AU163" s="2245"/>
      <c r="AV163" s="2246"/>
      <c r="AW163" s="2247"/>
      <c r="AX163" s="2248"/>
      <c r="AY163" s="2249"/>
      <c r="AZ163" s="2249"/>
      <c r="BA163" s="2238"/>
      <c r="BB163" s="2264"/>
      <c r="BC163" s="918"/>
      <c r="BD163" s="2252" t="s">
        <v>15</v>
      </c>
      <c r="BE163" s="2237"/>
      <c r="BF163" s="2237"/>
      <c r="BG163" s="2237"/>
      <c r="BH163" s="2237"/>
      <c r="BI163" s="2240"/>
      <c r="BJ163" s="2241"/>
      <c r="BK163" s="2239"/>
      <c r="BL163" s="2242"/>
      <c r="BM163" s="2250"/>
      <c r="BN163" s="2244"/>
      <c r="BO163" s="2244"/>
      <c r="BP163" s="2245"/>
      <c r="BQ163" s="2246"/>
      <c r="BR163" s="2247"/>
      <c r="BS163" s="2248"/>
      <c r="BT163" s="2249"/>
      <c r="BU163" s="2249"/>
      <c r="BV163" s="2238"/>
      <c r="BW163" s="2264"/>
      <c r="BY163" s="3">
        <v>1</v>
      </c>
    </row>
    <row r="164" spans="2:77" ht="21" customHeight="1">
      <c r="B164" s="2265" t="str" cm="1">
        <f t="array" ref="B164">SUMPRODUCT(--(D164:J164&lt;&gt;""), LEN(TRIM(SUBSTITUTE(D164:J164, CHAR(160), "")))) &amp; " Car."</f>
        <v>0 Car.</v>
      </c>
      <c r="C164" s="1376" t="str">
        <f>IF(ISBLANK(D164),"",LARGE(C13:C163,1)+1)</f>
        <v/>
      </c>
      <c r="D164" s="1833"/>
      <c r="E164" s="1810"/>
      <c r="F164" s="1810"/>
      <c r="G164" s="1810"/>
      <c r="H164" s="1810"/>
      <c r="I164" s="1810"/>
      <c r="J164" s="1810"/>
      <c r="K164" s="1810"/>
      <c r="L164" s="1811"/>
      <c r="M164" s="9"/>
      <c r="N164" s="2252" t="s">
        <v>15</v>
      </c>
      <c r="O164" s="2237"/>
      <c r="P164" s="2237"/>
      <c r="Q164" s="2237"/>
      <c r="R164" s="2237"/>
      <c r="S164" s="2240"/>
      <c r="T164" s="2241"/>
      <c r="U164" s="2239"/>
      <c r="V164" s="2242"/>
      <c r="W164" s="2250"/>
      <c r="X164" s="2244"/>
      <c r="Y164" s="2244"/>
      <c r="Z164" s="2245"/>
      <c r="AA164" s="2246"/>
      <c r="AB164" s="2247"/>
      <c r="AC164" s="2248"/>
      <c r="AD164" s="2249"/>
      <c r="AE164" s="2249"/>
      <c r="AF164" s="2238"/>
      <c r="AG164" s="2264"/>
      <c r="AH164" s="918"/>
      <c r="AI164" s="2252" t="s">
        <v>15</v>
      </c>
      <c r="AJ164" s="2237"/>
      <c r="AK164" s="2237"/>
      <c r="AL164" s="2237"/>
      <c r="AM164" s="2237"/>
      <c r="AN164" s="2240"/>
      <c r="AO164" s="2241"/>
      <c r="AP164" s="2239"/>
      <c r="AQ164" s="2242"/>
      <c r="AR164" s="2250"/>
      <c r="AS164" s="2244"/>
      <c r="AT164" s="2244"/>
      <c r="AU164" s="2245"/>
      <c r="AV164" s="2246"/>
      <c r="AW164" s="2247"/>
      <c r="AX164" s="2248"/>
      <c r="AY164" s="2249"/>
      <c r="AZ164" s="2249"/>
      <c r="BA164" s="2238"/>
      <c r="BB164" s="2264"/>
      <c r="BC164" s="918"/>
      <c r="BD164" s="2252" t="s">
        <v>15</v>
      </c>
      <c r="BE164" s="2237"/>
      <c r="BF164" s="2237"/>
      <c r="BG164" s="2237"/>
      <c r="BH164" s="2237"/>
      <c r="BI164" s="2240"/>
      <c r="BJ164" s="2241"/>
      <c r="BK164" s="2239"/>
      <c r="BL164" s="2242"/>
      <c r="BM164" s="2250"/>
      <c r="BN164" s="2244"/>
      <c r="BO164" s="2244"/>
      <c r="BP164" s="2245"/>
      <c r="BQ164" s="2246"/>
      <c r="BR164" s="2247"/>
      <c r="BS164" s="2248"/>
      <c r="BT164" s="2249"/>
      <c r="BU164" s="2249"/>
      <c r="BV164" s="2238"/>
      <c r="BW164" s="2264"/>
      <c r="BY164" s="3">
        <v>1</v>
      </c>
    </row>
    <row r="165" spans="2:77" ht="21" customHeight="1">
      <c r="B165" s="2265" t="str" cm="1">
        <f t="array" ref="B165">SUMPRODUCT(--(D165:J165&lt;&gt;""), LEN(TRIM(SUBSTITUTE(D165:J165, CHAR(160), "")))) &amp; " Car."</f>
        <v>0 Car.</v>
      </c>
      <c r="C165" s="1376" t="str">
        <f>IF(ISBLANK(D165),"",LARGE(C13:C164,1)+1)</f>
        <v/>
      </c>
      <c r="D165" s="1833"/>
      <c r="E165" s="1810"/>
      <c r="F165" s="1810"/>
      <c r="G165" s="1810"/>
      <c r="H165" s="1810"/>
      <c r="I165" s="1810"/>
      <c r="J165" s="1810"/>
      <c r="K165" s="1810"/>
      <c r="L165" s="1811"/>
      <c r="M165" s="9"/>
      <c r="N165" s="2252" t="s">
        <v>15</v>
      </c>
      <c r="O165" s="2237"/>
      <c r="P165" s="2237"/>
      <c r="Q165" s="2237"/>
      <c r="R165" s="2237"/>
      <c r="S165" s="2240"/>
      <c r="T165" s="2241"/>
      <c r="U165" s="2239"/>
      <c r="V165" s="2242"/>
      <c r="W165" s="2250"/>
      <c r="X165" s="2244"/>
      <c r="Y165" s="2244"/>
      <c r="Z165" s="2245"/>
      <c r="AA165" s="2246"/>
      <c r="AB165" s="2247"/>
      <c r="AC165" s="2248"/>
      <c r="AD165" s="2249"/>
      <c r="AE165" s="2249"/>
      <c r="AF165" s="2238"/>
      <c r="AG165" s="2264"/>
      <c r="AH165" s="918"/>
      <c r="AI165" s="2252" t="s">
        <v>15</v>
      </c>
      <c r="AJ165" s="2237"/>
      <c r="AK165" s="2237"/>
      <c r="AL165" s="2237"/>
      <c r="AM165" s="2237"/>
      <c r="AN165" s="2240"/>
      <c r="AO165" s="2241"/>
      <c r="AP165" s="2239"/>
      <c r="AQ165" s="2242"/>
      <c r="AR165" s="2250"/>
      <c r="AS165" s="2244"/>
      <c r="AT165" s="2244"/>
      <c r="AU165" s="2245"/>
      <c r="AV165" s="2246"/>
      <c r="AW165" s="2247"/>
      <c r="AX165" s="2248"/>
      <c r="AY165" s="2249"/>
      <c r="AZ165" s="2249"/>
      <c r="BA165" s="2238"/>
      <c r="BB165" s="2264"/>
      <c r="BC165" s="918"/>
      <c r="BD165" s="2252" t="s">
        <v>15</v>
      </c>
      <c r="BE165" s="2237"/>
      <c r="BF165" s="2237"/>
      <c r="BG165" s="2237"/>
      <c r="BH165" s="2237"/>
      <c r="BI165" s="2240"/>
      <c r="BJ165" s="2241"/>
      <c r="BK165" s="2239"/>
      <c r="BL165" s="2242"/>
      <c r="BM165" s="2250"/>
      <c r="BN165" s="2244"/>
      <c r="BO165" s="2244"/>
      <c r="BP165" s="2245"/>
      <c r="BQ165" s="2246"/>
      <c r="BR165" s="2247"/>
      <c r="BS165" s="2248"/>
      <c r="BT165" s="2249"/>
      <c r="BU165" s="2249"/>
      <c r="BV165" s="2238"/>
      <c r="BW165" s="2264"/>
      <c r="BY165" s="3">
        <v>1</v>
      </c>
    </row>
    <row r="166" spans="2:77" ht="21" customHeight="1">
      <c r="B166" s="2265" t="str" cm="1">
        <f t="array" ref="B166">SUMPRODUCT(--(D166:J166&lt;&gt;""), LEN(TRIM(SUBSTITUTE(D166:J166, CHAR(160), "")))) &amp; " Car."</f>
        <v>0 Car.</v>
      </c>
      <c r="C166" s="1376" t="str">
        <f>IF(ISBLANK(D166),"",LARGE(C13:C165,1)+1)</f>
        <v/>
      </c>
      <c r="D166" s="1833"/>
      <c r="E166" s="1810"/>
      <c r="F166" s="1810"/>
      <c r="G166" s="1810"/>
      <c r="H166" s="1810"/>
      <c r="I166" s="1810"/>
      <c r="J166" s="1810"/>
      <c r="K166" s="1810"/>
      <c r="L166" s="1811"/>
      <c r="M166" s="9"/>
      <c r="N166" s="2252" t="s">
        <v>15</v>
      </c>
      <c r="O166" s="2237"/>
      <c r="P166" s="2237"/>
      <c r="Q166" s="2237"/>
      <c r="R166" s="2237"/>
      <c r="S166" s="2240"/>
      <c r="T166" s="2241"/>
      <c r="U166" s="2239"/>
      <c r="V166" s="2242"/>
      <c r="W166" s="2250"/>
      <c r="X166" s="2244"/>
      <c r="Y166" s="2244"/>
      <c r="Z166" s="2245"/>
      <c r="AA166" s="2246"/>
      <c r="AB166" s="2247"/>
      <c r="AC166" s="2248"/>
      <c r="AD166" s="2249"/>
      <c r="AE166" s="2249"/>
      <c r="AF166" s="2238"/>
      <c r="AG166" s="2264"/>
      <c r="AH166" s="918"/>
      <c r="AI166" s="2252" t="s">
        <v>15</v>
      </c>
      <c r="AJ166" s="2237"/>
      <c r="AK166" s="2237"/>
      <c r="AL166" s="2237"/>
      <c r="AM166" s="2237"/>
      <c r="AN166" s="2240"/>
      <c r="AO166" s="2241"/>
      <c r="AP166" s="2239"/>
      <c r="AQ166" s="2242"/>
      <c r="AR166" s="2250"/>
      <c r="AS166" s="2244"/>
      <c r="AT166" s="2244"/>
      <c r="AU166" s="2245"/>
      <c r="AV166" s="2246"/>
      <c r="AW166" s="2247"/>
      <c r="AX166" s="2248"/>
      <c r="AY166" s="2249"/>
      <c r="AZ166" s="2249"/>
      <c r="BA166" s="2238"/>
      <c r="BB166" s="2264"/>
      <c r="BC166" s="918"/>
      <c r="BD166" s="2252" t="s">
        <v>15</v>
      </c>
      <c r="BE166" s="2237"/>
      <c r="BF166" s="2237"/>
      <c r="BG166" s="2237"/>
      <c r="BH166" s="2237"/>
      <c r="BI166" s="2240"/>
      <c r="BJ166" s="2241"/>
      <c r="BK166" s="2239"/>
      <c r="BL166" s="2242"/>
      <c r="BM166" s="2250"/>
      <c r="BN166" s="2244"/>
      <c r="BO166" s="2244"/>
      <c r="BP166" s="2245"/>
      <c r="BQ166" s="2246"/>
      <c r="BR166" s="2247"/>
      <c r="BS166" s="2248"/>
      <c r="BT166" s="2249"/>
      <c r="BU166" s="2249"/>
      <c r="BV166" s="2238"/>
      <c r="BW166" s="2264"/>
      <c r="BY166" s="3">
        <v>1</v>
      </c>
    </row>
    <row r="167" spans="2:77" ht="21" customHeight="1">
      <c r="B167" s="2265" t="str" cm="1">
        <f t="array" ref="B167">SUMPRODUCT(--(D167:J167&lt;&gt;""), LEN(TRIM(SUBSTITUTE(D167:J167, CHAR(160), "")))) &amp; " Car."</f>
        <v>0 Car.</v>
      </c>
      <c r="C167" s="1376" t="str">
        <f>IF(ISBLANK(D167),"",LARGE(C13:C166,1)+1)</f>
        <v/>
      </c>
      <c r="D167" s="1833"/>
      <c r="E167" s="1810"/>
      <c r="F167" s="1810"/>
      <c r="G167" s="1810"/>
      <c r="H167" s="1810"/>
      <c r="I167" s="1810"/>
      <c r="J167" s="1810"/>
      <c r="K167" s="1810"/>
      <c r="L167" s="1811"/>
      <c r="M167" s="9"/>
      <c r="N167" s="2252" t="s">
        <v>15</v>
      </c>
      <c r="O167" s="2237"/>
      <c r="P167" s="2237"/>
      <c r="Q167" s="2237"/>
      <c r="R167" s="2237"/>
      <c r="S167" s="2240"/>
      <c r="T167" s="2241"/>
      <c r="U167" s="2239"/>
      <c r="V167" s="2242"/>
      <c r="W167" s="2250"/>
      <c r="X167" s="2244"/>
      <c r="Y167" s="2244"/>
      <c r="Z167" s="2245"/>
      <c r="AA167" s="2246"/>
      <c r="AB167" s="2247"/>
      <c r="AC167" s="2248"/>
      <c r="AD167" s="2249"/>
      <c r="AE167" s="2249"/>
      <c r="AF167" s="2238"/>
      <c r="AG167" s="2264"/>
      <c r="AH167" s="918"/>
      <c r="AI167" s="2252" t="s">
        <v>15</v>
      </c>
      <c r="AJ167" s="2237"/>
      <c r="AK167" s="2237"/>
      <c r="AL167" s="2237"/>
      <c r="AM167" s="2237"/>
      <c r="AN167" s="2240"/>
      <c r="AO167" s="2241"/>
      <c r="AP167" s="2239"/>
      <c r="AQ167" s="2242"/>
      <c r="AR167" s="2250"/>
      <c r="AS167" s="2244"/>
      <c r="AT167" s="2244"/>
      <c r="AU167" s="2245"/>
      <c r="AV167" s="2246"/>
      <c r="AW167" s="2247"/>
      <c r="AX167" s="2248"/>
      <c r="AY167" s="2249"/>
      <c r="AZ167" s="2249"/>
      <c r="BA167" s="2238"/>
      <c r="BB167" s="2264"/>
      <c r="BC167" s="918"/>
      <c r="BD167" s="2252" t="s">
        <v>15</v>
      </c>
      <c r="BE167" s="2237"/>
      <c r="BF167" s="2237"/>
      <c r="BG167" s="2237"/>
      <c r="BH167" s="2237"/>
      <c r="BI167" s="2240"/>
      <c r="BJ167" s="2241"/>
      <c r="BK167" s="2239"/>
      <c r="BL167" s="2242"/>
      <c r="BM167" s="2250"/>
      <c r="BN167" s="2244"/>
      <c r="BO167" s="2244"/>
      <c r="BP167" s="2245"/>
      <c r="BQ167" s="2246"/>
      <c r="BR167" s="2247"/>
      <c r="BS167" s="2248"/>
      <c r="BT167" s="2249"/>
      <c r="BU167" s="2249"/>
      <c r="BV167" s="2238"/>
      <c r="BW167" s="2264"/>
      <c r="BY167" s="3">
        <v>1</v>
      </c>
    </row>
    <row r="168" spans="2:77" ht="21" customHeight="1">
      <c r="B168" s="2265" t="str" cm="1">
        <f t="array" ref="B168">SUMPRODUCT(--(D168:J168&lt;&gt;""), LEN(TRIM(SUBSTITUTE(D168:J168, CHAR(160), "")))) &amp; " Car."</f>
        <v>0 Car.</v>
      </c>
      <c r="C168" s="1376" t="str">
        <f>IF(ISBLANK(D168),"",LARGE(C13:C167,1)+1)</f>
        <v/>
      </c>
      <c r="D168" s="1833"/>
      <c r="E168" s="1810"/>
      <c r="F168" s="1810"/>
      <c r="G168" s="1810"/>
      <c r="H168" s="1810"/>
      <c r="I168" s="1810"/>
      <c r="J168" s="1810"/>
      <c r="K168" s="1810"/>
      <c r="L168" s="1811"/>
      <c r="M168" s="9"/>
      <c r="N168" s="2252" t="s">
        <v>15</v>
      </c>
      <c r="O168" s="2237"/>
      <c r="P168" s="2237"/>
      <c r="Q168" s="2237"/>
      <c r="R168" s="2237"/>
      <c r="S168" s="2240"/>
      <c r="T168" s="2241"/>
      <c r="U168" s="2239"/>
      <c r="V168" s="2242"/>
      <c r="W168" s="2250"/>
      <c r="X168" s="2244"/>
      <c r="Y168" s="2244"/>
      <c r="Z168" s="2245"/>
      <c r="AA168" s="2246"/>
      <c r="AB168" s="2247"/>
      <c r="AC168" s="2248"/>
      <c r="AD168" s="2249"/>
      <c r="AE168" s="2249"/>
      <c r="AF168" s="2238"/>
      <c r="AG168" s="2264"/>
      <c r="AH168" s="918"/>
      <c r="AI168" s="2252" t="s">
        <v>15</v>
      </c>
      <c r="AJ168" s="2237"/>
      <c r="AK168" s="2237"/>
      <c r="AL168" s="2237"/>
      <c r="AM168" s="2237"/>
      <c r="AN168" s="2240"/>
      <c r="AO168" s="2241"/>
      <c r="AP168" s="2239"/>
      <c r="AQ168" s="2242"/>
      <c r="AR168" s="2250"/>
      <c r="AS168" s="2244"/>
      <c r="AT168" s="2244"/>
      <c r="AU168" s="2245"/>
      <c r="AV168" s="2246"/>
      <c r="AW168" s="2247"/>
      <c r="AX168" s="2248"/>
      <c r="AY168" s="2249"/>
      <c r="AZ168" s="2249"/>
      <c r="BA168" s="2238"/>
      <c r="BB168" s="2264"/>
      <c r="BC168" s="918"/>
      <c r="BD168" s="2252" t="s">
        <v>15</v>
      </c>
      <c r="BE168" s="2237"/>
      <c r="BF168" s="2237"/>
      <c r="BG168" s="2237"/>
      <c r="BH168" s="2237"/>
      <c r="BI168" s="2240"/>
      <c r="BJ168" s="2241"/>
      <c r="BK168" s="2239"/>
      <c r="BL168" s="2242"/>
      <c r="BM168" s="2250"/>
      <c r="BN168" s="2244"/>
      <c r="BO168" s="2244"/>
      <c r="BP168" s="2245"/>
      <c r="BQ168" s="2246"/>
      <c r="BR168" s="2247"/>
      <c r="BS168" s="2248"/>
      <c r="BT168" s="2249"/>
      <c r="BU168" s="2249"/>
      <c r="BV168" s="2238"/>
      <c r="BW168" s="2264"/>
      <c r="BY168" s="3">
        <v>1</v>
      </c>
    </row>
    <row r="169" spans="2:77" ht="21" customHeight="1">
      <c r="B169" s="2265" t="str" cm="1">
        <f t="array" ref="B169">SUMPRODUCT(--(D169:J169&lt;&gt;""), LEN(TRIM(SUBSTITUTE(D169:J169, CHAR(160), "")))) &amp; " Car."</f>
        <v>0 Car.</v>
      </c>
      <c r="C169" s="1376" t="str">
        <f>IF(ISBLANK(D169),"",LARGE(C13:C168,1)+1)</f>
        <v/>
      </c>
      <c r="D169" s="1833"/>
      <c r="E169" s="1810"/>
      <c r="F169" s="1810"/>
      <c r="G169" s="1810"/>
      <c r="H169" s="1810"/>
      <c r="I169" s="1810"/>
      <c r="J169" s="1810"/>
      <c r="K169" s="1810"/>
      <c r="L169" s="1811"/>
      <c r="M169" s="9"/>
      <c r="N169" s="2252" t="s">
        <v>15</v>
      </c>
      <c r="O169" s="2237"/>
      <c r="P169" s="2237"/>
      <c r="Q169" s="2237"/>
      <c r="R169" s="2237"/>
      <c r="S169" s="2240"/>
      <c r="T169" s="2241"/>
      <c r="U169" s="2239"/>
      <c r="V169" s="2242"/>
      <c r="W169" s="2250"/>
      <c r="X169" s="2244"/>
      <c r="Y169" s="2244"/>
      <c r="Z169" s="2245"/>
      <c r="AA169" s="2246"/>
      <c r="AB169" s="2247"/>
      <c r="AC169" s="2248"/>
      <c r="AD169" s="2249"/>
      <c r="AE169" s="2249"/>
      <c r="AF169" s="2238"/>
      <c r="AG169" s="2264"/>
      <c r="AH169" s="918"/>
      <c r="AI169" s="2252" t="s">
        <v>15</v>
      </c>
      <c r="AJ169" s="2237"/>
      <c r="AK169" s="2237"/>
      <c r="AL169" s="2237"/>
      <c r="AM169" s="2237"/>
      <c r="AN169" s="2240"/>
      <c r="AO169" s="2241"/>
      <c r="AP169" s="2239"/>
      <c r="AQ169" s="2242"/>
      <c r="AR169" s="2250"/>
      <c r="AS169" s="2244"/>
      <c r="AT169" s="2244"/>
      <c r="AU169" s="2245"/>
      <c r="AV169" s="2246"/>
      <c r="AW169" s="2247"/>
      <c r="AX169" s="2248"/>
      <c r="AY169" s="2249"/>
      <c r="AZ169" s="2249"/>
      <c r="BA169" s="2238"/>
      <c r="BB169" s="2264"/>
      <c r="BC169" s="918"/>
      <c r="BD169" s="2252" t="s">
        <v>15</v>
      </c>
      <c r="BE169" s="2237"/>
      <c r="BF169" s="2237"/>
      <c r="BG169" s="2237"/>
      <c r="BH169" s="2237"/>
      <c r="BI169" s="2240"/>
      <c r="BJ169" s="2241"/>
      <c r="BK169" s="2239"/>
      <c r="BL169" s="2242"/>
      <c r="BM169" s="2250"/>
      <c r="BN169" s="2244"/>
      <c r="BO169" s="2244"/>
      <c r="BP169" s="2245"/>
      <c r="BQ169" s="2246"/>
      <c r="BR169" s="2247"/>
      <c r="BS169" s="2248"/>
      <c r="BT169" s="2249"/>
      <c r="BU169" s="2249"/>
      <c r="BV169" s="2238"/>
      <c r="BW169" s="2264"/>
      <c r="BY169" s="3">
        <v>1</v>
      </c>
    </row>
    <row r="170" spans="2:77" ht="21" customHeight="1">
      <c r="B170" s="2265" t="str" cm="1">
        <f t="array" ref="B170">SUMPRODUCT(--(D170:J170&lt;&gt;""), LEN(TRIM(SUBSTITUTE(D170:J170, CHAR(160), "")))) &amp; " Car."</f>
        <v>0 Car.</v>
      </c>
      <c r="C170" s="1376" t="str">
        <f>IF(ISBLANK(D170),"",LARGE(C13:C169,1)+1)</f>
        <v/>
      </c>
      <c r="D170" s="1833"/>
      <c r="E170" s="1810"/>
      <c r="F170" s="1810"/>
      <c r="G170" s="1810"/>
      <c r="H170" s="1810"/>
      <c r="I170" s="1810"/>
      <c r="J170" s="1810"/>
      <c r="K170" s="1810"/>
      <c r="L170" s="1811"/>
      <c r="M170" s="9"/>
      <c r="N170" s="2252" t="s">
        <v>15</v>
      </c>
      <c r="O170" s="2237"/>
      <c r="P170" s="2237"/>
      <c r="Q170" s="2237"/>
      <c r="R170" s="2237"/>
      <c r="S170" s="2240"/>
      <c r="T170" s="2241"/>
      <c r="U170" s="2239"/>
      <c r="V170" s="2242"/>
      <c r="W170" s="2250"/>
      <c r="X170" s="2244"/>
      <c r="Y170" s="2244"/>
      <c r="Z170" s="2245"/>
      <c r="AA170" s="2246"/>
      <c r="AB170" s="2247"/>
      <c r="AC170" s="2248"/>
      <c r="AD170" s="2249"/>
      <c r="AE170" s="2249"/>
      <c r="AF170" s="2238"/>
      <c r="AG170" s="2264"/>
      <c r="AH170" s="918"/>
      <c r="AI170" s="2252" t="s">
        <v>15</v>
      </c>
      <c r="AJ170" s="2237"/>
      <c r="AK170" s="2237"/>
      <c r="AL170" s="2237"/>
      <c r="AM170" s="2237"/>
      <c r="AN170" s="2240"/>
      <c r="AO170" s="2241"/>
      <c r="AP170" s="2239"/>
      <c r="AQ170" s="2242"/>
      <c r="AR170" s="2250"/>
      <c r="AS170" s="2244"/>
      <c r="AT170" s="2244"/>
      <c r="AU170" s="2245"/>
      <c r="AV170" s="2246"/>
      <c r="AW170" s="2247"/>
      <c r="AX170" s="2248"/>
      <c r="AY170" s="2249"/>
      <c r="AZ170" s="2249"/>
      <c r="BA170" s="2238"/>
      <c r="BB170" s="2264"/>
      <c r="BC170" s="918"/>
      <c r="BD170" s="2252" t="s">
        <v>15</v>
      </c>
      <c r="BE170" s="2237"/>
      <c r="BF170" s="2237"/>
      <c r="BG170" s="2237"/>
      <c r="BH170" s="2237"/>
      <c r="BI170" s="2240"/>
      <c r="BJ170" s="2241"/>
      <c r="BK170" s="2239"/>
      <c r="BL170" s="2242"/>
      <c r="BM170" s="2250"/>
      <c r="BN170" s="2244"/>
      <c r="BO170" s="2244"/>
      <c r="BP170" s="2245"/>
      <c r="BQ170" s="2246"/>
      <c r="BR170" s="2247"/>
      <c r="BS170" s="2248"/>
      <c r="BT170" s="2249"/>
      <c r="BU170" s="2249"/>
      <c r="BV170" s="2238"/>
      <c r="BW170" s="2264"/>
      <c r="BY170" s="3">
        <v>1</v>
      </c>
    </row>
    <row r="171" spans="2:77" ht="21" customHeight="1">
      <c r="B171" s="2265" t="str" cm="1">
        <f t="array" ref="B171">SUMPRODUCT(--(D171:J171&lt;&gt;""), LEN(TRIM(SUBSTITUTE(D171:J171, CHAR(160), "")))) &amp; " Car."</f>
        <v>0 Car.</v>
      </c>
      <c r="C171" s="1376" t="str">
        <f>IF(ISBLANK(D171),"",LARGE(C13:C170,1)+1)</f>
        <v/>
      </c>
      <c r="D171" s="1833"/>
      <c r="E171" s="1810"/>
      <c r="F171" s="1810"/>
      <c r="G171" s="1810"/>
      <c r="H171" s="1810"/>
      <c r="I171" s="1810"/>
      <c r="J171" s="1810"/>
      <c r="K171" s="1810"/>
      <c r="L171" s="1811"/>
      <c r="M171" s="9"/>
      <c r="N171" s="2252" t="s">
        <v>15</v>
      </c>
      <c r="O171" s="2237"/>
      <c r="P171" s="2237"/>
      <c r="Q171" s="2237"/>
      <c r="R171" s="2237"/>
      <c r="S171" s="2240"/>
      <c r="T171" s="2241"/>
      <c r="U171" s="2239"/>
      <c r="V171" s="2242"/>
      <c r="W171" s="2250"/>
      <c r="X171" s="2244"/>
      <c r="Y171" s="2244"/>
      <c r="Z171" s="2245"/>
      <c r="AA171" s="2246"/>
      <c r="AB171" s="2247"/>
      <c r="AC171" s="2248"/>
      <c r="AD171" s="2249"/>
      <c r="AE171" s="2249"/>
      <c r="AF171" s="2238"/>
      <c r="AG171" s="2264"/>
      <c r="AH171" s="918"/>
      <c r="AI171" s="2252" t="s">
        <v>15</v>
      </c>
      <c r="AJ171" s="2237"/>
      <c r="AK171" s="2237"/>
      <c r="AL171" s="2237"/>
      <c r="AM171" s="2237"/>
      <c r="AN171" s="2240"/>
      <c r="AO171" s="2241"/>
      <c r="AP171" s="2239"/>
      <c r="AQ171" s="2242"/>
      <c r="AR171" s="2250"/>
      <c r="AS171" s="2244"/>
      <c r="AT171" s="2244"/>
      <c r="AU171" s="2245"/>
      <c r="AV171" s="2246"/>
      <c r="AW171" s="2247"/>
      <c r="AX171" s="2248"/>
      <c r="AY171" s="2249"/>
      <c r="AZ171" s="2249"/>
      <c r="BA171" s="2238"/>
      <c r="BB171" s="2264"/>
      <c r="BC171" s="918"/>
      <c r="BD171" s="2252" t="s">
        <v>15</v>
      </c>
      <c r="BE171" s="2237"/>
      <c r="BF171" s="2237"/>
      <c r="BG171" s="2237"/>
      <c r="BH171" s="2237"/>
      <c r="BI171" s="2240"/>
      <c r="BJ171" s="2241"/>
      <c r="BK171" s="2239"/>
      <c r="BL171" s="2242"/>
      <c r="BM171" s="2250"/>
      <c r="BN171" s="2244"/>
      <c r="BO171" s="2244"/>
      <c r="BP171" s="2245"/>
      <c r="BQ171" s="2246"/>
      <c r="BR171" s="2247"/>
      <c r="BS171" s="2248"/>
      <c r="BT171" s="2249"/>
      <c r="BU171" s="2249"/>
      <c r="BV171" s="2238"/>
      <c r="BW171" s="2264"/>
      <c r="BY171" s="3">
        <v>1</v>
      </c>
    </row>
    <row r="172" spans="2:77" ht="21" customHeight="1">
      <c r="B172" s="2265" t="str" cm="1">
        <f t="array" ref="B172">SUMPRODUCT(--(D172:J172&lt;&gt;""), LEN(TRIM(SUBSTITUTE(D172:J172, CHAR(160), "")))) &amp; " Car."</f>
        <v>0 Car.</v>
      </c>
      <c r="C172" s="1376" t="str">
        <f>IF(ISBLANK(D172),"",LARGE(C13:C171,1)+1)</f>
        <v/>
      </c>
      <c r="D172" s="1833"/>
      <c r="E172" s="1810"/>
      <c r="F172" s="1810"/>
      <c r="G172" s="1810"/>
      <c r="H172" s="1810"/>
      <c r="I172" s="1810"/>
      <c r="J172" s="1810"/>
      <c r="K172" s="1810"/>
      <c r="L172" s="1811"/>
      <c r="M172" s="9"/>
      <c r="N172" s="2252" t="s">
        <v>15</v>
      </c>
      <c r="O172" s="2237"/>
      <c r="P172" s="2237"/>
      <c r="Q172" s="2237"/>
      <c r="R172" s="2237"/>
      <c r="S172" s="2240"/>
      <c r="T172" s="2241"/>
      <c r="U172" s="2239"/>
      <c r="V172" s="2242"/>
      <c r="W172" s="2250"/>
      <c r="X172" s="2244"/>
      <c r="Y172" s="2244"/>
      <c r="Z172" s="2245"/>
      <c r="AA172" s="2246"/>
      <c r="AB172" s="2247"/>
      <c r="AC172" s="2248"/>
      <c r="AD172" s="2249"/>
      <c r="AE172" s="2249"/>
      <c r="AF172" s="2238"/>
      <c r="AG172" s="2264"/>
      <c r="AH172" s="918"/>
      <c r="AI172" s="2252" t="s">
        <v>15</v>
      </c>
      <c r="AJ172" s="2237"/>
      <c r="AK172" s="2237"/>
      <c r="AL172" s="2237"/>
      <c r="AM172" s="2237"/>
      <c r="AN172" s="2240"/>
      <c r="AO172" s="2241"/>
      <c r="AP172" s="2239"/>
      <c r="AQ172" s="2242"/>
      <c r="AR172" s="2250"/>
      <c r="AS172" s="2244"/>
      <c r="AT172" s="2244"/>
      <c r="AU172" s="2245"/>
      <c r="AV172" s="2246"/>
      <c r="AW172" s="2247"/>
      <c r="AX172" s="2248"/>
      <c r="AY172" s="2249"/>
      <c r="AZ172" s="2249"/>
      <c r="BA172" s="2238"/>
      <c r="BB172" s="2264"/>
      <c r="BC172" s="918"/>
      <c r="BD172" s="2252" t="s">
        <v>15</v>
      </c>
      <c r="BE172" s="2237"/>
      <c r="BF172" s="2237"/>
      <c r="BG172" s="2237"/>
      <c r="BH172" s="2237"/>
      <c r="BI172" s="2240"/>
      <c r="BJ172" s="2241"/>
      <c r="BK172" s="2239"/>
      <c r="BL172" s="2242"/>
      <c r="BM172" s="2250"/>
      <c r="BN172" s="2244"/>
      <c r="BO172" s="2244"/>
      <c r="BP172" s="2245"/>
      <c r="BQ172" s="2246"/>
      <c r="BR172" s="2247"/>
      <c r="BS172" s="2248"/>
      <c r="BT172" s="2249"/>
      <c r="BU172" s="2249"/>
      <c r="BV172" s="2238"/>
      <c r="BW172" s="2264"/>
      <c r="BY172" s="3">
        <v>1</v>
      </c>
    </row>
    <row r="173" spans="2:77" ht="21" customHeight="1">
      <c r="B173" s="2265" t="str" cm="1">
        <f t="array" ref="B173">SUMPRODUCT(--(D173:J173&lt;&gt;""), LEN(TRIM(SUBSTITUTE(D173:J173, CHAR(160), "")))) &amp; " Car."</f>
        <v>0 Car.</v>
      </c>
      <c r="C173" s="1376" t="str">
        <f>IF(ISBLANK(D173),"",LARGE(C13:C172,1)+1)</f>
        <v/>
      </c>
      <c r="D173" s="1833"/>
      <c r="E173" s="1810"/>
      <c r="F173" s="1810"/>
      <c r="G173" s="1810"/>
      <c r="H173" s="1810"/>
      <c r="I173" s="1810"/>
      <c r="J173" s="1810"/>
      <c r="K173" s="1810"/>
      <c r="L173" s="1811"/>
      <c r="M173" s="9"/>
      <c r="N173" s="2252" t="s">
        <v>15</v>
      </c>
      <c r="O173" s="2237"/>
      <c r="P173" s="2237"/>
      <c r="Q173" s="2237"/>
      <c r="R173" s="2237"/>
      <c r="S173" s="2240"/>
      <c r="T173" s="2241"/>
      <c r="U173" s="2239"/>
      <c r="V173" s="2242"/>
      <c r="W173" s="2250"/>
      <c r="X173" s="2244"/>
      <c r="Y173" s="2244"/>
      <c r="Z173" s="2245"/>
      <c r="AA173" s="2246"/>
      <c r="AB173" s="2247"/>
      <c r="AC173" s="2248"/>
      <c r="AD173" s="2249"/>
      <c r="AE173" s="2249"/>
      <c r="AF173" s="2238"/>
      <c r="AG173" s="2264"/>
      <c r="AH173" s="918"/>
      <c r="AI173" s="2252" t="s">
        <v>15</v>
      </c>
      <c r="AJ173" s="2237"/>
      <c r="AK173" s="2237"/>
      <c r="AL173" s="2237"/>
      <c r="AM173" s="2237"/>
      <c r="AN173" s="2240"/>
      <c r="AO173" s="2241"/>
      <c r="AP173" s="2239"/>
      <c r="AQ173" s="2242"/>
      <c r="AR173" s="2250"/>
      <c r="AS173" s="2244"/>
      <c r="AT173" s="2244"/>
      <c r="AU173" s="2245"/>
      <c r="AV173" s="2246"/>
      <c r="AW173" s="2247"/>
      <c r="AX173" s="2248"/>
      <c r="AY173" s="2249"/>
      <c r="AZ173" s="2249"/>
      <c r="BA173" s="2238"/>
      <c r="BB173" s="2264"/>
      <c r="BC173" s="918"/>
      <c r="BD173" s="2252" t="s">
        <v>15</v>
      </c>
      <c r="BE173" s="2237"/>
      <c r="BF173" s="2237"/>
      <c r="BG173" s="2237"/>
      <c r="BH173" s="2237"/>
      <c r="BI173" s="2240"/>
      <c r="BJ173" s="2241"/>
      <c r="BK173" s="2239"/>
      <c r="BL173" s="2242"/>
      <c r="BM173" s="2250"/>
      <c r="BN173" s="2244"/>
      <c r="BO173" s="2244"/>
      <c r="BP173" s="2245"/>
      <c r="BQ173" s="2246"/>
      <c r="BR173" s="2247"/>
      <c r="BS173" s="2248"/>
      <c r="BT173" s="2249"/>
      <c r="BU173" s="2249"/>
      <c r="BV173" s="2238"/>
      <c r="BW173" s="2264"/>
      <c r="BY173" s="3">
        <v>1</v>
      </c>
    </row>
    <row r="174" spans="2:77" ht="21" customHeight="1">
      <c r="B174" s="2265" t="str" cm="1">
        <f t="array" ref="B174">SUMPRODUCT(--(D174:J174&lt;&gt;""), LEN(TRIM(SUBSTITUTE(D174:J174, CHAR(160), "")))) &amp; " Car."</f>
        <v>0 Car.</v>
      </c>
      <c r="C174" s="1376" t="str">
        <f>IF(ISBLANK(D174),"",LARGE(C13:C173,1)+1)</f>
        <v/>
      </c>
      <c r="D174" s="1833"/>
      <c r="E174" s="1810"/>
      <c r="F174" s="1810"/>
      <c r="G174" s="1810"/>
      <c r="H174" s="1810"/>
      <c r="I174" s="1810"/>
      <c r="J174" s="1810"/>
      <c r="K174" s="1810"/>
      <c r="L174" s="1811"/>
      <c r="M174" s="9"/>
      <c r="N174" s="2252" t="s">
        <v>15</v>
      </c>
      <c r="O174" s="2237"/>
      <c r="P174" s="2237"/>
      <c r="Q174" s="2237"/>
      <c r="R174" s="2237"/>
      <c r="S174" s="2240"/>
      <c r="T174" s="2241"/>
      <c r="U174" s="2239"/>
      <c r="V174" s="2242"/>
      <c r="W174" s="2250"/>
      <c r="X174" s="2244"/>
      <c r="Y174" s="2244"/>
      <c r="Z174" s="2245"/>
      <c r="AA174" s="2246"/>
      <c r="AB174" s="2247"/>
      <c r="AC174" s="2248"/>
      <c r="AD174" s="2249"/>
      <c r="AE174" s="2249"/>
      <c r="AF174" s="2238"/>
      <c r="AG174" s="2264"/>
      <c r="AH174" s="918"/>
      <c r="AI174" s="2252" t="s">
        <v>15</v>
      </c>
      <c r="AJ174" s="2237"/>
      <c r="AK174" s="2237"/>
      <c r="AL174" s="2237"/>
      <c r="AM174" s="2237"/>
      <c r="AN174" s="2240"/>
      <c r="AO174" s="2241"/>
      <c r="AP174" s="2239"/>
      <c r="AQ174" s="2242"/>
      <c r="AR174" s="2250"/>
      <c r="AS174" s="2244"/>
      <c r="AT174" s="2244"/>
      <c r="AU174" s="2245"/>
      <c r="AV174" s="2246"/>
      <c r="AW174" s="2247"/>
      <c r="AX174" s="2248"/>
      <c r="AY174" s="2249"/>
      <c r="AZ174" s="2249"/>
      <c r="BA174" s="2238"/>
      <c r="BB174" s="2264"/>
      <c r="BC174" s="918"/>
      <c r="BD174" s="2252" t="s">
        <v>15</v>
      </c>
      <c r="BE174" s="2237"/>
      <c r="BF174" s="2237"/>
      <c r="BG174" s="2237"/>
      <c r="BH174" s="2237"/>
      <c r="BI174" s="2240"/>
      <c r="BJ174" s="2241"/>
      <c r="BK174" s="2239"/>
      <c r="BL174" s="2242"/>
      <c r="BM174" s="2250"/>
      <c r="BN174" s="2244"/>
      <c r="BO174" s="2244"/>
      <c r="BP174" s="2245"/>
      <c r="BQ174" s="2246"/>
      <c r="BR174" s="2247"/>
      <c r="BS174" s="2248"/>
      <c r="BT174" s="2249"/>
      <c r="BU174" s="2249"/>
      <c r="BV174" s="2238"/>
      <c r="BW174" s="2264"/>
      <c r="BY174" s="3">
        <v>1</v>
      </c>
    </row>
    <row r="175" spans="2:77" ht="21" customHeight="1">
      <c r="B175" s="2265" t="str" cm="1">
        <f t="array" ref="B175">SUMPRODUCT(--(D175:J175&lt;&gt;""), LEN(TRIM(SUBSTITUTE(D175:J175, CHAR(160), "")))) &amp; " Car."</f>
        <v>0 Car.</v>
      </c>
      <c r="C175" s="1376" t="str">
        <f>IF(ISBLANK(D175),"",LARGE(C13:C174,1)+1)</f>
        <v/>
      </c>
      <c r="D175" s="1833"/>
      <c r="E175" s="1810"/>
      <c r="F175" s="1810"/>
      <c r="G175" s="1810"/>
      <c r="H175" s="1810"/>
      <c r="I175" s="1810"/>
      <c r="J175" s="1810"/>
      <c r="K175" s="1810"/>
      <c r="L175" s="1811"/>
      <c r="M175" s="9"/>
      <c r="N175" s="2252" t="s">
        <v>15</v>
      </c>
      <c r="O175" s="2237"/>
      <c r="P175" s="2237"/>
      <c r="Q175" s="2237"/>
      <c r="R175" s="2237"/>
      <c r="S175" s="2240"/>
      <c r="T175" s="2241"/>
      <c r="U175" s="2239"/>
      <c r="V175" s="2242"/>
      <c r="W175" s="2250"/>
      <c r="X175" s="2244"/>
      <c r="Y175" s="2244"/>
      <c r="Z175" s="2245"/>
      <c r="AA175" s="2246"/>
      <c r="AB175" s="2247"/>
      <c r="AC175" s="2248"/>
      <c r="AD175" s="2249"/>
      <c r="AE175" s="2249"/>
      <c r="AF175" s="2238"/>
      <c r="AG175" s="2264"/>
      <c r="AH175" s="918"/>
      <c r="AI175" s="2252" t="s">
        <v>15</v>
      </c>
      <c r="AJ175" s="2237"/>
      <c r="AK175" s="2237"/>
      <c r="AL175" s="2237"/>
      <c r="AM175" s="2237"/>
      <c r="AN175" s="2240"/>
      <c r="AO175" s="2241"/>
      <c r="AP175" s="2239"/>
      <c r="AQ175" s="2242"/>
      <c r="AR175" s="2250"/>
      <c r="AS175" s="2244"/>
      <c r="AT175" s="2244"/>
      <c r="AU175" s="2245"/>
      <c r="AV175" s="2246"/>
      <c r="AW175" s="2247"/>
      <c r="AX175" s="2248"/>
      <c r="AY175" s="2249"/>
      <c r="AZ175" s="2249"/>
      <c r="BA175" s="2238"/>
      <c r="BB175" s="2264"/>
      <c r="BC175" s="918"/>
      <c r="BD175" s="2252" t="s">
        <v>15</v>
      </c>
      <c r="BE175" s="2237"/>
      <c r="BF175" s="2237"/>
      <c r="BG175" s="2237"/>
      <c r="BH175" s="2237"/>
      <c r="BI175" s="2240"/>
      <c r="BJ175" s="2241"/>
      <c r="BK175" s="2239"/>
      <c r="BL175" s="2242"/>
      <c r="BM175" s="2250"/>
      <c r="BN175" s="2244"/>
      <c r="BO175" s="2244"/>
      <c r="BP175" s="2245"/>
      <c r="BQ175" s="2246"/>
      <c r="BR175" s="2247"/>
      <c r="BS175" s="2248"/>
      <c r="BT175" s="2249"/>
      <c r="BU175" s="2249"/>
      <c r="BV175" s="2238"/>
      <c r="BW175" s="2264"/>
      <c r="BY175" s="3">
        <v>1</v>
      </c>
    </row>
    <row r="176" spans="2:77" ht="21" customHeight="1">
      <c r="B176" s="2265" t="str" cm="1">
        <f t="array" ref="B176">SUMPRODUCT(--(D176:J176&lt;&gt;""), LEN(TRIM(SUBSTITUTE(D176:J176, CHAR(160), "")))) &amp; " Car."</f>
        <v>0 Car.</v>
      </c>
      <c r="C176" s="1376" t="str">
        <f>IF(ISBLANK(D176),"",LARGE(C13:C175,1)+1)</f>
        <v/>
      </c>
      <c r="D176" s="1833"/>
      <c r="E176" s="1810"/>
      <c r="F176" s="1810"/>
      <c r="G176" s="1810"/>
      <c r="H176" s="1810"/>
      <c r="I176" s="1810"/>
      <c r="J176" s="1810"/>
      <c r="K176" s="1810"/>
      <c r="L176" s="1811"/>
      <c r="M176" s="9"/>
      <c r="N176" s="2252" t="s">
        <v>15</v>
      </c>
      <c r="O176" s="2237"/>
      <c r="P176" s="2237"/>
      <c r="Q176" s="2237"/>
      <c r="R176" s="2237"/>
      <c r="S176" s="2240"/>
      <c r="T176" s="2241"/>
      <c r="U176" s="2239"/>
      <c r="V176" s="2242"/>
      <c r="W176" s="2250"/>
      <c r="X176" s="2244"/>
      <c r="Y176" s="2244"/>
      <c r="Z176" s="2245"/>
      <c r="AA176" s="2246"/>
      <c r="AB176" s="2247"/>
      <c r="AC176" s="2248"/>
      <c r="AD176" s="2249"/>
      <c r="AE176" s="2249"/>
      <c r="AF176" s="2238"/>
      <c r="AG176" s="2264"/>
      <c r="AH176" s="918"/>
      <c r="AI176" s="2252" t="s">
        <v>15</v>
      </c>
      <c r="AJ176" s="2237"/>
      <c r="AK176" s="2237"/>
      <c r="AL176" s="2237"/>
      <c r="AM176" s="2237"/>
      <c r="AN176" s="2240"/>
      <c r="AO176" s="2241"/>
      <c r="AP176" s="2239"/>
      <c r="AQ176" s="2242"/>
      <c r="AR176" s="2250"/>
      <c r="AS176" s="2244"/>
      <c r="AT176" s="2244"/>
      <c r="AU176" s="2245"/>
      <c r="AV176" s="2246"/>
      <c r="AW176" s="2247"/>
      <c r="AX176" s="2248"/>
      <c r="AY176" s="2249"/>
      <c r="AZ176" s="2249"/>
      <c r="BA176" s="2238"/>
      <c r="BB176" s="2264"/>
      <c r="BC176" s="918"/>
      <c r="BD176" s="2252" t="s">
        <v>15</v>
      </c>
      <c r="BE176" s="2237"/>
      <c r="BF176" s="2237"/>
      <c r="BG176" s="2237"/>
      <c r="BH176" s="2237"/>
      <c r="BI176" s="2240"/>
      <c r="BJ176" s="2241"/>
      <c r="BK176" s="2239"/>
      <c r="BL176" s="2242"/>
      <c r="BM176" s="2250"/>
      <c r="BN176" s="2244"/>
      <c r="BO176" s="2244"/>
      <c r="BP176" s="2245"/>
      <c r="BQ176" s="2246"/>
      <c r="BR176" s="2247"/>
      <c r="BS176" s="2248"/>
      <c r="BT176" s="2249"/>
      <c r="BU176" s="2249"/>
      <c r="BV176" s="2238"/>
      <c r="BW176" s="2264"/>
      <c r="BY176" s="3">
        <v>1</v>
      </c>
    </row>
    <row r="177" spans="2:77" ht="21" customHeight="1">
      <c r="B177" s="2265" t="str" cm="1">
        <f t="array" ref="B177">SUMPRODUCT(--(D177:J177&lt;&gt;""), LEN(TRIM(SUBSTITUTE(D177:J177, CHAR(160), "")))) &amp; " Car."</f>
        <v>0 Car.</v>
      </c>
      <c r="C177" s="1376" t="str">
        <f>IF(ISBLANK(D177),"",LARGE(C13:C176,1)+1)</f>
        <v/>
      </c>
      <c r="D177" s="1833"/>
      <c r="E177" s="1810"/>
      <c r="F177" s="1810"/>
      <c r="G177" s="1810"/>
      <c r="H177" s="1810"/>
      <c r="I177" s="1810"/>
      <c r="J177" s="1810"/>
      <c r="K177" s="1810"/>
      <c r="L177" s="1811"/>
      <c r="M177" s="9"/>
      <c r="N177" s="2252" t="s">
        <v>15</v>
      </c>
      <c r="O177" s="2237"/>
      <c r="P177" s="2237"/>
      <c r="Q177" s="2237"/>
      <c r="R177" s="2237"/>
      <c r="S177" s="2240"/>
      <c r="T177" s="2241"/>
      <c r="U177" s="2239"/>
      <c r="V177" s="2242"/>
      <c r="W177" s="2250"/>
      <c r="X177" s="2244"/>
      <c r="Y177" s="2244"/>
      <c r="Z177" s="2245"/>
      <c r="AA177" s="2246"/>
      <c r="AB177" s="2247"/>
      <c r="AC177" s="2248"/>
      <c r="AD177" s="2249"/>
      <c r="AE177" s="2249"/>
      <c r="AF177" s="2238"/>
      <c r="AG177" s="2264"/>
      <c r="AH177" s="918"/>
      <c r="AI177" s="2252" t="s">
        <v>15</v>
      </c>
      <c r="AJ177" s="2237"/>
      <c r="AK177" s="2237"/>
      <c r="AL177" s="2237"/>
      <c r="AM177" s="2237"/>
      <c r="AN177" s="2240"/>
      <c r="AO177" s="2241"/>
      <c r="AP177" s="2239"/>
      <c r="AQ177" s="2242"/>
      <c r="AR177" s="2250"/>
      <c r="AS177" s="2244"/>
      <c r="AT177" s="2244"/>
      <c r="AU177" s="2245"/>
      <c r="AV177" s="2246"/>
      <c r="AW177" s="2247"/>
      <c r="AX177" s="2248"/>
      <c r="AY177" s="2249"/>
      <c r="AZ177" s="2249"/>
      <c r="BA177" s="2238"/>
      <c r="BB177" s="2264"/>
      <c r="BC177" s="918"/>
      <c r="BD177" s="2252" t="s">
        <v>15</v>
      </c>
      <c r="BE177" s="2237"/>
      <c r="BF177" s="2237"/>
      <c r="BG177" s="2237"/>
      <c r="BH177" s="2237"/>
      <c r="BI177" s="2240"/>
      <c r="BJ177" s="2241"/>
      <c r="BK177" s="2239"/>
      <c r="BL177" s="2242"/>
      <c r="BM177" s="2250"/>
      <c r="BN177" s="2244"/>
      <c r="BO177" s="2244"/>
      <c r="BP177" s="2245"/>
      <c r="BQ177" s="2246"/>
      <c r="BR177" s="2247"/>
      <c r="BS177" s="2248"/>
      <c r="BT177" s="2249"/>
      <c r="BU177" s="2249"/>
      <c r="BV177" s="2238"/>
      <c r="BW177" s="2264"/>
      <c r="BY177" s="3">
        <v>1</v>
      </c>
    </row>
    <row r="178" spans="2:77" ht="21" customHeight="1">
      <c r="B178" s="2265" t="str" cm="1">
        <f t="array" ref="B178">SUMPRODUCT(--(D178:J178&lt;&gt;""), LEN(TRIM(SUBSTITUTE(D178:J178, CHAR(160), "")))) &amp; " Car."</f>
        <v>0 Car.</v>
      </c>
      <c r="C178" s="1376" t="str">
        <f>IF(ISBLANK(D178),"",LARGE(C13:C177,1)+1)</f>
        <v/>
      </c>
      <c r="D178" s="1833"/>
      <c r="E178" s="1810"/>
      <c r="F178" s="1810"/>
      <c r="G178" s="1810"/>
      <c r="H178" s="1810"/>
      <c r="I178" s="1810"/>
      <c r="J178" s="1810"/>
      <c r="K178" s="1810"/>
      <c r="L178" s="1811"/>
      <c r="M178" s="9"/>
      <c r="N178" s="2252" t="s">
        <v>15</v>
      </c>
      <c r="O178" s="2237"/>
      <c r="P178" s="2237"/>
      <c r="Q178" s="2237"/>
      <c r="R178" s="2237"/>
      <c r="S178" s="2240"/>
      <c r="T178" s="2241"/>
      <c r="U178" s="2239"/>
      <c r="V178" s="2242"/>
      <c r="W178" s="2250"/>
      <c r="X178" s="2244"/>
      <c r="Y178" s="2244"/>
      <c r="Z178" s="2245"/>
      <c r="AA178" s="2246"/>
      <c r="AB178" s="2247"/>
      <c r="AC178" s="2248"/>
      <c r="AD178" s="2249"/>
      <c r="AE178" s="2249"/>
      <c r="AF178" s="2238"/>
      <c r="AG178" s="2264"/>
      <c r="AH178" s="918"/>
      <c r="AI178" s="2252" t="s">
        <v>15</v>
      </c>
      <c r="AJ178" s="2237"/>
      <c r="AK178" s="2237"/>
      <c r="AL178" s="2237"/>
      <c r="AM178" s="2237"/>
      <c r="AN178" s="2240"/>
      <c r="AO178" s="2241"/>
      <c r="AP178" s="2239"/>
      <c r="AQ178" s="2242"/>
      <c r="AR178" s="2250"/>
      <c r="AS178" s="2244"/>
      <c r="AT178" s="2244"/>
      <c r="AU178" s="2245"/>
      <c r="AV178" s="2246"/>
      <c r="AW178" s="2247"/>
      <c r="AX178" s="2248"/>
      <c r="AY178" s="2249"/>
      <c r="AZ178" s="2249"/>
      <c r="BA178" s="2238"/>
      <c r="BB178" s="2264"/>
      <c r="BC178" s="918"/>
      <c r="BD178" s="2252" t="s">
        <v>15</v>
      </c>
      <c r="BE178" s="2237"/>
      <c r="BF178" s="2237"/>
      <c r="BG178" s="2237"/>
      <c r="BH178" s="2237"/>
      <c r="BI178" s="2240"/>
      <c r="BJ178" s="2241"/>
      <c r="BK178" s="2239"/>
      <c r="BL178" s="2242"/>
      <c r="BM178" s="2250"/>
      <c r="BN178" s="2244"/>
      <c r="BO178" s="2244"/>
      <c r="BP178" s="2245"/>
      <c r="BQ178" s="2246"/>
      <c r="BR178" s="2247"/>
      <c r="BS178" s="2248"/>
      <c r="BT178" s="2249"/>
      <c r="BU178" s="2249"/>
      <c r="BV178" s="2238"/>
      <c r="BW178" s="2264"/>
      <c r="BY178" s="3">
        <v>1</v>
      </c>
    </row>
    <row r="179" spans="2:77" ht="21" customHeight="1">
      <c r="B179" s="2265" t="str" cm="1">
        <f t="array" ref="B179">SUMPRODUCT(--(D179:J179&lt;&gt;""), LEN(TRIM(SUBSTITUTE(D179:J179, CHAR(160), "")))) &amp; " Car."</f>
        <v>0 Car.</v>
      </c>
      <c r="C179" s="1376" t="str">
        <f>IF(ISBLANK(D179),"",LARGE(C13:C178,1)+1)</f>
        <v/>
      </c>
      <c r="D179" s="1833"/>
      <c r="E179" s="1810"/>
      <c r="F179" s="1810"/>
      <c r="G179" s="1810"/>
      <c r="H179" s="1810"/>
      <c r="I179" s="1810"/>
      <c r="J179" s="1810"/>
      <c r="K179" s="1810"/>
      <c r="L179" s="1811"/>
      <c r="M179" s="9"/>
      <c r="N179" s="2252" t="s">
        <v>15</v>
      </c>
      <c r="O179" s="2237"/>
      <c r="P179" s="2237"/>
      <c r="Q179" s="2237"/>
      <c r="R179" s="2237"/>
      <c r="S179" s="2240"/>
      <c r="T179" s="2241"/>
      <c r="U179" s="2239"/>
      <c r="V179" s="2242"/>
      <c r="W179" s="2250"/>
      <c r="X179" s="2244"/>
      <c r="Y179" s="2244"/>
      <c r="Z179" s="2245"/>
      <c r="AA179" s="2246"/>
      <c r="AB179" s="2247"/>
      <c r="AC179" s="2248"/>
      <c r="AD179" s="2249"/>
      <c r="AE179" s="2249"/>
      <c r="AF179" s="2238"/>
      <c r="AG179" s="2264"/>
      <c r="AH179" s="918"/>
      <c r="AI179" s="2252" t="s">
        <v>15</v>
      </c>
      <c r="AJ179" s="2237"/>
      <c r="AK179" s="2237"/>
      <c r="AL179" s="2237"/>
      <c r="AM179" s="2237"/>
      <c r="AN179" s="2240"/>
      <c r="AO179" s="2241"/>
      <c r="AP179" s="2239"/>
      <c r="AQ179" s="2242"/>
      <c r="AR179" s="2250"/>
      <c r="AS179" s="2244"/>
      <c r="AT179" s="2244"/>
      <c r="AU179" s="2245"/>
      <c r="AV179" s="2246"/>
      <c r="AW179" s="2247"/>
      <c r="AX179" s="2248"/>
      <c r="AY179" s="2249"/>
      <c r="AZ179" s="2249"/>
      <c r="BA179" s="2238"/>
      <c r="BB179" s="2264"/>
      <c r="BC179" s="918"/>
      <c r="BD179" s="2252" t="s">
        <v>15</v>
      </c>
      <c r="BE179" s="2237"/>
      <c r="BF179" s="2237"/>
      <c r="BG179" s="2237"/>
      <c r="BH179" s="2237"/>
      <c r="BI179" s="2240"/>
      <c r="BJ179" s="2241"/>
      <c r="BK179" s="2239"/>
      <c r="BL179" s="2242"/>
      <c r="BM179" s="2250"/>
      <c r="BN179" s="2244"/>
      <c r="BO179" s="2244"/>
      <c r="BP179" s="2245"/>
      <c r="BQ179" s="2246"/>
      <c r="BR179" s="2247"/>
      <c r="BS179" s="2248"/>
      <c r="BT179" s="2249"/>
      <c r="BU179" s="2249"/>
      <c r="BV179" s="2238"/>
      <c r="BW179" s="2264"/>
      <c r="BY179" s="3">
        <v>1</v>
      </c>
    </row>
    <row r="180" spans="2:77" ht="21" customHeight="1">
      <c r="B180" s="2265" t="str" cm="1">
        <f t="array" ref="B180">SUMPRODUCT(--(D180:J180&lt;&gt;""), LEN(TRIM(SUBSTITUTE(D180:J180, CHAR(160), "")))) &amp; " Car."</f>
        <v>0 Car.</v>
      </c>
      <c r="C180" s="1376" t="str">
        <f>IF(ISBLANK(D180),"",LARGE(C13:C179,1)+1)</f>
        <v/>
      </c>
      <c r="D180" s="1833"/>
      <c r="E180" s="1810"/>
      <c r="F180" s="1810"/>
      <c r="G180" s="1810"/>
      <c r="H180" s="1810"/>
      <c r="I180" s="1810"/>
      <c r="J180" s="1810"/>
      <c r="K180" s="1810"/>
      <c r="L180" s="1811"/>
      <c r="M180" s="9"/>
      <c r="N180" s="2252" t="s">
        <v>15</v>
      </c>
      <c r="O180" s="2237"/>
      <c r="P180" s="2237"/>
      <c r="Q180" s="2237"/>
      <c r="R180" s="2237"/>
      <c r="S180" s="2240"/>
      <c r="T180" s="2241"/>
      <c r="U180" s="2239"/>
      <c r="V180" s="2242"/>
      <c r="W180" s="2250"/>
      <c r="X180" s="2244"/>
      <c r="Y180" s="2244"/>
      <c r="Z180" s="2245"/>
      <c r="AA180" s="2246"/>
      <c r="AB180" s="2247"/>
      <c r="AC180" s="2248"/>
      <c r="AD180" s="2249"/>
      <c r="AE180" s="2249"/>
      <c r="AF180" s="2238"/>
      <c r="AG180" s="2264"/>
      <c r="AH180" s="918"/>
      <c r="AI180" s="2252" t="s">
        <v>15</v>
      </c>
      <c r="AJ180" s="2237"/>
      <c r="AK180" s="2237"/>
      <c r="AL180" s="2237"/>
      <c r="AM180" s="2237"/>
      <c r="AN180" s="2240"/>
      <c r="AO180" s="2241"/>
      <c r="AP180" s="2239"/>
      <c r="AQ180" s="2242"/>
      <c r="AR180" s="2250"/>
      <c r="AS180" s="2244"/>
      <c r="AT180" s="2244"/>
      <c r="AU180" s="2245"/>
      <c r="AV180" s="2246"/>
      <c r="AW180" s="2247"/>
      <c r="AX180" s="2248"/>
      <c r="AY180" s="2249"/>
      <c r="AZ180" s="2249"/>
      <c r="BA180" s="2238"/>
      <c r="BB180" s="2264"/>
      <c r="BC180" s="918"/>
      <c r="BD180" s="2252" t="s">
        <v>15</v>
      </c>
      <c r="BE180" s="2237"/>
      <c r="BF180" s="2237"/>
      <c r="BG180" s="2237"/>
      <c r="BH180" s="2237"/>
      <c r="BI180" s="2240"/>
      <c r="BJ180" s="2241"/>
      <c r="BK180" s="2239"/>
      <c r="BL180" s="2242"/>
      <c r="BM180" s="2250"/>
      <c r="BN180" s="2244"/>
      <c r="BO180" s="2244"/>
      <c r="BP180" s="2245"/>
      <c r="BQ180" s="2246"/>
      <c r="BR180" s="2247"/>
      <c r="BS180" s="2248"/>
      <c r="BT180" s="2249"/>
      <c r="BU180" s="2249"/>
      <c r="BV180" s="2238"/>
      <c r="BW180" s="2264"/>
      <c r="BY180" s="3">
        <v>1</v>
      </c>
    </row>
    <row r="181" spans="2:77" ht="21" customHeight="1">
      <c r="B181" s="2265" t="str" cm="1">
        <f t="array" ref="B181">SUMPRODUCT(--(D181:J181&lt;&gt;""), LEN(TRIM(SUBSTITUTE(D181:J181, CHAR(160), "")))) &amp; " Car."</f>
        <v>0 Car.</v>
      </c>
      <c r="C181" s="1376" t="str">
        <f>IF(ISBLANK(D181),"",LARGE(C13:C180,1)+1)</f>
        <v/>
      </c>
      <c r="D181" s="1833"/>
      <c r="E181" s="1810"/>
      <c r="F181" s="1810"/>
      <c r="G181" s="1810"/>
      <c r="H181" s="1810"/>
      <c r="I181" s="1810"/>
      <c r="J181" s="1810"/>
      <c r="K181" s="1810"/>
      <c r="L181" s="1811"/>
      <c r="M181" s="9"/>
      <c r="N181" s="2252" t="s">
        <v>15</v>
      </c>
      <c r="O181" s="2237"/>
      <c r="P181" s="2237"/>
      <c r="Q181" s="2237"/>
      <c r="R181" s="2237"/>
      <c r="S181" s="2240"/>
      <c r="T181" s="2241"/>
      <c r="U181" s="2239"/>
      <c r="V181" s="2242"/>
      <c r="W181" s="2250"/>
      <c r="X181" s="2244"/>
      <c r="Y181" s="2244"/>
      <c r="Z181" s="2245"/>
      <c r="AA181" s="2246"/>
      <c r="AB181" s="2247"/>
      <c r="AC181" s="2248"/>
      <c r="AD181" s="2249"/>
      <c r="AE181" s="2249"/>
      <c r="AF181" s="2238"/>
      <c r="AG181" s="2264"/>
      <c r="AH181" s="918"/>
      <c r="AI181" s="2252" t="s">
        <v>15</v>
      </c>
      <c r="AJ181" s="2237"/>
      <c r="AK181" s="2237"/>
      <c r="AL181" s="2237"/>
      <c r="AM181" s="2237"/>
      <c r="AN181" s="2240"/>
      <c r="AO181" s="2241"/>
      <c r="AP181" s="2239"/>
      <c r="AQ181" s="2242"/>
      <c r="AR181" s="2250"/>
      <c r="AS181" s="2244"/>
      <c r="AT181" s="2244"/>
      <c r="AU181" s="2245"/>
      <c r="AV181" s="2246"/>
      <c r="AW181" s="2247"/>
      <c r="AX181" s="2248"/>
      <c r="AY181" s="2249"/>
      <c r="AZ181" s="2249"/>
      <c r="BA181" s="2238"/>
      <c r="BB181" s="2264"/>
      <c r="BC181" s="918"/>
      <c r="BD181" s="2252" t="s">
        <v>15</v>
      </c>
      <c r="BE181" s="2237"/>
      <c r="BF181" s="2237"/>
      <c r="BG181" s="2237"/>
      <c r="BH181" s="2237"/>
      <c r="BI181" s="2240"/>
      <c r="BJ181" s="2241"/>
      <c r="BK181" s="2239"/>
      <c r="BL181" s="2242"/>
      <c r="BM181" s="2250"/>
      <c r="BN181" s="2244"/>
      <c r="BO181" s="2244"/>
      <c r="BP181" s="2245"/>
      <c r="BQ181" s="2246"/>
      <c r="BR181" s="2247"/>
      <c r="BS181" s="2248"/>
      <c r="BT181" s="2249"/>
      <c r="BU181" s="2249"/>
      <c r="BV181" s="2238"/>
      <c r="BW181" s="2264"/>
      <c r="BY181" s="3">
        <v>1</v>
      </c>
    </row>
    <row r="182" spans="2:77" ht="21" customHeight="1">
      <c r="B182" s="2265" t="str" cm="1">
        <f t="array" ref="B182">SUMPRODUCT(--(D182:J182&lt;&gt;""), LEN(TRIM(SUBSTITUTE(D182:J182, CHAR(160), "")))) &amp; " Car."</f>
        <v>0 Car.</v>
      </c>
      <c r="C182" s="1376" t="str">
        <f>IF(ISBLANK(D182),"",LARGE(C13:C181,1)+1)</f>
        <v/>
      </c>
      <c r="D182" s="1833"/>
      <c r="E182" s="1810"/>
      <c r="F182" s="1810"/>
      <c r="G182" s="1810"/>
      <c r="H182" s="1810"/>
      <c r="I182" s="1810"/>
      <c r="J182" s="1810"/>
      <c r="K182" s="1810"/>
      <c r="L182" s="1811"/>
      <c r="M182" s="9"/>
      <c r="N182" s="2252" t="s">
        <v>15</v>
      </c>
      <c r="O182" s="2237"/>
      <c r="P182" s="2237"/>
      <c r="Q182" s="2237"/>
      <c r="R182" s="2237"/>
      <c r="S182" s="2240"/>
      <c r="T182" s="2241"/>
      <c r="U182" s="2239"/>
      <c r="V182" s="2242"/>
      <c r="W182" s="2250"/>
      <c r="X182" s="2244"/>
      <c r="Y182" s="2244"/>
      <c r="Z182" s="2245"/>
      <c r="AA182" s="2246"/>
      <c r="AB182" s="2247"/>
      <c r="AC182" s="2248"/>
      <c r="AD182" s="2249"/>
      <c r="AE182" s="2249"/>
      <c r="AF182" s="2238"/>
      <c r="AG182" s="2264"/>
      <c r="AH182" s="918"/>
      <c r="AI182" s="2252" t="s">
        <v>15</v>
      </c>
      <c r="AJ182" s="2237"/>
      <c r="AK182" s="2237"/>
      <c r="AL182" s="2237"/>
      <c r="AM182" s="2237"/>
      <c r="AN182" s="2240"/>
      <c r="AO182" s="2241"/>
      <c r="AP182" s="2239"/>
      <c r="AQ182" s="2242"/>
      <c r="AR182" s="2250"/>
      <c r="AS182" s="2244"/>
      <c r="AT182" s="2244"/>
      <c r="AU182" s="2245"/>
      <c r="AV182" s="2246"/>
      <c r="AW182" s="2247"/>
      <c r="AX182" s="2248"/>
      <c r="AY182" s="2249"/>
      <c r="AZ182" s="2249"/>
      <c r="BA182" s="2238"/>
      <c r="BB182" s="2264"/>
      <c r="BC182" s="918"/>
      <c r="BD182" s="2252" t="s">
        <v>15</v>
      </c>
      <c r="BE182" s="2237"/>
      <c r="BF182" s="2237"/>
      <c r="BG182" s="2237"/>
      <c r="BH182" s="2237"/>
      <c r="BI182" s="2240"/>
      <c r="BJ182" s="2241"/>
      <c r="BK182" s="2239"/>
      <c r="BL182" s="2242"/>
      <c r="BM182" s="2250"/>
      <c r="BN182" s="2244"/>
      <c r="BO182" s="2244"/>
      <c r="BP182" s="2245"/>
      <c r="BQ182" s="2246"/>
      <c r="BR182" s="2247"/>
      <c r="BS182" s="2248"/>
      <c r="BT182" s="2249"/>
      <c r="BU182" s="2249"/>
      <c r="BV182" s="2238"/>
      <c r="BW182" s="2264"/>
      <c r="BY182" s="3">
        <v>1</v>
      </c>
    </row>
    <row r="183" spans="2:77" ht="21" customHeight="1">
      <c r="B183" s="2265" t="str" cm="1">
        <f t="array" ref="B183">SUMPRODUCT(--(D183:J183&lt;&gt;""), LEN(TRIM(SUBSTITUTE(D183:J183, CHAR(160), "")))) &amp; " Car."</f>
        <v>0 Car.</v>
      </c>
      <c r="C183" s="1376" t="str">
        <f>IF(ISBLANK(D183),"",LARGE(C13:C182,1)+1)</f>
        <v/>
      </c>
      <c r="D183" s="1833"/>
      <c r="E183" s="1810"/>
      <c r="F183" s="1810"/>
      <c r="G183" s="1810"/>
      <c r="H183" s="1810"/>
      <c r="I183" s="1810"/>
      <c r="J183" s="1810"/>
      <c r="K183" s="1810"/>
      <c r="L183" s="1811"/>
      <c r="M183" s="9"/>
      <c r="N183" s="2252" t="s">
        <v>15</v>
      </c>
      <c r="O183" s="2237"/>
      <c r="P183" s="2237"/>
      <c r="Q183" s="2237"/>
      <c r="R183" s="2237"/>
      <c r="S183" s="2240"/>
      <c r="T183" s="2241"/>
      <c r="U183" s="2239"/>
      <c r="V183" s="2242"/>
      <c r="W183" s="2250"/>
      <c r="X183" s="2244"/>
      <c r="Y183" s="2244"/>
      <c r="Z183" s="2245"/>
      <c r="AA183" s="2246"/>
      <c r="AB183" s="2247"/>
      <c r="AC183" s="2248"/>
      <c r="AD183" s="2249"/>
      <c r="AE183" s="2249"/>
      <c r="AF183" s="2238"/>
      <c r="AG183" s="2264"/>
      <c r="AH183" s="918"/>
      <c r="AI183" s="2252" t="s">
        <v>15</v>
      </c>
      <c r="AJ183" s="2237"/>
      <c r="AK183" s="2237"/>
      <c r="AL183" s="2237"/>
      <c r="AM183" s="2237"/>
      <c r="AN183" s="2240"/>
      <c r="AO183" s="2241"/>
      <c r="AP183" s="2239"/>
      <c r="AQ183" s="2242"/>
      <c r="AR183" s="2250"/>
      <c r="AS183" s="2244"/>
      <c r="AT183" s="2244"/>
      <c r="AU183" s="2245"/>
      <c r="AV183" s="2246"/>
      <c r="AW183" s="2247"/>
      <c r="AX183" s="2248"/>
      <c r="AY183" s="2249"/>
      <c r="AZ183" s="2249"/>
      <c r="BA183" s="2238"/>
      <c r="BB183" s="2264"/>
      <c r="BC183" s="918"/>
      <c r="BD183" s="2252" t="s">
        <v>15</v>
      </c>
      <c r="BE183" s="2237"/>
      <c r="BF183" s="2237"/>
      <c r="BG183" s="2237"/>
      <c r="BH183" s="2237"/>
      <c r="BI183" s="2240"/>
      <c r="BJ183" s="2241"/>
      <c r="BK183" s="2239"/>
      <c r="BL183" s="2242"/>
      <c r="BM183" s="2250"/>
      <c r="BN183" s="2244"/>
      <c r="BO183" s="2244"/>
      <c r="BP183" s="2245"/>
      <c r="BQ183" s="2246"/>
      <c r="BR183" s="2247"/>
      <c r="BS183" s="2248"/>
      <c r="BT183" s="2249"/>
      <c r="BU183" s="2249"/>
      <c r="BV183" s="2238"/>
      <c r="BW183" s="2264"/>
      <c r="BY183" s="3">
        <v>1</v>
      </c>
    </row>
    <row r="184" spans="2:77" ht="21" customHeight="1">
      <c r="B184" s="2265" t="str" cm="1">
        <f t="array" ref="B184">SUMPRODUCT(--(D184:J184&lt;&gt;""), LEN(TRIM(SUBSTITUTE(D184:J184, CHAR(160), "")))) &amp; " Car."</f>
        <v>0 Car.</v>
      </c>
      <c r="C184" s="1376" t="str">
        <f>IF(ISBLANK(D184),"",LARGE(C13:C183,1)+1)</f>
        <v/>
      </c>
      <c r="D184" s="1833"/>
      <c r="E184" s="1810"/>
      <c r="F184" s="1810"/>
      <c r="G184" s="1810"/>
      <c r="H184" s="1810"/>
      <c r="I184" s="1810"/>
      <c r="J184" s="1810"/>
      <c r="K184" s="1810"/>
      <c r="L184" s="1811"/>
      <c r="M184" s="9"/>
      <c r="N184" s="2252" t="s">
        <v>15</v>
      </c>
      <c r="O184" s="2237"/>
      <c r="P184" s="2237"/>
      <c r="Q184" s="2237"/>
      <c r="R184" s="2237"/>
      <c r="S184" s="2240"/>
      <c r="T184" s="2241"/>
      <c r="U184" s="2239"/>
      <c r="V184" s="2242"/>
      <c r="W184" s="2250"/>
      <c r="X184" s="2244"/>
      <c r="Y184" s="2244"/>
      <c r="Z184" s="2245"/>
      <c r="AA184" s="2246"/>
      <c r="AB184" s="2247"/>
      <c r="AC184" s="2248"/>
      <c r="AD184" s="2249"/>
      <c r="AE184" s="2249"/>
      <c r="AF184" s="2238"/>
      <c r="AG184" s="2264"/>
      <c r="AH184" s="918"/>
      <c r="AI184" s="2252" t="s">
        <v>15</v>
      </c>
      <c r="AJ184" s="2237"/>
      <c r="AK184" s="2237"/>
      <c r="AL184" s="2237"/>
      <c r="AM184" s="2237"/>
      <c r="AN184" s="2240"/>
      <c r="AO184" s="2241"/>
      <c r="AP184" s="2239"/>
      <c r="AQ184" s="2242"/>
      <c r="AR184" s="2250"/>
      <c r="AS184" s="2244"/>
      <c r="AT184" s="2244"/>
      <c r="AU184" s="2245"/>
      <c r="AV184" s="2246"/>
      <c r="AW184" s="2247"/>
      <c r="AX184" s="2248"/>
      <c r="AY184" s="2249"/>
      <c r="AZ184" s="2249"/>
      <c r="BA184" s="2238"/>
      <c r="BB184" s="2264"/>
      <c r="BC184" s="918"/>
      <c r="BD184" s="2252" t="s">
        <v>15</v>
      </c>
      <c r="BE184" s="2237"/>
      <c r="BF184" s="2237"/>
      <c r="BG184" s="2237"/>
      <c r="BH184" s="2237"/>
      <c r="BI184" s="2240"/>
      <c r="BJ184" s="2241"/>
      <c r="BK184" s="2239"/>
      <c r="BL184" s="2242"/>
      <c r="BM184" s="2250"/>
      <c r="BN184" s="2244"/>
      <c r="BO184" s="2244"/>
      <c r="BP184" s="2245"/>
      <c r="BQ184" s="2246"/>
      <c r="BR184" s="2247"/>
      <c r="BS184" s="2248"/>
      <c r="BT184" s="2249"/>
      <c r="BU184" s="2249"/>
      <c r="BV184" s="2238"/>
      <c r="BW184" s="2264"/>
      <c r="BY184" s="3">
        <v>1</v>
      </c>
    </row>
    <row r="185" spans="2:77" ht="21" customHeight="1">
      <c r="B185" s="2265" t="str" cm="1">
        <f t="array" ref="B185">SUMPRODUCT(--(D185:J185&lt;&gt;""), LEN(TRIM(SUBSTITUTE(D185:J185, CHAR(160), "")))) &amp; " Car."</f>
        <v>0 Car.</v>
      </c>
      <c r="C185" s="1376" t="str">
        <f>IF(ISBLANK(D185),"",LARGE(C13:C184,1)+1)</f>
        <v/>
      </c>
      <c r="D185" s="1833"/>
      <c r="E185" s="1810"/>
      <c r="F185" s="1810"/>
      <c r="G185" s="1810"/>
      <c r="H185" s="1810"/>
      <c r="I185" s="1810"/>
      <c r="J185" s="1810"/>
      <c r="K185" s="1810"/>
      <c r="L185" s="1811"/>
      <c r="M185" s="9"/>
      <c r="N185" s="2252" t="s">
        <v>15</v>
      </c>
      <c r="O185" s="2237"/>
      <c r="P185" s="2237"/>
      <c r="Q185" s="2237"/>
      <c r="R185" s="2237"/>
      <c r="S185" s="2240"/>
      <c r="T185" s="2241"/>
      <c r="U185" s="2239"/>
      <c r="V185" s="2242"/>
      <c r="W185" s="2250"/>
      <c r="X185" s="2244"/>
      <c r="Y185" s="2244"/>
      <c r="Z185" s="2245"/>
      <c r="AA185" s="2246"/>
      <c r="AB185" s="2247"/>
      <c r="AC185" s="2248"/>
      <c r="AD185" s="2249"/>
      <c r="AE185" s="2249"/>
      <c r="AF185" s="2238"/>
      <c r="AG185" s="2264"/>
      <c r="AH185" s="918"/>
      <c r="AI185" s="2252" t="s">
        <v>15</v>
      </c>
      <c r="AJ185" s="2237"/>
      <c r="AK185" s="2237"/>
      <c r="AL185" s="2237"/>
      <c r="AM185" s="2237"/>
      <c r="AN185" s="2240"/>
      <c r="AO185" s="2241"/>
      <c r="AP185" s="2239"/>
      <c r="AQ185" s="2242"/>
      <c r="AR185" s="2250"/>
      <c r="AS185" s="2244"/>
      <c r="AT185" s="2244"/>
      <c r="AU185" s="2245"/>
      <c r="AV185" s="2246"/>
      <c r="AW185" s="2247"/>
      <c r="AX185" s="2248"/>
      <c r="AY185" s="2249"/>
      <c r="AZ185" s="2249"/>
      <c r="BA185" s="2238"/>
      <c r="BB185" s="2264"/>
      <c r="BC185" s="918"/>
      <c r="BD185" s="2252" t="s">
        <v>15</v>
      </c>
      <c r="BE185" s="2237"/>
      <c r="BF185" s="2237"/>
      <c r="BG185" s="2237"/>
      <c r="BH185" s="2237"/>
      <c r="BI185" s="2240"/>
      <c r="BJ185" s="2241"/>
      <c r="BK185" s="2239"/>
      <c r="BL185" s="2242"/>
      <c r="BM185" s="2250"/>
      <c r="BN185" s="2244"/>
      <c r="BO185" s="2244"/>
      <c r="BP185" s="2245"/>
      <c r="BQ185" s="2246"/>
      <c r="BR185" s="2247"/>
      <c r="BS185" s="2248"/>
      <c r="BT185" s="2249"/>
      <c r="BU185" s="2249"/>
      <c r="BV185" s="2238"/>
      <c r="BW185" s="2264"/>
      <c r="BY185" s="3">
        <v>1</v>
      </c>
    </row>
    <row r="186" spans="2:77" ht="21" customHeight="1">
      <c r="B186" s="2265" t="str" cm="1">
        <f t="array" ref="B186">SUMPRODUCT(--(D186:J186&lt;&gt;""), LEN(TRIM(SUBSTITUTE(D186:J186, CHAR(160), "")))) &amp; " Car."</f>
        <v>0 Car.</v>
      </c>
      <c r="C186" s="1376" t="str">
        <f>IF(ISBLANK(D186),"",LARGE(C13:C185,1)+1)</f>
        <v/>
      </c>
      <c r="D186" s="1833"/>
      <c r="E186" s="1810"/>
      <c r="F186" s="1810"/>
      <c r="G186" s="1810"/>
      <c r="H186" s="1810"/>
      <c r="I186" s="1810"/>
      <c r="J186" s="1810"/>
      <c r="K186" s="1810"/>
      <c r="L186" s="1811"/>
      <c r="M186" s="9"/>
      <c r="N186" s="2252" t="s">
        <v>15</v>
      </c>
      <c r="O186" s="2237"/>
      <c r="P186" s="2237"/>
      <c r="Q186" s="2237"/>
      <c r="R186" s="2237"/>
      <c r="S186" s="2240"/>
      <c r="T186" s="2241"/>
      <c r="U186" s="2239"/>
      <c r="V186" s="2242"/>
      <c r="W186" s="2250"/>
      <c r="X186" s="2244"/>
      <c r="Y186" s="2244"/>
      <c r="Z186" s="2245"/>
      <c r="AA186" s="2246"/>
      <c r="AB186" s="2247"/>
      <c r="AC186" s="2248"/>
      <c r="AD186" s="2249"/>
      <c r="AE186" s="2249"/>
      <c r="AF186" s="2238"/>
      <c r="AG186" s="2264"/>
      <c r="AH186" s="918"/>
      <c r="AI186" s="2252" t="s">
        <v>15</v>
      </c>
      <c r="AJ186" s="2237"/>
      <c r="AK186" s="2237"/>
      <c r="AL186" s="2237"/>
      <c r="AM186" s="2237"/>
      <c r="AN186" s="2240"/>
      <c r="AO186" s="2241"/>
      <c r="AP186" s="2239"/>
      <c r="AQ186" s="2242"/>
      <c r="AR186" s="2250"/>
      <c r="AS186" s="2244"/>
      <c r="AT186" s="2244"/>
      <c r="AU186" s="2245"/>
      <c r="AV186" s="2246"/>
      <c r="AW186" s="2247"/>
      <c r="AX186" s="2248"/>
      <c r="AY186" s="2249"/>
      <c r="AZ186" s="2249"/>
      <c r="BA186" s="2238"/>
      <c r="BB186" s="2264"/>
      <c r="BC186" s="918"/>
      <c r="BD186" s="2252" t="s">
        <v>15</v>
      </c>
      <c r="BE186" s="2237"/>
      <c r="BF186" s="2237"/>
      <c r="BG186" s="2237"/>
      <c r="BH186" s="2237"/>
      <c r="BI186" s="2240"/>
      <c r="BJ186" s="2241"/>
      <c r="BK186" s="2239"/>
      <c r="BL186" s="2242"/>
      <c r="BM186" s="2250"/>
      <c r="BN186" s="2244"/>
      <c r="BO186" s="2244"/>
      <c r="BP186" s="2245"/>
      <c r="BQ186" s="2246"/>
      <c r="BR186" s="2247"/>
      <c r="BS186" s="2248"/>
      <c r="BT186" s="2249"/>
      <c r="BU186" s="2249"/>
      <c r="BV186" s="2238"/>
      <c r="BW186" s="2264"/>
      <c r="BY186" s="3">
        <v>1</v>
      </c>
    </row>
    <row r="187" spans="2:77" ht="21" customHeight="1">
      <c r="B187" s="2265" t="str" cm="1">
        <f t="array" ref="B187">SUMPRODUCT(--(D187:J187&lt;&gt;""), LEN(TRIM(SUBSTITUTE(D187:J187, CHAR(160), "")))) &amp; " Car."</f>
        <v>0 Car.</v>
      </c>
      <c r="C187" s="1376" t="str">
        <f>IF(ISBLANK(D187),"",LARGE(C13:C186,1)+1)</f>
        <v/>
      </c>
      <c r="D187" s="1833"/>
      <c r="E187" s="1810"/>
      <c r="F187" s="1810"/>
      <c r="G187" s="1810"/>
      <c r="H187" s="1810"/>
      <c r="I187" s="1810"/>
      <c r="J187" s="1810"/>
      <c r="K187" s="1810"/>
      <c r="L187" s="1811"/>
      <c r="M187" s="9"/>
      <c r="N187" s="2252" t="s">
        <v>15</v>
      </c>
      <c r="O187" s="2237"/>
      <c r="P187" s="2237"/>
      <c r="Q187" s="2237"/>
      <c r="R187" s="2237"/>
      <c r="S187" s="2240"/>
      <c r="T187" s="2241"/>
      <c r="U187" s="2239"/>
      <c r="V187" s="2242"/>
      <c r="W187" s="2250"/>
      <c r="X187" s="2244"/>
      <c r="Y187" s="2244"/>
      <c r="Z187" s="2245"/>
      <c r="AA187" s="2246"/>
      <c r="AB187" s="2247"/>
      <c r="AC187" s="2248"/>
      <c r="AD187" s="2249"/>
      <c r="AE187" s="2249"/>
      <c r="AF187" s="2238"/>
      <c r="AG187" s="2264"/>
      <c r="AH187" s="918"/>
      <c r="AI187" s="2252" t="s">
        <v>15</v>
      </c>
      <c r="AJ187" s="2237"/>
      <c r="AK187" s="2237"/>
      <c r="AL187" s="2237"/>
      <c r="AM187" s="2237"/>
      <c r="AN187" s="2240"/>
      <c r="AO187" s="2241"/>
      <c r="AP187" s="2239"/>
      <c r="AQ187" s="2242"/>
      <c r="AR187" s="2250"/>
      <c r="AS187" s="2244"/>
      <c r="AT187" s="2244"/>
      <c r="AU187" s="2245"/>
      <c r="AV187" s="2246"/>
      <c r="AW187" s="2247"/>
      <c r="AX187" s="2248"/>
      <c r="AY187" s="2249"/>
      <c r="AZ187" s="2249"/>
      <c r="BA187" s="2238"/>
      <c r="BB187" s="2264"/>
      <c r="BC187" s="918"/>
      <c r="BD187" s="2252" t="s">
        <v>15</v>
      </c>
      <c r="BE187" s="2237"/>
      <c r="BF187" s="2237"/>
      <c r="BG187" s="2237"/>
      <c r="BH187" s="2237"/>
      <c r="BI187" s="2240"/>
      <c r="BJ187" s="2241"/>
      <c r="BK187" s="2239"/>
      <c r="BL187" s="2242"/>
      <c r="BM187" s="2250"/>
      <c r="BN187" s="2244"/>
      <c r="BO187" s="2244"/>
      <c r="BP187" s="2245"/>
      <c r="BQ187" s="2246"/>
      <c r="BR187" s="2247"/>
      <c r="BS187" s="2248"/>
      <c r="BT187" s="2249"/>
      <c r="BU187" s="2249"/>
      <c r="BV187" s="2238"/>
      <c r="BW187" s="2264"/>
      <c r="BY187" s="3">
        <v>1</v>
      </c>
    </row>
    <row r="188" spans="2:77" ht="21" customHeight="1">
      <c r="B188" s="2265" t="str" cm="1">
        <f t="array" ref="B188">SUMPRODUCT(--(D188:J188&lt;&gt;""), LEN(TRIM(SUBSTITUTE(D188:J188, CHAR(160), "")))) &amp; " Car."</f>
        <v>0 Car.</v>
      </c>
      <c r="C188" s="1376" t="str">
        <f>IF(ISBLANK(D188),"",LARGE(C13:C187,1)+1)</f>
        <v/>
      </c>
      <c r="D188" s="1833"/>
      <c r="E188" s="1810"/>
      <c r="F188" s="1810"/>
      <c r="G188" s="1810"/>
      <c r="H188" s="1810"/>
      <c r="I188" s="1810"/>
      <c r="J188" s="1810"/>
      <c r="K188" s="1810"/>
      <c r="L188" s="1811"/>
      <c r="M188" s="9"/>
      <c r="N188" s="2252" t="s">
        <v>15</v>
      </c>
      <c r="O188" s="2237"/>
      <c r="P188" s="2237"/>
      <c r="Q188" s="2237"/>
      <c r="R188" s="2237"/>
      <c r="S188" s="2240"/>
      <c r="T188" s="2241"/>
      <c r="U188" s="2239"/>
      <c r="V188" s="2242"/>
      <c r="W188" s="2250"/>
      <c r="X188" s="2244"/>
      <c r="Y188" s="2244"/>
      <c r="Z188" s="2245"/>
      <c r="AA188" s="2246"/>
      <c r="AB188" s="2247"/>
      <c r="AC188" s="2248"/>
      <c r="AD188" s="2249"/>
      <c r="AE188" s="2249"/>
      <c r="AF188" s="2238"/>
      <c r="AG188" s="2264"/>
      <c r="AH188" s="918"/>
      <c r="AI188" s="2252" t="s">
        <v>15</v>
      </c>
      <c r="AJ188" s="2237"/>
      <c r="AK188" s="2237"/>
      <c r="AL188" s="2237"/>
      <c r="AM188" s="2237"/>
      <c r="AN188" s="2240"/>
      <c r="AO188" s="2241"/>
      <c r="AP188" s="2239"/>
      <c r="AQ188" s="2242"/>
      <c r="AR188" s="2250"/>
      <c r="AS188" s="2244"/>
      <c r="AT188" s="2244"/>
      <c r="AU188" s="2245"/>
      <c r="AV188" s="2246"/>
      <c r="AW188" s="2247"/>
      <c r="AX188" s="2248"/>
      <c r="AY188" s="2249"/>
      <c r="AZ188" s="2249"/>
      <c r="BA188" s="2238"/>
      <c r="BB188" s="2264"/>
      <c r="BC188" s="918"/>
      <c r="BD188" s="2252" t="s">
        <v>15</v>
      </c>
      <c r="BE188" s="2237"/>
      <c r="BF188" s="2237"/>
      <c r="BG188" s="2237"/>
      <c r="BH188" s="2237"/>
      <c r="BI188" s="2240"/>
      <c r="BJ188" s="2241"/>
      <c r="BK188" s="2239"/>
      <c r="BL188" s="2242"/>
      <c r="BM188" s="2250"/>
      <c r="BN188" s="2244"/>
      <c r="BO188" s="2244"/>
      <c r="BP188" s="2245"/>
      <c r="BQ188" s="2246"/>
      <c r="BR188" s="2247"/>
      <c r="BS188" s="2248"/>
      <c r="BT188" s="2249"/>
      <c r="BU188" s="2249"/>
      <c r="BV188" s="2238"/>
      <c r="BW188" s="2264"/>
      <c r="BY188" s="3">
        <v>1</v>
      </c>
    </row>
    <row r="189" spans="2:77" ht="21" customHeight="1">
      <c r="B189" s="2265" t="str" cm="1">
        <f t="array" ref="B189">SUMPRODUCT(--(D189:J189&lt;&gt;""), LEN(TRIM(SUBSTITUTE(D189:J189, CHAR(160), "")))) &amp; " Car."</f>
        <v>0 Car.</v>
      </c>
      <c r="C189" s="1376" t="str">
        <f>IF(ISBLANK(D189),"",LARGE(C13:C188,1)+1)</f>
        <v/>
      </c>
      <c r="D189" s="1833"/>
      <c r="E189" s="1810"/>
      <c r="F189" s="1810"/>
      <c r="G189" s="1810"/>
      <c r="H189" s="1810"/>
      <c r="I189" s="1810"/>
      <c r="J189" s="1810"/>
      <c r="K189" s="1810"/>
      <c r="L189" s="1811"/>
      <c r="M189" s="9"/>
      <c r="N189" s="2252" t="s">
        <v>15</v>
      </c>
      <c r="O189" s="2237"/>
      <c r="P189" s="2237"/>
      <c r="Q189" s="2237"/>
      <c r="R189" s="2237"/>
      <c r="S189" s="2240"/>
      <c r="T189" s="2241"/>
      <c r="U189" s="2239"/>
      <c r="V189" s="2242"/>
      <c r="W189" s="2250"/>
      <c r="X189" s="2244"/>
      <c r="Y189" s="2244"/>
      <c r="Z189" s="2245"/>
      <c r="AA189" s="2246"/>
      <c r="AB189" s="2247"/>
      <c r="AC189" s="2248"/>
      <c r="AD189" s="2249"/>
      <c r="AE189" s="2249"/>
      <c r="AF189" s="2238"/>
      <c r="AG189" s="2264"/>
      <c r="AH189" s="918"/>
      <c r="AI189" s="2252" t="s">
        <v>15</v>
      </c>
      <c r="AJ189" s="2237"/>
      <c r="AK189" s="2237"/>
      <c r="AL189" s="2237"/>
      <c r="AM189" s="2237"/>
      <c r="AN189" s="2240"/>
      <c r="AO189" s="2241"/>
      <c r="AP189" s="2239"/>
      <c r="AQ189" s="2242"/>
      <c r="AR189" s="2250"/>
      <c r="AS189" s="2244"/>
      <c r="AT189" s="2244"/>
      <c r="AU189" s="2245"/>
      <c r="AV189" s="2246"/>
      <c r="AW189" s="2247"/>
      <c r="AX189" s="2248"/>
      <c r="AY189" s="2249"/>
      <c r="AZ189" s="2249"/>
      <c r="BA189" s="2238"/>
      <c r="BB189" s="2264"/>
      <c r="BC189" s="918"/>
      <c r="BD189" s="2252" t="s">
        <v>15</v>
      </c>
      <c r="BE189" s="2237"/>
      <c r="BF189" s="2237"/>
      <c r="BG189" s="2237"/>
      <c r="BH189" s="2237"/>
      <c r="BI189" s="2240"/>
      <c r="BJ189" s="2241"/>
      <c r="BK189" s="2239"/>
      <c r="BL189" s="2242"/>
      <c r="BM189" s="2250"/>
      <c r="BN189" s="2244"/>
      <c r="BO189" s="2244"/>
      <c r="BP189" s="2245"/>
      <c r="BQ189" s="2246"/>
      <c r="BR189" s="2247"/>
      <c r="BS189" s="2248"/>
      <c r="BT189" s="2249"/>
      <c r="BU189" s="2249"/>
      <c r="BV189" s="2238"/>
      <c r="BW189" s="2264"/>
      <c r="BY189" s="3">
        <v>1</v>
      </c>
    </row>
    <row r="190" spans="2:77" ht="21" customHeight="1">
      <c r="B190" s="2265" t="str" cm="1">
        <f t="array" ref="B190">SUMPRODUCT(--(D190:J190&lt;&gt;""), LEN(TRIM(SUBSTITUTE(D190:J190, CHAR(160), "")))) &amp; " Car."</f>
        <v>0 Car.</v>
      </c>
      <c r="C190" s="1376" t="str">
        <f>IF(ISBLANK(D190),"",LARGE(C13:C189,1)+1)</f>
        <v/>
      </c>
      <c r="D190" s="1833"/>
      <c r="E190" s="1810"/>
      <c r="F190" s="1810"/>
      <c r="G190" s="1810"/>
      <c r="H190" s="1810"/>
      <c r="I190" s="1810"/>
      <c r="J190" s="1810"/>
      <c r="K190" s="1810"/>
      <c r="L190" s="1811"/>
      <c r="M190" s="9"/>
      <c r="N190" s="2252" t="s">
        <v>15</v>
      </c>
      <c r="O190" s="2237"/>
      <c r="P190" s="2237"/>
      <c r="Q190" s="2237"/>
      <c r="R190" s="2237"/>
      <c r="S190" s="2240"/>
      <c r="T190" s="2241"/>
      <c r="U190" s="2239"/>
      <c r="V190" s="2242"/>
      <c r="W190" s="2250"/>
      <c r="X190" s="2244"/>
      <c r="Y190" s="2244"/>
      <c r="Z190" s="2245"/>
      <c r="AA190" s="2246"/>
      <c r="AB190" s="2247"/>
      <c r="AC190" s="2248"/>
      <c r="AD190" s="2249"/>
      <c r="AE190" s="2249"/>
      <c r="AF190" s="2238"/>
      <c r="AG190" s="2264"/>
      <c r="AH190" s="918"/>
      <c r="AI190" s="2252" t="s">
        <v>15</v>
      </c>
      <c r="AJ190" s="2237"/>
      <c r="AK190" s="2237"/>
      <c r="AL190" s="2237"/>
      <c r="AM190" s="2237"/>
      <c r="AN190" s="2240"/>
      <c r="AO190" s="2241"/>
      <c r="AP190" s="2239"/>
      <c r="AQ190" s="2242"/>
      <c r="AR190" s="2250"/>
      <c r="AS190" s="2244"/>
      <c r="AT190" s="2244"/>
      <c r="AU190" s="2245"/>
      <c r="AV190" s="2246"/>
      <c r="AW190" s="2247"/>
      <c r="AX190" s="2248"/>
      <c r="AY190" s="2249"/>
      <c r="AZ190" s="2249"/>
      <c r="BA190" s="2238"/>
      <c r="BB190" s="2264"/>
      <c r="BC190" s="918"/>
      <c r="BD190" s="2252" t="s">
        <v>15</v>
      </c>
      <c r="BE190" s="2237"/>
      <c r="BF190" s="2237"/>
      <c r="BG190" s="2237"/>
      <c r="BH190" s="2237"/>
      <c r="BI190" s="2240"/>
      <c r="BJ190" s="2241"/>
      <c r="BK190" s="2239"/>
      <c r="BL190" s="2242"/>
      <c r="BM190" s="2250"/>
      <c r="BN190" s="2244"/>
      <c r="BO190" s="2244"/>
      <c r="BP190" s="2245"/>
      <c r="BQ190" s="2246"/>
      <c r="BR190" s="2247"/>
      <c r="BS190" s="2248"/>
      <c r="BT190" s="2249"/>
      <c r="BU190" s="2249"/>
      <c r="BV190" s="2238"/>
      <c r="BW190" s="2264"/>
      <c r="BY190" s="3">
        <v>1</v>
      </c>
    </row>
    <row r="191" spans="2:77" ht="21" customHeight="1">
      <c r="B191" s="2265" t="str" cm="1">
        <f t="array" ref="B191">SUMPRODUCT(--(D191:J191&lt;&gt;""), LEN(TRIM(SUBSTITUTE(D191:J191, CHAR(160), "")))) &amp; " Car."</f>
        <v>0 Car.</v>
      </c>
      <c r="C191" s="1376" t="str">
        <f>IF(ISBLANK(D191),"",LARGE(C13:C190,1)+1)</f>
        <v/>
      </c>
      <c r="D191" s="1833"/>
      <c r="E191" s="1810"/>
      <c r="F191" s="1810"/>
      <c r="G191" s="1810"/>
      <c r="H191" s="1810"/>
      <c r="I191" s="1810"/>
      <c r="J191" s="1810"/>
      <c r="K191" s="1810"/>
      <c r="L191" s="1811"/>
      <c r="M191" s="9"/>
      <c r="N191" s="2252" t="s">
        <v>15</v>
      </c>
      <c r="O191" s="2237"/>
      <c r="P191" s="2237"/>
      <c r="Q191" s="2237"/>
      <c r="R191" s="2237"/>
      <c r="S191" s="2240"/>
      <c r="T191" s="2241"/>
      <c r="U191" s="2239"/>
      <c r="V191" s="2242"/>
      <c r="W191" s="2250"/>
      <c r="X191" s="2244"/>
      <c r="Y191" s="2244"/>
      <c r="Z191" s="2245"/>
      <c r="AA191" s="2246"/>
      <c r="AB191" s="2247"/>
      <c r="AC191" s="2248"/>
      <c r="AD191" s="2249"/>
      <c r="AE191" s="2249"/>
      <c r="AF191" s="2238"/>
      <c r="AG191" s="2264"/>
      <c r="AH191" s="918"/>
      <c r="AI191" s="2252" t="s">
        <v>15</v>
      </c>
      <c r="AJ191" s="2237"/>
      <c r="AK191" s="2237"/>
      <c r="AL191" s="2237"/>
      <c r="AM191" s="2237"/>
      <c r="AN191" s="2240"/>
      <c r="AO191" s="2241"/>
      <c r="AP191" s="2239"/>
      <c r="AQ191" s="2242"/>
      <c r="AR191" s="2250"/>
      <c r="AS191" s="2244"/>
      <c r="AT191" s="2244"/>
      <c r="AU191" s="2245"/>
      <c r="AV191" s="2246"/>
      <c r="AW191" s="2247"/>
      <c r="AX191" s="2248"/>
      <c r="AY191" s="2249"/>
      <c r="AZ191" s="2249"/>
      <c r="BA191" s="2238"/>
      <c r="BB191" s="2264"/>
      <c r="BC191" s="918"/>
      <c r="BD191" s="2252" t="s">
        <v>15</v>
      </c>
      <c r="BE191" s="2237"/>
      <c r="BF191" s="2237"/>
      <c r="BG191" s="2237"/>
      <c r="BH191" s="2237"/>
      <c r="BI191" s="2240"/>
      <c r="BJ191" s="2241"/>
      <c r="BK191" s="2239"/>
      <c r="BL191" s="2242"/>
      <c r="BM191" s="2250"/>
      <c r="BN191" s="2244"/>
      <c r="BO191" s="2244"/>
      <c r="BP191" s="2245"/>
      <c r="BQ191" s="2246"/>
      <c r="BR191" s="2247"/>
      <c r="BS191" s="2248"/>
      <c r="BT191" s="2249"/>
      <c r="BU191" s="2249"/>
      <c r="BV191" s="2238"/>
      <c r="BW191" s="2264"/>
      <c r="BY191" s="3">
        <v>1</v>
      </c>
    </row>
    <row r="192" spans="2:77" ht="21" customHeight="1">
      <c r="B192" s="2265" t="str" cm="1">
        <f t="array" ref="B192">SUMPRODUCT(--(D192:J192&lt;&gt;""), LEN(TRIM(SUBSTITUTE(D192:J192, CHAR(160), "")))) &amp; " Car."</f>
        <v>0 Car.</v>
      </c>
      <c r="C192" s="1376" t="str">
        <f>IF(ISBLANK(D192),"",LARGE(C13:C191,1)+1)</f>
        <v/>
      </c>
      <c r="D192" s="1833"/>
      <c r="E192" s="1810"/>
      <c r="F192" s="1810"/>
      <c r="G192" s="1810"/>
      <c r="H192" s="1810"/>
      <c r="I192" s="1810"/>
      <c r="J192" s="1810"/>
      <c r="K192" s="1810"/>
      <c r="L192" s="1811"/>
      <c r="M192" s="9"/>
      <c r="N192" s="2252" t="s">
        <v>15</v>
      </c>
      <c r="O192" s="2237"/>
      <c r="P192" s="2237"/>
      <c r="Q192" s="2237"/>
      <c r="R192" s="2237"/>
      <c r="S192" s="2240"/>
      <c r="T192" s="2241"/>
      <c r="U192" s="2239"/>
      <c r="V192" s="2242"/>
      <c r="W192" s="2250"/>
      <c r="X192" s="2244"/>
      <c r="Y192" s="2244"/>
      <c r="Z192" s="2245"/>
      <c r="AA192" s="2246"/>
      <c r="AB192" s="2247"/>
      <c r="AC192" s="2248"/>
      <c r="AD192" s="2249"/>
      <c r="AE192" s="2249"/>
      <c r="AF192" s="2238"/>
      <c r="AG192" s="2264"/>
      <c r="AH192" s="918"/>
      <c r="AI192" s="2252" t="s">
        <v>15</v>
      </c>
      <c r="AJ192" s="2237"/>
      <c r="AK192" s="2237"/>
      <c r="AL192" s="2237"/>
      <c r="AM192" s="2237"/>
      <c r="AN192" s="2240"/>
      <c r="AO192" s="2241"/>
      <c r="AP192" s="2239"/>
      <c r="AQ192" s="2242"/>
      <c r="AR192" s="2250"/>
      <c r="AS192" s="2244"/>
      <c r="AT192" s="2244"/>
      <c r="AU192" s="2245"/>
      <c r="AV192" s="2246"/>
      <c r="AW192" s="2247"/>
      <c r="AX192" s="2248"/>
      <c r="AY192" s="2249"/>
      <c r="AZ192" s="2249"/>
      <c r="BA192" s="2238"/>
      <c r="BB192" s="2264"/>
      <c r="BC192" s="918"/>
      <c r="BD192" s="2252" t="s">
        <v>15</v>
      </c>
      <c r="BE192" s="2237"/>
      <c r="BF192" s="2237"/>
      <c r="BG192" s="2237"/>
      <c r="BH192" s="2237"/>
      <c r="BI192" s="2240"/>
      <c r="BJ192" s="2241"/>
      <c r="BK192" s="2239"/>
      <c r="BL192" s="2242"/>
      <c r="BM192" s="2250"/>
      <c r="BN192" s="2244"/>
      <c r="BO192" s="2244"/>
      <c r="BP192" s="2245"/>
      <c r="BQ192" s="2246"/>
      <c r="BR192" s="2247"/>
      <c r="BS192" s="2248"/>
      <c r="BT192" s="2249"/>
      <c r="BU192" s="2249"/>
      <c r="BV192" s="2238"/>
      <c r="BW192" s="2264"/>
      <c r="BY192" s="3">
        <v>1</v>
      </c>
    </row>
    <row r="193" spans="2:77" ht="21" customHeight="1">
      <c r="B193" s="2265" t="str" cm="1">
        <f t="array" ref="B193">SUMPRODUCT(--(D193:J193&lt;&gt;""), LEN(TRIM(SUBSTITUTE(D193:J193, CHAR(160), "")))) &amp; " Car."</f>
        <v>0 Car.</v>
      </c>
      <c r="C193" s="1376" t="str">
        <f>IF(ISBLANK(D193),"",LARGE(C13:C192,1)+1)</f>
        <v/>
      </c>
      <c r="D193" s="1833"/>
      <c r="E193" s="1810"/>
      <c r="F193" s="1810"/>
      <c r="G193" s="1810"/>
      <c r="H193" s="1810"/>
      <c r="I193" s="1810"/>
      <c r="J193" s="1810"/>
      <c r="K193" s="1810"/>
      <c r="L193" s="1811"/>
      <c r="M193" s="9"/>
      <c r="N193" s="2252" t="s">
        <v>15</v>
      </c>
      <c r="O193" s="2237"/>
      <c r="P193" s="2237"/>
      <c r="Q193" s="2237"/>
      <c r="R193" s="2237"/>
      <c r="S193" s="2240"/>
      <c r="T193" s="2241"/>
      <c r="U193" s="2239"/>
      <c r="V193" s="2242"/>
      <c r="W193" s="2250"/>
      <c r="X193" s="2244"/>
      <c r="Y193" s="2244"/>
      <c r="Z193" s="2245"/>
      <c r="AA193" s="2246"/>
      <c r="AB193" s="2247"/>
      <c r="AC193" s="2248"/>
      <c r="AD193" s="2249"/>
      <c r="AE193" s="2249"/>
      <c r="AF193" s="2238"/>
      <c r="AG193" s="2264"/>
      <c r="AH193" s="918"/>
      <c r="AI193" s="2252" t="s">
        <v>15</v>
      </c>
      <c r="AJ193" s="2237"/>
      <c r="AK193" s="2237"/>
      <c r="AL193" s="2237"/>
      <c r="AM193" s="2237"/>
      <c r="AN193" s="2240"/>
      <c r="AO193" s="2241"/>
      <c r="AP193" s="2239"/>
      <c r="AQ193" s="2242"/>
      <c r="AR193" s="2250"/>
      <c r="AS193" s="2244"/>
      <c r="AT193" s="2244"/>
      <c r="AU193" s="2245"/>
      <c r="AV193" s="2246"/>
      <c r="AW193" s="2247"/>
      <c r="AX193" s="2248"/>
      <c r="AY193" s="2249"/>
      <c r="AZ193" s="2249"/>
      <c r="BA193" s="2238"/>
      <c r="BB193" s="2264"/>
      <c r="BC193" s="918"/>
      <c r="BD193" s="2252" t="s">
        <v>15</v>
      </c>
      <c r="BE193" s="2237"/>
      <c r="BF193" s="2237"/>
      <c r="BG193" s="2237"/>
      <c r="BH193" s="2237"/>
      <c r="BI193" s="2240"/>
      <c r="BJ193" s="2241"/>
      <c r="BK193" s="2239"/>
      <c r="BL193" s="2242"/>
      <c r="BM193" s="2250"/>
      <c r="BN193" s="2244"/>
      <c r="BO193" s="2244"/>
      <c r="BP193" s="2245"/>
      <c r="BQ193" s="2246"/>
      <c r="BR193" s="2247"/>
      <c r="BS193" s="2248"/>
      <c r="BT193" s="2249"/>
      <c r="BU193" s="2249"/>
      <c r="BV193" s="2238"/>
      <c r="BW193" s="2264"/>
      <c r="BY193" s="3">
        <v>1</v>
      </c>
    </row>
    <row r="194" spans="2:77" ht="21" customHeight="1">
      <c r="B194" s="2265" t="str" cm="1">
        <f t="array" ref="B194">SUMPRODUCT(--(D194:J194&lt;&gt;""), LEN(TRIM(SUBSTITUTE(D194:J194, CHAR(160), "")))) &amp; " Car."</f>
        <v>0 Car.</v>
      </c>
      <c r="C194" s="1376" t="str">
        <f>IF(ISBLANK(D194),"",LARGE(C13:C193,1)+1)</f>
        <v/>
      </c>
      <c r="D194" s="1833"/>
      <c r="E194" s="1810"/>
      <c r="F194" s="1810"/>
      <c r="G194" s="1810"/>
      <c r="H194" s="1810"/>
      <c r="I194" s="1810"/>
      <c r="J194" s="1810"/>
      <c r="K194" s="1810"/>
      <c r="L194" s="1811"/>
      <c r="M194" s="9"/>
      <c r="N194" s="2252" t="s">
        <v>15</v>
      </c>
      <c r="O194" s="2237"/>
      <c r="P194" s="2237"/>
      <c r="Q194" s="2237"/>
      <c r="R194" s="2237"/>
      <c r="S194" s="2240"/>
      <c r="T194" s="2241"/>
      <c r="U194" s="2239"/>
      <c r="V194" s="2242"/>
      <c r="W194" s="2250"/>
      <c r="X194" s="2244"/>
      <c r="Y194" s="2244"/>
      <c r="Z194" s="2245"/>
      <c r="AA194" s="2246"/>
      <c r="AB194" s="2247"/>
      <c r="AC194" s="2248"/>
      <c r="AD194" s="2249"/>
      <c r="AE194" s="2249"/>
      <c r="AF194" s="2238"/>
      <c r="AG194" s="2264"/>
      <c r="AH194" s="918"/>
      <c r="AI194" s="2252" t="s">
        <v>15</v>
      </c>
      <c r="AJ194" s="2237"/>
      <c r="AK194" s="2237"/>
      <c r="AL194" s="2237"/>
      <c r="AM194" s="2237"/>
      <c r="AN194" s="2240"/>
      <c r="AO194" s="2241"/>
      <c r="AP194" s="2239"/>
      <c r="AQ194" s="2242"/>
      <c r="AR194" s="2250"/>
      <c r="AS194" s="2244"/>
      <c r="AT194" s="2244"/>
      <c r="AU194" s="2245"/>
      <c r="AV194" s="2246"/>
      <c r="AW194" s="2247"/>
      <c r="AX194" s="2248"/>
      <c r="AY194" s="2249"/>
      <c r="AZ194" s="2249"/>
      <c r="BA194" s="2238"/>
      <c r="BB194" s="2264"/>
      <c r="BC194" s="918"/>
      <c r="BD194" s="2252" t="s">
        <v>15</v>
      </c>
      <c r="BE194" s="2237"/>
      <c r="BF194" s="2237"/>
      <c r="BG194" s="2237"/>
      <c r="BH194" s="2237"/>
      <c r="BI194" s="2240"/>
      <c r="BJ194" s="2241"/>
      <c r="BK194" s="2239"/>
      <c r="BL194" s="2242"/>
      <c r="BM194" s="2250"/>
      <c r="BN194" s="2244"/>
      <c r="BO194" s="2244"/>
      <c r="BP194" s="2245"/>
      <c r="BQ194" s="2246"/>
      <c r="BR194" s="2247"/>
      <c r="BS194" s="2248"/>
      <c r="BT194" s="2249"/>
      <c r="BU194" s="2249"/>
      <c r="BV194" s="2238"/>
      <c r="BW194" s="2264"/>
      <c r="BY194" s="3">
        <v>1</v>
      </c>
    </row>
    <row r="195" spans="2:77" ht="21" customHeight="1">
      <c r="B195" s="2265" t="str" cm="1">
        <f t="array" ref="B195">SUMPRODUCT(--(D195:J195&lt;&gt;""), LEN(TRIM(SUBSTITUTE(D195:J195, CHAR(160), "")))) &amp; " Car."</f>
        <v>0 Car.</v>
      </c>
      <c r="C195" s="1376" t="str">
        <f>IF(ISBLANK(D195),"",LARGE(C13:C194,1)+1)</f>
        <v/>
      </c>
      <c r="D195" s="1833"/>
      <c r="E195" s="1810"/>
      <c r="F195" s="1810"/>
      <c r="G195" s="1810"/>
      <c r="H195" s="1810"/>
      <c r="I195" s="1810"/>
      <c r="J195" s="1810"/>
      <c r="K195" s="1810"/>
      <c r="L195" s="1811"/>
      <c r="M195" s="9"/>
      <c r="N195" s="2252" t="s">
        <v>15</v>
      </c>
      <c r="O195" s="2237"/>
      <c r="P195" s="2237"/>
      <c r="Q195" s="2237"/>
      <c r="R195" s="2237"/>
      <c r="S195" s="2240"/>
      <c r="T195" s="2241"/>
      <c r="U195" s="2239"/>
      <c r="V195" s="2242"/>
      <c r="W195" s="2250"/>
      <c r="X195" s="2244"/>
      <c r="Y195" s="2244"/>
      <c r="Z195" s="2245"/>
      <c r="AA195" s="2246"/>
      <c r="AB195" s="2247"/>
      <c r="AC195" s="2248"/>
      <c r="AD195" s="2249"/>
      <c r="AE195" s="2249"/>
      <c r="AF195" s="2238"/>
      <c r="AG195" s="2264"/>
      <c r="AH195" s="918"/>
      <c r="AI195" s="2252" t="s">
        <v>15</v>
      </c>
      <c r="AJ195" s="2237"/>
      <c r="AK195" s="2237"/>
      <c r="AL195" s="2237"/>
      <c r="AM195" s="2237"/>
      <c r="AN195" s="2240"/>
      <c r="AO195" s="2241"/>
      <c r="AP195" s="2239"/>
      <c r="AQ195" s="2242"/>
      <c r="AR195" s="2250"/>
      <c r="AS195" s="2244"/>
      <c r="AT195" s="2244"/>
      <c r="AU195" s="2245"/>
      <c r="AV195" s="2246"/>
      <c r="AW195" s="2247"/>
      <c r="AX195" s="2248"/>
      <c r="AY195" s="2249"/>
      <c r="AZ195" s="2249"/>
      <c r="BA195" s="2238"/>
      <c r="BB195" s="2264"/>
      <c r="BC195" s="918"/>
      <c r="BD195" s="2252" t="s">
        <v>15</v>
      </c>
      <c r="BE195" s="2237"/>
      <c r="BF195" s="2237"/>
      <c r="BG195" s="2237"/>
      <c r="BH195" s="2237"/>
      <c r="BI195" s="2240"/>
      <c r="BJ195" s="2241"/>
      <c r="BK195" s="2239"/>
      <c r="BL195" s="2242"/>
      <c r="BM195" s="2250"/>
      <c r="BN195" s="2244"/>
      <c r="BO195" s="2244"/>
      <c r="BP195" s="2245"/>
      <c r="BQ195" s="2246"/>
      <c r="BR195" s="2247"/>
      <c r="BS195" s="2248"/>
      <c r="BT195" s="2249"/>
      <c r="BU195" s="2249"/>
      <c r="BV195" s="2238"/>
      <c r="BW195" s="2264"/>
      <c r="BY195" s="3">
        <v>1</v>
      </c>
    </row>
    <row r="196" spans="2:77" ht="21" customHeight="1">
      <c r="B196" s="2265" t="str" cm="1">
        <f t="array" ref="B196">SUMPRODUCT(--(D196:J196&lt;&gt;""), LEN(TRIM(SUBSTITUTE(D196:J196, CHAR(160), "")))) &amp; " Car."</f>
        <v>0 Car.</v>
      </c>
      <c r="C196" s="1376" t="str">
        <f>IF(ISBLANK(D196),"",LARGE(C13:C195,1)+1)</f>
        <v/>
      </c>
      <c r="D196" s="1833"/>
      <c r="E196" s="1810"/>
      <c r="F196" s="1810"/>
      <c r="G196" s="1810"/>
      <c r="H196" s="1810"/>
      <c r="I196" s="1810"/>
      <c r="J196" s="1810"/>
      <c r="K196" s="1810"/>
      <c r="L196" s="1811"/>
      <c r="M196" s="9"/>
      <c r="N196" s="2252" t="s">
        <v>15</v>
      </c>
      <c r="O196" s="2237"/>
      <c r="P196" s="2237"/>
      <c r="Q196" s="2237"/>
      <c r="R196" s="2237"/>
      <c r="S196" s="2240"/>
      <c r="T196" s="2241"/>
      <c r="U196" s="2239"/>
      <c r="V196" s="2242"/>
      <c r="W196" s="2250"/>
      <c r="X196" s="2244"/>
      <c r="Y196" s="2244"/>
      <c r="Z196" s="2245"/>
      <c r="AA196" s="2246"/>
      <c r="AB196" s="2247"/>
      <c r="AC196" s="2248"/>
      <c r="AD196" s="2249"/>
      <c r="AE196" s="2249"/>
      <c r="AF196" s="2238"/>
      <c r="AG196" s="2264"/>
      <c r="AH196" s="918"/>
      <c r="AI196" s="2252" t="s">
        <v>15</v>
      </c>
      <c r="AJ196" s="2237"/>
      <c r="AK196" s="2237"/>
      <c r="AL196" s="2237"/>
      <c r="AM196" s="2237"/>
      <c r="AN196" s="2240"/>
      <c r="AO196" s="2241"/>
      <c r="AP196" s="2239"/>
      <c r="AQ196" s="2242"/>
      <c r="AR196" s="2250"/>
      <c r="AS196" s="2244"/>
      <c r="AT196" s="2244"/>
      <c r="AU196" s="2245"/>
      <c r="AV196" s="2246"/>
      <c r="AW196" s="2247"/>
      <c r="AX196" s="2248"/>
      <c r="AY196" s="2249"/>
      <c r="AZ196" s="2249"/>
      <c r="BA196" s="2238"/>
      <c r="BB196" s="2264"/>
      <c r="BC196" s="918"/>
      <c r="BD196" s="2252" t="s">
        <v>15</v>
      </c>
      <c r="BE196" s="2237"/>
      <c r="BF196" s="2237"/>
      <c r="BG196" s="2237"/>
      <c r="BH196" s="2237"/>
      <c r="BI196" s="2240"/>
      <c r="BJ196" s="2241"/>
      <c r="BK196" s="2239"/>
      <c r="BL196" s="2242"/>
      <c r="BM196" s="2250"/>
      <c r="BN196" s="2244"/>
      <c r="BO196" s="2244"/>
      <c r="BP196" s="2245"/>
      <c r="BQ196" s="2246"/>
      <c r="BR196" s="2247"/>
      <c r="BS196" s="2248"/>
      <c r="BT196" s="2249"/>
      <c r="BU196" s="2249"/>
      <c r="BV196" s="2238"/>
      <c r="BW196" s="2264"/>
      <c r="BY196" s="3">
        <v>1</v>
      </c>
    </row>
    <row r="197" spans="2:77" ht="21" customHeight="1">
      <c r="B197" s="2265" t="str" cm="1">
        <f t="array" ref="B197">SUMPRODUCT(--(D197:J197&lt;&gt;""), LEN(TRIM(SUBSTITUTE(D197:J197, CHAR(160), "")))) &amp; " Car."</f>
        <v>0 Car.</v>
      </c>
      <c r="C197" s="1376" t="str">
        <f>IF(ISBLANK(D197),"",LARGE(C13:C196,1)+1)</f>
        <v/>
      </c>
      <c r="D197" s="1833"/>
      <c r="E197" s="1810"/>
      <c r="F197" s="1810"/>
      <c r="G197" s="1810"/>
      <c r="H197" s="1810"/>
      <c r="I197" s="1810"/>
      <c r="J197" s="1810"/>
      <c r="K197" s="1810"/>
      <c r="L197" s="1811"/>
      <c r="M197" s="9"/>
      <c r="N197" s="2252" t="s">
        <v>15</v>
      </c>
      <c r="O197" s="2237"/>
      <c r="P197" s="2237"/>
      <c r="Q197" s="2237"/>
      <c r="R197" s="2237"/>
      <c r="S197" s="2240"/>
      <c r="T197" s="2241"/>
      <c r="U197" s="2239"/>
      <c r="V197" s="2242"/>
      <c r="W197" s="2250"/>
      <c r="X197" s="2244"/>
      <c r="Y197" s="2244"/>
      <c r="Z197" s="2245"/>
      <c r="AA197" s="2246"/>
      <c r="AB197" s="2247"/>
      <c r="AC197" s="2248"/>
      <c r="AD197" s="2249"/>
      <c r="AE197" s="2249"/>
      <c r="AF197" s="2238"/>
      <c r="AG197" s="2264"/>
      <c r="AH197" s="918"/>
      <c r="AI197" s="2252" t="s">
        <v>15</v>
      </c>
      <c r="AJ197" s="2237"/>
      <c r="AK197" s="2237"/>
      <c r="AL197" s="2237"/>
      <c r="AM197" s="2237"/>
      <c r="AN197" s="2240"/>
      <c r="AO197" s="2241"/>
      <c r="AP197" s="2239"/>
      <c r="AQ197" s="2242"/>
      <c r="AR197" s="2250"/>
      <c r="AS197" s="2244"/>
      <c r="AT197" s="2244"/>
      <c r="AU197" s="2245"/>
      <c r="AV197" s="2246"/>
      <c r="AW197" s="2247"/>
      <c r="AX197" s="2248"/>
      <c r="AY197" s="2249"/>
      <c r="AZ197" s="2249"/>
      <c r="BA197" s="2238"/>
      <c r="BB197" s="2264"/>
      <c r="BC197" s="918"/>
      <c r="BD197" s="2252" t="s">
        <v>15</v>
      </c>
      <c r="BE197" s="2237"/>
      <c r="BF197" s="2237"/>
      <c r="BG197" s="2237"/>
      <c r="BH197" s="2237"/>
      <c r="BI197" s="2240"/>
      <c r="BJ197" s="2241"/>
      <c r="BK197" s="2239"/>
      <c r="BL197" s="2242"/>
      <c r="BM197" s="2250"/>
      <c r="BN197" s="2244"/>
      <c r="BO197" s="2244"/>
      <c r="BP197" s="2245"/>
      <c r="BQ197" s="2246"/>
      <c r="BR197" s="2247"/>
      <c r="BS197" s="2248"/>
      <c r="BT197" s="2249"/>
      <c r="BU197" s="2249"/>
      <c r="BV197" s="2238"/>
      <c r="BW197" s="2264"/>
      <c r="BY197" s="3">
        <v>1</v>
      </c>
    </row>
    <row r="198" spans="2:77" ht="21" customHeight="1">
      <c r="B198" s="2265" t="str" cm="1">
        <f t="array" ref="B198">SUMPRODUCT(--(D198:J198&lt;&gt;""), LEN(TRIM(SUBSTITUTE(D198:J198, CHAR(160), "")))) &amp; " Car."</f>
        <v>0 Car.</v>
      </c>
      <c r="C198" s="1376" t="str">
        <f>IF(ISBLANK(D198),"",LARGE(C13:C197,1)+1)</f>
        <v/>
      </c>
      <c r="D198" s="1833"/>
      <c r="E198" s="1810"/>
      <c r="F198" s="1810"/>
      <c r="G198" s="1810"/>
      <c r="H198" s="1810"/>
      <c r="I198" s="1810"/>
      <c r="J198" s="1810"/>
      <c r="K198" s="1810"/>
      <c r="L198" s="1811"/>
      <c r="M198" s="9"/>
      <c r="N198" s="2252" t="s">
        <v>15</v>
      </c>
      <c r="O198" s="2237"/>
      <c r="P198" s="2237"/>
      <c r="Q198" s="2237"/>
      <c r="R198" s="2237"/>
      <c r="S198" s="2240"/>
      <c r="T198" s="2241"/>
      <c r="U198" s="2239"/>
      <c r="V198" s="2242"/>
      <c r="W198" s="2250"/>
      <c r="X198" s="2244"/>
      <c r="Y198" s="2244"/>
      <c r="Z198" s="2245"/>
      <c r="AA198" s="2246"/>
      <c r="AB198" s="2247"/>
      <c r="AC198" s="2248"/>
      <c r="AD198" s="2249"/>
      <c r="AE198" s="2249"/>
      <c r="AF198" s="2238"/>
      <c r="AG198" s="2264"/>
      <c r="AH198" s="918"/>
      <c r="AI198" s="2252" t="s">
        <v>15</v>
      </c>
      <c r="AJ198" s="2237"/>
      <c r="AK198" s="2237"/>
      <c r="AL198" s="2237"/>
      <c r="AM198" s="2237"/>
      <c r="AN198" s="2240"/>
      <c r="AO198" s="2241"/>
      <c r="AP198" s="2239"/>
      <c r="AQ198" s="2242"/>
      <c r="AR198" s="2250"/>
      <c r="AS198" s="2244"/>
      <c r="AT198" s="2244"/>
      <c r="AU198" s="2245"/>
      <c r="AV198" s="2246"/>
      <c r="AW198" s="2247"/>
      <c r="AX198" s="2248"/>
      <c r="AY198" s="2249"/>
      <c r="AZ198" s="2249"/>
      <c r="BA198" s="2238"/>
      <c r="BB198" s="2264"/>
      <c r="BC198" s="918"/>
      <c r="BD198" s="2252" t="s">
        <v>15</v>
      </c>
      <c r="BE198" s="2237"/>
      <c r="BF198" s="2237"/>
      <c r="BG198" s="2237"/>
      <c r="BH198" s="2237"/>
      <c r="BI198" s="2240"/>
      <c r="BJ198" s="2241"/>
      <c r="BK198" s="2239"/>
      <c r="BL198" s="2242"/>
      <c r="BM198" s="2250"/>
      <c r="BN198" s="2244"/>
      <c r="BO198" s="2244"/>
      <c r="BP198" s="2245"/>
      <c r="BQ198" s="2246"/>
      <c r="BR198" s="2247"/>
      <c r="BS198" s="2248"/>
      <c r="BT198" s="2249"/>
      <c r="BU198" s="2249"/>
      <c r="BV198" s="2238"/>
      <c r="BW198" s="2264"/>
      <c r="BY198" s="3">
        <v>1</v>
      </c>
    </row>
    <row r="199" spans="2:77" ht="21" customHeight="1">
      <c r="B199" s="2265" t="str" cm="1">
        <f t="array" ref="B199">SUMPRODUCT(--(D199:J199&lt;&gt;""), LEN(TRIM(SUBSTITUTE(D199:J199, CHAR(160), "")))) &amp; " Car."</f>
        <v>0 Car.</v>
      </c>
      <c r="C199" s="1376" t="str">
        <f>IF(ISBLANK(D199),"",LARGE(C13:C198,1)+1)</f>
        <v/>
      </c>
      <c r="D199" s="1833"/>
      <c r="E199" s="1810"/>
      <c r="F199" s="1810"/>
      <c r="G199" s="1810"/>
      <c r="H199" s="1810"/>
      <c r="I199" s="1810"/>
      <c r="J199" s="1810"/>
      <c r="K199" s="1810"/>
      <c r="L199" s="1811"/>
      <c r="M199" s="9"/>
      <c r="N199" s="2252" t="s">
        <v>15</v>
      </c>
      <c r="O199" s="2237"/>
      <c r="P199" s="2237"/>
      <c r="Q199" s="2237"/>
      <c r="R199" s="2237"/>
      <c r="S199" s="2240"/>
      <c r="T199" s="2241"/>
      <c r="U199" s="2239"/>
      <c r="V199" s="2242"/>
      <c r="W199" s="2250"/>
      <c r="X199" s="2244"/>
      <c r="Y199" s="2244"/>
      <c r="Z199" s="2245"/>
      <c r="AA199" s="2246"/>
      <c r="AB199" s="2247"/>
      <c r="AC199" s="2248"/>
      <c r="AD199" s="2249"/>
      <c r="AE199" s="2249"/>
      <c r="AF199" s="2238"/>
      <c r="AG199" s="2264"/>
      <c r="AH199" s="918"/>
      <c r="AI199" s="2252" t="s">
        <v>15</v>
      </c>
      <c r="AJ199" s="2237"/>
      <c r="AK199" s="2237"/>
      <c r="AL199" s="2237"/>
      <c r="AM199" s="2237"/>
      <c r="AN199" s="2240"/>
      <c r="AO199" s="2241"/>
      <c r="AP199" s="2239"/>
      <c r="AQ199" s="2242"/>
      <c r="AR199" s="2250"/>
      <c r="AS199" s="2244"/>
      <c r="AT199" s="2244"/>
      <c r="AU199" s="2245"/>
      <c r="AV199" s="2246"/>
      <c r="AW199" s="2247"/>
      <c r="AX199" s="2248"/>
      <c r="AY199" s="2249"/>
      <c r="AZ199" s="2249"/>
      <c r="BA199" s="2238"/>
      <c r="BB199" s="2264"/>
      <c r="BC199" s="918"/>
      <c r="BD199" s="2252" t="s">
        <v>15</v>
      </c>
      <c r="BE199" s="2237"/>
      <c r="BF199" s="2237"/>
      <c r="BG199" s="2237"/>
      <c r="BH199" s="2237"/>
      <c r="BI199" s="2240"/>
      <c r="BJ199" s="2241"/>
      <c r="BK199" s="2239"/>
      <c r="BL199" s="2242"/>
      <c r="BM199" s="2250"/>
      <c r="BN199" s="2244"/>
      <c r="BO199" s="2244"/>
      <c r="BP199" s="2245"/>
      <c r="BQ199" s="2246"/>
      <c r="BR199" s="2247"/>
      <c r="BS199" s="2248"/>
      <c r="BT199" s="2249"/>
      <c r="BU199" s="2249"/>
      <c r="BV199" s="2238"/>
      <c r="BW199" s="2264"/>
      <c r="BY199" s="3">
        <v>1</v>
      </c>
    </row>
    <row r="200" spans="2:77" ht="21" customHeight="1">
      <c r="B200" s="2265" t="str" cm="1">
        <f t="array" ref="B200">SUMPRODUCT(--(D200:J200&lt;&gt;""), LEN(TRIM(SUBSTITUTE(D200:J200, CHAR(160), "")))) &amp; " Car."</f>
        <v>0 Car.</v>
      </c>
      <c r="C200" s="1376" t="str">
        <f>IF(ISBLANK(D200),"",LARGE(C13:C199,1)+1)</f>
        <v/>
      </c>
      <c r="D200" s="1833"/>
      <c r="E200" s="1810"/>
      <c r="F200" s="1810"/>
      <c r="G200" s="1810"/>
      <c r="H200" s="1810"/>
      <c r="I200" s="1810"/>
      <c r="J200" s="1810"/>
      <c r="K200" s="1810"/>
      <c r="L200" s="1811"/>
      <c r="M200" s="9"/>
      <c r="N200" s="2252" t="s">
        <v>15</v>
      </c>
      <c r="O200" s="2237"/>
      <c r="P200" s="2237"/>
      <c r="Q200" s="2237"/>
      <c r="R200" s="2237"/>
      <c r="S200" s="2240"/>
      <c r="T200" s="2241"/>
      <c r="U200" s="2239"/>
      <c r="V200" s="2242"/>
      <c r="W200" s="2250"/>
      <c r="X200" s="2244"/>
      <c r="Y200" s="2244"/>
      <c r="Z200" s="2245"/>
      <c r="AA200" s="2246"/>
      <c r="AB200" s="2247"/>
      <c r="AC200" s="2248"/>
      <c r="AD200" s="2249"/>
      <c r="AE200" s="2249"/>
      <c r="AF200" s="2238"/>
      <c r="AG200" s="2264"/>
      <c r="AH200" s="918"/>
      <c r="AI200" s="2252" t="s">
        <v>15</v>
      </c>
      <c r="AJ200" s="2237"/>
      <c r="AK200" s="2237"/>
      <c r="AL200" s="2237"/>
      <c r="AM200" s="2237"/>
      <c r="AN200" s="2240"/>
      <c r="AO200" s="2241"/>
      <c r="AP200" s="2239"/>
      <c r="AQ200" s="2242"/>
      <c r="AR200" s="2250"/>
      <c r="AS200" s="2244"/>
      <c r="AT200" s="2244"/>
      <c r="AU200" s="2245"/>
      <c r="AV200" s="2246"/>
      <c r="AW200" s="2247"/>
      <c r="AX200" s="2248"/>
      <c r="AY200" s="2249"/>
      <c r="AZ200" s="2249"/>
      <c r="BA200" s="2238"/>
      <c r="BB200" s="2264"/>
      <c r="BC200" s="918"/>
      <c r="BD200" s="2252" t="s">
        <v>15</v>
      </c>
      <c r="BE200" s="2237"/>
      <c r="BF200" s="2237"/>
      <c r="BG200" s="2237"/>
      <c r="BH200" s="2237"/>
      <c r="BI200" s="2240"/>
      <c r="BJ200" s="2241"/>
      <c r="BK200" s="2239"/>
      <c r="BL200" s="2242"/>
      <c r="BM200" s="2250"/>
      <c r="BN200" s="2244"/>
      <c r="BO200" s="2244"/>
      <c r="BP200" s="2245"/>
      <c r="BQ200" s="2246"/>
      <c r="BR200" s="2247"/>
      <c r="BS200" s="2248"/>
      <c r="BT200" s="2249"/>
      <c r="BU200" s="2249"/>
      <c r="BV200" s="2238"/>
      <c r="BW200" s="2264"/>
      <c r="BY200" s="3">
        <v>1</v>
      </c>
    </row>
    <row r="201" spans="2:77" ht="21" customHeight="1">
      <c r="B201" s="2265" t="str" cm="1">
        <f t="array" ref="B201">SUMPRODUCT(--(D201:J201&lt;&gt;""), LEN(TRIM(SUBSTITUTE(D201:J201, CHAR(160), "")))) &amp; " Car."</f>
        <v>0 Car.</v>
      </c>
      <c r="C201" s="1376" t="str">
        <f>IF(ISBLANK(D201),"",LARGE(C13:C200,1)+1)</f>
        <v/>
      </c>
      <c r="D201" s="1833"/>
      <c r="E201" s="1810"/>
      <c r="F201" s="1810"/>
      <c r="G201" s="1810"/>
      <c r="H201" s="1810"/>
      <c r="I201" s="1810"/>
      <c r="J201" s="1810"/>
      <c r="K201" s="1810"/>
      <c r="L201" s="1811"/>
      <c r="M201" s="9"/>
      <c r="N201" s="2252" t="s">
        <v>15</v>
      </c>
      <c r="O201" s="2237"/>
      <c r="P201" s="2237"/>
      <c r="Q201" s="2237"/>
      <c r="R201" s="2237"/>
      <c r="S201" s="2240"/>
      <c r="T201" s="2241"/>
      <c r="U201" s="2239"/>
      <c r="V201" s="2242"/>
      <c r="W201" s="2250"/>
      <c r="X201" s="2244"/>
      <c r="Y201" s="2244"/>
      <c r="Z201" s="2245"/>
      <c r="AA201" s="2246"/>
      <c r="AB201" s="2247"/>
      <c r="AC201" s="2248"/>
      <c r="AD201" s="2249"/>
      <c r="AE201" s="2249"/>
      <c r="AF201" s="2238"/>
      <c r="AG201" s="2264"/>
      <c r="AH201" s="918"/>
      <c r="AI201" s="2252" t="s">
        <v>15</v>
      </c>
      <c r="AJ201" s="2237"/>
      <c r="AK201" s="2237"/>
      <c r="AL201" s="2237"/>
      <c r="AM201" s="2237"/>
      <c r="AN201" s="2240"/>
      <c r="AO201" s="2241"/>
      <c r="AP201" s="2239"/>
      <c r="AQ201" s="2242"/>
      <c r="AR201" s="2250"/>
      <c r="AS201" s="2244"/>
      <c r="AT201" s="2244"/>
      <c r="AU201" s="2245"/>
      <c r="AV201" s="2246"/>
      <c r="AW201" s="2247"/>
      <c r="AX201" s="2248"/>
      <c r="AY201" s="2249"/>
      <c r="AZ201" s="2249"/>
      <c r="BA201" s="2238"/>
      <c r="BB201" s="2264"/>
      <c r="BC201" s="918"/>
      <c r="BD201" s="2252" t="s">
        <v>15</v>
      </c>
      <c r="BE201" s="2237"/>
      <c r="BF201" s="2237"/>
      <c r="BG201" s="2237"/>
      <c r="BH201" s="2237"/>
      <c r="BI201" s="2240"/>
      <c r="BJ201" s="2241"/>
      <c r="BK201" s="2239"/>
      <c r="BL201" s="2242"/>
      <c r="BM201" s="2250"/>
      <c r="BN201" s="2244"/>
      <c r="BO201" s="2244"/>
      <c r="BP201" s="2245"/>
      <c r="BQ201" s="2246"/>
      <c r="BR201" s="2247"/>
      <c r="BS201" s="2248"/>
      <c r="BT201" s="2249"/>
      <c r="BU201" s="2249"/>
      <c r="BV201" s="2238"/>
      <c r="BW201" s="2264"/>
      <c r="BY201" s="3">
        <v>1</v>
      </c>
    </row>
    <row r="202" spans="2:77" ht="21" customHeight="1">
      <c r="B202" s="2265" t="str" cm="1">
        <f t="array" ref="B202">SUMPRODUCT(--(D202:J202&lt;&gt;""), LEN(TRIM(SUBSTITUTE(D202:J202, CHAR(160), "")))) &amp; " Car."</f>
        <v>0 Car.</v>
      </c>
      <c r="C202" s="1376" t="str">
        <f>IF(ISBLANK(D202),"",LARGE(C13:C201,1)+1)</f>
        <v/>
      </c>
      <c r="D202" s="1833"/>
      <c r="E202" s="1810"/>
      <c r="F202" s="1810"/>
      <c r="G202" s="1810"/>
      <c r="H202" s="1810"/>
      <c r="I202" s="1810"/>
      <c r="J202" s="1810"/>
      <c r="K202" s="1810"/>
      <c r="L202" s="1811"/>
      <c r="M202" s="9"/>
      <c r="N202" s="2252" t="s">
        <v>15</v>
      </c>
      <c r="O202" s="2237"/>
      <c r="P202" s="2237"/>
      <c r="Q202" s="2237"/>
      <c r="R202" s="2237"/>
      <c r="S202" s="2240"/>
      <c r="T202" s="2241"/>
      <c r="U202" s="2239"/>
      <c r="V202" s="2242"/>
      <c r="W202" s="2250"/>
      <c r="X202" s="2244"/>
      <c r="Y202" s="2244"/>
      <c r="Z202" s="2245"/>
      <c r="AA202" s="2246"/>
      <c r="AB202" s="2247"/>
      <c r="AC202" s="2248"/>
      <c r="AD202" s="2249"/>
      <c r="AE202" s="2249"/>
      <c r="AF202" s="2238"/>
      <c r="AG202" s="2264"/>
      <c r="AH202" s="918"/>
      <c r="AI202" s="2252" t="s">
        <v>15</v>
      </c>
      <c r="AJ202" s="2237"/>
      <c r="AK202" s="2237"/>
      <c r="AL202" s="2237"/>
      <c r="AM202" s="2237"/>
      <c r="AN202" s="2240"/>
      <c r="AO202" s="2241"/>
      <c r="AP202" s="2239"/>
      <c r="AQ202" s="2242"/>
      <c r="AR202" s="2250"/>
      <c r="AS202" s="2244"/>
      <c r="AT202" s="2244"/>
      <c r="AU202" s="2245"/>
      <c r="AV202" s="2246"/>
      <c r="AW202" s="2247"/>
      <c r="AX202" s="2248"/>
      <c r="AY202" s="2249"/>
      <c r="AZ202" s="2249"/>
      <c r="BA202" s="2238"/>
      <c r="BB202" s="2264"/>
      <c r="BC202" s="918"/>
      <c r="BD202" s="2252" t="s">
        <v>15</v>
      </c>
      <c r="BE202" s="2237"/>
      <c r="BF202" s="2237"/>
      <c r="BG202" s="2237"/>
      <c r="BH202" s="2237"/>
      <c r="BI202" s="2240"/>
      <c r="BJ202" s="2241"/>
      <c r="BK202" s="2239"/>
      <c r="BL202" s="2242"/>
      <c r="BM202" s="2250"/>
      <c r="BN202" s="2244"/>
      <c r="BO202" s="2244"/>
      <c r="BP202" s="2245"/>
      <c r="BQ202" s="2246"/>
      <c r="BR202" s="2247"/>
      <c r="BS202" s="2248"/>
      <c r="BT202" s="2249"/>
      <c r="BU202" s="2249"/>
      <c r="BV202" s="2238"/>
      <c r="BW202" s="2264"/>
      <c r="BY202" s="3">
        <v>1</v>
      </c>
    </row>
    <row r="203" spans="2:77" ht="21" customHeight="1">
      <c r="B203" s="2265" t="str" cm="1">
        <f t="array" ref="B203">SUMPRODUCT(--(D203:J203&lt;&gt;""), LEN(TRIM(SUBSTITUTE(D203:J203, CHAR(160), "")))) &amp; " Car."</f>
        <v>0 Car.</v>
      </c>
      <c r="C203" s="1376" t="str">
        <f>IF(ISBLANK(D203),"",LARGE(C13:C202,1)+1)</f>
        <v/>
      </c>
      <c r="D203" s="1833"/>
      <c r="E203" s="1810"/>
      <c r="F203" s="1810"/>
      <c r="G203" s="1810"/>
      <c r="H203" s="1810"/>
      <c r="I203" s="1810"/>
      <c r="J203" s="1810"/>
      <c r="K203" s="1810"/>
      <c r="L203" s="1811"/>
      <c r="M203" s="9"/>
      <c r="N203" s="2252" t="s">
        <v>15</v>
      </c>
      <c r="O203" s="2237"/>
      <c r="P203" s="2237"/>
      <c r="Q203" s="2237"/>
      <c r="R203" s="2237"/>
      <c r="S203" s="2240"/>
      <c r="T203" s="2241"/>
      <c r="U203" s="2239"/>
      <c r="V203" s="2242"/>
      <c r="W203" s="2250"/>
      <c r="X203" s="2244"/>
      <c r="Y203" s="2244"/>
      <c r="Z203" s="2245"/>
      <c r="AA203" s="2246"/>
      <c r="AB203" s="2247"/>
      <c r="AC203" s="2248"/>
      <c r="AD203" s="2249"/>
      <c r="AE203" s="2249"/>
      <c r="AF203" s="2238"/>
      <c r="AG203" s="2264"/>
      <c r="AH203" s="918"/>
      <c r="AI203" s="2252" t="s">
        <v>15</v>
      </c>
      <c r="AJ203" s="2237"/>
      <c r="AK203" s="2237"/>
      <c r="AL203" s="2237"/>
      <c r="AM203" s="2237"/>
      <c r="AN203" s="2240"/>
      <c r="AO203" s="2241"/>
      <c r="AP203" s="2239"/>
      <c r="AQ203" s="2242"/>
      <c r="AR203" s="2250"/>
      <c r="AS203" s="2244"/>
      <c r="AT203" s="2244"/>
      <c r="AU203" s="2245"/>
      <c r="AV203" s="2246"/>
      <c r="AW203" s="2247"/>
      <c r="AX203" s="2248"/>
      <c r="AY203" s="2249"/>
      <c r="AZ203" s="2249"/>
      <c r="BA203" s="2238"/>
      <c r="BB203" s="2264"/>
      <c r="BC203" s="918"/>
      <c r="BD203" s="2252" t="s">
        <v>15</v>
      </c>
      <c r="BE203" s="2237"/>
      <c r="BF203" s="2237"/>
      <c r="BG203" s="2237"/>
      <c r="BH203" s="2237"/>
      <c r="BI203" s="2240"/>
      <c r="BJ203" s="2241"/>
      <c r="BK203" s="2239"/>
      <c r="BL203" s="2242"/>
      <c r="BM203" s="2250"/>
      <c r="BN203" s="2244"/>
      <c r="BO203" s="2244"/>
      <c r="BP203" s="2245"/>
      <c r="BQ203" s="2246"/>
      <c r="BR203" s="2247"/>
      <c r="BS203" s="2248"/>
      <c r="BT203" s="2249"/>
      <c r="BU203" s="2249"/>
      <c r="BV203" s="2238"/>
      <c r="BW203" s="2264"/>
      <c r="BY203" s="3">
        <v>1</v>
      </c>
    </row>
    <row r="204" spans="2:77" ht="21" customHeight="1">
      <c r="B204" s="2265" t="str" cm="1">
        <f t="array" ref="B204">SUMPRODUCT(--(D204:J204&lt;&gt;""), LEN(TRIM(SUBSTITUTE(D204:J204, CHAR(160), "")))) &amp; " Car."</f>
        <v>0 Car.</v>
      </c>
      <c r="C204" s="1376" t="str">
        <f>IF(ISBLANK(D204),"",LARGE(C13:C203,1)+1)</f>
        <v/>
      </c>
      <c r="D204" s="1833"/>
      <c r="E204" s="1810"/>
      <c r="F204" s="1810"/>
      <c r="G204" s="1810"/>
      <c r="H204" s="1810"/>
      <c r="I204" s="1810"/>
      <c r="J204" s="1810"/>
      <c r="K204" s="1810"/>
      <c r="L204" s="1811"/>
      <c r="M204" s="9"/>
      <c r="N204" s="2252" t="s">
        <v>15</v>
      </c>
      <c r="O204" s="2237"/>
      <c r="P204" s="2237"/>
      <c r="Q204" s="2237"/>
      <c r="R204" s="2237"/>
      <c r="S204" s="2240"/>
      <c r="T204" s="2241"/>
      <c r="U204" s="2239"/>
      <c r="V204" s="2242"/>
      <c r="W204" s="2250"/>
      <c r="X204" s="2244"/>
      <c r="Y204" s="2244"/>
      <c r="Z204" s="2245"/>
      <c r="AA204" s="2246"/>
      <c r="AB204" s="2247"/>
      <c r="AC204" s="2248"/>
      <c r="AD204" s="2249"/>
      <c r="AE204" s="2249"/>
      <c r="AF204" s="2238"/>
      <c r="AG204" s="2264"/>
      <c r="AH204" s="918"/>
      <c r="AI204" s="2252" t="s">
        <v>15</v>
      </c>
      <c r="AJ204" s="2237"/>
      <c r="AK204" s="2237"/>
      <c r="AL204" s="2237"/>
      <c r="AM204" s="2237"/>
      <c r="AN204" s="2240"/>
      <c r="AO204" s="2241"/>
      <c r="AP204" s="2239"/>
      <c r="AQ204" s="2242"/>
      <c r="AR204" s="2250"/>
      <c r="AS204" s="2244"/>
      <c r="AT204" s="2244"/>
      <c r="AU204" s="2245"/>
      <c r="AV204" s="2246"/>
      <c r="AW204" s="2247"/>
      <c r="AX204" s="2248"/>
      <c r="AY204" s="2249"/>
      <c r="AZ204" s="2249"/>
      <c r="BA204" s="2238"/>
      <c r="BB204" s="2264"/>
      <c r="BC204" s="918"/>
      <c r="BD204" s="2252" t="s">
        <v>15</v>
      </c>
      <c r="BE204" s="2237"/>
      <c r="BF204" s="2237"/>
      <c r="BG204" s="2237"/>
      <c r="BH204" s="2237"/>
      <c r="BI204" s="2240"/>
      <c r="BJ204" s="2241"/>
      <c r="BK204" s="2239"/>
      <c r="BL204" s="2242"/>
      <c r="BM204" s="2250"/>
      <c r="BN204" s="2244"/>
      <c r="BO204" s="2244"/>
      <c r="BP204" s="2245"/>
      <c r="BQ204" s="2246"/>
      <c r="BR204" s="2247"/>
      <c r="BS204" s="2248"/>
      <c r="BT204" s="2249"/>
      <c r="BU204" s="2249"/>
      <c r="BV204" s="2238"/>
      <c r="BW204" s="2264"/>
      <c r="BY204" s="3">
        <v>1</v>
      </c>
    </row>
    <row r="205" spans="2:77" ht="21" customHeight="1">
      <c r="B205" s="2265" t="str" cm="1">
        <f t="array" ref="B205">SUMPRODUCT(--(D205:J205&lt;&gt;""), LEN(TRIM(SUBSTITUTE(D205:J205, CHAR(160), "")))) &amp; " Car."</f>
        <v>0 Car.</v>
      </c>
      <c r="C205" s="1376" t="str">
        <f>IF(ISBLANK(D205),"",LARGE(C13:C204,1)+1)</f>
        <v/>
      </c>
      <c r="D205" s="1833"/>
      <c r="E205" s="1810"/>
      <c r="F205" s="1810"/>
      <c r="G205" s="1810"/>
      <c r="H205" s="1810"/>
      <c r="I205" s="1810"/>
      <c r="J205" s="1810"/>
      <c r="K205" s="1810"/>
      <c r="L205" s="1811"/>
      <c r="M205" s="9"/>
      <c r="N205" s="2252" t="s">
        <v>15</v>
      </c>
      <c r="O205" s="2237"/>
      <c r="P205" s="2237"/>
      <c r="Q205" s="2237"/>
      <c r="R205" s="2237"/>
      <c r="S205" s="2240"/>
      <c r="T205" s="2241"/>
      <c r="U205" s="2239"/>
      <c r="V205" s="2242"/>
      <c r="W205" s="2250"/>
      <c r="X205" s="2244"/>
      <c r="Y205" s="2244"/>
      <c r="Z205" s="2245"/>
      <c r="AA205" s="2246"/>
      <c r="AB205" s="2247"/>
      <c r="AC205" s="2248"/>
      <c r="AD205" s="2249"/>
      <c r="AE205" s="2249"/>
      <c r="AF205" s="2238"/>
      <c r="AG205" s="2264"/>
      <c r="AH205" s="918"/>
      <c r="AI205" s="2252" t="s">
        <v>15</v>
      </c>
      <c r="AJ205" s="2237"/>
      <c r="AK205" s="2237"/>
      <c r="AL205" s="2237"/>
      <c r="AM205" s="2237"/>
      <c r="AN205" s="2240"/>
      <c r="AO205" s="2241"/>
      <c r="AP205" s="2239"/>
      <c r="AQ205" s="2242"/>
      <c r="AR205" s="2250"/>
      <c r="AS205" s="2244"/>
      <c r="AT205" s="2244"/>
      <c r="AU205" s="2245"/>
      <c r="AV205" s="2246"/>
      <c r="AW205" s="2247"/>
      <c r="AX205" s="2248"/>
      <c r="AY205" s="2249"/>
      <c r="AZ205" s="2249"/>
      <c r="BA205" s="2238"/>
      <c r="BB205" s="2264"/>
      <c r="BC205" s="918"/>
      <c r="BD205" s="2252" t="s">
        <v>15</v>
      </c>
      <c r="BE205" s="2237"/>
      <c r="BF205" s="2237"/>
      <c r="BG205" s="2237"/>
      <c r="BH205" s="2237"/>
      <c r="BI205" s="2240"/>
      <c r="BJ205" s="2241"/>
      <c r="BK205" s="2239"/>
      <c r="BL205" s="2242"/>
      <c r="BM205" s="2250"/>
      <c r="BN205" s="2244"/>
      <c r="BO205" s="2244"/>
      <c r="BP205" s="2245"/>
      <c r="BQ205" s="2246"/>
      <c r="BR205" s="2247"/>
      <c r="BS205" s="2248"/>
      <c r="BT205" s="2249"/>
      <c r="BU205" s="2249"/>
      <c r="BV205" s="2238"/>
      <c r="BW205" s="2264"/>
      <c r="BY205" s="3">
        <v>1</v>
      </c>
    </row>
    <row r="206" spans="2:77" ht="21" customHeight="1">
      <c r="B206" s="2265" t="str" cm="1">
        <f t="array" ref="B206">SUMPRODUCT(--(D206:J206&lt;&gt;""), LEN(TRIM(SUBSTITUTE(D206:J206, CHAR(160), "")))) &amp; " Car."</f>
        <v>0 Car.</v>
      </c>
      <c r="C206" s="1376" t="str">
        <f>IF(ISBLANK(D206),"",LARGE(C13:C205,1)+1)</f>
        <v/>
      </c>
      <c r="D206" s="1833"/>
      <c r="E206" s="1810"/>
      <c r="F206" s="1810"/>
      <c r="G206" s="1810"/>
      <c r="H206" s="1810"/>
      <c r="I206" s="1810"/>
      <c r="J206" s="1810"/>
      <c r="K206" s="1810"/>
      <c r="L206" s="1811"/>
      <c r="M206" s="9"/>
      <c r="N206" s="2252" t="s">
        <v>15</v>
      </c>
      <c r="O206" s="2237"/>
      <c r="P206" s="2237"/>
      <c r="Q206" s="2237"/>
      <c r="R206" s="2237"/>
      <c r="S206" s="2240"/>
      <c r="T206" s="2241"/>
      <c r="U206" s="2239"/>
      <c r="V206" s="2242"/>
      <c r="W206" s="2250"/>
      <c r="X206" s="2244"/>
      <c r="Y206" s="2244"/>
      <c r="Z206" s="2245"/>
      <c r="AA206" s="2246"/>
      <c r="AB206" s="2247"/>
      <c r="AC206" s="2248"/>
      <c r="AD206" s="2249"/>
      <c r="AE206" s="2249"/>
      <c r="AF206" s="2238"/>
      <c r="AG206" s="2264"/>
      <c r="AH206" s="918"/>
      <c r="AI206" s="2252" t="s">
        <v>15</v>
      </c>
      <c r="AJ206" s="2237"/>
      <c r="AK206" s="2237"/>
      <c r="AL206" s="2237"/>
      <c r="AM206" s="2237"/>
      <c r="AN206" s="2240"/>
      <c r="AO206" s="2241"/>
      <c r="AP206" s="2239"/>
      <c r="AQ206" s="2242"/>
      <c r="AR206" s="2250"/>
      <c r="AS206" s="2244"/>
      <c r="AT206" s="2244"/>
      <c r="AU206" s="2245"/>
      <c r="AV206" s="2246"/>
      <c r="AW206" s="2247"/>
      <c r="AX206" s="2248"/>
      <c r="AY206" s="2249"/>
      <c r="AZ206" s="2249"/>
      <c r="BA206" s="2238"/>
      <c r="BB206" s="2264"/>
      <c r="BC206" s="918"/>
      <c r="BD206" s="2252" t="s">
        <v>15</v>
      </c>
      <c r="BE206" s="2237"/>
      <c r="BF206" s="2237"/>
      <c r="BG206" s="2237"/>
      <c r="BH206" s="2237"/>
      <c r="BI206" s="2240"/>
      <c r="BJ206" s="2241"/>
      <c r="BK206" s="2239"/>
      <c r="BL206" s="2242"/>
      <c r="BM206" s="2250"/>
      <c r="BN206" s="2244"/>
      <c r="BO206" s="2244"/>
      <c r="BP206" s="2245"/>
      <c r="BQ206" s="2246"/>
      <c r="BR206" s="2247"/>
      <c r="BS206" s="2248"/>
      <c r="BT206" s="2249"/>
      <c r="BU206" s="2249"/>
      <c r="BV206" s="2238"/>
      <c r="BW206" s="2264"/>
      <c r="BY206" s="3">
        <v>1</v>
      </c>
    </row>
    <row r="207" spans="2:77" ht="21" customHeight="1">
      <c r="B207" s="2265" t="str" cm="1">
        <f t="array" ref="B207">SUMPRODUCT(--(D207:J207&lt;&gt;""), LEN(TRIM(SUBSTITUTE(D207:J207, CHAR(160), "")))) &amp; " Car."</f>
        <v>0 Car.</v>
      </c>
      <c r="C207" s="1376" t="str">
        <f>IF(ISBLANK(D207),"",LARGE(C13:C206,1)+1)</f>
        <v/>
      </c>
      <c r="D207" s="1833"/>
      <c r="E207" s="1810"/>
      <c r="F207" s="1810"/>
      <c r="G207" s="1810"/>
      <c r="H207" s="1810"/>
      <c r="I207" s="1810"/>
      <c r="J207" s="1810"/>
      <c r="K207" s="1810"/>
      <c r="L207" s="1811"/>
      <c r="M207" s="9"/>
      <c r="N207" s="2252" t="s">
        <v>15</v>
      </c>
      <c r="O207" s="2237"/>
      <c r="P207" s="2237"/>
      <c r="Q207" s="2237"/>
      <c r="R207" s="2237"/>
      <c r="S207" s="2240"/>
      <c r="T207" s="2241"/>
      <c r="U207" s="2239"/>
      <c r="V207" s="2242"/>
      <c r="W207" s="2250"/>
      <c r="X207" s="2244"/>
      <c r="Y207" s="2244"/>
      <c r="Z207" s="2245"/>
      <c r="AA207" s="2246"/>
      <c r="AB207" s="2247"/>
      <c r="AC207" s="2248"/>
      <c r="AD207" s="2249"/>
      <c r="AE207" s="2249"/>
      <c r="AF207" s="2238"/>
      <c r="AG207" s="2264"/>
      <c r="AH207" s="918"/>
      <c r="AI207" s="2252" t="s">
        <v>15</v>
      </c>
      <c r="AJ207" s="2237"/>
      <c r="AK207" s="2237"/>
      <c r="AL207" s="2237"/>
      <c r="AM207" s="2237"/>
      <c r="AN207" s="2240"/>
      <c r="AO207" s="2241"/>
      <c r="AP207" s="2239"/>
      <c r="AQ207" s="2242"/>
      <c r="AR207" s="2250"/>
      <c r="AS207" s="2244"/>
      <c r="AT207" s="2244"/>
      <c r="AU207" s="2245"/>
      <c r="AV207" s="2246"/>
      <c r="AW207" s="2247"/>
      <c r="AX207" s="2248"/>
      <c r="AY207" s="2249"/>
      <c r="AZ207" s="2249"/>
      <c r="BA207" s="2238"/>
      <c r="BB207" s="2264"/>
      <c r="BC207" s="918"/>
      <c r="BD207" s="2252" t="s">
        <v>15</v>
      </c>
      <c r="BE207" s="2237"/>
      <c r="BF207" s="2237"/>
      <c r="BG207" s="2237"/>
      <c r="BH207" s="2237"/>
      <c r="BI207" s="2240"/>
      <c r="BJ207" s="2241"/>
      <c r="BK207" s="2239"/>
      <c r="BL207" s="2242"/>
      <c r="BM207" s="2250"/>
      <c r="BN207" s="2244"/>
      <c r="BO207" s="2244"/>
      <c r="BP207" s="2245"/>
      <c r="BQ207" s="2246"/>
      <c r="BR207" s="2247"/>
      <c r="BS207" s="2248"/>
      <c r="BT207" s="2249"/>
      <c r="BU207" s="2249"/>
      <c r="BV207" s="2238"/>
      <c r="BW207" s="2264"/>
      <c r="BY207" s="3">
        <v>1</v>
      </c>
    </row>
    <row r="208" spans="2:77" ht="21" customHeight="1">
      <c r="B208" s="2265" t="str" cm="1">
        <f t="array" ref="B208">SUMPRODUCT(--(D208:J208&lt;&gt;""), LEN(TRIM(SUBSTITUTE(D208:J208, CHAR(160), "")))) &amp; " Car."</f>
        <v>0 Car.</v>
      </c>
      <c r="C208" s="1376" t="str">
        <f>IF(ISBLANK(D208),"",LARGE(C13:C207,1)+1)</f>
        <v/>
      </c>
      <c r="D208" s="1833"/>
      <c r="E208" s="1810"/>
      <c r="F208" s="1810"/>
      <c r="G208" s="1810"/>
      <c r="H208" s="1810"/>
      <c r="I208" s="1810"/>
      <c r="J208" s="1810"/>
      <c r="K208" s="1810"/>
      <c r="L208" s="1811"/>
      <c r="M208" s="9"/>
      <c r="N208" s="2252" t="s">
        <v>15</v>
      </c>
      <c r="O208" s="2237"/>
      <c r="P208" s="2237"/>
      <c r="Q208" s="2237"/>
      <c r="R208" s="2237"/>
      <c r="S208" s="2240"/>
      <c r="T208" s="2241"/>
      <c r="U208" s="2239"/>
      <c r="V208" s="2242"/>
      <c r="W208" s="2250"/>
      <c r="X208" s="2244"/>
      <c r="Y208" s="2244"/>
      <c r="Z208" s="2245"/>
      <c r="AA208" s="2246"/>
      <c r="AB208" s="2247"/>
      <c r="AC208" s="2248"/>
      <c r="AD208" s="2249"/>
      <c r="AE208" s="2249"/>
      <c r="AF208" s="2238"/>
      <c r="AG208" s="2264"/>
      <c r="AH208" s="918"/>
      <c r="AI208" s="2252" t="s">
        <v>15</v>
      </c>
      <c r="AJ208" s="2237"/>
      <c r="AK208" s="2237"/>
      <c r="AL208" s="2237"/>
      <c r="AM208" s="2237"/>
      <c r="AN208" s="2240"/>
      <c r="AO208" s="2241"/>
      <c r="AP208" s="2239"/>
      <c r="AQ208" s="2242"/>
      <c r="AR208" s="2250"/>
      <c r="AS208" s="2244"/>
      <c r="AT208" s="2244"/>
      <c r="AU208" s="2245"/>
      <c r="AV208" s="2246"/>
      <c r="AW208" s="2247"/>
      <c r="AX208" s="2248"/>
      <c r="AY208" s="2249"/>
      <c r="AZ208" s="2249"/>
      <c r="BA208" s="2238"/>
      <c r="BB208" s="2264"/>
      <c r="BC208" s="918"/>
      <c r="BD208" s="2252" t="s">
        <v>15</v>
      </c>
      <c r="BE208" s="2237"/>
      <c r="BF208" s="2237"/>
      <c r="BG208" s="2237"/>
      <c r="BH208" s="2237"/>
      <c r="BI208" s="2240"/>
      <c r="BJ208" s="2241"/>
      <c r="BK208" s="2239"/>
      <c r="BL208" s="2242"/>
      <c r="BM208" s="2250"/>
      <c r="BN208" s="2244"/>
      <c r="BO208" s="2244"/>
      <c r="BP208" s="2245"/>
      <c r="BQ208" s="2246"/>
      <c r="BR208" s="2247"/>
      <c r="BS208" s="2248"/>
      <c r="BT208" s="2249"/>
      <c r="BU208" s="2249"/>
      <c r="BV208" s="2238"/>
      <c r="BW208" s="2264"/>
      <c r="BY208" s="3">
        <v>1</v>
      </c>
    </row>
    <row r="209" spans="2:77" ht="21" customHeight="1">
      <c r="B209" s="2265" t="str" cm="1">
        <f t="array" ref="B209">SUMPRODUCT(--(D209:J209&lt;&gt;""), LEN(TRIM(SUBSTITUTE(D209:J209, CHAR(160), "")))) &amp; " Car."</f>
        <v>0 Car.</v>
      </c>
      <c r="C209" s="1376" t="str">
        <f>IF(ISBLANK(D209),"",LARGE(C13:C208,1)+1)</f>
        <v/>
      </c>
      <c r="D209" s="1833"/>
      <c r="E209" s="1810"/>
      <c r="F209" s="1810"/>
      <c r="G209" s="1810"/>
      <c r="H209" s="1810"/>
      <c r="I209" s="1810"/>
      <c r="J209" s="1810"/>
      <c r="K209" s="1810"/>
      <c r="L209" s="1811"/>
      <c r="M209" s="9"/>
      <c r="N209" s="2252" t="s">
        <v>15</v>
      </c>
      <c r="O209" s="2237"/>
      <c r="P209" s="2237"/>
      <c r="Q209" s="2237"/>
      <c r="R209" s="2237"/>
      <c r="S209" s="2240"/>
      <c r="T209" s="2241"/>
      <c r="U209" s="2239"/>
      <c r="V209" s="2242"/>
      <c r="W209" s="2250"/>
      <c r="X209" s="2244"/>
      <c r="Y209" s="2244"/>
      <c r="Z209" s="2245"/>
      <c r="AA209" s="2246"/>
      <c r="AB209" s="2247"/>
      <c r="AC209" s="2248"/>
      <c r="AD209" s="2249"/>
      <c r="AE209" s="2249"/>
      <c r="AF209" s="2238"/>
      <c r="AG209" s="2264"/>
      <c r="AH209" s="918"/>
      <c r="AI209" s="2252" t="s">
        <v>15</v>
      </c>
      <c r="AJ209" s="2237"/>
      <c r="AK209" s="2237"/>
      <c r="AL209" s="2237"/>
      <c r="AM209" s="2237"/>
      <c r="AN209" s="2240"/>
      <c r="AO209" s="2241"/>
      <c r="AP209" s="2239"/>
      <c r="AQ209" s="2242"/>
      <c r="AR209" s="2250"/>
      <c r="AS209" s="2244"/>
      <c r="AT209" s="2244"/>
      <c r="AU209" s="2245"/>
      <c r="AV209" s="2246"/>
      <c r="AW209" s="2247"/>
      <c r="AX209" s="2248"/>
      <c r="AY209" s="2249"/>
      <c r="AZ209" s="2249"/>
      <c r="BA209" s="2238"/>
      <c r="BB209" s="2264"/>
      <c r="BC209" s="918"/>
      <c r="BD209" s="2252" t="s">
        <v>15</v>
      </c>
      <c r="BE209" s="2237"/>
      <c r="BF209" s="2237"/>
      <c r="BG209" s="2237"/>
      <c r="BH209" s="2237"/>
      <c r="BI209" s="2240"/>
      <c r="BJ209" s="2241"/>
      <c r="BK209" s="2239"/>
      <c r="BL209" s="2242"/>
      <c r="BM209" s="2250"/>
      <c r="BN209" s="2244"/>
      <c r="BO209" s="2244"/>
      <c r="BP209" s="2245"/>
      <c r="BQ209" s="2246"/>
      <c r="BR209" s="2247"/>
      <c r="BS209" s="2248"/>
      <c r="BT209" s="2249"/>
      <c r="BU209" s="2249"/>
      <c r="BV209" s="2238"/>
      <c r="BW209" s="2264"/>
      <c r="BY209" s="3">
        <v>1</v>
      </c>
    </row>
    <row r="210" spans="2:77" ht="21" customHeight="1">
      <c r="B210" s="2265" t="str" cm="1">
        <f t="array" ref="B210">SUMPRODUCT(--(D210:J210&lt;&gt;""), LEN(TRIM(SUBSTITUTE(D210:J210, CHAR(160), "")))) &amp; " Car."</f>
        <v>0 Car.</v>
      </c>
      <c r="C210" s="1376" t="str">
        <f>IF(ISBLANK(D210),"",LARGE(C13:C209,1)+1)</f>
        <v/>
      </c>
      <c r="D210" s="1833"/>
      <c r="E210" s="1810"/>
      <c r="F210" s="1810"/>
      <c r="G210" s="1810"/>
      <c r="H210" s="1810"/>
      <c r="I210" s="1810"/>
      <c r="J210" s="1810"/>
      <c r="K210" s="1810"/>
      <c r="L210" s="1811"/>
      <c r="M210" s="9"/>
      <c r="N210" s="2252" t="s">
        <v>15</v>
      </c>
      <c r="O210" s="2237"/>
      <c r="P210" s="2237"/>
      <c r="Q210" s="2237"/>
      <c r="R210" s="2237"/>
      <c r="S210" s="2240"/>
      <c r="T210" s="2241"/>
      <c r="U210" s="2239"/>
      <c r="V210" s="2242"/>
      <c r="W210" s="2250"/>
      <c r="X210" s="2244"/>
      <c r="Y210" s="2244"/>
      <c r="Z210" s="2245"/>
      <c r="AA210" s="2246"/>
      <c r="AB210" s="2247"/>
      <c r="AC210" s="2248"/>
      <c r="AD210" s="2249"/>
      <c r="AE210" s="2249"/>
      <c r="AF210" s="2238"/>
      <c r="AG210" s="2264"/>
      <c r="AH210" s="918"/>
      <c r="AI210" s="2252" t="s">
        <v>15</v>
      </c>
      <c r="AJ210" s="2237"/>
      <c r="AK210" s="2237"/>
      <c r="AL210" s="2237"/>
      <c r="AM210" s="2237"/>
      <c r="AN210" s="2240"/>
      <c r="AO210" s="2241"/>
      <c r="AP210" s="2239"/>
      <c r="AQ210" s="2242"/>
      <c r="AR210" s="2250"/>
      <c r="AS210" s="2244"/>
      <c r="AT210" s="2244"/>
      <c r="AU210" s="2245"/>
      <c r="AV210" s="2246"/>
      <c r="AW210" s="2247"/>
      <c r="AX210" s="2248"/>
      <c r="AY210" s="2249"/>
      <c r="AZ210" s="2249"/>
      <c r="BA210" s="2238"/>
      <c r="BB210" s="2264"/>
      <c r="BC210" s="918"/>
      <c r="BD210" s="2252" t="s">
        <v>15</v>
      </c>
      <c r="BE210" s="2237"/>
      <c r="BF210" s="2237"/>
      <c r="BG210" s="2237"/>
      <c r="BH210" s="2237"/>
      <c r="BI210" s="2240"/>
      <c r="BJ210" s="2241"/>
      <c r="BK210" s="2239"/>
      <c r="BL210" s="2242"/>
      <c r="BM210" s="2250"/>
      <c r="BN210" s="2244"/>
      <c r="BO210" s="2244"/>
      <c r="BP210" s="2245"/>
      <c r="BQ210" s="2246"/>
      <c r="BR210" s="2247"/>
      <c r="BS210" s="2248"/>
      <c r="BT210" s="2249"/>
      <c r="BU210" s="2249"/>
      <c r="BV210" s="2238"/>
      <c r="BW210" s="2264"/>
      <c r="BY210" s="3">
        <v>1</v>
      </c>
    </row>
    <row r="211" spans="2:77" ht="21" customHeight="1">
      <c r="B211" s="2265" t="str" cm="1">
        <f t="array" ref="B211">SUMPRODUCT(--(D211:J211&lt;&gt;""), LEN(TRIM(SUBSTITUTE(D211:J211, CHAR(160), "")))) &amp; " Car."</f>
        <v>0 Car.</v>
      </c>
      <c r="C211" s="1376" t="str">
        <f>IF(ISBLANK(D211),"",LARGE(C13:C210,1)+1)</f>
        <v/>
      </c>
      <c r="D211" s="1833"/>
      <c r="E211" s="1810"/>
      <c r="F211" s="1810"/>
      <c r="G211" s="1810"/>
      <c r="H211" s="1810"/>
      <c r="I211" s="1810"/>
      <c r="J211" s="1810"/>
      <c r="K211" s="1810"/>
      <c r="L211" s="1811"/>
      <c r="M211" s="9"/>
      <c r="N211" s="2252" t="s">
        <v>15</v>
      </c>
      <c r="O211" s="2237"/>
      <c r="P211" s="2237"/>
      <c r="Q211" s="2237"/>
      <c r="R211" s="2237"/>
      <c r="S211" s="2240"/>
      <c r="T211" s="2241"/>
      <c r="U211" s="2239"/>
      <c r="V211" s="2242"/>
      <c r="W211" s="2250"/>
      <c r="X211" s="2244"/>
      <c r="Y211" s="2244"/>
      <c r="Z211" s="2245"/>
      <c r="AA211" s="2246"/>
      <c r="AB211" s="2247"/>
      <c r="AC211" s="2248"/>
      <c r="AD211" s="2249"/>
      <c r="AE211" s="2249"/>
      <c r="AF211" s="2238"/>
      <c r="AG211" s="2264"/>
      <c r="AH211" s="918"/>
      <c r="AI211" s="2252" t="s">
        <v>15</v>
      </c>
      <c r="AJ211" s="2237"/>
      <c r="AK211" s="2237"/>
      <c r="AL211" s="2237"/>
      <c r="AM211" s="2237"/>
      <c r="AN211" s="2240"/>
      <c r="AO211" s="2241"/>
      <c r="AP211" s="2239"/>
      <c r="AQ211" s="2242"/>
      <c r="AR211" s="2250"/>
      <c r="AS211" s="2244"/>
      <c r="AT211" s="2244"/>
      <c r="AU211" s="2245"/>
      <c r="AV211" s="2246"/>
      <c r="AW211" s="2247"/>
      <c r="AX211" s="2248"/>
      <c r="AY211" s="2249"/>
      <c r="AZ211" s="2249"/>
      <c r="BA211" s="2238"/>
      <c r="BB211" s="2264"/>
      <c r="BC211" s="918"/>
      <c r="BD211" s="2252" t="s">
        <v>15</v>
      </c>
      <c r="BE211" s="2237"/>
      <c r="BF211" s="2237"/>
      <c r="BG211" s="2237"/>
      <c r="BH211" s="2237"/>
      <c r="BI211" s="2240"/>
      <c r="BJ211" s="2241"/>
      <c r="BK211" s="2239"/>
      <c r="BL211" s="2242"/>
      <c r="BM211" s="2250"/>
      <c r="BN211" s="2244"/>
      <c r="BO211" s="2244"/>
      <c r="BP211" s="2245"/>
      <c r="BQ211" s="2246"/>
      <c r="BR211" s="2247"/>
      <c r="BS211" s="2248"/>
      <c r="BT211" s="2249"/>
      <c r="BU211" s="2249"/>
      <c r="BV211" s="2238"/>
      <c r="BW211" s="2264"/>
      <c r="BY211" s="3">
        <v>1</v>
      </c>
    </row>
    <row r="212" spans="2:77" ht="21" customHeight="1">
      <c r="B212" s="2265" t="str" cm="1">
        <f t="array" ref="B212">SUMPRODUCT(--(D212:J212&lt;&gt;""), LEN(TRIM(SUBSTITUTE(D212:J212, CHAR(160), "")))) &amp; " Car."</f>
        <v>0 Car.</v>
      </c>
      <c r="C212" s="1376" t="str">
        <f>IF(ISBLANK(D212),"",LARGE(C13:C211,1)+1)</f>
        <v/>
      </c>
      <c r="D212" s="1833"/>
      <c r="E212" s="1810"/>
      <c r="F212" s="1810"/>
      <c r="G212" s="1810"/>
      <c r="H212" s="1810"/>
      <c r="I212" s="1810"/>
      <c r="J212" s="1810"/>
      <c r="K212" s="1810"/>
      <c r="L212" s="1811"/>
      <c r="M212" s="9"/>
      <c r="N212" s="2252" t="s">
        <v>15</v>
      </c>
      <c r="O212" s="2237"/>
      <c r="P212" s="2237"/>
      <c r="Q212" s="2237"/>
      <c r="R212" s="2237"/>
      <c r="S212" s="2240"/>
      <c r="T212" s="2241"/>
      <c r="U212" s="2239"/>
      <c r="V212" s="2242"/>
      <c r="W212" s="2250"/>
      <c r="X212" s="2244"/>
      <c r="Y212" s="2244"/>
      <c r="Z212" s="2245"/>
      <c r="AA212" s="2246"/>
      <c r="AB212" s="2247"/>
      <c r="AC212" s="2248"/>
      <c r="AD212" s="2249"/>
      <c r="AE212" s="2249"/>
      <c r="AF212" s="2238"/>
      <c r="AG212" s="2264"/>
      <c r="AH212" s="918"/>
      <c r="AI212" s="2252" t="s">
        <v>15</v>
      </c>
      <c r="AJ212" s="2237"/>
      <c r="AK212" s="2237"/>
      <c r="AL212" s="2237"/>
      <c r="AM212" s="2237"/>
      <c r="AN212" s="2240"/>
      <c r="AO212" s="2241"/>
      <c r="AP212" s="2239"/>
      <c r="AQ212" s="2242"/>
      <c r="AR212" s="2250"/>
      <c r="AS212" s="2244"/>
      <c r="AT212" s="2244"/>
      <c r="AU212" s="2245"/>
      <c r="AV212" s="2246"/>
      <c r="AW212" s="2247"/>
      <c r="AX212" s="2248"/>
      <c r="AY212" s="2249"/>
      <c r="AZ212" s="2249"/>
      <c r="BA212" s="2238"/>
      <c r="BB212" s="2264"/>
      <c r="BC212" s="918"/>
      <c r="BD212" s="2252" t="s">
        <v>15</v>
      </c>
      <c r="BE212" s="2237"/>
      <c r="BF212" s="2237"/>
      <c r="BG212" s="2237"/>
      <c r="BH212" s="2237"/>
      <c r="BI212" s="2240"/>
      <c r="BJ212" s="2241"/>
      <c r="BK212" s="2239"/>
      <c r="BL212" s="2242"/>
      <c r="BM212" s="2250"/>
      <c r="BN212" s="2244"/>
      <c r="BO212" s="2244"/>
      <c r="BP212" s="2245"/>
      <c r="BQ212" s="2246"/>
      <c r="BR212" s="2247"/>
      <c r="BS212" s="2248"/>
      <c r="BT212" s="2249"/>
      <c r="BU212" s="2249"/>
      <c r="BV212" s="2238"/>
      <c r="BW212" s="2264"/>
      <c r="BY212" s="3">
        <v>1</v>
      </c>
    </row>
    <row r="213" spans="2:77" ht="21" customHeight="1">
      <c r="B213" s="2265" t="str" cm="1">
        <f t="array" ref="B213">SUMPRODUCT(--(D213:J213&lt;&gt;""), LEN(TRIM(SUBSTITUTE(D213:J213, CHAR(160), "")))) &amp; " Car."</f>
        <v>0 Car.</v>
      </c>
      <c r="C213" s="1376" t="str">
        <f>IF(ISBLANK(D213),"",LARGE(C13:C212,1)+1)</f>
        <v/>
      </c>
      <c r="D213" s="1833"/>
      <c r="E213" s="1810"/>
      <c r="F213" s="1810"/>
      <c r="G213" s="1810"/>
      <c r="H213" s="1810"/>
      <c r="I213" s="1810"/>
      <c r="J213" s="1810"/>
      <c r="K213" s="1810"/>
      <c r="L213" s="1811"/>
      <c r="M213" s="9"/>
      <c r="N213" s="2252" t="s">
        <v>15</v>
      </c>
      <c r="O213" s="2237"/>
      <c r="P213" s="2237"/>
      <c r="Q213" s="2237"/>
      <c r="R213" s="2237"/>
      <c r="S213" s="2240"/>
      <c r="T213" s="2241"/>
      <c r="U213" s="2239"/>
      <c r="V213" s="2242"/>
      <c r="W213" s="2250"/>
      <c r="X213" s="2244"/>
      <c r="Y213" s="2244"/>
      <c r="Z213" s="2245"/>
      <c r="AA213" s="2246"/>
      <c r="AB213" s="2247"/>
      <c r="AC213" s="2248"/>
      <c r="AD213" s="2249"/>
      <c r="AE213" s="2249"/>
      <c r="AF213" s="2238"/>
      <c r="AG213" s="2264"/>
      <c r="AH213" s="918"/>
      <c r="AI213" s="2252" t="s">
        <v>15</v>
      </c>
      <c r="AJ213" s="2237"/>
      <c r="AK213" s="2237"/>
      <c r="AL213" s="2237"/>
      <c r="AM213" s="2237"/>
      <c r="AN213" s="2240"/>
      <c r="AO213" s="2241"/>
      <c r="AP213" s="2239"/>
      <c r="AQ213" s="2242"/>
      <c r="AR213" s="2250"/>
      <c r="AS213" s="2244"/>
      <c r="AT213" s="2244"/>
      <c r="AU213" s="2245"/>
      <c r="AV213" s="2246"/>
      <c r="AW213" s="2247"/>
      <c r="AX213" s="2248"/>
      <c r="AY213" s="2249"/>
      <c r="AZ213" s="2249"/>
      <c r="BA213" s="2238"/>
      <c r="BB213" s="2264"/>
      <c r="BC213" s="918"/>
      <c r="BD213" s="2252" t="s">
        <v>15</v>
      </c>
      <c r="BE213" s="2237"/>
      <c r="BF213" s="2237"/>
      <c r="BG213" s="2237"/>
      <c r="BH213" s="2237"/>
      <c r="BI213" s="2240"/>
      <c r="BJ213" s="2241"/>
      <c r="BK213" s="2239"/>
      <c r="BL213" s="2242"/>
      <c r="BM213" s="2250"/>
      <c r="BN213" s="2244"/>
      <c r="BO213" s="2244"/>
      <c r="BP213" s="2245"/>
      <c r="BQ213" s="2246"/>
      <c r="BR213" s="2247"/>
      <c r="BS213" s="2248"/>
      <c r="BT213" s="2249"/>
      <c r="BU213" s="2249"/>
      <c r="BV213" s="2238"/>
      <c r="BW213" s="2264"/>
      <c r="BY213" s="3">
        <v>1</v>
      </c>
    </row>
    <row r="214" spans="2:77" ht="21" customHeight="1">
      <c r="B214" s="2265" t="str" cm="1">
        <f t="array" ref="B214">SUMPRODUCT(--(D214:J214&lt;&gt;""), LEN(TRIM(SUBSTITUTE(D214:J214, CHAR(160), "")))) &amp; " Car."</f>
        <v>0 Car.</v>
      </c>
      <c r="C214" s="1376" t="str">
        <f>IF(ISBLANK(D214),"",LARGE(C13:C213,1)+1)</f>
        <v/>
      </c>
      <c r="D214" s="1833"/>
      <c r="E214" s="1810"/>
      <c r="F214" s="1810"/>
      <c r="G214" s="1810"/>
      <c r="H214" s="1810"/>
      <c r="I214" s="1810"/>
      <c r="J214" s="1810"/>
      <c r="K214" s="1810"/>
      <c r="L214" s="1811"/>
      <c r="M214" s="9"/>
      <c r="N214" s="2252" t="s">
        <v>15</v>
      </c>
      <c r="O214" s="2237"/>
      <c r="P214" s="2237"/>
      <c r="Q214" s="2237"/>
      <c r="R214" s="2237"/>
      <c r="S214" s="2240"/>
      <c r="T214" s="2241"/>
      <c r="U214" s="2239"/>
      <c r="V214" s="2242"/>
      <c r="W214" s="2250"/>
      <c r="X214" s="2244"/>
      <c r="Y214" s="2244"/>
      <c r="Z214" s="2245"/>
      <c r="AA214" s="2246"/>
      <c r="AB214" s="2247"/>
      <c r="AC214" s="2248"/>
      <c r="AD214" s="2249"/>
      <c r="AE214" s="2249"/>
      <c r="AF214" s="2238"/>
      <c r="AG214" s="2264"/>
      <c r="AH214" s="918"/>
      <c r="AI214" s="2252" t="s">
        <v>15</v>
      </c>
      <c r="AJ214" s="2237"/>
      <c r="AK214" s="2237"/>
      <c r="AL214" s="2237"/>
      <c r="AM214" s="2237"/>
      <c r="AN214" s="2240"/>
      <c r="AO214" s="2241"/>
      <c r="AP214" s="2239"/>
      <c r="AQ214" s="2242"/>
      <c r="AR214" s="2250"/>
      <c r="AS214" s="2244"/>
      <c r="AT214" s="2244"/>
      <c r="AU214" s="2245"/>
      <c r="AV214" s="2246"/>
      <c r="AW214" s="2247"/>
      <c r="AX214" s="2248"/>
      <c r="AY214" s="2249"/>
      <c r="AZ214" s="2249"/>
      <c r="BA214" s="2238"/>
      <c r="BB214" s="2264"/>
      <c r="BC214" s="918"/>
      <c r="BD214" s="2252" t="s">
        <v>15</v>
      </c>
      <c r="BE214" s="2237"/>
      <c r="BF214" s="2237"/>
      <c r="BG214" s="2237"/>
      <c r="BH214" s="2237"/>
      <c r="BI214" s="2240"/>
      <c r="BJ214" s="2241"/>
      <c r="BK214" s="2239"/>
      <c r="BL214" s="2242"/>
      <c r="BM214" s="2250"/>
      <c r="BN214" s="2244"/>
      <c r="BO214" s="2244"/>
      <c r="BP214" s="2245"/>
      <c r="BQ214" s="2246"/>
      <c r="BR214" s="2247"/>
      <c r="BS214" s="2248"/>
      <c r="BT214" s="2249"/>
      <c r="BU214" s="2249"/>
      <c r="BV214" s="2238"/>
      <c r="BW214" s="2264"/>
      <c r="BY214" s="3">
        <v>1</v>
      </c>
    </row>
    <row r="215" spans="2:77" ht="21" customHeight="1">
      <c r="B215" s="2265" t="str" cm="1">
        <f t="array" ref="B215">SUMPRODUCT(--(D215:J215&lt;&gt;""), LEN(TRIM(SUBSTITUTE(D215:J215, CHAR(160), "")))) &amp; " Car."</f>
        <v>0 Car.</v>
      </c>
      <c r="C215" s="1376" t="str">
        <f>IF(ISBLANK(D215),"",LARGE(C13:C214,1)+1)</f>
        <v/>
      </c>
      <c r="D215" s="1833"/>
      <c r="E215" s="1810"/>
      <c r="F215" s="1810"/>
      <c r="G215" s="1810"/>
      <c r="H215" s="1810"/>
      <c r="I215" s="1810"/>
      <c r="J215" s="1810"/>
      <c r="K215" s="1810"/>
      <c r="L215" s="1811"/>
      <c r="M215" s="9"/>
      <c r="N215" s="2252" t="s">
        <v>15</v>
      </c>
      <c r="O215" s="2237"/>
      <c r="P215" s="2237"/>
      <c r="Q215" s="2237"/>
      <c r="R215" s="2237"/>
      <c r="S215" s="2240"/>
      <c r="T215" s="2241"/>
      <c r="U215" s="2239"/>
      <c r="V215" s="2242"/>
      <c r="W215" s="2250"/>
      <c r="X215" s="2244"/>
      <c r="Y215" s="2244"/>
      <c r="Z215" s="2245"/>
      <c r="AA215" s="2246"/>
      <c r="AB215" s="2247"/>
      <c r="AC215" s="2248"/>
      <c r="AD215" s="2249"/>
      <c r="AE215" s="2249"/>
      <c r="AF215" s="2238"/>
      <c r="AG215" s="2264"/>
      <c r="AH215" s="918"/>
      <c r="AI215" s="2252" t="s">
        <v>15</v>
      </c>
      <c r="AJ215" s="2237"/>
      <c r="AK215" s="2237"/>
      <c r="AL215" s="2237"/>
      <c r="AM215" s="2237"/>
      <c r="AN215" s="2240"/>
      <c r="AO215" s="2241"/>
      <c r="AP215" s="2239"/>
      <c r="AQ215" s="2242"/>
      <c r="AR215" s="2250"/>
      <c r="AS215" s="2244"/>
      <c r="AT215" s="2244"/>
      <c r="AU215" s="2245"/>
      <c r="AV215" s="2246"/>
      <c r="AW215" s="2247"/>
      <c r="AX215" s="2248"/>
      <c r="AY215" s="2249"/>
      <c r="AZ215" s="2249"/>
      <c r="BA215" s="2238"/>
      <c r="BB215" s="2264"/>
      <c r="BC215" s="918"/>
      <c r="BD215" s="2252" t="s">
        <v>15</v>
      </c>
      <c r="BE215" s="2237"/>
      <c r="BF215" s="2237"/>
      <c r="BG215" s="2237"/>
      <c r="BH215" s="2237"/>
      <c r="BI215" s="2240"/>
      <c r="BJ215" s="2241"/>
      <c r="BK215" s="2239"/>
      <c r="BL215" s="2242"/>
      <c r="BM215" s="2250"/>
      <c r="BN215" s="2244"/>
      <c r="BO215" s="2244"/>
      <c r="BP215" s="2245"/>
      <c r="BQ215" s="2246"/>
      <c r="BR215" s="2247"/>
      <c r="BS215" s="2248"/>
      <c r="BT215" s="2249"/>
      <c r="BU215" s="2249"/>
      <c r="BV215" s="2238"/>
      <c r="BW215" s="2264"/>
      <c r="BY215" s="3">
        <v>1</v>
      </c>
    </row>
    <row r="216" spans="2:77" ht="21" customHeight="1">
      <c r="B216" s="2265" t="str" cm="1">
        <f t="array" ref="B216">SUMPRODUCT(--(D216:J216&lt;&gt;""), LEN(TRIM(SUBSTITUTE(D216:J216, CHAR(160), "")))) &amp; " Car."</f>
        <v>0 Car.</v>
      </c>
      <c r="C216" s="1376" t="str">
        <f>IF(ISBLANK(D216),"",LARGE(C13:C215,1)+1)</f>
        <v/>
      </c>
      <c r="D216" s="1833"/>
      <c r="E216" s="1810"/>
      <c r="F216" s="1810"/>
      <c r="G216" s="1810"/>
      <c r="H216" s="1810"/>
      <c r="I216" s="1810"/>
      <c r="J216" s="1810"/>
      <c r="K216" s="1810"/>
      <c r="L216" s="1811"/>
      <c r="M216" s="9"/>
      <c r="N216" s="2252" t="s">
        <v>15</v>
      </c>
      <c r="O216" s="2237"/>
      <c r="P216" s="2237"/>
      <c r="Q216" s="2237"/>
      <c r="R216" s="2237"/>
      <c r="S216" s="2240"/>
      <c r="T216" s="2241"/>
      <c r="U216" s="2239"/>
      <c r="V216" s="2242"/>
      <c r="W216" s="2250"/>
      <c r="X216" s="2244"/>
      <c r="Y216" s="2244"/>
      <c r="Z216" s="2245"/>
      <c r="AA216" s="2246"/>
      <c r="AB216" s="2247"/>
      <c r="AC216" s="2248"/>
      <c r="AD216" s="2249"/>
      <c r="AE216" s="2249"/>
      <c r="AF216" s="2238"/>
      <c r="AG216" s="2264"/>
      <c r="AH216" s="918"/>
      <c r="AI216" s="2252" t="s">
        <v>15</v>
      </c>
      <c r="AJ216" s="2237"/>
      <c r="AK216" s="2237"/>
      <c r="AL216" s="2237"/>
      <c r="AM216" s="2237"/>
      <c r="AN216" s="2240"/>
      <c r="AO216" s="2241"/>
      <c r="AP216" s="2239"/>
      <c r="AQ216" s="2242"/>
      <c r="AR216" s="2250"/>
      <c r="AS216" s="2244"/>
      <c r="AT216" s="2244"/>
      <c r="AU216" s="2245"/>
      <c r="AV216" s="2246"/>
      <c r="AW216" s="2247"/>
      <c r="AX216" s="2248"/>
      <c r="AY216" s="2249"/>
      <c r="AZ216" s="2249"/>
      <c r="BA216" s="2238"/>
      <c r="BB216" s="2264"/>
      <c r="BC216" s="918"/>
      <c r="BD216" s="2252" t="s">
        <v>15</v>
      </c>
      <c r="BE216" s="2237"/>
      <c r="BF216" s="2237"/>
      <c r="BG216" s="2237"/>
      <c r="BH216" s="2237"/>
      <c r="BI216" s="2240"/>
      <c r="BJ216" s="2241"/>
      <c r="BK216" s="2239"/>
      <c r="BL216" s="2242"/>
      <c r="BM216" s="2250"/>
      <c r="BN216" s="2244"/>
      <c r="BO216" s="2244"/>
      <c r="BP216" s="2245"/>
      <c r="BQ216" s="2246"/>
      <c r="BR216" s="2247"/>
      <c r="BS216" s="2248"/>
      <c r="BT216" s="2249"/>
      <c r="BU216" s="2249"/>
      <c r="BV216" s="2238"/>
      <c r="BW216" s="2264"/>
      <c r="BY216" s="3">
        <v>1</v>
      </c>
    </row>
    <row r="217" spans="2:77" ht="21" customHeight="1">
      <c r="B217" s="2265" t="str" cm="1">
        <f t="array" ref="B217">SUMPRODUCT(--(D217:J217&lt;&gt;""), LEN(TRIM(SUBSTITUTE(D217:J217, CHAR(160), "")))) &amp; " Car."</f>
        <v>0 Car.</v>
      </c>
      <c r="C217" s="1376" t="str">
        <f>IF(ISBLANK(D217),"",LARGE(C13:C216,1)+1)</f>
        <v/>
      </c>
      <c r="D217" s="1833"/>
      <c r="E217" s="1810"/>
      <c r="F217" s="1810"/>
      <c r="G217" s="1810"/>
      <c r="H217" s="1810"/>
      <c r="I217" s="1810"/>
      <c r="J217" s="1810"/>
      <c r="K217" s="1810"/>
      <c r="L217" s="1811"/>
      <c r="M217" s="9"/>
      <c r="N217" s="2252" t="s">
        <v>15</v>
      </c>
      <c r="O217" s="2237"/>
      <c r="P217" s="2237"/>
      <c r="Q217" s="2237"/>
      <c r="R217" s="2237"/>
      <c r="S217" s="2240"/>
      <c r="T217" s="2241"/>
      <c r="U217" s="2239"/>
      <c r="V217" s="2242"/>
      <c r="W217" s="2250"/>
      <c r="X217" s="2244"/>
      <c r="Y217" s="2244"/>
      <c r="Z217" s="2245"/>
      <c r="AA217" s="2246"/>
      <c r="AB217" s="2247"/>
      <c r="AC217" s="2248"/>
      <c r="AD217" s="2249"/>
      <c r="AE217" s="2249"/>
      <c r="AF217" s="2238"/>
      <c r="AG217" s="2264"/>
      <c r="AH217" s="918"/>
      <c r="AI217" s="2252" t="s">
        <v>15</v>
      </c>
      <c r="AJ217" s="2237"/>
      <c r="AK217" s="2237"/>
      <c r="AL217" s="2237"/>
      <c r="AM217" s="2237"/>
      <c r="AN217" s="2240"/>
      <c r="AO217" s="2241"/>
      <c r="AP217" s="2239"/>
      <c r="AQ217" s="2242"/>
      <c r="AR217" s="2250"/>
      <c r="AS217" s="2244"/>
      <c r="AT217" s="2244"/>
      <c r="AU217" s="2245"/>
      <c r="AV217" s="2246"/>
      <c r="AW217" s="2247"/>
      <c r="AX217" s="2248"/>
      <c r="AY217" s="2249"/>
      <c r="AZ217" s="2249"/>
      <c r="BA217" s="2238"/>
      <c r="BB217" s="2264"/>
      <c r="BC217" s="918"/>
      <c r="BD217" s="2252" t="s">
        <v>15</v>
      </c>
      <c r="BE217" s="2237"/>
      <c r="BF217" s="2237"/>
      <c r="BG217" s="2237"/>
      <c r="BH217" s="2237"/>
      <c r="BI217" s="2240"/>
      <c r="BJ217" s="2241"/>
      <c r="BK217" s="2239"/>
      <c r="BL217" s="2242"/>
      <c r="BM217" s="2250"/>
      <c r="BN217" s="2244"/>
      <c r="BO217" s="2244"/>
      <c r="BP217" s="2245"/>
      <c r="BQ217" s="2246"/>
      <c r="BR217" s="2247"/>
      <c r="BS217" s="2248"/>
      <c r="BT217" s="2249"/>
      <c r="BU217" s="2249"/>
      <c r="BV217" s="2238"/>
      <c r="BW217" s="2264"/>
      <c r="BY217" s="3">
        <v>1</v>
      </c>
    </row>
    <row r="218" spans="2:77" ht="21" customHeight="1">
      <c r="B218" s="2265" t="str" cm="1">
        <f t="array" ref="B218">SUMPRODUCT(--(D218:J218&lt;&gt;""), LEN(TRIM(SUBSTITUTE(D218:J218, CHAR(160), "")))) &amp; " Car."</f>
        <v>0 Car.</v>
      </c>
      <c r="C218" s="1376" t="str">
        <f>IF(ISBLANK(D218),"",LARGE(C13:C217,1)+1)</f>
        <v/>
      </c>
      <c r="D218" s="1833"/>
      <c r="E218" s="1810"/>
      <c r="F218" s="1810"/>
      <c r="G218" s="1810"/>
      <c r="H218" s="1810"/>
      <c r="I218" s="1810"/>
      <c r="J218" s="1810"/>
      <c r="K218" s="1810"/>
      <c r="L218" s="1811"/>
      <c r="M218" s="9"/>
      <c r="N218" s="2252" t="s">
        <v>15</v>
      </c>
      <c r="O218" s="2237"/>
      <c r="P218" s="2237"/>
      <c r="Q218" s="2237"/>
      <c r="R218" s="2237"/>
      <c r="S218" s="2240"/>
      <c r="T218" s="2241"/>
      <c r="U218" s="2239"/>
      <c r="V218" s="2242"/>
      <c r="W218" s="2250"/>
      <c r="X218" s="2244"/>
      <c r="Y218" s="2244"/>
      <c r="Z218" s="2245"/>
      <c r="AA218" s="2246"/>
      <c r="AB218" s="2247"/>
      <c r="AC218" s="2248"/>
      <c r="AD218" s="2249"/>
      <c r="AE218" s="2249"/>
      <c r="AF218" s="2238"/>
      <c r="AG218" s="2264"/>
      <c r="AH218" s="918"/>
      <c r="AI218" s="2252" t="s">
        <v>15</v>
      </c>
      <c r="AJ218" s="2237"/>
      <c r="AK218" s="2237"/>
      <c r="AL218" s="2237"/>
      <c r="AM218" s="2237"/>
      <c r="AN218" s="2240"/>
      <c r="AO218" s="2241"/>
      <c r="AP218" s="2239"/>
      <c r="AQ218" s="2242"/>
      <c r="AR218" s="2250"/>
      <c r="AS218" s="2244"/>
      <c r="AT218" s="2244"/>
      <c r="AU218" s="2245"/>
      <c r="AV218" s="2246"/>
      <c r="AW218" s="2247"/>
      <c r="AX218" s="2248"/>
      <c r="AY218" s="2249"/>
      <c r="AZ218" s="2249"/>
      <c r="BA218" s="2238"/>
      <c r="BB218" s="2264"/>
      <c r="BC218" s="918"/>
      <c r="BD218" s="2252" t="s">
        <v>15</v>
      </c>
      <c r="BE218" s="2237"/>
      <c r="BF218" s="2237"/>
      <c r="BG218" s="2237"/>
      <c r="BH218" s="2237"/>
      <c r="BI218" s="2240"/>
      <c r="BJ218" s="2241"/>
      <c r="BK218" s="2239"/>
      <c r="BL218" s="2242"/>
      <c r="BM218" s="2250"/>
      <c r="BN218" s="2244"/>
      <c r="BO218" s="2244"/>
      <c r="BP218" s="2245"/>
      <c r="BQ218" s="2246"/>
      <c r="BR218" s="2247"/>
      <c r="BS218" s="2248"/>
      <c r="BT218" s="2249"/>
      <c r="BU218" s="2249"/>
      <c r="BV218" s="2238"/>
      <c r="BW218" s="2264"/>
      <c r="BY218" s="3">
        <v>1</v>
      </c>
    </row>
    <row r="219" spans="2:77" ht="21" customHeight="1">
      <c r="B219" s="2265" t="str" cm="1">
        <f t="array" ref="B219">SUMPRODUCT(--(D219:J219&lt;&gt;""), LEN(TRIM(SUBSTITUTE(D219:J219, CHAR(160), "")))) &amp; " Car."</f>
        <v>0 Car.</v>
      </c>
      <c r="C219" s="1376" t="str">
        <f>IF(ISBLANK(D219),"",LARGE(C13:C218,1)+1)</f>
        <v/>
      </c>
      <c r="D219" s="1833"/>
      <c r="E219" s="1810"/>
      <c r="F219" s="1810"/>
      <c r="G219" s="1810"/>
      <c r="H219" s="1810"/>
      <c r="I219" s="1810"/>
      <c r="J219" s="1810"/>
      <c r="K219" s="1810"/>
      <c r="L219" s="1811"/>
      <c r="M219" s="9"/>
      <c r="N219" s="2252" t="s">
        <v>15</v>
      </c>
      <c r="O219" s="2237"/>
      <c r="P219" s="2237"/>
      <c r="Q219" s="2237"/>
      <c r="R219" s="2237"/>
      <c r="S219" s="2240"/>
      <c r="T219" s="2241"/>
      <c r="U219" s="2239"/>
      <c r="V219" s="2242"/>
      <c r="W219" s="2250"/>
      <c r="X219" s="2244"/>
      <c r="Y219" s="2244"/>
      <c r="Z219" s="2245"/>
      <c r="AA219" s="2246"/>
      <c r="AB219" s="2247"/>
      <c r="AC219" s="2248"/>
      <c r="AD219" s="2249"/>
      <c r="AE219" s="2249"/>
      <c r="AF219" s="2238"/>
      <c r="AG219" s="2264"/>
      <c r="AH219" s="918"/>
      <c r="AI219" s="2252" t="s">
        <v>15</v>
      </c>
      <c r="AJ219" s="2237"/>
      <c r="AK219" s="2237"/>
      <c r="AL219" s="2237"/>
      <c r="AM219" s="2237"/>
      <c r="AN219" s="2240"/>
      <c r="AO219" s="2241"/>
      <c r="AP219" s="2239"/>
      <c r="AQ219" s="2242"/>
      <c r="AR219" s="2250"/>
      <c r="AS219" s="2244"/>
      <c r="AT219" s="2244"/>
      <c r="AU219" s="2245"/>
      <c r="AV219" s="2246"/>
      <c r="AW219" s="2247"/>
      <c r="AX219" s="2248"/>
      <c r="AY219" s="2249"/>
      <c r="AZ219" s="2249"/>
      <c r="BA219" s="2238"/>
      <c r="BB219" s="2264"/>
      <c r="BC219" s="918"/>
      <c r="BD219" s="2252" t="s">
        <v>15</v>
      </c>
      <c r="BE219" s="2237"/>
      <c r="BF219" s="2237"/>
      <c r="BG219" s="2237"/>
      <c r="BH219" s="2237"/>
      <c r="BI219" s="2240"/>
      <c r="BJ219" s="2241"/>
      <c r="BK219" s="2239"/>
      <c r="BL219" s="2242"/>
      <c r="BM219" s="2250"/>
      <c r="BN219" s="2244"/>
      <c r="BO219" s="2244"/>
      <c r="BP219" s="2245"/>
      <c r="BQ219" s="2246"/>
      <c r="BR219" s="2247"/>
      <c r="BS219" s="2248"/>
      <c r="BT219" s="2249"/>
      <c r="BU219" s="2249"/>
      <c r="BV219" s="2238"/>
      <c r="BW219" s="2264"/>
      <c r="BY219" s="3">
        <v>1</v>
      </c>
    </row>
    <row r="220" spans="2:77" ht="21" customHeight="1">
      <c r="B220" s="2265" t="str" cm="1">
        <f t="array" ref="B220">SUMPRODUCT(--(D220:J220&lt;&gt;""), LEN(TRIM(SUBSTITUTE(D220:J220, CHAR(160), "")))) &amp; " Car."</f>
        <v>0 Car.</v>
      </c>
      <c r="C220" s="1376" t="str">
        <f>IF(ISBLANK(D220),"",LARGE(C13:C219,1)+1)</f>
        <v/>
      </c>
      <c r="D220" s="1833"/>
      <c r="E220" s="1810"/>
      <c r="F220" s="1810"/>
      <c r="G220" s="1810"/>
      <c r="H220" s="1810"/>
      <c r="I220" s="1810"/>
      <c r="J220" s="1810"/>
      <c r="K220" s="1810"/>
      <c r="L220" s="1811"/>
      <c r="M220" s="9"/>
      <c r="N220" s="2252" t="s">
        <v>15</v>
      </c>
      <c r="O220" s="2237"/>
      <c r="P220" s="2237"/>
      <c r="Q220" s="2237"/>
      <c r="R220" s="2237"/>
      <c r="S220" s="2240"/>
      <c r="T220" s="2241"/>
      <c r="U220" s="2239"/>
      <c r="V220" s="2242"/>
      <c r="W220" s="2250"/>
      <c r="X220" s="2244"/>
      <c r="Y220" s="2244"/>
      <c r="Z220" s="2245"/>
      <c r="AA220" s="2246"/>
      <c r="AB220" s="2247"/>
      <c r="AC220" s="2248"/>
      <c r="AD220" s="2249"/>
      <c r="AE220" s="2249"/>
      <c r="AF220" s="2238"/>
      <c r="AG220" s="2264"/>
      <c r="AH220" s="918"/>
      <c r="AI220" s="2252" t="s">
        <v>15</v>
      </c>
      <c r="AJ220" s="2237"/>
      <c r="AK220" s="2237"/>
      <c r="AL220" s="2237"/>
      <c r="AM220" s="2237"/>
      <c r="AN220" s="2240"/>
      <c r="AO220" s="2241"/>
      <c r="AP220" s="2239"/>
      <c r="AQ220" s="2242"/>
      <c r="AR220" s="2250"/>
      <c r="AS220" s="2244"/>
      <c r="AT220" s="2244"/>
      <c r="AU220" s="2245"/>
      <c r="AV220" s="2246"/>
      <c r="AW220" s="2247"/>
      <c r="AX220" s="2248"/>
      <c r="AY220" s="2249"/>
      <c r="AZ220" s="2249"/>
      <c r="BA220" s="2238"/>
      <c r="BB220" s="2264"/>
      <c r="BC220" s="918"/>
      <c r="BD220" s="2252" t="s">
        <v>15</v>
      </c>
      <c r="BE220" s="2237"/>
      <c r="BF220" s="2237"/>
      <c r="BG220" s="2237"/>
      <c r="BH220" s="2237"/>
      <c r="BI220" s="2240"/>
      <c r="BJ220" s="2241"/>
      <c r="BK220" s="2239"/>
      <c r="BL220" s="2242"/>
      <c r="BM220" s="2250"/>
      <c r="BN220" s="2244"/>
      <c r="BO220" s="2244"/>
      <c r="BP220" s="2245"/>
      <c r="BQ220" s="2246"/>
      <c r="BR220" s="2247"/>
      <c r="BS220" s="2248"/>
      <c r="BT220" s="2249"/>
      <c r="BU220" s="2249"/>
      <c r="BV220" s="2238"/>
      <c r="BW220" s="2264"/>
      <c r="BY220" s="3">
        <v>1</v>
      </c>
    </row>
    <row r="221" spans="2:77" ht="21" customHeight="1">
      <c r="B221" s="2265" t="str" cm="1">
        <f t="array" ref="B221">SUMPRODUCT(--(D221:J221&lt;&gt;""), LEN(TRIM(SUBSTITUTE(D221:J221, CHAR(160), "")))) &amp; " Car."</f>
        <v>0 Car.</v>
      </c>
      <c r="C221" s="1376" t="str">
        <f>IF(ISBLANK(D221),"",LARGE(C13:C220,1)+1)</f>
        <v/>
      </c>
      <c r="D221" s="1833"/>
      <c r="E221" s="1810"/>
      <c r="F221" s="1810"/>
      <c r="G221" s="1810"/>
      <c r="H221" s="1810"/>
      <c r="I221" s="1810"/>
      <c r="J221" s="1810"/>
      <c r="K221" s="1810"/>
      <c r="L221" s="1811"/>
      <c r="M221" s="9"/>
      <c r="N221" s="2252" t="s">
        <v>15</v>
      </c>
      <c r="O221" s="2237"/>
      <c r="P221" s="2237"/>
      <c r="Q221" s="2237"/>
      <c r="R221" s="2237"/>
      <c r="S221" s="2240"/>
      <c r="T221" s="2241"/>
      <c r="U221" s="2239"/>
      <c r="V221" s="2242"/>
      <c r="W221" s="2250"/>
      <c r="X221" s="2244"/>
      <c r="Y221" s="2244"/>
      <c r="Z221" s="2245"/>
      <c r="AA221" s="2246"/>
      <c r="AB221" s="2247"/>
      <c r="AC221" s="2248"/>
      <c r="AD221" s="2249"/>
      <c r="AE221" s="2249"/>
      <c r="AF221" s="2238"/>
      <c r="AG221" s="2264"/>
      <c r="AH221" s="918"/>
      <c r="AI221" s="2252" t="s">
        <v>15</v>
      </c>
      <c r="AJ221" s="2237"/>
      <c r="AK221" s="2237"/>
      <c r="AL221" s="2237"/>
      <c r="AM221" s="2237"/>
      <c r="AN221" s="2240"/>
      <c r="AO221" s="2241"/>
      <c r="AP221" s="2239"/>
      <c r="AQ221" s="2242"/>
      <c r="AR221" s="2250"/>
      <c r="AS221" s="2244"/>
      <c r="AT221" s="2244"/>
      <c r="AU221" s="2245"/>
      <c r="AV221" s="2246"/>
      <c r="AW221" s="2247"/>
      <c r="AX221" s="2248"/>
      <c r="AY221" s="2249"/>
      <c r="AZ221" s="2249"/>
      <c r="BA221" s="2238"/>
      <c r="BB221" s="2264"/>
      <c r="BC221" s="918"/>
      <c r="BD221" s="2252" t="s">
        <v>15</v>
      </c>
      <c r="BE221" s="2237"/>
      <c r="BF221" s="2237"/>
      <c r="BG221" s="2237"/>
      <c r="BH221" s="2237"/>
      <c r="BI221" s="2240"/>
      <c r="BJ221" s="2241"/>
      <c r="BK221" s="2239"/>
      <c r="BL221" s="2242"/>
      <c r="BM221" s="2250"/>
      <c r="BN221" s="2244"/>
      <c r="BO221" s="2244"/>
      <c r="BP221" s="2245"/>
      <c r="BQ221" s="2246"/>
      <c r="BR221" s="2247"/>
      <c r="BS221" s="2248"/>
      <c r="BT221" s="2249"/>
      <c r="BU221" s="2249"/>
      <c r="BV221" s="2238"/>
      <c r="BW221" s="2264"/>
      <c r="BY221" s="3">
        <v>1</v>
      </c>
    </row>
    <row r="222" spans="2:77" ht="21" customHeight="1">
      <c r="B222" s="2265" t="str" cm="1">
        <f t="array" ref="B222">SUMPRODUCT(--(D222:J222&lt;&gt;""), LEN(TRIM(SUBSTITUTE(D222:J222, CHAR(160), "")))) &amp; " Car."</f>
        <v>0 Car.</v>
      </c>
      <c r="C222" s="1376" t="str">
        <f>IF(ISBLANK(D222),"",LARGE(C13:C221,1)+1)</f>
        <v/>
      </c>
      <c r="D222" s="1833"/>
      <c r="E222" s="1810"/>
      <c r="F222" s="1810"/>
      <c r="G222" s="1810"/>
      <c r="H222" s="1810"/>
      <c r="I222" s="1810"/>
      <c r="J222" s="1810"/>
      <c r="K222" s="1810"/>
      <c r="L222" s="1811"/>
      <c r="M222" s="9"/>
      <c r="N222" s="2252" t="s">
        <v>15</v>
      </c>
      <c r="O222" s="2237"/>
      <c r="P222" s="2237"/>
      <c r="Q222" s="2237"/>
      <c r="R222" s="2237"/>
      <c r="S222" s="2240"/>
      <c r="T222" s="2241"/>
      <c r="U222" s="2239"/>
      <c r="V222" s="2242"/>
      <c r="W222" s="2250"/>
      <c r="X222" s="2244"/>
      <c r="Y222" s="2244"/>
      <c r="Z222" s="2245"/>
      <c r="AA222" s="2246"/>
      <c r="AB222" s="2247"/>
      <c r="AC222" s="2248"/>
      <c r="AD222" s="2249"/>
      <c r="AE222" s="2249"/>
      <c r="AF222" s="2238"/>
      <c r="AG222" s="2264"/>
      <c r="AH222" s="918"/>
      <c r="AI222" s="2252" t="s">
        <v>15</v>
      </c>
      <c r="AJ222" s="2237"/>
      <c r="AK222" s="2237"/>
      <c r="AL222" s="2237"/>
      <c r="AM222" s="2237"/>
      <c r="AN222" s="2240"/>
      <c r="AO222" s="2241"/>
      <c r="AP222" s="2239"/>
      <c r="AQ222" s="2242"/>
      <c r="AR222" s="2250"/>
      <c r="AS222" s="2244"/>
      <c r="AT222" s="2244"/>
      <c r="AU222" s="2245"/>
      <c r="AV222" s="2246"/>
      <c r="AW222" s="2247"/>
      <c r="AX222" s="2248"/>
      <c r="AY222" s="2249"/>
      <c r="AZ222" s="2249"/>
      <c r="BA222" s="2238"/>
      <c r="BB222" s="2264"/>
      <c r="BC222" s="918"/>
      <c r="BD222" s="2252" t="s">
        <v>15</v>
      </c>
      <c r="BE222" s="2237"/>
      <c r="BF222" s="2237"/>
      <c r="BG222" s="2237"/>
      <c r="BH222" s="2237"/>
      <c r="BI222" s="2240"/>
      <c r="BJ222" s="2241"/>
      <c r="BK222" s="2239"/>
      <c r="BL222" s="2242"/>
      <c r="BM222" s="2250"/>
      <c r="BN222" s="2244"/>
      <c r="BO222" s="2244"/>
      <c r="BP222" s="2245"/>
      <c r="BQ222" s="2246"/>
      <c r="BR222" s="2247"/>
      <c r="BS222" s="2248"/>
      <c r="BT222" s="2249"/>
      <c r="BU222" s="2249"/>
      <c r="BV222" s="2238"/>
      <c r="BW222" s="2264"/>
      <c r="BY222" s="3">
        <v>1</v>
      </c>
    </row>
    <row r="223" spans="2:77" ht="21" customHeight="1">
      <c r="B223" s="2265" t="str" cm="1">
        <f t="array" ref="B223">SUMPRODUCT(--(D223:J223&lt;&gt;""), LEN(TRIM(SUBSTITUTE(D223:J223, CHAR(160), "")))) &amp; " Car."</f>
        <v>0 Car.</v>
      </c>
      <c r="C223" s="1376" t="str">
        <f>IF(ISBLANK(D223),"",LARGE(C13:C222,1)+1)</f>
        <v/>
      </c>
      <c r="D223" s="1833"/>
      <c r="E223" s="1810"/>
      <c r="F223" s="1810"/>
      <c r="G223" s="1810"/>
      <c r="H223" s="1810"/>
      <c r="I223" s="1810"/>
      <c r="J223" s="1810"/>
      <c r="K223" s="1810"/>
      <c r="L223" s="1811"/>
      <c r="M223" s="9"/>
      <c r="N223" s="2252" t="s">
        <v>15</v>
      </c>
      <c r="O223" s="2237"/>
      <c r="P223" s="2237"/>
      <c r="Q223" s="2237"/>
      <c r="R223" s="2237"/>
      <c r="S223" s="2240"/>
      <c r="T223" s="2241"/>
      <c r="U223" s="2239"/>
      <c r="V223" s="2242"/>
      <c r="W223" s="2250"/>
      <c r="X223" s="2244"/>
      <c r="Y223" s="2244"/>
      <c r="Z223" s="2245"/>
      <c r="AA223" s="2246"/>
      <c r="AB223" s="2247"/>
      <c r="AC223" s="2248"/>
      <c r="AD223" s="2249"/>
      <c r="AE223" s="2249"/>
      <c r="AF223" s="2238"/>
      <c r="AG223" s="2264"/>
      <c r="AH223" s="918"/>
      <c r="AI223" s="2252" t="s">
        <v>15</v>
      </c>
      <c r="AJ223" s="2237"/>
      <c r="AK223" s="2237"/>
      <c r="AL223" s="2237"/>
      <c r="AM223" s="2237"/>
      <c r="AN223" s="2240"/>
      <c r="AO223" s="2241"/>
      <c r="AP223" s="2239"/>
      <c r="AQ223" s="2242"/>
      <c r="AR223" s="2250"/>
      <c r="AS223" s="2244"/>
      <c r="AT223" s="2244"/>
      <c r="AU223" s="2245"/>
      <c r="AV223" s="2246"/>
      <c r="AW223" s="2247"/>
      <c r="AX223" s="2248"/>
      <c r="AY223" s="2249"/>
      <c r="AZ223" s="2249"/>
      <c r="BA223" s="2238"/>
      <c r="BB223" s="2264"/>
      <c r="BC223" s="918"/>
      <c r="BD223" s="2252" t="s">
        <v>15</v>
      </c>
      <c r="BE223" s="2237"/>
      <c r="BF223" s="2237"/>
      <c r="BG223" s="2237"/>
      <c r="BH223" s="2237"/>
      <c r="BI223" s="2240"/>
      <c r="BJ223" s="2241"/>
      <c r="BK223" s="2239"/>
      <c r="BL223" s="2242"/>
      <c r="BM223" s="2250"/>
      <c r="BN223" s="2244"/>
      <c r="BO223" s="2244"/>
      <c r="BP223" s="2245"/>
      <c r="BQ223" s="2246"/>
      <c r="BR223" s="2247"/>
      <c r="BS223" s="2248"/>
      <c r="BT223" s="2249"/>
      <c r="BU223" s="2249"/>
      <c r="BV223" s="2238"/>
      <c r="BW223" s="2264"/>
      <c r="BY223" s="3">
        <v>1</v>
      </c>
    </row>
    <row r="224" spans="2:77" ht="21" customHeight="1">
      <c r="B224" s="2265" t="str" cm="1">
        <f t="array" ref="B224">SUMPRODUCT(--(D224:J224&lt;&gt;""), LEN(TRIM(SUBSTITUTE(D224:J224, CHAR(160), "")))) &amp; " Car."</f>
        <v>0 Car.</v>
      </c>
      <c r="C224" s="1376" t="str">
        <f>IF(ISBLANK(D224),"",LARGE(C13:C223,1)+1)</f>
        <v/>
      </c>
      <c r="D224" s="1833"/>
      <c r="E224" s="1810"/>
      <c r="F224" s="1810"/>
      <c r="G224" s="1810"/>
      <c r="H224" s="1810"/>
      <c r="I224" s="1810"/>
      <c r="J224" s="1810"/>
      <c r="K224" s="1810"/>
      <c r="L224" s="1811"/>
      <c r="M224" s="9"/>
      <c r="N224" s="2252" t="s">
        <v>15</v>
      </c>
      <c r="O224" s="2237"/>
      <c r="P224" s="2237"/>
      <c r="Q224" s="2237"/>
      <c r="R224" s="2237"/>
      <c r="S224" s="2240"/>
      <c r="T224" s="2241"/>
      <c r="U224" s="2239"/>
      <c r="V224" s="2242"/>
      <c r="W224" s="2250"/>
      <c r="X224" s="2244"/>
      <c r="Y224" s="2244"/>
      <c r="Z224" s="2245"/>
      <c r="AA224" s="2246"/>
      <c r="AB224" s="2247"/>
      <c r="AC224" s="2248"/>
      <c r="AD224" s="2249"/>
      <c r="AE224" s="2249"/>
      <c r="AF224" s="2238"/>
      <c r="AG224" s="2264"/>
      <c r="AH224" s="918"/>
      <c r="AI224" s="2252" t="s">
        <v>15</v>
      </c>
      <c r="AJ224" s="2237"/>
      <c r="AK224" s="2237"/>
      <c r="AL224" s="2237"/>
      <c r="AM224" s="2237"/>
      <c r="AN224" s="2240"/>
      <c r="AO224" s="2241"/>
      <c r="AP224" s="2239"/>
      <c r="AQ224" s="2242"/>
      <c r="AR224" s="2250"/>
      <c r="AS224" s="2244"/>
      <c r="AT224" s="2244"/>
      <c r="AU224" s="2245"/>
      <c r="AV224" s="2246"/>
      <c r="AW224" s="2247"/>
      <c r="AX224" s="2248"/>
      <c r="AY224" s="2249"/>
      <c r="AZ224" s="2249"/>
      <c r="BA224" s="2238"/>
      <c r="BB224" s="2264"/>
      <c r="BC224" s="918"/>
      <c r="BD224" s="2252" t="s">
        <v>15</v>
      </c>
      <c r="BE224" s="2237"/>
      <c r="BF224" s="2237"/>
      <c r="BG224" s="2237"/>
      <c r="BH224" s="2237"/>
      <c r="BI224" s="2240"/>
      <c r="BJ224" s="2241"/>
      <c r="BK224" s="2239"/>
      <c r="BL224" s="2242"/>
      <c r="BM224" s="2250"/>
      <c r="BN224" s="2244"/>
      <c r="BO224" s="2244"/>
      <c r="BP224" s="2245"/>
      <c r="BQ224" s="2246"/>
      <c r="BR224" s="2247"/>
      <c r="BS224" s="2248"/>
      <c r="BT224" s="2249"/>
      <c r="BU224" s="2249"/>
      <c r="BV224" s="2238"/>
      <c r="BW224" s="2264"/>
      <c r="BY224" s="3">
        <v>1</v>
      </c>
    </row>
    <row r="225" spans="2:77" ht="21" customHeight="1">
      <c r="B225" s="2265" t="str" cm="1">
        <f t="array" ref="B225">SUMPRODUCT(--(D225:J225&lt;&gt;""), LEN(TRIM(SUBSTITUTE(D225:J225, CHAR(160), "")))) &amp; " Car."</f>
        <v>0 Car.</v>
      </c>
      <c r="C225" s="1376" t="str">
        <f>IF(ISBLANK(D225),"",LARGE(C13:C224,1)+1)</f>
        <v/>
      </c>
      <c r="D225" s="1833"/>
      <c r="E225" s="1810"/>
      <c r="F225" s="1810"/>
      <c r="G225" s="1810"/>
      <c r="H225" s="1810"/>
      <c r="I225" s="1810"/>
      <c r="J225" s="1810"/>
      <c r="K225" s="1810"/>
      <c r="L225" s="1811"/>
      <c r="M225" s="9"/>
      <c r="N225" s="2252" t="s">
        <v>15</v>
      </c>
      <c r="O225" s="2237"/>
      <c r="P225" s="2237"/>
      <c r="Q225" s="2237"/>
      <c r="R225" s="2237"/>
      <c r="S225" s="2240"/>
      <c r="T225" s="2241"/>
      <c r="U225" s="2239"/>
      <c r="V225" s="2242"/>
      <c r="W225" s="2250"/>
      <c r="X225" s="2244"/>
      <c r="Y225" s="2244"/>
      <c r="Z225" s="2245"/>
      <c r="AA225" s="2246"/>
      <c r="AB225" s="2247"/>
      <c r="AC225" s="2248"/>
      <c r="AD225" s="2249"/>
      <c r="AE225" s="2249"/>
      <c r="AF225" s="2238"/>
      <c r="AG225" s="2264"/>
      <c r="AH225" s="918"/>
      <c r="AI225" s="2252" t="s">
        <v>15</v>
      </c>
      <c r="AJ225" s="2237"/>
      <c r="AK225" s="2237"/>
      <c r="AL225" s="2237"/>
      <c r="AM225" s="2237"/>
      <c r="AN225" s="2240"/>
      <c r="AO225" s="2241"/>
      <c r="AP225" s="2239"/>
      <c r="AQ225" s="2242"/>
      <c r="AR225" s="2250"/>
      <c r="AS225" s="2244"/>
      <c r="AT225" s="2244"/>
      <c r="AU225" s="2245"/>
      <c r="AV225" s="2246"/>
      <c r="AW225" s="2247"/>
      <c r="AX225" s="2248"/>
      <c r="AY225" s="2249"/>
      <c r="AZ225" s="2249"/>
      <c r="BA225" s="2238"/>
      <c r="BB225" s="2264"/>
      <c r="BC225" s="918"/>
      <c r="BD225" s="2252" t="s">
        <v>15</v>
      </c>
      <c r="BE225" s="2237"/>
      <c r="BF225" s="2237"/>
      <c r="BG225" s="2237"/>
      <c r="BH225" s="2237"/>
      <c r="BI225" s="2240"/>
      <c r="BJ225" s="2241"/>
      <c r="BK225" s="2239"/>
      <c r="BL225" s="2242"/>
      <c r="BM225" s="2250"/>
      <c r="BN225" s="2244"/>
      <c r="BO225" s="2244"/>
      <c r="BP225" s="2245"/>
      <c r="BQ225" s="2246"/>
      <c r="BR225" s="2247"/>
      <c r="BS225" s="2248"/>
      <c r="BT225" s="2249"/>
      <c r="BU225" s="2249"/>
      <c r="BV225" s="2238"/>
      <c r="BW225" s="2264"/>
      <c r="BY225" s="3">
        <v>1</v>
      </c>
    </row>
    <row r="226" spans="2:77" ht="21" customHeight="1">
      <c r="B226" s="2265" t="str" cm="1">
        <f t="array" ref="B226">SUMPRODUCT(--(D226:J226&lt;&gt;""), LEN(TRIM(SUBSTITUTE(D226:J226, CHAR(160), "")))) &amp; " Car."</f>
        <v>0 Car.</v>
      </c>
      <c r="C226" s="1376" t="str">
        <f>IF(ISBLANK(D226),"",LARGE(C13:C225,1)+1)</f>
        <v/>
      </c>
      <c r="D226" s="1833"/>
      <c r="E226" s="1810"/>
      <c r="F226" s="1810"/>
      <c r="G226" s="1810"/>
      <c r="H226" s="1810"/>
      <c r="I226" s="1810"/>
      <c r="J226" s="1810"/>
      <c r="K226" s="1810"/>
      <c r="L226" s="1811"/>
      <c r="M226" s="9"/>
      <c r="N226" s="2252" t="s">
        <v>15</v>
      </c>
      <c r="O226" s="2237"/>
      <c r="P226" s="2237"/>
      <c r="Q226" s="2237"/>
      <c r="R226" s="2237"/>
      <c r="S226" s="2240"/>
      <c r="T226" s="2241"/>
      <c r="U226" s="2239"/>
      <c r="V226" s="2242"/>
      <c r="W226" s="2250"/>
      <c r="X226" s="2244"/>
      <c r="Y226" s="2244"/>
      <c r="Z226" s="2245"/>
      <c r="AA226" s="2246"/>
      <c r="AB226" s="2247"/>
      <c r="AC226" s="2248"/>
      <c r="AD226" s="2249"/>
      <c r="AE226" s="2249"/>
      <c r="AF226" s="2238"/>
      <c r="AG226" s="2264"/>
      <c r="AH226" s="918"/>
      <c r="AI226" s="2252" t="s">
        <v>15</v>
      </c>
      <c r="AJ226" s="2237"/>
      <c r="AK226" s="2237"/>
      <c r="AL226" s="2237"/>
      <c r="AM226" s="2237"/>
      <c r="AN226" s="2240"/>
      <c r="AO226" s="2241"/>
      <c r="AP226" s="2239"/>
      <c r="AQ226" s="2242"/>
      <c r="AR226" s="2250"/>
      <c r="AS226" s="2244"/>
      <c r="AT226" s="2244"/>
      <c r="AU226" s="2245"/>
      <c r="AV226" s="2246"/>
      <c r="AW226" s="2247"/>
      <c r="AX226" s="2248"/>
      <c r="AY226" s="2249"/>
      <c r="AZ226" s="2249"/>
      <c r="BA226" s="2238"/>
      <c r="BB226" s="2264"/>
      <c r="BC226" s="918"/>
      <c r="BD226" s="2252" t="s">
        <v>15</v>
      </c>
      <c r="BE226" s="2237"/>
      <c r="BF226" s="2237"/>
      <c r="BG226" s="2237"/>
      <c r="BH226" s="2237"/>
      <c r="BI226" s="2240"/>
      <c r="BJ226" s="2241"/>
      <c r="BK226" s="2239"/>
      <c r="BL226" s="2242"/>
      <c r="BM226" s="2250"/>
      <c r="BN226" s="2244"/>
      <c r="BO226" s="2244"/>
      <c r="BP226" s="2245"/>
      <c r="BQ226" s="2246"/>
      <c r="BR226" s="2247"/>
      <c r="BS226" s="2248"/>
      <c r="BT226" s="2249"/>
      <c r="BU226" s="2249"/>
      <c r="BV226" s="2238"/>
      <c r="BW226" s="2264"/>
      <c r="BY226" s="3">
        <v>1</v>
      </c>
    </row>
    <row r="227" spans="2:77" ht="21" customHeight="1">
      <c r="B227" s="2265" t="str" cm="1">
        <f t="array" ref="B227">SUMPRODUCT(--(D227:J227&lt;&gt;""), LEN(TRIM(SUBSTITUTE(D227:J227, CHAR(160), "")))) &amp; " Car."</f>
        <v>0 Car.</v>
      </c>
      <c r="C227" s="1376" t="str">
        <f>IF(ISBLANK(D227),"",LARGE(C13:C226,1)+1)</f>
        <v/>
      </c>
      <c r="D227" s="1833"/>
      <c r="E227" s="1810"/>
      <c r="F227" s="1810"/>
      <c r="G227" s="1810"/>
      <c r="H227" s="1810"/>
      <c r="I227" s="1810"/>
      <c r="J227" s="1810"/>
      <c r="K227" s="1810"/>
      <c r="L227" s="1811"/>
      <c r="M227" s="9"/>
      <c r="N227" s="2252" t="s">
        <v>15</v>
      </c>
      <c r="O227" s="2237"/>
      <c r="P227" s="2237"/>
      <c r="Q227" s="2237"/>
      <c r="R227" s="2237"/>
      <c r="S227" s="2240"/>
      <c r="T227" s="2241"/>
      <c r="U227" s="2239"/>
      <c r="V227" s="2242"/>
      <c r="W227" s="2250"/>
      <c r="X227" s="2244"/>
      <c r="Y227" s="2244"/>
      <c r="Z227" s="2245"/>
      <c r="AA227" s="2246"/>
      <c r="AB227" s="2247"/>
      <c r="AC227" s="2248"/>
      <c r="AD227" s="2249"/>
      <c r="AE227" s="2249"/>
      <c r="AF227" s="2238"/>
      <c r="AG227" s="2264"/>
      <c r="AH227" s="918"/>
      <c r="AI227" s="2252" t="s">
        <v>15</v>
      </c>
      <c r="AJ227" s="2237"/>
      <c r="AK227" s="2237"/>
      <c r="AL227" s="2237"/>
      <c r="AM227" s="2237"/>
      <c r="AN227" s="2240"/>
      <c r="AO227" s="2241"/>
      <c r="AP227" s="2239"/>
      <c r="AQ227" s="2242"/>
      <c r="AR227" s="2250"/>
      <c r="AS227" s="2244"/>
      <c r="AT227" s="2244"/>
      <c r="AU227" s="2245"/>
      <c r="AV227" s="2246"/>
      <c r="AW227" s="2247"/>
      <c r="AX227" s="2248"/>
      <c r="AY227" s="2249"/>
      <c r="AZ227" s="2249"/>
      <c r="BA227" s="2238"/>
      <c r="BB227" s="2264"/>
      <c r="BC227" s="918"/>
      <c r="BD227" s="2252" t="s">
        <v>15</v>
      </c>
      <c r="BE227" s="2237"/>
      <c r="BF227" s="2237"/>
      <c r="BG227" s="2237"/>
      <c r="BH227" s="2237"/>
      <c r="BI227" s="2240"/>
      <c r="BJ227" s="2241"/>
      <c r="BK227" s="2239"/>
      <c r="BL227" s="2242"/>
      <c r="BM227" s="2250"/>
      <c r="BN227" s="2244"/>
      <c r="BO227" s="2244"/>
      <c r="BP227" s="2245"/>
      <c r="BQ227" s="2246"/>
      <c r="BR227" s="2247"/>
      <c r="BS227" s="2248"/>
      <c r="BT227" s="2249"/>
      <c r="BU227" s="2249"/>
      <c r="BV227" s="2238"/>
      <c r="BW227" s="2264"/>
      <c r="BY227" s="3">
        <v>1</v>
      </c>
    </row>
    <row r="228" spans="2:77" ht="21" customHeight="1">
      <c r="B228" s="2265" t="str" cm="1">
        <f t="array" ref="B228">SUMPRODUCT(--(D228:J228&lt;&gt;""), LEN(TRIM(SUBSTITUTE(D228:J228, CHAR(160), "")))) &amp; " Car."</f>
        <v>0 Car.</v>
      </c>
      <c r="C228" s="1376" t="str">
        <f>IF(ISBLANK(D228),"",LARGE(C13:C227,1)+1)</f>
        <v/>
      </c>
      <c r="D228" s="1833"/>
      <c r="E228" s="1810"/>
      <c r="F228" s="1810"/>
      <c r="G228" s="1810"/>
      <c r="H228" s="1810"/>
      <c r="I228" s="1810"/>
      <c r="J228" s="1810"/>
      <c r="K228" s="1810"/>
      <c r="L228" s="1811"/>
      <c r="M228" s="9"/>
      <c r="N228" s="2252" t="s">
        <v>15</v>
      </c>
      <c r="O228" s="2237"/>
      <c r="P228" s="2237"/>
      <c r="Q228" s="2237"/>
      <c r="R228" s="2237"/>
      <c r="S228" s="2240"/>
      <c r="T228" s="2241"/>
      <c r="U228" s="2239"/>
      <c r="V228" s="2242"/>
      <c r="W228" s="2250"/>
      <c r="X228" s="2244"/>
      <c r="Y228" s="2244"/>
      <c r="Z228" s="2245"/>
      <c r="AA228" s="2246"/>
      <c r="AB228" s="2247"/>
      <c r="AC228" s="2248"/>
      <c r="AD228" s="2249"/>
      <c r="AE228" s="2249"/>
      <c r="AF228" s="2238"/>
      <c r="AG228" s="2264"/>
      <c r="AH228" s="920"/>
      <c r="AI228" s="2252" t="s">
        <v>15</v>
      </c>
      <c r="AJ228" s="2237"/>
      <c r="AK228" s="2237"/>
      <c r="AL228" s="2237"/>
      <c r="AM228" s="2237"/>
      <c r="AN228" s="2240"/>
      <c r="AO228" s="2241"/>
      <c r="AP228" s="2239"/>
      <c r="AQ228" s="2242"/>
      <c r="AR228" s="2250"/>
      <c r="AS228" s="2244"/>
      <c r="AT228" s="2244"/>
      <c r="AU228" s="2245"/>
      <c r="AV228" s="2246"/>
      <c r="AW228" s="2247"/>
      <c r="AX228" s="2248"/>
      <c r="AY228" s="2249"/>
      <c r="AZ228" s="2249"/>
      <c r="BA228" s="2238"/>
      <c r="BB228" s="2264"/>
      <c r="BC228" s="918"/>
      <c r="BD228" s="2252" t="s">
        <v>15</v>
      </c>
      <c r="BE228" s="2237"/>
      <c r="BF228" s="2237"/>
      <c r="BG228" s="2237"/>
      <c r="BH228" s="2237"/>
      <c r="BI228" s="2240"/>
      <c r="BJ228" s="2241"/>
      <c r="BK228" s="2239"/>
      <c r="BL228" s="2242"/>
      <c r="BM228" s="2250"/>
      <c r="BN228" s="2244"/>
      <c r="BO228" s="2244"/>
      <c r="BP228" s="2245"/>
      <c r="BQ228" s="2246"/>
      <c r="BR228" s="2247"/>
      <c r="BS228" s="2248"/>
      <c r="BT228" s="2249"/>
      <c r="BU228" s="2249"/>
      <c r="BV228" s="2238"/>
      <c r="BW228" s="2264"/>
      <c r="BY228" s="3">
        <v>1</v>
      </c>
    </row>
    <row r="229" spans="2:77" ht="21" customHeight="1">
      <c r="B229" s="2265" t="str" cm="1">
        <f t="array" ref="B229">SUMPRODUCT(--(D229:J229&lt;&gt;""), LEN(TRIM(SUBSTITUTE(D229:J229, CHAR(160), "")))) &amp; " Car."</f>
        <v>0 Car.</v>
      </c>
      <c r="C229" s="1376" t="str">
        <f>IF(ISBLANK(D229),"",LARGE(C13:C228,1)+1)</f>
        <v/>
      </c>
      <c r="D229" s="1833"/>
      <c r="E229" s="1810"/>
      <c r="F229" s="1810"/>
      <c r="G229" s="1810"/>
      <c r="H229" s="1810"/>
      <c r="I229" s="1810"/>
      <c r="J229" s="1810"/>
      <c r="K229" s="1810"/>
      <c r="L229" s="1811"/>
      <c r="M229" s="9"/>
      <c r="N229" s="2252" t="s">
        <v>15</v>
      </c>
      <c r="O229" s="2237"/>
      <c r="P229" s="2237"/>
      <c r="Q229" s="2237"/>
      <c r="R229" s="2237"/>
      <c r="S229" s="2240"/>
      <c r="T229" s="2241"/>
      <c r="U229" s="2239"/>
      <c r="V229" s="2242"/>
      <c r="W229" s="2250"/>
      <c r="X229" s="2244"/>
      <c r="Y229" s="2244"/>
      <c r="Z229" s="2245"/>
      <c r="AA229" s="2246"/>
      <c r="AB229" s="2247"/>
      <c r="AC229" s="2248"/>
      <c r="AD229" s="2249"/>
      <c r="AE229" s="2249"/>
      <c r="AF229" s="2238"/>
      <c r="AG229" s="2264"/>
      <c r="AH229" s="920"/>
      <c r="AI229" s="2252" t="s">
        <v>15</v>
      </c>
      <c r="AJ229" s="2237"/>
      <c r="AK229" s="2237"/>
      <c r="AL229" s="2237"/>
      <c r="AM229" s="2237"/>
      <c r="AN229" s="2240"/>
      <c r="AO229" s="2241"/>
      <c r="AP229" s="2239"/>
      <c r="AQ229" s="2242"/>
      <c r="AR229" s="2250"/>
      <c r="AS229" s="2244"/>
      <c r="AT229" s="2244"/>
      <c r="AU229" s="2245"/>
      <c r="AV229" s="2246"/>
      <c r="AW229" s="2247"/>
      <c r="AX229" s="2248"/>
      <c r="AY229" s="2249"/>
      <c r="AZ229" s="2249"/>
      <c r="BA229" s="2238"/>
      <c r="BB229" s="2264"/>
      <c r="BC229" s="918"/>
      <c r="BD229" s="2252" t="s">
        <v>15</v>
      </c>
      <c r="BE229" s="2237"/>
      <c r="BF229" s="2237"/>
      <c r="BG229" s="2237"/>
      <c r="BH229" s="2237"/>
      <c r="BI229" s="2240"/>
      <c r="BJ229" s="2241"/>
      <c r="BK229" s="2239"/>
      <c r="BL229" s="2242"/>
      <c r="BM229" s="2250"/>
      <c r="BN229" s="2244"/>
      <c r="BO229" s="2244"/>
      <c r="BP229" s="2245"/>
      <c r="BQ229" s="2246"/>
      <c r="BR229" s="2247"/>
      <c r="BS229" s="2248"/>
      <c r="BT229" s="2249"/>
      <c r="BU229" s="2249"/>
      <c r="BV229" s="2238"/>
      <c r="BW229" s="2264"/>
      <c r="BY229" s="3">
        <v>1</v>
      </c>
    </row>
    <row r="230" spans="2:77" ht="21" customHeight="1">
      <c r="B230" s="2265" t="str" cm="1">
        <f t="array" ref="B230">SUMPRODUCT(--(D230:J230&lt;&gt;""), LEN(TRIM(SUBSTITUTE(D230:J230, CHAR(160), "")))) &amp; " Car."</f>
        <v>0 Car.</v>
      </c>
      <c r="C230" s="1376" t="str">
        <f>IF(ISBLANK(D230),"",LARGE(C13:C229,1)+1)</f>
        <v/>
      </c>
      <c r="D230" s="1833"/>
      <c r="E230" s="1810"/>
      <c r="F230" s="1810"/>
      <c r="G230" s="1810"/>
      <c r="H230" s="1810"/>
      <c r="I230" s="1810"/>
      <c r="J230" s="1810"/>
      <c r="K230" s="1810"/>
      <c r="L230" s="1811"/>
      <c r="M230" s="9"/>
      <c r="N230" s="2252" t="s">
        <v>15</v>
      </c>
      <c r="O230" s="2237"/>
      <c r="P230" s="2237"/>
      <c r="Q230" s="2237"/>
      <c r="R230" s="2237"/>
      <c r="S230" s="2240"/>
      <c r="T230" s="2241"/>
      <c r="U230" s="2239"/>
      <c r="V230" s="2242"/>
      <c r="W230" s="2250"/>
      <c r="X230" s="2244"/>
      <c r="Y230" s="2244"/>
      <c r="Z230" s="2245"/>
      <c r="AA230" s="2246"/>
      <c r="AB230" s="2247"/>
      <c r="AC230" s="2248"/>
      <c r="AD230" s="2249"/>
      <c r="AE230" s="2249"/>
      <c r="AF230" s="2238"/>
      <c r="AG230" s="2264"/>
      <c r="AI230" s="2252" t="s">
        <v>15</v>
      </c>
      <c r="AJ230" s="2237"/>
      <c r="AK230" s="2237"/>
      <c r="AL230" s="2237"/>
      <c r="AM230" s="2237"/>
      <c r="AN230" s="2240"/>
      <c r="AO230" s="2241"/>
      <c r="AP230" s="2239"/>
      <c r="AQ230" s="2242"/>
      <c r="AR230" s="2250"/>
      <c r="AS230" s="2244"/>
      <c r="AT230" s="2244"/>
      <c r="AU230" s="2245"/>
      <c r="AV230" s="2246"/>
      <c r="AW230" s="2247"/>
      <c r="AX230" s="2248"/>
      <c r="AY230" s="2249"/>
      <c r="AZ230" s="2249"/>
      <c r="BA230" s="2238"/>
      <c r="BB230" s="2264"/>
      <c r="BD230" s="2252" t="s">
        <v>15</v>
      </c>
      <c r="BE230" s="2237"/>
      <c r="BF230" s="2237"/>
      <c r="BG230" s="2237"/>
      <c r="BH230" s="2237"/>
      <c r="BI230" s="2240"/>
      <c r="BJ230" s="2241"/>
      <c r="BK230" s="2239"/>
      <c r="BL230" s="2242"/>
      <c r="BM230" s="2250"/>
      <c r="BN230" s="2244"/>
      <c r="BO230" s="2244"/>
      <c r="BP230" s="2245"/>
      <c r="BQ230" s="2246"/>
      <c r="BR230" s="2247"/>
      <c r="BS230" s="2248"/>
      <c r="BT230" s="2249"/>
      <c r="BU230" s="2249"/>
      <c r="BV230" s="2238"/>
      <c r="BW230" s="2264"/>
      <c r="BY230" s="3">
        <v>1</v>
      </c>
    </row>
    <row r="231" spans="2:77" ht="21" customHeight="1">
      <c r="B231" s="2265" t="str" cm="1">
        <f t="array" ref="B231">SUMPRODUCT(--(D231:J231&lt;&gt;""), LEN(TRIM(SUBSTITUTE(D231:J231, CHAR(160), "")))) &amp; " Car."</f>
        <v>0 Car.</v>
      </c>
      <c r="C231" s="1376" t="str">
        <f>IF(ISBLANK(D231),"",LARGE(C13:C230,1)+1)</f>
        <v/>
      </c>
      <c r="D231" s="1833"/>
      <c r="E231" s="1810"/>
      <c r="F231" s="1810"/>
      <c r="G231" s="1810"/>
      <c r="H231" s="1810"/>
      <c r="I231" s="1810"/>
      <c r="J231" s="1810"/>
      <c r="K231" s="1810"/>
      <c r="L231" s="1811"/>
      <c r="M231" s="9"/>
      <c r="N231" s="2252" t="s">
        <v>15</v>
      </c>
      <c r="O231" s="2237"/>
      <c r="P231" s="2237"/>
      <c r="Q231" s="2237"/>
      <c r="R231" s="2237"/>
      <c r="S231" s="2240"/>
      <c r="T231" s="2241"/>
      <c r="U231" s="2239"/>
      <c r="V231" s="2242"/>
      <c r="W231" s="2250"/>
      <c r="X231" s="2244"/>
      <c r="Y231" s="2244"/>
      <c r="Z231" s="2245"/>
      <c r="AA231" s="2246"/>
      <c r="AB231" s="2247"/>
      <c r="AC231" s="2248"/>
      <c r="AD231" s="2249"/>
      <c r="AE231" s="2249"/>
      <c r="AF231" s="2238"/>
      <c r="AG231" s="2264"/>
      <c r="AI231" s="2252" t="s">
        <v>15</v>
      </c>
      <c r="AJ231" s="2237"/>
      <c r="AK231" s="2237"/>
      <c r="AL231" s="2237"/>
      <c r="AM231" s="2237"/>
      <c r="AN231" s="2240"/>
      <c r="AO231" s="2241"/>
      <c r="AP231" s="2239"/>
      <c r="AQ231" s="2242"/>
      <c r="AR231" s="2250"/>
      <c r="AS231" s="2244"/>
      <c r="AT231" s="2244"/>
      <c r="AU231" s="2245"/>
      <c r="AV231" s="2246"/>
      <c r="AW231" s="2247"/>
      <c r="AX231" s="2248"/>
      <c r="AY231" s="2249"/>
      <c r="AZ231" s="2249"/>
      <c r="BA231" s="2238"/>
      <c r="BB231" s="2264"/>
      <c r="BD231" s="2252" t="s">
        <v>15</v>
      </c>
      <c r="BE231" s="2237"/>
      <c r="BF231" s="2237"/>
      <c r="BG231" s="2237"/>
      <c r="BH231" s="2237"/>
      <c r="BI231" s="2240"/>
      <c r="BJ231" s="2241"/>
      <c r="BK231" s="2239"/>
      <c r="BL231" s="2242"/>
      <c r="BM231" s="2250"/>
      <c r="BN231" s="2244"/>
      <c r="BO231" s="2244"/>
      <c r="BP231" s="2245"/>
      <c r="BQ231" s="2246"/>
      <c r="BR231" s="2247"/>
      <c r="BS231" s="2248"/>
      <c r="BT231" s="2249"/>
      <c r="BU231" s="2249"/>
      <c r="BV231" s="2238"/>
      <c r="BW231" s="2264"/>
      <c r="BY231" s="3">
        <v>1</v>
      </c>
    </row>
    <row r="232" spans="2:77" ht="21" customHeight="1">
      <c r="B232" s="2265" t="str" cm="1">
        <f t="array" ref="B232">SUMPRODUCT(--(D232:J232&lt;&gt;""), LEN(TRIM(SUBSTITUTE(D232:J232, CHAR(160), "")))) &amp; " Car."</f>
        <v>0 Car.</v>
      </c>
      <c r="C232" s="1376" t="str">
        <f>IF(ISBLANK(D232),"",LARGE(C13:C231,1)+1)</f>
        <v/>
      </c>
      <c r="D232" s="1833"/>
      <c r="E232" s="1810"/>
      <c r="F232" s="1810"/>
      <c r="G232" s="1810"/>
      <c r="H232" s="1810"/>
      <c r="I232" s="1810"/>
      <c r="J232" s="1810"/>
      <c r="K232" s="1810"/>
      <c r="L232" s="1811"/>
      <c r="M232" s="9"/>
      <c r="N232" s="2252" t="s">
        <v>15</v>
      </c>
      <c r="O232" s="2237"/>
      <c r="P232" s="2237"/>
      <c r="Q232" s="2237"/>
      <c r="R232" s="2237"/>
      <c r="S232" s="2240"/>
      <c r="T232" s="2241"/>
      <c r="U232" s="2239"/>
      <c r="V232" s="2242"/>
      <c r="W232" s="2250"/>
      <c r="X232" s="2244"/>
      <c r="Y232" s="2244"/>
      <c r="Z232" s="2245"/>
      <c r="AA232" s="2246"/>
      <c r="AB232" s="2247"/>
      <c r="AC232" s="2248"/>
      <c r="AD232" s="2249"/>
      <c r="AE232" s="2249"/>
      <c r="AF232" s="2238"/>
      <c r="AG232" s="2264"/>
      <c r="AI232" s="2252" t="s">
        <v>15</v>
      </c>
      <c r="AJ232" s="2237"/>
      <c r="AK232" s="2237"/>
      <c r="AL232" s="2237"/>
      <c r="AM232" s="2237"/>
      <c r="AN232" s="2240"/>
      <c r="AO232" s="2241"/>
      <c r="AP232" s="2239"/>
      <c r="AQ232" s="2242"/>
      <c r="AR232" s="2250"/>
      <c r="AS232" s="2244"/>
      <c r="AT232" s="2244"/>
      <c r="AU232" s="2245"/>
      <c r="AV232" s="2246"/>
      <c r="AW232" s="2247"/>
      <c r="AX232" s="2248"/>
      <c r="AY232" s="2249"/>
      <c r="AZ232" s="2249"/>
      <c r="BA232" s="2238"/>
      <c r="BB232" s="2264"/>
      <c r="BD232" s="2252" t="s">
        <v>15</v>
      </c>
      <c r="BE232" s="2237"/>
      <c r="BF232" s="2237"/>
      <c r="BG232" s="2237"/>
      <c r="BH232" s="2237"/>
      <c r="BI232" s="2240"/>
      <c r="BJ232" s="2241"/>
      <c r="BK232" s="2239"/>
      <c r="BL232" s="2242"/>
      <c r="BM232" s="2250"/>
      <c r="BN232" s="2244"/>
      <c r="BO232" s="2244"/>
      <c r="BP232" s="2245"/>
      <c r="BQ232" s="2246"/>
      <c r="BR232" s="2247"/>
      <c r="BS232" s="2248"/>
      <c r="BT232" s="2249"/>
      <c r="BU232" s="2249"/>
      <c r="BV232" s="2238"/>
      <c r="BW232" s="2264"/>
      <c r="BY232" s="3">
        <v>1</v>
      </c>
    </row>
    <row r="233" spans="2:77" ht="21" customHeight="1">
      <c r="B233" s="2265" t="str" cm="1">
        <f t="array" ref="B233">SUMPRODUCT(--(D233:J233&lt;&gt;""), LEN(TRIM(SUBSTITUTE(D233:J233, CHAR(160), "")))) &amp; " Car."</f>
        <v>0 Car.</v>
      </c>
      <c r="C233" s="1376" t="str">
        <f>IF(ISBLANK(D233),"",LARGE(C13:C232,1)+1)</f>
        <v/>
      </c>
      <c r="D233" s="1833"/>
      <c r="E233" s="1810"/>
      <c r="F233" s="1810"/>
      <c r="G233" s="1810"/>
      <c r="H233" s="1810"/>
      <c r="I233" s="1810"/>
      <c r="J233" s="1810"/>
      <c r="K233" s="1810"/>
      <c r="L233" s="1811"/>
      <c r="M233" s="9"/>
      <c r="N233" s="2252" t="s">
        <v>15</v>
      </c>
      <c r="O233" s="2237"/>
      <c r="P233" s="2237"/>
      <c r="Q233" s="2237"/>
      <c r="R233" s="2237"/>
      <c r="S233" s="2240"/>
      <c r="T233" s="2241"/>
      <c r="U233" s="2239"/>
      <c r="V233" s="2242"/>
      <c r="W233" s="2250"/>
      <c r="X233" s="2244"/>
      <c r="Y233" s="2244"/>
      <c r="Z233" s="2245"/>
      <c r="AA233" s="2246"/>
      <c r="AB233" s="2247"/>
      <c r="AC233" s="2248"/>
      <c r="AD233" s="2249"/>
      <c r="AE233" s="2249"/>
      <c r="AF233" s="2238"/>
      <c r="AG233" s="2264"/>
      <c r="AI233" s="2252" t="s">
        <v>15</v>
      </c>
      <c r="AJ233" s="2237"/>
      <c r="AK233" s="2237"/>
      <c r="AL233" s="2237"/>
      <c r="AM233" s="2237"/>
      <c r="AN233" s="2240"/>
      <c r="AO233" s="2241"/>
      <c r="AP233" s="2239"/>
      <c r="AQ233" s="2242"/>
      <c r="AR233" s="2250"/>
      <c r="AS233" s="2244"/>
      <c r="AT233" s="2244"/>
      <c r="AU233" s="2245"/>
      <c r="AV233" s="2246"/>
      <c r="AW233" s="2247"/>
      <c r="AX233" s="2248"/>
      <c r="AY233" s="2249"/>
      <c r="AZ233" s="2249"/>
      <c r="BA233" s="2238"/>
      <c r="BB233" s="2264"/>
      <c r="BD233" s="2252" t="s">
        <v>15</v>
      </c>
      <c r="BE233" s="2237"/>
      <c r="BF233" s="2237"/>
      <c r="BG233" s="2237"/>
      <c r="BH233" s="2237"/>
      <c r="BI233" s="2240"/>
      <c r="BJ233" s="2241"/>
      <c r="BK233" s="2239"/>
      <c r="BL233" s="2242"/>
      <c r="BM233" s="2250"/>
      <c r="BN233" s="2244"/>
      <c r="BO233" s="2244"/>
      <c r="BP233" s="2245"/>
      <c r="BQ233" s="2246"/>
      <c r="BR233" s="2247"/>
      <c r="BS233" s="2248"/>
      <c r="BT233" s="2249"/>
      <c r="BU233" s="2249"/>
      <c r="BV233" s="2238"/>
      <c r="BW233" s="2264"/>
      <c r="BY233" s="3">
        <v>1</v>
      </c>
    </row>
    <row r="234" spans="2:77" ht="21" customHeight="1">
      <c r="B234" s="2265" t="str" cm="1">
        <f t="array" ref="B234">SUMPRODUCT(--(D234:J234&lt;&gt;""), LEN(TRIM(SUBSTITUTE(D234:J234, CHAR(160), "")))) &amp; " Car."</f>
        <v>0 Car.</v>
      </c>
      <c r="C234" s="1376" t="str">
        <f>IF(ISBLANK(D234),"",LARGE(C13:C233,1)+1)</f>
        <v/>
      </c>
      <c r="D234" s="1833"/>
      <c r="E234" s="1810"/>
      <c r="F234" s="1810"/>
      <c r="G234" s="1810"/>
      <c r="H234" s="1810"/>
      <c r="I234" s="1810"/>
      <c r="J234" s="1810"/>
      <c r="K234" s="1810"/>
      <c r="L234" s="1811"/>
      <c r="M234" s="9"/>
      <c r="N234" s="2252" t="s">
        <v>15</v>
      </c>
      <c r="O234" s="2237"/>
      <c r="P234" s="2237"/>
      <c r="Q234" s="2237"/>
      <c r="R234" s="2237"/>
      <c r="S234" s="2240"/>
      <c r="T234" s="2241"/>
      <c r="U234" s="2239"/>
      <c r="V234" s="2242"/>
      <c r="W234" s="2250"/>
      <c r="X234" s="2244"/>
      <c r="Y234" s="2244"/>
      <c r="Z234" s="2245"/>
      <c r="AA234" s="2246"/>
      <c r="AB234" s="2247"/>
      <c r="AC234" s="2248"/>
      <c r="AD234" s="2249"/>
      <c r="AE234" s="2249"/>
      <c r="AF234" s="2238"/>
      <c r="AG234" s="2264"/>
      <c r="AI234" s="2252" t="s">
        <v>15</v>
      </c>
      <c r="AJ234" s="2237"/>
      <c r="AK234" s="2237"/>
      <c r="AL234" s="2237"/>
      <c r="AM234" s="2237"/>
      <c r="AN234" s="2240"/>
      <c r="AO234" s="2241"/>
      <c r="AP234" s="2239"/>
      <c r="AQ234" s="2242"/>
      <c r="AR234" s="2250"/>
      <c r="AS234" s="2244"/>
      <c r="AT234" s="2244"/>
      <c r="AU234" s="2245"/>
      <c r="AV234" s="2246"/>
      <c r="AW234" s="2247"/>
      <c r="AX234" s="2248"/>
      <c r="AY234" s="2249"/>
      <c r="AZ234" s="2249"/>
      <c r="BA234" s="2238"/>
      <c r="BB234" s="2264"/>
      <c r="BD234" s="2252" t="s">
        <v>15</v>
      </c>
      <c r="BE234" s="2237"/>
      <c r="BF234" s="2237"/>
      <c r="BG234" s="2237"/>
      <c r="BH234" s="2237"/>
      <c r="BI234" s="2240"/>
      <c r="BJ234" s="2241"/>
      <c r="BK234" s="2239"/>
      <c r="BL234" s="2242"/>
      <c r="BM234" s="2250"/>
      <c r="BN234" s="2244"/>
      <c r="BO234" s="2244"/>
      <c r="BP234" s="2245"/>
      <c r="BQ234" s="2246"/>
      <c r="BR234" s="2247"/>
      <c r="BS234" s="2248"/>
      <c r="BT234" s="2249"/>
      <c r="BU234" s="2249"/>
      <c r="BV234" s="2238"/>
      <c r="BW234" s="2264"/>
      <c r="BY234" s="3">
        <v>1</v>
      </c>
    </row>
    <row r="235" spans="2:77" ht="21" customHeight="1">
      <c r="B235" s="2265" t="str" cm="1">
        <f t="array" ref="B235">SUMPRODUCT(--(D235:J235&lt;&gt;""), LEN(TRIM(SUBSTITUTE(D235:J235, CHAR(160), "")))) &amp; " Car."</f>
        <v>0 Car.</v>
      </c>
      <c r="C235" s="1376" t="str">
        <f>IF(ISBLANK(D235),"",LARGE(C13:C234,1)+1)</f>
        <v/>
      </c>
      <c r="D235" s="1833"/>
      <c r="E235" s="1810"/>
      <c r="F235" s="1810"/>
      <c r="G235" s="1810"/>
      <c r="H235" s="1810"/>
      <c r="I235" s="1810"/>
      <c r="J235" s="1810"/>
      <c r="K235" s="1810"/>
      <c r="L235" s="1811"/>
      <c r="M235" s="9"/>
      <c r="N235" s="2252" t="s">
        <v>15</v>
      </c>
      <c r="O235" s="2237"/>
      <c r="P235" s="2237"/>
      <c r="Q235" s="2237"/>
      <c r="R235" s="2237"/>
      <c r="S235" s="2240"/>
      <c r="T235" s="2241"/>
      <c r="U235" s="2239"/>
      <c r="V235" s="2242"/>
      <c r="W235" s="2250"/>
      <c r="X235" s="2244"/>
      <c r="Y235" s="2244"/>
      <c r="Z235" s="2245"/>
      <c r="AA235" s="2246"/>
      <c r="AB235" s="2247"/>
      <c r="AC235" s="2248"/>
      <c r="AD235" s="2249"/>
      <c r="AE235" s="2249"/>
      <c r="AF235" s="2238"/>
      <c r="AG235" s="2264"/>
      <c r="AI235" s="2252" t="s">
        <v>15</v>
      </c>
      <c r="AJ235" s="2237"/>
      <c r="AK235" s="2237"/>
      <c r="AL235" s="2237"/>
      <c r="AM235" s="2237"/>
      <c r="AN235" s="2240"/>
      <c r="AO235" s="2241"/>
      <c r="AP235" s="2239"/>
      <c r="AQ235" s="2242"/>
      <c r="AR235" s="2250"/>
      <c r="AS235" s="2244"/>
      <c r="AT235" s="2244"/>
      <c r="AU235" s="2245"/>
      <c r="AV235" s="2246"/>
      <c r="AW235" s="2247"/>
      <c r="AX235" s="2248"/>
      <c r="AY235" s="2249"/>
      <c r="AZ235" s="2249"/>
      <c r="BA235" s="2238"/>
      <c r="BB235" s="2264"/>
      <c r="BD235" s="2252" t="s">
        <v>15</v>
      </c>
      <c r="BE235" s="2237"/>
      <c r="BF235" s="2237"/>
      <c r="BG235" s="2237"/>
      <c r="BH235" s="2237"/>
      <c r="BI235" s="2240"/>
      <c r="BJ235" s="2241"/>
      <c r="BK235" s="2239"/>
      <c r="BL235" s="2242"/>
      <c r="BM235" s="2250"/>
      <c r="BN235" s="2244"/>
      <c r="BO235" s="2244"/>
      <c r="BP235" s="2245"/>
      <c r="BQ235" s="2246"/>
      <c r="BR235" s="2247"/>
      <c r="BS235" s="2248"/>
      <c r="BT235" s="2249"/>
      <c r="BU235" s="2249"/>
      <c r="BV235" s="2238"/>
      <c r="BW235" s="2264"/>
      <c r="BY235" s="3">
        <v>1</v>
      </c>
    </row>
    <row r="236" spans="2:77" ht="21" customHeight="1">
      <c r="B236" s="2265" t="str" cm="1">
        <f t="array" ref="B236">SUMPRODUCT(--(D236:J236&lt;&gt;""), LEN(TRIM(SUBSTITUTE(D236:J236, CHAR(160), "")))) &amp; " Car."</f>
        <v>0 Car.</v>
      </c>
      <c r="C236" s="1376" t="str">
        <f>IF(ISBLANK(D236),"",LARGE(C13:C235,1)+1)</f>
        <v/>
      </c>
      <c r="D236" s="1833"/>
      <c r="E236" s="1810"/>
      <c r="F236" s="1810"/>
      <c r="G236" s="1810"/>
      <c r="H236" s="1810"/>
      <c r="I236" s="1810"/>
      <c r="J236" s="1810"/>
      <c r="K236" s="1810"/>
      <c r="L236" s="1811"/>
      <c r="M236" s="9"/>
      <c r="N236" s="2252" t="s">
        <v>15</v>
      </c>
      <c r="O236" s="2237"/>
      <c r="P236" s="2237"/>
      <c r="Q236" s="2237"/>
      <c r="R236" s="2237"/>
      <c r="S236" s="2240"/>
      <c r="T236" s="2241"/>
      <c r="U236" s="2239"/>
      <c r="V236" s="2242"/>
      <c r="W236" s="2250"/>
      <c r="X236" s="2244"/>
      <c r="Y236" s="2244"/>
      <c r="Z236" s="2245"/>
      <c r="AA236" s="2246"/>
      <c r="AB236" s="2247"/>
      <c r="AC236" s="2248"/>
      <c r="AD236" s="2249"/>
      <c r="AE236" s="2249"/>
      <c r="AF236" s="2238"/>
      <c r="AG236" s="2264"/>
      <c r="AI236" s="2252" t="s">
        <v>15</v>
      </c>
      <c r="AJ236" s="2237"/>
      <c r="AK236" s="2237"/>
      <c r="AL236" s="2237"/>
      <c r="AM236" s="2237"/>
      <c r="AN236" s="2240"/>
      <c r="AO236" s="2241"/>
      <c r="AP236" s="2239"/>
      <c r="AQ236" s="2242"/>
      <c r="AR236" s="2250"/>
      <c r="AS236" s="2244"/>
      <c r="AT236" s="2244"/>
      <c r="AU236" s="2245"/>
      <c r="AV236" s="2246"/>
      <c r="AW236" s="2247"/>
      <c r="AX236" s="2248"/>
      <c r="AY236" s="2249"/>
      <c r="AZ236" s="2249"/>
      <c r="BA236" s="2238"/>
      <c r="BB236" s="2264"/>
      <c r="BD236" s="2252" t="s">
        <v>15</v>
      </c>
      <c r="BE236" s="2237"/>
      <c r="BF236" s="2237"/>
      <c r="BG236" s="2237"/>
      <c r="BH236" s="2237"/>
      <c r="BI236" s="2240"/>
      <c r="BJ236" s="2241"/>
      <c r="BK236" s="2239"/>
      <c r="BL236" s="2242"/>
      <c r="BM236" s="2250"/>
      <c r="BN236" s="2244"/>
      <c r="BO236" s="2244"/>
      <c r="BP236" s="2245"/>
      <c r="BQ236" s="2246"/>
      <c r="BR236" s="2247"/>
      <c r="BS236" s="2248"/>
      <c r="BT236" s="2249"/>
      <c r="BU236" s="2249"/>
      <c r="BV236" s="2238"/>
      <c r="BW236" s="2264"/>
      <c r="BY236" s="3">
        <v>1</v>
      </c>
    </row>
    <row r="237" spans="2:77" ht="21" customHeight="1">
      <c r="B237" s="2265" t="str" cm="1">
        <f t="array" ref="B237">SUMPRODUCT(--(D237:J237&lt;&gt;""), LEN(TRIM(SUBSTITUTE(D237:J237, CHAR(160), "")))) &amp; " Car."</f>
        <v>0 Car.</v>
      </c>
      <c r="C237" s="1376" t="str">
        <f>IF(ISBLANK(D237),"",LARGE(C13:C236,1)+1)</f>
        <v/>
      </c>
      <c r="D237" s="1833"/>
      <c r="E237" s="1810"/>
      <c r="F237" s="1810"/>
      <c r="G237" s="1810"/>
      <c r="H237" s="1810"/>
      <c r="I237" s="1810"/>
      <c r="J237" s="1810"/>
      <c r="K237" s="1810"/>
      <c r="L237" s="1811"/>
      <c r="M237" s="9"/>
      <c r="N237" s="2252" t="s">
        <v>15</v>
      </c>
      <c r="O237" s="2237"/>
      <c r="P237" s="2237"/>
      <c r="Q237" s="2237"/>
      <c r="R237" s="2237"/>
      <c r="S237" s="2240"/>
      <c r="T237" s="2241"/>
      <c r="U237" s="2239"/>
      <c r="V237" s="2242"/>
      <c r="W237" s="2250"/>
      <c r="X237" s="2244"/>
      <c r="Y237" s="2244"/>
      <c r="Z237" s="2245"/>
      <c r="AA237" s="2246"/>
      <c r="AB237" s="2247"/>
      <c r="AC237" s="2248"/>
      <c r="AD237" s="2249"/>
      <c r="AE237" s="2249"/>
      <c r="AF237" s="2238"/>
      <c r="AG237" s="2264"/>
      <c r="AI237" s="2252" t="s">
        <v>15</v>
      </c>
      <c r="AJ237" s="2237"/>
      <c r="AK237" s="2237"/>
      <c r="AL237" s="2237"/>
      <c r="AM237" s="2237"/>
      <c r="AN237" s="2240"/>
      <c r="AO237" s="2241"/>
      <c r="AP237" s="2239"/>
      <c r="AQ237" s="2242"/>
      <c r="AR237" s="2250"/>
      <c r="AS237" s="2244"/>
      <c r="AT237" s="2244"/>
      <c r="AU237" s="2245"/>
      <c r="AV237" s="2246"/>
      <c r="AW237" s="2247"/>
      <c r="AX237" s="2248"/>
      <c r="AY237" s="2249"/>
      <c r="AZ237" s="2249"/>
      <c r="BA237" s="2238"/>
      <c r="BB237" s="2264"/>
      <c r="BD237" s="2252" t="s">
        <v>15</v>
      </c>
      <c r="BE237" s="2237"/>
      <c r="BF237" s="2237"/>
      <c r="BG237" s="2237"/>
      <c r="BH237" s="2237"/>
      <c r="BI237" s="2240"/>
      <c r="BJ237" s="2241"/>
      <c r="BK237" s="2239"/>
      <c r="BL237" s="2242"/>
      <c r="BM237" s="2250"/>
      <c r="BN237" s="2244"/>
      <c r="BO237" s="2244"/>
      <c r="BP237" s="2245"/>
      <c r="BQ237" s="2246"/>
      <c r="BR237" s="2247"/>
      <c r="BS237" s="2248"/>
      <c r="BT237" s="2249"/>
      <c r="BU237" s="2249"/>
      <c r="BV237" s="2238"/>
      <c r="BW237" s="2264"/>
      <c r="BY237" s="3">
        <v>1</v>
      </c>
    </row>
    <row r="238" spans="2:77" ht="21" customHeight="1">
      <c r="B238" s="2265" t="str" cm="1">
        <f t="array" ref="B238">SUMPRODUCT(--(D238:J238&lt;&gt;""), LEN(TRIM(SUBSTITUTE(D238:J238, CHAR(160), "")))) &amp; " Car."</f>
        <v>0 Car.</v>
      </c>
      <c r="C238" s="1376" t="str">
        <f>IF(ISBLANK(D238),"",LARGE(C13:C237,1)+1)</f>
        <v/>
      </c>
      <c r="D238" s="1833"/>
      <c r="E238" s="1810"/>
      <c r="F238" s="1810"/>
      <c r="G238" s="1810"/>
      <c r="H238" s="1810"/>
      <c r="I238" s="1810"/>
      <c r="J238" s="1810"/>
      <c r="K238" s="1810"/>
      <c r="L238" s="1811"/>
      <c r="M238" s="9"/>
      <c r="N238" s="2252" t="s">
        <v>15</v>
      </c>
      <c r="O238" s="2237"/>
      <c r="P238" s="2237"/>
      <c r="Q238" s="2237"/>
      <c r="R238" s="2237"/>
      <c r="S238" s="2240"/>
      <c r="T238" s="2241"/>
      <c r="U238" s="2239"/>
      <c r="V238" s="2242"/>
      <c r="W238" s="2250"/>
      <c r="X238" s="2244"/>
      <c r="Y238" s="2244"/>
      <c r="Z238" s="2245"/>
      <c r="AA238" s="2246"/>
      <c r="AB238" s="2247"/>
      <c r="AC238" s="2248"/>
      <c r="AD238" s="2249"/>
      <c r="AE238" s="2249"/>
      <c r="AF238" s="2238"/>
      <c r="AG238" s="2264"/>
      <c r="AI238" s="2252" t="s">
        <v>15</v>
      </c>
      <c r="AJ238" s="2237"/>
      <c r="AK238" s="2237"/>
      <c r="AL238" s="2237"/>
      <c r="AM238" s="2237"/>
      <c r="AN238" s="2240"/>
      <c r="AO238" s="2241"/>
      <c r="AP238" s="2239"/>
      <c r="AQ238" s="2242"/>
      <c r="AR238" s="2250"/>
      <c r="AS238" s="2244"/>
      <c r="AT238" s="2244"/>
      <c r="AU238" s="2245"/>
      <c r="AV238" s="2246"/>
      <c r="AW238" s="2247"/>
      <c r="AX238" s="2248"/>
      <c r="AY238" s="2249"/>
      <c r="AZ238" s="2249"/>
      <c r="BA238" s="2238"/>
      <c r="BB238" s="2264"/>
      <c r="BD238" s="2252" t="s">
        <v>15</v>
      </c>
      <c r="BE238" s="2237"/>
      <c r="BF238" s="2237"/>
      <c r="BG238" s="2237"/>
      <c r="BH238" s="2237"/>
      <c r="BI238" s="2240"/>
      <c r="BJ238" s="2241"/>
      <c r="BK238" s="2239"/>
      <c r="BL238" s="2242"/>
      <c r="BM238" s="2250"/>
      <c r="BN238" s="2244"/>
      <c r="BO238" s="2244"/>
      <c r="BP238" s="2245"/>
      <c r="BQ238" s="2246"/>
      <c r="BR238" s="2247"/>
      <c r="BS238" s="2248"/>
      <c r="BT238" s="2249"/>
      <c r="BU238" s="2249"/>
      <c r="BV238" s="2238"/>
      <c r="BW238" s="2264"/>
      <c r="BY238" s="3">
        <v>1</v>
      </c>
    </row>
    <row r="239" spans="2:77" ht="21" customHeight="1">
      <c r="B239" s="2265" t="str" cm="1">
        <f t="array" ref="B239">SUMPRODUCT(--(D239:J239&lt;&gt;""), LEN(TRIM(SUBSTITUTE(D239:J239, CHAR(160), "")))) &amp; " Car."</f>
        <v>0 Car.</v>
      </c>
      <c r="C239" s="1376" t="str">
        <f>IF(ISBLANK(D239),"",LARGE(C13:C238,1)+1)</f>
        <v/>
      </c>
      <c r="D239" s="1833"/>
      <c r="E239" s="1810"/>
      <c r="F239" s="1810"/>
      <c r="G239" s="1810"/>
      <c r="H239" s="1810"/>
      <c r="I239" s="1810"/>
      <c r="J239" s="1810"/>
      <c r="K239" s="1810"/>
      <c r="L239" s="1811"/>
      <c r="M239" s="9"/>
      <c r="N239" s="2252" t="s">
        <v>15</v>
      </c>
      <c r="O239" s="2237"/>
      <c r="P239" s="2237"/>
      <c r="Q239" s="2237"/>
      <c r="R239" s="2237"/>
      <c r="S239" s="2240"/>
      <c r="T239" s="2241"/>
      <c r="U239" s="2239"/>
      <c r="V239" s="2242"/>
      <c r="W239" s="2250"/>
      <c r="X239" s="2244"/>
      <c r="Y239" s="2244"/>
      <c r="Z239" s="2245"/>
      <c r="AA239" s="2246"/>
      <c r="AB239" s="2247"/>
      <c r="AC239" s="2248"/>
      <c r="AD239" s="2249"/>
      <c r="AE239" s="2249"/>
      <c r="AF239" s="2238"/>
      <c r="AG239" s="2264"/>
      <c r="AI239" s="2252" t="s">
        <v>15</v>
      </c>
      <c r="AJ239" s="2237"/>
      <c r="AK239" s="2237"/>
      <c r="AL239" s="2237"/>
      <c r="AM239" s="2237"/>
      <c r="AN239" s="2240"/>
      <c r="AO239" s="2241"/>
      <c r="AP239" s="2239"/>
      <c r="AQ239" s="2242"/>
      <c r="AR239" s="2250"/>
      <c r="AS239" s="2244"/>
      <c r="AT239" s="2244"/>
      <c r="AU239" s="2245"/>
      <c r="AV239" s="2246"/>
      <c r="AW239" s="2247"/>
      <c r="AX239" s="2248"/>
      <c r="AY239" s="2249"/>
      <c r="AZ239" s="2249"/>
      <c r="BA239" s="2238"/>
      <c r="BB239" s="2264"/>
      <c r="BD239" s="2252" t="s">
        <v>15</v>
      </c>
      <c r="BE239" s="2237"/>
      <c r="BF239" s="2237"/>
      <c r="BG239" s="2237"/>
      <c r="BH239" s="2237"/>
      <c r="BI239" s="2240"/>
      <c r="BJ239" s="2241"/>
      <c r="BK239" s="2239"/>
      <c r="BL239" s="2242"/>
      <c r="BM239" s="2250"/>
      <c r="BN239" s="2244"/>
      <c r="BO239" s="2244"/>
      <c r="BP239" s="2245"/>
      <c r="BQ239" s="2246"/>
      <c r="BR239" s="2247"/>
      <c r="BS239" s="2248"/>
      <c r="BT239" s="2249"/>
      <c r="BU239" s="2249"/>
      <c r="BV239" s="2238"/>
      <c r="BW239" s="2264"/>
      <c r="BY239" s="3">
        <v>1</v>
      </c>
    </row>
    <row r="240" spans="2:77" ht="21" customHeight="1">
      <c r="B240" s="2265" t="str" cm="1">
        <f t="array" ref="B240">SUMPRODUCT(--(D240:J240&lt;&gt;""), LEN(TRIM(SUBSTITUTE(D240:J240, CHAR(160), "")))) &amp; " Car."</f>
        <v>0 Car.</v>
      </c>
      <c r="C240" s="1376" t="str">
        <f>IF(ISBLANK(D240),"",LARGE(C13:C239,1)+1)</f>
        <v/>
      </c>
      <c r="D240" s="1833"/>
      <c r="E240" s="1810"/>
      <c r="F240" s="1810"/>
      <c r="G240" s="1810"/>
      <c r="H240" s="1810"/>
      <c r="I240" s="1810"/>
      <c r="J240" s="1810"/>
      <c r="K240" s="1810"/>
      <c r="L240" s="1811"/>
      <c r="M240" s="9"/>
      <c r="N240" s="2252" t="s">
        <v>15</v>
      </c>
      <c r="O240" s="2237"/>
      <c r="P240" s="2237"/>
      <c r="Q240" s="2237"/>
      <c r="R240" s="2237"/>
      <c r="S240" s="2240"/>
      <c r="T240" s="2241"/>
      <c r="U240" s="2239"/>
      <c r="V240" s="2242"/>
      <c r="W240" s="2250"/>
      <c r="X240" s="2244"/>
      <c r="Y240" s="2244"/>
      <c r="Z240" s="2245"/>
      <c r="AA240" s="2246"/>
      <c r="AB240" s="2247"/>
      <c r="AC240" s="2248"/>
      <c r="AD240" s="2249"/>
      <c r="AE240" s="2249"/>
      <c r="AF240" s="2238"/>
      <c r="AG240" s="2264"/>
      <c r="AI240" s="2252" t="s">
        <v>15</v>
      </c>
      <c r="AJ240" s="2237"/>
      <c r="AK240" s="2237"/>
      <c r="AL240" s="2237"/>
      <c r="AM240" s="2237"/>
      <c r="AN240" s="2240"/>
      <c r="AO240" s="2241"/>
      <c r="AP240" s="2239"/>
      <c r="AQ240" s="2242"/>
      <c r="AR240" s="2250"/>
      <c r="AS240" s="2244"/>
      <c r="AT240" s="2244"/>
      <c r="AU240" s="2245"/>
      <c r="AV240" s="2246"/>
      <c r="AW240" s="2247"/>
      <c r="AX240" s="2248"/>
      <c r="AY240" s="2249"/>
      <c r="AZ240" s="2249"/>
      <c r="BA240" s="2238"/>
      <c r="BB240" s="2264"/>
      <c r="BD240" s="2252" t="s">
        <v>15</v>
      </c>
      <c r="BE240" s="2237"/>
      <c r="BF240" s="2237"/>
      <c r="BG240" s="2237"/>
      <c r="BH240" s="2237"/>
      <c r="BI240" s="2240"/>
      <c r="BJ240" s="2241"/>
      <c r="BK240" s="2239"/>
      <c r="BL240" s="2242"/>
      <c r="BM240" s="2250"/>
      <c r="BN240" s="2244"/>
      <c r="BO240" s="2244"/>
      <c r="BP240" s="2245"/>
      <c r="BQ240" s="2246"/>
      <c r="BR240" s="2247"/>
      <c r="BS240" s="2248"/>
      <c r="BT240" s="2249"/>
      <c r="BU240" s="2249"/>
      <c r="BV240" s="2238"/>
      <c r="BW240" s="2264"/>
      <c r="BY240" s="3">
        <v>1</v>
      </c>
    </row>
    <row r="241" spans="2:77" ht="21" customHeight="1">
      <c r="B241" s="2265" t="str" cm="1">
        <f t="array" ref="B241">SUMPRODUCT(--(D241:J241&lt;&gt;""), LEN(TRIM(SUBSTITUTE(D241:J241, CHAR(160), "")))) &amp; " Car."</f>
        <v>0 Car.</v>
      </c>
      <c r="C241" s="1376" t="str">
        <f>IF(ISBLANK(D241),"",LARGE(C13:C240,1)+1)</f>
        <v/>
      </c>
      <c r="D241" s="1833"/>
      <c r="E241" s="1810"/>
      <c r="F241" s="1810"/>
      <c r="G241" s="1810"/>
      <c r="H241" s="1810"/>
      <c r="I241" s="1810"/>
      <c r="J241" s="1810"/>
      <c r="K241" s="1810"/>
      <c r="L241" s="1811"/>
      <c r="M241" s="9"/>
      <c r="N241" s="2252" t="s">
        <v>15</v>
      </c>
      <c r="O241" s="2237"/>
      <c r="P241" s="2237"/>
      <c r="Q241" s="2237"/>
      <c r="R241" s="2237"/>
      <c r="S241" s="2240"/>
      <c r="T241" s="2241"/>
      <c r="U241" s="2239"/>
      <c r="V241" s="2242"/>
      <c r="W241" s="2250"/>
      <c r="X241" s="2244"/>
      <c r="Y241" s="2244"/>
      <c r="Z241" s="2245"/>
      <c r="AA241" s="2246"/>
      <c r="AB241" s="2247"/>
      <c r="AC241" s="2248"/>
      <c r="AD241" s="2249"/>
      <c r="AE241" s="2249"/>
      <c r="AF241" s="2238"/>
      <c r="AG241" s="2264"/>
      <c r="AI241" s="2252" t="s">
        <v>15</v>
      </c>
      <c r="AJ241" s="2237"/>
      <c r="AK241" s="2237"/>
      <c r="AL241" s="2237"/>
      <c r="AM241" s="2237"/>
      <c r="AN241" s="2240"/>
      <c r="AO241" s="2241"/>
      <c r="AP241" s="2239"/>
      <c r="AQ241" s="2242"/>
      <c r="AR241" s="2250"/>
      <c r="AS241" s="2244"/>
      <c r="AT241" s="2244"/>
      <c r="AU241" s="2245"/>
      <c r="AV241" s="2246"/>
      <c r="AW241" s="2247"/>
      <c r="AX241" s="2248"/>
      <c r="AY241" s="2249"/>
      <c r="AZ241" s="2249"/>
      <c r="BA241" s="2238"/>
      <c r="BB241" s="2264"/>
      <c r="BD241" s="2252" t="s">
        <v>15</v>
      </c>
      <c r="BE241" s="2237"/>
      <c r="BF241" s="2237"/>
      <c r="BG241" s="2237"/>
      <c r="BH241" s="2237"/>
      <c r="BI241" s="2240"/>
      <c r="BJ241" s="2241"/>
      <c r="BK241" s="2239"/>
      <c r="BL241" s="2242"/>
      <c r="BM241" s="2250"/>
      <c r="BN241" s="2244"/>
      <c r="BO241" s="2244"/>
      <c r="BP241" s="2245"/>
      <c r="BQ241" s="2246"/>
      <c r="BR241" s="2247"/>
      <c r="BS241" s="2248"/>
      <c r="BT241" s="2249"/>
      <c r="BU241" s="2249"/>
      <c r="BV241" s="2238"/>
      <c r="BW241" s="2264"/>
      <c r="BY241" s="3">
        <v>1</v>
      </c>
    </row>
    <row r="242" spans="2:77" ht="21" customHeight="1">
      <c r="B242" s="2265" t="str" cm="1">
        <f t="array" ref="B242">SUMPRODUCT(--(D242:J242&lt;&gt;""), LEN(TRIM(SUBSTITUTE(D242:J242, CHAR(160), "")))) &amp; " Car."</f>
        <v>0 Car.</v>
      </c>
      <c r="C242" s="1376" t="str">
        <f>IF(ISBLANK(D242),"",LARGE(C13:C241,1)+1)</f>
        <v/>
      </c>
      <c r="D242" s="1833"/>
      <c r="E242" s="1810"/>
      <c r="F242" s="1810"/>
      <c r="G242" s="1810"/>
      <c r="H242" s="1810"/>
      <c r="I242" s="1810"/>
      <c r="J242" s="1810"/>
      <c r="K242" s="1810"/>
      <c r="L242" s="1811"/>
      <c r="M242" s="9"/>
      <c r="N242" s="2252" t="s">
        <v>15</v>
      </c>
      <c r="O242" s="2237"/>
      <c r="P242" s="2237"/>
      <c r="Q242" s="2237"/>
      <c r="R242" s="2237"/>
      <c r="S242" s="2240"/>
      <c r="T242" s="2241"/>
      <c r="U242" s="2239"/>
      <c r="V242" s="2242"/>
      <c r="W242" s="2250"/>
      <c r="X242" s="2244"/>
      <c r="Y242" s="2244"/>
      <c r="Z242" s="2245"/>
      <c r="AA242" s="2246"/>
      <c r="AB242" s="2247"/>
      <c r="AC242" s="2248"/>
      <c r="AD242" s="2249"/>
      <c r="AE242" s="2249"/>
      <c r="AF242" s="2238"/>
      <c r="AG242" s="2264"/>
      <c r="AI242" s="2252" t="s">
        <v>15</v>
      </c>
      <c r="AJ242" s="2237"/>
      <c r="AK242" s="2237"/>
      <c r="AL242" s="2237"/>
      <c r="AM242" s="2237"/>
      <c r="AN242" s="2240"/>
      <c r="AO242" s="2241"/>
      <c r="AP242" s="2239"/>
      <c r="AQ242" s="2242"/>
      <c r="AR242" s="2250"/>
      <c r="AS242" s="2244"/>
      <c r="AT242" s="2244"/>
      <c r="AU242" s="2245"/>
      <c r="AV242" s="2246"/>
      <c r="AW242" s="2247"/>
      <c r="AX242" s="2248"/>
      <c r="AY242" s="2249"/>
      <c r="AZ242" s="2249"/>
      <c r="BA242" s="2238"/>
      <c r="BB242" s="2264"/>
      <c r="BD242" s="2252" t="s">
        <v>15</v>
      </c>
      <c r="BE242" s="2237"/>
      <c r="BF242" s="2237"/>
      <c r="BG242" s="2237"/>
      <c r="BH242" s="2237"/>
      <c r="BI242" s="2240"/>
      <c r="BJ242" s="2241"/>
      <c r="BK242" s="2239"/>
      <c r="BL242" s="2242"/>
      <c r="BM242" s="2250"/>
      <c r="BN242" s="2244"/>
      <c r="BO242" s="2244"/>
      <c r="BP242" s="2245"/>
      <c r="BQ242" s="2246"/>
      <c r="BR242" s="2247"/>
      <c r="BS242" s="2248"/>
      <c r="BT242" s="2249"/>
      <c r="BU242" s="2249"/>
      <c r="BV242" s="2238"/>
      <c r="BW242" s="2264"/>
      <c r="BY242" s="3">
        <v>1</v>
      </c>
    </row>
    <row r="243" spans="2:77" ht="21" customHeight="1">
      <c r="B243" s="2265" t="str" cm="1">
        <f t="array" ref="B243">SUMPRODUCT(--(D243:J243&lt;&gt;""), LEN(TRIM(SUBSTITUTE(D243:J243, CHAR(160), "")))) &amp; " Car."</f>
        <v>0 Car.</v>
      </c>
      <c r="C243" s="1376" t="str">
        <f>IF(ISBLANK(D243),"",LARGE(C13:C242,1)+1)</f>
        <v/>
      </c>
      <c r="D243" s="1833"/>
      <c r="E243" s="1810"/>
      <c r="F243" s="1810"/>
      <c r="G243" s="1810"/>
      <c r="H243" s="1810"/>
      <c r="I243" s="1810"/>
      <c r="J243" s="1810"/>
      <c r="K243" s="1810"/>
      <c r="L243" s="1811"/>
      <c r="M243" s="9"/>
      <c r="N243" s="2252" t="s">
        <v>15</v>
      </c>
      <c r="O243" s="2237"/>
      <c r="P243" s="2237"/>
      <c r="Q243" s="2237"/>
      <c r="R243" s="2237"/>
      <c r="S243" s="2240"/>
      <c r="T243" s="2241"/>
      <c r="U243" s="2239"/>
      <c r="V243" s="2242"/>
      <c r="W243" s="2250"/>
      <c r="X243" s="2244"/>
      <c r="Y243" s="2244"/>
      <c r="Z243" s="2245"/>
      <c r="AA243" s="2246"/>
      <c r="AB243" s="2247"/>
      <c r="AC243" s="2248"/>
      <c r="AD243" s="2249"/>
      <c r="AE243" s="2249"/>
      <c r="AF243" s="2238"/>
      <c r="AG243" s="2264"/>
      <c r="AI243" s="2252" t="s">
        <v>15</v>
      </c>
      <c r="AJ243" s="2237"/>
      <c r="AK243" s="2237"/>
      <c r="AL243" s="2237"/>
      <c r="AM243" s="2237"/>
      <c r="AN243" s="2240"/>
      <c r="AO243" s="2241"/>
      <c r="AP243" s="2239"/>
      <c r="AQ243" s="2242"/>
      <c r="AR243" s="2250"/>
      <c r="AS243" s="2244"/>
      <c r="AT243" s="2244"/>
      <c r="AU243" s="2245"/>
      <c r="AV243" s="2246"/>
      <c r="AW243" s="2247"/>
      <c r="AX243" s="2248"/>
      <c r="AY243" s="2249"/>
      <c r="AZ243" s="2249"/>
      <c r="BA243" s="2238"/>
      <c r="BB243" s="2264"/>
      <c r="BD243" s="2252" t="s">
        <v>15</v>
      </c>
      <c r="BE243" s="2237"/>
      <c r="BF243" s="2237"/>
      <c r="BG243" s="2237"/>
      <c r="BH243" s="2237"/>
      <c r="BI243" s="2240"/>
      <c r="BJ243" s="2241"/>
      <c r="BK243" s="2239"/>
      <c r="BL243" s="2242"/>
      <c r="BM243" s="2250"/>
      <c r="BN243" s="2244"/>
      <c r="BO243" s="2244"/>
      <c r="BP243" s="2245"/>
      <c r="BQ243" s="2246"/>
      <c r="BR243" s="2247"/>
      <c r="BS243" s="2248"/>
      <c r="BT243" s="2249"/>
      <c r="BU243" s="2249"/>
      <c r="BV243" s="2238"/>
      <c r="BW243" s="2264"/>
      <c r="BY243" s="3">
        <v>1</v>
      </c>
    </row>
    <row r="244" spans="2:77" ht="21" customHeight="1">
      <c r="B244" s="2265" t="str" cm="1">
        <f t="array" ref="B244">SUMPRODUCT(--(D244:J244&lt;&gt;""), LEN(TRIM(SUBSTITUTE(D244:J244, CHAR(160), "")))) &amp; " Car."</f>
        <v>0 Car.</v>
      </c>
      <c r="C244" s="1376" t="str">
        <f>IF(ISBLANK(D244),"",LARGE(C13:C243,1)+1)</f>
        <v/>
      </c>
      <c r="D244" s="1833"/>
      <c r="E244" s="1810"/>
      <c r="F244" s="1810"/>
      <c r="G244" s="1810"/>
      <c r="H244" s="1810"/>
      <c r="I244" s="1810"/>
      <c r="J244" s="1810"/>
      <c r="K244" s="1810"/>
      <c r="L244" s="1811"/>
      <c r="M244" s="9"/>
      <c r="N244" s="2252" t="s">
        <v>15</v>
      </c>
      <c r="O244" s="2237"/>
      <c r="P244" s="2237"/>
      <c r="Q244" s="2237"/>
      <c r="R244" s="2237"/>
      <c r="S244" s="2240"/>
      <c r="T244" s="2241"/>
      <c r="U244" s="2239"/>
      <c r="V244" s="2242"/>
      <c r="W244" s="2250"/>
      <c r="X244" s="2244"/>
      <c r="Y244" s="2244"/>
      <c r="Z244" s="2245"/>
      <c r="AA244" s="2246"/>
      <c r="AB244" s="2247"/>
      <c r="AC244" s="2248"/>
      <c r="AD244" s="2249"/>
      <c r="AE244" s="2249"/>
      <c r="AF244" s="2238"/>
      <c r="AG244" s="2264"/>
      <c r="AI244" s="2252" t="s">
        <v>15</v>
      </c>
      <c r="AJ244" s="2237"/>
      <c r="AK244" s="2237"/>
      <c r="AL244" s="2237"/>
      <c r="AM244" s="2237"/>
      <c r="AN244" s="2240"/>
      <c r="AO244" s="2241"/>
      <c r="AP244" s="2239"/>
      <c r="AQ244" s="2242"/>
      <c r="AR244" s="2250"/>
      <c r="AS244" s="2244"/>
      <c r="AT244" s="2244"/>
      <c r="AU244" s="2245"/>
      <c r="AV244" s="2246"/>
      <c r="AW244" s="2247"/>
      <c r="AX244" s="2248"/>
      <c r="AY244" s="2249"/>
      <c r="AZ244" s="2249"/>
      <c r="BA244" s="2238"/>
      <c r="BB244" s="2264"/>
      <c r="BD244" s="2252" t="s">
        <v>15</v>
      </c>
      <c r="BE244" s="2237"/>
      <c r="BF244" s="2237"/>
      <c r="BG244" s="2237"/>
      <c r="BH244" s="2237"/>
      <c r="BI244" s="2240"/>
      <c r="BJ244" s="2241"/>
      <c r="BK244" s="2239"/>
      <c r="BL244" s="2242"/>
      <c r="BM244" s="2250"/>
      <c r="BN244" s="2244"/>
      <c r="BO244" s="2244"/>
      <c r="BP244" s="2245"/>
      <c r="BQ244" s="2246"/>
      <c r="BR244" s="2247"/>
      <c r="BS244" s="2248"/>
      <c r="BT244" s="2249"/>
      <c r="BU244" s="2249"/>
      <c r="BV244" s="2238"/>
      <c r="BW244" s="2264"/>
      <c r="BY244" s="3">
        <v>1</v>
      </c>
    </row>
    <row r="245" spans="2:77" ht="21" customHeight="1">
      <c r="B245" s="2265" t="str" cm="1">
        <f t="array" ref="B245">SUMPRODUCT(--(D245:J245&lt;&gt;""), LEN(TRIM(SUBSTITUTE(D245:J245, CHAR(160), "")))) &amp; " Car."</f>
        <v>0 Car.</v>
      </c>
      <c r="C245" s="1376" t="str">
        <f>IF(ISBLANK(D245),"",LARGE(C13:C244,1)+1)</f>
        <v/>
      </c>
      <c r="D245" s="1833"/>
      <c r="E245" s="1810"/>
      <c r="F245" s="1810"/>
      <c r="G245" s="1810"/>
      <c r="H245" s="1810"/>
      <c r="I245" s="1810"/>
      <c r="J245" s="1810"/>
      <c r="K245" s="1810"/>
      <c r="L245" s="1811"/>
      <c r="M245" s="9"/>
      <c r="N245" s="2252" t="s">
        <v>15</v>
      </c>
      <c r="O245" s="2237"/>
      <c r="P245" s="2237"/>
      <c r="Q245" s="2237"/>
      <c r="R245" s="2237"/>
      <c r="S245" s="2240"/>
      <c r="T245" s="2241"/>
      <c r="U245" s="2239"/>
      <c r="V245" s="2242"/>
      <c r="W245" s="2250"/>
      <c r="X245" s="2244"/>
      <c r="Y245" s="2244"/>
      <c r="Z245" s="2245"/>
      <c r="AA245" s="2246"/>
      <c r="AB245" s="2247"/>
      <c r="AC245" s="2248"/>
      <c r="AD245" s="2249"/>
      <c r="AE245" s="2249"/>
      <c r="AF245" s="2238"/>
      <c r="AG245" s="2264"/>
      <c r="AI245" s="2252" t="s">
        <v>15</v>
      </c>
      <c r="AJ245" s="2237"/>
      <c r="AK245" s="2237"/>
      <c r="AL245" s="2237"/>
      <c r="AM245" s="2237"/>
      <c r="AN245" s="2240"/>
      <c r="AO245" s="2241"/>
      <c r="AP245" s="2239"/>
      <c r="AQ245" s="2242"/>
      <c r="AR245" s="2250"/>
      <c r="AS245" s="2244"/>
      <c r="AT245" s="2244"/>
      <c r="AU245" s="2245"/>
      <c r="AV245" s="2246"/>
      <c r="AW245" s="2247"/>
      <c r="AX245" s="2248"/>
      <c r="AY245" s="2249"/>
      <c r="AZ245" s="2249"/>
      <c r="BA245" s="2238"/>
      <c r="BB245" s="2264"/>
      <c r="BD245" s="2252" t="s">
        <v>15</v>
      </c>
      <c r="BE245" s="2237"/>
      <c r="BF245" s="2237"/>
      <c r="BG245" s="2237"/>
      <c r="BH245" s="2237"/>
      <c r="BI245" s="2240"/>
      <c r="BJ245" s="2241"/>
      <c r="BK245" s="2239"/>
      <c r="BL245" s="2242"/>
      <c r="BM245" s="2250"/>
      <c r="BN245" s="2244"/>
      <c r="BO245" s="2244"/>
      <c r="BP245" s="2245"/>
      <c r="BQ245" s="2246"/>
      <c r="BR245" s="2247"/>
      <c r="BS245" s="2248"/>
      <c r="BT245" s="2249"/>
      <c r="BU245" s="2249"/>
      <c r="BV245" s="2238"/>
      <c r="BW245" s="2264"/>
      <c r="BY245" s="3">
        <v>1</v>
      </c>
    </row>
    <row r="246" spans="2:77" ht="21" customHeight="1">
      <c r="B246" s="2265" t="str" cm="1">
        <f t="array" ref="B246">SUMPRODUCT(--(D246:J246&lt;&gt;""), LEN(TRIM(SUBSTITUTE(D246:J246, CHAR(160), "")))) &amp; " Car."</f>
        <v>0 Car.</v>
      </c>
      <c r="C246" s="1376" t="str">
        <f>IF(ISBLANK(D246),"",LARGE(C13:C245,1)+1)</f>
        <v/>
      </c>
      <c r="D246" s="1833"/>
      <c r="E246" s="1810"/>
      <c r="F246" s="1810"/>
      <c r="G246" s="1810"/>
      <c r="H246" s="1810"/>
      <c r="I246" s="1810"/>
      <c r="J246" s="1810"/>
      <c r="K246" s="1810"/>
      <c r="L246" s="1811"/>
      <c r="M246" s="9"/>
      <c r="N246" s="2252" t="s">
        <v>15</v>
      </c>
      <c r="O246" s="2237"/>
      <c r="P246" s="2237"/>
      <c r="Q246" s="2237"/>
      <c r="R246" s="2237"/>
      <c r="S246" s="2240"/>
      <c r="T246" s="2241"/>
      <c r="U246" s="2239"/>
      <c r="V246" s="2242"/>
      <c r="W246" s="2250"/>
      <c r="X246" s="2244"/>
      <c r="Y246" s="2244"/>
      <c r="Z246" s="2245"/>
      <c r="AA246" s="2246"/>
      <c r="AB246" s="2247"/>
      <c r="AC246" s="2248"/>
      <c r="AD246" s="2249"/>
      <c r="AE246" s="2249"/>
      <c r="AF246" s="2238"/>
      <c r="AG246" s="2264"/>
      <c r="AI246" s="2252" t="s">
        <v>15</v>
      </c>
      <c r="AJ246" s="2237"/>
      <c r="AK246" s="2237"/>
      <c r="AL246" s="2237"/>
      <c r="AM246" s="2237"/>
      <c r="AN246" s="2240"/>
      <c r="AO246" s="2241"/>
      <c r="AP246" s="2239"/>
      <c r="AQ246" s="2242"/>
      <c r="AR246" s="2250"/>
      <c r="AS246" s="2244"/>
      <c r="AT246" s="2244"/>
      <c r="AU246" s="2245"/>
      <c r="AV246" s="2246"/>
      <c r="AW246" s="2247"/>
      <c r="AX246" s="2248"/>
      <c r="AY246" s="2249"/>
      <c r="AZ246" s="2249"/>
      <c r="BA246" s="2238"/>
      <c r="BB246" s="2264"/>
      <c r="BD246" s="2252" t="s">
        <v>15</v>
      </c>
      <c r="BE246" s="2237"/>
      <c r="BF246" s="2237"/>
      <c r="BG246" s="2237"/>
      <c r="BH246" s="2237"/>
      <c r="BI246" s="2240"/>
      <c r="BJ246" s="2241"/>
      <c r="BK246" s="2239"/>
      <c r="BL246" s="2242"/>
      <c r="BM246" s="2250"/>
      <c r="BN246" s="2244"/>
      <c r="BO246" s="2244"/>
      <c r="BP246" s="2245"/>
      <c r="BQ246" s="2246"/>
      <c r="BR246" s="2247"/>
      <c r="BS246" s="2248"/>
      <c r="BT246" s="2249"/>
      <c r="BU246" s="2249"/>
      <c r="BV246" s="2238"/>
      <c r="BW246" s="2264"/>
      <c r="BY246" s="3">
        <v>1</v>
      </c>
    </row>
    <row r="247" spans="2:77" ht="21" customHeight="1">
      <c r="B247" s="2265" t="str" cm="1">
        <f t="array" ref="B247">SUMPRODUCT(--(D247:J247&lt;&gt;""), LEN(TRIM(SUBSTITUTE(D247:J247, CHAR(160), "")))) &amp; " Car."</f>
        <v>0 Car.</v>
      </c>
      <c r="C247" s="1376" t="str">
        <f>IF(ISBLANK(D247),"",LARGE(C13:C246,1)+1)</f>
        <v/>
      </c>
      <c r="D247" s="1833"/>
      <c r="E247" s="1810"/>
      <c r="F247" s="1810"/>
      <c r="G247" s="1810"/>
      <c r="H247" s="1810"/>
      <c r="I247" s="1810"/>
      <c r="J247" s="1810"/>
      <c r="K247" s="1810"/>
      <c r="L247" s="1811"/>
      <c r="M247" s="9"/>
      <c r="N247" s="2252" t="s">
        <v>15</v>
      </c>
      <c r="O247" s="2237"/>
      <c r="P247" s="2237"/>
      <c r="Q247" s="2237"/>
      <c r="R247" s="2237"/>
      <c r="S247" s="2240"/>
      <c r="T247" s="2241"/>
      <c r="U247" s="2239"/>
      <c r="V247" s="2242"/>
      <c r="W247" s="2250"/>
      <c r="X247" s="2244"/>
      <c r="Y247" s="2244"/>
      <c r="Z247" s="2245"/>
      <c r="AA247" s="2246"/>
      <c r="AB247" s="2247"/>
      <c r="AC247" s="2248"/>
      <c r="AD247" s="2249"/>
      <c r="AE247" s="2249"/>
      <c r="AF247" s="2238"/>
      <c r="AG247" s="2264"/>
      <c r="AI247" s="2252" t="s">
        <v>15</v>
      </c>
      <c r="AJ247" s="2237"/>
      <c r="AK247" s="2237"/>
      <c r="AL247" s="2237"/>
      <c r="AM247" s="2237"/>
      <c r="AN247" s="2240"/>
      <c r="AO247" s="2241"/>
      <c r="AP247" s="2239"/>
      <c r="AQ247" s="2242"/>
      <c r="AR247" s="2250"/>
      <c r="AS247" s="2244"/>
      <c r="AT247" s="2244"/>
      <c r="AU247" s="2245"/>
      <c r="AV247" s="2246"/>
      <c r="AW247" s="2247"/>
      <c r="AX247" s="2248"/>
      <c r="AY247" s="2249"/>
      <c r="AZ247" s="2249"/>
      <c r="BA247" s="2238"/>
      <c r="BB247" s="2264"/>
      <c r="BD247" s="2252" t="s">
        <v>15</v>
      </c>
      <c r="BE247" s="2237"/>
      <c r="BF247" s="2237"/>
      <c r="BG247" s="2237"/>
      <c r="BH247" s="2237"/>
      <c r="BI247" s="2240"/>
      <c r="BJ247" s="2241"/>
      <c r="BK247" s="2239"/>
      <c r="BL247" s="2242"/>
      <c r="BM247" s="2250"/>
      <c r="BN247" s="2244"/>
      <c r="BO247" s="2244"/>
      <c r="BP247" s="2245"/>
      <c r="BQ247" s="2246"/>
      <c r="BR247" s="2247"/>
      <c r="BS247" s="2248"/>
      <c r="BT247" s="2249"/>
      <c r="BU247" s="2249"/>
      <c r="BV247" s="2238"/>
      <c r="BW247" s="2264"/>
      <c r="BY247" s="3">
        <v>1</v>
      </c>
    </row>
    <row r="248" spans="2:77" ht="21" customHeight="1">
      <c r="B248" s="2265" t="str" cm="1">
        <f t="array" ref="B248">SUMPRODUCT(--(D248:J248&lt;&gt;""), LEN(TRIM(SUBSTITUTE(D248:J248, CHAR(160), "")))) &amp; " Car."</f>
        <v>0 Car.</v>
      </c>
      <c r="C248" s="1376" t="str">
        <f>IF(ISBLANK(D248),"",LARGE(C13:C247,1)+1)</f>
        <v/>
      </c>
      <c r="D248" s="1833"/>
      <c r="E248" s="1810"/>
      <c r="F248" s="1810"/>
      <c r="G248" s="1810"/>
      <c r="H248" s="1810"/>
      <c r="I248" s="1810"/>
      <c r="J248" s="1810"/>
      <c r="K248" s="1810"/>
      <c r="L248" s="1811"/>
      <c r="M248" s="9"/>
      <c r="N248" s="2252" t="s">
        <v>15</v>
      </c>
      <c r="O248" s="2237"/>
      <c r="P248" s="2237"/>
      <c r="Q248" s="2237"/>
      <c r="R248" s="2237"/>
      <c r="S248" s="2240"/>
      <c r="T248" s="2241"/>
      <c r="U248" s="2239"/>
      <c r="V248" s="2242"/>
      <c r="W248" s="2250"/>
      <c r="X248" s="2244"/>
      <c r="Y248" s="2244"/>
      <c r="Z248" s="2245"/>
      <c r="AA248" s="2246"/>
      <c r="AB248" s="2247"/>
      <c r="AC248" s="2248"/>
      <c r="AD248" s="2249"/>
      <c r="AE248" s="2249"/>
      <c r="AF248" s="2238"/>
      <c r="AG248" s="2264"/>
      <c r="AI248" s="2252" t="s">
        <v>15</v>
      </c>
      <c r="AJ248" s="2237"/>
      <c r="AK248" s="2237"/>
      <c r="AL248" s="2237"/>
      <c r="AM248" s="2237"/>
      <c r="AN248" s="2240"/>
      <c r="AO248" s="2241"/>
      <c r="AP248" s="2239"/>
      <c r="AQ248" s="2242"/>
      <c r="AR248" s="2250"/>
      <c r="AS248" s="2244"/>
      <c r="AT248" s="2244"/>
      <c r="AU248" s="2245"/>
      <c r="AV248" s="2246"/>
      <c r="AW248" s="2247"/>
      <c r="AX248" s="2248"/>
      <c r="AY248" s="2249"/>
      <c r="AZ248" s="2249"/>
      <c r="BA248" s="2238"/>
      <c r="BB248" s="2264"/>
      <c r="BD248" s="2252" t="s">
        <v>15</v>
      </c>
      <c r="BE248" s="2237"/>
      <c r="BF248" s="2237"/>
      <c r="BG248" s="2237"/>
      <c r="BH248" s="2237"/>
      <c r="BI248" s="2240"/>
      <c r="BJ248" s="2241"/>
      <c r="BK248" s="2239"/>
      <c r="BL248" s="2242"/>
      <c r="BM248" s="2250"/>
      <c r="BN248" s="2244"/>
      <c r="BO248" s="2244"/>
      <c r="BP248" s="2245"/>
      <c r="BQ248" s="2246"/>
      <c r="BR248" s="2247"/>
      <c r="BS248" s="2248"/>
      <c r="BT248" s="2249"/>
      <c r="BU248" s="2249"/>
      <c r="BV248" s="2238"/>
      <c r="BW248" s="2264"/>
      <c r="BY248" s="3">
        <v>1</v>
      </c>
    </row>
    <row r="249" spans="2:77" ht="21" customHeight="1">
      <c r="B249" s="2265" t="str" cm="1">
        <f t="array" ref="B249">SUMPRODUCT(--(D249:J249&lt;&gt;""), LEN(TRIM(SUBSTITUTE(D249:J249, CHAR(160), "")))) &amp; " Car."</f>
        <v>0 Car.</v>
      </c>
      <c r="C249" s="1376" t="str">
        <f>IF(ISBLANK(D249),"",LARGE(C13:C248,1)+1)</f>
        <v/>
      </c>
      <c r="D249" s="1833"/>
      <c r="E249" s="1810"/>
      <c r="F249" s="1810"/>
      <c r="G249" s="1810"/>
      <c r="H249" s="1810"/>
      <c r="I249" s="1810"/>
      <c r="J249" s="1810"/>
      <c r="K249" s="1810"/>
      <c r="L249" s="1811"/>
      <c r="M249" s="9"/>
      <c r="N249" s="2252" t="s">
        <v>15</v>
      </c>
      <c r="O249" s="2237"/>
      <c r="P249" s="2237"/>
      <c r="Q249" s="2237"/>
      <c r="R249" s="2237"/>
      <c r="S249" s="2240"/>
      <c r="T249" s="2241"/>
      <c r="U249" s="2239"/>
      <c r="V249" s="2242"/>
      <c r="W249" s="2250"/>
      <c r="X249" s="2244"/>
      <c r="Y249" s="2244"/>
      <c r="Z249" s="2245"/>
      <c r="AA249" s="2246"/>
      <c r="AB249" s="2247"/>
      <c r="AC249" s="2248"/>
      <c r="AD249" s="2249"/>
      <c r="AE249" s="2249"/>
      <c r="AF249" s="2238"/>
      <c r="AG249" s="2264"/>
      <c r="AI249" s="2252" t="s">
        <v>15</v>
      </c>
      <c r="AJ249" s="2237"/>
      <c r="AK249" s="2237"/>
      <c r="AL249" s="2237"/>
      <c r="AM249" s="2237"/>
      <c r="AN249" s="2240"/>
      <c r="AO249" s="2241"/>
      <c r="AP249" s="2239"/>
      <c r="AQ249" s="2242"/>
      <c r="AR249" s="2250"/>
      <c r="AS249" s="2244"/>
      <c r="AT249" s="2244"/>
      <c r="AU249" s="2245"/>
      <c r="AV249" s="2246"/>
      <c r="AW249" s="2247"/>
      <c r="AX249" s="2248"/>
      <c r="AY249" s="2249"/>
      <c r="AZ249" s="2249"/>
      <c r="BA249" s="2238"/>
      <c r="BB249" s="2264"/>
      <c r="BD249" s="2252" t="s">
        <v>15</v>
      </c>
      <c r="BE249" s="2237"/>
      <c r="BF249" s="2237"/>
      <c r="BG249" s="2237"/>
      <c r="BH249" s="2237"/>
      <c r="BI249" s="2240"/>
      <c r="BJ249" s="2241"/>
      <c r="BK249" s="2239"/>
      <c r="BL249" s="2242"/>
      <c r="BM249" s="2250"/>
      <c r="BN249" s="2244"/>
      <c r="BO249" s="2244"/>
      <c r="BP249" s="2245"/>
      <c r="BQ249" s="2246"/>
      <c r="BR249" s="2247"/>
      <c r="BS249" s="2248"/>
      <c r="BT249" s="2249"/>
      <c r="BU249" s="2249"/>
      <c r="BV249" s="2238"/>
      <c r="BW249" s="2264"/>
      <c r="BY249" s="3">
        <v>1</v>
      </c>
    </row>
    <row r="250" spans="2:77" ht="21" customHeight="1">
      <c r="B250" s="2265" t="str" cm="1">
        <f t="array" ref="B250">SUMPRODUCT(--(D250:J250&lt;&gt;""), LEN(TRIM(SUBSTITUTE(D250:J250, CHAR(160), "")))) &amp; " Car."</f>
        <v>0 Car.</v>
      </c>
      <c r="C250" s="1376" t="str">
        <f>IF(ISBLANK(D250),"",LARGE(C13:C249,1)+1)</f>
        <v/>
      </c>
      <c r="D250" s="1833"/>
      <c r="E250" s="1810"/>
      <c r="F250" s="1810"/>
      <c r="G250" s="1810"/>
      <c r="H250" s="1810"/>
      <c r="I250" s="1810"/>
      <c r="J250" s="1810"/>
      <c r="K250" s="1810"/>
      <c r="L250" s="1811"/>
      <c r="M250" s="9"/>
      <c r="N250" s="2252" t="s">
        <v>15</v>
      </c>
      <c r="O250" s="2237"/>
      <c r="P250" s="2237"/>
      <c r="Q250" s="2237"/>
      <c r="R250" s="2237"/>
      <c r="S250" s="2240"/>
      <c r="T250" s="2241"/>
      <c r="U250" s="2239"/>
      <c r="V250" s="2242"/>
      <c r="W250" s="2250"/>
      <c r="X250" s="2244"/>
      <c r="Y250" s="2244"/>
      <c r="Z250" s="2245"/>
      <c r="AA250" s="2246"/>
      <c r="AB250" s="2247"/>
      <c r="AC250" s="2248"/>
      <c r="AD250" s="2249"/>
      <c r="AE250" s="2249"/>
      <c r="AF250" s="2238"/>
      <c r="AG250" s="2264"/>
      <c r="AI250" s="2252" t="s">
        <v>15</v>
      </c>
      <c r="AJ250" s="2237"/>
      <c r="AK250" s="2237"/>
      <c r="AL250" s="2237"/>
      <c r="AM250" s="2237"/>
      <c r="AN250" s="2240"/>
      <c r="AO250" s="2241"/>
      <c r="AP250" s="2239"/>
      <c r="AQ250" s="2242"/>
      <c r="AR250" s="2250"/>
      <c r="AS250" s="2244"/>
      <c r="AT250" s="2244"/>
      <c r="AU250" s="2245"/>
      <c r="AV250" s="2246"/>
      <c r="AW250" s="2247"/>
      <c r="AX250" s="2248"/>
      <c r="AY250" s="2249"/>
      <c r="AZ250" s="2249"/>
      <c r="BA250" s="2238"/>
      <c r="BB250" s="2264"/>
      <c r="BD250" s="2252" t="s">
        <v>15</v>
      </c>
      <c r="BE250" s="2237"/>
      <c r="BF250" s="2237"/>
      <c r="BG250" s="2237"/>
      <c r="BH250" s="2237"/>
      <c r="BI250" s="2240"/>
      <c r="BJ250" s="2241"/>
      <c r="BK250" s="2239"/>
      <c r="BL250" s="2242"/>
      <c r="BM250" s="2250"/>
      <c r="BN250" s="2244"/>
      <c r="BO250" s="2244"/>
      <c r="BP250" s="2245"/>
      <c r="BQ250" s="2246"/>
      <c r="BR250" s="2247"/>
      <c r="BS250" s="2248"/>
      <c r="BT250" s="2249"/>
      <c r="BU250" s="2249"/>
      <c r="BV250" s="2238"/>
      <c r="BW250" s="2264"/>
      <c r="BY250" s="3">
        <v>1</v>
      </c>
    </row>
    <row r="251" spans="2:77" ht="21" customHeight="1">
      <c r="B251" s="2265" t="str" cm="1">
        <f t="array" ref="B251">SUMPRODUCT(--(D251:J251&lt;&gt;""), LEN(TRIM(SUBSTITUTE(D251:J251, CHAR(160), "")))) &amp; " Car."</f>
        <v>0 Car.</v>
      </c>
      <c r="C251" s="1376" t="str">
        <f>IF(ISBLANK(D251),"",LARGE(C13:C250,1)+1)</f>
        <v/>
      </c>
      <c r="D251" s="1833"/>
      <c r="E251" s="1810"/>
      <c r="F251" s="1810"/>
      <c r="G251" s="1810"/>
      <c r="H251" s="1810"/>
      <c r="I251" s="1810"/>
      <c r="J251" s="1810"/>
      <c r="K251" s="1810"/>
      <c r="L251" s="1811"/>
      <c r="M251" s="9"/>
      <c r="N251" s="2252" t="s">
        <v>15</v>
      </c>
      <c r="O251" s="2237"/>
      <c r="P251" s="2237"/>
      <c r="Q251" s="2237"/>
      <c r="R251" s="2237"/>
      <c r="S251" s="2240"/>
      <c r="T251" s="2241"/>
      <c r="U251" s="2239"/>
      <c r="V251" s="2242"/>
      <c r="W251" s="2250"/>
      <c r="X251" s="2244"/>
      <c r="Y251" s="2244"/>
      <c r="Z251" s="2245"/>
      <c r="AA251" s="2246"/>
      <c r="AB251" s="2247"/>
      <c r="AC251" s="2248"/>
      <c r="AD251" s="2249"/>
      <c r="AE251" s="2249"/>
      <c r="AF251" s="2238"/>
      <c r="AG251" s="2264"/>
      <c r="AI251" s="2252" t="s">
        <v>15</v>
      </c>
      <c r="AJ251" s="2237"/>
      <c r="AK251" s="2237"/>
      <c r="AL251" s="2237"/>
      <c r="AM251" s="2237"/>
      <c r="AN251" s="2240"/>
      <c r="AO251" s="2241"/>
      <c r="AP251" s="2239"/>
      <c r="AQ251" s="2242"/>
      <c r="AR251" s="2250"/>
      <c r="AS251" s="2244"/>
      <c r="AT251" s="2244"/>
      <c r="AU251" s="2245"/>
      <c r="AV251" s="2246"/>
      <c r="AW251" s="2247"/>
      <c r="AX251" s="2248"/>
      <c r="AY251" s="2249"/>
      <c r="AZ251" s="2249"/>
      <c r="BA251" s="2238"/>
      <c r="BB251" s="2264"/>
      <c r="BD251" s="2252" t="s">
        <v>15</v>
      </c>
      <c r="BE251" s="2237"/>
      <c r="BF251" s="2237"/>
      <c r="BG251" s="2237"/>
      <c r="BH251" s="2237"/>
      <c r="BI251" s="2240"/>
      <c r="BJ251" s="2241"/>
      <c r="BK251" s="2239"/>
      <c r="BL251" s="2242"/>
      <c r="BM251" s="2250"/>
      <c r="BN251" s="2244"/>
      <c r="BO251" s="2244"/>
      <c r="BP251" s="2245"/>
      <c r="BQ251" s="2246"/>
      <c r="BR251" s="2247"/>
      <c r="BS251" s="2248"/>
      <c r="BT251" s="2249"/>
      <c r="BU251" s="2249"/>
      <c r="BV251" s="2238"/>
      <c r="BW251" s="2264"/>
      <c r="BY251" s="3">
        <v>1</v>
      </c>
    </row>
    <row r="252" spans="2:77" ht="21" customHeight="1">
      <c r="B252" s="2265" t="str" cm="1">
        <f t="array" ref="B252">SUMPRODUCT(--(D252:J252&lt;&gt;""), LEN(TRIM(SUBSTITUTE(D252:J252, CHAR(160), "")))) &amp; " Car."</f>
        <v>0 Car.</v>
      </c>
      <c r="C252" s="1376" t="str">
        <f>IF(ISBLANK(D252),"",LARGE(C13:C251,1)+1)</f>
        <v/>
      </c>
      <c r="D252" s="1833"/>
      <c r="E252" s="1810"/>
      <c r="F252" s="1810"/>
      <c r="G252" s="1810"/>
      <c r="H252" s="1810"/>
      <c r="I252" s="1810"/>
      <c r="J252" s="1810"/>
      <c r="K252" s="1810"/>
      <c r="L252" s="1811"/>
      <c r="M252" s="9"/>
      <c r="N252" s="2252" t="s">
        <v>15</v>
      </c>
      <c r="O252" s="2237"/>
      <c r="P252" s="2237"/>
      <c r="Q252" s="2237"/>
      <c r="R252" s="2237"/>
      <c r="S252" s="2240"/>
      <c r="T252" s="2241"/>
      <c r="U252" s="2239"/>
      <c r="V252" s="2242"/>
      <c r="W252" s="2250"/>
      <c r="X252" s="2244"/>
      <c r="Y252" s="2244"/>
      <c r="Z252" s="2245"/>
      <c r="AA252" s="2246"/>
      <c r="AB252" s="2247"/>
      <c r="AC252" s="2248"/>
      <c r="AD252" s="2249"/>
      <c r="AE252" s="2249"/>
      <c r="AF252" s="2238"/>
      <c r="AG252" s="2264"/>
      <c r="AI252" s="2252" t="s">
        <v>15</v>
      </c>
      <c r="AJ252" s="2237"/>
      <c r="AK252" s="2237"/>
      <c r="AL252" s="2237"/>
      <c r="AM252" s="2237"/>
      <c r="AN252" s="2240"/>
      <c r="AO252" s="2241"/>
      <c r="AP252" s="2239"/>
      <c r="AQ252" s="2242"/>
      <c r="AR252" s="2250"/>
      <c r="AS252" s="2244"/>
      <c r="AT252" s="2244"/>
      <c r="AU252" s="2245"/>
      <c r="AV252" s="2246"/>
      <c r="AW252" s="2247"/>
      <c r="AX252" s="2248"/>
      <c r="AY252" s="2249"/>
      <c r="AZ252" s="2249"/>
      <c r="BA252" s="2238"/>
      <c r="BB252" s="2264"/>
      <c r="BD252" s="2252" t="s">
        <v>15</v>
      </c>
      <c r="BE252" s="2237"/>
      <c r="BF252" s="2237"/>
      <c r="BG252" s="2237"/>
      <c r="BH252" s="2237"/>
      <c r="BI252" s="2240"/>
      <c r="BJ252" s="2241"/>
      <c r="BK252" s="2239"/>
      <c r="BL252" s="2242"/>
      <c r="BM252" s="2250"/>
      <c r="BN252" s="2244"/>
      <c r="BO252" s="2244"/>
      <c r="BP252" s="2245"/>
      <c r="BQ252" s="2246"/>
      <c r="BR252" s="2247"/>
      <c r="BS252" s="2248"/>
      <c r="BT252" s="2249"/>
      <c r="BU252" s="2249"/>
      <c r="BV252" s="2238"/>
      <c r="BW252" s="2264"/>
      <c r="BY252" s="3">
        <v>1</v>
      </c>
    </row>
    <row r="253" spans="2:77" ht="21" customHeight="1">
      <c r="B253" s="2265" t="str" cm="1">
        <f t="array" ref="B253">SUMPRODUCT(--(D253:J253&lt;&gt;""), LEN(TRIM(SUBSTITUTE(D253:J253, CHAR(160), "")))) &amp; " Car."</f>
        <v>0 Car.</v>
      </c>
      <c r="C253" s="1376" t="str">
        <f>IF(ISBLANK(D253),"",LARGE(C13:C252,1)+1)</f>
        <v/>
      </c>
      <c r="D253" s="1833"/>
      <c r="E253" s="1810"/>
      <c r="F253" s="1810"/>
      <c r="G253" s="1810"/>
      <c r="H253" s="1810"/>
      <c r="I253" s="1810"/>
      <c r="J253" s="1810"/>
      <c r="K253" s="1810"/>
      <c r="L253" s="1811"/>
      <c r="M253" s="9"/>
      <c r="N253" s="2252" t="s">
        <v>15</v>
      </c>
      <c r="O253" s="2237"/>
      <c r="P253" s="2237"/>
      <c r="Q253" s="2237"/>
      <c r="R253" s="2237"/>
      <c r="S253" s="2240"/>
      <c r="T253" s="2241"/>
      <c r="U253" s="2239"/>
      <c r="V253" s="2242"/>
      <c r="W253" s="2250"/>
      <c r="X253" s="2244"/>
      <c r="Y253" s="2244"/>
      <c r="Z253" s="2245"/>
      <c r="AA253" s="2246"/>
      <c r="AB253" s="2247"/>
      <c r="AC253" s="2248"/>
      <c r="AD253" s="2249"/>
      <c r="AE253" s="2249"/>
      <c r="AF253" s="2238"/>
      <c r="AG253" s="2264"/>
      <c r="AI253" s="2252" t="s">
        <v>15</v>
      </c>
      <c r="AJ253" s="2237"/>
      <c r="AK253" s="2237"/>
      <c r="AL253" s="2237"/>
      <c r="AM253" s="2237"/>
      <c r="AN253" s="2240"/>
      <c r="AO253" s="2241"/>
      <c r="AP253" s="2239"/>
      <c r="AQ253" s="2242"/>
      <c r="AR253" s="2250"/>
      <c r="AS253" s="2244"/>
      <c r="AT253" s="2244"/>
      <c r="AU253" s="2245"/>
      <c r="AV253" s="2246"/>
      <c r="AW253" s="2247"/>
      <c r="AX253" s="2248"/>
      <c r="AY253" s="2249"/>
      <c r="AZ253" s="2249"/>
      <c r="BA253" s="2238"/>
      <c r="BB253" s="2264"/>
      <c r="BD253" s="2252" t="s">
        <v>15</v>
      </c>
      <c r="BE253" s="2237"/>
      <c r="BF253" s="2237"/>
      <c r="BG253" s="2237"/>
      <c r="BH253" s="2237"/>
      <c r="BI253" s="2240"/>
      <c r="BJ253" s="2241"/>
      <c r="BK253" s="2239"/>
      <c r="BL253" s="2242"/>
      <c r="BM253" s="2250"/>
      <c r="BN253" s="2244"/>
      <c r="BO253" s="2244"/>
      <c r="BP253" s="2245"/>
      <c r="BQ253" s="2246"/>
      <c r="BR253" s="2247"/>
      <c r="BS253" s="2248"/>
      <c r="BT253" s="2249"/>
      <c r="BU253" s="2249"/>
      <c r="BV253" s="2238"/>
      <c r="BW253" s="2264"/>
      <c r="BY253" s="3">
        <v>1</v>
      </c>
    </row>
    <row r="254" spans="2:77" ht="21" customHeight="1">
      <c r="B254" s="2265" t="str" cm="1">
        <f t="array" ref="B254">SUMPRODUCT(--(D254:J254&lt;&gt;""), LEN(TRIM(SUBSTITUTE(D254:J254, CHAR(160), "")))) &amp; " Car."</f>
        <v>0 Car.</v>
      </c>
      <c r="C254" s="1376" t="str">
        <f>IF(ISBLANK(D254),"",LARGE(C13:C253,1)+1)</f>
        <v/>
      </c>
      <c r="D254" s="1833"/>
      <c r="E254" s="1810"/>
      <c r="F254" s="1810"/>
      <c r="G254" s="1810"/>
      <c r="H254" s="1810"/>
      <c r="I254" s="1810"/>
      <c r="J254" s="1810"/>
      <c r="K254" s="1810"/>
      <c r="L254" s="1811"/>
      <c r="M254" s="9"/>
      <c r="N254" s="2252" t="s">
        <v>15</v>
      </c>
      <c r="O254" s="2237"/>
      <c r="P254" s="2237"/>
      <c r="Q254" s="2237"/>
      <c r="R254" s="2237"/>
      <c r="S254" s="2240"/>
      <c r="T254" s="2241"/>
      <c r="U254" s="2239"/>
      <c r="V254" s="2242"/>
      <c r="W254" s="2250"/>
      <c r="X254" s="2244"/>
      <c r="Y254" s="2244"/>
      <c r="Z254" s="2245"/>
      <c r="AA254" s="2246"/>
      <c r="AB254" s="2247"/>
      <c r="AC254" s="2248"/>
      <c r="AD254" s="2249"/>
      <c r="AE254" s="2249"/>
      <c r="AF254" s="2238"/>
      <c r="AG254" s="2264"/>
      <c r="AI254" s="2252" t="s">
        <v>15</v>
      </c>
      <c r="AJ254" s="2237"/>
      <c r="AK254" s="2237"/>
      <c r="AL254" s="2237"/>
      <c r="AM254" s="2237"/>
      <c r="AN254" s="2240"/>
      <c r="AO254" s="2241"/>
      <c r="AP254" s="2239"/>
      <c r="AQ254" s="2242"/>
      <c r="AR254" s="2250"/>
      <c r="AS254" s="2244"/>
      <c r="AT254" s="2244"/>
      <c r="AU254" s="2245"/>
      <c r="AV254" s="2246"/>
      <c r="AW254" s="2247"/>
      <c r="AX254" s="2248"/>
      <c r="AY254" s="2249"/>
      <c r="AZ254" s="2249"/>
      <c r="BA254" s="2238"/>
      <c r="BB254" s="2264"/>
      <c r="BD254" s="2252" t="s">
        <v>15</v>
      </c>
      <c r="BE254" s="2237"/>
      <c r="BF254" s="2237"/>
      <c r="BG254" s="2237"/>
      <c r="BH254" s="2237"/>
      <c r="BI254" s="2240"/>
      <c r="BJ254" s="2241"/>
      <c r="BK254" s="2239"/>
      <c r="BL254" s="2242"/>
      <c r="BM254" s="2250"/>
      <c r="BN254" s="2244"/>
      <c r="BO254" s="2244"/>
      <c r="BP254" s="2245"/>
      <c r="BQ254" s="2246"/>
      <c r="BR254" s="2247"/>
      <c r="BS254" s="2248"/>
      <c r="BT254" s="2249"/>
      <c r="BU254" s="2249"/>
      <c r="BV254" s="2238"/>
      <c r="BW254" s="2264"/>
      <c r="BY254" s="3">
        <v>1</v>
      </c>
    </row>
    <row r="255" spans="2:77" ht="21" customHeight="1">
      <c r="B255" s="2265" t="str" cm="1">
        <f t="array" ref="B255">SUMPRODUCT(--(D255:J255&lt;&gt;""), LEN(TRIM(SUBSTITUTE(D255:J255, CHAR(160), "")))) &amp; " Car."</f>
        <v>0 Car.</v>
      </c>
      <c r="C255" s="1376" t="str">
        <f>IF(ISBLANK(D255),"",LARGE(C13:C254,1)+1)</f>
        <v/>
      </c>
      <c r="D255" s="1833"/>
      <c r="E255" s="1810"/>
      <c r="F255" s="1810"/>
      <c r="G255" s="1810"/>
      <c r="H255" s="1810"/>
      <c r="I255" s="1810"/>
      <c r="J255" s="1810"/>
      <c r="K255" s="1810"/>
      <c r="L255" s="1811"/>
      <c r="M255" s="9"/>
      <c r="N255" s="2252" t="s">
        <v>15</v>
      </c>
      <c r="O255" s="2237"/>
      <c r="P255" s="2237"/>
      <c r="Q255" s="2237"/>
      <c r="R255" s="2237"/>
      <c r="S255" s="2240"/>
      <c r="T255" s="2241"/>
      <c r="U255" s="2239"/>
      <c r="V255" s="2242"/>
      <c r="W255" s="2250"/>
      <c r="X255" s="2244"/>
      <c r="Y255" s="2244"/>
      <c r="Z255" s="2245"/>
      <c r="AA255" s="2246"/>
      <c r="AB255" s="2247"/>
      <c r="AC255" s="2248"/>
      <c r="AD255" s="2249"/>
      <c r="AE255" s="2249"/>
      <c r="AF255" s="2238"/>
      <c r="AG255" s="2264"/>
      <c r="AI255" s="2252" t="s">
        <v>15</v>
      </c>
      <c r="AJ255" s="2237"/>
      <c r="AK255" s="2237"/>
      <c r="AL255" s="2237"/>
      <c r="AM255" s="2237"/>
      <c r="AN255" s="2240"/>
      <c r="AO255" s="2241"/>
      <c r="AP255" s="2239"/>
      <c r="AQ255" s="2242"/>
      <c r="AR255" s="2250"/>
      <c r="AS255" s="2244"/>
      <c r="AT255" s="2244"/>
      <c r="AU255" s="2245"/>
      <c r="AV255" s="2246"/>
      <c r="AW255" s="2247"/>
      <c r="AX255" s="2248"/>
      <c r="AY255" s="2249"/>
      <c r="AZ255" s="2249"/>
      <c r="BA255" s="2238"/>
      <c r="BB255" s="2264"/>
      <c r="BD255" s="2252" t="s">
        <v>15</v>
      </c>
      <c r="BE255" s="2237"/>
      <c r="BF255" s="2237"/>
      <c r="BG255" s="2237"/>
      <c r="BH255" s="2237"/>
      <c r="BI255" s="2240"/>
      <c r="BJ255" s="2241"/>
      <c r="BK255" s="2239"/>
      <c r="BL255" s="2242"/>
      <c r="BM255" s="2250"/>
      <c r="BN255" s="2244"/>
      <c r="BO255" s="2244"/>
      <c r="BP255" s="2245"/>
      <c r="BQ255" s="2246"/>
      <c r="BR255" s="2247"/>
      <c r="BS255" s="2248"/>
      <c r="BT255" s="2249"/>
      <c r="BU255" s="2249"/>
      <c r="BV255" s="2238"/>
      <c r="BW255" s="2264"/>
      <c r="BY255" s="3">
        <v>1</v>
      </c>
    </row>
    <row r="256" spans="2:77" ht="21" customHeight="1">
      <c r="B256" s="2265" t="str" cm="1">
        <f t="array" ref="B256">SUMPRODUCT(--(D256:J256&lt;&gt;""), LEN(TRIM(SUBSTITUTE(D256:J256, CHAR(160), "")))) &amp; " Car."</f>
        <v>0 Car.</v>
      </c>
      <c r="C256" s="1376" t="str">
        <f>IF(ISBLANK(D256),"",LARGE(C13:C255,1)+1)</f>
        <v/>
      </c>
      <c r="D256" s="1833"/>
      <c r="E256" s="1810"/>
      <c r="F256" s="1810"/>
      <c r="G256" s="1810"/>
      <c r="H256" s="1810"/>
      <c r="I256" s="1810"/>
      <c r="J256" s="1810"/>
      <c r="K256" s="1810"/>
      <c r="L256" s="1811"/>
      <c r="M256" s="9"/>
      <c r="N256" s="2252" t="s">
        <v>15</v>
      </c>
      <c r="O256" s="2237"/>
      <c r="P256" s="2237"/>
      <c r="Q256" s="2237"/>
      <c r="R256" s="2237"/>
      <c r="S256" s="2240"/>
      <c r="T256" s="2241"/>
      <c r="U256" s="2239"/>
      <c r="V256" s="2242"/>
      <c r="W256" s="2250"/>
      <c r="X256" s="2244"/>
      <c r="Y256" s="2244"/>
      <c r="Z256" s="2245"/>
      <c r="AA256" s="2246"/>
      <c r="AB256" s="2247"/>
      <c r="AC256" s="2248"/>
      <c r="AD256" s="2249"/>
      <c r="AE256" s="2249"/>
      <c r="AF256" s="2238"/>
      <c r="AG256" s="2264"/>
      <c r="AI256" s="2252" t="s">
        <v>15</v>
      </c>
      <c r="AJ256" s="2237"/>
      <c r="AK256" s="2237"/>
      <c r="AL256" s="2237"/>
      <c r="AM256" s="2237"/>
      <c r="AN256" s="2240"/>
      <c r="AO256" s="2241"/>
      <c r="AP256" s="2239"/>
      <c r="AQ256" s="2242"/>
      <c r="AR256" s="2250"/>
      <c r="AS256" s="2244"/>
      <c r="AT256" s="2244"/>
      <c r="AU256" s="2245"/>
      <c r="AV256" s="2246"/>
      <c r="AW256" s="2247"/>
      <c r="AX256" s="2248"/>
      <c r="AY256" s="2249"/>
      <c r="AZ256" s="2249"/>
      <c r="BA256" s="2238"/>
      <c r="BB256" s="2264"/>
      <c r="BD256" s="2252" t="s">
        <v>15</v>
      </c>
      <c r="BE256" s="2237"/>
      <c r="BF256" s="2237"/>
      <c r="BG256" s="2237"/>
      <c r="BH256" s="2237"/>
      <c r="BI256" s="2240"/>
      <c r="BJ256" s="2241"/>
      <c r="BK256" s="2239"/>
      <c r="BL256" s="2242"/>
      <c r="BM256" s="2250"/>
      <c r="BN256" s="2244"/>
      <c r="BO256" s="2244"/>
      <c r="BP256" s="2245"/>
      <c r="BQ256" s="2246"/>
      <c r="BR256" s="2247"/>
      <c r="BS256" s="2248"/>
      <c r="BT256" s="2249"/>
      <c r="BU256" s="2249"/>
      <c r="BV256" s="2238"/>
      <c r="BW256" s="2264"/>
      <c r="BY256" s="3">
        <v>1</v>
      </c>
    </row>
    <row r="257" spans="2:77" ht="21" customHeight="1">
      <c r="B257" s="2265" t="str" cm="1">
        <f t="array" ref="B257">SUMPRODUCT(--(D257:J257&lt;&gt;""), LEN(TRIM(SUBSTITUTE(D257:J257, CHAR(160), "")))) &amp; " Car."</f>
        <v>0 Car.</v>
      </c>
      <c r="C257" s="1376" t="str">
        <f>IF(ISBLANK(D257),"",LARGE(C13:C256,1)+1)</f>
        <v/>
      </c>
      <c r="D257" s="1833"/>
      <c r="E257" s="1810"/>
      <c r="F257" s="1810"/>
      <c r="G257" s="1810"/>
      <c r="H257" s="1810"/>
      <c r="I257" s="1810"/>
      <c r="J257" s="1810"/>
      <c r="K257" s="1810"/>
      <c r="L257" s="1811"/>
      <c r="M257" s="9"/>
      <c r="N257" s="2252" t="s">
        <v>15</v>
      </c>
      <c r="O257" s="2237"/>
      <c r="P257" s="2237"/>
      <c r="Q257" s="2237"/>
      <c r="R257" s="2237"/>
      <c r="S257" s="2240"/>
      <c r="T257" s="2241"/>
      <c r="U257" s="2239"/>
      <c r="V257" s="2242"/>
      <c r="W257" s="2250"/>
      <c r="X257" s="2244"/>
      <c r="Y257" s="2244"/>
      <c r="Z257" s="2245"/>
      <c r="AA257" s="2246"/>
      <c r="AB257" s="2247"/>
      <c r="AC257" s="2248"/>
      <c r="AD257" s="2249"/>
      <c r="AE257" s="2249"/>
      <c r="AF257" s="2238"/>
      <c r="AG257" s="2264"/>
      <c r="AI257" s="2252" t="s">
        <v>15</v>
      </c>
      <c r="AJ257" s="2237"/>
      <c r="AK257" s="2237"/>
      <c r="AL257" s="2237"/>
      <c r="AM257" s="2237"/>
      <c r="AN257" s="2240"/>
      <c r="AO257" s="2241"/>
      <c r="AP257" s="2239"/>
      <c r="AQ257" s="2242"/>
      <c r="AR257" s="2250"/>
      <c r="AS257" s="2244"/>
      <c r="AT257" s="2244"/>
      <c r="AU257" s="2245"/>
      <c r="AV257" s="2246"/>
      <c r="AW257" s="2247"/>
      <c r="AX257" s="2248"/>
      <c r="AY257" s="2249"/>
      <c r="AZ257" s="2249"/>
      <c r="BA257" s="2238"/>
      <c r="BB257" s="2264"/>
      <c r="BD257" s="2252" t="s">
        <v>15</v>
      </c>
      <c r="BE257" s="2237"/>
      <c r="BF257" s="2237"/>
      <c r="BG257" s="2237"/>
      <c r="BH257" s="2237"/>
      <c r="BI257" s="2240"/>
      <c r="BJ257" s="2241"/>
      <c r="BK257" s="2239"/>
      <c r="BL257" s="2242"/>
      <c r="BM257" s="2250"/>
      <c r="BN257" s="2244"/>
      <c r="BO257" s="2244"/>
      <c r="BP257" s="2245"/>
      <c r="BQ257" s="2246"/>
      <c r="BR257" s="2247"/>
      <c r="BS257" s="2248"/>
      <c r="BT257" s="2249"/>
      <c r="BU257" s="2249"/>
      <c r="BV257" s="2238"/>
      <c r="BW257" s="2264"/>
      <c r="BY257" s="3">
        <v>1</v>
      </c>
    </row>
    <row r="258" spans="2:77" ht="21" customHeight="1">
      <c r="B258" s="2265" t="str" cm="1">
        <f t="array" ref="B258">SUMPRODUCT(--(D258:J258&lt;&gt;""), LEN(TRIM(SUBSTITUTE(D258:J258, CHAR(160), "")))) &amp; " Car."</f>
        <v>0 Car.</v>
      </c>
      <c r="C258" s="1376" t="str">
        <f>IF(ISBLANK(D258),"",LARGE(C13:C257,1)+1)</f>
        <v/>
      </c>
      <c r="D258" s="1833"/>
      <c r="E258" s="1810"/>
      <c r="F258" s="1810"/>
      <c r="G258" s="1810"/>
      <c r="H258" s="1810"/>
      <c r="I258" s="1810"/>
      <c r="J258" s="1810"/>
      <c r="K258" s="1810"/>
      <c r="L258" s="1811"/>
      <c r="M258" s="9"/>
      <c r="N258" s="2252" t="s">
        <v>15</v>
      </c>
      <c r="O258" s="2237"/>
      <c r="P258" s="2237"/>
      <c r="Q258" s="2237"/>
      <c r="R258" s="2237"/>
      <c r="S258" s="2240"/>
      <c r="T258" s="2241"/>
      <c r="U258" s="2239"/>
      <c r="V258" s="2242"/>
      <c r="W258" s="2250"/>
      <c r="X258" s="2244"/>
      <c r="Y258" s="2244"/>
      <c r="Z258" s="2245"/>
      <c r="AA258" s="2246"/>
      <c r="AB258" s="2247"/>
      <c r="AC258" s="2248"/>
      <c r="AD258" s="2249"/>
      <c r="AE258" s="2249"/>
      <c r="AF258" s="2238"/>
      <c r="AG258" s="2264"/>
      <c r="AI258" s="2252" t="s">
        <v>15</v>
      </c>
      <c r="AJ258" s="2237"/>
      <c r="AK258" s="2237"/>
      <c r="AL258" s="2237"/>
      <c r="AM258" s="2237"/>
      <c r="AN258" s="2240"/>
      <c r="AO258" s="2241"/>
      <c r="AP258" s="2239"/>
      <c r="AQ258" s="2242"/>
      <c r="AR258" s="2250"/>
      <c r="AS258" s="2244"/>
      <c r="AT258" s="2244"/>
      <c r="AU258" s="2245"/>
      <c r="AV258" s="2246"/>
      <c r="AW258" s="2247"/>
      <c r="AX258" s="2248"/>
      <c r="AY258" s="2249"/>
      <c r="AZ258" s="2249"/>
      <c r="BA258" s="2238"/>
      <c r="BB258" s="2264"/>
      <c r="BD258" s="2252" t="s">
        <v>15</v>
      </c>
      <c r="BE258" s="2237"/>
      <c r="BF258" s="2237"/>
      <c r="BG258" s="2237"/>
      <c r="BH258" s="2237"/>
      <c r="BI258" s="2240"/>
      <c r="BJ258" s="2241"/>
      <c r="BK258" s="2239"/>
      <c r="BL258" s="2242"/>
      <c r="BM258" s="2250"/>
      <c r="BN258" s="2244"/>
      <c r="BO258" s="2244"/>
      <c r="BP258" s="2245"/>
      <c r="BQ258" s="2246"/>
      <c r="BR258" s="2247"/>
      <c r="BS258" s="2248"/>
      <c r="BT258" s="2249"/>
      <c r="BU258" s="2249"/>
      <c r="BV258" s="2238"/>
      <c r="BW258" s="2264"/>
      <c r="BY258" s="3">
        <v>1</v>
      </c>
    </row>
    <row r="259" spans="2:77" ht="21" customHeight="1">
      <c r="B259" s="2265" t="str" cm="1">
        <f t="array" ref="B259">SUMPRODUCT(--(D259:J259&lt;&gt;""), LEN(TRIM(SUBSTITUTE(D259:J259, CHAR(160), "")))) &amp; " Car."</f>
        <v>0 Car.</v>
      </c>
      <c r="C259" s="1376" t="str">
        <f>IF(ISBLANK(D259),"",LARGE(C13:C258,1)+1)</f>
        <v/>
      </c>
      <c r="D259" s="1833"/>
      <c r="E259" s="1810"/>
      <c r="F259" s="1810"/>
      <c r="G259" s="1810"/>
      <c r="H259" s="1810"/>
      <c r="I259" s="1810"/>
      <c r="J259" s="1810"/>
      <c r="K259" s="1810"/>
      <c r="L259" s="1811"/>
      <c r="M259" s="9"/>
      <c r="N259" s="2252" t="s">
        <v>15</v>
      </c>
      <c r="O259" s="2237"/>
      <c r="P259" s="2237"/>
      <c r="Q259" s="2237"/>
      <c r="R259" s="2237"/>
      <c r="S259" s="2240"/>
      <c r="T259" s="2241"/>
      <c r="U259" s="2239"/>
      <c r="V259" s="2242"/>
      <c r="W259" s="2250"/>
      <c r="X259" s="2244"/>
      <c r="Y259" s="2244"/>
      <c r="Z259" s="2245"/>
      <c r="AA259" s="2246"/>
      <c r="AB259" s="2247"/>
      <c r="AC259" s="2248"/>
      <c r="AD259" s="2249"/>
      <c r="AE259" s="2249"/>
      <c r="AF259" s="2238"/>
      <c r="AG259" s="2264"/>
      <c r="AI259" s="2252" t="s">
        <v>15</v>
      </c>
      <c r="AJ259" s="2237"/>
      <c r="AK259" s="2237"/>
      <c r="AL259" s="2237"/>
      <c r="AM259" s="2237"/>
      <c r="AN259" s="2240"/>
      <c r="AO259" s="2241"/>
      <c r="AP259" s="2239"/>
      <c r="AQ259" s="2242"/>
      <c r="AR259" s="2250"/>
      <c r="AS259" s="2244"/>
      <c r="AT259" s="2244"/>
      <c r="AU259" s="2245"/>
      <c r="AV259" s="2246"/>
      <c r="AW259" s="2247"/>
      <c r="AX259" s="2248"/>
      <c r="AY259" s="2249"/>
      <c r="AZ259" s="2249"/>
      <c r="BA259" s="2238"/>
      <c r="BB259" s="2264"/>
      <c r="BD259" s="2252" t="s">
        <v>15</v>
      </c>
      <c r="BE259" s="2237"/>
      <c r="BF259" s="2237"/>
      <c r="BG259" s="2237"/>
      <c r="BH259" s="2237"/>
      <c r="BI259" s="2240"/>
      <c r="BJ259" s="2241"/>
      <c r="BK259" s="2239"/>
      <c r="BL259" s="2242"/>
      <c r="BM259" s="2250"/>
      <c r="BN259" s="2244"/>
      <c r="BO259" s="2244"/>
      <c r="BP259" s="2245"/>
      <c r="BQ259" s="2246"/>
      <c r="BR259" s="2247"/>
      <c r="BS259" s="2248"/>
      <c r="BT259" s="2249"/>
      <c r="BU259" s="2249"/>
      <c r="BV259" s="2238"/>
      <c r="BW259" s="2264"/>
      <c r="BY259" s="3">
        <v>1</v>
      </c>
    </row>
    <row r="260" spans="2:77" ht="21" customHeight="1">
      <c r="B260" s="2265" t="str" cm="1">
        <f t="array" ref="B260">SUMPRODUCT(--(D260:J260&lt;&gt;""), LEN(TRIM(SUBSTITUTE(D260:J260, CHAR(160), "")))) &amp; " Car."</f>
        <v>0 Car.</v>
      </c>
      <c r="C260" s="1376" t="str">
        <f>IF(ISBLANK(D260),"",LARGE(C13:C259,1)+1)</f>
        <v/>
      </c>
      <c r="D260" s="1833"/>
      <c r="E260" s="1810"/>
      <c r="F260" s="1810"/>
      <c r="G260" s="1810"/>
      <c r="H260" s="1810"/>
      <c r="I260" s="1810"/>
      <c r="J260" s="1810"/>
      <c r="K260" s="1810"/>
      <c r="L260" s="1811"/>
      <c r="M260" s="9"/>
      <c r="N260" s="2252" t="s">
        <v>15</v>
      </c>
      <c r="O260" s="2237"/>
      <c r="P260" s="2237"/>
      <c r="Q260" s="2237"/>
      <c r="R260" s="2237"/>
      <c r="S260" s="2240"/>
      <c r="T260" s="2241"/>
      <c r="U260" s="2239"/>
      <c r="V260" s="2242"/>
      <c r="W260" s="2250"/>
      <c r="X260" s="2244"/>
      <c r="Y260" s="2244"/>
      <c r="Z260" s="2245"/>
      <c r="AA260" s="2246"/>
      <c r="AB260" s="2247"/>
      <c r="AC260" s="2248"/>
      <c r="AD260" s="2249"/>
      <c r="AE260" s="2249"/>
      <c r="AF260" s="2238"/>
      <c r="AG260" s="2264"/>
      <c r="AI260" s="2252" t="s">
        <v>15</v>
      </c>
      <c r="AJ260" s="2237"/>
      <c r="AK260" s="2237"/>
      <c r="AL260" s="2237"/>
      <c r="AM260" s="2237"/>
      <c r="AN260" s="2240"/>
      <c r="AO260" s="2241"/>
      <c r="AP260" s="2239"/>
      <c r="AQ260" s="2242"/>
      <c r="AR260" s="2250"/>
      <c r="AS260" s="2244"/>
      <c r="AT260" s="2244"/>
      <c r="AU260" s="2245"/>
      <c r="AV260" s="2246"/>
      <c r="AW260" s="2247"/>
      <c r="AX260" s="2248"/>
      <c r="AY260" s="2249"/>
      <c r="AZ260" s="2249"/>
      <c r="BA260" s="2238"/>
      <c r="BB260" s="2264"/>
      <c r="BD260" s="2252" t="s">
        <v>15</v>
      </c>
      <c r="BE260" s="2237"/>
      <c r="BF260" s="2237"/>
      <c r="BG260" s="2237"/>
      <c r="BH260" s="2237"/>
      <c r="BI260" s="2240"/>
      <c r="BJ260" s="2241"/>
      <c r="BK260" s="2239"/>
      <c r="BL260" s="2242"/>
      <c r="BM260" s="2250"/>
      <c r="BN260" s="2244"/>
      <c r="BO260" s="2244"/>
      <c r="BP260" s="2245"/>
      <c r="BQ260" s="2246"/>
      <c r="BR260" s="2247"/>
      <c r="BS260" s="2248"/>
      <c r="BT260" s="2249"/>
      <c r="BU260" s="2249"/>
      <c r="BV260" s="2238"/>
      <c r="BW260" s="2264"/>
      <c r="BY260" s="3">
        <v>1</v>
      </c>
    </row>
    <row r="261" spans="2:77" ht="21" customHeight="1">
      <c r="B261" s="2265" t="str" cm="1">
        <f t="array" ref="B261">SUMPRODUCT(--(D261:J261&lt;&gt;""), LEN(TRIM(SUBSTITUTE(D261:J261, CHAR(160), "")))) &amp; " Car."</f>
        <v>0 Car.</v>
      </c>
      <c r="C261" s="1376" t="str">
        <f>IF(ISBLANK(D261),"",LARGE(C13:C260,1)+1)</f>
        <v/>
      </c>
      <c r="D261" s="1833"/>
      <c r="E261" s="1810"/>
      <c r="F261" s="1810"/>
      <c r="G261" s="1810"/>
      <c r="H261" s="1810"/>
      <c r="I261" s="1810"/>
      <c r="J261" s="1810"/>
      <c r="K261" s="1810"/>
      <c r="L261" s="1811"/>
      <c r="M261" s="9"/>
      <c r="N261" s="2252" t="s">
        <v>15</v>
      </c>
      <c r="O261" s="2237"/>
      <c r="P261" s="2237"/>
      <c r="Q261" s="2237"/>
      <c r="R261" s="2237"/>
      <c r="S261" s="2240"/>
      <c r="T261" s="2241"/>
      <c r="U261" s="2239"/>
      <c r="V261" s="2242"/>
      <c r="W261" s="2250"/>
      <c r="X261" s="2244"/>
      <c r="Y261" s="2244"/>
      <c r="Z261" s="2245"/>
      <c r="AA261" s="2246"/>
      <c r="AB261" s="2247"/>
      <c r="AC261" s="2248"/>
      <c r="AD261" s="2249"/>
      <c r="AE261" s="2249"/>
      <c r="AF261" s="2238"/>
      <c r="AG261" s="2264"/>
      <c r="AI261" s="2252" t="s">
        <v>15</v>
      </c>
      <c r="AJ261" s="2237"/>
      <c r="AK261" s="2237"/>
      <c r="AL261" s="2237"/>
      <c r="AM261" s="2237"/>
      <c r="AN261" s="2240"/>
      <c r="AO261" s="2241"/>
      <c r="AP261" s="2239"/>
      <c r="AQ261" s="2242"/>
      <c r="AR261" s="2250"/>
      <c r="AS261" s="2244"/>
      <c r="AT261" s="2244"/>
      <c r="AU261" s="2245"/>
      <c r="AV261" s="2246"/>
      <c r="AW261" s="2247"/>
      <c r="AX261" s="2248"/>
      <c r="AY261" s="2249"/>
      <c r="AZ261" s="2249"/>
      <c r="BA261" s="2238"/>
      <c r="BB261" s="2264"/>
      <c r="BD261" s="2252" t="s">
        <v>15</v>
      </c>
      <c r="BE261" s="2237"/>
      <c r="BF261" s="2237"/>
      <c r="BG261" s="2237"/>
      <c r="BH261" s="2237"/>
      <c r="BI261" s="2240"/>
      <c r="BJ261" s="2241"/>
      <c r="BK261" s="2239"/>
      <c r="BL261" s="2242"/>
      <c r="BM261" s="2250"/>
      <c r="BN261" s="2244"/>
      <c r="BO261" s="2244"/>
      <c r="BP261" s="2245"/>
      <c r="BQ261" s="2246"/>
      <c r="BR261" s="2247"/>
      <c r="BS261" s="2248"/>
      <c r="BT261" s="2249"/>
      <c r="BU261" s="2249"/>
      <c r="BV261" s="2238"/>
      <c r="BW261" s="2264"/>
      <c r="BY261" s="3">
        <v>1</v>
      </c>
    </row>
    <row r="262" spans="2:77" ht="21" customHeight="1">
      <c r="B262" s="2265" t="str" cm="1">
        <f t="array" ref="B262">SUMPRODUCT(--(D262:J262&lt;&gt;""), LEN(TRIM(SUBSTITUTE(D262:J262, CHAR(160), "")))) &amp; " Car."</f>
        <v>0 Car.</v>
      </c>
      <c r="C262" s="1376" t="str">
        <f>IF(ISBLANK(D262),"",LARGE(C13:C261,1)+1)</f>
        <v/>
      </c>
      <c r="D262" s="1833"/>
      <c r="E262" s="1810"/>
      <c r="F262" s="1810"/>
      <c r="G262" s="1810"/>
      <c r="H262" s="1810"/>
      <c r="I262" s="1810"/>
      <c r="J262" s="1810"/>
      <c r="K262" s="1810"/>
      <c r="L262" s="1811"/>
      <c r="M262" s="9"/>
      <c r="N262" s="2252" t="s">
        <v>15</v>
      </c>
      <c r="O262" s="2237"/>
      <c r="P262" s="2237"/>
      <c r="Q262" s="2237"/>
      <c r="R262" s="2237"/>
      <c r="S262" s="2240"/>
      <c r="T262" s="2241"/>
      <c r="U262" s="2239"/>
      <c r="V262" s="2242"/>
      <c r="W262" s="2250"/>
      <c r="X262" s="2244"/>
      <c r="Y262" s="2244"/>
      <c r="Z262" s="2245"/>
      <c r="AA262" s="2246"/>
      <c r="AB262" s="2247"/>
      <c r="AC262" s="2248"/>
      <c r="AD262" s="2249"/>
      <c r="AE262" s="2249"/>
      <c r="AF262" s="2238"/>
      <c r="AG262" s="2264"/>
      <c r="AI262" s="2252" t="s">
        <v>15</v>
      </c>
      <c r="AJ262" s="2237"/>
      <c r="AK262" s="2237"/>
      <c r="AL262" s="2237"/>
      <c r="AM262" s="2237"/>
      <c r="AN262" s="2240"/>
      <c r="AO262" s="2241"/>
      <c r="AP262" s="2239"/>
      <c r="AQ262" s="2242"/>
      <c r="AR262" s="2250"/>
      <c r="AS262" s="2244"/>
      <c r="AT262" s="2244"/>
      <c r="AU262" s="2245"/>
      <c r="AV262" s="2246"/>
      <c r="AW262" s="2247"/>
      <c r="AX262" s="2248"/>
      <c r="AY262" s="2249"/>
      <c r="AZ262" s="2249"/>
      <c r="BA262" s="2238"/>
      <c r="BB262" s="2264"/>
      <c r="BD262" s="2252" t="s">
        <v>15</v>
      </c>
      <c r="BE262" s="2237"/>
      <c r="BF262" s="2237"/>
      <c r="BG262" s="2237"/>
      <c r="BH262" s="2237"/>
      <c r="BI262" s="2240"/>
      <c r="BJ262" s="2241"/>
      <c r="BK262" s="2239"/>
      <c r="BL262" s="2242"/>
      <c r="BM262" s="2250"/>
      <c r="BN262" s="2244"/>
      <c r="BO262" s="2244"/>
      <c r="BP262" s="2245"/>
      <c r="BQ262" s="2246"/>
      <c r="BR262" s="2247"/>
      <c r="BS262" s="2248"/>
      <c r="BT262" s="2249"/>
      <c r="BU262" s="2249"/>
      <c r="BV262" s="2238"/>
      <c r="BW262" s="2264"/>
      <c r="BY262" s="3">
        <v>1</v>
      </c>
    </row>
    <row r="263" spans="2:77" ht="21" customHeight="1">
      <c r="B263" s="2265" t="str" cm="1">
        <f t="array" ref="B263">SUMPRODUCT(--(D263:J263&lt;&gt;""), LEN(TRIM(SUBSTITUTE(D263:J263, CHAR(160), "")))) &amp; " Car."</f>
        <v>0 Car.</v>
      </c>
      <c r="C263" s="1376" t="str">
        <f>IF(ISBLANK(D263),"",LARGE(C13:C262,1)+1)</f>
        <v/>
      </c>
      <c r="D263" s="1833"/>
      <c r="E263" s="1810"/>
      <c r="F263" s="1810"/>
      <c r="G263" s="1810"/>
      <c r="H263" s="1810"/>
      <c r="I263" s="1810"/>
      <c r="J263" s="1810"/>
      <c r="K263" s="1810"/>
      <c r="L263" s="1811"/>
      <c r="M263" s="9"/>
      <c r="N263" s="2252" t="s">
        <v>15</v>
      </c>
      <c r="O263" s="2237"/>
      <c r="P263" s="2237"/>
      <c r="Q263" s="2237"/>
      <c r="R263" s="2237"/>
      <c r="S263" s="2240"/>
      <c r="T263" s="2241"/>
      <c r="U263" s="2239"/>
      <c r="V263" s="2242"/>
      <c r="W263" s="2250"/>
      <c r="X263" s="2244"/>
      <c r="Y263" s="2244"/>
      <c r="Z263" s="2245"/>
      <c r="AA263" s="2246"/>
      <c r="AB263" s="2247"/>
      <c r="AC263" s="2248"/>
      <c r="AD263" s="2249"/>
      <c r="AE263" s="2249"/>
      <c r="AF263" s="2238"/>
      <c r="AG263" s="2264"/>
      <c r="AI263" s="2252" t="s">
        <v>15</v>
      </c>
      <c r="AJ263" s="2237"/>
      <c r="AK263" s="2237"/>
      <c r="AL263" s="2237"/>
      <c r="AM263" s="2237"/>
      <c r="AN263" s="2240"/>
      <c r="AO263" s="2241"/>
      <c r="AP263" s="2239"/>
      <c r="AQ263" s="2242"/>
      <c r="AR263" s="2250"/>
      <c r="AS263" s="2244"/>
      <c r="AT263" s="2244"/>
      <c r="AU263" s="2245"/>
      <c r="AV263" s="2246"/>
      <c r="AW263" s="2247"/>
      <c r="AX263" s="2248"/>
      <c r="AY263" s="2249"/>
      <c r="AZ263" s="2249"/>
      <c r="BA263" s="2238"/>
      <c r="BB263" s="2264"/>
      <c r="BD263" s="2252" t="s">
        <v>15</v>
      </c>
      <c r="BE263" s="2237"/>
      <c r="BF263" s="2237"/>
      <c r="BG263" s="2237"/>
      <c r="BH263" s="2237"/>
      <c r="BI263" s="2240"/>
      <c r="BJ263" s="2241"/>
      <c r="BK263" s="2239"/>
      <c r="BL263" s="2242"/>
      <c r="BM263" s="2250"/>
      <c r="BN263" s="2244"/>
      <c r="BO263" s="2244"/>
      <c r="BP263" s="2245"/>
      <c r="BQ263" s="2246"/>
      <c r="BR263" s="2247"/>
      <c r="BS263" s="2248"/>
      <c r="BT263" s="2249"/>
      <c r="BU263" s="2249"/>
      <c r="BV263" s="2238"/>
      <c r="BW263" s="2264"/>
      <c r="BY263" s="3">
        <v>1</v>
      </c>
    </row>
    <row r="264" spans="2:77" ht="21" customHeight="1">
      <c r="B264" s="2265" t="str" cm="1">
        <f t="array" ref="B264">SUMPRODUCT(--(D264:J264&lt;&gt;""), LEN(TRIM(SUBSTITUTE(D264:J264, CHAR(160), "")))) &amp; " Car."</f>
        <v>0 Car.</v>
      </c>
      <c r="C264" s="1376" t="str">
        <f>IF(ISBLANK(D264),"",LARGE(C13:C263,1)+1)</f>
        <v/>
      </c>
      <c r="D264" s="1833"/>
      <c r="E264" s="1810"/>
      <c r="F264" s="1810"/>
      <c r="G264" s="1810"/>
      <c r="H264" s="1810"/>
      <c r="I264" s="1810"/>
      <c r="J264" s="1810"/>
      <c r="K264" s="1810"/>
      <c r="L264" s="1811"/>
      <c r="M264" s="9"/>
      <c r="N264" s="2252" t="s">
        <v>15</v>
      </c>
      <c r="O264" s="2237"/>
      <c r="P264" s="2237"/>
      <c r="Q264" s="2237"/>
      <c r="R264" s="2237"/>
      <c r="S264" s="2240"/>
      <c r="T264" s="2241"/>
      <c r="U264" s="2239"/>
      <c r="V264" s="2242"/>
      <c r="W264" s="2250"/>
      <c r="X264" s="2244"/>
      <c r="Y264" s="2244"/>
      <c r="Z264" s="2245"/>
      <c r="AA264" s="2246"/>
      <c r="AB264" s="2247"/>
      <c r="AC264" s="2248"/>
      <c r="AD264" s="2249"/>
      <c r="AE264" s="2249"/>
      <c r="AF264" s="2238"/>
      <c r="AG264" s="2264"/>
      <c r="AI264" s="2252" t="s">
        <v>15</v>
      </c>
      <c r="AJ264" s="2237"/>
      <c r="AK264" s="2237"/>
      <c r="AL264" s="2237"/>
      <c r="AM264" s="2237"/>
      <c r="AN264" s="2240"/>
      <c r="AO264" s="2241"/>
      <c r="AP264" s="2239"/>
      <c r="AQ264" s="2242"/>
      <c r="AR264" s="2250"/>
      <c r="AS264" s="2244"/>
      <c r="AT264" s="2244"/>
      <c r="AU264" s="2245"/>
      <c r="AV264" s="2246"/>
      <c r="AW264" s="2247"/>
      <c r="AX264" s="2248"/>
      <c r="AY264" s="2249"/>
      <c r="AZ264" s="2249"/>
      <c r="BA264" s="2238"/>
      <c r="BB264" s="2264"/>
      <c r="BD264" s="2252" t="s">
        <v>15</v>
      </c>
      <c r="BE264" s="2237"/>
      <c r="BF264" s="2237"/>
      <c r="BG264" s="2237"/>
      <c r="BH264" s="2237"/>
      <c r="BI264" s="2240"/>
      <c r="BJ264" s="2241"/>
      <c r="BK264" s="2239"/>
      <c r="BL264" s="2242"/>
      <c r="BM264" s="2250"/>
      <c r="BN264" s="2244"/>
      <c r="BO264" s="2244"/>
      <c r="BP264" s="2245"/>
      <c r="BQ264" s="2246"/>
      <c r="BR264" s="2247"/>
      <c r="BS264" s="2248"/>
      <c r="BT264" s="2249"/>
      <c r="BU264" s="2249"/>
      <c r="BV264" s="2238"/>
      <c r="BW264" s="2264"/>
      <c r="BY264" s="3">
        <v>1</v>
      </c>
    </row>
    <row r="265" spans="2:77" ht="21" customHeight="1">
      <c r="B265" s="2265" t="str" cm="1">
        <f t="array" ref="B265">SUMPRODUCT(--(D265:J265&lt;&gt;""), LEN(TRIM(SUBSTITUTE(D265:J265, CHAR(160), "")))) &amp; " Car."</f>
        <v>0 Car.</v>
      </c>
      <c r="C265" s="1376" t="str">
        <f>IF(ISBLANK(D265),"",LARGE(C13:C264,1)+1)</f>
        <v/>
      </c>
      <c r="D265" s="1833"/>
      <c r="E265" s="1810"/>
      <c r="F265" s="1810"/>
      <c r="G265" s="1810"/>
      <c r="H265" s="1810"/>
      <c r="I265" s="1810"/>
      <c r="J265" s="1810"/>
      <c r="K265" s="1810"/>
      <c r="L265" s="1811"/>
      <c r="M265" s="9"/>
      <c r="N265" s="2252" t="s">
        <v>15</v>
      </c>
      <c r="O265" s="2237"/>
      <c r="P265" s="2237"/>
      <c r="Q265" s="2237"/>
      <c r="R265" s="2237"/>
      <c r="S265" s="2240"/>
      <c r="T265" s="2241"/>
      <c r="U265" s="2239"/>
      <c r="V265" s="2242"/>
      <c r="W265" s="2250"/>
      <c r="X265" s="2244"/>
      <c r="Y265" s="2244"/>
      <c r="Z265" s="2245"/>
      <c r="AA265" s="2246"/>
      <c r="AB265" s="2247"/>
      <c r="AC265" s="2248"/>
      <c r="AD265" s="2249"/>
      <c r="AE265" s="2249"/>
      <c r="AF265" s="2238"/>
      <c r="AG265" s="2264"/>
      <c r="AI265" s="2252" t="s">
        <v>15</v>
      </c>
      <c r="AJ265" s="2237"/>
      <c r="AK265" s="2237"/>
      <c r="AL265" s="2237"/>
      <c r="AM265" s="2237"/>
      <c r="AN265" s="2240"/>
      <c r="AO265" s="2241"/>
      <c r="AP265" s="2239"/>
      <c r="AQ265" s="2242"/>
      <c r="AR265" s="2250"/>
      <c r="AS265" s="2244"/>
      <c r="AT265" s="2244"/>
      <c r="AU265" s="2245"/>
      <c r="AV265" s="2246"/>
      <c r="AW265" s="2247"/>
      <c r="AX265" s="2248"/>
      <c r="AY265" s="2249"/>
      <c r="AZ265" s="2249"/>
      <c r="BA265" s="2238"/>
      <c r="BB265" s="2264"/>
      <c r="BD265" s="2252" t="s">
        <v>15</v>
      </c>
      <c r="BE265" s="2237"/>
      <c r="BF265" s="2237"/>
      <c r="BG265" s="2237"/>
      <c r="BH265" s="2237"/>
      <c r="BI265" s="2240"/>
      <c r="BJ265" s="2241"/>
      <c r="BK265" s="2239"/>
      <c r="BL265" s="2242"/>
      <c r="BM265" s="2250"/>
      <c r="BN265" s="2244"/>
      <c r="BO265" s="2244"/>
      <c r="BP265" s="2245"/>
      <c r="BQ265" s="2246"/>
      <c r="BR265" s="2247"/>
      <c r="BS265" s="2248"/>
      <c r="BT265" s="2249"/>
      <c r="BU265" s="2249"/>
      <c r="BV265" s="2238"/>
      <c r="BW265" s="2264"/>
      <c r="BY265" s="3">
        <v>1</v>
      </c>
    </row>
    <row r="266" spans="2:77" ht="21" customHeight="1">
      <c r="B266" s="2265" t="str" cm="1">
        <f t="array" ref="B266">SUMPRODUCT(--(D266:J266&lt;&gt;""), LEN(TRIM(SUBSTITUTE(D266:J266, CHAR(160), "")))) &amp; " Car."</f>
        <v>0 Car.</v>
      </c>
      <c r="C266" s="1376" t="str">
        <f>IF(ISBLANK(D266),"",LARGE(C13:C265,1)+1)</f>
        <v/>
      </c>
      <c r="D266" s="1833"/>
      <c r="E266" s="1810"/>
      <c r="F266" s="1810"/>
      <c r="G266" s="1810"/>
      <c r="H266" s="1810"/>
      <c r="I266" s="1810"/>
      <c r="J266" s="1810"/>
      <c r="K266" s="1810"/>
      <c r="L266" s="1811"/>
      <c r="M266" s="9"/>
      <c r="N266" s="2252" t="s">
        <v>15</v>
      </c>
      <c r="O266" s="2237"/>
      <c r="P266" s="2237"/>
      <c r="Q266" s="2237"/>
      <c r="R266" s="2237"/>
      <c r="S266" s="2240"/>
      <c r="T266" s="2241"/>
      <c r="U266" s="2239"/>
      <c r="V266" s="2242"/>
      <c r="W266" s="2250"/>
      <c r="X266" s="2244"/>
      <c r="Y266" s="2244"/>
      <c r="Z266" s="2245"/>
      <c r="AA266" s="2246"/>
      <c r="AB266" s="2247"/>
      <c r="AC266" s="2248"/>
      <c r="AD266" s="2249"/>
      <c r="AE266" s="2249"/>
      <c r="AF266" s="2238"/>
      <c r="AG266" s="2264"/>
      <c r="AI266" s="2252" t="s">
        <v>15</v>
      </c>
      <c r="AJ266" s="2237"/>
      <c r="AK266" s="2237"/>
      <c r="AL266" s="2237"/>
      <c r="AM266" s="2237"/>
      <c r="AN266" s="2240"/>
      <c r="AO266" s="2241"/>
      <c r="AP266" s="2239"/>
      <c r="AQ266" s="2242"/>
      <c r="AR266" s="2250"/>
      <c r="AS266" s="2244"/>
      <c r="AT266" s="2244"/>
      <c r="AU266" s="2245"/>
      <c r="AV266" s="2246"/>
      <c r="AW266" s="2247"/>
      <c r="AX266" s="2248"/>
      <c r="AY266" s="2249"/>
      <c r="AZ266" s="2249"/>
      <c r="BA266" s="2238"/>
      <c r="BB266" s="2264"/>
      <c r="BD266" s="2252" t="s">
        <v>15</v>
      </c>
      <c r="BE266" s="2237"/>
      <c r="BF266" s="2237"/>
      <c r="BG266" s="2237"/>
      <c r="BH266" s="2237"/>
      <c r="BI266" s="2240"/>
      <c r="BJ266" s="2241"/>
      <c r="BK266" s="2239"/>
      <c r="BL266" s="2242"/>
      <c r="BM266" s="2250"/>
      <c r="BN266" s="2244"/>
      <c r="BO266" s="2244"/>
      <c r="BP266" s="2245"/>
      <c r="BQ266" s="2246"/>
      <c r="BR266" s="2247"/>
      <c r="BS266" s="2248"/>
      <c r="BT266" s="2249"/>
      <c r="BU266" s="2249"/>
      <c r="BV266" s="2238"/>
      <c r="BW266" s="2264"/>
      <c r="BY266" s="3">
        <v>1</v>
      </c>
    </row>
    <row r="267" spans="2:77" ht="21" customHeight="1">
      <c r="B267" s="2265" t="str" cm="1">
        <f t="array" ref="B267">SUMPRODUCT(--(D267:J267&lt;&gt;""), LEN(TRIM(SUBSTITUTE(D267:J267, CHAR(160), "")))) &amp; " Car."</f>
        <v>0 Car.</v>
      </c>
      <c r="C267" s="1376" t="str">
        <f>IF(ISBLANK(D267),"",LARGE(C13:C266,1)+1)</f>
        <v/>
      </c>
      <c r="D267" s="1833"/>
      <c r="E267" s="1810"/>
      <c r="F267" s="1810"/>
      <c r="G267" s="1810"/>
      <c r="H267" s="1810"/>
      <c r="I267" s="1810"/>
      <c r="J267" s="1810"/>
      <c r="K267" s="1810"/>
      <c r="L267" s="1811"/>
      <c r="M267" s="9"/>
      <c r="N267" s="2252" t="s">
        <v>15</v>
      </c>
      <c r="O267" s="2237"/>
      <c r="P267" s="2237"/>
      <c r="Q267" s="2237"/>
      <c r="R267" s="2237"/>
      <c r="S267" s="2240"/>
      <c r="T267" s="2241"/>
      <c r="U267" s="2239"/>
      <c r="V267" s="2242"/>
      <c r="W267" s="2250"/>
      <c r="X267" s="2244"/>
      <c r="Y267" s="2244"/>
      <c r="Z267" s="2245"/>
      <c r="AA267" s="2246"/>
      <c r="AB267" s="2247"/>
      <c r="AC267" s="2248"/>
      <c r="AD267" s="2249"/>
      <c r="AE267" s="2249"/>
      <c r="AF267" s="2238"/>
      <c r="AG267" s="2264"/>
      <c r="AI267" s="2252" t="s">
        <v>15</v>
      </c>
      <c r="AJ267" s="2237"/>
      <c r="AK267" s="2237"/>
      <c r="AL267" s="2237"/>
      <c r="AM267" s="2237"/>
      <c r="AN267" s="2240"/>
      <c r="AO267" s="2241"/>
      <c r="AP267" s="2239"/>
      <c r="AQ267" s="2242"/>
      <c r="AR267" s="2250"/>
      <c r="AS267" s="2244"/>
      <c r="AT267" s="2244"/>
      <c r="AU267" s="2245"/>
      <c r="AV267" s="2246"/>
      <c r="AW267" s="2247"/>
      <c r="AX267" s="2248"/>
      <c r="AY267" s="2249"/>
      <c r="AZ267" s="2249"/>
      <c r="BA267" s="2238"/>
      <c r="BB267" s="2264"/>
      <c r="BD267" s="2252" t="s">
        <v>15</v>
      </c>
      <c r="BE267" s="2237"/>
      <c r="BF267" s="2237"/>
      <c r="BG267" s="2237"/>
      <c r="BH267" s="2237"/>
      <c r="BI267" s="2240"/>
      <c r="BJ267" s="2241"/>
      <c r="BK267" s="2239"/>
      <c r="BL267" s="2242"/>
      <c r="BM267" s="2250"/>
      <c r="BN267" s="2244"/>
      <c r="BO267" s="2244"/>
      <c r="BP267" s="2245"/>
      <c r="BQ267" s="2246"/>
      <c r="BR267" s="2247"/>
      <c r="BS267" s="2248"/>
      <c r="BT267" s="2249"/>
      <c r="BU267" s="2249"/>
      <c r="BV267" s="2238"/>
      <c r="BW267" s="2264"/>
      <c r="BY267" s="3">
        <v>1</v>
      </c>
    </row>
    <row r="268" spans="2:77" ht="21" customHeight="1">
      <c r="B268" s="2265" t="str" cm="1">
        <f t="array" ref="B268">SUMPRODUCT(--(D268:J268&lt;&gt;""), LEN(TRIM(SUBSTITUTE(D268:J268, CHAR(160), "")))) &amp; " Car."</f>
        <v>0 Car.</v>
      </c>
      <c r="C268" s="1376" t="str">
        <f>IF(ISBLANK(D268),"",LARGE(C13:C267,1)+1)</f>
        <v/>
      </c>
      <c r="D268" s="1833"/>
      <c r="E268" s="1810"/>
      <c r="F268" s="1810"/>
      <c r="G268" s="1810"/>
      <c r="H268" s="1810"/>
      <c r="I268" s="1810"/>
      <c r="J268" s="1810"/>
      <c r="K268" s="1810"/>
      <c r="L268" s="1811"/>
      <c r="M268" s="9"/>
      <c r="N268" s="2252" t="s">
        <v>15</v>
      </c>
      <c r="O268" s="2237"/>
      <c r="P268" s="2237"/>
      <c r="Q268" s="2237"/>
      <c r="R268" s="2237"/>
      <c r="S268" s="2240"/>
      <c r="T268" s="2241"/>
      <c r="U268" s="2239"/>
      <c r="V268" s="2242"/>
      <c r="W268" s="2250"/>
      <c r="X268" s="2244"/>
      <c r="Y268" s="2244"/>
      <c r="Z268" s="2245"/>
      <c r="AA268" s="2246"/>
      <c r="AB268" s="2247"/>
      <c r="AC268" s="2248"/>
      <c r="AD268" s="2249"/>
      <c r="AE268" s="2249"/>
      <c r="AF268" s="2238"/>
      <c r="AG268" s="2264"/>
      <c r="AI268" s="2252" t="s">
        <v>15</v>
      </c>
      <c r="AJ268" s="2237"/>
      <c r="AK268" s="2237"/>
      <c r="AL268" s="2237"/>
      <c r="AM268" s="2237"/>
      <c r="AN268" s="2240"/>
      <c r="AO268" s="2241"/>
      <c r="AP268" s="2239"/>
      <c r="AQ268" s="2242"/>
      <c r="AR268" s="2250"/>
      <c r="AS268" s="2244"/>
      <c r="AT268" s="2244"/>
      <c r="AU268" s="2245"/>
      <c r="AV268" s="2246"/>
      <c r="AW268" s="2247"/>
      <c r="AX268" s="2248"/>
      <c r="AY268" s="2249"/>
      <c r="AZ268" s="2249"/>
      <c r="BA268" s="2238"/>
      <c r="BB268" s="2264"/>
      <c r="BD268" s="2252" t="s">
        <v>15</v>
      </c>
      <c r="BE268" s="2237"/>
      <c r="BF268" s="2237"/>
      <c r="BG268" s="2237"/>
      <c r="BH268" s="2237"/>
      <c r="BI268" s="2240"/>
      <c r="BJ268" s="2241"/>
      <c r="BK268" s="2239"/>
      <c r="BL268" s="2242"/>
      <c r="BM268" s="2250"/>
      <c r="BN268" s="2244"/>
      <c r="BO268" s="2244"/>
      <c r="BP268" s="2245"/>
      <c r="BQ268" s="2246"/>
      <c r="BR268" s="2247"/>
      <c r="BS268" s="2248"/>
      <c r="BT268" s="2249"/>
      <c r="BU268" s="2249"/>
      <c r="BV268" s="2238"/>
      <c r="BW268" s="2264"/>
      <c r="BY268" s="3">
        <v>1</v>
      </c>
    </row>
    <row r="269" spans="2:77" ht="21" customHeight="1">
      <c r="B269" s="2265" t="str" cm="1">
        <f t="array" ref="B269">SUMPRODUCT(--(D269:J269&lt;&gt;""), LEN(TRIM(SUBSTITUTE(D269:J269, CHAR(160), "")))) &amp; " Car."</f>
        <v>0 Car.</v>
      </c>
      <c r="C269" s="1376" t="str">
        <f>IF(ISBLANK(D269),"",LARGE(C13:C268,1)+1)</f>
        <v/>
      </c>
      <c r="D269" s="1833"/>
      <c r="E269" s="1810"/>
      <c r="F269" s="1810"/>
      <c r="G269" s="1810"/>
      <c r="H269" s="1810"/>
      <c r="I269" s="1810"/>
      <c r="J269" s="1810"/>
      <c r="K269" s="1810"/>
      <c r="L269" s="1811"/>
      <c r="M269" s="9"/>
      <c r="N269" s="2252" t="s">
        <v>15</v>
      </c>
      <c r="O269" s="2237"/>
      <c r="P269" s="2237"/>
      <c r="Q269" s="2237"/>
      <c r="R269" s="2237"/>
      <c r="S269" s="2240"/>
      <c r="T269" s="2241"/>
      <c r="U269" s="2239"/>
      <c r="V269" s="2242"/>
      <c r="W269" s="2250"/>
      <c r="X269" s="2244"/>
      <c r="Y269" s="2244"/>
      <c r="Z269" s="2245"/>
      <c r="AA269" s="2246"/>
      <c r="AB269" s="2247"/>
      <c r="AC269" s="2248"/>
      <c r="AD269" s="2249"/>
      <c r="AE269" s="2249"/>
      <c r="AF269" s="2238"/>
      <c r="AG269" s="2264"/>
      <c r="AI269" s="2252" t="s">
        <v>15</v>
      </c>
      <c r="AJ269" s="2237"/>
      <c r="AK269" s="2237"/>
      <c r="AL269" s="2237"/>
      <c r="AM269" s="2237"/>
      <c r="AN269" s="2240"/>
      <c r="AO269" s="2241"/>
      <c r="AP269" s="2239"/>
      <c r="AQ269" s="2242"/>
      <c r="AR269" s="2250"/>
      <c r="AS269" s="2244"/>
      <c r="AT269" s="2244"/>
      <c r="AU269" s="2245"/>
      <c r="AV269" s="2246"/>
      <c r="AW269" s="2247"/>
      <c r="AX269" s="2248"/>
      <c r="AY269" s="2249"/>
      <c r="AZ269" s="2249"/>
      <c r="BA269" s="2238"/>
      <c r="BB269" s="2264"/>
      <c r="BD269" s="2252" t="s">
        <v>15</v>
      </c>
      <c r="BE269" s="2237"/>
      <c r="BF269" s="2237"/>
      <c r="BG269" s="2237"/>
      <c r="BH269" s="2237"/>
      <c r="BI269" s="2240"/>
      <c r="BJ269" s="2241"/>
      <c r="BK269" s="2239"/>
      <c r="BL269" s="2242"/>
      <c r="BM269" s="2250"/>
      <c r="BN269" s="2244"/>
      <c r="BO269" s="2244"/>
      <c r="BP269" s="2245"/>
      <c r="BQ269" s="2246"/>
      <c r="BR269" s="2247"/>
      <c r="BS269" s="2248"/>
      <c r="BT269" s="2249"/>
      <c r="BU269" s="2249"/>
      <c r="BV269" s="2238"/>
      <c r="BW269" s="2264"/>
      <c r="BY269" s="3">
        <v>1</v>
      </c>
    </row>
    <row r="270" spans="2:77" ht="21" customHeight="1">
      <c r="B270" s="2265" t="str" cm="1">
        <f t="array" ref="B270">SUMPRODUCT(--(D270:J270&lt;&gt;""), LEN(TRIM(SUBSTITUTE(D270:J270, CHAR(160), "")))) &amp; " Car."</f>
        <v>0 Car.</v>
      </c>
      <c r="C270" s="1376" t="str">
        <f>IF(ISBLANK(D270),"",LARGE(C13:C269,1)+1)</f>
        <v/>
      </c>
      <c r="D270" s="1833"/>
      <c r="E270" s="1810"/>
      <c r="F270" s="1810"/>
      <c r="G270" s="1810"/>
      <c r="H270" s="1810"/>
      <c r="I270" s="1810"/>
      <c r="J270" s="1810"/>
      <c r="K270" s="1810"/>
      <c r="L270" s="1811"/>
      <c r="M270" s="9"/>
      <c r="N270" s="2252" t="s">
        <v>15</v>
      </c>
      <c r="O270" s="2237"/>
      <c r="P270" s="2237"/>
      <c r="Q270" s="2237"/>
      <c r="R270" s="2237"/>
      <c r="S270" s="2240"/>
      <c r="T270" s="2241"/>
      <c r="U270" s="2239"/>
      <c r="V270" s="2242"/>
      <c r="W270" s="2250"/>
      <c r="X270" s="2244"/>
      <c r="Y270" s="2244"/>
      <c r="Z270" s="2245"/>
      <c r="AA270" s="2246"/>
      <c r="AB270" s="2247"/>
      <c r="AC270" s="2248"/>
      <c r="AD270" s="2249"/>
      <c r="AE270" s="2249"/>
      <c r="AF270" s="2238"/>
      <c r="AG270" s="2264"/>
      <c r="AI270" s="2252" t="s">
        <v>15</v>
      </c>
      <c r="AJ270" s="2237"/>
      <c r="AK270" s="2237"/>
      <c r="AL270" s="2237"/>
      <c r="AM270" s="2237"/>
      <c r="AN270" s="2240"/>
      <c r="AO270" s="2241"/>
      <c r="AP270" s="2239"/>
      <c r="AQ270" s="2242"/>
      <c r="AR270" s="2250"/>
      <c r="AS270" s="2244"/>
      <c r="AT270" s="2244"/>
      <c r="AU270" s="2245"/>
      <c r="AV270" s="2246"/>
      <c r="AW270" s="2247"/>
      <c r="AX270" s="2248"/>
      <c r="AY270" s="2249"/>
      <c r="AZ270" s="2249"/>
      <c r="BA270" s="2238"/>
      <c r="BB270" s="2264"/>
      <c r="BD270" s="2252" t="s">
        <v>15</v>
      </c>
      <c r="BE270" s="2237"/>
      <c r="BF270" s="2237"/>
      <c r="BG270" s="2237"/>
      <c r="BH270" s="2237"/>
      <c r="BI270" s="2240"/>
      <c r="BJ270" s="2241"/>
      <c r="BK270" s="2239"/>
      <c r="BL270" s="2242"/>
      <c r="BM270" s="2250"/>
      <c r="BN270" s="2244"/>
      <c r="BO270" s="2244"/>
      <c r="BP270" s="2245"/>
      <c r="BQ270" s="2246"/>
      <c r="BR270" s="2247"/>
      <c r="BS270" s="2248"/>
      <c r="BT270" s="2249"/>
      <c r="BU270" s="2249"/>
      <c r="BV270" s="2238"/>
      <c r="BW270" s="2264"/>
      <c r="BY270" s="3">
        <v>1</v>
      </c>
    </row>
    <row r="271" spans="2:77" ht="21" customHeight="1">
      <c r="B271" s="2265" t="str" cm="1">
        <f t="array" ref="B271">SUMPRODUCT(--(D271:J271&lt;&gt;""), LEN(TRIM(SUBSTITUTE(D271:J271, CHAR(160), "")))) &amp; " Car."</f>
        <v>0 Car.</v>
      </c>
      <c r="C271" s="1376" t="str">
        <f>IF(ISBLANK(D271),"",LARGE(C13:C270,1)+1)</f>
        <v/>
      </c>
      <c r="D271" s="1833"/>
      <c r="E271" s="1810"/>
      <c r="F271" s="1810"/>
      <c r="G271" s="1810"/>
      <c r="H271" s="1810"/>
      <c r="I271" s="1810"/>
      <c r="J271" s="1810"/>
      <c r="K271" s="1810"/>
      <c r="L271" s="1811"/>
      <c r="M271" s="9"/>
      <c r="N271" s="2252" t="s">
        <v>15</v>
      </c>
      <c r="O271" s="2237"/>
      <c r="P271" s="2237"/>
      <c r="Q271" s="2237"/>
      <c r="R271" s="2237"/>
      <c r="S271" s="2240"/>
      <c r="T271" s="2241"/>
      <c r="U271" s="2239"/>
      <c r="V271" s="2242"/>
      <c r="W271" s="2250"/>
      <c r="X271" s="2244"/>
      <c r="Y271" s="2244"/>
      <c r="Z271" s="2245"/>
      <c r="AA271" s="2246"/>
      <c r="AB271" s="2247"/>
      <c r="AC271" s="2248"/>
      <c r="AD271" s="2249"/>
      <c r="AE271" s="2249"/>
      <c r="AF271" s="2238"/>
      <c r="AG271" s="2264"/>
      <c r="AI271" s="2252" t="s">
        <v>15</v>
      </c>
      <c r="AJ271" s="2237"/>
      <c r="AK271" s="2237"/>
      <c r="AL271" s="2237"/>
      <c r="AM271" s="2237"/>
      <c r="AN271" s="2240"/>
      <c r="AO271" s="2241"/>
      <c r="AP271" s="2239"/>
      <c r="AQ271" s="2242"/>
      <c r="AR271" s="2250"/>
      <c r="AS271" s="2244"/>
      <c r="AT271" s="2244"/>
      <c r="AU271" s="2245"/>
      <c r="AV271" s="2246"/>
      <c r="AW271" s="2247"/>
      <c r="AX271" s="2248"/>
      <c r="AY271" s="2249"/>
      <c r="AZ271" s="2249"/>
      <c r="BA271" s="2238"/>
      <c r="BB271" s="2264"/>
      <c r="BD271" s="2252" t="s">
        <v>15</v>
      </c>
      <c r="BE271" s="2237"/>
      <c r="BF271" s="2237"/>
      <c r="BG271" s="2237"/>
      <c r="BH271" s="2237"/>
      <c r="BI271" s="2240"/>
      <c r="BJ271" s="2241"/>
      <c r="BK271" s="2239"/>
      <c r="BL271" s="2242"/>
      <c r="BM271" s="2250"/>
      <c r="BN271" s="2244"/>
      <c r="BO271" s="2244"/>
      <c r="BP271" s="2245"/>
      <c r="BQ271" s="2246"/>
      <c r="BR271" s="2247"/>
      <c r="BS271" s="2248"/>
      <c r="BT271" s="2249"/>
      <c r="BU271" s="2249"/>
      <c r="BV271" s="2238"/>
      <c r="BW271" s="2264"/>
      <c r="BY271" s="3">
        <v>1</v>
      </c>
    </row>
    <row r="272" spans="2:77" ht="21" customHeight="1">
      <c r="B272" s="2265" t="str" cm="1">
        <f t="array" ref="B272">SUMPRODUCT(--(D272:J272&lt;&gt;""), LEN(TRIM(SUBSTITUTE(D272:J272, CHAR(160), "")))) &amp; " Car."</f>
        <v>0 Car.</v>
      </c>
      <c r="C272" s="1376" t="str">
        <f>IF(ISBLANK(D272),"",LARGE(C13:C271,1)+1)</f>
        <v/>
      </c>
      <c r="D272" s="1833"/>
      <c r="E272" s="1810"/>
      <c r="F272" s="1810"/>
      <c r="G272" s="1810"/>
      <c r="H272" s="1810"/>
      <c r="I272" s="1810"/>
      <c r="J272" s="1810"/>
      <c r="K272" s="1810"/>
      <c r="L272" s="1811"/>
      <c r="M272" s="9"/>
      <c r="N272" s="2252" t="s">
        <v>15</v>
      </c>
      <c r="O272" s="2237"/>
      <c r="P272" s="2237"/>
      <c r="Q272" s="2237"/>
      <c r="R272" s="2237"/>
      <c r="S272" s="2240"/>
      <c r="T272" s="2241"/>
      <c r="U272" s="2239"/>
      <c r="V272" s="2242"/>
      <c r="W272" s="2250"/>
      <c r="X272" s="2244"/>
      <c r="Y272" s="2244"/>
      <c r="Z272" s="2245"/>
      <c r="AA272" s="2246"/>
      <c r="AB272" s="2247"/>
      <c r="AC272" s="2248"/>
      <c r="AD272" s="2249"/>
      <c r="AE272" s="2249"/>
      <c r="AF272" s="2238"/>
      <c r="AG272" s="2264"/>
      <c r="AI272" s="2252" t="s">
        <v>15</v>
      </c>
      <c r="AJ272" s="2237"/>
      <c r="AK272" s="2237"/>
      <c r="AL272" s="2237"/>
      <c r="AM272" s="2237"/>
      <c r="AN272" s="2240"/>
      <c r="AO272" s="2241"/>
      <c r="AP272" s="2239"/>
      <c r="AQ272" s="2242"/>
      <c r="AR272" s="2250"/>
      <c r="AS272" s="2244"/>
      <c r="AT272" s="2244"/>
      <c r="AU272" s="2245"/>
      <c r="AV272" s="2246"/>
      <c r="AW272" s="2247"/>
      <c r="AX272" s="2248"/>
      <c r="AY272" s="2249"/>
      <c r="AZ272" s="2249"/>
      <c r="BA272" s="2238"/>
      <c r="BB272" s="2264"/>
      <c r="BD272" s="2252" t="s">
        <v>15</v>
      </c>
      <c r="BE272" s="2237"/>
      <c r="BF272" s="2237"/>
      <c r="BG272" s="2237"/>
      <c r="BH272" s="2237"/>
      <c r="BI272" s="2240"/>
      <c r="BJ272" s="2241"/>
      <c r="BK272" s="2239"/>
      <c r="BL272" s="2242"/>
      <c r="BM272" s="2250"/>
      <c r="BN272" s="2244"/>
      <c r="BO272" s="2244"/>
      <c r="BP272" s="2245"/>
      <c r="BQ272" s="2246"/>
      <c r="BR272" s="2247"/>
      <c r="BS272" s="2248"/>
      <c r="BT272" s="2249"/>
      <c r="BU272" s="2249"/>
      <c r="BV272" s="2238"/>
      <c r="BW272" s="2264"/>
      <c r="BY272" s="3">
        <v>1</v>
      </c>
    </row>
    <row r="273" spans="2:77" ht="21" customHeight="1">
      <c r="B273" s="2265" t="str" cm="1">
        <f t="array" ref="B273">SUMPRODUCT(--(D273:J273&lt;&gt;""), LEN(TRIM(SUBSTITUTE(D273:J273, CHAR(160), "")))) &amp; " Car."</f>
        <v>0 Car.</v>
      </c>
      <c r="C273" s="1376" t="str">
        <f>IF(ISBLANK(D273),"",LARGE(C13:C272,1)+1)</f>
        <v/>
      </c>
      <c r="D273" s="1833"/>
      <c r="E273" s="1810"/>
      <c r="F273" s="1810"/>
      <c r="G273" s="1810"/>
      <c r="H273" s="1810"/>
      <c r="I273" s="1810"/>
      <c r="J273" s="1810"/>
      <c r="K273" s="1810"/>
      <c r="L273" s="1811"/>
      <c r="M273" s="9"/>
      <c r="N273" s="2252" t="s">
        <v>15</v>
      </c>
      <c r="O273" s="2237"/>
      <c r="P273" s="2237"/>
      <c r="Q273" s="2237"/>
      <c r="R273" s="2237"/>
      <c r="S273" s="2240"/>
      <c r="T273" s="2241"/>
      <c r="U273" s="2239"/>
      <c r="V273" s="2242"/>
      <c r="W273" s="2250"/>
      <c r="X273" s="2244"/>
      <c r="Y273" s="2244"/>
      <c r="Z273" s="2245"/>
      <c r="AA273" s="2246"/>
      <c r="AB273" s="2247"/>
      <c r="AC273" s="2248"/>
      <c r="AD273" s="2249"/>
      <c r="AE273" s="2249"/>
      <c r="AF273" s="2238"/>
      <c r="AG273" s="2264"/>
      <c r="AI273" s="2252" t="s">
        <v>15</v>
      </c>
      <c r="AJ273" s="2237"/>
      <c r="AK273" s="2237"/>
      <c r="AL273" s="2237"/>
      <c r="AM273" s="2237"/>
      <c r="AN273" s="2240"/>
      <c r="AO273" s="2241"/>
      <c r="AP273" s="2239"/>
      <c r="AQ273" s="2242"/>
      <c r="AR273" s="2250"/>
      <c r="AS273" s="2244"/>
      <c r="AT273" s="2244"/>
      <c r="AU273" s="2245"/>
      <c r="AV273" s="2246"/>
      <c r="AW273" s="2247"/>
      <c r="AX273" s="2248"/>
      <c r="AY273" s="2249"/>
      <c r="AZ273" s="2249"/>
      <c r="BA273" s="2238"/>
      <c r="BB273" s="2264"/>
      <c r="BD273" s="2252" t="s">
        <v>15</v>
      </c>
      <c r="BE273" s="2237"/>
      <c r="BF273" s="2237"/>
      <c r="BG273" s="2237"/>
      <c r="BH273" s="2237"/>
      <c r="BI273" s="2240"/>
      <c r="BJ273" s="2241"/>
      <c r="BK273" s="2239"/>
      <c r="BL273" s="2242"/>
      <c r="BM273" s="2250"/>
      <c r="BN273" s="2244"/>
      <c r="BO273" s="2244"/>
      <c r="BP273" s="2245"/>
      <c r="BQ273" s="2246"/>
      <c r="BR273" s="2247"/>
      <c r="BS273" s="2248"/>
      <c r="BT273" s="2249"/>
      <c r="BU273" s="2249"/>
      <c r="BV273" s="2238"/>
      <c r="BW273" s="2264"/>
      <c r="BY273" s="3">
        <v>1</v>
      </c>
    </row>
    <row r="274" spans="2:77" ht="21" customHeight="1">
      <c r="B274" s="2265" t="str" cm="1">
        <f t="array" ref="B274">SUMPRODUCT(--(D274:J274&lt;&gt;""), LEN(TRIM(SUBSTITUTE(D274:J274, CHAR(160), "")))) &amp; " Car."</f>
        <v>0 Car.</v>
      </c>
      <c r="C274" s="1376" t="str">
        <f>IF(ISBLANK(D274),"",LARGE(C13:C273,1)+1)</f>
        <v/>
      </c>
      <c r="D274" s="1833"/>
      <c r="E274" s="1810"/>
      <c r="F274" s="1810"/>
      <c r="G274" s="1810"/>
      <c r="H274" s="1810"/>
      <c r="I274" s="1810"/>
      <c r="J274" s="1810"/>
      <c r="K274" s="1810"/>
      <c r="L274" s="1811"/>
      <c r="M274" s="9"/>
      <c r="N274" s="2252" t="s">
        <v>15</v>
      </c>
      <c r="O274" s="2237"/>
      <c r="P274" s="2237"/>
      <c r="Q274" s="2237"/>
      <c r="R274" s="2237"/>
      <c r="S274" s="2240"/>
      <c r="T274" s="2241"/>
      <c r="U274" s="2239"/>
      <c r="V274" s="2242"/>
      <c r="W274" s="2250"/>
      <c r="X274" s="2244"/>
      <c r="Y274" s="2244"/>
      <c r="Z274" s="2245"/>
      <c r="AA274" s="2246"/>
      <c r="AB274" s="2247"/>
      <c r="AC274" s="2248"/>
      <c r="AD274" s="2249"/>
      <c r="AE274" s="2249"/>
      <c r="AF274" s="2238"/>
      <c r="AG274" s="2264"/>
      <c r="AI274" s="2252" t="s">
        <v>15</v>
      </c>
      <c r="AJ274" s="2237"/>
      <c r="AK274" s="2237"/>
      <c r="AL274" s="2237"/>
      <c r="AM274" s="2237"/>
      <c r="AN274" s="2240"/>
      <c r="AO274" s="2241"/>
      <c r="AP274" s="2239"/>
      <c r="AQ274" s="2242"/>
      <c r="AR274" s="2250"/>
      <c r="AS274" s="2244"/>
      <c r="AT274" s="2244"/>
      <c r="AU274" s="2245"/>
      <c r="AV274" s="2246"/>
      <c r="AW274" s="2247"/>
      <c r="AX274" s="2248"/>
      <c r="AY274" s="2249"/>
      <c r="AZ274" s="2249"/>
      <c r="BA274" s="2238"/>
      <c r="BB274" s="2264"/>
      <c r="BD274" s="2252" t="s">
        <v>15</v>
      </c>
      <c r="BE274" s="2237"/>
      <c r="BF274" s="2237"/>
      <c r="BG274" s="2237"/>
      <c r="BH274" s="2237"/>
      <c r="BI274" s="2240"/>
      <c r="BJ274" s="2241"/>
      <c r="BK274" s="2239"/>
      <c r="BL274" s="2242"/>
      <c r="BM274" s="2250"/>
      <c r="BN274" s="2244"/>
      <c r="BO274" s="2244"/>
      <c r="BP274" s="2245"/>
      <c r="BQ274" s="2246"/>
      <c r="BR274" s="2247"/>
      <c r="BS274" s="2248"/>
      <c r="BT274" s="2249"/>
      <c r="BU274" s="2249"/>
      <c r="BV274" s="2238"/>
      <c r="BW274" s="2264"/>
      <c r="BY274" s="3">
        <v>1</v>
      </c>
    </row>
    <row r="275" spans="2:77" ht="21" customHeight="1">
      <c r="B275" s="2265" t="str" cm="1">
        <f t="array" ref="B275">SUMPRODUCT(--(D275:J275&lt;&gt;""), LEN(TRIM(SUBSTITUTE(D275:J275, CHAR(160), "")))) &amp; " Car."</f>
        <v>0 Car.</v>
      </c>
      <c r="C275" s="1376" t="str">
        <f>IF(ISBLANK(D275),"",LARGE(C13:C274,1)+1)</f>
        <v/>
      </c>
      <c r="D275" s="1833"/>
      <c r="E275" s="1810"/>
      <c r="F275" s="1810"/>
      <c r="G275" s="1810"/>
      <c r="H275" s="1810"/>
      <c r="I275" s="1810"/>
      <c r="J275" s="1810"/>
      <c r="K275" s="1810"/>
      <c r="L275" s="1811"/>
      <c r="M275" s="9"/>
      <c r="N275" s="2252" t="s">
        <v>15</v>
      </c>
      <c r="O275" s="2237"/>
      <c r="P275" s="2237"/>
      <c r="Q275" s="2237"/>
      <c r="R275" s="2237"/>
      <c r="S275" s="2240"/>
      <c r="T275" s="2241"/>
      <c r="U275" s="2239"/>
      <c r="V275" s="2242"/>
      <c r="W275" s="2250"/>
      <c r="X275" s="2244"/>
      <c r="Y275" s="2244"/>
      <c r="Z275" s="2245"/>
      <c r="AA275" s="2246"/>
      <c r="AB275" s="2247"/>
      <c r="AC275" s="2248"/>
      <c r="AD275" s="2249"/>
      <c r="AE275" s="2249"/>
      <c r="AF275" s="2238"/>
      <c r="AG275" s="2264"/>
      <c r="AI275" s="2252" t="s">
        <v>15</v>
      </c>
      <c r="AJ275" s="2237"/>
      <c r="AK275" s="2237"/>
      <c r="AL275" s="2237"/>
      <c r="AM275" s="2237"/>
      <c r="AN275" s="2240"/>
      <c r="AO275" s="2241"/>
      <c r="AP275" s="2239"/>
      <c r="AQ275" s="2242"/>
      <c r="AR275" s="2250"/>
      <c r="AS275" s="2244"/>
      <c r="AT275" s="2244"/>
      <c r="AU275" s="2245"/>
      <c r="AV275" s="2246"/>
      <c r="AW275" s="2247"/>
      <c r="AX275" s="2248"/>
      <c r="AY275" s="2249"/>
      <c r="AZ275" s="2249"/>
      <c r="BA275" s="2238"/>
      <c r="BB275" s="2264"/>
      <c r="BD275" s="2252" t="s">
        <v>15</v>
      </c>
      <c r="BE275" s="2237"/>
      <c r="BF275" s="2237"/>
      <c r="BG275" s="2237"/>
      <c r="BH275" s="2237"/>
      <c r="BI275" s="2240"/>
      <c r="BJ275" s="2241"/>
      <c r="BK275" s="2239"/>
      <c r="BL275" s="2242"/>
      <c r="BM275" s="2250"/>
      <c r="BN275" s="2244"/>
      <c r="BO275" s="2244"/>
      <c r="BP275" s="2245"/>
      <c r="BQ275" s="2246"/>
      <c r="BR275" s="2247"/>
      <c r="BS275" s="2248"/>
      <c r="BT275" s="2249"/>
      <c r="BU275" s="2249"/>
      <c r="BV275" s="2238"/>
      <c r="BW275" s="2264"/>
      <c r="BY275" s="3">
        <v>1</v>
      </c>
    </row>
    <row r="276" spans="2:77" ht="21" customHeight="1">
      <c r="B276" s="2265" t="str" cm="1">
        <f t="array" ref="B276">SUMPRODUCT(--(D276:J276&lt;&gt;""), LEN(TRIM(SUBSTITUTE(D276:J276, CHAR(160), "")))) &amp; " Car."</f>
        <v>0 Car.</v>
      </c>
      <c r="C276" s="1376" t="str">
        <f>IF(ISBLANK(D276),"",LARGE(C13:C275,1)+1)</f>
        <v/>
      </c>
      <c r="D276" s="1833"/>
      <c r="E276" s="1810"/>
      <c r="F276" s="1810"/>
      <c r="G276" s="1810"/>
      <c r="H276" s="1810"/>
      <c r="I276" s="1810"/>
      <c r="J276" s="1810"/>
      <c r="K276" s="1810"/>
      <c r="L276" s="1811"/>
      <c r="M276" s="9"/>
      <c r="N276" s="2252" t="s">
        <v>15</v>
      </c>
      <c r="O276" s="2237"/>
      <c r="P276" s="2237"/>
      <c r="Q276" s="2237"/>
      <c r="R276" s="2237"/>
      <c r="S276" s="2240"/>
      <c r="T276" s="2241"/>
      <c r="U276" s="2239"/>
      <c r="V276" s="2242"/>
      <c r="W276" s="2250"/>
      <c r="X276" s="2244"/>
      <c r="Y276" s="2244"/>
      <c r="Z276" s="2245"/>
      <c r="AA276" s="2246"/>
      <c r="AB276" s="2247"/>
      <c r="AC276" s="2248"/>
      <c r="AD276" s="2249"/>
      <c r="AE276" s="2249"/>
      <c r="AF276" s="2238"/>
      <c r="AG276" s="2264"/>
      <c r="AI276" s="2252" t="s">
        <v>15</v>
      </c>
      <c r="AJ276" s="2237"/>
      <c r="AK276" s="2237"/>
      <c r="AL276" s="2237"/>
      <c r="AM276" s="2237"/>
      <c r="AN276" s="2240"/>
      <c r="AO276" s="2241"/>
      <c r="AP276" s="2239"/>
      <c r="AQ276" s="2242"/>
      <c r="AR276" s="2250"/>
      <c r="AS276" s="2244"/>
      <c r="AT276" s="2244"/>
      <c r="AU276" s="2245"/>
      <c r="AV276" s="2246"/>
      <c r="AW276" s="2247"/>
      <c r="AX276" s="2248"/>
      <c r="AY276" s="2249"/>
      <c r="AZ276" s="2249"/>
      <c r="BA276" s="2238"/>
      <c r="BB276" s="2264"/>
      <c r="BD276" s="2252" t="s">
        <v>15</v>
      </c>
      <c r="BE276" s="2237"/>
      <c r="BF276" s="2237"/>
      <c r="BG276" s="2237"/>
      <c r="BH276" s="2237"/>
      <c r="BI276" s="2240"/>
      <c r="BJ276" s="2241"/>
      <c r="BK276" s="2239"/>
      <c r="BL276" s="2242"/>
      <c r="BM276" s="2250"/>
      <c r="BN276" s="2244"/>
      <c r="BO276" s="2244"/>
      <c r="BP276" s="2245"/>
      <c r="BQ276" s="2246"/>
      <c r="BR276" s="2247"/>
      <c r="BS276" s="2248"/>
      <c r="BT276" s="2249"/>
      <c r="BU276" s="2249"/>
      <c r="BV276" s="2238"/>
      <c r="BW276" s="2264"/>
      <c r="BY276" s="3">
        <v>1</v>
      </c>
    </row>
    <row r="277" spans="2:77" ht="21" customHeight="1">
      <c r="B277" s="2265" t="str" cm="1">
        <f t="array" ref="B277">SUMPRODUCT(--(D277:J277&lt;&gt;""), LEN(TRIM(SUBSTITUTE(D277:J277, CHAR(160), "")))) &amp; " Car."</f>
        <v>0 Car.</v>
      </c>
      <c r="C277" s="1376" t="str">
        <f>IF(ISBLANK(D277),"",LARGE(C13:C276,1)+1)</f>
        <v/>
      </c>
      <c r="D277" s="1833"/>
      <c r="E277" s="1810"/>
      <c r="F277" s="1810"/>
      <c r="G277" s="1810"/>
      <c r="H277" s="1810"/>
      <c r="I277" s="1810"/>
      <c r="J277" s="1810"/>
      <c r="K277" s="1810"/>
      <c r="L277" s="1811"/>
      <c r="M277" s="9"/>
      <c r="N277" s="2252" t="s">
        <v>15</v>
      </c>
      <c r="O277" s="2237"/>
      <c r="P277" s="2237"/>
      <c r="Q277" s="2237"/>
      <c r="R277" s="2237"/>
      <c r="S277" s="2240"/>
      <c r="T277" s="2241"/>
      <c r="U277" s="2239"/>
      <c r="V277" s="2242"/>
      <c r="W277" s="2250"/>
      <c r="X277" s="2244"/>
      <c r="Y277" s="2244"/>
      <c r="Z277" s="2245"/>
      <c r="AA277" s="2246"/>
      <c r="AB277" s="2247"/>
      <c r="AC277" s="2248"/>
      <c r="AD277" s="2249"/>
      <c r="AE277" s="2249"/>
      <c r="AF277" s="2238"/>
      <c r="AG277" s="2264"/>
      <c r="AI277" s="2252" t="s">
        <v>15</v>
      </c>
      <c r="AJ277" s="2237"/>
      <c r="AK277" s="2237"/>
      <c r="AL277" s="2237"/>
      <c r="AM277" s="2237"/>
      <c r="AN277" s="2240"/>
      <c r="AO277" s="2241"/>
      <c r="AP277" s="2239"/>
      <c r="AQ277" s="2242"/>
      <c r="AR277" s="2250"/>
      <c r="AS277" s="2244"/>
      <c r="AT277" s="2244"/>
      <c r="AU277" s="2245"/>
      <c r="AV277" s="2246"/>
      <c r="AW277" s="2247"/>
      <c r="AX277" s="2248"/>
      <c r="AY277" s="2249"/>
      <c r="AZ277" s="2249"/>
      <c r="BA277" s="2238"/>
      <c r="BB277" s="2264"/>
      <c r="BD277" s="2252" t="s">
        <v>15</v>
      </c>
      <c r="BE277" s="2237"/>
      <c r="BF277" s="2237"/>
      <c r="BG277" s="2237"/>
      <c r="BH277" s="2237"/>
      <c r="BI277" s="2240"/>
      <c r="BJ277" s="2241"/>
      <c r="BK277" s="2239"/>
      <c r="BL277" s="2242"/>
      <c r="BM277" s="2250"/>
      <c r="BN277" s="2244"/>
      <c r="BO277" s="2244"/>
      <c r="BP277" s="2245"/>
      <c r="BQ277" s="2246"/>
      <c r="BR277" s="2247"/>
      <c r="BS277" s="2248"/>
      <c r="BT277" s="2249"/>
      <c r="BU277" s="2249"/>
      <c r="BV277" s="2238"/>
      <c r="BW277" s="2264"/>
      <c r="BY277" s="3">
        <v>1</v>
      </c>
    </row>
    <row r="278" spans="2:77" ht="21" customHeight="1">
      <c r="B278" s="2265" t="str" cm="1">
        <f t="array" ref="B278">SUMPRODUCT(--(D278:J278&lt;&gt;""), LEN(TRIM(SUBSTITUTE(D278:J278, CHAR(160), "")))) &amp; " Car."</f>
        <v>0 Car.</v>
      </c>
      <c r="C278" s="1376" t="str">
        <f>IF(ISBLANK(D278),"",LARGE(C13:C277,1)+1)</f>
        <v/>
      </c>
      <c r="D278" s="1833"/>
      <c r="E278" s="1810"/>
      <c r="F278" s="1810"/>
      <c r="G278" s="1810"/>
      <c r="H278" s="1810"/>
      <c r="I278" s="1810"/>
      <c r="J278" s="1810"/>
      <c r="K278" s="1810"/>
      <c r="L278" s="1811"/>
      <c r="M278" s="9"/>
      <c r="N278" s="2252" t="s">
        <v>15</v>
      </c>
      <c r="O278" s="2237"/>
      <c r="P278" s="2237"/>
      <c r="Q278" s="2237"/>
      <c r="R278" s="2237"/>
      <c r="S278" s="2240"/>
      <c r="T278" s="2241"/>
      <c r="U278" s="2239"/>
      <c r="V278" s="2242"/>
      <c r="W278" s="2250"/>
      <c r="X278" s="2244"/>
      <c r="Y278" s="2244"/>
      <c r="Z278" s="2245"/>
      <c r="AA278" s="2246"/>
      <c r="AB278" s="2247"/>
      <c r="AC278" s="2248"/>
      <c r="AD278" s="2249"/>
      <c r="AE278" s="2249"/>
      <c r="AF278" s="2238"/>
      <c r="AG278" s="2264"/>
      <c r="AI278" s="2252" t="s">
        <v>15</v>
      </c>
      <c r="AJ278" s="2237"/>
      <c r="AK278" s="2237"/>
      <c r="AL278" s="2237"/>
      <c r="AM278" s="2237"/>
      <c r="AN278" s="2240"/>
      <c r="AO278" s="2241"/>
      <c r="AP278" s="2239"/>
      <c r="AQ278" s="2242"/>
      <c r="AR278" s="2250"/>
      <c r="AS278" s="2244"/>
      <c r="AT278" s="2244"/>
      <c r="AU278" s="2245"/>
      <c r="AV278" s="2246"/>
      <c r="AW278" s="2247"/>
      <c r="AX278" s="2248"/>
      <c r="AY278" s="2249"/>
      <c r="AZ278" s="2249"/>
      <c r="BA278" s="2238"/>
      <c r="BB278" s="2264"/>
      <c r="BD278" s="2252" t="s">
        <v>15</v>
      </c>
      <c r="BE278" s="2237"/>
      <c r="BF278" s="2237"/>
      <c r="BG278" s="2237"/>
      <c r="BH278" s="2237"/>
      <c r="BI278" s="2240"/>
      <c r="BJ278" s="2241"/>
      <c r="BK278" s="2239"/>
      <c r="BL278" s="2242"/>
      <c r="BM278" s="2250"/>
      <c r="BN278" s="2244"/>
      <c r="BO278" s="2244"/>
      <c r="BP278" s="2245"/>
      <c r="BQ278" s="2246"/>
      <c r="BR278" s="2247"/>
      <c r="BS278" s="2248"/>
      <c r="BT278" s="2249"/>
      <c r="BU278" s="2249"/>
      <c r="BV278" s="2238"/>
      <c r="BW278" s="2264"/>
      <c r="BY278" s="3">
        <v>1</v>
      </c>
    </row>
    <row r="279" spans="2:77" ht="21" customHeight="1">
      <c r="B279" s="2265" t="str" cm="1">
        <f t="array" ref="B279">SUMPRODUCT(--(D279:J279&lt;&gt;""), LEN(TRIM(SUBSTITUTE(D279:J279, CHAR(160), "")))) &amp; " Car."</f>
        <v>0 Car.</v>
      </c>
      <c r="C279" s="1376" t="str">
        <f>IF(ISBLANK(D279),"",LARGE(C13:C278,1)+1)</f>
        <v/>
      </c>
      <c r="D279" s="1833"/>
      <c r="E279" s="1810"/>
      <c r="F279" s="1810"/>
      <c r="G279" s="1810"/>
      <c r="H279" s="1810"/>
      <c r="I279" s="1810"/>
      <c r="J279" s="1810"/>
      <c r="K279" s="1810"/>
      <c r="L279" s="1811"/>
      <c r="M279" s="9"/>
      <c r="N279" s="2252" t="s">
        <v>15</v>
      </c>
      <c r="O279" s="2237"/>
      <c r="P279" s="2237"/>
      <c r="Q279" s="2237"/>
      <c r="R279" s="2237"/>
      <c r="S279" s="2240"/>
      <c r="T279" s="2241"/>
      <c r="U279" s="2239"/>
      <c r="V279" s="2242"/>
      <c r="W279" s="2250"/>
      <c r="X279" s="2244"/>
      <c r="Y279" s="2244"/>
      <c r="Z279" s="2245"/>
      <c r="AA279" s="2246"/>
      <c r="AB279" s="2247"/>
      <c r="AC279" s="2248"/>
      <c r="AD279" s="2249"/>
      <c r="AE279" s="2249"/>
      <c r="AF279" s="2238"/>
      <c r="AG279" s="2264"/>
      <c r="AI279" s="2252" t="s">
        <v>15</v>
      </c>
      <c r="AJ279" s="2237"/>
      <c r="AK279" s="2237"/>
      <c r="AL279" s="2237"/>
      <c r="AM279" s="2237"/>
      <c r="AN279" s="2240"/>
      <c r="AO279" s="2241"/>
      <c r="AP279" s="2239"/>
      <c r="AQ279" s="2242"/>
      <c r="AR279" s="2250"/>
      <c r="AS279" s="2244"/>
      <c r="AT279" s="2244"/>
      <c r="AU279" s="2245"/>
      <c r="AV279" s="2246"/>
      <c r="AW279" s="2247"/>
      <c r="AX279" s="2248"/>
      <c r="AY279" s="2249"/>
      <c r="AZ279" s="2249"/>
      <c r="BA279" s="2238"/>
      <c r="BB279" s="2264"/>
      <c r="BD279" s="2252" t="s">
        <v>15</v>
      </c>
      <c r="BE279" s="2237"/>
      <c r="BF279" s="2237"/>
      <c r="BG279" s="2237"/>
      <c r="BH279" s="2237"/>
      <c r="BI279" s="2240"/>
      <c r="BJ279" s="2241"/>
      <c r="BK279" s="2239"/>
      <c r="BL279" s="2242"/>
      <c r="BM279" s="2250"/>
      <c r="BN279" s="2244"/>
      <c r="BO279" s="2244"/>
      <c r="BP279" s="2245"/>
      <c r="BQ279" s="2246"/>
      <c r="BR279" s="2247"/>
      <c r="BS279" s="2248"/>
      <c r="BT279" s="2249"/>
      <c r="BU279" s="2249"/>
      <c r="BV279" s="2238"/>
      <c r="BW279" s="2264"/>
      <c r="BY279" s="3">
        <v>1</v>
      </c>
    </row>
    <row r="280" spans="2:77" ht="21" customHeight="1">
      <c r="B280" s="2265" t="str" cm="1">
        <f t="array" ref="B280">SUMPRODUCT(--(D280:J280&lt;&gt;""), LEN(TRIM(SUBSTITUTE(D280:J280, CHAR(160), "")))) &amp; " Car."</f>
        <v>0 Car.</v>
      </c>
      <c r="C280" s="1376" t="str">
        <f>IF(ISBLANK(D280),"",LARGE(C13:C279,1)+1)</f>
        <v/>
      </c>
      <c r="D280" s="1833"/>
      <c r="E280" s="1810"/>
      <c r="F280" s="1810"/>
      <c r="G280" s="1810"/>
      <c r="H280" s="1810"/>
      <c r="I280" s="1810"/>
      <c r="J280" s="1810"/>
      <c r="K280" s="1810"/>
      <c r="L280" s="1811"/>
      <c r="M280" s="9"/>
      <c r="N280" s="2252" t="s">
        <v>15</v>
      </c>
      <c r="O280" s="2237"/>
      <c r="P280" s="2237"/>
      <c r="Q280" s="2237"/>
      <c r="R280" s="2237"/>
      <c r="S280" s="2240"/>
      <c r="T280" s="2241"/>
      <c r="U280" s="2239"/>
      <c r="V280" s="2242"/>
      <c r="W280" s="2250"/>
      <c r="X280" s="2244"/>
      <c r="Y280" s="2244"/>
      <c r="Z280" s="2245"/>
      <c r="AA280" s="2246"/>
      <c r="AB280" s="2247"/>
      <c r="AC280" s="2248"/>
      <c r="AD280" s="2249"/>
      <c r="AE280" s="2249"/>
      <c r="AF280" s="2238"/>
      <c r="AG280" s="2264"/>
      <c r="AI280" s="2252" t="s">
        <v>15</v>
      </c>
      <c r="AJ280" s="2237"/>
      <c r="AK280" s="2237"/>
      <c r="AL280" s="2237"/>
      <c r="AM280" s="2237"/>
      <c r="AN280" s="2240"/>
      <c r="AO280" s="2241"/>
      <c r="AP280" s="2239"/>
      <c r="AQ280" s="2242"/>
      <c r="AR280" s="2250"/>
      <c r="AS280" s="2244"/>
      <c r="AT280" s="2244"/>
      <c r="AU280" s="2245"/>
      <c r="AV280" s="2246"/>
      <c r="AW280" s="2247"/>
      <c r="AX280" s="2248"/>
      <c r="AY280" s="2249"/>
      <c r="AZ280" s="2249"/>
      <c r="BA280" s="2238"/>
      <c r="BB280" s="2264"/>
      <c r="BD280" s="2252" t="s">
        <v>15</v>
      </c>
      <c r="BE280" s="2237"/>
      <c r="BF280" s="2237"/>
      <c r="BG280" s="2237"/>
      <c r="BH280" s="2237"/>
      <c r="BI280" s="2240"/>
      <c r="BJ280" s="2241"/>
      <c r="BK280" s="2239"/>
      <c r="BL280" s="2242"/>
      <c r="BM280" s="2250"/>
      <c r="BN280" s="2244"/>
      <c r="BO280" s="2244"/>
      <c r="BP280" s="2245"/>
      <c r="BQ280" s="2246"/>
      <c r="BR280" s="2247"/>
      <c r="BS280" s="2248"/>
      <c r="BT280" s="2249"/>
      <c r="BU280" s="2249"/>
      <c r="BV280" s="2238"/>
      <c r="BW280" s="2264"/>
      <c r="BY280" s="3">
        <v>1</v>
      </c>
    </row>
    <row r="281" spans="2:77" ht="21" customHeight="1">
      <c r="B281" s="2265" t="str" cm="1">
        <f t="array" ref="B281">SUMPRODUCT(--(D281:J281&lt;&gt;""), LEN(TRIM(SUBSTITUTE(D281:J281, CHAR(160), "")))) &amp; " Car."</f>
        <v>0 Car.</v>
      </c>
      <c r="C281" s="1376" t="str">
        <f>IF(ISBLANK(D281),"",LARGE(C13:C280,1)+1)</f>
        <v/>
      </c>
      <c r="D281" s="1833"/>
      <c r="E281" s="1810"/>
      <c r="F281" s="1810"/>
      <c r="G281" s="1810"/>
      <c r="H281" s="1810"/>
      <c r="I281" s="1810"/>
      <c r="J281" s="1810"/>
      <c r="K281" s="1810"/>
      <c r="L281" s="1811"/>
      <c r="M281" s="9"/>
      <c r="N281" s="2252" t="s">
        <v>15</v>
      </c>
      <c r="O281" s="2237"/>
      <c r="P281" s="2237"/>
      <c r="Q281" s="2237"/>
      <c r="R281" s="2237"/>
      <c r="S281" s="2240"/>
      <c r="T281" s="2241"/>
      <c r="U281" s="2239"/>
      <c r="V281" s="2242"/>
      <c r="W281" s="2250"/>
      <c r="X281" s="2244"/>
      <c r="Y281" s="2244"/>
      <c r="Z281" s="2245"/>
      <c r="AA281" s="2246"/>
      <c r="AB281" s="2247"/>
      <c r="AC281" s="2248"/>
      <c r="AD281" s="2249"/>
      <c r="AE281" s="2249"/>
      <c r="AF281" s="2238"/>
      <c r="AG281" s="2264"/>
      <c r="AI281" s="2252" t="s">
        <v>15</v>
      </c>
      <c r="AJ281" s="2237"/>
      <c r="AK281" s="2237"/>
      <c r="AL281" s="2237"/>
      <c r="AM281" s="2237"/>
      <c r="AN281" s="2240"/>
      <c r="AO281" s="2241"/>
      <c r="AP281" s="2239"/>
      <c r="AQ281" s="2242"/>
      <c r="AR281" s="2250"/>
      <c r="AS281" s="2244"/>
      <c r="AT281" s="2244"/>
      <c r="AU281" s="2245"/>
      <c r="AV281" s="2246"/>
      <c r="AW281" s="2247"/>
      <c r="AX281" s="2248"/>
      <c r="AY281" s="2249"/>
      <c r="AZ281" s="2249"/>
      <c r="BA281" s="2238"/>
      <c r="BB281" s="2264"/>
      <c r="BD281" s="2252" t="s">
        <v>15</v>
      </c>
      <c r="BE281" s="2237"/>
      <c r="BF281" s="2237"/>
      <c r="BG281" s="2237"/>
      <c r="BH281" s="2237"/>
      <c r="BI281" s="2240"/>
      <c r="BJ281" s="2241"/>
      <c r="BK281" s="2239"/>
      <c r="BL281" s="2242"/>
      <c r="BM281" s="2250"/>
      <c r="BN281" s="2244"/>
      <c r="BO281" s="2244"/>
      <c r="BP281" s="2245"/>
      <c r="BQ281" s="2246"/>
      <c r="BR281" s="2247"/>
      <c r="BS281" s="2248"/>
      <c r="BT281" s="2249"/>
      <c r="BU281" s="2249"/>
      <c r="BV281" s="2238"/>
      <c r="BW281" s="2264"/>
      <c r="BY281" s="3">
        <v>1</v>
      </c>
    </row>
    <row r="282" spans="2:77" ht="21" customHeight="1">
      <c r="B282" s="2265" t="str" cm="1">
        <f t="array" ref="B282">SUMPRODUCT(--(D282:J282&lt;&gt;""), LEN(TRIM(SUBSTITUTE(D282:J282, CHAR(160), "")))) &amp; " Car."</f>
        <v>0 Car.</v>
      </c>
      <c r="C282" s="1376" t="str">
        <f>IF(ISBLANK(D282),"",LARGE(C13:C281,1)+1)</f>
        <v/>
      </c>
      <c r="D282" s="1833"/>
      <c r="E282" s="1810"/>
      <c r="F282" s="1810"/>
      <c r="G282" s="1810"/>
      <c r="H282" s="1810"/>
      <c r="I282" s="1810"/>
      <c r="J282" s="1810"/>
      <c r="K282" s="1810"/>
      <c r="L282" s="1811"/>
      <c r="M282" s="9"/>
      <c r="N282" s="2252" t="s">
        <v>15</v>
      </c>
      <c r="O282" s="2237"/>
      <c r="P282" s="2237"/>
      <c r="Q282" s="2237"/>
      <c r="R282" s="2237"/>
      <c r="S282" s="2240"/>
      <c r="T282" s="2241"/>
      <c r="U282" s="2239"/>
      <c r="V282" s="2242"/>
      <c r="W282" s="2250"/>
      <c r="X282" s="2244"/>
      <c r="Y282" s="2244"/>
      <c r="Z282" s="2245"/>
      <c r="AA282" s="2246"/>
      <c r="AB282" s="2247"/>
      <c r="AC282" s="2248"/>
      <c r="AD282" s="2249"/>
      <c r="AE282" s="2249"/>
      <c r="AF282" s="2238"/>
      <c r="AG282" s="2264"/>
      <c r="AI282" s="2252" t="s">
        <v>15</v>
      </c>
      <c r="AJ282" s="2237"/>
      <c r="AK282" s="2237"/>
      <c r="AL282" s="2237"/>
      <c r="AM282" s="2237"/>
      <c r="AN282" s="2240"/>
      <c r="AO282" s="2241"/>
      <c r="AP282" s="2239"/>
      <c r="AQ282" s="2242"/>
      <c r="AR282" s="2250"/>
      <c r="AS282" s="2244"/>
      <c r="AT282" s="2244"/>
      <c r="AU282" s="2245"/>
      <c r="AV282" s="2246"/>
      <c r="AW282" s="2247"/>
      <c r="AX282" s="2248"/>
      <c r="AY282" s="2249"/>
      <c r="AZ282" s="2249"/>
      <c r="BA282" s="2238"/>
      <c r="BB282" s="2264"/>
      <c r="BD282" s="2252" t="s">
        <v>15</v>
      </c>
      <c r="BE282" s="2237"/>
      <c r="BF282" s="2237"/>
      <c r="BG282" s="2237"/>
      <c r="BH282" s="2237"/>
      <c r="BI282" s="2240"/>
      <c r="BJ282" s="2241"/>
      <c r="BK282" s="2239"/>
      <c r="BL282" s="2242"/>
      <c r="BM282" s="2250"/>
      <c r="BN282" s="2244"/>
      <c r="BO282" s="2244"/>
      <c r="BP282" s="2245"/>
      <c r="BQ282" s="2246"/>
      <c r="BR282" s="2247"/>
      <c r="BS282" s="2248"/>
      <c r="BT282" s="2249"/>
      <c r="BU282" s="2249"/>
      <c r="BV282" s="2238"/>
      <c r="BW282" s="2264"/>
      <c r="BY282" s="3">
        <v>1</v>
      </c>
    </row>
    <row r="283" spans="2:77" ht="21" customHeight="1">
      <c r="B283" s="2265" t="str" cm="1">
        <f t="array" ref="B283">SUMPRODUCT(--(D283:J283&lt;&gt;""), LEN(TRIM(SUBSTITUTE(D283:J283, CHAR(160), "")))) &amp; " Car."</f>
        <v>0 Car.</v>
      </c>
      <c r="C283" s="1376" t="str">
        <f>IF(ISBLANK(D283),"",LARGE(C13:C282,1)+1)</f>
        <v/>
      </c>
      <c r="D283" s="1833"/>
      <c r="E283" s="1810"/>
      <c r="F283" s="1810"/>
      <c r="G283" s="1810"/>
      <c r="H283" s="1810"/>
      <c r="I283" s="1810"/>
      <c r="J283" s="1810"/>
      <c r="K283" s="1810"/>
      <c r="L283" s="1811"/>
      <c r="M283" s="9"/>
      <c r="N283" s="2252" t="s">
        <v>15</v>
      </c>
      <c r="O283" s="2237"/>
      <c r="P283" s="2237"/>
      <c r="Q283" s="2237"/>
      <c r="R283" s="2237"/>
      <c r="S283" s="2240"/>
      <c r="T283" s="2241"/>
      <c r="U283" s="2239"/>
      <c r="V283" s="2242"/>
      <c r="W283" s="2250"/>
      <c r="X283" s="2244"/>
      <c r="Y283" s="2244"/>
      <c r="Z283" s="2245"/>
      <c r="AA283" s="2246"/>
      <c r="AB283" s="2247"/>
      <c r="AC283" s="2248"/>
      <c r="AD283" s="2249"/>
      <c r="AE283" s="2249"/>
      <c r="AF283" s="2238"/>
      <c r="AG283" s="2264"/>
      <c r="AI283" s="2252" t="s">
        <v>15</v>
      </c>
      <c r="AJ283" s="2237"/>
      <c r="AK283" s="2237"/>
      <c r="AL283" s="2237"/>
      <c r="AM283" s="2237"/>
      <c r="AN283" s="2240"/>
      <c r="AO283" s="2241"/>
      <c r="AP283" s="2239"/>
      <c r="AQ283" s="2242"/>
      <c r="AR283" s="2250"/>
      <c r="AS283" s="2244"/>
      <c r="AT283" s="2244"/>
      <c r="AU283" s="2245"/>
      <c r="AV283" s="2246"/>
      <c r="AW283" s="2247"/>
      <c r="AX283" s="2248"/>
      <c r="AY283" s="2249"/>
      <c r="AZ283" s="2249"/>
      <c r="BA283" s="2238"/>
      <c r="BB283" s="2264"/>
      <c r="BD283" s="2252" t="s">
        <v>15</v>
      </c>
      <c r="BE283" s="2237"/>
      <c r="BF283" s="2237"/>
      <c r="BG283" s="2237"/>
      <c r="BH283" s="2237"/>
      <c r="BI283" s="2240"/>
      <c r="BJ283" s="2241"/>
      <c r="BK283" s="2239"/>
      <c r="BL283" s="2242"/>
      <c r="BM283" s="2250"/>
      <c r="BN283" s="2244"/>
      <c r="BO283" s="2244"/>
      <c r="BP283" s="2245"/>
      <c r="BQ283" s="2246"/>
      <c r="BR283" s="2247"/>
      <c r="BS283" s="2248"/>
      <c r="BT283" s="2249"/>
      <c r="BU283" s="2249"/>
      <c r="BV283" s="2238"/>
      <c r="BW283" s="2264"/>
      <c r="BY283" s="3">
        <v>1</v>
      </c>
    </row>
    <row r="284" spans="2:77" ht="21" customHeight="1">
      <c r="B284" s="2265" t="str" cm="1">
        <f t="array" ref="B284">SUMPRODUCT(--(D284:J284&lt;&gt;""), LEN(TRIM(SUBSTITUTE(D284:J284, CHAR(160), "")))) &amp; " Car."</f>
        <v>0 Car.</v>
      </c>
      <c r="C284" s="1376" t="str">
        <f>IF(ISBLANK(D284),"",LARGE(C13:C283,1)+1)</f>
        <v/>
      </c>
      <c r="D284" s="1833"/>
      <c r="E284" s="1810"/>
      <c r="F284" s="1810"/>
      <c r="G284" s="1810"/>
      <c r="H284" s="1810"/>
      <c r="I284" s="1810"/>
      <c r="J284" s="1810"/>
      <c r="K284" s="1810"/>
      <c r="L284" s="1811"/>
      <c r="M284" s="9"/>
      <c r="N284" s="2252" t="s">
        <v>15</v>
      </c>
      <c r="O284" s="2237"/>
      <c r="P284" s="2237"/>
      <c r="Q284" s="2237"/>
      <c r="R284" s="2237"/>
      <c r="S284" s="2240"/>
      <c r="T284" s="2241"/>
      <c r="U284" s="2239"/>
      <c r="V284" s="2242"/>
      <c r="W284" s="2250"/>
      <c r="X284" s="2244"/>
      <c r="Y284" s="2244"/>
      <c r="Z284" s="2245"/>
      <c r="AA284" s="2246"/>
      <c r="AB284" s="2247"/>
      <c r="AC284" s="2248"/>
      <c r="AD284" s="2249"/>
      <c r="AE284" s="2249"/>
      <c r="AF284" s="2238"/>
      <c r="AG284" s="2264"/>
      <c r="AI284" s="2252" t="s">
        <v>15</v>
      </c>
      <c r="AJ284" s="2237"/>
      <c r="AK284" s="2237"/>
      <c r="AL284" s="2237"/>
      <c r="AM284" s="2237"/>
      <c r="AN284" s="2240"/>
      <c r="AO284" s="2241"/>
      <c r="AP284" s="2239"/>
      <c r="AQ284" s="2242"/>
      <c r="AR284" s="2250"/>
      <c r="AS284" s="2244"/>
      <c r="AT284" s="2244"/>
      <c r="AU284" s="2245"/>
      <c r="AV284" s="2246"/>
      <c r="AW284" s="2247"/>
      <c r="AX284" s="2248"/>
      <c r="AY284" s="2249"/>
      <c r="AZ284" s="2249"/>
      <c r="BA284" s="2238"/>
      <c r="BB284" s="2264"/>
      <c r="BD284" s="2252" t="s">
        <v>15</v>
      </c>
      <c r="BE284" s="2237"/>
      <c r="BF284" s="2237"/>
      <c r="BG284" s="2237"/>
      <c r="BH284" s="2237"/>
      <c r="BI284" s="2240"/>
      <c r="BJ284" s="2241"/>
      <c r="BK284" s="2239"/>
      <c r="BL284" s="2242"/>
      <c r="BM284" s="2250"/>
      <c r="BN284" s="2244"/>
      <c r="BO284" s="2244"/>
      <c r="BP284" s="2245"/>
      <c r="BQ284" s="2246"/>
      <c r="BR284" s="2247"/>
      <c r="BS284" s="2248"/>
      <c r="BT284" s="2249"/>
      <c r="BU284" s="2249"/>
      <c r="BV284" s="2238"/>
      <c r="BW284" s="2264"/>
      <c r="BY284" s="3">
        <v>1</v>
      </c>
    </row>
    <row r="285" spans="2:77" ht="21" customHeight="1">
      <c r="B285" s="2265" t="str" cm="1">
        <f t="array" ref="B285">SUMPRODUCT(--(D285:J285&lt;&gt;""), LEN(TRIM(SUBSTITUTE(D285:J285, CHAR(160), "")))) &amp; " Car."</f>
        <v>0 Car.</v>
      </c>
      <c r="C285" s="1376" t="str">
        <f>IF(ISBLANK(D285),"",LARGE(C13:C284,1)+1)</f>
        <v/>
      </c>
      <c r="D285" s="1833"/>
      <c r="E285" s="1810"/>
      <c r="F285" s="1810"/>
      <c r="G285" s="1810"/>
      <c r="H285" s="1810"/>
      <c r="I285" s="1810"/>
      <c r="J285" s="1810"/>
      <c r="K285" s="1810"/>
      <c r="L285" s="1811"/>
      <c r="M285" s="9"/>
      <c r="N285" s="2252" t="s">
        <v>15</v>
      </c>
      <c r="O285" s="2237"/>
      <c r="P285" s="2237"/>
      <c r="Q285" s="2237"/>
      <c r="R285" s="2237"/>
      <c r="S285" s="2240"/>
      <c r="T285" s="2241"/>
      <c r="U285" s="2239"/>
      <c r="V285" s="2242"/>
      <c r="W285" s="2250"/>
      <c r="X285" s="2244"/>
      <c r="Y285" s="2244"/>
      <c r="Z285" s="2245"/>
      <c r="AA285" s="2246"/>
      <c r="AB285" s="2247"/>
      <c r="AC285" s="2248"/>
      <c r="AD285" s="2249"/>
      <c r="AE285" s="2249"/>
      <c r="AF285" s="2238"/>
      <c r="AG285" s="2264"/>
      <c r="AI285" s="2252" t="s">
        <v>15</v>
      </c>
      <c r="AJ285" s="2237"/>
      <c r="AK285" s="2237"/>
      <c r="AL285" s="2237"/>
      <c r="AM285" s="2237"/>
      <c r="AN285" s="2240"/>
      <c r="AO285" s="2241"/>
      <c r="AP285" s="2239"/>
      <c r="AQ285" s="2242"/>
      <c r="AR285" s="2250"/>
      <c r="AS285" s="2244"/>
      <c r="AT285" s="2244"/>
      <c r="AU285" s="2245"/>
      <c r="AV285" s="2246"/>
      <c r="AW285" s="2247"/>
      <c r="AX285" s="2248"/>
      <c r="AY285" s="2249"/>
      <c r="AZ285" s="2249"/>
      <c r="BA285" s="2238"/>
      <c r="BB285" s="2264"/>
      <c r="BD285" s="2252" t="s">
        <v>15</v>
      </c>
      <c r="BE285" s="2237"/>
      <c r="BF285" s="2237"/>
      <c r="BG285" s="2237"/>
      <c r="BH285" s="2237"/>
      <c r="BI285" s="2240"/>
      <c r="BJ285" s="2241"/>
      <c r="BK285" s="2239"/>
      <c r="BL285" s="2242"/>
      <c r="BM285" s="2250"/>
      <c r="BN285" s="2244"/>
      <c r="BO285" s="2244"/>
      <c r="BP285" s="2245"/>
      <c r="BQ285" s="2246"/>
      <c r="BR285" s="2247"/>
      <c r="BS285" s="2248"/>
      <c r="BT285" s="2249"/>
      <c r="BU285" s="2249"/>
      <c r="BV285" s="2238"/>
      <c r="BW285" s="2264"/>
      <c r="BY285" s="3">
        <v>1</v>
      </c>
    </row>
    <row r="286" spans="2:77" ht="21" customHeight="1">
      <c r="B286" s="2265" t="str" cm="1">
        <f t="array" ref="B286">SUMPRODUCT(--(D286:J286&lt;&gt;""), LEN(TRIM(SUBSTITUTE(D286:J286, CHAR(160), "")))) &amp; " Car."</f>
        <v>0 Car.</v>
      </c>
      <c r="C286" s="1376" t="str">
        <f>IF(ISBLANK(D286),"",LARGE(C13:C285,1)+1)</f>
        <v/>
      </c>
      <c r="D286" s="1833"/>
      <c r="E286" s="1810"/>
      <c r="F286" s="1810"/>
      <c r="G286" s="1810"/>
      <c r="H286" s="1810"/>
      <c r="I286" s="1810"/>
      <c r="J286" s="1810"/>
      <c r="K286" s="1810"/>
      <c r="L286" s="1811"/>
      <c r="M286" s="9"/>
      <c r="N286" s="2252" t="s">
        <v>15</v>
      </c>
      <c r="O286" s="2237"/>
      <c r="P286" s="2237"/>
      <c r="Q286" s="2237"/>
      <c r="R286" s="2237"/>
      <c r="S286" s="2240"/>
      <c r="T286" s="2241"/>
      <c r="U286" s="2239"/>
      <c r="V286" s="2242"/>
      <c r="W286" s="2250"/>
      <c r="X286" s="2244"/>
      <c r="Y286" s="2244"/>
      <c r="Z286" s="2245"/>
      <c r="AA286" s="2246"/>
      <c r="AB286" s="2247"/>
      <c r="AC286" s="2248"/>
      <c r="AD286" s="2249"/>
      <c r="AE286" s="2249"/>
      <c r="AF286" s="2238"/>
      <c r="AG286" s="2264"/>
      <c r="AI286" s="2252" t="s">
        <v>15</v>
      </c>
      <c r="AJ286" s="2237"/>
      <c r="AK286" s="2237"/>
      <c r="AL286" s="2237"/>
      <c r="AM286" s="2237"/>
      <c r="AN286" s="2240"/>
      <c r="AO286" s="2241"/>
      <c r="AP286" s="2239"/>
      <c r="AQ286" s="2242"/>
      <c r="AR286" s="2250"/>
      <c r="AS286" s="2244"/>
      <c r="AT286" s="2244"/>
      <c r="AU286" s="2245"/>
      <c r="AV286" s="2246"/>
      <c r="AW286" s="2247"/>
      <c r="AX286" s="2248"/>
      <c r="AY286" s="2249"/>
      <c r="AZ286" s="2249"/>
      <c r="BA286" s="2238"/>
      <c r="BB286" s="2264"/>
      <c r="BD286" s="2252" t="s">
        <v>15</v>
      </c>
      <c r="BE286" s="2237"/>
      <c r="BF286" s="2237"/>
      <c r="BG286" s="2237"/>
      <c r="BH286" s="2237"/>
      <c r="BI286" s="2240"/>
      <c r="BJ286" s="2241"/>
      <c r="BK286" s="2239"/>
      <c r="BL286" s="2242"/>
      <c r="BM286" s="2250"/>
      <c r="BN286" s="2244"/>
      <c r="BO286" s="2244"/>
      <c r="BP286" s="2245"/>
      <c r="BQ286" s="2246"/>
      <c r="BR286" s="2247"/>
      <c r="BS286" s="2248"/>
      <c r="BT286" s="2249"/>
      <c r="BU286" s="2249"/>
      <c r="BV286" s="2238"/>
      <c r="BW286" s="2264"/>
      <c r="BY286" s="3">
        <v>1</v>
      </c>
    </row>
    <row r="287" spans="2:77" ht="21" customHeight="1">
      <c r="B287" s="2265" t="str" cm="1">
        <f t="array" ref="B287">SUMPRODUCT(--(D287:J287&lt;&gt;""), LEN(TRIM(SUBSTITUTE(D287:J287, CHAR(160), "")))) &amp; " Car."</f>
        <v>0 Car.</v>
      </c>
      <c r="C287" s="1376" t="str">
        <f>IF(ISBLANK(D287),"",LARGE(C13:C286,1)+1)</f>
        <v/>
      </c>
      <c r="D287" s="1833"/>
      <c r="E287" s="1810"/>
      <c r="F287" s="1810"/>
      <c r="G287" s="1810"/>
      <c r="H287" s="1810"/>
      <c r="I287" s="1810"/>
      <c r="J287" s="1810"/>
      <c r="K287" s="1810"/>
      <c r="L287" s="1811"/>
      <c r="M287" s="9"/>
      <c r="N287" s="2252" t="s">
        <v>15</v>
      </c>
      <c r="O287" s="2237"/>
      <c r="P287" s="2237"/>
      <c r="Q287" s="2237"/>
      <c r="R287" s="2237"/>
      <c r="S287" s="2240"/>
      <c r="T287" s="2241"/>
      <c r="U287" s="2239"/>
      <c r="V287" s="2242"/>
      <c r="W287" s="2250"/>
      <c r="X287" s="2244"/>
      <c r="Y287" s="2244"/>
      <c r="Z287" s="2245"/>
      <c r="AA287" s="2246"/>
      <c r="AB287" s="2247"/>
      <c r="AC287" s="2248"/>
      <c r="AD287" s="2249"/>
      <c r="AE287" s="2249"/>
      <c r="AF287" s="2238"/>
      <c r="AG287" s="2264"/>
      <c r="AI287" s="2252" t="s">
        <v>15</v>
      </c>
      <c r="AJ287" s="2237"/>
      <c r="AK287" s="2237"/>
      <c r="AL287" s="2237"/>
      <c r="AM287" s="2237"/>
      <c r="AN287" s="2240"/>
      <c r="AO287" s="2241"/>
      <c r="AP287" s="2239"/>
      <c r="AQ287" s="2242"/>
      <c r="AR287" s="2250"/>
      <c r="AS287" s="2244"/>
      <c r="AT287" s="2244"/>
      <c r="AU287" s="2245"/>
      <c r="AV287" s="2246"/>
      <c r="AW287" s="2247"/>
      <c r="AX287" s="2248"/>
      <c r="AY287" s="2249"/>
      <c r="AZ287" s="2249"/>
      <c r="BA287" s="2238"/>
      <c r="BB287" s="2264"/>
      <c r="BD287" s="2252" t="s">
        <v>15</v>
      </c>
      <c r="BE287" s="2237"/>
      <c r="BF287" s="2237"/>
      <c r="BG287" s="2237"/>
      <c r="BH287" s="2237"/>
      <c r="BI287" s="2240"/>
      <c r="BJ287" s="2241"/>
      <c r="BK287" s="2239"/>
      <c r="BL287" s="2242"/>
      <c r="BM287" s="2250"/>
      <c r="BN287" s="2244"/>
      <c r="BO287" s="2244"/>
      <c r="BP287" s="2245"/>
      <c r="BQ287" s="2246"/>
      <c r="BR287" s="2247"/>
      <c r="BS287" s="2248"/>
      <c r="BT287" s="2249"/>
      <c r="BU287" s="2249"/>
      <c r="BV287" s="2238"/>
      <c r="BW287" s="2264"/>
      <c r="BY287" s="3">
        <v>1</v>
      </c>
    </row>
    <row r="288" spans="2:77" ht="21" customHeight="1">
      <c r="B288" s="2265" t="str" cm="1">
        <f t="array" ref="B288">SUMPRODUCT(--(D288:J288&lt;&gt;""), LEN(TRIM(SUBSTITUTE(D288:J288, CHAR(160), "")))) &amp; " Car."</f>
        <v>0 Car.</v>
      </c>
      <c r="C288" s="1376" t="str">
        <f>IF(ISBLANK(D288),"",LARGE(C13:C287,1)+1)</f>
        <v/>
      </c>
      <c r="D288" s="1833"/>
      <c r="E288" s="1810"/>
      <c r="F288" s="1810"/>
      <c r="G288" s="1810"/>
      <c r="H288" s="1810"/>
      <c r="I288" s="1810"/>
      <c r="J288" s="1810"/>
      <c r="K288" s="1810"/>
      <c r="L288" s="1811"/>
      <c r="M288" s="9"/>
      <c r="N288" s="2252" t="s">
        <v>15</v>
      </c>
      <c r="O288" s="2237"/>
      <c r="P288" s="2237"/>
      <c r="Q288" s="2237"/>
      <c r="R288" s="2237"/>
      <c r="S288" s="2240"/>
      <c r="T288" s="2241"/>
      <c r="U288" s="2239"/>
      <c r="V288" s="2242"/>
      <c r="W288" s="2250"/>
      <c r="X288" s="2244"/>
      <c r="Y288" s="2244"/>
      <c r="Z288" s="2245"/>
      <c r="AA288" s="2246"/>
      <c r="AB288" s="2247"/>
      <c r="AC288" s="2248"/>
      <c r="AD288" s="2249"/>
      <c r="AE288" s="2249"/>
      <c r="AF288" s="2238"/>
      <c r="AG288" s="2264"/>
      <c r="AI288" s="2252" t="s">
        <v>15</v>
      </c>
      <c r="AJ288" s="2237"/>
      <c r="AK288" s="2237"/>
      <c r="AL288" s="2237"/>
      <c r="AM288" s="2237"/>
      <c r="AN288" s="2240"/>
      <c r="AO288" s="2241"/>
      <c r="AP288" s="2239"/>
      <c r="AQ288" s="2242"/>
      <c r="AR288" s="2250"/>
      <c r="AS288" s="2244"/>
      <c r="AT288" s="2244"/>
      <c r="AU288" s="2245"/>
      <c r="AV288" s="2246"/>
      <c r="AW288" s="2247"/>
      <c r="AX288" s="2248"/>
      <c r="AY288" s="2249"/>
      <c r="AZ288" s="2249"/>
      <c r="BA288" s="2238"/>
      <c r="BB288" s="2264"/>
      <c r="BD288" s="2252" t="s">
        <v>15</v>
      </c>
      <c r="BE288" s="2237"/>
      <c r="BF288" s="2237"/>
      <c r="BG288" s="2237"/>
      <c r="BH288" s="2237"/>
      <c r="BI288" s="2240"/>
      <c r="BJ288" s="2241"/>
      <c r="BK288" s="2239"/>
      <c r="BL288" s="2242"/>
      <c r="BM288" s="2250"/>
      <c r="BN288" s="2244"/>
      <c r="BO288" s="2244"/>
      <c r="BP288" s="2245"/>
      <c r="BQ288" s="2246"/>
      <c r="BR288" s="2247"/>
      <c r="BS288" s="2248"/>
      <c r="BT288" s="2249"/>
      <c r="BU288" s="2249"/>
      <c r="BV288" s="2238"/>
      <c r="BW288" s="2264"/>
      <c r="BY288" s="3">
        <v>1</v>
      </c>
    </row>
    <row r="289" spans="2:77" ht="21" customHeight="1">
      <c r="B289" s="2265" t="str" cm="1">
        <f t="array" ref="B289">SUMPRODUCT(--(D289:J289&lt;&gt;""), LEN(TRIM(SUBSTITUTE(D289:J289, CHAR(160), "")))) &amp; " Car."</f>
        <v>0 Car.</v>
      </c>
      <c r="C289" s="1376" t="str">
        <f>IF(ISBLANK(D289),"",LARGE(C13:C288,1)+1)</f>
        <v/>
      </c>
      <c r="D289" s="1833"/>
      <c r="E289" s="1810"/>
      <c r="F289" s="1810"/>
      <c r="G289" s="1810"/>
      <c r="H289" s="1810"/>
      <c r="I289" s="1810"/>
      <c r="J289" s="1810"/>
      <c r="K289" s="1810"/>
      <c r="L289" s="1811"/>
      <c r="M289" s="9"/>
      <c r="N289" s="2252" t="s">
        <v>15</v>
      </c>
      <c r="O289" s="2237"/>
      <c r="P289" s="2237"/>
      <c r="Q289" s="2237"/>
      <c r="R289" s="2237"/>
      <c r="S289" s="2240"/>
      <c r="T289" s="2241"/>
      <c r="U289" s="2239"/>
      <c r="V289" s="2242"/>
      <c r="W289" s="2250"/>
      <c r="X289" s="2244"/>
      <c r="Y289" s="2244"/>
      <c r="Z289" s="2245"/>
      <c r="AA289" s="2246"/>
      <c r="AB289" s="2247"/>
      <c r="AC289" s="2248"/>
      <c r="AD289" s="2249"/>
      <c r="AE289" s="2249"/>
      <c r="AF289" s="2238"/>
      <c r="AG289" s="2264"/>
      <c r="AI289" s="2252" t="s">
        <v>15</v>
      </c>
      <c r="AJ289" s="2237"/>
      <c r="AK289" s="2237"/>
      <c r="AL289" s="2237"/>
      <c r="AM289" s="2237"/>
      <c r="AN289" s="2240"/>
      <c r="AO289" s="2241"/>
      <c r="AP289" s="2239"/>
      <c r="AQ289" s="2242"/>
      <c r="AR289" s="2250"/>
      <c r="AS289" s="2244"/>
      <c r="AT289" s="2244"/>
      <c r="AU289" s="2245"/>
      <c r="AV289" s="2246"/>
      <c r="AW289" s="2247"/>
      <c r="AX289" s="2248"/>
      <c r="AY289" s="2249"/>
      <c r="AZ289" s="2249"/>
      <c r="BA289" s="2238"/>
      <c r="BB289" s="2264"/>
      <c r="BD289" s="2252" t="s">
        <v>15</v>
      </c>
      <c r="BE289" s="2237"/>
      <c r="BF289" s="2237"/>
      <c r="BG289" s="2237"/>
      <c r="BH289" s="2237"/>
      <c r="BI289" s="2240"/>
      <c r="BJ289" s="2241"/>
      <c r="BK289" s="2239"/>
      <c r="BL289" s="2242"/>
      <c r="BM289" s="2250"/>
      <c r="BN289" s="2244"/>
      <c r="BO289" s="2244"/>
      <c r="BP289" s="2245"/>
      <c r="BQ289" s="2246"/>
      <c r="BR289" s="2247"/>
      <c r="BS289" s="2248"/>
      <c r="BT289" s="2249"/>
      <c r="BU289" s="2249"/>
      <c r="BV289" s="2238"/>
      <c r="BW289" s="2264"/>
      <c r="BY289" s="3">
        <v>1</v>
      </c>
    </row>
    <row r="290" spans="2:77" ht="21" customHeight="1">
      <c r="B290" s="2265" t="str" cm="1">
        <f t="array" ref="B290">SUMPRODUCT(--(D290:J290&lt;&gt;""), LEN(TRIM(SUBSTITUTE(D290:J290, CHAR(160), "")))) &amp; " Car."</f>
        <v>0 Car.</v>
      </c>
      <c r="C290" s="1376" t="str">
        <f>IF(ISBLANK(D290),"",LARGE(C13:C289,1)+1)</f>
        <v/>
      </c>
      <c r="D290" s="1833"/>
      <c r="E290" s="1810"/>
      <c r="F290" s="1810"/>
      <c r="G290" s="1810"/>
      <c r="H290" s="1810"/>
      <c r="I290" s="1810"/>
      <c r="J290" s="1810"/>
      <c r="K290" s="1810"/>
      <c r="L290" s="1811"/>
      <c r="M290" s="9"/>
      <c r="N290" s="2252" t="s">
        <v>15</v>
      </c>
      <c r="O290" s="2237"/>
      <c r="P290" s="2237"/>
      <c r="Q290" s="2237"/>
      <c r="R290" s="2237"/>
      <c r="S290" s="2240"/>
      <c r="T290" s="2241"/>
      <c r="U290" s="2239"/>
      <c r="V290" s="2242"/>
      <c r="W290" s="2250"/>
      <c r="X290" s="2244"/>
      <c r="Y290" s="2244"/>
      <c r="Z290" s="2245"/>
      <c r="AA290" s="2246"/>
      <c r="AB290" s="2247"/>
      <c r="AC290" s="2248"/>
      <c r="AD290" s="2249"/>
      <c r="AE290" s="2249"/>
      <c r="AF290" s="2238"/>
      <c r="AG290" s="2264"/>
      <c r="AI290" s="2252" t="s">
        <v>15</v>
      </c>
      <c r="AJ290" s="2237"/>
      <c r="AK290" s="2237"/>
      <c r="AL290" s="2237"/>
      <c r="AM290" s="2237"/>
      <c r="AN290" s="2240"/>
      <c r="AO290" s="2241"/>
      <c r="AP290" s="2239"/>
      <c r="AQ290" s="2242"/>
      <c r="AR290" s="2250"/>
      <c r="AS290" s="2244"/>
      <c r="AT290" s="2244"/>
      <c r="AU290" s="2245"/>
      <c r="AV290" s="2246"/>
      <c r="AW290" s="2247"/>
      <c r="AX290" s="2248"/>
      <c r="AY290" s="2249"/>
      <c r="AZ290" s="2249"/>
      <c r="BA290" s="2238"/>
      <c r="BB290" s="2264"/>
      <c r="BD290" s="2252" t="s">
        <v>15</v>
      </c>
      <c r="BE290" s="2237"/>
      <c r="BF290" s="2237"/>
      <c r="BG290" s="2237"/>
      <c r="BH290" s="2237"/>
      <c r="BI290" s="2240"/>
      <c r="BJ290" s="2241"/>
      <c r="BK290" s="2239"/>
      <c r="BL290" s="2242"/>
      <c r="BM290" s="2250"/>
      <c r="BN290" s="2244"/>
      <c r="BO290" s="2244"/>
      <c r="BP290" s="2245"/>
      <c r="BQ290" s="2246"/>
      <c r="BR290" s="2247"/>
      <c r="BS290" s="2248"/>
      <c r="BT290" s="2249"/>
      <c r="BU290" s="2249"/>
      <c r="BV290" s="2238"/>
      <c r="BW290" s="2264"/>
      <c r="BY290" s="3">
        <v>1</v>
      </c>
    </row>
    <row r="291" spans="2:77" ht="21" customHeight="1">
      <c r="B291" s="2265" t="str" cm="1">
        <f t="array" ref="B291">SUMPRODUCT(--(D291:J291&lt;&gt;""), LEN(TRIM(SUBSTITUTE(D291:J291, CHAR(160), "")))) &amp; " Car."</f>
        <v>0 Car.</v>
      </c>
      <c r="C291" s="1376" t="str">
        <f>IF(ISBLANK(D291),"",LARGE(C13:C290,1)+1)</f>
        <v/>
      </c>
      <c r="D291" s="1833"/>
      <c r="E291" s="1810"/>
      <c r="F291" s="1810"/>
      <c r="G291" s="1810"/>
      <c r="H291" s="1810"/>
      <c r="I291" s="1810"/>
      <c r="J291" s="1810"/>
      <c r="K291" s="1810"/>
      <c r="L291" s="1811"/>
      <c r="M291" s="9"/>
      <c r="N291" s="2252" t="s">
        <v>15</v>
      </c>
      <c r="O291" s="2237"/>
      <c r="P291" s="2237"/>
      <c r="Q291" s="2237"/>
      <c r="R291" s="2237"/>
      <c r="S291" s="2240"/>
      <c r="T291" s="2241"/>
      <c r="U291" s="2239"/>
      <c r="V291" s="2242"/>
      <c r="W291" s="2250"/>
      <c r="X291" s="2244"/>
      <c r="Y291" s="2244"/>
      <c r="Z291" s="2245"/>
      <c r="AA291" s="2246"/>
      <c r="AB291" s="2247"/>
      <c r="AC291" s="2248"/>
      <c r="AD291" s="2249"/>
      <c r="AE291" s="2249"/>
      <c r="AF291" s="2238"/>
      <c r="AG291" s="2264"/>
      <c r="AI291" s="2252" t="s">
        <v>15</v>
      </c>
      <c r="AJ291" s="2237"/>
      <c r="AK291" s="2237"/>
      <c r="AL291" s="2237"/>
      <c r="AM291" s="2237"/>
      <c r="AN291" s="2240"/>
      <c r="AO291" s="2241"/>
      <c r="AP291" s="2239"/>
      <c r="AQ291" s="2242"/>
      <c r="AR291" s="2250"/>
      <c r="AS291" s="2244"/>
      <c r="AT291" s="2244"/>
      <c r="AU291" s="2245"/>
      <c r="AV291" s="2246"/>
      <c r="AW291" s="2247"/>
      <c r="AX291" s="2248"/>
      <c r="AY291" s="2249"/>
      <c r="AZ291" s="2249"/>
      <c r="BA291" s="2238"/>
      <c r="BB291" s="2264"/>
      <c r="BD291" s="2252" t="s">
        <v>15</v>
      </c>
      <c r="BE291" s="2237"/>
      <c r="BF291" s="2237"/>
      <c r="BG291" s="2237"/>
      <c r="BH291" s="2237"/>
      <c r="BI291" s="2240"/>
      <c r="BJ291" s="2241"/>
      <c r="BK291" s="2239"/>
      <c r="BL291" s="2242"/>
      <c r="BM291" s="2250"/>
      <c r="BN291" s="2244"/>
      <c r="BO291" s="2244"/>
      <c r="BP291" s="2245"/>
      <c r="BQ291" s="2246"/>
      <c r="BR291" s="2247"/>
      <c r="BS291" s="2248"/>
      <c r="BT291" s="2249"/>
      <c r="BU291" s="2249"/>
      <c r="BV291" s="2238"/>
      <c r="BW291" s="2264"/>
      <c r="BY291" s="3">
        <v>1</v>
      </c>
    </row>
    <row r="292" spans="2:77" ht="21" customHeight="1">
      <c r="B292" s="2265" t="str" cm="1">
        <f t="array" ref="B292">SUMPRODUCT(--(D292:J292&lt;&gt;""), LEN(TRIM(SUBSTITUTE(D292:J292, CHAR(160), "")))) &amp; " Car."</f>
        <v>0 Car.</v>
      </c>
      <c r="C292" s="1376" t="str">
        <f>IF(ISBLANK(D292),"",LARGE(C13:C291,1)+1)</f>
        <v/>
      </c>
      <c r="D292" s="1833"/>
      <c r="E292" s="1810"/>
      <c r="F292" s="1810"/>
      <c r="G292" s="1810"/>
      <c r="H292" s="1810"/>
      <c r="I292" s="1810"/>
      <c r="J292" s="1810"/>
      <c r="K292" s="1810"/>
      <c r="L292" s="1811"/>
      <c r="M292" s="9"/>
      <c r="N292" s="2252" t="s">
        <v>15</v>
      </c>
      <c r="O292" s="2237"/>
      <c r="P292" s="2237"/>
      <c r="Q292" s="2237"/>
      <c r="R292" s="2237"/>
      <c r="S292" s="2240"/>
      <c r="T292" s="2241"/>
      <c r="U292" s="2239"/>
      <c r="V292" s="2242"/>
      <c r="W292" s="2250"/>
      <c r="X292" s="2244"/>
      <c r="Y292" s="2244"/>
      <c r="Z292" s="2245"/>
      <c r="AA292" s="2246"/>
      <c r="AB292" s="2247"/>
      <c r="AC292" s="2248"/>
      <c r="AD292" s="2249"/>
      <c r="AE292" s="2249"/>
      <c r="AF292" s="2238"/>
      <c r="AG292" s="2264"/>
      <c r="AI292" s="2252" t="s">
        <v>15</v>
      </c>
      <c r="AJ292" s="2237"/>
      <c r="AK292" s="2237"/>
      <c r="AL292" s="2237"/>
      <c r="AM292" s="2237"/>
      <c r="AN292" s="2240"/>
      <c r="AO292" s="2241"/>
      <c r="AP292" s="2239"/>
      <c r="AQ292" s="2242"/>
      <c r="AR292" s="2250"/>
      <c r="AS292" s="2244"/>
      <c r="AT292" s="2244"/>
      <c r="AU292" s="2245"/>
      <c r="AV292" s="2246"/>
      <c r="AW292" s="2247"/>
      <c r="AX292" s="2248"/>
      <c r="AY292" s="2249"/>
      <c r="AZ292" s="2249"/>
      <c r="BA292" s="2238"/>
      <c r="BB292" s="2264"/>
      <c r="BD292" s="2252" t="s">
        <v>15</v>
      </c>
      <c r="BE292" s="2237"/>
      <c r="BF292" s="2237"/>
      <c r="BG292" s="2237"/>
      <c r="BH292" s="2237"/>
      <c r="BI292" s="2240"/>
      <c r="BJ292" s="2241"/>
      <c r="BK292" s="2239"/>
      <c r="BL292" s="2242"/>
      <c r="BM292" s="2250"/>
      <c r="BN292" s="2244"/>
      <c r="BO292" s="2244"/>
      <c r="BP292" s="2245"/>
      <c r="BQ292" s="2246"/>
      <c r="BR292" s="2247"/>
      <c r="BS292" s="2248"/>
      <c r="BT292" s="2249"/>
      <c r="BU292" s="2249"/>
      <c r="BV292" s="2238"/>
      <c r="BW292" s="2264"/>
      <c r="BY292" s="3">
        <v>1</v>
      </c>
    </row>
    <row r="293" spans="2:77" ht="21" customHeight="1">
      <c r="B293" s="2265" t="str" cm="1">
        <f t="array" ref="B293">SUMPRODUCT(--(D293:J293&lt;&gt;""), LEN(TRIM(SUBSTITUTE(D293:J293, CHAR(160), "")))) &amp; " Car."</f>
        <v>0 Car.</v>
      </c>
      <c r="C293" s="1376" t="str">
        <f>IF(ISBLANK(D293),"",LARGE(C13:C292,1)+1)</f>
        <v/>
      </c>
      <c r="D293" s="1833"/>
      <c r="E293" s="1810"/>
      <c r="F293" s="1810"/>
      <c r="G293" s="1810"/>
      <c r="H293" s="1810"/>
      <c r="I293" s="1810"/>
      <c r="J293" s="1810"/>
      <c r="K293" s="1810"/>
      <c r="L293" s="1811"/>
      <c r="M293" s="9"/>
      <c r="N293" s="2252" t="s">
        <v>15</v>
      </c>
      <c r="O293" s="2237"/>
      <c r="P293" s="2237"/>
      <c r="Q293" s="2237"/>
      <c r="R293" s="2237"/>
      <c r="S293" s="2240"/>
      <c r="T293" s="2241"/>
      <c r="U293" s="2239"/>
      <c r="V293" s="2242"/>
      <c r="W293" s="2250"/>
      <c r="X293" s="2244"/>
      <c r="Y293" s="2244"/>
      <c r="Z293" s="2245"/>
      <c r="AA293" s="2246"/>
      <c r="AB293" s="2247"/>
      <c r="AC293" s="2248"/>
      <c r="AD293" s="2249"/>
      <c r="AE293" s="2249"/>
      <c r="AF293" s="2238"/>
      <c r="AG293" s="2264"/>
      <c r="AI293" s="2252" t="s">
        <v>15</v>
      </c>
      <c r="AJ293" s="2237"/>
      <c r="AK293" s="2237"/>
      <c r="AL293" s="2237"/>
      <c r="AM293" s="2237"/>
      <c r="AN293" s="2240"/>
      <c r="AO293" s="2241"/>
      <c r="AP293" s="2239"/>
      <c r="AQ293" s="2242"/>
      <c r="AR293" s="2250"/>
      <c r="AS293" s="2244"/>
      <c r="AT293" s="2244"/>
      <c r="AU293" s="2245"/>
      <c r="AV293" s="2246"/>
      <c r="AW293" s="2247"/>
      <c r="AX293" s="2248"/>
      <c r="AY293" s="2249"/>
      <c r="AZ293" s="2249"/>
      <c r="BA293" s="2238"/>
      <c r="BB293" s="2264"/>
      <c r="BD293" s="2252" t="s">
        <v>15</v>
      </c>
      <c r="BE293" s="2237"/>
      <c r="BF293" s="2237"/>
      <c r="BG293" s="2237"/>
      <c r="BH293" s="2237"/>
      <c r="BI293" s="2240"/>
      <c r="BJ293" s="2241"/>
      <c r="BK293" s="2239"/>
      <c r="BL293" s="2242"/>
      <c r="BM293" s="2250"/>
      <c r="BN293" s="2244"/>
      <c r="BO293" s="2244"/>
      <c r="BP293" s="2245"/>
      <c r="BQ293" s="2246"/>
      <c r="BR293" s="2247"/>
      <c r="BS293" s="2248"/>
      <c r="BT293" s="2249"/>
      <c r="BU293" s="2249"/>
      <c r="BV293" s="2238"/>
      <c r="BW293" s="2264"/>
      <c r="BY293" s="3">
        <v>1</v>
      </c>
    </row>
    <row r="294" spans="2:77" ht="21" customHeight="1">
      <c r="B294" s="2265" t="str" cm="1">
        <f t="array" ref="B294">SUMPRODUCT(--(D294:J294&lt;&gt;""), LEN(TRIM(SUBSTITUTE(D294:J294, CHAR(160), "")))) &amp; " Car."</f>
        <v>0 Car.</v>
      </c>
      <c r="C294" s="1376" t="str">
        <f>IF(ISBLANK(D294),"",LARGE(C13:C293,1)+1)</f>
        <v/>
      </c>
      <c r="D294" s="1833"/>
      <c r="E294" s="1810"/>
      <c r="F294" s="1810"/>
      <c r="G294" s="1810"/>
      <c r="H294" s="1810"/>
      <c r="I294" s="1810"/>
      <c r="J294" s="1810"/>
      <c r="K294" s="1810"/>
      <c r="L294" s="1811"/>
      <c r="M294" s="9"/>
      <c r="N294" s="2252" t="s">
        <v>15</v>
      </c>
      <c r="O294" s="2237"/>
      <c r="P294" s="2237"/>
      <c r="Q294" s="2237"/>
      <c r="R294" s="2237"/>
      <c r="S294" s="2240"/>
      <c r="T294" s="2241"/>
      <c r="U294" s="2239"/>
      <c r="V294" s="2242"/>
      <c r="W294" s="2250"/>
      <c r="X294" s="2244"/>
      <c r="Y294" s="2244"/>
      <c r="Z294" s="2245"/>
      <c r="AA294" s="2246"/>
      <c r="AB294" s="2247"/>
      <c r="AC294" s="2248"/>
      <c r="AD294" s="2249"/>
      <c r="AE294" s="2249"/>
      <c r="AF294" s="2238"/>
      <c r="AG294" s="2264"/>
      <c r="AI294" s="2252" t="s">
        <v>15</v>
      </c>
      <c r="AJ294" s="2237"/>
      <c r="AK294" s="2237"/>
      <c r="AL294" s="2237"/>
      <c r="AM294" s="2237"/>
      <c r="AN294" s="2240"/>
      <c r="AO294" s="2241"/>
      <c r="AP294" s="2239"/>
      <c r="AQ294" s="2242"/>
      <c r="AR294" s="2250"/>
      <c r="AS294" s="2244"/>
      <c r="AT294" s="2244"/>
      <c r="AU294" s="2245"/>
      <c r="AV294" s="2246"/>
      <c r="AW294" s="2247"/>
      <c r="AX294" s="2248"/>
      <c r="AY294" s="2249"/>
      <c r="AZ294" s="2249"/>
      <c r="BA294" s="2238"/>
      <c r="BB294" s="2264"/>
      <c r="BD294" s="2252" t="s">
        <v>15</v>
      </c>
      <c r="BE294" s="2237"/>
      <c r="BF294" s="2237"/>
      <c r="BG294" s="2237"/>
      <c r="BH294" s="2237"/>
      <c r="BI294" s="2240"/>
      <c r="BJ294" s="2241"/>
      <c r="BK294" s="2239"/>
      <c r="BL294" s="2242"/>
      <c r="BM294" s="2250"/>
      <c r="BN294" s="2244"/>
      <c r="BO294" s="2244"/>
      <c r="BP294" s="2245"/>
      <c r="BQ294" s="2246"/>
      <c r="BR294" s="2247"/>
      <c r="BS294" s="2248"/>
      <c r="BT294" s="2249"/>
      <c r="BU294" s="2249"/>
      <c r="BV294" s="2238"/>
      <c r="BW294" s="2264"/>
      <c r="BY294" s="3">
        <v>1</v>
      </c>
    </row>
    <row r="295" spans="2:77" ht="21" customHeight="1">
      <c r="B295" s="2265" t="str" cm="1">
        <f t="array" ref="B295">SUMPRODUCT(--(D295:J295&lt;&gt;""), LEN(TRIM(SUBSTITUTE(D295:J295, CHAR(160), "")))) &amp; " Car."</f>
        <v>0 Car.</v>
      </c>
      <c r="C295" s="1376" t="str">
        <f>IF(ISBLANK(D295),"",LARGE(C13:C294,1)+1)</f>
        <v/>
      </c>
      <c r="D295" s="1833"/>
      <c r="E295" s="1810"/>
      <c r="F295" s="1810"/>
      <c r="G295" s="1810"/>
      <c r="H295" s="1810"/>
      <c r="I295" s="1810"/>
      <c r="J295" s="1810"/>
      <c r="K295" s="1810"/>
      <c r="L295" s="1811"/>
      <c r="M295" s="9"/>
      <c r="N295" s="2252" t="s">
        <v>15</v>
      </c>
      <c r="O295" s="2237"/>
      <c r="P295" s="2237"/>
      <c r="Q295" s="2237"/>
      <c r="R295" s="2237"/>
      <c r="S295" s="2240"/>
      <c r="T295" s="2241"/>
      <c r="U295" s="2239"/>
      <c r="V295" s="2242"/>
      <c r="W295" s="2250"/>
      <c r="X295" s="2244"/>
      <c r="Y295" s="2244"/>
      <c r="Z295" s="2245"/>
      <c r="AA295" s="2246"/>
      <c r="AB295" s="2247"/>
      <c r="AC295" s="2248"/>
      <c r="AD295" s="2249"/>
      <c r="AE295" s="2249"/>
      <c r="AF295" s="2238"/>
      <c r="AG295" s="2264"/>
      <c r="AI295" s="2252" t="s">
        <v>15</v>
      </c>
      <c r="AJ295" s="2237"/>
      <c r="AK295" s="2237"/>
      <c r="AL295" s="2237"/>
      <c r="AM295" s="2237"/>
      <c r="AN295" s="2240"/>
      <c r="AO295" s="2241"/>
      <c r="AP295" s="2239"/>
      <c r="AQ295" s="2242"/>
      <c r="AR295" s="2250"/>
      <c r="AS295" s="2244"/>
      <c r="AT295" s="2244"/>
      <c r="AU295" s="2245"/>
      <c r="AV295" s="2246"/>
      <c r="AW295" s="2247"/>
      <c r="AX295" s="2248"/>
      <c r="AY295" s="2249"/>
      <c r="AZ295" s="2249"/>
      <c r="BA295" s="2238"/>
      <c r="BB295" s="2264"/>
      <c r="BD295" s="2252" t="s">
        <v>15</v>
      </c>
      <c r="BE295" s="2237"/>
      <c r="BF295" s="2237"/>
      <c r="BG295" s="2237"/>
      <c r="BH295" s="2237"/>
      <c r="BI295" s="2240"/>
      <c r="BJ295" s="2241"/>
      <c r="BK295" s="2239"/>
      <c r="BL295" s="2242"/>
      <c r="BM295" s="2250"/>
      <c r="BN295" s="2244"/>
      <c r="BO295" s="2244"/>
      <c r="BP295" s="2245"/>
      <c r="BQ295" s="2246"/>
      <c r="BR295" s="2247"/>
      <c r="BS295" s="2248"/>
      <c r="BT295" s="2249"/>
      <c r="BU295" s="2249"/>
      <c r="BV295" s="2238"/>
      <c r="BW295" s="2264"/>
      <c r="BY295" s="3">
        <v>1</v>
      </c>
    </row>
    <row r="296" spans="2:77" ht="21" customHeight="1">
      <c r="B296" s="2265" t="str" cm="1">
        <f t="array" ref="B296">SUMPRODUCT(--(D296:J296&lt;&gt;""), LEN(TRIM(SUBSTITUTE(D296:J296, CHAR(160), "")))) &amp; " Car."</f>
        <v>0 Car.</v>
      </c>
      <c r="C296" s="1376" t="str">
        <f>IF(ISBLANK(D296),"",LARGE(C13:C295,1)+1)</f>
        <v/>
      </c>
      <c r="D296" s="1833"/>
      <c r="E296" s="1810"/>
      <c r="F296" s="1810"/>
      <c r="G296" s="1810"/>
      <c r="H296" s="1810"/>
      <c r="I296" s="1810"/>
      <c r="J296" s="1810"/>
      <c r="K296" s="1810"/>
      <c r="L296" s="1811"/>
      <c r="M296" s="9"/>
      <c r="N296" s="2252" t="s">
        <v>15</v>
      </c>
      <c r="O296" s="2237"/>
      <c r="P296" s="2237"/>
      <c r="Q296" s="2237"/>
      <c r="R296" s="2237"/>
      <c r="S296" s="2240"/>
      <c r="T296" s="2241"/>
      <c r="U296" s="2239"/>
      <c r="V296" s="2242"/>
      <c r="W296" s="2250"/>
      <c r="X296" s="2244"/>
      <c r="Y296" s="2244"/>
      <c r="Z296" s="2245"/>
      <c r="AA296" s="2246"/>
      <c r="AB296" s="2247"/>
      <c r="AC296" s="2248"/>
      <c r="AD296" s="2249"/>
      <c r="AE296" s="2249"/>
      <c r="AF296" s="2238"/>
      <c r="AG296" s="2264"/>
      <c r="AI296" s="2252" t="s">
        <v>15</v>
      </c>
      <c r="AJ296" s="2237"/>
      <c r="AK296" s="2237"/>
      <c r="AL296" s="2237"/>
      <c r="AM296" s="2237"/>
      <c r="AN296" s="2240"/>
      <c r="AO296" s="2241"/>
      <c r="AP296" s="2239"/>
      <c r="AQ296" s="2242"/>
      <c r="AR296" s="2250"/>
      <c r="AS296" s="2244"/>
      <c r="AT296" s="2244"/>
      <c r="AU296" s="2245"/>
      <c r="AV296" s="2246"/>
      <c r="AW296" s="2247"/>
      <c r="AX296" s="2248"/>
      <c r="AY296" s="2249"/>
      <c r="AZ296" s="2249"/>
      <c r="BA296" s="2238"/>
      <c r="BB296" s="2264"/>
      <c r="BD296" s="2252" t="s">
        <v>15</v>
      </c>
      <c r="BE296" s="2237"/>
      <c r="BF296" s="2237"/>
      <c r="BG296" s="2237"/>
      <c r="BH296" s="2237"/>
      <c r="BI296" s="2240"/>
      <c r="BJ296" s="2241"/>
      <c r="BK296" s="2239"/>
      <c r="BL296" s="2242"/>
      <c r="BM296" s="2250"/>
      <c r="BN296" s="2244"/>
      <c r="BO296" s="2244"/>
      <c r="BP296" s="2245"/>
      <c r="BQ296" s="2246"/>
      <c r="BR296" s="2247"/>
      <c r="BS296" s="2248"/>
      <c r="BT296" s="2249"/>
      <c r="BU296" s="2249"/>
      <c r="BV296" s="2238"/>
      <c r="BW296" s="2264"/>
      <c r="BY296" s="3">
        <v>1</v>
      </c>
    </row>
    <row r="297" spans="2:77" ht="21" customHeight="1">
      <c r="B297" s="2265" t="str" cm="1">
        <f t="array" ref="B297">SUMPRODUCT(--(D297:J297&lt;&gt;""), LEN(TRIM(SUBSTITUTE(D297:J297, CHAR(160), "")))) &amp; " Car."</f>
        <v>0 Car.</v>
      </c>
      <c r="C297" s="1376" t="str">
        <f>IF(ISBLANK(D297),"",LARGE(C13:C296,1)+1)</f>
        <v/>
      </c>
      <c r="D297" s="1833"/>
      <c r="E297" s="1810"/>
      <c r="F297" s="1810"/>
      <c r="G297" s="1810"/>
      <c r="H297" s="1810"/>
      <c r="I297" s="1810"/>
      <c r="J297" s="1810"/>
      <c r="K297" s="1810"/>
      <c r="L297" s="1811"/>
      <c r="M297" s="9"/>
      <c r="N297" s="2252" t="s">
        <v>15</v>
      </c>
      <c r="O297" s="2237"/>
      <c r="P297" s="2237"/>
      <c r="Q297" s="2237"/>
      <c r="R297" s="2237"/>
      <c r="S297" s="2240"/>
      <c r="T297" s="2241"/>
      <c r="U297" s="2239"/>
      <c r="V297" s="2242"/>
      <c r="W297" s="2250"/>
      <c r="X297" s="2244"/>
      <c r="Y297" s="2244"/>
      <c r="Z297" s="2245"/>
      <c r="AA297" s="2246"/>
      <c r="AB297" s="2247"/>
      <c r="AC297" s="2248"/>
      <c r="AD297" s="2249"/>
      <c r="AE297" s="2249"/>
      <c r="AF297" s="2238"/>
      <c r="AG297" s="2264"/>
      <c r="AI297" s="2252" t="s">
        <v>15</v>
      </c>
      <c r="AJ297" s="2237"/>
      <c r="AK297" s="2237"/>
      <c r="AL297" s="2237"/>
      <c r="AM297" s="2237"/>
      <c r="AN297" s="2240"/>
      <c r="AO297" s="2241"/>
      <c r="AP297" s="2239"/>
      <c r="AQ297" s="2242"/>
      <c r="AR297" s="2250"/>
      <c r="AS297" s="2244"/>
      <c r="AT297" s="2244"/>
      <c r="AU297" s="2245"/>
      <c r="AV297" s="2246"/>
      <c r="AW297" s="2247"/>
      <c r="AX297" s="2248"/>
      <c r="AY297" s="2249"/>
      <c r="AZ297" s="2249"/>
      <c r="BA297" s="2238"/>
      <c r="BB297" s="2264"/>
      <c r="BD297" s="2252" t="s">
        <v>15</v>
      </c>
      <c r="BE297" s="2237"/>
      <c r="BF297" s="2237"/>
      <c r="BG297" s="2237"/>
      <c r="BH297" s="2237"/>
      <c r="BI297" s="2240"/>
      <c r="BJ297" s="2241"/>
      <c r="BK297" s="2239"/>
      <c r="BL297" s="2242"/>
      <c r="BM297" s="2250"/>
      <c r="BN297" s="2244"/>
      <c r="BO297" s="2244"/>
      <c r="BP297" s="2245"/>
      <c r="BQ297" s="2246"/>
      <c r="BR297" s="2247"/>
      <c r="BS297" s="2248"/>
      <c r="BT297" s="2249"/>
      <c r="BU297" s="2249"/>
      <c r="BV297" s="2238"/>
      <c r="BW297" s="2264"/>
      <c r="BY297" s="3">
        <v>1</v>
      </c>
    </row>
    <row r="298" spans="2:77" ht="21" customHeight="1">
      <c r="B298" s="2265" t="str" cm="1">
        <f t="array" ref="B298">SUMPRODUCT(--(D298:J298&lt;&gt;""), LEN(TRIM(SUBSTITUTE(D298:J298, CHAR(160), "")))) &amp; " Car."</f>
        <v>0 Car.</v>
      </c>
      <c r="C298" s="1376" t="str">
        <f>IF(ISBLANK(D298),"",LARGE(C13:C297,1)+1)</f>
        <v/>
      </c>
      <c r="D298" s="1833"/>
      <c r="E298" s="1810"/>
      <c r="F298" s="1810"/>
      <c r="G298" s="1810"/>
      <c r="H298" s="1810"/>
      <c r="I298" s="1810"/>
      <c r="J298" s="1810"/>
      <c r="K298" s="1810"/>
      <c r="L298" s="1811"/>
      <c r="M298" s="9"/>
      <c r="N298" s="2252" t="s">
        <v>15</v>
      </c>
      <c r="O298" s="2237"/>
      <c r="P298" s="2237"/>
      <c r="Q298" s="2237"/>
      <c r="R298" s="2237"/>
      <c r="S298" s="2240"/>
      <c r="T298" s="2241"/>
      <c r="U298" s="2239"/>
      <c r="V298" s="2242"/>
      <c r="W298" s="2250"/>
      <c r="X298" s="2244"/>
      <c r="Y298" s="2244"/>
      <c r="Z298" s="2245"/>
      <c r="AA298" s="2246"/>
      <c r="AB298" s="2247"/>
      <c r="AC298" s="2248"/>
      <c r="AD298" s="2249"/>
      <c r="AE298" s="2249"/>
      <c r="AF298" s="2238"/>
      <c r="AG298" s="2264"/>
      <c r="AI298" s="2252" t="s">
        <v>15</v>
      </c>
      <c r="AJ298" s="2237"/>
      <c r="AK298" s="2237"/>
      <c r="AL298" s="2237"/>
      <c r="AM298" s="2237"/>
      <c r="AN298" s="2240"/>
      <c r="AO298" s="2241"/>
      <c r="AP298" s="2239"/>
      <c r="AQ298" s="2242"/>
      <c r="AR298" s="2250"/>
      <c r="AS298" s="2244"/>
      <c r="AT298" s="2244"/>
      <c r="AU298" s="2245"/>
      <c r="AV298" s="2246"/>
      <c r="AW298" s="2247"/>
      <c r="AX298" s="2248"/>
      <c r="AY298" s="2249"/>
      <c r="AZ298" s="2249"/>
      <c r="BA298" s="2238"/>
      <c r="BB298" s="2264"/>
      <c r="BD298" s="2252" t="s">
        <v>15</v>
      </c>
      <c r="BE298" s="2237"/>
      <c r="BF298" s="2237"/>
      <c r="BG298" s="2237"/>
      <c r="BH298" s="2237"/>
      <c r="BI298" s="2240"/>
      <c r="BJ298" s="2241"/>
      <c r="BK298" s="2239"/>
      <c r="BL298" s="2242"/>
      <c r="BM298" s="2250"/>
      <c r="BN298" s="2244"/>
      <c r="BO298" s="2244"/>
      <c r="BP298" s="2245"/>
      <c r="BQ298" s="2246"/>
      <c r="BR298" s="2247"/>
      <c r="BS298" s="2248"/>
      <c r="BT298" s="2249"/>
      <c r="BU298" s="2249"/>
      <c r="BV298" s="2238"/>
      <c r="BW298" s="2264"/>
      <c r="BY298" s="3">
        <v>1</v>
      </c>
    </row>
    <row r="299" spans="2:77" ht="21" customHeight="1">
      <c r="B299" s="2265" t="str" cm="1">
        <f t="array" ref="B299">SUMPRODUCT(--(D299:J299&lt;&gt;""), LEN(TRIM(SUBSTITUTE(D299:J299, CHAR(160), "")))) &amp; " Car."</f>
        <v>0 Car.</v>
      </c>
      <c r="C299" s="1376" t="str">
        <f>IF(ISBLANK(D299),"",LARGE(C13:C298,1)+1)</f>
        <v/>
      </c>
      <c r="D299" s="1833"/>
      <c r="E299" s="1810"/>
      <c r="F299" s="1810"/>
      <c r="G299" s="1810"/>
      <c r="H299" s="1810"/>
      <c r="I299" s="1810"/>
      <c r="J299" s="1810"/>
      <c r="K299" s="1810"/>
      <c r="L299" s="1811"/>
      <c r="M299" s="9"/>
      <c r="N299" s="2252" t="s">
        <v>15</v>
      </c>
      <c r="O299" s="2237"/>
      <c r="P299" s="2237"/>
      <c r="Q299" s="2237"/>
      <c r="R299" s="2237"/>
      <c r="S299" s="2240"/>
      <c r="T299" s="2241"/>
      <c r="U299" s="2239"/>
      <c r="V299" s="2242"/>
      <c r="W299" s="2250"/>
      <c r="X299" s="2244"/>
      <c r="Y299" s="2244"/>
      <c r="Z299" s="2245"/>
      <c r="AA299" s="2246"/>
      <c r="AB299" s="2247"/>
      <c r="AC299" s="2248"/>
      <c r="AD299" s="2249"/>
      <c r="AE299" s="2249"/>
      <c r="AF299" s="2238"/>
      <c r="AG299" s="2264"/>
      <c r="AI299" s="2252" t="s">
        <v>15</v>
      </c>
      <c r="AJ299" s="2237"/>
      <c r="AK299" s="2237"/>
      <c r="AL299" s="2237"/>
      <c r="AM299" s="2237"/>
      <c r="AN299" s="2240"/>
      <c r="AO299" s="2241"/>
      <c r="AP299" s="2239"/>
      <c r="AQ299" s="2242"/>
      <c r="AR299" s="2250"/>
      <c r="AS299" s="2244"/>
      <c r="AT299" s="2244"/>
      <c r="AU299" s="2245"/>
      <c r="AV299" s="2246"/>
      <c r="AW299" s="2247"/>
      <c r="AX299" s="2248"/>
      <c r="AY299" s="2249"/>
      <c r="AZ299" s="2249"/>
      <c r="BA299" s="2238"/>
      <c r="BB299" s="2264"/>
      <c r="BD299" s="2252" t="s">
        <v>15</v>
      </c>
      <c r="BE299" s="2237"/>
      <c r="BF299" s="2237"/>
      <c r="BG299" s="2237"/>
      <c r="BH299" s="2237"/>
      <c r="BI299" s="2240"/>
      <c r="BJ299" s="2241"/>
      <c r="BK299" s="2239"/>
      <c r="BL299" s="2242"/>
      <c r="BM299" s="2250"/>
      <c r="BN299" s="2244"/>
      <c r="BO299" s="2244"/>
      <c r="BP299" s="2245"/>
      <c r="BQ299" s="2246"/>
      <c r="BR299" s="2247"/>
      <c r="BS299" s="2248"/>
      <c r="BT299" s="2249"/>
      <c r="BU299" s="2249"/>
      <c r="BV299" s="2238"/>
      <c r="BW299" s="2264"/>
      <c r="BY299" s="3">
        <v>1</v>
      </c>
    </row>
    <row r="300" spans="2:77" ht="21" customHeight="1">
      <c r="B300" s="2265" t="str" cm="1">
        <f t="array" ref="B300">SUMPRODUCT(--(D300:J300&lt;&gt;""), LEN(TRIM(SUBSTITUTE(D300:J300, CHAR(160), "")))) &amp; " Car."</f>
        <v>0 Car.</v>
      </c>
      <c r="C300" s="1376" t="str">
        <f>IF(ISBLANK(D300),"",LARGE(C13:C299,1)+1)</f>
        <v/>
      </c>
      <c r="D300" s="1833"/>
      <c r="E300" s="1810"/>
      <c r="F300" s="1810"/>
      <c r="G300" s="1810"/>
      <c r="H300" s="1810"/>
      <c r="I300" s="1810"/>
      <c r="J300" s="1810"/>
      <c r="K300" s="1810"/>
      <c r="L300" s="1811"/>
      <c r="M300" s="9"/>
      <c r="N300" s="2252" t="s">
        <v>15</v>
      </c>
      <c r="O300" s="2237"/>
      <c r="P300" s="2237"/>
      <c r="Q300" s="2237"/>
      <c r="R300" s="2237"/>
      <c r="S300" s="2240"/>
      <c r="T300" s="2241"/>
      <c r="U300" s="2239"/>
      <c r="V300" s="2242"/>
      <c r="W300" s="2250"/>
      <c r="X300" s="2244"/>
      <c r="Y300" s="2244"/>
      <c r="Z300" s="2245"/>
      <c r="AA300" s="2246"/>
      <c r="AB300" s="2247"/>
      <c r="AC300" s="2248"/>
      <c r="AD300" s="2249"/>
      <c r="AE300" s="2249"/>
      <c r="AF300" s="2238"/>
      <c r="AG300" s="2264"/>
      <c r="AI300" s="2252" t="s">
        <v>15</v>
      </c>
      <c r="AJ300" s="2237"/>
      <c r="AK300" s="2237"/>
      <c r="AL300" s="2237"/>
      <c r="AM300" s="2237"/>
      <c r="AN300" s="2240"/>
      <c r="AO300" s="2241"/>
      <c r="AP300" s="2239"/>
      <c r="AQ300" s="2242"/>
      <c r="AR300" s="2250"/>
      <c r="AS300" s="2244"/>
      <c r="AT300" s="2244"/>
      <c r="AU300" s="2245"/>
      <c r="AV300" s="2246"/>
      <c r="AW300" s="2247"/>
      <c r="AX300" s="2248"/>
      <c r="AY300" s="2249"/>
      <c r="AZ300" s="2249"/>
      <c r="BA300" s="2238"/>
      <c r="BB300" s="2264"/>
      <c r="BD300" s="2252" t="s">
        <v>15</v>
      </c>
      <c r="BE300" s="2237"/>
      <c r="BF300" s="2237"/>
      <c r="BG300" s="2237"/>
      <c r="BH300" s="2237"/>
      <c r="BI300" s="2240"/>
      <c r="BJ300" s="2241"/>
      <c r="BK300" s="2239"/>
      <c r="BL300" s="2242"/>
      <c r="BM300" s="2250"/>
      <c r="BN300" s="2244"/>
      <c r="BO300" s="2244"/>
      <c r="BP300" s="2245"/>
      <c r="BQ300" s="2246"/>
      <c r="BR300" s="2247"/>
      <c r="BS300" s="2248"/>
      <c r="BT300" s="2249"/>
      <c r="BU300" s="2249"/>
      <c r="BV300" s="2238"/>
      <c r="BW300" s="2264"/>
      <c r="BY300" s="3">
        <v>1</v>
      </c>
    </row>
    <row r="301" spans="2:77" ht="21" customHeight="1">
      <c r="B301" s="2265" t="str" cm="1">
        <f t="array" ref="B301">SUMPRODUCT(--(D301:J301&lt;&gt;""), LEN(TRIM(SUBSTITUTE(D301:J301, CHAR(160), "")))) &amp; " Car."</f>
        <v>0 Car.</v>
      </c>
      <c r="C301" s="1376" t="str">
        <f>IF(ISBLANK(D301),"",LARGE(C13:C300,1)+1)</f>
        <v/>
      </c>
      <c r="D301" s="1833"/>
      <c r="E301" s="1810"/>
      <c r="F301" s="1810"/>
      <c r="G301" s="1810"/>
      <c r="H301" s="1810"/>
      <c r="I301" s="1810"/>
      <c r="J301" s="1810"/>
      <c r="K301" s="1810"/>
      <c r="L301" s="1811"/>
      <c r="M301" s="9"/>
      <c r="N301" s="2252" t="s">
        <v>15</v>
      </c>
      <c r="O301" s="2237"/>
      <c r="P301" s="2237"/>
      <c r="Q301" s="2237"/>
      <c r="R301" s="2237"/>
      <c r="S301" s="2240"/>
      <c r="T301" s="2241"/>
      <c r="U301" s="2239"/>
      <c r="V301" s="2242"/>
      <c r="W301" s="2250"/>
      <c r="X301" s="2244"/>
      <c r="Y301" s="2244"/>
      <c r="Z301" s="2245"/>
      <c r="AA301" s="2246"/>
      <c r="AB301" s="2247"/>
      <c r="AC301" s="2248"/>
      <c r="AD301" s="2249"/>
      <c r="AE301" s="2249"/>
      <c r="AF301" s="2238"/>
      <c r="AG301" s="2264"/>
      <c r="AI301" s="2252" t="s">
        <v>15</v>
      </c>
      <c r="AJ301" s="2237"/>
      <c r="AK301" s="2237"/>
      <c r="AL301" s="2237"/>
      <c r="AM301" s="2237"/>
      <c r="AN301" s="2240"/>
      <c r="AO301" s="2241"/>
      <c r="AP301" s="2239"/>
      <c r="AQ301" s="2242"/>
      <c r="AR301" s="2250"/>
      <c r="AS301" s="2244"/>
      <c r="AT301" s="2244"/>
      <c r="AU301" s="2245"/>
      <c r="AV301" s="2246"/>
      <c r="AW301" s="2247"/>
      <c r="AX301" s="2248"/>
      <c r="AY301" s="2249"/>
      <c r="AZ301" s="2249"/>
      <c r="BA301" s="2238"/>
      <c r="BB301" s="2264"/>
      <c r="BD301" s="2252" t="s">
        <v>15</v>
      </c>
      <c r="BE301" s="2237"/>
      <c r="BF301" s="2237"/>
      <c r="BG301" s="2237"/>
      <c r="BH301" s="2237"/>
      <c r="BI301" s="2240"/>
      <c r="BJ301" s="2241"/>
      <c r="BK301" s="2239"/>
      <c r="BL301" s="2242"/>
      <c r="BM301" s="2250"/>
      <c r="BN301" s="2244"/>
      <c r="BO301" s="2244"/>
      <c r="BP301" s="2245"/>
      <c r="BQ301" s="2246"/>
      <c r="BR301" s="2247"/>
      <c r="BS301" s="2248"/>
      <c r="BT301" s="2249"/>
      <c r="BU301" s="2249"/>
      <c r="BV301" s="2238"/>
      <c r="BW301" s="2264"/>
      <c r="BY301" s="3">
        <v>1</v>
      </c>
    </row>
    <row r="302" spans="2:77" ht="21" customHeight="1">
      <c r="B302" s="2265" t="str" cm="1">
        <f t="array" ref="B302">SUMPRODUCT(--(D302:J302&lt;&gt;""), LEN(TRIM(SUBSTITUTE(D302:J302, CHAR(160), "")))) &amp; " Car."</f>
        <v>0 Car.</v>
      </c>
      <c r="C302" s="1376" t="str">
        <f>IF(ISBLANK(D302),"",LARGE(C13:C301,1)+1)</f>
        <v/>
      </c>
      <c r="D302" s="1833"/>
      <c r="E302" s="1810"/>
      <c r="F302" s="1810"/>
      <c r="G302" s="1810"/>
      <c r="H302" s="1810"/>
      <c r="I302" s="1810"/>
      <c r="J302" s="1810"/>
      <c r="K302" s="1810"/>
      <c r="L302" s="1811"/>
      <c r="M302" s="9"/>
      <c r="N302" s="2252" t="s">
        <v>15</v>
      </c>
      <c r="O302" s="2237"/>
      <c r="P302" s="2237"/>
      <c r="Q302" s="2237"/>
      <c r="R302" s="2237"/>
      <c r="S302" s="2240"/>
      <c r="T302" s="2241"/>
      <c r="U302" s="2239"/>
      <c r="V302" s="2242"/>
      <c r="W302" s="2250"/>
      <c r="X302" s="2244"/>
      <c r="Y302" s="2244"/>
      <c r="Z302" s="2245"/>
      <c r="AA302" s="2246"/>
      <c r="AB302" s="2247"/>
      <c r="AC302" s="2248"/>
      <c r="AD302" s="2249"/>
      <c r="AE302" s="2249"/>
      <c r="AF302" s="2238"/>
      <c r="AG302" s="2264"/>
      <c r="AI302" s="2252" t="s">
        <v>15</v>
      </c>
      <c r="AJ302" s="2237"/>
      <c r="AK302" s="2237"/>
      <c r="AL302" s="2237"/>
      <c r="AM302" s="2237"/>
      <c r="AN302" s="2240"/>
      <c r="AO302" s="2241"/>
      <c r="AP302" s="2239"/>
      <c r="AQ302" s="2242"/>
      <c r="AR302" s="2250"/>
      <c r="AS302" s="2244"/>
      <c r="AT302" s="2244"/>
      <c r="AU302" s="2245"/>
      <c r="AV302" s="2246"/>
      <c r="AW302" s="2247"/>
      <c r="AX302" s="2248"/>
      <c r="AY302" s="2249"/>
      <c r="AZ302" s="2249"/>
      <c r="BA302" s="2238"/>
      <c r="BB302" s="2264"/>
      <c r="BD302" s="2252" t="s">
        <v>15</v>
      </c>
      <c r="BE302" s="2237"/>
      <c r="BF302" s="2237"/>
      <c r="BG302" s="2237"/>
      <c r="BH302" s="2237"/>
      <c r="BI302" s="2240"/>
      <c r="BJ302" s="2241"/>
      <c r="BK302" s="2239"/>
      <c r="BL302" s="2242"/>
      <c r="BM302" s="2250"/>
      <c r="BN302" s="2244"/>
      <c r="BO302" s="2244"/>
      <c r="BP302" s="2245"/>
      <c r="BQ302" s="2246"/>
      <c r="BR302" s="2247"/>
      <c r="BS302" s="2248"/>
      <c r="BT302" s="2249"/>
      <c r="BU302" s="2249"/>
      <c r="BV302" s="2238"/>
      <c r="BW302" s="2264"/>
      <c r="BY302" s="3">
        <v>1</v>
      </c>
    </row>
    <row r="303" spans="2:77" ht="21" customHeight="1">
      <c r="B303" s="2265" t="str" cm="1">
        <f t="array" ref="B303">SUMPRODUCT(--(D303:J303&lt;&gt;""), LEN(TRIM(SUBSTITUTE(D303:J303, CHAR(160), "")))) &amp; " Car."</f>
        <v>0 Car.</v>
      </c>
      <c r="C303" s="1376" t="str">
        <f>IF(ISBLANK(D303),"",LARGE(C13:C302,1)+1)</f>
        <v/>
      </c>
      <c r="D303" s="1833"/>
      <c r="E303" s="1810"/>
      <c r="F303" s="1810"/>
      <c r="G303" s="1810"/>
      <c r="H303" s="1810"/>
      <c r="I303" s="1810"/>
      <c r="J303" s="1810"/>
      <c r="K303" s="1810"/>
      <c r="L303" s="1811"/>
      <c r="M303" s="9"/>
      <c r="N303" s="2252" t="s">
        <v>15</v>
      </c>
      <c r="O303" s="2237"/>
      <c r="P303" s="2237"/>
      <c r="Q303" s="2237"/>
      <c r="R303" s="2237"/>
      <c r="S303" s="2240"/>
      <c r="T303" s="2241"/>
      <c r="U303" s="2239"/>
      <c r="V303" s="2242"/>
      <c r="W303" s="2250"/>
      <c r="X303" s="2244"/>
      <c r="Y303" s="2244"/>
      <c r="Z303" s="2245"/>
      <c r="AA303" s="2246"/>
      <c r="AB303" s="2247"/>
      <c r="AC303" s="2248"/>
      <c r="AD303" s="2249"/>
      <c r="AE303" s="2249"/>
      <c r="AF303" s="2238"/>
      <c r="AG303" s="2264"/>
      <c r="AI303" s="2252" t="s">
        <v>15</v>
      </c>
      <c r="AJ303" s="2237"/>
      <c r="AK303" s="2237"/>
      <c r="AL303" s="2237"/>
      <c r="AM303" s="2237"/>
      <c r="AN303" s="2240"/>
      <c r="AO303" s="2241"/>
      <c r="AP303" s="2239"/>
      <c r="AQ303" s="2242"/>
      <c r="AR303" s="2250"/>
      <c r="AS303" s="2244"/>
      <c r="AT303" s="2244"/>
      <c r="AU303" s="2245"/>
      <c r="AV303" s="2246"/>
      <c r="AW303" s="2247"/>
      <c r="AX303" s="2248"/>
      <c r="AY303" s="2249"/>
      <c r="AZ303" s="2249"/>
      <c r="BA303" s="2238"/>
      <c r="BB303" s="2264"/>
      <c r="BD303" s="2252" t="s">
        <v>15</v>
      </c>
      <c r="BE303" s="2237"/>
      <c r="BF303" s="2237"/>
      <c r="BG303" s="2237"/>
      <c r="BH303" s="2237"/>
      <c r="BI303" s="2240"/>
      <c r="BJ303" s="2241"/>
      <c r="BK303" s="2239"/>
      <c r="BL303" s="2242"/>
      <c r="BM303" s="2250"/>
      <c r="BN303" s="2244"/>
      <c r="BO303" s="2244"/>
      <c r="BP303" s="2245"/>
      <c r="BQ303" s="2246"/>
      <c r="BR303" s="2247"/>
      <c r="BS303" s="2248"/>
      <c r="BT303" s="2249"/>
      <c r="BU303" s="2249"/>
      <c r="BV303" s="2238"/>
      <c r="BW303" s="2264"/>
      <c r="BY303" s="3">
        <v>1</v>
      </c>
    </row>
    <row r="304" spans="2:77" ht="21" customHeight="1">
      <c r="B304" s="2265" t="str" cm="1">
        <f t="array" ref="B304">SUMPRODUCT(--(D304:J304&lt;&gt;""), LEN(TRIM(SUBSTITUTE(D304:J304, CHAR(160), "")))) &amp; " Car."</f>
        <v>0 Car.</v>
      </c>
      <c r="C304" s="1376" t="str">
        <f>IF(ISBLANK(D304),"",LARGE(C13:C303,1)+1)</f>
        <v/>
      </c>
      <c r="D304" s="1833"/>
      <c r="E304" s="1810"/>
      <c r="F304" s="1810"/>
      <c r="G304" s="1810"/>
      <c r="H304" s="1810"/>
      <c r="I304" s="1810"/>
      <c r="J304" s="1810"/>
      <c r="K304" s="1810"/>
      <c r="L304" s="1811"/>
      <c r="M304" s="9"/>
      <c r="N304" s="2252" t="s">
        <v>15</v>
      </c>
      <c r="O304" s="2237"/>
      <c r="P304" s="2237"/>
      <c r="Q304" s="2237"/>
      <c r="R304" s="2237"/>
      <c r="S304" s="2240"/>
      <c r="T304" s="2241"/>
      <c r="U304" s="2239"/>
      <c r="V304" s="2242"/>
      <c r="W304" s="2250"/>
      <c r="X304" s="2244"/>
      <c r="Y304" s="2244"/>
      <c r="Z304" s="2245"/>
      <c r="AA304" s="2246"/>
      <c r="AB304" s="2247"/>
      <c r="AC304" s="2248"/>
      <c r="AD304" s="2249"/>
      <c r="AE304" s="2249"/>
      <c r="AF304" s="2238"/>
      <c r="AG304" s="2264"/>
      <c r="AI304" s="2252" t="s">
        <v>15</v>
      </c>
      <c r="AJ304" s="2237"/>
      <c r="AK304" s="2237"/>
      <c r="AL304" s="2237"/>
      <c r="AM304" s="2237"/>
      <c r="AN304" s="2240"/>
      <c r="AO304" s="2241"/>
      <c r="AP304" s="2239"/>
      <c r="AQ304" s="2242"/>
      <c r="AR304" s="2250"/>
      <c r="AS304" s="2244"/>
      <c r="AT304" s="2244"/>
      <c r="AU304" s="2245"/>
      <c r="AV304" s="2246"/>
      <c r="AW304" s="2247"/>
      <c r="AX304" s="2248"/>
      <c r="AY304" s="2249"/>
      <c r="AZ304" s="2249"/>
      <c r="BA304" s="2238"/>
      <c r="BB304" s="2264"/>
      <c r="BD304" s="2252" t="s">
        <v>15</v>
      </c>
      <c r="BE304" s="2237"/>
      <c r="BF304" s="2237"/>
      <c r="BG304" s="2237"/>
      <c r="BH304" s="2237"/>
      <c r="BI304" s="2240"/>
      <c r="BJ304" s="2241"/>
      <c r="BK304" s="2239"/>
      <c r="BL304" s="2242"/>
      <c r="BM304" s="2250"/>
      <c r="BN304" s="2244"/>
      <c r="BO304" s="2244"/>
      <c r="BP304" s="2245"/>
      <c r="BQ304" s="2246"/>
      <c r="BR304" s="2247"/>
      <c r="BS304" s="2248"/>
      <c r="BT304" s="2249"/>
      <c r="BU304" s="2249"/>
      <c r="BV304" s="2238"/>
      <c r="BW304" s="2264"/>
      <c r="BY304" s="3">
        <v>1</v>
      </c>
    </row>
    <row r="305" spans="2:77" ht="21" customHeight="1">
      <c r="B305" s="2265" t="str" cm="1">
        <f t="array" ref="B305">SUMPRODUCT(--(D305:J305&lt;&gt;""), LEN(TRIM(SUBSTITUTE(D305:J305, CHAR(160), "")))) &amp; " Car."</f>
        <v>0 Car.</v>
      </c>
      <c r="C305" s="1376" t="str">
        <f>IF(ISBLANK(D305),"",LARGE(C13:C304,1)+1)</f>
        <v/>
      </c>
      <c r="D305" s="1833"/>
      <c r="E305" s="1810"/>
      <c r="F305" s="1810"/>
      <c r="G305" s="1810"/>
      <c r="H305" s="1810"/>
      <c r="I305" s="1810"/>
      <c r="J305" s="1810"/>
      <c r="K305" s="1810"/>
      <c r="L305" s="1811"/>
      <c r="M305" s="9"/>
      <c r="N305" s="2252" t="s">
        <v>15</v>
      </c>
      <c r="O305" s="2237"/>
      <c r="P305" s="2237"/>
      <c r="Q305" s="2237"/>
      <c r="R305" s="2237"/>
      <c r="S305" s="2240"/>
      <c r="T305" s="2241"/>
      <c r="U305" s="2239"/>
      <c r="V305" s="2242"/>
      <c r="W305" s="2250"/>
      <c r="X305" s="2244"/>
      <c r="Y305" s="2244"/>
      <c r="Z305" s="2245"/>
      <c r="AA305" s="2246"/>
      <c r="AB305" s="2247"/>
      <c r="AC305" s="2248"/>
      <c r="AD305" s="2249"/>
      <c r="AE305" s="2249"/>
      <c r="AF305" s="2238"/>
      <c r="AG305" s="2264"/>
      <c r="AI305" s="2252" t="s">
        <v>15</v>
      </c>
      <c r="AJ305" s="2237"/>
      <c r="AK305" s="2237"/>
      <c r="AL305" s="2237"/>
      <c r="AM305" s="2237"/>
      <c r="AN305" s="2240"/>
      <c r="AO305" s="2241"/>
      <c r="AP305" s="2239"/>
      <c r="AQ305" s="2242"/>
      <c r="AR305" s="2250"/>
      <c r="AS305" s="2244"/>
      <c r="AT305" s="2244"/>
      <c r="AU305" s="2245"/>
      <c r="AV305" s="2246"/>
      <c r="AW305" s="2247"/>
      <c r="AX305" s="2248"/>
      <c r="AY305" s="2249"/>
      <c r="AZ305" s="2249"/>
      <c r="BA305" s="2238"/>
      <c r="BB305" s="2264"/>
      <c r="BD305" s="2252" t="s">
        <v>15</v>
      </c>
      <c r="BE305" s="2237"/>
      <c r="BF305" s="2237"/>
      <c r="BG305" s="2237"/>
      <c r="BH305" s="2237"/>
      <c r="BI305" s="2240"/>
      <c r="BJ305" s="2241"/>
      <c r="BK305" s="2239"/>
      <c r="BL305" s="2242"/>
      <c r="BM305" s="2250"/>
      <c r="BN305" s="2244"/>
      <c r="BO305" s="2244"/>
      <c r="BP305" s="2245"/>
      <c r="BQ305" s="2246"/>
      <c r="BR305" s="2247"/>
      <c r="BS305" s="2248"/>
      <c r="BT305" s="2249"/>
      <c r="BU305" s="2249"/>
      <c r="BV305" s="2238"/>
      <c r="BW305" s="2264"/>
      <c r="BY305" s="3">
        <v>1</v>
      </c>
    </row>
    <row r="306" spans="2:77" ht="21" customHeight="1">
      <c r="B306" s="2265" t="str" cm="1">
        <f t="array" ref="B306">SUMPRODUCT(--(D306:J306&lt;&gt;""), LEN(TRIM(SUBSTITUTE(D306:J306, CHAR(160), "")))) &amp; " Car."</f>
        <v>0 Car.</v>
      </c>
      <c r="C306" s="1376" t="str">
        <f>IF(ISBLANK(D306),"",LARGE(C13:C305,1)+1)</f>
        <v/>
      </c>
      <c r="D306" s="1833"/>
      <c r="E306" s="1810"/>
      <c r="F306" s="1810"/>
      <c r="G306" s="1810"/>
      <c r="H306" s="1810"/>
      <c r="I306" s="1810"/>
      <c r="J306" s="1810"/>
      <c r="K306" s="1810"/>
      <c r="L306" s="1811"/>
      <c r="M306" s="9"/>
      <c r="N306" s="2252" t="s">
        <v>15</v>
      </c>
      <c r="O306" s="2237"/>
      <c r="P306" s="2237"/>
      <c r="Q306" s="2237"/>
      <c r="R306" s="2237"/>
      <c r="S306" s="2240"/>
      <c r="T306" s="2241"/>
      <c r="U306" s="2239"/>
      <c r="V306" s="2242"/>
      <c r="W306" s="2250"/>
      <c r="X306" s="2244"/>
      <c r="Y306" s="2244"/>
      <c r="Z306" s="2245"/>
      <c r="AA306" s="2246"/>
      <c r="AB306" s="2247"/>
      <c r="AC306" s="2248"/>
      <c r="AD306" s="2249"/>
      <c r="AE306" s="2249"/>
      <c r="AF306" s="2238"/>
      <c r="AG306" s="2264"/>
      <c r="AI306" s="2252" t="s">
        <v>15</v>
      </c>
      <c r="AJ306" s="2237"/>
      <c r="AK306" s="2237"/>
      <c r="AL306" s="2237"/>
      <c r="AM306" s="2237"/>
      <c r="AN306" s="2240"/>
      <c r="AO306" s="2241"/>
      <c r="AP306" s="2239"/>
      <c r="AQ306" s="2242"/>
      <c r="AR306" s="2250"/>
      <c r="AS306" s="2244"/>
      <c r="AT306" s="2244"/>
      <c r="AU306" s="2245"/>
      <c r="AV306" s="2246"/>
      <c r="AW306" s="2247"/>
      <c r="AX306" s="2248"/>
      <c r="AY306" s="2249"/>
      <c r="AZ306" s="2249"/>
      <c r="BA306" s="2238"/>
      <c r="BB306" s="2264"/>
      <c r="BD306" s="2252" t="s">
        <v>15</v>
      </c>
      <c r="BE306" s="2237"/>
      <c r="BF306" s="2237"/>
      <c r="BG306" s="2237"/>
      <c r="BH306" s="2237"/>
      <c r="BI306" s="2240"/>
      <c r="BJ306" s="2241"/>
      <c r="BK306" s="2239"/>
      <c r="BL306" s="2242"/>
      <c r="BM306" s="2250"/>
      <c r="BN306" s="2244"/>
      <c r="BO306" s="2244"/>
      <c r="BP306" s="2245"/>
      <c r="BQ306" s="2246"/>
      <c r="BR306" s="2247"/>
      <c r="BS306" s="2248"/>
      <c r="BT306" s="2249"/>
      <c r="BU306" s="2249"/>
      <c r="BV306" s="2238"/>
      <c r="BW306" s="2264"/>
      <c r="BY306" s="3">
        <v>1</v>
      </c>
    </row>
    <row r="307" spans="2:77" ht="21" customHeight="1">
      <c r="B307" s="2265" t="str" cm="1">
        <f t="array" ref="B307">SUMPRODUCT(--(D307:J307&lt;&gt;""), LEN(TRIM(SUBSTITUTE(D307:J307, CHAR(160), "")))) &amp; " Car."</f>
        <v>0 Car.</v>
      </c>
      <c r="C307" s="1376" t="str">
        <f>IF(ISBLANK(D307),"",LARGE(C13:C306,1)+1)</f>
        <v/>
      </c>
      <c r="D307" s="1833"/>
      <c r="E307" s="1810"/>
      <c r="F307" s="1810"/>
      <c r="G307" s="1810"/>
      <c r="H307" s="1810"/>
      <c r="I307" s="1810"/>
      <c r="J307" s="1810"/>
      <c r="K307" s="1810"/>
      <c r="L307" s="1811"/>
      <c r="M307" s="9"/>
      <c r="N307" s="2252" t="s">
        <v>15</v>
      </c>
      <c r="O307" s="2237"/>
      <c r="P307" s="2237"/>
      <c r="Q307" s="2237"/>
      <c r="R307" s="2237"/>
      <c r="S307" s="2240"/>
      <c r="T307" s="2241"/>
      <c r="U307" s="2239"/>
      <c r="V307" s="2242"/>
      <c r="W307" s="2250"/>
      <c r="X307" s="2244"/>
      <c r="Y307" s="2244"/>
      <c r="Z307" s="2245"/>
      <c r="AA307" s="2246"/>
      <c r="AB307" s="2247"/>
      <c r="AC307" s="2248"/>
      <c r="AD307" s="2249"/>
      <c r="AE307" s="2249"/>
      <c r="AF307" s="2238"/>
      <c r="AG307" s="2264"/>
      <c r="AI307" s="2252" t="s">
        <v>15</v>
      </c>
      <c r="AJ307" s="2237"/>
      <c r="AK307" s="2237"/>
      <c r="AL307" s="2237"/>
      <c r="AM307" s="2237"/>
      <c r="AN307" s="2240"/>
      <c r="AO307" s="2241"/>
      <c r="AP307" s="2239"/>
      <c r="AQ307" s="2242"/>
      <c r="AR307" s="2250"/>
      <c r="AS307" s="2244"/>
      <c r="AT307" s="2244"/>
      <c r="AU307" s="2245"/>
      <c r="AV307" s="2246"/>
      <c r="AW307" s="2247"/>
      <c r="AX307" s="2248"/>
      <c r="AY307" s="2249"/>
      <c r="AZ307" s="2249"/>
      <c r="BA307" s="2238"/>
      <c r="BB307" s="2264"/>
      <c r="BD307" s="2252" t="s">
        <v>15</v>
      </c>
      <c r="BE307" s="2237"/>
      <c r="BF307" s="2237"/>
      <c r="BG307" s="2237"/>
      <c r="BH307" s="2237"/>
      <c r="BI307" s="2240"/>
      <c r="BJ307" s="2241"/>
      <c r="BK307" s="2239"/>
      <c r="BL307" s="2242"/>
      <c r="BM307" s="2250"/>
      <c r="BN307" s="2244"/>
      <c r="BO307" s="2244"/>
      <c r="BP307" s="2245"/>
      <c r="BQ307" s="2246"/>
      <c r="BR307" s="2247"/>
      <c r="BS307" s="2248"/>
      <c r="BT307" s="2249"/>
      <c r="BU307" s="2249"/>
      <c r="BV307" s="2238"/>
      <c r="BW307" s="2264"/>
      <c r="BY307" s="3">
        <v>1</v>
      </c>
    </row>
    <row r="308" spans="2:77" ht="21" customHeight="1">
      <c r="B308" s="2265" t="str" cm="1">
        <f t="array" ref="B308">SUMPRODUCT(--(D308:J308&lt;&gt;""), LEN(TRIM(SUBSTITUTE(D308:J308, CHAR(160), "")))) &amp; " Car."</f>
        <v>0 Car.</v>
      </c>
      <c r="C308" s="1376" t="str">
        <f>IF(ISBLANK(D308),"",LARGE(C13:C307,1)+1)</f>
        <v/>
      </c>
      <c r="D308" s="1833"/>
      <c r="E308" s="1810"/>
      <c r="F308" s="1810"/>
      <c r="G308" s="1810"/>
      <c r="H308" s="1810"/>
      <c r="I308" s="1810"/>
      <c r="J308" s="1810"/>
      <c r="K308" s="1810"/>
      <c r="L308" s="1811"/>
      <c r="M308" s="9"/>
      <c r="N308" s="2252" t="s">
        <v>15</v>
      </c>
      <c r="O308" s="2237"/>
      <c r="P308" s="2237"/>
      <c r="Q308" s="2237"/>
      <c r="R308" s="2237"/>
      <c r="S308" s="2240"/>
      <c r="T308" s="2241"/>
      <c r="U308" s="2239"/>
      <c r="V308" s="2242"/>
      <c r="W308" s="2250"/>
      <c r="X308" s="2244"/>
      <c r="Y308" s="2244"/>
      <c r="Z308" s="2245"/>
      <c r="AA308" s="2246"/>
      <c r="AB308" s="2247"/>
      <c r="AC308" s="2248"/>
      <c r="AD308" s="2249"/>
      <c r="AE308" s="2249"/>
      <c r="AF308" s="2238"/>
      <c r="AG308" s="2264"/>
      <c r="AI308" s="2252" t="s">
        <v>15</v>
      </c>
      <c r="AJ308" s="2237"/>
      <c r="AK308" s="2237"/>
      <c r="AL308" s="2237"/>
      <c r="AM308" s="2237"/>
      <c r="AN308" s="2240"/>
      <c r="AO308" s="2241"/>
      <c r="AP308" s="2239"/>
      <c r="AQ308" s="2242"/>
      <c r="AR308" s="2250"/>
      <c r="AS308" s="2244"/>
      <c r="AT308" s="2244"/>
      <c r="AU308" s="2245"/>
      <c r="AV308" s="2246"/>
      <c r="AW308" s="2247"/>
      <c r="AX308" s="2248"/>
      <c r="AY308" s="2249"/>
      <c r="AZ308" s="2249"/>
      <c r="BA308" s="2238"/>
      <c r="BB308" s="2264"/>
      <c r="BD308" s="2252" t="s">
        <v>15</v>
      </c>
      <c r="BE308" s="2237"/>
      <c r="BF308" s="2237"/>
      <c r="BG308" s="2237"/>
      <c r="BH308" s="2237"/>
      <c r="BI308" s="2240"/>
      <c r="BJ308" s="2241"/>
      <c r="BK308" s="2239"/>
      <c r="BL308" s="2242"/>
      <c r="BM308" s="2250"/>
      <c r="BN308" s="2244"/>
      <c r="BO308" s="2244"/>
      <c r="BP308" s="2245"/>
      <c r="BQ308" s="2246"/>
      <c r="BR308" s="2247"/>
      <c r="BS308" s="2248"/>
      <c r="BT308" s="2249"/>
      <c r="BU308" s="2249"/>
      <c r="BV308" s="2238"/>
      <c r="BW308" s="2264"/>
      <c r="BY308" s="3">
        <v>1</v>
      </c>
    </row>
    <row r="309" spans="2:77" ht="21" customHeight="1">
      <c r="B309" s="2265" t="str" cm="1">
        <f t="array" ref="B309">SUMPRODUCT(--(D309:J309&lt;&gt;""), LEN(TRIM(SUBSTITUTE(D309:J309, CHAR(160), "")))) &amp; " Car."</f>
        <v>0 Car.</v>
      </c>
      <c r="C309" s="1376" t="str">
        <f>IF(ISBLANK(D309),"",LARGE(C13:C308,1)+1)</f>
        <v/>
      </c>
      <c r="D309" s="1833"/>
      <c r="E309" s="1810"/>
      <c r="F309" s="1810"/>
      <c r="G309" s="1810"/>
      <c r="H309" s="1810"/>
      <c r="I309" s="1810"/>
      <c r="J309" s="1810"/>
      <c r="K309" s="1810"/>
      <c r="L309" s="1811"/>
      <c r="M309" s="9"/>
      <c r="N309" s="2252" t="s">
        <v>15</v>
      </c>
      <c r="O309" s="2237"/>
      <c r="P309" s="2237"/>
      <c r="Q309" s="2237"/>
      <c r="R309" s="2237"/>
      <c r="S309" s="2240"/>
      <c r="T309" s="2241"/>
      <c r="U309" s="2239"/>
      <c r="V309" s="2242"/>
      <c r="W309" s="2250"/>
      <c r="X309" s="2244"/>
      <c r="Y309" s="2244"/>
      <c r="Z309" s="2245"/>
      <c r="AA309" s="2246"/>
      <c r="AB309" s="2247"/>
      <c r="AC309" s="2248"/>
      <c r="AD309" s="2249"/>
      <c r="AE309" s="2249"/>
      <c r="AF309" s="2238"/>
      <c r="AG309" s="2264"/>
      <c r="AI309" s="2252" t="s">
        <v>15</v>
      </c>
      <c r="AJ309" s="2237"/>
      <c r="AK309" s="2237"/>
      <c r="AL309" s="2237"/>
      <c r="AM309" s="2237"/>
      <c r="AN309" s="2240"/>
      <c r="AO309" s="2241"/>
      <c r="AP309" s="2239"/>
      <c r="AQ309" s="2242"/>
      <c r="AR309" s="2250"/>
      <c r="AS309" s="2244"/>
      <c r="AT309" s="2244"/>
      <c r="AU309" s="2245"/>
      <c r="AV309" s="2246"/>
      <c r="AW309" s="2247"/>
      <c r="AX309" s="2248"/>
      <c r="AY309" s="2249"/>
      <c r="AZ309" s="2249"/>
      <c r="BA309" s="2238"/>
      <c r="BB309" s="2264"/>
      <c r="BD309" s="2252" t="s">
        <v>15</v>
      </c>
      <c r="BE309" s="2237"/>
      <c r="BF309" s="2237"/>
      <c r="BG309" s="2237"/>
      <c r="BH309" s="2237"/>
      <c r="BI309" s="2240"/>
      <c r="BJ309" s="2241"/>
      <c r="BK309" s="2239"/>
      <c r="BL309" s="2242"/>
      <c r="BM309" s="2250"/>
      <c r="BN309" s="2244"/>
      <c r="BO309" s="2244"/>
      <c r="BP309" s="2245"/>
      <c r="BQ309" s="2246"/>
      <c r="BR309" s="2247"/>
      <c r="BS309" s="2248"/>
      <c r="BT309" s="2249"/>
      <c r="BU309" s="2249"/>
      <c r="BV309" s="2238"/>
      <c r="BW309" s="2264"/>
      <c r="BY309" s="3">
        <v>1</v>
      </c>
    </row>
    <row r="310" spans="2:77" ht="21" customHeight="1">
      <c r="B310" s="2265" t="str" cm="1">
        <f t="array" ref="B310">SUMPRODUCT(--(D310:J310&lt;&gt;""), LEN(TRIM(SUBSTITUTE(D310:J310, CHAR(160), "")))) &amp; " Car."</f>
        <v>0 Car.</v>
      </c>
      <c r="C310" s="1376" t="str">
        <f>IF(ISBLANK(D310),"",LARGE(C13:C309,1)+1)</f>
        <v/>
      </c>
      <c r="D310" s="1833"/>
      <c r="E310" s="1810"/>
      <c r="F310" s="1810"/>
      <c r="G310" s="1810"/>
      <c r="H310" s="1810"/>
      <c r="I310" s="1810"/>
      <c r="J310" s="1810"/>
      <c r="K310" s="1810"/>
      <c r="L310" s="1811"/>
      <c r="M310" s="9"/>
      <c r="N310" s="2252" t="s">
        <v>15</v>
      </c>
      <c r="O310" s="2237"/>
      <c r="P310" s="2237"/>
      <c r="Q310" s="2237"/>
      <c r="R310" s="2237"/>
      <c r="S310" s="2240"/>
      <c r="T310" s="2241"/>
      <c r="U310" s="2239"/>
      <c r="V310" s="2242"/>
      <c r="W310" s="2250"/>
      <c r="X310" s="2244"/>
      <c r="Y310" s="2244"/>
      <c r="Z310" s="2245"/>
      <c r="AA310" s="2246"/>
      <c r="AB310" s="2247"/>
      <c r="AC310" s="2248"/>
      <c r="AD310" s="2249"/>
      <c r="AE310" s="2249"/>
      <c r="AF310" s="2238"/>
      <c r="AG310" s="2264"/>
      <c r="AI310" s="2252" t="s">
        <v>15</v>
      </c>
      <c r="AJ310" s="2237"/>
      <c r="AK310" s="2237"/>
      <c r="AL310" s="2237"/>
      <c r="AM310" s="2237"/>
      <c r="AN310" s="2240"/>
      <c r="AO310" s="2241"/>
      <c r="AP310" s="2239"/>
      <c r="AQ310" s="2242"/>
      <c r="AR310" s="2250"/>
      <c r="AS310" s="2244"/>
      <c r="AT310" s="2244"/>
      <c r="AU310" s="2245"/>
      <c r="AV310" s="2246"/>
      <c r="AW310" s="2247"/>
      <c r="AX310" s="2248"/>
      <c r="AY310" s="2249"/>
      <c r="AZ310" s="2249"/>
      <c r="BA310" s="2238"/>
      <c r="BB310" s="2264"/>
      <c r="BD310" s="2252" t="s">
        <v>15</v>
      </c>
      <c r="BE310" s="2237"/>
      <c r="BF310" s="2237"/>
      <c r="BG310" s="2237"/>
      <c r="BH310" s="2237"/>
      <c r="BI310" s="2240"/>
      <c r="BJ310" s="2241"/>
      <c r="BK310" s="2239"/>
      <c r="BL310" s="2242"/>
      <c r="BM310" s="2250"/>
      <c r="BN310" s="2244"/>
      <c r="BO310" s="2244"/>
      <c r="BP310" s="2245"/>
      <c r="BQ310" s="2246"/>
      <c r="BR310" s="2247"/>
      <c r="BS310" s="2248"/>
      <c r="BT310" s="2249"/>
      <c r="BU310" s="2249"/>
      <c r="BV310" s="2238"/>
      <c r="BW310" s="2264"/>
      <c r="BY310" s="3">
        <v>1</v>
      </c>
    </row>
    <row r="311" spans="2:77" ht="21" customHeight="1">
      <c r="B311" s="2265" t="str" cm="1">
        <f t="array" ref="B311">SUMPRODUCT(--(D311:J311&lt;&gt;""), LEN(TRIM(SUBSTITUTE(D311:J311, CHAR(160), "")))) &amp; " Car."</f>
        <v>0 Car.</v>
      </c>
      <c r="C311" s="1376" t="str">
        <f>IF(ISBLANK(D311),"",LARGE(C13:C310,1)+1)</f>
        <v/>
      </c>
      <c r="D311" s="1833"/>
      <c r="E311" s="1810"/>
      <c r="F311" s="1810"/>
      <c r="G311" s="1810"/>
      <c r="H311" s="1810"/>
      <c r="I311" s="1810"/>
      <c r="J311" s="1810"/>
      <c r="K311" s="1810"/>
      <c r="L311" s="1811"/>
      <c r="M311" s="9"/>
      <c r="N311" s="2252" t="s">
        <v>15</v>
      </c>
      <c r="O311" s="2237"/>
      <c r="P311" s="2237"/>
      <c r="Q311" s="2237"/>
      <c r="R311" s="2237"/>
      <c r="S311" s="2240"/>
      <c r="T311" s="2241"/>
      <c r="U311" s="2239"/>
      <c r="V311" s="2242"/>
      <c r="W311" s="2250"/>
      <c r="X311" s="2244"/>
      <c r="Y311" s="2244"/>
      <c r="Z311" s="2245"/>
      <c r="AA311" s="2246"/>
      <c r="AB311" s="2247"/>
      <c r="AC311" s="2248"/>
      <c r="AD311" s="2249"/>
      <c r="AE311" s="2249"/>
      <c r="AF311" s="2238"/>
      <c r="AG311" s="2264"/>
      <c r="AI311" s="2252" t="s">
        <v>15</v>
      </c>
      <c r="AJ311" s="2237"/>
      <c r="AK311" s="2237"/>
      <c r="AL311" s="2237"/>
      <c r="AM311" s="2237"/>
      <c r="AN311" s="2240"/>
      <c r="AO311" s="2241"/>
      <c r="AP311" s="2239"/>
      <c r="AQ311" s="2242"/>
      <c r="AR311" s="2250"/>
      <c r="AS311" s="2244"/>
      <c r="AT311" s="2244"/>
      <c r="AU311" s="2245"/>
      <c r="AV311" s="2246"/>
      <c r="AW311" s="2247"/>
      <c r="AX311" s="2248"/>
      <c r="AY311" s="2249"/>
      <c r="AZ311" s="2249"/>
      <c r="BA311" s="2238"/>
      <c r="BB311" s="2264"/>
      <c r="BD311" s="2252" t="s">
        <v>15</v>
      </c>
      <c r="BE311" s="2237"/>
      <c r="BF311" s="2237"/>
      <c r="BG311" s="2237"/>
      <c r="BH311" s="2237"/>
      <c r="BI311" s="2240"/>
      <c r="BJ311" s="2241"/>
      <c r="BK311" s="2239"/>
      <c r="BL311" s="2242"/>
      <c r="BM311" s="2250"/>
      <c r="BN311" s="2244"/>
      <c r="BO311" s="2244"/>
      <c r="BP311" s="2245"/>
      <c r="BQ311" s="2246"/>
      <c r="BR311" s="2247"/>
      <c r="BS311" s="2248"/>
      <c r="BT311" s="2249"/>
      <c r="BU311" s="2249"/>
      <c r="BV311" s="2238"/>
      <c r="BW311" s="2264"/>
      <c r="BY311" s="3">
        <v>1</v>
      </c>
    </row>
    <row r="312" spans="2:77" ht="21" customHeight="1">
      <c r="B312" s="2265" t="str" cm="1">
        <f t="array" ref="B312">SUMPRODUCT(--(D312:J312&lt;&gt;""), LEN(TRIM(SUBSTITUTE(D312:J312, CHAR(160), "")))) &amp; " Car."</f>
        <v>0 Car.</v>
      </c>
      <c r="C312" s="1376" t="str">
        <f>IF(ISBLANK(D312),"",LARGE(C13:C311,1)+1)</f>
        <v/>
      </c>
      <c r="D312" s="1833"/>
      <c r="E312" s="1810"/>
      <c r="F312" s="1810"/>
      <c r="G312" s="1810"/>
      <c r="H312" s="1810"/>
      <c r="I312" s="1810"/>
      <c r="J312" s="1810"/>
      <c r="K312" s="1810"/>
      <c r="L312" s="1811"/>
      <c r="M312" s="9"/>
      <c r="N312" s="2252" t="s">
        <v>15</v>
      </c>
      <c r="O312" s="2237"/>
      <c r="P312" s="2237"/>
      <c r="Q312" s="2237"/>
      <c r="R312" s="2237"/>
      <c r="S312" s="2240"/>
      <c r="T312" s="2241"/>
      <c r="U312" s="2239"/>
      <c r="V312" s="2242"/>
      <c r="W312" s="2250"/>
      <c r="X312" s="2244"/>
      <c r="Y312" s="2244"/>
      <c r="Z312" s="2245"/>
      <c r="AA312" s="2246"/>
      <c r="AB312" s="2247"/>
      <c r="AC312" s="2248"/>
      <c r="AD312" s="2249"/>
      <c r="AE312" s="2249"/>
      <c r="AF312" s="2238"/>
      <c r="AG312" s="2264"/>
      <c r="AI312" s="2252" t="s">
        <v>15</v>
      </c>
      <c r="AJ312" s="2237"/>
      <c r="AK312" s="2237"/>
      <c r="AL312" s="2237"/>
      <c r="AM312" s="2237"/>
      <c r="AN312" s="2240"/>
      <c r="AO312" s="2241"/>
      <c r="AP312" s="2239"/>
      <c r="AQ312" s="2242"/>
      <c r="AR312" s="2250"/>
      <c r="AS312" s="2244"/>
      <c r="AT312" s="2244"/>
      <c r="AU312" s="2245"/>
      <c r="AV312" s="2246"/>
      <c r="AW312" s="2247"/>
      <c r="AX312" s="2248"/>
      <c r="AY312" s="2249"/>
      <c r="AZ312" s="2249"/>
      <c r="BA312" s="2238"/>
      <c r="BB312" s="2264"/>
      <c r="BD312" s="2252" t="s">
        <v>15</v>
      </c>
      <c r="BE312" s="2237"/>
      <c r="BF312" s="2237"/>
      <c r="BG312" s="2237"/>
      <c r="BH312" s="2237"/>
      <c r="BI312" s="2240"/>
      <c r="BJ312" s="2241"/>
      <c r="BK312" s="2239"/>
      <c r="BL312" s="2242"/>
      <c r="BM312" s="2250"/>
      <c r="BN312" s="2244"/>
      <c r="BO312" s="2244"/>
      <c r="BP312" s="2245"/>
      <c r="BQ312" s="2246"/>
      <c r="BR312" s="2247"/>
      <c r="BS312" s="2248"/>
      <c r="BT312" s="2249"/>
      <c r="BU312" s="2249"/>
      <c r="BV312" s="2238"/>
      <c r="BW312" s="2264"/>
      <c r="BY312" s="3">
        <v>1</v>
      </c>
    </row>
    <row r="313" spans="2:77" ht="21" customHeight="1">
      <c r="B313" s="2265" t="str" cm="1">
        <f t="array" ref="B313">SUMPRODUCT(--(D313:J313&lt;&gt;""), LEN(TRIM(SUBSTITUTE(D313:J313, CHAR(160), "")))) &amp; " Car."</f>
        <v>0 Car.</v>
      </c>
      <c r="C313" s="1376" t="str">
        <f>IF(ISBLANK(D313),"",LARGE(C13:C312,1)+1)</f>
        <v/>
      </c>
      <c r="D313" s="1833"/>
      <c r="E313" s="1810"/>
      <c r="F313" s="1810"/>
      <c r="G313" s="1810"/>
      <c r="H313" s="1810"/>
      <c r="I313" s="1810"/>
      <c r="J313" s="1810"/>
      <c r="K313" s="1810"/>
      <c r="L313" s="1811"/>
      <c r="M313" s="9"/>
      <c r="N313" s="2252" t="s">
        <v>15</v>
      </c>
      <c r="O313" s="2237"/>
      <c r="P313" s="2237"/>
      <c r="Q313" s="2237"/>
      <c r="R313" s="2237"/>
      <c r="S313" s="2240"/>
      <c r="T313" s="2241"/>
      <c r="U313" s="2239"/>
      <c r="V313" s="2242"/>
      <c r="W313" s="2250"/>
      <c r="X313" s="2244"/>
      <c r="Y313" s="2244"/>
      <c r="Z313" s="2245"/>
      <c r="AA313" s="2246"/>
      <c r="AB313" s="2247"/>
      <c r="AC313" s="2248"/>
      <c r="AD313" s="2249"/>
      <c r="AE313" s="2249"/>
      <c r="AF313" s="2238"/>
      <c r="AG313" s="2264"/>
      <c r="AI313" s="2252" t="s">
        <v>15</v>
      </c>
      <c r="AJ313" s="2237"/>
      <c r="AK313" s="2237"/>
      <c r="AL313" s="2237"/>
      <c r="AM313" s="2237"/>
      <c r="AN313" s="2240"/>
      <c r="AO313" s="2241"/>
      <c r="AP313" s="2239"/>
      <c r="AQ313" s="2242"/>
      <c r="AR313" s="2250"/>
      <c r="AS313" s="2244"/>
      <c r="AT313" s="2244"/>
      <c r="AU313" s="2245"/>
      <c r="AV313" s="2246"/>
      <c r="AW313" s="2247"/>
      <c r="AX313" s="2248"/>
      <c r="AY313" s="2249"/>
      <c r="AZ313" s="2249"/>
      <c r="BA313" s="2238"/>
      <c r="BB313" s="2264"/>
      <c r="BD313" s="2252" t="s">
        <v>15</v>
      </c>
      <c r="BE313" s="2237"/>
      <c r="BF313" s="2237"/>
      <c r="BG313" s="2237"/>
      <c r="BH313" s="2237"/>
      <c r="BI313" s="2240"/>
      <c r="BJ313" s="2241"/>
      <c r="BK313" s="2239"/>
      <c r="BL313" s="2242"/>
      <c r="BM313" s="2250"/>
      <c r="BN313" s="2244"/>
      <c r="BO313" s="2244"/>
      <c r="BP313" s="2245"/>
      <c r="BQ313" s="2246"/>
      <c r="BR313" s="2247"/>
      <c r="BS313" s="2248"/>
      <c r="BT313" s="2249"/>
      <c r="BU313" s="2249"/>
      <c r="BV313" s="2238"/>
      <c r="BW313" s="2264"/>
      <c r="BY313" s="3">
        <v>1</v>
      </c>
    </row>
    <row r="314" spans="2:77" ht="21" customHeight="1">
      <c r="B314" s="2265" t="str" cm="1">
        <f t="array" ref="B314">SUMPRODUCT(--(D314:J314&lt;&gt;""), LEN(TRIM(SUBSTITUTE(D314:J314, CHAR(160), "")))) &amp; " Car."</f>
        <v>0 Car.</v>
      </c>
      <c r="C314" s="1376" t="str">
        <f>IF(ISBLANK(D314),"",LARGE(C13:C313,1)+1)</f>
        <v/>
      </c>
      <c r="D314" s="1833"/>
      <c r="E314" s="1810"/>
      <c r="F314" s="1810"/>
      <c r="G314" s="1810"/>
      <c r="H314" s="1810"/>
      <c r="I314" s="1810"/>
      <c r="J314" s="1810"/>
      <c r="K314" s="1810"/>
      <c r="L314" s="1811"/>
      <c r="M314" s="9"/>
      <c r="N314" s="2252" t="s">
        <v>15</v>
      </c>
      <c r="O314" s="2237"/>
      <c r="P314" s="2237"/>
      <c r="Q314" s="2237"/>
      <c r="R314" s="2237"/>
      <c r="S314" s="2240"/>
      <c r="T314" s="2241"/>
      <c r="U314" s="2239"/>
      <c r="V314" s="2242"/>
      <c r="W314" s="2250"/>
      <c r="X314" s="2244"/>
      <c r="Y314" s="2244"/>
      <c r="Z314" s="2245"/>
      <c r="AA314" s="2246"/>
      <c r="AB314" s="2247"/>
      <c r="AC314" s="2248"/>
      <c r="AD314" s="2249"/>
      <c r="AE314" s="2249"/>
      <c r="AF314" s="2238"/>
      <c r="AG314" s="2264"/>
      <c r="AI314" s="2252" t="s">
        <v>15</v>
      </c>
      <c r="AJ314" s="2237"/>
      <c r="AK314" s="2237"/>
      <c r="AL314" s="2237"/>
      <c r="AM314" s="2237"/>
      <c r="AN314" s="2240"/>
      <c r="AO314" s="2241"/>
      <c r="AP314" s="2239"/>
      <c r="AQ314" s="2242"/>
      <c r="AR314" s="2250"/>
      <c r="AS314" s="2244"/>
      <c r="AT314" s="2244"/>
      <c r="AU314" s="2245"/>
      <c r="AV314" s="2246"/>
      <c r="AW314" s="2247"/>
      <c r="AX314" s="2248"/>
      <c r="AY314" s="2249"/>
      <c r="AZ314" s="2249"/>
      <c r="BA314" s="2238"/>
      <c r="BB314" s="2264"/>
      <c r="BD314" s="2252" t="s">
        <v>15</v>
      </c>
      <c r="BE314" s="2237"/>
      <c r="BF314" s="2237"/>
      <c r="BG314" s="2237"/>
      <c r="BH314" s="2237"/>
      <c r="BI314" s="2240"/>
      <c r="BJ314" s="2241"/>
      <c r="BK314" s="2239"/>
      <c r="BL314" s="2242"/>
      <c r="BM314" s="2250"/>
      <c r="BN314" s="2244"/>
      <c r="BO314" s="2244"/>
      <c r="BP314" s="2245"/>
      <c r="BQ314" s="2246"/>
      <c r="BR314" s="2247"/>
      <c r="BS314" s="2248"/>
      <c r="BT314" s="2249"/>
      <c r="BU314" s="2249"/>
      <c r="BV314" s="2238"/>
      <c r="BW314" s="2264"/>
      <c r="BY314" s="3">
        <v>1</v>
      </c>
    </row>
    <row r="315" spans="2:77" ht="21" customHeight="1">
      <c r="B315" s="2265" t="str" cm="1">
        <f t="array" ref="B315">SUMPRODUCT(--(D315:J315&lt;&gt;""), LEN(TRIM(SUBSTITUTE(D315:J315, CHAR(160), "")))) &amp; " Car."</f>
        <v>0 Car.</v>
      </c>
      <c r="C315" s="1376" t="str">
        <f>IF(ISBLANK(D315),"",LARGE(C13:C314,1)+1)</f>
        <v/>
      </c>
      <c r="D315" s="1833"/>
      <c r="E315" s="1810"/>
      <c r="F315" s="1810"/>
      <c r="G315" s="1810"/>
      <c r="H315" s="1810"/>
      <c r="I315" s="1810"/>
      <c r="J315" s="1810"/>
      <c r="K315" s="1810"/>
      <c r="L315" s="1811"/>
      <c r="M315" s="9"/>
      <c r="N315" s="2252" t="s">
        <v>15</v>
      </c>
      <c r="O315" s="2237"/>
      <c r="P315" s="2237"/>
      <c r="Q315" s="2237"/>
      <c r="R315" s="2237"/>
      <c r="S315" s="2240"/>
      <c r="T315" s="2241"/>
      <c r="U315" s="2239"/>
      <c r="V315" s="2242"/>
      <c r="W315" s="2250"/>
      <c r="X315" s="2244"/>
      <c r="Y315" s="2244"/>
      <c r="Z315" s="2245"/>
      <c r="AA315" s="2246"/>
      <c r="AB315" s="2247"/>
      <c r="AC315" s="2248"/>
      <c r="AD315" s="2249"/>
      <c r="AE315" s="2249"/>
      <c r="AF315" s="2238"/>
      <c r="AG315" s="2264"/>
      <c r="AI315" s="2252" t="s">
        <v>15</v>
      </c>
      <c r="AJ315" s="2237"/>
      <c r="AK315" s="2237"/>
      <c r="AL315" s="2237"/>
      <c r="AM315" s="2237"/>
      <c r="AN315" s="2240"/>
      <c r="AO315" s="2241"/>
      <c r="AP315" s="2239"/>
      <c r="AQ315" s="2242"/>
      <c r="AR315" s="2250"/>
      <c r="AS315" s="2244"/>
      <c r="AT315" s="2244"/>
      <c r="AU315" s="2245"/>
      <c r="AV315" s="2246"/>
      <c r="AW315" s="2247"/>
      <c r="AX315" s="2248"/>
      <c r="AY315" s="2249"/>
      <c r="AZ315" s="2249"/>
      <c r="BA315" s="2238"/>
      <c r="BB315" s="2264"/>
      <c r="BD315" s="2252" t="s">
        <v>15</v>
      </c>
      <c r="BE315" s="2237"/>
      <c r="BF315" s="2237"/>
      <c r="BG315" s="2237"/>
      <c r="BH315" s="2237"/>
      <c r="BI315" s="2240"/>
      <c r="BJ315" s="2241"/>
      <c r="BK315" s="2239"/>
      <c r="BL315" s="2242"/>
      <c r="BM315" s="2250"/>
      <c r="BN315" s="2244"/>
      <c r="BO315" s="2244"/>
      <c r="BP315" s="2245"/>
      <c r="BQ315" s="2246"/>
      <c r="BR315" s="2247"/>
      <c r="BS315" s="2248"/>
      <c r="BT315" s="2249"/>
      <c r="BU315" s="2249"/>
      <c r="BV315" s="2238"/>
      <c r="BW315" s="2264"/>
      <c r="BY315" s="3">
        <v>1</v>
      </c>
    </row>
    <row r="316" spans="2:77" ht="21" customHeight="1">
      <c r="B316" s="2265" t="str" cm="1">
        <f t="array" ref="B316">SUMPRODUCT(--(D316:J316&lt;&gt;""), LEN(TRIM(SUBSTITUTE(D316:J316, CHAR(160), "")))) &amp; " Car."</f>
        <v>0 Car.</v>
      </c>
      <c r="C316" s="1376" t="str">
        <f>IF(ISBLANK(D316),"",LARGE(C13:C315,1)+1)</f>
        <v/>
      </c>
      <c r="D316" s="1833"/>
      <c r="E316" s="1810"/>
      <c r="F316" s="1810"/>
      <c r="G316" s="1810"/>
      <c r="H316" s="1810"/>
      <c r="I316" s="1810"/>
      <c r="J316" s="1810"/>
      <c r="K316" s="1810"/>
      <c r="L316" s="1811"/>
      <c r="M316" s="9"/>
      <c r="N316" s="2252" t="s">
        <v>15</v>
      </c>
      <c r="O316" s="2237"/>
      <c r="P316" s="2237"/>
      <c r="Q316" s="2237"/>
      <c r="R316" s="2237"/>
      <c r="S316" s="2240"/>
      <c r="T316" s="2241"/>
      <c r="U316" s="2239"/>
      <c r="V316" s="2242"/>
      <c r="W316" s="2250"/>
      <c r="X316" s="2244"/>
      <c r="Y316" s="2244"/>
      <c r="Z316" s="2245"/>
      <c r="AA316" s="2246"/>
      <c r="AB316" s="2247"/>
      <c r="AC316" s="2248"/>
      <c r="AD316" s="2249"/>
      <c r="AE316" s="2249"/>
      <c r="AF316" s="2238"/>
      <c r="AG316" s="2264"/>
      <c r="AI316" s="2252" t="s">
        <v>15</v>
      </c>
      <c r="AJ316" s="2237"/>
      <c r="AK316" s="2237"/>
      <c r="AL316" s="2237"/>
      <c r="AM316" s="2237"/>
      <c r="AN316" s="2240"/>
      <c r="AO316" s="2241"/>
      <c r="AP316" s="2239"/>
      <c r="AQ316" s="2242"/>
      <c r="AR316" s="2250"/>
      <c r="AS316" s="2244"/>
      <c r="AT316" s="2244"/>
      <c r="AU316" s="2245"/>
      <c r="AV316" s="2246"/>
      <c r="AW316" s="2247"/>
      <c r="AX316" s="2248"/>
      <c r="AY316" s="2249"/>
      <c r="AZ316" s="2249"/>
      <c r="BA316" s="2238"/>
      <c r="BB316" s="2264"/>
      <c r="BD316" s="2252" t="s">
        <v>15</v>
      </c>
      <c r="BE316" s="2237"/>
      <c r="BF316" s="2237"/>
      <c r="BG316" s="2237"/>
      <c r="BH316" s="2237"/>
      <c r="BI316" s="2240"/>
      <c r="BJ316" s="2241"/>
      <c r="BK316" s="2239"/>
      <c r="BL316" s="2242"/>
      <c r="BM316" s="2250"/>
      <c r="BN316" s="2244"/>
      <c r="BO316" s="2244"/>
      <c r="BP316" s="2245"/>
      <c r="BQ316" s="2246"/>
      <c r="BR316" s="2247"/>
      <c r="BS316" s="2248"/>
      <c r="BT316" s="2249"/>
      <c r="BU316" s="2249"/>
      <c r="BV316" s="2238"/>
      <c r="BW316" s="2264"/>
      <c r="BY316" s="3">
        <v>1</v>
      </c>
    </row>
    <row r="317" spans="2:77" ht="21" customHeight="1">
      <c r="B317" s="2265" t="str" cm="1">
        <f t="array" ref="B317">SUMPRODUCT(--(D317:J317&lt;&gt;""), LEN(TRIM(SUBSTITUTE(D317:J317, CHAR(160), "")))) &amp; " Car."</f>
        <v>0 Car.</v>
      </c>
      <c r="C317" s="1376" t="str">
        <f>IF(ISBLANK(D317),"",LARGE(C13:C316,1)+1)</f>
        <v/>
      </c>
      <c r="D317" s="1833"/>
      <c r="E317" s="1810"/>
      <c r="F317" s="1810"/>
      <c r="G317" s="1810"/>
      <c r="H317" s="1810"/>
      <c r="I317" s="1810"/>
      <c r="J317" s="1810"/>
      <c r="K317" s="1810"/>
      <c r="L317" s="1811"/>
      <c r="M317" s="9"/>
      <c r="N317" s="2252" t="s">
        <v>15</v>
      </c>
      <c r="O317" s="2237"/>
      <c r="P317" s="2237"/>
      <c r="Q317" s="2237"/>
      <c r="R317" s="2237"/>
      <c r="S317" s="2240"/>
      <c r="T317" s="2241"/>
      <c r="U317" s="2239"/>
      <c r="V317" s="2242"/>
      <c r="W317" s="2250"/>
      <c r="X317" s="2244"/>
      <c r="Y317" s="2244"/>
      <c r="Z317" s="2245"/>
      <c r="AA317" s="2246"/>
      <c r="AB317" s="2247"/>
      <c r="AC317" s="2248"/>
      <c r="AD317" s="2249"/>
      <c r="AE317" s="2249"/>
      <c r="AF317" s="2238"/>
      <c r="AG317" s="2264"/>
      <c r="AI317" s="2252" t="s">
        <v>15</v>
      </c>
      <c r="AJ317" s="2237"/>
      <c r="AK317" s="2237"/>
      <c r="AL317" s="2237"/>
      <c r="AM317" s="2237"/>
      <c r="AN317" s="2240"/>
      <c r="AO317" s="2241"/>
      <c r="AP317" s="2239"/>
      <c r="AQ317" s="2242"/>
      <c r="AR317" s="2250"/>
      <c r="AS317" s="2244"/>
      <c r="AT317" s="2244"/>
      <c r="AU317" s="2245"/>
      <c r="AV317" s="2246"/>
      <c r="AW317" s="2247"/>
      <c r="AX317" s="2248"/>
      <c r="AY317" s="2249"/>
      <c r="AZ317" s="2249"/>
      <c r="BA317" s="2238"/>
      <c r="BB317" s="2264"/>
      <c r="BD317" s="2252" t="s">
        <v>15</v>
      </c>
      <c r="BE317" s="2237"/>
      <c r="BF317" s="2237"/>
      <c r="BG317" s="2237"/>
      <c r="BH317" s="2237"/>
      <c r="BI317" s="2240"/>
      <c r="BJ317" s="2241"/>
      <c r="BK317" s="2239"/>
      <c r="BL317" s="2242"/>
      <c r="BM317" s="2250"/>
      <c r="BN317" s="2244"/>
      <c r="BO317" s="2244"/>
      <c r="BP317" s="2245"/>
      <c r="BQ317" s="2246"/>
      <c r="BR317" s="2247"/>
      <c r="BS317" s="2248"/>
      <c r="BT317" s="2249"/>
      <c r="BU317" s="2249"/>
      <c r="BV317" s="2238"/>
      <c r="BW317" s="2264"/>
      <c r="BY317" s="3">
        <v>1</v>
      </c>
    </row>
    <row r="318" spans="2:77" ht="21" customHeight="1">
      <c r="B318" s="2265" t="str" cm="1">
        <f t="array" ref="B318">SUMPRODUCT(--(D318:J318&lt;&gt;""), LEN(TRIM(SUBSTITUTE(D318:J318, CHAR(160), "")))) &amp; " Car."</f>
        <v>0 Car.</v>
      </c>
      <c r="C318" s="1376" t="str">
        <f>IF(ISBLANK(D318),"",LARGE(C13:C317,1)+1)</f>
        <v/>
      </c>
      <c r="D318" s="1833"/>
      <c r="E318" s="1810"/>
      <c r="F318" s="1810"/>
      <c r="G318" s="1810"/>
      <c r="H318" s="1810"/>
      <c r="I318" s="1810"/>
      <c r="J318" s="1810"/>
      <c r="K318" s="1810"/>
      <c r="L318" s="1811"/>
      <c r="M318" s="9"/>
      <c r="N318" s="2252" t="s">
        <v>15</v>
      </c>
      <c r="O318" s="2237"/>
      <c r="P318" s="2237"/>
      <c r="Q318" s="2237"/>
      <c r="R318" s="2237"/>
      <c r="S318" s="2240"/>
      <c r="T318" s="2241"/>
      <c r="U318" s="2239"/>
      <c r="V318" s="2242"/>
      <c r="W318" s="2250"/>
      <c r="X318" s="2244"/>
      <c r="Y318" s="2244"/>
      <c r="Z318" s="2245"/>
      <c r="AA318" s="2246"/>
      <c r="AB318" s="2247"/>
      <c r="AC318" s="2248"/>
      <c r="AD318" s="2249"/>
      <c r="AE318" s="2249"/>
      <c r="AF318" s="2238"/>
      <c r="AG318" s="2264"/>
      <c r="AI318" s="2252" t="s">
        <v>15</v>
      </c>
      <c r="AJ318" s="2237"/>
      <c r="AK318" s="2237"/>
      <c r="AL318" s="2237"/>
      <c r="AM318" s="2237"/>
      <c r="AN318" s="2240"/>
      <c r="AO318" s="2241"/>
      <c r="AP318" s="2239"/>
      <c r="AQ318" s="2242"/>
      <c r="AR318" s="2250"/>
      <c r="AS318" s="2244"/>
      <c r="AT318" s="2244"/>
      <c r="AU318" s="2245"/>
      <c r="AV318" s="2246"/>
      <c r="AW318" s="2247"/>
      <c r="AX318" s="2248"/>
      <c r="AY318" s="2249"/>
      <c r="AZ318" s="2249"/>
      <c r="BA318" s="2238"/>
      <c r="BB318" s="2264"/>
      <c r="BD318" s="2252" t="s">
        <v>15</v>
      </c>
      <c r="BE318" s="2237"/>
      <c r="BF318" s="2237"/>
      <c r="BG318" s="2237"/>
      <c r="BH318" s="2237"/>
      <c r="BI318" s="2240"/>
      <c r="BJ318" s="2241"/>
      <c r="BK318" s="2239"/>
      <c r="BL318" s="2242"/>
      <c r="BM318" s="2250"/>
      <c r="BN318" s="2244"/>
      <c r="BO318" s="2244"/>
      <c r="BP318" s="2245"/>
      <c r="BQ318" s="2246"/>
      <c r="BR318" s="2247"/>
      <c r="BS318" s="2248"/>
      <c r="BT318" s="2249"/>
      <c r="BU318" s="2249"/>
      <c r="BV318" s="2238"/>
      <c r="BW318" s="2264"/>
      <c r="BY318" s="3">
        <v>1</v>
      </c>
    </row>
    <row r="319" spans="2:77" ht="21" customHeight="1">
      <c r="B319" s="2265" t="str" cm="1">
        <f t="array" ref="B319">SUMPRODUCT(--(D319:J319&lt;&gt;""), LEN(TRIM(SUBSTITUTE(D319:J319, CHAR(160), "")))) &amp; " Car."</f>
        <v>0 Car.</v>
      </c>
      <c r="C319" s="1376" t="str">
        <f>IF(ISBLANK(D319),"",LARGE(C13:C318,1)+1)</f>
        <v/>
      </c>
      <c r="D319" s="1833"/>
      <c r="E319" s="1810"/>
      <c r="F319" s="1810"/>
      <c r="G319" s="1810"/>
      <c r="H319" s="1810"/>
      <c r="I319" s="1810"/>
      <c r="J319" s="1810"/>
      <c r="K319" s="1810"/>
      <c r="L319" s="1811"/>
      <c r="M319" s="9"/>
      <c r="N319" s="2252" t="s">
        <v>15</v>
      </c>
      <c r="O319" s="2237"/>
      <c r="P319" s="2237"/>
      <c r="Q319" s="2237"/>
      <c r="R319" s="2237"/>
      <c r="S319" s="2240"/>
      <c r="T319" s="2241"/>
      <c r="U319" s="2239"/>
      <c r="V319" s="2242"/>
      <c r="W319" s="2250"/>
      <c r="X319" s="2244"/>
      <c r="Y319" s="2244"/>
      <c r="Z319" s="2245"/>
      <c r="AA319" s="2246"/>
      <c r="AB319" s="2247"/>
      <c r="AC319" s="2248"/>
      <c r="AD319" s="2249"/>
      <c r="AE319" s="2249"/>
      <c r="AF319" s="2238"/>
      <c r="AG319" s="2264"/>
      <c r="AI319" s="2252" t="s">
        <v>15</v>
      </c>
      <c r="AJ319" s="2237"/>
      <c r="AK319" s="2237"/>
      <c r="AL319" s="2237"/>
      <c r="AM319" s="2237"/>
      <c r="AN319" s="2240"/>
      <c r="AO319" s="2241"/>
      <c r="AP319" s="2239"/>
      <c r="AQ319" s="2242"/>
      <c r="AR319" s="2250"/>
      <c r="AS319" s="2244"/>
      <c r="AT319" s="2244"/>
      <c r="AU319" s="2245"/>
      <c r="AV319" s="2246"/>
      <c r="AW319" s="2247"/>
      <c r="AX319" s="2248"/>
      <c r="AY319" s="2249"/>
      <c r="AZ319" s="2249"/>
      <c r="BA319" s="2238"/>
      <c r="BB319" s="2264"/>
      <c r="BD319" s="2252" t="s">
        <v>15</v>
      </c>
      <c r="BE319" s="2237"/>
      <c r="BF319" s="2237"/>
      <c r="BG319" s="2237"/>
      <c r="BH319" s="2237"/>
      <c r="BI319" s="2240"/>
      <c r="BJ319" s="2241"/>
      <c r="BK319" s="2239"/>
      <c r="BL319" s="2242"/>
      <c r="BM319" s="2250"/>
      <c r="BN319" s="2244"/>
      <c r="BO319" s="2244"/>
      <c r="BP319" s="2245"/>
      <c r="BQ319" s="2246"/>
      <c r="BR319" s="2247"/>
      <c r="BS319" s="2248"/>
      <c r="BT319" s="2249"/>
      <c r="BU319" s="2249"/>
      <c r="BV319" s="2238"/>
      <c r="BW319" s="2264"/>
      <c r="BY319" s="3">
        <v>1</v>
      </c>
    </row>
    <row r="320" spans="2:77" ht="21" customHeight="1">
      <c r="B320" s="2265" t="str" cm="1">
        <f t="array" ref="B320">SUMPRODUCT(--(D320:J320&lt;&gt;""), LEN(TRIM(SUBSTITUTE(D320:J320, CHAR(160), "")))) &amp; " Car."</f>
        <v>0 Car.</v>
      </c>
      <c r="C320" s="1376" t="str">
        <f>IF(ISBLANK(D320),"",LARGE(C13:C319,1)+1)</f>
        <v/>
      </c>
      <c r="D320" s="1833"/>
      <c r="E320" s="1810"/>
      <c r="F320" s="1810"/>
      <c r="G320" s="1810"/>
      <c r="H320" s="1810"/>
      <c r="I320" s="1810"/>
      <c r="J320" s="1810"/>
      <c r="K320" s="1810"/>
      <c r="L320" s="1811"/>
      <c r="M320" s="9"/>
      <c r="N320" s="2252" t="s">
        <v>15</v>
      </c>
      <c r="O320" s="2237"/>
      <c r="P320" s="2237"/>
      <c r="Q320" s="2237"/>
      <c r="R320" s="2237"/>
      <c r="S320" s="2240"/>
      <c r="T320" s="2241"/>
      <c r="U320" s="2239"/>
      <c r="V320" s="2242"/>
      <c r="W320" s="2250"/>
      <c r="X320" s="2244"/>
      <c r="Y320" s="2244"/>
      <c r="Z320" s="2245"/>
      <c r="AA320" s="2246"/>
      <c r="AB320" s="2247"/>
      <c r="AC320" s="2248"/>
      <c r="AD320" s="2249"/>
      <c r="AE320" s="2249"/>
      <c r="AF320" s="2238"/>
      <c r="AG320" s="2264"/>
      <c r="AI320" s="2252" t="s">
        <v>15</v>
      </c>
      <c r="AJ320" s="2237"/>
      <c r="AK320" s="2237"/>
      <c r="AL320" s="2237"/>
      <c r="AM320" s="2237"/>
      <c r="AN320" s="2240"/>
      <c r="AO320" s="2241"/>
      <c r="AP320" s="2239"/>
      <c r="AQ320" s="2242"/>
      <c r="AR320" s="2250"/>
      <c r="AS320" s="2244"/>
      <c r="AT320" s="2244"/>
      <c r="AU320" s="2245"/>
      <c r="AV320" s="2246"/>
      <c r="AW320" s="2247"/>
      <c r="AX320" s="2248"/>
      <c r="AY320" s="2249"/>
      <c r="AZ320" s="2249"/>
      <c r="BA320" s="2238"/>
      <c r="BB320" s="2264"/>
      <c r="BD320" s="2252" t="s">
        <v>15</v>
      </c>
      <c r="BE320" s="2237"/>
      <c r="BF320" s="2237"/>
      <c r="BG320" s="2237"/>
      <c r="BH320" s="2237"/>
      <c r="BI320" s="2240"/>
      <c r="BJ320" s="2241"/>
      <c r="BK320" s="2239"/>
      <c r="BL320" s="2242"/>
      <c r="BM320" s="2250"/>
      <c r="BN320" s="2244"/>
      <c r="BO320" s="2244"/>
      <c r="BP320" s="2245"/>
      <c r="BQ320" s="2246"/>
      <c r="BR320" s="2247"/>
      <c r="BS320" s="2248"/>
      <c r="BT320" s="2249"/>
      <c r="BU320" s="2249"/>
      <c r="BV320" s="2238"/>
      <c r="BW320" s="2264"/>
      <c r="BY320" s="3">
        <v>1</v>
      </c>
    </row>
    <row r="321" spans="2:77" ht="21" customHeight="1">
      <c r="B321" s="2265" t="str" cm="1">
        <f t="array" ref="B321">SUMPRODUCT(--(D321:J321&lt;&gt;""), LEN(TRIM(SUBSTITUTE(D321:J321, CHAR(160), "")))) &amp; " Car."</f>
        <v>0 Car.</v>
      </c>
      <c r="C321" s="1376" t="str">
        <f>IF(ISBLANK(D321),"",LARGE(C13:C320,1)+1)</f>
        <v/>
      </c>
      <c r="D321" s="1833"/>
      <c r="E321" s="1810"/>
      <c r="F321" s="1810"/>
      <c r="G321" s="1810"/>
      <c r="H321" s="1810"/>
      <c r="I321" s="1810"/>
      <c r="J321" s="1810"/>
      <c r="K321" s="1810"/>
      <c r="L321" s="1811"/>
      <c r="M321" s="9"/>
      <c r="N321" s="2252" t="s">
        <v>15</v>
      </c>
      <c r="O321" s="2237"/>
      <c r="P321" s="2237"/>
      <c r="Q321" s="2237"/>
      <c r="R321" s="2237"/>
      <c r="S321" s="2240"/>
      <c r="T321" s="2241"/>
      <c r="U321" s="2239"/>
      <c r="V321" s="2242"/>
      <c r="W321" s="2250"/>
      <c r="X321" s="2244"/>
      <c r="Y321" s="2244"/>
      <c r="Z321" s="2245"/>
      <c r="AA321" s="2246"/>
      <c r="AB321" s="2247"/>
      <c r="AC321" s="2248"/>
      <c r="AD321" s="2249"/>
      <c r="AE321" s="2249"/>
      <c r="AF321" s="2238"/>
      <c r="AG321" s="2264"/>
      <c r="AI321" s="2252" t="s">
        <v>15</v>
      </c>
      <c r="AJ321" s="2237"/>
      <c r="AK321" s="2237"/>
      <c r="AL321" s="2237"/>
      <c r="AM321" s="2237"/>
      <c r="AN321" s="2240"/>
      <c r="AO321" s="2241"/>
      <c r="AP321" s="2239"/>
      <c r="AQ321" s="2242"/>
      <c r="AR321" s="2250"/>
      <c r="AS321" s="2244"/>
      <c r="AT321" s="2244"/>
      <c r="AU321" s="2245"/>
      <c r="AV321" s="2246"/>
      <c r="AW321" s="2247"/>
      <c r="AX321" s="2248"/>
      <c r="AY321" s="2249"/>
      <c r="AZ321" s="2249"/>
      <c r="BA321" s="2238"/>
      <c r="BB321" s="2264"/>
      <c r="BD321" s="2252" t="s">
        <v>15</v>
      </c>
      <c r="BE321" s="2237"/>
      <c r="BF321" s="2237"/>
      <c r="BG321" s="2237"/>
      <c r="BH321" s="2237"/>
      <c r="BI321" s="2240"/>
      <c r="BJ321" s="2241"/>
      <c r="BK321" s="2239"/>
      <c r="BL321" s="2242"/>
      <c r="BM321" s="2250"/>
      <c r="BN321" s="2244"/>
      <c r="BO321" s="2244"/>
      <c r="BP321" s="2245"/>
      <c r="BQ321" s="2246"/>
      <c r="BR321" s="2247"/>
      <c r="BS321" s="2248"/>
      <c r="BT321" s="2249"/>
      <c r="BU321" s="2249"/>
      <c r="BV321" s="2238"/>
      <c r="BW321" s="2264"/>
      <c r="BY321" s="3">
        <v>1</v>
      </c>
    </row>
    <row r="322" spans="2:77" ht="21" customHeight="1">
      <c r="B322" s="2265" t="str" cm="1">
        <f t="array" ref="B322">SUMPRODUCT(--(D322:J322&lt;&gt;""), LEN(TRIM(SUBSTITUTE(D322:J322, CHAR(160), "")))) &amp; " Car."</f>
        <v>0 Car.</v>
      </c>
      <c r="C322" s="1376" t="str">
        <f>IF(ISBLANK(D322),"",LARGE(C13:C321,1)+1)</f>
        <v/>
      </c>
      <c r="D322" s="1833"/>
      <c r="E322" s="1810"/>
      <c r="F322" s="1810"/>
      <c r="G322" s="1810"/>
      <c r="H322" s="1810"/>
      <c r="I322" s="1810"/>
      <c r="J322" s="1810"/>
      <c r="K322" s="1810"/>
      <c r="L322" s="1811"/>
      <c r="M322" s="9"/>
      <c r="N322" s="2252" t="s">
        <v>15</v>
      </c>
      <c r="O322" s="2237"/>
      <c r="P322" s="2237"/>
      <c r="Q322" s="2237"/>
      <c r="R322" s="2237"/>
      <c r="S322" s="2240"/>
      <c r="T322" s="2241"/>
      <c r="U322" s="2239"/>
      <c r="V322" s="2242"/>
      <c r="W322" s="2250"/>
      <c r="X322" s="2244"/>
      <c r="Y322" s="2244"/>
      <c r="Z322" s="2245"/>
      <c r="AA322" s="2246"/>
      <c r="AB322" s="2247"/>
      <c r="AC322" s="2248"/>
      <c r="AD322" s="2249"/>
      <c r="AE322" s="2249"/>
      <c r="AF322" s="2238"/>
      <c r="AG322" s="2264"/>
      <c r="AI322" s="2252" t="s">
        <v>15</v>
      </c>
      <c r="AJ322" s="2237"/>
      <c r="AK322" s="2237"/>
      <c r="AL322" s="2237"/>
      <c r="AM322" s="2237"/>
      <c r="AN322" s="2240"/>
      <c r="AO322" s="2241"/>
      <c r="AP322" s="2239"/>
      <c r="AQ322" s="2242"/>
      <c r="AR322" s="2250"/>
      <c r="AS322" s="2244"/>
      <c r="AT322" s="2244"/>
      <c r="AU322" s="2245"/>
      <c r="AV322" s="2246"/>
      <c r="AW322" s="2247"/>
      <c r="AX322" s="2248"/>
      <c r="AY322" s="2249"/>
      <c r="AZ322" s="2249"/>
      <c r="BA322" s="2238"/>
      <c r="BB322" s="2264"/>
      <c r="BD322" s="2252" t="s">
        <v>15</v>
      </c>
      <c r="BE322" s="2237"/>
      <c r="BF322" s="2237"/>
      <c r="BG322" s="2237"/>
      <c r="BH322" s="2237"/>
      <c r="BI322" s="2240"/>
      <c r="BJ322" s="2241"/>
      <c r="BK322" s="2239"/>
      <c r="BL322" s="2242"/>
      <c r="BM322" s="2250"/>
      <c r="BN322" s="2244"/>
      <c r="BO322" s="2244"/>
      <c r="BP322" s="2245"/>
      <c r="BQ322" s="2246"/>
      <c r="BR322" s="2247"/>
      <c r="BS322" s="2248"/>
      <c r="BT322" s="2249"/>
      <c r="BU322" s="2249"/>
      <c r="BV322" s="2238"/>
      <c r="BW322" s="2264"/>
      <c r="BY322" s="3">
        <v>1</v>
      </c>
    </row>
    <row r="323" spans="2:77" ht="21" customHeight="1">
      <c r="B323" s="2265" t="str" cm="1">
        <f t="array" ref="B323">SUMPRODUCT(--(D323:J323&lt;&gt;""), LEN(TRIM(SUBSTITUTE(D323:J323, CHAR(160), "")))) &amp; " Car."</f>
        <v>0 Car.</v>
      </c>
      <c r="C323" s="1376" t="str">
        <f>IF(ISBLANK(D323),"",LARGE(C13:C322,1)+1)</f>
        <v/>
      </c>
      <c r="D323" s="1833"/>
      <c r="E323" s="1810"/>
      <c r="F323" s="1810"/>
      <c r="G323" s="1810"/>
      <c r="H323" s="1810"/>
      <c r="I323" s="1810"/>
      <c r="J323" s="1810"/>
      <c r="K323" s="1810"/>
      <c r="L323" s="1811"/>
      <c r="M323" s="9"/>
      <c r="N323" s="2252" t="s">
        <v>15</v>
      </c>
      <c r="O323" s="2237"/>
      <c r="P323" s="2237"/>
      <c r="Q323" s="2237"/>
      <c r="R323" s="2237"/>
      <c r="S323" s="2240"/>
      <c r="T323" s="2241"/>
      <c r="U323" s="2239"/>
      <c r="V323" s="2242"/>
      <c r="W323" s="2250"/>
      <c r="X323" s="2244"/>
      <c r="Y323" s="2244"/>
      <c r="Z323" s="2245"/>
      <c r="AA323" s="2246"/>
      <c r="AB323" s="2247"/>
      <c r="AC323" s="2248"/>
      <c r="AD323" s="2249"/>
      <c r="AE323" s="2249"/>
      <c r="AF323" s="2238"/>
      <c r="AG323" s="2264"/>
      <c r="AI323" s="2252" t="s">
        <v>15</v>
      </c>
      <c r="AJ323" s="2237"/>
      <c r="AK323" s="2237"/>
      <c r="AL323" s="2237"/>
      <c r="AM323" s="2237"/>
      <c r="AN323" s="2240"/>
      <c r="AO323" s="2241"/>
      <c r="AP323" s="2239"/>
      <c r="AQ323" s="2242"/>
      <c r="AR323" s="2250"/>
      <c r="AS323" s="2244"/>
      <c r="AT323" s="2244"/>
      <c r="AU323" s="2245"/>
      <c r="AV323" s="2246"/>
      <c r="AW323" s="2247"/>
      <c r="AX323" s="2248"/>
      <c r="AY323" s="2249"/>
      <c r="AZ323" s="2249"/>
      <c r="BA323" s="2238"/>
      <c r="BB323" s="2264"/>
      <c r="BD323" s="2252" t="s">
        <v>15</v>
      </c>
      <c r="BE323" s="2237"/>
      <c r="BF323" s="2237"/>
      <c r="BG323" s="2237"/>
      <c r="BH323" s="2237"/>
      <c r="BI323" s="2240"/>
      <c r="BJ323" s="2241"/>
      <c r="BK323" s="2239"/>
      <c r="BL323" s="2242"/>
      <c r="BM323" s="2250"/>
      <c r="BN323" s="2244"/>
      <c r="BO323" s="2244"/>
      <c r="BP323" s="2245"/>
      <c r="BQ323" s="2246"/>
      <c r="BR323" s="2247"/>
      <c r="BS323" s="2248"/>
      <c r="BT323" s="2249"/>
      <c r="BU323" s="2249"/>
      <c r="BV323" s="2238"/>
      <c r="BW323" s="2264"/>
      <c r="BY323" s="3">
        <v>1</v>
      </c>
    </row>
    <row r="324" spans="2:77" ht="21" customHeight="1">
      <c r="B324" s="2265" t="str" cm="1">
        <f t="array" ref="B324">SUMPRODUCT(--(D324:J324&lt;&gt;""), LEN(TRIM(SUBSTITUTE(D324:J324, CHAR(160), "")))) &amp; " Car."</f>
        <v>0 Car.</v>
      </c>
      <c r="C324" s="1376" t="str">
        <f>IF(ISBLANK(D324),"",LARGE(C13:C323,1)+1)</f>
        <v/>
      </c>
      <c r="D324" s="1833"/>
      <c r="E324" s="1810"/>
      <c r="F324" s="1810"/>
      <c r="G324" s="1810"/>
      <c r="H324" s="1810"/>
      <c r="I324" s="1810"/>
      <c r="J324" s="1810"/>
      <c r="K324" s="1810"/>
      <c r="L324" s="1811"/>
      <c r="M324" s="9"/>
      <c r="N324" s="2252" t="s">
        <v>15</v>
      </c>
      <c r="O324" s="2237"/>
      <c r="P324" s="2237"/>
      <c r="Q324" s="2237"/>
      <c r="R324" s="2237"/>
      <c r="S324" s="2240"/>
      <c r="T324" s="2241"/>
      <c r="U324" s="2239"/>
      <c r="V324" s="2242"/>
      <c r="W324" s="2250"/>
      <c r="X324" s="2244"/>
      <c r="Y324" s="2244"/>
      <c r="Z324" s="2245"/>
      <c r="AA324" s="2246"/>
      <c r="AB324" s="2247"/>
      <c r="AC324" s="2248"/>
      <c r="AD324" s="2249"/>
      <c r="AE324" s="2249"/>
      <c r="AF324" s="2238"/>
      <c r="AG324" s="2264"/>
      <c r="AI324" s="2252" t="s">
        <v>15</v>
      </c>
      <c r="AJ324" s="2237"/>
      <c r="AK324" s="2237"/>
      <c r="AL324" s="2237"/>
      <c r="AM324" s="2237"/>
      <c r="AN324" s="2240"/>
      <c r="AO324" s="2241"/>
      <c r="AP324" s="2239"/>
      <c r="AQ324" s="2242"/>
      <c r="AR324" s="2250"/>
      <c r="AS324" s="2244"/>
      <c r="AT324" s="2244"/>
      <c r="AU324" s="2245"/>
      <c r="AV324" s="2246"/>
      <c r="AW324" s="2247"/>
      <c r="AX324" s="2248"/>
      <c r="AY324" s="2249"/>
      <c r="AZ324" s="2249"/>
      <c r="BA324" s="2238"/>
      <c r="BB324" s="2264"/>
      <c r="BD324" s="2252" t="s">
        <v>15</v>
      </c>
      <c r="BE324" s="2237"/>
      <c r="BF324" s="2237"/>
      <c r="BG324" s="2237"/>
      <c r="BH324" s="2237"/>
      <c r="BI324" s="2240"/>
      <c r="BJ324" s="2241"/>
      <c r="BK324" s="2239"/>
      <c r="BL324" s="2242"/>
      <c r="BM324" s="2250"/>
      <c r="BN324" s="2244"/>
      <c r="BO324" s="2244"/>
      <c r="BP324" s="2245"/>
      <c r="BQ324" s="2246"/>
      <c r="BR324" s="2247"/>
      <c r="BS324" s="2248"/>
      <c r="BT324" s="2249"/>
      <c r="BU324" s="2249"/>
      <c r="BV324" s="2238"/>
      <c r="BW324" s="2264"/>
      <c r="BY324" s="3">
        <v>1</v>
      </c>
    </row>
    <row r="325" spans="2:77" ht="21" customHeight="1">
      <c r="B325" s="2265" t="str" cm="1">
        <f t="array" ref="B325">SUMPRODUCT(--(D325:J325&lt;&gt;""), LEN(TRIM(SUBSTITUTE(D325:J325, CHAR(160), "")))) &amp; " Car."</f>
        <v>0 Car.</v>
      </c>
      <c r="C325" s="1376" t="str">
        <f>IF(ISBLANK(D325),"",LARGE(C13:C324,1)+1)</f>
        <v/>
      </c>
      <c r="D325" s="1833"/>
      <c r="E325" s="1810"/>
      <c r="F325" s="1810"/>
      <c r="G325" s="1810"/>
      <c r="H325" s="1810"/>
      <c r="I325" s="1810"/>
      <c r="J325" s="1810"/>
      <c r="K325" s="1810"/>
      <c r="L325" s="1811"/>
      <c r="M325" s="9"/>
      <c r="N325" s="2252" t="s">
        <v>15</v>
      </c>
      <c r="O325" s="2237"/>
      <c r="P325" s="2237"/>
      <c r="Q325" s="2237"/>
      <c r="R325" s="2237"/>
      <c r="S325" s="2240"/>
      <c r="T325" s="2241"/>
      <c r="U325" s="2239"/>
      <c r="V325" s="2242"/>
      <c r="W325" s="2250"/>
      <c r="X325" s="2244"/>
      <c r="Y325" s="2244"/>
      <c r="Z325" s="2245"/>
      <c r="AA325" s="2246"/>
      <c r="AB325" s="2247"/>
      <c r="AC325" s="2248"/>
      <c r="AD325" s="2249"/>
      <c r="AE325" s="2249"/>
      <c r="AF325" s="2238"/>
      <c r="AG325" s="2264"/>
      <c r="AI325" s="2252" t="s">
        <v>15</v>
      </c>
      <c r="AJ325" s="2237"/>
      <c r="AK325" s="2237"/>
      <c r="AL325" s="2237"/>
      <c r="AM325" s="2237"/>
      <c r="AN325" s="2240"/>
      <c r="AO325" s="2241"/>
      <c r="AP325" s="2239"/>
      <c r="AQ325" s="2242"/>
      <c r="AR325" s="2250"/>
      <c r="AS325" s="2244"/>
      <c r="AT325" s="2244"/>
      <c r="AU325" s="2245"/>
      <c r="AV325" s="2246"/>
      <c r="AW325" s="2247"/>
      <c r="AX325" s="2248"/>
      <c r="AY325" s="2249"/>
      <c r="AZ325" s="2249"/>
      <c r="BA325" s="2238"/>
      <c r="BB325" s="2264"/>
      <c r="BD325" s="2252" t="s">
        <v>15</v>
      </c>
      <c r="BE325" s="2237"/>
      <c r="BF325" s="2237"/>
      <c r="BG325" s="2237"/>
      <c r="BH325" s="2237"/>
      <c r="BI325" s="2240"/>
      <c r="BJ325" s="2241"/>
      <c r="BK325" s="2239"/>
      <c r="BL325" s="2242"/>
      <c r="BM325" s="2250"/>
      <c r="BN325" s="2244"/>
      <c r="BO325" s="2244"/>
      <c r="BP325" s="2245"/>
      <c r="BQ325" s="2246"/>
      <c r="BR325" s="2247"/>
      <c r="BS325" s="2248"/>
      <c r="BT325" s="2249"/>
      <c r="BU325" s="2249"/>
      <c r="BV325" s="2238"/>
      <c r="BW325" s="2264"/>
      <c r="BY325" s="3">
        <v>1</v>
      </c>
    </row>
    <row r="326" spans="2:77" ht="21" customHeight="1">
      <c r="B326" s="2265" t="str" cm="1">
        <f t="array" ref="B326">SUMPRODUCT(--(D326:J326&lt;&gt;""), LEN(TRIM(SUBSTITUTE(D326:J326, CHAR(160), "")))) &amp; " Car."</f>
        <v>0 Car.</v>
      </c>
      <c r="C326" s="1376" t="str">
        <f>IF(ISBLANK(D326),"",LARGE(C13:C325,1)+1)</f>
        <v/>
      </c>
      <c r="D326" s="1833"/>
      <c r="E326" s="1810"/>
      <c r="F326" s="1810"/>
      <c r="G326" s="1810"/>
      <c r="H326" s="1810"/>
      <c r="I326" s="1810"/>
      <c r="J326" s="1810"/>
      <c r="K326" s="1810"/>
      <c r="L326" s="1811"/>
      <c r="M326" s="9"/>
      <c r="N326" s="2252" t="s">
        <v>15</v>
      </c>
      <c r="O326" s="2237"/>
      <c r="P326" s="2237"/>
      <c r="Q326" s="2237"/>
      <c r="R326" s="2237"/>
      <c r="S326" s="2240"/>
      <c r="T326" s="2241"/>
      <c r="U326" s="2239"/>
      <c r="V326" s="2242"/>
      <c r="W326" s="2250"/>
      <c r="X326" s="2244"/>
      <c r="Y326" s="2244"/>
      <c r="Z326" s="2245"/>
      <c r="AA326" s="2246"/>
      <c r="AB326" s="2247"/>
      <c r="AC326" s="2248"/>
      <c r="AD326" s="2249"/>
      <c r="AE326" s="2249"/>
      <c r="AF326" s="2238"/>
      <c r="AG326" s="2264"/>
      <c r="AI326" s="2252" t="s">
        <v>15</v>
      </c>
      <c r="AJ326" s="2237"/>
      <c r="AK326" s="2237"/>
      <c r="AL326" s="2237"/>
      <c r="AM326" s="2237"/>
      <c r="AN326" s="2240"/>
      <c r="AO326" s="2241"/>
      <c r="AP326" s="2239"/>
      <c r="AQ326" s="2242"/>
      <c r="AR326" s="2250"/>
      <c r="AS326" s="2244"/>
      <c r="AT326" s="2244"/>
      <c r="AU326" s="2245"/>
      <c r="AV326" s="2246"/>
      <c r="AW326" s="2247"/>
      <c r="AX326" s="2248"/>
      <c r="AY326" s="2249"/>
      <c r="AZ326" s="2249"/>
      <c r="BA326" s="2238"/>
      <c r="BB326" s="2264"/>
      <c r="BD326" s="2252" t="s">
        <v>15</v>
      </c>
      <c r="BE326" s="2237"/>
      <c r="BF326" s="2237"/>
      <c r="BG326" s="2237"/>
      <c r="BH326" s="2237"/>
      <c r="BI326" s="2240"/>
      <c r="BJ326" s="2241"/>
      <c r="BK326" s="2239"/>
      <c r="BL326" s="2242"/>
      <c r="BM326" s="2250"/>
      <c r="BN326" s="2244"/>
      <c r="BO326" s="2244"/>
      <c r="BP326" s="2245"/>
      <c r="BQ326" s="2246"/>
      <c r="BR326" s="2247"/>
      <c r="BS326" s="2248"/>
      <c r="BT326" s="2249"/>
      <c r="BU326" s="2249"/>
      <c r="BV326" s="2238"/>
      <c r="BW326" s="2264"/>
      <c r="BY326" s="3">
        <v>1</v>
      </c>
    </row>
    <row r="327" spans="2:77" ht="21" customHeight="1">
      <c r="B327" s="2265" t="str" cm="1">
        <f t="array" ref="B327">SUMPRODUCT(--(D327:J327&lt;&gt;""), LEN(TRIM(SUBSTITUTE(D327:J327, CHAR(160), "")))) &amp; " Car."</f>
        <v>0 Car.</v>
      </c>
      <c r="C327" s="1376" t="str">
        <f>IF(ISBLANK(D327),"",LARGE(C13:C326,1)+1)</f>
        <v/>
      </c>
      <c r="D327" s="1833"/>
      <c r="E327" s="1810"/>
      <c r="F327" s="1810"/>
      <c r="G327" s="1810"/>
      <c r="H327" s="1810"/>
      <c r="I327" s="1810"/>
      <c r="J327" s="1810"/>
      <c r="K327" s="1810"/>
      <c r="L327" s="1811"/>
      <c r="M327" s="9"/>
      <c r="N327" s="2252" t="s">
        <v>15</v>
      </c>
      <c r="O327" s="2237"/>
      <c r="P327" s="2237"/>
      <c r="Q327" s="2237"/>
      <c r="R327" s="2237"/>
      <c r="S327" s="2240"/>
      <c r="T327" s="2241"/>
      <c r="U327" s="2239"/>
      <c r="V327" s="2242"/>
      <c r="W327" s="2250"/>
      <c r="X327" s="2244"/>
      <c r="Y327" s="2244"/>
      <c r="Z327" s="2245"/>
      <c r="AA327" s="2246"/>
      <c r="AB327" s="2247"/>
      <c r="AC327" s="2248"/>
      <c r="AD327" s="2249"/>
      <c r="AE327" s="2249"/>
      <c r="AF327" s="2238"/>
      <c r="AG327" s="2264"/>
      <c r="AI327" s="2252" t="s">
        <v>15</v>
      </c>
      <c r="AJ327" s="2237"/>
      <c r="AK327" s="2237"/>
      <c r="AL327" s="2237"/>
      <c r="AM327" s="2237"/>
      <c r="AN327" s="2240"/>
      <c r="AO327" s="2241"/>
      <c r="AP327" s="2239"/>
      <c r="AQ327" s="2242"/>
      <c r="AR327" s="2250"/>
      <c r="AS327" s="2244"/>
      <c r="AT327" s="2244"/>
      <c r="AU327" s="2245"/>
      <c r="AV327" s="2246"/>
      <c r="AW327" s="2247"/>
      <c r="AX327" s="2248"/>
      <c r="AY327" s="2249"/>
      <c r="AZ327" s="2249"/>
      <c r="BA327" s="2238"/>
      <c r="BB327" s="2264"/>
      <c r="BD327" s="2252" t="s">
        <v>15</v>
      </c>
      <c r="BE327" s="2237"/>
      <c r="BF327" s="2237"/>
      <c r="BG327" s="2237"/>
      <c r="BH327" s="2237"/>
      <c r="BI327" s="2240"/>
      <c r="BJ327" s="2241"/>
      <c r="BK327" s="2239"/>
      <c r="BL327" s="2242"/>
      <c r="BM327" s="2250"/>
      <c r="BN327" s="2244"/>
      <c r="BO327" s="2244"/>
      <c r="BP327" s="2245"/>
      <c r="BQ327" s="2246"/>
      <c r="BR327" s="2247"/>
      <c r="BS327" s="2248"/>
      <c r="BT327" s="2249"/>
      <c r="BU327" s="2249"/>
      <c r="BV327" s="2238"/>
      <c r="BW327" s="2264"/>
      <c r="BY327" s="3">
        <v>1</v>
      </c>
    </row>
    <row r="328" spans="2:77" ht="21" customHeight="1">
      <c r="B328" s="2265" t="str" cm="1">
        <f t="array" ref="B328">SUMPRODUCT(--(D328:J328&lt;&gt;""), LEN(TRIM(SUBSTITUTE(D328:J328, CHAR(160), "")))) &amp; " Car."</f>
        <v>0 Car.</v>
      </c>
      <c r="C328" s="1376" t="str">
        <f>IF(ISBLANK(D328),"",LARGE(C13:C327,1)+1)</f>
        <v/>
      </c>
      <c r="D328" s="1833"/>
      <c r="E328" s="1810"/>
      <c r="F328" s="1810"/>
      <c r="G328" s="1810"/>
      <c r="H328" s="1810"/>
      <c r="I328" s="1810"/>
      <c r="J328" s="1810"/>
      <c r="K328" s="1810"/>
      <c r="L328" s="1811"/>
      <c r="M328" s="9"/>
      <c r="N328" s="2252" t="s">
        <v>15</v>
      </c>
      <c r="O328" s="2237"/>
      <c r="P328" s="2237"/>
      <c r="Q328" s="2237"/>
      <c r="R328" s="2237"/>
      <c r="S328" s="2240"/>
      <c r="T328" s="2241"/>
      <c r="U328" s="2239"/>
      <c r="V328" s="2242"/>
      <c r="W328" s="2250"/>
      <c r="X328" s="2244"/>
      <c r="Y328" s="2244"/>
      <c r="Z328" s="2245"/>
      <c r="AA328" s="2246"/>
      <c r="AB328" s="2247"/>
      <c r="AC328" s="2248"/>
      <c r="AD328" s="2249"/>
      <c r="AE328" s="2249"/>
      <c r="AF328" s="2238"/>
      <c r="AG328" s="2264"/>
      <c r="AI328" s="2252" t="s">
        <v>15</v>
      </c>
      <c r="AJ328" s="2237"/>
      <c r="AK328" s="2237"/>
      <c r="AL328" s="2237"/>
      <c r="AM328" s="2237"/>
      <c r="AN328" s="2240"/>
      <c r="AO328" s="2241"/>
      <c r="AP328" s="2239"/>
      <c r="AQ328" s="2242"/>
      <c r="AR328" s="2250"/>
      <c r="AS328" s="2244"/>
      <c r="AT328" s="2244"/>
      <c r="AU328" s="2245"/>
      <c r="AV328" s="2246"/>
      <c r="AW328" s="2247"/>
      <c r="AX328" s="2248"/>
      <c r="AY328" s="2249"/>
      <c r="AZ328" s="2249"/>
      <c r="BA328" s="2238"/>
      <c r="BB328" s="2264"/>
      <c r="BD328" s="2252" t="s">
        <v>15</v>
      </c>
      <c r="BE328" s="2237"/>
      <c r="BF328" s="2237"/>
      <c r="BG328" s="2237"/>
      <c r="BH328" s="2237"/>
      <c r="BI328" s="2240"/>
      <c r="BJ328" s="2241"/>
      <c r="BK328" s="2239"/>
      <c r="BL328" s="2242"/>
      <c r="BM328" s="2250"/>
      <c r="BN328" s="2244"/>
      <c r="BO328" s="2244"/>
      <c r="BP328" s="2245"/>
      <c r="BQ328" s="2246"/>
      <c r="BR328" s="2247"/>
      <c r="BS328" s="2248"/>
      <c r="BT328" s="2249"/>
      <c r="BU328" s="2249"/>
      <c r="BV328" s="2238"/>
      <c r="BW328" s="2264"/>
      <c r="BY328" s="3">
        <v>1</v>
      </c>
    </row>
    <row r="329" spans="2:77" ht="21" customHeight="1">
      <c r="B329" s="2265" t="str" cm="1">
        <f t="array" ref="B329">SUMPRODUCT(--(D329:J329&lt;&gt;""), LEN(TRIM(SUBSTITUTE(D329:J329, CHAR(160), "")))) &amp; " Car."</f>
        <v>0 Car.</v>
      </c>
      <c r="C329" s="1376" t="str">
        <f>IF(ISBLANK(D329),"",LARGE(C13:C328,1)+1)</f>
        <v/>
      </c>
      <c r="D329" s="1833"/>
      <c r="E329" s="1810"/>
      <c r="F329" s="1810"/>
      <c r="G329" s="1810"/>
      <c r="H329" s="1810"/>
      <c r="I329" s="1810"/>
      <c r="J329" s="1810"/>
      <c r="K329" s="1810"/>
      <c r="L329" s="1811"/>
      <c r="M329" s="9"/>
      <c r="N329" s="2252" t="s">
        <v>15</v>
      </c>
      <c r="O329" s="2237"/>
      <c r="P329" s="2237"/>
      <c r="Q329" s="2237"/>
      <c r="R329" s="2237"/>
      <c r="S329" s="2240"/>
      <c r="T329" s="2241"/>
      <c r="U329" s="2239"/>
      <c r="V329" s="2242"/>
      <c r="W329" s="2250"/>
      <c r="X329" s="2244"/>
      <c r="Y329" s="2244"/>
      <c r="Z329" s="2245"/>
      <c r="AA329" s="2246"/>
      <c r="AB329" s="2247"/>
      <c r="AC329" s="2248"/>
      <c r="AD329" s="2249"/>
      <c r="AE329" s="2249"/>
      <c r="AF329" s="2238"/>
      <c r="AG329" s="2264"/>
      <c r="AI329" s="2252" t="s">
        <v>15</v>
      </c>
      <c r="AJ329" s="2237"/>
      <c r="AK329" s="2237"/>
      <c r="AL329" s="2237"/>
      <c r="AM329" s="2237"/>
      <c r="AN329" s="2240"/>
      <c r="AO329" s="2241"/>
      <c r="AP329" s="2239"/>
      <c r="AQ329" s="2242"/>
      <c r="AR329" s="2250"/>
      <c r="AS329" s="2244"/>
      <c r="AT329" s="2244"/>
      <c r="AU329" s="2245"/>
      <c r="AV329" s="2246"/>
      <c r="AW329" s="2247"/>
      <c r="AX329" s="2248"/>
      <c r="AY329" s="2249"/>
      <c r="AZ329" s="2249"/>
      <c r="BA329" s="2238"/>
      <c r="BB329" s="2264"/>
      <c r="BD329" s="2252" t="s">
        <v>15</v>
      </c>
      <c r="BE329" s="2237"/>
      <c r="BF329" s="2237"/>
      <c r="BG329" s="2237"/>
      <c r="BH329" s="2237"/>
      <c r="BI329" s="2240"/>
      <c r="BJ329" s="2241"/>
      <c r="BK329" s="2239"/>
      <c r="BL329" s="2242"/>
      <c r="BM329" s="2250"/>
      <c r="BN329" s="2244"/>
      <c r="BO329" s="2244"/>
      <c r="BP329" s="2245"/>
      <c r="BQ329" s="2246"/>
      <c r="BR329" s="2247"/>
      <c r="BS329" s="2248"/>
      <c r="BT329" s="2249"/>
      <c r="BU329" s="2249"/>
      <c r="BV329" s="2238"/>
      <c r="BW329" s="2264"/>
      <c r="BY329" s="3">
        <v>1</v>
      </c>
    </row>
    <row r="330" spans="2:77" ht="21" customHeight="1">
      <c r="B330" s="2265" t="str" cm="1">
        <f t="array" ref="B330">SUMPRODUCT(--(D330:J330&lt;&gt;""), LEN(TRIM(SUBSTITUTE(D330:J330, CHAR(160), "")))) &amp; " Car."</f>
        <v>0 Car.</v>
      </c>
      <c r="C330" s="1376" t="str">
        <f>IF(ISBLANK(D330),"",LARGE(C13:C329,1)+1)</f>
        <v/>
      </c>
      <c r="D330" s="1833"/>
      <c r="E330" s="1810"/>
      <c r="F330" s="1810"/>
      <c r="G330" s="1810"/>
      <c r="H330" s="1810"/>
      <c r="I330" s="1810"/>
      <c r="J330" s="1810"/>
      <c r="K330" s="1810"/>
      <c r="L330" s="1811"/>
      <c r="M330" s="9"/>
      <c r="N330" s="2252" t="s">
        <v>15</v>
      </c>
      <c r="O330" s="2237"/>
      <c r="P330" s="2237"/>
      <c r="Q330" s="2237"/>
      <c r="R330" s="2237"/>
      <c r="S330" s="2240"/>
      <c r="T330" s="2241"/>
      <c r="U330" s="2239"/>
      <c r="V330" s="2242"/>
      <c r="W330" s="2250"/>
      <c r="X330" s="2244"/>
      <c r="Y330" s="2244"/>
      <c r="Z330" s="2245"/>
      <c r="AA330" s="2246"/>
      <c r="AB330" s="2247"/>
      <c r="AC330" s="2248"/>
      <c r="AD330" s="2249"/>
      <c r="AE330" s="2249"/>
      <c r="AF330" s="2238"/>
      <c r="AG330" s="2264"/>
      <c r="AI330" s="2252" t="s">
        <v>15</v>
      </c>
      <c r="AJ330" s="2237"/>
      <c r="AK330" s="2237"/>
      <c r="AL330" s="2237"/>
      <c r="AM330" s="2237"/>
      <c r="AN330" s="2240"/>
      <c r="AO330" s="2241"/>
      <c r="AP330" s="2239"/>
      <c r="AQ330" s="2242"/>
      <c r="AR330" s="2250"/>
      <c r="AS330" s="2244"/>
      <c r="AT330" s="2244"/>
      <c r="AU330" s="2245"/>
      <c r="AV330" s="2246"/>
      <c r="AW330" s="2247"/>
      <c r="AX330" s="2248"/>
      <c r="AY330" s="2249"/>
      <c r="AZ330" s="2249"/>
      <c r="BA330" s="2238"/>
      <c r="BB330" s="2264"/>
      <c r="BD330" s="2252" t="s">
        <v>15</v>
      </c>
      <c r="BE330" s="2237"/>
      <c r="BF330" s="2237"/>
      <c r="BG330" s="2237"/>
      <c r="BH330" s="2237"/>
      <c r="BI330" s="2240"/>
      <c r="BJ330" s="2241"/>
      <c r="BK330" s="2239"/>
      <c r="BL330" s="2242"/>
      <c r="BM330" s="2250"/>
      <c r="BN330" s="2244"/>
      <c r="BO330" s="2244"/>
      <c r="BP330" s="2245"/>
      <c r="BQ330" s="2246"/>
      <c r="BR330" s="2247"/>
      <c r="BS330" s="2248"/>
      <c r="BT330" s="2249"/>
      <c r="BU330" s="2249"/>
      <c r="BV330" s="2238"/>
      <c r="BW330" s="2264"/>
      <c r="BY330" s="3">
        <v>1</v>
      </c>
    </row>
    <row r="331" spans="2:77" ht="21" customHeight="1">
      <c r="B331" s="2265" t="str" cm="1">
        <f t="array" ref="B331">SUMPRODUCT(--(D331:J331&lt;&gt;""), LEN(TRIM(SUBSTITUTE(D331:J331, CHAR(160), "")))) &amp; " Car."</f>
        <v>0 Car.</v>
      </c>
      <c r="C331" s="1376" t="str">
        <f>IF(ISBLANK(D331),"",LARGE(C13:C330,1)+1)</f>
        <v/>
      </c>
      <c r="D331" s="1833"/>
      <c r="E331" s="1810"/>
      <c r="F331" s="1810"/>
      <c r="G331" s="1810"/>
      <c r="H331" s="1810"/>
      <c r="I331" s="1810"/>
      <c r="J331" s="1810"/>
      <c r="K331" s="1810"/>
      <c r="L331" s="1811"/>
      <c r="M331" s="9"/>
      <c r="N331" s="2252" t="s">
        <v>15</v>
      </c>
      <c r="O331" s="2237"/>
      <c r="P331" s="2237"/>
      <c r="Q331" s="2237"/>
      <c r="R331" s="2237"/>
      <c r="S331" s="2240"/>
      <c r="T331" s="2241"/>
      <c r="U331" s="2239"/>
      <c r="V331" s="2242"/>
      <c r="W331" s="2250"/>
      <c r="X331" s="2244"/>
      <c r="Y331" s="2244"/>
      <c r="Z331" s="2245"/>
      <c r="AA331" s="2246"/>
      <c r="AB331" s="2247"/>
      <c r="AC331" s="2248"/>
      <c r="AD331" s="2249"/>
      <c r="AE331" s="2249"/>
      <c r="AF331" s="2238"/>
      <c r="AG331" s="2264"/>
      <c r="AI331" s="2252" t="s">
        <v>15</v>
      </c>
      <c r="AJ331" s="2237"/>
      <c r="AK331" s="2237"/>
      <c r="AL331" s="2237"/>
      <c r="AM331" s="2237"/>
      <c r="AN331" s="2240"/>
      <c r="AO331" s="2241"/>
      <c r="AP331" s="2239"/>
      <c r="AQ331" s="2242"/>
      <c r="AR331" s="2250"/>
      <c r="AS331" s="2244"/>
      <c r="AT331" s="2244"/>
      <c r="AU331" s="2245"/>
      <c r="AV331" s="2246"/>
      <c r="AW331" s="2247"/>
      <c r="AX331" s="2248"/>
      <c r="AY331" s="2249"/>
      <c r="AZ331" s="2249"/>
      <c r="BA331" s="2238"/>
      <c r="BB331" s="2264"/>
      <c r="BD331" s="2252" t="s">
        <v>15</v>
      </c>
      <c r="BE331" s="2237"/>
      <c r="BF331" s="2237"/>
      <c r="BG331" s="2237"/>
      <c r="BH331" s="2237"/>
      <c r="BI331" s="2240"/>
      <c r="BJ331" s="2241"/>
      <c r="BK331" s="2239"/>
      <c r="BL331" s="2242"/>
      <c r="BM331" s="2250"/>
      <c r="BN331" s="2244"/>
      <c r="BO331" s="2244"/>
      <c r="BP331" s="2245"/>
      <c r="BQ331" s="2246"/>
      <c r="BR331" s="2247"/>
      <c r="BS331" s="2248"/>
      <c r="BT331" s="2249"/>
      <c r="BU331" s="2249"/>
      <c r="BV331" s="2238"/>
      <c r="BW331" s="2264"/>
      <c r="BY331" s="3">
        <v>1</v>
      </c>
    </row>
    <row r="332" spans="2:77" ht="21" customHeight="1">
      <c r="B332" s="2265" t="str" cm="1">
        <f t="array" ref="B332">SUMPRODUCT(--(D332:J332&lt;&gt;""), LEN(TRIM(SUBSTITUTE(D332:J332, CHAR(160), "")))) &amp; " Car."</f>
        <v>0 Car.</v>
      </c>
      <c r="C332" s="1376" t="str">
        <f>IF(ISBLANK(D332),"",LARGE(C13:C331,1)+1)</f>
        <v/>
      </c>
      <c r="D332" s="1833"/>
      <c r="E332" s="1810"/>
      <c r="F332" s="1810"/>
      <c r="G332" s="1810"/>
      <c r="H332" s="1810"/>
      <c r="I332" s="1810"/>
      <c r="J332" s="1810"/>
      <c r="K332" s="1810"/>
      <c r="L332" s="1811"/>
      <c r="M332" s="9"/>
      <c r="N332" s="2252" t="s">
        <v>15</v>
      </c>
      <c r="O332" s="2237"/>
      <c r="P332" s="2237"/>
      <c r="Q332" s="2237"/>
      <c r="R332" s="2237"/>
      <c r="S332" s="2240"/>
      <c r="T332" s="2241"/>
      <c r="U332" s="2239"/>
      <c r="V332" s="2242"/>
      <c r="W332" s="2250"/>
      <c r="X332" s="2244"/>
      <c r="Y332" s="2244"/>
      <c r="Z332" s="2245"/>
      <c r="AA332" s="2246"/>
      <c r="AB332" s="2247"/>
      <c r="AC332" s="2248"/>
      <c r="AD332" s="2249"/>
      <c r="AE332" s="2249"/>
      <c r="AF332" s="2238"/>
      <c r="AG332" s="2264"/>
      <c r="AI332" s="2252" t="s">
        <v>15</v>
      </c>
      <c r="AJ332" s="2237"/>
      <c r="AK332" s="2237"/>
      <c r="AL332" s="2237"/>
      <c r="AM332" s="2237"/>
      <c r="AN332" s="2240"/>
      <c r="AO332" s="2241"/>
      <c r="AP332" s="2239"/>
      <c r="AQ332" s="2242"/>
      <c r="AR332" s="2250"/>
      <c r="AS332" s="2244"/>
      <c r="AT332" s="2244"/>
      <c r="AU332" s="2245"/>
      <c r="AV332" s="2246"/>
      <c r="AW332" s="2247"/>
      <c r="AX332" s="2248"/>
      <c r="AY332" s="2249"/>
      <c r="AZ332" s="2249"/>
      <c r="BA332" s="2238"/>
      <c r="BB332" s="2264"/>
      <c r="BD332" s="2252" t="s">
        <v>15</v>
      </c>
      <c r="BE332" s="2237"/>
      <c r="BF332" s="2237"/>
      <c r="BG332" s="2237"/>
      <c r="BH332" s="2237"/>
      <c r="BI332" s="2240"/>
      <c r="BJ332" s="2241"/>
      <c r="BK332" s="2239"/>
      <c r="BL332" s="2242"/>
      <c r="BM332" s="2250"/>
      <c r="BN332" s="2244"/>
      <c r="BO332" s="2244"/>
      <c r="BP332" s="2245"/>
      <c r="BQ332" s="2246"/>
      <c r="BR332" s="2247"/>
      <c r="BS332" s="2248"/>
      <c r="BT332" s="2249"/>
      <c r="BU332" s="2249"/>
      <c r="BV332" s="2238"/>
      <c r="BW332" s="2264"/>
      <c r="BY332" s="3">
        <v>1</v>
      </c>
    </row>
    <row r="333" spans="2:77" ht="21" customHeight="1">
      <c r="B333" s="2265" t="str" cm="1">
        <f t="array" ref="B333">SUMPRODUCT(--(D333:J333&lt;&gt;""), LEN(TRIM(SUBSTITUTE(D333:J333, CHAR(160), "")))) &amp; " Car."</f>
        <v>0 Car.</v>
      </c>
      <c r="C333" s="1376" t="str">
        <f>IF(ISBLANK(D333),"",LARGE(C13:C332,1)+1)</f>
        <v/>
      </c>
      <c r="D333" s="1833"/>
      <c r="E333" s="1810"/>
      <c r="F333" s="1810"/>
      <c r="G333" s="1810"/>
      <c r="H333" s="1810"/>
      <c r="I333" s="1810"/>
      <c r="J333" s="1810"/>
      <c r="K333" s="1810"/>
      <c r="L333" s="1811"/>
      <c r="M333" s="9"/>
      <c r="N333" s="2252" t="s">
        <v>15</v>
      </c>
      <c r="O333" s="2237"/>
      <c r="P333" s="2237"/>
      <c r="Q333" s="2237"/>
      <c r="R333" s="2237"/>
      <c r="S333" s="2240"/>
      <c r="T333" s="2241"/>
      <c r="U333" s="2239"/>
      <c r="V333" s="2242"/>
      <c r="W333" s="2250"/>
      <c r="X333" s="2244"/>
      <c r="Y333" s="2244"/>
      <c r="Z333" s="2245"/>
      <c r="AA333" s="2246"/>
      <c r="AB333" s="2247"/>
      <c r="AC333" s="2248"/>
      <c r="AD333" s="2249"/>
      <c r="AE333" s="2249"/>
      <c r="AF333" s="2238"/>
      <c r="AG333" s="2264"/>
      <c r="AI333" s="2252" t="s">
        <v>15</v>
      </c>
      <c r="AJ333" s="2237"/>
      <c r="AK333" s="2237"/>
      <c r="AL333" s="2237"/>
      <c r="AM333" s="2237"/>
      <c r="AN333" s="2240"/>
      <c r="AO333" s="2241"/>
      <c r="AP333" s="2239"/>
      <c r="AQ333" s="2242"/>
      <c r="AR333" s="2250"/>
      <c r="AS333" s="2244"/>
      <c r="AT333" s="2244"/>
      <c r="AU333" s="2245"/>
      <c r="AV333" s="2246"/>
      <c r="AW333" s="2247"/>
      <c r="AX333" s="2248"/>
      <c r="AY333" s="2249"/>
      <c r="AZ333" s="2249"/>
      <c r="BA333" s="2238"/>
      <c r="BB333" s="2264"/>
      <c r="BD333" s="2252" t="s">
        <v>15</v>
      </c>
      <c r="BE333" s="2237"/>
      <c r="BF333" s="2237"/>
      <c r="BG333" s="2237"/>
      <c r="BH333" s="2237"/>
      <c r="BI333" s="2240"/>
      <c r="BJ333" s="2241"/>
      <c r="BK333" s="2239"/>
      <c r="BL333" s="2242"/>
      <c r="BM333" s="2250"/>
      <c r="BN333" s="2244"/>
      <c r="BO333" s="2244"/>
      <c r="BP333" s="2245"/>
      <c r="BQ333" s="2246"/>
      <c r="BR333" s="2247"/>
      <c r="BS333" s="2248"/>
      <c r="BT333" s="2249"/>
      <c r="BU333" s="2249"/>
      <c r="BV333" s="2238"/>
      <c r="BW333" s="2264"/>
      <c r="BY333" s="3">
        <v>1</v>
      </c>
    </row>
    <row r="334" spans="2:77" ht="21" customHeight="1">
      <c r="B334" s="2265" t="str" cm="1">
        <f t="array" ref="B334">SUMPRODUCT(--(D334:J334&lt;&gt;""), LEN(TRIM(SUBSTITUTE(D334:J334, CHAR(160), "")))) &amp; " Car."</f>
        <v>0 Car.</v>
      </c>
      <c r="C334" s="1376" t="str">
        <f>IF(ISBLANK(D334),"",LARGE(C13:C333,1)+1)</f>
        <v/>
      </c>
      <c r="D334" s="1833"/>
      <c r="E334" s="1810"/>
      <c r="F334" s="1810"/>
      <c r="G334" s="1810"/>
      <c r="H334" s="1810"/>
      <c r="I334" s="1810"/>
      <c r="J334" s="1810"/>
      <c r="K334" s="1810"/>
      <c r="L334" s="1811"/>
      <c r="M334" s="9"/>
      <c r="N334" s="2252" t="s">
        <v>15</v>
      </c>
      <c r="O334" s="2237"/>
      <c r="P334" s="2237"/>
      <c r="Q334" s="2237"/>
      <c r="R334" s="2237"/>
      <c r="S334" s="2240"/>
      <c r="T334" s="2241"/>
      <c r="U334" s="2239"/>
      <c r="V334" s="2242"/>
      <c r="W334" s="2250"/>
      <c r="X334" s="2244"/>
      <c r="Y334" s="2244"/>
      <c r="Z334" s="2245"/>
      <c r="AA334" s="2246"/>
      <c r="AB334" s="2247"/>
      <c r="AC334" s="2248"/>
      <c r="AD334" s="2249"/>
      <c r="AE334" s="2249"/>
      <c r="AF334" s="2238"/>
      <c r="AG334" s="2264"/>
      <c r="AI334" s="2252" t="s">
        <v>15</v>
      </c>
      <c r="AJ334" s="2237"/>
      <c r="AK334" s="2237"/>
      <c r="AL334" s="2237"/>
      <c r="AM334" s="2237"/>
      <c r="AN334" s="2240"/>
      <c r="AO334" s="2241"/>
      <c r="AP334" s="2239"/>
      <c r="AQ334" s="2242"/>
      <c r="AR334" s="2250"/>
      <c r="AS334" s="2244"/>
      <c r="AT334" s="2244"/>
      <c r="AU334" s="2245"/>
      <c r="AV334" s="2246"/>
      <c r="AW334" s="2247"/>
      <c r="AX334" s="2248"/>
      <c r="AY334" s="2249"/>
      <c r="AZ334" s="2249"/>
      <c r="BA334" s="2238"/>
      <c r="BB334" s="2264"/>
      <c r="BD334" s="2252" t="s">
        <v>15</v>
      </c>
      <c r="BE334" s="2237"/>
      <c r="BF334" s="2237"/>
      <c r="BG334" s="2237"/>
      <c r="BH334" s="2237"/>
      <c r="BI334" s="2240"/>
      <c r="BJ334" s="2241"/>
      <c r="BK334" s="2239"/>
      <c r="BL334" s="2242"/>
      <c r="BM334" s="2250"/>
      <c r="BN334" s="2244"/>
      <c r="BO334" s="2244"/>
      <c r="BP334" s="2245"/>
      <c r="BQ334" s="2246"/>
      <c r="BR334" s="2247"/>
      <c r="BS334" s="2248"/>
      <c r="BT334" s="2249"/>
      <c r="BU334" s="2249"/>
      <c r="BV334" s="2238"/>
      <c r="BW334" s="2264"/>
      <c r="BY334" s="3">
        <v>1</v>
      </c>
    </row>
    <row r="335" spans="2:77" ht="21" customHeight="1">
      <c r="B335" s="2265" t="str" cm="1">
        <f t="array" ref="B335">SUMPRODUCT(--(D335:J335&lt;&gt;""), LEN(TRIM(SUBSTITUTE(D335:J335, CHAR(160), "")))) &amp; " Car."</f>
        <v>0 Car.</v>
      </c>
      <c r="C335" s="1376" t="str">
        <f>IF(ISBLANK(D335),"",LARGE(C13:C334,1)+1)</f>
        <v/>
      </c>
      <c r="D335" s="1833"/>
      <c r="E335" s="1810"/>
      <c r="F335" s="1810"/>
      <c r="G335" s="1810"/>
      <c r="H335" s="1810"/>
      <c r="I335" s="1810"/>
      <c r="J335" s="1810"/>
      <c r="K335" s="1810"/>
      <c r="L335" s="1811"/>
      <c r="M335" s="9"/>
      <c r="N335" s="2252" t="s">
        <v>15</v>
      </c>
      <c r="O335" s="2237"/>
      <c r="P335" s="2237"/>
      <c r="Q335" s="2237"/>
      <c r="R335" s="2237"/>
      <c r="S335" s="2240"/>
      <c r="T335" s="2241"/>
      <c r="U335" s="2239"/>
      <c r="V335" s="2242"/>
      <c r="W335" s="2250"/>
      <c r="X335" s="2244"/>
      <c r="Y335" s="2244"/>
      <c r="Z335" s="2245"/>
      <c r="AA335" s="2246"/>
      <c r="AB335" s="2247"/>
      <c r="AC335" s="2248"/>
      <c r="AD335" s="2249"/>
      <c r="AE335" s="2249"/>
      <c r="AF335" s="2238"/>
      <c r="AG335" s="2264"/>
      <c r="AI335" s="2252" t="s">
        <v>15</v>
      </c>
      <c r="AJ335" s="2237"/>
      <c r="AK335" s="2237"/>
      <c r="AL335" s="2237"/>
      <c r="AM335" s="2237"/>
      <c r="AN335" s="2240"/>
      <c r="AO335" s="2241"/>
      <c r="AP335" s="2239"/>
      <c r="AQ335" s="2242"/>
      <c r="AR335" s="2250"/>
      <c r="AS335" s="2244"/>
      <c r="AT335" s="2244"/>
      <c r="AU335" s="2245"/>
      <c r="AV335" s="2246"/>
      <c r="AW335" s="2247"/>
      <c r="AX335" s="2248"/>
      <c r="AY335" s="2249"/>
      <c r="AZ335" s="2249"/>
      <c r="BA335" s="2238"/>
      <c r="BB335" s="2264"/>
      <c r="BD335" s="2252" t="s">
        <v>15</v>
      </c>
      <c r="BE335" s="2237"/>
      <c r="BF335" s="2237"/>
      <c r="BG335" s="2237"/>
      <c r="BH335" s="2237"/>
      <c r="BI335" s="2240"/>
      <c r="BJ335" s="2241"/>
      <c r="BK335" s="2239"/>
      <c r="BL335" s="2242"/>
      <c r="BM335" s="2250"/>
      <c r="BN335" s="2244"/>
      <c r="BO335" s="2244"/>
      <c r="BP335" s="2245"/>
      <c r="BQ335" s="2246"/>
      <c r="BR335" s="2247"/>
      <c r="BS335" s="2248"/>
      <c r="BT335" s="2249"/>
      <c r="BU335" s="2249"/>
      <c r="BV335" s="2238"/>
      <c r="BW335" s="2264"/>
      <c r="BY335" s="3">
        <v>1</v>
      </c>
    </row>
    <row r="336" spans="2:77" ht="21" customHeight="1">
      <c r="B336" s="2265" t="str" cm="1">
        <f t="array" ref="B336">SUMPRODUCT(--(D336:J336&lt;&gt;""), LEN(TRIM(SUBSTITUTE(D336:J336, CHAR(160), "")))) &amp; " Car."</f>
        <v>0 Car.</v>
      </c>
      <c r="C336" s="1376" t="str">
        <f>IF(ISBLANK(D336),"",LARGE(C13:C335,1)+1)</f>
        <v/>
      </c>
      <c r="D336" s="1833"/>
      <c r="E336" s="1810"/>
      <c r="F336" s="1810"/>
      <c r="G336" s="1810"/>
      <c r="H336" s="1810"/>
      <c r="I336" s="1810"/>
      <c r="J336" s="1810"/>
      <c r="K336" s="1810"/>
      <c r="L336" s="1811"/>
      <c r="M336" s="9"/>
      <c r="N336" s="2252" t="s">
        <v>15</v>
      </c>
      <c r="O336" s="2237"/>
      <c r="P336" s="2237"/>
      <c r="Q336" s="2237"/>
      <c r="R336" s="2237"/>
      <c r="S336" s="2240"/>
      <c r="T336" s="2241"/>
      <c r="U336" s="2239"/>
      <c r="V336" s="2242"/>
      <c r="W336" s="2250"/>
      <c r="X336" s="2244"/>
      <c r="Y336" s="2244"/>
      <c r="Z336" s="2245"/>
      <c r="AA336" s="2246"/>
      <c r="AB336" s="2247"/>
      <c r="AC336" s="2248"/>
      <c r="AD336" s="2249"/>
      <c r="AE336" s="2249"/>
      <c r="AF336" s="2238"/>
      <c r="AG336" s="2264"/>
      <c r="AI336" s="2252" t="s">
        <v>15</v>
      </c>
      <c r="AJ336" s="2237"/>
      <c r="AK336" s="2237"/>
      <c r="AL336" s="2237"/>
      <c r="AM336" s="2237"/>
      <c r="AN336" s="2240"/>
      <c r="AO336" s="2241"/>
      <c r="AP336" s="2239"/>
      <c r="AQ336" s="2242"/>
      <c r="AR336" s="2250"/>
      <c r="AS336" s="2244"/>
      <c r="AT336" s="2244"/>
      <c r="AU336" s="2245"/>
      <c r="AV336" s="2246"/>
      <c r="AW336" s="2247"/>
      <c r="AX336" s="2248"/>
      <c r="AY336" s="2249"/>
      <c r="AZ336" s="2249"/>
      <c r="BA336" s="2238"/>
      <c r="BB336" s="2264"/>
      <c r="BD336" s="2252" t="s">
        <v>15</v>
      </c>
      <c r="BE336" s="2237"/>
      <c r="BF336" s="2237"/>
      <c r="BG336" s="2237"/>
      <c r="BH336" s="2237"/>
      <c r="BI336" s="2240"/>
      <c r="BJ336" s="2241"/>
      <c r="BK336" s="2239"/>
      <c r="BL336" s="2242"/>
      <c r="BM336" s="2250"/>
      <c r="BN336" s="2244"/>
      <c r="BO336" s="2244"/>
      <c r="BP336" s="2245"/>
      <c r="BQ336" s="2246"/>
      <c r="BR336" s="2247"/>
      <c r="BS336" s="2248"/>
      <c r="BT336" s="2249"/>
      <c r="BU336" s="2249"/>
      <c r="BV336" s="2238"/>
      <c r="BW336" s="2264"/>
      <c r="BY336" s="3">
        <v>1</v>
      </c>
    </row>
    <row r="337" spans="1:79" ht="21" customHeight="1">
      <c r="B337" s="2265" t="str" cm="1">
        <f t="array" ref="B337">SUMPRODUCT(--(D337:J337&lt;&gt;""), LEN(TRIM(SUBSTITUTE(D337:J337, CHAR(160), "")))) &amp; " Car."</f>
        <v>0 Car.</v>
      </c>
      <c r="C337" s="1376" t="str">
        <f>IF(ISBLANK(D337),"",LARGE(C13:C336,1)+1)</f>
        <v/>
      </c>
      <c r="D337" s="1833"/>
      <c r="E337" s="1810"/>
      <c r="F337" s="1810"/>
      <c r="G337" s="1810"/>
      <c r="H337" s="1810"/>
      <c r="I337" s="1810"/>
      <c r="J337" s="1810"/>
      <c r="K337" s="1810"/>
      <c r="L337" s="1811"/>
      <c r="M337" s="9"/>
      <c r="N337" s="2252" t="s">
        <v>15</v>
      </c>
      <c r="O337" s="2237"/>
      <c r="P337" s="2237"/>
      <c r="Q337" s="2237"/>
      <c r="R337" s="2237"/>
      <c r="S337" s="2240"/>
      <c r="T337" s="2241"/>
      <c r="U337" s="2239"/>
      <c r="V337" s="2242"/>
      <c r="W337" s="2250"/>
      <c r="X337" s="2244"/>
      <c r="Y337" s="2244"/>
      <c r="Z337" s="2245"/>
      <c r="AA337" s="2246"/>
      <c r="AB337" s="2247"/>
      <c r="AC337" s="2248"/>
      <c r="AD337" s="2249"/>
      <c r="AE337" s="2249"/>
      <c r="AF337" s="2238"/>
      <c r="AG337" s="2264"/>
      <c r="AI337" s="2252" t="s">
        <v>15</v>
      </c>
      <c r="AJ337" s="2237"/>
      <c r="AK337" s="2237"/>
      <c r="AL337" s="2237"/>
      <c r="AM337" s="2237"/>
      <c r="AN337" s="2240"/>
      <c r="AO337" s="2241"/>
      <c r="AP337" s="2239"/>
      <c r="AQ337" s="2242"/>
      <c r="AR337" s="2250"/>
      <c r="AS337" s="2244"/>
      <c r="AT337" s="2244"/>
      <c r="AU337" s="2245"/>
      <c r="AV337" s="2246"/>
      <c r="AW337" s="2247"/>
      <c r="AX337" s="2248"/>
      <c r="AY337" s="2249"/>
      <c r="AZ337" s="2249"/>
      <c r="BA337" s="2238"/>
      <c r="BB337" s="2264"/>
      <c r="BD337" s="2252" t="s">
        <v>15</v>
      </c>
      <c r="BE337" s="2237"/>
      <c r="BF337" s="2237"/>
      <c r="BG337" s="2237"/>
      <c r="BH337" s="2237"/>
      <c r="BI337" s="2240"/>
      <c r="BJ337" s="2241"/>
      <c r="BK337" s="2239"/>
      <c r="BL337" s="2242"/>
      <c r="BM337" s="2250"/>
      <c r="BN337" s="2244"/>
      <c r="BO337" s="2244"/>
      <c r="BP337" s="2245"/>
      <c r="BQ337" s="2246"/>
      <c r="BR337" s="2247"/>
      <c r="BS337" s="2248"/>
      <c r="BT337" s="2249"/>
      <c r="BU337" s="2249"/>
      <c r="BV337" s="2238"/>
      <c r="BW337" s="2264"/>
      <c r="BY337" s="3">
        <v>1</v>
      </c>
    </row>
    <row r="338" spans="1:79" ht="21" customHeight="1">
      <c r="B338" s="2265" t="str" cm="1">
        <f t="array" ref="B338">SUMPRODUCT(--(D338:J338&lt;&gt;""), LEN(TRIM(SUBSTITUTE(D338:J338, CHAR(160), "")))) &amp; " Car."</f>
        <v>0 Car.</v>
      </c>
      <c r="C338" s="1376" t="str">
        <f>IF(ISBLANK(D338),"",LARGE(C13:C337,1)+1)</f>
        <v/>
      </c>
      <c r="D338" s="1833"/>
      <c r="E338" s="1810"/>
      <c r="F338" s="1810"/>
      <c r="G338" s="1810"/>
      <c r="H338" s="1810"/>
      <c r="I338" s="1810"/>
      <c r="J338" s="1810"/>
      <c r="K338" s="1810"/>
      <c r="L338" s="1811"/>
      <c r="M338" s="9"/>
      <c r="N338" s="2252" t="s">
        <v>15</v>
      </c>
      <c r="O338" s="2237"/>
      <c r="P338" s="2237"/>
      <c r="Q338" s="2237"/>
      <c r="R338" s="2237"/>
      <c r="S338" s="2240"/>
      <c r="T338" s="2241"/>
      <c r="U338" s="2239"/>
      <c r="V338" s="2242"/>
      <c r="W338" s="2250"/>
      <c r="X338" s="2244"/>
      <c r="Y338" s="2244"/>
      <c r="Z338" s="2245"/>
      <c r="AA338" s="2246"/>
      <c r="AB338" s="2247"/>
      <c r="AC338" s="2248"/>
      <c r="AD338" s="2249"/>
      <c r="AE338" s="2249"/>
      <c r="AF338" s="2238"/>
      <c r="AG338" s="2264"/>
      <c r="AI338" s="2252" t="s">
        <v>15</v>
      </c>
      <c r="AJ338" s="2237"/>
      <c r="AK338" s="2237"/>
      <c r="AL338" s="2237"/>
      <c r="AM338" s="2237"/>
      <c r="AN338" s="2240"/>
      <c r="AO338" s="2241"/>
      <c r="AP338" s="2239"/>
      <c r="AQ338" s="2242"/>
      <c r="AR338" s="2250"/>
      <c r="AS338" s="2244"/>
      <c r="AT338" s="2244"/>
      <c r="AU338" s="2245"/>
      <c r="AV338" s="2246"/>
      <c r="AW338" s="2247"/>
      <c r="AX338" s="2248"/>
      <c r="AY338" s="2249"/>
      <c r="AZ338" s="2249"/>
      <c r="BA338" s="2238"/>
      <c r="BB338" s="2264"/>
      <c r="BD338" s="2252" t="s">
        <v>15</v>
      </c>
      <c r="BE338" s="2237"/>
      <c r="BF338" s="2237"/>
      <c r="BG338" s="2237"/>
      <c r="BH338" s="2237"/>
      <c r="BI338" s="2240"/>
      <c r="BJ338" s="2241"/>
      <c r="BK338" s="2239"/>
      <c r="BL338" s="2242"/>
      <c r="BM338" s="2250"/>
      <c r="BN338" s="2244"/>
      <c r="BO338" s="2244"/>
      <c r="BP338" s="2245"/>
      <c r="BQ338" s="2246"/>
      <c r="BR338" s="2247"/>
      <c r="BS338" s="2248"/>
      <c r="BT338" s="2249"/>
      <c r="BU338" s="2249"/>
      <c r="BV338" s="2238"/>
      <c r="BW338" s="2264"/>
      <c r="BY338" s="3">
        <v>1</v>
      </c>
    </row>
    <row r="339" spans="1:79" ht="21" customHeight="1">
      <c r="B339" s="2265" t="str" cm="1">
        <f t="array" ref="B339">SUMPRODUCT(--(D339:J339&lt;&gt;""), LEN(TRIM(SUBSTITUTE(D339:J339, CHAR(160), "")))) &amp; " Car."</f>
        <v>0 Car.</v>
      </c>
      <c r="C339" s="1376" t="str">
        <f>IF(ISBLANK(D339),"",LARGE(C13:C338,1)+1)</f>
        <v/>
      </c>
      <c r="D339" s="1833"/>
      <c r="E339" s="1810"/>
      <c r="F339" s="1810"/>
      <c r="G339" s="1810"/>
      <c r="H339" s="1810"/>
      <c r="I339" s="1810"/>
      <c r="J339" s="1810"/>
      <c r="K339" s="1810"/>
      <c r="L339" s="1811"/>
      <c r="M339" s="9"/>
      <c r="N339" s="2252" t="s">
        <v>15</v>
      </c>
      <c r="O339" s="2237"/>
      <c r="P339" s="2237"/>
      <c r="Q339" s="2237"/>
      <c r="R339" s="2237"/>
      <c r="S339" s="2240"/>
      <c r="T339" s="2241"/>
      <c r="U339" s="2239"/>
      <c r="V339" s="2242"/>
      <c r="W339" s="2250"/>
      <c r="X339" s="2244"/>
      <c r="Y339" s="2244"/>
      <c r="Z339" s="2245"/>
      <c r="AA339" s="2246"/>
      <c r="AB339" s="2247"/>
      <c r="AC339" s="2248"/>
      <c r="AD339" s="2249"/>
      <c r="AE339" s="2249"/>
      <c r="AF339" s="2238"/>
      <c r="AG339" s="2264"/>
      <c r="AI339" s="2252" t="s">
        <v>15</v>
      </c>
      <c r="AJ339" s="2237"/>
      <c r="AK339" s="2237"/>
      <c r="AL339" s="2237"/>
      <c r="AM339" s="2237"/>
      <c r="AN339" s="2240"/>
      <c r="AO339" s="2241"/>
      <c r="AP339" s="2239"/>
      <c r="AQ339" s="2242"/>
      <c r="AR339" s="2250"/>
      <c r="AS339" s="2244"/>
      <c r="AT339" s="2244"/>
      <c r="AU339" s="2245"/>
      <c r="AV339" s="2246"/>
      <c r="AW339" s="2247"/>
      <c r="AX339" s="2248"/>
      <c r="AY339" s="2249"/>
      <c r="AZ339" s="2249"/>
      <c r="BA339" s="2238"/>
      <c r="BB339" s="2264"/>
      <c r="BD339" s="2252" t="s">
        <v>15</v>
      </c>
      <c r="BE339" s="2237"/>
      <c r="BF339" s="2237"/>
      <c r="BG339" s="2237"/>
      <c r="BH339" s="2237"/>
      <c r="BI339" s="2240"/>
      <c r="BJ339" s="2241"/>
      <c r="BK339" s="2239"/>
      <c r="BL339" s="2242"/>
      <c r="BM339" s="2250"/>
      <c r="BN339" s="2244"/>
      <c r="BO339" s="2244"/>
      <c r="BP339" s="2245"/>
      <c r="BQ339" s="2246"/>
      <c r="BR339" s="2247"/>
      <c r="BS339" s="2248"/>
      <c r="BT339" s="2249"/>
      <c r="BU339" s="2249"/>
      <c r="BV339" s="2238"/>
      <c r="BW339" s="2264"/>
      <c r="BY339" s="3">
        <v>1</v>
      </c>
    </row>
    <row r="340" spans="1:79" ht="21" customHeight="1">
      <c r="B340" s="2265" t="str" cm="1">
        <f t="array" ref="B340">SUMPRODUCT(--(D340:J340&lt;&gt;""), LEN(TRIM(SUBSTITUTE(D340:J340, CHAR(160), "")))) &amp; " Car."</f>
        <v>0 Car.</v>
      </c>
      <c r="C340" s="1376" t="str">
        <f>IF(ISBLANK(D340),"",LARGE(C13:C339,1)+1)</f>
        <v/>
      </c>
      <c r="D340" s="1833"/>
      <c r="E340" s="1810"/>
      <c r="F340" s="1810"/>
      <c r="G340" s="1810"/>
      <c r="H340" s="1810"/>
      <c r="I340" s="1810"/>
      <c r="J340" s="1810"/>
      <c r="K340" s="1810"/>
      <c r="L340" s="1811"/>
      <c r="M340" s="9"/>
      <c r="N340" s="2252" t="s">
        <v>15</v>
      </c>
      <c r="O340" s="2237"/>
      <c r="P340" s="2237"/>
      <c r="Q340" s="2237"/>
      <c r="R340" s="2237"/>
      <c r="S340" s="2240"/>
      <c r="T340" s="2241"/>
      <c r="U340" s="2239"/>
      <c r="V340" s="2242"/>
      <c r="W340" s="2250"/>
      <c r="X340" s="2244"/>
      <c r="Y340" s="2244"/>
      <c r="Z340" s="2245"/>
      <c r="AA340" s="2246"/>
      <c r="AB340" s="2247"/>
      <c r="AC340" s="2248"/>
      <c r="AD340" s="2249"/>
      <c r="AE340" s="2249"/>
      <c r="AF340" s="2238"/>
      <c r="AG340" s="2264"/>
      <c r="AI340" s="2252" t="s">
        <v>15</v>
      </c>
      <c r="AJ340" s="2237"/>
      <c r="AK340" s="2237"/>
      <c r="AL340" s="2237"/>
      <c r="AM340" s="2237"/>
      <c r="AN340" s="2240"/>
      <c r="AO340" s="2241"/>
      <c r="AP340" s="2239"/>
      <c r="AQ340" s="2242"/>
      <c r="AR340" s="2250"/>
      <c r="AS340" s="2244"/>
      <c r="AT340" s="2244"/>
      <c r="AU340" s="2245"/>
      <c r="AV340" s="2246"/>
      <c r="AW340" s="2247"/>
      <c r="AX340" s="2248"/>
      <c r="AY340" s="2249"/>
      <c r="AZ340" s="2249"/>
      <c r="BA340" s="2238"/>
      <c r="BB340" s="2264"/>
      <c r="BD340" s="2252" t="s">
        <v>15</v>
      </c>
      <c r="BE340" s="2237"/>
      <c r="BF340" s="2237"/>
      <c r="BG340" s="2237"/>
      <c r="BH340" s="2237"/>
      <c r="BI340" s="2240"/>
      <c r="BJ340" s="2241"/>
      <c r="BK340" s="2239"/>
      <c r="BL340" s="2242"/>
      <c r="BM340" s="2250"/>
      <c r="BN340" s="2244"/>
      <c r="BO340" s="2244"/>
      <c r="BP340" s="2245"/>
      <c r="BQ340" s="2246"/>
      <c r="BR340" s="2247"/>
      <c r="BS340" s="2248"/>
      <c r="BT340" s="2249"/>
      <c r="BU340" s="2249"/>
      <c r="BV340" s="2238"/>
      <c r="BW340" s="2264"/>
      <c r="BY340" s="3">
        <v>1</v>
      </c>
    </row>
    <row r="341" spans="1:79" ht="21" customHeight="1">
      <c r="B341" s="2265" t="str" cm="1">
        <f t="array" ref="B341">SUMPRODUCT(--(D341:J341&lt;&gt;""), LEN(TRIM(SUBSTITUTE(D341:J341, CHAR(160), "")))) &amp; " Car."</f>
        <v>0 Car.</v>
      </c>
      <c r="C341" s="1376" t="str">
        <f>IF(ISBLANK(D341),"",LARGE(C13:C340,1)+1)</f>
        <v/>
      </c>
      <c r="D341" s="1833"/>
      <c r="E341" s="1810"/>
      <c r="F341" s="1810"/>
      <c r="G341" s="1810"/>
      <c r="H341" s="1810"/>
      <c r="I341" s="1810"/>
      <c r="J341" s="1810"/>
      <c r="K341" s="1810"/>
      <c r="L341" s="1811"/>
      <c r="M341" s="9"/>
      <c r="N341" s="2252" t="s">
        <v>15</v>
      </c>
      <c r="O341" s="2237"/>
      <c r="P341" s="2237"/>
      <c r="Q341" s="2237"/>
      <c r="R341" s="2237"/>
      <c r="S341" s="2240"/>
      <c r="T341" s="2241"/>
      <c r="U341" s="2239"/>
      <c r="V341" s="2242"/>
      <c r="W341" s="2250"/>
      <c r="X341" s="2244"/>
      <c r="Y341" s="2244"/>
      <c r="Z341" s="2245"/>
      <c r="AA341" s="2246"/>
      <c r="AB341" s="2247"/>
      <c r="AC341" s="2248"/>
      <c r="AD341" s="2249"/>
      <c r="AE341" s="2249"/>
      <c r="AF341" s="2238"/>
      <c r="AG341" s="2264"/>
      <c r="AI341" s="2252" t="s">
        <v>15</v>
      </c>
      <c r="AJ341" s="2237"/>
      <c r="AK341" s="2237"/>
      <c r="AL341" s="2237"/>
      <c r="AM341" s="2237"/>
      <c r="AN341" s="2240"/>
      <c r="AO341" s="2241"/>
      <c r="AP341" s="2239"/>
      <c r="AQ341" s="2242"/>
      <c r="AR341" s="2250"/>
      <c r="AS341" s="2244"/>
      <c r="AT341" s="2244"/>
      <c r="AU341" s="2245"/>
      <c r="AV341" s="2246"/>
      <c r="AW341" s="2247"/>
      <c r="AX341" s="2248"/>
      <c r="AY341" s="2249"/>
      <c r="AZ341" s="2249"/>
      <c r="BA341" s="2238"/>
      <c r="BB341" s="2264"/>
      <c r="BD341" s="2252" t="s">
        <v>15</v>
      </c>
      <c r="BE341" s="2237"/>
      <c r="BF341" s="2237"/>
      <c r="BG341" s="2237"/>
      <c r="BH341" s="2237"/>
      <c r="BI341" s="2240"/>
      <c r="BJ341" s="2241"/>
      <c r="BK341" s="2239"/>
      <c r="BL341" s="2242"/>
      <c r="BM341" s="2250"/>
      <c r="BN341" s="2244"/>
      <c r="BO341" s="2244"/>
      <c r="BP341" s="2245"/>
      <c r="BQ341" s="2246"/>
      <c r="BR341" s="2247"/>
      <c r="BS341" s="2248"/>
      <c r="BT341" s="2249"/>
      <c r="BU341" s="2249"/>
      <c r="BV341" s="2238"/>
      <c r="BW341" s="2264"/>
      <c r="BY341" s="3">
        <v>1</v>
      </c>
    </row>
    <row r="342" spans="1:79" ht="21" customHeight="1" thickBot="1">
      <c r="B342" s="2266" t="str" cm="1">
        <f t="array" ref="B342">SUMPRODUCT(--(D342:J342&lt;&gt;""), LEN(TRIM(SUBSTITUTE(D342:J342, CHAR(160), "")))) &amp; " Car."</f>
        <v>0 Car.</v>
      </c>
      <c r="C342" s="2267" t="str">
        <f>IF(ISBLANK(D342),"",LARGE(C13:C341,1)+1)</f>
        <v/>
      </c>
      <c r="D342" s="2268"/>
      <c r="E342" s="2269"/>
      <c r="F342" s="2269"/>
      <c r="G342" s="2269"/>
      <c r="H342" s="2269"/>
      <c r="I342" s="2269"/>
      <c r="J342" s="2269"/>
      <c r="K342" s="2269"/>
      <c r="L342" s="2270"/>
      <c r="M342" s="9"/>
      <c r="N342" s="224" t="s">
        <v>10</v>
      </c>
      <c r="O342" s="224"/>
      <c r="P342" s="224"/>
      <c r="Q342" s="224"/>
      <c r="R342" s="224"/>
      <c r="S342" s="224"/>
      <c r="T342" s="224"/>
      <c r="U342" s="224"/>
      <c r="V342" s="224"/>
      <c r="W342" s="224"/>
      <c r="X342" s="224"/>
      <c r="Y342" s="224"/>
      <c r="Z342" s="224"/>
      <c r="AA342" s="224"/>
      <c r="AB342" s="224"/>
      <c r="AC342" s="224"/>
      <c r="AD342" s="224"/>
      <c r="AE342" s="224"/>
      <c r="AF342" s="224"/>
      <c r="AG342" s="224"/>
      <c r="AI342" s="224" t="s">
        <v>10</v>
      </c>
      <c r="AJ342" s="224"/>
      <c r="AK342" s="224"/>
      <c r="AL342" s="224"/>
      <c r="AM342" s="224"/>
      <c r="AN342" s="224"/>
      <c r="AO342" s="224"/>
      <c r="AP342" s="224"/>
      <c r="AQ342" s="224"/>
      <c r="AR342" s="224"/>
      <c r="AS342" s="224"/>
      <c r="AT342" s="224"/>
      <c r="AU342" s="224"/>
      <c r="AV342" s="224"/>
      <c r="AW342" s="224"/>
      <c r="AX342" s="224"/>
      <c r="AY342" s="224"/>
      <c r="AZ342" s="224"/>
      <c r="BA342" s="224"/>
      <c r="BB342" s="224"/>
      <c r="BD342" s="224" t="s">
        <v>10</v>
      </c>
      <c r="BE342" s="224"/>
      <c r="BF342" s="224"/>
      <c r="BG342" s="224"/>
      <c r="BH342" s="224"/>
      <c r="BI342" s="224"/>
      <c r="BJ342" s="224"/>
      <c r="BK342" s="224"/>
      <c r="BL342" s="224"/>
      <c r="BM342" s="224"/>
      <c r="BN342" s="224"/>
      <c r="BO342" s="224"/>
      <c r="BP342" s="224"/>
      <c r="BQ342" s="224"/>
      <c r="BR342" s="224"/>
      <c r="BS342" s="224"/>
      <c r="BT342" s="224"/>
      <c r="BU342" s="224"/>
      <c r="BV342" s="224"/>
      <c r="BW342" s="224"/>
      <c r="BY342" s="626" t="s">
        <v>793</v>
      </c>
    </row>
    <row r="343" spans="1:79" ht="21" customHeight="1">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v>1</v>
      </c>
      <c r="BG343" s="3">
        <v>1</v>
      </c>
      <c r="BH343" s="3">
        <v>1</v>
      </c>
      <c r="BI343" s="3">
        <v>1</v>
      </c>
      <c r="BJ343" s="3">
        <v>1</v>
      </c>
      <c r="BK343" s="3">
        <v>1</v>
      </c>
      <c r="BL343" s="3">
        <v>1</v>
      </c>
      <c r="BM343" s="3">
        <v>1</v>
      </c>
      <c r="BN343" s="3">
        <v>1</v>
      </c>
      <c r="BO343" s="3">
        <v>1</v>
      </c>
      <c r="BP343" s="3">
        <v>1</v>
      </c>
      <c r="BQ343" s="3">
        <v>1</v>
      </c>
      <c r="BR343" s="3">
        <v>1</v>
      </c>
      <c r="BS343" s="3">
        <v>1</v>
      </c>
      <c r="BT343" s="3">
        <v>1</v>
      </c>
      <c r="BU343" s="3">
        <v>1</v>
      </c>
      <c r="BV343" s="3">
        <v>1</v>
      </c>
      <c r="BW343" s="3">
        <v>1</v>
      </c>
      <c r="BX343" s="3">
        <v>1</v>
      </c>
      <c r="BY343" s="1" t="str">
        <f>ADDRESS(ROW(),COLUMN(),4)</f>
        <v>BY343</v>
      </c>
      <c r="BZ343" s="628"/>
      <c r="CA343" s="629" t="str">
        <f>ADDRESS(ROW(),COLUMN(),4)</f>
        <v>CA343</v>
      </c>
    </row>
    <row r="344" spans="1:79">
      <c r="B344" s="2230"/>
      <c r="C344" s="2230"/>
      <c r="D344" s="2230"/>
      <c r="E344" s="2230"/>
      <c r="F344" s="2230"/>
    </row>
    <row r="345" spans="1:79">
      <c r="B345" s="2230"/>
      <c r="C345" s="2230"/>
      <c r="D345" s="2230"/>
      <c r="E345" s="2230"/>
      <c r="F345" s="2230"/>
    </row>
    <row r="346" spans="1:79">
      <c r="B346" s="2230"/>
      <c r="C346" s="2230"/>
      <c r="D346" s="2230"/>
      <c r="E346" s="2230"/>
      <c r="F346" s="2230"/>
    </row>
    <row r="347" spans="1:79">
      <c r="B347" s="2230"/>
      <c r="C347" s="2230"/>
      <c r="D347" s="2230"/>
      <c r="E347" s="2230"/>
      <c r="F347" s="2230"/>
    </row>
    <row r="348" spans="1:79">
      <c r="B348" s="2230"/>
      <c r="C348" s="2230"/>
      <c r="D348" s="2230"/>
      <c r="E348" s="2230"/>
      <c r="F348" s="2230"/>
    </row>
    <row r="349" spans="1:79">
      <c r="B349" s="2230"/>
      <c r="C349" s="2230"/>
      <c r="D349" s="2230"/>
      <c r="E349" s="2230"/>
      <c r="F349" s="2230"/>
    </row>
    <row r="350" spans="1:79">
      <c r="B350" s="2230"/>
      <c r="C350" s="2230"/>
      <c r="D350" s="2230"/>
      <c r="E350" s="2230"/>
      <c r="F350" s="2230"/>
    </row>
    <row r="351" spans="1:79">
      <c r="B351" s="2230"/>
      <c r="C351" s="2230"/>
      <c r="D351" s="2230"/>
      <c r="E351" s="2230"/>
      <c r="F351" s="2230"/>
    </row>
    <row r="352" spans="1:79">
      <c r="B352" s="2230"/>
      <c r="C352" s="2230"/>
      <c r="D352" s="2230"/>
      <c r="E352" s="2230"/>
      <c r="F352" s="2230"/>
    </row>
    <row r="353" spans="2:6">
      <c r="B353" s="2230"/>
      <c r="C353" s="2230"/>
      <c r="D353" s="2230"/>
      <c r="E353" s="2230"/>
      <c r="F353" s="2230"/>
    </row>
    <row r="354" spans="2:6">
      <c r="B354" s="2230"/>
      <c r="C354" s="2230"/>
      <c r="D354" s="2230"/>
      <c r="E354" s="2230"/>
      <c r="F354" s="2230"/>
    </row>
    <row r="355" spans="2:6">
      <c r="B355" s="2230"/>
      <c r="C355" s="2230"/>
      <c r="D355" s="2230"/>
      <c r="E355" s="2230"/>
      <c r="F355" s="2230"/>
    </row>
    <row r="356" spans="2:6">
      <c r="B356" s="2230"/>
      <c r="C356" s="2230"/>
      <c r="D356" s="2230"/>
      <c r="E356" s="2230"/>
      <c r="F356" s="2230"/>
    </row>
    <row r="357" spans="2:6">
      <c r="B357" s="2230"/>
      <c r="C357" s="2230"/>
      <c r="D357" s="2230"/>
      <c r="E357" s="2230"/>
      <c r="F357" s="2230"/>
    </row>
    <row r="358" spans="2:6">
      <c r="B358" s="2230"/>
      <c r="C358" s="2230"/>
      <c r="D358" s="2230"/>
      <c r="E358" s="2230"/>
      <c r="F358" s="2230"/>
    </row>
    <row r="359" spans="2:6">
      <c r="B359" s="2230"/>
      <c r="C359" s="2230"/>
      <c r="D359" s="2230"/>
      <c r="E359" s="2230"/>
      <c r="F359" s="2230"/>
    </row>
    <row r="360" spans="2:6">
      <c r="B360" s="2230"/>
      <c r="C360" s="2230"/>
      <c r="D360" s="2230"/>
      <c r="E360" s="2230"/>
      <c r="F360" s="2230"/>
    </row>
    <row r="361" spans="2:6">
      <c r="B361" s="2230"/>
      <c r="C361" s="2230"/>
      <c r="D361" s="2230"/>
      <c r="E361" s="2230"/>
      <c r="F361" s="2230"/>
    </row>
    <row r="362" spans="2:6">
      <c r="B362" s="2230"/>
      <c r="C362" s="2230"/>
      <c r="D362" s="2230"/>
      <c r="E362" s="2230"/>
      <c r="F362" s="2230"/>
    </row>
    <row r="363" spans="2:6">
      <c r="B363" s="2230"/>
      <c r="C363" s="2230"/>
      <c r="D363" s="2230"/>
      <c r="E363" s="2230"/>
      <c r="F363" s="2230"/>
    </row>
    <row r="364" spans="2:6">
      <c r="B364" s="2230"/>
      <c r="C364" s="2230"/>
      <c r="D364" s="2230"/>
      <c r="E364" s="2230"/>
      <c r="F364" s="2230"/>
    </row>
    <row r="365" spans="2:6">
      <c r="B365" s="2230"/>
      <c r="C365" s="2230"/>
      <c r="D365" s="2230"/>
      <c r="E365" s="2230"/>
      <c r="F365" s="2230"/>
    </row>
    <row r="366" spans="2:6">
      <c r="B366" s="2230"/>
      <c r="C366" s="2230"/>
      <c r="D366" s="2230"/>
      <c r="E366" s="2230"/>
      <c r="F366" s="2230"/>
    </row>
    <row r="367" spans="2:6">
      <c r="B367" s="2230"/>
      <c r="C367" s="2230"/>
      <c r="D367" s="2230"/>
      <c r="E367" s="2230"/>
      <c r="F367" s="2230"/>
    </row>
    <row r="368" spans="2:6">
      <c r="B368" s="2230"/>
      <c r="C368" s="2230"/>
      <c r="D368" s="2230"/>
      <c r="E368" s="2230"/>
      <c r="F368" s="2230"/>
    </row>
    <row r="369" spans="2:6">
      <c r="B369" s="2230"/>
      <c r="C369" s="2230"/>
      <c r="D369" s="2230"/>
      <c r="E369" s="2230"/>
      <c r="F369" s="2230"/>
    </row>
    <row r="370" spans="2:6">
      <c r="B370" s="2230"/>
      <c r="C370" s="2230"/>
      <c r="D370" s="2230"/>
      <c r="E370" s="2230"/>
      <c r="F370" s="2230"/>
    </row>
    <row r="371" spans="2:6">
      <c r="B371" s="2230"/>
      <c r="C371" s="2230"/>
      <c r="D371" s="2230"/>
      <c r="E371" s="2230"/>
      <c r="F371" s="2230"/>
    </row>
    <row r="372" spans="2:6">
      <c r="B372" s="2230"/>
      <c r="C372" s="2230"/>
      <c r="D372" s="2230"/>
      <c r="E372" s="2230"/>
      <c r="F372" s="2230"/>
    </row>
    <row r="373" spans="2:6">
      <c r="B373" s="2230"/>
      <c r="C373" s="2230"/>
      <c r="D373" s="2230"/>
      <c r="E373" s="2230"/>
      <c r="F373" s="2230"/>
    </row>
    <row r="374" spans="2:6">
      <c r="B374" s="2230"/>
      <c r="C374" s="2230"/>
      <c r="D374" s="2230"/>
      <c r="E374" s="2230"/>
      <c r="F374" s="2230"/>
    </row>
    <row r="375" spans="2:6">
      <c r="B375" s="2230"/>
      <c r="C375" s="2230"/>
      <c r="D375" s="2230"/>
      <c r="E375" s="2230"/>
      <c r="F375" s="2230"/>
    </row>
    <row r="376" spans="2:6">
      <c r="B376" s="2230"/>
      <c r="C376" s="2230"/>
      <c r="D376" s="2230"/>
      <c r="E376" s="2230"/>
      <c r="F376" s="2230"/>
    </row>
    <row r="377" spans="2:6">
      <c r="B377" s="2230"/>
      <c r="C377" s="2230"/>
      <c r="D377" s="2230"/>
      <c r="E377" s="2230"/>
      <c r="F377" s="2230"/>
    </row>
    <row r="378" spans="2:6">
      <c r="B378" s="2230"/>
      <c r="C378" s="2230"/>
      <c r="D378" s="2230"/>
      <c r="E378" s="2230"/>
      <c r="F378" s="2230"/>
    </row>
    <row r="379" spans="2:6">
      <c r="B379" s="2230"/>
      <c r="C379" s="2230"/>
      <c r="D379" s="2230"/>
      <c r="E379" s="2230"/>
      <c r="F379" s="2230"/>
    </row>
    <row r="380" spans="2:6">
      <c r="B380" s="2230"/>
      <c r="C380" s="2230"/>
      <c r="D380" s="2230"/>
      <c r="E380" s="2230"/>
      <c r="F380" s="2230"/>
    </row>
    <row r="381" spans="2:6">
      <c r="B381" s="2230"/>
      <c r="C381" s="2230"/>
      <c r="D381" s="2230"/>
      <c r="E381" s="2230"/>
      <c r="F381" s="2230"/>
    </row>
    <row r="382" spans="2:6">
      <c r="B382" s="2230"/>
      <c r="C382" s="2230"/>
      <c r="D382" s="2230"/>
      <c r="E382" s="2230"/>
      <c r="F382" s="2230"/>
    </row>
    <row r="383" spans="2:6">
      <c r="B383" s="2230"/>
      <c r="C383" s="2230"/>
      <c r="D383" s="2230"/>
      <c r="E383" s="2230"/>
      <c r="F383" s="2230"/>
    </row>
    <row r="384" spans="2:6">
      <c r="B384" s="2230"/>
      <c r="C384" s="2230"/>
      <c r="D384" s="2230"/>
      <c r="E384" s="2230"/>
      <c r="F384" s="2230"/>
    </row>
    <row r="385" spans="2:6">
      <c r="B385" s="2230"/>
      <c r="C385" s="2230"/>
      <c r="D385" s="2230"/>
      <c r="E385" s="2230"/>
      <c r="F385" s="2230"/>
    </row>
    <row r="386" spans="2:6">
      <c r="B386" s="2230"/>
      <c r="C386" s="2230"/>
      <c r="D386" s="2230"/>
      <c r="E386" s="2230"/>
      <c r="F386" s="2230"/>
    </row>
    <row r="387" spans="2:6">
      <c r="B387" s="2230"/>
      <c r="C387" s="2230"/>
      <c r="D387" s="2230"/>
      <c r="E387" s="2230"/>
      <c r="F387" s="2230"/>
    </row>
    <row r="388" spans="2:6">
      <c r="B388" s="2230"/>
      <c r="C388" s="2230"/>
      <c r="D388" s="2230"/>
      <c r="E388" s="2230"/>
      <c r="F388" s="2230"/>
    </row>
    <row r="389" spans="2:6">
      <c r="B389" s="2230"/>
      <c r="C389" s="2230"/>
      <c r="D389" s="2230"/>
      <c r="E389" s="2230"/>
      <c r="F389" s="2230"/>
    </row>
    <row r="390" spans="2:6">
      <c r="B390" s="2230"/>
      <c r="C390" s="2230"/>
      <c r="D390" s="2230"/>
      <c r="E390" s="2230"/>
      <c r="F390" s="2230"/>
    </row>
    <row r="391" spans="2:6">
      <c r="B391" s="2230"/>
      <c r="C391" s="2230"/>
      <c r="D391" s="2230"/>
      <c r="E391" s="2230"/>
      <c r="F391" s="2230"/>
    </row>
    <row r="392" spans="2:6">
      <c r="B392" s="2230"/>
      <c r="C392" s="2230"/>
      <c r="D392" s="2230"/>
      <c r="E392" s="2230"/>
      <c r="F392" s="2230"/>
    </row>
    <row r="393" spans="2:6">
      <c r="B393" s="2230"/>
      <c r="C393" s="2230"/>
      <c r="D393" s="2230"/>
      <c r="E393" s="2230"/>
      <c r="F393" s="2230"/>
    </row>
    <row r="394" spans="2:6">
      <c r="B394" s="2230"/>
      <c r="C394" s="2230"/>
      <c r="D394" s="2230"/>
      <c r="E394" s="2230"/>
      <c r="F394" s="2230"/>
    </row>
    <row r="395" spans="2:6">
      <c r="B395" s="2230"/>
      <c r="C395" s="2230"/>
      <c r="D395" s="2230"/>
      <c r="E395" s="2230"/>
      <c r="F395" s="2230"/>
    </row>
    <row r="396" spans="2:6">
      <c r="B396" s="2230"/>
      <c r="C396" s="2230"/>
      <c r="D396" s="2230"/>
      <c r="E396" s="2230"/>
      <c r="F396" s="2230"/>
    </row>
    <row r="397" spans="2:6">
      <c r="B397" s="2230"/>
      <c r="C397" s="2230"/>
      <c r="D397" s="2230"/>
      <c r="E397" s="2230"/>
      <c r="F397" s="2230"/>
    </row>
    <row r="398" spans="2:6">
      <c r="B398" s="2230"/>
      <c r="C398" s="2230"/>
      <c r="D398" s="2230"/>
      <c r="E398" s="2230"/>
      <c r="F398" s="2230"/>
    </row>
    <row r="399" spans="2:6">
      <c r="B399" s="2230"/>
      <c r="C399" s="2230"/>
      <c r="D399" s="2230"/>
      <c r="E399" s="2230"/>
      <c r="F399" s="2230"/>
    </row>
    <row r="400" spans="2:6">
      <c r="B400" s="2230"/>
      <c r="C400" s="2230"/>
      <c r="D400" s="2230"/>
      <c r="E400" s="2230"/>
      <c r="F400" s="2230"/>
    </row>
    <row r="401" spans="2:6">
      <c r="B401" s="2230"/>
      <c r="C401" s="2230"/>
      <c r="D401" s="2230"/>
      <c r="E401" s="2230"/>
      <c r="F401" s="2230"/>
    </row>
    <row r="402" spans="2:6">
      <c r="B402" s="2230"/>
      <c r="C402" s="2230"/>
      <c r="D402" s="2230"/>
      <c r="E402" s="2230"/>
      <c r="F402" s="2230"/>
    </row>
    <row r="403" spans="2:6">
      <c r="B403" s="2230"/>
      <c r="C403" s="2230"/>
      <c r="D403" s="2230"/>
      <c r="E403" s="2230"/>
      <c r="F403" s="2230"/>
    </row>
    <row r="404" spans="2:6">
      <c r="B404" s="2230"/>
      <c r="C404" s="2230"/>
      <c r="D404" s="2230"/>
      <c r="E404" s="2230"/>
      <c r="F404" s="2230"/>
    </row>
    <row r="405" spans="2:6">
      <c r="B405" s="2230"/>
      <c r="C405" s="2230"/>
      <c r="D405" s="2230"/>
      <c r="E405" s="2230"/>
      <c r="F405" s="2230"/>
    </row>
    <row r="406" spans="2:6">
      <c r="B406" s="2230"/>
      <c r="C406" s="2230"/>
      <c r="D406" s="2230"/>
      <c r="E406" s="2230"/>
      <c r="F406" s="2230"/>
    </row>
    <row r="407" spans="2:6">
      <c r="B407" s="2230"/>
      <c r="C407" s="2230"/>
      <c r="D407" s="2230"/>
      <c r="E407" s="2230"/>
      <c r="F407" s="2230"/>
    </row>
    <row r="408" spans="2:6">
      <c r="B408" s="2230"/>
      <c r="C408" s="2230"/>
      <c r="D408" s="2230"/>
      <c r="E408" s="2230"/>
      <c r="F408" s="2230"/>
    </row>
    <row r="409" spans="2:6">
      <c r="B409" s="2230"/>
      <c r="C409" s="2230"/>
      <c r="D409" s="2230"/>
      <c r="E409" s="2230"/>
      <c r="F409" s="2230"/>
    </row>
    <row r="410" spans="2:6">
      <c r="B410" s="2230"/>
      <c r="C410" s="2230"/>
      <c r="D410" s="2230"/>
      <c r="E410" s="2230"/>
      <c r="F410" s="2230"/>
    </row>
    <row r="411" spans="2:6">
      <c r="B411" s="2230"/>
      <c r="C411" s="2230"/>
      <c r="D411" s="2230"/>
      <c r="E411" s="2230"/>
      <c r="F411" s="2230"/>
    </row>
    <row r="412" spans="2:6">
      <c r="B412" s="2230"/>
      <c r="C412" s="2230"/>
      <c r="D412" s="2230"/>
      <c r="E412" s="2230"/>
      <c r="F412" s="2230"/>
    </row>
    <row r="413" spans="2:6">
      <c r="B413" s="2230"/>
      <c r="C413" s="2230"/>
      <c r="D413" s="2230"/>
      <c r="E413" s="2230"/>
      <c r="F413" s="2230"/>
    </row>
    <row r="414" spans="2:6">
      <c r="B414" s="2230"/>
      <c r="C414" s="2230"/>
      <c r="D414" s="2230"/>
      <c r="E414" s="2230"/>
      <c r="F414" s="2230"/>
    </row>
    <row r="415" spans="2:6">
      <c r="B415" s="2230"/>
      <c r="C415" s="2230"/>
      <c r="D415" s="2230"/>
      <c r="E415" s="2230"/>
      <c r="F415" s="2230"/>
    </row>
    <row r="416" spans="2:6">
      <c r="B416" s="2230"/>
      <c r="C416" s="2230"/>
      <c r="D416" s="2230"/>
      <c r="E416" s="2230"/>
      <c r="F416" s="2230"/>
    </row>
    <row r="417" spans="2:6">
      <c r="B417" s="2230"/>
      <c r="C417" s="2230"/>
      <c r="D417" s="2230"/>
      <c r="E417" s="2230"/>
      <c r="F417" s="2230"/>
    </row>
    <row r="418" spans="2:6">
      <c r="B418" s="2230"/>
      <c r="C418" s="2230"/>
      <c r="D418" s="2230"/>
      <c r="E418" s="2230"/>
      <c r="F418" s="2230"/>
    </row>
    <row r="419" spans="2:6">
      <c r="B419" s="2230"/>
      <c r="C419" s="2230"/>
      <c r="D419" s="2230"/>
      <c r="E419" s="2230"/>
      <c r="F419" s="2230"/>
    </row>
    <row r="420" spans="2:6">
      <c r="B420" s="2230"/>
      <c r="C420" s="2230"/>
      <c r="D420" s="2230"/>
      <c r="E420" s="2230"/>
      <c r="F420" s="2230"/>
    </row>
    <row r="421" spans="2:6">
      <c r="B421" s="2230"/>
      <c r="C421" s="2230"/>
      <c r="D421" s="2230"/>
      <c r="E421" s="2230"/>
      <c r="F421" s="2230"/>
    </row>
    <row r="422" spans="2:6">
      <c r="B422" s="2230"/>
      <c r="C422" s="2230"/>
      <c r="D422" s="2230"/>
      <c r="E422" s="2230"/>
      <c r="F422" s="2230"/>
    </row>
    <row r="423" spans="2:6">
      <c r="B423" s="2230"/>
      <c r="C423" s="2230"/>
      <c r="D423" s="2230"/>
      <c r="E423" s="2230"/>
      <c r="F423" s="2230"/>
    </row>
    <row r="424" spans="2:6">
      <c r="B424" s="2230"/>
      <c r="C424" s="2230"/>
      <c r="D424" s="2230"/>
      <c r="E424" s="2230"/>
      <c r="F424" s="2230"/>
    </row>
    <row r="425" spans="2:6">
      <c r="B425" s="2230"/>
      <c r="C425" s="2230"/>
      <c r="D425" s="2230"/>
      <c r="E425" s="2230"/>
      <c r="F425" s="2230"/>
    </row>
    <row r="426" spans="2:6">
      <c r="B426" s="2230"/>
      <c r="C426" s="2230"/>
      <c r="D426" s="2230"/>
      <c r="E426" s="2230"/>
      <c r="F426" s="2230"/>
    </row>
    <row r="427" spans="2:6">
      <c r="B427" s="2230"/>
      <c r="C427" s="2230"/>
      <c r="D427" s="2230"/>
      <c r="E427" s="2230"/>
      <c r="F427" s="2230"/>
    </row>
    <row r="428" spans="2:6">
      <c r="B428" s="2230"/>
      <c r="C428" s="2230"/>
      <c r="D428" s="2230"/>
      <c r="E428" s="2230"/>
      <c r="F428" s="2230"/>
    </row>
    <row r="429" spans="2:6">
      <c r="B429" s="2230"/>
      <c r="C429" s="2230"/>
      <c r="D429" s="2230"/>
      <c r="E429" s="2230"/>
      <c r="F429" s="2230"/>
    </row>
    <row r="430" spans="2:6">
      <c r="B430" s="2230"/>
      <c r="C430" s="2230"/>
      <c r="D430" s="2230"/>
      <c r="E430" s="2230"/>
      <c r="F430" s="2230"/>
    </row>
    <row r="431" spans="2:6">
      <c r="B431" s="2230"/>
      <c r="C431" s="2230"/>
      <c r="D431" s="2230"/>
      <c r="E431" s="2230"/>
      <c r="F431" s="2230"/>
    </row>
    <row r="432" spans="2:6">
      <c r="B432" s="2230"/>
      <c r="C432" s="2230"/>
      <c r="D432" s="2230"/>
      <c r="E432" s="2230"/>
      <c r="F432" s="2230"/>
    </row>
    <row r="433" spans="2:6">
      <c r="B433" s="2230"/>
      <c r="C433" s="2230"/>
      <c r="D433" s="2230"/>
      <c r="E433" s="2230"/>
      <c r="F433" s="2230"/>
    </row>
    <row r="434" spans="2:6">
      <c r="B434" s="2230"/>
      <c r="C434" s="2230"/>
      <c r="D434" s="2230"/>
      <c r="E434" s="2230"/>
      <c r="F434" s="2230"/>
    </row>
    <row r="435" spans="2:6">
      <c r="B435" s="2230"/>
      <c r="C435" s="2230"/>
      <c r="D435" s="2230"/>
      <c r="E435" s="2230"/>
      <c r="F435" s="2230"/>
    </row>
    <row r="436" spans="2:6">
      <c r="B436" s="2230"/>
      <c r="C436" s="2230"/>
      <c r="D436" s="2230"/>
      <c r="E436" s="2230"/>
      <c r="F436" s="2230"/>
    </row>
    <row r="437" spans="2:6">
      <c r="B437" s="2230"/>
      <c r="C437" s="2230"/>
      <c r="D437" s="2230"/>
      <c r="E437" s="2230"/>
      <c r="F437" s="2230"/>
    </row>
    <row r="438" spans="2:6">
      <c r="B438" s="2230"/>
      <c r="C438" s="2230"/>
      <c r="D438" s="2230"/>
      <c r="E438" s="2230"/>
      <c r="F438" s="2230"/>
    </row>
    <row r="439" spans="2:6">
      <c r="B439" s="2230"/>
      <c r="C439" s="2230"/>
      <c r="D439" s="2230"/>
      <c r="E439" s="2230"/>
      <c r="F439" s="2230"/>
    </row>
    <row r="440" spans="2:6">
      <c r="B440" s="2230"/>
      <c r="C440" s="2230"/>
      <c r="D440" s="2230"/>
      <c r="E440" s="2230"/>
      <c r="F440" s="2230"/>
    </row>
    <row r="441" spans="2:6">
      <c r="B441" s="2230"/>
      <c r="C441" s="2230"/>
      <c r="D441" s="2230"/>
      <c r="E441" s="2230"/>
      <c r="F441" s="2230"/>
    </row>
    <row r="442" spans="2:6">
      <c r="B442" s="2230"/>
      <c r="C442" s="2230"/>
      <c r="D442" s="2230"/>
      <c r="E442" s="2230"/>
      <c r="F442" s="2230"/>
    </row>
    <row r="443" spans="2:6">
      <c r="B443" s="2230"/>
      <c r="C443" s="2230"/>
      <c r="D443" s="2230"/>
      <c r="E443" s="2230"/>
      <c r="F443" s="2230"/>
    </row>
    <row r="444" spans="2:6">
      <c r="B444" s="2230"/>
      <c r="C444" s="2230"/>
      <c r="D444" s="2230"/>
      <c r="E444" s="2230"/>
      <c r="F444" s="2230"/>
    </row>
    <row r="445" spans="2:6">
      <c r="B445" s="2230"/>
      <c r="C445" s="2230"/>
      <c r="D445" s="2230"/>
      <c r="E445" s="2230"/>
      <c r="F445" s="2230"/>
    </row>
    <row r="446" spans="2:6">
      <c r="B446" s="2230"/>
      <c r="C446" s="2230"/>
      <c r="D446" s="2230"/>
      <c r="E446" s="2230"/>
      <c r="F446" s="2230"/>
    </row>
    <row r="447" spans="2:6">
      <c r="B447" s="2230"/>
      <c r="C447" s="2230"/>
      <c r="D447" s="2230"/>
      <c r="E447" s="2230"/>
      <c r="F447" s="2230"/>
    </row>
    <row r="448" spans="2:6">
      <c r="B448" s="2230"/>
      <c r="C448" s="2230"/>
      <c r="D448" s="2230"/>
      <c r="E448" s="2230"/>
      <c r="F448" s="2230"/>
    </row>
    <row r="449" spans="2:6">
      <c r="B449" s="2230"/>
      <c r="C449" s="2230"/>
      <c r="D449" s="2230"/>
      <c r="E449" s="2230"/>
      <c r="F449" s="2230"/>
    </row>
    <row r="450" spans="2:6">
      <c r="B450" s="2230"/>
      <c r="C450" s="2230"/>
      <c r="D450" s="2230"/>
      <c r="E450" s="2230"/>
      <c r="F450" s="2230"/>
    </row>
    <row r="451" spans="2:6">
      <c r="B451" s="2230"/>
      <c r="C451" s="2230"/>
      <c r="D451" s="2230"/>
      <c r="E451" s="2230"/>
      <c r="F451" s="2230"/>
    </row>
    <row r="452" spans="2:6">
      <c r="B452" s="2230"/>
      <c r="C452" s="2230"/>
      <c r="D452" s="2230"/>
      <c r="E452" s="2230"/>
      <c r="F452" s="2230"/>
    </row>
    <row r="453" spans="2:6">
      <c r="B453" s="2230"/>
      <c r="C453" s="2230"/>
      <c r="D453" s="2230"/>
      <c r="E453" s="2230"/>
      <c r="F453" s="2230"/>
    </row>
    <row r="454" spans="2:6">
      <c r="B454" s="2230"/>
      <c r="C454" s="2230"/>
      <c r="D454" s="2230"/>
      <c r="E454" s="2230"/>
      <c r="F454" s="2230"/>
    </row>
    <row r="455" spans="2:6">
      <c r="B455" s="2230"/>
      <c r="C455" s="2230"/>
      <c r="D455" s="2230"/>
      <c r="E455" s="2230"/>
      <c r="F455" s="2230"/>
    </row>
    <row r="456" spans="2:6">
      <c r="B456" s="2230"/>
      <c r="C456" s="2230"/>
      <c r="D456" s="2230"/>
      <c r="E456" s="2230"/>
      <c r="F456" s="2230"/>
    </row>
    <row r="457" spans="2:6">
      <c r="B457" s="2230"/>
      <c r="C457" s="2230"/>
      <c r="D457" s="2230"/>
      <c r="E457" s="2230"/>
      <c r="F457" s="2230"/>
    </row>
    <row r="458" spans="2:6">
      <c r="B458" s="2230"/>
      <c r="C458" s="2230"/>
      <c r="D458" s="2230"/>
      <c r="E458" s="2230"/>
      <c r="F458" s="2230"/>
    </row>
    <row r="459" spans="2:6">
      <c r="B459" s="2230"/>
      <c r="C459" s="2230"/>
      <c r="D459" s="2230"/>
      <c r="E459" s="2230"/>
      <c r="F459" s="2230"/>
    </row>
    <row r="460" spans="2:6">
      <c r="B460" s="2230"/>
      <c r="C460" s="2230"/>
      <c r="D460" s="2230"/>
      <c r="E460" s="2230"/>
      <c r="F460" s="2230"/>
    </row>
    <row r="461" spans="2:6">
      <c r="B461" s="2230"/>
      <c r="C461" s="2230"/>
      <c r="D461" s="2230"/>
      <c r="E461" s="2230"/>
      <c r="F461" s="2230"/>
    </row>
    <row r="462" spans="2:6">
      <c r="B462" s="2230"/>
      <c r="C462" s="2230"/>
      <c r="D462" s="2230"/>
      <c r="E462" s="2230"/>
      <c r="F462" s="2230"/>
    </row>
    <row r="463" spans="2:6">
      <c r="B463" s="2230"/>
      <c r="C463" s="2230"/>
      <c r="D463" s="2230"/>
      <c r="E463" s="2230"/>
      <c r="F463" s="2230"/>
    </row>
    <row r="464" spans="2:6">
      <c r="B464" s="2230"/>
      <c r="C464" s="2230"/>
      <c r="D464" s="2230"/>
      <c r="E464" s="2230"/>
      <c r="F464" s="2230"/>
    </row>
    <row r="465" spans="2:6">
      <c r="B465" s="2230"/>
      <c r="C465" s="2230"/>
      <c r="D465" s="2230"/>
      <c r="E465" s="2230"/>
      <c r="F465" s="2230"/>
    </row>
    <row r="466" spans="2:6">
      <c r="B466" s="2230"/>
      <c r="C466" s="2230"/>
      <c r="D466" s="2230"/>
      <c r="E466" s="2230"/>
      <c r="F466" s="2230"/>
    </row>
    <row r="467" spans="2:6">
      <c r="B467" s="2230"/>
      <c r="C467" s="2230"/>
      <c r="D467" s="2230"/>
      <c r="E467" s="2230"/>
      <c r="F467" s="2230"/>
    </row>
    <row r="468" spans="2:6">
      <c r="B468" s="2230"/>
      <c r="C468" s="2230"/>
      <c r="D468" s="2230"/>
      <c r="E468" s="2230"/>
      <c r="F468" s="2230"/>
    </row>
    <row r="469" spans="2:6">
      <c r="B469" s="2230"/>
      <c r="C469" s="2230"/>
      <c r="D469" s="2230"/>
      <c r="E469" s="2230"/>
      <c r="F469" s="2230"/>
    </row>
    <row r="470" spans="2:6">
      <c r="B470" s="2230"/>
      <c r="C470" s="2230"/>
      <c r="D470" s="2230"/>
      <c r="E470" s="2230"/>
      <c r="F470" s="2230"/>
    </row>
    <row r="471" spans="2:6">
      <c r="B471" s="2230"/>
      <c r="C471" s="2230"/>
      <c r="D471" s="2230"/>
      <c r="E471" s="2230"/>
      <c r="F471" s="2230"/>
    </row>
    <row r="472" spans="2:6">
      <c r="B472" s="2230"/>
      <c r="C472" s="2230"/>
      <c r="D472" s="2230"/>
      <c r="E472" s="2230"/>
      <c r="F472" s="2230"/>
    </row>
    <row r="473" spans="2:6">
      <c r="B473" s="2230"/>
      <c r="C473" s="2230"/>
      <c r="D473" s="2230"/>
      <c r="E473" s="2230"/>
      <c r="F473" s="2230"/>
    </row>
    <row r="474" spans="2:6">
      <c r="B474" s="2230"/>
      <c r="C474" s="2230"/>
      <c r="D474" s="2230"/>
      <c r="E474" s="2230"/>
      <c r="F474" s="2230"/>
    </row>
    <row r="475" spans="2:6">
      <c r="B475" s="2230"/>
      <c r="C475" s="2230"/>
      <c r="D475" s="2230"/>
      <c r="E475" s="2230"/>
      <c r="F475" s="2230"/>
    </row>
    <row r="476" spans="2:6">
      <c r="B476" s="2230"/>
      <c r="C476" s="2230"/>
      <c r="D476" s="2230"/>
      <c r="E476" s="2230"/>
      <c r="F476" s="2230"/>
    </row>
    <row r="477" spans="2:6">
      <c r="B477" s="2230"/>
      <c r="C477" s="2230"/>
      <c r="D477" s="2230"/>
      <c r="E477" s="2230"/>
      <c r="F477" s="2230"/>
    </row>
    <row r="478" spans="2:6">
      <c r="B478" s="2230"/>
      <c r="C478" s="2230"/>
      <c r="D478" s="2230"/>
      <c r="E478" s="2230"/>
      <c r="F478" s="2230"/>
    </row>
    <row r="479" spans="2:6">
      <c r="B479" s="2230"/>
      <c r="C479" s="2230"/>
      <c r="D479" s="2230"/>
      <c r="E479" s="2230"/>
      <c r="F479" s="2230"/>
    </row>
    <row r="480" spans="2:6">
      <c r="B480" s="2230"/>
      <c r="C480" s="2230"/>
      <c r="D480" s="2230"/>
      <c r="E480" s="2230"/>
      <c r="F480" s="2230"/>
    </row>
    <row r="481" spans="2:6">
      <c r="B481" s="2230"/>
      <c r="C481" s="2230"/>
      <c r="D481" s="2230"/>
      <c r="E481" s="2230"/>
      <c r="F481" s="2230"/>
    </row>
    <row r="482" spans="2:6">
      <c r="B482" s="2230"/>
      <c r="C482" s="2230"/>
      <c r="D482" s="2230"/>
      <c r="E482" s="2230"/>
      <c r="F482" s="2230"/>
    </row>
    <row r="483" spans="2:6">
      <c r="B483" s="2230"/>
      <c r="C483" s="2230"/>
      <c r="D483" s="2230"/>
      <c r="E483" s="2230"/>
      <c r="F483" s="2230"/>
    </row>
    <row r="484" spans="2:6">
      <c r="B484" s="2230"/>
      <c r="C484" s="2230"/>
      <c r="D484" s="2230"/>
      <c r="E484" s="2230"/>
      <c r="F484" s="2230"/>
    </row>
    <row r="485" spans="2:6">
      <c r="B485" s="2230"/>
      <c r="C485" s="2230"/>
      <c r="D485" s="2230"/>
      <c r="E485" s="2230"/>
      <c r="F485" s="2230"/>
    </row>
    <row r="486" spans="2:6">
      <c r="B486" s="2230"/>
      <c r="C486" s="2230"/>
      <c r="D486" s="2230"/>
      <c r="E486" s="2230"/>
      <c r="F486" s="2230"/>
    </row>
    <row r="487" spans="2:6">
      <c r="B487" s="2230"/>
      <c r="C487" s="2230"/>
      <c r="D487" s="2230"/>
      <c r="E487" s="2230"/>
      <c r="F487" s="2230"/>
    </row>
    <row r="488" spans="2:6">
      <c r="B488" s="2230"/>
      <c r="C488" s="2230"/>
      <c r="D488" s="2230"/>
      <c r="E488" s="2230"/>
      <c r="F488" s="2230"/>
    </row>
    <row r="489" spans="2:6">
      <c r="B489" s="2230"/>
      <c r="C489" s="2230"/>
      <c r="D489" s="2230"/>
      <c r="E489" s="2230"/>
      <c r="F489" s="2230"/>
    </row>
    <row r="490" spans="2:6">
      <c r="B490" s="2230"/>
      <c r="C490" s="2230"/>
      <c r="D490" s="2230"/>
      <c r="E490" s="2230"/>
      <c r="F490" s="2230"/>
    </row>
    <row r="491" spans="2:6">
      <c r="B491" s="2230"/>
      <c r="C491" s="2230"/>
      <c r="D491" s="2230"/>
      <c r="E491" s="2230"/>
      <c r="F491" s="2230"/>
    </row>
    <row r="492" spans="2:6">
      <c r="B492" s="2230"/>
      <c r="C492" s="2230"/>
      <c r="D492" s="2230"/>
      <c r="E492" s="2230"/>
      <c r="F492" s="2230"/>
    </row>
    <row r="493" spans="2:6">
      <c r="B493" s="2230"/>
      <c r="C493" s="2230"/>
      <c r="D493" s="2230"/>
      <c r="E493" s="2230"/>
      <c r="F493" s="2230"/>
    </row>
    <row r="494" spans="2:6">
      <c r="B494" s="2230"/>
      <c r="C494" s="2230"/>
      <c r="D494" s="2230"/>
      <c r="E494" s="2230"/>
      <c r="F494" s="2230"/>
    </row>
    <row r="495" spans="2:6">
      <c r="B495" s="2230"/>
      <c r="C495" s="2230"/>
      <c r="D495" s="2230"/>
      <c r="E495" s="2230"/>
      <c r="F495" s="2230"/>
    </row>
    <row r="496" spans="2:6">
      <c r="B496" s="2230"/>
      <c r="C496" s="2230"/>
      <c r="D496" s="2230"/>
      <c r="E496" s="2230"/>
      <c r="F496" s="2230"/>
    </row>
    <row r="497" spans="2:6">
      <c r="B497" s="2230"/>
      <c r="C497" s="2230"/>
      <c r="D497" s="2230"/>
      <c r="E497" s="2230"/>
      <c r="F497" s="2230"/>
    </row>
    <row r="498" spans="2:6">
      <c r="B498" s="2230"/>
      <c r="C498" s="2230"/>
      <c r="D498" s="2230"/>
      <c r="E498" s="2230"/>
      <c r="F498" s="2230"/>
    </row>
    <row r="499" spans="2:6">
      <c r="B499" s="2230"/>
      <c r="C499" s="2230"/>
      <c r="D499" s="2230"/>
      <c r="E499" s="2230"/>
      <c r="F499" s="2230"/>
    </row>
    <row r="500" spans="2:6">
      <c r="B500" s="2230"/>
      <c r="C500" s="2230"/>
      <c r="D500" s="2230"/>
      <c r="E500" s="2230"/>
      <c r="F500" s="2230"/>
    </row>
    <row r="501" spans="2:6">
      <c r="B501" s="2230"/>
      <c r="C501" s="2230"/>
      <c r="D501" s="2230"/>
      <c r="E501" s="2230"/>
      <c r="F501" s="2230"/>
    </row>
    <row r="502" spans="2:6">
      <c r="B502" s="2230"/>
      <c r="C502" s="2230"/>
      <c r="D502" s="2230"/>
      <c r="E502" s="2230"/>
      <c r="F502" s="2230"/>
    </row>
    <row r="503" spans="2:6">
      <c r="B503" s="2230"/>
      <c r="C503" s="2230"/>
      <c r="D503" s="2230"/>
      <c r="E503" s="2230"/>
      <c r="F503" s="2230"/>
    </row>
    <row r="504" spans="2:6">
      <c r="B504" s="2230"/>
      <c r="C504" s="2230"/>
      <c r="D504" s="2230"/>
      <c r="E504" s="2230"/>
      <c r="F504" s="2230"/>
    </row>
    <row r="505" spans="2:6">
      <c r="B505" s="2230"/>
      <c r="C505" s="2230"/>
      <c r="D505" s="2230"/>
      <c r="E505" s="2230"/>
      <c r="F505" s="2230"/>
    </row>
    <row r="506" spans="2:6">
      <c r="B506" s="2230"/>
      <c r="C506" s="2230"/>
      <c r="D506" s="2230"/>
      <c r="E506" s="2230"/>
      <c r="F506" s="2230"/>
    </row>
    <row r="507" spans="2:6">
      <c r="B507" s="2230"/>
      <c r="C507" s="2230"/>
      <c r="D507" s="2230"/>
      <c r="E507" s="2230"/>
      <c r="F507" s="2230"/>
    </row>
    <row r="508" spans="2:6">
      <c r="B508" s="2230"/>
      <c r="C508" s="2230"/>
      <c r="D508" s="2230"/>
      <c r="E508" s="2230"/>
      <c r="F508" s="2230"/>
    </row>
    <row r="509" spans="2:6">
      <c r="B509" s="2230"/>
      <c r="C509" s="2230"/>
      <c r="D509" s="2230"/>
      <c r="E509" s="2230"/>
      <c r="F509" s="2230"/>
    </row>
    <row r="510" spans="2:6">
      <c r="B510" s="2230"/>
      <c r="C510" s="2230"/>
      <c r="D510" s="2230"/>
      <c r="E510" s="2230"/>
      <c r="F510" s="2230"/>
    </row>
    <row r="511" spans="2:6">
      <c r="B511" s="2230"/>
      <c r="C511" s="2230"/>
      <c r="D511" s="2230"/>
      <c r="E511" s="2230"/>
      <c r="F511" s="2230"/>
    </row>
    <row r="512" spans="2:6">
      <c r="B512" s="2230"/>
      <c r="C512" s="2230"/>
      <c r="D512" s="2230"/>
      <c r="E512" s="2230"/>
      <c r="F512" s="2230"/>
    </row>
    <row r="513" spans="2:6">
      <c r="B513" s="2230"/>
      <c r="C513" s="2230"/>
      <c r="D513" s="2230"/>
      <c r="E513" s="2230"/>
      <c r="F513" s="2230"/>
    </row>
    <row r="514" spans="2:6">
      <c r="B514" s="2230"/>
      <c r="C514" s="2230"/>
      <c r="D514" s="2230"/>
      <c r="E514" s="2230"/>
      <c r="F514" s="2230"/>
    </row>
    <row r="515" spans="2:6">
      <c r="B515" s="2230"/>
      <c r="C515" s="2230"/>
      <c r="D515" s="2230"/>
      <c r="E515" s="2230"/>
      <c r="F515" s="2230"/>
    </row>
    <row r="516" spans="2:6">
      <c r="B516" s="2230"/>
      <c r="C516" s="2230"/>
      <c r="D516" s="2230"/>
      <c r="E516" s="2230"/>
      <c r="F516" s="2230"/>
    </row>
    <row r="517" spans="2:6">
      <c r="B517" s="2230"/>
      <c r="C517" s="2230"/>
      <c r="D517" s="2230"/>
      <c r="E517" s="2230"/>
      <c r="F517" s="2230"/>
    </row>
    <row r="518" spans="2:6">
      <c r="B518" s="2230"/>
      <c r="C518" s="2230"/>
      <c r="D518" s="2230"/>
      <c r="E518" s="2230"/>
      <c r="F518" s="2230"/>
    </row>
    <row r="519" spans="2:6">
      <c r="B519" s="2230"/>
      <c r="C519" s="2230"/>
      <c r="D519" s="2230"/>
      <c r="E519" s="2230"/>
      <c r="F519" s="2230"/>
    </row>
    <row r="520" spans="2:6">
      <c r="B520" s="2230"/>
      <c r="C520" s="2230"/>
      <c r="D520" s="2230"/>
      <c r="E520" s="2230"/>
      <c r="F520" s="2230"/>
    </row>
    <row r="521" spans="2:6">
      <c r="B521" s="2230"/>
      <c r="C521" s="2230"/>
      <c r="D521" s="2230"/>
      <c r="E521" s="2230"/>
      <c r="F521" s="2230"/>
    </row>
    <row r="522" spans="2:6">
      <c r="B522" s="2230"/>
      <c r="C522" s="2230"/>
      <c r="D522" s="2230"/>
      <c r="E522" s="2230"/>
      <c r="F522" s="2230"/>
    </row>
    <row r="523" spans="2:6">
      <c r="B523" s="2230"/>
      <c r="C523" s="2230"/>
      <c r="D523" s="2230"/>
      <c r="E523" s="2230"/>
      <c r="F523" s="2230"/>
    </row>
    <row r="524" spans="2:6">
      <c r="B524" s="2230"/>
      <c r="C524" s="2230"/>
      <c r="D524" s="2230"/>
      <c r="E524" s="2230"/>
      <c r="F524" s="2230"/>
    </row>
    <row r="525" spans="2:6">
      <c r="B525" s="2230"/>
      <c r="C525" s="2230"/>
      <c r="D525" s="2230"/>
      <c r="E525" s="2230"/>
      <c r="F525" s="2230"/>
    </row>
    <row r="526" spans="2:6">
      <c r="B526" s="2230"/>
      <c r="C526" s="2230"/>
      <c r="D526" s="2230"/>
      <c r="E526" s="2230"/>
      <c r="F526" s="2230"/>
    </row>
    <row r="527" spans="2:6">
      <c r="B527" s="2230"/>
      <c r="C527" s="2230"/>
      <c r="D527" s="2230"/>
      <c r="E527" s="2230"/>
      <c r="F527" s="2230"/>
    </row>
    <row r="528" spans="2:6">
      <c r="B528" s="2230"/>
      <c r="C528" s="2230"/>
      <c r="D528" s="2230"/>
      <c r="E528" s="2230"/>
      <c r="F528" s="2230"/>
    </row>
    <row r="529" spans="2:6">
      <c r="B529" s="2230"/>
      <c r="C529" s="2230"/>
      <c r="D529" s="2230"/>
      <c r="E529" s="2230"/>
      <c r="F529" s="2230"/>
    </row>
    <row r="530" spans="2:6">
      <c r="B530" s="2230"/>
      <c r="C530" s="2230"/>
      <c r="D530" s="2230"/>
      <c r="E530" s="2230"/>
      <c r="F530" s="2230"/>
    </row>
    <row r="531" spans="2:6">
      <c r="B531" s="2230"/>
      <c r="C531" s="2230"/>
      <c r="D531" s="2230"/>
      <c r="E531" s="2230"/>
      <c r="F531" s="2230"/>
    </row>
    <row r="532" spans="2:6">
      <c r="B532" s="2230"/>
      <c r="C532" s="2230"/>
      <c r="D532" s="2230"/>
      <c r="E532" s="2230"/>
      <c r="F532" s="2230"/>
    </row>
    <row r="533" spans="2:6">
      <c r="B533" s="2230"/>
      <c r="C533" s="2230"/>
      <c r="D533" s="2230"/>
      <c r="E533" s="2230"/>
      <c r="F533" s="2230"/>
    </row>
    <row r="534" spans="2:6">
      <c r="B534" s="2230"/>
      <c r="C534" s="2230"/>
      <c r="D534" s="2230"/>
      <c r="E534" s="2230"/>
      <c r="F534" s="2230"/>
    </row>
    <row r="535" spans="2:6">
      <c r="B535" s="2230"/>
      <c r="C535" s="2230"/>
      <c r="D535" s="2230"/>
      <c r="E535" s="2230"/>
      <c r="F535" s="2230"/>
    </row>
    <row r="536" spans="2:6">
      <c r="B536" s="2230"/>
      <c r="C536" s="2230"/>
      <c r="D536" s="2230"/>
      <c r="E536" s="2230"/>
      <c r="F536" s="2230"/>
    </row>
    <row r="537" spans="2:6">
      <c r="B537" s="2230"/>
      <c r="C537" s="2230"/>
      <c r="D537" s="2230"/>
      <c r="E537" s="2230"/>
      <c r="F537" s="2230"/>
    </row>
    <row r="538" spans="2:6">
      <c r="B538" s="2230"/>
      <c r="C538" s="2230"/>
      <c r="D538" s="2230"/>
      <c r="E538" s="2230"/>
      <c r="F538" s="2230"/>
    </row>
    <row r="539" spans="2:6">
      <c r="B539" s="2230"/>
      <c r="C539" s="2230"/>
      <c r="D539" s="2230"/>
      <c r="E539" s="2230"/>
      <c r="F539" s="2230"/>
    </row>
    <row r="540" spans="2:6">
      <c r="B540" s="2230"/>
      <c r="C540" s="2230"/>
      <c r="D540" s="2230"/>
      <c r="E540" s="2230"/>
      <c r="F540" s="2230"/>
    </row>
    <row r="541" spans="2:6">
      <c r="B541" s="2230"/>
      <c r="C541" s="2230"/>
      <c r="D541" s="2230"/>
      <c r="E541" s="2230"/>
      <c r="F541" s="2230"/>
    </row>
    <row r="542" spans="2:6">
      <c r="B542" s="2230"/>
      <c r="C542" s="2230"/>
      <c r="D542" s="2230"/>
      <c r="E542" s="2230"/>
      <c r="F542" s="2230"/>
    </row>
    <row r="543" spans="2:6">
      <c r="B543" s="2230"/>
      <c r="C543" s="2230"/>
      <c r="D543" s="2230"/>
      <c r="E543" s="2230"/>
      <c r="F543" s="2230"/>
    </row>
    <row r="544" spans="2:6">
      <c r="B544" s="2230"/>
      <c r="C544" s="2230"/>
      <c r="D544" s="2230"/>
      <c r="E544" s="2230"/>
      <c r="F544" s="2230"/>
    </row>
    <row r="545" spans="2:6">
      <c r="B545" s="2230"/>
      <c r="C545" s="2230"/>
      <c r="D545" s="2230"/>
      <c r="E545" s="2230"/>
      <c r="F545" s="2230"/>
    </row>
    <row r="546" spans="2:6">
      <c r="B546" s="2230"/>
      <c r="C546" s="2230"/>
      <c r="D546" s="2230"/>
      <c r="E546" s="2230"/>
      <c r="F546" s="2230"/>
    </row>
    <row r="547" spans="2:6">
      <c r="B547" s="2230"/>
      <c r="C547" s="2230"/>
      <c r="D547" s="2230"/>
      <c r="E547" s="2230"/>
      <c r="F547" s="2230"/>
    </row>
    <row r="548" spans="2:6">
      <c r="B548" s="2230"/>
      <c r="C548" s="2230"/>
      <c r="D548" s="2230"/>
      <c r="E548" s="2230"/>
      <c r="F548" s="2230"/>
    </row>
    <row r="549" spans="2:6">
      <c r="B549" s="2230"/>
      <c r="C549" s="2230"/>
      <c r="D549" s="2230"/>
      <c r="E549" s="2230"/>
      <c r="F549" s="2230"/>
    </row>
    <row r="550" spans="2:6">
      <c r="B550" s="2230"/>
      <c r="C550" s="2230"/>
      <c r="D550" s="2230"/>
      <c r="E550" s="2230"/>
      <c r="F550" s="2230"/>
    </row>
    <row r="551" spans="2:6">
      <c r="B551" s="2230"/>
      <c r="C551" s="2230"/>
      <c r="D551" s="2230"/>
      <c r="E551" s="2230"/>
      <c r="F551" s="2230"/>
    </row>
    <row r="552" spans="2:6">
      <c r="B552" s="2230"/>
      <c r="C552" s="2230"/>
      <c r="D552" s="2230"/>
      <c r="E552" s="2230"/>
      <c r="F552" s="2230"/>
    </row>
    <row r="553" spans="2:6">
      <c r="B553" s="2230"/>
      <c r="C553" s="2230"/>
      <c r="D553" s="2230"/>
      <c r="E553" s="2230"/>
      <c r="F553" s="2230"/>
    </row>
    <row r="554" spans="2:6">
      <c r="B554" s="2230"/>
      <c r="C554" s="2230"/>
      <c r="D554" s="2230"/>
      <c r="E554" s="2230"/>
      <c r="F554" s="2230"/>
    </row>
    <row r="555" spans="2:6">
      <c r="B555" s="2230"/>
      <c r="C555" s="2230"/>
      <c r="D555" s="2230"/>
      <c r="E555" s="2230"/>
      <c r="F555" s="2230"/>
    </row>
    <row r="556" spans="2:6">
      <c r="B556" s="2230"/>
      <c r="C556" s="2230"/>
      <c r="D556" s="2230"/>
      <c r="E556" s="2230"/>
      <c r="F556" s="2230"/>
    </row>
    <row r="557" spans="2:6">
      <c r="B557" s="2230"/>
      <c r="C557" s="2230"/>
      <c r="D557" s="2230"/>
      <c r="E557" s="2230"/>
      <c r="F557" s="2230"/>
    </row>
    <row r="558" spans="2:6">
      <c r="B558" s="2230"/>
      <c r="C558" s="2230"/>
      <c r="D558" s="2230"/>
      <c r="E558" s="2230"/>
      <c r="F558" s="2230"/>
    </row>
    <row r="559" spans="2:6">
      <c r="B559" s="2230"/>
      <c r="C559" s="2230"/>
      <c r="D559" s="2230"/>
      <c r="E559" s="2230"/>
      <c r="F559" s="2230"/>
    </row>
    <row r="560" spans="2:6">
      <c r="B560" s="2230"/>
      <c r="C560" s="2230"/>
      <c r="D560" s="2230"/>
      <c r="E560" s="2230"/>
      <c r="F560" s="2230"/>
    </row>
    <row r="561" spans="2:6">
      <c r="B561" s="2230"/>
      <c r="C561" s="2230"/>
      <c r="D561" s="2230"/>
      <c r="E561" s="2230"/>
      <c r="F561" s="2230"/>
    </row>
    <row r="562" spans="2:6">
      <c r="B562" s="2230"/>
      <c r="C562" s="2230"/>
      <c r="D562" s="2230"/>
      <c r="E562" s="2230"/>
      <c r="F562" s="2230"/>
    </row>
    <row r="563" spans="2:6">
      <c r="B563" s="2230"/>
      <c r="C563" s="2230"/>
      <c r="D563" s="2230"/>
      <c r="E563" s="2230"/>
      <c r="F563" s="2230"/>
    </row>
    <row r="564" spans="2:6">
      <c r="B564" s="2230"/>
      <c r="C564" s="2230"/>
      <c r="D564" s="2230"/>
      <c r="E564" s="2230"/>
      <c r="F564" s="2230"/>
    </row>
    <row r="565" spans="2:6">
      <c r="B565" s="2230"/>
      <c r="C565" s="2230"/>
      <c r="D565" s="2230"/>
      <c r="E565" s="2230"/>
      <c r="F565" s="2230"/>
    </row>
    <row r="566" spans="2:6">
      <c r="B566" s="2230"/>
      <c r="C566" s="2230"/>
      <c r="D566" s="2230"/>
      <c r="E566" s="2230"/>
      <c r="F566" s="2230"/>
    </row>
    <row r="567" spans="2:6">
      <c r="B567" s="2230"/>
      <c r="C567" s="2230"/>
      <c r="D567" s="2230"/>
      <c r="E567" s="2230"/>
      <c r="F567" s="2230"/>
    </row>
    <row r="568" spans="2:6">
      <c r="B568" s="2230"/>
      <c r="C568" s="2230"/>
      <c r="D568" s="2230"/>
      <c r="E568" s="2230"/>
      <c r="F568" s="2230"/>
    </row>
    <row r="569" spans="2:6">
      <c r="B569" s="2230"/>
      <c r="C569" s="2230"/>
      <c r="D569" s="2230"/>
      <c r="E569" s="2230"/>
      <c r="F569" s="2230"/>
    </row>
    <row r="570" spans="2:6">
      <c r="B570" s="2230"/>
      <c r="C570" s="2230"/>
      <c r="D570" s="2230"/>
      <c r="E570" s="2230"/>
      <c r="F570" s="2230"/>
    </row>
    <row r="571" spans="2:6">
      <c r="B571" s="2230"/>
      <c r="C571" s="2230"/>
      <c r="D571" s="2230"/>
      <c r="E571" s="2230"/>
      <c r="F571" s="2230"/>
    </row>
    <row r="572" spans="2:6">
      <c r="B572" s="2230"/>
      <c r="C572" s="2230"/>
      <c r="D572" s="2230"/>
      <c r="E572" s="2230"/>
      <c r="F572" s="2230"/>
    </row>
    <row r="573" spans="2:6">
      <c r="B573" s="2230"/>
      <c r="C573" s="2230"/>
      <c r="D573" s="2230"/>
      <c r="E573" s="2230"/>
      <c r="F573" s="2230"/>
    </row>
    <row r="574" spans="2:6">
      <c r="B574" s="2230"/>
      <c r="C574" s="2230"/>
      <c r="D574" s="2230"/>
      <c r="E574" s="2230"/>
      <c r="F574" s="2230"/>
    </row>
    <row r="575" spans="2:6">
      <c r="B575" s="2230"/>
      <c r="C575" s="2230"/>
      <c r="D575" s="2230"/>
      <c r="E575" s="2230"/>
      <c r="F575" s="2230"/>
    </row>
    <row r="576" spans="2:6">
      <c r="B576" s="2230"/>
      <c r="C576" s="2230"/>
      <c r="D576" s="2230"/>
      <c r="E576" s="2230"/>
      <c r="F576" s="2230"/>
    </row>
    <row r="577" spans="2:6">
      <c r="B577" s="2230"/>
      <c r="C577" s="2230"/>
      <c r="D577" s="2230"/>
      <c r="E577" s="2230"/>
      <c r="F577" s="2230"/>
    </row>
    <row r="578" spans="2:6">
      <c r="B578" s="2230"/>
      <c r="C578" s="2230"/>
      <c r="D578" s="2230"/>
      <c r="E578" s="2230"/>
      <c r="F578" s="2230"/>
    </row>
    <row r="579" spans="2:6">
      <c r="B579" s="2230"/>
      <c r="C579" s="2230"/>
      <c r="D579" s="2230"/>
      <c r="E579" s="2230"/>
      <c r="F579" s="2230"/>
    </row>
    <row r="580" spans="2:6">
      <c r="B580" s="2230"/>
      <c r="C580" s="2230"/>
      <c r="D580" s="2230"/>
      <c r="E580" s="2230"/>
      <c r="F580" s="2230"/>
    </row>
    <row r="581" spans="2:6">
      <c r="B581" s="2230"/>
      <c r="C581" s="2230"/>
      <c r="D581" s="2230"/>
      <c r="E581" s="2230"/>
      <c r="F581" s="2230"/>
    </row>
    <row r="582" spans="2:6">
      <c r="B582" s="2230"/>
      <c r="C582" s="2230"/>
      <c r="D582" s="2230"/>
      <c r="E582" s="2230"/>
      <c r="F582" s="2230"/>
    </row>
    <row r="583" spans="2:6">
      <c r="B583" s="2230"/>
      <c r="C583" s="2230"/>
      <c r="D583" s="2230"/>
      <c r="E583" s="2230"/>
      <c r="F583" s="2230"/>
    </row>
    <row r="584" spans="2:6">
      <c r="B584" s="2230"/>
      <c r="C584" s="2230"/>
      <c r="D584" s="2230"/>
      <c r="E584" s="2230"/>
      <c r="F584" s="2230"/>
    </row>
    <row r="585" spans="2:6">
      <c r="B585" s="2230"/>
      <c r="C585" s="2230"/>
      <c r="D585" s="2230"/>
      <c r="E585" s="2230"/>
      <c r="F585" s="2230"/>
    </row>
    <row r="586" spans="2:6">
      <c r="B586" s="2230"/>
      <c r="C586" s="2230"/>
      <c r="D586" s="2230"/>
      <c r="E586" s="2230"/>
      <c r="F586" s="2230"/>
    </row>
    <row r="587" spans="2:6">
      <c r="B587" s="2230"/>
      <c r="C587" s="2230"/>
      <c r="D587" s="2230"/>
      <c r="E587" s="2230"/>
      <c r="F587" s="2230"/>
    </row>
    <row r="588" spans="2:6">
      <c r="B588" s="2230"/>
      <c r="C588" s="2230"/>
      <c r="D588" s="2230"/>
      <c r="E588" s="2230"/>
      <c r="F588" s="2230"/>
    </row>
    <row r="589" spans="2:6">
      <c r="B589" s="2230"/>
      <c r="C589" s="2230"/>
      <c r="D589" s="2230"/>
      <c r="E589" s="2230"/>
      <c r="F589" s="2230"/>
    </row>
    <row r="590" spans="2:6">
      <c r="B590" s="2230"/>
      <c r="C590" s="2230"/>
      <c r="D590" s="2230"/>
      <c r="E590" s="2230"/>
      <c r="F590" s="2230"/>
    </row>
    <row r="591" spans="2:6">
      <c r="B591" s="2230"/>
      <c r="C591" s="2230"/>
      <c r="D591" s="2230"/>
      <c r="E591" s="2230"/>
      <c r="F591" s="2230"/>
    </row>
    <row r="592" spans="2:6">
      <c r="B592" s="2230"/>
      <c r="C592" s="2230"/>
      <c r="D592" s="2230"/>
      <c r="E592" s="2230"/>
      <c r="F592" s="2230"/>
    </row>
    <row r="593" spans="2:6">
      <c r="B593" s="2230"/>
      <c r="C593" s="2230"/>
      <c r="D593" s="2230"/>
      <c r="E593" s="2230"/>
      <c r="F593" s="2230"/>
    </row>
    <row r="594" spans="2:6">
      <c r="B594" s="2230"/>
      <c r="C594" s="2230"/>
      <c r="D594" s="2230"/>
      <c r="E594" s="2230"/>
      <c r="F594" s="2230"/>
    </row>
    <row r="595" spans="2:6">
      <c r="B595" s="2230"/>
      <c r="C595" s="2230"/>
      <c r="D595" s="2230"/>
      <c r="E595" s="2230"/>
      <c r="F595" s="2230"/>
    </row>
    <row r="596" spans="2:6">
      <c r="B596" s="2230"/>
      <c r="C596" s="2230"/>
      <c r="D596" s="2230"/>
      <c r="E596" s="2230"/>
      <c r="F596" s="2230"/>
    </row>
    <row r="597" spans="2:6">
      <c r="B597" s="2230"/>
      <c r="C597" s="2230"/>
      <c r="D597" s="2230"/>
      <c r="E597" s="2230"/>
      <c r="F597" s="2230"/>
    </row>
    <row r="598" spans="2:6">
      <c r="B598" s="2230"/>
      <c r="C598" s="2230"/>
      <c r="D598" s="2230"/>
      <c r="E598" s="2230"/>
      <c r="F598" s="2230"/>
    </row>
    <row r="599" spans="2:6">
      <c r="B599" s="2230"/>
      <c r="C599" s="2230"/>
      <c r="D599" s="2230"/>
      <c r="E599" s="2230"/>
      <c r="F599" s="2230"/>
    </row>
    <row r="600" spans="2:6">
      <c r="B600" s="2230"/>
      <c r="C600" s="2230"/>
      <c r="D600" s="2230"/>
      <c r="E600" s="2230"/>
      <c r="F600" s="2230"/>
    </row>
    <row r="601" spans="2:6">
      <c r="B601" s="2230"/>
      <c r="C601" s="2230"/>
      <c r="D601" s="2230"/>
      <c r="E601" s="2230"/>
      <c r="F601" s="2230"/>
    </row>
    <row r="602" spans="2:6">
      <c r="B602" s="2230"/>
      <c r="C602" s="2230"/>
      <c r="D602" s="2230"/>
      <c r="E602" s="2230"/>
      <c r="F602" s="2230"/>
    </row>
    <row r="603" spans="2:6">
      <c r="B603" s="2230"/>
      <c r="C603" s="2230"/>
      <c r="D603" s="2230"/>
      <c r="E603" s="2230"/>
      <c r="F603" s="2230"/>
    </row>
    <row r="604" spans="2:6">
      <c r="B604" s="2230"/>
      <c r="C604" s="2230"/>
      <c r="D604" s="2230"/>
      <c r="E604" s="2230"/>
      <c r="F604" s="2230"/>
    </row>
    <row r="605" spans="2:6">
      <c r="B605" s="2230"/>
      <c r="C605" s="2230"/>
      <c r="D605" s="2230"/>
      <c r="E605" s="2230"/>
      <c r="F605" s="2230"/>
    </row>
    <row r="606" spans="2:6">
      <c r="B606" s="2230"/>
      <c r="C606" s="2230"/>
      <c r="D606" s="2230"/>
      <c r="E606" s="2230"/>
      <c r="F606" s="2230"/>
    </row>
    <row r="607" spans="2:6">
      <c r="B607" s="2230"/>
      <c r="C607" s="2230"/>
      <c r="D607" s="2230"/>
      <c r="E607" s="2230"/>
      <c r="F607" s="2230"/>
    </row>
    <row r="608" spans="2:6">
      <c r="B608" s="2230"/>
      <c r="C608" s="2230"/>
      <c r="D608" s="2230"/>
      <c r="E608" s="2230"/>
      <c r="F608" s="2230"/>
    </row>
    <row r="609" spans="2:6">
      <c r="B609" s="2230"/>
      <c r="C609" s="2230"/>
      <c r="D609" s="2230"/>
      <c r="E609" s="2230"/>
      <c r="F609" s="2230"/>
    </row>
    <row r="610" spans="2:6">
      <c r="B610" s="2230"/>
      <c r="C610" s="2230"/>
      <c r="D610" s="2230"/>
      <c r="E610" s="2230"/>
      <c r="F610" s="2230"/>
    </row>
    <row r="611" spans="2:6">
      <c r="B611" s="2230"/>
      <c r="C611" s="2230"/>
      <c r="D611" s="2230"/>
      <c r="E611" s="2230"/>
      <c r="F611" s="2230"/>
    </row>
    <row r="612" spans="2:6">
      <c r="B612" s="2230"/>
      <c r="C612" s="2230"/>
      <c r="D612" s="2230"/>
      <c r="E612" s="2230"/>
      <c r="F612" s="2230"/>
    </row>
    <row r="613" spans="2:6">
      <c r="B613" s="2230"/>
      <c r="C613" s="2230"/>
      <c r="D613" s="2230"/>
      <c r="E613" s="2230"/>
      <c r="F613" s="2230"/>
    </row>
    <row r="614" spans="2:6">
      <c r="B614" s="2230"/>
      <c r="C614" s="2230"/>
      <c r="D614" s="2230"/>
      <c r="E614" s="2230"/>
      <c r="F614" s="2230"/>
    </row>
    <row r="615" spans="2:6">
      <c r="B615" s="2230"/>
      <c r="C615" s="2230"/>
      <c r="D615" s="2230"/>
      <c r="E615" s="2230"/>
      <c r="F615" s="2230"/>
    </row>
    <row r="616" spans="2:6">
      <c r="B616" s="2230"/>
      <c r="C616" s="2230"/>
      <c r="D616" s="2230"/>
      <c r="E616" s="2230"/>
      <c r="F616" s="2230"/>
    </row>
    <row r="617" spans="2:6">
      <c r="B617" s="2230"/>
      <c r="C617" s="2230"/>
      <c r="D617" s="2230"/>
      <c r="E617" s="2230"/>
      <c r="F617" s="2230"/>
    </row>
    <row r="618" spans="2:6">
      <c r="B618" s="2230"/>
      <c r="C618" s="2230"/>
      <c r="D618" s="2230"/>
      <c r="E618" s="2230"/>
      <c r="F618" s="2230"/>
    </row>
    <row r="619" spans="2:6">
      <c r="B619" s="2230"/>
      <c r="C619" s="2230"/>
      <c r="D619" s="2230"/>
      <c r="E619" s="2230"/>
      <c r="F619" s="2230"/>
    </row>
    <row r="620" spans="2:6">
      <c r="B620" s="2230"/>
      <c r="C620" s="2230"/>
      <c r="D620" s="2230"/>
      <c r="E620" s="2230"/>
      <c r="F620" s="2230"/>
    </row>
    <row r="621" spans="2:6">
      <c r="B621" s="2230"/>
      <c r="C621" s="2230"/>
      <c r="D621" s="2230"/>
      <c r="E621" s="2230"/>
      <c r="F621" s="2230"/>
    </row>
    <row r="622" spans="2:6">
      <c r="B622" s="2230"/>
      <c r="C622" s="2230"/>
      <c r="D622" s="2230"/>
      <c r="E622" s="2230"/>
      <c r="F622" s="2230"/>
    </row>
    <row r="623" spans="2:6">
      <c r="B623" s="2230"/>
      <c r="C623" s="2230"/>
      <c r="D623" s="2230"/>
      <c r="E623" s="2230"/>
      <c r="F623" s="2230"/>
    </row>
    <row r="624" spans="2:6">
      <c r="B624" s="2230"/>
      <c r="C624" s="2230"/>
      <c r="D624" s="2230"/>
      <c r="E624" s="2230"/>
      <c r="F624" s="2230"/>
    </row>
    <row r="625" spans="2:6">
      <c r="B625" s="2230"/>
      <c r="C625" s="2230"/>
      <c r="D625" s="2230"/>
      <c r="E625" s="2230"/>
      <c r="F625" s="2230"/>
    </row>
    <row r="626" spans="2:6">
      <c r="B626" s="2230"/>
      <c r="C626" s="2230"/>
      <c r="D626" s="2230"/>
      <c r="E626" s="2230"/>
      <c r="F626" s="2230"/>
    </row>
    <row r="627" spans="2:6">
      <c r="B627" s="2230"/>
      <c r="C627" s="2230"/>
      <c r="D627" s="2230"/>
      <c r="E627" s="2230"/>
      <c r="F627" s="2230"/>
    </row>
    <row r="628" spans="2:6">
      <c r="B628" s="2230"/>
      <c r="C628" s="2230"/>
      <c r="D628" s="2230"/>
      <c r="E628" s="2230"/>
      <c r="F628" s="2230"/>
    </row>
    <row r="629" spans="2:6">
      <c r="B629" s="2230"/>
      <c r="C629" s="2230"/>
      <c r="D629" s="2230"/>
      <c r="E629" s="2230"/>
      <c r="F629" s="2230"/>
    </row>
    <row r="630" spans="2:6">
      <c r="B630" s="2230"/>
      <c r="C630" s="2230"/>
      <c r="D630" s="2230"/>
      <c r="E630" s="2230"/>
      <c r="F630" s="2230"/>
    </row>
    <row r="631" spans="2:6">
      <c r="B631" s="2230"/>
      <c r="C631" s="2230"/>
      <c r="D631" s="2230"/>
      <c r="E631" s="2230"/>
      <c r="F631" s="2230"/>
    </row>
    <row r="632" spans="2:6">
      <c r="B632" s="2230"/>
      <c r="C632" s="2230"/>
      <c r="D632" s="2230"/>
      <c r="E632" s="2230"/>
      <c r="F632" s="2230"/>
    </row>
    <row r="633" spans="2:6">
      <c r="B633" s="2230"/>
      <c r="C633" s="2230"/>
      <c r="D633" s="2230"/>
      <c r="E633" s="2230"/>
      <c r="F633" s="2230"/>
    </row>
    <row r="634" spans="2:6">
      <c r="B634" s="2230"/>
      <c r="C634" s="2230"/>
      <c r="D634" s="2230"/>
      <c r="E634" s="2230"/>
      <c r="F634" s="2230"/>
    </row>
    <row r="635" spans="2:6">
      <c r="B635" s="2230"/>
      <c r="C635" s="2230"/>
      <c r="D635" s="2230"/>
      <c r="E635" s="2230"/>
      <c r="F635" s="2230"/>
    </row>
    <row r="636" spans="2:6">
      <c r="B636" s="2230"/>
      <c r="C636" s="2230"/>
      <c r="D636" s="2230"/>
      <c r="E636" s="2230"/>
      <c r="F636" s="2230"/>
    </row>
    <row r="637" spans="2:6">
      <c r="B637" s="2230"/>
      <c r="C637" s="2230"/>
      <c r="D637" s="2230"/>
      <c r="E637" s="2230"/>
      <c r="F637" s="2230"/>
    </row>
    <row r="638" spans="2:6">
      <c r="B638" s="2230"/>
      <c r="C638" s="2230"/>
      <c r="D638" s="2230"/>
      <c r="E638" s="2230"/>
      <c r="F638" s="2230"/>
    </row>
    <row r="639" spans="2:6">
      <c r="B639" s="2230"/>
      <c r="C639" s="2230"/>
      <c r="D639" s="2230"/>
      <c r="E639" s="2230"/>
      <c r="F639" s="2230"/>
    </row>
    <row r="640" spans="2:6">
      <c r="B640" s="2230"/>
      <c r="C640" s="2230"/>
      <c r="D640" s="2230"/>
      <c r="E640" s="2230"/>
      <c r="F640" s="2230"/>
    </row>
    <row r="641" spans="2:6">
      <c r="B641" s="2230"/>
      <c r="C641" s="2230"/>
      <c r="D641" s="2230"/>
      <c r="E641" s="2230"/>
      <c r="F641" s="2230"/>
    </row>
    <row r="642" spans="2:6">
      <c r="B642" s="2230"/>
      <c r="C642" s="2230"/>
      <c r="D642" s="2230"/>
      <c r="E642" s="2230"/>
      <c r="F642" s="2230"/>
    </row>
    <row r="643" spans="2:6">
      <c r="B643" s="2230"/>
      <c r="C643" s="2230"/>
      <c r="D643" s="2230"/>
      <c r="E643" s="2230"/>
      <c r="F643" s="2230"/>
    </row>
    <row r="644" spans="2:6">
      <c r="B644" s="2230"/>
      <c r="C644" s="2230"/>
      <c r="D644" s="2230"/>
      <c r="E644" s="2230"/>
      <c r="F644" s="2230"/>
    </row>
    <row r="645" spans="2:6">
      <c r="B645" s="2230"/>
      <c r="C645" s="2230"/>
      <c r="D645" s="2230"/>
      <c r="E645" s="2230"/>
      <c r="F645" s="2230"/>
    </row>
    <row r="646" spans="2:6">
      <c r="B646" s="2230"/>
      <c r="C646" s="2230"/>
      <c r="D646" s="2230"/>
      <c r="E646" s="2230"/>
      <c r="F646" s="2230"/>
    </row>
    <row r="647" spans="2:6">
      <c r="B647" s="2230"/>
      <c r="C647" s="2230"/>
      <c r="D647" s="2230"/>
      <c r="E647" s="2230"/>
      <c r="F647" s="2230"/>
    </row>
    <row r="648" spans="2:6">
      <c r="B648" s="2230"/>
      <c r="C648" s="2230"/>
      <c r="D648" s="2230"/>
      <c r="E648" s="2230"/>
      <c r="F648" s="2230"/>
    </row>
    <row r="649" spans="2:6">
      <c r="B649" s="2230"/>
      <c r="C649" s="2230"/>
      <c r="D649" s="2230"/>
      <c r="E649" s="2230"/>
      <c r="F649" s="2230"/>
    </row>
    <row r="650" spans="2:6">
      <c r="B650" s="2230"/>
      <c r="C650" s="2230"/>
      <c r="D650" s="2230"/>
      <c r="E650" s="2230"/>
      <c r="F650" s="2230"/>
    </row>
    <row r="651" spans="2:6">
      <c r="B651" s="2230"/>
      <c r="C651" s="2230"/>
      <c r="D651" s="2230"/>
      <c r="E651" s="2230"/>
      <c r="F651" s="2230"/>
    </row>
    <row r="652" spans="2:6">
      <c r="B652" s="2230"/>
      <c r="C652" s="2230"/>
      <c r="D652" s="2230"/>
      <c r="E652" s="2230"/>
      <c r="F652" s="2230"/>
    </row>
    <row r="653" spans="2:6">
      <c r="B653" s="2230"/>
      <c r="C653" s="2230"/>
      <c r="D653" s="2230"/>
      <c r="E653" s="2230"/>
      <c r="F653" s="2230"/>
    </row>
    <row r="654" spans="2:6">
      <c r="B654" s="2230"/>
      <c r="C654" s="2230"/>
      <c r="D654" s="2230"/>
      <c r="E654" s="2230"/>
      <c r="F654" s="2230"/>
    </row>
    <row r="655" spans="2:6">
      <c r="B655" s="2230"/>
      <c r="C655" s="2230"/>
      <c r="D655" s="2230"/>
      <c r="E655" s="2230"/>
      <c r="F655" s="2230"/>
    </row>
    <row r="656" spans="2:6">
      <c r="B656" s="2230"/>
      <c r="C656" s="2230"/>
      <c r="D656" s="2230"/>
      <c r="E656" s="2230"/>
      <c r="F656" s="2230"/>
    </row>
    <row r="657" spans="2:6">
      <c r="B657" s="2230"/>
      <c r="C657" s="2230"/>
      <c r="D657" s="2230"/>
      <c r="E657" s="2230"/>
      <c r="F657" s="2230"/>
    </row>
    <row r="658" spans="2:6">
      <c r="B658" s="2230"/>
      <c r="C658" s="2230"/>
      <c r="D658" s="2230"/>
      <c r="E658" s="2230"/>
      <c r="F658" s="2230"/>
    </row>
    <row r="659" spans="2:6">
      <c r="B659" s="2230"/>
      <c r="C659" s="2230"/>
      <c r="D659" s="2230"/>
      <c r="E659" s="2230"/>
      <c r="F659" s="2230"/>
    </row>
    <row r="660" spans="2:6">
      <c r="B660" s="2230"/>
      <c r="C660" s="2230"/>
      <c r="D660" s="2230"/>
      <c r="E660" s="2230"/>
      <c r="F660" s="2230"/>
    </row>
    <row r="661" spans="2:6">
      <c r="B661" s="2230"/>
      <c r="C661" s="2230"/>
      <c r="D661" s="2230"/>
      <c r="E661" s="2230"/>
      <c r="F661" s="2230"/>
    </row>
    <row r="662" spans="2:6">
      <c r="B662" s="2230"/>
      <c r="C662" s="2230"/>
      <c r="D662" s="2230"/>
      <c r="E662" s="2230"/>
      <c r="F662" s="2230"/>
    </row>
    <row r="663" spans="2:6">
      <c r="B663" s="2230"/>
      <c r="C663" s="2230"/>
      <c r="D663" s="2230"/>
      <c r="E663" s="2230"/>
      <c r="F663" s="2230"/>
    </row>
    <row r="664" spans="2:6">
      <c r="B664" s="2230"/>
      <c r="C664" s="2230"/>
      <c r="D664" s="2230"/>
      <c r="E664" s="2230"/>
      <c r="F664" s="2230"/>
    </row>
    <row r="665" spans="2:6">
      <c r="B665" s="2230"/>
      <c r="C665" s="2230"/>
      <c r="D665" s="2230"/>
      <c r="E665" s="2230"/>
      <c r="F665" s="2230"/>
    </row>
    <row r="666" spans="2:6">
      <c r="B666" s="2230"/>
      <c r="C666" s="2230"/>
      <c r="D666" s="2230"/>
      <c r="E666" s="2230"/>
      <c r="F666" s="2230"/>
    </row>
    <row r="667" spans="2:6">
      <c r="B667" s="2230"/>
      <c r="C667" s="2230"/>
      <c r="D667" s="2230"/>
      <c r="E667" s="2230"/>
      <c r="F667" s="2230"/>
    </row>
    <row r="668" spans="2:6">
      <c r="B668" s="2230"/>
      <c r="C668" s="2230"/>
      <c r="D668" s="2230"/>
      <c r="E668" s="2230"/>
      <c r="F668" s="2230"/>
    </row>
    <row r="669" spans="2:6">
      <c r="B669" s="2230"/>
      <c r="C669" s="2230"/>
      <c r="D669" s="2230"/>
      <c r="E669" s="2230"/>
      <c r="F669" s="2230"/>
    </row>
    <row r="670" spans="2:6">
      <c r="B670" s="2230"/>
      <c r="C670" s="2230"/>
      <c r="D670" s="2230"/>
      <c r="E670" s="2230"/>
      <c r="F670" s="2230"/>
    </row>
    <row r="671" spans="2:6">
      <c r="B671" s="2230"/>
      <c r="C671" s="2230"/>
      <c r="D671" s="2230"/>
      <c r="E671" s="2230"/>
      <c r="F671" s="2230"/>
    </row>
    <row r="672" spans="2:6">
      <c r="B672" s="2230"/>
      <c r="C672" s="2230"/>
      <c r="D672" s="2230"/>
      <c r="E672" s="2230"/>
      <c r="F672" s="2230"/>
    </row>
    <row r="673" spans="2:6">
      <c r="B673" s="2230"/>
      <c r="C673" s="2230"/>
      <c r="D673" s="2230"/>
      <c r="E673" s="2230"/>
      <c r="F673" s="2230"/>
    </row>
    <row r="674" spans="2:6">
      <c r="B674" s="2230"/>
      <c r="C674" s="2230"/>
      <c r="D674" s="2230"/>
      <c r="E674" s="2230"/>
      <c r="F674" s="2230"/>
    </row>
    <row r="675" spans="2:6">
      <c r="B675" s="2230"/>
      <c r="C675" s="2230"/>
      <c r="D675" s="2230"/>
      <c r="E675" s="2230"/>
      <c r="F675" s="2230"/>
    </row>
    <row r="676" spans="2:6">
      <c r="B676" s="2230"/>
      <c r="C676" s="2230"/>
      <c r="D676" s="2230"/>
      <c r="E676" s="2230"/>
      <c r="F676" s="2230"/>
    </row>
    <row r="677" spans="2:6">
      <c r="B677" s="2230"/>
      <c r="C677" s="2230"/>
      <c r="D677" s="2230"/>
      <c r="E677" s="2230"/>
      <c r="F677" s="2230"/>
    </row>
    <row r="678" spans="2:6">
      <c r="B678" s="2230"/>
      <c r="C678" s="2230"/>
      <c r="D678" s="2230"/>
      <c r="E678" s="2230"/>
      <c r="F678" s="2230"/>
    </row>
    <row r="679" spans="2:6">
      <c r="B679" s="2230"/>
      <c r="C679" s="2230"/>
      <c r="D679" s="2230"/>
      <c r="E679" s="2230"/>
      <c r="F679" s="2230"/>
    </row>
    <row r="680" spans="2:6">
      <c r="B680" s="2230"/>
      <c r="C680" s="2230"/>
      <c r="D680" s="2230"/>
      <c r="E680" s="2230"/>
      <c r="F680" s="2230"/>
    </row>
    <row r="681" spans="2:6">
      <c r="B681" s="2230"/>
      <c r="C681" s="2230"/>
      <c r="D681" s="2230"/>
      <c r="E681" s="2230"/>
      <c r="F681" s="2230"/>
    </row>
    <row r="682" spans="2:6">
      <c r="B682" s="2230"/>
      <c r="C682" s="2230"/>
      <c r="D682" s="2230"/>
      <c r="E682" s="2230"/>
      <c r="F682" s="2230"/>
    </row>
    <row r="683" spans="2:6">
      <c r="B683" s="2230"/>
      <c r="C683" s="2230"/>
      <c r="D683" s="2230"/>
      <c r="E683" s="2230"/>
      <c r="F683" s="2230"/>
    </row>
    <row r="684" spans="2:6">
      <c r="B684" s="2230"/>
      <c r="C684" s="2230"/>
      <c r="D684" s="2230"/>
      <c r="E684" s="2230"/>
      <c r="F684" s="2230"/>
    </row>
    <row r="685" spans="2:6">
      <c r="B685" s="2230"/>
      <c r="C685" s="2230"/>
      <c r="D685" s="2230"/>
      <c r="E685" s="2230"/>
      <c r="F685" s="2230"/>
    </row>
    <row r="686" spans="2:6">
      <c r="B686" s="2230"/>
      <c r="C686" s="2230"/>
      <c r="D686" s="2230"/>
      <c r="E686" s="2230"/>
      <c r="F686" s="2230"/>
    </row>
    <row r="687" spans="2:6">
      <c r="B687" s="2230"/>
      <c r="C687" s="2230"/>
      <c r="D687" s="2230"/>
      <c r="E687" s="2230"/>
      <c r="F687" s="2230"/>
    </row>
    <row r="688" spans="2:6">
      <c r="B688" s="2230"/>
      <c r="C688" s="2230"/>
      <c r="D688" s="2230"/>
      <c r="E688" s="2230"/>
      <c r="F688" s="2230"/>
    </row>
    <row r="689" spans="2:6">
      <c r="B689" s="2230"/>
      <c r="C689" s="2230"/>
      <c r="D689" s="2230"/>
      <c r="E689" s="2230"/>
      <c r="F689" s="2230"/>
    </row>
    <row r="690" spans="2:6">
      <c r="B690" s="2230"/>
      <c r="C690" s="2230"/>
      <c r="D690" s="2230"/>
      <c r="E690" s="2230"/>
      <c r="F690" s="2230"/>
    </row>
    <row r="691" spans="2:6">
      <c r="B691" s="2230"/>
      <c r="C691" s="2230"/>
      <c r="D691" s="2230"/>
      <c r="E691" s="2230"/>
      <c r="F691" s="2230"/>
    </row>
    <row r="692" spans="2:6">
      <c r="B692" s="2230"/>
      <c r="C692" s="2230"/>
      <c r="D692" s="2230"/>
      <c r="E692" s="2230"/>
      <c r="F692" s="2230"/>
    </row>
    <row r="693" spans="2:6">
      <c r="B693" s="2230"/>
      <c r="C693" s="2230"/>
      <c r="D693" s="2230"/>
      <c r="E693" s="2230"/>
      <c r="F693" s="2230"/>
    </row>
    <row r="694" spans="2:6">
      <c r="B694" s="2230"/>
      <c r="C694" s="2230"/>
      <c r="D694" s="2230"/>
      <c r="E694" s="2230"/>
      <c r="F694" s="2230"/>
    </row>
    <row r="695" spans="2:6">
      <c r="B695" s="2230"/>
      <c r="C695" s="2230"/>
      <c r="D695" s="2230"/>
      <c r="E695" s="2230"/>
      <c r="F695" s="2230"/>
    </row>
    <row r="696" spans="2:6">
      <c r="B696" s="2230"/>
      <c r="C696" s="2230"/>
      <c r="D696" s="2230"/>
      <c r="E696" s="2230"/>
      <c r="F696" s="2230"/>
    </row>
    <row r="697" spans="2:6">
      <c r="B697" s="2230"/>
      <c r="C697" s="2230"/>
      <c r="D697" s="2230"/>
      <c r="E697" s="2230"/>
      <c r="F697" s="2230"/>
    </row>
    <row r="698" spans="2:6">
      <c r="B698" s="2230"/>
      <c r="C698" s="2230"/>
      <c r="D698" s="2230"/>
      <c r="E698" s="2230"/>
      <c r="F698" s="2230"/>
    </row>
    <row r="699" spans="2:6">
      <c r="B699" s="2230"/>
      <c r="C699" s="2230"/>
      <c r="D699" s="2230"/>
      <c r="E699" s="2230"/>
      <c r="F699" s="2230"/>
    </row>
    <row r="700" spans="2:6">
      <c r="B700" s="2230"/>
      <c r="C700" s="2230"/>
      <c r="D700" s="2230"/>
      <c r="E700" s="2230"/>
      <c r="F700" s="2230"/>
    </row>
    <row r="701" spans="2:6">
      <c r="B701" s="2230"/>
      <c r="C701" s="2230"/>
      <c r="D701" s="2230"/>
      <c r="E701" s="2230"/>
      <c r="F701" s="2230"/>
    </row>
    <row r="702" spans="2:6">
      <c r="B702" s="2230"/>
      <c r="C702" s="2230"/>
      <c r="D702" s="2230"/>
      <c r="E702" s="2230"/>
      <c r="F702" s="2230"/>
    </row>
    <row r="703" spans="2:6">
      <c r="B703" s="2230"/>
      <c r="C703" s="2230"/>
      <c r="D703" s="2230"/>
      <c r="E703" s="2230"/>
      <c r="F703" s="2230"/>
    </row>
    <row r="704" spans="2:6">
      <c r="B704" s="2230"/>
      <c r="C704" s="2230"/>
      <c r="D704" s="2230"/>
      <c r="E704" s="2230"/>
      <c r="F704" s="2230"/>
    </row>
    <row r="705" spans="2:6">
      <c r="B705" s="2230"/>
      <c r="C705" s="2230"/>
      <c r="D705" s="2230"/>
      <c r="E705" s="2230"/>
      <c r="F705" s="2230"/>
    </row>
    <row r="706" spans="2:6">
      <c r="B706" s="2230"/>
      <c r="C706" s="2230"/>
      <c r="D706" s="2230"/>
      <c r="E706" s="2230"/>
      <c r="F706" s="2230"/>
    </row>
    <row r="707" spans="2:6">
      <c r="B707" s="2230"/>
      <c r="C707" s="2230"/>
      <c r="D707" s="2230"/>
      <c r="E707" s="2230"/>
      <c r="F707" s="2230"/>
    </row>
    <row r="708" spans="2:6">
      <c r="B708" s="2230"/>
      <c r="C708" s="2230"/>
      <c r="D708" s="2230"/>
      <c r="E708" s="2230"/>
      <c r="F708" s="2230"/>
    </row>
    <row r="709" spans="2:6">
      <c r="B709" s="2230"/>
      <c r="C709" s="2230"/>
      <c r="D709" s="2230"/>
      <c r="E709" s="2230"/>
      <c r="F709" s="2230"/>
    </row>
    <row r="710" spans="2:6">
      <c r="B710" s="2230"/>
      <c r="C710" s="2230"/>
      <c r="D710" s="2230"/>
      <c r="E710" s="2230"/>
      <c r="F710" s="2230"/>
    </row>
    <row r="711" spans="2:6">
      <c r="B711" s="2230"/>
      <c r="C711" s="2230"/>
      <c r="D711" s="2230"/>
      <c r="E711" s="2230"/>
      <c r="F711" s="2230"/>
    </row>
    <row r="712" spans="2:6">
      <c r="B712" s="2230"/>
      <c r="C712" s="2230"/>
      <c r="D712" s="2230"/>
      <c r="E712" s="2230"/>
      <c r="F712" s="2230"/>
    </row>
    <row r="713" spans="2:6">
      <c r="B713" s="2230"/>
      <c r="C713" s="2230"/>
      <c r="D713" s="2230"/>
      <c r="E713" s="2230"/>
      <c r="F713" s="2230"/>
    </row>
    <row r="714" spans="2:6">
      <c r="B714" s="2230"/>
      <c r="C714" s="2230"/>
      <c r="D714" s="2230"/>
      <c r="E714" s="2230"/>
      <c r="F714" s="2230"/>
    </row>
    <row r="715" spans="2:6">
      <c r="B715" s="2230"/>
      <c r="C715" s="2230"/>
      <c r="D715" s="2230"/>
      <c r="E715" s="2230"/>
      <c r="F715" s="2230"/>
    </row>
    <row r="716" spans="2:6">
      <c r="B716" s="2230"/>
      <c r="C716" s="2230"/>
      <c r="D716" s="2230"/>
      <c r="E716" s="2230"/>
      <c r="F716" s="2230"/>
    </row>
    <row r="717" spans="2:6">
      <c r="B717" s="2230"/>
      <c r="C717" s="2230"/>
      <c r="D717" s="2230"/>
      <c r="E717" s="2230"/>
      <c r="F717" s="2230"/>
    </row>
    <row r="718" spans="2:6">
      <c r="B718" s="2230"/>
      <c r="C718" s="2230"/>
      <c r="D718" s="2230"/>
      <c r="E718" s="2230"/>
      <c r="F718" s="2230"/>
    </row>
    <row r="719" spans="2:6">
      <c r="B719" s="2230"/>
      <c r="C719" s="2230"/>
      <c r="D719" s="2230"/>
      <c r="E719" s="2230"/>
      <c r="F719" s="2230"/>
    </row>
    <row r="720" spans="2:6">
      <c r="B720" s="2230"/>
      <c r="C720" s="2230"/>
      <c r="D720" s="2230"/>
      <c r="E720" s="2230"/>
      <c r="F720" s="2230"/>
    </row>
    <row r="721" spans="2:6">
      <c r="B721" s="2230"/>
      <c r="C721" s="2230"/>
      <c r="D721" s="2230"/>
      <c r="E721" s="2230"/>
      <c r="F721" s="2230"/>
    </row>
  </sheetData>
  <mergeCells count="8">
    <mergeCell ref="B10:L10"/>
    <mergeCell ref="D13:L13"/>
    <mergeCell ref="B9:L9"/>
    <mergeCell ref="AH1:AH2"/>
    <mergeCell ref="BX1:BX2"/>
    <mergeCell ref="N4:BS5"/>
    <mergeCell ref="BV4:BW7"/>
    <mergeCell ref="B8:L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EC69-27CE-449E-A9DC-3813722383D6}">
  <dimension ref="A1:CA343"/>
  <sheetViews>
    <sheetView showZeros="0" topLeftCell="F1" workbookViewId="0">
      <selection activeCell="Z41" sqref="Z41"/>
    </sheetView>
  </sheetViews>
  <sheetFormatPr baseColWidth="10" defaultRowHeight="15"/>
  <cols>
    <col min="1" max="1" width="2.85546875" customWidth="1"/>
    <col min="2" max="2" width="11.7109375" customWidth="1"/>
    <col min="3" max="3" width="9.7109375" customWidth="1"/>
    <col min="4" max="4" width="6.7109375" customWidth="1"/>
    <col min="5" max="5" width="40.7109375" customWidth="1"/>
    <col min="6" max="6" width="10.7109375" customWidth="1"/>
    <col min="7" max="7" width="9.7109375" customWidth="1"/>
    <col min="8" max="8" width="11.7109375" customWidth="1"/>
    <col min="9" max="11" width="13.7109375" customWidth="1"/>
    <col min="12" max="12" width="17.7109375" customWidth="1"/>
    <col min="13" max="13" width="21.85546875" customWidth="1"/>
    <col min="14" max="17" width="3.7109375" customWidth="1"/>
    <col min="18" max="18" width="5.7109375" customWidth="1"/>
    <col min="19" max="20" width="12.7109375" customWidth="1"/>
    <col min="21" max="21" width="3.7109375" customWidth="1"/>
    <col min="22" max="22" width="9.7109375" customWidth="1"/>
    <col min="23" max="23" width="12.7109375" customWidth="1"/>
    <col min="24" max="24" width="9.7109375" customWidth="1"/>
    <col min="25" max="25" width="6.7109375" customWidth="1"/>
    <col min="26" max="26" width="40.7109375" customWidth="1"/>
    <col min="27" max="27" width="10.7109375" customWidth="1"/>
    <col min="28" max="28" width="9.7109375" customWidth="1"/>
    <col min="29" max="29" width="11.42578125" customWidth="1"/>
    <col min="30" max="32" width="13.7109375" customWidth="1"/>
    <col min="33" max="33" width="17.7109375" customWidth="1"/>
    <col min="34" max="34" width="19.28515625" customWidth="1"/>
    <col min="35" max="38" width="3.7109375" customWidth="1"/>
    <col min="39" max="39" width="5.7109375" customWidth="1"/>
    <col min="40" max="41" width="12.7109375" customWidth="1"/>
    <col min="42" max="42" width="3.7109375" customWidth="1"/>
    <col min="43" max="43" width="9.7109375" customWidth="1"/>
    <col min="44" max="44" width="12.7109375" customWidth="1"/>
    <col min="45" max="45" width="9.7109375" customWidth="1"/>
    <col min="46" max="46" width="6.7109375" customWidth="1"/>
    <col min="47" max="47" width="40.7109375" customWidth="1"/>
    <col min="48" max="48" width="10.7109375" customWidth="1"/>
    <col min="49" max="49" width="9.7109375" customWidth="1"/>
    <col min="50" max="50" width="11.7109375" customWidth="1"/>
    <col min="51" max="53" width="13.7109375" customWidth="1"/>
    <col min="54" max="54" width="17.7109375" customWidth="1"/>
    <col min="55" max="55" width="8.140625" customWidth="1"/>
    <col min="56" max="59" width="3.7109375" customWidth="1"/>
    <col min="60" max="60" width="5.7109375" customWidth="1"/>
    <col min="61" max="62" width="12.7109375" customWidth="1"/>
    <col min="63" max="63" width="3.7109375" customWidth="1"/>
    <col min="64" max="64" width="9.7109375" customWidth="1"/>
    <col min="65" max="65" width="12.7109375" customWidth="1"/>
    <col min="66" max="66" width="9.7109375" customWidth="1"/>
    <col min="67" max="67" width="6.7109375" customWidth="1"/>
    <col min="68" max="68" width="40.7109375" customWidth="1"/>
    <col min="69" max="69" width="10.7109375" customWidth="1"/>
    <col min="70" max="70" width="9.7109375" customWidth="1"/>
    <col min="71" max="71" width="11.7109375" customWidth="1"/>
    <col min="72" max="74" width="13.7109375" customWidth="1"/>
    <col min="75" max="75" width="17.7109375" customWidth="1"/>
    <col min="76" max="76" width="21.5703125" customWidth="1"/>
    <col min="77" max="77" width="5.42578125" customWidth="1"/>
    <col min="79" max="79" width="86" customWidth="1"/>
  </cols>
  <sheetData>
    <row r="1" spans="1:79" ht="15.75" customHeight="1" thickTop="1">
      <c r="A1" s="1" t="str">
        <f>ADDRESS(ROW(),COLUMN(),4)</f>
        <v>A1</v>
      </c>
      <c r="B1" s="2" t="str">
        <f t="shared" ref="B1:L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278"/>
      <c r="N1" s="2" t="str">
        <f t="shared" ref="N1:BW1" si="1">SUBSTITUTE(ADDRESS(1,COLUMN(),4),"1","")</f>
        <v>N</v>
      </c>
      <c r="O1" s="2" t="str">
        <f t="shared" si="1"/>
        <v>O</v>
      </c>
      <c r="P1" s="2" t="str">
        <f t="shared" si="1"/>
        <v>P</v>
      </c>
      <c r="Q1" s="2" t="str">
        <f t="shared" si="1"/>
        <v>Q</v>
      </c>
      <c r="R1" s="2" t="str">
        <f t="shared" si="1"/>
        <v>R</v>
      </c>
      <c r="S1" s="2" t="str">
        <f t="shared" si="1"/>
        <v>S</v>
      </c>
      <c r="T1" s="2" t="str">
        <f t="shared" si="1"/>
        <v>T</v>
      </c>
      <c r="U1" s="2" t="str">
        <f t="shared" si="1"/>
        <v>U</v>
      </c>
      <c r="V1" s="2" t="str">
        <f t="shared" si="1"/>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6628" t="s">
        <v>8774</v>
      </c>
      <c r="AI1" s="2" t="str">
        <f t="shared" si="1"/>
        <v>AI</v>
      </c>
      <c r="AJ1" s="2" t="str">
        <f t="shared" si="1"/>
        <v>AJ</v>
      </c>
      <c r="AK1" s="2" t="str">
        <f t="shared" si="1"/>
        <v>AK</v>
      </c>
      <c r="AL1" s="2" t="str">
        <f t="shared" si="1"/>
        <v>AL</v>
      </c>
      <c r="AM1" s="2" t="str">
        <f t="shared" si="1"/>
        <v>AM</v>
      </c>
      <c r="AN1" s="2" t="str">
        <f t="shared" si="1"/>
        <v>AN</v>
      </c>
      <c r="AO1" s="2" t="str">
        <f t="shared" si="1"/>
        <v>AO</v>
      </c>
      <c r="AP1" s="2" t="str">
        <f t="shared" si="1"/>
        <v>AP</v>
      </c>
      <c r="AQ1" s="2" t="str">
        <f t="shared" si="1"/>
        <v>AQ</v>
      </c>
      <c r="AR1" s="2" t="str">
        <f t="shared" si="1"/>
        <v>AR</v>
      </c>
      <c r="AS1" s="2" t="str">
        <f t="shared" si="1"/>
        <v>AS</v>
      </c>
      <c r="AT1" s="2" t="str">
        <f t="shared" si="1"/>
        <v>AT</v>
      </c>
      <c r="AU1" s="2" t="str">
        <f t="shared" si="1"/>
        <v>AU</v>
      </c>
      <c r="AV1" s="2" t="str">
        <f t="shared" si="1"/>
        <v>AV</v>
      </c>
      <c r="AW1" s="2" t="str">
        <f t="shared" si="1"/>
        <v>AW</v>
      </c>
      <c r="AX1" s="2" t="str">
        <f t="shared" si="1"/>
        <v>AX</v>
      </c>
      <c r="AY1" s="2" t="str">
        <f t="shared" si="1"/>
        <v>AY</v>
      </c>
      <c r="AZ1" s="2" t="str">
        <f t="shared" si="1"/>
        <v>AZ</v>
      </c>
      <c r="BA1" s="2" t="str">
        <f t="shared" si="1"/>
        <v>BA</v>
      </c>
      <c r="BB1" s="2" t="str">
        <f t="shared" si="1"/>
        <v>BB</v>
      </c>
      <c r="BC1" s="2276"/>
      <c r="BD1" s="2" t="str">
        <f t="shared" si="1"/>
        <v>BD</v>
      </c>
      <c r="BE1" s="2" t="str">
        <f t="shared" si="1"/>
        <v>BE</v>
      </c>
      <c r="BF1" s="2" t="str">
        <f t="shared" si="1"/>
        <v>BF</v>
      </c>
      <c r="BG1" s="2" t="str">
        <f t="shared" si="1"/>
        <v>BG</v>
      </c>
      <c r="BH1" s="2" t="str">
        <f t="shared" si="1"/>
        <v>BH</v>
      </c>
      <c r="BI1" s="2" t="str">
        <f t="shared" si="1"/>
        <v>BI</v>
      </c>
      <c r="BJ1" s="2" t="str">
        <f t="shared" si="1"/>
        <v>BJ</v>
      </c>
      <c r="BK1" s="2" t="str">
        <f t="shared" si="1"/>
        <v>BK</v>
      </c>
      <c r="BL1" s="2" t="str">
        <f t="shared" si="1"/>
        <v>BL</v>
      </c>
      <c r="BM1" s="2" t="str">
        <f t="shared" si="1"/>
        <v>BM</v>
      </c>
      <c r="BN1" s="2" t="str">
        <f t="shared" si="1"/>
        <v>BN</v>
      </c>
      <c r="BO1" s="2" t="str">
        <f t="shared" si="1"/>
        <v>BO</v>
      </c>
      <c r="BP1" s="2" t="str">
        <f t="shared" si="1"/>
        <v>BP</v>
      </c>
      <c r="BQ1" s="2" t="str">
        <f t="shared" si="1"/>
        <v>BQ</v>
      </c>
      <c r="BR1" s="2" t="str">
        <f t="shared" si="1"/>
        <v>BR</v>
      </c>
      <c r="BS1" s="2" t="str">
        <f t="shared" si="1"/>
        <v>BS</v>
      </c>
      <c r="BT1" s="2" t="str">
        <f t="shared" si="1"/>
        <v>BT</v>
      </c>
      <c r="BU1" s="2" t="str">
        <f t="shared" si="1"/>
        <v>BU</v>
      </c>
      <c r="BV1" s="2" t="str">
        <f t="shared" si="1"/>
        <v>BV</v>
      </c>
      <c r="BW1" s="2" t="str">
        <f t="shared" si="1"/>
        <v>BW</v>
      </c>
      <c r="BX1" s="6628" t="s">
        <v>8774</v>
      </c>
      <c r="BY1" s="3">
        <v>1</v>
      </c>
      <c r="BZ1" s="4" t="str">
        <f>SUBSTITUTE(ADDRESS(1,COLUMN(),4),"1","")</f>
        <v>BZ</v>
      </c>
      <c r="CA1" s="5" t="str">
        <f>SUBSTITUTE(ADDRESS(1,COLUMN(),4),"1","")</f>
        <v>CA</v>
      </c>
    </row>
    <row r="2" spans="1:79">
      <c r="B2" s="694">
        <f t="shared" ref="B2:L2" ca="1" si="2">CELL("largeur",B2)</f>
        <v>11</v>
      </c>
      <c r="C2" s="694">
        <f t="shared" ca="1" si="2"/>
        <v>9</v>
      </c>
      <c r="D2" s="694">
        <f t="shared" ca="1" si="2"/>
        <v>6</v>
      </c>
      <c r="E2" s="694">
        <f t="shared" ca="1" si="2"/>
        <v>40</v>
      </c>
      <c r="F2" s="694">
        <f t="shared" ca="1" si="2"/>
        <v>10</v>
      </c>
      <c r="G2" s="694">
        <f t="shared" ca="1" si="2"/>
        <v>9</v>
      </c>
      <c r="H2" s="694">
        <f t="shared" ca="1" si="2"/>
        <v>11</v>
      </c>
      <c r="I2" s="694">
        <f t="shared" ca="1" si="2"/>
        <v>13</v>
      </c>
      <c r="J2" s="694">
        <f t="shared" ca="1" si="2"/>
        <v>13</v>
      </c>
      <c r="K2" s="694">
        <f t="shared" ca="1" si="2"/>
        <v>13</v>
      </c>
      <c r="L2" s="694">
        <f t="shared" ca="1" si="2"/>
        <v>17</v>
      </c>
      <c r="M2" s="2278" t="s">
        <v>8774</v>
      </c>
      <c r="N2" s="694">
        <f t="shared" ref="N2:BW2" ca="1" si="3">CELL("largeur",N2)</f>
        <v>3</v>
      </c>
      <c r="O2" s="694">
        <f t="shared" ca="1" si="3"/>
        <v>3</v>
      </c>
      <c r="P2" s="694">
        <f t="shared" ca="1" si="3"/>
        <v>3</v>
      </c>
      <c r="Q2" s="694">
        <f t="shared" ca="1" si="3"/>
        <v>3</v>
      </c>
      <c r="R2" s="694">
        <f t="shared" ca="1" si="3"/>
        <v>5</v>
      </c>
      <c r="S2" s="694">
        <f t="shared" ca="1" si="3"/>
        <v>12</v>
      </c>
      <c r="T2" s="694">
        <f t="shared" ca="1" si="3"/>
        <v>12</v>
      </c>
      <c r="U2" s="694">
        <f t="shared" ca="1" si="3"/>
        <v>3</v>
      </c>
      <c r="V2" s="694">
        <f t="shared" ca="1" si="3"/>
        <v>9</v>
      </c>
      <c r="W2" s="694">
        <f t="shared" ca="1" si="3"/>
        <v>12</v>
      </c>
      <c r="X2" s="694">
        <f t="shared" ca="1" si="3"/>
        <v>9</v>
      </c>
      <c r="Y2" s="694">
        <f t="shared" ca="1" si="3"/>
        <v>6</v>
      </c>
      <c r="Z2" s="694">
        <f t="shared" ca="1" si="3"/>
        <v>40</v>
      </c>
      <c r="AA2" s="694">
        <f t="shared" ca="1" si="3"/>
        <v>10</v>
      </c>
      <c r="AB2" s="694">
        <f t="shared" ca="1" si="3"/>
        <v>9</v>
      </c>
      <c r="AC2" s="694">
        <f t="shared" ca="1" si="3"/>
        <v>11</v>
      </c>
      <c r="AD2" s="694">
        <f t="shared" ca="1" si="3"/>
        <v>13</v>
      </c>
      <c r="AE2" s="694">
        <f t="shared" ca="1" si="3"/>
        <v>13</v>
      </c>
      <c r="AF2" s="694">
        <f t="shared" ca="1" si="3"/>
        <v>13</v>
      </c>
      <c r="AG2" s="694">
        <f t="shared" ca="1" si="3"/>
        <v>17</v>
      </c>
      <c r="AH2" s="6628"/>
      <c r="AI2" s="694">
        <f t="shared" ca="1" si="3"/>
        <v>3</v>
      </c>
      <c r="AJ2" s="694">
        <f t="shared" ca="1" si="3"/>
        <v>3</v>
      </c>
      <c r="AK2" s="694">
        <f t="shared" ca="1" si="3"/>
        <v>3</v>
      </c>
      <c r="AL2" s="694">
        <f t="shared" ca="1" si="3"/>
        <v>3</v>
      </c>
      <c r="AM2" s="694">
        <f t="shared" ca="1" si="3"/>
        <v>5</v>
      </c>
      <c r="AN2" s="694">
        <f t="shared" ca="1" si="3"/>
        <v>12</v>
      </c>
      <c r="AO2" s="694">
        <f t="shared" ca="1" si="3"/>
        <v>12</v>
      </c>
      <c r="AP2" s="694">
        <f t="shared" ca="1" si="3"/>
        <v>3</v>
      </c>
      <c r="AQ2" s="694">
        <f t="shared" ca="1" si="3"/>
        <v>9</v>
      </c>
      <c r="AR2" s="694">
        <f t="shared" ca="1" si="3"/>
        <v>12</v>
      </c>
      <c r="AS2" s="694">
        <f t="shared" ca="1" si="3"/>
        <v>9</v>
      </c>
      <c r="AT2" s="694">
        <f t="shared" ca="1" si="3"/>
        <v>6</v>
      </c>
      <c r="AU2" s="694">
        <f t="shared" ca="1" si="3"/>
        <v>40</v>
      </c>
      <c r="AV2" s="694">
        <f t="shared" ca="1" si="3"/>
        <v>10</v>
      </c>
      <c r="AW2" s="694">
        <f t="shared" ca="1" si="3"/>
        <v>9</v>
      </c>
      <c r="AX2" s="694">
        <f t="shared" ca="1" si="3"/>
        <v>11</v>
      </c>
      <c r="AY2" s="694">
        <f t="shared" ca="1" si="3"/>
        <v>13</v>
      </c>
      <c r="AZ2" s="694">
        <f t="shared" ca="1" si="3"/>
        <v>13</v>
      </c>
      <c r="BA2" s="694">
        <f t="shared" ca="1" si="3"/>
        <v>13</v>
      </c>
      <c r="BB2" s="694">
        <f t="shared" ca="1" si="3"/>
        <v>17</v>
      </c>
      <c r="BC2" s="2276" t="s">
        <v>8774</v>
      </c>
      <c r="BD2" s="694">
        <f t="shared" ca="1" si="3"/>
        <v>3</v>
      </c>
      <c r="BE2" s="694">
        <f t="shared" ca="1" si="3"/>
        <v>3</v>
      </c>
      <c r="BF2" s="694">
        <f t="shared" ca="1" si="3"/>
        <v>3</v>
      </c>
      <c r="BG2" s="694">
        <f t="shared" ca="1" si="3"/>
        <v>3</v>
      </c>
      <c r="BH2" s="694">
        <f t="shared" ca="1" si="3"/>
        <v>5</v>
      </c>
      <c r="BI2" s="694">
        <f t="shared" ca="1" si="3"/>
        <v>12</v>
      </c>
      <c r="BJ2" s="694">
        <f t="shared" ca="1" si="3"/>
        <v>12</v>
      </c>
      <c r="BK2" s="694">
        <f t="shared" ca="1" si="3"/>
        <v>3</v>
      </c>
      <c r="BL2" s="694">
        <f t="shared" ca="1" si="3"/>
        <v>9</v>
      </c>
      <c r="BM2" s="694">
        <f t="shared" ca="1" si="3"/>
        <v>12</v>
      </c>
      <c r="BN2" s="694">
        <f t="shared" ca="1" si="3"/>
        <v>9</v>
      </c>
      <c r="BO2" s="694">
        <f t="shared" ca="1" si="3"/>
        <v>6</v>
      </c>
      <c r="BP2" s="694">
        <f t="shared" ca="1" si="3"/>
        <v>40</v>
      </c>
      <c r="BQ2" s="694">
        <f t="shared" ca="1" si="3"/>
        <v>10</v>
      </c>
      <c r="BR2" s="694">
        <f t="shared" ca="1" si="3"/>
        <v>9</v>
      </c>
      <c r="BS2" s="694">
        <f t="shared" ca="1" si="3"/>
        <v>11</v>
      </c>
      <c r="BT2" s="694">
        <f t="shared" ca="1" si="3"/>
        <v>13</v>
      </c>
      <c r="BU2" s="694">
        <f t="shared" ca="1" si="3"/>
        <v>13</v>
      </c>
      <c r="BV2" s="694">
        <f t="shared" ca="1" si="3"/>
        <v>13</v>
      </c>
      <c r="BW2" s="694">
        <f t="shared" ca="1" si="3"/>
        <v>17</v>
      </c>
      <c r="BX2" s="6628"/>
      <c r="BY2" s="3">
        <v>1</v>
      </c>
      <c r="BZ2" s="7" t="s">
        <v>3</v>
      </c>
      <c r="CA2" s="8"/>
    </row>
    <row r="3" spans="1:79" ht="19.5" customHeight="1" thickBot="1">
      <c r="B3" s="2069">
        <v>11</v>
      </c>
      <c r="C3" s="2069">
        <v>9</v>
      </c>
      <c r="D3" s="2069">
        <v>6</v>
      </c>
      <c r="E3" s="2069">
        <v>40</v>
      </c>
      <c r="F3" s="2069">
        <v>10</v>
      </c>
      <c r="G3" s="2069">
        <v>9</v>
      </c>
      <c r="H3" s="2069">
        <v>11</v>
      </c>
      <c r="I3" s="2069">
        <v>13</v>
      </c>
      <c r="J3" s="2069">
        <v>13</v>
      </c>
      <c r="K3" s="2069">
        <v>13</v>
      </c>
      <c r="L3" s="2069">
        <v>17</v>
      </c>
      <c r="M3" s="2277" t="s">
        <v>8779</v>
      </c>
      <c r="N3" s="695">
        <v>3</v>
      </c>
      <c r="O3" s="695">
        <v>3</v>
      </c>
      <c r="P3" s="695">
        <v>3</v>
      </c>
      <c r="Q3" s="695">
        <v>3</v>
      </c>
      <c r="R3" s="695">
        <v>5</v>
      </c>
      <c r="S3" s="695">
        <v>12</v>
      </c>
      <c r="T3" s="695">
        <v>12</v>
      </c>
      <c r="U3" s="695">
        <v>3</v>
      </c>
      <c r="V3" s="695">
        <v>9</v>
      </c>
      <c r="W3" s="695">
        <v>12</v>
      </c>
      <c r="X3" s="695">
        <v>9</v>
      </c>
      <c r="Y3" s="695">
        <v>6</v>
      </c>
      <c r="Z3" s="695">
        <v>40</v>
      </c>
      <c r="AA3" s="695">
        <v>10</v>
      </c>
      <c r="AB3" s="695">
        <v>9</v>
      </c>
      <c r="AC3" s="695">
        <v>11</v>
      </c>
      <c r="AD3" s="695">
        <v>13</v>
      </c>
      <c r="AE3" s="695">
        <v>13</v>
      </c>
      <c r="AF3" s="695">
        <v>13</v>
      </c>
      <c r="AG3" s="695">
        <v>17</v>
      </c>
      <c r="AH3" s="2066" t="s">
        <v>8779</v>
      </c>
      <c r="AI3" s="695">
        <v>3</v>
      </c>
      <c r="AJ3" s="695">
        <v>3</v>
      </c>
      <c r="AK3" s="695">
        <v>3</v>
      </c>
      <c r="AL3" s="695">
        <v>3</v>
      </c>
      <c r="AM3" s="695">
        <v>5</v>
      </c>
      <c r="AN3" s="695">
        <v>12</v>
      </c>
      <c r="AO3" s="695">
        <v>12</v>
      </c>
      <c r="AP3" s="695">
        <v>3</v>
      </c>
      <c r="AQ3" s="695">
        <v>9</v>
      </c>
      <c r="AR3" s="695">
        <v>12</v>
      </c>
      <c r="AS3" s="695">
        <v>9</v>
      </c>
      <c r="AT3" s="695">
        <v>6</v>
      </c>
      <c r="AU3" s="695">
        <v>40</v>
      </c>
      <c r="AV3" s="695">
        <v>10</v>
      </c>
      <c r="AW3" s="695">
        <v>9</v>
      </c>
      <c r="AX3" s="695">
        <v>11</v>
      </c>
      <c r="AY3" s="695">
        <v>13</v>
      </c>
      <c r="AZ3" s="695">
        <v>13</v>
      </c>
      <c r="BA3" s="695">
        <v>13</v>
      </c>
      <c r="BB3" s="695">
        <v>17</v>
      </c>
      <c r="BC3" s="2277" t="s">
        <v>8779</v>
      </c>
      <c r="BD3" s="695">
        <v>3</v>
      </c>
      <c r="BE3" s="695">
        <v>3</v>
      </c>
      <c r="BF3" s="695">
        <v>3</v>
      </c>
      <c r="BG3" s="695">
        <v>3</v>
      </c>
      <c r="BH3" s="695">
        <v>5</v>
      </c>
      <c r="BI3" s="695">
        <v>12</v>
      </c>
      <c r="BJ3" s="695">
        <v>12</v>
      </c>
      <c r="BK3" s="695">
        <v>3</v>
      </c>
      <c r="BL3" s="695">
        <v>9</v>
      </c>
      <c r="BM3" s="695">
        <v>12</v>
      </c>
      <c r="BN3" s="695">
        <v>9</v>
      </c>
      <c r="BO3" s="695">
        <v>6</v>
      </c>
      <c r="BP3" s="695">
        <v>40</v>
      </c>
      <c r="BQ3" s="695">
        <v>10</v>
      </c>
      <c r="BR3" s="695">
        <v>9</v>
      </c>
      <c r="BS3" s="695">
        <v>11</v>
      </c>
      <c r="BT3" s="695">
        <v>13</v>
      </c>
      <c r="BU3" s="695">
        <v>13</v>
      </c>
      <c r="BV3" s="695">
        <v>13</v>
      </c>
      <c r="BW3" s="695">
        <v>17</v>
      </c>
      <c r="BX3" s="2066" t="s">
        <v>8779</v>
      </c>
      <c r="BY3" s="3">
        <v>1</v>
      </c>
      <c r="BZ3" s="10">
        <f ca="1">COUNTA(A1:BX343) + COUNTBLANK(A1:BX343)</f>
        <v>26421</v>
      </c>
      <c r="CA3" s="11" t="str">
        <f>"cellules entre -cells -celdas  "&amp;" " &amp;A1&amp;" et  "&amp;BY343</f>
        <v>cellules entre -cells -celdas   A1 et  BY343</v>
      </c>
    </row>
    <row r="4" spans="1:79" s="900" customFormat="1" ht="21" customHeight="1">
      <c r="B4" s="9"/>
      <c r="C4" s="9"/>
      <c r="D4" s="9"/>
      <c r="E4" s="9"/>
      <c r="F4" s="9"/>
      <c r="G4" s="2275"/>
      <c r="H4" s="2275"/>
      <c r="I4" s="2275"/>
      <c r="J4" s="2275"/>
      <c r="K4" s="2275"/>
      <c r="L4" s="2275"/>
      <c r="M4" s="2275"/>
      <c r="N4" s="6983" t="s">
        <v>2402</v>
      </c>
      <c r="O4" s="6984"/>
      <c r="P4" s="6984"/>
      <c r="Q4" s="6984"/>
      <c r="R4" s="6984"/>
      <c r="S4" s="6984"/>
      <c r="T4" s="6984"/>
      <c r="U4" s="6984"/>
      <c r="V4" s="6984"/>
      <c r="W4" s="6984"/>
      <c r="X4" s="6984"/>
      <c r="Y4" s="6984"/>
      <c r="Z4" s="6984"/>
      <c r="AA4" s="6984"/>
      <c r="AB4" s="6984"/>
      <c r="AC4" s="6984"/>
      <c r="AD4" s="6984"/>
      <c r="AE4" s="6984"/>
      <c r="AF4" s="6984"/>
      <c r="AG4" s="6984"/>
      <c r="AH4" s="6984"/>
      <c r="AI4" s="6984"/>
      <c r="AJ4" s="6984"/>
      <c r="AK4" s="6984"/>
      <c r="AL4" s="6984"/>
      <c r="AM4" s="6984"/>
      <c r="AN4" s="6984"/>
      <c r="AO4" s="6984"/>
      <c r="AP4" s="6984"/>
      <c r="AQ4" s="6984"/>
      <c r="AR4" s="6984"/>
      <c r="AS4" s="6984"/>
      <c r="AT4" s="6984"/>
      <c r="AU4" s="6984"/>
      <c r="AV4" s="6984"/>
      <c r="AW4" s="6984"/>
      <c r="AX4" s="6984"/>
      <c r="AY4" s="6984"/>
      <c r="AZ4" s="6984"/>
      <c r="BA4" s="6984"/>
      <c r="BB4" s="6984"/>
      <c r="BC4" s="6984"/>
      <c r="BD4" s="6984"/>
      <c r="BE4" s="6984"/>
      <c r="BF4" s="6984"/>
      <c r="BG4" s="6984"/>
      <c r="BH4" s="6984"/>
      <c r="BI4" s="6984"/>
      <c r="BJ4" s="6984"/>
      <c r="BK4" s="6984"/>
      <c r="BL4" s="6984"/>
      <c r="BM4" s="6984"/>
      <c r="BN4" s="6984"/>
      <c r="BO4" s="6984"/>
      <c r="BP4" s="6984"/>
      <c r="BQ4" s="6984"/>
      <c r="BR4" s="6984"/>
      <c r="BS4" s="6984"/>
      <c r="BT4" s="901"/>
      <c r="BU4" s="901"/>
      <c r="BV4" s="6987" t="s">
        <v>3084</v>
      </c>
      <c r="BW4" s="6988"/>
      <c r="BY4" s="3">
        <v>1</v>
      </c>
      <c r="BZ4" s="10">
        <f ca="1">COUNTA(A1:BX343)</f>
        <v>2498</v>
      </c>
      <c r="CA4" s="11" t="s">
        <v>9</v>
      </c>
    </row>
    <row r="5" spans="1:79" ht="21" customHeight="1">
      <c r="B5" s="2180" t="s">
        <v>1489</v>
      </c>
      <c r="C5" s="2180"/>
      <c r="D5" s="2180"/>
      <c r="E5" s="2180"/>
      <c r="F5" s="2180"/>
      <c r="G5" s="9"/>
      <c r="H5" s="9"/>
      <c r="I5" s="9"/>
      <c r="J5" s="9"/>
      <c r="K5" s="9"/>
      <c r="L5" s="9"/>
      <c r="M5" s="9"/>
      <c r="N5" s="6985"/>
      <c r="O5" s="6986"/>
      <c r="P5" s="6986"/>
      <c r="Q5" s="6986"/>
      <c r="R5" s="6986"/>
      <c r="S5" s="6986"/>
      <c r="T5" s="6986"/>
      <c r="U5" s="6986"/>
      <c r="V5" s="6986"/>
      <c r="W5" s="6986"/>
      <c r="X5" s="6986"/>
      <c r="Y5" s="6986"/>
      <c r="Z5" s="6986"/>
      <c r="AA5" s="6986"/>
      <c r="AB5" s="6986"/>
      <c r="AC5" s="6986"/>
      <c r="AD5" s="6986"/>
      <c r="AE5" s="6986"/>
      <c r="AF5" s="6986"/>
      <c r="AG5" s="6986"/>
      <c r="AH5" s="6986"/>
      <c r="AI5" s="6986"/>
      <c r="AJ5" s="6986"/>
      <c r="AK5" s="6986"/>
      <c r="AL5" s="6986"/>
      <c r="AM5" s="6986"/>
      <c r="AN5" s="6986"/>
      <c r="AO5" s="6986"/>
      <c r="AP5" s="6986"/>
      <c r="AQ5" s="6986"/>
      <c r="AR5" s="6986"/>
      <c r="AS5" s="6986"/>
      <c r="AT5" s="6986"/>
      <c r="AU5" s="6986"/>
      <c r="AV5" s="6986"/>
      <c r="AW5" s="6986"/>
      <c r="AX5" s="6986"/>
      <c r="AY5" s="6986"/>
      <c r="AZ5" s="6986"/>
      <c r="BA5" s="6986"/>
      <c r="BB5" s="6986"/>
      <c r="BC5" s="6986"/>
      <c r="BD5" s="6986"/>
      <c r="BE5" s="6986"/>
      <c r="BF5" s="6986"/>
      <c r="BG5" s="6986"/>
      <c r="BH5" s="6986"/>
      <c r="BI5" s="6986"/>
      <c r="BJ5" s="6986"/>
      <c r="BK5" s="6986"/>
      <c r="BL5" s="6986"/>
      <c r="BM5" s="6986"/>
      <c r="BN5" s="6986"/>
      <c r="BO5" s="6986"/>
      <c r="BP5" s="6986"/>
      <c r="BQ5" s="6986"/>
      <c r="BR5" s="6986"/>
      <c r="BS5" s="6986"/>
      <c r="BT5" s="902"/>
      <c r="BU5" s="902"/>
      <c r="BV5" s="6806"/>
      <c r="BW5" s="6807"/>
      <c r="BY5" s="3">
        <v>1</v>
      </c>
      <c r="BZ5" s="10">
        <f ca="1">COUNTBLANK(A1:BX343)</f>
        <v>23923</v>
      </c>
      <c r="CA5" s="11" t="s">
        <v>12</v>
      </c>
    </row>
    <row r="6" spans="1:79" ht="21" customHeight="1">
      <c r="B6" s="2221" t="s">
        <v>1492</v>
      </c>
      <c r="C6" s="14"/>
      <c r="D6" s="14"/>
      <c r="E6" s="14"/>
      <c r="F6" s="14"/>
      <c r="G6" s="9"/>
      <c r="H6" s="9"/>
      <c r="I6" s="9"/>
      <c r="J6" s="9"/>
      <c r="K6" s="9"/>
      <c r="L6" s="9"/>
      <c r="M6" s="9"/>
      <c r="N6" s="903" t="s">
        <v>8954</v>
      </c>
      <c r="O6" s="904"/>
      <c r="P6" s="904"/>
      <c r="Q6" s="904"/>
      <c r="R6" s="904"/>
      <c r="S6" s="904"/>
      <c r="T6" s="904"/>
      <c r="U6" s="904"/>
      <c r="V6" s="904"/>
      <c r="W6" s="904"/>
      <c r="X6" s="904"/>
      <c r="Y6" s="904"/>
      <c r="Z6" s="904"/>
      <c r="AA6" s="904" t="s">
        <v>8955</v>
      </c>
      <c r="AB6" s="904"/>
      <c r="AC6" s="904"/>
      <c r="AD6" s="904"/>
      <c r="AE6" s="904"/>
      <c r="AF6" s="904"/>
      <c r="AG6" s="904"/>
      <c r="AH6" s="904"/>
      <c r="AI6" s="904"/>
      <c r="AJ6" s="904"/>
      <c r="AK6" s="904"/>
      <c r="AL6" s="904"/>
      <c r="AM6" s="904"/>
      <c r="AN6" s="904"/>
      <c r="AO6" s="904"/>
      <c r="AP6" s="904" t="s">
        <v>8956</v>
      </c>
      <c r="AQ6" s="904"/>
      <c r="AR6" s="904"/>
      <c r="AS6" s="904"/>
      <c r="AT6" s="904"/>
      <c r="AU6" s="904"/>
      <c r="AV6" s="904"/>
      <c r="AW6" s="904"/>
      <c r="AX6" s="904"/>
      <c r="AY6" s="904"/>
      <c r="AZ6" s="904"/>
      <c r="BA6" s="904"/>
      <c r="BB6" s="904"/>
      <c r="BC6" s="904"/>
      <c r="BD6" s="904"/>
      <c r="BE6" s="904"/>
      <c r="BF6" s="904"/>
      <c r="BG6" s="905"/>
      <c r="BH6" s="905"/>
      <c r="BI6" s="905"/>
      <c r="BJ6" s="905"/>
      <c r="BK6" s="905"/>
      <c r="BL6" s="905"/>
      <c r="BM6" s="905"/>
      <c r="BN6" s="905"/>
      <c r="BO6" s="905"/>
      <c r="BP6" s="905"/>
      <c r="BQ6" s="905"/>
      <c r="BR6" s="905"/>
      <c r="BS6" s="905"/>
      <c r="BT6" s="905"/>
      <c r="BU6" s="905"/>
      <c r="BV6" s="6806"/>
      <c r="BW6" s="6807"/>
      <c r="BY6" s="3">
        <v>1</v>
      </c>
      <c r="BZ6" s="10">
        <f>SUM(BY1:BY341)+2</f>
        <v>343</v>
      </c>
      <c r="CA6" s="11" t="s">
        <v>14</v>
      </c>
    </row>
    <row r="7" spans="1:79" ht="21" customHeight="1" thickBot="1">
      <c r="B7" s="2227"/>
      <c r="C7" s="2228"/>
      <c r="D7" s="2227"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E7" s="2228"/>
      <c r="F7" s="2229"/>
      <c r="G7" s="9"/>
      <c r="H7" s="9"/>
      <c r="I7" s="9"/>
      <c r="J7" s="9"/>
      <c r="K7" s="9"/>
      <c r="L7" s="9"/>
      <c r="M7" s="9"/>
      <c r="N7" s="903" t="s">
        <v>2403</v>
      </c>
      <c r="O7" s="906"/>
      <c r="P7" s="906"/>
      <c r="Q7" s="906"/>
      <c r="R7" s="906"/>
      <c r="S7" s="906"/>
      <c r="T7" s="906"/>
      <c r="U7" s="906"/>
      <c r="V7" s="906"/>
      <c r="W7" s="906"/>
      <c r="X7" s="906"/>
      <c r="Y7" s="906"/>
      <c r="Z7" s="906" t="s">
        <v>2404</v>
      </c>
      <c r="AA7" s="906"/>
      <c r="AB7" s="906"/>
      <c r="AC7" s="906"/>
      <c r="AD7" s="906"/>
      <c r="AE7" s="906"/>
      <c r="AF7" s="906"/>
      <c r="AG7" s="906"/>
      <c r="AH7" s="906"/>
      <c r="AI7" s="906"/>
      <c r="AJ7" s="906"/>
      <c r="AK7" s="906"/>
      <c r="AL7" s="906"/>
      <c r="AM7" s="906"/>
      <c r="AN7" s="906"/>
      <c r="AO7" s="906"/>
      <c r="AP7" s="906"/>
      <c r="AQ7" s="906" t="s">
        <v>2405</v>
      </c>
      <c r="AR7" s="906"/>
      <c r="AS7" s="906"/>
      <c r="AT7" s="906"/>
      <c r="AU7" s="906"/>
      <c r="AV7" s="906"/>
      <c r="AW7" s="906"/>
      <c r="AX7" s="906"/>
      <c r="AY7" s="906"/>
      <c r="AZ7" s="906"/>
      <c r="BA7" s="906"/>
      <c r="BB7" s="906"/>
      <c r="BC7" s="906"/>
      <c r="BD7" s="906"/>
      <c r="BE7" s="906"/>
      <c r="BF7" s="906"/>
      <c r="BG7" s="907"/>
      <c r="BH7" s="907"/>
      <c r="BI7" s="907"/>
      <c r="BJ7" s="907"/>
      <c r="BK7" s="907"/>
      <c r="BL7" s="907"/>
      <c r="BM7" s="907"/>
      <c r="BN7" s="907"/>
      <c r="BO7" s="908" t="s">
        <v>8957</v>
      </c>
      <c r="BP7" s="908"/>
      <c r="BQ7" s="908"/>
      <c r="BR7" s="909"/>
      <c r="BS7" s="909"/>
      <c r="BT7" s="909"/>
      <c r="BU7" s="909"/>
      <c r="BV7" s="6989"/>
      <c r="BW7" s="6990"/>
      <c r="BY7" s="3">
        <v>1</v>
      </c>
      <c r="BZ7" s="10">
        <f>SUM(A343:BX343)+1</f>
        <v>77</v>
      </c>
      <c r="CA7" s="11" t="s">
        <v>17</v>
      </c>
    </row>
    <row r="8" spans="1:79" ht="21" customHeight="1">
      <c r="B8" s="6923" t="s">
        <v>8952</v>
      </c>
      <c r="C8" s="6924"/>
      <c r="D8" s="6924"/>
      <c r="E8" s="6924"/>
      <c r="F8" s="6924"/>
      <c r="G8" s="6924"/>
      <c r="H8" s="6924"/>
      <c r="I8" s="6924"/>
      <c r="J8" s="6924"/>
      <c r="K8" s="6924"/>
      <c r="L8" s="6925"/>
      <c r="M8" s="9"/>
      <c r="N8" s="910" t="s">
        <v>207</v>
      </c>
      <c r="O8" s="911" t="str">
        <f ca="1">CELL("nomfichier")</f>
        <v>D:\Données\1.UPRT\0-UPRT.fait\1-UPRT.FR-SITE-WEB\ff-fiches-fabrications\ff.fiches.fabrication.2023\ffr.restaurant.2023\[ff.FICHE.TRILINGUE.20.COLONNES.05.01.2026.xlsx]Couleurs.pour.vos.documents</v>
      </c>
      <c r="P8" s="911"/>
      <c r="Q8" s="901"/>
      <c r="R8" s="901"/>
      <c r="S8" s="901"/>
      <c r="T8" s="901"/>
      <c r="U8" s="901"/>
      <c r="V8" s="901"/>
      <c r="W8" s="901"/>
      <c r="X8" s="901"/>
      <c r="Y8" s="901"/>
      <c r="Z8" s="901"/>
      <c r="AA8" s="901"/>
      <c r="AB8" s="901"/>
      <c r="AC8" s="901"/>
      <c r="AD8" s="901"/>
      <c r="AE8" s="901"/>
      <c r="AF8" s="901"/>
      <c r="AG8" s="901"/>
      <c r="AH8" s="901"/>
      <c r="AI8" s="914" t="s">
        <v>1516</v>
      </c>
      <c r="AJ8" s="901"/>
      <c r="AK8" s="901"/>
      <c r="AL8" s="901"/>
      <c r="AM8" s="901"/>
      <c r="AN8" s="901"/>
      <c r="AO8" s="901"/>
      <c r="AP8" s="901"/>
      <c r="AQ8" s="901"/>
      <c r="AR8" s="901"/>
      <c r="AS8" s="901"/>
      <c r="AT8" s="901"/>
      <c r="AU8" s="901"/>
      <c r="AV8" s="901"/>
      <c r="AW8" s="901"/>
      <c r="AX8" s="901"/>
      <c r="AY8" s="901"/>
      <c r="AZ8" s="901"/>
      <c r="BA8" s="901"/>
      <c r="BB8" s="901"/>
      <c r="BC8" s="901"/>
      <c r="BD8" s="912"/>
      <c r="BE8" s="912"/>
      <c r="BF8" s="912"/>
      <c r="BG8" s="912"/>
      <c r="BH8" s="912"/>
      <c r="BI8" s="912"/>
      <c r="BJ8" s="912"/>
      <c r="BK8" s="912"/>
      <c r="BL8" s="912"/>
      <c r="BM8" s="912"/>
      <c r="BN8" s="912"/>
      <c r="BO8" s="912"/>
      <c r="BP8" s="912"/>
      <c r="BQ8" s="912"/>
      <c r="BR8" s="912"/>
      <c r="BS8" s="912"/>
      <c r="BT8" s="912"/>
      <c r="BU8" s="912"/>
      <c r="BV8" s="705" t="s">
        <v>1491</v>
      </c>
      <c r="BW8" s="706" t="str">
        <f>BY343</f>
        <v>BY343</v>
      </c>
      <c r="BY8" s="3">
        <v>1</v>
      </c>
    </row>
    <row r="9" spans="1:79" ht="21" customHeight="1" thickBot="1">
      <c r="B9" s="6926" t="s">
        <v>8953</v>
      </c>
      <c r="C9" s="6927"/>
      <c r="D9" s="6927"/>
      <c r="E9" s="6927"/>
      <c r="F9" s="6927"/>
      <c r="G9" s="6927"/>
      <c r="H9" s="6927"/>
      <c r="I9" s="6927"/>
      <c r="J9" s="6927"/>
      <c r="K9" s="6927"/>
      <c r="L9" s="6928"/>
      <c r="M9" s="9"/>
      <c r="N9" s="1346"/>
      <c r="O9" s="1347"/>
      <c r="P9" s="1340"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Q9" s="1347"/>
      <c r="R9" s="1347"/>
      <c r="S9" s="1347"/>
      <c r="T9" s="1347"/>
      <c r="U9" s="1347"/>
      <c r="V9" s="1347"/>
      <c r="W9" s="1347"/>
      <c r="X9" s="1347"/>
      <c r="Y9" s="1347"/>
      <c r="Z9" s="1347"/>
      <c r="AA9" s="1347"/>
      <c r="AB9" s="1347"/>
      <c r="AC9" s="1347"/>
      <c r="AD9" s="1347"/>
      <c r="AE9" s="1347"/>
      <c r="AF9" s="1347"/>
      <c r="AG9" s="1347"/>
      <c r="AH9" s="1347"/>
      <c r="AI9" s="1347"/>
      <c r="AJ9" s="1343" t="str">
        <f>IF(ISNUMBER(IFERROR(VALUE("0,5"),"")),"On this computer, type a COMMA as the decimal separator",IF(ISNUMBER(IFERROR(VALUE("0.5"),"")),"On this computer, type a POINT as the decimal separator","Unable to determine the decimal separator"))</f>
        <v>On this computer, type a POINT as the decimal separator</v>
      </c>
      <c r="AK9" s="1347"/>
      <c r="AL9" s="1347"/>
      <c r="AM9" s="1347"/>
      <c r="AN9" s="1347"/>
      <c r="AO9" s="1347"/>
      <c r="AP9" s="1347"/>
      <c r="AR9" s="915"/>
      <c r="AS9" s="913"/>
      <c r="AT9" s="915"/>
      <c r="AU9" s="913"/>
      <c r="AV9" s="915"/>
      <c r="AW9" s="913"/>
      <c r="AX9" s="915"/>
      <c r="AY9" s="915"/>
      <c r="AZ9" s="913"/>
      <c r="BA9" s="913"/>
      <c r="BB9" s="915"/>
      <c r="BC9" s="902"/>
      <c r="BD9" s="913"/>
      <c r="BE9" s="134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BF9" s="913"/>
      <c r="BG9" s="915"/>
      <c r="BH9" s="913"/>
      <c r="BI9" s="915"/>
      <c r="BJ9" s="913"/>
      <c r="BK9" s="915"/>
      <c r="BL9" s="913"/>
      <c r="BM9" s="915"/>
      <c r="BN9" s="913"/>
      <c r="BO9" s="915"/>
      <c r="BP9" s="913"/>
      <c r="BQ9" s="915"/>
      <c r="BR9" s="913"/>
      <c r="BS9" s="915"/>
      <c r="BT9" s="915"/>
      <c r="BU9" s="915"/>
      <c r="BV9" s="913"/>
      <c r="BW9" s="915"/>
      <c r="BY9" s="3">
        <v>1</v>
      </c>
    </row>
    <row r="10" spans="1:79" ht="21" customHeight="1">
      <c r="B10" s="6903" t="s">
        <v>1508</v>
      </c>
      <c r="C10" s="6904"/>
      <c r="D10" s="6904"/>
      <c r="E10" s="6904"/>
      <c r="F10" s="6904"/>
      <c r="G10" s="6904"/>
      <c r="H10" s="6904"/>
      <c r="I10" s="6904"/>
      <c r="J10" s="6904"/>
      <c r="K10" s="6904"/>
      <c r="L10" s="6905"/>
      <c r="M10" s="9"/>
      <c r="N10" s="19" t="s">
        <v>10</v>
      </c>
      <c r="O10" s="20" t="str">
        <f>O16</f>
        <v>J JUS DE FRAISES DES BOIS | pâtisserie--ENTREMET| Auteur &gt; recette Béghin Say de Jean-Jacques Borne MOF 1994</v>
      </c>
      <c r="P10" s="21">
        <f>P16</f>
        <v>18</v>
      </c>
      <c r="Q10" s="21" t="str">
        <f>Q16</f>
        <v>desserts</v>
      </c>
      <c r="R10" s="22" t="str">
        <f>R16</f>
        <v>Recette mère ► MILLE-FEUILLE  aux fraises des bois</v>
      </c>
      <c r="S10" s="23" t="s">
        <v>21</v>
      </c>
      <c r="T10" s="24" t="s">
        <v>22</v>
      </c>
      <c r="U10" s="24"/>
      <c r="V10" s="6634" t="s">
        <v>3075</v>
      </c>
      <c r="W10" s="6634"/>
      <c r="X10" s="6634"/>
      <c r="Y10" s="6634"/>
      <c r="Z10" s="6634"/>
      <c r="AA10" s="6634"/>
      <c r="AB10" s="6634"/>
      <c r="AC10" s="6634"/>
      <c r="AD10" s="6634"/>
      <c r="AE10" s="6636" t="s">
        <v>24</v>
      </c>
      <c r="AF10" s="6636"/>
      <c r="AG10" s="6638" t="str">
        <f>UPPER(LEFT(V10,1))</f>
        <v>J</v>
      </c>
      <c r="AH10" s="918"/>
      <c r="AI10" s="19"/>
      <c r="AJ10" s="20"/>
      <c r="AK10" s="21"/>
      <c r="AL10" s="21"/>
      <c r="AM10" s="22"/>
      <c r="AN10" s="1802"/>
      <c r="AO10" s="1803"/>
      <c r="AP10" s="1803"/>
      <c r="AQ10" s="51"/>
      <c r="AR10" s="51"/>
      <c r="AS10" s="51"/>
      <c r="AT10" s="51"/>
      <c r="AU10" s="51"/>
      <c r="AV10" s="51"/>
      <c r="AW10" s="51"/>
      <c r="AX10" s="51"/>
      <c r="AY10" s="51"/>
      <c r="AZ10" s="916"/>
      <c r="BA10" s="916"/>
      <c r="BB10" s="917"/>
      <c r="BC10" s="918"/>
      <c r="BD10" s="19"/>
      <c r="BE10" s="20"/>
      <c r="BF10" s="21"/>
      <c r="BG10" s="21"/>
      <c r="BH10" s="22"/>
      <c r="BI10" s="1802"/>
      <c r="BJ10" s="1803"/>
      <c r="BK10" s="1803"/>
      <c r="BL10" s="51"/>
      <c r="BM10" s="51"/>
      <c r="BN10" s="51"/>
      <c r="BO10" s="51"/>
      <c r="BP10" s="51"/>
      <c r="BQ10" s="51"/>
      <c r="BR10" s="51"/>
      <c r="BS10" s="51"/>
      <c r="BT10" s="51"/>
      <c r="BU10" s="916"/>
      <c r="BV10" s="916"/>
      <c r="BW10" s="917"/>
      <c r="BY10" s="3">
        <v>1</v>
      </c>
      <c r="CA10" s="198" t="s">
        <v>14241</v>
      </c>
    </row>
    <row r="11" spans="1:79" ht="21" customHeight="1">
      <c r="B11" s="2222" t="str">
        <f>IF(ISNUMBER(IFERROR(VALUE("0,5"),"")),"On this computer, type a COMMA as the decimal separator",IF(ISNUMBER(IFERROR(VALUE("0.5"),"")),"On this computer, type a POINT as the decimal separator","Unable to determine the decimal separator"))</f>
        <v>On this computer, type a POINT as the decimal separator</v>
      </c>
      <c r="C11" s="1344"/>
      <c r="D11" s="1344"/>
      <c r="E11" s="14"/>
      <c r="F11" s="9"/>
      <c r="G11" s="9"/>
      <c r="H11" s="9"/>
      <c r="I11" s="9"/>
      <c r="J11" s="9"/>
      <c r="K11" s="9"/>
      <c r="L11" s="222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M11" s="9"/>
      <c r="N11" s="25" t="s">
        <v>10</v>
      </c>
      <c r="O11" s="26" t="str">
        <f>O16</f>
        <v>J JUS DE FRAISES DES BOIS | pâtisserie--ENTREMET| Auteur &gt; recette Béghin Say de Jean-Jacques Borne MOF 1994</v>
      </c>
      <c r="P11" s="27">
        <f>P16</f>
        <v>18</v>
      </c>
      <c r="Q11" s="27" t="str">
        <f>Q16</f>
        <v>desserts</v>
      </c>
      <c r="R11" s="28" t="str">
        <f>R16</f>
        <v>Recette mère ► MILLE-FEUILLE  aux fraises des bois</v>
      </c>
      <c r="S11" s="29" t="s">
        <v>28</v>
      </c>
      <c r="T11" s="30" t="s">
        <v>831</v>
      </c>
      <c r="U11" s="30"/>
      <c r="V11" s="6635"/>
      <c r="W11" s="6635"/>
      <c r="X11" s="6635"/>
      <c r="Y11" s="6635"/>
      <c r="Z11" s="6635"/>
      <c r="AA11" s="6635"/>
      <c r="AB11" s="6635"/>
      <c r="AC11" s="6635"/>
      <c r="AD11" s="6635"/>
      <c r="AE11" s="6637"/>
      <c r="AF11" s="6637"/>
      <c r="AG11" s="6639"/>
      <c r="AH11" s="918"/>
      <c r="AI11" s="2252" t="s">
        <v>15</v>
      </c>
      <c r="AJ11" s="2237"/>
      <c r="AK11" s="2237"/>
      <c r="AL11" s="2237"/>
      <c r="AM11" s="2237"/>
      <c r="AN11" s="2240"/>
      <c r="AO11" s="2241"/>
      <c r="AP11" s="2239"/>
      <c r="AQ11" s="2242"/>
      <c r="AR11" s="2250"/>
      <c r="AS11" s="2244"/>
      <c r="AT11" s="2244"/>
      <c r="AU11" s="2245"/>
      <c r="AV11" s="2246"/>
      <c r="AW11" s="2247"/>
      <c r="AX11" s="2248"/>
      <c r="AY11" s="2249"/>
      <c r="AZ11" s="2249"/>
      <c r="BA11" s="2238"/>
      <c r="BB11" s="2264"/>
      <c r="BC11" s="918"/>
      <c r="BD11" s="2252" t="s">
        <v>15</v>
      </c>
      <c r="BE11" s="2237"/>
      <c r="BF11" s="2237"/>
      <c r="BG11" s="2237"/>
      <c r="BH11" s="2237"/>
      <c r="BI11" s="2240"/>
      <c r="BJ11" s="2241"/>
      <c r="BK11" s="2239"/>
      <c r="BL11" s="2242"/>
      <c r="BM11" s="2250"/>
      <c r="BN11" s="2244"/>
      <c r="BO11" s="2244"/>
      <c r="BP11" s="2245"/>
      <c r="BQ11" s="2246"/>
      <c r="BR11" s="2247"/>
      <c r="BS11" s="2248"/>
      <c r="BT11" s="2249"/>
      <c r="BU11" s="2249"/>
      <c r="BV11" s="2238"/>
      <c r="BW11" s="2264"/>
      <c r="BY11" s="3">
        <v>1</v>
      </c>
      <c r="CA11" s="198" t="s">
        <v>14229</v>
      </c>
    </row>
    <row r="12" spans="1:79" ht="21" customHeight="1">
      <c r="B12" s="227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12" s="2273"/>
      <c r="D12" s="2273"/>
      <c r="E12" s="2273"/>
      <c r="F12" s="2273"/>
      <c r="G12" s="2273"/>
      <c r="H12" s="2273"/>
      <c r="I12" s="2273"/>
      <c r="J12" s="2273"/>
      <c r="K12" s="2273"/>
      <c r="L12" s="2274"/>
      <c r="M12" s="9"/>
      <c r="N12" s="25" t="s">
        <v>10</v>
      </c>
      <c r="O12" s="31" t="str">
        <f>O16</f>
        <v>J JUS DE FRAISES DES BOIS | pâtisserie--ENTREMET| Auteur &gt; recette Béghin Say de Jean-Jacques Borne MOF 1994</v>
      </c>
      <c r="P12" s="32">
        <f>P16</f>
        <v>18</v>
      </c>
      <c r="Q12" s="32" t="str">
        <f>Q16</f>
        <v>desserts</v>
      </c>
      <c r="R12" s="33" t="str">
        <f>R16</f>
        <v>Recette mère ► MILLE-FEUILLE  aux fraises des bois</v>
      </c>
      <c r="S12" s="1357"/>
      <c r="T12" s="1358" t="s">
        <v>30</v>
      </c>
      <c r="U12" s="34"/>
      <c r="V12" s="35" t="s">
        <v>31</v>
      </c>
      <c r="W12" s="36" t="s">
        <v>3050</v>
      </c>
      <c r="X12" s="9"/>
      <c r="Y12" s="9"/>
      <c r="Z12" s="36"/>
      <c r="AA12" s="36"/>
      <c r="AB12" s="36"/>
      <c r="AC12" s="37"/>
      <c r="AD12" s="9"/>
      <c r="AE12" s="9"/>
      <c r="AF12" s="9"/>
      <c r="AG12" s="2062" t="str" cm="1">
        <f t="array" ref="AG12">IF(COUNTIF(O40:AG40,"&lt;0.5")=0,"Aucune colonne masquée ",COUNTIF(O40:AG40,"&lt;0.5") &amp; " " &amp; IF(COUNTIF(O40:AG40,"&lt;0.5")&gt;1,"colonnes masquées","colonne masquée") &amp; " " &amp; _xlfn.TEXTJOIN(" ", TRUE, IF(O40:AG40&lt;0.5,O39:AG39,"")))&amp;" "</f>
        <v xml:space="preserve">Aucune colonne masquée  </v>
      </c>
      <c r="AH12" s="918"/>
      <c r="AI12" s="2252" t="s">
        <v>15</v>
      </c>
      <c r="AJ12" s="2237"/>
      <c r="AK12" s="2237"/>
      <c r="AL12" s="2237"/>
      <c r="AM12" s="2237"/>
      <c r="AN12" s="2240"/>
      <c r="AO12" s="2241"/>
      <c r="AP12" s="2239"/>
      <c r="AQ12" s="2242"/>
      <c r="AR12" s="2250"/>
      <c r="AS12" s="2244"/>
      <c r="AT12" s="2244"/>
      <c r="AU12" s="2245"/>
      <c r="AV12" s="2246"/>
      <c r="AW12" s="2247"/>
      <c r="AX12" s="2248"/>
      <c r="AY12" s="2249"/>
      <c r="AZ12" s="2249"/>
      <c r="BA12" s="2238"/>
      <c r="BB12" s="2264"/>
      <c r="BC12" s="918"/>
      <c r="BD12" s="2252" t="s">
        <v>15</v>
      </c>
      <c r="BE12" s="2237"/>
      <c r="BF12" s="2237"/>
      <c r="BG12" s="2237"/>
      <c r="BH12" s="2237"/>
      <c r="BI12" s="2240"/>
      <c r="BJ12" s="2241"/>
      <c r="BK12" s="2239"/>
      <c r="BL12" s="2242"/>
      <c r="BM12" s="2250"/>
      <c r="BN12" s="2244"/>
      <c r="BO12" s="2244"/>
      <c r="BP12" s="2245"/>
      <c r="BQ12" s="2246"/>
      <c r="BR12" s="2247"/>
      <c r="BS12" s="2248"/>
      <c r="BT12" s="2249"/>
      <c r="BU12" s="2249"/>
      <c r="BV12" s="2238"/>
      <c r="BW12" s="2264"/>
      <c r="BY12" s="3">
        <v>1</v>
      </c>
      <c r="CA12" s="198"/>
    </row>
    <row r="13" spans="1:79" ht="21" customHeight="1">
      <c r="B13" s="2271">
        <f>SUM(D11:L11)</f>
        <v>0</v>
      </c>
      <c r="C13" s="78">
        <v>0</v>
      </c>
      <c r="D13" s="6906" t="s">
        <v>2397</v>
      </c>
      <c r="E13" s="6906"/>
      <c r="F13" s="6906"/>
      <c r="G13" s="6906"/>
      <c r="H13" s="6906"/>
      <c r="I13" s="6906"/>
      <c r="J13" s="6906"/>
      <c r="K13" s="6906"/>
      <c r="L13" s="6907"/>
      <c r="M13" s="9"/>
      <c r="N13" s="25" t="s">
        <v>10</v>
      </c>
      <c r="O13" s="31" t="str">
        <f>O16</f>
        <v>J JUS DE FRAISES DES BOIS | pâtisserie--ENTREMET| Auteur &gt; recette Béghin Say de Jean-Jacques Borne MOF 1994</v>
      </c>
      <c r="P13" s="32">
        <f>P16</f>
        <v>18</v>
      </c>
      <c r="Q13" s="32" t="str">
        <f>Q16</f>
        <v>desserts</v>
      </c>
      <c r="R13" s="33" t="str">
        <f>R16</f>
        <v>Recette mère ► MILLE-FEUILLE  aux fraises des bois</v>
      </c>
      <c r="S13" s="39" t="s">
        <v>32</v>
      </c>
      <c r="T13" s="40"/>
      <c r="U13" s="40"/>
      <c r="V13" s="41" t="s">
        <v>33</v>
      </c>
      <c r="W13" s="6736" t="str">
        <f>Y16&amp;" "&amp;Z16&amp;" ► Famille = "&amp;AE10&amp;" ► "&amp;V10&amp;" "&amp;AC13&amp;" "&amp;AE13&amp;" "&amp;AF13&amp;" "&amp;AG13</f>
        <v>Recette mère ► MILLE-FEUILLE  aux fraises des bois ► Famille = pâtisserie--ENTREMET ► JUS DE FRAISES DES BOIS  ⓫  Dupliquée pour 36 desserts</v>
      </c>
      <c r="X13" s="6736"/>
      <c r="Y13" s="6736"/>
      <c r="Z13" s="6736"/>
      <c r="AA13" s="6736"/>
      <c r="AB13" s="6736"/>
      <c r="AC13" s="6736"/>
      <c r="AD13" s="1359"/>
      <c r="AE13" s="1359" t="s">
        <v>35</v>
      </c>
      <c r="AF13" s="42">
        <v>36</v>
      </c>
      <c r="AG13" s="43" t="str">
        <f>AG15</f>
        <v>desserts</v>
      </c>
      <c r="AH13" s="918"/>
      <c r="AI13" s="2252" t="s">
        <v>15</v>
      </c>
      <c r="AJ13" s="2237"/>
      <c r="AK13" s="2237"/>
      <c r="AL13" s="2237"/>
      <c r="AM13" s="2237"/>
      <c r="AN13" s="2240"/>
      <c r="AO13" s="2241"/>
      <c r="AP13" s="2239"/>
      <c r="AQ13" s="2242"/>
      <c r="AR13" s="2250"/>
      <c r="AS13" s="2244"/>
      <c r="AT13" s="2244"/>
      <c r="AU13" s="2245"/>
      <c r="AV13" s="2246"/>
      <c r="AW13" s="2247"/>
      <c r="AX13" s="2248"/>
      <c r="AY13" s="2249"/>
      <c r="AZ13" s="2249"/>
      <c r="BA13" s="2238"/>
      <c r="BB13" s="2264"/>
      <c r="BC13" s="918"/>
      <c r="BD13" s="2252" t="s">
        <v>15</v>
      </c>
      <c r="BE13" s="2237"/>
      <c r="BF13" s="2237"/>
      <c r="BG13" s="2237"/>
      <c r="BH13" s="2237"/>
      <c r="BI13" s="2240"/>
      <c r="BJ13" s="2241"/>
      <c r="BK13" s="2239"/>
      <c r="BL13" s="2242"/>
      <c r="BM13" s="2250"/>
      <c r="BN13" s="2244"/>
      <c r="BO13" s="2244"/>
      <c r="BP13" s="2245"/>
      <c r="BQ13" s="2246"/>
      <c r="BR13" s="2247"/>
      <c r="BS13" s="2248"/>
      <c r="BT13" s="2249"/>
      <c r="BU13" s="2249"/>
      <c r="BV13" s="2238"/>
      <c r="BW13" s="2264"/>
      <c r="BY13" s="3">
        <v>1</v>
      </c>
      <c r="CA13" s="198" t="s">
        <v>14232</v>
      </c>
    </row>
    <row r="14" spans="1:79" ht="21" customHeight="1">
      <c r="B14" s="2265" t="str" cm="1">
        <f t="array" ref="B14">SUMPRODUCT(--(D14:J14&lt;&gt;""), LEN(TRIM(SUBSTITUTE(D14:J14, CHAR(160), "")))) &amp; " Car."</f>
        <v>0 Car.</v>
      </c>
      <c r="C14" s="1376" t="str">
        <f>IF(ISBLANK(D14),"",LARGE(C13:C13,1)+1)</f>
        <v/>
      </c>
      <c r="D14" s="1833"/>
      <c r="E14" s="1810"/>
      <c r="F14" s="1810"/>
      <c r="G14" s="1810"/>
      <c r="H14" s="1810"/>
      <c r="I14" s="1810"/>
      <c r="J14" s="1810"/>
      <c r="K14" s="1810"/>
      <c r="L14" s="1811"/>
      <c r="M14" s="9"/>
      <c r="N14" s="25" t="s">
        <v>10</v>
      </c>
      <c r="O14" s="31" t="str">
        <f>O16</f>
        <v>J JUS DE FRAISES DES BOIS | pâtisserie--ENTREMET| Auteur &gt; recette Béghin Say de Jean-Jacques Borne MOF 1994</v>
      </c>
      <c r="P14" s="32">
        <f>P16</f>
        <v>18</v>
      </c>
      <c r="Q14" s="32" t="str">
        <f>Q16</f>
        <v>desserts</v>
      </c>
      <c r="R14" s="33" t="str">
        <f>R16</f>
        <v>Recette mère ► MILLE-FEUILLE  aux fraises des bois</v>
      </c>
      <c r="S14" s="1360">
        <v>18</v>
      </c>
      <c r="T14" s="1361" t="s">
        <v>3056</v>
      </c>
      <c r="U14" s="39"/>
      <c r="V14" s="39"/>
      <c r="W14" s="6736"/>
      <c r="X14" s="6736"/>
      <c r="Y14" s="6736"/>
      <c r="Z14" s="6736"/>
      <c r="AA14" s="6736"/>
      <c r="AB14" s="6736"/>
      <c r="AC14" s="6736"/>
      <c r="AD14" s="696"/>
      <c r="AE14" s="696"/>
      <c r="AF14" s="47" t="s">
        <v>40</v>
      </c>
      <c r="AG14" s="48" t="s">
        <v>41</v>
      </c>
      <c r="AH14" s="918"/>
      <c r="AI14" s="2252" t="s">
        <v>15</v>
      </c>
      <c r="AJ14" s="2237"/>
      <c r="AK14" s="2237"/>
      <c r="AL14" s="2237"/>
      <c r="AM14" s="2237"/>
      <c r="AN14" s="2240"/>
      <c r="AO14" s="2241"/>
      <c r="AP14" s="2239"/>
      <c r="AQ14" s="2242"/>
      <c r="AR14" s="2250"/>
      <c r="AS14" s="2244"/>
      <c r="AT14" s="2244"/>
      <c r="AU14" s="2245"/>
      <c r="AV14" s="2246"/>
      <c r="AW14" s="2247"/>
      <c r="AX14" s="2248"/>
      <c r="AY14" s="2249"/>
      <c r="AZ14" s="2249"/>
      <c r="BA14" s="2238"/>
      <c r="BB14" s="2264"/>
      <c r="BC14" s="918"/>
      <c r="BD14" s="2252" t="s">
        <v>15</v>
      </c>
      <c r="BE14" s="2237"/>
      <c r="BF14" s="2237"/>
      <c r="BG14" s="2237"/>
      <c r="BH14" s="2237"/>
      <c r="BI14" s="2240"/>
      <c r="BJ14" s="2241"/>
      <c r="BK14" s="2239"/>
      <c r="BL14" s="2242"/>
      <c r="BM14" s="2250"/>
      <c r="BN14" s="2244"/>
      <c r="BO14" s="2244"/>
      <c r="BP14" s="2245"/>
      <c r="BQ14" s="2246"/>
      <c r="BR14" s="2247"/>
      <c r="BS14" s="2248"/>
      <c r="BT14" s="2249"/>
      <c r="BU14" s="2249"/>
      <c r="BV14" s="2238"/>
      <c r="BW14" s="2264"/>
      <c r="BY14" s="3">
        <v>1</v>
      </c>
      <c r="CA14" s="198" t="s">
        <v>14235</v>
      </c>
    </row>
    <row r="15" spans="1:79" ht="21" customHeight="1">
      <c r="B15" s="2265" t="str" cm="1">
        <f t="array" ref="B15">SUMPRODUCT(--(D15:J15&lt;&gt;""), LEN(TRIM(SUBSTITUTE(D15:J15, CHAR(160), "")))) &amp; " Car."</f>
        <v>0 Car.</v>
      </c>
      <c r="C15" s="1376" t="str">
        <f>IF(ISBLANK(D15),"",LARGE(C13:C14,1)+1)</f>
        <v/>
      </c>
      <c r="D15" s="1833"/>
      <c r="E15" s="1810"/>
      <c r="F15" s="1810"/>
      <c r="G15" s="1810"/>
      <c r="H15" s="1810"/>
      <c r="I15" s="1810"/>
      <c r="J15" s="1810"/>
      <c r="K15" s="1810"/>
      <c r="L15" s="1811"/>
      <c r="M15" s="9"/>
      <c r="N15" s="25" t="s">
        <v>10</v>
      </c>
      <c r="O15" s="31" t="str">
        <f>O16</f>
        <v>J JUS DE FRAISES DES BOIS | pâtisserie--ENTREMET| Auteur &gt; recette Béghin Say de Jean-Jacques Borne MOF 1994</v>
      </c>
      <c r="P15" s="32">
        <f>P16</f>
        <v>18</v>
      </c>
      <c r="Q15" s="32" t="str">
        <f>Q16</f>
        <v>desserts</v>
      </c>
      <c r="R15" s="33" t="str">
        <f>R16</f>
        <v>Recette mère ► MILLE-FEUILLE  aux fraises des bois</v>
      </c>
      <c r="S15" s="53"/>
      <c r="T15" s="1323" t="s">
        <v>8094</v>
      </c>
      <c r="U15" s="6737">
        <f>AC35</f>
        <v>0</v>
      </c>
      <c r="V15" s="6737"/>
      <c r="W15" s="1324" t="str" cm="1">
        <f t="array" ref="W15">"1= "&amp;IF(OR(S14&lt;=0,U15=""),"",_xlfn.LET(_xlpm.kg,IF(ISNUMBER(U15),U15,VALEUR(SUBSTITUTE(SUBSTITUTE(SUBSTITUTE(LOWER(U15),"kg",""),",",".")," ",""))),TEXT(ROUND(_xlpm.kg*1000/S14,2),"0.##")&amp;" g"))</f>
        <v>1= 0. g</v>
      </c>
      <c r="X15" s="1325">
        <f>IFERROR(AF13/AF15,0)</f>
        <v>2</v>
      </c>
      <c r="Y15" s="1817" t="s">
        <v>8230</v>
      </c>
      <c r="Z15" s="579"/>
      <c r="AA15" s="55"/>
      <c r="AB15" s="55"/>
      <c r="AD15" s="1362"/>
      <c r="AE15" s="1362" t="s">
        <v>50</v>
      </c>
      <c r="AF15" s="882">
        <v>18</v>
      </c>
      <c r="AG15" s="56" t="s">
        <v>3056</v>
      </c>
      <c r="AH15" s="918"/>
      <c r="AI15" s="2252" t="s">
        <v>15</v>
      </c>
      <c r="AJ15" s="2237"/>
      <c r="AK15" s="2237"/>
      <c r="AL15" s="2237"/>
      <c r="AM15" s="2237"/>
      <c r="AN15" s="2240"/>
      <c r="AO15" s="2241"/>
      <c r="AP15" s="2239"/>
      <c r="AQ15" s="2242"/>
      <c r="AR15" s="2250"/>
      <c r="AS15" s="2244"/>
      <c r="AT15" s="2244"/>
      <c r="AU15" s="2245"/>
      <c r="AV15" s="2246"/>
      <c r="AW15" s="2247"/>
      <c r="AX15" s="2248"/>
      <c r="AY15" s="2249"/>
      <c r="AZ15" s="2249"/>
      <c r="BA15" s="2238"/>
      <c r="BB15" s="2264"/>
      <c r="BC15" s="918"/>
      <c r="BD15" s="2252" t="s">
        <v>15</v>
      </c>
      <c r="BE15" s="2237"/>
      <c r="BF15" s="2237"/>
      <c r="BG15" s="2237"/>
      <c r="BH15" s="2237"/>
      <c r="BI15" s="2240"/>
      <c r="BJ15" s="2241"/>
      <c r="BK15" s="2239"/>
      <c r="BL15" s="2242"/>
      <c r="BM15" s="2250"/>
      <c r="BN15" s="2244"/>
      <c r="BO15" s="2244"/>
      <c r="BP15" s="2245"/>
      <c r="BQ15" s="2246"/>
      <c r="BR15" s="2247"/>
      <c r="BS15" s="2248"/>
      <c r="BT15" s="2249"/>
      <c r="BU15" s="2249"/>
      <c r="BV15" s="2238"/>
      <c r="BW15" s="2264"/>
      <c r="BY15" s="3">
        <v>1</v>
      </c>
    </row>
    <row r="16" spans="1:79" ht="21" customHeight="1">
      <c r="B16" s="2265" t="str" cm="1">
        <f t="array" ref="B16">SUMPRODUCT(--(D16:J16&lt;&gt;""), LEN(TRIM(SUBSTITUTE(D16:J16, CHAR(160), "")))) &amp; " Car."</f>
        <v>0 Car.</v>
      </c>
      <c r="C16" s="1376" t="str">
        <f>IF(ISBLANK(D16),"",LARGE(C13:C15,1)+1)</f>
        <v/>
      </c>
      <c r="D16" s="1833"/>
      <c r="E16" s="1810"/>
      <c r="F16" s="1810"/>
      <c r="G16" s="1810"/>
      <c r="H16" s="1810"/>
      <c r="I16" s="1810"/>
      <c r="J16" s="1810"/>
      <c r="K16" s="1810"/>
      <c r="L16" s="1811"/>
      <c r="M16" s="9"/>
      <c r="N16" s="25" t="s">
        <v>10</v>
      </c>
      <c r="O16" s="61" t="str">
        <f>S16</f>
        <v>J JUS DE FRAISES DES BOIS | pâtisserie--ENTREMET| Auteur &gt; recette Béghin Say de Jean-Jacques Borne MOF 1994</v>
      </c>
      <c r="P16" s="62">
        <f>S14</f>
        <v>18</v>
      </c>
      <c r="Q16" s="61" t="str">
        <f>T14</f>
        <v>desserts</v>
      </c>
      <c r="R16" s="63" t="str">
        <f>Y16&amp;" "&amp;Z16</f>
        <v>Recette mère ► MILLE-FEUILLE  aux fraises des bois</v>
      </c>
      <c r="S16" s="64" t="str">
        <f>UPPER(LEFT(V10,1))&amp;" "&amp;V10&amp;" | "&amp;AE10&amp;"| "&amp;V12&amp;" "&amp;W12</f>
        <v>J JUS DE FRAISES DES BOIS | pâtisserie--ENTREMET| Auteur &gt; recette Béghin Say de Jean-Jacques Borne MOF 1994</v>
      </c>
      <c r="T16" s="65" t="s">
        <v>53</v>
      </c>
      <c r="U16" s="6735" t="s">
        <v>54</v>
      </c>
      <c r="V16" s="6735"/>
      <c r="W16" s="6735"/>
      <c r="X16" s="66"/>
      <c r="Y16" s="66" t="str">
        <f>IF(ISTEXT(Z16),"Recette mère ►",T16)</f>
        <v>Recette mère ►</v>
      </c>
      <c r="Z16" s="67" t="s">
        <v>3081</v>
      </c>
      <c r="AA16" s="67"/>
      <c r="AB16" s="67"/>
      <c r="AC16" s="883"/>
      <c r="AD16" s="68"/>
      <c r="AE16" s="68"/>
      <c r="AF16" s="68"/>
      <c r="AG16" s="1818"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H16" s="918"/>
      <c r="AI16" s="2252" t="s">
        <v>15</v>
      </c>
      <c r="AJ16" s="2237"/>
      <c r="AK16" s="2237"/>
      <c r="AL16" s="2237"/>
      <c r="AM16" s="2237"/>
      <c r="AN16" s="2240"/>
      <c r="AO16" s="2241"/>
      <c r="AP16" s="2239"/>
      <c r="AQ16" s="2242"/>
      <c r="AR16" s="2250"/>
      <c r="AS16" s="2244"/>
      <c r="AT16" s="2244"/>
      <c r="AU16" s="2245"/>
      <c r="AV16" s="2246"/>
      <c r="AW16" s="2247"/>
      <c r="AX16" s="2248"/>
      <c r="AY16" s="2249"/>
      <c r="AZ16" s="2249"/>
      <c r="BA16" s="2238"/>
      <c r="BB16" s="2264"/>
      <c r="BC16" s="918"/>
      <c r="BD16" s="2252" t="s">
        <v>15</v>
      </c>
      <c r="BE16" s="2237"/>
      <c r="BF16" s="2237"/>
      <c r="BG16" s="2237"/>
      <c r="BH16" s="2237"/>
      <c r="BI16" s="2240"/>
      <c r="BJ16" s="2241"/>
      <c r="BK16" s="2239"/>
      <c r="BL16" s="2242"/>
      <c r="BM16" s="2250"/>
      <c r="BN16" s="2244"/>
      <c r="BO16" s="2244"/>
      <c r="BP16" s="2245"/>
      <c r="BQ16" s="2246"/>
      <c r="BR16" s="2247"/>
      <c r="BS16" s="2248"/>
      <c r="BT16" s="2249"/>
      <c r="BU16" s="2249"/>
      <c r="BV16" s="2238"/>
      <c r="BW16" s="2264"/>
      <c r="BY16" s="3">
        <v>1</v>
      </c>
    </row>
    <row r="17" spans="2:79" ht="21" customHeight="1">
      <c r="B17" s="2265" t="str" cm="1">
        <f t="array" ref="B17">SUMPRODUCT(--(D17:J17&lt;&gt;""), LEN(TRIM(SUBSTITUTE(D17:J17, CHAR(160), "")))) &amp; " Car."</f>
        <v>0 Car.</v>
      </c>
      <c r="C17" s="1376" t="str">
        <f>IF(ISBLANK(D17),"",LARGE(C13:C16,1)+1)</f>
        <v/>
      </c>
      <c r="D17" s="1833"/>
      <c r="E17" s="1810"/>
      <c r="F17" s="1810"/>
      <c r="G17" s="1810"/>
      <c r="H17" s="1810"/>
      <c r="I17" s="1810"/>
      <c r="J17" s="1810"/>
      <c r="K17" s="1810"/>
      <c r="L17" s="1811"/>
      <c r="M17" s="9"/>
      <c r="N17" s="25" t="s">
        <v>10</v>
      </c>
      <c r="O17" s="70" t="str">
        <f>O16</f>
        <v>J JUS DE FRAISES DES BOIS | pâtisserie--ENTREMET| Auteur &gt; recette Béghin Say de Jean-Jacques Borne MOF 1994</v>
      </c>
      <c r="P17" s="70">
        <f>P16</f>
        <v>18</v>
      </c>
      <c r="Q17" s="70" t="str">
        <f>Q16</f>
        <v>desserts</v>
      </c>
      <c r="R17" s="71" t="str">
        <f>R16</f>
        <v>Recette mère ► MILLE-FEUILLE  aux fraises des bois</v>
      </c>
      <c r="S17" s="12" t="s">
        <v>65</v>
      </c>
      <c r="T17" s="12" t="s">
        <v>66</v>
      </c>
      <c r="U17" s="12" t="s">
        <v>67</v>
      </c>
      <c r="V17" s="12" t="s">
        <v>68</v>
      </c>
      <c r="W17" s="72" t="s">
        <v>69</v>
      </c>
      <c r="X17" s="73" t="s">
        <v>70</v>
      </c>
      <c r="Y17" s="12" t="s">
        <v>71</v>
      </c>
      <c r="Z17" s="12" t="s">
        <v>72</v>
      </c>
      <c r="AA17" s="12" t="s">
        <v>73</v>
      </c>
      <c r="AB17" s="12" t="s">
        <v>74</v>
      </c>
      <c r="AC17" s="12" t="s">
        <v>75</v>
      </c>
      <c r="AD17" s="12" t="s">
        <v>76</v>
      </c>
      <c r="AE17" s="12" t="s">
        <v>77</v>
      </c>
      <c r="AF17" s="12" t="s">
        <v>8143</v>
      </c>
      <c r="AG17" s="74" t="s">
        <v>8407</v>
      </c>
      <c r="AH17" s="918"/>
      <c r="AI17" s="2252" t="s">
        <v>15</v>
      </c>
      <c r="AJ17" s="2237"/>
      <c r="AK17" s="2237"/>
      <c r="AL17" s="2237"/>
      <c r="AM17" s="2237"/>
      <c r="AN17" s="2240"/>
      <c r="AO17" s="2241"/>
      <c r="AP17" s="2239"/>
      <c r="AQ17" s="2242"/>
      <c r="AR17" s="2250"/>
      <c r="AS17" s="2244"/>
      <c r="AT17" s="2244"/>
      <c r="AU17" s="2245"/>
      <c r="AV17" s="2246"/>
      <c r="AW17" s="2247"/>
      <c r="AX17" s="2248"/>
      <c r="AY17" s="2249"/>
      <c r="AZ17" s="2249"/>
      <c r="BA17" s="2238"/>
      <c r="BB17" s="2264"/>
      <c r="BC17" s="918"/>
      <c r="BD17" s="2252" t="s">
        <v>15</v>
      </c>
      <c r="BE17" s="2237"/>
      <c r="BF17" s="2237"/>
      <c r="BG17" s="2237"/>
      <c r="BH17" s="2237"/>
      <c r="BI17" s="2240"/>
      <c r="BJ17" s="2241"/>
      <c r="BK17" s="2239"/>
      <c r="BL17" s="2242"/>
      <c r="BM17" s="2250"/>
      <c r="BN17" s="2244"/>
      <c r="BO17" s="2244"/>
      <c r="BP17" s="2245"/>
      <c r="BQ17" s="2246"/>
      <c r="BR17" s="2247"/>
      <c r="BS17" s="2248"/>
      <c r="BT17" s="2249"/>
      <c r="BU17" s="2249"/>
      <c r="BV17" s="2238"/>
      <c r="BW17" s="2264"/>
      <c r="BY17" s="3">
        <v>1</v>
      </c>
      <c r="CA17" s="198" t="s">
        <v>14242</v>
      </c>
    </row>
    <row r="18" spans="2:79" ht="21" customHeight="1">
      <c r="B18" s="2265" t="str" cm="1">
        <f t="array" ref="B18">SUMPRODUCT(--(D18:J18&lt;&gt;""), LEN(TRIM(SUBSTITUTE(D18:J18, CHAR(160), "")))) &amp; " Car."</f>
        <v>0 Car.</v>
      </c>
      <c r="C18" s="1376" t="str">
        <f>IF(ISBLANK(D18),"",LARGE(C13:C17,1)+1)</f>
        <v/>
      </c>
      <c r="D18" s="1833"/>
      <c r="E18" s="1810"/>
      <c r="F18" s="1810"/>
      <c r="G18" s="1810"/>
      <c r="H18" s="1810"/>
      <c r="I18" s="1810"/>
      <c r="J18" s="1810"/>
      <c r="K18" s="1810"/>
      <c r="L18" s="1811"/>
      <c r="M18" s="9"/>
      <c r="N18" s="25" t="s">
        <v>10</v>
      </c>
      <c r="O18" s="31" t="str">
        <f>O16</f>
        <v>J JUS DE FRAISES DES BOIS | pâtisserie--ENTREMET| Auteur &gt; recette Béghin Say de Jean-Jacques Borne MOF 1994</v>
      </c>
      <c r="P18" s="32">
        <f>P16</f>
        <v>18</v>
      </c>
      <c r="Q18" s="31" t="str">
        <f>Q16</f>
        <v>desserts</v>
      </c>
      <c r="R18" s="33" t="str">
        <f>R16</f>
        <v>Recette mère ► MILLE-FEUILLE  aux fraises des bois</v>
      </c>
      <c r="S18" s="76" t="s">
        <v>78</v>
      </c>
      <c r="T18" s="77" t="s">
        <v>79</v>
      </c>
      <c r="U18" s="78"/>
      <c r="V18" s="6612" t="s">
        <v>80</v>
      </c>
      <c r="W18" s="6730" t="s">
        <v>81</v>
      </c>
      <c r="X18" s="6732" t="s">
        <v>82</v>
      </c>
      <c r="Y18" s="6738" t="s">
        <v>8575</v>
      </c>
      <c r="Z18" s="79" t="s">
        <v>83</v>
      </c>
      <c r="AA18" s="80" t="s">
        <v>49</v>
      </c>
      <c r="AB18" s="81" t="s">
        <v>84</v>
      </c>
      <c r="AC18" s="6607" t="s">
        <v>85</v>
      </c>
      <c r="AD18" s="6582" t="s">
        <v>84</v>
      </c>
      <c r="AE18" s="6727" t="s">
        <v>8405</v>
      </c>
      <c r="AF18" s="6584" t="s">
        <v>86</v>
      </c>
      <c r="AG18" s="6728" t="s">
        <v>87</v>
      </c>
      <c r="AH18" s="918"/>
      <c r="AI18" s="2252" t="s">
        <v>15</v>
      </c>
      <c r="AJ18" s="2237"/>
      <c r="AK18" s="2237"/>
      <c r="AL18" s="2237"/>
      <c r="AM18" s="2237"/>
      <c r="AN18" s="2240"/>
      <c r="AO18" s="2241"/>
      <c r="AP18" s="2239"/>
      <c r="AQ18" s="2242"/>
      <c r="AR18" s="2250"/>
      <c r="AS18" s="2244"/>
      <c r="AT18" s="2244"/>
      <c r="AU18" s="2245"/>
      <c r="AV18" s="2246"/>
      <c r="AW18" s="2247"/>
      <c r="AX18" s="2248"/>
      <c r="AY18" s="2249"/>
      <c r="AZ18" s="2249"/>
      <c r="BA18" s="2238"/>
      <c r="BB18" s="2264"/>
      <c r="BC18" s="918"/>
      <c r="BD18" s="2252" t="s">
        <v>15</v>
      </c>
      <c r="BE18" s="2237"/>
      <c r="BF18" s="2237"/>
      <c r="BG18" s="2237"/>
      <c r="BH18" s="2237"/>
      <c r="BI18" s="2240"/>
      <c r="BJ18" s="2241"/>
      <c r="BK18" s="2239"/>
      <c r="BL18" s="2242"/>
      <c r="BM18" s="2250"/>
      <c r="BN18" s="2244"/>
      <c r="BO18" s="2244"/>
      <c r="BP18" s="2245"/>
      <c r="BQ18" s="2246"/>
      <c r="BR18" s="2247"/>
      <c r="BS18" s="2248"/>
      <c r="BT18" s="2249"/>
      <c r="BU18" s="2249"/>
      <c r="BV18" s="2238"/>
      <c r="BW18" s="2264"/>
      <c r="BY18" s="3">
        <v>1</v>
      </c>
      <c r="CA18" s="198" t="s">
        <v>14230</v>
      </c>
    </row>
    <row r="19" spans="2:79" ht="21" customHeight="1">
      <c r="B19" s="2265" t="str" cm="1">
        <f t="array" ref="B19">SUMPRODUCT(--(D19:J19&lt;&gt;""), LEN(TRIM(SUBSTITUTE(D19:J19, CHAR(160), "")))) &amp; " Car."</f>
        <v>0 Car.</v>
      </c>
      <c r="C19" s="1376" t="str">
        <f>IF(ISBLANK(D19),"",LARGE(C13:C18,1)+1)</f>
        <v/>
      </c>
      <c r="D19" s="1833"/>
      <c r="E19" s="1810"/>
      <c r="F19" s="1810"/>
      <c r="G19" s="1810"/>
      <c r="H19" s="1810"/>
      <c r="I19" s="1810"/>
      <c r="J19" s="1810"/>
      <c r="K19" s="1810"/>
      <c r="L19" s="1811"/>
      <c r="M19" s="9"/>
      <c r="N19" s="25" t="s">
        <v>10</v>
      </c>
      <c r="O19" s="31" t="str">
        <f>O16</f>
        <v>J JUS DE FRAISES DES BOIS | pâtisserie--ENTREMET| Auteur &gt; recette Béghin Say de Jean-Jacques Borne MOF 1994</v>
      </c>
      <c r="P19" s="32">
        <f>P16</f>
        <v>18</v>
      </c>
      <c r="Q19" s="31" t="str">
        <f>Q16</f>
        <v>desserts</v>
      </c>
      <c r="R19" s="33" t="str">
        <f>R16</f>
        <v>Recette mère ► MILLE-FEUILLE  aux fraises des bois</v>
      </c>
      <c r="S19" s="83" t="s">
        <v>92</v>
      </c>
      <c r="T19" s="84" t="s">
        <v>93</v>
      </c>
      <c r="U19" s="85" t="s">
        <v>94</v>
      </c>
      <c r="V19" s="6577"/>
      <c r="W19" s="6471"/>
      <c r="X19" s="6606"/>
      <c r="Y19" s="6739"/>
      <c r="Z19" s="86" t="s">
        <v>95</v>
      </c>
      <c r="AA19" s="87" t="s">
        <v>96</v>
      </c>
      <c r="AB19" s="88">
        <v>1</v>
      </c>
      <c r="AC19" s="6608"/>
      <c r="AD19" s="6583"/>
      <c r="AE19" s="6583"/>
      <c r="AF19" s="6585"/>
      <c r="AG19" s="6786"/>
      <c r="AH19" s="918"/>
      <c r="AI19" s="2252" t="s">
        <v>15</v>
      </c>
      <c r="AJ19" s="2237"/>
      <c r="AK19" s="2237"/>
      <c r="AL19" s="2237"/>
      <c r="AM19" s="2237"/>
      <c r="AN19" s="2240"/>
      <c r="AO19" s="2241"/>
      <c r="AP19" s="2239"/>
      <c r="AQ19" s="2242"/>
      <c r="AR19" s="2250"/>
      <c r="AS19" s="2244"/>
      <c r="AT19" s="2244"/>
      <c r="AU19" s="2245"/>
      <c r="AV19" s="2246"/>
      <c r="AW19" s="2247"/>
      <c r="AX19" s="2248"/>
      <c r="AY19" s="2249"/>
      <c r="AZ19" s="2249"/>
      <c r="BA19" s="2238"/>
      <c r="BB19" s="2264"/>
      <c r="BC19" s="918"/>
      <c r="BD19" s="2252" t="s">
        <v>15</v>
      </c>
      <c r="BE19" s="2237"/>
      <c r="BF19" s="2237"/>
      <c r="BG19" s="2237"/>
      <c r="BH19" s="2237"/>
      <c r="BI19" s="2240"/>
      <c r="BJ19" s="2241"/>
      <c r="BK19" s="2239"/>
      <c r="BL19" s="2242"/>
      <c r="BM19" s="2250"/>
      <c r="BN19" s="2244"/>
      <c r="BO19" s="2244"/>
      <c r="BP19" s="2245"/>
      <c r="BQ19" s="2246"/>
      <c r="BR19" s="2247"/>
      <c r="BS19" s="2248"/>
      <c r="BT19" s="2249"/>
      <c r="BU19" s="2249"/>
      <c r="BV19" s="2238"/>
      <c r="BW19" s="2264"/>
      <c r="BY19" s="3">
        <v>1</v>
      </c>
      <c r="CA19" s="198"/>
    </row>
    <row r="20" spans="2:79" ht="21" customHeight="1">
      <c r="B20" s="2265" t="str" cm="1">
        <f t="array" ref="B20">SUMPRODUCT(--(D20:J20&lt;&gt;""), LEN(TRIM(SUBSTITUTE(D20:J20, CHAR(160), "")))) &amp; " Car."</f>
        <v>0 Car.</v>
      </c>
      <c r="C20" s="1376" t="str">
        <f>IF(ISBLANK(D20),"",LARGE(C13:C19,1)+1)</f>
        <v/>
      </c>
      <c r="D20" s="1833"/>
      <c r="E20" s="1810"/>
      <c r="F20" s="1810"/>
      <c r="G20" s="1810"/>
      <c r="H20" s="1810"/>
      <c r="I20" s="1810"/>
      <c r="J20" s="1810"/>
      <c r="K20" s="1810"/>
      <c r="L20" s="1811"/>
      <c r="M20" s="9"/>
      <c r="N20" s="25" t="s">
        <v>10</v>
      </c>
      <c r="O20" s="31" t="str">
        <f>O16</f>
        <v>J JUS DE FRAISES DES BOIS | pâtisserie--ENTREMET| Auteur &gt; recette Béghin Say de Jean-Jacques Borne MOF 1994</v>
      </c>
      <c r="P20" s="32">
        <f>P16</f>
        <v>18</v>
      </c>
      <c r="Q20" s="31" t="str">
        <f>Q16</f>
        <v>desserts</v>
      </c>
      <c r="R20" s="33" t="str">
        <f>R16</f>
        <v>Recette mère ► MILLE-FEUILLE  aux fraises des bois</v>
      </c>
      <c r="S20" s="89"/>
      <c r="T20" s="90"/>
      <c r="U20" s="91" t="str">
        <f t="shared" ref="U20:U25" si="4">IF(OR(ISTEXT(S20), S20&lt;=0, V20&lt;=0), "", "de")</f>
        <v/>
      </c>
      <c r="V20" s="92">
        <v>250</v>
      </c>
      <c r="W20" s="104" t="s">
        <v>100</v>
      </c>
      <c r="X20" s="130">
        <v>1</v>
      </c>
      <c r="Y20" s="1812" t="str">
        <f>ROWS(Y20:Y20)&amp;" ►"</f>
        <v>1 ►</v>
      </c>
      <c r="Z20" s="1580" t="s">
        <v>3076</v>
      </c>
      <c r="AA20" s="95">
        <f>IF(AC26=0,0,(AC20/AC26)*AB19*1000)</f>
        <v>714.28571428571433</v>
      </c>
      <c r="AB20" s="96">
        <f>IF(AC26=0, 0, (S20*X20)/(AC26*AB19))</f>
        <v>0</v>
      </c>
      <c r="AC20" s="97" cm="1">
        <f t="array" ref="AC20">IFERROR(_xlfn.XLOOKUP(UPPER(TRIM(W20)),UPPER(TRIM(S27:AG27)),S28:AG28,_xlfn.XLOOKUP(UPPER(TRIM(W20)),UPPER(TRIM(S29:AG29)),S30:AG30,0))*V20*IF(S20&gt;0,S20,1),0)</f>
        <v>0.25</v>
      </c>
      <c r="AD20" s="98">
        <f>IF(AF15&lt;&gt;0,S20*X20*X15,0)</f>
        <v>0</v>
      </c>
      <c r="AE20" s="1834">
        <f>T20</f>
        <v>0</v>
      </c>
      <c r="AF20" s="99">
        <f>IF(OR(ISBLANK(AF15),AF15=0),0,AC20*X20*X15)</f>
        <v>0.5</v>
      </c>
      <c r="AG20" s="1366" t="str">
        <f>IF(W20="","",IF(COUNTIF(Z27:AG27,SUBSTITUTE(TRIM(W20)," (s)",""))+COUNTIF(Z29:AG29,SUBSTITUTE(TRIM(W20)," (s)",""))&gt;0,IF(ROUND(AF20,3)&gt;=1,ROUND(AF20,3)&amp;" L",MAX(1,ROUND(AF20*100,0))&amp;" cl"),IF(COUNTIF(S27:X27,SUBSTITUTE(TRIM(W20)," (s)",""))+COUNTIF(S29:X29,SUBSTITUTE(TRIM(W20)," (s)",""))&gt;0,IF(ROUND(AF20,3)&gt;=1,ROUND(AF20,3)&amp;" Kg",MAX(1,ROUND(AF20*1000,0))&amp;" g"),"")))</f>
        <v>500 g</v>
      </c>
      <c r="AH20" s="918"/>
      <c r="AI20" s="2252" t="s">
        <v>15</v>
      </c>
      <c r="AJ20" s="2237"/>
      <c r="AK20" s="2237"/>
      <c r="AL20" s="2237"/>
      <c r="AM20" s="2237"/>
      <c r="AN20" s="2240"/>
      <c r="AO20" s="2241"/>
      <c r="AP20" s="2239"/>
      <c r="AQ20" s="2242"/>
      <c r="AR20" s="2250"/>
      <c r="AS20" s="2244"/>
      <c r="AT20" s="2244"/>
      <c r="AU20" s="2245"/>
      <c r="AV20" s="2246"/>
      <c r="AW20" s="2247"/>
      <c r="AX20" s="2248"/>
      <c r="AY20" s="2249"/>
      <c r="AZ20" s="2249"/>
      <c r="BA20" s="2238"/>
      <c r="BB20" s="2264"/>
      <c r="BC20" s="918"/>
      <c r="BD20" s="2252" t="s">
        <v>15</v>
      </c>
      <c r="BE20" s="2237"/>
      <c r="BF20" s="2237"/>
      <c r="BG20" s="2237"/>
      <c r="BH20" s="2237"/>
      <c r="BI20" s="2240"/>
      <c r="BJ20" s="2241"/>
      <c r="BK20" s="2239"/>
      <c r="BL20" s="2242"/>
      <c r="BM20" s="2250"/>
      <c r="BN20" s="2244"/>
      <c r="BO20" s="2244"/>
      <c r="BP20" s="2245"/>
      <c r="BQ20" s="2246"/>
      <c r="BR20" s="2247"/>
      <c r="BS20" s="2248"/>
      <c r="BT20" s="2249"/>
      <c r="BU20" s="2249"/>
      <c r="BV20" s="2238"/>
      <c r="BW20" s="2264"/>
      <c r="BY20" s="3">
        <v>1</v>
      </c>
      <c r="CA20" s="198" t="s">
        <v>14233</v>
      </c>
    </row>
    <row r="21" spans="2:79" ht="21" customHeight="1">
      <c r="B21" s="2265" t="str" cm="1">
        <f t="array" ref="B21">SUMPRODUCT(--(D21:J21&lt;&gt;""), LEN(TRIM(SUBSTITUTE(D21:J21, CHAR(160), "")))) &amp; " Car."</f>
        <v>0 Car.</v>
      </c>
      <c r="C21" s="1376" t="str">
        <f>IF(ISBLANK(D21),"",LARGE(C13:C20,1)+1)</f>
        <v/>
      </c>
      <c r="D21" s="1833"/>
      <c r="E21" s="1810"/>
      <c r="F21" s="1810"/>
      <c r="G21" s="1810"/>
      <c r="H21" s="1810"/>
      <c r="I21" s="1810"/>
      <c r="J21" s="1810"/>
      <c r="K21" s="1810"/>
      <c r="L21" s="1811"/>
      <c r="M21" s="9"/>
      <c r="N21" s="103" t="str">
        <f>IF(Z21&lt;&gt;"","A","►")</f>
        <v>A</v>
      </c>
      <c r="O21" s="31" t="str">
        <f>O16</f>
        <v>J JUS DE FRAISES DES BOIS | pâtisserie--ENTREMET| Auteur &gt; recette Béghin Say de Jean-Jacques Borne MOF 1994</v>
      </c>
      <c r="P21" s="32">
        <f>P16</f>
        <v>18</v>
      </c>
      <c r="Q21" s="31" t="str">
        <f>Q16</f>
        <v>desserts</v>
      </c>
      <c r="R21" s="33" t="str">
        <f>R16</f>
        <v>Recette mère ► MILLE-FEUILLE  aux fraises des bois</v>
      </c>
      <c r="S21" s="89"/>
      <c r="T21" s="108"/>
      <c r="U21" s="91" t="str">
        <f t="shared" si="4"/>
        <v/>
      </c>
      <c r="V21" s="92">
        <v>50</v>
      </c>
      <c r="W21" s="104" t="s">
        <v>100</v>
      </c>
      <c r="X21" s="130">
        <v>1</v>
      </c>
      <c r="Y21" s="1813" t="str">
        <f>ROWS(Y20:Y21)&amp;" ►"</f>
        <v>2 ►</v>
      </c>
      <c r="Z21" s="1580" t="s">
        <v>3077</v>
      </c>
      <c r="AA21" s="95">
        <f>IF(AC26=0,0,(AC21/AC26)*AB19*1000)</f>
        <v>142.85714285714289</v>
      </c>
      <c r="AB21" s="105">
        <f>IF(AC26=0, 0, (S21*X21)/(AC26*AB19))</f>
        <v>0</v>
      </c>
      <c r="AC21" s="97" cm="1">
        <f t="array" ref="AC21">IFERROR(_xlfn.XLOOKUP(UPPER(TRIM(W21)),UPPER(TRIM(S27:AG27)),S28:AG28,_xlfn.XLOOKUP(UPPER(TRIM(W21)),UPPER(TRIM(S29:AG29)),S30:AG30,0))*V21*IF(S21&gt;0,S21,1),0)</f>
        <v>0.05</v>
      </c>
      <c r="AD21" s="110">
        <f>IF(AF15&lt;&gt;0,S21*X21*X15,0)</f>
        <v>0</v>
      </c>
      <c r="AE21" s="1748">
        <f t="shared" ref="AE21:AE25" si="5">T21</f>
        <v>0</v>
      </c>
      <c r="AF21" s="99">
        <f>IF(OR(ISBLANK(AF15),AF15=0),0,AC21*X21*X15)</f>
        <v>0.1</v>
      </c>
      <c r="AG21" s="1368" t="str">
        <f>IF(W21="","",IF(COUNTIF(Z27:AG27,SUBSTITUTE(TRIM(W21)," (s)",""))+COUNTIF(Z29:AG29,SUBSTITUTE(TRIM(W21)," (s)",""))&gt;0,IF(ROUND(AF21,3)&gt;=1,ROUND(AF21,3)&amp;" L",MAX(1,ROUND(AF21*100,0))&amp;" cl"),IF(COUNTIF(S27:X27,SUBSTITUTE(TRIM(W21)," (s)",""))+COUNTIF(S29:X29,SUBSTITUTE(TRIM(W21)," (s)",""))&gt;0,IF(ROUND(AF21,3)&gt;=1,ROUND(AF21,3)&amp;" Kg",MAX(1,ROUND(AF21*1000,0))&amp;" g"),"")))</f>
        <v>100 g</v>
      </c>
      <c r="AH21" s="918"/>
      <c r="AI21" s="2252" t="s">
        <v>15</v>
      </c>
      <c r="AJ21" s="2237"/>
      <c r="AK21" s="2237"/>
      <c r="AL21" s="2237"/>
      <c r="AM21" s="2237"/>
      <c r="AN21" s="2240"/>
      <c r="AO21" s="2241"/>
      <c r="AP21" s="2239"/>
      <c r="AQ21" s="2242"/>
      <c r="AR21" s="2250"/>
      <c r="AS21" s="2244"/>
      <c r="AT21" s="2244"/>
      <c r="AU21" s="2245"/>
      <c r="AV21" s="2246"/>
      <c r="AW21" s="2247"/>
      <c r="AX21" s="2248"/>
      <c r="AY21" s="2249"/>
      <c r="AZ21" s="2249"/>
      <c r="BA21" s="2238"/>
      <c r="BB21" s="2264"/>
      <c r="BC21" s="918"/>
      <c r="BD21" s="2252" t="s">
        <v>15</v>
      </c>
      <c r="BE21" s="2237"/>
      <c r="BF21" s="2237"/>
      <c r="BG21" s="2237"/>
      <c r="BH21" s="2237"/>
      <c r="BI21" s="2240"/>
      <c r="BJ21" s="2241"/>
      <c r="BK21" s="2239"/>
      <c r="BL21" s="2242"/>
      <c r="BM21" s="2250"/>
      <c r="BN21" s="2244"/>
      <c r="BO21" s="2244"/>
      <c r="BP21" s="2245"/>
      <c r="BQ21" s="2246"/>
      <c r="BR21" s="2247"/>
      <c r="BS21" s="2248"/>
      <c r="BT21" s="2249"/>
      <c r="BU21" s="2249"/>
      <c r="BV21" s="2238"/>
      <c r="BW21" s="2264"/>
      <c r="BY21" s="3">
        <v>1</v>
      </c>
      <c r="CA21" s="198" t="s">
        <v>14236</v>
      </c>
    </row>
    <row r="22" spans="2:79" ht="21" customHeight="1">
      <c r="B22" s="2265" t="str" cm="1">
        <f t="array" ref="B22">SUMPRODUCT(--(D22:J22&lt;&gt;""), LEN(TRIM(SUBSTITUTE(D22:J22, CHAR(160), "")))) &amp; " Car."</f>
        <v>0 Car.</v>
      </c>
      <c r="C22" s="1376" t="str">
        <f>IF(ISBLANK(D22),"",LARGE(C13:C21,1)+1)</f>
        <v/>
      </c>
      <c r="D22" s="1833"/>
      <c r="E22" s="1810"/>
      <c r="F22" s="1810"/>
      <c r="G22" s="1810"/>
      <c r="H22" s="1810"/>
      <c r="I22" s="1810"/>
      <c r="J22" s="1810"/>
      <c r="K22" s="1810"/>
      <c r="L22" s="1811"/>
      <c r="M22" s="9"/>
      <c r="N22" s="103" t="str">
        <f t="shared" ref="N22:N24" si="6">IF(Z22&lt;&gt;"","A","►")</f>
        <v>A</v>
      </c>
      <c r="O22" s="31" t="str">
        <f>O16</f>
        <v>J JUS DE FRAISES DES BOIS | pâtisserie--ENTREMET| Auteur &gt; recette Béghin Say de Jean-Jacques Borne MOF 1994</v>
      </c>
      <c r="P22" s="32">
        <f>P16</f>
        <v>18</v>
      </c>
      <c r="Q22" s="31" t="str">
        <f>Q16</f>
        <v>desserts</v>
      </c>
      <c r="R22" s="33" t="str">
        <f>R16</f>
        <v>Recette mère ► MILLE-FEUILLE  aux fraises des bois</v>
      </c>
      <c r="S22" s="89"/>
      <c r="T22" s="108"/>
      <c r="U22" s="91" t="str">
        <f t="shared" si="4"/>
        <v/>
      </c>
      <c r="V22" s="92">
        <v>50</v>
      </c>
      <c r="W22" s="104" t="s">
        <v>100</v>
      </c>
      <c r="X22" s="130">
        <v>1</v>
      </c>
      <c r="Y22" s="1813" t="str">
        <f>ROWS(Y20:Y22)&amp;" ►"</f>
        <v>3 ►</v>
      </c>
      <c r="Z22" s="1580" t="s">
        <v>3073</v>
      </c>
      <c r="AA22" s="95">
        <f>IF(AC26=0,0,(AC22/AC26)*AB19*1000)</f>
        <v>142.85714285714289</v>
      </c>
      <c r="AB22" s="105">
        <f>IF(AC26=0, 0, (S22*X22)/(AC26*AB19))</f>
        <v>0</v>
      </c>
      <c r="AC22" s="97" cm="1">
        <f t="array" ref="AC22">IFERROR(_xlfn.XLOOKUP(UPPER(TRIM(W22)),UPPER(TRIM(S27:AG27)),S28:AG28,_xlfn.XLOOKUP(UPPER(TRIM(W22)),UPPER(TRIM(S29:AG29)),S30:AG30,0))*V22*IF(S22&gt;0,S22,1),0)</f>
        <v>0.05</v>
      </c>
      <c r="AD22" s="106">
        <f>IF(AF15&lt;&gt;0,S22*X22*X15,0)</f>
        <v>0</v>
      </c>
      <c r="AE22" s="1747">
        <f t="shared" si="5"/>
        <v>0</v>
      </c>
      <c r="AF22" s="99">
        <f>IF(OR(ISBLANK(AF15),AF15=0),0,AC22*X22*X15)</f>
        <v>0.1</v>
      </c>
      <c r="AG22" s="1367" t="str">
        <f>IF(W22="","",IF(COUNTIF(Z27:AG27,SUBSTITUTE(TRIM(W22)," (s)",""))+COUNTIF(Z29:AG29,SUBSTITUTE(TRIM(W22)," (s)",""))&gt;0,IF(ROUND(AF22,3)&gt;=1,ROUND(AF22,3)&amp;" L",MAX(1,ROUND(AF22*100,0))&amp;" cl"),IF(COUNTIF(S27:X27,SUBSTITUTE(TRIM(W22)," (s)",""))+COUNTIF(S29:X29,SUBSTITUTE(TRIM(W22)," (s)",""))&gt;0,IF(ROUND(AF22,3)&gt;=1,ROUND(AF22,3)&amp;" Kg",MAX(1,ROUND(AF22*1000,0))&amp;" g"),"")))</f>
        <v>100 g</v>
      </c>
      <c r="AH22" s="918"/>
      <c r="AI22" s="2252" t="s">
        <v>15</v>
      </c>
      <c r="AJ22" s="2237"/>
      <c r="AK22" s="2237"/>
      <c r="AL22" s="2237"/>
      <c r="AM22" s="2237"/>
      <c r="AN22" s="2240"/>
      <c r="AO22" s="2241"/>
      <c r="AP22" s="2239"/>
      <c r="AQ22" s="2242"/>
      <c r="AR22" s="2250"/>
      <c r="AS22" s="2244"/>
      <c r="AT22" s="2244"/>
      <c r="AU22" s="2245"/>
      <c r="AV22" s="2246"/>
      <c r="AW22" s="2247"/>
      <c r="AX22" s="2248"/>
      <c r="AY22" s="2249"/>
      <c r="AZ22" s="2249"/>
      <c r="BA22" s="2238"/>
      <c r="BB22" s="2264"/>
      <c r="BC22" s="918"/>
      <c r="BD22" s="2252" t="s">
        <v>15</v>
      </c>
      <c r="BE22" s="2237"/>
      <c r="BF22" s="2237"/>
      <c r="BG22" s="2237"/>
      <c r="BH22" s="2237"/>
      <c r="BI22" s="2240"/>
      <c r="BJ22" s="2241"/>
      <c r="BK22" s="2239"/>
      <c r="BL22" s="2242"/>
      <c r="BM22" s="2250"/>
      <c r="BN22" s="2244"/>
      <c r="BO22" s="2244"/>
      <c r="BP22" s="2245"/>
      <c r="BQ22" s="2246"/>
      <c r="BR22" s="2247"/>
      <c r="BS22" s="2248"/>
      <c r="BT22" s="2249"/>
      <c r="BU22" s="2249"/>
      <c r="BV22" s="2238"/>
      <c r="BW22" s="2264"/>
      <c r="BY22" s="3">
        <v>1</v>
      </c>
    </row>
    <row r="23" spans="2:79" ht="21" customHeight="1">
      <c r="B23" s="2265" t="str" cm="1">
        <f t="array" ref="B23">SUMPRODUCT(--(D23:J23&lt;&gt;""), LEN(TRIM(SUBSTITUTE(D23:J23, CHAR(160), "")))) &amp; " Car."</f>
        <v>0 Car.</v>
      </c>
      <c r="C23" s="1376" t="str">
        <f>IF(ISBLANK(D23),"",LARGE(C13:C22,1)+1)</f>
        <v/>
      </c>
      <c r="D23" s="1833"/>
      <c r="E23" s="1810"/>
      <c r="F23" s="1810"/>
      <c r="G23" s="1810"/>
      <c r="H23" s="1810"/>
      <c r="I23" s="1810"/>
      <c r="J23" s="1810"/>
      <c r="K23" s="1810"/>
      <c r="L23" s="1811"/>
      <c r="M23" s="9"/>
      <c r="N23" s="103" t="str">
        <f t="shared" si="6"/>
        <v>►</v>
      </c>
      <c r="O23" s="31" t="str">
        <f>O16</f>
        <v>J JUS DE FRAISES DES BOIS | pâtisserie--ENTREMET| Auteur &gt; recette Béghin Say de Jean-Jacques Borne MOF 1994</v>
      </c>
      <c r="P23" s="32">
        <f>P16</f>
        <v>18</v>
      </c>
      <c r="Q23" s="31" t="str">
        <f>Q16</f>
        <v>desserts</v>
      </c>
      <c r="R23" s="33" t="str">
        <f>R16</f>
        <v>Recette mère ► MILLE-FEUILLE  aux fraises des bois</v>
      </c>
      <c r="S23" s="89"/>
      <c r="T23" s="108"/>
      <c r="U23" s="91" t="str">
        <f t="shared" si="4"/>
        <v/>
      </c>
      <c r="V23" s="92"/>
      <c r="W23" s="128"/>
      <c r="X23" s="130">
        <v>1</v>
      </c>
      <c r="Y23" s="1813" t="str">
        <f>ROWS(Y20:Y23)&amp;" ►"</f>
        <v>4 ►</v>
      </c>
      <c r="Z23" s="1580"/>
      <c r="AA23" s="95">
        <f>IF(AC26=0,0,(AC23/AC26)*AB19*1000)</f>
        <v>0</v>
      </c>
      <c r="AB23" s="105">
        <f>IF(AC26=0, 0, (S23*X23)/(AC26*AB19))</f>
        <v>0</v>
      </c>
      <c r="AC23" s="97" cm="1">
        <f t="array" ref="AC23">IFERROR(_xlfn.XLOOKUP(UPPER(TRIM(W23)),UPPER(TRIM(S27:AG27)),S28:AG28,_xlfn.XLOOKUP(UPPER(TRIM(W23)),UPPER(TRIM(S29:AG29)),S30:AG30,0))*V23*IF(S23&gt;0,S23,1),0)</f>
        <v>0</v>
      </c>
      <c r="AD23" s="110">
        <f>IF(AF15&lt;&gt;0,S23*X23*X15,0)</f>
        <v>0</v>
      </c>
      <c r="AE23" s="1748">
        <f t="shared" si="5"/>
        <v>0</v>
      </c>
      <c r="AF23" s="99">
        <f>IF(OR(ISBLANK(AF15),AF15=0),0,AC23*X23*X15)</f>
        <v>0</v>
      </c>
      <c r="AG23" s="1368" t="str">
        <f>IF(W23="","",IF(COUNTIF(Z27:AG27,SUBSTITUTE(TRIM(W23)," (s)",""))+COUNTIF(Z29:AG29,SUBSTITUTE(TRIM(W23)," (s)",""))&gt;0,IF(ROUND(AF23,3)&gt;=1,ROUND(AF23,3)&amp;" L",MAX(1,ROUND(AF23*100,0))&amp;" cl"),IF(COUNTIF(S27:X27,SUBSTITUTE(TRIM(W23)," (s)",""))+COUNTIF(S29:X29,SUBSTITUTE(TRIM(W23)," (s)",""))&gt;0,IF(ROUND(AF23,3)&gt;=1,ROUND(AF23,3)&amp;" Kg",MAX(1,ROUND(AF23*1000,0))&amp;" g"),"")))</f>
        <v/>
      </c>
      <c r="AH23" s="918"/>
      <c r="AI23" s="2252" t="s">
        <v>15</v>
      </c>
      <c r="AJ23" s="2237"/>
      <c r="AK23" s="2237"/>
      <c r="AL23" s="2237"/>
      <c r="AM23" s="2237"/>
      <c r="AN23" s="2240"/>
      <c r="AO23" s="2241"/>
      <c r="AP23" s="2239"/>
      <c r="AQ23" s="2242"/>
      <c r="AR23" s="2250"/>
      <c r="AS23" s="2244"/>
      <c r="AT23" s="2244"/>
      <c r="AU23" s="2245"/>
      <c r="AV23" s="2246"/>
      <c r="AW23" s="2247"/>
      <c r="AX23" s="2248"/>
      <c r="AY23" s="2249"/>
      <c r="AZ23" s="2249"/>
      <c r="BA23" s="2238"/>
      <c r="BB23" s="2264"/>
      <c r="BC23" s="918"/>
      <c r="BD23" s="2252" t="s">
        <v>15</v>
      </c>
      <c r="BE23" s="2237"/>
      <c r="BF23" s="2237"/>
      <c r="BG23" s="2237"/>
      <c r="BH23" s="2237"/>
      <c r="BI23" s="2240"/>
      <c r="BJ23" s="2241"/>
      <c r="BK23" s="2239"/>
      <c r="BL23" s="2242"/>
      <c r="BM23" s="2250"/>
      <c r="BN23" s="2244"/>
      <c r="BO23" s="2244"/>
      <c r="BP23" s="2245"/>
      <c r="BQ23" s="2246"/>
      <c r="BR23" s="2247"/>
      <c r="BS23" s="2248"/>
      <c r="BT23" s="2249"/>
      <c r="BU23" s="2249"/>
      <c r="BV23" s="2238"/>
      <c r="BW23" s="2264"/>
      <c r="BY23" s="3">
        <v>1</v>
      </c>
    </row>
    <row r="24" spans="2:79" ht="21" customHeight="1">
      <c r="B24" s="2265" t="str" cm="1">
        <f t="array" ref="B24">SUMPRODUCT(--(D24:J24&lt;&gt;""), LEN(TRIM(SUBSTITUTE(D24:J24, CHAR(160), "")))) &amp; " Car."</f>
        <v>0 Car.</v>
      </c>
      <c r="C24" s="1376" t="str">
        <f>IF(ISBLANK(D24),"",LARGE(C13:C23,1)+1)</f>
        <v/>
      </c>
      <c r="D24" s="1833"/>
      <c r="E24" s="1810"/>
      <c r="F24" s="1810"/>
      <c r="G24" s="1810"/>
      <c r="H24" s="1810"/>
      <c r="I24" s="1810"/>
      <c r="J24" s="1810"/>
      <c r="K24" s="1810"/>
      <c r="L24" s="1811"/>
      <c r="M24" s="9"/>
      <c r="N24" s="103" t="str">
        <f t="shared" si="6"/>
        <v>►</v>
      </c>
      <c r="O24" s="31" t="str">
        <f>O16</f>
        <v>J JUS DE FRAISES DES BOIS | pâtisserie--ENTREMET| Auteur &gt; recette Béghin Say de Jean-Jacques Borne MOF 1994</v>
      </c>
      <c r="P24" s="32">
        <f>P16</f>
        <v>18</v>
      </c>
      <c r="Q24" s="31" t="str">
        <f>Q16</f>
        <v>desserts</v>
      </c>
      <c r="R24" s="33" t="str">
        <f>R16</f>
        <v>Recette mère ► MILLE-FEUILLE  aux fraises des bois</v>
      </c>
      <c r="S24" s="89"/>
      <c r="T24" s="108"/>
      <c r="U24" s="91" t="str">
        <f t="shared" si="4"/>
        <v/>
      </c>
      <c r="V24" s="92"/>
      <c r="W24" s="128"/>
      <c r="X24" s="130">
        <v>1</v>
      </c>
      <c r="Y24" s="1813" t="str">
        <f>ROWS(Y20:Y24)&amp;" ►"</f>
        <v>5 ►</v>
      </c>
      <c r="Z24" s="1580"/>
      <c r="AA24" s="95">
        <f>IF(AC26=0,0,(AC24/AC26)*AB19*1000)</f>
        <v>0</v>
      </c>
      <c r="AB24" s="105">
        <f>IF(AC26=0, 0, (S24*X24)/(AC26*AB19))</f>
        <v>0</v>
      </c>
      <c r="AC24" s="97" cm="1">
        <f t="array" ref="AC24">IFERROR(_xlfn.XLOOKUP(UPPER(TRIM(W24)),UPPER(TRIM(S27:AG27)),S28:AG28,_xlfn.XLOOKUP(UPPER(TRIM(W24)),UPPER(TRIM(S29:AG29)),S30:AG30,0))*V24*IF(S24&gt;0,S24,1),0)</f>
        <v>0</v>
      </c>
      <c r="AD24" s="106">
        <f>IF(AF15&lt;&gt;0,S24*X24*X15,0)</f>
        <v>0</v>
      </c>
      <c r="AE24" s="1747">
        <f t="shared" si="5"/>
        <v>0</v>
      </c>
      <c r="AF24" s="99">
        <f>IF(OR(ISBLANK(AF15),AF15=0),0,AC24*X24*X15)</f>
        <v>0</v>
      </c>
      <c r="AG24" s="1367" t="str">
        <f>IF(W24="","",IF(COUNTIF(Z27:AG27,SUBSTITUTE(TRIM(W24)," (s)",""))+COUNTIF(Z29:AG29,SUBSTITUTE(TRIM(W24)," (s)",""))&gt;0,IF(ROUND(AF24,3)&gt;=1,ROUND(AF24,3)&amp;" L",MAX(1,ROUND(AF24*100,0))&amp;" cl"),IF(COUNTIF(S27:X27,SUBSTITUTE(TRIM(W24)," (s)",""))+COUNTIF(S29:X29,SUBSTITUTE(TRIM(W24)," (s)",""))&gt;0,IF(ROUND(AF24,3)&gt;=1,ROUND(AF24,3)&amp;" Kg",MAX(1,ROUND(AF24*1000,0))&amp;" g"),"")))</f>
        <v/>
      </c>
      <c r="AH24" s="918"/>
      <c r="AI24" s="2252" t="s">
        <v>15</v>
      </c>
      <c r="AJ24" s="2237"/>
      <c r="AK24" s="2237"/>
      <c r="AL24" s="2237"/>
      <c r="AM24" s="2237"/>
      <c r="AN24" s="2240"/>
      <c r="AO24" s="2241"/>
      <c r="AP24" s="2239"/>
      <c r="AQ24" s="2242"/>
      <c r="AR24" s="2250"/>
      <c r="AS24" s="2244"/>
      <c r="AT24" s="2244"/>
      <c r="AU24" s="2245"/>
      <c r="AV24" s="2246"/>
      <c r="AW24" s="2247"/>
      <c r="AX24" s="2248"/>
      <c r="AY24" s="2249"/>
      <c r="AZ24" s="2249"/>
      <c r="BA24" s="2238"/>
      <c r="BB24" s="2264"/>
      <c r="BC24" s="918"/>
      <c r="BD24" s="2252" t="s">
        <v>15</v>
      </c>
      <c r="BE24" s="2237"/>
      <c r="BF24" s="2237"/>
      <c r="BG24" s="2237"/>
      <c r="BH24" s="2237"/>
      <c r="BI24" s="2240"/>
      <c r="BJ24" s="2241"/>
      <c r="BK24" s="2239"/>
      <c r="BL24" s="2242"/>
      <c r="BM24" s="2250"/>
      <c r="BN24" s="2244"/>
      <c r="BO24" s="2244"/>
      <c r="BP24" s="2245"/>
      <c r="BQ24" s="2246"/>
      <c r="BR24" s="2247"/>
      <c r="BS24" s="2248"/>
      <c r="BT24" s="2249"/>
      <c r="BU24" s="2249"/>
      <c r="BV24" s="2238"/>
      <c r="BW24" s="2264"/>
      <c r="BY24" s="3">
        <v>1</v>
      </c>
      <c r="CA24" s="198" t="s">
        <v>14243</v>
      </c>
    </row>
    <row r="25" spans="2:79" ht="21" customHeight="1">
      <c r="B25" s="2265" t="str" cm="1">
        <f t="array" ref="B25">SUMPRODUCT(--(D25:J25&lt;&gt;""), LEN(TRIM(SUBSTITUTE(D25:J25, CHAR(160), "")))) &amp; " Car."</f>
        <v>0 Car.</v>
      </c>
      <c r="C25" s="1376" t="str">
        <f>IF(ISBLANK(D25),"",LARGE(C13:C24,1)+1)</f>
        <v/>
      </c>
      <c r="D25" s="1833"/>
      <c r="E25" s="1810"/>
      <c r="F25" s="1810"/>
      <c r="G25" s="1810"/>
      <c r="H25" s="1810"/>
      <c r="I25" s="1810"/>
      <c r="J25" s="1810"/>
      <c r="K25" s="1810"/>
      <c r="L25" s="1811"/>
      <c r="M25" s="9"/>
      <c r="N25" s="25" t="s">
        <v>10</v>
      </c>
      <c r="O25" s="31" t="str">
        <f>O16</f>
        <v>J JUS DE FRAISES DES BOIS | pâtisserie--ENTREMET| Auteur &gt; recette Béghin Say de Jean-Jacques Borne MOF 1994</v>
      </c>
      <c r="P25" s="32">
        <f>P16</f>
        <v>18</v>
      </c>
      <c r="Q25" s="31" t="str">
        <f>Q16</f>
        <v>desserts</v>
      </c>
      <c r="R25" s="33" t="str">
        <f>R16</f>
        <v>Recette mère ► MILLE-FEUILLE  aux fraises des bois</v>
      </c>
      <c r="S25" s="1198"/>
      <c r="T25" s="1199"/>
      <c r="U25" s="91" t="str">
        <f t="shared" si="4"/>
        <v/>
      </c>
      <c r="V25" s="1200"/>
      <c r="W25" s="128"/>
      <c r="X25" s="1201">
        <v>1</v>
      </c>
      <c r="Y25" s="1813" t="str">
        <f>ROWS(Y20:Y25)&amp;" ►"</f>
        <v>6 ►</v>
      </c>
      <c r="Z25" s="1580"/>
      <c r="AA25" s="95">
        <f>IF(AC26=0,0,(AC25/AC26)*AB19*1000)</f>
        <v>0</v>
      </c>
      <c r="AB25" s="105">
        <f>IF(AC26=0, 0, (S25*X25)/(AC26*AB19))</f>
        <v>0</v>
      </c>
      <c r="AC25" s="97" cm="1">
        <f t="array" ref="AC25">IFERROR(_xlfn.XLOOKUP(UPPER(TRIM(W25)),UPPER(TRIM(S27:AG27)),S28:AG28,_xlfn.XLOOKUP(UPPER(TRIM(W25)),UPPER(TRIM(S29:AG29)),S30:AG30,0))*V25*IF(S25&gt;0,S25,1),0)</f>
        <v>0</v>
      </c>
      <c r="AD25" s="110">
        <f>IF(AF15&lt;&gt;0,S25*X25*X15,0)</f>
        <v>0</v>
      </c>
      <c r="AE25" s="1748">
        <f t="shared" si="5"/>
        <v>0</v>
      </c>
      <c r="AF25" s="99">
        <f>IF(OR(ISBLANK(AF15),AF15=0),0,AC25*X25*X15)</f>
        <v>0</v>
      </c>
      <c r="AG25" s="1617" t="str">
        <f>IF(W25="","",IF(COUNTIF(Z27:AG27,SUBSTITUTE(TRIM(W25)," (s)",""))+COUNTIF(Z29:AG29,SUBSTITUTE(TRIM(W25)," (s)",""))&gt;0,IF(ROUND(AF25,3)&gt;=1,ROUND(AF25,3)&amp;" L",MAX(1,ROUND(AF25*100,0))&amp;" cl"),IF(COUNTIF(S27:X27,SUBSTITUTE(TRIM(W25)," (s)",""))+COUNTIF(S29:X29,SUBSTITUTE(TRIM(W25)," (s)",""))&gt;0,IF(ROUND(AF25,3)&gt;=1,ROUND(AF25,3)&amp;" Kg",MAX(1,ROUND(AF25*1000,0))&amp;" g"),"")))</f>
        <v/>
      </c>
      <c r="AH25" s="918"/>
      <c r="AI25" s="2252" t="s">
        <v>15</v>
      </c>
      <c r="AJ25" s="2237"/>
      <c r="AK25" s="2237"/>
      <c r="AL25" s="2237"/>
      <c r="AM25" s="2237"/>
      <c r="AN25" s="2240"/>
      <c r="AO25" s="2241"/>
      <c r="AP25" s="2239"/>
      <c r="AQ25" s="2242"/>
      <c r="AR25" s="2250"/>
      <c r="AS25" s="2244"/>
      <c r="AT25" s="2244"/>
      <c r="AU25" s="2245"/>
      <c r="AV25" s="2246"/>
      <c r="AW25" s="2247"/>
      <c r="AX25" s="2248"/>
      <c r="AY25" s="2249"/>
      <c r="AZ25" s="2249"/>
      <c r="BA25" s="2238"/>
      <c r="BB25" s="2264"/>
      <c r="BC25" s="918"/>
      <c r="BD25" s="2252" t="s">
        <v>15</v>
      </c>
      <c r="BE25" s="2237"/>
      <c r="BF25" s="2237"/>
      <c r="BG25" s="2237"/>
      <c r="BH25" s="2237"/>
      <c r="BI25" s="2240"/>
      <c r="BJ25" s="2241"/>
      <c r="BK25" s="2239"/>
      <c r="BL25" s="2242"/>
      <c r="BM25" s="2250"/>
      <c r="BN25" s="2244"/>
      <c r="BO25" s="2244"/>
      <c r="BP25" s="2245"/>
      <c r="BQ25" s="2246"/>
      <c r="BR25" s="2247"/>
      <c r="BS25" s="2248"/>
      <c r="BT25" s="2249"/>
      <c r="BU25" s="2249"/>
      <c r="BV25" s="2238"/>
      <c r="BW25" s="2264"/>
      <c r="BY25" s="3">
        <v>1</v>
      </c>
      <c r="CA25" s="198" t="s">
        <v>14231</v>
      </c>
    </row>
    <row r="26" spans="2:79" ht="21" customHeight="1">
      <c r="B26" s="2265" t="str" cm="1">
        <f t="array" ref="B26">SUMPRODUCT(--(D26:J26&lt;&gt;""), LEN(TRIM(SUBSTITUTE(D26:J26, CHAR(160), "")))) &amp; " Car."</f>
        <v>0 Car.</v>
      </c>
      <c r="C26" s="1376" t="str">
        <f>IF(ISBLANK(D26),"",LARGE(C13:C25,1)+1)</f>
        <v/>
      </c>
      <c r="D26" s="1833"/>
      <c r="E26" s="1810"/>
      <c r="F26" s="1810"/>
      <c r="G26" s="1810"/>
      <c r="H26" s="1810"/>
      <c r="I26" s="1810"/>
      <c r="J26" s="1810"/>
      <c r="K26" s="1810"/>
      <c r="L26" s="1811"/>
      <c r="M26" s="9"/>
      <c r="N26" s="25" t="s">
        <v>10</v>
      </c>
      <c r="O26" s="31" t="str">
        <f>O16</f>
        <v>J JUS DE FRAISES DES BOIS | pâtisserie--ENTREMET| Auteur &gt; recette Béghin Say de Jean-Jacques Borne MOF 1994</v>
      </c>
      <c r="P26" s="32">
        <f>P16</f>
        <v>18</v>
      </c>
      <c r="Q26" s="31" t="str">
        <f>Q16</f>
        <v>desserts</v>
      </c>
      <c r="R26" s="33" t="str">
        <f>R16</f>
        <v>Recette mère ► MILLE-FEUILLE  aux fraises des bois</v>
      </c>
      <c r="S26" s="680" t="s">
        <v>8411</v>
      </c>
      <c r="T26" s="474"/>
      <c r="U26" s="474"/>
      <c r="V26" s="474"/>
      <c r="W26" s="474"/>
      <c r="X26" s="681"/>
      <c r="Y26" s="681"/>
      <c r="Z26" s="1984" t="s">
        <v>8652</v>
      </c>
      <c r="AA26" s="682"/>
      <c r="AB26" s="682"/>
      <c r="AC26" s="1197">
        <f>SUM(AC20:AC25)</f>
        <v>0.35</v>
      </c>
      <c r="AD26" s="683"/>
      <c r="AE26" s="683" t="str">
        <f>"Total " &amp; AF17&amp;" &gt;"</f>
        <v>Total Col.19 &gt;</v>
      </c>
      <c r="AF26" s="1835">
        <f>SUM(AF20:AF25)</f>
        <v>0.7</v>
      </c>
      <c r="AG26" s="684"/>
      <c r="AH26" s="918"/>
      <c r="AI26" s="2252" t="s">
        <v>15</v>
      </c>
      <c r="AJ26" s="2237"/>
      <c r="AK26" s="2237"/>
      <c r="AL26" s="2237"/>
      <c r="AM26" s="2237"/>
      <c r="AN26" s="2240"/>
      <c r="AO26" s="2241"/>
      <c r="AP26" s="2239"/>
      <c r="AQ26" s="2242"/>
      <c r="AR26" s="2250"/>
      <c r="AS26" s="2244"/>
      <c r="AT26" s="2244"/>
      <c r="AU26" s="2245"/>
      <c r="AV26" s="2246"/>
      <c r="AW26" s="2247"/>
      <c r="AX26" s="2248"/>
      <c r="AY26" s="2249"/>
      <c r="AZ26" s="2249"/>
      <c r="BA26" s="2238"/>
      <c r="BB26" s="2264"/>
      <c r="BC26" s="918"/>
      <c r="BD26" s="2252" t="s">
        <v>15</v>
      </c>
      <c r="BE26" s="2237"/>
      <c r="BF26" s="2237"/>
      <c r="BG26" s="2237"/>
      <c r="BH26" s="2237"/>
      <c r="BI26" s="2240"/>
      <c r="BJ26" s="2241"/>
      <c r="BK26" s="2239"/>
      <c r="BL26" s="2242"/>
      <c r="BM26" s="2250"/>
      <c r="BN26" s="2244"/>
      <c r="BO26" s="2244"/>
      <c r="BP26" s="2245"/>
      <c r="BQ26" s="2246"/>
      <c r="BR26" s="2247"/>
      <c r="BS26" s="2248"/>
      <c r="BT26" s="2249"/>
      <c r="BU26" s="2249"/>
      <c r="BV26" s="2238"/>
      <c r="BW26" s="2264"/>
      <c r="BY26" s="3">
        <v>1</v>
      </c>
      <c r="CA26" s="198"/>
    </row>
    <row r="27" spans="2:79" ht="21" customHeight="1">
      <c r="B27" s="2265" t="str" cm="1">
        <f t="array" ref="B27">SUMPRODUCT(--(D27:J27&lt;&gt;""), LEN(TRIM(SUBSTITUTE(D27:J27, CHAR(160), "")))) &amp; " Car."</f>
        <v>0 Car.</v>
      </c>
      <c r="C27" s="1376" t="str">
        <f>IF(ISBLANK(D27),"",LARGE(C13:C26,1)+1)</f>
        <v/>
      </c>
      <c r="D27" s="1833"/>
      <c r="E27" s="1810"/>
      <c r="F27" s="1810"/>
      <c r="G27" s="1810"/>
      <c r="H27" s="1810"/>
      <c r="I27" s="1810"/>
      <c r="J27" s="1810"/>
      <c r="K27" s="1810"/>
      <c r="L27" s="1811"/>
      <c r="M27" s="9"/>
      <c r="N27" s="25" t="s">
        <v>10</v>
      </c>
      <c r="O27" s="31" t="str">
        <f>O16</f>
        <v>J JUS DE FRAISES DES BOIS | pâtisserie--ENTREMET| Auteur &gt; recette Béghin Say de Jean-Jacques Borne MOF 1994</v>
      </c>
      <c r="P27" s="32">
        <f>P16</f>
        <v>18</v>
      </c>
      <c r="Q27" s="31" t="str">
        <f>Q16</f>
        <v>desserts</v>
      </c>
      <c r="R27" s="33" t="str">
        <f>R16</f>
        <v>Recette mère ► MILLE-FEUILLE  aux fraises des bois</v>
      </c>
      <c r="S27" s="142" t="s">
        <v>140</v>
      </c>
      <c r="T27" s="104" t="s">
        <v>100</v>
      </c>
      <c r="U27" s="143" t="s">
        <v>141</v>
      </c>
      <c r="V27" s="144" t="s">
        <v>142</v>
      </c>
      <c r="W27" s="118" t="s">
        <v>143</v>
      </c>
      <c r="X27" s="118" t="s">
        <v>109</v>
      </c>
      <c r="Y27" s="143" t="s">
        <v>141</v>
      </c>
      <c r="Z27" s="93" t="s">
        <v>0</v>
      </c>
      <c r="AA27" s="93" t="s">
        <v>97</v>
      </c>
      <c r="AB27" s="93" t="s">
        <v>144</v>
      </c>
      <c r="AC27" s="93" t="s">
        <v>145</v>
      </c>
      <c r="AD27" s="109" t="s">
        <v>104</v>
      </c>
      <c r="AE27" s="109" t="s">
        <v>359</v>
      </c>
      <c r="AF27" s="335" t="s">
        <v>146</v>
      </c>
      <c r="AG27" s="109" t="s">
        <v>147</v>
      </c>
      <c r="AH27" s="918"/>
      <c r="AI27" s="2252" t="s">
        <v>15</v>
      </c>
      <c r="AJ27" s="2237"/>
      <c r="AK27" s="2237"/>
      <c r="AL27" s="2237"/>
      <c r="AM27" s="2237"/>
      <c r="AN27" s="2240"/>
      <c r="AO27" s="2241"/>
      <c r="AP27" s="2239"/>
      <c r="AQ27" s="2242"/>
      <c r="AR27" s="2250"/>
      <c r="AS27" s="2244"/>
      <c r="AT27" s="2244"/>
      <c r="AU27" s="2245"/>
      <c r="AV27" s="2246"/>
      <c r="AW27" s="2247"/>
      <c r="AX27" s="2248"/>
      <c r="AY27" s="2249"/>
      <c r="AZ27" s="2249"/>
      <c r="BA27" s="2238"/>
      <c r="BB27" s="2264"/>
      <c r="BC27" s="918"/>
      <c r="BD27" s="2252" t="s">
        <v>15</v>
      </c>
      <c r="BE27" s="2237"/>
      <c r="BF27" s="2237"/>
      <c r="BG27" s="2237"/>
      <c r="BH27" s="2237"/>
      <c r="BI27" s="2240"/>
      <c r="BJ27" s="2241"/>
      <c r="BK27" s="2239"/>
      <c r="BL27" s="2242"/>
      <c r="BM27" s="2250"/>
      <c r="BN27" s="2244"/>
      <c r="BO27" s="2244"/>
      <c r="BP27" s="2245"/>
      <c r="BQ27" s="2246"/>
      <c r="BR27" s="2247"/>
      <c r="BS27" s="2248"/>
      <c r="BT27" s="2249"/>
      <c r="BU27" s="2249"/>
      <c r="BV27" s="2238"/>
      <c r="BW27" s="2264"/>
      <c r="BY27" s="3">
        <v>1</v>
      </c>
      <c r="CA27" s="198" t="s">
        <v>14234</v>
      </c>
    </row>
    <row r="28" spans="2:79" ht="21" customHeight="1">
      <c r="B28" s="2265" t="str" cm="1">
        <f t="array" ref="B28">SUMPRODUCT(--(D28:J28&lt;&gt;""), LEN(TRIM(SUBSTITUTE(D28:J28, CHAR(160), "")))) &amp; " Car."</f>
        <v>0 Car.</v>
      </c>
      <c r="C28" s="1376" t="str">
        <f>IF(ISBLANK(D28),"",LARGE(C13:C27,1)+1)</f>
        <v/>
      </c>
      <c r="D28" s="1833"/>
      <c r="E28" s="1810"/>
      <c r="F28" s="1810"/>
      <c r="G28" s="1810"/>
      <c r="H28" s="1810"/>
      <c r="I28" s="1810"/>
      <c r="J28" s="1810"/>
      <c r="K28" s="1810"/>
      <c r="L28" s="1811"/>
      <c r="M28" s="9"/>
      <c r="N28" s="25" t="s">
        <v>10</v>
      </c>
      <c r="O28" s="31" t="str">
        <f>O16</f>
        <v>J JUS DE FRAISES DES BOIS | pâtisserie--ENTREMET| Auteur &gt; recette Béghin Say de Jean-Jacques Borne MOF 1994</v>
      </c>
      <c r="P28" s="32">
        <f>P16</f>
        <v>18</v>
      </c>
      <c r="Q28" s="31" t="str">
        <f>Q16</f>
        <v>desserts</v>
      </c>
      <c r="R28" s="33" t="str">
        <f>R16</f>
        <v>Recette mère ► MILLE-FEUILLE  aux fraises des bois</v>
      </c>
      <c r="S28" s="685">
        <v>1</v>
      </c>
      <c r="T28" s="686">
        <v>1E-3</v>
      </c>
      <c r="U28" s="687">
        <v>0</v>
      </c>
      <c r="V28" s="686">
        <v>0.25</v>
      </c>
      <c r="W28" s="686">
        <v>0.33332999999999996</v>
      </c>
      <c r="X28" s="686">
        <v>0.5</v>
      </c>
      <c r="Y28" s="687">
        <v>0</v>
      </c>
      <c r="Z28" s="688">
        <v>1</v>
      </c>
      <c r="AA28" s="688">
        <v>0.1</v>
      </c>
      <c r="AB28" s="688">
        <v>0.01</v>
      </c>
      <c r="AC28" s="688">
        <v>1E-3</v>
      </c>
      <c r="AD28" s="688">
        <v>0.5</v>
      </c>
      <c r="AE28" s="688">
        <v>0.25</v>
      </c>
      <c r="AF28" s="688">
        <v>0.33300000000000002</v>
      </c>
      <c r="AG28" s="1756">
        <v>0.2</v>
      </c>
      <c r="AH28" s="918"/>
      <c r="AI28" s="2252" t="s">
        <v>15</v>
      </c>
      <c r="AJ28" s="2237"/>
      <c r="AK28" s="2237"/>
      <c r="AL28" s="2237"/>
      <c r="AM28" s="2237"/>
      <c r="AN28" s="2240"/>
      <c r="AO28" s="2241"/>
      <c r="AP28" s="2239"/>
      <c r="AQ28" s="2242"/>
      <c r="AR28" s="2250"/>
      <c r="AS28" s="2244"/>
      <c r="AT28" s="2244"/>
      <c r="AU28" s="2245"/>
      <c r="AV28" s="2246"/>
      <c r="AW28" s="2247"/>
      <c r="AX28" s="2248"/>
      <c r="AY28" s="2249"/>
      <c r="AZ28" s="2249"/>
      <c r="BA28" s="2238"/>
      <c r="BB28" s="2264"/>
      <c r="BC28" s="918"/>
      <c r="BD28" s="2252" t="s">
        <v>15</v>
      </c>
      <c r="BE28" s="2237"/>
      <c r="BF28" s="2237"/>
      <c r="BG28" s="2237"/>
      <c r="BH28" s="2237"/>
      <c r="BI28" s="2240"/>
      <c r="BJ28" s="2241"/>
      <c r="BK28" s="2239"/>
      <c r="BL28" s="2242"/>
      <c r="BM28" s="2250"/>
      <c r="BN28" s="2244"/>
      <c r="BO28" s="2244"/>
      <c r="BP28" s="2245"/>
      <c r="BQ28" s="2246"/>
      <c r="BR28" s="2247"/>
      <c r="BS28" s="2248"/>
      <c r="BT28" s="2249"/>
      <c r="BU28" s="2249"/>
      <c r="BV28" s="2238"/>
      <c r="BW28" s="2264"/>
      <c r="BY28" s="3">
        <v>1</v>
      </c>
      <c r="CA28" s="198" t="s">
        <v>14237</v>
      </c>
    </row>
    <row r="29" spans="2:79" ht="21" customHeight="1">
      <c r="B29" s="2265" t="str" cm="1">
        <f t="array" ref="B29">SUMPRODUCT(--(D29:J29&lt;&gt;""), LEN(TRIM(SUBSTITUTE(D29:J29, CHAR(160), "")))) &amp; " Car."</f>
        <v>0 Car.</v>
      </c>
      <c r="C29" s="1376" t="str">
        <f>IF(ISBLANK(D29),"",LARGE(C13:C28,1)+1)</f>
        <v/>
      </c>
      <c r="D29" s="1833"/>
      <c r="E29" s="1810"/>
      <c r="F29" s="1810"/>
      <c r="G29" s="1810"/>
      <c r="H29" s="1810"/>
      <c r="I29" s="1810"/>
      <c r="J29" s="1810"/>
      <c r="K29" s="1810"/>
      <c r="L29" s="1811"/>
      <c r="M29" s="9"/>
      <c r="N29" s="25" t="s">
        <v>10</v>
      </c>
      <c r="O29" s="31" t="str">
        <f>O16</f>
        <v>J JUS DE FRAISES DES BOIS | pâtisserie--ENTREMET| Auteur &gt; recette Béghin Say de Jean-Jacques Borne MOF 1994</v>
      </c>
      <c r="P29" s="32">
        <f>P16</f>
        <v>18</v>
      </c>
      <c r="Q29" s="31" t="str">
        <f>Q16</f>
        <v>desserts</v>
      </c>
      <c r="R29" s="33" t="str">
        <f>R16</f>
        <v>Recette mère ► MILLE-FEUILLE  aux fraises des bois</v>
      </c>
      <c r="S29" s="121" t="s">
        <v>155</v>
      </c>
      <c r="T29" s="121" t="s">
        <v>156</v>
      </c>
      <c r="U29" s="143" t="s">
        <v>141</v>
      </c>
      <c r="V29" s="121" t="s">
        <v>110</v>
      </c>
      <c r="W29" s="121" t="s">
        <v>157</v>
      </c>
      <c r="X29" s="121" t="s">
        <v>158</v>
      </c>
      <c r="Y29" s="143" t="s">
        <v>141</v>
      </c>
      <c r="Z29" s="125" t="s">
        <v>115</v>
      </c>
      <c r="AA29" s="155" t="s">
        <v>159</v>
      </c>
      <c r="AB29" s="155" t="s">
        <v>160</v>
      </c>
      <c r="AC29" s="109" t="s">
        <v>161</v>
      </c>
      <c r="AD29" s="109" t="s">
        <v>162</v>
      </c>
      <c r="AE29" s="109" t="s">
        <v>105</v>
      </c>
      <c r="AF29" s="1758" t="s">
        <v>1689</v>
      </c>
      <c r="AG29" s="697" t="s">
        <v>163</v>
      </c>
      <c r="AH29" s="918"/>
      <c r="AI29" s="2252" t="s">
        <v>15</v>
      </c>
      <c r="AJ29" s="2237"/>
      <c r="AK29" s="2237"/>
      <c r="AL29" s="2237"/>
      <c r="AM29" s="2237"/>
      <c r="AN29" s="2240"/>
      <c r="AO29" s="2241"/>
      <c r="AP29" s="2239"/>
      <c r="AQ29" s="2242"/>
      <c r="AR29" s="2250"/>
      <c r="AS29" s="2244"/>
      <c r="AT29" s="2244"/>
      <c r="AU29" s="2245"/>
      <c r="AV29" s="2246"/>
      <c r="AW29" s="2247"/>
      <c r="AX29" s="2248"/>
      <c r="AY29" s="2249"/>
      <c r="AZ29" s="2249"/>
      <c r="BA29" s="2238"/>
      <c r="BB29" s="2264"/>
      <c r="BC29" s="918"/>
      <c r="BD29" s="2252" t="s">
        <v>15</v>
      </c>
      <c r="BE29" s="2237"/>
      <c r="BF29" s="2237"/>
      <c r="BG29" s="2237"/>
      <c r="BH29" s="2237"/>
      <c r="BI29" s="2240"/>
      <c r="BJ29" s="2241"/>
      <c r="BK29" s="2239"/>
      <c r="BL29" s="2242"/>
      <c r="BM29" s="2250"/>
      <c r="BN29" s="2244"/>
      <c r="BO29" s="2244"/>
      <c r="BP29" s="2245"/>
      <c r="BQ29" s="2246"/>
      <c r="BR29" s="2247"/>
      <c r="BS29" s="2248"/>
      <c r="BT29" s="2249"/>
      <c r="BU29" s="2249"/>
      <c r="BV29" s="2238"/>
      <c r="BW29" s="2264"/>
      <c r="BY29" s="3">
        <v>1</v>
      </c>
    </row>
    <row r="30" spans="2:79" ht="21" customHeight="1">
      <c r="B30" s="2265" t="str" cm="1">
        <f t="array" ref="B30">SUMPRODUCT(--(D30:J30&lt;&gt;""), LEN(TRIM(SUBSTITUTE(D30:J30, CHAR(160), "")))) &amp; " Car."</f>
        <v>0 Car.</v>
      </c>
      <c r="C30" s="1376" t="str">
        <f>IF(ISBLANK(D30),"",LARGE(C13:C29,1)+1)</f>
        <v/>
      </c>
      <c r="D30" s="1833"/>
      <c r="E30" s="1810"/>
      <c r="F30" s="1810"/>
      <c r="G30" s="1810"/>
      <c r="H30" s="1810"/>
      <c r="I30" s="1810"/>
      <c r="J30" s="1810"/>
      <c r="K30" s="1810"/>
      <c r="L30" s="1811"/>
      <c r="M30" s="9"/>
      <c r="N30" s="25" t="s">
        <v>10</v>
      </c>
      <c r="O30" s="31" t="str">
        <f>O16</f>
        <v>J JUS DE FRAISES DES BOIS | pâtisserie--ENTREMET| Auteur &gt; recette Béghin Say de Jean-Jacques Borne MOF 1994</v>
      </c>
      <c r="P30" s="32">
        <f>P16</f>
        <v>18</v>
      </c>
      <c r="Q30" s="31" t="str">
        <f>Q16</f>
        <v>desserts</v>
      </c>
      <c r="R30" s="33" t="str">
        <f>R16</f>
        <v>Recette mère ► MILLE-FEUILLE  aux fraises des bois</v>
      </c>
      <c r="S30" s="685">
        <v>2.835E-2</v>
      </c>
      <c r="T30" s="686">
        <v>0.13</v>
      </c>
      <c r="U30" s="687">
        <v>0</v>
      </c>
      <c r="V30" s="686">
        <v>0.2</v>
      </c>
      <c r="W30" s="686">
        <v>0.23</v>
      </c>
      <c r="X30" s="686">
        <v>0.22500000000000001</v>
      </c>
      <c r="Y30" s="687">
        <v>0</v>
      </c>
      <c r="Z30" s="688">
        <v>0.35</v>
      </c>
      <c r="AA30" s="688">
        <v>5.0000000000000001E-3</v>
      </c>
      <c r="AB30" s="688">
        <v>5.0000000000000001E-3</v>
      </c>
      <c r="AC30" s="688">
        <v>1.4999999999999999E-2</v>
      </c>
      <c r="AD30" s="688">
        <v>0.1</v>
      </c>
      <c r="AE30" s="688">
        <v>0.22500000000000001</v>
      </c>
      <c r="AF30" s="688">
        <v>4.0000000000000001E-3</v>
      </c>
      <c r="AG30" s="1757">
        <v>1E-3</v>
      </c>
      <c r="AH30" s="918"/>
      <c r="AI30" s="2252" t="s">
        <v>15</v>
      </c>
      <c r="AJ30" s="2237"/>
      <c r="AK30" s="2237"/>
      <c r="AL30" s="2237"/>
      <c r="AM30" s="2237"/>
      <c r="AN30" s="2240"/>
      <c r="AO30" s="2241"/>
      <c r="AP30" s="2239"/>
      <c r="AQ30" s="2242"/>
      <c r="AR30" s="2250"/>
      <c r="AS30" s="2244"/>
      <c r="AT30" s="2244"/>
      <c r="AU30" s="2245"/>
      <c r="AV30" s="2246"/>
      <c r="AW30" s="2247"/>
      <c r="AX30" s="2248"/>
      <c r="AY30" s="2249"/>
      <c r="AZ30" s="2249"/>
      <c r="BA30" s="2238"/>
      <c r="BB30" s="2264"/>
      <c r="BC30" s="918"/>
      <c r="BD30" s="2252" t="s">
        <v>15</v>
      </c>
      <c r="BE30" s="2237"/>
      <c r="BF30" s="2237"/>
      <c r="BG30" s="2237"/>
      <c r="BH30" s="2237"/>
      <c r="BI30" s="2240"/>
      <c r="BJ30" s="2241"/>
      <c r="BK30" s="2239"/>
      <c r="BL30" s="2242"/>
      <c r="BM30" s="2250"/>
      <c r="BN30" s="2244"/>
      <c r="BO30" s="2244"/>
      <c r="BP30" s="2245"/>
      <c r="BQ30" s="2246"/>
      <c r="BR30" s="2247"/>
      <c r="BS30" s="2248"/>
      <c r="BT30" s="2249"/>
      <c r="BU30" s="2249"/>
      <c r="BV30" s="2238"/>
      <c r="BW30" s="2264"/>
      <c r="BY30" s="3">
        <v>1</v>
      </c>
    </row>
    <row r="31" spans="2:79" ht="21" customHeight="1">
      <c r="B31" s="2265" t="str" cm="1">
        <f t="array" ref="B31">SUMPRODUCT(--(D31:J31&lt;&gt;""), LEN(TRIM(SUBSTITUTE(D31:J31, CHAR(160), "")))) &amp; " Car."</f>
        <v>0 Car.</v>
      </c>
      <c r="C31" s="1376" t="str">
        <f>IF(ISBLANK(D31),"",LARGE(C13:C30,1)+1)</f>
        <v/>
      </c>
      <c r="D31" s="1833"/>
      <c r="E31" s="1810"/>
      <c r="F31" s="1810"/>
      <c r="G31" s="1810"/>
      <c r="H31" s="1810"/>
      <c r="I31" s="1810"/>
      <c r="J31" s="1810"/>
      <c r="K31" s="1810"/>
      <c r="L31" s="1811"/>
      <c r="M31" s="9"/>
      <c r="N31" s="25" t="s">
        <v>15</v>
      </c>
      <c r="O31" s="5563" t="str">
        <f t="shared" ref="O31:AG31" si="7">SUBSTITUTE(ADDRESS(1,COLUMN(),4),"1","")</f>
        <v>O</v>
      </c>
      <c r="P31" s="5563" t="str">
        <f t="shared" si="7"/>
        <v>P</v>
      </c>
      <c r="Q31" s="5563" t="str">
        <f t="shared" si="7"/>
        <v>Q</v>
      </c>
      <c r="R31" s="5563" t="str">
        <f t="shared" si="7"/>
        <v>R</v>
      </c>
      <c r="S31" s="5563" t="str">
        <f t="shared" si="7"/>
        <v>S</v>
      </c>
      <c r="T31" s="5563" t="str">
        <f t="shared" si="7"/>
        <v>T</v>
      </c>
      <c r="U31" s="5563" t="str">
        <f t="shared" si="7"/>
        <v>U</v>
      </c>
      <c r="V31" s="5563" t="str">
        <f t="shared" si="7"/>
        <v>V</v>
      </c>
      <c r="W31" s="5563" t="str">
        <f t="shared" si="7"/>
        <v>W</v>
      </c>
      <c r="X31" s="5563" t="str">
        <f t="shared" si="7"/>
        <v>X</v>
      </c>
      <c r="Y31" s="6003" t="str">
        <f t="shared" si="7"/>
        <v>Y</v>
      </c>
      <c r="Z31" s="5563" t="str">
        <f t="shared" si="7"/>
        <v>Z</v>
      </c>
      <c r="AA31" s="5563" t="str">
        <f t="shared" si="7"/>
        <v>AA</v>
      </c>
      <c r="AB31" s="5563" t="str">
        <f t="shared" si="7"/>
        <v>AB</v>
      </c>
      <c r="AC31" s="5563" t="str">
        <f t="shared" si="7"/>
        <v>AC</v>
      </c>
      <c r="AD31" s="6030" t="str">
        <f t="shared" si="7"/>
        <v>AD</v>
      </c>
      <c r="AE31" s="5563" t="str">
        <f t="shared" si="7"/>
        <v>AE</v>
      </c>
      <c r="AF31" s="5563" t="str">
        <f t="shared" si="7"/>
        <v>AF</v>
      </c>
      <c r="AG31" s="6032" t="str">
        <f t="shared" si="7"/>
        <v>AG</v>
      </c>
      <c r="AH31" s="918"/>
      <c r="AI31" s="2252" t="s">
        <v>15</v>
      </c>
      <c r="AJ31" s="2237"/>
      <c r="AK31" s="2237"/>
      <c r="AL31" s="2237"/>
      <c r="AM31" s="2237"/>
      <c r="AN31" s="2240"/>
      <c r="AO31" s="2241"/>
      <c r="AP31" s="2239"/>
      <c r="AQ31" s="2242"/>
      <c r="AR31" s="2250"/>
      <c r="AS31" s="2244"/>
      <c r="AT31" s="2244"/>
      <c r="AU31" s="2245"/>
      <c r="AV31" s="2246"/>
      <c r="AW31" s="2247"/>
      <c r="AX31" s="2248"/>
      <c r="AY31" s="2249"/>
      <c r="AZ31" s="2249"/>
      <c r="BA31" s="2238"/>
      <c r="BB31" s="2264"/>
      <c r="BC31" s="918"/>
      <c r="BD31" s="2252" t="s">
        <v>15</v>
      </c>
      <c r="BE31" s="2237"/>
      <c r="BF31" s="2237"/>
      <c r="BG31" s="2237"/>
      <c r="BH31" s="2237"/>
      <c r="BI31" s="2240"/>
      <c r="BJ31" s="2241"/>
      <c r="BK31" s="2239"/>
      <c r="BL31" s="2242"/>
      <c r="BM31" s="2250"/>
      <c r="BN31" s="2244"/>
      <c r="BO31" s="2244"/>
      <c r="BP31" s="2245"/>
      <c r="BQ31" s="2246"/>
      <c r="BR31" s="2247"/>
      <c r="BS31" s="2248"/>
      <c r="BT31" s="2249"/>
      <c r="BU31" s="2249"/>
      <c r="BV31" s="2238"/>
      <c r="BW31" s="2264"/>
      <c r="BY31" s="3">
        <v>1</v>
      </c>
    </row>
    <row r="32" spans="2:79" ht="21" customHeight="1">
      <c r="B32" s="2265" t="str" cm="1">
        <f t="array" ref="B32">SUMPRODUCT(--(D32:J32&lt;&gt;""), LEN(TRIM(SUBSTITUTE(D32:J32, CHAR(160), "")))) &amp; " Car."</f>
        <v>0 Car.</v>
      </c>
      <c r="C32" s="1376" t="str">
        <f>IF(ISBLANK(D32),"",LARGE(C13:C31,1)+1)</f>
        <v/>
      </c>
      <c r="D32" s="1833"/>
      <c r="E32" s="1810"/>
      <c r="F32" s="1810"/>
      <c r="G32" s="1810"/>
      <c r="H32" s="1810"/>
      <c r="I32" s="1810"/>
      <c r="J32" s="1810"/>
      <c r="K32" s="1810"/>
      <c r="L32" s="1811"/>
      <c r="M32" s="9"/>
      <c r="N32" s="25" t="s">
        <v>10</v>
      </c>
      <c r="O32" s="5601">
        <f t="shared" ref="O32:AG32" ca="1" si="8">CELL("largeur",O32)</f>
        <v>3</v>
      </c>
      <c r="P32" s="5601">
        <f t="shared" ca="1" si="8"/>
        <v>3</v>
      </c>
      <c r="Q32" s="5601">
        <f t="shared" ca="1" si="8"/>
        <v>3</v>
      </c>
      <c r="R32" s="5601">
        <f t="shared" ca="1" si="8"/>
        <v>5</v>
      </c>
      <c r="S32" s="5601">
        <f t="shared" ca="1" si="8"/>
        <v>12</v>
      </c>
      <c r="T32" s="5601">
        <f t="shared" ca="1" si="8"/>
        <v>12</v>
      </c>
      <c r="U32" s="5601">
        <f t="shared" ca="1" si="8"/>
        <v>3</v>
      </c>
      <c r="V32" s="5601">
        <f t="shared" ca="1" si="8"/>
        <v>9</v>
      </c>
      <c r="W32" s="5601">
        <f t="shared" ca="1" si="8"/>
        <v>12</v>
      </c>
      <c r="X32" s="5601">
        <f t="shared" ca="1" si="8"/>
        <v>9</v>
      </c>
      <c r="Y32" s="5604">
        <f t="shared" ca="1" si="8"/>
        <v>6</v>
      </c>
      <c r="Z32" s="5602">
        <f t="shared" ca="1" si="8"/>
        <v>40</v>
      </c>
      <c r="AA32" s="5602">
        <f t="shared" ca="1" si="8"/>
        <v>10</v>
      </c>
      <c r="AB32" s="5602">
        <f t="shared" ca="1" si="8"/>
        <v>9</v>
      </c>
      <c r="AC32" s="5602">
        <f t="shared" ca="1" si="8"/>
        <v>11</v>
      </c>
      <c r="AD32" s="6031">
        <f t="shared" ca="1" si="8"/>
        <v>13</v>
      </c>
      <c r="AE32" s="5602">
        <f t="shared" ca="1" si="8"/>
        <v>13</v>
      </c>
      <c r="AF32" s="5602">
        <f t="shared" ca="1" si="8"/>
        <v>13</v>
      </c>
      <c r="AG32" s="6033">
        <f t="shared" ca="1" si="8"/>
        <v>17</v>
      </c>
      <c r="AH32" s="918"/>
      <c r="AI32" s="2252" t="s">
        <v>15</v>
      </c>
      <c r="AJ32" s="2237"/>
      <c r="AK32" s="2237"/>
      <c r="AL32" s="2237"/>
      <c r="AM32" s="2237"/>
      <c r="AN32" s="2240"/>
      <c r="AO32" s="2241"/>
      <c r="AP32" s="2239"/>
      <c r="AQ32" s="2242"/>
      <c r="AR32" s="2250"/>
      <c r="AS32" s="2244"/>
      <c r="AT32" s="2244"/>
      <c r="AU32" s="2245"/>
      <c r="AV32" s="2246"/>
      <c r="AW32" s="2247"/>
      <c r="AX32" s="2248"/>
      <c r="AY32" s="2249"/>
      <c r="AZ32" s="2249"/>
      <c r="BA32" s="2238"/>
      <c r="BB32" s="2264"/>
      <c r="BC32" s="918"/>
      <c r="BD32" s="2252" t="s">
        <v>15</v>
      </c>
      <c r="BE32" s="2237"/>
      <c r="BF32" s="2237"/>
      <c r="BG32" s="2237"/>
      <c r="BH32" s="2237"/>
      <c r="BI32" s="2240"/>
      <c r="BJ32" s="2241"/>
      <c r="BK32" s="2239"/>
      <c r="BL32" s="2242"/>
      <c r="BM32" s="2250"/>
      <c r="BN32" s="2244"/>
      <c r="BO32" s="2244"/>
      <c r="BP32" s="2245"/>
      <c r="BQ32" s="2246"/>
      <c r="BR32" s="2247"/>
      <c r="BS32" s="2248"/>
      <c r="BT32" s="2249"/>
      <c r="BU32" s="2249"/>
      <c r="BV32" s="2238"/>
      <c r="BW32" s="2264"/>
      <c r="BY32" s="3">
        <v>1</v>
      </c>
    </row>
    <row r="33" spans="2:77" ht="21" customHeight="1">
      <c r="B33" s="2265" t="str" cm="1">
        <f t="array" ref="B33">SUMPRODUCT(--(D33:J33&lt;&gt;""), LEN(TRIM(SUBSTITUTE(D33:J33, CHAR(160), "")))) &amp; " Car."</f>
        <v>0 Car.</v>
      </c>
      <c r="C33" s="1376" t="str">
        <f>IF(ISBLANK(D33),"",LARGE(C13:C32,1)+1)</f>
        <v/>
      </c>
      <c r="D33" s="1833"/>
      <c r="E33" s="1810"/>
      <c r="F33" s="1810"/>
      <c r="G33" s="1810"/>
      <c r="H33" s="1810"/>
      <c r="I33" s="1810"/>
      <c r="J33" s="1810"/>
      <c r="K33" s="1810"/>
      <c r="L33" s="1811"/>
      <c r="M33" s="9"/>
      <c r="N33" s="162" t="s">
        <v>10</v>
      </c>
      <c r="O33" s="1370" t="str">
        <f>O16</f>
        <v>J JUS DE FRAISES DES BOIS | pâtisserie--ENTREMET| Auteur &gt; recette Béghin Say de Jean-Jacques Borne MOF 1994</v>
      </c>
      <c r="P33" s="1348">
        <f>P16</f>
        <v>18</v>
      </c>
      <c r="Q33" s="1349" t="str">
        <f>Q16</f>
        <v>desserts</v>
      </c>
      <c r="R33" s="1350" t="str">
        <f>R16</f>
        <v>Recette mère ► MILLE-FEUILLE  aux fraises des bois</v>
      </c>
      <c r="S33" s="6034" t="str">
        <f ca="1">"largeur de "&amp;Y31&amp;" à "&amp;AG31&amp;" = "&amp;SUM(Y32:AG32)</f>
        <v>largeur de Y à AG = 132</v>
      </c>
      <c r="T33" s="6035"/>
      <c r="U33" s="1986"/>
      <c r="V33" s="1986"/>
      <c r="W33" s="1986"/>
      <c r="X33" s="1987" t="s">
        <v>8145</v>
      </c>
      <c r="Y33" s="1988" t="s">
        <v>821</v>
      </c>
      <c r="Z33" s="1941"/>
      <c r="AA33" s="5999" t="str">
        <f ca="1">"largeur mini  = "&amp;SUM(Y32:AD32)</f>
        <v>largeur mini  = 89</v>
      </c>
      <c r="AB33" s="6000" t="str">
        <f ca="1">"largeur maxi  = "&amp;SUM(Y32:AG32)</f>
        <v>largeur maxi  = 132</v>
      </c>
      <c r="AC33" s="1942"/>
      <c r="AD33" s="1942"/>
      <c r="AE33" s="1989"/>
      <c r="AF33" s="1989"/>
      <c r="AG33" s="1990" t="s">
        <v>218</v>
      </c>
      <c r="AH33" s="918"/>
      <c r="AI33" s="2252" t="s">
        <v>15</v>
      </c>
      <c r="AJ33" s="2237"/>
      <c r="AK33" s="2237"/>
      <c r="AL33" s="2237"/>
      <c r="AM33" s="2237"/>
      <c r="AN33" s="2240"/>
      <c r="AO33" s="2241"/>
      <c r="AP33" s="2239"/>
      <c r="AQ33" s="2242"/>
      <c r="AR33" s="2250"/>
      <c r="AS33" s="2244"/>
      <c r="AT33" s="2244"/>
      <c r="AU33" s="2245"/>
      <c r="AV33" s="2246"/>
      <c r="AW33" s="2247"/>
      <c r="AX33" s="2248"/>
      <c r="AY33" s="2249"/>
      <c r="AZ33" s="2249"/>
      <c r="BA33" s="2238"/>
      <c r="BB33" s="2264"/>
      <c r="BC33" s="918"/>
      <c r="BD33" s="2252" t="s">
        <v>15</v>
      </c>
      <c r="BE33" s="2237"/>
      <c r="BF33" s="2237"/>
      <c r="BG33" s="2237"/>
      <c r="BH33" s="2237"/>
      <c r="BI33" s="2240"/>
      <c r="BJ33" s="2241"/>
      <c r="BK33" s="2239"/>
      <c r="BL33" s="2242"/>
      <c r="BM33" s="2250"/>
      <c r="BN33" s="2244"/>
      <c r="BO33" s="2244"/>
      <c r="BP33" s="2245"/>
      <c r="BQ33" s="2246"/>
      <c r="BR33" s="2247"/>
      <c r="BS33" s="2248"/>
      <c r="BT33" s="2249"/>
      <c r="BU33" s="2249"/>
      <c r="BV33" s="2238"/>
      <c r="BW33" s="2264"/>
      <c r="BY33" s="3">
        <v>1</v>
      </c>
    </row>
    <row r="34" spans="2:77" ht="21" customHeight="1">
      <c r="B34" s="2265" t="str" cm="1">
        <f t="array" ref="B34">SUMPRODUCT(--(D34:J34&lt;&gt;""), LEN(TRIM(SUBSTITUTE(D34:J34, CHAR(160), "")))) &amp; " Car."</f>
        <v>0 Car.</v>
      </c>
      <c r="C34" s="1376" t="str">
        <f>IF(ISBLANK(D34),"",LARGE(C13:C33,1)+1)</f>
        <v/>
      </c>
      <c r="D34" s="1833"/>
      <c r="E34" s="1810"/>
      <c r="F34" s="1810"/>
      <c r="G34" s="1810"/>
      <c r="H34" s="1810"/>
      <c r="I34" s="1810"/>
      <c r="J34" s="1810"/>
      <c r="K34" s="1810"/>
      <c r="L34" s="1811"/>
      <c r="M34" s="9"/>
      <c r="N34" s="162" t="s">
        <v>10</v>
      </c>
      <c r="O34" s="163" t="str">
        <f>O16</f>
        <v>J JUS DE FRAISES DES BOIS | pâtisserie--ENTREMET| Auteur &gt; recette Béghin Say de Jean-Jacques Borne MOF 1994</v>
      </c>
      <c r="P34" s="163">
        <f>P16</f>
        <v>18</v>
      </c>
      <c r="Q34" s="164" t="str">
        <f>Q16</f>
        <v>desserts</v>
      </c>
      <c r="R34" s="165" t="str">
        <f>R16</f>
        <v>Recette mère ► MILLE-FEUILLE  aux fraises des bois</v>
      </c>
      <c r="S34" s="508"/>
      <c r="T34" s="508"/>
      <c r="U34" s="2063"/>
      <c r="V34" s="2127" t="s">
        <v>8860</v>
      </c>
      <c r="W34" s="2065">
        <f ca="1">SUM(Y32:AG32)</f>
        <v>132</v>
      </c>
      <c r="X34" s="1374">
        <v>0</v>
      </c>
      <c r="Y34" s="1375" t="s">
        <v>8146</v>
      </c>
      <c r="Z34" s="1810"/>
      <c r="AA34" s="1810"/>
      <c r="AB34" s="1810"/>
      <c r="AC34" s="1810"/>
      <c r="AD34" s="1810"/>
      <c r="AE34" s="9"/>
      <c r="AF34" s="5993" t="s">
        <v>164</v>
      </c>
      <c r="AG34" s="1330" t="s">
        <v>165</v>
      </c>
      <c r="AH34" s="918"/>
      <c r="AI34" s="2252" t="s">
        <v>15</v>
      </c>
      <c r="AJ34" s="2237"/>
      <c r="AK34" s="2237"/>
      <c r="AL34" s="2237"/>
      <c r="AM34" s="2237"/>
      <c r="AN34" s="2240"/>
      <c r="AO34" s="2241"/>
      <c r="AP34" s="2239"/>
      <c r="AQ34" s="2242"/>
      <c r="AR34" s="2250"/>
      <c r="AS34" s="2244"/>
      <c r="AT34" s="2244"/>
      <c r="AU34" s="2245"/>
      <c r="AV34" s="2246"/>
      <c r="AW34" s="2247"/>
      <c r="AX34" s="2248"/>
      <c r="AY34" s="2249"/>
      <c r="AZ34" s="2249"/>
      <c r="BA34" s="2238"/>
      <c r="BB34" s="2264"/>
      <c r="BC34" s="918"/>
      <c r="BD34" s="2252" t="s">
        <v>15</v>
      </c>
      <c r="BE34" s="2237"/>
      <c r="BF34" s="2237"/>
      <c r="BG34" s="2237"/>
      <c r="BH34" s="2237"/>
      <c r="BI34" s="2240"/>
      <c r="BJ34" s="2241"/>
      <c r="BK34" s="2239"/>
      <c r="BL34" s="2242"/>
      <c r="BM34" s="2250"/>
      <c r="BN34" s="2244"/>
      <c r="BO34" s="2244"/>
      <c r="BP34" s="2245"/>
      <c r="BQ34" s="2246"/>
      <c r="BR34" s="2247"/>
      <c r="BS34" s="2248"/>
      <c r="BT34" s="2249"/>
      <c r="BU34" s="2249"/>
      <c r="BV34" s="2238"/>
      <c r="BW34" s="2264"/>
      <c r="BY34" s="3">
        <v>1</v>
      </c>
    </row>
    <row r="35" spans="2:77" ht="21" customHeight="1">
      <c r="B35" s="2265" t="str" cm="1">
        <f t="array" ref="B35">SUMPRODUCT(--(D35:J35&lt;&gt;""), LEN(TRIM(SUBSTITUTE(D35:J35, CHAR(160), "")))) &amp; " Car."</f>
        <v>0 Car.</v>
      </c>
      <c r="C35" s="1376" t="str">
        <f>IF(ISBLANK(D35),"",LARGE(C13:C34,1)+1)</f>
        <v/>
      </c>
      <c r="D35" s="1833"/>
      <c r="E35" s="1810"/>
      <c r="F35" s="1810"/>
      <c r="G35" s="1810"/>
      <c r="H35" s="1810"/>
      <c r="I35" s="1810"/>
      <c r="J35" s="1810"/>
      <c r="K35" s="1810"/>
      <c r="L35" s="1811"/>
      <c r="M35" s="9"/>
      <c r="N35" s="162" t="s">
        <v>10</v>
      </c>
      <c r="O35" s="163" t="str">
        <f>O16</f>
        <v>J JUS DE FRAISES DES BOIS | pâtisserie--ENTREMET| Auteur &gt; recette Béghin Say de Jean-Jacques Borne MOF 1994</v>
      </c>
      <c r="P35" s="163">
        <f>P16</f>
        <v>18</v>
      </c>
      <c r="Q35" s="164" t="str">
        <f>Q16</f>
        <v>desserts</v>
      </c>
      <c r="R35" s="165" t="str">
        <f>R16</f>
        <v>Recette mère ► MILLE-FEUILLE  aux fraises des bois</v>
      </c>
      <c r="S35" s="1548"/>
      <c r="T35" s="2189" t="s">
        <v>8771</v>
      </c>
      <c r="U35" s="2190">
        <f>ROWS(Y35:Y35)</f>
        <v>1</v>
      </c>
      <c r="V35" s="1548"/>
      <c r="W35" s="2263" t="str" cm="1">
        <f t="array" ref="W35">SUMPRODUCT(--(Y35:AE35&lt;&gt;""), LEN(TRIM(SUBSTITUTE(Y35:AE35, CHAR(160), "")))) &amp; " Car."</f>
        <v>36 Car.</v>
      </c>
      <c r="X35" s="1376">
        <f>IF(ISBLANK(Y35),"",LARGE(X34:X34,1)+1)</f>
        <v>1</v>
      </c>
      <c r="Y35" s="1810" t="s">
        <v>3078</v>
      </c>
      <c r="Z35" s="1810"/>
      <c r="AA35" s="1810"/>
      <c r="AB35" s="1810"/>
      <c r="AC35" s="1810"/>
      <c r="AD35" s="1810"/>
      <c r="AE35" s="9"/>
      <c r="AF35" s="5993" t="s">
        <v>167</v>
      </c>
      <c r="AG35" s="1330" t="s">
        <v>165</v>
      </c>
      <c r="AH35" s="918"/>
      <c r="AI35" s="2252" t="s">
        <v>15</v>
      </c>
      <c r="AJ35" s="2237"/>
      <c r="AK35" s="2237"/>
      <c r="AL35" s="2237"/>
      <c r="AM35" s="2237"/>
      <c r="AN35" s="2240"/>
      <c r="AO35" s="2241"/>
      <c r="AP35" s="2239"/>
      <c r="AQ35" s="2242"/>
      <c r="AR35" s="2250"/>
      <c r="AS35" s="2244"/>
      <c r="AT35" s="2244"/>
      <c r="AU35" s="2245"/>
      <c r="AV35" s="2246"/>
      <c r="AW35" s="2247"/>
      <c r="AX35" s="2248"/>
      <c r="AY35" s="2249"/>
      <c r="AZ35" s="2249"/>
      <c r="BA35" s="2238"/>
      <c r="BB35" s="2264"/>
      <c r="BC35" s="918"/>
      <c r="BD35" s="2252" t="s">
        <v>15</v>
      </c>
      <c r="BE35" s="2237"/>
      <c r="BF35" s="2237"/>
      <c r="BG35" s="2237"/>
      <c r="BH35" s="2237"/>
      <c r="BI35" s="2240"/>
      <c r="BJ35" s="2241"/>
      <c r="BK35" s="2239"/>
      <c r="BL35" s="2242"/>
      <c r="BM35" s="2250"/>
      <c r="BN35" s="2244"/>
      <c r="BO35" s="2244"/>
      <c r="BP35" s="2245"/>
      <c r="BQ35" s="2246"/>
      <c r="BR35" s="2247"/>
      <c r="BS35" s="2248"/>
      <c r="BT35" s="2249"/>
      <c r="BU35" s="2249"/>
      <c r="BV35" s="2238"/>
      <c r="BW35" s="2264"/>
      <c r="BY35" s="3">
        <v>1</v>
      </c>
    </row>
    <row r="36" spans="2:77" ht="21" customHeight="1">
      <c r="B36" s="2265" t="str" cm="1">
        <f t="array" ref="B36">SUMPRODUCT(--(D36:J36&lt;&gt;""), LEN(TRIM(SUBSTITUTE(D36:J36, CHAR(160), "")))) &amp; " Car."</f>
        <v>0 Car.</v>
      </c>
      <c r="C36" s="1376" t="str">
        <f>IF(ISBLANK(D36),"",LARGE(C13:C35,1)+1)</f>
        <v/>
      </c>
      <c r="D36" s="1833"/>
      <c r="E36" s="1810"/>
      <c r="F36" s="1810"/>
      <c r="G36" s="1810"/>
      <c r="H36" s="1810"/>
      <c r="I36" s="1810"/>
      <c r="J36" s="1810"/>
      <c r="K36" s="1810"/>
      <c r="L36" s="1811"/>
      <c r="M36" s="9"/>
      <c r="N36" s="162" t="s">
        <v>10</v>
      </c>
      <c r="O36" s="163" t="str">
        <f>O16</f>
        <v>J JUS DE FRAISES DES BOIS | pâtisserie--ENTREMET| Auteur &gt; recette Béghin Say de Jean-Jacques Borne MOF 1994</v>
      </c>
      <c r="P36" s="163">
        <f>P16</f>
        <v>18</v>
      </c>
      <c r="Q36" s="164" t="str">
        <f>Q16</f>
        <v>desserts</v>
      </c>
      <c r="R36" s="165" t="str">
        <f>R16</f>
        <v>Recette mère ► MILLE-FEUILLE  aux fraises des bois</v>
      </c>
      <c r="S36" s="1548"/>
      <c r="T36" s="1548"/>
      <c r="U36" s="2190">
        <f>ROWS(Y35:Y36)</f>
        <v>2</v>
      </c>
      <c r="V36" s="1548"/>
      <c r="W36" s="2263" t="str" cm="1">
        <f t="array" ref="W36">SUMPRODUCT(--(Y36:AE36&lt;&gt;""), LEN(TRIM(SUBSTITUTE(Y36:AE36, CHAR(160), "")))) &amp; " Car."</f>
        <v>21 Car.</v>
      </c>
      <c r="X36" s="1376">
        <f>IF(ISBLANK(Y36),"",LARGE(X34:X35,1)+1)</f>
        <v>2</v>
      </c>
      <c r="Y36" s="1810" t="s">
        <v>3079</v>
      </c>
      <c r="Z36" s="1810"/>
      <c r="AA36" s="1810"/>
      <c r="AB36" s="1810"/>
      <c r="AC36" s="1810"/>
      <c r="AD36" s="1810"/>
      <c r="AE36" s="1810"/>
      <c r="AF36" s="5994" t="s">
        <v>171</v>
      </c>
      <c r="AG36" s="5564">
        <v>3.472222222222222E-3</v>
      </c>
      <c r="AH36" s="918"/>
      <c r="AI36" s="2252" t="s">
        <v>15</v>
      </c>
      <c r="AJ36" s="2237"/>
      <c r="AK36" s="2237"/>
      <c r="AL36" s="2237"/>
      <c r="AM36" s="2237"/>
      <c r="AN36" s="2240"/>
      <c r="AO36" s="2241"/>
      <c r="AP36" s="2239"/>
      <c r="AQ36" s="2242"/>
      <c r="AR36" s="2250"/>
      <c r="AS36" s="2244"/>
      <c r="AT36" s="2244"/>
      <c r="AU36" s="2245"/>
      <c r="AV36" s="2246"/>
      <c r="AW36" s="2247"/>
      <c r="AX36" s="2248"/>
      <c r="AY36" s="2249"/>
      <c r="AZ36" s="2249"/>
      <c r="BA36" s="2238"/>
      <c r="BB36" s="2264"/>
      <c r="BC36" s="918"/>
      <c r="BD36" s="2252" t="s">
        <v>15</v>
      </c>
      <c r="BE36" s="2237"/>
      <c r="BF36" s="2237"/>
      <c r="BG36" s="2237"/>
      <c r="BH36" s="2237"/>
      <c r="BI36" s="2240"/>
      <c r="BJ36" s="2241"/>
      <c r="BK36" s="2239"/>
      <c r="BL36" s="2242"/>
      <c r="BM36" s="2250"/>
      <c r="BN36" s="2244"/>
      <c r="BO36" s="2244"/>
      <c r="BP36" s="2245"/>
      <c r="BQ36" s="2246"/>
      <c r="BR36" s="2247"/>
      <c r="BS36" s="2248"/>
      <c r="BT36" s="2249"/>
      <c r="BU36" s="2249"/>
      <c r="BV36" s="2238"/>
      <c r="BW36" s="2264"/>
      <c r="BY36" s="3">
        <v>1</v>
      </c>
    </row>
    <row r="37" spans="2:77" ht="21" customHeight="1">
      <c r="B37" s="2265" t="str" cm="1">
        <f t="array" ref="B37">SUMPRODUCT(--(D37:J37&lt;&gt;""), LEN(TRIM(SUBSTITUTE(D37:J37, CHAR(160), "")))) &amp; " Car."</f>
        <v>0 Car.</v>
      </c>
      <c r="C37" s="1376" t="str">
        <f>IF(ISBLANK(D37),"",LARGE(C13:C36,1)+1)</f>
        <v/>
      </c>
      <c r="D37" s="1833"/>
      <c r="E37" s="1810"/>
      <c r="F37" s="1810"/>
      <c r="G37" s="1810"/>
      <c r="H37" s="1810"/>
      <c r="I37" s="1810"/>
      <c r="J37" s="1810"/>
      <c r="K37" s="1810"/>
      <c r="L37" s="1811"/>
      <c r="M37" s="9"/>
      <c r="N37" s="162" t="s">
        <v>10</v>
      </c>
      <c r="O37" s="163" t="str">
        <f>O16</f>
        <v>J JUS DE FRAISES DES BOIS | pâtisserie--ENTREMET| Auteur &gt; recette Béghin Say de Jean-Jacques Borne MOF 1994</v>
      </c>
      <c r="P37" s="163">
        <f>P16</f>
        <v>18</v>
      </c>
      <c r="Q37" s="164" t="str">
        <f>Q16</f>
        <v>desserts</v>
      </c>
      <c r="R37" s="165" t="str">
        <f>R16</f>
        <v>Recette mère ► MILLE-FEUILLE  aux fraises des bois</v>
      </c>
      <c r="S37" s="1548"/>
      <c r="T37" s="1548"/>
      <c r="U37" s="2190">
        <f>ROWS(Y35:Y37)</f>
        <v>3</v>
      </c>
      <c r="V37" s="1548"/>
      <c r="W37" s="2263" t="str" cm="1">
        <f t="array" ref="W37">SUMPRODUCT(--(Y37:AE37&lt;&gt;""), LEN(TRIM(SUBSTITUTE(Y37:AE37, CHAR(160), "")))) &amp; " Car."</f>
        <v>63 Car.</v>
      </c>
      <c r="X37" s="1376">
        <f>IF(ISBLANK(Y37),"",LARGE(X34:X36,1)+1)</f>
        <v>3</v>
      </c>
      <c r="Y37" s="1810" t="s">
        <v>3080</v>
      </c>
      <c r="Z37" s="1810"/>
      <c r="AA37" s="1810"/>
      <c r="AB37" s="1810"/>
      <c r="AC37" s="1810"/>
      <c r="AD37" s="1810"/>
      <c r="AE37" s="1810"/>
      <c r="AF37" s="5994" t="s">
        <v>173</v>
      </c>
      <c r="AG37" s="5565">
        <v>1.0416666666666666E-2</v>
      </c>
      <c r="AH37" s="918"/>
      <c r="AI37" s="2252" t="s">
        <v>15</v>
      </c>
      <c r="AJ37" s="2237"/>
      <c r="AK37" s="2237"/>
      <c r="AL37" s="2237"/>
      <c r="AM37" s="2237"/>
      <c r="AN37" s="2240"/>
      <c r="AO37" s="2241"/>
      <c r="AP37" s="2239"/>
      <c r="AQ37" s="2242"/>
      <c r="AR37" s="2250"/>
      <c r="AS37" s="2244"/>
      <c r="AT37" s="2244"/>
      <c r="AU37" s="2245"/>
      <c r="AV37" s="2246"/>
      <c r="AW37" s="2247"/>
      <c r="AX37" s="2248"/>
      <c r="AY37" s="2249"/>
      <c r="AZ37" s="2249"/>
      <c r="BA37" s="2238"/>
      <c r="BB37" s="2264"/>
      <c r="BC37" s="918"/>
      <c r="BD37" s="2252" t="s">
        <v>15</v>
      </c>
      <c r="BE37" s="2237"/>
      <c r="BF37" s="2237"/>
      <c r="BG37" s="2237"/>
      <c r="BH37" s="2237"/>
      <c r="BI37" s="2240"/>
      <c r="BJ37" s="2241"/>
      <c r="BK37" s="2239"/>
      <c r="BL37" s="2242"/>
      <c r="BM37" s="2250"/>
      <c r="BN37" s="2244"/>
      <c r="BO37" s="2244"/>
      <c r="BP37" s="2245"/>
      <c r="BQ37" s="2246"/>
      <c r="BR37" s="2247"/>
      <c r="BS37" s="2248"/>
      <c r="BT37" s="2249"/>
      <c r="BU37" s="2249"/>
      <c r="BV37" s="2238"/>
      <c r="BW37" s="2264"/>
      <c r="BY37" s="3">
        <v>1</v>
      </c>
    </row>
    <row r="38" spans="2:77" ht="21" customHeight="1">
      <c r="B38" s="2265" t="str" cm="1">
        <f t="array" ref="B38">SUMPRODUCT(--(D38:J38&lt;&gt;""), LEN(TRIM(SUBSTITUTE(D38:J38, CHAR(160), "")))) &amp; " Car."</f>
        <v>0 Car.</v>
      </c>
      <c r="C38" s="1376" t="str">
        <f>IF(ISBLANK(D38),"",LARGE(C13:C37,1)+1)</f>
        <v/>
      </c>
      <c r="D38" s="1833"/>
      <c r="E38" s="1810"/>
      <c r="F38" s="1810"/>
      <c r="G38" s="1810"/>
      <c r="H38" s="1810"/>
      <c r="I38" s="1810"/>
      <c r="J38" s="1810"/>
      <c r="K38" s="1810"/>
      <c r="L38" s="1811"/>
      <c r="M38" s="9"/>
      <c r="N38" s="162" t="s">
        <v>10</v>
      </c>
      <c r="O38" s="163" t="str">
        <f>O16</f>
        <v>J JUS DE FRAISES DES BOIS | pâtisserie--ENTREMET| Auteur &gt; recette Béghin Say de Jean-Jacques Borne MOF 1994</v>
      </c>
      <c r="P38" s="163">
        <f>P16</f>
        <v>18</v>
      </c>
      <c r="Q38" s="164" t="str">
        <f>Q16</f>
        <v>desserts</v>
      </c>
      <c r="R38" s="165" t="str">
        <f>R16</f>
        <v>Recette mère ► MILLE-FEUILLE  aux fraises des bois</v>
      </c>
      <c r="S38" s="1548"/>
      <c r="T38" s="1548"/>
      <c r="U38" s="2190">
        <f>ROWS(Y35:Y38)</f>
        <v>4</v>
      </c>
      <c r="V38" s="1548"/>
      <c r="W38" s="2263" t="str" cm="1">
        <f t="array" ref="W38">SUMPRODUCT(--(Y38:AE38&lt;&gt;""), LEN(TRIM(SUBSTITUTE(Y38:AE38, CHAR(160), "")))) &amp; " Car."</f>
        <v>0 Car.</v>
      </c>
      <c r="X38" s="1376" t="str">
        <f>IF(ISBLANK(Y38),"",LARGE(X34:X37,1)+1)</f>
        <v/>
      </c>
      <c r="Y38" s="1810"/>
      <c r="Z38" s="1833"/>
      <c r="AA38" s="1810"/>
      <c r="AB38" s="1810"/>
      <c r="AC38" s="1810"/>
      <c r="AD38" s="1810"/>
      <c r="AE38" s="1810"/>
      <c r="AF38" s="5994" t="s">
        <v>181</v>
      </c>
      <c r="AG38" s="178">
        <v>2.0833333333333332E-2</v>
      </c>
      <c r="AH38" s="918"/>
      <c r="AI38" s="2252" t="s">
        <v>15</v>
      </c>
      <c r="AJ38" s="2237"/>
      <c r="AK38" s="2237"/>
      <c r="AL38" s="2237"/>
      <c r="AM38" s="2237"/>
      <c r="AN38" s="2240"/>
      <c r="AO38" s="2241"/>
      <c r="AP38" s="2239"/>
      <c r="AQ38" s="2242"/>
      <c r="AR38" s="2250"/>
      <c r="AS38" s="2244"/>
      <c r="AT38" s="2244"/>
      <c r="AU38" s="2245"/>
      <c r="AV38" s="2246"/>
      <c r="AW38" s="2247"/>
      <c r="AX38" s="2248"/>
      <c r="AY38" s="2249"/>
      <c r="AZ38" s="2249"/>
      <c r="BA38" s="2238"/>
      <c r="BB38" s="2264"/>
      <c r="BC38" s="918"/>
      <c r="BD38" s="2252" t="s">
        <v>15</v>
      </c>
      <c r="BE38" s="2237"/>
      <c r="BF38" s="2237"/>
      <c r="BG38" s="2237"/>
      <c r="BH38" s="2237"/>
      <c r="BI38" s="2240"/>
      <c r="BJ38" s="2241"/>
      <c r="BK38" s="2239"/>
      <c r="BL38" s="2242"/>
      <c r="BM38" s="2250"/>
      <c r="BN38" s="2244"/>
      <c r="BO38" s="2244"/>
      <c r="BP38" s="2245"/>
      <c r="BQ38" s="2246"/>
      <c r="BR38" s="2247"/>
      <c r="BS38" s="2248"/>
      <c r="BT38" s="2249"/>
      <c r="BU38" s="2249"/>
      <c r="BV38" s="2238"/>
      <c r="BW38" s="2264"/>
      <c r="BY38" s="3">
        <v>1</v>
      </c>
    </row>
    <row r="39" spans="2:77" ht="21" customHeight="1">
      <c r="B39" s="2265" t="str" cm="1">
        <f t="array" ref="B39">SUMPRODUCT(--(D39:J39&lt;&gt;""), LEN(TRIM(SUBSTITUTE(D39:J39, CHAR(160), "")))) &amp; " Car."</f>
        <v>0 Car.</v>
      </c>
      <c r="C39" s="1376" t="str">
        <f>IF(ISBLANK(D39),"",LARGE(C13:C38,1)+1)</f>
        <v/>
      </c>
      <c r="D39" s="1833"/>
      <c r="E39" s="1810"/>
      <c r="F39" s="1810"/>
      <c r="G39" s="1810"/>
      <c r="H39" s="1810"/>
      <c r="I39" s="1810"/>
      <c r="J39" s="1810"/>
      <c r="K39" s="1810"/>
      <c r="L39" s="1811"/>
      <c r="M39" s="9"/>
      <c r="N39" s="162" t="s">
        <v>10</v>
      </c>
      <c r="O39" s="163" t="str">
        <f>O16</f>
        <v>J JUS DE FRAISES DES BOIS | pâtisserie--ENTREMET| Auteur &gt; recette Béghin Say de Jean-Jacques Borne MOF 1994</v>
      </c>
      <c r="P39" s="163">
        <f>P16</f>
        <v>18</v>
      </c>
      <c r="Q39" s="164" t="str">
        <f>Q16</f>
        <v>desserts</v>
      </c>
      <c r="R39" s="165" t="str">
        <f>R16</f>
        <v>Recette mère ► MILLE-FEUILLE  aux fraises des bois</v>
      </c>
      <c r="S39" s="1548"/>
      <c r="T39" s="1548"/>
      <c r="U39" s="2190">
        <f>ROWS(Y35:Y39)</f>
        <v>5</v>
      </c>
      <c r="V39" s="1548"/>
      <c r="W39" s="2263" t="str" cm="1">
        <f t="array" ref="W39">SUMPRODUCT(--(Y39:AE39&lt;&gt;""), LEN(TRIM(SUBSTITUTE(Y39:AE39, CHAR(160), "")))) &amp; " Car."</f>
        <v>0 Car.</v>
      </c>
      <c r="X39" s="1376" t="str">
        <f>IF(ISBLANK(Y39),"",LARGE(X34:X38,1)+1)</f>
        <v/>
      </c>
      <c r="Y39" s="1810"/>
      <c r="Z39" s="1810"/>
      <c r="AA39" s="1810"/>
      <c r="AB39" s="1810"/>
      <c r="AC39" s="1810"/>
      <c r="AD39" s="1810"/>
      <c r="AE39" s="1810"/>
      <c r="AF39" s="179" t="s">
        <v>182</v>
      </c>
      <c r="AG39" s="180">
        <f>AG36+AG37+AG38</f>
        <v>3.4722222222222224E-2</v>
      </c>
      <c r="AH39" s="918"/>
      <c r="AI39" s="2252" t="s">
        <v>15</v>
      </c>
      <c r="AJ39" s="2237"/>
      <c r="AK39" s="2237"/>
      <c r="AL39" s="2237"/>
      <c r="AM39" s="2237"/>
      <c r="AN39" s="2240"/>
      <c r="AO39" s="2241"/>
      <c r="AP39" s="2239"/>
      <c r="AQ39" s="2242"/>
      <c r="AR39" s="2250"/>
      <c r="AS39" s="2244"/>
      <c r="AT39" s="2244"/>
      <c r="AU39" s="2245"/>
      <c r="AV39" s="2246"/>
      <c r="AW39" s="2247"/>
      <c r="AX39" s="2248"/>
      <c r="AY39" s="2249"/>
      <c r="AZ39" s="2249"/>
      <c r="BA39" s="2238"/>
      <c r="BB39" s="2264"/>
      <c r="BC39" s="918"/>
      <c r="BD39" s="2252" t="s">
        <v>15</v>
      </c>
      <c r="BE39" s="2237"/>
      <c r="BF39" s="2237"/>
      <c r="BG39" s="2237"/>
      <c r="BH39" s="2237"/>
      <c r="BI39" s="2240"/>
      <c r="BJ39" s="2241"/>
      <c r="BK39" s="2239"/>
      <c r="BL39" s="2242"/>
      <c r="BM39" s="2250"/>
      <c r="BN39" s="2244"/>
      <c r="BO39" s="2244"/>
      <c r="BP39" s="2245"/>
      <c r="BQ39" s="2246"/>
      <c r="BR39" s="2247"/>
      <c r="BS39" s="2248"/>
      <c r="BT39" s="2249"/>
      <c r="BU39" s="2249"/>
      <c r="BV39" s="2238"/>
      <c r="BW39" s="2264"/>
      <c r="BY39" s="3">
        <v>1</v>
      </c>
    </row>
    <row r="40" spans="2:77" ht="21" customHeight="1">
      <c r="B40" s="2265" t="str" cm="1">
        <f t="array" ref="B40">SUMPRODUCT(--(D40:J40&lt;&gt;""), LEN(TRIM(SUBSTITUTE(D40:J40, CHAR(160), "")))) &amp; " Car."</f>
        <v>0 Car.</v>
      </c>
      <c r="C40" s="1376" t="str">
        <f>IF(ISBLANK(D40),"",LARGE(C13:C39,1)+1)</f>
        <v/>
      </c>
      <c r="D40" s="1833"/>
      <c r="E40" s="1810"/>
      <c r="F40" s="1810"/>
      <c r="G40" s="1810"/>
      <c r="H40" s="1810"/>
      <c r="I40" s="1810"/>
      <c r="J40" s="1810"/>
      <c r="K40" s="1810"/>
      <c r="L40" s="1811"/>
      <c r="M40" s="9"/>
      <c r="N40" s="162" t="s">
        <v>10</v>
      </c>
      <c r="O40" s="163" t="str">
        <f>O16</f>
        <v>J JUS DE FRAISES DES BOIS | pâtisserie--ENTREMET| Auteur &gt; recette Béghin Say de Jean-Jacques Borne MOF 1994</v>
      </c>
      <c r="P40" s="163">
        <f>P16</f>
        <v>18</v>
      </c>
      <c r="Q40" s="164" t="str">
        <f>Q16</f>
        <v>desserts</v>
      </c>
      <c r="R40" s="165" t="str">
        <f>R16</f>
        <v>Recette mère ► MILLE-FEUILLE  aux fraises des bois</v>
      </c>
      <c r="S40" s="1548"/>
      <c r="T40" s="1548"/>
      <c r="U40" s="2190">
        <f>ROWS(Y35:Y40)</f>
        <v>6</v>
      </c>
      <c r="V40" s="1548"/>
      <c r="W40" s="2263" t="str" cm="1">
        <f t="array" ref="W40">SUMPRODUCT(--(Y40:AE40&lt;&gt;""), LEN(TRIM(SUBSTITUTE(Y40:AE40, CHAR(160), "")))) &amp; " Car."</f>
        <v>0 Car.</v>
      </c>
      <c r="X40" s="1376" t="str">
        <f>IF(ISBLANK(Y40),"",LARGE(X34:X39,1)+1)</f>
        <v/>
      </c>
      <c r="Y40" s="1810"/>
      <c r="Z40" s="1833"/>
      <c r="AA40" s="1810"/>
      <c r="AB40" s="1810"/>
      <c r="AC40" s="1810"/>
      <c r="AD40" s="1810"/>
      <c r="AE40" s="1810"/>
      <c r="AF40" s="1810"/>
      <c r="AG40" s="1811"/>
      <c r="AH40" s="918"/>
      <c r="AI40" s="2252" t="s">
        <v>15</v>
      </c>
      <c r="AJ40" s="2237"/>
      <c r="AK40" s="2237"/>
      <c r="AL40" s="2237"/>
      <c r="AM40" s="2237"/>
      <c r="AN40" s="2240"/>
      <c r="AO40" s="2241"/>
      <c r="AP40" s="2239"/>
      <c r="AQ40" s="2242"/>
      <c r="AR40" s="2250"/>
      <c r="AS40" s="2244"/>
      <c r="AT40" s="2244"/>
      <c r="AU40" s="2245"/>
      <c r="AV40" s="2246"/>
      <c r="AW40" s="2247"/>
      <c r="AX40" s="2248"/>
      <c r="AY40" s="2249"/>
      <c r="AZ40" s="2249"/>
      <c r="BA40" s="2238"/>
      <c r="BB40" s="2264"/>
      <c r="BC40" s="918"/>
      <c r="BD40" s="2252" t="s">
        <v>15</v>
      </c>
      <c r="BE40" s="2237"/>
      <c r="BF40" s="2237"/>
      <c r="BG40" s="2237"/>
      <c r="BH40" s="2237"/>
      <c r="BI40" s="2240"/>
      <c r="BJ40" s="2241"/>
      <c r="BK40" s="2239"/>
      <c r="BL40" s="2242"/>
      <c r="BM40" s="2250"/>
      <c r="BN40" s="2244"/>
      <c r="BO40" s="2244"/>
      <c r="BP40" s="2245"/>
      <c r="BQ40" s="2246"/>
      <c r="BR40" s="2247"/>
      <c r="BS40" s="2248"/>
      <c r="BT40" s="2249"/>
      <c r="BU40" s="2249"/>
      <c r="BV40" s="2238"/>
      <c r="BW40" s="2264"/>
      <c r="BY40" s="3">
        <v>1</v>
      </c>
    </row>
    <row r="41" spans="2:77" ht="21" customHeight="1">
      <c r="B41" s="2265" t="str" cm="1">
        <f t="array" ref="B41">SUMPRODUCT(--(D41:J41&lt;&gt;""), LEN(TRIM(SUBSTITUTE(D41:J41, CHAR(160), "")))) &amp; " Car."</f>
        <v>0 Car.</v>
      </c>
      <c r="C41" s="1376" t="str">
        <f>IF(ISBLANK(D41),"",LARGE(C13:C40,1)+1)</f>
        <v/>
      </c>
      <c r="D41" s="1833"/>
      <c r="E41" s="1810"/>
      <c r="F41" s="1810"/>
      <c r="G41" s="1810"/>
      <c r="H41" s="1810"/>
      <c r="I41" s="1810"/>
      <c r="J41" s="1810"/>
      <c r="K41" s="1810"/>
      <c r="L41" s="1811"/>
      <c r="M41" s="9"/>
      <c r="N41" s="162" t="s">
        <v>10</v>
      </c>
      <c r="O41" s="163" t="str">
        <f>O16</f>
        <v>J JUS DE FRAISES DES BOIS | pâtisserie--ENTREMET| Auteur &gt; recette Béghin Say de Jean-Jacques Borne MOF 1994</v>
      </c>
      <c r="P41" s="163">
        <f>P16</f>
        <v>18</v>
      </c>
      <c r="Q41" s="164" t="str">
        <f>Q16</f>
        <v>desserts</v>
      </c>
      <c r="R41" s="165" t="str">
        <f>R16</f>
        <v>Recette mère ► MILLE-FEUILLE  aux fraises des bois</v>
      </c>
      <c r="S41" s="1548"/>
      <c r="T41" s="1548"/>
      <c r="U41" s="2190">
        <f>ROWS(Y35:Y41)</f>
        <v>7</v>
      </c>
      <c r="V41" s="1548"/>
      <c r="W41" s="2263" t="str" cm="1">
        <f t="array" ref="W41">SUMPRODUCT(--(Y41:AE41&lt;&gt;""), LEN(TRIM(SUBSTITUTE(Y41:AE41, CHAR(160), "")))) &amp; " Car."</f>
        <v>0 Car.</v>
      </c>
      <c r="X41" s="1376" t="str">
        <f>IF(ISBLANK(Y41),"",LARGE(X34:X40,1)+1)</f>
        <v/>
      </c>
      <c r="Y41" s="1810"/>
      <c r="Z41" s="1810"/>
      <c r="AA41" s="1810"/>
      <c r="AB41" s="1810"/>
      <c r="AC41" s="1810"/>
      <c r="AD41" s="1810"/>
      <c r="AE41" s="1810"/>
      <c r="AF41" s="1810"/>
      <c r="AG41" s="1811"/>
      <c r="AH41" s="918"/>
      <c r="AI41" s="2252" t="s">
        <v>15</v>
      </c>
      <c r="AJ41" s="2237"/>
      <c r="AK41" s="2237"/>
      <c r="AL41" s="2237"/>
      <c r="AM41" s="2237"/>
      <c r="AN41" s="2240"/>
      <c r="AO41" s="2241"/>
      <c r="AP41" s="2239"/>
      <c r="AQ41" s="2242"/>
      <c r="AR41" s="2250"/>
      <c r="AS41" s="2244"/>
      <c r="AT41" s="2244"/>
      <c r="AU41" s="2245"/>
      <c r="AV41" s="2246"/>
      <c r="AW41" s="2247"/>
      <c r="AX41" s="2248"/>
      <c r="AY41" s="2249"/>
      <c r="AZ41" s="2249"/>
      <c r="BA41" s="2238"/>
      <c r="BB41" s="2264"/>
      <c r="BC41" s="918"/>
      <c r="BD41" s="2252" t="s">
        <v>15</v>
      </c>
      <c r="BE41" s="2237"/>
      <c r="BF41" s="2237"/>
      <c r="BG41" s="2237"/>
      <c r="BH41" s="2237"/>
      <c r="BI41" s="2240"/>
      <c r="BJ41" s="2241"/>
      <c r="BK41" s="2239"/>
      <c r="BL41" s="2242"/>
      <c r="BM41" s="2250"/>
      <c r="BN41" s="2244"/>
      <c r="BO41" s="2244"/>
      <c r="BP41" s="2245"/>
      <c r="BQ41" s="2246"/>
      <c r="BR41" s="2247"/>
      <c r="BS41" s="2248"/>
      <c r="BT41" s="2249"/>
      <c r="BU41" s="2249"/>
      <c r="BV41" s="2238"/>
      <c r="BW41" s="2264"/>
      <c r="BY41" s="3">
        <v>1</v>
      </c>
    </row>
    <row r="42" spans="2:77" ht="21" customHeight="1">
      <c r="B42" s="2265" t="str" cm="1">
        <f t="array" ref="B42">SUMPRODUCT(--(D42:J42&lt;&gt;""), LEN(TRIM(SUBSTITUTE(D42:J42, CHAR(160), "")))) &amp; " Car."</f>
        <v>0 Car.</v>
      </c>
      <c r="C42" s="1376" t="str">
        <f>IF(ISBLANK(D42),"",LARGE(C13:C41,1)+1)</f>
        <v/>
      </c>
      <c r="D42" s="1833"/>
      <c r="E42" s="1810"/>
      <c r="F42" s="1810"/>
      <c r="G42" s="1810"/>
      <c r="H42" s="1810"/>
      <c r="I42" s="1810"/>
      <c r="J42" s="1810"/>
      <c r="K42" s="1810"/>
      <c r="L42" s="1811"/>
      <c r="M42" s="9"/>
      <c r="N42" s="162" t="s">
        <v>10</v>
      </c>
      <c r="O42" s="163" t="str">
        <f>O16</f>
        <v>J JUS DE FRAISES DES BOIS | pâtisserie--ENTREMET| Auteur &gt; recette Béghin Say de Jean-Jacques Borne MOF 1994</v>
      </c>
      <c r="P42" s="163">
        <f>P16</f>
        <v>18</v>
      </c>
      <c r="Q42" s="164" t="str">
        <f>Q16</f>
        <v>desserts</v>
      </c>
      <c r="R42" s="165" t="str">
        <f>R16</f>
        <v>Recette mère ► MILLE-FEUILLE  aux fraises des bois</v>
      </c>
      <c r="S42" s="1548"/>
      <c r="T42" s="1548"/>
      <c r="U42" s="2190">
        <f>ROWS(Y35:Y42)</f>
        <v>8</v>
      </c>
      <c r="V42" s="1548"/>
      <c r="W42" s="2263" t="str" cm="1">
        <f t="array" ref="W42">SUMPRODUCT(--(Y42:AE42&lt;&gt;""), LEN(TRIM(SUBSTITUTE(Y42:AE42, CHAR(160), "")))) &amp; " Car."</f>
        <v>0 Car.</v>
      </c>
      <c r="X42" s="1376" t="str">
        <f>IF(ISBLANK(Y42),"",LARGE(X34:X41,1)+1)</f>
        <v/>
      </c>
      <c r="Y42" s="1810"/>
      <c r="Z42" s="1810"/>
      <c r="AA42" s="1810"/>
      <c r="AB42" s="1810"/>
      <c r="AC42" s="1810"/>
      <c r="AD42" s="1810"/>
      <c r="AE42" s="1810"/>
      <c r="AF42" s="1810"/>
      <c r="AG42" s="1811"/>
      <c r="AH42" s="918"/>
      <c r="AI42" s="2252" t="s">
        <v>15</v>
      </c>
      <c r="AJ42" s="2237"/>
      <c r="AK42" s="2237"/>
      <c r="AL42" s="2237"/>
      <c r="AM42" s="2237"/>
      <c r="AN42" s="2240"/>
      <c r="AO42" s="2241"/>
      <c r="AP42" s="2239"/>
      <c r="AQ42" s="2242"/>
      <c r="AR42" s="2250"/>
      <c r="AS42" s="2244"/>
      <c r="AT42" s="2244"/>
      <c r="AU42" s="2245"/>
      <c r="AV42" s="2246"/>
      <c r="AW42" s="2247"/>
      <c r="AX42" s="2248"/>
      <c r="AY42" s="2249"/>
      <c r="AZ42" s="2249"/>
      <c r="BA42" s="2238"/>
      <c r="BB42" s="2264"/>
      <c r="BC42" s="918"/>
      <c r="BD42" s="2252" t="s">
        <v>15</v>
      </c>
      <c r="BE42" s="2237"/>
      <c r="BF42" s="2237"/>
      <c r="BG42" s="2237"/>
      <c r="BH42" s="2237"/>
      <c r="BI42" s="2240"/>
      <c r="BJ42" s="2241"/>
      <c r="BK42" s="2239"/>
      <c r="BL42" s="2242"/>
      <c r="BM42" s="2250"/>
      <c r="BN42" s="2244"/>
      <c r="BO42" s="2244"/>
      <c r="BP42" s="2245"/>
      <c r="BQ42" s="2246"/>
      <c r="BR42" s="2247"/>
      <c r="BS42" s="2248"/>
      <c r="BT42" s="2249"/>
      <c r="BU42" s="2249"/>
      <c r="BV42" s="2238"/>
      <c r="BW42" s="2264"/>
      <c r="BY42" s="3">
        <v>1</v>
      </c>
    </row>
    <row r="43" spans="2:77" ht="21" customHeight="1">
      <c r="B43" s="2265" t="str" cm="1">
        <f t="array" ref="B43">SUMPRODUCT(--(D43:J43&lt;&gt;""), LEN(TRIM(SUBSTITUTE(D43:J43, CHAR(160), "")))) &amp; " Car."</f>
        <v>0 Car.</v>
      </c>
      <c r="C43" s="1376" t="str">
        <f>IF(ISBLANK(D43),"",LARGE(C13:C42,1)+1)</f>
        <v/>
      </c>
      <c r="D43" s="1833"/>
      <c r="E43" s="1810"/>
      <c r="F43" s="1810"/>
      <c r="G43" s="1810"/>
      <c r="H43" s="1810"/>
      <c r="I43" s="1810"/>
      <c r="J43" s="1810"/>
      <c r="K43" s="1810"/>
      <c r="L43" s="1811"/>
      <c r="M43" s="9"/>
      <c r="N43" s="162" t="s">
        <v>10</v>
      </c>
      <c r="O43" s="163" t="str">
        <f>O16</f>
        <v>J JUS DE FRAISES DES BOIS | pâtisserie--ENTREMET| Auteur &gt; recette Béghin Say de Jean-Jacques Borne MOF 1994</v>
      </c>
      <c r="P43" s="163">
        <f>P16</f>
        <v>18</v>
      </c>
      <c r="Q43" s="164" t="str">
        <f>Q16</f>
        <v>desserts</v>
      </c>
      <c r="R43" s="165" t="str">
        <f>R16</f>
        <v>Recette mère ► MILLE-FEUILLE  aux fraises des bois</v>
      </c>
      <c r="S43" s="1548"/>
      <c r="T43" s="1548"/>
      <c r="U43" s="2190">
        <f>ROWS(Y35:Y43)</f>
        <v>9</v>
      </c>
      <c r="V43" s="1548"/>
      <c r="W43" s="2263" t="str" cm="1">
        <f t="array" ref="W43">SUMPRODUCT(--(Y43:AE43&lt;&gt;""), LEN(TRIM(SUBSTITUTE(Y43:AE43, CHAR(160), "")))) &amp; " Car."</f>
        <v>0 Car.</v>
      </c>
      <c r="X43" s="1376" t="str">
        <f>IF(ISBLANK(Y43),"",LARGE(X34:X42,1)+1)</f>
        <v/>
      </c>
      <c r="Y43" s="1810"/>
      <c r="Z43" s="1810"/>
      <c r="AA43" s="1810"/>
      <c r="AB43" s="1810"/>
      <c r="AC43" s="1810"/>
      <c r="AD43" s="1810"/>
      <c r="AE43" s="1810"/>
      <c r="AF43" s="1810"/>
      <c r="AG43" s="1811"/>
      <c r="AH43" s="918"/>
      <c r="AI43" s="2252" t="s">
        <v>15</v>
      </c>
      <c r="AJ43" s="2237"/>
      <c r="AK43" s="2237"/>
      <c r="AL43" s="2237"/>
      <c r="AM43" s="2237"/>
      <c r="AN43" s="2240"/>
      <c r="AO43" s="2241"/>
      <c r="AP43" s="2239"/>
      <c r="AQ43" s="2242"/>
      <c r="AR43" s="2250"/>
      <c r="AS43" s="2244"/>
      <c r="AT43" s="2244"/>
      <c r="AU43" s="2245"/>
      <c r="AV43" s="2246"/>
      <c r="AW43" s="2247"/>
      <c r="AX43" s="2248"/>
      <c r="AY43" s="2249"/>
      <c r="AZ43" s="2249"/>
      <c r="BA43" s="2238"/>
      <c r="BB43" s="2264"/>
      <c r="BC43" s="918"/>
      <c r="BD43" s="2252" t="s">
        <v>15</v>
      </c>
      <c r="BE43" s="2237"/>
      <c r="BF43" s="2237"/>
      <c r="BG43" s="2237"/>
      <c r="BH43" s="2237"/>
      <c r="BI43" s="2240"/>
      <c r="BJ43" s="2241"/>
      <c r="BK43" s="2239"/>
      <c r="BL43" s="2242"/>
      <c r="BM43" s="2250"/>
      <c r="BN43" s="2244"/>
      <c r="BO43" s="2244"/>
      <c r="BP43" s="2245"/>
      <c r="BQ43" s="2246"/>
      <c r="BR43" s="2247"/>
      <c r="BS43" s="2248"/>
      <c r="BT43" s="2249"/>
      <c r="BU43" s="2249"/>
      <c r="BV43" s="2238"/>
      <c r="BW43" s="2264"/>
      <c r="BY43" s="3">
        <v>1</v>
      </c>
    </row>
    <row r="44" spans="2:77" ht="21" customHeight="1">
      <c r="B44" s="2265" t="str" cm="1">
        <f t="array" ref="B44">SUMPRODUCT(--(D44:J44&lt;&gt;""), LEN(TRIM(SUBSTITUTE(D44:J44, CHAR(160), "")))) &amp; " Car."</f>
        <v>0 Car.</v>
      </c>
      <c r="C44" s="1376" t="str">
        <f>IF(ISBLANK(D44),"",LARGE(C13:C43,1)+1)</f>
        <v/>
      </c>
      <c r="D44" s="1833"/>
      <c r="E44" s="1810"/>
      <c r="F44" s="1810"/>
      <c r="G44" s="1810"/>
      <c r="H44" s="1810"/>
      <c r="I44" s="1810"/>
      <c r="J44" s="1810"/>
      <c r="K44" s="1810"/>
      <c r="L44" s="1811"/>
      <c r="M44" s="9"/>
      <c r="N44" s="162" t="s">
        <v>10</v>
      </c>
      <c r="O44" s="163" t="str">
        <f>O16</f>
        <v>J JUS DE FRAISES DES BOIS | pâtisserie--ENTREMET| Auteur &gt; recette Béghin Say de Jean-Jacques Borne MOF 1994</v>
      </c>
      <c r="P44" s="163">
        <f>P16</f>
        <v>18</v>
      </c>
      <c r="Q44" s="164" t="str">
        <f>Q16</f>
        <v>desserts</v>
      </c>
      <c r="R44" s="165" t="str">
        <f>R16</f>
        <v>Recette mère ► MILLE-FEUILLE  aux fraises des bois</v>
      </c>
      <c r="S44" s="1548"/>
      <c r="T44" s="1548"/>
      <c r="U44" s="2190">
        <f>ROWS(Y35:Y44)</f>
        <v>10</v>
      </c>
      <c r="V44" s="1548"/>
      <c r="W44" s="2263" t="str" cm="1">
        <f t="array" ref="W44">SUMPRODUCT(--(Y44:AE44&lt;&gt;""), LEN(TRIM(SUBSTITUTE(Y44:AE44, CHAR(160), "")))) &amp; " Car."</f>
        <v>0 Car.</v>
      </c>
      <c r="X44" s="1376" t="str">
        <f>IF(ISBLANK(Y44),"",LARGE(X34:X43,1)+1)</f>
        <v/>
      </c>
      <c r="Y44" s="1810"/>
      <c r="Z44" s="1810"/>
      <c r="AA44" s="1810"/>
      <c r="AB44" s="1810"/>
      <c r="AC44" s="1810"/>
      <c r="AD44" s="1810"/>
      <c r="AE44" s="1810"/>
      <c r="AF44" s="1810"/>
      <c r="AG44" s="1811"/>
      <c r="AH44" s="918"/>
      <c r="AI44" s="2252" t="s">
        <v>15</v>
      </c>
      <c r="AJ44" s="2237"/>
      <c r="AK44" s="2237"/>
      <c r="AL44" s="2237"/>
      <c r="AM44" s="2237"/>
      <c r="AN44" s="2240"/>
      <c r="AO44" s="2241"/>
      <c r="AP44" s="2239"/>
      <c r="AQ44" s="2242"/>
      <c r="AR44" s="2250"/>
      <c r="AS44" s="2244"/>
      <c r="AT44" s="2244"/>
      <c r="AU44" s="2245"/>
      <c r="AV44" s="2246"/>
      <c r="AW44" s="2247"/>
      <c r="AX44" s="2248"/>
      <c r="AY44" s="2249"/>
      <c r="AZ44" s="2249"/>
      <c r="BA44" s="2238"/>
      <c r="BB44" s="2264"/>
      <c r="BC44" s="918"/>
      <c r="BD44" s="2252" t="s">
        <v>15</v>
      </c>
      <c r="BE44" s="2237"/>
      <c r="BF44" s="2237"/>
      <c r="BG44" s="2237"/>
      <c r="BH44" s="2237"/>
      <c r="BI44" s="2240"/>
      <c r="BJ44" s="2241"/>
      <c r="BK44" s="2239"/>
      <c r="BL44" s="2242"/>
      <c r="BM44" s="2250"/>
      <c r="BN44" s="2244"/>
      <c r="BO44" s="2244"/>
      <c r="BP44" s="2245"/>
      <c r="BQ44" s="2246"/>
      <c r="BR44" s="2247"/>
      <c r="BS44" s="2248"/>
      <c r="BT44" s="2249"/>
      <c r="BU44" s="2249"/>
      <c r="BV44" s="2238"/>
      <c r="BW44" s="2264"/>
      <c r="BY44" s="3">
        <v>1</v>
      </c>
    </row>
    <row r="45" spans="2:77" ht="21" customHeight="1">
      <c r="B45" s="2265" t="str" cm="1">
        <f t="array" ref="B45">SUMPRODUCT(--(D45:J45&lt;&gt;""), LEN(TRIM(SUBSTITUTE(D45:J45, CHAR(160), "")))) &amp; " Car."</f>
        <v>0 Car.</v>
      </c>
      <c r="C45" s="1376" t="str">
        <f>IF(ISBLANK(D45),"",LARGE(C13:C44,1)+1)</f>
        <v/>
      </c>
      <c r="D45" s="1833"/>
      <c r="E45" s="1810"/>
      <c r="F45" s="1810"/>
      <c r="G45" s="1810"/>
      <c r="H45" s="1810"/>
      <c r="I45" s="1810"/>
      <c r="J45" s="1810"/>
      <c r="K45" s="1810"/>
      <c r="L45" s="1811"/>
      <c r="M45" s="9"/>
      <c r="N45" s="162" t="s">
        <v>10</v>
      </c>
      <c r="O45" s="163" t="str">
        <f>O16</f>
        <v>J JUS DE FRAISES DES BOIS | pâtisserie--ENTREMET| Auteur &gt; recette Béghin Say de Jean-Jacques Borne MOF 1994</v>
      </c>
      <c r="P45" s="163">
        <f>P16</f>
        <v>18</v>
      </c>
      <c r="Q45" s="164" t="str">
        <f>Q16</f>
        <v>desserts</v>
      </c>
      <c r="R45" s="165" t="str">
        <f>R16</f>
        <v>Recette mère ► MILLE-FEUILLE  aux fraises des bois</v>
      </c>
      <c r="S45" s="1548"/>
      <c r="T45" s="1548"/>
      <c r="U45" s="2190">
        <f>ROWS(Y35:Y45)</f>
        <v>11</v>
      </c>
      <c r="V45" s="1548"/>
      <c r="W45" s="2263" t="str" cm="1">
        <f t="array" ref="W45">SUMPRODUCT(--(Y45:AE45&lt;&gt;""), LEN(TRIM(SUBSTITUTE(Y45:AE45, CHAR(160), "")))) &amp; " Car."</f>
        <v>0 Car.</v>
      </c>
      <c r="X45" s="1376" t="str">
        <f>IF(ISBLANK(Y45),"",LARGE(X34:X44,1)+1)</f>
        <v/>
      </c>
      <c r="Y45" s="1810"/>
      <c r="Z45" s="1810"/>
      <c r="AA45" s="1810"/>
      <c r="AB45" s="1810"/>
      <c r="AC45" s="1810"/>
      <c r="AD45" s="1810"/>
      <c r="AE45" s="1810"/>
      <c r="AF45" s="1810"/>
      <c r="AG45" s="1811"/>
      <c r="AH45" s="918"/>
      <c r="AI45" s="2252" t="s">
        <v>15</v>
      </c>
      <c r="AJ45" s="2237"/>
      <c r="AK45" s="2237"/>
      <c r="AL45" s="2237"/>
      <c r="AM45" s="2237"/>
      <c r="AN45" s="2240"/>
      <c r="AO45" s="2241"/>
      <c r="AP45" s="2239"/>
      <c r="AQ45" s="2242"/>
      <c r="AR45" s="2250"/>
      <c r="AS45" s="2244"/>
      <c r="AT45" s="2244"/>
      <c r="AU45" s="2245"/>
      <c r="AV45" s="2246"/>
      <c r="AW45" s="2247"/>
      <c r="AX45" s="2248"/>
      <c r="AY45" s="2249"/>
      <c r="AZ45" s="2249"/>
      <c r="BA45" s="2238"/>
      <c r="BB45" s="2264"/>
      <c r="BC45" s="918"/>
      <c r="BD45" s="2252" t="s">
        <v>15</v>
      </c>
      <c r="BE45" s="2237"/>
      <c r="BF45" s="2237"/>
      <c r="BG45" s="2237"/>
      <c r="BH45" s="2237"/>
      <c r="BI45" s="2240"/>
      <c r="BJ45" s="2241"/>
      <c r="BK45" s="2239"/>
      <c r="BL45" s="2242"/>
      <c r="BM45" s="2250"/>
      <c r="BN45" s="2244"/>
      <c r="BO45" s="2244"/>
      <c r="BP45" s="2245"/>
      <c r="BQ45" s="2246"/>
      <c r="BR45" s="2247"/>
      <c r="BS45" s="2248"/>
      <c r="BT45" s="2249"/>
      <c r="BU45" s="2249"/>
      <c r="BV45" s="2238"/>
      <c r="BW45" s="2264"/>
      <c r="BY45" s="3">
        <v>1</v>
      </c>
    </row>
    <row r="46" spans="2:77" ht="21" customHeight="1">
      <c r="B46" s="2265" t="str" cm="1">
        <f t="array" ref="B46">SUMPRODUCT(--(D46:J46&lt;&gt;""), LEN(TRIM(SUBSTITUTE(D46:J46, CHAR(160), "")))) &amp; " Car."</f>
        <v>0 Car.</v>
      </c>
      <c r="C46" s="1376" t="str">
        <f>IF(ISBLANK(D46),"",LARGE(C13:C45,1)+1)</f>
        <v/>
      </c>
      <c r="D46" s="1833"/>
      <c r="E46" s="1810"/>
      <c r="F46" s="1810"/>
      <c r="G46" s="1810"/>
      <c r="H46" s="1810"/>
      <c r="I46" s="1810"/>
      <c r="J46" s="1810"/>
      <c r="K46" s="1810"/>
      <c r="L46" s="1811"/>
      <c r="M46" s="9"/>
      <c r="N46" s="162" t="s">
        <v>10</v>
      </c>
      <c r="O46" s="163" t="str">
        <f>O16</f>
        <v>J JUS DE FRAISES DES BOIS | pâtisserie--ENTREMET| Auteur &gt; recette Béghin Say de Jean-Jacques Borne MOF 1994</v>
      </c>
      <c r="P46" s="163">
        <f>P16</f>
        <v>18</v>
      </c>
      <c r="Q46" s="164" t="str">
        <f>Q16</f>
        <v>desserts</v>
      </c>
      <c r="R46" s="165" t="str">
        <f>R16</f>
        <v>Recette mère ► MILLE-FEUILLE  aux fraises des bois</v>
      </c>
      <c r="S46" s="1548"/>
      <c r="T46" s="1548"/>
      <c r="U46" s="2190">
        <f>ROWS(Y35:Y46)</f>
        <v>12</v>
      </c>
      <c r="V46" s="1548"/>
      <c r="W46" s="2263" t="str" cm="1">
        <f t="array" ref="W46">SUMPRODUCT(--(Y46:AE46&lt;&gt;""), LEN(TRIM(SUBSTITUTE(Y46:AE46, CHAR(160), "")))) &amp; " Car."</f>
        <v>0 Car.</v>
      </c>
      <c r="X46" s="1376" t="str">
        <f>IF(ISBLANK(Y46),"",LARGE(X34:X45,1)+1)</f>
        <v/>
      </c>
      <c r="Y46" s="1810"/>
      <c r="Z46" s="1810"/>
      <c r="AA46" s="1810"/>
      <c r="AB46" s="1810"/>
      <c r="AC46" s="1810"/>
      <c r="AD46" s="1810"/>
      <c r="AE46" s="1810"/>
      <c r="AF46" s="1810"/>
      <c r="AG46" s="1811"/>
      <c r="AH46" s="918"/>
      <c r="AI46" s="2252" t="s">
        <v>15</v>
      </c>
      <c r="AJ46" s="2237"/>
      <c r="AK46" s="2237"/>
      <c r="AL46" s="2237"/>
      <c r="AM46" s="2237"/>
      <c r="AN46" s="2240"/>
      <c r="AO46" s="2241"/>
      <c r="AP46" s="2239"/>
      <c r="AQ46" s="2242"/>
      <c r="AR46" s="2250"/>
      <c r="AS46" s="2244"/>
      <c r="AT46" s="2244"/>
      <c r="AU46" s="2245"/>
      <c r="AV46" s="2246"/>
      <c r="AW46" s="2247"/>
      <c r="AX46" s="2248"/>
      <c r="AY46" s="2249"/>
      <c r="AZ46" s="2249"/>
      <c r="BA46" s="2238"/>
      <c r="BB46" s="2264"/>
      <c r="BC46" s="918"/>
      <c r="BD46" s="2252" t="s">
        <v>15</v>
      </c>
      <c r="BE46" s="2237"/>
      <c r="BF46" s="2237"/>
      <c r="BG46" s="2237"/>
      <c r="BH46" s="2237"/>
      <c r="BI46" s="2240"/>
      <c r="BJ46" s="2241"/>
      <c r="BK46" s="2239"/>
      <c r="BL46" s="2242"/>
      <c r="BM46" s="2250"/>
      <c r="BN46" s="2244"/>
      <c r="BO46" s="2244"/>
      <c r="BP46" s="2245"/>
      <c r="BQ46" s="2246"/>
      <c r="BR46" s="2247"/>
      <c r="BS46" s="2248"/>
      <c r="BT46" s="2249"/>
      <c r="BU46" s="2249"/>
      <c r="BV46" s="2238"/>
      <c r="BW46" s="2264"/>
      <c r="BY46" s="3">
        <v>1</v>
      </c>
    </row>
    <row r="47" spans="2:77" ht="21" customHeight="1">
      <c r="B47" s="2265" t="str" cm="1">
        <f t="array" ref="B47">SUMPRODUCT(--(D47:J47&lt;&gt;""), LEN(TRIM(SUBSTITUTE(D47:J47, CHAR(160), "")))) &amp; " Car."</f>
        <v>0 Car.</v>
      </c>
      <c r="C47" s="1376" t="str">
        <f>IF(ISBLANK(D47),"",LARGE(C13:C46,1)+1)</f>
        <v/>
      </c>
      <c r="D47" s="1833"/>
      <c r="E47" s="1810"/>
      <c r="F47" s="1810"/>
      <c r="G47" s="1810"/>
      <c r="H47" s="1810"/>
      <c r="I47" s="1810"/>
      <c r="J47" s="1810"/>
      <c r="K47" s="1810"/>
      <c r="L47" s="1811"/>
      <c r="M47" s="9"/>
      <c r="N47" s="162" t="s">
        <v>10</v>
      </c>
      <c r="O47" s="163" t="str">
        <f>O16</f>
        <v>J JUS DE FRAISES DES BOIS | pâtisserie--ENTREMET| Auteur &gt; recette Béghin Say de Jean-Jacques Borne MOF 1994</v>
      </c>
      <c r="P47" s="163">
        <f>P16</f>
        <v>18</v>
      </c>
      <c r="Q47" s="164" t="str">
        <f>Q16</f>
        <v>desserts</v>
      </c>
      <c r="R47" s="165" t="str">
        <f>R16</f>
        <v>Recette mère ► MILLE-FEUILLE  aux fraises des bois</v>
      </c>
      <c r="S47" s="1548"/>
      <c r="T47" s="1548"/>
      <c r="U47" s="2190">
        <f>ROWS(Y35:Y47)</f>
        <v>13</v>
      </c>
      <c r="V47" s="1548"/>
      <c r="W47" s="2263" t="str" cm="1">
        <f t="array" ref="W47">SUMPRODUCT(--(Y47:AE47&lt;&gt;""), LEN(TRIM(SUBSTITUTE(Y47:AE47, CHAR(160), "")))) &amp; " Car."</f>
        <v>0 Car.</v>
      </c>
      <c r="X47" s="1376" t="str">
        <f>IF(ISBLANK(Y47),"",LARGE(X34:X46,1)+1)</f>
        <v/>
      </c>
      <c r="Y47" s="1810"/>
      <c r="Z47" s="1810"/>
      <c r="AA47" s="1810"/>
      <c r="AB47" s="1810"/>
      <c r="AC47" s="1810"/>
      <c r="AD47" s="1810"/>
      <c r="AE47" s="1810"/>
      <c r="AF47" s="1810"/>
      <c r="AG47" s="1811"/>
      <c r="AH47" s="918"/>
      <c r="AI47" s="2252" t="s">
        <v>15</v>
      </c>
      <c r="AJ47" s="2237"/>
      <c r="AK47" s="2237"/>
      <c r="AL47" s="2237"/>
      <c r="AM47" s="2237"/>
      <c r="AN47" s="2240"/>
      <c r="AO47" s="2241"/>
      <c r="AP47" s="2239"/>
      <c r="AQ47" s="2242"/>
      <c r="AR47" s="2250"/>
      <c r="AS47" s="2244"/>
      <c r="AT47" s="2244"/>
      <c r="AU47" s="2245"/>
      <c r="AV47" s="2246"/>
      <c r="AW47" s="2247"/>
      <c r="AX47" s="2248"/>
      <c r="AY47" s="2249"/>
      <c r="AZ47" s="2249"/>
      <c r="BA47" s="2238"/>
      <c r="BB47" s="2264"/>
      <c r="BC47" s="918"/>
      <c r="BD47" s="2252" t="s">
        <v>15</v>
      </c>
      <c r="BE47" s="2237"/>
      <c r="BF47" s="2237"/>
      <c r="BG47" s="2237"/>
      <c r="BH47" s="2237"/>
      <c r="BI47" s="2240"/>
      <c r="BJ47" s="2241"/>
      <c r="BK47" s="2239"/>
      <c r="BL47" s="2242"/>
      <c r="BM47" s="2250"/>
      <c r="BN47" s="2244"/>
      <c r="BO47" s="2244"/>
      <c r="BP47" s="2245"/>
      <c r="BQ47" s="2246"/>
      <c r="BR47" s="2247"/>
      <c r="BS47" s="2248"/>
      <c r="BT47" s="2249"/>
      <c r="BU47" s="2249"/>
      <c r="BV47" s="2238"/>
      <c r="BW47" s="2264"/>
      <c r="BY47" s="3">
        <v>1</v>
      </c>
    </row>
    <row r="48" spans="2:77" ht="21" customHeight="1">
      <c r="B48" s="2265" t="str" cm="1">
        <f t="array" ref="B48">SUMPRODUCT(--(D48:J48&lt;&gt;""), LEN(TRIM(SUBSTITUTE(D48:J48, CHAR(160), "")))) &amp; " Car."</f>
        <v>0 Car.</v>
      </c>
      <c r="C48" s="1376" t="str">
        <f>IF(ISBLANK(D48),"",LARGE(C13:C47,1)+1)</f>
        <v/>
      </c>
      <c r="D48" s="1833"/>
      <c r="E48" s="1810"/>
      <c r="F48" s="1810"/>
      <c r="G48" s="1810"/>
      <c r="H48" s="1810"/>
      <c r="I48" s="1810"/>
      <c r="J48" s="1810"/>
      <c r="K48" s="1810"/>
      <c r="L48" s="1811"/>
      <c r="M48" s="9"/>
      <c r="N48" s="162" t="s">
        <v>10</v>
      </c>
      <c r="O48" s="163" t="str">
        <f>O16</f>
        <v>J JUS DE FRAISES DES BOIS | pâtisserie--ENTREMET| Auteur &gt; recette Béghin Say de Jean-Jacques Borne MOF 1994</v>
      </c>
      <c r="P48" s="163">
        <f>P16</f>
        <v>18</v>
      </c>
      <c r="Q48" s="164" t="str">
        <f>Q16</f>
        <v>desserts</v>
      </c>
      <c r="R48" s="165" t="str">
        <f>R16</f>
        <v>Recette mère ► MILLE-FEUILLE  aux fraises des bois</v>
      </c>
      <c r="S48" s="1548"/>
      <c r="T48" s="1548"/>
      <c r="U48" s="2190">
        <f>ROWS(Y35:Y48)</f>
        <v>14</v>
      </c>
      <c r="V48" s="1548"/>
      <c r="W48" s="2263" t="str" cm="1">
        <f t="array" ref="W48">SUMPRODUCT(--(Y48:AE48&lt;&gt;""), LEN(TRIM(SUBSTITUTE(Y48:AE48, CHAR(160), "")))) &amp; " Car."</f>
        <v>0 Car.</v>
      </c>
      <c r="X48" s="1376" t="str">
        <f>IF(ISBLANK(Y48),"",LARGE(X34:X47,1)+1)</f>
        <v/>
      </c>
      <c r="Y48" s="1810"/>
      <c r="Z48" s="1810"/>
      <c r="AA48" s="1810"/>
      <c r="AB48" s="1810"/>
      <c r="AC48" s="1810"/>
      <c r="AD48" s="1810"/>
      <c r="AE48" s="1810"/>
      <c r="AF48" s="1810"/>
      <c r="AG48" s="1811"/>
      <c r="AH48" s="918"/>
      <c r="AI48" s="2252" t="s">
        <v>15</v>
      </c>
      <c r="AJ48" s="2237"/>
      <c r="AK48" s="2237"/>
      <c r="AL48" s="2237"/>
      <c r="AM48" s="2237"/>
      <c r="AN48" s="2240"/>
      <c r="AO48" s="2241"/>
      <c r="AP48" s="2239"/>
      <c r="AQ48" s="2242"/>
      <c r="AR48" s="2250"/>
      <c r="AS48" s="2244"/>
      <c r="AT48" s="2244"/>
      <c r="AU48" s="2245"/>
      <c r="AV48" s="2246"/>
      <c r="AW48" s="2247"/>
      <c r="AX48" s="2248"/>
      <c r="AY48" s="2249"/>
      <c r="AZ48" s="2249"/>
      <c r="BA48" s="2238"/>
      <c r="BB48" s="2264"/>
      <c r="BC48" s="918"/>
      <c r="BD48" s="2252" t="s">
        <v>15</v>
      </c>
      <c r="BE48" s="2237"/>
      <c r="BF48" s="2237"/>
      <c r="BG48" s="2237"/>
      <c r="BH48" s="2237"/>
      <c r="BI48" s="2240"/>
      <c r="BJ48" s="2241"/>
      <c r="BK48" s="2239"/>
      <c r="BL48" s="2242"/>
      <c r="BM48" s="2250"/>
      <c r="BN48" s="2244"/>
      <c r="BO48" s="2244"/>
      <c r="BP48" s="2245"/>
      <c r="BQ48" s="2246"/>
      <c r="BR48" s="2247"/>
      <c r="BS48" s="2248"/>
      <c r="BT48" s="2249"/>
      <c r="BU48" s="2249"/>
      <c r="BV48" s="2238"/>
      <c r="BW48" s="2264"/>
      <c r="BY48" s="3">
        <v>1</v>
      </c>
    </row>
    <row r="49" spans="2:77" ht="21" customHeight="1">
      <c r="B49" s="2265" t="str" cm="1">
        <f t="array" ref="B49">SUMPRODUCT(--(D49:J49&lt;&gt;""), LEN(TRIM(SUBSTITUTE(D49:J49, CHAR(160), "")))) &amp; " Car."</f>
        <v>0 Car.</v>
      </c>
      <c r="C49" s="1376" t="str">
        <f>IF(ISBLANK(D49),"",LARGE(C13:C48,1)+1)</f>
        <v/>
      </c>
      <c r="D49" s="1833"/>
      <c r="E49" s="1810"/>
      <c r="F49" s="1810"/>
      <c r="G49" s="1810"/>
      <c r="H49" s="1810"/>
      <c r="I49" s="1810"/>
      <c r="J49" s="1810"/>
      <c r="K49" s="1810"/>
      <c r="L49" s="1811"/>
      <c r="M49" s="9"/>
      <c r="N49" s="162" t="s">
        <v>10</v>
      </c>
      <c r="O49" s="163" t="str">
        <f>O16</f>
        <v>J JUS DE FRAISES DES BOIS | pâtisserie--ENTREMET| Auteur &gt; recette Béghin Say de Jean-Jacques Borne MOF 1994</v>
      </c>
      <c r="P49" s="163">
        <f>P16</f>
        <v>18</v>
      </c>
      <c r="Q49" s="164" t="str">
        <f>Q16</f>
        <v>desserts</v>
      </c>
      <c r="R49" s="165" t="str">
        <f>R16</f>
        <v>Recette mère ► MILLE-FEUILLE  aux fraises des bois</v>
      </c>
      <c r="S49" s="1548"/>
      <c r="T49" s="1548"/>
      <c r="U49" s="2190">
        <f>ROWS(Y35:Y49)</f>
        <v>15</v>
      </c>
      <c r="V49" s="1548"/>
      <c r="W49" s="2263" t="str" cm="1">
        <f t="array" ref="W49">SUMPRODUCT(--(Y49:AE49&lt;&gt;""), LEN(TRIM(SUBSTITUTE(Y49:AE49, CHAR(160), "")))) &amp; " Car."</f>
        <v>0 Car.</v>
      </c>
      <c r="X49" s="1376" t="str">
        <f>IF(ISBLANK(Y49),"",LARGE(X34:X48,1)+1)</f>
        <v/>
      </c>
      <c r="Y49" s="1810"/>
      <c r="Z49" s="1810"/>
      <c r="AA49" s="1810"/>
      <c r="AB49" s="1810"/>
      <c r="AC49" s="1810"/>
      <c r="AD49" s="1810"/>
      <c r="AE49" s="1810"/>
      <c r="AF49" s="1810"/>
      <c r="AG49" s="1811"/>
      <c r="AH49" s="918"/>
      <c r="AI49" s="2252" t="s">
        <v>15</v>
      </c>
      <c r="AJ49" s="2237"/>
      <c r="AK49" s="2237"/>
      <c r="AL49" s="2237"/>
      <c r="AM49" s="2237"/>
      <c r="AN49" s="2240"/>
      <c r="AO49" s="2241"/>
      <c r="AP49" s="2239"/>
      <c r="AQ49" s="2242"/>
      <c r="AR49" s="2250"/>
      <c r="AS49" s="2244"/>
      <c r="AT49" s="2244"/>
      <c r="AU49" s="2245"/>
      <c r="AV49" s="2246"/>
      <c r="AW49" s="2247"/>
      <c r="AX49" s="2248"/>
      <c r="AY49" s="2249"/>
      <c r="AZ49" s="2249"/>
      <c r="BA49" s="2238"/>
      <c r="BB49" s="2264"/>
      <c r="BC49" s="918"/>
      <c r="BD49" s="2252" t="s">
        <v>15</v>
      </c>
      <c r="BE49" s="2237"/>
      <c r="BF49" s="2237"/>
      <c r="BG49" s="2237"/>
      <c r="BH49" s="2237"/>
      <c r="BI49" s="2240"/>
      <c r="BJ49" s="2241"/>
      <c r="BK49" s="2239"/>
      <c r="BL49" s="2242"/>
      <c r="BM49" s="2250"/>
      <c r="BN49" s="2244"/>
      <c r="BO49" s="2244"/>
      <c r="BP49" s="2245"/>
      <c r="BQ49" s="2246"/>
      <c r="BR49" s="2247"/>
      <c r="BS49" s="2248"/>
      <c r="BT49" s="2249"/>
      <c r="BU49" s="2249"/>
      <c r="BV49" s="2238"/>
      <c r="BW49" s="2264"/>
      <c r="BY49" s="3">
        <v>1</v>
      </c>
    </row>
    <row r="50" spans="2:77" ht="21" customHeight="1">
      <c r="B50" s="2265" t="str" cm="1">
        <f t="array" ref="B50">SUMPRODUCT(--(D50:J50&lt;&gt;""), LEN(TRIM(SUBSTITUTE(D50:J50, CHAR(160), "")))) &amp; " Car."</f>
        <v>0 Car.</v>
      </c>
      <c r="C50" s="1376" t="str">
        <f>IF(ISBLANK(D50),"",LARGE(C13:C49,1)+1)</f>
        <v/>
      </c>
      <c r="D50" s="1833"/>
      <c r="E50" s="1810"/>
      <c r="F50" s="1810"/>
      <c r="G50" s="1810"/>
      <c r="H50" s="1810"/>
      <c r="I50" s="1810"/>
      <c r="J50" s="1810"/>
      <c r="K50" s="1810"/>
      <c r="L50" s="1811"/>
      <c r="M50" s="9"/>
      <c r="N50" s="162" t="s">
        <v>10</v>
      </c>
      <c r="O50" s="163" t="str">
        <f>O16</f>
        <v>J JUS DE FRAISES DES BOIS | pâtisserie--ENTREMET| Auteur &gt; recette Béghin Say de Jean-Jacques Borne MOF 1994</v>
      </c>
      <c r="P50" s="163">
        <f>P16</f>
        <v>18</v>
      </c>
      <c r="Q50" s="164" t="str">
        <f>Q16</f>
        <v>desserts</v>
      </c>
      <c r="R50" s="165" t="str">
        <f>R16</f>
        <v>Recette mère ► MILLE-FEUILLE  aux fraises des bois</v>
      </c>
      <c r="S50" s="1548"/>
      <c r="T50" s="1548"/>
      <c r="U50" s="2190">
        <f>ROWS(Y35:Y50)</f>
        <v>16</v>
      </c>
      <c r="V50" s="1548"/>
      <c r="W50" s="2263" t="str" cm="1">
        <f t="array" ref="W50">SUMPRODUCT(--(Y50:AE50&lt;&gt;""), LEN(TRIM(SUBSTITUTE(Y50:AE50, CHAR(160), "")))) &amp; " Car."</f>
        <v>0 Car.</v>
      </c>
      <c r="X50" s="1376" t="str">
        <f>IF(ISBLANK(Y50),"",LARGE(X34:X49,1)+1)</f>
        <v/>
      </c>
      <c r="Y50" s="1810"/>
      <c r="Z50" s="1810"/>
      <c r="AA50" s="1810"/>
      <c r="AB50" s="1810"/>
      <c r="AC50" s="1810"/>
      <c r="AD50" s="1810"/>
      <c r="AE50" s="1810"/>
      <c r="AF50" s="1810"/>
      <c r="AG50" s="1811"/>
      <c r="AH50" s="918"/>
      <c r="AI50" s="2252" t="s">
        <v>15</v>
      </c>
      <c r="AJ50" s="2237"/>
      <c r="AK50" s="2237"/>
      <c r="AL50" s="2237"/>
      <c r="AM50" s="2237"/>
      <c r="AN50" s="2240"/>
      <c r="AO50" s="2241"/>
      <c r="AP50" s="2239"/>
      <c r="AQ50" s="2242"/>
      <c r="AR50" s="2250"/>
      <c r="AS50" s="2244"/>
      <c r="AT50" s="2244"/>
      <c r="AU50" s="2245"/>
      <c r="AV50" s="2246"/>
      <c r="AW50" s="2247"/>
      <c r="AX50" s="2248"/>
      <c r="AY50" s="2249"/>
      <c r="AZ50" s="2249"/>
      <c r="BA50" s="2238"/>
      <c r="BB50" s="2264"/>
      <c r="BC50" s="918"/>
      <c r="BD50" s="2252" t="s">
        <v>15</v>
      </c>
      <c r="BE50" s="2237"/>
      <c r="BF50" s="2237"/>
      <c r="BG50" s="2237"/>
      <c r="BH50" s="2237"/>
      <c r="BI50" s="2240"/>
      <c r="BJ50" s="2241"/>
      <c r="BK50" s="2239"/>
      <c r="BL50" s="2242"/>
      <c r="BM50" s="2250"/>
      <c r="BN50" s="2244"/>
      <c r="BO50" s="2244"/>
      <c r="BP50" s="2245"/>
      <c r="BQ50" s="2246"/>
      <c r="BR50" s="2247"/>
      <c r="BS50" s="2248"/>
      <c r="BT50" s="2249"/>
      <c r="BU50" s="2249"/>
      <c r="BV50" s="2238"/>
      <c r="BW50" s="2264"/>
      <c r="BY50" s="3">
        <v>1</v>
      </c>
    </row>
    <row r="51" spans="2:77" ht="21" customHeight="1">
      <c r="B51" s="2265" t="str" cm="1">
        <f t="array" ref="B51">SUMPRODUCT(--(D51:J51&lt;&gt;""), LEN(TRIM(SUBSTITUTE(D51:J51, CHAR(160), "")))) &amp; " Car."</f>
        <v>0 Car.</v>
      </c>
      <c r="C51" s="1376" t="str">
        <f>IF(ISBLANK(D51),"",LARGE(C13:C50,1)+1)</f>
        <v/>
      </c>
      <c r="D51" s="1833"/>
      <c r="E51" s="1810"/>
      <c r="F51" s="1810"/>
      <c r="G51" s="1810"/>
      <c r="H51" s="1810"/>
      <c r="I51" s="1810"/>
      <c r="J51" s="1810"/>
      <c r="K51" s="1810"/>
      <c r="L51" s="1811"/>
      <c r="M51" s="9"/>
      <c r="N51" s="162" t="s">
        <v>10</v>
      </c>
      <c r="O51" s="163" t="str">
        <f>O16</f>
        <v>J JUS DE FRAISES DES BOIS | pâtisserie--ENTREMET| Auteur &gt; recette Béghin Say de Jean-Jacques Borne MOF 1994</v>
      </c>
      <c r="P51" s="1943">
        <f>P16</f>
        <v>18</v>
      </c>
      <c r="Q51" s="164" t="str">
        <f>Q16</f>
        <v>desserts</v>
      </c>
      <c r="R51" s="165" t="str">
        <f>R16</f>
        <v>Recette mère ► MILLE-FEUILLE  aux fraises des bois</v>
      </c>
      <c r="S51" s="1548"/>
      <c r="T51" s="1548"/>
      <c r="U51" s="2190">
        <f>ROWS(Y35:Y51)</f>
        <v>17</v>
      </c>
      <c r="V51" s="1548"/>
      <c r="W51" s="2263" t="str" cm="1">
        <f t="array" ref="W51">SUMPRODUCT(--(Y51:AE51&lt;&gt;""), LEN(TRIM(SUBSTITUTE(Y51:AE51, CHAR(160), "")))) &amp; " Car."</f>
        <v>0 Car.</v>
      </c>
      <c r="X51" s="1376" t="str">
        <f>IF(ISBLANK(Y51),"",LARGE(X34:X50,1)+1)</f>
        <v/>
      </c>
      <c r="Y51" s="1810"/>
      <c r="Z51" s="1810"/>
      <c r="AA51" s="1810"/>
      <c r="AB51" s="1810"/>
      <c r="AC51" s="1810"/>
      <c r="AD51" s="1810"/>
      <c r="AE51" s="1810"/>
      <c r="AF51" s="1810"/>
      <c r="AG51" s="1811"/>
      <c r="AH51" s="918"/>
      <c r="AI51" s="2252" t="s">
        <v>15</v>
      </c>
      <c r="AJ51" s="2237"/>
      <c r="AK51" s="2237"/>
      <c r="AL51" s="2237"/>
      <c r="AM51" s="2237"/>
      <c r="AN51" s="2240"/>
      <c r="AO51" s="2241"/>
      <c r="AP51" s="2239"/>
      <c r="AQ51" s="2242"/>
      <c r="AR51" s="2250"/>
      <c r="AS51" s="2244"/>
      <c r="AT51" s="2244"/>
      <c r="AU51" s="2245"/>
      <c r="AV51" s="2246"/>
      <c r="AW51" s="2247"/>
      <c r="AX51" s="2248"/>
      <c r="AY51" s="2249"/>
      <c r="AZ51" s="2249"/>
      <c r="BA51" s="2238"/>
      <c r="BB51" s="2264"/>
      <c r="BC51" s="918"/>
      <c r="BD51" s="2252" t="s">
        <v>15</v>
      </c>
      <c r="BE51" s="2237"/>
      <c r="BF51" s="2237"/>
      <c r="BG51" s="2237"/>
      <c r="BH51" s="2237"/>
      <c r="BI51" s="2240"/>
      <c r="BJ51" s="2241"/>
      <c r="BK51" s="2239"/>
      <c r="BL51" s="2242"/>
      <c r="BM51" s="2250"/>
      <c r="BN51" s="2244"/>
      <c r="BO51" s="2244"/>
      <c r="BP51" s="2245"/>
      <c r="BQ51" s="2246"/>
      <c r="BR51" s="2247"/>
      <c r="BS51" s="2248"/>
      <c r="BT51" s="2249"/>
      <c r="BU51" s="2249"/>
      <c r="BV51" s="2238"/>
      <c r="BW51" s="2264"/>
      <c r="BY51" s="3">
        <v>1</v>
      </c>
    </row>
    <row r="52" spans="2:77" ht="21" customHeight="1">
      <c r="B52" s="2265" t="str" cm="1">
        <f t="array" ref="B52">SUMPRODUCT(--(D52:J52&lt;&gt;""), LEN(TRIM(SUBSTITUTE(D52:J52, CHAR(160), "")))) &amp; " Car."</f>
        <v>0 Car.</v>
      </c>
      <c r="C52" s="1376" t="str">
        <f>IF(ISBLANK(D52),"",LARGE(C13:C51,1)+1)</f>
        <v/>
      </c>
      <c r="D52" s="1833"/>
      <c r="E52" s="1810"/>
      <c r="F52" s="1810"/>
      <c r="G52" s="1810"/>
      <c r="H52" s="1810"/>
      <c r="I52" s="1810"/>
      <c r="J52" s="1810"/>
      <c r="K52" s="1810"/>
      <c r="L52" s="1811"/>
      <c r="M52" s="9"/>
      <c r="N52" s="162" t="s">
        <v>10</v>
      </c>
      <c r="O52" s="163" t="str">
        <f>O16</f>
        <v>J JUS DE FRAISES DES BOIS | pâtisserie--ENTREMET| Auteur &gt; recette Béghin Say de Jean-Jacques Borne MOF 1994</v>
      </c>
      <c r="P52" s="163">
        <f>P16</f>
        <v>18</v>
      </c>
      <c r="Q52" s="164" t="str">
        <f>Q16</f>
        <v>desserts</v>
      </c>
      <c r="R52" s="165" t="str">
        <f>R16</f>
        <v>Recette mère ► MILLE-FEUILLE  aux fraises des bois</v>
      </c>
      <c r="S52" s="1548"/>
      <c r="T52" s="1548"/>
      <c r="U52" s="2190">
        <f>ROWS(Y35:Y52)</f>
        <v>18</v>
      </c>
      <c r="V52" s="1548"/>
      <c r="W52" s="2263" t="str" cm="1">
        <f t="array" ref="W52">SUMPRODUCT(--(Y52:AE52&lt;&gt;""), LEN(TRIM(SUBSTITUTE(Y52:AE52, CHAR(160), "")))) &amp; " Car."</f>
        <v>80 Car.</v>
      </c>
      <c r="X52" s="1376" t="str">
        <f>IF(ISBLANK(Y52),"",LARGE(X34:X51,1)+1)</f>
        <v/>
      </c>
      <c r="Y52" s="1810"/>
      <c r="Z52" s="1810" t="s">
        <v>14252</v>
      </c>
      <c r="AA52" s="1810"/>
      <c r="AB52" s="1810"/>
      <c r="AC52" s="1810"/>
      <c r="AD52" s="1810"/>
      <c r="AE52" s="1810"/>
      <c r="AF52" s="1810"/>
      <c r="AG52" s="1811"/>
      <c r="AH52" s="918"/>
      <c r="AI52" s="2252" t="s">
        <v>15</v>
      </c>
      <c r="AJ52" s="2237"/>
      <c r="AK52" s="2237"/>
      <c r="AL52" s="2237"/>
      <c r="AM52" s="2237"/>
      <c r="AN52" s="2240"/>
      <c r="AO52" s="2241"/>
      <c r="AP52" s="2239"/>
      <c r="AQ52" s="2242"/>
      <c r="AR52" s="2250"/>
      <c r="AS52" s="2244"/>
      <c r="AT52" s="2244"/>
      <c r="AU52" s="2245"/>
      <c r="AV52" s="2246"/>
      <c r="AW52" s="2247"/>
      <c r="AX52" s="2248"/>
      <c r="AY52" s="2249"/>
      <c r="AZ52" s="2249"/>
      <c r="BA52" s="2238"/>
      <c r="BB52" s="2264"/>
      <c r="BC52" s="918"/>
      <c r="BD52" s="2252" t="s">
        <v>15</v>
      </c>
      <c r="BE52" s="2237"/>
      <c r="BF52" s="2237"/>
      <c r="BG52" s="2237"/>
      <c r="BH52" s="2237"/>
      <c r="BI52" s="2240"/>
      <c r="BJ52" s="2241"/>
      <c r="BK52" s="2239"/>
      <c r="BL52" s="2242"/>
      <c r="BM52" s="2250"/>
      <c r="BN52" s="2244"/>
      <c r="BO52" s="2244"/>
      <c r="BP52" s="2245"/>
      <c r="BQ52" s="2246"/>
      <c r="BR52" s="2247"/>
      <c r="BS52" s="2248"/>
      <c r="BT52" s="2249"/>
      <c r="BU52" s="2249"/>
      <c r="BV52" s="2238"/>
      <c r="BW52" s="2264"/>
      <c r="BY52" s="3">
        <v>1</v>
      </c>
    </row>
    <row r="53" spans="2:77" ht="21" customHeight="1" thickBot="1">
      <c r="B53" s="2265" t="str" cm="1">
        <f t="array" ref="B53">SUMPRODUCT(--(D53:J53&lt;&gt;""), LEN(TRIM(SUBSTITUTE(D53:J53, CHAR(160), "")))) &amp; " Car."</f>
        <v>0 Car.</v>
      </c>
      <c r="C53" s="1376" t="str">
        <f>IF(ISBLANK(D53),"",LARGE(C13:C52,1)+1)</f>
        <v/>
      </c>
      <c r="D53" s="1833"/>
      <c r="E53" s="1810"/>
      <c r="F53" s="1810"/>
      <c r="G53" s="1810"/>
      <c r="H53" s="1810"/>
      <c r="I53" s="1810"/>
      <c r="J53" s="1810"/>
      <c r="K53" s="1810"/>
      <c r="L53" s="1811"/>
      <c r="M53" s="9"/>
      <c r="N53" s="162" t="s">
        <v>10</v>
      </c>
      <c r="O53" s="163" t="str">
        <f>O16</f>
        <v>J JUS DE FRAISES DES BOIS | pâtisserie--ENTREMET| Auteur &gt; recette Béghin Say de Jean-Jacques Borne MOF 1994</v>
      </c>
      <c r="P53" s="163">
        <f>P16</f>
        <v>18</v>
      </c>
      <c r="Q53" s="164" t="str">
        <f>Q16</f>
        <v>desserts</v>
      </c>
      <c r="R53" s="165" t="str">
        <f>R16</f>
        <v>Recette mère ► MILLE-FEUILLE  aux fraises des bois</v>
      </c>
      <c r="S53" s="172"/>
      <c r="T53" s="1378" t="s">
        <v>207</v>
      </c>
      <c r="U53" s="1712" t="s">
        <v>8475</v>
      </c>
      <c r="V53" s="176"/>
      <c r="W53" s="176"/>
      <c r="X53" s="176"/>
      <c r="Y53" s="176"/>
      <c r="Z53" s="176"/>
      <c r="AA53" s="176"/>
      <c r="AB53" s="176"/>
      <c r="AC53" s="176"/>
      <c r="AD53" s="176"/>
      <c r="AE53" s="176"/>
      <c r="AF53" s="176"/>
      <c r="AG53" s="884"/>
      <c r="AH53" s="918"/>
      <c r="AI53" s="2252" t="s">
        <v>15</v>
      </c>
      <c r="AJ53" s="2237"/>
      <c r="AK53" s="2237"/>
      <c r="AL53" s="2237"/>
      <c r="AM53" s="2237"/>
      <c r="AN53" s="2240"/>
      <c r="AO53" s="2241"/>
      <c r="AP53" s="2239"/>
      <c r="AQ53" s="2242"/>
      <c r="AR53" s="2250"/>
      <c r="AS53" s="2244"/>
      <c r="AT53" s="2244"/>
      <c r="AU53" s="2245"/>
      <c r="AV53" s="2246"/>
      <c r="AW53" s="2247"/>
      <c r="AX53" s="2248"/>
      <c r="AY53" s="2249"/>
      <c r="AZ53" s="2249"/>
      <c r="BA53" s="2238"/>
      <c r="BB53" s="2264"/>
      <c r="BC53" s="918"/>
      <c r="BD53" s="2252" t="s">
        <v>15</v>
      </c>
      <c r="BE53" s="2237"/>
      <c r="BF53" s="2237"/>
      <c r="BG53" s="2237"/>
      <c r="BH53" s="2237"/>
      <c r="BI53" s="2240"/>
      <c r="BJ53" s="2241"/>
      <c r="BK53" s="2239"/>
      <c r="BL53" s="2242"/>
      <c r="BM53" s="2250"/>
      <c r="BN53" s="2244"/>
      <c r="BO53" s="2244"/>
      <c r="BP53" s="2245"/>
      <c r="BQ53" s="2246"/>
      <c r="BR53" s="2247"/>
      <c r="BS53" s="2248"/>
      <c r="BT53" s="2249"/>
      <c r="BU53" s="2249"/>
      <c r="BV53" s="2238"/>
      <c r="BW53" s="2264"/>
      <c r="BY53" s="3">
        <v>1</v>
      </c>
    </row>
    <row r="54" spans="2:77" ht="21" customHeight="1">
      <c r="B54" s="2265" t="str" cm="1">
        <f t="array" ref="B54">SUMPRODUCT(--(D54:J54&lt;&gt;""), LEN(TRIM(SUBSTITUTE(D54:J54, CHAR(160), "")))) &amp; " Car."</f>
        <v>0 Car.</v>
      </c>
      <c r="C54" s="1376" t="str">
        <f>IF(ISBLANK(D54),"",LARGE(C13:C53,1)+1)</f>
        <v/>
      </c>
      <c r="D54" s="1833"/>
      <c r="E54" s="1810"/>
      <c r="F54" s="1810"/>
      <c r="G54" s="1810"/>
      <c r="H54" s="1810"/>
      <c r="I54" s="1810"/>
      <c r="J54" s="1810"/>
      <c r="K54" s="1810"/>
      <c r="L54" s="1811"/>
      <c r="M54" s="9"/>
      <c r="N54" s="162" t="s">
        <v>10</v>
      </c>
      <c r="O54" s="163" t="str">
        <f>O16</f>
        <v>J JUS DE FRAISES DES BOIS | pâtisserie--ENTREMET| Auteur &gt; recette Béghin Say de Jean-Jacques Borne MOF 1994</v>
      </c>
      <c r="P54" s="163">
        <f>P16</f>
        <v>18</v>
      </c>
      <c r="Q54" s="164" t="str">
        <f>Q16</f>
        <v>desserts</v>
      </c>
      <c r="R54" s="165" t="str">
        <f>R16</f>
        <v>Recette mère ► MILLE-FEUILLE  aux fraises des bois</v>
      </c>
      <c r="S54" s="1379"/>
      <c r="T54" s="1380"/>
      <c r="U54" s="1380"/>
      <c r="V54" s="1380"/>
      <c r="W54" s="1380"/>
      <c r="X54" s="1380"/>
      <c r="Y54" s="1380"/>
      <c r="Z54" s="1381" t="s">
        <v>196</v>
      </c>
      <c r="AA54" s="202"/>
      <c r="AB54" s="202"/>
      <c r="AC54" s="202"/>
      <c r="AD54" s="202"/>
      <c r="AE54" s="202"/>
      <c r="AF54" s="202"/>
      <c r="AG54" s="885"/>
      <c r="AH54" s="918"/>
      <c r="AI54" s="2252" t="s">
        <v>15</v>
      </c>
      <c r="AJ54" s="2237"/>
      <c r="AK54" s="2237"/>
      <c r="AL54" s="2237"/>
      <c r="AM54" s="2237"/>
      <c r="AN54" s="2240"/>
      <c r="AO54" s="2241"/>
      <c r="AP54" s="2239"/>
      <c r="AQ54" s="2242"/>
      <c r="AR54" s="2250"/>
      <c r="AS54" s="2244"/>
      <c r="AT54" s="2244"/>
      <c r="AU54" s="2245"/>
      <c r="AV54" s="2246"/>
      <c r="AW54" s="2247"/>
      <c r="AX54" s="2248"/>
      <c r="AY54" s="2249"/>
      <c r="AZ54" s="2249"/>
      <c r="BA54" s="2238"/>
      <c r="BB54" s="2264"/>
      <c r="BC54" s="918"/>
      <c r="BD54" s="2252" t="s">
        <v>15</v>
      </c>
      <c r="BE54" s="2237"/>
      <c r="BF54" s="2237"/>
      <c r="BG54" s="2237"/>
      <c r="BH54" s="2237"/>
      <c r="BI54" s="2240"/>
      <c r="BJ54" s="2241"/>
      <c r="BK54" s="2239"/>
      <c r="BL54" s="2242"/>
      <c r="BM54" s="2250"/>
      <c r="BN54" s="2244"/>
      <c r="BO54" s="2244"/>
      <c r="BP54" s="2245"/>
      <c r="BQ54" s="2246"/>
      <c r="BR54" s="2247"/>
      <c r="BS54" s="2248"/>
      <c r="BT54" s="2249"/>
      <c r="BU54" s="2249"/>
      <c r="BV54" s="2238"/>
      <c r="BW54" s="2264"/>
      <c r="BY54" s="3">
        <v>1</v>
      </c>
    </row>
    <row r="55" spans="2:77" ht="21" customHeight="1" thickBot="1">
      <c r="B55" s="2265" t="str" cm="1">
        <f t="array" ref="B55">SUMPRODUCT(--(D55:J55&lt;&gt;""), LEN(TRIM(SUBSTITUTE(D55:J55, CHAR(160), "")))) &amp; " Car."</f>
        <v>0 Car.</v>
      </c>
      <c r="C55" s="1376" t="str">
        <f>IF(ISBLANK(D55),"",LARGE(C13:C54,1)+1)</f>
        <v/>
      </c>
      <c r="D55" s="1833"/>
      <c r="E55" s="1810"/>
      <c r="F55" s="1810"/>
      <c r="G55" s="1810"/>
      <c r="H55" s="1810"/>
      <c r="I55" s="1810"/>
      <c r="J55" s="1810"/>
      <c r="K55" s="1810"/>
      <c r="L55" s="1811"/>
      <c r="M55" s="9"/>
      <c r="N55" s="162" t="s">
        <v>10</v>
      </c>
      <c r="O55" s="163" t="str">
        <f>O16</f>
        <v>J JUS DE FRAISES DES BOIS | pâtisserie--ENTREMET| Auteur &gt; recette Béghin Say de Jean-Jacques Borne MOF 1994</v>
      </c>
      <c r="P55" s="163">
        <f>P16</f>
        <v>18</v>
      </c>
      <c r="Q55" s="164" t="str">
        <f>Q16</f>
        <v>desserts</v>
      </c>
      <c r="R55" s="165" t="str">
        <f>R16</f>
        <v>Recette mère ► MILLE-FEUILLE  aux fraises des bois</v>
      </c>
      <c r="S55" s="2139"/>
      <c r="T55" s="2124"/>
      <c r="U55" s="2138"/>
      <c r="V55" s="2140" t="s">
        <v>8860</v>
      </c>
      <c r="W55" s="2065">
        <f ca="1">W34</f>
        <v>132</v>
      </c>
      <c r="X55" s="886" t="s">
        <v>200</v>
      </c>
      <c r="Y55" s="2137"/>
      <c r="Z55" s="2137"/>
      <c r="AA55" s="2137"/>
      <c r="AB55" s="472"/>
      <c r="AC55" s="472"/>
      <c r="AD55" s="472"/>
      <c r="AE55" s="2260" t="str">
        <f>IF(Y56="","",(LEN(TRIM(SUBSTITUTE(Y56,CHAR(160)," ")))-LEN(SUBSTITUTE(TRIM(SUBSTITUTE(Y56,CHAR(160)," "))," ",""))+1)&amp;" mot"&amp;IF((LEN(TRIM(SUBSTITUTE(Y56,CHAR(160)," ")))-LEN(SUBSTITUTE(TRIM(SUBSTITUTE(Y56,CHAR(160)," "))," ",""))+1)&gt;1,"s",""))</f>
        <v>17 mots</v>
      </c>
      <c r="AF55" s="2259" t="str">
        <f>IF(Y56="","",LEN(TRIM(SUBSTITUTE(Y56,CHAR(160),""))))&amp;" Car."</f>
        <v>123 Car.</v>
      </c>
      <c r="AG55" s="2261" t="s">
        <v>8863</v>
      </c>
      <c r="AH55" s="918"/>
      <c r="AI55" s="2252" t="s">
        <v>15</v>
      </c>
      <c r="AJ55" s="2237"/>
      <c r="AK55" s="2237"/>
      <c r="AL55" s="2237"/>
      <c r="AM55" s="2237"/>
      <c r="AN55" s="2240"/>
      <c r="AO55" s="2241"/>
      <c r="AP55" s="2239"/>
      <c r="AQ55" s="2242"/>
      <c r="AR55" s="2250"/>
      <c r="AS55" s="2244"/>
      <c r="AT55" s="2244"/>
      <c r="AU55" s="2245"/>
      <c r="AV55" s="2246"/>
      <c r="AW55" s="2247"/>
      <c r="AX55" s="2248"/>
      <c r="AY55" s="2249"/>
      <c r="AZ55" s="2249"/>
      <c r="BA55" s="2238"/>
      <c r="BB55" s="2264"/>
      <c r="BC55" s="918"/>
      <c r="BD55" s="2252" t="s">
        <v>15</v>
      </c>
      <c r="BE55" s="2237"/>
      <c r="BF55" s="2237"/>
      <c r="BG55" s="2237"/>
      <c r="BH55" s="2237"/>
      <c r="BI55" s="2240"/>
      <c r="BJ55" s="2241"/>
      <c r="BK55" s="2239"/>
      <c r="BL55" s="2242"/>
      <c r="BM55" s="2250"/>
      <c r="BN55" s="2244"/>
      <c r="BO55" s="2244"/>
      <c r="BP55" s="2245"/>
      <c r="BQ55" s="2246"/>
      <c r="BR55" s="2247"/>
      <c r="BS55" s="2248"/>
      <c r="BT55" s="2249"/>
      <c r="BU55" s="2249"/>
      <c r="BV55" s="2238"/>
      <c r="BW55" s="2264"/>
      <c r="BY55" s="3">
        <v>1</v>
      </c>
    </row>
    <row r="56" spans="2:77" ht="21" customHeight="1" thickBot="1">
      <c r="B56" s="2265" t="str" cm="1">
        <f t="array" ref="B56">SUMPRODUCT(--(D56:J56&lt;&gt;""), LEN(TRIM(SUBSTITUTE(D56:J56, CHAR(160), "")))) &amp; " Car."</f>
        <v>0 Car.</v>
      </c>
      <c r="C56" s="1376" t="str">
        <f>IF(ISBLANK(D56),"",LARGE(C13:C55,1)+1)</f>
        <v/>
      </c>
      <c r="D56" s="1833"/>
      <c r="E56" s="1810"/>
      <c r="F56" s="1810"/>
      <c r="G56" s="1810"/>
      <c r="H56" s="1810"/>
      <c r="I56" s="1810"/>
      <c r="J56" s="1810"/>
      <c r="K56" s="1810"/>
      <c r="L56" s="1811"/>
      <c r="M56" s="9"/>
      <c r="N56" s="1814" t="s">
        <v>10</v>
      </c>
      <c r="O56" s="209" t="str">
        <f>O16</f>
        <v>J JUS DE FRAISES DES BOIS | pâtisserie--ENTREMET| Auteur &gt; recette Béghin Say de Jean-Jacques Borne MOF 1994</v>
      </c>
      <c r="P56" s="209">
        <f>P16</f>
        <v>18</v>
      </c>
      <c r="Q56" s="210" t="str">
        <f>Q16</f>
        <v>desserts</v>
      </c>
      <c r="R56" s="211" t="str">
        <f>R16</f>
        <v>Recette mère ► MILLE-FEUILLE  aux fraises des bois</v>
      </c>
      <c r="S56" s="2129"/>
      <c r="T56" s="2130"/>
      <c r="U56" s="2131"/>
      <c r="V56" s="2132"/>
      <c r="W56" s="2133"/>
      <c r="X56" s="2133" t="s">
        <v>8864</v>
      </c>
      <c r="Y56" s="2258" t="s">
        <v>8866</v>
      </c>
      <c r="Z56" s="2136"/>
      <c r="AA56" s="2134"/>
      <c r="AB56" s="2134"/>
      <c r="AC56" s="2134"/>
      <c r="AD56" s="2134"/>
      <c r="AE56" s="2134"/>
      <c r="AF56" s="2134"/>
      <c r="AG56" s="2135"/>
      <c r="AH56" s="918"/>
      <c r="AI56" s="2252" t="s">
        <v>15</v>
      </c>
      <c r="AJ56" s="2237"/>
      <c r="AK56" s="2237"/>
      <c r="AL56" s="2237"/>
      <c r="AM56" s="2237"/>
      <c r="AN56" s="2240"/>
      <c r="AO56" s="2241"/>
      <c r="AP56" s="2239"/>
      <c r="AQ56" s="2242"/>
      <c r="AR56" s="2250"/>
      <c r="AS56" s="2244"/>
      <c r="AT56" s="2244"/>
      <c r="AU56" s="2245"/>
      <c r="AV56" s="2246"/>
      <c r="AW56" s="2247"/>
      <c r="AX56" s="2248"/>
      <c r="AY56" s="2249"/>
      <c r="AZ56" s="2249"/>
      <c r="BA56" s="2238"/>
      <c r="BB56" s="2264"/>
      <c r="BC56" s="918"/>
      <c r="BD56" s="2252" t="s">
        <v>15</v>
      </c>
      <c r="BE56" s="2237"/>
      <c r="BF56" s="2237"/>
      <c r="BG56" s="2237"/>
      <c r="BH56" s="2237"/>
      <c r="BI56" s="2240"/>
      <c r="BJ56" s="2241"/>
      <c r="BK56" s="2239"/>
      <c r="BL56" s="2242"/>
      <c r="BM56" s="2250"/>
      <c r="BN56" s="2244"/>
      <c r="BO56" s="2244"/>
      <c r="BP56" s="2245"/>
      <c r="BQ56" s="2246"/>
      <c r="BR56" s="2247"/>
      <c r="BS56" s="2248"/>
      <c r="BT56" s="2249"/>
      <c r="BU56" s="2249"/>
      <c r="BV56" s="2238"/>
      <c r="BW56" s="2264"/>
      <c r="BY56" s="3">
        <v>1</v>
      </c>
    </row>
    <row r="57" spans="2:77" ht="21" customHeight="1" thickBot="1">
      <c r="B57" s="2265" t="str" cm="1">
        <f t="array" ref="B57">SUMPRODUCT(--(D57:J57&lt;&gt;""), LEN(TRIM(SUBSTITUTE(D57:J57, CHAR(160), "")))) &amp; " Car."</f>
        <v>0 Car.</v>
      </c>
      <c r="C57" s="1376" t="str">
        <f>IF(ISBLANK(D57),"",LARGE(C13:C56,1)+1)</f>
        <v/>
      </c>
      <c r="D57" s="1833"/>
      <c r="E57" s="1810"/>
      <c r="F57" s="1810"/>
      <c r="G57" s="1810"/>
      <c r="H57" s="1810"/>
      <c r="I57" s="1810"/>
      <c r="J57" s="1810"/>
      <c r="K57" s="1810"/>
      <c r="L57" s="1811"/>
      <c r="M57" s="9"/>
      <c r="N57" s="215" t="s">
        <v>10</v>
      </c>
      <c r="O57" s="216"/>
      <c r="P57" s="216"/>
      <c r="Q57" s="216"/>
      <c r="R57" s="217"/>
      <c r="S57" s="218" t="s">
        <v>207</v>
      </c>
      <c r="T57" s="219" t="str">
        <f ca="1">CELL("nomfichier")</f>
        <v>D:\Données\1.UPRT\0-UPRT.fait\1-UPRT.FR-SITE-WEB\ff-fiches-fabrications\ff.fiches.fabrication.2023\ffr.restaurant.2023\[ff.FICHE.TRILINGUE.20.COLONNES.05.01.2026.xlsx]Couleurs.pour.vos.documents</v>
      </c>
      <c r="U57" s="220"/>
      <c r="V57" s="220"/>
      <c r="W57" s="220"/>
      <c r="X57" s="220"/>
      <c r="Y57" s="220"/>
      <c r="Z57" s="220"/>
      <c r="AA57" s="220"/>
      <c r="AB57" s="220"/>
      <c r="AC57" s="220"/>
      <c r="AD57" s="220"/>
      <c r="AE57" s="220"/>
      <c r="AF57" s="220"/>
      <c r="AG57" s="221"/>
      <c r="AH57" s="918"/>
      <c r="AI57" s="2252" t="s">
        <v>15</v>
      </c>
      <c r="AJ57" s="2237"/>
      <c r="AK57" s="2237"/>
      <c r="AL57" s="2237"/>
      <c r="AM57" s="2237"/>
      <c r="AN57" s="2240"/>
      <c r="AO57" s="2241"/>
      <c r="AP57" s="2239"/>
      <c r="AQ57" s="2242"/>
      <c r="AR57" s="2250"/>
      <c r="AS57" s="2244"/>
      <c r="AT57" s="2244"/>
      <c r="AU57" s="2245"/>
      <c r="AV57" s="2246"/>
      <c r="AW57" s="2247"/>
      <c r="AX57" s="2248"/>
      <c r="AY57" s="2249"/>
      <c r="AZ57" s="2249"/>
      <c r="BA57" s="2238"/>
      <c r="BB57" s="2264"/>
      <c r="BC57" s="918"/>
      <c r="BD57" s="2252" t="s">
        <v>15</v>
      </c>
      <c r="BE57" s="2237"/>
      <c r="BF57" s="2237"/>
      <c r="BG57" s="2237"/>
      <c r="BH57" s="2237"/>
      <c r="BI57" s="2240"/>
      <c r="BJ57" s="2241"/>
      <c r="BK57" s="2239"/>
      <c r="BL57" s="2242"/>
      <c r="BM57" s="2250"/>
      <c r="BN57" s="2244"/>
      <c r="BO57" s="2244"/>
      <c r="BP57" s="2245"/>
      <c r="BQ57" s="2246"/>
      <c r="BR57" s="2247"/>
      <c r="BS57" s="2248"/>
      <c r="BT57" s="2249"/>
      <c r="BU57" s="2249"/>
      <c r="BV57" s="2238"/>
      <c r="BW57" s="2264"/>
      <c r="BY57" s="3">
        <v>1</v>
      </c>
    </row>
    <row r="58" spans="2:77" ht="21" customHeight="1">
      <c r="B58" s="2265" t="str" cm="1">
        <f t="array" ref="B58">SUMPRODUCT(--(D58:J58&lt;&gt;""), LEN(TRIM(SUBSTITUTE(D58:J58, CHAR(160), "")))) &amp; " Car."</f>
        <v>0 Car.</v>
      </c>
      <c r="C58" s="1376" t="str">
        <f>IF(ISBLANK(D58),"",LARGE(C13:C57,1)+1)</f>
        <v/>
      </c>
      <c r="D58" s="1833"/>
      <c r="E58" s="1810"/>
      <c r="F58" s="1810"/>
      <c r="G58" s="1810"/>
      <c r="H58" s="1810"/>
      <c r="I58" s="1810"/>
      <c r="J58" s="1810"/>
      <c r="K58" s="1810"/>
      <c r="L58" s="1811"/>
      <c r="M58" s="9"/>
      <c r="N58" s="2252" t="s">
        <v>15</v>
      </c>
      <c r="O58" s="2237"/>
      <c r="P58" s="2237"/>
      <c r="Q58" s="2237"/>
      <c r="R58" s="2237"/>
      <c r="S58" s="2240"/>
      <c r="T58" s="2241"/>
      <c r="U58" s="2239"/>
      <c r="V58" s="2242"/>
      <c r="W58" s="2250"/>
      <c r="X58" s="2244"/>
      <c r="Y58" s="2244"/>
      <c r="Z58" s="2245"/>
      <c r="AA58" s="2246"/>
      <c r="AB58" s="2247"/>
      <c r="AC58" s="2248"/>
      <c r="AD58" s="2249"/>
      <c r="AE58" s="2249"/>
      <c r="AF58" s="2238"/>
      <c r="AG58" s="2264"/>
      <c r="AH58" s="918"/>
      <c r="AI58" s="2252" t="s">
        <v>15</v>
      </c>
      <c r="AJ58" s="2237"/>
      <c r="AK58" s="2237"/>
      <c r="AL58" s="2237"/>
      <c r="AM58" s="2237"/>
      <c r="AN58" s="2240"/>
      <c r="AO58" s="2241"/>
      <c r="AP58" s="2239"/>
      <c r="AQ58" s="2242"/>
      <c r="AR58" s="2250"/>
      <c r="AS58" s="2244"/>
      <c r="AT58" s="2244"/>
      <c r="AU58" s="2245"/>
      <c r="AV58" s="2246"/>
      <c r="AW58" s="2247"/>
      <c r="AX58" s="2248"/>
      <c r="AY58" s="2249"/>
      <c r="AZ58" s="2249"/>
      <c r="BA58" s="2238"/>
      <c r="BB58" s="2264"/>
      <c r="BC58" s="918"/>
      <c r="BD58" s="2252" t="s">
        <v>15</v>
      </c>
      <c r="BE58" s="2237"/>
      <c r="BF58" s="2237"/>
      <c r="BG58" s="2237"/>
      <c r="BH58" s="2237"/>
      <c r="BI58" s="2240"/>
      <c r="BJ58" s="2241"/>
      <c r="BK58" s="2239"/>
      <c r="BL58" s="2242"/>
      <c r="BM58" s="2250"/>
      <c r="BN58" s="2244"/>
      <c r="BO58" s="2244"/>
      <c r="BP58" s="2245"/>
      <c r="BQ58" s="2246"/>
      <c r="BR58" s="2247"/>
      <c r="BS58" s="2248"/>
      <c r="BT58" s="2249"/>
      <c r="BU58" s="2249"/>
      <c r="BV58" s="2238"/>
      <c r="BW58" s="2264"/>
      <c r="BY58" s="3">
        <v>1</v>
      </c>
    </row>
    <row r="59" spans="2:77" ht="21" customHeight="1">
      <c r="B59" s="2265" t="str" cm="1">
        <f t="array" ref="B59">SUMPRODUCT(--(D59:J59&lt;&gt;""), LEN(TRIM(SUBSTITUTE(D59:J59, CHAR(160), "")))) &amp; " Car."</f>
        <v>0 Car.</v>
      </c>
      <c r="C59" s="1376" t="str">
        <f>IF(ISBLANK(D59),"",LARGE(C13:C58,1)+1)</f>
        <v/>
      </c>
      <c r="D59" s="1833"/>
      <c r="E59" s="1810"/>
      <c r="F59" s="1810"/>
      <c r="G59" s="1810"/>
      <c r="H59" s="1810"/>
      <c r="I59" s="1810"/>
      <c r="J59" s="1810"/>
      <c r="K59" s="1810"/>
      <c r="L59" s="1811"/>
      <c r="M59" s="9"/>
      <c r="N59" s="2252" t="s">
        <v>15</v>
      </c>
      <c r="O59" s="2237"/>
      <c r="P59" s="2237"/>
      <c r="Q59" s="2237"/>
      <c r="R59" s="2237"/>
      <c r="S59" s="2240"/>
      <c r="T59" s="2241"/>
      <c r="U59" s="2239"/>
      <c r="V59" s="2242"/>
      <c r="W59" s="2250"/>
      <c r="X59" s="2244"/>
      <c r="Y59" s="2244"/>
      <c r="Z59" s="2245"/>
      <c r="AA59" s="2246"/>
      <c r="AB59" s="2247"/>
      <c r="AC59" s="2248"/>
      <c r="AD59" s="2249"/>
      <c r="AE59" s="2249"/>
      <c r="AF59" s="2238"/>
      <c r="AG59" s="2264"/>
      <c r="AH59" s="918"/>
      <c r="AI59" s="2252" t="s">
        <v>15</v>
      </c>
      <c r="AJ59" s="2237"/>
      <c r="AK59" s="2237"/>
      <c r="AL59" s="2237"/>
      <c r="AM59" s="2237"/>
      <c r="AN59" s="2240"/>
      <c r="AO59" s="2241"/>
      <c r="AP59" s="2239"/>
      <c r="AQ59" s="2242"/>
      <c r="AR59" s="2250"/>
      <c r="AS59" s="2244"/>
      <c r="AT59" s="2244"/>
      <c r="AU59" s="2245"/>
      <c r="AV59" s="2246"/>
      <c r="AW59" s="2247"/>
      <c r="AX59" s="2248"/>
      <c r="AY59" s="2249"/>
      <c r="AZ59" s="2249"/>
      <c r="BA59" s="2238"/>
      <c r="BB59" s="2264"/>
      <c r="BC59" s="918"/>
      <c r="BD59" s="2252" t="s">
        <v>15</v>
      </c>
      <c r="BE59" s="2237"/>
      <c r="BF59" s="2237"/>
      <c r="BG59" s="2237"/>
      <c r="BH59" s="2237"/>
      <c r="BI59" s="2240"/>
      <c r="BJ59" s="2241"/>
      <c r="BK59" s="2239"/>
      <c r="BL59" s="2242"/>
      <c r="BM59" s="2250"/>
      <c r="BN59" s="2244"/>
      <c r="BO59" s="2244"/>
      <c r="BP59" s="2245"/>
      <c r="BQ59" s="2246"/>
      <c r="BR59" s="2247"/>
      <c r="BS59" s="2248"/>
      <c r="BT59" s="2249"/>
      <c r="BU59" s="2249"/>
      <c r="BV59" s="2238"/>
      <c r="BW59" s="2264"/>
      <c r="BY59" s="3">
        <v>1</v>
      </c>
    </row>
    <row r="60" spans="2:77" ht="21" customHeight="1">
      <c r="B60" s="2265" t="str" cm="1">
        <f t="array" ref="B60">SUMPRODUCT(--(D60:J60&lt;&gt;""), LEN(TRIM(SUBSTITUTE(D60:J60, CHAR(160), "")))) &amp; " Car."</f>
        <v>0 Car.</v>
      </c>
      <c r="C60" s="1376" t="str">
        <f>IF(ISBLANK(D60),"",LARGE(C13:C59,1)+1)</f>
        <v/>
      </c>
      <c r="D60" s="1833"/>
      <c r="E60" s="1810"/>
      <c r="F60" s="1810"/>
      <c r="G60" s="1810"/>
      <c r="H60" s="1810"/>
      <c r="I60" s="1810"/>
      <c r="J60" s="1810"/>
      <c r="K60" s="1810"/>
      <c r="L60" s="1811"/>
      <c r="M60" s="9"/>
      <c r="N60" s="2252" t="s">
        <v>15</v>
      </c>
      <c r="O60" s="2237"/>
      <c r="P60" s="2237"/>
      <c r="Q60" s="2237"/>
      <c r="R60" s="2237"/>
      <c r="S60" s="2240"/>
      <c r="T60" s="2241"/>
      <c r="U60" s="2239"/>
      <c r="V60" s="2242"/>
      <c r="W60" s="2250"/>
      <c r="X60" s="2244"/>
      <c r="Y60" s="2244"/>
      <c r="Z60" s="2245"/>
      <c r="AA60" s="2246"/>
      <c r="AB60" s="2247"/>
      <c r="AC60" s="2248"/>
      <c r="AD60" s="2249"/>
      <c r="AE60" s="2249"/>
      <c r="AF60" s="2238"/>
      <c r="AG60" s="2264"/>
      <c r="AH60" s="918"/>
      <c r="AI60" s="2252" t="s">
        <v>15</v>
      </c>
      <c r="AJ60" s="2237"/>
      <c r="AK60" s="2237"/>
      <c r="AL60" s="2237"/>
      <c r="AM60" s="2237"/>
      <c r="AN60" s="2240"/>
      <c r="AO60" s="2241"/>
      <c r="AP60" s="2239"/>
      <c r="AQ60" s="2242"/>
      <c r="AR60" s="2250"/>
      <c r="AS60" s="2244"/>
      <c r="AT60" s="2244"/>
      <c r="AU60" s="2245"/>
      <c r="AV60" s="2246"/>
      <c r="AW60" s="2247"/>
      <c r="AX60" s="2248"/>
      <c r="AY60" s="2249"/>
      <c r="AZ60" s="2249"/>
      <c r="BA60" s="2238"/>
      <c r="BB60" s="2264"/>
      <c r="BC60" s="918"/>
      <c r="BD60" s="2252" t="s">
        <v>15</v>
      </c>
      <c r="BE60" s="2237"/>
      <c r="BF60" s="2237"/>
      <c r="BG60" s="2237"/>
      <c r="BH60" s="2237"/>
      <c r="BI60" s="2240"/>
      <c r="BJ60" s="2241"/>
      <c r="BK60" s="2239"/>
      <c r="BL60" s="2242"/>
      <c r="BM60" s="2250"/>
      <c r="BN60" s="2244"/>
      <c r="BO60" s="2244"/>
      <c r="BP60" s="2245"/>
      <c r="BQ60" s="2246"/>
      <c r="BR60" s="2247"/>
      <c r="BS60" s="2248"/>
      <c r="BT60" s="2249"/>
      <c r="BU60" s="2249"/>
      <c r="BV60" s="2238"/>
      <c r="BW60" s="2264"/>
      <c r="BY60" s="3">
        <v>1</v>
      </c>
    </row>
    <row r="61" spans="2:77" ht="21" customHeight="1">
      <c r="B61" s="2265" t="str" cm="1">
        <f t="array" ref="B61">SUMPRODUCT(--(D61:J61&lt;&gt;""), LEN(TRIM(SUBSTITUTE(D61:J61, CHAR(160), "")))) &amp; " Car."</f>
        <v>0 Car.</v>
      </c>
      <c r="C61" s="1376" t="str">
        <f>IF(ISBLANK(D61),"",LARGE(C13:C60,1)+1)</f>
        <v/>
      </c>
      <c r="D61" s="1833"/>
      <c r="E61" s="1810"/>
      <c r="F61" s="1810"/>
      <c r="G61" s="1810"/>
      <c r="H61" s="1810"/>
      <c r="I61" s="1810"/>
      <c r="J61" s="1810"/>
      <c r="K61" s="1810"/>
      <c r="L61" s="1811"/>
      <c r="M61" s="9"/>
      <c r="N61" s="2252" t="s">
        <v>15</v>
      </c>
      <c r="O61" s="2237"/>
      <c r="P61" s="2237"/>
      <c r="Q61" s="2237"/>
      <c r="R61" s="2237"/>
      <c r="S61" s="2240"/>
      <c r="T61" s="2241"/>
      <c r="U61" s="2239"/>
      <c r="V61" s="2242"/>
      <c r="W61" s="2250"/>
      <c r="X61" s="2244"/>
      <c r="Y61" s="2244"/>
      <c r="Z61" s="2245"/>
      <c r="AA61" s="2246"/>
      <c r="AB61" s="2247"/>
      <c r="AC61" s="2248"/>
      <c r="AD61" s="2249"/>
      <c r="AE61" s="2249"/>
      <c r="AF61" s="2238"/>
      <c r="AG61" s="2264"/>
      <c r="AH61" s="918"/>
      <c r="AI61" s="2252" t="s">
        <v>15</v>
      </c>
      <c r="AJ61" s="2237"/>
      <c r="AK61" s="2237"/>
      <c r="AL61" s="2237"/>
      <c r="AM61" s="2237"/>
      <c r="AN61" s="2240"/>
      <c r="AO61" s="2241"/>
      <c r="AP61" s="2239"/>
      <c r="AQ61" s="2242"/>
      <c r="AR61" s="2250"/>
      <c r="AS61" s="2244"/>
      <c r="AT61" s="2244"/>
      <c r="AU61" s="2245"/>
      <c r="AV61" s="2246"/>
      <c r="AW61" s="2247"/>
      <c r="AX61" s="2248"/>
      <c r="AY61" s="2249"/>
      <c r="AZ61" s="2249"/>
      <c r="BA61" s="2238"/>
      <c r="BB61" s="2264"/>
      <c r="BC61" s="918"/>
      <c r="BD61" s="2252" t="s">
        <v>15</v>
      </c>
      <c r="BE61" s="2237"/>
      <c r="BF61" s="2237"/>
      <c r="BG61" s="2237"/>
      <c r="BH61" s="2237"/>
      <c r="BI61" s="2240"/>
      <c r="BJ61" s="2241"/>
      <c r="BK61" s="2239"/>
      <c r="BL61" s="2242"/>
      <c r="BM61" s="2250"/>
      <c r="BN61" s="2244"/>
      <c r="BO61" s="2244"/>
      <c r="BP61" s="2245"/>
      <c r="BQ61" s="2246"/>
      <c r="BR61" s="2247"/>
      <c r="BS61" s="2248"/>
      <c r="BT61" s="2249"/>
      <c r="BU61" s="2249"/>
      <c r="BV61" s="2238"/>
      <c r="BW61" s="2264"/>
      <c r="BY61" s="3">
        <v>1</v>
      </c>
    </row>
    <row r="62" spans="2:77" ht="21" customHeight="1">
      <c r="B62" s="2265" t="str" cm="1">
        <f t="array" ref="B62">SUMPRODUCT(--(D62:J62&lt;&gt;""), LEN(TRIM(SUBSTITUTE(D62:J62, CHAR(160), "")))) &amp; " Car."</f>
        <v>0 Car.</v>
      </c>
      <c r="C62" s="1376" t="str">
        <f>IF(ISBLANK(D62),"",LARGE(C13:C61,1)+1)</f>
        <v/>
      </c>
      <c r="D62" s="1833"/>
      <c r="E62" s="1810"/>
      <c r="F62" s="1810"/>
      <c r="G62" s="1810"/>
      <c r="H62" s="1810"/>
      <c r="I62" s="1810"/>
      <c r="J62" s="1810"/>
      <c r="K62" s="1810"/>
      <c r="L62" s="1811"/>
      <c r="M62" s="9"/>
      <c r="N62" s="2252" t="s">
        <v>15</v>
      </c>
      <c r="O62" s="2237"/>
      <c r="P62" s="2237"/>
      <c r="Q62" s="2237"/>
      <c r="R62" s="2237"/>
      <c r="S62" s="2240"/>
      <c r="T62" s="2241"/>
      <c r="U62" s="2239"/>
      <c r="V62" s="2242"/>
      <c r="W62" s="2250"/>
      <c r="X62" s="2244"/>
      <c r="Y62" s="2244"/>
      <c r="Z62" s="2245"/>
      <c r="AA62" s="2246"/>
      <c r="AB62" s="2247"/>
      <c r="AC62" s="2248"/>
      <c r="AD62" s="2249"/>
      <c r="AE62" s="2249"/>
      <c r="AF62" s="2238"/>
      <c r="AG62" s="2264"/>
      <c r="AH62" s="918"/>
      <c r="AI62" s="2252" t="s">
        <v>15</v>
      </c>
      <c r="AJ62" s="2237"/>
      <c r="AK62" s="2237"/>
      <c r="AL62" s="2237"/>
      <c r="AM62" s="2237"/>
      <c r="AN62" s="2240"/>
      <c r="AO62" s="2241"/>
      <c r="AP62" s="2239"/>
      <c r="AQ62" s="2242"/>
      <c r="AR62" s="2250"/>
      <c r="AS62" s="2244"/>
      <c r="AT62" s="2244"/>
      <c r="AU62" s="2245"/>
      <c r="AV62" s="2246"/>
      <c r="AW62" s="2247"/>
      <c r="AX62" s="2248"/>
      <c r="AY62" s="2249"/>
      <c r="AZ62" s="2249"/>
      <c r="BA62" s="2238"/>
      <c r="BB62" s="2264"/>
      <c r="BC62" s="918"/>
      <c r="BD62" s="2252" t="s">
        <v>15</v>
      </c>
      <c r="BE62" s="2237"/>
      <c r="BF62" s="2237"/>
      <c r="BG62" s="2237"/>
      <c r="BH62" s="2237"/>
      <c r="BI62" s="2240"/>
      <c r="BJ62" s="2241"/>
      <c r="BK62" s="2239"/>
      <c r="BL62" s="2242"/>
      <c r="BM62" s="2250"/>
      <c r="BN62" s="2244"/>
      <c r="BO62" s="2244"/>
      <c r="BP62" s="2245"/>
      <c r="BQ62" s="2246"/>
      <c r="BR62" s="2247"/>
      <c r="BS62" s="2248"/>
      <c r="BT62" s="2249"/>
      <c r="BU62" s="2249"/>
      <c r="BV62" s="2238"/>
      <c r="BW62" s="2264"/>
      <c r="BY62" s="3">
        <v>1</v>
      </c>
    </row>
    <row r="63" spans="2:77" ht="21" customHeight="1">
      <c r="B63" s="2265" t="str" cm="1">
        <f t="array" ref="B63">SUMPRODUCT(--(D63:J63&lt;&gt;""), LEN(TRIM(SUBSTITUTE(D63:J63, CHAR(160), "")))) &amp; " Car."</f>
        <v>0 Car.</v>
      </c>
      <c r="C63" s="1376" t="str">
        <f>IF(ISBLANK(D63),"",LARGE(C13:C62,1)+1)</f>
        <v/>
      </c>
      <c r="D63" s="1833"/>
      <c r="E63" s="1810"/>
      <c r="F63" s="1810"/>
      <c r="G63" s="1810"/>
      <c r="H63" s="1810"/>
      <c r="I63" s="1810"/>
      <c r="J63" s="1810"/>
      <c r="K63" s="1810"/>
      <c r="L63" s="1811"/>
      <c r="M63" s="9"/>
      <c r="N63" s="2252" t="s">
        <v>15</v>
      </c>
      <c r="O63" s="2237"/>
      <c r="P63" s="2237"/>
      <c r="Q63" s="2237"/>
      <c r="R63" s="2237"/>
      <c r="S63" s="2240"/>
      <c r="T63" s="2241"/>
      <c r="U63" s="2239"/>
      <c r="V63" s="2242"/>
      <c r="W63" s="2250"/>
      <c r="X63" s="2244"/>
      <c r="Y63" s="2244"/>
      <c r="Z63" s="2245"/>
      <c r="AA63" s="2246"/>
      <c r="AB63" s="2247"/>
      <c r="AC63" s="2248"/>
      <c r="AD63" s="2249"/>
      <c r="AE63" s="2249"/>
      <c r="AF63" s="2238"/>
      <c r="AG63" s="2264"/>
      <c r="AH63" s="918"/>
      <c r="AI63" s="2252" t="s">
        <v>15</v>
      </c>
      <c r="AJ63" s="2237"/>
      <c r="AK63" s="2237"/>
      <c r="AL63" s="2237"/>
      <c r="AM63" s="2237"/>
      <c r="AN63" s="2240"/>
      <c r="AO63" s="2241"/>
      <c r="AP63" s="2239"/>
      <c r="AQ63" s="2242"/>
      <c r="AR63" s="2250"/>
      <c r="AS63" s="2244"/>
      <c r="AT63" s="2244"/>
      <c r="AU63" s="2245"/>
      <c r="AV63" s="2246"/>
      <c r="AW63" s="2247"/>
      <c r="AX63" s="2248"/>
      <c r="AY63" s="2249"/>
      <c r="AZ63" s="2249"/>
      <c r="BA63" s="2238"/>
      <c r="BB63" s="2264"/>
      <c r="BC63" s="918"/>
      <c r="BD63" s="2252" t="s">
        <v>15</v>
      </c>
      <c r="BE63" s="2237"/>
      <c r="BF63" s="2237"/>
      <c r="BG63" s="2237"/>
      <c r="BH63" s="2237"/>
      <c r="BI63" s="2240"/>
      <c r="BJ63" s="2241"/>
      <c r="BK63" s="2239"/>
      <c r="BL63" s="2242"/>
      <c r="BM63" s="2250"/>
      <c r="BN63" s="2244"/>
      <c r="BO63" s="2244"/>
      <c r="BP63" s="2245"/>
      <c r="BQ63" s="2246"/>
      <c r="BR63" s="2247"/>
      <c r="BS63" s="2248"/>
      <c r="BT63" s="2249"/>
      <c r="BU63" s="2249"/>
      <c r="BV63" s="2238"/>
      <c r="BW63" s="2264"/>
      <c r="BY63" s="3">
        <v>1</v>
      </c>
    </row>
    <row r="64" spans="2:77" ht="21" customHeight="1">
      <c r="B64" s="2265" t="str" cm="1">
        <f t="array" ref="B64">SUMPRODUCT(--(D64:J64&lt;&gt;""), LEN(TRIM(SUBSTITUTE(D64:J64, CHAR(160), "")))) &amp; " Car."</f>
        <v>0 Car.</v>
      </c>
      <c r="C64" s="1376" t="str">
        <f>IF(ISBLANK(D64),"",LARGE(C13:C63,1)+1)</f>
        <v/>
      </c>
      <c r="D64" s="1833"/>
      <c r="E64" s="1810"/>
      <c r="F64" s="1810"/>
      <c r="G64" s="1810"/>
      <c r="H64" s="1810"/>
      <c r="I64" s="1810"/>
      <c r="J64" s="1810"/>
      <c r="K64" s="1810"/>
      <c r="L64" s="1811"/>
      <c r="M64" s="9"/>
      <c r="N64" s="2252" t="s">
        <v>15</v>
      </c>
      <c r="O64" s="2237"/>
      <c r="P64" s="2237"/>
      <c r="Q64" s="2237"/>
      <c r="R64" s="2237"/>
      <c r="S64" s="2240"/>
      <c r="T64" s="2241"/>
      <c r="U64" s="2239"/>
      <c r="V64" s="2242"/>
      <c r="W64" s="2250"/>
      <c r="X64" s="2244"/>
      <c r="Y64" s="2244"/>
      <c r="Z64" s="2245"/>
      <c r="AA64" s="2246"/>
      <c r="AB64" s="2247"/>
      <c r="AC64" s="2248"/>
      <c r="AD64" s="2249"/>
      <c r="AE64" s="2249"/>
      <c r="AF64" s="2238"/>
      <c r="AG64" s="2264"/>
      <c r="AH64" s="918"/>
      <c r="AI64" s="2252" t="s">
        <v>15</v>
      </c>
      <c r="AJ64" s="2237"/>
      <c r="AK64" s="2237"/>
      <c r="AL64" s="2237"/>
      <c r="AM64" s="2237"/>
      <c r="AN64" s="2240"/>
      <c r="AO64" s="2241"/>
      <c r="AP64" s="2239"/>
      <c r="AQ64" s="2242"/>
      <c r="AR64" s="2250"/>
      <c r="AS64" s="2244"/>
      <c r="AT64" s="2244"/>
      <c r="AU64" s="2245"/>
      <c r="AV64" s="2246"/>
      <c r="AW64" s="2247"/>
      <c r="AX64" s="2248"/>
      <c r="AY64" s="2249"/>
      <c r="AZ64" s="2249"/>
      <c r="BA64" s="2238"/>
      <c r="BB64" s="2264"/>
      <c r="BC64" s="918"/>
      <c r="BD64" s="2252" t="s">
        <v>15</v>
      </c>
      <c r="BE64" s="2237"/>
      <c r="BF64" s="2237"/>
      <c r="BG64" s="2237"/>
      <c r="BH64" s="2237"/>
      <c r="BI64" s="2240"/>
      <c r="BJ64" s="2241"/>
      <c r="BK64" s="2239"/>
      <c r="BL64" s="2242"/>
      <c r="BM64" s="2250"/>
      <c r="BN64" s="2244"/>
      <c r="BO64" s="2244"/>
      <c r="BP64" s="2245"/>
      <c r="BQ64" s="2246"/>
      <c r="BR64" s="2247"/>
      <c r="BS64" s="2248"/>
      <c r="BT64" s="2249"/>
      <c r="BU64" s="2249"/>
      <c r="BV64" s="2238"/>
      <c r="BW64" s="2264"/>
      <c r="BY64" s="3">
        <v>1</v>
      </c>
    </row>
    <row r="65" spans="2:77" ht="21" customHeight="1">
      <c r="B65" s="2265" t="str" cm="1">
        <f t="array" ref="B65">SUMPRODUCT(--(D65:J65&lt;&gt;""), LEN(TRIM(SUBSTITUTE(D65:J65, CHAR(160), "")))) &amp; " Car."</f>
        <v>0 Car.</v>
      </c>
      <c r="C65" s="1376" t="str">
        <f>IF(ISBLANK(D65),"",LARGE(C13:C64,1)+1)</f>
        <v/>
      </c>
      <c r="D65" s="1833"/>
      <c r="E65" s="1810"/>
      <c r="F65" s="1810"/>
      <c r="G65" s="1810"/>
      <c r="H65" s="1810"/>
      <c r="I65" s="1810"/>
      <c r="J65" s="1810"/>
      <c r="K65" s="1810"/>
      <c r="L65" s="1811"/>
      <c r="M65" s="9"/>
      <c r="N65" s="2252" t="s">
        <v>15</v>
      </c>
      <c r="O65" s="2237"/>
      <c r="P65" s="2237"/>
      <c r="Q65" s="2237"/>
      <c r="R65" s="2237"/>
      <c r="S65" s="2240"/>
      <c r="T65" s="2241"/>
      <c r="U65" s="2239"/>
      <c r="V65" s="2242"/>
      <c r="W65" s="2250"/>
      <c r="X65" s="2244"/>
      <c r="Y65" s="2244"/>
      <c r="Z65" s="2245"/>
      <c r="AA65" s="2246"/>
      <c r="AB65" s="2247"/>
      <c r="AC65" s="2248"/>
      <c r="AD65" s="2249"/>
      <c r="AE65" s="2249"/>
      <c r="AF65" s="2238"/>
      <c r="AG65" s="2264"/>
      <c r="AH65" s="918"/>
      <c r="AI65" s="2252" t="s">
        <v>15</v>
      </c>
      <c r="AJ65" s="2237"/>
      <c r="AK65" s="2237"/>
      <c r="AL65" s="2237"/>
      <c r="AM65" s="2237"/>
      <c r="AN65" s="2240"/>
      <c r="AO65" s="2241"/>
      <c r="AP65" s="2239"/>
      <c r="AQ65" s="2242"/>
      <c r="AR65" s="2250"/>
      <c r="AS65" s="2244"/>
      <c r="AT65" s="2244"/>
      <c r="AU65" s="2245"/>
      <c r="AV65" s="2246"/>
      <c r="AW65" s="2247"/>
      <c r="AX65" s="2248"/>
      <c r="AY65" s="2249"/>
      <c r="AZ65" s="2249"/>
      <c r="BA65" s="2238"/>
      <c r="BB65" s="2264"/>
      <c r="BC65" s="918"/>
      <c r="BD65" s="2252" t="s">
        <v>15</v>
      </c>
      <c r="BE65" s="2237"/>
      <c r="BF65" s="2237"/>
      <c r="BG65" s="2237"/>
      <c r="BH65" s="2237"/>
      <c r="BI65" s="2240"/>
      <c r="BJ65" s="2241"/>
      <c r="BK65" s="2239"/>
      <c r="BL65" s="2242"/>
      <c r="BM65" s="2250"/>
      <c r="BN65" s="2244"/>
      <c r="BO65" s="2244"/>
      <c r="BP65" s="2245"/>
      <c r="BQ65" s="2246"/>
      <c r="BR65" s="2247"/>
      <c r="BS65" s="2248"/>
      <c r="BT65" s="2249"/>
      <c r="BU65" s="2249"/>
      <c r="BV65" s="2238"/>
      <c r="BW65" s="2264"/>
      <c r="BY65" s="3">
        <v>1</v>
      </c>
    </row>
    <row r="66" spans="2:77" ht="21" customHeight="1">
      <c r="B66" s="2265" t="str" cm="1">
        <f t="array" ref="B66">SUMPRODUCT(--(D66:J66&lt;&gt;""), LEN(TRIM(SUBSTITUTE(D66:J66, CHAR(160), "")))) &amp; " Car."</f>
        <v>0 Car.</v>
      </c>
      <c r="C66" s="1376" t="str">
        <f>IF(ISBLANK(D66),"",LARGE(C13:C65,1)+1)</f>
        <v/>
      </c>
      <c r="D66" s="1833"/>
      <c r="E66" s="1810"/>
      <c r="F66" s="1810"/>
      <c r="G66" s="1810"/>
      <c r="H66" s="1810"/>
      <c r="I66" s="1810"/>
      <c r="J66" s="1810"/>
      <c r="K66" s="1810"/>
      <c r="L66" s="1811"/>
      <c r="M66" s="9"/>
      <c r="N66" s="2252" t="s">
        <v>15</v>
      </c>
      <c r="O66" s="2237"/>
      <c r="P66" s="2237"/>
      <c r="Q66" s="2237"/>
      <c r="R66" s="2237"/>
      <c r="S66" s="2240"/>
      <c r="T66" s="2241"/>
      <c r="U66" s="2239"/>
      <c r="V66" s="2242"/>
      <c r="W66" s="2250"/>
      <c r="X66" s="2244"/>
      <c r="Y66" s="2244"/>
      <c r="Z66" s="2245"/>
      <c r="AA66" s="2246"/>
      <c r="AB66" s="2247"/>
      <c r="AC66" s="2248"/>
      <c r="AD66" s="2249"/>
      <c r="AE66" s="2249"/>
      <c r="AF66" s="2238"/>
      <c r="AG66" s="2264"/>
      <c r="AH66" s="918"/>
      <c r="AI66" s="2252" t="s">
        <v>15</v>
      </c>
      <c r="AJ66" s="2237"/>
      <c r="AK66" s="2237"/>
      <c r="AL66" s="2237"/>
      <c r="AM66" s="2237"/>
      <c r="AN66" s="2240"/>
      <c r="AO66" s="2241"/>
      <c r="AP66" s="2239"/>
      <c r="AQ66" s="2242"/>
      <c r="AR66" s="2250"/>
      <c r="AS66" s="2244"/>
      <c r="AT66" s="2244"/>
      <c r="AU66" s="2245"/>
      <c r="AV66" s="2246"/>
      <c r="AW66" s="2247"/>
      <c r="AX66" s="2248"/>
      <c r="AY66" s="2249"/>
      <c r="AZ66" s="2249"/>
      <c r="BA66" s="2238"/>
      <c r="BB66" s="2264"/>
      <c r="BD66" s="2252" t="s">
        <v>15</v>
      </c>
      <c r="BE66" s="2237"/>
      <c r="BF66" s="2237"/>
      <c r="BG66" s="2237"/>
      <c r="BH66" s="2237"/>
      <c r="BI66" s="2240"/>
      <c r="BJ66" s="2241"/>
      <c r="BK66" s="2239"/>
      <c r="BL66" s="2242"/>
      <c r="BM66" s="2250"/>
      <c r="BN66" s="2244"/>
      <c r="BO66" s="2244"/>
      <c r="BP66" s="2245"/>
      <c r="BQ66" s="2246"/>
      <c r="BR66" s="2247"/>
      <c r="BS66" s="2248"/>
      <c r="BT66" s="2249"/>
      <c r="BU66" s="2249"/>
      <c r="BV66" s="2238"/>
      <c r="BW66" s="2264"/>
      <c r="BY66" s="3">
        <v>1</v>
      </c>
    </row>
    <row r="67" spans="2:77" ht="21" customHeight="1">
      <c r="B67" s="2265" t="str" cm="1">
        <f t="array" ref="B67">SUMPRODUCT(--(D67:J67&lt;&gt;""), LEN(TRIM(SUBSTITUTE(D67:J67, CHAR(160), "")))) &amp; " Car."</f>
        <v>0 Car.</v>
      </c>
      <c r="C67" s="1376" t="str">
        <f>IF(ISBLANK(D67),"",LARGE(C13:C66,1)+1)</f>
        <v/>
      </c>
      <c r="D67" s="1833"/>
      <c r="E67" s="1810"/>
      <c r="F67" s="1810"/>
      <c r="G67" s="1810"/>
      <c r="H67" s="1810"/>
      <c r="I67" s="1810"/>
      <c r="J67" s="1810"/>
      <c r="K67" s="1810"/>
      <c r="L67" s="1811"/>
      <c r="M67" s="9"/>
      <c r="N67" s="2252" t="s">
        <v>15</v>
      </c>
      <c r="O67" s="2237"/>
      <c r="P67" s="2237"/>
      <c r="Q67" s="2237"/>
      <c r="R67" s="2237"/>
      <c r="S67" s="2240"/>
      <c r="T67" s="2241"/>
      <c r="U67" s="2239"/>
      <c r="V67" s="2242"/>
      <c r="W67" s="2250"/>
      <c r="X67" s="2244"/>
      <c r="Y67" s="2244"/>
      <c r="Z67" s="2245"/>
      <c r="AA67" s="2246"/>
      <c r="AB67" s="2247"/>
      <c r="AC67" s="2248"/>
      <c r="AD67" s="2249"/>
      <c r="AE67" s="2249"/>
      <c r="AF67" s="2238"/>
      <c r="AG67" s="2264"/>
      <c r="AH67" s="918"/>
      <c r="AI67" s="2252" t="s">
        <v>15</v>
      </c>
      <c r="AJ67" s="2237"/>
      <c r="AK67" s="2237"/>
      <c r="AL67" s="2237"/>
      <c r="AM67" s="2237"/>
      <c r="AN67" s="2240"/>
      <c r="AO67" s="2241"/>
      <c r="AP67" s="2239"/>
      <c r="AQ67" s="2242"/>
      <c r="AR67" s="2250"/>
      <c r="AS67" s="2244"/>
      <c r="AT67" s="2244"/>
      <c r="AU67" s="2245"/>
      <c r="AV67" s="2246"/>
      <c r="AW67" s="2247"/>
      <c r="AX67" s="2248"/>
      <c r="AY67" s="2249"/>
      <c r="AZ67" s="2249"/>
      <c r="BA67" s="2238"/>
      <c r="BB67" s="2264"/>
      <c r="BD67" s="2252" t="s">
        <v>15</v>
      </c>
      <c r="BE67" s="2237"/>
      <c r="BF67" s="2237"/>
      <c r="BG67" s="2237"/>
      <c r="BH67" s="2237"/>
      <c r="BI67" s="2240"/>
      <c r="BJ67" s="2241"/>
      <c r="BK67" s="2239"/>
      <c r="BL67" s="2242"/>
      <c r="BM67" s="2250"/>
      <c r="BN67" s="2244"/>
      <c r="BO67" s="2244"/>
      <c r="BP67" s="2245"/>
      <c r="BQ67" s="2246"/>
      <c r="BR67" s="2247"/>
      <c r="BS67" s="2248"/>
      <c r="BT67" s="2249"/>
      <c r="BU67" s="2249"/>
      <c r="BV67" s="2238"/>
      <c r="BW67" s="2264"/>
      <c r="BY67" s="3">
        <v>1</v>
      </c>
    </row>
    <row r="68" spans="2:77" ht="21" customHeight="1">
      <c r="B68" s="2265" t="str" cm="1">
        <f t="array" ref="B68">SUMPRODUCT(--(D68:J68&lt;&gt;""), LEN(TRIM(SUBSTITUTE(D68:J68, CHAR(160), "")))) &amp; " Car."</f>
        <v>0 Car.</v>
      </c>
      <c r="C68" s="1376" t="str">
        <f>IF(ISBLANK(D68),"",LARGE(C13:C67,1)+1)</f>
        <v/>
      </c>
      <c r="D68" s="1833"/>
      <c r="E68" s="1810"/>
      <c r="F68" s="1810"/>
      <c r="G68" s="1810"/>
      <c r="H68" s="1810"/>
      <c r="I68" s="1810"/>
      <c r="J68" s="1810"/>
      <c r="K68" s="1810"/>
      <c r="L68" s="1811"/>
      <c r="M68" s="9"/>
      <c r="N68" s="2252" t="s">
        <v>15</v>
      </c>
      <c r="O68" s="2237"/>
      <c r="P68" s="2237"/>
      <c r="Q68" s="2237"/>
      <c r="R68" s="2237"/>
      <c r="S68" s="2240"/>
      <c r="T68" s="2241"/>
      <c r="U68" s="2239"/>
      <c r="V68" s="2242"/>
      <c r="W68" s="2250"/>
      <c r="X68" s="2244"/>
      <c r="Y68" s="2244"/>
      <c r="Z68" s="2245"/>
      <c r="AA68" s="2246"/>
      <c r="AB68" s="2247"/>
      <c r="AC68" s="2248"/>
      <c r="AD68" s="2249"/>
      <c r="AE68" s="2249"/>
      <c r="AF68" s="2238"/>
      <c r="AG68" s="2264"/>
      <c r="AH68" s="918"/>
      <c r="AI68" s="2252" t="s">
        <v>15</v>
      </c>
      <c r="AJ68" s="2237"/>
      <c r="AK68" s="2237"/>
      <c r="AL68" s="2237"/>
      <c r="AM68" s="2237"/>
      <c r="AN68" s="2240"/>
      <c r="AO68" s="2241"/>
      <c r="AP68" s="2239"/>
      <c r="AQ68" s="2242"/>
      <c r="AR68" s="2250"/>
      <c r="AS68" s="2244"/>
      <c r="AT68" s="2244"/>
      <c r="AU68" s="2245"/>
      <c r="AV68" s="2246"/>
      <c r="AW68" s="2247"/>
      <c r="AX68" s="2248"/>
      <c r="AY68" s="2249"/>
      <c r="AZ68" s="2249"/>
      <c r="BA68" s="2238"/>
      <c r="BB68" s="2264"/>
      <c r="BD68" s="2252" t="s">
        <v>15</v>
      </c>
      <c r="BE68" s="2237"/>
      <c r="BF68" s="2237"/>
      <c r="BG68" s="2237"/>
      <c r="BH68" s="2237"/>
      <c r="BI68" s="2240"/>
      <c r="BJ68" s="2241"/>
      <c r="BK68" s="2239"/>
      <c r="BL68" s="2242"/>
      <c r="BM68" s="2250"/>
      <c r="BN68" s="2244"/>
      <c r="BO68" s="2244"/>
      <c r="BP68" s="2245"/>
      <c r="BQ68" s="2246"/>
      <c r="BR68" s="2247"/>
      <c r="BS68" s="2248"/>
      <c r="BT68" s="2249"/>
      <c r="BU68" s="2249"/>
      <c r="BV68" s="2238"/>
      <c r="BW68" s="2264"/>
      <c r="BY68" s="3">
        <v>1</v>
      </c>
    </row>
    <row r="69" spans="2:77" ht="21" customHeight="1">
      <c r="B69" s="2265" t="str" cm="1">
        <f t="array" ref="B69">SUMPRODUCT(--(D69:J69&lt;&gt;""), LEN(TRIM(SUBSTITUTE(D69:J69, CHAR(160), "")))) &amp; " Car."</f>
        <v>0 Car.</v>
      </c>
      <c r="C69" s="1376" t="str">
        <f>IF(ISBLANK(D69),"",LARGE(C13:C68,1)+1)</f>
        <v/>
      </c>
      <c r="D69" s="1833"/>
      <c r="E69" s="1810"/>
      <c r="F69" s="1810"/>
      <c r="G69" s="1810"/>
      <c r="H69" s="1810"/>
      <c r="I69" s="1810"/>
      <c r="J69" s="1810"/>
      <c r="K69" s="1810"/>
      <c r="L69" s="1811"/>
      <c r="M69" s="9"/>
      <c r="N69" s="2252" t="s">
        <v>15</v>
      </c>
      <c r="O69" s="2237"/>
      <c r="P69" s="2237"/>
      <c r="Q69" s="2237"/>
      <c r="R69" s="2237"/>
      <c r="S69" s="2240"/>
      <c r="T69" s="2241"/>
      <c r="U69" s="2239"/>
      <c r="V69" s="2242"/>
      <c r="W69" s="2250"/>
      <c r="X69" s="2244"/>
      <c r="Y69" s="2244"/>
      <c r="Z69" s="2245"/>
      <c r="AA69" s="2246"/>
      <c r="AB69" s="2247"/>
      <c r="AC69" s="2248"/>
      <c r="AD69" s="2249"/>
      <c r="AE69" s="2249"/>
      <c r="AF69" s="2238"/>
      <c r="AG69" s="2264"/>
      <c r="AH69" s="918"/>
      <c r="AI69" s="2252" t="s">
        <v>15</v>
      </c>
      <c r="AJ69" s="2237"/>
      <c r="AK69" s="2237"/>
      <c r="AL69" s="2237"/>
      <c r="AM69" s="2237"/>
      <c r="AN69" s="2240"/>
      <c r="AO69" s="2241"/>
      <c r="AP69" s="2239"/>
      <c r="AQ69" s="2242"/>
      <c r="AR69" s="2250"/>
      <c r="AS69" s="2244"/>
      <c r="AT69" s="2244"/>
      <c r="AU69" s="2245"/>
      <c r="AV69" s="2246"/>
      <c r="AW69" s="2247"/>
      <c r="AX69" s="2248"/>
      <c r="AY69" s="2249"/>
      <c r="AZ69" s="2249"/>
      <c r="BA69" s="2238"/>
      <c r="BB69" s="2264"/>
      <c r="BC69" s="918"/>
      <c r="BD69" s="2252" t="s">
        <v>15</v>
      </c>
      <c r="BE69" s="2237"/>
      <c r="BF69" s="2237"/>
      <c r="BG69" s="2237"/>
      <c r="BH69" s="2237"/>
      <c r="BI69" s="2240"/>
      <c r="BJ69" s="2241"/>
      <c r="BK69" s="2239"/>
      <c r="BL69" s="2242"/>
      <c r="BM69" s="2250"/>
      <c r="BN69" s="2244"/>
      <c r="BO69" s="2244"/>
      <c r="BP69" s="2245"/>
      <c r="BQ69" s="2246"/>
      <c r="BR69" s="2247"/>
      <c r="BS69" s="2248"/>
      <c r="BT69" s="2249"/>
      <c r="BU69" s="2249"/>
      <c r="BV69" s="2238"/>
      <c r="BW69" s="2264"/>
      <c r="BY69" s="3">
        <v>1</v>
      </c>
    </row>
    <row r="70" spans="2:77" ht="21" customHeight="1">
      <c r="B70" s="2265" t="str" cm="1">
        <f t="array" ref="B70">SUMPRODUCT(--(D70:J70&lt;&gt;""), LEN(TRIM(SUBSTITUTE(D70:J70, CHAR(160), "")))) &amp; " Car."</f>
        <v>0 Car.</v>
      </c>
      <c r="C70" s="1376" t="str">
        <f>IF(ISBLANK(D70),"",LARGE(C13:C69,1)+1)</f>
        <v/>
      </c>
      <c r="D70" s="1833"/>
      <c r="E70" s="1810"/>
      <c r="F70" s="1810"/>
      <c r="G70" s="1810"/>
      <c r="H70" s="1810"/>
      <c r="I70" s="1810"/>
      <c r="J70" s="1810"/>
      <c r="K70" s="1810"/>
      <c r="L70" s="1811"/>
      <c r="M70" s="9"/>
      <c r="N70" s="2252" t="s">
        <v>15</v>
      </c>
      <c r="O70" s="2237"/>
      <c r="P70" s="2237"/>
      <c r="Q70" s="2237"/>
      <c r="R70" s="2237"/>
      <c r="S70" s="2240"/>
      <c r="T70" s="2241"/>
      <c r="U70" s="2239"/>
      <c r="V70" s="2242"/>
      <c r="W70" s="2250"/>
      <c r="X70" s="2244"/>
      <c r="Y70" s="2244"/>
      <c r="Z70" s="2245"/>
      <c r="AA70" s="2246"/>
      <c r="AB70" s="2247"/>
      <c r="AC70" s="2248"/>
      <c r="AD70" s="2249"/>
      <c r="AE70" s="2249"/>
      <c r="AF70" s="2238"/>
      <c r="AG70" s="2264"/>
      <c r="AH70" s="918"/>
      <c r="AI70" s="2252" t="s">
        <v>15</v>
      </c>
      <c r="AJ70" s="2237"/>
      <c r="AK70" s="2237"/>
      <c r="AL70" s="2237"/>
      <c r="AM70" s="2237"/>
      <c r="AN70" s="2240"/>
      <c r="AO70" s="2241"/>
      <c r="AP70" s="2239"/>
      <c r="AQ70" s="2242"/>
      <c r="AR70" s="2250"/>
      <c r="AS70" s="2244"/>
      <c r="AT70" s="2244"/>
      <c r="AU70" s="2245"/>
      <c r="AV70" s="2246"/>
      <c r="AW70" s="2247"/>
      <c r="AX70" s="2248"/>
      <c r="AY70" s="2249"/>
      <c r="AZ70" s="2249"/>
      <c r="BA70" s="2238"/>
      <c r="BB70" s="2264"/>
      <c r="BC70" s="918"/>
      <c r="BD70" s="2252" t="s">
        <v>15</v>
      </c>
      <c r="BE70" s="2237"/>
      <c r="BF70" s="2237"/>
      <c r="BG70" s="2237"/>
      <c r="BH70" s="2237"/>
      <c r="BI70" s="2240"/>
      <c r="BJ70" s="2241"/>
      <c r="BK70" s="2239"/>
      <c r="BL70" s="2242"/>
      <c r="BM70" s="2250"/>
      <c r="BN70" s="2244"/>
      <c r="BO70" s="2244"/>
      <c r="BP70" s="2245"/>
      <c r="BQ70" s="2246"/>
      <c r="BR70" s="2247"/>
      <c r="BS70" s="2248"/>
      <c r="BT70" s="2249"/>
      <c r="BU70" s="2249"/>
      <c r="BV70" s="2238"/>
      <c r="BW70" s="2264"/>
      <c r="BY70" s="3">
        <v>1</v>
      </c>
    </row>
    <row r="71" spans="2:77" ht="21" customHeight="1">
      <c r="B71" s="2265" t="str" cm="1">
        <f t="array" ref="B71">SUMPRODUCT(--(D71:J71&lt;&gt;""), LEN(TRIM(SUBSTITUTE(D71:J71, CHAR(160), "")))) &amp; " Car."</f>
        <v>0 Car.</v>
      </c>
      <c r="C71" s="1376" t="str">
        <f>IF(ISBLANK(D71),"",LARGE(C13:C70,1)+1)</f>
        <v/>
      </c>
      <c r="D71" s="1833"/>
      <c r="E71" s="1810"/>
      <c r="F71" s="1810"/>
      <c r="G71" s="1810"/>
      <c r="H71" s="1810"/>
      <c r="I71" s="1810"/>
      <c r="J71" s="1810"/>
      <c r="K71" s="1810"/>
      <c r="L71" s="1811"/>
      <c r="M71" s="9"/>
      <c r="N71" s="2252" t="s">
        <v>15</v>
      </c>
      <c r="O71" s="2237"/>
      <c r="P71" s="2237"/>
      <c r="Q71" s="2237"/>
      <c r="R71" s="2237"/>
      <c r="S71" s="2240"/>
      <c r="T71" s="2241"/>
      <c r="U71" s="2239"/>
      <c r="V71" s="2242"/>
      <c r="W71" s="2250"/>
      <c r="X71" s="2244"/>
      <c r="Y71" s="2244"/>
      <c r="Z71" s="2245"/>
      <c r="AA71" s="2246"/>
      <c r="AB71" s="2247"/>
      <c r="AC71" s="2248"/>
      <c r="AD71" s="2249"/>
      <c r="AE71" s="2249"/>
      <c r="AF71" s="2238"/>
      <c r="AG71" s="2264"/>
      <c r="AH71" s="918"/>
      <c r="AI71" s="2252" t="s">
        <v>15</v>
      </c>
      <c r="AJ71" s="2237"/>
      <c r="AK71" s="2237"/>
      <c r="AL71" s="2237"/>
      <c r="AM71" s="2237"/>
      <c r="AN71" s="2240"/>
      <c r="AO71" s="2241"/>
      <c r="AP71" s="2239"/>
      <c r="AQ71" s="2242"/>
      <c r="AR71" s="2250"/>
      <c r="AS71" s="2244"/>
      <c r="AT71" s="2244"/>
      <c r="AU71" s="2245"/>
      <c r="AV71" s="2246"/>
      <c r="AW71" s="2247"/>
      <c r="AX71" s="2248"/>
      <c r="AY71" s="2249"/>
      <c r="AZ71" s="2249"/>
      <c r="BA71" s="2238"/>
      <c r="BB71" s="2264"/>
      <c r="BC71" s="918"/>
      <c r="BD71" s="2252" t="s">
        <v>15</v>
      </c>
      <c r="BE71" s="2237"/>
      <c r="BF71" s="2237"/>
      <c r="BG71" s="2237"/>
      <c r="BH71" s="2237"/>
      <c r="BI71" s="2240"/>
      <c r="BJ71" s="2241"/>
      <c r="BK71" s="2239"/>
      <c r="BL71" s="2242"/>
      <c r="BM71" s="2250"/>
      <c r="BN71" s="2244"/>
      <c r="BO71" s="2244"/>
      <c r="BP71" s="2245"/>
      <c r="BQ71" s="2246"/>
      <c r="BR71" s="2247"/>
      <c r="BS71" s="2248"/>
      <c r="BT71" s="2249"/>
      <c r="BU71" s="2249"/>
      <c r="BV71" s="2238"/>
      <c r="BW71" s="2264"/>
      <c r="BY71" s="3">
        <v>1</v>
      </c>
    </row>
    <row r="72" spans="2:77" ht="21" customHeight="1">
      <c r="B72" s="2265" t="str" cm="1">
        <f t="array" ref="B72">SUMPRODUCT(--(D72:J72&lt;&gt;""), LEN(TRIM(SUBSTITUTE(D72:J72, CHAR(160), "")))) &amp; " Car."</f>
        <v>0 Car.</v>
      </c>
      <c r="C72" s="1376" t="str">
        <f>IF(ISBLANK(D72),"",LARGE(C13:C71,1)+1)</f>
        <v/>
      </c>
      <c r="D72" s="1833"/>
      <c r="E72" s="1810"/>
      <c r="F72" s="1810"/>
      <c r="G72" s="1810"/>
      <c r="H72" s="1810"/>
      <c r="I72" s="1810"/>
      <c r="J72" s="1810"/>
      <c r="K72" s="1810"/>
      <c r="L72" s="1811"/>
      <c r="M72" s="9"/>
      <c r="N72" s="2252" t="s">
        <v>15</v>
      </c>
      <c r="O72" s="2237"/>
      <c r="P72" s="2237"/>
      <c r="Q72" s="2237"/>
      <c r="R72" s="2237"/>
      <c r="S72" s="2240"/>
      <c r="T72" s="2241"/>
      <c r="U72" s="2239"/>
      <c r="V72" s="2242"/>
      <c r="W72" s="2250"/>
      <c r="X72" s="2244"/>
      <c r="Y72" s="2244"/>
      <c r="Z72" s="2245"/>
      <c r="AA72" s="2246"/>
      <c r="AB72" s="2247"/>
      <c r="AC72" s="2248"/>
      <c r="AD72" s="2249"/>
      <c r="AE72" s="2249"/>
      <c r="AF72" s="2238"/>
      <c r="AG72" s="2264"/>
      <c r="AH72" s="918"/>
      <c r="AI72" s="2252" t="s">
        <v>15</v>
      </c>
      <c r="AJ72" s="2237"/>
      <c r="AK72" s="2237"/>
      <c r="AL72" s="2237"/>
      <c r="AM72" s="2237"/>
      <c r="AN72" s="2240"/>
      <c r="AO72" s="2241"/>
      <c r="AP72" s="2239"/>
      <c r="AQ72" s="2242"/>
      <c r="AR72" s="2250"/>
      <c r="AS72" s="2244"/>
      <c r="AT72" s="2244"/>
      <c r="AU72" s="2245"/>
      <c r="AV72" s="2246"/>
      <c r="AW72" s="2247"/>
      <c r="AX72" s="2248"/>
      <c r="AY72" s="2249"/>
      <c r="AZ72" s="2249"/>
      <c r="BA72" s="2238"/>
      <c r="BB72" s="2264"/>
      <c r="BC72" s="918"/>
      <c r="BD72" s="2252" t="s">
        <v>15</v>
      </c>
      <c r="BE72" s="2237"/>
      <c r="BF72" s="2237"/>
      <c r="BG72" s="2237"/>
      <c r="BH72" s="2237"/>
      <c r="BI72" s="2240"/>
      <c r="BJ72" s="2241"/>
      <c r="BK72" s="2239"/>
      <c r="BL72" s="2242"/>
      <c r="BM72" s="2250"/>
      <c r="BN72" s="2244"/>
      <c r="BO72" s="2244"/>
      <c r="BP72" s="2245"/>
      <c r="BQ72" s="2246"/>
      <c r="BR72" s="2247"/>
      <c r="BS72" s="2248"/>
      <c r="BT72" s="2249"/>
      <c r="BU72" s="2249"/>
      <c r="BV72" s="2238"/>
      <c r="BW72" s="2264"/>
      <c r="BY72" s="3">
        <v>1</v>
      </c>
    </row>
    <row r="73" spans="2:77" ht="21" customHeight="1">
      <c r="B73" s="2265" t="str" cm="1">
        <f t="array" ref="B73">SUMPRODUCT(--(D73:J73&lt;&gt;""), LEN(TRIM(SUBSTITUTE(D73:J73, CHAR(160), "")))) &amp; " Car."</f>
        <v>0 Car.</v>
      </c>
      <c r="C73" s="1376" t="str">
        <f>IF(ISBLANK(D73),"",LARGE(C13:C72,1)+1)</f>
        <v/>
      </c>
      <c r="D73" s="1833"/>
      <c r="E73" s="1810"/>
      <c r="F73" s="1810"/>
      <c r="G73" s="1810"/>
      <c r="H73" s="1810"/>
      <c r="I73" s="1810"/>
      <c r="J73" s="1810"/>
      <c r="K73" s="1810"/>
      <c r="L73" s="1811"/>
      <c r="M73" s="9"/>
      <c r="N73" s="2252" t="s">
        <v>15</v>
      </c>
      <c r="O73" s="2237"/>
      <c r="P73" s="2237"/>
      <c r="Q73" s="2237"/>
      <c r="R73" s="2237"/>
      <c r="S73" s="2240"/>
      <c r="T73" s="2241"/>
      <c r="U73" s="2239"/>
      <c r="V73" s="2242"/>
      <c r="W73" s="2250"/>
      <c r="X73" s="2244"/>
      <c r="Y73" s="2244"/>
      <c r="Z73" s="2245"/>
      <c r="AA73" s="2246"/>
      <c r="AB73" s="2247"/>
      <c r="AC73" s="2248"/>
      <c r="AD73" s="2249"/>
      <c r="AE73" s="2249"/>
      <c r="AF73" s="2238"/>
      <c r="AG73" s="2264"/>
      <c r="AH73" s="918"/>
      <c r="AI73" s="2252" t="s">
        <v>15</v>
      </c>
      <c r="AJ73" s="2237"/>
      <c r="AK73" s="2237"/>
      <c r="AL73" s="2237"/>
      <c r="AM73" s="2237"/>
      <c r="AN73" s="2240"/>
      <c r="AO73" s="2241"/>
      <c r="AP73" s="2239"/>
      <c r="AQ73" s="2242"/>
      <c r="AR73" s="2250"/>
      <c r="AS73" s="2244"/>
      <c r="AT73" s="2244"/>
      <c r="AU73" s="2245"/>
      <c r="AV73" s="2246"/>
      <c r="AW73" s="2247"/>
      <c r="AX73" s="2248"/>
      <c r="AY73" s="2249"/>
      <c r="AZ73" s="2249"/>
      <c r="BA73" s="2238"/>
      <c r="BB73" s="2264"/>
      <c r="BC73" s="918"/>
      <c r="BD73" s="2252" t="s">
        <v>15</v>
      </c>
      <c r="BE73" s="2237"/>
      <c r="BF73" s="2237"/>
      <c r="BG73" s="2237"/>
      <c r="BH73" s="2237"/>
      <c r="BI73" s="2240"/>
      <c r="BJ73" s="2241"/>
      <c r="BK73" s="2239"/>
      <c r="BL73" s="2242"/>
      <c r="BM73" s="2250"/>
      <c r="BN73" s="2244"/>
      <c r="BO73" s="2244"/>
      <c r="BP73" s="2245"/>
      <c r="BQ73" s="2246"/>
      <c r="BR73" s="2247"/>
      <c r="BS73" s="2248"/>
      <c r="BT73" s="2249"/>
      <c r="BU73" s="2249"/>
      <c r="BV73" s="2238"/>
      <c r="BW73" s="2264"/>
      <c r="BY73" s="3">
        <v>1</v>
      </c>
    </row>
    <row r="74" spans="2:77" ht="21" customHeight="1">
      <c r="B74" s="2265" t="str" cm="1">
        <f t="array" ref="B74">SUMPRODUCT(--(D74:J74&lt;&gt;""), LEN(TRIM(SUBSTITUTE(D74:J74, CHAR(160), "")))) &amp; " Car."</f>
        <v>0 Car.</v>
      </c>
      <c r="C74" s="1376" t="str">
        <f>IF(ISBLANK(D74),"",LARGE(C13:C73,1)+1)</f>
        <v/>
      </c>
      <c r="D74" s="1833"/>
      <c r="E74" s="1810"/>
      <c r="F74" s="1810"/>
      <c r="G74" s="1810"/>
      <c r="H74" s="1810"/>
      <c r="I74" s="1810"/>
      <c r="J74" s="1810"/>
      <c r="K74" s="1810"/>
      <c r="L74" s="1811"/>
      <c r="M74" s="9"/>
      <c r="N74" s="2252" t="s">
        <v>15</v>
      </c>
      <c r="O74" s="2237"/>
      <c r="P74" s="2237"/>
      <c r="Q74" s="2237"/>
      <c r="R74" s="2237"/>
      <c r="S74" s="2240"/>
      <c r="T74" s="2241"/>
      <c r="U74" s="2239"/>
      <c r="V74" s="2242"/>
      <c r="W74" s="2250"/>
      <c r="X74" s="2244"/>
      <c r="Y74" s="2244"/>
      <c r="Z74" s="2245"/>
      <c r="AA74" s="2246"/>
      <c r="AB74" s="2247"/>
      <c r="AC74" s="2248"/>
      <c r="AD74" s="2249"/>
      <c r="AE74" s="2249"/>
      <c r="AF74" s="2238"/>
      <c r="AG74" s="2264"/>
      <c r="AH74" s="918"/>
      <c r="AI74" s="2252" t="s">
        <v>15</v>
      </c>
      <c r="AJ74" s="2237"/>
      <c r="AK74" s="2237"/>
      <c r="AL74" s="2237"/>
      <c r="AM74" s="2237"/>
      <c r="AN74" s="2240"/>
      <c r="AO74" s="2241"/>
      <c r="AP74" s="2239"/>
      <c r="AQ74" s="2242"/>
      <c r="AR74" s="2250"/>
      <c r="AS74" s="2244"/>
      <c r="AT74" s="2244"/>
      <c r="AU74" s="2245"/>
      <c r="AV74" s="2246"/>
      <c r="AW74" s="2247"/>
      <c r="AX74" s="2248"/>
      <c r="AY74" s="2249"/>
      <c r="AZ74" s="2249"/>
      <c r="BA74" s="2238"/>
      <c r="BB74" s="2264"/>
      <c r="BC74" s="918"/>
      <c r="BD74" s="2252" t="s">
        <v>15</v>
      </c>
      <c r="BE74" s="2237"/>
      <c r="BF74" s="2237"/>
      <c r="BG74" s="2237"/>
      <c r="BH74" s="2237"/>
      <c r="BI74" s="2240"/>
      <c r="BJ74" s="2241"/>
      <c r="BK74" s="2239"/>
      <c r="BL74" s="2242"/>
      <c r="BM74" s="2250"/>
      <c r="BN74" s="2244"/>
      <c r="BO74" s="2244"/>
      <c r="BP74" s="2245"/>
      <c r="BQ74" s="2246"/>
      <c r="BR74" s="2247"/>
      <c r="BS74" s="2248"/>
      <c r="BT74" s="2249"/>
      <c r="BU74" s="2249"/>
      <c r="BV74" s="2238"/>
      <c r="BW74" s="2264"/>
      <c r="BY74" s="3">
        <v>1</v>
      </c>
    </row>
    <row r="75" spans="2:77" ht="21" customHeight="1">
      <c r="B75" s="2265" t="str" cm="1">
        <f t="array" ref="B75">SUMPRODUCT(--(D75:J75&lt;&gt;""), LEN(TRIM(SUBSTITUTE(D75:J75, CHAR(160), "")))) &amp; " Car."</f>
        <v>0 Car.</v>
      </c>
      <c r="C75" s="1376" t="str">
        <f>IF(ISBLANK(D75),"",LARGE(C13:C74,1)+1)</f>
        <v/>
      </c>
      <c r="D75" s="1833"/>
      <c r="E75" s="1810"/>
      <c r="F75" s="1810"/>
      <c r="G75" s="1810"/>
      <c r="H75" s="1810"/>
      <c r="I75" s="1810"/>
      <c r="J75" s="1810"/>
      <c r="K75" s="1810"/>
      <c r="L75" s="1811"/>
      <c r="M75" s="9"/>
      <c r="N75" s="2252" t="s">
        <v>15</v>
      </c>
      <c r="O75" s="2237"/>
      <c r="P75" s="2237"/>
      <c r="Q75" s="2237"/>
      <c r="R75" s="2237"/>
      <c r="S75" s="2240"/>
      <c r="T75" s="2241"/>
      <c r="U75" s="2239"/>
      <c r="V75" s="2242"/>
      <c r="W75" s="2250"/>
      <c r="X75" s="2244"/>
      <c r="Y75" s="2244"/>
      <c r="Z75" s="2245"/>
      <c r="AA75" s="2246"/>
      <c r="AB75" s="2247"/>
      <c r="AC75" s="2248"/>
      <c r="AD75" s="2249"/>
      <c r="AE75" s="2249"/>
      <c r="AF75" s="2238"/>
      <c r="AG75" s="2264"/>
      <c r="AH75" s="918"/>
      <c r="AI75" s="2252" t="s">
        <v>15</v>
      </c>
      <c r="AJ75" s="2237"/>
      <c r="AK75" s="2237"/>
      <c r="AL75" s="2237"/>
      <c r="AM75" s="2237"/>
      <c r="AN75" s="2240"/>
      <c r="AO75" s="2241"/>
      <c r="AP75" s="2239"/>
      <c r="AQ75" s="2242"/>
      <c r="AR75" s="2250"/>
      <c r="AS75" s="2244"/>
      <c r="AT75" s="2244"/>
      <c r="AU75" s="2245"/>
      <c r="AV75" s="2246"/>
      <c r="AW75" s="2247"/>
      <c r="AX75" s="2248"/>
      <c r="AY75" s="2249"/>
      <c r="AZ75" s="2249"/>
      <c r="BA75" s="2238"/>
      <c r="BB75" s="2264"/>
      <c r="BC75" s="918"/>
      <c r="BD75" s="2252" t="s">
        <v>15</v>
      </c>
      <c r="BE75" s="2237"/>
      <c r="BF75" s="2237"/>
      <c r="BG75" s="2237"/>
      <c r="BH75" s="2237"/>
      <c r="BI75" s="2240"/>
      <c r="BJ75" s="2241"/>
      <c r="BK75" s="2239"/>
      <c r="BL75" s="2242"/>
      <c r="BM75" s="2250"/>
      <c r="BN75" s="2244"/>
      <c r="BO75" s="2244"/>
      <c r="BP75" s="2245"/>
      <c r="BQ75" s="2246"/>
      <c r="BR75" s="2247"/>
      <c r="BS75" s="2248"/>
      <c r="BT75" s="2249"/>
      <c r="BU75" s="2249"/>
      <c r="BV75" s="2238"/>
      <c r="BW75" s="2264"/>
      <c r="BY75" s="3">
        <v>1</v>
      </c>
    </row>
    <row r="76" spans="2:77" ht="21" customHeight="1">
      <c r="B76" s="2265" t="str" cm="1">
        <f t="array" ref="B76">SUMPRODUCT(--(D76:J76&lt;&gt;""), LEN(TRIM(SUBSTITUTE(D76:J76, CHAR(160), "")))) &amp; " Car."</f>
        <v>0 Car.</v>
      </c>
      <c r="C76" s="1376" t="str">
        <f>IF(ISBLANK(D76),"",LARGE(C13:C75,1)+1)</f>
        <v/>
      </c>
      <c r="D76" s="1833"/>
      <c r="E76" s="1810"/>
      <c r="F76" s="1810"/>
      <c r="G76" s="1810"/>
      <c r="H76" s="1810"/>
      <c r="I76" s="1810"/>
      <c r="J76" s="1810"/>
      <c r="K76" s="1810"/>
      <c r="L76" s="1811"/>
      <c r="M76" s="9"/>
      <c r="N76" s="2252" t="s">
        <v>15</v>
      </c>
      <c r="O76" s="2237"/>
      <c r="P76" s="2237"/>
      <c r="Q76" s="2237"/>
      <c r="R76" s="2237"/>
      <c r="S76" s="2240"/>
      <c r="T76" s="2241"/>
      <c r="U76" s="2239"/>
      <c r="V76" s="2242"/>
      <c r="W76" s="2250"/>
      <c r="X76" s="2244"/>
      <c r="Y76" s="2244"/>
      <c r="Z76" s="2245"/>
      <c r="AA76" s="2246"/>
      <c r="AB76" s="2247"/>
      <c r="AC76" s="2248"/>
      <c r="AD76" s="2249"/>
      <c r="AE76" s="2249"/>
      <c r="AF76" s="2238"/>
      <c r="AG76" s="2264"/>
      <c r="AH76" s="918"/>
      <c r="AI76" s="2252" t="s">
        <v>15</v>
      </c>
      <c r="AJ76" s="2237"/>
      <c r="AK76" s="2237"/>
      <c r="AL76" s="2237"/>
      <c r="AM76" s="2237"/>
      <c r="AN76" s="2240"/>
      <c r="AO76" s="2241"/>
      <c r="AP76" s="2239"/>
      <c r="AQ76" s="2242"/>
      <c r="AR76" s="2250"/>
      <c r="AS76" s="2244"/>
      <c r="AT76" s="2244"/>
      <c r="AU76" s="2245"/>
      <c r="AV76" s="2246"/>
      <c r="AW76" s="2247"/>
      <c r="AX76" s="2248"/>
      <c r="AY76" s="2249"/>
      <c r="AZ76" s="2249"/>
      <c r="BA76" s="2238"/>
      <c r="BB76" s="2264"/>
      <c r="BC76" s="918"/>
      <c r="BD76" s="2252" t="s">
        <v>15</v>
      </c>
      <c r="BE76" s="2237"/>
      <c r="BF76" s="2237"/>
      <c r="BG76" s="2237"/>
      <c r="BH76" s="2237"/>
      <c r="BI76" s="2240"/>
      <c r="BJ76" s="2241"/>
      <c r="BK76" s="2239"/>
      <c r="BL76" s="2242"/>
      <c r="BM76" s="2250"/>
      <c r="BN76" s="2244"/>
      <c r="BO76" s="2244"/>
      <c r="BP76" s="2245"/>
      <c r="BQ76" s="2246"/>
      <c r="BR76" s="2247"/>
      <c r="BS76" s="2248"/>
      <c r="BT76" s="2249"/>
      <c r="BU76" s="2249"/>
      <c r="BV76" s="2238"/>
      <c r="BW76" s="2264"/>
      <c r="BY76" s="3">
        <v>1</v>
      </c>
    </row>
    <row r="77" spans="2:77" ht="21" customHeight="1">
      <c r="B77" s="2265" t="str" cm="1">
        <f t="array" ref="B77">SUMPRODUCT(--(D77:J77&lt;&gt;""), LEN(TRIM(SUBSTITUTE(D77:J77, CHAR(160), "")))) &amp; " Car."</f>
        <v>0 Car.</v>
      </c>
      <c r="C77" s="1376" t="str">
        <f>IF(ISBLANK(D77),"",LARGE(C13:C76,1)+1)</f>
        <v/>
      </c>
      <c r="D77" s="1833"/>
      <c r="E77" s="1810"/>
      <c r="F77" s="1810"/>
      <c r="G77" s="1810"/>
      <c r="H77" s="1810"/>
      <c r="I77" s="1810"/>
      <c r="J77" s="1810"/>
      <c r="K77" s="1810"/>
      <c r="L77" s="1811"/>
      <c r="M77" s="9"/>
      <c r="N77" s="2252" t="s">
        <v>15</v>
      </c>
      <c r="O77" s="2237"/>
      <c r="P77" s="2237"/>
      <c r="Q77" s="2237"/>
      <c r="R77" s="2237"/>
      <c r="S77" s="2240"/>
      <c r="T77" s="2241"/>
      <c r="U77" s="2239"/>
      <c r="V77" s="2242"/>
      <c r="W77" s="2250"/>
      <c r="X77" s="2244"/>
      <c r="Y77" s="2244"/>
      <c r="Z77" s="2245"/>
      <c r="AA77" s="2246"/>
      <c r="AB77" s="2247"/>
      <c r="AC77" s="2248"/>
      <c r="AD77" s="2249"/>
      <c r="AE77" s="2249"/>
      <c r="AF77" s="2238"/>
      <c r="AG77" s="2264"/>
      <c r="AH77" s="918"/>
      <c r="AI77" s="2252" t="s">
        <v>15</v>
      </c>
      <c r="AJ77" s="2237"/>
      <c r="AK77" s="2237"/>
      <c r="AL77" s="2237"/>
      <c r="AM77" s="2237"/>
      <c r="AN77" s="2240"/>
      <c r="AO77" s="2241"/>
      <c r="AP77" s="2239"/>
      <c r="AQ77" s="2242"/>
      <c r="AR77" s="2250"/>
      <c r="AS77" s="2244"/>
      <c r="AT77" s="2244"/>
      <c r="AU77" s="2245"/>
      <c r="AV77" s="2246"/>
      <c r="AW77" s="2247"/>
      <c r="AX77" s="2248"/>
      <c r="AY77" s="2249"/>
      <c r="AZ77" s="2249"/>
      <c r="BA77" s="2238"/>
      <c r="BB77" s="2264"/>
      <c r="BC77" s="918"/>
      <c r="BD77" s="2252" t="s">
        <v>15</v>
      </c>
      <c r="BE77" s="2237"/>
      <c r="BF77" s="2237"/>
      <c r="BG77" s="2237"/>
      <c r="BH77" s="2237"/>
      <c r="BI77" s="2240"/>
      <c r="BJ77" s="2241"/>
      <c r="BK77" s="2239"/>
      <c r="BL77" s="2242"/>
      <c r="BM77" s="2250"/>
      <c r="BN77" s="2244"/>
      <c r="BO77" s="2244"/>
      <c r="BP77" s="2245"/>
      <c r="BQ77" s="2246"/>
      <c r="BR77" s="2247"/>
      <c r="BS77" s="2248"/>
      <c r="BT77" s="2249"/>
      <c r="BU77" s="2249"/>
      <c r="BV77" s="2238"/>
      <c r="BW77" s="2264"/>
      <c r="BY77" s="3">
        <v>1</v>
      </c>
    </row>
    <row r="78" spans="2:77" ht="21" customHeight="1">
      <c r="B78" s="2265" t="str" cm="1">
        <f t="array" ref="B78">SUMPRODUCT(--(D78:J78&lt;&gt;""), LEN(TRIM(SUBSTITUTE(D78:J78, CHAR(160), "")))) &amp; " Car."</f>
        <v>0 Car.</v>
      </c>
      <c r="C78" s="1376" t="str">
        <f>IF(ISBLANK(D78),"",LARGE(C13:C77,1)+1)</f>
        <v/>
      </c>
      <c r="D78" s="1833"/>
      <c r="E78" s="1810"/>
      <c r="F78" s="1810"/>
      <c r="G78" s="1810"/>
      <c r="H78" s="1810"/>
      <c r="I78" s="1810"/>
      <c r="J78" s="1810"/>
      <c r="K78" s="1810"/>
      <c r="L78" s="1811"/>
      <c r="M78" s="9"/>
      <c r="N78" s="2252" t="s">
        <v>15</v>
      </c>
      <c r="O78" s="2237"/>
      <c r="P78" s="2237"/>
      <c r="Q78" s="2237"/>
      <c r="R78" s="2237"/>
      <c r="S78" s="2240"/>
      <c r="T78" s="2241"/>
      <c r="U78" s="2239"/>
      <c r="V78" s="2242"/>
      <c r="W78" s="2250"/>
      <c r="X78" s="2244"/>
      <c r="Y78" s="2244"/>
      <c r="Z78" s="2245"/>
      <c r="AA78" s="2246"/>
      <c r="AB78" s="2247"/>
      <c r="AC78" s="2248"/>
      <c r="AD78" s="2249"/>
      <c r="AE78" s="2249"/>
      <c r="AF78" s="2238"/>
      <c r="AG78" s="2264"/>
      <c r="AH78" s="918"/>
      <c r="AI78" s="2252" t="s">
        <v>15</v>
      </c>
      <c r="AJ78" s="2237"/>
      <c r="AK78" s="2237"/>
      <c r="AL78" s="2237"/>
      <c r="AM78" s="2237"/>
      <c r="AN78" s="2240"/>
      <c r="AO78" s="2241"/>
      <c r="AP78" s="2239"/>
      <c r="AQ78" s="2242"/>
      <c r="AR78" s="2250"/>
      <c r="AS78" s="2244"/>
      <c r="AT78" s="2244"/>
      <c r="AU78" s="2245"/>
      <c r="AV78" s="2246"/>
      <c r="AW78" s="2247"/>
      <c r="AX78" s="2248"/>
      <c r="AY78" s="2249"/>
      <c r="AZ78" s="2249"/>
      <c r="BA78" s="2238"/>
      <c r="BB78" s="2264"/>
      <c r="BC78" s="918"/>
      <c r="BD78" s="2252" t="s">
        <v>15</v>
      </c>
      <c r="BE78" s="2237"/>
      <c r="BF78" s="2237"/>
      <c r="BG78" s="2237"/>
      <c r="BH78" s="2237"/>
      <c r="BI78" s="2240"/>
      <c r="BJ78" s="2241"/>
      <c r="BK78" s="2239"/>
      <c r="BL78" s="2242"/>
      <c r="BM78" s="2250"/>
      <c r="BN78" s="2244"/>
      <c r="BO78" s="2244"/>
      <c r="BP78" s="2245"/>
      <c r="BQ78" s="2246"/>
      <c r="BR78" s="2247"/>
      <c r="BS78" s="2248"/>
      <c r="BT78" s="2249"/>
      <c r="BU78" s="2249"/>
      <c r="BV78" s="2238"/>
      <c r="BW78" s="2264"/>
      <c r="BY78" s="3">
        <v>1</v>
      </c>
    </row>
    <row r="79" spans="2:77" ht="21" customHeight="1">
      <c r="B79" s="2265" t="str" cm="1">
        <f t="array" ref="B79">SUMPRODUCT(--(D79:J79&lt;&gt;""), LEN(TRIM(SUBSTITUTE(D79:J79, CHAR(160), "")))) &amp; " Car."</f>
        <v>0 Car.</v>
      </c>
      <c r="C79" s="1376" t="str">
        <f>IF(ISBLANK(D79),"",LARGE(C13:C78,1)+1)</f>
        <v/>
      </c>
      <c r="D79" s="1833"/>
      <c r="E79" s="1810"/>
      <c r="F79" s="1810"/>
      <c r="G79" s="1810"/>
      <c r="H79" s="1810"/>
      <c r="I79" s="1810"/>
      <c r="J79" s="1810"/>
      <c r="K79" s="1810"/>
      <c r="L79" s="1811"/>
      <c r="M79" s="9"/>
      <c r="N79" s="2252" t="s">
        <v>15</v>
      </c>
      <c r="O79" s="2237"/>
      <c r="P79" s="2237"/>
      <c r="Q79" s="2237"/>
      <c r="R79" s="2237"/>
      <c r="S79" s="2240"/>
      <c r="T79" s="2241"/>
      <c r="U79" s="2239"/>
      <c r="V79" s="2242"/>
      <c r="W79" s="2250"/>
      <c r="X79" s="2244"/>
      <c r="Y79" s="2244"/>
      <c r="Z79" s="2245"/>
      <c r="AA79" s="2246"/>
      <c r="AB79" s="2247"/>
      <c r="AC79" s="2248"/>
      <c r="AD79" s="2249"/>
      <c r="AE79" s="2249"/>
      <c r="AF79" s="2238"/>
      <c r="AG79" s="2264"/>
      <c r="AH79" s="918"/>
      <c r="AI79" s="2252" t="s">
        <v>15</v>
      </c>
      <c r="AJ79" s="2237"/>
      <c r="AK79" s="2237"/>
      <c r="AL79" s="2237"/>
      <c r="AM79" s="2237"/>
      <c r="AN79" s="2240"/>
      <c r="AO79" s="2241"/>
      <c r="AP79" s="2239"/>
      <c r="AQ79" s="2242"/>
      <c r="AR79" s="2250"/>
      <c r="AS79" s="2244"/>
      <c r="AT79" s="2244"/>
      <c r="AU79" s="2245"/>
      <c r="AV79" s="2246"/>
      <c r="AW79" s="2247"/>
      <c r="AX79" s="2248"/>
      <c r="AY79" s="2249"/>
      <c r="AZ79" s="2249"/>
      <c r="BA79" s="2238"/>
      <c r="BB79" s="2264"/>
      <c r="BC79" s="918"/>
      <c r="BD79" s="2252" t="s">
        <v>15</v>
      </c>
      <c r="BE79" s="2237"/>
      <c r="BF79" s="2237"/>
      <c r="BG79" s="2237"/>
      <c r="BH79" s="2237"/>
      <c r="BI79" s="2240"/>
      <c r="BJ79" s="2241"/>
      <c r="BK79" s="2239"/>
      <c r="BL79" s="2242"/>
      <c r="BM79" s="2250"/>
      <c r="BN79" s="2244"/>
      <c r="BO79" s="2244"/>
      <c r="BP79" s="2245"/>
      <c r="BQ79" s="2246"/>
      <c r="BR79" s="2247"/>
      <c r="BS79" s="2248"/>
      <c r="BT79" s="2249"/>
      <c r="BU79" s="2249"/>
      <c r="BV79" s="2238"/>
      <c r="BW79" s="2264"/>
      <c r="BY79" s="3">
        <v>1</v>
      </c>
    </row>
    <row r="80" spans="2:77" ht="21" customHeight="1">
      <c r="B80" s="2265" t="str" cm="1">
        <f t="array" ref="B80">SUMPRODUCT(--(D80:J80&lt;&gt;""), LEN(TRIM(SUBSTITUTE(D80:J80, CHAR(160), "")))) &amp; " Car."</f>
        <v>0 Car.</v>
      </c>
      <c r="C80" s="1376" t="str">
        <f>IF(ISBLANK(D80),"",LARGE(C13:C79,1)+1)</f>
        <v/>
      </c>
      <c r="D80" s="1833"/>
      <c r="E80" s="1810"/>
      <c r="F80" s="1810"/>
      <c r="G80" s="1810"/>
      <c r="H80" s="1810"/>
      <c r="I80" s="1810"/>
      <c r="J80" s="1810"/>
      <c r="K80" s="1810"/>
      <c r="L80" s="1811"/>
      <c r="M80" s="9"/>
      <c r="N80" s="2252" t="s">
        <v>15</v>
      </c>
      <c r="O80" s="2237"/>
      <c r="P80" s="2237"/>
      <c r="Q80" s="2237"/>
      <c r="R80" s="2237"/>
      <c r="S80" s="2240"/>
      <c r="T80" s="2241"/>
      <c r="U80" s="2239"/>
      <c r="V80" s="2242"/>
      <c r="W80" s="2250"/>
      <c r="X80" s="2244"/>
      <c r="Y80" s="2244"/>
      <c r="Z80" s="2245"/>
      <c r="AA80" s="2246"/>
      <c r="AB80" s="2247"/>
      <c r="AC80" s="2248"/>
      <c r="AD80" s="2249"/>
      <c r="AE80" s="2249"/>
      <c r="AF80" s="2238"/>
      <c r="AG80" s="2264"/>
      <c r="AH80" s="918"/>
      <c r="AI80" s="2252" t="s">
        <v>15</v>
      </c>
      <c r="AJ80" s="2237"/>
      <c r="AK80" s="2237"/>
      <c r="AL80" s="2237"/>
      <c r="AM80" s="2237"/>
      <c r="AN80" s="2240"/>
      <c r="AO80" s="2241"/>
      <c r="AP80" s="2239"/>
      <c r="AQ80" s="2242"/>
      <c r="AR80" s="2250"/>
      <c r="AS80" s="2244"/>
      <c r="AT80" s="2244"/>
      <c r="AU80" s="2245"/>
      <c r="AV80" s="2246"/>
      <c r="AW80" s="2247"/>
      <c r="AX80" s="2248"/>
      <c r="AY80" s="2249"/>
      <c r="AZ80" s="2249"/>
      <c r="BA80" s="2238"/>
      <c r="BB80" s="2264"/>
      <c r="BC80" s="918"/>
      <c r="BD80" s="2252" t="s">
        <v>15</v>
      </c>
      <c r="BE80" s="2237"/>
      <c r="BF80" s="2237"/>
      <c r="BG80" s="2237"/>
      <c r="BH80" s="2237"/>
      <c r="BI80" s="2240"/>
      <c r="BJ80" s="2241"/>
      <c r="BK80" s="2239"/>
      <c r="BL80" s="2242"/>
      <c r="BM80" s="2250"/>
      <c r="BN80" s="2244"/>
      <c r="BO80" s="2244"/>
      <c r="BP80" s="2245"/>
      <c r="BQ80" s="2246"/>
      <c r="BR80" s="2247"/>
      <c r="BS80" s="2248"/>
      <c r="BT80" s="2249"/>
      <c r="BU80" s="2249"/>
      <c r="BV80" s="2238"/>
      <c r="BW80" s="2264"/>
      <c r="BY80" s="3">
        <v>1</v>
      </c>
    </row>
    <row r="81" spans="2:77" ht="21" customHeight="1">
      <c r="B81" s="2265" t="str" cm="1">
        <f t="array" ref="B81">SUMPRODUCT(--(D81:J81&lt;&gt;""), LEN(TRIM(SUBSTITUTE(D81:J81, CHAR(160), "")))) &amp; " Car."</f>
        <v>0 Car.</v>
      </c>
      <c r="C81" s="1376" t="str">
        <f>IF(ISBLANK(D81),"",LARGE(C13:C80,1)+1)</f>
        <v/>
      </c>
      <c r="D81" s="1833"/>
      <c r="E81" s="1810"/>
      <c r="F81" s="1810"/>
      <c r="G81" s="1810"/>
      <c r="H81" s="1810"/>
      <c r="I81" s="1810"/>
      <c r="J81" s="1810"/>
      <c r="K81" s="1810"/>
      <c r="L81" s="1811"/>
      <c r="M81" s="9"/>
      <c r="N81" s="2252" t="s">
        <v>15</v>
      </c>
      <c r="O81" s="2237"/>
      <c r="P81" s="2237"/>
      <c r="Q81" s="2237"/>
      <c r="R81" s="2237"/>
      <c r="S81" s="2240"/>
      <c r="T81" s="2241"/>
      <c r="U81" s="2239"/>
      <c r="V81" s="2242"/>
      <c r="W81" s="2250"/>
      <c r="X81" s="2244"/>
      <c r="Y81" s="2244"/>
      <c r="Z81" s="2245"/>
      <c r="AA81" s="2246"/>
      <c r="AB81" s="2247"/>
      <c r="AC81" s="2248"/>
      <c r="AD81" s="2249"/>
      <c r="AE81" s="2249"/>
      <c r="AF81" s="2238"/>
      <c r="AG81" s="2264"/>
      <c r="AH81" s="918"/>
      <c r="AI81" s="2252" t="s">
        <v>15</v>
      </c>
      <c r="AJ81" s="2237"/>
      <c r="AK81" s="2237"/>
      <c r="AL81" s="2237"/>
      <c r="AM81" s="2237"/>
      <c r="AN81" s="2240"/>
      <c r="AO81" s="2241"/>
      <c r="AP81" s="2239"/>
      <c r="AQ81" s="2242"/>
      <c r="AR81" s="2250"/>
      <c r="AS81" s="2244"/>
      <c r="AT81" s="2244"/>
      <c r="AU81" s="2245"/>
      <c r="AV81" s="2246"/>
      <c r="AW81" s="2247"/>
      <c r="AX81" s="2248"/>
      <c r="AY81" s="2249"/>
      <c r="AZ81" s="2249"/>
      <c r="BA81" s="2238"/>
      <c r="BB81" s="2264"/>
      <c r="BC81" s="918"/>
      <c r="BD81" s="2252" t="s">
        <v>15</v>
      </c>
      <c r="BE81" s="2237"/>
      <c r="BF81" s="2237"/>
      <c r="BG81" s="2237"/>
      <c r="BH81" s="2237"/>
      <c r="BI81" s="2240"/>
      <c r="BJ81" s="2241"/>
      <c r="BK81" s="2239"/>
      <c r="BL81" s="2242"/>
      <c r="BM81" s="2250"/>
      <c r="BN81" s="2244"/>
      <c r="BO81" s="2244"/>
      <c r="BP81" s="2245"/>
      <c r="BQ81" s="2246"/>
      <c r="BR81" s="2247"/>
      <c r="BS81" s="2248"/>
      <c r="BT81" s="2249"/>
      <c r="BU81" s="2249"/>
      <c r="BV81" s="2238"/>
      <c r="BW81" s="2264"/>
      <c r="BY81" s="3">
        <v>1</v>
      </c>
    </row>
    <row r="82" spans="2:77" ht="21" customHeight="1">
      <c r="B82" s="2265" t="str" cm="1">
        <f t="array" ref="B82">SUMPRODUCT(--(D82:J82&lt;&gt;""), LEN(TRIM(SUBSTITUTE(D82:J82, CHAR(160), "")))) &amp; " Car."</f>
        <v>0 Car.</v>
      </c>
      <c r="C82" s="1376" t="str">
        <f>IF(ISBLANK(D82),"",LARGE(C13:C81,1)+1)</f>
        <v/>
      </c>
      <c r="D82" s="1833"/>
      <c r="E82" s="1810"/>
      <c r="F82" s="1810"/>
      <c r="G82" s="1810"/>
      <c r="H82" s="1810"/>
      <c r="I82" s="1810"/>
      <c r="J82" s="1810"/>
      <c r="K82" s="1810"/>
      <c r="L82" s="1811"/>
      <c r="M82" s="9"/>
      <c r="N82" s="2252" t="s">
        <v>15</v>
      </c>
      <c r="O82" s="2237"/>
      <c r="P82" s="2237"/>
      <c r="Q82" s="2237"/>
      <c r="R82" s="2237"/>
      <c r="S82" s="2240"/>
      <c r="T82" s="2241"/>
      <c r="U82" s="2239"/>
      <c r="V82" s="2242"/>
      <c r="W82" s="2250"/>
      <c r="X82" s="2244"/>
      <c r="Y82" s="2244"/>
      <c r="Z82" s="2245"/>
      <c r="AA82" s="2246"/>
      <c r="AB82" s="2247"/>
      <c r="AC82" s="2248"/>
      <c r="AD82" s="2249"/>
      <c r="AE82" s="2249"/>
      <c r="AF82" s="2238"/>
      <c r="AG82" s="2264"/>
      <c r="AH82" s="918"/>
      <c r="AI82" s="2252" t="s">
        <v>15</v>
      </c>
      <c r="AJ82" s="2237"/>
      <c r="AK82" s="2237"/>
      <c r="AL82" s="2237"/>
      <c r="AM82" s="2237"/>
      <c r="AN82" s="2240"/>
      <c r="AO82" s="2241"/>
      <c r="AP82" s="2239"/>
      <c r="AQ82" s="2242"/>
      <c r="AR82" s="2250"/>
      <c r="AS82" s="2244"/>
      <c r="AT82" s="2244"/>
      <c r="AU82" s="2245"/>
      <c r="AV82" s="2246"/>
      <c r="AW82" s="2247"/>
      <c r="AX82" s="2248"/>
      <c r="AY82" s="2249"/>
      <c r="AZ82" s="2249"/>
      <c r="BA82" s="2238"/>
      <c r="BB82" s="2264"/>
      <c r="BC82" s="918"/>
      <c r="BD82" s="2252" t="s">
        <v>15</v>
      </c>
      <c r="BE82" s="2237"/>
      <c r="BF82" s="2237"/>
      <c r="BG82" s="2237"/>
      <c r="BH82" s="2237"/>
      <c r="BI82" s="2240"/>
      <c r="BJ82" s="2241"/>
      <c r="BK82" s="2239"/>
      <c r="BL82" s="2242"/>
      <c r="BM82" s="2250"/>
      <c r="BN82" s="2244"/>
      <c r="BO82" s="2244"/>
      <c r="BP82" s="2245"/>
      <c r="BQ82" s="2246"/>
      <c r="BR82" s="2247"/>
      <c r="BS82" s="2248"/>
      <c r="BT82" s="2249"/>
      <c r="BU82" s="2249"/>
      <c r="BV82" s="2238"/>
      <c r="BW82" s="2264"/>
      <c r="BY82" s="3">
        <v>1</v>
      </c>
    </row>
    <row r="83" spans="2:77" ht="21" customHeight="1">
      <c r="B83" s="2265" t="str" cm="1">
        <f t="array" ref="B83">SUMPRODUCT(--(D83:J83&lt;&gt;""), LEN(TRIM(SUBSTITUTE(D83:J83, CHAR(160), "")))) &amp; " Car."</f>
        <v>0 Car.</v>
      </c>
      <c r="C83" s="1376" t="str">
        <f>IF(ISBLANK(D83),"",LARGE(C13:C82,1)+1)</f>
        <v/>
      </c>
      <c r="D83" s="1833"/>
      <c r="E83" s="1810"/>
      <c r="F83" s="1810"/>
      <c r="G83" s="1810"/>
      <c r="H83" s="1810"/>
      <c r="I83" s="1810"/>
      <c r="J83" s="1810"/>
      <c r="K83" s="1810"/>
      <c r="L83" s="1811"/>
      <c r="M83" s="9"/>
      <c r="N83" s="2252" t="s">
        <v>15</v>
      </c>
      <c r="O83" s="2237"/>
      <c r="P83" s="2237"/>
      <c r="Q83" s="2237"/>
      <c r="R83" s="2237"/>
      <c r="S83" s="2240"/>
      <c r="T83" s="2241"/>
      <c r="U83" s="2239"/>
      <c r="V83" s="2242"/>
      <c r="W83" s="2250"/>
      <c r="X83" s="2244"/>
      <c r="Y83" s="2244"/>
      <c r="Z83" s="2245"/>
      <c r="AA83" s="2246"/>
      <c r="AB83" s="2247"/>
      <c r="AC83" s="2248"/>
      <c r="AD83" s="2249"/>
      <c r="AE83" s="2249"/>
      <c r="AF83" s="2238"/>
      <c r="AG83" s="2264"/>
      <c r="AH83" s="918"/>
      <c r="AI83" s="2252" t="s">
        <v>15</v>
      </c>
      <c r="AJ83" s="2237"/>
      <c r="AK83" s="2237"/>
      <c r="AL83" s="2237"/>
      <c r="AM83" s="2237"/>
      <c r="AN83" s="2240"/>
      <c r="AO83" s="2241"/>
      <c r="AP83" s="2239"/>
      <c r="AQ83" s="2242"/>
      <c r="AR83" s="2250"/>
      <c r="AS83" s="2244"/>
      <c r="AT83" s="2244"/>
      <c r="AU83" s="2245"/>
      <c r="AV83" s="2246"/>
      <c r="AW83" s="2247"/>
      <c r="AX83" s="2248"/>
      <c r="AY83" s="2249"/>
      <c r="AZ83" s="2249"/>
      <c r="BA83" s="2238"/>
      <c r="BB83" s="2264"/>
      <c r="BC83" s="918"/>
      <c r="BD83" s="2252" t="s">
        <v>15</v>
      </c>
      <c r="BE83" s="2237"/>
      <c r="BF83" s="2237"/>
      <c r="BG83" s="2237"/>
      <c r="BH83" s="2237"/>
      <c r="BI83" s="2240"/>
      <c r="BJ83" s="2241"/>
      <c r="BK83" s="2239"/>
      <c r="BL83" s="2242"/>
      <c r="BM83" s="2250"/>
      <c r="BN83" s="2244"/>
      <c r="BO83" s="2244"/>
      <c r="BP83" s="2245"/>
      <c r="BQ83" s="2246"/>
      <c r="BR83" s="2247"/>
      <c r="BS83" s="2248"/>
      <c r="BT83" s="2249"/>
      <c r="BU83" s="2249"/>
      <c r="BV83" s="2238"/>
      <c r="BW83" s="2264"/>
      <c r="BY83" s="3">
        <v>1</v>
      </c>
    </row>
    <row r="84" spans="2:77" ht="21" customHeight="1">
      <c r="B84" s="2265" t="str" cm="1">
        <f t="array" ref="B84">SUMPRODUCT(--(D84:J84&lt;&gt;""), LEN(TRIM(SUBSTITUTE(D84:J84, CHAR(160), "")))) &amp; " Car."</f>
        <v>0 Car.</v>
      </c>
      <c r="C84" s="1376" t="str">
        <f>IF(ISBLANK(D84),"",LARGE(C13:C83,1)+1)</f>
        <v/>
      </c>
      <c r="D84" s="1833"/>
      <c r="E84" s="1810"/>
      <c r="F84" s="1810"/>
      <c r="G84" s="1810"/>
      <c r="H84" s="1810"/>
      <c r="I84" s="1810"/>
      <c r="J84" s="1810"/>
      <c r="K84" s="1810"/>
      <c r="L84" s="1811"/>
      <c r="M84" s="9"/>
      <c r="N84" s="2252" t="s">
        <v>15</v>
      </c>
      <c r="O84" s="2237"/>
      <c r="P84" s="2237"/>
      <c r="Q84" s="2237"/>
      <c r="R84" s="2237"/>
      <c r="S84" s="2240"/>
      <c r="T84" s="2241"/>
      <c r="U84" s="2239"/>
      <c r="V84" s="2242"/>
      <c r="W84" s="2250"/>
      <c r="X84" s="2244"/>
      <c r="Y84" s="2244"/>
      <c r="Z84" s="2245"/>
      <c r="AA84" s="2246"/>
      <c r="AB84" s="2247"/>
      <c r="AC84" s="2248"/>
      <c r="AD84" s="2249"/>
      <c r="AE84" s="2249"/>
      <c r="AF84" s="2238"/>
      <c r="AG84" s="2264"/>
      <c r="AH84" s="918"/>
      <c r="AI84" s="2252" t="s">
        <v>15</v>
      </c>
      <c r="AJ84" s="2237"/>
      <c r="AK84" s="2237"/>
      <c r="AL84" s="2237"/>
      <c r="AM84" s="2237"/>
      <c r="AN84" s="2240"/>
      <c r="AO84" s="2241"/>
      <c r="AP84" s="2239"/>
      <c r="AQ84" s="2242"/>
      <c r="AR84" s="2250"/>
      <c r="AS84" s="2244"/>
      <c r="AT84" s="2244"/>
      <c r="AU84" s="2245"/>
      <c r="AV84" s="2246"/>
      <c r="AW84" s="2247"/>
      <c r="AX84" s="2248"/>
      <c r="AY84" s="2249"/>
      <c r="AZ84" s="2249"/>
      <c r="BA84" s="2238"/>
      <c r="BB84" s="2264"/>
      <c r="BC84" s="918"/>
      <c r="BD84" s="2252" t="s">
        <v>15</v>
      </c>
      <c r="BE84" s="2237"/>
      <c r="BF84" s="2237"/>
      <c r="BG84" s="2237"/>
      <c r="BH84" s="2237"/>
      <c r="BI84" s="2240"/>
      <c r="BJ84" s="2241"/>
      <c r="BK84" s="2239"/>
      <c r="BL84" s="2242"/>
      <c r="BM84" s="2250"/>
      <c r="BN84" s="2244"/>
      <c r="BO84" s="2244"/>
      <c r="BP84" s="2245"/>
      <c r="BQ84" s="2246"/>
      <c r="BR84" s="2247"/>
      <c r="BS84" s="2248"/>
      <c r="BT84" s="2249"/>
      <c r="BU84" s="2249"/>
      <c r="BV84" s="2238"/>
      <c r="BW84" s="2264"/>
      <c r="BY84" s="3">
        <v>1</v>
      </c>
    </row>
    <row r="85" spans="2:77" ht="21" customHeight="1">
      <c r="B85" s="2265" t="str" cm="1">
        <f t="array" ref="B85">SUMPRODUCT(--(D85:J85&lt;&gt;""), LEN(TRIM(SUBSTITUTE(D85:J85, CHAR(160), "")))) &amp; " Car."</f>
        <v>0 Car.</v>
      </c>
      <c r="C85" s="1376" t="str">
        <f>IF(ISBLANK(D85),"",LARGE(C13:C84,1)+1)</f>
        <v/>
      </c>
      <c r="D85" s="1833"/>
      <c r="E85" s="1810"/>
      <c r="F85" s="1810"/>
      <c r="G85" s="1810"/>
      <c r="H85" s="1810"/>
      <c r="I85" s="1810"/>
      <c r="J85" s="1810"/>
      <c r="K85" s="1810"/>
      <c r="L85" s="1811"/>
      <c r="M85" s="9"/>
      <c r="N85" s="2252" t="s">
        <v>15</v>
      </c>
      <c r="O85" s="2237"/>
      <c r="P85" s="2237"/>
      <c r="Q85" s="2237"/>
      <c r="R85" s="2237"/>
      <c r="S85" s="2240"/>
      <c r="T85" s="2241"/>
      <c r="U85" s="2239"/>
      <c r="V85" s="2242"/>
      <c r="W85" s="2250"/>
      <c r="X85" s="2244"/>
      <c r="Y85" s="2244"/>
      <c r="Z85" s="2245"/>
      <c r="AA85" s="2246"/>
      <c r="AB85" s="2247"/>
      <c r="AC85" s="2248"/>
      <c r="AD85" s="2249"/>
      <c r="AE85" s="2249"/>
      <c r="AF85" s="2238"/>
      <c r="AG85" s="2264"/>
      <c r="AH85" s="918"/>
      <c r="AI85" s="2252" t="s">
        <v>15</v>
      </c>
      <c r="AJ85" s="2237"/>
      <c r="AK85" s="2237"/>
      <c r="AL85" s="2237"/>
      <c r="AM85" s="2237"/>
      <c r="AN85" s="2240"/>
      <c r="AO85" s="2241"/>
      <c r="AP85" s="2239"/>
      <c r="AQ85" s="2242"/>
      <c r="AR85" s="2250"/>
      <c r="AS85" s="2244"/>
      <c r="AT85" s="2244"/>
      <c r="AU85" s="2245"/>
      <c r="AV85" s="2246"/>
      <c r="AW85" s="2247"/>
      <c r="AX85" s="2248"/>
      <c r="AY85" s="2249"/>
      <c r="AZ85" s="2249"/>
      <c r="BA85" s="2238"/>
      <c r="BB85" s="2264"/>
      <c r="BC85" s="918"/>
      <c r="BD85" s="2252" t="s">
        <v>15</v>
      </c>
      <c r="BE85" s="2237"/>
      <c r="BF85" s="2237"/>
      <c r="BG85" s="2237"/>
      <c r="BH85" s="2237"/>
      <c r="BI85" s="2240"/>
      <c r="BJ85" s="2241"/>
      <c r="BK85" s="2239"/>
      <c r="BL85" s="2242"/>
      <c r="BM85" s="2250"/>
      <c r="BN85" s="2244"/>
      <c r="BO85" s="2244"/>
      <c r="BP85" s="2245"/>
      <c r="BQ85" s="2246"/>
      <c r="BR85" s="2247"/>
      <c r="BS85" s="2248"/>
      <c r="BT85" s="2249"/>
      <c r="BU85" s="2249"/>
      <c r="BV85" s="2238"/>
      <c r="BW85" s="2264"/>
      <c r="BY85" s="3">
        <v>1</v>
      </c>
    </row>
    <row r="86" spans="2:77" ht="21" customHeight="1">
      <c r="B86" s="2265" t="str" cm="1">
        <f t="array" ref="B86">SUMPRODUCT(--(D86:J86&lt;&gt;""), LEN(TRIM(SUBSTITUTE(D86:J86, CHAR(160), "")))) &amp; " Car."</f>
        <v>0 Car.</v>
      </c>
      <c r="C86" s="1376" t="str">
        <f>IF(ISBLANK(D86),"",LARGE(C13:C85,1)+1)</f>
        <v/>
      </c>
      <c r="D86" s="1833"/>
      <c r="E86" s="1810"/>
      <c r="F86" s="1810"/>
      <c r="G86" s="1810"/>
      <c r="H86" s="1810"/>
      <c r="I86" s="1810"/>
      <c r="J86" s="1810"/>
      <c r="K86" s="1810"/>
      <c r="L86" s="1811"/>
      <c r="M86" s="9"/>
      <c r="N86" s="2252" t="s">
        <v>15</v>
      </c>
      <c r="O86" s="2237"/>
      <c r="P86" s="2237"/>
      <c r="Q86" s="2237"/>
      <c r="R86" s="2237"/>
      <c r="S86" s="2240"/>
      <c r="T86" s="2241"/>
      <c r="U86" s="2239"/>
      <c r="V86" s="2242"/>
      <c r="W86" s="2250"/>
      <c r="X86" s="2244"/>
      <c r="Y86" s="2244"/>
      <c r="Z86" s="2245"/>
      <c r="AA86" s="2246"/>
      <c r="AB86" s="2247"/>
      <c r="AC86" s="2248"/>
      <c r="AD86" s="2249"/>
      <c r="AE86" s="2249"/>
      <c r="AF86" s="2238"/>
      <c r="AG86" s="2264"/>
      <c r="AH86" s="918"/>
      <c r="AI86" s="2252" t="s">
        <v>15</v>
      </c>
      <c r="AJ86" s="2237"/>
      <c r="AK86" s="2237"/>
      <c r="AL86" s="2237"/>
      <c r="AM86" s="2237"/>
      <c r="AN86" s="2240"/>
      <c r="AO86" s="2241"/>
      <c r="AP86" s="2239"/>
      <c r="AQ86" s="2242"/>
      <c r="AR86" s="2250"/>
      <c r="AS86" s="2244"/>
      <c r="AT86" s="2244"/>
      <c r="AU86" s="2245"/>
      <c r="AV86" s="2246"/>
      <c r="AW86" s="2247"/>
      <c r="AX86" s="2248"/>
      <c r="AY86" s="2249"/>
      <c r="AZ86" s="2249"/>
      <c r="BA86" s="2238"/>
      <c r="BB86" s="2264"/>
      <c r="BC86" s="918"/>
      <c r="BD86" s="2252" t="s">
        <v>15</v>
      </c>
      <c r="BE86" s="2237"/>
      <c r="BF86" s="2237"/>
      <c r="BG86" s="2237"/>
      <c r="BH86" s="2237"/>
      <c r="BI86" s="2240"/>
      <c r="BJ86" s="2241"/>
      <c r="BK86" s="2239"/>
      <c r="BL86" s="2242"/>
      <c r="BM86" s="2250"/>
      <c r="BN86" s="2244"/>
      <c r="BO86" s="2244"/>
      <c r="BP86" s="2245"/>
      <c r="BQ86" s="2246"/>
      <c r="BR86" s="2247"/>
      <c r="BS86" s="2248"/>
      <c r="BT86" s="2249"/>
      <c r="BU86" s="2249"/>
      <c r="BV86" s="2238"/>
      <c r="BW86" s="2264"/>
      <c r="BY86" s="3">
        <v>1</v>
      </c>
    </row>
    <row r="87" spans="2:77" ht="21" customHeight="1">
      <c r="B87" s="2265" t="str" cm="1">
        <f t="array" ref="B87">SUMPRODUCT(--(D87:J87&lt;&gt;""), LEN(TRIM(SUBSTITUTE(D87:J87, CHAR(160), "")))) &amp; " Car."</f>
        <v>0 Car.</v>
      </c>
      <c r="C87" s="1376" t="str">
        <f>IF(ISBLANK(D87),"",LARGE(C13:C86,1)+1)</f>
        <v/>
      </c>
      <c r="D87" s="1833"/>
      <c r="E87" s="1810"/>
      <c r="F87" s="1810"/>
      <c r="G87" s="1810"/>
      <c r="H87" s="1810"/>
      <c r="I87" s="1810"/>
      <c r="J87" s="1810"/>
      <c r="K87" s="1810"/>
      <c r="L87" s="1811"/>
      <c r="M87" s="9"/>
      <c r="N87" s="2252" t="s">
        <v>15</v>
      </c>
      <c r="O87" s="2237"/>
      <c r="P87" s="2237"/>
      <c r="Q87" s="2237"/>
      <c r="R87" s="2237"/>
      <c r="S87" s="2240"/>
      <c r="T87" s="2241"/>
      <c r="U87" s="2239"/>
      <c r="V87" s="2242"/>
      <c r="W87" s="2250"/>
      <c r="X87" s="2244"/>
      <c r="Y87" s="2244"/>
      <c r="Z87" s="2245"/>
      <c r="AA87" s="2246"/>
      <c r="AB87" s="2247"/>
      <c r="AC87" s="2248"/>
      <c r="AD87" s="2249"/>
      <c r="AE87" s="2249"/>
      <c r="AF87" s="2238"/>
      <c r="AG87" s="2264"/>
      <c r="AH87" s="918"/>
      <c r="AI87" s="2252" t="s">
        <v>15</v>
      </c>
      <c r="AJ87" s="2237"/>
      <c r="AK87" s="2237"/>
      <c r="AL87" s="2237"/>
      <c r="AM87" s="2237"/>
      <c r="AN87" s="2240"/>
      <c r="AO87" s="2241"/>
      <c r="AP87" s="2239"/>
      <c r="AQ87" s="2242"/>
      <c r="AR87" s="2250"/>
      <c r="AS87" s="2244"/>
      <c r="AT87" s="2244"/>
      <c r="AU87" s="2245"/>
      <c r="AV87" s="2246"/>
      <c r="AW87" s="2247"/>
      <c r="AX87" s="2248"/>
      <c r="AY87" s="2249"/>
      <c r="AZ87" s="2249"/>
      <c r="BA87" s="2238"/>
      <c r="BB87" s="2264"/>
      <c r="BC87" s="918"/>
      <c r="BD87" s="2252" t="s">
        <v>15</v>
      </c>
      <c r="BE87" s="2237"/>
      <c r="BF87" s="2237"/>
      <c r="BG87" s="2237"/>
      <c r="BH87" s="2237"/>
      <c r="BI87" s="2240"/>
      <c r="BJ87" s="2241"/>
      <c r="BK87" s="2239"/>
      <c r="BL87" s="2242"/>
      <c r="BM87" s="2250"/>
      <c r="BN87" s="2244"/>
      <c r="BO87" s="2244"/>
      <c r="BP87" s="2245"/>
      <c r="BQ87" s="2246"/>
      <c r="BR87" s="2247"/>
      <c r="BS87" s="2248"/>
      <c r="BT87" s="2249"/>
      <c r="BU87" s="2249"/>
      <c r="BV87" s="2238"/>
      <c r="BW87" s="2264"/>
      <c r="BY87" s="3">
        <v>1</v>
      </c>
    </row>
    <row r="88" spans="2:77" ht="21" customHeight="1">
      <c r="B88" s="2265" t="str" cm="1">
        <f t="array" ref="B88">SUMPRODUCT(--(D88:J88&lt;&gt;""), LEN(TRIM(SUBSTITUTE(D88:J88, CHAR(160), "")))) &amp; " Car."</f>
        <v>0 Car.</v>
      </c>
      <c r="C88" s="1376" t="str">
        <f>IF(ISBLANK(D88),"",LARGE(C13:C87,1)+1)</f>
        <v/>
      </c>
      <c r="D88" s="1833"/>
      <c r="E88" s="1810"/>
      <c r="F88" s="1810"/>
      <c r="G88" s="1810"/>
      <c r="H88" s="1810"/>
      <c r="I88" s="1810"/>
      <c r="J88" s="1810"/>
      <c r="K88" s="1810"/>
      <c r="L88" s="1811"/>
      <c r="M88" s="9"/>
      <c r="N88" s="2252" t="s">
        <v>15</v>
      </c>
      <c r="O88" s="2237"/>
      <c r="P88" s="2237"/>
      <c r="Q88" s="2237"/>
      <c r="R88" s="2237"/>
      <c r="S88" s="2240"/>
      <c r="T88" s="2241"/>
      <c r="U88" s="2239"/>
      <c r="V88" s="2242"/>
      <c r="W88" s="2250"/>
      <c r="X88" s="2244"/>
      <c r="Y88" s="2244"/>
      <c r="Z88" s="2245"/>
      <c r="AA88" s="2246"/>
      <c r="AB88" s="2247"/>
      <c r="AC88" s="2248"/>
      <c r="AD88" s="2249"/>
      <c r="AE88" s="2249"/>
      <c r="AF88" s="2238"/>
      <c r="AG88" s="2264"/>
      <c r="AH88" s="918"/>
      <c r="AI88" s="2252" t="s">
        <v>15</v>
      </c>
      <c r="AJ88" s="2237"/>
      <c r="AK88" s="2237"/>
      <c r="AL88" s="2237"/>
      <c r="AM88" s="2237"/>
      <c r="AN88" s="2240"/>
      <c r="AO88" s="2241"/>
      <c r="AP88" s="2239"/>
      <c r="AQ88" s="2242"/>
      <c r="AR88" s="2250"/>
      <c r="AS88" s="2244"/>
      <c r="AT88" s="2244"/>
      <c r="AU88" s="2245"/>
      <c r="AV88" s="2246"/>
      <c r="AW88" s="2247"/>
      <c r="AX88" s="2248"/>
      <c r="AY88" s="2249"/>
      <c r="AZ88" s="2249"/>
      <c r="BA88" s="2238"/>
      <c r="BB88" s="2264"/>
      <c r="BC88" s="918"/>
      <c r="BD88" s="2252" t="s">
        <v>15</v>
      </c>
      <c r="BE88" s="2237"/>
      <c r="BF88" s="2237"/>
      <c r="BG88" s="2237"/>
      <c r="BH88" s="2237"/>
      <c r="BI88" s="2240"/>
      <c r="BJ88" s="2241"/>
      <c r="BK88" s="2239"/>
      <c r="BL88" s="2242"/>
      <c r="BM88" s="2250"/>
      <c r="BN88" s="2244"/>
      <c r="BO88" s="2244"/>
      <c r="BP88" s="2245"/>
      <c r="BQ88" s="2246"/>
      <c r="BR88" s="2247"/>
      <c r="BS88" s="2248"/>
      <c r="BT88" s="2249"/>
      <c r="BU88" s="2249"/>
      <c r="BV88" s="2238"/>
      <c r="BW88" s="2264"/>
      <c r="BY88" s="3">
        <v>1</v>
      </c>
    </row>
    <row r="89" spans="2:77" ht="21" customHeight="1">
      <c r="B89" s="2265" t="str" cm="1">
        <f t="array" ref="B89">SUMPRODUCT(--(D89:J89&lt;&gt;""), LEN(TRIM(SUBSTITUTE(D89:J89, CHAR(160), "")))) &amp; " Car."</f>
        <v>0 Car.</v>
      </c>
      <c r="C89" s="1376" t="str">
        <f>IF(ISBLANK(D89),"",LARGE(C13:C88,1)+1)</f>
        <v/>
      </c>
      <c r="D89" s="1833"/>
      <c r="E89" s="1810"/>
      <c r="F89" s="1810"/>
      <c r="G89" s="1810"/>
      <c r="H89" s="1810"/>
      <c r="I89" s="1810"/>
      <c r="J89" s="1810"/>
      <c r="K89" s="1810"/>
      <c r="L89" s="1811"/>
      <c r="M89" s="9"/>
      <c r="N89" s="2252" t="s">
        <v>15</v>
      </c>
      <c r="O89" s="2237"/>
      <c r="P89" s="2237"/>
      <c r="Q89" s="2237"/>
      <c r="R89" s="2237"/>
      <c r="S89" s="2240"/>
      <c r="T89" s="2241"/>
      <c r="U89" s="2239"/>
      <c r="V89" s="2242"/>
      <c r="W89" s="2250"/>
      <c r="X89" s="2244"/>
      <c r="Y89" s="2244"/>
      <c r="Z89" s="2245"/>
      <c r="AA89" s="2246"/>
      <c r="AB89" s="2247"/>
      <c r="AC89" s="2248"/>
      <c r="AD89" s="2249"/>
      <c r="AE89" s="2249"/>
      <c r="AF89" s="2238"/>
      <c r="AG89" s="2264"/>
      <c r="AH89" s="918"/>
      <c r="AI89" s="2252" t="s">
        <v>15</v>
      </c>
      <c r="AJ89" s="2237"/>
      <c r="AK89" s="2237"/>
      <c r="AL89" s="2237"/>
      <c r="AM89" s="2237"/>
      <c r="AN89" s="2240"/>
      <c r="AO89" s="2241"/>
      <c r="AP89" s="2239"/>
      <c r="AQ89" s="2242"/>
      <c r="AR89" s="2250"/>
      <c r="AS89" s="2244"/>
      <c r="AT89" s="2244"/>
      <c r="AU89" s="2245"/>
      <c r="AV89" s="2246"/>
      <c r="AW89" s="2247"/>
      <c r="AX89" s="2248"/>
      <c r="AY89" s="2249"/>
      <c r="AZ89" s="2249"/>
      <c r="BA89" s="2238"/>
      <c r="BB89" s="2264"/>
      <c r="BC89" s="918"/>
      <c r="BD89" s="2252" t="s">
        <v>15</v>
      </c>
      <c r="BE89" s="2237"/>
      <c r="BF89" s="2237"/>
      <c r="BG89" s="2237"/>
      <c r="BH89" s="2237"/>
      <c r="BI89" s="2240"/>
      <c r="BJ89" s="2241"/>
      <c r="BK89" s="2239"/>
      <c r="BL89" s="2242"/>
      <c r="BM89" s="2250"/>
      <c r="BN89" s="2244"/>
      <c r="BO89" s="2244"/>
      <c r="BP89" s="2245"/>
      <c r="BQ89" s="2246"/>
      <c r="BR89" s="2247"/>
      <c r="BS89" s="2248"/>
      <c r="BT89" s="2249"/>
      <c r="BU89" s="2249"/>
      <c r="BV89" s="2238"/>
      <c r="BW89" s="2264"/>
      <c r="BY89" s="3">
        <v>1</v>
      </c>
    </row>
    <row r="90" spans="2:77" ht="21" customHeight="1">
      <c r="B90" s="2265" t="str" cm="1">
        <f t="array" ref="B90">SUMPRODUCT(--(D90:J90&lt;&gt;""), LEN(TRIM(SUBSTITUTE(D90:J90, CHAR(160), "")))) &amp; " Car."</f>
        <v>0 Car.</v>
      </c>
      <c r="C90" s="1376" t="str">
        <f>IF(ISBLANK(D90),"",LARGE(C13:C89,1)+1)</f>
        <v/>
      </c>
      <c r="D90" s="1833"/>
      <c r="E90" s="1810"/>
      <c r="F90" s="1810"/>
      <c r="G90" s="1810"/>
      <c r="H90" s="1810"/>
      <c r="I90" s="1810"/>
      <c r="J90" s="1810"/>
      <c r="K90" s="1810"/>
      <c r="L90" s="1811"/>
      <c r="M90" s="9"/>
      <c r="N90" s="2252" t="s">
        <v>15</v>
      </c>
      <c r="O90" s="2237"/>
      <c r="P90" s="2237"/>
      <c r="Q90" s="2237"/>
      <c r="R90" s="2237"/>
      <c r="S90" s="2240"/>
      <c r="T90" s="2241"/>
      <c r="U90" s="2239"/>
      <c r="V90" s="2242"/>
      <c r="W90" s="2250"/>
      <c r="X90" s="2244"/>
      <c r="Y90" s="2244"/>
      <c r="Z90" s="2245"/>
      <c r="AA90" s="2246"/>
      <c r="AB90" s="2247"/>
      <c r="AC90" s="2248"/>
      <c r="AD90" s="2249"/>
      <c r="AE90" s="2249"/>
      <c r="AF90" s="2238"/>
      <c r="AG90" s="2264"/>
      <c r="AH90" s="918"/>
      <c r="AI90" s="2252" t="s">
        <v>15</v>
      </c>
      <c r="AJ90" s="2237"/>
      <c r="AK90" s="2237"/>
      <c r="AL90" s="2237"/>
      <c r="AM90" s="2237"/>
      <c r="AN90" s="2240"/>
      <c r="AO90" s="2241"/>
      <c r="AP90" s="2239"/>
      <c r="AQ90" s="2242"/>
      <c r="AR90" s="2250"/>
      <c r="AS90" s="2244"/>
      <c r="AT90" s="2244"/>
      <c r="AU90" s="2245"/>
      <c r="AV90" s="2246"/>
      <c r="AW90" s="2247"/>
      <c r="AX90" s="2248"/>
      <c r="AY90" s="2249"/>
      <c r="AZ90" s="2249"/>
      <c r="BA90" s="2238"/>
      <c r="BB90" s="2264"/>
      <c r="BC90" s="918"/>
      <c r="BD90" s="2252" t="s">
        <v>15</v>
      </c>
      <c r="BE90" s="2237"/>
      <c r="BF90" s="2237"/>
      <c r="BG90" s="2237"/>
      <c r="BH90" s="2237"/>
      <c r="BI90" s="2240"/>
      <c r="BJ90" s="2241"/>
      <c r="BK90" s="2239"/>
      <c r="BL90" s="2242"/>
      <c r="BM90" s="2250"/>
      <c r="BN90" s="2244"/>
      <c r="BO90" s="2244"/>
      <c r="BP90" s="2245"/>
      <c r="BQ90" s="2246"/>
      <c r="BR90" s="2247"/>
      <c r="BS90" s="2248"/>
      <c r="BT90" s="2249"/>
      <c r="BU90" s="2249"/>
      <c r="BV90" s="2238"/>
      <c r="BW90" s="2264"/>
      <c r="BY90" s="3">
        <v>1</v>
      </c>
    </row>
    <row r="91" spans="2:77" ht="21" customHeight="1">
      <c r="B91" s="2265" t="str" cm="1">
        <f t="array" ref="B91">SUMPRODUCT(--(D91:J91&lt;&gt;""), LEN(TRIM(SUBSTITUTE(D91:J91, CHAR(160), "")))) &amp; " Car."</f>
        <v>0 Car.</v>
      </c>
      <c r="C91" s="1376" t="str">
        <f>IF(ISBLANK(D91),"",LARGE(C13:C90,1)+1)</f>
        <v/>
      </c>
      <c r="D91" s="1833"/>
      <c r="E91" s="1810"/>
      <c r="F91" s="1810"/>
      <c r="G91" s="1810"/>
      <c r="H91" s="1810"/>
      <c r="I91" s="1810"/>
      <c r="J91" s="1810"/>
      <c r="K91" s="1810"/>
      <c r="L91" s="1811"/>
      <c r="M91" s="9"/>
      <c r="N91" s="2252" t="s">
        <v>15</v>
      </c>
      <c r="O91" s="2237"/>
      <c r="P91" s="2237"/>
      <c r="Q91" s="2237"/>
      <c r="R91" s="2237"/>
      <c r="S91" s="2240"/>
      <c r="T91" s="2241"/>
      <c r="U91" s="2239"/>
      <c r="V91" s="2242"/>
      <c r="W91" s="2250"/>
      <c r="X91" s="2244"/>
      <c r="Y91" s="2244"/>
      <c r="Z91" s="2245"/>
      <c r="AA91" s="2246"/>
      <c r="AB91" s="2247"/>
      <c r="AC91" s="2248"/>
      <c r="AD91" s="2249"/>
      <c r="AE91" s="2249"/>
      <c r="AF91" s="2238"/>
      <c r="AG91" s="2264"/>
      <c r="AH91" s="918"/>
      <c r="AI91" s="2252" t="s">
        <v>15</v>
      </c>
      <c r="AJ91" s="2237"/>
      <c r="AK91" s="2237"/>
      <c r="AL91" s="2237"/>
      <c r="AM91" s="2237"/>
      <c r="AN91" s="2240"/>
      <c r="AO91" s="2241"/>
      <c r="AP91" s="2239"/>
      <c r="AQ91" s="2242"/>
      <c r="AR91" s="2250"/>
      <c r="AS91" s="2244"/>
      <c r="AT91" s="2244"/>
      <c r="AU91" s="2245"/>
      <c r="AV91" s="2246"/>
      <c r="AW91" s="2247"/>
      <c r="AX91" s="2248"/>
      <c r="AY91" s="2249"/>
      <c r="AZ91" s="2249"/>
      <c r="BA91" s="2238"/>
      <c r="BB91" s="2264"/>
      <c r="BC91" s="918"/>
      <c r="BD91" s="2252" t="s">
        <v>15</v>
      </c>
      <c r="BE91" s="2237"/>
      <c r="BF91" s="2237"/>
      <c r="BG91" s="2237"/>
      <c r="BH91" s="2237"/>
      <c r="BI91" s="2240"/>
      <c r="BJ91" s="2241"/>
      <c r="BK91" s="2239"/>
      <c r="BL91" s="2242"/>
      <c r="BM91" s="2250"/>
      <c r="BN91" s="2244"/>
      <c r="BO91" s="2244"/>
      <c r="BP91" s="2245"/>
      <c r="BQ91" s="2246"/>
      <c r="BR91" s="2247"/>
      <c r="BS91" s="2248"/>
      <c r="BT91" s="2249"/>
      <c r="BU91" s="2249"/>
      <c r="BV91" s="2238"/>
      <c r="BW91" s="2264"/>
      <c r="BY91" s="3">
        <v>1</v>
      </c>
    </row>
    <row r="92" spans="2:77" ht="21" customHeight="1">
      <c r="B92" s="2265" t="str" cm="1">
        <f t="array" ref="B92">SUMPRODUCT(--(D92:J92&lt;&gt;""), LEN(TRIM(SUBSTITUTE(D92:J92, CHAR(160), "")))) &amp; " Car."</f>
        <v>0 Car.</v>
      </c>
      <c r="C92" s="1376" t="str">
        <f>IF(ISBLANK(D92),"",LARGE(C13:C91,1)+1)</f>
        <v/>
      </c>
      <c r="D92" s="1833"/>
      <c r="E92" s="1810"/>
      <c r="F92" s="1810"/>
      <c r="G92" s="1810"/>
      <c r="H92" s="1810"/>
      <c r="I92" s="1810"/>
      <c r="J92" s="1810"/>
      <c r="K92" s="1810"/>
      <c r="L92" s="1811"/>
      <c r="M92" s="9"/>
      <c r="N92" s="2252" t="s">
        <v>15</v>
      </c>
      <c r="O92" s="2237"/>
      <c r="P92" s="2237"/>
      <c r="Q92" s="2237"/>
      <c r="R92" s="2237"/>
      <c r="S92" s="2240"/>
      <c r="T92" s="2241"/>
      <c r="U92" s="2239"/>
      <c r="V92" s="2242"/>
      <c r="W92" s="2250"/>
      <c r="X92" s="2244"/>
      <c r="Y92" s="2244"/>
      <c r="Z92" s="2245"/>
      <c r="AA92" s="2246"/>
      <c r="AB92" s="2247"/>
      <c r="AC92" s="2248"/>
      <c r="AD92" s="2249"/>
      <c r="AE92" s="2249"/>
      <c r="AF92" s="2238"/>
      <c r="AG92" s="2264"/>
      <c r="AH92" s="918"/>
      <c r="AI92" s="2252" t="s">
        <v>15</v>
      </c>
      <c r="AJ92" s="2237"/>
      <c r="AK92" s="2237"/>
      <c r="AL92" s="2237"/>
      <c r="AM92" s="2237"/>
      <c r="AN92" s="2240"/>
      <c r="AO92" s="2241"/>
      <c r="AP92" s="2239"/>
      <c r="AQ92" s="2242"/>
      <c r="AR92" s="2250"/>
      <c r="AS92" s="2244"/>
      <c r="AT92" s="2244"/>
      <c r="AU92" s="2245"/>
      <c r="AV92" s="2246"/>
      <c r="AW92" s="2247"/>
      <c r="AX92" s="2248"/>
      <c r="AY92" s="2249"/>
      <c r="AZ92" s="2249"/>
      <c r="BA92" s="2238"/>
      <c r="BB92" s="2264"/>
      <c r="BC92" s="918"/>
      <c r="BD92" s="2252" t="s">
        <v>15</v>
      </c>
      <c r="BE92" s="2237"/>
      <c r="BF92" s="2237"/>
      <c r="BG92" s="2237"/>
      <c r="BH92" s="2237"/>
      <c r="BI92" s="2240"/>
      <c r="BJ92" s="2241"/>
      <c r="BK92" s="2239"/>
      <c r="BL92" s="2242"/>
      <c r="BM92" s="2250"/>
      <c r="BN92" s="2244"/>
      <c r="BO92" s="2244"/>
      <c r="BP92" s="2245"/>
      <c r="BQ92" s="2246"/>
      <c r="BR92" s="2247"/>
      <c r="BS92" s="2248"/>
      <c r="BT92" s="2249"/>
      <c r="BU92" s="2249"/>
      <c r="BV92" s="2238"/>
      <c r="BW92" s="2264"/>
      <c r="BY92" s="3">
        <v>1</v>
      </c>
    </row>
    <row r="93" spans="2:77" ht="21" customHeight="1">
      <c r="B93" s="2265" t="str" cm="1">
        <f t="array" ref="B93">SUMPRODUCT(--(D93:J93&lt;&gt;""), LEN(TRIM(SUBSTITUTE(D93:J93, CHAR(160), "")))) &amp; " Car."</f>
        <v>0 Car.</v>
      </c>
      <c r="C93" s="1376" t="str">
        <f>IF(ISBLANK(D93),"",LARGE(C13:C92,1)+1)</f>
        <v/>
      </c>
      <c r="D93" s="1833"/>
      <c r="E93" s="1810"/>
      <c r="F93" s="1810"/>
      <c r="G93" s="1810"/>
      <c r="H93" s="1810"/>
      <c r="I93" s="1810"/>
      <c r="J93" s="1810"/>
      <c r="K93" s="1810"/>
      <c r="L93" s="1811"/>
      <c r="M93" s="9"/>
      <c r="N93" s="2252" t="s">
        <v>15</v>
      </c>
      <c r="O93" s="2237"/>
      <c r="P93" s="2237"/>
      <c r="Q93" s="2237"/>
      <c r="R93" s="2237"/>
      <c r="S93" s="2240"/>
      <c r="T93" s="2241"/>
      <c r="U93" s="2239"/>
      <c r="V93" s="2242"/>
      <c r="W93" s="2250"/>
      <c r="X93" s="2244"/>
      <c r="Y93" s="2244"/>
      <c r="Z93" s="2245"/>
      <c r="AA93" s="2246"/>
      <c r="AB93" s="2247"/>
      <c r="AC93" s="2248"/>
      <c r="AD93" s="2249"/>
      <c r="AE93" s="2249"/>
      <c r="AF93" s="2238"/>
      <c r="AG93" s="2264"/>
      <c r="AH93" s="918"/>
      <c r="AI93" s="2252" t="s">
        <v>15</v>
      </c>
      <c r="AJ93" s="2237"/>
      <c r="AK93" s="2237"/>
      <c r="AL93" s="2237"/>
      <c r="AM93" s="2237"/>
      <c r="AN93" s="2240"/>
      <c r="AO93" s="2241"/>
      <c r="AP93" s="2239"/>
      <c r="AQ93" s="2242"/>
      <c r="AR93" s="2250"/>
      <c r="AS93" s="2244"/>
      <c r="AT93" s="2244"/>
      <c r="AU93" s="2245"/>
      <c r="AV93" s="2246"/>
      <c r="AW93" s="2247"/>
      <c r="AX93" s="2248"/>
      <c r="AY93" s="2249"/>
      <c r="AZ93" s="2249"/>
      <c r="BA93" s="2238"/>
      <c r="BB93" s="2264"/>
      <c r="BC93" s="918"/>
      <c r="BD93" s="2252" t="s">
        <v>15</v>
      </c>
      <c r="BE93" s="2237"/>
      <c r="BF93" s="2237"/>
      <c r="BG93" s="2237"/>
      <c r="BH93" s="2237"/>
      <c r="BI93" s="2240"/>
      <c r="BJ93" s="2241"/>
      <c r="BK93" s="2239"/>
      <c r="BL93" s="2242"/>
      <c r="BM93" s="2250"/>
      <c r="BN93" s="2244"/>
      <c r="BO93" s="2244"/>
      <c r="BP93" s="2245"/>
      <c r="BQ93" s="2246"/>
      <c r="BR93" s="2247"/>
      <c r="BS93" s="2248"/>
      <c r="BT93" s="2249"/>
      <c r="BU93" s="2249"/>
      <c r="BV93" s="2238"/>
      <c r="BW93" s="2264"/>
      <c r="BY93" s="3">
        <v>1</v>
      </c>
    </row>
    <row r="94" spans="2:77" ht="21" customHeight="1">
      <c r="B94" s="2265" t="str" cm="1">
        <f t="array" ref="B94">SUMPRODUCT(--(D94:J94&lt;&gt;""), LEN(TRIM(SUBSTITUTE(D94:J94, CHAR(160), "")))) &amp; " Car."</f>
        <v>0 Car.</v>
      </c>
      <c r="C94" s="1376" t="str">
        <f>IF(ISBLANK(D94),"",LARGE(C13:C93,1)+1)</f>
        <v/>
      </c>
      <c r="D94" s="1833"/>
      <c r="E94" s="1810"/>
      <c r="F94" s="1810"/>
      <c r="G94" s="1810"/>
      <c r="H94" s="1810"/>
      <c r="I94" s="1810"/>
      <c r="J94" s="1810"/>
      <c r="K94" s="1810"/>
      <c r="L94" s="1811"/>
      <c r="M94" s="9"/>
      <c r="N94" s="2252" t="s">
        <v>15</v>
      </c>
      <c r="O94" s="2237"/>
      <c r="P94" s="2237"/>
      <c r="Q94" s="2237"/>
      <c r="R94" s="2237"/>
      <c r="S94" s="2240"/>
      <c r="T94" s="2241"/>
      <c r="U94" s="2239"/>
      <c r="V94" s="2242"/>
      <c r="W94" s="2250"/>
      <c r="X94" s="2244"/>
      <c r="Y94" s="2244"/>
      <c r="Z94" s="2245"/>
      <c r="AA94" s="2246"/>
      <c r="AB94" s="2247"/>
      <c r="AC94" s="2248"/>
      <c r="AD94" s="2249"/>
      <c r="AE94" s="2249"/>
      <c r="AF94" s="2238"/>
      <c r="AG94" s="2264"/>
      <c r="AH94" s="918"/>
      <c r="AI94" s="2252" t="s">
        <v>15</v>
      </c>
      <c r="AJ94" s="2237"/>
      <c r="AK94" s="2237"/>
      <c r="AL94" s="2237"/>
      <c r="AM94" s="2237"/>
      <c r="AN94" s="2240"/>
      <c r="AO94" s="2241"/>
      <c r="AP94" s="2239"/>
      <c r="AQ94" s="2242"/>
      <c r="AR94" s="2250"/>
      <c r="AS94" s="2244"/>
      <c r="AT94" s="2244"/>
      <c r="AU94" s="2245"/>
      <c r="AV94" s="2246"/>
      <c r="AW94" s="2247"/>
      <c r="AX94" s="2248"/>
      <c r="AY94" s="2249"/>
      <c r="AZ94" s="2249"/>
      <c r="BA94" s="2238"/>
      <c r="BB94" s="2264"/>
      <c r="BC94" s="918"/>
      <c r="BD94" s="2252" t="s">
        <v>15</v>
      </c>
      <c r="BE94" s="2237"/>
      <c r="BF94" s="2237"/>
      <c r="BG94" s="2237"/>
      <c r="BH94" s="2237"/>
      <c r="BI94" s="2240"/>
      <c r="BJ94" s="2241"/>
      <c r="BK94" s="2239"/>
      <c r="BL94" s="2242"/>
      <c r="BM94" s="2250"/>
      <c r="BN94" s="2244"/>
      <c r="BO94" s="2244"/>
      <c r="BP94" s="2245"/>
      <c r="BQ94" s="2246"/>
      <c r="BR94" s="2247"/>
      <c r="BS94" s="2248"/>
      <c r="BT94" s="2249"/>
      <c r="BU94" s="2249"/>
      <c r="BV94" s="2238"/>
      <c r="BW94" s="2264"/>
      <c r="BY94" s="3">
        <v>1</v>
      </c>
    </row>
    <row r="95" spans="2:77" ht="21" customHeight="1">
      <c r="B95" s="2265" t="str" cm="1">
        <f t="array" ref="B95">SUMPRODUCT(--(D95:J95&lt;&gt;""), LEN(TRIM(SUBSTITUTE(D95:J95, CHAR(160), "")))) &amp; " Car."</f>
        <v>0 Car.</v>
      </c>
      <c r="C95" s="1376" t="str">
        <f>IF(ISBLANK(D95),"",LARGE(C13:C94,1)+1)</f>
        <v/>
      </c>
      <c r="D95" s="1833"/>
      <c r="E95" s="1810"/>
      <c r="F95" s="1810"/>
      <c r="G95" s="1810"/>
      <c r="H95" s="1810"/>
      <c r="I95" s="1810"/>
      <c r="J95" s="1810"/>
      <c r="K95" s="1810"/>
      <c r="L95" s="1811"/>
      <c r="M95" s="9"/>
      <c r="N95" s="2252" t="s">
        <v>15</v>
      </c>
      <c r="O95" s="2237"/>
      <c r="P95" s="2237"/>
      <c r="Q95" s="2237"/>
      <c r="R95" s="2237"/>
      <c r="S95" s="2240"/>
      <c r="T95" s="2241"/>
      <c r="U95" s="2239"/>
      <c r="V95" s="2242"/>
      <c r="W95" s="2250"/>
      <c r="X95" s="2244"/>
      <c r="Y95" s="2244"/>
      <c r="Z95" s="2245"/>
      <c r="AA95" s="2246"/>
      <c r="AB95" s="2247"/>
      <c r="AC95" s="2248"/>
      <c r="AD95" s="2249"/>
      <c r="AE95" s="2249"/>
      <c r="AF95" s="2238"/>
      <c r="AG95" s="2264"/>
      <c r="AH95" s="918"/>
      <c r="AI95" s="2252" t="s">
        <v>15</v>
      </c>
      <c r="AJ95" s="2237"/>
      <c r="AK95" s="2237"/>
      <c r="AL95" s="2237"/>
      <c r="AM95" s="2237"/>
      <c r="AN95" s="2240"/>
      <c r="AO95" s="2241"/>
      <c r="AP95" s="2239"/>
      <c r="AQ95" s="2242"/>
      <c r="AR95" s="2250"/>
      <c r="AS95" s="2244"/>
      <c r="AT95" s="2244"/>
      <c r="AU95" s="2245"/>
      <c r="AV95" s="2246"/>
      <c r="AW95" s="2247"/>
      <c r="AX95" s="2248"/>
      <c r="AY95" s="2249"/>
      <c r="AZ95" s="2249"/>
      <c r="BA95" s="2238"/>
      <c r="BB95" s="2264"/>
      <c r="BC95" s="918"/>
      <c r="BD95" s="2252" t="s">
        <v>15</v>
      </c>
      <c r="BE95" s="2237"/>
      <c r="BF95" s="2237"/>
      <c r="BG95" s="2237"/>
      <c r="BH95" s="2237"/>
      <c r="BI95" s="2240"/>
      <c r="BJ95" s="2241"/>
      <c r="BK95" s="2239"/>
      <c r="BL95" s="2242"/>
      <c r="BM95" s="2250"/>
      <c r="BN95" s="2244"/>
      <c r="BO95" s="2244"/>
      <c r="BP95" s="2245"/>
      <c r="BQ95" s="2246"/>
      <c r="BR95" s="2247"/>
      <c r="BS95" s="2248"/>
      <c r="BT95" s="2249"/>
      <c r="BU95" s="2249"/>
      <c r="BV95" s="2238"/>
      <c r="BW95" s="2264"/>
      <c r="BY95" s="3">
        <v>1</v>
      </c>
    </row>
    <row r="96" spans="2:77" ht="21" customHeight="1">
      <c r="B96" s="2265" t="str" cm="1">
        <f t="array" ref="B96">SUMPRODUCT(--(D96:J96&lt;&gt;""), LEN(TRIM(SUBSTITUTE(D96:J96, CHAR(160), "")))) &amp; " Car."</f>
        <v>0 Car.</v>
      </c>
      <c r="C96" s="1376" t="str">
        <f>IF(ISBLANK(D96),"",LARGE(C13:C95,1)+1)</f>
        <v/>
      </c>
      <c r="D96" s="1833"/>
      <c r="E96" s="1810"/>
      <c r="F96" s="1810"/>
      <c r="G96" s="1810"/>
      <c r="H96" s="1810"/>
      <c r="I96" s="1810"/>
      <c r="J96" s="1810"/>
      <c r="K96" s="1810"/>
      <c r="L96" s="1811"/>
      <c r="M96" s="9"/>
      <c r="N96" s="2252" t="s">
        <v>15</v>
      </c>
      <c r="O96" s="2237"/>
      <c r="P96" s="2237"/>
      <c r="Q96" s="2237"/>
      <c r="R96" s="2237"/>
      <c r="S96" s="2240"/>
      <c r="T96" s="2241"/>
      <c r="U96" s="2239"/>
      <c r="V96" s="2242"/>
      <c r="W96" s="2250"/>
      <c r="X96" s="2244"/>
      <c r="Y96" s="2244"/>
      <c r="Z96" s="2245"/>
      <c r="AA96" s="2246"/>
      <c r="AB96" s="2247"/>
      <c r="AC96" s="2248"/>
      <c r="AD96" s="2249"/>
      <c r="AE96" s="2249"/>
      <c r="AF96" s="2238"/>
      <c r="AG96" s="2264"/>
      <c r="AH96" s="918"/>
      <c r="AI96" s="2252" t="s">
        <v>15</v>
      </c>
      <c r="AJ96" s="2237"/>
      <c r="AK96" s="2237"/>
      <c r="AL96" s="2237"/>
      <c r="AM96" s="2237"/>
      <c r="AN96" s="2240"/>
      <c r="AO96" s="2241"/>
      <c r="AP96" s="2239"/>
      <c r="AQ96" s="2242"/>
      <c r="AR96" s="2250"/>
      <c r="AS96" s="2244"/>
      <c r="AT96" s="2244"/>
      <c r="AU96" s="2245"/>
      <c r="AV96" s="2246"/>
      <c r="AW96" s="2247"/>
      <c r="AX96" s="2248"/>
      <c r="AY96" s="2249"/>
      <c r="AZ96" s="2249"/>
      <c r="BA96" s="2238"/>
      <c r="BB96" s="2264"/>
      <c r="BC96" s="918"/>
      <c r="BD96" s="2252" t="s">
        <v>15</v>
      </c>
      <c r="BE96" s="2237"/>
      <c r="BF96" s="2237"/>
      <c r="BG96" s="2237"/>
      <c r="BH96" s="2237"/>
      <c r="BI96" s="2240"/>
      <c r="BJ96" s="2241"/>
      <c r="BK96" s="2239"/>
      <c r="BL96" s="2242"/>
      <c r="BM96" s="2250"/>
      <c r="BN96" s="2244"/>
      <c r="BO96" s="2244"/>
      <c r="BP96" s="2245"/>
      <c r="BQ96" s="2246"/>
      <c r="BR96" s="2247"/>
      <c r="BS96" s="2248"/>
      <c r="BT96" s="2249"/>
      <c r="BU96" s="2249"/>
      <c r="BV96" s="2238"/>
      <c r="BW96" s="2264"/>
      <c r="BY96" s="3">
        <v>1</v>
      </c>
    </row>
    <row r="97" spans="2:77" ht="21" customHeight="1">
      <c r="B97" s="2265" t="str" cm="1">
        <f t="array" ref="B97">SUMPRODUCT(--(D97:J97&lt;&gt;""), LEN(TRIM(SUBSTITUTE(D97:J97, CHAR(160), "")))) &amp; " Car."</f>
        <v>0 Car.</v>
      </c>
      <c r="C97" s="1376" t="str">
        <f>IF(ISBLANK(D97),"",LARGE(C13:C96,1)+1)</f>
        <v/>
      </c>
      <c r="D97" s="1833"/>
      <c r="E97" s="1810"/>
      <c r="F97" s="1810"/>
      <c r="G97" s="1810"/>
      <c r="H97" s="1810"/>
      <c r="I97" s="1810"/>
      <c r="J97" s="1810"/>
      <c r="K97" s="1810"/>
      <c r="L97" s="1811"/>
      <c r="M97" s="9"/>
      <c r="N97" s="2252" t="s">
        <v>15</v>
      </c>
      <c r="O97" s="2237"/>
      <c r="P97" s="2237"/>
      <c r="Q97" s="2237"/>
      <c r="R97" s="2237"/>
      <c r="S97" s="2240"/>
      <c r="T97" s="2241"/>
      <c r="U97" s="2239"/>
      <c r="V97" s="2242"/>
      <c r="W97" s="2250"/>
      <c r="X97" s="2244"/>
      <c r="Y97" s="2244"/>
      <c r="Z97" s="2245"/>
      <c r="AA97" s="2246"/>
      <c r="AB97" s="2247"/>
      <c r="AC97" s="2248"/>
      <c r="AD97" s="2249"/>
      <c r="AE97" s="2249"/>
      <c r="AF97" s="2238"/>
      <c r="AG97" s="2264"/>
      <c r="AH97" s="918"/>
      <c r="AI97" s="2252" t="s">
        <v>15</v>
      </c>
      <c r="AJ97" s="2237"/>
      <c r="AK97" s="2237"/>
      <c r="AL97" s="2237"/>
      <c r="AM97" s="2237"/>
      <c r="AN97" s="2240"/>
      <c r="AO97" s="2241"/>
      <c r="AP97" s="2239"/>
      <c r="AQ97" s="2242"/>
      <c r="AR97" s="2250"/>
      <c r="AS97" s="2244"/>
      <c r="AT97" s="2244"/>
      <c r="AU97" s="2245"/>
      <c r="AV97" s="2246"/>
      <c r="AW97" s="2247"/>
      <c r="AX97" s="2248"/>
      <c r="AY97" s="2249"/>
      <c r="AZ97" s="2249"/>
      <c r="BA97" s="2238"/>
      <c r="BB97" s="2264"/>
      <c r="BC97" s="918"/>
      <c r="BD97" s="2252" t="s">
        <v>15</v>
      </c>
      <c r="BE97" s="2237"/>
      <c r="BF97" s="2237"/>
      <c r="BG97" s="2237"/>
      <c r="BH97" s="2237"/>
      <c r="BI97" s="2240"/>
      <c r="BJ97" s="2241"/>
      <c r="BK97" s="2239"/>
      <c r="BL97" s="2242"/>
      <c r="BM97" s="2250"/>
      <c r="BN97" s="2244"/>
      <c r="BO97" s="2244"/>
      <c r="BP97" s="2245"/>
      <c r="BQ97" s="2246"/>
      <c r="BR97" s="2247"/>
      <c r="BS97" s="2248"/>
      <c r="BT97" s="2249"/>
      <c r="BU97" s="2249"/>
      <c r="BV97" s="2238"/>
      <c r="BW97" s="2264"/>
      <c r="BY97" s="3">
        <v>1</v>
      </c>
    </row>
    <row r="98" spans="2:77" ht="21" customHeight="1">
      <c r="B98" s="2265" t="str" cm="1">
        <f t="array" ref="B98">SUMPRODUCT(--(D98:J98&lt;&gt;""), LEN(TRIM(SUBSTITUTE(D98:J98, CHAR(160), "")))) &amp; " Car."</f>
        <v>0 Car.</v>
      </c>
      <c r="C98" s="1376" t="str">
        <f>IF(ISBLANK(D98),"",LARGE(C13:C97,1)+1)</f>
        <v/>
      </c>
      <c r="D98" s="1833"/>
      <c r="E98" s="1810"/>
      <c r="F98" s="1810"/>
      <c r="G98" s="1810"/>
      <c r="H98" s="1810"/>
      <c r="I98" s="1810"/>
      <c r="J98" s="1810"/>
      <c r="K98" s="1810"/>
      <c r="L98" s="1811"/>
      <c r="M98" s="9"/>
      <c r="N98" s="2252" t="s">
        <v>15</v>
      </c>
      <c r="O98" s="2237"/>
      <c r="P98" s="2237"/>
      <c r="Q98" s="2237"/>
      <c r="R98" s="2237"/>
      <c r="S98" s="2240"/>
      <c r="T98" s="2241"/>
      <c r="U98" s="2239"/>
      <c r="V98" s="2242"/>
      <c r="W98" s="2250"/>
      <c r="X98" s="2244"/>
      <c r="Y98" s="2244"/>
      <c r="Z98" s="2245"/>
      <c r="AA98" s="2246"/>
      <c r="AB98" s="2247"/>
      <c r="AC98" s="2248"/>
      <c r="AD98" s="2249"/>
      <c r="AE98" s="2249"/>
      <c r="AF98" s="2238"/>
      <c r="AG98" s="2264"/>
      <c r="AH98" s="918"/>
      <c r="AI98" s="2252" t="s">
        <v>15</v>
      </c>
      <c r="AJ98" s="2237"/>
      <c r="AK98" s="2237"/>
      <c r="AL98" s="2237"/>
      <c r="AM98" s="2237"/>
      <c r="AN98" s="2240"/>
      <c r="AO98" s="2241"/>
      <c r="AP98" s="2239"/>
      <c r="AQ98" s="2242"/>
      <c r="AR98" s="2250"/>
      <c r="AS98" s="2244"/>
      <c r="AT98" s="2244"/>
      <c r="AU98" s="2245"/>
      <c r="AV98" s="2246"/>
      <c r="AW98" s="2247"/>
      <c r="AX98" s="2248"/>
      <c r="AY98" s="2249"/>
      <c r="AZ98" s="2249"/>
      <c r="BA98" s="2238"/>
      <c r="BB98" s="2264"/>
      <c r="BC98" s="918"/>
      <c r="BD98" s="2252" t="s">
        <v>15</v>
      </c>
      <c r="BE98" s="2237"/>
      <c r="BF98" s="2237"/>
      <c r="BG98" s="2237"/>
      <c r="BH98" s="2237"/>
      <c r="BI98" s="2240"/>
      <c r="BJ98" s="2241"/>
      <c r="BK98" s="2239"/>
      <c r="BL98" s="2242"/>
      <c r="BM98" s="2250"/>
      <c r="BN98" s="2244"/>
      <c r="BO98" s="2244"/>
      <c r="BP98" s="2245"/>
      <c r="BQ98" s="2246"/>
      <c r="BR98" s="2247"/>
      <c r="BS98" s="2248"/>
      <c r="BT98" s="2249"/>
      <c r="BU98" s="2249"/>
      <c r="BV98" s="2238"/>
      <c r="BW98" s="2264"/>
      <c r="BY98" s="3">
        <v>1</v>
      </c>
    </row>
    <row r="99" spans="2:77" ht="21" customHeight="1">
      <c r="B99" s="2265" t="str" cm="1">
        <f t="array" ref="B99">SUMPRODUCT(--(D99:J99&lt;&gt;""), LEN(TRIM(SUBSTITUTE(D99:J99, CHAR(160), "")))) &amp; " Car."</f>
        <v>0 Car.</v>
      </c>
      <c r="C99" s="1376" t="str">
        <f>IF(ISBLANK(D99),"",LARGE(C13:C98,1)+1)</f>
        <v/>
      </c>
      <c r="D99" s="1833"/>
      <c r="E99" s="1810"/>
      <c r="F99" s="1810"/>
      <c r="G99" s="1810"/>
      <c r="H99" s="1810"/>
      <c r="I99" s="1810"/>
      <c r="J99" s="1810"/>
      <c r="K99" s="1810"/>
      <c r="L99" s="1811"/>
      <c r="M99" s="9"/>
      <c r="N99" s="2252" t="s">
        <v>15</v>
      </c>
      <c r="O99" s="2237"/>
      <c r="P99" s="2237"/>
      <c r="Q99" s="2237"/>
      <c r="R99" s="2237"/>
      <c r="S99" s="2240"/>
      <c r="T99" s="2241"/>
      <c r="U99" s="2239"/>
      <c r="V99" s="2242"/>
      <c r="W99" s="2250"/>
      <c r="X99" s="2244"/>
      <c r="Y99" s="2244"/>
      <c r="Z99" s="2245"/>
      <c r="AA99" s="2246"/>
      <c r="AB99" s="2247"/>
      <c r="AC99" s="2248"/>
      <c r="AD99" s="2249"/>
      <c r="AE99" s="2249"/>
      <c r="AF99" s="2238"/>
      <c r="AG99" s="2264"/>
      <c r="AH99" s="918"/>
      <c r="AI99" s="2252" t="s">
        <v>15</v>
      </c>
      <c r="AJ99" s="2237"/>
      <c r="AK99" s="2237"/>
      <c r="AL99" s="2237"/>
      <c r="AM99" s="2237"/>
      <c r="AN99" s="2240"/>
      <c r="AO99" s="2241"/>
      <c r="AP99" s="2239"/>
      <c r="AQ99" s="2242"/>
      <c r="AR99" s="2250"/>
      <c r="AS99" s="2244"/>
      <c r="AT99" s="2244"/>
      <c r="AU99" s="2245"/>
      <c r="AV99" s="2246"/>
      <c r="AW99" s="2247"/>
      <c r="AX99" s="2248"/>
      <c r="AY99" s="2249"/>
      <c r="AZ99" s="2249"/>
      <c r="BA99" s="2238"/>
      <c r="BB99" s="2264"/>
      <c r="BC99" s="918"/>
      <c r="BD99" s="2252" t="s">
        <v>15</v>
      </c>
      <c r="BE99" s="2237"/>
      <c r="BF99" s="2237"/>
      <c r="BG99" s="2237"/>
      <c r="BH99" s="2237"/>
      <c r="BI99" s="2240"/>
      <c r="BJ99" s="2241"/>
      <c r="BK99" s="2239"/>
      <c r="BL99" s="2242"/>
      <c r="BM99" s="2250"/>
      <c r="BN99" s="2244"/>
      <c r="BO99" s="2244"/>
      <c r="BP99" s="2245"/>
      <c r="BQ99" s="2246"/>
      <c r="BR99" s="2247"/>
      <c r="BS99" s="2248"/>
      <c r="BT99" s="2249"/>
      <c r="BU99" s="2249"/>
      <c r="BV99" s="2238"/>
      <c r="BW99" s="2264"/>
      <c r="BY99" s="3">
        <v>1</v>
      </c>
    </row>
    <row r="100" spans="2:77" ht="21" customHeight="1">
      <c r="B100" s="2265" t="str" cm="1">
        <f t="array" ref="B100">SUMPRODUCT(--(D100:J100&lt;&gt;""), LEN(TRIM(SUBSTITUTE(D100:J100, CHAR(160), "")))) &amp; " Car."</f>
        <v>0 Car.</v>
      </c>
      <c r="C100" s="1376" t="str">
        <f>IF(ISBLANK(D100),"",LARGE(C13:C99,1)+1)</f>
        <v/>
      </c>
      <c r="D100" s="1833"/>
      <c r="E100" s="1810"/>
      <c r="F100" s="1810"/>
      <c r="G100" s="1810"/>
      <c r="H100" s="1810"/>
      <c r="I100" s="1810"/>
      <c r="J100" s="1810"/>
      <c r="K100" s="1810"/>
      <c r="L100" s="1811"/>
      <c r="M100" s="9"/>
      <c r="N100" s="2252" t="s">
        <v>15</v>
      </c>
      <c r="O100" s="2237"/>
      <c r="P100" s="2237"/>
      <c r="Q100" s="2237"/>
      <c r="R100" s="2237"/>
      <c r="S100" s="2240"/>
      <c r="T100" s="2241"/>
      <c r="U100" s="2239"/>
      <c r="V100" s="2242"/>
      <c r="W100" s="2250"/>
      <c r="X100" s="2244"/>
      <c r="Y100" s="2244"/>
      <c r="Z100" s="2245"/>
      <c r="AA100" s="2246"/>
      <c r="AB100" s="2247"/>
      <c r="AC100" s="2248"/>
      <c r="AD100" s="2249"/>
      <c r="AE100" s="2249"/>
      <c r="AF100" s="2238"/>
      <c r="AG100" s="2264"/>
      <c r="AH100" s="918"/>
      <c r="AI100" s="2252" t="s">
        <v>15</v>
      </c>
      <c r="AJ100" s="2237"/>
      <c r="AK100" s="2237"/>
      <c r="AL100" s="2237"/>
      <c r="AM100" s="2237"/>
      <c r="AN100" s="2240"/>
      <c r="AO100" s="2241"/>
      <c r="AP100" s="2239"/>
      <c r="AQ100" s="2242"/>
      <c r="AR100" s="2250"/>
      <c r="AS100" s="2244"/>
      <c r="AT100" s="2244"/>
      <c r="AU100" s="2245"/>
      <c r="AV100" s="2246"/>
      <c r="AW100" s="2247"/>
      <c r="AX100" s="2248"/>
      <c r="AY100" s="2249"/>
      <c r="AZ100" s="2249"/>
      <c r="BA100" s="2238"/>
      <c r="BB100" s="2264"/>
      <c r="BC100" s="918"/>
      <c r="BD100" s="2252" t="s">
        <v>15</v>
      </c>
      <c r="BE100" s="2237"/>
      <c r="BF100" s="2237"/>
      <c r="BG100" s="2237"/>
      <c r="BH100" s="2237"/>
      <c r="BI100" s="2240"/>
      <c r="BJ100" s="2241"/>
      <c r="BK100" s="2239"/>
      <c r="BL100" s="2242"/>
      <c r="BM100" s="2250"/>
      <c r="BN100" s="2244"/>
      <c r="BO100" s="2244"/>
      <c r="BP100" s="2245"/>
      <c r="BQ100" s="2246"/>
      <c r="BR100" s="2247"/>
      <c r="BS100" s="2248"/>
      <c r="BT100" s="2249"/>
      <c r="BU100" s="2249"/>
      <c r="BV100" s="2238"/>
      <c r="BW100" s="2264"/>
      <c r="BY100" s="3">
        <v>1</v>
      </c>
    </row>
    <row r="101" spans="2:77" ht="21" customHeight="1">
      <c r="B101" s="2265" t="str" cm="1">
        <f t="array" ref="B101">SUMPRODUCT(--(D101:J101&lt;&gt;""), LEN(TRIM(SUBSTITUTE(D101:J101, CHAR(160), "")))) &amp; " Car."</f>
        <v>0 Car.</v>
      </c>
      <c r="C101" s="1376" t="str">
        <f>IF(ISBLANK(D101),"",LARGE(C13:C100,1)+1)</f>
        <v/>
      </c>
      <c r="D101" s="1833"/>
      <c r="E101" s="1810"/>
      <c r="F101" s="1810"/>
      <c r="G101" s="1810"/>
      <c r="H101" s="1810"/>
      <c r="I101" s="1810"/>
      <c r="J101" s="1810"/>
      <c r="K101" s="1810"/>
      <c r="L101" s="1811"/>
      <c r="M101" s="9"/>
      <c r="N101" s="2252" t="s">
        <v>15</v>
      </c>
      <c r="O101" s="2237"/>
      <c r="P101" s="2237"/>
      <c r="Q101" s="2237"/>
      <c r="R101" s="2237"/>
      <c r="S101" s="2240"/>
      <c r="T101" s="2241"/>
      <c r="U101" s="2239"/>
      <c r="V101" s="2242"/>
      <c r="W101" s="2250"/>
      <c r="X101" s="2244"/>
      <c r="Y101" s="2244"/>
      <c r="Z101" s="2245"/>
      <c r="AA101" s="2246"/>
      <c r="AB101" s="2247"/>
      <c r="AC101" s="2248"/>
      <c r="AD101" s="2249"/>
      <c r="AE101" s="2249"/>
      <c r="AF101" s="2238"/>
      <c r="AG101" s="2264"/>
      <c r="AH101" s="918"/>
      <c r="AI101" s="2252" t="s">
        <v>15</v>
      </c>
      <c r="AJ101" s="2237"/>
      <c r="AK101" s="2237"/>
      <c r="AL101" s="2237"/>
      <c r="AM101" s="2237"/>
      <c r="AN101" s="2240"/>
      <c r="AO101" s="2241"/>
      <c r="AP101" s="2239"/>
      <c r="AQ101" s="2242"/>
      <c r="AR101" s="2250"/>
      <c r="AS101" s="2244"/>
      <c r="AT101" s="2244"/>
      <c r="AU101" s="2245"/>
      <c r="AV101" s="2246"/>
      <c r="AW101" s="2247"/>
      <c r="AX101" s="2248"/>
      <c r="AY101" s="2249"/>
      <c r="AZ101" s="2249"/>
      <c r="BA101" s="2238"/>
      <c r="BB101" s="2264"/>
      <c r="BC101" s="918"/>
      <c r="BD101" s="2252" t="s">
        <v>15</v>
      </c>
      <c r="BE101" s="2237"/>
      <c r="BF101" s="2237"/>
      <c r="BG101" s="2237"/>
      <c r="BH101" s="2237"/>
      <c r="BI101" s="2240"/>
      <c r="BJ101" s="2241"/>
      <c r="BK101" s="2239"/>
      <c r="BL101" s="2242"/>
      <c r="BM101" s="2250"/>
      <c r="BN101" s="2244"/>
      <c r="BO101" s="2244"/>
      <c r="BP101" s="2245"/>
      <c r="BQ101" s="2246"/>
      <c r="BR101" s="2247"/>
      <c r="BS101" s="2248"/>
      <c r="BT101" s="2249"/>
      <c r="BU101" s="2249"/>
      <c r="BV101" s="2238"/>
      <c r="BW101" s="2264"/>
      <c r="BY101" s="3">
        <v>1</v>
      </c>
    </row>
    <row r="102" spans="2:77" ht="21" customHeight="1">
      <c r="B102" s="2265" t="str" cm="1">
        <f t="array" ref="B102">SUMPRODUCT(--(D102:J102&lt;&gt;""), LEN(TRIM(SUBSTITUTE(D102:J102, CHAR(160), "")))) &amp; " Car."</f>
        <v>0 Car.</v>
      </c>
      <c r="C102" s="1376" t="str">
        <f>IF(ISBLANK(D102),"",LARGE(C13:C101,1)+1)</f>
        <v/>
      </c>
      <c r="D102" s="1833"/>
      <c r="E102" s="1810"/>
      <c r="F102" s="1810"/>
      <c r="G102" s="1810"/>
      <c r="H102" s="1810"/>
      <c r="I102" s="1810"/>
      <c r="J102" s="1810"/>
      <c r="K102" s="1810"/>
      <c r="L102" s="1811"/>
      <c r="M102" s="9"/>
      <c r="N102" s="2252" t="s">
        <v>15</v>
      </c>
      <c r="O102" s="2237"/>
      <c r="P102" s="2237"/>
      <c r="Q102" s="2237"/>
      <c r="R102" s="2237"/>
      <c r="S102" s="2240"/>
      <c r="T102" s="2241"/>
      <c r="U102" s="2239"/>
      <c r="V102" s="2242"/>
      <c r="W102" s="2250"/>
      <c r="X102" s="2244"/>
      <c r="Y102" s="2244"/>
      <c r="Z102" s="2245"/>
      <c r="AA102" s="2246"/>
      <c r="AB102" s="2247"/>
      <c r="AC102" s="2248"/>
      <c r="AD102" s="2249"/>
      <c r="AE102" s="2249"/>
      <c r="AF102" s="2238"/>
      <c r="AG102" s="2264"/>
      <c r="AH102" s="918"/>
      <c r="AI102" s="2252" t="s">
        <v>15</v>
      </c>
      <c r="AJ102" s="2237"/>
      <c r="AK102" s="2237"/>
      <c r="AL102" s="2237"/>
      <c r="AM102" s="2237"/>
      <c r="AN102" s="2240"/>
      <c r="AO102" s="2241"/>
      <c r="AP102" s="2239"/>
      <c r="AQ102" s="2242"/>
      <c r="AR102" s="2250"/>
      <c r="AS102" s="2244"/>
      <c r="AT102" s="2244"/>
      <c r="AU102" s="2245"/>
      <c r="AV102" s="2246"/>
      <c r="AW102" s="2247"/>
      <c r="AX102" s="2248"/>
      <c r="AY102" s="2249"/>
      <c r="AZ102" s="2249"/>
      <c r="BA102" s="2238"/>
      <c r="BB102" s="2264"/>
      <c r="BC102" s="918"/>
      <c r="BD102" s="2252" t="s">
        <v>15</v>
      </c>
      <c r="BE102" s="2237"/>
      <c r="BF102" s="2237"/>
      <c r="BG102" s="2237"/>
      <c r="BH102" s="2237"/>
      <c r="BI102" s="2240"/>
      <c r="BJ102" s="2241"/>
      <c r="BK102" s="2239"/>
      <c r="BL102" s="2242"/>
      <c r="BM102" s="2250"/>
      <c r="BN102" s="2244"/>
      <c r="BO102" s="2244"/>
      <c r="BP102" s="2245"/>
      <c r="BQ102" s="2246"/>
      <c r="BR102" s="2247"/>
      <c r="BS102" s="2248"/>
      <c r="BT102" s="2249"/>
      <c r="BU102" s="2249"/>
      <c r="BV102" s="2238"/>
      <c r="BW102" s="2264"/>
      <c r="BY102" s="3">
        <v>1</v>
      </c>
    </row>
    <row r="103" spans="2:77" ht="21" customHeight="1">
      <c r="B103" s="2265" t="str" cm="1">
        <f t="array" ref="B103">SUMPRODUCT(--(D103:J103&lt;&gt;""), LEN(TRIM(SUBSTITUTE(D103:J103, CHAR(160), "")))) &amp; " Car."</f>
        <v>0 Car.</v>
      </c>
      <c r="C103" s="1376" t="str">
        <f>IF(ISBLANK(D103),"",LARGE(C13:C102,1)+1)</f>
        <v/>
      </c>
      <c r="D103" s="1833"/>
      <c r="E103" s="1810"/>
      <c r="F103" s="1810"/>
      <c r="G103" s="1810"/>
      <c r="H103" s="1810"/>
      <c r="I103" s="1810"/>
      <c r="J103" s="1810"/>
      <c r="K103" s="1810"/>
      <c r="L103" s="1811"/>
      <c r="M103" s="9"/>
      <c r="N103" s="2252" t="s">
        <v>15</v>
      </c>
      <c r="O103" s="2237"/>
      <c r="P103" s="2237"/>
      <c r="Q103" s="2237"/>
      <c r="R103" s="2237"/>
      <c r="S103" s="2240"/>
      <c r="T103" s="2241"/>
      <c r="U103" s="2239"/>
      <c r="V103" s="2242"/>
      <c r="W103" s="2250"/>
      <c r="X103" s="2244"/>
      <c r="Y103" s="2244"/>
      <c r="Z103" s="2245"/>
      <c r="AA103" s="2246"/>
      <c r="AB103" s="2247"/>
      <c r="AC103" s="2248"/>
      <c r="AD103" s="2249"/>
      <c r="AE103" s="2249"/>
      <c r="AF103" s="2238"/>
      <c r="AG103" s="2264"/>
      <c r="AH103" s="918"/>
      <c r="AI103" s="2252" t="s">
        <v>15</v>
      </c>
      <c r="AJ103" s="2237"/>
      <c r="AK103" s="2237"/>
      <c r="AL103" s="2237"/>
      <c r="AM103" s="2237"/>
      <c r="AN103" s="2240"/>
      <c r="AO103" s="2241"/>
      <c r="AP103" s="2239"/>
      <c r="AQ103" s="2242"/>
      <c r="AR103" s="2250"/>
      <c r="AS103" s="2244"/>
      <c r="AT103" s="2244"/>
      <c r="AU103" s="2245"/>
      <c r="AV103" s="2246"/>
      <c r="AW103" s="2247"/>
      <c r="AX103" s="2248"/>
      <c r="AY103" s="2249"/>
      <c r="AZ103" s="2249"/>
      <c r="BA103" s="2238"/>
      <c r="BB103" s="2264"/>
      <c r="BC103" s="918"/>
      <c r="BD103" s="2252" t="s">
        <v>15</v>
      </c>
      <c r="BE103" s="2237"/>
      <c r="BF103" s="2237"/>
      <c r="BG103" s="2237"/>
      <c r="BH103" s="2237"/>
      <c r="BI103" s="2240"/>
      <c r="BJ103" s="2241"/>
      <c r="BK103" s="2239"/>
      <c r="BL103" s="2242"/>
      <c r="BM103" s="2250"/>
      <c r="BN103" s="2244"/>
      <c r="BO103" s="2244"/>
      <c r="BP103" s="2245"/>
      <c r="BQ103" s="2246"/>
      <c r="BR103" s="2247"/>
      <c r="BS103" s="2248"/>
      <c r="BT103" s="2249"/>
      <c r="BU103" s="2249"/>
      <c r="BV103" s="2238"/>
      <c r="BW103" s="2264"/>
      <c r="BY103" s="3">
        <v>1</v>
      </c>
    </row>
    <row r="104" spans="2:77" ht="21" customHeight="1">
      <c r="B104" s="2265" t="str" cm="1">
        <f t="array" ref="B104">SUMPRODUCT(--(D104:J104&lt;&gt;""), LEN(TRIM(SUBSTITUTE(D104:J104, CHAR(160), "")))) &amp; " Car."</f>
        <v>0 Car.</v>
      </c>
      <c r="C104" s="1376" t="str">
        <f>IF(ISBLANK(D104),"",LARGE(C13:C103,1)+1)</f>
        <v/>
      </c>
      <c r="D104" s="1833"/>
      <c r="E104" s="1810"/>
      <c r="F104" s="1810"/>
      <c r="G104" s="1810"/>
      <c r="H104" s="1810"/>
      <c r="I104" s="1810"/>
      <c r="J104" s="1810"/>
      <c r="K104" s="1810"/>
      <c r="L104" s="1811"/>
      <c r="M104" s="9"/>
      <c r="N104" s="2252" t="s">
        <v>15</v>
      </c>
      <c r="O104" s="2237"/>
      <c r="P104" s="2237"/>
      <c r="Q104" s="2237"/>
      <c r="R104" s="2237"/>
      <c r="S104" s="2240"/>
      <c r="T104" s="2241"/>
      <c r="U104" s="2239"/>
      <c r="V104" s="2242"/>
      <c r="W104" s="2250"/>
      <c r="X104" s="2244"/>
      <c r="Y104" s="2244"/>
      <c r="Z104" s="2245"/>
      <c r="AA104" s="2246"/>
      <c r="AB104" s="2247"/>
      <c r="AC104" s="2248"/>
      <c r="AD104" s="2249"/>
      <c r="AE104" s="2249"/>
      <c r="AF104" s="2238"/>
      <c r="AG104" s="2264"/>
      <c r="AH104" s="918"/>
      <c r="AI104" s="2252" t="s">
        <v>15</v>
      </c>
      <c r="AJ104" s="2237"/>
      <c r="AK104" s="2237"/>
      <c r="AL104" s="2237"/>
      <c r="AM104" s="2237"/>
      <c r="AN104" s="2240"/>
      <c r="AO104" s="2241"/>
      <c r="AP104" s="2239"/>
      <c r="AQ104" s="2242"/>
      <c r="AR104" s="2250"/>
      <c r="AS104" s="2244"/>
      <c r="AT104" s="2244"/>
      <c r="AU104" s="2245"/>
      <c r="AV104" s="2246"/>
      <c r="AW104" s="2247"/>
      <c r="AX104" s="2248"/>
      <c r="AY104" s="2249"/>
      <c r="AZ104" s="2249"/>
      <c r="BA104" s="2238"/>
      <c r="BB104" s="2264"/>
      <c r="BC104" s="918"/>
      <c r="BD104" s="2252" t="s">
        <v>15</v>
      </c>
      <c r="BE104" s="2237"/>
      <c r="BF104" s="2237"/>
      <c r="BG104" s="2237"/>
      <c r="BH104" s="2237"/>
      <c r="BI104" s="2240"/>
      <c r="BJ104" s="2241"/>
      <c r="BK104" s="2239"/>
      <c r="BL104" s="2242"/>
      <c r="BM104" s="2250"/>
      <c r="BN104" s="2244"/>
      <c r="BO104" s="2244"/>
      <c r="BP104" s="2245"/>
      <c r="BQ104" s="2246"/>
      <c r="BR104" s="2247"/>
      <c r="BS104" s="2248"/>
      <c r="BT104" s="2249"/>
      <c r="BU104" s="2249"/>
      <c r="BV104" s="2238"/>
      <c r="BW104" s="2264"/>
      <c r="BY104" s="3">
        <v>1</v>
      </c>
    </row>
    <row r="105" spans="2:77" ht="21" customHeight="1">
      <c r="B105" s="2265" t="str" cm="1">
        <f t="array" ref="B105">SUMPRODUCT(--(D105:J105&lt;&gt;""), LEN(TRIM(SUBSTITUTE(D105:J105, CHAR(160), "")))) &amp; " Car."</f>
        <v>0 Car.</v>
      </c>
      <c r="C105" s="1376" t="str">
        <f>IF(ISBLANK(D105),"",LARGE(C13:C104,1)+1)</f>
        <v/>
      </c>
      <c r="D105" s="1833"/>
      <c r="E105" s="1810"/>
      <c r="F105" s="1810"/>
      <c r="G105" s="1810"/>
      <c r="H105" s="1810"/>
      <c r="I105" s="1810"/>
      <c r="J105" s="1810"/>
      <c r="K105" s="1810"/>
      <c r="L105" s="1811"/>
      <c r="M105" s="9"/>
      <c r="N105" s="2252" t="s">
        <v>15</v>
      </c>
      <c r="O105" s="2237"/>
      <c r="P105" s="2237"/>
      <c r="Q105" s="2237"/>
      <c r="R105" s="2237"/>
      <c r="S105" s="2240"/>
      <c r="T105" s="2241"/>
      <c r="U105" s="2239"/>
      <c r="V105" s="2242"/>
      <c r="W105" s="2250"/>
      <c r="X105" s="2244"/>
      <c r="Y105" s="2244"/>
      <c r="Z105" s="2245"/>
      <c r="AA105" s="2246"/>
      <c r="AB105" s="2247"/>
      <c r="AC105" s="2248"/>
      <c r="AD105" s="2249"/>
      <c r="AE105" s="2249"/>
      <c r="AF105" s="2238"/>
      <c r="AG105" s="2264"/>
      <c r="AH105" s="918"/>
      <c r="AI105" s="2252" t="s">
        <v>15</v>
      </c>
      <c r="AJ105" s="2237"/>
      <c r="AK105" s="2237"/>
      <c r="AL105" s="2237"/>
      <c r="AM105" s="2237"/>
      <c r="AN105" s="2240"/>
      <c r="AO105" s="2241"/>
      <c r="AP105" s="2239"/>
      <c r="AQ105" s="2242"/>
      <c r="AR105" s="2250"/>
      <c r="AS105" s="2244"/>
      <c r="AT105" s="2244"/>
      <c r="AU105" s="2245"/>
      <c r="AV105" s="2246"/>
      <c r="AW105" s="2247"/>
      <c r="AX105" s="2248"/>
      <c r="AY105" s="2249"/>
      <c r="AZ105" s="2249"/>
      <c r="BA105" s="2238"/>
      <c r="BB105" s="2264"/>
      <c r="BC105" s="918"/>
      <c r="BD105" s="2252" t="s">
        <v>15</v>
      </c>
      <c r="BE105" s="2237"/>
      <c r="BF105" s="2237"/>
      <c r="BG105" s="2237"/>
      <c r="BH105" s="2237"/>
      <c r="BI105" s="2240"/>
      <c r="BJ105" s="2241"/>
      <c r="BK105" s="2239"/>
      <c r="BL105" s="2242"/>
      <c r="BM105" s="2250"/>
      <c r="BN105" s="2244"/>
      <c r="BO105" s="2244"/>
      <c r="BP105" s="2245"/>
      <c r="BQ105" s="2246"/>
      <c r="BR105" s="2247"/>
      <c r="BS105" s="2248"/>
      <c r="BT105" s="2249"/>
      <c r="BU105" s="2249"/>
      <c r="BV105" s="2238"/>
      <c r="BW105" s="2264"/>
      <c r="BY105" s="3">
        <v>1</v>
      </c>
    </row>
    <row r="106" spans="2:77" ht="21" customHeight="1">
      <c r="B106" s="2265" t="str" cm="1">
        <f t="array" ref="B106">SUMPRODUCT(--(D106:J106&lt;&gt;""), LEN(TRIM(SUBSTITUTE(D106:J106, CHAR(160), "")))) &amp; " Car."</f>
        <v>0 Car.</v>
      </c>
      <c r="C106" s="1376" t="str">
        <f>IF(ISBLANK(D106),"",LARGE(C13:C105,1)+1)</f>
        <v/>
      </c>
      <c r="D106" s="1833"/>
      <c r="E106" s="1810"/>
      <c r="F106" s="1810"/>
      <c r="G106" s="1810"/>
      <c r="H106" s="1810"/>
      <c r="I106" s="1810"/>
      <c r="J106" s="1810"/>
      <c r="K106" s="1810"/>
      <c r="L106" s="1811"/>
      <c r="M106" s="9"/>
      <c r="N106" s="2252" t="s">
        <v>15</v>
      </c>
      <c r="O106" s="2237"/>
      <c r="P106" s="2237"/>
      <c r="Q106" s="2237"/>
      <c r="R106" s="2237"/>
      <c r="S106" s="2240"/>
      <c r="T106" s="2241"/>
      <c r="U106" s="2239"/>
      <c r="V106" s="2242"/>
      <c r="W106" s="2250"/>
      <c r="X106" s="2244"/>
      <c r="Y106" s="2244"/>
      <c r="Z106" s="2245"/>
      <c r="AA106" s="2246"/>
      <c r="AB106" s="2247"/>
      <c r="AC106" s="2248"/>
      <c r="AD106" s="2249"/>
      <c r="AE106" s="2249"/>
      <c r="AF106" s="2238"/>
      <c r="AG106" s="2264"/>
      <c r="AH106" s="918"/>
      <c r="AI106" s="2252" t="s">
        <v>15</v>
      </c>
      <c r="AJ106" s="2237"/>
      <c r="AK106" s="2237"/>
      <c r="AL106" s="2237"/>
      <c r="AM106" s="2237"/>
      <c r="AN106" s="2240"/>
      <c r="AO106" s="2241"/>
      <c r="AP106" s="2239"/>
      <c r="AQ106" s="2242"/>
      <c r="AR106" s="2250"/>
      <c r="AS106" s="2244"/>
      <c r="AT106" s="2244"/>
      <c r="AU106" s="2245"/>
      <c r="AV106" s="2246"/>
      <c r="AW106" s="2247"/>
      <c r="AX106" s="2248"/>
      <c r="AY106" s="2249"/>
      <c r="AZ106" s="2249"/>
      <c r="BA106" s="2238"/>
      <c r="BB106" s="2264"/>
      <c r="BC106" s="918"/>
      <c r="BD106" s="2252" t="s">
        <v>15</v>
      </c>
      <c r="BE106" s="2237"/>
      <c r="BF106" s="2237"/>
      <c r="BG106" s="2237"/>
      <c r="BH106" s="2237"/>
      <c r="BI106" s="2240"/>
      <c r="BJ106" s="2241"/>
      <c r="BK106" s="2239"/>
      <c r="BL106" s="2242"/>
      <c r="BM106" s="2250"/>
      <c r="BN106" s="2244"/>
      <c r="BO106" s="2244"/>
      <c r="BP106" s="2245"/>
      <c r="BQ106" s="2246"/>
      <c r="BR106" s="2247"/>
      <c r="BS106" s="2248"/>
      <c r="BT106" s="2249"/>
      <c r="BU106" s="2249"/>
      <c r="BV106" s="2238"/>
      <c r="BW106" s="2264"/>
      <c r="BY106" s="3">
        <v>1</v>
      </c>
    </row>
    <row r="107" spans="2:77" ht="21" customHeight="1">
      <c r="B107" s="2265" t="str" cm="1">
        <f t="array" ref="B107">SUMPRODUCT(--(D107:J107&lt;&gt;""), LEN(TRIM(SUBSTITUTE(D107:J107, CHAR(160), "")))) &amp; " Car."</f>
        <v>0 Car.</v>
      </c>
      <c r="C107" s="1376" t="str">
        <f>IF(ISBLANK(D107),"",LARGE(C13:C106,1)+1)</f>
        <v/>
      </c>
      <c r="D107" s="1833"/>
      <c r="E107" s="1810"/>
      <c r="F107" s="1810"/>
      <c r="G107" s="1810"/>
      <c r="H107" s="1810"/>
      <c r="I107" s="1810"/>
      <c r="J107" s="1810"/>
      <c r="K107" s="1810"/>
      <c r="L107" s="1811"/>
      <c r="M107" s="9"/>
      <c r="N107" s="2252" t="s">
        <v>15</v>
      </c>
      <c r="O107" s="2237"/>
      <c r="P107" s="2237"/>
      <c r="Q107" s="2237"/>
      <c r="R107" s="2237"/>
      <c r="S107" s="2240"/>
      <c r="T107" s="2241"/>
      <c r="U107" s="2239"/>
      <c r="V107" s="2242"/>
      <c r="W107" s="2250"/>
      <c r="X107" s="2244"/>
      <c r="Y107" s="2244"/>
      <c r="Z107" s="2245"/>
      <c r="AA107" s="2246"/>
      <c r="AB107" s="2247"/>
      <c r="AC107" s="2248"/>
      <c r="AD107" s="2249"/>
      <c r="AE107" s="2249"/>
      <c r="AF107" s="2238"/>
      <c r="AG107" s="2264"/>
      <c r="AH107" s="918"/>
      <c r="AI107" s="2252" t="s">
        <v>15</v>
      </c>
      <c r="AJ107" s="2237"/>
      <c r="AK107" s="2237"/>
      <c r="AL107" s="2237"/>
      <c r="AM107" s="2237"/>
      <c r="AN107" s="2240"/>
      <c r="AO107" s="2241"/>
      <c r="AP107" s="2239"/>
      <c r="AQ107" s="2242"/>
      <c r="AR107" s="2250"/>
      <c r="AS107" s="2244"/>
      <c r="AT107" s="2244"/>
      <c r="AU107" s="2245"/>
      <c r="AV107" s="2246"/>
      <c r="AW107" s="2247"/>
      <c r="AX107" s="2248"/>
      <c r="AY107" s="2249"/>
      <c r="AZ107" s="2249"/>
      <c r="BA107" s="2238"/>
      <c r="BB107" s="2264"/>
      <c r="BC107" s="918"/>
      <c r="BD107" s="2252" t="s">
        <v>15</v>
      </c>
      <c r="BE107" s="2237"/>
      <c r="BF107" s="2237"/>
      <c r="BG107" s="2237"/>
      <c r="BH107" s="2237"/>
      <c r="BI107" s="2240"/>
      <c r="BJ107" s="2241"/>
      <c r="BK107" s="2239"/>
      <c r="BL107" s="2242"/>
      <c r="BM107" s="2250"/>
      <c r="BN107" s="2244"/>
      <c r="BO107" s="2244"/>
      <c r="BP107" s="2245"/>
      <c r="BQ107" s="2246"/>
      <c r="BR107" s="2247"/>
      <c r="BS107" s="2248"/>
      <c r="BT107" s="2249"/>
      <c r="BU107" s="2249"/>
      <c r="BV107" s="2238"/>
      <c r="BW107" s="2264"/>
      <c r="BY107" s="3">
        <v>1</v>
      </c>
    </row>
    <row r="108" spans="2:77" ht="21" customHeight="1">
      <c r="B108" s="2265" t="str" cm="1">
        <f t="array" ref="B108">SUMPRODUCT(--(D108:J108&lt;&gt;""), LEN(TRIM(SUBSTITUTE(D108:J108, CHAR(160), "")))) &amp; " Car."</f>
        <v>0 Car.</v>
      </c>
      <c r="C108" s="1376" t="str">
        <f>IF(ISBLANK(D108),"",LARGE(C13:C107,1)+1)</f>
        <v/>
      </c>
      <c r="D108" s="1833"/>
      <c r="E108" s="1810"/>
      <c r="F108" s="1810"/>
      <c r="G108" s="1810"/>
      <c r="H108" s="1810"/>
      <c r="I108" s="1810"/>
      <c r="J108" s="1810"/>
      <c r="K108" s="1810"/>
      <c r="L108" s="1811"/>
      <c r="M108" s="9"/>
      <c r="N108" s="2252" t="s">
        <v>15</v>
      </c>
      <c r="O108" s="2237"/>
      <c r="P108" s="2237"/>
      <c r="Q108" s="2237"/>
      <c r="R108" s="2237"/>
      <c r="S108" s="2240"/>
      <c r="T108" s="2241"/>
      <c r="U108" s="2239"/>
      <c r="V108" s="2242"/>
      <c r="W108" s="2250"/>
      <c r="X108" s="2244"/>
      <c r="Y108" s="2244"/>
      <c r="Z108" s="2245"/>
      <c r="AA108" s="2246"/>
      <c r="AB108" s="2247"/>
      <c r="AC108" s="2248"/>
      <c r="AD108" s="2249"/>
      <c r="AE108" s="2249"/>
      <c r="AF108" s="2238"/>
      <c r="AG108" s="2264"/>
      <c r="AH108" s="918"/>
      <c r="AI108" s="2252" t="s">
        <v>15</v>
      </c>
      <c r="AJ108" s="2237"/>
      <c r="AK108" s="2237"/>
      <c r="AL108" s="2237"/>
      <c r="AM108" s="2237"/>
      <c r="AN108" s="2240"/>
      <c r="AO108" s="2241"/>
      <c r="AP108" s="2239"/>
      <c r="AQ108" s="2242"/>
      <c r="AR108" s="2250"/>
      <c r="AS108" s="2244"/>
      <c r="AT108" s="2244"/>
      <c r="AU108" s="2245"/>
      <c r="AV108" s="2246"/>
      <c r="AW108" s="2247"/>
      <c r="AX108" s="2248"/>
      <c r="AY108" s="2249"/>
      <c r="AZ108" s="2249"/>
      <c r="BA108" s="2238"/>
      <c r="BB108" s="2264"/>
      <c r="BC108" s="918"/>
      <c r="BD108" s="2252" t="s">
        <v>15</v>
      </c>
      <c r="BE108" s="2237"/>
      <c r="BF108" s="2237"/>
      <c r="BG108" s="2237"/>
      <c r="BH108" s="2237"/>
      <c r="BI108" s="2240"/>
      <c r="BJ108" s="2241"/>
      <c r="BK108" s="2239"/>
      <c r="BL108" s="2242"/>
      <c r="BM108" s="2250"/>
      <c r="BN108" s="2244"/>
      <c r="BO108" s="2244"/>
      <c r="BP108" s="2245"/>
      <c r="BQ108" s="2246"/>
      <c r="BR108" s="2247"/>
      <c r="BS108" s="2248"/>
      <c r="BT108" s="2249"/>
      <c r="BU108" s="2249"/>
      <c r="BV108" s="2238"/>
      <c r="BW108" s="2264"/>
      <c r="BY108" s="3">
        <v>1</v>
      </c>
    </row>
    <row r="109" spans="2:77" ht="21" customHeight="1">
      <c r="B109" s="2265" t="str" cm="1">
        <f t="array" ref="B109">SUMPRODUCT(--(D109:J109&lt;&gt;""), LEN(TRIM(SUBSTITUTE(D109:J109, CHAR(160), "")))) &amp; " Car."</f>
        <v>0 Car.</v>
      </c>
      <c r="C109" s="1376" t="str">
        <f>IF(ISBLANK(D109),"",LARGE(C13:C108,1)+1)</f>
        <v/>
      </c>
      <c r="D109" s="1833"/>
      <c r="E109" s="1810"/>
      <c r="F109" s="1810"/>
      <c r="G109" s="1810"/>
      <c r="H109" s="1810"/>
      <c r="I109" s="1810"/>
      <c r="J109" s="1810"/>
      <c r="K109" s="1810"/>
      <c r="L109" s="1811"/>
      <c r="M109" s="9"/>
      <c r="N109" s="2252" t="s">
        <v>15</v>
      </c>
      <c r="O109" s="2237"/>
      <c r="P109" s="2237"/>
      <c r="Q109" s="2237"/>
      <c r="R109" s="2237"/>
      <c r="S109" s="2240"/>
      <c r="T109" s="2241"/>
      <c r="U109" s="2239"/>
      <c r="V109" s="2242"/>
      <c r="W109" s="2250"/>
      <c r="X109" s="2244"/>
      <c r="Y109" s="2244"/>
      <c r="Z109" s="2245"/>
      <c r="AA109" s="2246"/>
      <c r="AB109" s="2247"/>
      <c r="AC109" s="2248"/>
      <c r="AD109" s="2249"/>
      <c r="AE109" s="2249"/>
      <c r="AF109" s="2238"/>
      <c r="AG109" s="2264"/>
      <c r="AH109" s="918"/>
      <c r="AI109" s="2252" t="s">
        <v>15</v>
      </c>
      <c r="AJ109" s="2237"/>
      <c r="AK109" s="2237"/>
      <c r="AL109" s="2237"/>
      <c r="AM109" s="2237"/>
      <c r="AN109" s="2240"/>
      <c r="AO109" s="2241"/>
      <c r="AP109" s="2239"/>
      <c r="AQ109" s="2242"/>
      <c r="AR109" s="2250"/>
      <c r="AS109" s="2244"/>
      <c r="AT109" s="2244"/>
      <c r="AU109" s="2245"/>
      <c r="AV109" s="2246"/>
      <c r="AW109" s="2247"/>
      <c r="AX109" s="2248"/>
      <c r="AY109" s="2249"/>
      <c r="AZ109" s="2249"/>
      <c r="BA109" s="2238"/>
      <c r="BB109" s="2264"/>
      <c r="BC109" s="918"/>
      <c r="BD109" s="2252" t="s">
        <v>15</v>
      </c>
      <c r="BE109" s="2237"/>
      <c r="BF109" s="2237"/>
      <c r="BG109" s="2237"/>
      <c r="BH109" s="2237"/>
      <c r="BI109" s="2240"/>
      <c r="BJ109" s="2241"/>
      <c r="BK109" s="2239"/>
      <c r="BL109" s="2242"/>
      <c r="BM109" s="2250"/>
      <c r="BN109" s="2244"/>
      <c r="BO109" s="2244"/>
      <c r="BP109" s="2245"/>
      <c r="BQ109" s="2246"/>
      <c r="BR109" s="2247"/>
      <c r="BS109" s="2248"/>
      <c r="BT109" s="2249"/>
      <c r="BU109" s="2249"/>
      <c r="BV109" s="2238"/>
      <c r="BW109" s="2264"/>
      <c r="BY109" s="3">
        <v>1</v>
      </c>
    </row>
    <row r="110" spans="2:77" ht="21" customHeight="1">
      <c r="B110" s="2265" t="str" cm="1">
        <f t="array" ref="B110">SUMPRODUCT(--(D110:J110&lt;&gt;""), LEN(TRIM(SUBSTITUTE(D110:J110, CHAR(160), "")))) &amp; " Car."</f>
        <v>0 Car.</v>
      </c>
      <c r="C110" s="1376" t="str">
        <f>IF(ISBLANK(D110),"",LARGE(C13:C109,1)+1)</f>
        <v/>
      </c>
      <c r="D110" s="1833"/>
      <c r="E110" s="1810"/>
      <c r="F110" s="1810"/>
      <c r="G110" s="1810"/>
      <c r="H110" s="1810"/>
      <c r="I110" s="1810"/>
      <c r="J110" s="1810"/>
      <c r="K110" s="1810"/>
      <c r="L110" s="1811"/>
      <c r="M110" s="9"/>
      <c r="N110" s="2252" t="s">
        <v>15</v>
      </c>
      <c r="O110" s="2237"/>
      <c r="P110" s="2237"/>
      <c r="Q110" s="2237"/>
      <c r="R110" s="2237"/>
      <c r="S110" s="2240"/>
      <c r="T110" s="2241"/>
      <c r="U110" s="2239"/>
      <c r="V110" s="2242"/>
      <c r="W110" s="2250"/>
      <c r="X110" s="2244"/>
      <c r="Y110" s="2244"/>
      <c r="Z110" s="2245"/>
      <c r="AA110" s="2246"/>
      <c r="AB110" s="2247"/>
      <c r="AC110" s="2248"/>
      <c r="AD110" s="2249"/>
      <c r="AE110" s="2249"/>
      <c r="AF110" s="2238"/>
      <c r="AG110" s="2264"/>
      <c r="AH110" s="918"/>
      <c r="AI110" s="2252" t="s">
        <v>15</v>
      </c>
      <c r="AJ110" s="2237"/>
      <c r="AK110" s="2237"/>
      <c r="AL110" s="2237"/>
      <c r="AM110" s="2237"/>
      <c r="AN110" s="2240"/>
      <c r="AO110" s="2241"/>
      <c r="AP110" s="2239"/>
      <c r="AQ110" s="2242"/>
      <c r="AR110" s="2250"/>
      <c r="AS110" s="2244"/>
      <c r="AT110" s="2244"/>
      <c r="AU110" s="2245"/>
      <c r="AV110" s="2246"/>
      <c r="AW110" s="2247"/>
      <c r="AX110" s="2248"/>
      <c r="AY110" s="2249"/>
      <c r="AZ110" s="2249"/>
      <c r="BA110" s="2238"/>
      <c r="BB110" s="2264"/>
      <c r="BC110" s="918"/>
      <c r="BD110" s="2252" t="s">
        <v>15</v>
      </c>
      <c r="BE110" s="2237"/>
      <c r="BF110" s="2237"/>
      <c r="BG110" s="2237"/>
      <c r="BH110" s="2237"/>
      <c r="BI110" s="2240"/>
      <c r="BJ110" s="2241"/>
      <c r="BK110" s="2239"/>
      <c r="BL110" s="2242"/>
      <c r="BM110" s="2250"/>
      <c r="BN110" s="2244"/>
      <c r="BO110" s="2244"/>
      <c r="BP110" s="2245"/>
      <c r="BQ110" s="2246"/>
      <c r="BR110" s="2247"/>
      <c r="BS110" s="2248"/>
      <c r="BT110" s="2249"/>
      <c r="BU110" s="2249"/>
      <c r="BV110" s="2238"/>
      <c r="BW110" s="2264"/>
      <c r="BY110" s="3">
        <v>1</v>
      </c>
    </row>
    <row r="111" spans="2:77" ht="21" customHeight="1">
      <c r="B111" s="2265" t="str" cm="1">
        <f t="array" ref="B111">SUMPRODUCT(--(D111:J111&lt;&gt;""), LEN(TRIM(SUBSTITUTE(D111:J111, CHAR(160), "")))) &amp; " Car."</f>
        <v>0 Car.</v>
      </c>
      <c r="C111" s="1376" t="str">
        <f>IF(ISBLANK(D111),"",LARGE(C13:C110,1)+1)</f>
        <v/>
      </c>
      <c r="D111" s="1833"/>
      <c r="E111" s="1810"/>
      <c r="F111" s="1810"/>
      <c r="G111" s="1810"/>
      <c r="H111" s="1810"/>
      <c r="I111" s="1810"/>
      <c r="J111" s="1810"/>
      <c r="K111" s="1810"/>
      <c r="L111" s="1811"/>
      <c r="M111" s="9"/>
      <c r="N111" s="2252" t="s">
        <v>15</v>
      </c>
      <c r="O111" s="2237"/>
      <c r="P111" s="2237"/>
      <c r="Q111" s="2237"/>
      <c r="R111" s="2237"/>
      <c r="S111" s="2240"/>
      <c r="T111" s="2241"/>
      <c r="U111" s="2239"/>
      <c r="V111" s="2242"/>
      <c r="W111" s="2250"/>
      <c r="X111" s="2244"/>
      <c r="Y111" s="2244"/>
      <c r="Z111" s="2245"/>
      <c r="AA111" s="2246"/>
      <c r="AB111" s="2247"/>
      <c r="AC111" s="2248"/>
      <c r="AD111" s="2249"/>
      <c r="AE111" s="2249"/>
      <c r="AF111" s="2238"/>
      <c r="AG111" s="2264"/>
      <c r="AH111" s="918"/>
      <c r="AI111" s="2252" t="s">
        <v>15</v>
      </c>
      <c r="AJ111" s="2237"/>
      <c r="AK111" s="2237"/>
      <c r="AL111" s="2237"/>
      <c r="AM111" s="2237"/>
      <c r="AN111" s="2240"/>
      <c r="AO111" s="2241"/>
      <c r="AP111" s="2239"/>
      <c r="AQ111" s="2242"/>
      <c r="AR111" s="2250"/>
      <c r="AS111" s="2244"/>
      <c r="AT111" s="2244"/>
      <c r="AU111" s="2245"/>
      <c r="AV111" s="2246"/>
      <c r="AW111" s="2247"/>
      <c r="AX111" s="2248"/>
      <c r="AY111" s="2249"/>
      <c r="AZ111" s="2249"/>
      <c r="BA111" s="2238"/>
      <c r="BB111" s="2264"/>
      <c r="BC111" s="918"/>
      <c r="BD111" s="2252" t="s">
        <v>15</v>
      </c>
      <c r="BE111" s="2237"/>
      <c r="BF111" s="2237"/>
      <c r="BG111" s="2237"/>
      <c r="BH111" s="2237"/>
      <c r="BI111" s="2240"/>
      <c r="BJ111" s="2241"/>
      <c r="BK111" s="2239"/>
      <c r="BL111" s="2242"/>
      <c r="BM111" s="2250"/>
      <c r="BN111" s="2244"/>
      <c r="BO111" s="2244"/>
      <c r="BP111" s="2245"/>
      <c r="BQ111" s="2246"/>
      <c r="BR111" s="2247"/>
      <c r="BS111" s="2248"/>
      <c r="BT111" s="2249"/>
      <c r="BU111" s="2249"/>
      <c r="BV111" s="2238"/>
      <c r="BW111" s="2264"/>
      <c r="BY111" s="3">
        <v>1</v>
      </c>
    </row>
    <row r="112" spans="2:77" ht="21" customHeight="1">
      <c r="B112" s="2265" t="str" cm="1">
        <f t="array" ref="B112">SUMPRODUCT(--(D112:J112&lt;&gt;""), LEN(TRIM(SUBSTITUTE(D112:J112, CHAR(160), "")))) &amp; " Car."</f>
        <v>0 Car.</v>
      </c>
      <c r="C112" s="1376" t="str">
        <f>IF(ISBLANK(D112),"",LARGE(C13:C111,1)+1)</f>
        <v/>
      </c>
      <c r="D112" s="1833"/>
      <c r="E112" s="1810"/>
      <c r="F112" s="1810"/>
      <c r="G112" s="1810"/>
      <c r="H112" s="1810"/>
      <c r="I112" s="1810"/>
      <c r="J112" s="1810"/>
      <c r="K112" s="1810"/>
      <c r="L112" s="1811"/>
      <c r="M112" s="9"/>
      <c r="N112" s="2252" t="s">
        <v>15</v>
      </c>
      <c r="O112" s="2237"/>
      <c r="P112" s="2237"/>
      <c r="Q112" s="2237"/>
      <c r="R112" s="2237"/>
      <c r="S112" s="2240"/>
      <c r="T112" s="2241"/>
      <c r="U112" s="2239"/>
      <c r="V112" s="2242"/>
      <c r="W112" s="2250"/>
      <c r="X112" s="2244"/>
      <c r="Y112" s="2244"/>
      <c r="Z112" s="2245"/>
      <c r="AA112" s="2246"/>
      <c r="AB112" s="2247"/>
      <c r="AC112" s="2248"/>
      <c r="AD112" s="2249"/>
      <c r="AE112" s="2249"/>
      <c r="AF112" s="2238"/>
      <c r="AG112" s="2264"/>
      <c r="AH112" s="918"/>
      <c r="AI112" s="2252" t="s">
        <v>15</v>
      </c>
      <c r="AJ112" s="2237"/>
      <c r="AK112" s="2237"/>
      <c r="AL112" s="2237"/>
      <c r="AM112" s="2237"/>
      <c r="AN112" s="2240"/>
      <c r="AO112" s="2241"/>
      <c r="AP112" s="2239"/>
      <c r="AQ112" s="2242"/>
      <c r="AR112" s="2250"/>
      <c r="AS112" s="2244"/>
      <c r="AT112" s="2244"/>
      <c r="AU112" s="2245"/>
      <c r="AV112" s="2246"/>
      <c r="AW112" s="2247"/>
      <c r="AX112" s="2248"/>
      <c r="AY112" s="2249"/>
      <c r="AZ112" s="2249"/>
      <c r="BA112" s="2238"/>
      <c r="BB112" s="2264"/>
      <c r="BC112" s="918"/>
      <c r="BD112" s="2252" t="s">
        <v>15</v>
      </c>
      <c r="BE112" s="2237"/>
      <c r="BF112" s="2237"/>
      <c r="BG112" s="2237"/>
      <c r="BH112" s="2237"/>
      <c r="BI112" s="2240"/>
      <c r="BJ112" s="2241"/>
      <c r="BK112" s="2239"/>
      <c r="BL112" s="2242"/>
      <c r="BM112" s="2250"/>
      <c r="BN112" s="2244"/>
      <c r="BO112" s="2244"/>
      <c r="BP112" s="2245"/>
      <c r="BQ112" s="2246"/>
      <c r="BR112" s="2247"/>
      <c r="BS112" s="2248"/>
      <c r="BT112" s="2249"/>
      <c r="BU112" s="2249"/>
      <c r="BV112" s="2238"/>
      <c r="BW112" s="2264"/>
      <c r="BY112" s="3">
        <v>1</v>
      </c>
    </row>
    <row r="113" spans="2:77" ht="21" customHeight="1">
      <c r="B113" s="2265" t="str" cm="1">
        <f t="array" ref="B113">SUMPRODUCT(--(D113:J113&lt;&gt;""), LEN(TRIM(SUBSTITUTE(D113:J113, CHAR(160), "")))) &amp; " Car."</f>
        <v>0 Car.</v>
      </c>
      <c r="C113" s="1376" t="str">
        <f>IF(ISBLANK(D113),"",LARGE(C13:C112,1)+1)</f>
        <v/>
      </c>
      <c r="D113" s="1833"/>
      <c r="E113" s="1810"/>
      <c r="F113" s="1810"/>
      <c r="G113" s="1810"/>
      <c r="H113" s="1810"/>
      <c r="I113" s="1810"/>
      <c r="J113" s="1810"/>
      <c r="K113" s="1810"/>
      <c r="L113" s="1811"/>
      <c r="M113" s="9"/>
      <c r="N113" s="2252" t="s">
        <v>15</v>
      </c>
      <c r="O113" s="2237"/>
      <c r="P113" s="2237"/>
      <c r="Q113" s="2237"/>
      <c r="R113" s="2237"/>
      <c r="S113" s="2240"/>
      <c r="T113" s="2241"/>
      <c r="U113" s="2239"/>
      <c r="V113" s="2242"/>
      <c r="W113" s="2250"/>
      <c r="X113" s="2244"/>
      <c r="Y113" s="2244"/>
      <c r="Z113" s="2245"/>
      <c r="AA113" s="2246"/>
      <c r="AB113" s="2247"/>
      <c r="AC113" s="2248"/>
      <c r="AD113" s="2249"/>
      <c r="AE113" s="2249"/>
      <c r="AF113" s="2238"/>
      <c r="AG113" s="2264"/>
      <c r="AH113" s="918"/>
      <c r="AI113" s="2252" t="s">
        <v>15</v>
      </c>
      <c r="AJ113" s="2237"/>
      <c r="AK113" s="2237"/>
      <c r="AL113" s="2237"/>
      <c r="AM113" s="2237"/>
      <c r="AN113" s="2240"/>
      <c r="AO113" s="2241"/>
      <c r="AP113" s="2239"/>
      <c r="AQ113" s="2242"/>
      <c r="AR113" s="2250"/>
      <c r="AS113" s="2244"/>
      <c r="AT113" s="2244"/>
      <c r="AU113" s="2245"/>
      <c r="AV113" s="2246"/>
      <c r="AW113" s="2247"/>
      <c r="AX113" s="2248"/>
      <c r="AY113" s="2249"/>
      <c r="AZ113" s="2249"/>
      <c r="BA113" s="2238"/>
      <c r="BB113" s="2264"/>
      <c r="BC113" s="918"/>
      <c r="BD113" s="2252" t="s">
        <v>15</v>
      </c>
      <c r="BE113" s="2237"/>
      <c r="BF113" s="2237"/>
      <c r="BG113" s="2237"/>
      <c r="BH113" s="2237"/>
      <c r="BI113" s="2240"/>
      <c r="BJ113" s="2241"/>
      <c r="BK113" s="2239"/>
      <c r="BL113" s="2242"/>
      <c r="BM113" s="2250"/>
      <c r="BN113" s="2244"/>
      <c r="BO113" s="2244"/>
      <c r="BP113" s="2245"/>
      <c r="BQ113" s="2246"/>
      <c r="BR113" s="2247"/>
      <c r="BS113" s="2248"/>
      <c r="BT113" s="2249"/>
      <c r="BU113" s="2249"/>
      <c r="BV113" s="2238"/>
      <c r="BW113" s="2264"/>
      <c r="BY113" s="3">
        <v>1</v>
      </c>
    </row>
    <row r="114" spans="2:77" ht="21" customHeight="1">
      <c r="B114" s="2265" t="str" cm="1">
        <f t="array" ref="B114">SUMPRODUCT(--(D114:J114&lt;&gt;""), LEN(TRIM(SUBSTITUTE(D114:J114, CHAR(160), "")))) &amp; " Car."</f>
        <v>0 Car.</v>
      </c>
      <c r="C114" s="1376" t="str">
        <f>IF(ISBLANK(D114),"",LARGE(C13:C113,1)+1)</f>
        <v/>
      </c>
      <c r="D114" s="1833"/>
      <c r="E114" s="1810"/>
      <c r="F114" s="1810"/>
      <c r="G114" s="1810"/>
      <c r="H114" s="1810"/>
      <c r="I114" s="1810"/>
      <c r="J114" s="1810"/>
      <c r="K114" s="1810"/>
      <c r="L114" s="1811"/>
      <c r="M114" s="9"/>
      <c r="N114" s="2252" t="s">
        <v>15</v>
      </c>
      <c r="O114" s="2237"/>
      <c r="P114" s="2237"/>
      <c r="Q114" s="2237"/>
      <c r="R114" s="2237"/>
      <c r="S114" s="2240"/>
      <c r="T114" s="2241"/>
      <c r="U114" s="2239"/>
      <c r="V114" s="2242"/>
      <c r="W114" s="2250"/>
      <c r="X114" s="2244"/>
      <c r="Y114" s="2244"/>
      <c r="Z114" s="2245"/>
      <c r="AA114" s="2246"/>
      <c r="AB114" s="2247"/>
      <c r="AC114" s="2248"/>
      <c r="AD114" s="2249"/>
      <c r="AE114" s="2249"/>
      <c r="AF114" s="2238"/>
      <c r="AG114" s="2264"/>
      <c r="AH114" s="918"/>
      <c r="AI114" s="2252" t="s">
        <v>15</v>
      </c>
      <c r="AJ114" s="2237"/>
      <c r="AK114" s="2237"/>
      <c r="AL114" s="2237"/>
      <c r="AM114" s="2237"/>
      <c r="AN114" s="2240"/>
      <c r="AO114" s="2241"/>
      <c r="AP114" s="2239"/>
      <c r="AQ114" s="2242"/>
      <c r="AR114" s="2250"/>
      <c r="AS114" s="2244"/>
      <c r="AT114" s="2244"/>
      <c r="AU114" s="2245"/>
      <c r="AV114" s="2246"/>
      <c r="AW114" s="2247"/>
      <c r="AX114" s="2248"/>
      <c r="AY114" s="2249"/>
      <c r="AZ114" s="2249"/>
      <c r="BA114" s="2238"/>
      <c r="BB114" s="2264"/>
      <c r="BC114" s="918"/>
      <c r="BD114" s="2252" t="s">
        <v>15</v>
      </c>
      <c r="BE114" s="2237"/>
      <c r="BF114" s="2237"/>
      <c r="BG114" s="2237"/>
      <c r="BH114" s="2237"/>
      <c r="BI114" s="2240"/>
      <c r="BJ114" s="2241"/>
      <c r="BK114" s="2239"/>
      <c r="BL114" s="2242"/>
      <c r="BM114" s="2250"/>
      <c r="BN114" s="2244"/>
      <c r="BO114" s="2244"/>
      <c r="BP114" s="2245"/>
      <c r="BQ114" s="2246"/>
      <c r="BR114" s="2247"/>
      <c r="BS114" s="2248"/>
      <c r="BT114" s="2249"/>
      <c r="BU114" s="2249"/>
      <c r="BV114" s="2238"/>
      <c r="BW114" s="2264"/>
      <c r="BY114" s="3">
        <v>1</v>
      </c>
    </row>
    <row r="115" spans="2:77" ht="21" customHeight="1">
      <c r="B115" s="2265" t="str" cm="1">
        <f t="array" ref="B115">SUMPRODUCT(--(D115:J115&lt;&gt;""), LEN(TRIM(SUBSTITUTE(D115:J115, CHAR(160), "")))) &amp; " Car."</f>
        <v>0 Car.</v>
      </c>
      <c r="C115" s="1376" t="str">
        <f>IF(ISBLANK(D115),"",LARGE(C13:C114,1)+1)</f>
        <v/>
      </c>
      <c r="D115" s="1833"/>
      <c r="E115" s="1810"/>
      <c r="F115" s="1810"/>
      <c r="G115" s="1810"/>
      <c r="H115" s="1810"/>
      <c r="I115" s="1810"/>
      <c r="J115" s="1810"/>
      <c r="K115" s="1810"/>
      <c r="L115" s="1811"/>
      <c r="M115" s="9"/>
      <c r="N115" s="2252" t="s">
        <v>15</v>
      </c>
      <c r="O115" s="2237"/>
      <c r="P115" s="2237"/>
      <c r="Q115" s="2237"/>
      <c r="R115" s="2237"/>
      <c r="S115" s="2240"/>
      <c r="T115" s="2241"/>
      <c r="U115" s="2239"/>
      <c r="V115" s="2242"/>
      <c r="W115" s="2250"/>
      <c r="X115" s="2244"/>
      <c r="Y115" s="2244"/>
      <c r="Z115" s="2245"/>
      <c r="AA115" s="2246"/>
      <c r="AB115" s="2247"/>
      <c r="AC115" s="2248"/>
      <c r="AD115" s="2249"/>
      <c r="AE115" s="2249"/>
      <c r="AF115" s="2238"/>
      <c r="AG115" s="2264"/>
      <c r="AH115" s="918"/>
      <c r="AI115" s="2252" t="s">
        <v>15</v>
      </c>
      <c r="AJ115" s="2237"/>
      <c r="AK115" s="2237"/>
      <c r="AL115" s="2237"/>
      <c r="AM115" s="2237"/>
      <c r="AN115" s="2240"/>
      <c r="AO115" s="2241"/>
      <c r="AP115" s="2239"/>
      <c r="AQ115" s="2242"/>
      <c r="AR115" s="2250"/>
      <c r="AS115" s="2244"/>
      <c r="AT115" s="2244"/>
      <c r="AU115" s="2245"/>
      <c r="AV115" s="2246"/>
      <c r="AW115" s="2247"/>
      <c r="AX115" s="2248"/>
      <c r="AY115" s="2249"/>
      <c r="AZ115" s="2249"/>
      <c r="BA115" s="2238"/>
      <c r="BB115" s="2264"/>
      <c r="BC115" s="918"/>
      <c r="BD115" s="2252" t="s">
        <v>15</v>
      </c>
      <c r="BE115" s="2237"/>
      <c r="BF115" s="2237"/>
      <c r="BG115" s="2237"/>
      <c r="BH115" s="2237"/>
      <c r="BI115" s="2240"/>
      <c r="BJ115" s="2241"/>
      <c r="BK115" s="2239"/>
      <c r="BL115" s="2242"/>
      <c r="BM115" s="2250"/>
      <c r="BN115" s="2244"/>
      <c r="BO115" s="2244"/>
      <c r="BP115" s="2245"/>
      <c r="BQ115" s="2246"/>
      <c r="BR115" s="2247"/>
      <c r="BS115" s="2248"/>
      <c r="BT115" s="2249"/>
      <c r="BU115" s="2249"/>
      <c r="BV115" s="2238"/>
      <c r="BW115" s="2264"/>
      <c r="BY115" s="3">
        <v>1</v>
      </c>
    </row>
    <row r="116" spans="2:77" ht="21" customHeight="1">
      <c r="B116" s="2265" t="str" cm="1">
        <f t="array" ref="B116">SUMPRODUCT(--(D116:J116&lt;&gt;""), LEN(TRIM(SUBSTITUTE(D116:J116, CHAR(160), "")))) &amp; " Car."</f>
        <v>0 Car.</v>
      </c>
      <c r="C116" s="1376" t="str">
        <f>IF(ISBLANK(D116),"",LARGE(C13:C115,1)+1)</f>
        <v/>
      </c>
      <c r="D116" s="1833"/>
      <c r="E116" s="1810"/>
      <c r="F116" s="1810"/>
      <c r="G116" s="1810"/>
      <c r="H116" s="1810"/>
      <c r="I116" s="1810"/>
      <c r="J116" s="1810"/>
      <c r="K116" s="1810"/>
      <c r="L116" s="1811"/>
      <c r="M116" s="9"/>
      <c r="N116" s="2252" t="s">
        <v>15</v>
      </c>
      <c r="O116" s="2237"/>
      <c r="P116" s="2237"/>
      <c r="Q116" s="2237"/>
      <c r="R116" s="2237"/>
      <c r="S116" s="2240"/>
      <c r="T116" s="2241"/>
      <c r="U116" s="2239"/>
      <c r="V116" s="2242"/>
      <c r="W116" s="2250"/>
      <c r="X116" s="2244"/>
      <c r="Y116" s="2244"/>
      <c r="Z116" s="2245"/>
      <c r="AA116" s="2246"/>
      <c r="AB116" s="2247"/>
      <c r="AC116" s="2248"/>
      <c r="AD116" s="2249"/>
      <c r="AE116" s="2249"/>
      <c r="AF116" s="2238"/>
      <c r="AG116" s="2264"/>
      <c r="AH116" s="918"/>
      <c r="AI116" s="2252" t="s">
        <v>15</v>
      </c>
      <c r="AJ116" s="2237"/>
      <c r="AK116" s="2237"/>
      <c r="AL116" s="2237"/>
      <c r="AM116" s="2237"/>
      <c r="AN116" s="2240"/>
      <c r="AO116" s="2241"/>
      <c r="AP116" s="2239"/>
      <c r="AQ116" s="2242"/>
      <c r="AR116" s="2250"/>
      <c r="AS116" s="2244"/>
      <c r="AT116" s="2244"/>
      <c r="AU116" s="2245"/>
      <c r="AV116" s="2246"/>
      <c r="AW116" s="2247"/>
      <c r="AX116" s="2248"/>
      <c r="AY116" s="2249"/>
      <c r="AZ116" s="2249"/>
      <c r="BA116" s="2238"/>
      <c r="BB116" s="2264"/>
      <c r="BC116" s="918"/>
      <c r="BD116" s="2252" t="s">
        <v>15</v>
      </c>
      <c r="BE116" s="2237"/>
      <c r="BF116" s="2237"/>
      <c r="BG116" s="2237"/>
      <c r="BH116" s="2237"/>
      <c r="BI116" s="2240"/>
      <c r="BJ116" s="2241"/>
      <c r="BK116" s="2239"/>
      <c r="BL116" s="2242"/>
      <c r="BM116" s="2250"/>
      <c r="BN116" s="2244"/>
      <c r="BO116" s="2244"/>
      <c r="BP116" s="2245"/>
      <c r="BQ116" s="2246"/>
      <c r="BR116" s="2247"/>
      <c r="BS116" s="2248"/>
      <c r="BT116" s="2249"/>
      <c r="BU116" s="2249"/>
      <c r="BV116" s="2238"/>
      <c r="BW116" s="2264"/>
      <c r="BY116" s="3">
        <v>1</v>
      </c>
    </row>
    <row r="117" spans="2:77" ht="21" customHeight="1">
      <c r="B117" s="2265" t="str" cm="1">
        <f t="array" ref="B117">SUMPRODUCT(--(D117:J117&lt;&gt;""), LEN(TRIM(SUBSTITUTE(D117:J117, CHAR(160), "")))) &amp; " Car."</f>
        <v>0 Car.</v>
      </c>
      <c r="C117" s="1376" t="str">
        <f>IF(ISBLANK(D117),"",LARGE(C13:C116,1)+1)</f>
        <v/>
      </c>
      <c r="D117" s="1833"/>
      <c r="E117" s="1810"/>
      <c r="F117" s="1810"/>
      <c r="G117" s="1810"/>
      <c r="H117" s="1810"/>
      <c r="I117" s="1810"/>
      <c r="J117" s="1810"/>
      <c r="K117" s="1810"/>
      <c r="L117" s="1811"/>
      <c r="M117" s="9"/>
      <c r="N117" s="2252" t="s">
        <v>15</v>
      </c>
      <c r="O117" s="2237"/>
      <c r="P117" s="2237"/>
      <c r="Q117" s="2237"/>
      <c r="R117" s="2237"/>
      <c r="S117" s="2240"/>
      <c r="T117" s="2241"/>
      <c r="U117" s="2239"/>
      <c r="V117" s="2242"/>
      <c r="W117" s="2250"/>
      <c r="X117" s="2244"/>
      <c r="Y117" s="2244"/>
      <c r="Z117" s="2245"/>
      <c r="AA117" s="2246"/>
      <c r="AB117" s="2247"/>
      <c r="AC117" s="2248"/>
      <c r="AD117" s="2249"/>
      <c r="AE117" s="2249"/>
      <c r="AF117" s="2238"/>
      <c r="AG117" s="2264"/>
      <c r="AH117" s="918"/>
      <c r="AI117" s="2252" t="s">
        <v>15</v>
      </c>
      <c r="AJ117" s="2237"/>
      <c r="AK117" s="2237"/>
      <c r="AL117" s="2237"/>
      <c r="AM117" s="2237"/>
      <c r="AN117" s="2240"/>
      <c r="AO117" s="2241"/>
      <c r="AP117" s="2239"/>
      <c r="AQ117" s="2242"/>
      <c r="AR117" s="2250"/>
      <c r="AS117" s="2244"/>
      <c r="AT117" s="2244"/>
      <c r="AU117" s="2245"/>
      <c r="AV117" s="2246"/>
      <c r="AW117" s="2247"/>
      <c r="AX117" s="2248"/>
      <c r="AY117" s="2249"/>
      <c r="AZ117" s="2249"/>
      <c r="BA117" s="2238"/>
      <c r="BB117" s="2264"/>
      <c r="BC117" s="918"/>
      <c r="BD117" s="2252" t="s">
        <v>15</v>
      </c>
      <c r="BE117" s="2237"/>
      <c r="BF117" s="2237"/>
      <c r="BG117" s="2237"/>
      <c r="BH117" s="2237"/>
      <c r="BI117" s="2240"/>
      <c r="BJ117" s="2241"/>
      <c r="BK117" s="2239"/>
      <c r="BL117" s="2242"/>
      <c r="BM117" s="2250"/>
      <c r="BN117" s="2244"/>
      <c r="BO117" s="2244"/>
      <c r="BP117" s="2245"/>
      <c r="BQ117" s="2246"/>
      <c r="BR117" s="2247"/>
      <c r="BS117" s="2248"/>
      <c r="BT117" s="2249"/>
      <c r="BU117" s="2249"/>
      <c r="BV117" s="2238"/>
      <c r="BW117" s="2264"/>
      <c r="BY117" s="3">
        <v>1</v>
      </c>
    </row>
    <row r="118" spans="2:77" ht="21" customHeight="1">
      <c r="B118" s="2265" t="str" cm="1">
        <f t="array" ref="B118">SUMPRODUCT(--(D118:J118&lt;&gt;""), LEN(TRIM(SUBSTITUTE(D118:J118, CHAR(160), "")))) &amp; " Car."</f>
        <v>0 Car.</v>
      </c>
      <c r="C118" s="1376" t="str">
        <f>IF(ISBLANK(D118),"",LARGE(C13:C117,1)+1)</f>
        <v/>
      </c>
      <c r="D118" s="1833"/>
      <c r="E118" s="1810"/>
      <c r="F118" s="1810"/>
      <c r="G118" s="1810"/>
      <c r="H118" s="1810"/>
      <c r="I118" s="1810"/>
      <c r="J118" s="1810"/>
      <c r="K118" s="1810"/>
      <c r="L118" s="1811"/>
      <c r="M118" s="9"/>
      <c r="N118" s="2252" t="s">
        <v>15</v>
      </c>
      <c r="O118" s="2237"/>
      <c r="P118" s="2237"/>
      <c r="Q118" s="2237"/>
      <c r="R118" s="2237"/>
      <c r="S118" s="2240"/>
      <c r="T118" s="2241"/>
      <c r="U118" s="2239"/>
      <c r="V118" s="2242"/>
      <c r="W118" s="2250"/>
      <c r="X118" s="2244"/>
      <c r="Y118" s="2244"/>
      <c r="Z118" s="2245"/>
      <c r="AA118" s="2246"/>
      <c r="AB118" s="2247"/>
      <c r="AC118" s="2248"/>
      <c r="AD118" s="2249"/>
      <c r="AE118" s="2249"/>
      <c r="AF118" s="2238"/>
      <c r="AG118" s="2264"/>
      <c r="AH118" s="918"/>
      <c r="AI118" s="2252" t="s">
        <v>15</v>
      </c>
      <c r="AJ118" s="2237"/>
      <c r="AK118" s="2237"/>
      <c r="AL118" s="2237"/>
      <c r="AM118" s="2237"/>
      <c r="AN118" s="2240"/>
      <c r="AO118" s="2241"/>
      <c r="AP118" s="2239"/>
      <c r="AQ118" s="2242"/>
      <c r="AR118" s="2250"/>
      <c r="AS118" s="2244"/>
      <c r="AT118" s="2244"/>
      <c r="AU118" s="2245"/>
      <c r="AV118" s="2246"/>
      <c r="AW118" s="2247"/>
      <c r="AX118" s="2248"/>
      <c r="AY118" s="2249"/>
      <c r="AZ118" s="2249"/>
      <c r="BA118" s="2238"/>
      <c r="BB118" s="2264"/>
      <c r="BC118" s="918"/>
      <c r="BD118" s="2252" t="s">
        <v>15</v>
      </c>
      <c r="BE118" s="2237"/>
      <c r="BF118" s="2237"/>
      <c r="BG118" s="2237"/>
      <c r="BH118" s="2237"/>
      <c r="BI118" s="2240"/>
      <c r="BJ118" s="2241"/>
      <c r="BK118" s="2239"/>
      <c r="BL118" s="2242"/>
      <c r="BM118" s="2250"/>
      <c r="BN118" s="2244"/>
      <c r="BO118" s="2244"/>
      <c r="BP118" s="2245"/>
      <c r="BQ118" s="2246"/>
      <c r="BR118" s="2247"/>
      <c r="BS118" s="2248"/>
      <c r="BT118" s="2249"/>
      <c r="BU118" s="2249"/>
      <c r="BV118" s="2238"/>
      <c r="BW118" s="2264"/>
      <c r="BY118" s="3">
        <v>1</v>
      </c>
    </row>
    <row r="119" spans="2:77" ht="21" customHeight="1">
      <c r="B119" s="2265" t="str" cm="1">
        <f t="array" ref="B119">SUMPRODUCT(--(D119:J119&lt;&gt;""), LEN(TRIM(SUBSTITUTE(D119:J119, CHAR(160), "")))) &amp; " Car."</f>
        <v>0 Car.</v>
      </c>
      <c r="C119" s="1376" t="str">
        <f>IF(ISBLANK(D119),"",LARGE(C13:C118,1)+1)</f>
        <v/>
      </c>
      <c r="D119" s="1833"/>
      <c r="E119" s="1810"/>
      <c r="F119" s="1810"/>
      <c r="G119" s="1810"/>
      <c r="H119" s="1810"/>
      <c r="I119" s="1810"/>
      <c r="J119" s="1810"/>
      <c r="K119" s="1810"/>
      <c r="L119" s="1811"/>
      <c r="M119" s="9"/>
      <c r="N119" s="2252" t="s">
        <v>15</v>
      </c>
      <c r="O119" s="2237"/>
      <c r="P119" s="2237"/>
      <c r="Q119" s="2237"/>
      <c r="R119" s="2237"/>
      <c r="S119" s="2240"/>
      <c r="T119" s="2241"/>
      <c r="U119" s="2239"/>
      <c r="V119" s="2242"/>
      <c r="W119" s="2250"/>
      <c r="X119" s="2244"/>
      <c r="Y119" s="2244"/>
      <c r="Z119" s="2245"/>
      <c r="AA119" s="2246"/>
      <c r="AB119" s="2247"/>
      <c r="AC119" s="2248"/>
      <c r="AD119" s="2249"/>
      <c r="AE119" s="2249"/>
      <c r="AF119" s="2238"/>
      <c r="AG119" s="2264"/>
      <c r="AH119" s="918"/>
      <c r="AI119" s="2252" t="s">
        <v>15</v>
      </c>
      <c r="AJ119" s="2237"/>
      <c r="AK119" s="2237"/>
      <c r="AL119" s="2237"/>
      <c r="AM119" s="2237"/>
      <c r="AN119" s="2240"/>
      <c r="AO119" s="2241"/>
      <c r="AP119" s="2239"/>
      <c r="AQ119" s="2242"/>
      <c r="AR119" s="2250"/>
      <c r="AS119" s="2244"/>
      <c r="AT119" s="2244"/>
      <c r="AU119" s="2245"/>
      <c r="AV119" s="2246"/>
      <c r="AW119" s="2247"/>
      <c r="AX119" s="2248"/>
      <c r="AY119" s="2249"/>
      <c r="AZ119" s="2249"/>
      <c r="BA119" s="2238"/>
      <c r="BB119" s="2264"/>
      <c r="BC119" s="918"/>
      <c r="BD119" s="2252" t="s">
        <v>15</v>
      </c>
      <c r="BE119" s="2237"/>
      <c r="BF119" s="2237"/>
      <c r="BG119" s="2237"/>
      <c r="BH119" s="2237"/>
      <c r="BI119" s="2240"/>
      <c r="BJ119" s="2241"/>
      <c r="BK119" s="2239"/>
      <c r="BL119" s="2242"/>
      <c r="BM119" s="2250"/>
      <c r="BN119" s="2244"/>
      <c r="BO119" s="2244"/>
      <c r="BP119" s="2245"/>
      <c r="BQ119" s="2246"/>
      <c r="BR119" s="2247"/>
      <c r="BS119" s="2248"/>
      <c r="BT119" s="2249"/>
      <c r="BU119" s="2249"/>
      <c r="BV119" s="2238"/>
      <c r="BW119" s="2264"/>
      <c r="BY119" s="3">
        <v>1</v>
      </c>
    </row>
    <row r="120" spans="2:77" ht="21" customHeight="1">
      <c r="B120" s="2265" t="str" cm="1">
        <f t="array" ref="B120">SUMPRODUCT(--(D120:J120&lt;&gt;""), LEN(TRIM(SUBSTITUTE(D120:J120, CHAR(160), "")))) &amp; " Car."</f>
        <v>0 Car.</v>
      </c>
      <c r="C120" s="1376" t="str">
        <f>IF(ISBLANK(D120),"",LARGE(C13:C119,1)+1)</f>
        <v/>
      </c>
      <c r="D120" s="1833"/>
      <c r="E120" s="1810"/>
      <c r="F120" s="1810"/>
      <c r="G120" s="1810"/>
      <c r="H120" s="1810"/>
      <c r="I120" s="1810"/>
      <c r="J120" s="1810"/>
      <c r="K120" s="1810"/>
      <c r="L120" s="1811"/>
      <c r="M120" s="9"/>
      <c r="N120" s="2252" t="s">
        <v>15</v>
      </c>
      <c r="O120" s="2237"/>
      <c r="P120" s="2237"/>
      <c r="Q120" s="2237"/>
      <c r="R120" s="2237"/>
      <c r="S120" s="2240"/>
      <c r="T120" s="2241"/>
      <c r="U120" s="2239"/>
      <c r="V120" s="2242"/>
      <c r="W120" s="2250"/>
      <c r="X120" s="2244"/>
      <c r="Y120" s="2244"/>
      <c r="Z120" s="2245"/>
      <c r="AA120" s="2246"/>
      <c r="AB120" s="2247"/>
      <c r="AC120" s="2248"/>
      <c r="AD120" s="2249"/>
      <c r="AE120" s="2249"/>
      <c r="AF120" s="2238"/>
      <c r="AG120" s="2264"/>
      <c r="AH120" s="918"/>
      <c r="AI120" s="2252" t="s">
        <v>15</v>
      </c>
      <c r="AJ120" s="2237"/>
      <c r="AK120" s="2237"/>
      <c r="AL120" s="2237"/>
      <c r="AM120" s="2237"/>
      <c r="AN120" s="2240"/>
      <c r="AO120" s="2241"/>
      <c r="AP120" s="2239"/>
      <c r="AQ120" s="2242"/>
      <c r="AR120" s="2250"/>
      <c r="AS120" s="2244"/>
      <c r="AT120" s="2244"/>
      <c r="AU120" s="2245"/>
      <c r="AV120" s="2246"/>
      <c r="AW120" s="2247"/>
      <c r="AX120" s="2248"/>
      <c r="AY120" s="2249"/>
      <c r="AZ120" s="2249"/>
      <c r="BA120" s="2238"/>
      <c r="BB120" s="2264"/>
      <c r="BC120" s="918"/>
      <c r="BD120" s="2252" t="s">
        <v>15</v>
      </c>
      <c r="BE120" s="2237"/>
      <c r="BF120" s="2237"/>
      <c r="BG120" s="2237"/>
      <c r="BH120" s="2237"/>
      <c r="BI120" s="2240"/>
      <c r="BJ120" s="2241"/>
      <c r="BK120" s="2239"/>
      <c r="BL120" s="2242"/>
      <c r="BM120" s="2250"/>
      <c r="BN120" s="2244"/>
      <c r="BO120" s="2244"/>
      <c r="BP120" s="2245"/>
      <c r="BQ120" s="2246"/>
      <c r="BR120" s="2247"/>
      <c r="BS120" s="2248"/>
      <c r="BT120" s="2249"/>
      <c r="BU120" s="2249"/>
      <c r="BV120" s="2238"/>
      <c r="BW120" s="2264"/>
      <c r="BY120" s="3">
        <v>1</v>
      </c>
    </row>
    <row r="121" spans="2:77" ht="21" customHeight="1">
      <c r="B121" s="2265" t="str" cm="1">
        <f t="array" ref="B121">SUMPRODUCT(--(D121:J121&lt;&gt;""), LEN(TRIM(SUBSTITUTE(D121:J121, CHAR(160), "")))) &amp; " Car."</f>
        <v>0 Car.</v>
      </c>
      <c r="C121" s="1376" t="str">
        <f>IF(ISBLANK(D121),"",LARGE(C13:C120,1)+1)</f>
        <v/>
      </c>
      <c r="D121" s="1833"/>
      <c r="E121" s="1810"/>
      <c r="F121" s="1810"/>
      <c r="G121" s="1810"/>
      <c r="H121" s="1810"/>
      <c r="I121" s="1810"/>
      <c r="J121" s="1810"/>
      <c r="K121" s="1810"/>
      <c r="L121" s="1811"/>
      <c r="M121" s="9"/>
      <c r="N121" s="2252" t="s">
        <v>15</v>
      </c>
      <c r="O121" s="2237"/>
      <c r="P121" s="2237"/>
      <c r="Q121" s="2237"/>
      <c r="R121" s="2237"/>
      <c r="S121" s="2240"/>
      <c r="T121" s="2241"/>
      <c r="U121" s="2239"/>
      <c r="V121" s="2242"/>
      <c r="W121" s="2250"/>
      <c r="X121" s="2244"/>
      <c r="Y121" s="2244"/>
      <c r="Z121" s="2245"/>
      <c r="AA121" s="2246"/>
      <c r="AB121" s="2247"/>
      <c r="AC121" s="2248"/>
      <c r="AD121" s="2249"/>
      <c r="AE121" s="2249"/>
      <c r="AF121" s="2238"/>
      <c r="AG121" s="2264"/>
      <c r="AH121" s="918"/>
      <c r="AI121" s="2252" t="s">
        <v>15</v>
      </c>
      <c r="AJ121" s="2237"/>
      <c r="AK121" s="2237"/>
      <c r="AL121" s="2237"/>
      <c r="AM121" s="2237"/>
      <c r="AN121" s="2240"/>
      <c r="AO121" s="2241"/>
      <c r="AP121" s="2239"/>
      <c r="AQ121" s="2242"/>
      <c r="AR121" s="2250"/>
      <c r="AS121" s="2244"/>
      <c r="AT121" s="2244"/>
      <c r="AU121" s="2245"/>
      <c r="AV121" s="2246"/>
      <c r="AW121" s="2247"/>
      <c r="AX121" s="2248"/>
      <c r="AY121" s="2249"/>
      <c r="AZ121" s="2249"/>
      <c r="BA121" s="2238"/>
      <c r="BB121" s="2264"/>
      <c r="BD121" s="2252" t="s">
        <v>15</v>
      </c>
      <c r="BE121" s="2237"/>
      <c r="BF121" s="2237"/>
      <c r="BG121" s="2237"/>
      <c r="BH121" s="2237"/>
      <c r="BI121" s="2240"/>
      <c r="BJ121" s="2241"/>
      <c r="BK121" s="2239"/>
      <c r="BL121" s="2242"/>
      <c r="BM121" s="2250"/>
      <c r="BN121" s="2244"/>
      <c r="BO121" s="2244"/>
      <c r="BP121" s="2245"/>
      <c r="BQ121" s="2246"/>
      <c r="BR121" s="2247"/>
      <c r="BS121" s="2248"/>
      <c r="BT121" s="2249"/>
      <c r="BU121" s="2249"/>
      <c r="BV121" s="2238"/>
      <c r="BW121" s="2264"/>
      <c r="BY121" s="3">
        <v>1</v>
      </c>
    </row>
    <row r="122" spans="2:77" ht="21" customHeight="1">
      <c r="B122" s="2265" t="str" cm="1">
        <f t="array" ref="B122">SUMPRODUCT(--(D122:J122&lt;&gt;""), LEN(TRIM(SUBSTITUTE(D122:J122, CHAR(160), "")))) &amp; " Car."</f>
        <v>0 Car.</v>
      </c>
      <c r="C122" s="1376" t="str">
        <f>IF(ISBLANK(D122),"",LARGE(C13:C121,1)+1)</f>
        <v/>
      </c>
      <c r="D122" s="1833"/>
      <c r="E122" s="1810"/>
      <c r="F122" s="1810"/>
      <c r="G122" s="1810"/>
      <c r="H122" s="1810"/>
      <c r="I122" s="1810"/>
      <c r="J122" s="1810"/>
      <c r="K122" s="1810"/>
      <c r="L122" s="1811"/>
      <c r="M122" s="9"/>
      <c r="N122" s="2252" t="s">
        <v>15</v>
      </c>
      <c r="O122" s="2237"/>
      <c r="P122" s="2237"/>
      <c r="Q122" s="2237"/>
      <c r="R122" s="2237"/>
      <c r="S122" s="2240"/>
      <c r="T122" s="2241"/>
      <c r="U122" s="2239"/>
      <c r="V122" s="2242"/>
      <c r="W122" s="2250"/>
      <c r="X122" s="2244"/>
      <c r="Y122" s="2244"/>
      <c r="Z122" s="2245"/>
      <c r="AA122" s="2246"/>
      <c r="AB122" s="2247"/>
      <c r="AC122" s="2248"/>
      <c r="AD122" s="2249"/>
      <c r="AE122" s="2249"/>
      <c r="AF122" s="2238"/>
      <c r="AG122" s="2264"/>
      <c r="AH122" s="918"/>
      <c r="AI122" s="2252" t="s">
        <v>15</v>
      </c>
      <c r="AJ122" s="2237"/>
      <c r="AK122" s="2237"/>
      <c r="AL122" s="2237"/>
      <c r="AM122" s="2237"/>
      <c r="AN122" s="2240"/>
      <c r="AO122" s="2241"/>
      <c r="AP122" s="2239"/>
      <c r="AQ122" s="2242"/>
      <c r="AR122" s="2250"/>
      <c r="AS122" s="2244"/>
      <c r="AT122" s="2244"/>
      <c r="AU122" s="2245"/>
      <c r="AV122" s="2246"/>
      <c r="AW122" s="2247"/>
      <c r="AX122" s="2248"/>
      <c r="AY122" s="2249"/>
      <c r="AZ122" s="2249"/>
      <c r="BA122" s="2238"/>
      <c r="BB122" s="2264"/>
      <c r="BD122" s="2252" t="s">
        <v>15</v>
      </c>
      <c r="BE122" s="2237"/>
      <c r="BF122" s="2237"/>
      <c r="BG122" s="2237"/>
      <c r="BH122" s="2237"/>
      <c r="BI122" s="2240"/>
      <c r="BJ122" s="2241"/>
      <c r="BK122" s="2239"/>
      <c r="BL122" s="2242"/>
      <c r="BM122" s="2250"/>
      <c r="BN122" s="2244"/>
      <c r="BO122" s="2244"/>
      <c r="BP122" s="2245"/>
      <c r="BQ122" s="2246"/>
      <c r="BR122" s="2247"/>
      <c r="BS122" s="2248"/>
      <c r="BT122" s="2249"/>
      <c r="BU122" s="2249"/>
      <c r="BV122" s="2238"/>
      <c r="BW122" s="2264"/>
      <c r="BY122" s="3">
        <v>1</v>
      </c>
    </row>
    <row r="123" spans="2:77" ht="21" customHeight="1">
      <c r="B123" s="2265" t="str" cm="1">
        <f t="array" ref="B123">SUMPRODUCT(--(D123:J123&lt;&gt;""), LEN(TRIM(SUBSTITUTE(D123:J123, CHAR(160), "")))) &amp; " Car."</f>
        <v>0 Car.</v>
      </c>
      <c r="C123" s="1376" t="str">
        <f>IF(ISBLANK(D123),"",LARGE(C13:C122,1)+1)</f>
        <v/>
      </c>
      <c r="D123" s="1833"/>
      <c r="E123" s="1810"/>
      <c r="F123" s="1810"/>
      <c r="G123" s="1810"/>
      <c r="H123" s="1810"/>
      <c r="I123" s="1810"/>
      <c r="J123" s="1810"/>
      <c r="K123" s="1810"/>
      <c r="L123" s="1811"/>
      <c r="M123" s="9"/>
      <c r="N123" s="2252" t="s">
        <v>15</v>
      </c>
      <c r="O123" s="2237"/>
      <c r="P123" s="2237"/>
      <c r="Q123" s="2237"/>
      <c r="R123" s="2237"/>
      <c r="S123" s="2240"/>
      <c r="T123" s="2241"/>
      <c r="U123" s="2239"/>
      <c r="V123" s="2242"/>
      <c r="W123" s="2250"/>
      <c r="X123" s="2244"/>
      <c r="Y123" s="2244"/>
      <c r="Z123" s="2245"/>
      <c r="AA123" s="2246"/>
      <c r="AB123" s="2247"/>
      <c r="AC123" s="2248"/>
      <c r="AD123" s="2249"/>
      <c r="AE123" s="2249"/>
      <c r="AF123" s="2238"/>
      <c r="AG123" s="2264"/>
      <c r="AH123" s="918"/>
      <c r="AI123" s="2252" t="s">
        <v>15</v>
      </c>
      <c r="AJ123" s="2237"/>
      <c r="AK123" s="2237"/>
      <c r="AL123" s="2237"/>
      <c r="AM123" s="2237"/>
      <c r="AN123" s="2240"/>
      <c r="AO123" s="2241"/>
      <c r="AP123" s="2239"/>
      <c r="AQ123" s="2242"/>
      <c r="AR123" s="2250"/>
      <c r="AS123" s="2244"/>
      <c r="AT123" s="2244"/>
      <c r="AU123" s="2245"/>
      <c r="AV123" s="2246"/>
      <c r="AW123" s="2247"/>
      <c r="AX123" s="2248"/>
      <c r="AY123" s="2249"/>
      <c r="AZ123" s="2249"/>
      <c r="BA123" s="2238"/>
      <c r="BB123" s="2264"/>
      <c r="BD123" s="2252" t="s">
        <v>15</v>
      </c>
      <c r="BE123" s="2237"/>
      <c r="BF123" s="2237"/>
      <c r="BG123" s="2237"/>
      <c r="BH123" s="2237"/>
      <c r="BI123" s="2240"/>
      <c r="BJ123" s="2241"/>
      <c r="BK123" s="2239"/>
      <c r="BL123" s="2242"/>
      <c r="BM123" s="2250"/>
      <c r="BN123" s="2244"/>
      <c r="BO123" s="2244"/>
      <c r="BP123" s="2245"/>
      <c r="BQ123" s="2246"/>
      <c r="BR123" s="2247"/>
      <c r="BS123" s="2248"/>
      <c r="BT123" s="2249"/>
      <c r="BU123" s="2249"/>
      <c r="BV123" s="2238"/>
      <c r="BW123" s="2264"/>
      <c r="BY123" s="3">
        <v>1</v>
      </c>
    </row>
    <row r="124" spans="2:77" ht="21" customHeight="1">
      <c r="B124" s="2265" t="str" cm="1">
        <f t="array" ref="B124">SUMPRODUCT(--(D124:J124&lt;&gt;""), LEN(TRIM(SUBSTITUTE(D124:J124, CHAR(160), "")))) &amp; " Car."</f>
        <v>0 Car.</v>
      </c>
      <c r="C124" s="1376" t="str">
        <f>IF(ISBLANK(D124),"",LARGE(C13:C123,1)+1)</f>
        <v/>
      </c>
      <c r="D124" s="1833"/>
      <c r="E124" s="1810"/>
      <c r="F124" s="1810"/>
      <c r="G124" s="1810"/>
      <c r="H124" s="1810"/>
      <c r="I124" s="1810"/>
      <c r="J124" s="1810"/>
      <c r="K124" s="1810"/>
      <c r="L124" s="1811"/>
      <c r="M124" s="9"/>
      <c r="N124" s="2252" t="s">
        <v>15</v>
      </c>
      <c r="O124" s="2237"/>
      <c r="P124" s="2237"/>
      <c r="Q124" s="2237"/>
      <c r="R124" s="2237"/>
      <c r="S124" s="2240"/>
      <c r="T124" s="2241"/>
      <c r="U124" s="2239"/>
      <c r="V124" s="2242"/>
      <c r="W124" s="2250"/>
      <c r="X124" s="2244"/>
      <c r="Y124" s="2244"/>
      <c r="Z124" s="2245"/>
      <c r="AA124" s="2246"/>
      <c r="AB124" s="2247"/>
      <c r="AC124" s="2248"/>
      <c r="AD124" s="2249"/>
      <c r="AE124" s="2249"/>
      <c r="AF124" s="2238"/>
      <c r="AG124" s="2264"/>
      <c r="AH124" s="918"/>
      <c r="AI124" s="2252" t="s">
        <v>15</v>
      </c>
      <c r="AJ124" s="2237"/>
      <c r="AK124" s="2237"/>
      <c r="AL124" s="2237"/>
      <c r="AM124" s="2237"/>
      <c r="AN124" s="2240"/>
      <c r="AO124" s="2241"/>
      <c r="AP124" s="2239"/>
      <c r="AQ124" s="2242"/>
      <c r="AR124" s="2250"/>
      <c r="AS124" s="2244"/>
      <c r="AT124" s="2244"/>
      <c r="AU124" s="2245"/>
      <c r="AV124" s="2246"/>
      <c r="AW124" s="2247"/>
      <c r="AX124" s="2248"/>
      <c r="AY124" s="2249"/>
      <c r="AZ124" s="2249"/>
      <c r="BA124" s="2238"/>
      <c r="BB124" s="2264"/>
      <c r="BC124" s="918"/>
      <c r="BD124" s="2252" t="s">
        <v>15</v>
      </c>
      <c r="BE124" s="2237"/>
      <c r="BF124" s="2237"/>
      <c r="BG124" s="2237"/>
      <c r="BH124" s="2237"/>
      <c r="BI124" s="2240"/>
      <c r="BJ124" s="2241"/>
      <c r="BK124" s="2239"/>
      <c r="BL124" s="2242"/>
      <c r="BM124" s="2250"/>
      <c r="BN124" s="2244"/>
      <c r="BO124" s="2244"/>
      <c r="BP124" s="2245"/>
      <c r="BQ124" s="2246"/>
      <c r="BR124" s="2247"/>
      <c r="BS124" s="2248"/>
      <c r="BT124" s="2249"/>
      <c r="BU124" s="2249"/>
      <c r="BV124" s="2238"/>
      <c r="BW124" s="2264"/>
      <c r="BY124" s="3">
        <v>1</v>
      </c>
    </row>
    <row r="125" spans="2:77" ht="21" customHeight="1">
      <c r="B125" s="2265" t="str" cm="1">
        <f t="array" ref="B125">SUMPRODUCT(--(D125:J125&lt;&gt;""), LEN(TRIM(SUBSTITUTE(D125:J125, CHAR(160), "")))) &amp; " Car."</f>
        <v>0 Car.</v>
      </c>
      <c r="C125" s="1376" t="str">
        <f>IF(ISBLANK(D125),"",LARGE(C13:C124,1)+1)</f>
        <v/>
      </c>
      <c r="D125" s="1833"/>
      <c r="E125" s="1810"/>
      <c r="F125" s="1810"/>
      <c r="G125" s="1810"/>
      <c r="H125" s="1810"/>
      <c r="I125" s="1810"/>
      <c r="J125" s="1810"/>
      <c r="K125" s="1810"/>
      <c r="L125" s="1811"/>
      <c r="M125" s="9"/>
      <c r="N125" s="2252" t="s">
        <v>15</v>
      </c>
      <c r="O125" s="2237"/>
      <c r="P125" s="2237"/>
      <c r="Q125" s="2237"/>
      <c r="R125" s="2237"/>
      <c r="S125" s="2240"/>
      <c r="T125" s="2241"/>
      <c r="U125" s="2239"/>
      <c r="V125" s="2242"/>
      <c r="W125" s="2250"/>
      <c r="X125" s="2244"/>
      <c r="Y125" s="2244"/>
      <c r="Z125" s="2245"/>
      <c r="AA125" s="2246"/>
      <c r="AB125" s="2247"/>
      <c r="AC125" s="2248"/>
      <c r="AD125" s="2249"/>
      <c r="AE125" s="2249"/>
      <c r="AF125" s="2238"/>
      <c r="AG125" s="2264"/>
      <c r="AH125" s="918"/>
      <c r="AI125" s="2252" t="s">
        <v>15</v>
      </c>
      <c r="AJ125" s="2237"/>
      <c r="AK125" s="2237"/>
      <c r="AL125" s="2237"/>
      <c r="AM125" s="2237"/>
      <c r="AN125" s="2240"/>
      <c r="AO125" s="2241"/>
      <c r="AP125" s="2239"/>
      <c r="AQ125" s="2242"/>
      <c r="AR125" s="2250"/>
      <c r="AS125" s="2244"/>
      <c r="AT125" s="2244"/>
      <c r="AU125" s="2245"/>
      <c r="AV125" s="2246"/>
      <c r="AW125" s="2247"/>
      <c r="AX125" s="2248"/>
      <c r="AY125" s="2249"/>
      <c r="AZ125" s="2249"/>
      <c r="BA125" s="2238"/>
      <c r="BB125" s="2264"/>
      <c r="BC125" s="918"/>
      <c r="BD125" s="2252" t="s">
        <v>15</v>
      </c>
      <c r="BE125" s="2237"/>
      <c r="BF125" s="2237"/>
      <c r="BG125" s="2237"/>
      <c r="BH125" s="2237"/>
      <c r="BI125" s="2240"/>
      <c r="BJ125" s="2241"/>
      <c r="BK125" s="2239"/>
      <c r="BL125" s="2242"/>
      <c r="BM125" s="2250"/>
      <c r="BN125" s="2244"/>
      <c r="BO125" s="2244"/>
      <c r="BP125" s="2245"/>
      <c r="BQ125" s="2246"/>
      <c r="BR125" s="2247"/>
      <c r="BS125" s="2248"/>
      <c r="BT125" s="2249"/>
      <c r="BU125" s="2249"/>
      <c r="BV125" s="2238"/>
      <c r="BW125" s="2264"/>
      <c r="BY125" s="3">
        <v>1</v>
      </c>
    </row>
    <row r="126" spans="2:77" ht="21" customHeight="1">
      <c r="B126" s="2265" t="str" cm="1">
        <f t="array" ref="B126">SUMPRODUCT(--(D126:J126&lt;&gt;""), LEN(TRIM(SUBSTITUTE(D126:J126, CHAR(160), "")))) &amp; " Car."</f>
        <v>0 Car.</v>
      </c>
      <c r="C126" s="1376" t="str">
        <f>IF(ISBLANK(D126),"",LARGE(C13:C125,1)+1)</f>
        <v/>
      </c>
      <c r="D126" s="1833"/>
      <c r="E126" s="1810"/>
      <c r="F126" s="1810"/>
      <c r="G126" s="1810"/>
      <c r="H126" s="1810"/>
      <c r="I126" s="1810"/>
      <c r="J126" s="1810"/>
      <c r="K126" s="1810"/>
      <c r="L126" s="1811"/>
      <c r="M126" s="9"/>
      <c r="N126" s="2252" t="s">
        <v>15</v>
      </c>
      <c r="O126" s="2237"/>
      <c r="P126" s="2237"/>
      <c r="Q126" s="2237"/>
      <c r="R126" s="2237"/>
      <c r="S126" s="2240"/>
      <c r="T126" s="2241"/>
      <c r="U126" s="2239"/>
      <c r="V126" s="2242"/>
      <c r="W126" s="2250"/>
      <c r="X126" s="2244"/>
      <c r="Y126" s="2244"/>
      <c r="Z126" s="2245"/>
      <c r="AA126" s="2246"/>
      <c r="AB126" s="2247"/>
      <c r="AC126" s="2248"/>
      <c r="AD126" s="2249"/>
      <c r="AE126" s="2249"/>
      <c r="AF126" s="2238"/>
      <c r="AG126" s="2264"/>
      <c r="AH126" s="918"/>
      <c r="AI126" s="2252" t="s">
        <v>15</v>
      </c>
      <c r="AJ126" s="2237"/>
      <c r="AK126" s="2237"/>
      <c r="AL126" s="2237"/>
      <c r="AM126" s="2237"/>
      <c r="AN126" s="2240"/>
      <c r="AO126" s="2241"/>
      <c r="AP126" s="2239"/>
      <c r="AQ126" s="2242"/>
      <c r="AR126" s="2250"/>
      <c r="AS126" s="2244"/>
      <c r="AT126" s="2244"/>
      <c r="AU126" s="2245"/>
      <c r="AV126" s="2246"/>
      <c r="AW126" s="2247"/>
      <c r="AX126" s="2248"/>
      <c r="AY126" s="2249"/>
      <c r="AZ126" s="2249"/>
      <c r="BA126" s="2238"/>
      <c r="BB126" s="2264"/>
      <c r="BC126" s="918"/>
      <c r="BD126" s="2252" t="s">
        <v>15</v>
      </c>
      <c r="BE126" s="2237"/>
      <c r="BF126" s="2237"/>
      <c r="BG126" s="2237"/>
      <c r="BH126" s="2237"/>
      <c r="BI126" s="2240"/>
      <c r="BJ126" s="2241"/>
      <c r="BK126" s="2239"/>
      <c r="BL126" s="2242"/>
      <c r="BM126" s="2250"/>
      <c r="BN126" s="2244"/>
      <c r="BO126" s="2244"/>
      <c r="BP126" s="2245"/>
      <c r="BQ126" s="2246"/>
      <c r="BR126" s="2247"/>
      <c r="BS126" s="2248"/>
      <c r="BT126" s="2249"/>
      <c r="BU126" s="2249"/>
      <c r="BV126" s="2238"/>
      <c r="BW126" s="2264"/>
      <c r="BY126" s="3">
        <v>1</v>
      </c>
    </row>
    <row r="127" spans="2:77" ht="21" customHeight="1">
      <c r="B127" s="2265" t="str" cm="1">
        <f t="array" ref="B127">SUMPRODUCT(--(D127:J127&lt;&gt;""), LEN(TRIM(SUBSTITUTE(D127:J127, CHAR(160), "")))) &amp; " Car."</f>
        <v>0 Car.</v>
      </c>
      <c r="C127" s="1376" t="str">
        <f>IF(ISBLANK(D127),"",LARGE(C13:C126,1)+1)</f>
        <v/>
      </c>
      <c r="D127" s="1833"/>
      <c r="E127" s="1810"/>
      <c r="F127" s="1810"/>
      <c r="G127" s="1810"/>
      <c r="H127" s="1810"/>
      <c r="I127" s="1810"/>
      <c r="J127" s="1810"/>
      <c r="K127" s="1810"/>
      <c r="L127" s="1811"/>
      <c r="M127" s="9"/>
      <c r="N127" s="2252" t="s">
        <v>15</v>
      </c>
      <c r="O127" s="2237"/>
      <c r="P127" s="2237"/>
      <c r="Q127" s="2237"/>
      <c r="R127" s="2237"/>
      <c r="S127" s="2240"/>
      <c r="T127" s="2241"/>
      <c r="U127" s="2239"/>
      <c r="V127" s="2242"/>
      <c r="W127" s="2250"/>
      <c r="X127" s="2244"/>
      <c r="Y127" s="2244"/>
      <c r="Z127" s="2245"/>
      <c r="AA127" s="2246"/>
      <c r="AB127" s="2247"/>
      <c r="AC127" s="2248"/>
      <c r="AD127" s="2249"/>
      <c r="AE127" s="2249"/>
      <c r="AF127" s="2238"/>
      <c r="AG127" s="2264"/>
      <c r="AH127" s="918"/>
      <c r="AI127" s="2252" t="s">
        <v>15</v>
      </c>
      <c r="AJ127" s="2237"/>
      <c r="AK127" s="2237"/>
      <c r="AL127" s="2237"/>
      <c r="AM127" s="2237"/>
      <c r="AN127" s="2240"/>
      <c r="AO127" s="2241"/>
      <c r="AP127" s="2239"/>
      <c r="AQ127" s="2242"/>
      <c r="AR127" s="2250"/>
      <c r="AS127" s="2244"/>
      <c r="AT127" s="2244"/>
      <c r="AU127" s="2245"/>
      <c r="AV127" s="2246"/>
      <c r="AW127" s="2247"/>
      <c r="AX127" s="2248"/>
      <c r="AY127" s="2249"/>
      <c r="AZ127" s="2249"/>
      <c r="BA127" s="2238"/>
      <c r="BB127" s="2264"/>
      <c r="BC127" s="918"/>
      <c r="BD127" s="2252" t="s">
        <v>15</v>
      </c>
      <c r="BE127" s="2237"/>
      <c r="BF127" s="2237"/>
      <c r="BG127" s="2237"/>
      <c r="BH127" s="2237"/>
      <c r="BI127" s="2240"/>
      <c r="BJ127" s="2241"/>
      <c r="BK127" s="2239"/>
      <c r="BL127" s="2242"/>
      <c r="BM127" s="2250"/>
      <c r="BN127" s="2244"/>
      <c r="BO127" s="2244"/>
      <c r="BP127" s="2245"/>
      <c r="BQ127" s="2246"/>
      <c r="BR127" s="2247"/>
      <c r="BS127" s="2248"/>
      <c r="BT127" s="2249"/>
      <c r="BU127" s="2249"/>
      <c r="BV127" s="2238"/>
      <c r="BW127" s="2264"/>
      <c r="BY127" s="3">
        <v>1</v>
      </c>
    </row>
    <row r="128" spans="2:77" ht="21" customHeight="1">
      <c r="B128" s="2265" t="str" cm="1">
        <f t="array" ref="B128">SUMPRODUCT(--(D128:J128&lt;&gt;""), LEN(TRIM(SUBSTITUTE(D128:J128, CHAR(160), "")))) &amp; " Car."</f>
        <v>0 Car.</v>
      </c>
      <c r="C128" s="1376" t="str">
        <f>IF(ISBLANK(D128),"",LARGE(C13:C127,1)+1)</f>
        <v/>
      </c>
      <c r="D128" s="1833"/>
      <c r="E128" s="1810"/>
      <c r="F128" s="1810"/>
      <c r="G128" s="1810"/>
      <c r="H128" s="1810"/>
      <c r="I128" s="1810"/>
      <c r="J128" s="1810"/>
      <c r="K128" s="1810"/>
      <c r="L128" s="1811"/>
      <c r="M128" s="9"/>
      <c r="N128" s="2252" t="s">
        <v>15</v>
      </c>
      <c r="O128" s="2237"/>
      <c r="P128" s="2237"/>
      <c r="Q128" s="2237"/>
      <c r="R128" s="2237"/>
      <c r="S128" s="2240"/>
      <c r="T128" s="2241"/>
      <c r="U128" s="2239"/>
      <c r="V128" s="2242"/>
      <c r="W128" s="2250"/>
      <c r="X128" s="2244"/>
      <c r="Y128" s="2244"/>
      <c r="Z128" s="2245"/>
      <c r="AA128" s="2246"/>
      <c r="AB128" s="2247"/>
      <c r="AC128" s="2248"/>
      <c r="AD128" s="2249"/>
      <c r="AE128" s="2249"/>
      <c r="AF128" s="2238"/>
      <c r="AG128" s="2264"/>
      <c r="AH128" s="918"/>
      <c r="AI128" s="2252" t="s">
        <v>15</v>
      </c>
      <c r="AJ128" s="2237"/>
      <c r="AK128" s="2237"/>
      <c r="AL128" s="2237"/>
      <c r="AM128" s="2237"/>
      <c r="AN128" s="2240"/>
      <c r="AO128" s="2241"/>
      <c r="AP128" s="2239"/>
      <c r="AQ128" s="2242"/>
      <c r="AR128" s="2250"/>
      <c r="AS128" s="2244"/>
      <c r="AT128" s="2244"/>
      <c r="AU128" s="2245"/>
      <c r="AV128" s="2246"/>
      <c r="AW128" s="2247"/>
      <c r="AX128" s="2248"/>
      <c r="AY128" s="2249"/>
      <c r="AZ128" s="2249"/>
      <c r="BA128" s="2238"/>
      <c r="BB128" s="2264"/>
      <c r="BC128" s="918"/>
      <c r="BD128" s="2252" t="s">
        <v>15</v>
      </c>
      <c r="BE128" s="2237"/>
      <c r="BF128" s="2237"/>
      <c r="BG128" s="2237"/>
      <c r="BH128" s="2237"/>
      <c r="BI128" s="2240"/>
      <c r="BJ128" s="2241"/>
      <c r="BK128" s="2239"/>
      <c r="BL128" s="2242"/>
      <c r="BM128" s="2250"/>
      <c r="BN128" s="2244"/>
      <c r="BO128" s="2244"/>
      <c r="BP128" s="2245"/>
      <c r="BQ128" s="2246"/>
      <c r="BR128" s="2247"/>
      <c r="BS128" s="2248"/>
      <c r="BT128" s="2249"/>
      <c r="BU128" s="2249"/>
      <c r="BV128" s="2238"/>
      <c r="BW128" s="2264"/>
      <c r="BY128" s="3">
        <v>1</v>
      </c>
    </row>
    <row r="129" spans="2:77" ht="21" customHeight="1">
      <c r="B129" s="2265" t="str" cm="1">
        <f t="array" ref="B129">SUMPRODUCT(--(D129:J129&lt;&gt;""), LEN(TRIM(SUBSTITUTE(D129:J129, CHAR(160), "")))) &amp; " Car."</f>
        <v>0 Car.</v>
      </c>
      <c r="C129" s="1376" t="str">
        <f>IF(ISBLANK(D129),"",LARGE(C13:C128,1)+1)</f>
        <v/>
      </c>
      <c r="D129" s="1833"/>
      <c r="E129" s="1810"/>
      <c r="F129" s="1810"/>
      <c r="G129" s="1810"/>
      <c r="H129" s="1810"/>
      <c r="I129" s="1810"/>
      <c r="J129" s="1810"/>
      <c r="K129" s="1810"/>
      <c r="L129" s="1811"/>
      <c r="M129" s="9"/>
      <c r="N129" s="2252" t="s">
        <v>15</v>
      </c>
      <c r="O129" s="2237"/>
      <c r="P129" s="2237"/>
      <c r="Q129" s="2237"/>
      <c r="R129" s="2237"/>
      <c r="S129" s="2240"/>
      <c r="T129" s="2241"/>
      <c r="U129" s="2239"/>
      <c r="V129" s="2242"/>
      <c r="W129" s="2250"/>
      <c r="X129" s="2244"/>
      <c r="Y129" s="2244"/>
      <c r="Z129" s="2245"/>
      <c r="AA129" s="2246"/>
      <c r="AB129" s="2247"/>
      <c r="AC129" s="2248"/>
      <c r="AD129" s="2249"/>
      <c r="AE129" s="2249"/>
      <c r="AF129" s="2238"/>
      <c r="AG129" s="2264"/>
      <c r="AH129" s="918"/>
      <c r="AI129" s="2252" t="s">
        <v>15</v>
      </c>
      <c r="AJ129" s="2237"/>
      <c r="AK129" s="2237"/>
      <c r="AL129" s="2237"/>
      <c r="AM129" s="2237"/>
      <c r="AN129" s="2240"/>
      <c r="AO129" s="2241"/>
      <c r="AP129" s="2239"/>
      <c r="AQ129" s="2242"/>
      <c r="AR129" s="2250"/>
      <c r="AS129" s="2244"/>
      <c r="AT129" s="2244"/>
      <c r="AU129" s="2245"/>
      <c r="AV129" s="2246"/>
      <c r="AW129" s="2247"/>
      <c r="AX129" s="2248"/>
      <c r="AY129" s="2249"/>
      <c r="AZ129" s="2249"/>
      <c r="BA129" s="2238"/>
      <c r="BB129" s="2264"/>
      <c r="BC129" s="918"/>
      <c r="BD129" s="2252" t="s">
        <v>15</v>
      </c>
      <c r="BE129" s="2237"/>
      <c r="BF129" s="2237"/>
      <c r="BG129" s="2237"/>
      <c r="BH129" s="2237"/>
      <c r="BI129" s="2240"/>
      <c r="BJ129" s="2241"/>
      <c r="BK129" s="2239"/>
      <c r="BL129" s="2242"/>
      <c r="BM129" s="2250"/>
      <c r="BN129" s="2244"/>
      <c r="BO129" s="2244"/>
      <c r="BP129" s="2245"/>
      <c r="BQ129" s="2246"/>
      <c r="BR129" s="2247"/>
      <c r="BS129" s="2248"/>
      <c r="BT129" s="2249"/>
      <c r="BU129" s="2249"/>
      <c r="BV129" s="2238"/>
      <c r="BW129" s="2264"/>
      <c r="BY129" s="3">
        <v>1</v>
      </c>
    </row>
    <row r="130" spans="2:77" ht="21" customHeight="1">
      <c r="B130" s="2265" t="str" cm="1">
        <f t="array" ref="B130">SUMPRODUCT(--(D130:J130&lt;&gt;""), LEN(TRIM(SUBSTITUTE(D130:J130, CHAR(160), "")))) &amp; " Car."</f>
        <v>0 Car.</v>
      </c>
      <c r="C130" s="1376" t="str">
        <f>IF(ISBLANK(D130),"",LARGE(C13:C129,1)+1)</f>
        <v/>
      </c>
      <c r="D130" s="1833"/>
      <c r="E130" s="1810"/>
      <c r="F130" s="1810"/>
      <c r="G130" s="1810"/>
      <c r="H130" s="1810"/>
      <c r="I130" s="1810"/>
      <c r="J130" s="1810"/>
      <c r="K130" s="1810"/>
      <c r="L130" s="1811"/>
      <c r="M130" s="9"/>
      <c r="N130" s="2252" t="s">
        <v>15</v>
      </c>
      <c r="O130" s="2237"/>
      <c r="P130" s="2237"/>
      <c r="Q130" s="2237"/>
      <c r="R130" s="2237"/>
      <c r="S130" s="2240"/>
      <c r="T130" s="2241"/>
      <c r="U130" s="2239"/>
      <c r="V130" s="2242"/>
      <c r="W130" s="2250"/>
      <c r="X130" s="2244"/>
      <c r="Y130" s="2244"/>
      <c r="Z130" s="2245"/>
      <c r="AA130" s="2246"/>
      <c r="AB130" s="2247"/>
      <c r="AC130" s="2248"/>
      <c r="AD130" s="2249"/>
      <c r="AE130" s="2249"/>
      <c r="AF130" s="2238"/>
      <c r="AG130" s="2264"/>
      <c r="AH130" s="918"/>
      <c r="AI130" s="2252" t="s">
        <v>15</v>
      </c>
      <c r="AJ130" s="2237"/>
      <c r="AK130" s="2237"/>
      <c r="AL130" s="2237"/>
      <c r="AM130" s="2237"/>
      <c r="AN130" s="2240"/>
      <c r="AO130" s="2241"/>
      <c r="AP130" s="2239"/>
      <c r="AQ130" s="2242"/>
      <c r="AR130" s="2250"/>
      <c r="AS130" s="2244"/>
      <c r="AT130" s="2244"/>
      <c r="AU130" s="2245"/>
      <c r="AV130" s="2246"/>
      <c r="AW130" s="2247"/>
      <c r="AX130" s="2248"/>
      <c r="AY130" s="2249"/>
      <c r="AZ130" s="2249"/>
      <c r="BA130" s="2238"/>
      <c r="BB130" s="2264"/>
      <c r="BC130" s="918"/>
      <c r="BD130" s="2252" t="s">
        <v>15</v>
      </c>
      <c r="BE130" s="2237"/>
      <c r="BF130" s="2237"/>
      <c r="BG130" s="2237"/>
      <c r="BH130" s="2237"/>
      <c r="BI130" s="2240"/>
      <c r="BJ130" s="2241"/>
      <c r="BK130" s="2239"/>
      <c r="BL130" s="2242"/>
      <c r="BM130" s="2250"/>
      <c r="BN130" s="2244"/>
      <c r="BO130" s="2244"/>
      <c r="BP130" s="2245"/>
      <c r="BQ130" s="2246"/>
      <c r="BR130" s="2247"/>
      <c r="BS130" s="2248"/>
      <c r="BT130" s="2249"/>
      <c r="BU130" s="2249"/>
      <c r="BV130" s="2238"/>
      <c r="BW130" s="2264"/>
      <c r="BY130" s="3">
        <v>1</v>
      </c>
    </row>
    <row r="131" spans="2:77" ht="21" customHeight="1">
      <c r="B131" s="2265" t="str" cm="1">
        <f t="array" ref="B131">SUMPRODUCT(--(D131:J131&lt;&gt;""), LEN(TRIM(SUBSTITUTE(D131:J131, CHAR(160), "")))) &amp; " Car."</f>
        <v>0 Car.</v>
      </c>
      <c r="C131" s="1376" t="str">
        <f>IF(ISBLANK(D131),"",LARGE(C13:C130,1)+1)</f>
        <v/>
      </c>
      <c r="D131" s="1833"/>
      <c r="E131" s="1810"/>
      <c r="F131" s="1810"/>
      <c r="G131" s="1810"/>
      <c r="H131" s="1810"/>
      <c r="I131" s="1810"/>
      <c r="J131" s="1810"/>
      <c r="K131" s="1810"/>
      <c r="L131" s="1811"/>
      <c r="M131" s="9"/>
      <c r="N131" s="2252" t="s">
        <v>15</v>
      </c>
      <c r="O131" s="2237"/>
      <c r="P131" s="2237"/>
      <c r="Q131" s="2237"/>
      <c r="R131" s="2237"/>
      <c r="S131" s="2240"/>
      <c r="T131" s="2241"/>
      <c r="U131" s="2239"/>
      <c r="V131" s="2242"/>
      <c r="W131" s="2250"/>
      <c r="X131" s="2244"/>
      <c r="Y131" s="2244"/>
      <c r="Z131" s="2245"/>
      <c r="AA131" s="2246"/>
      <c r="AB131" s="2247"/>
      <c r="AC131" s="2248"/>
      <c r="AD131" s="2249"/>
      <c r="AE131" s="2249"/>
      <c r="AF131" s="2238"/>
      <c r="AG131" s="2264"/>
      <c r="AH131" s="918"/>
      <c r="AI131" s="2252" t="s">
        <v>15</v>
      </c>
      <c r="AJ131" s="2237"/>
      <c r="AK131" s="2237"/>
      <c r="AL131" s="2237"/>
      <c r="AM131" s="2237"/>
      <c r="AN131" s="2240"/>
      <c r="AO131" s="2241"/>
      <c r="AP131" s="2239"/>
      <c r="AQ131" s="2242"/>
      <c r="AR131" s="2250"/>
      <c r="AS131" s="2244"/>
      <c r="AT131" s="2244"/>
      <c r="AU131" s="2245"/>
      <c r="AV131" s="2246"/>
      <c r="AW131" s="2247"/>
      <c r="AX131" s="2248"/>
      <c r="AY131" s="2249"/>
      <c r="AZ131" s="2249"/>
      <c r="BA131" s="2238"/>
      <c r="BB131" s="2264"/>
      <c r="BC131" s="918"/>
      <c r="BD131" s="2252" t="s">
        <v>15</v>
      </c>
      <c r="BE131" s="2237"/>
      <c r="BF131" s="2237"/>
      <c r="BG131" s="2237"/>
      <c r="BH131" s="2237"/>
      <c r="BI131" s="2240"/>
      <c r="BJ131" s="2241"/>
      <c r="BK131" s="2239"/>
      <c r="BL131" s="2242"/>
      <c r="BM131" s="2250"/>
      <c r="BN131" s="2244"/>
      <c r="BO131" s="2244"/>
      <c r="BP131" s="2245"/>
      <c r="BQ131" s="2246"/>
      <c r="BR131" s="2247"/>
      <c r="BS131" s="2248"/>
      <c r="BT131" s="2249"/>
      <c r="BU131" s="2249"/>
      <c r="BV131" s="2238"/>
      <c r="BW131" s="2264"/>
      <c r="BY131" s="3">
        <v>1</v>
      </c>
    </row>
    <row r="132" spans="2:77" ht="21" customHeight="1">
      <c r="B132" s="2265" t="str" cm="1">
        <f t="array" ref="B132">SUMPRODUCT(--(D132:J132&lt;&gt;""), LEN(TRIM(SUBSTITUTE(D132:J132, CHAR(160), "")))) &amp; " Car."</f>
        <v>0 Car.</v>
      </c>
      <c r="C132" s="1376" t="str">
        <f>IF(ISBLANK(D132),"",LARGE(C13:C131,1)+1)</f>
        <v/>
      </c>
      <c r="D132" s="1833"/>
      <c r="E132" s="1810"/>
      <c r="F132" s="1810"/>
      <c r="G132" s="1810"/>
      <c r="H132" s="1810"/>
      <c r="I132" s="1810"/>
      <c r="J132" s="1810"/>
      <c r="K132" s="1810"/>
      <c r="L132" s="1811"/>
      <c r="M132" s="9"/>
      <c r="N132" s="2252" t="s">
        <v>15</v>
      </c>
      <c r="O132" s="2237"/>
      <c r="P132" s="2237"/>
      <c r="Q132" s="2237"/>
      <c r="R132" s="2237"/>
      <c r="S132" s="2240"/>
      <c r="T132" s="2241"/>
      <c r="U132" s="2239"/>
      <c r="V132" s="2242"/>
      <c r="W132" s="2250"/>
      <c r="X132" s="2244"/>
      <c r="Y132" s="2244"/>
      <c r="Z132" s="2245"/>
      <c r="AA132" s="2246"/>
      <c r="AB132" s="2247"/>
      <c r="AC132" s="2248"/>
      <c r="AD132" s="2249"/>
      <c r="AE132" s="2249"/>
      <c r="AF132" s="2238"/>
      <c r="AG132" s="2264"/>
      <c r="AH132" s="918"/>
      <c r="AI132" s="2252" t="s">
        <v>15</v>
      </c>
      <c r="AJ132" s="2237"/>
      <c r="AK132" s="2237"/>
      <c r="AL132" s="2237"/>
      <c r="AM132" s="2237"/>
      <c r="AN132" s="2240"/>
      <c r="AO132" s="2241"/>
      <c r="AP132" s="2239"/>
      <c r="AQ132" s="2242"/>
      <c r="AR132" s="2250"/>
      <c r="AS132" s="2244"/>
      <c r="AT132" s="2244"/>
      <c r="AU132" s="2245"/>
      <c r="AV132" s="2246"/>
      <c r="AW132" s="2247"/>
      <c r="AX132" s="2248"/>
      <c r="AY132" s="2249"/>
      <c r="AZ132" s="2249"/>
      <c r="BA132" s="2238"/>
      <c r="BB132" s="2264"/>
      <c r="BC132" s="918"/>
      <c r="BD132" s="2252" t="s">
        <v>15</v>
      </c>
      <c r="BE132" s="2237"/>
      <c r="BF132" s="2237"/>
      <c r="BG132" s="2237"/>
      <c r="BH132" s="2237"/>
      <c r="BI132" s="2240"/>
      <c r="BJ132" s="2241"/>
      <c r="BK132" s="2239"/>
      <c r="BL132" s="2242"/>
      <c r="BM132" s="2250"/>
      <c r="BN132" s="2244"/>
      <c r="BO132" s="2244"/>
      <c r="BP132" s="2245"/>
      <c r="BQ132" s="2246"/>
      <c r="BR132" s="2247"/>
      <c r="BS132" s="2248"/>
      <c r="BT132" s="2249"/>
      <c r="BU132" s="2249"/>
      <c r="BV132" s="2238"/>
      <c r="BW132" s="2264"/>
      <c r="BY132" s="3">
        <v>1</v>
      </c>
    </row>
    <row r="133" spans="2:77" ht="21" customHeight="1">
      <c r="B133" s="2265" t="str" cm="1">
        <f t="array" ref="B133">SUMPRODUCT(--(D133:J133&lt;&gt;""), LEN(TRIM(SUBSTITUTE(D133:J133, CHAR(160), "")))) &amp; " Car."</f>
        <v>0 Car.</v>
      </c>
      <c r="C133" s="1376" t="str">
        <f>IF(ISBLANK(D133),"",LARGE(C13:C132,1)+1)</f>
        <v/>
      </c>
      <c r="D133" s="1833"/>
      <c r="E133" s="1810"/>
      <c r="F133" s="1810"/>
      <c r="G133" s="1810"/>
      <c r="H133" s="1810"/>
      <c r="I133" s="1810"/>
      <c r="J133" s="1810"/>
      <c r="K133" s="1810"/>
      <c r="L133" s="1811"/>
      <c r="M133" s="9"/>
      <c r="N133" s="2252" t="s">
        <v>15</v>
      </c>
      <c r="O133" s="2237"/>
      <c r="P133" s="2237"/>
      <c r="Q133" s="2237"/>
      <c r="R133" s="2237"/>
      <c r="S133" s="2240"/>
      <c r="T133" s="2241"/>
      <c r="U133" s="2239"/>
      <c r="V133" s="2242"/>
      <c r="W133" s="2250"/>
      <c r="X133" s="2244"/>
      <c r="Y133" s="2244"/>
      <c r="Z133" s="2245"/>
      <c r="AA133" s="2246"/>
      <c r="AB133" s="2247"/>
      <c r="AC133" s="2248"/>
      <c r="AD133" s="2249"/>
      <c r="AE133" s="2249"/>
      <c r="AF133" s="2238"/>
      <c r="AG133" s="2264"/>
      <c r="AH133" s="918"/>
      <c r="AI133" s="2252" t="s">
        <v>15</v>
      </c>
      <c r="AJ133" s="2237"/>
      <c r="AK133" s="2237"/>
      <c r="AL133" s="2237"/>
      <c r="AM133" s="2237"/>
      <c r="AN133" s="2240"/>
      <c r="AO133" s="2241"/>
      <c r="AP133" s="2239"/>
      <c r="AQ133" s="2242"/>
      <c r="AR133" s="2250"/>
      <c r="AS133" s="2244"/>
      <c r="AT133" s="2244"/>
      <c r="AU133" s="2245"/>
      <c r="AV133" s="2246"/>
      <c r="AW133" s="2247"/>
      <c r="AX133" s="2248"/>
      <c r="AY133" s="2249"/>
      <c r="AZ133" s="2249"/>
      <c r="BA133" s="2238"/>
      <c r="BB133" s="2264"/>
      <c r="BC133" s="918"/>
      <c r="BD133" s="2252" t="s">
        <v>15</v>
      </c>
      <c r="BE133" s="2237"/>
      <c r="BF133" s="2237"/>
      <c r="BG133" s="2237"/>
      <c r="BH133" s="2237"/>
      <c r="BI133" s="2240"/>
      <c r="BJ133" s="2241"/>
      <c r="BK133" s="2239"/>
      <c r="BL133" s="2242"/>
      <c r="BM133" s="2250"/>
      <c r="BN133" s="2244"/>
      <c r="BO133" s="2244"/>
      <c r="BP133" s="2245"/>
      <c r="BQ133" s="2246"/>
      <c r="BR133" s="2247"/>
      <c r="BS133" s="2248"/>
      <c r="BT133" s="2249"/>
      <c r="BU133" s="2249"/>
      <c r="BV133" s="2238"/>
      <c r="BW133" s="2264"/>
      <c r="BY133" s="3">
        <v>1</v>
      </c>
    </row>
    <row r="134" spans="2:77" ht="21" customHeight="1">
      <c r="B134" s="2265" t="str" cm="1">
        <f t="array" ref="B134">SUMPRODUCT(--(D134:J134&lt;&gt;""), LEN(TRIM(SUBSTITUTE(D134:J134, CHAR(160), "")))) &amp; " Car."</f>
        <v>0 Car.</v>
      </c>
      <c r="C134" s="1376" t="str">
        <f>IF(ISBLANK(D134),"",LARGE(C13:C133,1)+1)</f>
        <v/>
      </c>
      <c r="D134" s="1833"/>
      <c r="E134" s="1810"/>
      <c r="F134" s="1810"/>
      <c r="G134" s="1810"/>
      <c r="H134" s="1810"/>
      <c r="I134" s="1810"/>
      <c r="J134" s="1810"/>
      <c r="K134" s="1810"/>
      <c r="L134" s="1811"/>
      <c r="M134" s="9"/>
      <c r="N134" s="2252" t="s">
        <v>15</v>
      </c>
      <c r="O134" s="2237"/>
      <c r="P134" s="2237"/>
      <c r="Q134" s="2237"/>
      <c r="R134" s="2237"/>
      <c r="S134" s="2240"/>
      <c r="T134" s="2241"/>
      <c r="U134" s="2239"/>
      <c r="V134" s="2242"/>
      <c r="W134" s="2250"/>
      <c r="X134" s="2244"/>
      <c r="Y134" s="2244"/>
      <c r="Z134" s="2245"/>
      <c r="AA134" s="2246"/>
      <c r="AB134" s="2247"/>
      <c r="AC134" s="2248"/>
      <c r="AD134" s="2249"/>
      <c r="AE134" s="2249"/>
      <c r="AF134" s="2238"/>
      <c r="AG134" s="2264"/>
      <c r="AH134" s="918"/>
      <c r="AI134" s="2252" t="s">
        <v>15</v>
      </c>
      <c r="AJ134" s="2237"/>
      <c r="AK134" s="2237"/>
      <c r="AL134" s="2237"/>
      <c r="AM134" s="2237"/>
      <c r="AN134" s="2240"/>
      <c r="AO134" s="2241"/>
      <c r="AP134" s="2239"/>
      <c r="AQ134" s="2242"/>
      <c r="AR134" s="2250"/>
      <c r="AS134" s="2244"/>
      <c r="AT134" s="2244"/>
      <c r="AU134" s="2245"/>
      <c r="AV134" s="2246"/>
      <c r="AW134" s="2247"/>
      <c r="AX134" s="2248"/>
      <c r="AY134" s="2249"/>
      <c r="AZ134" s="2249"/>
      <c r="BA134" s="2238"/>
      <c r="BB134" s="2264"/>
      <c r="BC134" s="918"/>
      <c r="BD134" s="2252" t="s">
        <v>15</v>
      </c>
      <c r="BE134" s="2237"/>
      <c r="BF134" s="2237"/>
      <c r="BG134" s="2237"/>
      <c r="BH134" s="2237"/>
      <c r="BI134" s="2240"/>
      <c r="BJ134" s="2241"/>
      <c r="BK134" s="2239"/>
      <c r="BL134" s="2242"/>
      <c r="BM134" s="2250"/>
      <c r="BN134" s="2244"/>
      <c r="BO134" s="2244"/>
      <c r="BP134" s="2245"/>
      <c r="BQ134" s="2246"/>
      <c r="BR134" s="2247"/>
      <c r="BS134" s="2248"/>
      <c r="BT134" s="2249"/>
      <c r="BU134" s="2249"/>
      <c r="BV134" s="2238"/>
      <c r="BW134" s="2264"/>
      <c r="BY134" s="3">
        <v>1</v>
      </c>
    </row>
    <row r="135" spans="2:77" ht="21" customHeight="1">
      <c r="B135" s="2265" t="str" cm="1">
        <f t="array" ref="B135">SUMPRODUCT(--(D135:J135&lt;&gt;""), LEN(TRIM(SUBSTITUTE(D135:J135, CHAR(160), "")))) &amp; " Car."</f>
        <v>0 Car.</v>
      </c>
      <c r="C135" s="1376" t="str">
        <f>IF(ISBLANK(D135),"",LARGE(C13:C134,1)+1)</f>
        <v/>
      </c>
      <c r="D135" s="1833"/>
      <c r="E135" s="1810"/>
      <c r="F135" s="1810"/>
      <c r="G135" s="1810"/>
      <c r="H135" s="1810"/>
      <c r="I135" s="1810"/>
      <c r="J135" s="1810"/>
      <c r="K135" s="1810"/>
      <c r="L135" s="1811"/>
      <c r="M135" s="9"/>
      <c r="N135" s="2252" t="s">
        <v>15</v>
      </c>
      <c r="O135" s="2237"/>
      <c r="P135" s="2237"/>
      <c r="Q135" s="2237"/>
      <c r="R135" s="2237"/>
      <c r="S135" s="2240"/>
      <c r="T135" s="2241"/>
      <c r="U135" s="2239"/>
      <c r="V135" s="2242"/>
      <c r="W135" s="2250"/>
      <c r="X135" s="2244"/>
      <c r="Y135" s="2244"/>
      <c r="Z135" s="2245"/>
      <c r="AA135" s="2246"/>
      <c r="AB135" s="2247"/>
      <c r="AC135" s="2248"/>
      <c r="AD135" s="2249"/>
      <c r="AE135" s="2249"/>
      <c r="AF135" s="2238"/>
      <c r="AG135" s="2264"/>
      <c r="AH135" s="918"/>
      <c r="AI135" s="2252" t="s">
        <v>15</v>
      </c>
      <c r="AJ135" s="2237"/>
      <c r="AK135" s="2237"/>
      <c r="AL135" s="2237"/>
      <c r="AM135" s="2237"/>
      <c r="AN135" s="2240"/>
      <c r="AO135" s="2241"/>
      <c r="AP135" s="2239"/>
      <c r="AQ135" s="2242"/>
      <c r="AR135" s="2250"/>
      <c r="AS135" s="2244"/>
      <c r="AT135" s="2244"/>
      <c r="AU135" s="2245"/>
      <c r="AV135" s="2246"/>
      <c r="AW135" s="2247"/>
      <c r="AX135" s="2248"/>
      <c r="AY135" s="2249"/>
      <c r="AZ135" s="2249"/>
      <c r="BA135" s="2238"/>
      <c r="BB135" s="2264"/>
      <c r="BC135" s="918"/>
      <c r="BD135" s="2252" t="s">
        <v>15</v>
      </c>
      <c r="BE135" s="2237"/>
      <c r="BF135" s="2237"/>
      <c r="BG135" s="2237"/>
      <c r="BH135" s="2237"/>
      <c r="BI135" s="2240"/>
      <c r="BJ135" s="2241"/>
      <c r="BK135" s="2239"/>
      <c r="BL135" s="2242"/>
      <c r="BM135" s="2250"/>
      <c r="BN135" s="2244"/>
      <c r="BO135" s="2244"/>
      <c r="BP135" s="2245"/>
      <c r="BQ135" s="2246"/>
      <c r="BR135" s="2247"/>
      <c r="BS135" s="2248"/>
      <c r="BT135" s="2249"/>
      <c r="BU135" s="2249"/>
      <c r="BV135" s="2238"/>
      <c r="BW135" s="2264"/>
      <c r="BY135" s="3">
        <v>1</v>
      </c>
    </row>
    <row r="136" spans="2:77" ht="21" customHeight="1">
      <c r="B136" s="2265" t="str" cm="1">
        <f t="array" ref="B136">SUMPRODUCT(--(D136:J136&lt;&gt;""), LEN(TRIM(SUBSTITUTE(D136:J136, CHAR(160), "")))) &amp; " Car."</f>
        <v>0 Car.</v>
      </c>
      <c r="C136" s="1376" t="str">
        <f>IF(ISBLANK(D136),"",LARGE(C13:C135,1)+1)</f>
        <v/>
      </c>
      <c r="D136" s="1833"/>
      <c r="E136" s="1810"/>
      <c r="F136" s="1810"/>
      <c r="G136" s="1810"/>
      <c r="H136" s="1810"/>
      <c r="I136" s="1810"/>
      <c r="J136" s="1810"/>
      <c r="K136" s="1810"/>
      <c r="L136" s="1811"/>
      <c r="M136" s="9"/>
      <c r="N136" s="2252" t="s">
        <v>15</v>
      </c>
      <c r="O136" s="2237"/>
      <c r="P136" s="2237"/>
      <c r="Q136" s="2237"/>
      <c r="R136" s="2237"/>
      <c r="S136" s="2240"/>
      <c r="T136" s="2241"/>
      <c r="U136" s="2239"/>
      <c r="V136" s="2242"/>
      <c r="W136" s="2250"/>
      <c r="X136" s="2244"/>
      <c r="Y136" s="2244"/>
      <c r="Z136" s="2245"/>
      <c r="AA136" s="2246"/>
      <c r="AB136" s="2247"/>
      <c r="AC136" s="2248"/>
      <c r="AD136" s="2249"/>
      <c r="AE136" s="2249"/>
      <c r="AF136" s="2238"/>
      <c r="AG136" s="2264"/>
      <c r="AH136" s="918"/>
      <c r="AI136" s="2252" t="s">
        <v>15</v>
      </c>
      <c r="AJ136" s="2237"/>
      <c r="AK136" s="2237"/>
      <c r="AL136" s="2237"/>
      <c r="AM136" s="2237"/>
      <c r="AN136" s="2240"/>
      <c r="AO136" s="2241"/>
      <c r="AP136" s="2239"/>
      <c r="AQ136" s="2242"/>
      <c r="AR136" s="2250"/>
      <c r="AS136" s="2244"/>
      <c r="AT136" s="2244"/>
      <c r="AU136" s="2245"/>
      <c r="AV136" s="2246"/>
      <c r="AW136" s="2247"/>
      <c r="AX136" s="2248"/>
      <c r="AY136" s="2249"/>
      <c r="AZ136" s="2249"/>
      <c r="BA136" s="2238"/>
      <c r="BB136" s="2264"/>
      <c r="BC136" s="918"/>
      <c r="BD136" s="2252" t="s">
        <v>15</v>
      </c>
      <c r="BE136" s="2237"/>
      <c r="BF136" s="2237"/>
      <c r="BG136" s="2237"/>
      <c r="BH136" s="2237"/>
      <c r="BI136" s="2240"/>
      <c r="BJ136" s="2241"/>
      <c r="BK136" s="2239"/>
      <c r="BL136" s="2242"/>
      <c r="BM136" s="2250"/>
      <c r="BN136" s="2244"/>
      <c r="BO136" s="2244"/>
      <c r="BP136" s="2245"/>
      <c r="BQ136" s="2246"/>
      <c r="BR136" s="2247"/>
      <c r="BS136" s="2248"/>
      <c r="BT136" s="2249"/>
      <c r="BU136" s="2249"/>
      <c r="BV136" s="2238"/>
      <c r="BW136" s="2264"/>
      <c r="BY136" s="3">
        <v>1</v>
      </c>
    </row>
    <row r="137" spans="2:77" ht="21" customHeight="1">
      <c r="B137" s="2265" t="str" cm="1">
        <f t="array" ref="B137">SUMPRODUCT(--(D137:J137&lt;&gt;""), LEN(TRIM(SUBSTITUTE(D137:J137, CHAR(160), "")))) &amp; " Car."</f>
        <v>0 Car.</v>
      </c>
      <c r="C137" s="1376" t="str">
        <f>IF(ISBLANK(D137),"",LARGE(C13:C136,1)+1)</f>
        <v/>
      </c>
      <c r="D137" s="1833"/>
      <c r="E137" s="1810"/>
      <c r="F137" s="1810"/>
      <c r="G137" s="1810"/>
      <c r="H137" s="1810"/>
      <c r="I137" s="1810"/>
      <c r="J137" s="1810"/>
      <c r="K137" s="1810"/>
      <c r="L137" s="1811"/>
      <c r="M137" s="9"/>
      <c r="N137" s="2252" t="s">
        <v>15</v>
      </c>
      <c r="O137" s="2237"/>
      <c r="P137" s="2237"/>
      <c r="Q137" s="2237"/>
      <c r="R137" s="2237"/>
      <c r="S137" s="2240"/>
      <c r="T137" s="2241"/>
      <c r="U137" s="2239"/>
      <c r="V137" s="2242"/>
      <c r="W137" s="2250"/>
      <c r="X137" s="2244"/>
      <c r="Y137" s="2244"/>
      <c r="Z137" s="2245"/>
      <c r="AA137" s="2246"/>
      <c r="AB137" s="2247"/>
      <c r="AC137" s="2248"/>
      <c r="AD137" s="2249"/>
      <c r="AE137" s="2249"/>
      <c r="AF137" s="2238"/>
      <c r="AG137" s="2264"/>
      <c r="AH137" s="918"/>
      <c r="AI137" s="2252" t="s">
        <v>15</v>
      </c>
      <c r="AJ137" s="2237"/>
      <c r="AK137" s="2237"/>
      <c r="AL137" s="2237"/>
      <c r="AM137" s="2237"/>
      <c r="AN137" s="2240"/>
      <c r="AO137" s="2241"/>
      <c r="AP137" s="2239"/>
      <c r="AQ137" s="2242"/>
      <c r="AR137" s="2250"/>
      <c r="AS137" s="2244"/>
      <c r="AT137" s="2244"/>
      <c r="AU137" s="2245"/>
      <c r="AV137" s="2246"/>
      <c r="AW137" s="2247"/>
      <c r="AX137" s="2248"/>
      <c r="AY137" s="2249"/>
      <c r="AZ137" s="2249"/>
      <c r="BA137" s="2238"/>
      <c r="BB137" s="2264"/>
      <c r="BC137" s="918"/>
      <c r="BD137" s="2252" t="s">
        <v>15</v>
      </c>
      <c r="BE137" s="2237"/>
      <c r="BF137" s="2237"/>
      <c r="BG137" s="2237"/>
      <c r="BH137" s="2237"/>
      <c r="BI137" s="2240"/>
      <c r="BJ137" s="2241"/>
      <c r="BK137" s="2239"/>
      <c r="BL137" s="2242"/>
      <c r="BM137" s="2250"/>
      <c r="BN137" s="2244"/>
      <c r="BO137" s="2244"/>
      <c r="BP137" s="2245"/>
      <c r="BQ137" s="2246"/>
      <c r="BR137" s="2247"/>
      <c r="BS137" s="2248"/>
      <c r="BT137" s="2249"/>
      <c r="BU137" s="2249"/>
      <c r="BV137" s="2238"/>
      <c r="BW137" s="2264"/>
      <c r="BY137" s="3">
        <v>1</v>
      </c>
    </row>
    <row r="138" spans="2:77" ht="21" customHeight="1">
      <c r="B138" s="2265" t="str" cm="1">
        <f t="array" ref="B138">SUMPRODUCT(--(D138:J138&lt;&gt;""), LEN(TRIM(SUBSTITUTE(D138:J138, CHAR(160), "")))) &amp; " Car."</f>
        <v>0 Car.</v>
      </c>
      <c r="C138" s="1376" t="str">
        <f>IF(ISBLANK(D138),"",LARGE(C13:C137,1)+1)</f>
        <v/>
      </c>
      <c r="D138" s="1833"/>
      <c r="E138" s="1810"/>
      <c r="F138" s="1810"/>
      <c r="G138" s="1810"/>
      <c r="H138" s="1810"/>
      <c r="I138" s="1810"/>
      <c r="J138" s="1810"/>
      <c r="K138" s="1810"/>
      <c r="L138" s="1811"/>
      <c r="M138" s="9"/>
      <c r="N138" s="2252" t="s">
        <v>15</v>
      </c>
      <c r="O138" s="2237"/>
      <c r="P138" s="2237"/>
      <c r="Q138" s="2237"/>
      <c r="R138" s="2237"/>
      <c r="S138" s="2240"/>
      <c r="T138" s="2241"/>
      <c r="U138" s="2239"/>
      <c r="V138" s="2242"/>
      <c r="W138" s="2250"/>
      <c r="X138" s="2244"/>
      <c r="Y138" s="2244"/>
      <c r="Z138" s="2245"/>
      <c r="AA138" s="2246"/>
      <c r="AB138" s="2247"/>
      <c r="AC138" s="2248"/>
      <c r="AD138" s="2249"/>
      <c r="AE138" s="2249"/>
      <c r="AF138" s="2238"/>
      <c r="AG138" s="2264"/>
      <c r="AH138" s="918"/>
      <c r="AI138" s="2252" t="s">
        <v>15</v>
      </c>
      <c r="AJ138" s="2237"/>
      <c r="AK138" s="2237"/>
      <c r="AL138" s="2237"/>
      <c r="AM138" s="2237"/>
      <c r="AN138" s="2240"/>
      <c r="AO138" s="2241"/>
      <c r="AP138" s="2239"/>
      <c r="AQ138" s="2242"/>
      <c r="AR138" s="2250"/>
      <c r="AS138" s="2244"/>
      <c r="AT138" s="2244"/>
      <c r="AU138" s="2245"/>
      <c r="AV138" s="2246"/>
      <c r="AW138" s="2247"/>
      <c r="AX138" s="2248"/>
      <c r="AY138" s="2249"/>
      <c r="AZ138" s="2249"/>
      <c r="BA138" s="2238"/>
      <c r="BB138" s="2264"/>
      <c r="BC138" s="918"/>
      <c r="BD138" s="2252" t="s">
        <v>15</v>
      </c>
      <c r="BE138" s="2237"/>
      <c r="BF138" s="2237"/>
      <c r="BG138" s="2237"/>
      <c r="BH138" s="2237"/>
      <c r="BI138" s="2240"/>
      <c r="BJ138" s="2241"/>
      <c r="BK138" s="2239"/>
      <c r="BL138" s="2242"/>
      <c r="BM138" s="2250"/>
      <c r="BN138" s="2244"/>
      <c r="BO138" s="2244"/>
      <c r="BP138" s="2245"/>
      <c r="BQ138" s="2246"/>
      <c r="BR138" s="2247"/>
      <c r="BS138" s="2248"/>
      <c r="BT138" s="2249"/>
      <c r="BU138" s="2249"/>
      <c r="BV138" s="2238"/>
      <c r="BW138" s="2264"/>
      <c r="BY138" s="3">
        <v>1</v>
      </c>
    </row>
    <row r="139" spans="2:77" ht="21" customHeight="1">
      <c r="B139" s="2265" t="str" cm="1">
        <f t="array" ref="B139">SUMPRODUCT(--(D139:J139&lt;&gt;""), LEN(TRIM(SUBSTITUTE(D139:J139, CHAR(160), "")))) &amp; " Car."</f>
        <v>0 Car.</v>
      </c>
      <c r="C139" s="1376" t="str">
        <f>IF(ISBLANK(D139),"",LARGE(C13:C138,1)+1)</f>
        <v/>
      </c>
      <c r="D139" s="1833"/>
      <c r="E139" s="1810"/>
      <c r="F139" s="1810"/>
      <c r="G139" s="1810"/>
      <c r="H139" s="1810"/>
      <c r="I139" s="1810"/>
      <c r="J139" s="1810"/>
      <c r="K139" s="1810"/>
      <c r="L139" s="1811"/>
      <c r="M139" s="9"/>
      <c r="N139" s="2252" t="s">
        <v>15</v>
      </c>
      <c r="O139" s="2237"/>
      <c r="P139" s="2237"/>
      <c r="Q139" s="2237"/>
      <c r="R139" s="2237"/>
      <c r="S139" s="2240"/>
      <c r="T139" s="2241"/>
      <c r="U139" s="2239"/>
      <c r="V139" s="2242"/>
      <c r="W139" s="2250"/>
      <c r="X139" s="2244"/>
      <c r="Y139" s="2244"/>
      <c r="Z139" s="2245"/>
      <c r="AA139" s="2246"/>
      <c r="AB139" s="2247"/>
      <c r="AC139" s="2248"/>
      <c r="AD139" s="2249"/>
      <c r="AE139" s="2249"/>
      <c r="AF139" s="2238"/>
      <c r="AG139" s="2264"/>
      <c r="AH139" s="918"/>
      <c r="AI139" s="2252" t="s">
        <v>15</v>
      </c>
      <c r="AJ139" s="2237"/>
      <c r="AK139" s="2237"/>
      <c r="AL139" s="2237"/>
      <c r="AM139" s="2237"/>
      <c r="AN139" s="2240"/>
      <c r="AO139" s="2241"/>
      <c r="AP139" s="2239"/>
      <c r="AQ139" s="2242"/>
      <c r="AR139" s="2250"/>
      <c r="AS139" s="2244"/>
      <c r="AT139" s="2244"/>
      <c r="AU139" s="2245"/>
      <c r="AV139" s="2246"/>
      <c r="AW139" s="2247"/>
      <c r="AX139" s="2248"/>
      <c r="AY139" s="2249"/>
      <c r="AZ139" s="2249"/>
      <c r="BA139" s="2238"/>
      <c r="BB139" s="2264"/>
      <c r="BC139" s="918"/>
      <c r="BD139" s="2252" t="s">
        <v>15</v>
      </c>
      <c r="BE139" s="2237"/>
      <c r="BF139" s="2237"/>
      <c r="BG139" s="2237"/>
      <c r="BH139" s="2237"/>
      <c r="BI139" s="2240"/>
      <c r="BJ139" s="2241"/>
      <c r="BK139" s="2239"/>
      <c r="BL139" s="2242"/>
      <c r="BM139" s="2250"/>
      <c r="BN139" s="2244"/>
      <c r="BO139" s="2244"/>
      <c r="BP139" s="2245"/>
      <c r="BQ139" s="2246"/>
      <c r="BR139" s="2247"/>
      <c r="BS139" s="2248"/>
      <c r="BT139" s="2249"/>
      <c r="BU139" s="2249"/>
      <c r="BV139" s="2238"/>
      <c r="BW139" s="2264"/>
      <c r="BY139" s="3">
        <v>1</v>
      </c>
    </row>
    <row r="140" spans="2:77" ht="21" customHeight="1">
      <c r="B140" s="2265" t="str" cm="1">
        <f t="array" ref="B140">SUMPRODUCT(--(D140:J140&lt;&gt;""), LEN(TRIM(SUBSTITUTE(D140:J140, CHAR(160), "")))) &amp; " Car."</f>
        <v>0 Car.</v>
      </c>
      <c r="C140" s="1376" t="str">
        <f>IF(ISBLANK(D140),"",LARGE(C13:C139,1)+1)</f>
        <v/>
      </c>
      <c r="D140" s="1833"/>
      <c r="E140" s="1810"/>
      <c r="F140" s="1810"/>
      <c r="G140" s="1810"/>
      <c r="H140" s="1810"/>
      <c r="I140" s="1810"/>
      <c r="J140" s="1810"/>
      <c r="K140" s="1810"/>
      <c r="L140" s="1811"/>
      <c r="M140" s="9"/>
      <c r="N140" s="2252" t="s">
        <v>15</v>
      </c>
      <c r="O140" s="2237"/>
      <c r="P140" s="2237"/>
      <c r="Q140" s="2237"/>
      <c r="R140" s="2237"/>
      <c r="S140" s="2240"/>
      <c r="T140" s="2241"/>
      <c r="U140" s="2239"/>
      <c r="V140" s="2242"/>
      <c r="W140" s="2250"/>
      <c r="X140" s="2244"/>
      <c r="Y140" s="2244"/>
      <c r="Z140" s="2245"/>
      <c r="AA140" s="2246"/>
      <c r="AB140" s="2247"/>
      <c r="AC140" s="2248"/>
      <c r="AD140" s="2249"/>
      <c r="AE140" s="2249"/>
      <c r="AF140" s="2238"/>
      <c r="AG140" s="2264"/>
      <c r="AH140" s="918"/>
      <c r="AI140" s="2252" t="s">
        <v>15</v>
      </c>
      <c r="AJ140" s="2237"/>
      <c r="AK140" s="2237"/>
      <c r="AL140" s="2237"/>
      <c r="AM140" s="2237"/>
      <c r="AN140" s="2240"/>
      <c r="AO140" s="2241"/>
      <c r="AP140" s="2239"/>
      <c r="AQ140" s="2242"/>
      <c r="AR140" s="2250"/>
      <c r="AS140" s="2244"/>
      <c r="AT140" s="2244"/>
      <c r="AU140" s="2245"/>
      <c r="AV140" s="2246"/>
      <c r="AW140" s="2247"/>
      <c r="AX140" s="2248"/>
      <c r="AY140" s="2249"/>
      <c r="AZ140" s="2249"/>
      <c r="BA140" s="2238"/>
      <c r="BB140" s="2264"/>
      <c r="BC140" s="918"/>
      <c r="BD140" s="2252" t="s">
        <v>15</v>
      </c>
      <c r="BE140" s="2237"/>
      <c r="BF140" s="2237"/>
      <c r="BG140" s="2237"/>
      <c r="BH140" s="2237"/>
      <c r="BI140" s="2240"/>
      <c r="BJ140" s="2241"/>
      <c r="BK140" s="2239"/>
      <c r="BL140" s="2242"/>
      <c r="BM140" s="2250"/>
      <c r="BN140" s="2244"/>
      <c r="BO140" s="2244"/>
      <c r="BP140" s="2245"/>
      <c r="BQ140" s="2246"/>
      <c r="BR140" s="2247"/>
      <c r="BS140" s="2248"/>
      <c r="BT140" s="2249"/>
      <c r="BU140" s="2249"/>
      <c r="BV140" s="2238"/>
      <c r="BW140" s="2264"/>
      <c r="BY140" s="3">
        <v>1</v>
      </c>
    </row>
    <row r="141" spans="2:77" ht="21" customHeight="1">
      <c r="B141" s="2265" t="str" cm="1">
        <f t="array" ref="B141">SUMPRODUCT(--(D141:J141&lt;&gt;""), LEN(TRIM(SUBSTITUTE(D141:J141, CHAR(160), "")))) &amp; " Car."</f>
        <v>0 Car.</v>
      </c>
      <c r="C141" s="1376" t="str">
        <f>IF(ISBLANK(D141),"",LARGE(C13:C140,1)+1)</f>
        <v/>
      </c>
      <c r="D141" s="1833"/>
      <c r="E141" s="1810"/>
      <c r="F141" s="1810"/>
      <c r="G141" s="1810"/>
      <c r="H141" s="1810"/>
      <c r="I141" s="1810"/>
      <c r="J141" s="1810"/>
      <c r="K141" s="1810"/>
      <c r="L141" s="1811"/>
      <c r="M141" s="9"/>
      <c r="N141" s="2252" t="s">
        <v>15</v>
      </c>
      <c r="O141" s="2237"/>
      <c r="P141" s="2237"/>
      <c r="Q141" s="2237"/>
      <c r="R141" s="2237"/>
      <c r="S141" s="2240"/>
      <c r="T141" s="2241"/>
      <c r="U141" s="2239"/>
      <c r="V141" s="2242"/>
      <c r="W141" s="2250"/>
      <c r="X141" s="2244"/>
      <c r="Y141" s="2244"/>
      <c r="Z141" s="2245"/>
      <c r="AA141" s="2246"/>
      <c r="AB141" s="2247"/>
      <c r="AC141" s="2248"/>
      <c r="AD141" s="2249"/>
      <c r="AE141" s="2249"/>
      <c r="AF141" s="2238"/>
      <c r="AG141" s="2264"/>
      <c r="AH141" s="918"/>
      <c r="AI141" s="2252" t="s">
        <v>15</v>
      </c>
      <c r="AJ141" s="2237"/>
      <c r="AK141" s="2237"/>
      <c r="AL141" s="2237"/>
      <c r="AM141" s="2237"/>
      <c r="AN141" s="2240"/>
      <c r="AO141" s="2241"/>
      <c r="AP141" s="2239"/>
      <c r="AQ141" s="2242"/>
      <c r="AR141" s="2250"/>
      <c r="AS141" s="2244"/>
      <c r="AT141" s="2244"/>
      <c r="AU141" s="2245"/>
      <c r="AV141" s="2246"/>
      <c r="AW141" s="2247"/>
      <c r="AX141" s="2248"/>
      <c r="AY141" s="2249"/>
      <c r="AZ141" s="2249"/>
      <c r="BA141" s="2238"/>
      <c r="BB141" s="2264"/>
      <c r="BC141" s="918"/>
      <c r="BD141" s="2252" t="s">
        <v>15</v>
      </c>
      <c r="BE141" s="2237"/>
      <c r="BF141" s="2237"/>
      <c r="BG141" s="2237"/>
      <c r="BH141" s="2237"/>
      <c r="BI141" s="2240"/>
      <c r="BJ141" s="2241"/>
      <c r="BK141" s="2239"/>
      <c r="BL141" s="2242"/>
      <c r="BM141" s="2250"/>
      <c r="BN141" s="2244"/>
      <c r="BO141" s="2244"/>
      <c r="BP141" s="2245"/>
      <c r="BQ141" s="2246"/>
      <c r="BR141" s="2247"/>
      <c r="BS141" s="2248"/>
      <c r="BT141" s="2249"/>
      <c r="BU141" s="2249"/>
      <c r="BV141" s="2238"/>
      <c r="BW141" s="2264"/>
      <c r="BY141" s="3">
        <v>1</v>
      </c>
    </row>
    <row r="142" spans="2:77" ht="21" customHeight="1">
      <c r="B142" s="2265" t="str" cm="1">
        <f t="array" ref="B142">SUMPRODUCT(--(D142:J142&lt;&gt;""), LEN(TRIM(SUBSTITUTE(D142:J142, CHAR(160), "")))) &amp; " Car."</f>
        <v>0 Car.</v>
      </c>
      <c r="C142" s="1376" t="str">
        <f>IF(ISBLANK(D142),"",LARGE(C13:C141,1)+1)</f>
        <v/>
      </c>
      <c r="D142" s="1833"/>
      <c r="E142" s="1810"/>
      <c r="F142" s="1810"/>
      <c r="G142" s="1810"/>
      <c r="H142" s="1810"/>
      <c r="I142" s="1810"/>
      <c r="J142" s="1810"/>
      <c r="K142" s="1810"/>
      <c r="L142" s="1811"/>
      <c r="M142" s="9"/>
      <c r="N142" s="2252" t="s">
        <v>15</v>
      </c>
      <c r="O142" s="2237"/>
      <c r="P142" s="2237"/>
      <c r="Q142" s="2237"/>
      <c r="R142" s="2237"/>
      <c r="S142" s="2240"/>
      <c r="T142" s="2241"/>
      <c r="U142" s="2239"/>
      <c r="V142" s="2242"/>
      <c r="W142" s="2250"/>
      <c r="X142" s="2244"/>
      <c r="Y142" s="2244"/>
      <c r="Z142" s="2245"/>
      <c r="AA142" s="2246"/>
      <c r="AB142" s="2247"/>
      <c r="AC142" s="2248"/>
      <c r="AD142" s="2249"/>
      <c r="AE142" s="2249"/>
      <c r="AF142" s="2238"/>
      <c r="AG142" s="2264"/>
      <c r="AH142" s="918"/>
      <c r="AI142" s="2252" t="s">
        <v>15</v>
      </c>
      <c r="AJ142" s="2237"/>
      <c r="AK142" s="2237"/>
      <c r="AL142" s="2237"/>
      <c r="AM142" s="2237"/>
      <c r="AN142" s="2240"/>
      <c r="AO142" s="2241"/>
      <c r="AP142" s="2239"/>
      <c r="AQ142" s="2242"/>
      <c r="AR142" s="2250"/>
      <c r="AS142" s="2244"/>
      <c r="AT142" s="2244"/>
      <c r="AU142" s="2245"/>
      <c r="AV142" s="2246"/>
      <c r="AW142" s="2247"/>
      <c r="AX142" s="2248"/>
      <c r="AY142" s="2249"/>
      <c r="AZ142" s="2249"/>
      <c r="BA142" s="2238"/>
      <c r="BB142" s="2264"/>
      <c r="BC142" s="918"/>
      <c r="BD142" s="2252" t="s">
        <v>15</v>
      </c>
      <c r="BE142" s="2237"/>
      <c r="BF142" s="2237"/>
      <c r="BG142" s="2237"/>
      <c r="BH142" s="2237"/>
      <c r="BI142" s="2240"/>
      <c r="BJ142" s="2241"/>
      <c r="BK142" s="2239"/>
      <c r="BL142" s="2242"/>
      <c r="BM142" s="2250"/>
      <c r="BN142" s="2244"/>
      <c r="BO142" s="2244"/>
      <c r="BP142" s="2245"/>
      <c r="BQ142" s="2246"/>
      <c r="BR142" s="2247"/>
      <c r="BS142" s="2248"/>
      <c r="BT142" s="2249"/>
      <c r="BU142" s="2249"/>
      <c r="BV142" s="2238"/>
      <c r="BW142" s="2264"/>
      <c r="BY142" s="3">
        <v>1</v>
      </c>
    </row>
    <row r="143" spans="2:77" ht="21" customHeight="1">
      <c r="B143" s="2265" t="str" cm="1">
        <f t="array" ref="B143">SUMPRODUCT(--(D143:J143&lt;&gt;""), LEN(TRIM(SUBSTITUTE(D143:J143, CHAR(160), "")))) &amp; " Car."</f>
        <v>0 Car.</v>
      </c>
      <c r="C143" s="1376" t="str">
        <f>IF(ISBLANK(D143),"",LARGE(C13:C142,1)+1)</f>
        <v/>
      </c>
      <c r="D143" s="1833"/>
      <c r="E143" s="1810"/>
      <c r="F143" s="1810"/>
      <c r="G143" s="1810"/>
      <c r="H143" s="1810"/>
      <c r="I143" s="1810"/>
      <c r="J143" s="1810"/>
      <c r="K143" s="1810"/>
      <c r="L143" s="1811"/>
      <c r="M143" s="9"/>
      <c r="N143" s="2252" t="s">
        <v>15</v>
      </c>
      <c r="O143" s="2237"/>
      <c r="P143" s="2237"/>
      <c r="Q143" s="2237"/>
      <c r="R143" s="2237"/>
      <c r="S143" s="2240"/>
      <c r="T143" s="2241"/>
      <c r="U143" s="2239"/>
      <c r="V143" s="2242"/>
      <c r="W143" s="2250"/>
      <c r="X143" s="2244"/>
      <c r="Y143" s="2244"/>
      <c r="Z143" s="2245"/>
      <c r="AA143" s="2246"/>
      <c r="AB143" s="2247"/>
      <c r="AC143" s="2248"/>
      <c r="AD143" s="2249"/>
      <c r="AE143" s="2249"/>
      <c r="AF143" s="2238"/>
      <c r="AG143" s="2264"/>
      <c r="AH143" s="918"/>
      <c r="AI143" s="2252" t="s">
        <v>15</v>
      </c>
      <c r="AJ143" s="2237"/>
      <c r="AK143" s="2237"/>
      <c r="AL143" s="2237"/>
      <c r="AM143" s="2237"/>
      <c r="AN143" s="2240"/>
      <c r="AO143" s="2241"/>
      <c r="AP143" s="2239"/>
      <c r="AQ143" s="2242"/>
      <c r="AR143" s="2250"/>
      <c r="AS143" s="2244"/>
      <c r="AT143" s="2244"/>
      <c r="AU143" s="2245"/>
      <c r="AV143" s="2246"/>
      <c r="AW143" s="2247"/>
      <c r="AX143" s="2248"/>
      <c r="AY143" s="2249"/>
      <c r="AZ143" s="2249"/>
      <c r="BA143" s="2238"/>
      <c r="BB143" s="2264"/>
      <c r="BC143" s="918"/>
      <c r="BD143" s="2252" t="s">
        <v>15</v>
      </c>
      <c r="BE143" s="2237"/>
      <c r="BF143" s="2237"/>
      <c r="BG143" s="2237"/>
      <c r="BH143" s="2237"/>
      <c r="BI143" s="2240"/>
      <c r="BJ143" s="2241"/>
      <c r="BK143" s="2239"/>
      <c r="BL143" s="2242"/>
      <c r="BM143" s="2250"/>
      <c r="BN143" s="2244"/>
      <c r="BO143" s="2244"/>
      <c r="BP143" s="2245"/>
      <c r="BQ143" s="2246"/>
      <c r="BR143" s="2247"/>
      <c r="BS143" s="2248"/>
      <c r="BT143" s="2249"/>
      <c r="BU143" s="2249"/>
      <c r="BV143" s="2238"/>
      <c r="BW143" s="2264"/>
      <c r="BY143" s="3">
        <v>1</v>
      </c>
    </row>
    <row r="144" spans="2:77" ht="21" customHeight="1">
      <c r="B144" s="2265" t="str" cm="1">
        <f t="array" ref="B144">SUMPRODUCT(--(D144:J144&lt;&gt;""), LEN(TRIM(SUBSTITUTE(D144:J144, CHAR(160), "")))) &amp; " Car."</f>
        <v>0 Car.</v>
      </c>
      <c r="C144" s="1376" t="str">
        <f>IF(ISBLANK(D144),"",LARGE(C13:C143,1)+1)</f>
        <v/>
      </c>
      <c r="D144" s="1833"/>
      <c r="E144" s="1810"/>
      <c r="F144" s="1810"/>
      <c r="G144" s="1810"/>
      <c r="H144" s="1810"/>
      <c r="I144" s="1810"/>
      <c r="J144" s="1810"/>
      <c r="K144" s="1810"/>
      <c r="L144" s="1811"/>
      <c r="M144" s="9"/>
      <c r="N144" s="2252" t="s">
        <v>15</v>
      </c>
      <c r="O144" s="2237"/>
      <c r="P144" s="2237"/>
      <c r="Q144" s="2237"/>
      <c r="R144" s="2237"/>
      <c r="S144" s="2240"/>
      <c r="T144" s="2241"/>
      <c r="U144" s="2239"/>
      <c r="V144" s="2242"/>
      <c r="W144" s="2250"/>
      <c r="X144" s="2244"/>
      <c r="Y144" s="2244"/>
      <c r="Z144" s="2245"/>
      <c r="AA144" s="2246"/>
      <c r="AB144" s="2247"/>
      <c r="AC144" s="2248"/>
      <c r="AD144" s="2249"/>
      <c r="AE144" s="2249"/>
      <c r="AF144" s="2238"/>
      <c r="AG144" s="2264"/>
      <c r="AH144" s="918"/>
      <c r="AI144" s="2252" t="s">
        <v>15</v>
      </c>
      <c r="AJ144" s="2237"/>
      <c r="AK144" s="2237"/>
      <c r="AL144" s="2237"/>
      <c r="AM144" s="2237"/>
      <c r="AN144" s="2240"/>
      <c r="AO144" s="2241"/>
      <c r="AP144" s="2239"/>
      <c r="AQ144" s="2242"/>
      <c r="AR144" s="2250"/>
      <c r="AS144" s="2244"/>
      <c r="AT144" s="2244"/>
      <c r="AU144" s="2245"/>
      <c r="AV144" s="2246"/>
      <c r="AW144" s="2247"/>
      <c r="AX144" s="2248"/>
      <c r="AY144" s="2249"/>
      <c r="AZ144" s="2249"/>
      <c r="BA144" s="2238"/>
      <c r="BB144" s="2264"/>
      <c r="BC144" s="918"/>
      <c r="BD144" s="2252" t="s">
        <v>15</v>
      </c>
      <c r="BE144" s="2237"/>
      <c r="BF144" s="2237"/>
      <c r="BG144" s="2237"/>
      <c r="BH144" s="2237"/>
      <c r="BI144" s="2240"/>
      <c r="BJ144" s="2241"/>
      <c r="BK144" s="2239"/>
      <c r="BL144" s="2242"/>
      <c r="BM144" s="2250"/>
      <c r="BN144" s="2244"/>
      <c r="BO144" s="2244"/>
      <c r="BP144" s="2245"/>
      <c r="BQ144" s="2246"/>
      <c r="BR144" s="2247"/>
      <c r="BS144" s="2248"/>
      <c r="BT144" s="2249"/>
      <c r="BU144" s="2249"/>
      <c r="BV144" s="2238"/>
      <c r="BW144" s="2264"/>
      <c r="BY144" s="3">
        <v>1</v>
      </c>
    </row>
    <row r="145" spans="2:77" ht="21" customHeight="1">
      <c r="B145" s="2265" t="str" cm="1">
        <f t="array" ref="B145">SUMPRODUCT(--(D145:J145&lt;&gt;""), LEN(TRIM(SUBSTITUTE(D145:J145, CHAR(160), "")))) &amp; " Car."</f>
        <v>0 Car.</v>
      </c>
      <c r="C145" s="1376" t="str">
        <f>IF(ISBLANK(D145),"",LARGE(C13:C144,1)+1)</f>
        <v/>
      </c>
      <c r="D145" s="1833"/>
      <c r="E145" s="1810"/>
      <c r="F145" s="1810"/>
      <c r="G145" s="1810"/>
      <c r="H145" s="1810"/>
      <c r="I145" s="1810"/>
      <c r="J145" s="1810"/>
      <c r="K145" s="1810"/>
      <c r="L145" s="1811"/>
      <c r="M145" s="9"/>
      <c r="N145" s="2252" t="s">
        <v>15</v>
      </c>
      <c r="O145" s="2237"/>
      <c r="P145" s="2237"/>
      <c r="Q145" s="2237"/>
      <c r="R145" s="2237"/>
      <c r="S145" s="2240"/>
      <c r="T145" s="2241"/>
      <c r="U145" s="2239"/>
      <c r="V145" s="2242"/>
      <c r="W145" s="2250"/>
      <c r="X145" s="2244"/>
      <c r="Y145" s="2244"/>
      <c r="Z145" s="2245"/>
      <c r="AA145" s="2246"/>
      <c r="AB145" s="2247"/>
      <c r="AC145" s="2248"/>
      <c r="AD145" s="2249"/>
      <c r="AE145" s="2249"/>
      <c r="AF145" s="2238"/>
      <c r="AG145" s="2264"/>
      <c r="AH145" s="918"/>
      <c r="AI145" s="2252" t="s">
        <v>15</v>
      </c>
      <c r="AJ145" s="2237"/>
      <c r="AK145" s="2237"/>
      <c r="AL145" s="2237"/>
      <c r="AM145" s="2237"/>
      <c r="AN145" s="2240"/>
      <c r="AO145" s="2241"/>
      <c r="AP145" s="2239"/>
      <c r="AQ145" s="2242"/>
      <c r="AR145" s="2250"/>
      <c r="AS145" s="2244"/>
      <c r="AT145" s="2244"/>
      <c r="AU145" s="2245"/>
      <c r="AV145" s="2246"/>
      <c r="AW145" s="2247"/>
      <c r="AX145" s="2248"/>
      <c r="AY145" s="2249"/>
      <c r="AZ145" s="2249"/>
      <c r="BA145" s="2238"/>
      <c r="BB145" s="2264"/>
      <c r="BC145" s="918"/>
      <c r="BD145" s="2252" t="s">
        <v>15</v>
      </c>
      <c r="BE145" s="2237"/>
      <c r="BF145" s="2237"/>
      <c r="BG145" s="2237"/>
      <c r="BH145" s="2237"/>
      <c r="BI145" s="2240"/>
      <c r="BJ145" s="2241"/>
      <c r="BK145" s="2239"/>
      <c r="BL145" s="2242"/>
      <c r="BM145" s="2250"/>
      <c r="BN145" s="2244"/>
      <c r="BO145" s="2244"/>
      <c r="BP145" s="2245"/>
      <c r="BQ145" s="2246"/>
      <c r="BR145" s="2247"/>
      <c r="BS145" s="2248"/>
      <c r="BT145" s="2249"/>
      <c r="BU145" s="2249"/>
      <c r="BV145" s="2238"/>
      <c r="BW145" s="2264"/>
      <c r="BY145" s="3">
        <v>1</v>
      </c>
    </row>
    <row r="146" spans="2:77" ht="21" customHeight="1">
      <c r="B146" s="2265" t="str" cm="1">
        <f t="array" ref="B146">SUMPRODUCT(--(D146:J146&lt;&gt;""), LEN(TRIM(SUBSTITUTE(D146:J146, CHAR(160), "")))) &amp; " Car."</f>
        <v>0 Car.</v>
      </c>
      <c r="C146" s="1376" t="str">
        <f>IF(ISBLANK(D146),"",LARGE(C13:C145,1)+1)</f>
        <v/>
      </c>
      <c r="D146" s="1833"/>
      <c r="E146" s="1810"/>
      <c r="F146" s="1810"/>
      <c r="G146" s="1810"/>
      <c r="H146" s="1810"/>
      <c r="I146" s="1810"/>
      <c r="J146" s="1810"/>
      <c r="K146" s="1810"/>
      <c r="L146" s="1811"/>
      <c r="M146" s="9"/>
      <c r="N146" s="2252" t="s">
        <v>15</v>
      </c>
      <c r="O146" s="2237"/>
      <c r="P146" s="2237"/>
      <c r="Q146" s="2237"/>
      <c r="R146" s="2237"/>
      <c r="S146" s="2240"/>
      <c r="T146" s="2241"/>
      <c r="U146" s="2239"/>
      <c r="V146" s="2242"/>
      <c r="W146" s="2250"/>
      <c r="X146" s="2244"/>
      <c r="Y146" s="2244"/>
      <c r="Z146" s="2245"/>
      <c r="AA146" s="2246"/>
      <c r="AB146" s="2247"/>
      <c r="AC146" s="2248"/>
      <c r="AD146" s="2249"/>
      <c r="AE146" s="2249"/>
      <c r="AF146" s="2238"/>
      <c r="AG146" s="2264"/>
      <c r="AH146" s="918"/>
      <c r="AI146" s="2252" t="s">
        <v>15</v>
      </c>
      <c r="AJ146" s="2237"/>
      <c r="AK146" s="2237"/>
      <c r="AL146" s="2237"/>
      <c r="AM146" s="2237"/>
      <c r="AN146" s="2240"/>
      <c r="AO146" s="2241"/>
      <c r="AP146" s="2239"/>
      <c r="AQ146" s="2242"/>
      <c r="AR146" s="2250"/>
      <c r="AS146" s="2244"/>
      <c r="AT146" s="2244"/>
      <c r="AU146" s="2245"/>
      <c r="AV146" s="2246"/>
      <c r="AW146" s="2247"/>
      <c r="AX146" s="2248"/>
      <c r="AY146" s="2249"/>
      <c r="AZ146" s="2249"/>
      <c r="BA146" s="2238"/>
      <c r="BB146" s="2264"/>
      <c r="BC146" s="918"/>
      <c r="BD146" s="2252" t="s">
        <v>15</v>
      </c>
      <c r="BE146" s="2237"/>
      <c r="BF146" s="2237"/>
      <c r="BG146" s="2237"/>
      <c r="BH146" s="2237"/>
      <c r="BI146" s="2240"/>
      <c r="BJ146" s="2241"/>
      <c r="BK146" s="2239"/>
      <c r="BL146" s="2242"/>
      <c r="BM146" s="2250"/>
      <c r="BN146" s="2244"/>
      <c r="BO146" s="2244"/>
      <c r="BP146" s="2245"/>
      <c r="BQ146" s="2246"/>
      <c r="BR146" s="2247"/>
      <c r="BS146" s="2248"/>
      <c r="BT146" s="2249"/>
      <c r="BU146" s="2249"/>
      <c r="BV146" s="2238"/>
      <c r="BW146" s="2264"/>
      <c r="BY146" s="3">
        <v>1</v>
      </c>
    </row>
    <row r="147" spans="2:77" ht="21" customHeight="1">
      <c r="B147" s="2265" t="str" cm="1">
        <f t="array" ref="B147">SUMPRODUCT(--(D147:J147&lt;&gt;""), LEN(TRIM(SUBSTITUTE(D147:J147, CHAR(160), "")))) &amp; " Car."</f>
        <v>0 Car.</v>
      </c>
      <c r="C147" s="1376" t="str">
        <f>IF(ISBLANK(D147),"",LARGE(C13:C146,1)+1)</f>
        <v/>
      </c>
      <c r="D147" s="1833"/>
      <c r="E147" s="1810"/>
      <c r="F147" s="1810"/>
      <c r="G147" s="1810"/>
      <c r="H147" s="1810"/>
      <c r="I147" s="1810"/>
      <c r="J147" s="1810"/>
      <c r="K147" s="1810"/>
      <c r="L147" s="1811"/>
      <c r="M147" s="9"/>
      <c r="N147" s="2252" t="s">
        <v>15</v>
      </c>
      <c r="O147" s="2237"/>
      <c r="P147" s="2237"/>
      <c r="Q147" s="2237"/>
      <c r="R147" s="2237"/>
      <c r="S147" s="2240"/>
      <c r="T147" s="2241"/>
      <c r="U147" s="2239"/>
      <c r="V147" s="2242"/>
      <c r="W147" s="2250"/>
      <c r="X147" s="2244"/>
      <c r="Y147" s="2244"/>
      <c r="Z147" s="2245"/>
      <c r="AA147" s="2246"/>
      <c r="AB147" s="2247"/>
      <c r="AC147" s="2248"/>
      <c r="AD147" s="2249"/>
      <c r="AE147" s="2249"/>
      <c r="AF147" s="2238"/>
      <c r="AG147" s="2264"/>
      <c r="AH147" s="918"/>
      <c r="AI147" s="2252" t="s">
        <v>15</v>
      </c>
      <c r="AJ147" s="2237"/>
      <c r="AK147" s="2237"/>
      <c r="AL147" s="2237"/>
      <c r="AM147" s="2237"/>
      <c r="AN147" s="2240"/>
      <c r="AO147" s="2241"/>
      <c r="AP147" s="2239"/>
      <c r="AQ147" s="2242"/>
      <c r="AR147" s="2250"/>
      <c r="AS147" s="2244"/>
      <c r="AT147" s="2244"/>
      <c r="AU147" s="2245"/>
      <c r="AV147" s="2246"/>
      <c r="AW147" s="2247"/>
      <c r="AX147" s="2248"/>
      <c r="AY147" s="2249"/>
      <c r="AZ147" s="2249"/>
      <c r="BA147" s="2238"/>
      <c r="BB147" s="2264"/>
      <c r="BC147" s="918"/>
      <c r="BD147" s="2252" t="s">
        <v>15</v>
      </c>
      <c r="BE147" s="2237"/>
      <c r="BF147" s="2237"/>
      <c r="BG147" s="2237"/>
      <c r="BH147" s="2237"/>
      <c r="BI147" s="2240"/>
      <c r="BJ147" s="2241"/>
      <c r="BK147" s="2239"/>
      <c r="BL147" s="2242"/>
      <c r="BM147" s="2250"/>
      <c r="BN147" s="2244"/>
      <c r="BO147" s="2244"/>
      <c r="BP147" s="2245"/>
      <c r="BQ147" s="2246"/>
      <c r="BR147" s="2247"/>
      <c r="BS147" s="2248"/>
      <c r="BT147" s="2249"/>
      <c r="BU147" s="2249"/>
      <c r="BV147" s="2238"/>
      <c r="BW147" s="2264"/>
      <c r="BY147" s="3">
        <v>1</v>
      </c>
    </row>
    <row r="148" spans="2:77" ht="21" customHeight="1">
      <c r="B148" s="2265" t="str" cm="1">
        <f t="array" ref="B148">SUMPRODUCT(--(D148:J148&lt;&gt;""), LEN(TRIM(SUBSTITUTE(D148:J148, CHAR(160), "")))) &amp; " Car."</f>
        <v>0 Car.</v>
      </c>
      <c r="C148" s="1376" t="str">
        <f>IF(ISBLANK(D148),"",LARGE(C13:C147,1)+1)</f>
        <v/>
      </c>
      <c r="D148" s="1833"/>
      <c r="E148" s="1810"/>
      <c r="F148" s="1810"/>
      <c r="G148" s="1810"/>
      <c r="H148" s="1810"/>
      <c r="I148" s="1810"/>
      <c r="J148" s="1810"/>
      <c r="K148" s="1810"/>
      <c r="L148" s="1811"/>
      <c r="M148" s="9"/>
      <c r="N148" s="2252" t="s">
        <v>15</v>
      </c>
      <c r="O148" s="2237"/>
      <c r="P148" s="2237"/>
      <c r="Q148" s="2237"/>
      <c r="R148" s="2237"/>
      <c r="S148" s="2240"/>
      <c r="T148" s="2241"/>
      <c r="U148" s="2239"/>
      <c r="V148" s="2242"/>
      <c r="W148" s="2250"/>
      <c r="X148" s="2244"/>
      <c r="Y148" s="2244"/>
      <c r="Z148" s="2245"/>
      <c r="AA148" s="2246"/>
      <c r="AB148" s="2247"/>
      <c r="AC148" s="2248"/>
      <c r="AD148" s="2249"/>
      <c r="AE148" s="2249"/>
      <c r="AF148" s="2238"/>
      <c r="AG148" s="2264"/>
      <c r="AH148" s="918"/>
      <c r="AI148" s="2252" t="s">
        <v>15</v>
      </c>
      <c r="AJ148" s="2237"/>
      <c r="AK148" s="2237"/>
      <c r="AL148" s="2237"/>
      <c r="AM148" s="2237"/>
      <c r="AN148" s="2240"/>
      <c r="AO148" s="2241"/>
      <c r="AP148" s="2239"/>
      <c r="AQ148" s="2242"/>
      <c r="AR148" s="2250"/>
      <c r="AS148" s="2244"/>
      <c r="AT148" s="2244"/>
      <c r="AU148" s="2245"/>
      <c r="AV148" s="2246"/>
      <c r="AW148" s="2247"/>
      <c r="AX148" s="2248"/>
      <c r="AY148" s="2249"/>
      <c r="AZ148" s="2249"/>
      <c r="BA148" s="2238"/>
      <c r="BB148" s="2264"/>
      <c r="BC148" s="918"/>
      <c r="BD148" s="2252" t="s">
        <v>15</v>
      </c>
      <c r="BE148" s="2237"/>
      <c r="BF148" s="2237"/>
      <c r="BG148" s="2237"/>
      <c r="BH148" s="2237"/>
      <c r="BI148" s="2240"/>
      <c r="BJ148" s="2241"/>
      <c r="BK148" s="2239"/>
      <c r="BL148" s="2242"/>
      <c r="BM148" s="2250"/>
      <c r="BN148" s="2244"/>
      <c r="BO148" s="2244"/>
      <c r="BP148" s="2245"/>
      <c r="BQ148" s="2246"/>
      <c r="BR148" s="2247"/>
      <c r="BS148" s="2248"/>
      <c r="BT148" s="2249"/>
      <c r="BU148" s="2249"/>
      <c r="BV148" s="2238"/>
      <c r="BW148" s="2264"/>
      <c r="BY148" s="3">
        <v>1</v>
      </c>
    </row>
    <row r="149" spans="2:77" ht="21" customHeight="1">
      <c r="B149" s="2265" t="str" cm="1">
        <f t="array" ref="B149">SUMPRODUCT(--(D149:J149&lt;&gt;""), LEN(TRIM(SUBSTITUTE(D149:J149, CHAR(160), "")))) &amp; " Car."</f>
        <v>0 Car.</v>
      </c>
      <c r="C149" s="1376" t="str">
        <f>IF(ISBLANK(D149),"",LARGE(C13:C148,1)+1)</f>
        <v/>
      </c>
      <c r="D149" s="1833"/>
      <c r="E149" s="1810"/>
      <c r="F149" s="1810"/>
      <c r="G149" s="1810"/>
      <c r="H149" s="1810"/>
      <c r="I149" s="1810"/>
      <c r="J149" s="1810"/>
      <c r="K149" s="1810"/>
      <c r="L149" s="1811"/>
      <c r="M149" s="9"/>
      <c r="N149" s="2252" t="s">
        <v>15</v>
      </c>
      <c r="O149" s="2237"/>
      <c r="P149" s="2237"/>
      <c r="Q149" s="2237"/>
      <c r="R149" s="2237"/>
      <c r="S149" s="2240"/>
      <c r="T149" s="2241"/>
      <c r="U149" s="2239"/>
      <c r="V149" s="2242"/>
      <c r="W149" s="2250"/>
      <c r="X149" s="2244"/>
      <c r="Y149" s="2244"/>
      <c r="Z149" s="2245"/>
      <c r="AA149" s="2246"/>
      <c r="AB149" s="2247"/>
      <c r="AC149" s="2248"/>
      <c r="AD149" s="2249"/>
      <c r="AE149" s="2249"/>
      <c r="AF149" s="2238"/>
      <c r="AG149" s="2264"/>
      <c r="AH149" s="918"/>
      <c r="AI149" s="2252" t="s">
        <v>15</v>
      </c>
      <c r="AJ149" s="2237"/>
      <c r="AK149" s="2237"/>
      <c r="AL149" s="2237"/>
      <c r="AM149" s="2237"/>
      <c r="AN149" s="2240"/>
      <c r="AO149" s="2241"/>
      <c r="AP149" s="2239"/>
      <c r="AQ149" s="2242"/>
      <c r="AR149" s="2250"/>
      <c r="AS149" s="2244"/>
      <c r="AT149" s="2244"/>
      <c r="AU149" s="2245"/>
      <c r="AV149" s="2246"/>
      <c r="AW149" s="2247"/>
      <c r="AX149" s="2248"/>
      <c r="AY149" s="2249"/>
      <c r="AZ149" s="2249"/>
      <c r="BA149" s="2238"/>
      <c r="BB149" s="2264"/>
      <c r="BC149" s="918"/>
      <c r="BD149" s="2252" t="s">
        <v>15</v>
      </c>
      <c r="BE149" s="2237"/>
      <c r="BF149" s="2237"/>
      <c r="BG149" s="2237"/>
      <c r="BH149" s="2237"/>
      <c r="BI149" s="2240"/>
      <c r="BJ149" s="2241"/>
      <c r="BK149" s="2239"/>
      <c r="BL149" s="2242"/>
      <c r="BM149" s="2250"/>
      <c r="BN149" s="2244"/>
      <c r="BO149" s="2244"/>
      <c r="BP149" s="2245"/>
      <c r="BQ149" s="2246"/>
      <c r="BR149" s="2247"/>
      <c r="BS149" s="2248"/>
      <c r="BT149" s="2249"/>
      <c r="BU149" s="2249"/>
      <c r="BV149" s="2238"/>
      <c r="BW149" s="2264"/>
      <c r="BY149" s="3">
        <v>1</v>
      </c>
    </row>
    <row r="150" spans="2:77" ht="21" customHeight="1">
      <c r="B150" s="2265" t="str" cm="1">
        <f t="array" ref="B150">SUMPRODUCT(--(D150:J150&lt;&gt;""), LEN(TRIM(SUBSTITUTE(D150:J150, CHAR(160), "")))) &amp; " Car."</f>
        <v>0 Car.</v>
      </c>
      <c r="C150" s="1376" t="str">
        <f>IF(ISBLANK(D150),"",LARGE(C13:C149,1)+1)</f>
        <v/>
      </c>
      <c r="D150" s="1833"/>
      <c r="E150" s="1810"/>
      <c r="F150" s="1810"/>
      <c r="G150" s="1810"/>
      <c r="H150" s="1810"/>
      <c r="I150" s="1810"/>
      <c r="J150" s="1810"/>
      <c r="K150" s="1810"/>
      <c r="L150" s="1811"/>
      <c r="M150" s="9"/>
      <c r="N150" s="2252" t="s">
        <v>15</v>
      </c>
      <c r="O150" s="2237"/>
      <c r="P150" s="2237"/>
      <c r="Q150" s="2237"/>
      <c r="R150" s="2237"/>
      <c r="S150" s="2240"/>
      <c r="T150" s="2241"/>
      <c r="U150" s="2239"/>
      <c r="V150" s="2242"/>
      <c r="W150" s="2250"/>
      <c r="X150" s="2244"/>
      <c r="Y150" s="2244"/>
      <c r="Z150" s="2245"/>
      <c r="AA150" s="2246"/>
      <c r="AB150" s="2247"/>
      <c r="AC150" s="2248"/>
      <c r="AD150" s="2249"/>
      <c r="AE150" s="2249"/>
      <c r="AF150" s="2238"/>
      <c r="AG150" s="2264"/>
      <c r="AH150" s="918"/>
      <c r="AI150" s="2252" t="s">
        <v>15</v>
      </c>
      <c r="AJ150" s="2237"/>
      <c r="AK150" s="2237"/>
      <c r="AL150" s="2237"/>
      <c r="AM150" s="2237"/>
      <c r="AN150" s="2240"/>
      <c r="AO150" s="2241"/>
      <c r="AP150" s="2239"/>
      <c r="AQ150" s="2242"/>
      <c r="AR150" s="2250"/>
      <c r="AS150" s="2244"/>
      <c r="AT150" s="2244"/>
      <c r="AU150" s="2245"/>
      <c r="AV150" s="2246"/>
      <c r="AW150" s="2247"/>
      <c r="AX150" s="2248"/>
      <c r="AY150" s="2249"/>
      <c r="AZ150" s="2249"/>
      <c r="BA150" s="2238"/>
      <c r="BB150" s="2264"/>
      <c r="BC150" s="918"/>
      <c r="BD150" s="2252" t="s">
        <v>15</v>
      </c>
      <c r="BE150" s="2237"/>
      <c r="BF150" s="2237"/>
      <c r="BG150" s="2237"/>
      <c r="BH150" s="2237"/>
      <c r="BI150" s="2240"/>
      <c r="BJ150" s="2241"/>
      <c r="BK150" s="2239"/>
      <c r="BL150" s="2242"/>
      <c r="BM150" s="2250"/>
      <c r="BN150" s="2244"/>
      <c r="BO150" s="2244"/>
      <c r="BP150" s="2245"/>
      <c r="BQ150" s="2246"/>
      <c r="BR150" s="2247"/>
      <c r="BS150" s="2248"/>
      <c r="BT150" s="2249"/>
      <c r="BU150" s="2249"/>
      <c r="BV150" s="2238"/>
      <c r="BW150" s="2264"/>
      <c r="BY150" s="3">
        <v>1</v>
      </c>
    </row>
    <row r="151" spans="2:77" ht="21" customHeight="1">
      <c r="B151" s="2265" t="str" cm="1">
        <f t="array" ref="B151">SUMPRODUCT(--(D151:J151&lt;&gt;""), LEN(TRIM(SUBSTITUTE(D151:J151, CHAR(160), "")))) &amp; " Car."</f>
        <v>0 Car.</v>
      </c>
      <c r="C151" s="1376" t="str">
        <f>IF(ISBLANK(D151),"",LARGE(C13:C150,1)+1)</f>
        <v/>
      </c>
      <c r="D151" s="1833"/>
      <c r="E151" s="1810"/>
      <c r="F151" s="1810"/>
      <c r="G151" s="1810"/>
      <c r="H151" s="1810"/>
      <c r="I151" s="1810"/>
      <c r="J151" s="1810"/>
      <c r="K151" s="1810"/>
      <c r="L151" s="1811"/>
      <c r="M151" s="9"/>
      <c r="N151" s="2252" t="s">
        <v>15</v>
      </c>
      <c r="O151" s="2237"/>
      <c r="P151" s="2237"/>
      <c r="Q151" s="2237"/>
      <c r="R151" s="2237"/>
      <c r="S151" s="2240"/>
      <c r="T151" s="2241"/>
      <c r="U151" s="2239"/>
      <c r="V151" s="2242"/>
      <c r="W151" s="2250"/>
      <c r="X151" s="2244"/>
      <c r="Y151" s="2244"/>
      <c r="Z151" s="2245"/>
      <c r="AA151" s="2246"/>
      <c r="AB151" s="2247"/>
      <c r="AC151" s="2248"/>
      <c r="AD151" s="2249"/>
      <c r="AE151" s="2249"/>
      <c r="AF151" s="2238"/>
      <c r="AG151" s="2264"/>
      <c r="AH151" s="918"/>
      <c r="AI151" s="2252" t="s">
        <v>15</v>
      </c>
      <c r="AJ151" s="2237"/>
      <c r="AK151" s="2237"/>
      <c r="AL151" s="2237"/>
      <c r="AM151" s="2237"/>
      <c r="AN151" s="2240"/>
      <c r="AO151" s="2241"/>
      <c r="AP151" s="2239"/>
      <c r="AQ151" s="2242"/>
      <c r="AR151" s="2250"/>
      <c r="AS151" s="2244"/>
      <c r="AT151" s="2244"/>
      <c r="AU151" s="2245"/>
      <c r="AV151" s="2246"/>
      <c r="AW151" s="2247"/>
      <c r="AX151" s="2248"/>
      <c r="AY151" s="2249"/>
      <c r="AZ151" s="2249"/>
      <c r="BA151" s="2238"/>
      <c r="BB151" s="2264"/>
      <c r="BC151" s="918"/>
      <c r="BD151" s="2252" t="s">
        <v>15</v>
      </c>
      <c r="BE151" s="2237"/>
      <c r="BF151" s="2237"/>
      <c r="BG151" s="2237"/>
      <c r="BH151" s="2237"/>
      <c r="BI151" s="2240"/>
      <c r="BJ151" s="2241"/>
      <c r="BK151" s="2239"/>
      <c r="BL151" s="2242"/>
      <c r="BM151" s="2250"/>
      <c r="BN151" s="2244"/>
      <c r="BO151" s="2244"/>
      <c r="BP151" s="2245"/>
      <c r="BQ151" s="2246"/>
      <c r="BR151" s="2247"/>
      <c r="BS151" s="2248"/>
      <c r="BT151" s="2249"/>
      <c r="BU151" s="2249"/>
      <c r="BV151" s="2238"/>
      <c r="BW151" s="2264"/>
      <c r="BY151" s="3">
        <v>1</v>
      </c>
    </row>
    <row r="152" spans="2:77" ht="21" customHeight="1">
      <c r="B152" s="2265" t="str" cm="1">
        <f t="array" ref="B152">SUMPRODUCT(--(D152:J152&lt;&gt;""), LEN(TRIM(SUBSTITUTE(D152:J152, CHAR(160), "")))) &amp; " Car."</f>
        <v>0 Car.</v>
      </c>
      <c r="C152" s="1376" t="str">
        <f>IF(ISBLANK(D152),"",LARGE(C13:C151,1)+1)</f>
        <v/>
      </c>
      <c r="D152" s="1833"/>
      <c r="E152" s="1810"/>
      <c r="F152" s="1810"/>
      <c r="G152" s="1810"/>
      <c r="H152" s="1810"/>
      <c r="I152" s="1810"/>
      <c r="J152" s="1810"/>
      <c r="K152" s="1810"/>
      <c r="L152" s="1811"/>
      <c r="M152" s="9"/>
      <c r="N152" s="2252" t="s">
        <v>15</v>
      </c>
      <c r="O152" s="2237"/>
      <c r="P152" s="2237"/>
      <c r="Q152" s="2237"/>
      <c r="R152" s="2237"/>
      <c r="S152" s="2240"/>
      <c r="T152" s="2241"/>
      <c r="U152" s="2239"/>
      <c r="V152" s="2242"/>
      <c r="W152" s="2250"/>
      <c r="X152" s="2244"/>
      <c r="Y152" s="2244"/>
      <c r="Z152" s="2245"/>
      <c r="AA152" s="2246"/>
      <c r="AB152" s="2247"/>
      <c r="AC152" s="2248"/>
      <c r="AD152" s="2249"/>
      <c r="AE152" s="2249"/>
      <c r="AF152" s="2238"/>
      <c r="AG152" s="2264"/>
      <c r="AH152" s="918"/>
      <c r="AI152" s="2252" t="s">
        <v>15</v>
      </c>
      <c r="AJ152" s="2237"/>
      <c r="AK152" s="2237"/>
      <c r="AL152" s="2237"/>
      <c r="AM152" s="2237"/>
      <c r="AN152" s="2240"/>
      <c r="AO152" s="2241"/>
      <c r="AP152" s="2239"/>
      <c r="AQ152" s="2242"/>
      <c r="AR152" s="2250"/>
      <c r="AS152" s="2244"/>
      <c r="AT152" s="2244"/>
      <c r="AU152" s="2245"/>
      <c r="AV152" s="2246"/>
      <c r="AW152" s="2247"/>
      <c r="AX152" s="2248"/>
      <c r="AY152" s="2249"/>
      <c r="AZ152" s="2249"/>
      <c r="BA152" s="2238"/>
      <c r="BB152" s="2264"/>
      <c r="BC152" s="918"/>
      <c r="BD152" s="2252" t="s">
        <v>15</v>
      </c>
      <c r="BE152" s="2237"/>
      <c r="BF152" s="2237"/>
      <c r="BG152" s="2237"/>
      <c r="BH152" s="2237"/>
      <c r="BI152" s="2240"/>
      <c r="BJ152" s="2241"/>
      <c r="BK152" s="2239"/>
      <c r="BL152" s="2242"/>
      <c r="BM152" s="2250"/>
      <c r="BN152" s="2244"/>
      <c r="BO152" s="2244"/>
      <c r="BP152" s="2245"/>
      <c r="BQ152" s="2246"/>
      <c r="BR152" s="2247"/>
      <c r="BS152" s="2248"/>
      <c r="BT152" s="2249"/>
      <c r="BU152" s="2249"/>
      <c r="BV152" s="2238"/>
      <c r="BW152" s="2264"/>
      <c r="BY152" s="3">
        <v>1</v>
      </c>
    </row>
    <row r="153" spans="2:77" ht="21" customHeight="1">
      <c r="B153" s="2265" t="str" cm="1">
        <f t="array" ref="B153">SUMPRODUCT(--(D153:J153&lt;&gt;""), LEN(TRIM(SUBSTITUTE(D153:J153, CHAR(160), "")))) &amp; " Car."</f>
        <v>0 Car.</v>
      </c>
      <c r="C153" s="1376" t="str">
        <f>IF(ISBLANK(D153),"",LARGE(C13:C152,1)+1)</f>
        <v/>
      </c>
      <c r="D153" s="1833"/>
      <c r="E153" s="1810"/>
      <c r="F153" s="1810"/>
      <c r="G153" s="1810"/>
      <c r="H153" s="1810"/>
      <c r="I153" s="1810"/>
      <c r="J153" s="1810"/>
      <c r="K153" s="1810"/>
      <c r="L153" s="1811"/>
      <c r="M153" s="9"/>
      <c r="N153" s="2252" t="s">
        <v>15</v>
      </c>
      <c r="O153" s="2237"/>
      <c r="P153" s="2237"/>
      <c r="Q153" s="2237"/>
      <c r="R153" s="2237"/>
      <c r="S153" s="2240"/>
      <c r="T153" s="2241"/>
      <c r="U153" s="2239"/>
      <c r="V153" s="2242"/>
      <c r="W153" s="2250"/>
      <c r="X153" s="2244"/>
      <c r="Y153" s="2244"/>
      <c r="Z153" s="2245"/>
      <c r="AA153" s="2246"/>
      <c r="AB153" s="2247"/>
      <c r="AC153" s="2248"/>
      <c r="AD153" s="2249"/>
      <c r="AE153" s="2249"/>
      <c r="AF153" s="2238"/>
      <c r="AG153" s="2264"/>
      <c r="AH153" s="918"/>
      <c r="AI153" s="2252" t="s">
        <v>15</v>
      </c>
      <c r="AJ153" s="2237"/>
      <c r="AK153" s="2237"/>
      <c r="AL153" s="2237"/>
      <c r="AM153" s="2237"/>
      <c r="AN153" s="2240"/>
      <c r="AO153" s="2241"/>
      <c r="AP153" s="2239"/>
      <c r="AQ153" s="2242"/>
      <c r="AR153" s="2250"/>
      <c r="AS153" s="2244"/>
      <c r="AT153" s="2244"/>
      <c r="AU153" s="2245"/>
      <c r="AV153" s="2246"/>
      <c r="AW153" s="2247"/>
      <c r="AX153" s="2248"/>
      <c r="AY153" s="2249"/>
      <c r="AZ153" s="2249"/>
      <c r="BA153" s="2238"/>
      <c r="BB153" s="2264"/>
      <c r="BC153" s="918"/>
      <c r="BD153" s="2252" t="s">
        <v>15</v>
      </c>
      <c r="BE153" s="2237"/>
      <c r="BF153" s="2237"/>
      <c r="BG153" s="2237"/>
      <c r="BH153" s="2237"/>
      <c r="BI153" s="2240"/>
      <c r="BJ153" s="2241"/>
      <c r="BK153" s="2239"/>
      <c r="BL153" s="2242"/>
      <c r="BM153" s="2250"/>
      <c r="BN153" s="2244"/>
      <c r="BO153" s="2244"/>
      <c r="BP153" s="2245"/>
      <c r="BQ153" s="2246"/>
      <c r="BR153" s="2247"/>
      <c r="BS153" s="2248"/>
      <c r="BT153" s="2249"/>
      <c r="BU153" s="2249"/>
      <c r="BV153" s="2238"/>
      <c r="BW153" s="2264"/>
      <c r="BY153" s="3">
        <v>1</v>
      </c>
    </row>
    <row r="154" spans="2:77" ht="21" customHeight="1">
      <c r="B154" s="2265" t="str" cm="1">
        <f t="array" ref="B154">SUMPRODUCT(--(D154:J154&lt;&gt;""), LEN(TRIM(SUBSTITUTE(D154:J154, CHAR(160), "")))) &amp; " Car."</f>
        <v>0 Car.</v>
      </c>
      <c r="C154" s="1376" t="str">
        <f>IF(ISBLANK(D154),"",LARGE(C13:C153,1)+1)</f>
        <v/>
      </c>
      <c r="D154" s="1833"/>
      <c r="E154" s="1810"/>
      <c r="F154" s="1810"/>
      <c r="G154" s="1810"/>
      <c r="H154" s="1810"/>
      <c r="I154" s="1810"/>
      <c r="J154" s="1810"/>
      <c r="K154" s="1810"/>
      <c r="L154" s="1811"/>
      <c r="M154" s="9"/>
      <c r="N154" s="2252" t="s">
        <v>15</v>
      </c>
      <c r="O154" s="2237"/>
      <c r="P154" s="2237"/>
      <c r="Q154" s="2237"/>
      <c r="R154" s="2237"/>
      <c r="S154" s="2240"/>
      <c r="T154" s="2241"/>
      <c r="U154" s="2239"/>
      <c r="V154" s="2242"/>
      <c r="W154" s="2250"/>
      <c r="X154" s="2244"/>
      <c r="Y154" s="2244"/>
      <c r="Z154" s="2245"/>
      <c r="AA154" s="2246"/>
      <c r="AB154" s="2247"/>
      <c r="AC154" s="2248"/>
      <c r="AD154" s="2249"/>
      <c r="AE154" s="2249"/>
      <c r="AF154" s="2238"/>
      <c r="AG154" s="2264"/>
      <c r="AH154" s="918"/>
      <c r="AI154" s="2252" t="s">
        <v>15</v>
      </c>
      <c r="AJ154" s="2237"/>
      <c r="AK154" s="2237"/>
      <c r="AL154" s="2237"/>
      <c r="AM154" s="2237"/>
      <c r="AN154" s="2240"/>
      <c r="AO154" s="2241"/>
      <c r="AP154" s="2239"/>
      <c r="AQ154" s="2242"/>
      <c r="AR154" s="2250"/>
      <c r="AS154" s="2244"/>
      <c r="AT154" s="2244"/>
      <c r="AU154" s="2245"/>
      <c r="AV154" s="2246"/>
      <c r="AW154" s="2247"/>
      <c r="AX154" s="2248"/>
      <c r="AY154" s="2249"/>
      <c r="AZ154" s="2249"/>
      <c r="BA154" s="2238"/>
      <c r="BB154" s="2264"/>
      <c r="BC154" s="918"/>
      <c r="BD154" s="2252" t="s">
        <v>15</v>
      </c>
      <c r="BE154" s="2237"/>
      <c r="BF154" s="2237"/>
      <c r="BG154" s="2237"/>
      <c r="BH154" s="2237"/>
      <c r="BI154" s="2240"/>
      <c r="BJ154" s="2241"/>
      <c r="BK154" s="2239"/>
      <c r="BL154" s="2242"/>
      <c r="BM154" s="2250"/>
      <c r="BN154" s="2244"/>
      <c r="BO154" s="2244"/>
      <c r="BP154" s="2245"/>
      <c r="BQ154" s="2246"/>
      <c r="BR154" s="2247"/>
      <c r="BS154" s="2248"/>
      <c r="BT154" s="2249"/>
      <c r="BU154" s="2249"/>
      <c r="BV154" s="2238"/>
      <c r="BW154" s="2264"/>
      <c r="BY154" s="3">
        <v>1</v>
      </c>
    </row>
    <row r="155" spans="2:77" ht="21" customHeight="1">
      <c r="B155" s="2265" t="str" cm="1">
        <f t="array" ref="B155">SUMPRODUCT(--(D155:J155&lt;&gt;""), LEN(TRIM(SUBSTITUTE(D155:J155, CHAR(160), "")))) &amp; " Car."</f>
        <v>0 Car.</v>
      </c>
      <c r="C155" s="1376" t="str">
        <f>IF(ISBLANK(D155),"",LARGE(C13:C154,1)+1)</f>
        <v/>
      </c>
      <c r="D155" s="1833"/>
      <c r="E155" s="1810"/>
      <c r="F155" s="1810"/>
      <c r="G155" s="1810"/>
      <c r="H155" s="1810"/>
      <c r="I155" s="1810"/>
      <c r="J155" s="1810"/>
      <c r="K155" s="1810"/>
      <c r="L155" s="1811"/>
      <c r="M155" s="9"/>
      <c r="N155" s="2252" t="s">
        <v>15</v>
      </c>
      <c r="O155" s="2237"/>
      <c r="P155" s="2237"/>
      <c r="Q155" s="2237"/>
      <c r="R155" s="2237"/>
      <c r="S155" s="2240"/>
      <c r="T155" s="2241"/>
      <c r="U155" s="2239"/>
      <c r="V155" s="2242"/>
      <c r="W155" s="2250"/>
      <c r="X155" s="2244"/>
      <c r="Y155" s="2244"/>
      <c r="Z155" s="2245"/>
      <c r="AA155" s="2246"/>
      <c r="AB155" s="2247"/>
      <c r="AC155" s="2248"/>
      <c r="AD155" s="2249"/>
      <c r="AE155" s="2249"/>
      <c r="AF155" s="2238"/>
      <c r="AG155" s="2264"/>
      <c r="AH155" s="918"/>
      <c r="AI155" s="2252" t="s">
        <v>15</v>
      </c>
      <c r="AJ155" s="2237"/>
      <c r="AK155" s="2237"/>
      <c r="AL155" s="2237"/>
      <c r="AM155" s="2237"/>
      <c r="AN155" s="2240"/>
      <c r="AO155" s="2241"/>
      <c r="AP155" s="2239"/>
      <c r="AQ155" s="2242"/>
      <c r="AR155" s="2250"/>
      <c r="AS155" s="2244"/>
      <c r="AT155" s="2244"/>
      <c r="AU155" s="2245"/>
      <c r="AV155" s="2246"/>
      <c r="AW155" s="2247"/>
      <c r="AX155" s="2248"/>
      <c r="AY155" s="2249"/>
      <c r="AZ155" s="2249"/>
      <c r="BA155" s="2238"/>
      <c r="BB155" s="2264"/>
      <c r="BC155" s="918"/>
      <c r="BD155" s="2252" t="s">
        <v>15</v>
      </c>
      <c r="BE155" s="2237"/>
      <c r="BF155" s="2237"/>
      <c r="BG155" s="2237"/>
      <c r="BH155" s="2237"/>
      <c r="BI155" s="2240"/>
      <c r="BJ155" s="2241"/>
      <c r="BK155" s="2239"/>
      <c r="BL155" s="2242"/>
      <c r="BM155" s="2250"/>
      <c r="BN155" s="2244"/>
      <c r="BO155" s="2244"/>
      <c r="BP155" s="2245"/>
      <c r="BQ155" s="2246"/>
      <c r="BR155" s="2247"/>
      <c r="BS155" s="2248"/>
      <c r="BT155" s="2249"/>
      <c r="BU155" s="2249"/>
      <c r="BV155" s="2238"/>
      <c r="BW155" s="2264"/>
      <c r="BY155" s="3">
        <v>1</v>
      </c>
    </row>
    <row r="156" spans="2:77" ht="21" customHeight="1">
      <c r="B156" s="2265" t="str" cm="1">
        <f t="array" ref="B156">SUMPRODUCT(--(D156:J156&lt;&gt;""), LEN(TRIM(SUBSTITUTE(D156:J156, CHAR(160), "")))) &amp; " Car."</f>
        <v>0 Car.</v>
      </c>
      <c r="C156" s="1376" t="str">
        <f>IF(ISBLANK(D156),"",LARGE(C13:C155,1)+1)</f>
        <v/>
      </c>
      <c r="D156" s="1833"/>
      <c r="E156" s="1810"/>
      <c r="F156" s="1810"/>
      <c r="G156" s="1810"/>
      <c r="H156" s="1810"/>
      <c r="I156" s="1810"/>
      <c r="J156" s="1810"/>
      <c r="K156" s="1810"/>
      <c r="L156" s="1811"/>
      <c r="M156" s="9"/>
      <c r="N156" s="2252" t="s">
        <v>15</v>
      </c>
      <c r="O156" s="2237"/>
      <c r="P156" s="2237"/>
      <c r="Q156" s="2237"/>
      <c r="R156" s="2237"/>
      <c r="S156" s="2240"/>
      <c r="T156" s="2241"/>
      <c r="U156" s="2239"/>
      <c r="V156" s="2242"/>
      <c r="W156" s="2250"/>
      <c r="X156" s="2244"/>
      <c r="Y156" s="2244"/>
      <c r="Z156" s="2245"/>
      <c r="AA156" s="2246"/>
      <c r="AB156" s="2247"/>
      <c r="AC156" s="2248"/>
      <c r="AD156" s="2249"/>
      <c r="AE156" s="2249"/>
      <c r="AF156" s="2238"/>
      <c r="AG156" s="2264"/>
      <c r="AH156" s="918"/>
      <c r="AI156" s="2252" t="s">
        <v>15</v>
      </c>
      <c r="AJ156" s="2237"/>
      <c r="AK156" s="2237"/>
      <c r="AL156" s="2237"/>
      <c r="AM156" s="2237"/>
      <c r="AN156" s="2240"/>
      <c r="AO156" s="2241"/>
      <c r="AP156" s="2239"/>
      <c r="AQ156" s="2242"/>
      <c r="AR156" s="2250"/>
      <c r="AS156" s="2244"/>
      <c r="AT156" s="2244"/>
      <c r="AU156" s="2245"/>
      <c r="AV156" s="2246"/>
      <c r="AW156" s="2247"/>
      <c r="AX156" s="2248"/>
      <c r="AY156" s="2249"/>
      <c r="AZ156" s="2249"/>
      <c r="BA156" s="2238"/>
      <c r="BB156" s="2264"/>
      <c r="BC156" s="918"/>
      <c r="BD156" s="2252" t="s">
        <v>15</v>
      </c>
      <c r="BE156" s="2237"/>
      <c r="BF156" s="2237"/>
      <c r="BG156" s="2237"/>
      <c r="BH156" s="2237"/>
      <c r="BI156" s="2240"/>
      <c r="BJ156" s="2241"/>
      <c r="BK156" s="2239"/>
      <c r="BL156" s="2242"/>
      <c r="BM156" s="2250"/>
      <c r="BN156" s="2244"/>
      <c r="BO156" s="2244"/>
      <c r="BP156" s="2245"/>
      <c r="BQ156" s="2246"/>
      <c r="BR156" s="2247"/>
      <c r="BS156" s="2248"/>
      <c r="BT156" s="2249"/>
      <c r="BU156" s="2249"/>
      <c r="BV156" s="2238"/>
      <c r="BW156" s="2264"/>
      <c r="BY156" s="3">
        <v>1</v>
      </c>
    </row>
    <row r="157" spans="2:77" ht="21" customHeight="1">
      <c r="B157" s="2265" t="str" cm="1">
        <f t="array" ref="B157">SUMPRODUCT(--(D157:J157&lt;&gt;""), LEN(TRIM(SUBSTITUTE(D157:J157, CHAR(160), "")))) &amp; " Car."</f>
        <v>0 Car.</v>
      </c>
      <c r="C157" s="1376" t="str">
        <f>IF(ISBLANK(D157),"",LARGE(C13:C156,1)+1)</f>
        <v/>
      </c>
      <c r="D157" s="1833"/>
      <c r="E157" s="1810"/>
      <c r="F157" s="1810"/>
      <c r="G157" s="1810"/>
      <c r="H157" s="1810"/>
      <c r="I157" s="1810"/>
      <c r="J157" s="1810"/>
      <c r="K157" s="1810"/>
      <c r="L157" s="1811"/>
      <c r="M157" s="9"/>
      <c r="N157" s="2252" t="s">
        <v>15</v>
      </c>
      <c r="O157" s="2237"/>
      <c r="P157" s="2237"/>
      <c r="Q157" s="2237"/>
      <c r="R157" s="2237"/>
      <c r="S157" s="2240"/>
      <c r="T157" s="2241"/>
      <c r="U157" s="2239"/>
      <c r="V157" s="2242"/>
      <c r="W157" s="2250"/>
      <c r="X157" s="2244"/>
      <c r="Y157" s="2244"/>
      <c r="Z157" s="2245"/>
      <c r="AA157" s="2246"/>
      <c r="AB157" s="2247"/>
      <c r="AC157" s="2248"/>
      <c r="AD157" s="2249"/>
      <c r="AE157" s="2249"/>
      <c r="AF157" s="2238"/>
      <c r="AG157" s="2264"/>
      <c r="AH157" s="918"/>
      <c r="AI157" s="2252" t="s">
        <v>15</v>
      </c>
      <c r="AJ157" s="2237"/>
      <c r="AK157" s="2237"/>
      <c r="AL157" s="2237"/>
      <c r="AM157" s="2237"/>
      <c r="AN157" s="2240"/>
      <c r="AO157" s="2241"/>
      <c r="AP157" s="2239"/>
      <c r="AQ157" s="2242"/>
      <c r="AR157" s="2250"/>
      <c r="AS157" s="2244"/>
      <c r="AT157" s="2244"/>
      <c r="AU157" s="2245"/>
      <c r="AV157" s="2246"/>
      <c r="AW157" s="2247"/>
      <c r="AX157" s="2248"/>
      <c r="AY157" s="2249"/>
      <c r="AZ157" s="2249"/>
      <c r="BA157" s="2238"/>
      <c r="BB157" s="2264"/>
      <c r="BC157" s="918"/>
      <c r="BD157" s="2252" t="s">
        <v>15</v>
      </c>
      <c r="BE157" s="2237"/>
      <c r="BF157" s="2237"/>
      <c r="BG157" s="2237"/>
      <c r="BH157" s="2237"/>
      <c r="BI157" s="2240"/>
      <c r="BJ157" s="2241"/>
      <c r="BK157" s="2239"/>
      <c r="BL157" s="2242"/>
      <c r="BM157" s="2250"/>
      <c r="BN157" s="2244"/>
      <c r="BO157" s="2244"/>
      <c r="BP157" s="2245"/>
      <c r="BQ157" s="2246"/>
      <c r="BR157" s="2247"/>
      <c r="BS157" s="2248"/>
      <c r="BT157" s="2249"/>
      <c r="BU157" s="2249"/>
      <c r="BV157" s="2238"/>
      <c r="BW157" s="2264"/>
      <c r="BY157" s="3">
        <v>1</v>
      </c>
    </row>
    <row r="158" spans="2:77" ht="21" customHeight="1">
      <c r="B158" s="2265" t="str" cm="1">
        <f t="array" ref="B158">SUMPRODUCT(--(D158:J158&lt;&gt;""), LEN(TRIM(SUBSTITUTE(D158:J158, CHAR(160), "")))) &amp; " Car."</f>
        <v>0 Car.</v>
      </c>
      <c r="C158" s="1376" t="str">
        <f>IF(ISBLANK(D158),"",LARGE(C13:C157,1)+1)</f>
        <v/>
      </c>
      <c r="D158" s="1833"/>
      <c r="E158" s="1810"/>
      <c r="F158" s="1810"/>
      <c r="G158" s="1810"/>
      <c r="H158" s="1810"/>
      <c r="I158" s="1810"/>
      <c r="J158" s="1810"/>
      <c r="K158" s="1810"/>
      <c r="L158" s="1811"/>
      <c r="M158" s="9"/>
      <c r="N158" s="2252" t="s">
        <v>15</v>
      </c>
      <c r="O158" s="2237"/>
      <c r="P158" s="2237"/>
      <c r="Q158" s="2237"/>
      <c r="R158" s="2237"/>
      <c r="S158" s="2240"/>
      <c r="T158" s="2241"/>
      <c r="U158" s="2239"/>
      <c r="V158" s="2242"/>
      <c r="W158" s="2250"/>
      <c r="X158" s="2244"/>
      <c r="Y158" s="2244"/>
      <c r="Z158" s="2245"/>
      <c r="AA158" s="2246"/>
      <c r="AB158" s="2247"/>
      <c r="AC158" s="2248"/>
      <c r="AD158" s="2249"/>
      <c r="AE158" s="2249"/>
      <c r="AF158" s="2238"/>
      <c r="AG158" s="2264"/>
      <c r="AH158" s="918"/>
      <c r="AI158" s="2252" t="s">
        <v>15</v>
      </c>
      <c r="AJ158" s="2237"/>
      <c r="AK158" s="2237"/>
      <c r="AL158" s="2237"/>
      <c r="AM158" s="2237"/>
      <c r="AN158" s="2240"/>
      <c r="AO158" s="2241"/>
      <c r="AP158" s="2239"/>
      <c r="AQ158" s="2242"/>
      <c r="AR158" s="2250"/>
      <c r="AS158" s="2244"/>
      <c r="AT158" s="2244"/>
      <c r="AU158" s="2245"/>
      <c r="AV158" s="2246"/>
      <c r="AW158" s="2247"/>
      <c r="AX158" s="2248"/>
      <c r="AY158" s="2249"/>
      <c r="AZ158" s="2249"/>
      <c r="BA158" s="2238"/>
      <c r="BB158" s="2264"/>
      <c r="BC158" s="918"/>
      <c r="BD158" s="2252" t="s">
        <v>15</v>
      </c>
      <c r="BE158" s="2237"/>
      <c r="BF158" s="2237"/>
      <c r="BG158" s="2237"/>
      <c r="BH158" s="2237"/>
      <c r="BI158" s="2240"/>
      <c r="BJ158" s="2241"/>
      <c r="BK158" s="2239"/>
      <c r="BL158" s="2242"/>
      <c r="BM158" s="2250"/>
      <c r="BN158" s="2244"/>
      <c r="BO158" s="2244"/>
      <c r="BP158" s="2245"/>
      <c r="BQ158" s="2246"/>
      <c r="BR158" s="2247"/>
      <c r="BS158" s="2248"/>
      <c r="BT158" s="2249"/>
      <c r="BU158" s="2249"/>
      <c r="BV158" s="2238"/>
      <c r="BW158" s="2264"/>
      <c r="BY158" s="3">
        <v>1</v>
      </c>
    </row>
    <row r="159" spans="2:77" ht="21" customHeight="1">
      <c r="B159" s="2265" t="str" cm="1">
        <f t="array" ref="B159">SUMPRODUCT(--(D159:J159&lt;&gt;""), LEN(TRIM(SUBSTITUTE(D159:J159, CHAR(160), "")))) &amp; " Car."</f>
        <v>0 Car.</v>
      </c>
      <c r="C159" s="1376" t="str">
        <f>IF(ISBLANK(D159),"",LARGE(C13:C158,1)+1)</f>
        <v/>
      </c>
      <c r="D159" s="1833"/>
      <c r="E159" s="1810"/>
      <c r="F159" s="1810"/>
      <c r="G159" s="1810"/>
      <c r="H159" s="1810"/>
      <c r="I159" s="1810"/>
      <c r="J159" s="1810"/>
      <c r="K159" s="1810"/>
      <c r="L159" s="1811"/>
      <c r="M159" s="9"/>
      <c r="N159" s="2252" t="s">
        <v>15</v>
      </c>
      <c r="O159" s="2237"/>
      <c r="P159" s="2237"/>
      <c r="Q159" s="2237"/>
      <c r="R159" s="2237"/>
      <c r="S159" s="2240"/>
      <c r="T159" s="2241"/>
      <c r="U159" s="2239"/>
      <c r="V159" s="2242"/>
      <c r="W159" s="2250"/>
      <c r="X159" s="2244"/>
      <c r="Y159" s="2244"/>
      <c r="Z159" s="2245"/>
      <c r="AA159" s="2246"/>
      <c r="AB159" s="2247"/>
      <c r="AC159" s="2248"/>
      <c r="AD159" s="2249"/>
      <c r="AE159" s="2249"/>
      <c r="AF159" s="2238"/>
      <c r="AG159" s="2264"/>
      <c r="AH159" s="918"/>
      <c r="AI159" s="2252" t="s">
        <v>15</v>
      </c>
      <c r="AJ159" s="2237"/>
      <c r="AK159" s="2237"/>
      <c r="AL159" s="2237"/>
      <c r="AM159" s="2237"/>
      <c r="AN159" s="2240"/>
      <c r="AO159" s="2241"/>
      <c r="AP159" s="2239"/>
      <c r="AQ159" s="2242"/>
      <c r="AR159" s="2250"/>
      <c r="AS159" s="2244"/>
      <c r="AT159" s="2244"/>
      <c r="AU159" s="2245"/>
      <c r="AV159" s="2246"/>
      <c r="AW159" s="2247"/>
      <c r="AX159" s="2248"/>
      <c r="AY159" s="2249"/>
      <c r="AZ159" s="2249"/>
      <c r="BA159" s="2238"/>
      <c r="BB159" s="2264"/>
      <c r="BC159" s="918"/>
      <c r="BD159" s="2252" t="s">
        <v>15</v>
      </c>
      <c r="BE159" s="2237"/>
      <c r="BF159" s="2237"/>
      <c r="BG159" s="2237"/>
      <c r="BH159" s="2237"/>
      <c r="BI159" s="2240"/>
      <c r="BJ159" s="2241"/>
      <c r="BK159" s="2239"/>
      <c r="BL159" s="2242"/>
      <c r="BM159" s="2250"/>
      <c r="BN159" s="2244"/>
      <c r="BO159" s="2244"/>
      <c r="BP159" s="2245"/>
      <c r="BQ159" s="2246"/>
      <c r="BR159" s="2247"/>
      <c r="BS159" s="2248"/>
      <c r="BT159" s="2249"/>
      <c r="BU159" s="2249"/>
      <c r="BV159" s="2238"/>
      <c r="BW159" s="2264"/>
      <c r="BY159" s="3">
        <v>1</v>
      </c>
    </row>
    <row r="160" spans="2:77" ht="21" customHeight="1">
      <c r="B160" s="2265" t="str" cm="1">
        <f t="array" ref="B160">SUMPRODUCT(--(D160:J160&lt;&gt;""), LEN(TRIM(SUBSTITUTE(D160:J160, CHAR(160), "")))) &amp; " Car."</f>
        <v>0 Car.</v>
      </c>
      <c r="C160" s="1376" t="str">
        <f>IF(ISBLANK(D160),"",LARGE(C13:C159,1)+1)</f>
        <v/>
      </c>
      <c r="D160" s="1833"/>
      <c r="E160" s="1810"/>
      <c r="F160" s="1810"/>
      <c r="G160" s="1810"/>
      <c r="H160" s="1810"/>
      <c r="I160" s="1810"/>
      <c r="J160" s="1810"/>
      <c r="K160" s="1810"/>
      <c r="L160" s="1811"/>
      <c r="M160" s="9"/>
      <c r="N160" s="2252" t="s">
        <v>15</v>
      </c>
      <c r="O160" s="2237"/>
      <c r="P160" s="2237"/>
      <c r="Q160" s="2237"/>
      <c r="R160" s="2237"/>
      <c r="S160" s="2240"/>
      <c r="T160" s="2241"/>
      <c r="U160" s="2239"/>
      <c r="V160" s="2242"/>
      <c r="W160" s="2250"/>
      <c r="X160" s="2244"/>
      <c r="Y160" s="2244"/>
      <c r="Z160" s="2245"/>
      <c r="AA160" s="2246"/>
      <c r="AB160" s="2247"/>
      <c r="AC160" s="2248"/>
      <c r="AD160" s="2249"/>
      <c r="AE160" s="2249"/>
      <c r="AF160" s="2238"/>
      <c r="AG160" s="2264"/>
      <c r="AH160" s="918"/>
      <c r="AI160" s="2252" t="s">
        <v>15</v>
      </c>
      <c r="AJ160" s="2237"/>
      <c r="AK160" s="2237"/>
      <c r="AL160" s="2237"/>
      <c r="AM160" s="2237"/>
      <c r="AN160" s="2240"/>
      <c r="AO160" s="2241"/>
      <c r="AP160" s="2239"/>
      <c r="AQ160" s="2242"/>
      <c r="AR160" s="2250"/>
      <c r="AS160" s="2244"/>
      <c r="AT160" s="2244"/>
      <c r="AU160" s="2245"/>
      <c r="AV160" s="2246"/>
      <c r="AW160" s="2247"/>
      <c r="AX160" s="2248"/>
      <c r="AY160" s="2249"/>
      <c r="AZ160" s="2249"/>
      <c r="BA160" s="2238"/>
      <c r="BB160" s="2264"/>
      <c r="BC160" s="918"/>
      <c r="BD160" s="2252" t="s">
        <v>15</v>
      </c>
      <c r="BE160" s="2237"/>
      <c r="BF160" s="2237"/>
      <c r="BG160" s="2237"/>
      <c r="BH160" s="2237"/>
      <c r="BI160" s="2240"/>
      <c r="BJ160" s="2241"/>
      <c r="BK160" s="2239"/>
      <c r="BL160" s="2242"/>
      <c r="BM160" s="2250"/>
      <c r="BN160" s="2244"/>
      <c r="BO160" s="2244"/>
      <c r="BP160" s="2245"/>
      <c r="BQ160" s="2246"/>
      <c r="BR160" s="2247"/>
      <c r="BS160" s="2248"/>
      <c r="BT160" s="2249"/>
      <c r="BU160" s="2249"/>
      <c r="BV160" s="2238"/>
      <c r="BW160" s="2264"/>
      <c r="BY160" s="3">
        <v>1</v>
      </c>
    </row>
    <row r="161" spans="2:77" ht="21" customHeight="1">
      <c r="B161" s="2265" t="str" cm="1">
        <f t="array" ref="B161">SUMPRODUCT(--(D161:J161&lt;&gt;""), LEN(TRIM(SUBSTITUTE(D161:J161, CHAR(160), "")))) &amp; " Car."</f>
        <v>0 Car.</v>
      </c>
      <c r="C161" s="1376" t="str">
        <f>IF(ISBLANK(D161),"",LARGE(C13:C160,1)+1)</f>
        <v/>
      </c>
      <c r="D161" s="1833"/>
      <c r="E161" s="1810"/>
      <c r="F161" s="1810"/>
      <c r="G161" s="1810"/>
      <c r="H161" s="1810"/>
      <c r="I161" s="1810"/>
      <c r="J161" s="1810"/>
      <c r="K161" s="1810"/>
      <c r="L161" s="1811"/>
      <c r="M161" s="9"/>
      <c r="N161" s="2252" t="s">
        <v>15</v>
      </c>
      <c r="O161" s="2237"/>
      <c r="P161" s="2237"/>
      <c r="Q161" s="2237"/>
      <c r="R161" s="2237"/>
      <c r="S161" s="2240"/>
      <c r="T161" s="2241"/>
      <c r="U161" s="2239"/>
      <c r="V161" s="2242"/>
      <c r="W161" s="2250"/>
      <c r="X161" s="2244"/>
      <c r="Y161" s="2244"/>
      <c r="Z161" s="2245"/>
      <c r="AA161" s="2246"/>
      <c r="AB161" s="2247"/>
      <c r="AC161" s="2248"/>
      <c r="AD161" s="2249"/>
      <c r="AE161" s="2249"/>
      <c r="AF161" s="2238"/>
      <c r="AG161" s="2264"/>
      <c r="AH161" s="918"/>
      <c r="AI161" s="2252" t="s">
        <v>15</v>
      </c>
      <c r="AJ161" s="2237"/>
      <c r="AK161" s="2237"/>
      <c r="AL161" s="2237"/>
      <c r="AM161" s="2237"/>
      <c r="AN161" s="2240"/>
      <c r="AO161" s="2241"/>
      <c r="AP161" s="2239"/>
      <c r="AQ161" s="2242"/>
      <c r="AR161" s="2250"/>
      <c r="AS161" s="2244"/>
      <c r="AT161" s="2244"/>
      <c r="AU161" s="2245"/>
      <c r="AV161" s="2246"/>
      <c r="AW161" s="2247"/>
      <c r="AX161" s="2248"/>
      <c r="AY161" s="2249"/>
      <c r="AZ161" s="2249"/>
      <c r="BA161" s="2238"/>
      <c r="BB161" s="2264"/>
      <c r="BC161" s="918"/>
      <c r="BD161" s="2252" t="s">
        <v>15</v>
      </c>
      <c r="BE161" s="2237"/>
      <c r="BF161" s="2237"/>
      <c r="BG161" s="2237"/>
      <c r="BH161" s="2237"/>
      <c r="BI161" s="2240"/>
      <c r="BJ161" s="2241"/>
      <c r="BK161" s="2239"/>
      <c r="BL161" s="2242"/>
      <c r="BM161" s="2250"/>
      <c r="BN161" s="2244"/>
      <c r="BO161" s="2244"/>
      <c r="BP161" s="2245"/>
      <c r="BQ161" s="2246"/>
      <c r="BR161" s="2247"/>
      <c r="BS161" s="2248"/>
      <c r="BT161" s="2249"/>
      <c r="BU161" s="2249"/>
      <c r="BV161" s="2238"/>
      <c r="BW161" s="2264"/>
      <c r="BY161" s="3">
        <v>1</v>
      </c>
    </row>
    <row r="162" spans="2:77" ht="21" customHeight="1">
      <c r="B162" s="2265" t="str" cm="1">
        <f t="array" ref="B162">SUMPRODUCT(--(D162:J162&lt;&gt;""), LEN(TRIM(SUBSTITUTE(D162:J162, CHAR(160), "")))) &amp; " Car."</f>
        <v>0 Car.</v>
      </c>
      <c r="C162" s="1376" t="str">
        <f>IF(ISBLANK(D162),"",LARGE(C13:C161,1)+1)</f>
        <v/>
      </c>
      <c r="D162" s="1833"/>
      <c r="E162" s="1810"/>
      <c r="F162" s="1810"/>
      <c r="G162" s="1810"/>
      <c r="H162" s="1810"/>
      <c r="I162" s="1810"/>
      <c r="J162" s="1810"/>
      <c r="K162" s="1810"/>
      <c r="L162" s="1811"/>
      <c r="M162" s="9"/>
      <c r="N162" s="2252" t="s">
        <v>15</v>
      </c>
      <c r="O162" s="2237"/>
      <c r="P162" s="2237"/>
      <c r="Q162" s="2237"/>
      <c r="R162" s="2237"/>
      <c r="S162" s="2240"/>
      <c r="T162" s="2241"/>
      <c r="U162" s="2239"/>
      <c r="V162" s="2242"/>
      <c r="W162" s="2250"/>
      <c r="X162" s="2244"/>
      <c r="Y162" s="2244"/>
      <c r="Z162" s="2245"/>
      <c r="AA162" s="2246"/>
      <c r="AB162" s="2247"/>
      <c r="AC162" s="2248"/>
      <c r="AD162" s="2249"/>
      <c r="AE162" s="2249"/>
      <c r="AF162" s="2238"/>
      <c r="AG162" s="2264"/>
      <c r="AH162" s="918"/>
      <c r="AI162" s="2252" t="s">
        <v>15</v>
      </c>
      <c r="AJ162" s="2237"/>
      <c r="AK162" s="2237"/>
      <c r="AL162" s="2237"/>
      <c r="AM162" s="2237"/>
      <c r="AN162" s="2240"/>
      <c r="AO162" s="2241"/>
      <c r="AP162" s="2239"/>
      <c r="AQ162" s="2242"/>
      <c r="AR162" s="2250"/>
      <c r="AS162" s="2244"/>
      <c r="AT162" s="2244"/>
      <c r="AU162" s="2245"/>
      <c r="AV162" s="2246"/>
      <c r="AW162" s="2247"/>
      <c r="AX162" s="2248"/>
      <c r="AY162" s="2249"/>
      <c r="AZ162" s="2249"/>
      <c r="BA162" s="2238"/>
      <c r="BB162" s="2264"/>
      <c r="BC162" s="918"/>
      <c r="BD162" s="2252" t="s">
        <v>15</v>
      </c>
      <c r="BE162" s="2237"/>
      <c r="BF162" s="2237"/>
      <c r="BG162" s="2237"/>
      <c r="BH162" s="2237"/>
      <c r="BI162" s="2240"/>
      <c r="BJ162" s="2241"/>
      <c r="BK162" s="2239"/>
      <c r="BL162" s="2242"/>
      <c r="BM162" s="2250"/>
      <c r="BN162" s="2244"/>
      <c r="BO162" s="2244"/>
      <c r="BP162" s="2245"/>
      <c r="BQ162" s="2246"/>
      <c r="BR162" s="2247"/>
      <c r="BS162" s="2248"/>
      <c r="BT162" s="2249"/>
      <c r="BU162" s="2249"/>
      <c r="BV162" s="2238"/>
      <c r="BW162" s="2264"/>
      <c r="BY162" s="3">
        <v>1</v>
      </c>
    </row>
    <row r="163" spans="2:77" ht="21" customHeight="1">
      <c r="B163" s="2265" t="str" cm="1">
        <f t="array" ref="B163">SUMPRODUCT(--(D163:J163&lt;&gt;""), LEN(TRIM(SUBSTITUTE(D163:J163, CHAR(160), "")))) &amp; " Car."</f>
        <v>0 Car.</v>
      </c>
      <c r="C163" s="1376" t="str">
        <f>IF(ISBLANK(D163),"",LARGE(C13:C162,1)+1)</f>
        <v/>
      </c>
      <c r="D163" s="1833"/>
      <c r="E163" s="1810"/>
      <c r="F163" s="1810"/>
      <c r="G163" s="1810"/>
      <c r="H163" s="1810"/>
      <c r="I163" s="1810"/>
      <c r="J163" s="1810"/>
      <c r="K163" s="1810"/>
      <c r="L163" s="1811"/>
      <c r="M163" s="9"/>
      <c r="N163" s="2252" t="s">
        <v>15</v>
      </c>
      <c r="O163" s="2237"/>
      <c r="P163" s="2237"/>
      <c r="Q163" s="2237"/>
      <c r="R163" s="2237"/>
      <c r="S163" s="2240"/>
      <c r="T163" s="2241"/>
      <c r="U163" s="2239"/>
      <c r="V163" s="2242"/>
      <c r="W163" s="2250"/>
      <c r="X163" s="2244"/>
      <c r="Y163" s="2244"/>
      <c r="Z163" s="2245"/>
      <c r="AA163" s="2246"/>
      <c r="AB163" s="2247"/>
      <c r="AC163" s="2248"/>
      <c r="AD163" s="2249"/>
      <c r="AE163" s="2249"/>
      <c r="AF163" s="2238"/>
      <c r="AG163" s="2264"/>
      <c r="AH163" s="918"/>
      <c r="AI163" s="2252" t="s">
        <v>15</v>
      </c>
      <c r="AJ163" s="2237"/>
      <c r="AK163" s="2237"/>
      <c r="AL163" s="2237"/>
      <c r="AM163" s="2237"/>
      <c r="AN163" s="2240"/>
      <c r="AO163" s="2241"/>
      <c r="AP163" s="2239"/>
      <c r="AQ163" s="2242"/>
      <c r="AR163" s="2250"/>
      <c r="AS163" s="2244"/>
      <c r="AT163" s="2244"/>
      <c r="AU163" s="2245"/>
      <c r="AV163" s="2246"/>
      <c r="AW163" s="2247"/>
      <c r="AX163" s="2248"/>
      <c r="AY163" s="2249"/>
      <c r="AZ163" s="2249"/>
      <c r="BA163" s="2238"/>
      <c r="BB163" s="2264"/>
      <c r="BC163" s="918"/>
      <c r="BD163" s="2252" t="s">
        <v>15</v>
      </c>
      <c r="BE163" s="2237"/>
      <c r="BF163" s="2237"/>
      <c r="BG163" s="2237"/>
      <c r="BH163" s="2237"/>
      <c r="BI163" s="2240"/>
      <c r="BJ163" s="2241"/>
      <c r="BK163" s="2239"/>
      <c r="BL163" s="2242"/>
      <c r="BM163" s="2250"/>
      <c r="BN163" s="2244"/>
      <c r="BO163" s="2244"/>
      <c r="BP163" s="2245"/>
      <c r="BQ163" s="2246"/>
      <c r="BR163" s="2247"/>
      <c r="BS163" s="2248"/>
      <c r="BT163" s="2249"/>
      <c r="BU163" s="2249"/>
      <c r="BV163" s="2238"/>
      <c r="BW163" s="2264"/>
      <c r="BY163" s="3">
        <v>1</v>
      </c>
    </row>
    <row r="164" spans="2:77" ht="21" customHeight="1">
      <c r="B164" s="2265" t="str" cm="1">
        <f t="array" ref="B164">SUMPRODUCT(--(D164:J164&lt;&gt;""), LEN(TRIM(SUBSTITUTE(D164:J164, CHAR(160), "")))) &amp; " Car."</f>
        <v>0 Car.</v>
      </c>
      <c r="C164" s="1376" t="str">
        <f>IF(ISBLANK(D164),"",LARGE(C13:C163,1)+1)</f>
        <v/>
      </c>
      <c r="D164" s="1833"/>
      <c r="E164" s="1810"/>
      <c r="F164" s="1810"/>
      <c r="G164" s="1810"/>
      <c r="H164" s="1810"/>
      <c r="I164" s="1810"/>
      <c r="J164" s="1810"/>
      <c r="K164" s="1810"/>
      <c r="L164" s="1811"/>
      <c r="M164" s="9"/>
      <c r="N164" s="2252" t="s">
        <v>15</v>
      </c>
      <c r="O164" s="2237"/>
      <c r="P164" s="2237"/>
      <c r="Q164" s="2237"/>
      <c r="R164" s="2237"/>
      <c r="S164" s="2240"/>
      <c r="T164" s="2241"/>
      <c r="U164" s="2239"/>
      <c r="V164" s="2242"/>
      <c r="W164" s="2250"/>
      <c r="X164" s="2244"/>
      <c r="Y164" s="2244"/>
      <c r="Z164" s="2245"/>
      <c r="AA164" s="2246"/>
      <c r="AB164" s="2247"/>
      <c r="AC164" s="2248"/>
      <c r="AD164" s="2249"/>
      <c r="AE164" s="2249"/>
      <c r="AF164" s="2238"/>
      <c r="AG164" s="2264"/>
      <c r="AH164" s="918"/>
      <c r="AI164" s="2252" t="s">
        <v>15</v>
      </c>
      <c r="AJ164" s="2237"/>
      <c r="AK164" s="2237"/>
      <c r="AL164" s="2237"/>
      <c r="AM164" s="2237"/>
      <c r="AN164" s="2240"/>
      <c r="AO164" s="2241"/>
      <c r="AP164" s="2239"/>
      <c r="AQ164" s="2242"/>
      <c r="AR164" s="2250"/>
      <c r="AS164" s="2244"/>
      <c r="AT164" s="2244"/>
      <c r="AU164" s="2245"/>
      <c r="AV164" s="2246"/>
      <c r="AW164" s="2247"/>
      <c r="AX164" s="2248"/>
      <c r="AY164" s="2249"/>
      <c r="AZ164" s="2249"/>
      <c r="BA164" s="2238"/>
      <c r="BB164" s="2264"/>
      <c r="BC164" s="918"/>
      <c r="BD164" s="2252" t="s">
        <v>15</v>
      </c>
      <c r="BE164" s="2237"/>
      <c r="BF164" s="2237"/>
      <c r="BG164" s="2237"/>
      <c r="BH164" s="2237"/>
      <c r="BI164" s="2240"/>
      <c r="BJ164" s="2241"/>
      <c r="BK164" s="2239"/>
      <c r="BL164" s="2242"/>
      <c r="BM164" s="2250"/>
      <c r="BN164" s="2244"/>
      <c r="BO164" s="2244"/>
      <c r="BP164" s="2245"/>
      <c r="BQ164" s="2246"/>
      <c r="BR164" s="2247"/>
      <c r="BS164" s="2248"/>
      <c r="BT164" s="2249"/>
      <c r="BU164" s="2249"/>
      <c r="BV164" s="2238"/>
      <c r="BW164" s="2264"/>
      <c r="BY164" s="3">
        <v>1</v>
      </c>
    </row>
    <row r="165" spans="2:77" ht="21" customHeight="1">
      <c r="B165" s="2265" t="str" cm="1">
        <f t="array" ref="B165">SUMPRODUCT(--(D165:J165&lt;&gt;""), LEN(TRIM(SUBSTITUTE(D165:J165, CHAR(160), "")))) &amp; " Car."</f>
        <v>0 Car.</v>
      </c>
      <c r="C165" s="1376" t="str">
        <f>IF(ISBLANK(D165),"",LARGE(C13:C164,1)+1)</f>
        <v/>
      </c>
      <c r="D165" s="1833"/>
      <c r="E165" s="1810"/>
      <c r="F165" s="1810"/>
      <c r="G165" s="1810"/>
      <c r="H165" s="1810"/>
      <c r="I165" s="1810"/>
      <c r="J165" s="1810"/>
      <c r="K165" s="1810"/>
      <c r="L165" s="1811"/>
      <c r="M165" s="9"/>
      <c r="N165" s="2252" t="s">
        <v>15</v>
      </c>
      <c r="O165" s="2237"/>
      <c r="P165" s="2237"/>
      <c r="Q165" s="2237"/>
      <c r="R165" s="2237"/>
      <c r="S165" s="2240"/>
      <c r="T165" s="2241"/>
      <c r="U165" s="2239"/>
      <c r="V165" s="2242"/>
      <c r="W165" s="2250"/>
      <c r="X165" s="2244"/>
      <c r="Y165" s="2244"/>
      <c r="Z165" s="2245"/>
      <c r="AA165" s="2246"/>
      <c r="AB165" s="2247"/>
      <c r="AC165" s="2248"/>
      <c r="AD165" s="2249"/>
      <c r="AE165" s="2249"/>
      <c r="AF165" s="2238"/>
      <c r="AG165" s="2264"/>
      <c r="AH165" s="918"/>
      <c r="AI165" s="2252" t="s">
        <v>15</v>
      </c>
      <c r="AJ165" s="2237"/>
      <c r="AK165" s="2237"/>
      <c r="AL165" s="2237"/>
      <c r="AM165" s="2237"/>
      <c r="AN165" s="2240"/>
      <c r="AO165" s="2241"/>
      <c r="AP165" s="2239"/>
      <c r="AQ165" s="2242"/>
      <c r="AR165" s="2250"/>
      <c r="AS165" s="2244"/>
      <c r="AT165" s="2244"/>
      <c r="AU165" s="2245"/>
      <c r="AV165" s="2246"/>
      <c r="AW165" s="2247"/>
      <c r="AX165" s="2248"/>
      <c r="AY165" s="2249"/>
      <c r="AZ165" s="2249"/>
      <c r="BA165" s="2238"/>
      <c r="BB165" s="2264"/>
      <c r="BC165" s="918"/>
      <c r="BD165" s="2252" t="s">
        <v>15</v>
      </c>
      <c r="BE165" s="2237"/>
      <c r="BF165" s="2237"/>
      <c r="BG165" s="2237"/>
      <c r="BH165" s="2237"/>
      <c r="BI165" s="2240"/>
      <c r="BJ165" s="2241"/>
      <c r="BK165" s="2239"/>
      <c r="BL165" s="2242"/>
      <c r="BM165" s="2250"/>
      <c r="BN165" s="2244"/>
      <c r="BO165" s="2244"/>
      <c r="BP165" s="2245"/>
      <c r="BQ165" s="2246"/>
      <c r="BR165" s="2247"/>
      <c r="BS165" s="2248"/>
      <c r="BT165" s="2249"/>
      <c r="BU165" s="2249"/>
      <c r="BV165" s="2238"/>
      <c r="BW165" s="2264"/>
      <c r="BY165" s="3">
        <v>1</v>
      </c>
    </row>
    <row r="166" spans="2:77" ht="21" customHeight="1">
      <c r="B166" s="2265" t="str" cm="1">
        <f t="array" ref="B166">SUMPRODUCT(--(D166:J166&lt;&gt;""), LEN(TRIM(SUBSTITUTE(D166:J166, CHAR(160), "")))) &amp; " Car."</f>
        <v>0 Car.</v>
      </c>
      <c r="C166" s="1376" t="str">
        <f>IF(ISBLANK(D166),"",LARGE(C13:C165,1)+1)</f>
        <v/>
      </c>
      <c r="D166" s="1833"/>
      <c r="E166" s="1810"/>
      <c r="F166" s="1810"/>
      <c r="G166" s="1810"/>
      <c r="H166" s="1810"/>
      <c r="I166" s="1810"/>
      <c r="J166" s="1810"/>
      <c r="K166" s="1810"/>
      <c r="L166" s="1811"/>
      <c r="M166" s="9"/>
      <c r="N166" s="2252" t="s">
        <v>15</v>
      </c>
      <c r="O166" s="2237"/>
      <c r="P166" s="2237"/>
      <c r="Q166" s="2237"/>
      <c r="R166" s="2237"/>
      <c r="S166" s="2240"/>
      <c r="T166" s="2241"/>
      <c r="U166" s="2239"/>
      <c r="V166" s="2242"/>
      <c r="W166" s="2250"/>
      <c r="X166" s="2244"/>
      <c r="Y166" s="2244"/>
      <c r="Z166" s="2245"/>
      <c r="AA166" s="2246"/>
      <c r="AB166" s="2247"/>
      <c r="AC166" s="2248"/>
      <c r="AD166" s="2249"/>
      <c r="AE166" s="2249"/>
      <c r="AF166" s="2238"/>
      <c r="AG166" s="2264"/>
      <c r="AH166" s="918"/>
      <c r="AI166" s="2252" t="s">
        <v>15</v>
      </c>
      <c r="AJ166" s="2237"/>
      <c r="AK166" s="2237"/>
      <c r="AL166" s="2237"/>
      <c r="AM166" s="2237"/>
      <c r="AN166" s="2240"/>
      <c r="AO166" s="2241"/>
      <c r="AP166" s="2239"/>
      <c r="AQ166" s="2242"/>
      <c r="AR166" s="2250"/>
      <c r="AS166" s="2244"/>
      <c r="AT166" s="2244"/>
      <c r="AU166" s="2245"/>
      <c r="AV166" s="2246"/>
      <c r="AW166" s="2247"/>
      <c r="AX166" s="2248"/>
      <c r="AY166" s="2249"/>
      <c r="AZ166" s="2249"/>
      <c r="BA166" s="2238"/>
      <c r="BB166" s="2264"/>
      <c r="BC166" s="918"/>
      <c r="BD166" s="2252" t="s">
        <v>15</v>
      </c>
      <c r="BE166" s="2237"/>
      <c r="BF166" s="2237"/>
      <c r="BG166" s="2237"/>
      <c r="BH166" s="2237"/>
      <c r="BI166" s="2240"/>
      <c r="BJ166" s="2241"/>
      <c r="BK166" s="2239"/>
      <c r="BL166" s="2242"/>
      <c r="BM166" s="2250"/>
      <c r="BN166" s="2244"/>
      <c r="BO166" s="2244"/>
      <c r="BP166" s="2245"/>
      <c r="BQ166" s="2246"/>
      <c r="BR166" s="2247"/>
      <c r="BS166" s="2248"/>
      <c r="BT166" s="2249"/>
      <c r="BU166" s="2249"/>
      <c r="BV166" s="2238"/>
      <c r="BW166" s="2264"/>
      <c r="BY166" s="3">
        <v>1</v>
      </c>
    </row>
    <row r="167" spans="2:77" ht="21" customHeight="1">
      <c r="B167" s="2265" t="str" cm="1">
        <f t="array" ref="B167">SUMPRODUCT(--(D167:J167&lt;&gt;""), LEN(TRIM(SUBSTITUTE(D167:J167, CHAR(160), "")))) &amp; " Car."</f>
        <v>0 Car.</v>
      </c>
      <c r="C167" s="1376" t="str">
        <f>IF(ISBLANK(D167),"",LARGE(C13:C166,1)+1)</f>
        <v/>
      </c>
      <c r="D167" s="1833"/>
      <c r="E167" s="1810"/>
      <c r="F167" s="1810"/>
      <c r="G167" s="1810"/>
      <c r="H167" s="1810"/>
      <c r="I167" s="1810"/>
      <c r="J167" s="1810"/>
      <c r="K167" s="1810"/>
      <c r="L167" s="1811"/>
      <c r="M167" s="9"/>
      <c r="N167" s="2252" t="s">
        <v>15</v>
      </c>
      <c r="O167" s="2237"/>
      <c r="P167" s="2237"/>
      <c r="Q167" s="2237"/>
      <c r="R167" s="2237"/>
      <c r="S167" s="2240"/>
      <c r="T167" s="2241"/>
      <c r="U167" s="2239"/>
      <c r="V167" s="2242"/>
      <c r="W167" s="2250"/>
      <c r="X167" s="2244"/>
      <c r="Y167" s="2244"/>
      <c r="Z167" s="2245"/>
      <c r="AA167" s="2246"/>
      <c r="AB167" s="2247"/>
      <c r="AC167" s="2248"/>
      <c r="AD167" s="2249"/>
      <c r="AE167" s="2249"/>
      <c r="AF167" s="2238"/>
      <c r="AG167" s="2264"/>
      <c r="AH167" s="918"/>
      <c r="AI167" s="2252" t="s">
        <v>15</v>
      </c>
      <c r="AJ167" s="2237"/>
      <c r="AK167" s="2237"/>
      <c r="AL167" s="2237"/>
      <c r="AM167" s="2237"/>
      <c r="AN167" s="2240"/>
      <c r="AO167" s="2241"/>
      <c r="AP167" s="2239"/>
      <c r="AQ167" s="2242"/>
      <c r="AR167" s="2250"/>
      <c r="AS167" s="2244"/>
      <c r="AT167" s="2244"/>
      <c r="AU167" s="2245"/>
      <c r="AV167" s="2246"/>
      <c r="AW167" s="2247"/>
      <c r="AX167" s="2248"/>
      <c r="AY167" s="2249"/>
      <c r="AZ167" s="2249"/>
      <c r="BA167" s="2238"/>
      <c r="BB167" s="2264"/>
      <c r="BC167" s="918"/>
      <c r="BD167" s="2252" t="s">
        <v>15</v>
      </c>
      <c r="BE167" s="2237"/>
      <c r="BF167" s="2237"/>
      <c r="BG167" s="2237"/>
      <c r="BH167" s="2237"/>
      <c r="BI167" s="2240"/>
      <c r="BJ167" s="2241"/>
      <c r="BK167" s="2239"/>
      <c r="BL167" s="2242"/>
      <c r="BM167" s="2250"/>
      <c r="BN167" s="2244"/>
      <c r="BO167" s="2244"/>
      <c r="BP167" s="2245"/>
      <c r="BQ167" s="2246"/>
      <c r="BR167" s="2247"/>
      <c r="BS167" s="2248"/>
      <c r="BT167" s="2249"/>
      <c r="BU167" s="2249"/>
      <c r="BV167" s="2238"/>
      <c r="BW167" s="2264"/>
      <c r="BY167" s="3">
        <v>1</v>
      </c>
    </row>
    <row r="168" spans="2:77" ht="21" customHeight="1">
      <c r="B168" s="2265" t="str" cm="1">
        <f t="array" ref="B168">SUMPRODUCT(--(D168:J168&lt;&gt;""), LEN(TRIM(SUBSTITUTE(D168:J168, CHAR(160), "")))) &amp; " Car."</f>
        <v>0 Car.</v>
      </c>
      <c r="C168" s="1376" t="str">
        <f>IF(ISBLANK(D168),"",LARGE(C13:C167,1)+1)</f>
        <v/>
      </c>
      <c r="D168" s="1833"/>
      <c r="E168" s="1810"/>
      <c r="F168" s="1810"/>
      <c r="G168" s="1810"/>
      <c r="H168" s="1810"/>
      <c r="I168" s="1810"/>
      <c r="J168" s="1810"/>
      <c r="K168" s="1810"/>
      <c r="L168" s="1811"/>
      <c r="M168" s="9"/>
      <c r="N168" s="2252" t="s">
        <v>15</v>
      </c>
      <c r="O168" s="2237"/>
      <c r="P168" s="2237"/>
      <c r="Q168" s="2237"/>
      <c r="R168" s="2237"/>
      <c r="S168" s="2240"/>
      <c r="T168" s="2241"/>
      <c r="U168" s="2239"/>
      <c r="V168" s="2242"/>
      <c r="W168" s="2250"/>
      <c r="X168" s="2244"/>
      <c r="Y168" s="2244"/>
      <c r="Z168" s="2245"/>
      <c r="AA168" s="2246"/>
      <c r="AB168" s="2247"/>
      <c r="AC168" s="2248"/>
      <c r="AD168" s="2249"/>
      <c r="AE168" s="2249"/>
      <c r="AF168" s="2238"/>
      <c r="AG168" s="2264"/>
      <c r="AH168" s="918"/>
      <c r="AI168" s="2252" t="s">
        <v>15</v>
      </c>
      <c r="AJ168" s="2237"/>
      <c r="AK168" s="2237"/>
      <c r="AL168" s="2237"/>
      <c r="AM168" s="2237"/>
      <c r="AN168" s="2240"/>
      <c r="AO168" s="2241"/>
      <c r="AP168" s="2239"/>
      <c r="AQ168" s="2242"/>
      <c r="AR168" s="2250"/>
      <c r="AS168" s="2244"/>
      <c r="AT168" s="2244"/>
      <c r="AU168" s="2245"/>
      <c r="AV168" s="2246"/>
      <c r="AW168" s="2247"/>
      <c r="AX168" s="2248"/>
      <c r="AY168" s="2249"/>
      <c r="AZ168" s="2249"/>
      <c r="BA168" s="2238"/>
      <c r="BB168" s="2264"/>
      <c r="BC168" s="918"/>
      <c r="BD168" s="2252" t="s">
        <v>15</v>
      </c>
      <c r="BE168" s="2237"/>
      <c r="BF168" s="2237"/>
      <c r="BG168" s="2237"/>
      <c r="BH168" s="2237"/>
      <c r="BI168" s="2240"/>
      <c r="BJ168" s="2241"/>
      <c r="BK168" s="2239"/>
      <c r="BL168" s="2242"/>
      <c r="BM168" s="2250"/>
      <c r="BN168" s="2244"/>
      <c r="BO168" s="2244"/>
      <c r="BP168" s="2245"/>
      <c r="BQ168" s="2246"/>
      <c r="BR168" s="2247"/>
      <c r="BS168" s="2248"/>
      <c r="BT168" s="2249"/>
      <c r="BU168" s="2249"/>
      <c r="BV168" s="2238"/>
      <c r="BW168" s="2264"/>
      <c r="BY168" s="3">
        <v>1</v>
      </c>
    </row>
    <row r="169" spans="2:77" ht="21" customHeight="1">
      <c r="B169" s="2265" t="str" cm="1">
        <f t="array" ref="B169">SUMPRODUCT(--(D169:J169&lt;&gt;""), LEN(TRIM(SUBSTITUTE(D169:J169, CHAR(160), "")))) &amp; " Car."</f>
        <v>0 Car.</v>
      </c>
      <c r="C169" s="1376" t="str">
        <f>IF(ISBLANK(D169),"",LARGE(C13:C168,1)+1)</f>
        <v/>
      </c>
      <c r="D169" s="1833"/>
      <c r="E169" s="1810"/>
      <c r="F169" s="1810"/>
      <c r="G169" s="1810"/>
      <c r="H169" s="1810"/>
      <c r="I169" s="1810"/>
      <c r="J169" s="1810"/>
      <c r="K169" s="1810"/>
      <c r="L169" s="1811"/>
      <c r="M169" s="9"/>
      <c r="N169" s="2252" t="s">
        <v>15</v>
      </c>
      <c r="O169" s="2237"/>
      <c r="P169" s="2237"/>
      <c r="Q169" s="2237"/>
      <c r="R169" s="2237"/>
      <c r="S169" s="2240"/>
      <c r="T169" s="2241"/>
      <c r="U169" s="2239"/>
      <c r="V169" s="2242"/>
      <c r="W169" s="2250"/>
      <c r="X169" s="2244"/>
      <c r="Y169" s="2244"/>
      <c r="Z169" s="2245"/>
      <c r="AA169" s="2246"/>
      <c r="AB169" s="2247"/>
      <c r="AC169" s="2248"/>
      <c r="AD169" s="2249"/>
      <c r="AE169" s="2249"/>
      <c r="AF169" s="2238"/>
      <c r="AG169" s="2264"/>
      <c r="AH169" s="918"/>
      <c r="AI169" s="2252" t="s">
        <v>15</v>
      </c>
      <c r="AJ169" s="2237"/>
      <c r="AK169" s="2237"/>
      <c r="AL169" s="2237"/>
      <c r="AM169" s="2237"/>
      <c r="AN169" s="2240"/>
      <c r="AO169" s="2241"/>
      <c r="AP169" s="2239"/>
      <c r="AQ169" s="2242"/>
      <c r="AR169" s="2250"/>
      <c r="AS169" s="2244"/>
      <c r="AT169" s="2244"/>
      <c r="AU169" s="2245"/>
      <c r="AV169" s="2246"/>
      <c r="AW169" s="2247"/>
      <c r="AX169" s="2248"/>
      <c r="AY169" s="2249"/>
      <c r="AZ169" s="2249"/>
      <c r="BA169" s="2238"/>
      <c r="BB169" s="2264"/>
      <c r="BC169" s="918"/>
      <c r="BD169" s="2252" t="s">
        <v>15</v>
      </c>
      <c r="BE169" s="2237"/>
      <c r="BF169" s="2237"/>
      <c r="BG169" s="2237"/>
      <c r="BH169" s="2237"/>
      <c r="BI169" s="2240"/>
      <c r="BJ169" s="2241"/>
      <c r="BK169" s="2239"/>
      <c r="BL169" s="2242"/>
      <c r="BM169" s="2250"/>
      <c r="BN169" s="2244"/>
      <c r="BO169" s="2244"/>
      <c r="BP169" s="2245"/>
      <c r="BQ169" s="2246"/>
      <c r="BR169" s="2247"/>
      <c r="BS169" s="2248"/>
      <c r="BT169" s="2249"/>
      <c r="BU169" s="2249"/>
      <c r="BV169" s="2238"/>
      <c r="BW169" s="2264"/>
      <c r="BY169" s="3">
        <v>1</v>
      </c>
    </row>
    <row r="170" spans="2:77" ht="21" customHeight="1">
      <c r="B170" s="2265" t="str" cm="1">
        <f t="array" ref="B170">SUMPRODUCT(--(D170:J170&lt;&gt;""), LEN(TRIM(SUBSTITUTE(D170:J170, CHAR(160), "")))) &amp; " Car."</f>
        <v>0 Car.</v>
      </c>
      <c r="C170" s="1376" t="str">
        <f>IF(ISBLANK(D170),"",LARGE(C13:C169,1)+1)</f>
        <v/>
      </c>
      <c r="D170" s="1833"/>
      <c r="E170" s="1810"/>
      <c r="F170" s="1810"/>
      <c r="G170" s="1810"/>
      <c r="H170" s="1810"/>
      <c r="I170" s="1810"/>
      <c r="J170" s="1810"/>
      <c r="K170" s="1810"/>
      <c r="L170" s="1811"/>
      <c r="M170" s="9"/>
      <c r="N170" s="2252" t="s">
        <v>15</v>
      </c>
      <c r="O170" s="2237"/>
      <c r="P170" s="2237"/>
      <c r="Q170" s="2237"/>
      <c r="R170" s="2237"/>
      <c r="S170" s="2240"/>
      <c r="T170" s="2241"/>
      <c r="U170" s="2239"/>
      <c r="V170" s="2242"/>
      <c r="W170" s="2250"/>
      <c r="X170" s="2244"/>
      <c r="Y170" s="2244"/>
      <c r="Z170" s="2245"/>
      <c r="AA170" s="2246"/>
      <c r="AB170" s="2247"/>
      <c r="AC170" s="2248"/>
      <c r="AD170" s="2249"/>
      <c r="AE170" s="2249"/>
      <c r="AF170" s="2238"/>
      <c r="AG170" s="2264"/>
      <c r="AH170" s="918"/>
      <c r="AI170" s="2252" t="s">
        <v>15</v>
      </c>
      <c r="AJ170" s="2237"/>
      <c r="AK170" s="2237"/>
      <c r="AL170" s="2237"/>
      <c r="AM170" s="2237"/>
      <c r="AN170" s="2240"/>
      <c r="AO170" s="2241"/>
      <c r="AP170" s="2239"/>
      <c r="AQ170" s="2242"/>
      <c r="AR170" s="2250"/>
      <c r="AS170" s="2244"/>
      <c r="AT170" s="2244"/>
      <c r="AU170" s="2245"/>
      <c r="AV170" s="2246"/>
      <c r="AW170" s="2247"/>
      <c r="AX170" s="2248"/>
      <c r="AY170" s="2249"/>
      <c r="AZ170" s="2249"/>
      <c r="BA170" s="2238"/>
      <c r="BB170" s="2264"/>
      <c r="BC170" s="918"/>
      <c r="BD170" s="2252" t="s">
        <v>15</v>
      </c>
      <c r="BE170" s="2237"/>
      <c r="BF170" s="2237"/>
      <c r="BG170" s="2237"/>
      <c r="BH170" s="2237"/>
      <c r="BI170" s="2240"/>
      <c r="BJ170" s="2241"/>
      <c r="BK170" s="2239"/>
      <c r="BL170" s="2242"/>
      <c r="BM170" s="2250"/>
      <c r="BN170" s="2244"/>
      <c r="BO170" s="2244"/>
      <c r="BP170" s="2245"/>
      <c r="BQ170" s="2246"/>
      <c r="BR170" s="2247"/>
      <c r="BS170" s="2248"/>
      <c r="BT170" s="2249"/>
      <c r="BU170" s="2249"/>
      <c r="BV170" s="2238"/>
      <c r="BW170" s="2264"/>
      <c r="BY170" s="3">
        <v>1</v>
      </c>
    </row>
    <row r="171" spans="2:77" ht="21" customHeight="1">
      <c r="B171" s="2265" t="str" cm="1">
        <f t="array" ref="B171">SUMPRODUCT(--(D171:J171&lt;&gt;""), LEN(TRIM(SUBSTITUTE(D171:J171, CHAR(160), "")))) &amp; " Car."</f>
        <v>0 Car.</v>
      </c>
      <c r="C171" s="1376" t="str">
        <f>IF(ISBLANK(D171),"",LARGE(C13:C170,1)+1)</f>
        <v/>
      </c>
      <c r="D171" s="1833"/>
      <c r="E171" s="1810"/>
      <c r="F171" s="1810"/>
      <c r="G171" s="1810"/>
      <c r="H171" s="1810"/>
      <c r="I171" s="1810"/>
      <c r="J171" s="1810"/>
      <c r="K171" s="1810"/>
      <c r="L171" s="1811"/>
      <c r="M171" s="9"/>
      <c r="N171" s="2252" t="s">
        <v>15</v>
      </c>
      <c r="O171" s="2237"/>
      <c r="P171" s="2237"/>
      <c r="Q171" s="2237"/>
      <c r="R171" s="2237"/>
      <c r="S171" s="2240"/>
      <c r="T171" s="2241"/>
      <c r="U171" s="2239"/>
      <c r="V171" s="2242"/>
      <c r="W171" s="2250"/>
      <c r="X171" s="2244"/>
      <c r="Y171" s="2244"/>
      <c r="Z171" s="2245"/>
      <c r="AA171" s="2246"/>
      <c r="AB171" s="2247"/>
      <c r="AC171" s="2248"/>
      <c r="AD171" s="2249"/>
      <c r="AE171" s="2249"/>
      <c r="AF171" s="2238"/>
      <c r="AG171" s="2264"/>
      <c r="AH171" s="918"/>
      <c r="AI171" s="2252" t="s">
        <v>15</v>
      </c>
      <c r="AJ171" s="2237"/>
      <c r="AK171" s="2237"/>
      <c r="AL171" s="2237"/>
      <c r="AM171" s="2237"/>
      <c r="AN171" s="2240"/>
      <c r="AO171" s="2241"/>
      <c r="AP171" s="2239"/>
      <c r="AQ171" s="2242"/>
      <c r="AR171" s="2250"/>
      <c r="AS171" s="2244"/>
      <c r="AT171" s="2244"/>
      <c r="AU171" s="2245"/>
      <c r="AV171" s="2246"/>
      <c r="AW171" s="2247"/>
      <c r="AX171" s="2248"/>
      <c r="AY171" s="2249"/>
      <c r="AZ171" s="2249"/>
      <c r="BA171" s="2238"/>
      <c r="BB171" s="2264"/>
      <c r="BC171" s="918"/>
      <c r="BD171" s="2252" t="s">
        <v>15</v>
      </c>
      <c r="BE171" s="2237"/>
      <c r="BF171" s="2237"/>
      <c r="BG171" s="2237"/>
      <c r="BH171" s="2237"/>
      <c r="BI171" s="2240"/>
      <c r="BJ171" s="2241"/>
      <c r="BK171" s="2239"/>
      <c r="BL171" s="2242"/>
      <c r="BM171" s="2250"/>
      <c r="BN171" s="2244"/>
      <c r="BO171" s="2244"/>
      <c r="BP171" s="2245"/>
      <c r="BQ171" s="2246"/>
      <c r="BR171" s="2247"/>
      <c r="BS171" s="2248"/>
      <c r="BT171" s="2249"/>
      <c r="BU171" s="2249"/>
      <c r="BV171" s="2238"/>
      <c r="BW171" s="2264"/>
      <c r="BY171" s="3">
        <v>1</v>
      </c>
    </row>
    <row r="172" spans="2:77" ht="21" customHeight="1">
      <c r="B172" s="2265" t="str" cm="1">
        <f t="array" ref="B172">SUMPRODUCT(--(D172:J172&lt;&gt;""), LEN(TRIM(SUBSTITUTE(D172:J172, CHAR(160), "")))) &amp; " Car."</f>
        <v>0 Car.</v>
      </c>
      <c r="C172" s="1376" t="str">
        <f>IF(ISBLANK(D172),"",LARGE(C13:C171,1)+1)</f>
        <v/>
      </c>
      <c r="D172" s="1833"/>
      <c r="E172" s="1810"/>
      <c r="F172" s="1810"/>
      <c r="G172" s="1810"/>
      <c r="H172" s="1810"/>
      <c r="I172" s="1810"/>
      <c r="J172" s="1810"/>
      <c r="K172" s="1810"/>
      <c r="L172" s="1811"/>
      <c r="M172" s="9"/>
      <c r="N172" s="2252" t="s">
        <v>15</v>
      </c>
      <c r="O172" s="2237"/>
      <c r="P172" s="2237"/>
      <c r="Q172" s="2237"/>
      <c r="R172" s="2237"/>
      <c r="S172" s="2240"/>
      <c r="T172" s="2241"/>
      <c r="U172" s="2239"/>
      <c r="V172" s="2242"/>
      <c r="W172" s="2250"/>
      <c r="X172" s="2244"/>
      <c r="Y172" s="2244"/>
      <c r="Z172" s="2245"/>
      <c r="AA172" s="2246"/>
      <c r="AB172" s="2247"/>
      <c r="AC172" s="2248"/>
      <c r="AD172" s="2249"/>
      <c r="AE172" s="2249"/>
      <c r="AF172" s="2238"/>
      <c r="AG172" s="2264"/>
      <c r="AH172" s="918"/>
      <c r="AI172" s="2252" t="s">
        <v>15</v>
      </c>
      <c r="AJ172" s="2237"/>
      <c r="AK172" s="2237"/>
      <c r="AL172" s="2237"/>
      <c r="AM172" s="2237"/>
      <c r="AN172" s="2240"/>
      <c r="AO172" s="2241"/>
      <c r="AP172" s="2239"/>
      <c r="AQ172" s="2242"/>
      <c r="AR172" s="2250"/>
      <c r="AS172" s="2244"/>
      <c r="AT172" s="2244"/>
      <c r="AU172" s="2245"/>
      <c r="AV172" s="2246"/>
      <c r="AW172" s="2247"/>
      <c r="AX172" s="2248"/>
      <c r="AY172" s="2249"/>
      <c r="AZ172" s="2249"/>
      <c r="BA172" s="2238"/>
      <c r="BB172" s="2264"/>
      <c r="BC172" s="918"/>
      <c r="BD172" s="2252" t="s">
        <v>15</v>
      </c>
      <c r="BE172" s="2237"/>
      <c r="BF172" s="2237"/>
      <c r="BG172" s="2237"/>
      <c r="BH172" s="2237"/>
      <c r="BI172" s="2240"/>
      <c r="BJ172" s="2241"/>
      <c r="BK172" s="2239"/>
      <c r="BL172" s="2242"/>
      <c r="BM172" s="2250"/>
      <c r="BN172" s="2244"/>
      <c r="BO172" s="2244"/>
      <c r="BP172" s="2245"/>
      <c r="BQ172" s="2246"/>
      <c r="BR172" s="2247"/>
      <c r="BS172" s="2248"/>
      <c r="BT172" s="2249"/>
      <c r="BU172" s="2249"/>
      <c r="BV172" s="2238"/>
      <c r="BW172" s="2264"/>
      <c r="BY172" s="3">
        <v>1</v>
      </c>
    </row>
    <row r="173" spans="2:77" ht="21" customHeight="1">
      <c r="B173" s="2265" t="str" cm="1">
        <f t="array" ref="B173">SUMPRODUCT(--(D173:J173&lt;&gt;""), LEN(TRIM(SUBSTITUTE(D173:J173, CHAR(160), "")))) &amp; " Car."</f>
        <v>0 Car.</v>
      </c>
      <c r="C173" s="1376" t="str">
        <f>IF(ISBLANK(D173),"",LARGE(C13:C172,1)+1)</f>
        <v/>
      </c>
      <c r="D173" s="1833"/>
      <c r="E173" s="1810"/>
      <c r="F173" s="1810"/>
      <c r="G173" s="1810"/>
      <c r="H173" s="1810"/>
      <c r="I173" s="1810"/>
      <c r="J173" s="1810"/>
      <c r="K173" s="1810"/>
      <c r="L173" s="1811"/>
      <c r="M173" s="9"/>
      <c r="N173" s="2252" t="s">
        <v>15</v>
      </c>
      <c r="O173" s="2237"/>
      <c r="P173" s="2237"/>
      <c r="Q173" s="2237"/>
      <c r="R173" s="2237"/>
      <c r="S173" s="2240"/>
      <c r="T173" s="2241"/>
      <c r="U173" s="2239"/>
      <c r="V173" s="2242"/>
      <c r="W173" s="2250"/>
      <c r="X173" s="2244"/>
      <c r="Y173" s="2244"/>
      <c r="Z173" s="2245"/>
      <c r="AA173" s="2246"/>
      <c r="AB173" s="2247"/>
      <c r="AC173" s="2248"/>
      <c r="AD173" s="2249"/>
      <c r="AE173" s="2249"/>
      <c r="AF173" s="2238"/>
      <c r="AG173" s="2264"/>
      <c r="AH173" s="918"/>
      <c r="AI173" s="2252" t="s">
        <v>15</v>
      </c>
      <c r="AJ173" s="2237"/>
      <c r="AK173" s="2237"/>
      <c r="AL173" s="2237"/>
      <c r="AM173" s="2237"/>
      <c r="AN173" s="2240"/>
      <c r="AO173" s="2241"/>
      <c r="AP173" s="2239"/>
      <c r="AQ173" s="2242"/>
      <c r="AR173" s="2250"/>
      <c r="AS173" s="2244"/>
      <c r="AT173" s="2244"/>
      <c r="AU173" s="2245"/>
      <c r="AV173" s="2246"/>
      <c r="AW173" s="2247"/>
      <c r="AX173" s="2248"/>
      <c r="AY173" s="2249"/>
      <c r="AZ173" s="2249"/>
      <c r="BA173" s="2238"/>
      <c r="BB173" s="2264"/>
      <c r="BC173" s="918"/>
      <c r="BD173" s="2252" t="s">
        <v>15</v>
      </c>
      <c r="BE173" s="2237"/>
      <c r="BF173" s="2237"/>
      <c r="BG173" s="2237"/>
      <c r="BH173" s="2237"/>
      <c r="BI173" s="2240"/>
      <c r="BJ173" s="2241"/>
      <c r="BK173" s="2239"/>
      <c r="BL173" s="2242"/>
      <c r="BM173" s="2250"/>
      <c r="BN173" s="2244"/>
      <c r="BO173" s="2244"/>
      <c r="BP173" s="2245"/>
      <c r="BQ173" s="2246"/>
      <c r="BR173" s="2247"/>
      <c r="BS173" s="2248"/>
      <c r="BT173" s="2249"/>
      <c r="BU173" s="2249"/>
      <c r="BV173" s="2238"/>
      <c r="BW173" s="2264"/>
      <c r="BY173" s="3">
        <v>1</v>
      </c>
    </row>
    <row r="174" spans="2:77" ht="21" customHeight="1">
      <c r="B174" s="2265" t="str" cm="1">
        <f t="array" ref="B174">SUMPRODUCT(--(D174:J174&lt;&gt;""), LEN(TRIM(SUBSTITUTE(D174:J174, CHAR(160), "")))) &amp; " Car."</f>
        <v>0 Car.</v>
      </c>
      <c r="C174" s="1376" t="str">
        <f>IF(ISBLANK(D174),"",LARGE(C13:C173,1)+1)</f>
        <v/>
      </c>
      <c r="D174" s="1833"/>
      <c r="E174" s="1810"/>
      <c r="F174" s="1810"/>
      <c r="G174" s="1810"/>
      <c r="H174" s="1810"/>
      <c r="I174" s="1810"/>
      <c r="J174" s="1810"/>
      <c r="K174" s="1810"/>
      <c r="L174" s="1811"/>
      <c r="M174" s="9"/>
      <c r="N174" s="2252" t="s">
        <v>15</v>
      </c>
      <c r="O174" s="2237"/>
      <c r="P174" s="2237"/>
      <c r="Q174" s="2237"/>
      <c r="R174" s="2237"/>
      <c r="S174" s="2240"/>
      <c r="T174" s="2241"/>
      <c r="U174" s="2239"/>
      <c r="V174" s="2242"/>
      <c r="W174" s="2250"/>
      <c r="X174" s="2244"/>
      <c r="Y174" s="2244"/>
      <c r="Z174" s="2245"/>
      <c r="AA174" s="2246"/>
      <c r="AB174" s="2247"/>
      <c r="AC174" s="2248"/>
      <c r="AD174" s="2249"/>
      <c r="AE174" s="2249"/>
      <c r="AF174" s="2238"/>
      <c r="AG174" s="2264"/>
      <c r="AH174" s="918"/>
      <c r="AI174" s="2252" t="s">
        <v>15</v>
      </c>
      <c r="AJ174" s="2237"/>
      <c r="AK174" s="2237"/>
      <c r="AL174" s="2237"/>
      <c r="AM174" s="2237"/>
      <c r="AN174" s="2240"/>
      <c r="AO174" s="2241"/>
      <c r="AP174" s="2239"/>
      <c r="AQ174" s="2242"/>
      <c r="AR174" s="2250"/>
      <c r="AS174" s="2244"/>
      <c r="AT174" s="2244"/>
      <c r="AU174" s="2245"/>
      <c r="AV174" s="2246"/>
      <c r="AW174" s="2247"/>
      <c r="AX174" s="2248"/>
      <c r="AY174" s="2249"/>
      <c r="AZ174" s="2249"/>
      <c r="BA174" s="2238"/>
      <c r="BB174" s="2264"/>
      <c r="BC174" s="918"/>
      <c r="BD174" s="2252" t="s">
        <v>15</v>
      </c>
      <c r="BE174" s="2237"/>
      <c r="BF174" s="2237"/>
      <c r="BG174" s="2237"/>
      <c r="BH174" s="2237"/>
      <c r="BI174" s="2240"/>
      <c r="BJ174" s="2241"/>
      <c r="BK174" s="2239"/>
      <c r="BL174" s="2242"/>
      <c r="BM174" s="2250"/>
      <c r="BN174" s="2244"/>
      <c r="BO174" s="2244"/>
      <c r="BP174" s="2245"/>
      <c r="BQ174" s="2246"/>
      <c r="BR174" s="2247"/>
      <c r="BS174" s="2248"/>
      <c r="BT174" s="2249"/>
      <c r="BU174" s="2249"/>
      <c r="BV174" s="2238"/>
      <c r="BW174" s="2264"/>
      <c r="BY174" s="3">
        <v>1</v>
      </c>
    </row>
    <row r="175" spans="2:77" ht="21" customHeight="1">
      <c r="B175" s="2265" t="str" cm="1">
        <f t="array" ref="B175">SUMPRODUCT(--(D175:J175&lt;&gt;""), LEN(TRIM(SUBSTITUTE(D175:J175, CHAR(160), "")))) &amp; " Car."</f>
        <v>0 Car.</v>
      </c>
      <c r="C175" s="1376" t="str">
        <f>IF(ISBLANK(D175),"",LARGE(C13:C174,1)+1)</f>
        <v/>
      </c>
      <c r="D175" s="1833"/>
      <c r="E175" s="1810"/>
      <c r="F175" s="1810"/>
      <c r="G175" s="1810"/>
      <c r="H175" s="1810"/>
      <c r="I175" s="1810"/>
      <c r="J175" s="1810"/>
      <c r="K175" s="1810"/>
      <c r="L175" s="1811"/>
      <c r="M175" s="9"/>
      <c r="N175" s="2252" t="s">
        <v>15</v>
      </c>
      <c r="O175" s="2237"/>
      <c r="P175" s="2237"/>
      <c r="Q175" s="2237"/>
      <c r="R175" s="2237"/>
      <c r="S175" s="2240"/>
      <c r="T175" s="2241"/>
      <c r="U175" s="2239"/>
      <c r="V175" s="2242"/>
      <c r="W175" s="2250"/>
      <c r="X175" s="2244"/>
      <c r="Y175" s="2244"/>
      <c r="Z175" s="2245"/>
      <c r="AA175" s="2246"/>
      <c r="AB175" s="2247"/>
      <c r="AC175" s="2248"/>
      <c r="AD175" s="2249"/>
      <c r="AE175" s="2249"/>
      <c r="AF175" s="2238"/>
      <c r="AG175" s="2264"/>
      <c r="AH175" s="918"/>
      <c r="AI175" s="2252" t="s">
        <v>15</v>
      </c>
      <c r="AJ175" s="2237"/>
      <c r="AK175" s="2237"/>
      <c r="AL175" s="2237"/>
      <c r="AM175" s="2237"/>
      <c r="AN175" s="2240"/>
      <c r="AO175" s="2241"/>
      <c r="AP175" s="2239"/>
      <c r="AQ175" s="2242"/>
      <c r="AR175" s="2250"/>
      <c r="AS175" s="2244"/>
      <c r="AT175" s="2244"/>
      <c r="AU175" s="2245"/>
      <c r="AV175" s="2246"/>
      <c r="AW175" s="2247"/>
      <c r="AX175" s="2248"/>
      <c r="AY175" s="2249"/>
      <c r="AZ175" s="2249"/>
      <c r="BA175" s="2238"/>
      <c r="BB175" s="2264"/>
      <c r="BC175" s="918"/>
      <c r="BD175" s="2252" t="s">
        <v>15</v>
      </c>
      <c r="BE175" s="2237"/>
      <c r="BF175" s="2237"/>
      <c r="BG175" s="2237"/>
      <c r="BH175" s="2237"/>
      <c r="BI175" s="2240"/>
      <c r="BJ175" s="2241"/>
      <c r="BK175" s="2239"/>
      <c r="BL175" s="2242"/>
      <c r="BM175" s="2250"/>
      <c r="BN175" s="2244"/>
      <c r="BO175" s="2244"/>
      <c r="BP175" s="2245"/>
      <c r="BQ175" s="2246"/>
      <c r="BR175" s="2247"/>
      <c r="BS175" s="2248"/>
      <c r="BT175" s="2249"/>
      <c r="BU175" s="2249"/>
      <c r="BV175" s="2238"/>
      <c r="BW175" s="2264"/>
      <c r="BY175" s="3">
        <v>1</v>
      </c>
    </row>
    <row r="176" spans="2:77" ht="21" customHeight="1">
      <c r="B176" s="2265" t="str" cm="1">
        <f t="array" ref="B176">SUMPRODUCT(--(D176:J176&lt;&gt;""), LEN(TRIM(SUBSTITUTE(D176:J176, CHAR(160), "")))) &amp; " Car."</f>
        <v>0 Car.</v>
      </c>
      <c r="C176" s="1376" t="str">
        <f>IF(ISBLANK(D176),"",LARGE(C13:C175,1)+1)</f>
        <v/>
      </c>
      <c r="D176" s="1833"/>
      <c r="E176" s="1810"/>
      <c r="F176" s="1810"/>
      <c r="G176" s="1810"/>
      <c r="H176" s="1810"/>
      <c r="I176" s="1810"/>
      <c r="J176" s="1810"/>
      <c r="K176" s="1810"/>
      <c r="L176" s="1811"/>
      <c r="M176" s="9"/>
      <c r="N176" s="2252" t="s">
        <v>15</v>
      </c>
      <c r="O176" s="2237"/>
      <c r="P176" s="2237"/>
      <c r="Q176" s="2237"/>
      <c r="R176" s="2237"/>
      <c r="S176" s="2240"/>
      <c r="T176" s="2241"/>
      <c r="U176" s="2239"/>
      <c r="V176" s="2242"/>
      <c r="W176" s="2250"/>
      <c r="X176" s="2244"/>
      <c r="Y176" s="2244"/>
      <c r="Z176" s="2245"/>
      <c r="AA176" s="2246"/>
      <c r="AB176" s="2247"/>
      <c r="AC176" s="2248"/>
      <c r="AD176" s="2249"/>
      <c r="AE176" s="2249"/>
      <c r="AF176" s="2238"/>
      <c r="AG176" s="2264"/>
      <c r="AH176" s="918"/>
      <c r="AI176" s="2252" t="s">
        <v>15</v>
      </c>
      <c r="AJ176" s="2237"/>
      <c r="AK176" s="2237"/>
      <c r="AL176" s="2237"/>
      <c r="AM176" s="2237"/>
      <c r="AN176" s="2240"/>
      <c r="AO176" s="2241"/>
      <c r="AP176" s="2239"/>
      <c r="AQ176" s="2242"/>
      <c r="AR176" s="2250"/>
      <c r="AS176" s="2244"/>
      <c r="AT176" s="2244"/>
      <c r="AU176" s="2245"/>
      <c r="AV176" s="2246"/>
      <c r="AW176" s="2247"/>
      <c r="AX176" s="2248"/>
      <c r="AY176" s="2249"/>
      <c r="AZ176" s="2249"/>
      <c r="BA176" s="2238"/>
      <c r="BB176" s="2264"/>
      <c r="BC176" s="918"/>
      <c r="BD176" s="2252" t="s">
        <v>15</v>
      </c>
      <c r="BE176" s="2237"/>
      <c r="BF176" s="2237"/>
      <c r="BG176" s="2237"/>
      <c r="BH176" s="2237"/>
      <c r="BI176" s="2240"/>
      <c r="BJ176" s="2241"/>
      <c r="BK176" s="2239"/>
      <c r="BL176" s="2242"/>
      <c r="BM176" s="2250"/>
      <c r="BN176" s="2244"/>
      <c r="BO176" s="2244"/>
      <c r="BP176" s="2245"/>
      <c r="BQ176" s="2246"/>
      <c r="BR176" s="2247"/>
      <c r="BS176" s="2248"/>
      <c r="BT176" s="2249"/>
      <c r="BU176" s="2249"/>
      <c r="BV176" s="2238"/>
      <c r="BW176" s="2264"/>
      <c r="BY176" s="3">
        <v>1</v>
      </c>
    </row>
    <row r="177" spans="2:77" ht="21" customHeight="1">
      <c r="B177" s="2265" t="str" cm="1">
        <f t="array" ref="B177">SUMPRODUCT(--(D177:J177&lt;&gt;""), LEN(TRIM(SUBSTITUTE(D177:J177, CHAR(160), "")))) &amp; " Car."</f>
        <v>0 Car.</v>
      </c>
      <c r="C177" s="1376" t="str">
        <f>IF(ISBLANK(D177),"",LARGE(C13:C176,1)+1)</f>
        <v/>
      </c>
      <c r="D177" s="1833"/>
      <c r="E177" s="1810"/>
      <c r="F177" s="1810"/>
      <c r="G177" s="1810"/>
      <c r="H177" s="1810"/>
      <c r="I177" s="1810"/>
      <c r="J177" s="1810"/>
      <c r="K177" s="1810"/>
      <c r="L177" s="1811"/>
      <c r="M177" s="9"/>
      <c r="N177" s="2252" t="s">
        <v>15</v>
      </c>
      <c r="O177" s="2237"/>
      <c r="P177" s="2237"/>
      <c r="Q177" s="2237"/>
      <c r="R177" s="2237"/>
      <c r="S177" s="2240"/>
      <c r="T177" s="2241"/>
      <c r="U177" s="2239"/>
      <c r="V177" s="2242"/>
      <c r="W177" s="2250"/>
      <c r="X177" s="2244"/>
      <c r="Y177" s="2244"/>
      <c r="Z177" s="2245"/>
      <c r="AA177" s="2246"/>
      <c r="AB177" s="2247"/>
      <c r="AC177" s="2248"/>
      <c r="AD177" s="2249"/>
      <c r="AE177" s="2249"/>
      <c r="AF177" s="2238"/>
      <c r="AG177" s="2264"/>
      <c r="AH177" s="918"/>
      <c r="AI177" s="2252" t="s">
        <v>15</v>
      </c>
      <c r="AJ177" s="2237"/>
      <c r="AK177" s="2237"/>
      <c r="AL177" s="2237"/>
      <c r="AM177" s="2237"/>
      <c r="AN177" s="2240"/>
      <c r="AO177" s="2241"/>
      <c r="AP177" s="2239"/>
      <c r="AQ177" s="2242"/>
      <c r="AR177" s="2250"/>
      <c r="AS177" s="2244"/>
      <c r="AT177" s="2244"/>
      <c r="AU177" s="2245"/>
      <c r="AV177" s="2246"/>
      <c r="AW177" s="2247"/>
      <c r="AX177" s="2248"/>
      <c r="AY177" s="2249"/>
      <c r="AZ177" s="2249"/>
      <c r="BA177" s="2238"/>
      <c r="BB177" s="2264"/>
      <c r="BC177" s="918"/>
      <c r="BD177" s="2252" t="s">
        <v>15</v>
      </c>
      <c r="BE177" s="2237"/>
      <c r="BF177" s="2237"/>
      <c r="BG177" s="2237"/>
      <c r="BH177" s="2237"/>
      <c r="BI177" s="2240"/>
      <c r="BJ177" s="2241"/>
      <c r="BK177" s="2239"/>
      <c r="BL177" s="2242"/>
      <c r="BM177" s="2250"/>
      <c r="BN177" s="2244"/>
      <c r="BO177" s="2244"/>
      <c r="BP177" s="2245"/>
      <c r="BQ177" s="2246"/>
      <c r="BR177" s="2247"/>
      <c r="BS177" s="2248"/>
      <c r="BT177" s="2249"/>
      <c r="BU177" s="2249"/>
      <c r="BV177" s="2238"/>
      <c r="BW177" s="2264"/>
      <c r="BY177" s="3">
        <v>1</v>
      </c>
    </row>
    <row r="178" spans="2:77" ht="21" customHeight="1">
      <c r="B178" s="2265" t="str" cm="1">
        <f t="array" ref="B178">SUMPRODUCT(--(D178:J178&lt;&gt;""), LEN(TRIM(SUBSTITUTE(D178:J178, CHAR(160), "")))) &amp; " Car."</f>
        <v>0 Car.</v>
      </c>
      <c r="C178" s="1376" t="str">
        <f>IF(ISBLANK(D178),"",LARGE(C13:C177,1)+1)</f>
        <v/>
      </c>
      <c r="D178" s="1833"/>
      <c r="E178" s="1810"/>
      <c r="F178" s="1810"/>
      <c r="G178" s="1810"/>
      <c r="H178" s="1810"/>
      <c r="I178" s="1810"/>
      <c r="J178" s="1810"/>
      <c r="K178" s="1810"/>
      <c r="L178" s="1811"/>
      <c r="M178" s="9"/>
      <c r="N178" s="2252" t="s">
        <v>15</v>
      </c>
      <c r="O178" s="2237"/>
      <c r="P178" s="2237"/>
      <c r="Q178" s="2237"/>
      <c r="R178" s="2237"/>
      <c r="S178" s="2240"/>
      <c r="T178" s="2241"/>
      <c r="U178" s="2239"/>
      <c r="V178" s="2242"/>
      <c r="W178" s="2250"/>
      <c r="X178" s="2244"/>
      <c r="Y178" s="2244"/>
      <c r="Z178" s="2245"/>
      <c r="AA178" s="2246"/>
      <c r="AB178" s="2247"/>
      <c r="AC178" s="2248"/>
      <c r="AD178" s="2249"/>
      <c r="AE178" s="2249"/>
      <c r="AF178" s="2238"/>
      <c r="AG178" s="2264"/>
      <c r="AH178" s="918"/>
      <c r="AI178" s="2252" t="s">
        <v>15</v>
      </c>
      <c r="AJ178" s="2237"/>
      <c r="AK178" s="2237"/>
      <c r="AL178" s="2237"/>
      <c r="AM178" s="2237"/>
      <c r="AN178" s="2240"/>
      <c r="AO178" s="2241"/>
      <c r="AP178" s="2239"/>
      <c r="AQ178" s="2242"/>
      <c r="AR178" s="2250"/>
      <c r="AS178" s="2244"/>
      <c r="AT178" s="2244"/>
      <c r="AU178" s="2245"/>
      <c r="AV178" s="2246"/>
      <c r="AW178" s="2247"/>
      <c r="AX178" s="2248"/>
      <c r="AY178" s="2249"/>
      <c r="AZ178" s="2249"/>
      <c r="BA178" s="2238"/>
      <c r="BB178" s="2264"/>
      <c r="BC178" s="918"/>
      <c r="BD178" s="2252" t="s">
        <v>15</v>
      </c>
      <c r="BE178" s="2237"/>
      <c r="BF178" s="2237"/>
      <c r="BG178" s="2237"/>
      <c r="BH178" s="2237"/>
      <c r="BI178" s="2240"/>
      <c r="BJ178" s="2241"/>
      <c r="BK178" s="2239"/>
      <c r="BL178" s="2242"/>
      <c r="BM178" s="2250"/>
      <c r="BN178" s="2244"/>
      <c r="BO178" s="2244"/>
      <c r="BP178" s="2245"/>
      <c r="BQ178" s="2246"/>
      <c r="BR178" s="2247"/>
      <c r="BS178" s="2248"/>
      <c r="BT178" s="2249"/>
      <c r="BU178" s="2249"/>
      <c r="BV178" s="2238"/>
      <c r="BW178" s="2264"/>
      <c r="BY178" s="3">
        <v>1</v>
      </c>
    </row>
    <row r="179" spans="2:77" ht="21" customHeight="1">
      <c r="B179" s="2265" t="str" cm="1">
        <f t="array" ref="B179">SUMPRODUCT(--(D179:J179&lt;&gt;""), LEN(TRIM(SUBSTITUTE(D179:J179, CHAR(160), "")))) &amp; " Car."</f>
        <v>0 Car.</v>
      </c>
      <c r="C179" s="1376" t="str">
        <f>IF(ISBLANK(D179),"",LARGE(C13:C178,1)+1)</f>
        <v/>
      </c>
      <c r="D179" s="1833"/>
      <c r="E179" s="1810"/>
      <c r="F179" s="1810"/>
      <c r="G179" s="1810"/>
      <c r="H179" s="1810"/>
      <c r="I179" s="1810"/>
      <c r="J179" s="1810"/>
      <c r="K179" s="1810"/>
      <c r="L179" s="1811"/>
      <c r="M179" s="9"/>
      <c r="N179" s="2252" t="s">
        <v>15</v>
      </c>
      <c r="O179" s="2237"/>
      <c r="P179" s="2237"/>
      <c r="Q179" s="2237"/>
      <c r="R179" s="2237"/>
      <c r="S179" s="2240"/>
      <c r="T179" s="2241"/>
      <c r="U179" s="2239"/>
      <c r="V179" s="2242"/>
      <c r="W179" s="2250"/>
      <c r="X179" s="2244"/>
      <c r="Y179" s="2244"/>
      <c r="Z179" s="2245"/>
      <c r="AA179" s="2246"/>
      <c r="AB179" s="2247"/>
      <c r="AC179" s="2248"/>
      <c r="AD179" s="2249"/>
      <c r="AE179" s="2249"/>
      <c r="AF179" s="2238"/>
      <c r="AG179" s="2264"/>
      <c r="AH179" s="918"/>
      <c r="AI179" s="2252" t="s">
        <v>15</v>
      </c>
      <c r="AJ179" s="2237"/>
      <c r="AK179" s="2237"/>
      <c r="AL179" s="2237"/>
      <c r="AM179" s="2237"/>
      <c r="AN179" s="2240"/>
      <c r="AO179" s="2241"/>
      <c r="AP179" s="2239"/>
      <c r="AQ179" s="2242"/>
      <c r="AR179" s="2250"/>
      <c r="AS179" s="2244"/>
      <c r="AT179" s="2244"/>
      <c r="AU179" s="2245"/>
      <c r="AV179" s="2246"/>
      <c r="AW179" s="2247"/>
      <c r="AX179" s="2248"/>
      <c r="AY179" s="2249"/>
      <c r="AZ179" s="2249"/>
      <c r="BA179" s="2238"/>
      <c r="BB179" s="2264"/>
      <c r="BC179" s="918"/>
      <c r="BD179" s="2252" t="s">
        <v>15</v>
      </c>
      <c r="BE179" s="2237"/>
      <c r="BF179" s="2237"/>
      <c r="BG179" s="2237"/>
      <c r="BH179" s="2237"/>
      <c r="BI179" s="2240"/>
      <c r="BJ179" s="2241"/>
      <c r="BK179" s="2239"/>
      <c r="BL179" s="2242"/>
      <c r="BM179" s="2250"/>
      <c r="BN179" s="2244"/>
      <c r="BO179" s="2244"/>
      <c r="BP179" s="2245"/>
      <c r="BQ179" s="2246"/>
      <c r="BR179" s="2247"/>
      <c r="BS179" s="2248"/>
      <c r="BT179" s="2249"/>
      <c r="BU179" s="2249"/>
      <c r="BV179" s="2238"/>
      <c r="BW179" s="2264"/>
      <c r="BY179" s="3">
        <v>1</v>
      </c>
    </row>
    <row r="180" spans="2:77" ht="21" customHeight="1">
      <c r="B180" s="2265" t="str" cm="1">
        <f t="array" ref="B180">SUMPRODUCT(--(D180:J180&lt;&gt;""), LEN(TRIM(SUBSTITUTE(D180:J180, CHAR(160), "")))) &amp; " Car."</f>
        <v>0 Car.</v>
      </c>
      <c r="C180" s="1376" t="str">
        <f>IF(ISBLANK(D180),"",LARGE(C13:C179,1)+1)</f>
        <v/>
      </c>
      <c r="D180" s="1833"/>
      <c r="E180" s="1810"/>
      <c r="F180" s="1810"/>
      <c r="G180" s="1810"/>
      <c r="H180" s="1810"/>
      <c r="I180" s="1810"/>
      <c r="J180" s="1810"/>
      <c r="K180" s="1810"/>
      <c r="L180" s="1811"/>
      <c r="M180" s="9"/>
      <c r="N180" s="2252" t="s">
        <v>15</v>
      </c>
      <c r="O180" s="2237"/>
      <c r="P180" s="2237"/>
      <c r="Q180" s="2237"/>
      <c r="R180" s="2237"/>
      <c r="S180" s="2240"/>
      <c r="T180" s="2241"/>
      <c r="U180" s="2239"/>
      <c r="V180" s="2242"/>
      <c r="W180" s="2250"/>
      <c r="X180" s="2244"/>
      <c r="Y180" s="2244"/>
      <c r="Z180" s="2245"/>
      <c r="AA180" s="2246"/>
      <c r="AB180" s="2247"/>
      <c r="AC180" s="2248"/>
      <c r="AD180" s="2249"/>
      <c r="AE180" s="2249"/>
      <c r="AF180" s="2238"/>
      <c r="AG180" s="2264"/>
      <c r="AH180" s="918"/>
      <c r="AI180" s="2252" t="s">
        <v>15</v>
      </c>
      <c r="AJ180" s="2237"/>
      <c r="AK180" s="2237"/>
      <c r="AL180" s="2237"/>
      <c r="AM180" s="2237"/>
      <c r="AN180" s="2240"/>
      <c r="AO180" s="2241"/>
      <c r="AP180" s="2239"/>
      <c r="AQ180" s="2242"/>
      <c r="AR180" s="2250"/>
      <c r="AS180" s="2244"/>
      <c r="AT180" s="2244"/>
      <c r="AU180" s="2245"/>
      <c r="AV180" s="2246"/>
      <c r="AW180" s="2247"/>
      <c r="AX180" s="2248"/>
      <c r="AY180" s="2249"/>
      <c r="AZ180" s="2249"/>
      <c r="BA180" s="2238"/>
      <c r="BB180" s="2264"/>
      <c r="BC180" s="918"/>
      <c r="BD180" s="2252" t="s">
        <v>15</v>
      </c>
      <c r="BE180" s="2237"/>
      <c r="BF180" s="2237"/>
      <c r="BG180" s="2237"/>
      <c r="BH180" s="2237"/>
      <c r="BI180" s="2240"/>
      <c r="BJ180" s="2241"/>
      <c r="BK180" s="2239"/>
      <c r="BL180" s="2242"/>
      <c r="BM180" s="2250"/>
      <c r="BN180" s="2244"/>
      <c r="BO180" s="2244"/>
      <c r="BP180" s="2245"/>
      <c r="BQ180" s="2246"/>
      <c r="BR180" s="2247"/>
      <c r="BS180" s="2248"/>
      <c r="BT180" s="2249"/>
      <c r="BU180" s="2249"/>
      <c r="BV180" s="2238"/>
      <c r="BW180" s="2264"/>
      <c r="BY180" s="3">
        <v>1</v>
      </c>
    </row>
    <row r="181" spans="2:77" ht="21" customHeight="1">
      <c r="B181" s="2265" t="str" cm="1">
        <f t="array" ref="B181">SUMPRODUCT(--(D181:J181&lt;&gt;""), LEN(TRIM(SUBSTITUTE(D181:J181, CHAR(160), "")))) &amp; " Car."</f>
        <v>0 Car.</v>
      </c>
      <c r="C181" s="1376" t="str">
        <f>IF(ISBLANK(D181),"",LARGE(C13:C180,1)+1)</f>
        <v/>
      </c>
      <c r="D181" s="1833"/>
      <c r="E181" s="1810"/>
      <c r="F181" s="1810"/>
      <c r="G181" s="1810"/>
      <c r="H181" s="1810"/>
      <c r="I181" s="1810"/>
      <c r="J181" s="1810"/>
      <c r="K181" s="1810"/>
      <c r="L181" s="1811"/>
      <c r="M181" s="9"/>
      <c r="N181" s="2252" t="s">
        <v>15</v>
      </c>
      <c r="O181" s="2237"/>
      <c r="P181" s="2237"/>
      <c r="Q181" s="2237"/>
      <c r="R181" s="2237"/>
      <c r="S181" s="2240"/>
      <c r="T181" s="2241"/>
      <c r="U181" s="2239"/>
      <c r="V181" s="2242"/>
      <c r="W181" s="2250"/>
      <c r="X181" s="2244"/>
      <c r="Y181" s="2244"/>
      <c r="Z181" s="2245"/>
      <c r="AA181" s="2246"/>
      <c r="AB181" s="2247"/>
      <c r="AC181" s="2248"/>
      <c r="AD181" s="2249"/>
      <c r="AE181" s="2249"/>
      <c r="AF181" s="2238"/>
      <c r="AG181" s="2264"/>
      <c r="AH181" s="918"/>
      <c r="AI181" s="2252" t="s">
        <v>15</v>
      </c>
      <c r="AJ181" s="2237"/>
      <c r="AK181" s="2237"/>
      <c r="AL181" s="2237"/>
      <c r="AM181" s="2237"/>
      <c r="AN181" s="2240"/>
      <c r="AO181" s="2241"/>
      <c r="AP181" s="2239"/>
      <c r="AQ181" s="2242"/>
      <c r="AR181" s="2250"/>
      <c r="AS181" s="2244"/>
      <c r="AT181" s="2244"/>
      <c r="AU181" s="2245"/>
      <c r="AV181" s="2246"/>
      <c r="AW181" s="2247"/>
      <c r="AX181" s="2248"/>
      <c r="AY181" s="2249"/>
      <c r="AZ181" s="2249"/>
      <c r="BA181" s="2238"/>
      <c r="BB181" s="2264"/>
      <c r="BC181" s="918"/>
      <c r="BD181" s="2252" t="s">
        <v>15</v>
      </c>
      <c r="BE181" s="2237"/>
      <c r="BF181" s="2237"/>
      <c r="BG181" s="2237"/>
      <c r="BH181" s="2237"/>
      <c r="BI181" s="2240"/>
      <c r="BJ181" s="2241"/>
      <c r="BK181" s="2239"/>
      <c r="BL181" s="2242"/>
      <c r="BM181" s="2250"/>
      <c r="BN181" s="2244"/>
      <c r="BO181" s="2244"/>
      <c r="BP181" s="2245"/>
      <c r="BQ181" s="2246"/>
      <c r="BR181" s="2247"/>
      <c r="BS181" s="2248"/>
      <c r="BT181" s="2249"/>
      <c r="BU181" s="2249"/>
      <c r="BV181" s="2238"/>
      <c r="BW181" s="2264"/>
      <c r="BY181" s="3">
        <v>1</v>
      </c>
    </row>
    <row r="182" spans="2:77" ht="21" customHeight="1">
      <c r="B182" s="2265" t="str" cm="1">
        <f t="array" ref="B182">SUMPRODUCT(--(D182:J182&lt;&gt;""), LEN(TRIM(SUBSTITUTE(D182:J182, CHAR(160), "")))) &amp; " Car."</f>
        <v>0 Car.</v>
      </c>
      <c r="C182" s="1376" t="str">
        <f>IF(ISBLANK(D182),"",LARGE(C13:C181,1)+1)</f>
        <v/>
      </c>
      <c r="D182" s="1833"/>
      <c r="E182" s="1810"/>
      <c r="F182" s="1810"/>
      <c r="G182" s="1810"/>
      <c r="H182" s="1810"/>
      <c r="I182" s="1810"/>
      <c r="J182" s="1810"/>
      <c r="K182" s="1810"/>
      <c r="L182" s="1811"/>
      <c r="M182" s="9"/>
      <c r="N182" s="2252" t="s">
        <v>15</v>
      </c>
      <c r="O182" s="2237"/>
      <c r="P182" s="2237"/>
      <c r="Q182" s="2237"/>
      <c r="R182" s="2237"/>
      <c r="S182" s="2240"/>
      <c r="T182" s="2241"/>
      <c r="U182" s="2239"/>
      <c r="V182" s="2242"/>
      <c r="W182" s="2250"/>
      <c r="X182" s="2244"/>
      <c r="Y182" s="2244"/>
      <c r="Z182" s="2245"/>
      <c r="AA182" s="2246"/>
      <c r="AB182" s="2247"/>
      <c r="AC182" s="2248"/>
      <c r="AD182" s="2249"/>
      <c r="AE182" s="2249"/>
      <c r="AF182" s="2238"/>
      <c r="AG182" s="2264"/>
      <c r="AH182" s="918"/>
      <c r="AI182" s="2252" t="s">
        <v>15</v>
      </c>
      <c r="AJ182" s="2237"/>
      <c r="AK182" s="2237"/>
      <c r="AL182" s="2237"/>
      <c r="AM182" s="2237"/>
      <c r="AN182" s="2240"/>
      <c r="AO182" s="2241"/>
      <c r="AP182" s="2239"/>
      <c r="AQ182" s="2242"/>
      <c r="AR182" s="2250"/>
      <c r="AS182" s="2244"/>
      <c r="AT182" s="2244"/>
      <c r="AU182" s="2245"/>
      <c r="AV182" s="2246"/>
      <c r="AW182" s="2247"/>
      <c r="AX182" s="2248"/>
      <c r="AY182" s="2249"/>
      <c r="AZ182" s="2249"/>
      <c r="BA182" s="2238"/>
      <c r="BB182" s="2264"/>
      <c r="BC182" s="918"/>
      <c r="BD182" s="2252" t="s">
        <v>15</v>
      </c>
      <c r="BE182" s="2237"/>
      <c r="BF182" s="2237"/>
      <c r="BG182" s="2237"/>
      <c r="BH182" s="2237"/>
      <c r="BI182" s="2240"/>
      <c r="BJ182" s="2241"/>
      <c r="BK182" s="2239"/>
      <c r="BL182" s="2242"/>
      <c r="BM182" s="2250"/>
      <c r="BN182" s="2244"/>
      <c r="BO182" s="2244"/>
      <c r="BP182" s="2245"/>
      <c r="BQ182" s="2246"/>
      <c r="BR182" s="2247"/>
      <c r="BS182" s="2248"/>
      <c r="BT182" s="2249"/>
      <c r="BU182" s="2249"/>
      <c r="BV182" s="2238"/>
      <c r="BW182" s="2264"/>
      <c r="BY182" s="3">
        <v>1</v>
      </c>
    </row>
    <row r="183" spans="2:77" ht="21" customHeight="1">
      <c r="B183" s="2265" t="str" cm="1">
        <f t="array" ref="B183">SUMPRODUCT(--(D183:J183&lt;&gt;""), LEN(TRIM(SUBSTITUTE(D183:J183, CHAR(160), "")))) &amp; " Car."</f>
        <v>0 Car.</v>
      </c>
      <c r="C183" s="1376" t="str">
        <f>IF(ISBLANK(D183),"",LARGE(C13:C182,1)+1)</f>
        <v/>
      </c>
      <c r="D183" s="1833"/>
      <c r="E183" s="1810"/>
      <c r="F183" s="1810"/>
      <c r="G183" s="1810"/>
      <c r="H183" s="1810"/>
      <c r="I183" s="1810"/>
      <c r="J183" s="1810"/>
      <c r="K183" s="1810"/>
      <c r="L183" s="1811"/>
      <c r="M183" s="9"/>
      <c r="N183" s="2252" t="s">
        <v>15</v>
      </c>
      <c r="O183" s="2237"/>
      <c r="P183" s="2237"/>
      <c r="Q183" s="2237"/>
      <c r="R183" s="2237"/>
      <c r="S183" s="2240"/>
      <c r="T183" s="2241"/>
      <c r="U183" s="2239"/>
      <c r="V183" s="2242"/>
      <c r="W183" s="2250"/>
      <c r="X183" s="2244"/>
      <c r="Y183" s="2244"/>
      <c r="Z183" s="2245"/>
      <c r="AA183" s="2246"/>
      <c r="AB183" s="2247"/>
      <c r="AC183" s="2248"/>
      <c r="AD183" s="2249"/>
      <c r="AE183" s="2249"/>
      <c r="AF183" s="2238"/>
      <c r="AG183" s="2264"/>
      <c r="AH183" s="918"/>
      <c r="AI183" s="2252" t="s">
        <v>15</v>
      </c>
      <c r="AJ183" s="2237"/>
      <c r="AK183" s="2237"/>
      <c r="AL183" s="2237"/>
      <c r="AM183" s="2237"/>
      <c r="AN183" s="2240"/>
      <c r="AO183" s="2241"/>
      <c r="AP183" s="2239"/>
      <c r="AQ183" s="2242"/>
      <c r="AR183" s="2250"/>
      <c r="AS183" s="2244"/>
      <c r="AT183" s="2244"/>
      <c r="AU183" s="2245"/>
      <c r="AV183" s="2246"/>
      <c r="AW183" s="2247"/>
      <c r="AX183" s="2248"/>
      <c r="AY183" s="2249"/>
      <c r="AZ183" s="2249"/>
      <c r="BA183" s="2238"/>
      <c r="BB183" s="2264"/>
      <c r="BC183" s="918"/>
      <c r="BD183" s="2252" t="s">
        <v>15</v>
      </c>
      <c r="BE183" s="2237"/>
      <c r="BF183" s="2237"/>
      <c r="BG183" s="2237"/>
      <c r="BH183" s="2237"/>
      <c r="BI183" s="2240"/>
      <c r="BJ183" s="2241"/>
      <c r="BK183" s="2239"/>
      <c r="BL183" s="2242"/>
      <c r="BM183" s="2250"/>
      <c r="BN183" s="2244"/>
      <c r="BO183" s="2244"/>
      <c r="BP183" s="2245"/>
      <c r="BQ183" s="2246"/>
      <c r="BR183" s="2247"/>
      <c r="BS183" s="2248"/>
      <c r="BT183" s="2249"/>
      <c r="BU183" s="2249"/>
      <c r="BV183" s="2238"/>
      <c r="BW183" s="2264"/>
      <c r="BY183" s="3">
        <v>1</v>
      </c>
    </row>
    <row r="184" spans="2:77" ht="21" customHeight="1">
      <c r="B184" s="2265" t="str" cm="1">
        <f t="array" ref="B184">SUMPRODUCT(--(D184:J184&lt;&gt;""), LEN(TRIM(SUBSTITUTE(D184:J184, CHAR(160), "")))) &amp; " Car."</f>
        <v>0 Car.</v>
      </c>
      <c r="C184" s="1376" t="str">
        <f>IF(ISBLANK(D184),"",LARGE(C13:C183,1)+1)</f>
        <v/>
      </c>
      <c r="D184" s="1833"/>
      <c r="E184" s="1810"/>
      <c r="F184" s="1810"/>
      <c r="G184" s="1810"/>
      <c r="H184" s="1810"/>
      <c r="I184" s="1810"/>
      <c r="J184" s="1810"/>
      <c r="K184" s="1810"/>
      <c r="L184" s="1811"/>
      <c r="M184" s="9"/>
      <c r="N184" s="2252" t="s">
        <v>15</v>
      </c>
      <c r="O184" s="2237"/>
      <c r="P184" s="2237"/>
      <c r="Q184" s="2237"/>
      <c r="R184" s="2237"/>
      <c r="S184" s="2240"/>
      <c r="T184" s="2241"/>
      <c r="U184" s="2239"/>
      <c r="V184" s="2242"/>
      <c r="W184" s="2250"/>
      <c r="X184" s="2244"/>
      <c r="Y184" s="2244"/>
      <c r="Z184" s="2245"/>
      <c r="AA184" s="2246"/>
      <c r="AB184" s="2247"/>
      <c r="AC184" s="2248"/>
      <c r="AD184" s="2249"/>
      <c r="AE184" s="2249"/>
      <c r="AF184" s="2238"/>
      <c r="AG184" s="2264"/>
      <c r="AH184" s="918"/>
      <c r="AI184" s="2252" t="s">
        <v>15</v>
      </c>
      <c r="AJ184" s="2237"/>
      <c r="AK184" s="2237"/>
      <c r="AL184" s="2237"/>
      <c r="AM184" s="2237"/>
      <c r="AN184" s="2240"/>
      <c r="AO184" s="2241"/>
      <c r="AP184" s="2239"/>
      <c r="AQ184" s="2242"/>
      <c r="AR184" s="2250"/>
      <c r="AS184" s="2244"/>
      <c r="AT184" s="2244"/>
      <c r="AU184" s="2245"/>
      <c r="AV184" s="2246"/>
      <c r="AW184" s="2247"/>
      <c r="AX184" s="2248"/>
      <c r="AY184" s="2249"/>
      <c r="AZ184" s="2249"/>
      <c r="BA184" s="2238"/>
      <c r="BB184" s="2264"/>
      <c r="BC184" s="918"/>
      <c r="BD184" s="2252" t="s">
        <v>15</v>
      </c>
      <c r="BE184" s="2237"/>
      <c r="BF184" s="2237"/>
      <c r="BG184" s="2237"/>
      <c r="BH184" s="2237"/>
      <c r="BI184" s="2240"/>
      <c r="BJ184" s="2241"/>
      <c r="BK184" s="2239"/>
      <c r="BL184" s="2242"/>
      <c r="BM184" s="2250"/>
      <c r="BN184" s="2244"/>
      <c r="BO184" s="2244"/>
      <c r="BP184" s="2245"/>
      <c r="BQ184" s="2246"/>
      <c r="BR184" s="2247"/>
      <c r="BS184" s="2248"/>
      <c r="BT184" s="2249"/>
      <c r="BU184" s="2249"/>
      <c r="BV184" s="2238"/>
      <c r="BW184" s="2264"/>
      <c r="BY184" s="3">
        <v>1</v>
      </c>
    </row>
    <row r="185" spans="2:77" ht="21" customHeight="1">
      <c r="B185" s="2265" t="str" cm="1">
        <f t="array" ref="B185">SUMPRODUCT(--(D185:J185&lt;&gt;""), LEN(TRIM(SUBSTITUTE(D185:J185, CHAR(160), "")))) &amp; " Car."</f>
        <v>0 Car.</v>
      </c>
      <c r="C185" s="1376" t="str">
        <f>IF(ISBLANK(D185),"",LARGE(C13:C184,1)+1)</f>
        <v/>
      </c>
      <c r="D185" s="1833"/>
      <c r="E185" s="1810"/>
      <c r="F185" s="1810"/>
      <c r="G185" s="1810"/>
      <c r="H185" s="1810"/>
      <c r="I185" s="1810"/>
      <c r="J185" s="1810"/>
      <c r="K185" s="1810"/>
      <c r="L185" s="1811"/>
      <c r="M185" s="9"/>
      <c r="N185" s="2252" t="s">
        <v>15</v>
      </c>
      <c r="O185" s="2237"/>
      <c r="P185" s="2237"/>
      <c r="Q185" s="2237"/>
      <c r="R185" s="2237"/>
      <c r="S185" s="2240"/>
      <c r="T185" s="2241"/>
      <c r="U185" s="2239"/>
      <c r="V185" s="2242"/>
      <c r="W185" s="2250"/>
      <c r="X185" s="2244"/>
      <c r="Y185" s="2244"/>
      <c r="Z185" s="2245"/>
      <c r="AA185" s="2246"/>
      <c r="AB185" s="2247"/>
      <c r="AC185" s="2248"/>
      <c r="AD185" s="2249"/>
      <c r="AE185" s="2249"/>
      <c r="AF185" s="2238"/>
      <c r="AG185" s="2264"/>
      <c r="AH185" s="918"/>
      <c r="AI185" s="2252" t="s">
        <v>15</v>
      </c>
      <c r="AJ185" s="2237"/>
      <c r="AK185" s="2237"/>
      <c r="AL185" s="2237"/>
      <c r="AM185" s="2237"/>
      <c r="AN185" s="2240"/>
      <c r="AO185" s="2241"/>
      <c r="AP185" s="2239"/>
      <c r="AQ185" s="2242"/>
      <c r="AR185" s="2250"/>
      <c r="AS185" s="2244"/>
      <c r="AT185" s="2244"/>
      <c r="AU185" s="2245"/>
      <c r="AV185" s="2246"/>
      <c r="AW185" s="2247"/>
      <c r="AX185" s="2248"/>
      <c r="AY185" s="2249"/>
      <c r="AZ185" s="2249"/>
      <c r="BA185" s="2238"/>
      <c r="BB185" s="2264"/>
      <c r="BC185" s="918"/>
      <c r="BD185" s="2252" t="s">
        <v>15</v>
      </c>
      <c r="BE185" s="2237"/>
      <c r="BF185" s="2237"/>
      <c r="BG185" s="2237"/>
      <c r="BH185" s="2237"/>
      <c r="BI185" s="2240"/>
      <c r="BJ185" s="2241"/>
      <c r="BK185" s="2239"/>
      <c r="BL185" s="2242"/>
      <c r="BM185" s="2250"/>
      <c r="BN185" s="2244"/>
      <c r="BO185" s="2244"/>
      <c r="BP185" s="2245"/>
      <c r="BQ185" s="2246"/>
      <c r="BR185" s="2247"/>
      <c r="BS185" s="2248"/>
      <c r="BT185" s="2249"/>
      <c r="BU185" s="2249"/>
      <c r="BV185" s="2238"/>
      <c r="BW185" s="2264"/>
      <c r="BY185" s="3">
        <v>1</v>
      </c>
    </row>
    <row r="186" spans="2:77" ht="21" customHeight="1">
      <c r="B186" s="2265" t="str" cm="1">
        <f t="array" ref="B186">SUMPRODUCT(--(D186:J186&lt;&gt;""), LEN(TRIM(SUBSTITUTE(D186:J186, CHAR(160), "")))) &amp; " Car."</f>
        <v>0 Car.</v>
      </c>
      <c r="C186" s="1376" t="str">
        <f>IF(ISBLANK(D186),"",LARGE(C13:C185,1)+1)</f>
        <v/>
      </c>
      <c r="D186" s="1833"/>
      <c r="E186" s="1810"/>
      <c r="F186" s="1810"/>
      <c r="G186" s="1810"/>
      <c r="H186" s="1810"/>
      <c r="I186" s="1810"/>
      <c r="J186" s="1810"/>
      <c r="K186" s="1810"/>
      <c r="L186" s="1811"/>
      <c r="M186" s="9"/>
      <c r="N186" s="2252" t="s">
        <v>15</v>
      </c>
      <c r="O186" s="2237"/>
      <c r="P186" s="2237"/>
      <c r="Q186" s="2237"/>
      <c r="R186" s="2237"/>
      <c r="S186" s="2240"/>
      <c r="T186" s="2241"/>
      <c r="U186" s="2239"/>
      <c r="V186" s="2242"/>
      <c r="W186" s="2250"/>
      <c r="X186" s="2244"/>
      <c r="Y186" s="2244"/>
      <c r="Z186" s="2245"/>
      <c r="AA186" s="2246"/>
      <c r="AB186" s="2247"/>
      <c r="AC186" s="2248"/>
      <c r="AD186" s="2249"/>
      <c r="AE186" s="2249"/>
      <c r="AF186" s="2238"/>
      <c r="AG186" s="2264"/>
      <c r="AH186" s="918"/>
      <c r="AI186" s="2252" t="s">
        <v>15</v>
      </c>
      <c r="AJ186" s="2237"/>
      <c r="AK186" s="2237"/>
      <c r="AL186" s="2237"/>
      <c r="AM186" s="2237"/>
      <c r="AN186" s="2240"/>
      <c r="AO186" s="2241"/>
      <c r="AP186" s="2239"/>
      <c r="AQ186" s="2242"/>
      <c r="AR186" s="2250"/>
      <c r="AS186" s="2244"/>
      <c r="AT186" s="2244"/>
      <c r="AU186" s="2245"/>
      <c r="AV186" s="2246"/>
      <c r="AW186" s="2247"/>
      <c r="AX186" s="2248"/>
      <c r="AY186" s="2249"/>
      <c r="AZ186" s="2249"/>
      <c r="BA186" s="2238"/>
      <c r="BB186" s="2264"/>
      <c r="BC186" s="918"/>
      <c r="BD186" s="2252" t="s">
        <v>15</v>
      </c>
      <c r="BE186" s="2237"/>
      <c r="BF186" s="2237"/>
      <c r="BG186" s="2237"/>
      <c r="BH186" s="2237"/>
      <c r="BI186" s="2240"/>
      <c r="BJ186" s="2241"/>
      <c r="BK186" s="2239"/>
      <c r="BL186" s="2242"/>
      <c r="BM186" s="2250"/>
      <c r="BN186" s="2244"/>
      <c r="BO186" s="2244"/>
      <c r="BP186" s="2245"/>
      <c r="BQ186" s="2246"/>
      <c r="BR186" s="2247"/>
      <c r="BS186" s="2248"/>
      <c r="BT186" s="2249"/>
      <c r="BU186" s="2249"/>
      <c r="BV186" s="2238"/>
      <c r="BW186" s="2264"/>
      <c r="BY186" s="3">
        <v>1</v>
      </c>
    </row>
    <row r="187" spans="2:77" ht="21" customHeight="1">
      <c r="B187" s="2265" t="str" cm="1">
        <f t="array" ref="B187">SUMPRODUCT(--(D187:J187&lt;&gt;""), LEN(TRIM(SUBSTITUTE(D187:J187, CHAR(160), "")))) &amp; " Car."</f>
        <v>0 Car.</v>
      </c>
      <c r="C187" s="1376" t="str">
        <f>IF(ISBLANK(D187),"",LARGE(C13:C186,1)+1)</f>
        <v/>
      </c>
      <c r="D187" s="1833"/>
      <c r="E187" s="1810"/>
      <c r="F187" s="1810"/>
      <c r="G187" s="1810"/>
      <c r="H187" s="1810"/>
      <c r="I187" s="1810"/>
      <c r="J187" s="1810"/>
      <c r="K187" s="1810"/>
      <c r="L187" s="1811"/>
      <c r="M187" s="9"/>
      <c r="N187" s="2252" t="s">
        <v>15</v>
      </c>
      <c r="O187" s="2237"/>
      <c r="P187" s="2237"/>
      <c r="Q187" s="2237"/>
      <c r="R187" s="2237"/>
      <c r="S187" s="2240"/>
      <c r="T187" s="2241"/>
      <c r="U187" s="2239"/>
      <c r="V187" s="2242"/>
      <c r="W187" s="2250"/>
      <c r="X187" s="2244"/>
      <c r="Y187" s="2244"/>
      <c r="Z187" s="2245"/>
      <c r="AA187" s="2246"/>
      <c r="AB187" s="2247"/>
      <c r="AC187" s="2248"/>
      <c r="AD187" s="2249"/>
      <c r="AE187" s="2249"/>
      <c r="AF187" s="2238"/>
      <c r="AG187" s="2264"/>
      <c r="AH187" s="918"/>
      <c r="AI187" s="2252" t="s">
        <v>15</v>
      </c>
      <c r="AJ187" s="2237"/>
      <c r="AK187" s="2237"/>
      <c r="AL187" s="2237"/>
      <c r="AM187" s="2237"/>
      <c r="AN187" s="2240"/>
      <c r="AO187" s="2241"/>
      <c r="AP187" s="2239"/>
      <c r="AQ187" s="2242"/>
      <c r="AR187" s="2250"/>
      <c r="AS187" s="2244"/>
      <c r="AT187" s="2244"/>
      <c r="AU187" s="2245"/>
      <c r="AV187" s="2246"/>
      <c r="AW187" s="2247"/>
      <c r="AX187" s="2248"/>
      <c r="AY187" s="2249"/>
      <c r="AZ187" s="2249"/>
      <c r="BA187" s="2238"/>
      <c r="BB187" s="2264"/>
      <c r="BC187" s="918"/>
      <c r="BD187" s="2252" t="s">
        <v>15</v>
      </c>
      <c r="BE187" s="2237"/>
      <c r="BF187" s="2237"/>
      <c r="BG187" s="2237"/>
      <c r="BH187" s="2237"/>
      <c r="BI187" s="2240"/>
      <c r="BJ187" s="2241"/>
      <c r="BK187" s="2239"/>
      <c r="BL187" s="2242"/>
      <c r="BM187" s="2250"/>
      <c r="BN187" s="2244"/>
      <c r="BO187" s="2244"/>
      <c r="BP187" s="2245"/>
      <c r="BQ187" s="2246"/>
      <c r="BR187" s="2247"/>
      <c r="BS187" s="2248"/>
      <c r="BT187" s="2249"/>
      <c r="BU187" s="2249"/>
      <c r="BV187" s="2238"/>
      <c r="BW187" s="2264"/>
      <c r="BY187" s="3">
        <v>1</v>
      </c>
    </row>
    <row r="188" spans="2:77" ht="21" customHeight="1">
      <c r="B188" s="2265" t="str" cm="1">
        <f t="array" ref="B188">SUMPRODUCT(--(D188:J188&lt;&gt;""), LEN(TRIM(SUBSTITUTE(D188:J188, CHAR(160), "")))) &amp; " Car."</f>
        <v>0 Car.</v>
      </c>
      <c r="C188" s="1376" t="str">
        <f>IF(ISBLANK(D188),"",LARGE(C13:C187,1)+1)</f>
        <v/>
      </c>
      <c r="D188" s="1833"/>
      <c r="E188" s="1810"/>
      <c r="F188" s="1810"/>
      <c r="G188" s="1810"/>
      <c r="H188" s="1810"/>
      <c r="I188" s="1810"/>
      <c r="J188" s="1810"/>
      <c r="K188" s="1810"/>
      <c r="L188" s="1811"/>
      <c r="M188" s="9"/>
      <c r="N188" s="2252" t="s">
        <v>15</v>
      </c>
      <c r="O188" s="2237"/>
      <c r="P188" s="2237"/>
      <c r="Q188" s="2237"/>
      <c r="R188" s="2237"/>
      <c r="S188" s="2240"/>
      <c r="T188" s="2241"/>
      <c r="U188" s="2239"/>
      <c r="V188" s="2242"/>
      <c r="W188" s="2250"/>
      <c r="X188" s="2244"/>
      <c r="Y188" s="2244"/>
      <c r="Z188" s="2245"/>
      <c r="AA188" s="2246"/>
      <c r="AB188" s="2247"/>
      <c r="AC188" s="2248"/>
      <c r="AD188" s="2249"/>
      <c r="AE188" s="2249"/>
      <c r="AF188" s="2238"/>
      <c r="AG188" s="2264"/>
      <c r="AH188" s="918"/>
      <c r="AI188" s="2252" t="s">
        <v>15</v>
      </c>
      <c r="AJ188" s="2237"/>
      <c r="AK188" s="2237"/>
      <c r="AL188" s="2237"/>
      <c r="AM188" s="2237"/>
      <c r="AN188" s="2240"/>
      <c r="AO188" s="2241"/>
      <c r="AP188" s="2239"/>
      <c r="AQ188" s="2242"/>
      <c r="AR188" s="2250"/>
      <c r="AS188" s="2244"/>
      <c r="AT188" s="2244"/>
      <c r="AU188" s="2245"/>
      <c r="AV188" s="2246"/>
      <c r="AW188" s="2247"/>
      <c r="AX188" s="2248"/>
      <c r="AY188" s="2249"/>
      <c r="AZ188" s="2249"/>
      <c r="BA188" s="2238"/>
      <c r="BB188" s="2264"/>
      <c r="BC188" s="918"/>
      <c r="BD188" s="2252" t="s">
        <v>15</v>
      </c>
      <c r="BE188" s="2237"/>
      <c r="BF188" s="2237"/>
      <c r="BG188" s="2237"/>
      <c r="BH188" s="2237"/>
      <c r="BI188" s="2240"/>
      <c r="BJ188" s="2241"/>
      <c r="BK188" s="2239"/>
      <c r="BL188" s="2242"/>
      <c r="BM188" s="2250"/>
      <c r="BN188" s="2244"/>
      <c r="BO188" s="2244"/>
      <c r="BP188" s="2245"/>
      <c r="BQ188" s="2246"/>
      <c r="BR188" s="2247"/>
      <c r="BS188" s="2248"/>
      <c r="BT188" s="2249"/>
      <c r="BU188" s="2249"/>
      <c r="BV188" s="2238"/>
      <c r="BW188" s="2264"/>
      <c r="BY188" s="3">
        <v>1</v>
      </c>
    </row>
    <row r="189" spans="2:77" ht="21" customHeight="1">
      <c r="B189" s="2265" t="str" cm="1">
        <f t="array" ref="B189">SUMPRODUCT(--(D189:J189&lt;&gt;""), LEN(TRIM(SUBSTITUTE(D189:J189, CHAR(160), "")))) &amp; " Car."</f>
        <v>0 Car.</v>
      </c>
      <c r="C189" s="1376" t="str">
        <f>IF(ISBLANK(D189),"",LARGE(C13:C188,1)+1)</f>
        <v/>
      </c>
      <c r="D189" s="1833"/>
      <c r="E189" s="1810"/>
      <c r="F189" s="1810"/>
      <c r="G189" s="1810"/>
      <c r="H189" s="1810"/>
      <c r="I189" s="1810"/>
      <c r="J189" s="1810"/>
      <c r="K189" s="1810"/>
      <c r="L189" s="1811"/>
      <c r="M189" s="9"/>
      <c r="N189" s="2252" t="s">
        <v>15</v>
      </c>
      <c r="O189" s="2237"/>
      <c r="P189" s="2237"/>
      <c r="Q189" s="2237"/>
      <c r="R189" s="2237"/>
      <c r="S189" s="2240"/>
      <c r="T189" s="2241"/>
      <c r="U189" s="2239"/>
      <c r="V189" s="2242"/>
      <c r="W189" s="2250"/>
      <c r="X189" s="2244"/>
      <c r="Y189" s="2244"/>
      <c r="Z189" s="2245"/>
      <c r="AA189" s="2246"/>
      <c r="AB189" s="2247"/>
      <c r="AC189" s="2248"/>
      <c r="AD189" s="2249"/>
      <c r="AE189" s="2249"/>
      <c r="AF189" s="2238"/>
      <c r="AG189" s="2264"/>
      <c r="AH189" s="918"/>
      <c r="AI189" s="2252" t="s">
        <v>15</v>
      </c>
      <c r="AJ189" s="2237"/>
      <c r="AK189" s="2237"/>
      <c r="AL189" s="2237"/>
      <c r="AM189" s="2237"/>
      <c r="AN189" s="2240"/>
      <c r="AO189" s="2241"/>
      <c r="AP189" s="2239"/>
      <c r="AQ189" s="2242"/>
      <c r="AR189" s="2250"/>
      <c r="AS189" s="2244"/>
      <c r="AT189" s="2244"/>
      <c r="AU189" s="2245"/>
      <c r="AV189" s="2246"/>
      <c r="AW189" s="2247"/>
      <c r="AX189" s="2248"/>
      <c r="AY189" s="2249"/>
      <c r="AZ189" s="2249"/>
      <c r="BA189" s="2238"/>
      <c r="BB189" s="2264"/>
      <c r="BC189" s="918"/>
      <c r="BD189" s="2252" t="s">
        <v>15</v>
      </c>
      <c r="BE189" s="2237"/>
      <c r="BF189" s="2237"/>
      <c r="BG189" s="2237"/>
      <c r="BH189" s="2237"/>
      <c r="BI189" s="2240"/>
      <c r="BJ189" s="2241"/>
      <c r="BK189" s="2239"/>
      <c r="BL189" s="2242"/>
      <c r="BM189" s="2250"/>
      <c r="BN189" s="2244"/>
      <c r="BO189" s="2244"/>
      <c r="BP189" s="2245"/>
      <c r="BQ189" s="2246"/>
      <c r="BR189" s="2247"/>
      <c r="BS189" s="2248"/>
      <c r="BT189" s="2249"/>
      <c r="BU189" s="2249"/>
      <c r="BV189" s="2238"/>
      <c r="BW189" s="2264"/>
      <c r="BY189" s="3">
        <v>1</v>
      </c>
    </row>
    <row r="190" spans="2:77" ht="21" customHeight="1">
      <c r="B190" s="2265" t="str" cm="1">
        <f t="array" ref="B190">SUMPRODUCT(--(D190:J190&lt;&gt;""), LEN(TRIM(SUBSTITUTE(D190:J190, CHAR(160), "")))) &amp; " Car."</f>
        <v>0 Car.</v>
      </c>
      <c r="C190" s="1376" t="str">
        <f>IF(ISBLANK(D190),"",LARGE(C13:C189,1)+1)</f>
        <v/>
      </c>
      <c r="D190" s="1833"/>
      <c r="E190" s="1810"/>
      <c r="F190" s="1810"/>
      <c r="G190" s="1810"/>
      <c r="H190" s="1810"/>
      <c r="I190" s="1810"/>
      <c r="J190" s="1810"/>
      <c r="K190" s="1810"/>
      <c r="L190" s="1811"/>
      <c r="M190" s="9"/>
      <c r="N190" s="2252" t="s">
        <v>15</v>
      </c>
      <c r="O190" s="2237"/>
      <c r="P190" s="2237"/>
      <c r="Q190" s="2237"/>
      <c r="R190" s="2237"/>
      <c r="S190" s="2240"/>
      <c r="T190" s="2241"/>
      <c r="U190" s="2239"/>
      <c r="V190" s="2242"/>
      <c r="W190" s="2250"/>
      <c r="X190" s="2244"/>
      <c r="Y190" s="2244"/>
      <c r="Z190" s="2245"/>
      <c r="AA190" s="2246"/>
      <c r="AB190" s="2247"/>
      <c r="AC190" s="2248"/>
      <c r="AD190" s="2249"/>
      <c r="AE190" s="2249"/>
      <c r="AF190" s="2238"/>
      <c r="AG190" s="2264"/>
      <c r="AH190" s="918"/>
      <c r="AI190" s="2252" t="s">
        <v>15</v>
      </c>
      <c r="AJ190" s="2237"/>
      <c r="AK190" s="2237"/>
      <c r="AL190" s="2237"/>
      <c r="AM190" s="2237"/>
      <c r="AN190" s="2240"/>
      <c r="AO190" s="2241"/>
      <c r="AP190" s="2239"/>
      <c r="AQ190" s="2242"/>
      <c r="AR190" s="2250"/>
      <c r="AS190" s="2244"/>
      <c r="AT190" s="2244"/>
      <c r="AU190" s="2245"/>
      <c r="AV190" s="2246"/>
      <c r="AW190" s="2247"/>
      <c r="AX190" s="2248"/>
      <c r="AY190" s="2249"/>
      <c r="AZ190" s="2249"/>
      <c r="BA190" s="2238"/>
      <c r="BB190" s="2264"/>
      <c r="BC190" s="918"/>
      <c r="BD190" s="2252" t="s">
        <v>15</v>
      </c>
      <c r="BE190" s="2237"/>
      <c r="BF190" s="2237"/>
      <c r="BG190" s="2237"/>
      <c r="BH190" s="2237"/>
      <c r="BI190" s="2240"/>
      <c r="BJ190" s="2241"/>
      <c r="BK190" s="2239"/>
      <c r="BL190" s="2242"/>
      <c r="BM190" s="2250"/>
      <c r="BN190" s="2244"/>
      <c r="BO190" s="2244"/>
      <c r="BP190" s="2245"/>
      <c r="BQ190" s="2246"/>
      <c r="BR190" s="2247"/>
      <c r="BS190" s="2248"/>
      <c r="BT190" s="2249"/>
      <c r="BU190" s="2249"/>
      <c r="BV190" s="2238"/>
      <c r="BW190" s="2264"/>
      <c r="BY190" s="3">
        <v>1</v>
      </c>
    </row>
    <row r="191" spans="2:77" ht="21" customHeight="1">
      <c r="B191" s="2265" t="str" cm="1">
        <f t="array" ref="B191">SUMPRODUCT(--(D191:J191&lt;&gt;""), LEN(TRIM(SUBSTITUTE(D191:J191, CHAR(160), "")))) &amp; " Car."</f>
        <v>0 Car.</v>
      </c>
      <c r="C191" s="1376" t="str">
        <f>IF(ISBLANK(D191),"",LARGE(C13:C190,1)+1)</f>
        <v/>
      </c>
      <c r="D191" s="1833"/>
      <c r="E191" s="1810"/>
      <c r="F191" s="1810"/>
      <c r="G191" s="1810"/>
      <c r="H191" s="1810"/>
      <c r="I191" s="1810"/>
      <c r="J191" s="1810"/>
      <c r="K191" s="1810"/>
      <c r="L191" s="1811"/>
      <c r="M191" s="9"/>
      <c r="N191" s="2252" t="s">
        <v>15</v>
      </c>
      <c r="O191" s="2237"/>
      <c r="P191" s="2237"/>
      <c r="Q191" s="2237"/>
      <c r="R191" s="2237"/>
      <c r="S191" s="2240"/>
      <c r="T191" s="2241"/>
      <c r="U191" s="2239"/>
      <c r="V191" s="2242"/>
      <c r="W191" s="2250"/>
      <c r="X191" s="2244"/>
      <c r="Y191" s="2244"/>
      <c r="Z191" s="2245"/>
      <c r="AA191" s="2246"/>
      <c r="AB191" s="2247"/>
      <c r="AC191" s="2248"/>
      <c r="AD191" s="2249"/>
      <c r="AE191" s="2249"/>
      <c r="AF191" s="2238"/>
      <c r="AG191" s="2264"/>
      <c r="AH191" s="918"/>
      <c r="AI191" s="2252" t="s">
        <v>15</v>
      </c>
      <c r="AJ191" s="2237"/>
      <c r="AK191" s="2237"/>
      <c r="AL191" s="2237"/>
      <c r="AM191" s="2237"/>
      <c r="AN191" s="2240"/>
      <c r="AO191" s="2241"/>
      <c r="AP191" s="2239"/>
      <c r="AQ191" s="2242"/>
      <c r="AR191" s="2250"/>
      <c r="AS191" s="2244"/>
      <c r="AT191" s="2244"/>
      <c r="AU191" s="2245"/>
      <c r="AV191" s="2246"/>
      <c r="AW191" s="2247"/>
      <c r="AX191" s="2248"/>
      <c r="AY191" s="2249"/>
      <c r="AZ191" s="2249"/>
      <c r="BA191" s="2238"/>
      <c r="BB191" s="2264"/>
      <c r="BC191" s="918"/>
      <c r="BD191" s="2252" t="s">
        <v>15</v>
      </c>
      <c r="BE191" s="2237"/>
      <c r="BF191" s="2237"/>
      <c r="BG191" s="2237"/>
      <c r="BH191" s="2237"/>
      <c r="BI191" s="2240"/>
      <c r="BJ191" s="2241"/>
      <c r="BK191" s="2239"/>
      <c r="BL191" s="2242"/>
      <c r="BM191" s="2250"/>
      <c r="BN191" s="2244"/>
      <c r="BO191" s="2244"/>
      <c r="BP191" s="2245"/>
      <c r="BQ191" s="2246"/>
      <c r="BR191" s="2247"/>
      <c r="BS191" s="2248"/>
      <c r="BT191" s="2249"/>
      <c r="BU191" s="2249"/>
      <c r="BV191" s="2238"/>
      <c r="BW191" s="2264"/>
      <c r="BY191" s="3">
        <v>1</v>
      </c>
    </row>
    <row r="192" spans="2:77" ht="21" customHeight="1">
      <c r="B192" s="2265" t="str" cm="1">
        <f t="array" ref="B192">SUMPRODUCT(--(D192:J192&lt;&gt;""), LEN(TRIM(SUBSTITUTE(D192:J192, CHAR(160), "")))) &amp; " Car."</f>
        <v>0 Car.</v>
      </c>
      <c r="C192" s="1376" t="str">
        <f>IF(ISBLANK(D192),"",LARGE(C13:C191,1)+1)</f>
        <v/>
      </c>
      <c r="D192" s="1833"/>
      <c r="E192" s="1810"/>
      <c r="F192" s="1810"/>
      <c r="G192" s="1810"/>
      <c r="H192" s="1810"/>
      <c r="I192" s="1810"/>
      <c r="J192" s="1810"/>
      <c r="K192" s="1810"/>
      <c r="L192" s="1811"/>
      <c r="M192" s="9"/>
      <c r="N192" s="2252" t="s">
        <v>15</v>
      </c>
      <c r="O192" s="2237"/>
      <c r="P192" s="2237"/>
      <c r="Q192" s="2237"/>
      <c r="R192" s="2237"/>
      <c r="S192" s="2240"/>
      <c r="T192" s="2241"/>
      <c r="U192" s="2239"/>
      <c r="V192" s="2242"/>
      <c r="W192" s="2250"/>
      <c r="X192" s="2244"/>
      <c r="Y192" s="2244"/>
      <c r="Z192" s="2245"/>
      <c r="AA192" s="2246"/>
      <c r="AB192" s="2247"/>
      <c r="AC192" s="2248"/>
      <c r="AD192" s="2249"/>
      <c r="AE192" s="2249"/>
      <c r="AF192" s="2238"/>
      <c r="AG192" s="2264"/>
      <c r="AH192" s="918"/>
      <c r="AI192" s="2252" t="s">
        <v>15</v>
      </c>
      <c r="AJ192" s="2237"/>
      <c r="AK192" s="2237"/>
      <c r="AL192" s="2237"/>
      <c r="AM192" s="2237"/>
      <c r="AN192" s="2240"/>
      <c r="AO192" s="2241"/>
      <c r="AP192" s="2239"/>
      <c r="AQ192" s="2242"/>
      <c r="AR192" s="2250"/>
      <c r="AS192" s="2244"/>
      <c r="AT192" s="2244"/>
      <c r="AU192" s="2245"/>
      <c r="AV192" s="2246"/>
      <c r="AW192" s="2247"/>
      <c r="AX192" s="2248"/>
      <c r="AY192" s="2249"/>
      <c r="AZ192" s="2249"/>
      <c r="BA192" s="2238"/>
      <c r="BB192" s="2264"/>
      <c r="BC192" s="918"/>
      <c r="BD192" s="2252" t="s">
        <v>15</v>
      </c>
      <c r="BE192" s="2237"/>
      <c r="BF192" s="2237"/>
      <c r="BG192" s="2237"/>
      <c r="BH192" s="2237"/>
      <c r="BI192" s="2240"/>
      <c r="BJ192" s="2241"/>
      <c r="BK192" s="2239"/>
      <c r="BL192" s="2242"/>
      <c r="BM192" s="2250"/>
      <c r="BN192" s="2244"/>
      <c r="BO192" s="2244"/>
      <c r="BP192" s="2245"/>
      <c r="BQ192" s="2246"/>
      <c r="BR192" s="2247"/>
      <c r="BS192" s="2248"/>
      <c r="BT192" s="2249"/>
      <c r="BU192" s="2249"/>
      <c r="BV192" s="2238"/>
      <c r="BW192" s="2264"/>
      <c r="BY192" s="3">
        <v>1</v>
      </c>
    </row>
    <row r="193" spans="2:77" ht="21" customHeight="1">
      <c r="B193" s="2265" t="str" cm="1">
        <f t="array" ref="B193">SUMPRODUCT(--(D193:J193&lt;&gt;""), LEN(TRIM(SUBSTITUTE(D193:J193, CHAR(160), "")))) &amp; " Car."</f>
        <v>0 Car.</v>
      </c>
      <c r="C193" s="1376" t="str">
        <f>IF(ISBLANK(D193),"",LARGE(C13:C192,1)+1)</f>
        <v/>
      </c>
      <c r="D193" s="1833"/>
      <c r="E193" s="1810"/>
      <c r="F193" s="1810"/>
      <c r="G193" s="1810"/>
      <c r="H193" s="1810"/>
      <c r="I193" s="1810"/>
      <c r="J193" s="1810"/>
      <c r="K193" s="1810"/>
      <c r="L193" s="1811"/>
      <c r="M193" s="9"/>
      <c r="N193" s="2252" t="s">
        <v>15</v>
      </c>
      <c r="O193" s="2237"/>
      <c r="P193" s="2237"/>
      <c r="Q193" s="2237"/>
      <c r="R193" s="2237"/>
      <c r="S193" s="2240"/>
      <c r="T193" s="2241"/>
      <c r="U193" s="2239"/>
      <c r="V193" s="2242"/>
      <c r="W193" s="2250"/>
      <c r="X193" s="2244"/>
      <c r="Y193" s="2244"/>
      <c r="Z193" s="2245"/>
      <c r="AA193" s="2246"/>
      <c r="AB193" s="2247"/>
      <c r="AC193" s="2248"/>
      <c r="AD193" s="2249"/>
      <c r="AE193" s="2249"/>
      <c r="AF193" s="2238"/>
      <c r="AG193" s="2264"/>
      <c r="AH193" s="918"/>
      <c r="AI193" s="2252" t="s">
        <v>15</v>
      </c>
      <c r="AJ193" s="2237"/>
      <c r="AK193" s="2237"/>
      <c r="AL193" s="2237"/>
      <c r="AM193" s="2237"/>
      <c r="AN193" s="2240"/>
      <c r="AO193" s="2241"/>
      <c r="AP193" s="2239"/>
      <c r="AQ193" s="2242"/>
      <c r="AR193" s="2250"/>
      <c r="AS193" s="2244"/>
      <c r="AT193" s="2244"/>
      <c r="AU193" s="2245"/>
      <c r="AV193" s="2246"/>
      <c r="AW193" s="2247"/>
      <c r="AX193" s="2248"/>
      <c r="AY193" s="2249"/>
      <c r="AZ193" s="2249"/>
      <c r="BA193" s="2238"/>
      <c r="BB193" s="2264"/>
      <c r="BC193" s="918"/>
      <c r="BD193" s="2252" t="s">
        <v>15</v>
      </c>
      <c r="BE193" s="2237"/>
      <c r="BF193" s="2237"/>
      <c r="BG193" s="2237"/>
      <c r="BH193" s="2237"/>
      <c r="BI193" s="2240"/>
      <c r="BJ193" s="2241"/>
      <c r="BK193" s="2239"/>
      <c r="BL193" s="2242"/>
      <c r="BM193" s="2250"/>
      <c r="BN193" s="2244"/>
      <c r="BO193" s="2244"/>
      <c r="BP193" s="2245"/>
      <c r="BQ193" s="2246"/>
      <c r="BR193" s="2247"/>
      <c r="BS193" s="2248"/>
      <c r="BT193" s="2249"/>
      <c r="BU193" s="2249"/>
      <c r="BV193" s="2238"/>
      <c r="BW193" s="2264"/>
      <c r="BY193" s="3">
        <v>1</v>
      </c>
    </row>
    <row r="194" spans="2:77" ht="21" customHeight="1">
      <c r="B194" s="2265" t="str" cm="1">
        <f t="array" ref="B194">SUMPRODUCT(--(D194:J194&lt;&gt;""), LEN(TRIM(SUBSTITUTE(D194:J194, CHAR(160), "")))) &amp; " Car."</f>
        <v>0 Car.</v>
      </c>
      <c r="C194" s="1376" t="str">
        <f>IF(ISBLANK(D194),"",LARGE(C13:C193,1)+1)</f>
        <v/>
      </c>
      <c r="D194" s="1833"/>
      <c r="E194" s="1810"/>
      <c r="F194" s="1810"/>
      <c r="G194" s="1810"/>
      <c r="H194" s="1810"/>
      <c r="I194" s="1810"/>
      <c r="J194" s="1810"/>
      <c r="K194" s="1810"/>
      <c r="L194" s="1811"/>
      <c r="M194" s="9"/>
      <c r="N194" s="2252" t="s">
        <v>15</v>
      </c>
      <c r="O194" s="2237"/>
      <c r="P194" s="2237"/>
      <c r="Q194" s="2237"/>
      <c r="R194" s="2237"/>
      <c r="S194" s="2240"/>
      <c r="T194" s="2241"/>
      <c r="U194" s="2239"/>
      <c r="V194" s="2242"/>
      <c r="W194" s="2250"/>
      <c r="X194" s="2244"/>
      <c r="Y194" s="2244"/>
      <c r="Z194" s="2245"/>
      <c r="AA194" s="2246"/>
      <c r="AB194" s="2247"/>
      <c r="AC194" s="2248"/>
      <c r="AD194" s="2249"/>
      <c r="AE194" s="2249"/>
      <c r="AF194" s="2238"/>
      <c r="AG194" s="2264"/>
      <c r="AH194" s="918"/>
      <c r="AI194" s="2252" t="s">
        <v>15</v>
      </c>
      <c r="AJ194" s="2237"/>
      <c r="AK194" s="2237"/>
      <c r="AL194" s="2237"/>
      <c r="AM194" s="2237"/>
      <c r="AN194" s="2240"/>
      <c r="AO194" s="2241"/>
      <c r="AP194" s="2239"/>
      <c r="AQ194" s="2242"/>
      <c r="AR194" s="2250"/>
      <c r="AS194" s="2244"/>
      <c r="AT194" s="2244"/>
      <c r="AU194" s="2245"/>
      <c r="AV194" s="2246"/>
      <c r="AW194" s="2247"/>
      <c r="AX194" s="2248"/>
      <c r="AY194" s="2249"/>
      <c r="AZ194" s="2249"/>
      <c r="BA194" s="2238"/>
      <c r="BB194" s="2264"/>
      <c r="BC194" s="918"/>
      <c r="BD194" s="2252" t="s">
        <v>15</v>
      </c>
      <c r="BE194" s="2237"/>
      <c r="BF194" s="2237"/>
      <c r="BG194" s="2237"/>
      <c r="BH194" s="2237"/>
      <c r="BI194" s="2240"/>
      <c r="BJ194" s="2241"/>
      <c r="BK194" s="2239"/>
      <c r="BL194" s="2242"/>
      <c r="BM194" s="2250"/>
      <c r="BN194" s="2244"/>
      <c r="BO194" s="2244"/>
      <c r="BP194" s="2245"/>
      <c r="BQ194" s="2246"/>
      <c r="BR194" s="2247"/>
      <c r="BS194" s="2248"/>
      <c r="BT194" s="2249"/>
      <c r="BU194" s="2249"/>
      <c r="BV194" s="2238"/>
      <c r="BW194" s="2264"/>
      <c r="BY194" s="3">
        <v>1</v>
      </c>
    </row>
    <row r="195" spans="2:77" ht="21" customHeight="1">
      <c r="B195" s="2265" t="str" cm="1">
        <f t="array" ref="B195">SUMPRODUCT(--(D195:J195&lt;&gt;""), LEN(TRIM(SUBSTITUTE(D195:J195, CHAR(160), "")))) &amp; " Car."</f>
        <v>0 Car.</v>
      </c>
      <c r="C195" s="1376" t="str">
        <f>IF(ISBLANK(D195),"",LARGE(C13:C194,1)+1)</f>
        <v/>
      </c>
      <c r="D195" s="1833"/>
      <c r="E195" s="1810"/>
      <c r="F195" s="1810"/>
      <c r="G195" s="1810"/>
      <c r="H195" s="1810"/>
      <c r="I195" s="1810"/>
      <c r="J195" s="1810"/>
      <c r="K195" s="1810"/>
      <c r="L195" s="1811"/>
      <c r="M195" s="9"/>
      <c r="N195" s="2252" t="s">
        <v>15</v>
      </c>
      <c r="O195" s="2237"/>
      <c r="P195" s="2237"/>
      <c r="Q195" s="2237"/>
      <c r="R195" s="2237"/>
      <c r="S195" s="2240"/>
      <c r="T195" s="2241"/>
      <c r="U195" s="2239"/>
      <c r="V195" s="2242"/>
      <c r="W195" s="2250"/>
      <c r="X195" s="2244"/>
      <c r="Y195" s="2244"/>
      <c r="Z195" s="2245"/>
      <c r="AA195" s="2246"/>
      <c r="AB195" s="2247"/>
      <c r="AC195" s="2248"/>
      <c r="AD195" s="2249"/>
      <c r="AE195" s="2249"/>
      <c r="AF195" s="2238"/>
      <c r="AG195" s="2264"/>
      <c r="AH195" s="918"/>
      <c r="AI195" s="2252" t="s">
        <v>15</v>
      </c>
      <c r="AJ195" s="2237"/>
      <c r="AK195" s="2237"/>
      <c r="AL195" s="2237"/>
      <c r="AM195" s="2237"/>
      <c r="AN195" s="2240"/>
      <c r="AO195" s="2241"/>
      <c r="AP195" s="2239"/>
      <c r="AQ195" s="2242"/>
      <c r="AR195" s="2250"/>
      <c r="AS195" s="2244"/>
      <c r="AT195" s="2244"/>
      <c r="AU195" s="2245"/>
      <c r="AV195" s="2246"/>
      <c r="AW195" s="2247"/>
      <c r="AX195" s="2248"/>
      <c r="AY195" s="2249"/>
      <c r="AZ195" s="2249"/>
      <c r="BA195" s="2238"/>
      <c r="BB195" s="2264"/>
      <c r="BC195" s="918"/>
      <c r="BD195" s="2252" t="s">
        <v>15</v>
      </c>
      <c r="BE195" s="2237"/>
      <c r="BF195" s="2237"/>
      <c r="BG195" s="2237"/>
      <c r="BH195" s="2237"/>
      <c r="BI195" s="2240"/>
      <c r="BJ195" s="2241"/>
      <c r="BK195" s="2239"/>
      <c r="BL195" s="2242"/>
      <c r="BM195" s="2250"/>
      <c r="BN195" s="2244"/>
      <c r="BO195" s="2244"/>
      <c r="BP195" s="2245"/>
      <c r="BQ195" s="2246"/>
      <c r="BR195" s="2247"/>
      <c r="BS195" s="2248"/>
      <c r="BT195" s="2249"/>
      <c r="BU195" s="2249"/>
      <c r="BV195" s="2238"/>
      <c r="BW195" s="2264"/>
      <c r="BY195" s="3">
        <v>1</v>
      </c>
    </row>
    <row r="196" spans="2:77" ht="21" customHeight="1">
      <c r="B196" s="2265" t="str" cm="1">
        <f t="array" ref="B196">SUMPRODUCT(--(D196:J196&lt;&gt;""), LEN(TRIM(SUBSTITUTE(D196:J196, CHAR(160), "")))) &amp; " Car."</f>
        <v>0 Car.</v>
      </c>
      <c r="C196" s="1376" t="str">
        <f>IF(ISBLANK(D196),"",LARGE(C13:C195,1)+1)</f>
        <v/>
      </c>
      <c r="D196" s="1833"/>
      <c r="E196" s="1810"/>
      <c r="F196" s="1810"/>
      <c r="G196" s="1810"/>
      <c r="H196" s="1810"/>
      <c r="I196" s="1810"/>
      <c r="J196" s="1810"/>
      <c r="K196" s="1810"/>
      <c r="L196" s="1811"/>
      <c r="M196" s="9"/>
      <c r="N196" s="2252" t="s">
        <v>15</v>
      </c>
      <c r="O196" s="2237"/>
      <c r="P196" s="2237"/>
      <c r="Q196" s="2237"/>
      <c r="R196" s="2237"/>
      <c r="S196" s="2240"/>
      <c r="T196" s="2241"/>
      <c r="U196" s="2239"/>
      <c r="V196" s="2242"/>
      <c r="W196" s="2250"/>
      <c r="X196" s="2244"/>
      <c r="Y196" s="2244"/>
      <c r="Z196" s="2245"/>
      <c r="AA196" s="2246"/>
      <c r="AB196" s="2247"/>
      <c r="AC196" s="2248"/>
      <c r="AD196" s="2249"/>
      <c r="AE196" s="2249"/>
      <c r="AF196" s="2238"/>
      <c r="AG196" s="2264"/>
      <c r="AH196" s="918"/>
      <c r="AI196" s="2252" t="s">
        <v>15</v>
      </c>
      <c r="AJ196" s="2237"/>
      <c r="AK196" s="2237"/>
      <c r="AL196" s="2237"/>
      <c r="AM196" s="2237"/>
      <c r="AN196" s="2240"/>
      <c r="AO196" s="2241"/>
      <c r="AP196" s="2239"/>
      <c r="AQ196" s="2242"/>
      <c r="AR196" s="2250"/>
      <c r="AS196" s="2244"/>
      <c r="AT196" s="2244"/>
      <c r="AU196" s="2245"/>
      <c r="AV196" s="2246"/>
      <c r="AW196" s="2247"/>
      <c r="AX196" s="2248"/>
      <c r="AY196" s="2249"/>
      <c r="AZ196" s="2249"/>
      <c r="BA196" s="2238"/>
      <c r="BB196" s="2264"/>
      <c r="BC196" s="918"/>
      <c r="BD196" s="2252" t="s">
        <v>15</v>
      </c>
      <c r="BE196" s="2237"/>
      <c r="BF196" s="2237"/>
      <c r="BG196" s="2237"/>
      <c r="BH196" s="2237"/>
      <c r="BI196" s="2240"/>
      <c r="BJ196" s="2241"/>
      <c r="BK196" s="2239"/>
      <c r="BL196" s="2242"/>
      <c r="BM196" s="2250"/>
      <c r="BN196" s="2244"/>
      <c r="BO196" s="2244"/>
      <c r="BP196" s="2245"/>
      <c r="BQ196" s="2246"/>
      <c r="BR196" s="2247"/>
      <c r="BS196" s="2248"/>
      <c r="BT196" s="2249"/>
      <c r="BU196" s="2249"/>
      <c r="BV196" s="2238"/>
      <c r="BW196" s="2264"/>
      <c r="BY196" s="3">
        <v>1</v>
      </c>
    </row>
    <row r="197" spans="2:77" ht="21" customHeight="1">
      <c r="B197" s="2265" t="str" cm="1">
        <f t="array" ref="B197">SUMPRODUCT(--(D197:J197&lt;&gt;""), LEN(TRIM(SUBSTITUTE(D197:J197, CHAR(160), "")))) &amp; " Car."</f>
        <v>0 Car.</v>
      </c>
      <c r="C197" s="1376" t="str">
        <f>IF(ISBLANK(D197),"",LARGE(C13:C196,1)+1)</f>
        <v/>
      </c>
      <c r="D197" s="1833"/>
      <c r="E197" s="1810"/>
      <c r="F197" s="1810"/>
      <c r="G197" s="1810"/>
      <c r="H197" s="1810"/>
      <c r="I197" s="1810"/>
      <c r="J197" s="1810"/>
      <c r="K197" s="1810"/>
      <c r="L197" s="1811"/>
      <c r="M197" s="9"/>
      <c r="N197" s="2252" t="s">
        <v>15</v>
      </c>
      <c r="O197" s="2237"/>
      <c r="P197" s="2237"/>
      <c r="Q197" s="2237"/>
      <c r="R197" s="2237"/>
      <c r="S197" s="2240"/>
      <c r="T197" s="2241"/>
      <c r="U197" s="2239"/>
      <c r="V197" s="2242"/>
      <c r="W197" s="2250"/>
      <c r="X197" s="2244"/>
      <c r="Y197" s="2244"/>
      <c r="Z197" s="2245"/>
      <c r="AA197" s="2246"/>
      <c r="AB197" s="2247"/>
      <c r="AC197" s="2248"/>
      <c r="AD197" s="2249"/>
      <c r="AE197" s="2249"/>
      <c r="AF197" s="2238"/>
      <c r="AG197" s="2264"/>
      <c r="AH197" s="918"/>
      <c r="AI197" s="2252" t="s">
        <v>15</v>
      </c>
      <c r="AJ197" s="2237"/>
      <c r="AK197" s="2237"/>
      <c r="AL197" s="2237"/>
      <c r="AM197" s="2237"/>
      <c r="AN197" s="2240"/>
      <c r="AO197" s="2241"/>
      <c r="AP197" s="2239"/>
      <c r="AQ197" s="2242"/>
      <c r="AR197" s="2250"/>
      <c r="AS197" s="2244"/>
      <c r="AT197" s="2244"/>
      <c r="AU197" s="2245"/>
      <c r="AV197" s="2246"/>
      <c r="AW197" s="2247"/>
      <c r="AX197" s="2248"/>
      <c r="AY197" s="2249"/>
      <c r="AZ197" s="2249"/>
      <c r="BA197" s="2238"/>
      <c r="BB197" s="2264"/>
      <c r="BC197" s="918"/>
      <c r="BD197" s="2252" t="s">
        <v>15</v>
      </c>
      <c r="BE197" s="2237"/>
      <c r="BF197" s="2237"/>
      <c r="BG197" s="2237"/>
      <c r="BH197" s="2237"/>
      <c r="BI197" s="2240"/>
      <c r="BJ197" s="2241"/>
      <c r="BK197" s="2239"/>
      <c r="BL197" s="2242"/>
      <c r="BM197" s="2250"/>
      <c r="BN197" s="2244"/>
      <c r="BO197" s="2244"/>
      <c r="BP197" s="2245"/>
      <c r="BQ197" s="2246"/>
      <c r="BR197" s="2247"/>
      <c r="BS197" s="2248"/>
      <c r="BT197" s="2249"/>
      <c r="BU197" s="2249"/>
      <c r="BV197" s="2238"/>
      <c r="BW197" s="2264"/>
      <c r="BY197" s="3">
        <v>1</v>
      </c>
    </row>
    <row r="198" spans="2:77" ht="21" customHeight="1">
      <c r="B198" s="2265" t="str" cm="1">
        <f t="array" ref="B198">SUMPRODUCT(--(D198:J198&lt;&gt;""), LEN(TRIM(SUBSTITUTE(D198:J198, CHAR(160), "")))) &amp; " Car."</f>
        <v>0 Car.</v>
      </c>
      <c r="C198" s="1376" t="str">
        <f>IF(ISBLANK(D198),"",LARGE(C13:C197,1)+1)</f>
        <v/>
      </c>
      <c r="D198" s="1833"/>
      <c r="E198" s="1810"/>
      <c r="F198" s="1810"/>
      <c r="G198" s="1810"/>
      <c r="H198" s="1810"/>
      <c r="I198" s="1810"/>
      <c r="J198" s="1810"/>
      <c r="K198" s="1810"/>
      <c r="L198" s="1811"/>
      <c r="M198" s="9"/>
      <c r="N198" s="2252" t="s">
        <v>15</v>
      </c>
      <c r="O198" s="2237"/>
      <c r="P198" s="2237"/>
      <c r="Q198" s="2237"/>
      <c r="R198" s="2237"/>
      <c r="S198" s="2240"/>
      <c r="T198" s="2241"/>
      <c r="U198" s="2239"/>
      <c r="V198" s="2242"/>
      <c r="W198" s="2250"/>
      <c r="X198" s="2244"/>
      <c r="Y198" s="2244"/>
      <c r="Z198" s="2245"/>
      <c r="AA198" s="2246"/>
      <c r="AB198" s="2247"/>
      <c r="AC198" s="2248"/>
      <c r="AD198" s="2249"/>
      <c r="AE198" s="2249"/>
      <c r="AF198" s="2238"/>
      <c r="AG198" s="2264"/>
      <c r="AH198" s="918"/>
      <c r="AI198" s="2252" t="s">
        <v>15</v>
      </c>
      <c r="AJ198" s="2237"/>
      <c r="AK198" s="2237"/>
      <c r="AL198" s="2237"/>
      <c r="AM198" s="2237"/>
      <c r="AN198" s="2240"/>
      <c r="AO198" s="2241"/>
      <c r="AP198" s="2239"/>
      <c r="AQ198" s="2242"/>
      <c r="AR198" s="2250"/>
      <c r="AS198" s="2244"/>
      <c r="AT198" s="2244"/>
      <c r="AU198" s="2245"/>
      <c r="AV198" s="2246"/>
      <c r="AW198" s="2247"/>
      <c r="AX198" s="2248"/>
      <c r="AY198" s="2249"/>
      <c r="AZ198" s="2249"/>
      <c r="BA198" s="2238"/>
      <c r="BB198" s="2264"/>
      <c r="BC198" s="918"/>
      <c r="BD198" s="2252" t="s">
        <v>15</v>
      </c>
      <c r="BE198" s="2237"/>
      <c r="BF198" s="2237"/>
      <c r="BG198" s="2237"/>
      <c r="BH198" s="2237"/>
      <c r="BI198" s="2240"/>
      <c r="BJ198" s="2241"/>
      <c r="BK198" s="2239"/>
      <c r="BL198" s="2242"/>
      <c r="BM198" s="2250"/>
      <c r="BN198" s="2244"/>
      <c r="BO198" s="2244"/>
      <c r="BP198" s="2245"/>
      <c r="BQ198" s="2246"/>
      <c r="BR198" s="2247"/>
      <c r="BS198" s="2248"/>
      <c r="BT198" s="2249"/>
      <c r="BU198" s="2249"/>
      <c r="BV198" s="2238"/>
      <c r="BW198" s="2264"/>
      <c r="BY198" s="3">
        <v>1</v>
      </c>
    </row>
    <row r="199" spans="2:77" ht="21" customHeight="1">
      <c r="B199" s="2265" t="str" cm="1">
        <f t="array" ref="B199">SUMPRODUCT(--(D199:J199&lt;&gt;""), LEN(TRIM(SUBSTITUTE(D199:J199, CHAR(160), "")))) &amp; " Car."</f>
        <v>0 Car.</v>
      </c>
      <c r="C199" s="1376" t="str">
        <f>IF(ISBLANK(D199),"",LARGE(C13:C198,1)+1)</f>
        <v/>
      </c>
      <c r="D199" s="1833"/>
      <c r="E199" s="1810"/>
      <c r="F199" s="1810"/>
      <c r="G199" s="1810"/>
      <c r="H199" s="1810"/>
      <c r="I199" s="1810"/>
      <c r="J199" s="1810"/>
      <c r="K199" s="1810"/>
      <c r="L199" s="1811"/>
      <c r="M199" s="9"/>
      <c r="N199" s="2252" t="s">
        <v>15</v>
      </c>
      <c r="O199" s="2237"/>
      <c r="P199" s="2237"/>
      <c r="Q199" s="2237"/>
      <c r="R199" s="2237"/>
      <c r="S199" s="2240"/>
      <c r="T199" s="2241"/>
      <c r="U199" s="2239"/>
      <c r="V199" s="2242"/>
      <c r="W199" s="2250"/>
      <c r="X199" s="2244"/>
      <c r="Y199" s="2244"/>
      <c r="Z199" s="2245"/>
      <c r="AA199" s="2246"/>
      <c r="AB199" s="2247"/>
      <c r="AC199" s="2248"/>
      <c r="AD199" s="2249"/>
      <c r="AE199" s="2249"/>
      <c r="AF199" s="2238"/>
      <c r="AG199" s="2264"/>
      <c r="AH199" s="918"/>
      <c r="AI199" s="2252" t="s">
        <v>15</v>
      </c>
      <c r="AJ199" s="2237"/>
      <c r="AK199" s="2237"/>
      <c r="AL199" s="2237"/>
      <c r="AM199" s="2237"/>
      <c r="AN199" s="2240"/>
      <c r="AO199" s="2241"/>
      <c r="AP199" s="2239"/>
      <c r="AQ199" s="2242"/>
      <c r="AR199" s="2250"/>
      <c r="AS199" s="2244"/>
      <c r="AT199" s="2244"/>
      <c r="AU199" s="2245"/>
      <c r="AV199" s="2246"/>
      <c r="AW199" s="2247"/>
      <c r="AX199" s="2248"/>
      <c r="AY199" s="2249"/>
      <c r="AZ199" s="2249"/>
      <c r="BA199" s="2238"/>
      <c r="BB199" s="2264"/>
      <c r="BC199" s="918"/>
      <c r="BD199" s="2252" t="s">
        <v>15</v>
      </c>
      <c r="BE199" s="2237"/>
      <c r="BF199" s="2237"/>
      <c r="BG199" s="2237"/>
      <c r="BH199" s="2237"/>
      <c r="BI199" s="2240"/>
      <c r="BJ199" s="2241"/>
      <c r="BK199" s="2239"/>
      <c r="BL199" s="2242"/>
      <c r="BM199" s="2250"/>
      <c r="BN199" s="2244"/>
      <c r="BO199" s="2244"/>
      <c r="BP199" s="2245"/>
      <c r="BQ199" s="2246"/>
      <c r="BR199" s="2247"/>
      <c r="BS199" s="2248"/>
      <c r="BT199" s="2249"/>
      <c r="BU199" s="2249"/>
      <c r="BV199" s="2238"/>
      <c r="BW199" s="2264"/>
      <c r="BY199" s="3">
        <v>1</v>
      </c>
    </row>
    <row r="200" spans="2:77" ht="21" customHeight="1">
      <c r="B200" s="2265" t="str" cm="1">
        <f t="array" ref="B200">SUMPRODUCT(--(D200:J200&lt;&gt;""), LEN(TRIM(SUBSTITUTE(D200:J200, CHAR(160), "")))) &amp; " Car."</f>
        <v>0 Car.</v>
      </c>
      <c r="C200" s="1376" t="str">
        <f>IF(ISBLANK(D200),"",LARGE(C13:C199,1)+1)</f>
        <v/>
      </c>
      <c r="D200" s="1833"/>
      <c r="E200" s="1810"/>
      <c r="F200" s="1810"/>
      <c r="G200" s="1810"/>
      <c r="H200" s="1810"/>
      <c r="I200" s="1810"/>
      <c r="J200" s="1810"/>
      <c r="K200" s="1810"/>
      <c r="L200" s="1811"/>
      <c r="M200" s="9"/>
      <c r="N200" s="2252" t="s">
        <v>15</v>
      </c>
      <c r="O200" s="2237"/>
      <c r="P200" s="2237"/>
      <c r="Q200" s="2237"/>
      <c r="R200" s="2237"/>
      <c r="S200" s="2240"/>
      <c r="T200" s="2241"/>
      <c r="U200" s="2239"/>
      <c r="V200" s="2242"/>
      <c r="W200" s="2250"/>
      <c r="X200" s="2244"/>
      <c r="Y200" s="2244"/>
      <c r="Z200" s="2245"/>
      <c r="AA200" s="2246"/>
      <c r="AB200" s="2247"/>
      <c r="AC200" s="2248"/>
      <c r="AD200" s="2249"/>
      <c r="AE200" s="2249"/>
      <c r="AF200" s="2238"/>
      <c r="AG200" s="2264"/>
      <c r="AH200" s="918"/>
      <c r="AI200" s="2252" t="s">
        <v>15</v>
      </c>
      <c r="AJ200" s="2237"/>
      <c r="AK200" s="2237"/>
      <c r="AL200" s="2237"/>
      <c r="AM200" s="2237"/>
      <c r="AN200" s="2240"/>
      <c r="AO200" s="2241"/>
      <c r="AP200" s="2239"/>
      <c r="AQ200" s="2242"/>
      <c r="AR200" s="2250"/>
      <c r="AS200" s="2244"/>
      <c r="AT200" s="2244"/>
      <c r="AU200" s="2245"/>
      <c r="AV200" s="2246"/>
      <c r="AW200" s="2247"/>
      <c r="AX200" s="2248"/>
      <c r="AY200" s="2249"/>
      <c r="AZ200" s="2249"/>
      <c r="BA200" s="2238"/>
      <c r="BB200" s="2264"/>
      <c r="BC200" s="918"/>
      <c r="BD200" s="2252" t="s">
        <v>15</v>
      </c>
      <c r="BE200" s="2237"/>
      <c r="BF200" s="2237"/>
      <c r="BG200" s="2237"/>
      <c r="BH200" s="2237"/>
      <c r="BI200" s="2240"/>
      <c r="BJ200" s="2241"/>
      <c r="BK200" s="2239"/>
      <c r="BL200" s="2242"/>
      <c r="BM200" s="2250"/>
      <c r="BN200" s="2244"/>
      <c r="BO200" s="2244"/>
      <c r="BP200" s="2245"/>
      <c r="BQ200" s="2246"/>
      <c r="BR200" s="2247"/>
      <c r="BS200" s="2248"/>
      <c r="BT200" s="2249"/>
      <c r="BU200" s="2249"/>
      <c r="BV200" s="2238"/>
      <c r="BW200" s="2264"/>
      <c r="BY200" s="3">
        <v>1</v>
      </c>
    </row>
    <row r="201" spans="2:77" ht="21" customHeight="1">
      <c r="B201" s="2265" t="str" cm="1">
        <f t="array" ref="B201">SUMPRODUCT(--(D201:J201&lt;&gt;""), LEN(TRIM(SUBSTITUTE(D201:J201, CHAR(160), "")))) &amp; " Car."</f>
        <v>0 Car.</v>
      </c>
      <c r="C201" s="1376" t="str">
        <f>IF(ISBLANK(D201),"",LARGE(C13:C200,1)+1)</f>
        <v/>
      </c>
      <c r="D201" s="1833"/>
      <c r="E201" s="1810"/>
      <c r="F201" s="1810"/>
      <c r="G201" s="1810"/>
      <c r="H201" s="1810"/>
      <c r="I201" s="1810"/>
      <c r="J201" s="1810"/>
      <c r="K201" s="1810"/>
      <c r="L201" s="1811"/>
      <c r="M201" s="9"/>
      <c r="N201" s="2252" t="s">
        <v>15</v>
      </c>
      <c r="O201" s="2237"/>
      <c r="P201" s="2237"/>
      <c r="Q201" s="2237"/>
      <c r="R201" s="2237"/>
      <c r="S201" s="2240"/>
      <c r="T201" s="2241"/>
      <c r="U201" s="2239"/>
      <c r="V201" s="2242"/>
      <c r="W201" s="2250"/>
      <c r="X201" s="2244"/>
      <c r="Y201" s="2244"/>
      <c r="Z201" s="2245"/>
      <c r="AA201" s="2246"/>
      <c r="AB201" s="2247"/>
      <c r="AC201" s="2248"/>
      <c r="AD201" s="2249"/>
      <c r="AE201" s="2249"/>
      <c r="AF201" s="2238"/>
      <c r="AG201" s="2264"/>
      <c r="AH201" s="918"/>
      <c r="AI201" s="2252" t="s">
        <v>15</v>
      </c>
      <c r="AJ201" s="2237"/>
      <c r="AK201" s="2237"/>
      <c r="AL201" s="2237"/>
      <c r="AM201" s="2237"/>
      <c r="AN201" s="2240"/>
      <c r="AO201" s="2241"/>
      <c r="AP201" s="2239"/>
      <c r="AQ201" s="2242"/>
      <c r="AR201" s="2250"/>
      <c r="AS201" s="2244"/>
      <c r="AT201" s="2244"/>
      <c r="AU201" s="2245"/>
      <c r="AV201" s="2246"/>
      <c r="AW201" s="2247"/>
      <c r="AX201" s="2248"/>
      <c r="AY201" s="2249"/>
      <c r="AZ201" s="2249"/>
      <c r="BA201" s="2238"/>
      <c r="BB201" s="2264"/>
      <c r="BC201" s="918"/>
      <c r="BD201" s="2252" t="s">
        <v>15</v>
      </c>
      <c r="BE201" s="2237"/>
      <c r="BF201" s="2237"/>
      <c r="BG201" s="2237"/>
      <c r="BH201" s="2237"/>
      <c r="BI201" s="2240"/>
      <c r="BJ201" s="2241"/>
      <c r="BK201" s="2239"/>
      <c r="BL201" s="2242"/>
      <c r="BM201" s="2250"/>
      <c r="BN201" s="2244"/>
      <c r="BO201" s="2244"/>
      <c r="BP201" s="2245"/>
      <c r="BQ201" s="2246"/>
      <c r="BR201" s="2247"/>
      <c r="BS201" s="2248"/>
      <c r="BT201" s="2249"/>
      <c r="BU201" s="2249"/>
      <c r="BV201" s="2238"/>
      <c r="BW201" s="2264"/>
      <c r="BY201" s="3">
        <v>1</v>
      </c>
    </row>
    <row r="202" spans="2:77" ht="21" customHeight="1">
      <c r="B202" s="2265" t="str" cm="1">
        <f t="array" ref="B202">SUMPRODUCT(--(D202:J202&lt;&gt;""), LEN(TRIM(SUBSTITUTE(D202:J202, CHAR(160), "")))) &amp; " Car."</f>
        <v>0 Car.</v>
      </c>
      <c r="C202" s="1376" t="str">
        <f>IF(ISBLANK(D202),"",LARGE(C13:C201,1)+1)</f>
        <v/>
      </c>
      <c r="D202" s="1833"/>
      <c r="E202" s="1810"/>
      <c r="F202" s="1810"/>
      <c r="G202" s="1810"/>
      <c r="H202" s="1810"/>
      <c r="I202" s="1810"/>
      <c r="J202" s="1810"/>
      <c r="K202" s="1810"/>
      <c r="L202" s="1811"/>
      <c r="M202" s="9"/>
      <c r="N202" s="2252" t="s">
        <v>15</v>
      </c>
      <c r="O202" s="2237"/>
      <c r="P202" s="2237"/>
      <c r="Q202" s="2237"/>
      <c r="R202" s="2237"/>
      <c r="S202" s="2240"/>
      <c r="T202" s="2241"/>
      <c r="U202" s="2239"/>
      <c r="V202" s="2242"/>
      <c r="W202" s="2250"/>
      <c r="X202" s="2244"/>
      <c r="Y202" s="2244"/>
      <c r="Z202" s="2245"/>
      <c r="AA202" s="2246"/>
      <c r="AB202" s="2247"/>
      <c r="AC202" s="2248"/>
      <c r="AD202" s="2249"/>
      <c r="AE202" s="2249"/>
      <c r="AF202" s="2238"/>
      <c r="AG202" s="2264"/>
      <c r="AH202" s="918"/>
      <c r="AI202" s="2252" t="s">
        <v>15</v>
      </c>
      <c r="AJ202" s="2237"/>
      <c r="AK202" s="2237"/>
      <c r="AL202" s="2237"/>
      <c r="AM202" s="2237"/>
      <c r="AN202" s="2240"/>
      <c r="AO202" s="2241"/>
      <c r="AP202" s="2239"/>
      <c r="AQ202" s="2242"/>
      <c r="AR202" s="2250"/>
      <c r="AS202" s="2244"/>
      <c r="AT202" s="2244"/>
      <c r="AU202" s="2245"/>
      <c r="AV202" s="2246"/>
      <c r="AW202" s="2247"/>
      <c r="AX202" s="2248"/>
      <c r="AY202" s="2249"/>
      <c r="AZ202" s="2249"/>
      <c r="BA202" s="2238"/>
      <c r="BB202" s="2264"/>
      <c r="BC202" s="918"/>
      <c r="BD202" s="2252" t="s">
        <v>15</v>
      </c>
      <c r="BE202" s="2237"/>
      <c r="BF202" s="2237"/>
      <c r="BG202" s="2237"/>
      <c r="BH202" s="2237"/>
      <c r="BI202" s="2240"/>
      <c r="BJ202" s="2241"/>
      <c r="BK202" s="2239"/>
      <c r="BL202" s="2242"/>
      <c r="BM202" s="2250"/>
      <c r="BN202" s="2244"/>
      <c r="BO202" s="2244"/>
      <c r="BP202" s="2245"/>
      <c r="BQ202" s="2246"/>
      <c r="BR202" s="2247"/>
      <c r="BS202" s="2248"/>
      <c r="BT202" s="2249"/>
      <c r="BU202" s="2249"/>
      <c r="BV202" s="2238"/>
      <c r="BW202" s="2264"/>
      <c r="BY202" s="3">
        <v>1</v>
      </c>
    </row>
    <row r="203" spans="2:77" ht="21" customHeight="1">
      <c r="B203" s="2265" t="str" cm="1">
        <f t="array" ref="B203">SUMPRODUCT(--(D203:J203&lt;&gt;""), LEN(TRIM(SUBSTITUTE(D203:J203, CHAR(160), "")))) &amp; " Car."</f>
        <v>0 Car.</v>
      </c>
      <c r="C203" s="1376" t="str">
        <f>IF(ISBLANK(D203),"",LARGE(C13:C202,1)+1)</f>
        <v/>
      </c>
      <c r="D203" s="1833"/>
      <c r="E203" s="1810"/>
      <c r="F203" s="1810"/>
      <c r="G203" s="1810"/>
      <c r="H203" s="1810"/>
      <c r="I203" s="1810"/>
      <c r="J203" s="1810"/>
      <c r="K203" s="1810"/>
      <c r="L203" s="1811"/>
      <c r="M203" s="9"/>
      <c r="N203" s="2252" t="s">
        <v>15</v>
      </c>
      <c r="O203" s="2237"/>
      <c r="P203" s="2237"/>
      <c r="Q203" s="2237"/>
      <c r="R203" s="2237"/>
      <c r="S203" s="2240"/>
      <c r="T203" s="2241"/>
      <c r="U203" s="2239"/>
      <c r="V203" s="2242"/>
      <c r="W203" s="2250"/>
      <c r="X203" s="2244"/>
      <c r="Y203" s="2244"/>
      <c r="Z203" s="2245"/>
      <c r="AA203" s="2246"/>
      <c r="AB203" s="2247"/>
      <c r="AC203" s="2248"/>
      <c r="AD203" s="2249"/>
      <c r="AE203" s="2249"/>
      <c r="AF203" s="2238"/>
      <c r="AG203" s="2264"/>
      <c r="AH203" s="918"/>
      <c r="AI203" s="2252" t="s">
        <v>15</v>
      </c>
      <c r="AJ203" s="2237"/>
      <c r="AK203" s="2237"/>
      <c r="AL203" s="2237"/>
      <c r="AM203" s="2237"/>
      <c r="AN203" s="2240"/>
      <c r="AO203" s="2241"/>
      <c r="AP203" s="2239"/>
      <c r="AQ203" s="2242"/>
      <c r="AR203" s="2250"/>
      <c r="AS203" s="2244"/>
      <c r="AT203" s="2244"/>
      <c r="AU203" s="2245"/>
      <c r="AV203" s="2246"/>
      <c r="AW203" s="2247"/>
      <c r="AX203" s="2248"/>
      <c r="AY203" s="2249"/>
      <c r="AZ203" s="2249"/>
      <c r="BA203" s="2238"/>
      <c r="BB203" s="2264"/>
      <c r="BC203" s="918"/>
      <c r="BD203" s="2252" t="s">
        <v>15</v>
      </c>
      <c r="BE203" s="2237"/>
      <c r="BF203" s="2237"/>
      <c r="BG203" s="2237"/>
      <c r="BH203" s="2237"/>
      <c r="BI203" s="2240"/>
      <c r="BJ203" s="2241"/>
      <c r="BK203" s="2239"/>
      <c r="BL203" s="2242"/>
      <c r="BM203" s="2250"/>
      <c r="BN203" s="2244"/>
      <c r="BO203" s="2244"/>
      <c r="BP203" s="2245"/>
      <c r="BQ203" s="2246"/>
      <c r="BR203" s="2247"/>
      <c r="BS203" s="2248"/>
      <c r="BT203" s="2249"/>
      <c r="BU203" s="2249"/>
      <c r="BV203" s="2238"/>
      <c r="BW203" s="2264"/>
      <c r="BY203" s="3">
        <v>1</v>
      </c>
    </row>
    <row r="204" spans="2:77" ht="21" customHeight="1">
      <c r="B204" s="2265" t="str" cm="1">
        <f t="array" ref="B204">SUMPRODUCT(--(D204:J204&lt;&gt;""), LEN(TRIM(SUBSTITUTE(D204:J204, CHAR(160), "")))) &amp; " Car."</f>
        <v>0 Car.</v>
      </c>
      <c r="C204" s="1376" t="str">
        <f>IF(ISBLANK(D204),"",LARGE(C13:C203,1)+1)</f>
        <v/>
      </c>
      <c r="D204" s="1833"/>
      <c r="E204" s="1810"/>
      <c r="F204" s="1810"/>
      <c r="G204" s="1810"/>
      <c r="H204" s="1810"/>
      <c r="I204" s="1810"/>
      <c r="J204" s="1810"/>
      <c r="K204" s="1810"/>
      <c r="L204" s="1811"/>
      <c r="M204" s="9"/>
      <c r="N204" s="2252" t="s">
        <v>15</v>
      </c>
      <c r="O204" s="2237"/>
      <c r="P204" s="2237"/>
      <c r="Q204" s="2237"/>
      <c r="R204" s="2237"/>
      <c r="S204" s="2240"/>
      <c r="T204" s="2241"/>
      <c r="U204" s="2239"/>
      <c r="V204" s="2242"/>
      <c r="W204" s="2250"/>
      <c r="X204" s="2244"/>
      <c r="Y204" s="2244"/>
      <c r="Z204" s="2245"/>
      <c r="AA204" s="2246"/>
      <c r="AB204" s="2247"/>
      <c r="AC204" s="2248"/>
      <c r="AD204" s="2249"/>
      <c r="AE204" s="2249"/>
      <c r="AF204" s="2238"/>
      <c r="AG204" s="2264"/>
      <c r="AH204" s="918"/>
      <c r="AI204" s="2252" t="s">
        <v>15</v>
      </c>
      <c r="AJ204" s="2237"/>
      <c r="AK204" s="2237"/>
      <c r="AL204" s="2237"/>
      <c r="AM204" s="2237"/>
      <c r="AN204" s="2240"/>
      <c r="AO204" s="2241"/>
      <c r="AP204" s="2239"/>
      <c r="AQ204" s="2242"/>
      <c r="AR204" s="2250"/>
      <c r="AS204" s="2244"/>
      <c r="AT204" s="2244"/>
      <c r="AU204" s="2245"/>
      <c r="AV204" s="2246"/>
      <c r="AW204" s="2247"/>
      <c r="AX204" s="2248"/>
      <c r="AY204" s="2249"/>
      <c r="AZ204" s="2249"/>
      <c r="BA204" s="2238"/>
      <c r="BB204" s="2264"/>
      <c r="BC204" s="918"/>
      <c r="BD204" s="2252" t="s">
        <v>15</v>
      </c>
      <c r="BE204" s="2237"/>
      <c r="BF204" s="2237"/>
      <c r="BG204" s="2237"/>
      <c r="BH204" s="2237"/>
      <c r="BI204" s="2240"/>
      <c r="BJ204" s="2241"/>
      <c r="BK204" s="2239"/>
      <c r="BL204" s="2242"/>
      <c r="BM204" s="2250"/>
      <c r="BN204" s="2244"/>
      <c r="BO204" s="2244"/>
      <c r="BP204" s="2245"/>
      <c r="BQ204" s="2246"/>
      <c r="BR204" s="2247"/>
      <c r="BS204" s="2248"/>
      <c r="BT204" s="2249"/>
      <c r="BU204" s="2249"/>
      <c r="BV204" s="2238"/>
      <c r="BW204" s="2264"/>
      <c r="BY204" s="3">
        <v>1</v>
      </c>
    </row>
    <row r="205" spans="2:77" ht="21" customHeight="1">
      <c r="B205" s="2265" t="str" cm="1">
        <f t="array" ref="B205">SUMPRODUCT(--(D205:J205&lt;&gt;""), LEN(TRIM(SUBSTITUTE(D205:J205, CHAR(160), "")))) &amp; " Car."</f>
        <v>0 Car.</v>
      </c>
      <c r="C205" s="1376" t="str">
        <f>IF(ISBLANK(D205),"",LARGE(C13:C204,1)+1)</f>
        <v/>
      </c>
      <c r="D205" s="1833"/>
      <c r="E205" s="1810"/>
      <c r="F205" s="1810"/>
      <c r="G205" s="1810"/>
      <c r="H205" s="1810"/>
      <c r="I205" s="1810"/>
      <c r="J205" s="1810"/>
      <c r="K205" s="1810"/>
      <c r="L205" s="1811"/>
      <c r="M205" s="9"/>
      <c r="N205" s="2252" t="s">
        <v>15</v>
      </c>
      <c r="O205" s="2237"/>
      <c r="P205" s="2237"/>
      <c r="Q205" s="2237"/>
      <c r="R205" s="2237"/>
      <c r="S205" s="2240"/>
      <c r="T205" s="2241"/>
      <c r="U205" s="2239"/>
      <c r="V205" s="2242"/>
      <c r="W205" s="2250"/>
      <c r="X205" s="2244"/>
      <c r="Y205" s="2244"/>
      <c r="Z205" s="2245"/>
      <c r="AA205" s="2246"/>
      <c r="AB205" s="2247"/>
      <c r="AC205" s="2248"/>
      <c r="AD205" s="2249"/>
      <c r="AE205" s="2249"/>
      <c r="AF205" s="2238"/>
      <c r="AG205" s="2264"/>
      <c r="AH205" s="918"/>
      <c r="AI205" s="2252" t="s">
        <v>15</v>
      </c>
      <c r="AJ205" s="2237"/>
      <c r="AK205" s="2237"/>
      <c r="AL205" s="2237"/>
      <c r="AM205" s="2237"/>
      <c r="AN205" s="2240"/>
      <c r="AO205" s="2241"/>
      <c r="AP205" s="2239"/>
      <c r="AQ205" s="2242"/>
      <c r="AR205" s="2250"/>
      <c r="AS205" s="2244"/>
      <c r="AT205" s="2244"/>
      <c r="AU205" s="2245"/>
      <c r="AV205" s="2246"/>
      <c r="AW205" s="2247"/>
      <c r="AX205" s="2248"/>
      <c r="AY205" s="2249"/>
      <c r="AZ205" s="2249"/>
      <c r="BA205" s="2238"/>
      <c r="BB205" s="2264"/>
      <c r="BC205" s="918"/>
      <c r="BD205" s="2252" t="s">
        <v>15</v>
      </c>
      <c r="BE205" s="2237"/>
      <c r="BF205" s="2237"/>
      <c r="BG205" s="2237"/>
      <c r="BH205" s="2237"/>
      <c r="BI205" s="2240"/>
      <c r="BJ205" s="2241"/>
      <c r="BK205" s="2239"/>
      <c r="BL205" s="2242"/>
      <c r="BM205" s="2250"/>
      <c r="BN205" s="2244"/>
      <c r="BO205" s="2244"/>
      <c r="BP205" s="2245"/>
      <c r="BQ205" s="2246"/>
      <c r="BR205" s="2247"/>
      <c r="BS205" s="2248"/>
      <c r="BT205" s="2249"/>
      <c r="BU205" s="2249"/>
      <c r="BV205" s="2238"/>
      <c r="BW205" s="2264"/>
      <c r="BY205" s="3">
        <v>1</v>
      </c>
    </row>
    <row r="206" spans="2:77" ht="21" customHeight="1">
      <c r="B206" s="2265" t="str" cm="1">
        <f t="array" ref="B206">SUMPRODUCT(--(D206:J206&lt;&gt;""), LEN(TRIM(SUBSTITUTE(D206:J206, CHAR(160), "")))) &amp; " Car."</f>
        <v>0 Car.</v>
      </c>
      <c r="C206" s="1376" t="str">
        <f>IF(ISBLANK(D206),"",LARGE(C13:C205,1)+1)</f>
        <v/>
      </c>
      <c r="D206" s="1833"/>
      <c r="E206" s="1810"/>
      <c r="F206" s="1810"/>
      <c r="G206" s="1810"/>
      <c r="H206" s="1810"/>
      <c r="I206" s="1810"/>
      <c r="J206" s="1810"/>
      <c r="K206" s="1810"/>
      <c r="L206" s="1811"/>
      <c r="M206" s="9"/>
      <c r="N206" s="2252" t="s">
        <v>15</v>
      </c>
      <c r="O206" s="2237"/>
      <c r="P206" s="2237"/>
      <c r="Q206" s="2237"/>
      <c r="R206" s="2237"/>
      <c r="S206" s="2240"/>
      <c r="T206" s="2241"/>
      <c r="U206" s="2239"/>
      <c r="V206" s="2242"/>
      <c r="W206" s="2250"/>
      <c r="X206" s="2244"/>
      <c r="Y206" s="2244"/>
      <c r="Z206" s="2245"/>
      <c r="AA206" s="2246"/>
      <c r="AB206" s="2247"/>
      <c r="AC206" s="2248"/>
      <c r="AD206" s="2249"/>
      <c r="AE206" s="2249"/>
      <c r="AF206" s="2238"/>
      <c r="AG206" s="2264"/>
      <c r="AH206" s="918"/>
      <c r="AI206" s="2252" t="s">
        <v>15</v>
      </c>
      <c r="AJ206" s="2237"/>
      <c r="AK206" s="2237"/>
      <c r="AL206" s="2237"/>
      <c r="AM206" s="2237"/>
      <c r="AN206" s="2240"/>
      <c r="AO206" s="2241"/>
      <c r="AP206" s="2239"/>
      <c r="AQ206" s="2242"/>
      <c r="AR206" s="2250"/>
      <c r="AS206" s="2244"/>
      <c r="AT206" s="2244"/>
      <c r="AU206" s="2245"/>
      <c r="AV206" s="2246"/>
      <c r="AW206" s="2247"/>
      <c r="AX206" s="2248"/>
      <c r="AY206" s="2249"/>
      <c r="AZ206" s="2249"/>
      <c r="BA206" s="2238"/>
      <c r="BB206" s="2264"/>
      <c r="BC206" s="918"/>
      <c r="BD206" s="2252" t="s">
        <v>15</v>
      </c>
      <c r="BE206" s="2237"/>
      <c r="BF206" s="2237"/>
      <c r="BG206" s="2237"/>
      <c r="BH206" s="2237"/>
      <c r="BI206" s="2240"/>
      <c r="BJ206" s="2241"/>
      <c r="BK206" s="2239"/>
      <c r="BL206" s="2242"/>
      <c r="BM206" s="2250"/>
      <c r="BN206" s="2244"/>
      <c r="BO206" s="2244"/>
      <c r="BP206" s="2245"/>
      <c r="BQ206" s="2246"/>
      <c r="BR206" s="2247"/>
      <c r="BS206" s="2248"/>
      <c r="BT206" s="2249"/>
      <c r="BU206" s="2249"/>
      <c r="BV206" s="2238"/>
      <c r="BW206" s="2264"/>
      <c r="BY206" s="3">
        <v>1</v>
      </c>
    </row>
    <row r="207" spans="2:77" ht="21" customHeight="1">
      <c r="B207" s="2265" t="str" cm="1">
        <f t="array" ref="B207">SUMPRODUCT(--(D207:J207&lt;&gt;""), LEN(TRIM(SUBSTITUTE(D207:J207, CHAR(160), "")))) &amp; " Car."</f>
        <v>0 Car.</v>
      </c>
      <c r="C207" s="1376" t="str">
        <f>IF(ISBLANK(D207),"",LARGE(C13:C206,1)+1)</f>
        <v/>
      </c>
      <c r="D207" s="1833"/>
      <c r="E207" s="1810"/>
      <c r="F207" s="1810"/>
      <c r="G207" s="1810"/>
      <c r="H207" s="1810"/>
      <c r="I207" s="1810"/>
      <c r="J207" s="1810"/>
      <c r="K207" s="1810"/>
      <c r="L207" s="1811"/>
      <c r="M207" s="9"/>
      <c r="N207" s="2252" t="s">
        <v>15</v>
      </c>
      <c r="O207" s="2237"/>
      <c r="P207" s="2237"/>
      <c r="Q207" s="2237"/>
      <c r="R207" s="2237"/>
      <c r="S207" s="2240"/>
      <c r="T207" s="2241"/>
      <c r="U207" s="2239"/>
      <c r="V207" s="2242"/>
      <c r="W207" s="2250"/>
      <c r="X207" s="2244"/>
      <c r="Y207" s="2244"/>
      <c r="Z207" s="2245"/>
      <c r="AA207" s="2246"/>
      <c r="AB207" s="2247"/>
      <c r="AC207" s="2248"/>
      <c r="AD207" s="2249"/>
      <c r="AE207" s="2249"/>
      <c r="AF207" s="2238"/>
      <c r="AG207" s="2264"/>
      <c r="AH207" s="918"/>
      <c r="AI207" s="2252" t="s">
        <v>15</v>
      </c>
      <c r="AJ207" s="2237"/>
      <c r="AK207" s="2237"/>
      <c r="AL207" s="2237"/>
      <c r="AM207" s="2237"/>
      <c r="AN207" s="2240"/>
      <c r="AO207" s="2241"/>
      <c r="AP207" s="2239"/>
      <c r="AQ207" s="2242"/>
      <c r="AR207" s="2250"/>
      <c r="AS207" s="2244"/>
      <c r="AT207" s="2244"/>
      <c r="AU207" s="2245"/>
      <c r="AV207" s="2246"/>
      <c r="AW207" s="2247"/>
      <c r="AX207" s="2248"/>
      <c r="AY207" s="2249"/>
      <c r="AZ207" s="2249"/>
      <c r="BA207" s="2238"/>
      <c r="BB207" s="2264"/>
      <c r="BC207" s="918"/>
      <c r="BD207" s="2252" t="s">
        <v>15</v>
      </c>
      <c r="BE207" s="2237"/>
      <c r="BF207" s="2237"/>
      <c r="BG207" s="2237"/>
      <c r="BH207" s="2237"/>
      <c r="BI207" s="2240"/>
      <c r="BJ207" s="2241"/>
      <c r="BK207" s="2239"/>
      <c r="BL207" s="2242"/>
      <c r="BM207" s="2250"/>
      <c r="BN207" s="2244"/>
      <c r="BO207" s="2244"/>
      <c r="BP207" s="2245"/>
      <c r="BQ207" s="2246"/>
      <c r="BR207" s="2247"/>
      <c r="BS207" s="2248"/>
      <c r="BT207" s="2249"/>
      <c r="BU207" s="2249"/>
      <c r="BV207" s="2238"/>
      <c r="BW207" s="2264"/>
      <c r="BY207" s="3">
        <v>1</v>
      </c>
    </row>
    <row r="208" spans="2:77" ht="21" customHeight="1">
      <c r="B208" s="2265" t="str" cm="1">
        <f t="array" ref="B208">SUMPRODUCT(--(D208:J208&lt;&gt;""), LEN(TRIM(SUBSTITUTE(D208:J208, CHAR(160), "")))) &amp; " Car."</f>
        <v>0 Car.</v>
      </c>
      <c r="C208" s="1376" t="str">
        <f>IF(ISBLANK(D208),"",LARGE(C13:C207,1)+1)</f>
        <v/>
      </c>
      <c r="D208" s="1833"/>
      <c r="E208" s="1810"/>
      <c r="F208" s="1810"/>
      <c r="G208" s="1810"/>
      <c r="H208" s="1810"/>
      <c r="I208" s="1810"/>
      <c r="J208" s="1810"/>
      <c r="K208" s="1810"/>
      <c r="L208" s="1811"/>
      <c r="M208" s="9"/>
      <c r="N208" s="2252" t="s">
        <v>15</v>
      </c>
      <c r="O208" s="2237"/>
      <c r="P208" s="2237"/>
      <c r="Q208" s="2237"/>
      <c r="R208" s="2237"/>
      <c r="S208" s="2240"/>
      <c r="T208" s="2241"/>
      <c r="U208" s="2239"/>
      <c r="V208" s="2242"/>
      <c r="W208" s="2250"/>
      <c r="X208" s="2244"/>
      <c r="Y208" s="2244"/>
      <c r="Z208" s="2245"/>
      <c r="AA208" s="2246"/>
      <c r="AB208" s="2247"/>
      <c r="AC208" s="2248"/>
      <c r="AD208" s="2249"/>
      <c r="AE208" s="2249"/>
      <c r="AF208" s="2238"/>
      <c r="AG208" s="2264"/>
      <c r="AH208" s="918"/>
      <c r="AI208" s="2252" t="s">
        <v>15</v>
      </c>
      <c r="AJ208" s="2237"/>
      <c r="AK208" s="2237"/>
      <c r="AL208" s="2237"/>
      <c r="AM208" s="2237"/>
      <c r="AN208" s="2240"/>
      <c r="AO208" s="2241"/>
      <c r="AP208" s="2239"/>
      <c r="AQ208" s="2242"/>
      <c r="AR208" s="2250"/>
      <c r="AS208" s="2244"/>
      <c r="AT208" s="2244"/>
      <c r="AU208" s="2245"/>
      <c r="AV208" s="2246"/>
      <c r="AW208" s="2247"/>
      <c r="AX208" s="2248"/>
      <c r="AY208" s="2249"/>
      <c r="AZ208" s="2249"/>
      <c r="BA208" s="2238"/>
      <c r="BB208" s="2264"/>
      <c r="BC208" s="918"/>
      <c r="BD208" s="2252" t="s">
        <v>15</v>
      </c>
      <c r="BE208" s="2237"/>
      <c r="BF208" s="2237"/>
      <c r="BG208" s="2237"/>
      <c r="BH208" s="2237"/>
      <c r="BI208" s="2240"/>
      <c r="BJ208" s="2241"/>
      <c r="BK208" s="2239"/>
      <c r="BL208" s="2242"/>
      <c r="BM208" s="2250"/>
      <c r="BN208" s="2244"/>
      <c r="BO208" s="2244"/>
      <c r="BP208" s="2245"/>
      <c r="BQ208" s="2246"/>
      <c r="BR208" s="2247"/>
      <c r="BS208" s="2248"/>
      <c r="BT208" s="2249"/>
      <c r="BU208" s="2249"/>
      <c r="BV208" s="2238"/>
      <c r="BW208" s="2264"/>
      <c r="BY208" s="3">
        <v>1</v>
      </c>
    </row>
    <row r="209" spans="2:77" ht="21" customHeight="1">
      <c r="B209" s="2265" t="str" cm="1">
        <f t="array" ref="B209">SUMPRODUCT(--(D209:J209&lt;&gt;""), LEN(TRIM(SUBSTITUTE(D209:J209, CHAR(160), "")))) &amp; " Car."</f>
        <v>0 Car.</v>
      </c>
      <c r="C209" s="1376" t="str">
        <f>IF(ISBLANK(D209),"",LARGE(C13:C208,1)+1)</f>
        <v/>
      </c>
      <c r="D209" s="1833"/>
      <c r="E209" s="1810"/>
      <c r="F209" s="1810"/>
      <c r="G209" s="1810"/>
      <c r="H209" s="1810"/>
      <c r="I209" s="1810"/>
      <c r="J209" s="1810"/>
      <c r="K209" s="1810"/>
      <c r="L209" s="1811"/>
      <c r="M209" s="9"/>
      <c r="N209" s="2252" t="s">
        <v>15</v>
      </c>
      <c r="O209" s="2237"/>
      <c r="P209" s="2237"/>
      <c r="Q209" s="2237"/>
      <c r="R209" s="2237"/>
      <c r="S209" s="2240"/>
      <c r="T209" s="2241"/>
      <c r="U209" s="2239"/>
      <c r="V209" s="2242"/>
      <c r="W209" s="2250"/>
      <c r="X209" s="2244"/>
      <c r="Y209" s="2244"/>
      <c r="Z209" s="2245"/>
      <c r="AA209" s="2246"/>
      <c r="AB209" s="2247"/>
      <c r="AC209" s="2248"/>
      <c r="AD209" s="2249"/>
      <c r="AE209" s="2249"/>
      <c r="AF209" s="2238"/>
      <c r="AG209" s="2264"/>
      <c r="AH209" s="918"/>
      <c r="AI209" s="2252" t="s">
        <v>15</v>
      </c>
      <c r="AJ209" s="2237"/>
      <c r="AK209" s="2237"/>
      <c r="AL209" s="2237"/>
      <c r="AM209" s="2237"/>
      <c r="AN209" s="2240"/>
      <c r="AO209" s="2241"/>
      <c r="AP209" s="2239"/>
      <c r="AQ209" s="2242"/>
      <c r="AR209" s="2250"/>
      <c r="AS209" s="2244"/>
      <c r="AT209" s="2244"/>
      <c r="AU209" s="2245"/>
      <c r="AV209" s="2246"/>
      <c r="AW209" s="2247"/>
      <c r="AX209" s="2248"/>
      <c r="AY209" s="2249"/>
      <c r="AZ209" s="2249"/>
      <c r="BA209" s="2238"/>
      <c r="BB209" s="2264"/>
      <c r="BC209" s="918"/>
      <c r="BD209" s="2252" t="s">
        <v>15</v>
      </c>
      <c r="BE209" s="2237"/>
      <c r="BF209" s="2237"/>
      <c r="BG209" s="2237"/>
      <c r="BH209" s="2237"/>
      <c r="BI209" s="2240"/>
      <c r="BJ209" s="2241"/>
      <c r="BK209" s="2239"/>
      <c r="BL209" s="2242"/>
      <c r="BM209" s="2250"/>
      <c r="BN209" s="2244"/>
      <c r="BO209" s="2244"/>
      <c r="BP209" s="2245"/>
      <c r="BQ209" s="2246"/>
      <c r="BR209" s="2247"/>
      <c r="BS209" s="2248"/>
      <c r="BT209" s="2249"/>
      <c r="BU209" s="2249"/>
      <c r="BV209" s="2238"/>
      <c r="BW209" s="2264"/>
      <c r="BY209" s="3">
        <v>1</v>
      </c>
    </row>
    <row r="210" spans="2:77" ht="21" customHeight="1">
      <c r="B210" s="2265" t="str" cm="1">
        <f t="array" ref="B210">SUMPRODUCT(--(D210:J210&lt;&gt;""), LEN(TRIM(SUBSTITUTE(D210:J210, CHAR(160), "")))) &amp; " Car."</f>
        <v>0 Car.</v>
      </c>
      <c r="C210" s="1376" t="str">
        <f>IF(ISBLANK(D210),"",LARGE(C13:C209,1)+1)</f>
        <v/>
      </c>
      <c r="D210" s="1833"/>
      <c r="E210" s="1810"/>
      <c r="F210" s="1810"/>
      <c r="G210" s="1810"/>
      <c r="H210" s="1810"/>
      <c r="I210" s="1810"/>
      <c r="J210" s="1810"/>
      <c r="K210" s="1810"/>
      <c r="L210" s="1811"/>
      <c r="M210" s="9"/>
      <c r="N210" s="2252" t="s">
        <v>15</v>
      </c>
      <c r="O210" s="2237"/>
      <c r="P210" s="2237"/>
      <c r="Q210" s="2237"/>
      <c r="R210" s="2237"/>
      <c r="S210" s="2240"/>
      <c r="T210" s="2241"/>
      <c r="U210" s="2239"/>
      <c r="V210" s="2242"/>
      <c r="W210" s="2250"/>
      <c r="X210" s="2244"/>
      <c r="Y210" s="2244"/>
      <c r="Z210" s="2245"/>
      <c r="AA210" s="2246"/>
      <c r="AB210" s="2247"/>
      <c r="AC210" s="2248"/>
      <c r="AD210" s="2249"/>
      <c r="AE210" s="2249"/>
      <c r="AF210" s="2238"/>
      <c r="AG210" s="2264"/>
      <c r="AH210" s="918"/>
      <c r="AI210" s="2252" t="s">
        <v>15</v>
      </c>
      <c r="AJ210" s="2237"/>
      <c r="AK210" s="2237"/>
      <c r="AL210" s="2237"/>
      <c r="AM210" s="2237"/>
      <c r="AN210" s="2240"/>
      <c r="AO210" s="2241"/>
      <c r="AP210" s="2239"/>
      <c r="AQ210" s="2242"/>
      <c r="AR210" s="2250"/>
      <c r="AS210" s="2244"/>
      <c r="AT210" s="2244"/>
      <c r="AU210" s="2245"/>
      <c r="AV210" s="2246"/>
      <c r="AW210" s="2247"/>
      <c r="AX210" s="2248"/>
      <c r="AY210" s="2249"/>
      <c r="AZ210" s="2249"/>
      <c r="BA210" s="2238"/>
      <c r="BB210" s="2264"/>
      <c r="BC210" s="918"/>
      <c r="BD210" s="2252" t="s">
        <v>15</v>
      </c>
      <c r="BE210" s="2237"/>
      <c r="BF210" s="2237"/>
      <c r="BG210" s="2237"/>
      <c r="BH210" s="2237"/>
      <c r="BI210" s="2240"/>
      <c r="BJ210" s="2241"/>
      <c r="BK210" s="2239"/>
      <c r="BL210" s="2242"/>
      <c r="BM210" s="2250"/>
      <c r="BN210" s="2244"/>
      <c r="BO210" s="2244"/>
      <c r="BP210" s="2245"/>
      <c r="BQ210" s="2246"/>
      <c r="BR210" s="2247"/>
      <c r="BS210" s="2248"/>
      <c r="BT210" s="2249"/>
      <c r="BU210" s="2249"/>
      <c r="BV210" s="2238"/>
      <c r="BW210" s="2264"/>
      <c r="BY210" s="3">
        <v>1</v>
      </c>
    </row>
    <row r="211" spans="2:77" ht="21" customHeight="1">
      <c r="B211" s="2265" t="str" cm="1">
        <f t="array" ref="B211">SUMPRODUCT(--(D211:J211&lt;&gt;""), LEN(TRIM(SUBSTITUTE(D211:J211, CHAR(160), "")))) &amp; " Car."</f>
        <v>0 Car.</v>
      </c>
      <c r="C211" s="1376" t="str">
        <f>IF(ISBLANK(D211),"",LARGE(C13:C210,1)+1)</f>
        <v/>
      </c>
      <c r="D211" s="1833"/>
      <c r="E211" s="1810"/>
      <c r="F211" s="1810"/>
      <c r="G211" s="1810"/>
      <c r="H211" s="1810"/>
      <c r="I211" s="1810"/>
      <c r="J211" s="1810"/>
      <c r="K211" s="1810"/>
      <c r="L211" s="1811"/>
      <c r="M211" s="9"/>
      <c r="N211" s="2252" t="s">
        <v>15</v>
      </c>
      <c r="O211" s="2237"/>
      <c r="P211" s="2237"/>
      <c r="Q211" s="2237"/>
      <c r="R211" s="2237"/>
      <c r="S211" s="2240"/>
      <c r="T211" s="2241"/>
      <c r="U211" s="2239"/>
      <c r="V211" s="2242"/>
      <c r="W211" s="2250"/>
      <c r="X211" s="2244"/>
      <c r="Y211" s="2244"/>
      <c r="Z211" s="2245"/>
      <c r="AA211" s="2246"/>
      <c r="AB211" s="2247"/>
      <c r="AC211" s="2248"/>
      <c r="AD211" s="2249"/>
      <c r="AE211" s="2249"/>
      <c r="AF211" s="2238"/>
      <c r="AG211" s="2264"/>
      <c r="AH211" s="918"/>
      <c r="AI211" s="2252" t="s">
        <v>15</v>
      </c>
      <c r="AJ211" s="2237"/>
      <c r="AK211" s="2237"/>
      <c r="AL211" s="2237"/>
      <c r="AM211" s="2237"/>
      <c r="AN211" s="2240"/>
      <c r="AO211" s="2241"/>
      <c r="AP211" s="2239"/>
      <c r="AQ211" s="2242"/>
      <c r="AR211" s="2250"/>
      <c r="AS211" s="2244"/>
      <c r="AT211" s="2244"/>
      <c r="AU211" s="2245"/>
      <c r="AV211" s="2246"/>
      <c r="AW211" s="2247"/>
      <c r="AX211" s="2248"/>
      <c r="AY211" s="2249"/>
      <c r="AZ211" s="2249"/>
      <c r="BA211" s="2238"/>
      <c r="BB211" s="2264"/>
      <c r="BC211" s="918"/>
      <c r="BD211" s="2252" t="s">
        <v>15</v>
      </c>
      <c r="BE211" s="2237"/>
      <c r="BF211" s="2237"/>
      <c r="BG211" s="2237"/>
      <c r="BH211" s="2237"/>
      <c r="BI211" s="2240"/>
      <c r="BJ211" s="2241"/>
      <c r="BK211" s="2239"/>
      <c r="BL211" s="2242"/>
      <c r="BM211" s="2250"/>
      <c r="BN211" s="2244"/>
      <c r="BO211" s="2244"/>
      <c r="BP211" s="2245"/>
      <c r="BQ211" s="2246"/>
      <c r="BR211" s="2247"/>
      <c r="BS211" s="2248"/>
      <c r="BT211" s="2249"/>
      <c r="BU211" s="2249"/>
      <c r="BV211" s="2238"/>
      <c r="BW211" s="2264"/>
      <c r="BY211" s="3">
        <v>1</v>
      </c>
    </row>
    <row r="212" spans="2:77" ht="21" customHeight="1">
      <c r="B212" s="2265" t="str" cm="1">
        <f t="array" ref="B212">SUMPRODUCT(--(D212:J212&lt;&gt;""), LEN(TRIM(SUBSTITUTE(D212:J212, CHAR(160), "")))) &amp; " Car."</f>
        <v>0 Car.</v>
      </c>
      <c r="C212" s="1376" t="str">
        <f>IF(ISBLANK(D212),"",LARGE(C13:C211,1)+1)</f>
        <v/>
      </c>
      <c r="D212" s="1833"/>
      <c r="E212" s="1810"/>
      <c r="F212" s="1810"/>
      <c r="G212" s="1810"/>
      <c r="H212" s="1810"/>
      <c r="I212" s="1810"/>
      <c r="J212" s="1810"/>
      <c r="K212" s="1810"/>
      <c r="L212" s="1811"/>
      <c r="M212" s="9"/>
      <c r="N212" s="2252" t="s">
        <v>15</v>
      </c>
      <c r="O212" s="2237"/>
      <c r="P212" s="2237"/>
      <c r="Q212" s="2237"/>
      <c r="R212" s="2237"/>
      <c r="S212" s="2240"/>
      <c r="T212" s="2241"/>
      <c r="U212" s="2239"/>
      <c r="V212" s="2242"/>
      <c r="W212" s="2250"/>
      <c r="X212" s="2244"/>
      <c r="Y212" s="2244"/>
      <c r="Z212" s="2245"/>
      <c r="AA212" s="2246"/>
      <c r="AB212" s="2247"/>
      <c r="AC212" s="2248"/>
      <c r="AD212" s="2249"/>
      <c r="AE212" s="2249"/>
      <c r="AF212" s="2238"/>
      <c r="AG212" s="2264"/>
      <c r="AH212" s="918"/>
      <c r="AI212" s="2252" t="s">
        <v>15</v>
      </c>
      <c r="AJ212" s="2237"/>
      <c r="AK212" s="2237"/>
      <c r="AL212" s="2237"/>
      <c r="AM212" s="2237"/>
      <c r="AN212" s="2240"/>
      <c r="AO212" s="2241"/>
      <c r="AP212" s="2239"/>
      <c r="AQ212" s="2242"/>
      <c r="AR212" s="2250"/>
      <c r="AS212" s="2244"/>
      <c r="AT212" s="2244"/>
      <c r="AU212" s="2245"/>
      <c r="AV212" s="2246"/>
      <c r="AW212" s="2247"/>
      <c r="AX212" s="2248"/>
      <c r="AY212" s="2249"/>
      <c r="AZ212" s="2249"/>
      <c r="BA212" s="2238"/>
      <c r="BB212" s="2264"/>
      <c r="BC212" s="918"/>
      <c r="BD212" s="2252" t="s">
        <v>15</v>
      </c>
      <c r="BE212" s="2237"/>
      <c r="BF212" s="2237"/>
      <c r="BG212" s="2237"/>
      <c r="BH212" s="2237"/>
      <c r="BI212" s="2240"/>
      <c r="BJ212" s="2241"/>
      <c r="BK212" s="2239"/>
      <c r="BL212" s="2242"/>
      <c r="BM212" s="2250"/>
      <c r="BN212" s="2244"/>
      <c r="BO212" s="2244"/>
      <c r="BP212" s="2245"/>
      <c r="BQ212" s="2246"/>
      <c r="BR212" s="2247"/>
      <c r="BS212" s="2248"/>
      <c r="BT212" s="2249"/>
      <c r="BU212" s="2249"/>
      <c r="BV212" s="2238"/>
      <c r="BW212" s="2264"/>
      <c r="BY212" s="3">
        <v>1</v>
      </c>
    </row>
    <row r="213" spans="2:77" ht="21" customHeight="1">
      <c r="B213" s="2265" t="str" cm="1">
        <f t="array" ref="B213">SUMPRODUCT(--(D213:J213&lt;&gt;""), LEN(TRIM(SUBSTITUTE(D213:J213, CHAR(160), "")))) &amp; " Car."</f>
        <v>0 Car.</v>
      </c>
      <c r="C213" s="1376" t="str">
        <f>IF(ISBLANK(D213),"",LARGE(C13:C212,1)+1)</f>
        <v/>
      </c>
      <c r="D213" s="1833"/>
      <c r="E213" s="1810"/>
      <c r="F213" s="1810"/>
      <c r="G213" s="1810"/>
      <c r="H213" s="1810"/>
      <c r="I213" s="1810"/>
      <c r="J213" s="1810"/>
      <c r="K213" s="1810"/>
      <c r="L213" s="1811"/>
      <c r="M213" s="9"/>
      <c r="N213" s="2252" t="s">
        <v>15</v>
      </c>
      <c r="O213" s="2237"/>
      <c r="P213" s="2237"/>
      <c r="Q213" s="2237"/>
      <c r="R213" s="2237"/>
      <c r="S213" s="2240"/>
      <c r="T213" s="2241"/>
      <c r="U213" s="2239"/>
      <c r="V213" s="2242"/>
      <c r="W213" s="2250"/>
      <c r="X213" s="2244"/>
      <c r="Y213" s="2244"/>
      <c r="Z213" s="2245"/>
      <c r="AA213" s="2246"/>
      <c r="AB213" s="2247"/>
      <c r="AC213" s="2248"/>
      <c r="AD213" s="2249"/>
      <c r="AE213" s="2249"/>
      <c r="AF213" s="2238"/>
      <c r="AG213" s="2264"/>
      <c r="AH213" s="918"/>
      <c r="AI213" s="2252" t="s">
        <v>15</v>
      </c>
      <c r="AJ213" s="2237"/>
      <c r="AK213" s="2237"/>
      <c r="AL213" s="2237"/>
      <c r="AM213" s="2237"/>
      <c r="AN213" s="2240"/>
      <c r="AO213" s="2241"/>
      <c r="AP213" s="2239"/>
      <c r="AQ213" s="2242"/>
      <c r="AR213" s="2250"/>
      <c r="AS213" s="2244"/>
      <c r="AT213" s="2244"/>
      <c r="AU213" s="2245"/>
      <c r="AV213" s="2246"/>
      <c r="AW213" s="2247"/>
      <c r="AX213" s="2248"/>
      <c r="AY213" s="2249"/>
      <c r="AZ213" s="2249"/>
      <c r="BA213" s="2238"/>
      <c r="BB213" s="2264"/>
      <c r="BC213" s="918"/>
      <c r="BD213" s="2252" t="s">
        <v>15</v>
      </c>
      <c r="BE213" s="2237"/>
      <c r="BF213" s="2237"/>
      <c r="BG213" s="2237"/>
      <c r="BH213" s="2237"/>
      <c r="BI213" s="2240"/>
      <c r="BJ213" s="2241"/>
      <c r="BK213" s="2239"/>
      <c r="BL213" s="2242"/>
      <c r="BM213" s="2250"/>
      <c r="BN213" s="2244"/>
      <c r="BO213" s="2244"/>
      <c r="BP213" s="2245"/>
      <c r="BQ213" s="2246"/>
      <c r="BR213" s="2247"/>
      <c r="BS213" s="2248"/>
      <c r="BT213" s="2249"/>
      <c r="BU213" s="2249"/>
      <c r="BV213" s="2238"/>
      <c r="BW213" s="2264"/>
      <c r="BY213" s="3">
        <v>1</v>
      </c>
    </row>
    <row r="214" spans="2:77" ht="21" customHeight="1">
      <c r="B214" s="2265" t="str" cm="1">
        <f t="array" ref="B214">SUMPRODUCT(--(D214:J214&lt;&gt;""), LEN(TRIM(SUBSTITUTE(D214:J214, CHAR(160), "")))) &amp; " Car."</f>
        <v>0 Car.</v>
      </c>
      <c r="C214" s="1376" t="str">
        <f>IF(ISBLANK(D214),"",LARGE(C13:C213,1)+1)</f>
        <v/>
      </c>
      <c r="D214" s="1833"/>
      <c r="E214" s="1810"/>
      <c r="F214" s="1810"/>
      <c r="G214" s="1810"/>
      <c r="H214" s="1810"/>
      <c r="I214" s="1810"/>
      <c r="J214" s="1810"/>
      <c r="K214" s="1810"/>
      <c r="L214" s="1811"/>
      <c r="M214" s="9"/>
      <c r="N214" s="2252" t="s">
        <v>15</v>
      </c>
      <c r="O214" s="2237"/>
      <c r="P214" s="2237"/>
      <c r="Q214" s="2237"/>
      <c r="R214" s="2237"/>
      <c r="S214" s="2240"/>
      <c r="T214" s="2241"/>
      <c r="U214" s="2239"/>
      <c r="V214" s="2242"/>
      <c r="W214" s="2250"/>
      <c r="X214" s="2244"/>
      <c r="Y214" s="2244"/>
      <c r="Z214" s="2245"/>
      <c r="AA214" s="2246"/>
      <c r="AB214" s="2247"/>
      <c r="AC214" s="2248"/>
      <c r="AD214" s="2249"/>
      <c r="AE214" s="2249"/>
      <c r="AF214" s="2238"/>
      <c r="AG214" s="2264"/>
      <c r="AH214" s="918"/>
      <c r="AI214" s="2252" t="s">
        <v>15</v>
      </c>
      <c r="AJ214" s="2237"/>
      <c r="AK214" s="2237"/>
      <c r="AL214" s="2237"/>
      <c r="AM214" s="2237"/>
      <c r="AN214" s="2240"/>
      <c r="AO214" s="2241"/>
      <c r="AP214" s="2239"/>
      <c r="AQ214" s="2242"/>
      <c r="AR214" s="2250"/>
      <c r="AS214" s="2244"/>
      <c r="AT214" s="2244"/>
      <c r="AU214" s="2245"/>
      <c r="AV214" s="2246"/>
      <c r="AW214" s="2247"/>
      <c r="AX214" s="2248"/>
      <c r="AY214" s="2249"/>
      <c r="AZ214" s="2249"/>
      <c r="BA214" s="2238"/>
      <c r="BB214" s="2264"/>
      <c r="BC214" s="918"/>
      <c r="BD214" s="2252" t="s">
        <v>15</v>
      </c>
      <c r="BE214" s="2237"/>
      <c r="BF214" s="2237"/>
      <c r="BG214" s="2237"/>
      <c r="BH214" s="2237"/>
      <c r="BI214" s="2240"/>
      <c r="BJ214" s="2241"/>
      <c r="BK214" s="2239"/>
      <c r="BL214" s="2242"/>
      <c r="BM214" s="2250"/>
      <c r="BN214" s="2244"/>
      <c r="BO214" s="2244"/>
      <c r="BP214" s="2245"/>
      <c r="BQ214" s="2246"/>
      <c r="BR214" s="2247"/>
      <c r="BS214" s="2248"/>
      <c r="BT214" s="2249"/>
      <c r="BU214" s="2249"/>
      <c r="BV214" s="2238"/>
      <c r="BW214" s="2264"/>
      <c r="BY214" s="3">
        <v>1</v>
      </c>
    </row>
    <row r="215" spans="2:77" ht="21" customHeight="1">
      <c r="B215" s="2265" t="str" cm="1">
        <f t="array" ref="B215">SUMPRODUCT(--(D215:J215&lt;&gt;""), LEN(TRIM(SUBSTITUTE(D215:J215, CHAR(160), "")))) &amp; " Car."</f>
        <v>0 Car.</v>
      </c>
      <c r="C215" s="1376" t="str">
        <f>IF(ISBLANK(D215),"",LARGE(C13:C214,1)+1)</f>
        <v/>
      </c>
      <c r="D215" s="1833"/>
      <c r="E215" s="1810"/>
      <c r="F215" s="1810"/>
      <c r="G215" s="1810"/>
      <c r="H215" s="1810"/>
      <c r="I215" s="1810"/>
      <c r="J215" s="1810"/>
      <c r="K215" s="1810"/>
      <c r="L215" s="1811"/>
      <c r="M215" s="9"/>
      <c r="N215" s="2252" t="s">
        <v>15</v>
      </c>
      <c r="O215" s="2237"/>
      <c r="P215" s="2237"/>
      <c r="Q215" s="2237"/>
      <c r="R215" s="2237"/>
      <c r="S215" s="2240"/>
      <c r="T215" s="2241"/>
      <c r="U215" s="2239"/>
      <c r="V215" s="2242"/>
      <c r="W215" s="2250"/>
      <c r="X215" s="2244"/>
      <c r="Y215" s="2244"/>
      <c r="Z215" s="2245"/>
      <c r="AA215" s="2246"/>
      <c r="AB215" s="2247"/>
      <c r="AC215" s="2248"/>
      <c r="AD215" s="2249"/>
      <c r="AE215" s="2249"/>
      <c r="AF215" s="2238"/>
      <c r="AG215" s="2264"/>
      <c r="AH215" s="918"/>
      <c r="AI215" s="2252" t="s">
        <v>15</v>
      </c>
      <c r="AJ215" s="2237"/>
      <c r="AK215" s="2237"/>
      <c r="AL215" s="2237"/>
      <c r="AM215" s="2237"/>
      <c r="AN215" s="2240"/>
      <c r="AO215" s="2241"/>
      <c r="AP215" s="2239"/>
      <c r="AQ215" s="2242"/>
      <c r="AR215" s="2250"/>
      <c r="AS215" s="2244"/>
      <c r="AT215" s="2244"/>
      <c r="AU215" s="2245"/>
      <c r="AV215" s="2246"/>
      <c r="AW215" s="2247"/>
      <c r="AX215" s="2248"/>
      <c r="AY215" s="2249"/>
      <c r="AZ215" s="2249"/>
      <c r="BA215" s="2238"/>
      <c r="BB215" s="2264"/>
      <c r="BC215" s="918"/>
      <c r="BD215" s="2252" t="s">
        <v>15</v>
      </c>
      <c r="BE215" s="2237"/>
      <c r="BF215" s="2237"/>
      <c r="BG215" s="2237"/>
      <c r="BH215" s="2237"/>
      <c r="BI215" s="2240"/>
      <c r="BJ215" s="2241"/>
      <c r="BK215" s="2239"/>
      <c r="BL215" s="2242"/>
      <c r="BM215" s="2250"/>
      <c r="BN215" s="2244"/>
      <c r="BO215" s="2244"/>
      <c r="BP215" s="2245"/>
      <c r="BQ215" s="2246"/>
      <c r="BR215" s="2247"/>
      <c r="BS215" s="2248"/>
      <c r="BT215" s="2249"/>
      <c r="BU215" s="2249"/>
      <c r="BV215" s="2238"/>
      <c r="BW215" s="2264"/>
      <c r="BY215" s="3">
        <v>1</v>
      </c>
    </row>
    <row r="216" spans="2:77" ht="21" customHeight="1">
      <c r="B216" s="2265" t="str" cm="1">
        <f t="array" ref="B216">SUMPRODUCT(--(D216:J216&lt;&gt;""), LEN(TRIM(SUBSTITUTE(D216:J216, CHAR(160), "")))) &amp; " Car."</f>
        <v>0 Car.</v>
      </c>
      <c r="C216" s="1376" t="str">
        <f>IF(ISBLANK(D216),"",LARGE(C13:C215,1)+1)</f>
        <v/>
      </c>
      <c r="D216" s="1833"/>
      <c r="E216" s="1810"/>
      <c r="F216" s="1810"/>
      <c r="G216" s="1810"/>
      <c r="H216" s="1810"/>
      <c r="I216" s="1810"/>
      <c r="J216" s="1810"/>
      <c r="K216" s="1810"/>
      <c r="L216" s="1811"/>
      <c r="M216" s="9"/>
      <c r="N216" s="2252" t="s">
        <v>15</v>
      </c>
      <c r="O216" s="2237"/>
      <c r="P216" s="2237"/>
      <c r="Q216" s="2237"/>
      <c r="R216" s="2237"/>
      <c r="S216" s="2240"/>
      <c r="T216" s="2241"/>
      <c r="U216" s="2239"/>
      <c r="V216" s="2242"/>
      <c r="W216" s="2250"/>
      <c r="X216" s="2244"/>
      <c r="Y216" s="2244"/>
      <c r="Z216" s="2245"/>
      <c r="AA216" s="2246"/>
      <c r="AB216" s="2247"/>
      <c r="AC216" s="2248"/>
      <c r="AD216" s="2249"/>
      <c r="AE216" s="2249"/>
      <c r="AF216" s="2238"/>
      <c r="AG216" s="2264"/>
      <c r="AH216" s="918"/>
      <c r="AI216" s="2252" t="s">
        <v>15</v>
      </c>
      <c r="AJ216" s="2237"/>
      <c r="AK216" s="2237"/>
      <c r="AL216" s="2237"/>
      <c r="AM216" s="2237"/>
      <c r="AN216" s="2240"/>
      <c r="AO216" s="2241"/>
      <c r="AP216" s="2239"/>
      <c r="AQ216" s="2242"/>
      <c r="AR216" s="2250"/>
      <c r="AS216" s="2244"/>
      <c r="AT216" s="2244"/>
      <c r="AU216" s="2245"/>
      <c r="AV216" s="2246"/>
      <c r="AW216" s="2247"/>
      <c r="AX216" s="2248"/>
      <c r="AY216" s="2249"/>
      <c r="AZ216" s="2249"/>
      <c r="BA216" s="2238"/>
      <c r="BB216" s="2264"/>
      <c r="BC216" s="918"/>
      <c r="BD216" s="2252" t="s">
        <v>15</v>
      </c>
      <c r="BE216" s="2237"/>
      <c r="BF216" s="2237"/>
      <c r="BG216" s="2237"/>
      <c r="BH216" s="2237"/>
      <c r="BI216" s="2240"/>
      <c r="BJ216" s="2241"/>
      <c r="BK216" s="2239"/>
      <c r="BL216" s="2242"/>
      <c r="BM216" s="2250"/>
      <c r="BN216" s="2244"/>
      <c r="BO216" s="2244"/>
      <c r="BP216" s="2245"/>
      <c r="BQ216" s="2246"/>
      <c r="BR216" s="2247"/>
      <c r="BS216" s="2248"/>
      <c r="BT216" s="2249"/>
      <c r="BU216" s="2249"/>
      <c r="BV216" s="2238"/>
      <c r="BW216" s="2264"/>
      <c r="BY216" s="3">
        <v>1</v>
      </c>
    </row>
    <row r="217" spans="2:77" ht="21" customHeight="1">
      <c r="B217" s="2265" t="str" cm="1">
        <f t="array" ref="B217">SUMPRODUCT(--(D217:J217&lt;&gt;""), LEN(TRIM(SUBSTITUTE(D217:J217, CHAR(160), "")))) &amp; " Car."</f>
        <v>0 Car.</v>
      </c>
      <c r="C217" s="1376" t="str">
        <f>IF(ISBLANK(D217),"",LARGE(C13:C216,1)+1)</f>
        <v/>
      </c>
      <c r="D217" s="1833"/>
      <c r="E217" s="1810"/>
      <c r="F217" s="1810"/>
      <c r="G217" s="1810"/>
      <c r="H217" s="1810"/>
      <c r="I217" s="1810"/>
      <c r="J217" s="1810"/>
      <c r="K217" s="1810"/>
      <c r="L217" s="1811"/>
      <c r="M217" s="9"/>
      <c r="N217" s="2252" t="s">
        <v>15</v>
      </c>
      <c r="O217" s="2237"/>
      <c r="P217" s="2237"/>
      <c r="Q217" s="2237"/>
      <c r="R217" s="2237"/>
      <c r="S217" s="2240"/>
      <c r="T217" s="2241"/>
      <c r="U217" s="2239"/>
      <c r="V217" s="2242"/>
      <c r="W217" s="2250"/>
      <c r="X217" s="2244"/>
      <c r="Y217" s="2244"/>
      <c r="Z217" s="2245"/>
      <c r="AA217" s="2246"/>
      <c r="AB217" s="2247"/>
      <c r="AC217" s="2248"/>
      <c r="AD217" s="2249"/>
      <c r="AE217" s="2249"/>
      <c r="AF217" s="2238"/>
      <c r="AG217" s="2264"/>
      <c r="AH217" s="918"/>
      <c r="AI217" s="2252" t="s">
        <v>15</v>
      </c>
      <c r="AJ217" s="2237"/>
      <c r="AK217" s="2237"/>
      <c r="AL217" s="2237"/>
      <c r="AM217" s="2237"/>
      <c r="AN217" s="2240"/>
      <c r="AO217" s="2241"/>
      <c r="AP217" s="2239"/>
      <c r="AQ217" s="2242"/>
      <c r="AR217" s="2250"/>
      <c r="AS217" s="2244"/>
      <c r="AT217" s="2244"/>
      <c r="AU217" s="2245"/>
      <c r="AV217" s="2246"/>
      <c r="AW217" s="2247"/>
      <c r="AX217" s="2248"/>
      <c r="AY217" s="2249"/>
      <c r="AZ217" s="2249"/>
      <c r="BA217" s="2238"/>
      <c r="BB217" s="2264"/>
      <c r="BC217" s="918"/>
      <c r="BD217" s="2252" t="s">
        <v>15</v>
      </c>
      <c r="BE217" s="2237"/>
      <c r="BF217" s="2237"/>
      <c r="BG217" s="2237"/>
      <c r="BH217" s="2237"/>
      <c r="BI217" s="2240"/>
      <c r="BJ217" s="2241"/>
      <c r="BK217" s="2239"/>
      <c r="BL217" s="2242"/>
      <c r="BM217" s="2250"/>
      <c r="BN217" s="2244"/>
      <c r="BO217" s="2244"/>
      <c r="BP217" s="2245"/>
      <c r="BQ217" s="2246"/>
      <c r="BR217" s="2247"/>
      <c r="BS217" s="2248"/>
      <c r="BT217" s="2249"/>
      <c r="BU217" s="2249"/>
      <c r="BV217" s="2238"/>
      <c r="BW217" s="2264"/>
      <c r="BY217" s="3">
        <v>1</v>
      </c>
    </row>
    <row r="218" spans="2:77" ht="21" customHeight="1">
      <c r="B218" s="2265" t="str" cm="1">
        <f t="array" ref="B218">SUMPRODUCT(--(D218:J218&lt;&gt;""), LEN(TRIM(SUBSTITUTE(D218:J218, CHAR(160), "")))) &amp; " Car."</f>
        <v>0 Car.</v>
      </c>
      <c r="C218" s="1376" t="str">
        <f>IF(ISBLANK(D218),"",LARGE(C13:C217,1)+1)</f>
        <v/>
      </c>
      <c r="D218" s="1833"/>
      <c r="E218" s="1810"/>
      <c r="F218" s="1810"/>
      <c r="G218" s="1810"/>
      <c r="H218" s="1810"/>
      <c r="I218" s="1810"/>
      <c r="J218" s="1810"/>
      <c r="K218" s="1810"/>
      <c r="L218" s="1811"/>
      <c r="M218" s="9"/>
      <c r="N218" s="2252" t="s">
        <v>15</v>
      </c>
      <c r="O218" s="2237"/>
      <c r="P218" s="2237"/>
      <c r="Q218" s="2237"/>
      <c r="R218" s="2237"/>
      <c r="S218" s="2240"/>
      <c r="T218" s="2241"/>
      <c r="U218" s="2239"/>
      <c r="V218" s="2242"/>
      <c r="W218" s="2250"/>
      <c r="X218" s="2244"/>
      <c r="Y218" s="2244"/>
      <c r="Z218" s="2245"/>
      <c r="AA218" s="2246"/>
      <c r="AB218" s="2247"/>
      <c r="AC218" s="2248"/>
      <c r="AD218" s="2249"/>
      <c r="AE218" s="2249"/>
      <c r="AF218" s="2238"/>
      <c r="AG218" s="2264"/>
      <c r="AH218" s="918"/>
      <c r="AI218" s="2252" t="s">
        <v>15</v>
      </c>
      <c r="AJ218" s="2237"/>
      <c r="AK218" s="2237"/>
      <c r="AL218" s="2237"/>
      <c r="AM218" s="2237"/>
      <c r="AN218" s="2240"/>
      <c r="AO218" s="2241"/>
      <c r="AP218" s="2239"/>
      <c r="AQ218" s="2242"/>
      <c r="AR218" s="2250"/>
      <c r="AS218" s="2244"/>
      <c r="AT218" s="2244"/>
      <c r="AU218" s="2245"/>
      <c r="AV218" s="2246"/>
      <c r="AW218" s="2247"/>
      <c r="AX218" s="2248"/>
      <c r="AY218" s="2249"/>
      <c r="AZ218" s="2249"/>
      <c r="BA218" s="2238"/>
      <c r="BB218" s="2264"/>
      <c r="BC218" s="918"/>
      <c r="BD218" s="2252" t="s">
        <v>15</v>
      </c>
      <c r="BE218" s="2237"/>
      <c r="BF218" s="2237"/>
      <c r="BG218" s="2237"/>
      <c r="BH218" s="2237"/>
      <c r="BI218" s="2240"/>
      <c r="BJ218" s="2241"/>
      <c r="BK218" s="2239"/>
      <c r="BL218" s="2242"/>
      <c r="BM218" s="2250"/>
      <c r="BN218" s="2244"/>
      <c r="BO218" s="2244"/>
      <c r="BP218" s="2245"/>
      <c r="BQ218" s="2246"/>
      <c r="BR218" s="2247"/>
      <c r="BS218" s="2248"/>
      <c r="BT218" s="2249"/>
      <c r="BU218" s="2249"/>
      <c r="BV218" s="2238"/>
      <c r="BW218" s="2264"/>
      <c r="BY218" s="3">
        <v>1</v>
      </c>
    </row>
    <row r="219" spans="2:77" ht="21" customHeight="1">
      <c r="B219" s="2265" t="str" cm="1">
        <f t="array" ref="B219">SUMPRODUCT(--(D219:J219&lt;&gt;""), LEN(TRIM(SUBSTITUTE(D219:J219, CHAR(160), "")))) &amp; " Car."</f>
        <v>0 Car.</v>
      </c>
      <c r="C219" s="1376" t="str">
        <f>IF(ISBLANK(D219),"",LARGE(C13:C218,1)+1)</f>
        <v/>
      </c>
      <c r="D219" s="1833"/>
      <c r="E219" s="1810"/>
      <c r="F219" s="1810"/>
      <c r="G219" s="1810"/>
      <c r="H219" s="1810"/>
      <c r="I219" s="1810"/>
      <c r="J219" s="1810"/>
      <c r="K219" s="1810"/>
      <c r="L219" s="1811"/>
      <c r="M219" s="9"/>
      <c r="N219" s="2252" t="s">
        <v>15</v>
      </c>
      <c r="O219" s="2237"/>
      <c r="P219" s="2237"/>
      <c r="Q219" s="2237"/>
      <c r="R219" s="2237"/>
      <c r="S219" s="2240"/>
      <c r="T219" s="2241"/>
      <c r="U219" s="2239"/>
      <c r="V219" s="2242"/>
      <c r="W219" s="2250"/>
      <c r="X219" s="2244"/>
      <c r="Y219" s="2244"/>
      <c r="Z219" s="2245"/>
      <c r="AA219" s="2246"/>
      <c r="AB219" s="2247"/>
      <c r="AC219" s="2248"/>
      <c r="AD219" s="2249"/>
      <c r="AE219" s="2249"/>
      <c r="AF219" s="2238"/>
      <c r="AG219" s="2264"/>
      <c r="AH219" s="918"/>
      <c r="AI219" s="2252" t="s">
        <v>15</v>
      </c>
      <c r="AJ219" s="2237"/>
      <c r="AK219" s="2237"/>
      <c r="AL219" s="2237"/>
      <c r="AM219" s="2237"/>
      <c r="AN219" s="2240"/>
      <c r="AO219" s="2241"/>
      <c r="AP219" s="2239"/>
      <c r="AQ219" s="2242"/>
      <c r="AR219" s="2250"/>
      <c r="AS219" s="2244"/>
      <c r="AT219" s="2244"/>
      <c r="AU219" s="2245"/>
      <c r="AV219" s="2246"/>
      <c r="AW219" s="2247"/>
      <c r="AX219" s="2248"/>
      <c r="AY219" s="2249"/>
      <c r="AZ219" s="2249"/>
      <c r="BA219" s="2238"/>
      <c r="BB219" s="2264"/>
      <c r="BC219" s="918"/>
      <c r="BD219" s="2252" t="s">
        <v>15</v>
      </c>
      <c r="BE219" s="2237"/>
      <c r="BF219" s="2237"/>
      <c r="BG219" s="2237"/>
      <c r="BH219" s="2237"/>
      <c r="BI219" s="2240"/>
      <c r="BJ219" s="2241"/>
      <c r="BK219" s="2239"/>
      <c r="BL219" s="2242"/>
      <c r="BM219" s="2250"/>
      <c r="BN219" s="2244"/>
      <c r="BO219" s="2244"/>
      <c r="BP219" s="2245"/>
      <c r="BQ219" s="2246"/>
      <c r="BR219" s="2247"/>
      <c r="BS219" s="2248"/>
      <c r="BT219" s="2249"/>
      <c r="BU219" s="2249"/>
      <c r="BV219" s="2238"/>
      <c r="BW219" s="2264"/>
      <c r="BY219" s="3">
        <v>1</v>
      </c>
    </row>
    <row r="220" spans="2:77" ht="21" customHeight="1">
      <c r="B220" s="2265" t="str" cm="1">
        <f t="array" ref="B220">SUMPRODUCT(--(D220:J220&lt;&gt;""), LEN(TRIM(SUBSTITUTE(D220:J220, CHAR(160), "")))) &amp; " Car."</f>
        <v>0 Car.</v>
      </c>
      <c r="C220" s="1376" t="str">
        <f>IF(ISBLANK(D220),"",LARGE(C13:C219,1)+1)</f>
        <v/>
      </c>
      <c r="D220" s="1833"/>
      <c r="E220" s="1810"/>
      <c r="F220" s="1810"/>
      <c r="G220" s="1810"/>
      <c r="H220" s="1810"/>
      <c r="I220" s="1810"/>
      <c r="J220" s="1810"/>
      <c r="K220" s="1810"/>
      <c r="L220" s="1811"/>
      <c r="M220" s="9"/>
      <c r="N220" s="2252" t="s">
        <v>15</v>
      </c>
      <c r="O220" s="2237"/>
      <c r="P220" s="2237"/>
      <c r="Q220" s="2237"/>
      <c r="R220" s="2237"/>
      <c r="S220" s="2240"/>
      <c r="T220" s="2241"/>
      <c r="U220" s="2239"/>
      <c r="V220" s="2242"/>
      <c r="W220" s="2250"/>
      <c r="X220" s="2244"/>
      <c r="Y220" s="2244"/>
      <c r="Z220" s="2245"/>
      <c r="AA220" s="2246"/>
      <c r="AB220" s="2247"/>
      <c r="AC220" s="2248"/>
      <c r="AD220" s="2249"/>
      <c r="AE220" s="2249"/>
      <c r="AF220" s="2238"/>
      <c r="AG220" s="2264"/>
      <c r="AH220" s="918"/>
      <c r="AI220" s="2252" t="s">
        <v>15</v>
      </c>
      <c r="AJ220" s="2237"/>
      <c r="AK220" s="2237"/>
      <c r="AL220" s="2237"/>
      <c r="AM220" s="2237"/>
      <c r="AN220" s="2240"/>
      <c r="AO220" s="2241"/>
      <c r="AP220" s="2239"/>
      <c r="AQ220" s="2242"/>
      <c r="AR220" s="2250"/>
      <c r="AS220" s="2244"/>
      <c r="AT220" s="2244"/>
      <c r="AU220" s="2245"/>
      <c r="AV220" s="2246"/>
      <c r="AW220" s="2247"/>
      <c r="AX220" s="2248"/>
      <c r="AY220" s="2249"/>
      <c r="AZ220" s="2249"/>
      <c r="BA220" s="2238"/>
      <c r="BB220" s="2264"/>
      <c r="BC220" s="918"/>
      <c r="BD220" s="2252" t="s">
        <v>15</v>
      </c>
      <c r="BE220" s="2237"/>
      <c r="BF220" s="2237"/>
      <c r="BG220" s="2237"/>
      <c r="BH220" s="2237"/>
      <c r="BI220" s="2240"/>
      <c r="BJ220" s="2241"/>
      <c r="BK220" s="2239"/>
      <c r="BL220" s="2242"/>
      <c r="BM220" s="2250"/>
      <c r="BN220" s="2244"/>
      <c r="BO220" s="2244"/>
      <c r="BP220" s="2245"/>
      <c r="BQ220" s="2246"/>
      <c r="BR220" s="2247"/>
      <c r="BS220" s="2248"/>
      <c r="BT220" s="2249"/>
      <c r="BU220" s="2249"/>
      <c r="BV220" s="2238"/>
      <c r="BW220" s="2264"/>
      <c r="BY220" s="3">
        <v>1</v>
      </c>
    </row>
    <row r="221" spans="2:77" ht="21" customHeight="1">
      <c r="B221" s="2265" t="str" cm="1">
        <f t="array" ref="B221">SUMPRODUCT(--(D221:J221&lt;&gt;""), LEN(TRIM(SUBSTITUTE(D221:J221, CHAR(160), "")))) &amp; " Car."</f>
        <v>0 Car.</v>
      </c>
      <c r="C221" s="1376" t="str">
        <f>IF(ISBLANK(D221),"",LARGE(C13:C220,1)+1)</f>
        <v/>
      </c>
      <c r="D221" s="1833"/>
      <c r="E221" s="1810"/>
      <c r="F221" s="1810"/>
      <c r="G221" s="1810"/>
      <c r="H221" s="1810"/>
      <c r="I221" s="1810"/>
      <c r="J221" s="1810"/>
      <c r="K221" s="1810"/>
      <c r="L221" s="1811"/>
      <c r="M221" s="9"/>
      <c r="N221" s="2252" t="s">
        <v>15</v>
      </c>
      <c r="O221" s="2237"/>
      <c r="P221" s="2237"/>
      <c r="Q221" s="2237"/>
      <c r="R221" s="2237"/>
      <c r="S221" s="2240"/>
      <c r="T221" s="2241"/>
      <c r="U221" s="2239"/>
      <c r="V221" s="2242"/>
      <c r="W221" s="2250"/>
      <c r="X221" s="2244"/>
      <c r="Y221" s="2244"/>
      <c r="Z221" s="2245"/>
      <c r="AA221" s="2246"/>
      <c r="AB221" s="2247"/>
      <c r="AC221" s="2248"/>
      <c r="AD221" s="2249"/>
      <c r="AE221" s="2249"/>
      <c r="AF221" s="2238"/>
      <c r="AG221" s="2264"/>
      <c r="AH221" s="918"/>
      <c r="AI221" s="2252" t="s">
        <v>15</v>
      </c>
      <c r="AJ221" s="2237"/>
      <c r="AK221" s="2237"/>
      <c r="AL221" s="2237"/>
      <c r="AM221" s="2237"/>
      <c r="AN221" s="2240"/>
      <c r="AO221" s="2241"/>
      <c r="AP221" s="2239"/>
      <c r="AQ221" s="2242"/>
      <c r="AR221" s="2250"/>
      <c r="AS221" s="2244"/>
      <c r="AT221" s="2244"/>
      <c r="AU221" s="2245"/>
      <c r="AV221" s="2246"/>
      <c r="AW221" s="2247"/>
      <c r="AX221" s="2248"/>
      <c r="AY221" s="2249"/>
      <c r="AZ221" s="2249"/>
      <c r="BA221" s="2238"/>
      <c r="BB221" s="2264"/>
      <c r="BC221" s="918"/>
      <c r="BD221" s="2252" t="s">
        <v>15</v>
      </c>
      <c r="BE221" s="2237"/>
      <c r="BF221" s="2237"/>
      <c r="BG221" s="2237"/>
      <c r="BH221" s="2237"/>
      <c r="BI221" s="2240"/>
      <c r="BJ221" s="2241"/>
      <c r="BK221" s="2239"/>
      <c r="BL221" s="2242"/>
      <c r="BM221" s="2250"/>
      <c r="BN221" s="2244"/>
      <c r="BO221" s="2244"/>
      <c r="BP221" s="2245"/>
      <c r="BQ221" s="2246"/>
      <c r="BR221" s="2247"/>
      <c r="BS221" s="2248"/>
      <c r="BT221" s="2249"/>
      <c r="BU221" s="2249"/>
      <c r="BV221" s="2238"/>
      <c r="BW221" s="2264"/>
      <c r="BY221" s="3">
        <v>1</v>
      </c>
    </row>
    <row r="222" spans="2:77" ht="21" customHeight="1">
      <c r="B222" s="2265" t="str" cm="1">
        <f t="array" ref="B222">SUMPRODUCT(--(D222:J222&lt;&gt;""), LEN(TRIM(SUBSTITUTE(D222:J222, CHAR(160), "")))) &amp; " Car."</f>
        <v>0 Car.</v>
      </c>
      <c r="C222" s="1376" t="str">
        <f>IF(ISBLANK(D222),"",LARGE(C13:C221,1)+1)</f>
        <v/>
      </c>
      <c r="D222" s="1833"/>
      <c r="E222" s="1810"/>
      <c r="F222" s="1810"/>
      <c r="G222" s="1810"/>
      <c r="H222" s="1810"/>
      <c r="I222" s="1810"/>
      <c r="J222" s="1810"/>
      <c r="K222" s="1810"/>
      <c r="L222" s="1811"/>
      <c r="M222" s="9"/>
      <c r="N222" s="2252" t="s">
        <v>15</v>
      </c>
      <c r="O222" s="2237"/>
      <c r="P222" s="2237"/>
      <c r="Q222" s="2237"/>
      <c r="R222" s="2237"/>
      <c r="S222" s="2240"/>
      <c r="T222" s="2241"/>
      <c r="U222" s="2239"/>
      <c r="V222" s="2242"/>
      <c r="W222" s="2250"/>
      <c r="X222" s="2244"/>
      <c r="Y222" s="2244"/>
      <c r="Z222" s="2245"/>
      <c r="AA222" s="2246"/>
      <c r="AB222" s="2247"/>
      <c r="AC222" s="2248"/>
      <c r="AD222" s="2249"/>
      <c r="AE222" s="2249"/>
      <c r="AF222" s="2238"/>
      <c r="AG222" s="2264"/>
      <c r="AH222" s="918"/>
      <c r="AI222" s="2252" t="s">
        <v>15</v>
      </c>
      <c r="AJ222" s="2237"/>
      <c r="AK222" s="2237"/>
      <c r="AL222" s="2237"/>
      <c r="AM222" s="2237"/>
      <c r="AN222" s="2240"/>
      <c r="AO222" s="2241"/>
      <c r="AP222" s="2239"/>
      <c r="AQ222" s="2242"/>
      <c r="AR222" s="2250"/>
      <c r="AS222" s="2244"/>
      <c r="AT222" s="2244"/>
      <c r="AU222" s="2245"/>
      <c r="AV222" s="2246"/>
      <c r="AW222" s="2247"/>
      <c r="AX222" s="2248"/>
      <c r="AY222" s="2249"/>
      <c r="AZ222" s="2249"/>
      <c r="BA222" s="2238"/>
      <c r="BB222" s="2264"/>
      <c r="BC222" s="918"/>
      <c r="BD222" s="2252" t="s">
        <v>15</v>
      </c>
      <c r="BE222" s="2237"/>
      <c r="BF222" s="2237"/>
      <c r="BG222" s="2237"/>
      <c r="BH222" s="2237"/>
      <c r="BI222" s="2240"/>
      <c r="BJ222" s="2241"/>
      <c r="BK222" s="2239"/>
      <c r="BL222" s="2242"/>
      <c r="BM222" s="2250"/>
      <c r="BN222" s="2244"/>
      <c r="BO222" s="2244"/>
      <c r="BP222" s="2245"/>
      <c r="BQ222" s="2246"/>
      <c r="BR222" s="2247"/>
      <c r="BS222" s="2248"/>
      <c r="BT222" s="2249"/>
      <c r="BU222" s="2249"/>
      <c r="BV222" s="2238"/>
      <c r="BW222" s="2264"/>
      <c r="BY222" s="3">
        <v>1</v>
      </c>
    </row>
    <row r="223" spans="2:77" ht="21" customHeight="1">
      <c r="B223" s="2265" t="str" cm="1">
        <f t="array" ref="B223">SUMPRODUCT(--(D223:J223&lt;&gt;""), LEN(TRIM(SUBSTITUTE(D223:J223, CHAR(160), "")))) &amp; " Car."</f>
        <v>0 Car.</v>
      </c>
      <c r="C223" s="1376" t="str">
        <f>IF(ISBLANK(D223),"",LARGE(C13:C222,1)+1)</f>
        <v/>
      </c>
      <c r="D223" s="1833"/>
      <c r="E223" s="1810"/>
      <c r="F223" s="1810"/>
      <c r="G223" s="1810"/>
      <c r="H223" s="1810"/>
      <c r="I223" s="1810"/>
      <c r="J223" s="1810"/>
      <c r="K223" s="1810"/>
      <c r="L223" s="1811"/>
      <c r="M223" s="9"/>
      <c r="N223" s="2252" t="s">
        <v>15</v>
      </c>
      <c r="O223" s="2237"/>
      <c r="P223" s="2237"/>
      <c r="Q223" s="2237"/>
      <c r="R223" s="2237"/>
      <c r="S223" s="2240"/>
      <c r="T223" s="2241"/>
      <c r="U223" s="2239"/>
      <c r="V223" s="2242"/>
      <c r="W223" s="2250"/>
      <c r="X223" s="2244"/>
      <c r="Y223" s="2244"/>
      <c r="Z223" s="2245"/>
      <c r="AA223" s="2246"/>
      <c r="AB223" s="2247"/>
      <c r="AC223" s="2248"/>
      <c r="AD223" s="2249"/>
      <c r="AE223" s="2249"/>
      <c r="AF223" s="2238"/>
      <c r="AG223" s="2264"/>
      <c r="AH223" s="918"/>
      <c r="AI223" s="2252" t="s">
        <v>15</v>
      </c>
      <c r="AJ223" s="2237"/>
      <c r="AK223" s="2237"/>
      <c r="AL223" s="2237"/>
      <c r="AM223" s="2237"/>
      <c r="AN223" s="2240"/>
      <c r="AO223" s="2241"/>
      <c r="AP223" s="2239"/>
      <c r="AQ223" s="2242"/>
      <c r="AR223" s="2250"/>
      <c r="AS223" s="2244"/>
      <c r="AT223" s="2244"/>
      <c r="AU223" s="2245"/>
      <c r="AV223" s="2246"/>
      <c r="AW223" s="2247"/>
      <c r="AX223" s="2248"/>
      <c r="AY223" s="2249"/>
      <c r="AZ223" s="2249"/>
      <c r="BA223" s="2238"/>
      <c r="BB223" s="2264"/>
      <c r="BC223" s="918"/>
      <c r="BD223" s="2252" t="s">
        <v>15</v>
      </c>
      <c r="BE223" s="2237"/>
      <c r="BF223" s="2237"/>
      <c r="BG223" s="2237"/>
      <c r="BH223" s="2237"/>
      <c r="BI223" s="2240"/>
      <c r="BJ223" s="2241"/>
      <c r="BK223" s="2239"/>
      <c r="BL223" s="2242"/>
      <c r="BM223" s="2250"/>
      <c r="BN223" s="2244"/>
      <c r="BO223" s="2244"/>
      <c r="BP223" s="2245"/>
      <c r="BQ223" s="2246"/>
      <c r="BR223" s="2247"/>
      <c r="BS223" s="2248"/>
      <c r="BT223" s="2249"/>
      <c r="BU223" s="2249"/>
      <c r="BV223" s="2238"/>
      <c r="BW223" s="2264"/>
      <c r="BY223" s="3">
        <v>1</v>
      </c>
    </row>
    <row r="224" spans="2:77" ht="21" customHeight="1">
      <c r="B224" s="2265" t="str" cm="1">
        <f t="array" ref="B224">SUMPRODUCT(--(D224:J224&lt;&gt;""), LEN(TRIM(SUBSTITUTE(D224:J224, CHAR(160), "")))) &amp; " Car."</f>
        <v>0 Car.</v>
      </c>
      <c r="C224" s="1376" t="str">
        <f>IF(ISBLANK(D224),"",LARGE(C13:C223,1)+1)</f>
        <v/>
      </c>
      <c r="D224" s="1833"/>
      <c r="E224" s="1810"/>
      <c r="F224" s="1810"/>
      <c r="G224" s="1810"/>
      <c r="H224" s="1810"/>
      <c r="I224" s="1810"/>
      <c r="J224" s="1810"/>
      <c r="K224" s="1810"/>
      <c r="L224" s="1811"/>
      <c r="M224" s="9"/>
      <c r="N224" s="2252" t="s">
        <v>15</v>
      </c>
      <c r="O224" s="2237"/>
      <c r="P224" s="2237"/>
      <c r="Q224" s="2237"/>
      <c r="R224" s="2237"/>
      <c r="S224" s="2240"/>
      <c r="T224" s="2241"/>
      <c r="U224" s="2239"/>
      <c r="V224" s="2242"/>
      <c r="W224" s="2250"/>
      <c r="X224" s="2244"/>
      <c r="Y224" s="2244"/>
      <c r="Z224" s="2245"/>
      <c r="AA224" s="2246"/>
      <c r="AB224" s="2247"/>
      <c r="AC224" s="2248"/>
      <c r="AD224" s="2249"/>
      <c r="AE224" s="2249"/>
      <c r="AF224" s="2238"/>
      <c r="AG224" s="2264"/>
      <c r="AH224" s="918"/>
      <c r="AI224" s="2252" t="s">
        <v>15</v>
      </c>
      <c r="AJ224" s="2237"/>
      <c r="AK224" s="2237"/>
      <c r="AL224" s="2237"/>
      <c r="AM224" s="2237"/>
      <c r="AN224" s="2240"/>
      <c r="AO224" s="2241"/>
      <c r="AP224" s="2239"/>
      <c r="AQ224" s="2242"/>
      <c r="AR224" s="2250"/>
      <c r="AS224" s="2244"/>
      <c r="AT224" s="2244"/>
      <c r="AU224" s="2245"/>
      <c r="AV224" s="2246"/>
      <c r="AW224" s="2247"/>
      <c r="AX224" s="2248"/>
      <c r="AY224" s="2249"/>
      <c r="AZ224" s="2249"/>
      <c r="BA224" s="2238"/>
      <c r="BB224" s="2264"/>
      <c r="BC224" s="918"/>
      <c r="BD224" s="2252" t="s">
        <v>15</v>
      </c>
      <c r="BE224" s="2237"/>
      <c r="BF224" s="2237"/>
      <c r="BG224" s="2237"/>
      <c r="BH224" s="2237"/>
      <c r="BI224" s="2240"/>
      <c r="BJ224" s="2241"/>
      <c r="BK224" s="2239"/>
      <c r="BL224" s="2242"/>
      <c r="BM224" s="2250"/>
      <c r="BN224" s="2244"/>
      <c r="BO224" s="2244"/>
      <c r="BP224" s="2245"/>
      <c r="BQ224" s="2246"/>
      <c r="BR224" s="2247"/>
      <c r="BS224" s="2248"/>
      <c r="BT224" s="2249"/>
      <c r="BU224" s="2249"/>
      <c r="BV224" s="2238"/>
      <c r="BW224" s="2264"/>
      <c r="BY224" s="3">
        <v>1</v>
      </c>
    </row>
    <row r="225" spans="2:77" ht="21" customHeight="1">
      <c r="B225" s="2265" t="str" cm="1">
        <f t="array" ref="B225">SUMPRODUCT(--(D225:J225&lt;&gt;""), LEN(TRIM(SUBSTITUTE(D225:J225, CHAR(160), "")))) &amp; " Car."</f>
        <v>0 Car.</v>
      </c>
      <c r="C225" s="1376" t="str">
        <f>IF(ISBLANK(D225),"",LARGE(C13:C224,1)+1)</f>
        <v/>
      </c>
      <c r="D225" s="1833"/>
      <c r="E225" s="1810"/>
      <c r="F225" s="1810"/>
      <c r="G225" s="1810"/>
      <c r="H225" s="1810"/>
      <c r="I225" s="1810"/>
      <c r="J225" s="1810"/>
      <c r="K225" s="1810"/>
      <c r="L225" s="1811"/>
      <c r="M225" s="9"/>
      <c r="N225" s="2252" t="s">
        <v>15</v>
      </c>
      <c r="O225" s="2237"/>
      <c r="P225" s="2237"/>
      <c r="Q225" s="2237"/>
      <c r="R225" s="2237"/>
      <c r="S225" s="2240"/>
      <c r="T225" s="2241"/>
      <c r="U225" s="2239"/>
      <c r="V225" s="2242"/>
      <c r="W225" s="2250"/>
      <c r="X225" s="2244"/>
      <c r="Y225" s="2244"/>
      <c r="Z225" s="2245"/>
      <c r="AA225" s="2246"/>
      <c r="AB225" s="2247"/>
      <c r="AC225" s="2248"/>
      <c r="AD225" s="2249"/>
      <c r="AE225" s="2249"/>
      <c r="AF225" s="2238"/>
      <c r="AG225" s="2264"/>
      <c r="AH225" s="918"/>
      <c r="AI225" s="2252" t="s">
        <v>15</v>
      </c>
      <c r="AJ225" s="2237"/>
      <c r="AK225" s="2237"/>
      <c r="AL225" s="2237"/>
      <c r="AM225" s="2237"/>
      <c r="AN225" s="2240"/>
      <c r="AO225" s="2241"/>
      <c r="AP225" s="2239"/>
      <c r="AQ225" s="2242"/>
      <c r="AR225" s="2250"/>
      <c r="AS225" s="2244"/>
      <c r="AT225" s="2244"/>
      <c r="AU225" s="2245"/>
      <c r="AV225" s="2246"/>
      <c r="AW225" s="2247"/>
      <c r="AX225" s="2248"/>
      <c r="AY225" s="2249"/>
      <c r="AZ225" s="2249"/>
      <c r="BA225" s="2238"/>
      <c r="BB225" s="2264"/>
      <c r="BC225" s="918"/>
      <c r="BD225" s="2252" t="s">
        <v>15</v>
      </c>
      <c r="BE225" s="2237"/>
      <c r="BF225" s="2237"/>
      <c r="BG225" s="2237"/>
      <c r="BH225" s="2237"/>
      <c r="BI225" s="2240"/>
      <c r="BJ225" s="2241"/>
      <c r="BK225" s="2239"/>
      <c r="BL225" s="2242"/>
      <c r="BM225" s="2250"/>
      <c r="BN225" s="2244"/>
      <c r="BO225" s="2244"/>
      <c r="BP225" s="2245"/>
      <c r="BQ225" s="2246"/>
      <c r="BR225" s="2247"/>
      <c r="BS225" s="2248"/>
      <c r="BT225" s="2249"/>
      <c r="BU225" s="2249"/>
      <c r="BV225" s="2238"/>
      <c r="BW225" s="2264"/>
      <c r="BY225" s="3">
        <v>1</v>
      </c>
    </row>
    <row r="226" spans="2:77" ht="21" customHeight="1">
      <c r="B226" s="2265" t="str" cm="1">
        <f t="array" ref="B226">SUMPRODUCT(--(D226:J226&lt;&gt;""), LEN(TRIM(SUBSTITUTE(D226:J226, CHAR(160), "")))) &amp; " Car."</f>
        <v>0 Car.</v>
      </c>
      <c r="C226" s="1376" t="str">
        <f>IF(ISBLANK(D226),"",LARGE(C13:C225,1)+1)</f>
        <v/>
      </c>
      <c r="D226" s="1833"/>
      <c r="E226" s="1810"/>
      <c r="F226" s="1810"/>
      <c r="G226" s="1810"/>
      <c r="H226" s="1810"/>
      <c r="I226" s="1810"/>
      <c r="J226" s="1810"/>
      <c r="K226" s="1810"/>
      <c r="L226" s="1811"/>
      <c r="M226" s="9"/>
      <c r="N226" s="2252" t="s">
        <v>15</v>
      </c>
      <c r="O226" s="2237"/>
      <c r="P226" s="2237"/>
      <c r="Q226" s="2237"/>
      <c r="R226" s="2237"/>
      <c r="S226" s="2240"/>
      <c r="T226" s="2241"/>
      <c r="U226" s="2239"/>
      <c r="V226" s="2242"/>
      <c r="W226" s="2250"/>
      <c r="X226" s="2244"/>
      <c r="Y226" s="2244"/>
      <c r="Z226" s="2245"/>
      <c r="AA226" s="2246"/>
      <c r="AB226" s="2247"/>
      <c r="AC226" s="2248"/>
      <c r="AD226" s="2249"/>
      <c r="AE226" s="2249"/>
      <c r="AF226" s="2238"/>
      <c r="AG226" s="2264"/>
      <c r="AH226" s="918"/>
      <c r="AI226" s="2252" t="s">
        <v>15</v>
      </c>
      <c r="AJ226" s="2237"/>
      <c r="AK226" s="2237"/>
      <c r="AL226" s="2237"/>
      <c r="AM226" s="2237"/>
      <c r="AN226" s="2240"/>
      <c r="AO226" s="2241"/>
      <c r="AP226" s="2239"/>
      <c r="AQ226" s="2242"/>
      <c r="AR226" s="2250"/>
      <c r="AS226" s="2244"/>
      <c r="AT226" s="2244"/>
      <c r="AU226" s="2245"/>
      <c r="AV226" s="2246"/>
      <c r="AW226" s="2247"/>
      <c r="AX226" s="2248"/>
      <c r="AY226" s="2249"/>
      <c r="AZ226" s="2249"/>
      <c r="BA226" s="2238"/>
      <c r="BB226" s="2264"/>
      <c r="BC226" s="918"/>
      <c r="BD226" s="2252" t="s">
        <v>15</v>
      </c>
      <c r="BE226" s="2237"/>
      <c r="BF226" s="2237"/>
      <c r="BG226" s="2237"/>
      <c r="BH226" s="2237"/>
      <c r="BI226" s="2240"/>
      <c r="BJ226" s="2241"/>
      <c r="BK226" s="2239"/>
      <c r="BL226" s="2242"/>
      <c r="BM226" s="2250"/>
      <c r="BN226" s="2244"/>
      <c r="BO226" s="2244"/>
      <c r="BP226" s="2245"/>
      <c r="BQ226" s="2246"/>
      <c r="BR226" s="2247"/>
      <c r="BS226" s="2248"/>
      <c r="BT226" s="2249"/>
      <c r="BU226" s="2249"/>
      <c r="BV226" s="2238"/>
      <c r="BW226" s="2264"/>
      <c r="BY226" s="3">
        <v>1</v>
      </c>
    </row>
    <row r="227" spans="2:77" ht="21" customHeight="1">
      <c r="B227" s="2265" t="str" cm="1">
        <f t="array" ref="B227">SUMPRODUCT(--(D227:J227&lt;&gt;""), LEN(TRIM(SUBSTITUTE(D227:J227, CHAR(160), "")))) &amp; " Car."</f>
        <v>0 Car.</v>
      </c>
      <c r="C227" s="1376" t="str">
        <f>IF(ISBLANK(D227),"",LARGE(C13:C226,1)+1)</f>
        <v/>
      </c>
      <c r="D227" s="1833"/>
      <c r="E227" s="1810"/>
      <c r="F227" s="1810"/>
      <c r="G227" s="1810"/>
      <c r="H227" s="1810"/>
      <c r="I227" s="1810"/>
      <c r="J227" s="1810"/>
      <c r="K227" s="1810"/>
      <c r="L227" s="1811"/>
      <c r="M227" s="9"/>
      <c r="N227" s="2252" t="s">
        <v>15</v>
      </c>
      <c r="O227" s="2237"/>
      <c r="P227" s="2237"/>
      <c r="Q227" s="2237"/>
      <c r="R227" s="2237"/>
      <c r="S227" s="2240"/>
      <c r="T227" s="2241"/>
      <c r="U227" s="2239"/>
      <c r="V227" s="2242"/>
      <c r="W227" s="2250"/>
      <c r="X227" s="2244"/>
      <c r="Y227" s="2244"/>
      <c r="Z227" s="2245"/>
      <c r="AA227" s="2246"/>
      <c r="AB227" s="2247"/>
      <c r="AC227" s="2248"/>
      <c r="AD227" s="2249"/>
      <c r="AE227" s="2249"/>
      <c r="AF227" s="2238"/>
      <c r="AG227" s="2264"/>
      <c r="AH227" s="918"/>
      <c r="AI227" s="2252" t="s">
        <v>15</v>
      </c>
      <c r="AJ227" s="2237"/>
      <c r="AK227" s="2237"/>
      <c r="AL227" s="2237"/>
      <c r="AM227" s="2237"/>
      <c r="AN227" s="2240"/>
      <c r="AO227" s="2241"/>
      <c r="AP227" s="2239"/>
      <c r="AQ227" s="2242"/>
      <c r="AR227" s="2250"/>
      <c r="AS227" s="2244"/>
      <c r="AT227" s="2244"/>
      <c r="AU227" s="2245"/>
      <c r="AV227" s="2246"/>
      <c r="AW227" s="2247"/>
      <c r="AX227" s="2248"/>
      <c r="AY227" s="2249"/>
      <c r="AZ227" s="2249"/>
      <c r="BA227" s="2238"/>
      <c r="BB227" s="2264"/>
      <c r="BC227" s="918"/>
      <c r="BD227" s="2252" t="s">
        <v>15</v>
      </c>
      <c r="BE227" s="2237"/>
      <c r="BF227" s="2237"/>
      <c r="BG227" s="2237"/>
      <c r="BH227" s="2237"/>
      <c r="BI227" s="2240"/>
      <c r="BJ227" s="2241"/>
      <c r="BK227" s="2239"/>
      <c r="BL227" s="2242"/>
      <c r="BM227" s="2250"/>
      <c r="BN227" s="2244"/>
      <c r="BO227" s="2244"/>
      <c r="BP227" s="2245"/>
      <c r="BQ227" s="2246"/>
      <c r="BR227" s="2247"/>
      <c r="BS227" s="2248"/>
      <c r="BT227" s="2249"/>
      <c r="BU227" s="2249"/>
      <c r="BV227" s="2238"/>
      <c r="BW227" s="2264"/>
      <c r="BY227" s="3">
        <v>1</v>
      </c>
    </row>
    <row r="228" spans="2:77" ht="21" customHeight="1">
      <c r="B228" s="2265" t="str" cm="1">
        <f t="array" ref="B228">SUMPRODUCT(--(D228:J228&lt;&gt;""), LEN(TRIM(SUBSTITUTE(D228:J228, CHAR(160), "")))) &amp; " Car."</f>
        <v>0 Car.</v>
      </c>
      <c r="C228" s="1376" t="str">
        <f>IF(ISBLANK(D228),"",LARGE(C13:C227,1)+1)</f>
        <v/>
      </c>
      <c r="D228" s="1833"/>
      <c r="E228" s="1810"/>
      <c r="F228" s="1810"/>
      <c r="G228" s="1810"/>
      <c r="H228" s="1810"/>
      <c r="I228" s="1810"/>
      <c r="J228" s="1810"/>
      <c r="K228" s="1810"/>
      <c r="L228" s="1811"/>
      <c r="M228" s="9"/>
      <c r="N228" s="2252" t="s">
        <v>15</v>
      </c>
      <c r="O228" s="2237"/>
      <c r="P228" s="2237"/>
      <c r="Q228" s="2237"/>
      <c r="R228" s="2237"/>
      <c r="S228" s="2240"/>
      <c r="T228" s="2241"/>
      <c r="U228" s="2239"/>
      <c r="V228" s="2242"/>
      <c r="W228" s="2250"/>
      <c r="X228" s="2244"/>
      <c r="Y228" s="2244"/>
      <c r="Z228" s="2245"/>
      <c r="AA228" s="2246"/>
      <c r="AB228" s="2247"/>
      <c r="AC228" s="2248"/>
      <c r="AD228" s="2249"/>
      <c r="AE228" s="2249"/>
      <c r="AF228" s="2238"/>
      <c r="AG228" s="2264"/>
      <c r="AH228" s="920"/>
      <c r="AI228" s="2252" t="s">
        <v>15</v>
      </c>
      <c r="AJ228" s="2237"/>
      <c r="AK228" s="2237"/>
      <c r="AL228" s="2237"/>
      <c r="AM228" s="2237"/>
      <c r="AN228" s="2240"/>
      <c r="AO228" s="2241"/>
      <c r="AP228" s="2239"/>
      <c r="AQ228" s="2242"/>
      <c r="AR228" s="2250"/>
      <c r="AS228" s="2244"/>
      <c r="AT228" s="2244"/>
      <c r="AU228" s="2245"/>
      <c r="AV228" s="2246"/>
      <c r="AW228" s="2247"/>
      <c r="AX228" s="2248"/>
      <c r="AY228" s="2249"/>
      <c r="AZ228" s="2249"/>
      <c r="BA228" s="2238"/>
      <c r="BB228" s="2264"/>
      <c r="BC228" s="918"/>
      <c r="BD228" s="2252" t="s">
        <v>15</v>
      </c>
      <c r="BE228" s="2237"/>
      <c r="BF228" s="2237"/>
      <c r="BG228" s="2237"/>
      <c r="BH228" s="2237"/>
      <c r="BI228" s="2240"/>
      <c r="BJ228" s="2241"/>
      <c r="BK228" s="2239"/>
      <c r="BL228" s="2242"/>
      <c r="BM228" s="2250"/>
      <c r="BN228" s="2244"/>
      <c r="BO228" s="2244"/>
      <c r="BP228" s="2245"/>
      <c r="BQ228" s="2246"/>
      <c r="BR228" s="2247"/>
      <c r="BS228" s="2248"/>
      <c r="BT228" s="2249"/>
      <c r="BU228" s="2249"/>
      <c r="BV228" s="2238"/>
      <c r="BW228" s="2264"/>
      <c r="BY228" s="3">
        <v>1</v>
      </c>
    </row>
    <row r="229" spans="2:77" ht="21" customHeight="1">
      <c r="B229" s="2265" t="str" cm="1">
        <f t="array" ref="B229">SUMPRODUCT(--(D229:J229&lt;&gt;""), LEN(TRIM(SUBSTITUTE(D229:J229, CHAR(160), "")))) &amp; " Car."</f>
        <v>0 Car.</v>
      </c>
      <c r="C229" s="1376" t="str">
        <f>IF(ISBLANK(D229),"",LARGE(C13:C228,1)+1)</f>
        <v/>
      </c>
      <c r="D229" s="1833"/>
      <c r="E229" s="1810"/>
      <c r="F229" s="1810"/>
      <c r="G229" s="1810"/>
      <c r="H229" s="1810"/>
      <c r="I229" s="1810"/>
      <c r="J229" s="1810"/>
      <c r="K229" s="1810"/>
      <c r="L229" s="1811"/>
      <c r="M229" s="9"/>
      <c r="N229" s="2252" t="s">
        <v>15</v>
      </c>
      <c r="O229" s="2237"/>
      <c r="P229" s="2237"/>
      <c r="Q229" s="2237"/>
      <c r="R229" s="2237"/>
      <c r="S229" s="2240"/>
      <c r="T229" s="2241"/>
      <c r="U229" s="2239"/>
      <c r="V229" s="2242"/>
      <c r="W229" s="2250"/>
      <c r="X229" s="2244"/>
      <c r="Y229" s="2244"/>
      <c r="Z229" s="2245"/>
      <c r="AA229" s="2246"/>
      <c r="AB229" s="2247"/>
      <c r="AC229" s="2248"/>
      <c r="AD229" s="2249"/>
      <c r="AE229" s="2249"/>
      <c r="AF229" s="2238"/>
      <c r="AG229" s="2264"/>
      <c r="AH229" s="920"/>
      <c r="AI229" s="2252" t="s">
        <v>15</v>
      </c>
      <c r="AJ229" s="2237"/>
      <c r="AK229" s="2237"/>
      <c r="AL229" s="2237"/>
      <c r="AM229" s="2237"/>
      <c r="AN229" s="2240"/>
      <c r="AO229" s="2241"/>
      <c r="AP229" s="2239"/>
      <c r="AQ229" s="2242"/>
      <c r="AR229" s="2250"/>
      <c r="AS229" s="2244"/>
      <c r="AT229" s="2244"/>
      <c r="AU229" s="2245"/>
      <c r="AV229" s="2246"/>
      <c r="AW229" s="2247"/>
      <c r="AX229" s="2248"/>
      <c r="AY229" s="2249"/>
      <c r="AZ229" s="2249"/>
      <c r="BA229" s="2238"/>
      <c r="BB229" s="2264"/>
      <c r="BC229" s="918"/>
      <c r="BD229" s="2252" t="s">
        <v>15</v>
      </c>
      <c r="BE229" s="2237"/>
      <c r="BF229" s="2237"/>
      <c r="BG229" s="2237"/>
      <c r="BH229" s="2237"/>
      <c r="BI229" s="2240"/>
      <c r="BJ229" s="2241"/>
      <c r="BK229" s="2239"/>
      <c r="BL229" s="2242"/>
      <c r="BM229" s="2250"/>
      <c r="BN229" s="2244"/>
      <c r="BO229" s="2244"/>
      <c r="BP229" s="2245"/>
      <c r="BQ229" s="2246"/>
      <c r="BR229" s="2247"/>
      <c r="BS229" s="2248"/>
      <c r="BT229" s="2249"/>
      <c r="BU229" s="2249"/>
      <c r="BV229" s="2238"/>
      <c r="BW229" s="2264"/>
      <c r="BY229" s="3">
        <v>1</v>
      </c>
    </row>
    <row r="230" spans="2:77" ht="21" customHeight="1">
      <c r="B230" s="2265" t="str" cm="1">
        <f t="array" ref="B230">SUMPRODUCT(--(D230:J230&lt;&gt;""), LEN(TRIM(SUBSTITUTE(D230:J230, CHAR(160), "")))) &amp; " Car."</f>
        <v>0 Car.</v>
      </c>
      <c r="C230" s="1376" t="str">
        <f>IF(ISBLANK(D230),"",LARGE(C13:C229,1)+1)</f>
        <v/>
      </c>
      <c r="D230" s="1833"/>
      <c r="E230" s="1810"/>
      <c r="F230" s="1810"/>
      <c r="G230" s="1810"/>
      <c r="H230" s="1810"/>
      <c r="I230" s="1810"/>
      <c r="J230" s="1810"/>
      <c r="K230" s="1810"/>
      <c r="L230" s="1811"/>
      <c r="M230" s="9"/>
      <c r="N230" s="2252" t="s">
        <v>15</v>
      </c>
      <c r="O230" s="2237"/>
      <c r="P230" s="2237"/>
      <c r="Q230" s="2237"/>
      <c r="R230" s="2237"/>
      <c r="S230" s="2240"/>
      <c r="T230" s="2241"/>
      <c r="U230" s="2239"/>
      <c r="V230" s="2242"/>
      <c r="W230" s="2250"/>
      <c r="X230" s="2244"/>
      <c r="Y230" s="2244"/>
      <c r="Z230" s="2245"/>
      <c r="AA230" s="2246"/>
      <c r="AB230" s="2247"/>
      <c r="AC230" s="2248"/>
      <c r="AD230" s="2249"/>
      <c r="AE230" s="2249"/>
      <c r="AF230" s="2238"/>
      <c r="AG230" s="2264"/>
      <c r="AI230" s="2252" t="s">
        <v>15</v>
      </c>
      <c r="AJ230" s="2237"/>
      <c r="AK230" s="2237"/>
      <c r="AL230" s="2237"/>
      <c r="AM230" s="2237"/>
      <c r="AN230" s="2240"/>
      <c r="AO230" s="2241"/>
      <c r="AP230" s="2239"/>
      <c r="AQ230" s="2242"/>
      <c r="AR230" s="2250"/>
      <c r="AS230" s="2244"/>
      <c r="AT230" s="2244"/>
      <c r="AU230" s="2245"/>
      <c r="AV230" s="2246"/>
      <c r="AW230" s="2247"/>
      <c r="AX230" s="2248"/>
      <c r="AY230" s="2249"/>
      <c r="AZ230" s="2249"/>
      <c r="BA230" s="2238"/>
      <c r="BB230" s="2264"/>
      <c r="BD230" s="2252" t="s">
        <v>15</v>
      </c>
      <c r="BE230" s="2237"/>
      <c r="BF230" s="2237"/>
      <c r="BG230" s="2237"/>
      <c r="BH230" s="2237"/>
      <c r="BI230" s="2240"/>
      <c r="BJ230" s="2241"/>
      <c r="BK230" s="2239"/>
      <c r="BL230" s="2242"/>
      <c r="BM230" s="2250"/>
      <c r="BN230" s="2244"/>
      <c r="BO230" s="2244"/>
      <c r="BP230" s="2245"/>
      <c r="BQ230" s="2246"/>
      <c r="BR230" s="2247"/>
      <c r="BS230" s="2248"/>
      <c r="BT230" s="2249"/>
      <c r="BU230" s="2249"/>
      <c r="BV230" s="2238"/>
      <c r="BW230" s="2264"/>
      <c r="BY230" s="3">
        <v>1</v>
      </c>
    </row>
    <row r="231" spans="2:77" ht="21" customHeight="1">
      <c r="B231" s="2265" t="str" cm="1">
        <f t="array" ref="B231">SUMPRODUCT(--(D231:J231&lt;&gt;""), LEN(TRIM(SUBSTITUTE(D231:J231, CHAR(160), "")))) &amp; " Car."</f>
        <v>0 Car.</v>
      </c>
      <c r="C231" s="1376" t="str">
        <f>IF(ISBLANK(D231),"",LARGE(C13:C230,1)+1)</f>
        <v/>
      </c>
      <c r="D231" s="1833"/>
      <c r="E231" s="1810"/>
      <c r="F231" s="1810"/>
      <c r="G231" s="1810"/>
      <c r="H231" s="1810"/>
      <c r="I231" s="1810"/>
      <c r="J231" s="1810"/>
      <c r="K231" s="1810"/>
      <c r="L231" s="1811"/>
      <c r="M231" s="9"/>
      <c r="N231" s="2252" t="s">
        <v>15</v>
      </c>
      <c r="O231" s="2237"/>
      <c r="P231" s="2237"/>
      <c r="Q231" s="2237"/>
      <c r="R231" s="2237"/>
      <c r="S231" s="2240"/>
      <c r="T231" s="2241"/>
      <c r="U231" s="2239"/>
      <c r="V231" s="2242"/>
      <c r="W231" s="2250"/>
      <c r="X231" s="2244"/>
      <c r="Y231" s="2244"/>
      <c r="Z231" s="2245"/>
      <c r="AA231" s="2246"/>
      <c r="AB231" s="2247"/>
      <c r="AC231" s="2248"/>
      <c r="AD231" s="2249"/>
      <c r="AE231" s="2249"/>
      <c r="AF231" s="2238"/>
      <c r="AG231" s="2264"/>
      <c r="AI231" s="2252" t="s">
        <v>15</v>
      </c>
      <c r="AJ231" s="2237"/>
      <c r="AK231" s="2237"/>
      <c r="AL231" s="2237"/>
      <c r="AM231" s="2237"/>
      <c r="AN231" s="2240"/>
      <c r="AO231" s="2241"/>
      <c r="AP231" s="2239"/>
      <c r="AQ231" s="2242"/>
      <c r="AR231" s="2250"/>
      <c r="AS231" s="2244"/>
      <c r="AT231" s="2244"/>
      <c r="AU231" s="2245"/>
      <c r="AV231" s="2246"/>
      <c r="AW231" s="2247"/>
      <c r="AX231" s="2248"/>
      <c r="AY231" s="2249"/>
      <c r="AZ231" s="2249"/>
      <c r="BA231" s="2238"/>
      <c r="BB231" s="2264"/>
      <c r="BD231" s="2252" t="s">
        <v>15</v>
      </c>
      <c r="BE231" s="2237"/>
      <c r="BF231" s="2237"/>
      <c r="BG231" s="2237"/>
      <c r="BH231" s="2237"/>
      <c r="BI231" s="2240"/>
      <c r="BJ231" s="2241"/>
      <c r="BK231" s="2239"/>
      <c r="BL231" s="2242"/>
      <c r="BM231" s="2250"/>
      <c r="BN231" s="2244"/>
      <c r="BO231" s="2244"/>
      <c r="BP231" s="2245"/>
      <c r="BQ231" s="2246"/>
      <c r="BR231" s="2247"/>
      <c r="BS231" s="2248"/>
      <c r="BT231" s="2249"/>
      <c r="BU231" s="2249"/>
      <c r="BV231" s="2238"/>
      <c r="BW231" s="2264"/>
      <c r="BY231" s="3">
        <v>1</v>
      </c>
    </row>
    <row r="232" spans="2:77" ht="21" customHeight="1">
      <c r="B232" s="2265" t="str" cm="1">
        <f t="array" ref="B232">SUMPRODUCT(--(D232:J232&lt;&gt;""), LEN(TRIM(SUBSTITUTE(D232:J232, CHAR(160), "")))) &amp; " Car."</f>
        <v>0 Car.</v>
      </c>
      <c r="C232" s="1376" t="str">
        <f>IF(ISBLANK(D232),"",LARGE(C13:C231,1)+1)</f>
        <v/>
      </c>
      <c r="D232" s="1833"/>
      <c r="E232" s="1810"/>
      <c r="F232" s="1810"/>
      <c r="G232" s="1810"/>
      <c r="H232" s="1810"/>
      <c r="I232" s="1810"/>
      <c r="J232" s="1810"/>
      <c r="K232" s="1810"/>
      <c r="L232" s="1811"/>
      <c r="M232" s="9"/>
      <c r="N232" s="2252" t="s">
        <v>15</v>
      </c>
      <c r="O232" s="2237"/>
      <c r="P232" s="2237"/>
      <c r="Q232" s="2237"/>
      <c r="R232" s="2237"/>
      <c r="S232" s="2240"/>
      <c r="T232" s="2241"/>
      <c r="U232" s="2239"/>
      <c r="V232" s="2242"/>
      <c r="W232" s="2250"/>
      <c r="X232" s="2244"/>
      <c r="Y232" s="2244"/>
      <c r="Z232" s="2245"/>
      <c r="AA232" s="2246"/>
      <c r="AB232" s="2247"/>
      <c r="AC232" s="2248"/>
      <c r="AD232" s="2249"/>
      <c r="AE232" s="2249"/>
      <c r="AF232" s="2238"/>
      <c r="AG232" s="2264"/>
      <c r="AI232" s="2252" t="s">
        <v>15</v>
      </c>
      <c r="AJ232" s="2237"/>
      <c r="AK232" s="2237"/>
      <c r="AL232" s="2237"/>
      <c r="AM232" s="2237"/>
      <c r="AN232" s="2240"/>
      <c r="AO232" s="2241"/>
      <c r="AP232" s="2239"/>
      <c r="AQ232" s="2242"/>
      <c r="AR232" s="2250"/>
      <c r="AS232" s="2244"/>
      <c r="AT232" s="2244"/>
      <c r="AU232" s="2245"/>
      <c r="AV232" s="2246"/>
      <c r="AW232" s="2247"/>
      <c r="AX232" s="2248"/>
      <c r="AY232" s="2249"/>
      <c r="AZ232" s="2249"/>
      <c r="BA232" s="2238"/>
      <c r="BB232" s="2264"/>
      <c r="BD232" s="2252" t="s">
        <v>15</v>
      </c>
      <c r="BE232" s="2237"/>
      <c r="BF232" s="2237"/>
      <c r="BG232" s="2237"/>
      <c r="BH232" s="2237"/>
      <c r="BI232" s="2240"/>
      <c r="BJ232" s="2241"/>
      <c r="BK232" s="2239"/>
      <c r="BL232" s="2242"/>
      <c r="BM232" s="2250"/>
      <c r="BN232" s="2244"/>
      <c r="BO232" s="2244"/>
      <c r="BP232" s="2245"/>
      <c r="BQ232" s="2246"/>
      <c r="BR232" s="2247"/>
      <c r="BS232" s="2248"/>
      <c r="BT232" s="2249"/>
      <c r="BU232" s="2249"/>
      <c r="BV232" s="2238"/>
      <c r="BW232" s="2264"/>
      <c r="BY232" s="3">
        <v>1</v>
      </c>
    </row>
    <row r="233" spans="2:77" ht="21" customHeight="1">
      <c r="B233" s="2265" t="str" cm="1">
        <f t="array" ref="B233">SUMPRODUCT(--(D233:J233&lt;&gt;""), LEN(TRIM(SUBSTITUTE(D233:J233, CHAR(160), "")))) &amp; " Car."</f>
        <v>0 Car.</v>
      </c>
      <c r="C233" s="1376" t="str">
        <f>IF(ISBLANK(D233),"",LARGE(C13:C232,1)+1)</f>
        <v/>
      </c>
      <c r="D233" s="1833"/>
      <c r="E233" s="1810"/>
      <c r="F233" s="1810"/>
      <c r="G233" s="1810"/>
      <c r="H233" s="1810"/>
      <c r="I233" s="1810"/>
      <c r="J233" s="1810"/>
      <c r="K233" s="1810"/>
      <c r="L233" s="1811"/>
      <c r="M233" s="9"/>
      <c r="N233" s="2252" t="s">
        <v>15</v>
      </c>
      <c r="O233" s="2237"/>
      <c r="P233" s="2237"/>
      <c r="Q233" s="2237"/>
      <c r="R233" s="2237"/>
      <c r="S233" s="2240"/>
      <c r="T233" s="2241"/>
      <c r="U233" s="2239"/>
      <c r="V233" s="2242"/>
      <c r="W233" s="2250"/>
      <c r="X233" s="2244"/>
      <c r="Y233" s="2244"/>
      <c r="Z233" s="2245"/>
      <c r="AA233" s="2246"/>
      <c r="AB233" s="2247"/>
      <c r="AC233" s="2248"/>
      <c r="AD233" s="2249"/>
      <c r="AE233" s="2249"/>
      <c r="AF233" s="2238"/>
      <c r="AG233" s="2264"/>
      <c r="AI233" s="2252" t="s">
        <v>15</v>
      </c>
      <c r="AJ233" s="2237"/>
      <c r="AK233" s="2237"/>
      <c r="AL233" s="2237"/>
      <c r="AM233" s="2237"/>
      <c r="AN233" s="2240"/>
      <c r="AO233" s="2241"/>
      <c r="AP233" s="2239"/>
      <c r="AQ233" s="2242"/>
      <c r="AR233" s="2250"/>
      <c r="AS233" s="2244"/>
      <c r="AT233" s="2244"/>
      <c r="AU233" s="2245"/>
      <c r="AV233" s="2246"/>
      <c r="AW233" s="2247"/>
      <c r="AX233" s="2248"/>
      <c r="AY233" s="2249"/>
      <c r="AZ233" s="2249"/>
      <c r="BA233" s="2238"/>
      <c r="BB233" s="2264"/>
      <c r="BD233" s="2252" t="s">
        <v>15</v>
      </c>
      <c r="BE233" s="2237"/>
      <c r="BF233" s="2237"/>
      <c r="BG233" s="2237"/>
      <c r="BH233" s="2237"/>
      <c r="BI233" s="2240"/>
      <c r="BJ233" s="2241"/>
      <c r="BK233" s="2239"/>
      <c r="BL233" s="2242"/>
      <c r="BM233" s="2250"/>
      <c r="BN233" s="2244"/>
      <c r="BO233" s="2244"/>
      <c r="BP233" s="2245"/>
      <c r="BQ233" s="2246"/>
      <c r="BR233" s="2247"/>
      <c r="BS233" s="2248"/>
      <c r="BT233" s="2249"/>
      <c r="BU233" s="2249"/>
      <c r="BV233" s="2238"/>
      <c r="BW233" s="2264"/>
      <c r="BY233" s="3">
        <v>1</v>
      </c>
    </row>
    <row r="234" spans="2:77" ht="21" customHeight="1">
      <c r="B234" s="2265" t="str" cm="1">
        <f t="array" ref="B234">SUMPRODUCT(--(D234:J234&lt;&gt;""), LEN(TRIM(SUBSTITUTE(D234:J234, CHAR(160), "")))) &amp; " Car."</f>
        <v>0 Car.</v>
      </c>
      <c r="C234" s="1376" t="str">
        <f>IF(ISBLANK(D234),"",LARGE(C13:C233,1)+1)</f>
        <v/>
      </c>
      <c r="D234" s="1833"/>
      <c r="E234" s="1810"/>
      <c r="F234" s="1810"/>
      <c r="G234" s="1810"/>
      <c r="H234" s="1810"/>
      <c r="I234" s="1810"/>
      <c r="J234" s="1810"/>
      <c r="K234" s="1810"/>
      <c r="L234" s="1811"/>
      <c r="M234" s="9"/>
      <c r="N234" s="2252" t="s">
        <v>15</v>
      </c>
      <c r="O234" s="2237"/>
      <c r="P234" s="2237"/>
      <c r="Q234" s="2237"/>
      <c r="R234" s="2237"/>
      <c r="S234" s="2240"/>
      <c r="T234" s="2241"/>
      <c r="U234" s="2239"/>
      <c r="V234" s="2242"/>
      <c r="W234" s="2250"/>
      <c r="X234" s="2244"/>
      <c r="Y234" s="2244"/>
      <c r="Z234" s="2245"/>
      <c r="AA234" s="2246"/>
      <c r="AB234" s="2247"/>
      <c r="AC234" s="2248"/>
      <c r="AD234" s="2249"/>
      <c r="AE234" s="2249"/>
      <c r="AF234" s="2238"/>
      <c r="AG234" s="2264"/>
      <c r="AI234" s="2252" t="s">
        <v>15</v>
      </c>
      <c r="AJ234" s="2237"/>
      <c r="AK234" s="2237"/>
      <c r="AL234" s="2237"/>
      <c r="AM234" s="2237"/>
      <c r="AN234" s="2240"/>
      <c r="AO234" s="2241"/>
      <c r="AP234" s="2239"/>
      <c r="AQ234" s="2242"/>
      <c r="AR234" s="2250"/>
      <c r="AS234" s="2244"/>
      <c r="AT234" s="2244"/>
      <c r="AU234" s="2245"/>
      <c r="AV234" s="2246"/>
      <c r="AW234" s="2247"/>
      <c r="AX234" s="2248"/>
      <c r="AY234" s="2249"/>
      <c r="AZ234" s="2249"/>
      <c r="BA234" s="2238"/>
      <c r="BB234" s="2264"/>
      <c r="BD234" s="2252" t="s">
        <v>15</v>
      </c>
      <c r="BE234" s="2237"/>
      <c r="BF234" s="2237"/>
      <c r="BG234" s="2237"/>
      <c r="BH234" s="2237"/>
      <c r="BI234" s="2240"/>
      <c r="BJ234" s="2241"/>
      <c r="BK234" s="2239"/>
      <c r="BL234" s="2242"/>
      <c r="BM234" s="2250"/>
      <c r="BN234" s="2244"/>
      <c r="BO234" s="2244"/>
      <c r="BP234" s="2245"/>
      <c r="BQ234" s="2246"/>
      <c r="BR234" s="2247"/>
      <c r="BS234" s="2248"/>
      <c r="BT234" s="2249"/>
      <c r="BU234" s="2249"/>
      <c r="BV234" s="2238"/>
      <c r="BW234" s="2264"/>
      <c r="BY234" s="3">
        <v>1</v>
      </c>
    </row>
    <row r="235" spans="2:77" ht="21" customHeight="1">
      <c r="B235" s="2265" t="str" cm="1">
        <f t="array" ref="B235">SUMPRODUCT(--(D235:J235&lt;&gt;""), LEN(TRIM(SUBSTITUTE(D235:J235, CHAR(160), "")))) &amp; " Car."</f>
        <v>0 Car.</v>
      </c>
      <c r="C235" s="1376" t="str">
        <f>IF(ISBLANK(D235),"",LARGE(C13:C234,1)+1)</f>
        <v/>
      </c>
      <c r="D235" s="1833"/>
      <c r="E235" s="1810"/>
      <c r="F235" s="1810"/>
      <c r="G235" s="1810"/>
      <c r="H235" s="1810"/>
      <c r="I235" s="1810"/>
      <c r="J235" s="1810"/>
      <c r="K235" s="1810"/>
      <c r="L235" s="1811"/>
      <c r="M235" s="9"/>
      <c r="N235" s="2252" t="s">
        <v>15</v>
      </c>
      <c r="O235" s="2237"/>
      <c r="P235" s="2237"/>
      <c r="Q235" s="2237"/>
      <c r="R235" s="2237"/>
      <c r="S235" s="2240"/>
      <c r="T235" s="2241"/>
      <c r="U235" s="2239"/>
      <c r="V235" s="2242"/>
      <c r="W235" s="2250"/>
      <c r="X235" s="2244"/>
      <c r="Y235" s="2244"/>
      <c r="Z235" s="2245"/>
      <c r="AA235" s="2246"/>
      <c r="AB235" s="2247"/>
      <c r="AC235" s="2248"/>
      <c r="AD235" s="2249"/>
      <c r="AE235" s="2249"/>
      <c r="AF235" s="2238"/>
      <c r="AG235" s="2264"/>
      <c r="AI235" s="2252" t="s">
        <v>15</v>
      </c>
      <c r="AJ235" s="2237"/>
      <c r="AK235" s="2237"/>
      <c r="AL235" s="2237"/>
      <c r="AM235" s="2237"/>
      <c r="AN235" s="2240"/>
      <c r="AO235" s="2241"/>
      <c r="AP235" s="2239"/>
      <c r="AQ235" s="2242"/>
      <c r="AR235" s="2250"/>
      <c r="AS235" s="2244"/>
      <c r="AT235" s="2244"/>
      <c r="AU235" s="2245"/>
      <c r="AV235" s="2246"/>
      <c r="AW235" s="2247"/>
      <c r="AX235" s="2248"/>
      <c r="AY235" s="2249"/>
      <c r="AZ235" s="2249"/>
      <c r="BA235" s="2238"/>
      <c r="BB235" s="2264"/>
      <c r="BD235" s="2252" t="s">
        <v>15</v>
      </c>
      <c r="BE235" s="2237"/>
      <c r="BF235" s="2237"/>
      <c r="BG235" s="2237"/>
      <c r="BH235" s="2237"/>
      <c r="BI235" s="2240"/>
      <c r="BJ235" s="2241"/>
      <c r="BK235" s="2239"/>
      <c r="BL235" s="2242"/>
      <c r="BM235" s="2250"/>
      <c r="BN235" s="2244"/>
      <c r="BO235" s="2244"/>
      <c r="BP235" s="2245"/>
      <c r="BQ235" s="2246"/>
      <c r="BR235" s="2247"/>
      <c r="BS235" s="2248"/>
      <c r="BT235" s="2249"/>
      <c r="BU235" s="2249"/>
      <c r="BV235" s="2238"/>
      <c r="BW235" s="2264"/>
      <c r="BY235" s="3">
        <v>1</v>
      </c>
    </row>
    <row r="236" spans="2:77" ht="21" customHeight="1">
      <c r="B236" s="2265" t="str" cm="1">
        <f t="array" ref="B236">SUMPRODUCT(--(D236:J236&lt;&gt;""), LEN(TRIM(SUBSTITUTE(D236:J236, CHAR(160), "")))) &amp; " Car."</f>
        <v>0 Car.</v>
      </c>
      <c r="C236" s="1376" t="str">
        <f>IF(ISBLANK(D236),"",LARGE(C13:C235,1)+1)</f>
        <v/>
      </c>
      <c r="D236" s="1833"/>
      <c r="E236" s="1810"/>
      <c r="F236" s="1810"/>
      <c r="G236" s="1810"/>
      <c r="H236" s="1810"/>
      <c r="I236" s="1810"/>
      <c r="J236" s="1810"/>
      <c r="K236" s="1810"/>
      <c r="L236" s="1811"/>
      <c r="M236" s="9"/>
      <c r="N236" s="2252" t="s">
        <v>15</v>
      </c>
      <c r="O236" s="2237"/>
      <c r="P236" s="2237"/>
      <c r="Q236" s="2237"/>
      <c r="R236" s="2237"/>
      <c r="S236" s="2240"/>
      <c r="T236" s="2241"/>
      <c r="U236" s="2239"/>
      <c r="V236" s="2242"/>
      <c r="W236" s="2250"/>
      <c r="X236" s="2244"/>
      <c r="Y236" s="2244"/>
      <c r="Z236" s="2245"/>
      <c r="AA236" s="2246"/>
      <c r="AB236" s="2247"/>
      <c r="AC236" s="2248"/>
      <c r="AD236" s="2249"/>
      <c r="AE236" s="2249"/>
      <c r="AF236" s="2238"/>
      <c r="AG236" s="2264"/>
      <c r="AI236" s="2252" t="s">
        <v>15</v>
      </c>
      <c r="AJ236" s="2237"/>
      <c r="AK236" s="2237"/>
      <c r="AL236" s="2237"/>
      <c r="AM236" s="2237"/>
      <c r="AN236" s="2240"/>
      <c r="AO236" s="2241"/>
      <c r="AP236" s="2239"/>
      <c r="AQ236" s="2242"/>
      <c r="AR236" s="2250"/>
      <c r="AS236" s="2244"/>
      <c r="AT236" s="2244"/>
      <c r="AU236" s="2245"/>
      <c r="AV236" s="2246"/>
      <c r="AW236" s="2247"/>
      <c r="AX236" s="2248"/>
      <c r="AY236" s="2249"/>
      <c r="AZ236" s="2249"/>
      <c r="BA236" s="2238"/>
      <c r="BB236" s="2264"/>
      <c r="BD236" s="2252" t="s">
        <v>15</v>
      </c>
      <c r="BE236" s="2237"/>
      <c r="BF236" s="2237"/>
      <c r="BG236" s="2237"/>
      <c r="BH236" s="2237"/>
      <c r="BI236" s="2240"/>
      <c r="BJ236" s="2241"/>
      <c r="BK236" s="2239"/>
      <c r="BL236" s="2242"/>
      <c r="BM236" s="2250"/>
      <c r="BN236" s="2244"/>
      <c r="BO236" s="2244"/>
      <c r="BP236" s="2245"/>
      <c r="BQ236" s="2246"/>
      <c r="BR236" s="2247"/>
      <c r="BS236" s="2248"/>
      <c r="BT236" s="2249"/>
      <c r="BU236" s="2249"/>
      <c r="BV236" s="2238"/>
      <c r="BW236" s="2264"/>
      <c r="BY236" s="3">
        <v>1</v>
      </c>
    </row>
    <row r="237" spans="2:77" ht="21" customHeight="1">
      <c r="B237" s="2265" t="str" cm="1">
        <f t="array" ref="B237">SUMPRODUCT(--(D237:J237&lt;&gt;""), LEN(TRIM(SUBSTITUTE(D237:J237, CHAR(160), "")))) &amp; " Car."</f>
        <v>0 Car.</v>
      </c>
      <c r="C237" s="1376" t="str">
        <f>IF(ISBLANK(D237),"",LARGE(C13:C236,1)+1)</f>
        <v/>
      </c>
      <c r="D237" s="1833"/>
      <c r="E237" s="1810"/>
      <c r="F237" s="1810"/>
      <c r="G237" s="1810"/>
      <c r="H237" s="1810"/>
      <c r="I237" s="1810"/>
      <c r="J237" s="1810"/>
      <c r="K237" s="1810"/>
      <c r="L237" s="1811"/>
      <c r="M237" s="9"/>
      <c r="N237" s="2252" t="s">
        <v>15</v>
      </c>
      <c r="O237" s="2237"/>
      <c r="P237" s="2237"/>
      <c r="Q237" s="2237"/>
      <c r="R237" s="2237"/>
      <c r="S237" s="2240"/>
      <c r="T237" s="2241"/>
      <c r="U237" s="2239"/>
      <c r="V237" s="2242"/>
      <c r="W237" s="2250"/>
      <c r="X237" s="2244"/>
      <c r="Y237" s="2244"/>
      <c r="Z237" s="2245"/>
      <c r="AA237" s="2246"/>
      <c r="AB237" s="2247"/>
      <c r="AC237" s="2248"/>
      <c r="AD237" s="2249"/>
      <c r="AE237" s="2249"/>
      <c r="AF237" s="2238"/>
      <c r="AG237" s="2264"/>
      <c r="AI237" s="2252" t="s">
        <v>15</v>
      </c>
      <c r="AJ237" s="2237"/>
      <c r="AK237" s="2237"/>
      <c r="AL237" s="2237"/>
      <c r="AM237" s="2237"/>
      <c r="AN237" s="2240"/>
      <c r="AO237" s="2241"/>
      <c r="AP237" s="2239"/>
      <c r="AQ237" s="2242"/>
      <c r="AR237" s="2250"/>
      <c r="AS237" s="2244"/>
      <c r="AT237" s="2244"/>
      <c r="AU237" s="2245"/>
      <c r="AV237" s="2246"/>
      <c r="AW237" s="2247"/>
      <c r="AX237" s="2248"/>
      <c r="AY237" s="2249"/>
      <c r="AZ237" s="2249"/>
      <c r="BA237" s="2238"/>
      <c r="BB237" s="2264"/>
      <c r="BD237" s="2252" t="s">
        <v>15</v>
      </c>
      <c r="BE237" s="2237"/>
      <c r="BF237" s="2237"/>
      <c r="BG237" s="2237"/>
      <c r="BH237" s="2237"/>
      <c r="BI237" s="2240"/>
      <c r="BJ237" s="2241"/>
      <c r="BK237" s="2239"/>
      <c r="BL237" s="2242"/>
      <c r="BM237" s="2250"/>
      <c r="BN237" s="2244"/>
      <c r="BO237" s="2244"/>
      <c r="BP237" s="2245"/>
      <c r="BQ237" s="2246"/>
      <c r="BR237" s="2247"/>
      <c r="BS237" s="2248"/>
      <c r="BT237" s="2249"/>
      <c r="BU237" s="2249"/>
      <c r="BV237" s="2238"/>
      <c r="BW237" s="2264"/>
      <c r="BY237" s="3">
        <v>1</v>
      </c>
    </row>
    <row r="238" spans="2:77" ht="21" customHeight="1">
      <c r="B238" s="2265" t="str" cm="1">
        <f t="array" ref="B238">SUMPRODUCT(--(D238:J238&lt;&gt;""), LEN(TRIM(SUBSTITUTE(D238:J238, CHAR(160), "")))) &amp; " Car."</f>
        <v>0 Car.</v>
      </c>
      <c r="C238" s="1376" t="str">
        <f>IF(ISBLANK(D238),"",LARGE(C13:C237,1)+1)</f>
        <v/>
      </c>
      <c r="D238" s="1833"/>
      <c r="E238" s="1810"/>
      <c r="F238" s="1810"/>
      <c r="G238" s="1810"/>
      <c r="H238" s="1810"/>
      <c r="I238" s="1810"/>
      <c r="J238" s="1810"/>
      <c r="K238" s="1810"/>
      <c r="L238" s="1811"/>
      <c r="M238" s="9"/>
      <c r="N238" s="2252" t="s">
        <v>15</v>
      </c>
      <c r="O238" s="2237"/>
      <c r="P238" s="2237"/>
      <c r="Q238" s="2237"/>
      <c r="R238" s="2237"/>
      <c r="S238" s="2240"/>
      <c r="T238" s="2241"/>
      <c r="U238" s="2239"/>
      <c r="V238" s="2242"/>
      <c r="W238" s="2250"/>
      <c r="X238" s="2244"/>
      <c r="Y238" s="2244"/>
      <c r="Z238" s="2245"/>
      <c r="AA238" s="2246"/>
      <c r="AB238" s="2247"/>
      <c r="AC238" s="2248"/>
      <c r="AD238" s="2249"/>
      <c r="AE238" s="2249"/>
      <c r="AF238" s="2238"/>
      <c r="AG238" s="2264"/>
      <c r="AI238" s="2252" t="s">
        <v>15</v>
      </c>
      <c r="AJ238" s="2237"/>
      <c r="AK238" s="2237"/>
      <c r="AL238" s="2237"/>
      <c r="AM238" s="2237"/>
      <c r="AN238" s="2240"/>
      <c r="AO238" s="2241"/>
      <c r="AP238" s="2239"/>
      <c r="AQ238" s="2242"/>
      <c r="AR238" s="2250"/>
      <c r="AS238" s="2244"/>
      <c r="AT238" s="2244"/>
      <c r="AU238" s="2245"/>
      <c r="AV238" s="2246"/>
      <c r="AW238" s="2247"/>
      <c r="AX238" s="2248"/>
      <c r="AY238" s="2249"/>
      <c r="AZ238" s="2249"/>
      <c r="BA238" s="2238"/>
      <c r="BB238" s="2264"/>
      <c r="BD238" s="2252" t="s">
        <v>15</v>
      </c>
      <c r="BE238" s="2237"/>
      <c r="BF238" s="2237"/>
      <c r="BG238" s="2237"/>
      <c r="BH238" s="2237"/>
      <c r="BI238" s="2240"/>
      <c r="BJ238" s="2241"/>
      <c r="BK238" s="2239"/>
      <c r="BL238" s="2242"/>
      <c r="BM238" s="2250"/>
      <c r="BN238" s="2244"/>
      <c r="BO238" s="2244"/>
      <c r="BP238" s="2245"/>
      <c r="BQ238" s="2246"/>
      <c r="BR238" s="2247"/>
      <c r="BS238" s="2248"/>
      <c r="BT238" s="2249"/>
      <c r="BU238" s="2249"/>
      <c r="BV238" s="2238"/>
      <c r="BW238" s="2264"/>
      <c r="BY238" s="3">
        <v>1</v>
      </c>
    </row>
    <row r="239" spans="2:77" ht="21" customHeight="1">
      <c r="B239" s="2265" t="str" cm="1">
        <f t="array" ref="B239">SUMPRODUCT(--(D239:J239&lt;&gt;""), LEN(TRIM(SUBSTITUTE(D239:J239, CHAR(160), "")))) &amp; " Car."</f>
        <v>0 Car.</v>
      </c>
      <c r="C239" s="1376" t="str">
        <f>IF(ISBLANK(D239),"",LARGE(C13:C238,1)+1)</f>
        <v/>
      </c>
      <c r="D239" s="1833"/>
      <c r="E239" s="1810"/>
      <c r="F239" s="1810"/>
      <c r="G239" s="1810"/>
      <c r="H239" s="1810"/>
      <c r="I239" s="1810"/>
      <c r="J239" s="1810"/>
      <c r="K239" s="1810"/>
      <c r="L239" s="1811"/>
      <c r="M239" s="9"/>
      <c r="N239" s="2252" t="s">
        <v>15</v>
      </c>
      <c r="O239" s="2237"/>
      <c r="P239" s="2237"/>
      <c r="Q239" s="2237"/>
      <c r="R239" s="2237"/>
      <c r="S239" s="2240"/>
      <c r="T239" s="2241"/>
      <c r="U239" s="2239"/>
      <c r="V239" s="2242"/>
      <c r="W239" s="2250"/>
      <c r="X239" s="2244"/>
      <c r="Y239" s="2244"/>
      <c r="Z239" s="2245"/>
      <c r="AA239" s="2246"/>
      <c r="AB239" s="2247"/>
      <c r="AC239" s="2248"/>
      <c r="AD239" s="2249"/>
      <c r="AE239" s="2249"/>
      <c r="AF239" s="2238"/>
      <c r="AG239" s="2264"/>
      <c r="AI239" s="2252" t="s">
        <v>15</v>
      </c>
      <c r="AJ239" s="2237"/>
      <c r="AK239" s="2237"/>
      <c r="AL239" s="2237"/>
      <c r="AM239" s="2237"/>
      <c r="AN239" s="2240"/>
      <c r="AO239" s="2241"/>
      <c r="AP239" s="2239"/>
      <c r="AQ239" s="2242"/>
      <c r="AR239" s="2250"/>
      <c r="AS239" s="2244"/>
      <c r="AT239" s="2244"/>
      <c r="AU239" s="2245"/>
      <c r="AV239" s="2246"/>
      <c r="AW239" s="2247"/>
      <c r="AX239" s="2248"/>
      <c r="AY239" s="2249"/>
      <c r="AZ239" s="2249"/>
      <c r="BA239" s="2238"/>
      <c r="BB239" s="2264"/>
      <c r="BD239" s="2252" t="s">
        <v>15</v>
      </c>
      <c r="BE239" s="2237"/>
      <c r="BF239" s="2237"/>
      <c r="BG239" s="2237"/>
      <c r="BH239" s="2237"/>
      <c r="BI239" s="2240"/>
      <c r="BJ239" s="2241"/>
      <c r="BK239" s="2239"/>
      <c r="BL239" s="2242"/>
      <c r="BM239" s="2250"/>
      <c r="BN239" s="2244"/>
      <c r="BO239" s="2244"/>
      <c r="BP239" s="2245"/>
      <c r="BQ239" s="2246"/>
      <c r="BR239" s="2247"/>
      <c r="BS239" s="2248"/>
      <c r="BT239" s="2249"/>
      <c r="BU239" s="2249"/>
      <c r="BV239" s="2238"/>
      <c r="BW239" s="2264"/>
      <c r="BY239" s="3">
        <v>1</v>
      </c>
    </row>
    <row r="240" spans="2:77" ht="21" customHeight="1">
      <c r="B240" s="2265" t="str" cm="1">
        <f t="array" ref="B240">SUMPRODUCT(--(D240:J240&lt;&gt;""), LEN(TRIM(SUBSTITUTE(D240:J240, CHAR(160), "")))) &amp; " Car."</f>
        <v>0 Car.</v>
      </c>
      <c r="C240" s="1376" t="str">
        <f>IF(ISBLANK(D240),"",LARGE(C13:C239,1)+1)</f>
        <v/>
      </c>
      <c r="D240" s="1833"/>
      <c r="E240" s="1810"/>
      <c r="F240" s="1810"/>
      <c r="G240" s="1810"/>
      <c r="H240" s="1810"/>
      <c r="I240" s="1810"/>
      <c r="J240" s="1810"/>
      <c r="K240" s="1810"/>
      <c r="L240" s="1811"/>
      <c r="M240" s="9"/>
      <c r="N240" s="2252" t="s">
        <v>15</v>
      </c>
      <c r="O240" s="2237"/>
      <c r="P240" s="2237"/>
      <c r="Q240" s="2237"/>
      <c r="R240" s="2237"/>
      <c r="S240" s="2240"/>
      <c r="T240" s="2241"/>
      <c r="U240" s="2239"/>
      <c r="V240" s="2242"/>
      <c r="W240" s="2250"/>
      <c r="X240" s="2244"/>
      <c r="Y240" s="2244"/>
      <c r="Z240" s="2245"/>
      <c r="AA240" s="2246"/>
      <c r="AB240" s="2247"/>
      <c r="AC240" s="2248"/>
      <c r="AD240" s="2249"/>
      <c r="AE240" s="2249"/>
      <c r="AF240" s="2238"/>
      <c r="AG240" s="2264"/>
      <c r="AI240" s="2252" t="s">
        <v>15</v>
      </c>
      <c r="AJ240" s="2237"/>
      <c r="AK240" s="2237"/>
      <c r="AL240" s="2237"/>
      <c r="AM240" s="2237"/>
      <c r="AN240" s="2240"/>
      <c r="AO240" s="2241"/>
      <c r="AP240" s="2239"/>
      <c r="AQ240" s="2242"/>
      <c r="AR240" s="2250"/>
      <c r="AS240" s="2244"/>
      <c r="AT240" s="2244"/>
      <c r="AU240" s="2245"/>
      <c r="AV240" s="2246"/>
      <c r="AW240" s="2247"/>
      <c r="AX240" s="2248"/>
      <c r="AY240" s="2249"/>
      <c r="AZ240" s="2249"/>
      <c r="BA240" s="2238"/>
      <c r="BB240" s="2264"/>
      <c r="BD240" s="2252" t="s">
        <v>15</v>
      </c>
      <c r="BE240" s="2237"/>
      <c r="BF240" s="2237"/>
      <c r="BG240" s="2237"/>
      <c r="BH240" s="2237"/>
      <c r="BI240" s="2240"/>
      <c r="BJ240" s="2241"/>
      <c r="BK240" s="2239"/>
      <c r="BL240" s="2242"/>
      <c r="BM240" s="2250"/>
      <c r="BN240" s="2244"/>
      <c r="BO240" s="2244"/>
      <c r="BP240" s="2245"/>
      <c r="BQ240" s="2246"/>
      <c r="BR240" s="2247"/>
      <c r="BS240" s="2248"/>
      <c r="BT240" s="2249"/>
      <c r="BU240" s="2249"/>
      <c r="BV240" s="2238"/>
      <c r="BW240" s="2264"/>
      <c r="BY240" s="3">
        <v>1</v>
      </c>
    </row>
    <row r="241" spans="2:77" ht="21" customHeight="1">
      <c r="B241" s="2265" t="str" cm="1">
        <f t="array" ref="B241">SUMPRODUCT(--(D241:J241&lt;&gt;""), LEN(TRIM(SUBSTITUTE(D241:J241, CHAR(160), "")))) &amp; " Car."</f>
        <v>0 Car.</v>
      </c>
      <c r="C241" s="1376" t="str">
        <f>IF(ISBLANK(D241),"",LARGE(C13:C240,1)+1)</f>
        <v/>
      </c>
      <c r="D241" s="1833"/>
      <c r="E241" s="1810"/>
      <c r="F241" s="1810"/>
      <c r="G241" s="1810"/>
      <c r="H241" s="1810"/>
      <c r="I241" s="1810"/>
      <c r="J241" s="1810"/>
      <c r="K241" s="1810"/>
      <c r="L241" s="1811"/>
      <c r="M241" s="9"/>
      <c r="N241" s="2252" t="s">
        <v>15</v>
      </c>
      <c r="O241" s="2237"/>
      <c r="P241" s="2237"/>
      <c r="Q241" s="2237"/>
      <c r="R241" s="2237"/>
      <c r="S241" s="2240"/>
      <c r="T241" s="2241"/>
      <c r="U241" s="2239"/>
      <c r="V241" s="2242"/>
      <c r="W241" s="2250"/>
      <c r="X241" s="2244"/>
      <c r="Y241" s="2244"/>
      <c r="Z241" s="2245"/>
      <c r="AA241" s="2246"/>
      <c r="AB241" s="2247"/>
      <c r="AC241" s="2248"/>
      <c r="AD241" s="2249"/>
      <c r="AE241" s="2249"/>
      <c r="AF241" s="2238"/>
      <c r="AG241" s="2264"/>
      <c r="AI241" s="2252" t="s">
        <v>15</v>
      </c>
      <c r="AJ241" s="2237"/>
      <c r="AK241" s="2237"/>
      <c r="AL241" s="2237"/>
      <c r="AM241" s="2237"/>
      <c r="AN241" s="2240"/>
      <c r="AO241" s="2241"/>
      <c r="AP241" s="2239"/>
      <c r="AQ241" s="2242"/>
      <c r="AR241" s="2250"/>
      <c r="AS241" s="2244"/>
      <c r="AT241" s="2244"/>
      <c r="AU241" s="2245"/>
      <c r="AV241" s="2246"/>
      <c r="AW241" s="2247"/>
      <c r="AX241" s="2248"/>
      <c r="AY241" s="2249"/>
      <c r="AZ241" s="2249"/>
      <c r="BA241" s="2238"/>
      <c r="BB241" s="2264"/>
      <c r="BD241" s="2252" t="s">
        <v>15</v>
      </c>
      <c r="BE241" s="2237"/>
      <c r="BF241" s="2237"/>
      <c r="BG241" s="2237"/>
      <c r="BH241" s="2237"/>
      <c r="BI241" s="2240"/>
      <c r="BJ241" s="2241"/>
      <c r="BK241" s="2239"/>
      <c r="BL241" s="2242"/>
      <c r="BM241" s="2250"/>
      <c r="BN241" s="2244"/>
      <c r="BO241" s="2244"/>
      <c r="BP241" s="2245"/>
      <c r="BQ241" s="2246"/>
      <c r="BR241" s="2247"/>
      <c r="BS241" s="2248"/>
      <c r="BT241" s="2249"/>
      <c r="BU241" s="2249"/>
      <c r="BV241" s="2238"/>
      <c r="BW241" s="2264"/>
      <c r="BY241" s="3">
        <v>1</v>
      </c>
    </row>
    <row r="242" spans="2:77" ht="21" customHeight="1">
      <c r="B242" s="2265" t="str" cm="1">
        <f t="array" ref="B242">SUMPRODUCT(--(D242:J242&lt;&gt;""), LEN(TRIM(SUBSTITUTE(D242:J242, CHAR(160), "")))) &amp; " Car."</f>
        <v>0 Car.</v>
      </c>
      <c r="C242" s="1376" t="str">
        <f>IF(ISBLANK(D242),"",LARGE(C13:C241,1)+1)</f>
        <v/>
      </c>
      <c r="D242" s="1833"/>
      <c r="E242" s="1810"/>
      <c r="F242" s="1810"/>
      <c r="G242" s="1810"/>
      <c r="H242" s="1810"/>
      <c r="I242" s="1810"/>
      <c r="J242" s="1810"/>
      <c r="K242" s="1810"/>
      <c r="L242" s="1811"/>
      <c r="M242" s="9"/>
      <c r="N242" s="2252" t="s">
        <v>15</v>
      </c>
      <c r="O242" s="2237"/>
      <c r="P242" s="2237"/>
      <c r="Q242" s="2237"/>
      <c r="R242" s="2237"/>
      <c r="S242" s="2240"/>
      <c r="T242" s="2241"/>
      <c r="U242" s="2239"/>
      <c r="V242" s="2242"/>
      <c r="W242" s="2250"/>
      <c r="X242" s="2244"/>
      <c r="Y242" s="2244"/>
      <c r="Z242" s="2245"/>
      <c r="AA242" s="2246"/>
      <c r="AB242" s="2247"/>
      <c r="AC242" s="2248"/>
      <c r="AD242" s="2249"/>
      <c r="AE242" s="2249"/>
      <c r="AF242" s="2238"/>
      <c r="AG242" s="2264"/>
      <c r="AI242" s="2252" t="s">
        <v>15</v>
      </c>
      <c r="AJ242" s="2237"/>
      <c r="AK242" s="2237"/>
      <c r="AL242" s="2237"/>
      <c r="AM242" s="2237"/>
      <c r="AN242" s="2240"/>
      <c r="AO242" s="2241"/>
      <c r="AP242" s="2239"/>
      <c r="AQ242" s="2242"/>
      <c r="AR242" s="2250"/>
      <c r="AS242" s="2244"/>
      <c r="AT242" s="2244"/>
      <c r="AU242" s="2245"/>
      <c r="AV242" s="2246"/>
      <c r="AW242" s="2247"/>
      <c r="AX242" s="2248"/>
      <c r="AY242" s="2249"/>
      <c r="AZ242" s="2249"/>
      <c r="BA242" s="2238"/>
      <c r="BB242" s="2264"/>
      <c r="BD242" s="2252" t="s">
        <v>15</v>
      </c>
      <c r="BE242" s="2237"/>
      <c r="BF242" s="2237"/>
      <c r="BG242" s="2237"/>
      <c r="BH242" s="2237"/>
      <c r="BI242" s="2240"/>
      <c r="BJ242" s="2241"/>
      <c r="BK242" s="2239"/>
      <c r="BL242" s="2242"/>
      <c r="BM242" s="2250"/>
      <c r="BN242" s="2244"/>
      <c r="BO242" s="2244"/>
      <c r="BP242" s="2245"/>
      <c r="BQ242" s="2246"/>
      <c r="BR242" s="2247"/>
      <c r="BS242" s="2248"/>
      <c r="BT242" s="2249"/>
      <c r="BU242" s="2249"/>
      <c r="BV242" s="2238"/>
      <c r="BW242" s="2264"/>
      <c r="BY242" s="3">
        <v>1</v>
      </c>
    </row>
    <row r="243" spans="2:77" ht="21" customHeight="1">
      <c r="B243" s="2265" t="str" cm="1">
        <f t="array" ref="B243">SUMPRODUCT(--(D243:J243&lt;&gt;""), LEN(TRIM(SUBSTITUTE(D243:J243, CHAR(160), "")))) &amp; " Car."</f>
        <v>0 Car.</v>
      </c>
      <c r="C243" s="1376" t="str">
        <f>IF(ISBLANK(D243),"",LARGE(C13:C242,1)+1)</f>
        <v/>
      </c>
      <c r="D243" s="1833"/>
      <c r="E243" s="1810"/>
      <c r="F243" s="1810"/>
      <c r="G243" s="1810"/>
      <c r="H243" s="1810"/>
      <c r="I243" s="1810"/>
      <c r="J243" s="1810"/>
      <c r="K243" s="1810"/>
      <c r="L243" s="1811"/>
      <c r="M243" s="9"/>
      <c r="N243" s="2252" t="s">
        <v>15</v>
      </c>
      <c r="O243" s="2237"/>
      <c r="P243" s="2237"/>
      <c r="Q243" s="2237"/>
      <c r="R243" s="2237"/>
      <c r="S243" s="2240"/>
      <c r="T243" s="2241"/>
      <c r="U243" s="2239"/>
      <c r="V243" s="2242"/>
      <c r="W243" s="2250"/>
      <c r="X243" s="2244"/>
      <c r="Y243" s="2244"/>
      <c r="Z243" s="2245"/>
      <c r="AA243" s="2246"/>
      <c r="AB243" s="2247"/>
      <c r="AC243" s="2248"/>
      <c r="AD243" s="2249"/>
      <c r="AE243" s="2249"/>
      <c r="AF243" s="2238"/>
      <c r="AG243" s="2264"/>
      <c r="AI243" s="2252" t="s">
        <v>15</v>
      </c>
      <c r="AJ243" s="2237"/>
      <c r="AK243" s="2237"/>
      <c r="AL243" s="2237"/>
      <c r="AM243" s="2237"/>
      <c r="AN243" s="2240"/>
      <c r="AO243" s="2241"/>
      <c r="AP243" s="2239"/>
      <c r="AQ243" s="2242"/>
      <c r="AR243" s="2250"/>
      <c r="AS243" s="2244"/>
      <c r="AT243" s="2244"/>
      <c r="AU243" s="2245"/>
      <c r="AV243" s="2246"/>
      <c r="AW243" s="2247"/>
      <c r="AX243" s="2248"/>
      <c r="AY243" s="2249"/>
      <c r="AZ243" s="2249"/>
      <c r="BA243" s="2238"/>
      <c r="BB243" s="2264"/>
      <c r="BD243" s="2252" t="s">
        <v>15</v>
      </c>
      <c r="BE243" s="2237"/>
      <c r="BF243" s="2237"/>
      <c r="BG243" s="2237"/>
      <c r="BH243" s="2237"/>
      <c r="BI243" s="2240"/>
      <c r="BJ243" s="2241"/>
      <c r="BK243" s="2239"/>
      <c r="BL243" s="2242"/>
      <c r="BM243" s="2250"/>
      <c r="BN243" s="2244"/>
      <c r="BO243" s="2244"/>
      <c r="BP243" s="2245"/>
      <c r="BQ243" s="2246"/>
      <c r="BR243" s="2247"/>
      <c r="BS243" s="2248"/>
      <c r="BT243" s="2249"/>
      <c r="BU243" s="2249"/>
      <c r="BV243" s="2238"/>
      <c r="BW243" s="2264"/>
      <c r="BY243" s="3">
        <v>1</v>
      </c>
    </row>
    <row r="244" spans="2:77" ht="21" customHeight="1">
      <c r="B244" s="2265" t="str" cm="1">
        <f t="array" ref="B244">SUMPRODUCT(--(D244:J244&lt;&gt;""), LEN(TRIM(SUBSTITUTE(D244:J244, CHAR(160), "")))) &amp; " Car."</f>
        <v>0 Car.</v>
      </c>
      <c r="C244" s="1376" t="str">
        <f>IF(ISBLANK(D244),"",LARGE(C13:C243,1)+1)</f>
        <v/>
      </c>
      <c r="D244" s="1833"/>
      <c r="E244" s="1810"/>
      <c r="F244" s="1810"/>
      <c r="G244" s="1810"/>
      <c r="H244" s="1810"/>
      <c r="I244" s="1810"/>
      <c r="J244" s="1810"/>
      <c r="K244" s="1810"/>
      <c r="L244" s="1811"/>
      <c r="M244" s="9"/>
      <c r="N244" s="2252" t="s">
        <v>15</v>
      </c>
      <c r="O244" s="2237"/>
      <c r="P244" s="2237"/>
      <c r="Q244" s="2237"/>
      <c r="R244" s="2237"/>
      <c r="S244" s="2240"/>
      <c r="T244" s="2241"/>
      <c r="U244" s="2239"/>
      <c r="V244" s="2242"/>
      <c r="W244" s="2250"/>
      <c r="X244" s="2244"/>
      <c r="Y244" s="2244"/>
      <c r="Z244" s="2245"/>
      <c r="AA244" s="2246"/>
      <c r="AB244" s="2247"/>
      <c r="AC244" s="2248"/>
      <c r="AD244" s="2249"/>
      <c r="AE244" s="2249"/>
      <c r="AF244" s="2238"/>
      <c r="AG244" s="2264"/>
      <c r="AI244" s="2252" t="s">
        <v>15</v>
      </c>
      <c r="AJ244" s="2237"/>
      <c r="AK244" s="2237"/>
      <c r="AL244" s="2237"/>
      <c r="AM244" s="2237"/>
      <c r="AN244" s="2240"/>
      <c r="AO244" s="2241"/>
      <c r="AP244" s="2239"/>
      <c r="AQ244" s="2242"/>
      <c r="AR244" s="2250"/>
      <c r="AS244" s="2244"/>
      <c r="AT244" s="2244"/>
      <c r="AU244" s="2245"/>
      <c r="AV244" s="2246"/>
      <c r="AW244" s="2247"/>
      <c r="AX244" s="2248"/>
      <c r="AY244" s="2249"/>
      <c r="AZ244" s="2249"/>
      <c r="BA244" s="2238"/>
      <c r="BB244" s="2264"/>
      <c r="BD244" s="2252" t="s">
        <v>15</v>
      </c>
      <c r="BE244" s="2237"/>
      <c r="BF244" s="2237"/>
      <c r="BG244" s="2237"/>
      <c r="BH244" s="2237"/>
      <c r="BI244" s="2240"/>
      <c r="BJ244" s="2241"/>
      <c r="BK244" s="2239"/>
      <c r="BL244" s="2242"/>
      <c r="BM244" s="2250"/>
      <c r="BN244" s="2244"/>
      <c r="BO244" s="2244"/>
      <c r="BP244" s="2245"/>
      <c r="BQ244" s="2246"/>
      <c r="BR244" s="2247"/>
      <c r="BS244" s="2248"/>
      <c r="BT244" s="2249"/>
      <c r="BU244" s="2249"/>
      <c r="BV244" s="2238"/>
      <c r="BW244" s="2264"/>
      <c r="BY244" s="3">
        <v>1</v>
      </c>
    </row>
    <row r="245" spans="2:77" ht="21" customHeight="1">
      <c r="B245" s="2265" t="str" cm="1">
        <f t="array" ref="B245">SUMPRODUCT(--(D245:J245&lt;&gt;""), LEN(TRIM(SUBSTITUTE(D245:J245, CHAR(160), "")))) &amp; " Car."</f>
        <v>0 Car.</v>
      </c>
      <c r="C245" s="1376" t="str">
        <f>IF(ISBLANK(D245),"",LARGE(C13:C244,1)+1)</f>
        <v/>
      </c>
      <c r="D245" s="1833"/>
      <c r="E245" s="1810"/>
      <c r="F245" s="1810"/>
      <c r="G245" s="1810"/>
      <c r="H245" s="1810"/>
      <c r="I245" s="1810"/>
      <c r="J245" s="1810"/>
      <c r="K245" s="1810"/>
      <c r="L245" s="1811"/>
      <c r="M245" s="9"/>
      <c r="N245" s="2252" t="s">
        <v>15</v>
      </c>
      <c r="O245" s="2237"/>
      <c r="P245" s="2237"/>
      <c r="Q245" s="2237"/>
      <c r="R245" s="2237"/>
      <c r="S245" s="2240"/>
      <c r="T245" s="2241"/>
      <c r="U245" s="2239"/>
      <c r="V245" s="2242"/>
      <c r="W245" s="2250"/>
      <c r="X245" s="2244"/>
      <c r="Y245" s="2244"/>
      <c r="Z245" s="2245"/>
      <c r="AA245" s="2246"/>
      <c r="AB245" s="2247"/>
      <c r="AC245" s="2248"/>
      <c r="AD245" s="2249"/>
      <c r="AE245" s="2249"/>
      <c r="AF245" s="2238"/>
      <c r="AG245" s="2264"/>
      <c r="AI245" s="2252" t="s">
        <v>15</v>
      </c>
      <c r="AJ245" s="2237"/>
      <c r="AK245" s="2237"/>
      <c r="AL245" s="2237"/>
      <c r="AM245" s="2237"/>
      <c r="AN245" s="2240"/>
      <c r="AO245" s="2241"/>
      <c r="AP245" s="2239"/>
      <c r="AQ245" s="2242"/>
      <c r="AR245" s="2250"/>
      <c r="AS245" s="2244"/>
      <c r="AT245" s="2244"/>
      <c r="AU245" s="2245"/>
      <c r="AV245" s="2246"/>
      <c r="AW245" s="2247"/>
      <c r="AX245" s="2248"/>
      <c r="AY245" s="2249"/>
      <c r="AZ245" s="2249"/>
      <c r="BA245" s="2238"/>
      <c r="BB245" s="2264"/>
      <c r="BD245" s="2252" t="s">
        <v>15</v>
      </c>
      <c r="BE245" s="2237"/>
      <c r="BF245" s="2237"/>
      <c r="BG245" s="2237"/>
      <c r="BH245" s="2237"/>
      <c r="BI245" s="2240"/>
      <c r="BJ245" s="2241"/>
      <c r="BK245" s="2239"/>
      <c r="BL245" s="2242"/>
      <c r="BM245" s="2250"/>
      <c r="BN245" s="2244"/>
      <c r="BO245" s="2244"/>
      <c r="BP245" s="2245"/>
      <c r="BQ245" s="2246"/>
      <c r="BR245" s="2247"/>
      <c r="BS245" s="2248"/>
      <c r="BT245" s="2249"/>
      <c r="BU245" s="2249"/>
      <c r="BV245" s="2238"/>
      <c r="BW245" s="2264"/>
      <c r="BY245" s="3">
        <v>1</v>
      </c>
    </row>
    <row r="246" spans="2:77" ht="21" customHeight="1">
      <c r="B246" s="2265" t="str" cm="1">
        <f t="array" ref="B246">SUMPRODUCT(--(D246:J246&lt;&gt;""), LEN(TRIM(SUBSTITUTE(D246:J246, CHAR(160), "")))) &amp; " Car."</f>
        <v>0 Car.</v>
      </c>
      <c r="C246" s="1376" t="str">
        <f>IF(ISBLANK(D246),"",LARGE(C13:C245,1)+1)</f>
        <v/>
      </c>
      <c r="D246" s="1833"/>
      <c r="E246" s="1810"/>
      <c r="F246" s="1810"/>
      <c r="G246" s="1810"/>
      <c r="H246" s="1810"/>
      <c r="I246" s="1810"/>
      <c r="J246" s="1810"/>
      <c r="K246" s="1810"/>
      <c r="L246" s="1811"/>
      <c r="M246" s="9"/>
      <c r="N246" s="2252" t="s">
        <v>15</v>
      </c>
      <c r="O246" s="2237"/>
      <c r="P246" s="2237"/>
      <c r="Q246" s="2237"/>
      <c r="R246" s="2237"/>
      <c r="S246" s="2240"/>
      <c r="T246" s="2241"/>
      <c r="U246" s="2239"/>
      <c r="V246" s="2242"/>
      <c r="W246" s="2250"/>
      <c r="X246" s="2244"/>
      <c r="Y246" s="2244"/>
      <c r="Z246" s="2245"/>
      <c r="AA246" s="2246"/>
      <c r="AB246" s="2247"/>
      <c r="AC246" s="2248"/>
      <c r="AD246" s="2249"/>
      <c r="AE246" s="2249"/>
      <c r="AF246" s="2238"/>
      <c r="AG246" s="2264"/>
      <c r="AI246" s="2252" t="s">
        <v>15</v>
      </c>
      <c r="AJ246" s="2237"/>
      <c r="AK246" s="2237"/>
      <c r="AL246" s="2237"/>
      <c r="AM246" s="2237"/>
      <c r="AN246" s="2240"/>
      <c r="AO246" s="2241"/>
      <c r="AP246" s="2239"/>
      <c r="AQ246" s="2242"/>
      <c r="AR246" s="2250"/>
      <c r="AS246" s="2244"/>
      <c r="AT246" s="2244"/>
      <c r="AU246" s="2245"/>
      <c r="AV246" s="2246"/>
      <c r="AW246" s="2247"/>
      <c r="AX246" s="2248"/>
      <c r="AY246" s="2249"/>
      <c r="AZ246" s="2249"/>
      <c r="BA246" s="2238"/>
      <c r="BB246" s="2264"/>
      <c r="BD246" s="2252" t="s">
        <v>15</v>
      </c>
      <c r="BE246" s="2237"/>
      <c r="BF246" s="2237"/>
      <c r="BG246" s="2237"/>
      <c r="BH246" s="2237"/>
      <c r="BI246" s="2240"/>
      <c r="BJ246" s="2241"/>
      <c r="BK246" s="2239"/>
      <c r="BL246" s="2242"/>
      <c r="BM246" s="2250"/>
      <c r="BN246" s="2244"/>
      <c r="BO246" s="2244"/>
      <c r="BP246" s="2245"/>
      <c r="BQ246" s="2246"/>
      <c r="BR246" s="2247"/>
      <c r="BS246" s="2248"/>
      <c r="BT246" s="2249"/>
      <c r="BU246" s="2249"/>
      <c r="BV246" s="2238"/>
      <c r="BW246" s="2264"/>
      <c r="BY246" s="3">
        <v>1</v>
      </c>
    </row>
    <row r="247" spans="2:77" ht="21" customHeight="1">
      <c r="B247" s="2265" t="str" cm="1">
        <f t="array" ref="B247">SUMPRODUCT(--(D247:J247&lt;&gt;""), LEN(TRIM(SUBSTITUTE(D247:J247, CHAR(160), "")))) &amp; " Car."</f>
        <v>0 Car.</v>
      </c>
      <c r="C247" s="1376" t="str">
        <f>IF(ISBLANK(D247),"",LARGE(C13:C246,1)+1)</f>
        <v/>
      </c>
      <c r="D247" s="1833"/>
      <c r="E247" s="1810"/>
      <c r="F247" s="1810"/>
      <c r="G247" s="1810"/>
      <c r="H247" s="1810"/>
      <c r="I247" s="1810"/>
      <c r="J247" s="1810"/>
      <c r="K247" s="1810"/>
      <c r="L247" s="1811"/>
      <c r="M247" s="9"/>
      <c r="N247" s="2252" t="s">
        <v>15</v>
      </c>
      <c r="O247" s="2237"/>
      <c r="P247" s="2237"/>
      <c r="Q247" s="2237"/>
      <c r="R247" s="2237"/>
      <c r="S247" s="2240"/>
      <c r="T247" s="2241"/>
      <c r="U247" s="2239"/>
      <c r="V247" s="2242"/>
      <c r="W247" s="2250"/>
      <c r="X247" s="2244"/>
      <c r="Y247" s="2244"/>
      <c r="Z247" s="2245"/>
      <c r="AA247" s="2246"/>
      <c r="AB247" s="2247"/>
      <c r="AC247" s="2248"/>
      <c r="AD247" s="2249"/>
      <c r="AE247" s="2249"/>
      <c r="AF247" s="2238"/>
      <c r="AG247" s="2264"/>
      <c r="AI247" s="2252" t="s">
        <v>15</v>
      </c>
      <c r="AJ247" s="2237"/>
      <c r="AK247" s="2237"/>
      <c r="AL247" s="2237"/>
      <c r="AM247" s="2237"/>
      <c r="AN247" s="2240"/>
      <c r="AO247" s="2241"/>
      <c r="AP247" s="2239"/>
      <c r="AQ247" s="2242"/>
      <c r="AR247" s="2250"/>
      <c r="AS247" s="2244"/>
      <c r="AT247" s="2244"/>
      <c r="AU247" s="2245"/>
      <c r="AV247" s="2246"/>
      <c r="AW247" s="2247"/>
      <c r="AX247" s="2248"/>
      <c r="AY247" s="2249"/>
      <c r="AZ247" s="2249"/>
      <c r="BA247" s="2238"/>
      <c r="BB247" s="2264"/>
      <c r="BD247" s="2252" t="s">
        <v>15</v>
      </c>
      <c r="BE247" s="2237"/>
      <c r="BF247" s="2237"/>
      <c r="BG247" s="2237"/>
      <c r="BH247" s="2237"/>
      <c r="BI247" s="2240"/>
      <c r="BJ247" s="2241"/>
      <c r="BK247" s="2239"/>
      <c r="BL247" s="2242"/>
      <c r="BM247" s="2250"/>
      <c r="BN247" s="2244"/>
      <c r="BO247" s="2244"/>
      <c r="BP247" s="2245"/>
      <c r="BQ247" s="2246"/>
      <c r="BR247" s="2247"/>
      <c r="BS247" s="2248"/>
      <c r="BT247" s="2249"/>
      <c r="BU247" s="2249"/>
      <c r="BV247" s="2238"/>
      <c r="BW247" s="2264"/>
      <c r="BY247" s="3">
        <v>1</v>
      </c>
    </row>
    <row r="248" spans="2:77" ht="21" customHeight="1">
      <c r="B248" s="2265" t="str" cm="1">
        <f t="array" ref="B248">SUMPRODUCT(--(D248:J248&lt;&gt;""), LEN(TRIM(SUBSTITUTE(D248:J248, CHAR(160), "")))) &amp; " Car."</f>
        <v>0 Car.</v>
      </c>
      <c r="C248" s="1376" t="str">
        <f>IF(ISBLANK(D248),"",LARGE(C13:C247,1)+1)</f>
        <v/>
      </c>
      <c r="D248" s="1833"/>
      <c r="E248" s="1810"/>
      <c r="F248" s="1810"/>
      <c r="G248" s="1810"/>
      <c r="H248" s="1810"/>
      <c r="I248" s="1810"/>
      <c r="J248" s="1810"/>
      <c r="K248" s="1810"/>
      <c r="L248" s="1811"/>
      <c r="M248" s="9"/>
      <c r="N248" s="2252" t="s">
        <v>15</v>
      </c>
      <c r="O248" s="2237"/>
      <c r="P248" s="2237"/>
      <c r="Q248" s="2237"/>
      <c r="R248" s="2237"/>
      <c r="S248" s="2240"/>
      <c r="T248" s="2241"/>
      <c r="U248" s="2239"/>
      <c r="V248" s="2242"/>
      <c r="W248" s="2250"/>
      <c r="X248" s="2244"/>
      <c r="Y248" s="2244"/>
      <c r="Z248" s="2245"/>
      <c r="AA248" s="2246"/>
      <c r="AB248" s="2247"/>
      <c r="AC248" s="2248"/>
      <c r="AD248" s="2249"/>
      <c r="AE248" s="2249"/>
      <c r="AF248" s="2238"/>
      <c r="AG248" s="2264"/>
      <c r="AI248" s="2252" t="s">
        <v>15</v>
      </c>
      <c r="AJ248" s="2237"/>
      <c r="AK248" s="2237"/>
      <c r="AL248" s="2237"/>
      <c r="AM248" s="2237"/>
      <c r="AN248" s="2240"/>
      <c r="AO248" s="2241"/>
      <c r="AP248" s="2239"/>
      <c r="AQ248" s="2242"/>
      <c r="AR248" s="2250"/>
      <c r="AS248" s="2244"/>
      <c r="AT248" s="2244"/>
      <c r="AU248" s="2245"/>
      <c r="AV248" s="2246"/>
      <c r="AW248" s="2247"/>
      <c r="AX248" s="2248"/>
      <c r="AY248" s="2249"/>
      <c r="AZ248" s="2249"/>
      <c r="BA248" s="2238"/>
      <c r="BB248" s="2264"/>
      <c r="BD248" s="2252" t="s">
        <v>15</v>
      </c>
      <c r="BE248" s="2237"/>
      <c r="BF248" s="2237"/>
      <c r="BG248" s="2237"/>
      <c r="BH248" s="2237"/>
      <c r="BI248" s="2240"/>
      <c r="BJ248" s="2241"/>
      <c r="BK248" s="2239"/>
      <c r="BL248" s="2242"/>
      <c r="BM248" s="2250"/>
      <c r="BN248" s="2244"/>
      <c r="BO248" s="2244"/>
      <c r="BP248" s="2245"/>
      <c r="BQ248" s="2246"/>
      <c r="BR248" s="2247"/>
      <c r="BS248" s="2248"/>
      <c r="BT248" s="2249"/>
      <c r="BU248" s="2249"/>
      <c r="BV248" s="2238"/>
      <c r="BW248" s="2264"/>
      <c r="BY248" s="3">
        <v>1</v>
      </c>
    </row>
    <row r="249" spans="2:77" ht="21" customHeight="1">
      <c r="B249" s="2265" t="str" cm="1">
        <f t="array" ref="B249">SUMPRODUCT(--(D249:J249&lt;&gt;""), LEN(TRIM(SUBSTITUTE(D249:J249, CHAR(160), "")))) &amp; " Car."</f>
        <v>0 Car.</v>
      </c>
      <c r="C249" s="1376" t="str">
        <f>IF(ISBLANK(D249),"",LARGE(C13:C248,1)+1)</f>
        <v/>
      </c>
      <c r="D249" s="1833"/>
      <c r="E249" s="1810"/>
      <c r="F249" s="1810"/>
      <c r="G249" s="1810"/>
      <c r="H249" s="1810"/>
      <c r="I249" s="1810"/>
      <c r="J249" s="1810"/>
      <c r="K249" s="1810"/>
      <c r="L249" s="1811"/>
      <c r="M249" s="9"/>
      <c r="N249" s="2252" t="s">
        <v>15</v>
      </c>
      <c r="O249" s="2237"/>
      <c r="P249" s="2237"/>
      <c r="Q249" s="2237"/>
      <c r="R249" s="2237"/>
      <c r="S249" s="2240"/>
      <c r="T249" s="2241"/>
      <c r="U249" s="2239"/>
      <c r="V249" s="2242"/>
      <c r="W249" s="2250"/>
      <c r="X249" s="2244"/>
      <c r="Y249" s="2244"/>
      <c r="Z249" s="2245"/>
      <c r="AA249" s="2246"/>
      <c r="AB249" s="2247"/>
      <c r="AC249" s="2248"/>
      <c r="AD249" s="2249"/>
      <c r="AE249" s="2249"/>
      <c r="AF249" s="2238"/>
      <c r="AG249" s="2264"/>
      <c r="AI249" s="2252" t="s">
        <v>15</v>
      </c>
      <c r="AJ249" s="2237"/>
      <c r="AK249" s="2237"/>
      <c r="AL249" s="2237"/>
      <c r="AM249" s="2237"/>
      <c r="AN249" s="2240"/>
      <c r="AO249" s="2241"/>
      <c r="AP249" s="2239"/>
      <c r="AQ249" s="2242"/>
      <c r="AR249" s="2250"/>
      <c r="AS249" s="2244"/>
      <c r="AT249" s="2244"/>
      <c r="AU249" s="2245"/>
      <c r="AV249" s="2246"/>
      <c r="AW249" s="2247"/>
      <c r="AX249" s="2248"/>
      <c r="AY249" s="2249"/>
      <c r="AZ249" s="2249"/>
      <c r="BA249" s="2238"/>
      <c r="BB249" s="2264"/>
      <c r="BD249" s="2252" t="s">
        <v>15</v>
      </c>
      <c r="BE249" s="2237"/>
      <c r="BF249" s="2237"/>
      <c r="BG249" s="2237"/>
      <c r="BH249" s="2237"/>
      <c r="BI249" s="2240"/>
      <c r="BJ249" s="2241"/>
      <c r="BK249" s="2239"/>
      <c r="BL249" s="2242"/>
      <c r="BM249" s="2250"/>
      <c r="BN249" s="2244"/>
      <c r="BO249" s="2244"/>
      <c r="BP249" s="2245"/>
      <c r="BQ249" s="2246"/>
      <c r="BR249" s="2247"/>
      <c r="BS249" s="2248"/>
      <c r="BT249" s="2249"/>
      <c r="BU249" s="2249"/>
      <c r="BV249" s="2238"/>
      <c r="BW249" s="2264"/>
      <c r="BY249" s="3">
        <v>1</v>
      </c>
    </row>
    <row r="250" spans="2:77" ht="21" customHeight="1">
      <c r="B250" s="2265" t="str" cm="1">
        <f t="array" ref="B250">SUMPRODUCT(--(D250:J250&lt;&gt;""), LEN(TRIM(SUBSTITUTE(D250:J250, CHAR(160), "")))) &amp; " Car."</f>
        <v>0 Car.</v>
      </c>
      <c r="C250" s="1376" t="str">
        <f>IF(ISBLANK(D250),"",LARGE(C13:C249,1)+1)</f>
        <v/>
      </c>
      <c r="D250" s="1833"/>
      <c r="E250" s="1810"/>
      <c r="F250" s="1810"/>
      <c r="G250" s="1810"/>
      <c r="H250" s="1810"/>
      <c r="I250" s="1810"/>
      <c r="J250" s="1810"/>
      <c r="K250" s="1810"/>
      <c r="L250" s="1811"/>
      <c r="M250" s="9"/>
      <c r="N250" s="2252" t="s">
        <v>15</v>
      </c>
      <c r="O250" s="2237"/>
      <c r="P250" s="2237"/>
      <c r="Q250" s="2237"/>
      <c r="R250" s="2237"/>
      <c r="S250" s="2240"/>
      <c r="T250" s="2241"/>
      <c r="U250" s="2239"/>
      <c r="V250" s="2242"/>
      <c r="W250" s="2250"/>
      <c r="X250" s="2244"/>
      <c r="Y250" s="2244"/>
      <c r="Z250" s="2245"/>
      <c r="AA250" s="2246"/>
      <c r="AB250" s="2247"/>
      <c r="AC250" s="2248"/>
      <c r="AD250" s="2249"/>
      <c r="AE250" s="2249"/>
      <c r="AF250" s="2238"/>
      <c r="AG250" s="2264"/>
      <c r="AI250" s="2252" t="s">
        <v>15</v>
      </c>
      <c r="AJ250" s="2237"/>
      <c r="AK250" s="2237"/>
      <c r="AL250" s="2237"/>
      <c r="AM250" s="2237"/>
      <c r="AN250" s="2240"/>
      <c r="AO250" s="2241"/>
      <c r="AP250" s="2239"/>
      <c r="AQ250" s="2242"/>
      <c r="AR250" s="2250"/>
      <c r="AS250" s="2244"/>
      <c r="AT250" s="2244"/>
      <c r="AU250" s="2245"/>
      <c r="AV250" s="2246"/>
      <c r="AW250" s="2247"/>
      <c r="AX250" s="2248"/>
      <c r="AY250" s="2249"/>
      <c r="AZ250" s="2249"/>
      <c r="BA250" s="2238"/>
      <c r="BB250" s="2264"/>
      <c r="BD250" s="2252" t="s">
        <v>15</v>
      </c>
      <c r="BE250" s="2237"/>
      <c r="BF250" s="2237"/>
      <c r="BG250" s="2237"/>
      <c r="BH250" s="2237"/>
      <c r="BI250" s="2240"/>
      <c r="BJ250" s="2241"/>
      <c r="BK250" s="2239"/>
      <c r="BL250" s="2242"/>
      <c r="BM250" s="2250"/>
      <c r="BN250" s="2244"/>
      <c r="BO250" s="2244"/>
      <c r="BP250" s="2245"/>
      <c r="BQ250" s="2246"/>
      <c r="BR250" s="2247"/>
      <c r="BS250" s="2248"/>
      <c r="BT250" s="2249"/>
      <c r="BU250" s="2249"/>
      <c r="BV250" s="2238"/>
      <c r="BW250" s="2264"/>
      <c r="BY250" s="3">
        <v>1</v>
      </c>
    </row>
    <row r="251" spans="2:77" ht="21" customHeight="1">
      <c r="B251" s="2265" t="str" cm="1">
        <f t="array" ref="B251">SUMPRODUCT(--(D251:J251&lt;&gt;""), LEN(TRIM(SUBSTITUTE(D251:J251, CHAR(160), "")))) &amp; " Car."</f>
        <v>0 Car.</v>
      </c>
      <c r="C251" s="1376" t="str">
        <f>IF(ISBLANK(D251),"",LARGE(C13:C250,1)+1)</f>
        <v/>
      </c>
      <c r="D251" s="1833"/>
      <c r="E251" s="1810"/>
      <c r="F251" s="1810"/>
      <c r="G251" s="1810"/>
      <c r="H251" s="1810"/>
      <c r="I251" s="1810"/>
      <c r="J251" s="1810"/>
      <c r="K251" s="1810"/>
      <c r="L251" s="1811"/>
      <c r="M251" s="9"/>
      <c r="N251" s="2252" t="s">
        <v>15</v>
      </c>
      <c r="O251" s="2237"/>
      <c r="P251" s="2237"/>
      <c r="Q251" s="2237"/>
      <c r="R251" s="2237"/>
      <c r="S251" s="2240"/>
      <c r="T251" s="2241"/>
      <c r="U251" s="2239"/>
      <c r="V251" s="2242"/>
      <c r="W251" s="2250"/>
      <c r="X251" s="2244"/>
      <c r="Y251" s="2244"/>
      <c r="Z251" s="2245"/>
      <c r="AA251" s="2246"/>
      <c r="AB251" s="2247"/>
      <c r="AC251" s="2248"/>
      <c r="AD251" s="2249"/>
      <c r="AE251" s="2249"/>
      <c r="AF251" s="2238"/>
      <c r="AG251" s="2264"/>
      <c r="AI251" s="2252" t="s">
        <v>15</v>
      </c>
      <c r="AJ251" s="2237"/>
      <c r="AK251" s="2237"/>
      <c r="AL251" s="2237"/>
      <c r="AM251" s="2237"/>
      <c r="AN251" s="2240"/>
      <c r="AO251" s="2241"/>
      <c r="AP251" s="2239"/>
      <c r="AQ251" s="2242"/>
      <c r="AR251" s="2250"/>
      <c r="AS251" s="2244"/>
      <c r="AT251" s="2244"/>
      <c r="AU251" s="2245"/>
      <c r="AV251" s="2246"/>
      <c r="AW251" s="2247"/>
      <c r="AX251" s="2248"/>
      <c r="AY251" s="2249"/>
      <c r="AZ251" s="2249"/>
      <c r="BA251" s="2238"/>
      <c r="BB251" s="2264"/>
      <c r="BD251" s="2252" t="s">
        <v>15</v>
      </c>
      <c r="BE251" s="2237"/>
      <c r="BF251" s="2237"/>
      <c r="BG251" s="2237"/>
      <c r="BH251" s="2237"/>
      <c r="BI251" s="2240"/>
      <c r="BJ251" s="2241"/>
      <c r="BK251" s="2239"/>
      <c r="BL251" s="2242"/>
      <c r="BM251" s="2250"/>
      <c r="BN251" s="2244"/>
      <c r="BO251" s="2244"/>
      <c r="BP251" s="2245"/>
      <c r="BQ251" s="2246"/>
      <c r="BR251" s="2247"/>
      <c r="BS251" s="2248"/>
      <c r="BT251" s="2249"/>
      <c r="BU251" s="2249"/>
      <c r="BV251" s="2238"/>
      <c r="BW251" s="2264"/>
      <c r="BY251" s="3">
        <v>1</v>
      </c>
    </row>
    <row r="252" spans="2:77" ht="21" customHeight="1">
      <c r="B252" s="2265" t="str" cm="1">
        <f t="array" ref="B252">SUMPRODUCT(--(D252:J252&lt;&gt;""), LEN(TRIM(SUBSTITUTE(D252:J252, CHAR(160), "")))) &amp; " Car."</f>
        <v>0 Car.</v>
      </c>
      <c r="C252" s="1376" t="str">
        <f>IF(ISBLANK(D252),"",LARGE(C13:C251,1)+1)</f>
        <v/>
      </c>
      <c r="D252" s="1833"/>
      <c r="E252" s="1810"/>
      <c r="F252" s="1810"/>
      <c r="G252" s="1810"/>
      <c r="H252" s="1810"/>
      <c r="I252" s="1810"/>
      <c r="J252" s="1810"/>
      <c r="K252" s="1810"/>
      <c r="L252" s="1811"/>
      <c r="M252" s="9"/>
      <c r="N252" s="2252" t="s">
        <v>15</v>
      </c>
      <c r="O252" s="2237"/>
      <c r="P252" s="2237"/>
      <c r="Q252" s="2237"/>
      <c r="R252" s="2237"/>
      <c r="S252" s="2240"/>
      <c r="T252" s="2241"/>
      <c r="U252" s="2239"/>
      <c r="V252" s="2242"/>
      <c r="W252" s="2250"/>
      <c r="X252" s="2244"/>
      <c r="Y252" s="2244"/>
      <c r="Z252" s="2245"/>
      <c r="AA252" s="2246"/>
      <c r="AB252" s="2247"/>
      <c r="AC252" s="2248"/>
      <c r="AD252" s="2249"/>
      <c r="AE252" s="2249"/>
      <c r="AF252" s="2238"/>
      <c r="AG252" s="2264"/>
      <c r="AI252" s="2252" t="s">
        <v>15</v>
      </c>
      <c r="AJ252" s="2237"/>
      <c r="AK252" s="2237"/>
      <c r="AL252" s="2237"/>
      <c r="AM252" s="2237"/>
      <c r="AN252" s="2240"/>
      <c r="AO252" s="2241"/>
      <c r="AP252" s="2239"/>
      <c r="AQ252" s="2242"/>
      <c r="AR252" s="2250"/>
      <c r="AS252" s="2244"/>
      <c r="AT252" s="2244"/>
      <c r="AU252" s="2245"/>
      <c r="AV252" s="2246"/>
      <c r="AW252" s="2247"/>
      <c r="AX252" s="2248"/>
      <c r="AY252" s="2249"/>
      <c r="AZ252" s="2249"/>
      <c r="BA252" s="2238"/>
      <c r="BB252" s="2264"/>
      <c r="BD252" s="2252" t="s">
        <v>15</v>
      </c>
      <c r="BE252" s="2237"/>
      <c r="BF252" s="2237"/>
      <c r="BG252" s="2237"/>
      <c r="BH252" s="2237"/>
      <c r="BI252" s="2240"/>
      <c r="BJ252" s="2241"/>
      <c r="BK252" s="2239"/>
      <c r="BL252" s="2242"/>
      <c r="BM252" s="2250"/>
      <c r="BN252" s="2244"/>
      <c r="BO252" s="2244"/>
      <c r="BP252" s="2245"/>
      <c r="BQ252" s="2246"/>
      <c r="BR252" s="2247"/>
      <c r="BS252" s="2248"/>
      <c r="BT252" s="2249"/>
      <c r="BU252" s="2249"/>
      <c r="BV252" s="2238"/>
      <c r="BW252" s="2264"/>
      <c r="BY252" s="3">
        <v>1</v>
      </c>
    </row>
    <row r="253" spans="2:77" ht="21" customHeight="1">
      <c r="B253" s="2265" t="str" cm="1">
        <f t="array" ref="B253">SUMPRODUCT(--(D253:J253&lt;&gt;""), LEN(TRIM(SUBSTITUTE(D253:J253, CHAR(160), "")))) &amp; " Car."</f>
        <v>0 Car.</v>
      </c>
      <c r="C253" s="1376" t="str">
        <f>IF(ISBLANK(D253),"",LARGE(C13:C252,1)+1)</f>
        <v/>
      </c>
      <c r="D253" s="1833"/>
      <c r="E253" s="1810"/>
      <c r="F253" s="1810"/>
      <c r="G253" s="1810"/>
      <c r="H253" s="1810"/>
      <c r="I253" s="1810"/>
      <c r="J253" s="1810"/>
      <c r="K253" s="1810"/>
      <c r="L253" s="1811"/>
      <c r="M253" s="9"/>
      <c r="N253" s="2252" t="s">
        <v>15</v>
      </c>
      <c r="O253" s="2237"/>
      <c r="P253" s="2237"/>
      <c r="Q253" s="2237"/>
      <c r="R253" s="2237"/>
      <c r="S253" s="2240"/>
      <c r="T253" s="2241"/>
      <c r="U253" s="2239"/>
      <c r="V253" s="2242"/>
      <c r="W253" s="2250"/>
      <c r="X253" s="2244"/>
      <c r="Y253" s="2244"/>
      <c r="Z253" s="2245"/>
      <c r="AA253" s="2246"/>
      <c r="AB253" s="2247"/>
      <c r="AC253" s="2248"/>
      <c r="AD253" s="2249"/>
      <c r="AE253" s="2249"/>
      <c r="AF253" s="2238"/>
      <c r="AG253" s="2264"/>
      <c r="AI253" s="2252" t="s">
        <v>15</v>
      </c>
      <c r="AJ253" s="2237"/>
      <c r="AK253" s="2237"/>
      <c r="AL253" s="2237"/>
      <c r="AM253" s="2237"/>
      <c r="AN253" s="2240"/>
      <c r="AO253" s="2241"/>
      <c r="AP253" s="2239"/>
      <c r="AQ253" s="2242"/>
      <c r="AR253" s="2250"/>
      <c r="AS253" s="2244"/>
      <c r="AT253" s="2244"/>
      <c r="AU253" s="2245"/>
      <c r="AV253" s="2246"/>
      <c r="AW253" s="2247"/>
      <c r="AX253" s="2248"/>
      <c r="AY253" s="2249"/>
      <c r="AZ253" s="2249"/>
      <c r="BA253" s="2238"/>
      <c r="BB253" s="2264"/>
      <c r="BD253" s="2252" t="s">
        <v>15</v>
      </c>
      <c r="BE253" s="2237"/>
      <c r="BF253" s="2237"/>
      <c r="BG253" s="2237"/>
      <c r="BH253" s="2237"/>
      <c r="BI253" s="2240"/>
      <c r="BJ253" s="2241"/>
      <c r="BK253" s="2239"/>
      <c r="BL253" s="2242"/>
      <c r="BM253" s="2250"/>
      <c r="BN253" s="2244"/>
      <c r="BO253" s="2244"/>
      <c r="BP253" s="2245"/>
      <c r="BQ253" s="2246"/>
      <c r="BR253" s="2247"/>
      <c r="BS253" s="2248"/>
      <c r="BT253" s="2249"/>
      <c r="BU253" s="2249"/>
      <c r="BV253" s="2238"/>
      <c r="BW253" s="2264"/>
      <c r="BY253" s="3">
        <v>1</v>
      </c>
    </row>
    <row r="254" spans="2:77" ht="21" customHeight="1">
      <c r="B254" s="2265" t="str" cm="1">
        <f t="array" ref="B254">SUMPRODUCT(--(D254:J254&lt;&gt;""), LEN(TRIM(SUBSTITUTE(D254:J254, CHAR(160), "")))) &amp; " Car."</f>
        <v>0 Car.</v>
      </c>
      <c r="C254" s="1376" t="str">
        <f>IF(ISBLANK(D254),"",LARGE(C13:C253,1)+1)</f>
        <v/>
      </c>
      <c r="D254" s="1833"/>
      <c r="E254" s="1810"/>
      <c r="F254" s="1810"/>
      <c r="G254" s="1810"/>
      <c r="H254" s="1810"/>
      <c r="I254" s="1810"/>
      <c r="J254" s="1810"/>
      <c r="K254" s="1810"/>
      <c r="L254" s="1811"/>
      <c r="M254" s="9"/>
      <c r="N254" s="2252" t="s">
        <v>15</v>
      </c>
      <c r="O254" s="2237"/>
      <c r="P254" s="2237"/>
      <c r="Q254" s="2237"/>
      <c r="R254" s="2237"/>
      <c r="S254" s="2240"/>
      <c r="T254" s="2241"/>
      <c r="U254" s="2239"/>
      <c r="V254" s="2242"/>
      <c r="W254" s="2250"/>
      <c r="X254" s="2244"/>
      <c r="Y254" s="2244"/>
      <c r="Z254" s="2245"/>
      <c r="AA254" s="2246"/>
      <c r="AB254" s="2247"/>
      <c r="AC254" s="2248"/>
      <c r="AD254" s="2249"/>
      <c r="AE254" s="2249"/>
      <c r="AF254" s="2238"/>
      <c r="AG254" s="2264"/>
      <c r="AI254" s="2252" t="s">
        <v>15</v>
      </c>
      <c r="AJ254" s="2237"/>
      <c r="AK254" s="2237"/>
      <c r="AL254" s="2237"/>
      <c r="AM254" s="2237"/>
      <c r="AN254" s="2240"/>
      <c r="AO254" s="2241"/>
      <c r="AP254" s="2239"/>
      <c r="AQ254" s="2242"/>
      <c r="AR254" s="2250"/>
      <c r="AS254" s="2244"/>
      <c r="AT254" s="2244"/>
      <c r="AU254" s="2245"/>
      <c r="AV254" s="2246"/>
      <c r="AW254" s="2247"/>
      <c r="AX254" s="2248"/>
      <c r="AY254" s="2249"/>
      <c r="AZ254" s="2249"/>
      <c r="BA254" s="2238"/>
      <c r="BB254" s="2264"/>
      <c r="BD254" s="2252" t="s">
        <v>15</v>
      </c>
      <c r="BE254" s="2237"/>
      <c r="BF254" s="2237"/>
      <c r="BG254" s="2237"/>
      <c r="BH254" s="2237"/>
      <c r="BI254" s="2240"/>
      <c r="BJ254" s="2241"/>
      <c r="BK254" s="2239"/>
      <c r="BL254" s="2242"/>
      <c r="BM254" s="2250"/>
      <c r="BN254" s="2244"/>
      <c r="BO254" s="2244"/>
      <c r="BP254" s="2245"/>
      <c r="BQ254" s="2246"/>
      <c r="BR254" s="2247"/>
      <c r="BS254" s="2248"/>
      <c r="BT254" s="2249"/>
      <c r="BU254" s="2249"/>
      <c r="BV254" s="2238"/>
      <c r="BW254" s="2264"/>
      <c r="BY254" s="3">
        <v>1</v>
      </c>
    </row>
    <row r="255" spans="2:77" ht="21" customHeight="1">
      <c r="B255" s="2265" t="str" cm="1">
        <f t="array" ref="B255">SUMPRODUCT(--(D255:J255&lt;&gt;""), LEN(TRIM(SUBSTITUTE(D255:J255, CHAR(160), "")))) &amp; " Car."</f>
        <v>0 Car.</v>
      </c>
      <c r="C255" s="1376" t="str">
        <f>IF(ISBLANK(D255),"",LARGE(C13:C254,1)+1)</f>
        <v/>
      </c>
      <c r="D255" s="1833"/>
      <c r="E255" s="1810"/>
      <c r="F255" s="1810"/>
      <c r="G255" s="1810"/>
      <c r="H255" s="1810"/>
      <c r="I255" s="1810"/>
      <c r="J255" s="1810"/>
      <c r="K255" s="1810"/>
      <c r="L255" s="1811"/>
      <c r="M255" s="9"/>
      <c r="N255" s="2252" t="s">
        <v>15</v>
      </c>
      <c r="O255" s="2237"/>
      <c r="P255" s="2237"/>
      <c r="Q255" s="2237"/>
      <c r="R255" s="2237"/>
      <c r="S255" s="2240"/>
      <c r="T255" s="2241"/>
      <c r="U255" s="2239"/>
      <c r="V255" s="2242"/>
      <c r="W255" s="2250"/>
      <c r="X255" s="2244"/>
      <c r="Y255" s="2244"/>
      <c r="Z255" s="2245"/>
      <c r="AA255" s="2246"/>
      <c r="AB255" s="2247"/>
      <c r="AC255" s="2248"/>
      <c r="AD255" s="2249"/>
      <c r="AE255" s="2249"/>
      <c r="AF255" s="2238"/>
      <c r="AG255" s="2264"/>
      <c r="AI255" s="2252" t="s">
        <v>15</v>
      </c>
      <c r="AJ255" s="2237"/>
      <c r="AK255" s="2237"/>
      <c r="AL255" s="2237"/>
      <c r="AM255" s="2237"/>
      <c r="AN255" s="2240"/>
      <c r="AO255" s="2241"/>
      <c r="AP255" s="2239"/>
      <c r="AQ255" s="2242"/>
      <c r="AR255" s="2250"/>
      <c r="AS255" s="2244"/>
      <c r="AT255" s="2244"/>
      <c r="AU255" s="2245"/>
      <c r="AV255" s="2246"/>
      <c r="AW255" s="2247"/>
      <c r="AX255" s="2248"/>
      <c r="AY255" s="2249"/>
      <c r="AZ255" s="2249"/>
      <c r="BA255" s="2238"/>
      <c r="BB255" s="2264"/>
      <c r="BD255" s="2252" t="s">
        <v>15</v>
      </c>
      <c r="BE255" s="2237"/>
      <c r="BF255" s="2237"/>
      <c r="BG255" s="2237"/>
      <c r="BH255" s="2237"/>
      <c r="BI255" s="2240"/>
      <c r="BJ255" s="2241"/>
      <c r="BK255" s="2239"/>
      <c r="BL255" s="2242"/>
      <c r="BM255" s="2250"/>
      <c r="BN255" s="2244"/>
      <c r="BO255" s="2244"/>
      <c r="BP255" s="2245"/>
      <c r="BQ255" s="2246"/>
      <c r="BR255" s="2247"/>
      <c r="BS255" s="2248"/>
      <c r="BT255" s="2249"/>
      <c r="BU255" s="2249"/>
      <c r="BV255" s="2238"/>
      <c r="BW255" s="2264"/>
      <c r="BY255" s="3">
        <v>1</v>
      </c>
    </row>
    <row r="256" spans="2:77" ht="21" customHeight="1">
      <c r="B256" s="2265" t="str" cm="1">
        <f t="array" ref="B256">SUMPRODUCT(--(D256:J256&lt;&gt;""), LEN(TRIM(SUBSTITUTE(D256:J256, CHAR(160), "")))) &amp; " Car."</f>
        <v>0 Car.</v>
      </c>
      <c r="C256" s="1376" t="str">
        <f>IF(ISBLANK(D256),"",LARGE(C13:C255,1)+1)</f>
        <v/>
      </c>
      <c r="D256" s="1833"/>
      <c r="E256" s="1810"/>
      <c r="F256" s="1810"/>
      <c r="G256" s="1810"/>
      <c r="H256" s="1810"/>
      <c r="I256" s="1810"/>
      <c r="J256" s="1810"/>
      <c r="K256" s="1810"/>
      <c r="L256" s="1811"/>
      <c r="M256" s="9"/>
      <c r="N256" s="2252" t="s">
        <v>15</v>
      </c>
      <c r="O256" s="2237"/>
      <c r="P256" s="2237"/>
      <c r="Q256" s="2237"/>
      <c r="R256" s="2237"/>
      <c r="S256" s="2240"/>
      <c r="T256" s="2241"/>
      <c r="U256" s="2239"/>
      <c r="V256" s="2242"/>
      <c r="W256" s="2250"/>
      <c r="X256" s="2244"/>
      <c r="Y256" s="2244"/>
      <c r="Z256" s="2245"/>
      <c r="AA256" s="2246"/>
      <c r="AB256" s="2247"/>
      <c r="AC256" s="2248"/>
      <c r="AD256" s="2249"/>
      <c r="AE256" s="2249"/>
      <c r="AF256" s="2238"/>
      <c r="AG256" s="2264"/>
      <c r="AI256" s="2252" t="s">
        <v>15</v>
      </c>
      <c r="AJ256" s="2237"/>
      <c r="AK256" s="2237"/>
      <c r="AL256" s="2237"/>
      <c r="AM256" s="2237"/>
      <c r="AN256" s="2240"/>
      <c r="AO256" s="2241"/>
      <c r="AP256" s="2239"/>
      <c r="AQ256" s="2242"/>
      <c r="AR256" s="2250"/>
      <c r="AS256" s="2244"/>
      <c r="AT256" s="2244"/>
      <c r="AU256" s="2245"/>
      <c r="AV256" s="2246"/>
      <c r="AW256" s="2247"/>
      <c r="AX256" s="2248"/>
      <c r="AY256" s="2249"/>
      <c r="AZ256" s="2249"/>
      <c r="BA256" s="2238"/>
      <c r="BB256" s="2264"/>
      <c r="BD256" s="2252" t="s">
        <v>15</v>
      </c>
      <c r="BE256" s="2237"/>
      <c r="BF256" s="2237"/>
      <c r="BG256" s="2237"/>
      <c r="BH256" s="2237"/>
      <c r="BI256" s="2240"/>
      <c r="BJ256" s="2241"/>
      <c r="BK256" s="2239"/>
      <c r="BL256" s="2242"/>
      <c r="BM256" s="2250"/>
      <c r="BN256" s="2244"/>
      <c r="BO256" s="2244"/>
      <c r="BP256" s="2245"/>
      <c r="BQ256" s="2246"/>
      <c r="BR256" s="2247"/>
      <c r="BS256" s="2248"/>
      <c r="BT256" s="2249"/>
      <c r="BU256" s="2249"/>
      <c r="BV256" s="2238"/>
      <c r="BW256" s="2264"/>
      <c r="BY256" s="3">
        <v>1</v>
      </c>
    </row>
    <row r="257" spans="2:77" ht="21" customHeight="1">
      <c r="B257" s="2265" t="str" cm="1">
        <f t="array" ref="B257">SUMPRODUCT(--(D257:J257&lt;&gt;""), LEN(TRIM(SUBSTITUTE(D257:J257, CHAR(160), "")))) &amp; " Car."</f>
        <v>0 Car.</v>
      </c>
      <c r="C257" s="1376" t="str">
        <f>IF(ISBLANK(D257),"",LARGE(C13:C256,1)+1)</f>
        <v/>
      </c>
      <c r="D257" s="1833"/>
      <c r="E257" s="1810"/>
      <c r="F257" s="1810"/>
      <c r="G257" s="1810"/>
      <c r="H257" s="1810"/>
      <c r="I257" s="1810"/>
      <c r="J257" s="1810"/>
      <c r="K257" s="1810"/>
      <c r="L257" s="1811"/>
      <c r="M257" s="9"/>
      <c r="N257" s="2252" t="s">
        <v>15</v>
      </c>
      <c r="O257" s="2237"/>
      <c r="P257" s="2237"/>
      <c r="Q257" s="2237"/>
      <c r="R257" s="2237"/>
      <c r="S257" s="2240"/>
      <c r="T257" s="2241"/>
      <c r="U257" s="2239"/>
      <c r="V257" s="2242"/>
      <c r="W257" s="2250"/>
      <c r="X257" s="2244"/>
      <c r="Y257" s="2244"/>
      <c r="Z257" s="2245"/>
      <c r="AA257" s="2246"/>
      <c r="AB257" s="2247"/>
      <c r="AC257" s="2248"/>
      <c r="AD257" s="2249"/>
      <c r="AE257" s="2249"/>
      <c r="AF257" s="2238"/>
      <c r="AG257" s="2264"/>
      <c r="AI257" s="2252" t="s">
        <v>15</v>
      </c>
      <c r="AJ257" s="2237"/>
      <c r="AK257" s="2237"/>
      <c r="AL257" s="2237"/>
      <c r="AM257" s="2237"/>
      <c r="AN257" s="2240"/>
      <c r="AO257" s="2241"/>
      <c r="AP257" s="2239"/>
      <c r="AQ257" s="2242"/>
      <c r="AR257" s="2250"/>
      <c r="AS257" s="2244"/>
      <c r="AT257" s="2244"/>
      <c r="AU257" s="2245"/>
      <c r="AV257" s="2246"/>
      <c r="AW257" s="2247"/>
      <c r="AX257" s="2248"/>
      <c r="AY257" s="2249"/>
      <c r="AZ257" s="2249"/>
      <c r="BA257" s="2238"/>
      <c r="BB257" s="2264"/>
      <c r="BD257" s="2252" t="s">
        <v>15</v>
      </c>
      <c r="BE257" s="2237"/>
      <c r="BF257" s="2237"/>
      <c r="BG257" s="2237"/>
      <c r="BH257" s="2237"/>
      <c r="BI257" s="2240"/>
      <c r="BJ257" s="2241"/>
      <c r="BK257" s="2239"/>
      <c r="BL257" s="2242"/>
      <c r="BM257" s="2250"/>
      <c r="BN257" s="2244"/>
      <c r="BO257" s="2244"/>
      <c r="BP257" s="2245"/>
      <c r="BQ257" s="2246"/>
      <c r="BR257" s="2247"/>
      <c r="BS257" s="2248"/>
      <c r="BT257" s="2249"/>
      <c r="BU257" s="2249"/>
      <c r="BV257" s="2238"/>
      <c r="BW257" s="2264"/>
      <c r="BY257" s="3">
        <v>1</v>
      </c>
    </row>
    <row r="258" spans="2:77" ht="21" customHeight="1">
      <c r="B258" s="2265" t="str" cm="1">
        <f t="array" ref="B258">SUMPRODUCT(--(D258:J258&lt;&gt;""), LEN(TRIM(SUBSTITUTE(D258:J258, CHAR(160), "")))) &amp; " Car."</f>
        <v>0 Car.</v>
      </c>
      <c r="C258" s="1376" t="str">
        <f>IF(ISBLANK(D258),"",LARGE(C13:C257,1)+1)</f>
        <v/>
      </c>
      <c r="D258" s="1833"/>
      <c r="E258" s="1810"/>
      <c r="F258" s="1810"/>
      <c r="G258" s="1810"/>
      <c r="H258" s="1810"/>
      <c r="I258" s="1810"/>
      <c r="J258" s="1810"/>
      <c r="K258" s="1810"/>
      <c r="L258" s="1811"/>
      <c r="M258" s="9"/>
      <c r="N258" s="2252" t="s">
        <v>15</v>
      </c>
      <c r="O258" s="2237"/>
      <c r="P258" s="2237"/>
      <c r="Q258" s="2237"/>
      <c r="R258" s="2237"/>
      <c r="S258" s="2240"/>
      <c r="T258" s="2241"/>
      <c r="U258" s="2239"/>
      <c r="V258" s="2242"/>
      <c r="W258" s="2250"/>
      <c r="X258" s="2244"/>
      <c r="Y258" s="2244"/>
      <c r="Z258" s="2245"/>
      <c r="AA258" s="2246"/>
      <c r="AB258" s="2247"/>
      <c r="AC258" s="2248"/>
      <c r="AD258" s="2249"/>
      <c r="AE258" s="2249"/>
      <c r="AF258" s="2238"/>
      <c r="AG258" s="2264"/>
      <c r="AI258" s="2252" t="s">
        <v>15</v>
      </c>
      <c r="AJ258" s="2237"/>
      <c r="AK258" s="2237"/>
      <c r="AL258" s="2237"/>
      <c r="AM258" s="2237"/>
      <c r="AN258" s="2240"/>
      <c r="AO258" s="2241"/>
      <c r="AP258" s="2239"/>
      <c r="AQ258" s="2242"/>
      <c r="AR258" s="2250"/>
      <c r="AS258" s="2244"/>
      <c r="AT258" s="2244"/>
      <c r="AU258" s="2245"/>
      <c r="AV258" s="2246"/>
      <c r="AW258" s="2247"/>
      <c r="AX258" s="2248"/>
      <c r="AY258" s="2249"/>
      <c r="AZ258" s="2249"/>
      <c r="BA258" s="2238"/>
      <c r="BB258" s="2264"/>
      <c r="BD258" s="2252" t="s">
        <v>15</v>
      </c>
      <c r="BE258" s="2237"/>
      <c r="BF258" s="2237"/>
      <c r="BG258" s="2237"/>
      <c r="BH258" s="2237"/>
      <c r="BI258" s="2240"/>
      <c r="BJ258" s="2241"/>
      <c r="BK258" s="2239"/>
      <c r="BL258" s="2242"/>
      <c r="BM258" s="2250"/>
      <c r="BN258" s="2244"/>
      <c r="BO258" s="2244"/>
      <c r="BP258" s="2245"/>
      <c r="BQ258" s="2246"/>
      <c r="BR258" s="2247"/>
      <c r="BS258" s="2248"/>
      <c r="BT258" s="2249"/>
      <c r="BU258" s="2249"/>
      <c r="BV258" s="2238"/>
      <c r="BW258" s="2264"/>
      <c r="BY258" s="3">
        <v>1</v>
      </c>
    </row>
    <row r="259" spans="2:77" ht="21" customHeight="1">
      <c r="B259" s="2265" t="str" cm="1">
        <f t="array" ref="B259">SUMPRODUCT(--(D259:J259&lt;&gt;""), LEN(TRIM(SUBSTITUTE(D259:J259, CHAR(160), "")))) &amp; " Car."</f>
        <v>0 Car.</v>
      </c>
      <c r="C259" s="1376" t="str">
        <f>IF(ISBLANK(D259),"",LARGE(C13:C258,1)+1)</f>
        <v/>
      </c>
      <c r="D259" s="1833"/>
      <c r="E259" s="1810"/>
      <c r="F259" s="1810"/>
      <c r="G259" s="1810"/>
      <c r="H259" s="1810"/>
      <c r="I259" s="1810"/>
      <c r="J259" s="1810"/>
      <c r="K259" s="1810"/>
      <c r="L259" s="1811"/>
      <c r="M259" s="9"/>
      <c r="N259" s="2252" t="s">
        <v>15</v>
      </c>
      <c r="O259" s="2237"/>
      <c r="P259" s="2237"/>
      <c r="Q259" s="2237"/>
      <c r="R259" s="2237"/>
      <c r="S259" s="2240"/>
      <c r="T259" s="2241"/>
      <c r="U259" s="2239"/>
      <c r="V259" s="2242"/>
      <c r="W259" s="2250"/>
      <c r="X259" s="2244"/>
      <c r="Y259" s="2244"/>
      <c r="Z259" s="2245"/>
      <c r="AA259" s="2246"/>
      <c r="AB259" s="2247"/>
      <c r="AC259" s="2248"/>
      <c r="AD259" s="2249"/>
      <c r="AE259" s="2249"/>
      <c r="AF259" s="2238"/>
      <c r="AG259" s="2264"/>
      <c r="AI259" s="2252" t="s">
        <v>15</v>
      </c>
      <c r="AJ259" s="2237"/>
      <c r="AK259" s="2237"/>
      <c r="AL259" s="2237"/>
      <c r="AM259" s="2237"/>
      <c r="AN259" s="2240"/>
      <c r="AO259" s="2241"/>
      <c r="AP259" s="2239"/>
      <c r="AQ259" s="2242"/>
      <c r="AR259" s="2250"/>
      <c r="AS259" s="2244"/>
      <c r="AT259" s="2244"/>
      <c r="AU259" s="2245"/>
      <c r="AV259" s="2246"/>
      <c r="AW259" s="2247"/>
      <c r="AX259" s="2248"/>
      <c r="AY259" s="2249"/>
      <c r="AZ259" s="2249"/>
      <c r="BA259" s="2238"/>
      <c r="BB259" s="2264"/>
      <c r="BD259" s="2252" t="s">
        <v>15</v>
      </c>
      <c r="BE259" s="2237"/>
      <c r="BF259" s="2237"/>
      <c r="BG259" s="2237"/>
      <c r="BH259" s="2237"/>
      <c r="BI259" s="2240"/>
      <c r="BJ259" s="2241"/>
      <c r="BK259" s="2239"/>
      <c r="BL259" s="2242"/>
      <c r="BM259" s="2250"/>
      <c r="BN259" s="2244"/>
      <c r="BO259" s="2244"/>
      <c r="BP259" s="2245"/>
      <c r="BQ259" s="2246"/>
      <c r="BR259" s="2247"/>
      <c r="BS259" s="2248"/>
      <c r="BT259" s="2249"/>
      <c r="BU259" s="2249"/>
      <c r="BV259" s="2238"/>
      <c r="BW259" s="2264"/>
      <c r="BY259" s="3">
        <v>1</v>
      </c>
    </row>
    <row r="260" spans="2:77" ht="21" customHeight="1">
      <c r="B260" s="2265" t="str" cm="1">
        <f t="array" ref="B260">SUMPRODUCT(--(D260:J260&lt;&gt;""), LEN(TRIM(SUBSTITUTE(D260:J260, CHAR(160), "")))) &amp; " Car."</f>
        <v>0 Car.</v>
      </c>
      <c r="C260" s="1376" t="str">
        <f>IF(ISBLANK(D260),"",LARGE(C13:C259,1)+1)</f>
        <v/>
      </c>
      <c r="D260" s="1833"/>
      <c r="E260" s="1810"/>
      <c r="F260" s="1810"/>
      <c r="G260" s="1810"/>
      <c r="H260" s="1810"/>
      <c r="I260" s="1810"/>
      <c r="J260" s="1810"/>
      <c r="K260" s="1810"/>
      <c r="L260" s="1811"/>
      <c r="M260" s="9"/>
      <c r="N260" s="2252" t="s">
        <v>15</v>
      </c>
      <c r="O260" s="2237"/>
      <c r="P260" s="2237"/>
      <c r="Q260" s="2237"/>
      <c r="R260" s="2237"/>
      <c r="S260" s="2240"/>
      <c r="T260" s="2241"/>
      <c r="U260" s="2239"/>
      <c r="V260" s="2242"/>
      <c r="W260" s="2250"/>
      <c r="X260" s="2244"/>
      <c r="Y260" s="2244"/>
      <c r="Z260" s="2245"/>
      <c r="AA260" s="2246"/>
      <c r="AB260" s="2247"/>
      <c r="AC260" s="2248"/>
      <c r="AD260" s="2249"/>
      <c r="AE260" s="2249"/>
      <c r="AF260" s="2238"/>
      <c r="AG260" s="2264"/>
      <c r="AI260" s="2252" t="s">
        <v>15</v>
      </c>
      <c r="AJ260" s="2237"/>
      <c r="AK260" s="2237"/>
      <c r="AL260" s="2237"/>
      <c r="AM260" s="2237"/>
      <c r="AN260" s="2240"/>
      <c r="AO260" s="2241"/>
      <c r="AP260" s="2239"/>
      <c r="AQ260" s="2242"/>
      <c r="AR260" s="2250"/>
      <c r="AS260" s="2244"/>
      <c r="AT260" s="2244"/>
      <c r="AU260" s="2245"/>
      <c r="AV260" s="2246"/>
      <c r="AW260" s="2247"/>
      <c r="AX260" s="2248"/>
      <c r="AY260" s="2249"/>
      <c r="AZ260" s="2249"/>
      <c r="BA260" s="2238"/>
      <c r="BB260" s="2264"/>
      <c r="BD260" s="2252" t="s">
        <v>15</v>
      </c>
      <c r="BE260" s="2237"/>
      <c r="BF260" s="2237"/>
      <c r="BG260" s="2237"/>
      <c r="BH260" s="2237"/>
      <c r="BI260" s="2240"/>
      <c r="BJ260" s="2241"/>
      <c r="BK260" s="2239"/>
      <c r="BL260" s="2242"/>
      <c r="BM260" s="2250"/>
      <c r="BN260" s="2244"/>
      <c r="BO260" s="2244"/>
      <c r="BP260" s="2245"/>
      <c r="BQ260" s="2246"/>
      <c r="BR260" s="2247"/>
      <c r="BS260" s="2248"/>
      <c r="BT260" s="2249"/>
      <c r="BU260" s="2249"/>
      <c r="BV260" s="2238"/>
      <c r="BW260" s="2264"/>
      <c r="BY260" s="3">
        <v>1</v>
      </c>
    </row>
    <row r="261" spans="2:77" ht="21" customHeight="1">
      <c r="B261" s="2265" t="str" cm="1">
        <f t="array" ref="B261">SUMPRODUCT(--(D261:J261&lt;&gt;""), LEN(TRIM(SUBSTITUTE(D261:J261, CHAR(160), "")))) &amp; " Car."</f>
        <v>0 Car.</v>
      </c>
      <c r="C261" s="1376" t="str">
        <f>IF(ISBLANK(D261),"",LARGE(C13:C260,1)+1)</f>
        <v/>
      </c>
      <c r="D261" s="1833"/>
      <c r="E261" s="1810"/>
      <c r="F261" s="1810"/>
      <c r="G261" s="1810"/>
      <c r="H261" s="1810"/>
      <c r="I261" s="1810"/>
      <c r="J261" s="1810"/>
      <c r="K261" s="1810"/>
      <c r="L261" s="1811"/>
      <c r="M261" s="9"/>
      <c r="N261" s="2252" t="s">
        <v>15</v>
      </c>
      <c r="O261" s="2237"/>
      <c r="P261" s="2237"/>
      <c r="Q261" s="2237"/>
      <c r="R261" s="2237"/>
      <c r="S261" s="2240"/>
      <c r="T261" s="2241"/>
      <c r="U261" s="2239"/>
      <c r="V261" s="2242"/>
      <c r="W261" s="2250"/>
      <c r="X261" s="2244"/>
      <c r="Y261" s="2244"/>
      <c r="Z261" s="2245"/>
      <c r="AA261" s="2246"/>
      <c r="AB261" s="2247"/>
      <c r="AC261" s="2248"/>
      <c r="AD261" s="2249"/>
      <c r="AE261" s="2249"/>
      <c r="AF261" s="2238"/>
      <c r="AG261" s="2264"/>
      <c r="AI261" s="2252" t="s">
        <v>15</v>
      </c>
      <c r="AJ261" s="2237"/>
      <c r="AK261" s="2237"/>
      <c r="AL261" s="2237"/>
      <c r="AM261" s="2237"/>
      <c r="AN261" s="2240"/>
      <c r="AO261" s="2241"/>
      <c r="AP261" s="2239"/>
      <c r="AQ261" s="2242"/>
      <c r="AR261" s="2250"/>
      <c r="AS261" s="2244"/>
      <c r="AT261" s="2244"/>
      <c r="AU261" s="2245"/>
      <c r="AV261" s="2246"/>
      <c r="AW261" s="2247"/>
      <c r="AX261" s="2248"/>
      <c r="AY261" s="2249"/>
      <c r="AZ261" s="2249"/>
      <c r="BA261" s="2238"/>
      <c r="BB261" s="2264"/>
      <c r="BD261" s="2252" t="s">
        <v>15</v>
      </c>
      <c r="BE261" s="2237"/>
      <c r="BF261" s="2237"/>
      <c r="BG261" s="2237"/>
      <c r="BH261" s="2237"/>
      <c r="BI261" s="2240"/>
      <c r="BJ261" s="2241"/>
      <c r="BK261" s="2239"/>
      <c r="BL261" s="2242"/>
      <c r="BM261" s="2250"/>
      <c r="BN261" s="2244"/>
      <c r="BO261" s="2244"/>
      <c r="BP261" s="2245"/>
      <c r="BQ261" s="2246"/>
      <c r="BR261" s="2247"/>
      <c r="BS261" s="2248"/>
      <c r="BT261" s="2249"/>
      <c r="BU261" s="2249"/>
      <c r="BV261" s="2238"/>
      <c r="BW261" s="2264"/>
      <c r="BY261" s="3">
        <v>1</v>
      </c>
    </row>
    <row r="262" spans="2:77" ht="21" customHeight="1">
      <c r="B262" s="2265" t="str" cm="1">
        <f t="array" ref="B262">SUMPRODUCT(--(D262:J262&lt;&gt;""), LEN(TRIM(SUBSTITUTE(D262:J262, CHAR(160), "")))) &amp; " Car."</f>
        <v>0 Car.</v>
      </c>
      <c r="C262" s="1376" t="str">
        <f>IF(ISBLANK(D262),"",LARGE(C13:C261,1)+1)</f>
        <v/>
      </c>
      <c r="D262" s="1833"/>
      <c r="E262" s="1810"/>
      <c r="F262" s="1810"/>
      <c r="G262" s="1810"/>
      <c r="H262" s="1810"/>
      <c r="I262" s="1810"/>
      <c r="J262" s="1810"/>
      <c r="K262" s="1810"/>
      <c r="L262" s="1811"/>
      <c r="M262" s="9"/>
      <c r="N262" s="2252" t="s">
        <v>15</v>
      </c>
      <c r="O262" s="2237"/>
      <c r="P262" s="2237"/>
      <c r="Q262" s="2237"/>
      <c r="R262" s="2237"/>
      <c r="S262" s="2240"/>
      <c r="T262" s="2241"/>
      <c r="U262" s="2239"/>
      <c r="V262" s="2242"/>
      <c r="W262" s="2250"/>
      <c r="X262" s="2244"/>
      <c r="Y262" s="2244"/>
      <c r="Z262" s="2245"/>
      <c r="AA262" s="2246"/>
      <c r="AB262" s="2247"/>
      <c r="AC262" s="2248"/>
      <c r="AD262" s="2249"/>
      <c r="AE262" s="2249"/>
      <c r="AF262" s="2238"/>
      <c r="AG262" s="2264"/>
      <c r="AI262" s="2252" t="s">
        <v>15</v>
      </c>
      <c r="AJ262" s="2237"/>
      <c r="AK262" s="2237"/>
      <c r="AL262" s="2237"/>
      <c r="AM262" s="2237"/>
      <c r="AN262" s="2240"/>
      <c r="AO262" s="2241"/>
      <c r="AP262" s="2239"/>
      <c r="AQ262" s="2242"/>
      <c r="AR262" s="2250"/>
      <c r="AS262" s="2244"/>
      <c r="AT262" s="2244"/>
      <c r="AU262" s="2245"/>
      <c r="AV262" s="2246"/>
      <c r="AW262" s="2247"/>
      <c r="AX262" s="2248"/>
      <c r="AY262" s="2249"/>
      <c r="AZ262" s="2249"/>
      <c r="BA262" s="2238"/>
      <c r="BB262" s="2264"/>
      <c r="BD262" s="2252" t="s">
        <v>15</v>
      </c>
      <c r="BE262" s="2237"/>
      <c r="BF262" s="2237"/>
      <c r="BG262" s="2237"/>
      <c r="BH262" s="2237"/>
      <c r="BI262" s="2240"/>
      <c r="BJ262" s="2241"/>
      <c r="BK262" s="2239"/>
      <c r="BL262" s="2242"/>
      <c r="BM262" s="2250"/>
      <c r="BN262" s="2244"/>
      <c r="BO262" s="2244"/>
      <c r="BP262" s="2245"/>
      <c r="BQ262" s="2246"/>
      <c r="BR262" s="2247"/>
      <c r="BS262" s="2248"/>
      <c r="BT262" s="2249"/>
      <c r="BU262" s="2249"/>
      <c r="BV262" s="2238"/>
      <c r="BW262" s="2264"/>
      <c r="BY262" s="3">
        <v>1</v>
      </c>
    </row>
    <row r="263" spans="2:77" ht="21" customHeight="1">
      <c r="B263" s="2265" t="str" cm="1">
        <f t="array" ref="B263">SUMPRODUCT(--(D263:J263&lt;&gt;""), LEN(TRIM(SUBSTITUTE(D263:J263, CHAR(160), "")))) &amp; " Car."</f>
        <v>0 Car.</v>
      </c>
      <c r="C263" s="1376" t="str">
        <f>IF(ISBLANK(D263),"",LARGE(C13:C262,1)+1)</f>
        <v/>
      </c>
      <c r="D263" s="1833"/>
      <c r="E263" s="1810"/>
      <c r="F263" s="1810"/>
      <c r="G263" s="1810"/>
      <c r="H263" s="1810"/>
      <c r="I263" s="1810"/>
      <c r="J263" s="1810"/>
      <c r="K263" s="1810"/>
      <c r="L263" s="1811"/>
      <c r="M263" s="9"/>
      <c r="N263" s="2252" t="s">
        <v>15</v>
      </c>
      <c r="O263" s="2237"/>
      <c r="P263" s="2237"/>
      <c r="Q263" s="2237"/>
      <c r="R263" s="2237"/>
      <c r="S263" s="2240"/>
      <c r="T263" s="2241"/>
      <c r="U263" s="2239"/>
      <c r="V263" s="2242"/>
      <c r="W263" s="2250"/>
      <c r="X263" s="2244"/>
      <c r="Y263" s="2244"/>
      <c r="Z263" s="2245"/>
      <c r="AA263" s="2246"/>
      <c r="AB263" s="2247"/>
      <c r="AC263" s="2248"/>
      <c r="AD263" s="2249"/>
      <c r="AE263" s="2249"/>
      <c r="AF263" s="2238"/>
      <c r="AG263" s="2264"/>
      <c r="AI263" s="2252" t="s">
        <v>15</v>
      </c>
      <c r="AJ263" s="2237"/>
      <c r="AK263" s="2237"/>
      <c r="AL263" s="2237"/>
      <c r="AM263" s="2237"/>
      <c r="AN263" s="2240"/>
      <c r="AO263" s="2241"/>
      <c r="AP263" s="2239"/>
      <c r="AQ263" s="2242"/>
      <c r="AR263" s="2250"/>
      <c r="AS263" s="2244"/>
      <c r="AT263" s="2244"/>
      <c r="AU263" s="2245"/>
      <c r="AV263" s="2246"/>
      <c r="AW263" s="2247"/>
      <c r="AX263" s="2248"/>
      <c r="AY263" s="2249"/>
      <c r="AZ263" s="2249"/>
      <c r="BA263" s="2238"/>
      <c r="BB263" s="2264"/>
      <c r="BD263" s="2252" t="s">
        <v>15</v>
      </c>
      <c r="BE263" s="2237"/>
      <c r="BF263" s="2237"/>
      <c r="BG263" s="2237"/>
      <c r="BH263" s="2237"/>
      <c r="BI263" s="2240"/>
      <c r="BJ263" s="2241"/>
      <c r="BK263" s="2239"/>
      <c r="BL263" s="2242"/>
      <c r="BM263" s="2250"/>
      <c r="BN263" s="2244"/>
      <c r="BO263" s="2244"/>
      <c r="BP263" s="2245"/>
      <c r="BQ263" s="2246"/>
      <c r="BR263" s="2247"/>
      <c r="BS263" s="2248"/>
      <c r="BT263" s="2249"/>
      <c r="BU263" s="2249"/>
      <c r="BV263" s="2238"/>
      <c r="BW263" s="2264"/>
      <c r="BY263" s="3">
        <v>1</v>
      </c>
    </row>
    <row r="264" spans="2:77" ht="21" customHeight="1">
      <c r="B264" s="2265" t="str" cm="1">
        <f t="array" ref="B264">SUMPRODUCT(--(D264:J264&lt;&gt;""), LEN(TRIM(SUBSTITUTE(D264:J264, CHAR(160), "")))) &amp; " Car."</f>
        <v>0 Car.</v>
      </c>
      <c r="C264" s="1376" t="str">
        <f>IF(ISBLANK(D264),"",LARGE(C13:C263,1)+1)</f>
        <v/>
      </c>
      <c r="D264" s="1833"/>
      <c r="E264" s="1810"/>
      <c r="F264" s="1810"/>
      <c r="G264" s="1810"/>
      <c r="H264" s="1810"/>
      <c r="I264" s="1810"/>
      <c r="J264" s="1810"/>
      <c r="K264" s="1810"/>
      <c r="L264" s="1811"/>
      <c r="M264" s="9"/>
      <c r="N264" s="2252" t="s">
        <v>15</v>
      </c>
      <c r="O264" s="2237"/>
      <c r="P264" s="2237"/>
      <c r="Q264" s="2237"/>
      <c r="R264" s="2237"/>
      <c r="S264" s="2240"/>
      <c r="T264" s="2241"/>
      <c r="U264" s="2239"/>
      <c r="V264" s="2242"/>
      <c r="W264" s="2250"/>
      <c r="X264" s="2244"/>
      <c r="Y264" s="2244"/>
      <c r="Z264" s="2245"/>
      <c r="AA264" s="2246"/>
      <c r="AB264" s="2247"/>
      <c r="AC264" s="2248"/>
      <c r="AD264" s="2249"/>
      <c r="AE264" s="2249"/>
      <c r="AF264" s="2238"/>
      <c r="AG264" s="2264"/>
      <c r="AI264" s="2252" t="s">
        <v>15</v>
      </c>
      <c r="AJ264" s="2237"/>
      <c r="AK264" s="2237"/>
      <c r="AL264" s="2237"/>
      <c r="AM264" s="2237"/>
      <c r="AN264" s="2240"/>
      <c r="AO264" s="2241"/>
      <c r="AP264" s="2239"/>
      <c r="AQ264" s="2242"/>
      <c r="AR264" s="2250"/>
      <c r="AS264" s="2244"/>
      <c r="AT264" s="2244"/>
      <c r="AU264" s="2245"/>
      <c r="AV264" s="2246"/>
      <c r="AW264" s="2247"/>
      <c r="AX264" s="2248"/>
      <c r="AY264" s="2249"/>
      <c r="AZ264" s="2249"/>
      <c r="BA264" s="2238"/>
      <c r="BB264" s="2264"/>
      <c r="BD264" s="2252" t="s">
        <v>15</v>
      </c>
      <c r="BE264" s="2237"/>
      <c r="BF264" s="2237"/>
      <c r="BG264" s="2237"/>
      <c r="BH264" s="2237"/>
      <c r="BI264" s="2240"/>
      <c r="BJ264" s="2241"/>
      <c r="BK264" s="2239"/>
      <c r="BL264" s="2242"/>
      <c r="BM264" s="2250"/>
      <c r="BN264" s="2244"/>
      <c r="BO264" s="2244"/>
      <c r="BP264" s="2245"/>
      <c r="BQ264" s="2246"/>
      <c r="BR264" s="2247"/>
      <c r="BS264" s="2248"/>
      <c r="BT264" s="2249"/>
      <c r="BU264" s="2249"/>
      <c r="BV264" s="2238"/>
      <c r="BW264" s="2264"/>
      <c r="BY264" s="3">
        <v>1</v>
      </c>
    </row>
    <row r="265" spans="2:77" ht="21" customHeight="1">
      <c r="B265" s="2265" t="str" cm="1">
        <f t="array" ref="B265">SUMPRODUCT(--(D265:J265&lt;&gt;""), LEN(TRIM(SUBSTITUTE(D265:J265, CHAR(160), "")))) &amp; " Car."</f>
        <v>0 Car.</v>
      </c>
      <c r="C265" s="1376" t="str">
        <f>IF(ISBLANK(D265),"",LARGE(C13:C264,1)+1)</f>
        <v/>
      </c>
      <c r="D265" s="1833"/>
      <c r="E265" s="1810"/>
      <c r="F265" s="1810"/>
      <c r="G265" s="1810"/>
      <c r="H265" s="1810"/>
      <c r="I265" s="1810"/>
      <c r="J265" s="1810"/>
      <c r="K265" s="1810"/>
      <c r="L265" s="1811"/>
      <c r="M265" s="9"/>
      <c r="N265" s="2252" t="s">
        <v>15</v>
      </c>
      <c r="O265" s="2237"/>
      <c r="P265" s="2237"/>
      <c r="Q265" s="2237"/>
      <c r="R265" s="2237"/>
      <c r="S265" s="2240"/>
      <c r="T265" s="2241"/>
      <c r="U265" s="2239"/>
      <c r="V265" s="2242"/>
      <c r="W265" s="2250"/>
      <c r="X265" s="2244"/>
      <c r="Y265" s="2244"/>
      <c r="Z265" s="2245"/>
      <c r="AA265" s="2246"/>
      <c r="AB265" s="2247"/>
      <c r="AC265" s="2248"/>
      <c r="AD265" s="2249"/>
      <c r="AE265" s="2249"/>
      <c r="AF265" s="2238"/>
      <c r="AG265" s="2264"/>
      <c r="AI265" s="2252" t="s">
        <v>15</v>
      </c>
      <c r="AJ265" s="2237"/>
      <c r="AK265" s="2237"/>
      <c r="AL265" s="2237"/>
      <c r="AM265" s="2237"/>
      <c r="AN265" s="2240"/>
      <c r="AO265" s="2241"/>
      <c r="AP265" s="2239"/>
      <c r="AQ265" s="2242"/>
      <c r="AR265" s="2250"/>
      <c r="AS265" s="2244"/>
      <c r="AT265" s="2244"/>
      <c r="AU265" s="2245"/>
      <c r="AV265" s="2246"/>
      <c r="AW265" s="2247"/>
      <c r="AX265" s="2248"/>
      <c r="AY265" s="2249"/>
      <c r="AZ265" s="2249"/>
      <c r="BA265" s="2238"/>
      <c r="BB265" s="2264"/>
      <c r="BD265" s="2252" t="s">
        <v>15</v>
      </c>
      <c r="BE265" s="2237"/>
      <c r="BF265" s="2237"/>
      <c r="BG265" s="2237"/>
      <c r="BH265" s="2237"/>
      <c r="BI265" s="2240"/>
      <c r="BJ265" s="2241"/>
      <c r="BK265" s="2239"/>
      <c r="BL265" s="2242"/>
      <c r="BM265" s="2250"/>
      <c r="BN265" s="2244"/>
      <c r="BO265" s="2244"/>
      <c r="BP265" s="2245"/>
      <c r="BQ265" s="2246"/>
      <c r="BR265" s="2247"/>
      <c r="BS265" s="2248"/>
      <c r="BT265" s="2249"/>
      <c r="BU265" s="2249"/>
      <c r="BV265" s="2238"/>
      <c r="BW265" s="2264"/>
      <c r="BY265" s="3">
        <v>1</v>
      </c>
    </row>
    <row r="266" spans="2:77" ht="21" customHeight="1">
      <c r="B266" s="2265" t="str" cm="1">
        <f t="array" ref="B266">SUMPRODUCT(--(D266:J266&lt;&gt;""), LEN(TRIM(SUBSTITUTE(D266:J266, CHAR(160), "")))) &amp; " Car."</f>
        <v>0 Car.</v>
      </c>
      <c r="C266" s="1376" t="str">
        <f>IF(ISBLANK(D266),"",LARGE(C13:C265,1)+1)</f>
        <v/>
      </c>
      <c r="D266" s="1833"/>
      <c r="E266" s="1810"/>
      <c r="F266" s="1810"/>
      <c r="G266" s="1810"/>
      <c r="H266" s="1810"/>
      <c r="I266" s="1810"/>
      <c r="J266" s="1810"/>
      <c r="K266" s="1810"/>
      <c r="L266" s="1811"/>
      <c r="M266" s="9"/>
      <c r="N266" s="2252" t="s">
        <v>15</v>
      </c>
      <c r="O266" s="2237"/>
      <c r="P266" s="2237"/>
      <c r="Q266" s="2237"/>
      <c r="R266" s="2237"/>
      <c r="S266" s="2240"/>
      <c r="T266" s="2241"/>
      <c r="U266" s="2239"/>
      <c r="V266" s="2242"/>
      <c r="W266" s="2250"/>
      <c r="X266" s="2244"/>
      <c r="Y266" s="2244"/>
      <c r="Z266" s="2245"/>
      <c r="AA266" s="2246"/>
      <c r="AB266" s="2247"/>
      <c r="AC266" s="2248"/>
      <c r="AD266" s="2249"/>
      <c r="AE266" s="2249"/>
      <c r="AF266" s="2238"/>
      <c r="AG266" s="2264"/>
      <c r="AI266" s="2252" t="s">
        <v>15</v>
      </c>
      <c r="AJ266" s="2237"/>
      <c r="AK266" s="2237"/>
      <c r="AL266" s="2237"/>
      <c r="AM266" s="2237"/>
      <c r="AN266" s="2240"/>
      <c r="AO266" s="2241"/>
      <c r="AP266" s="2239"/>
      <c r="AQ266" s="2242"/>
      <c r="AR266" s="2250"/>
      <c r="AS266" s="2244"/>
      <c r="AT266" s="2244"/>
      <c r="AU266" s="2245"/>
      <c r="AV266" s="2246"/>
      <c r="AW266" s="2247"/>
      <c r="AX266" s="2248"/>
      <c r="AY266" s="2249"/>
      <c r="AZ266" s="2249"/>
      <c r="BA266" s="2238"/>
      <c r="BB266" s="2264"/>
      <c r="BD266" s="2252" t="s">
        <v>15</v>
      </c>
      <c r="BE266" s="2237"/>
      <c r="BF266" s="2237"/>
      <c r="BG266" s="2237"/>
      <c r="BH266" s="2237"/>
      <c r="BI266" s="2240"/>
      <c r="BJ266" s="2241"/>
      <c r="BK266" s="2239"/>
      <c r="BL266" s="2242"/>
      <c r="BM266" s="2250"/>
      <c r="BN266" s="2244"/>
      <c r="BO266" s="2244"/>
      <c r="BP266" s="2245"/>
      <c r="BQ266" s="2246"/>
      <c r="BR266" s="2247"/>
      <c r="BS266" s="2248"/>
      <c r="BT266" s="2249"/>
      <c r="BU266" s="2249"/>
      <c r="BV266" s="2238"/>
      <c r="BW266" s="2264"/>
      <c r="BY266" s="3">
        <v>1</v>
      </c>
    </row>
    <row r="267" spans="2:77" ht="21" customHeight="1">
      <c r="B267" s="2265" t="str" cm="1">
        <f t="array" ref="B267">SUMPRODUCT(--(D267:J267&lt;&gt;""), LEN(TRIM(SUBSTITUTE(D267:J267, CHAR(160), "")))) &amp; " Car."</f>
        <v>0 Car.</v>
      </c>
      <c r="C267" s="1376" t="str">
        <f>IF(ISBLANK(D267),"",LARGE(C13:C266,1)+1)</f>
        <v/>
      </c>
      <c r="D267" s="1833"/>
      <c r="E267" s="1810"/>
      <c r="F267" s="1810"/>
      <c r="G267" s="1810"/>
      <c r="H267" s="1810"/>
      <c r="I267" s="1810"/>
      <c r="J267" s="1810"/>
      <c r="K267" s="1810"/>
      <c r="L267" s="1811"/>
      <c r="M267" s="9"/>
      <c r="N267" s="2252" t="s">
        <v>15</v>
      </c>
      <c r="O267" s="2237"/>
      <c r="P267" s="2237"/>
      <c r="Q267" s="2237"/>
      <c r="R267" s="2237"/>
      <c r="S267" s="2240"/>
      <c r="T267" s="2241"/>
      <c r="U267" s="2239"/>
      <c r="V267" s="2242"/>
      <c r="W267" s="2250"/>
      <c r="X267" s="2244"/>
      <c r="Y267" s="2244"/>
      <c r="Z267" s="2245"/>
      <c r="AA267" s="2246"/>
      <c r="AB267" s="2247"/>
      <c r="AC267" s="2248"/>
      <c r="AD267" s="2249"/>
      <c r="AE267" s="2249"/>
      <c r="AF267" s="2238"/>
      <c r="AG267" s="2264"/>
      <c r="AI267" s="2252" t="s">
        <v>15</v>
      </c>
      <c r="AJ267" s="2237"/>
      <c r="AK267" s="2237"/>
      <c r="AL267" s="2237"/>
      <c r="AM267" s="2237"/>
      <c r="AN267" s="2240"/>
      <c r="AO267" s="2241"/>
      <c r="AP267" s="2239"/>
      <c r="AQ267" s="2242"/>
      <c r="AR267" s="2250"/>
      <c r="AS267" s="2244"/>
      <c r="AT267" s="2244"/>
      <c r="AU267" s="2245"/>
      <c r="AV267" s="2246"/>
      <c r="AW267" s="2247"/>
      <c r="AX267" s="2248"/>
      <c r="AY267" s="2249"/>
      <c r="AZ267" s="2249"/>
      <c r="BA267" s="2238"/>
      <c r="BB267" s="2264"/>
      <c r="BD267" s="2252" t="s">
        <v>15</v>
      </c>
      <c r="BE267" s="2237"/>
      <c r="BF267" s="2237"/>
      <c r="BG267" s="2237"/>
      <c r="BH267" s="2237"/>
      <c r="BI267" s="2240"/>
      <c r="BJ267" s="2241"/>
      <c r="BK267" s="2239"/>
      <c r="BL267" s="2242"/>
      <c r="BM267" s="2250"/>
      <c r="BN267" s="2244"/>
      <c r="BO267" s="2244"/>
      <c r="BP267" s="2245"/>
      <c r="BQ267" s="2246"/>
      <c r="BR267" s="2247"/>
      <c r="BS267" s="2248"/>
      <c r="BT267" s="2249"/>
      <c r="BU267" s="2249"/>
      <c r="BV267" s="2238"/>
      <c r="BW267" s="2264"/>
      <c r="BY267" s="3">
        <v>1</v>
      </c>
    </row>
    <row r="268" spans="2:77" ht="21" customHeight="1">
      <c r="B268" s="2265" t="str" cm="1">
        <f t="array" ref="B268">SUMPRODUCT(--(D268:J268&lt;&gt;""), LEN(TRIM(SUBSTITUTE(D268:J268, CHAR(160), "")))) &amp; " Car."</f>
        <v>0 Car.</v>
      </c>
      <c r="C268" s="1376" t="str">
        <f>IF(ISBLANK(D268),"",LARGE(C13:C267,1)+1)</f>
        <v/>
      </c>
      <c r="D268" s="1833"/>
      <c r="E268" s="1810"/>
      <c r="F268" s="1810"/>
      <c r="G268" s="1810"/>
      <c r="H268" s="1810"/>
      <c r="I268" s="1810"/>
      <c r="J268" s="1810"/>
      <c r="K268" s="1810"/>
      <c r="L268" s="1811"/>
      <c r="M268" s="9"/>
      <c r="N268" s="2252" t="s">
        <v>15</v>
      </c>
      <c r="O268" s="2237"/>
      <c r="P268" s="2237"/>
      <c r="Q268" s="2237"/>
      <c r="R268" s="2237"/>
      <c r="S268" s="2240"/>
      <c r="T268" s="2241"/>
      <c r="U268" s="2239"/>
      <c r="V268" s="2242"/>
      <c r="W268" s="2250"/>
      <c r="X268" s="2244"/>
      <c r="Y268" s="2244"/>
      <c r="Z268" s="2245"/>
      <c r="AA268" s="2246"/>
      <c r="AB268" s="2247"/>
      <c r="AC268" s="2248"/>
      <c r="AD268" s="2249"/>
      <c r="AE268" s="2249"/>
      <c r="AF268" s="2238"/>
      <c r="AG268" s="2264"/>
      <c r="AI268" s="2252" t="s">
        <v>15</v>
      </c>
      <c r="AJ268" s="2237"/>
      <c r="AK268" s="2237"/>
      <c r="AL268" s="2237"/>
      <c r="AM268" s="2237"/>
      <c r="AN268" s="2240"/>
      <c r="AO268" s="2241"/>
      <c r="AP268" s="2239"/>
      <c r="AQ268" s="2242"/>
      <c r="AR268" s="2250"/>
      <c r="AS268" s="2244"/>
      <c r="AT268" s="2244"/>
      <c r="AU268" s="2245"/>
      <c r="AV268" s="2246"/>
      <c r="AW268" s="2247"/>
      <c r="AX268" s="2248"/>
      <c r="AY268" s="2249"/>
      <c r="AZ268" s="2249"/>
      <c r="BA268" s="2238"/>
      <c r="BB268" s="2264"/>
      <c r="BD268" s="2252" t="s">
        <v>15</v>
      </c>
      <c r="BE268" s="2237"/>
      <c r="BF268" s="2237"/>
      <c r="BG268" s="2237"/>
      <c r="BH268" s="2237"/>
      <c r="BI268" s="2240"/>
      <c r="BJ268" s="2241"/>
      <c r="BK268" s="2239"/>
      <c r="BL268" s="2242"/>
      <c r="BM268" s="2250"/>
      <c r="BN268" s="2244"/>
      <c r="BO268" s="2244"/>
      <c r="BP268" s="2245"/>
      <c r="BQ268" s="2246"/>
      <c r="BR268" s="2247"/>
      <c r="BS268" s="2248"/>
      <c r="BT268" s="2249"/>
      <c r="BU268" s="2249"/>
      <c r="BV268" s="2238"/>
      <c r="BW268" s="2264"/>
      <c r="BY268" s="3">
        <v>1</v>
      </c>
    </row>
    <row r="269" spans="2:77" ht="21" customHeight="1">
      <c r="B269" s="2265" t="str" cm="1">
        <f t="array" ref="B269">SUMPRODUCT(--(D269:J269&lt;&gt;""), LEN(TRIM(SUBSTITUTE(D269:J269, CHAR(160), "")))) &amp; " Car."</f>
        <v>0 Car.</v>
      </c>
      <c r="C269" s="1376" t="str">
        <f>IF(ISBLANK(D269),"",LARGE(C13:C268,1)+1)</f>
        <v/>
      </c>
      <c r="D269" s="1833"/>
      <c r="E269" s="1810"/>
      <c r="F269" s="1810"/>
      <c r="G269" s="1810"/>
      <c r="H269" s="1810"/>
      <c r="I269" s="1810"/>
      <c r="J269" s="1810"/>
      <c r="K269" s="1810"/>
      <c r="L269" s="1811"/>
      <c r="M269" s="9"/>
      <c r="N269" s="2252" t="s">
        <v>15</v>
      </c>
      <c r="O269" s="2237"/>
      <c r="P269" s="2237"/>
      <c r="Q269" s="2237"/>
      <c r="R269" s="2237"/>
      <c r="S269" s="2240"/>
      <c r="T269" s="2241"/>
      <c r="U269" s="2239"/>
      <c r="V269" s="2242"/>
      <c r="W269" s="2250"/>
      <c r="X269" s="2244"/>
      <c r="Y269" s="2244"/>
      <c r="Z269" s="2245"/>
      <c r="AA269" s="2246"/>
      <c r="AB269" s="2247"/>
      <c r="AC269" s="2248"/>
      <c r="AD269" s="2249"/>
      <c r="AE269" s="2249"/>
      <c r="AF269" s="2238"/>
      <c r="AG269" s="2264"/>
      <c r="AI269" s="2252" t="s">
        <v>15</v>
      </c>
      <c r="AJ269" s="2237"/>
      <c r="AK269" s="2237"/>
      <c r="AL269" s="2237"/>
      <c r="AM269" s="2237"/>
      <c r="AN269" s="2240"/>
      <c r="AO269" s="2241"/>
      <c r="AP269" s="2239"/>
      <c r="AQ269" s="2242"/>
      <c r="AR269" s="2250"/>
      <c r="AS269" s="2244"/>
      <c r="AT269" s="2244"/>
      <c r="AU269" s="2245"/>
      <c r="AV269" s="2246"/>
      <c r="AW269" s="2247"/>
      <c r="AX269" s="2248"/>
      <c r="AY269" s="2249"/>
      <c r="AZ269" s="2249"/>
      <c r="BA269" s="2238"/>
      <c r="BB269" s="2264"/>
      <c r="BD269" s="2252" t="s">
        <v>15</v>
      </c>
      <c r="BE269" s="2237"/>
      <c r="BF269" s="2237"/>
      <c r="BG269" s="2237"/>
      <c r="BH269" s="2237"/>
      <c r="BI269" s="2240"/>
      <c r="BJ269" s="2241"/>
      <c r="BK269" s="2239"/>
      <c r="BL269" s="2242"/>
      <c r="BM269" s="2250"/>
      <c r="BN269" s="2244"/>
      <c r="BO269" s="2244"/>
      <c r="BP269" s="2245"/>
      <c r="BQ269" s="2246"/>
      <c r="BR269" s="2247"/>
      <c r="BS269" s="2248"/>
      <c r="BT269" s="2249"/>
      <c r="BU269" s="2249"/>
      <c r="BV269" s="2238"/>
      <c r="BW269" s="2264"/>
      <c r="BY269" s="3">
        <v>1</v>
      </c>
    </row>
    <row r="270" spans="2:77" ht="21" customHeight="1">
      <c r="B270" s="2265" t="str" cm="1">
        <f t="array" ref="B270">SUMPRODUCT(--(D270:J270&lt;&gt;""), LEN(TRIM(SUBSTITUTE(D270:J270, CHAR(160), "")))) &amp; " Car."</f>
        <v>0 Car.</v>
      </c>
      <c r="C270" s="1376" t="str">
        <f>IF(ISBLANK(D270),"",LARGE(C13:C269,1)+1)</f>
        <v/>
      </c>
      <c r="D270" s="1833"/>
      <c r="E270" s="1810"/>
      <c r="F270" s="1810"/>
      <c r="G270" s="1810"/>
      <c r="H270" s="1810"/>
      <c r="I270" s="1810"/>
      <c r="J270" s="1810"/>
      <c r="K270" s="1810"/>
      <c r="L270" s="1811"/>
      <c r="M270" s="9"/>
      <c r="N270" s="2252" t="s">
        <v>15</v>
      </c>
      <c r="O270" s="2237"/>
      <c r="P270" s="2237"/>
      <c r="Q270" s="2237"/>
      <c r="R270" s="2237"/>
      <c r="S270" s="2240"/>
      <c r="T270" s="2241"/>
      <c r="U270" s="2239"/>
      <c r="V270" s="2242"/>
      <c r="W270" s="2250"/>
      <c r="X270" s="2244"/>
      <c r="Y270" s="2244"/>
      <c r="Z270" s="2245"/>
      <c r="AA270" s="2246"/>
      <c r="AB270" s="2247"/>
      <c r="AC270" s="2248"/>
      <c r="AD270" s="2249"/>
      <c r="AE270" s="2249"/>
      <c r="AF270" s="2238"/>
      <c r="AG270" s="2264"/>
      <c r="AI270" s="2252" t="s">
        <v>15</v>
      </c>
      <c r="AJ270" s="2237"/>
      <c r="AK270" s="2237"/>
      <c r="AL270" s="2237"/>
      <c r="AM270" s="2237"/>
      <c r="AN270" s="2240"/>
      <c r="AO270" s="2241"/>
      <c r="AP270" s="2239"/>
      <c r="AQ270" s="2242"/>
      <c r="AR270" s="2250"/>
      <c r="AS270" s="2244"/>
      <c r="AT270" s="2244"/>
      <c r="AU270" s="2245"/>
      <c r="AV270" s="2246"/>
      <c r="AW270" s="2247"/>
      <c r="AX270" s="2248"/>
      <c r="AY270" s="2249"/>
      <c r="AZ270" s="2249"/>
      <c r="BA270" s="2238"/>
      <c r="BB270" s="2264"/>
      <c r="BD270" s="2252" t="s">
        <v>15</v>
      </c>
      <c r="BE270" s="2237"/>
      <c r="BF270" s="2237"/>
      <c r="BG270" s="2237"/>
      <c r="BH270" s="2237"/>
      <c r="BI270" s="2240"/>
      <c r="BJ270" s="2241"/>
      <c r="BK270" s="2239"/>
      <c r="BL270" s="2242"/>
      <c r="BM270" s="2250"/>
      <c r="BN270" s="2244"/>
      <c r="BO270" s="2244"/>
      <c r="BP270" s="2245"/>
      <c r="BQ270" s="2246"/>
      <c r="BR270" s="2247"/>
      <c r="BS270" s="2248"/>
      <c r="BT270" s="2249"/>
      <c r="BU270" s="2249"/>
      <c r="BV270" s="2238"/>
      <c r="BW270" s="2264"/>
      <c r="BY270" s="3">
        <v>1</v>
      </c>
    </row>
    <row r="271" spans="2:77" ht="21" customHeight="1">
      <c r="B271" s="2265" t="str" cm="1">
        <f t="array" ref="B271">SUMPRODUCT(--(D271:J271&lt;&gt;""), LEN(TRIM(SUBSTITUTE(D271:J271, CHAR(160), "")))) &amp; " Car."</f>
        <v>0 Car.</v>
      </c>
      <c r="C271" s="1376" t="str">
        <f>IF(ISBLANK(D271),"",LARGE(C13:C270,1)+1)</f>
        <v/>
      </c>
      <c r="D271" s="1833"/>
      <c r="E271" s="1810"/>
      <c r="F271" s="1810"/>
      <c r="G271" s="1810"/>
      <c r="H271" s="1810"/>
      <c r="I271" s="1810"/>
      <c r="J271" s="1810"/>
      <c r="K271" s="1810"/>
      <c r="L271" s="1811"/>
      <c r="M271" s="9"/>
      <c r="N271" s="2252" t="s">
        <v>15</v>
      </c>
      <c r="O271" s="2237"/>
      <c r="P271" s="2237"/>
      <c r="Q271" s="2237"/>
      <c r="R271" s="2237"/>
      <c r="S271" s="2240"/>
      <c r="T271" s="2241"/>
      <c r="U271" s="2239"/>
      <c r="V271" s="2242"/>
      <c r="W271" s="2250"/>
      <c r="X271" s="2244"/>
      <c r="Y271" s="2244"/>
      <c r="Z271" s="2245"/>
      <c r="AA271" s="2246"/>
      <c r="AB271" s="2247"/>
      <c r="AC271" s="2248"/>
      <c r="AD271" s="2249"/>
      <c r="AE271" s="2249"/>
      <c r="AF271" s="2238"/>
      <c r="AG271" s="2264"/>
      <c r="AI271" s="2252" t="s">
        <v>15</v>
      </c>
      <c r="AJ271" s="2237"/>
      <c r="AK271" s="2237"/>
      <c r="AL271" s="2237"/>
      <c r="AM271" s="2237"/>
      <c r="AN271" s="2240"/>
      <c r="AO271" s="2241"/>
      <c r="AP271" s="2239"/>
      <c r="AQ271" s="2242"/>
      <c r="AR271" s="2250"/>
      <c r="AS271" s="2244"/>
      <c r="AT271" s="2244"/>
      <c r="AU271" s="2245"/>
      <c r="AV271" s="2246"/>
      <c r="AW271" s="2247"/>
      <c r="AX271" s="2248"/>
      <c r="AY271" s="2249"/>
      <c r="AZ271" s="2249"/>
      <c r="BA271" s="2238"/>
      <c r="BB271" s="2264"/>
      <c r="BD271" s="2252" t="s">
        <v>15</v>
      </c>
      <c r="BE271" s="2237"/>
      <c r="BF271" s="2237"/>
      <c r="BG271" s="2237"/>
      <c r="BH271" s="2237"/>
      <c r="BI271" s="2240"/>
      <c r="BJ271" s="2241"/>
      <c r="BK271" s="2239"/>
      <c r="BL271" s="2242"/>
      <c r="BM271" s="2250"/>
      <c r="BN271" s="2244"/>
      <c r="BO271" s="2244"/>
      <c r="BP271" s="2245"/>
      <c r="BQ271" s="2246"/>
      <c r="BR271" s="2247"/>
      <c r="BS271" s="2248"/>
      <c r="BT271" s="2249"/>
      <c r="BU271" s="2249"/>
      <c r="BV271" s="2238"/>
      <c r="BW271" s="2264"/>
      <c r="BY271" s="3">
        <v>1</v>
      </c>
    </row>
    <row r="272" spans="2:77" ht="21" customHeight="1">
      <c r="B272" s="2265" t="str" cm="1">
        <f t="array" ref="B272">SUMPRODUCT(--(D272:J272&lt;&gt;""), LEN(TRIM(SUBSTITUTE(D272:J272, CHAR(160), "")))) &amp; " Car."</f>
        <v>0 Car.</v>
      </c>
      <c r="C272" s="1376" t="str">
        <f>IF(ISBLANK(D272),"",LARGE(C13:C271,1)+1)</f>
        <v/>
      </c>
      <c r="D272" s="1833"/>
      <c r="E272" s="1810"/>
      <c r="F272" s="1810"/>
      <c r="G272" s="1810"/>
      <c r="H272" s="1810"/>
      <c r="I272" s="1810"/>
      <c r="J272" s="1810"/>
      <c r="K272" s="1810"/>
      <c r="L272" s="1811"/>
      <c r="M272" s="9"/>
      <c r="N272" s="2252" t="s">
        <v>15</v>
      </c>
      <c r="O272" s="2237"/>
      <c r="P272" s="2237"/>
      <c r="Q272" s="2237"/>
      <c r="R272" s="2237"/>
      <c r="S272" s="2240"/>
      <c r="T272" s="2241"/>
      <c r="U272" s="2239"/>
      <c r="V272" s="2242"/>
      <c r="W272" s="2250"/>
      <c r="X272" s="2244"/>
      <c r="Y272" s="2244"/>
      <c r="Z272" s="2245"/>
      <c r="AA272" s="2246"/>
      <c r="AB272" s="2247"/>
      <c r="AC272" s="2248"/>
      <c r="AD272" s="2249"/>
      <c r="AE272" s="2249"/>
      <c r="AF272" s="2238"/>
      <c r="AG272" s="2264"/>
      <c r="AI272" s="2252" t="s">
        <v>15</v>
      </c>
      <c r="AJ272" s="2237"/>
      <c r="AK272" s="2237"/>
      <c r="AL272" s="2237"/>
      <c r="AM272" s="2237"/>
      <c r="AN272" s="2240"/>
      <c r="AO272" s="2241"/>
      <c r="AP272" s="2239"/>
      <c r="AQ272" s="2242"/>
      <c r="AR272" s="2250"/>
      <c r="AS272" s="2244"/>
      <c r="AT272" s="2244"/>
      <c r="AU272" s="2245"/>
      <c r="AV272" s="2246"/>
      <c r="AW272" s="2247"/>
      <c r="AX272" s="2248"/>
      <c r="AY272" s="2249"/>
      <c r="AZ272" s="2249"/>
      <c r="BA272" s="2238"/>
      <c r="BB272" s="2264"/>
      <c r="BD272" s="2252" t="s">
        <v>15</v>
      </c>
      <c r="BE272" s="2237"/>
      <c r="BF272" s="2237"/>
      <c r="BG272" s="2237"/>
      <c r="BH272" s="2237"/>
      <c r="BI272" s="2240"/>
      <c r="BJ272" s="2241"/>
      <c r="BK272" s="2239"/>
      <c r="BL272" s="2242"/>
      <c r="BM272" s="2250"/>
      <c r="BN272" s="2244"/>
      <c r="BO272" s="2244"/>
      <c r="BP272" s="2245"/>
      <c r="BQ272" s="2246"/>
      <c r="BR272" s="2247"/>
      <c r="BS272" s="2248"/>
      <c r="BT272" s="2249"/>
      <c r="BU272" s="2249"/>
      <c r="BV272" s="2238"/>
      <c r="BW272" s="2264"/>
      <c r="BY272" s="3">
        <v>1</v>
      </c>
    </row>
    <row r="273" spans="2:77" ht="21" customHeight="1">
      <c r="B273" s="2265" t="str" cm="1">
        <f t="array" ref="B273">SUMPRODUCT(--(D273:J273&lt;&gt;""), LEN(TRIM(SUBSTITUTE(D273:J273, CHAR(160), "")))) &amp; " Car."</f>
        <v>0 Car.</v>
      </c>
      <c r="C273" s="1376" t="str">
        <f>IF(ISBLANK(D273),"",LARGE(C13:C272,1)+1)</f>
        <v/>
      </c>
      <c r="D273" s="1833"/>
      <c r="E273" s="1810"/>
      <c r="F273" s="1810"/>
      <c r="G273" s="1810"/>
      <c r="H273" s="1810"/>
      <c r="I273" s="1810"/>
      <c r="J273" s="1810"/>
      <c r="K273" s="1810"/>
      <c r="L273" s="1811"/>
      <c r="M273" s="9"/>
      <c r="N273" s="2252" t="s">
        <v>15</v>
      </c>
      <c r="O273" s="2237"/>
      <c r="P273" s="2237"/>
      <c r="Q273" s="2237"/>
      <c r="R273" s="2237"/>
      <c r="S273" s="2240"/>
      <c r="T273" s="2241"/>
      <c r="U273" s="2239"/>
      <c r="V273" s="2242"/>
      <c r="W273" s="2250"/>
      <c r="X273" s="2244"/>
      <c r="Y273" s="2244"/>
      <c r="Z273" s="2245"/>
      <c r="AA273" s="2246"/>
      <c r="AB273" s="2247"/>
      <c r="AC273" s="2248"/>
      <c r="AD273" s="2249"/>
      <c r="AE273" s="2249"/>
      <c r="AF273" s="2238"/>
      <c r="AG273" s="2264"/>
      <c r="AI273" s="2252" t="s">
        <v>15</v>
      </c>
      <c r="AJ273" s="2237"/>
      <c r="AK273" s="2237"/>
      <c r="AL273" s="2237"/>
      <c r="AM273" s="2237"/>
      <c r="AN273" s="2240"/>
      <c r="AO273" s="2241"/>
      <c r="AP273" s="2239"/>
      <c r="AQ273" s="2242"/>
      <c r="AR273" s="2250"/>
      <c r="AS273" s="2244"/>
      <c r="AT273" s="2244"/>
      <c r="AU273" s="2245"/>
      <c r="AV273" s="2246"/>
      <c r="AW273" s="2247"/>
      <c r="AX273" s="2248"/>
      <c r="AY273" s="2249"/>
      <c r="AZ273" s="2249"/>
      <c r="BA273" s="2238"/>
      <c r="BB273" s="2264"/>
      <c r="BD273" s="2252" t="s">
        <v>15</v>
      </c>
      <c r="BE273" s="2237"/>
      <c r="BF273" s="2237"/>
      <c r="BG273" s="2237"/>
      <c r="BH273" s="2237"/>
      <c r="BI273" s="2240"/>
      <c r="BJ273" s="2241"/>
      <c r="BK273" s="2239"/>
      <c r="BL273" s="2242"/>
      <c r="BM273" s="2250"/>
      <c r="BN273" s="2244"/>
      <c r="BO273" s="2244"/>
      <c r="BP273" s="2245"/>
      <c r="BQ273" s="2246"/>
      <c r="BR273" s="2247"/>
      <c r="BS273" s="2248"/>
      <c r="BT273" s="2249"/>
      <c r="BU273" s="2249"/>
      <c r="BV273" s="2238"/>
      <c r="BW273" s="2264"/>
      <c r="BY273" s="3">
        <v>1</v>
      </c>
    </row>
    <row r="274" spans="2:77" ht="21" customHeight="1">
      <c r="B274" s="2265" t="str" cm="1">
        <f t="array" ref="B274">SUMPRODUCT(--(D274:J274&lt;&gt;""), LEN(TRIM(SUBSTITUTE(D274:J274, CHAR(160), "")))) &amp; " Car."</f>
        <v>0 Car.</v>
      </c>
      <c r="C274" s="1376" t="str">
        <f>IF(ISBLANK(D274),"",LARGE(C13:C273,1)+1)</f>
        <v/>
      </c>
      <c r="D274" s="1833"/>
      <c r="E274" s="1810"/>
      <c r="F274" s="1810"/>
      <c r="G274" s="1810"/>
      <c r="H274" s="1810"/>
      <c r="I274" s="1810"/>
      <c r="J274" s="1810"/>
      <c r="K274" s="1810"/>
      <c r="L274" s="1811"/>
      <c r="M274" s="9"/>
      <c r="N274" s="2252" t="s">
        <v>15</v>
      </c>
      <c r="O274" s="2237"/>
      <c r="P274" s="2237"/>
      <c r="Q274" s="2237"/>
      <c r="R274" s="2237"/>
      <c r="S274" s="2240"/>
      <c r="T274" s="2241"/>
      <c r="U274" s="2239"/>
      <c r="V274" s="2242"/>
      <c r="W274" s="2250"/>
      <c r="X274" s="2244"/>
      <c r="Y274" s="2244"/>
      <c r="Z274" s="2245"/>
      <c r="AA274" s="2246"/>
      <c r="AB274" s="2247"/>
      <c r="AC274" s="2248"/>
      <c r="AD274" s="2249"/>
      <c r="AE274" s="2249"/>
      <c r="AF274" s="2238"/>
      <c r="AG274" s="2264"/>
      <c r="AI274" s="2252" t="s">
        <v>15</v>
      </c>
      <c r="AJ274" s="2237"/>
      <c r="AK274" s="2237"/>
      <c r="AL274" s="2237"/>
      <c r="AM274" s="2237"/>
      <c r="AN274" s="2240"/>
      <c r="AO274" s="2241"/>
      <c r="AP274" s="2239"/>
      <c r="AQ274" s="2242"/>
      <c r="AR274" s="2250"/>
      <c r="AS274" s="2244"/>
      <c r="AT274" s="2244"/>
      <c r="AU274" s="2245"/>
      <c r="AV274" s="2246"/>
      <c r="AW274" s="2247"/>
      <c r="AX274" s="2248"/>
      <c r="AY274" s="2249"/>
      <c r="AZ274" s="2249"/>
      <c r="BA274" s="2238"/>
      <c r="BB274" s="2264"/>
      <c r="BD274" s="2252" t="s">
        <v>15</v>
      </c>
      <c r="BE274" s="2237"/>
      <c r="BF274" s="2237"/>
      <c r="BG274" s="2237"/>
      <c r="BH274" s="2237"/>
      <c r="BI274" s="2240"/>
      <c r="BJ274" s="2241"/>
      <c r="BK274" s="2239"/>
      <c r="BL274" s="2242"/>
      <c r="BM274" s="2250"/>
      <c r="BN274" s="2244"/>
      <c r="BO274" s="2244"/>
      <c r="BP274" s="2245"/>
      <c r="BQ274" s="2246"/>
      <c r="BR274" s="2247"/>
      <c r="BS274" s="2248"/>
      <c r="BT274" s="2249"/>
      <c r="BU274" s="2249"/>
      <c r="BV274" s="2238"/>
      <c r="BW274" s="2264"/>
      <c r="BY274" s="3">
        <v>1</v>
      </c>
    </row>
    <row r="275" spans="2:77" ht="21" customHeight="1">
      <c r="B275" s="2265" t="str" cm="1">
        <f t="array" ref="B275">SUMPRODUCT(--(D275:J275&lt;&gt;""), LEN(TRIM(SUBSTITUTE(D275:J275, CHAR(160), "")))) &amp; " Car."</f>
        <v>0 Car.</v>
      </c>
      <c r="C275" s="1376" t="str">
        <f>IF(ISBLANK(D275),"",LARGE(C13:C274,1)+1)</f>
        <v/>
      </c>
      <c r="D275" s="1833"/>
      <c r="E275" s="1810"/>
      <c r="F275" s="1810"/>
      <c r="G275" s="1810"/>
      <c r="H275" s="1810"/>
      <c r="I275" s="1810"/>
      <c r="J275" s="1810"/>
      <c r="K275" s="1810"/>
      <c r="L275" s="1811"/>
      <c r="M275" s="9"/>
      <c r="N275" s="2252" t="s">
        <v>15</v>
      </c>
      <c r="O275" s="2237"/>
      <c r="P275" s="2237"/>
      <c r="Q275" s="2237"/>
      <c r="R275" s="2237"/>
      <c r="S275" s="2240"/>
      <c r="T275" s="2241"/>
      <c r="U275" s="2239"/>
      <c r="V275" s="2242"/>
      <c r="W275" s="2250"/>
      <c r="X275" s="2244"/>
      <c r="Y275" s="2244"/>
      <c r="Z275" s="2245"/>
      <c r="AA275" s="2246"/>
      <c r="AB275" s="2247"/>
      <c r="AC275" s="2248"/>
      <c r="AD275" s="2249"/>
      <c r="AE275" s="2249"/>
      <c r="AF275" s="2238"/>
      <c r="AG275" s="2264"/>
      <c r="AI275" s="2252" t="s">
        <v>15</v>
      </c>
      <c r="AJ275" s="2237"/>
      <c r="AK275" s="2237"/>
      <c r="AL275" s="2237"/>
      <c r="AM275" s="2237"/>
      <c r="AN275" s="2240"/>
      <c r="AO275" s="2241"/>
      <c r="AP275" s="2239"/>
      <c r="AQ275" s="2242"/>
      <c r="AR275" s="2250"/>
      <c r="AS275" s="2244"/>
      <c r="AT275" s="2244"/>
      <c r="AU275" s="2245"/>
      <c r="AV275" s="2246"/>
      <c r="AW275" s="2247"/>
      <c r="AX275" s="2248"/>
      <c r="AY275" s="2249"/>
      <c r="AZ275" s="2249"/>
      <c r="BA275" s="2238"/>
      <c r="BB275" s="2264"/>
      <c r="BD275" s="2252" t="s">
        <v>15</v>
      </c>
      <c r="BE275" s="2237"/>
      <c r="BF275" s="2237"/>
      <c r="BG275" s="2237"/>
      <c r="BH275" s="2237"/>
      <c r="BI275" s="2240"/>
      <c r="BJ275" s="2241"/>
      <c r="BK275" s="2239"/>
      <c r="BL275" s="2242"/>
      <c r="BM275" s="2250"/>
      <c r="BN275" s="2244"/>
      <c r="BO275" s="2244"/>
      <c r="BP275" s="2245"/>
      <c r="BQ275" s="2246"/>
      <c r="BR275" s="2247"/>
      <c r="BS275" s="2248"/>
      <c r="BT275" s="2249"/>
      <c r="BU275" s="2249"/>
      <c r="BV275" s="2238"/>
      <c r="BW275" s="2264"/>
      <c r="BY275" s="3">
        <v>1</v>
      </c>
    </row>
    <row r="276" spans="2:77" ht="21" customHeight="1">
      <c r="B276" s="2265" t="str" cm="1">
        <f t="array" ref="B276">SUMPRODUCT(--(D276:J276&lt;&gt;""), LEN(TRIM(SUBSTITUTE(D276:J276, CHAR(160), "")))) &amp; " Car."</f>
        <v>0 Car.</v>
      </c>
      <c r="C276" s="1376" t="str">
        <f>IF(ISBLANK(D276),"",LARGE(C13:C275,1)+1)</f>
        <v/>
      </c>
      <c r="D276" s="1833"/>
      <c r="E276" s="1810"/>
      <c r="F276" s="1810"/>
      <c r="G276" s="1810"/>
      <c r="H276" s="1810"/>
      <c r="I276" s="1810"/>
      <c r="J276" s="1810"/>
      <c r="K276" s="1810"/>
      <c r="L276" s="1811"/>
      <c r="M276" s="9"/>
      <c r="N276" s="2252" t="s">
        <v>15</v>
      </c>
      <c r="O276" s="2237"/>
      <c r="P276" s="2237"/>
      <c r="Q276" s="2237"/>
      <c r="R276" s="2237"/>
      <c r="S276" s="2240"/>
      <c r="T276" s="2241"/>
      <c r="U276" s="2239"/>
      <c r="V276" s="2242"/>
      <c r="W276" s="2250"/>
      <c r="X276" s="2244"/>
      <c r="Y276" s="2244"/>
      <c r="Z276" s="2245"/>
      <c r="AA276" s="2246"/>
      <c r="AB276" s="2247"/>
      <c r="AC276" s="2248"/>
      <c r="AD276" s="2249"/>
      <c r="AE276" s="2249"/>
      <c r="AF276" s="2238"/>
      <c r="AG276" s="2264"/>
      <c r="AI276" s="2252" t="s">
        <v>15</v>
      </c>
      <c r="AJ276" s="2237"/>
      <c r="AK276" s="2237"/>
      <c r="AL276" s="2237"/>
      <c r="AM276" s="2237"/>
      <c r="AN276" s="2240"/>
      <c r="AO276" s="2241"/>
      <c r="AP276" s="2239"/>
      <c r="AQ276" s="2242"/>
      <c r="AR276" s="2250"/>
      <c r="AS276" s="2244"/>
      <c r="AT276" s="2244"/>
      <c r="AU276" s="2245"/>
      <c r="AV276" s="2246"/>
      <c r="AW276" s="2247"/>
      <c r="AX276" s="2248"/>
      <c r="AY276" s="2249"/>
      <c r="AZ276" s="2249"/>
      <c r="BA276" s="2238"/>
      <c r="BB276" s="2264"/>
      <c r="BD276" s="2252" t="s">
        <v>15</v>
      </c>
      <c r="BE276" s="2237"/>
      <c r="BF276" s="2237"/>
      <c r="BG276" s="2237"/>
      <c r="BH276" s="2237"/>
      <c r="BI276" s="2240"/>
      <c r="BJ276" s="2241"/>
      <c r="BK276" s="2239"/>
      <c r="BL276" s="2242"/>
      <c r="BM276" s="2250"/>
      <c r="BN276" s="2244"/>
      <c r="BO276" s="2244"/>
      <c r="BP276" s="2245"/>
      <c r="BQ276" s="2246"/>
      <c r="BR276" s="2247"/>
      <c r="BS276" s="2248"/>
      <c r="BT276" s="2249"/>
      <c r="BU276" s="2249"/>
      <c r="BV276" s="2238"/>
      <c r="BW276" s="2264"/>
      <c r="BY276" s="3">
        <v>1</v>
      </c>
    </row>
    <row r="277" spans="2:77" ht="21" customHeight="1">
      <c r="B277" s="2265" t="str" cm="1">
        <f t="array" ref="B277">SUMPRODUCT(--(D277:J277&lt;&gt;""), LEN(TRIM(SUBSTITUTE(D277:J277, CHAR(160), "")))) &amp; " Car."</f>
        <v>0 Car.</v>
      </c>
      <c r="C277" s="1376" t="str">
        <f>IF(ISBLANK(D277),"",LARGE(C13:C276,1)+1)</f>
        <v/>
      </c>
      <c r="D277" s="1833"/>
      <c r="E277" s="1810"/>
      <c r="F277" s="1810"/>
      <c r="G277" s="1810"/>
      <c r="H277" s="1810"/>
      <c r="I277" s="1810"/>
      <c r="J277" s="1810"/>
      <c r="K277" s="1810"/>
      <c r="L277" s="1811"/>
      <c r="M277" s="9"/>
      <c r="N277" s="2252" t="s">
        <v>15</v>
      </c>
      <c r="O277" s="2237"/>
      <c r="P277" s="2237"/>
      <c r="Q277" s="2237"/>
      <c r="R277" s="2237"/>
      <c r="S277" s="2240"/>
      <c r="T277" s="2241"/>
      <c r="U277" s="2239"/>
      <c r="V277" s="2242"/>
      <c r="W277" s="2250"/>
      <c r="X277" s="2244"/>
      <c r="Y277" s="2244"/>
      <c r="Z277" s="2245"/>
      <c r="AA277" s="2246"/>
      <c r="AB277" s="2247"/>
      <c r="AC277" s="2248"/>
      <c r="AD277" s="2249"/>
      <c r="AE277" s="2249"/>
      <c r="AF277" s="2238"/>
      <c r="AG277" s="2264"/>
      <c r="AI277" s="2252" t="s">
        <v>15</v>
      </c>
      <c r="AJ277" s="2237"/>
      <c r="AK277" s="2237"/>
      <c r="AL277" s="2237"/>
      <c r="AM277" s="2237"/>
      <c r="AN277" s="2240"/>
      <c r="AO277" s="2241"/>
      <c r="AP277" s="2239"/>
      <c r="AQ277" s="2242"/>
      <c r="AR277" s="2250"/>
      <c r="AS277" s="2244"/>
      <c r="AT277" s="2244"/>
      <c r="AU277" s="2245"/>
      <c r="AV277" s="2246"/>
      <c r="AW277" s="2247"/>
      <c r="AX277" s="2248"/>
      <c r="AY277" s="2249"/>
      <c r="AZ277" s="2249"/>
      <c r="BA277" s="2238"/>
      <c r="BB277" s="2264"/>
      <c r="BD277" s="2252" t="s">
        <v>15</v>
      </c>
      <c r="BE277" s="2237"/>
      <c r="BF277" s="2237"/>
      <c r="BG277" s="2237"/>
      <c r="BH277" s="2237"/>
      <c r="BI277" s="2240"/>
      <c r="BJ277" s="2241"/>
      <c r="BK277" s="2239"/>
      <c r="BL277" s="2242"/>
      <c r="BM277" s="2250"/>
      <c r="BN277" s="2244"/>
      <c r="BO277" s="2244"/>
      <c r="BP277" s="2245"/>
      <c r="BQ277" s="2246"/>
      <c r="BR277" s="2247"/>
      <c r="BS277" s="2248"/>
      <c r="BT277" s="2249"/>
      <c r="BU277" s="2249"/>
      <c r="BV277" s="2238"/>
      <c r="BW277" s="2264"/>
      <c r="BY277" s="3">
        <v>1</v>
      </c>
    </row>
    <row r="278" spans="2:77" ht="21" customHeight="1">
      <c r="B278" s="2265" t="str" cm="1">
        <f t="array" ref="B278">SUMPRODUCT(--(D278:J278&lt;&gt;""), LEN(TRIM(SUBSTITUTE(D278:J278, CHAR(160), "")))) &amp; " Car."</f>
        <v>0 Car.</v>
      </c>
      <c r="C278" s="1376" t="str">
        <f>IF(ISBLANK(D278),"",LARGE(C13:C277,1)+1)</f>
        <v/>
      </c>
      <c r="D278" s="1833"/>
      <c r="E278" s="1810"/>
      <c r="F278" s="1810"/>
      <c r="G278" s="1810"/>
      <c r="H278" s="1810"/>
      <c r="I278" s="1810"/>
      <c r="J278" s="1810"/>
      <c r="K278" s="1810"/>
      <c r="L278" s="1811"/>
      <c r="M278" s="9"/>
      <c r="N278" s="2252" t="s">
        <v>15</v>
      </c>
      <c r="O278" s="2237"/>
      <c r="P278" s="2237"/>
      <c r="Q278" s="2237"/>
      <c r="R278" s="2237"/>
      <c r="S278" s="2240"/>
      <c r="T278" s="2241"/>
      <c r="U278" s="2239"/>
      <c r="V278" s="2242"/>
      <c r="W278" s="2250"/>
      <c r="X278" s="2244"/>
      <c r="Y278" s="2244"/>
      <c r="Z278" s="2245"/>
      <c r="AA278" s="2246"/>
      <c r="AB278" s="2247"/>
      <c r="AC278" s="2248"/>
      <c r="AD278" s="2249"/>
      <c r="AE278" s="2249"/>
      <c r="AF278" s="2238"/>
      <c r="AG278" s="2264"/>
      <c r="AI278" s="2252" t="s">
        <v>15</v>
      </c>
      <c r="AJ278" s="2237"/>
      <c r="AK278" s="2237"/>
      <c r="AL278" s="2237"/>
      <c r="AM278" s="2237"/>
      <c r="AN278" s="2240"/>
      <c r="AO278" s="2241"/>
      <c r="AP278" s="2239"/>
      <c r="AQ278" s="2242"/>
      <c r="AR278" s="2250"/>
      <c r="AS278" s="2244"/>
      <c r="AT278" s="2244"/>
      <c r="AU278" s="2245"/>
      <c r="AV278" s="2246"/>
      <c r="AW278" s="2247"/>
      <c r="AX278" s="2248"/>
      <c r="AY278" s="2249"/>
      <c r="AZ278" s="2249"/>
      <c r="BA278" s="2238"/>
      <c r="BB278" s="2264"/>
      <c r="BD278" s="2252" t="s">
        <v>15</v>
      </c>
      <c r="BE278" s="2237"/>
      <c r="BF278" s="2237"/>
      <c r="BG278" s="2237"/>
      <c r="BH278" s="2237"/>
      <c r="BI278" s="2240"/>
      <c r="BJ278" s="2241"/>
      <c r="BK278" s="2239"/>
      <c r="BL278" s="2242"/>
      <c r="BM278" s="2250"/>
      <c r="BN278" s="2244"/>
      <c r="BO278" s="2244"/>
      <c r="BP278" s="2245"/>
      <c r="BQ278" s="2246"/>
      <c r="BR278" s="2247"/>
      <c r="BS278" s="2248"/>
      <c r="BT278" s="2249"/>
      <c r="BU278" s="2249"/>
      <c r="BV278" s="2238"/>
      <c r="BW278" s="2264"/>
      <c r="BY278" s="3">
        <v>1</v>
      </c>
    </row>
    <row r="279" spans="2:77" ht="21" customHeight="1">
      <c r="B279" s="2265" t="str" cm="1">
        <f t="array" ref="B279">SUMPRODUCT(--(D279:J279&lt;&gt;""), LEN(TRIM(SUBSTITUTE(D279:J279, CHAR(160), "")))) &amp; " Car."</f>
        <v>0 Car.</v>
      </c>
      <c r="C279" s="1376" t="str">
        <f>IF(ISBLANK(D279),"",LARGE(C13:C278,1)+1)</f>
        <v/>
      </c>
      <c r="D279" s="1833"/>
      <c r="E279" s="1810"/>
      <c r="F279" s="1810"/>
      <c r="G279" s="1810"/>
      <c r="H279" s="1810"/>
      <c r="I279" s="1810"/>
      <c r="J279" s="1810"/>
      <c r="K279" s="1810"/>
      <c r="L279" s="1811"/>
      <c r="M279" s="9"/>
      <c r="N279" s="2252" t="s">
        <v>15</v>
      </c>
      <c r="O279" s="2237"/>
      <c r="P279" s="2237"/>
      <c r="Q279" s="2237"/>
      <c r="R279" s="2237"/>
      <c r="S279" s="2240"/>
      <c r="T279" s="2241"/>
      <c r="U279" s="2239"/>
      <c r="V279" s="2242"/>
      <c r="W279" s="2250"/>
      <c r="X279" s="2244"/>
      <c r="Y279" s="2244"/>
      <c r="Z279" s="2245"/>
      <c r="AA279" s="2246"/>
      <c r="AB279" s="2247"/>
      <c r="AC279" s="2248"/>
      <c r="AD279" s="2249"/>
      <c r="AE279" s="2249"/>
      <c r="AF279" s="2238"/>
      <c r="AG279" s="2264"/>
      <c r="AI279" s="2252" t="s">
        <v>15</v>
      </c>
      <c r="AJ279" s="2237"/>
      <c r="AK279" s="2237"/>
      <c r="AL279" s="2237"/>
      <c r="AM279" s="2237"/>
      <c r="AN279" s="2240"/>
      <c r="AO279" s="2241"/>
      <c r="AP279" s="2239"/>
      <c r="AQ279" s="2242"/>
      <c r="AR279" s="2250"/>
      <c r="AS279" s="2244"/>
      <c r="AT279" s="2244"/>
      <c r="AU279" s="2245"/>
      <c r="AV279" s="2246"/>
      <c r="AW279" s="2247"/>
      <c r="AX279" s="2248"/>
      <c r="AY279" s="2249"/>
      <c r="AZ279" s="2249"/>
      <c r="BA279" s="2238"/>
      <c r="BB279" s="2264"/>
      <c r="BD279" s="2252" t="s">
        <v>15</v>
      </c>
      <c r="BE279" s="2237"/>
      <c r="BF279" s="2237"/>
      <c r="BG279" s="2237"/>
      <c r="BH279" s="2237"/>
      <c r="BI279" s="2240"/>
      <c r="BJ279" s="2241"/>
      <c r="BK279" s="2239"/>
      <c r="BL279" s="2242"/>
      <c r="BM279" s="2250"/>
      <c r="BN279" s="2244"/>
      <c r="BO279" s="2244"/>
      <c r="BP279" s="2245"/>
      <c r="BQ279" s="2246"/>
      <c r="BR279" s="2247"/>
      <c r="BS279" s="2248"/>
      <c r="BT279" s="2249"/>
      <c r="BU279" s="2249"/>
      <c r="BV279" s="2238"/>
      <c r="BW279" s="2264"/>
      <c r="BY279" s="3">
        <v>1</v>
      </c>
    </row>
    <row r="280" spans="2:77" ht="21" customHeight="1">
      <c r="B280" s="2265" t="str" cm="1">
        <f t="array" ref="B280">SUMPRODUCT(--(D280:J280&lt;&gt;""), LEN(TRIM(SUBSTITUTE(D280:J280, CHAR(160), "")))) &amp; " Car."</f>
        <v>0 Car.</v>
      </c>
      <c r="C280" s="1376" t="str">
        <f>IF(ISBLANK(D280),"",LARGE(C13:C279,1)+1)</f>
        <v/>
      </c>
      <c r="D280" s="1833"/>
      <c r="E280" s="1810"/>
      <c r="F280" s="1810"/>
      <c r="G280" s="1810"/>
      <c r="H280" s="1810"/>
      <c r="I280" s="1810"/>
      <c r="J280" s="1810"/>
      <c r="K280" s="1810"/>
      <c r="L280" s="1811"/>
      <c r="M280" s="9"/>
      <c r="N280" s="2252" t="s">
        <v>15</v>
      </c>
      <c r="O280" s="2237"/>
      <c r="P280" s="2237"/>
      <c r="Q280" s="2237"/>
      <c r="R280" s="2237"/>
      <c r="S280" s="2240"/>
      <c r="T280" s="2241"/>
      <c r="U280" s="2239"/>
      <c r="V280" s="2242"/>
      <c r="W280" s="2250"/>
      <c r="X280" s="2244"/>
      <c r="Y280" s="2244"/>
      <c r="Z280" s="2245"/>
      <c r="AA280" s="2246"/>
      <c r="AB280" s="2247"/>
      <c r="AC280" s="2248"/>
      <c r="AD280" s="2249"/>
      <c r="AE280" s="2249"/>
      <c r="AF280" s="2238"/>
      <c r="AG280" s="2264"/>
      <c r="AI280" s="2252" t="s">
        <v>15</v>
      </c>
      <c r="AJ280" s="2237"/>
      <c r="AK280" s="2237"/>
      <c r="AL280" s="2237"/>
      <c r="AM280" s="2237"/>
      <c r="AN280" s="2240"/>
      <c r="AO280" s="2241"/>
      <c r="AP280" s="2239"/>
      <c r="AQ280" s="2242"/>
      <c r="AR280" s="2250"/>
      <c r="AS280" s="2244"/>
      <c r="AT280" s="2244"/>
      <c r="AU280" s="2245"/>
      <c r="AV280" s="2246"/>
      <c r="AW280" s="2247"/>
      <c r="AX280" s="2248"/>
      <c r="AY280" s="2249"/>
      <c r="AZ280" s="2249"/>
      <c r="BA280" s="2238"/>
      <c r="BB280" s="2264"/>
      <c r="BD280" s="2252" t="s">
        <v>15</v>
      </c>
      <c r="BE280" s="2237"/>
      <c r="BF280" s="2237"/>
      <c r="BG280" s="2237"/>
      <c r="BH280" s="2237"/>
      <c r="BI280" s="2240"/>
      <c r="BJ280" s="2241"/>
      <c r="BK280" s="2239"/>
      <c r="BL280" s="2242"/>
      <c r="BM280" s="2250"/>
      <c r="BN280" s="2244"/>
      <c r="BO280" s="2244"/>
      <c r="BP280" s="2245"/>
      <c r="BQ280" s="2246"/>
      <c r="BR280" s="2247"/>
      <c r="BS280" s="2248"/>
      <c r="BT280" s="2249"/>
      <c r="BU280" s="2249"/>
      <c r="BV280" s="2238"/>
      <c r="BW280" s="2264"/>
      <c r="BY280" s="3">
        <v>1</v>
      </c>
    </row>
    <row r="281" spans="2:77" ht="21" customHeight="1">
      <c r="B281" s="2265" t="str" cm="1">
        <f t="array" ref="B281">SUMPRODUCT(--(D281:J281&lt;&gt;""), LEN(TRIM(SUBSTITUTE(D281:J281, CHAR(160), "")))) &amp; " Car."</f>
        <v>0 Car.</v>
      </c>
      <c r="C281" s="1376" t="str">
        <f>IF(ISBLANK(D281),"",LARGE(C13:C280,1)+1)</f>
        <v/>
      </c>
      <c r="D281" s="1833"/>
      <c r="E281" s="1810"/>
      <c r="F281" s="1810"/>
      <c r="G281" s="1810"/>
      <c r="H281" s="1810"/>
      <c r="I281" s="1810"/>
      <c r="J281" s="1810"/>
      <c r="K281" s="1810"/>
      <c r="L281" s="1811"/>
      <c r="M281" s="9"/>
      <c r="N281" s="2252" t="s">
        <v>15</v>
      </c>
      <c r="O281" s="2237"/>
      <c r="P281" s="2237"/>
      <c r="Q281" s="2237"/>
      <c r="R281" s="2237"/>
      <c r="S281" s="2240"/>
      <c r="T281" s="2241"/>
      <c r="U281" s="2239"/>
      <c r="V281" s="2242"/>
      <c r="W281" s="2250"/>
      <c r="X281" s="2244"/>
      <c r="Y281" s="2244"/>
      <c r="Z281" s="2245"/>
      <c r="AA281" s="2246"/>
      <c r="AB281" s="2247"/>
      <c r="AC281" s="2248"/>
      <c r="AD281" s="2249"/>
      <c r="AE281" s="2249"/>
      <c r="AF281" s="2238"/>
      <c r="AG281" s="2264"/>
      <c r="AI281" s="2252" t="s">
        <v>15</v>
      </c>
      <c r="AJ281" s="2237"/>
      <c r="AK281" s="2237"/>
      <c r="AL281" s="2237"/>
      <c r="AM281" s="2237"/>
      <c r="AN281" s="2240"/>
      <c r="AO281" s="2241"/>
      <c r="AP281" s="2239"/>
      <c r="AQ281" s="2242"/>
      <c r="AR281" s="2250"/>
      <c r="AS281" s="2244"/>
      <c r="AT281" s="2244"/>
      <c r="AU281" s="2245"/>
      <c r="AV281" s="2246"/>
      <c r="AW281" s="2247"/>
      <c r="AX281" s="2248"/>
      <c r="AY281" s="2249"/>
      <c r="AZ281" s="2249"/>
      <c r="BA281" s="2238"/>
      <c r="BB281" s="2264"/>
      <c r="BD281" s="2252" t="s">
        <v>15</v>
      </c>
      <c r="BE281" s="2237"/>
      <c r="BF281" s="2237"/>
      <c r="BG281" s="2237"/>
      <c r="BH281" s="2237"/>
      <c r="BI281" s="2240"/>
      <c r="BJ281" s="2241"/>
      <c r="BK281" s="2239"/>
      <c r="BL281" s="2242"/>
      <c r="BM281" s="2250"/>
      <c r="BN281" s="2244"/>
      <c r="BO281" s="2244"/>
      <c r="BP281" s="2245"/>
      <c r="BQ281" s="2246"/>
      <c r="BR281" s="2247"/>
      <c r="BS281" s="2248"/>
      <c r="BT281" s="2249"/>
      <c r="BU281" s="2249"/>
      <c r="BV281" s="2238"/>
      <c r="BW281" s="2264"/>
      <c r="BY281" s="3">
        <v>1</v>
      </c>
    </row>
    <row r="282" spans="2:77" ht="21" customHeight="1">
      <c r="B282" s="2265" t="str" cm="1">
        <f t="array" ref="B282">SUMPRODUCT(--(D282:J282&lt;&gt;""), LEN(TRIM(SUBSTITUTE(D282:J282, CHAR(160), "")))) &amp; " Car."</f>
        <v>0 Car.</v>
      </c>
      <c r="C282" s="1376" t="str">
        <f>IF(ISBLANK(D282),"",LARGE(C13:C281,1)+1)</f>
        <v/>
      </c>
      <c r="D282" s="1833"/>
      <c r="E282" s="1810"/>
      <c r="F282" s="1810"/>
      <c r="G282" s="1810"/>
      <c r="H282" s="1810"/>
      <c r="I282" s="1810"/>
      <c r="J282" s="1810"/>
      <c r="K282" s="1810"/>
      <c r="L282" s="1811"/>
      <c r="M282" s="9"/>
      <c r="N282" s="2252" t="s">
        <v>15</v>
      </c>
      <c r="O282" s="2237"/>
      <c r="P282" s="2237"/>
      <c r="Q282" s="2237"/>
      <c r="R282" s="2237"/>
      <c r="S282" s="2240"/>
      <c r="T282" s="2241"/>
      <c r="U282" s="2239"/>
      <c r="V282" s="2242"/>
      <c r="W282" s="2250"/>
      <c r="X282" s="2244"/>
      <c r="Y282" s="2244"/>
      <c r="Z282" s="2245"/>
      <c r="AA282" s="2246"/>
      <c r="AB282" s="2247"/>
      <c r="AC282" s="2248"/>
      <c r="AD282" s="2249"/>
      <c r="AE282" s="2249"/>
      <c r="AF282" s="2238"/>
      <c r="AG282" s="2264"/>
      <c r="AI282" s="2252" t="s">
        <v>15</v>
      </c>
      <c r="AJ282" s="2237"/>
      <c r="AK282" s="2237"/>
      <c r="AL282" s="2237"/>
      <c r="AM282" s="2237"/>
      <c r="AN282" s="2240"/>
      <c r="AO282" s="2241"/>
      <c r="AP282" s="2239"/>
      <c r="AQ282" s="2242"/>
      <c r="AR282" s="2250"/>
      <c r="AS282" s="2244"/>
      <c r="AT282" s="2244"/>
      <c r="AU282" s="2245"/>
      <c r="AV282" s="2246"/>
      <c r="AW282" s="2247"/>
      <c r="AX282" s="2248"/>
      <c r="AY282" s="2249"/>
      <c r="AZ282" s="2249"/>
      <c r="BA282" s="2238"/>
      <c r="BB282" s="2264"/>
      <c r="BD282" s="2252" t="s">
        <v>15</v>
      </c>
      <c r="BE282" s="2237"/>
      <c r="BF282" s="2237"/>
      <c r="BG282" s="2237"/>
      <c r="BH282" s="2237"/>
      <c r="BI282" s="2240"/>
      <c r="BJ282" s="2241"/>
      <c r="BK282" s="2239"/>
      <c r="BL282" s="2242"/>
      <c r="BM282" s="2250"/>
      <c r="BN282" s="2244"/>
      <c r="BO282" s="2244"/>
      <c r="BP282" s="2245"/>
      <c r="BQ282" s="2246"/>
      <c r="BR282" s="2247"/>
      <c r="BS282" s="2248"/>
      <c r="BT282" s="2249"/>
      <c r="BU282" s="2249"/>
      <c r="BV282" s="2238"/>
      <c r="BW282" s="2264"/>
      <c r="BY282" s="3">
        <v>1</v>
      </c>
    </row>
    <row r="283" spans="2:77" ht="21" customHeight="1">
      <c r="B283" s="2265" t="str" cm="1">
        <f t="array" ref="B283">SUMPRODUCT(--(D283:J283&lt;&gt;""), LEN(TRIM(SUBSTITUTE(D283:J283, CHAR(160), "")))) &amp; " Car."</f>
        <v>0 Car.</v>
      </c>
      <c r="C283" s="1376" t="str">
        <f>IF(ISBLANK(D283),"",LARGE(C13:C282,1)+1)</f>
        <v/>
      </c>
      <c r="D283" s="1833"/>
      <c r="E283" s="1810"/>
      <c r="F283" s="1810"/>
      <c r="G283" s="1810"/>
      <c r="H283" s="1810"/>
      <c r="I283" s="1810"/>
      <c r="J283" s="1810"/>
      <c r="K283" s="1810"/>
      <c r="L283" s="1811"/>
      <c r="M283" s="9"/>
      <c r="N283" s="2252" t="s">
        <v>15</v>
      </c>
      <c r="O283" s="2237"/>
      <c r="P283" s="2237"/>
      <c r="Q283" s="2237"/>
      <c r="R283" s="2237"/>
      <c r="S283" s="2240"/>
      <c r="T283" s="2241"/>
      <c r="U283" s="2239"/>
      <c r="V283" s="2242"/>
      <c r="W283" s="2250"/>
      <c r="X283" s="2244"/>
      <c r="Y283" s="2244"/>
      <c r="Z283" s="2245"/>
      <c r="AA283" s="2246"/>
      <c r="AB283" s="2247"/>
      <c r="AC283" s="2248"/>
      <c r="AD283" s="2249"/>
      <c r="AE283" s="2249"/>
      <c r="AF283" s="2238"/>
      <c r="AG283" s="2264"/>
      <c r="AI283" s="2252" t="s">
        <v>15</v>
      </c>
      <c r="AJ283" s="2237"/>
      <c r="AK283" s="2237"/>
      <c r="AL283" s="2237"/>
      <c r="AM283" s="2237"/>
      <c r="AN283" s="2240"/>
      <c r="AO283" s="2241"/>
      <c r="AP283" s="2239"/>
      <c r="AQ283" s="2242"/>
      <c r="AR283" s="2250"/>
      <c r="AS283" s="2244"/>
      <c r="AT283" s="2244"/>
      <c r="AU283" s="2245"/>
      <c r="AV283" s="2246"/>
      <c r="AW283" s="2247"/>
      <c r="AX283" s="2248"/>
      <c r="AY283" s="2249"/>
      <c r="AZ283" s="2249"/>
      <c r="BA283" s="2238"/>
      <c r="BB283" s="2264"/>
      <c r="BD283" s="2252" t="s">
        <v>15</v>
      </c>
      <c r="BE283" s="2237"/>
      <c r="BF283" s="2237"/>
      <c r="BG283" s="2237"/>
      <c r="BH283" s="2237"/>
      <c r="BI283" s="2240"/>
      <c r="BJ283" s="2241"/>
      <c r="BK283" s="2239"/>
      <c r="BL283" s="2242"/>
      <c r="BM283" s="2250"/>
      <c r="BN283" s="2244"/>
      <c r="BO283" s="2244"/>
      <c r="BP283" s="2245"/>
      <c r="BQ283" s="2246"/>
      <c r="BR283" s="2247"/>
      <c r="BS283" s="2248"/>
      <c r="BT283" s="2249"/>
      <c r="BU283" s="2249"/>
      <c r="BV283" s="2238"/>
      <c r="BW283" s="2264"/>
      <c r="BY283" s="3">
        <v>1</v>
      </c>
    </row>
    <row r="284" spans="2:77" ht="21" customHeight="1">
      <c r="B284" s="2265" t="str" cm="1">
        <f t="array" ref="B284">SUMPRODUCT(--(D284:J284&lt;&gt;""), LEN(TRIM(SUBSTITUTE(D284:J284, CHAR(160), "")))) &amp; " Car."</f>
        <v>0 Car.</v>
      </c>
      <c r="C284" s="1376" t="str">
        <f>IF(ISBLANK(D284),"",LARGE(C13:C283,1)+1)</f>
        <v/>
      </c>
      <c r="D284" s="1833"/>
      <c r="E284" s="1810"/>
      <c r="F284" s="1810"/>
      <c r="G284" s="1810"/>
      <c r="H284" s="1810"/>
      <c r="I284" s="1810"/>
      <c r="J284" s="1810"/>
      <c r="K284" s="1810"/>
      <c r="L284" s="1811"/>
      <c r="M284" s="9"/>
      <c r="N284" s="2252" t="s">
        <v>15</v>
      </c>
      <c r="O284" s="2237"/>
      <c r="P284" s="2237"/>
      <c r="Q284" s="2237"/>
      <c r="R284" s="2237"/>
      <c r="S284" s="2240"/>
      <c r="T284" s="2241"/>
      <c r="U284" s="2239"/>
      <c r="V284" s="2242"/>
      <c r="W284" s="2250"/>
      <c r="X284" s="2244"/>
      <c r="Y284" s="2244"/>
      <c r="Z284" s="2245"/>
      <c r="AA284" s="2246"/>
      <c r="AB284" s="2247"/>
      <c r="AC284" s="2248"/>
      <c r="AD284" s="2249"/>
      <c r="AE284" s="2249"/>
      <c r="AF284" s="2238"/>
      <c r="AG284" s="2264"/>
      <c r="AI284" s="2252" t="s">
        <v>15</v>
      </c>
      <c r="AJ284" s="2237"/>
      <c r="AK284" s="2237"/>
      <c r="AL284" s="2237"/>
      <c r="AM284" s="2237"/>
      <c r="AN284" s="2240"/>
      <c r="AO284" s="2241"/>
      <c r="AP284" s="2239"/>
      <c r="AQ284" s="2242"/>
      <c r="AR284" s="2250"/>
      <c r="AS284" s="2244"/>
      <c r="AT284" s="2244"/>
      <c r="AU284" s="2245"/>
      <c r="AV284" s="2246"/>
      <c r="AW284" s="2247"/>
      <c r="AX284" s="2248"/>
      <c r="AY284" s="2249"/>
      <c r="AZ284" s="2249"/>
      <c r="BA284" s="2238"/>
      <c r="BB284" s="2264"/>
      <c r="BD284" s="2252" t="s">
        <v>15</v>
      </c>
      <c r="BE284" s="2237"/>
      <c r="BF284" s="2237"/>
      <c r="BG284" s="2237"/>
      <c r="BH284" s="2237"/>
      <c r="BI284" s="2240"/>
      <c r="BJ284" s="2241"/>
      <c r="BK284" s="2239"/>
      <c r="BL284" s="2242"/>
      <c r="BM284" s="2250"/>
      <c r="BN284" s="2244"/>
      <c r="BO284" s="2244"/>
      <c r="BP284" s="2245"/>
      <c r="BQ284" s="2246"/>
      <c r="BR284" s="2247"/>
      <c r="BS284" s="2248"/>
      <c r="BT284" s="2249"/>
      <c r="BU284" s="2249"/>
      <c r="BV284" s="2238"/>
      <c r="BW284" s="2264"/>
      <c r="BY284" s="3">
        <v>1</v>
      </c>
    </row>
    <row r="285" spans="2:77" ht="21" customHeight="1">
      <c r="B285" s="2265" t="str" cm="1">
        <f t="array" ref="B285">SUMPRODUCT(--(D285:J285&lt;&gt;""), LEN(TRIM(SUBSTITUTE(D285:J285, CHAR(160), "")))) &amp; " Car."</f>
        <v>0 Car.</v>
      </c>
      <c r="C285" s="1376" t="str">
        <f>IF(ISBLANK(D285),"",LARGE(C13:C284,1)+1)</f>
        <v/>
      </c>
      <c r="D285" s="1833"/>
      <c r="E285" s="1810"/>
      <c r="F285" s="1810"/>
      <c r="G285" s="1810"/>
      <c r="H285" s="1810"/>
      <c r="I285" s="1810"/>
      <c r="J285" s="1810"/>
      <c r="K285" s="1810"/>
      <c r="L285" s="1811"/>
      <c r="M285" s="9"/>
      <c r="N285" s="2252" t="s">
        <v>15</v>
      </c>
      <c r="O285" s="2237"/>
      <c r="P285" s="2237"/>
      <c r="Q285" s="2237"/>
      <c r="R285" s="2237"/>
      <c r="S285" s="2240"/>
      <c r="T285" s="2241"/>
      <c r="U285" s="2239"/>
      <c r="V285" s="2242"/>
      <c r="W285" s="2250"/>
      <c r="X285" s="2244"/>
      <c r="Y285" s="2244"/>
      <c r="Z285" s="2245"/>
      <c r="AA285" s="2246"/>
      <c r="AB285" s="2247"/>
      <c r="AC285" s="2248"/>
      <c r="AD285" s="2249"/>
      <c r="AE285" s="2249"/>
      <c r="AF285" s="2238"/>
      <c r="AG285" s="2264"/>
      <c r="AI285" s="2252" t="s">
        <v>15</v>
      </c>
      <c r="AJ285" s="2237"/>
      <c r="AK285" s="2237"/>
      <c r="AL285" s="2237"/>
      <c r="AM285" s="2237"/>
      <c r="AN285" s="2240"/>
      <c r="AO285" s="2241"/>
      <c r="AP285" s="2239"/>
      <c r="AQ285" s="2242"/>
      <c r="AR285" s="2250"/>
      <c r="AS285" s="2244"/>
      <c r="AT285" s="2244"/>
      <c r="AU285" s="2245"/>
      <c r="AV285" s="2246"/>
      <c r="AW285" s="2247"/>
      <c r="AX285" s="2248"/>
      <c r="AY285" s="2249"/>
      <c r="AZ285" s="2249"/>
      <c r="BA285" s="2238"/>
      <c r="BB285" s="2264"/>
      <c r="BD285" s="2252" t="s">
        <v>15</v>
      </c>
      <c r="BE285" s="2237"/>
      <c r="BF285" s="2237"/>
      <c r="BG285" s="2237"/>
      <c r="BH285" s="2237"/>
      <c r="BI285" s="2240"/>
      <c r="BJ285" s="2241"/>
      <c r="BK285" s="2239"/>
      <c r="BL285" s="2242"/>
      <c r="BM285" s="2250"/>
      <c r="BN285" s="2244"/>
      <c r="BO285" s="2244"/>
      <c r="BP285" s="2245"/>
      <c r="BQ285" s="2246"/>
      <c r="BR285" s="2247"/>
      <c r="BS285" s="2248"/>
      <c r="BT285" s="2249"/>
      <c r="BU285" s="2249"/>
      <c r="BV285" s="2238"/>
      <c r="BW285" s="2264"/>
      <c r="BY285" s="3">
        <v>1</v>
      </c>
    </row>
    <row r="286" spans="2:77" ht="21" customHeight="1">
      <c r="B286" s="2265" t="str" cm="1">
        <f t="array" ref="B286">SUMPRODUCT(--(D286:J286&lt;&gt;""), LEN(TRIM(SUBSTITUTE(D286:J286, CHAR(160), "")))) &amp; " Car."</f>
        <v>0 Car.</v>
      </c>
      <c r="C286" s="1376" t="str">
        <f>IF(ISBLANK(D286),"",LARGE(C13:C285,1)+1)</f>
        <v/>
      </c>
      <c r="D286" s="1833"/>
      <c r="E286" s="1810"/>
      <c r="F286" s="1810"/>
      <c r="G286" s="1810"/>
      <c r="H286" s="1810"/>
      <c r="I286" s="1810"/>
      <c r="J286" s="1810"/>
      <c r="K286" s="1810"/>
      <c r="L286" s="1811"/>
      <c r="M286" s="9"/>
      <c r="N286" s="2252" t="s">
        <v>15</v>
      </c>
      <c r="O286" s="2237"/>
      <c r="P286" s="2237"/>
      <c r="Q286" s="2237"/>
      <c r="R286" s="2237"/>
      <c r="S286" s="2240"/>
      <c r="T286" s="2241"/>
      <c r="U286" s="2239"/>
      <c r="V286" s="2242"/>
      <c r="W286" s="2250"/>
      <c r="X286" s="2244"/>
      <c r="Y286" s="2244"/>
      <c r="Z286" s="2245"/>
      <c r="AA286" s="2246"/>
      <c r="AB286" s="2247"/>
      <c r="AC286" s="2248"/>
      <c r="AD286" s="2249"/>
      <c r="AE286" s="2249"/>
      <c r="AF286" s="2238"/>
      <c r="AG286" s="2264"/>
      <c r="AI286" s="2252" t="s">
        <v>15</v>
      </c>
      <c r="AJ286" s="2237"/>
      <c r="AK286" s="2237"/>
      <c r="AL286" s="2237"/>
      <c r="AM286" s="2237"/>
      <c r="AN286" s="2240"/>
      <c r="AO286" s="2241"/>
      <c r="AP286" s="2239"/>
      <c r="AQ286" s="2242"/>
      <c r="AR286" s="2250"/>
      <c r="AS286" s="2244"/>
      <c r="AT286" s="2244"/>
      <c r="AU286" s="2245"/>
      <c r="AV286" s="2246"/>
      <c r="AW286" s="2247"/>
      <c r="AX286" s="2248"/>
      <c r="AY286" s="2249"/>
      <c r="AZ286" s="2249"/>
      <c r="BA286" s="2238"/>
      <c r="BB286" s="2264"/>
      <c r="BD286" s="2252" t="s">
        <v>15</v>
      </c>
      <c r="BE286" s="2237"/>
      <c r="BF286" s="2237"/>
      <c r="BG286" s="2237"/>
      <c r="BH286" s="2237"/>
      <c r="BI286" s="2240"/>
      <c r="BJ286" s="2241"/>
      <c r="BK286" s="2239"/>
      <c r="BL286" s="2242"/>
      <c r="BM286" s="2250"/>
      <c r="BN286" s="2244"/>
      <c r="BO286" s="2244"/>
      <c r="BP286" s="2245"/>
      <c r="BQ286" s="2246"/>
      <c r="BR286" s="2247"/>
      <c r="BS286" s="2248"/>
      <c r="BT286" s="2249"/>
      <c r="BU286" s="2249"/>
      <c r="BV286" s="2238"/>
      <c r="BW286" s="2264"/>
      <c r="BY286" s="3">
        <v>1</v>
      </c>
    </row>
    <row r="287" spans="2:77" ht="21" customHeight="1">
      <c r="B287" s="2265" t="str" cm="1">
        <f t="array" ref="B287">SUMPRODUCT(--(D287:J287&lt;&gt;""), LEN(TRIM(SUBSTITUTE(D287:J287, CHAR(160), "")))) &amp; " Car."</f>
        <v>0 Car.</v>
      </c>
      <c r="C287" s="1376" t="str">
        <f>IF(ISBLANK(D287),"",LARGE(C13:C286,1)+1)</f>
        <v/>
      </c>
      <c r="D287" s="1833"/>
      <c r="E287" s="1810"/>
      <c r="F287" s="1810"/>
      <c r="G287" s="1810"/>
      <c r="H287" s="1810"/>
      <c r="I287" s="1810"/>
      <c r="J287" s="1810"/>
      <c r="K287" s="1810"/>
      <c r="L287" s="1811"/>
      <c r="M287" s="9"/>
      <c r="N287" s="2252" t="s">
        <v>15</v>
      </c>
      <c r="O287" s="2237"/>
      <c r="P287" s="2237"/>
      <c r="Q287" s="2237"/>
      <c r="R287" s="2237"/>
      <c r="S287" s="2240"/>
      <c r="T287" s="2241"/>
      <c r="U287" s="2239"/>
      <c r="V287" s="2242"/>
      <c r="W287" s="2250"/>
      <c r="X287" s="2244"/>
      <c r="Y287" s="2244"/>
      <c r="Z287" s="2245"/>
      <c r="AA287" s="2246"/>
      <c r="AB287" s="2247"/>
      <c r="AC287" s="2248"/>
      <c r="AD287" s="2249"/>
      <c r="AE287" s="2249"/>
      <c r="AF287" s="2238"/>
      <c r="AG287" s="2264"/>
      <c r="AI287" s="2252" t="s">
        <v>15</v>
      </c>
      <c r="AJ287" s="2237"/>
      <c r="AK287" s="2237"/>
      <c r="AL287" s="2237"/>
      <c r="AM287" s="2237"/>
      <c r="AN287" s="2240"/>
      <c r="AO287" s="2241"/>
      <c r="AP287" s="2239"/>
      <c r="AQ287" s="2242"/>
      <c r="AR287" s="2250"/>
      <c r="AS287" s="2244"/>
      <c r="AT287" s="2244"/>
      <c r="AU287" s="2245"/>
      <c r="AV287" s="2246"/>
      <c r="AW287" s="2247"/>
      <c r="AX287" s="2248"/>
      <c r="AY287" s="2249"/>
      <c r="AZ287" s="2249"/>
      <c r="BA287" s="2238"/>
      <c r="BB287" s="2264"/>
      <c r="BD287" s="2252" t="s">
        <v>15</v>
      </c>
      <c r="BE287" s="2237"/>
      <c r="BF287" s="2237"/>
      <c r="BG287" s="2237"/>
      <c r="BH287" s="2237"/>
      <c r="BI287" s="2240"/>
      <c r="BJ287" s="2241"/>
      <c r="BK287" s="2239"/>
      <c r="BL287" s="2242"/>
      <c r="BM287" s="2250"/>
      <c r="BN287" s="2244"/>
      <c r="BO287" s="2244"/>
      <c r="BP287" s="2245"/>
      <c r="BQ287" s="2246"/>
      <c r="BR287" s="2247"/>
      <c r="BS287" s="2248"/>
      <c r="BT287" s="2249"/>
      <c r="BU287" s="2249"/>
      <c r="BV287" s="2238"/>
      <c r="BW287" s="2264"/>
      <c r="BY287" s="3">
        <v>1</v>
      </c>
    </row>
    <row r="288" spans="2:77" ht="21" customHeight="1">
      <c r="B288" s="2265" t="str" cm="1">
        <f t="array" ref="B288">SUMPRODUCT(--(D288:J288&lt;&gt;""), LEN(TRIM(SUBSTITUTE(D288:J288, CHAR(160), "")))) &amp; " Car."</f>
        <v>0 Car.</v>
      </c>
      <c r="C288" s="1376" t="str">
        <f>IF(ISBLANK(D288),"",LARGE(C13:C287,1)+1)</f>
        <v/>
      </c>
      <c r="D288" s="1833"/>
      <c r="E288" s="1810"/>
      <c r="F288" s="1810"/>
      <c r="G288" s="1810"/>
      <c r="H288" s="1810"/>
      <c r="I288" s="1810"/>
      <c r="J288" s="1810"/>
      <c r="K288" s="1810"/>
      <c r="L288" s="1811"/>
      <c r="M288" s="9"/>
      <c r="N288" s="2252" t="s">
        <v>15</v>
      </c>
      <c r="O288" s="2237"/>
      <c r="P288" s="2237"/>
      <c r="Q288" s="2237"/>
      <c r="R288" s="2237"/>
      <c r="S288" s="2240"/>
      <c r="T288" s="2241"/>
      <c r="U288" s="2239"/>
      <c r="V288" s="2242"/>
      <c r="W288" s="2250"/>
      <c r="X288" s="2244"/>
      <c r="Y288" s="2244"/>
      <c r="Z288" s="2245"/>
      <c r="AA288" s="2246"/>
      <c r="AB288" s="2247"/>
      <c r="AC288" s="2248"/>
      <c r="AD288" s="2249"/>
      <c r="AE288" s="2249"/>
      <c r="AF288" s="2238"/>
      <c r="AG288" s="2264"/>
      <c r="AI288" s="2252" t="s">
        <v>15</v>
      </c>
      <c r="AJ288" s="2237"/>
      <c r="AK288" s="2237"/>
      <c r="AL288" s="2237"/>
      <c r="AM288" s="2237"/>
      <c r="AN288" s="2240"/>
      <c r="AO288" s="2241"/>
      <c r="AP288" s="2239"/>
      <c r="AQ288" s="2242"/>
      <c r="AR288" s="2250"/>
      <c r="AS288" s="2244"/>
      <c r="AT288" s="2244"/>
      <c r="AU288" s="2245"/>
      <c r="AV288" s="2246"/>
      <c r="AW288" s="2247"/>
      <c r="AX288" s="2248"/>
      <c r="AY288" s="2249"/>
      <c r="AZ288" s="2249"/>
      <c r="BA288" s="2238"/>
      <c r="BB288" s="2264"/>
      <c r="BD288" s="2252" t="s">
        <v>15</v>
      </c>
      <c r="BE288" s="2237"/>
      <c r="BF288" s="2237"/>
      <c r="BG288" s="2237"/>
      <c r="BH288" s="2237"/>
      <c r="BI288" s="2240"/>
      <c r="BJ288" s="2241"/>
      <c r="BK288" s="2239"/>
      <c r="BL288" s="2242"/>
      <c r="BM288" s="2250"/>
      <c r="BN288" s="2244"/>
      <c r="BO288" s="2244"/>
      <c r="BP288" s="2245"/>
      <c r="BQ288" s="2246"/>
      <c r="BR288" s="2247"/>
      <c r="BS288" s="2248"/>
      <c r="BT288" s="2249"/>
      <c r="BU288" s="2249"/>
      <c r="BV288" s="2238"/>
      <c r="BW288" s="2264"/>
      <c r="BY288" s="3">
        <v>1</v>
      </c>
    </row>
    <row r="289" spans="2:77" ht="21" customHeight="1">
      <c r="B289" s="2265" t="str" cm="1">
        <f t="array" ref="B289">SUMPRODUCT(--(D289:J289&lt;&gt;""), LEN(TRIM(SUBSTITUTE(D289:J289, CHAR(160), "")))) &amp; " Car."</f>
        <v>0 Car.</v>
      </c>
      <c r="C289" s="1376" t="str">
        <f>IF(ISBLANK(D289),"",LARGE(C13:C288,1)+1)</f>
        <v/>
      </c>
      <c r="D289" s="1833"/>
      <c r="E289" s="1810"/>
      <c r="F289" s="1810"/>
      <c r="G289" s="1810"/>
      <c r="H289" s="1810"/>
      <c r="I289" s="1810"/>
      <c r="J289" s="1810"/>
      <c r="K289" s="1810"/>
      <c r="L289" s="1811"/>
      <c r="M289" s="9"/>
      <c r="N289" s="2252" t="s">
        <v>15</v>
      </c>
      <c r="O289" s="2237"/>
      <c r="P289" s="2237"/>
      <c r="Q289" s="2237"/>
      <c r="R289" s="2237"/>
      <c r="S289" s="2240"/>
      <c r="T289" s="2241"/>
      <c r="U289" s="2239"/>
      <c r="V289" s="2242"/>
      <c r="W289" s="2250"/>
      <c r="X289" s="2244"/>
      <c r="Y289" s="2244"/>
      <c r="Z289" s="2245"/>
      <c r="AA289" s="2246"/>
      <c r="AB289" s="2247"/>
      <c r="AC289" s="2248"/>
      <c r="AD289" s="2249"/>
      <c r="AE289" s="2249"/>
      <c r="AF289" s="2238"/>
      <c r="AG289" s="2264"/>
      <c r="AI289" s="2252" t="s">
        <v>15</v>
      </c>
      <c r="AJ289" s="2237"/>
      <c r="AK289" s="2237"/>
      <c r="AL289" s="2237"/>
      <c r="AM289" s="2237"/>
      <c r="AN289" s="2240"/>
      <c r="AO289" s="2241"/>
      <c r="AP289" s="2239"/>
      <c r="AQ289" s="2242"/>
      <c r="AR289" s="2250"/>
      <c r="AS289" s="2244"/>
      <c r="AT289" s="2244"/>
      <c r="AU289" s="2245"/>
      <c r="AV289" s="2246"/>
      <c r="AW289" s="2247"/>
      <c r="AX289" s="2248"/>
      <c r="AY289" s="2249"/>
      <c r="AZ289" s="2249"/>
      <c r="BA289" s="2238"/>
      <c r="BB289" s="2264"/>
      <c r="BD289" s="2252" t="s">
        <v>15</v>
      </c>
      <c r="BE289" s="2237"/>
      <c r="BF289" s="2237"/>
      <c r="BG289" s="2237"/>
      <c r="BH289" s="2237"/>
      <c r="BI289" s="2240"/>
      <c r="BJ289" s="2241"/>
      <c r="BK289" s="2239"/>
      <c r="BL289" s="2242"/>
      <c r="BM289" s="2250"/>
      <c r="BN289" s="2244"/>
      <c r="BO289" s="2244"/>
      <c r="BP289" s="2245"/>
      <c r="BQ289" s="2246"/>
      <c r="BR289" s="2247"/>
      <c r="BS289" s="2248"/>
      <c r="BT289" s="2249"/>
      <c r="BU289" s="2249"/>
      <c r="BV289" s="2238"/>
      <c r="BW289" s="2264"/>
      <c r="BY289" s="3">
        <v>1</v>
      </c>
    </row>
    <row r="290" spans="2:77" ht="21" customHeight="1">
      <c r="B290" s="2265" t="str" cm="1">
        <f t="array" ref="B290">SUMPRODUCT(--(D290:J290&lt;&gt;""), LEN(TRIM(SUBSTITUTE(D290:J290, CHAR(160), "")))) &amp; " Car."</f>
        <v>0 Car.</v>
      </c>
      <c r="C290" s="1376" t="str">
        <f>IF(ISBLANK(D290),"",LARGE(C13:C289,1)+1)</f>
        <v/>
      </c>
      <c r="D290" s="1833"/>
      <c r="E290" s="1810"/>
      <c r="F290" s="1810"/>
      <c r="G290" s="1810"/>
      <c r="H290" s="1810"/>
      <c r="I290" s="1810"/>
      <c r="J290" s="1810"/>
      <c r="K290" s="1810"/>
      <c r="L290" s="1811"/>
      <c r="M290" s="9"/>
      <c r="N290" s="2252" t="s">
        <v>15</v>
      </c>
      <c r="O290" s="2237"/>
      <c r="P290" s="2237"/>
      <c r="Q290" s="2237"/>
      <c r="R290" s="2237"/>
      <c r="S290" s="2240"/>
      <c r="T290" s="2241"/>
      <c r="U290" s="2239"/>
      <c r="V290" s="2242"/>
      <c r="W290" s="2250"/>
      <c r="X290" s="2244"/>
      <c r="Y290" s="2244"/>
      <c r="Z290" s="2245"/>
      <c r="AA290" s="2246"/>
      <c r="AB290" s="2247"/>
      <c r="AC290" s="2248"/>
      <c r="AD290" s="2249"/>
      <c r="AE290" s="2249"/>
      <c r="AF290" s="2238"/>
      <c r="AG290" s="2264"/>
      <c r="AI290" s="2252" t="s">
        <v>15</v>
      </c>
      <c r="AJ290" s="2237"/>
      <c r="AK290" s="2237"/>
      <c r="AL290" s="2237"/>
      <c r="AM290" s="2237"/>
      <c r="AN290" s="2240"/>
      <c r="AO290" s="2241"/>
      <c r="AP290" s="2239"/>
      <c r="AQ290" s="2242"/>
      <c r="AR290" s="2250"/>
      <c r="AS290" s="2244"/>
      <c r="AT290" s="2244"/>
      <c r="AU290" s="2245"/>
      <c r="AV290" s="2246"/>
      <c r="AW290" s="2247"/>
      <c r="AX290" s="2248"/>
      <c r="AY290" s="2249"/>
      <c r="AZ290" s="2249"/>
      <c r="BA290" s="2238"/>
      <c r="BB290" s="2264"/>
      <c r="BD290" s="2252" t="s">
        <v>15</v>
      </c>
      <c r="BE290" s="2237"/>
      <c r="BF290" s="2237"/>
      <c r="BG290" s="2237"/>
      <c r="BH290" s="2237"/>
      <c r="BI290" s="2240"/>
      <c r="BJ290" s="2241"/>
      <c r="BK290" s="2239"/>
      <c r="BL290" s="2242"/>
      <c r="BM290" s="2250"/>
      <c r="BN290" s="2244"/>
      <c r="BO290" s="2244"/>
      <c r="BP290" s="2245"/>
      <c r="BQ290" s="2246"/>
      <c r="BR290" s="2247"/>
      <c r="BS290" s="2248"/>
      <c r="BT290" s="2249"/>
      <c r="BU290" s="2249"/>
      <c r="BV290" s="2238"/>
      <c r="BW290" s="2264"/>
      <c r="BY290" s="3">
        <v>1</v>
      </c>
    </row>
    <row r="291" spans="2:77" ht="21" customHeight="1">
      <c r="B291" s="2265" t="str" cm="1">
        <f t="array" ref="B291">SUMPRODUCT(--(D291:J291&lt;&gt;""), LEN(TRIM(SUBSTITUTE(D291:J291, CHAR(160), "")))) &amp; " Car."</f>
        <v>0 Car.</v>
      </c>
      <c r="C291" s="1376" t="str">
        <f>IF(ISBLANK(D291),"",LARGE(C13:C290,1)+1)</f>
        <v/>
      </c>
      <c r="D291" s="1833"/>
      <c r="E291" s="1810"/>
      <c r="F291" s="1810"/>
      <c r="G291" s="1810"/>
      <c r="H291" s="1810"/>
      <c r="I291" s="1810"/>
      <c r="J291" s="1810"/>
      <c r="K291" s="1810"/>
      <c r="L291" s="1811"/>
      <c r="M291" s="9"/>
      <c r="N291" s="2252" t="s">
        <v>15</v>
      </c>
      <c r="O291" s="2237"/>
      <c r="P291" s="2237"/>
      <c r="Q291" s="2237"/>
      <c r="R291" s="2237"/>
      <c r="S291" s="2240"/>
      <c r="T291" s="2241"/>
      <c r="U291" s="2239"/>
      <c r="V291" s="2242"/>
      <c r="W291" s="2250"/>
      <c r="X291" s="2244"/>
      <c r="Y291" s="2244"/>
      <c r="Z291" s="2245"/>
      <c r="AA291" s="2246"/>
      <c r="AB291" s="2247"/>
      <c r="AC291" s="2248"/>
      <c r="AD291" s="2249"/>
      <c r="AE291" s="2249"/>
      <c r="AF291" s="2238"/>
      <c r="AG291" s="2264"/>
      <c r="AI291" s="2252" t="s">
        <v>15</v>
      </c>
      <c r="AJ291" s="2237"/>
      <c r="AK291" s="2237"/>
      <c r="AL291" s="2237"/>
      <c r="AM291" s="2237"/>
      <c r="AN291" s="2240"/>
      <c r="AO291" s="2241"/>
      <c r="AP291" s="2239"/>
      <c r="AQ291" s="2242"/>
      <c r="AR291" s="2250"/>
      <c r="AS291" s="2244"/>
      <c r="AT291" s="2244"/>
      <c r="AU291" s="2245"/>
      <c r="AV291" s="2246"/>
      <c r="AW291" s="2247"/>
      <c r="AX291" s="2248"/>
      <c r="AY291" s="2249"/>
      <c r="AZ291" s="2249"/>
      <c r="BA291" s="2238"/>
      <c r="BB291" s="2264"/>
      <c r="BD291" s="2252" t="s">
        <v>15</v>
      </c>
      <c r="BE291" s="2237"/>
      <c r="BF291" s="2237"/>
      <c r="BG291" s="2237"/>
      <c r="BH291" s="2237"/>
      <c r="BI291" s="2240"/>
      <c r="BJ291" s="2241"/>
      <c r="BK291" s="2239"/>
      <c r="BL291" s="2242"/>
      <c r="BM291" s="2250"/>
      <c r="BN291" s="2244"/>
      <c r="BO291" s="2244"/>
      <c r="BP291" s="2245"/>
      <c r="BQ291" s="2246"/>
      <c r="BR291" s="2247"/>
      <c r="BS291" s="2248"/>
      <c r="BT291" s="2249"/>
      <c r="BU291" s="2249"/>
      <c r="BV291" s="2238"/>
      <c r="BW291" s="2264"/>
      <c r="BY291" s="3">
        <v>1</v>
      </c>
    </row>
    <row r="292" spans="2:77" ht="21" customHeight="1">
      <c r="B292" s="2265" t="str" cm="1">
        <f t="array" ref="B292">SUMPRODUCT(--(D292:J292&lt;&gt;""), LEN(TRIM(SUBSTITUTE(D292:J292, CHAR(160), "")))) &amp; " Car."</f>
        <v>0 Car.</v>
      </c>
      <c r="C292" s="1376" t="str">
        <f>IF(ISBLANK(D292),"",LARGE(C13:C291,1)+1)</f>
        <v/>
      </c>
      <c r="D292" s="1833"/>
      <c r="E292" s="1810"/>
      <c r="F292" s="1810"/>
      <c r="G292" s="1810"/>
      <c r="H292" s="1810"/>
      <c r="I292" s="1810"/>
      <c r="J292" s="1810"/>
      <c r="K292" s="1810"/>
      <c r="L292" s="1811"/>
      <c r="M292" s="9"/>
      <c r="N292" s="2252" t="s">
        <v>15</v>
      </c>
      <c r="O292" s="2237"/>
      <c r="P292" s="2237"/>
      <c r="Q292" s="2237"/>
      <c r="R292" s="2237"/>
      <c r="S292" s="2240"/>
      <c r="T292" s="2241"/>
      <c r="U292" s="2239"/>
      <c r="V292" s="2242"/>
      <c r="W292" s="2250"/>
      <c r="X292" s="2244"/>
      <c r="Y292" s="2244"/>
      <c r="Z292" s="2245"/>
      <c r="AA292" s="2246"/>
      <c r="AB292" s="2247"/>
      <c r="AC292" s="2248"/>
      <c r="AD292" s="2249"/>
      <c r="AE292" s="2249"/>
      <c r="AF292" s="2238"/>
      <c r="AG292" s="2264"/>
      <c r="AI292" s="2252" t="s">
        <v>15</v>
      </c>
      <c r="AJ292" s="2237"/>
      <c r="AK292" s="2237"/>
      <c r="AL292" s="2237"/>
      <c r="AM292" s="2237"/>
      <c r="AN292" s="2240"/>
      <c r="AO292" s="2241"/>
      <c r="AP292" s="2239"/>
      <c r="AQ292" s="2242"/>
      <c r="AR292" s="2250"/>
      <c r="AS292" s="2244"/>
      <c r="AT292" s="2244"/>
      <c r="AU292" s="2245"/>
      <c r="AV292" s="2246"/>
      <c r="AW292" s="2247"/>
      <c r="AX292" s="2248"/>
      <c r="AY292" s="2249"/>
      <c r="AZ292" s="2249"/>
      <c r="BA292" s="2238"/>
      <c r="BB292" s="2264"/>
      <c r="BD292" s="2252" t="s">
        <v>15</v>
      </c>
      <c r="BE292" s="2237"/>
      <c r="BF292" s="2237"/>
      <c r="BG292" s="2237"/>
      <c r="BH292" s="2237"/>
      <c r="BI292" s="2240"/>
      <c r="BJ292" s="2241"/>
      <c r="BK292" s="2239"/>
      <c r="BL292" s="2242"/>
      <c r="BM292" s="2250"/>
      <c r="BN292" s="2244"/>
      <c r="BO292" s="2244"/>
      <c r="BP292" s="2245"/>
      <c r="BQ292" s="2246"/>
      <c r="BR292" s="2247"/>
      <c r="BS292" s="2248"/>
      <c r="BT292" s="2249"/>
      <c r="BU292" s="2249"/>
      <c r="BV292" s="2238"/>
      <c r="BW292" s="2264"/>
      <c r="BY292" s="3">
        <v>1</v>
      </c>
    </row>
    <row r="293" spans="2:77" ht="21" customHeight="1">
      <c r="B293" s="2265" t="str" cm="1">
        <f t="array" ref="B293">SUMPRODUCT(--(D293:J293&lt;&gt;""), LEN(TRIM(SUBSTITUTE(D293:J293, CHAR(160), "")))) &amp; " Car."</f>
        <v>0 Car.</v>
      </c>
      <c r="C293" s="1376" t="str">
        <f>IF(ISBLANK(D293),"",LARGE(C13:C292,1)+1)</f>
        <v/>
      </c>
      <c r="D293" s="1833"/>
      <c r="E293" s="1810"/>
      <c r="F293" s="1810"/>
      <c r="G293" s="1810"/>
      <c r="H293" s="1810"/>
      <c r="I293" s="1810"/>
      <c r="J293" s="1810"/>
      <c r="K293" s="1810"/>
      <c r="L293" s="1811"/>
      <c r="M293" s="9"/>
      <c r="N293" s="2252" t="s">
        <v>15</v>
      </c>
      <c r="O293" s="2237"/>
      <c r="P293" s="2237"/>
      <c r="Q293" s="2237"/>
      <c r="R293" s="2237"/>
      <c r="S293" s="2240"/>
      <c r="T293" s="2241"/>
      <c r="U293" s="2239"/>
      <c r="V293" s="2242"/>
      <c r="W293" s="2250"/>
      <c r="X293" s="2244"/>
      <c r="Y293" s="2244"/>
      <c r="Z293" s="2245"/>
      <c r="AA293" s="2246"/>
      <c r="AB293" s="2247"/>
      <c r="AC293" s="2248"/>
      <c r="AD293" s="2249"/>
      <c r="AE293" s="2249"/>
      <c r="AF293" s="2238"/>
      <c r="AG293" s="2264"/>
      <c r="AI293" s="2252" t="s">
        <v>15</v>
      </c>
      <c r="AJ293" s="2237"/>
      <c r="AK293" s="2237"/>
      <c r="AL293" s="2237"/>
      <c r="AM293" s="2237"/>
      <c r="AN293" s="2240"/>
      <c r="AO293" s="2241"/>
      <c r="AP293" s="2239"/>
      <c r="AQ293" s="2242"/>
      <c r="AR293" s="2250"/>
      <c r="AS293" s="2244"/>
      <c r="AT293" s="2244"/>
      <c r="AU293" s="2245"/>
      <c r="AV293" s="2246"/>
      <c r="AW293" s="2247"/>
      <c r="AX293" s="2248"/>
      <c r="AY293" s="2249"/>
      <c r="AZ293" s="2249"/>
      <c r="BA293" s="2238"/>
      <c r="BB293" s="2264"/>
      <c r="BD293" s="2252" t="s">
        <v>15</v>
      </c>
      <c r="BE293" s="2237"/>
      <c r="BF293" s="2237"/>
      <c r="BG293" s="2237"/>
      <c r="BH293" s="2237"/>
      <c r="BI293" s="2240"/>
      <c r="BJ293" s="2241"/>
      <c r="BK293" s="2239"/>
      <c r="BL293" s="2242"/>
      <c r="BM293" s="2250"/>
      <c r="BN293" s="2244"/>
      <c r="BO293" s="2244"/>
      <c r="BP293" s="2245"/>
      <c r="BQ293" s="2246"/>
      <c r="BR293" s="2247"/>
      <c r="BS293" s="2248"/>
      <c r="BT293" s="2249"/>
      <c r="BU293" s="2249"/>
      <c r="BV293" s="2238"/>
      <c r="BW293" s="2264"/>
      <c r="BY293" s="3">
        <v>1</v>
      </c>
    </row>
    <row r="294" spans="2:77" ht="21" customHeight="1">
      <c r="B294" s="2265" t="str" cm="1">
        <f t="array" ref="B294">SUMPRODUCT(--(D294:J294&lt;&gt;""), LEN(TRIM(SUBSTITUTE(D294:J294, CHAR(160), "")))) &amp; " Car."</f>
        <v>0 Car.</v>
      </c>
      <c r="C294" s="1376" t="str">
        <f>IF(ISBLANK(D294),"",LARGE(C13:C293,1)+1)</f>
        <v/>
      </c>
      <c r="D294" s="1833"/>
      <c r="E294" s="1810"/>
      <c r="F294" s="1810"/>
      <c r="G294" s="1810"/>
      <c r="H294" s="1810"/>
      <c r="I294" s="1810"/>
      <c r="J294" s="1810"/>
      <c r="K294" s="1810"/>
      <c r="L294" s="1811"/>
      <c r="M294" s="9"/>
      <c r="N294" s="2252" t="s">
        <v>15</v>
      </c>
      <c r="O294" s="2237"/>
      <c r="P294" s="2237"/>
      <c r="Q294" s="2237"/>
      <c r="R294" s="2237"/>
      <c r="S294" s="2240"/>
      <c r="T294" s="2241"/>
      <c r="U294" s="2239"/>
      <c r="V294" s="2242"/>
      <c r="W294" s="2250"/>
      <c r="X294" s="2244"/>
      <c r="Y294" s="2244"/>
      <c r="Z294" s="2245"/>
      <c r="AA294" s="2246"/>
      <c r="AB294" s="2247"/>
      <c r="AC294" s="2248"/>
      <c r="AD294" s="2249"/>
      <c r="AE294" s="2249"/>
      <c r="AF294" s="2238"/>
      <c r="AG294" s="2264"/>
      <c r="AI294" s="2252" t="s">
        <v>15</v>
      </c>
      <c r="AJ294" s="2237"/>
      <c r="AK294" s="2237"/>
      <c r="AL294" s="2237"/>
      <c r="AM294" s="2237"/>
      <c r="AN294" s="2240"/>
      <c r="AO294" s="2241"/>
      <c r="AP294" s="2239"/>
      <c r="AQ294" s="2242"/>
      <c r="AR294" s="2250"/>
      <c r="AS294" s="2244"/>
      <c r="AT294" s="2244"/>
      <c r="AU294" s="2245"/>
      <c r="AV294" s="2246"/>
      <c r="AW294" s="2247"/>
      <c r="AX294" s="2248"/>
      <c r="AY294" s="2249"/>
      <c r="AZ294" s="2249"/>
      <c r="BA294" s="2238"/>
      <c r="BB294" s="2264"/>
      <c r="BD294" s="2252" t="s">
        <v>15</v>
      </c>
      <c r="BE294" s="2237"/>
      <c r="BF294" s="2237"/>
      <c r="BG294" s="2237"/>
      <c r="BH294" s="2237"/>
      <c r="BI294" s="2240"/>
      <c r="BJ294" s="2241"/>
      <c r="BK294" s="2239"/>
      <c r="BL294" s="2242"/>
      <c r="BM294" s="2250"/>
      <c r="BN294" s="2244"/>
      <c r="BO294" s="2244"/>
      <c r="BP294" s="2245"/>
      <c r="BQ294" s="2246"/>
      <c r="BR294" s="2247"/>
      <c r="BS294" s="2248"/>
      <c r="BT294" s="2249"/>
      <c r="BU294" s="2249"/>
      <c r="BV294" s="2238"/>
      <c r="BW294" s="2264"/>
      <c r="BY294" s="3">
        <v>1</v>
      </c>
    </row>
    <row r="295" spans="2:77" ht="21" customHeight="1">
      <c r="B295" s="2265" t="str" cm="1">
        <f t="array" ref="B295">SUMPRODUCT(--(D295:J295&lt;&gt;""), LEN(TRIM(SUBSTITUTE(D295:J295, CHAR(160), "")))) &amp; " Car."</f>
        <v>0 Car.</v>
      </c>
      <c r="C295" s="1376" t="str">
        <f>IF(ISBLANK(D295),"",LARGE(C13:C294,1)+1)</f>
        <v/>
      </c>
      <c r="D295" s="1833"/>
      <c r="E295" s="1810"/>
      <c r="F295" s="1810"/>
      <c r="G295" s="1810"/>
      <c r="H295" s="1810"/>
      <c r="I295" s="1810"/>
      <c r="J295" s="1810"/>
      <c r="K295" s="1810"/>
      <c r="L295" s="1811"/>
      <c r="M295" s="9"/>
      <c r="N295" s="2252" t="s">
        <v>15</v>
      </c>
      <c r="O295" s="2237"/>
      <c r="P295" s="2237"/>
      <c r="Q295" s="2237"/>
      <c r="R295" s="2237"/>
      <c r="S295" s="2240"/>
      <c r="T295" s="2241"/>
      <c r="U295" s="2239"/>
      <c r="V295" s="2242"/>
      <c r="W295" s="2250"/>
      <c r="X295" s="2244"/>
      <c r="Y295" s="2244"/>
      <c r="Z295" s="2245"/>
      <c r="AA295" s="2246"/>
      <c r="AB295" s="2247"/>
      <c r="AC295" s="2248"/>
      <c r="AD295" s="2249"/>
      <c r="AE295" s="2249"/>
      <c r="AF295" s="2238"/>
      <c r="AG295" s="2264"/>
      <c r="AI295" s="2252" t="s">
        <v>15</v>
      </c>
      <c r="AJ295" s="2237"/>
      <c r="AK295" s="2237"/>
      <c r="AL295" s="2237"/>
      <c r="AM295" s="2237"/>
      <c r="AN295" s="2240"/>
      <c r="AO295" s="2241"/>
      <c r="AP295" s="2239"/>
      <c r="AQ295" s="2242"/>
      <c r="AR295" s="2250"/>
      <c r="AS295" s="2244"/>
      <c r="AT295" s="2244"/>
      <c r="AU295" s="2245"/>
      <c r="AV295" s="2246"/>
      <c r="AW295" s="2247"/>
      <c r="AX295" s="2248"/>
      <c r="AY295" s="2249"/>
      <c r="AZ295" s="2249"/>
      <c r="BA295" s="2238"/>
      <c r="BB295" s="2264"/>
      <c r="BD295" s="2252" t="s">
        <v>15</v>
      </c>
      <c r="BE295" s="2237"/>
      <c r="BF295" s="2237"/>
      <c r="BG295" s="2237"/>
      <c r="BH295" s="2237"/>
      <c r="BI295" s="2240"/>
      <c r="BJ295" s="2241"/>
      <c r="BK295" s="2239"/>
      <c r="BL295" s="2242"/>
      <c r="BM295" s="2250"/>
      <c r="BN295" s="2244"/>
      <c r="BO295" s="2244"/>
      <c r="BP295" s="2245"/>
      <c r="BQ295" s="2246"/>
      <c r="BR295" s="2247"/>
      <c r="BS295" s="2248"/>
      <c r="BT295" s="2249"/>
      <c r="BU295" s="2249"/>
      <c r="BV295" s="2238"/>
      <c r="BW295" s="2264"/>
      <c r="BY295" s="3">
        <v>1</v>
      </c>
    </row>
    <row r="296" spans="2:77" ht="21" customHeight="1">
      <c r="B296" s="2265" t="str" cm="1">
        <f t="array" ref="B296">SUMPRODUCT(--(D296:J296&lt;&gt;""), LEN(TRIM(SUBSTITUTE(D296:J296, CHAR(160), "")))) &amp; " Car."</f>
        <v>0 Car.</v>
      </c>
      <c r="C296" s="1376" t="str">
        <f>IF(ISBLANK(D296),"",LARGE(C13:C295,1)+1)</f>
        <v/>
      </c>
      <c r="D296" s="1833"/>
      <c r="E296" s="1810"/>
      <c r="F296" s="1810"/>
      <c r="G296" s="1810"/>
      <c r="H296" s="1810"/>
      <c r="I296" s="1810"/>
      <c r="J296" s="1810"/>
      <c r="K296" s="1810"/>
      <c r="L296" s="1811"/>
      <c r="M296" s="9"/>
      <c r="N296" s="2252" t="s">
        <v>15</v>
      </c>
      <c r="O296" s="2237"/>
      <c r="P296" s="2237"/>
      <c r="Q296" s="2237"/>
      <c r="R296" s="2237"/>
      <c r="S296" s="2240"/>
      <c r="T296" s="2241"/>
      <c r="U296" s="2239"/>
      <c r="V296" s="2242"/>
      <c r="W296" s="2250"/>
      <c r="X296" s="2244"/>
      <c r="Y296" s="2244"/>
      <c r="Z296" s="2245"/>
      <c r="AA296" s="2246"/>
      <c r="AB296" s="2247"/>
      <c r="AC296" s="2248"/>
      <c r="AD296" s="2249"/>
      <c r="AE296" s="2249"/>
      <c r="AF296" s="2238"/>
      <c r="AG296" s="2264"/>
      <c r="AI296" s="2252" t="s">
        <v>15</v>
      </c>
      <c r="AJ296" s="2237"/>
      <c r="AK296" s="2237"/>
      <c r="AL296" s="2237"/>
      <c r="AM296" s="2237"/>
      <c r="AN296" s="2240"/>
      <c r="AO296" s="2241"/>
      <c r="AP296" s="2239"/>
      <c r="AQ296" s="2242"/>
      <c r="AR296" s="2250"/>
      <c r="AS296" s="2244"/>
      <c r="AT296" s="2244"/>
      <c r="AU296" s="2245"/>
      <c r="AV296" s="2246"/>
      <c r="AW296" s="2247"/>
      <c r="AX296" s="2248"/>
      <c r="AY296" s="2249"/>
      <c r="AZ296" s="2249"/>
      <c r="BA296" s="2238"/>
      <c r="BB296" s="2264"/>
      <c r="BD296" s="2252" t="s">
        <v>15</v>
      </c>
      <c r="BE296" s="2237"/>
      <c r="BF296" s="2237"/>
      <c r="BG296" s="2237"/>
      <c r="BH296" s="2237"/>
      <c r="BI296" s="2240"/>
      <c r="BJ296" s="2241"/>
      <c r="BK296" s="2239"/>
      <c r="BL296" s="2242"/>
      <c r="BM296" s="2250"/>
      <c r="BN296" s="2244"/>
      <c r="BO296" s="2244"/>
      <c r="BP296" s="2245"/>
      <c r="BQ296" s="2246"/>
      <c r="BR296" s="2247"/>
      <c r="BS296" s="2248"/>
      <c r="BT296" s="2249"/>
      <c r="BU296" s="2249"/>
      <c r="BV296" s="2238"/>
      <c r="BW296" s="2264"/>
      <c r="BY296" s="3">
        <v>1</v>
      </c>
    </row>
    <row r="297" spans="2:77" ht="21" customHeight="1">
      <c r="B297" s="2265" t="str" cm="1">
        <f t="array" ref="B297">SUMPRODUCT(--(D297:J297&lt;&gt;""), LEN(TRIM(SUBSTITUTE(D297:J297, CHAR(160), "")))) &amp; " Car."</f>
        <v>0 Car.</v>
      </c>
      <c r="C297" s="1376" t="str">
        <f>IF(ISBLANK(D297),"",LARGE(C13:C296,1)+1)</f>
        <v/>
      </c>
      <c r="D297" s="1833"/>
      <c r="E297" s="1810"/>
      <c r="F297" s="1810"/>
      <c r="G297" s="1810"/>
      <c r="H297" s="1810"/>
      <c r="I297" s="1810"/>
      <c r="J297" s="1810"/>
      <c r="K297" s="1810"/>
      <c r="L297" s="1811"/>
      <c r="M297" s="9"/>
      <c r="N297" s="2252" t="s">
        <v>15</v>
      </c>
      <c r="O297" s="2237"/>
      <c r="P297" s="2237"/>
      <c r="Q297" s="2237"/>
      <c r="R297" s="2237"/>
      <c r="S297" s="2240"/>
      <c r="T297" s="2241"/>
      <c r="U297" s="2239"/>
      <c r="V297" s="2242"/>
      <c r="W297" s="2250"/>
      <c r="X297" s="2244"/>
      <c r="Y297" s="2244"/>
      <c r="Z297" s="2245"/>
      <c r="AA297" s="2246"/>
      <c r="AB297" s="2247"/>
      <c r="AC297" s="2248"/>
      <c r="AD297" s="2249"/>
      <c r="AE297" s="2249"/>
      <c r="AF297" s="2238"/>
      <c r="AG297" s="2264"/>
      <c r="AI297" s="2252" t="s">
        <v>15</v>
      </c>
      <c r="AJ297" s="2237"/>
      <c r="AK297" s="2237"/>
      <c r="AL297" s="2237"/>
      <c r="AM297" s="2237"/>
      <c r="AN297" s="2240"/>
      <c r="AO297" s="2241"/>
      <c r="AP297" s="2239"/>
      <c r="AQ297" s="2242"/>
      <c r="AR297" s="2250"/>
      <c r="AS297" s="2244"/>
      <c r="AT297" s="2244"/>
      <c r="AU297" s="2245"/>
      <c r="AV297" s="2246"/>
      <c r="AW297" s="2247"/>
      <c r="AX297" s="2248"/>
      <c r="AY297" s="2249"/>
      <c r="AZ297" s="2249"/>
      <c r="BA297" s="2238"/>
      <c r="BB297" s="2264"/>
      <c r="BD297" s="2252" t="s">
        <v>15</v>
      </c>
      <c r="BE297" s="2237"/>
      <c r="BF297" s="2237"/>
      <c r="BG297" s="2237"/>
      <c r="BH297" s="2237"/>
      <c r="BI297" s="2240"/>
      <c r="BJ297" s="2241"/>
      <c r="BK297" s="2239"/>
      <c r="BL297" s="2242"/>
      <c r="BM297" s="2250"/>
      <c r="BN297" s="2244"/>
      <c r="BO297" s="2244"/>
      <c r="BP297" s="2245"/>
      <c r="BQ297" s="2246"/>
      <c r="BR297" s="2247"/>
      <c r="BS297" s="2248"/>
      <c r="BT297" s="2249"/>
      <c r="BU297" s="2249"/>
      <c r="BV297" s="2238"/>
      <c r="BW297" s="2264"/>
      <c r="BY297" s="3">
        <v>1</v>
      </c>
    </row>
    <row r="298" spans="2:77" ht="21" customHeight="1">
      <c r="B298" s="2265" t="str" cm="1">
        <f t="array" ref="B298">SUMPRODUCT(--(D298:J298&lt;&gt;""), LEN(TRIM(SUBSTITUTE(D298:J298, CHAR(160), "")))) &amp; " Car."</f>
        <v>0 Car.</v>
      </c>
      <c r="C298" s="1376" t="str">
        <f>IF(ISBLANK(D298),"",LARGE(C13:C297,1)+1)</f>
        <v/>
      </c>
      <c r="D298" s="1833"/>
      <c r="E298" s="1810"/>
      <c r="F298" s="1810"/>
      <c r="G298" s="1810"/>
      <c r="H298" s="1810"/>
      <c r="I298" s="1810"/>
      <c r="J298" s="1810"/>
      <c r="K298" s="1810"/>
      <c r="L298" s="1811"/>
      <c r="M298" s="9"/>
      <c r="N298" s="2252" t="s">
        <v>15</v>
      </c>
      <c r="O298" s="2237"/>
      <c r="P298" s="2237"/>
      <c r="Q298" s="2237"/>
      <c r="R298" s="2237"/>
      <c r="S298" s="2240"/>
      <c r="T298" s="2241"/>
      <c r="U298" s="2239"/>
      <c r="V298" s="2242"/>
      <c r="W298" s="2250"/>
      <c r="X298" s="2244"/>
      <c r="Y298" s="2244"/>
      <c r="Z298" s="2245"/>
      <c r="AA298" s="2246"/>
      <c r="AB298" s="2247"/>
      <c r="AC298" s="2248"/>
      <c r="AD298" s="2249"/>
      <c r="AE298" s="2249"/>
      <c r="AF298" s="2238"/>
      <c r="AG298" s="2264"/>
      <c r="AI298" s="2252" t="s">
        <v>15</v>
      </c>
      <c r="AJ298" s="2237"/>
      <c r="AK298" s="2237"/>
      <c r="AL298" s="2237"/>
      <c r="AM298" s="2237"/>
      <c r="AN298" s="2240"/>
      <c r="AO298" s="2241"/>
      <c r="AP298" s="2239"/>
      <c r="AQ298" s="2242"/>
      <c r="AR298" s="2250"/>
      <c r="AS298" s="2244"/>
      <c r="AT298" s="2244"/>
      <c r="AU298" s="2245"/>
      <c r="AV298" s="2246"/>
      <c r="AW298" s="2247"/>
      <c r="AX298" s="2248"/>
      <c r="AY298" s="2249"/>
      <c r="AZ298" s="2249"/>
      <c r="BA298" s="2238"/>
      <c r="BB298" s="2264"/>
      <c r="BD298" s="2252" t="s">
        <v>15</v>
      </c>
      <c r="BE298" s="2237"/>
      <c r="BF298" s="2237"/>
      <c r="BG298" s="2237"/>
      <c r="BH298" s="2237"/>
      <c r="BI298" s="2240"/>
      <c r="BJ298" s="2241"/>
      <c r="BK298" s="2239"/>
      <c r="BL298" s="2242"/>
      <c r="BM298" s="2250"/>
      <c r="BN298" s="2244"/>
      <c r="BO298" s="2244"/>
      <c r="BP298" s="2245"/>
      <c r="BQ298" s="2246"/>
      <c r="BR298" s="2247"/>
      <c r="BS298" s="2248"/>
      <c r="BT298" s="2249"/>
      <c r="BU298" s="2249"/>
      <c r="BV298" s="2238"/>
      <c r="BW298" s="2264"/>
      <c r="BY298" s="3">
        <v>1</v>
      </c>
    </row>
    <row r="299" spans="2:77" ht="21" customHeight="1">
      <c r="B299" s="2265" t="str" cm="1">
        <f t="array" ref="B299">SUMPRODUCT(--(D299:J299&lt;&gt;""), LEN(TRIM(SUBSTITUTE(D299:J299, CHAR(160), "")))) &amp; " Car."</f>
        <v>0 Car.</v>
      </c>
      <c r="C299" s="1376" t="str">
        <f>IF(ISBLANK(D299),"",LARGE(C13:C298,1)+1)</f>
        <v/>
      </c>
      <c r="D299" s="1833"/>
      <c r="E299" s="1810"/>
      <c r="F299" s="1810"/>
      <c r="G299" s="1810"/>
      <c r="H299" s="1810"/>
      <c r="I299" s="1810"/>
      <c r="J299" s="1810"/>
      <c r="K299" s="1810"/>
      <c r="L299" s="1811"/>
      <c r="M299" s="9"/>
      <c r="N299" s="2252" t="s">
        <v>15</v>
      </c>
      <c r="O299" s="2237"/>
      <c r="P299" s="2237"/>
      <c r="Q299" s="2237"/>
      <c r="R299" s="2237"/>
      <c r="S299" s="2240"/>
      <c r="T299" s="2241"/>
      <c r="U299" s="2239"/>
      <c r="V299" s="2242"/>
      <c r="W299" s="2250"/>
      <c r="X299" s="2244"/>
      <c r="Y299" s="2244"/>
      <c r="Z299" s="2245"/>
      <c r="AA299" s="2246"/>
      <c r="AB299" s="2247"/>
      <c r="AC299" s="2248"/>
      <c r="AD299" s="2249"/>
      <c r="AE299" s="2249"/>
      <c r="AF299" s="2238"/>
      <c r="AG299" s="2264"/>
      <c r="AI299" s="2252" t="s">
        <v>15</v>
      </c>
      <c r="AJ299" s="2237"/>
      <c r="AK299" s="2237"/>
      <c r="AL299" s="2237"/>
      <c r="AM299" s="2237"/>
      <c r="AN299" s="2240"/>
      <c r="AO299" s="2241"/>
      <c r="AP299" s="2239"/>
      <c r="AQ299" s="2242"/>
      <c r="AR299" s="2250"/>
      <c r="AS299" s="2244"/>
      <c r="AT299" s="2244"/>
      <c r="AU299" s="2245"/>
      <c r="AV299" s="2246"/>
      <c r="AW299" s="2247"/>
      <c r="AX299" s="2248"/>
      <c r="AY299" s="2249"/>
      <c r="AZ299" s="2249"/>
      <c r="BA299" s="2238"/>
      <c r="BB299" s="2264"/>
      <c r="BD299" s="2252" t="s">
        <v>15</v>
      </c>
      <c r="BE299" s="2237"/>
      <c r="BF299" s="2237"/>
      <c r="BG299" s="2237"/>
      <c r="BH299" s="2237"/>
      <c r="BI299" s="2240"/>
      <c r="BJ299" s="2241"/>
      <c r="BK299" s="2239"/>
      <c r="BL299" s="2242"/>
      <c r="BM299" s="2250"/>
      <c r="BN299" s="2244"/>
      <c r="BO299" s="2244"/>
      <c r="BP299" s="2245"/>
      <c r="BQ299" s="2246"/>
      <c r="BR299" s="2247"/>
      <c r="BS299" s="2248"/>
      <c r="BT299" s="2249"/>
      <c r="BU299" s="2249"/>
      <c r="BV299" s="2238"/>
      <c r="BW299" s="2264"/>
      <c r="BY299" s="3">
        <v>1</v>
      </c>
    </row>
    <row r="300" spans="2:77" ht="21" customHeight="1">
      <c r="B300" s="2265" t="str" cm="1">
        <f t="array" ref="B300">SUMPRODUCT(--(D300:J300&lt;&gt;""), LEN(TRIM(SUBSTITUTE(D300:J300, CHAR(160), "")))) &amp; " Car."</f>
        <v>0 Car.</v>
      </c>
      <c r="C300" s="1376" t="str">
        <f>IF(ISBLANK(D300),"",LARGE(C13:C299,1)+1)</f>
        <v/>
      </c>
      <c r="D300" s="1833"/>
      <c r="E300" s="1810"/>
      <c r="F300" s="1810"/>
      <c r="G300" s="1810"/>
      <c r="H300" s="1810"/>
      <c r="I300" s="1810"/>
      <c r="J300" s="1810"/>
      <c r="K300" s="1810"/>
      <c r="L300" s="1811"/>
      <c r="M300" s="9"/>
      <c r="N300" s="2252" t="s">
        <v>15</v>
      </c>
      <c r="O300" s="2237"/>
      <c r="P300" s="2237"/>
      <c r="Q300" s="2237"/>
      <c r="R300" s="2237"/>
      <c r="S300" s="2240"/>
      <c r="T300" s="2241"/>
      <c r="U300" s="2239"/>
      <c r="V300" s="2242"/>
      <c r="W300" s="2250"/>
      <c r="X300" s="2244"/>
      <c r="Y300" s="2244"/>
      <c r="Z300" s="2245"/>
      <c r="AA300" s="2246"/>
      <c r="AB300" s="2247"/>
      <c r="AC300" s="2248"/>
      <c r="AD300" s="2249"/>
      <c r="AE300" s="2249"/>
      <c r="AF300" s="2238"/>
      <c r="AG300" s="2264"/>
      <c r="AI300" s="2252" t="s">
        <v>15</v>
      </c>
      <c r="AJ300" s="2237"/>
      <c r="AK300" s="2237"/>
      <c r="AL300" s="2237"/>
      <c r="AM300" s="2237"/>
      <c r="AN300" s="2240"/>
      <c r="AO300" s="2241"/>
      <c r="AP300" s="2239"/>
      <c r="AQ300" s="2242"/>
      <c r="AR300" s="2250"/>
      <c r="AS300" s="2244"/>
      <c r="AT300" s="2244"/>
      <c r="AU300" s="2245"/>
      <c r="AV300" s="2246"/>
      <c r="AW300" s="2247"/>
      <c r="AX300" s="2248"/>
      <c r="AY300" s="2249"/>
      <c r="AZ300" s="2249"/>
      <c r="BA300" s="2238"/>
      <c r="BB300" s="2264"/>
      <c r="BD300" s="2252" t="s">
        <v>15</v>
      </c>
      <c r="BE300" s="2237"/>
      <c r="BF300" s="2237"/>
      <c r="BG300" s="2237"/>
      <c r="BH300" s="2237"/>
      <c r="BI300" s="2240"/>
      <c r="BJ300" s="2241"/>
      <c r="BK300" s="2239"/>
      <c r="BL300" s="2242"/>
      <c r="BM300" s="2250"/>
      <c r="BN300" s="2244"/>
      <c r="BO300" s="2244"/>
      <c r="BP300" s="2245"/>
      <c r="BQ300" s="2246"/>
      <c r="BR300" s="2247"/>
      <c r="BS300" s="2248"/>
      <c r="BT300" s="2249"/>
      <c r="BU300" s="2249"/>
      <c r="BV300" s="2238"/>
      <c r="BW300" s="2264"/>
      <c r="BY300" s="3">
        <v>1</v>
      </c>
    </row>
    <row r="301" spans="2:77" ht="21" customHeight="1">
      <c r="B301" s="2265" t="str" cm="1">
        <f t="array" ref="B301">SUMPRODUCT(--(D301:J301&lt;&gt;""), LEN(TRIM(SUBSTITUTE(D301:J301, CHAR(160), "")))) &amp; " Car."</f>
        <v>0 Car.</v>
      </c>
      <c r="C301" s="1376" t="str">
        <f>IF(ISBLANK(D301),"",LARGE(C13:C300,1)+1)</f>
        <v/>
      </c>
      <c r="D301" s="1833"/>
      <c r="E301" s="1810"/>
      <c r="F301" s="1810"/>
      <c r="G301" s="1810"/>
      <c r="H301" s="1810"/>
      <c r="I301" s="1810"/>
      <c r="J301" s="1810"/>
      <c r="K301" s="1810"/>
      <c r="L301" s="1811"/>
      <c r="M301" s="9"/>
      <c r="N301" s="2252" t="s">
        <v>15</v>
      </c>
      <c r="O301" s="2237"/>
      <c r="P301" s="2237"/>
      <c r="Q301" s="2237"/>
      <c r="R301" s="2237"/>
      <c r="S301" s="2240"/>
      <c r="T301" s="2241"/>
      <c r="U301" s="2239"/>
      <c r="V301" s="2242"/>
      <c r="W301" s="2250"/>
      <c r="X301" s="2244"/>
      <c r="Y301" s="2244"/>
      <c r="Z301" s="2245"/>
      <c r="AA301" s="2246"/>
      <c r="AB301" s="2247"/>
      <c r="AC301" s="2248"/>
      <c r="AD301" s="2249"/>
      <c r="AE301" s="2249"/>
      <c r="AF301" s="2238"/>
      <c r="AG301" s="2264"/>
      <c r="AI301" s="2252" t="s">
        <v>15</v>
      </c>
      <c r="AJ301" s="2237"/>
      <c r="AK301" s="2237"/>
      <c r="AL301" s="2237"/>
      <c r="AM301" s="2237"/>
      <c r="AN301" s="2240"/>
      <c r="AO301" s="2241"/>
      <c r="AP301" s="2239"/>
      <c r="AQ301" s="2242"/>
      <c r="AR301" s="2250"/>
      <c r="AS301" s="2244"/>
      <c r="AT301" s="2244"/>
      <c r="AU301" s="2245"/>
      <c r="AV301" s="2246"/>
      <c r="AW301" s="2247"/>
      <c r="AX301" s="2248"/>
      <c r="AY301" s="2249"/>
      <c r="AZ301" s="2249"/>
      <c r="BA301" s="2238"/>
      <c r="BB301" s="2264"/>
      <c r="BD301" s="2252" t="s">
        <v>15</v>
      </c>
      <c r="BE301" s="2237"/>
      <c r="BF301" s="2237"/>
      <c r="BG301" s="2237"/>
      <c r="BH301" s="2237"/>
      <c r="BI301" s="2240"/>
      <c r="BJ301" s="2241"/>
      <c r="BK301" s="2239"/>
      <c r="BL301" s="2242"/>
      <c r="BM301" s="2250"/>
      <c r="BN301" s="2244"/>
      <c r="BO301" s="2244"/>
      <c r="BP301" s="2245"/>
      <c r="BQ301" s="2246"/>
      <c r="BR301" s="2247"/>
      <c r="BS301" s="2248"/>
      <c r="BT301" s="2249"/>
      <c r="BU301" s="2249"/>
      <c r="BV301" s="2238"/>
      <c r="BW301" s="2264"/>
      <c r="BY301" s="3">
        <v>1</v>
      </c>
    </row>
    <row r="302" spans="2:77" ht="21" customHeight="1">
      <c r="B302" s="2265" t="str" cm="1">
        <f t="array" ref="B302">SUMPRODUCT(--(D302:J302&lt;&gt;""), LEN(TRIM(SUBSTITUTE(D302:J302, CHAR(160), "")))) &amp; " Car."</f>
        <v>0 Car.</v>
      </c>
      <c r="C302" s="1376" t="str">
        <f>IF(ISBLANK(D302),"",LARGE(C13:C301,1)+1)</f>
        <v/>
      </c>
      <c r="D302" s="1833"/>
      <c r="E302" s="1810"/>
      <c r="F302" s="1810"/>
      <c r="G302" s="1810"/>
      <c r="H302" s="1810"/>
      <c r="I302" s="1810"/>
      <c r="J302" s="1810"/>
      <c r="K302" s="1810"/>
      <c r="L302" s="1811"/>
      <c r="M302" s="9"/>
      <c r="N302" s="2252" t="s">
        <v>15</v>
      </c>
      <c r="O302" s="2237"/>
      <c r="P302" s="2237"/>
      <c r="Q302" s="2237"/>
      <c r="R302" s="2237"/>
      <c r="S302" s="2240"/>
      <c r="T302" s="2241"/>
      <c r="U302" s="2239"/>
      <c r="V302" s="2242"/>
      <c r="W302" s="2250"/>
      <c r="X302" s="2244"/>
      <c r="Y302" s="2244"/>
      <c r="Z302" s="2245"/>
      <c r="AA302" s="2246"/>
      <c r="AB302" s="2247"/>
      <c r="AC302" s="2248"/>
      <c r="AD302" s="2249"/>
      <c r="AE302" s="2249"/>
      <c r="AF302" s="2238"/>
      <c r="AG302" s="2264"/>
      <c r="AI302" s="2252" t="s">
        <v>15</v>
      </c>
      <c r="AJ302" s="2237"/>
      <c r="AK302" s="2237"/>
      <c r="AL302" s="2237"/>
      <c r="AM302" s="2237"/>
      <c r="AN302" s="2240"/>
      <c r="AO302" s="2241"/>
      <c r="AP302" s="2239"/>
      <c r="AQ302" s="2242"/>
      <c r="AR302" s="2250"/>
      <c r="AS302" s="2244"/>
      <c r="AT302" s="2244"/>
      <c r="AU302" s="2245"/>
      <c r="AV302" s="2246"/>
      <c r="AW302" s="2247"/>
      <c r="AX302" s="2248"/>
      <c r="AY302" s="2249"/>
      <c r="AZ302" s="2249"/>
      <c r="BA302" s="2238"/>
      <c r="BB302" s="2264"/>
      <c r="BD302" s="2252" t="s">
        <v>15</v>
      </c>
      <c r="BE302" s="2237"/>
      <c r="BF302" s="2237"/>
      <c r="BG302" s="2237"/>
      <c r="BH302" s="2237"/>
      <c r="BI302" s="2240"/>
      <c r="BJ302" s="2241"/>
      <c r="BK302" s="2239"/>
      <c r="BL302" s="2242"/>
      <c r="BM302" s="2250"/>
      <c r="BN302" s="2244"/>
      <c r="BO302" s="2244"/>
      <c r="BP302" s="2245"/>
      <c r="BQ302" s="2246"/>
      <c r="BR302" s="2247"/>
      <c r="BS302" s="2248"/>
      <c r="BT302" s="2249"/>
      <c r="BU302" s="2249"/>
      <c r="BV302" s="2238"/>
      <c r="BW302" s="2264"/>
      <c r="BY302" s="3">
        <v>1</v>
      </c>
    </row>
    <row r="303" spans="2:77" ht="21" customHeight="1">
      <c r="B303" s="2265" t="str" cm="1">
        <f t="array" ref="B303">SUMPRODUCT(--(D303:J303&lt;&gt;""), LEN(TRIM(SUBSTITUTE(D303:J303, CHAR(160), "")))) &amp; " Car."</f>
        <v>0 Car.</v>
      </c>
      <c r="C303" s="1376" t="str">
        <f>IF(ISBLANK(D303),"",LARGE(C13:C302,1)+1)</f>
        <v/>
      </c>
      <c r="D303" s="1833"/>
      <c r="E303" s="1810"/>
      <c r="F303" s="1810"/>
      <c r="G303" s="1810"/>
      <c r="H303" s="1810"/>
      <c r="I303" s="1810"/>
      <c r="J303" s="1810"/>
      <c r="K303" s="1810"/>
      <c r="L303" s="1811"/>
      <c r="M303" s="9"/>
      <c r="N303" s="2252" t="s">
        <v>15</v>
      </c>
      <c r="O303" s="2237"/>
      <c r="P303" s="2237"/>
      <c r="Q303" s="2237"/>
      <c r="R303" s="2237"/>
      <c r="S303" s="2240"/>
      <c r="T303" s="2241"/>
      <c r="U303" s="2239"/>
      <c r="V303" s="2242"/>
      <c r="W303" s="2250"/>
      <c r="X303" s="2244"/>
      <c r="Y303" s="2244"/>
      <c r="Z303" s="2245"/>
      <c r="AA303" s="2246"/>
      <c r="AB303" s="2247"/>
      <c r="AC303" s="2248"/>
      <c r="AD303" s="2249"/>
      <c r="AE303" s="2249"/>
      <c r="AF303" s="2238"/>
      <c r="AG303" s="2264"/>
      <c r="AI303" s="2252" t="s">
        <v>15</v>
      </c>
      <c r="AJ303" s="2237"/>
      <c r="AK303" s="2237"/>
      <c r="AL303" s="2237"/>
      <c r="AM303" s="2237"/>
      <c r="AN303" s="2240"/>
      <c r="AO303" s="2241"/>
      <c r="AP303" s="2239"/>
      <c r="AQ303" s="2242"/>
      <c r="AR303" s="2250"/>
      <c r="AS303" s="2244"/>
      <c r="AT303" s="2244"/>
      <c r="AU303" s="2245"/>
      <c r="AV303" s="2246"/>
      <c r="AW303" s="2247"/>
      <c r="AX303" s="2248"/>
      <c r="AY303" s="2249"/>
      <c r="AZ303" s="2249"/>
      <c r="BA303" s="2238"/>
      <c r="BB303" s="2264"/>
      <c r="BD303" s="2252" t="s">
        <v>15</v>
      </c>
      <c r="BE303" s="2237"/>
      <c r="BF303" s="2237"/>
      <c r="BG303" s="2237"/>
      <c r="BH303" s="2237"/>
      <c r="BI303" s="2240"/>
      <c r="BJ303" s="2241"/>
      <c r="BK303" s="2239"/>
      <c r="BL303" s="2242"/>
      <c r="BM303" s="2250"/>
      <c r="BN303" s="2244"/>
      <c r="BO303" s="2244"/>
      <c r="BP303" s="2245"/>
      <c r="BQ303" s="2246"/>
      <c r="BR303" s="2247"/>
      <c r="BS303" s="2248"/>
      <c r="BT303" s="2249"/>
      <c r="BU303" s="2249"/>
      <c r="BV303" s="2238"/>
      <c r="BW303" s="2264"/>
      <c r="BY303" s="3">
        <v>1</v>
      </c>
    </row>
    <row r="304" spans="2:77" ht="21" customHeight="1">
      <c r="B304" s="2265" t="str" cm="1">
        <f t="array" ref="B304">SUMPRODUCT(--(D304:J304&lt;&gt;""), LEN(TRIM(SUBSTITUTE(D304:J304, CHAR(160), "")))) &amp; " Car."</f>
        <v>0 Car.</v>
      </c>
      <c r="C304" s="1376" t="str">
        <f>IF(ISBLANK(D304),"",LARGE(C13:C303,1)+1)</f>
        <v/>
      </c>
      <c r="D304" s="1833"/>
      <c r="E304" s="1810"/>
      <c r="F304" s="1810"/>
      <c r="G304" s="1810"/>
      <c r="H304" s="1810"/>
      <c r="I304" s="1810"/>
      <c r="J304" s="1810"/>
      <c r="K304" s="1810"/>
      <c r="L304" s="1811"/>
      <c r="M304" s="9"/>
      <c r="N304" s="2252" t="s">
        <v>15</v>
      </c>
      <c r="O304" s="2237"/>
      <c r="P304" s="2237"/>
      <c r="Q304" s="2237"/>
      <c r="R304" s="2237"/>
      <c r="S304" s="2240"/>
      <c r="T304" s="2241"/>
      <c r="U304" s="2239"/>
      <c r="V304" s="2242"/>
      <c r="W304" s="2250"/>
      <c r="X304" s="2244"/>
      <c r="Y304" s="2244"/>
      <c r="Z304" s="2245"/>
      <c r="AA304" s="2246"/>
      <c r="AB304" s="2247"/>
      <c r="AC304" s="2248"/>
      <c r="AD304" s="2249"/>
      <c r="AE304" s="2249"/>
      <c r="AF304" s="2238"/>
      <c r="AG304" s="2264"/>
      <c r="AI304" s="2252" t="s">
        <v>15</v>
      </c>
      <c r="AJ304" s="2237"/>
      <c r="AK304" s="2237"/>
      <c r="AL304" s="2237"/>
      <c r="AM304" s="2237"/>
      <c r="AN304" s="2240"/>
      <c r="AO304" s="2241"/>
      <c r="AP304" s="2239"/>
      <c r="AQ304" s="2242"/>
      <c r="AR304" s="2250"/>
      <c r="AS304" s="2244"/>
      <c r="AT304" s="2244"/>
      <c r="AU304" s="2245"/>
      <c r="AV304" s="2246"/>
      <c r="AW304" s="2247"/>
      <c r="AX304" s="2248"/>
      <c r="AY304" s="2249"/>
      <c r="AZ304" s="2249"/>
      <c r="BA304" s="2238"/>
      <c r="BB304" s="2264"/>
      <c r="BD304" s="2252" t="s">
        <v>15</v>
      </c>
      <c r="BE304" s="2237"/>
      <c r="BF304" s="2237"/>
      <c r="BG304" s="2237"/>
      <c r="BH304" s="2237"/>
      <c r="BI304" s="2240"/>
      <c r="BJ304" s="2241"/>
      <c r="BK304" s="2239"/>
      <c r="BL304" s="2242"/>
      <c r="BM304" s="2250"/>
      <c r="BN304" s="2244"/>
      <c r="BO304" s="2244"/>
      <c r="BP304" s="2245"/>
      <c r="BQ304" s="2246"/>
      <c r="BR304" s="2247"/>
      <c r="BS304" s="2248"/>
      <c r="BT304" s="2249"/>
      <c r="BU304" s="2249"/>
      <c r="BV304" s="2238"/>
      <c r="BW304" s="2264"/>
      <c r="BY304" s="3">
        <v>1</v>
      </c>
    </row>
    <row r="305" spans="2:77" ht="21" customHeight="1">
      <c r="B305" s="2265" t="str" cm="1">
        <f t="array" ref="B305">SUMPRODUCT(--(D305:J305&lt;&gt;""), LEN(TRIM(SUBSTITUTE(D305:J305, CHAR(160), "")))) &amp; " Car."</f>
        <v>0 Car.</v>
      </c>
      <c r="C305" s="1376" t="str">
        <f>IF(ISBLANK(D305),"",LARGE(C13:C304,1)+1)</f>
        <v/>
      </c>
      <c r="D305" s="1833"/>
      <c r="E305" s="1810"/>
      <c r="F305" s="1810"/>
      <c r="G305" s="1810"/>
      <c r="H305" s="1810"/>
      <c r="I305" s="1810"/>
      <c r="J305" s="1810"/>
      <c r="K305" s="1810"/>
      <c r="L305" s="1811"/>
      <c r="M305" s="9"/>
      <c r="N305" s="2252" t="s">
        <v>15</v>
      </c>
      <c r="O305" s="2237"/>
      <c r="P305" s="2237"/>
      <c r="Q305" s="2237"/>
      <c r="R305" s="2237"/>
      <c r="S305" s="2240"/>
      <c r="T305" s="2241"/>
      <c r="U305" s="2239"/>
      <c r="V305" s="2242"/>
      <c r="W305" s="2250"/>
      <c r="X305" s="2244"/>
      <c r="Y305" s="2244"/>
      <c r="Z305" s="2245"/>
      <c r="AA305" s="2246"/>
      <c r="AB305" s="2247"/>
      <c r="AC305" s="2248"/>
      <c r="AD305" s="2249"/>
      <c r="AE305" s="2249"/>
      <c r="AF305" s="2238"/>
      <c r="AG305" s="2264"/>
      <c r="AI305" s="2252" t="s">
        <v>15</v>
      </c>
      <c r="AJ305" s="2237"/>
      <c r="AK305" s="2237"/>
      <c r="AL305" s="2237"/>
      <c r="AM305" s="2237"/>
      <c r="AN305" s="2240"/>
      <c r="AO305" s="2241"/>
      <c r="AP305" s="2239"/>
      <c r="AQ305" s="2242"/>
      <c r="AR305" s="2250"/>
      <c r="AS305" s="2244"/>
      <c r="AT305" s="2244"/>
      <c r="AU305" s="2245"/>
      <c r="AV305" s="2246"/>
      <c r="AW305" s="2247"/>
      <c r="AX305" s="2248"/>
      <c r="AY305" s="2249"/>
      <c r="AZ305" s="2249"/>
      <c r="BA305" s="2238"/>
      <c r="BB305" s="2264"/>
      <c r="BD305" s="2252" t="s">
        <v>15</v>
      </c>
      <c r="BE305" s="2237"/>
      <c r="BF305" s="2237"/>
      <c r="BG305" s="2237"/>
      <c r="BH305" s="2237"/>
      <c r="BI305" s="2240"/>
      <c r="BJ305" s="2241"/>
      <c r="BK305" s="2239"/>
      <c r="BL305" s="2242"/>
      <c r="BM305" s="2250"/>
      <c r="BN305" s="2244"/>
      <c r="BO305" s="2244"/>
      <c r="BP305" s="2245"/>
      <c r="BQ305" s="2246"/>
      <c r="BR305" s="2247"/>
      <c r="BS305" s="2248"/>
      <c r="BT305" s="2249"/>
      <c r="BU305" s="2249"/>
      <c r="BV305" s="2238"/>
      <c r="BW305" s="2264"/>
      <c r="BY305" s="3">
        <v>1</v>
      </c>
    </row>
    <row r="306" spans="2:77" ht="21" customHeight="1">
      <c r="B306" s="2265" t="str" cm="1">
        <f t="array" ref="B306">SUMPRODUCT(--(D306:J306&lt;&gt;""), LEN(TRIM(SUBSTITUTE(D306:J306, CHAR(160), "")))) &amp; " Car."</f>
        <v>0 Car.</v>
      </c>
      <c r="C306" s="1376" t="str">
        <f>IF(ISBLANK(D306),"",LARGE(C13:C305,1)+1)</f>
        <v/>
      </c>
      <c r="D306" s="1833"/>
      <c r="E306" s="1810"/>
      <c r="F306" s="1810"/>
      <c r="G306" s="1810"/>
      <c r="H306" s="1810"/>
      <c r="I306" s="1810"/>
      <c r="J306" s="1810"/>
      <c r="K306" s="1810"/>
      <c r="L306" s="1811"/>
      <c r="M306" s="9"/>
      <c r="N306" s="2252" t="s">
        <v>15</v>
      </c>
      <c r="O306" s="2237"/>
      <c r="P306" s="2237"/>
      <c r="Q306" s="2237"/>
      <c r="R306" s="2237"/>
      <c r="S306" s="2240"/>
      <c r="T306" s="2241"/>
      <c r="U306" s="2239"/>
      <c r="V306" s="2242"/>
      <c r="W306" s="2250"/>
      <c r="X306" s="2244"/>
      <c r="Y306" s="2244"/>
      <c r="Z306" s="2245"/>
      <c r="AA306" s="2246"/>
      <c r="AB306" s="2247"/>
      <c r="AC306" s="2248"/>
      <c r="AD306" s="2249"/>
      <c r="AE306" s="2249"/>
      <c r="AF306" s="2238"/>
      <c r="AG306" s="2264"/>
      <c r="AI306" s="2252" t="s">
        <v>15</v>
      </c>
      <c r="AJ306" s="2237"/>
      <c r="AK306" s="2237"/>
      <c r="AL306" s="2237"/>
      <c r="AM306" s="2237"/>
      <c r="AN306" s="2240"/>
      <c r="AO306" s="2241"/>
      <c r="AP306" s="2239"/>
      <c r="AQ306" s="2242"/>
      <c r="AR306" s="2250"/>
      <c r="AS306" s="2244"/>
      <c r="AT306" s="2244"/>
      <c r="AU306" s="2245"/>
      <c r="AV306" s="2246"/>
      <c r="AW306" s="2247"/>
      <c r="AX306" s="2248"/>
      <c r="AY306" s="2249"/>
      <c r="AZ306" s="2249"/>
      <c r="BA306" s="2238"/>
      <c r="BB306" s="2264"/>
      <c r="BD306" s="2252" t="s">
        <v>15</v>
      </c>
      <c r="BE306" s="2237"/>
      <c r="BF306" s="2237"/>
      <c r="BG306" s="2237"/>
      <c r="BH306" s="2237"/>
      <c r="BI306" s="2240"/>
      <c r="BJ306" s="2241"/>
      <c r="BK306" s="2239"/>
      <c r="BL306" s="2242"/>
      <c r="BM306" s="2250"/>
      <c r="BN306" s="2244"/>
      <c r="BO306" s="2244"/>
      <c r="BP306" s="2245"/>
      <c r="BQ306" s="2246"/>
      <c r="BR306" s="2247"/>
      <c r="BS306" s="2248"/>
      <c r="BT306" s="2249"/>
      <c r="BU306" s="2249"/>
      <c r="BV306" s="2238"/>
      <c r="BW306" s="2264"/>
      <c r="BY306" s="3">
        <v>1</v>
      </c>
    </row>
    <row r="307" spans="2:77" ht="21" customHeight="1">
      <c r="B307" s="2265" t="str" cm="1">
        <f t="array" ref="B307">SUMPRODUCT(--(D307:J307&lt;&gt;""), LEN(TRIM(SUBSTITUTE(D307:J307, CHAR(160), "")))) &amp; " Car."</f>
        <v>0 Car.</v>
      </c>
      <c r="C307" s="1376" t="str">
        <f>IF(ISBLANK(D307),"",LARGE(C13:C306,1)+1)</f>
        <v/>
      </c>
      <c r="D307" s="1833"/>
      <c r="E307" s="1810"/>
      <c r="F307" s="1810"/>
      <c r="G307" s="1810"/>
      <c r="H307" s="1810"/>
      <c r="I307" s="1810"/>
      <c r="J307" s="1810"/>
      <c r="K307" s="1810"/>
      <c r="L307" s="1811"/>
      <c r="M307" s="9"/>
      <c r="N307" s="2252" t="s">
        <v>15</v>
      </c>
      <c r="O307" s="2237"/>
      <c r="P307" s="2237"/>
      <c r="Q307" s="2237"/>
      <c r="R307" s="2237"/>
      <c r="S307" s="2240"/>
      <c r="T307" s="2241"/>
      <c r="U307" s="2239"/>
      <c r="V307" s="2242"/>
      <c r="W307" s="2250"/>
      <c r="X307" s="2244"/>
      <c r="Y307" s="2244"/>
      <c r="Z307" s="2245"/>
      <c r="AA307" s="2246"/>
      <c r="AB307" s="2247"/>
      <c r="AC307" s="2248"/>
      <c r="AD307" s="2249"/>
      <c r="AE307" s="2249"/>
      <c r="AF307" s="2238"/>
      <c r="AG307" s="2264"/>
      <c r="AI307" s="2252" t="s">
        <v>15</v>
      </c>
      <c r="AJ307" s="2237"/>
      <c r="AK307" s="2237"/>
      <c r="AL307" s="2237"/>
      <c r="AM307" s="2237"/>
      <c r="AN307" s="2240"/>
      <c r="AO307" s="2241"/>
      <c r="AP307" s="2239"/>
      <c r="AQ307" s="2242"/>
      <c r="AR307" s="2250"/>
      <c r="AS307" s="2244"/>
      <c r="AT307" s="2244"/>
      <c r="AU307" s="2245"/>
      <c r="AV307" s="2246"/>
      <c r="AW307" s="2247"/>
      <c r="AX307" s="2248"/>
      <c r="AY307" s="2249"/>
      <c r="AZ307" s="2249"/>
      <c r="BA307" s="2238"/>
      <c r="BB307" s="2264"/>
      <c r="BD307" s="2252" t="s">
        <v>15</v>
      </c>
      <c r="BE307" s="2237"/>
      <c r="BF307" s="2237"/>
      <c r="BG307" s="2237"/>
      <c r="BH307" s="2237"/>
      <c r="BI307" s="2240"/>
      <c r="BJ307" s="2241"/>
      <c r="BK307" s="2239"/>
      <c r="BL307" s="2242"/>
      <c r="BM307" s="2250"/>
      <c r="BN307" s="2244"/>
      <c r="BO307" s="2244"/>
      <c r="BP307" s="2245"/>
      <c r="BQ307" s="2246"/>
      <c r="BR307" s="2247"/>
      <c r="BS307" s="2248"/>
      <c r="BT307" s="2249"/>
      <c r="BU307" s="2249"/>
      <c r="BV307" s="2238"/>
      <c r="BW307" s="2264"/>
      <c r="BY307" s="3">
        <v>1</v>
      </c>
    </row>
    <row r="308" spans="2:77" ht="21" customHeight="1">
      <c r="B308" s="2265" t="str" cm="1">
        <f t="array" ref="B308">SUMPRODUCT(--(D308:J308&lt;&gt;""), LEN(TRIM(SUBSTITUTE(D308:J308, CHAR(160), "")))) &amp; " Car."</f>
        <v>0 Car.</v>
      </c>
      <c r="C308" s="1376" t="str">
        <f>IF(ISBLANK(D308),"",LARGE(C13:C307,1)+1)</f>
        <v/>
      </c>
      <c r="D308" s="1833"/>
      <c r="E308" s="1810"/>
      <c r="F308" s="1810"/>
      <c r="G308" s="1810"/>
      <c r="H308" s="1810"/>
      <c r="I308" s="1810"/>
      <c r="J308" s="1810"/>
      <c r="K308" s="1810"/>
      <c r="L308" s="1811"/>
      <c r="M308" s="9"/>
      <c r="N308" s="2252" t="s">
        <v>15</v>
      </c>
      <c r="O308" s="2237"/>
      <c r="P308" s="2237"/>
      <c r="Q308" s="2237"/>
      <c r="R308" s="2237"/>
      <c r="S308" s="2240"/>
      <c r="T308" s="2241"/>
      <c r="U308" s="2239"/>
      <c r="V308" s="2242"/>
      <c r="W308" s="2250"/>
      <c r="X308" s="2244"/>
      <c r="Y308" s="2244"/>
      <c r="Z308" s="2245"/>
      <c r="AA308" s="2246"/>
      <c r="AB308" s="2247"/>
      <c r="AC308" s="2248"/>
      <c r="AD308" s="2249"/>
      <c r="AE308" s="2249"/>
      <c r="AF308" s="2238"/>
      <c r="AG308" s="2264"/>
      <c r="AI308" s="2252" t="s">
        <v>15</v>
      </c>
      <c r="AJ308" s="2237"/>
      <c r="AK308" s="2237"/>
      <c r="AL308" s="2237"/>
      <c r="AM308" s="2237"/>
      <c r="AN308" s="2240"/>
      <c r="AO308" s="2241"/>
      <c r="AP308" s="2239"/>
      <c r="AQ308" s="2242"/>
      <c r="AR308" s="2250"/>
      <c r="AS308" s="2244"/>
      <c r="AT308" s="2244"/>
      <c r="AU308" s="2245"/>
      <c r="AV308" s="2246"/>
      <c r="AW308" s="2247"/>
      <c r="AX308" s="2248"/>
      <c r="AY308" s="2249"/>
      <c r="AZ308" s="2249"/>
      <c r="BA308" s="2238"/>
      <c r="BB308" s="2264"/>
      <c r="BD308" s="2252" t="s">
        <v>15</v>
      </c>
      <c r="BE308" s="2237"/>
      <c r="BF308" s="2237"/>
      <c r="BG308" s="2237"/>
      <c r="BH308" s="2237"/>
      <c r="BI308" s="2240"/>
      <c r="BJ308" s="2241"/>
      <c r="BK308" s="2239"/>
      <c r="BL308" s="2242"/>
      <c r="BM308" s="2250"/>
      <c r="BN308" s="2244"/>
      <c r="BO308" s="2244"/>
      <c r="BP308" s="2245"/>
      <c r="BQ308" s="2246"/>
      <c r="BR308" s="2247"/>
      <c r="BS308" s="2248"/>
      <c r="BT308" s="2249"/>
      <c r="BU308" s="2249"/>
      <c r="BV308" s="2238"/>
      <c r="BW308" s="2264"/>
      <c r="BY308" s="3">
        <v>1</v>
      </c>
    </row>
    <row r="309" spans="2:77" ht="21" customHeight="1">
      <c r="B309" s="2265" t="str" cm="1">
        <f t="array" ref="B309">SUMPRODUCT(--(D309:J309&lt;&gt;""), LEN(TRIM(SUBSTITUTE(D309:J309, CHAR(160), "")))) &amp; " Car."</f>
        <v>0 Car.</v>
      </c>
      <c r="C309" s="1376" t="str">
        <f>IF(ISBLANK(D309),"",LARGE(C13:C308,1)+1)</f>
        <v/>
      </c>
      <c r="D309" s="1833"/>
      <c r="E309" s="1810"/>
      <c r="F309" s="1810"/>
      <c r="G309" s="1810"/>
      <c r="H309" s="1810"/>
      <c r="I309" s="1810"/>
      <c r="J309" s="1810"/>
      <c r="K309" s="1810"/>
      <c r="L309" s="1811"/>
      <c r="M309" s="9"/>
      <c r="N309" s="2252" t="s">
        <v>15</v>
      </c>
      <c r="O309" s="2237"/>
      <c r="P309" s="2237"/>
      <c r="Q309" s="2237"/>
      <c r="R309" s="2237"/>
      <c r="S309" s="2240"/>
      <c r="T309" s="2241"/>
      <c r="U309" s="2239"/>
      <c r="V309" s="2242"/>
      <c r="W309" s="2250"/>
      <c r="X309" s="2244"/>
      <c r="Y309" s="2244"/>
      <c r="Z309" s="2245"/>
      <c r="AA309" s="2246"/>
      <c r="AB309" s="2247"/>
      <c r="AC309" s="2248"/>
      <c r="AD309" s="2249"/>
      <c r="AE309" s="2249"/>
      <c r="AF309" s="2238"/>
      <c r="AG309" s="2264"/>
      <c r="AI309" s="2252" t="s">
        <v>15</v>
      </c>
      <c r="AJ309" s="2237"/>
      <c r="AK309" s="2237"/>
      <c r="AL309" s="2237"/>
      <c r="AM309" s="2237"/>
      <c r="AN309" s="2240"/>
      <c r="AO309" s="2241"/>
      <c r="AP309" s="2239"/>
      <c r="AQ309" s="2242"/>
      <c r="AR309" s="2250"/>
      <c r="AS309" s="2244"/>
      <c r="AT309" s="2244"/>
      <c r="AU309" s="2245"/>
      <c r="AV309" s="2246"/>
      <c r="AW309" s="2247"/>
      <c r="AX309" s="2248"/>
      <c r="AY309" s="2249"/>
      <c r="AZ309" s="2249"/>
      <c r="BA309" s="2238"/>
      <c r="BB309" s="2264"/>
      <c r="BD309" s="2252" t="s">
        <v>15</v>
      </c>
      <c r="BE309" s="2237"/>
      <c r="BF309" s="2237"/>
      <c r="BG309" s="2237"/>
      <c r="BH309" s="2237"/>
      <c r="BI309" s="2240"/>
      <c r="BJ309" s="2241"/>
      <c r="BK309" s="2239"/>
      <c r="BL309" s="2242"/>
      <c r="BM309" s="2250"/>
      <c r="BN309" s="2244"/>
      <c r="BO309" s="2244"/>
      <c r="BP309" s="2245"/>
      <c r="BQ309" s="2246"/>
      <c r="BR309" s="2247"/>
      <c r="BS309" s="2248"/>
      <c r="BT309" s="2249"/>
      <c r="BU309" s="2249"/>
      <c r="BV309" s="2238"/>
      <c r="BW309" s="2264"/>
      <c r="BY309" s="3">
        <v>1</v>
      </c>
    </row>
    <row r="310" spans="2:77" ht="21" customHeight="1">
      <c r="B310" s="2265" t="str" cm="1">
        <f t="array" ref="B310">SUMPRODUCT(--(D310:J310&lt;&gt;""), LEN(TRIM(SUBSTITUTE(D310:J310, CHAR(160), "")))) &amp; " Car."</f>
        <v>0 Car.</v>
      </c>
      <c r="C310" s="1376" t="str">
        <f>IF(ISBLANK(D310),"",LARGE(C13:C309,1)+1)</f>
        <v/>
      </c>
      <c r="D310" s="1833"/>
      <c r="E310" s="1810"/>
      <c r="F310" s="1810"/>
      <c r="G310" s="1810"/>
      <c r="H310" s="1810"/>
      <c r="I310" s="1810"/>
      <c r="J310" s="1810"/>
      <c r="K310" s="1810"/>
      <c r="L310" s="1811"/>
      <c r="M310" s="9"/>
      <c r="N310" s="2252" t="s">
        <v>15</v>
      </c>
      <c r="O310" s="2237"/>
      <c r="P310" s="2237"/>
      <c r="Q310" s="2237"/>
      <c r="R310" s="2237"/>
      <c r="S310" s="2240"/>
      <c r="T310" s="2241"/>
      <c r="U310" s="2239"/>
      <c r="V310" s="2242"/>
      <c r="W310" s="2250"/>
      <c r="X310" s="2244"/>
      <c r="Y310" s="2244"/>
      <c r="Z310" s="2245"/>
      <c r="AA310" s="2246"/>
      <c r="AB310" s="2247"/>
      <c r="AC310" s="2248"/>
      <c r="AD310" s="2249"/>
      <c r="AE310" s="2249"/>
      <c r="AF310" s="2238"/>
      <c r="AG310" s="2264"/>
      <c r="AI310" s="2252" t="s">
        <v>15</v>
      </c>
      <c r="AJ310" s="2237"/>
      <c r="AK310" s="2237"/>
      <c r="AL310" s="2237"/>
      <c r="AM310" s="2237"/>
      <c r="AN310" s="2240"/>
      <c r="AO310" s="2241"/>
      <c r="AP310" s="2239"/>
      <c r="AQ310" s="2242"/>
      <c r="AR310" s="2250"/>
      <c r="AS310" s="2244"/>
      <c r="AT310" s="2244"/>
      <c r="AU310" s="2245"/>
      <c r="AV310" s="2246"/>
      <c r="AW310" s="2247"/>
      <c r="AX310" s="2248"/>
      <c r="AY310" s="2249"/>
      <c r="AZ310" s="2249"/>
      <c r="BA310" s="2238"/>
      <c r="BB310" s="2264"/>
      <c r="BD310" s="2252" t="s">
        <v>15</v>
      </c>
      <c r="BE310" s="2237"/>
      <c r="BF310" s="2237"/>
      <c r="BG310" s="2237"/>
      <c r="BH310" s="2237"/>
      <c r="BI310" s="2240"/>
      <c r="BJ310" s="2241"/>
      <c r="BK310" s="2239"/>
      <c r="BL310" s="2242"/>
      <c r="BM310" s="2250"/>
      <c r="BN310" s="2244"/>
      <c r="BO310" s="2244"/>
      <c r="BP310" s="2245"/>
      <c r="BQ310" s="2246"/>
      <c r="BR310" s="2247"/>
      <c r="BS310" s="2248"/>
      <c r="BT310" s="2249"/>
      <c r="BU310" s="2249"/>
      <c r="BV310" s="2238"/>
      <c r="BW310" s="2264"/>
      <c r="BY310" s="3">
        <v>1</v>
      </c>
    </row>
    <row r="311" spans="2:77" ht="21" customHeight="1">
      <c r="B311" s="2265" t="str" cm="1">
        <f t="array" ref="B311">SUMPRODUCT(--(D311:J311&lt;&gt;""), LEN(TRIM(SUBSTITUTE(D311:J311, CHAR(160), "")))) &amp; " Car."</f>
        <v>0 Car.</v>
      </c>
      <c r="C311" s="1376" t="str">
        <f>IF(ISBLANK(D311),"",LARGE(C13:C310,1)+1)</f>
        <v/>
      </c>
      <c r="D311" s="1833"/>
      <c r="E311" s="1810"/>
      <c r="F311" s="1810"/>
      <c r="G311" s="1810"/>
      <c r="H311" s="1810"/>
      <c r="I311" s="1810"/>
      <c r="J311" s="1810"/>
      <c r="K311" s="1810"/>
      <c r="L311" s="1811"/>
      <c r="M311" s="9"/>
      <c r="N311" s="2252" t="s">
        <v>15</v>
      </c>
      <c r="O311" s="2237"/>
      <c r="P311" s="2237"/>
      <c r="Q311" s="2237"/>
      <c r="R311" s="2237"/>
      <c r="S311" s="2240"/>
      <c r="T311" s="2241"/>
      <c r="U311" s="2239"/>
      <c r="V311" s="2242"/>
      <c r="W311" s="2250"/>
      <c r="X311" s="2244"/>
      <c r="Y311" s="2244"/>
      <c r="Z311" s="2245"/>
      <c r="AA311" s="2246"/>
      <c r="AB311" s="2247"/>
      <c r="AC311" s="2248"/>
      <c r="AD311" s="2249"/>
      <c r="AE311" s="2249"/>
      <c r="AF311" s="2238"/>
      <c r="AG311" s="2264"/>
      <c r="AI311" s="2252" t="s">
        <v>15</v>
      </c>
      <c r="AJ311" s="2237"/>
      <c r="AK311" s="2237"/>
      <c r="AL311" s="2237"/>
      <c r="AM311" s="2237"/>
      <c r="AN311" s="2240"/>
      <c r="AO311" s="2241"/>
      <c r="AP311" s="2239"/>
      <c r="AQ311" s="2242"/>
      <c r="AR311" s="2250"/>
      <c r="AS311" s="2244"/>
      <c r="AT311" s="2244"/>
      <c r="AU311" s="2245"/>
      <c r="AV311" s="2246"/>
      <c r="AW311" s="2247"/>
      <c r="AX311" s="2248"/>
      <c r="AY311" s="2249"/>
      <c r="AZ311" s="2249"/>
      <c r="BA311" s="2238"/>
      <c r="BB311" s="2264"/>
      <c r="BD311" s="2252" t="s">
        <v>15</v>
      </c>
      <c r="BE311" s="2237"/>
      <c r="BF311" s="2237"/>
      <c r="BG311" s="2237"/>
      <c r="BH311" s="2237"/>
      <c r="BI311" s="2240"/>
      <c r="BJ311" s="2241"/>
      <c r="BK311" s="2239"/>
      <c r="BL311" s="2242"/>
      <c r="BM311" s="2250"/>
      <c r="BN311" s="2244"/>
      <c r="BO311" s="2244"/>
      <c r="BP311" s="2245"/>
      <c r="BQ311" s="2246"/>
      <c r="BR311" s="2247"/>
      <c r="BS311" s="2248"/>
      <c r="BT311" s="2249"/>
      <c r="BU311" s="2249"/>
      <c r="BV311" s="2238"/>
      <c r="BW311" s="2264"/>
      <c r="BY311" s="3">
        <v>1</v>
      </c>
    </row>
    <row r="312" spans="2:77" ht="21" customHeight="1">
      <c r="B312" s="2265" t="str" cm="1">
        <f t="array" ref="B312">SUMPRODUCT(--(D312:J312&lt;&gt;""), LEN(TRIM(SUBSTITUTE(D312:J312, CHAR(160), "")))) &amp; " Car."</f>
        <v>0 Car.</v>
      </c>
      <c r="C312" s="1376" t="str">
        <f>IF(ISBLANK(D312),"",LARGE(C13:C311,1)+1)</f>
        <v/>
      </c>
      <c r="D312" s="1833"/>
      <c r="E312" s="1810"/>
      <c r="F312" s="1810"/>
      <c r="G312" s="1810"/>
      <c r="H312" s="1810"/>
      <c r="I312" s="1810"/>
      <c r="J312" s="1810"/>
      <c r="K312" s="1810"/>
      <c r="L312" s="1811"/>
      <c r="M312" s="9"/>
      <c r="N312" s="2252" t="s">
        <v>15</v>
      </c>
      <c r="O312" s="2237"/>
      <c r="P312" s="2237"/>
      <c r="Q312" s="2237"/>
      <c r="R312" s="2237"/>
      <c r="S312" s="2240"/>
      <c r="T312" s="2241"/>
      <c r="U312" s="2239"/>
      <c r="V312" s="2242"/>
      <c r="W312" s="2250"/>
      <c r="X312" s="2244"/>
      <c r="Y312" s="2244"/>
      <c r="Z312" s="2245"/>
      <c r="AA312" s="2246"/>
      <c r="AB312" s="2247"/>
      <c r="AC312" s="2248"/>
      <c r="AD312" s="2249"/>
      <c r="AE312" s="2249"/>
      <c r="AF312" s="2238"/>
      <c r="AG312" s="2264"/>
      <c r="AI312" s="2252" t="s">
        <v>15</v>
      </c>
      <c r="AJ312" s="2237"/>
      <c r="AK312" s="2237"/>
      <c r="AL312" s="2237"/>
      <c r="AM312" s="2237"/>
      <c r="AN312" s="2240"/>
      <c r="AO312" s="2241"/>
      <c r="AP312" s="2239"/>
      <c r="AQ312" s="2242"/>
      <c r="AR312" s="2250"/>
      <c r="AS312" s="2244"/>
      <c r="AT312" s="2244"/>
      <c r="AU312" s="2245"/>
      <c r="AV312" s="2246"/>
      <c r="AW312" s="2247"/>
      <c r="AX312" s="2248"/>
      <c r="AY312" s="2249"/>
      <c r="AZ312" s="2249"/>
      <c r="BA312" s="2238"/>
      <c r="BB312" s="2264"/>
      <c r="BD312" s="2252" t="s">
        <v>15</v>
      </c>
      <c r="BE312" s="2237"/>
      <c r="BF312" s="2237"/>
      <c r="BG312" s="2237"/>
      <c r="BH312" s="2237"/>
      <c r="BI312" s="2240"/>
      <c r="BJ312" s="2241"/>
      <c r="BK312" s="2239"/>
      <c r="BL312" s="2242"/>
      <c r="BM312" s="2250"/>
      <c r="BN312" s="2244"/>
      <c r="BO312" s="2244"/>
      <c r="BP312" s="2245"/>
      <c r="BQ312" s="2246"/>
      <c r="BR312" s="2247"/>
      <c r="BS312" s="2248"/>
      <c r="BT312" s="2249"/>
      <c r="BU312" s="2249"/>
      <c r="BV312" s="2238"/>
      <c r="BW312" s="2264"/>
      <c r="BY312" s="3">
        <v>1</v>
      </c>
    </row>
    <row r="313" spans="2:77" ht="21" customHeight="1">
      <c r="B313" s="2265" t="str" cm="1">
        <f t="array" ref="B313">SUMPRODUCT(--(D313:J313&lt;&gt;""), LEN(TRIM(SUBSTITUTE(D313:J313, CHAR(160), "")))) &amp; " Car."</f>
        <v>0 Car.</v>
      </c>
      <c r="C313" s="1376" t="str">
        <f>IF(ISBLANK(D313),"",LARGE(C13:C312,1)+1)</f>
        <v/>
      </c>
      <c r="D313" s="1833"/>
      <c r="E313" s="1810"/>
      <c r="F313" s="1810"/>
      <c r="G313" s="1810"/>
      <c r="H313" s="1810"/>
      <c r="I313" s="1810"/>
      <c r="J313" s="1810"/>
      <c r="K313" s="1810"/>
      <c r="L313" s="1811"/>
      <c r="M313" s="9"/>
      <c r="N313" s="2252" t="s">
        <v>15</v>
      </c>
      <c r="O313" s="2237"/>
      <c r="P313" s="2237"/>
      <c r="Q313" s="2237"/>
      <c r="R313" s="2237"/>
      <c r="S313" s="2240"/>
      <c r="T313" s="2241"/>
      <c r="U313" s="2239"/>
      <c r="V313" s="2242"/>
      <c r="W313" s="2250"/>
      <c r="X313" s="2244"/>
      <c r="Y313" s="2244"/>
      <c r="Z313" s="2245"/>
      <c r="AA313" s="2246"/>
      <c r="AB313" s="2247"/>
      <c r="AC313" s="2248"/>
      <c r="AD313" s="2249"/>
      <c r="AE313" s="2249"/>
      <c r="AF313" s="2238"/>
      <c r="AG313" s="2264"/>
      <c r="AI313" s="2252" t="s">
        <v>15</v>
      </c>
      <c r="AJ313" s="2237"/>
      <c r="AK313" s="2237"/>
      <c r="AL313" s="2237"/>
      <c r="AM313" s="2237"/>
      <c r="AN313" s="2240"/>
      <c r="AO313" s="2241"/>
      <c r="AP313" s="2239"/>
      <c r="AQ313" s="2242"/>
      <c r="AR313" s="2250"/>
      <c r="AS313" s="2244"/>
      <c r="AT313" s="2244"/>
      <c r="AU313" s="2245"/>
      <c r="AV313" s="2246"/>
      <c r="AW313" s="2247"/>
      <c r="AX313" s="2248"/>
      <c r="AY313" s="2249"/>
      <c r="AZ313" s="2249"/>
      <c r="BA313" s="2238"/>
      <c r="BB313" s="2264"/>
      <c r="BD313" s="2252" t="s">
        <v>15</v>
      </c>
      <c r="BE313" s="2237"/>
      <c r="BF313" s="2237"/>
      <c r="BG313" s="2237"/>
      <c r="BH313" s="2237"/>
      <c r="BI313" s="2240"/>
      <c r="BJ313" s="2241"/>
      <c r="BK313" s="2239"/>
      <c r="BL313" s="2242"/>
      <c r="BM313" s="2250"/>
      <c r="BN313" s="2244"/>
      <c r="BO313" s="2244"/>
      <c r="BP313" s="2245"/>
      <c r="BQ313" s="2246"/>
      <c r="BR313" s="2247"/>
      <c r="BS313" s="2248"/>
      <c r="BT313" s="2249"/>
      <c r="BU313" s="2249"/>
      <c r="BV313" s="2238"/>
      <c r="BW313" s="2264"/>
      <c r="BY313" s="3">
        <v>1</v>
      </c>
    </row>
    <row r="314" spans="2:77" ht="21" customHeight="1">
      <c r="B314" s="2265" t="str" cm="1">
        <f t="array" ref="B314">SUMPRODUCT(--(D314:J314&lt;&gt;""), LEN(TRIM(SUBSTITUTE(D314:J314, CHAR(160), "")))) &amp; " Car."</f>
        <v>0 Car.</v>
      </c>
      <c r="C314" s="1376" t="str">
        <f>IF(ISBLANK(D314),"",LARGE(C13:C313,1)+1)</f>
        <v/>
      </c>
      <c r="D314" s="1833"/>
      <c r="E314" s="1810"/>
      <c r="F314" s="1810"/>
      <c r="G314" s="1810"/>
      <c r="H314" s="1810"/>
      <c r="I314" s="1810"/>
      <c r="J314" s="1810"/>
      <c r="K314" s="1810"/>
      <c r="L314" s="1811"/>
      <c r="M314" s="9"/>
      <c r="N314" s="2252" t="s">
        <v>15</v>
      </c>
      <c r="O314" s="2237"/>
      <c r="P314" s="2237"/>
      <c r="Q314" s="2237"/>
      <c r="R314" s="2237"/>
      <c r="S314" s="2240"/>
      <c r="T314" s="2241"/>
      <c r="U314" s="2239"/>
      <c r="V314" s="2242"/>
      <c r="W314" s="2250"/>
      <c r="X314" s="2244"/>
      <c r="Y314" s="2244"/>
      <c r="Z314" s="2245"/>
      <c r="AA314" s="2246"/>
      <c r="AB314" s="2247"/>
      <c r="AC314" s="2248"/>
      <c r="AD314" s="2249"/>
      <c r="AE314" s="2249"/>
      <c r="AF314" s="2238"/>
      <c r="AG314" s="2264"/>
      <c r="AI314" s="2252" t="s">
        <v>15</v>
      </c>
      <c r="AJ314" s="2237"/>
      <c r="AK314" s="2237"/>
      <c r="AL314" s="2237"/>
      <c r="AM314" s="2237"/>
      <c r="AN314" s="2240"/>
      <c r="AO314" s="2241"/>
      <c r="AP314" s="2239"/>
      <c r="AQ314" s="2242"/>
      <c r="AR314" s="2250"/>
      <c r="AS314" s="2244"/>
      <c r="AT314" s="2244"/>
      <c r="AU314" s="2245"/>
      <c r="AV314" s="2246"/>
      <c r="AW314" s="2247"/>
      <c r="AX314" s="2248"/>
      <c r="AY314" s="2249"/>
      <c r="AZ314" s="2249"/>
      <c r="BA314" s="2238"/>
      <c r="BB314" s="2264"/>
      <c r="BD314" s="2252" t="s">
        <v>15</v>
      </c>
      <c r="BE314" s="2237"/>
      <c r="BF314" s="2237"/>
      <c r="BG314" s="2237"/>
      <c r="BH314" s="2237"/>
      <c r="BI314" s="2240"/>
      <c r="BJ314" s="2241"/>
      <c r="BK314" s="2239"/>
      <c r="BL314" s="2242"/>
      <c r="BM314" s="2250"/>
      <c r="BN314" s="2244"/>
      <c r="BO314" s="2244"/>
      <c r="BP314" s="2245"/>
      <c r="BQ314" s="2246"/>
      <c r="BR314" s="2247"/>
      <c r="BS314" s="2248"/>
      <c r="BT314" s="2249"/>
      <c r="BU314" s="2249"/>
      <c r="BV314" s="2238"/>
      <c r="BW314" s="2264"/>
      <c r="BY314" s="3">
        <v>1</v>
      </c>
    </row>
    <row r="315" spans="2:77" ht="21" customHeight="1">
      <c r="B315" s="2265" t="str" cm="1">
        <f t="array" ref="B315">SUMPRODUCT(--(D315:J315&lt;&gt;""), LEN(TRIM(SUBSTITUTE(D315:J315, CHAR(160), "")))) &amp; " Car."</f>
        <v>0 Car.</v>
      </c>
      <c r="C315" s="1376" t="str">
        <f>IF(ISBLANK(D315),"",LARGE(C13:C314,1)+1)</f>
        <v/>
      </c>
      <c r="D315" s="1833"/>
      <c r="E315" s="1810"/>
      <c r="F315" s="1810"/>
      <c r="G315" s="1810"/>
      <c r="H315" s="1810"/>
      <c r="I315" s="1810"/>
      <c r="J315" s="1810"/>
      <c r="K315" s="1810"/>
      <c r="L315" s="1811"/>
      <c r="M315" s="9"/>
      <c r="N315" s="2252" t="s">
        <v>15</v>
      </c>
      <c r="O315" s="2237"/>
      <c r="P315" s="2237"/>
      <c r="Q315" s="2237"/>
      <c r="R315" s="2237"/>
      <c r="S315" s="2240"/>
      <c r="T315" s="2241"/>
      <c r="U315" s="2239"/>
      <c r="V315" s="2242"/>
      <c r="W315" s="2250"/>
      <c r="X315" s="2244"/>
      <c r="Y315" s="2244"/>
      <c r="Z315" s="2245"/>
      <c r="AA315" s="2246"/>
      <c r="AB315" s="2247"/>
      <c r="AC315" s="2248"/>
      <c r="AD315" s="2249"/>
      <c r="AE315" s="2249"/>
      <c r="AF315" s="2238"/>
      <c r="AG315" s="2264"/>
      <c r="AI315" s="2252" t="s">
        <v>15</v>
      </c>
      <c r="AJ315" s="2237"/>
      <c r="AK315" s="2237"/>
      <c r="AL315" s="2237"/>
      <c r="AM315" s="2237"/>
      <c r="AN315" s="2240"/>
      <c r="AO315" s="2241"/>
      <c r="AP315" s="2239"/>
      <c r="AQ315" s="2242"/>
      <c r="AR315" s="2250"/>
      <c r="AS315" s="2244"/>
      <c r="AT315" s="2244"/>
      <c r="AU315" s="2245"/>
      <c r="AV315" s="2246"/>
      <c r="AW315" s="2247"/>
      <c r="AX315" s="2248"/>
      <c r="AY315" s="2249"/>
      <c r="AZ315" s="2249"/>
      <c r="BA315" s="2238"/>
      <c r="BB315" s="2264"/>
      <c r="BD315" s="2252" t="s">
        <v>15</v>
      </c>
      <c r="BE315" s="2237"/>
      <c r="BF315" s="2237"/>
      <c r="BG315" s="2237"/>
      <c r="BH315" s="2237"/>
      <c r="BI315" s="2240"/>
      <c r="BJ315" s="2241"/>
      <c r="BK315" s="2239"/>
      <c r="BL315" s="2242"/>
      <c r="BM315" s="2250"/>
      <c r="BN315" s="2244"/>
      <c r="BO315" s="2244"/>
      <c r="BP315" s="2245"/>
      <c r="BQ315" s="2246"/>
      <c r="BR315" s="2247"/>
      <c r="BS315" s="2248"/>
      <c r="BT315" s="2249"/>
      <c r="BU315" s="2249"/>
      <c r="BV315" s="2238"/>
      <c r="BW315" s="2264"/>
      <c r="BY315" s="3">
        <v>1</v>
      </c>
    </row>
    <row r="316" spans="2:77" ht="21" customHeight="1">
      <c r="B316" s="2265" t="str" cm="1">
        <f t="array" ref="B316">SUMPRODUCT(--(D316:J316&lt;&gt;""), LEN(TRIM(SUBSTITUTE(D316:J316, CHAR(160), "")))) &amp; " Car."</f>
        <v>0 Car.</v>
      </c>
      <c r="C316" s="1376" t="str">
        <f>IF(ISBLANK(D316),"",LARGE(C13:C315,1)+1)</f>
        <v/>
      </c>
      <c r="D316" s="1833"/>
      <c r="E316" s="1810"/>
      <c r="F316" s="1810"/>
      <c r="G316" s="1810"/>
      <c r="H316" s="1810"/>
      <c r="I316" s="1810"/>
      <c r="J316" s="1810"/>
      <c r="K316" s="1810"/>
      <c r="L316" s="1811"/>
      <c r="M316" s="9"/>
      <c r="N316" s="2252" t="s">
        <v>15</v>
      </c>
      <c r="O316" s="2237"/>
      <c r="P316" s="2237"/>
      <c r="Q316" s="2237"/>
      <c r="R316" s="2237"/>
      <c r="S316" s="2240"/>
      <c r="T316" s="2241"/>
      <c r="U316" s="2239"/>
      <c r="V316" s="2242"/>
      <c r="W316" s="2250"/>
      <c r="X316" s="2244"/>
      <c r="Y316" s="2244"/>
      <c r="Z316" s="2245"/>
      <c r="AA316" s="2246"/>
      <c r="AB316" s="2247"/>
      <c r="AC316" s="2248"/>
      <c r="AD316" s="2249"/>
      <c r="AE316" s="2249"/>
      <c r="AF316" s="2238"/>
      <c r="AG316" s="2264"/>
      <c r="AI316" s="2252" t="s">
        <v>15</v>
      </c>
      <c r="AJ316" s="2237"/>
      <c r="AK316" s="2237"/>
      <c r="AL316" s="2237"/>
      <c r="AM316" s="2237"/>
      <c r="AN316" s="2240"/>
      <c r="AO316" s="2241"/>
      <c r="AP316" s="2239"/>
      <c r="AQ316" s="2242"/>
      <c r="AR316" s="2250"/>
      <c r="AS316" s="2244"/>
      <c r="AT316" s="2244"/>
      <c r="AU316" s="2245"/>
      <c r="AV316" s="2246"/>
      <c r="AW316" s="2247"/>
      <c r="AX316" s="2248"/>
      <c r="AY316" s="2249"/>
      <c r="AZ316" s="2249"/>
      <c r="BA316" s="2238"/>
      <c r="BB316" s="2264"/>
      <c r="BD316" s="2252" t="s">
        <v>15</v>
      </c>
      <c r="BE316" s="2237"/>
      <c r="BF316" s="2237"/>
      <c r="BG316" s="2237"/>
      <c r="BH316" s="2237"/>
      <c r="BI316" s="2240"/>
      <c r="BJ316" s="2241"/>
      <c r="BK316" s="2239"/>
      <c r="BL316" s="2242"/>
      <c r="BM316" s="2250"/>
      <c r="BN316" s="2244"/>
      <c r="BO316" s="2244"/>
      <c r="BP316" s="2245"/>
      <c r="BQ316" s="2246"/>
      <c r="BR316" s="2247"/>
      <c r="BS316" s="2248"/>
      <c r="BT316" s="2249"/>
      <c r="BU316" s="2249"/>
      <c r="BV316" s="2238"/>
      <c r="BW316" s="2264"/>
      <c r="BY316" s="3">
        <v>1</v>
      </c>
    </row>
    <row r="317" spans="2:77" ht="21" customHeight="1">
      <c r="B317" s="2265" t="str" cm="1">
        <f t="array" ref="B317">SUMPRODUCT(--(D317:J317&lt;&gt;""), LEN(TRIM(SUBSTITUTE(D317:J317, CHAR(160), "")))) &amp; " Car."</f>
        <v>0 Car.</v>
      </c>
      <c r="C317" s="1376" t="str">
        <f>IF(ISBLANK(D317),"",LARGE(C13:C316,1)+1)</f>
        <v/>
      </c>
      <c r="D317" s="1833"/>
      <c r="E317" s="1810"/>
      <c r="F317" s="1810"/>
      <c r="G317" s="1810"/>
      <c r="H317" s="1810"/>
      <c r="I317" s="1810"/>
      <c r="J317" s="1810"/>
      <c r="K317" s="1810"/>
      <c r="L317" s="1811"/>
      <c r="M317" s="9"/>
      <c r="N317" s="2252" t="s">
        <v>15</v>
      </c>
      <c r="O317" s="2237"/>
      <c r="P317" s="2237"/>
      <c r="Q317" s="2237"/>
      <c r="R317" s="2237"/>
      <c r="S317" s="2240"/>
      <c r="T317" s="2241"/>
      <c r="U317" s="2239"/>
      <c r="V317" s="2242"/>
      <c r="W317" s="2250"/>
      <c r="X317" s="2244"/>
      <c r="Y317" s="2244"/>
      <c r="Z317" s="2245"/>
      <c r="AA317" s="2246"/>
      <c r="AB317" s="2247"/>
      <c r="AC317" s="2248"/>
      <c r="AD317" s="2249"/>
      <c r="AE317" s="2249"/>
      <c r="AF317" s="2238"/>
      <c r="AG317" s="2264"/>
      <c r="AI317" s="2252" t="s">
        <v>15</v>
      </c>
      <c r="AJ317" s="2237"/>
      <c r="AK317" s="2237"/>
      <c r="AL317" s="2237"/>
      <c r="AM317" s="2237"/>
      <c r="AN317" s="2240"/>
      <c r="AO317" s="2241"/>
      <c r="AP317" s="2239"/>
      <c r="AQ317" s="2242"/>
      <c r="AR317" s="2250"/>
      <c r="AS317" s="2244"/>
      <c r="AT317" s="2244"/>
      <c r="AU317" s="2245"/>
      <c r="AV317" s="2246"/>
      <c r="AW317" s="2247"/>
      <c r="AX317" s="2248"/>
      <c r="AY317" s="2249"/>
      <c r="AZ317" s="2249"/>
      <c r="BA317" s="2238"/>
      <c r="BB317" s="2264"/>
      <c r="BD317" s="2252" t="s">
        <v>15</v>
      </c>
      <c r="BE317" s="2237"/>
      <c r="BF317" s="2237"/>
      <c r="BG317" s="2237"/>
      <c r="BH317" s="2237"/>
      <c r="BI317" s="2240"/>
      <c r="BJ317" s="2241"/>
      <c r="BK317" s="2239"/>
      <c r="BL317" s="2242"/>
      <c r="BM317" s="2250"/>
      <c r="BN317" s="2244"/>
      <c r="BO317" s="2244"/>
      <c r="BP317" s="2245"/>
      <c r="BQ317" s="2246"/>
      <c r="BR317" s="2247"/>
      <c r="BS317" s="2248"/>
      <c r="BT317" s="2249"/>
      <c r="BU317" s="2249"/>
      <c r="BV317" s="2238"/>
      <c r="BW317" s="2264"/>
      <c r="BY317" s="3">
        <v>1</v>
      </c>
    </row>
    <row r="318" spans="2:77" ht="21" customHeight="1">
      <c r="B318" s="2265" t="str" cm="1">
        <f t="array" ref="B318">SUMPRODUCT(--(D318:J318&lt;&gt;""), LEN(TRIM(SUBSTITUTE(D318:J318, CHAR(160), "")))) &amp; " Car."</f>
        <v>0 Car.</v>
      </c>
      <c r="C318" s="1376" t="str">
        <f>IF(ISBLANK(D318),"",LARGE(C13:C317,1)+1)</f>
        <v/>
      </c>
      <c r="D318" s="1833"/>
      <c r="E318" s="1810"/>
      <c r="F318" s="1810"/>
      <c r="G318" s="1810"/>
      <c r="H318" s="1810"/>
      <c r="I318" s="1810"/>
      <c r="J318" s="1810"/>
      <c r="K318" s="1810"/>
      <c r="L318" s="1811"/>
      <c r="M318" s="9"/>
      <c r="N318" s="2252" t="s">
        <v>15</v>
      </c>
      <c r="O318" s="2237"/>
      <c r="P318" s="2237"/>
      <c r="Q318" s="2237"/>
      <c r="R318" s="2237"/>
      <c r="S318" s="2240"/>
      <c r="T318" s="2241"/>
      <c r="U318" s="2239"/>
      <c r="V318" s="2242"/>
      <c r="W318" s="2250"/>
      <c r="X318" s="2244"/>
      <c r="Y318" s="2244"/>
      <c r="Z318" s="2245"/>
      <c r="AA318" s="2246"/>
      <c r="AB318" s="2247"/>
      <c r="AC318" s="2248"/>
      <c r="AD318" s="2249"/>
      <c r="AE318" s="2249"/>
      <c r="AF318" s="2238"/>
      <c r="AG318" s="2264"/>
      <c r="AI318" s="2252" t="s">
        <v>15</v>
      </c>
      <c r="AJ318" s="2237"/>
      <c r="AK318" s="2237"/>
      <c r="AL318" s="2237"/>
      <c r="AM318" s="2237"/>
      <c r="AN318" s="2240"/>
      <c r="AO318" s="2241"/>
      <c r="AP318" s="2239"/>
      <c r="AQ318" s="2242"/>
      <c r="AR318" s="2250"/>
      <c r="AS318" s="2244"/>
      <c r="AT318" s="2244"/>
      <c r="AU318" s="2245"/>
      <c r="AV318" s="2246"/>
      <c r="AW318" s="2247"/>
      <c r="AX318" s="2248"/>
      <c r="AY318" s="2249"/>
      <c r="AZ318" s="2249"/>
      <c r="BA318" s="2238"/>
      <c r="BB318" s="2264"/>
      <c r="BD318" s="2252" t="s">
        <v>15</v>
      </c>
      <c r="BE318" s="2237"/>
      <c r="BF318" s="2237"/>
      <c r="BG318" s="2237"/>
      <c r="BH318" s="2237"/>
      <c r="BI318" s="2240"/>
      <c r="BJ318" s="2241"/>
      <c r="BK318" s="2239"/>
      <c r="BL318" s="2242"/>
      <c r="BM318" s="2250"/>
      <c r="BN318" s="2244"/>
      <c r="BO318" s="2244"/>
      <c r="BP318" s="2245"/>
      <c r="BQ318" s="2246"/>
      <c r="BR318" s="2247"/>
      <c r="BS318" s="2248"/>
      <c r="BT318" s="2249"/>
      <c r="BU318" s="2249"/>
      <c r="BV318" s="2238"/>
      <c r="BW318" s="2264"/>
      <c r="BY318" s="3">
        <v>1</v>
      </c>
    </row>
    <row r="319" spans="2:77" ht="21" customHeight="1">
      <c r="B319" s="2265" t="str" cm="1">
        <f t="array" ref="B319">SUMPRODUCT(--(D319:J319&lt;&gt;""), LEN(TRIM(SUBSTITUTE(D319:J319, CHAR(160), "")))) &amp; " Car."</f>
        <v>0 Car.</v>
      </c>
      <c r="C319" s="1376" t="str">
        <f>IF(ISBLANK(D319),"",LARGE(C13:C318,1)+1)</f>
        <v/>
      </c>
      <c r="D319" s="1833"/>
      <c r="E319" s="1810"/>
      <c r="F319" s="1810"/>
      <c r="G319" s="1810"/>
      <c r="H319" s="1810"/>
      <c r="I319" s="1810"/>
      <c r="J319" s="1810"/>
      <c r="K319" s="1810"/>
      <c r="L319" s="1811"/>
      <c r="M319" s="9"/>
      <c r="N319" s="2252" t="s">
        <v>15</v>
      </c>
      <c r="O319" s="2237"/>
      <c r="P319" s="2237"/>
      <c r="Q319" s="2237"/>
      <c r="R319" s="2237"/>
      <c r="S319" s="2240"/>
      <c r="T319" s="2241"/>
      <c r="U319" s="2239"/>
      <c r="V319" s="2242"/>
      <c r="W319" s="2250"/>
      <c r="X319" s="2244"/>
      <c r="Y319" s="2244"/>
      <c r="Z319" s="2245"/>
      <c r="AA319" s="2246"/>
      <c r="AB319" s="2247"/>
      <c r="AC319" s="2248"/>
      <c r="AD319" s="2249"/>
      <c r="AE319" s="2249"/>
      <c r="AF319" s="2238"/>
      <c r="AG319" s="2264"/>
      <c r="AI319" s="2252" t="s">
        <v>15</v>
      </c>
      <c r="AJ319" s="2237"/>
      <c r="AK319" s="2237"/>
      <c r="AL319" s="2237"/>
      <c r="AM319" s="2237"/>
      <c r="AN319" s="2240"/>
      <c r="AO319" s="2241"/>
      <c r="AP319" s="2239"/>
      <c r="AQ319" s="2242"/>
      <c r="AR319" s="2250"/>
      <c r="AS319" s="2244"/>
      <c r="AT319" s="2244"/>
      <c r="AU319" s="2245"/>
      <c r="AV319" s="2246"/>
      <c r="AW319" s="2247"/>
      <c r="AX319" s="2248"/>
      <c r="AY319" s="2249"/>
      <c r="AZ319" s="2249"/>
      <c r="BA319" s="2238"/>
      <c r="BB319" s="2264"/>
      <c r="BD319" s="2252" t="s">
        <v>15</v>
      </c>
      <c r="BE319" s="2237"/>
      <c r="BF319" s="2237"/>
      <c r="BG319" s="2237"/>
      <c r="BH319" s="2237"/>
      <c r="BI319" s="2240"/>
      <c r="BJ319" s="2241"/>
      <c r="BK319" s="2239"/>
      <c r="BL319" s="2242"/>
      <c r="BM319" s="2250"/>
      <c r="BN319" s="2244"/>
      <c r="BO319" s="2244"/>
      <c r="BP319" s="2245"/>
      <c r="BQ319" s="2246"/>
      <c r="BR319" s="2247"/>
      <c r="BS319" s="2248"/>
      <c r="BT319" s="2249"/>
      <c r="BU319" s="2249"/>
      <c r="BV319" s="2238"/>
      <c r="BW319" s="2264"/>
      <c r="BY319" s="3">
        <v>1</v>
      </c>
    </row>
    <row r="320" spans="2:77" ht="21" customHeight="1">
      <c r="B320" s="2265" t="str" cm="1">
        <f t="array" ref="B320">SUMPRODUCT(--(D320:J320&lt;&gt;""), LEN(TRIM(SUBSTITUTE(D320:J320, CHAR(160), "")))) &amp; " Car."</f>
        <v>0 Car.</v>
      </c>
      <c r="C320" s="1376" t="str">
        <f>IF(ISBLANK(D320),"",LARGE(C13:C319,1)+1)</f>
        <v/>
      </c>
      <c r="D320" s="1833"/>
      <c r="E320" s="1810"/>
      <c r="F320" s="1810"/>
      <c r="G320" s="1810"/>
      <c r="H320" s="1810"/>
      <c r="I320" s="1810"/>
      <c r="J320" s="1810"/>
      <c r="K320" s="1810"/>
      <c r="L320" s="1811"/>
      <c r="M320" s="9"/>
      <c r="N320" s="2252" t="s">
        <v>15</v>
      </c>
      <c r="O320" s="2237"/>
      <c r="P320" s="2237"/>
      <c r="Q320" s="2237"/>
      <c r="R320" s="2237"/>
      <c r="S320" s="2240"/>
      <c r="T320" s="2241"/>
      <c r="U320" s="2239"/>
      <c r="V320" s="2242"/>
      <c r="W320" s="2250"/>
      <c r="X320" s="2244"/>
      <c r="Y320" s="2244"/>
      <c r="Z320" s="2245"/>
      <c r="AA320" s="2246"/>
      <c r="AB320" s="2247"/>
      <c r="AC320" s="2248"/>
      <c r="AD320" s="2249"/>
      <c r="AE320" s="2249"/>
      <c r="AF320" s="2238"/>
      <c r="AG320" s="2264"/>
      <c r="AI320" s="2252" t="s">
        <v>15</v>
      </c>
      <c r="AJ320" s="2237"/>
      <c r="AK320" s="2237"/>
      <c r="AL320" s="2237"/>
      <c r="AM320" s="2237"/>
      <c r="AN320" s="2240"/>
      <c r="AO320" s="2241"/>
      <c r="AP320" s="2239"/>
      <c r="AQ320" s="2242"/>
      <c r="AR320" s="2250"/>
      <c r="AS320" s="2244"/>
      <c r="AT320" s="2244"/>
      <c r="AU320" s="2245"/>
      <c r="AV320" s="2246"/>
      <c r="AW320" s="2247"/>
      <c r="AX320" s="2248"/>
      <c r="AY320" s="2249"/>
      <c r="AZ320" s="2249"/>
      <c r="BA320" s="2238"/>
      <c r="BB320" s="2264"/>
      <c r="BD320" s="2252" t="s">
        <v>15</v>
      </c>
      <c r="BE320" s="2237"/>
      <c r="BF320" s="2237"/>
      <c r="BG320" s="2237"/>
      <c r="BH320" s="2237"/>
      <c r="BI320" s="2240"/>
      <c r="BJ320" s="2241"/>
      <c r="BK320" s="2239"/>
      <c r="BL320" s="2242"/>
      <c r="BM320" s="2250"/>
      <c r="BN320" s="2244"/>
      <c r="BO320" s="2244"/>
      <c r="BP320" s="2245"/>
      <c r="BQ320" s="2246"/>
      <c r="BR320" s="2247"/>
      <c r="BS320" s="2248"/>
      <c r="BT320" s="2249"/>
      <c r="BU320" s="2249"/>
      <c r="BV320" s="2238"/>
      <c r="BW320" s="2264"/>
      <c r="BY320" s="3">
        <v>1</v>
      </c>
    </row>
    <row r="321" spans="2:77" ht="21" customHeight="1">
      <c r="B321" s="2265" t="str" cm="1">
        <f t="array" ref="B321">SUMPRODUCT(--(D321:J321&lt;&gt;""), LEN(TRIM(SUBSTITUTE(D321:J321, CHAR(160), "")))) &amp; " Car."</f>
        <v>0 Car.</v>
      </c>
      <c r="C321" s="1376" t="str">
        <f>IF(ISBLANK(D321),"",LARGE(C13:C320,1)+1)</f>
        <v/>
      </c>
      <c r="D321" s="1833"/>
      <c r="E321" s="1810"/>
      <c r="F321" s="1810"/>
      <c r="G321" s="1810"/>
      <c r="H321" s="1810"/>
      <c r="I321" s="1810"/>
      <c r="J321" s="1810"/>
      <c r="K321" s="1810"/>
      <c r="L321" s="1811"/>
      <c r="M321" s="9"/>
      <c r="N321" s="2252" t="s">
        <v>15</v>
      </c>
      <c r="O321" s="2237"/>
      <c r="P321" s="2237"/>
      <c r="Q321" s="2237"/>
      <c r="R321" s="2237"/>
      <c r="S321" s="2240"/>
      <c r="T321" s="2241"/>
      <c r="U321" s="2239"/>
      <c r="V321" s="2242"/>
      <c r="W321" s="2250"/>
      <c r="X321" s="2244"/>
      <c r="Y321" s="2244"/>
      <c r="Z321" s="2245"/>
      <c r="AA321" s="2246"/>
      <c r="AB321" s="2247"/>
      <c r="AC321" s="2248"/>
      <c r="AD321" s="2249"/>
      <c r="AE321" s="2249"/>
      <c r="AF321" s="2238"/>
      <c r="AG321" s="2264"/>
      <c r="AI321" s="2252" t="s">
        <v>15</v>
      </c>
      <c r="AJ321" s="2237"/>
      <c r="AK321" s="2237"/>
      <c r="AL321" s="2237"/>
      <c r="AM321" s="2237"/>
      <c r="AN321" s="2240"/>
      <c r="AO321" s="2241"/>
      <c r="AP321" s="2239"/>
      <c r="AQ321" s="2242"/>
      <c r="AR321" s="2250"/>
      <c r="AS321" s="2244"/>
      <c r="AT321" s="2244"/>
      <c r="AU321" s="2245"/>
      <c r="AV321" s="2246"/>
      <c r="AW321" s="2247"/>
      <c r="AX321" s="2248"/>
      <c r="AY321" s="2249"/>
      <c r="AZ321" s="2249"/>
      <c r="BA321" s="2238"/>
      <c r="BB321" s="2264"/>
      <c r="BD321" s="2252" t="s">
        <v>15</v>
      </c>
      <c r="BE321" s="2237"/>
      <c r="BF321" s="2237"/>
      <c r="BG321" s="2237"/>
      <c r="BH321" s="2237"/>
      <c r="BI321" s="2240"/>
      <c r="BJ321" s="2241"/>
      <c r="BK321" s="2239"/>
      <c r="BL321" s="2242"/>
      <c r="BM321" s="2250"/>
      <c r="BN321" s="2244"/>
      <c r="BO321" s="2244"/>
      <c r="BP321" s="2245"/>
      <c r="BQ321" s="2246"/>
      <c r="BR321" s="2247"/>
      <c r="BS321" s="2248"/>
      <c r="BT321" s="2249"/>
      <c r="BU321" s="2249"/>
      <c r="BV321" s="2238"/>
      <c r="BW321" s="2264"/>
      <c r="BY321" s="3">
        <v>1</v>
      </c>
    </row>
    <row r="322" spans="2:77" ht="21" customHeight="1">
      <c r="B322" s="2265" t="str" cm="1">
        <f t="array" ref="B322">SUMPRODUCT(--(D322:J322&lt;&gt;""), LEN(TRIM(SUBSTITUTE(D322:J322, CHAR(160), "")))) &amp; " Car."</f>
        <v>0 Car.</v>
      </c>
      <c r="C322" s="1376" t="str">
        <f>IF(ISBLANK(D322),"",LARGE(C13:C321,1)+1)</f>
        <v/>
      </c>
      <c r="D322" s="1833"/>
      <c r="E322" s="1810"/>
      <c r="F322" s="1810"/>
      <c r="G322" s="1810"/>
      <c r="H322" s="1810"/>
      <c r="I322" s="1810"/>
      <c r="J322" s="1810"/>
      <c r="K322" s="1810"/>
      <c r="L322" s="1811"/>
      <c r="M322" s="9"/>
      <c r="N322" s="2252" t="s">
        <v>15</v>
      </c>
      <c r="O322" s="2237"/>
      <c r="P322" s="2237"/>
      <c r="Q322" s="2237"/>
      <c r="R322" s="2237"/>
      <c r="S322" s="2240"/>
      <c r="T322" s="2241"/>
      <c r="U322" s="2239"/>
      <c r="V322" s="2242"/>
      <c r="W322" s="2250"/>
      <c r="X322" s="2244"/>
      <c r="Y322" s="2244"/>
      <c r="Z322" s="2245"/>
      <c r="AA322" s="2246"/>
      <c r="AB322" s="2247"/>
      <c r="AC322" s="2248"/>
      <c r="AD322" s="2249"/>
      <c r="AE322" s="2249"/>
      <c r="AF322" s="2238"/>
      <c r="AG322" s="2264"/>
      <c r="AI322" s="2252" t="s">
        <v>15</v>
      </c>
      <c r="AJ322" s="2237"/>
      <c r="AK322" s="2237"/>
      <c r="AL322" s="2237"/>
      <c r="AM322" s="2237"/>
      <c r="AN322" s="2240"/>
      <c r="AO322" s="2241"/>
      <c r="AP322" s="2239"/>
      <c r="AQ322" s="2242"/>
      <c r="AR322" s="2250"/>
      <c r="AS322" s="2244"/>
      <c r="AT322" s="2244"/>
      <c r="AU322" s="2245"/>
      <c r="AV322" s="2246"/>
      <c r="AW322" s="2247"/>
      <c r="AX322" s="2248"/>
      <c r="AY322" s="2249"/>
      <c r="AZ322" s="2249"/>
      <c r="BA322" s="2238"/>
      <c r="BB322" s="2264"/>
      <c r="BD322" s="2252" t="s">
        <v>15</v>
      </c>
      <c r="BE322" s="2237"/>
      <c r="BF322" s="2237"/>
      <c r="BG322" s="2237"/>
      <c r="BH322" s="2237"/>
      <c r="BI322" s="2240"/>
      <c r="BJ322" s="2241"/>
      <c r="BK322" s="2239"/>
      <c r="BL322" s="2242"/>
      <c r="BM322" s="2250"/>
      <c r="BN322" s="2244"/>
      <c r="BO322" s="2244"/>
      <c r="BP322" s="2245"/>
      <c r="BQ322" s="2246"/>
      <c r="BR322" s="2247"/>
      <c r="BS322" s="2248"/>
      <c r="BT322" s="2249"/>
      <c r="BU322" s="2249"/>
      <c r="BV322" s="2238"/>
      <c r="BW322" s="2264"/>
      <c r="BY322" s="3">
        <v>1</v>
      </c>
    </row>
    <row r="323" spans="2:77" ht="21" customHeight="1">
      <c r="B323" s="2265" t="str" cm="1">
        <f t="array" ref="B323">SUMPRODUCT(--(D323:J323&lt;&gt;""), LEN(TRIM(SUBSTITUTE(D323:J323, CHAR(160), "")))) &amp; " Car."</f>
        <v>0 Car.</v>
      </c>
      <c r="C323" s="1376" t="str">
        <f>IF(ISBLANK(D323),"",LARGE(C13:C322,1)+1)</f>
        <v/>
      </c>
      <c r="D323" s="1833"/>
      <c r="E323" s="1810"/>
      <c r="F323" s="1810"/>
      <c r="G323" s="1810"/>
      <c r="H323" s="1810"/>
      <c r="I323" s="1810"/>
      <c r="J323" s="1810"/>
      <c r="K323" s="1810"/>
      <c r="L323" s="1811"/>
      <c r="M323" s="9"/>
      <c r="N323" s="2252" t="s">
        <v>15</v>
      </c>
      <c r="O323" s="2237"/>
      <c r="P323" s="2237"/>
      <c r="Q323" s="2237"/>
      <c r="R323" s="2237"/>
      <c r="S323" s="2240"/>
      <c r="T323" s="2241"/>
      <c r="U323" s="2239"/>
      <c r="V323" s="2242"/>
      <c r="W323" s="2250"/>
      <c r="X323" s="2244"/>
      <c r="Y323" s="2244"/>
      <c r="Z323" s="2245"/>
      <c r="AA323" s="2246"/>
      <c r="AB323" s="2247"/>
      <c r="AC323" s="2248"/>
      <c r="AD323" s="2249"/>
      <c r="AE323" s="2249"/>
      <c r="AF323" s="2238"/>
      <c r="AG323" s="2264"/>
      <c r="AI323" s="2252" t="s">
        <v>15</v>
      </c>
      <c r="AJ323" s="2237"/>
      <c r="AK323" s="2237"/>
      <c r="AL323" s="2237"/>
      <c r="AM323" s="2237"/>
      <c r="AN323" s="2240"/>
      <c r="AO323" s="2241"/>
      <c r="AP323" s="2239"/>
      <c r="AQ323" s="2242"/>
      <c r="AR323" s="2250"/>
      <c r="AS323" s="2244"/>
      <c r="AT323" s="2244"/>
      <c r="AU323" s="2245"/>
      <c r="AV323" s="2246"/>
      <c r="AW323" s="2247"/>
      <c r="AX323" s="2248"/>
      <c r="AY323" s="2249"/>
      <c r="AZ323" s="2249"/>
      <c r="BA323" s="2238"/>
      <c r="BB323" s="2264"/>
      <c r="BD323" s="2252" t="s">
        <v>15</v>
      </c>
      <c r="BE323" s="2237"/>
      <c r="BF323" s="2237"/>
      <c r="BG323" s="2237"/>
      <c r="BH323" s="2237"/>
      <c r="BI323" s="2240"/>
      <c r="BJ323" s="2241"/>
      <c r="BK323" s="2239"/>
      <c r="BL323" s="2242"/>
      <c r="BM323" s="2250"/>
      <c r="BN323" s="2244"/>
      <c r="BO323" s="2244"/>
      <c r="BP323" s="2245"/>
      <c r="BQ323" s="2246"/>
      <c r="BR323" s="2247"/>
      <c r="BS323" s="2248"/>
      <c r="BT323" s="2249"/>
      <c r="BU323" s="2249"/>
      <c r="BV323" s="2238"/>
      <c r="BW323" s="2264"/>
      <c r="BY323" s="3">
        <v>1</v>
      </c>
    </row>
    <row r="324" spans="2:77" ht="21" customHeight="1">
      <c r="B324" s="2265" t="str" cm="1">
        <f t="array" ref="B324">SUMPRODUCT(--(D324:J324&lt;&gt;""), LEN(TRIM(SUBSTITUTE(D324:J324, CHAR(160), "")))) &amp; " Car."</f>
        <v>0 Car.</v>
      </c>
      <c r="C324" s="1376" t="str">
        <f>IF(ISBLANK(D324),"",LARGE(C13:C323,1)+1)</f>
        <v/>
      </c>
      <c r="D324" s="1833"/>
      <c r="E324" s="1810"/>
      <c r="F324" s="1810"/>
      <c r="G324" s="1810"/>
      <c r="H324" s="1810"/>
      <c r="I324" s="1810"/>
      <c r="J324" s="1810"/>
      <c r="K324" s="1810"/>
      <c r="L324" s="1811"/>
      <c r="M324" s="9"/>
      <c r="N324" s="2252" t="s">
        <v>15</v>
      </c>
      <c r="O324" s="2237"/>
      <c r="P324" s="2237"/>
      <c r="Q324" s="2237"/>
      <c r="R324" s="2237"/>
      <c r="S324" s="2240"/>
      <c r="T324" s="2241"/>
      <c r="U324" s="2239"/>
      <c r="V324" s="2242"/>
      <c r="W324" s="2250"/>
      <c r="X324" s="2244"/>
      <c r="Y324" s="2244"/>
      <c r="Z324" s="2245"/>
      <c r="AA324" s="2246"/>
      <c r="AB324" s="2247"/>
      <c r="AC324" s="2248"/>
      <c r="AD324" s="2249"/>
      <c r="AE324" s="2249"/>
      <c r="AF324" s="2238"/>
      <c r="AG324" s="2264"/>
      <c r="AI324" s="2252" t="s">
        <v>15</v>
      </c>
      <c r="AJ324" s="2237"/>
      <c r="AK324" s="2237"/>
      <c r="AL324" s="2237"/>
      <c r="AM324" s="2237"/>
      <c r="AN324" s="2240"/>
      <c r="AO324" s="2241"/>
      <c r="AP324" s="2239"/>
      <c r="AQ324" s="2242"/>
      <c r="AR324" s="2250"/>
      <c r="AS324" s="2244"/>
      <c r="AT324" s="2244"/>
      <c r="AU324" s="2245"/>
      <c r="AV324" s="2246"/>
      <c r="AW324" s="2247"/>
      <c r="AX324" s="2248"/>
      <c r="AY324" s="2249"/>
      <c r="AZ324" s="2249"/>
      <c r="BA324" s="2238"/>
      <c r="BB324" s="2264"/>
      <c r="BD324" s="2252" t="s">
        <v>15</v>
      </c>
      <c r="BE324" s="2237"/>
      <c r="BF324" s="2237"/>
      <c r="BG324" s="2237"/>
      <c r="BH324" s="2237"/>
      <c r="BI324" s="2240"/>
      <c r="BJ324" s="2241"/>
      <c r="BK324" s="2239"/>
      <c r="BL324" s="2242"/>
      <c r="BM324" s="2250"/>
      <c r="BN324" s="2244"/>
      <c r="BO324" s="2244"/>
      <c r="BP324" s="2245"/>
      <c r="BQ324" s="2246"/>
      <c r="BR324" s="2247"/>
      <c r="BS324" s="2248"/>
      <c r="BT324" s="2249"/>
      <c r="BU324" s="2249"/>
      <c r="BV324" s="2238"/>
      <c r="BW324" s="2264"/>
      <c r="BY324" s="3">
        <v>1</v>
      </c>
    </row>
    <row r="325" spans="2:77" ht="21" customHeight="1">
      <c r="B325" s="2265" t="str" cm="1">
        <f t="array" ref="B325">SUMPRODUCT(--(D325:J325&lt;&gt;""), LEN(TRIM(SUBSTITUTE(D325:J325, CHAR(160), "")))) &amp; " Car."</f>
        <v>0 Car.</v>
      </c>
      <c r="C325" s="1376" t="str">
        <f>IF(ISBLANK(D325),"",LARGE(C13:C324,1)+1)</f>
        <v/>
      </c>
      <c r="D325" s="1833"/>
      <c r="E325" s="1810"/>
      <c r="F325" s="1810"/>
      <c r="G325" s="1810"/>
      <c r="H325" s="1810"/>
      <c r="I325" s="1810"/>
      <c r="J325" s="1810"/>
      <c r="K325" s="1810"/>
      <c r="L325" s="1811"/>
      <c r="M325" s="9"/>
      <c r="N325" s="2252" t="s">
        <v>15</v>
      </c>
      <c r="O325" s="2237"/>
      <c r="P325" s="2237"/>
      <c r="Q325" s="2237"/>
      <c r="R325" s="2237"/>
      <c r="S325" s="2240"/>
      <c r="T325" s="2241"/>
      <c r="U325" s="2239"/>
      <c r="V325" s="2242"/>
      <c r="W325" s="2250"/>
      <c r="X325" s="2244"/>
      <c r="Y325" s="2244"/>
      <c r="Z325" s="2245"/>
      <c r="AA325" s="2246"/>
      <c r="AB325" s="2247"/>
      <c r="AC325" s="2248"/>
      <c r="AD325" s="2249"/>
      <c r="AE325" s="2249"/>
      <c r="AF325" s="2238"/>
      <c r="AG325" s="2264"/>
      <c r="AI325" s="2252" t="s">
        <v>15</v>
      </c>
      <c r="AJ325" s="2237"/>
      <c r="AK325" s="2237"/>
      <c r="AL325" s="2237"/>
      <c r="AM325" s="2237"/>
      <c r="AN325" s="2240"/>
      <c r="AO325" s="2241"/>
      <c r="AP325" s="2239"/>
      <c r="AQ325" s="2242"/>
      <c r="AR325" s="2250"/>
      <c r="AS325" s="2244"/>
      <c r="AT325" s="2244"/>
      <c r="AU325" s="2245"/>
      <c r="AV325" s="2246"/>
      <c r="AW325" s="2247"/>
      <c r="AX325" s="2248"/>
      <c r="AY325" s="2249"/>
      <c r="AZ325" s="2249"/>
      <c r="BA325" s="2238"/>
      <c r="BB325" s="2264"/>
      <c r="BD325" s="2252" t="s">
        <v>15</v>
      </c>
      <c r="BE325" s="2237"/>
      <c r="BF325" s="2237"/>
      <c r="BG325" s="2237"/>
      <c r="BH325" s="2237"/>
      <c r="BI325" s="2240"/>
      <c r="BJ325" s="2241"/>
      <c r="BK325" s="2239"/>
      <c r="BL325" s="2242"/>
      <c r="BM325" s="2250"/>
      <c r="BN325" s="2244"/>
      <c r="BO325" s="2244"/>
      <c r="BP325" s="2245"/>
      <c r="BQ325" s="2246"/>
      <c r="BR325" s="2247"/>
      <c r="BS325" s="2248"/>
      <c r="BT325" s="2249"/>
      <c r="BU325" s="2249"/>
      <c r="BV325" s="2238"/>
      <c r="BW325" s="2264"/>
      <c r="BY325" s="3">
        <v>1</v>
      </c>
    </row>
    <row r="326" spans="2:77" ht="21" customHeight="1">
      <c r="B326" s="2265" t="str" cm="1">
        <f t="array" ref="B326">SUMPRODUCT(--(D326:J326&lt;&gt;""), LEN(TRIM(SUBSTITUTE(D326:J326, CHAR(160), "")))) &amp; " Car."</f>
        <v>0 Car.</v>
      </c>
      <c r="C326" s="1376" t="str">
        <f>IF(ISBLANK(D326),"",LARGE(C13:C325,1)+1)</f>
        <v/>
      </c>
      <c r="D326" s="1833"/>
      <c r="E326" s="1810"/>
      <c r="F326" s="1810"/>
      <c r="G326" s="1810"/>
      <c r="H326" s="1810"/>
      <c r="I326" s="1810"/>
      <c r="J326" s="1810"/>
      <c r="K326" s="1810"/>
      <c r="L326" s="1811"/>
      <c r="M326" s="9"/>
      <c r="N326" s="2252" t="s">
        <v>15</v>
      </c>
      <c r="O326" s="2237"/>
      <c r="P326" s="2237"/>
      <c r="Q326" s="2237"/>
      <c r="R326" s="2237"/>
      <c r="S326" s="2240"/>
      <c r="T326" s="2241"/>
      <c r="U326" s="2239"/>
      <c r="V326" s="2242"/>
      <c r="W326" s="2250"/>
      <c r="X326" s="2244"/>
      <c r="Y326" s="2244"/>
      <c r="Z326" s="2245"/>
      <c r="AA326" s="2246"/>
      <c r="AB326" s="2247"/>
      <c r="AC326" s="2248"/>
      <c r="AD326" s="2249"/>
      <c r="AE326" s="2249"/>
      <c r="AF326" s="2238"/>
      <c r="AG326" s="2264"/>
      <c r="AI326" s="2252" t="s">
        <v>15</v>
      </c>
      <c r="AJ326" s="2237"/>
      <c r="AK326" s="2237"/>
      <c r="AL326" s="2237"/>
      <c r="AM326" s="2237"/>
      <c r="AN326" s="2240"/>
      <c r="AO326" s="2241"/>
      <c r="AP326" s="2239"/>
      <c r="AQ326" s="2242"/>
      <c r="AR326" s="2250"/>
      <c r="AS326" s="2244"/>
      <c r="AT326" s="2244"/>
      <c r="AU326" s="2245"/>
      <c r="AV326" s="2246"/>
      <c r="AW326" s="2247"/>
      <c r="AX326" s="2248"/>
      <c r="AY326" s="2249"/>
      <c r="AZ326" s="2249"/>
      <c r="BA326" s="2238"/>
      <c r="BB326" s="2264"/>
      <c r="BD326" s="2252" t="s">
        <v>15</v>
      </c>
      <c r="BE326" s="2237"/>
      <c r="BF326" s="2237"/>
      <c r="BG326" s="2237"/>
      <c r="BH326" s="2237"/>
      <c r="BI326" s="2240"/>
      <c r="BJ326" s="2241"/>
      <c r="BK326" s="2239"/>
      <c r="BL326" s="2242"/>
      <c r="BM326" s="2250"/>
      <c r="BN326" s="2244"/>
      <c r="BO326" s="2244"/>
      <c r="BP326" s="2245"/>
      <c r="BQ326" s="2246"/>
      <c r="BR326" s="2247"/>
      <c r="BS326" s="2248"/>
      <c r="BT326" s="2249"/>
      <c r="BU326" s="2249"/>
      <c r="BV326" s="2238"/>
      <c r="BW326" s="2264"/>
      <c r="BY326" s="3">
        <v>1</v>
      </c>
    </row>
    <row r="327" spans="2:77" ht="21" customHeight="1">
      <c r="B327" s="2265" t="str" cm="1">
        <f t="array" ref="B327">SUMPRODUCT(--(D327:J327&lt;&gt;""), LEN(TRIM(SUBSTITUTE(D327:J327, CHAR(160), "")))) &amp; " Car."</f>
        <v>0 Car.</v>
      </c>
      <c r="C327" s="1376" t="str">
        <f>IF(ISBLANK(D327),"",LARGE(C13:C326,1)+1)</f>
        <v/>
      </c>
      <c r="D327" s="1833"/>
      <c r="E327" s="1810"/>
      <c r="F327" s="1810"/>
      <c r="G327" s="1810"/>
      <c r="H327" s="1810"/>
      <c r="I327" s="1810"/>
      <c r="J327" s="1810"/>
      <c r="K327" s="1810"/>
      <c r="L327" s="1811"/>
      <c r="M327" s="9"/>
      <c r="N327" s="2252" t="s">
        <v>15</v>
      </c>
      <c r="O327" s="2237"/>
      <c r="P327" s="2237"/>
      <c r="Q327" s="2237"/>
      <c r="R327" s="2237"/>
      <c r="S327" s="2240"/>
      <c r="T327" s="2241"/>
      <c r="U327" s="2239"/>
      <c r="V327" s="2242"/>
      <c r="W327" s="2250"/>
      <c r="X327" s="2244"/>
      <c r="Y327" s="2244"/>
      <c r="Z327" s="2245"/>
      <c r="AA327" s="2246"/>
      <c r="AB327" s="2247"/>
      <c r="AC327" s="2248"/>
      <c r="AD327" s="2249"/>
      <c r="AE327" s="2249"/>
      <c r="AF327" s="2238"/>
      <c r="AG327" s="2264"/>
      <c r="AI327" s="2252" t="s">
        <v>15</v>
      </c>
      <c r="AJ327" s="2237"/>
      <c r="AK327" s="2237"/>
      <c r="AL327" s="2237"/>
      <c r="AM327" s="2237"/>
      <c r="AN327" s="2240"/>
      <c r="AO327" s="2241"/>
      <c r="AP327" s="2239"/>
      <c r="AQ327" s="2242"/>
      <c r="AR327" s="2250"/>
      <c r="AS327" s="2244"/>
      <c r="AT327" s="2244"/>
      <c r="AU327" s="2245"/>
      <c r="AV327" s="2246"/>
      <c r="AW327" s="2247"/>
      <c r="AX327" s="2248"/>
      <c r="AY327" s="2249"/>
      <c r="AZ327" s="2249"/>
      <c r="BA327" s="2238"/>
      <c r="BB327" s="2264"/>
      <c r="BD327" s="2252" t="s">
        <v>15</v>
      </c>
      <c r="BE327" s="2237"/>
      <c r="BF327" s="2237"/>
      <c r="BG327" s="2237"/>
      <c r="BH327" s="2237"/>
      <c r="BI327" s="2240"/>
      <c r="BJ327" s="2241"/>
      <c r="BK327" s="2239"/>
      <c r="BL327" s="2242"/>
      <c r="BM327" s="2250"/>
      <c r="BN327" s="2244"/>
      <c r="BO327" s="2244"/>
      <c r="BP327" s="2245"/>
      <c r="BQ327" s="2246"/>
      <c r="BR327" s="2247"/>
      <c r="BS327" s="2248"/>
      <c r="BT327" s="2249"/>
      <c r="BU327" s="2249"/>
      <c r="BV327" s="2238"/>
      <c r="BW327" s="2264"/>
      <c r="BY327" s="3">
        <v>1</v>
      </c>
    </row>
    <row r="328" spans="2:77" ht="21" customHeight="1">
      <c r="B328" s="2265" t="str" cm="1">
        <f t="array" ref="B328">SUMPRODUCT(--(D328:J328&lt;&gt;""), LEN(TRIM(SUBSTITUTE(D328:J328, CHAR(160), "")))) &amp; " Car."</f>
        <v>0 Car.</v>
      </c>
      <c r="C328" s="1376" t="str">
        <f>IF(ISBLANK(D328),"",LARGE(C13:C327,1)+1)</f>
        <v/>
      </c>
      <c r="D328" s="1833"/>
      <c r="E328" s="1810"/>
      <c r="F328" s="1810"/>
      <c r="G328" s="1810"/>
      <c r="H328" s="1810"/>
      <c r="I328" s="1810"/>
      <c r="J328" s="1810"/>
      <c r="K328" s="1810"/>
      <c r="L328" s="1811"/>
      <c r="M328" s="9"/>
      <c r="N328" s="2252" t="s">
        <v>15</v>
      </c>
      <c r="O328" s="2237"/>
      <c r="P328" s="2237"/>
      <c r="Q328" s="2237"/>
      <c r="R328" s="2237"/>
      <c r="S328" s="2240"/>
      <c r="T328" s="2241"/>
      <c r="U328" s="2239"/>
      <c r="V328" s="2242"/>
      <c r="W328" s="2250"/>
      <c r="X328" s="2244"/>
      <c r="Y328" s="2244"/>
      <c r="Z328" s="2245"/>
      <c r="AA328" s="2246"/>
      <c r="AB328" s="2247"/>
      <c r="AC328" s="2248"/>
      <c r="AD328" s="2249"/>
      <c r="AE328" s="2249"/>
      <c r="AF328" s="2238"/>
      <c r="AG328" s="2264"/>
      <c r="AI328" s="2252" t="s">
        <v>15</v>
      </c>
      <c r="AJ328" s="2237"/>
      <c r="AK328" s="2237"/>
      <c r="AL328" s="2237"/>
      <c r="AM328" s="2237"/>
      <c r="AN328" s="2240"/>
      <c r="AO328" s="2241"/>
      <c r="AP328" s="2239"/>
      <c r="AQ328" s="2242"/>
      <c r="AR328" s="2250"/>
      <c r="AS328" s="2244"/>
      <c r="AT328" s="2244"/>
      <c r="AU328" s="2245"/>
      <c r="AV328" s="2246"/>
      <c r="AW328" s="2247"/>
      <c r="AX328" s="2248"/>
      <c r="AY328" s="2249"/>
      <c r="AZ328" s="2249"/>
      <c r="BA328" s="2238"/>
      <c r="BB328" s="2264"/>
      <c r="BD328" s="2252" t="s">
        <v>15</v>
      </c>
      <c r="BE328" s="2237"/>
      <c r="BF328" s="2237"/>
      <c r="BG328" s="2237"/>
      <c r="BH328" s="2237"/>
      <c r="BI328" s="2240"/>
      <c r="BJ328" s="2241"/>
      <c r="BK328" s="2239"/>
      <c r="BL328" s="2242"/>
      <c r="BM328" s="2250"/>
      <c r="BN328" s="2244"/>
      <c r="BO328" s="2244"/>
      <c r="BP328" s="2245"/>
      <c r="BQ328" s="2246"/>
      <c r="BR328" s="2247"/>
      <c r="BS328" s="2248"/>
      <c r="BT328" s="2249"/>
      <c r="BU328" s="2249"/>
      <c r="BV328" s="2238"/>
      <c r="BW328" s="2264"/>
      <c r="BY328" s="3">
        <v>1</v>
      </c>
    </row>
    <row r="329" spans="2:77" ht="21" customHeight="1">
      <c r="B329" s="2265" t="str" cm="1">
        <f t="array" ref="B329">SUMPRODUCT(--(D329:J329&lt;&gt;""), LEN(TRIM(SUBSTITUTE(D329:J329, CHAR(160), "")))) &amp; " Car."</f>
        <v>0 Car.</v>
      </c>
      <c r="C329" s="1376" t="str">
        <f>IF(ISBLANK(D329),"",LARGE(C13:C328,1)+1)</f>
        <v/>
      </c>
      <c r="D329" s="1833"/>
      <c r="E329" s="1810"/>
      <c r="F329" s="1810"/>
      <c r="G329" s="1810"/>
      <c r="H329" s="1810"/>
      <c r="I329" s="1810"/>
      <c r="J329" s="1810"/>
      <c r="K329" s="1810"/>
      <c r="L329" s="1811"/>
      <c r="M329" s="9"/>
      <c r="N329" s="2252" t="s">
        <v>15</v>
      </c>
      <c r="O329" s="2237"/>
      <c r="P329" s="2237"/>
      <c r="Q329" s="2237"/>
      <c r="R329" s="2237"/>
      <c r="S329" s="2240"/>
      <c r="T329" s="2241"/>
      <c r="U329" s="2239"/>
      <c r="V329" s="2242"/>
      <c r="W329" s="2250"/>
      <c r="X329" s="2244"/>
      <c r="Y329" s="2244"/>
      <c r="Z329" s="2245"/>
      <c r="AA329" s="2246"/>
      <c r="AB329" s="2247"/>
      <c r="AC329" s="2248"/>
      <c r="AD329" s="2249"/>
      <c r="AE329" s="2249"/>
      <c r="AF329" s="2238"/>
      <c r="AG329" s="2264"/>
      <c r="AI329" s="2252" t="s">
        <v>15</v>
      </c>
      <c r="AJ329" s="2237"/>
      <c r="AK329" s="2237"/>
      <c r="AL329" s="2237"/>
      <c r="AM329" s="2237"/>
      <c r="AN329" s="2240"/>
      <c r="AO329" s="2241"/>
      <c r="AP329" s="2239"/>
      <c r="AQ329" s="2242"/>
      <c r="AR329" s="2250"/>
      <c r="AS329" s="2244"/>
      <c r="AT329" s="2244"/>
      <c r="AU329" s="2245"/>
      <c r="AV329" s="2246"/>
      <c r="AW329" s="2247"/>
      <c r="AX329" s="2248"/>
      <c r="AY329" s="2249"/>
      <c r="AZ329" s="2249"/>
      <c r="BA329" s="2238"/>
      <c r="BB329" s="2264"/>
      <c r="BD329" s="2252" t="s">
        <v>15</v>
      </c>
      <c r="BE329" s="2237"/>
      <c r="BF329" s="2237"/>
      <c r="BG329" s="2237"/>
      <c r="BH329" s="2237"/>
      <c r="BI329" s="2240"/>
      <c r="BJ329" s="2241"/>
      <c r="BK329" s="2239"/>
      <c r="BL329" s="2242"/>
      <c r="BM329" s="2250"/>
      <c r="BN329" s="2244"/>
      <c r="BO329" s="2244"/>
      <c r="BP329" s="2245"/>
      <c r="BQ329" s="2246"/>
      <c r="BR329" s="2247"/>
      <c r="BS329" s="2248"/>
      <c r="BT329" s="2249"/>
      <c r="BU329" s="2249"/>
      <c r="BV329" s="2238"/>
      <c r="BW329" s="2264"/>
      <c r="BY329" s="3">
        <v>1</v>
      </c>
    </row>
    <row r="330" spans="2:77" ht="21" customHeight="1">
      <c r="B330" s="2265" t="str" cm="1">
        <f t="array" ref="B330">SUMPRODUCT(--(D330:J330&lt;&gt;""), LEN(TRIM(SUBSTITUTE(D330:J330, CHAR(160), "")))) &amp; " Car."</f>
        <v>0 Car.</v>
      </c>
      <c r="C330" s="1376" t="str">
        <f>IF(ISBLANK(D330),"",LARGE(C13:C329,1)+1)</f>
        <v/>
      </c>
      <c r="D330" s="1833"/>
      <c r="E330" s="1810"/>
      <c r="F330" s="1810"/>
      <c r="G330" s="1810"/>
      <c r="H330" s="1810"/>
      <c r="I330" s="1810"/>
      <c r="J330" s="1810"/>
      <c r="K330" s="1810"/>
      <c r="L330" s="1811"/>
      <c r="M330" s="9"/>
      <c r="N330" s="2252" t="s">
        <v>15</v>
      </c>
      <c r="O330" s="2237"/>
      <c r="P330" s="2237"/>
      <c r="Q330" s="2237"/>
      <c r="R330" s="2237"/>
      <c r="S330" s="2240"/>
      <c r="T330" s="2241"/>
      <c r="U330" s="2239"/>
      <c r="V330" s="2242"/>
      <c r="W330" s="2250"/>
      <c r="X330" s="2244"/>
      <c r="Y330" s="2244"/>
      <c r="Z330" s="2245"/>
      <c r="AA330" s="2246"/>
      <c r="AB330" s="2247"/>
      <c r="AC330" s="2248"/>
      <c r="AD330" s="2249"/>
      <c r="AE330" s="2249"/>
      <c r="AF330" s="2238"/>
      <c r="AG330" s="2264"/>
      <c r="AI330" s="2252" t="s">
        <v>15</v>
      </c>
      <c r="AJ330" s="2237"/>
      <c r="AK330" s="2237"/>
      <c r="AL330" s="2237"/>
      <c r="AM330" s="2237"/>
      <c r="AN330" s="2240"/>
      <c r="AO330" s="2241"/>
      <c r="AP330" s="2239"/>
      <c r="AQ330" s="2242"/>
      <c r="AR330" s="2250"/>
      <c r="AS330" s="2244"/>
      <c r="AT330" s="2244"/>
      <c r="AU330" s="2245"/>
      <c r="AV330" s="2246"/>
      <c r="AW330" s="2247"/>
      <c r="AX330" s="2248"/>
      <c r="AY330" s="2249"/>
      <c r="AZ330" s="2249"/>
      <c r="BA330" s="2238"/>
      <c r="BB330" s="2264"/>
      <c r="BD330" s="2252" t="s">
        <v>15</v>
      </c>
      <c r="BE330" s="2237"/>
      <c r="BF330" s="2237"/>
      <c r="BG330" s="2237"/>
      <c r="BH330" s="2237"/>
      <c r="BI330" s="2240"/>
      <c r="BJ330" s="2241"/>
      <c r="BK330" s="2239"/>
      <c r="BL330" s="2242"/>
      <c r="BM330" s="2250"/>
      <c r="BN330" s="2244"/>
      <c r="BO330" s="2244"/>
      <c r="BP330" s="2245"/>
      <c r="BQ330" s="2246"/>
      <c r="BR330" s="2247"/>
      <c r="BS330" s="2248"/>
      <c r="BT330" s="2249"/>
      <c r="BU330" s="2249"/>
      <c r="BV330" s="2238"/>
      <c r="BW330" s="2264"/>
      <c r="BY330" s="3">
        <v>1</v>
      </c>
    </row>
    <row r="331" spans="2:77" ht="21" customHeight="1">
      <c r="B331" s="2265" t="str" cm="1">
        <f t="array" ref="B331">SUMPRODUCT(--(D331:J331&lt;&gt;""), LEN(TRIM(SUBSTITUTE(D331:J331, CHAR(160), "")))) &amp; " Car."</f>
        <v>0 Car.</v>
      </c>
      <c r="C331" s="1376" t="str">
        <f>IF(ISBLANK(D331),"",LARGE(C13:C330,1)+1)</f>
        <v/>
      </c>
      <c r="D331" s="1833"/>
      <c r="E331" s="1810"/>
      <c r="F331" s="1810"/>
      <c r="G331" s="1810"/>
      <c r="H331" s="1810"/>
      <c r="I331" s="1810"/>
      <c r="J331" s="1810"/>
      <c r="K331" s="1810"/>
      <c r="L331" s="1811"/>
      <c r="M331" s="9"/>
      <c r="N331" s="2252" t="s">
        <v>15</v>
      </c>
      <c r="O331" s="2237"/>
      <c r="P331" s="2237"/>
      <c r="Q331" s="2237"/>
      <c r="R331" s="2237"/>
      <c r="S331" s="2240"/>
      <c r="T331" s="2241"/>
      <c r="U331" s="2239"/>
      <c r="V331" s="2242"/>
      <c r="W331" s="2250"/>
      <c r="X331" s="2244"/>
      <c r="Y331" s="2244"/>
      <c r="Z331" s="2245"/>
      <c r="AA331" s="2246"/>
      <c r="AB331" s="2247"/>
      <c r="AC331" s="2248"/>
      <c r="AD331" s="2249"/>
      <c r="AE331" s="2249"/>
      <c r="AF331" s="2238"/>
      <c r="AG331" s="2264"/>
      <c r="AI331" s="2252" t="s">
        <v>15</v>
      </c>
      <c r="AJ331" s="2237"/>
      <c r="AK331" s="2237"/>
      <c r="AL331" s="2237"/>
      <c r="AM331" s="2237"/>
      <c r="AN331" s="2240"/>
      <c r="AO331" s="2241"/>
      <c r="AP331" s="2239"/>
      <c r="AQ331" s="2242"/>
      <c r="AR331" s="2250"/>
      <c r="AS331" s="2244"/>
      <c r="AT331" s="2244"/>
      <c r="AU331" s="2245"/>
      <c r="AV331" s="2246"/>
      <c r="AW331" s="2247"/>
      <c r="AX331" s="2248"/>
      <c r="AY331" s="2249"/>
      <c r="AZ331" s="2249"/>
      <c r="BA331" s="2238"/>
      <c r="BB331" s="2264"/>
      <c r="BD331" s="2252" t="s">
        <v>15</v>
      </c>
      <c r="BE331" s="2237"/>
      <c r="BF331" s="2237"/>
      <c r="BG331" s="2237"/>
      <c r="BH331" s="2237"/>
      <c r="BI331" s="2240"/>
      <c r="BJ331" s="2241"/>
      <c r="BK331" s="2239"/>
      <c r="BL331" s="2242"/>
      <c r="BM331" s="2250"/>
      <c r="BN331" s="2244"/>
      <c r="BO331" s="2244"/>
      <c r="BP331" s="2245"/>
      <c r="BQ331" s="2246"/>
      <c r="BR331" s="2247"/>
      <c r="BS331" s="2248"/>
      <c r="BT331" s="2249"/>
      <c r="BU331" s="2249"/>
      <c r="BV331" s="2238"/>
      <c r="BW331" s="2264"/>
      <c r="BY331" s="3">
        <v>1</v>
      </c>
    </row>
    <row r="332" spans="2:77" ht="21" customHeight="1">
      <c r="B332" s="2265" t="str" cm="1">
        <f t="array" ref="B332">SUMPRODUCT(--(D332:J332&lt;&gt;""), LEN(TRIM(SUBSTITUTE(D332:J332, CHAR(160), "")))) &amp; " Car."</f>
        <v>0 Car.</v>
      </c>
      <c r="C332" s="1376" t="str">
        <f>IF(ISBLANK(D332),"",LARGE(C13:C331,1)+1)</f>
        <v/>
      </c>
      <c r="D332" s="1833"/>
      <c r="E332" s="1810"/>
      <c r="F332" s="1810"/>
      <c r="G332" s="1810"/>
      <c r="H332" s="1810"/>
      <c r="I332" s="1810"/>
      <c r="J332" s="1810"/>
      <c r="K332" s="1810"/>
      <c r="L332" s="1811"/>
      <c r="M332" s="9"/>
      <c r="N332" s="2252" t="s">
        <v>15</v>
      </c>
      <c r="O332" s="2237"/>
      <c r="P332" s="2237"/>
      <c r="Q332" s="2237"/>
      <c r="R332" s="2237"/>
      <c r="S332" s="2240"/>
      <c r="T332" s="2241"/>
      <c r="U332" s="2239"/>
      <c r="V332" s="2242"/>
      <c r="W332" s="2250"/>
      <c r="X332" s="2244"/>
      <c r="Y332" s="2244"/>
      <c r="Z332" s="2245"/>
      <c r="AA332" s="2246"/>
      <c r="AB332" s="2247"/>
      <c r="AC332" s="2248"/>
      <c r="AD332" s="2249"/>
      <c r="AE332" s="2249"/>
      <c r="AF332" s="2238"/>
      <c r="AG332" s="2264"/>
      <c r="AI332" s="2252" t="s">
        <v>15</v>
      </c>
      <c r="AJ332" s="2237"/>
      <c r="AK332" s="2237"/>
      <c r="AL332" s="2237"/>
      <c r="AM332" s="2237"/>
      <c r="AN332" s="2240"/>
      <c r="AO332" s="2241"/>
      <c r="AP332" s="2239"/>
      <c r="AQ332" s="2242"/>
      <c r="AR332" s="2250"/>
      <c r="AS332" s="2244"/>
      <c r="AT332" s="2244"/>
      <c r="AU332" s="2245"/>
      <c r="AV332" s="2246"/>
      <c r="AW332" s="2247"/>
      <c r="AX332" s="2248"/>
      <c r="AY332" s="2249"/>
      <c r="AZ332" s="2249"/>
      <c r="BA332" s="2238"/>
      <c r="BB332" s="2264"/>
      <c r="BD332" s="2252" t="s">
        <v>15</v>
      </c>
      <c r="BE332" s="2237"/>
      <c r="BF332" s="2237"/>
      <c r="BG332" s="2237"/>
      <c r="BH332" s="2237"/>
      <c r="BI332" s="2240"/>
      <c r="BJ332" s="2241"/>
      <c r="BK332" s="2239"/>
      <c r="BL332" s="2242"/>
      <c r="BM332" s="2250"/>
      <c r="BN332" s="2244"/>
      <c r="BO332" s="2244"/>
      <c r="BP332" s="2245"/>
      <c r="BQ332" s="2246"/>
      <c r="BR332" s="2247"/>
      <c r="BS332" s="2248"/>
      <c r="BT332" s="2249"/>
      <c r="BU332" s="2249"/>
      <c r="BV332" s="2238"/>
      <c r="BW332" s="2264"/>
      <c r="BY332" s="3">
        <v>1</v>
      </c>
    </row>
    <row r="333" spans="2:77" ht="21" customHeight="1">
      <c r="B333" s="2265" t="str" cm="1">
        <f t="array" ref="B333">SUMPRODUCT(--(D333:J333&lt;&gt;""), LEN(TRIM(SUBSTITUTE(D333:J333, CHAR(160), "")))) &amp; " Car."</f>
        <v>0 Car.</v>
      </c>
      <c r="C333" s="1376" t="str">
        <f>IF(ISBLANK(D333),"",LARGE(C13:C332,1)+1)</f>
        <v/>
      </c>
      <c r="D333" s="1833"/>
      <c r="E333" s="1810"/>
      <c r="F333" s="1810"/>
      <c r="G333" s="1810"/>
      <c r="H333" s="1810"/>
      <c r="I333" s="1810"/>
      <c r="J333" s="1810"/>
      <c r="K333" s="1810"/>
      <c r="L333" s="1811"/>
      <c r="M333" s="9"/>
      <c r="N333" s="2252" t="s">
        <v>15</v>
      </c>
      <c r="O333" s="2237"/>
      <c r="P333" s="2237"/>
      <c r="Q333" s="2237"/>
      <c r="R333" s="2237"/>
      <c r="S333" s="2240"/>
      <c r="T333" s="2241"/>
      <c r="U333" s="2239"/>
      <c r="V333" s="2242"/>
      <c r="W333" s="2250"/>
      <c r="X333" s="2244"/>
      <c r="Y333" s="2244"/>
      <c r="Z333" s="2245"/>
      <c r="AA333" s="2246"/>
      <c r="AB333" s="2247"/>
      <c r="AC333" s="2248"/>
      <c r="AD333" s="2249"/>
      <c r="AE333" s="2249"/>
      <c r="AF333" s="2238"/>
      <c r="AG333" s="2264"/>
      <c r="AI333" s="2252" t="s">
        <v>15</v>
      </c>
      <c r="AJ333" s="2237"/>
      <c r="AK333" s="2237"/>
      <c r="AL333" s="2237"/>
      <c r="AM333" s="2237"/>
      <c r="AN333" s="2240"/>
      <c r="AO333" s="2241"/>
      <c r="AP333" s="2239"/>
      <c r="AQ333" s="2242"/>
      <c r="AR333" s="2250"/>
      <c r="AS333" s="2244"/>
      <c r="AT333" s="2244"/>
      <c r="AU333" s="2245"/>
      <c r="AV333" s="2246"/>
      <c r="AW333" s="2247"/>
      <c r="AX333" s="2248"/>
      <c r="AY333" s="2249"/>
      <c r="AZ333" s="2249"/>
      <c r="BA333" s="2238"/>
      <c r="BB333" s="2264"/>
      <c r="BD333" s="2252" t="s">
        <v>15</v>
      </c>
      <c r="BE333" s="2237"/>
      <c r="BF333" s="2237"/>
      <c r="BG333" s="2237"/>
      <c r="BH333" s="2237"/>
      <c r="BI333" s="2240"/>
      <c r="BJ333" s="2241"/>
      <c r="BK333" s="2239"/>
      <c r="BL333" s="2242"/>
      <c r="BM333" s="2250"/>
      <c r="BN333" s="2244"/>
      <c r="BO333" s="2244"/>
      <c r="BP333" s="2245"/>
      <c r="BQ333" s="2246"/>
      <c r="BR333" s="2247"/>
      <c r="BS333" s="2248"/>
      <c r="BT333" s="2249"/>
      <c r="BU333" s="2249"/>
      <c r="BV333" s="2238"/>
      <c r="BW333" s="2264"/>
      <c r="BY333" s="3">
        <v>1</v>
      </c>
    </row>
    <row r="334" spans="2:77" ht="21" customHeight="1">
      <c r="B334" s="2265" t="str" cm="1">
        <f t="array" ref="B334">SUMPRODUCT(--(D334:J334&lt;&gt;""), LEN(TRIM(SUBSTITUTE(D334:J334, CHAR(160), "")))) &amp; " Car."</f>
        <v>0 Car.</v>
      </c>
      <c r="C334" s="1376" t="str">
        <f>IF(ISBLANK(D334),"",LARGE(C13:C333,1)+1)</f>
        <v/>
      </c>
      <c r="D334" s="1833"/>
      <c r="E334" s="1810"/>
      <c r="F334" s="1810"/>
      <c r="G334" s="1810"/>
      <c r="H334" s="1810"/>
      <c r="I334" s="1810"/>
      <c r="J334" s="1810"/>
      <c r="K334" s="1810"/>
      <c r="L334" s="1811"/>
      <c r="M334" s="9"/>
      <c r="N334" s="2252" t="s">
        <v>15</v>
      </c>
      <c r="O334" s="2237"/>
      <c r="P334" s="2237"/>
      <c r="Q334" s="2237"/>
      <c r="R334" s="2237"/>
      <c r="S334" s="2240"/>
      <c r="T334" s="2241"/>
      <c r="U334" s="2239"/>
      <c r="V334" s="2242"/>
      <c r="W334" s="2250"/>
      <c r="X334" s="2244"/>
      <c r="Y334" s="2244"/>
      <c r="Z334" s="2245"/>
      <c r="AA334" s="2246"/>
      <c r="AB334" s="2247"/>
      <c r="AC334" s="2248"/>
      <c r="AD334" s="2249"/>
      <c r="AE334" s="2249"/>
      <c r="AF334" s="2238"/>
      <c r="AG334" s="2264"/>
      <c r="AI334" s="2252" t="s">
        <v>15</v>
      </c>
      <c r="AJ334" s="2237"/>
      <c r="AK334" s="2237"/>
      <c r="AL334" s="2237"/>
      <c r="AM334" s="2237"/>
      <c r="AN334" s="2240"/>
      <c r="AO334" s="2241"/>
      <c r="AP334" s="2239"/>
      <c r="AQ334" s="2242"/>
      <c r="AR334" s="2250"/>
      <c r="AS334" s="2244"/>
      <c r="AT334" s="2244"/>
      <c r="AU334" s="2245"/>
      <c r="AV334" s="2246"/>
      <c r="AW334" s="2247"/>
      <c r="AX334" s="2248"/>
      <c r="AY334" s="2249"/>
      <c r="AZ334" s="2249"/>
      <c r="BA334" s="2238"/>
      <c r="BB334" s="2264"/>
      <c r="BD334" s="2252" t="s">
        <v>15</v>
      </c>
      <c r="BE334" s="2237"/>
      <c r="BF334" s="2237"/>
      <c r="BG334" s="2237"/>
      <c r="BH334" s="2237"/>
      <c r="BI334" s="2240"/>
      <c r="BJ334" s="2241"/>
      <c r="BK334" s="2239"/>
      <c r="BL334" s="2242"/>
      <c r="BM334" s="2250"/>
      <c r="BN334" s="2244"/>
      <c r="BO334" s="2244"/>
      <c r="BP334" s="2245"/>
      <c r="BQ334" s="2246"/>
      <c r="BR334" s="2247"/>
      <c r="BS334" s="2248"/>
      <c r="BT334" s="2249"/>
      <c r="BU334" s="2249"/>
      <c r="BV334" s="2238"/>
      <c r="BW334" s="2264"/>
      <c r="BY334" s="3">
        <v>1</v>
      </c>
    </row>
    <row r="335" spans="2:77" ht="21" customHeight="1">
      <c r="B335" s="2265" t="str" cm="1">
        <f t="array" ref="B335">SUMPRODUCT(--(D335:J335&lt;&gt;""), LEN(TRIM(SUBSTITUTE(D335:J335, CHAR(160), "")))) &amp; " Car."</f>
        <v>0 Car.</v>
      </c>
      <c r="C335" s="1376" t="str">
        <f>IF(ISBLANK(D335),"",LARGE(C13:C334,1)+1)</f>
        <v/>
      </c>
      <c r="D335" s="1833"/>
      <c r="E335" s="1810"/>
      <c r="F335" s="1810"/>
      <c r="G335" s="1810"/>
      <c r="H335" s="1810"/>
      <c r="I335" s="1810"/>
      <c r="J335" s="1810"/>
      <c r="K335" s="1810"/>
      <c r="L335" s="1811"/>
      <c r="M335" s="9"/>
      <c r="N335" s="2252" t="s">
        <v>15</v>
      </c>
      <c r="O335" s="2237"/>
      <c r="P335" s="2237"/>
      <c r="Q335" s="2237"/>
      <c r="R335" s="2237"/>
      <c r="S335" s="2240"/>
      <c r="T335" s="2241"/>
      <c r="U335" s="2239"/>
      <c r="V335" s="2242"/>
      <c r="W335" s="2250"/>
      <c r="X335" s="2244"/>
      <c r="Y335" s="2244"/>
      <c r="Z335" s="2245"/>
      <c r="AA335" s="2246"/>
      <c r="AB335" s="2247"/>
      <c r="AC335" s="2248"/>
      <c r="AD335" s="2249"/>
      <c r="AE335" s="2249"/>
      <c r="AF335" s="2238"/>
      <c r="AG335" s="2264"/>
      <c r="AI335" s="2252" t="s">
        <v>15</v>
      </c>
      <c r="AJ335" s="2237"/>
      <c r="AK335" s="2237"/>
      <c r="AL335" s="2237"/>
      <c r="AM335" s="2237"/>
      <c r="AN335" s="2240"/>
      <c r="AO335" s="2241"/>
      <c r="AP335" s="2239"/>
      <c r="AQ335" s="2242"/>
      <c r="AR335" s="2250"/>
      <c r="AS335" s="2244"/>
      <c r="AT335" s="2244"/>
      <c r="AU335" s="2245"/>
      <c r="AV335" s="2246"/>
      <c r="AW335" s="2247"/>
      <c r="AX335" s="2248"/>
      <c r="AY335" s="2249"/>
      <c r="AZ335" s="2249"/>
      <c r="BA335" s="2238"/>
      <c r="BB335" s="2264"/>
      <c r="BD335" s="2252" t="s">
        <v>15</v>
      </c>
      <c r="BE335" s="2237"/>
      <c r="BF335" s="2237"/>
      <c r="BG335" s="2237"/>
      <c r="BH335" s="2237"/>
      <c r="BI335" s="2240"/>
      <c r="BJ335" s="2241"/>
      <c r="BK335" s="2239"/>
      <c r="BL335" s="2242"/>
      <c r="BM335" s="2250"/>
      <c r="BN335" s="2244"/>
      <c r="BO335" s="2244"/>
      <c r="BP335" s="2245"/>
      <c r="BQ335" s="2246"/>
      <c r="BR335" s="2247"/>
      <c r="BS335" s="2248"/>
      <c r="BT335" s="2249"/>
      <c r="BU335" s="2249"/>
      <c r="BV335" s="2238"/>
      <c r="BW335" s="2264"/>
      <c r="BY335" s="3">
        <v>1</v>
      </c>
    </row>
    <row r="336" spans="2:77" ht="21" customHeight="1">
      <c r="B336" s="2265" t="str" cm="1">
        <f t="array" ref="B336">SUMPRODUCT(--(D336:J336&lt;&gt;""), LEN(TRIM(SUBSTITUTE(D336:J336, CHAR(160), "")))) &amp; " Car."</f>
        <v>0 Car.</v>
      </c>
      <c r="C336" s="1376" t="str">
        <f>IF(ISBLANK(D336),"",LARGE(C13:C335,1)+1)</f>
        <v/>
      </c>
      <c r="D336" s="1833"/>
      <c r="E336" s="1810"/>
      <c r="F336" s="1810"/>
      <c r="G336" s="1810"/>
      <c r="H336" s="1810"/>
      <c r="I336" s="1810"/>
      <c r="J336" s="1810"/>
      <c r="K336" s="1810"/>
      <c r="L336" s="1811"/>
      <c r="M336" s="9"/>
      <c r="N336" s="2252" t="s">
        <v>15</v>
      </c>
      <c r="O336" s="2237"/>
      <c r="P336" s="2237"/>
      <c r="Q336" s="2237"/>
      <c r="R336" s="2237"/>
      <c r="S336" s="2240"/>
      <c r="T336" s="2241"/>
      <c r="U336" s="2239"/>
      <c r="V336" s="2242"/>
      <c r="W336" s="2250"/>
      <c r="X336" s="2244"/>
      <c r="Y336" s="2244"/>
      <c r="Z336" s="2245"/>
      <c r="AA336" s="2246"/>
      <c r="AB336" s="2247"/>
      <c r="AC336" s="2248"/>
      <c r="AD336" s="2249"/>
      <c r="AE336" s="2249"/>
      <c r="AF336" s="2238"/>
      <c r="AG336" s="2264"/>
      <c r="AI336" s="2252" t="s">
        <v>15</v>
      </c>
      <c r="AJ336" s="2237"/>
      <c r="AK336" s="2237"/>
      <c r="AL336" s="2237"/>
      <c r="AM336" s="2237"/>
      <c r="AN336" s="2240"/>
      <c r="AO336" s="2241"/>
      <c r="AP336" s="2239"/>
      <c r="AQ336" s="2242"/>
      <c r="AR336" s="2250"/>
      <c r="AS336" s="2244"/>
      <c r="AT336" s="2244"/>
      <c r="AU336" s="2245"/>
      <c r="AV336" s="2246"/>
      <c r="AW336" s="2247"/>
      <c r="AX336" s="2248"/>
      <c r="AY336" s="2249"/>
      <c r="AZ336" s="2249"/>
      <c r="BA336" s="2238"/>
      <c r="BB336" s="2264"/>
      <c r="BD336" s="2252" t="s">
        <v>15</v>
      </c>
      <c r="BE336" s="2237"/>
      <c r="BF336" s="2237"/>
      <c r="BG336" s="2237"/>
      <c r="BH336" s="2237"/>
      <c r="BI336" s="2240"/>
      <c r="BJ336" s="2241"/>
      <c r="BK336" s="2239"/>
      <c r="BL336" s="2242"/>
      <c r="BM336" s="2250"/>
      <c r="BN336" s="2244"/>
      <c r="BO336" s="2244"/>
      <c r="BP336" s="2245"/>
      <c r="BQ336" s="2246"/>
      <c r="BR336" s="2247"/>
      <c r="BS336" s="2248"/>
      <c r="BT336" s="2249"/>
      <c r="BU336" s="2249"/>
      <c r="BV336" s="2238"/>
      <c r="BW336" s="2264"/>
      <c r="BY336" s="3">
        <v>1</v>
      </c>
    </row>
    <row r="337" spans="1:79" ht="21" customHeight="1">
      <c r="B337" s="2265" t="str" cm="1">
        <f t="array" ref="B337">SUMPRODUCT(--(D337:J337&lt;&gt;""), LEN(TRIM(SUBSTITUTE(D337:J337, CHAR(160), "")))) &amp; " Car."</f>
        <v>0 Car.</v>
      </c>
      <c r="C337" s="1376" t="str">
        <f>IF(ISBLANK(D337),"",LARGE(C13:C336,1)+1)</f>
        <v/>
      </c>
      <c r="D337" s="1833"/>
      <c r="E337" s="1810"/>
      <c r="F337" s="1810"/>
      <c r="G337" s="1810"/>
      <c r="H337" s="1810"/>
      <c r="I337" s="1810"/>
      <c r="J337" s="1810"/>
      <c r="K337" s="1810"/>
      <c r="L337" s="1811"/>
      <c r="M337" s="9"/>
      <c r="N337" s="2252" t="s">
        <v>15</v>
      </c>
      <c r="O337" s="2237"/>
      <c r="P337" s="2237"/>
      <c r="Q337" s="2237"/>
      <c r="R337" s="2237"/>
      <c r="S337" s="2240"/>
      <c r="T337" s="2241"/>
      <c r="U337" s="2239"/>
      <c r="V337" s="2242"/>
      <c r="W337" s="2250"/>
      <c r="X337" s="2244"/>
      <c r="Y337" s="2244"/>
      <c r="Z337" s="2245"/>
      <c r="AA337" s="2246"/>
      <c r="AB337" s="2247"/>
      <c r="AC337" s="2248"/>
      <c r="AD337" s="2249"/>
      <c r="AE337" s="2249"/>
      <c r="AF337" s="2238"/>
      <c r="AG337" s="2264"/>
      <c r="AI337" s="2252" t="s">
        <v>15</v>
      </c>
      <c r="AJ337" s="2237"/>
      <c r="AK337" s="2237"/>
      <c r="AL337" s="2237"/>
      <c r="AM337" s="2237"/>
      <c r="AN337" s="2240"/>
      <c r="AO337" s="2241"/>
      <c r="AP337" s="2239"/>
      <c r="AQ337" s="2242"/>
      <c r="AR337" s="2250"/>
      <c r="AS337" s="2244"/>
      <c r="AT337" s="2244"/>
      <c r="AU337" s="2245"/>
      <c r="AV337" s="2246"/>
      <c r="AW337" s="2247"/>
      <c r="AX337" s="2248"/>
      <c r="AY337" s="2249"/>
      <c r="AZ337" s="2249"/>
      <c r="BA337" s="2238"/>
      <c r="BB337" s="2264"/>
      <c r="BD337" s="2252" t="s">
        <v>15</v>
      </c>
      <c r="BE337" s="2237"/>
      <c r="BF337" s="2237"/>
      <c r="BG337" s="2237"/>
      <c r="BH337" s="2237"/>
      <c r="BI337" s="2240"/>
      <c r="BJ337" s="2241"/>
      <c r="BK337" s="2239"/>
      <c r="BL337" s="2242"/>
      <c r="BM337" s="2250"/>
      <c r="BN337" s="2244"/>
      <c r="BO337" s="2244"/>
      <c r="BP337" s="2245"/>
      <c r="BQ337" s="2246"/>
      <c r="BR337" s="2247"/>
      <c r="BS337" s="2248"/>
      <c r="BT337" s="2249"/>
      <c r="BU337" s="2249"/>
      <c r="BV337" s="2238"/>
      <c r="BW337" s="2264"/>
      <c r="BY337" s="3">
        <v>1</v>
      </c>
    </row>
    <row r="338" spans="1:79" ht="21" customHeight="1">
      <c r="B338" s="2265" t="str" cm="1">
        <f t="array" ref="B338">SUMPRODUCT(--(D338:J338&lt;&gt;""), LEN(TRIM(SUBSTITUTE(D338:J338, CHAR(160), "")))) &amp; " Car."</f>
        <v>0 Car.</v>
      </c>
      <c r="C338" s="1376" t="str">
        <f>IF(ISBLANK(D338),"",LARGE(C13:C337,1)+1)</f>
        <v/>
      </c>
      <c r="D338" s="1833"/>
      <c r="E338" s="1810"/>
      <c r="F338" s="1810"/>
      <c r="G338" s="1810"/>
      <c r="H338" s="1810"/>
      <c r="I338" s="1810"/>
      <c r="J338" s="1810"/>
      <c r="K338" s="1810"/>
      <c r="L338" s="1811"/>
      <c r="M338" s="9"/>
      <c r="N338" s="2252" t="s">
        <v>15</v>
      </c>
      <c r="O338" s="2237"/>
      <c r="P338" s="2237"/>
      <c r="Q338" s="2237"/>
      <c r="R338" s="2237"/>
      <c r="S338" s="2240"/>
      <c r="T338" s="2241"/>
      <c r="U338" s="2239"/>
      <c r="V338" s="2242"/>
      <c r="W338" s="2250"/>
      <c r="X338" s="2244"/>
      <c r="Y338" s="2244"/>
      <c r="Z338" s="2245"/>
      <c r="AA338" s="2246"/>
      <c r="AB338" s="2247"/>
      <c r="AC338" s="2248"/>
      <c r="AD338" s="2249"/>
      <c r="AE338" s="2249"/>
      <c r="AF338" s="2238"/>
      <c r="AG338" s="2264"/>
      <c r="AI338" s="2252" t="s">
        <v>15</v>
      </c>
      <c r="AJ338" s="2237"/>
      <c r="AK338" s="2237"/>
      <c r="AL338" s="2237"/>
      <c r="AM338" s="2237"/>
      <c r="AN338" s="2240"/>
      <c r="AO338" s="2241"/>
      <c r="AP338" s="2239"/>
      <c r="AQ338" s="2242"/>
      <c r="AR338" s="2250"/>
      <c r="AS338" s="2244"/>
      <c r="AT338" s="2244"/>
      <c r="AU338" s="2245"/>
      <c r="AV338" s="2246"/>
      <c r="AW338" s="2247"/>
      <c r="AX338" s="2248"/>
      <c r="AY338" s="2249"/>
      <c r="AZ338" s="2249"/>
      <c r="BA338" s="2238"/>
      <c r="BB338" s="2264"/>
      <c r="BD338" s="2252" t="s">
        <v>15</v>
      </c>
      <c r="BE338" s="2237"/>
      <c r="BF338" s="2237"/>
      <c r="BG338" s="2237"/>
      <c r="BH338" s="2237"/>
      <c r="BI338" s="2240"/>
      <c r="BJ338" s="2241"/>
      <c r="BK338" s="2239"/>
      <c r="BL338" s="2242"/>
      <c r="BM338" s="2250"/>
      <c r="BN338" s="2244"/>
      <c r="BO338" s="2244"/>
      <c r="BP338" s="2245"/>
      <c r="BQ338" s="2246"/>
      <c r="BR338" s="2247"/>
      <c r="BS338" s="2248"/>
      <c r="BT338" s="2249"/>
      <c r="BU338" s="2249"/>
      <c r="BV338" s="2238"/>
      <c r="BW338" s="2264"/>
      <c r="BY338" s="3">
        <v>1</v>
      </c>
    </row>
    <row r="339" spans="1:79" ht="21" customHeight="1">
      <c r="B339" s="2265" t="str" cm="1">
        <f t="array" ref="B339">SUMPRODUCT(--(D339:J339&lt;&gt;""), LEN(TRIM(SUBSTITUTE(D339:J339, CHAR(160), "")))) &amp; " Car."</f>
        <v>0 Car.</v>
      </c>
      <c r="C339" s="1376" t="str">
        <f>IF(ISBLANK(D339),"",LARGE(C13:C338,1)+1)</f>
        <v/>
      </c>
      <c r="D339" s="1833"/>
      <c r="E339" s="1810"/>
      <c r="F339" s="1810"/>
      <c r="G339" s="1810"/>
      <c r="H339" s="1810"/>
      <c r="I339" s="1810"/>
      <c r="J339" s="1810"/>
      <c r="K339" s="1810"/>
      <c r="L339" s="1811"/>
      <c r="M339" s="9"/>
      <c r="N339" s="2252" t="s">
        <v>15</v>
      </c>
      <c r="O339" s="2237"/>
      <c r="P339" s="2237"/>
      <c r="Q339" s="2237"/>
      <c r="R339" s="2237"/>
      <c r="S339" s="2240"/>
      <c r="T339" s="2241"/>
      <c r="U339" s="2239"/>
      <c r="V339" s="2242"/>
      <c r="W339" s="2250"/>
      <c r="X339" s="2244"/>
      <c r="Y339" s="2244"/>
      <c r="Z339" s="2245"/>
      <c r="AA339" s="2246"/>
      <c r="AB339" s="2247"/>
      <c r="AC339" s="2248"/>
      <c r="AD339" s="2249"/>
      <c r="AE339" s="2249"/>
      <c r="AF339" s="2238"/>
      <c r="AG339" s="2264"/>
      <c r="AI339" s="2252" t="s">
        <v>15</v>
      </c>
      <c r="AJ339" s="2237"/>
      <c r="AK339" s="2237"/>
      <c r="AL339" s="2237"/>
      <c r="AM339" s="2237"/>
      <c r="AN339" s="2240"/>
      <c r="AO339" s="2241"/>
      <c r="AP339" s="2239"/>
      <c r="AQ339" s="2242"/>
      <c r="AR339" s="2250"/>
      <c r="AS339" s="2244"/>
      <c r="AT339" s="2244"/>
      <c r="AU339" s="2245"/>
      <c r="AV339" s="2246"/>
      <c r="AW339" s="2247"/>
      <c r="AX339" s="2248"/>
      <c r="AY339" s="2249"/>
      <c r="AZ339" s="2249"/>
      <c r="BA339" s="2238"/>
      <c r="BB339" s="2264"/>
      <c r="BD339" s="2252" t="s">
        <v>15</v>
      </c>
      <c r="BE339" s="2237"/>
      <c r="BF339" s="2237"/>
      <c r="BG339" s="2237"/>
      <c r="BH339" s="2237"/>
      <c r="BI339" s="2240"/>
      <c r="BJ339" s="2241"/>
      <c r="BK339" s="2239"/>
      <c r="BL339" s="2242"/>
      <c r="BM339" s="2250"/>
      <c r="BN339" s="2244"/>
      <c r="BO339" s="2244"/>
      <c r="BP339" s="2245"/>
      <c r="BQ339" s="2246"/>
      <c r="BR339" s="2247"/>
      <c r="BS339" s="2248"/>
      <c r="BT339" s="2249"/>
      <c r="BU339" s="2249"/>
      <c r="BV339" s="2238"/>
      <c r="BW339" s="2264"/>
      <c r="BY339" s="3">
        <v>1</v>
      </c>
    </row>
    <row r="340" spans="1:79" ht="21" customHeight="1">
      <c r="B340" s="2265" t="str" cm="1">
        <f t="array" ref="B340">SUMPRODUCT(--(D340:J340&lt;&gt;""), LEN(TRIM(SUBSTITUTE(D340:J340, CHAR(160), "")))) &amp; " Car."</f>
        <v>0 Car.</v>
      </c>
      <c r="C340" s="1376" t="str">
        <f>IF(ISBLANK(D340),"",LARGE(C13:C339,1)+1)</f>
        <v/>
      </c>
      <c r="D340" s="1833"/>
      <c r="E340" s="1810"/>
      <c r="F340" s="1810"/>
      <c r="G340" s="1810"/>
      <c r="H340" s="1810"/>
      <c r="I340" s="1810"/>
      <c r="J340" s="1810"/>
      <c r="K340" s="1810"/>
      <c r="L340" s="1811"/>
      <c r="M340" s="9"/>
      <c r="N340" s="2252" t="s">
        <v>15</v>
      </c>
      <c r="O340" s="2237"/>
      <c r="P340" s="2237"/>
      <c r="Q340" s="2237"/>
      <c r="R340" s="2237"/>
      <c r="S340" s="2240"/>
      <c r="T340" s="2241"/>
      <c r="U340" s="2239"/>
      <c r="V340" s="2242"/>
      <c r="W340" s="2250"/>
      <c r="X340" s="2244"/>
      <c r="Y340" s="2244"/>
      <c r="Z340" s="2245"/>
      <c r="AA340" s="2246"/>
      <c r="AB340" s="2247"/>
      <c r="AC340" s="2248"/>
      <c r="AD340" s="2249"/>
      <c r="AE340" s="2249"/>
      <c r="AF340" s="2238"/>
      <c r="AG340" s="2264"/>
      <c r="AI340" s="2252" t="s">
        <v>15</v>
      </c>
      <c r="AJ340" s="2237"/>
      <c r="AK340" s="2237"/>
      <c r="AL340" s="2237"/>
      <c r="AM340" s="2237"/>
      <c r="AN340" s="2240"/>
      <c r="AO340" s="2241"/>
      <c r="AP340" s="2239"/>
      <c r="AQ340" s="2242"/>
      <c r="AR340" s="2250"/>
      <c r="AS340" s="2244"/>
      <c r="AT340" s="2244"/>
      <c r="AU340" s="2245"/>
      <c r="AV340" s="2246"/>
      <c r="AW340" s="2247"/>
      <c r="AX340" s="2248"/>
      <c r="AY340" s="2249"/>
      <c r="AZ340" s="2249"/>
      <c r="BA340" s="2238"/>
      <c r="BB340" s="2264"/>
      <c r="BD340" s="2252" t="s">
        <v>15</v>
      </c>
      <c r="BE340" s="2237"/>
      <c r="BF340" s="2237"/>
      <c r="BG340" s="2237"/>
      <c r="BH340" s="2237"/>
      <c r="BI340" s="2240"/>
      <c r="BJ340" s="2241"/>
      <c r="BK340" s="2239"/>
      <c r="BL340" s="2242"/>
      <c r="BM340" s="2250"/>
      <c r="BN340" s="2244"/>
      <c r="BO340" s="2244"/>
      <c r="BP340" s="2245"/>
      <c r="BQ340" s="2246"/>
      <c r="BR340" s="2247"/>
      <c r="BS340" s="2248"/>
      <c r="BT340" s="2249"/>
      <c r="BU340" s="2249"/>
      <c r="BV340" s="2238"/>
      <c r="BW340" s="2264"/>
      <c r="BY340" s="3">
        <v>1</v>
      </c>
    </row>
    <row r="341" spans="1:79" ht="21" customHeight="1">
      <c r="B341" s="2265" t="str" cm="1">
        <f t="array" ref="B341">SUMPRODUCT(--(D341:J341&lt;&gt;""), LEN(TRIM(SUBSTITUTE(D341:J341, CHAR(160), "")))) &amp; " Car."</f>
        <v>0 Car.</v>
      </c>
      <c r="C341" s="1376" t="str">
        <f>IF(ISBLANK(D341),"",LARGE(C13:C340,1)+1)</f>
        <v/>
      </c>
      <c r="D341" s="1833"/>
      <c r="E341" s="1810"/>
      <c r="F341" s="1810"/>
      <c r="G341" s="1810"/>
      <c r="H341" s="1810"/>
      <c r="I341" s="1810"/>
      <c r="J341" s="1810"/>
      <c r="K341" s="1810"/>
      <c r="L341" s="1811"/>
      <c r="M341" s="9"/>
      <c r="N341" s="2252" t="s">
        <v>15</v>
      </c>
      <c r="O341" s="2237"/>
      <c r="P341" s="2237"/>
      <c r="Q341" s="2237"/>
      <c r="R341" s="2237"/>
      <c r="S341" s="2240"/>
      <c r="T341" s="2241"/>
      <c r="U341" s="2239"/>
      <c r="V341" s="2242"/>
      <c r="W341" s="2250"/>
      <c r="X341" s="2244"/>
      <c r="Y341" s="2244"/>
      <c r="Z341" s="2245"/>
      <c r="AA341" s="2246"/>
      <c r="AB341" s="2247"/>
      <c r="AC341" s="2248"/>
      <c r="AD341" s="2249"/>
      <c r="AE341" s="2249"/>
      <c r="AF341" s="2238"/>
      <c r="AG341" s="2264"/>
      <c r="AI341" s="2252" t="s">
        <v>15</v>
      </c>
      <c r="AJ341" s="2237"/>
      <c r="AK341" s="2237"/>
      <c r="AL341" s="2237"/>
      <c r="AM341" s="2237"/>
      <c r="AN341" s="2240"/>
      <c r="AO341" s="2241"/>
      <c r="AP341" s="2239"/>
      <c r="AQ341" s="2242"/>
      <c r="AR341" s="2250"/>
      <c r="AS341" s="2244"/>
      <c r="AT341" s="2244"/>
      <c r="AU341" s="2245"/>
      <c r="AV341" s="2246"/>
      <c r="AW341" s="2247"/>
      <c r="AX341" s="2248"/>
      <c r="AY341" s="2249"/>
      <c r="AZ341" s="2249"/>
      <c r="BA341" s="2238"/>
      <c r="BB341" s="2264"/>
      <c r="BD341" s="2252" t="s">
        <v>15</v>
      </c>
      <c r="BE341" s="2237"/>
      <c r="BF341" s="2237"/>
      <c r="BG341" s="2237"/>
      <c r="BH341" s="2237"/>
      <c r="BI341" s="2240"/>
      <c r="BJ341" s="2241"/>
      <c r="BK341" s="2239"/>
      <c r="BL341" s="2242"/>
      <c r="BM341" s="2250"/>
      <c r="BN341" s="2244"/>
      <c r="BO341" s="2244"/>
      <c r="BP341" s="2245"/>
      <c r="BQ341" s="2246"/>
      <c r="BR341" s="2247"/>
      <c r="BS341" s="2248"/>
      <c r="BT341" s="2249"/>
      <c r="BU341" s="2249"/>
      <c r="BV341" s="2238"/>
      <c r="BW341" s="2264"/>
      <c r="BY341" s="3">
        <v>1</v>
      </c>
    </row>
    <row r="342" spans="1:79" ht="21" customHeight="1" thickBot="1">
      <c r="B342" s="2266" t="str" cm="1">
        <f t="array" ref="B342">SUMPRODUCT(--(D342:J342&lt;&gt;""), LEN(TRIM(SUBSTITUTE(D342:J342, CHAR(160), "")))) &amp; " Car."</f>
        <v>0 Car.</v>
      </c>
      <c r="C342" s="2267" t="str">
        <f>IF(ISBLANK(D342),"",LARGE(C13:C341,1)+1)</f>
        <v/>
      </c>
      <c r="D342" s="2268"/>
      <c r="E342" s="2269"/>
      <c r="F342" s="2269"/>
      <c r="G342" s="2269"/>
      <c r="H342" s="2269"/>
      <c r="I342" s="2269"/>
      <c r="J342" s="2269"/>
      <c r="K342" s="2269"/>
      <c r="L342" s="2270"/>
      <c r="M342" s="9"/>
      <c r="N342" s="224" t="s">
        <v>10</v>
      </c>
      <c r="O342" s="224"/>
      <c r="P342" s="224"/>
      <c r="Q342" s="224"/>
      <c r="R342" s="224"/>
      <c r="S342" s="224"/>
      <c r="T342" s="224"/>
      <c r="U342" s="224"/>
      <c r="V342" s="224"/>
      <c r="W342" s="224"/>
      <c r="X342" s="224"/>
      <c r="Y342" s="224"/>
      <c r="Z342" s="224"/>
      <c r="AA342" s="224"/>
      <c r="AB342" s="224"/>
      <c r="AC342" s="224"/>
      <c r="AD342" s="224"/>
      <c r="AE342" s="224"/>
      <c r="AF342" s="224"/>
      <c r="AG342" s="224"/>
      <c r="AI342" s="224" t="s">
        <v>10</v>
      </c>
      <c r="AJ342" s="224"/>
      <c r="AK342" s="224"/>
      <c r="AL342" s="224"/>
      <c r="AM342" s="224"/>
      <c r="AN342" s="224"/>
      <c r="AO342" s="224"/>
      <c r="AP342" s="224"/>
      <c r="AQ342" s="224"/>
      <c r="AR342" s="224"/>
      <c r="AS342" s="224"/>
      <c r="AT342" s="224"/>
      <c r="AU342" s="224"/>
      <c r="AV342" s="224"/>
      <c r="AW342" s="224"/>
      <c r="AX342" s="224"/>
      <c r="AY342" s="224"/>
      <c r="AZ342" s="224"/>
      <c r="BA342" s="224"/>
      <c r="BB342" s="224"/>
      <c r="BD342" s="224" t="s">
        <v>10</v>
      </c>
      <c r="BE342" s="224"/>
      <c r="BF342" s="224"/>
      <c r="BG342" s="224"/>
      <c r="BH342" s="224"/>
      <c r="BI342" s="224"/>
      <c r="BJ342" s="224"/>
      <c r="BK342" s="224"/>
      <c r="BL342" s="224"/>
      <c r="BM342" s="224"/>
      <c r="BN342" s="224"/>
      <c r="BO342" s="224"/>
      <c r="BP342" s="224"/>
      <c r="BQ342" s="224"/>
      <c r="BR342" s="224"/>
      <c r="BS342" s="224"/>
      <c r="BT342" s="224"/>
      <c r="BU342" s="224"/>
      <c r="BV342" s="224"/>
      <c r="BW342" s="224"/>
      <c r="BY342" s="626" t="s">
        <v>793</v>
      </c>
    </row>
    <row r="343" spans="1:79" ht="21" customHeight="1">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v>1</v>
      </c>
      <c r="BG343" s="3">
        <v>1</v>
      </c>
      <c r="BH343" s="3">
        <v>1</v>
      </c>
      <c r="BI343" s="3">
        <v>1</v>
      </c>
      <c r="BJ343" s="3">
        <v>1</v>
      </c>
      <c r="BK343" s="3">
        <v>1</v>
      </c>
      <c r="BL343" s="3">
        <v>1</v>
      </c>
      <c r="BM343" s="3">
        <v>1</v>
      </c>
      <c r="BN343" s="3">
        <v>1</v>
      </c>
      <c r="BO343" s="3">
        <v>1</v>
      </c>
      <c r="BP343" s="3">
        <v>1</v>
      </c>
      <c r="BQ343" s="3">
        <v>1</v>
      </c>
      <c r="BR343" s="3">
        <v>1</v>
      </c>
      <c r="BS343" s="3">
        <v>1</v>
      </c>
      <c r="BT343" s="3">
        <v>1</v>
      </c>
      <c r="BU343" s="3">
        <v>1</v>
      </c>
      <c r="BV343" s="3">
        <v>1</v>
      </c>
      <c r="BW343" s="3">
        <v>1</v>
      </c>
      <c r="BX343" s="3">
        <v>1</v>
      </c>
      <c r="BY343" s="1" t="str">
        <f>ADDRESS(ROW(),COLUMN(),4)</f>
        <v>BY343</v>
      </c>
      <c r="BZ343" s="628"/>
      <c r="CA343" s="629" t="str">
        <f>ADDRESS(ROW(),COLUMN(),4)</f>
        <v>CA343</v>
      </c>
    </row>
  </sheetData>
  <mergeCells count="23">
    <mergeCell ref="AF18:AF19"/>
    <mergeCell ref="B9:L9"/>
    <mergeCell ref="AH1:AH2"/>
    <mergeCell ref="BX1:BX2"/>
    <mergeCell ref="N4:BS5"/>
    <mergeCell ref="BV4:BW7"/>
    <mergeCell ref="B8:L8"/>
    <mergeCell ref="AG18:AG19"/>
    <mergeCell ref="Y18:Y19"/>
    <mergeCell ref="B10:L10"/>
    <mergeCell ref="V10:AD11"/>
    <mergeCell ref="AE10:AF11"/>
    <mergeCell ref="AG10:AG11"/>
    <mergeCell ref="D13:L13"/>
    <mergeCell ref="W13:AC14"/>
    <mergeCell ref="U15:V15"/>
    <mergeCell ref="AD18:AD19"/>
    <mergeCell ref="AE18:AE19"/>
    <mergeCell ref="U16:W16"/>
    <mergeCell ref="V18:V19"/>
    <mergeCell ref="W18:W19"/>
    <mergeCell ref="X18:X19"/>
    <mergeCell ref="AC18:AC19"/>
  </mergeCells>
  <conditionalFormatting sqref="X20:X25">
    <cfRule type="cellIs" dxfId="42" priority="1" operator="notEqual">
      <formula>1</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A57D9-2198-462B-AC9F-67C852B571D6}">
  <dimension ref="A1:L466"/>
  <sheetViews>
    <sheetView workbookViewId="0">
      <selection activeCell="J457" sqref="J457:J462"/>
    </sheetView>
  </sheetViews>
  <sheetFormatPr baseColWidth="10" defaultRowHeight="15"/>
  <cols>
    <col min="1" max="1" width="6.28515625" customWidth="1"/>
    <col min="2" max="2" width="11.85546875" customWidth="1"/>
    <col min="3" max="3" width="11.7109375" customWidth="1"/>
    <col min="4" max="4" width="93.42578125" customWidth="1"/>
    <col min="5" max="5" width="10" customWidth="1"/>
    <col min="6" max="6" width="11.7109375" customWidth="1"/>
    <col min="7" max="7" width="85.140625" customWidth="1"/>
    <col min="8" max="8" width="11.140625" customWidth="1"/>
    <col min="9" max="9" width="12.5703125" customWidth="1"/>
    <col min="10" max="10" width="106.7109375" customWidth="1"/>
    <col min="11" max="11" width="18.85546875" customWidth="1"/>
  </cols>
  <sheetData>
    <row r="1" spans="2:12">
      <c r="B1" s="5494" t="str">
        <f t="shared" ref="B1:J1" si="0">SUBSTITUTE(ADDRESS(1,COLUMN(),4),"1","")</f>
        <v>B</v>
      </c>
      <c r="C1" s="5494" t="str">
        <f t="shared" si="0"/>
        <v>C</v>
      </c>
      <c r="D1" s="5494" t="str">
        <f t="shared" si="0"/>
        <v>D</v>
      </c>
      <c r="E1" s="5494" t="str">
        <f t="shared" si="0"/>
        <v>E</v>
      </c>
      <c r="F1" s="5494" t="str">
        <f t="shared" si="0"/>
        <v>F</v>
      </c>
      <c r="G1" s="5494" t="str">
        <f t="shared" si="0"/>
        <v>G</v>
      </c>
      <c r="H1" s="5494" t="str">
        <f t="shared" si="0"/>
        <v>H</v>
      </c>
      <c r="I1" s="5494" t="str">
        <f t="shared" si="0"/>
        <v>I</v>
      </c>
      <c r="J1" s="5494" t="str">
        <f t="shared" si="0"/>
        <v>J</v>
      </c>
      <c r="K1" s="6628" t="s">
        <v>8774</v>
      </c>
      <c r="L1" s="3">
        <v>1</v>
      </c>
    </row>
    <row r="2" spans="2:12">
      <c r="B2" s="694">
        <f t="shared" ref="B2:J2" ca="1" si="1">CELL("largeur",B2)</f>
        <v>11</v>
      </c>
      <c r="C2" s="694">
        <f t="shared" ca="1" si="1"/>
        <v>11</v>
      </c>
      <c r="D2" s="694">
        <f t="shared" ca="1" si="1"/>
        <v>93</v>
      </c>
      <c r="E2" s="694">
        <f t="shared" ca="1" si="1"/>
        <v>9</v>
      </c>
      <c r="F2" s="694">
        <f t="shared" ca="1" si="1"/>
        <v>11</v>
      </c>
      <c r="G2" s="694">
        <f t="shared" ca="1" si="1"/>
        <v>84</v>
      </c>
      <c r="H2" s="694">
        <f t="shared" ca="1" si="1"/>
        <v>10</v>
      </c>
      <c r="I2" s="694">
        <f t="shared" ca="1" si="1"/>
        <v>12</v>
      </c>
      <c r="J2" s="694">
        <f t="shared" ca="1" si="1"/>
        <v>106</v>
      </c>
      <c r="K2" s="6628"/>
      <c r="L2" s="3">
        <v>1</v>
      </c>
    </row>
    <row r="3" spans="2:12">
      <c r="B3" s="2069">
        <v>11</v>
      </c>
      <c r="C3" s="2069">
        <v>11</v>
      </c>
      <c r="D3" s="2069">
        <v>93</v>
      </c>
      <c r="E3" s="2069">
        <v>9</v>
      </c>
      <c r="F3" s="2069">
        <v>11</v>
      </c>
      <c r="G3" s="2069">
        <v>84</v>
      </c>
      <c r="H3" s="2069">
        <v>10</v>
      </c>
      <c r="I3" s="2069">
        <v>12</v>
      </c>
      <c r="J3" s="2069">
        <v>106</v>
      </c>
      <c r="K3" s="2066" t="s">
        <v>8779</v>
      </c>
      <c r="L3" s="3">
        <v>1</v>
      </c>
    </row>
    <row r="4" spans="2:12">
      <c r="D4" s="2335"/>
      <c r="G4" s="9"/>
      <c r="J4" s="9"/>
      <c r="K4" s="9"/>
      <c r="L4" s="3">
        <v>1</v>
      </c>
    </row>
    <row r="5" spans="2:12">
      <c r="B5" s="5982">
        <v>1</v>
      </c>
      <c r="C5" s="5982">
        <v>2</v>
      </c>
      <c r="D5" s="5983" t="s">
        <v>14238</v>
      </c>
      <c r="E5" s="5984">
        <v>1</v>
      </c>
      <c r="F5" s="5984">
        <v>2</v>
      </c>
      <c r="G5" s="5985" t="s">
        <v>14239</v>
      </c>
      <c r="H5" s="5986">
        <v>1</v>
      </c>
      <c r="I5" s="5986">
        <v>2</v>
      </c>
      <c r="J5" s="5987" t="s">
        <v>14240</v>
      </c>
      <c r="K5" s="9"/>
      <c r="L5" s="3">
        <v>1</v>
      </c>
    </row>
    <row r="6" spans="2:12">
      <c r="D6" s="2335"/>
      <c r="G6" s="9"/>
      <c r="J6" s="9"/>
      <c r="K6" s="9"/>
      <c r="L6" s="3">
        <v>1</v>
      </c>
    </row>
    <row r="7" spans="2:12" ht="15.75">
      <c r="B7" s="2336"/>
      <c r="C7" s="2336"/>
      <c r="D7" s="2336" t="s">
        <v>794</v>
      </c>
      <c r="E7" s="2337"/>
      <c r="F7" s="2337"/>
      <c r="G7" s="2337" t="s">
        <v>795</v>
      </c>
      <c r="H7" s="2338"/>
      <c r="I7" s="2338"/>
      <c r="J7" s="2338" t="s">
        <v>796</v>
      </c>
      <c r="K7" s="9"/>
      <c r="L7" s="3">
        <v>1</v>
      </c>
    </row>
    <row r="8" spans="2:12">
      <c r="B8" s="5492" t="str">
        <f>SUMPRODUCT(--(D8&lt;&gt;""), LEN(TRIM(SUBSTITUTE(D8, CHAR(160), "")))) &amp; " Car."</f>
        <v>10 Car.</v>
      </c>
      <c r="C8" s="5493" t="str">
        <f t="shared" ref="C8:C71" si="2">"ligne "&amp;ROW()&amp;" ►"</f>
        <v>ligne 8 ►</v>
      </c>
      <c r="D8" s="9" t="s">
        <v>44</v>
      </c>
      <c r="E8" s="5492" t="str">
        <f>SUMPRODUCT(--(G8&lt;&gt;""), LEN(TRIM(SUBSTITUTE(G8, CHAR(160), "")))) &amp; " Car."</f>
        <v>10 Car.</v>
      </c>
      <c r="F8" s="5493" t="str">
        <f t="shared" ref="F8:F71" si="3">"ligne "&amp;ROW()&amp;" ►"</f>
        <v>ligne 8 ►</v>
      </c>
      <c r="G8" s="9" t="s">
        <v>46</v>
      </c>
      <c r="H8" s="5492" t="str">
        <f>SUMPRODUCT(--(J8&lt;&gt;""), LEN(TRIM(SUBSTITUTE(J8, CHAR(160), "")))) &amp; " Car."</f>
        <v>10 Car.</v>
      </c>
      <c r="I8" s="5493" t="str">
        <f t="shared" ref="I8:I71" si="4">"ligne "&amp;ROW()&amp;" ►"</f>
        <v>ligne 8 ►</v>
      </c>
      <c r="J8" s="9" t="s">
        <v>48</v>
      </c>
      <c r="L8" s="3">
        <v>1</v>
      </c>
    </row>
    <row r="9" spans="2:12">
      <c r="B9" s="5492" t="str">
        <f t="shared" ref="B9:B72" si="5">SUMPRODUCT(--(D9&lt;&gt;""), LEN(TRIM(SUBSTITUTE(D9, CHAR(160), "")))) &amp; " Car."</f>
        <v>7 Car.</v>
      </c>
      <c r="C9" s="5493" t="str">
        <f t="shared" si="2"/>
        <v>ligne 9 ►</v>
      </c>
      <c r="D9" s="9" t="s">
        <v>95</v>
      </c>
      <c r="E9" s="5492" t="str">
        <f t="shared" ref="E9:E72" si="6">SUMPRODUCT(--(G9&lt;&gt;""), LEN(TRIM(SUBSTITUTE(G9, CHAR(160), "")))) &amp; " Car."</f>
        <v>10 Car.</v>
      </c>
      <c r="F9" s="5493" t="str">
        <f t="shared" si="3"/>
        <v>ligne 9 ►</v>
      </c>
      <c r="G9" s="9" t="s">
        <v>231</v>
      </c>
      <c r="H9" s="5492" t="str">
        <f t="shared" ref="H9:H72" si="7">SUMPRODUCT(--(J9&lt;&gt;""), LEN(TRIM(SUBSTITUTE(J9, CHAR(160), "")))) &amp; " Car."</f>
        <v>7 Car.</v>
      </c>
      <c r="I9" s="5493" t="str">
        <f t="shared" si="4"/>
        <v>ligne 9 ►</v>
      </c>
      <c r="J9" s="9" t="s">
        <v>279</v>
      </c>
      <c r="L9" s="3">
        <v>1</v>
      </c>
    </row>
    <row r="10" spans="2:12">
      <c r="B10" s="5492" t="str">
        <f t="shared" si="5"/>
        <v>20 Car.</v>
      </c>
      <c r="C10" s="5493" t="str">
        <f t="shared" si="2"/>
        <v>ligne 10 ►</v>
      </c>
      <c r="D10" s="9" t="s">
        <v>86</v>
      </c>
      <c r="E10" s="5492" t="str">
        <f t="shared" si="6"/>
        <v>23 Car.</v>
      </c>
      <c r="F10" s="5493" t="str">
        <f t="shared" si="3"/>
        <v>ligne 10 ►</v>
      </c>
      <c r="G10" s="9" t="s">
        <v>244</v>
      </c>
      <c r="H10" s="5492" t="str">
        <f t="shared" si="7"/>
        <v>19 Car.</v>
      </c>
      <c r="I10" s="5493" t="str">
        <f t="shared" si="4"/>
        <v>ligne 10 ►</v>
      </c>
      <c r="J10" s="9" t="s">
        <v>249</v>
      </c>
      <c r="L10" s="3">
        <v>1</v>
      </c>
    </row>
    <row r="11" spans="2:12">
      <c r="B11" s="5492" t="str">
        <f t="shared" si="5"/>
        <v>36 Car.</v>
      </c>
      <c r="C11" s="5493" t="str">
        <f t="shared" si="2"/>
        <v>ligne 11 ►</v>
      </c>
      <c r="D11" s="9" t="s">
        <v>269</v>
      </c>
      <c r="E11" s="5492" t="str">
        <f t="shared" si="6"/>
        <v>41 Car.</v>
      </c>
      <c r="F11" s="5493" t="str">
        <f t="shared" si="3"/>
        <v>ligne 11 ►</v>
      </c>
      <c r="G11" s="9" t="s">
        <v>272</v>
      </c>
      <c r="H11" s="5492" t="str">
        <f t="shared" si="7"/>
        <v>38 Car.</v>
      </c>
      <c r="I11" s="5493" t="str">
        <f t="shared" si="4"/>
        <v>ligne 11 ►</v>
      </c>
      <c r="J11" s="9" t="s">
        <v>275</v>
      </c>
      <c r="L11" s="3">
        <v>1</v>
      </c>
    </row>
    <row r="12" spans="2:12" ht="15" customHeight="1">
      <c r="B12" s="5492" t="str">
        <f t="shared" si="5"/>
        <v>7 Car.</v>
      </c>
      <c r="C12" s="5493" t="str">
        <f t="shared" si="2"/>
        <v>ligne 12 ►</v>
      </c>
      <c r="D12" s="9" t="s">
        <v>270</v>
      </c>
      <c r="E12" s="5492" t="str">
        <f t="shared" si="6"/>
        <v>6 Car.</v>
      </c>
      <c r="F12" s="5493" t="str">
        <f t="shared" si="3"/>
        <v>ligne 12 ►</v>
      </c>
      <c r="G12" s="9" t="s">
        <v>273</v>
      </c>
      <c r="H12" s="5492" t="str">
        <f t="shared" si="7"/>
        <v>7 Car.</v>
      </c>
      <c r="I12" s="5493" t="str">
        <f t="shared" si="4"/>
        <v>ligne 12 ►</v>
      </c>
      <c r="J12" s="9" t="s">
        <v>276</v>
      </c>
      <c r="L12" s="3">
        <v>1</v>
      </c>
    </row>
    <row r="13" spans="2:12">
      <c r="B13" s="5492" t="str">
        <f t="shared" si="5"/>
        <v>36 Car.</v>
      </c>
      <c r="C13" s="5493" t="str">
        <f t="shared" si="2"/>
        <v>ligne 13 ►</v>
      </c>
      <c r="D13" s="9" t="s">
        <v>271</v>
      </c>
      <c r="E13" s="5492" t="str">
        <f t="shared" si="6"/>
        <v>39 Car.</v>
      </c>
      <c r="F13" s="5493" t="str">
        <f t="shared" si="3"/>
        <v>ligne 13 ►</v>
      </c>
      <c r="G13" s="9" t="s">
        <v>274</v>
      </c>
      <c r="H13" s="5492" t="str">
        <f t="shared" si="7"/>
        <v>37 Car.</v>
      </c>
      <c r="I13" s="5493" t="str">
        <f t="shared" si="4"/>
        <v>ligne 13 ►</v>
      </c>
      <c r="J13" s="9" t="s">
        <v>277</v>
      </c>
      <c r="L13" s="3">
        <v>1</v>
      </c>
    </row>
    <row r="14" spans="2:12">
      <c r="B14" s="5492" t="str">
        <f t="shared" si="5"/>
        <v>30 Car.</v>
      </c>
      <c r="C14" s="5493" t="str">
        <f t="shared" si="2"/>
        <v>ligne 14 ►</v>
      </c>
      <c r="D14" s="9" t="s">
        <v>412</v>
      </c>
      <c r="E14" s="5492" t="str">
        <f t="shared" si="6"/>
        <v>24 Car.</v>
      </c>
      <c r="F14" s="5493" t="str">
        <f t="shared" si="3"/>
        <v>ligne 14 ►</v>
      </c>
      <c r="G14" s="9" t="s">
        <v>413</v>
      </c>
      <c r="H14" s="5492" t="str">
        <f t="shared" si="7"/>
        <v>21 Car.</v>
      </c>
      <c r="I14" s="5493" t="str">
        <f t="shared" si="4"/>
        <v>ligne 14 ►</v>
      </c>
      <c r="J14" s="9" t="s">
        <v>414</v>
      </c>
      <c r="L14" s="3">
        <v>1</v>
      </c>
    </row>
    <row r="15" spans="2:12">
      <c r="B15" s="5492" t="str">
        <f t="shared" si="5"/>
        <v>57 Car.</v>
      </c>
      <c r="C15" s="5493" t="str">
        <f t="shared" si="2"/>
        <v>ligne 15 ►</v>
      </c>
      <c r="D15" s="9" t="s">
        <v>433</v>
      </c>
      <c r="E15" s="5492" t="str">
        <f t="shared" si="6"/>
        <v>49 Car.</v>
      </c>
      <c r="F15" s="5493" t="str">
        <f t="shared" si="3"/>
        <v>ligne 15 ►</v>
      </c>
      <c r="G15" s="9" t="s">
        <v>434</v>
      </c>
      <c r="H15" s="5492" t="str">
        <f t="shared" si="7"/>
        <v>53 Car.</v>
      </c>
      <c r="I15" s="5493" t="str">
        <f t="shared" si="4"/>
        <v>ligne 15 ►</v>
      </c>
      <c r="J15" s="9" t="s">
        <v>435</v>
      </c>
      <c r="L15" s="3">
        <v>1</v>
      </c>
    </row>
    <row r="16" spans="2:12">
      <c r="B16" s="5492" t="str">
        <f t="shared" si="5"/>
        <v>31 Car.</v>
      </c>
      <c r="C16" s="5493" t="str">
        <f t="shared" si="2"/>
        <v>ligne 16 ►</v>
      </c>
      <c r="D16" s="9" t="s">
        <v>498</v>
      </c>
      <c r="E16" s="5492" t="str">
        <f t="shared" si="6"/>
        <v>26 Car.</v>
      </c>
      <c r="F16" s="5493" t="str">
        <f t="shared" si="3"/>
        <v>ligne 16 ►</v>
      </c>
      <c r="G16" s="9" t="s">
        <v>500</v>
      </c>
      <c r="H16" s="5492" t="str">
        <f t="shared" si="7"/>
        <v>31 Car.</v>
      </c>
      <c r="I16" s="5493" t="str">
        <f t="shared" si="4"/>
        <v>ligne 16 ►</v>
      </c>
      <c r="J16" s="9" t="s">
        <v>502</v>
      </c>
      <c r="L16" s="3">
        <v>1</v>
      </c>
    </row>
    <row r="17" spans="2:12">
      <c r="B17" s="5492" t="str">
        <f t="shared" si="5"/>
        <v>16 Car.</v>
      </c>
      <c r="C17" s="5493" t="str">
        <f t="shared" si="2"/>
        <v>ligne 17 ►</v>
      </c>
      <c r="D17" s="9" t="s">
        <v>510</v>
      </c>
      <c r="E17" s="5492" t="str">
        <f t="shared" si="6"/>
        <v>16 Car.</v>
      </c>
      <c r="F17" s="5493" t="str">
        <f t="shared" si="3"/>
        <v>ligne 17 ►</v>
      </c>
      <c r="G17" s="9" t="s">
        <v>511</v>
      </c>
      <c r="H17" s="5492" t="str">
        <f t="shared" si="7"/>
        <v>15 Car.</v>
      </c>
      <c r="I17" s="5493" t="str">
        <f t="shared" si="4"/>
        <v>ligne 17 ►</v>
      </c>
      <c r="J17" s="9" t="s">
        <v>512</v>
      </c>
      <c r="L17" s="3">
        <v>1</v>
      </c>
    </row>
    <row r="18" spans="2:12">
      <c r="B18" s="5492" t="str">
        <f t="shared" si="5"/>
        <v>4 Car.</v>
      </c>
      <c r="C18" s="5493" t="str">
        <f t="shared" si="2"/>
        <v>ligne 18 ►</v>
      </c>
      <c r="D18" s="9" t="s">
        <v>529</v>
      </c>
      <c r="E18" s="5492" t="str">
        <f t="shared" si="6"/>
        <v>5 Car.</v>
      </c>
      <c r="F18" s="5493" t="str">
        <f t="shared" si="3"/>
        <v>ligne 18 ►</v>
      </c>
      <c r="G18" s="9" t="s">
        <v>531</v>
      </c>
      <c r="H18" s="5492" t="str">
        <f t="shared" si="7"/>
        <v>6 Car.</v>
      </c>
      <c r="I18" s="5493" t="str">
        <f t="shared" si="4"/>
        <v>ligne 18 ►</v>
      </c>
      <c r="J18" s="9" t="s">
        <v>533</v>
      </c>
      <c r="L18" s="3">
        <v>1</v>
      </c>
    </row>
    <row r="19" spans="2:12">
      <c r="B19" s="5492" t="str">
        <f t="shared" si="5"/>
        <v>69 Car.</v>
      </c>
      <c r="C19" s="5493" t="str">
        <f t="shared" si="2"/>
        <v>ligne 19 ►</v>
      </c>
      <c r="D19" s="9" t="s">
        <v>197</v>
      </c>
      <c r="E19" s="5492" t="str">
        <f t="shared" si="6"/>
        <v>63 Car.</v>
      </c>
      <c r="F19" s="5493" t="str">
        <f t="shared" si="3"/>
        <v>ligne 19 ►</v>
      </c>
      <c r="G19" s="9" t="s">
        <v>689</v>
      </c>
      <c r="H19" s="5492" t="str">
        <f t="shared" si="7"/>
        <v>70 Car.</v>
      </c>
      <c r="I19" s="5493" t="str">
        <f t="shared" si="4"/>
        <v>ligne 19 ►</v>
      </c>
      <c r="J19" s="9" t="s">
        <v>691</v>
      </c>
      <c r="L19" s="3">
        <v>1</v>
      </c>
    </row>
    <row r="20" spans="2:12">
      <c r="B20" s="5492" t="str">
        <f t="shared" si="5"/>
        <v>14 Car.</v>
      </c>
      <c r="C20" s="5493" t="str">
        <f t="shared" si="2"/>
        <v>ligne 20 ►</v>
      </c>
      <c r="D20" s="9" t="s">
        <v>9095</v>
      </c>
      <c r="E20" s="5492" t="str">
        <f t="shared" si="6"/>
        <v>20 Car.</v>
      </c>
      <c r="F20" s="5493" t="str">
        <f t="shared" si="3"/>
        <v>ligne 20 ►</v>
      </c>
      <c r="G20" s="9" t="s">
        <v>9096</v>
      </c>
      <c r="H20" s="5492" t="str">
        <f t="shared" si="7"/>
        <v>13 Car.</v>
      </c>
      <c r="I20" s="5493" t="str">
        <f t="shared" si="4"/>
        <v>ligne 20 ►</v>
      </c>
      <c r="J20" s="9" t="s">
        <v>9097</v>
      </c>
      <c r="L20" s="3">
        <v>1</v>
      </c>
    </row>
    <row r="21" spans="2:12">
      <c r="B21" s="5492" t="str">
        <f t="shared" si="5"/>
        <v>14 Car.</v>
      </c>
      <c r="C21" s="5493" t="str">
        <f t="shared" si="2"/>
        <v>ligne 21 ►</v>
      </c>
      <c r="D21" s="9" t="s">
        <v>9098</v>
      </c>
      <c r="E21" s="5492" t="str">
        <f t="shared" si="6"/>
        <v>20 Car.</v>
      </c>
      <c r="F21" s="5493" t="str">
        <f t="shared" si="3"/>
        <v>ligne 21 ►</v>
      </c>
      <c r="G21" s="9" t="s">
        <v>9099</v>
      </c>
      <c r="H21" s="5492" t="str">
        <f t="shared" si="7"/>
        <v>14 Car.</v>
      </c>
      <c r="I21" s="5493" t="str">
        <f t="shared" si="4"/>
        <v>ligne 21 ►</v>
      </c>
      <c r="J21" s="9" t="s">
        <v>9100</v>
      </c>
      <c r="L21" s="3">
        <v>1</v>
      </c>
    </row>
    <row r="22" spans="2:12">
      <c r="B22" s="5492" t="str">
        <f t="shared" si="5"/>
        <v>70 Car.</v>
      </c>
      <c r="C22" s="5493" t="str">
        <f t="shared" si="2"/>
        <v>ligne 22 ►</v>
      </c>
      <c r="D22" s="9" t="s">
        <v>9319</v>
      </c>
      <c r="E22" s="5492" t="str">
        <f t="shared" si="6"/>
        <v>71 Car.</v>
      </c>
      <c r="F22" s="5493" t="str">
        <f t="shared" si="3"/>
        <v>ligne 22 ►</v>
      </c>
      <c r="G22" s="9" t="s">
        <v>9320</v>
      </c>
      <c r="H22" s="5492" t="str">
        <f t="shared" si="7"/>
        <v>71 Car.</v>
      </c>
      <c r="I22" s="5493" t="str">
        <f t="shared" si="4"/>
        <v>ligne 22 ►</v>
      </c>
      <c r="J22" s="9" t="s">
        <v>9321</v>
      </c>
      <c r="L22" s="3">
        <v>1</v>
      </c>
    </row>
    <row r="23" spans="2:12">
      <c r="B23" s="5492" t="str">
        <f t="shared" si="5"/>
        <v>11 Car.</v>
      </c>
      <c r="C23" s="5493" t="str">
        <f t="shared" si="2"/>
        <v>ligne 23 ►</v>
      </c>
      <c r="D23" s="9" t="s">
        <v>822</v>
      </c>
      <c r="E23" s="5492" t="str">
        <f t="shared" si="6"/>
        <v>11 Car.</v>
      </c>
      <c r="F23" s="5493" t="str">
        <f t="shared" si="3"/>
        <v>ligne 23 ►</v>
      </c>
      <c r="G23" s="9" t="s">
        <v>667</v>
      </c>
      <c r="H23" s="5492" t="str">
        <f t="shared" si="7"/>
        <v>12 Car.</v>
      </c>
      <c r="I23" s="5493" t="str">
        <f t="shared" si="4"/>
        <v>ligne 23 ►</v>
      </c>
      <c r="J23" s="9" t="s">
        <v>668</v>
      </c>
      <c r="L23" s="3">
        <v>1</v>
      </c>
    </row>
    <row r="24" spans="2:12">
      <c r="B24" s="5492" t="str">
        <f t="shared" si="5"/>
        <v>15 Car.</v>
      </c>
      <c r="C24" s="5493" t="str">
        <f t="shared" si="2"/>
        <v>ligne 24 ►</v>
      </c>
      <c r="D24" s="9" t="s">
        <v>669</v>
      </c>
      <c r="E24" s="5492" t="str">
        <f t="shared" si="6"/>
        <v>16 Car.</v>
      </c>
      <c r="F24" s="5493" t="str">
        <f t="shared" si="3"/>
        <v>ligne 24 ►</v>
      </c>
      <c r="G24" s="9" t="s">
        <v>670</v>
      </c>
      <c r="H24" s="5492" t="str">
        <f t="shared" si="7"/>
        <v>15 Car.</v>
      </c>
      <c r="I24" s="5493" t="str">
        <f t="shared" si="4"/>
        <v>ligne 24 ►</v>
      </c>
      <c r="J24" s="9" t="s">
        <v>671</v>
      </c>
      <c r="L24" s="3">
        <v>1</v>
      </c>
    </row>
    <row r="25" spans="2:12">
      <c r="B25" s="5492" t="str">
        <f t="shared" si="5"/>
        <v>19 Car.</v>
      </c>
      <c r="C25" s="5493" t="str">
        <f t="shared" si="2"/>
        <v>ligne 25 ►</v>
      </c>
      <c r="D25" s="9" t="s">
        <v>198</v>
      </c>
      <c r="E25" s="5492" t="str">
        <f t="shared" si="6"/>
        <v>20 Car.</v>
      </c>
      <c r="F25" s="5493" t="str">
        <f t="shared" si="3"/>
        <v>ligne 25 ►</v>
      </c>
      <c r="G25" s="9" t="s">
        <v>674</v>
      </c>
      <c r="H25" s="5492" t="str">
        <f t="shared" si="7"/>
        <v>17 Car.</v>
      </c>
      <c r="I25" s="5493" t="str">
        <f t="shared" si="4"/>
        <v>ligne 25 ►</v>
      </c>
      <c r="J25" s="9" t="s">
        <v>675</v>
      </c>
      <c r="L25" s="3">
        <v>1</v>
      </c>
    </row>
    <row r="26" spans="2:12">
      <c r="B26" s="5492" t="str">
        <f t="shared" si="5"/>
        <v>21 Car.</v>
      </c>
      <c r="C26" s="5493" t="str">
        <f t="shared" si="2"/>
        <v>ligne 26 ►</v>
      </c>
      <c r="D26" s="9" t="s">
        <v>9132</v>
      </c>
      <c r="E26" s="5492" t="str">
        <f t="shared" si="6"/>
        <v>23 Car.</v>
      </c>
      <c r="F26" s="5493" t="str">
        <f t="shared" si="3"/>
        <v>ligne 26 ►</v>
      </c>
      <c r="G26" s="9" t="s">
        <v>9133</v>
      </c>
      <c r="H26" s="5492" t="str">
        <f t="shared" si="7"/>
        <v>20 Car.</v>
      </c>
      <c r="I26" s="5493" t="str">
        <f t="shared" si="4"/>
        <v>ligne 26 ►</v>
      </c>
      <c r="J26" s="9" t="s">
        <v>9134</v>
      </c>
      <c r="L26" s="3">
        <v>1</v>
      </c>
    </row>
    <row r="27" spans="2:12">
      <c r="B27" s="5492" t="str">
        <f t="shared" si="5"/>
        <v>99 Car.</v>
      </c>
      <c r="C27" s="5493" t="str">
        <f t="shared" si="2"/>
        <v>ligne 27 ►</v>
      </c>
      <c r="D27" s="9" t="s">
        <v>9074</v>
      </c>
      <c r="E27" s="5492" t="str">
        <f t="shared" si="6"/>
        <v>75 Car.</v>
      </c>
      <c r="F27" s="5493" t="str">
        <f t="shared" si="3"/>
        <v>ligne 27 ►</v>
      </c>
      <c r="G27" s="9" t="s">
        <v>3092</v>
      </c>
      <c r="H27" s="5492" t="str">
        <f t="shared" si="7"/>
        <v>95 Car.</v>
      </c>
      <c r="I27" s="5493" t="str">
        <f t="shared" si="4"/>
        <v>ligne 27 ►</v>
      </c>
      <c r="J27" s="9" t="s">
        <v>3097</v>
      </c>
      <c r="L27" s="3">
        <v>1</v>
      </c>
    </row>
    <row r="28" spans="2:12">
      <c r="B28" s="5492" t="str">
        <f t="shared" si="5"/>
        <v>36 Car.</v>
      </c>
      <c r="C28" s="5493" t="str">
        <f t="shared" si="2"/>
        <v>ligne 28 ►</v>
      </c>
      <c r="D28" s="9" t="s">
        <v>9153</v>
      </c>
      <c r="E28" s="5492" t="str">
        <f t="shared" si="6"/>
        <v>34 Car.</v>
      </c>
      <c r="F28" s="5493" t="str">
        <f t="shared" si="3"/>
        <v>ligne 28 ►</v>
      </c>
      <c r="G28" s="9" t="s">
        <v>9154</v>
      </c>
      <c r="H28" s="5492" t="str">
        <f t="shared" si="7"/>
        <v>39 Car.</v>
      </c>
      <c r="I28" s="5493" t="str">
        <f t="shared" si="4"/>
        <v>ligne 28 ►</v>
      </c>
      <c r="J28" s="9" t="s">
        <v>9155</v>
      </c>
      <c r="L28" s="3">
        <v>1</v>
      </c>
    </row>
    <row r="29" spans="2:12">
      <c r="B29" s="5492" t="str">
        <f t="shared" si="5"/>
        <v>36 Car.</v>
      </c>
      <c r="C29" s="5493" t="str">
        <f t="shared" si="2"/>
        <v>ligne 29 ►</v>
      </c>
      <c r="D29" s="9" t="s">
        <v>9153</v>
      </c>
      <c r="E29" s="5492" t="str">
        <f t="shared" si="6"/>
        <v>34 Car.</v>
      </c>
      <c r="F29" s="5493" t="str">
        <f t="shared" si="3"/>
        <v>ligne 29 ►</v>
      </c>
      <c r="G29" s="9" t="s">
        <v>9154</v>
      </c>
      <c r="H29" s="5492" t="str">
        <f t="shared" si="7"/>
        <v>39 Car.</v>
      </c>
      <c r="I29" s="5493" t="str">
        <f t="shared" si="4"/>
        <v>ligne 29 ►</v>
      </c>
      <c r="J29" s="9" t="s">
        <v>9155</v>
      </c>
      <c r="L29" s="3">
        <v>1</v>
      </c>
    </row>
    <row r="30" spans="2:12" ht="15" customHeight="1">
      <c r="B30" s="5492" t="str">
        <f t="shared" si="5"/>
        <v>117 Car.</v>
      </c>
      <c r="C30" s="5493" t="str">
        <f t="shared" si="2"/>
        <v>ligne 30 ►</v>
      </c>
      <c r="D30" s="9" t="s">
        <v>9023</v>
      </c>
      <c r="E30" s="5492" t="str">
        <f t="shared" si="6"/>
        <v>94 Car.</v>
      </c>
      <c r="F30" s="5493" t="str">
        <f t="shared" si="3"/>
        <v>ligne 30 ►</v>
      </c>
      <c r="G30" s="9" t="s">
        <v>9024</v>
      </c>
      <c r="H30" s="5492" t="str">
        <f t="shared" si="7"/>
        <v>114 Car.</v>
      </c>
      <c r="I30" s="5493" t="str">
        <f t="shared" si="4"/>
        <v>ligne 30 ►</v>
      </c>
      <c r="J30" s="9" t="s">
        <v>9025</v>
      </c>
      <c r="L30" s="3">
        <v>1</v>
      </c>
    </row>
    <row r="31" spans="2:12">
      <c r="B31" s="5492" t="str">
        <f t="shared" si="5"/>
        <v>50 Car.</v>
      </c>
      <c r="C31" s="5493" t="str">
        <f t="shared" si="2"/>
        <v>ligne 31 ►</v>
      </c>
      <c r="D31" s="9" t="s">
        <v>495</v>
      </c>
      <c r="E31" s="5492" t="str">
        <f t="shared" si="6"/>
        <v>44 Car.</v>
      </c>
      <c r="F31" s="5493" t="str">
        <f t="shared" si="3"/>
        <v>ligne 31 ►</v>
      </c>
      <c r="G31" s="9" t="s">
        <v>496</v>
      </c>
      <c r="H31" s="5492" t="str">
        <f t="shared" si="7"/>
        <v>41 Car.</v>
      </c>
      <c r="I31" s="5493" t="str">
        <f t="shared" si="4"/>
        <v>ligne 31 ►</v>
      </c>
      <c r="J31" s="9" t="s">
        <v>497</v>
      </c>
      <c r="L31" s="3">
        <v>1</v>
      </c>
    </row>
    <row r="32" spans="2:12">
      <c r="B32" s="5492" t="str">
        <f t="shared" si="5"/>
        <v>90 Car.</v>
      </c>
      <c r="C32" s="5493" t="str">
        <f t="shared" si="2"/>
        <v>ligne 32 ►</v>
      </c>
      <c r="D32" s="9" t="s">
        <v>516</v>
      </c>
      <c r="E32" s="5492" t="str">
        <f t="shared" si="6"/>
        <v>81 Car.</v>
      </c>
      <c r="F32" s="5493" t="str">
        <f t="shared" si="3"/>
        <v>ligne 32 ►</v>
      </c>
      <c r="G32" s="9" t="s">
        <v>517</v>
      </c>
      <c r="H32" s="5492" t="str">
        <f t="shared" si="7"/>
        <v>82 Car.</v>
      </c>
      <c r="I32" s="5493" t="str">
        <f t="shared" si="4"/>
        <v>ligne 32 ►</v>
      </c>
      <c r="J32" s="9" t="s">
        <v>518</v>
      </c>
      <c r="L32" s="3">
        <v>1</v>
      </c>
    </row>
    <row r="33" spans="2:12">
      <c r="B33" s="5492" t="str">
        <f t="shared" si="5"/>
        <v>90 Car.</v>
      </c>
      <c r="C33" s="5493" t="str">
        <f t="shared" si="2"/>
        <v>ligne 33 ►</v>
      </c>
      <c r="D33" s="9" t="s">
        <v>706</v>
      </c>
      <c r="E33" s="5492" t="str">
        <f t="shared" si="6"/>
        <v>80 Car.</v>
      </c>
      <c r="F33" s="5493" t="str">
        <f t="shared" si="3"/>
        <v>ligne 33 ►</v>
      </c>
      <c r="G33" s="9" t="s">
        <v>707</v>
      </c>
      <c r="H33" s="5492" t="str">
        <f t="shared" si="7"/>
        <v>91 Car.</v>
      </c>
      <c r="I33" s="5493" t="str">
        <f t="shared" si="4"/>
        <v>ligne 33 ►</v>
      </c>
      <c r="J33" s="9" t="s">
        <v>708</v>
      </c>
      <c r="L33" s="3">
        <v>1</v>
      </c>
    </row>
    <row r="34" spans="2:12">
      <c r="B34" s="5492" t="str">
        <f t="shared" si="5"/>
        <v>67 Car.</v>
      </c>
      <c r="C34" s="5493" t="str">
        <f t="shared" si="2"/>
        <v>ligne 34 ►</v>
      </c>
      <c r="D34" s="9" t="s">
        <v>9077</v>
      </c>
      <c r="E34" s="5492" t="str">
        <f t="shared" si="6"/>
        <v>57 Car.</v>
      </c>
      <c r="F34" s="5493" t="str">
        <f t="shared" si="3"/>
        <v>ligne 34 ►</v>
      </c>
      <c r="G34" s="9" t="s">
        <v>9078</v>
      </c>
      <c r="H34" s="5492" t="str">
        <f t="shared" si="7"/>
        <v>71 Car.</v>
      </c>
      <c r="I34" s="5493" t="str">
        <f t="shared" si="4"/>
        <v>ligne 34 ►</v>
      </c>
      <c r="J34" s="9" t="s">
        <v>9079</v>
      </c>
      <c r="L34" s="3">
        <v>1</v>
      </c>
    </row>
    <row r="35" spans="2:12">
      <c r="B35" s="5492" t="str">
        <f t="shared" si="5"/>
        <v>12 Car.</v>
      </c>
      <c r="C35" s="5493" t="str">
        <f t="shared" si="2"/>
        <v>ligne 35 ►</v>
      </c>
      <c r="D35" s="9" t="s">
        <v>40</v>
      </c>
      <c r="E35" s="5492" t="str">
        <f t="shared" si="6"/>
        <v>11 Car.</v>
      </c>
      <c r="F35" s="5493" t="str">
        <f t="shared" si="3"/>
        <v>ligne 35 ►</v>
      </c>
      <c r="G35" s="9" t="s">
        <v>148</v>
      </c>
      <c r="H35" s="5492" t="str">
        <f t="shared" si="7"/>
        <v>11 Car.</v>
      </c>
      <c r="I35" s="5493" t="str">
        <f t="shared" si="4"/>
        <v>ligne 35 ►</v>
      </c>
      <c r="J35" s="9" t="s">
        <v>150</v>
      </c>
      <c r="L35" s="3">
        <v>1</v>
      </c>
    </row>
    <row r="36" spans="2:12">
      <c r="B36" s="5492" t="str">
        <f t="shared" si="5"/>
        <v>8 Car.</v>
      </c>
      <c r="C36" s="5493" t="str">
        <f t="shared" si="2"/>
        <v>ligne 36 ►</v>
      </c>
      <c r="D36" s="9" t="s">
        <v>41</v>
      </c>
      <c r="E36" s="5492" t="str">
        <f t="shared" si="6"/>
        <v>7 Car.</v>
      </c>
      <c r="F36" s="5493" t="str">
        <f t="shared" si="3"/>
        <v>ligne 36 ►</v>
      </c>
      <c r="G36" s="9" t="s">
        <v>149</v>
      </c>
      <c r="H36" s="5492" t="str">
        <f t="shared" si="7"/>
        <v>6 Car.</v>
      </c>
      <c r="I36" s="5493" t="str">
        <f t="shared" si="4"/>
        <v>ligne 36 ►</v>
      </c>
      <c r="J36" s="9" t="s">
        <v>151</v>
      </c>
      <c r="L36" s="3">
        <v>1</v>
      </c>
    </row>
    <row r="37" spans="2:12">
      <c r="B37" s="5492" t="str">
        <f t="shared" si="5"/>
        <v>38 Car.</v>
      </c>
      <c r="C37" s="5493" t="str">
        <f t="shared" si="2"/>
        <v>ligne 37 ►</v>
      </c>
      <c r="D37" s="9" t="s">
        <v>9129</v>
      </c>
      <c r="E37" s="5492" t="str">
        <f t="shared" si="6"/>
        <v>37 Car.</v>
      </c>
      <c r="F37" s="5493" t="str">
        <f t="shared" si="3"/>
        <v>ligne 37 ►</v>
      </c>
      <c r="G37" s="9" t="s">
        <v>9130</v>
      </c>
      <c r="H37" s="5492" t="str">
        <f t="shared" si="7"/>
        <v>37 Car.</v>
      </c>
      <c r="I37" s="5493" t="str">
        <f t="shared" si="4"/>
        <v>ligne 37 ►</v>
      </c>
      <c r="J37" s="9" t="s">
        <v>9131</v>
      </c>
      <c r="L37" s="3">
        <v>1</v>
      </c>
    </row>
    <row r="38" spans="2:12" ht="15.75">
      <c r="B38" s="5492" t="str">
        <f t="shared" si="5"/>
        <v>46 Car.</v>
      </c>
      <c r="C38" s="5493" t="str">
        <f t="shared" si="2"/>
        <v>ligne 38 ►</v>
      </c>
      <c r="D38" s="653" t="s">
        <v>925</v>
      </c>
      <c r="E38" s="5492" t="str">
        <f t="shared" si="6"/>
        <v>41 Car.</v>
      </c>
      <c r="F38" s="5493" t="str">
        <f t="shared" si="3"/>
        <v>ligne 38 ►</v>
      </c>
      <c r="G38" s="654" t="s">
        <v>926</v>
      </c>
      <c r="H38" s="5492" t="str">
        <f t="shared" si="7"/>
        <v>42 Car.</v>
      </c>
      <c r="I38" s="5493" t="str">
        <f t="shared" si="4"/>
        <v>ligne 38 ►</v>
      </c>
      <c r="J38" s="654" t="s">
        <v>927</v>
      </c>
      <c r="L38" s="3">
        <v>1</v>
      </c>
    </row>
    <row r="39" spans="2:12" ht="15.75">
      <c r="B39" s="5492" t="str">
        <f t="shared" si="5"/>
        <v>49 Car.</v>
      </c>
      <c r="C39" s="5493" t="str">
        <f t="shared" si="2"/>
        <v>ligne 39 ►</v>
      </c>
      <c r="D39" s="653" t="s">
        <v>929</v>
      </c>
      <c r="E39" s="5492" t="str">
        <f t="shared" si="6"/>
        <v>40 Car.</v>
      </c>
      <c r="F39" s="5493" t="str">
        <f t="shared" si="3"/>
        <v>ligne 39 ►</v>
      </c>
      <c r="G39" s="654" t="s">
        <v>930</v>
      </c>
      <c r="H39" s="5492" t="str">
        <f t="shared" si="7"/>
        <v>48 Car.</v>
      </c>
      <c r="I39" s="5493" t="str">
        <f t="shared" si="4"/>
        <v>ligne 39 ►</v>
      </c>
      <c r="J39" s="654" t="s">
        <v>931</v>
      </c>
      <c r="L39" s="3">
        <v>1</v>
      </c>
    </row>
    <row r="40" spans="2:12">
      <c r="B40" s="5492" t="str">
        <f t="shared" si="5"/>
        <v>47 Car.</v>
      </c>
      <c r="C40" s="5493" t="str">
        <f t="shared" si="2"/>
        <v>ligne 40 ►</v>
      </c>
      <c r="D40" s="9" t="s">
        <v>814</v>
      </c>
      <c r="E40" s="5492" t="str">
        <f t="shared" si="6"/>
        <v>41 Car.</v>
      </c>
      <c r="F40" s="5493" t="str">
        <f t="shared" si="3"/>
        <v>ligne 40 ►</v>
      </c>
      <c r="G40" s="9" t="s">
        <v>430</v>
      </c>
      <c r="H40" s="5492" t="str">
        <f t="shared" si="7"/>
        <v>48 Car.</v>
      </c>
      <c r="I40" s="5493" t="str">
        <f t="shared" si="4"/>
        <v>ligne 40 ►</v>
      </c>
      <c r="J40" s="9" t="s">
        <v>432</v>
      </c>
      <c r="L40" s="3">
        <v>1</v>
      </c>
    </row>
    <row r="41" spans="2:12">
      <c r="B41" s="5492" t="str">
        <f t="shared" si="5"/>
        <v>30 Car.</v>
      </c>
      <c r="C41" s="5493" t="str">
        <f t="shared" si="2"/>
        <v>ligne 41 ►</v>
      </c>
      <c r="D41" s="9" t="s">
        <v>9115</v>
      </c>
      <c r="E41" s="5492" t="str">
        <f t="shared" si="6"/>
        <v>27 Car.</v>
      </c>
      <c r="F41" s="5493" t="str">
        <f t="shared" si="3"/>
        <v>ligne 41 ►</v>
      </c>
      <c r="G41" s="9" t="s">
        <v>9116</v>
      </c>
      <c r="H41" s="5492" t="str">
        <f t="shared" si="7"/>
        <v>32 Car.</v>
      </c>
      <c r="I41" s="5493" t="str">
        <f t="shared" si="4"/>
        <v>ligne 41 ►</v>
      </c>
      <c r="J41" s="9" t="s">
        <v>9117</v>
      </c>
      <c r="L41" s="3">
        <v>1</v>
      </c>
    </row>
    <row r="42" spans="2:12" ht="15.75">
      <c r="B42" s="5492" t="str">
        <f t="shared" si="5"/>
        <v>11 Car.</v>
      </c>
      <c r="C42" s="5493" t="str">
        <f t="shared" si="2"/>
        <v>ligne 42 ►</v>
      </c>
      <c r="D42" s="653" t="s">
        <v>932</v>
      </c>
      <c r="E42" s="5492" t="str">
        <f t="shared" si="6"/>
        <v>7 Car.</v>
      </c>
      <c r="F42" s="5493" t="str">
        <f t="shared" si="3"/>
        <v>ligne 42 ►</v>
      </c>
      <c r="G42" s="654" t="s">
        <v>933</v>
      </c>
      <c r="H42" s="5492" t="str">
        <f t="shared" si="7"/>
        <v>11 Car.</v>
      </c>
      <c r="I42" s="5493" t="str">
        <f t="shared" si="4"/>
        <v>ligne 42 ►</v>
      </c>
      <c r="J42" s="654" t="s">
        <v>934</v>
      </c>
      <c r="L42" s="3">
        <v>1</v>
      </c>
    </row>
    <row r="43" spans="2:12" ht="15.75">
      <c r="B43" s="5492" t="str">
        <f t="shared" si="5"/>
        <v>39 Car.</v>
      </c>
      <c r="C43" s="5493" t="str">
        <f t="shared" si="2"/>
        <v>ligne 43 ►</v>
      </c>
      <c r="D43" s="653" t="s">
        <v>897</v>
      </c>
      <c r="E43" s="5492" t="str">
        <f t="shared" si="6"/>
        <v>32 Car.</v>
      </c>
      <c r="F43" s="5493" t="str">
        <f t="shared" si="3"/>
        <v>ligne 43 ►</v>
      </c>
      <c r="G43" s="654" t="s">
        <v>898</v>
      </c>
      <c r="H43" s="5492" t="str">
        <f t="shared" si="7"/>
        <v>36 Car.</v>
      </c>
      <c r="I43" s="5493" t="str">
        <f t="shared" si="4"/>
        <v>ligne 43 ►</v>
      </c>
      <c r="J43" s="654" t="s">
        <v>899</v>
      </c>
      <c r="L43" s="3">
        <v>1</v>
      </c>
    </row>
    <row r="44" spans="2:12" ht="15.75">
      <c r="B44" s="5492" t="str">
        <f t="shared" si="5"/>
        <v>67 Car.</v>
      </c>
      <c r="C44" s="5493" t="str">
        <f t="shared" si="2"/>
        <v>ligne 44 ►</v>
      </c>
      <c r="D44" s="653" t="s">
        <v>910</v>
      </c>
      <c r="E44" s="5492" t="str">
        <f t="shared" si="6"/>
        <v>59 Car.</v>
      </c>
      <c r="F44" s="5493" t="str">
        <f t="shared" si="3"/>
        <v>ligne 44 ►</v>
      </c>
      <c r="G44" s="654" t="s">
        <v>911</v>
      </c>
      <c r="H44" s="5492" t="str">
        <f t="shared" si="7"/>
        <v>56 Car.</v>
      </c>
      <c r="I44" s="5493" t="str">
        <f t="shared" si="4"/>
        <v>ligne 44 ►</v>
      </c>
      <c r="J44" s="654" t="s">
        <v>912</v>
      </c>
      <c r="L44" s="3">
        <v>1</v>
      </c>
    </row>
    <row r="45" spans="2:12" ht="15.75">
      <c r="B45" s="5492" t="str">
        <f t="shared" si="5"/>
        <v>63 Car.</v>
      </c>
      <c r="C45" s="5493" t="str">
        <f t="shared" si="2"/>
        <v>ligne 45 ►</v>
      </c>
      <c r="D45" s="653" t="s">
        <v>922</v>
      </c>
      <c r="E45" s="5492" t="str">
        <f t="shared" si="6"/>
        <v>59 Car.</v>
      </c>
      <c r="F45" s="5493" t="str">
        <f t="shared" si="3"/>
        <v>ligne 45 ►</v>
      </c>
      <c r="G45" s="654" t="s">
        <v>923</v>
      </c>
      <c r="H45" s="5492" t="str">
        <f t="shared" si="7"/>
        <v>56 Car.</v>
      </c>
      <c r="I45" s="5493" t="str">
        <f t="shared" si="4"/>
        <v>ligne 45 ►</v>
      </c>
      <c r="J45" s="654" t="s">
        <v>924</v>
      </c>
      <c r="L45" s="3">
        <v>1</v>
      </c>
    </row>
    <row r="46" spans="2:12">
      <c r="B46" s="5492" t="str">
        <f t="shared" si="5"/>
        <v>26 Car.</v>
      </c>
      <c r="C46" s="5493" t="str">
        <f t="shared" si="2"/>
        <v>ligne 46 ►</v>
      </c>
      <c r="D46" s="9" t="s">
        <v>304</v>
      </c>
      <c r="E46" s="5492" t="str">
        <f t="shared" si="6"/>
        <v>16 Car.</v>
      </c>
      <c r="F46" s="5493" t="str">
        <f t="shared" si="3"/>
        <v>ligne 46 ►</v>
      </c>
      <c r="G46" s="9" t="s">
        <v>306</v>
      </c>
      <c r="H46" s="5492" t="str">
        <f t="shared" si="7"/>
        <v>28 Car.</v>
      </c>
      <c r="I46" s="5493" t="str">
        <f t="shared" si="4"/>
        <v>ligne 46 ►</v>
      </c>
      <c r="J46" s="9" t="s">
        <v>308</v>
      </c>
      <c r="L46" s="3">
        <v>1</v>
      </c>
    </row>
    <row r="47" spans="2:12">
      <c r="B47" s="5492" t="str">
        <f t="shared" si="5"/>
        <v>8 Car.</v>
      </c>
      <c r="C47" s="5493" t="str">
        <f t="shared" si="2"/>
        <v>ligne 47 ►</v>
      </c>
      <c r="D47" s="9" t="s">
        <v>310</v>
      </c>
      <c r="E47" s="5492" t="str">
        <f t="shared" si="6"/>
        <v>7 Car.</v>
      </c>
      <c r="F47" s="5493" t="str">
        <f t="shared" si="3"/>
        <v>ligne 47 ►</v>
      </c>
      <c r="G47" s="9" t="s">
        <v>312</v>
      </c>
      <c r="H47" s="5492" t="str">
        <f t="shared" si="7"/>
        <v>7 Car.</v>
      </c>
      <c r="I47" s="5493" t="str">
        <f t="shared" si="4"/>
        <v>ligne 47 ►</v>
      </c>
      <c r="J47" s="9" t="s">
        <v>314</v>
      </c>
      <c r="L47" s="3">
        <v>1</v>
      </c>
    </row>
    <row r="48" spans="2:12">
      <c r="B48" s="5492" t="str">
        <f t="shared" si="5"/>
        <v>10 Car.</v>
      </c>
      <c r="C48" s="5493" t="str">
        <f t="shared" si="2"/>
        <v>ligne 48 ►</v>
      </c>
      <c r="D48" s="9" t="s">
        <v>317</v>
      </c>
      <c r="E48" s="5492" t="str">
        <f t="shared" si="6"/>
        <v>7 Car.</v>
      </c>
      <c r="F48" s="5493" t="str">
        <f t="shared" si="3"/>
        <v>ligne 48 ►</v>
      </c>
      <c r="G48" s="9" t="s">
        <v>319</v>
      </c>
      <c r="H48" s="5492" t="str">
        <f t="shared" si="7"/>
        <v>10 Car.</v>
      </c>
      <c r="I48" s="5493" t="str">
        <f t="shared" si="4"/>
        <v>ligne 48 ►</v>
      </c>
      <c r="J48" s="9" t="s">
        <v>321</v>
      </c>
      <c r="L48" s="3">
        <v>1</v>
      </c>
    </row>
    <row r="49" spans="2:12">
      <c r="B49" s="5492" t="str">
        <f t="shared" si="5"/>
        <v>11 Car.</v>
      </c>
      <c r="C49" s="5493" t="str">
        <f t="shared" si="2"/>
        <v>ligne 49 ►</v>
      </c>
      <c r="D49" s="9" t="s">
        <v>117</v>
      </c>
      <c r="E49" s="5492" t="str">
        <f t="shared" si="6"/>
        <v>11 Car.</v>
      </c>
      <c r="F49" s="5493" t="str">
        <f t="shared" si="3"/>
        <v>ligne 49 ►</v>
      </c>
      <c r="G49" s="9" t="s">
        <v>119</v>
      </c>
      <c r="H49" s="5492" t="str">
        <f t="shared" si="7"/>
        <v>9 Car.</v>
      </c>
      <c r="I49" s="5493" t="str">
        <f t="shared" si="4"/>
        <v>ligne 49 ►</v>
      </c>
      <c r="J49" s="9" t="s">
        <v>121</v>
      </c>
      <c r="L49" s="3">
        <v>1</v>
      </c>
    </row>
    <row r="50" spans="2:12">
      <c r="B50" s="5492" t="str">
        <f t="shared" si="5"/>
        <v>16 Car.</v>
      </c>
      <c r="C50" s="5493" t="str">
        <f t="shared" si="2"/>
        <v>ligne 50 ►</v>
      </c>
      <c r="D50" s="9" t="s">
        <v>371</v>
      </c>
      <c r="E50" s="5492" t="str">
        <f t="shared" si="6"/>
        <v>18 Car.</v>
      </c>
      <c r="F50" s="5493" t="str">
        <f t="shared" si="3"/>
        <v>ligne 50 ►</v>
      </c>
      <c r="G50" s="9" t="s">
        <v>373</v>
      </c>
      <c r="H50" s="5492" t="str">
        <f t="shared" si="7"/>
        <v>17 Car.</v>
      </c>
      <c r="I50" s="5493" t="str">
        <f t="shared" si="4"/>
        <v>ligne 50 ►</v>
      </c>
      <c r="J50" s="9" t="s">
        <v>375</v>
      </c>
      <c r="L50" s="3">
        <v>1</v>
      </c>
    </row>
    <row r="51" spans="2:12">
      <c r="B51" s="5492" t="str">
        <f t="shared" si="5"/>
        <v>13 Car.</v>
      </c>
      <c r="C51" s="5493" t="str">
        <f t="shared" si="2"/>
        <v>ligne 51 ►</v>
      </c>
      <c r="D51" s="9" t="s">
        <v>807</v>
      </c>
      <c r="E51" s="5492" t="str">
        <f t="shared" si="6"/>
        <v>16 Car.</v>
      </c>
      <c r="F51" s="5493" t="str">
        <f t="shared" si="3"/>
        <v>ligne 51 ►</v>
      </c>
      <c r="G51" s="9" t="s">
        <v>374</v>
      </c>
      <c r="H51" s="5492" t="str">
        <f t="shared" si="7"/>
        <v>16 Car.</v>
      </c>
      <c r="I51" s="5493" t="str">
        <f t="shared" si="4"/>
        <v>ligne 51 ►</v>
      </c>
      <c r="J51" s="9" t="s">
        <v>376</v>
      </c>
      <c r="L51" s="3">
        <v>1</v>
      </c>
    </row>
    <row r="52" spans="2:12">
      <c r="B52" s="5492" t="str">
        <f t="shared" si="5"/>
        <v>82 Car.</v>
      </c>
      <c r="C52" s="5493" t="str">
        <f t="shared" si="2"/>
        <v>ligne 52 ►</v>
      </c>
      <c r="D52" s="9" t="s">
        <v>547</v>
      </c>
      <c r="E52" s="5492" t="str">
        <f t="shared" si="6"/>
        <v>82 Car.</v>
      </c>
      <c r="F52" s="5493" t="str">
        <f t="shared" si="3"/>
        <v>ligne 52 ►</v>
      </c>
      <c r="G52" s="9" t="s">
        <v>548</v>
      </c>
      <c r="H52" s="5492" t="str">
        <f t="shared" si="7"/>
        <v>82 Car.</v>
      </c>
      <c r="I52" s="5493" t="str">
        <f t="shared" si="4"/>
        <v>ligne 52 ►</v>
      </c>
      <c r="J52" s="9" t="s">
        <v>820</v>
      </c>
      <c r="L52" s="3">
        <v>1</v>
      </c>
    </row>
    <row r="53" spans="2:12">
      <c r="B53" s="5492" t="str">
        <f t="shared" si="5"/>
        <v>53 Car.</v>
      </c>
      <c r="C53" s="5493" t="str">
        <f t="shared" si="2"/>
        <v>ligne 53 ►</v>
      </c>
      <c r="D53" s="9" t="s">
        <v>9121</v>
      </c>
      <c r="E53" s="5492" t="str">
        <f t="shared" si="6"/>
        <v>43 Car.</v>
      </c>
      <c r="F53" s="5493" t="str">
        <f t="shared" si="3"/>
        <v>ligne 53 ►</v>
      </c>
      <c r="G53" s="9" t="s">
        <v>9122</v>
      </c>
      <c r="H53" s="5492" t="str">
        <f t="shared" si="7"/>
        <v>57 Car.</v>
      </c>
      <c r="I53" s="5493" t="str">
        <f t="shared" si="4"/>
        <v>ligne 53 ►</v>
      </c>
      <c r="J53" s="9" t="s">
        <v>9123</v>
      </c>
      <c r="L53" s="3">
        <v>1</v>
      </c>
    </row>
    <row r="54" spans="2:12" ht="15.75">
      <c r="B54" s="5492" t="str">
        <f t="shared" si="5"/>
        <v>86 Car.</v>
      </c>
      <c r="C54" s="5493" t="str">
        <f t="shared" si="2"/>
        <v>ligne 54 ►</v>
      </c>
      <c r="D54" s="653" t="s">
        <v>900</v>
      </c>
      <c r="E54" s="5492" t="str">
        <f t="shared" si="6"/>
        <v>69 Car.</v>
      </c>
      <c r="F54" s="5493" t="str">
        <f t="shared" si="3"/>
        <v>ligne 54 ►</v>
      </c>
      <c r="G54" s="654" t="s">
        <v>901</v>
      </c>
      <c r="H54" s="5492" t="str">
        <f t="shared" si="7"/>
        <v>74 Car.</v>
      </c>
      <c r="I54" s="5493" t="str">
        <f t="shared" si="4"/>
        <v>ligne 54 ►</v>
      </c>
      <c r="J54" s="654" t="s">
        <v>902</v>
      </c>
      <c r="L54" s="3">
        <v>1</v>
      </c>
    </row>
    <row r="55" spans="2:12" ht="15.75">
      <c r="B55" s="5492" t="str">
        <f t="shared" si="5"/>
        <v>39 Car.</v>
      </c>
      <c r="C55" s="5493" t="str">
        <f t="shared" si="2"/>
        <v>ligne 55 ►</v>
      </c>
      <c r="D55" s="653" t="s">
        <v>913</v>
      </c>
      <c r="E55" s="5492" t="str">
        <f t="shared" si="6"/>
        <v>41 Car.</v>
      </c>
      <c r="F55" s="5493" t="str">
        <f t="shared" si="3"/>
        <v>ligne 55 ►</v>
      </c>
      <c r="G55" s="654" t="s">
        <v>914</v>
      </c>
      <c r="H55" s="5492" t="str">
        <f t="shared" si="7"/>
        <v>43 Car.</v>
      </c>
      <c r="I55" s="5493" t="str">
        <f t="shared" si="4"/>
        <v>ligne 55 ►</v>
      </c>
      <c r="J55" s="654" t="s">
        <v>915</v>
      </c>
      <c r="L55" s="3">
        <v>1</v>
      </c>
    </row>
    <row r="56" spans="2:12">
      <c r="B56" s="5492" t="str">
        <f t="shared" si="5"/>
        <v>22 Car.</v>
      </c>
      <c r="C56" s="5493" t="str">
        <f t="shared" si="2"/>
        <v>ligne 56 ►</v>
      </c>
      <c r="D56" s="9" t="s">
        <v>798</v>
      </c>
      <c r="E56" s="5492" t="str">
        <f t="shared" si="6"/>
        <v>24 Car.</v>
      </c>
      <c r="F56" s="5493" t="str">
        <f t="shared" si="3"/>
        <v>ligne 56 ►</v>
      </c>
      <c r="G56" s="9" t="s">
        <v>45</v>
      </c>
      <c r="H56" s="5492" t="str">
        <f t="shared" si="7"/>
        <v>24 Car.</v>
      </c>
      <c r="I56" s="5493" t="str">
        <f t="shared" si="4"/>
        <v>ligne 56 ►</v>
      </c>
      <c r="J56" s="9" t="s">
        <v>47</v>
      </c>
      <c r="L56" s="3">
        <v>1</v>
      </c>
    </row>
    <row r="57" spans="2:12">
      <c r="B57" s="5492" t="str">
        <f t="shared" si="5"/>
        <v>15 Car.</v>
      </c>
      <c r="C57" s="5493" t="str">
        <f t="shared" si="2"/>
        <v>ligne 57 ►</v>
      </c>
      <c r="D57" s="9" t="s">
        <v>56</v>
      </c>
      <c r="E57" s="5492" t="str">
        <f t="shared" si="6"/>
        <v>16 Car.</v>
      </c>
      <c r="F57" s="5493" t="str">
        <f t="shared" si="3"/>
        <v>ligne 57 ►</v>
      </c>
      <c r="G57" s="9" t="s">
        <v>59</v>
      </c>
      <c r="H57" s="5492" t="str">
        <f t="shared" si="7"/>
        <v>14 Car.</v>
      </c>
      <c r="I57" s="5493" t="str">
        <f t="shared" si="4"/>
        <v>ligne 57 ►</v>
      </c>
      <c r="J57" s="9" t="s">
        <v>62</v>
      </c>
      <c r="L57" s="3">
        <v>1</v>
      </c>
    </row>
    <row r="58" spans="2:12">
      <c r="B58" s="5492" t="str">
        <f t="shared" si="5"/>
        <v>9 Car.</v>
      </c>
      <c r="C58" s="5493" t="str">
        <f t="shared" si="2"/>
        <v>ligne 58 ►</v>
      </c>
      <c r="D58" s="9" t="s">
        <v>808</v>
      </c>
      <c r="E58" s="5492" t="str">
        <f t="shared" si="6"/>
        <v>12 Car.</v>
      </c>
      <c r="F58" s="5493" t="str">
        <f t="shared" si="3"/>
        <v>ligne 58 ►</v>
      </c>
      <c r="G58" s="9" t="s">
        <v>809</v>
      </c>
      <c r="H58" s="5492" t="str">
        <f t="shared" si="7"/>
        <v>9 Car.</v>
      </c>
      <c r="I58" s="5493" t="str">
        <f t="shared" si="4"/>
        <v>ligne 58 ►</v>
      </c>
      <c r="J58" s="9" t="s">
        <v>810</v>
      </c>
      <c r="L58" s="3">
        <v>1</v>
      </c>
    </row>
    <row r="59" spans="2:12">
      <c r="B59" s="5492" t="str">
        <f t="shared" si="5"/>
        <v>41 Car.</v>
      </c>
      <c r="C59" s="5493" t="str">
        <f t="shared" si="2"/>
        <v>ligne 59 ►</v>
      </c>
      <c r="D59" s="9" t="s">
        <v>168</v>
      </c>
      <c r="E59" s="5492" t="str">
        <f t="shared" si="6"/>
        <v>39 Car.</v>
      </c>
      <c r="F59" s="5493" t="str">
        <f t="shared" si="3"/>
        <v>ligne 59 ►</v>
      </c>
      <c r="G59" s="9" t="s">
        <v>169</v>
      </c>
      <c r="H59" s="5492" t="str">
        <f t="shared" si="7"/>
        <v>43 Car.</v>
      </c>
      <c r="I59" s="5493" t="str">
        <f t="shared" si="4"/>
        <v>ligne 59 ►</v>
      </c>
      <c r="J59" s="9" t="s">
        <v>170</v>
      </c>
      <c r="L59" s="3">
        <v>1</v>
      </c>
    </row>
    <row r="60" spans="2:12">
      <c r="B60" s="5492" t="str">
        <f t="shared" si="5"/>
        <v>6 Car.</v>
      </c>
      <c r="C60" s="5493" t="str">
        <f t="shared" si="2"/>
        <v>ligne 60 ►</v>
      </c>
      <c r="D60" s="9" t="s">
        <v>802</v>
      </c>
      <c r="E60" s="5492" t="str">
        <f t="shared" si="6"/>
        <v>6 Car.</v>
      </c>
      <c r="F60" s="5493" t="str">
        <f t="shared" si="3"/>
        <v>ligne 60 ►</v>
      </c>
      <c r="G60" s="9" t="s">
        <v>176</v>
      </c>
      <c r="H60" s="5492" t="str">
        <f t="shared" si="7"/>
        <v>5 Car.</v>
      </c>
      <c r="I60" s="5493" t="str">
        <f t="shared" si="4"/>
        <v>ligne 60 ►</v>
      </c>
      <c r="J60" s="9" t="s">
        <v>178</v>
      </c>
      <c r="L60" s="3">
        <v>1</v>
      </c>
    </row>
    <row r="61" spans="2:12">
      <c r="B61" s="5492" t="str">
        <f t="shared" si="5"/>
        <v>6 Car.</v>
      </c>
      <c r="C61" s="5493" t="str">
        <f t="shared" si="2"/>
        <v>ligne 61 ►</v>
      </c>
      <c r="D61" s="9" t="s">
        <v>122</v>
      </c>
      <c r="E61" s="5492" t="str">
        <f t="shared" si="6"/>
        <v>6 Car.</v>
      </c>
      <c r="F61" s="5493" t="str">
        <f t="shared" si="3"/>
        <v>ligne 61 ►</v>
      </c>
      <c r="G61" s="9" t="s">
        <v>122</v>
      </c>
      <c r="H61" s="5492" t="str">
        <f t="shared" si="7"/>
        <v>6 Car.</v>
      </c>
      <c r="I61" s="5493" t="str">
        <f t="shared" si="4"/>
        <v>ligne 61 ►</v>
      </c>
      <c r="J61" s="9" t="s">
        <v>122</v>
      </c>
      <c r="L61" s="3">
        <v>1</v>
      </c>
    </row>
    <row r="62" spans="2:12" ht="15.75">
      <c r="B62" s="5492" t="str">
        <f t="shared" si="5"/>
        <v>41 Car.</v>
      </c>
      <c r="C62" s="5493" t="str">
        <f t="shared" si="2"/>
        <v>ligne 62 ►</v>
      </c>
      <c r="D62" s="653" t="s">
        <v>903</v>
      </c>
      <c r="E62" s="5492" t="str">
        <f t="shared" si="6"/>
        <v>37 Car.</v>
      </c>
      <c r="F62" s="5493" t="str">
        <f t="shared" si="3"/>
        <v>ligne 62 ►</v>
      </c>
      <c r="G62" s="654" t="s">
        <v>904</v>
      </c>
      <c r="H62" s="5492" t="str">
        <f t="shared" si="7"/>
        <v>38 Car.</v>
      </c>
      <c r="I62" s="5493" t="str">
        <f t="shared" si="4"/>
        <v>ligne 62 ►</v>
      </c>
      <c r="J62" s="654" t="s">
        <v>905</v>
      </c>
      <c r="L62" s="3">
        <v>1</v>
      </c>
    </row>
    <row r="63" spans="2:12" ht="15.75">
      <c r="B63" s="5492" t="str">
        <f t="shared" si="5"/>
        <v>27 Car.</v>
      </c>
      <c r="C63" s="5493" t="str">
        <f t="shared" si="2"/>
        <v>ligne 63 ►</v>
      </c>
      <c r="D63" s="653" t="s">
        <v>916</v>
      </c>
      <c r="E63" s="5492" t="str">
        <f t="shared" si="6"/>
        <v>25 Car.</v>
      </c>
      <c r="F63" s="5493" t="str">
        <f t="shared" si="3"/>
        <v>ligne 63 ►</v>
      </c>
      <c r="G63" s="654" t="s">
        <v>917</v>
      </c>
      <c r="H63" s="5492" t="str">
        <f t="shared" si="7"/>
        <v>26 Car.</v>
      </c>
      <c r="I63" s="5493" t="str">
        <f t="shared" si="4"/>
        <v>ligne 63 ►</v>
      </c>
      <c r="J63" s="654" t="s">
        <v>918</v>
      </c>
      <c r="L63" s="3">
        <v>1</v>
      </c>
    </row>
    <row r="64" spans="2:12">
      <c r="B64" s="5492" t="str">
        <f t="shared" si="5"/>
        <v>0 Car.</v>
      </c>
      <c r="C64" s="5493" t="str">
        <f t="shared" si="2"/>
        <v>ligne 64 ►</v>
      </c>
      <c r="D64" s="630"/>
      <c r="E64" s="5492" t="str">
        <f t="shared" si="6"/>
        <v>0 Car.</v>
      </c>
      <c r="F64" s="5493" t="str">
        <f t="shared" si="3"/>
        <v>ligne 64 ►</v>
      </c>
      <c r="G64" s="630"/>
      <c r="H64" s="5492" t="str">
        <f t="shared" si="7"/>
        <v>0 Car.</v>
      </c>
      <c r="I64" s="5493" t="str">
        <f t="shared" si="4"/>
        <v>ligne 64 ►</v>
      </c>
      <c r="J64" s="630"/>
      <c r="L64" s="3">
        <v>1</v>
      </c>
    </row>
    <row r="65" spans="2:12">
      <c r="B65" s="5492" t="str">
        <f t="shared" si="5"/>
        <v>21 Car.</v>
      </c>
      <c r="C65" s="5493" t="str">
        <f t="shared" si="2"/>
        <v>ligne 65 ►</v>
      </c>
      <c r="D65" s="9" t="s">
        <v>123</v>
      </c>
      <c r="E65" s="5492" t="str">
        <f t="shared" si="6"/>
        <v>17 Car.</v>
      </c>
      <c r="F65" s="5493" t="str">
        <f t="shared" si="3"/>
        <v>ligne 65 ►</v>
      </c>
      <c r="G65" s="9" t="s">
        <v>124</v>
      </c>
      <c r="H65" s="5492" t="str">
        <f t="shared" si="7"/>
        <v>24 Car.</v>
      </c>
      <c r="I65" s="5493" t="str">
        <f t="shared" si="4"/>
        <v>ligne 65 ►</v>
      </c>
      <c r="J65" s="9" t="s">
        <v>125</v>
      </c>
      <c r="L65" s="3">
        <v>1</v>
      </c>
    </row>
    <row r="66" spans="2:12" ht="15.75">
      <c r="B66" s="5492" t="str">
        <f t="shared" si="5"/>
        <v>71 Car.</v>
      </c>
      <c r="C66" s="5493" t="str">
        <f t="shared" si="2"/>
        <v>ligne 66 ►</v>
      </c>
      <c r="D66" s="653" t="s">
        <v>907</v>
      </c>
      <c r="E66" s="5492" t="str">
        <f t="shared" si="6"/>
        <v>67 Car.</v>
      </c>
      <c r="F66" s="5493" t="str">
        <f t="shared" si="3"/>
        <v>ligne 66 ►</v>
      </c>
      <c r="G66" s="654" t="s">
        <v>908</v>
      </c>
      <c r="H66" s="5492" t="str">
        <f t="shared" si="7"/>
        <v>59 Car.</v>
      </c>
      <c r="I66" s="5493" t="str">
        <f t="shared" si="4"/>
        <v>ligne 66 ►</v>
      </c>
      <c r="J66" s="654" t="s">
        <v>909</v>
      </c>
      <c r="L66" s="3">
        <v>1</v>
      </c>
    </row>
    <row r="67" spans="2:12" ht="15.75">
      <c r="B67" s="5492" t="str">
        <f t="shared" si="5"/>
        <v>33 Car.</v>
      </c>
      <c r="C67" s="5493" t="str">
        <f t="shared" si="2"/>
        <v>ligne 67 ►</v>
      </c>
      <c r="D67" s="653" t="s">
        <v>919</v>
      </c>
      <c r="E67" s="5492" t="str">
        <f t="shared" si="6"/>
        <v>33 Car.</v>
      </c>
      <c r="F67" s="5493" t="str">
        <f t="shared" si="3"/>
        <v>ligne 67 ►</v>
      </c>
      <c r="G67" s="654" t="s">
        <v>920</v>
      </c>
      <c r="H67" s="5492" t="str">
        <f t="shared" si="7"/>
        <v>26 Car.</v>
      </c>
      <c r="I67" s="5493" t="str">
        <f t="shared" si="4"/>
        <v>ligne 67 ►</v>
      </c>
      <c r="J67" s="654" t="s">
        <v>921</v>
      </c>
      <c r="L67" s="3">
        <v>1</v>
      </c>
    </row>
    <row r="68" spans="2:12">
      <c r="B68" s="5492" t="str">
        <f t="shared" si="5"/>
        <v>11 Car.</v>
      </c>
      <c r="C68" s="5493" t="str">
        <f t="shared" si="2"/>
        <v>ligne 68 ►</v>
      </c>
      <c r="D68" s="9" t="s">
        <v>126</v>
      </c>
      <c r="E68" s="5492" t="str">
        <f t="shared" si="6"/>
        <v>10 Car.</v>
      </c>
      <c r="F68" s="5493" t="str">
        <f t="shared" si="3"/>
        <v>ligne 68 ►</v>
      </c>
      <c r="G68" s="9" t="s">
        <v>127</v>
      </c>
      <c r="H68" s="5492" t="str">
        <f t="shared" si="7"/>
        <v>10 Car.</v>
      </c>
      <c r="I68" s="5493" t="str">
        <f t="shared" si="4"/>
        <v>ligne 68 ►</v>
      </c>
      <c r="J68" s="9" t="s">
        <v>127</v>
      </c>
      <c r="L68" s="3">
        <v>1</v>
      </c>
    </row>
    <row r="69" spans="2:12">
      <c r="B69" s="5492" t="str">
        <f t="shared" si="5"/>
        <v>12 Car.</v>
      </c>
      <c r="C69" s="5493" t="str">
        <f t="shared" si="2"/>
        <v>ligne 69 ►</v>
      </c>
      <c r="D69" s="9" t="s">
        <v>128</v>
      </c>
      <c r="E69" s="5492" t="str">
        <f t="shared" si="6"/>
        <v>7 Car.</v>
      </c>
      <c r="F69" s="5493" t="str">
        <f t="shared" si="3"/>
        <v>ligne 69 ►</v>
      </c>
      <c r="G69" s="9" t="s">
        <v>129</v>
      </c>
      <c r="H69" s="5492" t="str">
        <f t="shared" si="7"/>
        <v>11 Car.</v>
      </c>
      <c r="I69" s="5493" t="str">
        <f t="shared" si="4"/>
        <v>ligne 69 ►</v>
      </c>
      <c r="J69" s="9" t="s">
        <v>130</v>
      </c>
      <c r="L69" s="3">
        <v>1</v>
      </c>
    </row>
    <row r="70" spans="2:12">
      <c r="B70" s="5492" t="str">
        <f t="shared" si="5"/>
        <v>39 Car.</v>
      </c>
      <c r="C70" s="5493" t="str">
        <f t="shared" si="2"/>
        <v>ligne 70 ►</v>
      </c>
      <c r="D70" s="9" t="s">
        <v>9124</v>
      </c>
      <c r="E70" s="5492" t="str">
        <f t="shared" si="6"/>
        <v>32 Car.</v>
      </c>
      <c r="F70" s="5493" t="str">
        <f t="shared" si="3"/>
        <v>ligne 70 ►</v>
      </c>
      <c r="G70" s="9" t="s">
        <v>9125</v>
      </c>
      <c r="H70" s="5492" t="str">
        <f t="shared" si="7"/>
        <v>37 Car.</v>
      </c>
      <c r="I70" s="5493" t="str">
        <f t="shared" si="4"/>
        <v>ligne 70 ►</v>
      </c>
      <c r="J70" s="9" t="s">
        <v>9126</v>
      </c>
      <c r="L70" s="3">
        <v>1</v>
      </c>
    </row>
    <row r="71" spans="2:12">
      <c r="B71" s="5492" t="str">
        <f t="shared" si="5"/>
        <v>12 Car.</v>
      </c>
      <c r="C71" s="5493" t="str">
        <f t="shared" si="2"/>
        <v>ligne 71 ►</v>
      </c>
      <c r="D71" s="9" t="s">
        <v>131</v>
      </c>
      <c r="E71" s="5492" t="str">
        <f t="shared" si="6"/>
        <v>13 Car.</v>
      </c>
      <c r="F71" s="5493" t="str">
        <f t="shared" si="3"/>
        <v>ligne 71 ►</v>
      </c>
      <c r="G71" s="9" t="s">
        <v>132</v>
      </c>
      <c r="H71" s="5492" t="str">
        <f t="shared" si="7"/>
        <v>12 Car.</v>
      </c>
      <c r="I71" s="5493" t="str">
        <f t="shared" si="4"/>
        <v>ligne 71 ►</v>
      </c>
      <c r="J71" s="9" t="s">
        <v>133</v>
      </c>
      <c r="L71" s="3">
        <v>1</v>
      </c>
    </row>
    <row r="72" spans="2:12">
      <c r="B72" s="5492" t="str">
        <f t="shared" si="5"/>
        <v>54 Car.</v>
      </c>
      <c r="C72" s="5493" t="str">
        <f t="shared" ref="C72:C135" si="8">"ligne "&amp;ROW()&amp;" ►"</f>
        <v>ligne 72 ►</v>
      </c>
      <c r="D72" s="9" t="s">
        <v>193</v>
      </c>
      <c r="E72" s="5492" t="str">
        <f t="shared" si="6"/>
        <v>54 Car.</v>
      </c>
      <c r="F72" s="5493" t="str">
        <f t="shared" ref="F72:F135" si="9">"ligne "&amp;ROW()&amp;" ►"</f>
        <v>ligne 72 ►</v>
      </c>
      <c r="G72" s="9" t="s">
        <v>194</v>
      </c>
      <c r="H72" s="5492" t="str">
        <f t="shared" si="7"/>
        <v>53 Car.</v>
      </c>
      <c r="I72" s="5493" t="str">
        <f t="shared" ref="I72:I135" si="10">"ligne "&amp;ROW()&amp;" ►"</f>
        <v>ligne 72 ►</v>
      </c>
      <c r="J72" s="9" t="s">
        <v>195</v>
      </c>
      <c r="L72" s="3">
        <v>1</v>
      </c>
    </row>
    <row r="73" spans="2:12">
      <c r="B73" s="5492" t="str">
        <f t="shared" ref="B73:B136" si="11">SUMPRODUCT(--(D73&lt;&gt;""), LEN(TRIM(SUBSTITUTE(D73, CHAR(160), "")))) &amp; " Car."</f>
        <v>42 Car.</v>
      </c>
      <c r="C73" s="5493" t="str">
        <f t="shared" si="8"/>
        <v>ligne 73 ►</v>
      </c>
      <c r="D73" s="9" t="s">
        <v>381</v>
      </c>
      <c r="E73" s="5492" t="str">
        <f t="shared" ref="E73:E136" si="12">SUMPRODUCT(--(G73&lt;&gt;""), LEN(TRIM(SUBSTITUTE(G73, CHAR(160), "")))) &amp; " Car."</f>
        <v>47 Car.</v>
      </c>
      <c r="F73" s="5493" t="str">
        <f t="shared" si="9"/>
        <v>ligne 73 ►</v>
      </c>
      <c r="G73" s="9" t="s">
        <v>382</v>
      </c>
      <c r="H73" s="5492" t="str">
        <f t="shared" ref="H73:H136" si="13">SUMPRODUCT(--(J73&lt;&gt;""), LEN(TRIM(SUBSTITUTE(J73, CHAR(160), "")))) &amp; " Car."</f>
        <v>45 Car.</v>
      </c>
      <c r="I73" s="5493" t="str">
        <f t="shared" si="10"/>
        <v>ligne 73 ►</v>
      </c>
      <c r="J73" s="9" t="s">
        <v>383</v>
      </c>
      <c r="L73" s="3">
        <v>1</v>
      </c>
    </row>
    <row r="74" spans="2:12">
      <c r="B74" s="5492" t="str">
        <f t="shared" si="11"/>
        <v>13 Car.</v>
      </c>
      <c r="C74" s="5493" t="str">
        <f t="shared" si="8"/>
        <v>ligne 74 ►</v>
      </c>
      <c r="D74" s="9" t="s">
        <v>388</v>
      </c>
      <c r="E74" s="5492" t="str">
        <f t="shared" si="12"/>
        <v>13 Car.</v>
      </c>
      <c r="F74" s="5493" t="str">
        <f t="shared" si="9"/>
        <v>ligne 74 ►</v>
      </c>
      <c r="G74" s="9" t="s">
        <v>388</v>
      </c>
      <c r="H74" s="5492" t="str">
        <f t="shared" si="13"/>
        <v>13 Car.</v>
      </c>
      <c r="I74" s="5493" t="str">
        <f t="shared" si="10"/>
        <v>ligne 74 ►</v>
      </c>
      <c r="J74" s="9" t="s">
        <v>391</v>
      </c>
      <c r="L74" s="3">
        <v>1</v>
      </c>
    </row>
    <row r="75" spans="2:12">
      <c r="B75" s="5492" t="str">
        <f t="shared" si="11"/>
        <v>18 Car.</v>
      </c>
      <c r="C75" s="5493" t="str">
        <f t="shared" si="8"/>
        <v>ligne 75 ►</v>
      </c>
      <c r="D75" s="9" t="s">
        <v>32</v>
      </c>
      <c r="E75" s="5492" t="str">
        <f t="shared" si="12"/>
        <v>18 Car.</v>
      </c>
      <c r="F75" s="5493" t="str">
        <f t="shared" si="9"/>
        <v>ligne 75 ►</v>
      </c>
      <c r="G75" s="9" t="s">
        <v>134</v>
      </c>
      <c r="H75" s="5492" t="str">
        <f t="shared" si="13"/>
        <v>18 Car.</v>
      </c>
      <c r="I75" s="5493" t="str">
        <f t="shared" si="10"/>
        <v>ligne 75 ►</v>
      </c>
      <c r="J75" s="9" t="s">
        <v>137</v>
      </c>
      <c r="L75" s="3">
        <v>1</v>
      </c>
    </row>
    <row r="76" spans="2:12">
      <c r="B76" s="5492" t="str">
        <f t="shared" si="11"/>
        <v>17 Car.</v>
      </c>
      <c r="C76" s="5493" t="str">
        <f t="shared" si="8"/>
        <v>ligne 76 ►</v>
      </c>
      <c r="D76" s="9" t="s">
        <v>50</v>
      </c>
      <c r="E76" s="5492" t="str">
        <f t="shared" si="12"/>
        <v>16 Car.</v>
      </c>
      <c r="F76" s="5493" t="str">
        <f t="shared" si="9"/>
        <v>ligne 76 ►</v>
      </c>
      <c r="G76" s="9" t="s">
        <v>153</v>
      </c>
      <c r="H76" s="5492" t="str">
        <f t="shared" si="13"/>
        <v>15 Car.</v>
      </c>
      <c r="I76" s="5493" t="str">
        <f t="shared" si="10"/>
        <v>ligne 76 ►</v>
      </c>
      <c r="J76" s="9" t="s">
        <v>154</v>
      </c>
      <c r="L76" s="3">
        <v>1</v>
      </c>
    </row>
    <row r="77" spans="2:12">
      <c r="B77" s="5492" t="str">
        <f t="shared" si="11"/>
        <v>16 Car.</v>
      </c>
      <c r="C77" s="5493" t="str">
        <f t="shared" si="8"/>
        <v>ligne 77 ►</v>
      </c>
      <c r="D77" s="9" t="s">
        <v>35</v>
      </c>
      <c r="E77" s="5492" t="str">
        <f t="shared" si="12"/>
        <v>16 Car.</v>
      </c>
      <c r="F77" s="5493" t="str">
        <f t="shared" si="9"/>
        <v>ligne 77 ►</v>
      </c>
      <c r="G77" s="9" t="s">
        <v>135</v>
      </c>
      <c r="H77" s="5492" t="str">
        <f t="shared" si="13"/>
        <v>16 Car.</v>
      </c>
      <c r="I77" s="5493" t="str">
        <f t="shared" si="10"/>
        <v>ligne 77 ►</v>
      </c>
      <c r="J77" s="9" t="s">
        <v>138</v>
      </c>
      <c r="L77" s="3">
        <v>1</v>
      </c>
    </row>
    <row r="78" spans="2:12">
      <c r="B78" s="5492" t="str">
        <f t="shared" si="11"/>
        <v>25 Car.</v>
      </c>
      <c r="C78" s="5493" t="str">
        <f t="shared" si="8"/>
        <v>ligne 78 ►</v>
      </c>
      <c r="D78" s="9" t="s">
        <v>9311</v>
      </c>
      <c r="E78" s="5492" t="str">
        <f t="shared" si="12"/>
        <v>22 Car.</v>
      </c>
      <c r="F78" s="5493" t="str">
        <f t="shared" si="9"/>
        <v>ligne 78 ►</v>
      </c>
      <c r="G78" s="9" t="s">
        <v>9312</v>
      </c>
      <c r="H78" s="5492" t="str">
        <f t="shared" si="13"/>
        <v>23 Car.</v>
      </c>
      <c r="I78" s="5493" t="str">
        <f t="shared" si="10"/>
        <v>ligne 78 ►</v>
      </c>
      <c r="J78" s="9" t="s">
        <v>9047</v>
      </c>
      <c r="L78" s="3">
        <v>1</v>
      </c>
    </row>
    <row r="79" spans="2:12">
      <c r="B79" s="5492" t="str">
        <f t="shared" si="11"/>
        <v>25 Car.</v>
      </c>
      <c r="C79" s="5493" t="str">
        <f t="shared" si="8"/>
        <v>ligne 79 ►</v>
      </c>
      <c r="D79" s="9" t="s">
        <v>821</v>
      </c>
      <c r="E79" s="5492" t="str">
        <f t="shared" si="12"/>
        <v>22 Car.</v>
      </c>
      <c r="F79" s="5493" t="str">
        <f t="shared" si="9"/>
        <v>ligne 79 ►</v>
      </c>
      <c r="G79" s="9" t="s">
        <v>625</v>
      </c>
      <c r="H79" s="5492" t="str">
        <f t="shared" si="13"/>
        <v>23 Car.</v>
      </c>
      <c r="I79" s="5493" t="str">
        <f t="shared" si="10"/>
        <v>ligne 79 ►</v>
      </c>
      <c r="J79" s="9" t="s">
        <v>626</v>
      </c>
      <c r="L79" s="3">
        <v>1</v>
      </c>
    </row>
    <row r="80" spans="2:12">
      <c r="B80" s="5492" t="str">
        <f t="shared" si="11"/>
        <v>9 Car.</v>
      </c>
      <c r="C80" s="5493" t="str">
        <f t="shared" si="8"/>
        <v>ligne 80 ►</v>
      </c>
      <c r="D80" s="9" t="s">
        <v>19</v>
      </c>
      <c r="E80" s="5492" t="str">
        <f t="shared" si="12"/>
        <v>6 Car.</v>
      </c>
      <c r="F80" s="5493" t="str">
        <f t="shared" si="9"/>
        <v>ligne 80 ►</v>
      </c>
      <c r="G80" s="9" t="s">
        <v>136</v>
      </c>
      <c r="H80" s="5492" t="str">
        <f t="shared" si="13"/>
        <v>6 Car.</v>
      </c>
      <c r="I80" s="5493" t="str">
        <f t="shared" si="10"/>
        <v>ligne 80 ►</v>
      </c>
      <c r="J80" s="9" t="s">
        <v>139</v>
      </c>
      <c r="L80" s="3">
        <v>1</v>
      </c>
    </row>
    <row r="81" spans="2:12">
      <c r="B81" s="5492" t="str">
        <f t="shared" si="11"/>
        <v>10 Car.</v>
      </c>
      <c r="C81" s="5493" t="str">
        <f t="shared" si="8"/>
        <v>ligne 81 ►</v>
      </c>
      <c r="D81" s="9" t="s">
        <v>207</v>
      </c>
      <c r="E81" s="5492" t="str">
        <f t="shared" si="12"/>
        <v>10 Car.</v>
      </c>
      <c r="F81" s="5493" t="str">
        <f t="shared" si="9"/>
        <v>ligne 81 ►</v>
      </c>
      <c r="G81" s="9" t="s">
        <v>207</v>
      </c>
      <c r="H81" s="5492" t="str">
        <f t="shared" si="13"/>
        <v>10 Car.</v>
      </c>
      <c r="I81" s="5493" t="str">
        <f t="shared" si="10"/>
        <v>ligne 81 ►</v>
      </c>
      <c r="J81" s="9" t="s">
        <v>207</v>
      </c>
      <c r="L81" s="3">
        <v>1</v>
      </c>
    </row>
    <row r="82" spans="2:12">
      <c r="B82" s="5492" t="str">
        <f t="shared" si="11"/>
        <v>11 Car.</v>
      </c>
      <c r="C82" s="5493" t="str">
        <f t="shared" si="8"/>
        <v>ligne 82 ►</v>
      </c>
      <c r="D82" s="9" t="s">
        <v>363</v>
      </c>
      <c r="E82" s="5492" t="str">
        <f t="shared" si="12"/>
        <v>10 Car.</v>
      </c>
      <c r="F82" s="5493" t="str">
        <f t="shared" si="9"/>
        <v>ligne 82 ►</v>
      </c>
      <c r="G82" s="9" t="s">
        <v>773</v>
      </c>
      <c r="H82" s="5492" t="str">
        <f t="shared" si="13"/>
        <v>10 Car.</v>
      </c>
      <c r="I82" s="5493" t="str">
        <f t="shared" si="10"/>
        <v>ligne 82 ►</v>
      </c>
      <c r="J82" s="9" t="s">
        <v>774</v>
      </c>
      <c r="L82" s="3">
        <v>1</v>
      </c>
    </row>
    <row r="83" spans="2:12">
      <c r="B83" s="5492" t="str">
        <f t="shared" si="11"/>
        <v>68 Car.</v>
      </c>
      <c r="C83" s="5493" t="str">
        <f t="shared" si="8"/>
        <v>ligne 83 ►</v>
      </c>
      <c r="D83" s="9" t="s">
        <v>380</v>
      </c>
      <c r="E83" s="5492" t="str">
        <f t="shared" si="12"/>
        <v>59 Car.</v>
      </c>
      <c r="F83" s="5493" t="str">
        <f t="shared" si="9"/>
        <v>ligne 83 ►</v>
      </c>
      <c r="G83" s="9" t="s">
        <v>777</v>
      </c>
      <c r="H83" s="5492" t="str">
        <f t="shared" si="13"/>
        <v>67 Car.</v>
      </c>
      <c r="I83" s="5493" t="str">
        <f t="shared" si="10"/>
        <v>ligne 83 ►</v>
      </c>
      <c r="J83" s="9" t="s">
        <v>778</v>
      </c>
      <c r="L83" s="3">
        <v>1</v>
      </c>
    </row>
    <row r="84" spans="2:12">
      <c r="B84" s="5492" t="str">
        <f t="shared" si="11"/>
        <v>52 Car.</v>
      </c>
      <c r="C84" s="5493" t="str">
        <f t="shared" si="8"/>
        <v>ligne 84 ►</v>
      </c>
      <c r="D84" s="9" t="s">
        <v>9052</v>
      </c>
      <c r="E84" s="5492" t="str">
        <f t="shared" si="12"/>
        <v>32 Car.</v>
      </c>
      <c r="F84" s="5493" t="str">
        <f t="shared" si="9"/>
        <v>ligne 84 ►</v>
      </c>
      <c r="G84" s="9" t="s">
        <v>3020</v>
      </c>
      <c r="H84" s="5492" t="str">
        <f t="shared" si="13"/>
        <v>33 Car.</v>
      </c>
      <c r="I84" s="5493" t="str">
        <f t="shared" si="10"/>
        <v>ligne 84 ►</v>
      </c>
      <c r="J84" s="9" t="s">
        <v>3013</v>
      </c>
      <c r="L84" s="3">
        <v>1</v>
      </c>
    </row>
    <row r="85" spans="2:12">
      <c r="B85" s="5492" t="str">
        <f t="shared" si="11"/>
        <v>6 Car.</v>
      </c>
      <c r="C85" s="5493" t="str">
        <f t="shared" si="8"/>
        <v>ligne 85 ►</v>
      </c>
      <c r="D85" s="9" t="s">
        <v>2438</v>
      </c>
      <c r="E85" s="5492" t="str">
        <f t="shared" si="12"/>
        <v>7 Car.</v>
      </c>
      <c r="F85" s="5493" t="str">
        <f t="shared" si="9"/>
        <v>ligne 85 ►</v>
      </c>
      <c r="G85" s="9" t="s">
        <v>9065</v>
      </c>
      <c r="H85" s="5492" t="str">
        <f t="shared" si="13"/>
        <v>9 Car.</v>
      </c>
      <c r="I85" s="5493" t="str">
        <f t="shared" si="10"/>
        <v>ligne 85 ►</v>
      </c>
      <c r="J85" s="9" t="s">
        <v>9066</v>
      </c>
      <c r="L85" s="3">
        <v>1</v>
      </c>
    </row>
    <row r="86" spans="2:12">
      <c r="B86" s="5492" t="str">
        <f t="shared" si="11"/>
        <v>16 Car.</v>
      </c>
      <c r="C86" s="5493" t="str">
        <f t="shared" si="8"/>
        <v>ligne 86 ►</v>
      </c>
      <c r="D86" s="9" t="s">
        <v>9067</v>
      </c>
      <c r="E86" s="5492" t="str">
        <f t="shared" si="12"/>
        <v>19 Car.</v>
      </c>
      <c r="F86" s="5493" t="str">
        <f t="shared" si="9"/>
        <v>ligne 86 ►</v>
      </c>
      <c r="G86" s="9" t="s">
        <v>9068</v>
      </c>
      <c r="H86" s="5492" t="str">
        <f t="shared" si="13"/>
        <v>14 Car.</v>
      </c>
      <c r="I86" s="5493" t="str">
        <f t="shared" si="10"/>
        <v>ligne 86 ►</v>
      </c>
      <c r="J86" s="9" t="s">
        <v>9069</v>
      </c>
      <c r="L86" s="3">
        <v>1</v>
      </c>
    </row>
    <row r="87" spans="2:12">
      <c r="B87" s="5492" t="str">
        <f t="shared" si="11"/>
        <v>118 Car.</v>
      </c>
      <c r="C87" s="5493" t="str">
        <f t="shared" si="8"/>
        <v>ligne 87 ►</v>
      </c>
      <c r="D87" s="9" t="s">
        <v>13790</v>
      </c>
      <c r="E87" s="5492" t="str">
        <f t="shared" si="12"/>
        <v>176 Car.</v>
      </c>
      <c r="F87" s="5493" t="str">
        <f t="shared" si="9"/>
        <v>ligne 87 ►</v>
      </c>
      <c r="G87" s="9" t="s">
        <v>9127</v>
      </c>
      <c r="H87" s="5492" t="str">
        <f t="shared" si="13"/>
        <v>204 Car.</v>
      </c>
      <c r="I87" s="5493" t="str">
        <f t="shared" si="10"/>
        <v>ligne 87 ►</v>
      </c>
      <c r="J87" s="9" t="s">
        <v>9128</v>
      </c>
      <c r="L87" s="3">
        <v>1</v>
      </c>
    </row>
    <row r="88" spans="2:12">
      <c r="B88" s="5492" t="str">
        <f t="shared" si="11"/>
        <v>81 Car.</v>
      </c>
      <c r="C88" s="5493" t="str">
        <f t="shared" si="8"/>
        <v>ligne 88 ►</v>
      </c>
      <c r="D88" s="9" t="s">
        <v>9162</v>
      </c>
      <c r="E88" s="5492" t="str">
        <f t="shared" si="12"/>
        <v>73 Car.</v>
      </c>
      <c r="F88" s="5493" t="str">
        <f t="shared" si="9"/>
        <v>ligne 88 ►</v>
      </c>
      <c r="G88" s="9" t="s">
        <v>9163</v>
      </c>
      <c r="H88" s="5492" t="str">
        <f t="shared" si="13"/>
        <v>94 Car.</v>
      </c>
      <c r="I88" s="5493" t="str">
        <f t="shared" si="10"/>
        <v>ligne 88 ►</v>
      </c>
      <c r="J88" s="9" t="s">
        <v>9164</v>
      </c>
      <c r="L88" s="3">
        <v>1</v>
      </c>
    </row>
    <row r="89" spans="2:12">
      <c r="B89" s="5492" t="str">
        <f t="shared" si="11"/>
        <v>73 Car.</v>
      </c>
      <c r="C89" s="5493" t="str">
        <f t="shared" si="8"/>
        <v>ligne 89 ►</v>
      </c>
      <c r="D89" s="9" t="s">
        <v>9165</v>
      </c>
      <c r="E89" s="5492" t="str">
        <f t="shared" si="12"/>
        <v>72 Car.</v>
      </c>
      <c r="F89" s="5493" t="str">
        <f t="shared" si="9"/>
        <v>ligne 89 ►</v>
      </c>
      <c r="G89" s="9" t="s">
        <v>9166</v>
      </c>
      <c r="H89" s="5492" t="str">
        <f t="shared" si="13"/>
        <v>74 Car.</v>
      </c>
      <c r="I89" s="5493" t="str">
        <f t="shared" si="10"/>
        <v>ligne 89 ►</v>
      </c>
      <c r="J89" s="9" t="s">
        <v>9167</v>
      </c>
      <c r="L89" s="3">
        <v>1</v>
      </c>
    </row>
    <row r="90" spans="2:12" ht="15" customHeight="1">
      <c r="B90" s="5492" t="str">
        <f t="shared" si="11"/>
        <v>57 Car.</v>
      </c>
      <c r="C90" s="5493" t="str">
        <f t="shared" si="8"/>
        <v>ligne 90 ►</v>
      </c>
      <c r="D90" s="9" t="s">
        <v>9171</v>
      </c>
      <c r="E90" s="5492" t="str">
        <f t="shared" si="12"/>
        <v>50 Car.</v>
      </c>
      <c r="F90" s="5493" t="str">
        <f t="shared" si="9"/>
        <v>ligne 90 ►</v>
      </c>
      <c r="G90" s="9" t="s">
        <v>9172</v>
      </c>
      <c r="H90" s="5492" t="str">
        <f t="shared" si="13"/>
        <v>57 Car.</v>
      </c>
      <c r="I90" s="5493" t="str">
        <f t="shared" si="10"/>
        <v>ligne 90 ►</v>
      </c>
      <c r="J90" s="9" t="s">
        <v>9173</v>
      </c>
      <c r="L90" s="3">
        <v>1</v>
      </c>
    </row>
    <row r="91" spans="2:12">
      <c r="B91" s="5492" t="str">
        <f t="shared" si="11"/>
        <v>19 Car.</v>
      </c>
      <c r="C91" s="5493" t="str">
        <f t="shared" si="8"/>
        <v>ligne 91 ►</v>
      </c>
      <c r="D91" s="9" t="s">
        <v>9189</v>
      </c>
      <c r="E91" s="5492" t="str">
        <f t="shared" si="12"/>
        <v>24 Car.</v>
      </c>
      <c r="F91" s="5493" t="str">
        <f t="shared" si="9"/>
        <v>ligne 91 ►</v>
      </c>
      <c r="G91" s="9" t="s">
        <v>9190</v>
      </c>
      <c r="H91" s="5492" t="str">
        <f t="shared" si="13"/>
        <v>21 Car.</v>
      </c>
      <c r="I91" s="5493" t="str">
        <f t="shared" si="10"/>
        <v>ligne 91 ►</v>
      </c>
      <c r="J91" s="9" t="s">
        <v>9191</v>
      </c>
      <c r="L91" s="3">
        <v>1</v>
      </c>
    </row>
    <row r="92" spans="2:12">
      <c r="B92" s="5492" t="str">
        <f t="shared" si="11"/>
        <v>11 Car.</v>
      </c>
      <c r="C92" s="5493" t="str">
        <f t="shared" si="8"/>
        <v>ligne 92 ►</v>
      </c>
      <c r="D92" s="9" t="s">
        <v>9192</v>
      </c>
      <c r="E92" s="5492" t="str">
        <f t="shared" si="12"/>
        <v>10 Car.</v>
      </c>
      <c r="F92" s="5493" t="str">
        <f t="shared" si="9"/>
        <v>ligne 92 ►</v>
      </c>
      <c r="G92" s="9" t="s">
        <v>9193</v>
      </c>
      <c r="H92" s="5492" t="str">
        <f t="shared" si="13"/>
        <v>15 Car.</v>
      </c>
      <c r="I92" s="5493" t="str">
        <f t="shared" si="10"/>
        <v>ligne 92 ►</v>
      </c>
      <c r="J92" s="9" t="s">
        <v>9194</v>
      </c>
      <c r="L92" s="3">
        <v>1</v>
      </c>
    </row>
    <row r="93" spans="2:12">
      <c r="B93" s="5492" t="str">
        <f t="shared" si="11"/>
        <v>35 Car.</v>
      </c>
      <c r="C93" s="5493" t="str">
        <f t="shared" si="8"/>
        <v>ligne 93 ►</v>
      </c>
      <c r="D93" s="9" t="s">
        <v>9293</v>
      </c>
      <c r="E93" s="5492" t="str">
        <f t="shared" si="12"/>
        <v>34 Car.</v>
      </c>
      <c r="F93" s="5493" t="str">
        <f t="shared" si="9"/>
        <v>ligne 93 ►</v>
      </c>
      <c r="G93" s="9" t="s">
        <v>9294</v>
      </c>
      <c r="H93" s="5492" t="str">
        <f t="shared" si="13"/>
        <v>31 Car.</v>
      </c>
      <c r="I93" s="5493" t="str">
        <f t="shared" si="10"/>
        <v>ligne 93 ►</v>
      </c>
      <c r="J93" s="9" t="s">
        <v>9295</v>
      </c>
      <c r="L93" s="3">
        <v>1</v>
      </c>
    </row>
    <row r="94" spans="2:12">
      <c r="B94" s="5492" t="str">
        <f t="shared" si="11"/>
        <v>16 Car.</v>
      </c>
      <c r="C94" s="5493" t="str">
        <f t="shared" si="8"/>
        <v>ligne 94 ►</v>
      </c>
      <c r="D94" s="9" t="s">
        <v>9334</v>
      </c>
      <c r="E94" s="5492" t="str">
        <f t="shared" si="12"/>
        <v>13 Car.</v>
      </c>
      <c r="F94" s="5493" t="str">
        <f t="shared" si="9"/>
        <v>ligne 94 ►</v>
      </c>
      <c r="G94" s="9" t="s">
        <v>9335</v>
      </c>
      <c r="H94" s="5492" t="str">
        <f t="shared" si="13"/>
        <v>15 Car.</v>
      </c>
      <c r="I94" s="5493" t="str">
        <f t="shared" si="10"/>
        <v>ligne 94 ►</v>
      </c>
      <c r="J94" s="9" t="s">
        <v>9336</v>
      </c>
      <c r="L94" s="3">
        <v>1</v>
      </c>
    </row>
    <row r="95" spans="2:12">
      <c r="B95" s="5492" t="str">
        <f t="shared" si="11"/>
        <v>51 Car.</v>
      </c>
      <c r="C95" s="5493" t="str">
        <f t="shared" si="8"/>
        <v>ligne 95 ►</v>
      </c>
      <c r="D95" s="9" t="s">
        <v>9340</v>
      </c>
      <c r="E95" s="5492" t="str">
        <f t="shared" si="12"/>
        <v>44 Car.</v>
      </c>
      <c r="F95" s="5493" t="str">
        <f t="shared" si="9"/>
        <v>ligne 95 ►</v>
      </c>
      <c r="G95" s="9" t="s">
        <v>9341</v>
      </c>
      <c r="H95" s="5492" t="str">
        <f t="shared" si="13"/>
        <v>33 Car.</v>
      </c>
      <c r="I95" s="5493" t="str">
        <f t="shared" si="10"/>
        <v>ligne 95 ►</v>
      </c>
      <c r="J95" s="9" t="s">
        <v>9342</v>
      </c>
      <c r="L95" s="3">
        <v>1</v>
      </c>
    </row>
    <row r="96" spans="2:12">
      <c r="B96" s="5492" t="str">
        <f t="shared" si="11"/>
        <v>32 Car.</v>
      </c>
      <c r="C96" s="5493" t="str">
        <f t="shared" si="8"/>
        <v>ligne 96 ►</v>
      </c>
      <c r="D96" s="677" t="s">
        <v>1296</v>
      </c>
      <c r="E96" s="5492" t="str">
        <f t="shared" si="12"/>
        <v>28 Car.</v>
      </c>
      <c r="F96" s="5493" t="str">
        <f t="shared" si="9"/>
        <v>ligne 96 ►</v>
      </c>
      <c r="G96" s="677" t="s">
        <v>1297</v>
      </c>
      <c r="H96" s="5492" t="str">
        <f t="shared" si="13"/>
        <v>25 Car.</v>
      </c>
      <c r="I96" s="5493" t="str">
        <f t="shared" si="10"/>
        <v>ligne 96 ►</v>
      </c>
      <c r="J96" s="678" t="s">
        <v>1298</v>
      </c>
      <c r="L96" s="3">
        <v>1</v>
      </c>
    </row>
    <row r="97" spans="2:12">
      <c r="B97" s="5492" t="str">
        <f t="shared" si="11"/>
        <v>28 Car.</v>
      </c>
      <c r="C97" s="5493" t="str">
        <f t="shared" si="8"/>
        <v>ligne 97 ►</v>
      </c>
      <c r="D97" s="9" t="s">
        <v>818</v>
      </c>
      <c r="E97" s="5492" t="str">
        <f t="shared" si="12"/>
        <v>22 Car.</v>
      </c>
      <c r="F97" s="5493" t="str">
        <f t="shared" si="9"/>
        <v>ligne 97 ►</v>
      </c>
      <c r="G97" s="9" t="s">
        <v>514</v>
      </c>
      <c r="H97" s="5492" t="str">
        <f t="shared" si="13"/>
        <v>30 Car.</v>
      </c>
      <c r="I97" s="5493" t="str">
        <f t="shared" si="10"/>
        <v>ligne 97 ►</v>
      </c>
      <c r="J97" s="9" t="s">
        <v>515</v>
      </c>
      <c r="L97" s="3">
        <v>1</v>
      </c>
    </row>
    <row r="98" spans="2:12">
      <c r="B98" s="5492" t="str">
        <f t="shared" si="11"/>
        <v>11 Car.</v>
      </c>
      <c r="C98" s="5493" t="str">
        <f t="shared" si="8"/>
        <v>ligne 98 ►</v>
      </c>
      <c r="D98" s="9" t="s">
        <v>2437</v>
      </c>
      <c r="E98" s="5492" t="str">
        <f t="shared" si="12"/>
        <v>13 Car.</v>
      </c>
      <c r="F98" s="5493" t="str">
        <f t="shared" si="9"/>
        <v>ligne 98 ►</v>
      </c>
      <c r="G98" s="9" t="s">
        <v>9061</v>
      </c>
      <c r="H98" s="5492" t="str">
        <f t="shared" si="13"/>
        <v>5 Car.</v>
      </c>
      <c r="I98" s="5493" t="str">
        <f t="shared" si="10"/>
        <v>ligne 98 ►</v>
      </c>
      <c r="J98" s="9" t="s">
        <v>9062</v>
      </c>
      <c r="L98" s="3">
        <v>1</v>
      </c>
    </row>
    <row r="99" spans="2:12">
      <c r="B99" s="5492" t="str">
        <f t="shared" si="11"/>
        <v>12 Car.</v>
      </c>
      <c r="C99" s="5493" t="str">
        <f t="shared" si="8"/>
        <v>ligne 99 ►</v>
      </c>
      <c r="D99" s="9" t="s">
        <v>2439</v>
      </c>
      <c r="E99" s="5492" t="str">
        <f t="shared" si="12"/>
        <v>11 Car.</v>
      </c>
      <c r="F99" s="5493" t="str">
        <f t="shared" si="9"/>
        <v>ligne 99 ►</v>
      </c>
      <c r="G99" s="9" t="s">
        <v>9063</v>
      </c>
      <c r="H99" s="5492" t="str">
        <f t="shared" si="13"/>
        <v>14 Car.</v>
      </c>
      <c r="I99" s="5493" t="str">
        <f t="shared" si="10"/>
        <v>ligne 99 ►</v>
      </c>
      <c r="J99" s="9" t="s">
        <v>9064</v>
      </c>
      <c r="L99" s="3">
        <v>1</v>
      </c>
    </row>
    <row r="100" spans="2:12">
      <c r="B100" s="5492" t="str">
        <f t="shared" si="11"/>
        <v>6 Car.</v>
      </c>
      <c r="C100" s="5493" t="str">
        <f t="shared" si="8"/>
        <v>ligne 100 ►</v>
      </c>
      <c r="D100" s="9" t="s">
        <v>303</v>
      </c>
      <c r="E100" s="5492" t="str">
        <f t="shared" si="12"/>
        <v>7 Car.</v>
      </c>
      <c r="F100" s="5493" t="str">
        <f t="shared" si="9"/>
        <v>ligne 100 ►</v>
      </c>
      <c r="G100" s="9" t="s">
        <v>305</v>
      </c>
      <c r="H100" s="5492" t="str">
        <f t="shared" si="13"/>
        <v>7 Car.</v>
      </c>
      <c r="I100" s="5493" t="str">
        <f t="shared" si="10"/>
        <v>ligne 100 ►</v>
      </c>
      <c r="J100" s="9" t="s">
        <v>307</v>
      </c>
      <c r="L100" s="3">
        <v>1</v>
      </c>
    </row>
    <row r="101" spans="2:12">
      <c r="B101" s="5492" t="str">
        <f t="shared" si="11"/>
        <v>4 Car.</v>
      </c>
      <c r="C101" s="5493" t="str">
        <f t="shared" si="8"/>
        <v>ligne 101 ►</v>
      </c>
      <c r="D101" s="9" t="s">
        <v>499</v>
      </c>
      <c r="E101" s="5492" t="str">
        <f t="shared" si="12"/>
        <v>4 Car.</v>
      </c>
      <c r="F101" s="5493" t="str">
        <f t="shared" si="9"/>
        <v>ligne 101 ►</v>
      </c>
      <c r="G101" s="9" t="s">
        <v>501</v>
      </c>
      <c r="H101" s="5492" t="str">
        <f t="shared" si="13"/>
        <v>7 Car.</v>
      </c>
      <c r="I101" s="5493" t="str">
        <f t="shared" si="10"/>
        <v>ligne 101 ►</v>
      </c>
      <c r="J101" s="9" t="s">
        <v>503</v>
      </c>
      <c r="L101" s="3">
        <v>1</v>
      </c>
    </row>
    <row r="102" spans="2:12">
      <c r="B102" s="5492" t="str">
        <f t="shared" si="11"/>
        <v>27 Car.</v>
      </c>
      <c r="C102" s="5493" t="str">
        <f t="shared" si="8"/>
        <v>ligne 102 ►</v>
      </c>
      <c r="D102" s="9" t="s">
        <v>549</v>
      </c>
      <c r="E102" s="5492" t="str">
        <f t="shared" si="12"/>
        <v>25 Car.</v>
      </c>
      <c r="F102" s="5493" t="str">
        <f t="shared" si="9"/>
        <v>ligne 102 ►</v>
      </c>
      <c r="G102" s="9" t="s">
        <v>550</v>
      </c>
      <c r="H102" s="5492" t="str">
        <f t="shared" si="13"/>
        <v>31 Car.</v>
      </c>
      <c r="I102" s="5493" t="str">
        <f t="shared" si="10"/>
        <v>ligne 102 ►</v>
      </c>
      <c r="J102" s="9" t="s">
        <v>551</v>
      </c>
      <c r="L102" s="3">
        <v>1</v>
      </c>
    </row>
    <row r="103" spans="2:12">
      <c r="B103" s="5492" t="str">
        <f t="shared" si="11"/>
        <v>3 Car.</v>
      </c>
      <c r="C103" s="5493" t="str">
        <f t="shared" si="8"/>
        <v>ligne 103 ►</v>
      </c>
      <c r="D103" s="9" t="s">
        <v>325</v>
      </c>
      <c r="E103" s="5492" t="str">
        <f t="shared" si="12"/>
        <v>4 Car.</v>
      </c>
      <c r="F103" s="5493" t="str">
        <f t="shared" si="9"/>
        <v>ligne 103 ►</v>
      </c>
      <c r="G103" s="9" t="s">
        <v>757</v>
      </c>
      <c r="H103" s="5492" t="str">
        <f t="shared" si="13"/>
        <v>5 Car.</v>
      </c>
      <c r="I103" s="5493" t="str">
        <f t="shared" si="10"/>
        <v>ligne 103 ►</v>
      </c>
      <c r="J103" s="9" t="s">
        <v>759</v>
      </c>
      <c r="L103" s="3">
        <v>1</v>
      </c>
    </row>
    <row r="104" spans="2:12">
      <c r="B104" s="5492" t="str">
        <f t="shared" si="11"/>
        <v>4 Car.</v>
      </c>
      <c r="C104" s="5493" t="str">
        <f t="shared" si="8"/>
        <v>ligne 104 ►</v>
      </c>
      <c r="D104" s="9" t="s">
        <v>349</v>
      </c>
      <c r="E104" s="5492" t="str">
        <f t="shared" si="12"/>
        <v>4 Car.</v>
      </c>
      <c r="F104" s="5493" t="str">
        <f t="shared" si="9"/>
        <v>ligne 104 ►</v>
      </c>
      <c r="G104" s="9" t="s">
        <v>765</v>
      </c>
      <c r="H104" s="5492" t="str">
        <f t="shared" si="13"/>
        <v>4 Car.</v>
      </c>
      <c r="I104" s="5493" t="str">
        <f t="shared" si="10"/>
        <v>ligne 104 ►</v>
      </c>
      <c r="J104" s="9" t="s">
        <v>349</v>
      </c>
      <c r="L104" s="3">
        <v>1</v>
      </c>
    </row>
    <row r="105" spans="2:12">
      <c r="B105" s="5492" t="str">
        <f t="shared" si="11"/>
        <v>34 Car.</v>
      </c>
      <c r="C105" s="5493" t="str">
        <f t="shared" si="8"/>
        <v>ligne 105 ►</v>
      </c>
      <c r="D105" s="9" t="s">
        <v>9195</v>
      </c>
      <c r="E105" s="5492" t="str">
        <f t="shared" si="12"/>
        <v>24 Car.</v>
      </c>
      <c r="F105" s="5493" t="str">
        <f t="shared" si="9"/>
        <v>ligne 105 ►</v>
      </c>
      <c r="G105" s="9" t="s">
        <v>9196</v>
      </c>
      <c r="H105" s="5492" t="str">
        <f t="shared" si="13"/>
        <v>36 Car.</v>
      </c>
      <c r="I105" s="5493" t="str">
        <f t="shared" si="10"/>
        <v>ligne 105 ►</v>
      </c>
      <c r="J105" s="9" t="s">
        <v>9197</v>
      </c>
      <c r="L105" s="3">
        <v>1</v>
      </c>
    </row>
    <row r="106" spans="2:12">
      <c r="B106" s="5492" t="str">
        <f t="shared" si="11"/>
        <v>27 Car.</v>
      </c>
      <c r="C106" s="5493" t="str">
        <f t="shared" si="8"/>
        <v>ligne 106 ►</v>
      </c>
      <c r="D106" s="9" t="s">
        <v>9296</v>
      </c>
      <c r="E106" s="5492" t="str">
        <f t="shared" si="12"/>
        <v>25 Car.</v>
      </c>
      <c r="F106" s="5493" t="str">
        <f t="shared" si="9"/>
        <v>ligne 106 ►</v>
      </c>
      <c r="G106" s="9" t="s">
        <v>9297</v>
      </c>
      <c r="H106" s="5492" t="str">
        <f t="shared" si="13"/>
        <v>27 Car.</v>
      </c>
      <c r="I106" s="5493" t="str">
        <f t="shared" si="10"/>
        <v>ligne 106 ►</v>
      </c>
      <c r="J106" s="9" t="s">
        <v>9298</v>
      </c>
      <c r="L106" s="3">
        <v>1</v>
      </c>
    </row>
    <row r="107" spans="2:12">
      <c r="B107" s="5492" t="str">
        <f t="shared" si="11"/>
        <v>26 Car.</v>
      </c>
      <c r="C107" s="5493" t="str">
        <f t="shared" si="8"/>
        <v>ligne 107 ►</v>
      </c>
      <c r="D107" s="9" t="s">
        <v>9351</v>
      </c>
      <c r="E107" s="5492" t="str">
        <f t="shared" si="12"/>
        <v>26 Car.</v>
      </c>
      <c r="F107" s="5493" t="str">
        <f t="shared" si="9"/>
        <v>ligne 107 ►</v>
      </c>
      <c r="G107" s="9" t="s">
        <v>9352</v>
      </c>
      <c r="H107" s="5492" t="str">
        <f t="shared" si="13"/>
        <v>27 Car.</v>
      </c>
      <c r="I107" s="5493" t="str">
        <f t="shared" si="10"/>
        <v>ligne 107 ►</v>
      </c>
      <c r="J107" s="9" t="s">
        <v>9353</v>
      </c>
      <c r="L107" s="3">
        <v>1</v>
      </c>
    </row>
    <row r="108" spans="2:12">
      <c r="B108" s="5492" t="str">
        <f t="shared" si="11"/>
        <v>14 Car.</v>
      </c>
      <c r="C108" s="5493" t="str">
        <f t="shared" si="8"/>
        <v>ligne 108 ►</v>
      </c>
      <c r="D108" s="9" t="s">
        <v>42</v>
      </c>
      <c r="E108" s="5492" t="str">
        <f t="shared" si="12"/>
        <v>14 Car.</v>
      </c>
      <c r="F108" s="5493" t="str">
        <f t="shared" si="9"/>
        <v>ligne 108 ►</v>
      </c>
      <c r="G108" s="9" t="s">
        <v>42</v>
      </c>
      <c r="H108" s="5492" t="str">
        <f t="shared" si="13"/>
        <v>15 Car.</v>
      </c>
      <c r="I108" s="5493" t="str">
        <f t="shared" si="10"/>
        <v>ligne 108 ►</v>
      </c>
      <c r="J108" s="9" t="s">
        <v>797</v>
      </c>
      <c r="L108" s="3">
        <v>1</v>
      </c>
    </row>
    <row r="109" spans="2:12">
      <c r="B109" s="5492" t="str">
        <f t="shared" si="11"/>
        <v>16 Car.</v>
      </c>
      <c r="C109" s="5493" t="str">
        <f t="shared" si="8"/>
        <v>ligne 109 ►</v>
      </c>
      <c r="D109" s="9" t="s">
        <v>33</v>
      </c>
      <c r="E109" s="5492" t="str">
        <f t="shared" si="12"/>
        <v>14 Car.</v>
      </c>
      <c r="F109" s="5493" t="str">
        <f t="shared" si="9"/>
        <v>ligne 109 ►</v>
      </c>
      <c r="G109" s="9" t="s">
        <v>88</v>
      </c>
      <c r="H109" s="5492" t="str">
        <f t="shared" si="13"/>
        <v>18 Car.</v>
      </c>
      <c r="I109" s="5493" t="str">
        <f t="shared" si="10"/>
        <v>ligne 109 ►</v>
      </c>
      <c r="J109" s="9" t="s">
        <v>90</v>
      </c>
      <c r="L109" s="3">
        <v>1</v>
      </c>
    </row>
    <row r="110" spans="2:12">
      <c r="B110" s="5492" t="str">
        <f t="shared" si="11"/>
        <v>41 Car.</v>
      </c>
      <c r="C110" s="5493" t="str">
        <f t="shared" si="8"/>
        <v>ligne 110 ►</v>
      </c>
      <c r="D110" s="9" t="s">
        <v>111</v>
      </c>
      <c r="E110" s="5492" t="str">
        <f t="shared" si="12"/>
        <v>27 Car.</v>
      </c>
      <c r="F110" s="5493" t="str">
        <f t="shared" si="9"/>
        <v>ligne 110 ►</v>
      </c>
      <c r="G110" s="9" t="s">
        <v>112</v>
      </c>
      <c r="H110" s="5492" t="str">
        <f t="shared" si="13"/>
        <v>41 Car.</v>
      </c>
      <c r="I110" s="5493" t="str">
        <f t="shared" si="10"/>
        <v>ligne 110 ►</v>
      </c>
      <c r="J110" s="9" t="s">
        <v>113</v>
      </c>
      <c r="L110" s="3">
        <v>1</v>
      </c>
    </row>
    <row r="111" spans="2:12">
      <c r="B111" s="5492" t="str">
        <f t="shared" si="11"/>
        <v>44 Car.</v>
      </c>
      <c r="C111" s="5493" t="str">
        <f t="shared" si="8"/>
        <v>ligne 111 ►</v>
      </c>
      <c r="D111" s="9" t="s">
        <v>116</v>
      </c>
      <c r="E111" s="5492" t="str">
        <f t="shared" si="12"/>
        <v>25 Car.</v>
      </c>
      <c r="F111" s="5493" t="str">
        <f t="shared" si="9"/>
        <v>ligne 111 ►</v>
      </c>
      <c r="G111" s="9" t="s">
        <v>118</v>
      </c>
      <c r="H111" s="5492" t="str">
        <f t="shared" si="13"/>
        <v>48 Car.</v>
      </c>
      <c r="I111" s="5493" t="str">
        <f t="shared" si="10"/>
        <v>ligne 111 ►</v>
      </c>
      <c r="J111" s="9" t="s">
        <v>120</v>
      </c>
      <c r="L111" s="3">
        <v>1</v>
      </c>
    </row>
    <row r="112" spans="2:12">
      <c r="B112" s="5492" t="str">
        <f t="shared" si="11"/>
        <v>89 Car.</v>
      </c>
      <c r="C112" s="5493" t="str">
        <f t="shared" si="8"/>
        <v>ligne 112 ►</v>
      </c>
      <c r="D112" s="9" t="s">
        <v>612</v>
      </c>
      <c r="E112" s="5492" t="str">
        <f t="shared" si="12"/>
        <v>61 Car.</v>
      </c>
      <c r="F112" s="5493" t="str">
        <f t="shared" si="9"/>
        <v>ligne 112 ►</v>
      </c>
      <c r="G112" s="9" t="s">
        <v>613</v>
      </c>
      <c r="H112" s="5492" t="str">
        <f t="shared" si="13"/>
        <v>84 Car.</v>
      </c>
      <c r="I112" s="5493" t="str">
        <f t="shared" si="10"/>
        <v>ligne 112 ►</v>
      </c>
      <c r="J112" s="9" t="s">
        <v>614</v>
      </c>
      <c r="L112" s="3">
        <v>1</v>
      </c>
    </row>
    <row r="113" spans="2:12">
      <c r="B113" s="5492" t="str">
        <f t="shared" si="11"/>
        <v>7 Car.</v>
      </c>
      <c r="C113" s="5493" t="str">
        <f t="shared" si="8"/>
        <v>ligne 113 ►</v>
      </c>
      <c r="D113" s="9" t="s">
        <v>309</v>
      </c>
      <c r="E113" s="5492" t="str">
        <f t="shared" si="12"/>
        <v>6 Car.</v>
      </c>
      <c r="F113" s="5493" t="str">
        <f t="shared" si="9"/>
        <v>ligne 113 ►</v>
      </c>
      <c r="G113" s="9" t="s">
        <v>311</v>
      </c>
      <c r="H113" s="5492" t="str">
        <f t="shared" si="13"/>
        <v>7 Car.</v>
      </c>
      <c r="I113" s="5493" t="str">
        <f t="shared" si="10"/>
        <v>ligne 113 ►</v>
      </c>
      <c r="J113" s="9" t="s">
        <v>313</v>
      </c>
      <c r="L113" s="3">
        <v>1</v>
      </c>
    </row>
    <row r="114" spans="2:12">
      <c r="B114" s="5492" t="str">
        <f t="shared" si="11"/>
        <v>5 Car.</v>
      </c>
      <c r="C114" s="5493" t="str">
        <f t="shared" si="8"/>
        <v>ligne 114 ►</v>
      </c>
      <c r="D114" s="9" t="s">
        <v>98</v>
      </c>
      <c r="E114" s="5492" t="str">
        <f t="shared" si="12"/>
        <v>5 Car.</v>
      </c>
      <c r="F114" s="5493" t="str">
        <f t="shared" si="9"/>
        <v>ligne 114 ►</v>
      </c>
      <c r="G114" s="9" t="s">
        <v>235</v>
      </c>
      <c r="H114" s="5492" t="str">
        <f t="shared" si="13"/>
        <v>10 Car.</v>
      </c>
      <c r="I114" s="5493" t="str">
        <f t="shared" si="10"/>
        <v>ligne 114 ►</v>
      </c>
      <c r="J114" s="9" t="s">
        <v>236</v>
      </c>
      <c r="L114" s="3">
        <v>1</v>
      </c>
    </row>
    <row r="115" spans="2:12">
      <c r="B115" s="5492" t="str">
        <f t="shared" si="11"/>
        <v>13 Car.</v>
      </c>
      <c r="C115" s="5493" t="str">
        <f t="shared" si="8"/>
        <v>ligne 115 ►</v>
      </c>
      <c r="D115" s="9" t="s">
        <v>281</v>
      </c>
      <c r="E115" s="5492" t="str">
        <f t="shared" si="12"/>
        <v>11 Car.</v>
      </c>
      <c r="F115" s="5493" t="str">
        <f t="shared" si="9"/>
        <v>ligne 115 ►</v>
      </c>
      <c r="G115" s="9" t="s">
        <v>285</v>
      </c>
      <c r="H115" s="5492" t="str">
        <f t="shared" si="13"/>
        <v>18 Car.</v>
      </c>
      <c r="I115" s="5493" t="str">
        <f t="shared" si="10"/>
        <v>ligne 115 ►</v>
      </c>
      <c r="J115" s="9" t="s">
        <v>286</v>
      </c>
      <c r="L115" s="3">
        <v>1</v>
      </c>
    </row>
    <row r="116" spans="2:12">
      <c r="B116" s="5492" t="str">
        <f t="shared" si="11"/>
        <v>52 Car.</v>
      </c>
      <c r="C116" s="5493" t="str">
        <f t="shared" si="8"/>
        <v>ligne 116 ►</v>
      </c>
      <c r="D116" s="9" t="s">
        <v>816</v>
      </c>
      <c r="E116" s="5492" t="str">
        <f t="shared" si="12"/>
        <v>37 Car.</v>
      </c>
      <c r="F116" s="5493" t="str">
        <f t="shared" si="9"/>
        <v>ligne 116 ►</v>
      </c>
      <c r="G116" s="9" t="s">
        <v>442</v>
      </c>
      <c r="H116" s="5492" t="str">
        <f t="shared" si="13"/>
        <v>41 Car.</v>
      </c>
      <c r="I116" s="5493" t="str">
        <f t="shared" si="10"/>
        <v>ligne 116 ►</v>
      </c>
      <c r="J116" s="9" t="s">
        <v>443</v>
      </c>
      <c r="L116" s="3">
        <v>1</v>
      </c>
    </row>
    <row r="117" spans="2:12">
      <c r="B117" s="5492" t="str">
        <f t="shared" si="11"/>
        <v>8 Car.</v>
      </c>
      <c r="C117" s="5493" t="str">
        <f t="shared" si="8"/>
        <v>ligne 117 ►</v>
      </c>
      <c r="D117" s="9" t="s">
        <v>467</v>
      </c>
      <c r="E117" s="5492" t="str">
        <f t="shared" si="12"/>
        <v>8 Car.</v>
      </c>
      <c r="F117" s="5493" t="str">
        <f t="shared" si="9"/>
        <v>ligne 117 ►</v>
      </c>
      <c r="G117" s="9" t="s">
        <v>468</v>
      </c>
      <c r="H117" s="5492" t="str">
        <f t="shared" si="13"/>
        <v>15 Car.</v>
      </c>
      <c r="I117" s="5493" t="str">
        <f t="shared" si="10"/>
        <v>ligne 117 ►</v>
      </c>
      <c r="J117" s="9" t="s">
        <v>469</v>
      </c>
      <c r="L117" s="3">
        <v>1</v>
      </c>
    </row>
    <row r="118" spans="2:12">
      <c r="B118" s="5492" t="str">
        <f t="shared" si="11"/>
        <v>8 Car.</v>
      </c>
      <c r="C118" s="5493" t="str">
        <f t="shared" si="8"/>
        <v>ligne 118 ►</v>
      </c>
      <c r="D118" s="9" t="s">
        <v>36</v>
      </c>
      <c r="E118" s="5492" t="str">
        <f t="shared" si="12"/>
        <v>15 Car.</v>
      </c>
      <c r="F118" s="5493" t="str">
        <f t="shared" si="9"/>
        <v>ligne 118 ►</v>
      </c>
      <c r="G118" s="9" t="s">
        <v>473</v>
      </c>
      <c r="H118" s="5492" t="str">
        <f t="shared" si="13"/>
        <v>18 Car.</v>
      </c>
      <c r="I118" s="5493" t="str">
        <f t="shared" si="10"/>
        <v>ligne 118 ►</v>
      </c>
      <c r="J118" s="9" t="s">
        <v>474</v>
      </c>
      <c r="L118" s="3">
        <v>1</v>
      </c>
    </row>
    <row r="119" spans="2:12">
      <c r="B119" s="5492" t="str">
        <f t="shared" si="11"/>
        <v>73 Car.</v>
      </c>
      <c r="C119" s="5493" t="str">
        <f t="shared" si="8"/>
        <v>ligne 119 ►</v>
      </c>
      <c r="D119" s="9" t="s">
        <v>180</v>
      </c>
      <c r="E119" s="5492" t="str">
        <f t="shared" si="12"/>
        <v>80 Car.</v>
      </c>
      <c r="F119" s="5493" t="str">
        <f t="shared" si="9"/>
        <v>ligne 119 ►</v>
      </c>
      <c r="G119" s="9" t="s">
        <v>629</v>
      </c>
      <c r="H119" s="5492" t="str">
        <f t="shared" si="13"/>
        <v>68 Car.</v>
      </c>
      <c r="I119" s="5493" t="str">
        <f t="shared" si="10"/>
        <v>ligne 119 ►</v>
      </c>
      <c r="J119" s="9" t="s">
        <v>630</v>
      </c>
      <c r="L119" s="3">
        <v>1</v>
      </c>
    </row>
    <row r="120" spans="2:12">
      <c r="B120" s="5492" t="str">
        <f t="shared" si="11"/>
        <v>33 Car.</v>
      </c>
      <c r="C120" s="5493" t="str">
        <f t="shared" si="8"/>
        <v>ligne 120 ►</v>
      </c>
      <c r="D120" s="9" t="s">
        <v>164</v>
      </c>
      <c r="E120" s="5492" t="str">
        <f t="shared" si="12"/>
        <v>34 Car.</v>
      </c>
      <c r="F120" s="5493" t="str">
        <f t="shared" si="9"/>
        <v>ligne 120 ►</v>
      </c>
      <c r="G120" s="9" t="s">
        <v>644</v>
      </c>
      <c r="H120" s="5492" t="str">
        <f t="shared" si="13"/>
        <v>32 Car.</v>
      </c>
      <c r="I120" s="5493" t="str">
        <f t="shared" si="10"/>
        <v>ligne 120 ►</v>
      </c>
      <c r="J120" s="9" t="s">
        <v>645</v>
      </c>
      <c r="L120" s="3">
        <v>1</v>
      </c>
    </row>
    <row r="121" spans="2:12">
      <c r="B121" s="5492" t="str">
        <f t="shared" si="11"/>
        <v>15 Car.</v>
      </c>
      <c r="C121" s="5493" t="str">
        <f t="shared" si="8"/>
        <v>ligne 121 ►</v>
      </c>
      <c r="D121" s="9" t="s">
        <v>186</v>
      </c>
      <c r="E121" s="5492" t="str">
        <f t="shared" si="12"/>
        <v>9 Car.</v>
      </c>
      <c r="F121" s="5493" t="str">
        <f t="shared" si="9"/>
        <v>ligne 121 ►</v>
      </c>
      <c r="G121" s="9" t="s">
        <v>659</v>
      </c>
      <c r="H121" s="5492" t="str">
        <f t="shared" si="13"/>
        <v>27 Car.</v>
      </c>
      <c r="I121" s="5493" t="str">
        <f t="shared" si="10"/>
        <v>ligne 121 ►</v>
      </c>
      <c r="J121" s="9" t="s">
        <v>660</v>
      </c>
      <c r="L121" s="3">
        <v>1</v>
      </c>
    </row>
    <row r="122" spans="2:12">
      <c r="B122" s="5492" t="str">
        <f t="shared" si="11"/>
        <v>58 Car.</v>
      </c>
      <c r="C122" s="5493" t="str">
        <f t="shared" si="8"/>
        <v>ligne 122 ►</v>
      </c>
      <c r="D122" s="9" t="s">
        <v>697</v>
      </c>
      <c r="E122" s="5492" t="str">
        <f t="shared" si="12"/>
        <v>51 Car.</v>
      </c>
      <c r="F122" s="5493" t="str">
        <f t="shared" si="9"/>
        <v>ligne 122 ►</v>
      </c>
      <c r="G122" s="9" t="s">
        <v>699</v>
      </c>
      <c r="H122" s="5492" t="str">
        <f t="shared" si="13"/>
        <v>58 Car.</v>
      </c>
      <c r="I122" s="5493" t="str">
        <f t="shared" si="10"/>
        <v>ligne 122 ►</v>
      </c>
      <c r="J122" s="9" t="s">
        <v>701</v>
      </c>
      <c r="L122" s="3">
        <v>1</v>
      </c>
    </row>
    <row r="123" spans="2:12">
      <c r="B123" s="5492" t="str">
        <f t="shared" si="11"/>
        <v>42 Car.</v>
      </c>
      <c r="C123" s="5493" t="str">
        <f t="shared" si="8"/>
        <v>ligne 123 ►</v>
      </c>
      <c r="D123" s="9" t="s">
        <v>698</v>
      </c>
      <c r="E123" s="5492" t="str">
        <f t="shared" si="12"/>
        <v>38 Car.</v>
      </c>
      <c r="F123" s="5493" t="str">
        <f t="shared" si="9"/>
        <v>ligne 123 ►</v>
      </c>
      <c r="G123" s="9" t="s">
        <v>700</v>
      </c>
      <c r="H123" s="5492" t="str">
        <f t="shared" si="13"/>
        <v>39 Car.</v>
      </c>
      <c r="I123" s="5493" t="str">
        <f t="shared" si="10"/>
        <v>ligne 123 ►</v>
      </c>
      <c r="J123" s="9" t="s">
        <v>702</v>
      </c>
      <c r="L123" s="3">
        <v>1</v>
      </c>
    </row>
    <row r="124" spans="2:12">
      <c r="B124" s="5492" t="str">
        <f t="shared" si="11"/>
        <v>62 Car.</v>
      </c>
      <c r="C124" s="5493" t="str">
        <f t="shared" si="8"/>
        <v>ligne 124 ►</v>
      </c>
      <c r="D124" s="9" t="s">
        <v>220</v>
      </c>
      <c r="E124" s="5492" t="str">
        <f t="shared" si="12"/>
        <v>47 Car.</v>
      </c>
      <c r="F124" s="5493" t="str">
        <f t="shared" si="9"/>
        <v>ligne 124 ►</v>
      </c>
      <c r="G124" s="9" t="s">
        <v>729</v>
      </c>
      <c r="H124" s="5492" t="str">
        <f t="shared" si="13"/>
        <v>60 Car.</v>
      </c>
      <c r="I124" s="5493" t="str">
        <f t="shared" si="10"/>
        <v>ligne 124 ►</v>
      </c>
      <c r="J124" s="9" t="s">
        <v>730</v>
      </c>
      <c r="L124" s="3">
        <v>1</v>
      </c>
    </row>
    <row r="125" spans="2:12">
      <c r="B125" s="5492" t="str">
        <f t="shared" si="11"/>
        <v>7 Car.</v>
      </c>
      <c r="C125" s="5493" t="str">
        <f t="shared" si="8"/>
        <v>ligne 125 ►</v>
      </c>
      <c r="D125" s="9" t="s">
        <v>324</v>
      </c>
      <c r="E125" s="5492" t="str">
        <f t="shared" si="12"/>
        <v>7 Car.</v>
      </c>
      <c r="F125" s="5493" t="str">
        <f t="shared" si="9"/>
        <v>ligne 125 ►</v>
      </c>
      <c r="G125" s="9" t="s">
        <v>756</v>
      </c>
      <c r="H125" s="5492" t="str">
        <f t="shared" si="13"/>
        <v>7 Car.</v>
      </c>
      <c r="I125" s="5493" t="str">
        <f t="shared" si="10"/>
        <v>ligne 125 ►</v>
      </c>
      <c r="J125" s="9" t="s">
        <v>758</v>
      </c>
      <c r="L125" s="3">
        <v>1</v>
      </c>
    </row>
    <row r="126" spans="2:12">
      <c r="B126" s="5492" t="str">
        <f t="shared" si="11"/>
        <v>10 Car.</v>
      </c>
      <c r="C126" s="5493" t="str">
        <f t="shared" si="8"/>
        <v>ligne 126 ►</v>
      </c>
      <c r="D126" s="9" t="s">
        <v>358</v>
      </c>
      <c r="E126" s="5492" t="str">
        <f t="shared" si="12"/>
        <v>10 Car.</v>
      </c>
      <c r="F126" s="5493" t="str">
        <f t="shared" si="9"/>
        <v>ligne 126 ►</v>
      </c>
      <c r="G126" s="9" t="s">
        <v>358</v>
      </c>
      <c r="H126" s="5492" t="str">
        <f t="shared" si="13"/>
        <v>10 Car.</v>
      </c>
      <c r="I126" s="5493" t="str">
        <f t="shared" si="10"/>
        <v>ligne 126 ►</v>
      </c>
      <c r="J126" s="9" t="s">
        <v>771</v>
      </c>
      <c r="L126" s="3">
        <v>1</v>
      </c>
    </row>
    <row r="127" spans="2:12">
      <c r="B127" s="5492" t="str">
        <f t="shared" si="11"/>
        <v>109 Car.</v>
      </c>
      <c r="C127" s="5493" t="str">
        <f t="shared" si="8"/>
        <v>ligne 127 ►</v>
      </c>
      <c r="D127" s="9" t="s">
        <v>411</v>
      </c>
      <c r="E127" s="5492" t="str">
        <f t="shared" si="12"/>
        <v>117 Car.</v>
      </c>
      <c r="F127" s="5493" t="str">
        <f t="shared" si="9"/>
        <v>ligne 127 ►</v>
      </c>
      <c r="G127" s="9" t="s">
        <v>790</v>
      </c>
      <c r="H127" s="5492" t="str">
        <f t="shared" si="13"/>
        <v>120 Car.</v>
      </c>
      <c r="I127" s="5493" t="str">
        <f t="shared" si="10"/>
        <v>ligne 127 ►</v>
      </c>
      <c r="J127" s="9" t="s">
        <v>791</v>
      </c>
      <c r="L127" s="3">
        <v>1</v>
      </c>
    </row>
    <row r="128" spans="2:12">
      <c r="B128" s="5492" t="str">
        <f t="shared" si="11"/>
        <v>57 Car.</v>
      </c>
      <c r="C128" s="5493" t="str">
        <f t="shared" si="8"/>
        <v>ligne 128 ►</v>
      </c>
      <c r="D128" s="9" t="s">
        <v>9049</v>
      </c>
      <c r="E128" s="5492" t="str">
        <f t="shared" si="12"/>
        <v>37 Car.</v>
      </c>
      <c r="F128" s="5493" t="str">
        <f t="shared" si="9"/>
        <v>ligne 128 ►</v>
      </c>
      <c r="G128" s="9" t="s">
        <v>3017</v>
      </c>
      <c r="H128" s="5492" t="str">
        <f t="shared" si="13"/>
        <v>45 Car.</v>
      </c>
      <c r="I128" s="5493" t="str">
        <f t="shared" si="10"/>
        <v>ligne 128 ►</v>
      </c>
      <c r="J128" s="9" t="s">
        <v>3010</v>
      </c>
      <c r="L128" s="3">
        <v>1</v>
      </c>
    </row>
    <row r="129" spans="2:12">
      <c r="B129" s="5492" t="str">
        <f t="shared" si="11"/>
        <v>137 Car.</v>
      </c>
      <c r="C129" s="5493" t="str">
        <f t="shared" si="8"/>
        <v>ligne 129 ►</v>
      </c>
      <c r="D129" s="9" t="s">
        <v>9073</v>
      </c>
      <c r="E129" s="5492" t="str">
        <f t="shared" si="12"/>
        <v>122 Car.</v>
      </c>
      <c r="F129" s="5493" t="str">
        <f t="shared" si="9"/>
        <v>ligne 129 ►</v>
      </c>
      <c r="G129" s="9" t="s">
        <v>3090</v>
      </c>
      <c r="H129" s="5492" t="str">
        <f t="shared" si="13"/>
        <v>130 Car.</v>
      </c>
      <c r="I129" s="5493" t="str">
        <f t="shared" si="10"/>
        <v>ligne 129 ►</v>
      </c>
      <c r="J129" s="9" t="s">
        <v>3095</v>
      </c>
      <c r="L129" s="3">
        <v>1</v>
      </c>
    </row>
    <row r="130" spans="2:12">
      <c r="B130" s="5492" t="str">
        <f t="shared" si="11"/>
        <v>33 Car.</v>
      </c>
      <c r="C130" s="5493" t="str">
        <f t="shared" si="8"/>
        <v>ligne 130 ►</v>
      </c>
      <c r="D130" s="9" t="s">
        <v>9104</v>
      </c>
      <c r="E130" s="5492" t="str">
        <f t="shared" si="12"/>
        <v>34 Car.</v>
      </c>
      <c r="F130" s="5493" t="str">
        <f t="shared" si="9"/>
        <v>ligne 130 ►</v>
      </c>
      <c r="G130" s="9" t="s">
        <v>9105</v>
      </c>
      <c r="H130" s="5492" t="str">
        <f t="shared" si="13"/>
        <v>32 Car.</v>
      </c>
      <c r="I130" s="5493" t="str">
        <f t="shared" si="10"/>
        <v>ligne 130 ►</v>
      </c>
      <c r="J130" s="9" t="s">
        <v>873</v>
      </c>
      <c r="L130" s="3">
        <v>1</v>
      </c>
    </row>
    <row r="131" spans="2:12">
      <c r="B131" s="5492" t="str">
        <f t="shared" si="11"/>
        <v>61 Car.</v>
      </c>
      <c r="C131" s="5493" t="str">
        <f t="shared" si="8"/>
        <v>ligne 131 ►</v>
      </c>
      <c r="D131" s="9" t="s">
        <v>9112</v>
      </c>
      <c r="E131" s="5492" t="str">
        <f t="shared" si="12"/>
        <v>55 Car.</v>
      </c>
      <c r="F131" s="5493" t="str">
        <f t="shared" si="9"/>
        <v>ligne 131 ►</v>
      </c>
      <c r="G131" s="9" t="s">
        <v>9113</v>
      </c>
      <c r="H131" s="5492" t="str">
        <f t="shared" si="13"/>
        <v>56 Car.</v>
      </c>
      <c r="I131" s="5493" t="str">
        <f t="shared" si="10"/>
        <v>ligne 131 ►</v>
      </c>
      <c r="J131" s="9" t="s">
        <v>9114</v>
      </c>
      <c r="L131" s="3">
        <v>1</v>
      </c>
    </row>
    <row r="132" spans="2:12" ht="15" customHeight="1">
      <c r="B132" s="5492" t="str">
        <f t="shared" si="11"/>
        <v>10 Car.</v>
      </c>
      <c r="C132" s="5493" t="str">
        <f t="shared" si="8"/>
        <v>ligne 132 ►</v>
      </c>
      <c r="D132" s="9" t="s">
        <v>9198</v>
      </c>
      <c r="E132" s="5492" t="str">
        <f t="shared" si="12"/>
        <v>9 Car.</v>
      </c>
      <c r="F132" s="5493" t="str">
        <f t="shared" si="9"/>
        <v>ligne 132 ►</v>
      </c>
      <c r="G132" s="9" t="s">
        <v>9199</v>
      </c>
      <c r="H132" s="5492" t="str">
        <f t="shared" si="13"/>
        <v>10 Car.</v>
      </c>
      <c r="I132" s="5493" t="str">
        <f t="shared" si="10"/>
        <v>ligne 132 ►</v>
      </c>
      <c r="J132" s="9" t="s">
        <v>9200</v>
      </c>
      <c r="L132" s="3">
        <v>1</v>
      </c>
    </row>
    <row r="133" spans="2:12">
      <c r="B133" s="5492" t="str">
        <f t="shared" si="11"/>
        <v>8 Car.</v>
      </c>
      <c r="C133" s="5493" t="str">
        <f t="shared" si="8"/>
        <v>ligne 133 ►</v>
      </c>
      <c r="D133" s="9" t="s">
        <v>9201</v>
      </c>
      <c r="E133" s="5492" t="str">
        <f t="shared" si="12"/>
        <v>7 Car.</v>
      </c>
      <c r="F133" s="5493" t="str">
        <f t="shared" si="9"/>
        <v>ligne 133 ►</v>
      </c>
      <c r="G133" s="9" t="s">
        <v>9202</v>
      </c>
      <c r="H133" s="5492" t="str">
        <f t="shared" si="13"/>
        <v>9 Car.</v>
      </c>
      <c r="I133" s="5493" t="str">
        <f t="shared" si="10"/>
        <v>ligne 133 ►</v>
      </c>
      <c r="J133" s="9" t="s">
        <v>9203</v>
      </c>
      <c r="L133" s="3">
        <v>1</v>
      </c>
    </row>
    <row r="134" spans="2:12">
      <c r="B134" s="5492" t="str">
        <f t="shared" si="11"/>
        <v>15 Car.</v>
      </c>
      <c r="C134" s="5493" t="str">
        <f t="shared" si="8"/>
        <v>ligne 134 ►</v>
      </c>
      <c r="D134" s="9" t="s">
        <v>9204</v>
      </c>
      <c r="E134" s="5492" t="str">
        <f t="shared" si="12"/>
        <v>15 Car.</v>
      </c>
      <c r="F134" s="5493" t="str">
        <f t="shared" si="9"/>
        <v>ligne 134 ►</v>
      </c>
      <c r="G134" s="9" t="s">
        <v>9205</v>
      </c>
      <c r="H134" s="5492" t="str">
        <f t="shared" si="13"/>
        <v>16 Car.</v>
      </c>
      <c r="I134" s="5493" t="str">
        <f t="shared" si="10"/>
        <v>ligne 134 ►</v>
      </c>
      <c r="J134" s="9" t="s">
        <v>9206</v>
      </c>
      <c r="L134" s="3">
        <v>1</v>
      </c>
    </row>
    <row r="135" spans="2:12">
      <c r="B135" s="5492" t="str">
        <f t="shared" si="11"/>
        <v>23 Car.</v>
      </c>
      <c r="C135" s="5493" t="str">
        <f t="shared" si="8"/>
        <v>ligne 135 ►</v>
      </c>
      <c r="D135" s="9" t="s">
        <v>9207</v>
      </c>
      <c r="E135" s="5492" t="str">
        <f t="shared" si="12"/>
        <v>63 Car.</v>
      </c>
      <c r="F135" s="5493" t="str">
        <f t="shared" si="9"/>
        <v>ligne 135 ►</v>
      </c>
      <c r="G135" s="9" t="s">
        <v>9208</v>
      </c>
      <c r="H135" s="5492" t="str">
        <f t="shared" si="13"/>
        <v>20 Car.</v>
      </c>
      <c r="I135" s="5493" t="str">
        <f t="shared" si="10"/>
        <v>ligne 135 ►</v>
      </c>
      <c r="J135" s="9" t="s">
        <v>9209</v>
      </c>
      <c r="L135" s="3">
        <v>1</v>
      </c>
    </row>
    <row r="136" spans="2:12">
      <c r="B136" s="5492" t="str">
        <f t="shared" si="11"/>
        <v>11 Car.</v>
      </c>
      <c r="C136" s="5493" t="str">
        <f t="shared" ref="C136:C199" si="14">"ligne "&amp;ROW()&amp;" ►"</f>
        <v>ligne 136 ►</v>
      </c>
      <c r="D136" s="9" t="s">
        <v>9210</v>
      </c>
      <c r="E136" s="5492" t="str">
        <f t="shared" si="12"/>
        <v>10 Car.</v>
      </c>
      <c r="F136" s="5493" t="str">
        <f t="shared" ref="F136:F199" si="15">"ligne "&amp;ROW()&amp;" ►"</f>
        <v>ligne 136 ►</v>
      </c>
      <c r="G136" s="9" t="s">
        <v>9211</v>
      </c>
      <c r="H136" s="5492" t="str">
        <f t="shared" si="13"/>
        <v>14 Car.</v>
      </c>
      <c r="I136" s="5493" t="str">
        <f t="shared" ref="I136:I199" si="16">"ligne "&amp;ROW()&amp;" ►"</f>
        <v>ligne 136 ►</v>
      </c>
      <c r="J136" s="9" t="s">
        <v>9212</v>
      </c>
      <c r="L136" s="3">
        <v>1</v>
      </c>
    </row>
    <row r="137" spans="2:12">
      <c r="B137" s="5492" t="str">
        <f t="shared" ref="B137:B200" si="17">SUMPRODUCT(--(D137&lt;&gt;""), LEN(TRIM(SUBSTITUTE(D137, CHAR(160), "")))) &amp; " Car."</f>
        <v>16 Car.</v>
      </c>
      <c r="C137" s="5493" t="str">
        <f t="shared" si="14"/>
        <v>ligne 137 ►</v>
      </c>
      <c r="D137" s="9" t="s">
        <v>9213</v>
      </c>
      <c r="E137" s="5492" t="str">
        <f t="shared" ref="E137:E200" si="18">SUMPRODUCT(--(G137&lt;&gt;""), LEN(TRIM(SUBSTITUTE(G137, CHAR(160), "")))) &amp; " Car."</f>
        <v>15 Car.</v>
      </c>
      <c r="F137" s="5493" t="str">
        <f t="shared" si="15"/>
        <v>ligne 137 ►</v>
      </c>
      <c r="G137" s="9" t="s">
        <v>9214</v>
      </c>
      <c r="H137" s="5492" t="str">
        <f t="shared" ref="H137:H200" si="19">SUMPRODUCT(--(J137&lt;&gt;""), LEN(TRIM(SUBSTITUTE(J137, CHAR(160), "")))) &amp; " Car."</f>
        <v>15 Car.</v>
      </c>
      <c r="I137" s="5493" t="str">
        <f t="shared" si="16"/>
        <v>ligne 137 ►</v>
      </c>
      <c r="J137" s="9" t="s">
        <v>9215</v>
      </c>
      <c r="L137" s="3">
        <v>1</v>
      </c>
    </row>
    <row r="138" spans="2:12">
      <c r="B138" s="5492" t="str">
        <f t="shared" si="17"/>
        <v>29 Car.</v>
      </c>
      <c r="C138" s="5493" t="str">
        <f t="shared" si="14"/>
        <v>ligne 138 ►</v>
      </c>
      <c r="D138" s="9" t="s">
        <v>9216</v>
      </c>
      <c r="E138" s="5492" t="str">
        <f t="shared" si="18"/>
        <v>27 Car.</v>
      </c>
      <c r="F138" s="5493" t="str">
        <f t="shared" si="15"/>
        <v>ligne 138 ►</v>
      </c>
      <c r="G138" s="9" t="s">
        <v>9217</v>
      </c>
      <c r="H138" s="5492" t="str">
        <f t="shared" si="19"/>
        <v>28 Car.</v>
      </c>
      <c r="I138" s="5493" t="str">
        <f t="shared" si="16"/>
        <v>ligne 138 ►</v>
      </c>
      <c r="J138" s="9" t="s">
        <v>9218</v>
      </c>
      <c r="L138" s="3">
        <v>1</v>
      </c>
    </row>
    <row r="139" spans="2:12">
      <c r="B139" s="5492" t="str">
        <f t="shared" si="17"/>
        <v>45 Car.</v>
      </c>
      <c r="C139" s="5493" t="str">
        <f t="shared" si="14"/>
        <v>ligne 139 ►</v>
      </c>
      <c r="D139" s="9" t="s">
        <v>9322</v>
      </c>
      <c r="E139" s="5492" t="str">
        <f t="shared" si="18"/>
        <v>43 Car.</v>
      </c>
      <c r="F139" s="5493" t="str">
        <f t="shared" si="15"/>
        <v>ligne 139 ►</v>
      </c>
      <c r="G139" s="9" t="s">
        <v>9323</v>
      </c>
      <c r="H139" s="5492" t="str">
        <f t="shared" si="19"/>
        <v>44 Car.</v>
      </c>
      <c r="I139" s="5493" t="str">
        <f t="shared" si="16"/>
        <v>ligne 139 ►</v>
      </c>
      <c r="J139" s="9" t="s">
        <v>9324</v>
      </c>
      <c r="L139" s="3">
        <v>1</v>
      </c>
    </row>
    <row r="140" spans="2:12" ht="15" customHeight="1">
      <c r="B140" s="5492" t="str">
        <f t="shared" si="17"/>
        <v>60 Car.</v>
      </c>
      <c r="C140" s="5493" t="str">
        <f t="shared" si="14"/>
        <v>ligne 140 ►</v>
      </c>
      <c r="D140" s="9" t="s">
        <v>9343</v>
      </c>
      <c r="E140" s="5492" t="str">
        <f t="shared" si="18"/>
        <v>49 Car.</v>
      </c>
      <c r="F140" s="5493" t="str">
        <f t="shared" si="15"/>
        <v>ligne 140 ►</v>
      </c>
      <c r="G140" s="9" t="s">
        <v>9344</v>
      </c>
      <c r="H140" s="5492" t="str">
        <f t="shared" si="19"/>
        <v>50 Car.</v>
      </c>
      <c r="I140" s="5493" t="str">
        <f t="shared" si="16"/>
        <v>ligne 140 ►</v>
      </c>
      <c r="J140" s="9" t="s">
        <v>9345</v>
      </c>
      <c r="L140" s="3">
        <v>1</v>
      </c>
    </row>
    <row r="141" spans="2:12">
      <c r="B141" s="5492" t="str">
        <f t="shared" si="17"/>
        <v>93 Car.</v>
      </c>
      <c r="C141" s="5493" t="str">
        <f t="shared" si="14"/>
        <v>ligne 141 ►</v>
      </c>
      <c r="D141" s="9" t="s">
        <v>806</v>
      </c>
      <c r="E141" s="5492" t="str">
        <f t="shared" si="18"/>
        <v>84 Car.</v>
      </c>
      <c r="F141" s="5493" t="str">
        <f t="shared" si="15"/>
        <v>ligne 141 ►</v>
      </c>
      <c r="G141" s="9" t="s">
        <v>262</v>
      </c>
      <c r="H141" s="5492" t="str">
        <f t="shared" si="19"/>
        <v>84 Car.</v>
      </c>
      <c r="I141" s="5493" t="str">
        <f t="shared" si="16"/>
        <v>ligne 141 ►</v>
      </c>
      <c r="J141" s="9" t="s">
        <v>263</v>
      </c>
      <c r="L141" s="3">
        <v>1</v>
      </c>
    </row>
    <row r="142" spans="2:12">
      <c r="B142" s="5492" t="str">
        <f t="shared" si="17"/>
        <v>37 Car.</v>
      </c>
      <c r="C142" s="5493" t="str">
        <f t="shared" si="14"/>
        <v>ligne 142 ►</v>
      </c>
      <c r="D142" s="9" t="s">
        <v>393</v>
      </c>
      <c r="E142" s="5492" t="str">
        <f t="shared" si="18"/>
        <v>31 Car.</v>
      </c>
      <c r="F142" s="5493" t="str">
        <f t="shared" si="15"/>
        <v>ligne 142 ►</v>
      </c>
      <c r="G142" s="9" t="s">
        <v>394</v>
      </c>
      <c r="H142" s="5492" t="str">
        <f t="shared" si="19"/>
        <v>33 Car.</v>
      </c>
      <c r="I142" s="5493" t="str">
        <f t="shared" si="16"/>
        <v>ligne 142 ►</v>
      </c>
      <c r="J142" s="9" t="s">
        <v>395</v>
      </c>
      <c r="L142" s="3">
        <v>1</v>
      </c>
    </row>
    <row r="143" spans="2:12">
      <c r="B143" s="5492" t="str">
        <f t="shared" si="17"/>
        <v>39 Car.</v>
      </c>
      <c r="C143" s="5493" t="str">
        <f t="shared" si="14"/>
        <v>ligne 143 ►</v>
      </c>
      <c r="D143" s="9" t="s">
        <v>167</v>
      </c>
      <c r="E143" s="5492" t="str">
        <f t="shared" si="18"/>
        <v>37 Car.</v>
      </c>
      <c r="F143" s="5493" t="str">
        <f t="shared" si="15"/>
        <v>ligne 143 ►</v>
      </c>
      <c r="G143" s="9" t="s">
        <v>646</v>
      </c>
      <c r="H143" s="5492" t="str">
        <f t="shared" si="19"/>
        <v>36 Car.</v>
      </c>
      <c r="I143" s="5493" t="str">
        <f t="shared" si="16"/>
        <v>ligne 143 ►</v>
      </c>
      <c r="J143" s="9" t="s">
        <v>647</v>
      </c>
      <c r="L143" s="3">
        <v>1</v>
      </c>
    </row>
    <row r="144" spans="2:12">
      <c r="B144" s="5492" t="str">
        <f t="shared" si="17"/>
        <v>70 Car.</v>
      </c>
      <c r="C144" s="5493" t="str">
        <f t="shared" si="14"/>
        <v>ligne 144 ►</v>
      </c>
      <c r="D144" s="9" t="s">
        <v>225</v>
      </c>
      <c r="E144" s="5492" t="str">
        <f t="shared" si="18"/>
        <v>58 Car.</v>
      </c>
      <c r="F144" s="5493" t="str">
        <f t="shared" si="15"/>
        <v>ligne 144 ►</v>
      </c>
      <c r="G144" s="9" t="s">
        <v>736</v>
      </c>
      <c r="H144" s="5492" t="str">
        <f t="shared" si="19"/>
        <v>72 Car.</v>
      </c>
      <c r="I144" s="5493" t="str">
        <f t="shared" si="16"/>
        <v>ligne 144 ►</v>
      </c>
      <c r="J144" s="9" t="s">
        <v>737</v>
      </c>
      <c r="L144" s="3">
        <v>1</v>
      </c>
    </row>
    <row r="145" spans="2:12">
      <c r="B145" s="5492" t="str">
        <f t="shared" si="17"/>
        <v>61 Car.</v>
      </c>
      <c r="C145" s="5493" t="str">
        <f t="shared" si="14"/>
        <v>ligne 145 ►</v>
      </c>
      <c r="D145" s="9" t="s">
        <v>260</v>
      </c>
      <c r="E145" s="5492" t="str">
        <f t="shared" si="18"/>
        <v>53 Car.</v>
      </c>
      <c r="F145" s="5493" t="str">
        <f t="shared" si="15"/>
        <v>ligne 145 ►</v>
      </c>
      <c r="G145" s="9" t="s">
        <v>739</v>
      </c>
      <c r="H145" s="5492" t="str">
        <f t="shared" si="19"/>
        <v>55 Car.</v>
      </c>
      <c r="I145" s="5493" t="str">
        <f t="shared" si="16"/>
        <v>ligne 145 ►</v>
      </c>
      <c r="J145" s="9" t="s">
        <v>740</v>
      </c>
      <c r="L145" s="3">
        <v>1</v>
      </c>
    </row>
    <row r="146" spans="2:12">
      <c r="B146" s="5492" t="str">
        <f t="shared" si="17"/>
        <v>34 Car.</v>
      </c>
      <c r="C146" s="5493" t="str">
        <f t="shared" si="14"/>
        <v>ligne 146 ►</v>
      </c>
      <c r="D146" s="9" t="s">
        <v>264</v>
      </c>
      <c r="E146" s="5492" t="str">
        <f t="shared" si="18"/>
        <v>34 Car.</v>
      </c>
      <c r="F146" s="5493" t="str">
        <f t="shared" si="15"/>
        <v>ligne 146 ►</v>
      </c>
      <c r="G146" s="9" t="s">
        <v>741</v>
      </c>
      <c r="H146" s="5492" t="str">
        <f t="shared" si="19"/>
        <v>33 Car.</v>
      </c>
      <c r="I146" s="5493" t="str">
        <f t="shared" si="16"/>
        <v>ligne 146 ►</v>
      </c>
      <c r="J146" s="9" t="s">
        <v>742</v>
      </c>
      <c r="L146" s="3">
        <v>1</v>
      </c>
    </row>
    <row r="147" spans="2:12">
      <c r="B147" s="5492" t="str">
        <f t="shared" si="17"/>
        <v>375 Car.</v>
      </c>
      <c r="C147" s="5493" t="str">
        <f t="shared" si="14"/>
        <v>ligne 147 ►</v>
      </c>
      <c r="D147" s="9" t="s">
        <v>287</v>
      </c>
      <c r="E147" s="5492" t="str">
        <f t="shared" si="18"/>
        <v>311 Car.</v>
      </c>
      <c r="F147" s="5493" t="str">
        <f t="shared" si="15"/>
        <v>ligne 147 ►</v>
      </c>
      <c r="G147" s="9" t="s">
        <v>749</v>
      </c>
      <c r="H147" s="5492" t="str">
        <f t="shared" si="19"/>
        <v>364 Car.</v>
      </c>
      <c r="I147" s="5493" t="str">
        <f t="shared" si="16"/>
        <v>ligne 147 ►</v>
      </c>
      <c r="J147" s="9" t="s">
        <v>750</v>
      </c>
      <c r="L147" s="3">
        <v>1</v>
      </c>
    </row>
    <row r="148" spans="2:12">
      <c r="B148" s="5492" t="str">
        <f t="shared" si="17"/>
        <v>7 Car.</v>
      </c>
      <c r="C148" s="5493" t="str">
        <f t="shared" si="14"/>
        <v>ligne 148 ►</v>
      </c>
      <c r="D148" s="9" t="s">
        <v>387</v>
      </c>
      <c r="E148" s="5492" t="str">
        <f t="shared" si="18"/>
        <v>7 Car.</v>
      </c>
      <c r="F148" s="5493" t="str">
        <f t="shared" si="15"/>
        <v>ligne 148 ►</v>
      </c>
      <c r="G148" s="9" t="s">
        <v>387</v>
      </c>
      <c r="H148" s="5492" t="str">
        <f t="shared" si="19"/>
        <v>6 Car.</v>
      </c>
      <c r="I148" s="5493" t="str">
        <f t="shared" si="16"/>
        <v>ligne 148 ►</v>
      </c>
      <c r="J148" s="9" t="s">
        <v>785</v>
      </c>
      <c r="L148" s="3">
        <v>1</v>
      </c>
    </row>
    <row r="149" spans="2:12">
      <c r="B149" s="5492" t="str">
        <f t="shared" si="17"/>
        <v>7 Car.</v>
      </c>
      <c r="C149" s="5493" t="str">
        <f t="shared" si="14"/>
        <v>ligne 149 ►</v>
      </c>
      <c r="D149" s="878" t="s">
        <v>9086</v>
      </c>
      <c r="E149" s="5492" t="str">
        <f t="shared" si="18"/>
        <v>4 Car.</v>
      </c>
      <c r="F149" s="5493" t="str">
        <f t="shared" si="15"/>
        <v>ligne 149 ►</v>
      </c>
      <c r="G149" s="9" t="s">
        <v>9087</v>
      </c>
      <c r="H149" s="5492" t="str">
        <f t="shared" si="19"/>
        <v>5 Car.</v>
      </c>
      <c r="I149" s="5493" t="str">
        <f t="shared" si="16"/>
        <v>ligne 149 ►</v>
      </c>
      <c r="J149" s="9" t="s">
        <v>9088</v>
      </c>
      <c r="L149" s="3">
        <v>1</v>
      </c>
    </row>
    <row r="150" spans="2:12" ht="15" customHeight="1">
      <c r="B150" s="5492" t="str">
        <f t="shared" si="17"/>
        <v>40 Car.</v>
      </c>
      <c r="C150" s="5493" t="str">
        <f t="shared" si="14"/>
        <v>ligne 150 ►</v>
      </c>
      <c r="D150" s="9" t="s">
        <v>9106</v>
      </c>
      <c r="E150" s="5492" t="str">
        <f t="shared" si="18"/>
        <v>37 Car.</v>
      </c>
      <c r="F150" s="5493" t="str">
        <f t="shared" si="15"/>
        <v>ligne 150 ►</v>
      </c>
      <c r="G150" s="9" t="s">
        <v>9107</v>
      </c>
      <c r="H150" s="5492" t="str">
        <f t="shared" si="19"/>
        <v>36 Car.</v>
      </c>
      <c r="I150" s="5493" t="str">
        <f t="shared" si="16"/>
        <v>ligne 150 ►</v>
      </c>
      <c r="J150" s="9" t="s">
        <v>9108</v>
      </c>
      <c r="L150" s="3">
        <v>1</v>
      </c>
    </row>
    <row r="151" spans="2:12">
      <c r="B151" s="5492" t="str">
        <f t="shared" si="17"/>
        <v>61 Car.</v>
      </c>
      <c r="C151" s="5493" t="str">
        <f t="shared" si="14"/>
        <v>ligne 151 ►</v>
      </c>
      <c r="D151" s="9" t="s">
        <v>9186</v>
      </c>
      <c r="E151" s="5492" t="str">
        <f t="shared" si="18"/>
        <v>52 Car.</v>
      </c>
      <c r="F151" s="5493" t="str">
        <f t="shared" si="15"/>
        <v>ligne 151 ►</v>
      </c>
      <c r="G151" s="9" t="s">
        <v>9187</v>
      </c>
      <c r="H151" s="5492" t="str">
        <f t="shared" si="19"/>
        <v>64 Car.</v>
      </c>
      <c r="I151" s="5493" t="str">
        <f t="shared" si="16"/>
        <v>ligne 151 ►</v>
      </c>
      <c r="J151" s="9" t="s">
        <v>9188</v>
      </c>
      <c r="L151" s="3">
        <v>1</v>
      </c>
    </row>
    <row r="152" spans="2:12">
      <c r="B152" s="5492" t="str">
        <f t="shared" si="17"/>
        <v>106 Car.</v>
      </c>
      <c r="C152" s="5493" t="str">
        <f t="shared" si="14"/>
        <v>ligne 152 ►</v>
      </c>
      <c r="D152" s="9" t="s">
        <v>187</v>
      </c>
      <c r="E152" s="5492" t="str">
        <f t="shared" si="18"/>
        <v>106 Car.</v>
      </c>
      <c r="F152" s="5493" t="str">
        <f t="shared" si="15"/>
        <v>ligne 152 ►</v>
      </c>
      <c r="G152" s="9" t="s">
        <v>188</v>
      </c>
      <c r="H152" s="5492" t="str">
        <f t="shared" si="19"/>
        <v>105 Car.</v>
      </c>
      <c r="I152" s="5493" t="str">
        <f t="shared" si="16"/>
        <v>ligne 152 ►</v>
      </c>
      <c r="J152" s="9" t="s">
        <v>189</v>
      </c>
      <c r="L152" s="3">
        <v>1</v>
      </c>
    </row>
    <row r="153" spans="2:12">
      <c r="B153" s="5492" t="str">
        <f t="shared" si="17"/>
        <v>67 Car.</v>
      </c>
      <c r="C153" s="5493" t="str">
        <f t="shared" si="14"/>
        <v>ligne 153 ►</v>
      </c>
      <c r="D153" s="9" t="s">
        <v>817</v>
      </c>
      <c r="E153" s="5492" t="str">
        <f t="shared" si="18"/>
        <v>58 Car.</v>
      </c>
      <c r="F153" s="5493" t="str">
        <f t="shared" si="15"/>
        <v>ligne 153 ►</v>
      </c>
      <c r="G153" s="9" t="s">
        <v>462</v>
      </c>
      <c r="H153" s="5492" t="str">
        <f t="shared" si="19"/>
        <v>66 Car.</v>
      </c>
      <c r="I153" s="5493" t="str">
        <f t="shared" si="16"/>
        <v>ligne 153 ►</v>
      </c>
      <c r="J153" s="9" t="s">
        <v>463</v>
      </c>
      <c r="L153" s="3">
        <v>1</v>
      </c>
    </row>
    <row r="154" spans="2:12">
      <c r="B154" s="5492" t="str">
        <f t="shared" si="17"/>
        <v>11 Car.</v>
      </c>
      <c r="C154" s="5493" t="str">
        <f t="shared" si="14"/>
        <v>ligne 154 ►</v>
      </c>
      <c r="D154" s="9" t="s">
        <v>190</v>
      </c>
      <c r="E154" s="5492" t="str">
        <f t="shared" si="18"/>
        <v>11 Car.</v>
      </c>
      <c r="F154" s="5493" t="str">
        <f t="shared" si="15"/>
        <v>ligne 154 ►</v>
      </c>
      <c r="G154" s="9" t="s">
        <v>661</v>
      </c>
      <c r="H154" s="5492" t="str">
        <f t="shared" si="19"/>
        <v>11 Car.</v>
      </c>
      <c r="I154" s="5493" t="str">
        <f t="shared" si="16"/>
        <v>ligne 154 ►</v>
      </c>
      <c r="J154" s="9" t="s">
        <v>663</v>
      </c>
      <c r="L154" s="3">
        <v>1</v>
      </c>
    </row>
    <row r="155" spans="2:12">
      <c r="B155" s="5492" t="str">
        <f t="shared" si="17"/>
        <v>61 Car.</v>
      </c>
      <c r="C155" s="5493" t="str">
        <f t="shared" si="14"/>
        <v>ligne 155 ►</v>
      </c>
      <c r="D155" s="9" t="s">
        <v>214</v>
      </c>
      <c r="E155" s="5492" t="str">
        <f t="shared" si="18"/>
        <v>51 Car.</v>
      </c>
      <c r="F155" s="5493" t="str">
        <f t="shared" si="15"/>
        <v>ligne 155 ►</v>
      </c>
      <c r="G155" s="9" t="s">
        <v>719</v>
      </c>
      <c r="H155" s="5492" t="str">
        <f t="shared" si="19"/>
        <v>53 Car.</v>
      </c>
      <c r="I155" s="5493" t="str">
        <f t="shared" si="16"/>
        <v>ligne 155 ►</v>
      </c>
      <c r="J155" s="9" t="s">
        <v>720</v>
      </c>
      <c r="L155" s="3">
        <v>1</v>
      </c>
    </row>
    <row r="156" spans="2:12">
      <c r="B156" s="5492" t="str">
        <f t="shared" si="17"/>
        <v>10 Car.</v>
      </c>
      <c r="C156" s="5493" t="str">
        <f t="shared" si="14"/>
        <v>ligne 156 ►</v>
      </c>
      <c r="D156" s="9" t="s">
        <v>792</v>
      </c>
      <c r="E156" s="5492" t="str">
        <f t="shared" si="18"/>
        <v>7 Car.</v>
      </c>
      <c r="F156" s="5493" t="str">
        <f t="shared" si="15"/>
        <v>ligne 156 ►</v>
      </c>
      <c r="G156" s="9" t="s">
        <v>828</v>
      </c>
      <c r="H156" s="5492" t="str">
        <f t="shared" si="19"/>
        <v>10 Car.</v>
      </c>
      <c r="I156" s="5493" t="str">
        <f t="shared" si="16"/>
        <v>ligne 156 ►</v>
      </c>
      <c r="J156" s="9" t="s">
        <v>792</v>
      </c>
      <c r="L156" s="3">
        <v>1</v>
      </c>
    </row>
    <row r="157" spans="2:12">
      <c r="B157" s="5492" t="str">
        <f t="shared" si="17"/>
        <v>47 Car.</v>
      </c>
      <c r="C157" s="5493" t="str">
        <f t="shared" si="14"/>
        <v>ligne 157 ►</v>
      </c>
      <c r="D157" s="9" t="s">
        <v>9051</v>
      </c>
      <c r="E157" s="5492" t="str">
        <f t="shared" si="18"/>
        <v>42 Car.</v>
      </c>
      <c r="F157" s="5493" t="str">
        <f t="shared" si="15"/>
        <v>ligne 157 ►</v>
      </c>
      <c r="G157" s="9" t="s">
        <v>3019</v>
      </c>
      <c r="H157" s="5492" t="str">
        <f t="shared" si="19"/>
        <v>38 Car.</v>
      </c>
      <c r="I157" s="5493" t="str">
        <f t="shared" si="16"/>
        <v>ligne 157 ►</v>
      </c>
      <c r="J157" s="9" t="s">
        <v>3012</v>
      </c>
      <c r="L157" s="3">
        <v>1</v>
      </c>
    </row>
    <row r="158" spans="2:12">
      <c r="B158" s="5492" t="str">
        <f t="shared" si="17"/>
        <v>37 Car.</v>
      </c>
      <c r="C158" s="5493" t="str">
        <f t="shared" si="14"/>
        <v>ligne 158 ►</v>
      </c>
      <c r="D158" s="9" t="s">
        <v>9053</v>
      </c>
      <c r="E158" s="5492" t="str">
        <f t="shared" si="18"/>
        <v>33 Car.</v>
      </c>
      <c r="F158" s="5493" t="str">
        <f t="shared" si="15"/>
        <v>ligne 158 ►</v>
      </c>
      <c r="G158" s="9" t="s">
        <v>3021</v>
      </c>
      <c r="H158" s="5492" t="str">
        <f t="shared" si="19"/>
        <v>28 Car.</v>
      </c>
      <c r="I158" s="5493" t="str">
        <f t="shared" si="16"/>
        <v>ligne 158 ►</v>
      </c>
      <c r="J158" s="9" t="s">
        <v>3014</v>
      </c>
      <c r="L158" s="3">
        <v>1</v>
      </c>
    </row>
    <row r="159" spans="2:12">
      <c r="B159" s="5492" t="str">
        <f t="shared" si="17"/>
        <v>64 Car.</v>
      </c>
      <c r="C159" s="5493" t="str">
        <f t="shared" si="14"/>
        <v>ligne 159 ►</v>
      </c>
      <c r="D159" s="9" t="s">
        <v>9109</v>
      </c>
      <c r="E159" s="5492" t="str">
        <f t="shared" si="18"/>
        <v>60 Car.</v>
      </c>
      <c r="F159" s="5493" t="str">
        <f t="shared" si="15"/>
        <v>ligne 159 ►</v>
      </c>
      <c r="G159" s="9" t="s">
        <v>9110</v>
      </c>
      <c r="H159" s="5492" t="str">
        <f t="shared" si="19"/>
        <v>69 Car.</v>
      </c>
      <c r="I159" s="5493" t="str">
        <f t="shared" si="16"/>
        <v>ligne 159 ►</v>
      </c>
      <c r="J159" s="9" t="s">
        <v>9111</v>
      </c>
      <c r="L159" s="3">
        <v>1</v>
      </c>
    </row>
    <row r="160" spans="2:12">
      <c r="B160" s="5492" t="str">
        <f t="shared" si="17"/>
        <v>100 Car.</v>
      </c>
      <c r="C160" s="5493" t="str">
        <f t="shared" si="14"/>
        <v>ligne 160 ►</v>
      </c>
      <c r="D160" s="9" t="s">
        <v>9141</v>
      </c>
      <c r="E160" s="5492" t="str">
        <f t="shared" si="18"/>
        <v>101 Car.</v>
      </c>
      <c r="F160" s="5493" t="str">
        <f t="shared" si="15"/>
        <v>ligne 160 ►</v>
      </c>
      <c r="G160" s="9" t="s">
        <v>9142</v>
      </c>
      <c r="H160" s="5492" t="str">
        <f t="shared" si="19"/>
        <v>96 Car.</v>
      </c>
      <c r="I160" s="5493" t="str">
        <f t="shared" si="16"/>
        <v>ligne 160 ►</v>
      </c>
      <c r="J160" s="9" t="s">
        <v>9143</v>
      </c>
      <c r="L160" s="3">
        <v>1</v>
      </c>
    </row>
    <row r="161" spans="2:12">
      <c r="B161" s="5492" t="str">
        <f t="shared" si="17"/>
        <v>25 Car.</v>
      </c>
      <c r="C161" s="5493" t="str">
        <f t="shared" si="14"/>
        <v>ligne 161 ►</v>
      </c>
      <c r="D161" s="9" t="s">
        <v>9144</v>
      </c>
      <c r="E161" s="5492" t="str">
        <f t="shared" si="18"/>
        <v>23 Car.</v>
      </c>
      <c r="F161" s="5493" t="str">
        <f t="shared" si="15"/>
        <v>ligne 161 ►</v>
      </c>
      <c r="G161" s="9" t="s">
        <v>9145</v>
      </c>
      <c r="H161" s="5492" t="str">
        <f t="shared" si="19"/>
        <v>23 Car.</v>
      </c>
      <c r="I161" s="5493" t="str">
        <f t="shared" si="16"/>
        <v>ligne 161 ►</v>
      </c>
      <c r="J161" s="9" t="s">
        <v>9146</v>
      </c>
      <c r="L161" s="3">
        <v>1</v>
      </c>
    </row>
    <row r="162" spans="2:12">
      <c r="B162" s="5492" t="str">
        <f t="shared" si="17"/>
        <v>26 Car.</v>
      </c>
      <c r="C162" s="5493" t="str">
        <f t="shared" si="14"/>
        <v>ligne 162 ►</v>
      </c>
      <c r="D162" s="9" t="s">
        <v>9177</v>
      </c>
      <c r="E162" s="5492" t="str">
        <f t="shared" si="18"/>
        <v>32 Car.</v>
      </c>
      <c r="F162" s="5493" t="str">
        <f t="shared" si="15"/>
        <v>ligne 162 ►</v>
      </c>
      <c r="G162" s="9" t="s">
        <v>9178</v>
      </c>
      <c r="H162" s="5492" t="str">
        <f t="shared" si="19"/>
        <v>29 Car.</v>
      </c>
      <c r="I162" s="5493" t="str">
        <f t="shared" si="16"/>
        <v>ligne 162 ►</v>
      </c>
      <c r="J162" s="9" t="s">
        <v>9179</v>
      </c>
      <c r="L162" s="3">
        <v>1</v>
      </c>
    </row>
    <row r="163" spans="2:12">
      <c r="B163" s="5492" t="str">
        <f t="shared" si="17"/>
        <v>8 Car.</v>
      </c>
      <c r="C163" s="5493" t="str">
        <f t="shared" si="14"/>
        <v>ligne 163 ►</v>
      </c>
      <c r="D163" s="9" t="s">
        <v>9219</v>
      </c>
      <c r="E163" s="5492" t="str">
        <f t="shared" si="18"/>
        <v>8 Car.</v>
      </c>
      <c r="F163" s="5493" t="str">
        <f t="shared" si="15"/>
        <v>ligne 163 ►</v>
      </c>
      <c r="G163" s="9" t="s">
        <v>9220</v>
      </c>
      <c r="H163" s="5492" t="str">
        <f t="shared" si="19"/>
        <v>8 Car.</v>
      </c>
      <c r="I163" s="5493" t="str">
        <f t="shared" si="16"/>
        <v>ligne 163 ►</v>
      </c>
      <c r="J163" s="9" t="s">
        <v>9221</v>
      </c>
      <c r="L163" s="3">
        <v>1</v>
      </c>
    </row>
    <row r="164" spans="2:12">
      <c r="B164" s="5492" t="str">
        <f t="shared" si="17"/>
        <v>61 Car.</v>
      </c>
      <c r="C164" s="5493" t="str">
        <f t="shared" si="14"/>
        <v>ligne 164 ►</v>
      </c>
      <c r="D164" s="9" t="s">
        <v>9337</v>
      </c>
      <c r="E164" s="5492" t="str">
        <f t="shared" si="18"/>
        <v>46 Car.</v>
      </c>
      <c r="F164" s="5493" t="str">
        <f t="shared" si="15"/>
        <v>ligne 164 ►</v>
      </c>
      <c r="G164" s="9" t="s">
        <v>9338</v>
      </c>
      <c r="H164" s="5492" t="str">
        <f t="shared" si="19"/>
        <v>54 Car.</v>
      </c>
      <c r="I164" s="5493" t="str">
        <f t="shared" si="16"/>
        <v>ligne 164 ►</v>
      </c>
      <c r="J164" s="9" t="s">
        <v>9339</v>
      </c>
      <c r="L164" s="3">
        <v>1</v>
      </c>
    </row>
    <row r="165" spans="2:12">
      <c r="B165" s="5492" t="str">
        <f t="shared" si="17"/>
        <v>70 Car.</v>
      </c>
      <c r="C165" s="5493" t="str">
        <f t="shared" si="14"/>
        <v>ligne 165 ►</v>
      </c>
      <c r="D165" s="9" t="s">
        <v>557</v>
      </c>
      <c r="E165" s="5492" t="str">
        <f t="shared" si="18"/>
        <v>58 Car.</v>
      </c>
      <c r="F165" s="5493" t="str">
        <f t="shared" si="15"/>
        <v>ligne 165 ►</v>
      </c>
      <c r="G165" s="9" t="s">
        <v>558</v>
      </c>
      <c r="H165" s="5492" t="str">
        <f t="shared" si="19"/>
        <v>71 Car.</v>
      </c>
      <c r="I165" s="5493" t="str">
        <f t="shared" si="16"/>
        <v>ligne 165 ►</v>
      </c>
      <c r="J165" s="9" t="s">
        <v>559</v>
      </c>
      <c r="L165" s="3">
        <v>1</v>
      </c>
    </row>
    <row r="166" spans="2:12">
      <c r="B166" s="5492" t="str">
        <f t="shared" si="17"/>
        <v>32 Car.</v>
      </c>
      <c r="C166" s="5493" t="str">
        <f t="shared" si="14"/>
        <v>ligne 166 ►</v>
      </c>
      <c r="D166" s="9" t="s">
        <v>9299</v>
      </c>
      <c r="E166" s="5492" t="str">
        <f t="shared" si="18"/>
        <v>32 Car.</v>
      </c>
      <c r="F166" s="5493" t="str">
        <f t="shared" si="15"/>
        <v>ligne 166 ►</v>
      </c>
      <c r="G166" s="9" t="s">
        <v>9300</v>
      </c>
      <c r="H166" s="5492" t="str">
        <f t="shared" si="19"/>
        <v>34 Car.</v>
      </c>
      <c r="I166" s="5493" t="str">
        <f t="shared" si="16"/>
        <v>ligne 166 ►</v>
      </c>
      <c r="J166" s="9" t="s">
        <v>9301</v>
      </c>
      <c r="L166" s="3">
        <v>1</v>
      </c>
    </row>
    <row r="167" spans="2:12">
      <c r="B167" s="5492" t="str">
        <f t="shared" si="17"/>
        <v>19 Car.</v>
      </c>
      <c r="C167" s="5493" t="str">
        <f t="shared" si="14"/>
        <v>ligne 167 ►</v>
      </c>
      <c r="D167" s="9" t="s">
        <v>458</v>
      </c>
      <c r="E167" s="5492" t="str">
        <f t="shared" si="18"/>
        <v>13 Car.</v>
      </c>
      <c r="F167" s="5493" t="str">
        <f t="shared" si="15"/>
        <v>ligne 167 ►</v>
      </c>
      <c r="G167" s="9" t="s">
        <v>459</v>
      </c>
      <c r="H167" s="5492" t="str">
        <f t="shared" si="19"/>
        <v>20 Car.</v>
      </c>
      <c r="I167" s="5493" t="str">
        <f t="shared" si="16"/>
        <v>ligne 167 ►</v>
      </c>
      <c r="J167" s="9" t="s">
        <v>460</v>
      </c>
      <c r="L167" s="3">
        <v>1</v>
      </c>
    </row>
    <row r="168" spans="2:12">
      <c r="B168" s="5492" t="str">
        <f t="shared" si="17"/>
        <v>39 Car.</v>
      </c>
      <c r="C168" s="5493" t="str">
        <f t="shared" si="14"/>
        <v>ligne 168 ►</v>
      </c>
      <c r="D168" s="9" t="s">
        <v>172</v>
      </c>
      <c r="E168" s="5492" t="str">
        <f t="shared" si="18"/>
        <v>40 Car.</v>
      </c>
      <c r="F168" s="5493" t="str">
        <f t="shared" si="15"/>
        <v>ligne 168 ►</v>
      </c>
      <c r="G168" s="9" t="s">
        <v>627</v>
      </c>
      <c r="H168" s="5492" t="str">
        <f t="shared" si="19"/>
        <v>33 Car.</v>
      </c>
      <c r="I168" s="5493" t="str">
        <f t="shared" si="16"/>
        <v>ligne 168 ►</v>
      </c>
      <c r="J168" s="9" t="s">
        <v>628</v>
      </c>
      <c r="L168" s="3">
        <v>1</v>
      </c>
    </row>
    <row r="169" spans="2:12">
      <c r="B169" s="5492" t="str">
        <f t="shared" si="17"/>
        <v>21 Car.</v>
      </c>
      <c r="C169" s="5493" t="str">
        <f t="shared" si="14"/>
        <v>ligne 169 ►</v>
      </c>
      <c r="D169" s="9" t="s">
        <v>9054</v>
      </c>
      <c r="E169" s="5492" t="str">
        <f t="shared" si="18"/>
        <v>15 Car.</v>
      </c>
      <c r="F169" s="5493" t="str">
        <f t="shared" si="15"/>
        <v>ligne 169 ►</v>
      </c>
      <c r="G169" s="9" t="s">
        <v>3022</v>
      </c>
      <c r="H169" s="5492" t="str">
        <f t="shared" si="19"/>
        <v>17 Car.</v>
      </c>
      <c r="I169" s="5493" t="str">
        <f t="shared" si="16"/>
        <v>ligne 169 ►</v>
      </c>
      <c r="J169" s="9" t="s">
        <v>3015</v>
      </c>
      <c r="L169" s="3">
        <v>1</v>
      </c>
    </row>
    <row r="170" spans="2:12">
      <c r="B170" s="5492" t="str">
        <f t="shared" si="17"/>
        <v>69 Car.</v>
      </c>
      <c r="C170" s="5493" t="str">
        <f t="shared" si="14"/>
        <v>ligne 170 ►</v>
      </c>
      <c r="D170" s="9" t="s">
        <v>9076</v>
      </c>
      <c r="E170" s="5492" t="str">
        <f t="shared" si="18"/>
        <v>70 Car.</v>
      </c>
      <c r="F170" s="5493" t="str">
        <f t="shared" si="15"/>
        <v>ligne 170 ►</v>
      </c>
      <c r="G170" s="9" t="s">
        <v>3094</v>
      </c>
      <c r="H170" s="5492" t="str">
        <f t="shared" si="19"/>
        <v>60 Car.</v>
      </c>
      <c r="I170" s="5493" t="str">
        <f t="shared" si="16"/>
        <v>ligne 170 ►</v>
      </c>
      <c r="J170" s="9" t="s">
        <v>3099</v>
      </c>
      <c r="L170" s="3">
        <v>1</v>
      </c>
    </row>
    <row r="171" spans="2:12">
      <c r="B171" s="5492" t="str">
        <f t="shared" si="17"/>
        <v>8 Car.</v>
      </c>
      <c r="C171" s="5493" t="str">
        <f t="shared" si="14"/>
        <v>ligne 171 ►</v>
      </c>
      <c r="D171" s="878" t="s">
        <v>9083</v>
      </c>
      <c r="E171" s="5492" t="str">
        <f t="shared" si="18"/>
        <v>8 Car.</v>
      </c>
      <c r="F171" s="5493" t="str">
        <f t="shared" si="15"/>
        <v>ligne 171 ►</v>
      </c>
      <c r="G171" s="9" t="s">
        <v>9084</v>
      </c>
      <c r="H171" s="5492" t="str">
        <f t="shared" si="19"/>
        <v>8 Car.</v>
      </c>
      <c r="I171" s="5493" t="str">
        <f t="shared" si="16"/>
        <v>ligne 171 ►</v>
      </c>
      <c r="J171" s="9" t="s">
        <v>9085</v>
      </c>
      <c r="L171" s="3">
        <v>1</v>
      </c>
    </row>
    <row r="172" spans="2:12">
      <c r="B172" s="5492" t="str">
        <f t="shared" si="17"/>
        <v>7 Car.</v>
      </c>
      <c r="C172" s="5493" t="str">
        <f t="shared" si="14"/>
        <v>ligne 172 ►</v>
      </c>
      <c r="D172" s="9" t="s">
        <v>9101</v>
      </c>
      <c r="E172" s="5492" t="str">
        <f t="shared" si="18"/>
        <v>16 Car.</v>
      </c>
      <c r="F172" s="5493" t="str">
        <f t="shared" si="15"/>
        <v>ligne 172 ►</v>
      </c>
      <c r="G172" s="9" t="s">
        <v>9102</v>
      </c>
      <c r="H172" s="5492" t="str">
        <f t="shared" si="19"/>
        <v>18 Car.</v>
      </c>
      <c r="I172" s="5493" t="str">
        <f t="shared" si="16"/>
        <v>ligne 172 ►</v>
      </c>
      <c r="J172" s="1301" t="s">
        <v>9103</v>
      </c>
      <c r="L172" s="3">
        <v>1</v>
      </c>
    </row>
    <row r="173" spans="2:12">
      <c r="B173" s="5492" t="str">
        <f t="shared" si="17"/>
        <v>32 Car.</v>
      </c>
      <c r="C173" s="5493" t="str">
        <f t="shared" si="14"/>
        <v>ligne 173 ►</v>
      </c>
      <c r="D173" s="9" t="s">
        <v>9302</v>
      </c>
      <c r="E173" s="5492" t="str">
        <f t="shared" si="18"/>
        <v>29 Car.</v>
      </c>
      <c r="F173" s="5493" t="str">
        <f t="shared" si="15"/>
        <v>ligne 173 ►</v>
      </c>
      <c r="G173" s="9" t="s">
        <v>9303</v>
      </c>
      <c r="H173" s="5492" t="str">
        <f t="shared" si="19"/>
        <v>31 Car.</v>
      </c>
      <c r="I173" s="5493" t="str">
        <f t="shared" si="16"/>
        <v>ligne 173 ►</v>
      </c>
      <c r="J173" s="9" t="s">
        <v>9304</v>
      </c>
      <c r="L173" s="3">
        <v>1</v>
      </c>
    </row>
    <row r="174" spans="2:12">
      <c r="B174" s="5492" t="str">
        <f t="shared" si="17"/>
        <v>13 Car.</v>
      </c>
      <c r="C174" s="5493" t="str">
        <f t="shared" si="14"/>
        <v>ligne 174 ►</v>
      </c>
      <c r="D174" s="9" t="s">
        <v>288</v>
      </c>
      <c r="E174" s="5492" t="str">
        <f t="shared" si="18"/>
        <v>13 Car.</v>
      </c>
      <c r="F174" s="5493" t="str">
        <f t="shared" si="15"/>
        <v>ligne 174 ►</v>
      </c>
      <c r="G174" s="9" t="s">
        <v>292</v>
      </c>
      <c r="H174" s="5492" t="str">
        <f t="shared" si="19"/>
        <v>13 Car.</v>
      </c>
      <c r="I174" s="5493" t="str">
        <f t="shared" si="16"/>
        <v>ligne 174 ►</v>
      </c>
      <c r="J174" s="9" t="s">
        <v>292</v>
      </c>
      <c r="L174" s="3">
        <v>1</v>
      </c>
    </row>
    <row r="175" spans="2:12">
      <c r="B175" s="5492" t="str">
        <f t="shared" si="17"/>
        <v>5 Car.</v>
      </c>
      <c r="C175" s="5493" t="str">
        <f t="shared" si="14"/>
        <v>ligne 175 ►</v>
      </c>
      <c r="D175" s="9" t="s">
        <v>428</v>
      </c>
      <c r="E175" s="5492" t="str">
        <f t="shared" si="18"/>
        <v>6 Car.</v>
      </c>
      <c r="F175" s="5493" t="str">
        <f t="shared" si="15"/>
        <v>ligne 175 ►</v>
      </c>
      <c r="G175" s="9" t="s">
        <v>813</v>
      </c>
      <c r="H175" s="5492" t="str">
        <f t="shared" si="19"/>
        <v>4 Car.</v>
      </c>
      <c r="I175" s="5493" t="str">
        <f t="shared" si="16"/>
        <v>ligne 175 ►</v>
      </c>
      <c r="J175" s="9" t="s">
        <v>431</v>
      </c>
      <c r="L175" s="3">
        <v>1</v>
      </c>
    </row>
    <row r="176" spans="2:12">
      <c r="B176" s="5492" t="str">
        <f t="shared" si="17"/>
        <v>10 Car.</v>
      </c>
      <c r="C176" s="5493" t="str">
        <f t="shared" si="14"/>
        <v>ligne 176 ►</v>
      </c>
      <c r="D176" s="9" t="s">
        <v>665</v>
      </c>
      <c r="E176" s="5492" t="str">
        <f t="shared" si="18"/>
        <v>6 Car.</v>
      </c>
      <c r="F176" s="5493" t="str">
        <f t="shared" si="15"/>
        <v>ligne 176 ►</v>
      </c>
      <c r="G176" s="9" t="s">
        <v>666</v>
      </c>
      <c r="H176" s="5492" t="str">
        <f t="shared" si="19"/>
        <v>6 Car.</v>
      </c>
      <c r="I176" s="5493" t="str">
        <f t="shared" si="16"/>
        <v>ligne 176 ►</v>
      </c>
      <c r="J176" s="9" t="s">
        <v>666</v>
      </c>
      <c r="L176" s="3">
        <v>1</v>
      </c>
    </row>
    <row r="177" spans="2:12">
      <c r="B177" s="5492" t="str">
        <f t="shared" si="17"/>
        <v>153 Car.</v>
      </c>
      <c r="C177" s="5493" t="str">
        <f t="shared" si="14"/>
        <v>ligne 177 ►</v>
      </c>
      <c r="D177" s="9" t="s">
        <v>9075</v>
      </c>
      <c r="E177" s="5492" t="str">
        <f t="shared" si="18"/>
        <v>145 Car.</v>
      </c>
      <c r="F177" s="5493" t="str">
        <f t="shared" si="15"/>
        <v>ligne 177 ►</v>
      </c>
      <c r="G177" s="9" t="s">
        <v>3093</v>
      </c>
      <c r="H177" s="5492" t="str">
        <f t="shared" si="19"/>
        <v>159 Car.</v>
      </c>
      <c r="I177" s="5493" t="str">
        <f t="shared" si="16"/>
        <v>ligne 177 ►</v>
      </c>
      <c r="J177" s="9" t="s">
        <v>3098</v>
      </c>
      <c r="L177" s="3">
        <v>1</v>
      </c>
    </row>
    <row r="178" spans="2:12">
      <c r="B178" s="5492" t="str">
        <f t="shared" si="17"/>
        <v>19 Car.</v>
      </c>
      <c r="C178" s="5493" t="str">
        <f t="shared" si="14"/>
        <v>ligne 178 ►</v>
      </c>
      <c r="D178" s="9" t="s">
        <v>9222</v>
      </c>
      <c r="E178" s="5492" t="str">
        <f t="shared" si="18"/>
        <v>16 Car.</v>
      </c>
      <c r="F178" s="5493" t="str">
        <f t="shared" si="15"/>
        <v>ligne 178 ►</v>
      </c>
      <c r="G178" s="9" t="s">
        <v>9223</v>
      </c>
      <c r="H178" s="5492" t="str">
        <f t="shared" si="19"/>
        <v>22 Car.</v>
      </c>
      <c r="I178" s="5493" t="str">
        <f t="shared" si="16"/>
        <v>ligne 178 ►</v>
      </c>
      <c r="J178" s="9" t="s">
        <v>9224</v>
      </c>
      <c r="L178" s="3">
        <v>1</v>
      </c>
    </row>
    <row r="179" spans="2:12">
      <c r="B179" s="5492" t="str">
        <f t="shared" si="17"/>
        <v>26 Car.</v>
      </c>
      <c r="C179" s="5493" t="str">
        <f t="shared" si="14"/>
        <v>ligne 179 ►</v>
      </c>
      <c r="D179" s="9" t="s">
        <v>9225</v>
      </c>
      <c r="E179" s="5492" t="str">
        <f t="shared" si="18"/>
        <v>17 Car.</v>
      </c>
      <c r="F179" s="5493" t="str">
        <f t="shared" si="15"/>
        <v>ligne 179 ►</v>
      </c>
      <c r="G179" s="9" t="s">
        <v>9226</v>
      </c>
      <c r="H179" s="5492" t="str">
        <f t="shared" si="19"/>
        <v>22 Car.</v>
      </c>
      <c r="I179" s="5493" t="str">
        <f t="shared" si="16"/>
        <v>ligne 179 ►</v>
      </c>
      <c r="J179" s="9" t="s">
        <v>9227</v>
      </c>
      <c r="L179" s="3">
        <v>1</v>
      </c>
    </row>
    <row r="180" spans="2:12" ht="15" customHeight="1">
      <c r="B180" s="5492" t="str">
        <f t="shared" si="17"/>
        <v>19 Car.</v>
      </c>
      <c r="C180" s="5493" t="str">
        <f t="shared" si="14"/>
        <v>ligne 180 ►</v>
      </c>
      <c r="D180" s="9" t="s">
        <v>9228</v>
      </c>
      <c r="E180" s="5492" t="str">
        <f t="shared" si="18"/>
        <v>14 Car.</v>
      </c>
      <c r="F180" s="5493" t="str">
        <f t="shared" si="15"/>
        <v>ligne 180 ►</v>
      </c>
      <c r="G180" s="9" t="s">
        <v>9229</v>
      </c>
      <c r="H180" s="5492" t="str">
        <f t="shared" si="19"/>
        <v>21 Car.</v>
      </c>
      <c r="I180" s="5493" t="str">
        <f t="shared" si="16"/>
        <v>ligne 180 ►</v>
      </c>
      <c r="J180" s="9" t="s">
        <v>9230</v>
      </c>
      <c r="L180" s="3">
        <v>1</v>
      </c>
    </row>
    <row r="181" spans="2:12">
      <c r="B181" s="5492" t="str">
        <f t="shared" si="17"/>
        <v>8 Car.</v>
      </c>
      <c r="C181" s="5493" t="str">
        <f t="shared" si="14"/>
        <v>ligne 181 ►</v>
      </c>
      <c r="D181" s="9" t="s">
        <v>9231</v>
      </c>
      <c r="E181" s="5492" t="str">
        <f t="shared" si="18"/>
        <v>8 Car.</v>
      </c>
      <c r="F181" s="5493" t="str">
        <f t="shared" si="15"/>
        <v>ligne 181 ►</v>
      </c>
      <c r="G181" s="9" t="s">
        <v>9232</v>
      </c>
      <c r="H181" s="5492" t="str">
        <f t="shared" si="19"/>
        <v>10 Car.</v>
      </c>
      <c r="I181" s="5493" t="str">
        <f t="shared" si="16"/>
        <v>ligne 181 ►</v>
      </c>
      <c r="J181" s="9" t="s">
        <v>9233</v>
      </c>
      <c r="L181" s="3">
        <v>1</v>
      </c>
    </row>
    <row r="182" spans="2:12">
      <c r="B182" s="5492" t="str">
        <f t="shared" si="17"/>
        <v>27 Car.</v>
      </c>
      <c r="C182" s="5493" t="str">
        <f t="shared" si="14"/>
        <v>ligne 182 ►</v>
      </c>
      <c r="D182" s="9" t="s">
        <v>9234</v>
      </c>
      <c r="E182" s="5492" t="str">
        <f t="shared" si="18"/>
        <v>26 Car.</v>
      </c>
      <c r="F182" s="5493" t="str">
        <f t="shared" si="15"/>
        <v>ligne 182 ►</v>
      </c>
      <c r="G182" s="9" t="s">
        <v>9235</v>
      </c>
      <c r="H182" s="5492" t="str">
        <f t="shared" si="19"/>
        <v>32 Car.</v>
      </c>
      <c r="I182" s="5493" t="str">
        <f t="shared" si="16"/>
        <v>ligne 182 ►</v>
      </c>
      <c r="J182" s="9" t="s">
        <v>9236</v>
      </c>
      <c r="L182" s="3">
        <v>1</v>
      </c>
    </row>
    <row r="183" spans="2:12">
      <c r="B183" s="5492" t="str">
        <f t="shared" si="17"/>
        <v>12 Car.</v>
      </c>
      <c r="C183" s="5493" t="str">
        <f t="shared" si="14"/>
        <v>ligne 183 ►</v>
      </c>
      <c r="D183" s="9" t="s">
        <v>384</v>
      </c>
      <c r="E183" s="5492" t="str">
        <f t="shared" si="18"/>
        <v>7 Car.</v>
      </c>
      <c r="F183" s="5493" t="str">
        <f t="shared" si="15"/>
        <v>ligne 183 ►</v>
      </c>
      <c r="G183" s="9" t="s">
        <v>779</v>
      </c>
      <c r="H183" s="5492" t="str">
        <f t="shared" si="19"/>
        <v>7 Car.</v>
      </c>
      <c r="I183" s="5493" t="str">
        <f t="shared" si="16"/>
        <v>ligne 183 ►</v>
      </c>
      <c r="J183" s="9" t="s">
        <v>782</v>
      </c>
      <c r="L183" s="3">
        <v>1</v>
      </c>
    </row>
    <row r="184" spans="2:12">
      <c r="B184" s="5492" t="str">
        <f t="shared" si="17"/>
        <v>18 Car.</v>
      </c>
      <c r="C184" s="5493" t="str">
        <f t="shared" si="14"/>
        <v>ligne 184 ►</v>
      </c>
      <c r="D184" s="9" t="s">
        <v>9156</v>
      </c>
      <c r="E184" s="5492" t="str">
        <f t="shared" si="18"/>
        <v>15 Car.</v>
      </c>
      <c r="F184" s="5493" t="str">
        <f t="shared" si="15"/>
        <v>ligne 184 ►</v>
      </c>
      <c r="G184" s="9" t="s">
        <v>9157</v>
      </c>
      <c r="H184" s="5492" t="str">
        <f t="shared" si="19"/>
        <v>18 Car.</v>
      </c>
      <c r="I184" s="5493" t="str">
        <f t="shared" si="16"/>
        <v>ligne 184 ►</v>
      </c>
      <c r="J184" s="9" t="s">
        <v>9158</v>
      </c>
      <c r="L184" s="3">
        <v>1</v>
      </c>
    </row>
    <row r="185" spans="2:12">
      <c r="B185" s="5492" t="str">
        <f t="shared" si="17"/>
        <v>13 Car.</v>
      </c>
      <c r="C185" s="5493" t="str">
        <f t="shared" si="14"/>
        <v>ligne 185 ►</v>
      </c>
      <c r="D185" s="9" t="s">
        <v>9237</v>
      </c>
      <c r="E185" s="5492" t="str">
        <f t="shared" si="18"/>
        <v>10 Car.</v>
      </c>
      <c r="F185" s="5493" t="str">
        <f t="shared" si="15"/>
        <v>ligne 185 ►</v>
      </c>
      <c r="G185" s="9" t="s">
        <v>9238</v>
      </c>
      <c r="H185" s="5492" t="str">
        <f t="shared" si="19"/>
        <v>14 Car.</v>
      </c>
      <c r="I185" s="5493" t="str">
        <f t="shared" si="16"/>
        <v>ligne 185 ►</v>
      </c>
      <c r="J185" s="9" t="s">
        <v>9239</v>
      </c>
      <c r="L185" s="3">
        <v>1</v>
      </c>
    </row>
    <row r="186" spans="2:12">
      <c r="B186" s="5492" t="str">
        <f t="shared" si="17"/>
        <v>15 Car.</v>
      </c>
      <c r="C186" s="5493" t="str">
        <f t="shared" si="14"/>
        <v>ligne 186 ►</v>
      </c>
      <c r="D186" s="9" t="s">
        <v>9313</v>
      </c>
      <c r="E186" s="5492" t="str">
        <f t="shared" si="18"/>
        <v>14 Car.</v>
      </c>
      <c r="F186" s="5493" t="str">
        <f t="shared" si="15"/>
        <v>ligne 186 ►</v>
      </c>
      <c r="G186" s="9" t="s">
        <v>9314</v>
      </c>
      <c r="H186" s="5492" t="str">
        <f t="shared" si="19"/>
        <v>16 Car.</v>
      </c>
      <c r="I186" s="5493" t="str">
        <f t="shared" si="16"/>
        <v>ligne 186 ►</v>
      </c>
      <c r="J186" s="9" t="s">
        <v>9315</v>
      </c>
      <c r="L186" s="3">
        <v>1</v>
      </c>
    </row>
    <row r="187" spans="2:12">
      <c r="B187" s="5492" t="str">
        <f t="shared" si="17"/>
        <v>28 Car.</v>
      </c>
      <c r="C187" s="5493" t="str">
        <f t="shared" si="14"/>
        <v>ligne 187 ►</v>
      </c>
      <c r="D187" s="655" t="s">
        <v>906</v>
      </c>
      <c r="E187" s="5492" t="str">
        <f t="shared" si="18"/>
        <v>28 Car.</v>
      </c>
      <c r="F187" s="5493" t="str">
        <f t="shared" si="15"/>
        <v>ligne 187 ►</v>
      </c>
      <c r="G187" s="656" t="s">
        <v>906</v>
      </c>
      <c r="H187" s="5492" t="str">
        <f t="shared" si="19"/>
        <v>28 Car.</v>
      </c>
      <c r="I187" s="5493" t="str">
        <f t="shared" si="16"/>
        <v>ligne 187 ►</v>
      </c>
      <c r="J187" s="656" t="s">
        <v>906</v>
      </c>
      <c r="L187" s="3">
        <v>1</v>
      </c>
    </row>
    <row r="188" spans="2:12">
      <c r="B188" s="5492" t="str">
        <f t="shared" si="17"/>
        <v>32 Car.</v>
      </c>
      <c r="C188" s="5493" t="str">
        <f t="shared" si="14"/>
        <v>ligne 188 ►</v>
      </c>
      <c r="D188" s="655" t="s">
        <v>928</v>
      </c>
      <c r="E188" s="5492" t="str">
        <f t="shared" si="18"/>
        <v>32 Car.</v>
      </c>
      <c r="F188" s="5493" t="str">
        <f t="shared" si="15"/>
        <v>ligne 188 ►</v>
      </c>
      <c r="G188" s="655" t="s">
        <v>928</v>
      </c>
      <c r="H188" s="5492" t="str">
        <f t="shared" si="19"/>
        <v>32 Car.</v>
      </c>
      <c r="I188" s="5493" t="str">
        <f t="shared" si="16"/>
        <v>ligne 188 ►</v>
      </c>
      <c r="J188" s="655" t="s">
        <v>928</v>
      </c>
      <c r="L188" s="3">
        <v>1</v>
      </c>
    </row>
    <row r="189" spans="2:12">
      <c r="B189" s="5492" t="str">
        <f t="shared" si="17"/>
        <v>9 Car.</v>
      </c>
      <c r="C189" s="5493" t="str">
        <f t="shared" si="14"/>
        <v>ligne 189 ►</v>
      </c>
      <c r="D189" s="9" t="s">
        <v>604</v>
      </c>
      <c r="E189" s="5492" t="str">
        <f t="shared" si="18"/>
        <v>9 Car.</v>
      </c>
      <c r="F189" s="5493" t="str">
        <f t="shared" si="15"/>
        <v>ligne 189 ►</v>
      </c>
      <c r="G189" s="9" t="s">
        <v>604</v>
      </c>
      <c r="H189" s="5492" t="str">
        <f t="shared" si="19"/>
        <v>10 Car.</v>
      </c>
      <c r="I189" s="5493" t="str">
        <f t="shared" si="16"/>
        <v>ligne 189 ►</v>
      </c>
      <c r="J189" s="9" t="s">
        <v>605</v>
      </c>
      <c r="L189" s="3">
        <v>1</v>
      </c>
    </row>
    <row r="190" spans="2:12">
      <c r="B190" s="5492" t="str">
        <f t="shared" si="17"/>
        <v>73 Car.</v>
      </c>
      <c r="C190" s="5493" t="str">
        <f t="shared" si="14"/>
        <v>ligne 190 ►</v>
      </c>
      <c r="D190" s="9" t="s">
        <v>447</v>
      </c>
      <c r="E190" s="5492" t="str">
        <f t="shared" si="18"/>
        <v>57 Car.</v>
      </c>
      <c r="F190" s="5493" t="str">
        <f t="shared" si="15"/>
        <v>ligne 190 ►</v>
      </c>
      <c r="G190" s="9" t="s">
        <v>448</v>
      </c>
      <c r="H190" s="5492" t="str">
        <f t="shared" si="19"/>
        <v>66 Car.</v>
      </c>
      <c r="I190" s="5493" t="str">
        <f t="shared" si="16"/>
        <v>ligne 190 ►</v>
      </c>
      <c r="J190" s="9" t="s">
        <v>449</v>
      </c>
      <c r="L190" s="3">
        <v>1</v>
      </c>
    </row>
    <row r="191" spans="2:12">
      <c r="B191" s="5492" t="str">
        <f t="shared" si="17"/>
        <v>3 Car.</v>
      </c>
      <c r="C191" s="5493" t="str">
        <f t="shared" si="14"/>
        <v>ligne 191 ►</v>
      </c>
      <c r="D191" s="9" t="s">
        <v>166</v>
      </c>
      <c r="E191" s="5492" t="str">
        <f t="shared" si="18"/>
        <v>0 Car.</v>
      </c>
      <c r="F191" s="5493" t="str">
        <f t="shared" si="15"/>
        <v>ligne 191 ►</v>
      </c>
      <c r="G191" s="9"/>
      <c r="H191" s="5492" t="str">
        <f t="shared" si="19"/>
        <v>0 Car.</v>
      </c>
      <c r="I191" s="5493" t="str">
        <f t="shared" si="16"/>
        <v>ligne 191 ►</v>
      </c>
      <c r="J191" s="9"/>
      <c r="L191" s="3">
        <v>1</v>
      </c>
    </row>
    <row r="192" spans="2:12">
      <c r="B192" s="5492" t="str">
        <f t="shared" si="17"/>
        <v>73 Car.</v>
      </c>
      <c r="C192" s="5493" t="str">
        <f t="shared" si="14"/>
        <v>ligne 192 ►</v>
      </c>
      <c r="D192" s="9" t="s">
        <v>37</v>
      </c>
      <c r="E192" s="5492" t="str">
        <f t="shared" si="18"/>
        <v>76 Car.</v>
      </c>
      <c r="F192" s="5493" t="str">
        <f t="shared" si="15"/>
        <v>ligne 192 ►</v>
      </c>
      <c r="G192" s="9" t="s">
        <v>38</v>
      </c>
      <c r="H192" s="5492" t="str">
        <f t="shared" si="19"/>
        <v>77 Car.</v>
      </c>
      <c r="I192" s="5493" t="str">
        <f t="shared" si="16"/>
        <v>ligne 192 ►</v>
      </c>
      <c r="J192" s="9" t="s">
        <v>39</v>
      </c>
      <c r="L192" s="3">
        <v>1</v>
      </c>
    </row>
    <row r="193" spans="2:12">
      <c r="B193" s="5492" t="str">
        <f t="shared" si="17"/>
        <v>50 Car.</v>
      </c>
      <c r="C193" s="5493" t="str">
        <f t="shared" si="14"/>
        <v>ligne 193 ►</v>
      </c>
      <c r="D193" s="9" t="s">
        <v>2398</v>
      </c>
      <c r="E193" s="5492" t="str">
        <f t="shared" si="18"/>
        <v>50 Car.</v>
      </c>
      <c r="F193" s="5493" t="str">
        <f t="shared" si="15"/>
        <v>ligne 193 ►</v>
      </c>
      <c r="G193" s="9" t="s">
        <v>2398</v>
      </c>
      <c r="H193" s="5492" t="str">
        <f t="shared" si="19"/>
        <v>50 Car.</v>
      </c>
      <c r="I193" s="5493" t="str">
        <f t="shared" si="16"/>
        <v>ligne 193 ►</v>
      </c>
      <c r="J193" s="9" t="s">
        <v>2398</v>
      </c>
      <c r="L193" s="3">
        <v>1</v>
      </c>
    </row>
    <row r="194" spans="2:12">
      <c r="B194" s="5492" t="str">
        <f t="shared" si="17"/>
        <v>10 Car.</v>
      </c>
      <c r="C194" s="5493" t="str">
        <f t="shared" si="14"/>
        <v>ligne 194 ►</v>
      </c>
      <c r="D194" s="9" t="s">
        <v>484</v>
      </c>
      <c r="E194" s="5492" t="str">
        <f t="shared" si="18"/>
        <v>10 Car.</v>
      </c>
      <c r="F194" s="5493" t="str">
        <f t="shared" si="15"/>
        <v>ligne 194 ►</v>
      </c>
      <c r="G194" s="9" t="s">
        <v>485</v>
      </c>
      <c r="H194" s="5492" t="str">
        <f t="shared" si="19"/>
        <v>13 Car.</v>
      </c>
      <c r="I194" s="5493" t="str">
        <f t="shared" si="16"/>
        <v>ligne 194 ►</v>
      </c>
      <c r="J194" s="9" t="s">
        <v>486</v>
      </c>
      <c r="L194" s="3">
        <v>1</v>
      </c>
    </row>
    <row r="195" spans="2:12">
      <c r="B195" s="5492" t="str">
        <f t="shared" si="17"/>
        <v>12 Car.</v>
      </c>
      <c r="C195" s="5493" t="str">
        <f t="shared" si="14"/>
        <v>ligne 195 ►</v>
      </c>
      <c r="D195" s="9" t="s">
        <v>487</v>
      </c>
      <c r="E195" s="5492" t="str">
        <f t="shared" si="18"/>
        <v>11 Car.</v>
      </c>
      <c r="F195" s="5493" t="str">
        <f t="shared" si="15"/>
        <v>ligne 195 ►</v>
      </c>
      <c r="G195" s="9" t="s">
        <v>488</v>
      </c>
      <c r="H195" s="5492" t="str">
        <f t="shared" si="19"/>
        <v>12 Car.</v>
      </c>
      <c r="I195" s="5493" t="str">
        <f t="shared" si="16"/>
        <v>ligne 195 ►</v>
      </c>
      <c r="J195" s="9" t="s">
        <v>489</v>
      </c>
      <c r="L195" s="3">
        <v>1</v>
      </c>
    </row>
    <row r="196" spans="2:12">
      <c r="B196" s="5492" t="str">
        <f t="shared" si="17"/>
        <v>10 Car.</v>
      </c>
      <c r="C196" s="5493" t="str">
        <f t="shared" si="14"/>
        <v>ligne 196 ►</v>
      </c>
      <c r="D196" s="9" t="s">
        <v>484</v>
      </c>
      <c r="E196" s="5492" t="str">
        <f t="shared" si="18"/>
        <v>10 Car.</v>
      </c>
      <c r="F196" s="5493" t="str">
        <f t="shared" si="15"/>
        <v>ligne 196 ►</v>
      </c>
      <c r="G196" s="9" t="s">
        <v>485</v>
      </c>
      <c r="H196" s="5492" t="str">
        <f t="shared" si="19"/>
        <v>13 Car.</v>
      </c>
      <c r="I196" s="5493" t="str">
        <f t="shared" si="16"/>
        <v>ligne 196 ►</v>
      </c>
      <c r="J196" s="9" t="s">
        <v>486</v>
      </c>
      <c r="L196" s="3">
        <v>1</v>
      </c>
    </row>
    <row r="197" spans="2:12">
      <c r="B197" s="5492" t="str">
        <f t="shared" si="17"/>
        <v>12 Car.</v>
      </c>
      <c r="C197" s="5493" t="str">
        <f t="shared" si="14"/>
        <v>ligne 197 ►</v>
      </c>
      <c r="D197" s="9" t="s">
        <v>487</v>
      </c>
      <c r="E197" s="5492" t="str">
        <f t="shared" si="18"/>
        <v>11 Car.</v>
      </c>
      <c r="F197" s="5493" t="str">
        <f t="shared" si="15"/>
        <v>ligne 197 ►</v>
      </c>
      <c r="G197" s="9" t="s">
        <v>488</v>
      </c>
      <c r="H197" s="5492" t="str">
        <f t="shared" si="19"/>
        <v>12 Car.</v>
      </c>
      <c r="I197" s="5493" t="str">
        <f t="shared" si="16"/>
        <v>ligne 197 ►</v>
      </c>
      <c r="J197" s="9" t="s">
        <v>489</v>
      </c>
      <c r="L197" s="3">
        <v>1</v>
      </c>
    </row>
    <row r="198" spans="2:12">
      <c r="B198" s="5492" t="str">
        <f t="shared" si="17"/>
        <v>97 Car.</v>
      </c>
      <c r="C198" s="5493" t="str">
        <f t="shared" si="14"/>
        <v>ligne 198 ►</v>
      </c>
      <c r="D198" s="9" t="s">
        <v>58</v>
      </c>
      <c r="E198" s="5492" t="str">
        <f t="shared" si="18"/>
        <v>83 Car.</v>
      </c>
      <c r="F198" s="5493" t="str">
        <f t="shared" si="15"/>
        <v>ligne 198 ►</v>
      </c>
      <c r="G198" s="9" t="s">
        <v>61</v>
      </c>
      <c r="H198" s="5492" t="str">
        <f t="shared" si="19"/>
        <v>94 Car.</v>
      </c>
      <c r="I198" s="5493" t="str">
        <f t="shared" si="16"/>
        <v>ligne 198 ►</v>
      </c>
      <c r="J198" s="9" t="s">
        <v>64</v>
      </c>
      <c r="L198" s="3">
        <v>1</v>
      </c>
    </row>
    <row r="199" spans="2:12">
      <c r="B199" s="5492" t="str">
        <f t="shared" si="17"/>
        <v>43 Car.</v>
      </c>
      <c r="C199" s="5493" t="str">
        <f t="shared" si="14"/>
        <v>ligne 199 ►</v>
      </c>
      <c r="D199" s="9" t="s">
        <v>183</v>
      </c>
      <c r="E199" s="5492" t="str">
        <f t="shared" si="18"/>
        <v>34 Car.</v>
      </c>
      <c r="F199" s="5493" t="str">
        <f t="shared" si="15"/>
        <v>ligne 199 ►</v>
      </c>
      <c r="G199" s="9" t="s">
        <v>184</v>
      </c>
      <c r="H199" s="5492" t="str">
        <f t="shared" si="19"/>
        <v>40 Car.</v>
      </c>
      <c r="I199" s="5493" t="str">
        <f t="shared" si="16"/>
        <v>ligne 199 ►</v>
      </c>
      <c r="J199" s="9" t="s">
        <v>185</v>
      </c>
      <c r="L199" s="3">
        <v>1</v>
      </c>
    </row>
    <row r="200" spans="2:12">
      <c r="B200" s="5492" t="str">
        <f t="shared" si="17"/>
        <v>53 Car.</v>
      </c>
      <c r="C200" s="5493" t="str">
        <f t="shared" ref="C200:C263" si="20">"ligne "&amp;ROW()&amp;" ►"</f>
        <v>ligne 200 ►</v>
      </c>
      <c r="D200" s="9" t="s">
        <v>211</v>
      </c>
      <c r="E200" s="5492" t="str">
        <f t="shared" si="18"/>
        <v>41 Car.</v>
      </c>
      <c r="F200" s="5493" t="str">
        <f t="shared" ref="F200:F263" si="21">"ligne "&amp;ROW()&amp;" ►"</f>
        <v>ligne 200 ►</v>
      </c>
      <c r="G200" s="9" t="s">
        <v>212</v>
      </c>
      <c r="H200" s="5492" t="str">
        <f t="shared" si="19"/>
        <v>53 Car.</v>
      </c>
      <c r="I200" s="5493" t="str">
        <f t="shared" ref="I200:I263" si="22">"ligne "&amp;ROW()&amp;" ►"</f>
        <v>ligne 200 ►</v>
      </c>
      <c r="J200" s="9" t="s">
        <v>213</v>
      </c>
      <c r="L200" s="3">
        <v>1</v>
      </c>
    </row>
    <row r="201" spans="2:12">
      <c r="B201" s="5492" t="str">
        <f t="shared" ref="B201:B264" si="23">SUMPRODUCT(--(D201&lt;&gt;""), LEN(TRIM(SUBSTITUTE(D201, CHAR(160), "")))) &amp; " Car."</f>
        <v>50 Car.</v>
      </c>
      <c r="C201" s="5493" t="str">
        <f t="shared" si="20"/>
        <v>ligne 201 ►</v>
      </c>
      <c r="D201" s="9" t="s">
        <v>215</v>
      </c>
      <c r="E201" s="5492" t="str">
        <f t="shared" ref="E201:E264" si="24">SUMPRODUCT(--(G201&lt;&gt;""), LEN(TRIM(SUBSTITUTE(G201, CHAR(160), "")))) &amp; " Car."</f>
        <v>55 Car.</v>
      </c>
      <c r="F201" s="5493" t="str">
        <f t="shared" si="21"/>
        <v>ligne 201 ►</v>
      </c>
      <c r="G201" s="9" t="s">
        <v>216</v>
      </c>
      <c r="H201" s="5492" t="str">
        <f t="shared" ref="H201:H264" si="25">SUMPRODUCT(--(J201&lt;&gt;""), LEN(TRIM(SUBSTITUTE(J201, CHAR(160), "")))) &amp; " Car."</f>
        <v>51 Car.</v>
      </c>
      <c r="I201" s="5493" t="str">
        <f t="shared" si="22"/>
        <v>ligne 201 ►</v>
      </c>
      <c r="J201" s="9" t="s">
        <v>217</v>
      </c>
      <c r="L201" s="3">
        <v>1</v>
      </c>
    </row>
    <row r="202" spans="2:12">
      <c r="B202" s="5492" t="str">
        <f t="shared" si="23"/>
        <v>42 Car.</v>
      </c>
      <c r="C202" s="5493" t="str">
        <f t="shared" si="20"/>
        <v>ligne 202 ►</v>
      </c>
      <c r="D202" s="9" t="s">
        <v>564</v>
      </c>
      <c r="E202" s="5492" t="str">
        <f t="shared" si="24"/>
        <v>37 Car.</v>
      </c>
      <c r="F202" s="5493" t="str">
        <f t="shared" si="21"/>
        <v>ligne 202 ►</v>
      </c>
      <c r="G202" s="9" t="s">
        <v>565</v>
      </c>
      <c r="H202" s="5492" t="str">
        <f t="shared" si="25"/>
        <v>48 Car.</v>
      </c>
      <c r="I202" s="5493" t="str">
        <f t="shared" si="22"/>
        <v>ligne 202 ►</v>
      </c>
      <c r="J202" s="9" t="s">
        <v>566</v>
      </c>
      <c r="L202" s="3">
        <v>1</v>
      </c>
    </row>
    <row r="203" spans="2:12">
      <c r="B203" s="5492" t="str">
        <f t="shared" si="23"/>
        <v>45 Car.</v>
      </c>
      <c r="C203" s="5493" t="str">
        <f t="shared" si="20"/>
        <v>ligne 203 ►</v>
      </c>
      <c r="D203" s="9" t="s">
        <v>9017</v>
      </c>
      <c r="E203" s="5492" t="str">
        <f t="shared" si="24"/>
        <v>38 Car.</v>
      </c>
      <c r="F203" s="5493" t="str">
        <f t="shared" si="21"/>
        <v>ligne 203 ►</v>
      </c>
      <c r="G203" s="9" t="s">
        <v>9018</v>
      </c>
      <c r="H203" s="5492" t="str">
        <f t="shared" si="25"/>
        <v>53 Car.</v>
      </c>
      <c r="I203" s="5493" t="str">
        <f t="shared" si="22"/>
        <v>ligne 203 ►</v>
      </c>
      <c r="J203" s="9" t="s">
        <v>9019</v>
      </c>
      <c r="L203" s="3">
        <v>1</v>
      </c>
    </row>
    <row r="204" spans="2:12">
      <c r="B204" s="5492" t="str">
        <f t="shared" si="23"/>
        <v>18 Car.</v>
      </c>
      <c r="C204" s="5493" t="str">
        <f t="shared" si="20"/>
        <v>ligne 204 ►</v>
      </c>
      <c r="D204" s="9" t="s">
        <v>607</v>
      </c>
      <c r="E204" s="5492" t="str">
        <f t="shared" si="24"/>
        <v>14 Car.</v>
      </c>
      <c r="F204" s="5493" t="str">
        <f t="shared" si="21"/>
        <v>ligne 204 ►</v>
      </c>
      <c r="G204" s="9" t="s">
        <v>609</v>
      </c>
      <c r="H204" s="5492" t="str">
        <f t="shared" si="25"/>
        <v>18 Car.</v>
      </c>
      <c r="I204" s="5493" t="str">
        <f t="shared" si="22"/>
        <v>ligne 204 ►</v>
      </c>
      <c r="J204" s="9" t="s">
        <v>610</v>
      </c>
      <c r="L204" s="3">
        <v>1</v>
      </c>
    </row>
    <row r="205" spans="2:12">
      <c r="B205" s="5492" t="str">
        <f t="shared" si="23"/>
        <v>75 Car.</v>
      </c>
      <c r="C205" s="5493" t="str">
        <f t="shared" si="20"/>
        <v>ligne 205 ►</v>
      </c>
      <c r="D205" s="9" t="s">
        <v>259</v>
      </c>
      <c r="E205" s="5492" t="str">
        <f t="shared" si="24"/>
        <v>62 Car.</v>
      </c>
      <c r="F205" s="5493" t="str">
        <f t="shared" si="21"/>
        <v>ligne 205 ►</v>
      </c>
      <c r="G205" s="9" t="s">
        <v>804</v>
      </c>
      <c r="H205" s="5492" t="str">
        <f t="shared" si="25"/>
        <v>61 Car.</v>
      </c>
      <c r="I205" s="5493" t="str">
        <f t="shared" si="22"/>
        <v>ligne 205 ►</v>
      </c>
      <c r="J205" s="9" t="s">
        <v>805</v>
      </c>
      <c r="L205" s="3">
        <v>1</v>
      </c>
    </row>
    <row r="206" spans="2:12">
      <c r="B206" s="5492" t="str">
        <f t="shared" si="23"/>
        <v>53 Car.</v>
      </c>
      <c r="C206" s="5493" t="str">
        <f t="shared" si="20"/>
        <v>ligne 206 ►</v>
      </c>
      <c r="D206" s="9" t="s">
        <v>211</v>
      </c>
      <c r="E206" s="5492" t="str">
        <f t="shared" si="24"/>
        <v>41 Car.</v>
      </c>
      <c r="F206" s="5493" t="str">
        <f t="shared" si="21"/>
        <v>ligne 206 ►</v>
      </c>
      <c r="G206" s="9" t="s">
        <v>212</v>
      </c>
      <c r="H206" s="5492" t="str">
        <f t="shared" si="25"/>
        <v>53 Car.</v>
      </c>
      <c r="I206" s="5493" t="str">
        <f t="shared" si="22"/>
        <v>ligne 206 ►</v>
      </c>
      <c r="J206" s="9" t="s">
        <v>213</v>
      </c>
      <c r="L206" s="3">
        <v>1</v>
      </c>
    </row>
    <row r="207" spans="2:12">
      <c r="B207" s="5492" t="str">
        <f t="shared" si="23"/>
        <v>6 Car.</v>
      </c>
      <c r="C207" s="5493" t="str">
        <f t="shared" si="20"/>
        <v>ligne 207 ►</v>
      </c>
      <c r="D207" s="9" t="s">
        <v>316</v>
      </c>
      <c r="E207" s="5492" t="str">
        <f t="shared" si="24"/>
        <v>6 Car.</v>
      </c>
      <c r="F207" s="5493" t="str">
        <f t="shared" si="21"/>
        <v>ligne 207 ►</v>
      </c>
      <c r="G207" s="9" t="s">
        <v>318</v>
      </c>
      <c r="H207" s="5492" t="str">
        <f t="shared" si="25"/>
        <v>6 Car.</v>
      </c>
      <c r="I207" s="5493" t="str">
        <f t="shared" si="22"/>
        <v>ligne 207 ►</v>
      </c>
      <c r="J207" s="9" t="s">
        <v>320</v>
      </c>
      <c r="L207" s="3">
        <v>1</v>
      </c>
    </row>
    <row r="208" spans="2:12">
      <c r="B208" s="5492" t="str">
        <f t="shared" si="23"/>
        <v>50 Car.</v>
      </c>
      <c r="C208" s="5493" t="str">
        <f t="shared" si="20"/>
        <v>ligne 208 ►</v>
      </c>
      <c r="D208" s="9" t="s">
        <v>215</v>
      </c>
      <c r="E208" s="5492" t="str">
        <f t="shared" si="24"/>
        <v>55 Car.</v>
      </c>
      <c r="F208" s="5493" t="str">
        <f t="shared" si="21"/>
        <v>ligne 208 ►</v>
      </c>
      <c r="G208" s="9" t="s">
        <v>216</v>
      </c>
      <c r="H208" s="5492" t="str">
        <f t="shared" si="25"/>
        <v>51 Car.</v>
      </c>
      <c r="I208" s="5493" t="str">
        <f t="shared" si="22"/>
        <v>ligne 208 ►</v>
      </c>
      <c r="J208" s="9" t="s">
        <v>217</v>
      </c>
      <c r="L208" s="3">
        <v>1</v>
      </c>
    </row>
    <row r="209" spans="2:12">
      <c r="B209" s="5492" t="str">
        <f t="shared" si="23"/>
        <v>148 Car.</v>
      </c>
      <c r="C209" s="5493" t="str">
        <f t="shared" si="20"/>
        <v>ligne 209 ►</v>
      </c>
      <c r="D209" s="9" t="s">
        <v>344</v>
      </c>
      <c r="E209" s="5492" t="str">
        <f t="shared" si="24"/>
        <v>144 Car.</v>
      </c>
      <c r="F209" s="5493" t="str">
        <f t="shared" si="21"/>
        <v>ligne 209 ►</v>
      </c>
      <c r="G209" s="9" t="s">
        <v>345</v>
      </c>
      <c r="H209" s="5492" t="str">
        <f t="shared" si="25"/>
        <v>144 Car.</v>
      </c>
      <c r="I209" s="5493" t="str">
        <f t="shared" si="22"/>
        <v>ligne 209 ►</v>
      </c>
      <c r="J209" s="9" t="s">
        <v>346</v>
      </c>
      <c r="L209" s="3">
        <v>1</v>
      </c>
    </row>
    <row r="210" spans="2:12">
      <c r="B210" s="5492" t="str">
        <f t="shared" si="23"/>
        <v>61 Car.</v>
      </c>
      <c r="C210" s="5493" t="str">
        <f t="shared" si="20"/>
        <v>ligne 210 ►</v>
      </c>
      <c r="D210" s="9" t="s">
        <v>377</v>
      </c>
      <c r="E210" s="5492" t="str">
        <f t="shared" si="24"/>
        <v>49 Car.</v>
      </c>
      <c r="F210" s="5493" t="str">
        <f t="shared" si="21"/>
        <v>ligne 210 ►</v>
      </c>
      <c r="G210" s="9" t="s">
        <v>378</v>
      </c>
      <c r="H210" s="5492" t="str">
        <f t="shared" si="25"/>
        <v>60 Car.</v>
      </c>
      <c r="I210" s="5493" t="str">
        <f t="shared" si="22"/>
        <v>ligne 210 ►</v>
      </c>
      <c r="J210" s="9" t="s">
        <v>379</v>
      </c>
      <c r="L210" s="3">
        <v>1</v>
      </c>
    </row>
    <row r="211" spans="2:12">
      <c r="B211" s="5492" t="str">
        <f t="shared" si="23"/>
        <v>38 Car.</v>
      </c>
      <c r="C211" s="5493" t="str">
        <f t="shared" si="20"/>
        <v>ligne 211 ►</v>
      </c>
      <c r="D211" s="9" t="s">
        <v>389</v>
      </c>
      <c r="E211" s="5492" t="str">
        <f t="shared" si="24"/>
        <v>34 Car.</v>
      </c>
      <c r="F211" s="5493" t="str">
        <f t="shared" si="21"/>
        <v>ligne 211 ►</v>
      </c>
      <c r="G211" s="9" t="s">
        <v>390</v>
      </c>
      <c r="H211" s="5492" t="str">
        <f t="shared" si="25"/>
        <v>35 Car.</v>
      </c>
      <c r="I211" s="5493" t="str">
        <f t="shared" si="22"/>
        <v>ligne 211 ►</v>
      </c>
      <c r="J211" s="9" t="s">
        <v>392</v>
      </c>
      <c r="L211" s="3">
        <v>1</v>
      </c>
    </row>
    <row r="212" spans="2:12">
      <c r="B212" s="5492" t="str">
        <f t="shared" si="23"/>
        <v>91 Car.</v>
      </c>
      <c r="C212" s="5493" t="str">
        <f t="shared" si="20"/>
        <v>ligne 212 ►</v>
      </c>
      <c r="D212" s="9" t="s">
        <v>444</v>
      </c>
      <c r="E212" s="5492" t="str">
        <f t="shared" si="24"/>
        <v>73 Car.</v>
      </c>
      <c r="F212" s="5493" t="str">
        <f t="shared" si="21"/>
        <v>ligne 212 ►</v>
      </c>
      <c r="G212" s="9" t="s">
        <v>445</v>
      </c>
      <c r="H212" s="5492" t="str">
        <f t="shared" si="25"/>
        <v>79 Car.</v>
      </c>
      <c r="I212" s="5493" t="str">
        <f t="shared" si="22"/>
        <v>ligne 212 ►</v>
      </c>
      <c r="J212" s="9" t="s">
        <v>446</v>
      </c>
      <c r="L212" s="3">
        <v>1</v>
      </c>
    </row>
    <row r="213" spans="2:12">
      <c r="B213" s="5492" t="str">
        <f t="shared" si="23"/>
        <v>71 Car.</v>
      </c>
      <c r="C213" s="5493" t="str">
        <f t="shared" si="20"/>
        <v>ligne 213 ►</v>
      </c>
      <c r="D213" s="9" t="s">
        <v>454</v>
      </c>
      <c r="E213" s="5492" t="str">
        <f t="shared" si="24"/>
        <v>68 Car.</v>
      </c>
      <c r="F213" s="5493" t="str">
        <f t="shared" si="21"/>
        <v>ligne 213 ►</v>
      </c>
      <c r="G213" s="9" t="s">
        <v>455</v>
      </c>
      <c r="H213" s="5492" t="str">
        <f t="shared" si="25"/>
        <v>64 Car.</v>
      </c>
      <c r="I213" s="5493" t="str">
        <f t="shared" si="22"/>
        <v>ligne 213 ►</v>
      </c>
      <c r="J213" s="9" t="s">
        <v>456</v>
      </c>
      <c r="L213" s="3">
        <v>1</v>
      </c>
    </row>
    <row r="214" spans="2:12">
      <c r="B214" s="5492" t="str">
        <f t="shared" si="23"/>
        <v>46 Car.</v>
      </c>
      <c r="C214" s="5493" t="str">
        <f t="shared" si="20"/>
        <v>ligne 214 ►</v>
      </c>
      <c r="D214" s="9" t="s">
        <v>560</v>
      </c>
      <c r="E214" s="5492" t="str">
        <f t="shared" si="24"/>
        <v>37 Car.</v>
      </c>
      <c r="F214" s="5493" t="str">
        <f t="shared" si="21"/>
        <v>ligne 214 ►</v>
      </c>
      <c r="G214" s="9" t="s">
        <v>561</v>
      </c>
      <c r="H214" s="5492" t="str">
        <f t="shared" si="25"/>
        <v>44 Car.</v>
      </c>
      <c r="I214" s="5493" t="str">
        <f t="shared" si="22"/>
        <v>ligne 214 ►</v>
      </c>
      <c r="J214" s="9" t="s">
        <v>562</v>
      </c>
      <c r="L214" s="3">
        <v>1</v>
      </c>
    </row>
    <row r="215" spans="2:12">
      <c r="B215" s="5492" t="str">
        <f t="shared" si="23"/>
        <v>115 Car.</v>
      </c>
      <c r="C215" s="5493" t="str">
        <f t="shared" si="20"/>
        <v>ligne 215 ►</v>
      </c>
      <c r="D215" s="9" t="s">
        <v>196</v>
      </c>
      <c r="E215" s="5492" t="str">
        <f t="shared" si="24"/>
        <v>79 Car.</v>
      </c>
      <c r="F215" s="5493" t="str">
        <f t="shared" si="21"/>
        <v>ligne 215 ►</v>
      </c>
      <c r="G215" s="9" t="s">
        <v>632</v>
      </c>
      <c r="H215" s="5492" t="str">
        <f t="shared" si="25"/>
        <v>94 Car.</v>
      </c>
      <c r="I215" s="5493" t="str">
        <f t="shared" si="22"/>
        <v>ligne 215 ►</v>
      </c>
      <c r="J215" s="9" t="s">
        <v>633</v>
      </c>
      <c r="L215" s="3">
        <v>1</v>
      </c>
    </row>
    <row r="216" spans="2:12">
      <c r="B216" s="5492" t="str">
        <f t="shared" si="23"/>
        <v>13 Car.</v>
      </c>
      <c r="C216" s="5493" t="str">
        <f t="shared" si="20"/>
        <v>ligne 216 ►</v>
      </c>
      <c r="D216" s="9" t="s">
        <v>200</v>
      </c>
      <c r="E216" s="5492" t="str">
        <f t="shared" si="24"/>
        <v>13 Car.</v>
      </c>
      <c r="F216" s="5493" t="str">
        <f t="shared" si="21"/>
        <v>ligne 216 ►</v>
      </c>
      <c r="G216" s="9" t="s">
        <v>638</v>
      </c>
      <c r="H216" s="5492" t="str">
        <f t="shared" si="25"/>
        <v>14 Car.</v>
      </c>
      <c r="I216" s="5493" t="str">
        <f t="shared" si="22"/>
        <v>ligne 216 ►</v>
      </c>
      <c r="J216" s="9" t="s">
        <v>640</v>
      </c>
      <c r="L216" s="3">
        <v>1</v>
      </c>
    </row>
    <row r="217" spans="2:12">
      <c r="B217" s="5492" t="str">
        <f t="shared" si="23"/>
        <v>76 Car.</v>
      </c>
      <c r="C217" s="5493" t="str">
        <f t="shared" si="20"/>
        <v>ligne 217 ►</v>
      </c>
      <c r="D217" s="9" t="s">
        <v>199</v>
      </c>
      <c r="E217" s="5492" t="str">
        <f t="shared" si="24"/>
        <v>70 Car.</v>
      </c>
      <c r="F217" s="5493" t="str">
        <f t="shared" si="21"/>
        <v>ligne 217 ►</v>
      </c>
      <c r="G217" s="9" t="s">
        <v>694</v>
      </c>
      <c r="H217" s="5492" t="str">
        <f t="shared" si="25"/>
        <v>76 Car.</v>
      </c>
      <c r="I217" s="5493" t="str">
        <f t="shared" si="22"/>
        <v>ligne 217 ►</v>
      </c>
      <c r="J217" s="9" t="s">
        <v>696</v>
      </c>
      <c r="L217" s="3">
        <v>1</v>
      </c>
    </row>
    <row r="218" spans="2:12">
      <c r="B218" s="5492" t="str">
        <f t="shared" si="23"/>
        <v>20 Car.</v>
      </c>
      <c r="C218" s="5493" t="str">
        <f t="shared" si="20"/>
        <v>ligne 218 ►</v>
      </c>
      <c r="D218" s="9" t="s">
        <v>712</v>
      </c>
      <c r="E218" s="5492" t="str">
        <f t="shared" si="24"/>
        <v>17 Car.</v>
      </c>
      <c r="F218" s="5493" t="str">
        <f t="shared" si="21"/>
        <v>ligne 218 ►</v>
      </c>
      <c r="G218" s="9" t="s">
        <v>714</v>
      </c>
      <c r="H218" s="5492" t="str">
        <f t="shared" si="25"/>
        <v>19 Car.</v>
      </c>
      <c r="I218" s="5493" t="str">
        <f t="shared" si="22"/>
        <v>ligne 218 ►</v>
      </c>
      <c r="J218" s="9" t="s">
        <v>716</v>
      </c>
      <c r="K218" s="9"/>
      <c r="L218" s="3">
        <v>1</v>
      </c>
    </row>
    <row r="219" spans="2:12">
      <c r="B219" s="5492" t="str">
        <f t="shared" si="23"/>
        <v>115 Car.</v>
      </c>
      <c r="C219" s="5493" t="str">
        <f t="shared" si="20"/>
        <v>ligne 219 ►</v>
      </c>
      <c r="D219" s="9" t="s">
        <v>196</v>
      </c>
      <c r="E219" s="5492" t="str">
        <f t="shared" si="24"/>
        <v>79 Car.</v>
      </c>
      <c r="F219" s="5493" t="str">
        <f t="shared" si="21"/>
        <v>ligne 219 ►</v>
      </c>
      <c r="G219" s="9" t="s">
        <v>632</v>
      </c>
      <c r="H219" s="5492" t="str">
        <f t="shared" si="25"/>
        <v>94 Car.</v>
      </c>
      <c r="I219" s="5493" t="str">
        <f t="shared" si="22"/>
        <v>ligne 219 ►</v>
      </c>
      <c r="J219" s="9" t="s">
        <v>633</v>
      </c>
      <c r="K219" s="9"/>
      <c r="L219" s="3">
        <v>1</v>
      </c>
    </row>
    <row r="220" spans="2:12">
      <c r="B220" s="5492" t="str">
        <f t="shared" si="23"/>
        <v>37 Car.</v>
      </c>
      <c r="C220" s="5493" t="str">
        <f t="shared" si="20"/>
        <v>ligne 220 ►</v>
      </c>
      <c r="D220" s="9" t="s">
        <v>323</v>
      </c>
      <c r="E220" s="5492" t="str">
        <f t="shared" si="24"/>
        <v>34 Car.</v>
      </c>
      <c r="F220" s="5493" t="str">
        <f t="shared" si="21"/>
        <v>ligne 220 ►</v>
      </c>
      <c r="G220" s="9" t="s">
        <v>754</v>
      </c>
      <c r="H220" s="5492" t="str">
        <f t="shared" si="25"/>
        <v>33 Car.</v>
      </c>
      <c r="I220" s="5493" t="str">
        <f t="shared" si="22"/>
        <v>ligne 220 ►</v>
      </c>
      <c r="J220" s="9" t="s">
        <v>827</v>
      </c>
      <c r="K220" s="9"/>
      <c r="L220" s="3">
        <v>1</v>
      </c>
    </row>
    <row r="221" spans="2:12">
      <c r="B221" s="5492" t="str">
        <f t="shared" si="23"/>
        <v>6 Car.</v>
      </c>
      <c r="C221" s="5493" t="str">
        <f t="shared" si="20"/>
        <v>ligne 221 ►</v>
      </c>
      <c r="D221" s="9" t="s">
        <v>386</v>
      </c>
      <c r="E221" s="5492" t="str">
        <f t="shared" si="24"/>
        <v>9 Car.</v>
      </c>
      <c r="F221" s="5493" t="str">
        <f t="shared" si="21"/>
        <v>ligne 221 ►</v>
      </c>
      <c r="G221" s="9" t="s">
        <v>781</v>
      </c>
      <c r="H221" s="5492" t="str">
        <f t="shared" si="25"/>
        <v>7 Car.</v>
      </c>
      <c r="I221" s="5493" t="str">
        <f t="shared" si="22"/>
        <v>ligne 221 ►</v>
      </c>
      <c r="J221" s="9" t="s">
        <v>784</v>
      </c>
      <c r="K221" s="9"/>
      <c r="L221" s="3">
        <v>1</v>
      </c>
    </row>
    <row r="222" spans="2:12">
      <c r="B222" s="5492" t="str">
        <f t="shared" si="23"/>
        <v>53 Car.</v>
      </c>
      <c r="C222" s="5493" t="str">
        <f t="shared" si="20"/>
        <v>ligne 222 ►</v>
      </c>
      <c r="D222" s="9" t="s">
        <v>2400</v>
      </c>
      <c r="E222" s="5492" t="str">
        <f t="shared" si="24"/>
        <v>52 Car.</v>
      </c>
      <c r="F222" s="5493" t="str">
        <f t="shared" si="21"/>
        <v>ligne 222 ►</v>
      </c>
      <c r="G222" s="9" t="s">
        <v>2399</v>
      </c>
      <c r="H222" s="5492" t="str">
        <f t="shared" si="25"/>
        <v>53 Car.</v>
      </c>
      <c r="I222" s="5493" t="str">
        <f t="shared" si="22"/>
        <v>ligne 222 ►</v>
      </c>
      <c r="J222" s="9" t="s">
        <v>2401</v>
      </c>
      <c r="K222" s="9"/>
      <c r="L222" s="3">
        <v>1</v>
      </c>
    </row>
    <row r="223" spans="2:12">
      <c r="B223" s="5492" t="str">
        <f t="shared" si="23"/>
        <v>13 Car.</v>
      </c>
      <c r="C223" s="5493" t="str">
        <f t="shared" si="20"/>
        <v>ligne 223 ►</v>
      </c>
      <c r="D223" s="9" t="s">
        <v>9058</v>
      </c>
      <c r="E223" s="5492" t="str">
        <f t="shared" si="24"/>
        <v>13 Car.</v>
      </c>
      <c r="F223" s="5493" t="str">
        <f t="shared" si="21"/>
        <v>ligne 223 ►</v>
      </c>
      <c r="G223" s="9" t="s">
        <v>9059</v>
      </c>
      <c r="H223" s="5492" t="str">
        <f t="shared" si="25"/>
        <v>13 Car.</v>
      </c>
      <c r="I223" s="5493" t="str">
        <f t="shared" si="22"/>
        <v>ligne 223 ►</v>
      </c>
      <c r="J223" s="9" t="s">
        <v>9060</v>
      </c>
      <c r="K223" s="9"/>
      <c r="L223" s="3">
        <v>1</v>
      </c>
    </row>
    <row r="224" spans="2:12">
      <c r="B224" s="5492" t="str">
        <f t="shared" si="23"/>
        <v>50 Car.</v>
      </c>
      <c r="C224" s="5493" t="str">
        <f t="shared" si="20"/>
        <v>ligne 224 ►</v>
      </c>
      <c r="D224" s="9" t="s">
        <v>9159</v>
      </c>
      <c r="E224" s="5492" t="str">
        <f t="shared" si="24"/>
        <v>29 Car.</v>
      </c>
      <c r="F224" s="5493" t="str">
        <f t="shared" si="21"/>
        <v>ligne 224 ►</v>
      </c>
      <c r="G224" s="9" t="s">
        <v>9160</v>
      </c>
      <c r="H224" s="5492" t="str">
        <f t="shared" si="25"/>
        <v>44 Car.</v>
      </c>
      <c r="I224" s="5493" t="str">
        <f t="shared" si="22"/>
        <v>ligne 224 ►</v>
      </c>
      <c r="J224" s="9" t="s">
        <v>9161</v>
      </c>
      <c r="K224" s="9"/>
      <c r="L224" s="3">
        <v>1</v>
      </c>
    </row>
    <row r="225" spans="2:12">
      <c r="B225" s="5492" t="str">
        <f t="shared" si="23"/>
        <v>23 Car.</v>
      </c>
      <c r="C225" s="5493" t="str">
        <f t="shared" si="20"/>
        <v>ligne 225 ►</v>
      </c>
      <c r="D225" s="9" t="s">
        <v>9168</v>
      </c>
      <c r="E225" s="5492" t="str">
        <f t="shared" si="24"/>
        <v>21 Car.</v>
      </c>
      <c r="F225" s="5493" t="str">
        <f t="shared" si="21"/>
        <v>ligne 225 ►</v>
      </c>
      <c r="G225" s="9" t="s">
        <v>9169</v>
      </c>
      <c r="H225" s="5492" t="str">
        <f t="shared" si="25"/>
        <v>20 Car.</v>
      </c>
      <c r="I225" s="5493" t="str">
        <f t="shared" si="22"/>
        <v>ligne 225 ►</v>
      </c>
      <c r="J225" s="9" t="s">
        <v>9170</v>
      </c>
      <c r="K225" s="9"/>
      <c r="L225" s="3">
        <v>1</v>
      </c>
    </row>
    <row r="226" spans="2:12">
      <c r="B226" s="5492" t="str">
        <f t="shared" si="23"/>
        <v>14 Car.</v>
      </c>
      <c r="C226" s="5493" t="str">
        <f t="shared" si="20"/>
        <v>ligne 226 ►</v>
      </c>
      <c r="D226" s="9" t="s">
        <v>9240</v>
      </c>
      <c r="E226" s="5492" t="str">
        <f t="shared" si="24"/>
        <v>11 Car.</v>
      </c>
      <c r="F226" s="5493" t="str">
        <f t="shared" si="21"/>
        <v>ligne 226 ►</v>
      </c>
      <c r="G226" s="9" t="s">
        <v>9241</v>
      </c>
      <c r="H226" s="5492" t="str">
        <f t="shared" si="25"/>
        <v>15 Car.</v>
      </c>
      <c r="I226" s="5493" t="str">
        <f t="shared" si="22"/>
        <v>ligne 226 ►</v>
      </c>
      <c r="J226" s="9" t="s">
        <v>9242</v>
      </c>
      <c r="K226" s="9"/>
      <c r="L226" s="3">
        <v>1</v>
      </c>
    </row>
    <row r="227" spans="2:12">
      <c r="B227" s="5492" t="str">
        <f t="shared" si="23"/>
        <v>15 Car.</v>
      </c>
      <c r="C227" s="5493" t="str">
        <f t="shared" si="20"/>
        <v>ligne 227 ►</v>
      </c>
      <c r="D227" s="9" t="s">
        <v>9243</v>
      </c>
      <c r="E227" s="5492" t="str">
        <f t="shared" si="24"/>
        <v>14 Car.</v>
      </c>
      <c r="F227" s="5493" t="str">
        <f t="shared" si="21"/>
        <v>ligne 227 ►</v>
      </c>
      <c r="G227" s="9" t="s">
        <v>9244</v>
      </c>
      <c r="H227" s="5492" t="str">
        <f t="shared" si="25"/>
        <v>16 Car.</v>
      </c>
      <c r="I227" s="5493" t="str">
        <f t="shared" si="22"/>
        <v>ligne 227 ►</v>
      </c>
      <c r="J227" s="9" t="s">
        <v>9245</v>
      </c>
      <c r="K227" s="9"/>
      <c r="L227" s="3">
        <v>1</v>
      </c>
    </row>
    <row r="228" spans="2:12">
      <c r="B228" s="5492" t="str">
        <f t="shared" si="23"/>
        <v>43 Car.</v>
      </c>
      <c r="C228" s="5493" t="str">
        <f t="shared" si="20"/>
        <v>ligne 228 ►</v>
      </c>
      <c r="D228" s="9" t="s">
        <v>9316</v>
      </c>
      <c r="E228" s="5492" t="str">
        <f t="shared" si="24"/>
        <v>28 Car.</v>
      </c>
      <c r="F228" s="5493" t="str">
        <f t="shared" si="21"/>
        <v>ligne 228 ►</v>
      </c>
      <c r="G228" s="9" t="s">
        <v>9317</v>
      </c>
      <c r="H228" s="5492" t="str">
        <f t="shared" si="25"/>
        <v>33 Car.</v>
      </c>
      <c r="I228" s="5493" t="str">
        <f t="shared" si="22"/>
        <v>ligne 228 ►</v>
      </c>
      <c r="J228" s="9" t="s">
        <v>9318</v>
      </c>
      <c r="K228" s="9"/>
      <c r="L228" s="3">
        <v>1</v>
      </c>
    </row>
    <row r="229" spans="2:12">
      <c r="B229" s="5492" t="str">
        <f t="shared" si="23"/>
        <v>62 Car.</v>
      </c>
      <c r="C229" s="5493" t="str">
        <f t="shared" si="20"/>
        <v>ligne 229 ►</v>
      </c>
      <c r="D229" s="9" t="s">
        <v>9325</v>
      </c>
      <c r="E229" s="5492" t="str">
        <f t="shared" si="24"/>
        <v>65 Car.</v>
      </c>
      <c r="F229" s="5493" t="str">
        <f t="shared" si="21"/>
        <v>ligne 229 ►</v>
      </c>
      <c r="G229" s="9" t="s">
        <v>9326</v>
      </c>
      <c r="H229" s="5492" t="str">
        <f t="shared" si="25"/>
        <v>68 Car.</v>
      </c>
      <c r="I229" s="5493" t="str">
        <f t="shared" si="22"/>
        <v>ligne 229 ►</v>
      </c>
      <c r="J229" s="9" t="s">
        <v>9327</v>
      </c>
      <c r="K229" s="9"/>
      <c r="L229" s="3">
        <v>1</v>
      </c>
    </row>
    <row r="230" spans="2:12">
      <c r="B230" s="5492" t="str">
        <f t="shared" si="23"/>
        <v>23 Car.</v>
      </c>
      <c r="C230" s="5493" t="str">
        <f t="shared" si="20"/>
        <v>ligne 230 ►</v>
      </c>
      <c r="D230" s="9" t="s">
        <v>9328</v>
      </c>
      <c r="E230" s="5492" t="str">
        <f t="shared" si="24"/>
        <v>22 Car.</v>
      </c>
      <c r="F230" s="5493" t="str">
        <f t="shared" si="21"/>
        <v>ligne 230 ►</v>
      </c>
      <c r="G230" s="9" t="s">
        <v>9329</v>
      </c>
      <c r="H230" s="5492" t="str">
        <f t="shared" si="25"/>
        <v>24 Car.</v>
      </c>
      <c r="I230" s="5493" t="str">
        <f t="shared" si="22"/>
        <v>ligne 230 ►</v>
      </c>
      <c r="J230" s="9" t="s">
        <v>9330</v>
      </c>
      <c r="K230" s="9"/>
      <c r="L230" s="3">
        <v>1</v>
      </c>
    </row>
    <row r="231" spans="2:12">
      <c r="B231" s="5492" t="str">
        <f t="shared" si="23"/>
        <v>50 Car.</v>
      </c>
      <c r="C231" s="5493" t="str">
        <f t="shared" si="20"/>
        <v>ligne 231 ►</v>
      </c>
      <c r="D231" s="9" t="s">
        <v>280</v>
      </c>
      <c r="E231" s="5492" t="str">
        <f t="shared" si="24"/>
        <v>52 Car.</v>
      </c>
      <c r="F231" s="5493" t="str">
        <f t="shared" si="21"/>
        <v>ligne 231 ►</v>
      </c>
      <c r="G231" s="9" t="s">
        <v>747</v>
      </c>
      <c r="H231" s="5492" t="str">
        <f t="shared" si="25"/>
        <v>53 Car.</v>
      </c>
      <c r="I231" s="5493" t="str">
        <f t="shared" si="22"/>
        <v>ligne 231 ►</v>
      </c>
      <c r="J231" s="9" t="s">
        <v>748</v>
      </c>
      <c r="K231" s="9"/>
      <c r="L231" s="3">
        <v>1</v>
      </c>
    </row>
    <row r="232" spans="2:12">
      <c r="B232" s="5492" t="str">
        <f t="shared" si="23"/>
        <v>12 Car.</v>
      </c>
      <c r="C232" s="5493" t="str">
        <f t="shared" si="20"/>
        <v>ligne 232 ►</v>
      </c>
      <c r="D232" s="878" t="s">
        <v>9080</v>
      </c>
      <c r="E232" s="5492" t="str">
        <f t="shared" si="24"/>
        <v>11 Car.</v>
      </c>
      <c r="F232" s="5493" t="str">
        <f t="shared" si="21"/>
        <v>ligne 232 ►</v>
      </c>
      <c r="G232" s="9" t="s">
        <v>9081</v>
      </c>
      <c r="H232" s="5492" t="str">
        <f t="shared" si="25"/>
        <v>16 Car.</v>
      </c>
      <c r="I232" s="5493" t="str">
        <f t="shared" si="22"/>
        <v>ligne 232 ►</v>
      </c>
      <c r="J232" s="9" t="s">
        <v>9082</v>
      </c>
      <c r="K232" s="9"/>
      <c r="L232" s="3">
        <v>1</v>
      </c>
    </row>
    <row r="233" spans="2:12">
      <c r="B233" s="5492" t="str">
        <f t="shared" si="23"/>
        <v>87 Car.</v>
      </c>
      <c r="C233" s="5493" t="str">
        <f t="shared" si="20"/>
        <v>ligne 233 ►</v>
      </c>
      <c r="D233" s="9" t="s">
        <v>9174</v>
      </c>
      <c r="E233" s="5492" t="str">
        <f t="shared" si="24"/>
        <v>75 Car.</v>
      </c>
      <c r="F233" s="5493" t="str">
        <f t="shared" si="21"/>
        <v>ligne 233 ►</v>
      </c>
      <c r="G233" s="9" t="s">
        <v>9175</v>
      </c>
      <c r="H233" s="5492" t="str">
        <f t="shared" si="25"/>
        <v>79 Car.</v>
      </c>
      <c r="I233" s="5493" t="str">
        <f t="shared" si="22"/>
        <v>ligne 233 ►</v>
      </c>
      <c r="J233" s="9" t="s">
        <v>9176</v>
      </c>
      <c r="K233" s="9"/>
      <c r="L233" s="3">
        <v>1</v>
      </c>
    </row>
    <row r="234" spans="2:12">
      <c r="B234" s="5492" t="str">
        <f t="shared" si="23"/>
        <v>75 Car.</v>
      </c>
      <c r="C234" s="5493" t="str">
        <f t="shared" si="20"/>
        <v>ligne 234 ►</v>
      </c>
      <c r="D234" s="9" t="s">
        <v>9180</v>
      </c>
      <c r="E234" s="5492" t="str">
        <f t="shared" si="24"/>
        <v>65 Car.</v>
      </c>
      <c r="F234" s="5493" t="str">
        <f t="shared" si="21"/>
        <v>ligne 234 ►</v>
      </c>
      <c r="G234" s="9" t="s">
        <v>9181</v>
      </c>
      <c r="H234" s="5492" t="str">
        <f t="shared" si="25"/>
        <v>76 Car.</v>
      </c>
      <c r="I234" s="5493" t="str">
        <f t="shared" si="22"/>
        <v>ligne 234 ►</v>
      </c>
      <c r="J234" s="9" t="s">
        <v>9182</v>
      </c>
      <c r="K234" s="9"/>
      <c r="L234" s="3">
        <v>1</v>
      </c>
    </row>
    <row r="235" spans="2:12">
      <c r="B235" s="5492" t="str">
        <f t="shared" si="23"/>
        <v>5 Car.</v>
      </c>
      <c r="C235" s="5493" t="str">
        <f t="shared" si="20"/>
        <v>ligne 235 ►</v>
      </c>
      <c r="D235" s="9" t="s">
        <v>9246</v>
      </c>
      <c r="E235" s="5492" t="str">
        <f t="shared" si="24"/>
        <v>4 Car.</v>
      </c>
      <c r="F235" s="5493" t="str">
        <f t="shared" si="21"/>
        <v>ligne 235 ►</v>
      </c>
      <c r="G235" s="9" t="s">
        <v>9247</v>
      </c>
      <c r="H235" s="5492" t="str">
        <f t="shared" si="25"/>
        <v>5 Car.</v>
      </c>
      <c r="I235" s="5493" t="str">
        <f t="shared" si="22"/>
        <v>ligne 235 ►</v>
      </c>
      <c r="J235" s="9" t="s">
        <v>9246</v>
      </c>
      <c r="K235" s="9"/>
      <c r="L235" s="3">
        <v>1</v>
      </c>
    </row>
    <row r="236" spans="2:12">
      <c r="B236" s="5492" t="str">
        <f t="shared" si="23"/>
        <v>39 Car.</v>
      </c>
      <c r="C236" s="5493" t="str">
        <f t="shared" si="20"/>
        <v>ligne 236 ►</v>
      </c>
      <c r="D236" s="9" t="s">
        <v>204</v>
      </c>
      <c r="E236" s="5492" t="str">
        <f t="shared" si="24"/>
        <v>34 Car.</v>
      </c>
      <c r="F236" s="5493" t="str">
        <f t="shared" si="21"/>
        <v>ligne 236 ►</v>
      </c>
      <c r="G236" s="9" t="s">
        <v>205</v>
      </c>
      <c r="H236" s="5492" t="str">
        <f t="shared" si="25"/>
        <v>32 Car.</v>
      </c>
      <c r="I236" s="5493" t="str">
        <f t="shared" si="22"/>
        <v>ligne 236 ►</v>
      </c>
      <c r="J236" s="9" t="s">
        <v>206</v>
      </c>
      <c r="K236" s="9"/>
      <c r="L236" s="3">
        <v>1</v>
      </c>
    </row>
    <row r="237" spans="2:12">
      <c r="B237" s="5492" t="str">
        <f t="shared" si="23"/>
        <v>46 Car.</v>
      </c>
      <c r="C237" s="5493" t="str">
        <f t="shared" si="20"/>
        <v>ligne 237 ►</v>
      </c>
      <c r="D237" s="9" t="s">
        <v>530</v>
      </c>
      <c r="E237" s="5492" t="str">
        <f t="shared" si="24"/>
        <v>46 Car.</v>
      </c>
      <c r="F237" s="5493" t="str">
        <f t="shared" si="21"/>
        <v>ligne 237 ►</v>
      </c>
      <c r="G237" s="9" t="s">
        <v>532</v>
      </c>
      <c r="H237" s="5492" t="str">
        <f t="shared" si="25"/>
        <v>44 Car.</v>
      </c>
      <c r="I237" s="5493" t="str">
        <f t="shared" si="22"/>
        <v>ligne 237 ►</v>
      </c>
      <c r="J237" s="9" t="s">
        <v>534</v>
      </c>
      <c r="K237" s="9"/>
      <c r="L237" s="3">
        <v>1</v>
      </c>
    </row>
    <row r="238" spans="2:12">
      <c r="B238" s="5492" t="str">
        <f t="shared" si="23"/>
        <v>68 Car.</v>
      </c>
      <c r="C238" s="5493" t="str">
        <f t="shared" si="20"/>
        <v>ligne 238 ►</v>
      </c>
      <c r="D238" s="9" t="s">
        <v>824</v>
      </c>
      <c r="E238" s="5492" t="str">
        <f t="shared" si="24"/>
        <v>62 Car.</v>
      </c>
      <c r="F238" s="5493" t="str">
        <f t="shared" si="21"/>
        <v>ligne 238 ►</v>
      </c>
      <c r="G238" s="9" t="s">
        <v>751</v>
      </c>
      <c r="H238" s="5492" t="str">
        <f t="shared" si="25"/>
        <v>63 Car.</v>
      </c>
      <c r="I238" s="5493" t="str">
        <f t="shared" si="22"/>
        <v>ligne 238 ►</v>
      </c>
      <c r="J238" s="9" t="s">
        <v>752</v>
      </c>
      <c r="K238" s="9"/>
      <c r="L238" s="3">
        <v>1</v>
      </c>
    </row>
    <row r="239" spans="2:12">
      <c r="B239" s="5492" t="str">
        <f t="shared" si="23"/>
        <v>31 Car.</v>
      </c>
      <c r="C239" s="5493" t="str">
        <f t="shared" si="20"/>
        <v>ligne 239 ►</v>
      </c>
      <c r="D239" s="9" t="s">
        <v>327</v>
      </c>
      <c r="E239" s="5492" t="str">
        <f t="shared" si="24"/>
        <v>32 Car.</v>
      </c>
      <c r="F239" s="5493" t="str">
        <f t="shared" si="21"/>
        <v>ligne 239 ►</v>
      </c>
      <c r="G239" s="9" t="s">
        <v>761</v>
      </c>
      <c r="H239" s="5492" t="str">
        <f t="shared" si="25"/>
        <v>35 Car.</v>
      </c>
      <c r="I239" s="5493" t="str">
        <f t="shared" si="22"/>
        <v>ligne 239 ►</v>
      </c>
      <c r="J239" s="9" t="s">
        <v>763</v>
      </c>
      <c r="K239" s="9"/>
      <c r="L239" s="3">
        <v>1</v>
      </c>
    </row>
    <row r="240" spans="2:12">
      <c r="B240" s="5492" t="str">
        <f t="shared" si="23"/>
        <v>68 Car.</v>
      </c>
      <c r="C240" s="5493" t="str">
        <f t="shared" si="20"/>
        <v>ligne 240 ►</v>
      </c>
      <c r="D240" s="9" t="s">
        <v>824</v>
      </c>
      <c r="E240" s="5492" t="str">
        <f t="shared" si="24"/>
        <v>62 Car.</v>
      </c>
      <c r="F240" s="5493" t="str">
        <f t="shared" si="21"/>
        <v>ligne 240 ►</v>
      </c>
      <c r="G240" s="9" t="s">
        <v>751</v>
      </c>
      <c r="H240" s="5492" t="str">
        <f t="shared" si="25"/>
        <v>63 Car.</v>
      </c>
      <c r="I240" s="5493" t="str">
        <f t="shared" si="22"/>
        <v>ligne 240 ►</v>
      </c>
      <c r="J240" s="9" t="s">
        <v>752</v>
      </c>
      <c r="K240" s="9"/>
      <c r="L240" s="3">
        <v>1</v>
      </c>
    </row>
    <row r="241" spans="2:12">
      <c r="B241" s="5492" t="str">
        <f t="shared" si="23"/>
        <v>13 Car.</v>
      </c>
      <c r="C241" s="5493" t="str">
        <f t="shared" si="20"/>
        <v>ligne 241 ►</v>
      </c>
      <c r="D241" s="9" t="s">
        <v>9248</v>
      </c>
      <c r="E241" s="5492" t="str">
        <f t="shared" si="24"/>
        <v>13 Car.</v>
      </c>
      <c r="F241" s="5493" t="str">
        <f t="shared" si="21"/>
        <v>ligne 241 ►</v>
      </c>
      <c r="G241" s="9" t="s">
        <v>9249</v>
      </c>
      <c r="H241" s="5492" t="str">
        <f t="shared" si="25"/>
        <v>14 Car.</v>
      </c>
      <c r="I241" s="5493" t="str">
        <f t="shared" si="22"/>
        <v>ligne 241 ►</v>
      </c>
      <c r="J241" s="9" t="s">
        <v>9250</v>
      </c>
      <c r="K241" s="9"/>
      <c r="L241" s="3">
        <v>1</v>
      </c>
    </row>
    <row r="242" spans="2:12">
      <c r="B242" s="5492" t="str">
        <f t="shared" si="23"/>
        <v>17 Car.</v>
      </c>
      <c r="C242" s="5493" t="str">
        <f t="shared" si="20"/>
        <v>ligne 242 ►</v>
      </c>
      <c r="D242" s="9" t="s">
        <v>9251</v>
      </c>
      <c r="E242" s="5492" t="str">
        <f t="shared" si="24"/>
        <v>47 Car.</v>
      </c>
      <c r="F242" s="5493" t="str">
        <f t="shared" si="21"/>
        <v>ligne 242 ►</v>
      </c>
      <c r="G242" s="9" t="s">
        <v>9252</v>
      </c>
      <c r="H242" s="5492" t="str">
        <f t="shared" si="25"/>
        <v>16 Car.</v>
      </c>
      <c r="I242" s="5493" t="str">
        <f t="shared" si="22"/>
        <v>ligne 242 ►</v>
      </c>
      <c r="J242" s="9" t="s">
        <v>9253</v>
      </c>
      <c r="K242" s="9"/>
      <c r="L242" s="3">
        <v>1</v>
      </c>
    </row>
    <row r="243" spans="2:12">
      <c r="B243" s="5492" t="str">
        <f t="shared" si="23"/>
        <v>26 Car.</v>
      </c>
      <c r="C243" s="5493" t="str">
        <f t="shared" si="20"/>
        <v>ligne 243 ►</v>
      </c>
      <c r="D243" s="9" t="s">
        <v>9354</v>
      </c>
      <c r="E243" s="5492" t="str">
        <f t="shared" si="24"/>
        <v>26 Car.</v>
      </c>
      <c r="F243" s="5493" t="str">
        <f t="shared" si="21"/>
        <v>ligne 243 ►</v>
      </c>
      <c r="G243" s="9" t="s">
        <v>9355</v>
      </c>
      <c r="H243" s="5492" t="str">
        <f t="shared" si="25"/>
        <v>27 Car.</v>
      </c>
      <c r="I243" s="5493" t="str">
        <f t="shared" si="22"/>
        <v>ligne 243 ►</v>
      </c>
      <c r="J243" s="9" t="s">
        <v>9356</v>
      </c>
      <c r="K243" s="9"/>
      <c r="L243" s="3">
        <v>1</v>
      </c>
    </row>
    <row r="244" spans="2:12">
      <c r="B244" s="5492" t="str">
        <f t="shared" si="23"/>
        <v>55 Car.</v>
      </c>
      <c r="C244" s="5493" t="str">
        <f t="shared" si="20"/>
        <v>ligne 244 ►</v>
      </c>
      <c r="D244" s="9" t="s">
        <v>812</v>
      </c>
      <c r="E244" s="5492" t="str">
        <f t="shared" si="24"/>
        <v>51 Car.</v>
      </c>
      <c r="F244" s="5493" t="str">
        <f t="shared" si="21"/>
        <v>ligne 244 ►</v>
      </c>
      <c r="G244" s="9" t="s">
        <v>405</v>
      </c>
      <c r="H244" s="5492" t="str">
        <f t="shared" si="25"/>
        <v>53 Car.</v>
      </c>
      <c r="I244" s="5493" t="str">
        <f t="shared" si="22"/>
        <v>ligne 244 ►</v>
      </c>
      <c r="J244" s="9" t="s">
        <v>406</v>
      </c>
      <c r="K244" s="9"/>
      <c r="L244" s="3">
        <v>1</v>
      </c>
    </row>
    <row r="245" spans="2:12">
      <c r="B245" s="5492" t="str">
        <f t="shared" si="23"/>
        <v>23 Car.</v>
      </c>
      <c r="C245" s="5493" t="str">
        <f t="shared" si="20"/>
        <v>ligne 245 ►</v>
      </c>
      <c r="D245" s="9" t="s">
        <v>475</v>
      </c>
      <c r="E245" s="5492" t="str">
        <f t="shared" si="24"/>
        <v>22 Car.</v>
      </c>
      <c r="F245" s="5493" t="str">
        <f t="shared" si="21"/>
        <v>ligne 245 ►</v>
      </c>
      <c r="G245" s="9" t="s">
        <v>476</v>
      </c>
      <c r="H245" s="5492" t="str">
        <f t="shared" si="25"/>
        <v>21 Car.</v>
      </c>
      <c r="I245" s="5493" t="str">
        <f t="shared" si="22"/>
        <v>ligne 245 ►</v>
      </c>
      <c r="J245" s="9" t="s">
        <v>477</v>
      </c>
      <c r="K245" s="9"/>
      <c r="L245" s="3">
        <v>1</v>
      </c>
    </row>
    <row r="246" spans="2:12">
      <c r="B246" s="5492" t="str">
        <f t="shared" si="23"/>
        <v>28 Car.</v>
      </c>
      <c r="C246" s="5493" t="str">
        <f t="shared" si="20"/>
        <v>ligne 246 ►</v>
      </c>
      <c r="D246" s="9" t="s">
        <v>684</v>
      </c>
      <c r="E246" s="5492" t="str">
        <f t="shared" si="24"/>
        <v>26 Car.</v>
      </c>
      <c r="F246" s="5493" t="str">
        <f t="shared" si="21"/>
        <v>ligne 246 ►</v>
      </c>
      <c r="G246" s="9" t="s">
        <v>685</v>
      </c>
      <c r="H246" s="5492" t="str">
        <f t="shared" si="25"/>
        <v>24 Car.</v>
      </c>
      <c r="I246" s="5493" t="str">
        <f t="shared" si="22"/>
        <v>ligne 246 ►</v>
      </c>
      <c r="J246" s="9" t="s">
        <v>686</v>
      </c>
      <c r="K246" s="9"/>
      <c r="L246" s="3">
        <v>1</v>
      </c>
    </row>
    <row r="247" spans="2:12">
      <c r="B247" s="5492" t="str">
        <f t="shared" si="23"/>
        <v>27 Car.</v>
      </c>
      <c r="C247" s="5493" t="str">
        <f t="shared" si="20"/>
        <v>ligne 247 ►</v>
      </c>
      <c r="D247" s="9" t="s">
        <v>703</v>
      </c>
      <c r="E247" s="5492" t="str">
        <f t="shared" si="24"/>
        <v>28 Car.</v>
      </c>
      <c r="F247" s="5493" t="str">
        <f t="shared" si="21"/>
        <v>ligne 247 ►</v>
      </c>
      <c r="G247" s="9" t="s">
        <v>704</v>
      </c>
      <c r="H247" s="5492" t="str">
        <f t="shared" si="25"/>
        <v>25 Car.</v>
      </c>
      <c r="I247" s="5493" t="str">
        <f t="shared" si="22"/>
        <v>ligne 247 ►</v>
      </c>
      <c r="J247" s="9" t="s">
        <v>705</v>
      </c>
      <c r="K247" s="9"/>
      <c r="L247" s="3">
        <v>1</v>
      </c>
    </row>
    <row r="248" spans="2:12">
      <c r="B248" s="5492" t="str">
        <f t="shared" si="23"/>
        <v>33 Car.</v>
      </c>
      <c r="C248" s="5493" t="str">
        <f t="shared" si="20"/>
        <v>ligne 248 ►</v>
      </c>
      <c r="D248" s="9" t="s">
        <v>218</v>
      </c>
      <c r="E248" s="5492" t="str">
        <f t="shared" si="24"/>
        <v>26 Car.</v>
      </c>
      <c r="F248" s="5493" t="str">
        <f t="shared" si="21"/>
        <v>ligne 248 ►</v>
      </c>
      <c r="G248" s="9" t="s">
        <v>725</v>
      </c>
      <c r="H248" s="5492" t="str">
        <f t="shared" si="25"/>
        <v>33 Car.</v>
      </c>
      <c r="I248" s="5493" t="str">
        <f t="shared" si="22"/>
        <v>ligne 248 ►</v>
      </c>
      <c r="J248" s="9" t="s">
        <v>726</v>
      </c>
      <c r="K248" s="9"/>
      <c r="L248" s="3">
        <v>1</v>
      </c>
    </row>
    <row r="249" spans="2:12">
      <c r="B249" s="5492" t="str">
        <f t="shared" si="23"/>
        <v>89 Car.</v>
      </c>
      <c r="C249" s="5493" t="str">
        <f t="shared" si="20"/>
        <v>ligne 249 ►</v>
      </c>
      <c r="D249" s="9" t="s">
        <v>3085</v>
      </c>
      <c r="E249" s="5492" t="str">
        <f t="shared" si="24"/>
        <v>78 Car.</v>
      </c>
      <c r="F249" s="5493" t="str">
        <f t="shared" si="21"/>
        <v>ligne 249 ►</v>
      </c>
      <c r="G249" s="9" t="s">
        <v>3091</v>
      </c>
      <c r="H249" s="5492" t="str">
        <f t="shared" si="25"/>
        <v>97 Car.</v>
      </c>
      <c r="I249" s="5493" t="str">
        <f t="shared" si="22"/>
        <v>ligne 249 ►</v>
      </c>
      <c r="J249" s="9" t="s">
        <v>3096</v>
      </c>
      <c r="K249" s="9"/>
      <c r="L249" s="3">
        <v>1</v>
      </c>
    </row>
    <row r="250" spans="2:12">
      <c r="B250" s="5492" t="str">
        <f t="shared" si="23"/>
        <v>7 Car.</v>
      </c>
      <c r="C250" s="5493" t="str">
        <f t="shared" si="20"/>
        <v>ligne 250 ►</v>
      </c>
      <c r="D250" s="9" t="s">
        <v>9257</v>
      </c>
      <c r="E250" s="5492" t="str">
        <f t="shared" si="24"/>
        <v>6 Car.</v>
      </c>
      <c r="F250" s="5493" t="str">
        <f t="shared" si="21"/>
        <v>ligne 250 ►</v>
      </c>
      <c r="G250" s="9" t="s">
        <v>9258</v>
      </c>
      <c r="H250" s="5492" t="str">
        <f t="shared" si="25"/>
        <v>8 Car.</v>
      </c>
      <c r="I250" s="5493" t="str">
        <f t="shared" si="22"/>
        <v>ligne 250 ►</v>
      </c>
      <c r="J250" s="9" t="s">
        <v>9259</v>
      </c>
      <c r="K250" s="9"/>
      <c r="L250" s="3">
        <v>1</v>
      </c>
    </row>
    <row r="251" spans="2:12">
      <c r="B251" s="5492" t="str">
        <f t="shared" si="23"/>
        <v>12 Car.</v>
      </c>
      <c r="C251" s="5493" t="str">
        <f t="shared" si="20"/>
        <v>ligne 251 ►</v>
      </c>
      <c r="D251" s="9" t="s">
        <v>9260</v>
      </c>
      <c r="E251" s="5492" t="str">
        <f t="shared" si="24"/>
        <v>10 Car.</v>
      </c>
      <c r="F251" s="5493" t="str">
        <f t="shared" si="21"/>
        <v>ligne 251 ►</v>
      </c>
      <c r="G251" s="9" t="s">
        <v>9261</v>
      </c>
      <c r="H251" s="5492" t="str">
        <f t="shared" si="25"/>
        <v>15 Car.</v>
      </c>
      <c r="I251" s="5493" t="str">
        <f t="shared" si="22"/>
        <v>ligne 251 ►</v>
      </c>
      <c r="J251" s="9" t="s">
        <v>9262</v>
      </c>
      <c r="K251" s="9"/>
      <c r="L251" s="3">
        <v>1</v>
      </c>
    </row>
    <row r="252" spans="2:12" ht="15.75">
      <c r="B252" s="5492" t="str">
        <f t="shared" si="23"/>
        <v>47 Car.</v>
      </c>
      <c r="C252" s="5493" t="str">
        <f t="shared" si="20"/>
        <v>ligne 252 ►</v>
      </c>
      <c r="D252" s="653" t="s">
        <v>938</v>
      </c>
      <c r="E252" s="5492" t="str">
        <f t="shared" si="24"/>
        <v>45 Car.</v>
      </c>
      <c r="F252" s="5493" t="str">
        <f t="shared" si="21"/>
        <v>ligne 252 ►</v>
      </c>
      <c r="G252" s="654" t="s">
        <v>939</v>
      </c>
      <c r="H252" s="5492" t="str">
        <f t="shared" si="25"/>
        <v>52 Car.</v>
      </c>
      <c r="I252" s="5493" t="str">
        <f t="shared" si="22"/>
        <v>ligne 252 ►</v>
      </c>
      <c r="J252" s="654" t="s">
        <v>940</v>
      </c>
      <c r="K252" s="9"/>
      <c r="L252" s="3">
        <v>1</v>
      </c>
    </row>
    <row r="253" spans="2:12">
      <c r="B253" s="5492" t="str">
        <f t="shared" si="23"/>
        <v>223 Car.</v>
      </c>
      <c r="C253" s="5493" t="str">
        <f t="shared" si="20"/>
        <v>ligne 253 ►</v>
      </c>
      <c r="D253" s="9" t="s">
        <v>175</v>
      </c>
      <c r="E253" s="5492" t="str">
        <f t="shared" si="24"/>
        <v>198 Car.</v>
      </c>
      <c r="F253" s="5493" t="str">
        <f t="shared" si="21"/>
        <v>ligne 253 ►</v>
      </c>
      <c r="G253" s="9" t="s">
        <v>177</v>
      </c>
      <c r="H253" s="5492" t="str">
        <f t="shared" si="25"/>
        <v>223 Car.</v>
      </c>
      <c r="I253" s="5493" t="str">
        <f t="shared" si="22"/>
        <v>ligne 253 ►</v>
      </c>
      <c r="J253" s="9" t="s">
        <v>179</v>
      </c>
      <c r="K253" s="9"/>
      <c r="L253" s="3">
        <v>1</v>
      </c>
    </row>
    <row r="254" spans="2:12">
      <c r="B254" s="5492" t="str">
        <f t="shared" si="23"/>
        <v>4 Car.</v>
      </c>
      <c r="C254" s="5493" t="str">
        <f t="shared" si="20"/>
        <v>ligne 254 ►</v>
      </c>
      <c r="D254" s="9" t="s">
        <v>491</v>
      </c>
      <c r="E254" s="5492" t="str">
        <f t="shared" si="24"/>
        <v>4 Car.</v>
      </c>
      <c r="F254" s="5493" t="str">
        <f t="shared" si="21"/>
        <v>ligne 254 ►</v>
      </c>
      <c r="G254" s="9" t="s">
        <v>492</v>
      </c>
      <c r="H254" s="5492" t="str">
        <f t="shared" si="25"/>
        <v>6 Car.</v>
      </c>
      <c r="I254" s="5493" t="str">
        <f t="shared" si="22"/>
        <v>ligne 254 ►</v>
      </c>
      <c r="J254" s="9" t="s">
        <v>493</v>
      </c>
      <c r="K254" s="9"/>
      <c r="L254" s="3">
        <v>1</v>
      </c>
    </row>
    <row r="255" spans="2:12">
      <c r="B255" s="5492" t="str">
        <f t="shared" si="23"/>
        <v>23 Car.</v>
      </c>
      <c r="C255" s="5493" t="str">
        <f t="shared" si="20"/>
        <v>ligne 255 ►</v>
      </c>
      <c r="D255" s="9" t="s">
        <v>9254</v>
      </c>
      <c r="E255" s="5492" t="str">
        <f t="shared" si="24"/>
        <v>21 Car.</v>
      </c>
      <c r="F255" s="5493" t="str">
        <f t="shared" si="21"/>
        <v>ligne 255 ►</v>
      </c>
      <c r="G255" s="9" t="s">
        <v>9255</v>
      </c>
      <c r="H255" s="5492" t="str">
        <f t="shared" si="25"/>
        <v>25 Car.</v>
      </c>
      <c r="I255" s="5493" t="str">
        <f t="shared" si="22"/>
        <v>ligne 255 ►</v>
      </c>
      <c r="J255" s="9" t="s">
        <v>9256</v>
      </c>
      <c r="K255" s="9"/>
      <c r="L255" s="3">
        <v>1</v>
      </c>
    </row>
    <row r="256" spans="2:12">
      <c r="B256" s="5492" t="str">
        <f t="shared" si="23"/>
        <v>20 Car.</v>
      </c>
      <c r="C256" s="5493" t="str">
        <f t="shared" si="20"/>
        <v>ligne 256 ►</v>
      </c>
      <c r="D256" s="9" t="s">
        <v>24</v>
      </c>
      <c r="E256" s="5492" t="str">
        <f t="shared" si="24"/>
        <v>16 Car.</v>
      </c>
      <c r="F256" s="5493" t="str">
        <f t="shared" si="21"/>
        <v>ligne 256 ►</v>
      </c>
      <c r="G256" s="9" t="s">
        <v>51</v>
      </c>
      <c r="H256" s="5492" t="str">
        <f t="shared" si="25"/>
        <v>20 Car.</v>
      </c>
      <c r="I256" s="5493" t="str">
        <f t="shared" si="22"/>
        <v>ligne 256 ►</v>
      </c>
      <c r="J256" s="9" t="s">
        <v>52</v>
      </c>
      <c r="K256" s="9"/>
      <c r="L256" s="3">
        <v>1</v>
      </c>
    </row>
    <row r="257" spans="2:12">
      <c r="B257" s="5492" t="str">
        <f t="shared" si="23"/>
        <v>65 Car.</v>
      </c>
      <c r="C257" s="5493" t="str">
        <f t="shared" si="20"/>
        <v>ligne 257 ►</v>
      </c>
      <c r="D257" s="9" t="s">
        <v>208</v>
      </c>
      <c r="E257" s="5492" t="str">
        <f t="shared" si="24"/>
        <v>71 Car.</v>
      </c>
      <c r="F257" s="5493" t="str">
        <f t="shared" si="21"/>
        <v>ligne 257 ►</v>
      </c>
      <c r="G257" s="9" t="s">
        <v>209</v>
      </c>
      <c r="H257" s="5492" t="str">
        <f t="shared" si="25"/>
        <v>63 Car.</v>
      </c>
      <c r="I257" s="5493" t="str">
        <f t="shared" si="22"/>
        <v>ligne 257 ►</v>
      </c>
      <c r="J257" s="9" t="s">
        <v>210</v>
      </c>
      <c r="K257" s="9"/>
      <c r="L257" s="3">
        <v>1</v>
      </c>
    </row>
    <row r="258" spans="2:12">
      <c r="B258" s="5492" t="str">
        <f t="shared" si="23"/>
        <v>50 Car.</v>
      </c>
      <c r="C258" s="5493" t="str">
        <f t="shared" si="20"/>
        <v>ligne 258 ►</v>
      </c>
      <c r="D258" s="9" t="s">
        <v>9014</v>
      </c>
      <c r="E258" s="5492" t="str">
        <f t="shared" si="24"/>
        <v>44 Car.</v>
      </c>
      <c r="F258" s="5493" t="str">
        <f t="shared" si="21"/>
        <v>ligne 258 ►</v>
      </c>
      <c r="G258" s="9" t="s">
        <v>9015</v>
      </c>
      <c r="H258" s="5492" t="str">
        <f t="shared" si="25"/>
        <v>45 Car.</v>
      </c>
      <c r="I258" s="5493" t="str">
        <f t="shared" si="22"/>
        <v>ligne 258 ►</v>
      </c>
      <c r="J258" s="9" t="s">
        <v>9016</v>
      </c>
      <c r="K258" s="9"/>
      <c r="L258" s="3">
        <v>1</v>
      </c>
    </row>
    <row r="259" spans="2:12">
      <c r="B259" s="5492" t="str">
        <f t="shared" si="23"/>
        <v>51 Car.</v>
      </c>
      <c r="C259" s="5493" t="str">
        <f t="shared" si="20"/>
        <v>ligne 259 ►</v>
      </c>
      <c r="D259" s="9" t="s">
        <v>9020</v>
      </c>
      <c r="E259" s="5492" t="str">
        <f t="shared" si="24"/>
        <v>45 Car.</v>
      </c>
      <c r="F259" s="5493" t="str">
        <f t="shared" si="21"/>
        <v>ligne 259 ►</v>
      </c>
      <c r="G259" s="9" t="s">
        <v>9021</v>
      </c>
      <c r="H259" s="5492" t="str">
        <f t="shared" si="25"/>
        <v>46 Car.</v>
      </c>
      <c r="I259" s="5493" t="str">
        <f t="shared" si="22"/>
        <v>ligne 259 ►</v>
      </c>
      <c r="J259" s="9" t="s">
        <v>9022</v>
      </c>
      <c r="K259" s="9"/>
      <c r="L259" s="3">
        <v>1</v>
      </c>
    </row>
    <row r="260" spans="2:12">
      <c r="B260" s="5492" t="str">
        <f t="shared" si="23"/>
        <v>65 Car.</v>
      </c>
      <c r="C260" s="5493" t="str">
        <f t="shared" si="20"/>
        <v>ligne 260 ►</v>
      </c>
      <c r="D260" s="9" t="s">
        <v>208</v>
      </c>
      <c r="E260" s="5492" t="str">
        <f t="shared" si="24"/>
        <v>71 Car.</v>
      </c>
      <c r="F260" s="5493" t="str">
        <f t="shared" si="21"/>
        <v>ligne 260 ►</v>
      </c>
      <c r="G260" s="9" t="s">
        <v>209</v>
      </c>
      <c r="H260" s="5492" t="str">
        <f t="shared" si="25"/>
        <v>63 Car.</v>
      </c>
      <c r="I260" s="5493" t="str">
        <f t="shared" si="22"/>
        <v>ligne 260 ►</v>
      </c>
      <c r="J260" s="9" t="s">
        <v>302</v>
      </c>
      <c r="K260" s="9"/>
      <c r="L260" s="3">
        <v>1</v>
      </c>
    </row>
    <row r="261" spans="2:12">
      <c r="B261" s="5492" t="str">
        <f t="shared" si="23"/>
        <v>6 Car.</v>
      </c>
      <c r="C261" s="5493" t="str">
        <f t="shared" si="20"/>
        <v>ligne 261 ►</v>
      </c>
      <c r="D261" s="9" t="s">
        <v>293</v>
      </c>
      <c r="E261" s="5492" t="str">
        <f t="shared" si="24"/>
        <v>6 Car.</v>
      </c>
      <c r="F261" s="5493" t="str">
        <f t="shared" si="21"/>
        <v>ligne 261 ►</v>
      </c>
      <c r="G261" s="9" t="s">
        <v>297</v>
      </c>
      <c r="H261" s="5492" t="str">
        <f t="shared" si="25"/>
        <v>8 Car.</v>
      </c>
      <c r="I261" s="5493" t="str">
        <f t="shared" si="22"/>
        <v>ligne 261 ►</v>
      </c>
      <c r="J261" s="9" t="s">
        <v>298</v>
      </c>
      <c r="K261" s="9"/>
      <c r="L261" s="3">
        <v>1</v>
      </c>
    </row>
    <row r="262" spans="2:12">
      <c r="B262" s="5492" t="str">
        <f t="shared" si="23"/>
        <v>25 Car.</v>
      </c>
      <c r="C262" s="5493" t="str">
        <f t="shared" si="20"/>
        <v>ligne 262 ►</v>
      </c>
      <c r="D262" s="9" t="s">
        <v>352</v>
      </c>
      <c r="E262" s="5492" t="str">
        <f t="shared" si="24"/>
        <v>27 Car.</v>
      </c>
      <c r="F262" s="5493" t="str">
        <f t="shared" si="21"/>
        <v>ligne 262 ►</v>
      </c>
      <c r="G262" s="9" t="s">
        <v>354</v>
      </c>
      <c r="H262" s="5492" t="str">
        <f t="shared" si="25"/>
        <v>29 Car.</v>
      </c>
      <c r="I262" s="5493" t="str">
        <f t="shared" si="22"/>
        <v>ligne 262 ►</v>
      </c>
      <c r="J262" s="9" t="s">
        <v>356</v>
      </c>
      <c r="K262" s="9"/>
      <c r="L262" s="3">
        <v>1</v>
      </c>
    </row>
    <row r="263" spans="2:12">
      <c r="B263" s="5492" t="str">
        <f t="shared" si="23"/>
        <v>5 Car.</v>
      </c>
      <c r="C263" s="5493" t="str">
        <f t="shared" si="20"/>
        <v>ligne 263 ►</v>
      </c>
      <c r="D263" s="9" t="s">
        <v>49</v>
      </c>
      <c r="E263" s="5492" t="str">
        <f t="shared" si="24"/>
        <v>6 Car.</v>
      </c>
      <c r="F263" s="5493" t="str">
        <f t="shared" si="21"/>
        <v>ligne 263 ►</v>
      </c>
      <c r="G263" s="9" t="s">
        <v>152</v>
      </c>
      <c r="H263" s="5492" t="str">
        <f t="shared" si="25"/>
        <v>4 Car.</v>
      </c>
      <c r="I263" s="5493" t="str">
        <f t="shared" si="22"/>
        <v>ligne 263 ►</v>
      </c>
      <c r="J263" s="9" t="s">
        <v>246</v>
      </c>
      <c r="K263" s="9"/>
      <c r="L263" s="3">
        <v>1</v>
      </c>
    </row>
    <row r="264" spans="2:12">
      <c r="B264" s="5492" t="str">
        <f t="shared" si="23"/>
        <v>23 Car.</v>
      </c>
      <c r="C264" s="5493" t="str">
        <f t="shared" ref="C264:C327" si="26">"ligne "&amp;ROW()&amp;" ►"</f>
        <v>ligne 264 ►</v>
      </c>
      <c r="D264" s="9" t="s">
        <v>85</v>
      </c>
      <c r="E264" s="5492" t="str">
        <f t="shared" si="24"/>
        <v>29 Car.</v>
      </c>
      <c r="F264" s="5493" t="str">
        <f t="shared" ref="F264:F327" si="27">"ligne "&amp;ROW()&amp;" ►"</f>
        <v>ligne 264 ►</v>
      </c>
      <c r="G264" s="9" t="s">
        <v>243</v>
      </c>
      <c r="H264" s="5492" t="str">
        <f t="shared" si="25"/>
        <v>24 Car.</v>
      </c>
      <c r="I264" s="5493" t="str">
        <f t="shared" ref="I264:I327" si="28">"ligne "&amp;ROW()&amp;" ►"</f>
        <v>ligne 264 ►</v>
      </c>
      <c r="J264" s="9" t="s">
        <v>248</v>
      </c>
      <c r="K264" s="9"/>
      <c r="L264" s="3">
        <v>1</v>
      </c>
    </row>
    <row r="265" spans="2:12">
      <c r="B265" s="5492" t="str">
        <f t="shared" ref="B265:B328" si="29">SUMPRODUCT(--(D265&lt;&gt;""), LEN(TRIM(SUBSTITUTE(D265, CHAR(160), "")))) &amp; " Car."</f>
        <v>6 Car.</v>
      </c>
      <c r="C265" s="5493" t="str">
        <f t="shared" si="26"/>
        <v>ligne 265 ►</v>
      </c>
      <c r="D265" s="9" t="s">
        <v>293</v>
      </c>
      <c r="E265" s="5492" t="str">
        <f t="shared" ref="E265:E328" si="30">SUMPRODUCT(--(G265&lt;&gt;""), LEN(TRIM(SUBSTITUTE(G265, CHAR(160), "")))) &amp; " Car."</f>
        <v>6 Car.</v>
      </c>
      <c r="F265" s="5493" t="str">
        <f t="shared" si="27"/>
        <v>ligne 265 ►</v>
      </c>
      <c r="G265" s="9" t="s">
        <v>297</v>
      </c>
      <c r="H265" s="5492" t="str">
        <f t="shared" ref="H265:H328" si="31">SUMPRODUCT(--(J265&lt;&gt;""), LEN(TRIM(SUBSTITUTE(J265, CHAR(160), "")))) &amp; " Car."</f>
        <v>8 Car.</v>
      </c>
      <c r="I265" s="5493" t="str">
        <f t="shared" si="28"/>
        <v>ligne 265 ►</v>
      </c>
      <c r="J265" s="9" t="s">
        <v>298</v>
      </c>
      <c r="K265" s="9"/>
      <c r="L265" s="3">
        <v>1</v>
      </c>
    </row>
    <row r="266" spans="2:12">
      <c r="B266" s="5492" t="str">
        <f t="shared" si="29"/>
        <v>75 Car.</v>
      </c>
      <c r="C266" s="5493" t="str">
        <f t="shared" si="26"/>
        <v>ligne 266 ►</v>
      </c>
      <c r="D266" s="9" t="s">
        <v>397</v>
      </c>
      <c r="E266" s="5492" t="str">
        <f t="shared" si="30"/>
        <v>53 Car.</v>
      </c>
      <c r="F266" s="5493" t="str">
        <f t="shared" si="27"/>
        <v>ligne 266 ►</v>
      </c>
      <c r="G266" s="9" t="s">
        <v>398</v>
      </c>
      <c r="H266" s="5492" t="str">
        <f t="shared" si="31"/>
        <v>62 Car.</v>
      </c>
      <c r="I266" s="5493" t="str">
        <f t="shared" si="28"/>
        <v>ligne 266 ►</v>
      </c>
      <c r="J266" s="9" t="s">
        <v>399</v>
      </c>
      <c r="K266" s="9"/>
      <c r="L266" s="3">
        <v>1</v>
      </c>
    </row>
    <row r="267" spans="2:12">
      <c r="B267" s="5492" t="str">
        <f t="shared" si="29"/>
        <v>4 Car.</v>
      </c>
      <c r="C267" s="5493" t="str">
        <f t="shared" si="26"/>
        <v>ligne 267 ►</v>
      </c>
      <c r="D267" s="9" t="s">
        <v>815</v>
      </c>
      <c r="E267" s="5492" t="str">
        <f t="shared" si="30"/>
        <v>3 Car.</v>
      </c>
      <c r="F267" s="5493" t="str">
        <f t="shared" si="27"/>
        <v>ligne 267 ►</v>
      </c>
      <c r="G267" s="9" t="s">
        <v>436</v>
      </c>
      <c r="H267" s="5492" t="str">
        <f t="shared" si="31"/>
        <v>4 Car.</v>
      </c>
      <c r="I267" s="5493" t="str">
        <f t="shared" si="28"/>
        <v>ligne 267 ►</v>
      </c>
      <c r="J267" s="9" t="s">
        <v>437</v>
      </c>
      <c r="K267" s="9"/>
      <c r="L267" s="3">
        <v>1</v>
      </c>
    </row>
    <row r="268" spans="2:12">
      <c r="B268" s="5492" t="str">
        <f t="shared" si="29"/>
        <v>7 Car.</v>
      </c>
      <c r="C268" s="5493" t="str">
        <f t="shared" si="26"/>
        <v>ligne 268 ►</v>
      </c>
      <c r="D268" s="9" t="s">
        <v>481</v>
      </c>
      <c r="E268" s="5492" t="str">
        <f t="shared" si="30"/>
        <v>8 Car.</v>
      </c>
      <c r="F268" s="5493" t="str">
        <f t="shared" si="27"/>
        <v>ligne 268 ►</v>
      </c>
      <c r="G268" s="9" t="s">
        <v>482</v>
      </c>
      <c r="H268" s="5492" t="str">
        <f t="shared" si="31"/>
        <v>6 Car.</v>
      </c>
      <c r="I268" s="5493" t="str">
        <f t="shared" si="28"/>
        <v>ligne 268 ►</v>
      </c>
      <c r="J268" s="9" t="s">
        <v>483</v>
      </c>
      <c r="K268" s="9"/>
      <c r="L268" s="3">
        <v>1</v>
      </c>
    </row>
    <row r="269" spans="2:12">
      <c r="B269" s="5492" t="str">
        <f t="shared" si="29"/>
        <v>11 Car.</v>
      </c>
      <c r="C269" s="5493" t="str">
        <f t="shared" si="26"/>
        <v>ligne 269 ►</v>
      </c>
      <c r="D269" s="9" t="s">
        <v>553</v>
      </c>
      <c r="E269" s="5492" t="str">
        <f t="shared" si="30"/>
        <v>13 Car.</v>
      </c>
      <c r="F269" s="5493" t="str">
        <f t="shared" si="27"/>
        <v>ligne 269 ►</v>
      </c>
      <c r="G269" s="9" t="s">
        <v>554</v>
      </c>
      <c r="H269" s="5492" t="str">
        <f t="shared" si="31"/>
        <v>12 Car.</v>
      </c>
      <c r="I269" s="5493" t="str">
        <f t="shared" si="28"/>
        <v>ligne 269 ►</v>
      </c>
      <c r="J269" s="9" t="s">
        <v>555</v>
      </c>
      <c r="K269" s="9"/>
      <c r="L269" s="3">
        <v>1</v>
      </c>
    </row>
    <row r="270" spans="2:12">
      <c r="B270" s="5492" t="str">
        <f t="shared" si="29"/>
        <v>135 Car.</v>
      </c>
      <c r="C270" s="5493" t="str">
        <f t="shared" si="26"/>
        <v>ligne 270 ►</v>
      </c>
      <c r="D270" s="9" t="s">
        <v>265</v>
      </c>
      <c r="E270" s="5492" t="str">
        <f t="shared" si="30"/>
        <v>129 Car.</v>
      </c>
      <c r="F270" s="5493" t="str">
        <f t="shared" si="27"/>
        <v>ligne 270 ►</v>
      </c>
      <c r="G270" s="9" t="s">
        <v>743</v>
      </c>
      <c r="H270" s="5492" t="str">
        <f t="shared" si="31"/>
        <v>140 Car.</v>
      </c>
      <c r="I270" s="5493" t="str">
        <f t="shared" si="28"/>
        <v>ligne 270 ►</v>
      </c>
      <c r="J270" s="9" t="s">
        <v>744</v>
      </c>
      <c r="K270" s="9"/>
      <c r="L270" s="3">
        <v>1</v>
      </c>
    </row>
    <row r="271" spans="2:12">
      <c r="B271" s="5492" t="str">
        <f t="shared" si="29"/>
        <v>24 Car.</v>
      </c>
      <c r="C271" s="5493" t="str">
        <f t="shared" si="26"/>
        <v>ligne 271 ►</v>
      </c>
      <c r="D271" s="9" t="s">
        <v>347</v>
      </c>
      <c r="E271" s="5492" t="str">
        <f t="shared" si="30"/>
        <v>24 Car.</v>
      </c>
      <c r="F271" s="5493" t="str">
        <f t="shared" si="27"/>
        <v>ligne 271 ►</v>
      </c>
      <c r="G271" s="9" t="s">
        <v>764</v>
      </c>
      <c r="H271" s="5492" t="str">
        <f t="shared" si="31"/>
        <v>31 Car.</v>
      </c>
      <c r="I271" s="5493" t="str">
        <f t="shared" si="28"/>
        <v>ligne 271 ►</v>
      </c>
      <c r="J271" s="9" t="s">
        <v>766</v>
      </c>
      <c r="K271" s="9"/>
      <c r="L271" s="3">
        <v>1</v>
      </c>
    </row>
    <row r="272" spans="2:12">
      <c r="B272" s="5492" t="str">
        <f t="shared" si="29"/>
        <v>41 Car.</v>
      </c>
      <c r="C272" s="5493" t="str">
        <f t="shared" si="26"/>
        <v>ligne 272 ►</v>
      </c>
      <c r="D272" s="9" t="s">
        <v>362</v>
      </c>
      <c r="E272" s="5492" t="str">
        <f t="shared" si="30"/>
        <v>36 Car.</v>
      </c>
      <c r="F272" s="5493" t="str">
        <f t="shared" si="27"/>
        <v>ligne 272 ►</v>
      </c>
      <c r="G272" s="9" t="s">
        <v>772</v>
      </c>
      <c r="H272" s="5492" t="str">
        <f t="shared" si="31"/>
        <v>44 Car.</v>
      </c>
      <c r="I272" s="5493" t="str">
        <f t="shared" si="28"/>
        <v>ligne 272 ►</v>
      </c>
      <c r="J272" s="9" t="s">
        <v>826</v>
      </c>
      <c r="K272" s="9"/>
      <c r="L272" s="3">
        <v>1</v>
      </c>
    </row>
    <row r="273" spans="2:12">
      <c r="B273" s="5492" t="str">
        <f t="shared" si="29"/>
        <v>4 Car.</v>
      </c>
      <c r="C273" s="5493" t="str">
        <f t="shared" si="26"/>
        <v>ligne 273 ►</v>
      </c>
      <c r="D273" s="9" t="s">
        <v>385</v>
      </c>
      <c r="E273" s="5492" t="str">
        <f t="shared" si="30"/>
        <v>11 Car.</v>
      </c>
      <c r="F273" s="5493" t="str">
        <f t="shared" si="27"/>
        <v>ligne 273 ►</v>
      </c>
      <c r="G273" s="9" t="s">
        <v>780</v>
      </c>
      <c r="H273" s="5492" t="str">
        <f t="shared" si="31"/>
        <v>5 Car.</v>
      </c>
      <c r="I273" s="5493" t="str">
        <f t="shared" si="28"/>
        <v>ligne 273 ►</v>
      </c>
      <c r="J273" s="9" t="s">
        <v>783</v>
      </c>
      <c r="K273" s="9"/>
      <c r="L273" s="3">
        <v>1</v>
      </c>
    </row>
    <row r="274" spans="2:12">
      <c r="B274" s="5492" t="str">
        <f t="shared" si="29"/>
        <v>24 Car.</v>
      </c>
      <c r="C274" s="5493" t="str">
        <f t="shared" si="26"/>
        <v>ligne 274 ►</v>
      </c>
      <c r="D274" s="9" t="s">
        <v>347</v>
      </c>
      <c r="E274" s="5492" t="str">
        <f t="shared" si="30"/>
        <v>24 Car.</v>
      </c>
      <c r="F274" s="5493" t="str">
        <f t="shared" si="27"/>
        <v>ligne 274 ►</v>
      </c>
      <c r="G274" s="9" t="s">
        <v>764</v>
      </c>
      <c r="H274" s="5492" t="str">
        <f t="shared" si="31"/>
        <v>31 Car.</v>
      </c>
      <c r="I274" s="5493" t="str">
        <f t="shared" si="28"/>
        <v>ligne 274 ►</v>
      </c>
      <c r="J274" s="9" t="s">
        <v>766</v>
      </c>
      <c r="K274" s="9"/>
      <c r="L274" s="3">
        <v>1</v>
      </c>
    </row>
    <row r="275" spans="2:12">
      <c r="B275" s="5492" t="str">
        <f t="shared" si="29"/>
        <v>55 Car.</v>
      </c>
      <c r="C275" s="5493" t="str">
        <f t="shared" si="26"/>
        <v>ligne 275 ►</v>
      </c>
      <c r="D275" s="9" t="s">
        <v>9050</v>
      </c>
      <c r="E275" s="5492" t="str">
        <f t="shared" si="30"/>
        <v>43 Car.</v>
      </c>
      <c r="F275" s="5493" t="str">
        <f t="shared" si="27"/>
        <v>ligne 275 ►</v>
      </c>
      <c r="G275" s="9" t="s">
        <v>3018</v>
      </c>
      <c r="H275" s="5492" t="str">
        <f t="shared" si="31"/>
        <v>41 Car.</v>
      </c>
      <c r="I275" s="5493" t="str">
        <f t="shared" si="28"/>
        <v>ligne 275 ►</v>
      </c>
      <c r="J275" s="9" t="s">
        <v>3011</v>
      </c>
      <c r="K275" s="9"/>
      <c r="L275" s="3">
        <v>1</v>
      </c>
    </row>
    <row r="276" spans="2:12">
      <c r="B276" s="5492" t="str">
        <f t="shared" si="29"/>
        <v>93 Car.</v>
      </c>
      <c r="C276" s="5493" t="str">
        <f t="shared" si="26"/>
        <v>ligne 276 ►</v>
      </c>
      <c r="D276" s="9" t="s">
        <v>9138</v>
      </c>
      <c r="E276" s="5492" t="str">
        <f t="shared" si="30"/>
        <v>92 Car.</v>
      </c>
      <c r="F276" s="5493" t="str">
        <f t="shared" si="27"/>
        <v>ligne 276 ►</v>
      </c>
      <c r="G276" s="9" t="s">
        <v>9139</v>
      </c>
      <c r="H276" s="5492" t="str">
        <f t="shared" si="31"/>
        <v>94 Car.</v>
      </c>
      <c r="I276" s="5493" t="str">
        <f t="shared" si="28"/>
        <v>ligne 276 ►</v>
      </c>
      <c r="J276" s="9" t="s">
        <v>9140</v>
      </c>
      <c r="K276" s="9"/>
      <c r="L276" s="3">
        <v>1</v>
      </c>
    </row>
    <row r="277" spans="2:12">
      <c r="B277" s="5492" t="str">
        <f t="shared" si="29"/>
        <v>18 Car.</v>
      </c>
      <c r="C277" s="5493" t="str">
        <f t="shared" si="26"/>
        <v>ligne 277 ►</v>
      </c>
      <c r="D277" s="9" t="s">
        <v>9263</v>
      </c>
      <c r="E277" s="5492" t="str">
        <f t="shared" si="30"/>
        <v>25 Car.</v>
      </c>
      <c r="F277" s="5493" t="str">
        <f t="shared" si="27"/>
        <v>ligne 277 ►</v>
      </c>
      <c r="G277" s="9" t="s">
        <v>9264</v>
      </c>
      <c r="H277" s="5492" t="str">
        <f t="shared" si="31"/>
        <v>28 Car.</v>
      </c>
      <c r="I277" s="5493" t="str">
        <f t="shared" si="28"/>
        <v>ligne 277 ►</v>
      </c>
      <c r="J277" s="9" t="s">
        <v>9265</v>
      </c>
      <c r="K277" s="9"/>
      <c r="L277" s="3">
        <v>1</v>
      </c>
    </row>
    <row r="278" spans="2:12">
      <c r="B278" s="5492" t="str">
        <f t="shared" si="29"/>
        <v>30 Car.</v>
      </c>
      <c r="C278" s="5493" t="str">
        <f t="shared" si="26"/>
        <v>ligne 278 ►</v>
      </c>
      <c r="D278" s="9" t="s">
        <v>9266</v>
      </c>
      <c r="E278" s="5492" t="str">
        <f t="shared" si="30"/>
        <v>33 Car.</v>
      </c>
      <c r="F278" s="5493" t="str">
        <f t="shared" si="27"/>
        <v>ligne 278 ►</v>
      </c>
      <c r="G278" s="9" t="s">
        <v>9267</v>
      </c>
      <c r="H278" s="5492" t="str">
        <f t="shared" si="31"/>
        <v>29 Car.</v>
      </c>
      <c r="I278" s="5493" t="str">
        <f t="shared" si="28"/>
        <v>ligne 278 ►</v>
      </c>
      <c r="J278" s="9" t="s">
        <v>9268</v>
      </c>
      <c r="K278" s="9"/>
      <c r="L278" s="3">
        <v>1</v>
      </c>
    </row>
    <row r="279" spans="2:12">
      <c r="B279" s="5492" t="str">
        <f t="shared" si="29"/>
        <v>17 Car.</v>
      </c>
      <c r="C279" s="5493" t="str">
        <f t="shared" si="26"/>
        <v>ligne 279 ►</v>
      </c>
      <c r="D279" s="9" t="s">
        <v>9269</v>
      </c>
      <c r="E279" s="5492" t="str">
        <f t="shared" si="30"/>
        <v>14 Car.</v>
      </c>
      <c r="F279" s="5493" t="str">
        <f t="shared" si="27"/>
        <v>ligne 279 ►</v>
      </c>
      <c r="G279" s="9" t="s">
        <v>9270</v>
      </c>
      <c r="H279" s="5492" t="str">
        <f t="shared" si="31"/>
        <v>19 Car.</v>
      </c>
      <c r="I279" s="5493" t="str">
        <f t="shared" si="28"/>
        <v>ligne 279 ►</v>
      </c>
      <c r="J279" s="9" t="s">
        <v>9271</v>
      </c>
      <c r="K279" s="9"/>
      <c r="L279" s="3">
        <v>1</v>
      </c>
    </row>
    <row r="280" spans="2:12">
      <c r="B280" s="5492" t="str">
        <f t="shared" si="29"/>
        <v>27 Car.</v>
      </c>
      <c r="C280" s="5493" t="str">
        <f t="shared" si="26"/>
        <v>ligne 280 ►</v>
      </c>
      <c r="D280" s="9" t="s">
        <v>9272</v>
      </c>
      <c r="E280" s="5492" t="str">
        <f t="shared" si="30"/>
        <v>23 Car.</v>
      </c>
      <c r="F280" s="5493" t="str">
        <f t="shared" si="27"/>
        <v>ligne 280 ►</v>
      </c>
      <c r="G280" s="9" t="s">
        <v>9273</v>
      </c>
      <c r="H280" s="5492" t="str">
        <f t="shared" si="31"/>
        <v>29 Car.</v>
      </c>
      <c r="I280" s="5493" t="str">
        <f t="shared" si="28"/>
        <v>ligne 280 ►</v>
      </c>
      <c r="J280" s="9" t="s">
        <v>9274</v>
      </c>
      <c r="K280" s="9"/>
      <c r="L280" s="3">
        <v>1</v>
      </c>
    </row>
    <row r="281" spans="2:12">
      <c r="B281" s="5492" t="str">
        <f t="shared" si="29"/>
        <v>11 Car.</v>
      </c>
      <c r="C281" s="5493" t="str">
        <f t="shared" si="26"/>
        <v>ligne 281 ►</v>
      </c>
      <c r="D281" s="9" t="s">
        <v>9275</v>
      </c>
      <c r="E281" s="5492" t="str">
        <f t="shared" si="30"/>
        <v>11 Car.</v>
      </c>
      <c r="F281" s="5493" t="str">
        <f t="shared" si="27"/>
        <v>ligne 281 ►</v>
      </c>
      <c r="G281" s="9" t="s">
        <v>9276</v>
      </c>
      <c r="H281" s="5492" t="str">
        <f t="shared" si="31"/>
        <v>14 Car.</v>
      </c>
      <c r="I281" s="5493" t="str">
        <f t="shared" si="28"/>
        <v>ligne 281 ►</v>
      </c>
      <c r="J281" s="9" t="s">
        <v>9277</v>
      </c>
      <c r="K281" s="9"/>
      <c r="L281" s="3">
        <v>1</v>
      </c>
    </row>
    <row r="282" spans="2:12">
      <c r="B282" s="5492" t="str">
        <f t="shared" si="29"/>
        <v>11 Car.</v>
      </c>
      <c r="C282" s="5493" t="str">
        <f t="shared" si="26"/>
        <v>ligne 282 ►</v>
      </c>
      <c r="D282" s="9" t="s">
        <v>9278</v>
      </c>
      <c r="E282" s="5492" t="str">
        <f t="shared" si="30"/>
        <v>12 Car.</v>
      </c>
      <c r="F282" s="5493" t="str">
        <f t="shared" si="27"/>
        <v>ligne 282 ►</v>
      </c>
      <c r="G282" s="9" t="s">
        <v>9279</v>
      </c>
      <c r="H282" s="5492" t="str">
        <f t="shared" si="31"/>
        <v>14 Car.</v>
      </c>
      <c r="I282" s="5493" t="str">
        <f t="shared" si="28"/>
        <v>ligne 282 ►</v>
      </c>
      <c r="J282" s="9" t="s">
        <v>9280</v>
      </c>
      <c r="K282" s="9"/>
      <c r="L282" s="3">
        <v>1</v>
      </c>
    </row>
    <row r="283" spans="2:12">
      <c r="B283" s="5492" t="str">
        <f t="shared" si="29"/>
        <v>34 Car.</v>
      </c>
      <c r="C283" s="5493" t="str">
        <f t="shared" si="26"/>
        <v>ligne 283 ►</v>
      </c>
      <c r="D283" s="9" t="s">
        <v>9305</v>
      </c>
      <c r="E283" s="5492" t="str">
        <f t="shared" si="30"/>
        <v>30 Car.</v>
      </c>
      <c r="F283" s="5493" t="str">
        <f t="shared" si="27"/>
        <v>ligne 283 ►</v>
      </c>
      <c r="G283" s="9" t="s">
        <v>9306</v>
      </c>
      <c r="H283" s="5492" t="str">
        <f t="shared" si="31"/>
        <v>36 Car.</v>
      </c>
      <c r="I283" s="5493" t="str">
        <f t="shared" si="28"/>
        <v>ligne 283 ►</v>
      </c>
      <c r="J283" s="9" t="s">
        <v>9307</v>
      </c>
      <c r="K283" s="9"/>
      <c r="L283" s="3">
        <v>1</v>
      </c>
    </row>
    <row r="284" spans="2:12">
      <c r="B284" s="5492" t="str">
        <f t="shared" si="29"/>
        <v>10 Car.</v>
      </c>
      <c r="C284" s="5493" t="str">
        <f t="shared" si="26"/>
        <v>ligne 284 ►</v>
      </c>
      <c r="D284" s="9" t="s">
        <v>721</v>
      </c>
      <c r="E284" s="5492" t="str">
        <f t="shared" si="30"/>
        <v>12 Car.</v>
      </c>
      <c r="F284" s="5493" t="str">
        <f t="shared" si="27"/>
        <v>ligne 284 ►</v>
      </c>
      <c r="G284" s="9" t="s">
        <v>9346</v>
      </c>
      <c r="H284" s="5492" t="str">
        <f t="shared" si="31"/>
        <v>10 Car.</v>
      </c>
      <c r="I284" s="5493" t="str">
        <f t="shared" si="28"/>
        <v>ligne 284 ►</v>
      </c>
      <c r="J284" s="9" t="s">
        <v>1475</v>
      </c>
      <c r="K284" s="9"/>
      <c r="L284" s="3">
        <v>1</v>
      </c>
    </row>
    <row r="285" spans="2:12">
      <c r="B285" s="5492" t="str">
        <f t="shared" si="29"/>
        <v>9 Car.</v>
      </c>
      <c r="C285" s="5493" t="str">
        <f t="shared" si="26"/>
        <v>ligne 285 ►</v>
      </c>
      <c r="D285" s="9" t="s">
        <v>723</v>
      </c>
      <c r="E285" s="5492" t="str">
        <f t="shared" si="30"/>
        <v>10 Car.</v>
      </c>
      <c r="F285" s="5493" t="str">
        <f t="shared" si="27"/>
        <v>ligne 285 ►</v>
      </c>
      <c r="G285" s="9" t="s">
        <v>9347</v>
      </c>
      <c r="H285" s="5492" t="str">
        <f t="shared" si="31"/>
        <v>9 Car.</v>
      </c>
      <c r="I285" s="5493" t="str">
        <f t="shared" si="28"/>
        <v>ligne 285 ►</v>
      </c>
      <c r="J285" s="9" t="s">
        <v>1477</v>
      </c>
      <c r="K285" s="9"/>
      <c r="L285" s="3">
        <v>1</v>
      </c>
    </row>
    <row r="286" spans="2:12">
      <c r="B286" s="5492" t="str">
        <f t="shared" si="29"/>
        <v>5 Car.</v>
      </c>
      <c r="C286" s="5493" t="str">
        <f t="shared" si="26"/>
        <v>ligne 286 ►</v>
      </c>
      <c r="D286" s="9" t="s">
        <v>9348</v>
      </c>
      <c r="E286" s="5492" t="str">
        <f t="shared" si="30"/>
        <v>4 Car.</v>
      </c>
      <c r="F286" s="5493" t="str">
        <f t="shared" si="27"/>
        <v>ligne 286 ►</v>
      </c>
      <c r="G286" s="9" t="s">
        <v>9349</v>
      </c>
      <c r="H286" s="5492" t="str">
        <f t="shared" si="31"/>
        <v>7 Car.</v>
      </c>
      <c r="I286" s="5493" t="str">
        <f t="shared" si="28"/>
        <v>ligne 286 ►</v>
      </c>
      <c r="J286" s="9" t="s">
        <v>9350</v>
      </c>
      <c r="K286" s="9"/>
      <c r="L286" s="3">
        <v>1</v>
      </c>
    </row>
    <row r="287" spans="2:12">
      <c r="B287" s="5492" t="str">
        <f t="shared" si="29"/>
        <v>8 Car.</v>
      </c>
      <c r="C287" s="5493" t="str">
        <f t="shared" si="26"/>
        <v>ligne 287 ►</v>
      </c>
      <c r="D287" s="9" t="s">
        <v>92</v>
      </c>
      <c r="E287" s="5492" t="str">
        <f t="shared" si="30"/>
        <v>8 Car.</v>
      </c>
      <c r="F287" s="5493" t="str">
        <f t="shared" si="27"/>
        <v>ligne 287 ►</v>
      </c>
      <c r="G287" s="9" t="s">
        <v>229</v>
      </c>
      <c r="H287" s="5492" t="str">
        <f t="shared" si="31"/>
        <v>8 Car.</v>
      </c>
      <c r="I287" s="5493" t="str">
        <f t="shared" si="28"/>
        <v>ligne 287 ►</v>
      </c>
      <c r="J287" s="9" t="s">
        <v>232</v>
      </c>
      <c r="K287" s="9"/>
      <c r="L287" s="3">
        <v>1</v>
      </c>
    </row>
    <row r="288" spans="2:12">
      <c r="B288" s="5492" t="str">
        <f t="shared" si="29"/>
        <v>36 Car.</v>
      </c>
      <c r="C288" s="5493" t="str">
        <f t="shared" si="26"/>
        <v>ligne 288 ►</v>
      </c>
      <c r="D288" s="9" t="s">
        <v>299</v>
      </c>
      <c r="E288" s="5492" t="str">
        <f t="shared" si="30"/>
        <v>40 Car.</v>
      </c>
      <c r="F288" s="5493" t="str">
        <f t="shared" si="27"/>
        <v>ligne 288 ►</v>
      </c>
      <c r="G288" s="9" t="s">
        <v>300</v>
      </c>
      <c r="H288" s="5492" t="str">
        <f t="shared" si="31"/>
        <v>40 Car.</v>
      </c>
      <c r="I288" s="5493" t="str">
        <f t="shared" si="28"/>
        <v>ligne 288 ►</v>
      </c>
      <c r="J288" s="9" t="s">
        <v>301</v>
      </c>
      <c r="K288" s="9"/>
      <c r="L288" s="3">
        <v>1</v>
      </c>
    </row>
    <row r="289" spans="2:12">
      <c r="B289" s="5492" t="str">
        <f t="shared" si="29"/>
        <v>17 Car.</v>
      </c>
      <c r="C289" s="5493" t="str">
        <f t="shared" si="26"/>
        <v>ligne 289 ►</v>
      </c>
      <c r="D289" s="9" t="s">
        <v>351</v>
      </c>
      <c r="E289" s="5492" t="str">
        <f t="shared" si="30"/>
        <v>21 Car.</v>
      </c>
      <c r="F289" s="5493" t="str">
        <f t="shared" si="27"/>
        <v>ligne 289 ►</v>
      </c>
      <c r="G289" s="9" t="s">
        <v>353</v>
      </c>
      <c r="H289" s="5492" t="str">
        <f t="shared" si="31"/>
        <v>14 Car.</v>
      </c>
      <c r="I289" s="5493" t="str">
        <f t="shared" si="28"/>
        <v>ligne 289 ►</v>
      </c>
      <c r="J289" s="9" t="s">
        <v>355</v>
      </c>
      <c r="K289" s="9"/>
      <c r="L289" s="3">
        <v>1</v>
      </c>
    </row>
    <row r="290" spans="2:12">
      <c r="B290" s="5492" t="str">
        <f t="shared" si="29"/>
        <v>6 Car.</v>
      </c>
      <c r="C290" s="5493" t="str">
        <f t="shared" si="26"/>
        <v>ligne 290 ►</v>
      </c>
      <c r="D290" s="9" t="s">
        <v>191</v>
      </c>
      <c r="E290" s="5492" t="str">
        <f t="shared" si="30"/>
        <v>6 Car.</v>
      </c>
      <c r="F290" s="5493" t="str">
        <f t="shared" si="27"/>
        <v>ligne 290 ►</v>
      </c>
      <c r="G290" s="9" t="s">
        <v>662</v>
      </c>
      <c r="H290" s="5492" t="str">
        <f t="shared" si="31"/>
        <v>5 Car.</v>
      </c>
      <c r="I290" s="5493" t="str">
        <f t="shared" si="28"/>
        <v>ligne 290 ►</v>
      </c>
      <c r="J290" s="9" t="s">
        <v>664</v>
      </c>
      <c r="K290" s="9"/>
      <c r="L290" s="3">
        <v>1</v>
      </c>
    </row>
    <row r="291" spans="2:12">
      <c r="B291" s="5492" t="str">
        <f t="shared" si="29"/>
        <v>34 Car.</v>
      </c>
      <c r="C291" s="5493" t="str">
        <f t="shared" si="26"/>
        <v>ligne 291 ►</v>
      </c>
      <c r="D291" s="9" t="s">
        <v>823</v>
      </c>
      <c r="E291" s="5492" t="str">
        <f t="shared" si="30"/>
        <v>37 Car.</v>
      </c>
      <c r="F291" s="5493" t="str">
        <f t="shared" si="27"/>
        <v>ligne 291 ►</v>
      </c>
      <c r="G291" s="9" t="s">
        <v>693</v>
      </c>
      <c r="H291" s="5492" t="str">
        <f t="shared" si="31"/>
        <v>32 Car.</v>
      </c>
      <c r="I291" s="5493" t="str">
        <f t="shared" si="28"/>
        <v>ligne 291 ►</v>
      </c>
      <c r="J291" s="9" t="s">
        <v>695</v>
      </c>
      <c r="K291" s="9"/>
      <c r="L291" s="3">
        <v>1</v>
      </c>
    </row>
    <row r="292" spans="2:12">
      <c r="B292" s="5492" t="str">
        <f t="shared" si="29"/>
        <v>169 Car.</v>
      </c>
      <c r="C292" s="5493" t="str">
        <f t="shared" si="26"/>
        <v>ligne 292 ►</v>
      </c>
      <c r="D292" s="9" t="s">
        <v>34</v>
      </c>
      <c r="E292" s="5492" t="str">
        <f t="shared" si="30"/>
        <v>169 Car.</v>
      </c>
      <c r="F292" s="5493" t="str">
        <f t="shared" si="27"/>
        <v>ligne 292 ►</v>
      </c>
      <c r="G292" s="9" t="s">
        <v>89</v>
      </c>
      <c r="H292" s="5492" t="str">
        <f t="shared" si="31"/>
        <v>163 Car.</v>
      </c>
      <c r="I292" s="5493" t="str">
        <f t="shared" si="28"/>
        <v>ligne 292 ►</v>
      </c>
      <c r="J292" s="9" t="s">
        <v>91</v>
      </c>
      <c r="K292" s="9"/>
      <c r="L292" s="3">
        <v>1</v>
      </c>
    </row>
    <row r="293" spans="2:12">
      <c r="B293" s="5492" t="str">
        <f t="shared" si="29"/>
        <v>52 Car.</v>
      </c>
      <c r="C293" s="5493" t="str">
        <f t="shared" si="26"/>
        <v>ligne 293 ►</v>
      </c>
      <c r="D293" s="9" t="s">
        <v>106</v>
      </c>
      <c r="E293" s="5492" t="str">
        <f t="shared" si="30"/>
        <v>53 Car.</v>
      </c>
      <c r="F293" s="5493" t="str">
        <f t="shared" si="27"/>
        <v>ligne 293 ►</v>
      </c>
      <c r="G293" s="9" t="s">
        <v>107</v>
      </c>
      <c r="H293" s="5492" t="str">
        <f t="shared" si="31"/>
        <v>51 Car.</v>
      </c>
      <c r="I293" s="5493" t="str">
        <f t="shared" si="28"/>
        <v>ligne 293 ►</v>
      </c>
      <c r="J293" s="9" t="s">
        <v>108</v>
      </c>
      <c r="K293" s="9"/>
      <c r="L293" s="3">
        <v>1</v>
      </c>
    </row>
    <row r="294" spans="2:12">
      <c r="B294" s="5492" t="str">
        <f t="shared" si="29"/>
        <v>82 Car.</v>
      </c>
      <c r="C294" s="5493" t="str">
        <f t="shared" si="26"/>
        <v>ligne 294 ►</v>
      </c>
      <c r="D294" s="9" t="s">
        <v>799</v>
      </c>
      <c r="E294" s="5492" t="str">
        <f t="shared" si="30"/>
        <v>90 Car.</v>
      </c>
      <c r="F294" s="5493" t="str">
        <f t="shared" si="27"/>
        <v>ligne 294 ►</v>
      </c>
      <c r="G294" s="9" t="s">
        <v>800</v>
      </c>
      <c r="H294" s="5492" t="str">
        <f t="shared" si="31"/>
        <v>79 Car.</v>
      </c>
      <c r="I294" s="5493" t="str">
        <f t="shared" si="28"/>
        <v>ligne 294 ►</v>
      </c>
      <c r="J294" s="9" t="s">
        <v>801</v>
      </c>
      <c r="K294" s="9"/>
      <c r="L294" s="3">
        <v>1</v>
      </c>
    </row>
    <row r="295" spans="2:12">
      <c r="B295" s="5492" t="str">
        <f t="shared" si="29"/>
        <v>28 Car.</v>
      </c>
      <c r="C295" s="5493" t="str">
        <f t="shared" si="26"/>
        <v>ligne 295 ►</v>
      </c>
      <c r="D295" s="9" t="s">
        <v>278</v>
      </c>
      <c r="E295" s="5492" t="str">
        <f t="shared" si="30"/>
        <v>25 Car.</v>
      </c>
      <c r="F295" s="5493" t="str">
        <f t="shared" si="27"/>
        <v>ligne 295 ►</v>
      </c>
      <c r="G295" s="9" t="s">
        <v>745</v>
      </c>
      <c r="H295" s="5492" t="str">
        <f t="shared" si="31"/>
        <v>27 Car.</v>
      </c>
      <c r="I295" s="5493" t="str">
        <f t="shared" si="28"/>
        <v>ligne 295 ►</v>
      </c>
      <c r="J295" s="9" t="s">
        <v>746</v>
      </c>
      <c r="K295" s="9"/>
      <c r="L295" s="3">
        <v>1</v>
      </c>
    </row>
    <row r="296" spans="2:12">
      <c r="B296" s="5492" t="str">
        <f t="shared" si="29"/>
        <v>22 Car.</v>
      </c>
      <c r="C296" s="5493" t="str">
        <f t="shared" si="26"/>
        <v>ligne 296 ►</v>
      </c>
      <c r="D296" s="9" t="s">
        <v>365</v>
      </c>
      <c r="E296" s="5492" t="str">
        <f t="shared" si="30"/>
        <v>24 Car.</v>
      </c>
      <c r="F296" s="5493" t="str">
        <f t="shared" si="27"/>
        <v>ligne 296 ►</v>
      </c>
      <c r="G296" s="9" t="s">
        <v>775</v>
      </c>
      <c r="H296" s="5492" t="str">
        <f t="shared" si="31"/>
        <v>23 Car.</v>
      </c>
      <c r="I296" s="5493" t="str">
        <f t="shared" si="28"/>
        <v>ligne 296 ►</v>
      </c>
      <c r="J296" s="9" t="s">
        <v>776</v>
      </c>
      <c r="K296" s="9"/>
      <c r="L296" s="3">
        <v>1</v>
      </c>
    </row>
    <row r="297" spans="2:12">
      <c r="B297" s="5492" t="str">
        <f t="shared" si="29"/>
        <v>41 Car.</v>
      </c>
      <c r="C297" s="5493" t="str">
        <f t="shared" si="26"/>
        <v>ligne 297 ►</v>
      </c>
      <c r="D297" s="9" t="s">
        <v>2424</v>
      </c>
      <c r="E297" s="5492" t="str">
        <f t="shared" si="30"/>
        <v>40 Car.</v>
      </c>
      <c r="F297" s="5493" t="str">
        <f t="shared" si="27"/>
        <v>ligne 297 ►</v>
      </c>
      <c r="G297" s="9" t="s">
        <v>3016</v>
      </c>
      <c r="H297" s="5492" t="str">
        <f t="shared" si="31"/>
        <v>41 Car.</v>
      </c>
      <c r="I297" s="5493" t="str">
        <f t="shared" si="28"/>
        <v>ligne 297 ►</v>
      </c>
      <c r="J297" s="9" t="s">
        <v>3009</v>
      </c>
      <c r="K297" s="9"/>
      <c r="L297" s="3">
        <v>1</v>
      </c>
    </row>
    <row r="298" spans="2:12">
      <c r="B298" s="5492" t="str">
        <f t="shared" si="29"/>
        <v>23 Car.</v>
      </c>
      <c r="C298" s="5493" t="str">
        <f t="shared" si="26"/>
        <v>ligne 298 ►</v>
      </c>
      <c r="D298" s="878" t="s">
        <v>9089</v>
      </c>
      <c r="E298" s="5492" t="str">
        <f t="shared" si="30"/>
        <v>16 Car.</v>
      </c>
      <c r="F298" s="5493" t="str">
        <f t="shared" si="27"/>
        <v>ligne 298 ►</v>
      </c>
      <c r="G298" s="9" t="s">
        <v>3034</v>
      </c>
      <c r="H298" s="5492" t="str">
        <f t="shared" si="31"/>
        <v>20 Car.</v>
      </c>
      <c r="I298" s="5493" t="str">
        <f t="shared" si="28"/>
        <v>ligne 298 ►</v>
      </c>
      <c r="J298" s="9" t="s">
        <v>3038</v>
      </c>
      <c r="K298" s="9"/>
      <c r="L298" s="3">
        <v>1</v>
      </c>
    </row>
    <row r="299" spans="2:12">
      <c r="B299" s="5492" t="str">
        <f t="shared" si="29"/>
        <v>22 Car.</v>
      </c>
      <c r="C299" s="5493" t="str">
        <f t="shared" si="26"/>
        <v>ligne 299 ►</v>
      </c>
      <c r="D299" s="878" t="s">
        <v>9090</v>
      </c>
      <c r="E299" s="5492" t="str">
        <f t="shared" si="30"/>
        <v>16 Car.</v>
      </c>
      <c r="F299" s="5493" t="str">
        <f t="shared" si="27"/>
        <v>ligne 299 ►</v>
      </c>
      <c r="G299" s="9" t="s">
        <v>3035</v>
      </c>
      <c r="H299" s="5492" t="str">
        <f t="shared" si="31"/>
        <v>21 Car.</v>
      </c>
      <c r="I299" s="5493" t="str">
        <f t="shared" si="28"/>
        <v>ligne 299 ►</v>
      </c>
      <c r="J299" s="9" t="s">
        <v>3039</v>
      </c>
      <c r="K299" s="9"/>
      <c r="L299" s="3">
        <v>1</v>
      </c>
    </row>
    <row r="300" spans="2:12">
      <c r="B300" s="5492" t="str">
        <f t="shared" si="29"/>
        <v>16 Car.</v>
      </c>
      <c r="C300" s="5493" t="str">
        <f t="shared" si="26"/>
        <v>ligne 300 ►</v>
      </c>
      <c r="D300" s="878" t="s">
        <v>9092</v>
      </c>
      <c r="E300" s="5492" t="str">
        <f t="shared" si="30"/>
        <v>11 Car.</v>
      </c>
      <c r="F300" s="5493" t="str">
        <f t="shared" si="27"/>
        <v>ligne 300 ►</v>
      </c>
      <c r="G300" s="9" t="s">
        <v>9093</v>
      </c>
      <c r="H300" s="5492" t="str">
        <f t="shared" si="31"/>
        <v>16 Car.</v>
      </c>
      <c r="I300" s="5493" t="str">
        <f t="shared" si="28"/>
        <v>ligne 300 ►</v>
      </c>
      <c r="J300" s="9" t="s">
        <v>9094</v>
      </c>
      <c r="K300" s="9"/>
      <c r="L300" s="3">
        <v>1</v>
      </c>
    </row>
    <row r="301" spans="2:12">
      <c r="B301" s="5492" t="str">
        <f t="shared" si="29"/>
        <v>30 Car.</v>
      </c>
      <c r="C301" s="5493" t="str">
        <f t="shared" si="26"/>
        <v>ligne 301 ►</v>
      </c>
      <c r="D301" s="9" t="s">
        <v>9183</v>
      </c>
      <c r="E301" s="5492" t="str">
        <f t="shared" si="30"/>
        <v>19 Car.</v>
      </c>
      <c r="F301" s="5493" t="str">
        <f t="shared" si="27"/>
        <v>ligne 301 ►</v>
      </c>
      <c r="G301" s="9" t="s">
        <v>9184</v>
      </c>
      <c r="H301" s="5492" t="str">
        <f t="shared" si="31"/>
        <v>30 Car.</v>
      </c>
      <c r="I301" s="5493" t="str">
        <f t="shared" si="28"/>
        <v>ligne 301 ►</v>
      </c>
      <c r="J301" s="9" t="s">
        <v>9185</v>
      </c>
      <c r="K301" s="9"/>
      <c r="L301" s="3">
        <v>1</v>
      </c>
    </row>
    <row r="302" spans="2:12">
      <c r="B302" s="5492" t="str">
        <f t="shared" si="29"/>
        <v>24 Car.</v>
      </c>
      <c r="C302" s="5493" t="str">
        <f t="shared" si="26"/>
        <v>ligne 302 ►</v>
      </c>
      <c r="D302" s="9" t="s">
        <v>9331</v>
      </c>
      <c r="E302" s="5492" t="str">
        <f t="shared" si="30"/>
        <v>23 Car.</v>
      </c>
      <c r="F302" s="5493" t="str">
        <f t="shared" si="27"/>
        <v>ligne 302 ►</v>
      </c>
      <c r="G302" s="9" t="s">
        <v>9332</v>
      </c>
      <c r="H302" s="5492" t="str">
        <f t="shared" si="31"/>
        <v>24 Car.</v>
      </c>
      <c r="I302" s="5493" t="str">
        <f t="shared" si="28"/>
        <v>ligne 302 ►</v>
      </c>
      <c r="J302" s="9" t="s">
        <v>9333</v>
      </c>
      <c r="K302" s="9"/>
      <c r="L302" s="3">
        <v>1</v>
      </c>
    </row>
    <row r="303" spans="2:12">
      <c r="B303" s="5492" t="str">
        <f t="shared" si="29"/>
        <v>19 Car.</v>
      </c>
      <c r="C303" s="5493" t="str">
        <f t="shared" si="26"/>
        <v>ligne 303 ►</v>
      </c>
      <c r="D303" s="9" t="s">
        <v>573</v>
      </c>
      <c r="E303" s="5492" t="str">
        <f t="shared" si="30"/>
        <v>17 Car.</v>
      </c>
      <c r="F303" s="5493" t="str">
        <f t="shared" si="27"/>
        <v>ligne 303 ►</v>
      </c>
      <c r="G303" s="9" t="s">
        <v>574</v>
      </c>
      <c r="H303" s="5492" t="str">
        <f t="shared" si="31"/>
        <v>14 Car.</v>
      </c>
      <c r="I303" s="5493" t="str">
        <f t="shared" si="28"/>
        <v>ligne 303 ►</v>
      </c>
      <c r="J303" s="9" t="s">
        <v>575</v>
      </c>
      <c r="K303" s="9"/>
      <c r="L303" s="3">
        <v>1</v>
      </c>
    </row>
    <row r="304" spans="2:12">
      <c r="B304" s="5492" t="str">
        <f t="shared" si="29"/>
        <v>20 Car.</v>
      </c>
      <c r="C304" s="5493" t="str">
        <f t="shared" si="26"/>
        <v>ligne 304 ►</v>
      </c>
      <c r="D304" s="9" t="s">
        <v>593</v>
      </c>
      <c r="E304" s="5492" t="str">
        <f t="shared" si="30"/>
        <v>17 Car.</v>
      </c>
      <c r="F304" s="5493" t="str">
        <f t="shared" si="27"/>
        <v>ligne 304 ►</v>
      </c>
      <c r="G304" s="9" t="s">
        <v>594</v>
      </c>
      <c r="H304" s="5492" t="str">
        <f t="shared" si="31"/>
        <v>17 Car.</v>
      </c>
      <c r="I304" s="5493" t="str">
        <f t="shared" si="28"/>
        <v>ligne 304 ►</v>
      </c>
      <c r="J304" s="9" t="s">
        <v>595</v>
      </c>
      <c r="K304" s="9"/>
      <c r="L304" s="3">
        <v>1</v>
      </c>
    </row>
    <row r="305" spans="2:12">
      <c r="B305" s="5492" t="str">
        <f t="shared" si="29"/>
        <v>87 Car.</v>
      </c>
      <c r="C305" s="5493" t="str">
        <f t="shared" si="26"/>
        <v>ligne 305 ►</v>
      </c>
      <c r="D305" s="9" t="s">
        <v>221</v>
      </c>
      <c r="E305" s="5492" t="str">
        <f t="shared" si="30"/>
        <v>86 Car.</v>
      </c>
      <c r="F305" s="5493" t="str">
        <f t="shared" si="27"/>
        <v>ligne 305 ►</v>
      </c>
      <c r="G305" s="9" t="s">
        <v>222</v>
      </c>
      <c r="H305" s="5492" t="str">
        <f t="shared" si="31"/>
        <v>76 Car.</v>
      </c>
      <c r="I305" s="5493" t="str">
        <f t="shared" si="28"/>
        <v>ligne 305 ►</v>
      </c>
      <c r="J305" s="9" t="s">
        <v>223</v>
      </c>
      <c r="K305" s="9"/>
      <c r="L305" s="3">
        <v>1</v>
      </c>
    </row>
    <row r="306" spans="2:12">
      <c r="B306" s="5492" t="str">
        <f t="shared" si="29"/>
        <v>102 Car.</v>
      </c>
      <c r="C306" s="5493" t="str">
        <f t="shared" si="26"/>
        <v>ligne 306 ►</v>
      </c>
      <c r="D306" s="9" t="s">
        <v>408</v>
      </c>
      <c r="E306" s="5492" t="str">
        <f t="shared" si="30"/>
        <v>83 Car.</v>
      </c>
      <c r="F306" s="5493" t="str">
        <f t="shared" si="27"/>
        <v>ligne 306 ►</v>
      </c>
      <c r="G306" s="9" t="s">
        <v>409</v>
      </c>
      <c r="H306" s="5492" t="str">
        <f t="shared" si="31"/>
        <v>84 Car.</v>
      </c>
      <c r="I306" s="5493" t="str">
        <f t="shared" si="28"/>
        <v>ligne 306 ►</v>
      </c>
      <c r="J306" s="9" t="s">
        <v>410</v>
      </c>
      <c r="K306" s="9"/>
      <c r="L306" s="3">
        <v>1</v>
      </c>
    </row>
    <row r="307" spans="2:12">
      <c r="B307" s="5492" t="str">
        <f t="shared" si="29"/>
        <v>125 Car.</v>
      </c>
      <c r="C307" s="5493" t="str">
        <f t="shared" si="26"/>
        <v>ligne 307 ►</v>
      </c>
      <c r="D307" s="9" t="s">
        <v>478</v>
      </c>
      <c r="E307" s="5492" t="str">
        <f t="shared" si="30"/>
        <v>126 Car.</v>
      </c>
      <c r="F307" s="5493" t="str">
        <f t="shared" si="27"/>
        <v>ligne 307 ►</v>
      </c>
      <c r="G307" s="9" t="s">
        <v>479</v>
      </c>
      <c r="H307" s="5492" t="str">
        <f t="shared" si="31"/>
        <v>108 Car.</v>
      </c>
      <c r="I307" s="5493" t="str">
        <f t="shared" si="28"/>
        <v>ligne 307 ►</v>
      </c>
      <c r="J307" s="9" t="s">
        <v>480</v>
      </c>
      <c r="K307" s="9"/>
      <c r="L307" s="3">
        <v>1</v>
      </c>
    </row>
    <row r="308" spans="2:12">
      <c r="B308" s="5492" t="str">
        <f t="shared" si="29"/>
        <v>162 Car.</v>
      </c>
      <c r="C308" s="5493" t="str">
        <f t="shared" si="26"/>
        <v>ligne 308 ►</v>
      </c>
      <c r="D308" s="9" t="s">
        <v>505</v>
      </c>
      <c r="E308" s="5492" t="str">
        <f t="shared" si="30"/>
        <v>155 Car.</v>
      </c>
      <c r="F308" s="5493" t="str">
        <f t="shared" si="27"/>
        <v>ligne 308 ►</v>
      </c>
      <c r="G308" s="9" t="s">
        <v>506</v>
      </c>
      <c r="H308" s="5492" t="str">
        <f t="shared" si="31"/>
        <v>160 Car.</v>
      </c>
      <c r="I308" s="5493" t="str">
        <f t="shared" si="28"/>
        <v>ligne 308 ►</v>
      </c>
      <c r="J308" s="9" t="s">
        <v>507</v>
      </c>
      <c r="K308" s="9"/>
      <c r="L308" s="3">
        <v>1</v>
      </c>
    </row>
    <row r="309" spans="2:12">
      <c r="B309" s="5492" t="str">
        <f t="shared" si="29"/>
        <v>33 Car.</v>
      </c>
      <c r="C309" s="5493" t="str">
        <f t="shared" si="26"/>
        <v>ligne 309 ►</v>
      </c>
      <c r="D309" s="9" t="s">
        <v>522</v>
      </c>
      <c r="E309" s="5492" t="str">
        <f t="shared" si="30"/>
        <v>36 Car.</v>
      </c>
      <c r="F309" s="5493" t="str">
        <f t="shared" si="27"/>
        <v>ligne 309 ►</v>
      </c>
      <c r="G309" s="9" t="s">
        <v>523</v>
      </c>
      <c r="H309" s="5492" t="str">
        <f t="shared" si="31"/>
        <v>26 Car.</v>
      </c>
      <c r="I309" s="5493" t="str">
        <f t="shared" si="28"/>
        <v>ligne 309 ►</v>
      </c>
      <c r="J309" s="9" t="s">
        <v>524</v>
      </c>
      <c r="K309" s="9"/>
      <c r="L309" s="3">
        <v>1</v>
      </c>
    </row>
    <row r="310" spans="2:12">
      <c r="B310" s="5492" t="str">
        <f t="shared" si="29"/>
        <v>5 Car.</v>
      </c>
      <c r="C310" s="5493" t="str">
        <f t="shared" si="26"/>
        <v>ligne 310 ►</v>
      </c>
      <c r="D310" s="9" t="s">
        <v>539</v>
      </c>
      <c r="E310" s="5492" t="str">
        <f t="shared" si="30"/>
        <v>3 Car.</v>
      </c>
      <c r="F310" s="5493" t="str">
        <f t="shared" si="27"/>
        <v>ligne 310 ►</v>
      </c>
      <c r="G310" s="9" t="s">
        <v>540</v>
      </c>
      <c r="H310" s="5492" t="str">
        <f t="shared" si="31"/>
        <v>4 Car.</v>
      </c>
      <c r="I310" s="5493" t="str">
        <f t="shared" si="28"/>
        <v>ligne 310 ►</v>
      </c>
      <c r="J310" s="9" t="s">
        <v>541</v>
      </c>
      <c r="K310" s="9"/>
      <c r="L310" s="3">
        <v>1</v>
      </c>
    </row>
    <row r="311" spans="2:12">
      <c r="B311" s="5492" t="str">
        <f t="shared" si="29"/>
        <v>23 Car.</v>
      </c>
      <c r="C311" s="5493" t="str">
        <f t="shared" si="26"/>
        <v>ligne 311 ►</v>
      </c>
      <c r="D311" s="9" t="s">
        <v>687</v>
      </c>
      <c r="E311" s="5492" t="str">
        <f t="shared" si="30"/>
        <v>21 Car.</v>
      </c>
      <c r="F311" s="5493" t="str">
        <f t="shared" si="27"/>
        <v>ligne 311 ►</v>
      </c>
      <c r="G311" s="9" t="s">
        <v>688</v>
      </c>
      <c r="H311" s="5492" t="str">
        <f t="shared" si="31"/>
        <v>24 Car.</v>
      </c>
      <c r="I311" s="5493" t="str">
        <f t="shared" si="28"/>
        <v>ligne 311 ►</v>
      </c>
      <c r="J311" s="9" t="s">
        <v>690</v>
      </c>
      <c r="K311" s="9"/>
      <c r="L311" s="3">
        <v>1</v>
      </c>
    </row>
    <row r="312" spans="2:12">
      <c r="B312" s="5492" t="str">
        <f t="shared" si="29"/>
        <v>75 Car.</v>
      </c>
      <c r="C312" s="5493" t="str">
        <f t="shared" si="26"/>
        <v>ligne 312 ►</v>
      </c>
      <c r="D312" s="9" t="s">
        <v>709</v>
      </c>
      <c r="E312" s="5492" t="str">
        <f t="shared" si="30"/>
        <v>63 Car.</v>
      </c>
      <c r="F312" s="5493" t="str">
        <f t="shared" si="27"/>
        <v>ligne 312 ►</v>
      </c>
      <c r="G312" s="9" t="s">
        <v>710</v>
      </c>
      <c r="H312" s="5492" t="str">
        <f t="shared" si="31"/>
        <v>74 Car.</v>
      </c>
      <c r="I312" s="5493" t="str">
        <f t="shared" si="28"/>
        <v>ligne 312 ►</v>
      </c>
      <c r="J312" s="9" t="s">
        <v>711</v>
      </c>
      <c r="K312" s="9"/>
      <c r="L312" s="3">
        <v>1</v>
      </c>
    </row>
    <row r="313" spans="2:12">
      <c r="B313" s="5492" t="str">
        <f t="shared" si="29"/>
        <v>75 Car.</v>
      </c>
      <c r="C313" s="5493" t="str">
        <f t="shared" si="26"/>
        <v>ligne 313 ►</v>
      </c>
      <c r="D313" s="9" t="s">
        <v>403</v>
      </c>
      <c r="E313" s="5492" t="str">
        <f t="shared" si="30"/>
        <v>74 Car.</v>
      </c>
      <c r="F313" s="5493" t="str">
        <f t="shared" si="27"/>
        <v>ligne 313 ►</v>
      </c>
      <c r="G313" s="9" t="s">
        <v>786</v>
      </c>
      <c r="H313" s="5492" t="str">
        <f t="shared" si="31"/>
        <v>72 Car.</v>
      </c>
      <c r="I313" s="5493" t="str">
        <f t="shared" si="28"/>
        <v>ligne 313 ►</v>
      </c>
      <c r="J313" s="9" t="s">
        <v>787</v>
      </c>
      <c r="K313" s="9"/>
      <c r="L313" s="3">
        <v>1</v>
      </c>
    </row>
    <row r="314" spans="2:12">
      <c r="B314" s="5492" t="str">
        <f t="shared" si="29"/>
        <v>41 Car.</v>
      </c>
      <c r="C314" s="5493" t="str">
        <f t="shared" si="26"/>
        <v>ligne 314 ►</v>
      </c>
      <c r="D314" s="9" t="s">
        <v>9055</v>
      </c>
      <c r="E314" s="5492" t="str">
        <f t="shared" si="30"/>
        <v>34 Car.</v>
      </c>
      <c r="F314" s="5493" t="str">
        <f t="shared" si="27"/>
        <v>ligne 314 ►</v>
      </c>
      <c r="G314" s="9" t="s">
        <v>9056</v>
      </c>
      <c r="H314" s="5492" t="str">
        <f t="shared" si="31"/>
        <v>36 Car.</v>
      </c>
      <c r="I314" s="5493" t="str">
        <f t="shared" si="28"/>
        <v>ligne 314 ►</v>
      </c>
      <c r="J314" s="9" t="s">
        <v>9057</v>
      </c>
      <c r="K314" s="9"/>
      <c r="L314" s="3">
        <v>1</v>
      </c>
    </row>
    <row r="315" spans="2:12">
      <c r="B315" s="5492" t="str">
        <f t="shared" si="29"/>
        <v>21 Car.</v>
      </c>
      <c r="C315" s="5493" t="str">
        <f t="shared" si="26"/>
        <v>ligne 315 ►</v>
      </c>
      <c r="D315" s="878" t="s">
        <v>9091</v>
      </c>
      <c r="E315" s="5492" t="str">
        <f t="shared" si="30"/>
        <v>13 Car.</v>
      </c>
      <c r="F315" s="5493" t="str">
        <f t="shared" si="27"/>
        <v>ligne 315 ►</v>
      </c>
      <c r="G315" s="9" t="s">
        <v>3036</v>
      </c>
      <c r="H315" s="5492" t="str">
        <f t="shared" si="31"/>
        <v>14 Car.</v>
      </c>
      <c r="I315" s="5493" t="str">
        <f t="shared" si="28"/>
        <v>ligne 315 ►</v>
      </c>
      <c r="J315" s="9" t="s">
        <v>3040</v>
      </c>
      <c r="K315" s="9"/>
      <c r="L315" s="3">
        <v>1</v>
      </c>
    </row>
    <row r="316" spans="2:12">
      <c r="B316" s="5492" t="str">
        <f t="shared" si="29"/>
        <v>27 Car.</v>
      </c>
      <c r="C316" s="5493" t="str">
        <f t="shared" si="26"/>
        <v>ligne 316 ►</v>
      </c>
      <c r="D316" s="9" t="s">
        <v>9118</v>
      </c>
      <c r="E316" s="5492" t="str">
        <f t="shared" si="30"/>
        <v>22 Car.</v>
      </c>
      <c r="F316" s="5493" t="str">
        <f t="shared" si="27"/>
        <v>ligne 316 ►</v>
      </c>
      <c r="G316" s="9" t="s">
        <v>9119</v>
      </c>
      <c r="H316" s="5492" t="str">
        <f t="shared" si="31"/>
        <v>14 Car.</v>
      </c>
      <c r="I316" s="5493" t="str">
        <f t="shared" si="28"/>
        <v>ligne 316 ►</v>
      </c>
      <c r="J316" s="9" t="s">
        <v>9120</v>
      </c>
      <c r="K316" s="9"/>
      <c r="L316" s="3">
        <v>1</v>
      </c>
    </row>
    <row r="317" spans="2:12">
      <c r="B317" s="5492" t="str">
        <f t="shared" si="29"/>
        <v>64 Car.</v>
      </c>
      <c r="C317" s="5493" t="str">
        <f t="shared" si="26"/>
        <v>ligne 317 ►</v>
      </c>
      <c r="D317" s="9" t="s">
        <v>9135</v>
      </c>
      <c r="E317" s="5492" t="str">
        <f t="shared" si="30"/>
        <v>55 Car.</v>
      </c>
      <c r="F317" s="5493" t="str">
        <f t="shared" si="27"/>
        <v>ligne 317 ►</v>
      </c>
      <c r="G317" s="9" t="s">
        <v>9136</v>
      </c>
      <c r="H317" s="5492" t="str">
        <f t="shared" si="31"/>
        <v>65 Car.</v>
      </c>
      <c r="I317" s="5493" t="str">
        <f t="shared" si="28"/>
        <v>ligne 317 ►</v>
      </c>
      <c r="J317" s="9" t="s">
        <v>9137</v>
      </c>
      <c r="K317" s="9"/>
      <c r="L317" s="3">
        <v>1</v>
      </c>
    </row>
    <row r="318" spans="2:12">
      <c r="B318" s="5492" t="str">
        <f t="shared" si="29"/>
        <v>29 Car.</v>
      </c>
      <c r="C318" s="5493" t="str">
        <f t="shared" si="26"/>
        <v>ligne 318 ►</v>
      </c>
      <c r="D318" s="9" t="s">
        <v>9281</v>
      </c>
      <c r="E318" s="5492" t="str">
        <f t="shared" si="30"/>
        <v>16 Car.</v>
      </c>
      <c r="F318" s="5493" t="str">
        <f t="shared" si="27"/>
        <v>ligne 318 ►</v>
      </c>
      <c r="G318" s="9" t="s">
        <v>9282</v>
      </c>
      <c r="H318" s="5492" t="str">
        <f t="shared" si="31"/>
        <v>32 Car.</v>
      </c>
      <c r="I318" s="5493" t="str">
        <f t="shared" si="28"/>
        <v>ligne 318 ►</v>
      </c>
      <c r="J318" s="9" t="s">
        <v>9283</v>
      </c>
      <c r="K318" s="9"/>
      <c r="L318" s="3">
        <v>1</v>
      </c>
    </row>
    <row r="319" spans="2:12">
      <c r="B319" s="5492" t="str">
        <f t="shared" si="29"/>
        <v>4 Car.</v>
      </c>
      <c r="C319" s="5493" t="str">
        <f t="shared" si="26"/>
        <v>ligne 319 ►</v>
      </c>
      <c r="D319" s="9" t="s">
        <v>9284</v>
      </c>
      <c r="E319" s="5492" t="str">
        <f t="shared" si="30"/>
        <v>5 Car.</v>
      </c>
      <c r="F319" s="5493" t="str">
        <f t="shared" si="27"/>
        <v>ligne 319 ►</v>
      </c>
      <c r="G319" s="9" t="s">
        <v>9285</v>
      </c>
      <c r="H319" s="5492" t="str">
        <f t="shared" si="31"/>
        <v>6 Car.</v>
      </c>
      <c r="I319" s="5493" t="str">
        <f t="shared" si="28"/>
        <v>ligne 319 ►</v>
      </c>
      <c r="J319" s="9" t="s">
        <v>9286</v>
      </c>
      <c r="K319" s="9"/>
      <c r="L319" s="3">
        <v>1</v>
      </c>
    </row>
    <row r="320" spans="2:12">
      <c r="B320" s="5492" t="str">
        <f t="shared" si="29"/>
        <v>13 Car.</v>
      </c>
      <c r="C320" s="5493" t="str">
        <f t="shared" si="26"/>
        <v>ligne 320 ►</v>
      </c>
      <c r="D320" s="9" t="s">
        <v>9287</v>
      </c>
      <c r="E320" s="5492" t="str">
        <f t="shared" si="30"/>
        <v>14 Car.</v>
      </c>
      <c r="F320" s="5493" t="str">
        <f t="shared" si="27"/>
        <v>ligne 320 ►</v>
      </c>
      <c r="G320" s="9" t="s">
        <v>9288</v>
      </c>
      <c r="H320" s="5492" t="str">
        <f t="shared" si="31"/>
        <v>14 Car.</v>
      </c>
      <c r="I320" s="5493" t="str">
        <f t="shared" si="28"/>
        <v>ligne 320 ►</v>
      </c>
      <c r="J320" s="9" t="s">
        <v>9289</v>
      </c>
      <c r="K320" s="9"/>
      <c r="L320" s="3">
        <v>1</v>
      </c>
    </row>
    <row r="321" spans="2:12">
      <c r="B321" s="5492" t="str">
        <f t="shared" si="29"/>
        <v>35 Car.</v>
      </c>
      <c r="C321" s="5493" t="str">
        <f t="shared" si="26"/>
        <v>ligne 321 ►</v>
      </c>
      <c r="D321" s="9" t="s">
        <v>9308</v>
      </c>
      <c r="E321" s="5492" t="str">
        <f t="shared" si="30"/>
        <v>37 Car.</v>
      </c>
      <c r="F321" s="5493" t="str">
        <f t="shared" si="27"/>
        <v>ligne 321 ►</v>
      </c>
      <c r="G321" s="9" t="s">
        <v>9309</v>
      </c>
      <c r="H321" s="5492" t="str">
        <f t="shared" si="31"/>
        <v>36 Car.</v>
      </c>
      <c r="I321" s="5493" t="str">
        <f t="shared" si="28"/>
        <v>ligne 321 ►</v>
      </c>
      <c r="J321" s="9" t="s">
        <v>9310</v>
      </c>
      <c r="K321" s="9"/>
      <c r="L321" s="3">
        <v>1</v>
      </c>
    </row>
    <row r="322" spans="2:12" ht="15.75">
      <c r="B322" s="5492" t="str">
        <f t="shared" si="29"/>
        <v>82 Car.</v>
      </c>
      <c r="C322" s="5493" t="str">
        <f t="shared" si="26"/>
        <v>ligne 322 ►</v>
      </c>
      <c r="D322" s="653" t="s">
        <v>894</v>
      </c>
      <c r="E322" s="5492" t="str">
        <f t="shared" si="30"/>
        <v>77 Car.</v>
      </c>
      <c r="F322" s="5493" t="str">
        <f t="shared" si="27"/>
        <v>ligne 322 ►</v>
      </c>
      <c r="G322" s="654" t="s">
        <v>895</v>
      </c>
      <c r="H322" s="5492" t="str">
        <f t="shared" si="31"/>
        <v>66 Car.</v>
      </c>
      <c r="I322" s="5493" t="str">
        <f t="shared" si="28"/>
        <v>ligne 322 ►</v>
      </c>
      <c r="J322" s="654" t="s">
        <v>896</v>
      </c>
      <c r="K322" s="9"/>
      <c r="L322" s="3">
        <v>1</v>
      </c>
    </row>
    <row r="323" spans="2:12">
      <c r="B323" s="5492" t="str">
        <f t="shared" si="29"/>
        <v>61 Car.</v>
      </c>
      <c r="C323" s="5493" t="str">
        <f t="shared" si="26"/>
        <v>ligne 323 ►</v>
      </c>
      <c r="D323" s="9" t="s">
        <v>803</v>
      </c>
      <c r="E323" s="5492" t="str">
        <f t="shared" si="30"/>
        <v>49 Car.</v>
      </c>
      <c r="F323" s="5493" t="str">
        <f t="shared" si="27"/>
        <v>ligne 323 ►</v>
      </c>
      <c r="G323" s="9" t="s">
        <v>202</v>
      </c>
      <c r="H323" s="5492" t="str">
        <f t="shared" si="31"/>
        <v>59 Car.</v>
      </c>
      <c r="I323" s="5493" t="str">
        <f t="shared" si="28"/>
        <v>ligne 323 ►</v>
      </c>
      <c r="J323" s="9" t="s">
        <v>203</v>
      </c>
      <c r="K323" s="9"/>
      <c r="L323" s="3">
        <v>1</v>
      </c>
    </row>
    <row r="324" spans="2:12">
      <c r="B324" s="5492" t="str">
        <f t="shared" si="29"/>
        <v>55 Car.</v>
      </c>
      <c r="C324" s="5493" t="str">
        <f t="shared" si="26"/>
        <v>ligne 324 ►</v>
      </c>
      <c r="D324" s="9" t="s">
        <v>563</v>
      </c>
      <c r="E324" s="5492" t="str">
        <f t="shared" si="30"/>
        <v>55 Car.</v>
      </c>
      <c r="F324" s="5493" t="str">
        <f t="shared" si="27"/>
        <v>ligne 324 ►</v>
      </c>
      <c r="G324" s="9" t="s">
        <v>563</v>
      </c>
      <c r="H324" s="5492" t="str">
        <f t="shared" si="31"/>
        <v>55 Car.</v>
      </c>
      <c r="I324" s="5493" t="str">
        <f t="shared" si="28"/>
        <v>ligne 324 ►</v>
      </c>
      <c r="J324" s="9" t="s">
        <v>563</v>
      </c>
      <c r="K324" s="9"/>
      <c r="L324" s="3">
        <v>1</v>
      </c>
    </row>
    <row r="325" spans="2:12">
      <c r="B325" s="5492" t="str">
        <f t="shared" si="29"/>
        <v>101 Car.</v>
      </c>
      <c r="C325" s="5493" t="str">
        <f t="shared" si="26"/>
        <v>ligne 325 ►</v>
      </c>
      <c r="D325" s="9" t="s">
        <v>331</v>
      </c>
      <c r="E325" s="5492" t="str">
        <f t="shared" si="30"/>
        <v>84 Car.</v>
      </c>
      <c r="F325" s="5493" t="str">
        <f t="shared" si="27"/>
        <v>ligne 325 ►</v>
      </c>
      <c r="G325" s="9" t="s">
        <v>332</v>
      </c>
      <c r="H325" s="5492" t="str">
        <f t="shared" si="31"/>
        <v>92 Car.</v>
      </c>
      <c r="I325" s="5493" t="str">
        <f t="shared" si="28"/>
        <v>ligne 325 ►</v>
      </c>
      <c r="J325" s="9" t="s">
        <v>333</v>
      </c>
      <c r="K325" s="9"/>
      <c r="L325" s="3">
        <v>1</v>
      </c>
    </row>
    <row r="326" spans="2:12">
      <c r="B326" s="5492" t="str">
        <f t="shared" si="29"/>
        <v>15 Car.</v>
      </c>
      <c r="C326" s="5493" t="str">
        <f t="shared" si="26"/>
        <v>ligne 326 ►</v>
      </c>
      <c r="D326" s="9" t="s">
        <v>470</v>
      </c>
      <c r="E326" s="5492" t="str">
        <f t="shared" si="30"/>
        <v>11 Car.</v>
      </c>
      <c r="F326" s="5493" t="str">
        <f t="shared" si="27"/>
        <v>ligne 326 ►</v>
      </c>
      <c r="G326" s="9" t="s">
        <v>471</v>
      </c>
      <c r="H326" s="5492" t="str">
        <f t="shared" si="31"/>
        <v>15 Car.</v>
      </c>
      <c r="I326" s="5493" t="str">
        <f t="shared" si="28"/>
        <v>ligne 326 ►</v>
      </c>
      <c r="J326" s="9" t="s">
        <v>472</v>
      </c>
      <c r="K326" s="9"/>
      <c r="L326" s="3">
        <v>1</v>
      </c>
    </row>
    <row r="327" spans="2:12">
      <c r="B327" s="5492" t="str">
        <f t="shared" si="29"/>
        <v>5 Car.</v>
      </c>
      <c r="C327" s="5493" t="str">
        <f t="shared" si="26"/>
        <v>ligne 327 ►</v>
      </c>
      <c r="D327" s="9" t="s">
        <v>182</v>
      </c>
      <c r="E327" s="5492" t="str">
        <f t="shared" si="30"/>
        <v>5 Car.</v>
      </c>
      <c r="F327" s="5493" t="str">
        <f t="shared" si="27"/>
        <v>ligne 327 ►</v>
      </c>
      <c r="G327" s="9" t="s">
        <v>182</v>
      </c>
      <c r="H327" s="5492" t="str">
        <f t="shared" si="31"/>
        <v>5 Car.</v>
      </c>
      <c r="I327" s="5493" t="str">
        <f t="shared" si="28"/>
        <v>ligne 327 ►</v>
      </c>
      <c r="J327" s="9" t="s">
        <v>182</v>
      </c>
      <c r="K327" s="9"/>
      <c r="L327" s="3">
        <v>1</v>
      </c>
    </row>
    <row r="328" spans="2:12">
      <c r="B328" s="5492" t="str">
        <f t="shared" si="29"/>
        <v>43 Car.</v>
      </c>
      <c r="C328" s="5493" t="str">
        <f t="shared" ref="C328:C391" si="32">"ligne "&amp;ROW()&amp;" ►"</f>
        <v>ligne 328 ►</v>
      </c>
      <c r="D328" s="9" t="s">
        <v>637</v>
      </c>
      <c r="E328" s="5492" t="str">
        <f t="shared" si="30"/>
        <v>36 Car.</v>
      </c>
      <c r="F328" s="5493" t="str">
        <f t="shared" ref="F328:F391" si="33">"ligne "&amp;ROW()&amp;" ►"</f>
        <v>ligne 328 ►</v>
      </c>
      <c r="G328" s="9" t="s">
        <v>639</v>
      </c>
      <c r="H328" s="5492" t="str">
        <f t="shared" si="31"/>
        <v>42 Car.</v>
      </c>
      <c r="I328" s="5493" t="str">
        <f t="shared" ref="I328:I391" si="34">"ligne "&amp;ROW()&amp;" ►"</f>
        <v>ligne 328 ►</v>
      </c>
      <c r="J328" s="9" t="s">
        <v>641</v>
      </c>
      <c r="K328" s="9"/>
      <c r="L328" s="3">
        <v>1</v>
      </c>
    </row>
    <row r="329" spans="2:12">
      <c r="B329" s="5492" t="str">
        <f t="shared" ref="B329:B392" si="35">SUMPRODUCT(--(D329&lt;&gt;""), LEN(TRIM(SUBSTITUTE(D329, CHAR(160), "")))) &amp; " Car."</f>
        <v>20 Car.</v>
      </c>
      <c r="C329" s="5493" t="str">
        <f t="shared" si="32"/>
        <v>ligne 329 ►</v>
      </c>
      <c r="D329" s="9" t="s">
        <v>171</v>
      </c>
      <c r="E329" s="5492" t="str">
        <f t="shared" ref="E329:E392" si="36">SUMPRODUCT(--(G329&lt;&gt;""), LEN(TRIM(SUBSTITUTE(G329, CHAR(160), "")))) &amp; " Car."</f>
        <v>9 Car.</v>
      </c>
      <c r="F329" s="5493" t="str">
        <f t="shared" si="33"/>
        <v>ligne 329 ►</v>
      </c>
      <c r="G329" s="9" t="s">
        <v>650</v>
      </c>
      <c r="H329" s="5492" t="str">
        <f t="shared" ref="H329:H392" si="37">SUMPRODUCT(--(J329&lt;&gt;""), LEN(TRIM(SUBSTITUTE(J329, CHAR(160), "")))) &amp; " Car."</f>
        <v>21 Car.</v>
      </c>
      <c r="I329" s="5493" t="str">
        <f t="shared" si="34"/>
        <v>ligne 329 ►</v>
      </c>
      <c r="J329" s="9" t="s">
        <v>651</v>
      </c>
      <c r="K329" s="9"/>
      <c r="L329" s="3">
        <v>1</v>
      </c>
    </row>
    <row r="330" spans="2:12">
      <c r="B330" s="5492" t="str">
        <f t="shared" si="35"/>
        <v>16 Car.</v>
      </c>
      <c r="C330" s="5493" t="str">
        <f t="shared" si="32"/>
        <v>ligne 330 ►</v>
      </c>
      <c r="D330" s="9" t="s">
        <v>173</v>
      </c>
      <c r="E330" s="5492" t="str">
        <f t="shared" si="36"/>
        <v>12 Car.</v>
      </c>
      <c r="F330" s="5493" t="str">
        <f t="shared" si="33"/>
        <v>ligne 330 ►</v>
      </c>
      <c r="G330" s="9" t="s">
        <v>655</v>
      </c>
      <c r="H330" s="5492" t="str">
        <f t="shared" si="37"/>
        <v>17 Car.</v>
      </c>
      <c r="I330" s="5493" t="str">
        <f t="shared" si="34"/>
        <v>ligne 330 ►</v>
      </c>
      <c r="J330" s="9" t="s">
        <v>656</v>
      </c>
      <c r="K330" s="9"/>
      <c r="L330" s="3">
        <v>1</v>
      </c>
    </row>
    <row r="331" spans="2:12">
      <c r="B331" s="5492" t="str">
        <f t="shared" si="35"/>
        <v>24 Car.</v>
      </c>
      <c r="C331" s="5493" t="str">
        <f t="shared" si="32"/>
        <v>ligne 331 ►</v>
      </c>
      <c r="D331" s="9" t="s">
        <v>181</v>
      </c>
      <c r="E331" s="5492" t="str">
        <f t="shared" si="36"/>
        <v>12 Car.</v>
      </c>
      <c r="F331" s="5493" t="str">
        <f t="shared" si="33"/>
        <v>ligne 331 ►</v>
      </c>
      <c r="G331" s="9" t="s">
        <v>657</v>
      </c>
      <c r="H331" s="5492" t="str">
        <f t="shared" si="37"/>
        <v>18 Car.</v>
      </c>
      <c r="I331" s="5493" t="str">
        <f t="shared" si="34"/>
        <v>ligne 331 ►</v>
      </c>
      <c r="J331" s="9" t="s">
        <v>658</v>
      </c>
      <c r="K331" s="9"/>
      <c r="L331" s="3">
        <v>1</v>
      </c>
    </row>
    <row r="332" spans="2:12">
      <c r="B332" s="5492" t="str">
        <f t="shared" si="35"/>
        <v>7 Car.</v>
      </c>
      <c r="C332" s="5493" t="str">
        <f t="shared" si="32"/>
        <v>ligne 332 ►</v>
      </c>
      <c r="D332" s="9" t="s">
        <v>760</v>
      </c>
      <c r="E332" s="5492" t="str">
        <f t="shared" si="36"/>
        <v>7 Car.</v>
      </c>
      <c r="F332" s="5493" t="str">
        <f t="shared" si="33"/>
        <v>ligne 332 ►</v>
      </c>
      <c r="G332" s="9" t="s">
        <v>760</v>
      </c>
      <c r="H332" s="5492" t="str">
        <f t="shared" si="37"/>
        <v>7 Car.</v>
      </c>
      <c r="I332" s="5493" t="str">
        <f t="shared" si="34"/>
        <v>ligne 332 ►</v>
      </c>
      <c r="J332" s="9" t="s">
        <v>762</v>
      </c>
      <c r="K332" s="9"/>
      <c r="L332" s="3">
        <v>1</v>
      </c>
    </row>
    <row r="333" spans="2:12">
      <c r="B333" s="5492" t="str">
        <f t="shared" si="35"/>
        <v>12 Car.</v>
      </c>
      <c r="C333" s="5493" t="str">
        <f t="shared" si="32"/>
        <v>ligne 333 ►</v>
      </c>
      <c r="D333" s="9" t="s">
        <v>350</v>
      </c>
      <c r="E333" s="5492" t="str">
        <f t="shared" si="36"/>
        <v>14 Car.</v>
      </c>
      <c r="F333" s="5493" t="str">
        <f t="shared" si="33"/>
        <v>ligne 333 ►</v>
      </c>
      <c r="G333" s="9" t="s">
        <v>767</v>
      </c>
      <c r="H333" s="5492" t="str">
        <f t="shared" si="37"/>
        <v>14 Car.</v>
      </c>
      <c r="I333" s="5493" t="str">
        <f t="shared" si="34"/>
        <v>ligne 333 ►</v>
      </c>
      <c r="J333" s="9" t="s">
        <v>768</v>
      </c>
      <c r="K333" s="9"/>
      <c r="L333" s="3">
        <v>1</v>
      </c>
    </row>
    <row r="334" spans="2:12">
      <c r="B334" s="5492" t="str">
        <f t="shared" si="35"/>
        <v>22 Car.</v>
      </c>
      <c r="C334" s="5493" t="str">
        <f t="shared" si="32"/>
        <v>ligne 334 ►</v>
      </c>
      <c r="D334" s="9" t="s">
        <v>825</v>
      </c>
      <c r="E334" s="5492" t="str">
        <f t="shared" si="36"/>
        <v>18 Car.</v>
      </c>
      <c r="F334" s="5493" t="str">
        <f t="shared" si="33"/>
        <v>ligne 334 ►</v>
      </c>
      <c r="G334" s="9" t="s">
        <v>769</v>
      </c>
      <c r="H334" s="5492" t="str">
        <f t="shared" si="37"/>
        <v>21 Car.</v>
      </c>
      <c r="I334" s="5493" t="str">
        <f t="shared" si="34"/>
        <v>ligne 334 ►</v>
      </c>
      <c r="J334" s="9" t="s">
        <v>770</v>
      </c>
      <c r="K334" s="9"/>
      <c r="L334" s="3">
        <v>1</v>
      </c>
    </row>
    <row r="335" spans="2:12">
      <c r="B335" s="5492" t="str">
        <f t="shared" si="35"/>
        <v>22 Car.</v>
      </c>
      <c r="C335" s="5493" t="str">
        <f t="shared" si="32"/>
        <v>ligne 335 ►</v>
      </c>
      <c r="D335" s="9" t="s">
        <v>825</v>
      </c>
      <c r="E335" s="5492" t="str">
        <f t="shared" si="36"/>
        <v>18 Car.</v>
      </c>
      <c r="F335" s="5493" t="str">
        <f t="shared" si="33"/>
        <v>ligne 335 ►</v>
      </c>
      <c r="G335" s="9" t="s">
        <v>769</v>
      </c>
      <c r="H335" s="5492" t="str">
        <f t="shared" si="37"/>
        <v>21 Car.</v>
      </c>
      <c r="I335" s="5493" t="str">
        <f t="shared" si="34"/>
        <v>ligne 335 ►</v>
      </c>
      <c r="J335" s="9" t="s">
        <v>770</v>
      </c>
      <c r="K335" s="9"/>
      <c r="L335" s="3">
        <v>1</v>
      </c>
    </row>
    <row r="336" spans="2:12">
      <c r="B336" s="5492" t="str">
        <f t="shared" si="35"/>
        <v>108 Car.</v>
      </c>
      <c r="C336" s="5493" t="str">
        <f t="shared" si="32"/>
        <v>ligne 336 ►</v>
      </c>
      <c r="D336" s="9" t="s">
        <v>407</v>
      </c>
      <c r="E336" s="5492" t="str">
        <f t="shared" si="36"/>
        <v>93 Car.</v>
      </c>
      <c r="F336" s="5493" t="str">
        <f t="shared" si="33"/>
        <v>ligne 336 ►</v>
      </c>
      <c r="G336" s="9" t="s">
        <v>788</v>
      </c>
      <c r="H336" s="5492" t="str">
        <f t="shared" si="37"/>
        <v>102 Car.</v>
      </c>
      <c r="I336" s="5493" t="str">
        <f t="shared" si="34"/>
        <v>ligne 336 ►</v>
      </c>
      <c r="J336" s="9" t="s">
        <v>789</v>
      </c>
      <c r="K336" s="9"/>
      <c r="L336" s="3">
        <v>1</v>
      </c>
    </row>
    <row r="337" spans="2:12">
      <c r="B337" s="5492" t="str">
        <f t="shared" si="35"/>
        <v>37 Car.</v>
      </c>
      <c r="C337" s="5493" t="str">
        <f t="shared" si="32"/>
        <v>ligne 337 ►</v>
      </c>
      <c r="D337" s="9" t="s">
        <v>9147</v>
      </c>
      <c r="E337" s="5492" t="str">
        <f t="shared" si="36"/>
        <v>35 Car.</v>
      </c>
      <c r="F337" s="5493" t="str">
        <f t="shared" si="33"/>
        <v>ligne 337 ►</v>
      </c>
      <c r="G337" s="9" t="s">
        <v>9148</v>
      </c>
      <c r="H337" s="5492" t="str">
        <f t="shared" si="37"/>
        <v>37 Car.</v>
      </c>
      <c r="I337" s="5493" t="str">
        <f t="shared" si="34"/>
        <v>ligne 337 ►</v>
      </c>
      <c r="J337" s="9" t="s">
        <v>9149</v>
      </c>
      <c r="K337" s="9"/>
      <c r="L337" s="3">
        <v>1</v>
      </c>
    </row>
    <row r="338" spans="2:12">
      <c r="B338" s="5492" t="str">
        <f t="shared" si="35"/>
        <v>19 Car.</v>
      </c>
      <c r="C338" s="5493" t="str">
        <f t="shared" si="32"/>
        <v>ligne 338 ►</v>
      </c>
      <c r="D338" s="9" t="s">
        <v>9290</v>
      </c>
      <c r="E338" s="5492" t="str">
        <f t="shared" si="36"/>
        <v>20 Car.</v>
      </c>
      <c r="F338" s="5493" t="str">
        <f t="shared" si="33"/>
        <v>ligne 338 ►</v>
      </c>
      <c r="G338" s="9" t="s">
        <v>9291</v>
      </c>
      <c r="H338" s="5492" t="str">
        <f t="shared" si="37"/>
        <v>24 Car.</v>
      </c>
      <c r="I338" s="5493" t="str">
        <f t="shared" si="34"/>
        <v>ligne 338 ►</v>
      </c>
      <c r="J338" s="9" t="s">
        <v>9292</v>
      </c>
      <c r="K338" s="9"/>
      <c r="L338" s="3">
        <v>1</v>
      </c>
    </row>
    <row r="339" spans="2:12">
      <c r="B339" s="5492" t="str">
        <f t="shared" si="35"/>
        <v>37 Car.</v>
      </c>
      <c r="C339" s="5493" t="str">
        <f t="shared" si="32"/>
        <v>ligne 339 ►</v>
      </c>
      <c r="D339" s="9" t="s">
        <v>9147</v>
      </c>
      <c r="E339" s="5492" t="str">
        <f t="shared" si="36"/>
        <v>35 Car.</v>
      </c>
      <c r="F339" s="5493" t="str">
        <f t="shared" si="33"/>
        <v>ligne 339 ►</v>
      </c>
      <c r="G339" s="9" t="s">
        <v>9148</v>
      </c>
      <c r="H339" s="5492" t="str">
        <f t="shared" si="37"/>
        <v>37 Car.</v>
      </c>
      <c r="I339" s="5493" t="str">
        <f t="shared" si="34"/>
        <v>ligne 339 ►</v>
      </c>
      <c r="J339" s="9" t="s">
        <v>9149</v>
      </c>
      <c r="K339" s="9"/>
      <c r="L339" s="3">
        <v>1</v>
      </c>
    </row>
    <row r="340" spans="2:12">
      <c r="B340" s="5492" t="str">
        <f t="shared" si="35"/>
        <v>38 Car.</v>
      </c>
      <c r="C340" s="5493" t="str">
        <f t="shared" si="32"/>
        <v>ligne 340 ►</v>
      </c>
      <c r="D340" s="9" t="s">
        <v>9150</v>
      </c>
      <c r="E340" s="5492" t="str">
        <f t="shared" si="36"/>
        <v>36 Car.</v>
      </c>
      <c r="F340" s="5493" t="str">
        <f t="shared" si="33"/>
        <v>ligne 340 ►</v>
      </c>
      <c r="G340" s="9" t="s">
        <v>9151</v>
      </c>
      <c r="H340" s="5492" t="str">
        <f t="shared" si="37"/>
        <v>41 Car.</v>
      </c>
      <c r="I340" s="5493" t="str">
        <f t="shared" si="34"/>
        <v>ligne 340 ►</v>
      </c>
      <c r="J340" s="9" t="s">
        <v>9152</v>
      </c>
      <c r="K340" s="9"/>
      <c r="L340" s="3">
        <v>1</v>
      </c>
    </row>
    <row r="341" spans="2:12">
      <c r="B341" s="5492" t="str">
        <f t="shared" si="35"/>
        <v>96 Car.</v>
      </c>
      <c r="C341" s="5493" t="str">
        <f t="shared" si="32"/>
        <v>ligne 341 ►</v>
      </c>
      <c r="D341" s="9" t="s">
        <v>336</v>
      </c>
      <c r="E341" s="5492" t="str">
        <f t="shared" si="36"/>
        <v>84 Car.</v>
      </c>
      <c r="F341" s="5493" t="str">
        <f t="shared" si="33"/>
        <v>ligne 341 ►</v>
      </c>
      <c r="G341" s="9" t="s">
        <v>337</v>
      </c>
      <c r="H341" s="5492" t="str">
        <f t="shared" si="37"/>
        <v>89 Car.</v>
      </c>
      <c r="I341" s="5493" t="str">
        <f t="shared" si="34"/>
        <v>ligne 341 ►</v>
      </c>
      <c r="J341" s="9" t="s">
        <v>338</v>
      </c>
      <c r="K341" s="9"/>
      <c r="L341" s="3">
        <v>1</v>
      </c>
    </row>
    <row r="342" spans="2:12">
      <c r="B342" s="5492" t="str">
        <f t="shared" si="35"/>
        <v>6 Car.</v>
      </c>
      <c r="C342" s="5493" t="str">
        <f t="shared" si="32"/>
        <v>ligne 342 ►</v>
      </c>
      <c r="D342" s="9" t="s">
        <v>84</v>
      </c>
      <c r="E342" s="5492" t="str">
        <f t="shared" si="36"/>
        <v>5 Car.</v>
      </c>
      <c r="F342" s="5493" t="str">
        <f t="shared" si="33"/>
        <v>ligne 342 ►</v>
      </c>
      <c r="G342" s="9" t="s">
        <v>242</v>
      </c>
      <c r="H342" s="5492" t="str">
        <f t="shared" si="37"/>
        <v>8 Car.</v>
      </c>
      <c r="I342" s="5493" t="str">
        <f t="shared" si="34"/>
        <v>ligne 342 ►</v>
      </c>
      <c r="J342" s="9" t="s">
        <v>247</v>
      </c>
      <c r="K342" s="9"/>
      <c r="L342" s="3">
        <v>1</v>
      </c>
    </row>
    <row r="343" spans="2:12">
      <c r="B343" s="5492" t="str">
        <f t="shared" si="35"/>
        <v>10 Car.</v>
      </c>
      <c r="C343" s="5493" t="str">
        <f t="shared" si="32"/>
        <v>ligne 343 ►</v>
      </c>
      <c r="D343" s="9" t="s">
        <v>537</v>
      </c>
      <c r="E343" s="5492" t="str">
        <f t="shared" si="36"/>
        <v>6 Car.</v>
      </c>
      <c r="F343" s="5493" t="str">
        <f t="shared" si="33"/>
        <v>ligne 343 ►</v>
      </c>
      <c r="G343" s="9" t="s">
        <v>819</v>
      </c>
      <c r="H343" s="5492" t="str">
        <f t="shared" si="37"/>
        <v>10 Car.</v>
      </c>
      <c r="I343" s="5493" t="str">
        <f t="shared" si="34"/>
        <v>ligne 343 ►</v>
      </c>
      <c r="J343" s="9" t="s">
        <v>538</v>
      </c>
      <c r="K343" s="9"/>
      <c r="L343" s="3">
        <v>1</v>
      </c>
    </row>
    <row r="344" spans="2:12">
      <c r="B344" s="5492" t="str">
        <f t="shared" si="35"/>
        <v>4 Car.</v>
      </c>
      <c r="C344" s="5493" t="str">
        <f t="shared" si="32"/>
        <v>ligne 344 ►</v>
      </c>
      <c r="D344" s="9" t="s">
        <v>57</v>
      </c>
      <c r="E344" s="5492" t="str">
        <f t="shared" si="36"/>
        <v>3 Car.</v>
      </c>
      <c r="F344" s="5493" t="str">
        <f t="shared" si="33"/>
        <v>ligne 344 ►</v>
      </c>
      <c r="G344" s="9" t="s">
        <v>60</v>
      </c>
      <c r="H344" s="5492" t="str">
        <f t="shared" si="37"/>
        <v>5 Car.</v>
      </c>
      <c r="I344" s="5493" t="str">
        <f t="shared" si="34"/>
        <v>ligne 344 ►</v>
      </c>
      <c r="J344" s="9" t="s">
        <v>63</v>
      </c>
      <c r="K344" s="9"/>
      <c r="L344" s="3">
        <v>1</v>
      </c>
    </row>
    <row r="345" spans="2:12">
      <c r="B345" s="5492" t="str">
        <f t="shared" si="35"/>
        <v>61 Car.</v>
      </c>
      <c r="C345" s="5493" t="str">
        <f t="shared" si="32"/>
        <v>ligne 345 ►</v>
      </c>
      <c r="D345" s="9" t="s">
        <v>576</v>
      </c>
      <c r="E345" s="5492" t="str">
        <f t="shared" si="36"/>
        <v>58 Car.</v>
      </c>
      <c r="F345" s="5493" t="str">
        <f t="shared" si="33"/>
        <v>ligne 345 ►</v>
      </c>
      <c r="G345" s="9" t="s">
        <v>577</v>
      </c>
      <c r="H345" s="5492" t="str">
        <f t="shared" si="37"/>
        <v>64 Car.</v>
      </c>
      <c r="I345" s="5493" t="str">
        <f t="shared" si="34"/>
        <v>ligne 345 ►</v>
      </c>
      <c r="J345" s="9" t="s">
        <v>578</v>
      </c>
      <c r="K345" s="9"/>
      <c r="L345" s="3">
        <v>1</v>
      </c>
    </row>
    <row r="346" spans="2:12">
      <c r="B346" s="5492" t="str">
        <f t="shared" si="35"/>
        <v>71 Car.</v>
      </c>
      <c r="C346" s="5493" t="str">
        <f t="shared" si="32"/>
        <v>ligne 346 ►</v>
      </c>
      <c r="D346" s="9" t="s">
        <v>580</v>
      </c>
      <c r="E346" s="5492" t="str">
        <f t="shared" si="36"/>
        <v>72 Car.</v>
      </c>
      <c r="F346" s="5493" t="str">
        <f t="shared" si="33"/>
        <v>ligne 346 ►</v>
      </c>
      <c r="G346" s="9" t="s">
        <v>581</v>
      </c>
      <c r="H346" s="5492" t="str">
        <f t="shared" si="37"/>
        <v>67 Car.</v>
      </c>
      <c r="I346" s="5493" t="str">
        <f t="shared" si="34"/>
        <v>ligne 346 ►</v>
      </c>
      <c r="J346" s="9" t="s">
        <v>582</v>
      </c>
      <c r="K346" s="9"/>
      <c r="L346" s="3">
        <v>1</v>
      </c>
    </row>
    <row r="347" spans="2:12">
      <c r="B347" s="5492" t="str">
        <f t="shared" si="35"/>
        <v>55 Car.</v>
      </c>
      <c r="C347" s="5493" t="str">
        <f t="shared" si="32"/>
        <v>ligne 347 ►</v>
      </c>
      <c r="D347" s="9" t="s">
        <v>596</v>
      </c>
      <c r="E347" s="5492" t="str">
        <f t="shared" si="36"/>
        <v>54 Car.</v>
      </c>
      <c r="F347" s="5493" t="str">
        <f t="shared" si="33"/>
        <v>ligne 347 ►</v>
      </c>
      <c r="G347" s="9" t="s">
        <v>597</v>
      </c>
      <c r="H347" s="5492" t="str">
        <f t="shared" si="37"/>
        <v>59 Car.</v>
      </c>
      <c r="I347" s="5493" t="str">
        <f t="shared" si="34"/>
        <v>ligne 347 ►</v>
      </c>
      <c r="J347" s="9" t="s">
        <v>598</v>
      </c>
      <c r="K347" s="9"/>
      <c r="L347" s="3">
        <v>1</v>
      </c>
    </row>
    <row r="348" spans="2:12">
      <c r="B348" s="5492" t="str">
        <f t="shared" si="35"/>
        <v>77 Car.</v>
      </c>
      <c r="C348" s="5493" t="str">
        <f t="shared" si="32"/>
        <v>ligne 348 ►</v>
      </c>
      <c r="D348" s="9" t="s">
        <v>599</v>
      </c>
      <c r="E348" s="5492" t="str">
        <f t="shared" si="36"/>
        <v>80 Car.</v>
      </c>
      <c r="F348" s="5493" t="str">
        <f t="shared" si="33"/>
        <v>ligne 348 ►</v>
      </c>
      <c r="G348" s="9" t="s">
        <v>600</v>
      </c>
      <c r="H348" s="5492" t="str">
        <f t="shared" si="37"/>
        <v>74 Car.</v>
      </c>
      <c r="I348" s="5493" t="str">
        <f t="shared" si="34"/>
        <v>ligne 348 ►</v>
      </c>
      <c r="J348" s="9" t="s">
        <v>601</v>
      </c>
      <c r="K348" s="9"/>
      <c r="L348" s="3">
        <v>1</v>
      </c>
    </row>
    <row r="349" spans="2:12">
      <c r="B349" s="5492" t="str">
        <f t="shared" si="35"/>
        <v>86 Car.</v>
      </c>
      <c r="C349" s="5493" t="str">
        <f t="shared" si="32"/>
        <v>ligne 349 ►</v>
      </c>
      <c r="D349" s="9" t="s">
        <v>811</v>
      </c>
      <c r="E349" s="5492" t="str">
        <f t="shared" si="36"/>
        <v>78 Car.</v>
      </c>
      <c r="F349" s="5493" t="str">
        <f t="shared" si="33"/>
        <v>ligne 349 ►</v>
      </c>
      <c r="G349" s="9" t="s">
        <v>401</v>
      </c>
      <c r="H349" s="5492" t="str">
        <f t="shared" si="37"/>
        <v>85 Car.</v>
      </c>
      <c r="I349" s="5493" t="str">
        <f t="shared" si="34"/>
        <v>ligne 349 ►</v>
      </c>
      <c r="J349" s="9" t="s">
        <v>402</v>
      </c>
      <c r="K349" s="9"/>
      <c r="L349" s="3">
        <v>1</v>
      </c>
    </row>
    <row r="350" spans="2:12">
      <c r="B350" s="5492" t="str">
        <f t="shared" si="35"/>
        <v>51 Car.</v>
      </c>
      <c r="C350" s="5493" t="str">
        <f t="shared" si="32"/>
        <v>ligne 350 ►</v>
      </c>
      <c r="D350" s="9" t="s">
        <v>438</v>
      </c>
      <c r="E350" s="5492" t="str">
        <f t="shared" si="36"/>
        <v>52 Car.</v>
      </c>
      <c r="F350" s="5493" t="str">
        <f t="shared" si="33"/>
        <v>ligne 350 ►</v>
      </c>
      <c r="G350" s="9" t="s">
        <v>439</v>
      </c>
      <c r="H350" s="5492" t="str">
        <f t="shared" si="37"/>
        <v>48 Car.</v>
      </c>
      <c r="I350" s="5493" t="str">
        <f t="shared" si="34"/>
        <v>ligne 350 ►</v>
      </c>
      <c r="J350" s="9" t="s">
        <v>440</v>
      </c>
      <c r="K350" s="9"/>
      <c r="L350" s="3">
        <v>1</v>
      </c>
    </row>
    <row r="351" spans="2:12">
      <c r="B351" s="5492" t="str">
        <f t="shared" si="35"/>
        <v>67 Car.</v>
      </c>
      <c r="C351" s="5493" t="str">
        <f t="shared" si="32"/>
        <v>ligne 351 ►</v>
      </c>
      <c r="D351" s="9" t="s">
        <v>464</v>
      </c>
      <c r="E351" s="5492" t="str">
        <f t="shared" si="36"/>
        <v>61 Car.</v>
      </c>
      <c r="F351" s="5493" t="str">
        <f t="shared" si="33"/>
        <v>ligne 351 ►</v>
      </c>
      <c r="G351" s="9" t="s">
        <v>465</v>
      </c>
      <c r="H351" s="5492" t="str">
        <f t="shared" si="37"/>
        <v>61 Car.</v>
      </c>
      <c r="I351" s="5493" t="str">
        <f t="shared" si="34"/>
        <v>ligne 351 ►</v>
      </c>
      <c r="J351" s="9" t="s">
        <v>466</v>
      </c>
      <c r="K351" s="9"/>
      <c r="L351" s="3">
        <v>1</v>
      </c>
    </row>
    <row r="352" spans="2:12">
      <c r="B352" s="5492" t="str">
        <f t="shared" si="35"/>
        <v>36 Car.</v>
      </c>
      <c r="C352" s="5493" t="str">
        <f t="shared" si="32"/>
        <v>ligne 352 ►</v>
      </c>
      <c r="D352" s="9" t="s">
        <v>713</v>
      </c>
      <c r="E352" s="5492" t="str">
        <f t="shared" si="36"/>
        <v>35 Car.</v>
      </c>
      <c r="F352" s="5493" t="str">
        <f t="shared" si="33"/>
        <v>ligne 352 ►</v>
      </c>
      <c r="G352" s="9" t="s">
        <v>715</v>
      </c>
      <c r="H352" s="5492" t="str">
        <f t="shared" si="37"/>
        <v>31 Car.</v>
      </c>
      <c r="I352" s="5493" t="str">
        <f t="shared" si="34"/>
        <v>ligne 352 ►</v>
      </c>
      <c r="J352" s="9" t="s">
        <v>717</v>
      </c>
      <c r="K352" s="9"/>
      <c r="L352" s="3">
        <v>1</v>
      </c>
    </row>
    <row r="353" spans="2:12">
      <c r="B353" s="5492" t="str">
        <f t="shared" si="35"/>
        <v>68 Car.</v>
      </c>
      <c r="C353" s="5493" t="str">
        <f t="shared" si="32"/>
        <v>ligne 353 ►</v>
      </c>
      <c r="D353" s="9" t="s">
        <v>224</v>
      </c>
      <c r="E353" s="5492" t="str">
        <f t="shared" si="36"/>
        <v>56 Car.</v>
      </c>
      <c r="F353" s="5493" t="str">
        <f t="shared" si="33"/>
        <v>ligne 353 ►</v>
      </c>
      <c r="G353" s="9" t="s">
        <v>733</v>
      </c>
      <c r="H353" s="5492" t="str">
        <f t="shared" si="37"/>
        <v>83 Car.</v>
      </c>
      <c r="I353" s="5493" t="str">
        <f t="shared" si="34"/>
        <v>ligne 353 ►</v>
      </c>
      <c r="J353" s="9" t="s">
        <v>734</v>
      </c>
      <c r="K353" s="9"/>
      <c r="L353" s="3">
        <v>1</v>
      </c>
    </row>
    <row r="354" spans="2:12">
      <c r="B354" s="5492" t="str">
        <f t="shared" si="35"/>
        <v>21 Car.</v>
      </c>
      <c r="C354" s="5493" t="str">
        <f t="shared" si="32"/>
        <v>ligne 354 ►</v>
      </c>
      <c r="D354" s="9" t="s">
        <v>322</v>
      </c>
      <c r="E354" s="5492" t="str">
        <f t="shared" si="36"/>
        <v>21 Car.</v>
      </c>
      <c r="F354" s="5493" t="str">
        <f t="shared" si="33"/>
        <v>ligne 354 ►</v>
      </c>
      <c r="G354" s="9" t="s">
        <v>753</v>
      </c>
      <c r="H354" s="5492" t="str">
        <f t="shared" si="37"/>
        <v>21 Car.</v>
      </c>
      <c r="I354" s="5493" t="str">
        <f t="shared" si="34"/>
        <v>ligne 354 ►</v>
      </c>
      <c r="J354" s="9" t="s">
        <v>755</v>
      </c>
      <c r="K354" s="9"/>
      <c r="L354" s="3">
        <v>1</v>
      </c>
    </row>
    <row r="355" spans="2:12" ht="15.75">
      <c r="B355" s="5492" t="str">
        <f t="shared" si="35"/>
        <v>60 Car.</v>
      </c>
      <c r="C355" s="5493" t="str">
        <f t="shared" si="32"/>
        <v>ligne 355 ►</v>
      </c>
      <c r="D355" s="653" t="s">
        <v>935</v>
      </c>
      <c r="E355" s="5492" t="str">
        <f t="shared" si="36"/>
        <v>48 Car.</v>
      </c>
      <c r="F355" s="5493" t="str">
        <f t="shared" si="33"/>
        <v>ligne 355 ►</v>
      </c>
      <c r="G355" s="654" t="s">
        <v>936</v>
      </c>
      <c r="H355" s="5492" t="str">
        <f t="shared" si="37"/>
        <v>50 Car.</v>
      </c>
      <c r="I355" s="5493" t="str">
        <f t="shared" si="34"/>
        <v>ligne 355 ►</v>
      </c>
      <c r="J355" s="654" t="s">
        <v>937</v>
      </c>
      <c r="K355" s="9"/>
      <c r="L355" s="3">
        <v>1</v>
      </c>
    </row>
    <row r="356" spans="2:12">
      <c r="B356" s="5492" t="str">
        <f t="shared" si="35"/>
        <v>22 Car.</v>
      </c>
      <c r="C356" s="5493" t="str">
        <f t="shared" si="32"/>
        <v>ligne 356 ►</v>
      </c>
      <c r="D356" s="9" t="s">
        <v>101</v>
      </c>
      <c r="E356" s="5492" t="str">
        <f t="shared" si="36"/>
        <v>15 Car.</v>
      </c>
      <c r="F356" s="5493" t="str">
        <f t="shared" si="33"/>
        <v>ligne 356 ►</v>
      </c>
      <c r="G356" s="9" t="s">
        <v>238</v>
      </c>
      <c r="H356" s="5492" t="str">
        <f t="shared" si="37"/>
        <v>19 Car.</v>
      </c>
      <c r="I356" s="5493" t="str">
        <f t="shared" si="34"/>
        <v>ligne 356 ►</v>
      </c>
      <c r="J356" s="9" t="s">
        <v>239</v>
      </c>
      <c r="K356" s="9"/>
      <c r="L356" s="3">
        <v>1</v>
      </c>
    </row>
    <row r="357" spans="2:12" ht="15.75">
      <c r="B357" s="5492" t="str">
        <f t="shared" si="35"/>
        <v>66 Car.</v>
      </c>
      <c r="C357" s="5493" t="str">
        <f t="shared" si="32"/>
        <v>ligne 357 ►</v>
      </c>
      <c r="D357" s="653" t="s">
        <v>888</v>
      </c>
      <c r="E357" s="5492" t="str">
        <f t="shared" si="36"/>
        <v>46 Car.</v>
      </c>
      <c r="F357" s="5493" t="str">
        <f t="shared" si="33"/>
        <v>ligne 357 ►</v>
      </c>
      <c r="G357" s="654" t="s">
        <v>889</v>
      </c>
      <c r="H357" s="5492" t="str">
        <f t="shared" si="37"/>
        <v>58 Car.</v>
      </c>
      <c r="I357" s="5493" t="str">
        <f t="shared" si="34"/>
        <v>ligne 357 ►</v>
      </c>
      <c r="J357" s="654" t="s">
        <v>890</v>
      </c>
      <c r="K357" s="9"/>
      <c r="L357" s="3">
        <v>1</v>
      </c>
    </row>
    <row r="358" spans="2:12" ht="15.75">
      <c r="B358" s="5492" t="str">
        <f t="shared" si="35"/>
        <v>38 Car.</v>
      </c>
      <c r="C358" s="5493" t="str">
        <f t="shared" si="32"/>
        <v>ligne 358 ►</v>
      </c>
      <c r="D358" s="653" t="s">
        <v>891</v>
      </c>
      <c r="E358" s="5492" t="str">
        <f t="shared" si="36"/>
        <v>38 Car.</v>
      </c>
      <c r="F358" s="5493" t="str">
        <f t="shared" si="33"/>
        <v>ligne 358 ►</v>
      </c>
      <c r="G358" s="654" t="s">
        <v>892</v>
      </c>
      <c r="H358" s="5492" t="str">
        <f t="shared" si="37"/>
        <v>44 Car.</v>
      </c>
      <c r="I358" s="5493" t="str">
        <f t="shared" si="34"/>
        <v>ligne 358 ►</v>
      </c>
      <c r="J358" s="654" t="s">
        <v>893</v>
      </c>
      <c r="K358" s="9"/>
      <c r="L358" s="3">
        <v>1</v>
      </c>
    </row>
    <row r="359" spans="2:12">
      <c r="B359" s="5492" t="str">
        <f t="shared" si="35"/>
        <v>219 Car.</v>
      </c>
      <c r="C359" s="5493" t="str">
        <f t="shared" si="32"/>
        <v>ligne 359 ►</v>
      </c>
      <c r="D359" s="9" t="s">
        <v>9070</v>
      </c>
      <c r="E359" s="5492" t="str">
        <f t="shared" si="36"/>
        <v>179 Car.</v>
      </c>
      <c r="F359" s="5493" t="str">
        <f t="shared" si="33"/>
        <v>ligne 359 ►</v>
      </c>
      <c r="G359" s="9" t="s">
        <v>9071</v>
      </c>
      <c r="H359" s="5492" t="str">
        <f t="shared" si="37"/>
        <v>205 Car.</v>
      </c>
      <c r="I359" s="5493" t="str">
        <f t="shared" si="34"/>
        <v>ligne 359 ►</v>
      </c>
      <c r="J359" s="9" t="s">
        <v>9072</v>
      </c>
      <c r="K359" s="9"/>
      <c r="L359" s="3">
        <v>1</v>
      </c>
    </row>
    <row r="360" spans="2:12">
      <c r="B360" s="5492" t="str">
        <f t="shared" si="35"/>
        <v>0 Car.</v>
      </c>
      <c r="C360" s="5493" t="str">
        <f t="shared" si="32"/>
        <v>ligne 360 ►</v>
      </c>
      <c r="E360" s="5492" t="str">
        <f t="shared" si="36"/>
        <v>0 Car.</v>
      </c>
      <c r="F360" s="5493" t="str">
        <f t="shared" si="33"/>
        <v>ligne 360 ►</v>
      </c>
      <c r="H360" s="5492" t="str">
        <f t="shared" si="37"/>
        <v>0 Car.</v>
      </c>
      <c r="I360" s="5493" t="str">
        <f t="shared" si="34"/>
        <v>ligne 360 ►</v>
      </c>
      <c r="L360" s="3">
        <v>1</v>
      </c>
    </row>
    <row r="361" spans="2:12" ht="15.75">
      <c r="B361" s="2336"/>
      <c r="C361" s="2336"/>
      <c r="D361" s="2336" t="s">
        <v>794</v>
      </c>
      <c r="E361" s="2337"/>
      <c r="F361" s="2337"/>
      <c r="G361" s="2337" t="s">
        <v>795</v>
      </c>
      <c r="H361" s="2338"/>
      <c r="I361" s="2338"/>
      <c r="J361" s="2338" t="s">
        <v>796</v>
      </c>
      <c r="K361" s="9"/>
      <c r="L361" s="3">
        <v>1</v>
      </c>
    </row>
    <row r="362" spans="2:12">
      <c r="B362" s="5492" t="str">
        <f t="shared" si="35"/>
        <v>30 Car.</v>
      </c>
      <c r="C362" s="5493" t="str">
        <f t="shared" si="32"/>
        <v>ligne 362 ►</v>
      </c>
      <c r="D362" s="54" t="s">
        <v>1498</v>
      </c>
      <c r="E362" s="5492" t="str">
        <f t="shared" si="36"/>
        <v>38 Car.</v>
      </c>
      <c r="F362" s="5493" t="str">
        <f t="shared" si="33"/>
        <v>ligne 362 ►</v>
      </c>
      <c r="G362" s="54" t="s">
        <v>1499</v>
      </c>
      <c r="H362" s="5492" t="str">
        <f t="shared" si="37"/>
        <v>43 Car.</v>
      </c>
      <c r="I362" s="5493" t="str">
        <f t="shared" si="34"/>
        <v>ligne 362 ►</v>
      </c>
      <c r="J362" s="54" t="s">
        <v>1500</v>
      </c>
      <c r="K362" s="9"/>
      <c r="L362" s="3">
        <v>1</v>
      </c>
    </row>
    <row r="363" spans="2:12">
      <c r="B363" s="5492" t="str">
        <f t="shared" si="35"/>
        <v>49 Car.</v>
      </c>
      <c r="C363" s="5493" t="str">
        <f t="shared" si="32"/>
        <v>ligne 363 ►</v>
      </c>
      <c r="D363" s="54" t="s">
        <v>1513</v>
      </c>
      <c r="E363" s="5492" t="str">
        <f t="shared" si="36"/>
        <v>37 Car.</v>
      </c>
      <c r="F363" s="5493" t="str">
        <f t="shared" si="33"/>
        <v>ligne 363 ►</v>
      </c>
      <c r="G363" s="54" t="s">
        <v>1514</v>
      </c>
      <c r="H363" s="5492" t="str">
        <f t="shared" si="37"/>
        <v>49 Car.</v>
      </c>
      <c r="I363" s="5493" t="str">
        <f t="shared" si="34"/>
        <v>ligne 363 ►</v>
      </c>
      <c r="J363" s="54" t="s">
        <v>1515</v>
      </c>
      <c r="K363" s="9"/>
      <c r="L363" s="3">
        <v>1</v>
      </c>
    </row>
    <row r="364" spans="2:12">
      <c r="B364" s="5492" t="str">
        <f t="shared" si="35"/>
        <v>10 Car.</v>
      </c>
      <c r="C364" s="5493" t="str">
        <f t="shared" si="32"/>
        <v>ligne 364 ►</v>
      </c>
      <c r="D364" s="54" t="s">
        <v>1524</v>
      </c>
      <c r="E364" s="5492" t="str">
        <f t="shared" si="36"/>
        <v>10 Car.</v>
      </c>
      <c r="F364" s="5493" t="str">
        <f t="shared" si="33"/>
        <v>ligne 364 ►</v>
      </c>
      <c r="G364" s="54" t="s">
        <v>1525</v>
      </c>
      <c r="H364" s="5492" t="str">
        <f t="shared" si="37"/>
        <v>9 Car.</v>
      </c>
      <c r="I364" s="5493" t="str">
        <f t="shared" si="34"/>
        <v>ligne 364 ►</v>
      </c>
      <c r="J364" s="54" t="s">
        <v>1526</v>
      </c>
      <c r="K364" s="9"/>
      <c r="L364" s="3">
        <v>1</v>
      </c>
    </row>
    <row r="365" spans="2:12">
      <c r="B365" s="5492" t="str">
        <f t="shared" si="35"/>
        <v>78 Car.</v>
      </c>
      <c r="C365" s="5493" t="str">
        <f t="shared" si="32"/>
        <v>ligne 365 ►</v>
      </c>
      <c r="D365" s="54" t="s">
        <v>1534</v>
      </c>
      <c r="E365" s="5492" t="str">
        <f t="shared" si="36"/>
        <v>76 Car.</v>
      </c>
      <c r="F365" s="5493" t="str">
        <f t="shared" si="33"/>
        <v>ligne 365 ►</v>
      </c>
      <c r="G365" s="54" t="s">
        <v>1535</v>
      </c>
      <c r="H365" s="5492" t="str">
        <f t="shared" si="37"/>
        <v>85 Car.</v>
      </c>
      <c r="I365" s="5493" t="str">
        <f t="shared" si="34"/>
        <v>ligne 365 ►</v>
      </c>
      <c r="J365" s="54" t="s">
        <v>1536</v>
      </c>
      <c r="K365" s="9"/>
      <c r="L365" s="3">
        <v>1</v>
      </c>
    </row>
    <row r="366" spans="2:12">
      <c r="B366" s="5492" t="str">
        <f t="shared" si="35"/>
        <v>39 Car.</v>
      </c>
      <c r="C366" s="5493" t="str">
        <f t="shared" si="32"/>
        <v>ligne 366 ►</v>
      </c>
      <c r="D366" s="54" t="s">
        <v>1546</v>
      </c>
      <c r="E366" s="5492" t="str">
        <f t="shared" si="36"/>
        <v>73 Car.</v>
      </c>
      <c r="F366" s="5493" t="str">
        <f t="shared" si="33"/>
        <v>ligne 366 ►</v>
      </c>
      <c r="G366" s="54" t="s">
        <v>1547</v>
      </c>
      <c r="H366" s="5492" t="str">
        <f t="shared" si="37"/>
        <v>87 Car.</v>
      </c>
      <c r="I366" s="5493" t="str">
        <f t="shared" si="34"/>
        <v>ligne 366 ►</v>
      </c>
      <c r="J366" s="54" t="s">
        <v>1548</v>
      </c>
      <c r="K366" s="9"/>
      <c r="L366" s="3">
        <v>1</v>
      </c>
    </row>
    <row r="367" spans="2:12">
      <c r="B367" s="5492" t="str">
        <f t="shared" si="35"/>
        <v>0 Car.</v>
      </c>
      <c r="C367" s="5493" t="str">
        <f t="shared" si="32"/>
        <v>ligne 367 ►</v>
      </c>
      <c r="D367" s="54"/>
      <c r="E367" s="5492" t="str">
        <f t="shared" si="36"/>
        <v>0 Car.</v>
      </c>
      <c r="F367" s="5493" t="str">
        <f t="shared" si="33"/>
        <v>ligne 367 ►</v>
      </c>
      <c r="G367" s="54"/>
      <c r="H367" s="5492" t="str">
        <f t="shared" si="37"/>
        <v>0 Car.</v>
      </c>
      <c r="I367" s="5493" t="str">
        <f t="shared" si="34"/>
        <v>ligne 367 ►</v>
      </c>
      <c r="J367" s="54"/>
      <c r="K367" s="9"/>
      <c r="L367" s="3">
        <v>1</v>
      </c>
    </row>
    <row r="368" spans="2:12">
      <c r="B368" s="5492" t="str">
        <f t="shared" si="35"/>
        <v>31 Car.</v>
      </c>
      <c r="C368" s="5493" t="str">
        <f t="shared" si="32"/>
        <v>ligne 368 ►</v>
      </c>
      <c r="D368" s="54" t="s">
        <v>8975</v>
      </c>
      <c r="E368" s="5492" t="str">
        <f t="shared" si="36"/>
        <v>27 Car.</v>
      </c>
      <c r="F368" s="5493" t="str">
        <f t="shared" si="33"/>
        <v>ligne 368 ►</v>
      </c>
      <c r="G368" s="54" t="s">
        <v>8983</v>
      </c>
      <c r="H368" s="5492" t="str">
        <f t="shared" si="37"/>
        <v>28 Car.</v>
      </c>
      <c r="I368" s="5493" t="str">
        <f t="shared" si="34"/>
        <v>ligne 368 ►</v>
      </c>
      <c r="J368" s="54" t="s">
        <v>8984</v>
      </c>
      <c r="K368" s="9"/>
      <c r="L368" s="3">
        <v>1</v>
      </c>
    </row>
    <row r="369" spans="2:12">
      <c r="B369" s="5492" t="str">
        <f t="shared" si="35"/>
        <v>39 Car.</v>
      </c>
      <c r="C369" s="5493" t="str">
        <f t="shared" si="32"/>
        <v>ligne 369 ►</v>
      </c>
      <c r="D369" s="54" t="s">
        <v>13791</v>
      </c>
      <c r="E369" s="5492" t="str">
        <f t="shared" si="36"/>
        <v>41 Car.</v>
      </c>
      <c r="F369" s="5493" t="str">
        <f t="shared" si="33"/>
        <v>ligne 369 ►</v>
      </c>
      <c r="G369" s="54" t="s">
        <v>13798</v>
      </c>
      <c r="H369" s="5492" t="str">
        <f t="shared" si="37"/>
        <v>41 Car.</v>
      </c>
      <c r="I369" s="5493" t="str">
        <f t="shared" si="34"/>
        <v>ligne 369 ►</v>
      </c>
      <c r="J369" s="54" t="s">
        <v>13805</v>
      </c>
      <c r="K369" s="9"/>
      <c r="L369" s="3">
        <v>1</v>
      </c>
    </row>
    <row r="370" spans="2:12">
      <c r="B370" s="5492" t="str">
        <f t="shared" si="35"/>
        <v>51 Car.</v>
      </c>
      <c r="C370" s="5493" t="str">
        <f t="shared" si="32"/>
        <v>ligne 370 ►</v>
      </c>
      <c r="D370" s="54" t="s">
        <v>13792</v>
      </c>
      <c r="E370" s="5492" t="str">
        <f t="shared" si="36"/>
        <v>47 Car.</v>
      </c>
      <c r="F370" s="5493" t="str">
        <f t="shared" si="33"/>
        <v>ligne 370 ►</v>
      </c>
      <c r="G370" s="54" t="s">
        <v>13799</v>
      </c>
      <c r="H370" s="5492" t="str">
        <f t="shared" si="37"/>
        <v>58 Car.</v>
      </c>
      <c r="I370" s="5493" t="str">
        <f t="shared" si="34"/>
        <v>ligne 370 ►</v>
      </c>
      <c r="J370" s="54" t="s">
        <v>13806</v>
      </c>
      <c r="K370" s="9"/>
      <c r="L370" s="3">
        <v>1</v>
      </c>
    </row>
    <row r="371" spans="2:12">
      <c r="B371" s="5492" t="str">
        <f t="shared" si="35"/>
        <v>52 Car.</v>
      </c>
      <c r="C371" s="5493" t="str">
        <f t="shared" si="32"/>
        <v>ligne 371 ►</v>
      </c>
      <c r="D371" s="54" t="s">
        <v>8982</v>
      </c>
      <c r="E371" s="5492" t="str">
        <f t="shared" si="36"/>
        <v>55 Car.</v>
      </c>
      <c r="F371" s="5493" t="str">
        <f t="shared" si="33"/>
        <v>ligne 371 ►</v>
      </c>
      <c r="G371" s="54" t="s">
        <v>9000</v>
      </c>
      <c r="H371" s="5492" t="str">
        <f t="shared" si="37"/>
        <v>49 Car.</v>
      </c>
      <c r="I371" s="5493" t="str">
        <f t="shared" si="34"/>
        <v>ligne 371 ►</v>
      </c>
      <c r="J371" s="54" t="s">
        <v>8986</v>
      </c>
      <c r="K371" s="9"/>
      <c r="L371" s="3">
        <v>1</v>
      </c>
    </row>
    <row r="372" spans="2:12">
      <c r="B372" s="5492" t="str">
        <f t="shared" si="35"/>
        <v>45 Car.</v>
      </c>
      <c r="C372" s="5493" t="str">
        <f t="shared" si="32"/>
        <v>ligne 372 ►</v>
      </c>
      <c r="D372" s="54" t="s">
        <v>13793</v>
      </c>
      <c r="E372" s="5492" t="str">
        <f t="shared" si="36"/>
        <v>40 Car.</v>
      </c>
      <c r="F372" s="5493" t="str">
        <f t="shared" si="33"/>
        <v>ligne 372 ►</v>
      </c>
      <c r="G372" s="54" t="s">
        <v>13800</v>
      </c>
      <c r="H372" s="5492" t="str">
        <f t="shared" si="37"/>
        <v>41 Car.</v>
      </c>
      <c r="I372" s="5493" t="str">
        <f t="shared" si="34"/>
        <v>ligne 372 ►</v>
      </c>
      <c r="J372" s="54" t="s">
        <v>13807</v>
      </c>
      <c r="K372" s="9"/>
      <c r="L372" s="3">
        <v>1</v>
      </c>
    </row>
    <row r="373" spans="2:12">
      <c r="B373" s="5492" t="str">
        <f t="shared" si="35"/>
        <v>43 Car.</v>
      </c>
      <c r="C373" s="5493" t="str">
        <f t="shared" si="32"/>
        <v>ligne 373 ►</v>
      </c>
      <c r="D373" s="54" t="s">
        <v>13794</v>
      </c>
      <c r="E373" s="5492" t="str">
        <f t="shared" si="36"/>
        <v>43 Car.</v>
      </c>
      <c r="F373" s="5493" t="str">
        <f t="shared" si="33"/>
        <v>ligne 373 ►</v>
      </c>
      <c r="G373" s="54" t="s">
        <v>13801</v>
      </c>
      <c r="H373" s="5492" t="str">
        <f t="shared" si="37"/>
        <v>42 Car.</v>
      </c>
      <c r="I373" s="5493" t="str">
        <f t="shared" si="34"/>
        <v>ligne 373 ►</v>
      </c>
      <c r="J373" s="54" t="s">
        <v>13808</v>
      </c>
      <c r="K373" s="9"/>
      <c r="L373" s="3">
        <v>1</v>
      </c>
    </row>
    <row r="374" spans="2:12">
      <c r="B374" s="5492" t="str">
        <f t="shared" si="35"/>
        <v>38 Car.</v>
      </c>
      <c r="C374" s="5493" t="str">
        <f t="shared" si="32"/>
        <v>ligne 374 ►</v>
      </c>
      <c r="D374" s="54" t="s">
        <v>13795</v>
      </c>
      <c r="E374" s="5492" t="str">
        <f t="shared" si="36"/>
        <v>35 Car.</v>
      </c>
      <c r="F374" s="5493" t="str">
        <f t="shared" si="33"/>
        <v>ligne 374 ►</v>
      </c>
      <c r="G374" s="54" t="s">
        <v>13802</v>
      </c>
      <c r="H374" s="5492" t="str">
        <f t="shared" si="37"/>
        <v>38 Car.</v>
      </c>
      <c r="I374" s="5493" t="str">
        <f t="shared" si="34"/>
        <v>ligne 374 ►</v>
      </c>
      <c r="J374" s="54" t="s">
        <v>13809</v>
      </c>
      <c r="K374" s="9"/>
      <c r="L374" s="3">
        <v>1</v>
      </c>
    </row>
    <row r="375" spans="2:12">
      <c r="B375" s="5492" t="str">
        <f t="shared" si="35"/>
        <v>19 Car.</v>
      </c>
      <c r="C375" s="5493" t="str">
        <f t="shared" si="32"/>
        <v>ligne 375 ►</v>
      </c>
      <c r="D375" s="54" t="s">
        <v>13796</v>
      </c>
      <c r="E375" s="5492" t="str">
        <f t="shared" si="36"/>
        <v>20 Car.</v>
      </c>
      <c r="F375" s="5493" t="str">
        <f t="shared" si="33"/>
        <v>ligne 375 ►</v>
      </c>
      <c r="G375" s="54" t="s">
        <v>13803</v>
      </c>
      <c r="H375" s="5492" t="str">
        <f t="shared" si="37"/>
        <v>21 Car.</v>
      </c>
      <c r="I375" s="5493" t="str">
        <f t="shared" si="34"/>
        <v>ligne 375 ►</v>
      </c>
      <c r="J375" s="54" t="s">
        <v>13810</v>
      </c>
      <c r="K375" s="9"/>
      <c r="L375" s="3">
        <v>1</v>
      </c>
    </row>
    <row r="376" spans="2:12">
      <c r="B376" s="5492" t="str">
        <f t="shared" si="35"/>
        <v>56 Car.</v>
      </c>
      <c r="C376" s="5493" t="str">
        <f t="shared" si="32"/>
        <v>ligne 376 ►</v>
      </c>
      <c r="D376" s="54" t="s">
        <v>13797</v>
      </c>
      <c r="E376" s="5492" t="str">
        <f t="shared" si="36"/>
        <v>56 Car.</v>
      </c>
      <c r="F376" s="5493" t="str">
        <f t="shared" si="33"/>
        <v>ligne 376 ►</v>
      </c>
      <c r="G376" s="54" t="s">
        <v>13804</v>
      </c>
      <c r="H376" s="5492" t="str">
        <f t="shared" si="37"/>
        <v>59 Car.</v>
      </c>
      <c r="I376" s="5493" t="str">
        <f t="shared" si="34"/>
        <v>ligne 376 ►</v>
      </c>
      <c r="J376" s="54" t="s">
        <v>13811</v>
      </c>
      <c r="K376" s="9"/>
      <c r="L376" s="3">
        <v>1</v>
      </c>
    </row>
    <row r="377" spans="2:12">
      <c r="B377" s="5492" t="str">
        <f t="shared" si="35"/>
        <v>0 Car.</v>
      </c>
      <c r="C377" s="5493" t="str">
        <f t="shared" si="32"/>
        <v>ligne 377 ►</v>
      </c>
      <c r="D377" s="54"/>
      <c r="E377" s="5492" t="str">
        <f t="shared" si="36"/>
        <v>0 Car.</v>
      </c>
      <c r="F377" s="5493" t="str">
        <f t="shared" si="33"/>
        <v>ligne 377 ►</v>
      </c>
      <c r="G377" s="54"/>
      <c r="H377" s="5492" t="str">
        <f t="shared" si="37"/>
        <v>0 Car.</v>
      </c>
      <c r="I377" s="5493" t="str">
        <f t="shared" si="34"/>
        <v>ligne 377 ►</v>
      </c>
      <c r="J377" s="54"/>
      <c r="K377" s="9"/>
      <c r="L377" s="3">
        <v>1</v>
      </c>
    </row>
    <row r="378" spans="2:12">
      <c r="B378" s="5492" t="str">
        <f t="shared" si="35"/>
        <v>23 Car.</v>
      </c>
      <c r="C378" s="5493" t="str">
        <f t="shared" si="32"/>
        <v>ligne 378 ►</v>
      </c>
      <c r="D378" s="54" t="s">
        <v>8958</v>
      </c>
      <c r="E378" s="5492" t="str">
        <f t="shared" si="36"/>
        <v>19 Car.</v>
      </c>
      <c r="F378" s="5493" t="str">
        <f t="shared" si="33"/>
        <v>ligne 378 ►</v>
      </c>
      <c r="G378" s="54" t="s">
        <v>9002</v>
      </c>
      <c r="H378" s="5492" t="str">
        <f t="shared" si="37"/>
        <v>20 Car.</v>
      </c>
      <c r="I378" s="5493" t="str">
        <f t="shared" si="34"/>
        <v>ligne 378 ►</v>
      </c>
      <c r="J378" s="54" t="s">
        <v>9008</v>
      </c>
      <c r="K378" s="9"/>
      <c r="L378" s="3">
        <v>1</v>
      </c>
    </row>
    <row r="379" spans="2:12">
      <c r="B379" s="5492" t="str">
        <f t="shared" si="35"/>
        <v>59 Car.</v>
      </c>
      <c r="C379" s="5493" t="str">
        <f t="shared" si="32"/>
        <v>ligne 379 ►</v>
      </c>
      <c r="D379" s="54" t="s">
        <v>8949</v>
      </c>
      <c r="E379" s="5492" t="str">
        <f t="shared" si="36"/>
        <v>58 Car.</v>
      </c>
      <c r="F379" s="5493" t="str">
        <f t="shared" si="33"/>
        <v>ligne 379 ►</v>
      </c>
      <c r="G379" s="54" t="s">
        <v>9003</v>
      </c>
      <c r="H379" s="5492" t="str">
        <f t="shared" si="37"/>
        <v>73 Car.</v>
      </c>
      <c r="I379" s="5493" t="str">
        <f t="shared" si="34"/>
        <v>ligne 379 ►</v>
      </c>
      <c r="J379" s="54" t="s">
        <v>9009</v>
      </c>
      <c r="K379" s="9"/>
      <c r="L379" s="3">
        <v>1</v>
      </c>
    </row>
    <row r="380" spans="2:12">
      <c r="B380" s="5492" t="str">
        <f t="shared" si="35"/>
        <v>54 Car.</v>
      </c>
      <c r="C380" s="5493" t="str">
        <f t="shared" si="32"/>
        <v>ligne 380 ►</v>
      </c>
      <c r="D380" s="54" t="s">
        <v>8945</v>
      </c>
      <c r="E380" s="5492" t="str">
        <f t="shared" si="36"/>
        <v>37 Car.</v>
      </c>
      <c r="F380" s="5493" t="str">
        <f t="shared" si="33"/>
        <v>ligne 380 ►</v>
      </c>
      <c r="G380" s="54" t="s">
        <v>9004</v>
      </c>
      <c r="H380" s="5492" t="str">
        <f t="shared" si="37"/>
        <v>47 Car.</v>
      </c>
      <c r="I380" s="5493" t="str">
        <f t="shared" si="34"/>
        <v>ligne 380 ►</v>
      </c>
      <c r="J380" s="54" t="s">
        <v>9010</v>
      </c>
      <c r="K380" s="9"/>
      <c r="L380" s="3">
        <v>1</v>
      </c>
    </row>
    <row r="381" spans="2:12">
      <c r="B381" s="5492" t="str">
        <f t="shared" si="35"/>
        <v>16 Car.</v>
      </c>
      <c r="C381" s="5493" t="str">
        <f t="shared" si="32"/>
        <v>ligne 381 ►</v>
      </c>
      <c r="D381" s="54" t="s">
        <v>8946</v>
      </c>
      <c r="E381" s="5492" t="str">
        <f t="shared" si="36"/>
        <v>16 Car.</v>
      </c>
      <c r="F381" s="5493" t="str">
        <f t="shared" si="33"/>
        <v>ligne 381 ►</v>
      </c>
      <c r="G381" s="54" t="s">
        <v>9005</v>
      </c>
      <c r="H381" s="5492" t="str">
        <f t="shared" si="37"/>
        <v>14 Car.</v>
      </c>
      <c r="I381" s="5493" t="str">
        <f t="shared" si="34"/>
        <v>ligne 381 ►</v>
      </c>
      <c r="J381" s="54" t="s">
        <v>9011</v>
      </c>
      <c r="K381" s="9"/>
      <c r="L381" s="3">
        <v>1</v>
      </c>
    </row>
    <row r="382" spans="2:12">
      <c r="B382" s="5492" t="str">
        <f t="shared" si="35"/>
        <v>40 Car.</v>
      </c>
      <c r="C382" s="5493" t="str">
        <f t="shared" si="32"/>
        <v>ligne 382 ►</v>
      </c>
      <c r="D382" s="54" t="s">
        <v>8950</v>
      </c>
      <c r="E382" s="5492" t="str">
        <f t="shared" si="36"/>
        <v>35 Car.</v>
      </c>
      <c r="F382" s="5493" t="str">
        <f t="shared" si="33"/>
        <v>ligne 382 ►</v>
      </c>
      <c r="G382" s="54" t="s">
        <v>9006</v>
      </c>
      <c r="H382" s="5492" t="str">
        <f t="shared" si="37"/>
        <v>40 Car.</v>
      </c>
      <c r="I382" s="5493" t="str">
        <f t="shared" si="34"/>
        <v>ligne 382 ►</v>
      </c>
      <c r="J382" s="54" t="s">
        <v>9012</v>
      </c>
      <c r="K382" s="9"/>
      <c r="L382" s="3">
        <v>1</v>
      </c>
    </row>
    <row r="383" spans="2:12">
      <c r="B383" s="5492" t="str">
        <f t="shared" si="35"/>
        <v>41 Car.</v>
      </c>
      <c r="C383" s="5493" t="str">
        <f t="shared" si="32"/>
        <v>ligne 383 ►</v>
      </c>
      <c r="D383" s="54" t="s">
        <v>8947</v>
      </c>
      <c r="E383" s="5492" t="str">
        <f t="shared" si="36"/>
        <v>33 Car.</v>
      </c>
      <c r="F383" s="5493" t="str">
        <f t="shared" si="33"/>
        <v>ligne 383 ►</v>
      </c>
      <c r="G383" s="54" t="s">
        <v>9007</v>
      </c>
      <c r="H383" s="5492" t="str">
        <f t="shared" si="37"/>
        <v>44 Car.</v>
      </c>
      <c r="I383" s="5493" t="str">
        <f t="shared" si="34"/>
        <v>ligne 383 ►</v>
      </c>
      <c r="J383" s="54" t="s">
        <v>9013</v>
      </c>
      <c r="K383" s="9"/>
      <c r="L383" s="3">
        <v>1</v>
      </c>
    </row>
    <row r="384" spans="2:12">
      <c r="B384" s="5492" t="str">
        <f t="shared" si="35"/>
        <v>0 Car.</v>
      </c>
      <c r="C384" s="5493" t="str">
        <f t="shared" si="32"/>
        <v>ligne 384 ►</v>
      </c>
      <c r="D384" s="54"/>
      <c r="E384" s="5492" t="str">
        <f t="shared" si="36"/>
        <v>0 Car.</v>
      </c>
      <c r="F384" s="5493" t="str">
        <f t="shared" si="33"/>
        <v>ligne 384 ►</v>
      </c>
      <c r="G384" s="54"/>
      <c r="H384" s="5492" t="str">
        <f t="shared" si="37"/>
        <v>0 Car.</v>
      </c>
      <c r="I384" s="5493" t="str">
        <f t="shared" si="34"/>
        <v>ligne 384 ►</v>
      </c>
      <c r="J384" s="54"/>
      <c r="K384" s="9"/>
      <c r="L384" s="3">
        <v>1</v>
      </c>
    </row>
    <row r="385" spans="2:12">
      <c r="B385" s="5492" t="str">
        <f t="shared" si="35"/>
        <v>17 Car.</v>
      </c>
      <c r="C385" s="5493" t="str">
        <f t="shared" si="32"/>
        <v>ligne 385 ►</v>
      </c>
      <c r="D385" s="54" t="s">
        <v>1564</v>
      </c>
      <c r="E385" s="5492" t="str">
        <f t="shared" si="36"/>
        <v>10 Car.</v>
      </c>
      <c r="F385" s="5493" t="str">
        <f t="shared" si="33"/>
        <v>ligne 385 ►</v>
      </c>
      <c r="G385" s="54" t="s">
        <v>1565</v>
      </c>
      <c r="H385" s="5492" t="str">
        <f t="shared" si="37"/>
        <v>17 Car.</v>
      </c>
      <c r="I385" s="5493" t="str">
        <f t="shared" si="34"/>
        <v>ligne 385 ►</v>
      </c>
      <c r="J385" s="54" t="s">
        <v>1566</v>
      </c>
      <c r="K385" s="9"/>
      <c r="L385" s="3">
        <v>1</v>
      </c>
    </row>
    <row r="386" spans="2:12">
      <c r="B386" s="5492" t="str">
        <f t="shared" si="35"/>
        <v>80 Car.</v>
      </c>
      <c r="C386" s="5493" t="str">
        <f t="shared" si="32"/>
        <v>ligne 386 ►</v>
      </c>
      <c r="D386" s="54" t="s">
        <v>1581</v>
      </c>
      <c r="E386" s="5492" t="str">
        <f t="shared" si="36"/>
        <v>81 Car.</v>
      </c>
      <c r="F386" s="5493" t="str">
        <f t="shared" si="33"/>
        <v>ligne 386 ►</v>
      </c>
      <c r="G386" s="54" t="s">
        <v>1582</v>
      </c>
      <c r="H386" s="5492" t="str">
        <f t="shared" si="37"/>
        <v>89 Car.</v>
      </c>
      <c r="I386" s="5493" t="str">
        <f t="shared" si="34"/>
        <v>ligne 386 ►</v>
      </c>
      <c r="J386" s="54" t="s">
        <v>1583</v>
      </c>
      <c r="K386" s="9"/>
      <c r="L386" s="3">
        <v>1</v>
      </c>
    </row>
    <row r="387" spans="2:12">
      <c r="B387" s="5492" t="str">
        <f t="shared" si="35"/>
        <v>57 Car.</v>
      </c>
      <c r="C387" s="5493" t="str">
        <f t="shared" si="32"/>
        <v>ligne 387 ►</v>
      </c>
      <c r="D387" s="54" t="s">
        <v>8960</v>
      </c>
      <c r="E387" s="5492" t="str">
        <f t="shared" si="36"/>
        <v>61 Car.</v>
      </c>
      <c r="F387" s="5493" t="str">
        <f t="shared" si="33"/>
        <v>ligne 387 ►</v>
      </c>
      <c r="G387" s="54" t="s">
        <v>8959</v>
      </c>
      <c r="H387" s="5492" t="str">
        <f t="shared" si="37"/>
        <v>68 Car.</v>
      </c>
      <c r="I387" s="5493" t="str">
        <f t="shared" si="34"/>
        <v>ligne 387 ►</v>
      </c>
      <c r="J387" s="54" t="s">
        <v>8961</v>
      </c>
      <c r="K387" s="9"/>
      <c r="L387" s="3">
        <v>1</v>
      </c>
    </row>
    <row r="388" spans="2:12">
      <c r="B388" s="5492" t="str">
        <f t="shared" si="35"/>
        <v>26 Car.</v>
      </c>
      <c r="C388" s="5493" t="str">
        <f t="shared" si="32"/>
        <v>ligne 388 ►</v>
      </c>
      <c r="D388" s="54" t="s">
        <v>1511</v>
      </c>
      <c r="E388" s="5492" t="str">
        <f t="shared" si="36"/>
        <v>24 Car.</v>
      </c>
      <c r="F388" s="5493" t="str">
        <f t="shared" si="33"/>
        <v>ligne 388 ►</v>
      </c>
      <c r="G388" s="54" t="s">
        <v>1616</v>
      </c>
      <c r="H388" s="5492" t="str">
        <f t="shared" si="37"/>
        <v>24 Car.</v>
      </c>
      <c r="I388" s="5493" t="str">
        <f t="shared" si="34"/>
        <v>ligne 388 ►</v>
      </c>
      <c r="J388" s="54" t="s">
        <v>1617</v>
      </c>
      <c r="K388" s="9"/>
      <c r="L388" s="3">
        <v>1</v>
      </c>
    </row>
    <row r="389" spans="2:12">
      <c r="B389" s="5492" t="str">
        <f t="shared" si="35"/>
        <v>2 Car.</v>
      </c>
      <c r="C389" s="5493" t="str">
        <f t="shared" si="32"/>
        <v>ligne 389 ►</v>
      </c>
      <c r="D389" s="54">
        <v>45</v>
      </c>
      <c r="E389" s="5492" t="str">
        <f t="shared" si="36"/>
        <v>2 Car.</v>
      </c>
      <c r="F389" s="5493" t="str">
        <f t="shared" si="33"/>
        <v>ligne 389 ►</v>
      </c>
      <c r="G389" s="54">
        <v>45</v>
      </c>
      <c r="H389" s="5492" t="str">
        <f t="shared" si="37"/>
        <v>0 Car.</v>
      </c>
      <c r="I389" s="5493" t="str">
        <f t="shared" si="34"/>
        <v>ligne 389 ►</v>
      </c>
      <c r="J389" s="54"/>
      <c r="K389" s="9"/>
      <c r="L389" s="3">
        <v>1</v>
      </c>
    </row>
    <row r="390" spans="2:12">
      <c r="B390" s="5492" t="str">
        <f t="shared" si="35"/>
        <v>9 Car.</v>
      </c>
      <c r="C390" s="5493" t="str">
        <f t="shared" si="32"/>
        <v>ligne 390 ►</v>
      </c>
      <c r="D390" s="54" t="s">
        <v>19</v>
      </c>
      <c r="E390" s="5492" t="str">
        <f t="shared" si="36"/>
        <v>6 Car.</v>
      </c>
      <c r="F390" s="5493" t="str">
        <f t="shared" si="33"/>
        <v>ligne 390 ►</v>
      </c>
      <c r="G390" s="54" t="s">
        <v>136</v>
      </c>
      <c r="H390" s="5492" t="str">
        <f t="shared" si="37"/>
        <v>2 Car.</v>
      </c>
      <c r="I390" s="5493" t="str">
        <f t="shared" si="34"/>
        <v>ligne 390 ►</v>
      </c>
      <c r="J390" s="54">
        <v>45</v>
      </c>
      <c r="K390" s="9"/>
      <c r="L390" s="3">
        <v>1</v>
      </c>
    </row>
    <row r="391" spans="2:12">
      <c r="B391" s="5492" t="str">
        <f t="shared" si="35"/>
        <v>51 Car.</v>
      </c>
      <c r="C391" s="5493" t="str">
        <f t="shared" si="32"/>
        <v>ligne 391 ►</v>
      </c>
      <c r="D391" s="54" t="s">
        <v>1618</v>
      </c>
      <c r="E391" s="5492" t="str">
        <f t="shared" si="36"/>
        <v>55 Car.</v>
      </c>
      <c r="F391" s="5493" t="str">
        <f t="shared" si="33"/>
        <v>ligne 391 ►</v>
      </c>
      <c r="G391" s="54" t="s">
        <v>1619</v>
      </c>
      <c r="H391" s="5492" t="str">
        <f t="shared" si="37"/>
        <v>6 Car.</v>
      </c>
      <c r="I391" s="5493" t="str">
        <f t="shared" si="34"/>
        <v>ligne 391 ►</v>
      </c>
      <c r="J391" s="54" t="s">
        <v>139</v>
      </c>
      <c r="K391" s="9"/>
      <c r="L391" s="3">
        <v>1</v>
      </c>
    </row>
    <row r="392" spans="2:12">
      <c r="B392" s="5492" t="str">
        <f t="shared" si="35"/>
        <v>56 Car.</v>
      </c>
      <c r="C392" s="5493" t="str">
        <f t="shared" ref="C392:C428" si="38">"ligne "&amp;ROW()&amp;" ►"</f>
        <v>ligne 392 ►</v>
      </c>
      <c r="D392" s="54" t="s">
        <v>1623</v>
      </c>
      <c r="E392" s="5492" t="str">
        <f t="shared" si="36"/>
        <v>56 Car.</v>
      </c>
      <c r="F392" s="5493" t="str">
        <f t="shared" ref="F392:F428" si="39">"ligne "&amp;ROW()&amp;" ►"</f>
        <v>ligne 392 ►</v>
      </c>
      <c r="G392" s="54" t="s">
        <v>1624</v>
      </c>
      <c r="H392" s="5492" t="str">
        <f t="shared" si="37"/>
        <v>51 Car.</v>
      </c>
      <c r="I392" s="5493" t="str">
        <f t="shared" ref="I392:I428" si="40">"ligne "&amp;ROW()&amp;" ►"</f>
        <v>ligne 392 ►</v>
      </c>
      <c r="J392" s="54" t="s">
        <v>1620</v>
      </c>
      <c r="K392" s="9"/>
      <c r="L392" s="3">
        <v>1</v>
      </c>
    </row>
    <row r="393" spans="2:12">
      <c r="B393" s="5492" t="str">
        <f t="shared" ref="B393:B428" si="41">SUMPRODUCT(--(D393&lt;&gt;""), LEN(TRIM(SUBSTITUTE(D393, CHAR(160), "")))) &amp; " Car."</f>
        <v>61 Car.</v>
      </c>
      <c r="C393" s="5493" t="str">
        <f t="shared" si="38"/>
        <v>ligne 393 ►</v>
      </c>
      <c r="D393" s="54" t="s">
        <v>8962</v>
      </c>
      <c r="E393" s="5492" t="str">
        <f t="shared" ref="E393:E428" si="42">SUMPRODUCT(--(G393&lt;&gt;""), LEN(TRIM(SUBSTITUTE(G393, CHAR(160), "")))) &amp; " Car."</f>
        <v>47 Car.</v>
      </c>
      <c r="F393" s="5493" t="str">
        <f t="shared" si="39"/>
        <v>ligne 393 ►</v>
      </c>
      <c r="G393" s="54" t="s">
        <v>8963</v>
      </c>
      <c r="H393" s="5492" t="str">
        <f t="shared" ref="H393:H428" si="43">SUMPRODUCT(--(J393&lt;&gt;""), LEN(TRIM(SUBSTITUTE(J393, CHAR(160), "")))) &amp; " Car."</f>
        <v>58 Car.</v>
      </c>
      <c r="I393" s="5493" t="str">
        <f t="shared" si="40"/>
        <v>ligne 393 ►</v>
      </c>
      <c r="J393" s="54" t="s">
        <v>1625</v>
      </c>
      <c r="K393" s="9"/>
      <c r="L393" s="3">
        <v>1</v>
      </c>
    </row>
    <row r="394" spans="2:12">
      <c r="B394" s="5492" t="str">
        <f t="shared" si="41"/>
        <v>0 Car.</v>
      </c>
      <c r="C394" s="5493" t="str">
        <f t="shared" si="38"/>
        <v>ligne 394 ►</v>
      </c>
      <c r="D394" s="54"/>
      <c r="E394" s="5492" t="str">
        <f t="shared" si="42"/>
        <v>0 Car.</v>
      </c>
      <c r="F394" s="5493" t="str">
        <f t="shared" si="39"/>
        <v>ligne 394 ►</v>
      </c>
      <c r="G394" s="54"/>
      <c r="H394" s="5492" t="str">
        <f t="shared" si="43"/>
        <v>56 Car.</v>
      </c>
      <c r="I394" s="5493" t="str">
        <f t="shared" si="40"/>
        <v>ligne 394 ►</v>
      </c>
      <c r="J394" s="54" t="s">
        <v>8964</v>
      </c>
      <c r="K394" s="9"/>
      <c r="L394" s="3">
        <v>1</v>
      </c>
    </row>
    <row r="395" spans="2:12">
      <c r="B395" s="5492" t="str">
        <f t="shared" si="41"/>
        <v>187 Car.</v>
      </c>
      <c r="C395" s="5493" t="str">
        <f t="shared" si="38"/>
        <v>ligne 395 ►</v>
      </c>
      <c r="D395" s="54" t="s">
        <v>8965</v>
      </c>
      <c r="E395" s="5492" t="str">
        <f t="shared" si="42"/>
        <v>165 Car.</v>
      </c>
      <c r="F395" s="5493" t="str">
        <f t="shared" si="39"/>
        <v>ligne 395 ►</v>
      </c>
      <c r="G395" s="54" t="s">
        <v>8966</v>
      </c>
      <c r="H395" s="5492" t="str">
        <f t="shared" si="43"/>
        <v>168 Car.</v>
      </c>
      <c r="I395" s="5493" t="str">
        <f t="shared" si="40"/>
        <v>ligne 395 ►</v>
      </c>
      <c r="J395" s="54" t="s">
        <v>8967</v>
      </c>
      <c r="K395" s="9"/>
      <c r="L395" s="3">
        <v>1</v>
      </c>
    </row>
    <row r="396" spans="2:12">
      <c r="B396" s="5492" t="str">
        <f t="shared" si="41"/>
        <v>64 Car.</v>
      </c>
      <c r="C396" s="5493" t="str">
        <f t="shared" si="38"/>
        <v>ligne 396 ►</v>
      </c>
      <c r="D396" s="54" t="s">
        <v>8968</v>
      </c>
      <c r="E396" s="5492" t="str">
        <f t="shared" si="42"/>
        <v>59 Car.</v>
      </c>
      <c r="F396" s="5493" t="str">
        <f t="shared" si="39"/>
        <v>ligne 396 ►</v>
      </c>
      <c r="G396" s="54" t="s">
        <v>8969</v>
      </c>
      <c r="H396" s="5492" t="str">
        <f t="shared" si="43"/>
        <v>64 Car.</v>
      </c>
      <c r="I396" s="5493" t="str">
        <f t="shared" si="40"/>
        <v>ligne 396 ►</v>
      </c>
      <c r="J396" s="54" t="s">
        <v>8970</v>
      </c>
      <c r="K396" s="9"/>
      <c r="L396" s="3">
        <v>1</v>
      </c>
    </row>
    <row r="397" spans="2:12">
      <c r="B397" s="5492" t="str">
        <f t="shared" si="41"/>
        <v>49 Car.</v>
      </c>
      <c r="C397" s="5493" t="str">
        <f t="shared" si="38"/>
        <v>ligne 397 ►</v>
      </c>
      <c r="D397" s="54" t="s">
        <v>8083</v>
      </c>
      <c r="E397" s="5492" t="str">
        <f t="shared" si="42"/>
        <v>38 Car.</v>
      </c>
      <c r="F397" s="5493" t="str">
        <f t="shared" si="39"/>
        <v>ligne 397 ►</v>
      </c>
      <c r="G397" s="54" t="s">
        <v>1628</v>
      </c>
      <c r="H397" s="5492" t="str">
        <f t="shared" si="43"/>
        <v>56 Car.</v>
      </c>
      <c r="I397" s="5493" t="str">
        <f t="shared" si="40"/>
        <v>ligne 397 ►</v>
      </c>
      <c r="J397" s="54" t="s">
        <v>8082</v>
      </c>
      <c r="K397" s="9"/>
      <c r="L397" s="3">
        <v>1</v>
      </c>
    </row>
    <row r="398" spans="2:12">
      <c r="B398" s="5492" t="str">
        <f t="shared" si="41"/>
        <v>77 Car.</v>
      </c>
      <c r="C398" s="5493" t="str">
        <f t="shared" si="38"/>
        <v>ligne 398 ►</v>
      </c>
      <c r="D398" s="54" t="s">
        <v>8081</v>
      </c>
      <c r="E398" s="5492" t="str">
        <f t="shared" si="42"/>
        <v>49 Car.</v>
      </c>
      <c r="F398" s="5493" t="str">
        <f t="shared" si="39"/>
        <v>ligne 398 ►</v>
      </c>
      <c r="G398" s="54" t="s">
        <v>8080</v>
      </c>
      <c r="H398" s="5492" t="str">
        <f t="shared" si="43"/>
        <v>63 Car.</v>
      </c>
      <c r="I398" s="5493" t="str">
        <f t="shared" si="40"/>
        <v>ligne 398 ►</v>
      </c>
      <c r="J398" s="54" t="s">
        <v>8079</v>
      </c>
      <c r="K398" s="9"/>
      <c r="L398" s="3">
        <v>1</v>
      </c>
    </row>
    <row r="399" spans="2:12">
      <c r="B399" s="5492" t="str">
        <f t="shared" si="41"/>
        <v>57 Car.</v>
      </c>
      <c r="C399" s="5493" t="str">
        <f t="shared" si="38"/>
        <v>ligne 399 ►</v>
      </c>
      <c r="D399" s="54" t="s">
        <v>8078</v>
      </c>
      <c r="E399" s="5492" t="str">
        <f t="shared" si="42"/>
        <v>66 Car.</v>
      </c>
      <c r="F399" s="5493" t="str">
        <f t="shared" si="39"/>
        <v>ligne 399 ►</v>
      </c>
      <c r="G399" s="54" t="s">
        <v>8077</v>
      </c>
      <c r="H399" s="5492" t="str">
        <f t="shared" si="43"/>
        <v>75 Car.</v>
      </c>
      <c r="I399" s="5493" t="str">
        <f t="shared" si="40"/>
        <v>ligne 399 ►</v>
      </c>
      <c r="J399" s="54" t="s">
        <v>8076</v>
      </c>
      <c r="K399" s="9"/>
      <c r="L399" s="3">
        <v>1</v>
      </c>
    </row>
    <row r="400" spans="2:12">
      <c r="B400" s="5492" t="str">
        <f t="shared" si="41"/>
        <v>9 Car.</v>
      </c>
      <c r="C400" s="5493" t="str">
        <f t="shared" si="38"/>
        <v>ligne 400 ►</v>
      </c>
      <c r="D400" s="54" t="s">
        <v>1611</v>
      </c>
      <c r="E400" s="5492" t="str">
        <f t="shared" si="42"/>
        <v>8 Car.</v>
      </c>
      <c r="F400" s="5493" t="str">
        <f t="shared" si="39"/>
        <v>ligne 400 ►</v>
      </c>
      <c r="G400" s="54" t="s">
        <v>1631</v>
      </c>
      <c r="H400" s="5492" t="str">
        <f t="shared" si="43"/>
        <v>11 Car.</v>
      </c>
      <c r="I400" s="5493" t="str">
        <f t="shared" si="40"/>
        <v>ligne 400 ►</v>
      </c>
      <c r="J400" s="54" t="s">
        <v>1633</v>
      </c>
      <c r="K400" s="9"/>
      <c r="L400" s="3">
        <v>1</v>
      </c>
    </row>
    <row r="401" spans="2:12">
      <c r="B401" s="5492" t="str">
        <f t="shared" si="41"/>
        <v>6 Car.</v>
      </c>
      <c r="C401" s="5493" t="str">
        <f t="shared" si="38"/>
        <v>ligne 401 ►</v>
      </c>
      <c r="D401" s="54" t="s">
        <v>1613</v>
      </c>
      <c r="E401" s="5492" t="str">
        <f t="shared" si="42"/>
        <v>7 Car.</v>
      </c>
      <c r="F401" s="5493" t="str">
        <f t="shared" si="39"/>
        <v>ligne 401 ►</v>
      </c>
      <c r="G401" s="54" t="s">
        <v>1556</v>
      </c>
      <c r="H401" s="5492" t="str">
        <f t="shared" si="43"/>
        <v>8 Car.</v>
      </c>
      <c r="I401" s="5493" t="str">
        <f t="shared" si="40"/>
        <v>ligne 401 ►</v>
      </c>
      <c r="J401" s="54" t="s">
        <v>1574</v>
      </c>
      <c r="K401" s="9"/>
      <c r="L401" s="3">
        <v>1</v>
      </c>
    </row>
    <row r="402" spans="2:12">
      <c r="B402" s="5492" t="str">
        <f t="shared" si="41"/>
        <v>0 Car.</v>
      </c>
      <c r="C402" s="5493" t="str">
        <f t="shared" si="38"/>
        <v>ligne 402 ►</v>
      </c>
      <c r="D402" s="54"/>
      <c r="E402" s="5492" t="str">
        <f t="shared" si="42"/>
        <v>0 Car.</v>
      </c>
      <c r="F402" s="5493" t="str">
        <f t="shared" si="39"/>
        <v>ligne 402 ►</v>
      </c>
      <c r="G402" s="54"/>
      <c r="H402" s="5492" t="str">
        <f t="shared" si="43"/>
        <v>0 Car.</v>
      </c>
      <c r="I402" s="5493" t="str">
        <f t="shared" si="40"/>
        <v>ligne 402 ►</v>
      </c>
      <c r="J402" s="54"/>
      <c r="K402" s="9"/>
      <c r="L402" s="3">
        <v>1</v>
      </c>
    </row>
    <row r="403" spans="2:12">
      <c r="B403" s="5492" t="str">
        <f t="shared" si="41"/>
        <v>54 Car.</v>
      </c>
      <c r="C403" s="5493" t="str">
        <f t="shared" si="38"/>
        <v>ligne 403 ►</v>
      </c>
      <c r="D403" s="54" t="s">
        <v>1648</v>
      </c>
      <c r="E403" s="5492" t="str">
        <f t="shared" si="42"/>
        <v>50 Car.</v>
      </c>
      <c r="F403" s="5493" t="str">
        <f t="shared" si="39"/>
        <v>ligne 403 ►</v>
      </c>
      <c r="G403" s="54" t="s">
        <v>1649</v>
      </c>
      <c r="H403" s="5492" t="str">
        <f t="shared" si="43"/>
        <v>66 Car.</v>
      </c>
      <c r="I403" s="5493" t="str">
        <f t="shared" si="40"/>
        <v>ligne 403 ►</v>
      </c>
      <c r="J403" s="54" t="s">
        <v>1650</v>
      </c>
      <c r="K403" s="9"/>
      <c r="L403" s="3">
        <v>1</v>
      </c>
    </row>
    <row r="404" spans="2:12">
      <c r="B404" s="5492" t="str">
        <f t="shared" si="41"/>
        <v>60 Car.</v>
      </c>
      <c r="C404" s="5493" t="str">
        <f t="shared" si="38"/>
        <v>ligne 404 ►</v>
      </c>
      <c r="D404" s="54" t="s">
        <v>8972</v>
      </c>
      <c r="E404" s="5492" t="str">
        <f t="shared" si="42"/>
        <v>49 Car.</v>
      </c>
      <c r="F404" s="5493" t="str">
        <f t="shared" si="39"/>
        <v>ligne 404 ►</v>
      </c>
      <c r="G404" s="54" t="s">
        <v>8973</v>
      </c>
      <c r="H404" s="5492" t="str">
        <f t="shared" si="43"/>
        <v>53 Car.</v>
      </c>
      <c r="I404" s="5493" t="str">
        <f t="shared" si="40"/>
        <v>ligne 404 ►</v>
      </c>
      <c r="J404" s="54" t="s">
        <v>8974</v>
      </c>
      <c r="K404" s="9"/>
      <c r="L404" s="3">
        <v>1</v>
      </c>
    </row>
    <row r="405" spans="2:12">
      <c r="B405" s="5492" t="str">
        <f t="shared" si="41"/>
        <v>97 Car.</v>
      </c>
      <c r="C405" s="5493" t="str">
        <f t="shared" si="38"/>
        <v>ligne 405 ►</v>
      </c>
      <c r="D405" s="54" t="s">
        <v>1656</v>
      </c>
      <c r="E405" s="5492" t="str">
        <f t="shared" si="42"/>
        <v>69 Car.</v>
      </c>
      <c r="F405" s="5493" t="str">
        <f t="shared" si="39"/>
        <v>ligne 405 ►</v>
      </c>
      <c r="G405" s="54" t="s">
        <v>1657</v>
      </c>
      <c r="H405" s="5492" t="str">
        <f t="shared" si="43"/>
        <v>93 Car.</v>
      </c>
      <c r="I405" s="5493" t="str">
        <f t="shared" si="40"/>
        <v>ligne 405 ►</v>
      </c>
      <c r="J405" s="54" t="s">
        <v>1658</v>
      </c>
      <c r="K405" s="9"/>
      <c r="L405" s="3">
        <v>1</v>
      </c>
    </row>
    <row r="406" spans="2:12">
      <c r="B406" s="5492" t="str">
        <f t="shared" si="41"/>
        <v>80 Car.</v>
      </c>
      <c r="C406" s="5493" t="str">
        <f t="shared" si="38"/>
        <v>ligne 406 ►</v>
      </c>
      <c r="D406" s="54" t="s">
        <v>1493</v>
      </c>
      <c r="E406" s="5492" t="str">
        <f t="shared" si="42"/>
        <v>49 Car.</v>
      </c>
      <c r="F406" s="5493" t="str">
        <f t="shared" si="39"/>
        <v>ligne 406 ►</v>
      </c>
      <c r="G406" s="54" t="s">
        <v>1659</v>
      </c>
      <c r="H406" s="5492" t="str">
        <f t="shared" si="43"/>
        <v>57 Car.</v>
      </c>
      <c r="I406" s="5493" t="str">
        <f t="shared" si="40"/>
        <v>ligne 406 ►</v>
      </c>
      <c r="J406" s="54" t="s">
        <v>1660</v>
      </c>
      <c r="K406" s="9"/>
      <c r="L406" s="3">
        <v>1</v>
      </c>
    </row>
    <row r="407" spans="2:12">
      <c r="B407" s="5492" t="str">
        <f t="shared" si="41"/>
        <v>0 Car.</v>
      </c>
      <c r="C407" s="5493" t="str">
        <f t="shared" si="38"/>
        <v>ligne 407 ►</v>
      </c>
      <c r="D407" s="54"/>
      <c r="E407" s="5492" t="str">
        <f t="shared" si="42"/>
        <v>0 Car.</v>
      </c>
      <c r="F407" s="5493" t="str">
        <f t="shared" si="39"/>
        <v>ligne 407 ►</v>
      </c>
      <c r="G407" s="54"/>
      <c r="H407" s="5492" t="str">
        <f t="shared" si="43"/>
        <v>0 Car.</v>
      </c>
      <c r="I407" s="5493" t="str">
        <f t="shared" si="40"/>
        <v>ligne 407 ►</v>
      </c>
      <c r="J407" s="54"/>
      <c r="K407" s="9"/>
      <c r="L407" s="3">
        <v>1</v>
      </c>
    </row>
    <row r="408" spans="2:12">
      <c r="B408" s="5492" t="str">
        <f t="shared" si="41"/>
        <v>39 Car.</v>
      </c>
      <c r="C408" s="5493" t="str">
        <f t="shared" si="38"/>
        <v>ligne 408 ►</v>
      </c>
      <c r="D408" s="54" t="s">
        <v>1665</v>
      </c>
      <c r="E408" s="5492" t="str">
        <f t="shared" si="42"/>
        <v>29 Car.</v>
      </c>
      <c r="F408" s="5493" t="str">
        <f t="shared" si="39"/>
        <v>ligne 408 ►</v>
      </c>
      <c r="G408" s="54" t="s">
        <v>1666</v>
      </c>
      <c r="H408" s="5492" t="str">
        <f t="shared" si="43"/>
        <v>34 Car.</v>
      </c>
      <c r="I408" s="5493" t="str">
        <f t="shared" si="40"/>
        <v>ligne 408 ►</v>
      </c>
      <c r="J408" s="54" t="s">
        <v>1667</v>
      </c>
      <c r="K408" s="9"/>
      <c r="L408" s="3">
        <v>1</v>
      </c>
    </row>
    <row r="409" spans="2:12">
      <c r="B409" s="5492" t="str">
        <f t="shared" si="41"/>
        <v>101 Car.</v>
      </c>
      <c r="C409" s="5493" t="str">
        <f t="shared" si="38"/>
        <v>ligne 409 ►</v>
      </c>
      <c r="D409" s="54" t="s">
        <v>1669</v>
      </c>
      <c r="E409" s="5492" t="str">
        <f t="shared" si="42"/>
        <v>73 Car.</v>
      </c>
      <c r="F409" s="5493" t="str">
        <f t="shared" si="39"/>
        <v>ligne 409 ►</v>
      </c>
      <c r="G409" s="54" t="s">
        <v>1670</v>
      </c>
      <c r="H409" s="5492" t="str">
        <f t="shared" si="43"/>
        <v>89 Car.</v>
      </c>
      <c r="I409" s="5493" t="str">
        <f t="shared" si="40"/>
        <v>ligne 409 ►</v>
      </c>
      <c r="J409" s="54" t="s">
        <v>1671</v>
      </c>
      <c r="K409" s="9"/>
      <c r="L409" s="3">
        <v>1</v>
      </c>
    </row>
    <row r="410" spans="2:12">
      <c r="B410" s="5492" t="str">
        <f t="shared" si="41"/>
        <v>49 Car.</v>
      </c>
      <c r="C410" s="5493" t="str">
        <f t="shared" si="38"/>
        <v>ligne 410 ►</v>
      </c>
      <c r="D410" s="54" t="s">
        <v>1672</v>
      </c>
      <c r="E410" s="5492" t="str">
        <f t="shared" si="42"/>
        <v>43 Car.</v>
      </c>
      <c r="F410" s="5493" t="str">
        <f t="shared" si="39"/>
        <v>ligne 410 ►</v>
      </c>
      <c r="G410" s="54" t="s">
        <v>1673</v>
      </c>
      <c r="H410" s="5492" t="str">
        <f t="shared" si="43"/>
        <v>56 Car.</v>
      </c>
      <c r="I410" s="5493" t="str">
        <f t="shared" si="40"/>
        <v>ligne 410 ►</v>
      </c>
      <c r="J410" s="54" t="s">
        <v>1674</v>
      </c>
      <c r="K410" s="9"/>
      <c r="L410" s="3">
        <v>1</v>
      </c>
    </row>
    <row r="411" spans="2:12">
      <c r="B411" s="5492" t="str">
        <f t="shared" si="41"/>
        <v>48 Car.</v>
      </c>
      <c r="C411" s="5493" t="str">
        <f t="shared" si="38"/>
        <v>ligne 411 ►</v>
      </c>
      <c r="D411" s="54" t="s">
        <v>1675</v>
      </c>
      <c r="E411" s="5492" t="str">
        <f t="shared" si="42"/>
        <v>37 Car.</v>
      </c>
      <c r="F411" s="5493" t="str">
        <f t="shared" si="39"/>
        <v>ligne 411 ►</v>
      </c>
      <c r="G411" s="54" t="s">
        <v>1676</v>
      </c>
      <c r="H411" s="5492" t="str">
        <f t="shared" si="43"/>
        <v>39 Car.</v>
      </c>
      <c r="I411" s="5493" t="str">
        <f t="shared" si="40"/>
        <v>ligne 411 ►</v>
      </c>
      <c r="J411" s="54" t="s">
        <v>1677</v>
      </c>
      <c r="K411" s="9"/>
      <c r="L411" s="3">
        <v>1</v>
      </c>
    </row>
    <row r="412" spans="2:12">
      <c r="B412" s="5492" t="str">
        <f t="shared" si="41"/>
        <v>86 Car.</v>
      </c>
      <c r="C412" s="5493" t="str">
        <f t="shared" si="38"/>
        <v>ligne 412 ►</v>
      </c>
      <c r="D412" s="54" t="s">
        <v>1679</v>
      </c>
      <c r="E412" s="5492" t="str">
        <f t="shared" si="42"/>
        <v>73 Car.</v>
      </c>
      <c r="F412" s="5493" t="str">
        <f t="shared" si="39"/>
        <v>ligne 412 ►</v>
      </c>
      <c r="G412" s="54" t="s">
        <v>1680</v>
      </c>
      <c r="H412" s="5492" t="str">
        <f t="shared" si="43"/>
        <v>96 Car.</v>
      </c>
      <c r="I412" s="5493" t="str">
        <f t="shared" si="40"/>
        <v>ligne 412 ►</v>
      </c>
      <c r="J412" s="54" t="s">
        <v>1681</v>
      </c>
      <c r="K412" s="9"/>
      <c r="L412" s="3">
        <v>1</v>
      </c>
    </row>
    <row r="413" spans="2:12">
      <c r="B413" s="5492" t="str">
        <f t="shared" si="41"/>
        <v>0 Car.</v>
      </c>
      <c r="C413" s="5493" t="str">
        <f t="shared" si="38"/>
        <v>ligne 413 ►</v>
      </c>
      <c r="D413" s="54"/>
      <c r="E413" s="5492" t="str">
        <f t="shared" si="42"/>
        <v>0 Car.</v>
      </c>
      <c r="F413" s="5493" t="str">
        <f t="shared" si="39"/>
        <v>ligne 413 ►</v>
      </c>
      <c r="G413" s="54"/>
      <c r="H413" s="5492" t="str">
        <f t="shared" si="43"/>
        <v>0 Car.</v>
      </c>
      <c r="I413" s="5493" t="str">
        <f t="shared" si="40"/>
        <v>ligne 413 ►</v>
      </c>
      <c r="J413" s="54"/>
      <c r="K413" s="9"/>
      <c r="L413" s="3">
        <v>1</v>
      </c>
    </row>
    <row r="414" spans="2:12">
      <c r="B414" s="5492" t="str">
        <f t="shared" si="41"/>
        <v>54 Car.</v>
      </c>
      <c r="C414" s="5493" t="str">
        <f t="shared" si="38"/>
        <v>ligne 414 ►</v>
      </c>
      <c r="D414" s="54" t="s">
        <v>1686</v>
      </c>
      <c r="E414" s="5492" t="str">
        <f t="shared" si="42"/>
        <v>44 Car.</v>
      </c>
      <c r="F414" s="5493" t="str">
        <f t="shared" si="39"/>
        <v>ligne 414 ►</v>
      </c>
      <c r="G414" s="54" t="s">
        <v>1687</v>
      </c>
      <c r="H414" s="5492" t="str">
        <f t="shared" si="43"/>
        <v>49 Car.</v>
      </c>
      <c r="I414" s="5493" t="str">
        <f t="shared" si="40"/>
        <v>ligne 414 ►</v>
      </c>
      <c r="J414" s="54" t="s">
        <v>1688</v>
      </c>
      <c r="K414" s="9"/>
      <c r="L414" s="3">
        <v>1</v>
      </c>
    </row>
    <row r="415" spans="2:12">
      <c r="B415" s="5492" t="str">
        <f t="shared" si="41"/>
        <v>6 Car.</v>
      </c>
      <c r="C415" s="5493" t="str">
        <f t="shared" si="38"/>
        <v>ligne 415 ►</v>
      </c>
      <c r="D415" s="54" t="s">
        <v>1693</v>
      </c>
      <c r="E415" s="5492" t="str">
        <f t="shared" si="42"/>
        <v>8 Car.</v>
      </c>
      <c r="F415" s="5493" t="str">
        <f t="shared" si="39"/>
        <v>ligne 415 ►</v>
      </c>
      <c r="G415" s="54" t="s">
        <v>1695</v>
      </c>
      <c r="H415" s="5492" t="str">
        <f t="shared" si="43"/>
        <v>10 Car.</v>
      </c>
      <c r="I415" s="5493" t="str">
        <f t="shared" si="40"/>
        <v>ligne 415 ►</v>
      </c>
      <c r="J415" s="54" t="s">
        <v>1696</v>
      </c>
      <c r="K415" s="9"/>
      <c r="L415" s="3">
        <v>1</v>
      </c>
    </row>
    <row r="416" spans="2:12">
      <c r="B416" s="5492" t="str">
        <f t="shared" si="41"/>
        <v>48 Car.</v>
      </c>
      <c r="C416" s="5493" t="str">
        <f t="shared" si="38"/>
        <v>ligne 416 ►</v>
      </c>
      <c r="D416" s="54" t="s">
        <v>1694</v>
      </c>
      <c r="E416" s="5492" t="str">
        <f t="shared" si="42"/>
        <v>48 Car.</v>
      </c>
      <c r="F416" s="5493" t="str">
        <f t="shared" si="39"/>
        <v>ligne 416 ►</v>
      </c>
      <c r="G416" s="54" t="s">
        <v>1694</v>
      </c>
      <c r="H416" s="5492" t="str">
        <f t="shared" si="43"/>
        <v>48 Car.</v>
      </c>
      <c r="I416" s="5493" t="str">
        <f t="shared" si="40"/>
        <v>ligne 416 ►</v>
      </c>
      <c r="J416" s="54" t="s">
        <v>1694</v>
      </c>
      <c r="K416" s="9"/>
      <c r="L416" s="3">
        <v>1</v>
      </c>
    </row>
    <row r="417" spans="2:12">
      <c r="B417" s="5492" t="str">
        <f t="shared" si="41"/>
        <v>55 Car.</v>
      </c>
      <c r="C417" s="5493" t="str">
        <f t="shared" si="38"/>
        <v>ligne 417 ►</v>
      </c>
      <c r="D417" s="54" t="s">
        <v>1700</v>
      </c>
      <c r="E417" s="5492" t="str">
        <f t="shared" si="42"/>
        <v>54 Car.</v>
      </c>
      <c r="F417" s="5493" t="str">
        <f t="shared" si="39"/>
        <v>ligne 417 ►</v>
      </c>
      <c r="G417" s="54" t="s">
        <v>1701</v>
      </c>
      <c r="H417" s="5492" t="str">
        <f t="shared" si="43"/>
        <v>47 Car.</v>
      </c>
      <c r="I417" s="5493" t="str">
        <f t="shared" si="40"/>
        <v>ligne 417 ►</v>
      </c>
      <c r="J417" s="54" t="s">
        <v>1702</v>
      </c>
      <c r="K417" s="9"/>
      <c r="L417" s="3">
        <v>1</v>
      </c>
    </row>
    <row r="418" spans="2:12">
      <c r="B418" s="5492" t="str">
        <f t="shared" si="41"/>
        <v>35 Car.</v>
      </c>
      <c r="C418" s="5493" t="str">
        <f t="shared" si="38"/>
        <v>ligne 418 ►</v>
      </c>
      <c r="D418" s="54" t="s">
        <v>1712</v>
      </c>
      <c r="E418" s="5492" t="str">
        <f t="shared" si="42"/>
        <v>37 Car.</v>
      </c>
      <c r="F418" s="5493" t="str">
        <f t="shared" si="39"/>
        <v>ligne 418 ►</v>
      </c>
      <c r="G418" s="54" t="s">
        <v>1714</v>
      </c>
      <c r="H418" s="5492" t="str">
        <f t="shared" si="43"/>
        <v>45 Car.</v>
      </c>
      <c r="I418" s="5493" t="str">
        <f t="shared" si="40"/>
        <v>ligne 418 ►</v>
      </c>
      <c r="J418" s="54" t="s">
        <v>1716</v>
      </c>
      <c r="K418" s="9"/>
      <c r="L418" s="3">
        <v>1</v>
      </c>
    </row>
    <row r="419" spans="2:12">
      <c r="B419" s="5492" t="str">
        <f t="shared" si="41"/>
        <v>41 Car.</v>
      </c>
      <c r="C419" s="5493" t="str">
        <f t="shared" si="38"/>
        <v>ligne 419 ►</v>
      </c>
      <c r="D419" s="54" t="s">
        <v>1704</v>
      </c>
      <c r="E419" s="5492" t="str">
        <f t="shared" si="42"/>
        <v>37 Car.</v>
      </c>
      <c r="F419" s="5493" t="str">
        <f t="shared" si="39"/>
        <v>ligne 419 ►</v>
      </c>
      <c r="G419" s="54" t="s">
        <v>1706</v>
      </c>
      <c r="H419" s="5492" t="str">
        <f t="shared" si="43"/>
        <v>45 Car.</v>
      </c>
      <c r="I419" s="5493" t="str">
        <f t="shared" si="40"/>
        <v>ligne 419 ►</v>
      </c>
      <c r="J419" s="54" t="s">
        <v>1708</v>
      </c>
      <c r="K419" s="9"/>
      <c r="L419" s="3">
        <v>1</v>
      </c>
    </row>
    <row r="420" spans="2:12">
      <c r="B420" s="5492" t="str">
        <f t="shared" si="41"/>
        <v>39 Car.</v>
      </c>
      <c r="C420" s="5493" t="str">
        <f t="shared" si="38"/>
        <v>ligne 420 ►</v>
      </c>
      <c r="D420" s="54" t="s">
        <v>1705</v>
      </c>
      <c r="E420" s="5492" t="str">
        <f t="shared" si="42"/>
        <v>37 Car.</v>
      </c>
      <c r="F420" s="5493" t="str">
        <f t="shared" si="39"/>
        <v>ligne 420 ►</v>
      </c>
      <c r="G420" s="54" t="s">
        <v>1707</v>
      </c>
      <c r="H420" s="5492" t="str">
        <f t="shared" si="43"/>
        <v>45 Car.</v>
      </c>
      <c r="I420" s="5493" t="str">
        <f t="shared" si="40"/>
        <v>ligne 420 ►</v>
      </c>
      <c r="J420" s="54" t="s">
        <v>1709</v>
      </c>
      <c r="K420" s="9"/>
      <c r="L420" s="3">
        <v>1</v>
      </c>
    </row>
    <row r="421" spans="2:12">
      <c r="B421" s="5492" t="str">
        <f t="shared" si="41"/>
        <v>36 Car.</v>
      </c>
      <c r="C421" s="5493" t="str">
        <f t="shared" si="38"/>
        <v>ligne 421 ►</v>
      </c>
      <c r="D421" s="54" t="s">
        <v>1713</v>
      </c>
      <c r="E421" s="5492" t="str">
        <f t="shared" si="42"/>
        <v>39 Car.</v>
      </c>
      <c r="F421" s="5493" t="str">
        <f t="shared" si="39"/>
        <v>ligne 421 ►</v>
      </c>
      <c r="G421" s="54" t="s">
        <v>1715</v>
      </c>
      <c r="H421" s="5492" t="str">
        <f t="shared" si="43"/>
        <v>40 Car.</v>
      </c>
      <c r="I421" s="5493" t="str">
        <f t="shared" si="40"/>
        <v>ligne 421 ►</v>
      </c>
      <c r="J421" s="54" t="s">
        <v>1717</v>
      </c>
      <c r="K421" s="9"/>
      <c r="L421" s="3">
        <v>1</v>
      </c>
    </row>
    <row r="422" spans="2:12">
      <c r="B422" s="5492" t="str">
        <f t="shared" si="41"/>
        <v>41 Car.</v>
      </c>
      <c r="C422" s="5493" t="str">
        <f t="shared" si="38"/>
        <v>ligne 422 ►</v>
      </c>
      <c r="D422" s="54" t="s">
        <v>1721</v>
      </c>
      <c r="E422" s="5492" t="str">
        <f t="shared" si="42"/>
        <v>37 Car.</v>
      </c>
      <c r="F422" s="5493" t="str">
        <f t="shared" si="39"/>
        <v>ligne 422 ►</v>
      </c>
      <c r="G422" s="54" t="s">
        <v>1722</v>
      </c>
      <c r="H422" s="5492" t="str">
        <f t="shared" si="43"/>
        <v>45 Car.</v>
      </c>
      <c r="I422" s="5493" t="str">
        <f t="shared" si="40"/>
        <v>ligne 422 ►</v>
      </c>
      <c r="J422" s="54" t="s">
        <v>1724</v>
      </c>
      <c r="K422" s="9"/>
      <c r="L422" s="3">
        <v>1</v>
      </c>
    </row>
    <row r="423" spans="2:12">
      <c r="B423" s="5492" t="str">
        <f t="shared" si="41"/>
        <v>0 Car.</v>
      </c>
      <c r="C423" s="5493" t="str">
        <f t="shared" si="38"/>
        <v>ligne 423 ►</v>
      </c>
      <c r="D423" s="54"/>
      <c r="E423" s="5492" t="str">
        <f t="shared" si="42"/>
        <v>0 Car.</v>
      </c>
      <c r="F423" s="5493" t="str">
        <f t="shared" si="39"/>
        <v>ligne 423 ►</v>
      </c>
      <c r="G423" s="54"/>
      <c r="H423" s="5492" t="str">
        <f t="shared" si="43"/>
        <v>0 Car.</v>
      </c>
      <c r="I423" s="5493" t="str">
        <f t="shared" si="40"/>
        <v>ligne 423 ►</v>
      </c>
      <c r="J423" s="54"/>
      <c r="K423" s="9"/>
      <c r="L423" s="3">
        <v>1</v>
      </c>
    </row>
    <row r="424" spans="2:12">
      <c r="B424" s="5492" t="str">
        <f t="shared" si="41"/>
        <v>21 Car.</v>
      </c>
      <c r="C424" s="5493" t="str">
        <f t="shared" si="38"/>
        <v>ligne 424 ►</v>
      </c>
      <c r="D424" s="54" t="s">
        <v>838</v>
      </c>
      <c r="E424" s="5492" t="str">
        <f t="shared" si="42"/>
        <v>21 Car.</v>
      </c>
      <c r="F424" s="5493" t="str">
        <f t="shared" si="39"/>
        <v>ligne 424 ►</v>
      </c>
      <c r="G424" s="54" t="s">
        <v>838</v>
      </c>
      <c r="H424" s="5492" t="str">
        <f t="shared" si="43"/>
        <v>21 Car.</v>
      </c>
      <c r="I424" s="5493" t="str">
        <f t="shared" si="40"/>
        <v>ligne 424 ►</v>
      </c>
      <c r="J424" s="54" t="s">
        <v>838</v>
      </c>
      <c r="K424" s="9"/>
      <c r="L424" s="3">
        <v>1</v>
      </c>
    </row>
    <row r="425" spans="2:12">
      <c r="B425" s="5492" t="str">
        <f t="shared" si="41"/>
        <v>187 Car.</v>
      </c>
      <c r="C425" s="5493" t="str">
        <f t="shared" si="38"/>
        <v>ligne 425 ►</v>
      </c>
      <c r="D425" s="54" t="s">
        <v>1735</v>
      </c>
      <c r="E425" s="5492" t="str">
        <f t="shared" si="42"/>
        <v>127 Car.</v>
      </c>
      <c r="F425" s="5493" t="str">
        <f t="shared" si="39"/>
        <v>ligne 425 ►</v>
      </c>
      <c r="G425" s="54" t="s">
        <v>1736</v>
      </c>
      <c r="H425" s="5492" t="str">
        <f t="shared" si="43"/>
        <v>156 Car.</v>
      </c>
      <c r="I425" s="5493" t="str">
        <f t="shared" si="40"/>
        <v>ligne 425 ►</v>
      </c>
      <c r="J425" s="54" t="s">
        <v>1737</v>
      </c>
      <c r="K425" s="9"/>
      <c r="L425" s="3">
        <v>1</v>
      </c>
    </row>
    <row r="426" spans="2:12">
      <c r="B426" s="5492" t="str">
        <f t="shared" si="41"/>
        <v>21 Car.</v>
      </c>
      <c r="C426" s="5493" t="str">
        <f t="shared" si="38"/>
        <v>ligne 426 ►</v>
      </c>
      <c r="D426" s="54" t="s">
        <v>839</v>
      </c>
      <c r="E426" s="5492" t="str">
        <f t="shared" si="42"/>
        <v>21 Car.</v>
      </c>
      <c r="F426" s="5493" t="str">
        <f t="shared" si="39"/>
        <v>ligne 426 ►</v>
      </c>
      <c r="G426" s="54" t="s">
        <v>839</v>
      </c>
      <c r="H426" s="5492" t="str">
        <f t="shared" si="43"/>
        <v>21 Car.</v>
      </c>
      <c r="I426" s="5493" t="str">
        <f t="shared" si="40"/>
        <v>ligne 426 ►</v>
      </c>
      <c r="J426" s="54" t="s">
        <v>839</v>
      </c>
      <c r="K426" s="9"/>
      <c r="L426" s="3">
        <v>1</v>
      </c>
    </row>
    <row r="427" spans="2:12">
      <c r="B427" s="5492" t="str">
        <f t="shared" si="41"/>
        <v>1 Car.</v>
      </c>
      <c r="C427" s="5493" t="str">
        <f t="shared" si="38"/>
        <v>ligne 427 ►</v>
      </c>
      <c r="D427" s="54" t="s">
        <v>1744</v>
      </c>
      <c r="E427" s="5492" t="str">
        <f t="shared" si="42"/>
        <v>1 Car.</v>
      </c>
      <c r="F427" s="5493" t="str">
        <f t="shared" si="39"/>
        <v>ligne 427 ►</v>
      </c>
      <c r="G427" s="54" t="s">
        <v>1744</v>
      </c>
      <c r="H427" s="5492" t="str">
        <f t="shared" si="43"/>
        <v>1 Car.</v>
      </c>
      <c r="I427" s="5493" t="str">
        <f t="shared" si="40"/>
        <v>ligne 427 ►</v>
      </c>
      <c r="J427" s="54" t="s">
        <v>1744</v>
      </c>
      <c r="K427" s="9"/>
      <c r="L427" s="3">
        <v>1</v>
      </c>
    </row>
    <row r="428" spans="2:12">
      <c r="B428" s="5492" t="str">
        <f t="shared" si="41"/>
        <v>1 Car.</v>
      </c>
      <c r="C428" s="5493" t="str">
        <f t="shared" si="38"/>
        <v>ligne 428 ►</v>
      </c>
      <c r="D428" s="54" t="s">
        <v>1752</v>
      </c>
      <c r="E428" s="5492" t="str">
        <f t="shared" si="42"/>
        <v>1 Car.</v>
      </c>
      <c r="F428" s="5493" t="str">
        <f t="shared" si="39"/>
        <v>ligne 428 ►</v>
      </c>
      <c r="G428" s="54" t="s">
        <v>1752</v>
      </c>
      <c r="H428" s="5492" t="str">
        <f t="shared" si="43"/>
        <v>1 Car.</v>
      </c>
      <c r="I428" s="5493" t="str">
        <f t="shared" si="40"/>
        <v>ligne 428 ►</v>
      </c>
      <c r="J428" s="54" t="s">
        <v>1752</v>
      </c>
      <c r="K428" s="9"/>
      <c r="L428" s="3">
        <v>1</v>
      </c>
    </row>
    <row r="429" spans="2:12">
      <c r="B429" s="9"/>
      <c r="C429" s="9"/>
      <c r="L429" s="3">
        <v>1</v>
      </c>
    </row>
    <row r="430" spans="2:12" ht="18.75">
      <c r="B430" s="9"/>
      <c r="C430" s="9"/>
      <c r="D430" s="652" t="s">
        <v>885</v>
      </c>
      <c r="E430" s="414"/>
      <c r="F430" s="9"/>
      <c r="G430" s="652" t="s">
        <v>886</v>
      </c>
      <c r="H430" s="9"/>
      <c r="I430" s="9"/>
      <c r="J430" s="652" t="s">
        <v>887</v>
      </c>
      <c r="K430" s="9"/>
      <c r="L430" s="3">
        <v>1</v>
      </c>
    </row>
    <row r="431" spans="2:12" ht="15.75">
      <c r="B431" s="9"/>
      <c r="C431" s="9"/>
      <c r="D431" s="653" t="s">
        <v>888</v>
      </c>
      <c r="E431" s="9"/>
      <c r="F431" s="9"/>
      <c r="G431" s="654" t="s">
        <v>889</v>
      </c>
      <c r="H431" s="9"/>
      <c r="I431" s="9"/>
      <c r="J431" s="654" t="s">
        <v>890</v>
      </c>
      <c r="K431" s="9"/>
      <c r="L431" s="3">
        <v>1</v>
      </c>
    </row>
    <row r="432" spans="2:12" ht="15.75">
      <c r="B432" s="9"/>
      <c r="C432" s="9"/>
      <c r="D432" s="653" t="s">
        <v>891</v>
      </c>
      <c r="E432" s="9"/>
      <c r="F432" s="9"/>
      <c r="G432" s="654" t="s">
        <v>892</v>
      </c>
      <c r="H432" s="9"/>
      <c r="I432" s="9"/>
      <c r="J432" s="654" t="s">
        <v>893</v>
      </c>
      <c r="K432" s="9"/>
      <c r="L432" s="3">
        <v>1</v>
      </c>
    </row>
    <row r="433" spans="2:12" ht="15.75">
      <c r="B433" s="9"/>
      <c r="C433" s="9"/>
      <c r="D433" s="653" t="s">
        <v>894</v>
      </c>
      <c r="E433" s="9"/>
      <c r="F433" s="9"/>
      <c r="G433" s="654" t="s">
        <v>895</v>
      </c>
      <c r="H433" s="9"/>
      <c r="I433" s="9"/>
      <c r="J433" s="654" t="s">
        <v>896</v>
      </c>
      <c r="K433" s="9"/>
      <c r="L433" s="3">
        <v>1</v>
      </c>
    </row>
    <row r="434" spans="2:12" ht="15.75">
      <c r="B434" s="9"/>
      <c r="C434" s="9"/>
      <c r="D434" s="653"/>
      <c r="E434" s="9"/>
      <c r="F434" s="9"/>
      <c r="G434" s="654"/>
      <c r="H434" s="9"/>
      <c r="I434" s="9"/>
      <c r="J434" s="654"/>
      <c r="K434" s="9"/>
      <c r="L434" s="3">
        <v>1</v>
      </c>
    </row>
    <row r="435" spans="2:12" ht="15.75">
      <c r="B435" s="9"/>
      <c r="C435" s="9"/>
      <c r="D435" s="653" t="s">
        <v>897</v>
      </c>
      <c r="E435" s="9"/>
      <c r="F435" s="9"/>
      <c r="G435" s="654" t="s">
        <v>898</v>
      </c>
      <c r="H435" s="9"/>
      <c r="I435" s="9"/>
      <c r="J435" s="654" t="s">
        <v>899</v>
      </c>
      <c r="K435" s="9"/>
      <c r="L435" s="3">
        <v>1</v>
      </c>
    </row>
    <row r="436" spans="2:12" ht="15.75">
      <c r="B436" s="9"/>
      <c r="C436" s="9"/>
      <c r="D436" s="653" t="s">
        <v>900</v>
      </c>
      <c r="E436" s="9"/>
      <c r="F436" s="9"/>
      <c r="G436" s="654" t="s">
        <v>901</v>
      </c>
      <c r="H436" s="9"/>
      <c r="I436" s="9"/>
      <c r="J436" s="654" t="s">
        <v>902</v>
      </c>
      <c r="K436" s="9"/>
      <c r="L436" s="3">
        <v>1</v>
      </c>
    </row>
    <row r="437" spans="2:12" ht="15.75">
      <c r="B437" s="9"/>
      <c r="C437" s="9"/>
      <c r="D437" s="653" t="s">
        <v>903</v>
      </c>
      <c r="E437" s="9"/>
      <c r="F437" s="9"/>
      <c r="G437" s="654" t="s">
        <v>904</v>
      </c>
      <c r="H437" s="9"/>
      <c r="I437" s="9"/>
      <c r="J437" s="654" t="s">
        <v>905</v>
      </c>
      <c r="K437" s="9"/>
      <c r="L437" s="3">
        <v>1</v>
      </c>
    </row>
    <row r="438" spans="2:12">
      <c r="B438" s="9"/>
      <c r="C438" s="9"/>
      <c r="D438" s="655" t="s">
        <v>906</v>
      </c>
      <c r="E438" s="9"/>
      <c r="F438" s="9"/>
      <c r="G438" s="656" t="s">
        <v>906</v>
      </c>
      <c r="H438" s="9"/>
      <c r="I438" s="9"/>
      <c r="J438" s="656" t="s">
        <v>906</v>
      </c>
      <c r="K438" s="9"/>
      <c r="L438" s="3">
        <v>1</v>
      </c>
    </row>
    <row r="439" spans="2:12" ht="15.75">
      <c r="B439" s="9"/>
      <c r="C439" s="9"/>
      <c r="D439" s="653" t="s">
        <v>907</v>
      </c>
      <c r="E439" s="9"/>
      <c r="F439" s="9"/>
      <c r="G439" s="654" t="s">
        <v>908</v>
      </c>
      <c r="H439" s="9"/>
      <c r="I439" s="9"/>
      <c r="J439" s="654" t="s">
        <v>909</v>
      </c>
      <c r="K439" s="9"/>
      <c r="L439" s="3">
        <v>1</v>
      </c>
    </row>
    <row r="440" spans="2:12" ht="15.75">
      <c r="B440" s="9"/>
      <c r="C440" s="9"/>
      <c r="D440" s="653"/>
      <c r="E440" s="9"/>
      <c r="F440" s="9"/>
      <c r="G440" s="654"/>
      <c r="H440" s="9"/>
      <c r="I440" s="9"/>
      <c r="J440" s="654"/>
      <c r="K440" s="9"/>
      <c r="L440" s="3">
        <v>1</v>
      </c>
    </row>
    <row r="441" spans="2:12" ht="15.75">
      <c r="B441" s="9"/>
      <c r="C441" s="9"/>
      <c r="D441" s="653" t="s">
        <v>910</v>
      </c>
      <c r="E441" s="9"/>
      <c r="F441" s="9"/>
      <c r="G441" s="654" t="s">
        <v>911</v>
      </c>
      <c r="H441" s="9"/>
      <c r="I441" s="9"/>
      <c r="J441" s="654" t="s">
        <v>912</v>
      </c>
      <c r="K441" s="9"/>
      <c r="L441" s="3">
        <v>1</v>
      </c>
    </row>
    <row r="442" spans="2:12" ht="15.75">
      <c r="B442" s="9"/>
      <c r="C442" s="9"/>
      <c r="D442" s="653" t="s">
        <v>913</v>
      </c>
      <c r="E442" s="9"/>
      <c r="F442" s="9"/>
      <c r="G442" s="654" t="s">
        <v>914</v>
      </c>
      <c r="H442" s="9"/>
      <c r="I442" s="9"/>
      <c r="J442" s="654" t="s">
        <v>915</v>
      </c>
      <c r="K442" s="9"/>
      <c r="L442" s="3">
        <v>1</v>
      </c>
    </row>
    <row r="443" spans="2:12" ht="15.75">
      <c r="B443" s="9"/>
      <c r="C443" s="9"/>
      <c r="D443" s="653" t="s">
        <v>916</v>
      </c>
      <c r="E443" s="9"/>
      <c r="F443" s="9"/>
      <c r="G443" s="654" t="s">
        <v>917</v>
      </c>
      <c r="H443" s="9"/>
      <c r="I443" s="9"/>
      <c r="J443" s="654" t="s">
        <v>918</v>
      </c>
      <c r="K443" s="9"/>
      <c r="L443" s="3">
        <v>1</v>
      </c>
    </row>
    <row r="444" spans="2:12" ht="15.75">
      <c r="B444" s="9"/>
      <c r="C444" s="9"/>
      <c r="D444" s="653" t="s">
        <v>919</v>
      </c>
      <c r="E444" s="9"/>
      <c r="F444" s="9"/>
      <c r="G444" s="654" t="s">
        <v>920</v>
      </c>
      <c r="H444" s="9"/>
      <c r="I444" s="9"/>
      <c r="J444" s="654" t="s">
        <v>921</v>
      </c>
      <c r="K444" s="9"/>
      <c r="L444" s="3">
        <v>1</v>
      </c>
    </row>
    <row r="445" spans="2:12" ht="15.75">
      <c r="B445" s="9"/>
      <c r="C445" s="9"/>
      <c r="D445" s="653"/>
      <c r="E445" s="9"/>
      <c r="F445" s="9"/>
      <c r="G445" s="654"/>
      <c r="H445" s="9"/>
      <c r="I445" s="9"/>
      <c r="J445" s="654"/>
      <c r="K445" s="9"/>
      <c r="L445" s="3">
        <v>1</v>
      </c>
    </row>
    <row r="446" spans="2:12" ht="15.75">
      <c r="B446" s="9"/>
      <c r="C446" s="9"/>
      <c r="D446" s="653" t="s">
        <v>922</v>
      </c>
      <c r="E446" s="9"/>
      <c r="F446" s="9"/>
      <c r="G446" s="654" t="s">
        <v>923</v>
      </c>
      <c r="H446" s="9"/>
      <c r="I446" s="9"/>
      <c r="J446" s="654" t="s">
        <v>924</v>
      </c>
      <c r="K446" s="9"/>
      <c r="L446" s="3">
        <v>1</v>
      </c>
    </row>
    <row r="447" spans="2:12" ht="15.75">
      <c r="B447" s="9"/>
      <c r="C447" s="9"/>
      <c r="D447" s="653" t="s">
        <v>925</v>
      </c>
      <c r="E447" s="9"/>
      <c r="F447" s="9"/>
      <c r="G447" s="654" t="s">
        <v>926</v>
      </c>
      <c r="H447" s="9"/>
      <c r="I447" s="9"/>
      <c r="J447" s="654" t="s">
        <v>927</v>
      </c>
      <c r="K447" s="9"/>
      <c r="L447" s="3">
        <v>1</v>
      </c>
    </row>
    <row r="448" spans="2:12">
      <c r="B448" s="9"/>
      <c r="C448" s="9"/>
      <c r="D448" s="655" t="s">
        <v>928</v>
      </c>
      <c r="E448" s="9"/>
      <c r="F448" s="9"/>
      <c r="G448" s="655" t="s">
        <v>928</v>
      </c>
      <c r="H448" s="9"/>
      <c r="I448" s="9"/>
      <c r="J448" s="655" t="s">
        <v>928</v>
      </c>
      <c r="K448" s="9"/>
      <c r="L448" s="3">
        <v>1</v>
      </c>
    </row>
    <row r="449" spans="2:12" ht="15.75">
      <c r="B449" s="9"/>
      <c r="C449" s="9"/>
      <c r="D449" s="653" t="s">
        <v>929</v>
      </c>
      <c r="E449" s="9"/>
      <c r="F449" s="9"/>
      <c r="G449" s="654" t="s">
        <v>930</v>
      </c>
      <c r="H449" s="9"/>
      <c r="I449" s="9"/>
      <c r="J449" s="654" t="s">
        <v>931</v>
      </c>
      <c r="K449" s="9"/>
      <c r="L449" s="3">
        <v>1</v>
      </c>
    </row>
    <row r="450" spans="2:12" ht="15.75">
      <c r="B450" s="9"/>
      <c r="C450" s="9"/>
      <c r="D450" s="653"/>
      <c r="E450" s="9"/>
      <c r="F450" s="9"/>
      <c r="G450" s="654"/>
      <c r="H450" s="9"/>
      <c r="I450" s="9"/>
      <c r="J450" s="654"/>
      <c r="K450" s="9"/>
      <c r="L450" s="3">
        <v>1</v>
      </c>
    </row>
    <row r="451" spans="2:12" ht="15.75">
      <c r="B451" s="9"/>
      <c r="C451" s="9"/>
      <c r="D451" s="653" t="s">
        <v>932</v>
      </c>
      <c r="E451" s="9"/>
      <c r="F451" s="9"/>
      <c r="G451" s="654" t="s">
        <v>933</v>
      </c>
      <c r="H451" s="9"/>
      <c r="I451" s="9"/>
      <c r="J451" s="654" t="s">
        <v>934</v>
      </c>
      <c r="K451" s="9"/>
      <c r="L451" s="3">
        <v>1</v>
      </c>
    </row>
    <row r="452" spans="2:12" ht="15.75">
      <c r="B452" s="9"/>
      <c r="C452" s="9"/>
      <c r="D452" s="653" t="s">
        <v>935</v>
      </c>
      <c r="E452" s="9"/>
      <c r="F452" s="9"/>
      <c r="G452" s="654" t="s">
        <v>936</v>
      </c>
      <c r="H452" s="9"/>
      <c r="I452" s="9"/>
      <c r="J452" s="654" t="s">
        <v>937</v>
      </c>
      <c r="K452" s="9"/>
      <c r="L452" s="3">
        <v>1</v>
      </c>
    </row>
    <row r="453" spans="2:12" ht="15.75">
      <c r="B453" s="9"/>
      <c r="C453" s="9"/>
      <c r="D453" s="653" t="s">
        <v>938</v>
      </c>
      <c r="E453" s="9"/>
      <c r="F453" s="9"/>
      <c r="G453" s="654" t="s">
        <v>939</v>
      </c>
      <c r="H453" s="9"/>
      <c r="I453" s="9"/>
      <c r="J453" s="654" t="s">
        <v>940</v>
      </c>
      <c r="K453" s="9"/>
      <c r="L453" s="3">
        <v>1</v>
      </c>
    </row>
    <row r="454" spans="2:12">
      <c r="B454" s="9"/>
      <c r="C454" s="9"/>
      <c r="D454" s="9"/>
      <c r="E454" s="9"/>
      <c r="F454" s="9"/>
      <c r="G454" s="9"/>
      <c r="H454" s="9"/>
      <c r="I454" s="9"/>
      <c r="J454" s="9"/>
      <c r="K454" s="9"/>
      <c r="L454" s="3">
        <v>1</v>
      </c>
    </row>
    <row r="455" spans="2:12">
      <c r="B455" s="9"/>
      <c r="C455" s="9"/>
      <c r="D455" s="677" t="s">
        <v>1296</v>
      </c>
      <c r="E455" s="54"/>
      <c r="F455" s="9"/>
      <c r="G455" s="677" t="s">
        <v>1297</v>
      </c>
      <c r="H455" s="9"/>
      <c r="I455" s="9"/>
      <c r="J455" s="678" t="s">
        <v>1298</v>
      </c>
      <c r="K455" s="9"/>
      <c r="L455" s="3">
        <v>1</v>
      </c>
    </row>
    <row r="456" spans="2:12">
      <c r="B456" s="9"/>
      <c r="C456" s="9"/>
      <c r="D456" s="677"/>
      <c r="E456" s="54"/>
      <c r="F456" s="9"/>
      <c r="G456" s="677"/>
      <c r="H456" s="9"/>
      <c r="I456" s="9"/>
      <c r="J456" s="678"/>
      <c r="K456" s="9"/>
      <c r="L456" s="3">
        <v>1</v>
      </c>
    </row>
    <row r="457" spans="2:12" ht="15.75">
      <c r="B457" s="9"/>
      <c r="C457" s="9"/>
      <c r="D457" s="5726" t="s">
        <v>14223</v>
      </c>
      <c r="E457" s="54"/>
      <c r="F457" s="9"/>
      <c r="G457" s="5726" t="s">
        <v>14224</v>
      </c>
      <c r="H457" s="9"/>
      <c r="I457" s="9"/>
      <c r="J457" s="5726" t="s">
        <v>14225</v>
      </c>
      <c r="K457" s="9"/>
      <c r="L457" s="3">
        <v>1</v>
      </c>
    </row>
    <row r="458" spans="2:12" ht="15.75">
      <c r="B458" s="9"/>
      <c r="C458" s="9"/>
      <c r="D458" s="5726" t="s">
        <v>14226</v>
      </c>
      <c r="E458" s="54"/>
      <c r="F458" s="9"/>
      <c r="G458" s="5726" t="s">
        <v>14227</v>
      </c>
      <c r="H458" s="9"/>
      <c r="I458" s="9"/>
      <c r="J458" s="5726" t="s">
        <v>14228</v>
      </c>
      <c r="K458" s="9"/>
      <c r="L458" s="3">
        <v>1</v>
      </c>
    </row>
    <row r="459" spans="2:12" ht="15.75">
      <c r="B459" s="9"/>
      <c r="C459" s="9"/>
      <c r="D459" s="5726" t="s">
        <v>14229</v>
      </c>
      <c r="E459" s="54"/>
      <c r="F459" s="9"/>
      <c r="G459" s="5726" t="s">
        <v>14230</v>
      </c>
      <c r="H459" s="9"/>
      <c r="I459" s="9"/>
      <c r="J459" s="5726" t="s">
        <v>14231</v>
      </c>
      <c r="K459" s="9"/>
      <c r="L459" s="3">
        <v>1</v>
      </c>
    </row>
    <row r="460" spans="2:12" ht="15.75">
      <c r="B460" s="9"/>
      <c r="C460" s="9"/>
      <c r="D460" s="5726"/>
      <c r="E460" s="54"/>
      <c r="F460" s="9"/>
      <c r="G460" s="5726"/>
      <c r="H460" s="9"/>
      <c r="I460" s="9"/>
      <c r="J460" s="5726"/>
      <c r="K460" s="9"/>
      <c r="L460" s="3">
        <v>1</v>
      </c>
    </row>
    <row r="461" spans="2:12" ht="15.75">
      <c r="B461" s="9"/>
      <c r="C461" s="9"/>
      <c r="D461" s="5726" t="s">
        <v>14232</v>
      </c>
      <c r="E461" s="54"/>
      <c r="F461" s="9"/>
      <c r="G461" s="5726" t="s">
        <v>14233</v>
      </c>
      <c r="H461" s="9"/>
      <c r="I461" s="9"/>
      <c r="J461" s="5726" t="s">
        <v>14234</v>
      </c>
      <c r="K461" s="9"/>
      <c r="L461" s="3">
        <v>1</v>
      </c>
    </row>
    <row r="462" spans="2:12" ht="15.75">
      <c r="B462" s="9"/>
      <c r="C462" s="9"/>
      <c r="D462" s="5726" t="s">
        <v>14235</v>
      </c>
      <c r="E462" s="54"/>
      <c r="F462" s="9"/>
      <c r="G462" s="5726" t="s">
        <v>14236</v>
      </c>
      <c r="H462" s="9"/>
      <c r="I462" s="9"/>
      <c r="J462" s="5726" t="s">
        <v>14237</v>
      </c>
      <c r="K462" s="9"/>
      <c r="L462" s="3">
        <v>1</v>
      </c>
    </row>
    <row r="463" spans="2:12">
      <c r="B463" s="9"/>
      <c r="C463" s="9"/>
      <c r="D463" s="677"/>
      <c r="E463" s="54"/>
      <c r="F463" s="9"/>
      <c r="G463" s="677"/>
      <c r="H463" s="9"/>
      <c r="I463" s="9"/>
      <c r="J463" s="678"/>
      <c r="K463" s="9"/>
      <c r="L463" s="3">
        <v>1</v>
      </c>
    </row>
    <row r="464" spans="2:12">
      <c r="B464" s="9"/>
      <c r="C464" s="9"/>
      <c r="D464" s="677"/>
      <c r="E464" s="54"/>
      <c r="F464" s="9"/>
      <c r="G464" s="677"/>
      <c r="H464" s="9"/>
      <c r="I464" s="9"/>
      <c r="J464" s="678"/>
      <c r="K464" s="9"/>
      <c r="L464" s="3">
        <v>1</v>
      </c>
    </row>
    <row r="465" spans="1:12">
      <c r="B465" s="9"/>
      <c r="C465" s="9"/>
      <c r="E465" s="9"/>
      <c r="F465" s="9"/>
      <c r="H465" s="9"/>
      <c r="I465" s="9"/>
      <c r="K465" s="9"/>
      <c r="L465" s="1148" t="s">
        <v>793</v>
      </c>
    </row>
    <row r="466" spans="1:12">
      <c r="A466" s="3">
        <v>1</v>
      </c>
      <c r="B466" s="3">
        <v>1</v>
      </c>
      <c r="C466" s="3">
        <v>1</v>
      </c>
      <c r="D466" s="3">
        <v>1</v>
      </c>
      <c r="E466" s="3">
        <v>1</v>
      </c>
      <c r="F466" s="3">
        <v>1</v>
      </c>
      <c r="G466" s="3">
        <v>1</v>
      </c>
      <c r="H466" s="3">
        <v>1</v>
      </c>
      <c r="I466" s="3">
        <v>1</v>
      </c>
      <c r="J466" s="3">
        <v>1</v>
      </c>
      <c r="K466" s="3">
        <v>1</v>
      </c>
      <c r="L466" s="1" t="str">
        <f>ADDRESS(ROW(),COLUMN(),4)</f>
        <v>L466</v>
      </c>
    </row>
  </sheetData>
  <mergeCells count="1">
    <mergeCell ref="K1:K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A437E-E59A-477D-A71D-1D1A3D9F1AA3}">
  <dimension ref="A1:AS294"/>
  <sheetViews>
    <sheetView zoomScale="75" zoomScaleNormal="75" workbookViewId="0">
      <selection activeCell="V18" sqref="V18"/>
    </sheetView>
  </sheetViews>
  <sheetFormatPr baseColWidth="10" defaultColWidth="11.42578125" defaultRowHeight="15"/>
  <cols>
    <col min="1" max="1" width="11.42578125" style="926"/>
    <col min="2" max="2" width="18.7109375" style="926" customWidth="1"/>
    <col min="3" max="3" width="19.5703125" style="926" customWidth="1"/>
    <col min="4" max="4" width="16" style="926" customWidth="1"/>
    <col min="5" max="5" width="11.42578125" style="926"/>
    <col min="6" max="6" width="17" style="926" customWidth="1"/>
    <col min="7" max="7" width="12" style="926" bestFit="1" customWidth="1"/>
    <col min="8" max="8" width="21.7109375" style="926" customWidth="1"/>
    <col min="9" max="9" width="17.42578125" style="926" customWidth="1"/>
    <col min="10" max="12" width="11.42578125" style="926"/>
    <col min="13" max="13" width="18.5703125" style="926" customWidth="1"/>
    <col min="14" max="14" width="11.42578125" style="926"/>
    <col min="15" max="15" width="19.5703125" style="926" customWidth="1"/>
    <col min="16" max="16" width="14.140625" style="926" bestFit="1" customWidth="1"/>
    <col min="17" max="19" width="11.42578125" style="926"/>
    <col min="20" max="21" width="11.7109375" style="926" bestFit="1" customWidth="1"/>
    <col min="22" max="22" width="18.140625" style="926" customWidth="1"/>
    <col min="23" max="25" width="16" style="926" customWidth="1"/>
    <col min="26" max="26" width="14.28515625" style="926" customWidth="1"/>
    <col min="27" max="27" width="15.28515625" style="926" customWidth="1"/>
    <col min="28" max="28" width="16" style="926" customWidth="1"/>
    <col min="29" max="29" width="14.140625" style="926" customWidth="1"/>
    <col min="30" max="37" width="11.42578125" style="926"/>
    <col min="38" max="38" width="7.5703125" style="630" customWidth="1"/>
    <col min="39" max="39" width="11.42578125" style="627"/>
    <col min="40" max="40" width="51.140625" style="627" customWidth="1"/>
    <col min="41" max="16384" width="11.42578125" style="926"/>
  </cols>
  <sheetData>
    <row r="1" spans="1:40" ht="30" customHeight="1">
      <c r="A1" s="1" t="str">
        <f>ADDRESS(ROW(),COLUMN(),4)</f>
        <v>A1</v>
      </c>
      <c r="B1" s="921"/>
      <c r="C1" s="921"/>
      <c r="D1" s="921"/>
      <c r="E1" s="921"/>
      <c r="F1" s="921"/>
      <c r="G1" s="921"/>
      <c r="H1" s="921"/>
      <c r="I1" s="921"/>
      <c r="J1" s="921"/>
      <c r="K1" s="921"/>
      <c r="L1" s="921"/>
      <c r="M1" s="921"/>
      <c r="N1" s="921"/>
      <c r="O1" s="921"/>
      <c r="P1" s="922"/>
      <c r="Q1" s="922"/>
      <c r="R1" s="922"/>
      <c r="S1" s="922"/>
      <c r="T1" s="922"/>
      <c r="U1" s="923"/>
      <c r="V1" s="923"/>
      <c r="W1" s="923"/>
      <c r="X1" s="923"/>
      <c r="Y1" s="923"/>
      <c r="Z1" s="923"/>
      <c r="AA1" s="923"/>
      <c r="AB1" s="923"/>
      <c r="AC1" s="923"/>
      <c r="AD1" s="923"/>
      <c r="AE1" s="923"/>
      <c r="AF1" s="923"/>
      <c r="AG1" s="923"/>
      <c r="AH1" s="923"/>
      <c r="AI1" s="923"/>
      <c r="AJ1" s="924"/>
      <c r="AK1" s="924"/>
      <c r="AL1" s="925">
        <v>1</v>
      </c>
      <c r="AM1" s="657" t="str">
        <f>SUBSTITUTE(ADDRESS(1,COLUMN(),4),"1","")</f>
        <v>AM</v>
      </c>
      <c r="AN1" s="658" t="str">
        <f>SUBSTITUTE(ADDRESS(1,COLUMN(),4),"1","")</f>
        <v>AN</v>
      </c>
    </row>
    <row r="2" spans="1:40" ht="30" customHeight="1">
      <c r="A2" s="921"/>
      <c r="B2" s="949" t="s">
        <v>3089</v>
      </c>
      <c r="C2" s="921"/>
      <c r="D2" s="921"/>
      <c r="E2" s="921"/>
      <c r="F2" s="921"/>
      <c r="G2" s="921"/>
      <c r="H2" s="921"/>
      <c r="I2" s="921"/>
      <c r="J2" s="921"/>
      <c r="K2" s="921"/>
      <c r="L2" s="921"/>
      <c r="M2" s="921"/>
      <c r="N2" s="921"/>
      <c r="O2" s="921"/>
      <c r="P2" s="922"/>
      <c r="Q2" s="922"/>
      <c r="R2" s="922"/>
      <c r="S2" s="922"/>
      <c r="T2" s="922"/>
      <c r="U2" s="923"/>
      <c r="V2" s="923"/>
      <c r="W2" s="923"/>
      <c r="X2" s="923"/>
      <c r="Y2" s="923"/>
      <c r="Z2" s="923"/>
      <c r="AA2" s="923"/>
      <c r="AB2" s="923"/>
      <c r="AC2" s="923"/>
      <c r="AD2" s="923"/>
      <c r="AE2" s="923"/>
      <c r="AF2" s="923"/>
      <c r="AG2" s="923"/>
      <c r="AH2" s="923"/>
      <c r="AI2" s="923"/>
      <c r="AJ2" s="924"/>
      <c r="AK2" s="924"/>
      <c r="AL2" s="925">
        <v>1</v>
      </c>
      <c r="AM2" s="928"/>
      <c r="AN2" s="928" t="s">
        <v>846</v>
      </c>
    </row>
    <row r="3" spans="1:40" ht="30" customHeight="1">
      <c r="A3" s="921"/>
      <c r="B3" s="949" t="s">
        <v>3085</v>
      </c>
      <c r="C3" s="921"/>
      <c r="D3" s="921"/>
      <c r="E3" s="921"/>
      <c r="F3" s="921"/>
      <c r="G3" s="921"/>
      <c r="H3" s="921"/>
      <c r="I3" s="921"/>
      <c r="J3" s="921"/>
      <c r="K3" s="921"/>
      <c r="L3" s="921"/>
      <c r="M3" s="921"/>
      <c r="N3" s="921"/>
      <c r="O3" s="921"/>
      <c r="P3" s="922"/>
      <c r="Q3" s="922"/>
      <c r="R3" s="922"/>
      <c r="S3" s="922"/>
      <c r="T3" s="922"/>
      <c r="U3" s="923"/>
      <c r="V3" s="923"/>
      <c r="W3" s="923"/>
      <c r="X3" s="923"/>
      <c r="Y3" s="923"/>
      <c r="Z3" s="923"/>
      <c r="AA3" s="923"/>
      <c r="AB3" s="923"/>
      <c r="AC3" s="923"/>
      <c r="AD3" s="923"/>
      <c r="AE3" s="923"/>
      <c r="AF3" s="923"/>
      <c r="AG3" s="923"/>
      <c r="AH3" s="923"/>
      <c r="AI3" s="923"/>
      <c r="AJ3" s="924"/>
      <c r="AK3" s="924"/>
      <c r="AL3" s="925">
        <v>1</v>
      </c>
      <c r="AM3" s="932">
        <f ca="1">COUNTA(A1:AL294) + COUNTBLANK(A1:AL294)</f>
        <v>11173</v>
      </c>
      <c r="AN3" s="928" t="str">
        <f>"cellules entre"&amp;" " &amp;A1&amp;" et  "&amp;AL294</f>
        <v>cellules entre A1 et  AL294</v>
      </c>
    </row>
    <row r="4" spans="1:40" ht="30" customHeight="1">
      <c r="A4" s="921"/>
      <c r="B4" s="949" t="s">
        <v>3086</v>
      </c>
      <c r="C4" s="921"/>
      <c r="D4" s="921"/>
      <c r="E4" s="921"/>
      <c r="F4" s="921"/>
      <c r="G4" s="921"/>
      <c r="H4" s="921"/>
      <c r="I4" s="921"/>
      <c r="J4" s="921"/>
      <c r="K4" s="921"/>
      <c r="L4" s="921"/>
      <c r="M4" s="921"/>
      <c r="N4" s="921"/>
      <c r="O4" s="921"/>
      <c r="P4" s="922"/>
      <c r="Q4" s="922"/>
      <c r="R4" s="922"/>
      <c r="S4" s="922"/>
      <c r="T4" s="922"/>
      <c r="U4" s="923"/>
      <c r="V4" s="923"/>
      <c r="W4" s="923"/>
      <c r="X4" s="923"/>
      <c r="Y4" s="923"/>
      <c r="Z4" s="923"/>
      <c r="AA4" s="923"/>
      <c r="AB4" s="923"/>
      <c r="AC4" s="923"/>
      <c r="AD4" s="923"/>
      <c r="AE4" s="923"/>
      <c r="AF4" s="923"/>
      <c r="AG4" s="923"/>
      <c r="AH4" s="923"/>
      <c r="AI4" s="923"/>
      <c r="AJ4" s="924"/>
      <c r="AK4" s="924"/>
      <c r="AL4" s="925">
        <v>1</v>
      </c>
      <c r="AM4" s="932">
        <f ca="1">COUNTA(A1:AL294)</f>
        <v>992</v>
      </c>
      <c r="AN4" s="928" t="s">
        <v>847</v>
      </c>
    </row>
    <row r="5" spans="1:40" ht="30" customHeight="1">
      <c r="A5" s="921"/>
      <c r="B5" s="949" t="s">
        <v>3087</v>
      </c>
      <c r="C5" s="921"/>
      <c r="D5" s="921"/>
      <c r="E5" s="921"/>
      <c r="F5" s="921"/>
      <c r="G5" s="921"/>
      <c r="H5" s="921"/>
      <c r="I5" s="921"/>
      <c r="J5" s="921"/>
      <c r="K5" s="921"/>
      <c r="L5" s="921"/>
      <c r="M5" s="921"/>
      <c r="N5" s="921"/>
      <c r="O5" s="921"/>
      <c r="P5" s="922"/>
      <c r="Q5" s="922"/>
      <c r="R5" s="922"/>
      <c r="S5" s="922"/>
      <c r="T5" s="922"/>
      <c r="U5" s="923"/>
      <c r="V5" s="923"/>
      <c r="W5" s="923"/>
      <c r="X5" s="923"/>
      <c r="Y5" s="923"/>
      <c r="Z5" s="923"/>
      <c r="AA5" s="923"/>
      <c r="AB5" s="923"/>
      <c r="AC5" s="923"/>
      <c r="AD5" s="923"/>
      <c r="AE5" s="923"/>
      <c r="AF5" s="923"/>
      <c r="AG5" s="923"/>
      <c r="AH5" s="923"/>
      <c r="AI5" s="923"/>
      <c r="AJ5" s="924"/>
      <c r="AK5" s="924"/>
      <c r="AL5" s="925">
        <v>1</v>
      </c>
      <c r="AM5" s="932">
        <f ca="1">COUNTBLANK(A1:AL294)</f>
        <v>10181</v>
      </c>
      <c r="AN5" s="928" t="s">
        <v>848</v>
      </c>
    </row>
    <row r="6" spans="1:40" ht="30" customHeight="1">
      <c r="A6" s="921"/>
      <c r="B6" s="949" t="s">
        <v>3088</v>
      </c>
      <c r="C6" s="921"/>
      <c r="D6" s="921"/>
      <c r="E6" s="921"/>
      <c r="F6" s="921"/>
      <c r="G6" s="921"/>
      <c r="H6" s="921"/>
      <c r="I6" s="921"/>
      <c r="J6" s="921"/>
      <c r="K6" s="921"/>
      <c r="L6" s="921"/>
      <c r="M6" s="921"/>
      <c r="N6" s="921"/>
      <c r="O6" s="921"/>
      <c r="P6" s="922"/>
      <c r="Q6" s="922"/>
      <c r="R6" s="922"/>
      <c r="S6" s="922"/>
      <c r="T6" s="922"/>
      <c r="U6" s="923"/>
      <c r="V6" s="923"/>
      <c r="W6" s="923"/>
      <c r="X6" s="923"/>
      <c r="Y6" s="923"/>
      <c r="Z6" s="923"/>
      <c r="AA6" s="923"/>
      <c r="AB6" s="923"/>
      <c r="AC6" s="923"/>
      <c r="AD6" s="923"/>
      <c r="AE6" s="923"/>
      <c r="AF6" s="923"/>
      <c r="AG6" s="923"/>
      <c r="AH6" s="923"/>
      <c r="AI6" s="923"/>
      <c r="AJ6" s="924"/>
      <c r="AK6" s="924"/>
      <c r="AL6" s="925">
        <v>1</v>
      </c>
      <c r="AM6" s="932">
        <f>SUM(AL1:AL292)+2</f>
        <v>294</v>
      </c>
      <c r="AN6" s="928" t="s">
        <v>849</v>
      </c>
    </row>
    <row r="7" spans="1:40" ht="30" customHeight="1">
      <c r="A7" s="921"/>
      <c r="B7" s="949"/>
      <c r="C7" s="921"/>
      <c r="D7" s="921"/>
      <c r="E7" s="921"/>
      <c r="F7" s="921"/>
      <c r="G7" s="921"/>
      <c r="H7" s="921"/>
      <c r="I7" s="921"/>
      <c r="J7" s="921"/>
      <c r="K7" s="921"/>
      <c r="L7" s="921"/>
      <c r="M7" s="921"/>
      <c r="N7" s="921"/>
      <c r="O7" s="921"/>
      <c r="P7" s="922"/>
      <c r="Q7" s="922"/>
      <c r="R7" s="922"/>
      <c r="S7" s="922"/>
      <c r="T7" s="922"/>
      <c r="U7" s="923"/>
      <c r="V7" s="923"/>
      <c r="W7" s="923"/>
      <c r="X7" s="923"/>
      <c r="Y7" s="923"/>
      <c r="Z7" s="923"/>
      <c r="AA7" s="923"/>
      <c r="AB7" s="923"/>
      <c r="AC7" s="923"/>
      <c r="AD7" s="923"/>
      <c r="AE7" s="923"/>
      <c r="AF7" s="923"/>
      <c r="AG7" s="923"/>
      <c r="AH7" s="923"/>
      <c r="AI7" s="923"/>
      <c r="AJ7" s="924"/>
      <c r="AK7" s="924"/>
      <c r="AL7" s="925">
        <v>1</v>
      </c>
      <c r="AM7" s="932"/>
      <c r="AN7" s="928"/>
    </row>
    <row r="8" spans="1:40" ht="30" customHeight="1">
      <c r="A8" s="921"/>
      <c r="B8" s="949" t="s">
        <v>14241</v>
      </c>
      <c r="C8" s="930"/>
      <c r="D8" s="921"/>
      <c r="E8" s="921"/>
      <c r="F8" s="921"/>
      <c r="G8" s="921"/>
      <c r="H8" s="921"/>
      <c r="I8" s="922"/>
      <c r="J8" s="921"/>
      <c r="K8" s="921"/>
      <c r="L8" s="921"/>
      <c r="M8" s="921"/>
      <c r="N8" s="921"/>
      <c r="O8" s="922"/>
      <c r="P8" s="922"/>
      <c r="Q8" s="922"/>
      <c r="R8" s="922"/>
      <c r="S8" s="922"/>
      <c r="T8" s="923"/>
      <c r="U8" s="923"/>
      <c r="V8" s="931"/>
      <c r="W8" s="931"/>
      <c r="X8" s="5614"/>
      <c r="Y8" s="5614"/>
      <c r="Z8" s="5614"/>
      <c r="AA8" s="5614"/>
      <c r="AB8" s="5614"/>
      <c r="AC8" s="5614"/>
      <c r="AD8" s="923"/>
      <c r="AE8" s="923"/>
      <c r="AF8" s="923"/>
      <c r="AG8" s="923"/>
      <c r="AH8" s="923"/>
      <c r="AI8" s="923"/>
      <c r="AJ8" s="924"/>
      <c r="AK8" s="924"/>
      <c r="AL8" s="925">
        <v>1</v>
      </c>
    </row>
    <row r="9" spans="1:40" ht="30" customHeight="1">
      <c r="A9" s="921"/>
      <c r="B9" s="949" t="s">
        <v>14229</v>
      </c>
      <c r="C9" s="930"/>
      <c r="D9" s="921"/>
      <c r="E9" s="921"/>
      <c r="F9" s="921"/>
      <c r="G9" s="921"/>
      <c r="H9" s="921"/>
      <c r="I9" s="922"/>
      <c r="J9" s="921"/>
      <c r="K9" s="921"/>
      <c r="L9" s="921"/>
      <c r="M9" s="921"/>
      <c r="N9" s="921"/>
      <c r="O9" s="922"/>
      <c r="P9" s="922"/>
      <c r="Q9" s="922"/>
      <c r="R9" s="922"/>
      <c r="S9" s="922"/>
      <c r="T9" s="923"/>
      <c r="U9" s="923"/>
      <c r="V9" s="931"/>
      <c r="W9" s="931"/>
      <c r="X9" s="5614"/>
      <c r="Y9" s="934" t="s">
        <v>14256</v>
      </c>
      <c r="Z9" s="5614"/>
      <c r="AA9" s="5614"/>
      <c r="AB9" s="5614"/>
      <c r="AC9" s="5614"/>
      <c r="AD9" s="923"/>
      <c r="AE9" s="923"/>
      <c r="AF9" s="923"/>
      <c r="AG9" s="923"/>
      <c r="AH9" s="923"/>
      <c r="AI9" s="923"/>
      <c r="AJ9" s="924"/>
      <c r="AK9" s="924"/>
      <c r="AL9" s="925">
        <v>1</v>
      </c>
    </row>
    <row r="10" spans="1:40" ht="30" customHeight="1">
      <c r="A10" s="921"/>
      <c r="B10" s="949"/>
      <c r="C10" s="930"/>
      <c r="D10" s="921"/>
      <c r="E10" s="921"/>
      <c r="F10" s="921"/>
      <c r="G10" s="921"/>
      <c r="H10" s="921"/>
      <c r="I10" s="922"/>
      <c r="J10" s="921"/>
      <c r="K10" s="921"/>
      <c r="L10" s="921"/>
      <c r="M10" s="921"/>
      <c r="N10" s="921"/>
      <c r="O10" s="922"/>
      <c r="P10" s="922"/>
      <c r="Q10" s="922"/>
      <c r="R10" s="922"/>
      <c r="S10" s="922"/>
      <c r="T10" s="923"/>
      <c r="U10" s="923"/>
      <c r="V10" s="931"/>
      <c r="W10" s="931"/>
      <c r="X10" s="5614"/>
      <c r="Y10" s="5614"/>
      <c r="Z10" s="5614"/>
      <c r="AA10" s="5614"/>
      <c r="AB10" s="5614"/>
      <c r="AC10" s="5614"/>
      <c r="AD10" s="923"/>
      <c r="AE10" s="923"/>
      <c r="AF10" s="923"/>
      <c r="AG10" s="923"/>
      <c r="AH10" s="923"/>
      <c r="AI10" s="923"/>
      <c r="AJ10" s="924"/>
      <c r="AK10" s="924"/>
      <c r="AL10" s="925">
        <v>1</v>
      </c>
    </row>
    <row r="11" spans="1:40" ht="30" customHeight="1">
      <c r="A11" s="921"/>
      <c r="B11" s="949" t="s">
        <v>14232</v>
      </c>
      <c r="C11" s="930"/>
      <c r="D11" s="921"/>
      <c r="E11" s="921"/>
      <c r="F11" s="921"/>
      <c r="G11" s="921"/>
      <c r="H11" s="921"/>
      <c r="I11" s="922"/>
      <c r="J11" s="921"/>
      <c r="K11" s="921"/>
      <c r="L11" s="921"/>
      <c r="M11" s="921"/>
      <c r="N11" s="921"/>
      <c r="O11" s="922"/>
      <c r="P11" s="922"/>
      <c r="Q11" s="922"/>
      <c r="R11" s="922"/>
      <c r="S11" s="922"/>
      <c r="T11" s="923"/>
      <c r="U11" s="923"/>
      <c r="V11" s="933"/>
      <c r="W11" s="933"/>
      <c r="X11" s="933"/>
      <c r="Y11" s="933" t="str">
        <f ca="1">"Page "&amp;_xlfn.SHEET()&amp;" sur "&amp;_xlfn.SHEETS()</f>
        <v>Page 2 sur 27</v>
      </c>
      <c r="Z11" s="923"/>
      <c r="AA11" s="923"/>
      <c r="AB11" s="923"/>
      <c r="AC11" s="923"/>
      <c r="AD11" s="923"/>
      <c r="AE11" s="923"/>
      <c r="AF11" s="923"/>
      <c r="AG11" s="923"/>
      <c r="AH11" s="923"/>
      <c r="AI11" s="923"/>
      <c r="AJ11" s="924"/>
      <c r="AK11" s="924"/>
      <c r="AL11" s="925">
        <v>1</v>
      </c>
    </row>
    <row r="12" spans="1:40" ht="30" customHeight="1">
      <c r="A12" s="921"/>
      <c r="B12" s="949" t="s">
        <v>14235</v>
      </c>
      <c r="C12" s="930"/>
      <c r="D12" s="921"/>
      <c r="E12" s="921"/>
      <c r="F12" s="921"/>
      <c r="G12" s="921"/>
      <c r="H12" s="921"/>
      <c r="I12" s="922"/>
      <c r="J12" s="921"/>
      <c r="K12" s="921"/>
      <c r="L12" s="921"/>
      <c r="M12" s="921"/>
      <c r="N12" s="921"/>
      <c r="O12" s="922"/>
      <c r="P12" s="922"/>
      <c r="Q12" s="922"/>
      <c r="R12" s="922"/>
      <c r="S12" s="922"/>
      <c r="T12" s="923"/>
      <c r="U12" s="923"/>
      <c r="V12" s="933"/>
      <c r="W12" s="933"/>
      <c r="X12" s="933"/>
      <c r="Y12" s="934"/>
      <c r="Z12" s="923"/>
      <c r="AA12" s="923"/>
      <c r="AB12" s="923"/>
      <c r="AC12" s="923"/>
      <c r="AD12" s="923"/>
      <c r="AE12" s="923"/>
      <c r="AF12" s="923"/>
      <c r="AG12" s="923"/>
      <c r="AH12" s="923"/>
      <c r="AI12" s="923"/>
      <c r="AJ12" s="924"/>
      <c r="AK12" s="924"/>
      <c r="AL12" s="925">
        <v>1</v>
      </c>
    </row>
    <row r="13" spans="1:40" ht="30" customHeight="1">
      <c r="A13" s="921"/>
      <c r="B13" s="929"/>
      <c r="C13" s="921"/>
      <c r="D13" s="921"/>
      <c r="E13" s="921"/>
      <c r="F13" s="921"/>
      <c r="G13" s="921"/>
      <c r="H13" s="921"/>
      <c r="I13" s="921"/>
      <c r="J13" s="921"/>
      <c r="K13" s="921"/>
      <c r="L13" s="921"/>
      <c r="M13" s="921"/>
      <c r="N13" s="921"/>
      <c r="O13" s="921"/>
      <c r="P13" s="922"/>
      <c r="Q13" s="922"/>
      <c r="R13" s="922"/>
      <c r="S13" s="922"/>
      <c r="T13" s="922"/>
      <c r="U13" s="923"/>
      <c r="V13" s="923"/>
      <c r="W13" s="923"/>
      <c r="X13" s="923"/>
      <c r="Y13" s="935" t="s">
        <v>2408</v>
      </c>
      <c r="Z13" s="923"/>
      <c r="AA13" s="923"/>
      <c r="AB13" s="923"/>
      <c r="AC13" s="923"/>
      <c r="AD13" s="923"/>
      <c r="AE13" s="923"/>
      <c r="AF13" s="923"/>
      <c r="AG13" s="923"/>
      <c r="AH13" s="923"/>
      <c r="AI13" s="923"/>
      <c r="AJ13" s="924"/>
      <c r="AK13" s="924"/>
      <c r="AL13" s="925">
        <v>1</v>
      </c>
    </row>
    <row r="14" spans="1:40" ht="30" customHeight="1">
      <c r="A14" s="921"/>
      <c r="B14" s="927" t="s">
        <v>2406</v>
      </c>
      <c r="C14" s="921"/>
      <c r="D14" s="921"/>
      <c r="E14" s="921"/>
      <c r="F14" s="921"/>
      <c r="G14" s="921"/>
      <c r="H14" s="921"/>
      <c r="I14" s="922"/>
      <c r="J14" s="921"/>
      <c r="K14" s="921"/>
      <c r="L14" s="921"/>
      <c r="M14" s="921"/>
      <c r="N14" s="921"/>
      <c r="O14" s="922"/>
      <c r="P14" s="922"/>
      <c r="Q14" s="922"/>
      <c r="R14" s="922"/>
      <c r="S14" s="922"/>
      <c r="T14" s="923"/>
      <c r="U14" s="923"/>
      <c r="V14" s="923"/>
      <c r="W14" s="923"/>
      <c r="X14" s="5988"/>
      <c r="Y14" s="5988"/>
      <c r="Z14" s="5988"/>
      <c r="AA14" s="5988"/>
      <c r="AB14" s="5988"/>
      <c r="AC14" s="5988"/>
      <c r="AD14" s="923"/>
      <c r="AE14" s="923"/>
      <c r="AF14" s="923"/>
      <c r="AG14" s="923"/>
      <c r="AH14" s="923"/>
      <c r="AI14" s="923"/>
      <c r="AJ14" s="924"/>
      <c r="AK14" s="924"/>
      <c r="AL14" s="925">
        <v>1</v>
      </c>
    </row>
    <row r="15" spans="1:40" ht="30" customHeight="1">
      <c r="A15" s="921"/>
      <c r="B15" s="929" t="s">
        <v>2407</v>
      </c>
      <c r="C15" s="930"/>
      <c r="D15" s="921"/>
      <c r="E15" s="921"/>
      <c r="F15" s="921"/>
      <c r="G15" s="921"/>
      <c r="H15" s="921"/>
      <c r="I15" s="922"/>
      <c r="J15" s="921"/>
      <c r="K15" s="921"/>
      <c r="L15" s="921"/>
      <c r="M15" s="921"/>
      <c r="N15" s="921"/>
      <c r="O15" s="922"/>
      <c r="P15" s="922"/>
      <c r="Q15" s="922"/>
      <c r="R15" s="922"/>
      <c r="S15" s="922"/>
      <c r="T15" s="923"/>
      <c r="U15" s="923"/>
      <c r="V15" s="931"/>
      <c r="W15" s="931"/>
      <c r="X15" s="5988"/>
      <c r="Y15" s="5988"/>
      <c r="Z15" s="5988"/>
      <c r="AA15" s="5988"/>
      <c r="AB15" s="5988"/>
      <c r="AC15" s="5988"/>
      <c r="AD15" s="923"/>
      <c r="AE15" s="923"/>
      <c r="AF15" s="923"/>
      <c r="AG15" s="923"/>
      <c r="AH15" s="923"/>
      <c r="AI15" s="923"/>
      <c r="AJ15" s="924"/>
      <c r="AK15" s="924"/>
      <c r="AL15" s="925">
        <v>1</v>
      </c>
    </row>
    <row r="16" spans="1:40" ht="30" customHeight="1">
      <c r="A16" s="921"/>
      <c r="B16" s="929"/>
      <c r="C16" s="930"/>
      <c r="D16" s="921"/>
      <c r="E16" s="921"/>
      <c r="F16" s="921"/>
      <c r="G16" s="921"/>
      <c r="H16" s="921"/>
      <c r="I16" s="922"/>
      <c r="J16" s="921"/>
      <c r="K16" s="921"/>
      <c r="L16" s="921"/>
      <c r="M16" s="921"/>
      <c r="N16" s="921"/>
      <c r="O16" s="922"/>
      <c r="P16" s="922"/>
      <c r="Q16" s="922"/>
      <c r="R16" s="922"/>
      <c r="S16" s="922"/>
      <c r="T16" s="923"/>
      <c r="U16" s="923"/>
      <c r="V16" s="933"/>
      <c r="W16" s="933"/>
      <c r="X16" s="933"/>
      <c r="Y16" s="934"/>
      <c r="Z16" s="923"/>
      <c r="AA16" s="923"/>
      <c r="AB16" s="923"/>
      <c r="AC16" s="923"/>
      <c r="AD16" s="923"/>
      <c r="AE16" s="923"/>
      <c r="AF16" s="923"/>
      <c r="AG16" s="923"/>
      <c r="AH16" s="923"/>
      <c r="AI16" s="923"/>
      <c r="AJ16" s="924"/>
      <c r="AK16" s="924"/>
      <c r="AL16" s="925">
        <v>1</v>
      </c>
    </row>
    <row r="17" spans="1:38" ht="30" customHeight="1">
      <c r="A17" s="921"/>
      <c r="B17" s="929" t="s">
        <v>2754</v>
      </c>
      <c r="C17" s="930"/>
      <c r="D17" s="921"/>
      <c r="E17" s="921"/>
      <c r="F17" s="921"/>
      <c r="G17" s="921"/>
      <c r="H17" s="921"/>
      <c r="I17" s="922"/>
      <c r="J17" s="921"/>
      <c r="K17" s="921"/>
      <c r="L17" s="921"/>
      <c r="M17" s="921"/>
      <c r="N17" s="921"/>
      <c r="O17" s="922"/>
      <c r="P17" s="922"/>
      <c r="Q17" s="922"/>
      <c r="R17" s="922"/>
      <c r="S17" s="922"/>
      <c r="T17" s="923"/>
      <c r="U17" s="923"/>
      <c r="V17" s="933"/>
      <c r="W17" s="933"/>
      <c r="X17" s="933"/>
      <c r="Y17" s="923"/>
      <c r="Z17" s="923"/>
      <c r="AA17" s="923"/>
      <c r="AB17" s="923"/>
      <c r="AC17" s="923"/>
      <c r="AD17" s="923"/>
      <c r="AE17" s="923"/>
      <c r="AF17" s="923"/>
      <c r="AG17" s="923"/>
      <c r="AH17" s="923"/>
      <c r="AI17" s="923"/>
      <c r="AJ17" s="924"/>
      <c r="AK17" s="924"/>
      <c r="AL17" s="925">
        <v>1</v>
      </c>
    </row>
    <row r="18" spans="1:38" ht="30" customHeight="1">
      <c r="A18" s="921"/>
      <c r="B18" s="929" t="s">
        <v>2755</v>
      </c>
      <c r="C18" s="930"/>
      <c r="D18" s="921"/>
      <c r="E18" s="921"/>
      <c r="F18" s="921"/>
      <c r="G18" s="921"/>
      <c r="H18" s="921"/>
      <c r="I18" s="922"/>
      <c r="J18" s="921"/>
      <c r="K18" s="921"/>
      <c r="L18" s="921"/>
      <c r="M18" s="921"/>
      <c r="N18" s="921"/>
      <c r="O18" s="922"/>
      <c r="P18" s="922"/>
      <c r="Q18" s="922"/>
      <c r="R18" s="922"/>
      <c r="S18" s="922"/>
      <c r="T18" s="923"/>
      <c r="U18" s="923"/>
      <c r="V18" s="933"/>
      <c r="W18" s="933"/>
      <c r="X18" s="933"/>
      <c r="Y18" s="934"/>
      <c r="Z18" s="923"/>
      <c r="AA18" s="923"/>
      <c r="AB18" s="923"/>
      <c r="AC18" s="923"/>
      <c r="AD18" s="923"/>
      <c r="AE18" s="923"/>
      <c r="AF18" s="923"/>
      <c r="AG18" s="923"/>
      <c r="AH18" s="923"/>
      <c r="AI18" s="923"/>
      <c r="AJ18" s="924"/>
      <c r="AK18" s="924"/>
      <c r="AL18" s="925">
        <v>1</v>
      </c>
    </row>
    <row r="19" spans="1:38" ht="30" customHeight="1">
      <c r="A19" s="921"/>
      <c r="B19" s="929"/>
      <c r="C19" s="930"/>
      <c r="D19" s="921"/>
      <c r="E19" s="921"/>
      <c r="F19" s="921"/>
      <c r="G19" s="921"/>
      <c r="H19" s="921"/>
      <c r="I19" s="922"/>
      <c r="J19" s="921"/>
      <c r="K19" s="921"/>
      <c r="L19" s="921"/>
      <c r="M19" s="921"/>
      <c r="N19" s="921"/>
      <c r="O19" s="922"/>
      <c r="P19" s="922"/>
      <c r="Q19" s="922"/>
      <c r="R19" s="922"/>
      <c r="S19" s="922"/>
      <c r="T19" s="923"/>
      <c r="U19" s="923"/>
      <c r="V19" s="933"/>
      <c r="W19" s="933"/>
      <c r="X19" s="933"/>
      <c r="Y19" s="934"/>
      <c r="Z19" s="923"/>
      <c r="AA19" s="923"/>
      <c r="AB19" s="923"/>
      <c r="AC19" s="923"/>
      <c r="AD19" s="923"/>
      <c r="AE19" s="923"/>
      <c r="AF19" s="923"/>
      <c r="AG19" s="923"/>
      <c r="AH19" s="923"/>
      <c r="AI19" s="923"/>
      <c r="AJ19" s="924"/>
      <c r="AK19" s="924"/>
      <c r="AL19" s="925">
        <v>1</v>
      </c>
    </row>
    <row r="20" spans="1:38" ht="30" customHeight="1">
      <c r="A20" s="921"/>
      <c r="B20" s="929" t="s">
        <v>2756</v>
      </c>
      <c r="C20" s="930"/>
      <c r="D20" s="921"/>
      <c r="E20" s="921"/>
      <c r="F20" s="921"/>
      <c r="G20" s="921"/>
      <c r="H20" s="921"/>
      <c r="I20" s="922"/>
      <c r="J20" s="921"/>
      <c r="K20" s="921"/>
      <c r="L20" s="921"/>
      <c r="M20" s="921"/>
      <c r="N20" s="921"/>
      <c r="O20" s="922"/>
      <c r="P20" s="922"/>
      <c r="Q20" s="922"/>
      <c r="R20" s="922"/>
      <c r="S20" s="922"/>
      <c r="T20" s="923"/>
      <c r="U20" s="923"/>
      <c r="V20" s="933"/>
      <c r="W20" s="933"/>
      <c r="X20" s="933"/>
      <c r="Y20" s="933"/>
      <c r="Z20" s="923"/>
      <c r="AA20" s="923"/>
      <c r="AB20" s="923"/>
      <c r="AC20" s="923"/>
      <c r="AD20" s="923"/>
      <c r="AE20" s="923"/>
      <c r="AF20" s="923"/>
      <c r="AG20" s="923"/>
      <c r="AH20" s="923"/>
      <c r="AI20" s="923"/>
      <c r="AJ20" s="924"/>
      <c r="AK20" s="924"/>
      <c r="AL20" s="925">
        <v>1</v>
      </c>
    </row>
    <row r="21" spans="1:38" ht="30" customHeight="1">
      <c r="A21" s="921"/>
      <c r="B21" s="929" t="s">
        <v>2766</v>
      </c>
      <c r="C21" s="930"/>
      <c r="D21" s="921"/>
      <c r="E21" s="921"/>
      <c r="F21" s="921"/>
      <c r="G21" s="921"/>
      <c r="H21" s="921"/>
      <c r="I21" s="922"/>
      <c r="J21" s="921"/>
      <c r="K21" s="921"/>
      <c r="L21" s="921"/>
      <c r="M21" s="921"/>
      <c r="N21" s="921"/>
      <c r="O21" s="922"/>
      <c r="P21" s="922"/>
      <c r="Q21" s="922"/>
      <c r="R21" s="922"/>
      <c r="S21" s="922"/>
      <c r="T21" s="923"/>
      <c r="U21" s="923"/>
      <c r="V21" s="933"/>
      <c r="W21" s="933"/>
      <c r="X21" s="933"/>
      <c r="Y21" s="923"/>
      <c r="Z21" s="934"/>
      <c r="AA21" s="923"/>
      <c r="AB21" s="923"/>
      <c r="AC21" s="923"/>
      <c r="AD21" s="923"/>
      <c r="AE21" s="923"/>
      <c r="AF21" s="923"/>
      <c r="AG21" s="923"/>
      <c r="AH21" s="923"/>
      <c r="AI21" s="923"/>
      <c r="AJ21" s="924"/>
      <c r="AK21" s="924"/>
      <c r="AL21" s="925">
        <v>1</v>
      </c>
    </row>
    <row r="22" spans="1:38" ht="30" customHeight="1">
      <c r="A22" s="921"/>
      <c r="B22" s="929" t="s">
        <v>2767</v>
      </c>
      <c r="C22" s="930"/>
      <c r="D22" s="921"/>
      <c r="E22" s="921"/>
      <c r="F22" s="921"/>
      <c r="G22" s="921"/>
      <c r="H22" s="921"/>
      <c r="I22" s="922"/>
      <c r="J22" s="921"/>
      <c r="K22" s="921"/>
      <c r="L22" s="921"/>
      <c r="M22" s="921"/>
      <c r="N22" s="921"/>
      <c r="O22" s="922"/>
      <c r="P22" s="922"/>
      <c r="Q22" s="922"/>
      <c r="R22" s="922"/>
      <c r="S22" s="922"/>
      <c r="T22" s="923"/>
      <c r="U22" s="923"/>
      <c r="V22" s="933"/>
      <c r="W22" s="933"/>
      <c r="X22" s="933"/>
      <c r="Y22" s="935"/>
      <c r="Z22" s="934"/>
      <c r="AA22" s="923"/>
      <c r="AB22" s="923"/>
      <c r="AC22" s="923"/>
      <c r="AD22" s="923"/>
      <c r="AE22" s="923"/>
      <c r="AF22" s="923"/>
      <c r="AG22" s="923"/>
      <c r="AH22" s="923"/>
      <c r="AI22" s="923"/>
      <c r="AJ22" s="924"/>
      <c r="AK22" s="924"/>
      <c r="AL22" s="925">
        <v>1</v>
      </c>
    </row>
    <row r="23" spans="1:38" ht="30" customHeight="1">
      <c r="A23" s="921"/>
      <c r="B23" s="929" t="s">
        <v>2768</v>
      </c>
      <c r="C23" s="930"/>
      <c r="D23" s="921"/>
      <c r="E23" s="921"/>
      <c r="F23" s="921"/>
      <c r="G23" s="921"/>
      <c r="H23" s="921"/>
      <c r="I23" s="922"/>
      <c r="J23" s="921"/>
      <c r="K23" s="921"/>
      <c r="L23" s="921"/>
      <c r="M23" s="921"/>
      <c r="N23" s="921"/>
      <c r="O23" s="922"/>
      <c r="P23" s="922"/>
      <c r="Q23" s="922"/>
      <c r="R23" s="922"/>
      <c r="S23" s="922"/>
      <c r="T23" s="923"/>
      <c r="U23" s="923"/>
      <c r="V23" s="933"/>
      <c r="W23" s="933"/>
      <c r="X23" s="933"/>
      <c r="Y23" s="923"/>
      <c r="Z23" s="934"/>
      <c r="AA23" s="923"/>
      <c r="AB23" s="923"/>
      <c r="AC23" s="923"/>
      <c r="AD23" s="923"/>
      <c r="AE23" s="923"/>
      <c r="AF23" s="923"/>
      <c r="AG23" s="923"/>
      <c r="AH23" s="923"/>
      <c r="AI23" s="923"/>
      <c r="AJ23" s="924"/>
      <c r="AK23" s="924"/>
      <c r="AL23" s="925">
        <v>1</v>
      </c>
    </row>
    <row r="24" spans="1:38" ht="30" customHeight="1">
      <c r="A24" s="921"/>
      <c r="B24" s="929"/>
      <c r="C24" s="930"/>
      <c r="D24" s="921"/>
      <c r="E24" s="921"/>
      <c r="F24" s="921"/>
      <c r="G24" s="921"/>
      <c r="H24" s="921"/>
      <c r="I24" s="922"/>
      <c r="J24" s="921"/>
      <c r="K24" s="921"/>
      <c r="L24" s="921"/>
      <c r="M24" s="921"/>
      <c r="N24" s="921"/>
      <c r="O24" s="922"/>
      <c r="P24" s="929"/>
      <c r="Q24" s="922"/>
      <c r="R24" s="922"/>
      <c r="S24" s="922"/>
      <c r="T24" s="923"/>
      <c r="U24" s="923"/>
      <c r="V24" s="933"/>
      <c r="W24" s="933"/>
      <c r="X24" s="933"/>
      <c r="Y24" s="923"/>
      <c r="Z24" s="934"/>
      <c r="AA24" s="923"/>
      <c r="AB24" s="923"/>
      <c r="AC24" s="923"/>
      <c r="AD24" s="923"/>
      <c r="AE24" s="923"/>
      <c r="AF24" s="923"/>
      <c r="AG24" s="923"/>
      <c r="AH24" s="923"/>
      <c r="AI24" s="923"/>
      <c r="AJ24" s="924"/>
      <c r="AK24" s="924"/>
      <c r="AL24" s="925">
        <v>1</v>
      </c>
    </row>
    <row r="25" spans="1:38" ht="30" customHeight="1">
      <c r="A25" s="921"/>
      <c r="B25" s="929" t="s">
        <v>2757</v>
      </c>
      <c r="C25" s="930"/>
      <c r="D25" s="921"/>
      <c r="E25" s="921"/>
      <c r="F25" s="921"/>
      <c r="G25" s="921"/>
      <c r="H25" s="921"/>
      <c r="I25" s="922"/>
      <c r="J25" s="921"/>
      <c r="K25" s="921"/>
      <c r="L25" s="921"/>
      <c r="M25" s="921"/>
      <c r="N25" s="921"/>
      <c r="O25" s="922"/>
      <c r="P25" s="929"/>
      <c r="Q25" s="922"/>
      <c r="R25" s="922"/>
      <c r="S25" s="922"/>
      <c r="T25" s="923"/>
      <c r="U25" s="923"/>
      <c r="V25" s="933"/>
      <c r="W25" s="933"/>
      <c r="X25" s="933"/>
      <c r="Y25" s="923"/>
      <c r="Z25" s="934"/>
      <c r="AA25" s="923"/>
      <c r="AB25" s="923"/>
      <c r="AC25" s="923"/>
      <c r="AD25" s="923"/>
      <c r="AE25" s="923"/>
      <c r="AF25" s="923"/>
      <c r="AG25" s="923"/>
      <c r="AH25" s="923"/>
      <c r="AI25" s="923"/>
      <c r="AJ25" s="924"/>
      <c r="AK25" s="924"/>
      <c r="AL25" s="925">
        <v>1</v>
      </c>
    </row>
    <row r="26" spans="1:38" ht="30" customHeight="1">
      <c r="A26" s="921"/>
      <c r="B26" s="929" t="s">
        <v>2769</v>
      </c>
      <c r="C26" s="930"/>
      <c r="D26" s="921"/>
      <c r="E26" s="921"/>
      <c r="F26" s="921"/>
      <c r="G26" s="921"/>
      <c r="H26" s="921"/>
      <c r="I26" s="922"/>
      <c r="J26" s="921"/>
      <c r="K26" s="921"/>
      <c r="L26" s="921"/>
      <c r="M26" s="921"/>
      <c r="N26" s="921"/>
      <c r="O26" s="922"/>
      <c r="P26" s="929"/>
      <c r="Q26" s="922"/>
      <c r="R26" s="922"/>
      <c r="S26" s="922"/>
      <c r="T26" s="923"/>
      <c r="U26" s="923"/>
      <c r="V26" s="933"/>
      <c r="W26" s="933"/>
      <c r="X26" s="933"/>
      <c r="Y26" s="923"/>
      <c r="Z26" s="934"/>
      <c r="AA26" s="923"/>
      <c r="AB26" s="923"/>
      <c r="AC26" s="923"/>
      <c r="AD26" s="923"/>
      <c r="AE26" s="923"/>
      <c r="AF26" s="923"/>
      <c r="AG26" s="923"/>
      <c r="AH26" s="923"/>
      <c r="AI26" s="923"/>
      <c r="AJ26" s="924"/>
      <c r="AK26" s="924"/>
      <c r="AL26" s="925">
        <v>1</v>
      </c>
    </row>
    <row r="27" spans="1:38" ht="30" customHeight="1">
      <c r="A27" s="921"/>
      <c r="B27" s="929" t="s">
        <v>2776</v>
      </c>
      <c r="C27" s="930"/>
      <c r="D27" s="921"/>
      <c r="E27" s="921"/>
      <c r="F27" s="921"/>
      <c r="G27" s="921"/>
      <c r="H27" s="921"/>
      <c r="I27" s="922"/>
      <c r="J27" s="921"/>
      <c r="K27" s="921"/>
      <c r="L27" s="921"/>
      <c r="M27" s="921"/>
      <c r="N27" s="921"/>
      <c r="O27" s="922"/>
      <c r="P27" s="929"/>
      <c r="Q27" s="922"/>
      <c r="R27" s="922"/>
      <c r="S27" s="922"/>
      <c r="T27" s="923"/>
      <c r="U27" s="923"/>
      <c r="V27" s="933"/>
      <c r="W27" s="933"/>
      <c r="X27" s="933"/>
      <c r="Y27" s="923"/>
      <c r="Z27" s="934"/>
      <c r="AA27" s="923"/>
      <c r="AB27" s="923"/>
      <c r="AC27" s="923"/>
      <c r="AD27" s="923"/>
      <c r="AE27" s="923"/>
      <c r="AF27" s="923"/>
      <c r="AG27" s="923"/>
      <c r="AH27" s="923"/>
      <c r="AI27" s="923"/>
      <c r="AJ27" s="924"/>
      <c r="AK27" s="924"/>
      <c r="AL27" s="925">
        <v>1</v>
      </c>
    </row>
    <row r="28" spans="1:38" s="627" customFormat="1" ht="30" customHeight="1">
      <c r="A28" s="921"/>
      <c r="B28" s="929"/>
      <c r="C28" s="930"/>
      <c r="D28" s="921"/>
      <c r="E28" s="921"/>
      <c r="F28" s="921"/>
      <c r="G28" s="921"/>
      <c r="H28" s="921"/>
      <c r="I28" s="922"/>
      <c r="J28" s="921"/>
      <c r="K28" s="921"/>
      <c r="L28" s="921"/>
      <c r="M28" s="921"/>
      <c r="N28" s="921"/>
      <c r="O28" s="922"/>
      <c r="P28" s="929"/>
      <c r="Q28" s="922"/>
      <c r="R28" s="922"/>
      <c r="S28" s="922"/>
      <c r="T28" s="923"/>
      <c r="U28" s="923"/>
      <c r="V28" s="933"/>
      <c r="W28" s="933"/>
      <c r="X28" s="933"/>
      <c r="Y28" s="923"/>
      <c r="Z28" s="934"/>
      <c r="AA28" s="923"/>
      <c r="AB28" s="923"/>
      <c r="AC28" s="923"/>
      <c r="AD28" s="923"/>
      <c r="AE28" s="923"/>
      <c r="AF28" s="923"/>
      <c r="AG28" s="923"/>
      <c r="AH28" s="923"/>
      <c r="AI28" s="923"/>
      <c r="AJ28" s="924"/>
      <c r="AK28" s="924"/>
      <c r="AL28" s="925">
        <v>1</v>
      </c>
    </row>
    <row r="29" spans="1:38" s="627" customFormat="1" ht="30" customHeight="1">
      <c r="A29" s="921"/>
      <c r="B29" s="929" t="s">
        <v>2758</v>
      </c>
      <c r="C29" s="930"/>
      <c r="D29" s="921"/>
      <c r="E29" s="921"/>
      <c r="F29" s="921"/>
      <c r="G29" s="921"/>
      <c r="H29" s="921"/>
      <c r="I29" s="922"/>
      <c r="J29" s="921"/>
      <c r="K29" s="921"/>
      <c r="L29" s="921"/>
      <c r="M29" s="921"/>
      <c r="N29" s="921"/>
      <c r="O29" s="922"/>
      <c r="P29" s="929"/>
      <c r="Q29" s="922"/>
      <c r="R29" s="922"/>
      <c r="S29" s="922"/>
      <c r="T29" s="923"/>
      <c r="U29" s="923"/>
      <c r="V29" s="933"/>
      <c r="W29" s="933"/>
      <c r="X29" s="933"/>
      <c r="Y29" s="923"/>
      <c r="Z29" s="934"/>
      <c r="AA29" s="923"/>
      <c r="AB29" s="923"/>
      <c r="AC29" s="923"/>
      <c r="AD29" s="923"/>
      <c r="AE29" s="923"/>
      <c r="AF29" s="923"/>
      <c r="AG29" s="923"/>
      <c r="AH29" s="923"/>
      <c r="AI29" s="923"/>
      <c r="AJ29" s="924"/>
      <c r="AK29" s="924"/>
      <c r="AL29" s="925">
        <v>1</v>
      </c>
    </row>
    <row r="30" spans="1:38" s="627" customFormat="1" ht="30" customHeight="1">
      <c r="A30" s="921"/>
      <c r="B30" s="929" t="s">
        <v>2770</v>
      </c>
      <c r="C30" s="930"/>
      <c r="D30" s="921"/>
      <c r="E30" s="921"/>
      <c r="F30" s="921"/>
      <c r="G30" s="921"/>
      <c r="H30" s="921"/>
      <c r="I30" s="922"/>
      <c r="J30" s="921"/>
      <c r="K30" s="921"/>
      <c r="L30" s="921"/>
      <c r="M30" s="921"/>
      <c r="N30" s="921"/>
      <c r="O30" s="922"/>
      <c r="P30" s="929"/>
      <c r="Q30" s="922"/>
      <c r="R30" s="922"/>
      <c r="S30" s="922"/>
      <c r="T30" s="923"/>
      <c r="U30" s="923"/>
      <c r="V30" s="933"/>
      <c r="W30" s="933"/>
      <c r="X30" s="933"/>
      <c r="Y30" s="923"/>
      <c r="Z30" s="934"/>
      <c r="AA30" s="923"/>
      <c r="AB30" s="923"/>
      <c r="AC30" s="923"/>
      <c r="AD30" s="923"/>
      <c r="AE30" s="923"/>
      <c r="AF30" s="923"/>
      <c r="AG30" s="923"/>
      <c r="AH30" s="923"/>
      <c r="AI30" s="923"/>
      <c r="AJ30" s="924"/>
      <c r="AK30" s="924"/>
      <c r="AL30" s="925">
        <v>1</v>
      </c>
    </row>
    <row r="31" spans="1:38" s="627" customFormat="1" ht="30" customHeight="1">
      <c r="A31" s="921"/>
      <c r="B31" s="929" t="s">
        <v>2773</v>
      </c>
      <c r="C31" s="930"/>
      <c r="D31" s="921"/>
      <c r="E31" s="921"/>
      <c r="F31" s="921"/>
      <c r="G31" s="921"/>
      <c r="H31" s="921"/>
      <c r="I31" s="922"/>
      <c r="J31" s="921"/>
      <c r="K31" s="921"/>
      <c r="L31" s="921"/>
      <c r="M31" s="921"/>
      <c r="N31" s="921"/>
      <c r="O31" s="922"/>
      <c r="P31" s="929"/>
      <c r="Q31" s="922"/>
      <c r="R31" s="922"/>
      <c r="S31" s="922"/>
      <c r="T31" s="923"/>
      <c r="U31" s="923"/>
      <c r="V31" s="933"/>
      <c r="W31" s="933"/>
      <c r="X31" s="933"/>
      <c r="Y31" s="923"/>
      <c r="Z31" s="934"/>
      <c r="AA31" s="923"/>
      <c r="AB31" s="923"/>
      <c r="AC31" s="923"/>
      <c r="AD31" s="923"/>
      <c r="AE31" s="923"/>
      <c r="AF31" s="923"/>
      <c r="AG31" s="923"/>
      <c r="AH31" s="923"/>
      <c r="AI31" s="923"/>
      <c r="AJ31" s="924"/>
      <c r="AK31" s="924"/>
      <c r="AL31" s="925">
        <v>1</v>
      </c>
    </row>
    <row r="32" spans="1:38" s="627" customFormat="1" ht="30" customHeight="1">
      <c r="A32" s="921"/>
      <c r="B32" s="929" t="s">
        <v>2777</v>
      </c>
      <c r="C32" s="930"/>
      <c r="D32" s="921"/>
      <c r="E32" s="921"/>
      <c r="F32" s="921"/>
      <c r="G32" s="921"/>
      <c r="H32" s="921"/>
      <c r="I32" s="922"/>
      <c r="J32" s="921"/>
      <c r="K32" s="921"/>
      <c r="L32" s="921"/>
      <c r="M32" s="921"/>
      <c r="N32" s="921"/>
      <c r="O32" s="922"/>
      <c r="P32" s="929"/>
      <c r="Q32" s="922"/>
      <c r="R32" s="922"/>
      <c r="S32" s="922"/>
      <c r="T32" s="923"/>
      <c r="U32" s="923"/>
      <c r="V32" s="933"/>
      <c r="W32" s="933"/>
      <c r="X32" s="933"/>
      <c r="Y32" s="923"/>
      <c r="Z32" s="934"/>
      <c r="AA32" s="923"/>
      <c r="AB32" s="923"/>
      <c r="AC32" s="923"/>
      <c r="AD32" s="923"/>
      <c r="AE32" s="923"/>
      <c r="AF32" s="923"/>
      <c r="AG32" s="923"/>
      <c r="AH32" s="923"/>
      <c r="AI32" s="923"/>
      <c r="AJ32" s="924"/>
      <c r="AK32" s="924"/>
      <c r="AL32" s="925">
        <v>1</v>
      </c>
    </row>
    <row r="33" spans="1:38" s="627" customFormat="1" ht="30" customHeight="1">
      <c r="A33" s="921"/>
      <c r="B33" s="929" t="s">
        <v>2778</v>
      </c>
      <c r="C33" s="930"/>
      <c r="D33" s="921"/>
      <c r="E33" s="921"/>
      <c r="F33" s="921"/>
      <c r="G33" s="921"/>
      <c r="H33" s="921"/>
      <c r="I33" s="922"/>
      <c r="J33" s="921"/>
      <c r="K33" s="921"/>
      <c r="L33" s="921"/>
      <c r="M33" s="921"/>
      <c r="N33" s="921"/>
      <c r="O33" s="922"/>
      <c r="P33" s="929"/>
      <c r="Q33" s="922"/>
      <c r="R33" s="922"/>
      <c r="S33" s="922"/>
      <c r="T33" s="923"/>
      <c r="U33" s="923"/>
      <c r="V33" s="933"/>
      <c r="W33" s="933"/>
      <c r="X33" s="933"/>
      <c r="Y33" s="923"/>
      <c r="Z33" s="934"/>
      <c r="AA33" s="923"/>
      <c r="AB33" s="923"/>
      <c r="AC33" s="923"/>
      <c r="AD33" s="923"/>
      <c r="AE33" s="923"/>
      <c r="AF33" s="923"/>
      <c r="AG33" s="923"/>
      <c r="AH33" s="923"/>
      <c r="AI33" s="923"/>
      <c r="AJ33" s="924"/>
      <c r="AK33" s="924"/>
      <c r="AL33" s="925">
        <v>1</v>
      </c>
    </row>
    <row r="34" spans="1:38" s="627" customFormat="1" ht="30" customHeight="1">
      <c r="A34" s="921"/>
      <c r="B34" s="929" t="s">
        <v>2779</v>
      </c>
      <c r="C34" s="930"/>
      <c r="D34" s="921"/>
      <c r="E34" s="921"/>
      <c r="F34" s="921"/>
      <c r="G34" s="921"/>
      <c r="H34" s="921"/>
      <c r="I34" s="922"/>
      <c r="J34" s="921"/>
      <c r="K34" s="921"/>
      <c r="L34" s="921"/>
      <c r="M34" s="921"/>
      <c r="N34" s="921"/>
      <c r="O34" s="922"/>
      <c r="P34" s="929"/>
      <c r="Q34" s="922"/>
      <c r="R34" s="922"/>
      <c r="S34" s="922"/>
      <c r="T34" s="923"/>
      <c r="U34" s="923"/>
      <c r="V34" s="933"/>
      <c r="W34" s="933"/>
      <c r="X34" s="933"/>
      <c r="Y34" s="923"/>
      <c r="Z34" s="934"/>
      <c r="AA34" s="923"/>
      <c r="AB34" s="923"/>
      <c r="AC34" s="923"/>
      <c r="AD34" s="923"/>
      <c r="AE34" s="923"/>
      <c r="AF34" s="923"/>
      <c r="AG34" s="923"/>
      <c r="AH34" s="923"/>
      <c r="AI34" s="923"/>
      <c r="AJ34" s="924"/>
      <c r="AK34" s="924"/>
      <c r="AL34" s="925">
        <v>1</v>
      </c>
    </row>
    <row r="35" spans="1:38" s="627" customFormat="1" ht="30" customHeight="1">
      <c r="A35" s="921"/>
      <c r="B35" s="929" t="s">
        <v>2780</v>
      </c>
      <c r="C35" s="930"/>
      <c r="D35" s="921"/>
      <c r="E35" s="921"/>
      <c r="F35" s="921"/>
      <c r="G35" s="921"/>
      <c r="H35" s="921"/>
      <c r="I35" s="922"/>
      <c r="J35" s="921"/>
      <c r="K35" s="921"/>
      <c r="L35" s="921"/>
      <c r="M35" s="921"/>
      <c r="N35" s="921"/>
      <c r="O35" s="922"/>
      <c r="P35" s="929"/>
      <c r="Q35" s="922"/>
      <c r="R35" s="922"/>
      <c r="S35" s="922"/>
      <c r="T35" s="923"/>
      <c r="U35" s="923"/>
      <c r="V35" s="933"/>
      <c r="W35" s="933"/>
      <c r="X35" s="933"/>
      <c r="Y35" s="923"/>
      <c r="Z35" s="934"/>
      <c r="AA35" s="923"/>
      <c r="AB35" s="923"/>
      <c r="AC35" s="923"/>
      <c r="AD35" s="923"/>
      <c r="AE35" s="923"/>
      <c r="AF35" s="923"/>
      <c r="AG35" s="923"/>
      <c r="AH35" s="923"/>
      <c r="AI35" s="923"/>
      <c r="AJ35" s="924"/>
      <c r="AK35" s="924"/>
      <c r="AL35" s="925">
        <v>1</v>
      </c>
    </row>
    <row r="36" spans="1:38" s="627" customFormat="1" ht="30" customHeight="1">
      <c r="A36" s="921"/>
      <c r="B36" s="929"/>
      <c r="C36" s="930"/>
      <c r="D36" s="921"/>
      <c r="E36" s="921"/>
      <c r="F36" s="921"/>
      <c r="G36" s="921"/>
      <c r="H36" s="921"/>
      <c r="I36" s="922"/>
      <c r="J36" s="921"/>
      <c r="K36" s="921"/>
      <c r="L36" s="921"/>
      <c r="M36" s="921"/>
      <c r="N36" s="921"/>
      <c r="O36" s="922"/>
      <c r="P36" s="929"/>
      <c r="Q36" s="922"/>
      <c r="R36" s="922"/>
      <c r="S36" s="922"/>
      <c r="T36" s="923"/>
      <c r="U36" s="923"/>
      <c r="V36" s="933"/>
      <c r="W36" s="933"/>
      <c r="X36" s="933"/>
      <c r="Y36" s="923"/>
      <c r="Z36" s="934"/>
      <c r="AA36" s="923"/>
      <c r="AB36" s="923"/>
      <c r="AC36" s="923"/>
      <c r="AD36" s="923"/>
      <c r="AE36" s="923"/>
      <c r="AF36" s="923"/>
      <c r="AG36" s="923"/>
      <c r="AH36" s="923"/>
      <c r="AI36" s="923"/>
      <c r="AJ36" s="924"/>
      <c r="AK36" s="924"/>
      <c r="AL36" s="925">
        <v>1</v>
      </c>
    </row>
    <row r="37" spans="1:38" s="627" customFormat="1" ht="30" customHeight="1">
      <c r="A37" s="921"/>
      <c r="B37" s="929" t="s">
        <v>2759</v>
      </c>
      <c r="C37" s="930"/>
      <c r="D37" s="921"/>
      <c r="E37" s="921"/>
      <c r="F37" s="921"/>
      <c r="G37" s="921"/>
      <c r="H37" s="921"/>
      <c r="I37" s="922"/>
      <c r="J37" s="921"/>
      <c r="K37" s="921"/>
      <c r="L37" s="921"/>
      <c r="M37" s="921"/>
      <c r="N37" s="921"/>
      <c r="O37" s="922"/>
      <c r="P37" s="929"/>
      <c r="Q37" s="922"/>
      <c r="R37" s="922"/>
      <c r="S37" s="922"/>
      <c r="T37" s="923"/>
      <c r="U37" s="923"/>
      <c r="V37" s="933"/>
      <c r="W37" s="933"/>
      <c r="X37" s="933"/>
      <c r="Y37" s="923"/>
      <c r="Z37" s="934"/>
      <c r="AA37" s="923"/>
      <c r="AB37" s="923"/>
      <c r="AC37" s="923"/>
      <c r="AD37" s="923"/>
      <c r="AE37" s="923"/>
      <c r="AF37" s="923"/>
      <c r="AG37" s="923"/>
      <c r="AH37" s="923"/>
      <c r="AI37" s="923"/>
      <c r="AJ37" s="924"/>
      <c r="AK37" s="924"/>
      <c r="AL37" s="925">
        <v>1</v>
      </c>
    </row>
    <row r="38" spans="1:38" s="627" customFormat="1" ht="30" customHeight="1">
      <c r="A38" s="921"/>
      <c r="B38" s="929" t="s">
        <v>2771</v>
      </c>
      <c r="C38" s="930"/>
      <c r="D38" s="921"/>
      <c r="E38" s="921"/>
      <c r="F38" s="921"/>
      <c r="G38" s="921"/>
      <c r="H38" s="921"/>
      <c r="I38" s="922"/>
      <c r="J38" s="921"/>
      <c r="K38" s="921"/>
      <c r="L38" s="921"/>
      <c r="M38" s="921"/>
      <c r="N38" s="921"/>
      <c r="O38" s="922"/>
      <c r="P38" s="929"/>
      <c r="Q38" s="922"/>
      <c r="R38" s="922"/>
      <c r="S38" s="922"/>
      <c r="T38" s="923"/>
      <c r="U38" s="923"/>
      <c r="V38" s="933"/>
      <c r="W38" s="933"/>
      <c r="X38" s="933"/>
      <c r="Y38" s="923"/>
      <c r="Z38" s="934"/>
      <c r="AA38" s="923"/>
      <c r="AB38" s="923"/>
      <c r="AC38" s="923"/>
      <c r="AD38" s="923"/>
      <c r="AE38" s="923"/>
      <c r="AF38" s="923"/>
      <c r="AG38" s="923"/>
      <c r="AH38" s="923"/>
      <c r="AI38" s="923"/>
      <c r="AJ38" s="924"/>
      <c r="AK38" s="924"/>
      <c r="AL38" s="925">
        <v>1</v>
      </c>
    </row>
    <row r="39" spans="1:38" s="627" customFormat="1" ht="30" customHeight="1">
      <c r="A39" s="921"/>
      <c r="B39" s="929"/>
      <c r="C39" s="930"/>
      <c r="D39" s="921"/>
      <c r="E39" s="921"/>
      <c r="F39" s="921"/>
      <c r="G39" s="921"/>
      <c r="H39" s="921"/>
      <c r="I39" s="922"/>
      <c r="J39" s="921"/>
      <c r="K39" s="921"/>
      <c r="L39" s="921"/>
      <c r="M39" s="921"/>
      <c r="N39" s="921"/>
      <c r="O39" s="922"/>
      <c r="P39" s="929"/>
      <c r="Q39" s="922"/>
      <c r="R39" s="922"/>
      <c r="S39" s="922"/>
      <c r="T39" s="923"/>
      <c r="U39" s="923"/>
      <c r="V39" s="933"/>
      <c r="W39" s="933"/>
      <c r="X39" s="933"/>
      <c r="Y39" s="923"/>
      <c r="Z39" s="934"/>
      <c r="AA39" s="923"/>
      <c r="AB39" s="923"/>
      <c r="AC39" s="923"/>
      <c r="AD39" s="923"/>
      <c r="AE39" s="923"/>
      <c r="AF39" s="923"/>
      <c r="AG39" s="923"/>
      <c r="AH39" s="923"/>
      <c r="AI39" s="923"/>
      <c r="AJ39" s="924"/>
      <c r="AK39" s="924"/>
      <c r="AL39" s="925">
        <v>1</v>
      </c>
    </row>
    <row r="40" spans="1:38" s="627" customFormat="1" ht="30" customHeight="1">
      <c r="A40" s="921"/>
      <c r="B40" s="929" t="s">
        <v>2760</v>
      </c>
      <c r="C40" s="930"/>
      <c r="D40" s="921"/>
      <c r="E40" s="921"/>
      <c r="F40" s="921"/>
      <c r="G40" s="921"/>
      <c r="H40" s="921"/>
      <c r="I40" s="922"/>
      <c r="J40" s="921"/>
      <c r="K40" s="921"/>
      <c r="L40" s="921"/>
      <c r="M40" s="921"/>
      <c r="N40" s="921"/>
      <c r="O40" s="922"/>
      <c r="P40" s="929"/>
      <c r="Q40" s="922"/>
      <c r="R40" s="922"/>
      <c r="S40" s="922"/>
      <c r="T40" s="923"/>
      <c r="U40" s="923"/>
      <c r="V40" s="933"/>
      <c r="W40" s="933"/>
      <c r="X40" s="933"/>
      <c r="Y40" s="923"/>
      <c r="Z40" s="934"/>
      <c r="AA40" s="923"/>
      <c r="AB40" s="923"/>
      <c r="AC40" s="923"/>
      <c r="AD40" s="923"/>
      <c r="AE40" s="923"/>
      <c r="AF40" s="923"/>
      <c r="AG40" s="923"/>
      <c r="AH40" s="923"/>
      <c r="AI40" s="923"/>
      <c r="AJ40" s="924"/>
      <c r="AK40" s="924"/>
      <c r="AL40" s="925">
        <v>1</v>
      </c>
    </row>
    <row r="41" spans="1:38" s="627" customFormat="1" ht="30" customHeight="1">
      <c r="A41" s="921"/>
      <c r="B41" s="929" t="s">
        <v>2761</v>
      </c>
      <c r="C41" s="930"/>
      <c r="D41" s="921"/>
      <c r="E41" s="921"/>
      <c r="F41" s="921"/>
      <c r="G41" s="921"/>
      <c r="H41" s="921"/>
      <c r="I41" s="922"/>
      <c r="J41" s="921"/>
      <c r="K41" s="921"/>
      <c r="L41" s="921"/>
      <c r="M41" s="921"/>
      <c r="N41" s="921"/>
      <c r="O41" s="922"/>
      <c r="P41" s="929"/>
      <c r="Q41" s="922"/>
      <c r="R41" s="922"/>
      <c r="S41" s="922"/>
      <c r="T41" s="923"/>
      <c r="U41" s="923"/>
      <c r="V41" s="933"/>
      <c r="W41" s="933"/>
      <c r="X41" s="933"/>
      <c r="Y41" s="923"/>
      <c r="Z41" s="934"/>
      <c r="AA41" s="923"/>
      <c r="AB41" s="923"/>
      <c r="AC41" s="923"/>
      <c r="AD41" s="923"/>
      <c r="AE41" s="923"/>
      <c r="AF41" s="923"/>
      <c r="AG41" s="923"/>
      <c r="AH41" s="923"/>
      <c r="AI41" s="923"/>
      <c r="AJ41" s="924"/>
      <c r="AK41" s="924"/>
      <c r="AL41" s="925">
        <v>1</v>
      </c>
    </row>
    <row r="42" spans="1:38" s="627" customFormat="1" ht="30" customHeight="1">
      <c r="A42" s="921"/>
      <c r="B42" s="929" t="s">
        <v>2762</v>
      </c>
      <c r="C42" s="930"/>
      <c r="D42" s="921"/>
      <c r="E42" s="921"/>
      <c r="F42" s="921"/>
      <c r="G42" s="921"/>
      <c r="H42" s="921"/>
      <c r="I42" s="922"/>
      <c r="J42" s="921"/>
      <c r="K42" s="921"/>
      <c r="L42" s="921"/>
      <c r="M42" s="921"/>
      <c r="N42" s="921"/>
      <c r="O42" s="922"/>
      <c r="P42" s="929"/>
      <c r="Q42" s="922"/>
      <c r="R42" s="922"/>
      <c r="S42" s="922"/>
      <c r="T42" s="923"/>
      <c r="U42" s="923"/>
      <c r="V42" s="933"/>
      <c r="W42" s="933"/>
      <c r="X42" s="933"/>
      <c r="Y42" s="923"/>
      <c r="Z42" s="934"/>
      <c r="AA42" s="923"/>
      <c r="AB42" s="923"/>
      <c r="AC42" s="923"/>
      <c r="AD42" s="923"/>
      <c r="AE42" s="923"/>
      <c r="AF42" s="923"/>
      <c r="AG42" s="923"/>
      <c r="AH42" s="923"/>
      <c r="AI42" s="923"/>
      <c r="AJ42" s="924"/>
      <c r="AK42" s="924"/>
      <c r="AL42" s="925">
        <v>1</v>
      </c>
    </row>
    <row r="43" spans="1:38" s="627" customFormat="1" ht="30" customHeight="1">
      <c r="A43" s="921"/>
      <c r="B43" s="929" t="s">
        <v>2763</v>
      </c>
      <c r="C43" s="930"/>
      <c r="D43" s="921"/>
      <c r="E43" s="921"/>
      <c r="F43" s="921"/>
      <c r="G43" s="921"/>
      <c r="H43" s="921"/>
      <c r="I43" s="922"/>
      <c r="J43" s="921"/>
      <c r="K43" s="921"/>
      <c r="L43" s="921"/>
      <c r="M43" s="921"/>
      <c r="N43" s="921"/>
      <c r="O43" s="922"/>
      <c r="P43" s="929"/>
      <c r="Q43" s="922"/>
      <c r="R43" s="922"/>
      <c r="S43" s="922"/>
      <c r="T43" s="923"/>
      <c r="U43" s="923"/>
      <c r="V43" s="933"/>
      <c r="W43" s="933"/>
      <c r="X43" s="933"/>
      <c r="Y43" s="923"/>
      <c r="Z43" s="934"/>
      <c r="AA43" s="923"/>
      <c r="AB43" s="923"/>
      <c r="AC43" s="923"/>
      <c r="AD43" s="923"/>
      <c r="AE43" s="923"/>
      <c r="AF43" s="923"/>
      <c r="AG43" s="923"/>
      <c r="AH43" s="923"/>
      <c r="AI43" s="923"/>
      <c r="AJ43" s="924"/>
      <c r="AK43" s="924"/>
      <c r="AL43" s="925">
        <v>1</v>
      </c>
    </row>
    <row r="44" spans="1:38" s="627" customFormat="1" ht="30" customHeight="1">
      <c r="A44" s="921"/>
      <c r="B44" s="929"/>
      <c r="C44" s="930"/>
      <c r="D44" s="921"/>
      <c r="E44" s="921"/>
      <c r="F44" s="921"/>
      <c r="G44" s="921"/>
      <c r="H44" s="921"/>
      <c r="I44" s="922"/>
      <c r="J44" s="921"/>
      <c r="K44" s="921"/>
      <c r="L44" s="921"/>
      <c r="M44" s="921"/>
      <c r="N44" s="921"/>
      <c r="O44" s="922"/>
      <c r="P44" s="929"/>
      <c r="Q44" s="922"/>
      <c r="R44" s="922"/>
      <c r="S44" s="922"/>
      <c r="T44" s="923"/>
      <c r="U44" s="923"/>
      <c r="V44" s="933"/>
      <c r="W44" s="933"/>
      <c r="X44" s="933"/>
      <c r="Y44" s="923"/>
      <c r="Z44" s="934"/>
      <c r="AA44" s="923"/>
      <c r="AB44" s="923"/>
      <c r="AC44" s="923"/>
      <c r="AD44" s="923"/>
      <c r="AE44" s="923"/>
      <c r="AF44" s="923"/>
      <c r="AG44" s="923"/>
      <c r="AH44" s="923"/>
      <c r="AI44" s="923"/>
      <c r="AJ44" s="924"/>
      <c r="AK44" s="924"/>
      <c r="AL44" s="925">
        <v>1</v>
      </c>
    </row>
    <row r="45" spans="1:38" s="627" customFormat="1" ht="30" customHeight="1">
      <c r="A45" s="921"/>
      <c r="B45" s="929" t="s">
        <v>2764</v>
      </c>
      <c r="C45" s="930"/>
      <c r="D45" s="921"/>
      <c r="E45" s="921"/>
      <c r="F45" s="921"/>
      <c r="G45" s="921"/>
      <c r="H45" s="921"/>
      <c r="I45" s="922"/>
      <c r="J45" s="921"/>
      <c r="K45" s="921"/>
      <c r="L45" s="921"/>
      <c r="M45" s="921"/>
      <c r="N45" s="921"/>
      <c r="O45" s="922"/>
      <c r="P45" s="929"/>
      <c r="Q45" s="922"/>
      <c r="R45" s="922"/>
      <c r="S45" s="922"/>
      <c r="T45" s="923"/>
      <c r="U45" s="923"/>
      <c r="V45" s="933"/>
      <c r="W45" s="933"/>
      <c r="X45" s="933"/>
      <c r="Y45" s="923"/>
      <c r="Z45" s="934"/>
      <c r="AA45" s="923"/>
      <c r="AB45" s="923"/>
      <c r="AC45" s="923"/>
      <c r="AD45" s="923"/>
      <c r="AE45" s="923"/>
      <c r="AF45" s="923"/>
      <c r="AG45" s="923"/>
      <c r="AH45" s="923"/>
      <c r="AI45" s="923"/>
      <c r="AJ45" s="924"/>
      <c r="AK45" s="924"/>
      <c r="AL45" s="925">
        <v>1</v>
      </c>
    </row>
    <row r="46" spans="1:38" s="627" customFormat="1" ht="30" customHeight="1">
      <c r="A46" s="921"/>
      <c r="B46" s="929" t="s">
        <v>2774</v>
      </c>
      <c r="C46" s="930"/>
      <c r="D46" s="921"/>
      <c r="E46" s="921"/>
      <c r="F46" s="921"/>
      <c r="G46" s="921"/>
      <c r="H46" s="921"/>
      <c r="I46" s="922"/>
      <c r="J46" s="921"/>
      <c r="K46" s="921"/>
      <c r="L46" s="921"/>
      <c r="M46" s="921"/>
      <c r="N46" s="921"/>
      <c r="O46" s="922"/>
      <c r="P46" s="929"/>
      <c r="Q46" s="922"/>
      <c r="R46" s="922"/>
      <c r="S46" s="922"/>
      <c r="T46" s="923"/>
      <c r="U46" s="923"/>
      <c r="V46" s="933"/>
      <c r="W46" s="933"/>
      <c r="X46" s="933"/>
      <c r="Y46" s="923"/>
      <c r="Z46" s="934"/>
      <c r="AA46" s="923"/>
      <c r="AB46" s="923"/>
      <c r="AC46" s="923"/>
      <c r="AD46" s="923"/>
      <c r="AE46" s="923"/>
      <c r="AF46" s="923"/>
      <c r="AG46" s="923"/>
      <c r="AH46" s="923"/>
      <c r="AI46" s="923"/>
      <c r="AJ46" s="924"/>
      <c r="AK46" s="924"/>
      <c r="AL46" s="925">
        <v>1</v>
      </c>
    </row>
    <row r="47" spans="1:38" s="627" customFormat="1" ht="30" customHeight="1">
      <c r="A47" s="921"/>
      <c r="B47" s="929" t="s">
        <v>2775</v>
      </c>
      <c r="C47" s="930"/>
      <c r="D47" s="921"/>
      <c r="E47" s="921"/>
      <c r="F47" s="921"/>
      <c r="G47" s="921"/>
      <c r="H47" s="921"/>
      <c r="I47" s="922"/>
      <c r="J47" s="921"/>
      <c r="K47" s="921"/>
      <c r="L47" s="921"/>
      <c r="M47" s="921"/>
      <c r="N47" s="921"/>
      <c r="O47" s="922"/>
      <c r="P47" s="929"/>
      <c r="Q47" s="922"/>
      <c r="R47" s="922"/>
      <c r="S47" s="922"/>
      <c r="T47" s="923"/>
      <c r="U47" s="923"/>
      <c r="V47" s="933"/>
      <c r="W47" s="933"/>
      <c r="X47" s="933"/>
      <c r="Y47" s="923"/>
      <c r="Z47" s="934"/>
      <c r="AA47" s="923"/>
      <c r="AB47" s="923"/>
      <c r="AC47" s="923"/>
      <c r="AD47" s="923"/>
      <c r="AE47" s="923"/>
      <c r="AF47" s="923"/>
      <c r="AG47" s="923"/>
      <c r="AH47" s="923"/>
      <c r="AI47" s="923"/>
      <c r="AJ47" s="924"/>
      <c r="AK47" s="924"/>
      <c r="AL47" s="925">
        <v>1</v>
      </c>
    </row>
    <row r="48" spans="1:38" s="627" customFormat="1" ht="30" customHeight="1">
      <c r="A48" s="921"/>
      <c r="B48" s="929" t="s">
        <v>2781</v>
      </c>
      <c r="C48" s="930"/>
      <c r="D48" s="921"/>
      <c r="E48" s="921"/>
      <c r="F48" s="921"/>
      <c r="G48" s="921"/>
      <c r="H48" s="921"/>
      <c r="I48" s="922"/>
      <c r="J48" s="921"/>
      <c r="K48" s="921"/>
      <c r="L48" s="921"/>
      <c r="M48" s="921"/>
      <c r="N48" s="921"/>
      <c r="O48" s="922"/>
      <c r="P48" s="929"/>
      <c r="Q48" s="922"/>
      <c r="R48" s="922"/>
      <c r="S48" s="922"/>
      <c r="T48" s="923"/>
      <c r="U48" s="923"/>
      <c r="V48" s="933"/>
      <c r="W48" s="933"/>
      <c r="X48" s="933"/>
      <c r="Y48" s="923"/>
      <c r="Z48" s="934"/>
      <c r="AA48" s="923"/>
      <c r="AB48" s="923"/>
      <c r="AC48" s="923"/>
      <c r="AD48" s="923"/>
      <c r="AE48" s="923"/>
      <c r="AF48" s="923"/>
      <c r="AG48" s="923"/>
      <c r="AH48" s="923"/>
      <c r="AI48" s="923"/>
      <c r="AJ48" s="924"/>
      <c r="AK48" s="924"/>
      <c r="AL48" s="925">
        <v>1</v>
      </c>
    </row>
    <row r="49" spans="1:38" s="627" customFormat="1" ht="30" customHeight="1">
      <c r="A49" s="921"/>
      <c r="B49" s="929" t="s">
        <v>2782</v>
      </c>
      <c r="C49" s="930"/>
      <c r="D49" s="921"/>
      <c r="E49" s="921"/>
      <c r="F49" s="921"/>
      <c r="G49" s="921"/>
      <c r="H49" s="921"/>
      <c r="I49" s="922"/>
      <c r="J49" s="921"/>
      <c r="K49" s="921"/>
      <c r="L49" s="921"/>
      <c r="M49" s="921"/>
      <c r="N49" s="921"/>
      <c r="O49" s="922"/>
      <c r="P49" s="929"/>
      <c r="Q49" s="922"/>
      <c r="R49" s="922"/>
      <c r="S49" s="922"/>
      <c r="T49" s="923"/>
      <c r="U49" s="923"/>
      <c r="V49" s="933"/>
      <c r="W49" s="933"/>
      <c r="X49" s="933"/>
      <c r="Y49" s="923"/>
      <c r="Z49" s="934"/>
      <c r="AA49" s="923"/>
      <c r="AB49" s="923"/>
      <c r="AC49" s="923"/>
      <c r="AD49" s="923"/>
      <c r="AE49" s="923"/>
      <c r="AF49" s="923"/>
      <c r="AG49" s="923"/>
      <c r="AH49" s="923"/>
      <c r="AI49" s="923"/>
      <c r="AJ49" s="924"/>
      <c r="AK49" s="924"/>
      <c r="AL49" s="925">
        <v>1</v>
      </c>
    </row>
    <row r="50" spans="1:38" s="627" customFormat="1" ht="30" customHeight="1">
      <c r="A50" s="921"/>
      <c r="B50" s="929"/>
      <c r="C50" s="930"/>
      <c r="D50" s="921"/>
      <c r="E50" s="921"/>
      <c r="F50" s="921"/>
      <c r="G50" s="921"/>
      <c r="H50" s="921"/>
      <c r="I50" s="922"/>
      <c r="J50" s="921"/>
      <c r="K50" s="921"/>
      <c r="L50" s="921"/>
      <c r="M50" s="921"/>
      <c r="N50" s="921"/>
      <c r="O50" s="922"/>
      <c r="P50" s="929"/>
      <c r="Q50" s="922"/>
      <c r="R50" s="922"/>
      <c r="S50" s="922"/>
      <c r="T50" s="923"/>
      <c r="U50" s="923"/>
      <c r="V50" s="933"/>
      <c r="W50" s="933"/>
      <c r="X50" s="933"/>
      <c r="Y50" s="923"/>
      <c r="Z50" s="934"/>
      <c r="AA50" s="923"/>
      <c r="AB50" s="923"/>
      <c r="AC50" s="923"/>
      <c r="AD50" s="923"/>
      <c r="AE50" s="923"/>
      <c r="AF50" s="923"/>
      <c r="AG50" s="923"/>
      <c r="AH50" s="923"/>
      <c r="AI50" s="923"/>
      <c r="AJ50" s="924"/>
      <c r="AK50" s="924"/>
      <c r="AL50" s="925">
        <v>1</v>
      </c>
    </row>
    <row r="51" spans="1:38" s="627" customFormat="1" ht="30" customHeight="1">
      <c r="A51" s="921"/>
      <c r="B51" s="938" t="s">
        <v>2409</v>
      </c>
      <c r="C51" s="939"/>
      <c r="D51" s="940"/>
      <c r="E51" s="940"/>
      <c r="F51" s="940"/>
      <c r="G51" s="941" t="s">
        <v>2410</v>
      </c>
      <c r="H51" s="942"/>
      <c r="I51" s="943"/>
      <c r="J51" s="942"/>
      <c r="K51" s="942"/>
      <c r="L51" s="942"/>
      <c r="M51" s="942"/>
      <c r="N51" s="942"/>
      <c r="O51" s="944"/>
      <c r="P51" s="944"/>
      <c r="Q51" s="944"/>
      <c r="R51" s="944"/>
      <c r="S51" s="944"/>
      <c r="T51" s="923"/>
      <c r="U51" s="923"/>
      <c r="V51" s="933"/>
      <c r="W51" s="937"/>
      <c r="X51" s="933"/>
      <c r="Y51" s="923"/>
      <c r="Z51" s="934"/>
      <c r="AA51" s="923"/>
      <c r="AB51" s="923"/>
      <c r="AC51" s="923"/>
      <c r="AD51" s="923"/>
      <c r="AE51" s="923"/>
      <c r="AF51" s="923"/>
      <c r="AG51" s="923"/>
      <c r="AH51" s="923"/>
      <c r="AI51" s="923"/>
      <c r="AJ51" s="924"/>
      <c r="AK51" s="924"/>
      <c r="AL51" s="925">
        <v>1</v>
      </c>
    </row>
    <row r="52" spans="1:38" s="627" customFormat="1" ht="30" customHeight="1">
      <c r="A52" s="921"/>
      <c r="B52" s="929"/>
      <c r="C52" s="930"/>
      <c r="D52" s="921"/>
      <c r="E52" s="921"/>
      <c r="F52" s="921"/>
      <c r="G52" s="921"/>
      <c r="H52" s="921"/>
      <c r="I52" s="922"/>
      <c r="J52" s="921"/>
      <c r="K52" s="921"/>
      <c r="L52" s="921"/>
      <c r="M52" s="921"/>
      <c r="N52" s="921"/>
      <c r="O52" s="922"/>
      <c r="P52" s="929"/>
      <c r="Q52" s="922"/>
      <c r="R52" s="922"/>
      <c r="S52" s="922"/>
      <c r="T52" s="923"/>
      <c r="U52" s="923"/>
      <c r="V52" s="933"/>
      <c r="W52" s="933"/>
      <c r="X52" s="933"/>
      <c r="Y52" s="923"/>
      <c r="Z52" s="934"/>
      <c r="AA52" s="923"/>
      <c r="AB52" s="923"/>
      <c r="AC52" s="923"/>
      <c r="AD52" s="923"/>
      <c r="AE52" s="923"/>
      <c r="AF52" s="923"/>
      <c r="AG52" s="923"/>
      <c r="AH52" s="923"/>
      <c r="AI52" s="923"/>
      <c r="AJ52" s="924"/>
      <c r="AK52" s="924"/>
      <c r="AL52" s="925">
        <v>1</v>
      </c>
    </row>
    <row r="53" spans="1:38" s="627" customFormat="1" ht="30" customHeight="1">
      <c r="A53" s="921"/>
      <c r="B53" s="938" t="s">
        <v>2880</v>
      </c>
      <c r="C53" s="939"/>
      <c r="D53" s="940"/>
      <c r="E53" s="940"/>
      <c r="F53" s="940"/>
      <c r="G53" s="941" t="s">
        <v>2431</v>
      </c>
      <c r="H53" s="942"/>
      <c r="I53" s="943"/>
      <c r="J53" s="942"/>
      <c r="K53" s="942"/>
      <c r="L53" s="942"/>
      <c r="M53" s="942"/>
      <c r="N53" s="942"/>
      <c r="O53" s="944"/>
      <c r="P53" s="944"/>
      <c r="Q53" s="944"/>
      <c r="R53" s="944"/>
      <c r="S53" s="944"/>
      <c r="T53" s="923"/>
      <c r="U53" s="923"/>
      <c r="V53" s="933"/>
      <c r="W53" s="937"/>
      <c r="X53" s="933"/>
      <c r="Y53" s="923"/>
      <c r="Z53" s="934"/>
      <c r="AA53" s="923"/>
      <c r="AB53" s="923"/>
      <c r="AC53" s="923"/>
      <c r="AD53" s="923"/>
      <c r="AE53" s="923"/>
      <c r="AF53" s="923"/>
      <c r="AG53" s="923"/>
      <c r="AH53" s="923"/>
      <c r="AI53" s="923"/>
      <c r="AJ53" s="924"/>
      <c r="AK53" s="924"/>
      <c r="AL53" s="925">
        <v>1</v>
      </c>
    </row>
    <row r="54" spans="1:38" s="627" customFormat="1" ht="30" customHeight="1">
      <c r="A54" s="921"/>
      <c r="B54" s="929" t="s">
        <v>2881</v>
      </c>
      <c r="C54" s="930"/>
      <c r="D54" s="921"/>
      <c r="E54" s="921"/>
      <c r="F54" s="921"/>
      <c r="G54" s="921"/>
      <c r="H54" s="921"/>
      <c r="I54" s="922"/>
      <c r="J54" s="921"/>
      <c r="K54" s="921"/>
      <c r="L54" s="921"/>
      <c r="M54" s="921"/>
      <c r="N54" s="921"/>
      <c r="O54" s="922"/>
      <c r="P54" s="929"/>
      <c r="Q54" s="922"/>
      <c r="R54" s="922"/>
      <c r="S54" s="922"/>
      <c r="T54" s="923"/>
      <c r="U54" s="923"/>
      <c r="V54" s="933"/>
      <c r="W54" s="933"/>
      <c r="X54" s="933"/>
      <c r="Y54" s="923"/>
      <c r="Z54" s="934"/>
      <c r="AA54" s="923"/>
      <c r="AB54" s="923"/>
      <c r="AC54" s="923"/>
      <c r="AD54" s="923"/>
      <c r="AE54" s="923"/>
      <c r="AF54" s="923"/>
      <c r="AG54" s="923"/>
      <c r="AH54" s="923"/>
      <c r="AI54" s="923"/>
      <c r="AJ54" s="924"/>
      <c r="AK54" s="924"/>
      <c r="AL54" s="925">
        <v>1</v>
      </c>
    </row>
    <row r="55" spans="1:38" s="627" customFormat="1" ht="30" customHeight="1">
      <c r="A55" s="921"/>
      <c r="B55" s="929"/>
      <c r="C55" s="930"/>
      <c r="D55" s="921"/>
      <c r="E55" s="921"/>
      <c r="F55" s="921"/>
      <c r="G55" s="921"/>
      <c r="H55" s="921"/>
      <c r="I55" s="922"/>
      <c r="J55" s="921"/>
      <c r="K55" s="921"/>
      <c r="L55" s="921"/>
      <c r="M55" s="921"/>
      <c r="N55" s="921"/>
      <c r="O55" s="922"/>
      <c r="P55" s="929"/>
      <c r="Q55" s="922"/>
      <c r="R55" s="922"/>
      <c r="S55" s="922"/>
      <c r="T55" s="923"/>
      <c r="U55" s="923"/>
      <c r="V55" s="933"/>
      <c r="W55" s="933"/>
      <c r="X55" s="933"/>
      <c r="Y55" s="923"/>
      <c r="Z55" s="934"/>
      <c r="AA55" s="923"/>
      <c r="AB55" s="923"/>
      <c r="AC55" s="923"/>
      <c r="AD55" s="923"/>
      <c r="AE55" s="923"/>
      <c r="AF55" s="923"/>
      <c r="AG55" s="923"/>
      <c r="AH55" s="923"/>
      <c r="AI55" s="923"/>
      <c r="AJ55" s="924"/>
      <c r="AK55" s="924"/>
      <c r="AL55" s="925">
        <v>1</v>
      </c>
    </row>
    <row r="56" spans="1:38" s="627" customFormat="1" ht="30" customHeight="1">
      <c r="A56" s="921"/>
      <c r="B56" s="929" t="s">
        <v>2765</v>
      </c>
      <c r="C56" s="930"/>
      <c r="D56" s="921"/>
      <c r="E56" s="921"/>
      <c r="F56" s="921"/>
      <c r="G56" s="921"/>
      <c r="H56" s="921"/>
      <c r="I56" s="922"/>
      <c r="J56" s="921"/>
      <c r="K56" s="921"/>
      <c r="L56" s="921"/>
      <c r="M56" s="921"/>
      <c r="N56" s="921"/>
      <c r="O56" s="922"/>
      <c r="P56" s="929"/>
      <c r="Q56" s="922"/>
      <c r="R56" s="922"/>
      <c r="S56" s="922"/>
      <c r="T56" s="923"/>
      <c r="U56" s="923"/>
      <c r="V56" s="933"/>
      <c r="W56" s="933"/>
      <c r="X56" s="933"/>
      <c r="Y56" s="923"/>
      <c r="Z56" s="934"/>
      <c r="AA56" s="923"/>
      <c r="AB56" s="923"/>
      <c r="AC56" s="923"/>
      <c r="AD56" s="923"/>
      <c r="AE56" s="923"/>
      <c r="AF56" s="923"/>
      <c r="AG56" s="923"/>
      <c r="AH56" s="923"/>
      <c r="AI56" s="923"/>
      <c r="AJ56" s="924"/>
      <c r="AK56" s="924"/>
      <c r="AL56" s="925">
        <v>1</v>
      </c>
    </row>
    <row r="57" spans="1:38" s="627" customFormat="1" ht="30" customHeight="1">
      <c r="A57" s="921"/>
      <c r="B57" s="929" t="s">
        <v>2772</v>
      </c>
      <c r="C57" s="930"/>
      <c r="D57" s="921"/>
      <c r="E57" s="921"/>
      <c r="F57" s="921"/>
      <c r="G57" s="921"/>
      <c r="H57" s="921"/>
      <c r="I57" s="922"/>
      <c r="J57" s="921"/>
      <c r="K57" s="921"/>
      <c r="L57" s="921"/>
      <c r="M57" s="921"/>
      <c r="N57" s="921"/>
      <c r="O57" s="922"/>
      <c r="P57" s="929"/>
      <c r="Q57" s="922"/>
      <c r="R57" s="922"/>
      <c r="S57" s="922"/>
      <c r="T57" s="923"/>
      <c r="U57" s="923"/>
      <c r="V57" s="933"/>
      <c r="W57" s="933"/>
      <c r="X57" s="933"/>
      <c r="Y57" s="923"/>
      <c r="Z57" s="934"/>
      <c r="AA57" s="923"/>
      <c r="AB57" s="923"/>
      <c r="AC57" s="923"/>
      <c r="AD57" s="923"/>
      <c r="AE57" s="923"/>
      <c r="AF57" s="923"/>
      <c r="AG57" s="923"/>
      <c r="AH57" s="923"/>
      <c r="AI57" s="923"/>
      <c r="AJ57" s="924"/>
      <c r="AK57" s="924"/>
      <c r="AL57" s="925">
        <v>1</v>
      </c>
    </row>
    <row r="58" spans="1:38" s="627" customFormat="1" ht="30" customHeight="1">
      <c r="A58" s="921"/>
      <c r="B58" s="929"/>
      <c r="C58" s="930"/>
      <c r="D58" s="921"/>
      <c r="E58" s="921"/>
      <c r="F58" s="921"/>
      <c r="G58" s="921"/>
      <c r="H58" s="921"/>
      <c r="I58" s="922"/>
      <c r="J58" s="921"/>
      <c r="K58" s="921"/>
      <c r="L58" s="921"/>
      <c r="M58" s="921"/>
      <c r="N58" s="921"/>
      <c r="O58" s="922"/>
      <c r="P58" s="929"/>
      <c r="Q58" s="922"/>
      <c r="R58" s="922"/>
      <c r="S58" s="922"/>
      <c r="T58" s="923"/>
      <c r="U58" s="923"/>
      <c r="V58" s="933"/>
      <c r="W58" s="933"/>
      <c r="X58" s="933"/>
      <c r="Y58" s="923"/>
      <c r="Z58" s="934"/>
      <c r="AA58" s="923"/>
      <c r="AB58" s="923"/>
      <c r="AC58" s="923"/>
      <c r="AD58" s="923"/>
      <c r="AE58" s="923"/>
      <c r="AF58" s="923"/>
      <c r="AG58" s="923"/>
      <c r="AH58" s="923"/>
      <c r="AI58" s="923"/>
      <c r="AJ58" s="924"/>
      <c r="AK58" s="924"/>
      <c r="AL58" s="925">
        <v>1</v>
      </c>
    </row>
    <row r="59" spans="1:38" s="627" customFormat="1" ht="30" customHeight="1">
      <c r="A59" s="921"/>
      <c r="B59" s="929" t="s">
        <v>2842</v>
      </c>
      <c r="C59" s="930"/>
      <c r="D59" s="921"/>
      <c r="E59" s="921"/>
      <c r="F59" s="921"/>
      <c r="G59" s="921"/>
      <c r="H59" s="921"/>
      <c r="I59" s="922"/>
      <c r="J59" s="921"/>
      <c r="K59" s="921"/>
      <c r="L59" s="921"/>
      <c r="M59" s="921"/>
      <c r="N59" s="921"/>
      <c r="O59" s="922"/>
      <c r="P59" s="929"/>
      <c r="Q59" s="922"/>
      <c r="R59" s="922"/>
      <c r="S59" s="922"/>
      <c r="T59" s="923"/>
      <c r="U59" s="923"/>
      <c r="V59" s="933"/>
      <c r="W59" s="933"/>
      <c r="X59" s="933"/>
      <c r="Y59" s="923"/>
      <c r="Z59" s="934"/>
      <c r="AA59" s="923"/>
      <c r="AB59" s="923"/>
      <c r="AC59" s="923"/>
      <c r="AD59" s="923"/>
      <c r="AE59" s="923"/>
      <c r="AF59" s="923"/>
      <c r="AG59" s="923"/>
      <c r="AH59" s="923"/>
      <c r="AI59" s="923"/>
      <c r="AJ59" s="924"/>
      <c r="AK59" s="924"/>
      <c r="AL59" s="925">
        <v>1</v>
      </c>
    </row>
    <row r="60" spans="1:38" s="627" customFormat="1" ht="30" customHeight="1">
      <c r="A60" s="921"/>
      <c r="B60" s="929" t="s">
        <v>2843</v>
      </c>
      <c r="C60" s="930"/>
      <c r="D60" s="921"/>
      <c r="E60" s="921"/>
      <c r="F60" s="921"/>
      <c r="G60" s="921"/>
      <c r="H60" s="921"/>
      <c r="I60" s="922"/>
      <c r="J60" s="921"/>
      <c r="K60" s="921"/>
      <c r="L60" s="921"/>
      <c r="M60" s="921"/>
      <c r="N60" s="921"/>
      <c r="O60" s="922"/>
      <c r="P60" s="929"/>
      <c r="Q60" s="922"/>
      <c r="R60" s="922"/>
      <c r="S60" s="922"/>
      <c r="T60" s="923"/>
      <c r="U60" s="923"/>
      <c r="V60" s="933"/>
      <c r="W60" s="933"/>
      <c r="X60" s="933"/>
      <c r="Y60" s="923"/>
      <c r="Z60" s="934"/>
      <c r="AA60" s="923"/>
      <c r="AB60" s="923"/>
      <c r="AC60" s="923"/>
      <c r="AD60" s="923"/>
      <c r="AE60" s="923"/>
      <c r="AF60" s="923"/>
      <c r="AG60" s="923"/>
      <c r="AH60" s="923"/>
      <c r="AI60" s="923"/>
      <c r="AJ60" s="924"/>
      <c r="AK60" s="924"/>
      <c r="AL60" s="925">
        <v>1</v>
      </c>
    </row>
    <row r="61" spans="1:38" s="627" customFormat="1" ht="30" customHeight="1">
      <c r="A61" s="921"/>
      <c r="B61" s="929" t="s">
        <v>2844</v>
      </c>
      <c r="C61" s="930"/>
      <c r="D61" s="921"/>
      <c r="E61" s="921"/>
      <c r="F61" s="921"/>
      <c r="G61" s="921"/>
      <c r="H61" s="921"/>
      <c r="I61" s="922"/>
      <c r="J61" s="921"/>
      <c r="K61" s="921"/>
      <c r="L61" s="921"/>
      <c r="M61" s="921"/>
      <c r="N61" s="921"/>
      <c r="O61" s="922"/>
      <c r="P61" s="929"/>
      <c r="Q61" s="922"/>
      <c r="R61" s="922"/>
      <c r="S61" s="922"/>
      <c r="T61" s="923"/>
      <c r="U61" s="923"/>
      <c r="V61" s="933"/>
      <c r="W61" s="933"/>
      <c r="X61" s="933"/>
      <c r="Y61" s="923"/>
      <c r="Z61" s="934"/>
      <c r="AA61" s="923"/>
      <c r="AB61" s="923"/>
      <c r="AC61" s="923"/>
      <c r="AD61" s="923"/>
      <c r="AE61" s="923"/>
      <c r="AF61" s="923"/>
      <c r="AG61" s="923"/>
      <c r="AH61" s="923"/>
      <c r="AI61" s="923"/>
      <c r="AJ61" s="924"/>
      <c r="AK61" s="924"/>
      <c r="AL61" s="925">
        <v>1</v>
      </c>
    </row>
    <row r="62" spans="1:38" s="627" customFormat="1" ht="30" customHeight="1">
      <c r="A62" s="921"/>
      <c r="B62" s="945"/>
      <c r="C62" s="1151"/>
      <c r="D62" s="1152" t="s">
        <v>2411</v>
      </c>
      <c r="E62" s="1151"/>
      <c r="F62" s="1151"/>
      <c r="G62" s="1151"/>
      <c r="H62" s="1151"/>
      <c r="I62" s="1151"/>
      <c r="J62" s="1151"/>
      <c r="K62" s="1151"/>
      <c r="L62" s="1151"/>
      <c r="M62" s="1151"/>
      <c r="N62" s="1151"/>
      <c r="O62" s="1153"/>
      <c r="P62" s="946"/>
      <c r="Q62" s="946"/>
      <c r="R62" s="946"/>
      <c r="S62" s="946"/>
      <c r="T62" s="947"/>
      <c r="U62" s="947"/>
      <c r="V62" s="947"/>
      <c r="W62" s="947"/>
      <c r="X62" s="947"/>
      <c r="Y62" s="923"/>
      <c r="Z62" s="934"/>
      <c r="AA62" s="923"/>
      <c r="AB62" s="923"/>
      <c r="AC62" s="923"/>
      <c r="AD62" s="923"/>
      <c r="AE62" s="923"/>
      <c r="AF62" s="923"/>
      <c r="AG62" s="923"/>
      <c r="AH62" s="923"/>
      <c r="AI62" s="923"/>
      <c r="AJ62" s="924"/>
      <c r="AK62" s="924"/>
      <c r="AL62" s="925">
        <v>1</v>
      </c>
    </row>
    <row r="63" spans="1:38" s="627" customFormat="1" ht="30" customHeight="1">
      <c r="A63" s="921"/>
      <c r="B63" s="929"/>
      <c r="C63" s="930"/>
      <c r="D63" s="921"/>
      <c r="E63" s="921"/>
      <c r="F63" s="921"/>
      <c r="G63" s="921"/>
      <c r="H63" s="921"/>
      <c r="I63" s="922"/>
      <c r="J63" s="921"/>
      <c r="K63" s="921"/>
      <c r="L63" s="921"/>
      <c r="M63" s="921"/>
      <c r="N63" s="921"/>
      <c r="O63" s="922"/>
      <c r="P63" s="929"/>
      <c r="Q63" s="922"/>
      <c r="R63" s="922"/>
      <c r="S63" s="922"/>
      <c r="T63" s="923"/>
      <c r="U63" s="923"/>
      <c r="V63" s="933"/>
      <c r="W63" s="933"/>
      <c r="X63" s="933"/>
      <c r="Y63" s="923"/>
      <c r="Z63" s="934"/>
      <c r="AA63" s="923"/>
      <c r="AB63" s="923"/>
      <c r="AC63" s="923"/>
      <c r="AD63" s="923"/>
      <c r="AE63" s="923"/>
      <c r="AF63" s="923"/>
      <c r="AG63" s="923"/>
      <c r="AH63" s="923"/>
      <c r="AI63" s="923"/>
      <c r="AJ63" s="924"/>
      <c r="AK63" s="924"/>
      <c r="AL63" s="925">
        <v>1</v>
      </c>
    </row>
    <row r="64" spans="1:38" s="627" customFormat="1" ht="30" customHeight="1">
      <c r="A64" s="921"/>
      <c r="B64" s="936" t="s">
        <v>2855</v>
      </c>
      <c r="C64" s="930"/>
      <c r="D64" s="921"/>
      <c r="E64" s="921"/>
      <c r="F64" s="921"/>
      <c r="G64" s="921"/>
      <c r="H64" s="921"/>
      <c r="I64" s="922"/>
      <c r="J64" s="921"/>
      <c r="K64" s="921"/>
      <c r="L64" s="921"/>
      <c r="M64" s="921"/>
      <c r="N64" s="921"/>
      <c r="O64" s="922"/>
      <c r="P64" s="929"/>
      <c r="Q64" s="922"/>
      <c r="R64" s="922"/>
      <c r="S64" s="922"/>
      <c r="T64" s="923"/>
      <c r="U64" s="923"/>
      <c r="V64" s="933"/>
      <c r="W64" s="933"/>
      <c r="X64" s="933"/>
      <c r="Y64" s="923"/>
      <c r="Z64" s="934"/>
      <c r="AA64" s="923"/>
      <c r="AB64" s="923"/>
      <c r="AC64" s="923"/>
      <c r="AD64" s="923"/>
      <c r="AE64" s="923"/>
      <c r="AF64" s="923"/>
      <c r="AG64" s="923"/>
      <c r="AH64" s="923"/>
      <c r="AI64" s="923"/>
      <c r="AJ64" s="924"/>
      <c r="AK64" s="924"/>
      <c r="AL64" s="925">
        <v>1</v>
      </c>
    </row>
    <row r="65" spans="1:38" s="627" customFormat="1" ht="30" customHeight="1">
      <c r="A65" s="921"/>
      <c r="B65" s="929"/>
      <c r="C65" s="930"/>
      <c r="D65" s="921"/>
      <c r="E65" s="921"/>
      <c r="F65" s="921"/>
      <c r="G65" s="921"/>
      <c r="H65" s="921"/>
      <c r="I65" s="922"/>
      <c r="J65" s="921"/>
      <c r="K65" s="921"/>
      <c r="L65" s="921"/>
      <c r="M65" s="921"/>
      <c r="N65" s="921"/>
      <c r="O65" s="922"/>
      <c r="P65" s="929"/>
      <c r="Q65" s="922"/>
      <c r="R65" s="922"/>
      <c r="S65" s="922"/>
      <c r="T65" s="923"/>
      <c r="U65" s="923"/>
      <c r="V65" s="933"/>
      <c r="W65" s="933"/>
      <c r="X65" s="933"/>
      <c r="Y65" s="923"/>
      <c r="Z65" s="934"/>
      <c r="AA65" s="923"/>
      <c r="AB65" s="923"/>
      <c r="AC65" s="923"/>
      <c r="AD65" s="923"/>
      <c r="AE65" s="923"/>
      <c r="AF65" s="923"/>
      <c r="AG65" s="923"/>
      <c r="AH65" s="923"/>
      <c r="AI65" s="923"/>
      <c r="AJ65" s="924"/>
      <c r="AK65" s="924"/>
      <c r="AL65" s="925">
        <v>1</v>
      </c>
    </row>
    <row r="66" spans="1:38" s="627" customFormat="1" ht="30" customHeight="1">
      <c r="A66" s="921"/>
      <c r="B66" s="954" t="s">
        <v>2412</v>
      </c>
      <c r="C66" s="955"/>
      <c r="D66" s="921"/>
      <c r="E66" s="921"/>
      <c r="F66" s="921"/>
      <c r="G66" s="921"/>
      <c r="H66" s="921"/>
      <c r="I66" s="922"/>
      <c r="J66" s="921"/>
      <c r="K66" s="921"/>
      <c r="L66" s="921"/>
      <c r="M66" s="921"/>
      <c r="N66" s="921"/>
      <c r="O66" s="922"/>
      <c r="P66" s="929"/>
      <c r="Q66" s="922"/>
      <c r="R66" s="922"/>
      <c r="S66" s="922"/>
      <c r="T66" s="923"/>
      <c r="U66" s="923"/>
      <c r="V66" s="933"/>
      <c r="W66" s="933"/>
      <c r="X66" s="933"/>
      <c r="Y66" s="923"/>
      <c r="Z66" s="934"/>
      <c r="AA66" s="923"/>
      <c r="AB66" s="923"/>
      <c r="AC66" s="923"/>
      <c r="AD66" s="923"/>
      <c r="AE66" s="923"/>
      <c r="AF66" s="923"/>
      <c r="AG66" s="923"/>
      <c r="AH66" s="923"/>
      <c r="AI66" s="923"/>
      <c r="AJ66" s="924"/>
      <c r="AK66" s="924"/>
      <c r="AL66" s="925">
        <v>1</v>
      </c>
    </row>
    <row r="67" spans="1:38" s="627" customFormat="1" ht="30" customHeight="1">
      <c r="A67" s="921"/>
      <c r="B67" s="953"/>
      <c r="C67" s="954" t="s">
        <v>2413</v>
      </c>
      <c r="D67" s="921"/>
      <c r="E67" s="921"/>
      <c r="F67" s="921"/>
      <c r="G67" s="921"/>
      <c r="H67" s="921"/>
      <c r="I67" s="922"/>
      <c r="J67" s="921"/>
      <c r="K67" s="921"/>
      <c r="L67" s="921"/>
      <c r="M67" s="921"/>
      <c r="N67" s="921"/>
      <c r="O67" s="922"/>
      <c r="P67" s="929"/>
      <c r="Q67" s="922"/>
      <c r="R67" s="922"/>
      <c r="S67" s="922"/>
      <c r="T67" s="923"/>
      <c r="U67" s="923"/>
      <c r="V67" s="933"/>
      <c r="W67" s="933"/>
      <c r="X67" s="933"/>
      <c r="Y67" s="923"/>
      <c r="Z67" s="934"/>
      <c r="AA67" s="923"/>
      <c r="AB67" s="923"/>
      <c r="AC67" s="923"/>
      <c r="AD67" s="923"/>
      <c r="AE67" s="923"/>
      <c r="AF67" s="923"/>
      <c r="AG67" s="923"/>
      <c r="AH67" s="923"/>
      <c r="AI67" s="923"/>
      <c r="AJ67" s="924"/>
      <c r="AK67" s="924"/>
      <c r="AL67" s="925">
        <v>1</v>
      </c>
    </row>
    <row r="68" spans="1:38" s="627" customFormat="1" ht="30" customHeight="1">
      <c r="A68" s="921"/>
      <c r="B68" s="953"/>
      <c r="C68" s="954" t="s">
        <v>2414</v>
      </c>
      <c r="D68" s="921"/>
      <c r="E68" s="921"/>
      <c r="F68" s="921"/>
      <c r="G68" s="921"/>
      <c r="H68" s="921"/>
      <c r="I68" s="922"/>
      <c r="J68" s="921"/>
      <c r="K68" s="921"/>
      <c r="L68" s="921"/>
      <c r="M68" s="921"/>
      <c r="N68" s="921"/>
      <c r="O68" s="922"/>
      <c r="P68" s="929"/>
      <c r="Q68" s="922"/>
      <c r="R68" s="922"/>
      <c r="S68" s="922"/>
      <c r="T68" s="923"/>
      <c r="U68" s="923"/>
      <c r="V68" s="933"/>
      <c r="W68" s="933"/>
      <c r="X68" s="933"/>
      <c r="Y68" s="923"/>
      <c r="Z68" s="934"/>
      <c r="AA68" s="923"/>
      <c r="AB68" s="923"/>
      <c r="AC68" s="923"/>
      <c r="AD68" s="923"/>
      <c r="AE68" s="923"/>
      <c r="AF68" s="923"/>
      <c r="AG68" s="923"/>
      <c r="AH68" s="923"/>
      <c r="AI68" s="923"/>
      <c r="AJ68" s="924"/>
      <c r="AK68" s="924"/>
      <c r="AL68" s="925">
        <v>1</v>
      </c>
    </row>
    <row r="69" spans="1:38" s="627" customFormat="1" ht="30" customHeight="1">
      <c r="A69" s="921"/>
      <c r="B69" s="949"/>
      <c r="C69" s="951"/>
      <c r="D69" s="951"/>
      <c r="E69" s="951"/>
      <c r="F69" s="951"/>
      <c r="G69" s="951"/>
      <c r="H69" s="951"/>
      <c r="I69" s="951"/>
      <c r="J69" s="951"/>
      <c r="K69" s="951"/>
      <c r="L69" s="951"/>
      <c r="M69" s="951"/>
      <c r="N69" s="951"/>
      <c r="O69" s="951"/>
      <c r="P69" s="948"/>
      <c r="Q69" s="948"/>
      <c r="R69" s="948"/>
      <c r="S69" s="948"/>
      <c r="T69" s="923"/>
      <c r="U69" s="923"/>
      <c r="V69" s="923"/>
      <c r="W69" s="923"/>
      <c r="X69" s="923"/>
      <c r="Y69" s="933"/>
      <c r="Z69" s="923"/>
      <c r="AA69" s="923"/>
      <c r="AB69" s="923"/>
      <c r="AC69" s="923"/>
      <c r="AD69" s="924"/>
      <c r="AE69" s="924"/>
      <c r="AF69" s="924"/>
      <c r="AG69" s="924"/>
      <c r="AH69" s="924"/>
      <c r="AI69" s="924"/>
      <c r="AJ69" s="924"/>
      <c r="AK69" s="924"/>
      <c r="AL69" s="925">
        <v>1</v>
      </c>
    </row>
    <row r="70" spans="1:38" s="627" customFormat="1" ht="30" customHeight="1">
      <c r="A70" s="921"/>
      <c r="B70" s="949"/>
      <c r="C70" s="929" t="s">
        <v>2415</v>
      </c>
      <c r="D70" s="956"/>
      <c r="E70" s="956"/>
      <c r="F70" s="951"/>
      <c r="G70" s="951"/>
      <c r="H70" s="951"/>
      <c r="I70" s="951"/>
      <c r="J70" s="951"/>
      <c r="K70" s="951"/>
      <c r="L70" s="951"/>
      <c r="M70" s="951"/>
      <c r="N70" s="951"/>
      <c r="O70" s="951"/>
      <c r="P70" s="948"/>
      <c r="Q70" s="948"/>
      <c r="R70" s="948"/>
      <c r="S70" s="948"/>
      <c r="T70" s="923"/>
      <c r="U70" s="952"/>
      <c r="V70" s="952"/>
      <c r="W70" s="923"/>
      <c r="X70" s="923"/>
      <c r="Y70" s="933"/>
      <c r="Z70" s="923"/>
      <c r="AA70" s="923"/>
      <c r="AB70" s="923"/>
      <c r="AC70" s="923"/>
      <c r="AD70" s="924"/>
      <c r="AE70" s="924"/>
      <c r="AF70" s="924"/>
      <c r="AG70" s="924"/>
      <c r="AH70" s="924"/>
      <c r="AI70" s="924"/>
      <c r="AJ70" s="924"/>
      <c r="AK70" s="924"/>
      <c r="AL70" s="925">
        <v>1</v>
      </c>
    </row>
    <row r="71" spans="1:38" s="627" customFormat="1" ht="30" customHeight="1">
      <c r="A71" s="921"/>
      <c r="B71" s="949"/>
      <c r="C71" s="956"/>
      <c r="D71" s="957" t="s">
        <v>2416</v>
      </c>
      <c r="E71" s="956"/>
      <c r="F71" s="951"/>
      <c r="G71" s="951"/>
      <c r="H71" s="951"/>
      <c r="I71" s="951"/>
      <c r="J71" s="951"/>
      <c r="K71" s="951"/>
      <c r="L71" s="951"/>
      <c r="M71" s="951"/>
      <c r="N71" s="951"/>
      <c r="O71" s="951"/>
      <c r="P71" s="948"/>
      <c r="Q71" s="948"/>
      <c r="R71" s="948"/>
      <c r="S71" s="948"/>
      <c r="T71" s="923"/>
      <c r="U71" s="952"/>
      <c r="V71" s="952"/>
      <c r="W71" s="923"/>
      <c r="X71" s="923"/>
      <c r="Y71" s="923"/>
      <c r="Z71" s="923"/>
      <c r="AA71" s="923"/>
      <c r="AB71" s="923"/>
      <c r="AC71" s="923"/>
      <c r="AD71" s="924"/>
      <c r="AE71" s="924"/>
      <c r="AF71" s="924"/>
      <c r="AG71" s="924"/>
      <c r="AH71" s="924"/>
      <c r="AI71" s="924"/>
      <c r="AJ71" s="924"/>
      <c r="AK71" s="924"/>
      <c r="AL71" s="925">
        <v>1</v>
      </c>
    </row>
    <row r="72" spans="1:38" s="627" customFormat="1" ht="30" customHeight="1">
      <c r="A72" s="921"/>
      <c r="B72" s="949"/>
      <c r="C72" s="956"/>
      <c r="D72" s="957" t="s">
        <v>2417</v>
      </c>
      <c r="E72" s="956"/>
      <c r="F72" s="951"/>
      <c r="G72" s="951"/>
      <c r="H72" s="951"/>
      <c r="I72" s="951"/>
      <c r="J72" s="951"/>
      <c r="K72" s="951"/>
      <c r="L72" s="951"/>
      <c r="M72" s="951"/>
      <c r="N72" s="951"/>
      <c r="O72" s="951"/>
      <c r="P72" s="948"/>
      <c r="Q72" s="948"/>
      <c r="R72" s="948"/>
      <c r="S72" s="948"/>
      <c r="T72" s="923"/>
      <c r="U72" s="952"/>
      <c r="V72" s="952"/>
      <c r="W72" s="923"/>
      <c r="X72" s="923"/>
      <c r="Y72" s="923"/>
      <c r="Z72" s="923"/>
      <c r="AA72" s="923"/>
      <c r="AB72" s="923"/>
      <c r="AC72" s="923"/>
      <c r="AD72" s="924"/>
      <c r="AE72" s="924"/>
      <c r="AF72" s="924"/>
      <c r="AG72" s="924"/>
      <c r="AH72" s="924"/>
      <c r="AI72" s="924"/>
      <c r="AJ72" s="924"/>
      <c r="AK72" s="924"/>
      <c r="AL72" s="925">
        <v>1</v>
      </c>
    </row>
    <row r="73" spans="1:38" s="627" customFormat="1" ht="30" customHeight="1">
      <c r="A73" s="921"/>
      <c r="B73" s="949"/>
      <c r="C73" s="956"/>
      <c r="D73" s="957" t="s">
        <v>2418</v>
      </c>
      <c r="E73" s="956"/>
      <c r="F73" s="951"/>
      <c r="G73" s="951"/>
      <c r="H73" s="951"/>
      <c r="I73" s="951"/>
      <c r="J73" s="951"/>
      <c r="K73" s="951"/>
      <c r="L73" s="951"/>
      <c r="M73" s="951"/>
      <c r="N73" s="951"/>
      <c r="O73" s="951"/>
      <c r="P73" s="948"/>
      <c r="Q73" s="948"/>
      <c r="R73" s="948"/>
      <c r="S73" s="948"/>
      <c r="T73" s="923"/>
      <c r="U73" s="952"/>
      <c r="V73" s="952"/>
      <c r="W73" s="923"/>
      <c r="X73" s="923"/>
      <c r="Y73" s="923"/>
      <c r="Z73" s="923"/>
      <c r="AA73" s="923"/>
      <c r="AB73" s="923"/>
      <c r="AC73" s="923"/>
      <c r="AD73" s="924"/>
      <c r="AE73" s="924"/>
      <c r="AF73" s="924"/>
      <c r="AG73" s="924"/>
      <c r="AH73" s="924"/>
      <c r="AI73" s="924"/>
      <c r="AJ73" s="924"/>
      <c r="AK73" s="924"/>
      <c r="AL73" s="925">
        <v>1</v>
      </c>
    </row>
    <row r="74" spans="1:38" s="627" customFormat="1" ht="30" customHeight="1">
      <c r="A74" s="921"/>
      <c r="B74" s="949"/>
      <c r="C74" s="956"/>
      <c r="D74" s="957" t="s">
        <v>2420</v>
      </c>
      <c r="E74" s="956"/>
      <c r="F74" s="951"/>
      <c r="G74" s="951"/>
      <c r="H74" s="951"/>
      <c r="I74" s="951"/>
      <c r="J74" s="951"/>
      <c r="K74" s="951"/>
      <c r="L74" s="951"/>
      <c r="M74" s="951"/>
      <c r="N74" s="951"/>
      <c r="O74" s="951"/>
      <c r="P74" s="948"/>
      <c r="Q74" s="948"/>
      <c r="R74" s="948"/>
      <c r="S74" s="948"/>
      <c r="T74" s="923"/>
      <c r="U74" s="952"/>
      <c r="V74" s="952"/>
      <c r="W74" s="923"/>
      <c r="X74" s="923"/>
      <c r="Y74" s="923"/>
      <c r="Z74" s="923"/>
      <c r="AA74" s="923"/>
      <c r="AB74" s="923"/>
      <c r="AC74" s="923"/>
      <c r="AD74" s="924"/>
      <c r="AE74" s="924"/>
      <c r="AF74" s="924"/>
      <c r="AG74" s="924"/>
      <c r="AH74" s="924"/>
      <c r="AI74" s="924"/>
      <c r="AJ74" s="924"/>
      <c r="AK74" s="924"/>
      <c r="AL74" s="925">
        <v>1</v>
      </c>
    </row>
    <row r="75" spans="1:38" s="627" customFormat="1" ht="30" customHeight="1">
      <c r="A75" s="921"/>
      <c r="B75" s="949"/>
      <c r="C75" s="956"/>
      <c r="D75" s="957" t="s">
        <v>2421</v>
      </c>
      <c r="E75" s="956"/>
      <c r="F75" s="951"/>
      <c r="G75" s="951"/>
      <c r="H75" s="951"/>
      <c r="I75" s="951"/>
      <c r="J75" s="951"/>
      <c r="K75" s="951"/>
      <c r="L75" s="951"/>
      <c r="M75" s="951"/>
      <c r="N75" s="951"/>
      <c r="O75" s="951"/>
      <c r="P75" s="951"/>
      <c r="Q75" s="948"/>
      <c r="R75" s="948"/>
      <c r="S75" s="948"/>
      <c r="T75" s="923"/>
      <c r="U75" s="952"/>
      <c r="V75" s="952"/>
      <c r="W75" s="923"/>
      <c r="X75" s="923"/>
      <c r="Y75" s="923"/>
      <c r="Z75" s="923"/>
      <c r="AA75" s="923"/>
      <c r="AB75" s="923"/>
      <c r="AC75" s="923"/>
      <c r="AD75" s="924"/>
      <c r="AE75" s="924"/>
      <c r="AF75" s="924"/>
      <c r="AG75" s="924"/>
      <c r="AH75" s="924"/>
      <c r="AI75" s="924"/>
      <c r="AJ75" s="924"/>
      <c r="AK75" s="924"/>
      <c r="AL75" s="925">
        <v>1</v>
      </c>
    </row>
    <row r="76" spans="1:38" s="627" customFormat="1" ht="30" customHeight="1" thickBot="1">
      <c r="A76" s="921"/>
      <c r="B76" s="949"/>
      <c r="C76" s="950"/>
      <c r="D76" s="951"/>
      <c r="E76" s="951"/>
      <c r="F76" s="951"/>
      <c r="G76" s="951"/>
      <c r="H76" s="951"/>
      <c r="I76" s="951"/>
      <c r="J76" s="951"/>
      <c r="K76" s="951"/>
      <c r="L76" s="951"/>
      <c r="M76" s="951"/>
      <c r="N76" s="951"/>
      <c r="O76" s="951"/>
      <c r="P76" s="948"/>
      <c r="Q76" s="948"/>
      <c r="R76" s="948"/>
      <c r="S76" s="948"/>
      <c r="T76" s="923"/>
      <c r="U76" s="923"/>
      <c r="V76" s="923"/>
      <c r="W76" s="923"/>
      <c r="X76" s="923"/>
      <c r="Y76" s="933"/>
      <c r="Z76" s="923"/>
      <c r="AA76" s="923"/>
      <c r="AB76" s="923"/>
      <c r="AC76" s="923"/>
      <c r="AD76" s="924"/>
      <c r="AE76" s="924"/>
      <c r="AF76" s="924"/>
      <c r="AG76" s="924"/>
      <c r="AH76" s="924"/>
      <c r="AI76" s="924"/>
      <c r="AJ76" s="924"/>
      <c r="AK76" s="924"/>
      <c r="AL76" s="925">
        <v>1</v>
      </c>
    </row>
    <row r="77" spans="1:38" s="627" customFormat="1" ht="30" customHeight="1">
      <c r="A77" s="921"/>
      <c r="B77" s="921"/>
      <c r="C77" s="950"/>
      <c r="D77" s="715" t="s">
        <v>10</v>
      </c>
      <c r="E77" s="716" t="s">
        <v>1496</v>
      </c>
      <c r="F77" s="717"/>
      <c r="G77" s="717">
        <f>U73</f>
        <v>0</v>
      </c>
      <c r="H77" s="718"/>
      <c r="I77" s="718"/>
      <c r="J77" s="718"/>
      <c r="K77" s="718"/>
      <c r="L77" s="718"/>
      <c r="M77" s="718"/>
      <c r="N77" s="951"/>
      <c r="O77" s="951"/>
      <c r="P77" s="948"/>
      <c r="Q77" s="948"/>
      <c r="R77" s="948"/>
      <c r="S77" s="961" t="s">
        <v>2422</v>
      </c>
      <c r="T77" s="962"/>
      <c r="U77" s="963"/>
      <c r="V77" s="963"/>
      <c r="W77" s="963"/>
      <c r="X77" s="963"/>
      <c r="Y77" s="963"/>
      <c r="Z77" s="963"/>
      <c r="AA77" s="963"/>
      <c r="AB77" s="963"/>
      <c r="AC77" s="963"/>
      <c r="AD77" s="963"/>
      <c r="AE77" s="963"/>
      <c r="AF77" s="963"/>
      <c r="AG77" s="963"/>
      <c r="AH77" s="963"/>
      <c r="AI77" s="964"/>
      <c r="AJ77" s="924"/>
      <c r="AK77" s="924"/>
      <c r="AL77" s="925">
        <v>1</v>
      </c>
    </row>
    <row r="78" spans="1:38" s="627" customFormat="1" ht="30" customHeight="1">
      <c r="A78" s="921"/>
      <c r="B78" s="921"/>
      <c r="C78" s="950"/>
      <c r="D78" s="721" t="s">
        <v>10</v>
      </c>
      <c r="E78" s="6439" t="s">
        <v>1502</v>
      </c>
      <c r="F78" s="6439"/>
      <c r="G78" s="6439"/>
      <c r="H78" s="6439"/>
      <c r="I78" s="6439"/>
      <c r="J78" s="6439"/>
      <c r="K78" s="6439"/>
      <c r="L78" s="6439"/>
      <c r="M78" s="6439"/>
      <c r="N78" s="951"/>
      <c r="O78" s="951"/>
      <c r="P78" s="948"/>
      <c r="Q78" s="948"/>
      <c r="R78" s="948"/>
      <c r="S78" s="965"/>
      <c r="T78" s="966" t="s">
        <v>2423</v>
      </c>
      <c r="U78" s="967"/>
      <c r="V78" s="968"/>
      <c r="W78" s="968"/>
      <c r="X78" s="968"/>
      <c r="Y78" s="968"/>
      <c r="Z78" s="968"/>
      <c r="AA78" s="968"/>
      <c r="AB78" s="968"/>
      <c r="AC78" s="968"/>
      <c r="AD78" s="968"/>
      <c r="AE78" s="968"/>
      <c r="AF78" s="968"/>
      <c r="AG78" s="968"/>
      <c r="AH78" s="968"/>
      <c r="AI78" s="969"/>
      <c r="AJ78" s="924"/>
      <c r="AK78" s="924"/>
      <c r="AL78" s="925">
        <v>1</v>
      </c>
    </row>
    <row r="79" spans="1:38" s="627" customFormat="1" ht="30" customHeight="1">
      <c r="A79" s="921"/>
      <c r="B79" s="921"/>
      <c r="C79" s="950"/>
      <c r="D79" s="721" t="s">
        <v>10</v>
      </c>
      <c r="E79" s="6439"/>
      <c r="F79" s="6439"/>
      <c r="G79" s="6439"/>
      <c r="H79" s="6439"/>
      <c r="I79" s="6439"/>
      <c r="J79" s="6439"/>
      <c r="K79" s="6439"/>
      <c r="L79" s="6439"/>
      <c r="M79" s="6439"/>
      <c r="N79" s="951"/>
      <c r="O79" s="951"/>
      <c r="P79" s="948"/>
      <c r="Q79" s="948"/>
      <c r="R79" s="948"/>
      <c r="S79" s="948"/>
      <c r="T79" s="923"/>
      <c r="U79" s="923"/>
      <c r="V79" s="923"/>
      <c r="W79" s="923"/>
      <c r="X79" s="929"/>
      <c r="Y79" s="929"/>
      <c r="Z79" s="929"/>
      <c r="AA79" s="929"/>
      <c r="AB79" s="929"/>
      <c r="AC79" s="923"/>
      <c r="AD79" s="924"/>
      <c r="AE79" s="924"/>
      <c r="AF79" s="924"/>
      <c r="AG79" s="924"/>
      <c r="AH79" s="924"/>
      <c r="AI79" s="924"/>
      <c r="AJ79" s="924"/>
      <c r="AK79" s="924"/>
      <c r="AL79" s="925">
        <v>1</v>
      </c>
    </row>
    <row r="80" spans="1:38" s="627" customFormat="1" ht="30" customHeight="1">
      <c r="A80" s="921"/>
      <c r="B80" s="921"/>
      <c r="C80" s="950"/>
      <c r="D80" s="721" t="s">
        <v>10</v>
      </c>
      <c r="E80" s="1206" t="s">
        <v>1510</v>
      </c>
      <c r="F80" s="1206"/>
      <c r="G80" s="1207"/>
      <c r="H80" s="1208"/>
      <c r="I80" s="1208"/>
      <c r="J80" s="1209"/>
      <c r="K80" s="1209"/>
      <c r="L80" s="1209"/>
      <c r="M80" s="1209"/>
      <c r="N80" s="951"/>
      <c r="O80" s="951"/>
      <c r="P80" s="948"/>
      <c r="Q80" s="948"/>
      <c r="R80" s="948"/>
      <c r="S80" s="948"/>
      <c r="T80" s="923"/>
      <c r="U80" s="923"/>
      <c r="V80" s="923"/>
      <c r="W80" s="923"/>
      <c r="X80" s="929"/>
      <c r="Y80" s="929"/>
      <c r="Z80" s="929"/>
      <c r="AA80" s="929"/>
      <c r="AB80" s="929"/>
      <c r="AC80" s="923"/>
      <c r="AD80" s="924"/>
      <c r="AE80" s="924"/>
      <c r="AF80" s="924"/>
      <c r="AG80" s="924"/>
      <c r="AH80" s="924"/>
      <c r="AI80" s="924"/>
      <c r="AJ80" s="924"/>
      <c r="AK80" s="924"/>
      <c r="AL80" s="925">
        <v>1</v>
      </c>
    </row>
    <row r="81" spans="1:38" s="627" customFormat="1" ht="30" customHeight="1">
      <c r="A81" s="921"/>
      <c r="B81" s="921"/>
      <c r="C81" s="950"/>
      <c r="D81" s="721" t="s">
        <v>10</v>
      </c>
      <c r="E81" s="1206" t="s">
        <v>1512</v>
      </c>
      <c r="F81" s="1207"/>
      <c r="G81" s="1207"/>
      <c r="H81" s="1208"/>
      <c r="I81" s="1208"/>
      <c r="J81" s="1209"/>
      <c r="K81" s="1209"/>
      <c r="L81" s="1209"/>
      <c r="M81" s="1209"/>
      <c r="N81" s="951"/>
      <c r="O81" s="951"/>
      <c r="P81" s="948"/>
      <c r="Q81" s="948"/>
      <c r="R81" s="948"/>
      <c r="S81" s="948"/>
      <c r="T81" s="923"/>
      <c r="U81" s="923"/>
      <c r="V81" s="923"/>
      <c r="W81" s="923"/>
      <c r="X81" s="929"/>
      <c r="Y81" s="929"/>
      <c r="Z81" s="929"/>
      <c r="AA81" s="929"/>
      <c r="AB81" s="929"/>
      <c r="AC81" s="923"/>
      <c r="AD81" s="924"/>
      <c r="AE81" s="924"/>
      <c r="AF81" s="924"/>
      <c r="AG81" s="924"/>
      <c r="AH81" s="924"/>
      <c r="AI81" s="924"/>
      <c r="AJ81" s="924"/>
      <c r="AK81" s="924"/>
      <c r="AL81" s="925">
        <v>1</v>
      </c>
    </row>
    <row r="82" spans="1:38" s="627" customFormat="1" ht="30" customHeight="1">
      <c r="A82" s="921"/>
      <c r="B82" s="921"/>
      <c r="C82" s="950"/>
      <c r="D82" s="721" t="s">
        <v>10</v>
      </c>
      <c r="E82" s="1211" t="s">
        <v>1523</v>
      </c>
      <c r="F82" s="1207"/>
      <c r="G82" s="1207"/>
      <c r="H82" s="1208"/>
      <c r="I82" s="1208"/>
      <c r="J82" s="1209"/>
      <c r="K82" s="1209"/>
      <c r="L82" s="1209"/>
      <c r="M82" s="1209"/>
      <c r="N82" s="951"/>
      <c r="O82" s="951"/>
      <c r="P82" s="948"/>
      <c r="Q82" s="948"/>
      <c r="R82" s="948"/>
      <c r="S82" s="948"/>
      <c r="T82" s="923"/>
      <c r="U82" s="923"/>
      <c r="V82" s="923"/>
      <c r="W82" s="923"/>
      <c r="X82" s="929"/>
      <c r="Y82" s="929"/>
      <c r="Z82" s="929"/>
      <c r="AA82" s="929"/>
      <c r="AB82" s="923"/>
      <c r="AC82" s="923"/>
      <c r="AD82" s="924"/>
      <c r="AE82" s="924"/>
      <c r="AF82" s="924"/>
      <c r="AG82" s="924"/>
      <c r="AH82" s="924"/>
      <c r="AI82" s="924"/>
      <c r="AJ82" s="924"/>
      <c r="AK82" s="924"/>
      <c r="AL82" s="925">
        <v>1</v>
      </c>
    </row>
    <row r="83" spans="1:38" s="627" customFormat="1" ht="30" customHeight="1">
      <c r="A83" s="921"/>
      <c r="B83" s="921"/>
      <c r="C83" s="950"/>
      <c r="D83" s="721" t="s">
        <v>10</v>
      </c>
      <c r="E83" s="1211" t="s">
        <v>1545</v>
      </c>
      <c r="F83" s="1207"/>
      <c r="G83" s="1207"/>
      <c r="H83" s="1208"/>
      <c r="I83" s="1208"/>
      <c r="J83" s="1209"/>
      <c r="K83" s="1209"/>
      <c r="L83" s="1209"/>
      <c r="M83" s="1209"/>
      <c r="N83" s="951"/>
      <c r="O83" s="951"/>
      <c r="P83" s="948"/>
      <c r="Q83" s="948"/>
      <c r="R83" s="948"/>
      <c r="S83" s="948"/>
      <c r="T83" s="923"/>
      <c r="U83" s="923"/>
      <c r="V83" s="923"/>
      <c r="W83" s="923"/>
      <c r="X83" s="923"/>
      <c r="Y83" s="933"/>
      <c r="Z83" s="923"/>
      <c r="AA83" s="923"/>
      <c r="AB83" s="923"/>
      <c r="AC83" s="923"/>
      <c r="AD83" s="924"/>
      <c r="AE83" s="924"/>
      <c r="AF83" s="924"/>
      <c r="AG83" s="924"/>
      <c r="AH83" s="924"/>
      <c r="AI83" s="924"/>
      <c r="AJ83" s="924"/>
      <c r="AK83" s="924"/>
      <c r="AL83" s="925">
        <v>1</v>
      </c>
    </row>
    <row r="84" spans="1:38" s="627" customFormat="1" ht="30" customHeight="1">
      <c r="A84" s="921"/>
      <c r="B84" s="921"/>
      <c r="C84" s="950"/>
      <c r="D84" s="721" t="s">
        <v>10</v>
      </c>
      <c r="E84" s="1211" t="s">
        <v>1563</v>
      </c>
      <c r="F84" s="1207"/>
      <c r="G84" s="1207"/>
      <c r="H84" s="1208"/>
      <c r="I84" s="1208"/>
      <c r="J84" s="1209"/>
      <c r="K84" s="1209"/>
      <c r="L84" s="1209"/>
      <c r="M84" s="1209"/>
      <c r="N84" s="951"/>
      <c r="O84" s="951"/>
      <c r="P84" s="951"/>
      <c r="Q84" s="951"/>
      <c r="R84" s="951"/>
      <c r="S84" s="948"/>
      <c r="T84" s="923"/>
      <c r="U84" s="923"/>
      <c r="V84" s="923"/>
      <c r="W84" s="923"/>
      <c r="X84" s="923"/>
      <c r="Y84" s="933"/>
      <c r="Z84" s="923"/>
      <c r="AA84" s="923"/>
      <c r="AB84" s="923"/>
      <c r="AC84" s="923"/>
      <c r="AD84" s="924"/>
      <c r="AE84" s="924"/>
      <c r="AF84" s="924"/>
      <c r="AG84" s="924"/>
      <c r="AH84" s="924"/>
      <c r="AI84" s="924"/>
      <c r="AJ84" s="924"/>
      <c r="AK84" s="924"/>
      <c r="AL84" s="925">
        <v>1</v>
      </c>
    </row>
    <row r="85" spans="1:38" s="627" customFormat="1" ht="30" customHeight="1">
      <c r="A85" s="921"/>
      <c r="B85" s="921"/>
      <c r="C85" s="950"/>
      <c r="D85" s="721" t="s">
        <v>10</v>
      </c>
      <c r="E85" s="1213" t="s">
        <v>1580</v>
      </c>
      <c r="F85" s="1212"/>
      <c r="G85" s="1212"/>
      <c r="H85" s="1212"/>
      <c r="I85" s="1212"/>
      <c r="J85" s="1209"/>
      <c r="K85" s="1209"/>
      <c r="L85" s="1209"/>
      <c r="M85" s="1209"/>
      <c r="N85" s="949"/>
      <c r="O85" s="951"/>
      <c r="P85" s="951"/>
      <c r="Q85" s="951"/>
      <c r="R85" s="951"/>
      <c r="S85" s="948"/>
      <c r="T85" s="923"/>
      <c r="U85" s="923"/>
      <c r="V85" s="923"/>
      <c r="W85" s="923"/>
      <c r="X85" s="923"/>
      <c r="Y85" s="933"/>
      <c r="Z85" s="923"/>
      <c r="AA85" s="923"/>
      <c r="AB85" s="923"/>
      <c r="AC85" s="923"/>
      <c r="AD85" s="924"/>
      <c r="AE85" s="924"/>
      <c r="AF85" s="924"/>
      <c r="AG85" s="924"/>
      <c r="AH85" s="924"/>
      <c r="AI85" s="924"/>
      <c r="AJ85" s="924"/>
      <c r="AK85" s="924"/>
      <c r="AL85" s="925">
        <v>1</v>
      </c>
    </row>
    <row r="86" spans="1:38" s="627" customFormat="1" ht="30" customHeight="1">
      <c r="A86" s="921"/>
      <c r="B86" s="921"/>
      <c r="C86" s="950"/>
      <c r="D86" s="721" t="s">
        <v>10</v>
      </c>
      <c r="E86" s="1213" t="s">
        <v>1606</v>
      </c>
      <c r="F86" s="1212"/>
      <c r="G86" s="1212"/>
      <c r="H86" s="1212"/>
      <c r="I86" s="1212"/>
      <c r="J86" s="1209"/>
      <c r="K86" s="1209"/>
      <c r="L86" s="1209"/>
      <c r="M86" s="1209"/>
      <c r="N86" s="949"/>
      <c r="O86" s="951"/>
      <c r="P86" s="951"/>
      <c r="Q86" s="951"/>
      <c r="R86" s="951"/>
      <c r="S86" s="948"/>
      <c r="T86" s="923"/>
      <c r="U86" s="923"/>
      <c r="V86" s="923"/>
      <c r="W86" s="923"/>
      <c r="X86" s="923"/>
      <c r="Y86" s="933"/>
      <c r="Z86" s="923"/>
      <c r="AA86" s="923"/>
      <c r="AB86" s="923"/>
      <c r="AC86" s="923"/>
      <c r="AD86" s="924"/>
      <c r="AE86" s="924"/>
      <c r="AF86" s="924"/>
      <c r="AG86" s="924"/>
      <c r="AH86" s="924"/>
      <c r="AI86" s="924"/>
      <c r="AJ86" s="924"/>
      <c r="AK86" s="924"/>
      <c r="AL86" s="925">
        <v>1</v>
      </c>
    </row>
    <row r="87" spans="1:38" s="627" customFormat="1" ht="30" customHeight="1">
      <c r="A87" s="921"/>
      <c r="B87" s="921"/>
      <c r="C87" s="950"/>
      <c r="D87" s="721" t="s">
        <v>10</v>
      </c>
      <c r="E87" s="1213" t="s">
        <v>1615</v>
      </c>
      <c r="F87" s="1207"/>
      <c r="G87" s="1207"/>
      <c r="H87" s="1208"/>
      <c r="I87" s="1208"/>
      <c r="J87" s="1209"/>
      <c r="K87" s="1209"/>
      <c r="L87" s="1209"/>
      <c r="M87" s="1209"/>
      <c r="N87" s="951"/>
      <c r="O87" s="951"/>
      <c r="P87" s="951"/>
      <c r="Q87" s="951"/>
      <c r="R87" s="951"/>
      <c r="S87" s="948"/>
      <c r="T87" s="923"/>
      <c r="U87" s="923"/>
      <c r="V87" s="923"/>
      <c r="W87" s="923"/>
      <c r="X87" s="923"/>
      <c r="Y87" s="933"/>
      <c r="Z87" s="923"/>
      <c r="AA87" s="923"/>
      <c r="AB87" s="923"/>
      <c r="AC87" s="923"/>
      <c r="AD87" s="924"/>
      <c r="AE87" s="924"/>
      <c r="AF87" s="924"/>
      <c r="AG87" s="924"/>
      <c r="AH87" s="924"/>
      <c r="AI87" s="924"/>
      <c r="AJ87" s="924"/>
      <c r="AK87" s="924"/>
      <c r="AL87" s="925">
        <v>1</v>
      </c>
    </row>
    <row r="88" spans="1:38" s="627" customFormat="1" ht="30" customHeight="1">
      <c r="A88" s="921"/>
      <c r="B88" s="921"/>
      <c r="C88" s="950"/>
      <c r="D88" s="721" t="s">
        <v>10</v>
      </c>
      <c r="E88" s="1210"/>
      <c r="F88" s="1207"/>
      <c r="G88" s="1207"/>
      <c r="H88" s="1208"/>
      <c r="I88" s="1208"/>
      <c r="J88" s="1209"/>
      <c r="K88" s="1209"/>
      <c r="L88" s="1209"/>
      <c r="M88" s="1209"/>
      <c r="N88" s="951"/>
      <c r="O88" s="951"/>
      <c r="P88" s="951"/>
      <c r="Q88" s="951"/>
      <c r="R88" s="951"/>
      <c r="S88" s="948"/>
      <c r="T88" s="923"/>
      <c r="U88" s="923"/>
      <c r="V88" s="923"/>
      <c r="W88" s="923"/>
      <c r="X88" s="923"/>
      <c r="Y88" s="933"/>
      <c r="Z88" s="923"/>
      <c r="AA88" s="923"/>
      <c r="AB88" s="923"/>
      <c r="AC88" s="923"/>
      <c r="AD88" s="924"/>
      <c r="AE88" s="924"/>
      <c r="AF88" s="924"/>
      <c r="AG88" s="924"/>
      <c r="AH88" s="924"/>
      <c r="AI88" s="924"/>
      <c r="AJ88" s="924"/>
      <c r="AK88" s="924"/>
      <c r="AL88" s="925">
        <v>1</v>
      </c>
    </row>
    <row r="89" spans="1:38" s="627" customFormat="1" ht="30" customHeight="1">
      <c r="A89" s="921"/>
      <c r="B89" s="929"/>
      <c r="C89" s="950"/>
      <c r="D89" s="721" t="s">
        <v>10</v>
      </c>
      <c r="E89" s="1212"/>
      <c r="F89" s="1212"/>
      <c r="G89" s="1212"/>
      <c r="H89" s="1212"/>
      <c r="I89" s="1212"/>
      <c r="J89" s="1209"/>
      <c r="K89" s="1209"/>
      <c r="L89" s="1209"/>
      <c r="M89" s="1209"/>
      <c r="N89" s="951"/>
      <c r="O89" s="951"/>
      <c r="P89" s="951"/>
      <c r="Q89" s="951"/>
      <c r="R89" s="951"/>
      <c r="S89" s="948"/>
      <c r="T89" s="923"/>
      <c r="U89" s="923"/>
      <c r="V89" s="923"/>
      <c r="W89" s="923"/>
      <c r="X89" s="923"/>
      <c r="Y89" s="933"/>
      <c r="Z89" s="923"/>
      <c r="AA89" s="923"/>
      <c r="AB89" s="923"/>
      <c r="AC89" s="923"/>
      <c r="AD89" s="924"/>
      <c r="AE89" s="924"/>
      <c r="AF89" s="924"/>
      <c r="AG89" s="924"/>
      <c r="AH89" s="924"/>
      <c r="AI89" s="924"/>
      <c r="AJ89" s="924"/>
      <c r="AK89" s="924"/>
      <c r="AL89" s="925">
        <v>1</v>
      </c>
    </row>
    <row r="90" spans="1:38" s="627" customFormat="1" ht="30" customHeight="1">
      <c r="A90" s="921"/>
      <c r="B90" s="921"/>
      <c r="C90" s="950"/>
      <c r="D90" s="721" t="s">
        <v>10</v>
      </c>
      <c r="E90" s="1212"/>
      <c r="F90" s="1212"/>
      <c r="G90" s="1212"/>
      <c r="H90" s="1212"/>
      <c r="I90" s="1212"/>
      <c r="J90" s="1209"/>
      <c r="K90" s="1209"/>
      <c r="L90" s="1209"/>
      <c r="M90" s="1209"/>
      <c r="N90" s="951"/>
      <c r="O90" s="951"/>
      <c r="P90" s="951"/>
      <c r="Q90" s="951"/>
      <c r="R90" s="951"/>
      <c r="S90" s="948"/>
      <c r="T90" s="923"/>
      <c r="U90" s="923"/>
      <c r="V90" s="951"/>
      <c r="W90" s="951"/>
      <c r="X90" s="923"/>
      <c r="Y90" s="933"/>
      <c r="Z90" s="923"/>
      <c r="AA90" s="951"/>
      <c r="AB90" s="951"/>
      <c r="AC90" s="951"/>
      <c r="AD90" s="924"/>
      <c r="AE90" s="924"/>
      <c r="AF90" s="924"/>
      <c r="AG90" s="924"/>
      <c r="AH90" s="924"/>
      <c r="AI90" s="924"/>
      <c r="AJ90" s="924"/>
      <c r="AK90" s="924"/>
      <c r="AL90" s="925">
        <v>1</v>
      </c>
    </row>
    <row r="91" spans="1:38" s="627" customFormat="1" ht="30" customHeight="1">
      <c r="A91" s="921"/>
      <c r="B91" s="921"/>
      <c r="C91" s="950"/>
      <c r="D91" s="721" t="s">
        <v>10</v>
      </c>
      <c r="E91" s="1212"/>
      <c r="F91" s="1212"/>
      <c r="G91" s="1212"/>
      <c r="H91" s="1212"/>
      <c r="I91" s="1212"/>
      <c r="J91" s="1209"/>
      <c r="K91" s="1209"/>
      <c r="L91" s="1209"/>
      <c r="M91" s="1209"/>
      <c r="N91" s="951"/>
      <c r="O91" s="951"/>
      <c r="P91" s="951"/>
      <c r="Q91" s="951"/>
      <c r="R91" s="951"/>
      <c r="S91" s="948"/>
      <c r="T91" s="923"/>
      <c r="U91" s="923"/>
      <c r="V91" s="951"/>
      <c r="W91" s="951"/>
      <c r="X91" s="923"/>
      <c r="Y91" s="933"/>
      <c r="Z91" s="923"/>
      <c r="AA91" s="951"/>
      <c r="AB91" s="951"/>
      <c r="AC91" s="951"/>
      <c r="AD91" s="924"/>
      <c r="AE91" s="924"/>
      <c r="AF91" s="924"/>
      <c r="AG91" s="924"/>
      <c r="AH91" s="924"/>
      <c r="AI91" s="924"/>
      <c r="AJ91" s="924"/>
      <c r="AK91" s="924"/>
      <c r="AL91" s="925">
        <v>1</v>
      </c>
    </row>
    <row r="92" spans="1:38" s="627" customFormat="1" ht="30" customHeight="1">
      <c r="A92" s="921"/>
      <c r="B92" s="921"/>
      <c r="C92" s="950"/>
      <c r="D92" s="721" t="s">
        <v>10</v>
      </c>
      <c r="E92" s="1213" t="s">
        <v>1626</v>
      </c>
      <c r="F92" s="1207"/>
      <c r="G92" s="1207"/>
      <c r="H92" s="1208"/>
      <c r="I92" s="1208"/>
      <c r="J92" s="1209"/>
      <c r="K92" s="1209"/>
      <c r="L92" s="1209"/>
      <c r="M92" s="1209"/>
      <c r="N92" s="951"/>
      <c r="O92" s="951"/>
      <c r="P92" s="951"/>
      <c r="Q92" s="951"/>
      <c r="R92" s="951"/>
      <c r="S92" s="948"/>
      <c r="T92" s="923"/>
      <c r="U92" s="923"/>
      <c r="V92" s="951"/>
      <c r="W92" s="951"/>
      <c r="X92" s="923"/>
      <c r="Y92" s="933"/>
      <c r="Z92" s="923"/>
      <c r="AA92" s="923"/>
      <c r="AB92" s="923"/>
      <c r="AC92" s="951"/>
      <c r="AD92" s="924"/>
      <c r="AE92" s="924"/>
      <c r="AF92" s="924"/>
      <c r="AG92" s="924"/>
      <c r="AH92" s="924"/>
      <c r="AI92" s="924"/>
      <c r="AJ92" s="924"/>
      <c r="AK92" s="924"/>
      <c r="AL92" s="925">
        <v>1</v>
      </c>
    </row>
    <row r="93" spans="1:38" s="627" customFormat="1" ht="30" customHeight="1">
      <c r="A93" s="921"/>
      <c r="B93" s="921"/>
      <c r="C93" s="950"/>
      <c r="D93" s="721" t="s">
        <v>15</v>
      </c>
      <c r="E93" s="6436" t="s">
        <v>1627</v>
      </c>
      <c r="F93" s="6436"/>
      <c r="G93" s="6436"/>
      <c r="H93" s="6436"/>
      <c r="I93" s="6436"/>
      <c r="J93" s="1209"/>
      <c r="K93" s="1209"/>
      <c r="L93" s="1209"/>
      <c r="M93" s="1209"/>
      <c r="N93" s="951"/>
      <c r="O93" s="951"/>
      <c r="P93" s="951"/>
      <c r="Q93" s="951"/>
      <c r="R93" s="951"/>
      <c r="S93" s="948"/>
      <c r="T93" s="923"/>
      <c r="U93" s="923"/>
      <c r="V93" s="951"/>
      <c r="W93" s="951"/>
      <c r="X93" s="923"/>
      <c r="Y93" s="933"/>
      <c r="Z93" s="923"/>
      <c r="AA93" s="923"/>
      <c r="AB93" s="923"/>
      <c r="AC93" s="951"/>
      <c r="AD93" s="924"/>
      <c r="AE93" s="924"/>
      <c r="AF93" s="924"/>
      <c r="AG93" s="924"/>
      <c r="AH93" s="924"/>
      <c r="AI93" s="924"/>
      <c r="AJ93" s="924"/>
      <c r="AK93" s="924"/>
      <c r="AL93" s="925">
        <v>1</v>
      </c>
    </row>
    <row r="94" spans="1:38" s="627" customFormat="1" ht="30" customHeight="1">
      <c r="A94" s="921"/>
      <c r="B94" s="921"/>
      <c r="C94" s="950"/>
      <c r="D94" s="721" t="s">
        <v>15</v>
      </c>
      <c r="E94" s="6436"/>
      <c r="F94" s="6436"/>
      <c r="G94" s="6436"/>
      <c r="H94" s="6436"/>
      <c r="I94" s="6436"/>
      <c r="J94" s="1209"/>
      <c r="K94" s="1209"/>
      <c r="L94" s="1209"/>
      <c r="M94" s="1209"/>
      <c r="N94" s="951"/>
      <c r="O94" s="951"/>
      <c r="P94" s="951"/>
      <c r="Q94" s="951"/>
      <c r="R94" s="923"/>
      <c r="S94" s="948"/>
      <c r="T94" s="923"/>
      <c r="U94" s="923"/>
      <c r="V94" s="923"/>
      <c r="W94" s="923"/>
      <c r="X94" s="923"/>
      <c r="Y94" s="933"/>
      <c r="Z94" s="923"/>
      <c r="AA94" s="923"/>
      <c r="AB94" s="923"/>
      <c r="AC94" s="923"/>
      <c r="AD94" s="924"/>
      <c r="AE94" s="924"/>
      <c r="AF94" s="924"/>
      <c r="AG94" s="924"/>
      <c r="AH94" s="924"/>
      <c r="AI94" s="924"/>
      <c r="AJ94" s="924"/>
      <c r="AK94" s="924"/>
      <c r="AL94" s="925">
        <v>1</v>
      </c>
    </row>
    <row r="95" spans="1:38" s="627" customFormat="1" ht="30" customHeight="1">
      <c r="A95" s="921"/>
      <c r="B95" s="921"/>
      <c r="C95" s="950"/>
      <c r="D95" s="721" t="s">
        <v>15</v>
      </c>
      <c r="E95" s="6437" t="s">
        <v>1629</v>
      </c>
      <c r="F95" s="6437"/>
      <c r="G95" s="6437"/>
      <c r="H95" s="6437"/>
      <c r="I95" s="6437"/>
      <c r="J95" s="1209"/>
      <c r="K95" s="1209"/>
      <c r="L95" s="1209"/>
      <c r="M95" s="1209"/>
      <c r="N95" s="951"/>
      <c r="O95" s="951"/>
      <c r="P95" s="951"/>
      <c r="Q95" s="951"/>
      <c r="R95" s="923"/>
      <c r="S95" s="948"/>
      <c r="T95" s="923"/>
      <c r="U95" s="923"/>
      <c r="V95" s="923"/>
      <c r="W95" s="923"/>
      <c r="X95" s="923"/>
      <c r="Y95" s="923"/>
      <c r="Z95" s="923"/>
      <c r="AA95" s="923"/>
      <c r="AB95" s="923"/>
      <c r="AC95" s="923"/>
      <c r="AD95" s="924"/>
      <c r="AE95" s="924"/>
      <c r="AF95" s="924"/>
      <c r="AG95" s="924"/>
      <c r="AH95" s="924"/>
      <c r="AI95" s="924"/>
      <c r="AJ95" s="924"/>
      <c r="AK95" s="924"/>
      <c r="AL95" s="925">
        <v>1</v>
      </c>
    </row>
    <row r="96" spans="1:38" s="627" customFormat="1" ht="30" customHeight="1">
      <c r="A96" s="921"/>
      <c r="B96" s="921"/>
      <c r="C96" s="950"/>
      <c r="D96" s="721" t="s">
        <v>15</v>
      </c>
      <c r="E96" s="6437"/>
      <c r="F96" s="6437"/>
      <c r="G96" s="6437"/>
      <c r="H96" s="6437"/>
      <c r="I96" s="6437"/>
      <c r="J96" s="1209"/>
      <c r="K96" s="1209"/>
      <c r="L96" s="1209"/>
      <c r="M96" s="1209"/>
      <c r="N96" s="951"/>
      <c r="O96" s="951"/>
      <c r="P96" s="951"/>
      <c r="Q96" s="951"/>
      <c r="R96" s="923"/>
      <c r="S96" s="948"/>
      <c r="T96" s="923"/>
      <c r="U96" s="923"/>
      <c r="V96" s="923"/>
      <c r="W96" s="923"/>
      <c r="X96" s="923"/>
      <c r="Y96" s="923"/>
      <c r="Z96" s="923"/>
      <c r="AA96" s="923"/>
      <c r="AB96" s="923"/>
      <c r="AC96" s="923"/>
      <c r="AD96" s="924"/>
      <c r="AE96" s="924"/>
      <c r="AF96" s="924"/>
      <c r="AG96" s="924"/>
      <c r="AH96" s="924"/>
      <c r="AI96" s="924"/>
      <c r="AJ96" s="924"/>
      <c r="AK96" s="924"/>
      <c r="AL96" s="925">
        <v>1</v>
      </c>
    </row>
    <row r="97" spans="1:38" s="627" customFormat="1" ht="30" customHeight="1">
      <c r="A97" s="921"/>
      <c r="B97" s="921"/>
      <c r="C97" s="950"/>
      <c r="D97" s="721" t="s">
        <v>15</v>
      </c>
      <c r="E97" s="1213"/>
      <c r="F97" s="1207"/>
      <c r="G97" s="1207"/>
      <c r="H97" s="1208"/>
      <c r="I97" s="1208"/>
      <c r="J97" s="1209"/>
      <c r="K97" s="1209"/>
      <c r="L97" s="1209"/>
      <c r="M97" s="1209"/>
      <c r="N97" s="951"/>
      <c r="O97" s="951"/>
      <c r="P97" s="951"/>
      <c r="Q97" s="951"/>
      <c r="R97" s="923"/>
      <c r="S97" s="948"/>
      <c r="T97" s="923"/>
      <c r="U97" s="923"/>
      <c r="V97" s="923"/>
      <c r="W97" s="923"/>
      <c r="X97" s="923"/>
      <c r="Y97" s="923"/>
      <c r="Z97" s="923"/>
      <c r="AA97" s="923"/>
      <c r="AB97" s="923"/>
      <c r="AC97" s="923"/>
      <c r="AD97" s="924"/>
      <c r="AE97" s="924"/>
      <c r="AF97" s="924"/>
      <c r="AG97" s="924"/>
      <c r="AH97" s="924"/>
      <c r="AI97" s="924"/>
      <c r="AJ97" s="924"/>
      <c r="AK97" s="924"/>
      <c r="AL97" s="925">
        <v>1</v>
      </c>
    </row>
    <row r="98" spans="1:38" s="627" customFormat="1" ht="30" customHeight="1">
      <c r="A98" s="921"/>
      <c r="B98" s="921"/>
      <c r="C98" s="950"/>
      <c r="D98" s="721" t="s">
        <v>15</v>
      </c>
      <c r="E98" s="6438" t="s">
        <v>1647</v>
      </c>
      <c r="F98" s="6438"/>
      <c r="G98" s="6438"/>
      <c r="H98" s="6438"/>
      <c r="I98" s="6438"/>
      <c r="J98" s="1209"/>
      <c r="K98" s="1209"/>
      <c r="L98" s="1209"/>
      <c r="M98" s="1209"/>
      <c r="N98" s="951"/>
      <c r="O98" s="951"/>
      <c r="P98" s="951"/>
      <c r="Q98" s="951"/>
      <c r="R98" s="923"/>
      <c r="S98" s="948"/>
      <c r="T98" s="923"/>
      <c r="U98" s="923"/>
      <c r="V98" s="923"/>
      <c r="W98" s="923"/>
      <c r="X98" s="923"/>
      <c r="Y98" s="923"/>
      <c r="Z98" s="923"/>
      <c r="AA98" s="923"/>
      <c r="AB98" s="923"/>
      <c r="AC98" s="923"/>
      <c r="AD98" s="924"/>
      <c r="AE98" s="924"/>
      <c r="AF98" s="924"/>
      <c r="AG98" s="924"/>
      <c r="AH98" s="924"/>
      <c r="AI98" s="924"/>
      <c r="AJ98" s="924"/>
      <c r="AK98" s="924"/>
      <c r="AL98" s="925">
        <v>1</v>
      </c>
    </row>
    <row r="99" spans="1:38" s="627" customFormat="1" ht="30" customHeight="1">
      <c r="A99" s="921"/>
      <c r="B99" s="921"/>
      <c r="C99" s="950"/>
      <c r="D99" s="721" t="s">
        <v>15</v>
      </c>
      <c r="E99" s="6438"/>
      <c r="F99" s="6438"/>
      <c r="G99" s="6438"/>
      <c r="H99" s="6438"/>
      <c r="I99" s="6438"/>
      <c r="J99" s="1209"/>
      <c r="K99" s="1209"/>
      <c r="L99" s="1209"/>
      <c r="M99" s="1209"/>
      <c r="N99" s="951"/>
      <c r="O99" s="951"/>
      <c r="P99" s="951"/>
      <c r="Q99" s="951"/>
      <c r="R99" s="923"/>
      <c r="S99" s="948"/>
      <c r="T99" s="923"/>
      <c r="U99" s="923"/>
      <c r="V99" s="923"/>
      <c r="W99" s="923"/>
      <c r="X99" s="923"/>
      <c r="Y99" s="923"/>
      <c r="Z99" s="923"/>
      <c r="AA99" s="923"/>
      <c r="AB99" s="923"/>
      <c r="AC99" s="923"/>
      <c r="AD99" s="924"/>
      <c r="AE99" s="924"/>
      <c r="AF99" s="924"/>
      <c r="AG99" s="924"/>
      <c r="AH99" s="924"/>
      <c r="AI99" s="924"/>
      <c r="AJ99" s="924"/>
      <c r="AK99" s="924"/>
      <c r="AL99" s="925">
        <v>1</v>
      </c>
    </row>
    <row r="100" spans="1:38" s="627" customFormat="1" ht="30" customHeight="1">
      <c r="A100" s="921"/>
      <c r="B100" s="921"/>
      <c r="C100" s="950"/>
      <c r="D100" s="721" t="s">
        <v>15</v>
      </c>
      <c r="E100" s="1215"/>
      <c r="F100" s="1207"/>
      <c r="G100" s="1207"/>
      <c r="H100" s="1208"/>
      <c r="I100" s="1208"/>
      <c r="J100" s="1209"/>
      <c r="K100" s="1209"/>
      <c r="L100" s="1209"/>
      <c r="M100" s="1209"/>
      <c r="N100" s="951"/>
      <c r="O100" s="951"/>
      <c r="P100" s="951"/>
      <c r="Q100" s="951"/>
      <c r="R100" s="923"/>
      <c r="S100" s="948"/>
      <c r="T100" s="923"/>
      <c r="U100" s="923"/>
      <c r="V100" s="923"/>
      <c r="W100" s="923"/>
      <c r="X100" s="923"/>
      <c r="Y100" s="923"/>
      <c r="Z100" s="923"/>
      <c r="AA100" s="923"/>
      <c r="AB100" s="923"/>
      <c r="AC100" s="923"/>
      <c r="AD100" s="924"/>
      <c r="AE100" s="924"/>
      <c r="AF100" s="924"/>
      <c r="AG100" s="924"/>
      <c r="AH100" s="924"/>
      <c r="AI100" s="924"/>
      <c r="AJ100" s="924"/>
      <c r="AK100" s="924"/>
      <c r="AL100" s="925">
        <v>1</v>
      </c>
    </row>
    <row r="101" spans="1:38" s="627" customFormat="1" ht="30" customHeight="1">
      <c r="A101" s="921"/>
      <c r="B101" s="921"/>
      <c r="C101" s="950"/>
      <c r="D101" s="721" t="s">
        <v>15</v>
      </c>
      <c r="E101" s="1215"/>
      <c r="F101" s="1207"/>
      <c r="G101" s="1207"/>
      <c r="H101" s="1208"/>
      <c r="I101" s="1208"/>
      <c r="J101" s="1209"/>
      <c r="K101" s="1209"/>
      <c r="L101" s="1209"/>
      <c r="M101" s="1209"/>
      <c r="N101" s="951"/>
      <c r="O101" s="951"/>
      <c r="P101" s="951"/>
      <c r="Q101" s="951"/>
      <c r="R101" s="923"/>
      <c r="S101" s="948"/>
      <c r="T101" s="923"/>
      <c r="U101" s="923"/>
      <c r="V101" s="923"/>
      <c r="W101" s="923"/>
      <c r="X101" s="923"/>
      <c r="Y101" s="923"/>
      <c r="Z101" s="923"/>
      <c r="AA101" s="923"/>
      <c r="AB101" s="923"/>
      <c r="AC101" s="923"/>
      <c r="AD101" s="924"/>
      <c r="AE101" s="924"/>
      <c r="AF101" s="924"/>
      <c r="AG101" s="924"/>
      <c r="AH101" s="924"/>
      <c r="AI101" s="924"/>
      <c r="AJ101" s="924"/>
      <c r="AK101" s="924"/>
      <c r="AL101" s="925">
        <v>1</v>
      </c>
    </row>
    <row r="102" spans="1:38" s="627" customFormat="1" ht="30" customHeight="1">
      <c r="A102" s="921"/>
      <c r="B102" s="921"/>
      <c r="C102" s="950"/>
      <c r="D102" s="721" t="s">
        <v>15</v>
      </c>
      <c r="E102" s="1215"/>
      <c r="F102" s="1207"/>
      <c r="G102" s="1207"/>
      <c r="H102" s="1208"/>
      <c r="I102" s="1208"/>
      <c r="J102" s="1209"/>
      <c r="K102" s="1209"/>
      <c r="L102" s="1209"/>
      <c r="M102" s="1209"/>
      <c r="N102" s="951"/>
      <c r="O102" s="951"/>
      <c r="P102" s="951"/>
      <c r="Q102" s="951"/>
      <c r="R102" s="923"/>
      <c r="S102" s="948"/>
      <c r="T102" s="923"/>
      <c r="U102" s="923"/>
      <c r="V102" s="923"/>
      <c r="W102" s="923"/>
      <c r="X102" s="923"/>
      <c r="Y102" s="923"/>
      <c r="Z102" s="923"/>
      <c r="AA102" s="923"/>
      <c r="AB102" s="923"/>
      <c r="AC102" s="923"/>
      <c r="AD102" s="924"/>
      <c r="AE102" s="924"/>
      <c r="AF102" s="924"/>
      <c r="AG102" s="924"/>
      <c r="AH102" s="924"/>
      <c r="AI102" s="924"/>
      <c r="AJ102" s="924"/>
      <c r="AK102" s="924"/>
      <c r="AL102" s="925">
        <v>1</v>
      </c>
    </row>
    <row r="103" spans="1:38" s="627" customFormat="1" ht="30" customHeight="1">
      <c r="A103" s="921"/>
      <c r="B103" s="921"/>
      <c r="C103" s="950"/>
      <c r="D103" s="721" t="s">
        <v>15</v>
      </c>
      <c r="E103" s="1215"/>
      <c r="F103" s="1207"/>
      <c r="G103" s="1207"/>
      <c r="H103" s="1208"/>
      <c r="I103" s="1208"/>
      <c r="J103" s="1209"/>
      <c r="K103" s="1209"/>
      <c r="L103" s="1209"/>
      <c r="M103" s="1209"/>
      <c r="N103" s="951"/>
      <c r="O103" s="951"/>
      <c r="P103" s="951"/>
      <c r="Q103" s="951"/>
      <c r="R103" s="923"/>
      <c r="S103" s="948"/>
      <c r="T103" s="923"/>
      <c r="U103" s="923"/>
      <c r="V103" s="923"/>
      <c r="W103" s="923"/>
      <c r="X103" s="923"/>
      <c r="Y103" s="923"/>
      <c r="Z103" s="923"/>
      <c r="AA103" s="923"/>
      <c r="AB103" s="923"/>
      <c r="AC103" s="923"/>
      <c r="AD103" s="924"/>
      <c r="AE103" s="924"/>
      <c r="AF103" s="924"/>
      <c r="AG103" s="924"/>
      <c r="AH103" s="924"/>
      <c r="AI103" s="924"/>
      <c r="AJ103" s="924"/>
      <c r="AK103" s="924"/>
      <c r="AL103" s="925">
        <v>1</v>
      </c>
    </row>
    <row r="104" spans="1:38" s="627" customFormat="1" ht="30" customHeight="1">
      <c r="A104" s="921"/>
      <c r="B104" s="921"/>
      <c r="C104" s="950"/>
      <c r="D104" s="721" t="s">
        <v>15</v>
      </c>
      <c r="E104" s="1215"/>
      <c r="F104" s="1207"/>
      <c r="G104" s="1207"/>
      <c r="H104" s="1208"/>
      <c r="I104" s="1208"/>
      <c r="J104" s="1209"/>
      <c r="K104" s="1209"/>
      <c r="L104" s="1209"/>
      <c r="M104" s="1209"/>
      <c r="N104" s="951"/>
      <c r="O104" s="951"/>
      <c r="P104" s="951"/>
      <c r="Q104" s="951"/>
      <c r="R104" s="923"/>
      <c r="S104" s="948"/>
      <c r="T104" s="923"/>
      <c r="U104" s="923"/>
      <c r="V104" s="923"/>
      <c r="W104" s="923"/>
      <c r="X104" s="923"/>
      <c r="Y104" s="923"/>
      <c r="Z104" s="923"/>
      <c r="AA104" s="923"/>
      <c r="AB104" s="923"/>
      <c r="AC104" s="923"/>
      <c r="AD104" s="924"/>
      <c r="AE104" s="924"/>
      <c r="AF104" s="924"/>
      <c r="AG104" s="924"/>
      <c r="AH104" s="924"/>
      <c r="AI104" s="924"/>
      <c r="AJ104" s="924"/>
      <c r="AK104" s="924"/>
      <c r="AL104" s="925">
        <v>1</v>
      </c>
    </row>
    <row r="105" spans="1:38" s="627" customFormat="1" ht="30" customHeight="1">
      <c r="A105" s="921"/>
      <c r="B105" s="921"/>
      <c r="C105" s="950"/>
      <c r="D105" s="721" t="s">
        <v>15</v>
      </c>
      <c r="E105" s="6436" t="s">
        <v>1668</v>
      </c>
      <c r="F105" s="6436"/>
      <c r="G105" s="6436"/>
      <c r="H105" s="6436"/>
      <c r="I105" s="6436"/>
      <c r="J105" s="1209"/>
      <c r="K105" s="1209"/>
      <c r="L105" s="1209"/>
      <c r="M105" s="1209"/>
      <c r="N105" s="951"/>
      <c r="O105" s="951"/>
      <c r="P105" s="951"/>
      <c r="Q105" s="951"/>
      <c r="R105" s="923"/>
      <c r="S105" s="948"/>
      <c r="T105" s="923"/>
      <c r="U105" s="923"/>
      <c r="V105" s="923"/>
      <c r="W105" s="923"/>
      <c r="X105" s="923"/>
      <c r="Y105" s="923"/>
      <c r="Z105" s="923"/>
      <c r="AA105" s="923"/>
      <c r="AB105" s="923"/>
      <c r="AC105" s="923"/>
      <c r="AD105" s="924"/>
      <c r="AE105" s="924"/>
      <c r="AF105" s="924"/>
      <c r="AG105" s="924"/>
      <c r="AH105" s="924"/>
      <c r="AI105" s="924"/>
      <c r="AJ105" s="924"/>
      <c r="AK105" s="924"/>
      <c r="AL105" s="925">
        <v>1</v>
      </c>
    </row>
    <row r="106" spans="1:38" s="627" customFormat="1" ht="30" customHeight="1">
      <c r="A106" s="921"/>
      <c r="B106" s="921"/>
      <c r="C106" s="950"/>
      <c r="D106" s="721" t="s">
        <v>15</v>
      </c>
      <c r="E106" s="6436"/>
      <c r="F106" s="6436"/>
      <c r="G106" s="6436"/>
      <c r="H106" s="6436"/>
      <c r="I106" s="6436"/>
      <c r="J106" s="1209"/>
      <c r="K106" s="1209"/>
      <c r="L106" s="1209"/>
      <c r="M106" s="1209"/>
      <c r="N106" s="951"/>
      <c r="O106" s="951"/>
      <c r="P106" s="951"/>
      <c r="Q106" s="951"/>
      <c r="R106" s="923"/>
      <c r="S106" s="948"/>
      <c r="T106" s="923"/>
      <c r="U106" s="923"/>
      <c r="V106" s="923"/>
      <c r="W106" s="923"/>
      <c r="X106" s="923"/>
      <c r="Y106" s="923"/>
      <c r="Z106" s="923"/>
      <c r="AA106" s="923"/>
      <c r="AB106" s="923"/>
      <c r="AC106" s="923"/>
      <c r="AD106" s="924"/>
      <c r="AE106" s="924"/>
      <c r="AF106" s="924"/>
      <c r="AG106" s="924"/>
      <c r="AH106" s="924"/>
      <c r="AI106" s="924"/>
      <c r="AJ106" s="924"/>
      <c r="AK106" s="924"/>
      <c r="AL106" s="925">
        <v>1</v>
      </c>
    </row>
    <row r="107" spans="1:38" s="627" customFormat="1" ht="30" customHeight="1">
      <c r="A107" s="921"/>
      <c r="B107" s="921"/>
      <c r="C107" s="950"/>
      <c r="D107" s="721" t="s">
        <v>15</v>
      </c>
      <c r="E107" s="1215"/>
      <c r="F107" s="1207"/>
      <c r="G107" s="1207"/>
      <c r="H107" s="1208"/>
      <c r="I107" s="1208"/>
      <c r="J107" s="1209"/>
      <c r="K107" s="1209"/>
      <c r="L107" s="1209"/>
      <c r="M107" s="1209"/>
      <c r="N107" s="951"/>
      <c r="O107" s="951"/>
      <c r="P107" s="951"/>
      <c r="Q107" s="951"/>
      <c r="R107" s="923"/>
      <c r="S107" s="948"/>
      <c r="T107" s="923"/>
      <c r="U107" s="923"/>
      <c r="V107" s="923"/>
      <c r="W107" s="923"/>
      <c r="X107" s="923"/>
      <c r="Y107" s="923"/>
      <c r="Z107" s="923"/>
      <c r="AA107" s="923"/>
      <c r="AB107" s="923"/>
      <c r="AC107" s="923"/>
      <c r="AD107" s="924"/>
      <c r="AE107" s="924"/>
      <c r="AF107" s="924"/>
      <c r="AG107" s="924"/>
      <c r="AH107" s="924"/>
      <c r="AI107" s="924"/>
      <c r="AJ107" s="924"/>
      <c r="AK107" s="924"/>
      <c r="AL107" s="925">
        <v>1</v>
      </c>
    </row>
    <row r="108" spans="1:38" s="627" customFormat="1" ht="30" customHeight="1">
      <c r="A108" s="921"/>
      <c r="B108" s="921"/>
      <c r="C108" s="950"/>
      <c r="D108" s="721" t="s">
        <v>15</v>
      </c>
      <c r="E108" s="6436" t="s">
        <v>1678</v>
      </c>
      <c r="F108" s="6436"/>
      <c r="G108" s="6436"/>
      <c r="H108" s="6436"/>
      <c r="I108" s="6436"/>
      <c r="J108" s="1209"/>
      <c r="K108" s="1209"/>
      <c r="L108" s="1209"/>
      <c r="M108" s="1209"/>
      <c r="N108" s="951"/>
      <c r="O108" s="951"/>
      <c r="P108" s="951"/>
      <c r="Q108" s="951"/>
      <c r="R108" s="923"/>
      <c r="S108" s="948"/>
      <c r="T108" s="923"/>
      <c r="U108" s="923"/>
      <c r="V108" s="923"/>
      <c r="W108" s="923"/>
      <c r="X108" s="923"/>
      <c r="Y108" s="923"/>
      <c r="Z108" s="923"/>
      <c r="AA108" s="923"/>
      <c r="AB108" s="923"/>
      <c r="AC108" s="923"/>
      <c r="AD108" s="924"/>
      <c r="AE108" s="924"/>
      <c r="AF108" s="924"/>
      <c r="AG108" s="924"/>
      <c r="AH108" s="924"/>
      <c r="AI108" s="924"/>
      <c r="AJ108" s="924"/>
      <c r="AK108" s="924"/>
      <c r="AL108" s="925">
        <v>1</v>
      </c>
    </row>
    <row r="109" spans="1:38" s="627" customFormat="1" ht="30" customHeight="1">
      <c r="A109" s="921"/>
      <c r="B109" s="921"/>
      <c r="C109" s="950"/>
      <c r="D109" s="721" t="s">
        <v>15</v>
      </c>
      <c r="E109" s="6436"/>
      <c r="F109" s="6436"/>
      <c r="G109" s="6436"/>
      <c r="H109" s="6436"/>
      <c r="I109" s="6436"/>
      <c r="J109" s="1209"/>
      <c r="K109" s="1209"/>
      <c r="L109" s="1209"/>
      <c r="M109" s="1209"/>
      <c r="N109" s="951"/>
      <c r="O109" s="951"/>
      <c r="P109" s="951"/>
      <c r="Q109" s="951"/>
      <c r="R109" s="923"/>
      <c r="S109" s="948"/>
      <c r="T109" s="923"/>
      <c r="U109" s="923"/>
      <c r="V109" s="923"/>
      <c r="W109" s="923"/>
      <c r="X109" s="923"/>
      <c r="Y109" s="923"/>
      <c r="Z109" s="923"/>
      <c r="AA109" s="923"/>
      <c r="AB109" s="923"/>
      <c r="AC109" s="923"/>
      <c r="AD109" s="924"/>
      <c r="AE109" s="924"/>
      <c r="AF109" s="924"/>
      <c r="AG109" s="924"/>
      <c r="AH109" s="924"/>
      <c r="AI109" s="924"/>
      <c r="AJ109" s="924"/>
      <c r="AK109" s="924"/>
      <c r="AL109" s="925">
        <v>1</v>
      </c>
    </row>
    <row r="110" spans="1:38" s="627" customFormat="1" ht="30" customHeight="1">
      <c r="A110" s="921"/>
      <c r="B110" s="921"/>
      <c r="C110" s="950"/>
      <c r="D110" s="721" t="s">
        <v>15</v>
      </c>
      <c r="E110" s="1215"/>
      <c r="F110" s="1207"/>
      <c r="G110" s="1207"/>
      <c r="H110" s="1208"/>
      <c r="I110" s="1208"/>
      <c r="J110" s="1209"/>
      <c r="K110" s="1209"/>
      <c r="L110" s="1209"/>
      <c r="M110" s="1209"/>
      <c r="N110" s="951"/>
      <c r="O110" s="951"/>
      <c r="P110" s="951"/>
      <c r="Q110" s="951"/>
      <c r="R110" s="923"/>
      <c r="S110" s="948"/>
      <c r="T110" s="923"/>
      <c r="U110" s="923"/>
      <c r="V110" s="923"/>
      <c r="W110" s="923"/>
      <c r="X110" s="923"/>
      <c r="Y110" s="923"/>
      <c r="Z110" s="923"/>
      <c r="AA110" s="923"/>
      <c r="AB110" s="923"/>
      <c r="AC110" s="923"/>
      <c r="AD110" s="924"/>
      <c r="AE110" s="924"/>
      <c r="AF110" s="924"/>
      <c r="AG110" s="924"/>
      <c r="AH110" s="924"/>
      <c r="AI110" s="924"/>
      <c r="AJ110" s="924"/>
      <c r="AK110" s="924"/>
      <c r="AL110" s="925">
        <v>1</v>
      </c>
    </row>
    <row r="111" spans="1:38" s="627" customFormat="1" ht="30" customHeight="1">
      <c r="A111" s="921"/>
      <c r="B111" s="921"/>
      <c r="C111" s="950"/>
      <c r="D111" s="721" t="s">
        <v>15</v>
      </c>
      <c r="E111" s="1213" t="s">
        <v>1692</v>
      </c>
      <c r="F111" s="1207"/>
      <c r="G111" s="1207"/>
      <c r="H111" s="1208"/>
      <c r="I111" s="1208"/>
      <c r="J111" s="1209"/>
      <c r="K111" s="1209"/>
      <c r="L111" s="1209"/>
      <c r="M111" s="1209"/>
      <c r="N111" s="951"/>
      <c r="O111" s="951"/>
      <c r="P111" s="951"/>
      <c r="Q111" s="951"/>
      <c r="R111" s="923"/>
      <c r="S111" s="948"/>
      <c r="T111" s="923"/>
      <c r="U111" s="923"/>
      <c r="V111" s="923"/>
      <c r="W111" s="923"/>
      <c r="X111" s="923"/>
      <c r="Y111" s="923"/>
      <c r="Z111" s="923"/>
      <c r="AA111" s="923"/>
      <c r="AB111" s="923"/>
      <c r="AC111" s="923"/>
      <c r="AD111" s="924"/>
      <c r="AE111" s="924"/>
      <c r="AF111" s="924"/>
      <c r="AG111" s="924"/>
      <c r="AH111" s="924"/>
      <c r="AI111" s="924"/>
      <c r="AJ111" s="924"/>
      <c r="AK111" s="924"/>
      <c r="AL111" s="925">
        <v>1</v>
      </c>
    </row>
    <row r="112" spans="1:38" s="627" customFormat="1" ht="30" customHeight="1">
      <c r="A112" s="921"/>
      <c r="B112" s="921"/>
      <c r="C112" s="950"/>
      <c r="D112" s="721" t="s">
        <v>15</v>
      </c>
      <c r="E112" s="1215"/>
      <c r="F112" s="1207"/>
      <c r="G112" s="1207"/>
      <c r="H112" s="1208"/>
      <c r="I112" s="1208"/>
      <c r="J112" s="1209"/>
      <c r="K112" s="1209"/>
      <c r="L112" s="1209"/>
      <c r="M112" s="1209"/>
      <c r="N112" s="951"/>
      <c r="O112" s="951"/>
      <c r="P112" s="951"/>
      <c r="Q112" s="951"/>
      <c r="R112" s="923"/>
      <c r="S112" s="948"/>
      <c r="T112" s="923"/>
      <c r="U112" s="923"/>
      <c r="V112" s="923"/>
      <c r="W112" s="923"/>
      <c r="X112" s="923"/>
      <c r="Y112" s="923"/>
      <c r="Z112" s="923"/>
      <c r="AA112" s="923"/>
      <c r="AB112" s="923"/>
      <c r="AC112" s="923"/>
      <c r="AD112" s="924"/>
      <c r="AE112" s="924"/>
      <c r="AF112" s="924"/>
      <c r="AG112" s="924"/>
      <c r="AH112" s="924"/>
      <c r="AI112" s="924"/>
      <c r="AJ112" s="924"/>
      <c r="AK112" s="924"/>
      <c r="AL112" s="925">
        <v>1</v>
      </c>
    </row>
    <row r="113" spans="1:39" s="627" customFormat="1" ht="30" customHeight="1">
      <c r="A113" s="921"/>
      <c r="B113" s="921"/>
      <c r="C113" s="950"/>
      <c r="D113" s="721" t="s">
        <v>15</v>
      </c>
      <c r="E113" s="1215"/>
      <c r="F113" s="1207"/>
      <c r="G113" s="1207"/>
      <c r="H113" s="1208"/>
      <c r="I113" s="1208"/>
      <c r="J113" s="1209"/>
      <c r="K113" s="1209"/>
      <c r="L113" s="1209"/>
      <c r="M113" s="1209"/>
      <c r="N113" s="951"/>
      <c r="O113" s="951"/>
      <c r="P113" s="951"/>
      <c r="Q113" s="951"/>
      <c r="R113" s="923"/>
      <c r="S113" s="948"/>
      <c r="T113" s="923"/>
      <c r="U113" s="923"/>
      <c r="V113" s="923"/>
      <c r="W113" s="923"/>
      <c r="X113" s="923"/>
      <c r="Y113" s="923"/>
      <c r="Z113" s="923"/>
      <c r="AA113" s="923"/>
      <c r="AB113" s="923"/>
      <c r="AC113" s="923"/>
      <c r="AD113" s="924"/>
      <c r="AE113" s="924"/>
      <c r="AF113" s="924"/>
      <c r="AG113" s="924"/>
      <c r="AH113" s="924"/>
      <c r="AI113" s="924"/>
      <c r="AJ113" s="924"/>
      <c r="AK113" s="924"/>
      <c r="AL113" s="925">
        <v>1</v>
      </c>
    </row>
    <row r="114" spans="1:39" s="627" customFormat="1" ht="30" customHeight="1">
      <c r="A114" s="921"/>
      <c r="B114" s="921"/>
      <c r="C114" s="950"/>
      <c r="D114" s="721" t="s">
        <v>15</v>
      </c>
      <c r="E114" s="1215"/>
      <c r="F114" s="1207"/>
      <c r="G114" s="1207"/>
      <c r="H114" s="1208"/>
      <c r="I114" s="1208"/>
      <c r="J114" s="1209"/>
      <c r="K114" s="1209"/>
      <c r="L114" s="1209"/>
      <c r="M114" s="1209"/>
      <c r="N114" s="951"/>
      <c r="O114" s="951"/>
      <c r="P114" s="951"/>
      <c r="Q114" s="951"/>
      <c r="R114" s="923"/>
      <c r="S114" s="948"/>
      <c r="T114" s="923"/>
      <c r="U114" s="923"/>
      <c r="V114" s="923"/>
      <c r="W114" s="923"/>
      <c r="X114" s="923"/>
      <c r="Y114" s="923"/>
      <c r="Z114" s="923"/>
      <c r="AA114" s="923"/>
      <c r="AB114" s="923"/>
      <c r="AC114" s="923"/>
      <c r="AD114" s="924"/>
      <c r="AE114" s="924"/>
      <c r="AF114" s="924"/>
      <c r="AG114" s="924"/>
      <c r="AH114" s="924"/>
      <c r="AI114" s="924"/>
      <c r="AJ114" s="924"/>
      <c r="AK114" s="924"/>
      <c r="AL114" s="925">
        <v>1</v>
      </c>
    </row>
    <row r="115" spans="1:39" s="627" customFormat="1" ht="30" customHeight="1">
      <c r="A115" s="921"/>
      <c r="B115" s="921"/>
      <c r="C115" s="950"/>
      <c r="D115" s="721" t="s">
        <v>15</v>
      </c>
      <c r="E115" s="1215"/>
      <c r="F115" s="1207"/>
      <c r="G115" s="1207"/>
      <c r="H115" s="1208"/>
      <c r="I115" s="1208"/>
      <c r="J115" s="1209"/>
      <c r="K115" s="1209"/>
      <c r="L115" s="1209"/>
      <c r="M115" s="1209"/>
      <c r="N115" s="951"/>
      <c r="O115" s="951"/>
      <c r="P115" s="951"/>
      <c r="Q115" s="951"/>
      <c r="R115" s="923"/>
      <c r="S115" s="948"/>
      <c r="T115" s="923"/>
      <c r="U115" s="923"/>
      <c r="V115" s="923"/>
      <c r="W115" s="923"/>
      <c r="X115" s="923"/>
      <c r="Y115" s="923"/>
      <c r="Z115" s="923"/>
      <c r="AA115" s="923"/>
      <c r="AB115" s="923"/>
      <c r="AC115" s="923"/>
      <c r="AD115" s="924"/>
      <c r="AE115" s="924"/>
      <c r="AF115" s="924"/>
      <c r="AG115" s="924"/>
      <c r="AH115" s="924"/>
      <c r="AI115" s="924"/>
      <c r="AJ115" s="924"/>
      <c r="AK115" s="924"/>
      <c r="AL115" s="925">
        <v>1</v>
      </c>
    </row>
    <row r="116" spans="1:39" s="627" customFormat="1" ht="30" customHeight="1">
      <c r="A116" s="921"/>
      <c r="B116" s="921"/>
      <c r="C116" s="959"/>
      <c r="D116" s="958"/>
      <c r="E116" s="949"/>
      <c r="F116" s="949"/>
      <c r="G116" s="929"/>
      <c r="H116" s="929"/>
      <c r="I116" s="951"/>
      <c r="J116" s="951"/>
      <c r="K116" s="951"/>
      <c r="L116" s="951"/>
      <c r="M116" s="951"/>
      <c r="N116" s="951"/>
      <c r="O116" s="951"/>
      <c r="P116" s="951"/>
      <c r="Q116" s="951"/>
      <c r="R116" s="923"/>
      <c r="S116" s="948"/>
      <c r="T116" s="923"/>
      <c r="U116" s="923"/>
      <c r="V116" s="923"/>
      <c r="W116" s="923"/>
      <c r="X116" s="923"/>
      <c r="Y116" s="923"/>
      <c r="Z116" s="923"/>
      <c r="AA116" s="923"/>
      <c r="AB116" s="923"/>
      <c r="AC116" s="923"/>
      <c r="AD116" s="924"/>
      <c r="AE116" s="924"/>
      <c r="AF116" s="924"/>
      <c r="AG116" s="924"/>
      <c r="AH116" s="924"/>
      <c r="AI116" s="924"/>
      <c r="AJ116" s="924"/>
      <c r="AK116" s="924"/>
      <c r="AL116" s="925">
        <v>1</v>
      </c>
    </row>
    <row r="117" spans="1:39" s="627" customFormat="1" ht="30" customHeight="1">
      <c r="A117" s="921"/>
      <c r="B117" s="921"/>
      <c r="C117" s="949"/>
      <c r="D117" s="949" t="s">
        <v>2424</v>
      </c>
      <c r="E117" s="951"/>
      <c r="F117" s="929"/>
      <c r="G117" s="951"/>
      <c r="H117" s="951"/>
      <c r="I117" s="951"/>
      <c r="J117" s="951"/>
      <c r="K117" s="951"/>
      <c r="L117" s="951"/>
      <c r="M117" s="951"/>
      <c r="N117" s="951"/>
      <c r="O117" s="951"/>
      <c r="P117" s="948"/>
      <c r="Q117" s="948"/>
      <c r="R117" s="948"/>
      <c r="S117" s="948"/>
      <c r="T117" s="923"/>
      <c r="U117" s="923"/>
      <c r="V117" s="923"/>
      <c r="W117" s="923"/>
      <c r="X117" s="923"/>
      <c r="Y117" s="933"/>
      <c r="Z117" s="923"/>
      <c r="AA117" s="923"/>
      <c r="AB117" s="923"/>
      <c r="AC117" s="923"/>
      <c r="AD117" s="924"/>
      <c r="AE117" s="924"/>
      <c r="AF117" s="924"/>
      <c r="AG117" s="924"/>
      <c r="AH117" s="924"/>
      <c r="AI117" s="924"/>
      <c r="AJ117" s="924"/>
      <c r="AK117" s="924"/>
      <c r="AL117" s="925">
        <v>1</v>
      </c>
      <c r="AM117" s="627">
        <v>47</v>
      </c>
    </row>
    <row r="118" spans="1:39" s="627" customFormat="1" ht="30" customHeight="1">
      <c r="A118" s="921"/>
      <c r="B118" s="921"/>
      <c r="C118" s="949"/>
      <c r="D118" s="960" t="s">
        <v>1769</v>
      </c>
      <c r="E118" s="951"/>
      <c r="F118" s="929"/>
      <c r="G118" s="951"/>
      <c r="H118" s="951"/>
      <c r="I118" s="951"/>
      <c r="J118" s="951"/>
      <c r="K118" s="951"/>
      <c r="L118" s="951"/>
      <c r="M118" s="122" t="s">
        <v>111</v>
      </c>
      <c r="N118" s="123"/>
      <c r="O118" s="124"/>
      <c r="P118" s="923"/>
      <c r="Q118" s="923"/>
      <c r="R118" s="923"/>
      <c r="S118" s="923"/>
      <c r="T118" s="923"/>
      <c r="U118" s="923"/>
      <c r="V118" s="923"/>
      <c r="W118" s="923"/>
      <c r="X118" s="923"/>
      <c r="Y118" s="933"/>
      <c r="Z118" s="923"/>
      <c r="AA118" s="923"/>
      <c r="AB118" s="923"/>
      <c r="AC118" s="923"/>
      <c r="AD118" s="924"/>
      <c r="AE118" s="924"/>
      <c r="AF118" s="924"/>
      <c r="AG118" s="924"/>
      <c r="AH118" s="924"/>
      <c r="AI118" s="924"/>
      <c r="AJ118" s="924"/>
      <c r="AK118" s="924"/>
      <c r="AL118" s="925">
        <v>1</v>
      </c>
      <c r="AM118" s="627">
        <v>48</v>
      </c>
    </row>
    <row r="119" spans="1:39" s="627" customFormat="1" ht="30" customHeight="1">
      <c r="A119" s="921"/>
      <c r="B119" s="970" t="s">
        <v>2425</v>
      </c>
      <c r="C119" s="950"/>
      <c r="D119" s="951"/>
      <c r="E119" s="951"/>
      <c r="F119" s="951"/>
      <c r="G119" s="951"/>
      <c r="H119" s="951"/>
      <c r="I119" s="951"/>
      <c r="J119" s="951"/>
      <c r="K119" s="951"/>
      <c r="L119" s="951"/>
      <c r="M119" s="6443" t="s">
        <v>116</v>
      </c>
      <c r="N119" s="126" t="s">
        <v>117</v>
      </c>
      <c r="O119" s="127"/>
      <c r="P119" s="948"/>
      <c r="Q119" s="948"/>
      <c r="R119" s="948"/>
      <c r="S119" s="971" t="s">
        <v>2879</v>
      </c>
      <c r="T119" s="948"/>
      <c r="U119" s="948"/>
      <c r="V119" s="948"/>
      <c r="W119" s="923"/>
      <c r="X119" s="923"/>
      <c r="Y119" s="933"/>
      <c r="Z119" s="923"/>
      <c r="AA119" s="923"/>
      <c r="AB119" s="923"/>
      <c r="AC119" s="923"/>
      <c r="AD119" s="924"/>
      <c r="AE119" s="924"/>
      <c r="AF119" s="924"/>
      <c r="AG119" s="924"/>
      <c r="AH119" s="924"/>
      <c r="AI119" s="924"/>
      <c r="AJ119" s="924"/>
      <c r="AK119" s="924"/>
      <c r="AL119" s="925">
        <v>1</v>
      </c>
      <c r="AM119" s="627">
        <v>49</v>
      </c>
    </row>
    <row r="120" spans="1:39" s="627" customFormat="1" ht="30" customHeight="1">
      <c r="A120" s="921"/>
      <c r="B120" s="972" t="s">
        <v>2426</v>
      </c>
      <c r="C120" s="923"/>
      <c r="D120" s="923"/>
      <c r="E120" s="923"/>
      <c r="F120" s="923"/>
      <c r="G120" s="923"/>
      <c r="H120" s="923"/>
      <c r="I120" s="923"/>
      <c r="J120" s="923"/>
      <c r="K120" s="951"/>
      <c r="L120" s="951"/>
      <c r="M120" s="6443"/>
      <c r="N120" s="126" t="s">
        <v>122</v>
      </c>
      <c r="O120" s="127"/>
      <c r="P120" s="948"/>
      <c r="Q120" s="948"/>
      <c r="R120" s="948"/>
      <c r="S120" s="948"/>
      <c r="T120" s="973" t="s">
        <v>2427</v>
      </c>
      <c r="U120" s="934" t="s">
        <v>2428</v>
      </c>
      <c r="V120" s="948"/>
      <c r="W120" s="923"/>
      <c r="X120" s="948"/>
      <c r="Y120" s="948"/>
      <c r="Z120" s="948"/>
      <c r="AA120" s="948"/>
      <c r="AB120" s="948"/>
      <c r="AC120" s="948"/>
      <c r="AD120" s="948"/>
      <c r="AE120" s="948"/>
      <c r="AF120" s="948"/>
      <c r="AG120" s="948"/>
      <c r="AH120" s="948"/>
      <c r="AI120" s="948"/>
      <c r="AJ120" s="948"/>
      <c r="AK120" s="948"/>
      <c r="AL120" s="925">
        <v>1</v>
      </c>
      <c r="AM120" s="627">
        <v>50</v>
      </c>
    </row>
    <row r="121" spans="1:39" s="627" customFormat="1" ht="30" customHeight="1">
      <c r="A121" s="921"/>
      <c r="B121" s="972" t="s">
        <v>2429</v>
      </c>
      <c r="C121" s="923"/>
      <c r="D121" s="923"/>
      <c r="E121" s="923"/>
      <c r="F121" s="923"/>
      <c r="G121" s="923"/>
      <c r="H121" s="923"/>
      <c r="I121" s="923"/>
      <c r="J121" s="923"/>
      <c r="K121" s="951"/>
      <c r="L121" s="951"/>
      <c r="M121" s="6443"/>
      <c r="N121" s="126" t="s">
        <v>123</v>
      </c>
      <c r="O121" s="127"/>
      <c r="P121" s="948"/>
      <c r="Q121" s="948"/>
      <c r="R121" s="948"/>
      <c r="S121" s="948"/>
      <c r="T121" s="948"/>
      <c r="U121" s="948"/>
      <c r="V121" s="948"/>
      <c r="W121" s="923"/>
      <c r="X121" s="948"/>
      <c r="Y121" s="948"/>
      <c r="Z121" s="948"/>
      <c r="AA121" s="948"/>
      <c r="AB121" s="948"/>
      <c r="AC121" s="948"/>
      <c r="AD121" s="948"/>
      <c r="AE121" s="948"/>
      <c r="AF121" s="948"/>
      <c r="AG121" s="948"/>
      <c r="AH121" s="948"/>
      <c r="AI121" s="948"/>
      <c r="AJ121" s="948"/>
      <c r="AK121" s="948"/>
      <c r="AL121" s="925">
        <v>1</v>
      </c>
      <c r="AM121" s="627">
        <v>51</v>
      </c>
    </row>
    <row r="122" spans="1:39" s="627" customFormat="1" ht="30" customHeight="1">
      <c r="A122" s="921"/>
      <c r="B122" s="974" t="s">
        <v>2430</v>
      </c>
      <c r="C122" s="923"/>
      <c r="D122" s="974" t="s">
        <v>10</v>
      </c>
      <c r="E122" s="923"/>
      <c r="F122" s="923"/>
      <c r="G122" s="923"/>
      <c r="H122" s="923"/>
      <c r="I122" s="923"/>
      <c r="J122" s="923"/>
      <c r="K122" s="951"/>
      <c r="L122" s="951"/>
      <c r="M122" s="6443"/>
      <c r="N122" s="126" t="s">
        <v>126</v>
      </c>
      <c r="O122" s="127"/>
      <c r="P122" s="948"/>
      <c r="Q122" s="948"/>
      <c r="R122" s="948"/>
      <c r="S122" s="923"/>
      <c r="T122" s="973" t="s">
        <v>2427</v>
      </c>
      <c r="U122" s="934" t="s">
        <v>2431</v>
      </c>
      <c r="V122" s="923"/>
      <c r="W122" s="923"/>
      <c r="X122" s="948"/>
      <c r="Y122" s="948"/>
      <c r="Z122" s="948"/>
      <c r="AA122" s="948"/>
      <c r="AB122" s="948"/>
      <c r="AC122" s="948"/>
      <c r="AD122" s="948"/>
      <c r="AE122" s="948"/>
      <c r="AF122" s="948"/>
      <c r="AG122" s="948"/>
      <c r="AH122" s="948"/>
      <c r="AI122" s="948"/>
      <c r="AJ122" s="948"/>
      <c r="AK122" s="948"/>
      <c r="AL122" s="925">
        <v>1</v>
      </c>
      <c r="AM122" s="627">
        <v>52</v>
      </c>
    </row>
    <row r="123" spans="1:39" s="627" customFormat="1" ht="30" customHeight="1">
      <c r="A123" s="921"/>
      <c r="B123" s="972" t="s">
        <v>2432</v>
      </c>
      <c r="C123" s="923"/>
      <c r="D123" s="923"/>
      <c r="E123" s="923"/>
      <c r="F123" s="923"/>
      <c r="G123" s="923"/>
      <c r="H123" s="923"/>
      <c r="I123" s="923"/>
      <c r="J123" s="923"/>
      <c r="K123" s="951"/>
      <c r="L123" s="951"/>
      <c r="M123" s="6443"/>
      <c r="N123" s="126" t="s">
        <v>128</v>
      </c>
      <c r="O123" s="127"/>
      <c r="P123" s="948"/>
      <c r="Q123" s="948"/>
      <c r="R123" s="948"/>
      <c r="S123" s="923"/>
      <c r="T123" s="971" t="s">
        <v>2433</v>
      </c>
      <c r="U123" s="923"/>
      <c r="V123" s="923"/>
      <c r="W123" s="923"/>
      <c r="X123" s="948"/>
      <c r="Y123" s="948"/>
      <c r="Z123" s="948"/>
      <c r="AA123" s="948"/>
      <c r="AB123" s="948"/>
      <c r="AC123" s="948"/>
      <c r="AD123" s="948"/>
      <c r="AE123" s="948"/>
      <c r="AF123" s="948"/>
      <c r="AG123" s="948"/>
      <c r="AH123" s="948"/>
      <c r="AI123" s="948"/>
      <c r="AJ123" s="948"/>
      <c r="AK123" s="948"/>
      <c r="AL123" s="925">
        <v>1</v>
      </c>
      <c r="AM123" s="627">
        <v>53</v>
      </c>
    </row>
    <row r="124" spans="1:39" s="627" customFormat="1" ht="30" customHeight="1">
      <c r="A124" s="921"/>
      <c r="B124" s="972" t="s">
        <v>2434</v>
      </c>
      <c r="C124" s="923"/>
      <c r="D124" s="923"/>
      <c r="E124" s="923"/>
      <c r="F124" s="923"/>
      <c r="G124" s="923"/>
      <c r="H124" s="923"/>
      <c r="I124" s="923"/>
      <c r="J124" s="923"/>
      <c r="K124" s="951"/>
      <c r="L124" s="951"/>
      <c r="M124" s="6444"/>
      <c r="N124" s="131" t="s">
        <v>131</v>
      </c>
      <c r="O124" s="132"/>
      <c r="P124" s="948"/>
      <c r="Q124" s="948"/>
      <c r="R124" s="948"/>
      <c r="S124" s="923"/>
      <c r="T124" s="973" t="s">
        <v>2427</v>
      </c>
      <c r="U124" s="934" t="s">
        <v>2428</v>
      </c>
      <c r="V124" s="923"/>
      <c r="W124" s="923"/>
      <c r="X124" s="948"/>
      <c r="Y124" s="975" t="s">
        <v>2435</v>
      </c>
      <c r="Z124" s="948"/>
      <c r="AA124" s="948"/>
      <c r="AB124" s="948"/>
      <c r="AC124" s="948"/>
      <c r="AD124" s="948"/>
      <c r="AE124" s="948"/>
      <c r="AF124" s="948"/>
      <c r="AG124" s="948"/>
      <c r="AH124" s="948"/>
      <c r="AI124" s="948"/>
      <c r="AJ124" s="948"/>
      <c r="AK124" s="948"/>
      <c r="AL124" s="925">
        <v>1</v>
      </c>
    </row>
    <row r="125" spans="1:39" s="627" customFormat="1" ht="30" customHeight="1">
      <c r="A125" s="921"/>
      <c r="B125" s="972" t="s">
        <v>2436</v>
      </c>
      <c r="C125" s="923"/>
      <c r="D125" s="923"/>
      <c r="E125" s="923"/>
      <c r="F125" s="923"/>
      <c r="G125" s="923"/>
      <c r="H125" s="923"/>
      <c r="I125" s="923"/>
      <c r="J125" s="923"/>
      <c r="K125" s="951"/>
      <c r="L125" s="951"/>
      <c r="M125" s="951"/>
      <c r="N125" s="951"/>
      <c r="O125" s="951"/>
      <c r="P125" s="951"/>
      <c r="Q125" s="948"/>
      <c r="R125" s="948"/>
      <c r="S125" s="923"/>
      <c r="T125" s="923"/>
      <c r="U125" s="976" t="s">
        <v>2437</v>
      </c>
      <c r="V125" s="923"/>
      <c r="W125" s="976"/>
      <c r="X125" s="948"/>
      <c r="Y125" s="976"/>
      <c r="Z125" s="948"/>
      <c r="AA125" s="976"/>
      <c r="AB125" s="948"/>
      <c r="AC125" s="948"/>
      <c r="AD125" s="948"/>
      <c r="AE125" s="948"/>
      <c r="AF125" s="948"/>
      <c r="AG125" s="948"/>
      <c r="AH125" s="948"/>
      <c r="AI125" s="948"/>
      <c r="AJ125" s="948"/>
      <c r="AK125" s="948"/>
      <c r="AL125" s="925">
        <v>1</v>
      </c>
    </row>
    <row r="126" spans="1:39" s="627" customFormat="1" ht="30" customHeight="1">
      <c r="A126" s="921"/>
      <c r="B126" s="923"/>
      <c r="C126" s="923"/>
      <c r="D126" s="923"/>
      <c r="E126" s="923"/>
      <c r="F126" s="923"/>
      <c r="G126" s="923"/>
      <c r="H126" s="923"/>
      <c r="I126" s="923"/>
      <c r="J126" s="923"/>
      <c r="K126" s="951"/>
      <c r="L126" s="951"/>
      <c r="M126" s="951"/>
      <c r="N126" s="951"/>
      <c r="O126" s="951"/>
      <c r="P126" s="951"/>
      <c r="Q126" s="948"/>
      <c r="R126" s="948"/>
      <c r="S126" s="923"/>
      <c r="T126" s="923"/>
      <c r="U126" s="976" t="s">
        <v>2439</v>
      </c>
      <c r="V126" s="923"/>
      <c r="W126" s="976"/>
      <c r="X126" s="948"/>
      <c r="Y126" s="976"/>
      <c r="Z126" s="948"/>
      <c r="AA126" s="976"/>
      <c r="AB126" s="948"/>
      <c r="AC126" s="948"/>
      <c r="AD126" s="948"/>
      <c r="AE126" s="948"/>
      <c r="AF126" s="948"/>
      <c r="AG126" s="948"/>
      <c r="AH126" s="948"/>
      <c r="AI126" s="948"/>
      <c r="AJ126" s="948"/>
      <c r="AK126" s="948"/>
      <c r="AL126" s="925">
        <v>1</v>
      </c>
    </row>
    <row r="127" spans="1:39" s="627" customFormat="1" ht="30" customHeight="1">
      <c r="A127" s="921"/>
      <c r="B127" s="949"/>
      <c r="C127" s="950"/>
      <c r="D127" s="951"/>
      <c r="E127" s="951"/>
      <c r="F127" s="951"/>
      <c r="G127" s="951"/>
      <c r="H127" s="951"/>
      <c r="I127" s="951"/>
      <c r="J127" s="951"/>
      <c r="K127" s="951"/>
      <c r="L127" s="951"/>
      <c r="M127" s="951"/>
      <c r="N127" s="951"/>
      <c r="O127" s="951"/>
      <c r="P127" s="948"/>
      <c r="Q127" s="948"/>
      <c r="R127" s="948"/>
      <c r="S127" s="948"/>
      <c r="T127" s="948"/>
      <c r="U127" s="976" t="s">
        <v>2438</v>
      </c>
      <c r="V127" s="948"/>
      <c r="W127" s="948"/>
      <c r="X127" s="948"/>
      <c r="Y127" s="948"/>
      <c r="Z127" s="948"/>
      <c r="AA127" s="948"/>
      <c r="AB127" s="948"/>
      <c r="AC127" s="948"/>
      <c r="AD127" s="948"/>
      <c r="AE127" s="948"/>
      <c r="AF127" s="948"/>
      <c r="AG127" s="948"/>
      <c r="AH127" s="948"/>
      <c r="AI127" s="948"/>
      <c r="AJ127" s="948"/>
      <c r="AK127" s="948"/>
      <c r="AL127" s="925">
        <v>1</v>
      </c>
    </row>
    <row r="128" spans="1:39" s="627" customFormat="1" ht="30" customHeight="1">
      <c r="A128" s="921"/>
      <c r="B128" s="977"/>
      <c r="C128" s="978" t="s">
        <v>2441</v>
      </c>
      <c r="D128" s="978"/>
      <c r="E128" s="978"/>
      <c r="F128" s="979"/>
      <c r="G128" s="979"/>
      <c r="H128" s="979"/>
      <c r="I128" s="979"/>
      <c r="J128" s="979"/>
      <c r="K128" s="979"/>
      <c r="L128" s="979"/>
      <c r="M128" s="979"/>
      <c r="N128" s="977"/>
      <c r="O128" s="977"/>
      <c r="P128" s="977"/>
      <c r="Q128" s="948"/>
      <c r="R128" s="948"/>
      <c r="S128" s="948"/>
      <c r="T128" s="948"/>
      <c r="U128" s="976" t="s">
        <v>2440</v>
      </c>
      <c r="V128" s="948"/>
      <c r="W128" s="948"/>
      <c r="X128" s="948"/>
      <c r="Y128" s="948"/>
      <c r="Z128" s="948"/>
      <c r="AA128" s="948"/>
      <c r="AB128" s="948"/>
      <c r="AC128" s="948"/>
      <c r="AD128" s="948"/>
      <c r="AE128" s="948"/>
      <c r="AF128" s="948"/>
      <c r="AG128" s="948"/>
      <c r="AH128" s="948"/>
      <c r="AI128" s="924"/>
      <c r="AJ128" s="924"/>
      <c r="AK128" s="924"/>
      <c r="AL128" s="925">
        <v>1</v>
      </c>
    </row>
    <row r="129" spans="1:40" s="627" customFormat="1" ht="30" customHeight="1">
      <c r="A129" s="921"/>
      <c r="B129" s="980" t="s">
        <v>2442</v>
      </c>
      <c r="C129" s="981"/>
      <c r="D129" s="979"/>
      <c r="E129" s="979"/>
      <c r="F129" s="979"/>
      <c r="G129" s="979"/>
      <c r="H129" s="982" t="s">
        <v>2443</v>
      </c>
      <c r="I129" s="979"/>
      <c r="J129" s="979"/>
      <c r="K129" s="979"/>
      <c r="L129" s="979"/>
      <c r="M129" s="979"/>
      <c r="N129" s="977"/>
      <c r="O129" s="977"/>
      <c r="P129" s="977"/>
      <c r="Q129" s="948"/>
      <c r="R129" s="948"/>
      <c r="S129" s="948"/>
      <c r="T129" s="948"/>
      <c r="U129" s="948"/>
      <c r="V129" s="948"/>
      <c r="W129" s="948"/>
      <c r="X129" s="948"/>
      <c r="Y129" s="948"/>
      <c r="Z129" s="948"/>
      <c r="AA129" s="948"/>
      <c r="AB129" s="948"/>
      <c r="AC129" s="948"/>
      <c r="AD129" s="948"/>
      <c r="AE129" s="948"/>
      <c r="AF129" s="948"/>
      <c r="AG129" s="948"/>
      <c r="AH129" s="948"/>
      <c r="AI129" s="924"/>
      <c r="AJ129" s="924"/>
      <c r="AK129" s="924"/>
      <c r="AL129" s="925">
        <v>1</v>
      </c>
    </row>
    <row r="130" spans="1:40" s="627" customFormat="1" ht="30" customHeight="1">
      <c r="A130" s="921"/>
      <c r="B130" s="980"/>
      <c r="C130" s="983" t="s">
        <v>2444</v>
      </c>
      <c r="D130" s="983"/>
      <c r="E130" s="983"/>
      <c r="F130" s="983"/>
      <c r="G130" s="983"/>
      <c r="H130" s="983"/>
      <c r="I130" s="983"/>
      <c r="J130" s="983"/>
      <c r="K130" s="983"/>
      <c r="L130" s="983"/>
      <c r="M130" s="983"/>
      <c r="N130" s="983"/>
      <c r="O130" s="983"/>
      <c r="P130" s="983"/>
      <c r="Q130" s="948"/>
      <c r="R130" s="948"/>
      <c r="S130" s="948"/>
      <c r="T130" s="948"/>
      <c r="U130" s="948"/>
      <c r="V130" s="948"/>
      <c r="W130" s="948"/>
      <c r="X130" s="948"/>
      <c r="Y130" s="948"/>
      <c r="Z130" s="948"/>
      <c r="AA130" s="948"/>
      <c r="AB130" s="948"/>
      <c r="AC130" s="948"/>
      <c r="AD130" s="948"/>
      <c r="AE130" s="948"/>
      <c r="AF130" s="948"/>
      <c r="AG130" s="948"/>
      <c r="AH130" s="948"/>
      <c r="AI130" s="924"/>
      <c r="AJ130" s="924"/>
      <c r="AK130" s="924"/>
      <c r="AL130" s="925">
        <v>1</v>
      </c>
    </row>
    <row r="131" spans="1:40" s="627" customFormat="1" ht="30" customHeight="1">
      <c r="A131" s="921"/>
      <c r="B131" s="980"/>
      <c r="C131" s="981"/>
      <c r="D131" s="981"/>
      <c r="E131" s="981"/>
      <c r="F131" s="981"/>
      <c r="G131" s="981"/>
      <c r="H131" s="981"/>
      <c r="I131" s="981"/>
      <c r="J131" s="981"/>
      <c r="K131" s="981"/>
      <c r="L131" s="981"/>
      <c r="M131" s="981"/>
      <c r="N131" s="981"/>
      <c r="O131" s="981"/>
      <c r="P131" s="981"/>
      <c r="Q131" s="948"/>
      <c r="R131" s="948"/>
      <c r="S131" s="948"/>
      <c r="T131" s="948"/>
      <c r="U131" s="948"/>
      <c r="V131" s="948"/>
      <c r="W131" s="948"/>
      <c r="X131" s="948"/>
      <c r="Y131" s="948"/>
      <c r="Z131" s="948"/>
      <c r="AA131" s="948"/>
      <c r="AB131" s="948"/>
      <c r="AC131" s="948"/>
      <c r="AD131" s="948"/>
      <c r="AE131" s="948"/>
      <c r="AF131" s="948"/>
      <c r="AG131" s="948"/>
      <c r="AH131" s="948"/>
      <c r="AI131" s="924"/>
      <c r="AJ131" s="924"/>
      <c r="AK131" s="924"/>
      <c r="AL131" s="925">
        <v>1</v>
      </c>
    </row>
    <row r="132" spans="1:40" s="627" customFormat="1" ht="30" customHeight="1">
      <c r="A132" s="921"/>
      <c r="B132" s="949"/>
      <c r="C132" s="950"/>
      <c r="D132" s="951"/>
      <c r="E132" s="951"/>
      <c r="F132" s="951"/>
      <c r="G132" s="951"/>
      <c r="H132" s="951"/>
      <c r="I132" s="951"/>
      <c r="J132" s="951"/>
      <c r="K132" s="951"/>
      <c r="L132" s="951"/>
      <c r="M132" s="951"/>
      <c r="N132" s="951"/>
      <c r="O132" s="951"/>
      <c r="P132" s="948"/>
      <c r="Q132" s="948"/>
      <c r="R132" s="948"/>
      <c r="S132" s="948"/>
      <c r="T132" s="948"/>
      <c r="U132" s="948"/>
      <c r="V132" s="948"/>
      <c r="W132" s="948"/>
      <c r="X132" s="948"/>
      <c r="Y132" s="948"/>
      <c r="Z132" s="948"/>
      <c r="AA132" s="948"/>
      <c r="AB132" s="948"/>
      <c r="AC132" s="948"/>
      <c r="AD132" s="948"/>
      <c r="AE132" s="948"/>
      <c r="AF132" s="948"/>
      <c r="AG132" s="948"/>
      <c r="AH132" s="948"/>
      <c r="AI132" s="924"/>
      <c r="AJ132" s="924"/>
      <c r="AK132" s="924"/>
      <c r="AL132" s="925">
        <v>1</v>
      </c>
    </row>
    <row r="133" spans="1:40" s="984" customFormat="1" ht="39.950000000000003" customHeight="1">
      <c r="A133" s="921"/>
      <c r="B133" s="985"/>
      <c r="C133" s="949" t="s">
        <v>2445</v>
      </c>
      <c r="D133" s="949"/>
      <c r="E133" s="923"/>
      <c r="F133" s="923"/>
      <c r="G133" s="923"/>
      <c r="H133" s="923"/>
      <c r="I133" s="923"/>
      <c r="J133" s="923"/>
      <c r="K133" s="923"/>
      <c r="L133" s="923"/>
      <c r="M133" s="923"/>
      <c r="N133" s="923"/>
      <c r="O133" s="923"/>
      <c r="P133" s="923"/>
      <c r="Q133" s="923"/>
      <c r="R133" s="923"/>
      <c r="S133" s="923"/>
      <c r="T133" s="923"/>
      <c r="U133" s="923"/>
      <c r="V133" s="923"/>
      <c r="W133" s="923"/>
      <c r="X133" s="923"/>
      <c r="Y133" s="923"/>
      <c r="Z133" s="923"/>
      <c r="AA133" s="923"/>
      <c r="AB133" s="923"/>
      <c r="AC133" s="923"/>
      <c r="AD133" s="923"/>
      <c r="AE133" s="923"/>
      <c r="AF133" s="923"/>
      <c r="AG133" s="923"/>
      <c r="AH133" s="923"/>
      <c r="AI133" s="924"/>
      <c r="AJ133" s="924"/>
      <c r="AK133" s="924"/>
      <c r="AL133" s="925">
        <v>1</v>
      </c>
      <c r="AM133" s="627"/>
      <c r="AN133" s="627"/>
    </row>
    <row r="134" spans="1:40" s="984" customFormat="1" ht="39.950000000000003" customHeight="1">
      <c r="A134" s="921"/>
      <c r="B134" s="936" t="s">
        <v>2446</v>
      </c>
      <c r="C134" s="930"/>
      <c r="D134" s="921"/>
      <c r="E134" s="921"/>
      <c r="F134" s="921"/>
      <c r="G134" s="921"/>
      <c r="H134" s="921"/>
      <c r="I134" s="986"/>
      <c r="J134" s="921"/>
      <c r="K134" s="921"/>
      <c r="L134" s="921"/>
      <c r="M134" s="921"/>
      <c r="N134" s="921"/>
      <c r="O134" s="986"/>
      <c r="P134" s="986"/>
      <c r="Q134" s="986"/>
      <c r="R134" s="986"/>
      <c r="S134" s="986"/>
      <c r="T134" s="923"/>
      <c r="U134" s="923"/>
      <c r="V134" s="923"/>
      <c r="W134" s="923"/>
      <c r="X134" s="923"/>
      <c r="Y134" s="923"/>
      <c r="Z134" s="923"/>
      <c r="AA134" s="923"/>
      <c r="AB134" s="923"/>
      <c r="AC134" s="923"/>
      <c r="AD134" s="923"/>
      <c r="AE134" s="923"/>
      <c r="AF134" s="923"/>
      <c r="AG134" s="923"/>
      <c r="AH134" s="923"/>
      <c r="AI134" s="924"/>
      <c r="AJ134" s="924"/>
      <c r="AK134" s="924"/>
      <c r="AL134" s="925">
        <v>1</v>
      </c>
      <c r="AM134" s="627"/>
      <c r="AN134" s="627"/>
    </row>
    <row r="135" spans="1:40" ht="25.5">
      <c r="A135" s="921"/>
      <c r="B135" s="987"/>
      <c r="C135" s="988"/>
      <c r="D135" s="988"/>
      <c r="E135" s="988"/>
      <c r="F135" s="989"/>
      <c r="G135" s="989"/>
      <c r="H135" s="989"/>
      <c r="I135" s="989"/>
      <c r="J135" s="923"/>
      <c r="K135" s="923"/>
      <c r="L135" s="923"/>
      <c r="M135" s="923"/>
      <c r="N135" s="923"/>
      <c r="O135" s="923"/>
      <c r="P135" s="924"/>
      <c r="Q135" s="986"/>
      <c r="R135" s="986"/>
      <c r="S135" s="986"/>
      <c r="T135" s="923"/>
      <c r="U135" s="923"/>
      <c r="V135" s="923"/>
      <c r="W135" s="923"/>
      <c r="X135" s="923"/>
      <c r="Y135" s="923"/>
      <c r="Z135" s="923"/>
      <c r="AA135" s="923"/>
      <c r="AB135" s="923"/>
      <c r="AC135" s="923"/>
      <c r="AD135" s="923"/>
      <c r="AE135" s="923"/>
      <c r="AF135" s="923"/>
      <c r="AG135" s="923"/>
      <c r="AH135" s="923"/>
      <c r="AI135" s="924"/>
      <c r="AJ135" s="924"/>
      <c r="AK135" s="924"/>
      <c r="AL135" s="925">
        <v>1</v>
      </c>
    </row>
    <row r="136" spans="1:40">
      <c r="A136" s="921"/>
      <c r="B136" s="694">
        <v>18</v>
      </c>
      <c r="C136" s="694">
        <v>19</v>
      </c>
      <c r="D136" s="694">
        <v>15</v>
      </c>
      <c r="E136" s="694">
        <v>11</v>
      </c>
      <c r="F136" s="694">
        <v>16</v>
      </c>
      <c r="G136" s="694">
        <v>11</v>
      </c>
      <c r="H136" s="694">
        <v>21</v>
      </c>
      <c r="I136" s="694">
        <v>17</v>
      </c>
      <c r="J136" s="694">
        <v>11</v>
      </c>
      <c r="K136" s="694">
        <v>11</v>
      </c>
      <c r="L136" s="694">
        <v>11</v>
      </c>
      <c r="M136" s="694">
        <v>18</v>
      </c>
      <c r="N136" s="694">
        <v>11</v>
      </c>
      <c r="O136" s="694">
        <v>19</v>
      </c>
      <c r="P136" s="694">
        <v>13</v>
      </c>
      <c r="Q136" s="986"/>
      <c r="R136" s="986"/>
      <c r="S136" s="986"/>
      <c r="T136" s="923"/>
      <c r="U136" s="923"/>
      <c r="V136" s="923"/>
      <c r="W136" s="923"/>
      <c r="X136" s="923"/>
      <c r="Y136" s="923"/>
      <c r="Z136" s="923"/>
      <c r="AA136" s="923"/>
      <c r="AB136" s="923"/>
      <c r="AC136" s="923"/>
      <c r="AD136" s="923"/>
      <c r="AE136" s="923"/>
      <c r="AF136" s="923"/>
      <c r="AG136" s="923"/>
      <c r="AH136" s="923"/>
      <c r="AI136" s="924"/>
      <c r="AJ136" s="924"/>
      <c r="AK136" s="924"/>
      <c r="AL136" s="925">
        <v>1</v>
      </c>
    </row>
    <row r="137" spans="1:40" ht="26.25">
      <c r="A137" s="921"/>
      <c r="B137" s="6440" t="s">
        <v>186</v>
      </c>
      <c r="C137" s="6441"/>
      <c r="D137" s="6441"/>
      <c r="E137" s="6441"/>
      <c r="F137" s="6441"/>
      <c r="G137" s="6441"/>
      <c r="H137" s="6441"/>
      <c r="I137" s="6441"/>
      <c r="J137" s="6441"/>
      <c r="K137" s="6441"/>
      <c r="L137" s="6441"/>
      <c r="M137" s="6441"/>
      <c r="N137" s="6441"/>
      <c r="O137" s="6441"/>
      <c r="P137" s="6442"/>
      <c r="Q137" s="986"/>
      <c r="R137" s="986"/>
      <c r="S137" s="986"/>
      <c r="T137" s="923"/>
      <c r="U137" s="923"/>
      <c r="V137" s="923"/>
      <c r="W137" s="923"/>
      <c r="X137" s="923"/>
      <c r="Y137" s="923"/>
      <c r="Z137" s="923"/>
      <c r="AA137" s="923"/>
      <c r="AB137" s="923"/>
      <c r="AC137" s="923"/>
      <c r="AD137" s="923"/>
      <c r="AE137" s="923"/>
      <c r="AF137" s="923"/>
      <c r="AG137" s="923"/>
      <c r="AH137" s="923"/>
      <c r="AI137" s="924"/>
      <c r="AJ137" s="924"/>
      <c r="AK137" s="924"/>
      <c r="AL137" s="925">
        <v>1</v>
      </c>
    </row>
    <row r="138" spans="1:40" ht="21">
      <c r="A138" s="921"/>
      <c r="B138" s="559" t="s">
        <v>677</v>
      </c>
      <c r="C138" s="1189" t="s">
        <v>676</v>
      </c>
      <c r="D138" s="9"/>
      <c r="E138" s="1159"/>
      <c r="F138" s="990"/>
      <c r="G138" s="1150" t="s">
        <v>2447</v>
      </c>
      <c r="H138" s="1168" t="s">
        <v>3006</v>
      </c>
      <c r="I138"/>
      <c r="J138" s="6435" t="s">
        <v>884</v>
      </c>
      <c r="K138" s="6435"/>
      <c r="L138" s="1168" t="s">
        <v>3005</v>
      </c>
      <c r="M138" s="991"/>
      <c r="N138" s="1164">
        <f>C139*B139</f>
        <v>1250</v>
      </c>
      <c r="O138" s="1165">
        <f>(C140*B139)/1000</f>
        <v>162.5</v>
      </c>
      <c r="P138" s="1172"/>
      <c r="Q138" s="986"/>
      <c r="R138" s="986"/>
      <c r="S138" s="986"/>
      <c r="T138" s="923"/>
      <c r="U138" s="923"/>
      <c r="V138" s="923"/>
      <c r="W138" s="923"/>
      <c r="X138" s="923"/>
      <c r="Y138" s="923"/>
      <c r="Z138" s="923"/>
      <c r="AA138" s="923"/>
      <c r="AB138" s="923"/>
      <c r="AC138" s="923"/>
      <c r="AD138" s="923"/>
      <c r="AE138" s="923"/>
      <c r="AF138" s="923"/>
      <c r="AG138" s="923"/>
      <c r="AH138" s="923"/>
      <c r="AI138" s="924"/>
      <c r="AJ138" s="924"/>
      <c r="AK138" s="924"/>
      <c r="AL138" s="925">
        <v>1</v>
      </c>
    </row>
    <row r="139" spans="1:40" ht="21">
      <c r="A139" s="921"/>
      <c r="B139" s="6445">
        <v>1250</v>
      </c>
      <c r="C139" s="564">
        <v>1</v>
      </c>
      <c r="D139" s="1169" t="str">
        <f>"&lt; Nb de "&amp;J138&amp;" par personne "</f>
        <v xml:space="preserve">&lt; Nb de tranches par personne </v>
      </c>
      <c r="E139" s="1163"/>
      <c r="F139" s="9"/>
      <c r="G139" s="565">
        <v>7</v>
      </c>
      <c r="H139" s="1169" t="str">
        <f>"&lt; Nb "&amp;J138&amp;" dans 1 " &amp;G138</f>
        <v>&lt; Nb tranches dans 1 Barquette(s)</v>
      </c>
      <c r="I139" s="992"/>
      <c r="J139" s="1170" t="str">
        <f>IF(OR(G139="",N138=0),"",INT(N138/G139) &amp; " " &amp; G138 &amp; " de " &amp; G139 &amp; " " &amp; J138 &amp; IF(MOD(N138,G139)&gt;0," + 1 " &amp; G138 &amp; " de " &amp; TEXT(MOD(N138,G139),"0.00") &amp; " " &amp; J138,""))</f>
        <v>178 Barquette(s) de 7 tranches + 1 Barquette(s) de 4.00 tranches</v>
      </c>
      <c r="K139" s="1160"/>
      <c r="L139" s="1160"/>
      <c r="M139" s="1160"/>
      <c r="N139" s="1160"/>
      <c r="O139" s="1160"/>
      <c r="P139" s="1173"/>
      <c r="Q139" s="986"/>
      <c r="R139" s="986"/>
      <c r="S139" s="986"/>
      <c r="T139" s="923"/>
      <c r="U139" s="923"/>
      <c r="V139" s="923"/>
      <c r="W139" s="923"/>
      <c r="X139" s="923"/>
      <c r="Y139" s="923"/>
      <c r="Z139" s="923"/>
      <c r="AA139" s="923"/>
      <c r="AB139" s="923"/>
      <c r="AC139" s="923"/>
      <c r="AD139" s="923"/>
      <c r="AE139" s="923"/>
      <c r="AF139" s="923"/>
      <c r="AG139" s="923"/>
      <c r="AH139" s="923"/>
      <c r="AI139" s="924"/>
      <c r="AJ139" s="924"/>
      <c r="AK139" s="924"/>
      <c r="AL139" s="925">
        <v>1</v>
      </c>
    </row>
    <row r="140" spans="1:40" ht="21">
      <c r="A140" s="921"/>
      <c r="B140" s="6445"/>
      <c r="C140" s="1167">
        <v>130</v>
      </c>
      <c r="D140" s="1188" t="s">
        <v>3004</v>
      </c>
      <c r="E140" s="993"/>
      <c r="F140" s="9"/>
      <c r="G140" s="1166">
        <v>1.3</v>
      </c>
      <c r="H140" s="1149" t="str">
        <f>"&lt; poids par "&amp; G138</f>
        <v>&lt; poids par Barquette(s)</v>
      </c>
      <c r="I140" s="991"/>
      <c r="J140" s="1171" t="str">
        <f>IF(OR(O138&lt;=0,G140&lt;=0),"",_xlfn.LET(_xlpm.n,ROUND(O138/G140,9),_xlpm.q,INT(_xlpm.n),_xlpm.r,ROUND(O138-_xlpm.q*G140,9),_xlpm.base,_xlpm.q&amp;" "&amp;G138&amp;" de "&amp;TEXT(G140,"0.000")&amp;" kg",IF(_xlpm.r&lt;=0.000000001,_xlpm.base,_xlpm.base&amp;" + 1 "&amp;G138&amp;" de "&amp;TEXT(_xlpm.r,"0.000")&amp;" kg")))</f>
        <v>125 Barquette(s) de 1.300 kg</v>
      </c>
      <c r="K140" s="1161"/>
      <c r="L140" s="1161"/>
      <c r="M140" s="1161"/>
      <c r="N140" s="1161"/>
      <c r="O140" s="1161"/>
      <c r="P140" s="1174"/>
      <c r="Q140" s="986"/>
      <c r="R140" s="986"/>
      <c r="S140" s="986"/>
      <c r="T140" s="923"/>
      <c r="U140" s="923"/>
      <c r="V140" s="923"/>
      <c r="W140" s="923"/>
      <c r="X140" s="923"/>
      <c r="Y140" s="923"/>
      <c r="Z140" s="923"/>
      <c r="AA140" s="923"/>
      <c r="AB140" s="923"/>
      <c r="AC140" s="923"/>
      <c r="AD140" s="923"/>
      <c r="AE140" s="923"/>
      <c r="AF140" s="923"/>
      <c r="AG140" s="923"/>
      <c r="AH140" s="923"/>
      <c r="AI140" s="924"/>
      <c r="AJ140" s="924"/>
      <c r="AK140" s="924"/>
      <c r="AL140" s="925">
        <v>1</v>
      </c>
    </row>
    <row r="141" spans="1:40" ht="21">
      <c r="A141" s="921"/>
      <c r="B141" s="1175" t="s">
        <v>2448</v>
      </c>
      <c r="C141" s="994"/>
      <c r="D141" s="1044"/>
      <c r="E141" s="1044"/>
      <c r="F141" s="1044"/>
      <c r="G141" s="994"/>
      <c r="H141" s="994"/>
      <c r="I141" s="994"/>
      <c r="J141" s="994"/>
      <c r="K141" s="994"/>
      <c r="L141" s="994"/>
      <c r="M141" s="994"/>
      <c r="N141" s="995"/>
      <c r="O141" s="1162"/>
      <c r="P141" s="1176"/>
      <c r="Q141" s="986"/>
      <c r="R141" s="986"/>
      <c r="S141" s="986"/>
      <c r="T141" s="923"/>
      <c r="U141" s="923"/>
      <c r="V141" s="923"/>
      <c r="W141" s="923"/>
      <c r="X141" s="923"/>
      <c r="Y141" s="923"/>
      <c r="Z141" s="923"/>
      <c r="AA141" s="923"/>
      <c r="AB141" s="923"/>
      <c r="AC141" s="923"/>
      <c r="AD141" s="923"/>
      <c r="AE141" s="923"/>
      <c r="AF141" s="923"/>
      <c r="AG141" s="923"/>
      <c r="AH141" s="923"/>
      <c r="AI141" s="924"/>
      <c r="AJ141" s="924"/>
      <c r="AK141" s="924"/>
      <c r="AL141" s="925">
        <v>1</v>
      </c>
    </row>
    <row r="142" spans="1:40" ht="21">
      <c r="A142" s="921"/>
      <c r="B142" s="1177"/>
      <c r="C142" s="1178"/>
      <c r="D142" s="1179"/>
      <c r="E142" s="1179"/>
      <c r="F142" s="1180"/>
      <c r="G142" s="1181"/>
      <c r="H142" s="1182"/>
      <c r="I142" s="1183"/>
      <c r="J142" s="1184"/>
      <c r="K142" s="1184"/>
      <c r="L142" s="1184"/>
      <c r="M142" s="1184"/>
      <c r="N142" s="1185"/>
      <c r="O142" s="1186"/>
      <c r="P142" s="1187"/>
      <c r="Q142" s="986"/>
      <c r="R142" s="986"/>
      <c r="S142" s="986"/>
      <c r="T142" s="923"/>
      <c r="U142" s="923"/>
      <c r="V142" s="923"/>
      <c r="W142" s="923"/>
      <c r="X142" s="923"/>
      <c r="Y142" s="923"/>
      <c r="Z142" s="923"/>
      <c r="AA142" s="923"/>
      <c r="AB142" s="923"/>
      <c r="AC142" s="923"/>
      <c r="AD142" s="923"/>
      <c r="AE142" s="923"/>
      <c r="AF142" s="923"/>
      <c r="AG142" s="923"/>
      <c r="AH142" s="923"/>
      <c r="AI142" s="924"/>
      <c r="AJ142" s="924"/>
      <c r="AK142" s="924"/>
      <c r="AL142" s="925">
        <v>1</v>
      </c>
    </row>
    <row r="143" spans="1:40" ht="27">
      <c r="A143" s="921"/>
      <c r="B143" s="996"/>
      <c r="C143" s="921"/>
      <c r="D143" s="921"/>
      <c r="E143" s="921"/>
      <c r="F143" s="921"/>
      <c r="G143" s="921"/>
      <c r="H143" s="921"/>
      <c r="I143" s="986"/>
      <c r="J143" s="921"/>
      <c r="K143" s="921"/>
      <c r="L143" s="921"/>
      <c r="M143" s="921"/>
      <c r="N143" s="921"/>
      <c r="O143" s="986"/>
      <c r="P143" s="986"/>
      <c r="Q143" s="986"/>
      <c r="R143" s="986"/>
      <c r="S143" s="986"/>
      <c r="T143" s="923"/>
      <c r="U143" s="923"/>
      <c r="V143" s="923"/>
      <c r="W143" s="923"/>
      <c r="X143" s="923"/>
      <c r="Y143" s="923"/>
      <c r="Z143" s="923"/>
      <c r="AA143" s="923"/>
      <c r="AB143" s="923"/>
      <c r="AC143" s="923"/>
      <c r="AD143" s="923"/>
      <c r="AE143" s="923"/>
      <c r="AF143" s="923"/>
      <c r="AG143" s="923"/>
      <c r="AH143" s="923"/>
      <c r="AI143" s="924"/>
      <c r="AJ143" s="924"/>
      <c r="AK143" s="924"/>
      <c r="AL143" s="925">
        <v>1</v>
      </c>
    </row>
    <row r="144" spans="1:40" s="627" customFormat="1" ht="30" customHeight="1">
      <c r="A144" s="921"/>
      <c r="B144" s="997" t="s">
        <v>2449</v>
      </c>
      <c r="C144" s="998"/>
      <c r="D144" s="998"/>
      <c r="E144" s="998"/>
      <c r="F144" s="998"/>
      <c r="G144" s="998"/>
      <c r="H144" s="998"/>
      <c r="I144" s="998"/>
      <c r="J144" s="998"/>
      <c r="K144" s="951" t="s">
        <v>21</v>
      </c>
      <c r="L144" s="951"/>
      <c r="M144" s="951"/>
      <c r="N144" s="951"/>
      <c r="O144" s="951"/>
      <c r="P144" s="948"/>
      <c r="Q144" s="948"/>
      <c r="R144" s="948"/>
      <c r="S144" s="948"/>
      <c r="T144" s="948"/>
      <c r="U144" s="948"/>
      <c r="V144" s="948"/>
      <c r="W144" s="948"/>
      <c r="X144" s="948"/>
      <c r="Y144" s="948"/>
      <c r="Z144" s="948"/>
      <c r="AA144" s="948"/>
      <c r="AB144" s="948"/>
      <c r="AC144" s="948"/>
      <c r="AD144" s="948"/>
      <c r="AE144" s="948"/>
      <c r="AF144" s="924"/>
      <c r="AG144" s="924"/>
      <c r="AH144" s="924"/>
      <c r="AI144" s="924"/>
      <c r="AJ144" s="924"/>
      <c r="AK144" s="924"/>
      <c r="AL144" s="925">
        <v>1</v>
      </c>
    </row>
    <row r="145" spans="1:38" s="627" customFormat="1" ht="30" customHeight="1">
      <c r="A145" s="921"/>
      <c r="B145" s="999" t="s">
        <v>2450</v>
      </c>
      <c r="C145" s="998"/>
      <c r="D145" s="998"/>
      <c r="E145" s="998"/>
      <c r="F145" s="998"/>
      <c r="G145" s="998"/>
      <c r="H145" s="998"/>
      <c r="I145" s="998"/>
      <c r="J145" s="998"/>
      <c r="K145" s="951" t="s">
        <v>21</v>
      </c>
      <c r="L145" s="951"/>
      <c r="M145" s="951"/>
      <c r="N145" s="951"/>
      <c r="O145" s="951"/>
      <c r="P145" s="948"/>
      <c r="Q145" s="948"/>
      <c r="R145" s="948"/>
      <c r="S145" s="948"/>
      <c r="T145" s="948"/>
      <c r="U145" s="948"/>
      <c r="V145" s="948"/>
      <c r="W145" s="948"/>
      <c r="X145" s="948"/>
      <c r="Y145" s="948"/>
      <c r="Z145" s="948"/>
      <c r="AA145" s="948"/>
      <c r="AB145" s="948"/>
      <c r="AC145" s="948"/>
      <c r="AD145" s="948"/>
      <c r="AE145" s="948"/>
      <c r="AF145" s="924"/>
      <c r="AG145" s="924"/>
      <c r="AH145" s="924"/>
      <c r="AI145" s="924"/>
      <c r="AJ145" s="924"/>
      <c r="AK145" s="924"/>
      <c r="AL145" s="925">
        <v>1</v>
      </c>
    </row>
    <row r="146" spans="1:38" s="627" customFormat="1" ht="30" customHeight="1">
      <c r="A146" s="921"/>
      <c r="B146" s="999" t="s">
        <v>2451</v>
      </c>
      <c r="C146" s="998"/>
      <c r="D146" s="998"/>
      <c r="E146" s="998"/>
      <c r="F146" s="998"/>
      <c r="G146" s="998"/>
      <c r="H146" s="998"/>
      <c r="I146" s="998"/>
      <c r="J146" s="998"/>
      <c r="K146" s="951" t="s">
        <v>21</v>
      </c>
      <c r="L146" s="951"/>
      <c r="M146" s="951"/>
      <c r="N146" s="951"/>
      <c r="O146" s="951"/>
      <c r="P146" s="948"/>
      <c r="Q146" s="948"/>
      <c r="R146" s="948"/>
      <c r="S146" s="948"/>
      <c r="T146" s="948"/>
      <c r="U146" s="948"/>
      <c r="V146" s="948"/>
      <c r="W146" s="948"/>
      <c r="X146" s="948"/>
      <c r="Y146" s="948"/>
      <c r="Z146" s="948"/>
      <c r="AA146" s="948"/>
      <c r="AB146" s="948"/>
      <c r="AC146" s="948"/>
      <c r="AD146" s="948"/>
      <c r="AE146" s="948"/>
      <c r="AF146" s="924"/>
      <c r="AG146" s="924"/>
      <c r="AH146" s="924"/>
      <c r="AI146" s="924"/>
      <c r="AJ146" s="924"/>
      <c r="AK146" s="924"/>
      <c r="AL146" s="925">
        <v>1</v>
      </c>
    </row>
    <row r="147" spans="1:38" s="627" customFormat="1" ht="30" customHeight="1">
      <c r="A147" s="921"/>
      <c r="B147" s="999" t="s">
        <v>2452</v>
      </c>
      <c r="C147" s="998"/>
      <c r="D147" s="998"/>
      <c r="E147" s="998"/>
      <c r="F147" s="998"/>
      <c r="G147" s="998"/>
      <c r="H147" s="998"/>
      <c r="I147" s="998"/>
      <c r="J147" s="998"/>
      <c r="K147" s="951" t="s">
        <v>21</v>
      </c>
      <c r="L147" s="951"/>
      <c r="M147" s="951"/>
      <c r="N147" s="951"/>
      <c r="O147" s="951"/>
      <c r="P147" s="948"/>
      <c r="Q147" s="948"/>
      <c r="R147" s="948"/>
      <c r="S147" s="948"/>
      <c r="T147" s="948"/>
      <c r="U147" s="948"/>
      <c r="V147" s="948"/>
      <c r="W147" s="948"/>
      <c r="X147" s="948"/>
      <c r="Y147" s="948"/>
      <c r="Z147" s="948"/>
      <c r="AA147" s="948"/>
      <c r="AB147" s="948"/>
      <c r="AC147" s="948"/>
      <c r="AD147" s="948"/>
      <c r="AE147" s="948"/>
      <c r="AF147" s="924"/>
      <c r="AG147" s="924"/>
      <c r="AH147" s="924"/>
      <c r="AI147" s="924"/>
      <c r="AJ147" s="924"/>
      <c r="AK147" s="924"/>
      <c r="AL147" s="925">
        <v>1</v>
      </c>
    </row>
    <row r="148" spans="1:38" s="627" customFormat="1" ht="30" customHeight="1">
      <c r="A148" s="921"/>
      <c r="B148" s="1000" t="s">
        <v>2453</v>
      </c>
      <c r="C148" s="998"/>
      <c r="D148" s="998"/>
      <c r="E148" s="998"/>
      <c r="F148" s="998"/>
      <c r="G148" s="998"/>
      <c r="H148" s="998"/>
      <c r="I148" s="998"/>
      <c r="J148" s="998"/>
      <c r="K148" s="951" t="s">
        <v>21</v>
      </c>
      <c r="L148" s="951"/>
      <c r="M148" s="951"/>
      <c r="N148" s="951"/>
      <c r="O148" s="951"/>
      <c r="P148" s="948"/>
      <c r="Q148" s="948"/>
      <c r="R148" s="948"/>
      <c r="S148" s="948"/>
      <c r="T148" s="948"/>
      <c r="U148" s="948"/>
      <c r="V148" s="948"/>
      <c r="W148" s="948"/>
      <c r="X148" s="948"/>
      <c r="Y148" s="948"/>
      <c r="Z148" s="948"/>
      <c r="AA148" s="948"/>
      <c r="AB148" s="948"/>
      <c r="AC148" s="948"/>
      <c r="AD148" s="948"/>
      <c r="AE148" s="948"/>
      <c r="AF148" s="924"/>
      <c r="AG148" s="924"/>
      <c r="AH148" s="924"/>
      <c r="AI148" s="924"/>
      <c r="AJ148" s="924"/>
      <c r="AK148" s="924"/>
      <c r="AL148" s="925">
        <v>1</v>
      </c>
    </row>
    <row r="149" spans="1:38" s="627" customFormat="1" ht="30" customHeight="1">
      <c r="A149" s="921"/>
      <c r="B149" s="999" t="s">
        <v>2454</v>
      </c>
      <c r="C149" s="998"/>
      <c r="D149" s="998"/>
      <c r="E149" s="998"/>
      <c r="F149" s="998"/>
      <c r="G149" s="998"/>
      <c r="H149" s="998"/>
      <c r="I149" s="998"/>
      <c r="J149" s="998"/>
      <c r="K149" s="951" t="s">
        <v>21</v>
      </c>
      <c r="L149" s="951"/>
      <c r="M149" s="951"/>
      <c r="N149" s="951"/>
      <c r="O149" s="951"/>
      <c r="P149" s="948"/>
      <c r="Q149" s="948"/>
      <c r="R149" s="948"/>
      <c r="S149" s="948"/>
      <c r="T149" s="948"/>
      <c r="U149" s="948"/>
      <c r="V149" s="948"/>
      <c r="W149" s="948"/>
      <c r="X149" s="948"/>
      <c r="Y149" s="948"/>
      <c r="Z149" s="948"/>
      <c r="AA149" s="948"/>
      <c r="AB149" s="948"/>
      <c r="AC149" s="948"/>
      <c r="AD149" s="948"/>
      <c r="AE149" s="948"/>
      <c r="AF149" s="924"/>
      <c r="AG149" s="924"/>
      <c r="AH149" s="924"/>
      <c r="AI149" s="924"/>
      <c r="AJ149" s="924"/>
      <c r="AK149" s="924"/>
      <c r="AL149" s="925">
        <v>1</v>
      </c>
    </row>
    <row r="150" spans="1:38" s="627" customFormat="1" ht="30" customHeight="1">
      <c r="A150" s="921"/>
      <c r="B150" s="1001" t="s">
        <v>2455</v>
      </c>
      <c r="C150" s="998"/>
      <c r="D150" s="998"/>
      <c r="E150" s="998"/>
      <c r="F150" s="998"/>
      <c r="G150" s="998"/>
      <c r="H150" s="998"/>
      <c r="I150" s="998"/>
      <c r="J150" s="998"/>
      <c r="K150" s="951" t="s">
        <v>21</v>
      </c>
      <c r="L150" s="951"/>
      <c r="M150" s="951"/>
      <c r="N150" s="951"/>
      <c r="O150" s="951"/>
      <c r="P150" s="948"/>
      <c r="Q150" s="948"/>
      <c r="R150" s="948"/>
      <c r="S150" s="948"/>
      <c r="T150" s="948"/>
      <c r="U150" s="948"/>
      <c r="V150" s="948"/>
      <c r="W150" s="948"/>
      <c r="X150" s="948"/>
      <c r="Y150" s="948"/>
      <c r="Z150" s="948"/>
      <c r="AA150" s="948"/>
      <c r="AB150" s="948"/>
      <c r="AC150" s="948"/>
      <c r="AD150" s="948"/>
      <c r="AE150" s="948"/>
      <c r="AF150" s="924"/>
      <c r="AG150" s="924"/>
      <c r="AH150" s="924"/>
      <c r="AI150" s="924"/>
      <c r="AJ150" s="924"/>
      <c r="AK150" s="924"/>
      <c r="AL150" s="925">
        <v>1</v>
      </c>
    </row>
    <row r="151" spans="1:38" s="627" customFormat="1" ht="30" customHeight="1">
      <c r="A151" s="921"/>
      <c r="B151" s="999" t="s">
        <v>2456</v>
      </c>
      <c r="C151" s="998"/>
      <c r="D151" s="998"/>
      <c r="E151" s="998"/>
      <c r="F151" s="998"/>
      <c r="G151" s="998"/>
      <c r="H151" s="998"/>
      <c r="I151" s="998"/>
      <c r="J151" s="998"/>
      <c r="K151" s="951" t="s">
        <v>21</v>
      </c>
      <c r="L151" s="951"/>
      <c r="M151" s="951"/>
      <c r="N151" s="951"/>
      <c r="O151" s="951"/>
      <c r="P151" s="948"/>
      <c r="Q151" s="948"/>
      <c r="R151" s="948"/>
      <c r="S151" s="948"/>
      <c r="T151" s="948"/>
      <c r="U151" s="948"/>
      <c r="V151" s="948"/>
      <c r="W151" s="948"/>
      <c r="X151" s="948"/>
      <c r="Y151" s="948"/>
      <c r="Z151" s="948"/>
      <c r="AA151" s="948"/>
      <c r="AB151" s="948"/>
      <c r="AC151" s="948"/>
      <c r="AD151" s="948"/>
      <c r="AE151" s="948"/>
      <c r="AF151" s="924"/>
      <c r="AG151" s="924"/>
      <c r="AH151" s="924"/>
      <c r="AI151" s="924"/>
      <c r="AJ151" s="924"/>
      <c r="AK151" s="924"/>
      <c r="AL151" s="925">
        <v>1</v>
      </c>
    </row>
    <row r="152" spans="1:38" s="627" customFormat="1" ht="30" customHeight="1">
      <c r="A152" s="921"/>
      <c r="B152" s="998"/>
      <c r="C152" s="998"/>
      <c r="D152" s="998"/>
      <c r="E152" s="998"/>
      <c r="F152" s="998"/>
      <c r="G152" s="998"/>
      <c r="H152" s="998"/>
      <c r="I152" s="998"/>
      <c r="J152" s="998"/>
      <c r="K152" s="951" t="s">
        <v>21</v>
      </c>
      <c r="L152" s="951"/>
      <c r="M152" s="951"/>
      <c r="N152" s="951"/>
      <c r="O152" s="951"/>
      <c r="P152" s="948"/>
      <c r="Q152" s="948"/>
      <c r="R152" s="948"/>
      <c r="S152" s="948"/>
      <c r="T152" s="948"/>
      <c r="U152" s="948"/>
      <c r="V152" s="948"/>
      <c r="W152" s="948"/>
      <c r="X152" s="948"/>
      <c r="Y152" s="948"/>
      <c r="Z152" s="948"/>
      <c r="AA152" s="948"/>
      <c r="AB152" s="948"/>
      <c r="AC152" s="948"/>
      <c r="AD152" s="948"/>
      <c r="AE152" s="948"/>
      <c r="AF152" s="924"/>
      <c r="AG152" s="924"/>
      <c r="AH152" s="924"/>
      <c r="AI152" s="924"/>
      <c r="AJ152" s="924"/>
      <c r="AK152" s="924"/>
      <c r="AL152" s="925">
        <v>1</v>
      </c>
    </row>
    <row r="153" spans="1:38" s="627" customFormat="1" ht="30" customHeight="1">
      <c r="A153" s="921"/>
      <c r="B153" s="999" t="s">
        <v>2457</v>
      </c>
      <c r="C153" s="998"/>
      <c r="D153" s="998"/>
      <c r="E153" s="998"/>
      <c r="F153" s="998"/>
      <c r="G153" s="998"/>
      <c r="H153" s="998"/>
      <c r="I153" s="998"/>
      <c r="J153" s="998"/>
      <c r="K153" s="951" t="s">
        <v>21</v>
      </c>
      <c r="L153" s="951"/>
      <c r="M153" s="951"/>
      <c r="N153" s="951"/>
      <c r="O153" s="951"/>
      <c r="P153" s="948"/>
      <c r="Q153" s="948"/>
      <c r="R153" s="948"/>
      <c r="S153" s="948"/>
      <c r="T153" s="948"/>
      <c r="U153" s="948"/>
      <c r="V153" s="948"/>
      <c r="W153" s="948"/>
      <c r="X153" s="948"/>
      <c r="Y153" s="948"/>
      <c r="Z153" s="948"/>
      <c r="AA153" s="948"/>
      <c r="AB153" s="948"/>
      <c r="AC153" s="948"/>
      <c r="AD153" s="948"/>
      <c r="AE153" s="948"/>
      <c r="AF153" s="924"/>
      <c r="AG153" s="924"/>
      <c r="AH153" s="924"/>
      <c r="AI153" s="924"/>
      <c r="AJ153" s="924"/>
      <c r="AK153" s="924"/>
      <c r="AL153" s="925">
        <v>1</v>
      </c>
    </row>
    <row r="154" spans="1:38" s="627" customFormat="1" ht="30" customHeight="1">
      <c r="A154" s="921"/>
      <c r="B154" s="1000" t="s">
        <v>2458</v>
      </c>
      <c r="C154" s="998"/>
      <c r="D154" s="998"/>
      <c r="E154" s="998"/>
      <c r="F154" s="998"/>
      <c r="G154" s="998"/>
      <c r="H154" s="998"/>
      <c r="I154" s="998"/>
      <c r="J154" s="998"/>
      <c r="K154" s="951" t="s">
        <v>21</v>
      </c>
      <c r="L154" s="951"/>
      <c r="M154" s="951"/>
      <c r="N154" s="951"/>
      <c r="O154" s="951"/>
      <c r="P154" s="948"/>
      <c r="Q154" s="948"/>
      <c r="R154" s="948"/>
      <c r="S154" s="948"/>
      <c r="T154" s="948"/>
      <c r="U154" s="948"/>
      <c r="V154" s="948"/>
      <c r="W154" s="948"/>
      <c r="X154" s="948"/>
      <c r="Y154" s="948"/>
      <c r="Z154" s="948"/>
      <c r="AA154" s="948"/>
      <c r="AB154" s="948"/>
      <c r="AC154" s="948"/>
      <c r="AD154" s="948"/>
      <c r="AE154" s="948"/>
      <c r="AF154" s="924"/>
      <c r="AG154" s="924"/>
      <c r="AH154" s="924"/>
      <c r="AI154" s="924"/>
      <c r="AJ154" s="924"/>
      <c r="AK154" s="924"/>
      <c r="AL154" s="925">
        <v>1</v>
      </c>
    </row>
    <row r="155" spans="1:38" s="627" customFormat="1" ht="30" customHeight="1">
      <c r="A155" s="921"/>
      <c r="B155" s="999"/>
      <c r="C155" s="998"/>
      <c r="D155" s="998"/>
      <c r="E155" s="998"/>
      <c r="F155" s="998"/>
      <c r="G155" s="998"/>
      <c r="H155" s="998"/>
      <c r="I155" s="998"/>
      <c r="J155" s="998"/>
      <c r="K155" s="951" t="s">
        <v>21</v>
      </c>
      <c r="L155" s="951"/>
      <c r="M155" s="951"/>
      <c r="N155" s="951"/>
      <c r="O155" s="951"/>
      <c r="P155" s="948"/>
      <c r="Q155" s="948"/>
      <c r="R155" s="948"/>
      <c r="S155" s="948"/>
      <c r="T155" s="948"/>
      <c r="U155" s="948"/>
      <c r="V155" s="948"/>
      <c r="W155" s="948"/>
      <c r="X155" s="948"/>
      <c r="Y155" s="948"/>
      <c r="Z155" s="948"/>
      <c r="AA155" s="948"/>
      <c r="AB155" s="948"/>
      <c r="AC155" s="948"/>
      <c r="AD155" s="948"/>
      <c r="AE155" s="948"/>
      <c r="AF155" s="924"/>
      <c r="AG155" s="924"/>
      <c r="AH155" s="924"/>
      <c r="AI155" s="924"/>
      <c r="AJ155" s="924"/>
      <c r="AK155" s="924"/>
      <c r="AL155" s="925">
        <v>1</v>
      </c>
    </row>
    <row r="156" spans="1:38" s="627" customFormat="1" ht="30" customHeight="1">
      <c r="A156" s="921"/>
      <c r="B156" s="999" t="s">
        <v>2459</v>
      </c>
      <c r="C156" s="998"/>
      <c r="D156" s="998"/>
      <c r="E156" s="998"/>
      <c r="F156" s="998"/>
      <c r="G156" s="998"/>
      <c r="H156" s="998"/>
      <c r="I156" s="998"/>
      <c r="J156" s="998"/>
      <c r="K156" s="951" t="s">
        <v>21</v>
      </c>
      <c r="L156" s="951"/>
      <c r="M156" s="951"/>
      <c r="N156" s="951"/>
      <c r="O156" s="951"/>
      <c r="P156" s="948"/>
      <c r="Q156" s="948"/>
      <c r="R156" s="948"/>
      <c r="S156" s="948"/>
      <c r="T156" s="948"/>
      <c r="U156" s="948"/>
      <c r="V156" s="948"/>
      <c r="W156" s="948"/>
      <c r="X156" s="948"/>
      <c r="Y156" s="948"/>
      <c r="Z156" s="948"/>
      <c r="AA156" s="948"/>
      <c r="AB156" s="948"/>
      <c r="AC156" s="948"/>
      <c r="AD156" s="948"/>
      <c r="AE156" s="948"/>
      <c r="AF156" s="924"/>
      <c r="AG156" s="924"/>
      <c r="AH156" s="924"/>
      <c r="AI156" s="924"/>
      <c r="AJ156" s="924"/>
      <c r="AK156" s="924"/>
      <c r="AL156" s="925">
        <v>1</v>
      </c>
    </row>
    <row r="157" spans="1:38" s="627" customFormat="1" ht="30" customHeight="1">
      <c r="A157" s="921"/>
      <c r="B157" s="1000" t="s">
        <v>2460</v>
      </c>
      <c r="C157" s="998"/>
      <c r="D157" s="998"/>
      <c r="E157" s="998"/>
      <c r="F157" s="998"/>
      <c r="G157" s="998"/>
      <c r="H157" s="998"/>
      <c r="I157" s="998"/>
      <c r="J157" s="998"/>
      <c r="K157" s="951" t="s">
        <v>21</v>
      </c>
      <c r="L157" s="951"/>
      <c r="M157" s="951"/>
      <c r="N157" s="951"/>
      <c r="O157" s="951"/>
      <c r="P157" s="948"/>
      <c r="Q157" s="948"/>
      <c r="R157" s="948"/>
      <c r="S157" s="948"/>
      <c r="T157" s="948"/>
      <c r="U157" s="948"/>
      <c r="V157" s="948"/>
      <c r="W157" s="948"/>
      <c r="X157" s="948"/>
      <c r="Y157" s="948"/>
      <c r="Z157" s="948"/>
      <c r="AA157" s="948"/>
      <c r="AB157" s="948"/>
      <c r="AC157" s="948"/>
      <c r="AD157" s="948"/>
      <c r="AE157" s="948"/>
      <c r="AF157" s="924"/>
      <c r="AG157" s="924"/>
      <c r="AH157" s="924"/>
      <c r="AI157" s="924"/>
      <c r="AJ157" s="924"/>
      <c r="AK157" s="924"/>
      <c r="AL157" s="925">
        <v>1</v>
      </c>
    </row>
    <row r="158" spans="1:38" s="627" customFormat="1" ht="30" customHeight="1">
      <c r="A158" s="921"/>
      <c r="B158" s="1000" t="s">
        <v>2461</v>
      </c>
      <c r="C158" s="998"/>
      <c r="D158" s="998"/>
      <c r="E158" s="998"/>
      <c r="F158" s="998"/>
      <c r="G158" s="998"/>
      <c r="H158" s="998"/>
      <c r="I158" s="998"/>
      <c r="J158" s="998"/>
      <c r="K158" s="951" t="s">
        <v>21</v>
      </c>
      <c r="L158" s="951"/>
      <c r="M158" s="951"/>
      <c r="N158" s="923"/>
      <c r="O158" s="923"/>
      <c r="P158" s="948"/>
      <c r="Q158" s="948"/>
      <c r="R158" s="948"/>
      <c r="S158" s="948"/>
      <c r="T158" s="948"/>
      <c r="U158" s="948"/>
      <c r="V158" s="948"/>
      <c r="W158" s="948"/>
      <c r="X158" s="948"/>
      <c r="Y158" s="948"/>
      <c r="Z158" s="948"/>
      <c r="AA158" s="948"/>
      <c r="AB158" s="948"/>
      <c r="AC158" s="948"/>
      <c r="AD158" s="948"/>
      <c r="AE158" s="948"/>
      <c r="AF158" s="924"/>
      <c r="AG158" s="924"/>
      <c r="AH158" s="924"/>
      <c r="AI158" s="924"/>
      <c r="AJ158" s="924"/>
      <c r="AK158" s="924"/>
      <c r="AL158" s="925">
        <v>1</v>
      </c>
    </row>
    <row r="159" spans="1:38" s="627" customFormat="1" ht="30" customHeight="1">
      <c r="A159" s="921"/>
      <c r="B159" s="999" t="s">
        <v>2462</v>
      </c>
      <c r="C159" s="998"/>
      <c r="D159" s="998"/>
      <c r="E159" s="998"/>
      <c r="F159" s="998"/>
      <c r="G159" s="998"/>
      <c r="H159" s="998"/>
      <c r="I159" s="998"/>
      <c r="J159" s="998"/>
      <c r="K159" s="951"/>
      <c r="L159" s="951"/>
      <c r="M159" s="951"/>
      <c r="N159" s="923"/>
      <c r="O159" s="923"/>
      <c r="P159" s="948"/>
      <c r="Q159" s="948"/>
      <c r="R159" s="948"/>
      <c r="S159" s="948"/>
      <c r="T159" s="948"/>
      <c r="U159" s="948"/>
      <c r="V159" s="948"/>
      <c r="W159" s="948"/>
      <c r="X159" s="948"/>
      <c r="Y159" s="948"/>
      <c r="Z159" s="948"/>
      <c r="AA159" s="948"/>
      <c r="AB159" s="948"/>
      <c r="AC159" s="948"/>
      <c r="AD159" s="948"/>
      <c r="AE159" s="948"/>
      <c r="AF159" s="924"/>
      <c r="AG159" s="924"/>
      <c r="AH159" s="924"/>
      <c r="AI159" s="924"/>
      <c r="AJ159" s="924"/>
      <c r="AK159" s="924"/>
      <c r="AL159" s="925">
        <v>1</v>
      </c>
    </row>
    <row r="160" spans="1:38" s="627" customFormat="1" ht="30" customHeight="1">
      <c r="A160" s="921"/>
      <c r="B160" s="1000" t="s">
        <v>2463</v>
      </c>
      <c r="C160" s="998"/>
      <c r="D160" s="998"/>
      <c r="E160" s="998"/>
      <c r="F160" s="998"/>
      <c r="G160" s="998"/>
      <c r="H160" s="998"/>
      <c r="I160" s="998"/>
      <c r="J160" s="998"/>
      <c r="K160" s="951"/>
      <c r="L160" s="951"/>
      <c r="M160" s="951"/>
      <c r="N160" s="923"/>
      <c r="O160" s="923"/>
      <c r="P160" s="948"/>
      <c r="Q160" s="948"/>
      <c r="R160" s="948"/>
      <c r="S160" s="948"/>
      <c r="T160" s="948"/>
      <c r="U160" s="948"/>
      <c r="V160" s="948"/>
      <c r="W160" s="948"/>
      <c r="X160" s="948"/>
      <c r="Y160" s="948"/>
      <c r="Z160" s="948"/>
      <c r="AA160" s="948"/>
      <c r="AB160" s="948"/>
      <c r="AC160" s="948"/>
      <c r="AD160" s="948"/>
      <c r="AE160" s="948"/>
      <c r="AF160" s="924"/>
      <c r="AG160" s="924"/>
      <c r="AH160" s="924"/>
      <c r="AI160" s="924"/>
      <c r="AJ160" s="924"/>
      <c r="AK160" s="924"/>
      <c r="AL160" s="925">
        <v>1</v>
      </c>
    </row>
    <row r="161" spans="1:40" s="627" customFormat="1" ht="27">
      <c r="A161" s="921"/>
      <c r="B161" s="996"/>
      <c r="C161" s="921"/>
      <c r="D161" s="921"/>
      <c r="E161" s="921"/>
      <c r="F161" s="921"/>
      <c r="G161" s="921"/>
      <c r="H161" s="921"/>
      <c r="I161" s="986"/>
      <c r="J161" s="921"/>
      <c r="K161" s="921"/>
      <c r="L161" s="921"/>
      <c r="M161" s="921"/>
      <c r="N161" s="921"/>
      <c r="O161" s="986"/>
      <c r="P161" s="986"/>
      <c r="Q161" s="986"/>
      <c r="R161" s="986"/>
      <c r="S161" s="986"/>
      <c r="T161" s="923"/>
      <c r="U161" s="923"/>
      <c r="V161" s="923"/>
      <c r="W161" s="923"/>
      <c r="X161" s="923"/>
      <c r="Y161" s="923"/>
      <c r="Z161" s="923"/>
      <c r="AA161" s="923"/>
      <c r="AB161" s="923"/>
      <c r="AC161" s="923"/>
      <c r="AD161" s="923"/>
      <c r="AE161" s="923"/>
      <c r="AF161" s="923"/>
      <c r="AG161" s="923"/>
      <c r="AH161" s="923"/>
      <c r="AI161" s="924"/>
      <c r="AJ161" s="924"/>
      <c r="AK161" s="924"/>
      <c r="AL161" s="925">
        <v>1</v>
      </c>
    </row>
    <row r="162" spans="1:40" s="627" customFormat="1" ht="26.25">
      <c r="A162" s="921"/>
      <c r="B162" s="1002" t="s">
        <v>2464</v>
      </c>
      <c r="C162" s="1003"/>
      <c r="D162" s="1004"/>
      <c r="E162" s="987"/>
      <c r="F162" s="1005"/>
      <c r="G162" s="1005"/>
      <c r="H162" s="1005"/>
      <c r="I162" s="1005"/>
      <c r="J162" s="1006"/>
      <c r="K162" s="1006"/>
      <c r="L162" s="923"/>
      <c r="M162" s="923"/>
      <c r="N162" s="923"/>
      <c r="O162" s="923"/>
      <c r="P162" s="924"/>
      <c r="Q162" s="986"/>
      <c r="R162" s="986"/>
      <c r="S162" s="986"/>
      <c r="T162" s="923"/>
      <c r="U162" s="923"/>
      <c r="V162" s="923"/>
      <c r="W162" s="923"/>
      <c r="X162" s="923"/>
      <c r="Y162" s="923"/>
      <c r="Z162" s="923"/>
      <c r="AA162" s="923"/>
      <c r="AB162" s="923"/>
      <c r="AC162" s="923"/>
      <c r="AD162" s="923"/>
      <c r="AE162" s="923"/>
      <c r="AF162" s="923"/>
      <c r="AG162" s="923"/>
      <c r="AH162" s="923"/>
      <c r="AI162" s="924"/>
      <c r="AJ162" s="924"/>
      <c r="AK162" s="924"/>
      <c r="AL162" s="925">
        <v>1</v>
      </c>
    </row>
    <row r="163" spans="1:40" s="627" customFormat="1" ht="26.25">
      <c r="A163" s="921"/>
      <c r="B163" s="1007" t="s">
        <v>2465</v>
      </c>
      <c r="C163" s="1008"/>
      <c r="D163" s="1009"/>
      <c r="E163" s="1010"/>
      <c r="F163" s="1010"/>
      <c r="G163" s="1010"/>
      <c r="H163" s="1010"/>
      <c r="I163" s="1010"/>
      <c r="J163" s="1010"/>
      <c r="K163" s="1006">
        <v>1</v>
      </c>
      <c r="L163" s="923"/>
      <c r="M163" s="923"/>
      <c r="N163" s="923"/>
      <c r="O163" s="923"/>
      <c r="P163" s="924"/>
      <c r="Q163" s="986"/>
      <c r="R163" s="986"/>
      <c r="S163" s="986"/>
      <c r="T163" s="923"/>
      <c r="U163" s="923"/>
      <c r="V163" s="923"/>
      <c r="W163" s="923"/>
      <c r="X163" s="923"/>
      <c r="Y163" s="923"/>
      <c r="Z163" s="923"/>
      <c r="AA163" s="923"/>
      <c r="AB163" s="923"/>
      <c r="AC163" s="923"/>
      <c r="AD163" s="923"/>
      <c r="AE163" s="923"/>
      <c r="AF163" s="923"/>
      <c r="AG163" s="923"/>
      <c r="AH163" s="923"/>
      <c r="AI163" s="924"/>
      <c r="AJ163" s="924"/>
      <c r="AK163" s="924"/>
      <c r="AL163" s="925">
        <v>1</v>
      </c>
    </row>
    <row r="164" spans="1:40" s="627" customFormat="1" ht="26.25">
      <c r="A164" s="921"/>
      <c r="B164" s="1011" t="s">
        <v>2466</v>
      </c>
      <c r="C164" s="1008"/>
      <c r="D164" s="1009"/>
      <c r="E164" s="1010"/>
      <c r="F164" s="1010"/>
      <c r="G164" s="1010"/>
      <c r="H164" s="1010"/>
      <c r="I164" s="1010"/>
      <c r="J164" s="1010"/>
      <c r="K164" s="1006">
        <v>1</v>
      </c>
      <c r="L164" s="923"/>
      <c r="M164" s="923"/>
      <c r="N164" s="923"/>
      <c r="O164" s="923"/>
      <c r="P164" s="924"/>
      <c r="Q164" s="986"/>
      <c r="R164" s="986"/>
      <c r="S164" s="986"/>
      <c r="T164" s="923"/>
      <c r="U164" s="923"/>
      <c r="V164" s="923"/>
      <c r="W164" s="923"/>
      <c r="X164" s="923"/>
      <c r="Y164" s="923"/>
      <c r="Z164" s="923"/>
      <c r="AA164" s="923"/>
      <c r="AB164" s="923"/>
      <c r="AC164" s="923"/>
      <c r="AD164" s="923"/>
      <c r="AE164" s="923"/>
      <c r="AF164" s="923"/>
      <c r="AG164" s="923"/>
      <c r="AH164" s="923"/>
      <c r="AI164" s="924"/>
      <c r="AJ164" s="924"/>
      <c r="AK164" s="924"/>
      <c r="AL164" s="925">
        <v>1</v>
      </c>
    </row>
    <row r="165" spans="1:40" s="627" customFormat="1" ht="26.25">
      <c r="A165" s="921"/>
      <c r="B165" s="1012" t="s">
        <v>2467</v>
      </c>
      <c r="C165" s="1003"/>
      <c r="D165" s="1013"/>
      <c r="E165" s="987"/>
      <c r="F165" s="1014" t="s">
        <v>2468</v>
      </c>
      <c r="G165" s="1005"/>
      <c r="H165" s="1005"/>
      <c r="I165" s="1005"/>
      <c r="J165" s="1006"/>
      <c r="K165" s="1006"/>
      <c r="L165" s="923"/>
      <c r="M165" s="923"/>
      <c r="N165" s="923"/>
      <c r="O165" s="923"/>
      <c r="P165" s="924"/>
      <c r="Q165" s="986"/>
      <c r="R165" s="986"/>
      <c r="S165" s="986"/>
      <c r="T165" s="923"/>
      <c r="U165" s="923"/>
      <c r="V165" s="923"/>
      <c r="W165" s="923"/>
      <c r="X165" s="923"/>
      <c r="Y165" s="923"/>
      <c r="Z165" s="923"/>
      <c r="AA165" s="923"/>
      <c r="AB165" s="923"/>
      <c r="AC165" s="923"/>
      <c r="AD165" s="923"/>
      <c r="AE165" s="923"/>
      <c r="AF165" s="923"/>
      <c r="AG165" s="923"/>
      <c r="AH165" s="923"/>
      <c r="AI165" s="924"/>
      <c r="AJ165" s="924"/>
      <c r="AK165" s="924"/>
      <c r="AL165" s="925">
        <v>1</v>
      </c>
    </row>
    <row r="166" spans="1:40" s="627" customFormat="1" ht="26.25">
      <c r="A166" s="921"/>
      <c r="B166" s="1015"/>
      <c r="C166" s="1016" t="s">
        <v>2469</v>
      </c>
      <c r="D166" s="1013"/>
      <c r="E166" s="987"/>
      <c r="F166" s="1005"/>
      <c r="G166" s="1005"/>
      <c r="H166" s="1005"/>
      <c r="I166" s="1005"/>
      <c r="J166" s="1006">
        <v>1</v>
      </c>
      <c r="K166" s="1006">
        <v>1</v>
      </c>
      <c r="L166" s="923"/>
      <c r="M166" s="923"/>
      <c r="N166" s="923"/>
      <c r="O166" s="923"/>
      <c r="P166" s="924"/>
      <c r="Q166" s="986"/>
      <c r="R166" s="986"/>
      <c r="S166" s="986"/>
      <c r="T166" s="923"/>
      <c r="U166" s="923"/>
      <c r="V166" s="923"/>
      <c r="W166" s="923"/>
      <c r="X166" s="923"/>
      <c r="Y166" s="923"/>
      <c r="Z166" s="923"/>
      <c r="AA166" s="923"/>
      <c r="AB166" s="923"/>
      <c r="AC166" s="923"/>
      <c r="AD166" s="923"/>
      <c r="AE166" s="923"/>
      <c r="AF166" s="923"/>
      <c r="AG166" s="923"/>
      <c r="AH166" s="923"/>
      <c r="AI166" s="924"/>
      <c r="AJ166" s="924"/>
      <c r="AK166" s="924"/>
      <c r="AL166" s="925">
        <v>1</v>
      </c>
    </row>
    <row r="167" spans="1:40" s="627" customFormat="1" ht="26.25">
      <c r="A167" s="921"/>
      <c r="B167" s="1017" t="str">
        <f>IF(B166="","",IF(AND(CODE(LEFT(B166,1))=66,CODE(RIGHT(B166,1))=90),"",CHOOSE(MATCH((LEN(B166)&amp;CODE(RIGHT(B166,1)))*1,{165;190;265;290},1),CHAR(CODE(B166)+1),"AA",LEFT(B166,1)&amp;CHAR(CODE(RIGHT(B166,1))+1),"BA",LEFT(B166,2)&amp;CHAR(CODE(RIGHT(B166,1))+1))))</f>
        <v/>
      </c>
      <c r="C167" s="1018" t="str">
        <f ca="1">_xlfn.FORMULATEXT(B167)</f>
        <v>=SI(B166="";"";SI(ET(CODE(GAUCHE(B166;1))=66;CODE(DROITE(B166;1))=90);"";CHOISIR(EQUIV((NBCAR(B166)&amp;CODE(DROITE(B166;1)))*1;{165;190;265;290};1);CAR(CODE(B166)+1);"AA";GAUCHE(B166;1)&amp;CAR(CODE(DROITE(B166;1))+1);"BA";GAUCHE(B166;2)&amp;CAR(CODE(DROITE(B166;1))+1))))</v>
      </c>
      <c r="D167" s="1013"/>
      <c r="E167" s="987"/>
      <c r="F167" s="1005"/>
      <c r="G167" s="1005"/>
      <c r="H167" s="1005"/>
      <c r="I167" s="1005"/>
      <c r="J167" s="1006"/>
      <c r="K167" s="1006"/>
      <c r="L167" s="923"/>
      <c r="M167" s="923"/>
      <c r="N167" s="923"/>
      <c r="O167" s="923"/>
      <c r="P167" s="924"/>
      <c r="Q167" s="986"/>
      <c r="R167" s="986"/>
      <c r="S167" s="986"/>
      <c r="T167" s="923"/>
      <c r="U167" s="923"/>
      <c r="V167" s="923"/>
      <c r="W167" s="923"/>
      <c r="X167" s="923"/>
      <c r="Y167" s="923"/>
      <c r="Z167" s="923"/>
      <c r="AA167" s="923"/>
      <c r="AB167" s="923"/>
      <c r="AC167" s="923"/>
      <c r="AD167" s="923"/>
      <c r="AE167" s="923"/>
      <c r="AF167" s="923"/>
      <c r="AG167" s="923"/>
      <c r="AH167" s="923"/>
      <c r="AI167" s="924"/>
      <c r="AJ167" s="924"/>
      <c r="AK167" s="924"/>
      <c r="AL167" s="925">
        <v>1</v>
      </c>
    </row>
    <row r="168" spans="1:40" s="627" customFormat="1" ht="26.25">
      <c r="A168" s="921"/>
      <c r="B168" s="1017"/>
      <c r="C168" s="1018"/>
      <c r="D168" s="1013"/>
      <c r="E168" s="987"/>
      <c r="F168" s="1005"/>
      <c r="G168" s="1005"/>
      <c r="H168" s="1005"/>
      <c r="I168" s="1005"/>
      <c r="J168" s="1006"/>
      <c r="K168" s="1006"/>
      <c r="L168" s="923"/>
      <c r="M168" s="923"/>
      <c r="N168" s="923"/>
      <c r="O168" s="923"/>
      <c r="P168" s="924"/>
      <c r="Q168" s="986"/>
      <c r="R168" s="986"/>
      <c r="S168" s="986"/>
      <c r="T168" s="923"/>
      <c r="U168" s="923"/>
      <c r="V168" s="923"/>
      <c r="W168" s="923"/>
      <c r="X168" s="923"/>
      <c r="Y168" s="923"/>
      <c r="Z168" s="923"/>
      <c r="AA168" s="923"/>
      <c r="AB168" s="923"/>
      <c r="AC168" s="923"/>
      <c r="AD168" s="923"/>
      <c r="AE168" s="923"/>
      <c r="AF168" s="923"/>
      <c r="AG168" s="923"/>
      <c r="AH168" s="923"/>
      <c r="AI168" s="924"/>
      <c r="AJ168" s="924"/>
      <c r="AK168" s="924"/>
      <c r="AL168" s="925">
        <v>1</v>
      </c>
    </row>
    <row r="169" spans="1:40" s="627" customFormat="1" ht="26.25">
      <c r="A169" s="921"/>
      <c r="B169" s="1002" t="s">
        <v>883</v>
      </c>
      <c r="C169" s="1002"/>
      <c r="D169" s="1002"/>
      <c r="E169" s="1002"/>
      <c r="F169" s="1002"/>
      <c r="G169" s="1002"/>
      <c r="H169" s="923"/>
      <c r="I169" s="989"/>
      <c r="J169" s="923"/>
      <c r="K169" s="923"/>
      <c r="L169" s="923"/>
      <c r="M169" s="923"/>
      <c r="N169" s="923"/>
      <c r="O169" s="923"/>
      <c r="P169" s="924"/>
      <c r="Q169" s="986"/>
      <c r="R169" s="986"/>
      <c r="S169" s="986"/>
      <c r="T169" s="923"/>
      <c r="U169" s="923"/>
      <c r="V169" s="923"/>
      <c r="W169" s="923"/>
      <c r="X169" s="923"/>
      <c r="Y169" s="923"/>
      <c r="Z169" s="923"/>
      <c r="AA169" s="923"/>
      <c r="AB169" s="923"/>
      <c r="AC169" s="923"/>
      <c r="AD169" s="923"/>
      <c r="AE169" s="923"/>
      <c r="AF169" s="923"/>
      <c r="AG169" s="923"/>
      <c r="AH169" s="923"/>
      <c r="AI169" s="924"/>
      <c r="AJ169" s="924"/>
      <c r="AK169" s="924"/>
      <c r="AL169" s="925">
        <v>1</v>
      </c>
    </row>
    <row r="170" spans="1:40" s="627" customFormat="1" ht="26.25">
      <c r="A170" s="921"/>
      <c r="B170" s="1002" t="s">
        <v>2470</v>
      </c>
      <c r="C170" s="1002"/>
      <c r="D170" s="1002"/>
      <c r="E170" s="1002"/>
      <c r="F170" s="1002"/>
      <c r="G170" s="1002"/>
      <c r="H170" s="923"/>
      <c r="I170" s="989"/>
      <c r="J170" s="923"/>
      <c r="K170" s="923"/>
      <c r="L170" s="923"/>
      <c r="M170" s="923"/>
      <c r="N170" s="923"/>
      <c r="O170" s="923"/>
      <c r="P170" s="924"/>
      <c r="Q170" s="986"/>
      <c r="R170" s="986"/>
      <c r="S170" s="986"/>
      <c r="T170" s="923"/>
      <c r="U170" s="923"/>
      <c r="V170" s="923"/>
      <c r="W170" s="923"/>
      <c r="X170" s="923"/>
      <c r="Y170" s="923"/>
      <c r="Z170" s="923"/>
      <c r="AA170" s="923"/>
      <c r="AB170" s="923"/>
      <c r="AC170" s="923"/>
      <c r="AD170" s="923"/>
      <c r="AE170" s="923"/>
      <c r="AF170" s="923"/>
      <c r="AG170" s="923"/>
      <c r="AH170" s="923"/>
      <c r="AI170" s="924"/>
      <c r="AJ170" s="924"/>
      <c r="AK170" s="924"/>
      <c r="AL170" s="925">
        <v>1</v>
      </c>
    </row>
    <row r="171" spans="1:40" s="627" customFormat="1" ht="26.25">
      <c r="A171" s="921"/>
      <c r="B171" s="1019" t="s">
        <v>829</v>
      </c>
      <c r="C171" s="1002" t="s">
        <v>2471</v>
      </c>
      <c r="D171" s="989"/>
      <c r="E171" s="989"/>
      <c r="F171" s="989"/>
      <c r="G171" s="989"/>
      <c r="H171" s="923"/>
      <c r="I171" s="989"/>
      <c r="J171" s="923"/>
      <c r="K171" s="923"/>
      <c r="L171" s="923"/>
      <c r="M171" s="923"/>
      <c r="N171" s="923"/>
      <c r="O171" s="923"/>
      <c r="P171" s="924"/>
      <c r="Q171" s="986"/>
      <c r="R171" s="986"/>
      <c r="S171" s="986"/>
      <c r="T171" s="923"/>
      <c r="U171" s="923"/>
      <c r="V171" s="923"/>
      <c r="W171" s="923"/>
      <c r="X171" s="923"/>
      <c r="Y171" s="923"/>
      <c r="Z171" s="923"/>
      <c r="AA171" s="923"/>
      <c r="AB171" s="923"/>
      <c r="AC171" s="923"/>
      <c r="AD171" s="923"/>
      <c r="AE171" s="923"/>
      <c r="AF171" s="923"/>
      <c r="AG171" s="923"/>
      <c r="AH171" s="923"/>
      <c r="AI171" s="924"/>
      <c r="AJ171" s="924"/>
      <c r="AK171" s="924"/>
      <c r="AL171" s="925">
        <v>1</v>
      </c>
    </row>
    <row r="172" spans="1:40" s="627" customFormat="1" ht="26.25">
      <c r="A172" s="921"/>
      <c r="B172" s="1020" t="str">
        <f>IF(COLUMN()-COLUMN(B172)+1&lt;=26, CHAR(64+COLUMN()-COLUMN(B172)+1), CHAR(64+INT((COLUMN()-COLUMN(B172))/26))&amp;CHAR(64+MOD(COLUMN()-COLUMN(B172)-1,26)+1))</f>
        <v>A</v>
      </c>
      <c r="C172" s="1015" t="s">
        <v>1484</v>
      </c>
      <c r="D172" s="1015" t="s">
        <v>1485</v>
      </c>
      <c r="E172" s="1015" t="s">
        <v>1486</v>
      </c>
      <c r="F172" s="1015" t="s">
        <v>2472</v>
      </c>
      <c r="G172" s="989"/>
      <c r="H172" s="923"/>
      <c r="I172" s="989"/>
      <c r="J172" s="923"/>
      <c r="K172" s="923"/>
      <c r="L172" s="923"/>
      <c r="M172" s="923"/>
      <c r="N172" s="923"/>
      <c r="O172" s="923"/>
      <c r="P172" s="924"/>
      <c r="Q172" s="986"/>
      <c r="R172" s="986"/>
      <c r="S172" s="986"/>
      <c r="T172" s="923"/>
      <c r="U172" s="923"/>
      <c r="V172" s="923"/>
      <c r="W172" s="923"/>
      <c r="X172" s="923"/>
      <c r="Y172" s="923"/>
      <c r="Z172" s="923"/>
      <c r="AA172" s="923"/>
      <c r="AB172" s="923"/>
      <c r="AC172" s="923"/>
      <c r="AD172" s="923"/>
      <c r="AE172" s="923"/>
      <c r="AF172" s="923"/>
      <c r="AG172" s="923"/>
      <c r="AH172" s="923"/>
      <c r="AI172" s="924"/>
      <c r="AJ172" s="924"/>
      <c r="AK172" s="924"/>
      <c r="AL172" s="925">
        <v>1</v>
      </c>
    </row>
    <row r="173" spans="1:40" s="627" customFormat="1" ht="26.25">
      <c r="A173" s="921"/>
      <c r="B173" s="1002" t="s">
        <v>2473</v>
      </c>
      <c r="C173" s="1004"/>
      <c r="D173" s="988"/>
      <c r="E173" s="988"/>
      <c r="F173" s="988"/>
      <c r="G173" s="988"/>
      <c r="H173" s="988"/>
      <c r="I173" s="988"/>
      <c r="J173" s="923"/>
      <c r="K173" s="923"/>
      <c r="L173" s="923"/>
      <c r="M173" s="923"/>
      <c r="N173" s="923"/>
      <c r="O173" s="923"/>
      <c r="P173" s="924"/>
      <c r="Q173" s="986"/>
      <c r="R173" s="986"/>
      <c r="S173" s="986"/>
      <c r="T173" s="923"/>
      <c r="U173" s="923"/>
      <c r="V173" s="923"/>
      <c r="W173" s="923"/>
      <c r="X173" s="923"/>
      <c r="Y173" s="923"/>
      <c r="Z173" s="923"/>
      <c r="AA173" s="923"/>
      <c r="AB173" s="923"/>
      <c r="AC173" s="923"/>
      <c r="AD173" s="923"/>
      <c r="AE173" s="923"/>
      <c r="AF173" s="923"/>
      <c r="AG173" s="923"/>
      <c r="AH173" s="923"/>
      <c r="AI173" s="924"/>
      <c r="AJ173" s="924"/>
      <c r="AK173" s="924"/>
      <c r="AL173" s="925">
        <v>1</v>
      </c>
    </row>
    <row r="174" spans="1:40" s="627" customFormat="1" ht="26.25">
      <c r="A174" s="921"/>
      <c r="B174" s="1017"/>
      <c r="C174" s="1018"/>
      <c r="D174" s="1013"/>
      <c r="E174" s="987"/>
      <c r="F174" s="1005"/>
      <c r="G174" s="1005"/>
      <c r="H174" s="1005"/>
      <c r="I174" s="1005"/>
      <c r="J174" s="1006"/>
      <c r="K174" s="1006"/>
      <c r="L174" s="923"/>
      <c r="M174" s="923"/>
      <c r="N174" s="923"/>
      <c r="O174" s="923"/>
      <c r="P174" s="924"/>
      <c r="Q174" s="986"/>
      <c r="R174" s="986"/>
      <c r="S174" s="986"/>
      <c r="T174" s="923"/>
      <c r="U174" s="923"/>
      <c r="V174" s="923"/>
      <c r="W174" s="923"/>
      <c r="X174" s="923"/>
      <c r="Y174" s="923"/>
      <c r="Z174" s="923"/>
      <c r="AA174" s="923"/>
      <c r="AB174" s="923"/>
      <c r="AC174" s="923"/>
      <c r="AD174" s="923"/>
      <c r="AE174" s="923"/>
      <c r="AF174" s="923"/>
      <c r="AG174" s="923"/>
      <c r="AH174" s="923"/>
      <c r="AI174" s="924"/>
      <c r="AJ174" s="924"/>
      <c r="AK174" s="924"/>
      <c r="AL174" s="925">
        <v>1</v>
      </c>
    </row>
    <row r="175" spans="1:40" s="627" customFormat="1" ht="26.25">
      <c r="A175" s="921"/>
      <c r="B175" s="1017"/>
      <c r="C175" s="1018"/>
      <c r="D175" s="1013"/>
      <c r="E175" s="987"/>
      <c r="F175" s="1005"/>
      <c r="G175" s="1005"/>
      <c r="H175" s="1005"/>
      <c r="I175" s="1005"/>
      <c r="J175" s="1006"/>
      <c r="K175" s="1006"/>
      <c r="L175" s="923"/>
      <c r="M175" s="923"/>
      <c r="N175" s="923"/>
      <c r="O175" s="923"/>
      <c r="P175" s="924"/>
      <c r="Q175" s="986"/>
      <c r="R175" s="986"/>
      <c r="S175" s="986"/>
      <c r="T175" s="923"/>
      <c r="U175" s="923"/>
      <c r="V175" s="923"/>
      <c r="W175" s="923"/>
      <c r="X175" s="923"/>
      <c r="Y175" s="923"/>
      <c r="Z175" s="923"/>
      <c r="AA175" s="923"/>
      <c r="AB175" s="923"/>
      <c r="AC175" s="923"/>
      <c r="AD175" s="923"/>
      <c r="AE175" s="923"/>
      <c r="AF175" s="923"/>
      <c r="AG175" s="923"/>
      <c r="AH175" s="923"/>
      <c r="AI175" s="924"/>
      <c r="AJ175" s="924"/>
      <c r="AK175" s="924"/>
      <c r="AL175" s="925">
        <v>1</v>
      </c>
    </row>
    <row r="176" spans="1:40" s="984" customFormat="1" ht="40.5" customHeight="1">
      <c r="A176" s="921"/>
      <c r="B176" s="1021" t="s">
        <v>2474</v>
      </c>
      <c r="C176" s="921"/>
      <c r="D176" s="921"/>
      <c r="E176" s="921"/>
      <c r="F176" s="921"/>
      <c r="G176" s="921"/>
      <c r="H176" s="921"/>
      <c r="I176" s="948"/>
      <c r="J176" s="921"/>
      <c r="K176" s="921"/>
      <c r="L176" s="921"/>
      <c r="M176" s="921"/>
      <c r="N176" s="921"/>
      <c r="O176" s="948"/>
      <c r="P176" s="948"/>
      <c r="Q176" s="948"/>
      <c r="R176" s="948"/>
      <c r="S176" s="948"/>
      <c r="T176" s="1021" t="s">
        <v>2475</v>
      </c>
      <c r="U176" s="923"/>
      <c r="V176" s="923"/>
      <c r="W176" s="923"/>
      <c r="X176" s="923"/>
      <c r="Y176" s="923"/>
      <c r="Z176" s="1022"/>
      <c r="AA176" s="1022"/>
      <c r="AB176" s="1022"/>
      <c r="AC176" s="1022"/>
      <c r="AD176" s="1022"/>
      <c r="AE176" s="1022"/>
      <c r="AF176" s="1022"/>
      <c r="AG176" s="1022"/>
      <c r="AH176" s="1023"/>
      <c r="AI176" s="1023"/>
      <c r="AJ176" s="923"/>
      <c r="AK176" s="923"/>
      <c r="AL176" s="925">
        <v>1</v>
      </c>
      <c r="AM176" s="627"/>
      <c r="AN176" s="627"/>
    </row>
    <row r="177" spans="1:40" s="984" customFormat="1" ht="40.5" customHeight="1">
      <c r="A177" s="921"/>
      <c r="B177" s="996"/>
      <c r="C177" s="971" t="s">
        <v>2476</v>
      </c>
      <c r="D177" s="921"/>
      <c r="E177" s="1024" t="s">
        <v>2477</v>
      </c>
      <c r="F177" s="948"/>
      <c r="G177" s="1025" t="s">
        <v>2478</v>
      </c>
      <c r="H177" s="921"/>
      <c r="I177" s="948"/>
      <c r="J177" s="929" t="s">
        <v>2479</v>
      </c>
      <c r="K177" s="921"/>
      <c r="L177" s="921"/>
      <c r="M177" s="921"/>
      <c r="N177" s="921"/>
      <c r="O177" s="948"/>
      <c r="P177" s="948"/>
      <c r="Q177" s="948"/>
      <c r="R177" s="948"/>
      <c r="S177" s="948"/>
      <c r="T177" s="1026" t="s">
        <v>2480</v>
      </c>
      <c r="U177" s="1027"/>
      <c r="V177" s="1028">
        <v>15.5</v>
      </c>
      <c r="W177" s="923"/>
      <c r="X177" s="1029">
        <v>15.5</v>
      </c>
      <c r="Y177" s="923"/>
      <c r="Z177" s="1022"/>
      <c r="AA177" s="1022"/>
      <c r="AB177" s="1022"/>
      <c r="AC177" s="1022"/>
      <c r="AD177" s="1022"/>
      <c r="AE177" s="1022"/>
      <c r="AF177" s="1022"/>
      <c r="AG177" s="1022"/>
      <c r="AH177" s="1023"/>
      <c r="AI177" s="1023"/>
      <c r="AJ177" s="923"/>
      <c r="AK177" s="923"/>
      <c r="AL177" s="925">
        <v>1</v>
      </c>
      <c r="AM177" s="627"/>
      <c r="AN177" s="627"/>
    </row>
    <row r="178" spans="1:40" s="984" customFormat="1" ht="40.5" customHeight="1">
      <c r="A178" s="921"/>
      <c r="B178" s="996"/>
      <c r="C178" s="971" t="s">
        <v>2481</v>
      </c>
      <c r="D178" s="921"/>
      <c r="E178" s="1024" t="s">
        <v>2482</v>
      </c>
      <c r="F178" s="948"/>
      <c r="G178" s="1025" t="s">
        <v>2483</v>
      </c>
      <c r="H178" s="921"/>
      <c r="I178" s="948"/>
      <c r="J178" s="929" t="s">
        <v>2484</v>
      </c>
      <c r="K178" s="921"/>
      <c r="L178" s="921"/>
      <c r="M178" s="921"/>
      <c r="N178" s="921"/>
      <c r="O178" s="948"/>
      <c r="P178" s="948"/>
      <c r="Q178" s="948"/>
      <c r="R178" s="948"/>
      <c r="S178" s="948"/>
      <c r="T178" s="1030" t="s">
        <v>2485</v>
      </c>
      <c r="U178" s="1027"/>
      <c r="V178" s="1024" t="s">
        <v>881</v>
      </c>
      <c r="W178" s="923"/>
      <c r="X178" s="1031" t="s">
        <v>882</v>
      </c>
      <c r="Y178" s="923"/>
      <c r="Z178" s="1022"/>
      <c r="AA178" s="1022"/>
      <c r="AB178" s="1022"/>
      <c r="AC178" s="1022"/>
      <c r="AD178" s="1022"/>
      <c r="AE178" s="1022"/>
      <c r="AF178" s="1022"/>
      <c r="AG178" s="1022"/>
      <c r="AH178" s="1023"/>
      <c r="AI178" s="1023"/>
      <c r="AJ178" s="923"/>
      <c r="AK178" s="923"/>
      <c r="AL178" s="925">
        <v>1</v>
      </c>
      <c r="AM178" s="627"/>
      <c r="AN178" s="627"/>
    </row>
    <row r="179" spans="1:40" s="984" customFormat="1" ht="40.5" customHeight="1">
      <c r="A179" s="921"/>
      <c r="B179" s="996"/>
      <c r="C179" s="921"/>
      <c r="D179" s="921"/>
      <c r="E179" s="921"/>
      <c r="F179" s="921"/>
      <c r="G179" s="921"/>
      <c r="H179" s="921"/>
      <c r="I179" s="948"/>
      <c r="J179" s="921"/>
      <c r="K179" s="921"/>
      <c r="L179" s="921"/>
      <c r="M179" s="921"/>
      <c r="N179" s="921"/>
      <c r="O179" s="948"/>
      <c r="P179" s="948"/>
      <c r="Q179" s="948"/>
      <c r="R179" s="948"/>
      <c r="S179" s="948"/>
      <c r="T179" s="923"/>
      <c r="U179" s="923"/>
      <c r="V179" s="923"/>
      <c r="W179" s="923"/>
      <c r="X179" s="923"/>
      <c r="Y179" s="923"/>
      <c r="Z179" s="1022"/>
      <c r="AA179" s="1022"/>
      <c r="AB179" s="1022"/>
      <c r="AC179" s="1022"/>
      <c r="AD179" s="1022"/>
      <c r="AE179" s="1022"/>
      <c r="AF179" s="1022"/>
      <c r="AG179" s="1022"/>
      <c r="AH179" s="1023"/>
      <c r="AI179" s="1023"/>
      <c r="AJ179" s="923"/>
      <c r="AK179" s="923"/>
      <c r="AL179" s="925">
        <v>1</v>
      </c>
      <c r="AM179" s="627"/>
      <c r="AN179" s="627"/>
    </row>
    <row r="180" spans="1:40" s="984" customFormat="1" ht="40.5" customHeight="1">
      <c r="A180" s="921"/>
      <c r="B180" s="1021" t="s">
        <v>2486</v>
      </c>
      <c r="C180" s="921"/>
      <c r="D180" s="921"/>
      <c r="E180" s="921"/>
      <c r="F180" s="921"/>
      <c r="G180" s="921"/>
      <c r="H180" s="921"/>
      <c r="I180" s="948"/>
      <c r="J180" s="921"/>
      <c r="K180" s="921"/>
      <c r="L180" s="921"/>
      <c r="M180" s="921"/>
      <c r="N180" s="921"/>
      <c r="O180" s="948"/>
      <c r="P180" s="948"/>
      <c r="Q180" s="948"/>
      <c r="R180" s="948"/>
      <c r="S180" s="948"/>
      <c r="T180" s="923"/>
      <c r="U180" s="923"/>
      <c r="V180" s="923"/>
      <c r="W180" s="923"/>
      <c r="X180" s="923"/>
      <c r="Y180" s="923"/>
      <c r="Z180" s="923"/>
      <c r="AA180" s="923"/>
      <c r="AB180" s="923"/>
      <c r="AC180" s="923"/>
      <c r="AD180" s="923"/>
      <c r="AE180" s="923"/>
      <c r="AF180" s="923"/>
      <c r="AG180" s="923"/>
      <c r="AH180" s="923"/>
      <c r="AI180" s="923"/>
      <c r="AJ180" s="923"/>
      <c r="AK180" s="923"/>
      <c r="AL180" s="925">
        <v>1</v>
      </c>
      <c r="AM180" s="627"/>
      <c r="AN180" s="627"/>
    </row>
    <row r="181" spans="1:40" s="984" customFormat="1" ht="40.5" customHeight="1">
      <c r="A181" s="921"/>
      <c r="B181" s="996"/>
      <c r="C181" s="1032" t="s">
        <v>2487</v>
      </c>
      <c r="D181" s="921"/>
      <c r="E181" s="921"/>
      <c r="F181" s="921"/>
      <c r="G181" s="921"/>
      <c r="H181" s="1033" t="s">
        <v>2488</v>
      </c>
      <c r="I181" s="1033"/>
      <c r="J181" s="921"/>
      <c r="K181" s="921"/>
      <c r="L181" s="921"/>
      <c r="M181" s="921"/>
      <c r="N181" s="921"/>
      <c r="O181" s="948"/>
      <c r="P181" s="948"/>
      <c r="Q181" s="948"/>
      <c r="R181" s="948"/>
      <c r="S181" s="1034" t="s">
        <v>2489</v>
      </c>
      <c r="T181" s="1034"/>
      <c r="U181" s="923"/>
      <c r="V181" s="923"/>
      <c r="W181" s="923"/>
      <c r="X181" s="923"/>
      <c r="Y181" s="1035" t="s">
        <v>2490</v>
      </c>
      <c r="Z181" s="923"/>
      <c r="AA181" s="923"/>
      <c r="AB181" s="923"/>
      <c r="AC181" s="923"/>
      <c r="AD181" s="923"/>
      <c r="AE181" s="923"/>
      <c r="AF181" s="923"/>
      <c r="AG181" s="923"/>
      <c r="AH181" s="923"/>
      <c r="AI181" s="923"/>
      <c r="AJ181" s="923"/>
      <c r="AK181" s="923"/>
      <c r="AL181" s="925">
        <v>1</v>
      </c>
      <c r="AM181" s="627"/>
      <c r="AN181" s="627"/>
    </row>
    <row r="182" spans="1:40" s="984" customFormat="1" ht="40.5" customHeight="1">
      <c r="A182" s="921"/>
      <c r="B182" s="996"/>
      <c r="C182" s="1036" t="s">
        <v>2491</v>
      </c>
      <c r="D182" s="921"/>
      <c r="E182" s="921"/>
      <c r="F182" s="921"/>
      <c r="G182" s="921"/>
      <c r="H182" s="1037" t="s">
        <v>2492</v>
      </c>
      <c r="I182" s="1037"/>
      <c r="J182" s="921"/>
      <c r="K182" s="921"/>
      <c r="L182" s="921"/>
      <c r="M182" s="921"/>
      <c r="N182" s="921"/>
      <c r="O182" s="948"/>
      <c r="P182" s="948"/>
      <c r="Q182" s="948"/>
      <c r="R182" s="948"/>
      <c r="S182" s="1038" t="s">
        <v>2493</v>
      </c>
      <c r="T182" s="1038"/>
      <c r="U182" s="923"/>
      <c r="V182" s="923"/>
      <c r="W182" s="923"/>
      <c r="X182" s="923"/>
      <c r="Y182" s="1039" t="s">
        <v>2494</v>
      </c>
      <c r="Z182" s="923"/>
      <c r="AA182" s="923"/>
      <c r="AB182" s="923"/>
      <c r="AC182" s="923"/>
      <c r="AD182" s="923"/>
      <c r="AE182" s="923"/>
      <c r="AF182" s="923"/>
      <c r="AG182" s="923"/>
      <c r="AH182" s="923"/>
      <c r="AI182" s="923"/>
      <c r="AJ182" s="923"/>
      <c r="AK182" s="923"/>
      <c r="AL182" s="925">
        <v>1</v>
      </c>
      <c r="AM182" s="627"/>
      <c r="AN182" s="627"/>
    </row>
    <row r="183" spans="1:40" s="984" customFormat="1" ht="40.5" customHeight="1">
      <c r="A183" s="921"/>
      <c r="B183" s="996"/>
      <c r="C183" s="1040" t="s">
        <v>2495</v>
      </c>
      <c r="D183" s="921"/>
      <c r="E183" s="921"/>
      <c r="F183" s="921"/>
      <c r="G183" s="921"/>
      <c r="H183" s="921"/>
      <c r="I183" s="948"/>
      <c r="J183" s="921"/>
      <c r="K183" s="921"/>
      <c r="L183" s="921"/>
      <c r="M183" s="921"/>
      <c r="N183" s="921"/>
      <c r="O183" s="948"/>
      <c r="P183" s="948"/>
      <c r="Q183" s="948"/>
      <c r="R183" s="948"/>
      <c r="S183" s="948"/>
      <c r="T183" s="923"/>
      <c r="U183" s="923"/>
      <c r="V183" s="923"/>
      <c r="W183" s="923"/>
      <c r="X183" s="923"/>
      <c r="Y183" s="923"/>
      <c r="Z183" s="923"/>
      <c r="AA183" s="923"/>
      <c r="AB183" s="923"/>
      <c r="AC183" s="923"/>
      <c r="AD183" s="923"/>
      <c r="AE183" s="923"/>
      <c r="AF183" s="923"/>
      <c r="AG183" s="923"/>
      <c r="AH183" s="923"/>
      <c r="AI183" s="923"/>
      <c r="AJ183" s="923"/>
      <c r="AK183" s="923"/>
      <c r="AL183" s="925">
        <v>1</v>
      </c>
      <c r="AM183" s="627"/>
      <c r="AN183" s="627"/>
    </row>
    <row r="184" spans="1:40" ht="27">
      <c r="A184" s="921"/>
      <c r="B184" s="996"/>
      <c r="C184" s="921"/>
      <c r="D184" s="921"/>
      <c r="E184" s="921"/>
      <c r="F184" s="921"/>
      <c r="G184" s="921"/>
      <c r="H184" s="921"/>
      <c r="I184" s="986"/>
      <c r="J184" s="921"/>
      <c r="K184" s="921"/>
      <c r="L184" s="921"/>
      <c r="M184" s="921"/>
      <c r="N184" s="921"/>
      <c r="O184" s="986"/>
      <c r="P184" s="986"/>
      <c r="Q184" s="986"/>
      <c r="R184" s="986"/>
      <c r="S184" s="986"/>
      <c r="T184" s="923"/>
      <c r="U184" s="923"/>
      <c r="V184" s="923"/>
      <c r="W184" s="923"/>
      <c r="X184" s="923"/>
      <c r="Y184" s="923"/>
      <c r="Z184" s="923"/>
      <c r="AA184" s="923"/>
      <c r="AB184" s="923"/>
      <c r="AC184" s="923"/>
      <c r="AD184" s="923"/>
      <c r="AE184" s="923"/>
      <c r="AF184" s="923"/>
      <c r="AG184" s="923"/>
      <c r="AH184" s="923"/>
      <c r="AI184" s="924"/>
      <c r="AJ184" s="924"/>
      <c r="AK184" s="924"/>
      <c r="AL184" s="925">
        <v>1</v>
      </c>
    </row>
    <row r="185" spans="1:40" customFormat="1" ht="30" customHeight="1">
      <c r="A185" s="1006"/>
      <c r="B185" s="1006"/>
      <c r="C185" s="1006"/>
      <c r="D185" s="1041" t="s">
        <v>2496</v>
      </c>
      <c r="E185" s="1041"/>
      <c r="F185" s="1041"/>
      <c r="G185" s="1041"/>
      <c r="H185" s="1041"/>
      <c r="I185" s="1041"/>
      <c r="J185" s="1041"/>
      <c r="K185" s="1041"/>
      <c r="L185" s="1041"/>
      <c r="M185" s="1041"/>
      <c r="N185" s="1041"/>
      <c r="O185" s="1041"/>
      <c r="P185" s="1006"/>
      <c r="Q185" s="1006"/>
      <c r="R185" s="1006"/>
      <c r="S185" s="1006"/>
      <c r="T185" s="1006"/>
      <c r="U185" s="1006"/>
      <c r="V185" s="1006"/>
      <c r="W185" s="1006"/>
      <c r="X185" s="1006"/>
      <c r="Y185" s="948"/>
      <c r="Z185" s="948"/>
      <c r="AA185" s="948"/>
      <c r="AB185" s="948"/>
      <c r="AC185" s="948"/>
      <c r="AD185" s="948"/>
      <c r="AE185" s="948"/>
      <c r="AF185" s="948"/>
      <c r="AG185" s="948"/>
      <c r="AH185" s="948"/>
      <c r="AI185" s="948"/>
      <c r="AJ185" s="924"/>
      <c r="AK185" s="924"/>
      <c r="AL185" s="925">
        <v>1</v>
      </c>
      <c r="AM185" s="627"/>
      <c r="AN185" s="627"/>
    </row>
    <row r="186" spans="1:40" customFormat="1" ht="30" customHeight="1">
      <c r="A186" s="1006"/>
      <c r="B186" s="1006"/>
      <c r="C186" s="1006"/>
      <c r="D186" s="1041" t="s">
        <v>2497</v>
      </c>
      <c r="E186" s="1041"/>
      <c r="F186" s="1041"/>
      <c r="G186" s="1041"/>
      <c r="H186" s="1041"/>
      <c r="I186" s="1041"/>
      <c r="J186" s="1041"/>
      <c r="K186" s="1041"/>
      <c r="L186" s="1041"/>
      <c r="M186" s="1041"/>
      <c r="N186" s="1041"/>
      <c r="O186" s="1041"/>
      <c r="P186" s="1006"/>
      <c r="Q186" s="1006"/>
      <c r="R186" s="1006"/>
      <c r="S186" s="1006"/>
      <c r="T186" s="1006"/>
      <c r="U186" s="1006"/>
      <c r="V186" s="1006"/>
      <c r="W186" s="1006"/>
      <c r="X186" s="1006"/>
      <c r="Y186" s="948"/>
      <c r="Z186" s="948"/>
      <c r="AA186" s="948"/>
      <c r="AB186" s="948"/>
      <c r="AC186" s="948"/>
      <c r="AD186" s="948"/>
      <c r="AE186" s="948"/>
      <c r="AF186" s="948"/>
      <c r="AG186" s="948"/>
      <c r="AH186" s="948"/>
      <c r="AI186" s="948"/>
      <c r="AJ186" s="924"/>
      <c r="AK186" s="924"/>
      <c r="AL186" s="925">
        <v>1</v>
      </c>
      <c r="AM186" s="627"/>
      <c r="AN186" s="627"/>
    </row>
    <row r="187" spans="1:40" customFormat="1" ht="30" customHeight="1">
      <c r="A187" s="1006"/>
      <c r="B187" s="1006"/>
      <c r="C187" s="1006"/>
      <c r="D187" s="1041" t="s">
        <v>2498</v>
      </c>
      <c r="E187" s="1041"/>
      <c r="F187" s="1041"/>
      <c r="G187" s="1041"/>
      <c r="H187" s="1041"/>
      <c r="I187" s="1041"/>
      <c r="J187" s="1041"/>
      <c r="K187" s="1041"/>
      <c r="L187" s="1041"/>
      <c r="M187" s="1041"/>
      <c r="N187" s="1041"/>
      <c r="O187" s="1041"/>
      <c r="P187" s="1006"/>
      <c r="Q187" s="1006"/>
      <c r="R187" s="1006"/>
      <c r="S187" s="1006"/>
      <c r="T187" s="1006"/>
      <c r="U187" s="1006"/>
      <c r="V187" s="1006"/>
      <c r="W187" s="1006"/>
      <c r="X187" s="1006"/>
      <c r="Y187" s="948"/>
      <c r="Z187" s="948"/>
      <c r="AA187" s="948"/>
      <c r="AB187" s="948"/>
      <c r="AC187" s="948"/>
      <c r="AD187" s="948"/>
      <c r="AE187" s="948"/>
      <c r="AF187" s="948"/>
      <c r="AG187" s="948"/>
      <c r="AH187" s="948"/>
      <c r="AI187" s="948"/>
      <c r="AJ187" s="924"/>
      <c r="AK187" s="924"/>
      <c r="AL187" s="925">
        <v>1</v>
      </c>
      <c r="AM187" s="627"/>
      <c r="AN187" s="627"/>
    </row>
    <row r="188" spans="1:40" customFormat="1" ht="30" customHeight="1">
      <c r="A188" s="1006"/>
      <c r="B188" s="1006"/>
      <c r="C188" s="1006"/>
      <c r="D188" s="1041" t="s">
        <v>2499</v>
      </c>
      <c r="E188" s="1041"/>
      <c r="F188" s="1041"/>
      <c r="G188" s="1041"/>
      <c r="H188" s="1041"/>
      <c r="I188" s="1041"/>
      <c r="J188" s="1041"/>
      <c r="K188" s="1041"/>
      <c r="L188" s="1041"/>
      <c r="M188" s="1041"/>
      <c r="N188" s="1041"/>
      <c r="O188" s="1041"/>
      <c r="P188" s="1006"/>
      <c r="Q188" s="1006"/>
      <c r="R188" s="1006"/>
      <c r="S188" s="1006"/>
      <c r="T188" s="1006"/>
      <c r="U188" s="1006"/>
      <c r="V188" s="1006"/>
      <c r="W188" s="1006"/>
      <c r="X188" s="1006"/>
      <c r="Y188" s="948"/>
      <c r="Z188" s="948"/>
      <c r="AA188" s="948"/>
      <c r="AB188" s="948"/>
      <c r="AC188" s="948"/>
      <c r="AD188" s="948"/>
      <c r="AE188" s="948"/>
      <c r="AF188" s="948"/>
      <c r="AG188" s="948"/>
      <c r="AH188" s="948"/>
      <c r="AI188" s="948"/>
      <c r="AJ188" s="924"/>
      <c r="AK188" s="924"/>
      <c r="AL188" s="925">
        <v>1</v>
      </c>
      <c r="AM188" s="627"/>
      <c r="AN188" s="627"/>
    </row>
    <row r="189" spans="1:40" customFormat="1" ht="30" customHeight="1">
      <c r="A189" s="1006"/>
      <c r="B189" s="1006"/>
      <c r="C189" s="1006"/>
      <c r="D189" s="1042" t="s">
        <v>2500</v>
      </c>
      <c r="E189" s="1041"/>
      <c r="F189" s="1043"/>
      <c r="G189" s="1041"/>
      <c r="H189" s="1041"/>
      <c r="I189" s="1041"/>
      <c r="J189" s="1041"/>
      <c r="K189" s="1043"/>
      <c r="L189" s="1043"/>
      <c r="M189" s="1043"/>
      <c r="N189" s="1043"/>
      <c r="O189" s="1043"/>
      <c r="P189" s="1006"/>
      <c r="Q189" s="1006"/>
      <c r="R189" s="1006"/>
      <c r="S189" s="1006"/>
      <c r="T189" s="1006"/>
      <c r="U189" s="1006"/>
      <c r="V189" s="1006"/>
      <c r="W189" s="1006"/>
      <c r="X189" s="1006"/>
      <c r="Y189" s="948"/>
      <c r="Z189" s="948"/>
      <c r="AA189" s="948"/>
      <c r="AB189" s="948"/>
      <c r="AC189" s="948"/>
      <c r="AD189" s="948"/>
      <c r="AE189" s="948"/>
      <c r="AF189" s="948"/>
      <c r="AG189" s="948"/>
      <c r="AH189" s="948"/>
      <c r="AI189" s="948"/>
      <c r="AJ189" s="924"/>
      <c r="AK189" s="924"/>
      <c r="AL189" s="925">
        <v>1</v>
      </c>
      <c r="AM189" s="627"/>
      <c r="AN189" s="627"/>
    </row>
    <row r="190" spans="1:40" customFormat="1" ht="30" customHeight="1">
      <c r="A190" s="1006"/>
      <c r="B190" s="1006"/>
      <c r="C190" s="1006"/>
      <c r="D190" s="1006"/>
      <c r="E190" s="1006"/>
      <c r="F190" s="1006"/>
      <c r="G190" s="1006"/>
      <c r="H190" s="1006"/>
      <c r="I190" s="1006"/>
      <c r="J190" s="1006"/>
      <c r="K190" s="1006"/>
      <c r="L190" s="1006"/>
      <c r="M190" s="1006"/>
      <c r="N190" s="1006"/>
      <c r="O190" s="1006"/>
      <c r="P190" s="1006"/>
      <c r="Q190" s="1006"/>
      <c r="R190" s="1006"/>
      <c r="S190" s="1006"/>
      <c r="T190" s="1006"/>
      <c r="U190" s="1006"/>
      <c r="V190" s="1006"/>
      <c r="W190" s="1006"/>
      <c r="X190" s="1006"/>
      <c r="Y190" s="948"/>
      <c r="Z190" s="948"/>
      <c r="AA190" s="948"/>
      <c r="AB190" s="948"/>
      <c r="AC190" s="948"/>
      <c r="AD190" s="948"/>
      <c r="AE190" s="948"/>
      <c r="AF190" s="948"/>
      <c r="AG190" s="948"/>
      <c r="AH190" s="948"/>
      <c r="AI190" s="948"/>
      <c r="AJ190" s="924"/>
      <c r="AK190" s="924"/>
      <c r="AL190" s="925">
        <v>1</v>
      </c>
      <c r="AM190" s="627"/>
      <c r="AN190" s="627"/>
    </row>
    <row r="191" spans="1:40" customFormat="1" ht="30" customHeight="1">
      <c r="A191" s="1006"/>
      <c r="B191" s="1006"/>
      <c r="C191" s="1006"/>
      <c r="D191" s="1154" t="s">
        <v>2501</v>
      </c>
      <c r="E191" s="1044"/>
      <c r="F191" s="1044"/>
      <c r="G191" s="1044"/>
      <c r="H191" s="1045"/>
      <c r="I191" s="1045"/>
      <c r="J191" s="1045"/>
      <c r="K191" s="1045"/>
      <c r="L191" s="1044"/>
      <c r="M191" s="1044"/>
      <c r="N191" s="1044"/>
      <c r="O191" s="1044"/>
      <c r="P191" s="1006"/>
      <c r="Q191" s="1006"/>
      <c r="R191" s="1006"/>
      <c r="S191" s="1006"/>
      <c r="T191" s="1006"/>
      <c r="U191" s="1006"/>
      <c r="V191" s="1006"/>
      <c r="W191" s="1006"/>
      <c r="X191" s="1046"/>
      <c r="Y191" s="948"/>
      <c r="Z191" s="948"/>
      <c r="AA191" s="948"/>
      <c r="AB191" s="948"/>
      <c r="AC191" s="948"/>
      <c r="AD191" s="948"/>
      <c r="AE191" s="948"/>
      <c r="AF191" s="948"/>
      <c r="AG191" s="948"/>
      <c r="AH191" s="948"/>
      <c r="AI191" s="948"/>
      <c r="AJ191" s="924"/>
      <c r="AK191" s="924"/>
      <c r="AL191" s="925">
        <v>1</v>
      </c>
      <c r="AM191" s="627"/>
      <c r="AN191" s="627"/>
    </row>
    <row r="192" spans="1:40" customFormat="1" ht="30" customHeight="1">
      <c r="A192" s="1006"/>
      <c r="B192" s="1006"/>
      <c r="C192" s="1006"/>
      <c r="D192" s="1155" t="s">
        <v>2901</v>
      </c>
      <c r="E192" s="1044"/>
      <c r="F192" s="1044"/>
      <c r="G192" s="1044"/>
      <c r="H192" s="1044"/>
      <c r="I192" s="1044"/>
      <c r="J192" s="1044"/>
      <c r="K192" s="1044"/>
      <c r="L192" s="1044"/>
      <c r="M192" s="1044"/>
      <c r="N192" s="1044"/>
      <c r="O192" s="1044"/>
      <c r="P192" s="1006"/>
      <c r="Q192" s="1006"/>
      <c r="R192" s="1006"/>
      <c r="S192" s="1006"/>
      <c r="T192" s="1006"/>
      <c r="U192" s="1006"/>
      <c r="V192" s="1006"/>
      <c r="W192" s="1006"/>
      <c r="X192" s="1046"/>
      <c r="Y192" s="948"/>
      <c r="Z192" s="948"/>
      <c r="AA192" s="948"/>
      <c r="AB192" s="948"/>
      <c r="AC192" s="948"/>
      <c r="AD192" s="948"/>
      <c r="AE192" s="948"/>
      <c r="AF192" s="948"/>
      <c r="AG192" s="948"/>
      <c r="AH192" s="948"/>
      <c r="AI192" s="948"/>
      <c r="AJ192" s="1006"/>
      <c r="AK192" s="1006"/>
      <c r="AL192" s="925">
        <v>1</v>
      </c>
      <c r="AM192" s="627"/>
      <c r="AN192" s="627"/>
    </row>
    <row r="193" spans="1:40" customFormat="1" ht="30" customHeight="1">
      <c r="A193" s="1006"/>
      <c r="B193" s="1006"/>
      <c r="C193" s="1006"/>
      <c r="D193" s="1154" t="s">
        <v>2502</v>
      </c>
      <c r="E193" s="1044"/>
      <c r="F193" s="1044"/>
      <c r="G193" s="1044"/>
      <c r="H193" s="1044"/>
      <c r="I193" s="1044"/>
      <c r="J193" s="1044"/>
      <c r="K193" s="1044"/>
      <c r="L193" s="1044"/>
      <c r="M193" s="1044"/>
      <c r="N193" s="1044"/>
      <c r="O193" s="1044"/>
      <c r="P193" s="1006"/>
      <c r="Q193" s="1006"/>
      <c r="R193" s="1006"/>
      <c r="S193" s="1006"/>
      <c r="T193" s="1006"/>
      <c r="U193" s="1006"/>
      <c r="V193" s="1006"/>
      <c r="W193" s="1006"/>
      <c r="X193" s="1006"/>
      <c r="Y193" s="948"/>
      <c r="Z193" s="948"/>
      <c r="AA193" s="948"/>
      <c r="AB193" s="948"/>
      <c r="AC193" s="948"/>
      <c r="AD193" s="948"/>
      <c r="AE193" s="948"/>
      <c r="AF193" s="948"/>
      <c r="AG193" s="948"/>
      <c r="AH193" s="948"/>
      <c r="AI193" s="948"/>
      <c r="AJ193" s="1006"/>
      <c r="AK193" s="1006"/>
      <c r="AL193" s="925">
        <v>1</v>
      </c>
      <c r="AM193" s="627"/>
      <c r="AN193" s="627"/>
    </row>
    <row r="194" spans="1:40" customFormat="1" ht="30" customHeight="1">
      <c r="A194" s="1006"/>
      <c r="B194" s="1006"/>
      <c r="C194" s="1006"/>
      <c r="D194" s="1048" t="s">
        <v>2503</v>
      </c>
      <c r="E194" s="1044"/>
      <c r="F194" s="1044"/>
      <c r="G194" s="1044"/>
      <c r="H194" s="1044"/>
      <c r="I194" s="1044"/>
      <c r="J194" s="1044"/>
      <c r="K194" s="1044"/>
      <c r="L194" s="1044"/>
      <c r="M194" s="1044"/>
      <c r="N194" s="1044"/>
      <c r="O194" s="1044"/>
      <c r="P194" s="1006"/>
      <c r="Q194" s="1006"/>
      <c r="R194" s="1006"/>
      <c r="S194" s="1006"/>
      <c r="T194" s="1006"/>
      <c r="U194" s="1006"/>
      <c r="V194" s="1006"/>
      <c r="W194" s="1006"/>
      <c r="X194" s="1006"/>
      <c r="Y194" s="948"/>
      <c r="Z194" s="948"/>
      <c r="AA194" s="948"/>
      <c r="AB194" s="948"/>
      <c r="AC194" s="948"/>
      <c r="AD194" s="948"/>
      <c r="AE194" s="948"/>
      <c r="AF194" s="948"/>
      <c r="AG194" s="948"/>
      <c r="AH194" s="948"/>
      <c r="AI194" s="948"/>
      <c r="AJ194" s="1006"/>
      <c r="AK194" s="1006"/>
      <c r="AL194" s="925">
        <v>1</v>
      </c>
      <c r="AM194" s="627"/>
      <c r="AN194" s="627"/>
    </row>
    <row r="195" spans="1:40" customFormat="1" ht="30" customHeight="1">
      <c r="A195" s="1006"/>
      <c r="B195" s="1006"/>
      <c r="C195" s="1006"/>
      <c r="D195" s="1049" t="s">
        <v>2504</v>
      </c>
      <c r="E195" s="1044"/>
      <c r="F195" s="1044"/>
      <c r="G195" s="1044"/>
      <c r="H195" s="1044"/>
      <c r="I195" s="1044"/>
      <c r="J195" s="1044"/>
      <c r="K195" s="1044"/>
      <c r="L195" s="1044"/>
      <c r="M195" s="1044"/>
      <c r="N195" s="1044"/>
      <c r="O195" s="1044"/>
      <c r="P195" s="1006"/>
      <c r="Q195" s="1006"/>
      <c r="R195" s="1006"/>
      <c r="S195" s="1006"/>
      <c r="T195" s="1006"/>
      <c r="U195" s="1006"/>
      <c r="V195" s="1006"/>
      <c r="W195" s="1006"/>
      <c r="X195" s="1006"/>
      <c r="Y195" s="948"/>
      <c r="Z195" s="948"/>
      <c r="AA195" s="948"/>
      <c r="AB195" s="948"/>
      <c r="AC195" s="948"/>
      <c r="AD195" s="948"/>
      <c r="AE195" s="948"/>
      <c r="AF195" s="948"/>
      <c r="AG195" s="948"/>
      <c r="AH195" s="948"/>
      <c r="AI195" s="948"/>
      <c r="AJ195" s="1006"/>
      <c r="AK195" s="1006"/>
      <c r="AL195" s="925">
        <v>1</v>
      </c>
      <c r="AM195" s="627"/>
      <c r="AN195" s="627"/>
    </row>
    <row r="196" spans="1:40" customFormat="1" ht="30" customHeight="1">
      <c r="A196" s="1006"/>
      <c r="B196" s="1006"/>
      <c r="C196" s="1006"/>
      <c r="D196" s="1006"/>
      <c r="E196" s="1006"/>
      <c r="F196" s="1006"/>
      <c r="G196" s="1006"/>
      <c r="H196" s="1006"/>
      <c r="I196" s="1006"/>
      <c r="J196" s="1006"/>
      <c r="K196" s="1006"/>
      <c r="L196" s="1006"/>
      <c r="M196" s="1006"/>
      <c r="N196" s="1006"/>
      <c r="O196" s="1006"/>
      <c r="P196" s="1006"/>
      <c r="Q196" s="1006"/>
      <c r="R196" s="1006"/>
      <c r="S196" s="1006"/>
      <c r="T196" s="1006"/>
      <c r="U196" s="1006"/>
      <c r="V196" s="1006"/>
      <c r="W196" s="1006"/>
      <c r="X196" s="1006"/>
      <c r="Y196" s="948"/>
      <c r="Z196" s="948"/>
      <c r="AA196" s="948"/>
      <c r="AB196" s="948"/>
      <c r="AC196" s="948"/>
      <c r="AD196" s="948"/>
      <c r="AE196" s="948"/>
      <c r="AF196" s="948"/>
      <c r="AG196" s="948"/>
      <c r="AH196" s="948"/>
      <c r="AI196" s="948"/>
      <c r="AJ196" s="1006"/>
      <c r="AK196" s="1006"/>
      <c r="AL196" s="925">
        <v>1</v>
      </c>
      <c r="AM196" s="627"/>
      <c r="AN196" s="627"/>
    </row>
    <row r="197" spans="1:40" customFormat="1" ht="30" customHeight="1">
      <c r="A197" s="1006"/>
      <c r="B197" s="1006"/>
      <c r="C197" s="1006"/>
      <c r="D197" s="1047" t="s">
        <v>2505</v>
      </c>
      <c r="E197" s="1044"/>
      <c r="F197" s="1044"/>
      <c r="G197" s="1044"/>
      <c r="H197" s="1044"/>
      <c r="I197" s="1044"/>
      <c r="J197" s="1044"/>
      <c r="K197" s="1044"/>
      <c r="L197" s="1044"/>
      <c r="M197" s="1044"/>
      <c r="N197" s="1006"/>
      <c r="O197" s="1006"/>
      <c r="P197" s="1006"/>
      <c r="Q197" s="1006"/>
      <c r="R197" s="1006"/>
      <c r="S197" s="1006"/>
      <c r="T197" s="1006"/>
      <c r="U197" s="1006"/>
      <c r="V197" s="1006"/>
      <c r="W197" s="1006"/>
      <c r="X197" s="1006"/>
      <c r="Y197" s="948"/>
      <c r="Z197" s="948"/>
      <c r="AA197" s="948"/>
      <c r="AB197" s="948"/>
      <c r="AC197" s="948"/>
      <c r="AD197" s="948"/>
      <c r="AE197" s="948"/>
      <c r="AF197" s="948"/>
      <c r="AG197" s="948"/>
      <c r="AH197" s="948"/>
      <c r="AI197" s="948"/>
      <c r="AJ197" s="1006"/>
      <c r="AK197" s="1006"/>
      <c r="AL197" s="925">
        <v>1</v>
      </c>
      <c r="AM197" s="627"/>
      <c r="AN197" s="627"/>
    </row>
    <row r="198" spans="1:40" customFormat="1" ht="30" customHeight="1">
      <c r="A198" s="1006"/>
      <c r="B198" s="1006"/>
      <c r="C198" s="1006"/>
      <c r="D198" s="1044" t="s">
        <v>2506</v>
      </c>
      <c r="E198" s="1044"/>
      <c r="F198" s="1044"/>
      <c r="G198" s="1044"/>
      <c r="H198" s="1044"/>
      <c r="I198" s="1044"/>
      <c r="J198" s="1044"/>
      <c r="K198" s="1044"/>
      <c r="L198" s="1044"/>
      <c r="M198" s="1044"/>
      <c r="N198" s="1006"/>
      <c r="O198" s="1006"/>
      <c r="P198" s="1006"/>
      <c r="Q198" s="1006"/>
      <c r="R198" s="1006"/>
      <c r="S198" s="1006"/>
      <c r="T198" s="1006"/>
      <c r="U198" s="1006"/>
      <c r="V198" s="1006"/>
      <c r="W198" s="1006"/>
      <c r="X198" s="1006"/>
      <c r="Y198" s="948"/>
      <c r="Z198" s="948"/>
      <c r="AA198" s="948"/>
      <c r="AB198" s="948"/>
      <c r="AC198" s="948"/>
      <c r="AD198" s="948"/>
      <c r="AE198" s="948"/>
      <c r="AF198" s="948"/>
      <c r="AG198" s="948"/>
      <c r="AH198" s="948"/>
      <c r="AI198" s="948"/>
      <c r="AJ198" s="1006"/>
      <c r="AK198" s="1006"/>
      <c r="AL198" s="925">
        <v>1</v>
      </c>
      <c r="AM198" s="627"/>
      <c r="AN198" s="627"/>
    </row>
    <row r="199" spans="1:40" customFormat="1" ht="30" customHeight="1">
      <c r="A199" s="1006"/>
      <c r="B199" s="1006"/>
      <c r="C199" s="1006"/>
      <c r="D199" s="1044" t="s">
        <v>2507</v>
      </c>
      <c r="E199" s="1044"/>
      <c r="F199" s="1044"/>
      <c r="G199" s="1044"/>
      <c r="H199" s="1044"/>
      <c r="I199" s="1044"/>
      <c r="J199" s="1044"/>
      <c r="K199" s="1044"/>
      <c r="L199" s="1044"/>
      <c r="M199" s="1044"/>
      <c r="N199" s="1006"/>
      <c r="O199" s="1006"/>
      <c r="P199" s="1006"/>
      <c r="Q199" s="1006"/>
      <c r="R199" s="1006"/>
      <c r="S199" s="1006"/>
      <c r="T199" s="1006"/>
      <c r="U199" s="1006"/>
      <c r="V199" s="1006"/>
      <c r="W199" s="1006"/>
      <c r="X199" s="1006"/>
      <c r="Y199" s="948"/>
      <c r="Z199" s="948"/>
      <c r="AA199" s="948"/>
      <c r="AB199" s="948"/>
      <c r="AC199" s="948"/>
      <c r="AD199" s="948"/>
      <c r="AE199" s="948"/>
      <c r="AF199" s="948"/>
      <c r="AG199" s="948"/>
      <c r="AH199" s="948"/>
      <c r="AI199" s="948"/>
      <c r="AJ199" s="1006"/>
      <c r="AK199" s="1006"/>
      <c r="AL199" s="925">
        <v>1</v>
      </c>
      <c r="AM199" s="627"/>
      <c r="AN199" s="627"/>
    </row>
    <row r="200" spans="1:40" customFormat="1" ht="30" customHeight="1">
      <c r="A200" s="1006"/>
      <c r="B200" s="1006"/>
      <c r="C200" s="1006"/>
      <c r="D200" s="1044" t="s">
        <v>2508</v>
      </c>
      <c r="E200" s="1044"/>
      <c r="F200" s="1044"/>
      <c r="G200" s="1044"/>
      <c r="H200" s="1044"/>
      <c r="I200" s="1044"/>
      <c r="J200" s="1044"/>
      <c r="K200" s="1044"/>
      <c r="L200" s="1044"/>
      <c r="M200" s="1044"/>
      <c r="N200" s="1006"/>
      <c r="O200" s="1006"/>
      <c r="P200" s="1006"/>
      <c r="Q200" s="1006"/>
      <c r="R200" s="1006"/>
      <c r="S200" s="1006"/>
      <c r="T200" s="1006"/>
      <c r="U200" s="1006"/>
      <c r="V200" s="1006"/>
      <c r="W200" s="1006"/>
      <c r="X200" s="1006"/>
      <c r="Y200" s="948"/>
      <c r="Z200" s="948"/>
      <c r="AA200" s="948"/>
      <c r="AB200" s="948"/>
      <c r="AC200" s="948"/>
      <c r="AD200" s="948"/>
      <c r="AE200" s="948"/>
      <c r="AF200" s="948"/>
      <c r="AG200" s="948"/>
      <c r="AH200" s="948"/>
      <c r="AI200" s="948"/>
      <c r="AJ200" s="1006"/>
      <c r="AK200" s="1006"/>
      <c r="AL200" s="925">
        <v>1</v>
      </c>
      <c r="AM200" s="627"/>
      <c r="AN200" s="627"/>
    </row>
    <row r="201" spans="1:40" customFormat="1" ht="30" customHeight="1">
      <c r="A201" s="1006"/>
      <c r="B201" s="1006"/>
      <c r="C201" s="1006"/>
      <c r="D201" s="1044" t="s">
        <v>2509</v>
      </c>
      <c r="E201" s="1044"/>
      <c r="F201" s="1044"/>
      <c r="G201" s="1044"/>
      <c r="H201" s="1044"/>
      <c r="I201" s="1044"/>
      <c r="J201" s="1044"/>
      <c r="K201" s="1044"/>
      <c r="L201" s="1044"/>
      <c r="M201" s="1044"/>
      <c r="N201" s="1006"/>
      <c r="O201" s="1006"/>
      <c r="P201" s="1006"/>
      <c r="Q201" s="1006"/>
      <c r="R201" s="1006"/>
      <c r="S201" s="1006"/>
      <c r="T201" s="1006"/>
      <c r="U201" s="1006"/>
      <c r="V201" s="1006"/>
      <c r="W201" s="1006"/>
      <c r="X201" s="1006"/>
      <c r="Y201" s="948"/>
      <c r="Z201" s="948"/>
      <c r="AA201" s="948"/>
      <c r="AB201" s="948"/>
      <c r="AC201" s="948"/>
      <c r="AD201" s="948"/>
      <c r="AE201" s="948"/>
      <c r="AF201" s="948"/>
      <c r="AG201" s="948"/>
      <c r="AH201" s="948"/>
      <c r="AI201" s="948"/>
      <c r="AJ201" s="1006"/>
      <c r="AK201" s="1006"/>
      <c r="AL201" s="925">
        <v>1</v>
      </c>
      <c r="AM201" s="627"/>
      <c r="AN201" s="627"/>
    </row>
    <row r="202" spans="1:40" customFormat="1" ht="30" customHeight="1">
      <c r="A202" s="1006"/>
      <c r="B202" s="1006"/>
      <c r="C202" s="1006"/>
      <c r="D202" s="1044" t="s">
        <v>2510</v>
      </c>
      <c r="E202" s="1044"/>
      <c r="F202" s="1044"/>
      <c r="G202" s="1044"/>
      <c r="H202" s="1044"/>
      <c r="I202" s="1044"/>
      <c r="J202" s="1044"/>
      <c r="K202" s="1044"/>
      <c r="L202" s="1044"/>
      <c r="M202" s="1044"/>
      <c r="N202" s="1006"/>
      <c r="O202" s="1006"/>
      <c r="P202" s="1006"/>
      <c r="Q202" s="1006"/>
      <c r="R202" s="1006"/>
      <c r="S202" s="1006"/>
      <c r="T202" s="1006"/>
      <c r="U202" s="1006"/>
      <c r="V202" s="1006"/>
      <c r="W202" s="1006"/>
      <c r="X202" s="1006"/>
      <c r="Y202" s="1006"/>
      <c r="Z202" s="1006"/>
      <c r="AA202" s="1006"/>
      <c r="AB202" s="1006"/>
      <c r="AC202" s="1006"/>
      <c r="AD202" s="1006"/>
      <c r="AE202" s="1006"/>
      <c r="AF202" s="1006"/>
      <c r="AG202" s="1006"/>
      <c r="AH202" s="1006"/>
      <c r="AI202" s="1006"/>
      <c r="AJ202" s="1006"/>
      <c r="AK202" s="1006"/>
      <c r="AL202" s="925">
        <v>1</v>
      </c>
      <c r="AM202" s="627"/>
      <c r="AN202" s="627"/>
    </row>
    <row r="203" spans="1:40" customFormat="1" ht="30" customHeight="1">
      <c r="A203" s="1006"/>
      <c r="B203" s="1006"/>
      <c r="C203" s="1006"/>
      <c r="D203" s="1049" t="s">
        <v>2511</v>
      </c>
      <c r="E203" s="1044"/>
      <c r="F203" s="1044"/>
      <c r="G203" s="1044"/>
      <c r="H203" s="1044"/>
      <c r="I203" s="1044"/>
      <c r="J203" s="1044"/>
      <c r="K203" s="1044"/>
      <c r="L203" s="1044"/>
      <c r="M203" s="1044"/>
      <c r="N203" s="1006"/>
      <c r="O203" s="1006"/>
      <c r="P203" s="1006"/>
      <c r="Q203" s="1006"/>
      <c r="R203" s="1006"/>
      <c r="S203" s="1006"/>
      <c r="T203" s="1006"/>
      <c r="U203" s="1006"/>
      <c r="V203" s="1006"/>
      <c r="W203" s="1006"/>
      <c r="X203" s="1006"/>
      <c r="Y203" s="1006"/>
      <c r="Z203" s="1006"/>
      <c r="AA203" s="1006"/>
      <c r="AB203" s="1006"/>
      <c r="AC203" s="1006"/>
      <c r="AD203" s="1006"/>
      <c r="AE203" s="1006"/>
      <c r="AF203" s="1006"/>
      <c r="AG203" s="1006"/>
      <c r="AH203" s="1006"/>
      <c r="AI203" s="1006"/>
      <c r="AJ203" s="1006"/>
      <c r="AK203" s="1006"/>
      <c r="AL203" s="925">
        <v>1</v>
      </c>
      <c r="AM203" s="627"/>
      <c r="AN203" s="627"/>
    </row>
    <row r="204" spans="1:40" customFormat="1" ht="30" customHeight="1">
      <c r="A204" s="1006"/>
      <c r="B204" s="1006"/>
      <c r="C204" s="1006"/>
      <c r="D204" s="1049" t="s">
        <v>2512</v>
      </c>
      <c r="E204" s="1044"/>
      <c r="F204" s="1044"/>
      <c r="G204" s="1044"/>
      <c r="H204" s="1044"/>
      <c r="I204" s="1044"/>
      <c r="J204" s="1044"/>
      <c r="K204" s="1044"/>
      <c r="L204" s="1044"/>
      <c r="M204" s="1044"/>
      <c r="N204" s="1006"/>
      <c r="O204" s="1006"/>
      <c r="P204" s="1006"/>
      <c r="Q204" s="1006"/>
      <c r="R204" s="1006"/>
      <c r="S204" s="1006"/>
      <c r="T204" s="1006"/>
      <c r="U204" s="1006"/>
      <c r="V204" s="1006"/>
      <c r="W204" s="1006"/>
      <c r="X204" s="1006"/>
      <c r="Y204" s="1006"/>
      <c r="Z204" s="1006"/>
      <c r="AA204" s="1006"/>
      <c r="AB204" s="1006"/>
      <c r="AC204" s="1006"/>
      <c r="AD204" s="1006"/>
      <c r="AE204" s="1006"/>
      <c r="AF204" s="1006"/>
      <c r="AG204" s="1006"/>
      <c r="AH204" s="1006"/>
      <c r="AI204" s="1006"/>
      <c r="AJ204" s="1006"/>
      <c r="AK204" s="1006"/>
      <c r="AL204" s="925">
        <v>1</v>
      </c>
      <c r="AM204" s="627"/>
      <c r="AN204" s="627"/>
    </row>
    <row r="205" spans="1:40" customFormat="1" ht="30" customHeight="1">
      <c r="A205" s="1006"/>
      <c r="B205" s="1006"/>
      <c r="C205" s="1006"/>
      <c r="D205" s="1006"/>
      <c r="E205" s="1006"/>
      <c r="F205" s="1006"/>
      <c r="G205" s="1006"/>
      <c r="H205" s="1006"/>
      <c r="I205" s="1006"/>
      <c r="J205" s="1006"/>
      <c r="K205" s="1006"/>
      <c r="L205" s="1006"/>
      <c r="M205" s="1006"/>
      <c r="N205" s="1006"/>
      <c r="O205" s="1006"/>
      <c r="P205" s="1006"/>
      <c r="Q205" s="1006"/>
      <c r="R205" s="1006"/>
      <c r="S205" s="1006"/>
      <c r="T205" s="1006"/>
      <c r="U205" s="1006"/>
      <c r="V205" s="1006"/>
      <c r="W205" s="1006"/>
      <c r="X205" s="1006"/>
      <c r="Y205" s="1006"/>
      <c r="Z205" s="1006"/>
      <c r="AA205" s="1006"/>
      <c r="AB205" s="1006"/>
      <c r="AC205" s="1006"/>
      <c r="AD205" s="1006"/>
      <c r="AE205" s="1006"/>
      <c r="AF205" s="1006"/>
      <c r="AG205" s="1006"/>
      <c r="AH205" s="1006"/>
      <c r="AI205" s="1006"/>
      <c r="AJ205" s="1006"/>
      <c r="AK205" s="1006"/>
      <c r="AL205" s="925">
        <v>1</v>
      </c>
      <c r="AM205" s="627"/>
      <c r="AN205" s="627"/>
    </row>
    <row r="206" spans="1:40" customFormat="1" ht="30" customHeight="1">
      <c r="A206" s="1006"/>
      <c r="B206" s="1006"/>
      <c r="C206" s="1006"/>
      <c r="D206" s="1050" t="s">
        <v>2513</v>
      </c>
      <c r="E206" s="1051"/>
      <c r="F206" s="1051"/>
      <c r="G206" s="1051"/>
      <c r="H206" s="1051"/>
      <c r="I206" s="1051"/>
      <c r="J206" s="1051"/>
      <c r="K206" s="1051"/>
      <c r="L206" s="1051"/>
      <c r="M206" s="1051"/>
      <c r="N206" s="1006"/>
      <c r="O206" s="1006"/>
      <c r="P206" s="1006"/>
      <c r="Q206" s="1006"/>
      <c r="R206" s="1006"/>
      <c r="S206" s="1006"/>
      <c r="T206" s="1006"/>
      <c r="U206" s="1006"/>
      <c r="V206" s="1006"/>
      <c r="W206" s="1006"/>
      <c r="X206" s="1006"/>
      <c r="Y206" s="1006"/>
      <c r="Z206" s="1006"/>
      <c r="AA206" s="1006"/>
      <c r="AB206" s="1006"/>
      <c r="AC206" s="1006"/>
      <c r="AD206" s="1006"/>
      <c r="AE206" s="1006"/>
      <c r="AF206" s="1006"/>
      <c r="AG206" s="1006"/>
      <c r="AH206" s="1006"/>
      <c r="AI206" s="1006"/>
      <c r="AJ206" s="1006"/>
      <c r="AK206" s="1006"/>
      <c r="AL206" s="925">
        <v>1</v>
      </c>
      <c r="AM206" s="627"/>
      <c r="AN206" s="627"/>
    </row>
    <row r="207" spans="1:40" customFormat="1" ht="30" customHeight="1">
      <c r="A207" s="1006"/>
      <c r="B207" s="1006"/>
      <c r="C207" s="1006"/>
      <c r="D207" s="1052" t="s">
        <v>2514</v>
      </c>
      <c r="E207" s="1051"/>
      <c r="F207" s="1051"/>
      <c r="G207" s="1051"/>
      <c r="H207" s="1051"/>
      <c r="I207" s="1051"/>
      <c r="J207" s="1051"/>
      <c r="K207" s="1051"/>
      <c r="L207" s="1051"/>
      <c r="M207" s="1051"/>
      <c r="N207" s="1006"/>
      <c r="O207" s="1006"/>
      <c r="P207" s="1006"/>
      <c r="Q207" s="1006"/>
      <c r="R207" s="1006"/>
      <c r="S207" s="1006"/>
      <c r="T207" s="1006"/>
      <c r="U207" s="1006"/>
      <c r="V207" s="1006"/>
      <c r="W207" s="1006"/>
      <c r="X207" s="1006"/>
      <c r="Y207" s="1006"/>
      <c r="Z207" s="1006"/>
      <c r="AA207" s="1006"/>
      <c r="AB207" s="1006"/>
      <c r="AC207" s="1006"/>
      <c r="AD207" s="1006"/>
      <c r="AE207" s="1006"/>
      <c r="AF207" s="1006"/>
      <c r="AG207" s="1006"/>
      <c r="AH207" s="1006"/>
      <c r="AI207" s="1006"/>
      <c r="AJ207" s="1006"/>
      <c r="AK207" s="1006"/>
      <c r="AL207" s="925">
        <v>1</v>
      </c>
      <c r="AM207" s="627"/>
      <c r="AN207" s="627"/>
    </row>
    <row r="208" spans="1:40" customFormat="1" ht="30" customHeight="1">
      <c r="A208" s="1006"/>
      <c r="B208" s="1006"/>
      <c r="C208" s="1006"/>
      <c r="D208" s="1052" t="s">
        <v>2515</v>
      </c>
      <c r="E208" s="1051"/>
      <c r="F208" s="1051"/>
      <c r="G208" s="1051"/>
      <c r="H208" s="1051"/>
      <c r="I208" s="1051"/>
      <c r="J208" s="1051"/>
      <c r="K208" s="1051"/>
      <c r="L208" s="1051"/>
      <c r="M208" s="1051"/>
      <c r="N208" s="1006"/>
      <c r="O208" s="1006"/>
      <c r="P208" s="1006"/>
      <c r="Q208" s="1006"/>
      <c r="R208" s="1006"/>
      <c r="S208" s="1006"/>
      <c r="T208" s="1006"/>
      <c r="U208" s="1006"/>
      <c r="V208" s="1006"/>
      <c r="W208" s="1006"/>
      <c r="X208" s="1006"/>
      <c r="Y208" s="1006"/>
      <c r="Z208" s="1006"/>
      <c r="AA208" s="1006"/>
      <c r="AB208" s="1006"/>
      <c r="AC208" s="1006"/>
      <c r="AD208" s="1006"/>
      <c r="AE208" s="1006"/>
      <c r="AF208" s="1006"/>
      <c r="AG208" s="1006"/>
      <c r="AH208" s="1006"/>
      <c r="AI208" s="1006"/>
      <c r="AJ208" s="1006"/>
      <c r="AK208" s="1006"/>
      <c r="AL208" s="925">
        <v>1</v>
      </c>
      <c r="AM208" s="627"/>
      <c r="AN208" s="627"/>
    </row>
    <row r="209" spans="1:45" customFormat="1" ht="30" customHeight="1">
      <c r="A209" s="1006"/>
      <c r="B209" s="1006"/>
      <c r="C209" s="1006"/>
      <c r="D209" s="1052" t="s">
        <v>2516</v>
      </c>
      <c r="E209" s="1051"/>
      <c r="F209" s="1051"/>
      <c r="G209" s="1051"/>
      <c r="H209" s="1051"/>
      <c r="I209" s="1051"/>
      <c r="J209" s="1051"/>
      <c r="K209" s="1051"/>
      <c r="L209" s="1051"/>
      <c r="M209" s="1051"/>
      <c r="N209" s="1006"/>
      <c r="O209" s="1006"/>
      <c r="P209" s="1006"/>
      <c r="Q209" s="1006"/>
      <c r="R209" s="1006"/>
      <c r="S209" s="1006"/>
      <c r="T209" s="1006"/>
      <c r="U209" s="1006"/>
      <c r="V209" s="1006"/>
      <c r="W209" s="1006"/>
      <c r="X209" s="1006"/>
      <c r="Y209" s="1006"/>
      <c r="Z209" s="1006"/>
      <c r="AA209" s="1006"/>
      <c r="AB209" s="1006"/>
      <c r="AC209" s="1006"/>
      <c r="AD209" s="1006"/>
      <c r="AE209" s="1006"/>
      <c r="AF209" s="1006"/>
      <c r="AG209" s="1006"/>
      <c r="AH209" s="1006"/>
      <c r="AI209" s="1006"/>
      <c r="AJ209" s="1006"/>
      <c r="AK209" s="1006"/>
      <c r="AL209" s="925">
        <v>1</v>
      </c>
      <c r="AM209" s="627"/>
      <c r="AN209" s="627"/>
    </row>
    <row r="210" spans="1:45" customFormat="1" ht="30" customHeight="1">
      <c r="A210" s="1006"/>
      <c r="B210" s="1006"/>
      <c r="C210" s="1006"/>
      <c r="D210" s="1053" t="s">
        <v>2517</v>
      </c>
      <c r="E210" s="1051"/>
      <c r="F210" s="1051"/>
      <c r="G210" s="1051"/>
      <c r="H210" s="1051"/>
      <c r="I210" s="1051"/>
      <c r="J210" s="1051"/>
      <c r="K210" s="1051"/>
      <c r="L210" s="1051"/>
      <c r="M210" s="1051"/>
      <c r="N210" s="1006"/>
      <c r="O210" s="1006"/>
      <c r="P210" s="1006"/>
      <c r="Q210" s="1006"/>
      <c r="R210" s="1006"/>
      <c r="S210" s="1006"/>
      <c r="T210" s="1006"/>
      <c r="U210" s="1006"/>
      <c r="V210" s="1006"/>
      <c r="W210" s="1006"/>
      <c r="X210" s="1006"/>
      <c r="Y210" s="1006"/>
      <c r="Z210" s="1006"/>
      <c r="AA210" s="1006"/>
      <c r="AB210" s="1006"/>
      <c r="AC210" s="1006"/>
      <c r="AD210" s="1006"/>
      <c r="AE210" s="1006"/>
      <c r="AF210" s="1006"/>
      <c r="AG210" s="1006"/>
      <c r="AH210" s="1006"/>
      <c r="AI210" s="1006"/>
      <c r="AJ210" s="1006"/>
      <c r="AK210" s="1006"/>
      <c r="AL210" s="925">
        <v>1</v>
      </c>
      <c r="AM210" s="627"/>
      <c r="AN210" s="627"/>
    </row>
    <row r="211" spans="1:45" customFormat="1" ht="30" customHeight="1">
      <c r="A211" s="1006"/>
      <c r="B211" s="1006"/>
      <c r="C211" s="1006"/>
      <c r="D211" s="1054" t="s">
        <v>2518</v>
      </c>
      <c r="E211" s="1051"/>
      <c r="F211" s="1051"/>
      <c r="G211" s="1051"/>
      <c r="H211" s="1051"/>
      <c r="I211" s="1051"/>
      <c r="J211" s="1051"/>
      <c r="K211" s="1051"/>
      <c r="L211" s="1051"/>
      <c r="M211" s="1051"/>
      <c r="N211" s="1006"/>
      <c r="O211" s="1006"/>
      <c r="P211" s="1006"/>
      <c r="Q211" s="1006"/>
      <c r="R211" s="1006"/>
      <c r="S211" s="1006"/>
      <c r="T211" s="1006"/>
      <c r="U211" s="1006"/>
      <c r="V211" s="1006"/>
      <c r="W211" s="1006"/>
      <c r="X211" s="1006"/>
      <c r="Y211" s="1006"/>
      <c r="Z211" s="1006"/>
      <c r="AA211" s="1006"/>
      <c r="AB211" s="1006"/>
      <c r="AC211" s="1006"/>
      <c r="AD211" s="1006"/>
      <c r="AE211" s="1006"/>
      <c r="AF211" s="1006"/>
      <c r="AG211" s="1006"/>
      <c r="AH211" s="1006"/>
      <c r="AI211" s="1006"/>
      <c r="AJ211" s="1006"/>
      <c r="AK211" s="1006"/>
      <c r="AL211" s="925">
        <v>1</v>
      </c>
      <c r="AM211" s="627"/>
      <c r="AN211" s="627"/>
    </row>
    <row r="212" spans="1:45" customFormat="1" ht="30" customHeight="1">
      <c r="A212" s="1006"/>
      <c r="B212" s="1006"/>
      <c r="C212" s="1006"/>
      <c r="D212" s="1054" t="s">
        <v>2519</v>
      </c>
      <c r="E212" s="1051"/>
      <c r="F212" s="1051"/>
      <c r="G212" s="1051"/>
      <c r="H212" s="1051"/>
      <c r="I212" s="1051"/>
      <c r="J212" s="1051"/>
      <c r="K212" s="1051"/>
      <c r="L212" s="1051"/>
      <c r="M212" s="1051"/>
      <c r="N212" s="1006"/>
      <c r="O212" s="1006"/>
      <c r="P212" s="1006"/>
      <c r="Q212" s="1006"/>
      <c r="R212" s="1006"/>
      <c r="S212" s="1006"/>
      <c r="T212" s="1006"/>
      <c r="U212" s="1006"/>
      <c r="V212" s="1006"/>
      <c r="W212" s="1006"/>
      <c r="X212" s="1006"/>
      <c r="Y212" s="1006"/>
      <c r="Z212" s="1006"/>
      <c r="AA212" s="1006"/>
      <c r="AB212" s="1006"/>
      <c r="AC212" s="1006"/>
      <c r="AD212" s="1006"/>
      <c r="AE212" s="1006"/>
      <c r="AF212" s="1006"/>
      <c r="AG212" s="1006"/>
      <c r="AH212" s="1006"/>
      <c r="AI212" s="1006"/>
      <c r="AJ212" s="1006"/>
      <c r="AK212" s="1006"/>
      <c r="AL212" s="925">
        <v>1</v>
      </c>
      <c r="AM212" s="627"/>
      <c r="AN212" s="627"/>
    </row>
    <row r="213" spans="1:45" customFormat="1" ht="30" customHeight="1">
      <c r="A213" s="1006"/>
      <c r="B213" s="1006"/>
      <c r="C213" s="1006"/>
      <c r="D213" s="1006"/>
      <c r="E213" s="1006"/>
      <c r="F213" s="1006"/>
      <c r="G213" s="1006"/>
      <c r="H213" s="1006"/>
      <c r="I213" s="1006"/>
      <c r="J213" s="1006"/>
      <c r="K213" s="1006"/>
      <c r="L213" s="1006"/>
      <c r="M213" s="1006"/>
      <c r="N213" s="1006"/>
      <c r="O213" s="1006"/>
      <c r="P213" s="1006"/>
      <c r="Q213" s="1006"/>
      <c r="R213" s="1006"/>
      <c r="S213" s="1006"/>
      <c r="T213" s="1006"/>
      <c r="U213" s="1006"/>
      <c r="V213" s="1006"/>
      <c r="W213" s="1006"/>
      <c r="X213" s="1006"/>
      <c r="Y213" s="1006"/>
      <c r="Z213" s="1006"/>
      <c r="AA213" s="1006"/>
      <c r="AB213" s="1006"/>
      <c r="AC213" s="1006"/>
      <c r="AD213" s="1006"/>
      <c r="AE213" s="1006"/>
      <c r="AF213" s="1006"/>
      <c r="AG213" s="1006"/>
      <c r="AH213" s="1006"/>
      <c r="AI213" s="1006"/>
      <c r="AJ213" s="1006"/>
      <c r="AK213" s="1006"/>
      <c r="AL213" s="925">
        <v>1</v>
      </c>
      <c r="AM213" s="627"/>
      <c r="AN213" s="627"/>
    </row>
    <row r="214" spans="1:45" customFormat="1" ht="30" customHeight="1">
      <c r="A214" s="1006"/>
      <c r="B214" s="1006"/>
      <c r="C214" s="1006"/>
      <c r="D214" s="1055" t="s">
        <v>2520</v>
      </c>
      <c r="E214" s="1055"/>
      <c r="F214" s="1055"/>
      <c r="G214" s="1055"/>
      <c r="H214" s="1055"/>
      <c r="I214" s="1055"/>
      <c r="J214" s="1055"/>
      <c r="K214" s="1055"/>
      <c r="L214" s="1055"/>
      <c r="M214" s="1055"/>
      <c r="N214" s="1006"/>
      <c r="O214" s="1006"/>
      <c r="P214" s="1006"/>
      <c r="Q214" s="1006"/>
      <c r="R214" s="1006"/>
      <c r="S214" s="1006"/>
      <c r="T214" s="1006"/>
      <c r="U214" s="1006"/>
      <c r="V214" s="1006"/>
      <c r="W214" s="1006"/>
      <c r="X214" s="1006"/>
      <c r="Y214" s="1006"/>
      <c r="Z214" s="1006"/>
      <c r="AA214" s="1006"/>
      <c r="AB214" s="1006"/>
      <c r="AC214" s="1006"/>
      <c r="AD214" s="1006"/>
      <c r="AE214" s="1006"/>
      <c r="AF214" s="1006"/>
      <c r="AG214" s="1006"/>
      <c r="AH214" s="1006"/>
      <c r="AI214" s="1006"/>
      <c r="AJ214" s="1006"/>
      <c r="AK214" s="1006"/>
      <c r="AL214" s="925">
        <v>1</v>
      </c>
      <c r="AM214" s="627"/>
      <c r="AN214" s="627"/>
    </row>
    <row r="215" spans="1:45" customFormat="1" ht="30" customHeight="1">
      <c r="A215" s="1006"/>
      <c r="B215" s="1006"/>
      <c r="C215" s="1006"/>
      <c r="D215" s="1055" t="s">
        <v>2521</v>
      </c>
      <c r="E215" s="1055"/>
      <c r="F215" s="1055"/>
      <c r="G215" s="1055"/>
      <c r="H215" s="1055"/>
      <c r="I215" s="1055"/>
      <c r="J215" s="1055"/>
      <c r="K215" s="1055"/>
      <c r="L215" s="1055"/>
      <c r="M215" s="1055"/>
      <c r="N215" s="1006"/>
      <c r="O215" s="1006"/>
      <c r="P215" s="1006"/>
      <c r="Q215" s="1006"/>
      <c r="R215" s="1006"/>
      <c r="S215" s="1006"/>
      <c r="T215" s="1006"/>
      <c r="U215" s="1006"/>
      <c r="V215" s="1006"/>
      <c r="W215" s="1006"/>
      <c r="X215" s="1006"/>
      <c r="Y215" s="1006"/>
      <c r="Z215" s="1006"/>
      <c r="AA215" s="1006"/>
      <c r="AB215" s="1006"/>
      <c r="AC215" s="1006"/>
      <c r="AD215" s="1006"/>
      <c r="AE215" s="1006"/>
      <c r="AF215" s="1006"/>
      <c r="AG215" s="1006"/>
      <c r="AH215" s="1006"/>
      <c r="AI215" s="1006"/>
      <c r="AJ215" s="1006"/>
      <c r="AK215" s="1006"/>
      <c r="AL215" s="925">
        <v>1</v>
      </c>
      <c r="AM215" s="627"/>
      <c r="AN215" s="627"/>
    </row>
    <row r="216" spans="1:45" customFormat="1" ht="30" customHeight="1">
      <c r="A216" s="1006"/>
      <c r="B216" s="1006"/>
      <c r="C216" s="1006"/>
      <c r="D216" s="1055" t="s">
        <v>2522</v>
      </c>
      <c r="E216" s="1055"/>
      <c r="F216" s="1055"/>
      <c r="G216" s="1055"/>
      <c r="H216" s="1055"/>
      <c r="I216" s="1055"/>
      <c r="J216" s="1055"/>
      <c r="K216" s="1055"/>
      <c r="L216" s="1055"/>
      <c r="M216" s="1055"/>
      <c r="N216" s="1006"/>
      <c r="O216" s="1006"/>
      <c r="P216" s="1006"/>
      <c r="Q216" s="1006"/>
      <c r="R216" s="1006"/>
      <c r="S216" s="1006"/>
      <c r="T216" s="1006"/>
      <c r="U216" s="1006"/>
      <c r="V216" s="1006"/>
      <c r="W216" s="1006"/>
      <c r="X216" s="1006"/>
      <c r="Y216" s="1006"/>
      <c r="Z216" s="1006"/>
      <c r="AA216" s="1006"/>
      <c r="AB216" s="1006"/>
      <c r="AC216" s="1006"/>
      <c r="AD216" s="1006"/>
      <c r="AE216" s="1006"/>
      <c r="AF216" s="1006"/>
      <c r="AG216" s="1006"/>
      <c r="AH216" s="1006"/>
      <c r="AI216" s="1006"/>
      <c r="AJ216" s="1006"/>
      <c r="AK216" s="1006"/>
      <c r="AL216" s="925">
        <v>1</v>
      </c>
      <c r="AM216" s="627"/>
      <c r="AN216" s="627"/>
    </row>
    <row r="217" spans="1:45" customFormat="1" ht="30" customHeight="1">
      <c r="A217" s="1006"/>
      <c r="B217" s="1006"/>
      <c r="C217" s="1006"/>
      <c r="D217" s="1055" t="s">
        <v>2523</v>
      </c>
      <c r="E217" s="1055"/>
      <c r="F217" s="1055"/>
      <c r="G217" s="1055"/>
      <c r="H217" s="1055"/>
      <c r="I217" s="1055"/>
      <c r="J217" s="1055"/>
      <c r="K217" s="1055"/>
      <c r="L217" s="1055"/>
      <c r="M217" s="1055"/>
      <c r="N217" s="1006"/>
      <c r="O217" s="1006"/>
      <c r="P217" s="1006"/>
      <c r="Q217" s="1006"/>
      <c r="R217" s="1006"/>
      <c r="S217" s="1006"/>
      <c r="T217" s="1006"/>
      <c r="U217" s="1006"/>
      <c r="V217" s="1006"/>
      <c r="W217" s="1006"/>
      <c r="X217" s="1006"/>
      <c r="Y217" s="1006"/>
      <c r="Z217" s="1006"/>
      <c r="AA217" s="1006"/>
      <c r="AB217" s="1006"/>
      <c r="AC217" s="1006"/>
      <c r="AD217" s="1006"/>
      <c r="AE217" s="1006"/>
      <c r="AF217" s="1006"/>
      <c r="AG217" s="1006"/>
      <c r="AH217" s="1006"/>
      <c r="AI217" s="1006"/>
      <c r="AJ217" s="1006"/>
      <c r="AK217" s="1006"/>
      <c r="AL217" s="925">
        <v>1</v>
      </c>
      <c r="AM217" s="627"/>
      <c r="AN217" s="627"/>
    </row>
    <row r="218" spans="1:45" customFormat="1" ht="30" customHeight="1">
      <c r="A218" s="1006"/>
      <c r="B218" s="1006"/>
      <c r="C218" s="1006"/>
      <c r="D218" s="1055"/>
      <c r="E218" s="1055"/>
      <c r="F218" s="1055"/>
      <c r="G218" s="1055"/>
      <c r="H218" s="1055"/>
      <c r="I218" s="1055"/>
      <c r="J218" s="1055"/>
      <c r="K218" s="1055"/>
      <c r="L218" s="1055"/>
      <c r="M218" s="1055"/>
      <c r="N218" s="1006"/>
      <c r="O218" s="1006"/>
      <c r="P218" s="1006"/>
      <c r="Q218" s="1006"/>
      <c r="R218" s="1006"/>
      <c r="S218" s="1006"/>
      <c r="T218" s="1006"/>
      <c r="U218" s="1006"/>
      <c r="V218" s="1006"/>
      <c r="W218" s="1006"/>
      <c r="X218" s="1006"/>
      <c r="Y218" s="1006"/>
      <c r="Z218" s="1006"/>
      <c r="AA218" s="1006"/>
      <c r="AB218" s="1006"/>
      <c r="AC218" s="1006"/>
      <c r="AD218" s="1006"/>
      <c r="AE218" s="1006"/>
      <c r="AF218" s="1006"/>
      <c r="AG218" s="1006"/>
      <c r="AH218" s="1006"/>
      <c r="AI218" s="1006"/>
      <c r="AJ218" s="1006"/>
      <c r="AK218" s="1006"/>
      <c r="AL218" s="925">
        <v>1</v>
      </c>
      <c r="AM218" s="627"/>
      <c r="AN218" s="627"/>
    </row>
    <row r="219" spans="1:45" customFormat="1" ht="30" customHeight="1">
      <c r="A219" s="1006"/>
      <c r="B219" s="1006"/>
      <c r="C219" s="1006"/>
      <c r="D219" s="1006"/>
      <c r="E219" s="1006"/>
      <c r="F219" s="1006"/>
      <c r="G219" s="1006"/>
      <c r="H219" s="1006"/>
      <c r="I219" s="1006"/>
      <c r="J219" s="1006"/>
      <c r="K219" s="1006"/>
      <c r="L219" s="1006"/>
      <c r="M219" s="1006"/>
      <c r="N219" s="1006"/>
      <c r="O219" s="1006"/>
      <c r="P219" s="1006"/>
      <c r="Q219" s="1006"/>
      <c r="R219" s="1006"/>
      <c r="S219" s="1006"/>
      <c r="T219" s="1006"/>
      <c r="U219" s="1006"/>
      <c r="V219" s="1006"/>
      <c r="W219" s="1006"/>
      <c r="X219" s="1006"/>
      <c r="Y219" s="1006"/>
      <c r="Z219" s="1006"/>
      <c r="AA219" s="1006"/>
      <c r="AB219" s="1006"/>
      <c r="AC219" s="1006"/>
      <c r="AD219" s="1006"/>
      <c r="AE219" s="1006"/>
      <c r="AF219" s="1006"/>
      <c r="AG219" s="1006"/>
      <c r="AH219" s="1006"/>
      <c r="AI219" s="1006"/>
      <c r="AJ219" s="1006"/>
      <c r="AK219" s="1006"/>
      <c r="AL219" s="925">
        <v>1</v>
      </c>
      <c r="AM219" s="627"/>
      <c r="AN219" s="627"/>
      <c r="AO219" s="926"/>
      <c r="AP219" s="926"/>
      <c r="AQ219" s="926"/>
      <c r="AR219" s="926"/>
      <c r="AS219" s="926"/>
    </row>
    <row r="220" spans="1:45" ht="15.75" thickBot="1">
      <c r="A220" s="921"/>
      <c r="B220" s="1006"/>
      <c r="C220" s="1006"/>
      <c r="D220" s="1006"/>
      <c r="E220" s="1006"/>
      <c r="F220" s="1006"/>
      <c r="G220" s="1006"/>
      <c r="H220" s="1006"/>
      <c r="I220" s="1006"/>
      <c r="J220" s="1006"/>
      <c r="K220" s="1006"/>
      <c r="L220" s="1006"/>
      <c r="M220" s="1006"/>
      <c r="N220" s="1006"/>
      <c r="O220" s="1006"/>
      <c r="P220" s="1006"/>
      <c r="Q220" s="1006"/>
      <c r="R220" s="1006"/>
      <c r="S220" s="1006"/>
      <c r="T220" s="1006"/>
      <c r="U220" s="1006"/>
      <c r="V220" s="1006"/>
      <c r="W220" s="1006"/>
      <c r="X220" s="1006"/>
      <c r="Y220" s="1006"/>
      <c r="Z220" s="1006"/>
      <c r="AA220" s="1006"/>
      <c r="AB220" s="1006"/>
      <c r="AC220" s="1006"/>
      <c r="AD220" s="1006"/>
      <c r="AE220" s="1006"/>
      <c r="AF220" s="1006"/>
      <c r="AG220" s="1006"/>
      <c r="AH220" s="1006"/>
      <c r="AI220" s="1006"/>
      <c r="AJ220" s="1006"/>
      <c r="AK220" s="1006"/>
      <c r="AL220" s="925">
        <v>1</v>
      </c>
    </row>
    <row r="221" spans="1:45" s="1061" customFormat="1" ht="30" customHeight="1">
      <c r="A221" s="1056"/>
      <c r="B221" s="1006"/>
      <c r="C221" s="1006"/>
      <c r="D221" s="6446" t="s">
        <v>2524</v>
      </c>
      <c r="E221" s="6447"/>
      <c r="F221" s="6447"/>
      <c r="G221" s="6447"/>
      <c r="H221" s="6447"/>
      <c r="I221" s="6447"/>
      <c r="J221" s="6447"/>
      <c r="K221" s="1057"/>
      <c r="L221" s="1006"/>
      <c r="M221" s="1006"/>
      <c r="N221" s="1006"/>
      <c r="O221" s="1006"/>
      <c r="P221" s="1058" t="s">
        <v>2525</v>
      </c>
      <c r="Q221" s="1059"/>
      <c r="R221" s="1059"/>
      <c r="S221" s="1059"/>
      <c r="T221" s="1059"/>
      <c r="U221" s="1059"/>
      <c r="V221" s="1059"/>
      <c r="W221" s="1060"/>
      <c r="X221" s="1006"/>
      <c r="Y221" s="1006"/>
      <c r="Z221" s="1006"/>
      <c r="AA221" s="1006"/>
      <c r="AB221" s="1006"/>
      <c r="AC221" s="1006"/>
      <c r="AD221" s="1006"/>
      <c r="AE221" s="1006"/>
      <c r="AF221" s="1006"/>
      <c r="AG221" s="1006"/>
      <c r="AH221" s="1006"/>
      <c r="AI221" s="1006"/>
      <c r="AJ221" s="1006"/>
      <c r="AK221" s="1006"/>
      <c r="AL221" s="925">
        <v>1</v>
      </c>
      <c r="AM221" s="627"/>
    </row>
    <row r="222" spans="1:45" s="1061" customFormat="1" ht="30" customHeight="1">
      <c r="A222" s="1056"/>
      <c r="B222" s="1006"/>
      <c r="C222" s="1006"/>
      <c r="D222" s="1062" t="s">
        <v>2526</v>
      </c>
      <c r="E222" s="1063"/>
      <c r="F222" s="1063"/>
      <c r="G222" s="1063"/>
      <c r="H222" s="1063"/>
      <c r="I222" s="1063"/>
      <c r="J222" s="1063"/>
      <c r="K222" s="38"/>
      <c r="L222" s="1006"/>
      <c r="M222" s="1006"/>
      <c r="N222" s="1006"/>
      <c r="O222" s="1006"/>
      <c r="P222" s="1064" t="s">
        <v>2527</v>
      </c>
      <c r="Q222" s="1065"/>
      <c r="R222" s="1065"/>
      <c r="S222" s="1065"/>
      <c r="T222" s="1065"/>
      <c r="U222" s="1065"/>
      <c r="V222" s="1065"/>
      <c r="W222" s="1066"/>
      <c r="X222" s="1006"/>
      <c r="Y222" s="1006"/>
      <c r="Z222" s="1006"/>
      <c r="AA222" s="1006"/>
      <c r="AB222" s="1006"/>
      <c r="AC222" s="1006"/>
      <c r="AD222" s="1006"/>
      <c r="AE222" s="1006"/>
      <c r="AF222" s="1006"/>
      <c r="AG222" s="1006"/>
      <c r="AH222" s="1006"/>
      <c r="AI222" s="1006"/>
      <c r="AJ222" s="1006"/>
      <c r="AK222" s="1006"/>
      <c r="AL222" s="925">
        <v>1</v>
      </c>
      <c r="AM222" s="627"/>
    </row>
    <row r="223" spans="1:45" s="1061" customFormat="1" ht="30" customHeight="1">
      <c r="A223" s="1056"/>
      <c r="B223" s="1006"/>
      <c r="C223" s="1006"/>
      <c r="D223" s="1062"/>
      <c r="E223" s="1067"/>
      <c r="F223" s="1067"/>
      <c r="G223" s="1067"/>
      <c r="H223" s="1067"/>
      <c r="I223" s="1067"/>
      <c r="J223" s="1067"/>
      <c r="K223" s="1068"/>
      <c r="L223" s="1006"/>
      <c r="M223" s="1006"/>
      <c r="N223" s="1006"/>
      <c r="O223" s="1006"/>
      <c r="P223" s="1069"/>
      <c r="Q223" s="1070"/>
      <c r="R223" s="1070"/>
      <c r="S223" s="1070"/>
      <c r="T223" s="1070"/>
      <c r="U223" s="1070"/>
      <c r="V223" s="1070"/>
      <c r="W223" s="1071"/>
      <c r="X223" s="1006"/>
      <c r="Y223" s="1006"/>
      <c r="Z223" s="1006"/>
      <c r="AA223" s="1006"/>
      <c r="AB223" s="1006"/>
      <c r="AC223" s="1006"/>
      <c r="AD223" s="1006"/>
      <c r="AE223" s="1006"/>
      <c r="AF223" s="1006"/>
      <c r="AG223" s="1006"/>
      <c r="AH223" s="1006"/>
      <c r="AI223" s="1006"/>
      <c r="AJ223" s="1006"/>
      <c r="AK223" s="1006"/>
      <c r="AL223" s="925">
        <v>1</v>
      </c>
      <c r="AM223" s="627"/>
    </row>
    <row r="224" spans="1:45" s="1061" customFormat="1" ht="30" customHeight="1">
      <c r="A224" s="1056"/>
      <c r="B224" s="1006"/>
      <c r="C224" s="1006"/>
      <c r="D224" s="1062" t="s">
        <v>2528</v>
      </c>
      <c r="E224" s="1067"/>
      <c r="F224" s="1067"/>
      <c r="G224" s="1067"/>
      <c r="H224" s="1067"/>
      <c r="I224" s="1067"/>
      <c r="J224" s="1067"/>
      <c r="K224" s="1068"/>
      <c r="L224" s="1006"/>
      <c r="M224" s="1006"/>
      <c r="N224" s="1006"/>
      <c r="O224" s="1006"/>
      <c r="P224" s="459"/>
      <c r="Q224" s="9"/>
      <c r="R224" s="9"/>
      <c r="S224" s="9"/>
      <c r="T224" s="9"/>
      <c r="U224" s="9"/>
      <c r="V224" s="9"/>
      <c r="W224" s="38"/>
      <c r="X224" s="1006"/>
      <c r="Y224" s="1006"/>
      <c r="Z224" s="1006"/>
      <c r="AA224" s="1006"/>
      <c r="AB224" s="1006"/>
      <c r="AC224" s="1006"/>
      <c r="AD224" s="1006"/>
      <c r="AE224" s="1006"/>
      <c r="AF224" s="1006"/>
      <c r="AG224" s="1006"/>
      <c r="AH224" s="1006"/>
      <c r="AI224" s="1006"/>
      <c r="AJ224" s="1006"/>
      <c r="AK224" s="1006"/>
      <c r="AL224" s="925">
        <v>1</v>
      </c>
      <c r="AM224" s="627"/>
    </row>
    <row r="225" spans="1:45" s="1061" customFormat="1" ht="30" customHeight="1">
      <c r="A225" s="1056"/>
      <c r="B225" s="1006"/>
      <c r="C225" s="1006"/>
      <c r="D225" s="1062"/>
      <c r="E225" s="1072"/>
      <c r="F225" s="1072"/>
      <c r="G225" s="1072"/>
      <c r="H225" s="1072"/>
      <c r="I225" s="1072"/>
      <c r="J225" s="1073"/>
      <c r="K225" s="38"/>
      <c r="L225" s="1006"/>
      <c r="M225" s="1006"/>
      <c r="N225" s="1006"/>
      <c r="O225" s="1006"/>
      <c r="P225" s="459"/>
      <c r="Q225" s="9"/>
      <c r="R225" s="9"/>
      <c r="S225" s="9"/>
      <c r="T225" s="9"/>
      <c r="U225" s="9"/>
      <c r="V225" s="9"/>
      <c r="W225" s="38"/>
      <c r="X225" s="1006"/>
      <c r="Y225" s="1006"/>
      <c r="Z225" s="1006"/>
      <c r="AA225" s="1006"/>
      <c r="AB225" s="1006"/>
      <c r="AC225" s="1006"/>
      <c r="AD225" s="1006"/>
      <c r="AE225" s="1006"/>
      <c r="AF225" s="1006"/>
      <c r="AG225" s="1006"/>
      <c r="AH225" s="1006"/>
      <c r="AI225" s="1006"/>
      <c r="AJ225" s="1006"/>
      <c r="AK225" s="1006"/>
      <c r="AL225" s="925">
        <v>1</v>
      </c>
      <c r="AM225" s="627"/>
    </row>
    <row r="226" spans="1:45" s="1061" customFormat="1" ht="30" customHeight="1">
      <c r="A226" s="1056"/>
      <c r="B226" s="1006"/>
      <c r="C226" s="1006"/>
      <c r="D226" s="1062"/>
      <c r="E226" s="1072"/>
      <c r="F226" s="1072"/>
      <c r="G226" s="1072"/>
      <c r="H226" s="1072"/>
      <c r="I226" s="1072"/>
      <c r="J226" s="1073"/>
      <c r="K226" s="38"/>
      <c r="L226" s="1006"/>
      <c r="M226" s="1006"/>
      <c r="N226" s="1006"/>
      <c r="O226" s="1006"/>
      <c r="P226" s="459"/>
      <c r="Q226" s="9"/>
      <c r="R226" s="9"/>
      <c r="S226" s="9"/>
      <c r="T226" s="9"/>
      <c r="U226" s="9"/>
      <c r="V226" s="9"/>
      <c r="W226" s="38"/>
      <c r="X226" s="1006"/>
      <c r="Y226" s="1006"/>
      <c r="Z226" s="1006"/>
      <c r="AA226" s="1006"/>
      <c r="AB226" s="1006"/>
      <c r="AC226" s="1006"/>
      <c r="AD226" s="1006"/>
      <c r="AE226" s="1006"/>
      <c r="AF226" s="1006"/>
      <c r="AG226" s="1006"/>
      <c r="AH226" s="1006"/>
      <c r="AI226" s="1006"/>
      <c r="AJ226" s="1006"/>
      <c r="AK226" s="1006"/>
      <c r="AL226" s="925">
        <v>1</v>
      </c>
      <c r="AM226" s="627"/>
    </row>
    <row r="227" spans="1:45" s="1061" customFormat="1" ht="30" customHeight="1">
      <c r="A227" s="1056"/>
      <c r="B227" s="1006"/>
      <c r="C227" s="1006"/>
      <c r="D227" s="1062"/>
      <c r="E227" s="1072"/>
      <c r="F227" s="1072"/>
      <c r="G227" s="1072"/>
      <c r="H227" s="1072"/>
      <c r="I227" s="1072"/>
      <c r="J227" s="1073"/>
      <c r="K227" s="38"/>
      <c r="L227" s="1006"/>
      <c r="M227" s="1006"/>
      <c r="N227" s="1006"/>
      <c r="O227" s="1006"/>
      <c r="P227" s="459"/>
      <c r="Q227" s="9"/>
      <c r="R227" s="9"/>
      <c r="S227" s="9"/>
      <c r="T227" s="9"/>
      <c r="U227" s="9"/>
      <c r="V227" s="9"/>
      <c r="W227" s="38"/>
      <c r="X227" s="1006"/>
      <c r="Y227" s="1006"/>
      <c r="Z227" s="1006"/>
      <c r="AA227" s="1006"/>
      <c r="AB227" s="1006"/>
      <c r="AC227" s="1006"/>
      <c r="AD227" s="1006"/>
      <c r="AE227" s="1006"/>
      <c r="AF227" s="1006"/>
      <c r="AG227" s="1006"/>
      <c r="AH227" s="1006"/>
      <c r="AI227" s="1006"/>
      <c r="AJ227" s="1006"/>
      <c r="AK227" s="1006"/>
      <c r="AL227" s="925">
        <v>1</v>
      </c>
      <c r="AM227" s="627"/>
    </row>
    <row r="228" spans="1:45" s="1061" customFormat="1" ht="30" customHeight="1">
      <c r="A228" s="1056"/>
      <c r="B228" s="1006"/>
      <c r="C228" s="1006"/>
      <c r="D228" s="6428" t="s">
        <v>2529</v>
      </c>
      <c r="E228" s="6429"/>
      <c r="F228" s="6429"/>
      <c r="G228" s="6429"/>
      <c r="H228" s="6429"/>
      <c r="I228" s="6429"/>
      <c r="J228" s="6429"/>
      <c r="K228" s="6430"/>
      <c r="L228" s="1006"/>
      <c r="M228" s="1006"/>
      <c r="N228" s="1006"/>
      <c r="O228" s="1006"/>
      <c r="P228" s="459"/>
      <c r="Q228" s="9"/>
      <c r="R228" s="9"/>
      <c r="S228" s="9"/>
      <c r="T228" s="9"/>
      <c r="U228" s="9"/>
      <c r="V228" s="9"/>
      <c r="W228" s="38"/>
      <c r="X228" s="1006"/>
      <c r="Y228" s="1006"/>
      <c r="Z228" s="923"/>
      <c r="AA228" s="923"/>
      <c r="AB228" s="923"/>
      <c r="AC228" s="923"/>
      <c r="AD228" s="923"/>
      <c r="AE228" s="923"/>
      <c r="AF228" s="923"/>
      <c r="AG228" s="923"/>
      <c r="AH228" s="923"/>
      <c r="AI228" s="923"/>
      <c r="AJ228" s="923"/>
      <c r="AK228" s="923"/>
      <c r="AL228" s="925">
        <v>1</v>
      </c>
      <c r="AM228" s="627"/>
    </row>
    <row r="229" spans="1:45" s="1061" customFormat="1" ht="30" customHeight="1" thickBot="1">
      <c r="A229" s="1056"/>
      <c r="B229" s="1006"/>
      <c r="C229" s="1006"/>
      <c r="D229" s="6431"/>
      <c r="E229" s="6432"/>
      <c r="F229" s="6432"/>
      <c r="G229" s="6432"/>
      <c r="H229" s="6432"/>
      <c r="I229" s="6432"/>
      <c r="J229" s="6432"/>
      <c r="K229" s="6433"/>
      <c r="L229" s="1006"/>
      <c r="M229" s="1006"/>
      <c r="N229" s="1006"/>
      <c r="O229" s="1006"/>
      <c r="P229" s="1074"/>
      <c r="Q229" s="1075"/>
      <c r="R229" s="1075"/>
      <c r="S229" s="1075"/>
      <c r="T229" s="1075"/>
      <c r="U229" s="1075"/>
      <c r="V229" s="1075"/>
      <c r="W229" s="1076"/>
      <c r="X229" s="1006"/>
      <c r="Y229" s="1006"/>
      <c r="Z229" s="1022"/>
      <c r="AA229" s="1022"/>
      <c r="AB229" s="1022"/>
      <c r="AC229" s="1022"/>
      <c r="AD229" s="1022"/>
      <c r="AE229" s="1022"/>
      <c r="AF229" s="1022"/>
      <c r="AG229" s="1022"/>
      <c r="AH229" s="1023"/>
      <c r="AI229" s="1023"/>
      <c r="AJ229" s="923"/>
      <c r="AK229" s="923"/>
      <c r="AL229" s="925">
        <v>1</v>
      </c>
      <c r="AM229" s="627"/>
    </row>
    <row r="230" spans="1:45">
      <c r="A230" s="921"/>
      <c r="B230" s="1006"/>
      <c r="C230" s="1006"/>
      <c r="D230" s="1006"/>
      <c r="E230" s="1006"/>
      <c r="F230" s="1006"/>
      <c r="G230" s="1006"/>
      <c r="H230" s="1006"/>
      <c r="I230" s="1006"/>
      <c r="J230" s="1006"/>
      <c r="K230" s="1006"/>
      <c r="L230" s="1006"/>
      <c r="M230" s="1006"/>
      <c r="N230" s="1006"/>
      <c r="O230" s="1006"/>
      <c r="P230" s="1006"/>
      <c r="Q230" s="1006"/>
      <c r="R230" s="1006"/>
      <c r="S230" s="1006"/>
      <c r="T230" s="1006"/>
      <c r="U230" s="1006"/>
      <c r="V230" s="1006"/>
      <c r="W230" s="1006"/>
      <c r="X230" s="1006"/>
      <c r="Y230" s="1006"/>
      <c r="Z230" s="1022"/>
      <c r="AA230" s="1022"/>
      <c r="AB230" s="1022"/>
      <c r="AC230" s="1022"/>
      <c r="AD230" s="1022"/>
      <c r="AE230" s="1022"/>
      <c r="AF230" s="1022"/>
      <c r="AG230" s="1022"/>
      <c r="AH230" s="1023"/>
      <c r="AI230" s="1023"/>
      <c r="AJ230" s="923"/>
      <c r="AK230" s="923"/>
      <c r="AL230" s="925">
        <v>1</v>
      </c>
    </row>
    <row r="231" spans="1:45">
      <c r="A231" s="921"/>
      <c r="B231" s="1006"/>
      <c r="C231" s="921"/>
      <c r="D231" s="921"/>
      <c r="E231" s="921"/>
      <c r="F231" s="921"/>
      <c r="G231" s="921"/>
      <c r="H231" s="921"/>
      <c r="I231" s="921"/>
      <c r="J231" s="921"/>
      <c r="K231" s="921"/>
      <c r="L231" s="921"/>
      <c r="M231" s="921"/>
      <c r="N231" s="921"/>
      <c r="O231" s="921"/>
      <c r="P231" s="921"/>
      <c r="Q231" s="921"/>
      <c r="R231" s="921"/>
      <c r="S231" s="921"/>
      <c r="T231" s="921"/>
      <c r="U231" s="921"/>
      <c r="V231" s="921"/>
      <c r="W231" s="921"/>
      <c r="X231" s="1006"/>
      <c r="Y231" s="1006"/>
      <c r="Z231" s="1022"/>
      <c r="AA231" s="1022"/>
      <c r="AB231" s="1022"/>
      <c r="AC231" s="1022"/>
      <c r="AD231" s="1022"/>
      <c r="AE231" s="1022"/>
      <c r="AF231" s="1022"/>
      <c r="AG231" s="1022"/>
      <c r="AH231" s="1023"/>
      <c r="AI231" s="1023"/>
      <c r="AJ231" s="923"/>
      <c r="AK231" s="923"/>
      <c r="AL231" s="925">
        <v>1</v>
      </c>
    </row>
    <row r="232" spans="1:45" customFormat="1" ht="30" customHeight="1">
      <c r="A232" s="1006">
        <v>1</v>
      </c>
      <c r="B232" s="1006">
        <v>1</v>
      </c>
      <c r="C232" s="6434" t="s">
        <v>207</v>
      </c>
      <c r="D232" s="6434"/>
      <c r="E232" s="1077" t="str">
        <f ca="1">CELL("nomfichier")</f>
        <v>D:\Données\1.UPRT\0-UPRT.fait\1-UPRT.FR-SITE-WEB\ff-fiches-fabrications\ff.fiches.fabrication.2023\ffr.restaurant.2023\[ff.FICHE.TRILINGUE.20.COLONNES.05.01.2026.xlsx]Couleurs.pour.vos.documents</v>
      </c>
      <c r="F232" s="1078"/>
      <c r="G232" s="1078"/>
      <c r="H232" s="1078"/>
      <c r="I232" s="1078"/>
      <c r="J232" s="1079"/>
      <c r="K232" s="1078"/>
      <c r="L232" s="1078"/>
      <c r="M232" s="1078"/>
      <c r="N232" s="1078"/>
      <c r="O232" s="1078"/>
      <c r="P232" s="1078"/>
      <c r="Q232" s="1078"/>
      <c r="R232" s="1078"/>
      <c r="S232" s="1078"/>
      <c r="T232" s="1078"/>
      <c r="U232" s="1078"/>
      <c r="V232" s="1078"/>
      <c r="W232" s="1078"/>
      <c r="X232" s="1078"/>
      <c r="Y232" s="1006"/>
      <c r="Z232" s="1022"/>
      <c r="AA232" s="1022"/>
      <c r="AB232" s="1022"/>
      <c r="AC232" s="1022"/>
      <c r="AD232" s="1022"/>
      <c r="AE232" s="1022"/>
      <c r="AF232" s="1022"/>
      <c r="AG232" s="1022"/>
      <c r="AH232" s="1023"/>
      <c r="AI232" s="1023"/>
      <c r="AJ232" s="923"/>
      <c r="AK232" s="923"/>
      <c r="AL232" s="925">
        <v>1</v>
      </c>
      <c r="AM232" s="627"/>
      <c r="AN232" s="627"/>
      <c r="AO232" s="926"/>
      <c r="AP232" s="926"/>
      <c r="AQ232" s="926"/>
      <c r="AR232" s="926"/>
      <c r="AS232" s="926"/>
    </row>
    <row r="233" spans="1:45">
      <c r="A233" s="921"/>
      <c r="B233" s="921"/>
      <c r="C233" s="921"/>
      <c r="D233" s="921"/>
      <c r="E233" s="921"/>
      <c r="F233" s="921"/>
      <c r="G233" s="921"/>
      <c r="H233" s="921"/>
      <c r="I233" s="921"/>
      <c r="J233" s="921"/>
      <c r="K233" s="921"/>
      <c r="L233" s="921"/>
      <c r="M233" s="921"/>
      <c r="N233" s="921"/>
      <c r="O233" s="921"/>
      <c r="P233" s="921"/>
      <c r="Q233" s="921"/>
      <c r="R233" s="921"/>
      <c r="S233" s="921"/>
      <c r="T233" s="921"/>
      <c r="U233" s="921"/>
      <c r="V233" s="921"/>
      <c r="W233" s="921"/>
      <c r="X233" s="921"/>
      <c r="Y233" s="921"/>
      <c r="Z233" s="1022"/>
      <c r="AA233" s="1022"/>
      <c r="AB233" s="1022"/>
      <c r="AC233" s="1022"/>
      <c r="AD233" s="1022"/>
      <c r="AE233" s="1022"/>
      <c r="AF233" s="1022"/>
      <c r="AG233" s="1022"/>
      <c r="AH233" s="1023"/>
      <c r="AI233" s="1023"/>
      <c r="AJ233" s="923"/>
      <c r="AK233" s="923"/>
      <c r="AL233" s="925">
        <v>1</v>
      </c>
    </row>
    <row r="234" spans="1:45" s="984" customFormat="1" ht="40.5" customHeight="1">
      <c r="A234" s="921"/>
      <c r="B234" s="996"/>
      <c r="C234" s="1157" t="s">
        <v>2931</v>
      </c>
      <c r="D234" s="1157"/>
      <c r="E234" s="1157"/>
      <c r="F234" s="1157"/>
      <c r="G234" s="1157"/>
      <c r="H234" s="1157"/>
      <c r="I234" s="1157"/>
      <c r="J234" s="1157"/>
      <c r="K234" s="1157"/>
      <c r="L234" s="1157"/>
      <c r="M234" s="921"/>
      <c r="N234" s="921"/>
      <c r="O234" s="986"/>
      <c r="P234" s="986"/>
      <c r="Q234" s="986"/>
      <c r="R234" s="986"/>
      <c r="S234" s="986"/>
      <c r="T234" s="923"/>
      <c r="U234" s="923"/>
      <c r="V234" s="923"/>
      <c r="W234" s="923"/>
      <c r="X234" s="923"/>
      <c r="Y234" s="923"/>
      <c r="Z234" s="923"/>
      <c r="AA234" s="923"/>
      <c r="AB234" s="923"/>
      <c r="AC234" s="923"/>
      <c r="AD234" s="923"/>
      <c r="AE234" s="923"/>
      <c r="AF234" s="923"/>
      <c r="AG234" s="1022"/>
      <c r="AH234" s="1023"/>
      <c r="AI234" s="1023"/>
      <c r="AJ234" s="923"/>
      <c r="AK234" s="923"/>
      <c r="AL234" s="925">
        <v>1</v>
      </c>
      <c r="AM234" s="627"/>
    </row>
    <row r="235" spans="1:45" s="984" customFormat="1" ht="40.5" customHeight="1">
      <c r="A235" s="921"/>
      <c r="B235" s="996"/>
      <c r="C235" s="1080" t="s">
        <v>838</v>
      </c>
      <c r="D235" s="1081"/>
      <c r="E235" s="1081"/>
      <c r="F235" s="1081"/>
      <c r="G235" s="986"/>
      <c r="H235" s="986"/>
      <c r="I235" s="986"/>
      <c r="J235" s="986"/>
      <c r="K235" s="986"/>
      <c r="L235" s="986"/>
      <c r="M235" s="986"/>
      <c r="N235" s="986"/>
      <c r="O235" s="1082" t="s">
        <v>2530</v>
      </c>
      <c r="P235" s="986"/>
      <c r="Q235" s="986"/>
      <c r="R235" s="986"/>
      <c r="S235" s="986"/>
      <c r="T235" s="923"/>
      <c r="U235" s="1083"/>
      <c r="V235" s="923"/>
      <c r="W235" s="923"/>
      <c r="X235" s="923"/>
      <c r="Y235" s="923"/>
      <c r="Z235" s="1035"/>
      <c r="AA235" s="923"/>
      <c r="AB235" s="923"/>
      <c r="AC235" s="923"/>
      <c r="AD235" s="923"/>
      <c r="AE235" s="923"/>
      <c r="AF235" s="923"/>
      <c r="AG235" s="1022"/>
      <c r="AH235" s="1023"/>
      <c r="AI235" s="1023"/>
      <c r="AJ235" s="923"/>
      <c r="AK235" s="923"/>
      <c r="AL235" s="925">
        <v>1</v>
      </c>
      <c r="AM235" s="627"/>
    </row>
    <row r="236" spans="1:45" s="984" customFormat="1" ht="40.5" customHeight="1">
      <c r="A236" s="921"/>
      <c r="B236" s="996"/>
      <c r="C236" s="1084" t="s">
        <v>2531</v>
      </c>
      <c r="D236" s="1081"/>
      <c r="E236" s="1081"/>
      <c r="F236" s="1081"/>
      <c r="G236" s="1083"/>
      <c r="H236" s="1085"/>
      <c r="I236" s="1081"/>
      <c r="J236" s="1081"/>
      <c r="K236" s="921"/>
      <c r="L236" s="921"/>
      <c r="M236" s="921"/>
      <c r="N236" s="921"/>
      <c r="O236" s="986"/>
      <c r="P236" s="986"/>
      <c r="Q236" s="986"/>
      <c r="R236" s="986"/>
      <c r="S236" s="986"/>
      <c r="T236" s="923"/>
      <c r="U236" s="923"/>
      <c r="V236" s="923"/>
      <c r="W236" s="923"/>
      <c r="X236" s="923"/>
      <c r="Y236" s="923"/>
      <c r="Z236" s="1039"/>
      <c r="AA236" s="923"/>
      <c r="AB236" s="923"/>
      <c r="AC236" s="923"/>
      <c r="AD236" s="923"/>
      <c r="AE236" s="923"/>
      <c r="AF236" s="923"/>
      <c r="AG236" s="1022"/>
      <c r="AH236" s="1023"/>
      <c r="AI236" s="1023"/>
      <c r="AJ236" s="923"/>
      <c r="AK236" s="923"/>
      <c r="AL236" s="925">
        <v>1</v>
      </c>
      <c r="AM236" s="627"/>
    </row>
    <row r="237" spans="1:45" s="984" customFormat="1" ht="40.5" customHeight="1">
      <c r="A237" s="921"/>
      <c r="B237" s="996"/>
      <c r="C237" s="1086" t="s">
        <v>839</v>
      </c>
      <c r="D237" s="1081"/>
      <c r="E237" s="1081"/>
      <c r="F237" s="1081"/>
      <c r="G237" s="1083"/>
      <c r="H237" s="1085"/>
      <c r="I237" s="1081"/>
      <c r="J237" s="1081"/>
      <c r="K237" s="921"/>
      <c r="L237" s="921"/>
      <c r="M237" s="921"/>
      <c r="N237" s="921"/>
      <c r="O237" s="986"/>
      <c r="P237" s="986"/>
      <c r="Q237" s="986"/>
      <c r="R237" s="986"/>
      <c r="S237" s="986"/>
      <c r="T237" s="923"/>
      <c r="U237" s="923"/>
      <c r="V237" s="923"/>
      <c r="W237" s="923"/>
      <c r="X237" s="923"/>
      <c r="Y237" s="923"/>
      <c r="Z237" s="923"/>
      <c r="AA237" s="923"/>
      <c r="AB237" s="923"/>
      <c r="AC237" s="923"/>
      <c r="AD237" s="923"/>
      <c r="AE237" s="923"/>
      <c r="AF237" s="923"/>
      <c r="AG237" s="1022"/>
      <c r="AH237" s="1023"/>
      <c r="AI237" s="1023"/>
      <c r="AJ237" s="923"/>
      <c r="AK237" s="923"/>
      <c r="AL237" s="925">
        <v>1</v>
      </c>
      <c r="AM237" s="627"/>
    </row>
    <row r="238" spans="1:45" s="984" customFormat="1" ht="40.5" customHeight="1">
      <c r="A238" s="921"/>
      <c r="B238" s="996"/>
      <c r="C238" s="1087" t="s">
        <v>2532</v>
      </c>
      <c r="D238" s="921"/>
      <c r="E238" s="921"/>
      <c r="F238" s="921"/>
      <c r="G238" s="921"/>
      <c r="H238" s="921"/>
      <c r="I238" s="986"/>
      <c r="J238" s="921"/>
      <c r="K238" s="921"/>
      <c r="L238" s="921"/>
      <c r="M238" s="921"/>
      <c r="N238" s="921"/>
      <c r="O238" s="986"/>
      <c r="P238" s="986"/>
      <c r="Q238" s="986"/>
      <c r="R238" s="986"/>
      <c r="S238" s="986"/>
      <c r="T238" s="923"/>
      <c r="U238" s="923"/>
      <c r="V238" s="1016" t="s">
        <v>2533</v>
      </c>
      <c r="W238" s="1027"/>
      <c r="X238" s="1027"/>
      <c r="Y238" s="1027"/>
      <c r="Z238" s="1027"/>
      <c r="AA238" s="1027"/>
      <c r="AB238" s="1027"/>
      <c r="AC238" s="923"/>
      <c r="AD238" s="923"/>
      <c r="AE238" s="923"/>
      <c r="AF238" s="923"/>
      <c r="AG238" s="1022"/>
      <c r="AH238" s="1023"/>
      <c r="AI238" s="1023"/>
      <c r="AJ238" s="923"/>
      <c r="AK238" s="923"/>
      <c r="AL238" s="925">
        <v>1</v>
      </c>
      <c r="AM238" s="627"/>
    </row>
    <row r="239" spans="1:45" s="984" customFormat="1" ht="40.5" customHeight="1">
      <c r="A239" s="921"/>
      <c r="B239" s="996"/>
      <c r="C239" s="1087" t="s">
        <v>2534</v>
      </c>
      <c r="D239" s="921"/>
      <c r="E239" s="921"/>
      <c r="F239" s="921"/>
      <c r="G239" s="921"/>
      <c r="H239" s="921"/>
      <c r="I239" s="986"/>
      <c r="J239" s="921"/>
      <c r="K239" s="921"/>
      <c r="L239" s="921"/>
      <c r="M239" s="921"/>
      <c r="N239" s="921"/>
      <c r="O239" s="986"/>
      <c r="P239" s="986"/>
      <c r="Q239" s="986"/>
      <c r="R239" s="986"/>
      <c r="S239" s="986"/>
      <c r="T239" s="923"/>
      <c r="U239" s="923"/>
      <c r="V239" s="1088" t="s">
        <v>2535</v>
      </c>
      <c r="W239" s="998"/>
      <c r="X239" s="998"/>
      <c r="Y239" s="998"/>
      <c r="Z239" s="998"/>
      <c r="AA239" s="998"/>
      <c r="AB239" s="998"/>
      <c r="AC239" s="923" t="s">
        <v>21</v>
      </c>
      <c r="AD239" s="923"/>
      <c r="AE239" s="923"/>
      <c r="AF239" s="923"/>
      <c r="AG239" s="1022"/>
      <c r="AH239" s="1023"/>
      <c r="AI239" s="1023"/>
      <c r="AJ239" s="923"/>
      <c r="AK239" s="923"/>
      <c r="AL239" s="925">
        <v>1</v>
      </c>
      <c r="AM239" s="627"/>
    </row>
    <row r="240" spans="1:45" s="984" customFormat="1" ht="40.5" customHeight="1">
      <c r="A240" s="921"/>
      <c r="B240" s="996"/>
      <c r="C240" s="1089" t="s">
        <v>2536</v>
      </c>
      <c r="D240" s="921"/>
      <c r="E240" s="921"/>
      <c r="F240" s="921"/>
      <c r="G240" s="921"/>
      <c r="H240" s="921"/>
      <c r="I240" s="986"/>
      <c r="J240" s="921"/>
      <c r="K240" s="921"/>
      <c r="L240" s="921"/>
      <c r="M240" s="921"/>
      <c r="N240" s="921"/>
      <c r="O240" s="986"/>
      <c r="P240" s="986"/>
      <c r="Q240" s="986"/>
      <c r="R240" s="986"/>
      <c r="S240" s="986"/>
      <c r="T240" s="923"/>
      <c r="U240" s="923"/>
      <c r="V240" s="923"/>
      <c r="W240" s="923"/>
      <c r="X240" s="923"/>
      <c r="Y240" s="923"/>
      <c r="Z240" s="923"/>
      <c r="AA240" s="923"/>
      <c r="AB240" s="923"/>
      <c r="AC240" s="923"/>
      <c r="AD240" s="923"/>
      <c r="AE240" s="923"/>
      <c r="AF240" s="923"/>
      <c r="AG240" s="1022"/>
      <c r="AH240" s="1023"/>
      <c r="AI240" s="1023"/>
      <c r="AJ240" s="923"/>
      <c r="AK240" s="923"/>
      <c r="AL240" s="925">
        <v>1</v>
      </c>
      <c r="AM240" s="627"/>
    </row>
    <row r="241" spans="1:39" s="984" customFormat="1" ht="40.5" customHeight="1">
      <c r="A241" s="921"/>
      <c r="B241" s="996"/>
      <c r="C241" s="1089" t="s">
        <v>2537</v>
      </c>
      <c r="D241" s="921"/>
      <c r="E241" s="921"/>
      <c r="F241" s="921"/>
      <c r="G241" s="921"/>
      <c r="H241" s="921"/>
      <c r="I241" s="986"/>
      <c r="J241" s="921"/>
      <c r="K241" s="921"/>
      <c r="L241" s="921"/>
      <c r="M241" s="921"/>
      <c r="N241" s="921"/>
      <c r="O241" s="986"/>
      <c r="P241" s="986"/>
      <c r="Q241" s="986"/>
      <c r="R241" s="986"/>
      <c r="S241" s="986"/>
      <c r="T241" s="923"/>
      <c r="U241" s="923"/>
      <c r="V241" s="923"/>
      <c r="W241" s="923"/>
      <c r="X241" s="923"/>
      <c r="Y241" s="923"/>
      <c r="Z241" s="923"/>
      <c r="AA241" s="923"/>
      <c r="AB241" s="923"/>
      <c r="AC241" s="923"/>
      <c r="AD241" s="923"/>
      <c r="AE241" s="923"/>
      <c r="AF241" s="923"/>
      <c r="AG241" s="1022"/>
      <c r="AH241" s="1023"/>
      <c r="AI241" s="1023"/>
      <c r="AJ241" s="923"/>
      <c r="AK241" s="923"/>
      <c r="AL241" s="925">
        <v>1</v>
      </c>
      <c r="AM241" s="627"/>
    </row>
    <row r="242" spans="1:39" s="984" customFormat="1" ht="40.5" customHeight="1">
      <c r="A242" s="921"/>
      <c r="B242" s="996"/>
      <c r="C242" s="1090" t="s">
        <v>2538</v>
      </c>
      <c r="D242" s="1090" t="s">
        <v>2539</v>
      </c>
      <c r="E242" s="1090" t="s">
        <v>2540</v>
      </c>
      <c r="F242" s="1090" t="s">
        <v>2541</v>
      </c>
      <c r="G242" s="1090" t="s">
        <v>2542</v>
      </c>
      <c r="H242" s="1090" t="s">
        <v>2543</v>
      </c>
      <c r="I242" s="1090" t="s">
        <v>2544</v>
      </c>
      <c r="J242" s="1090" t="s">
        <v>2545</v>
      </c>
      <c r="K242" s="1090" t="s">
        <v>2546</v>
      </c>
      <c r="L242" s="1090" t="s">
        <v>2547</v>
      </c>
      <c r="M242" s="1090" t="s">
        <v>2548</v>
      </c>
      <c r="N242" s="1090" t="s">
        <v>2549</v>
      </c>
      <c r="O242" s="1090" t="s">
        <v>2550</v>
      </c>
      <c r="P242" s="986"/>
      <c r="Q242" s="1090" t="s">
        <v>2551</v>
      </c>
      <c r="R242" s="1090" t="s">
        <v>2552</v>
      </c>
      <c r="S242" s="1090" t="s">
        <v>2553</v>
      </c>
      <c r="T242" s="1090" t="s">
        <v>2554</v>
      </c>
      <c r="U242" s="1090" t="s">
        <v>2555</v>
      </c>
      <c r="V242" s="1090" t="s">
        <v>2556</v>
      </c>
      <c r="W242" s="1090" t="s">
        <v>2557</v>
      </c>
      <c r="X242" s="1090" t="s">
        <v>2558</v>
      </c>
      <c r="Y242" s="1090" t="s">
        <v>2559</v>
      </c>
      <c r="Z242" s="1090" t="s">
        <v>2560</v>
      </c>
      <c r="AA242" s="1090" t="s">
        <v>2561</v>
      </c>
      <c r="AB242" s="1090" t="s">
        <v>2562</v>
      </c>
      <c r="AC242" s="1090" t="s">
        <v>2563</v>
      </c>
      <c r="AD242" s="923"/>
      <c r="AE242" s="923"/>
      <c r="AF242" s="923"/>
      <c r="AG242" s="1022"/>
      <c r="AH242" s="1023"/>
      <c r="AI242" s="1023"/>
      <c r="AJ242" s="923"/>
      <c r="AK242" s="923"/>
      <c r="AL242" s="925">
        <v>1</v>
      </c>
      <c r="AM242" s="627"/>
    </row>
    <row r="243" spans="1:39" s="984" customFormat="1" ht="40.5" customHeight="1">
      <c r="A243" s="921"/>
      <c r="B243" s="996"/>
      <c r="C243" s="1090" t="s">
        <v>2564</v>
      </c>
      <c r="D243" s="1090" t="s">
        <v>2565</v>
      </c>
      <c r="E243" s="1090" t="s">
        <v>2566</v>
      </c>
      <c r="F243" s="1090" t="s">
        <v>2567</v>
      </c>
      <c r="G243" s="1090" t="s">
        <v>2568</v>
      </c>
      <c r="H243" s="1090" t="s">
        <v>2569</v>
      </c>
      <c r="I243" s="1090" t="s">
        <v>2570</v>
      </c>
      <c r="J243" s="1090" t="s">
        <v>2571</v>
      </c>
      <c r="K243" s="1090" t="s">
        <v>2572</v>
      </c>
      <c r="L243" s="1090" t="s">
        <v>2573</v>
      </c>
      <c r="M243" s="1090" t="s">
        <v>2574</v>
      </c>
      <c r="N243" s="1090" t="s">
        <v>2575</v>
      </c>
      <c r="O243" s="1090" t="s">
        <v>2576</v>
      </c>
      <c r="P243" s="1091"/>
      <c r="Q243" s="1090" t="s">
        <v>2577</v>
      </c>
      <c r="R243" s="1090" t="s">
        <v>2578</v>
      </c>
      <c r="S243" s="1090" t="s">
        <v>2579</v>
      </c>
      <c r="T243" s="1090" t="s">
        <v>2580</v>
      </c>
      <c r="U243" s="1090" t="s">
        <v>2581</v>
      </c>
      <c r="V243" s="1090" t="s">
        <v>2582</v>
      </c>
      <c r="W243" s="1090" t="s">
        <v>2583</v>
      </c>
      <c r="X243" s="1090" t="s">
        <v>2584</v>
      </c>
      <c r="Y243" s="1090" t="s">
        <v>2585</v>
      </c>
      <c r="Z243" s="1090" t="s">
        <v>2586</v>
      </c>
      <c r="AA243" s="1090" t="s">
        <v>2587</v>
      </c>
      <c r="AB243" s="1090" t="s">
        <v>2588</v>
      </c>
      <c r="AC243" s="1090" t="s">
        <v>2589</v>
      </c>
      <c r="AD243" s="923"/>
      <c r="AE243" s="923"/>
      <c r="AF243" s="923"/>
      <c r="AG243" s="1022"/>
      <c r="AH243" s="1023"/>
      <c r="AI243" s="1023"/>
      <c r="AJ243" s="923"/>
      <c r="AK243" s="923"/>
      <c r="AL243" s="925">
        <v>1</v>
      </c>
      <c r="AM243" s="627"/>
    </row>
    <row r="244" spans="1:39" s="984" customFormat="1" ht="40.5" customHeight="1">
      <c r="A244" s="921"/>
      <c r="B244" s="996"/>
      <c r="C244" s="1091"/>
      <c r="D244" s="1091"/>
      <c r="E244" s="1091"/>
      <c r="F244" s="1091"/>
      <c r="G244" s="1091"/>
      <c r="H244" s="1091"/>
      <c r="I244" s="1091"/>
      <c r="J244" s="1091"/>
      <c r="K244" s="1091"/>
      <c r="L244" s="1091"/>
      <c r="M244" s="921"/>
      <c r="N244" s="921"/>
      <c r="O244" s="921"/>
      <c r="P244" s="921"/>
      <c r="Q244" s="921"/>
      <c r="R244" s="921"/>
      <c r="S244" s="921"/>
      <c r="T244" s="921"/>
      <c r="U244" s="921"/>
      <c r="V244" s="921"/>
      <c r="W244" s="921"/>
      <c r="X244" s="921"/>
      <c r="Y244" s="921"/>
      <c r="Z244" s="923"/>
      <c r="AA244" s="923"/>
      <c r="AB244" s="923"/>
      <c r="AC244" s="923"/>
      <c r="AD244" s="923"/>
      <c r="AE244" s="923"/>
      <c r="AF244" s="923"/>
      <c r="AG244" s="1022"/>
      <c r="AH244" s="1023"/>
      <c r="AI244" s="1023"/>
      <c r="AJ244" s="923"/>
      <c r="AK244" s="923"/>
      <c r="AL244" s="925">
        <v>1</v>
      </c>
      <c r="AM244" s="627"/>
    </row>
    <row r="245" spans="1:39" s="984" customFormat="1" ht="40.5" customHeight="1">
      <c r="A245" s="921"/>
      <c r="B245" s="996"/>
      <c r="C245" s="1090" t="s">
        <v>2551</v>
      </c>
      <c r="D245" s="1090" t="s">
        <v>2552</v>
      </c>
      <c r="E245" s="1090" t="s">
        <v>2553</v>
      </c>
      <c r="F245" s="1090" t="s">
        <v>2554</v>
      </c>
      <c r="G245" s="1090" t="s">
        <v>2555</v>
      </c>
      <c r="H245" s="1090" t="s">
        <v>2556</v>
      </c>
      <c r="I245" s="1090" t="s">
        <v>2557</v>
      </c>
      <c r="J245" s="1090" t="s">
        <v>2558</v>
      </c>
      <c r="K245" s="1090" t="s">
        <v>2559</v>
      </c>
      <c r="L245" s="1090" t="s">
        <v>2560</v>
      </c>
      <c r="M245" s="1090" t="s">
        <v>2561</v>
      </c>
      <c r="N245" s="1090" t="s">
        <v>2562</v>
      </c>
      <c r="O245" s="1090" t="s">
        <v>2563</v>
      </c>
      <c r="P245" s="921"/>
      <c r="Q245" s="1090" t="s">
        <v>2590</v>
      </c>
      <c r="R245" s="1090" t="s">
        <v>2591</v>
      </c>
      <c r="S245" s="1090" t="s">
        <v>2592</v>
      </c>
      <c r="T245" s="1090" t="s">
        <v>2593</v>
      </c>
      <c r="U245" s="1090" t="s">
        <v>2594</v>
      </c>
      <c r="V245" s="1090" t="s">
        <v>2595</v>
      </c>
      <c r="W245" s="1090" t="s">
        <v>2596</v>
      </c>
      <c r="X245" s="1090" t="s">
        <v>2597</v>
      </c>
      <c r="Y245" s="1090" t="s">
        <v>2597</v>
      </c>
      <c r="Z245" s="1090" t="s">
        <v>2598</v>
      </c>
      <c r="AA245" s="1090" t="s">
        <v>2599</v>
      </c>
      <c r="AB245" s="1090" t="s">
        <v>2600</v>
      </c>
      <c r="AC245" s="1090" t="s">
        <v>2601</v>
      </c>
      <c r="AD245" s="1090" t="s">
        <v>2602</v>
      </c>
      <c r="AE245" s="923"/>
      <c r="AF245" s="923"/>
      <c r="AG245" s="1022"/>
      <c r="AH245" s="1023"/>
      <c r="AI245" s="1023"/>
      <c r="AJ245" s="923"/>
      <c r="AK245" s="923"/>
      <c r="AL245" s="925">
        <v>1</v>
      </c>
      <c r="AM245" s="627"/>
    </row>
    <row r="246" spans="1:39" s="984" customFormat="1" ht="40.5" customHeight="1">
      <c r="A246" s="921"/>
      <c r="B246" s="996"/>
      <c r="C246" s="1090" t="s">
        <v>2577</v>
      </c>
      <c r="D246" s="1090" t="s">
        <v>2578</v>
      </c>
      <c r="E246" s="1090" t="s">
        <v>2579</v>
      </c>
      <c r="F246" s="1090" t="s">
        <v>2580</v>
      </c>
      <c r="G246" s="1090" t="s">
        <v>2581</v>
      </c>
      <c r="H246" s="1090" t="s">
        <v>2582</v>
      </c>
      <c r="I246" s="1090" t="s">
        <v>2583</v>
      </c>
      <c r="J246" s="1090" t="s">
        <v>2584</v>
      </c>
      <c r="K246" s="1090" t="s">
        <v>2585</v>
      </c>
      <c r="L246" s="1090" t="s">
        <v>2586</v>
      </c>
      <c r="M246" s="1090" t="s">
        <v>2587</v>
      </c>
      <c r="N246" s="1090" t="s">
        <v>2588</v>
      </c>
      <c r="O246" s="1090" t="s">
        <v>2589</v>
      </c>
      <c r="P246" s="921"/>
      <c r="Q246" s="1090" t="s">
        <v>2603</v>
      </c>
      <c r="R246" s="1090" t="s">
        <v>2604</v>
      </c>
      <c r="S246" s="1090" t="s">
        <v>2605</v>
      </c>
      <c r="T246" s="1090" t="s">
        <v>2606</v>
      </c>
      <c r="U246" s="1090" t="s">
        <v>2607</v>
      </c>
      <c r="V246" s="1090" t="s">
        <v>2607</v>
      </c>
      <c r="W246" s="1090" t="s">
        <v>2608</v>
      </c>
      <c r="X246" s="1090" t="s">
        <v>2609</v>
      </c>
      <c r="Y246" s="1090" t="s">
        <v>2610</v>
      </c>
      <c r="Z246" s="1090" t="s">
        <v>2611</v>
      </c>
      <c r="AA246" s="1090" t="s">
        <v>2612</v>
      </c>
      <c r="AB246" s="1090" t="s">
        <v>2613</v>
      </c>
      <c r="AC246" s="1090" t="s">
        <v>2614</v>
      </c>
      <c r="AD246" s="1090"/>
      <c r="AE246" s="923"/>
      <c r="AF246" s="923"/>
      <c r="AG246" s="1022"/>
      <c r="AH246" s="1023"/>
      <c r="AI246" s="1023"/>
      <c r="AJ246" s="923"/>
      <c r="AK246" s="923"/>
      <c r="AL246" s="925">
        <v>1</v>
      </c>
      <c r="AM246" s="627"/>
    </row>
    <row r="247" spans="1:39" s="984" customFormat="1" ht="40.5" customHeight="1">
      <c r="A247" s="921"/>
      <c r="B247" s="996"/>
      <c r="C247" s="1091"/>
      <c r="D247" s="1091"/>
      <c r="E247" s="1091"/>
      <c r="F247" s="1091"/>
      <c r="G247" s="1091"/>
      <c r="H247" s="1091"/>
      <c r="I247" s="1091"/>
      <c r="J247" s="1091"/>
      <c r="K247" s="1091"/>
      <c r="L247" s="1091"/>
      <c r="M247" s="921"/>
      <c r="N247" s="921"/>
      <c r="O247" s="921"/>
      <c r="P247" s="921"/>
      <c r="Q247" s="921"/>
      <c r="R247" s="921"/>
      <c r="S247" s="921"/>
      <c r="T247" s="921"/>
      <c r="U247" s="921"/>
      <c r="V247" s="921"/>
      <c r="W247" s="921"/>
      <c r="X247" s="921"/>
      <c r="Y247" s="921"/>
      <c r="Z247" s="923"/>
      <c r="AA247" s="923"/>
      <c r="AB247" s="923"/>
      <c r="AC247" s="923"/>
      <c r="AD247" s="923"/>
      <c r="AE247" s="923"/>
      <c r="AF247" s="923"/>
      <c r="AG247" s="1022"/>
      <c r="AH247" s="1023"/>
      <c r="AI247" s="1023"/>
      <c r="AJ247" s="923"/>
      <c r="AK247" s="923"/>
      <c r="AL247" s="925">
        <v>1</v>
      </c>
      <c r="AM247" s="627"/>
    </row>
    <row r="248" spans="1:39" s="984" customFormat="1" ht="40.5" customHeight="1">
      <c r="A248" s="921"/>
      <c r="B248" s="996"/>
      <c r="C248" s="1092" t="s">
        <v>2615</v>
      </c>
      <c r="D248" s="1092" t="s">
        <v>2616</v>
      </c>
      <c r="E248" s="1092" t="s">
        <v>2617</v>
      </c>
      <c r="F248" s="1092" t="s">
        <v>2618</v>
      </c>
      <c r="G248" s="1092" t="s">
        <v>2619</v>
      </c>
      <c r="H248" s="1092" t="s">
        <v>2620</v>
      </c>
      <c r="I248" s="1092" t="s">
        <v>2621</v>
      </c>
      <c r="J248" s="1092" t="s">
        <v>2622</v>
      </c>
      <c r="K248" s="1092" t="s">
        <v>2623</v>
      </c>
      <c r="L248" s="1092" t="s">
        <v>2624</v>
      </c>
      <c r="M248" s="1092" t="s">
        <v>2625</v>
      </c>
      <c r="N248" s="1092" t="s">
        <v>2626</v>
      </c>
      <c r="O248" s="1092" t="s">
        <v>2627</v>
      </c>
      <c r="P248" s="921"/>
      <c r="Q248" s="1093" t="s">
        <v>2628</v>
      </c>
      <c r="R248" s="1093" t="s">
        <v>2629</v>
      </c>
      <c r="S248" s="1093" t="s">
        <v>16</v>
      </c>
      <c r="T248" s="1093" t="s">
        <v>2630</v>
      </c>
      <c r="U248" s="1093" t="s">
        <v>2631</v>
      </c>
      <c r="V248" s="1093" t="s">
        <v>2632</v>
      </c>
      <c r="W248" s="1093" t="s">
        <v>2633</v>
      </c>
      <c r="X248" s="1093" t="s">
        <v>2634</v>
      </c>
      <c r="Y248" s="1093" t="s">
        <v>2635</v>
      </c>
      <c r="Z248" s="1093" t="s">
        <v>453</v>
      </c>
      <c r="AA248" s="1093" t="s">
        <v>2636</v>
      </c>
      <c r="AB248" s="923"/>
      <c r="AC248" s="923"/>
      <c r="AD248" s="923"/>
      <c r="AE248" s="923"/>
      <c r="AF248" s="923"/>
      <c r="AG248" s="1022"/>
      <c r="AH248" s="1023"/>
      <c r="AI248" s="1023"/>
      <c r="AJ248" s="923"/>
      <c r="AK248" s="923"/>
      <c r="AL248" s="925">
        <v>1</v>
      </c>
      <c r="AM248" s="627"/>
    </row>
    <row r="249" spans="1:39" s="984" customFormat="1" ht="40.5" customHeight="1">
      <c r="A249" s="921"/>
      <c r="B249" s="996"/>
      <c r="C249" s="1092" t="s">
        <v>2637</v>
      </c>
      <c r="D249" s="1092" t="s">
        <v>2638</v>
      </c>
      <c r="E249" s="1092" t="s">
        <v>2639</v>
      </c>
      <c r="F249" s="1092" t="s">
        <v>2640</v>
      </c>
      <c r="G249" s="1092" t="s">
        <v>2641</v>
      </c>
      <c r="H249" s="1092" t="s">
        <v>2642</v>
      </c>
      <c r="I249" s="1092" t="s">
        <v>2643</v>
      </c>
      <c r="J249" s="1092" t="s">
        <v>2644</v>
      </c>
      <c r="K249" s="1092" t="s">
        <v>2645</v>
      </c>
      <c r="L249" s="1092" t="s">
        <v>2646</v>
      </c>
      <c r="M249" s="1092" t="s">
        <v>2647</v>
      </c>
      <c r="N249" s="1092" t="s">
        <v>2647</v>
      </c>
      <c r="O249" s="1092" t="s">
        <v>2648</v>
      </c>
      <c r="P249" s="921"/>
      <c r="Q249" s="1093" t="s">
        <v>509</v>
      </c>
      <c r="R249" s="1093" t="s">
        <v>2649</v>
      </c>
      <c r="S249" s="1093" t="s">
        <v>2650</v>
      </c>
      <c r="T249" s="1093" t="s">
        <v>2651</v>
      </c>
      <c r="U249" s="1093" t="s">
        <v>2652</v>
      </c>
      <c r="V249" s="1093" t="s">
        <v>2653</v>
      </c>
      <c r="W249" s="1093" t="s">
        <v>2654</v>
      </c>
      <c r="X249" s="1093" t="s">
        <v>2655</v>
      </c>
      <c r="Y249" s="1093" t="s">
        <v>2656</v>
      </c>
      <c r="Z249" s="1093" t="s">
        <v>2657</v>
      </c>
      <c r="AA249" s="1093"/>
      <c r="AB249" s="923"/>
      <c r="AC249" s="923"/>
      <c r="AD249" s="923"/>
      <c r="AE249" s="923"/>
      <c r="AF249" s="923"/>
      <c r="AG249" s="1022"/>
      <c r="AH249" s="1023"/>
      <c r="AI249" s="1023"/>
      <c r="AJ249" s="923"/>
      <c r="AK249" s="923"/>
      <c r="AL249" s="925">
        <v>1</v>
      </c>
      <c r="AM249" s="627"/>
    </row>
    <row r="250" spans="1:39" s="984" customFormat="1" ht="40.5" customHeight="1">
      <c r="A250" s="921"/>
      <c r="B250" s="996"/>
      <c r="C250" s="1091"/>
      <c r="D250" s="1091"/>
      <c r="E250" s="1091"/>
      <c r="F250" s="1091"/>
      <c r="G250" s="1091"/>
      <c r="H250" s="1091"/>
      <c r="I250" s="1091"/>
      <c r="J250" s="1091"/>
      <c r="K250" s="1091"/>
      <c r="L250" s="1091"/>
      <c r="M250" s="921"/>
      <c r="N250" s="921"/>
      <c r="O250" s="921"/>
      <c r="P250" s="921"/>
      <c r="Q250" s="921"/>
      <c r="R250" s="921"/>
      <c r="S250" s="921"/>
      <c r="T250" s="921"/>
      <c r="U250" s="921"/>
      <c r="V250" s="921"/>
      <c r="W250" s="921"/>
      <c r="X250" s="921"/>
      <c r="Y250" s="921"/>
      <c r="Z250" s="923"/>
      <c r="AA250" s="923"/>
      <c r="AB250" s="923"/>
      <c r="AC250" s="923"/>
      <c r="AD250" s="923"/>
      <c r="AE250" s="923"/>
      <c r="AF250" s="923"/>
      <c r="AG250" s="1022"/>
      <c r="AH250" s="1023"/>
      <c r="AI250" s="1023"/>
      <c r="AJ250" s="923"/>
      <c r="AK250" s="923"/>
      <c r="AL250" s="925">
        <v>1</v>
      </c>
      <c r="AM250" s="627"/>
    </row>
    <row r="251" spans="1:39" s="984" customFormat="1" ht="40.5" customHeight="1">
      <c r="A251" s="921"/>
      <c r="B251" s="996"/>
      <c r="C251" s="1093" t="s">
        <v>2658</v>
      </c>
      <c r="D251" s="1093" t="s">
        <v>2659</v>
      </c>
      <c r="E251" s="1093" t="s">
        <v>2660</v>
      </c>
      <c r="F251" s="1093" t="s">
        <v>83</v>
      </c>
      <c r="G251" s="1093" t="s">
        <v>78</v>
      </c>
      <c r="H251" s="1093" t="s">
        <v>79</v>
      </c>
      <c r="I251" s="1093" t="s">
        <v>2661</v>
      </c>
      <c r="J251" s="1093" t="s">
        <v>2662</v>
      </c>
      <c r="K251" s="1093" t="s">
        <v>876</v>
      </c>
      <c r="L251" s="1093" t="s">
        <v>2663</v>
      </c>
      <c r="M251" s="1093" t="s">
        <v>2664</v>
      </c>
      <c r="N251" s="921"/>
      <c r="O251" s="921"/>
      <c r="P251" s="921"/>
      <c r="Q251" s="1093" t="s">
        <v>2665</v>
      </c>
      <c r="R251" s="1093" t="s">
        <v>2666</v>
      </c>
      <c r="S251" s="1093" t="s">
        <v>2667</v>
      </c>
      <c r="T251" s="1093" t="s">
        <v>2668</v>
      </c>
      <c r="U251" s="1093" t="s">
        <v>2669</v>
      </c>
      <c r="V251" s="1093" t="s">
        <v>2670</v>
      </c>
      <c r="W251" s="1093" t="s">
        <v>2671</v>
      </c>
      <c r="X251" s="1093" t="s">
        <v>2672</v>
      </c>
      <c r="Y251" s="1093" t="s">
        <v>2673</v>
      </c>
      <c r="Z251" s="1093" t="s">
        <v>2674</v>
      </c>
      <c r="AA251" s="923"/>
      <c r="AB251" s="923"/>
      <c r="AC251" s="923"/>
      <c r="AD251" s="923"/>
      <c r="AE251" s="923"/>
      <c r="AF251" s="923"/>
      <c r="AG251" s="1022"/>
      <c r="AH251" s="1023"/>
      <c r="AI251" s="1023"/>
      <c r="AJ251" s="923"/>
      <c r="AK251" s="923"/>
      <c r="AL251" s="925">
        <v>1</v>
      </c>
      <c r="AM251" s="627"/>
    </row>
    <row r="252" spans="1:39" s="984" customFormat="1" ht="40.5" customHeight="1">
      <c r="A252" s="921"/>
      <c r="B252" s="996"/>
      <c r="C252" s="1091"/>
      <c r="D252" s="1091"/>
      <c r="E252" s="1091"/>
      <c r="F252" s="1091"/>
      <c r="G252" s="1091"/>
      <c r="H252" s="1091"/>
      <c r="I252" s="1091"/>
      <c r="J252" s="1091"/>
      <c r="K252" s="1091"/>
      <c r="L252" s="1091"/>
      <c r="M252" s="921"/>
      <c r="N252" s="921"/>
      <c r="O252" s="1091"/>
      <c r="P252" s="1091"/>
      <c r="Q252" s="1091"/>
      <c r="R252" s="1091"/>
      <c r="S252" s="1091"/>
      <c r="T252" s="1091"/>
      <c r="U252" s="1091"/>
      <c r="V252" s="1091"/>
      <c r="W252" s="1091"/>
      <c r="X252" s="1091"/>
      <c r="Y252" s="923"/>
      <c r="Z252" s="923"/>
      <c r="AA252" s="923"/>
      <c r="AB252" s="923"/>
      <c r="AC252" s="923"/>
      <c r="AD252" s="923"/>
      <c r="AE252" s="923"/>
      <c r="AF252" s="923"/>
      <c r="AG252" s="1022"/>
      <c r="AH252" s="1023"/>
      <c r="AI252" s="1023"/>
      <c r="AJ252" s="923"/>
      <c r="AK252" s="923"/>
      <c r="AL252" s="925">
        <v>1</v>
      </c>
      <c r="AM252" s="627"/>
    </row>
    <row r="253" spans="1:39" s="984" customFormat="1" ht="40.5" customHeight="1">
      <c r="A253" s="921"/>
      <c r="B253" s="996"/>
      <c r="C253" s="957" t="s">
        <v>2675</v>
      </c>
      <c r="D253" s="921"/>
      <c r="E253" s="921"/>
      <c r="F253" s="921"/>
      <c r="G253" s="921"/>
      <c r="H253" s="921"/>
      <c r="I253" s="986"/>
      <c r="J253" s="921"/>
      <c r="K253" s="921"/>
      <c r="L253" s="921"/>
      <c r="M253" s="921"/>
      <c r="N253" s="921"/>
      <c r="O253" s="986"/>
      <c r="P253" s="986"/>
      <c r="Q253" s="986"/>
      <c r="R253" s="986"/>
      <c r="S253" s="986"/>
      <c r="T253" s="923"/>
      <c r="U253" s="923"/>
      <c r="V253" s="923"/>
      <c r="W253" s="923"/>
      <c r="X253" s="923"/>
      <c r="Y253" s="923"/>
      <c r="Z253" s="923"/>
      <c r="AA253" s="923"/>
      <c r="AB253" s="923"/>
      <c r="AC253" s="923"/>
      <c r="AD253" s="923"/>
      <c r="AE253" s="923"/>
      <c r="AF253" s="923"/>
      <c r="AG253" s="1022"/>
      <c r="AH253" s="1023"/>
      <c r="AI253" s="1023"/>
      <c r="AJ253" s="923"/>
      <c r="AK253" s="923"/>
      <c r="AL253" s="925">
        <v>1</v>
      </c>
      <c r="AM253" s="627"/>
    </row>
    <row r="254" spans="1:39" s="984" customFormat="1" ht="40.5" customHeight="1">
      <c r="A254" s="921"/>
      <c r="B254" s="996"/>
      <c r="C254" s="957" t="s">
        <v>2676</v>
      </c>
      <c r="D254" s="921"/>
      <c r="E254" s="921"/>
      <c r="F254" s="921"/>
      <c r="G254" s="921"/>
      <c r="H254" s="921"/>
      <c r="I254" s="986"/>
      <c r="J254" s="921"/>
      <c r="K254" s="921"/>
      <c r="L254" s="921"/>
      <c r="M254" s="921"/>
      <c r="N254" s="921"/>
      <c r="O254" s="986"/>
      <c r="P254" s="986"/>
      <c r="Q254" s="986"/>
      <c r="R254" s="986"/>
      <c r="S254" s="986"/>
      <c r="T254" s="923"/>
      <c r="U254" s="923"/>
      <c r="V254" s="923"/>
      <c r="W254" s="923"/>
      <c r="X254" s="923"/>
      <c r="Y254" s="923"/>
      <c r="Z254" s="923"/>
      <c r="AA254" s="923"/>
      <c r="AB254" s="923"/>
      <c r="AC254" s="923"/>
      <c r="AD254" s="923"/>
      <c r="AE254" s="923"/>
      <c r="AF254" s="923"/>
      <c r="AG254" s="1022"/>
      <c r="AH254" s="1023"/>
      <c r="AI254" s="1023"/>
      <c r="AJ254" s="923"/>
      <c r="AK254" s="923"/>
      <c r="AL254" s="925">
        <v>1</v>
      </c>
      <c r="AM254" s="627"/>
    </row>
    <row r="255" spans="1:39" s="984" customFormat="1" ht="40.5" customHeight="1">
      <c r="A255" s="921"/>
      <c r="B255" s="996"/>
      <c r="C255" s="957" t="s">
        <v>2677</v>
      </c>
      <c r="D255" s="921"/>
      <c r="E255" s="921"/>
      <c r="F255" s="921"/>
      <c r="G255" s="921"/>
      <c r="H255" s="921"/>
      <c r="I255" s="986"/>
      <c r="J255" s="921"/>
      <c r="K255" s="921"/>
      <c r="L255" s="921"/>
      <c r="M255" s="921"/>
      <c r="N255" s="921"/>
      <c r="O255" s="986"/>
      <c r="P255" s="986"/>
      <c r="Q255" s="986"/>
      <c r="R255" s="986"/>
      <c r="S255" s="986"/>
      <c r="T255" s="923"/>
      <c r="U255" s="923"/>
      <c r="V255" s="923"/>
      <c r="W255" s="923"/>
      <c r="X255" s="923"/>
      <c r="Y255" s="923"/>
      <c r="Z255" s="923"/>
      <c r="AA255" s="923"/>
      <c r="AB255" s="923"/>
      <c r="AC255" s="923"/>
      <c r="AD255" s="923"/>
      <c r="AE255" s="923"/>
      <c r="AF255" s="923"/>
      <c r="AG255" s="1022"/>
      <c r="AH255" s="1023"/>
      <c r="AI255" s="1023"/>
      <c r="AJ255" s="923"/>
      <c r="AK255" s="923"/>
      <c r="AL255" s="925">
        <v>1</v>
      </c>
      <c r="AM255" s="627"/>
    </row>
    <row r="256" spans="1:39" s="984" customFormat="1" ht="40.5" customHeight="1">
      <c r="A256" s="921"/>
      <c r="B256" s="996"/>
      <c r="C256" s="1094" t="s">
        <v>2678</v>
      </c>
      <c r="D256" s="1094" t="s">
        <v>2679</v>
      </c>
      <c r="E256" s="1094" t="s">
        <v>2680</v>
      </c>
      <c r="F256" s="1094" t="s">
        <v>2681</v>
      </c>
      <c r="G256" s="1094" t="s">
        <v>2682</v>
      </c>
      <c r="H256" s="1094" t="s">
        <v>2683</v>
      </c>
      <c r="I256" s="1094" t="s">
        <v>2684</v>
      </c>
      <c r="J256" s="1094" t="s">
        <v>2685</v>
      </c>
      <c r="K256" s="1094" t="s">
        <v>2686</v>
      </c>
      <c r="L256" s="1094" t="s">
        <v>2687</v>
      </c>
      <c r="M256" s="1094" t="s">
        <v>2688</v>
      </c>
      <c r="N256" s="1094"/>
      <c r="O256" s="1094"/>
      <c r="P256" s="1095"/>
      <c r="Q256" s="1095"/>
      <c r="R256" s="1095"/>
      <c r="S256" s="986"/>
      <c r="T256" s="923"/>
      <c r="U256" s="923"/>
      <c r="V256" s="923"/>
      <c r="W256" s="923"/>
      <c r="X256" s="923"/>
      <c r="Y256" s="923"/>
      <c r="Z256" s="923"/>
      <c r="AA256" s="923"/>
      <c r="AB256" s="923"/>
      <c r="AC256" s="923"/>
      <c r="AD256" s="923"/>
      <c r="AE256" s="923"/>
      <c r="AF256" s="923"/>
      <c r="AG256" s="1022"/>
      <c r="AH256" s="1023"/>
      <c r="AI256" s="1023"/>
      <c r="AJ256" s="923"/>
      <c r="AK256" s="923"/>
      <c r="AL256" s="925">
        <v>1</v>
      </c>
      <c r="AM256" s="627"/>
    </row>
    <row r="257" spans="1:40" s="984" customFormat="1" ht="40.5" customHeight="1">
      <c r="A257" s="921"/>
      <c r="B257" s="996"/>
      <c r="C257" s="1096" t="s">
        <v>2689</v>
      </c>
      <c r="D257" s="1096" t="s">
        <v>2690</v>
      </c>
      <c r="E257" s="1096" t="s">
        <v>2691</v>
      </c>
      <c r="F257" s="1096"/>
      <c r="G257" s="1096" t="s">
        <v>2692</v>
      </c>
      <c r="H257" s="1096"/>
      <c r="I257" s="1096" t="s">
        <v>2693</v>
      </c>
      <c r="J257" s="1096"/>
      <c r="K257" s="1096" t="s">
        <v>2694</v>
      </c>
      <c r="L257" s="1096"/>
      <c r="M257" s="1096" t="s">
        <v>2695</v>
      </c>
      <c r="N257" s="1096" t="s">
        <v>2696</v>
      </c>
      <c r="O257" s="1096"/>
      <c r="P257" s="1096" t="s">
        <v>2697</v>
      </c>
      <c r="Q257" s="1096"/>
      <c r="R257" s="1096" t="s">
        <v>2698</v>
      </c>
      <c r="S257" s="986"/>
      <c r="T257" s="923"/>
      <c r="U257" s="923"/>
      <c r="V257" s="923"/>
      <c r="W257" s="923"/>
      <c r="X257" s="923"/>
      <c r="Y257" s="923"/>
      <c r="Z257" s="923"/>
      <c r="AA257" s="923"/>
      <c r="AB257" s="923"/>
      <c r="AC257" s="923"/>
      <c r="AD257" s="923"/>
      <c r="AE257" s="923"/>
      <c r="AF257" s="923"/>
      <c r="AG257" s="1022"/>
      <c r="AH257" s="1023"/>
      <c r="AI257" s="1023"/>
      <c r="AJ257" s="923"/>
      <c r="AK257" s="923"/>
      <c r="AL257" s="925">
        <v>1</v>
      </c>
      <c r="AM257" s="627"/>
    </row>
    <row r="258" spans="1:40" s="984" customFormat="1" ht="40.5" customHeight="1">
      <c r="A258" s="921"/>
      <c r="B258" s="996"/>
      <c r="C258" s="957" t="s">
        <v>2699</v>
      </c>
      <c r="D258" s="921"/>
      <c r="E258" s="921"/>
      <c r="F258" s="921"/>
      <c r="G258" s="921"/>
      <c r="H258" s="921"/>
      <c r="I258" s="986"/>
      <c r="J258" s="921"/>
      <c r="K258" s="921"/>
      <c r="L258" s="921"/>
      <c r="M258" s="921"/>
      <c r="N258" s="921"/>
      <c r="O258" s="986"/>
      <c r="P258" s="986"/>
      <c r="Q258" s="986"/>
      <c r="R258" s="986"/>
      <c r="S258" s="986"/>
      <c r="T258" s="923"/>
      <c r="U258" s="923"/>
      <c r="V258" s="923"/>
      <c r="W258" s="923"/>
      <c r="X258" s="923"/>
      <c r="Y258" s="923"/>
      <c r="Z258" s="923"/>
      <c r="AA258" s="923"/>
      <c r="AB258" s="923"/>
      <c r="AC258" s="923"/>
      <c r="AD258" s="923"/>
      <c r="AE258" s="923"/>
      <c r="AF258" s="923"/>
      <c r="AG258" s="1022"/>
      <c r="AH258" s="1023"/>
      <c r="AI258" s="1023"/>
      <c r="AJ258" s="923"/>
      <c r="AK258" s="923"/>
      <c r="AL258" s="925">
        <v>1</v>
      </c>
      <c r="AM258" s="627"/>
    </row>
    <row r="259" spans="1:40" s="984" customFormat="1" ht="40.5" customHeight="1">
      <c r="A259" s="921"/>
      <c r="B259" s="996"/>
      <c r="C259" s="1089"/>
      <c r="D259" s="921"/>
      <c r="E259" s="921"/>
      <c r="F259" s="921"/>
      <c r="G259" s="921"/>
      <c r="H259" s="921"/>
      <c r="I259" s="986"/>
      <c r="J259" s="921"/>
      <c r="K259" s="921"/>
      <c r="L259" s="921"/>
      <c r="M259" s="921"/>
      <c r="N259" s="921"/>
      <c r="O259" s="986"/>
      <c r="P259" s="986"/>
      <c r="Q259" s="986"/>
      <c r="R259" s="986"/>
      <c r="S259" s="986"/>
      <c r="T259" s="923"/>
      <c r="U259" s="923"/>
      <c r="V259" s="923"/>
      <c r="W259" s="923"/>
      <c r="X259" s="923"/>
      <c r="Y259" s="923"/>
      <c r="Z259" s="923"/>
      <c r="AA259" s="923"/>
      <c r="AB259" s="923"/>
      <c r="AC259" s="923"/>
      <c r="AD259" s="923"/>
      <c r="AE259" s="923"/>
      <c r="AF259" s="923"/>
      <c r="AG259" s="1022"/>
      <c r="AH259" s="1023"/>
      <c r="AI259" s="1023"/>
      <c r="AJ259" s="923"/>
      <c r="AK259" s="923"/>
      <c r="AL259" s="925">
        <v>1</v>
      </c>
      <c r="AM259" s="627"/>
    </row>
    <row r="260" spans="1:40" s="1101" customFormat="1" ht="40.5" customHeight="1">
      <c r="A260" s="1056"/>
      <c r="B260" s="1021" t="s">
        <v>2700</v>
      </c>
      <c r="C260" s="1056"/>
      <c r="D260" s="1056"/>
      <c r="E260" s="1056"/>
      <c r="F260" s="1056"/>
      <c r="G260" s="1097" t="s">
        <v>2701</v>
      </c>
      <c r="H260" s="1056"/>
      <c r="I260" s="986"/>
      <c r="J260" s="1056"/>
      <c r="K260" s="1056"/>
      <c r="L260" s="1056"/>
      <c r="M260" s="1056"/>
      <c r="N260" s="1056"/>
      <c r="O260" s="986"/>
      <c r="P260" s="986"/>
      <c r="Q260" s="986"/>
      <c r="R260" s="986"/>
      <c r="S260" s="986"/>
      <c r="T260" s="1022"/>
      <c r="U260" s="923"/>
      <c r="V260" s="1098" t="s">
        <v>2702</v>
      </c>
      <c r="W260" s="1099"/>
      <c r="X260" s="1099"/>
      <c r="Y260" s="1099"/>
      <c r="Z260" s="1100"/>
      <c r="AA260" s="1100"/>
      <c r="AB260" s="1100"/>
      <c r="AC260" s="923" t="s">
        <v>21</v>
      </c>
      <c r="AD260" s="923"/>
      <c r="AE260" s="923"/>
      <c r="AF260" s="923"/>
      <c r="AG260" s="1022"/>
      <c r="AH260" s="1023"/>
      <c r="AI260" s="1023"/>
      <c r="AJ260" s="923"/>
      <c r="AK260" s="923"/>
      <c r="AL260" s="925">
        <v>1</v>
      </c>
      <c r="AM260" s="627"/>
    </row>
    <row r="261" spans="1:40" s="1101" customFormat="1" ht="40.5" customHeight="1">
      <c r="A261" s="1056"/>
      <c r="B261" s="1102" t="s">
        <v>2703</v>
      </c>
      <c r="C261" s="1102" t="s">
        <v>2704</v>
      </c>
      <c r="D261" s="1102" t="s">
        <v>2705</v>
      </c>
      <c r="E261" s="1102"/>
      <c r="F261" s="1102" t="s">
        <v>1744</v>
      </c>
      <c r="G261" s="1102" t="s">
        <v>1745</v>
      </c>
      <c r="H261" s="1103" t="s">
        <v>1746</v>
      </c>
      <c r="I261" s="1102" t="s">
        <v>1747</v>
      </c>
      <c r="J261" s="1102" t="s">
        <v>1748</v>
      </c>
      <c r="K261" s="1102" t="s">
        <v>1749</v>
      </c>
      <c r="L261" s="1102"/>
      <c r="M261" s="1102"/>
      <c r="N261" s="1102"/>
      <c r="O261" s="1102" t="s">
        <v>2706</v>
      </c>
      <c r="P261" s="1102" t="s">
        <v>1752</v>
      </c>
      <c r="Q261" s="1102" t="s">
        <v>1753</v>
      </c>
      <c r="R261" s="1102" t="s">
        <v>1754</v>
      </c>
      <c r="S261" s="1102" t="s">
        <v>2707</v>
      </c>
      <c r="T261" s="1102" t="s">
        <v>15</v>
      </c>
      <c r="U261" s="1102" t="s">
        <v>1755</v>
      </c>
      <c r="V261" s="1102" t="s">
        <v>1756</v>
      </c>
      <c r="W261" s="1102" t="s">
        <v>829</v>
      </c>
      <c r="X261" s="1102" t="s">
        <v>1750</v>
      </c>
      <c r="Y261" s="1102"/>
      <c r="Z261" s="923"/>
      <c r="AA261" s="923"/>
      <c r="AB261" s="923"/>
      <c r="AC261" s="923"/>
      <c r="AD261" s="923"/>
      <c r="AE261" s="923"/>
      <c r="AF261" s="923"/>
      <c r="AG261" s="1022"/>
      <c r="AH261" s="1023"/>
      <c r="AI261" s="1023"/>
      <c r="AJ261" s="923"/>
      <c r="AK261" s="923"/>
      <c r="AL261" s="925">
        <v>1</v>
      </c>
      <c r="AM261" s="627"/>
    </row>
    <row r="262" spans="1:40" s="1101" customFormat="1" ht="40.5" customHeight="1">
      <c r="A262" s="1056"/>
      <c r="B262" s="1056"/>
      <c r="C262" s="1104" t="s">
        <v>2708</v>
      </c>
      <c r="D262" s="1105" t="s">
        <v>2709</v>
      </c>
      <c r="E262" s="1102"/>
      <c r="F262" s="1102"/>
      <c r="G262" s="1102"/>
      <c r="H262" s="1102"/>
      <c r="I262" s="1102"/>
      <c r="J262" s="1102"/>
      <c r="K262" s="1102"/>
      <c r="L262" s="1102"/>
      <c r="M262" s="1102"/>
      <c r="N262" s="1102"/>
      <c r="O262" s="1102"/>
      <c r="P262" s="1102"/>
      <c r="Q262" s="1102"/>
      <c r="R262" s="1102"/>
      <c r="S262" s="1102"/>
      <c r="T262" s="1102"/>
      <c r="U262" s="1102"/>
      <c r="V262" s="1102"/>
      <c r="W262" s="1102"/>
      <c r="X262" s="1102"/>
      <c r="Y262" s="1102"/>
      <c r="Z262" s="923"/>
      <c r="AA262" s="923"/>
      <c r="AB262" s="923"/>
      <c r="AC262" s="923"/>
      <c r="AD262" s="923"/>
      <c r="AE262" s="923"/>
      <c r="AF262" s="923"/>
      <c r="AG262" s="1022"/>
      <c r="AH262" s="1023"/>
      <c r="AI262" s="1023"/>
      <c r="AJ262" s="923"/>
      <c r="AK262" s="923"/>
      <c r="AL262" s="925">
        <v>1</v>
      </c>
      <c r="AM262" s="627"/>
    </row>
    <row r="263" spans="1:40" s="1101" customFormat="1" ht="40.5" customHeight="1">
      <c r="A263" s="1056"/>
      <c r="B263" s="1056"/>
      <c r="C263" s="1104"/>
      <c r="D263" s="1105" t="s">
        <v>2710</v>
      </c>
      <c r="E263" s="1102"/>
      <c r="F263" s="1102"/>
      <c r="G263" s="1102"/>
      <c r="H263" s="1102"/>
      <c r="I263" s="1102"/>
      <c r="J263" s="1102"/>
      <c r="K263" s="1102"/>
      <c r="L263" s="1102"/>
      <c r="M263" s="1102"/>
      <c r="N263" s="1102"/>
      <c r="O263" s="1102"/>
      <c r="P263" s="1102"/>
      <c r="Q263" s="1102"/>
      <c r="R263" s="1102"/>
      <c r="S263" s="1102"/>
      <c r="T263" s="1102"/>
      <c r="U263" s="1102"/>
      <c r="V263" s="1102"/>
      <c r="W263" s="1102"/>
      <c r="X263" s="1102"/>
      <c r="Y263" s="1102"/>
      <c r="Z263" s="923"/>
      <c r="AA263" s="923"/>
      <c r="AB263" s="923"/>
      <c r="AC263" s="923"/>
      <c r="AD263" s="923"/>
      <c r="AE263" s="923"/>
      <c r="AF263" s="923"/>
      <c r="AG263" s="1022"/>
      <c r="AH263" s="1023"/>
      <c r="AI263" s="1023"/>
      <c r="AJ263" s="923"/>
      <c r="AK263" s="923"/>
      <c r="AL263" s="925">
        <v>1</v>
      </c>
      <c r="AM263" s="627"/>
    </row>
    <row r="264" spans="1:40" s="1101" customFormat="1" ht="40.5" customHeight="1">
      <c r="A264" s="1056"/>
      <c r="B264" s="1056"/>
      <c r="C264" s="1104"/>
      <c r="D264" s="1105" t="s">
        <v>2711</v>
      </c>
      <c r="E264" s="1102"/>
      <c r="F264" s="1102"/>
      <c r="G264" s="1102"/>
      <c r="H264" s="1102"/>
      <c r="I264" s="1102"/>
      <c r="J264" s="1102"/>
      <c r="K264" s="1102"/>
      <c r="L264" s="1102"/>
      <c r="M264" s="1102"/>
      <c r="N264" s="1102"/>
      <c r="O264" s="1102"/>
      <c r="P264" s="1102"/>
      <c r="Q264" s="1102"/>
      <c r="R264" s="1102"/>
      <c r="S264" s="1102"/>
      <c r="T264" s="1102"/>
      <c r="U264" s="1102"/>
      <c r="V264" s="1102"/>
      <c r="W264" s="1102"/>
      <c r="X264" s="1102"/>
      <c r="Y264" s="1102"/>
      <c r="Z264" s="923"/>
      <c r="AA264" s="923"/>
      <c r="AB264" s="923"/>
      <c r="AC264" s="923"/>
      <c r="AD264" s="923"/>
      <c r="AE264" s="923"/>
      <c r="AF264" s="923"/>
      <c r="AG264" s="1022"/>
      <c r="AH264" s="1023"/>
      <c r="AI264" s="1023"/>
      <c r="AJ264" s="923"/>
      <c r="AK264" s="923"/>
      <c r="AL264" s="925">
        <v>1</v>
      </c>
      <c r="AM264" s="627"/>
    </row>
    <row r="265" spans="1:40" s="1101" customFormat="1" ht="40.5" customHeight="1">
      <c r="A265" s="1056"/>
      <c r="B265" s="1056"/>
      <c r="C265" s="1106"/>
      <c r="D265" s="1107" t="s">
        <v>2712</v>
      </c>
      <c r="E265" s="1102"/>
      <c r="F265" s="1102"/>
      <c r="G265" s="1102"/>
      <c r="H265" s="1102"/>
      <c r="I265" s="1102"/>
      <c r="J265" s="1102"/>
      <c r="K265" s="1102"/>
      <c r="L265" s="1102"/>
      <c r="M265" s="1102"/>
      <c r="N265" s="1102"/>
      <c r="O265" s="1102"/>
      <c r="P265" s="1102"/>
      <c r="Q265" s="1102"/>
      <c r="R265" s="1102"/>
      <c r="S265" s="1102"/>
      <c r="T265" s="1102"/>
      <c r="U265" s="1102"/>
      <c r="V265" s="1102"/>
      <c r="W265" s="1102"/>
      <c r="X265" s="1102"/>
      <c r="Y265" s="1102"/>
      <c r="Z265" s="923"/>
      <c r="AA265" s="923"/>
      <c r="AB265" s="923"/>
      <c r="AC265" s="923"/>
      <c r="AD265" s="923"/>
      <c r="AE265" s="923"/>
      <c r="AF265" s="923"/>
      <c r="AG265" s="1022"/>
      <c r="AH265" s="1023"/>
      <c r="AI265" s="1023"/>
      <c r="AJ265" s="923"/>
      <c r="AK265" s="923"/>
      <c r="AL265" s="925">
        <v>1</v>
      </c>
      <c r="AM265" s="627"/>
    </row>
    <row r="266" spans="1:40" s="1101" customFormat="1" ht="40.5" customHeight="1">
      <c r="A266" s="1056"/>
      <c r="B266" s="1056"/>
      <c r="C266" s="1104"/>
      <c r="D266" s="1105" t="s">
        <v>2713</v>
      </c>
      <c r="E266" s="1102"/>
      <c r="F266" s="1102"/>
      <c r="G266" s="1102"/>
      <c r="H266" s="1102"/>
      <c r="I266" s="1102"/>
      <c r="J266" s="1102"/>
      <c r="K266" s="1102"/>
      <c r="L266" s="1102"/>
      <c r="M266" s="1102"/>
      <c r="N266" s="1102"/>
      <c r="O266" s="1102"/>
      <c r="P266" s="1102"/>
      <c r="Q266" s="1102"/>
      <c r="R266" s="1102"/>
      <c r="S266" s="1102"/>
      <c r="T266" s="1102"/>
      <c r="U266" s="1102"/>
      <c r="V266" s="1102"/>
      <c r="W266" s="1102"/>
      <c r="X266" s="1102"/>
      <c r="Y266" s="1102"/>
      <c r="Z266" s="923"/>
      <c r="AA266" s="923"/>
      <c r="AB266" s="923"/>
      <c r="AC266" s="923"/>
      <c r="AD266" s="923"/>
      <c r="AE266" s="923"/>
      <c r="AF266" s="923"/>
      <c r="AG266" s="1022"/>
      <c r="AH266" s="1023"/>
      <c r="AI266" s="1023"/>
      <c r="AJ266" s="923"/>
      <c r="AK266" s="923"/>
      <c r="AL266" s="925">
        <v>1</v>
      </c>
      <c r="AM266" s="627"/>
    </row>
    <row r="267" spans="1:40" s="1101" customFormat="1" ht="40.5" customHeight="1">
      <c r="A267" s="1056"/>
      <c r="B267" s="1056"/>
      <c r="C267" s="1104"/>
      <c r="D267" s="1105" t="s">
        <v>2714</v>
      </c>
      <c r="E267" s="1102"/>
      <c r="F267" s="1102"/>
      <c r="G267" s="1102"/>
      <c r="H267" s="1102"/>
      <c r="I267" s="1102"/>
      <c r="J267" s="1102"/>
      <c r="K267" s="1102"/>
      <c r="L267" s="1102"/>
      <c r="M267" s="1102"/>
      <c r="N267" s="1102"/>
      <c r="O267" s="1102"/>
      <c r="P267" s="1102"/>
      <c r="Q267" s="1102"/>
      <c r="R267" s="1102"/>
      <c r="S267" s="1102"/>
      <c r="T267" s="1102"/>
      <c r="U267" s="1102"/>
      <c r="V267" s="1102"/>
      <c r="W267" s="1102"/>
      <c r="X267" s="1102"/>
      <c r="Y267" s="1102"/>
      <c r="Z267" s="923"/>
      <c r="AA267" s="923"/>
      <c r="AB267" s="923"/>
      <c r="AC267" s="923"/>
      <c r="AD267" s="923"/>
      <c r="AE267" s="923"/>
      <c r="AF267" s="923"/>
      <c r="AG267" s="1022"/>
      <c r="AH267" s="1023"/>
      <c r="AI267" s="1023"/>
      <c r="AJ267" s="923"/>
      <c r="AK267" s="923"/>
      <c r="AL267" s="925">
        <v>1</v>
      </c>
      <c r="AM267" s="627"/>
    </row>
    <row r="268" spans="1:40" s="1101" customFormat="1" ht="40.5" customHeight="1">
      <c r="A268" s="1056"/>
      <c r="B268" s="1021"/>
      <c r="C268" s="1056"/>
      <c r="D268" s="1056"/>
      <c r="E268" s="1056"/>
      <c r="F268" s="1056"/>
      <c r="G268" s="1056"/>
      <c r="H268" s="1056"/>
      <c r="I268" s="986"/>
      <c r="J268" s="1056"/>
      <c r="K268" s="1056"/>
      <c r="L268" s="1056"/>
      <c r="M268" s="1056"/>
      <c r="N268" s="1056"/>
      <c r="O268" s="986"/>
      <c r="P268" s="986"/>
      <c r="Q268" s="986"/>
      <c r="R268" s="986"/>
      <c r="S268" s="986"/>
      <c r="T268" s="1022"/>
      <c r="U268" s="1021"/>
      <c r="V268" s="1108"/>
      <c r="W268" s="1102"/>
      <c r="X268" s="1102"/>
      <c r="Y268" s="1102"/>
      <c r="Z268" s="923"/>
      <c r="AA268" s="923"/>
      <c r="AB268" s="923"/>
      <c r="AC268" s="923"/>
      <c r="AD268" s="923"/>
      <c r="AE268" s="923"/>
      <c r="AF268" s="923"/>
      <c r="AG268" s="1022"/>
      <c r="AH268" s="1023"/>
      <c r="AI268" s="1023"/>
      <c r="AJ268" s="923"/>
      <c r="AK268" s="923"/>
      <c r="AL268" s="925">
        <v>1</v>
      </c>
      <c r="AM268" s="627"/>
    </row>
    <row r="269" spans="1:40" s="1101" customFormat="1" ht="40.5" customHeight="1">
      <c r="A269" s="1056"/>
      <c r="B269" s="1021"/>
      <c r="C269" s="1056"/>
      <c r="D269" s="1056"/>
      <c r="E269" s="1056"/>
      <c r="F269" s="1056"/>
      <c r="G269" s="1056"/>
      <c r="H269" s="1056"/>
      <c r="I269" s="986"/>
      <c r="J269" s="1056"/>
      <c r="K269" s="1056"/>
      <c r="L269" s="1056"/>
      <c r="M269" s="1056"/>
      <c r="N269" s="1056"/>
      <c r="O269" s="986"/>
      <c r="P269" s="986"/>
      <c r="Q269" s="986"/>
      <c r="R269" s="986"/>
      <c r="S269" s="986"/>
      <c r="T269" s="1022"/>
      <c r="U269" s="1021"/>
      <c r="V269" s="1108"/>
      <c r="W269" s="1102"/>
      <c r="X269" s="1102"/>
      <c r="Y269" s="1102"/>
      <c r="Z269" s="923"/>
      <c r="AA269" s="923"/>
      <c r="AB269" s="923"/>
      <c r="AC269" s="923"/>
      <c r="AD269" s="923"/>
      <c r="AE269" s="923"/>
      <c r="AF269" s="923"/>
      <c r="AG269" s="1022"/>
      <c r="AH269" s="1023"/>
      <c r="AI269" s="1023"/>
      <c r="AJ269" s="923"/>
      <c r="AK269" s="923"/>
      <c r="AL269" s="925">
        <v>1</v>
      </c>
      <c r="AM269" s="627"/>
    </row>
    <row r="270" spans="1:40" s="1101" customFormat="1" ht="40.5" customHeight="1">
      <c r="A270" s="1056"/>
      <c r="B270" s="1021"/>
      <c r="C270" s="1056"/>
      <c r="D270" s="1056"/>
      <c r="E270" s="1056"/>
      <c r="F270" s="1056"/>
      <c r="G270" s="1056"/>
      <c r="H270" s="1056"/>
      <c r="I270" s="986"/>
      <c r="J270" s="1056"/>
      <c r="K270" s="1056"/>
      <c r="L270" s="1056"/>
      <c r="M270" s="1056"/>
      <c r="N270" s="1056"/>
      <c r="O270" s="986"/>
      <c r="P270" s="986"/>
      <c r="Q270" s="986"/>
      <c r="R270" s="986"/>
      <c r="S270" s="986"/>
      <c r="T270" s="1022"/>
      <c r="U270" s="1021"/>
      <c r="V270" s="1108"/>
      <c r="W270" s="1102"/>
      <c r="X270" s="1102"/>
      <c r="Y270" s="1102"/>
      <c r="Z270" s="923"/>
      <c r="AA270" s="923"/>
      <c r="AB270" s="923"/>
      <c r="AC270" s="923"/>
      <c r="AD270" s="923"/>
      <c r="AE270" s="923"/>
      <c r="AF270" s="923"/>
      <c r="AG270" s="1022"/>
      <c r="AH270" s="1023"/>
      <c r="AI270" s="1023"/>
      <c r="AJ270" s="923"/>
      <c r="AK270" s="923"/>
      <c r="AL270" s="925">
        <v>1</v>
      </c>
      <c r="AM270" s="627"/>
    </row>
    <row r="271" spans="1:40" s="984" customFormat="1" ht="40.5" customHeight="1">
      <c r="A271" s="921"/>
      <c r="B271" s="1021" t="s">
        <v>2715</v>
      </c>
      <c r="C271" s="921"/>
      <c r="D271" s="921"/>
      <c r="E271" s="921"/>
      <c r="F271" s="921"/>
      <c r="G271" s="921"/>
      <c r="H271" s="921"/>
      <c r="I271" s="986"/>
      <c r="J271" s="921"/>
      <c r="K271" s="921"/>
      <c r="L271" s="921"/>
      <c r="M271" s="921"/>
      <c r="N271" s="921"/>
      <c r="O271" s="986"/>
      <c r="P271" s="986"/>
      <c r="Q271" s="986"/>
      <c r="R271" s="986"/>
      <c r="S271" s="986"/>
      <c r="T271" s="923"/>
      <c r="U271" s="923"/>
      <c r="V271" s="923"/>
      <c r="W271" s="923"/>
      <c r="X271" s="923"/>
      <c r="Y271" s="923"/>
      <c r="Z271" s="923"/>
      <c r="AA271" s="923"/>
      <c r="AB271" s="923"/>
      <c r="AC271" s="923"/>
      <c r="AD271" s="923"/>
      <c r="AE271" s="923"/>
      <c r="AF271" s="923"/>
      <c r="AG271" s="923"/>
      <c r="AH271" s="923"/>
      <c r="AI271" s="923"/>
      <c r="AJ271" s="923"/>
      <c r="AK271" s="923"/>
      <c r="AL271" s="925">
        <v>1</v>
      </c>
      <c r="AM271" s="627"/>
    </row>
    <row r="272" spans="1:40" s="984" customFormat="1" ht="40.5" customHeight="1">
      <c r="A272" s="921"/>
      <c r="B272" s="996"/>
      <c r="C272" s="1109" t="s">
        <v>2629</v>
      </c>
      <c r="D272" s="1110" t="s">
        <v>16</v>
      </c>
      <c r="E272" s="1111" t="s">
        <v>2630</v>
      </c>
      <c r="F272" s="1112" t="s">
        <v>2631</v>
      </c>
      <c r="G272" s="1113" t="s">
        <v>2632</v>
      </c>
      <c r="H272" s="1114" t="s">
        <v>2633</v>
      </c>
      <c r="I272" s="1115" t="s">
        <v>2634</v>
      </c>
      <c r="J272" s="1116" t="s">
        <v>2635</v>
      </c>
      <c r="K272" s="1117" t="s">
        <v>453</v>
      </c>
      <c r="L272" s="921"/>
      <c r="M272" s="921"/>
      <c r="N272" s="921"/>
      <c r="O272" s="1118" t="s">
        <v>2636</v>
      </c>
      <c r="P272" s="1119" t="s">
        <v>509</v>
      </c>
      <c r="Q272" s="1120" t="s">
        <v>2649</v>
      </c>
      <c r="R272" s="1121" t="s">
        <v>2650</v>
      </c>
      <c r="S272" s="1112" t="s">
        <v>2651</v>
      </c>
      <c r="T272" s="1122" t="s">
        <v>2652</v>
      </c>
      <c r="U272" s="1123" t="s">
        <v>2653</v>
      </c>
      <c r="V272" s="1124" t="s">
        <v>2654</v>
      </c>
      <c r="W272" s="1125" t="s">
        <v>2655</v>
      </c>
      <c r="X272" s="1126" t="s">
        <v>2656</v>
      </c>
      <c r="Y272" s="1111" t="s">
        <v>2657</v>
      </c>
      <c r="Z272" s="923"/>
      <c r="AA272" s="923"/>
      <c r="AB272" s="923"/>
      <c r="AC272" s="923"/>
      <c r="AD272" s="923"/>
      <c r="AE272" s="923"/>
      <c r="AF272" s="923"/>
      <c r="AG272" s="923"/>
      <c r="AH272" s="923"/>
      <c r="AI272" s="923"/>
      <c r="AJ272" s="923"/>
      <c r="AK272" s="923"/>
      <c r="AL272" s="925">
        <v>1</v>
      </c>
      <c r="AM272" s="627"/>
      <c r="AN272" s="627"/>
    </row>
    <row r="273" spans="1:40" s="984" customFormat="1" ht="40.5" customHeight="1">
      <c r="A273" s="921"/>
      <c r="B273" s="996"/>
      <c r="C273" s="921"/>
      <c r="D273" s="921"/>
      <c r="E273" s="921"/>
      <c r="F273" s="921"/>
      <c r="G273" s="921"/>
      <c r="H273" s="921"/>
      <c r="I273" s="986"/>
      <c r="J273" s="921"/>
      <c r="K273" s="921"/>
      <c r="L273" s="921"/>
      <c r="M273" s="921"/>
      <c r="N273" s="921"/>
      <c r="O273" s="986"/>
      <c r="P273" s="986"/>
      <c r="Q273" s="986"/>
      <c r="R273" s="986"/>
      <c r="S273" s="986"/>
      <c r="T273" s="923"/>
      <c r="U273" s="923"/>
      <c r="V273" s="923"/>
      <c r="W273" s="923"/>
      <c r="X273" s="923"/>
      <c r="Y273" s="923"/>
      <c r="Z273" s="923"/>
      <c r="AA273" s="923"/>
      <c r="AB273" s="923"/>
      <c r="AC273" s="923"/>
      <c r="AD273" s="923"/>
      <c r="AE273" s="923"/>
      <c r="AF273" s="923"/>
      <c r="AG273" s="923"/>
      <c r="AH273" s="923"/>
      <c r="AI273" s="923"/>
      <c r="AJ273" s="923"/>
      <c r="AK273" s="923"/>
      <c r="AL273" s="925">
        <v>1</v>
      </c>
      <c r="AM273" s="627"/>
      <c r="AN273" s="627"/>
    </row>
    <row r="274" spans="1:40" s="984" customFormat="1" ht="40.5" customHeight="1">
      <c r="A274" s="921"/>
      <c r="B274" s="996"/>
      <c r="C274" s="1127" t="s">
        <v>2629</v>
      </c>
      <c r="D274" s="1127" t="s">
        <v>16</v>
      </c>
      <c r="E274" s="1127" t="s">
        <v>2630</v>
      </c>
      <c r="F274" s="1127" t="s">
        <v>2631</v>
      </c>
      <c r="G274" s="1127" t="s">
        <v>2632</v>
      </c>
      <c r="H274" s="1127" t="s">
        <v>2633</v>
      </c>
      <c r="I274" s="1127" t="s">
        <v>2634</v>
      </c>
      <c r="J274" s="1127" t="s">
        <v>2635</v>
      </c>
      <c r="K274" s="1127" t="s">
        <v>453</v>
      </c>
      <c r="L274" s="921"/>
      <c r="M274" s="921"/>
      <c r="N274" s="921"/>
      <c r="O274" s="1127" t="s">
        <v>2636</v>
      </c>
      <c r="P274" s="1127" t="s">
        <v>509</v>
      </c>
      <c r="Q274" s="1127" t="s">
        <v>2649</v>
      </c>
      <c r="R274" s="1127" t="s">
        <v>2650</v>
      </c>
      <c r="S274" s="1127" t="s">
        <v>2651</v>
      </c>
      <c r="T274" s="1127" t="s">
        <v>2652</v>
      </c>
      <c r="U274" s="1127" t="s">
        <v>2653</v>
      </c>
      <c r="V274" s="1127" t="s">
        <v>2654</v>
      </c>
      <c r="W274" s="1127" t="s">
        <v>2655</v>
      </c>
      <c r="X274" s="1127" t="s">
        <v>2656</v>
      </c>
      <c r="Y274" s="1127" t="s">
        <v>2657</v>
      </c>
      <c r="Z274" s="921"/>
      <c r="AA274" s="921"/>
      <c r="AB274" s="921"/>
      <c r="AC274" s="921"/>
      <c r="AD274" s="921"/>
      <c r="AE274" s="921"/>
      <c r="AF274" s="921"/>
      <c r="AG274" s="921"/>
      <c r="AH274" s="921"/>
      <c r="AI274" s="921"/>
      <c r="AJ274" s="921"/>
      <c r="AK274" s="921"/>
      <c r="AL274" s="925">
        <v>1</v>
      </c>
      <c r="AM274" s="627"/>
      <c r="AN274" s="627"/>
    </row>
    <row r="275" spans="1:40" s="984" customFormat="1" ht="40.5" customHeight="1">
      <c r="A275" s="921"/>
      <c r="B275" s="996"/>
      <c r="C275" s="921"/>
      <c r="D275" s="921"/>
      <c r="E275" s="921"/>
      <c r="F275" s="921"/>
      <c r="G275" s="921"/>
      <c r="H275" s="921"/>
      <c r="I275" s="986"/>
      <c r="J275" s="921"/>
      <c r="K275" s="921"/>
      <c r="L275" s="921"/>
      <c r="M275" s="921"/>
      <c r="N275" s="921"/>
      <c r="O275" s="986"/>
      <c r="P275" s="986"/>
      <c r="Q275" s="986"/>
      <c r="R275" s="986"/>
      <c r="S275" s="986"/>
      <c r="T275" s="923"/>
      <c r="U275" s="923"/>
      <c r="V275" s="923"/>
      <c r="W275" s="923"/>
      <c r="X275" s="923"/>
      <c r="Y275" s="923"/>
      <c r="Z275" s="923"/>
      <c r="AA275" s="923"/>
      <c r="AB275" s="923"/>
      <c r="AC275" s="923"/>
      <c r="AD275" s="923"/>
      <c r="AE275" s="923"/>
      <c r="AF275" s="923"/>
      <c r="AG275" s="1022"/>
      <c r="AH275" s="1023"/>
      <c r="AI275" s="1023"/>
      <c r="AJ275" s="923"/>
      <c r="AK275" s="923"/>
      <c r="AL275" s="925">
        <v>1</v>
      </c>
      <c r="AM275" s="627"/>
      <c r="AN275" s="627"/>
    </row>
    <row r="276" spans="1:40" s="984" customFormat="1" ht="40.5" customHeight="1">
      <c r="A276" s="921"/>
      <c r="B276" s="996"/>
      <c r="C276" s="1128">
        <v>1</v>
      </c>
      <c r="D276" s="1128" t="s">
        <v>2716</v>
      </c>
      <c r="E276" s="1128" t="s">
        <v>2717</v>
      </c>
      <c r="F276" s="1128" t="s">
        <v>2718</v>
      </c>
      <c r="G276" s="1128" t="s">
        <v>2719</v>
      </c>
      <c r="H276" s="1128" t="s">
        <v>2720</v>
      </c>
      <c r="I276" s="1128" t="s">
        <v>2721</v>
      </c>
      <c r="J276" s="1128" t="s">
        <v>2722</v>
      </c>
      <c r="K276" s="1128" t="s">
        <v>2723</v>
      </c>
      <c r="L276" s="921"/>
      <c r="M276" s="921"/>
      <c r="N276" s="921"/>
      <c r="O276" s="1128" t="s">
        <v>2724</v>
      </c>
      <c r="P276" s="1128" t="s">
        <v>2725</v>
      </c>
      <c r="Q276" s="1128" t="s">
        <v>2726</v>
      </c>
      <c r="R276" s="1128" t="s">
        <v>2727</v>
      </c>
      <c r="S276" s="1128" t="s">
        <v>2728</v>
      </c>
      <c r="T276" s="1128" t="s">
        <v>2729</v>
      </c>
      <c r="U276" s="1128" t="s">
        <v>2730</v>
      </c>
      <c r="V276" s="1128" t="s">
        <v>2731</v>
      </c>
      <c r="W276" s="1128" t="s">
        <v>2732</v>
      </c>
      <c r="X276" s="1128" t="s">
        <v>2733</v>
      </c>
      <c r="Y276" s="1128" t="s">
        <v>2734</v>
      </c>
      <c r="Z276" s="1129">
        <v>15.5</v>
      </c>
      <c r="AA276" s="923"/>
      <c r="AB276" s="923"/>
      <c r="AC276" s="923"/>
      <c r="AD276" s="923"/>
      <c r="AE276" s="923"/>
      <c r="AF276" s="923"/>
      <c r="AG276" s="1022"/>
      <c r="AH276" s="1023"/>
      <c r="AI276" s="1023"/>
      <c r="AJ276" s="923"/>
      <c r="AK276" s="923"/>
      <c r="AL276" s="925">
        <v>1</v>
      </c>
      <c r="AM276" s="627"/>
      <c r="AN276" s="627"/>
    </row>
    <row r="277" spans="1:40" s="984" customFormat="1" ht="40.5" customHeight="1">
      <c r="A277" s="921"/>
      <c r="B277" s="996"/>
      <c r="C277" s="921"/>
      <c r="D277" s="921"/>
      <c r="E277" s="921"/>
      <c r="F277" s="921"/>
      <c r="G277" s="921"/>
      <c r="H277" s="921"/>
      <c r="I277" s="986"/>
      <c r="J277" s="921"/>
      <c r="K277" s="921"/>
      <c r="L277" s="921"/>
      <c r="M277" s="921"/>
      <c r="N277" s="921"/>
      <c r="O277" s="986"/>
      <c r="P277" s="986"/>
      <c r="Q277" s="986"/>
      <c r="R277" s="986"/>
      <c r="S277" s="986"/>
      <c r="T277" s="923"/>
      <c r="U277" s="923"/>
      <c r="V277" s="923"/>
      <c r="W277" s="923"/>
      <c r="X277" s="923"/>
      <c r="Y277" s="923"/>
      <c r="Z277" s="1024" t="s">
        <v>2735</v>
      </c>
      <c r="AA277" s="923"/>
      <c r="AB277" s="923"/>
      <c r="AC277" s="923"/>
      <c r="AD277" s="923"/>
      <c r="AE277" s="923"/>
      <c r="AF277" s="923"/>
      <c r="AG277" s="1022"/>
      <c r="AH277" s="1023"/>
      <c r="AI277" s="1023"/>
      <c r="AJ277" s="923"/>
      <c r="AK277" s="923"/>
      <c r="AL277" s="925">
        <v>1</v>
      </c>
      <c r="AM277" s="627"/>
      <c r="AN277" s="627"/>
    </row>
    <row r="278" spans="1:40" s="984" customFormat="1" ht="40.5" customHeight="1">
      <c r="A278" s="921"/>
      <c r="B278" s="996"/>
      <c r="C278" s="1130">
        <v>1</v>
      </c>
      <c r="D278" s="1131">
        <v>2</v>
      </c>
      <c r="E278" s="1130">
        <v>3</v>
      </c>
      <c r="F278" s="1131">
        <v>4</v>
      </c>
      <c r="G278" s="1130">
        <v>5</v>
      </c>
      <c r="H278" s="1131">
        <v>6</v>
      </c>
      <c r="I278" s="1130">
        <v>7</v>
      </c>
      <c r="J278" s="1131">
        <v>8</v>
      </c>
      <c r="K278" s="1130">
        <v>9</v>
      </c>
      <c r="L278" s="921"/>
      <c r="M278" s="921"/>
      <c r="N278" s="921"/>
      <c r="O278" s="1131">
        <v>10</v>
      </c>
      <c r="P278" s="1130">
        <v>11</v>
      </c>
      <c r="Q278" s="1131">
        <v>12</v>
      </c>
      <c r="R278" s="1130">
        <v>13</v>
      </c>
      <c r="S278" s="1131">
        <v>14</v>
      </c>
      <c r="T278" s="1130">
        <v>15</v>
      </c>
      <c r="U278" s="1131">
        <v>16</v>
      </c>
      <c r="V278" s="1130">
        <v>17</v>
      </c>
      <c r="W278" s="1131">
        <v>18</v>
      </c>
      <c r="X278" s="1130">
        <v>19</v>
      </c>
      <c r="Y278" s="1131">
        <v>20</v>
      </c>
      <c r="Z278" s="923"/>
      <c r="AA278" s="923"/>
      <c r="AB278" s="923"/>
      <c r="AC278" s="923"/>
      <c r="AD278" s="923"/>
      <c r="AE278" s="923"/>
      <c r="AF278" s="923"/>
      <c r="AG278" s="1022"/>
      <c r="AH278" s="1023"/>
      <c r="AI278" s="1023"/>
      <c r="AJ278" s="923"/>
      <c r="AK278" s="923"/>
      <c r="AL278" s="925">
        <v>1</v>
      </c>
      <c r="AM278" s="627"/>
      <c r="AN278" s="627"/>
    </row>
    <row r="279" spans="1:40" s="1101" customFormat="1" ht="40.5" customHeight="1">
      <c r="A279" s="1056"/>
      <c r="B279" s="1021"/>
      <c r="C279" s="1056"/>
      <c r="D279" s="1056"/>
      <c r="E279" s="1056"/>
      <c r="F279" s="1056"/>
      <c r="G279" s="1056"/>
      <c r="H279" s="1056"/>
      <c r="I279" s="986"/>
      <c r="J279" s="1056"/>
      <c r="K279" s="1056"/>
      <c r="L279" s="1056"/>
      <c r="M279" s="1056"/>
      <c r="N279" s="1056"/>
      <c r="O279" s="986"/>
      <c r="P279" s="986"/>
      <c r="Q279" s="986"/>
      <c r="R279" s="986"/>
      <c r="S279" s="986"/>
      <c r="T279" s="1022"/>
      <c r="U279" s="1021"/>
      <c r="V279" s="1108"/>
      <c r="W279" s="1102"/>
      <c r="X279" s="1102"/>
      <c r="Y279" s="1102"/>
      <c r="Z279" s="923"/>
      <c r="AA279" s="923"/>
      <c r="AB279" s="923"/>
      <c r="AC279" s="923"/>
      <c r="AD279" s="923"/>
      <c r="AE279" s="923"/>
      <c r="AF279" s="923"/>
      <c r="AG279" s="1022"/>
      <c r="AH279" s="1023"/>
      <c r="AI279" s="1023"/>
      <c r="AJ279" s="923"/>
      <c r="AK279" s="923"/>
      <c r="AL279" s="925">
        <v>1</v>
      </c>
      <c r="AM279" s="627"/>
      <c r="AN279" s="627"/>
    </row>
    <row r="280" spans="1:40" s="1101" customFormat="1" ht="40.5" customHeight="1">
      <c r="A280" s="1056"/>
      <c r="B280" s="1132"/>
      <c r="C280" s="1133" t="s">
        <v>2736</v>
      </c>
      <c r="D280" s="1134"/>
      <c r="E280" s="1022"/>
      <c r="F280" s="1135" t="s">
        <v>2737</v>
      </c>
      <c r="G280" s="1136"/>
      <c r="H280" s="1136"/>
      <c r="I280" s="1136"/>
      <c r="J280" s="1136"/>
      <c r="K280" s="1136"/>
      <c r="L280" s="986"/>
      <c r="M280" s="986"/>
      <c r="N280" s="986"/>
      <c r="O280" s="986"/>
      <c r="P280" s="1022"/>
      <c r="Q280" s="1022"/>
      <c r="R280" s="986"/>
      <c r="S280" s="986"/>
      <c r="T280" s="1022"/>
      <c r="U280" s="1022"/>
      <c r="V280" s="1108"/>
      <c r="W280" s="1102"/>
      <c r="X280" s="1102"/>
      <c r="Y280" s="1102"/>
      <c r="Z280" s="1137" t="s">
        <v>348</v>
      </c>
      <c r="AA280" s="923"/>
      <c r="AB280" s="923"/>
      <c r="AC280" s="923"/>
      <c r="AD280" s="923"/>
      <c r="AE280" s="923"/>
      <c r="AF280" s="923"/>
      <c r="AG280" s="1022"/>
      <c r="AH280" s="1023"/>
      <c r="AI280" s="1023"/>
      <c r="AJ280" s="923"/>
      <c r="AK280" s="923"/>
      <c r="AL280" s="925">
        <v>1</v>
      </c>
      <c r="AM280" s="627"/>
      <c r="AN280" s="627"/>
    </row>
    <row r="281" spans="1:40" s="1101" customFormat="1" ht="40.5" customHeight="1">
      <c r="A281" s="1056"/>
      <c r="B281" s="1132"/>
      <c r="C281" s="1138">
        <v>3</v>
      </c>
      <c r="D281" s="1134"/>
      <c r="E281" s="1056"/>
      <c r="F281" s="1056"/>
      <c r="G281" s="1056"/>
      <c r="H281" s="986"/>
      <c r="I281" s="986"/>
      <c r="J281" s="986"/>
      <c r="K281" s="986"/>
      <c r="L281" s="986"/>
      <c r="M281" s="986"/>
      <c r="N281" s="986"/>
      <c r="O281" s="986"/>
      <c r="P281" s="986"/>
      <c r="Q281" s="986"/>
      <c r="R281" s="986"/>
      <c r="S281" s="986"/>
      <c r="T281" s="1022"/>
      <c r="U281" s="1022"/>
      <c r="V281" s="1108"/>
      <c r="W281" s="1102"/>
      <c r="X281" s="1102"/>
      <c r="Y281" s="1102"/>
      <c r="Z281" s="923"/>
      <c r="AA281" s="923"/>
      <c r="AB281" s="923"/>
      <c r="AC281" s="923"/>
      <c r="AD281" s="923"/>
      <c r="AE281" s="923"/>
      <c r="AF281" s="923"/>
      <c r="AG281" s="1022"/>
      <c r="AH281" s="1023"/>
      <c r="AI281" s="1023"/>
      <c r="AJ281" s="923"/>
      <c r="AK281" s="923"/>
      <c r="AL281" s="925">
        <v>1</v>
      </c>
      <c r="AM281" s="627"/>
      <c r="AN281" s="627"/>
    </row>
    <row r="282" spans="1:40" s="1101" customFormat="1" ht="40.5" customHeight="1">
      <c r="A282" s="1056"/>
      <c r="B282" s="1132"/>
      <c r="C282" s="1056"/>
      <c r="D282" s="1056"/>
      <c r="E282" s="1056"/>
      <c r="F282" s="1056"/>
      <c r="G282" s="1056"/>
      <c r="H282" s="1139" t="s">
        <v>2738</v>
      </c>
      <c r="I282" s="1140"/>
      <c r="J282" s="1140"/>
      <c r="K282" s="1056"/>
      <c r="L282" s="1056"/>
      <c r="M282" s="1056"/>
      <c r="N282" s="1056"/>
      <c r="O282" s="986"/>
      <c r="P282" s="986"/>
      <c r="Q282" s="1141" t="s">
        <v>1487</v>
      </c>
      <c r="R282" s="1142" t="s">
        <v>2739</v>
      </c>
      <c r="S282" s="1143" t="s">
        <v>2740</v>
      </c>
      <c r="T282" s="1022"/>
      <c r="U282" s="1022"/>
      <c r="V282" s="1108"/>
      <c r="W282" s="1102"/>
      <c r="X282" s="1102"/>
      <c r="Y282" s="1102"/>
      <c r="Z282" s="923"/>
      <c r="AA282" s="923"/>
      <c r="AB282" s="923"/>
      <c r="AC282" s="923"/>
      <c r="AD282" s="923"/>
      <c r="AE282" s="923"/>
      <c r="AF282" s="923"/>
      <c r="AG282" s="1022"/>
      <c r="AH282" s="1023"/>
      <c r="AI282" s="1023"/>
      <c r="AJ282" s="923"/>
      <c r="AK282" s="923"/>
      <c r="AL282" s="925">
        <v>1</v>
      </c>
      <c r="AM282" s="627"/>
      <c r="AN282" s="627"/>
    </row>
    <row r="283" spans="1:40" s="1101" customFormat="1" ht="40.5" customHeight="1">
      <c r="A283" s="1056"/>
      <c r="B283" s="1132"/>
      <c r="C283" s="1144" t="s">
        <v>2741</v>
      </c>
      <c r="D283" s="1056"/>
      <c r="E283" s="1145"/>
      <c r="F283" s="1056"/>
      <c r="G283" s="1056"/>
      <c r="H283" s="1146" t="s">
        <v>2742</v>
      </c>
      <c r="I283" s="1146" t="s">
        <v>2743</v>
      </c>
      <c r="J283" s="1146" t="s">
        <v>2744</v>
      </c>
      <c r="K283" s="1102" t="s">
        <v>2745</v>
      </c>
      <c r="L283" s="1102"/>
      <c r="M283" s="1102"/>
      <c r="N283" s="1102"/>
      <c r="O283" s="1022"/>
      <c r="P283" s="1022"/>
      <c r="Q283" s="1144" t="s">
        <v>2746</v>
      </c>
      <c r="R283" s="1022"/>
      <c r="S283" s="1022"/>
      <c r="T283" s="1022"/>
      <c r="U283" s="1022"/>
      <c r="V283" s="1108"/>
      <c r="W283" s="1102"/>
      <c r="X283" s="1102"/>
      <c r="Y283" s="1102"/>
      <c r="Z283" s="1022"/>
      <c r="AA283" s="1022"/>
      <c r="AB283" s="1022"/>
      <c r="AC283" s="1022"/>
      <c r="AD283" s="1022"/>
      <c r="AE283" s="1022"/>
      <c r="AF283" s="1022"/>
      <c r="AG283" s="1022"/>
      <c r="AH283" s="1023"/>
      <c r="AI283" s="1023"/>
      <c r="AJ283" s="923"/>
      <c r="AK283" s="923"/>
      <c r="AL283" s="925">
        <v>1</v>
      </c>
      <c r="AM283" s="627"/>
      <c r="AN283" s="627"/>
    </row>
    <row r="284" spans="1:40" s="1101" customFormat="1" ht="40.5" customHeight="1">
      <c r="A284" s="1056"/>
      <c r="B284" s="1132"/>
      <c r="C284" s="1144" t="s">
        <v>2747</v>
      </c>
      <c r="D284" s="1056"/>
      <c r="E284" s="1145"/>
      <c r="F284" s="1056"/>
      <c r="G284" s="1056"/>
      <c r="H284" s="1146" t="s">
        <v>2748</v>
      </c>
      <c r="I284" s="1146" t="s">
        <v>2749</v>
      </c>
      <c r="J284" s="1146" t="s">
        <v>2750</v>
      </c>
      <c r="K284" s="1102" t="s">
        <v>2751</v>
      </c>
      <c r="L284" s="1102"/>
      <c r="M284" s="1102"/>
      <c r="N284" s="1102"/>
      <c r="O284" s="986"/>
      <c r="P284" s="986"/>
      <c r="Q284" s="1141" t="s">
        <v>1488</v>
      </c>
      <c r="R284" s="1142" t="s">
        <v>2752</v>
      </c>
      <c r="S284" s="1142" t="s">
        <v>2753</v>
      </c>
      <c r="T284" s="1022"/>
      <c r="U284" s="1022"/>
      <c r="V284" s="1108"/>
      <c r="W284" s="1102"/>
      <c r="X284" s="1102"/>
      <c r="Y284" s="1102"/>
      <c r="Z284" s="1102"/>
      <c r="AA284" s="1102"/>
      <c r="AB284" s="1102"/>
      <c r="AC284" s="1102"/>
      <c r="AD284" s="1102"/>
      <c r="AE284" s="1102"/>
      <c r="AF284" s="1022"/>
      <c r="AG284" s="1022"/>
      <c r="AH284" s="1023"/>
      <c r="AI284" s="1023"/>
      <c r="AJ284" s="923"/>
      <c r="AK284" s="923"/>
      <c r="AL284" s="925">
        <v>1</v>
      </c>
      <c r="AM284" s="627"/>
      <c r="AN284" s="627"/>
    </row>
    <row r="285" spans="1:40" s="1101" customFormat="1" ht="40.5" customHeight="1">
      <c r="A285" s="1056"/>
      <c r="B285" s="1132"/>
      <c r="C285" s="1144"/>
      <c r="D285" s="1056"/>
      <c r="E285" s="1144"/>
      <c r="F285" s="1147"/>
      <c r="G285" s="1144"/>
      <c r="H285" s="1144"/>
      <c r="I285" s="1056"/>
      <c r="J285" s="1056"/>
      <c r="K285" s="1056"/>
      <c r="L285" s="1056"/>
      <c r="M285" s="1056"/>
      <c r="N285" s="1056"/>
      <c r="O285" s="1056"/>
      <c r="P285" s="1056"/>
      <c r="Q285" s="1056"/>
      <c r="R285" s="1056"/>
      <c r="S285" s="1022"/>
      <c r="T285" s="1022"/>
      <c r="U285" s="1022"/>
      <c r="V285" s="1108"/>
      <c r="W285" s="1102"/>
      <c r="X285" s="1102"/>
      <c r="Y285" s="1102"/>
      <c r="Z285" s="1102"/>
      <c r="AA285" s="1102"/>
      <c r="AB285" s="1102"/>
      <c r="AC285" s="1102"/>
      <c r="AD285" s="1102"/>
      <c r="AE285" s="1102"/>
      <c r="AF285" s="1022"/>
      <c r="AG285" s="1022"/>
      <c r="AH285" s="1023"/>
      <c r="AI285" s="1023"/>
      <c r="AJ285" s="923"/>
      <c r="AK285" s="923"/>
      <c r="AL285" s="925">
        <v>1</v>
      </c>
      <c r="AM285" s="627"/>
      <c r="AN285" s="627"/>
    </row>
    <row r="286" spans="1:40" s="1101" customFormat="1" ht="40.5" customHeight="1">
      <c r="A286" s="1056"/>
      <c r="B286" s="1132"/>
      <c r="C286" s="1144" t="s">
        <v>2400</v>
      </c>
      <c r="D286" s="1056"/>
      <c r="E286" s="1144"/>
      <c r="F286" s="1147"/>
      <c r="G286" s="1144"/>
      <c r="H286" s="1144"/>
      <c r="I286" s="1056"/>
      <c r="J286" s="1056"/>
      <c r="K286" s="1056"/>
      <c r="L286" s="1056"/>
      <c r="M286" s="1056"/>
      <c r="N286" s="1056"/>
      <c r="O286" s="1056"/>
      <c r="P286" s="1056"/>
      <c r="Q286" s="1056"/>
      <c r="R286" s="1056"/>
      <c r="S286" s="1022"/>
      <c r="T286" s="1022"/>
      <c r="U286" s="1022"/>
      <c r="V286" s="1108"/>
      <c r="W286" s="1102"/>
      <c r="X286" s="1102"/>
      <c r="Y286" s="1102"/>
      <c r="Z286" s="1102"/>
      <c r="AA286" s="1102"/>
      <c r="AB286" s="1102"/>
      <c r="AC286" s="1102"/>
      <c r="AD286" s="1102"/>
      <c r="AE286" s="1102"/>
      <c r="AF286" s="1022"/>
      <c r="AG286" s="1022"/>
      <c r="AH286" s="1023"/>
      <c r="AI286" s="1023"/>
      <c r="AJ286" s="923"/>
      <c r="AK286" s="923"/>
      <c r="AL286" s="925">
        <v>1</v>
      </c>
      <c r="AM286" s="627"/>
      <c r="AN286" s="627"/>
    </row>
    <row r="287" spans="1:40" s="1101" customFormat="1" ht="40.5" customHeight="1">
      <c r="A287" s="1056"/>
      <c r="B287" s="1132"/>
      <c r="C287" s="1144" t="s">
        <v>2398</v>
      </c>
      <c r="D287" s="1056"/>
      <c r="E287" s="1144"/>
      <c r="F287" s="1147"/>
      <c r="G287" s="1144"/>
      <c r="H287" s="1144"/>
      <c r="I287" s="1056"/>
      <c r="J287" s="1056"/>
      <c r="K287" s="1056"/>
      <c r="L287" s="1056"/>
      <c r="M287" s="1056"/>
      <c r="N287" s="1056"/>
      <c r="O287" s="1056"/>
      <c r="P287" s="1056"/>
      <c r="Q287" s="1056"/>
      <c r="R287" s="1056"/>
      <c r="S287" s="1022"/>
      <c r="T287" s="1022"/>
      <c r="U287" s="1022"/>
      <c r="V287" s="1108"/>
      <c r="W287" s="1102"/>
      <c r="X287" s="1102"/>
      <c r="Y287" s="1102"/>
      <c r="Z287" s="1102"/>
      <c r="AA287" s="1102"/>
      <c r="AB287" s="1102"/>
      <c r="AC287" s="1102"/>
      <c r="AD287" s="1102"/>
      <c r="AE287" s="1102"/>
      <c r="AF287" s="1022"/>
      <c r="AG287" s="1022"/>
      <c r="AH287" s="1023"/>
      <c r="AI287" s="1023"/>
      <c r="AJ287" s="923"/>
      <c r="AK287" s="923"/>
      <c r="AL287" s="925">
        <v>1</v>
      </c>
      <c r="AM287" s="627"/>
      <c r="AN287" s="627"/>
    </row>
    <row r="288" spans="1:40" s="1101" customFormat="1" ht="40.5" customHeight="1">
      <c r="A288" s="1056"/>
      <c r="B288" s="1132"/>
      <c r="C288" s="1144"/>
      <c r="D288" s="1056"/>
      <c r="E288" s="1144"/>
      <c r="F288" s="1147"/>
      <c r="G288" s="1144"/>
      <c r="H288" s="1144"/>
      <c r="I288" s="1056"/>
      <c r="J288" s="1056"/>
      <c r="K288" s="1056"/>
      <c r="L288" s="1056"/>
      <c r="M288" s="1056"/>
      <c r="N288" s="1056"/>
      <c r="O288" s="1056"/>
      <c r="P288" s="1056"/>
      <c r="Q288" s="1056"/>
      <c r="R288" s="1056"/>
      <c r="S288" s="1022"/>
      <c r="T288" s="1022"/>
      <c r="U288" s="1022"/>
      <c r="V288" s="1108"/>
      <c r="W288" s="1102"/>
      <c r="X288" s="1102"/>
      <c r="Y288" s="1102"/>
      <c r="Z288" s="1102"/>
      <c r="AA288" s="1102"/>
      <c r="AB288" s="1102"/>
      <c r="AC288" s="1102"/>
      <c r="AD288" s="1102"/>
      <c r="AE288" s="1102"/>
      <c r="AF288" s="1022"/>
      <c r="AG288" s="1022"/>
      <c r="AH288" s="1023"/>
      <c r="AI288" s="1023"/>
      <c r="AJ288" s="923"/>
      <c r="AK288" s="923"/>
      <c r="AL288" s="925">
        <v>1</v>
      </c>
      <c r="AM288" s="627"/>
      <c r="AN288" s="627"/>
    </row>
    <row r="289" spans="1:40" s="1101" customFormat="1" ht="40.5" customHeight="1">
      <c r="A289" s="1056"/>
      <c r="B289" s="1132"/>
      <c r="C289" s="1144" t="s">
        <v>3082</v>
      </c>
      <c r="D289" s="1056"/>
      <c r="E289" s="1144"/>
      <c r="F289" s="1147"/>
      <c r="G289" s="1144"/>
      <c r="H289" s="1144"/>
      <c r="I289" s="1056"/>
      <c r="J289" s="1194"/>
      <c r="K289" s="1195" t="s">
        <v>3049</v>
      </c>
      <c r="L289" s="1196"/>
      <c r="M289" s="1134"/>
      <c r="N289" s="1196"/>
      <c r="O289" s="1134"/>
      <c r="P289" s="1134"/>
      <c r="Q289" s="1134"/>
      <c r="R289" s="1134"/>
      <c r="S289" s="1022"/>
      <c r="T289" s="1022"/>
      <c r="U289" s="1022"/>
      <c r="V289" s="1108"/>
      <c r="W289" s="1102"/>
      <c r="X289" s="1102"/>
      <c r="Y289" s="1102"/>
      <c r="Z289" s="1102"/>
      <c r="AA289" s="1102"/>
      <c r="AB289" s="1102"/>
      <c r="AC289" s="1102"/>
      <c r="AD289" s="1102"/>
      <c r="AE289" s="1102"/>
      <c r="AF289" s="1022"/>
      <c r="AG289" s="1022"/>
      <c r="AH289" s="1023"/>
      <c r="AI289" s="1023"/>
      <c r="AJ289" s="923"/>
      <c r="AK289" s="923"/>
      <c r="AL289" s="925">
        <v>1</v>
      </c>
      <c r="AM289" s="627"/>
      <c r="AN289" s="627"/>
    </row>
    <row r="290" spans="1:40" s="1101" customFormat="1" ht="40.5" customHeight="1">
      <c r="A290" s="1056"/>
      <c r="B290" s="1132"/>
      <c r="C290" s="1144"/>
      <c r="D290" s="1056"/>
      <c r="E290" s="1144"/>
      <c r="F290" s="1147"/>
      <c r="G290" s="1144"/>
      <c r="H290" s="1144"/>
      <c r="I290" s="1056"/>
      <c r="J290" s="1056"/>
      <c r="K290" s="1056"/>
      <c r="L290" s="1056"/>
      <c r="M290" s="1056"/>
      <c r="N290" s="1056"/>
      <c r="O290" s="1056"/>
      <c r="P290" s="1056"/>
      <c r="Q290" s="1056"/>
      <c r="R290" s="1056"/>
      <c r="S290" s="1022"/>
      <c r="T290" s="1022"/>
      <c r="U290" s="1022"/>
      <c r="V290" s="1108"/>
      <c r="W290" s="1102"/>
      <c r="X290" s="1102"/>
      <c r="Y290" s="1102"/>
      <c r="Z290" s="1102"/>
      <c r="AA290" s="1102"/>
      <c r="AB290" s="1102"/>
      <c r="AC290" s="1102"/>
      <c r="AD290" s="1102"/>
      <c r="AE290" s="1102"/>
      <c r="AF290" s="1022"/>
      <c r="AG290" s="1022"/>
      <c r="AH290" s="1023"/>
      <c r="AI290" s="1023"/>
      <c r="AJ290" s="923"/>
      <c r="AK290" s="923"/>
      <c r="AL290" s="925">
        <v>1</v>
      </c>
      <c r="AM290" s="627"/>
      <c r="AN290" s="627"/>
    </row>
    <row r="291" spans="1:40" s="1101" customFormat="1" ht="40.5" customHeight="1">
      <c r="A291" s="1056"/>
      <c r="B291" s="1132"/>
      <c r="C291" s="1144"/>
      <c r="D291" s="1056"/>
      <c r="E291" s="1144"/>
      <c r="F291" s="1147"/>
      <c r="G291" s="1144"/>
      <c r="H291" s="1144"/>
      <c r="I291" s="1056"/>
      <c r="J291" s="1056"/>
      <c r="K291" s="1056"/>
      <c r="L291" s="1056"/>
      <c r="M291" s="1056"/>
      <c r="N291" s="1056"/>
      <c r="O291" s="1056"/>
      <c r="P291" s="1056"/>
      <c r="Q291" s="1056"/>
      <c r="R291" s="1056"/>
      <c r="S291" s="1022"/>
      <c r="T291" s="1022"/>
      <c r="U291" s="1022"/>
      <c r="V291" s="1108"/>
      <c r="W291" s="1102"/>
      <c r="X291" s="1102"/>
      <c r="Y291" s="1102"/>
      <c r="Z291" s="1102"/>
      <c r="AA291" s="1102"/>
      <c r="AB291" s="1102"/>
      <c r="AC291" s="1102"/>
      <c r="AD291" s="1102"/>
      <c r="AE291" s="1102"/>
      <c r="AF291" s="1022"/>
      <c r="AG291" s="1022"/>
      <c r="AH291" s="1023"/>
      <c r="AI291" s="1023"/>
      <c r="AJ291" s="923"/>
      <c r="AK291" s="923"/>
      <c r="AL291" s="925">
        <v>1</v>
      </c>
      <c r="AM291" s="627"/>
      <c r="AN291" s="627"/>
    </row>
    <row r="292" spans="1:40" s="1101" customFormat="1" ht="40.5" customHeight="1">
      <c r="A292" s="1056"/>
      <c r="B292" s="1132"/>
      <c r="C292" s="1144"/>
      <c r="D292" s="1056"/>
      <c r="E292" s="1144"/>
      <c r="F292" s="1147"/>
      <c r="G292" s="1144"/>
      <c r="H292" s="1144"/>
      <c r="I292" s="1056"/>
      <c r="J292" s="1056"/>
      <c r="K292" s="1056"/>
      <c r="L292" s="1056"/>
      <c r="M292" s="1056"/>
      <c r="N292" s="1056"/>
      <c r="O292" s="1056"/>
      <c r="P292" s="1056"/>
      <c r="Q292" s="1056"/>
      <c r="R292" s="1056"/>
      <c r="S292" s="1022"/>
      <c r="T292" s="1022"/>
      <c r="U292" s="1022"/>
      <c r="V292" s="1108"/>
      <c r="W292" s="1102"/>
      <c r="X292" s="1102"/>
      <c r="Y292" s="1102"/>
      <c r="Z292" s="1102"/>
      <c r="AA292" s="1102"/>
      <c r="AB292" s="1102"/>
      <c r="AC292" s="1102"/>
      <c r="AD292" s="1102"/>
      <c r="AE292" s="1102"/>
      <c r="AF292" s="1022"/>
      <c r="AG292" s="1022"/>
      <c r="AH292" s="1023"/>
      <c r="AI292" s="1023"/>
      <c r="AJ292" s="923"/>
      <c r="AK292" s="923"/>
      <c r="AL292" s="925">
        <v>1</v>
      </c>
      <c r="AM292" s="627"/>
      <c r="AN292" s="627"/>
    </row>
    <row r="293" spans="1:40">
      <c r="AL293" s="1148" t="s">
        <v>793</v>
      </c>
      <c r="AM293" s="630"/>
      <c r="AN293" s="630"/>
    </row>
    <row r="294" spans="1:40">
      <c r="A294" s="925">
        <v>1</v>
      </c>
      <c r="B294" s="925">
        <v>1</v>
      </c>
      <c r="C294" s="925">
        <v>1</v>
      </c>
      <c r="D294" s="925">
        <v>1</v>
      </c>
      <c r="E294" s="925">
        <v>1</v>
      </c>
      <c r="F294" s="925">
        <v>1</v>
      </c>
      <c r="G294" s="925">
        <v>1</v>
      </c>
      <c r="H294" s="925">
        <v>1</v>
      </c>
      <c r="I294" s="925">
        <v>1</v>
      </c>
      <c r="J294" s="925">
        <v>1</v>
      </c>
      <c r="K294" s="925">
        <v>1</v>
      </c>
      <c r="L294" s="925">
        <v>1</v>
      </c>
      <c r="M294" s="925">
        <v>1</v>
      </c>
      <c r="N294" s="925">
        <v>1</v>
      </c>
      <c r="O294" s="925">
        <v>1</v>
      </c>
      <c r="P294" s="925">
        <v>1</v>
      </c>
      <c r="Q294" s="925">
        <v>1</v>
      </c>
      <c r="R294" s="925">
        <v>1</v>
      </c>
      <c r="S294" s="925">
        <v>1</v>
      </c>
      <c r="T294" s="925">
        <v>1</v>
      </c>
      <c r="U294" s="925">
        <v>1</v>
      </c>
      <c r="V294" s="925">
        <v>1</v>
      </c>
      <c r="W294" s="925">
        <v>1</v>
      </c>
      <c r="X294" s="925">
        <v>1</v>
      </c>
      <c r="Y294" s="925">
        <v>1</v>
      </c>
      <c r="Z294" s="925">
        <v>1</v>
      </c>
      <c r="AA294" s="925">
        <v>1</v>
      </c>
      <c r="AB294" s="925">
        <v>1</v>
      </c>
      <c r="AC294" s="925">
        <v>1</v>
      </c>
      <c r="AD294" s="925">
        <v>1</v>
      </c>
      <c r="AE294" s="925">
        <v>1</v>
      </c>
      <c r="AF294" s="925">
        <v>1</v>
      </c>
      <c r="AG294" s="925">
        <v>1</v>
      </c>
      <c r="AH294" s="925">
        <v>1</v>
      </c>
      <c r="AI294" s="925">
        <v>1</v>
      </c>
      <c r="AJ294" s="925">
        <v>1</v>
      </c>
      <c r="AK294" s="925">
        <v>1</v>
      </c>
      <c r="AL294" s="1" t="str">
        <f>ADDRESS(ROW(),COLUMN(),4)</f>
        <v>AL294</v>
      </c>
      <c r="AM294" s="628"/>
      <c r="AN294" s="629" t="str">
        <f>ADDRESS(ROW(),COLUMN(),4)</f>
        <v>AN294</v>
      </c>
    </row>
  </sheetData>
  <mergeCells count="13">
    <mergeCell ref="E78:M79"/>
    <mergeCell ref="B137:P137"/>
    <mergeCell ref="M119:M124"/>
    <mergeCell ref="B139:B140"/>
    <mergeCell ref="D221:J221"/>
    <mergeCell ref="D228:K229"/>
    <mergeCell ref="C232:D232"/>
    <mergeCell ref="J138:K138"/>
    <mergeCell ref="E93:I94"/>
    <mergeCell ref="E95:I96"/>
    <mergeCell ref="E98:I99"/>
    <mergeCell ref="E105:I106"/>
    <mergeCell ref="E108:I109"/>
  </mergeCells>
  <hyperlinks>
    <hyperlink ref="D195" r:id="rId1" display="https://www.extensis.com/fr-fr/blog/les-10-polices-alternatives-%C3%A0-helvetica" xr:uid="{137B7D7F-9E85-4F02-AC18-ECB6684E5B56}"/>
    <hyperlink ref="D203" r:id="rId2" display="https://fr.wikipedia.org/wiki/Calibri" xr:uid="{262A3EDB-8917-456F-83EB-EF7BA82D7948}"/>
    <hyperlink ref="D204" r:id="rId3" display="https://kulturegeek.fr/news-224456/microsoft-police-voudriez-remplacer-calibri" xr:uid="{B0EC1BC7-A9C8-440B-BD0C-382711AFE387}"/>
    <hyperlink ref="D189" r:id="rId4" display="https://fr.wikipedia.org/wiki/Helvetica" xr:uid="{5A5F38C9-FFEA-4626-B75A-16250B0F961D}"/>
    <hyperlink ref="D210" r:id="rId5" display="https://laruche.wizbii.com/17703-meilleure-police-ecriture-cv" xr:uid="{4B177977-F4C5-4F5B-B205-6047380D6AC4}"/>
    <hyperlink ref="D211" r:id="rId6" display="https://laruche.wizbii.com/17703-meilleure-police-ecriture-cv" xr:uid="{1D3589C1-1B2B-4A50-9630-2E037CF6F6EA}"/>
    <hyperlink ref="D212" r:id="rId7" display="https://www.google.com/search?client=firefox-b-d&amp;cs=1&amp;sxsrf=AJOqlzWtAThXL_uLX0Izw5bcGDDqWJW1UA:1673858052794&amp;q=Quelle+est+la+police+d%27%C3%A9criture+la+plus+classe+%3F&amp;sa=X&amp;ved=2ahUKEwjYj4iV18v8AhXtTaQEHYpNBZ0Qzmd6BAgBEAU" xr:uid="{AE695293-1C2D-4499-94D3-993F4FD138B9}"/>
    <hyperlink ref="D194" r:id="rId8" xr:uid="{DFC1E3BD-2F90-43A7-A12C-D77C026521D4}"/>
    <hyperlink ref="C130" r:id="rId9" xr:uid="{3B11971F-E2D2-49F9-92E4-D9A68C05098F}"/>
    <hyperlink ref="V260" r:id="rId10" xr:uid="{C74A64BB-E2E3-4B64-9E91-9E3BD8902D23}"/>
    <hyperlink ref="U122" r:id="rId11" xr:uid="{B6C0351F-B4FF-4AC2-904D-D9F736FEC448}"/>
    <hyperlink ref="B148" r:id="rId12" xr:uid="{AF283D5F-D8C4-4FC8-9C3B-2BD611B6846A}"/>
    <hyperlink ref="B154" r:id="rId13" xr:uid="{8165ABBA-2CA9-4A61-BF9E-C68B809787BE}"/>
    <hyperlink ref="B157" r:id="rId14" xr:uid="{D4FCEB32-FF0C-4E69-82AC-225FEEA94F74}"/>
    <hyperlink ref="B158" r:id="rId15" xr:uid="{9153CE86-7F1D-4052-9C49-C8C52C189186}"/>
    <hyperlink ref="B160" r:id="rId16" xr:uid="{45C5D889-6E62-4DE7-BF41-9075F4B30B13}"/>
    <hyperlink ref="V239" r:id="rId17" xr:uid="{EF8F160F-D032-4BB2-BF09-FCF6D17F1E56}"/>
    <hyperlink ref="B163" r:id="rId18" xr:uid="{E9ED16C0-F907-4AC7-BF44-1C2E41954834}"/>
    <hyperlink ref="G51" r:id="rId19" xr:uid="{EC5736F0-3010-44F8-806C-1D954D1F66CD}"/>
    <hyperlink ref="D62" r:id="rId20" xr:uid="{E9BD1CD5-9CED-4F69-8FCC-B5512963F0D1}"/>
    <hyperlink ref="G53" r:id="rId21" xr:uid="{B18224A7-DD0A-4C0C-ADE5-78BA69F84D5D}"/>
    <hyperlink ref="K289" r:id="rId22" xr:uid="{5D268E79-1CFB-4D96-847F-9D2DC034A236}"/>
  </hyperlinks>
  <pageMargins left="0.7" right="0.7" top="0.75" bottom="0.75" header="0.3" footer="0.3"/>
  <pageSetup paperSize="9" orientation="portrait" r:id="rId23"/>
  <drawing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7D81C-71B3-4879-9734-A2BBD9F3446E}">
  <dimension ref="A1:AH471"/>
  <sheetViews>
    <sheetView workbookViewId="0">
      <selection activeCell="A9" sqref="A9:A10"/>
    </sheetView>
  </sheetViews>
  <sheetFormatPr baseColWidth="10" defaultRowHeight="15"/>
  <cols>
    <col min="2" max="2" width="4.7109375" style="1270" customWidth="1"/>
    <col min="3" max="3" width="60.5703125" style="1270" customWidth="1"/>
    <col min="4" max="5" width="50.7109375" style="1270" customWidth="1"/>
    <col min="6" max="6" width="7.5703125" customWidth="1"/>
    <col min="7" max="7" width="11.42578125" style="1270"/>
    <col min="8" max="8" width="105.85546875" customWidth="1"/>
    <col min="9" max="9" width="66.28515625" customWidth="1"/>
    <col min="10" max="10" width="80.7109375" customWidth="1"/>
    <col min="12" max="12" width="10.7109375" customWidth="1"/>
    <col min="13" max="15" width="67.7109375" customWidth="1"/>
    <col min="16" max="16" width="84" customWidth="1"/>
    <col min="17" max="17" width="5" customWidth="1"/>
    <col min="18" max="18" width="11.5703125" style="1248" customWidth="1"/>
    <col min="19" max="21" width="99.7109375" style="1248" customWidth="1"/>
    <col min="23" max="23" width="10.7109375" customWidth="1"/>
    <col min="24" max="26" width="30.7109375" customWidth="1"/>
    <col min="27" max="29" width="50.7109375" customWidth="1"/>
    <col min="30" max="30" width="30.7109375" customWidth="1"/>
    <col min="34" max="34" width="80.85546875" customWidth="1"/>
  </cols>
  <sheetData>
    <row r="1" spans="1:34" ht="15.75" thickTop="1">
      <c r="A1" s="1" t="str">
        <f>ADDRESS(ROW(),COLUMN(),4)</f>
        <v>A1</v>
      </c>
      <c r="B1" s="2" t="str">
        <f t="shared" ref="B1:J1" si="0">SUBSTITUTE(ADDRESS(1,COLUMN(),4),"1","")</f>
        <v>B</v>
      </c>
      <c r="C1" s="2" t="str">
        <f t="shared" si="0"/>
        <v>C</v>
      </c>
      <c r="D1" s="2" t="str">
        <f t="shared" si="0"/>
        <v>D</v>
      </c>
      <c r="E1" s="2" t="str">
        <f t="shared" si="0"/>
        <v>E</v>
      </c>
      <c r="G1" s="2" t="str">
        <f t="shared" si="0"/>
        <v>G</v>
      </c>
      <c r="H1" s="2" t="str">
        <f t="shared" si="0"/>
        <v>H</v>
      </c>
      <c r="I1" s="2" t="str">
        <f t="shared" si="0"/>
        <v>I</v>
      </c>
      <c r="J1" s="2" t="str">
        <f t="shared" si="0"/>
        <v>J</v>
      </c>
      <c r="L1" s="2" t="str">
        <f t="shared" ref="L1:P1" si="1">SUBSTITUTE(ADDRESS(1,COLUMN(),4),"1","")</f>
        <v>L</v>
      </c>
      <c r="M1" s="2" t="str">
        <f t="shared" si="1"/>
        <v>M</v>
      </c>
      <c r="N1" s="2" t="str">
        <f t="shared" si="1"/>
        <v>N</v>
      </c>
      <c r="O1" s="2" t="str">
        <f t="shared" si="1"/>
        <v>O</v>
      </c>
      <c r="P1" s="2" t="str">
        <f t="shared" si="1"/>
        <v>P</v>
      </c>
      <c r="Q1" s="9"/>
      <c r="R1" s="2" t="str">
        <f t="shared" ref="R1:U1" si="2">SUBSTITUTE(ADDRESS(1,COLUMN(),4),"1","")</f>
        <v>R</v>
      </c>
      <c r="S1" s="2" t="str">
        <f t="shared" si="2"/>
        <v>S</v>
      </c>
      <c r="T1" s="2" t="str">
        <f t="shared" si="2"/>
        <v>T</v>
      </c>
      <c r="U1" s="2" t="str">
        <f t="shared" si="2"/>
        <v>U</v>
      </c>
      <c r="W1" s="2" t="str">
        <f t="shared" ref="W1:AD1" si="3">SUBSTITUTE(ADDRESS(1,COLUMN(),4),"1","")</f>
        <v>W</v>
      </c>
      <c r="X1" s="2" t="str">
        <f t="shared" si="3"/>
        <v>X</v>
      </c>
      <c r="Y1" s="2" t="str">
        <f t="shared" si="3"/>
        <v>Y</v>
      </c>
      <c r="Z1" s="2" t="str">
        <f t="shared" si="3"/>
        <v>Z</v>
      </c>
      <c r="AA1" s="2" t="str">
        <f t="shared" si="3"/>
        <v>AA</v>
      </c>
      <c r="AB1" s="2" t="str">
        <f t="shared" si="3"/>
        <v>AB</v>
      </c>
      <c r="AC1" s="2" t="str">
        <f t="shared" si="3"/>
        <v>AC</v>
      </c>
      <c r="AD1" s="2" t="str">
        <f t="shared" si="3"/>
        <v>AD</v>
      </c>
      <c r="AF1" s="3">
        <v>1</v>
      </c>
      <c r="AG1" s="4" t="str">
        <f>SUBSTITUTE(ADDRESS(1,COLUMN(),4),"1","")</f>
        <v>AG</v>
      </c>
      <c r="AH1" s="5" t="str">
        <f>SUBSTITUTE(ADDRESS(1,COLUMN(),4),"1","")</f>
        <v>AH</v>
      </c>
    </row>
    <row r="2" spans="1:34">
      <c r="B2" s="694">
        <f t="shared" ref="B2:J2" ca="1" si="4">CELL("largeur",B2)</f>
        <v>4</v>
      </c>
      <c r="C2" s="694">
        <f t="shared" ca="1" si="4"/>
        <v>60</v>
      </c>
      <c r="D2" s="694">
        <f t="shared" ca="1" si="4"/>
        <v>50</v>
      </c>
      <c r="E2" s="694">
        <f t="shared" ca="1" si="4"/>
        <v>50</v>
      </c>
      <c r="G2" s="694">
        <f t="shared" ca="1" si="4"/>
        <v>11</v>
      </c>
      <c r="H2" s="694">
        <f t="shared" ca="1" si="4"/>
        <v>105</v>
      </c>
      <c r="I2" s="694">
        <f t="shared" ca="1" si="4"/>
        <v>66</v>
      </c>
      <c r="J2" s="694">
        <f t="shared" ca="1" si="4"/>
        <v>80</v>
      </c>
      <c r="L2" s="694">
        <f t="shared" ref="L2:P2" ca="1" si="5">CELL("largeur",L2)</f>
        <v>10</v>
      </c>
      <c r="M2" s="694">
        <f t="shared" ca="1" si="5"/>
        <v>67</v>
      </c>
      <c r="N2" s="694">
        <f t="shared" ca="1" si="5"/>
        <v>67</v>
      </c>
      <c r="O2" s="694">
        <f t="shared" ca="1" si="5"/>
        <v>67</v>
      </c>
      <c r="P2" s="694">
        <f t="shared" ca="1" si="5"/>
        <v>83</v>
      </c>
      <c r="Q2" s="9"/>
      <c r="R2" s="694">
        <f t="shared" ref="R2:U2" ca="1" si="6">CELL("largeur",R2)</f>
        <v>11</v>
      </c>
      <c r="S2" s="694">
        <f t="shared" ca="1" si="6"/>
        <v>99</v>
      </c>
      <c r="T2" s="694">
        <f t="shared" ca="1" si="6"/>
        <v>99</v>
      </c>
      <c r="U2" s="694">
        <f t="shared" ca="1" si="6"/>
        <v>99</v>
      </c>
      <c r="W2" s="694">
        <f t="shared" ref="W2:AD2" ca="1" si="7">CELL("largeur",W2)</f>
        <v>10</v>
      </c>
      <c r="X2" s="694">
        <f t="shared" ca="1" si="7"/>
        <v>30</v>
      </c>
      <c r="Y2" s="694">
        <f t="shared" ca="1" si="7"/>
        <v>30</v>
      </c>
      <c r="Z2" s="694">
        <f t="shared" ca="1" si="7"/>
        <v>30</v>
      </c>
      <c r="AA2" s="694">
        <f t="shared" ca="1" si="7"/>
        <v>50</v>
      </c>
      <c r="AB2" s="694">
        <f t="shared" ca="1" si="7"/>
        <v>50</v>
      </c>
      <c r="AC2" s="694">
        <f t="shared" ca="1" si="7"/>
        <v>50</v>
      </c>
      <c r="AD2" s="694">
        <f t="shared" ca="1" si="7"/>
        <v>30</v>
      </c>
      <c r="AF2" s="3">
        <v>1</v>
      </c>
      <c r="AG2" s="7" t="s">
        <v>3</v>
      </c>
      <c r="AH2" s="8"/>
    </row>
    <row r="3" spans="1:34" ht="16.5" thickBot="1">
      <c r="B3" s="695">
        <v>4</v>
      </c>
      <c r="C3" s="695">
        <v>50</v>
      </c>
      <c r="D3" s="695">
        <v>50</v>
      </c>
      <c r="E3" s="695">
        <v>50</v>
      </c>
      <c r="G3" s="695">
        <v>11</v>
      </c>
      <c r="H3" s="695">
        <v>82</v>
      </c>
      <c r="I3" s="695">
        <v>66</v>
      </c>
      <c r="J3" s="695">
        <v>80</v>
      </c>
      <c r="L3" s="695">
        <v>10</v>
      </c>
      <c r="M3" s="695">
        <v>67</v>
      </c>
      <c r="N3" s="695">
        <v>67</v>
      </c>
      <c r="O3" s="695">
        <v>67</v>
      </c>
      <c r="P3" s="695">
        <v>83</v>
      </c>
      <c r="Q3" s="9"/>
      <c r="R3" s="695">
        <v>11</v>
      </c>
      <c r="S3" s="695">
        <v>99</v>
      </c>
      <c r="T3" s="695">
        <v>99</v>
      </c>
      <c r="U3" s="695">
        <v>99</v>
      </c>
      <c r="W3" s="695">
        <v>10</v>
      </c>
      <c r="X3" s="695">
        <v>30</v>
      </c>
      <c r="Y3" s="695">
        <v>30</v>
      </c>
      <c r="Z3" s="695">
        <v>30</v>
      </c>
      <c r="AA3" s="695">
        <v>50</v>
      </c>
      <c r="AB3" s="695">
        <v>50</v>
      </c>
      <c r="AC3" s="695">
        <v>50</v>
      </c>
      <c r="AD3" s="695">
        <v>30</v>
      </c>
      <c r="AF3" s="3">
        <v>1</v>
      </c>
      <c r="AG3" s="10">
        <f ca="1">COUNTA(A1:AF468) + COUNTBLANK(A1:AF468)</f>
        <v>14976</v>
      </c>
      <c r="AH3" s="11" t="str">
        <f>"cellules entre -cells -celdas  "&amp;" " &amp;A1&amp;" et  "&amp;AF469</f>
        <v>cellules entre -cells -celdas   A1 et  AF469</v>
      </c>
    </row>
    <row r="4" spans="1:34" ht="15" customHeight="1">
      <c r="B4" s="7011" t="s">
        <v>3111</v>
      </c>
      <c r="C4" s="7011"/>
      <c r="D4" s="7011"/>
      <c r="E4" s="7011"/>
      <c r="F4" s="9"/>
      <c r="G4" s="7011" t="s">
        <v>3112</v>
      </c>
      <c r="H4" s="7011"/>
      <c r="I4" s="7011"/>
      <c r="J4" s="7011"/>
      <c r="L4" s="1230"/>
      <c r="M4" s="1230"/>
      <c r="N4" s="1230"/>
      <c r="O4" s="1230"/>
      <c r="P4" s="1230"/>
      <c r="Q4" s="9"/>
      <c r="R4" s="7013" t="s">
        <v>3115</v>
      </c>
      <c r="S4" s="7013"/>
      <c r="T4" s="7013"/>
      <c r="U4" s="7013"/>
      <c r="W4" s="7015" t="s">
        <v>3116</v>
      </c>
      <c r="X4" s="7015"/>
      <c r="Y4" s="7015"/>
      <c r="Z4" s="7015"/>
      <c r="AA4" s="7015"/>
      <c r="AB4" s="7015"/>
      <c r="AC4" s="7015"/>
      <c r="AD4" s="7015"/>
      <c r="AF4" s="3">
        <v>1</v>
      </c>
      <c r="AG4" s="10">
        <f ca="1">COUNTA(A1:AF468)</f>
        <v>5498</v>
      </c>
      <c r="AH4" s="11" t="s">
        <v>9</v>
      </c>
    </row>
    <row r="5" spans="1:34" ht="15" customHeight="1">
      <c r="B5" s="7012"/>
      <c r="C5" s="7012"/>
      <c r="D5" s="7012"/>
      <c r="E5" s="7012"/>
      <c r="F5" s="9"/>
      <c r="G5" s="7012"/>
      <c r="H5" s="7012"/>
      <c r="I5" s="7012"/>
      <c r="J5" s="7012"/>
      <c r="L5" s="1230"/>
      <c r="M5" s="1230"/>
      <c r="N5" s="1230"/>
      <c r="O5" s="1230"/>
      <c r="P5" s="1230"/>
      <c r="Q5" s="9"/>
      <c r="R5" s="7014"/>
      <c r="S5" s="7014"/>
      <c r="T5" s="7014"/>
      <c r="U5" s="7014"/>
      <c r="W5" s="7016"/>
      <c r="X5" s="7016"/>
      <c r="Y5" s="7016"/>
      <c r="Z5" s="7016"/>
      <c r="AA5" s="7016"/>
      <c r="AB5" s="7016"/>
      <c r="AC5" s="7016"/>
      <c r="AD5" s="7016"/>
      <c r="AF5" s="3">
        <v>1</v>
      </c>
      <c r="AG5" s="10">
        <f ca="1">COUNTBLANK(A1:AF468)</f>
        <v>9478</v>
      </c>
      <c r="AH5" s="11" t="s">
        <v>12</v>
      </c>
    </row>
    <row r="6" spans="1:34" ht="21" customHeight="1">
      <c r="B6" s="1231" t="s">
        <v>3117</v>
      </c>
      <c r="C6" s="1232"/>
      <c r="D6" s="1233"/>
      <c r="E6" s="1233"/>
      <c r="G6" s="1234"/>
      <c r="H6" s="9"/>
      <c r="I6" s="9"/>
      <c r="J6" s="9"/>
      <c r="L6" s="1073"/>
      <c r="M6" s="1073"/>
      <c r="N6" s="1073"/>
      <c r="O6" s="1073"/>
      <c r="P6" s="1073"/>
      <c r="Q6" s="1073"/>
      <c r="R6" s="1073"/>
      <c r="S6" s="1073"/>
      <c r="T6" s="1073"/>
      <c r="U6" s="1073"/>
      <c r="W6" s="7017" t="s">
        <v>3118</v>
      </c>
      <c r="X6" s="7017"/>
      <c r="Y6" s="7017"/>
      <c r="Z6" s="7017"/>
      <c r="AA6" s="7017"/>
      <c r="AB6" s="7017"/>
      <c r="AC6" s="7017"/>
      <c r="AD6" s="7017"/>
      <c r="AF6" s="3">
        <v>1</v>
      </c>
      <c r="AG6" s="10">
        <f>SUM(AF1:AF467)+2</f>
        <v>469</v>
      </c>
      <c r="AH6" s="11" t="s">
        <v>14</v>
      </c>
    </row>
    <row r="7" spans="1:34" ht="30" customHeight="1">
      <c r="B7" s="1231" t="s">
        <v>3119</v>
      </c>
      <c r="C7" s="1232"/>
      <c r="D7" s="1233"/>
      <c r="E7" s="1233"/>
      <c r="F7" s="9"/>
      <c r="G7" s="1234"/>
      <c r="H7" s="9"/>
      <c r="I7" s="1235" t="s">
        <v>3120</v>
      </c>
      <c r="J7" s="1236" t="str">
        <f>AF469</f>
        <v>AF469</v>
      </c>
      <c r="L7" s="9"/>
      <c r="M7" s="9"/>
      <c r="N7" s="9"/>
      <c r="O7" s="9"/>
      <c r="P7" s="9"/>
      <c r="Q7" s="9"/>
      <c r="R7" s="1073"/>
      <c r="S7" s="1073"/>
      <c r="T7" s="1073"/>
      <c r="U7" s="1073"/>
      <c r="W7" s="7017"/>
      <c r="X7" s="7017"/>
      <c r="Y7" s="7017"/>
      <c r="Z7" s="7017"/>
      <c r="AA7" s="7017"/>
      <c r="AB7" s="7017"/>
      <c r="AC7" s="7017"/>
      <c r="AD7" s="7017"/>
      <c r="AF7" s="3">
        <v>1</v>
      </c>
      <c r="AG7" s="10">
        <f>SUM(A469:AE469)+1</f>
        <v>27</v>
      </c>
      <c r="AH7" s="11" t="s">
        <v>17</v>
      </c>
    </row>
    <row r="8" spans="1:34" ht="30" customHeight="1">
      <c r="B8" s="1231" t="s">
        <v>3122</v>
      </c>
      <c r="C8" s="1232"/>
      <c r="D8" s="1233"/>
      <c r="E8" s="1233"/>
      <c r="F8" s="9"/>
      <c r="G8" s="1233"/>
      <c r="H8" s="6999" t="s">
        <v>3123</v>
      </c>
      <c r="I8" s="6999"/>
      <c r="J8" s="6999"/>
      <c r="L8" s="9"/>
      <c r="M8" s="9"/>
      <c r="N8" s="9"/>
      <c r="O8" s="9"/>
      <c r="P8" s="9"/>
      <c r="Q8" s="9"/>
      <c r="R8" s="1245" t="s">
        <v>3138</v>
      </c>
      <c r="S8" s="1072" t="s">
        <v>3139</v>
      </c>
      <c r="T8" s="1073"/>
      <c r="U8" s="1073"/>
      <c r="W8" s="1246"/>
      <c r="X8" s="9"/>
      <c r="Y8" s="9"/>
      <c r="Z8" s="9"/>
      <c r="AA8" s="9"/>
      <c r="AB8" s="9"/>
      <c r="AC8" s="9"/>
      <c r="AD8" s="9"/>
      <c r="AF8" s="3">
        <v>1</v>
      </c>
    </row>
    <row r="9" spans="1:34" ht="30" customHeight="1">
      <c r="B9" s="2050"/>
      <c r="C9" s="2053"/>
      <c r="D9" s="2050"/>
      <c r="E9" s="2050"/>
      <c r="F9" s="9"/>
      <c r="G9" s="1233"/>
      <c r="H9" s="1233"/>
      <c r="I9" s="1233"/>
      <c r="J9" s="1233"/>
      <c r="L9" s="9"/>
      <c r="M9" s="5944" t="s">
        <v>794</v>
      </c>
      <c r="N9" s="5944" t="s">
        <v>795</v>
      </c>
      <c r="O9" s="5944" t="s">
        <v>796</v>
      </c>
      <c r="P9" s="5945" t="s">
        <v>3121</v>
      </c>
      <c r="Q9" s="1247"/>
      <c r="S9" s="5944" t="s">
        <v>794</v>
      </c>
      <c r="T9" s="5944" t="s">
        <v>795</v>
      </c>
      <c r="U9" s="5944" t="s">
        <v>796</v>
      </c>
      <c r="W9" s="5904"/>
      <c r="X9" s="1249" t="s">
        <v>794</v>
      </c>
      <c r="Y9" s="1249" t="s">
        <v>795</v>
      </c>
      <c r="Z9" s="1249" t="s">
        <v>796</v>
      </c>
      <c r="AA9" s="7002" t="s">
        <v>3121</v>
      </c>
      <c r="AB9" s="7003"/>
      <c r="AC9" s="7003"/>
      <c r="AD9" s="1249" t="s">
        <v>794</v>
      </c>
      <c r="AF9" s="3">
        <v>1</v>
      </c>
    </row>
    <row r="10" spans="1:34" ht="30" customHeight="1">
      <c r="B10" s="2050"/>
      <c r="C10" s="2047" t="s">
        <v>3150</v>
      </c>
      <c r="D10" s="2051"/>
      <c r="E10" s="2052"/>
      <c r="F10" s="9"/>
      <c r="G10" s="1252"/>
      <c r="H10" s="7004" t="s">
        <v>3151</v>
      </c>
      <c r="I10" s="7004"/>
      <c r="J10" s="7004"/>
      <c r="L10" s="5946">
        <v>1</v>
      </c>
      <c r="M10" s="1244" t="s">
        <v>3135</v>
      </c>
      <c r="N10" s="54" t="s">
        <v>3136</v>
      </c>
      <c r="O10" s="54" t="s">
        <v>3137</v>
      </c>
      <c r="P10" s="54"/>
      <c r="Q10" s="1247"/>
      <c r="S10" s="2030"/>
      <c r="T10" s="1254"/>
      <c r="U10" s="5947"/>
      <c r="W10" s="5904"/>
      <c r="X10" s="1255"/>
      <c r="Y10" s="1255"/>
      <c r="Z10" s="1255"/>
      <c r="AA10" s="1255"/>
      <c r="AB10" s="1255"/>
      <c r="AC10" s="1255"/>
      <c r="AD10" s="5948"/>
      <c r="AF10" s="3">
        <v>1</v>
      </c>
    </row>
    <row r="11" spans="1:34" ht="30" customHeight="1">
      <c r="B11" s="5949">
        <v>1</v>
      </c>
      <c r="C11" s="1257" t="s">
        <v>3167</v>
      </c>
      <c r="D11" s="5950" t="s">
        <v>3168</v>
      </c>
      <c r="E11" s="2033" t="s">
        <v>3169</v>
      </c>
      <c r="F11" s="9"/>
      <c r="G11" s="1252"/>
      <c r="H11" s="1258"/>
      <c r="I11" s="1258"/>
      <c r="J11" s="1258"/>
      <c r="L11" s="5946">
        <f t="shared" ref="L11:L40" si="8">L10+1</f>
        <v>2</v>
      </c>
      <c r="M11" s="1244" t="s">
        <v>3146</v>
      </c>
      <c r="N11" s="54" t="s">
        <v>3147</v>
      </c>
      <c r="O11" s="54" t="s">
        <v>3148</v>
      </c>
      <c r="P11" s="1247" t="s">
        <v>3149</v>
      </c>
      <c r="Q11" s="1247"/>
      <c r="R11" s="1073"/>
      <c r="S11" s="2031" t="s">
        <v>10</v>
      </c>
      <c r="T11" s="2023"/>
      <c r="U11" s="5951"/>
      <c r="W11" s="5937"/>
      <c r="X11" s="5952" t="s">
        <v>10</v>
      </c>
      <c r="Y11" s="1238"/>
      <c r="Z11" s="1238"/>
      <c r="AA11" s="1238"/>
      <c r="AB11" s="1255"/>
      <c r="AC11" s="1255"/>
      <c r="AD11" s="5952" t="s">
        <v>10</v>
      </c>
      <c r="AF11" s="3">
        <v>1</v>
      </c>
    </row>
    <row r="12" spans="1:34" ht="30" customHeight="1">
      <c r="B12" s="5949">
        <v>2</v>
      </c>
      <c r="C12" s="1257" t="s">
        <v>3186</v>
      </c>
      <c r="D12" s="5950" t="s">
        <v>3187</v>
      </c>
      <c r="E12" s="2033" t="s">
        <v>3188</v>
      </c>
      <c r="F12" s="9"/>
      <c r="G12" s="2051" t="s">
        <v>2629</v>
      </c>
      <c r="H12" s="2047" t="s">
        <v>3189</v>
      </c>
      <c r="I12" s="5953" t="s">
        <v>3190</v>
      </c>
      <c r="J12" s="2047" t="s">
        <v>3191</v>
      </c>
      <c r="L12" s="5946">
        <f t="shared" si="8"/>
        <v>3</v>
      </c>
      <c r="M12" s="1244" t="s">
        <v>3163</v>
      </c>
      <c r="N12" s="54" t="s">
        <v>3164</v>
      </c>
      <c r="O12" s="54" t="s">
        <v>3165</v>
      </c>
      <c r="P12" s="1247" t="s">
        <v>3166</v>
      </c>
      <c r="Q12" s="1247"/>
      <c r="R12" s="5954">
        <v>1</v>
      </c>
      <c r="S12" s="2032" t="s">
        <v>3207</v>
      </c>
      <c r="T12" s="1239" t="s">
        <v>3208</v>
      </c>
      <c r="U12" s="5909" t="s">
        <v>3209</v>
      </c>
      <c r="W12" s="5937">
        <v>1</v>
      </c>
      <c r="X12" s="1259" t="s">
        <v>3210</v>
      </c>
      <c r="Y12" s="1260" t="s">
        <v>3211</v>
      </c>
      <c r="Z12" s="1260" t="s">
        <v>3212</v>
      </c>
      <c r="AA12" s="1260" t="s">
        <v>3213</v>
      </c>
      <c r="AB12" s="1260" t="s">
        <v>3214</v>
      </c>
      <c r="AC12" s="1260" t="s">
        <v>3215</v>
      </c>
      <c r="AD12" s="1259" t="s">
        <v>3210</v>
      </c>
      <c r="AF12" s="3">
        <v>1</v>
      </c>
    </row>
    <row r="13" spans="1:34" ht="30" customHeight="1">
      <c r="B13" s="5949">
        <v>3</v>
      </c>
      <c r="C13" s="1257" t="s">
        <v>3216</v>
      </c>
      <c r="D13" s="5950" t="s">
        <v>3217</v>
      </c>
      <c r="E13" s="2033" t="s">
        <v>3218</v>
      </c>
      <c r="F13" s="9"/>
      <c r="G13" s="1256">
        <v>1</v>
      </c>
      <c r="H13" s="1257" t="s">
        <v>3189</v>
      </c>
      <c r="I13" s="5955" t="s">
        <v>3219</v>
      </c>
      <c r="J13" s="1261" t="s">
        <v>3220</v>
      </c>
      <c r="L13" s="5946">
        <f t="shared" si="8"/>
        <v>4</v>
      </c>
      <c r="M13" s="1244" t="s">
        <v>3182</v>
      </c>
      <c r="N13" s="54" t="s">
        <v>3183</v>
      </c>
      <c r="O13" s="54" t="s">
        <v>3184</v>
      </c>
      <c r="P13" s="1247" t="s">
        <v>3185</v>
      </c>
      <c r="Q13" s="1247"/>
      <c r="R13" s="5954">
        <f>R12+1</f>
        <v>2</v>
      </c>
      <c r="S13" s="2032" t="s">
        <v>3236</v>
      </c>
      <c r="T13" s="1239" t="s">
        <v>3237</v>
      </c>
      <c r="U13" s="5909" t="s">
        <v>3238</v>
      </c>
      <c r="W13" s="5937">
        <f>W12+1</f>
        <v>2</v>
      </c>
      <c r="X13" s="1259" t="s">
        <v>3239</v>
      </c>
      <c r="Y13" s="1260" t="s">
        <v>3240</v>
      </c>
      <c r="Z13" s="1260" t="s">
        <v>3241</v>
      </c>
      <c r="AA13" s="1260" t="s">
        <v>3242</v>
      </c>
      <c r="AB13" s="1260" t="s">
        <v>3243</v>
      </c>
      <c r="AC13" s="1260" t="s">
        <v>3244</v>
      </c>
      <c r="AD13" s="1259" t="s">
        <v>3239</v>
      </c>
      <c r="AF13" s="3">
        <v>1</v>
      </c>
    </row>
    <row r="14" spans="1:34" ht="30" customHeight="1">
      <c r="B14" s="5949">
        <v>4</v>
      </c>
      <c r="C14" s="1257" t="s">
        <v>3245</v>
      </c>
      <c r="D14" s="5950" t="s">
        <v>3246</v>
      </c>
      <c r="E14" s="2033" t="s">
        <v>3247</v>
      </c>
      <c r="F14" s="9"/>
      <c r="G14" s="1256">
        <v>2</v>
      </c>
      <c r="H14" s="1257" t="s">
        <v>3248</v>
      </c>
      <c r="I14" s="5955" t="s">
        <v>3249</v>
      </c>
      <c r="J14" s="1261" t="s">
        <v>3250</v>
      </c>
      <c r="L14" s="5946">
        <f t="shared" si="8"/>
        <v>5</v>
      </c>
      <c r="M14" s="1244" t="s">
        <v>3203</v>
      </c>
      <c r="N14" s="54" t="s">
        <v>3204</v>
      </c>
      <c r="O14" s="1247" t="s">
        <v>3205</v>
      </c>
      <c r="P14" s="1247" t="s">
        <v>3206</v>
      </c>
      <c r="Q14" s="1247"/>
      <c r="R14" s="5954">
        <f t="shared" ref="R14:R18" si="9">R13+1</f>
        <v>3</v>
      </c>
      <c r="S14" s="2032" t="s">
        <v>3265</v>
      </c>
      <c r="T14" s="1239" t="s">
        <v>3266</v>
      </c>
      <c r="U14" s="5909" t="s">
        <v>3267</v>
      </c>
      <c r="W14" s="5937">
        <f t="shared" ref="W14:W40" si="10">W13+1</f>
        <v>3</v>
      </c>
      <c r="X14" s="1259" t="s">
        <v>3268</v>
      </c>
      <c r="Y14" s="1260" t="s">
        <v>3269</v>
      </c>
      <c r="Z14" s="1263" t="s">
        <v>3270</v>
      </c>
      <c r="AA14" s="1260" t="s">
        <v>3271</v>
      </c>
      <c r="AB14" s="1260" t="s">
        <v>3272</v>
      </c>
      <c r="AC14" s="1260" t="s">
        <v>3273</v>
      </c>
      <c r="AD14" s="1259" t="s">
        <v>3268</v>
      </c>
      <c r="AF14" s="3">
        <v>1</v>
      </c>
    </row>
    <row r="15" spans="1:34" ht="30" customHeight="1">
      <c r="B15" s="5949">
        <v>5</v>
      </c>
      <c r="C15" s="1257" t="s">
        <v>3274</v>
      </c>
      <c r="D15" s="5950" t="s">
        <v>3275</v>
      </c>
      <c r="E15" s="2033" t="s">
        <v>3276</v>
      </c>
      <c r="F15" s="9"/>
      <c r="G15" s="1256">
        <v>3</v>
      </c>
      <c r="H15" s="1257" t="s">
        <v>3277</v>
      </c>
      <c r="I15" s="5955" t="s">
        <v>3278</v>
      </c>
      <c r="J15" s="1261" t="s">
        <v>3279</v>
      </c>
      <c r="L15" s="5946">
        <f t="shared" si="8"/>
        <v>6</v>
      </c>
      <c r="M15" s="1244" t="s">
        <v>3232</v>
      </c>
      <c r="N15" s="54" t="s">
        <v>3233</v>
      </c>
      <c r="O15" s="54" t="s">
        <v>3234</v>
      </c>
      <c r="P15" s="1247" t="s">
        <v>3235</v>
      </c>
      <c r="Q15" s="1247"/>
      <c r="R15" s="5954">
        <f t="shared" si="9"/>
        <v>4</v>
      </c>
      <c r="S15" s="2032" t="s">
        <v>3289</v>
      </c>
      <c r="T15" s="1239" t="s">
        <v>3290</v>
      </c>
      <c r="U15" s="5909" t="s">
        <v>3291</v>
      </c>
      <c r="W15" s="5937">
        <f t="shared" si="10"/>
        <v>4</v>
      </c>
      <c r="X15" s="1259" t="s">
        <v>3292</v>
      </c>
      <c r="Y15" s="1260" t="s">
        <v>3293</v>
      </c>
      <c r="Z15" s="1260" t="s">
        <v>3294</v>
      </c>
      <c r="AA15" s="1260" t="s">
        <v>3295</v>
      </c>
      <c r="AB15" s="1260" t="s">
        <v>3296</v>
      </c>
      <c r="AC15" s="1260" t="s">
        <v>3297</v>
      </c>
      <c r="AD15" s="1259" t="s">
        <v>3292</v>
      </c>
      <c r="AF15" s="3">
        <v>1</v>
      </c>
    </row>
    <row r="16" spans="1:34" ht="30" customHeight="1">
      <c r="B16" s="5949">
        <v>6</v>
      </c>
      <c r="C16" s="1257" t="s">
        <v>3298</v>
      </c>
      <c r="D16" s="5950" t="s">
        <v>3299</v>
      </c>
      <c r="E16" s="2033" t="s">
        <v>3300</v>
      </c>
      <c r="F16" s="9"/>
      <c r="G16" s="1256">
        <v>4</v>
      </c>
      <c r="H16" s="1257" t="s">
        <v>3301</v>
      </c>
      <c r="I16" s="5955" t="s">
        <v>3302</v>
      </c>
      <c r="J16" s="1261" t="s">
        <v>3303</v>
      </c>
      <c r="L16" s="5946">
        <f t="shared" si="8"/>
        <v>7</v>
      </c>
      <c r="M16" s="1244" t="s">
        <v>3262</v>
      </c>
      <c r="N16" s="54" t="s">
        <v>3263</v>
      </c>
      <c r="O16" s="54" t="s">
        <v>3264</v>
      </c>
      <c r="P16" s="1247" t="s">
        <v>3166</v>
      </c>
      <c r="Q16" s="1247"/>
      <c r="R16" s="5954">
        <f t="shared" si="9"/>
        <v>5</v>
      </c>
      <c r="S16" s="2032" t="s">
        <v>3320</v>
      </c>
      <c r="T16" s="1239" t="s">
        <v>3321</v>
      </c>
      <c r="U16" s="5909" t="s">
        <v>3322</v>
      </c>
      <c r="W16" s="5937">
        <f t="shared" si="10"/>
        <v>5</v>
      </c>
      <c r="X16" s="1259" t="s">
        <v>3323</v>
      </c>
      <c r="Y16" s="1260" t="s">
        <v>3324</v>
      </c>
      <c r="Z16" s="1260" t="s">
        <v>3325</v>
      </c>
      <c r="AA16" s="1260" t="s">
        <v>3326</v>
      </c>
      <c r="AB16" s="1260" t="s">
        <v>3327</v>
      </c>
      <c r="AC16" s="1260" t="s">
        <v>3328</v>
      </c>
      <c r="AD16" s="1259" t="s">
        <v>3323</v>
      </c>
      <c r="AF16" s="3">
        <v>1</v>
      </c>
    </row>
    <row r="17" spans="2:32" ht="30" customHeight="1">
      <c r="B17" s="5949">
        <v>7</v>
      </c>
      <c r="C17" s="1257" t="s">
        <v>3329</v>
      </c>
      <c r="D17" s="5950" t="s">
        <v>3330</v>
      </c>
      <c r="E17" s="2033" t="s">
        <v>3331</v>
      </c>
      <c r="F17" s="9"/>
      <c r="G17" s="1256">
        <v>5</v>
      </c>
      <c r="H17" s="1264" t="s">
        <v>3332</v>
      </c>
      <c r="I17" s="5955" t="s">
        <v>3333</v>
      </c>
      <c r="J17" s="1261" t="s">
        <v>3334</v>
      </c>
      <c r="L17" s="5946">
        <f t="shared" si="8"/>
        <v>8</v>
      </c>
      <c r="M17" s="1244" t="s">
        <v>3286</v>
      </c>
      <c r="N17" s="54" t="s">
        <v>3287</v>
      </c>
      <c r="O17" s="54" t="s">
        <v>3288</v>
      </c>
      <c r="P17" s="1247" t="s">
        <v>3185</v>
      </c>
      <c r="Q17" s="1247"/>
      <c r="R17" s="5954">
        <f t="shared" si="9"/>
        <v>6</v>
      </c>
      <c r="S17" s="2032" t="s">
        <v>3351</v>
      </c>
      <c r="T17" s="1239" t="s">
        <v>3352</v>
      </c>
      <c r="U17" s="5909" t="s">
        <v>3353</v>
      </c>
      <c r="W17" s="5937">
        <f t="shared" si="10"/>
        <v>6</v>
      </c>
      <c r="X17" s="1259" t="s">
        <v>3354</v>
      </c>
      <c r="Y17" s="1260" t="s">
        <v>3355</v>
      </c>
      <c r="Z17" s="1260" t="s">
        <v>3356</v>
      </c>
      <c r="AA17" s="1260" t="s">
        <v>3357</v>
      </c>
      <c r="AB17" s="1260" t="s">
        <v>3358</v>
      </c>
      <c r="AC17" s="1260" t="s">
        <v>3359</v>
      </c>
      <c r="AD17" s="1259" t="s">
        <v>3354</v>
      </c>
      <c r="AF17" s="3">
        <v>1</v>
      </c>
    </row>
    <row r="18" spans="2:32" ht="30" customHeight="1">
      <c r="B18" s="5949">
        <v>8</v>
      </c>
      <c r="C18" s="1291" t="s">
        <v>3360</v>
      </c>
      <c r="D18" s="5950" t="s">
        <v>3361</v>
      </c>
      <c r="E18" s="2033" t="s">
        <v>3362</v>
      </c>
      <c r="F18" s="9"/>
      <c r="G18" s="1264"/>
      <c r="H18" s="696"/>
      <c r="I18" s="5956"/>
      <c r="J18" s="1265"/>
      <c r="L18" s="5946">
        <f t="shared" si="8"/>
        <v>9</v>
      </c>
      <c r="M18" s="1244" t="s">
        <v>3316</v>
      </c>
      <c r="N18" s="54" t="s">
        <v>3317</v>
      </c>
      <c r="O18" s="54" t="s">
        <v>3318</v>
      </c>
      <c r="P18" s="1247" t="s">
        <v>3319</v>
      </c>
      <c r="Q18" s="1247"/>
      <c r="R18" s="5954">
        <f t="shared" si="9"/>
        <v>7</v>
      </c>
      <c r="S18" s="2032" t="s">
        <v>3378</v>
      </c>
      <c r="T18" s="1239" t="s">
        <v>3379</v>
      </c>
      <c r="U18" s="5909" t="s">
        <v>3380</v>
      </c>
      <c r="W18" s="5937">
        <f t="shared" si="10"/>
        <v>7</v>
      </c>
      <c r="X18" s="1259" t="s">
        <v>3381</v>
      </c>
      <c r="Y18" s="1260" t="s">
        <v>3382</v>
      </c>
      <c r="Z18" s="1260" t="s">
        <v>3383</v>
      </c>
      <c r="AA18" s="1260" t="s">
        <v>3384</v>
      </c>
      <c r="AB18" s="1260" t="s">
        <v>3385</v>
      </c>
      <c r="AC18" s="1260" t="s">
        <v>3386</v>
      </c>
      <c r="AD18" s="1259" t="s">
        <v>3381</v>
      </c>
      <c r="AF18" s="3">
        <v>1</v>
      </c>
    </row>
    <row r="19" spans="2:32" ht="30" customHeight="1">
      <c r="B19" s="5949">
        <v>9</v>
      </c>
      <c r="C19" s="1257" t="s">
        <v>3387</v>
      </c>
      <c r="D19" s="5950" t="s">
        <v>3388</v>
      </c>
      <c r="E19" s="2033" t="s">
        <v>3389</v>
      </c>
      <c r="F19" s="9"/>
      <c r="G19" s="2051" t="s">
        <v>16</v>
      </c>
      <c r="H19" s="2047" t="s">
        <v>3390</v>
      </c>
      <c r="I19" s="5953" t="s">
        <v>3391</v>
      </c>
      <c r="J19" s="2047" t="s">
        <v>3392</v>
      </c>
      <c r="L19" s="5946">
        <f t="shared" si="8"/>
        <v>10</v>
      </c>
      <c r="M19" s="1244" t="s">
        <v>3347</v>
      </c>
      <c r="N19" s="54" t="s">
        <v>3348</v>
      </c>
      <c r="O19" s="1247" t="s">
        <v>3349</v>
      </c>
      <c r="P19" s="1247" t="s">
        <v>3350</v>
      </c>
      <c r="Q19" s="1247"/>
      <c r="R19" s="5954"/>
      <c r="S19" s="2031" t="s">
        <v>1484</v>
      </c>
      <c r="T19" s="2023"/>
      <c r="U19" s="5951"/>
      <c r="W19" s="5937">
        <f t="shared" si="10"/>
        <v>8</v>
      </c>
      <c r="X19" s="1259" t="s">
        <v>3409</v>
      </c>
      <c r="Y19" s="1260" t="s">
        <v>3410</v>
      </c>
      <c r="Z19" s="1260" t="s">
        <v>3411</v>
      </c>
      <c r="AA19" s="1260" t="s">
        <v>3412</v>
      </c>
      <c r="AB19" s="1260" t="s">
        <v>3413</v>
      </c>
      <c r="AC19" s="1260" t="s">
        <v>3414</v>
      </c>
      <c r="AD19" s="1259" t="s">
        <v>3409</v>
      </c>
      <c r="AF19" s="3">
        <v>1</v>
      </c>
    </row>
    <row r="20" spans="2:32" ht="30" customHeight="1">
      <c r="B20" s="5949">
        <v>10</v>
      </c>
      <c r="C20" s="1257" t="s">
        <v>3415</v>
      </c>
      <c r="D20" s="5950" t="s">
        <v>3416</v>
      </c>
      <c r="E20" s="2033" t="s">
        <v>3417</v>
      </c>
      <c r="F20" s="9"/>
      <c r="G20" s="1256">
        <v>1</v>
      </c>
      <c r="H20" s="1266" t="s">
        <v>3418</v>
      </c>
      <c r="I20" s="5955" t="s">
        <v>3419</v>
      </c>
      <c r="J20" s="1261" t="s">
        <v>3420</v>
      </c>
      <c r="L20" s="5946">
        <f t="shared" si="8"/>
        <v>11</v>
      </c>
      <c r="M20" s="1244" t="s">
        <v>3374</v>
      </c>
      <c r="N20" s="54" t="s">
        <v>3375</v>
      </c>
      <c r="O20" s="54" t="s">
        <v>3376</v>
      </c>
      <c r="P20" s="1247" t="s">
        <v>3377</v>
      </c>
      <c r="Q20" s="1247"/>
      <c r="R20" s="5954">
        <v>1</v>
      </c>
      <c r="S20" s="2032" t="s">
        <v>3433</v>
      </c>
      <c r="T20" s="1239" t="s">
        <v>3434</v>
      </c>
      <c r="U20" s="5909" t="s">
        <v>3435</v>
      </c>
      <c r="W20" s="5937">
        <f t="shared" si="10"/>
        <v>9</v>
      </c>
      <c r="X20" s="1259" t="s">
        <v>3436</v>
      </c>
      <c r="Y20" s="1260" t="s">
        <v>3437</v>
      </c>
      <c r="Z20" s="1263" t="s">
        <v>3438</v>
      </c>
      <c r="AA20" s="1260" t="s">
        <v>3439</v>
      </c>
      <c r="AB20" s="1260" t="s">
        <v>3440</v>
      </c>
      <c r="AC20" s="1260" t="s">
        <v>3441</v>
      </c>
      <c r="AD20" s="1259" t="s">
        <v>3436</v>
      </c>
      <c r="AF20" s="3">
        <v>1</v>
      </c>
    </row>
    <row r="21" spans="2:32" ht="30" customHeight="1">
      <c r="B21" s="5949">
        <v>11</v>
      </c>
      <c r="C21" s="1257" t="s">
        <v>3442</v>
      </c>
      <c r="D21" s="5950" t="s">
        <v>3443</v>
      </c>
      <c r="E21" s="2033" t="s">
        <v>3444</v>
      </c>
      <c r="F21" s="9"/>
      <c r="G21" s="1256">
        <v>2</v>
      </c>
      <c r="H21" s="1266" t="s">
        <v>3445</v>
      </c>
      <c r="I21" s="5955" t="s">
        <v>3446</v>
      </c>
      <c r="J21" s="1261" t="s">
        <v>3447</v>
      </c>
      <c r="L21" s="5946">
        <f t="shared" si="8"/>
        <v>12</v>
      </c>
      <c r="M21" s="1244" t="s">
        <v>3405</v>
      </c>
      <c r="N21" s="54" t="s">
        <v>3406</v>
      </c>
      <c r="O21" s="1247" t="s">
        <v>3407</v>
      </c>
      <c r="P21" s="1247" t="s">
        <v>3408</v>
      </c>
      <c r="Q21" s="1247"/>
      <c r="R21" s="5954">
        <f>R20+1</f>
        <v>2</v>
      </c>
      <c r="S21" s="2033" t="s">
        <v>3464</v>
      </c>
      <c r="T21" s="1239" t="s">
        <v>3465</v>
      </c>
      <c r="U21" s="5909" t="s">
        <v>3466</v>
      </c>
      <c r="W21" s="5937">
        <f t="shared" si="10"/>
        <v>10</v>
      </c>
      <c r="X21" s="1259" t="s">
        <v>3467</v>
      </c>
      <c r="Y21" s="1260" t="s">
        <v>3468</v>
      </c>
      <c r="Z21" s="1263" t="s">
        <v>3469</v>
      </c>
      <c r="AA21" s="1260" t="s">
        <v>3470</v>
      </c>
      <c r="AB21" s="1260" t="s">
        <v>3471</v>
      </c>
      <c r="AC21" s="1260" t="s">
        <v>3472</v>
      </c>
      <c r="AD21" s="1259" t="s">
        <v>3467</v>
      </c>
      <c r="AF21" s="3">
        <v>1</v>
      </c>
    </row>
    <row r="22" spans="2:32" ht="30" customHeight="1">
      <c r="B22" s="5949">
        <v>12</v>
      </c>
      <c r="C22" s="1257" t="s">
        <v>3473</v>
      </c>
      <c r="D22" s="5950" t="s">
        <v>3474</v>
      </c>
      <c r="E22" s="2033" t="s">
        <v>3475</v>
      </c>
      <c r="F22" s="9"/>
      <c r="G22" s="1256">
        <v>3</v>
      </c>
      <c r="H22" s="1266" t="s">
        <v>3476</v>
      </c>
      <c r="I22" s="5955" t="s">
        <v>3477</v>
      </c>
      <c r="J22" s="1261" t="s">
        <v>3478</v>
      </c>
      <c r="L22" s="5946">
        <f t="shared" si="8"/>
        <v>13</v>
      </c>
      <c r="M22" s="1244" t="s">
        <v>3374</v>
      </c>
      <c r="N22" s="54" t="s">
        <v>3375</v>
      </c>
      <c r="O22" s="1247" t="s">
        <v>3376</v>
      </c>
      <c r="P22" s="1247" t="s">
        <v>3377</v>
      </c>
      <c r="Q22" s="1247"/>
      <c r="R22" s="5954">
        <f t="shared" ref="R22:R30" si="11">R21+1</f>
        <v>3</v>
      </c>
      <c r="S22" s="2033" t="s">
        <v>3491</v>
      </c>
      <c r="T22" s="1239" t="s">
        <v>3492</v>
      </c>
      <c r="U22" s="5909" t="s">
        <v>3493</v>
      </c>
      <c r="W22" s="5937">
        <f t="shared" si="10"/>
        <v>11</v>
      </c>
      <c r="X22" s="1259" t="s">
        <v>3494</v>
      </c>
      <c r="Y22" s="1260" t="s">
        <v>3495</v>
      </c>
      <c r="Z22" s="1260" t="s">
        <v>3496</v>
      </c>
      <c r="AA22" s="1260" t="s">
        <v>3497</v>
      </c>
      <c r="AB22" s="1260" t="s">
        <v>3498</v>
      </c>
      <c r="AC22" s="1260" t="s">
        <v>3499</v>
      </c>
      <c r="AD22" s="1259" t="s">
        <v>3494</v>
      </c>
      <c r="AF22" s="3">
        <v>1</v>
      </c>
    </row>
    <row r="23" spans="2:32" ht="30" customHeight="1">
      <c r="B23" s="5949">
        <v>13</v>
      </c>
      <c r="C23" s="1257" t="s">
        <v>3500</v>
      </c>
      <c r="D23" s="5950" t="s">
        <v>3501</v>
      </c>
      <c r="E23" s="2033" t="s">
        <v>3502</v>
      </c>
      <c r="F23" s="9"/>
      <c r="G23" s="1256">
        <v>4</v>
      </c>
      <c r="H23" s="1266" t="s">
        <v>3503</v>
      </c>
      <c r="I23" s="5955" t="s">
        <v>3504</v>
      </c>
      <c r="J23" s="1261" t="s">
        <v>3505</v>
      </c>
      <c r="L23" s="5946">
        <f t="shared" si="8"/>
        <v>14</v>
      </c>
      <c r="M23" s="1244" t="s">
        <v>3460</v>
      </c>
      <c r="N23" s="54" t="s">
        <v>3461</v>
      </c>
      <c r="O23" s="1247" t="s">
        <v>3462</v>
      </c>
      <c r="P23" s="1247" t="s">
        <v>3463</v>
      </c>
      <c r="Q23" s="1247"/>
      <c r="R23" s="5954">
        <f t="shared" si="11"/>
        <v>4</v>
      </c>
      <c r="S23" s="2032" t="s">
        <v>3521</v>
      </c>
      <c r="T23" s="1239" t="s">
        <v>3522</v>
      </c>
      <c r="U23" s="5909" t="s">
        <v>3523</v>
      </c>
      <c r="W23" s="5937">
        <f t="shared" si="10"/>
        <v>12</v>
      </c>
      <c r="X23" s="1259" t="s">
        <v>3524</v>
      </c>
      <c r="Y23" s="1260" t="s">
        <v>3525</v>
      </c>
      <c r="Z23" s="1260" t="s">
        <v>3526</v>
      </c>
      <c r="AA23" s="1260" t="s">
        <v>3527</v>
      </c>
      <c r="AB23" s="1260" t="s">
        <v>3528</v>
      </c>
      <c r="AC23" s="1260" t="s">
        <v>3529</v>
      </c>
      <c r="AD23" s="1259" t="s">
        <v>3524</v>
      </c>
      <c r="AF23" s="3">
        <v>1</v>
      </c>
    </row>
    <row r="24" spans="2:32" ht="30" customHeight="1">
      <c r="B24" s="5949">
        <v>14</v>
      </c>
      <c r="C24" s="1257" t="s">
        <v>3530</v>
      </c>
      <c r="D24" s="5950" t="s">
        <v>3531</v>
      </c>
      <c r="E24" s="2033" t="s">
        <v>3532</v>
      </c>
      <c r="F24" s="9"/>
      <c r="G24" s="1256">
        <v>5</v>
      </c>
      <c r="H24" s="1266" t="s">
        <v>3533</v>
      </c>
      <c r="I24" s="5955" t="s">
        <v>3534</v>
      </c>
      <c r="J24" s="1261" t="s">
        <v>3535</v>
      </c>
      <c r="L24" s="5946">
        <f t="shared" si="8"/>
        <v>15</v>
      </c>
      <c r="M24" s="1244" t="s">
        <v>3460</v>
      </c>
      <c r="N24" s="54" t="s">
        <v>3461</v>
      </c>
      <c r="O24" s="1247" t="s">
        <v>3462</v>
      </c>
      <c r="P24" s="1247" t="s">
        <v>3463</v>
      </c>
      <c r="Q24" s="1247"/>
      <c r="R24" s="5954">
        <f t="shared" si="11"/>
        <v>5</v>
      </c>
      <c r="S24" s="2032" t="s">
        <v>3551</v>
      </c>
      <c r="T24" s="1239" t="s">
        <v>3552</v>
      </c>
      <c r="U24" s="5909" t="s">
        <v>3553</v>
      </c>
      <c r="W24" s="5937">
        <f t="shared" si="10"/>
        <v>13</v>
      </c>
      <c r="X24" s="1259" t="s">
        <v>3554</v>
      </c>
      <c r="Y24" s="1260" t="s">
        <v>3555</v>
      </c>
      <c r="Z24" s="1263" t="s">
        <v>3556</v>
      </c>
      <c r="AA24" s="1260" t="s">
        <v>3557</v>
      </c>
      <c r="AB24" s="1260" t="s">
        <v>3558</v>
      </c>
      <c r="AC24" s="1260" t="s">
        <v>3559</v>
      </c>
      <c r="AD24" s="1259" t="s">
        <v>3554</v>
      </c>
      <c r="AF24" s="3">
        <v>1</v>
      </c>
    </row>
    <row r="25" spans="2:32" ht="30" customHeight="1">
      <c r="B25" s="5957">
        <v>15</v>
      </c>
      <c r="C25" s="5958" t="s">
        <v>3560</v>
      </c>
      <c r="D25" s="2054" t="s">
        <v>3561</v>
      </c>
      <c r="E25" s="2055" t="s">
        <v>3562</v>
      </c>
      <c r="F25" s="9"/>
      <c r="G25" s="1256">
        <v>6</v>
      </c>
      <c r="H25" s="1266" t="s">
        <v>3563</v>
      </c>
      <c r="I25" s="5955" t="s">
        <v>3564</v>
      </c>
      <c r="J25" s="1261" t="s">
        <v>3565</v>
      </c>
      <c r="L25" s="5946">
        <f t="shared" si="8"/>
        <v>16</v>
      </c>
      <c r="M25" s="1244" t="s">
        <v>3517</v>
      </c>
      <c r="N25" s="54" t="s">
        <v>3518</v>
      </c>
      <c r="O25" s="1247" t="s">
        <v>3519</v>
      </c>
      <c r="P25" s="1247" t="s">
        <v>3520</v>
      </c>
      <c r="Q25" s="1247"/>
      <c r="R25" s="5954">
        <f t="shared" si="11"/>
        <v>6</v>
      </c>
      <c r="S25" s="2032" t="s">
        <v>3582</v>
      </c>
      <c r="T25" s="1239" t="s">
        <v>3583</v>
      </c>
      <c r="U25" s="5909" t="s">
        <v>3584</v>
      </c>
      <c r="W25" s="5937">
        <f t="shared" si="10"/>
        <v>14</v>
      </c>
      <c r="X25" s="1259" t="s">
        <v>3585</v>
      </c>
      <c r="Y25" s="1260" t="s">
        <v>3586</v>
      </c>
      <c r="Z25" s="1260" t="s">
        <v>3587</v>
      </c>
      <c r="AA25" s="1260" t="s">
        <v>3588</v>
      </c>
      <c r="AB25" s="1260" t="s">
        <v>3589</v>
      </c>
      <c r="AC25" s="1260" t="s">
        <v>3590</v>
      </c>
      <c r="AD25" s="1259" t="s">
        <v>3585</v>
      </c>
      <c r="AF25" s="3">
        <v>1</v>
      </c>
    </row>
    <row r="26" spans="2:32" ht="30" customHeight="1">
      <c r="B26" s="1256"/>
      <c r="C26" s="1343" t="str">
        <f>IF(ISNUMBER(IFERROR(VALUE("0,5"),"")),"On this computer, type a COMMA as the decimal separator",IF(ISNUMBER(IFERROR(VALUE("0.5"),"")),"On this computer, type a POINT as the decimal separator","Unable to determine the decimal separator"))</f>
        <v>On this computer, type a POINT as the decimal separator</v>
      </c>
      <c r="D26" s="1341"/>
      <c r="E26" s="1341"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F26" s="9"/>
      <c r="G26" s="1256">
        <v>7</v>
      </c>
      <c r="H26" s="1266" t="s">
        <v>3591</v>
      </c>
      <c r="I26" s="5955" t="s">
        <v>3592</v>
      </c>
      <c r="J26" s="1261" t="s">
        <v>3593</v>
      </c>
      <c r="L26" s="5946">
        <f t="shared" si="8"/>
        <v>17</v>
      </c>
      <c r="M26" s="1244" t="s">
        <v>3547</v>
      </c>
      <c r="N26" s="54" t="s">
        <v>3548</v>
      </c>
      <c r="O26" s="1247" t="s">
        <v>3549</v>
      </c>
      <c r="P26" s="1247" t="s">
        <v>3550</v>
      </c>
      <c r="Q26" s="1247"/>
      <c r="R26" s="5954">
        <f t="shared" si="11"/>
        <v>7</v>
      </c>
      <c r="S26" s="2032" t="s">
        <v>3603</v>
      </c>
      <c r="T26" s="1239" t="s">
        <v>3604</v>
      </c>
      <c r="U26" s="5909" t="s">
        <v>3605</v>
      </c>
      <c r="W26" s="5937">
        <f t="shared" si="10"/>
        <v>15</v>
      </c>
      <c r="X26" s="1259" t="s">
        <v>3606</v>
      </c>
      <c r="Y26" s="1260" t="s">
        <v>3607</v>
      </c>
      <c r="Z26" s="1260" t="s">
        <v>3608</v>
      </c>
      <c r="AA26" s="1260" t="s">
        <v>3609</v>
      </c>
      <c r="AB26" s="1260" t="s">
        <v>3610</v>
      </c>
      <c r="AC26" s="1260" t="s">
        <v>3611</v>
      </c>
      <c r="AD26" s="1259" t="s">
        <v>3606</v>
      </c>
      <c r="AF26" s="3">
        <v>1</v>
      </c>
    </row>
    <row r="27" spans="2:32" ht="30" customHeight="1">
      <c r="B27" s="134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27" s="1257"/>
      <c r="D27" s="1267"/>
      <c r="E27" s="1267"/>
      <c r="F27" s="9"/>
      <c r="G27" s="1256">
        <v>8</v>
      </c>
      <c r="H27" s="1266" t="s">
        <v>3612</v>
      </c>
      <c r="I27" s="5955" t="s">
        <v>3613</v>
      </c>
      <c r="J27" s="1261" t="s">
        <v>3614</v>
      </c>
      <c r="L27" s="5946">
        <f t="shared" si="8"/>
        <v>18</v>
      </c>
      <c r="M27" s="1244" t="s">
        <v>3578</v>
      </c>
      <c r="N27" s="54" t="s">
        <v>3579</v>
      </c>
      <c r="O27" s="1247" t="s">
        <v>3580</v>
      </c>
      <c r="P27" s="1247" t="s">
        <v>3581</v>
      </c>
      <c r="Q27" s="1247"/>
      <c r="R27" s="5954">
        <f t="shared" si="11"/>
        <v>8</v>
      </c>
      <c r="S27" s="2032" t="s">
        <v>3629</v>
      </c>
      <c r="T27" s="1239" t="s">
        <v>3630</v>
      </c>
      <c r="U27" s="5909" t="s">
        <v>3631</v>
      </c>
      <c r="W27" s="5937">
        <f t="shared" si="10"/>
        <v>16</v>
      </c>
      <c r="X27" s="1259" t="s">
        <v>3632</v>
      </c>
      <c r="Y27" s="1260" t="s">
        <v>3633</v>
      </c>
      <c r="Z27" s="1263" t="s">
        <v>3634</v>
      </c>
      <c r="AA27" s="1260" t="s">
        <v>3635</v>
      </c>
      <c r="AB27" s="1260" t="s">
        <v>3636</v>
      </c>
      <c r="AC27" s="1260" t="s">
        <v>3637</v>
      </c>
      <c r="AD27" s="1259" t="s">
        <v>3632</v>
      </c>
      <c r="AF27" s="3">
        <v>1</v>
      </c>
    </row>
    <row r="28" spans="2:32" ht="30" customHeight="1">
      <c r="B28" s="1256"/>
      <c r="C28" s="1268"/>
      <c r="D28" s="2026" t="s">
        <v>3638</v>
      </c>
      <c r="E28" s="1269"/>
      <c r="F28" s="9"/>
      <c r="G28" s="1264"/>
      <c r="H28" s="696"/>
      <c r="I28" s="5956"/>
      <c r="J28" s="1265"/>
      <c r="L28" s="5946">
        <f t="shared" si="8"/>
        <v>19</v>
      </c>
      <c r="M28" s="1244" t="s">
        <v>3600</v>
      </c>
      <c r="N28" s="54" t="s">
        <v>3601</v>
      </c>
      <c r="O28" s="1247" t="s">
        <v>3602</v>
      </c>
      <c r="P28" s="1247" t="s">
        <v>3520</v>
      </c>
      <c r="Q28" s="1247"/>
      <c r="R28" s="5954">
        <f t="shared" si="11"/>
        <v>9</v>
      </c>
      <c r="S28" s="2032" t="s">
        <v>3649</v>
      </c>
      <c r="T28" s="1239" t="s">
        <v>3650</v>
      </c>
      <c r="U28" s="5909" t="s">
        <v>3651</v>
      </c>
      <c r="W28" s="5937">
        <f t="shared" si="10"/>
        <v>17</v>
      </c>
      <c r="X28" s="1259" t="s">
        <v>3652</v>
      </c>
      <c r="Y28" s="1260" t="s">
        <v>3653</v>
      </c>
      <c r="Z28" s="1263" t="s">
        <v>3654</v>
      </c>
      <c r="AA28" s="1260" t="s">
        <v>3655</v>
      </c>
      <c r="AB28" s="1260" t="s">
        <v>3656</v>
      </c>
      <c r="AC28" s="1260" t="s">
        <v>3657</v>
      </c>
      <c r="AD28" s="1259" t="s">
        <v>3652</v>
      </c>
      <c r="AF28" s="3">
        <v>1</v>
      </c>
    </row>
    <row r="29" spans="2:32" ht="30" customHeight="1">
      <c r="B29" s="1256"/>
      <c r="C29" s="1268"/>
      <c r="D29" s="2026" t="s">
        <v>3658</v>
      </c>
      <c r="E29" s="1269"/>
      <c r="F29" s="9"/>
      <c r="G29" s="2051" t="s">
        <v>2630</v>
      </c>
      <c r="H29" s="2047" t="s">
        <v>3659</v>
      </c>
      <c r="I29" s="5953" t="s">
        <v>3660</v>
      </c>
      <c r="J29" s="2047" t="s">
        <v>3661</v>
      </c>
      <c r="L29" s="5946">
        <f t="shared" si="8"/>
        <v>20</v>
      </c>
      <c r="M29" s="1244" t="s">
        <v>3626</v>
      </c>
      <c r="N29" s="54" t="s">
        <v>3627</v>
      </c>
      <c r="O29" s="1247" t="s">
        <v>3628</v>
      </c>
      <c r="P29" s="1247" t="s">
        <v>3550</v>
      </c>
      <c r="Q29" s="1247"/>
      <c r="R29" s="5954">
        <f t="shared" si="11"/>
        <v>10</v>
      </c>
      <c r="S29" s="2032" t="s">
        <v>3677</v>
      </c>
      <c r="T29" s="1239" t="s">
        <v>3678</v>
      </c>
      <c r="U29" s="5909" t="s">
        <v>3679</v>
      </c>
      <c r="W29" s="5937">
        <f t="shared" si="10"/>
        <v>18</v>
      </c>
      <c r="X29" s="1259" t="s">
        <v>3680</v>
      </c>
      <c r="Y29" s="1260" t="s">
        <v>3681</v>
      </c>
      <c r="Z29" s="1260" t="s">
        <v>3682</v>
      </c>
      <c r="AA29" s="1260" t="s">
        <v>3683</v>
      </c>
      <c r="AB29" s="1260" t="s">
        <v>3684</v>
      </c>
      <c r="AC29" s="1260" t="s">
        <v>3685</v>
      </c>
      <c r="AD29" s="1259" t="s">
        <v>3680</v>
      </c>
      <c r="AF29" s="3">
        <v>1</v>
      </c>
    </row>
    <row r="30" spans="2:32" ht="30" customHeight="1">
      <c r="B30" s="1256"/>
      <c r="E30" s="1271"/>
      <c r="F30" s="9"/>
      <c r="G30" s="1256">
        <v>1</v>
      </c>
      <c r="H30" s="1266" t="s">
        <v>3686</v>
      </c>
      <c r="I30" s="5955" t="s">
        <v>3687</v>
      </c>
      <c r="J30" s="1261" t="s">
        <v>3688</v>
      </c>
      <c r="L30" s="5946">
        <f t="shared" si="8"/>
        <v>21</v>
      </c>
      <c r="M30" s="1244" t="s">
        <v>3646</v>
      </c>
      <c r="N30" s="54" t="s">
        <v>3647</v>
      </c>
      <c r="O30" s="1247" t="s">
        <v>3648</v>
      </c>
      <c r="P30" s="1247" t="s">
        <v>3520</v>
      </c>
      <c r="Q30" s="1247"/>
      <c r="R30" s="5954">
        <f t="shared" si="11"/>
        <v>11</v>
      </c>
      <c r="S30" s="2032" t="s">
        <v>3705</v>
      </c>
      <c r="T30" s="1239" t="s">
        <v>3706</v>
      </c>
      <c r="U30" s="5909" t="s">
        <v>3707</v>
      </c>
      <c r="W30" s="5937">
        <f t="shared" si="10"/>
        <v>19</v>
      </c>
      <c r="X30" s="1259" t="s">
        <v>3708</v>
      </c>
      <c r="Y30" s="1260" t="s">
        <v>3709</v>
      </c>
      <c r="Z30" s="1260" t="s">
        <v>3710</v>
      </c>
      <c r="AA30" s="1260" t="s">
        <v>3711</v>
      </c>
      <c r="AB30" s="1260" t="s">
        <v>3712</v>
      </c>
      <c r="AC30" s="1260" t="s">
        <v>3713</v>
      </c>
      <c r="AD30" s="1259" t="s">
        <v>3708</v>
      </c>
      <c r="AF30" s="3">
        <v>1</v>
      </c>
    </row>
    <row r="31" spans="2:32" ht="30" customHeight="1">
      <c r="B31" s="1256"/>
      <c r="C31" s="1250"/>
      <c r="D31" s="1271"/>
      <c r="E31" s="1271"/>
      <c r="F31" s="9"/>
      <c r="G31" s="1256">
        <v>2</v>
      </c>
      <c r="H31" s="1266" t="s">
        <v>3714</v>
      </c>
      <c r="I31" s="5955" t="s">
        <v>3715</v>
      </c>
      <c r="J31" s="1261" t="s">
        <v>3716</v>
      </c>
      <c r="L31" s="5946">
        <f t="shared" si="8"/>
        <v>22</v>
      </c>
      <c r="M31" s="1244" t="s">
        <v>3673</v>
      </c>
      <c r="N31" s="54" t="s">
        <v>3674</v>
      </c>
      <c r="O31" s="1247" t="s">
        <v>3675</v>
      </c>
      <c r="P31" s="1247" t="s">
        <v>3676</v>
      </c>
      <c r="Q31" s="1247"/>
      <c r="R31" s="5954"/>
      <c r="S31" s="2031" t="s">
        <v>1485</v>
      </c>
      <c r="T31" s="2023"/>
      <c r="U31" s="5951"/>
      <c r="W31" s="5937">
        <f t="shared" si="10"/>
        <v>20</v>
      </c>
      <c r="X31" s="1259" t="s">
        <v>3732</v>
      </c>
      <c r="Y31" s="1260" t="s">
        <v>3733</v>
      </c>
      <c r="Z31" s="1263" t="s">
        <v>3734</v>
      </c>
      <c r="AA31" s="1260" t="s">
        <v>3735</v>
      </c>
      <c r="AB31" s="1260" t="s">
        <v>3736</v>
      </c>
      <c r="AC31" s="1260" t="s">
        <v>3737</v>
      </c>
      <c r="AD31" s="1259" t="s">
        <v>3732</v>
      </c>
      <c r="AF31" s="3">
        <v>1</v>
      </c>
    </row>
    <row r="32" spans="2:32" ht="30" customHeight="1">
      <c r="B32" s="1257"/>
      <c r="C32" s="1272" t="s">
        <v>3738</v>
      </c>
      <c r="D32" s="5959" t="s">
        <v>3739</v>
      </c>
      <c r="E32" s="2034" t="s">
        <v>3740</v>
      </c>
      <c r="F32" s="9"/>
      <c r="G32" s="1274"/>
      <c r="H32" s="7005" t="s">
        <v>3741</v>
      </c>
      <c r="I32" s="7006" t="s">
        <v>3742</v>
      </c>
      <c r="J32" s="7007" t="s">
        <v>3743</v>
      </c>
      <c r="L32" s="5946">
        <f t="shared" si="8"/>
        <v>23</v>
      </c>
      <c r="M32" s="1244" t="s">
        <v>3701</v>
      </c>
      <c r="N32" s="54" t="s">
        <v>3702</v>
      </c>
      <c r="O32" s="1247" t="s">
        <v>3703</v>
      </c>
      <c r="P32" s="1247" t="s">
        <v>3704</v>
      </c>
      <c r="Q32" s="1247"/>
      <c r="R32" s="5954">
        <v>1</v>
      </c>
      <c r="S32" s="2032" t="s">
        <v>3760</v>
      </c>
      <c r="T32" s="1239" t="s">
        <v>3761</v>
      </c>
      <c r="U32" s="5909" t="s">
        <v>3762</v>
      </c>
      <c r="W32" s="5937">
        <f t="shared" si="10"/>
        <v>21</v>
      </c>
      <c r="X32" s="1259" t="s">
        <v>3763</v>
      </c>
      <c r="Y32" s="1260" t="s">
        <v>3764</v>
      </c>
      <c r="Z32" s="1260" t="s">
        <v>3765</v>
      </c>
      <c r="AA32" s="1260" t="s">
        <v>3766</v>
      </c>
      <c r="AB32" s="1260" t="s">
        <v>3767</v>
      </c>
      <c r="AC32" s="1260" t="s">
        <v>3768</v>
      </c>
      <c r="AD32" s="1259" t="s">
        <v>3763</v>
      </c>
      <c r="AF32" s="3">
        <v>1</v>
      </c>
    </row>
    <row r="33" spans="2:32" ht="30" customHeight="1">
      <c r="B33" s="5960"/>
      <c r="C33" s="2042" t="s">
        <v>3769</v>
      </c>
      <c r="D33" s="2043" t="s">
        <v>3770</v>
      </c>
      <c r="E33" s="5961" t="s">
        <v>3771</v>
      </c>
      <c r="F33" s="9"/>
      <c r="G33" s="1274"/>
      <c r="H33" s="7005"/>
      <c r="I33" s="7006"/>
      <c r="J33" s="7007"/>
      <c r="L33" s="5946">
        <f t="shared" si="8"/>
        <v>24</v>
      </c>
      <c r="M33" s="1244" t="s">
        <v>3728</v>
      </c>
      <c r="N33" s="54" t="s">
        <v>3729</v>
      </c>
      <c r="O33" s="1247" t="s">
        <v>3730</v>
      </c>
      <c r="P33" s="1247" t="s">
        <v>3731</v>
      </c>
      <c r="Q33" s="1247"/>
      <c r="R33" s="5954">
        <f>R32+1</f>
        <v>2</v>
      </c>
      <c r="S33" s="2032" t="s">
        <v>3787</v>
      </c>
      <c r="T33" s="1239" t="s">
        <v>3788</v>
      </c>
      <c r="U33" s="5909" t="s">
        <v>3789</v>
      </c>
      <c r="W33" s="5937">
        <f t="shared" si="10"/>
        <v>22</v>
      </c>
      <c r="X33" s="1259" t="s">
        <v>3790</v>
      </c>
      <c r="Y33" s="1260" t="s">
        <v>3791</v>
      </c>
      <c r="Z33" s="1260" t="s">
        <v>3792</v>
      </c>
      <c r="AA33" s="1260" t="s">
        <v>3793</v>
      </c>
      <c r="AB33" s="1260" t="s">
        <v>3794</v>
      </c>
      <c r="AC33" s="1260" t="s">
        <v>3795</v>
      </c>
      <c r="AD33" s="1259" t="s">
        <v>3790</v>
      </c>
      <c r="AF33" s="3">
        <v>1</v>
      </c>
    </row>
    <row r="34" spans="2:32" ht="30" customHeight="1">
      <c r="B34" s="1256">
        <v>1</v>
      </c>
      <c r="C34" s="1257" t="s">
        <v>3796</v>
      </c>
      <c r="D34" s="5950" t="s">
        <v>3797</v>
      </c>
      <c r="E34" s="2033" t="s">
        <v>3798</v>
      </c>
      <c r="F34" s="9"/>
      <c r="G34" s="2051" t="s">
        <v>2631</v>
      </c>
      <c r="H34" s="2047" t="s">
        <v>3799</v>
      </c>
      <c r="I34" s="5953" t="s">
        <v>3800</v>
      </c>
      <c r="J34" s="2047" t="s">
        <v>3801</v>
      </c>
      <c r="L34" s="5946">
        <f t="shared" si="8"/>
        <v>25</v>
      </c>
      <c r="M34" s="1244" t="s">
        <v>3756</v>
      </c>
      <c r="N34" s="54" t="s">
        <v>3757</v>
      </c>
      <c r="O34" s="1247" t="s">
        <v>3758</v>
      </c>
      <c r="P34" s="1247" t="s">
        <v>3759</v>
      </c>
      <c r="Q34" s="1247"/>
      <c r="R34" s="5954">
        <f t="shared" ref="R34:R45" si="12">R33+1</f>
        <v>3</v>
      </c>
      <c r="S34" s="2032" t="s">
        <v>3818</v>
      </c>
      <c r="T34" s="1239" t="s">
        <v>3819</v>
      </c>
      <c r="U34" s="5909" t="s">
        <v>3820</v>
      </c>
      <c r="W34" s="5937">
        <f t="shared" si="10"/>
        <v>23</v>
      </c>
      <c r="X34" s="1259" t="s">
        <v>3821</v>
      </c>
      <c r="Y34" s="1260" t="s">
        <v>3822</v>
      </c>
      <c r="Z34" s="1260" t="s">
        <v>3823</v>
      </c>
      <c r="AA34" s="1260" t="s">
        <v>3824</v>
      </c>
      <c r="AB34" s="1260" t="s">
        <v>3825</v>
      </c>
      <c r="AC34" s="1260" t="s">
        <v>3826</v>
      </c>
      <c r="AD34" s="1259" t="s">
        <v>3821</v>
      </c>
      <c r="AF34" s="3">
        <v>1</v>
      </c>
    </row>
    <row r="35" spans="2:32" ht="30" customHeight="1">
      <c r="B35" s="1256">
        <v>2</v>
      </c>
      <c r="C35" s="1257" t="s">
        <v>3827</v>
      </c>
      <c r="D35" s="5950" t="s">
        <v>3828</v>
      </c>
      <c r="E35" s="2033" t="s">
        <v>3829</v>
      </c>
      <c r="F35" s="9"/>
      <c r="G35" s="1256">
        <v>1</v>
      </c>
      <c r="H35" s="1257" t="s">
        <v>3830</v>
      </c>
      <c r="I35" s="5955" t="s">
        <v>3831</v>
      </c>
      <c r="J35" s="1261" t="s">
        <v>3832</v>
      </c>
      <c r="L35" s="5946">
        <f t="shared" si="8"/>
        <v>26</v>
      </c>
      <c r="M35" s="1244" t="s">
        <v>3783</v>
      </c>
      <c r="N35" s="54" t="s">
        <v>3784</v>
      </c>
      <c r="O35" s="1247" t="s">
        <v>3785</v>
      </c>
      <c r="P35" s="1247" t="s">
        <v>3786</v>
      </c>
      <c r="Q35" s="1247"/>
      <c r="R35" s="5954">
        <f t="shared" si="12"/>
        <v>4</v>
      </c>
      <c r="S35" s="2032" t="s">
        <v>3843</v>
      </c>
      <c r="T35" s="1239" t="s">
        <v>3844</v>
      </c>
      <c r="U35" s="5909" t="s">
        <v>3845</v>
      </c>
      <c r="W35" s="5937">
        <f t="shared" si="10"/>
        <v>24</v>
      </c>
      <c r="X35" s="1259" t="s">
        <v>3846</v>
      </c>
      <c r="Y35" s="1260" t="s">
        <v>3847</v>
      </c>
      <c r="Z35" s="1260" t="s">
        <v>3848</v>
      </c>
      <c r="AA35" s="1260" t="s">
        <v>3849</v>
      </c>
      <c r="AB35" s="1260" t="s">
        <v>3850</v>
      </c>
      <c r="AC35" s="1260" t="s">
        <v>3851</v>
      </c>
      <c r="AD35" s="1259" t="s">
        <v>3846</v>
      </c>
      <c r="AF35" s="3">
        <v>1</v>
      </c>
    </row>
    <row r="36" spans="2:32" ht="30" customHeight="1">
      <c r="B36" s="1256">
        <v>3</v>
      </c>
      <c r="C36" s="1257" t="s">
        <v>3852</v>
      </c>
      <c r="D36" s="5950" t="s">
        <v>3853</v>
      </c>
      <c r="E36" s="2033" t="s">
        <v>3854</v>
      </c>
      <c r="F36" s="9"/>
      <c r="G36" s="1256">
        <v>2</v>
      </c>
      <c r="H36" s="1257" t="s">
        <v>3855</v>
      </c>
      <c r="I36" s="5955" t="s">
        <v>3856</v>
      </c>
      <c r="J36" s="1261" t="s">
        <v>3857</v>
      </c>
      <c r="L36" s="5946">
        <f t="shared" si="8"/>
        <v>27</v>
      </c>
      <c r="M36" s="1244" t="s">
        <v>3814</v>
      </c>
      <c r="N36" s="54" t="s">
        <v>3815</v>
      </c>
      <c r="O36" s="1247" t="s">
        <v>3816</v>
      </c>
      <c r="P36" s="1247" t="s">
        <v>3817</v>
      </c>
      <c r="Q36" s="1247"/>
      <c r="R36" s="5954">
        <f t="shared" si="12"/>
        <v>5</v>
      </c>
      <c r="S36" s="2032" t="s">
        <v>3873</v>
      </c>
      <c r="T36" s="1239" t="s">
        <v>3874</v>
      </c>
      <c r="U36" s="5909" t="s">
        <v>3875</v>
      </c>
      <c r="W36" s="5937">
        <f t="shared" si="10"/>
        <v>25</v>
      </c>
      <c r="X36" s="1259" t="s">
        <v>3876</v>
      </c>
      <c r="Y36" s="1260" t="s">
        <v>3877</v>
      </c>
      <c r="Z36" s="1260" t="s">
        <v>3878</v>
      </c>
      <c r="AA36" s="1260" t="s">
        <v>3879</v>
      </c>
      <c r="AB36" s="1260" t="s">
        <v>3880</v>
      </c>
      <c r="AC36" s="1260" t="s">
        <v>3881</v>
      </c>
      <c r="AD36" s="1259" t="s">
        <v>3876</v>
      </c>
      <c r="AF36" s="3">
        <v>1</v>
      </c>
    </row>
    <row r="37" spans="2:32" ht="30" customHeight="1">
      <c r="B37" s="1256">
        <v>4</v>
      </c>
      <c r="C37" s="1257" t="s">
        <v>3882</v>
      </c>
      <c r="D37" s="5950" t="s">
        <v>3883</v>
      </c>
      <c r="E37" s="2033" t="s">
        <v>3884</v>
      </c>
      <c r="F37" s="9"/>
      <c r="G37" s="1276"/>
      <c r="H37" s="7008" t="s">
        <v>3885</v>
      </c>
      <c r="I37" s="7009" t="s">
        <v>3886</v>
      </c>
      <c r="J37" s="7010" t="s">
        <v>3887</v>
      </c>
      <c r="L37" s="5946">
        <f t="shared" si="8"/>
        <v>28</v>
      </c>
      <c r="M37" s="1244" t="s">
        <v>3839</v>
      </c>
      <c r="N37" s="54" t="s">
        <v>3840</v>
      </c>
      <c r="O37" s="1247" t="s">
        <v>3841</v>
      </c>
      <c r="P37" s="1247" t="s">
        <v>3842</v>
      </c>
      <c r="Q37" s="1247"/>
      <c r="R37" s="5954">
        <f t="shared" si="12"/>
        <v>6</v>
      </c>
      <c r="S37" s="2032" t="s">
        <v>3902</v>
      </c>
      <c r="T37" s="1239" t="s">
        <v>3903</v>
      </c>
      <c r="U37" s="5909" t="s">
        <v>3904</v>
      </c>
      <c r="W37" s="5937">
        <f t="shared" si="10"/>
        <v>26</v>
      </c>
      <c r="X37" s="1259" t="s">
        <v>3905</v>
      </c>
      <c r="Y37" s="1260" t="s">
        <v>3906</v>
      </c>
      <c r="Z37" s="1263" t="s">
        <v>3907</v>
      </c>
      <c r="AA37" s="1260" t="s">
        <v>3908</v>
      </c>
      <c r="AB37" s="1260" t="s">
        <v>3909</v>
      </c>
      <c r="AC37" s="1260" t="s">
        <v>3910</v>
      </c>
      <c r="AD37" s="1259" t="s">
        <v>3905</v>
      </c>
      <c r="AF37" s="3">
        <v>1</v>
      </c>
    </row>
    <row r="38" spans="2:32" ht="30" customHeight="1">
      <c r="B38" s="1256">
        <v>5</v>
      </c>
      <c r="C38" s="1257" t="s">
        <v>3911</v>
      </c>
      <c r="D38" s="5950" t="s">
        <v>3912</v>
      </c>
      <c r="E38" s="2033" t="s">
        <v>3913</v>
      </c>
      <c r="F38" s="9"/>
      <c r="G38" s="1276"/>
      <c r="H38" s="7008"/>
      <c r="I38" s="7009"/>
      <c r="J38" s="7010"/>
      <c r="L38" s="5946">
        <f t="shared" si="8"/>
        <v>29</v>
      </c>
      <c r="M38" s="1244" t="s">
        <v>3869</v>
      </c>
      <c r="N38" s="54" t="s">
        <v>3870</v>
      </c>
      <c r="O38" s="1247" t="s">
        <v>3871</v>
      </c>
      <c r="P38" s="1247" t="s">
        <v>3872</v>
      </c>
      <c r="Q38" s="1247"/>
      <c r="R38" s="5954">
        <f t="shared" si="12"/>
        <v>7</v>
      </c>
      <c r="S38" s="2032" t="s">
        <v>3928</v>
      </c>
      <c r="T38" s="1239" t="s">
        <v>3929</v>
      </c>
      <c r="U38" s="5909" t="s">
        <v>3930</v>
      </c>
      <c r="W38" s="5937">
        <f t="shared" si="10"/>
        <v>27</v>
      </c>
      <c r="X38" s="1259" t="s">
        <v>3931</v>
      </c>
      <c r="Y38" s="1260" t="s">
        <v>3932</v>
      </c>
      <c r="Z38" s="1260" t="s">
        <v>3933</v>
      </c>
      <c r="AA38" s="1260" t="s">
        <v>3934</v>
      </c>
      <c r="AB38" s="1260" t="s">
        <v>3935</v>
      </c>
      <c r="AC38" s="1260" t="s">
        <v>3936</v>
      </c>
      <c r="AD38" s="1259" t="s">
        <v>3931</v>
      </c>
      <c r="AF38" s="3">
        <v>1</v>
      </c>
    </row>
    <row r="39" spans="2:32" ht="30" customHeight="1">
      <c r="B39" s="1256">
        <v>6</v>
      </c>
      <c r="C39" s="1257" t="s">
        <v>3937</v>
      </c>
      <c r="D39" s="5950" t="s">
        <v>3938</v>
      </c>
      <c r="E39" s="2033" t="s">
        <v>3939</v>
      </c>
      <c r="F39" s="9"/>
      <c r="G39" s="1256">
        <v>3</v>
      </c>
      <c r="H39" s="1257" t="s">
        <v>3940</v>
      </c>
      <c r="I39" s="5955" t="s">
        <v>3941</v>
      </c>
      <c r="J39" s="1261" t="s">
        <v>3942</v>
      </c>
      <c r="L39" s="5946">
        <f t="shared" si="8"/>
        <v>30</v>
      </c>
      <c r="M39" s="1244" t="s">
        <v>3899</v>
      </c>
      <c r="N39" s="54" t="s">
        <v>3900</v>
      </c>
      <c r="O39" s="1247" t="s">
        <v>3901</v>
      </c>
      <c r="P39" s="1247" t="s">
        <v>3786</v>
      </c>
      <c r="Q39" s="176"/>
      <c r="R39" s="5954">
        <f t="shared" si="12"/>
        <v>8</v>
      </c>
      <c r="S39" s="2032" t="s">
        <v>3950</v>
      </c>
      <c r="T39" s="1239" t="s">
        <v>3951</v>
      </c>
      <c r="U39" s="5909" t="s">
        <v>3952</v>
      </c>
      <c r="W39" s="5937">
        <f t="shared" si="10"/>
        <v>28</v>
      </c>
      <c r="X39" s="1259" t="s">
        <v>3953</v>
      </c>
      <c r="Y39" s="1260" t="s">
        <v>3954</v>
      </c>
      <c r="Z39" s="1263" t="s">
        <v>3955</v>
      </c>
      <c r="AA39" s="1260" t="s">
        <v>3956</v>
      </c>
      <c r="AB39" s="1260" t="s">
        <v>3957</v>
      </c>
      <c r="AC39" s="1260" t="s">
        <v>3958</v>
      </c>
      <c r="AD39" s="1259" t="s">
        <v>3953</v>
      </c>
      <c r="AF39" s="3">
        <v>1</v>
      </c>
    </row>
    <row r="40" spans="2:32" ht="30" customHeight="1">
      <c r="B40" s="1256">
        <v>7</v>
      </c>
      <c r="C40" s="1257" t="s">
        <v>3301</v>
      </c>
      <c r="D40" s="5950" t="s">
        <v>3959</v>
      </c>
      <c r="E40" s="2033" t="s">
        <v>3960</v>
      </c>
      <c r="F40" s="9"/>
      <c r="G40" s="1256">
        <v>4</v>
      </c>
      <c r="H40" s="1257" t="s">
        <v>3961</v>
      </c>
      <c r="I40" s="5955" t="s">
        <v>3962</v>
      </c>
      <c r="J40" s="1261" t="s">
        <v>3963</v>
      </c>
      <c r="L40" s="5946">
        <f t="shared" si="8"/>
        <v>31</v>
      </c>
      <c r="M40" s="1244" t="s">
        <v>3925</v>
      </c>
      <c r="N40" s="54" t="s">
        <v>3926</v>
      </c>
      <c r="O40" s="1247" t="s">
        <v>3927</v>
      </c>
      <c r="P40" s="1247" t="s">
        <v>3817</v>
      </c>
      <c r="Q40" s="176"/>
      <c r="R40" s="5954">
        <f t="shared" si="12"/>
        <v>9</v>
      </c>
      <c r="S40" s="2032" t="s">
        <v>3978</v>
      </c>
      <c r="T40" s="1239" t="s">
        <v>3979</v>
      </c>
      <c r="U40" s="5909" t="s">
        <v>3980</v>
      </c>
      <c r="W40" s="5937">
        <f t="shared" si="10"/>
        <v>29</v>
      </c>
      <c r="X40" s="1259" t="s">
        <v>3981</v>
      </c>
      <c r="Y40" s="1260" t="s">
        <v>3982</v>
      </c>
      <c r="Z40" s="1263" t="s">
        <v>3983</v>
      </c>
      <c r="AA40" s="1260" t="s">
        <v>3984</v>
      </c>
      <c r="AB40" s="1260" t="s">
        <v>3985</v>
      </c>
      <c r="AC40" s="1260" t="s">
        <v>3986</v>
      </c>
      <c r="AD40" s="1259" t="s">
        <v>3981</v>
      </c>
      <c r="AF40" s="3">
        <v>1</v>
      </c>
    </row>
    <row r="41" spans="2:32" ht="30" customHeight="1">
      <c r="B41" s="1256">
        <v>8</v>
      </c>
      <c r="C41" s="1257" t="s">
        <v>3987</v>
      </c>
      <c r="D41" s="5950" t="s">
        <v>3988</v>
      </c>
      <c r="E41" s="2033" t="s">
        <v>3989</v>
      </c>
      <c r="F41" s="9"/>
      <c r="G41" s="1256">
        <v>5</v>
      </c>
      <c r="H41" s="1257" t="s">
        <v>3990</v>
      </c>
      <c r="I41" s="5955" t="s">
        <v>3991</v>
      </c>
      <c r="J41" s="1261" t="s">
        <v>3992</v>
      </c>
      <c r="L41" s="5946"/>
      <c r="M41" s="1244"/>
      <c r="N41" s="54"/>
      <c r="O41" s="1247"/>
      <c r="P41" s="1247"/>
      <c r="Q41" s="176"/>
      <c r="R41" s="5954">
        <f t="shared" si="12"/>
        <v>10</v>
      </c>
      <c r="S41" s="2032" t="s">
        <v>4007</v>
      </c>
      <c r="T41" s="1239" t="s">
        <v>4008</v>
      </c>
      <c r="U41" s="5909" t="s">
        <v>4009</v>
      </c>
      <c r="W41" s="5904"/>
      <c r="X41" s="5952" t="s">
        <v>1484</v>
      </c>
      <c r="Y41" s="1238"/>
      <c r="Z41" s="1238"/>
      <c r="AA41" s="1238"/>
      <c r="AB41" s="1255"/>
      <c r="AC41" s="1255"/>
      <c r="AD41" s="5952" t="s">
        <v>1484</v>
      </c>
      <c r="AF41" s="3">
        <v>1</v>
      </c>
    </row>
    <row r="42" spans="2:32" ht="30" customHeight="1">
      <c r="B42" s="1256">
        <v>9</v>
      </c>
      <c r="C42" s="1257" t="s">
        <v>3248</v>
      </c>
      <c r="D42" s="5950" t="s">
        <v>4010</v>
      </c>
      <c r="E42" s="2033" t="s">
        <v>4011</v>
      </c>
      <c r="F42" s="9"/>
      <c r="G42" s="1256">
        <v>6</v>
      </c>
      <c r="H42" s="1257" t="s">
        <v>4012</v>
      </c>
      <c r="I42" s="5955" t="s">
        <v>4013</v>
      </c>
      <c r="J42" s="1261" t="s">
        <v>4014</v>
      </c>
      <c r="L42" s="5946">
        <v>1</v>
      </c>
      <c r="M42" s="1277" t="s">
        <v>3975</v>
      </c>
      <c r="N42" s="1278" t="s">
        <v>3976</v>
      </c>
      <c r="O42" s="1278" t="s">
        <v>3977</v>
      </c>
      <c r="P42" s="1247"/>
      <c r="Q42" s="176"/>
      <c r="R42" s="5954">
        <f t="shared" si="12"/>
        <v>11</v>
      </c>
      <c r="S42" s="2032" t="s">
        <v>4025</v>
      </c>
      <c r="T42" s="1239" t="s">
        <v>4026</v>
      </c>
      <c r="U42" s="5909" t="s">
        <v>4027</v>
      </c>
      <c r="W42" s="5937">
        <v>1</v>
      </c>
      <c r="X42" s="1259" t="s">
        <v>4028</v>
      </c>
      <c r="Y42" s="1260" t="s">
        <v>4029</v>
      </c>
      <c r="Z42" s="1263" t="s">
        <v>4030</v>
      </c>
      <c r="AA42" s="1260" t="s">
        <v>4031</v>
      </c>
      <c r="AB42" s="1260" t="s">
        <v>4032</v>
      </c>
      <c r="AC42" s="1260" t="s">
        <v>4033</v>
      </c>
      <c r="AD42" s="1259" t="s">
        <v>4028</v>
      </c>
      <c r="AF42" s="3">
        <v>1</v>
      </c>
    </row>
    <row r="43" spans="2:32" ht="30" customHeight="1">
      <c r="B43" s="1256"/>
      <c r="D43" s="5962"/>
      <c r="E43" s="2035"/>
      <c r="F43" s="9"/>
      <c r="G43" s="1256"/>
      <c r="H43" s="1264" t="s">
        <v>4034</v>
      </c>
      <c r="I43" s="5963" t="s">
        <v>4035</v>
      </c>
      <c r="J43" s="1279" t="s">
        <v>4036</v>
      </c>
      <c r="L43" s="5946">
        <f t="shared" ref="L43:L72" si="13">L42+1</f>
        <v>2</v>
      </c>
      <c r="M43" s="1277" t="s">
        <v>4004</v>
      </c>
      <c r="N43" s="1278" t="s">
        <v>4005</v>
      </c>
      <c r="O43" s="1278" t="s">
        <v>4006</v>
      </c>
      <c r="P43" s="1247"/>
      <c r="Q43" s="176"/>
      <c r="R43" s="5954">
        <f t="shared" si="12"/>
        <v>12</v>
      </c>
      <c r="S43" s="2032" t="s">
        <v>4052</v>
      </c>
      <c r="T43" s="1239" t="s">
        <v>4053</v>
      </c>
      <c r="U43" s="5909" t="s">
        <v>4054</v>
      </c>
      <c r="W43" s="5937">
        <f>W42+1</f>
        <v>2</v>
      </c>
      <c r="X43" s="1259" t="s">
        <v>4055</v>
      </c>
      <c r="Y43" s="1260" t="s">
        <v>4056</v>
      </c>
      <c r="Z43" s="1263" t="s">
        <v>4057</v>
      </c>
      <c r="AA43" s="1260" t="s">
        <v>4058</v>
      </c>
      <c r="AB43" s="1260" t="s">
        <v>4059</v>
      </c>
      <c r="AC43" s="1260" t="s">
        <v>4060</v>
      </c>
      <c r="AD43" s="1259" t="s">
        <v>4055</v>
      </c>
      <c r="AF43" s="3">
        <v>1</v>
      </c>
    </row>
    <row r="44" spans="2:32" ht="30" customHeight="1">
      <c r="B44" s="5960">
        <v>1</v>
      </c>
      <c r="C44" s="2042" t="s">
        <v>3390</v>
      </c>
      <c r="D44" s="2043" t="s">
        <v>3391</v>
      </c>
      <c r="E44" s="5961" t="s">
        <v>3392</v>
      </c>
      <c r="F44" s="9"/>
      <c r="G44" s="1256">
        <v>7</v>
      </c>
      <c r="H44" s="1257" t="s">
        <v>4061</v>
      </c>
      <c r="I44" s="5955" t="s">
        <v>4062</v>
      </c>
      <c r="J44" s="1261" t="s">
        <v>4063</v>
      </c>
      <c r="L44" s="5946">
        <f t="shared" si="13"/>
        <v>3</v>
      </c>
      <c r="M44" s="1277" t="s">
        <v>4022</v>
      </c>
      <c r="N44" s="1278" t="s">
        <v>4023</v>
      </c>
      <c r="O44" s="1278" t="s">
        <v>4024</v>
      </c>
      <c r="P44" s="1247"/>
      <c r="Q44" s="176"/>
      <c r="R44" s="5954">
        <f t="shared" si="12"/>
        <v>13</v>
      </c>
      <c r="S44" s="2032" t="s">
        <v>4078</v>
      </c>
      <c r="T44" s="1239" t="s">
        <v>4079</v>
      </c>
      <c r="U44" s="5909" t="s">
        <v>4080</v>
      </c>
      <c r="W44" s="5937">
        <f t="shared" ref="W44:W58" si="14">W43+1</f>
        <v>3</v>
      </c>
      <c r="X44" s="1259" t="s">
        <v>4081</v>
      </c>
      <c r="Y44" s="1260" t="s">
        <v>4082</v>
      </c>
      <c r="Z44" s="1263" t="s">
        <v>4083</v>
      </c>
      <c r="AA44" s="1260" t="s">
        <v>4084</v>
      </c>
      <c r="AB44" s="1260" t="s">
        <v>4085</v>
      </c>
      <c r="AC44" s="1260" t="s">
        <v>4086</v>
      </c>
      <c r="AD44" s="1259" t="s">
        <v>4081</v>
      </c>
      <c r="AF44" s="3">
        <v>1</v>
      </c>
    </row>
    <row r="45" spans="2:32" ht="30" customHeight="1">
      <c r="B45" s="1256">
        <v>2</v>
      </c>
      <c r="C45" s="1257" t="s">
        <v>4087</v>
      </c>
      <c r="D45" s="5950" t="s">
        <v>4088</v>
      </c>
      <c r="E45" s="2033" t="s">
        <v>4089</v>
      </c>
      <c r="F45" s="9"/>
      <c r="G45" s="1256">
        <v>8</v>
      </c>
      <c r="H45" s="1257" t="s">
        <v>4090</v>
      </c>
      <c r="I45" s="5955" t="s">
        <v>4091</v>
      </c>
      <c r="J45" s="1261" t="s">
        <v>4092</v>
      </c>
      <c r="L45" s="5946">
        <f t="shared" si="13"/>
        <v>4</v>
      </c>
      <c r="M45" s="1277" t="s">
        <v>4049</v>
      </c>
      <c r="N45" s="1278" t="s">
        <v>4050</v>
      </c>
      <c r="O45" s="1278" t="s">
        <v>4051</v>
      </c>
      <c r="P45" s="1247"/>
      <c r="Q45" s="176"/>
      <c r="R45" s="5954">
        <f t="shared" si="12"/>
        <v>14</v>
      </c>
      <c r="S45" s="2032" t="s">
        <v>4102</v>
      </c>
      <c r="T45" s="1239" t="s">
        <v>4103</v>
      </c>
      <c r="U45" s="5909" t="s">
        <v>4104</v>
      </c>
      <c r="W45" s="5937">
        <f t="shared" si="14"/>
        <v>4</v>
      </c>
      <c r="X45" s="1259" t="s">
        <v>4105</v>
      </c>
      <c r="Y45" s="1260" t="s">
        <v>4106</v>
      </c>
      <c r="Z45" s="1263" t="s">
        <v>4107</v>
      </c>
      <c r="AA45" s="1260" t="s">
        <v>4108</v>
      </c>
      <c r="AB45" s="1260" t="s">
        <v>4109</v>
      </c>
      <c r="AC45" s="1260" t="s">
        <v>4110</v>
      </c>
      <c r="AD45" s="1259" t="s">
        <v>4105</v>
      </c>
      <c r="AF45" s="3">
        <v>1</v>
      </c>
    </row>
    <row r="46" spans="2:32" ht="30" customHeight="1">
      <c r="B46" s="1256">
        <v>3</v>
      </c>
      <c r="C46" s="1257" t="s">
        <v>4111</v>
      </c>
      <c r="D46" s="5950" t="s">
        <v>4112</v>
      </c>
      <c r="E46" s="2033" t="s">
        <v>4113</v>
      </c>
      <c r="F46" s="9"/>
      <c r="G46" s="1276"/>
      <c r="H46" s="7000" t="s">
        <v>4114</v>
      </c>
      <c r="I46" s="7001" t="s">
        <v>4115</v>
      </c>
      <c r="J46" s="7000" t="s">
        <v>4116</v>
      </c>
      <c r="L46" s="5946">
        <f t="shared" si="13"/>
        <v>5</v>
      </c>
      <c r="M46" s="1277" t="s">
        <v>4075</v>
      </c>
      <c r="N46" s="1278" t="s">
        <v>4076</v>
      </c>
      <c r="O46" s="1278" t="s">
        <v>4077</v>
      </c>
      <c r="P46" s="1247"/>
      <c r="Q46" s="176"/>
      <c r="R46" s="5954"/>
      <c r="S46" s="2031" t="s">
        <v>1486</v>
      </c>
      <c r="T46" s="2023"/>
      <c r="U46" s="5951"/>
      <c r="W46" s="5937">
        <f t="shared" si="14"/>
        <v>5</v>
      </c>
      <c r="X46" s="1259" t="s">
        <v>4131</v>
      </c>
      <c r="Y46" s="1260" t="s">
        <v>4132</v>
      </c>
      <c r="Z46" s="1263" t="s">
        <v>4133</v>
      </c>
      <c r="AA46" s="1260" t="s">
        <v>4134</v>
      </c>
      <c r="AB46" s="1260" t="s">
        <v>4135</v>
      </c>
      <c r="AC46" s="1260" t="s">
        <v>4136</v>
      </c>
      <c r="AD46" s="1259" t="s">
        <v>4131</v>
      </c>
      <c r="AF46" s="3">
        <v>1</v>
      </c>
    </row>
    <row r="47" spans="2:32" ht="30" customHeight="1">
      <c r="B47" s="1256">
        <v>4</v>
      </c>
      <c r="C47" s="1257" t="s">
        <v>4137</v>
      </c>
      <c r="D47" s="5950" t="s">
        <v>4138</v>
      </c>
      <c r="E47" s="2033" t="s">
        <v>4139</v>
      </c>
      <c r="F47" s="9"/>
      <c r="G47" s="1276"/>
      <c r="H47" s="7000"/>
      <c r="I47" s="7001"/>
      <c r="J47" s="7000"/>
      <c r="L47" s="5946">
        <f t="shared" si="13"/>
        <v>6</v>
      </c>
      <c r="M47" s="1277" t="s">
        <v>4099</v>
      </c>
      <c r="N47" s="1278" t="s">
        <v>4100</v>
      </c>
      <c r="O47" s="1278" t="s">
        <v>4101</v>
      </c>
      <c r="P47" s="1247"/>
      <c r="Q47" s="176"/>
      <c r="R47" s="5954">
        <v>1</v>
      </c>
      <c r="S47" s="2032" t="s">
        <v>4143</v>
      </c>
      <c r="T47" s="1239" t="s">
        <v>4144</v>
      </c>
      <c r="U47" s="5909" t="s">
        <v>4145</v>
      </c>
      <c r="W47" s="5937">
        <f t="shared" si="14"/>
        <v>6</v>
      </c>
      <c r="X47" s="1259" t="s">
        <v>4146</v>
      </c>
      <c r="Y47" s="1260" t="s">
        <v>4147</v>
      </c>
      <c r="Z47" s="1263" t="s">
        <v>4148</v>
      </c>
      <c r="AA47" s="1260" t="s">
        <v>4149</v>
      </c>
      <c r="AB47" s="1260" t="s">
        <v>4150</v>
      </c>
      <c r="AC47" s="1260" t="s">
        <v>4151</v>
      </c>
      <c r="AD47" s="1259" t="s">
        <v>4146</v>
      </c>
      <c r="AF47" s="3">
        <v>1</v>
      </c>
    </row>
    <row r="48" spans="2:32" ht="30" customHeight="1">
      <c r="B48" s="1256">
        <v>5</v>
      </c>
      <c r="C48" s="1257" t="s">
        <v>4152</v>
      </c>
      <c r="D48" s="5950" t="s">
        <v>4153</v>
      </c>
      <c r="E48" s="2033" t="s">
        <v>4154</v>
      </c>
      <c r="F48" s="9"/>
      <c r="G48" s="1257"/>
      <c r="H48" s="1257" t="s">
        <v>4155</v>
      </c>
      <c r="I48" s="5955" t="s">
        <v>4156</v>
      </c>
      <c r="J48" s="1261" t="s">
        <v>4157</v>
      </c>
      <c r="L48" s="5946">
        <f t="shared" si="13"/>
        <v>7</v>
      </c>
      <c r="M48" s="1277" t="s">
        <v>4128</v>
      </c>
      <c r="N48" s="1278" t="s">
        <v>4129</v>
      </c>
      <c r="O48" s="1278" t="s">
        <v>4130</v>
      </c>
      <c r="P48" s="1247"/>
      <c r="Q48" s="176"/>
      <c r="R48" s="5954">
        <f>R47+1</f>
        <v>2</v>
      </c>
      <c r="S48" s="2032" t="s">
        <v>4172</v>
      </c>
      <c r="T48" s="1239" t="s">
        <v>4173</v>
      </c>
      <c r="U48" s="5909" t="s">
        <v>4174</v>
      </c>
      <c r="W48" s="5937">
        <f t="shared" si="14"/>
        <v>7</v>
      </c>
      <c r="X48" s="1259" t="s">
        <v>4175</v>
      </c>
      <c r="Y48" s="1260" t="s">
        <v>4176</v>
      </c>
      <c r="Z48" s="1263" t="s">
        <v>4177</v>
      </c>
      <c r="AA48" s="1260" t="s">
        <v>4178</v>
      </c>
      <c r="AB48" s="1260" t="s">
        <v>4179</v>
      </c>
      <c r="AC48" s="1260" t="s">
        <v>4180</v>
      </c>
      <c r="AD48" s="1259" t="s">
        <v>4175</v>
      </c>
      <c r="AF48" s="3">
        <v>1</v>
      </c>
    </row>
    <row r="49" spans="2:32" ht="30" customHeight="1">
      <c r="B49" s="1256">
        <v>6</v>
      </c>
      <c r="C49" s="1257" t="s">
        <v>4181</v>
      </c>
      <c r="D49" s="5950" t="s">
        <v>4182</v>
      </c>
      <c r="E49" s="2033" t="s">
        <v>4183</v>
      </c>
      <c r="F49" s="9"/>
      <c r="G49" s="1256">
        <v>9</v>
      </c>
      <c r="H49" s="1257" t="s">
        <v>4184</v>
      </c>
      <c r="I49" s="5955" t="s">
        <v>4185</v>
      </c>
      <c r="J49" s="1261" t="s">
        <v>4186</v>
      </c>
      <c r="L49" s="5946">
        <f t="shared" si="13"/>
        <v>8</v>
      </c>
      <c r="M49" s="1277" t="s">
        <v>4140</v>
      </c>
      <c r="N49" s="1278" t="s">
        <v>4141</v>
      </c>
      <c r="O49" s="1278" t="s">
        <v>4142</v>
      </c>
      <c r="P49" s="1247"/>
      <c r="Q49" s="176"/>
      <c r="R49" s="5954">
        <f t="shared" ref="R49:R51" si="15">R48+1</f>
        <v>3</v>
      </c>
      <c r="S49" s="2032" t="s">
        <v>4201</v>
      </c>
      <c r="T49" s="1239" t="s">
        <v>4202</v>
      </c>
      <c r="U49" s="5909" t="s">
        <v>4203</v>
      </c>
      <c r="W49" s="5937">
        <f t="shared" si="14"/>
        <v>8</v>
      </c>
      <c r="X49" s="1259" t="s">
        <v>4204</v>
      </c>
      <c r="Y49" s="1260" t="s">
        <v>4205</v>
      </c>
      <c r="Z49" s="1263" t="s">
        <v>4206</v>
      </c>
      <c r="AA49" s="1260" t="s">
        <v>4207</v>
      </c>
      <c r="AB49" s="1260" t="s">
        <v>4208</v>
      </c>
      <c r="AC49" s="1260" t="s">
        <v>4209</v>
      </c>
      <c r="AD49" s="1259" t="s">
        <v>4204</v>
      </c>
      <c r="AF49" s="3">
        <v>1</v>
      </c>
    </row>
    <row r="50" spans="2:32" ht="30" customHeight="1">
      <c r="B50" s="1256">
        <v>7</v>
      </c>
      <c r="C50" s="1257" t="s">
        <v>4210</v>
      </c>
      <c r="D50" s="5950" t="s">
        <v>4211</v>
      </c>
      <c r="E50" s="2033" t="s">
        <v>4212</v>
      </c>
      <c r="F50" s="9"/>
      <c r="G50" s="1256">
        <v>10</v>
      </c>
      <c r="H50" s="1257" t="s">
        <v>4213</v>
      </c>
      <c r="I50" s="5955" t="s">
        <v>4214</v>
      </c>
      <c r="J50" s="1261" t="s">
        <v>4215</v>
      </c>
      <c r="L50" s="5946">
        <f t="shared" si="13"/>
        <v>9</v>
      </c>
      <c r="M50" s="1277" t="s">
        <v>4169</v>
      </c>
      <c r="N50" s="1278" t="s">
        <v>4170</v>
      </c>
      <c r="O50" s="1278" t="s">
        <v>4171</v>
      </c>
      <c r="P50" s="1247"/>
      <c r="Q50" s="176"/>
      <c r="R50" s="5954">
        <f t="shared" si="15"/>
        <v>4</v>
      </c>
      <c r="S50" s="2032" t="s">
        <v>4231</v>
      </c>
      <c r="T50" s="1239" t="s">
        <v>4232</v>
      </c>
      <c r="U50" s="5909" t="s">
        <v>4233</v>
      </c>
      <c r="W50" s="5937">
        <f t="shared" si="14"/>
        <v>9</v>
      </c>
      <c r="X50" s="1259" t="s">
        <v>4234</v>
      </c>
      <c r="Y50" s="1260" t="s">
        <v>4235</v>
      </c>
      <c r="Z50" s="1263" t="s">
        <v>4236</v>
      </c>
      <c r="AA50" s="1260" t="s">
        <v>4237</v>
      </c>
      <c r="AB50" s="1260" t="s">
        <v>4238</v>
      </c>
      <c r="AC50" s="1260" t="s">
        <v>4239</v>
      </c>
      <c r="AD50" s="1259" t="s">
        <v>4234</v>
      </c>
      <c r="AF50" s="3">
        <v>1</v>
      </c>
    </row>
    <row r="51" spans="2:32" ht="30" customHeight="1">
      <c r="B51" s="1256">
        <v>8</v>
      </c>
      <c r="C51" s="1257" t="s">
        <v>4240</v>
      </c>
      <c r="D51" s="5950" t="s">
        <v>4241</v>
      </c>
      <c r="E51" s="2033" t="s">
        <v>4242</v>
      </c>
      <c r="F51" s="9"/>
      <c r="G51" s="1256">
        <v>11</v>
      </c>
      <c r="H51" s="1257" t="s">
        <v>4243</v>
      </c>
      <c r="I51" s="5955" t="s">
        <v>4244</v>
      </c>
      <c r="J51" s="1261" t="s">
        <v>4245</v>
      </c>
      <c r="L51" s="5946">
        <f t="shared" si="13"/>
        <v>10</v>
      </c>
      <c r="M51" s="1277" t="s">
        <v>4198</v>
      </c>
      <c r="N51" s="1278" t="s">
        <v>4199</v>
      </c>
      <c r="O51" s="1278" t="s">
        <v>4200</v>
      </c>
      <c r="P51" s="1247"/>
      <c r="Q51" s="176"/>
      <c r="R51" s="5954">
        <f t="shared" si="15"/>
        <v>5</v>
      </c>
      <c r="S51" s="2032" t="s">
        <v>4256</v>
      </c>
      <c r="T51" s="1239" t="s">
        <v>4257</v>
      </c>
      <c r="U51" s="5909" t="s">
        <v>4258</v>
      </c>
      <c r="W51" s="5937">
        <f t="shared" si="14"/>
        <v>10</v>
      </c>
      <c r="X51" s="1259" t="s">
        <v>4259</v>
      </c>
      <c r="Y51" s="1260" t="s">
        <v>4260</v>
      </c>
      <c r="Z51" s="1263" t="s">
        <v>4261</v>
      </c>
      <c r="AA51" s="1260" t="s">
        <v>4262</v>
      </c>
      <c r="AB51" s="1260" t="s">
        <v>4263</v>
      </c>
      <c r="AC51" s="1260" t="s">
        <v>4264</v>
      </c>
      <c r="AD51" s="1259" t="s">
        <v>4259</v>
      </c>
      <c r="AF51" s="3">
        <v>1</v>
      </c>
    </row>
    <row r="52" spans="2:32" ht="30" customHeight="1">
      <c r="B52" s="1256">
        <v>9</v>
      </c>
      <c r="C52" s="1257" t="s">
        <v>4265</v>
      </c>
      <c r="D52" s="5950" t="s">
        <v>4266</v>
      </c>
      <c r="E52" s="2033" t="s">
        <v>4267</v>
      </c>
      <c r="F52" s="9"/>
      <c r="G52" s="1256">
        <v>12</v>
      </c>
      <c r="H52" s="1257" t="s">
        <v>4268</v>
      </c>
      <c r="I52" s="5956" t="s">
        <v>4269</v>
      </c>
      <c r="J52" s="1265" t="s">
        <v>4270</v>
      </c>
      <c r="L52" s="5946">
        <f t="shared" si="13"/>
        <v>11</v>
      </c>
      <c r="M52" s="1277" t="s">
        <v>4228</v>
      </c>
      <c r="N52" s="1278" t="s">
        <v>4229</v>
      </c>
      <c r="O52" s="1278" t="s">
        <v>4230</v>
      </c>
      <c r="P52" s="1247"/>
      <c r="Q52" s="176"/>
      <c r="R52" s="5954"/>
      <c r="S52" s="2031" t="s">
        <v>3639</v>
      </c>
      <c r="T52" s="2023"/>
      <c r="U52" s="5951"/>
      <c r="W52" s="5937">
        <f t="shared" si="14"/>
        <v>11</v>
      </c>
      <c r="X52" s="1259" t="s">
        <v>4283</v>
      </c>
      <c r="Y52" s="1260" t="s">
        <v>4284</v>
      </c>
      <c r="Z52" s="1263" t="s">
        <v>4285</v>
      </c>
      <c r="AA52" s="1260" t="s">
        <v>4286</v>
      </c>
      <c r="AB52" s="1260" t="s">
        <v>4287</v>
      </c>
      <c r="AC52" s="1260" t="s">
        <v>4288</v>
      </c>
      <c r="AD52" s="1259" t="s">
        <v>4283</v>
      </c>
      <c r="AF52" s="3">
        <v>1</v>
      </c>
    </row>
    <row r="53" spans="2:32" ht="30" customHeight="1">
      <c r="B53" s="1256">
        <v>10</v>
      </c>
      <c r="C53" s="1257" t="s">
        <v>4289</v>
      </c>
      <c r="D53" s="5950" t="s">
        <v>4290</v>
      </c>
      <c r="E53" s="2033" t="s">
        <v>4291</v>
      </c>
      <c r="F53" s="9"/>
      <c r="G53" s="1257"/>
      <c r="H53" s="696"/>
      <c r="I53" s="5956"/>
      <c r="J53" s="1265"/>
      <c r="L53" s="5946">
        <f t="shared" si="13"/>
        <v>12</v>
      </c>
      <c r="M53" s="1277" t="s">
        <v>4253</v>
      </c>
      <c r="N53" s="1278" t="s">
        <v>4254</v>
      </c>
      <c r="O53" s="1278" t="s">
        <v>4255</v>
      </c>
      <c r="P53" s="1247"/>
      <c r="Q53" s="176"/>
      <c r="R53" s="5954">
        <v>1</v>
      </c>
      <c r="S53" s="2032" t="s">
        <v>4301</v>
      </c>
      <c r="T53" s="1239" t="s">
        <v>4302</v>
      </c>
      <c r="U53" s="5909" t="s">
        <v>4303</v>
      </c>
      <c r="W53" s="5937">
        <f t="shared" si="14"/>
        <v>12</v>
      </c>
      <c r="X53" s="1259" t="s">
        <v>4304</v>
      </c>
      <c r="Y53" s="1260" t="s">
        <v>4305</v>
      </c>
      <c r="Z53" s="1263" t="s">
        <v>4306</v>
      </c>
      <c r="AA53" s="1260" t="s">
        <v>4307</v>
      </c>
      <c r="AB53" s="1260" t="s">
        <v>4308</v>
      </c>
      <c r="AC53" s="1260" t="s">
        <v>4309</v>
      </c>
      <c r="AD53" s="1259" t="s">
        <v>4304</v>
      </c>
      <c r="AF53" s="3">
        <v>1</v>
      </c>
    </row>
    <row r="54" spans="2:32" ht="30" customHeight="1">
      <c r="B54" s="1256"/>
      <c r="D54" s="5962"/>
      <c r="E54" s="2035"/>
      <c r="F54" s="9"/>
      <c r="G54" s="2051" t="s">
        <v>2632</v>
      </c>
      <c r="H54" s="2047" t="s">
        <v>4310</v>
      </c>
      <c r="I54" s="5953" t="s">
        <v>4311</v>
      </c>
      <c r="J54" s="2047" t="s">
        <v>4312</v>
      </c>
      <c r="L54" s="5946">
        <f t="shared" si="13"/>
        <v>13</v>
      </c>
      <c r="M54" s="1277" t="s">
        <v>4228</v>
      </c>
      <c r="N54" s="1278" t="s">
        <v>4229</v>
      </c>
      <c r="O54" s="1278" t="s">
        <v>4230</v>
      </c>
      <c r="P54" s="1247"/>
      <c r="Q54" s="176"/>
      <c r="R54" s="5954">
        <f>R53+1</f>
        <v>2</v>
      </c>
      <c r="S54" s="2032" t="s">
        <v>4325</v>
      </c>
      <c r="T54" s="1239" t="s">
        <v>4326</v>
      </c>
      <c r="U54" s="5909" t="s">
        <v>4327</v>
      </c>
      <c r="W54" s="5937">
        <f t="shared" si="14"/>
        <v>13</v>
      </c>
      <c r="X54" s="1259" t="s">
        <v>4328</v>
      </c>
      <c r="Y54" s="1260" t="s">
        <v>4329</v>
      </c>
      <c r="Z54" s="1263" t="s">
        <v>4330</v>
      </c>
      <c r="AA54" s="1260" t="s">
        <v>4331</v>
      </c>
      <c r="AB54" s="1260" t="s">
        <v>4332</v>
      </c>
      <c r="AC54" s="1260" t="s">
        <v>4333</v>
      </c>
      <c r="AD54" s="1259" t="s">
        <v>4328</v>
      </c>
      <c r="AF54" s="3">
        <v>1</v>
      </c>
    </row>
    <row r="55" spans="2:32" ht="30" customHeight="1">
      <c r="B55" s="5964"/>
      <c r="C55" s="2042" t="s">
        <v>4334</v>
      </c>
      <c r="D55" s="2043" t="s">
        <v>3391</v>
      </c>
      <c r="E55" s="5961" t="s">
        <v>3392</v>
      </c>
      <c r="F55" s="9"/>
      <c r="G55" s="1256">
        <v>1</v>
      </c>
      <c r="H55" s="1257" t="s">
        <v>4335</v>
      </c>
      <c r="I55" s="5955" t="s">
        <v>4336</v>
      </c>
      <c r="J55" s="1261" t="s">
        <v>4337</v>
      </c>
      <c r="L55" s="5946">
        <f t="shared" si="13"/>
        <v>14</v>
      </c>
      <c r="M55" s="1277" t="s">
        <v>4298</v>
      </c>
      <c r="N55" s="1278" t="s">
        <v>4299</v>
      </c>
      <c r="O55" s="1278" t="s">
        <v>4300</v>
      </c>
      <c r="P55" s="1247"/>
      <c r="Q55" s="176"/>
      <c r="R55" s="5954">
        <f t="shared" ref="R55:R56" si="16">R54+1</f>
        <v>3</v>
      </c>
      <c r="S55" s="2032" t="s">
        <v>4352</v>
      </c>
      <c r="T55" s="1239" t="s">
        <v>4353</v>
      </c>
      <c r="U55" s="5909" t="s">
        <v>4354</v>
      </c>
      <c r="W55" s="5937">
        <f t="shared" si="14"/>
        <v>14</v>
      </c>
      <c r="X55" s="1259" t="s">
        <v>4355</v>
      </c>
      <c r="Y55" s="1260" t="s">
        <v>4356</v>
      </c>
      <c r="Z55" s="1263" t="s">
        <v>4357</v>
      </c>
      <c r="AA55" s="1260" t="s">
        <v>4358</v>
      </c>
      <c r="AB55" s="1260" t="s">
        <v>4359</v>
      </c>
      <c r="AC55" s="1260" t="s">
        <v>4360</v>
      </c>
      <c r="AD55" s="1259" t="s">
        <v>4355</v>
      </c>
      <c r="AF55" s="3">
        <v>1</v>
      </c>
    </row>
    <row r="56" spans="2:32" ht="30" customHeight="1">
      <c r="B56" s="1256">
        <v>1</v>
      </c>
      <c r="C56" s="1257" t="s">
        <v>4361</v>
      </c>
      <c r="D56" s="5950" t="s">
        <v>4362</v>
      </c>
      <c r="E56" s="2033" t="s">
        <v>4363</v>
      </c>
      <c r="F56" s="9"/>
      <c r="G56" s="1256">
        <v>2</v>
      </c>
      <c r="H56" s="1257" t="s">
        <v>4364</v>
      </c>
      <c r="I56" s="5955" t="s">
        <v>4365</v>
      </c>
      <c r="J56" s="1261" t="s">
        <v>4366</v>
      </c>
      <c r="L56" s="5946">
        <f t="shared" si="13"/>
        <v>15</v>
      </c>
      <c r="M56" s="1277" t="s">
        <v>4324</v>
      </c>
      <c r="N56" s="1278" t="s">
        <v>4299</v>
      </c>
      <c r="O56" s="1278" t="s">
        <v>4300</v>
      </c>
      <c r="P56" s="1247"/>
      <c r="Q56" s="176"/>
      <c r="R56" s="5954">
        <f t="shared" si="16"/>
        <v>4</v>
      </c>
      <c r="S56" s="2032" t="s">
        <v>4382</v>
      </c>
      <c r="T56" s="1239" t="s">
        <v>4383</v>
      </c>
      <c r="U56" s="5909" t="s">
        <v>4384</v>
      </c>
      <c r="W56" s="5937">
        <f t="shared" si="14"/>
        <v>15</v>
      </c>
      <c r="X56" s="1259" t="s">
        <v>4385</v>
      </c>
      <c r="Y56" s="1260" t="s">
        <v>4386</v>
      </c>
      <c r="Z56" s="1263" t="s">
        <v>4387</v>
      </c>
      <c r="AA56" s="1260" t="s">
        <v>4388</v>
      </c>
      <c r="AB56" s="1260" t="s">
        <v>4389</v>
      </c>
      <c r="AC56" s="1260" t="s">
        <v>4390</v>
      </c>
      <c r="AD56" s="1259" t="s">
        <v>4385</v>
      </c>
      <c r="AF56" s="3">
        <v>1</v>
      </c>
    </row>
    <row r="57" spans="2:32" ht="30" customHeight="1">
      <c r="B57" s="1256">
        <v>2</v>
      </c>
      <c r="C57" s="1257" t="s">
        <v>4391</v>
      </c>
      <c r="D57" s="5950" t="s">
        <v>4392</v>
      </c>
      <c r="E57" s="2033" t="s">
        <v>4393</v>
      </c>
      <c r="F57" s="9"/>
      <c r="G57" s="1256">
        <v>3</v>
      </c>
      <c r="H57" s="1257" t="s">
        <v>4394</v>
      </c>
      <c r="I57" s="5955" t="s">
        <v>4395</v>
      </c>
      <c r="J57" s="1261" t="s">
        <v>4396</v>
      </c>
      <c r="L57" s="5946">
        <f t="shared" si="13"/>
        <v>16</v>
      </c>
      <c r="M57" s="1277" t="s">
        <v>4349</v>
      </c>
      <c r="N57" s="1278" t="s">
        <v>4350</v>
      </c>
      <c r="O57" s="1278" t="s">
        <v>4351</v>
      </c>
      <c r="P57" s="1247"/>
      <c r="Q57" s="176"/>
      <c r="R57" s="5954"/>
      <c r="S57" s="2031" t="s">
        <v>3083</v>
      </c>
      <c r="T57" s="2023"/>
      <c r="U57" s="5951"/>
      <c r="W57" s="5937">
        <f t="shared" si="14"/>
        <v>16</v>
      </c>
      <c r="X57" s="1259" t="s">
        <v>4411</v>
      </c>
      <c r="Y57" s="1260" t="s">
        <v>4412</v>
      </c>
      <c r="Z57" s="1263" t="s">
        <v>4413</v>
      </c>
      <c r="AA57" s="1260" t="s">
        <v>4414</v>
      </c>
      <c r="AB57" s="1260" t="s">
        <v>4415</v>
      </c>
      <c r="AC57" s="1260" t="s">
        <v>4416</v>
      </c>
      <c r="AD57" s="1259" t="s">
        <v>4411</v>
      </c>
      <c r="AF57" s="3">
        <v>1</v>
      </c>
    </row>
    <row r="58" spans="2:32" ht="30" customHeight="1">
      <c r="B58" s="1256">
        <v>3</v>
      </c>
      <c r="C58" s="1257" t="s">
        <v>4417</v>
      </c>
      <c r="D58" s="5950" t="s">
        <v>4418</v>
      </c>
      <c r="E58" s="2033" t="s">
        <v>4363</v>
      </c>
      <c r="F58" s="9"/>
      <c r="G58" s="1256">
        <v>4</v>
      </c>
      <c r="H58" s="1257" t="s">
        <v>4419</v>
      </c>
      <c r="I58" s="5955" t="s">
        <v>4420</v>
      </c>
      <c r="J58" s="1261" t="s">
        <v>4421</v>
      </c>
      <c r="L58" s="5946">
        <f t="shared" si="13"/>
        <v>17</v>
      </c>
      <c r="M58" s="1277" t="s">
        <v>4379</v>
      </c>
      <c r="N58" s="1278" t="s">
        <v>4380</v>
      </c>
      <c r="O58" s="1278" t="s">
        <v>4381</v>
      </c>
      <c r="P58" s="1247"/>
      <c r="Q58" s="176"/>
      <c r="R58" s="5954">
        <v>1</v>
      </c>
      <c r="S58" s="2032" t="s">
        <v>4436</v>
      </c>
      <c r="T58" s="1239" t="s">
        <v>4437</v>
      </c>
      <c r="U58" s="5909" t="s">
        <v>4438</v>
      </c>
      <c r="W58" s="5937">
        <f t="shared" si="14"/>
        <v>17</v>
      </c>
      <c r="X58" s="1259" t="s">
        <v>4439</v>
      </c>
      <c r="Y58" s="1260" t="s">
        <v>4440</v>
      </c>
      <c r="Z58" s="1263" t="s">
        <v>4441</v>
      </c>
      <c r="AA58" s="1260" t="s">
        <v>4442</v>
      </c>
      <c r="AB58" s="1260" t="s">
        <v>4443</v>
      </c>
      <c r="AC58" s="1260" t="s">
        <v>4444</v>
      </c>
      <c r="AD58" s="1259" t="s">
        <v>4439</v>
      </c>
      <c r="AF58" s="3">
        <v>1</v>
      </c>
    </row>
    <row r="59" spans="2:32" ht="30" customHeight="1">
      <c r="B59" s="1256"/>
      <c r="D59" s="5962"/>
      <c r="E59" s="2035"/>
      <c r="F59" s="9"/>
      <c r="G59" s="1256">
        <v>5</v>
      </c>
      <c r="H59" s="1257" t="s">
        <v>4445</v>
      </c>
      <c r="I59" s="5955" t="s">
        <v>4446</v>
      </c>
      <c r="J59" s="1261" t="s">
        <v>4447</v>
      </c>
      <c r="L59" s="5946">
        <f t="shared" si="13"/>
        <v>18</v>
      </c>
      <c r="M59" s="1277" t="s">
        <v>4408</v>
      </c>
      <c r="N59" s="1278" t="s">
        <v>4409</v>
      </c>
      <c r="O59" s="1278" t="s">
        <v>4410</v>
      </c>
      <c r="P59" s="1247"/>
      <c r="Q59" s="176"/>
      <c r="R59" s="5954">
        <f>R58+1</f>
        <v>2</v>
      </c>
      <c r="S59" s="2032" t="s">
        <v>4457</v>
      </c>
      <c r="T59" s="1239" t="s">
        <v>4458</v>
      </c>
      <c r="U59" s="5909" t="s">
        <v>4459</v>
      </c>
      <c r="W59" s="5904"/>
      <c r="X59" s="5952" t="s">
        <v>1485</v>
      </c>
      <c r="Y59" s="1238"/>
      <c r="Z59" s="1238"/>
      <c r="AA59" s="1238"/>
      <c r="AB59" s="1255"/>
      <c r="AC59" s="1255"/>
      <c r="AD59" s="5952" t="s">
        <v>1485</v>
      </c>
      <c r="AF59" s="3">
        <v>1</v>
      </c>
    </row>
    <row r="60" spans="2:32" ht="30" customHeight="1">
      <c r="B60" s="5964"/>
      <c r="C60" s="2042" t="s">
        <v>4460</v>
      </c>
      <c r="D60" s="2043" t="s">
        <v>4461</v>
      </c>
      <c r="E60" s="5961" t="s">
        <v>4462</v>
      </c>
      <c r="F60" s="9"/>
      <c r="G60" s="1257"/>
      <c r="H60" s="437"/>
      <c r="I60" s="5965"/>
      <c r="J60" s="229"/>
      <c r="L60" s="5946">
        <f t="shared" si="13"/>
        <v>19</v>
      </c>
      <c r="M60" s="1277" t="s">
        <v>4433</v>
      </c>
      <c r="N60" s="1278" t="s">
        <v>4434</v>
      </c>
      <c r="O60" s="1278" t="s">
        <v>4435</v>
      </c>
      <c r="P60" s="1247"/>
      <c r="Q60" s="176"/>
      <c r="R60" s="5954">
        <f t="shared" ref="R60:R64" si="17">R59+1</f>
        <v>3</v>
      </c>
      <c r="S60" s="2032" t="s">
        <v>4478</v>
      </c>
      <c r="T60" s="1239" t="s">
        <v>4479</v>
      </c>
      <c r="U60" s="5909" t="s">
        <v>4480</v>
      </c>
      <c r="W60" s="5937">
        <v>1</v>
      </c>
      <c r="X60" s="1259" t="s">
        <v>4481</v>
      </c>
      <c r="Y60" s="1260" t="s">
        <v>4482</v>
      </c>
      <c r="Z60" s="1260" t="s">
        <v>4483</v>
      </c>
      <c r="AA60" s="1260" t="s">
        <v>4484</v>
      </c>
      <c r="AB60" s="1260" t="s">
        <v>4485</v>
      </c>
      <c r="AC60" s="1260" t="s">
        <v>4486</v>
      </c>
      <c r="AD60" s="1259" t="s">
        <v>4481</v>
      </c>
      <c r="AF60" s="3">
        <v>1</v>
      </c>
    </row>
    <row r="61" spans="2:32" ht="30" customHeight="1">
      <c r="B61" s="1256">
        <v>1</v>
      </c>
      <c r="C61" s="1257" t="s">
        <v>4487</v>
      </c>
      <c r="D61" s="5950" t="s">
        <v>4488</v>
      </c>
      <c r="E61" s="2033" t="s">
        <v>4489</v>
      </c>
      <c r="F61" s="9"/>
      <c r="G61" s="2051" t="s">
        <v>2633</v>
      </c>
      <c r="H61" s="2047" t="s">
        <v>4490</v>
      </c>
      <c r="I61" s="5953" t="s">
        <v>4491</v>
      </c>
      <c r="J61" s="2047" t="s">
        <v>4492</v>
      </c>
      <c r="L61" s="5946">
        <f t="shared" si="13"/>
        <v>20</v>
      </c>
      <c r="M61" s="1277" t="s">
        <v>4454</v>
      </c>
      <c r="N61" s="1278" t="s">
        <v>4455</v>
      </c>
      <c r="O61" s="1278" t="s">
        <v>4456</v>
      </c>
      <c r="P61" s="1247"/>
      <c r="Q61" s="176"/>
      <c r="R61" s="5954">
        <f t="shared" si="17"/>
        <v>4</v>
      </c>
      <c r="S61" s="2032" t="s">
        <v>4507</v>
      </c>
      <c r="T61" s="1239" t="s">
        <v>4508</v>
      </c>
      <c r="U61" s="5909" t="s">
        <v>4509</v>
      </c>
      <c r="W61" s="5937">
        <f>W60+1</f>
        <v>2</v>
      </c>
      <c r="X61" s="1259" t="s">
        <v>4510</v>
      </c>
      <c r="Y61" s="1260" t="s">
        <v>4511</v>
      </c>
      <c r="Z61" s="1260" t="s">
        <v>4512</v>
      </c>
      <c r="AA61" s="1260" t="s">
        <v>4513</v>
      </c>
      <c r="AB61" s="1260" t="s">
        <v>4514</v>
      </c>
      <c r="AC61" s="1260" t="s">
        <v>4515</v>
      </c>
      <c r="AD61" s="1259" t="s">
        <v>4510</v>
      </c>
      <c r="AF61" s="3">
        <v>1</v>
      </c>
    </row>
    <row r="62" spans="2:32" ht="30" customHeight="1">
      <c r="B62" s="1256">
        <v>2</v>
      </c>
      <c r="C62" s="1257" t="s">
        <v>4516</v>
      </c>
      <c r="D62" s="5950" t="s">
        <v>4517</v>
      </c>
      <c r="E62" s="2033" t="s">
        <v>4518</v>
      </c>
      <c r="F62" s="9"/>
      <c r="G62" s="1256">
        <v>1</v>
      </c>
      <c r="H62" s="1257" t="s">
        <v>4519</v>
      </c>
      <c r="I62" s="5955" t="s">
        <v>4520</v>
      </c>
      <c r="J62" s="1261" t="s">
        <v>4521</v>
      </c>
      <c r="L62" s="5946">
        <f t="shared" si="13"/>
        <v>21</v>
      </c>
      <c r="M62" s="1277" t="s">
        <v>4475</v>
      </c>
      <c r="N62" s="1278" t="s">
        <v>4476</v>
      </c>
      <c r="O62" s="1278" t="s">
        <v>4477</v>
      </c>
      <c r="P62" s="1247"/>
      <c r="Q62" s="176"/>
      <c r="R62" s="5954">
        <f t="shared" si="17"/>
        <v>5</v>
      </c>
      <c r="S62" s="2032" t="s">
        <v>4532</v>
      </c>
      <c r="T62" s="1239" t="s">
        <v>4533</v>
      </c>
      <c r="U62" s="5909" t="s">
        <v>4534</v>
      </c>
      <c r="W62" s="5937">
        <f t="shared" ref="W62:W103" si="18">W61+1</f>
        <v>3</v>
      </c>
      <c r="X62" s="1259" t="s">
        <v>4535</v>
      </c>
      <c r="Y62" s="1260" t="s">
        <v>4536</v>
      </c>
      <c r="Z62" s="1260" t="s">
        <v>4537</v>
      </c>
      <c r="AA62" s="1260" t="s">
        <v>4538</v>
      </c>
      <c r="AB62" s="1260" t="s">
        <v>4539</v>
      </c>
      <c r="AC62" s="1260" t="s">
        <v>4540</v>
      </c>
      <c r="AD62" s="1259" t="s">
        <v>4535</v>
      </c>
      <c r="AF62" s="3">
        <v>1</v>
      </c>
    </row>
    <row r="63" spans="2:32" ht="30" customHeight="1">
      <c r="B63" s="1256">
        <v>3</v>
      </c>
      <c r="C63" s="1257" t="s">
        <v>4541</v>
      </c>
      <c r="D63" s="5950" t="s">
        <v>4542</v>
      </c>
      <c r="E63" s="2033" t="s">
        <v>4543</v>
      </c>
      <c r="F63" s="9"/>
      <c r="G63" s="1256">
        <v>2</v>
      </c>
      <c r="H63" s="1257" t="s">
        <v>4544</v>
      </c>
      <c r="I63" s="5955" t="s">
        <v>4545</v>
      </c>
      <c r="J63" s="1261" t="s">
        <v>4546</v>
      </c>
      <c r="L63" s="5946">
        <f t="shared" si="13"/>
        <v>22</v>
      </c>
      <c r="M63" s="1277" t="s">
        <v>4504</v>
      </c>
      <c r="N63" s="1278" t="s">
        <v>4505</v>
      </c>
      <c r="O63" s="1278" t="s">
        <v>4506</v>
      </c>
      <c r="P63" s="1247"/>
      <c r="Q63" s="176"/>
      <c r="R63" s="5954">
        <f t="shared" si="17"/>
        <v>6</v>
      </c>
      <c r="S63" s="2032" t="s">
        <v>4561</v>
      </c>
      <c r="T63" s="1239" t="s">
        <v>4562</v>
      </c>
      <c r="U63" s="5909" t="s">
        <v>4563</v>
      </c>
      <c r="W63" s="5937">
        <f t="shared" si="18"/>
        <v>4</v>
      </c>
      <c r="X63" s="1259" t="s">
        <v>4564</v>
      </c>
      <c r="Y63" s="1260" t="s">
        <v>4565</v>
      </c>
      <c r="Z63" s="1260" t="s">
        <v>4566</v>
      </c>
      <c r="AA63" s="1260" t="s">
        <v>4567</v>
      </c>
      <c r="AB63" s="1260" t="s">
        <v>4568</v>
      </c>
      <c r="AC63" s="1260" t="s">
        <v>4569</v>
      </c>
      <c r="AD63" s="1259" t="s">
        <v>4564</v>
      </c>
      <c r="AF63" s="3">
        <v>1</v>
      </c>
    </row>
    <row r="64" spans="2:32" ht="30" customHeight="1">
      <c r="B64" s="1256">
        <v>4</v>
      </c>
      <c r="C64" s="1257" t="s">
        <v>4570</v>
      </c>
      <c r="D64" s="5950" t="s">
        <v>4571</v>
      </c>
      <c r="E64" s="2033" t="s">
        <v>4572</v>
      </c>
      <c r="F64" s="9"/>
      <c r="G64" s="1256">
        <v>3</v>
      </c>
      <c r="H64" s="1257" t="s">
        <v>4573</v>
      </c>
      <c r="I64" s="5955" t="s">
        <v>4574</v>
      </c>
      <c r="J64" s="1261" t="s">
        <v>4575</v>
      </c>
      <c r="L64" s="5946">
        <f t="shared" si="13"/>
        <v>23</v>
      </c>
      <c r="M64" s="1277" t="s">
        <v>4529</v>
      </c>
      <c r="N64" s="1278" t="s">
        <v>4530</v>
      </c>
      <c r="O64" s="1278" t="s">
        <v>4531</v>
      </c>
      <c r="P64" s="1247"/>
      <c r="Q64" s="176"/>
      <c r="R64" s="5954">
        <f t="shared" si="17"/>
        <v>7</v>
      </c>
      <c r="S64" s="2032" t="s">
        <v>4590</v>
      </c>
      <c r="T64" s="1239" t="s">
        <v>4591</v>
      </c>
      <c r="U64" s="5909" t="s">
        <v>4592</v>
      </c>
      <c r="W64" s="5937">
        <f t="shared" si="18"/>
        <v>5</v>
      </c>
      <c r="X64" s="1259" t="s">
        <v>4593</v>
      </c>
      <c r="Y64" s="1260" t="s">
        <v>4594</v>
      </c>
      <c r="Z64" s="1260" t="s">
        <v>4595</v>
      </c>
      <c r="AA64" s="1260" t="s">
        <v>4596</v>
      </c>
      <c r="AB64" s="1260" t="s">
        <v>4597</v>
      </c>
      <c r="AC64" s="1260" t="s">
        <v>4598</v>
      </c>
      <c r="AD64" s="1259" t="s">
        <v>4593</v>
      </c>
      <c r="AF64" s="3">
        <v>1</v>
      </c>
    </row>
    <row r="65" spans="2:32" ht="30" customHeight="1">
      <c r="B65" s="1256">
        <v>5</v>
      </c>
      <c r="C65" s="1257" t="s">
        <v>4599</v>
      </c>
      <c r="D65" s="5950" t="s">
        <v>4600</v>
      </c>
      <c r="E65" s="2033" t="s">
        <v>4601</v>
      </c>
      <c r="F65" s="9"/>
      <c r="G65" s="6992">
        <v>4</v>
      </c>
      <c r="H65" s="6993" t="s">
        <v>4602</v>
      </c>
      <c r="I65" s="6994" t="s">
        <v>4603</v>
      </c>
      <c r="J65" s="6995" t="s">
        <v>4604</v>
      </c>
      <c r="L65" s="5946">
        <f t="shared" si="13"/>
        <v>24</v>
      </c>
      <c r="M65" s="1277" t="s">
        <v>4558</v>
      </c>
      <c r="N65" s="1278" t="s">
        <v>4559</v>
      </c>
      <c r="O65" s="1278" t="s">
        <v>4560</v>
      </c>
      <c r="P65" s="1247"/>
      <c r="Q65" s="176"/>
      <c r="R65" s="5954"/>
      <c r="S65" s="2031" t="s">
        <v>3943</v>
      </c>
      <c r="T65" s="2023"/>
      <c r="U65" s="5951"/>
      <c r="W65" s="5937">
        <f t="shared" si="18"/>
        <v>6</v>
      </c>
      <c r="X65" s="1259" t="s">
        <v>4618</v>
      </c>
      <c r="Y65" s="1260" t="s">
        <v>4619</v>
      </c>
      <c r="Z65" s="1260" t="s">
        <v>4620</v>
      </c>
      <c r="AA65" s="1260" t="s">
        <v>4621</v>
      </c>
      <c r="AB65" s="1260" t="s">
        <v>4622</v>
      </c>
      <c r="AC65" s="1260" t="s">
        <v>4623</v>
      </c>
      <c r="AD65" s="1259" t="s">
        <v>4618</v>
      </c>
      <c r="AF65" s="3">
        <v>1</v>
      </c>
    </row>
    <row r="66" spans="2:32" ht="30" customHeight="1">
      <c r="B66" s="1256">
        <v>6</v>
      </c>
      <c r="C66" s="1257" t="s">
        <v>4624</v>
      </c>
      <c r="D66" s="5950" t="s">
        <v>1434</v>
      </c>
      <c r="E66" s="2033" t="s">
        <v>4625</v>
      </c>
      <c r="F66" s="9"/>
      <c r="G66" s="6992"/>
      <c r="H66" s="6993"/>
      <c r="I66" s="6994"/>
      <c r="J66" s="6995"/>
      <c r="L66" s="5946">
        <f t="shared" si="13"/>
        <v>25</v>
      </c>
      <c r="M66" s="1277" t="s">
        <v>4587</v>
      </c>
      <c r="N66" s="1278" t="s">
        <v>4588</v>
      </c>
      <c r="O66" s="1278" t="s">
        <v>4589</v>
      </c>
      <c r="P66" s="1247"/>
      <c r="Q66" s="176"/>
      <c r="R66" s="5954">
        <v>1</v>
      </c>
      <c r="S66" s="2032" t="s">
        <v>4640</v>
      </c>
      <c r="T66" s="1239" t="s">
        <v>4641</v>
      </c>
      <c r="U66" s="5909" t="s">
        <v>4642</v>
      </c>
      <c r="W66" s="5937">
        <f t="shared" si="18"/>
        <v>7</v>
      </c>
      <c r="X66" s="1259" t="s">
        <v>4643</v>
      </c>
      <c r="Y66" s="1260" t="s">
        <v>4644</v>
      </c>
      <c r="Z66" s="1260" t="s">
        <v>4645</v>
      </c>
      <c r="AA66" s="1260" t="s">
        <v>4646</v>
      </c>
      <c r="AB66" s="1260" t="s">
        <v>4647</v>
      </c>
      <c r="AC66" s="1260" t="s">
        <v>4648</v>
      </c>
      <c r="AD66" s="1259" t="s">
        <v>4643</v>
      </c>
      <c r="AF66" s="3">
        <v>1</v>
      </c>
    </row>
    <row r="67" spans="2:32" ht="30" customHeight="1">
      <c r="B67" s="1256">
        <v>7</v>
      </c>
      <c r="C67" s="1257" t="s">
        <v>4649</v>
      </c>
      <c r="D67" s="5950" t="s">
        <v>4571</v>
      </c>
      <c r="E67" s="2033" t="s">
        <v>4572</v>
      </c>
      <c r="F67" s="9"/>
      <c r="G67" s="2051" t="s">
        <v>2634</v>
      </c>
      <c r="H67" s="2047" t="s">
        <v>4650</v>
      </c>
      <c r="I67" s="5953" t="s">
        <v>4651</v>
      </c>
      <c r="J67" s="2047" t="s">
        <v>4652</v>
      </c>
      <c r="L67" s="5946">
        <f t="shared" si="13"/>
        <v>26</v>
      </c>
      <c r="M67" s="1277" t="s">
        <v>4615</v>
      </c>
      <c r="N67" s="1278" t="s">
        <v>4616</v>
      </c>
      <c r="O67" s="1278" t="s">
        <v>4617</v>
      </c>
      <c r="P67" s="1247"/>
      <c r="Q67" s="176"/>
      <c r="R67" s="5954">
        <f>R66+1</f>
        <v>2</v>
      </c>
      <c r="S67" s="2032" t="s">
        <v>4668</v>
      </c>
      <c r="T67" s="1239" t="s">
        <v>4669</v>
      </c>
      <c r="U67" s="5909" t="s">
        <v>4670</v>
      </c>
      <c r="W67" s="5937">
        <f t="shared" si="18"/>
        <v>8</v>
      </c>
      <c r="X67" s="1259" t="s">
        <v>4671</v>
      </c>
      <c r="Y67" s="1260" t="s">
        <v>4672</v>
      </c>
      <c r="Z67" s="1260" t="s">
        <v>4673</v>
      </c>
      <c r="AA67" s="1260" t="s">
        <v>4674</v>
      </c>
      <c r="AB67" s="1260" t="s">
        <v>4675</v>
      </c>
      <c r="AC67" s="1260" t="s">
        <v>4676</v>
      </c>
      <c r="AD67" s="1259" t="s">
        <v>4671</v>
      </c>
      <c r="AF67" s="3">
        <v>1</v>
      </c>
    </row>
    <row r="68" spans="2:32" ht="30" customHeight="1">
      <c r="B68" s="1256">
        <v>8</v>
      </c>
      <c r="C68" s="1257" t="s">
        <v>4677</v>
      </c>
      <c r="D68" s="5950" t="s">
        <v>4678</v>
      </c>
      <c r="E68" s="2033" t="s">
        <v>4679</v>
      </c>
      <c r="F68" s="9"/>
      <c r="G68" s="1256">
        <v>1</v>
      </c>
      <c r="H68" s="1257" t="s">
        <v>4680</v>
      </c>
      <c r="I68" s="5955" t="s">
        <v>4681</v>
      </c>
      <c r="J68" s="1261" t="s">
        <v>4682</v>
      </c>
      <c r="L68" s="5946">
        <f t="shared" si="13"/>
        <v>27</v>
      </c>
      <c r="M68" s="1277" t="s">
        <v>4637</v>
      </c>
      <c r="N68" s="1278" t="s">
        <v>4638</v>
      </c>
      <c r="O68" s="1278" t="s">
        <v>4639</v>
      </c>
      <c r="P68" s="1247"/>
      <c r="Q68" s="176"/>
      <c r="R68" s="5954">
        <f t="shared" ref="R68:R71" si="19">R67+1</f>
        <v>3</v>
      </c>
      <c r="S68" s="2032" t="s">
        <v>4693</v>
      </c>
      <c r="T68" s="1239" t="s">
        <v>4694</v>
      </c>
      <c r="U68" s="5909" t="s">
        <v>4695</v>
      </c>
      <c r="W68" s="5937">
        <f t="shared" si="18"/>
        <v>9</v>
      </c>
      <c r="X68" s="1259" t="s">
        <v>4696</v>
      </c>
      <c r="Y68" s="1260" t="s">
        <v>4697</v>
      </c>
      <c r="Z68" s="1260" t="s">
        <v>4698</v>
      </c>
      <c r="AA68" s="1260" t="s">
        <v>4699</v>
      </c>
      <c r="AB68" s="1260" t="s">
        <v>4700</v>
      </c>
      <c r="AC68" s="1260" t="s">
        <v>4701</v>
      </c>
      <c r="AD68" s="1259" t="s">
        <v>4696</v>
      </c>
      <c r="AF68" s="3">
        <v>1</v>
      </c>
    </row>
    <row r="69" spans="2:32" ht="30" customHeight="1">
      <c r="B69" s="1256">
        <v>9</v>
      </c>
      <c r="C69" s="1257" t="s">
        <v>4702</v>
      </c>
      <c r="D69" s="5950" t="s">
        <v>4703</v>
      </c>
      <c r="E69" s="2033" t="s">
        <v>4704</v>
      </c>
      <c r="F69" s="9"/>
      <c r="G69" s="1264"/>
      <c r="H69" s="437"/>
      <c r="I69" s="5965"/>
      <c r="J69" s="229"/>
      <c r="L69" s="5946">
        <f t="shared" si="13"/>
        <v>28</v>
      </c>
      <c r="M69" s="1277" t="s">
        <v>4665</v>
      </c>
      <c r="N69" s="1278" t="s">
        <v>4666</v>
      </c>
      <c r="O69" s="1278" t="s">
        <v>4667</v>
      </c>
      <c r="P69" s="1247"/>
      <c r="Q69" s="176"/>
      <c r="R69" s="5954">
        <f t="shared" si="19"/>
        <v>4</v>
      </c>
      <c r="S69" s="2032" t="s">
        <v>4718</v>
      </c>
      <c r="T69" s="1239" t="s">
        <v>4719</v>
      </c>
      <c r="U69" s="5909" t="s">
        <v>4720</v>
      </c>
      <c r="W69" s="5937">
        <f t="shared" si="18"/>
        <v>10</v>
      </c>
      <c r="X69" s="1259" t="s">
        <v>4721</v>
      </c>
      <c r="Y69" s="1260" t="s">
        <v>4722</v>
      </c>
      <c r="Z69" s="1260" t="s">
        <v>4723</v>
      </c>
      <c r="AA69" s="1260" t="s">
        <v>4724</v>
      </c>
      <c r="AB69" s="1260" t="s">
        <v>4725</v>
      </c>
      <c r="AC69" s="1260" t="s">
        <v>4726</v>
      </c>
      <c r="AD69" s="1259" t="s">
        <v>4721</v>
      </c>
      <c r="AF69" s="3">
        <v>1</v>
      </c>
    </row>
    <row r="70" spans="2:32" ht="30" customHeight="1">
      <c r="B70" s="1256">
        <v>10</v>
      </c>
      <c r="C70" s="1257" t="s">
        <v>4727</v>
      </c>
      <c r="D70" s="5950" t="s">
        <v>4728</v>
      </c>
      <c r="E70" s="2033" t="s">
        <v>4729</v>
      </c>
      <c r="F70" s="9"/>
      <c r="G70" s="2056" t="s">
        <v>4730</v>
      </c>
      <c r="H70" s="2057" t="s">
        <v>4731</v>
      </c>
      <c r="I70" s="5966" t="s">
        <v>4732</v>
      </c>
      <c r="J70" s="2057" t="s">
        <v>4733</v>
      </c>
      <c r="L70" s="5946">
        <f t="shared" si="13"/>
        <v>29</v>
      </c>
      <c r="M70" s="1277" t="s">
        <v>4690</v>
      </c>
      <c r="N70" s="1278" t="s">
        <v>4691</v>
      </c>
      <c r="O70" s="1278" t="s">
        <v>4692</v>
      </c>
      <c r="P70" s="1247"/>
      <c r="Q70" s="176"/>
      <c r="R70" s="5954">
        <f t="shared" si="19"/>
        <v>5</v>
      </c>
      <c r="S70" s="2032" t="s">
        <v>4749</v>
      </c>
      <c r="T70" s="1239" t="s">
        <v>4750</v>
      </c>
      <c r="U70" s="5909" t="s">
        <v>4751</v>
      </c>
      <c r="W70" s="5937">
        <f t="shared" si="18"/>
        <v>11</v>
      </c>
      <c r="X70" s="1259" t="s">
        <v>4752</v>
      </c>
      <c r="Y70" s="1260" t="s">
        <v>4753</v>
      </c>
      <c r="Z70" s="1260" t="s">
        <v>4754</v>
      </c>
      <c r="AA70" s="1260" t="s">
        <v>4755</v>
      </c>
      <c r="AB70" s="1260" t="s">
        <v>4756</v>
      </c>
      <c r="AC70" s="1260" t="s">
        <v>4757</v>
      </c>
      <c r="AD70" s="1259" t="s">
        <v>4752</v>
      </c>
      <c r="AF70" s="3">
        <v>1</v>
      </c>
    </row>
    <row r="71" spans="2:32" ht="30" customHeight="1">
      <c r="B71" s="1256">
        <v>11</v>
      </c>
      <c r="C71" s="1257" t="s">
        <v>4758</v>
      </c>
      <c r="D71" s="5950" t="s">
        <v>4759</v>
      </c>
      <c r="E71" s="2033" t="s">
        <v>4760</v>
      </c>
      <c r="F71" s="9"/>
      <c r="G71" s="2058" t="s">
        <v>2615</v>
      </c>
      <c r="H71" s="2059" t="s">
        <v>4761</v>
      </c>
      <c r="I71" s="5967" t="s">
        <v>4762</v>
      </c>
      <c r="J71" s="2060" t="s">
        <v>4763</v>
      </c>
      <c r="L71" s="5946">
        <f t="shared" si="13"/>
        <v>30</v>
      </c>
      <c r="M71" s="1277" t="s">
        <v>4715</v>
      </c>
      <c r="N71" s="1278" t="s">
        <v>4716</v>
      </c>
      <c r="O71" s="1278" t="s">
        <v>4717</v>
      </c>
      <c r="P71" s="1247"/>
      <c r="Q71" s="176"/>
      <c r="R71" s="5954">
        <f t="shared" si="19"/>
        <v>6</v>
      </c>
      <c r="S71" s="2032" t="s">
        <v>4775</v>
      </c>
      <c r="T71" s="1239" t="s">
        <v>4776</v>
      </c>
      <c r="U71" s="5909" t="s">
        <v>4777</v>
      </c>
      <c r="W71" s="5937">
        <f t="shared" si="18"/>
        <v>12</v>
      </c>
      <c r="X71" s="1259" t="s">
        <v>4778</v>
      </c>
      <c r="Y71" s="1260" t="s">
        <v>4779</v>
      </c>
      <c r="Z71" s="1260" t="s">
        <v>4780</v>
      </c>
      <c r="AA71" s="1260" t="s">
        <v>4781</v>
      </c>
      <c r="AB71" s="1260" t="s">
        <v>4782</v>
      </c>
      <c r="AC71" s="1260" t="s">
        <v>4783</v>
      </c>
      <c r="AD71" s="1259" t="s">
        <v>4778</v>
      </c>
      <c r="AF71" s="3">
        <v>1</v>
      </c>
    </row>
    <row r="72" spans="2:32" ht="30" customHeight="1">
      <c r="B72" s="1256">
        <v>12</v>
      </c>
      <c r="C72" s="1257" t="s">
        <v>4784</v>
      </c>
      <c r="D72" s="5950" t="s">
        <v>4785</v>
      </c>
      <c r="E72" s="2033" t="s">
        <v>4786</v>
      </c>
      <c r="F72" s="9"/>
      <c r="G72" s="2058" t="s">
        <v>2616</v>
      </c>
      <c r="H72" s="2059" t="s">
        <v>4787</v>
      </c>
      <c r="I72" s="5967" t="s">
        <v>4788</v>
      </c>
      <c r="J72" s="2060" t="s">
        <v>4789</v>
      </c>
      <c r="L72" s="5946">
        <f t="shared" si="13"/>
        <v>31</v>
      </c>
      <c r="M72" s="1277" t="s">
        <v>4746</v>
      </c>
      <c r="N72" s="1278" t="s">
        <v>4747</v>
      </c>
      <c r="O72" s="1278" t="s">
        <v>4748</v>
      </c>
      <c r="P72" s="1247"/>
      <c r="Q72" s="176"/>
      <c r="R72" s="5954"/>
      <c r="S72" s="2031" t="s">
        <v>0</v>
      </c>
      <c r="T72" s="2023"/>
      <c r="U72" s="5951"/>
      <c r="W72" s="5937">
        <f t="shared" si="18"/>
        <v>13</v>
      </c>
      <c r="X72" s="1259" t="s">
        <v>4801</v>
      </c>
      <c r="Y72" s="1260" t="s">
        <v>4802</v>
      </c>
      <c r="Z72" s="1260" t="s">
        <v>4803</v>
      </c>
      <c r="AA72" s="1260" t="s">
        <v>4804</v>
      </c>
      <c r="AB72" s="1260" t="s">
        <v>4805</v>
      </c>
      <c r="AC72" s="1260" t="s">
        <v>4806</v>
      </c>
      <c r="AD72" s="1259" t="s">
        <v>4801</v>
      </c>
      <c r="AF72" s="3">
        <v>1</v>
      </c>
    </row>
    <row r="73" spans="2:32" ht="30" customHeight="1">
      <c r="B73" s="1256">
        <v>13</v>
      </c>
      <c r="C73" s="1257" t="s">
        <v>4807</v>
      </c>
      <c r="D73" s="5950" t="s">
        <v>4808</v>
      </c>
      <c r="E73" s="2033" t="s">
        <v>4809</v>
      </c>
      <c r="F73" s="9"/>
      <c r="G73" s="6996" t="s">
        <v>2617</v>
      </c>
      <c r="H73" s="6991" t="s">
        <v>4810</v>
      </c>
      <c r="I73" s="6997" t="s">
        <v>4811</v>
      </c>
      <c r="J73" s="6998" t="s">
        <v>4812</v>
      </c>
      <c r="L73" s="5946"/>
      <c r="M73" s="1244"/>
      <c r="N73" s="54"/>
      <c r="O73" s="1247"/>
      <c r="P73" s="1247"/>
      <c r="Q73" s="176"/>
      <c r="R73" s="5954">
        <v>1</v>
      </c>
      <c r="S73" s="2032" t="s">
        <v>4820</v>
      </c>
      <c r="T73" s="1239" t="s">
        <v>4821</v>
      </c>
      <c r="U73" s="5909" t="s">
        <v>4822</v>
      </c>
      <c r="W73" s="5937">
        <f t="shared" si="18"/>
        <v>14</v>
      </c>
      <c r="X73" s="1259" t="s">
        <v>4823</v>
      </c>
      <c r="Y73" s="1260" t="s">
        <v>4824</v>
      </c>
      <c r="Z73" s="1260" t="s">
        <v>4825</v>
      </c>
      <c r="AA73" s="1260" t="s">
        <v>4826</v>
      </c>
      <c r="AB73" s="1260" t="s">
        <v>4827</v>
      </c>
      <c r="AC73" s="1260" t="s">
        <v>4828</v>
      </c>
      <c r="AD73" s="1259" t="s">
        <v>4823</v>
      </c>
      <c r="AF73" s="3">
        <v>1</v>
      </c>
    </row>
    <row r="74" spans="2:32" ht="30" customHeight="1">
      <c r="B74" s="1256">
        <v>14</v>
      </c>
      <c r="C74" s="1257" t="s">
        <v>4829</v>
      </c>
      <c r="D74" s="5950" t="s">
        <v>4830</v>
      </c>
      <c r="E74" s="2033" t="s">
        <v>4831</v>
      </c>
      <c r="F74" s="9"/>
      <c r="G74" s="6996"/>
      <c r="H74" s="6991"/>
      <c r="I74" s="6997"/>
      <c r="J74" s="6998"/>
      <c r="L74" s="5946"/>
      <c r="M74" s="1244"/>
      <c r="N74" s="54"/>
      <c r="O74" s="1247"/>
      <c r="P74" s="1247"/>
      <c r="Q74" s="176"/>
      <c r="R74" s="5954">
        <f>R73+1</f>
        <v>2</v>
      </c>
      <c r="S74" s="2032" t="s">
        <v>4842</v>
      </c>
      <c r="T74" s="1239" t="s">
        <v>4843</v>
      </c>
      <c r="U74" s="5909" t="s">
        <v>4844</v>
      </c>
      <c r="W74" s="5937">
        <f t="shared" si="18"/>
        <v>15</v>
      </c>
      <c r="X74" s="1259" t="s">
        <v>4845</v>
      </c>
      <c r="Y74" s="1260" t="s">
        <v>4846</v>
      </c>
      <c r="Z74" s="1260" t="s">
        <v>4847</v>
      </c>
      <c r="AA74" s="1260" t="s">
        <v>4848</v>
      </c>
      <c r="AB74" s="1260" t="s">
        <v>4849</v>
      </c>
      <c r="AC74" s="1260" t="s">
        <v>4850</v>
      </c>
      <c r="AD74" s="1259" t="s">
        <v>4845</v>
      </c>
      <c r="AF74" s="3">
        <v>1</v>
      </c>
    </row>
    <row r="75" spans="2:32" ht="30" customHeight="1">
      <c r="B75" s="1256">
        <v>15</v>
      </c>
      <c r="C75" s="1257" t="s">
        <v>4851</v>
      </c>
      <c r="D75" s="5950" t="s">
        <v>4852</v>
      </c>
      <c r="E75" s="2033" t="s">
        <v>4853</v>
      </c>
      <c r="F75" s="9"/>
      <c r="G75" s="2059"/>
      <c r="H75" s="2059" t="s">
        <v>4854</v>
      </c>
      <c r="I75" s="5967" t="s">
        <v>4855</v>
      </c>
      <c r="J75" s="2060" t="s">
        <v>4856</v>
      </c>
      <c r="L75" s="5946"/>
      <c r="M75" s="1244"/>
      <c r="N75" s="54"/>
      <c r="O75" s="1247"/>
      <c r="P75" s="1247"/>
      <c r="Q75" s="176"/>
      <c r="R75" s="5954"/>
      <c r="S75" s="2031" t="s">
        <v>1</v>
      </c>
      <c r="T75" s="2023"/>
      <c r="U75" s="5951"/>
      <c r="W75" s="5937">
        <f t="shared" si="18"/>
        <v>16</v>
      </c>
      <c r="X75" s="1259" t="s">
        <v>4868</v>
      </c>
      <c r="Y75" s="1260" t="s">
        <v>4869</v>
      </c>
      <c r="Z75" s="1260" t="s">
        <v>4870</v>
      </c>
      <c r="AA75" s="1260" t="s">
        <v>4871</v>
      </c>
      <c r="AB75" s="1260" t="s">
        <v>4872</v>
      </c>
      <c r="AC75" s="1260" t="s">
        <v>4873</v>
      </c>
      <c r="AD75" s="1259" t="s">
        <v>4868</v>
      </c>
      <c r="AF75" s="3">
        <v>1</v>
      </c>
    </row>
    <row r="76" spans="2:32" ht="30" customHeight="1">
      <c r="B76" s="1256">
        <v>16</v>
      </c>
      <c r="C76" s="1257" t="s">
        <v>4874</v>
      </c>
      <c r="D76" s="5950" t="s">
        <v>4875</v>
      </c>
      <c r="E76" s="2033" t="s">
        <v>4876</v>
      </c>
      <c r="F76" s="9"/>
      <c r="G76" s="2059"/>
      <c r="H76" s="6991" t="s">
        <v>8768</v>
      </c>
      <c r="I76" s="5967" t="s">
        <v>8769</v>
      </c>
      <c r="J76" s="2060" t="s">
        <v>8770</v>
      </c>
      <c r="L76" s="5946"/>
      <c r="M76" s="1244"/>
      <c r="N76" s="54"/>
      <c r="O76" s="1247"/>
      <c r="P76" s="1247"/>
      <c r="Q76" s="176"/>
      <c r="R76" s="5954">
        <v>1</v>
      </c>
      <c r="S76" s="2032" t="s">
        <v>4892</v>
      </c>
      <c r="T76" s="1239" t="s">
        <v>4893</v>
      </c>
      <c r="U76" s="5909" t="s">
        <v>4894</v>
      </c>
      <c r="W76" s="5937">
        <f t="shared" si="18"/>
        <v>17</v>
      </c>
      <c r="X76" s="1259" t="s">
        <v>4895</v>
      </c>
      <c r="Y76" s="1260" t="s">
        <v>4896</v>
      </c>
      <c r="Z76" s="1260" t="s">
        <v>4897</v>
      </c>
      <c r="AA76" s="1260" t="s">
        <v>4898</v>
      </c>
      <c r="AB76" s="1260" t="s">
        <v>4899</v>
      </c>
      <c r="AC76" s="1260" t="s">
        <v>4900</v>
      </c>
      <c r="AD76" s="1259" t="s">
        <v>4895</v>
      </c>
      <c r="AF76" s="3">
        <v>1</v>
      </c>
    </row>
    <row r="77" spans="2:32" ht="30" customHeight="1">
      <c r="B77" s="1256">
        <v>17</v>
      </c>
      <c r="C77" s="1257" t="s">
        <v>4901</v>
      </c>
      <c r="D77" s="5950" t="s">
        <v>4902</v>
      </c>
      <c r="E77" s="2033" t="s">
        <v>4903</v>
      </c>
      <c r="F77" s="9"/>
      <c r="G77" s="2059"/>
      <c r="H77" s="6991"/>
      <c r="I77" s="2061"/>
      <c r="J77" s="2061"/>
      <c r="L77" s="5946"/>
      <c r="M77" s="1244"/>
      <c r="N77" s="54"/>
      <c r="O77" s="1247"/>
      <c r="P77" s="1247"/>
      <c r="Q77" s="176"/>
      <c r="R77" s="5954">
        <f>R76+1</f>
        <v>2</v>
      </c>
      <c r="S77" s="2032" t="s">
        <v>4909</v>
      </c>
      <c r="T77" s="1239" t="s">
        <v>4910</v>
      </c>
      <c r="U77" s="5909" t="s">
        <v>4911</v>
      </c>
      <c r="W77" s="5937">
        <f t="shared" si="18"/>
        <v>18</v>
      </c>
      <c r="X77" s="1259" t="s">
        <v>4912</v>
      </c>
      <c r="Y77" s="1260" t="s">
        <v>4913</v>
      </c>
      <c r="Z77" s="1260" t="s">
        <v>4914</v>
      </c>
      <c r="AA77" s="1260" t="s">
        <v>4915</v>
      </c>
      <c r="AB77" s="1260" t="s">
        <v>4916</v>
      </c>
      <c r="AC77" s="1260" t="s">
        <v>4917</v>
      </c>
      <c r="AD77" s="1259" t="s">
        <v>4912</v>
      </c>
      <c r="AF77" s="3">
        <v>1</v>
      </c>
    </row>
    <row r="78" spans="2:32" ht="30" customHeight="1">
      <c r="B78" s="1256">
        <v>18</v>
      </c>
      <c r="C78" s="1257" t="s">
        <v>4918</v>
      </c>
      <c r="D78" s="5950" t="s">
        <v>4919</v>
      </c>
      <c r="E78" s="2033" t="s">
        <v>4920</v>
      </c>
      <c r="F78" s="508"/>
      <c r="G78" s="2025" t="s">
        <v>200</v>
      </c>
      <c r="H78" s="2024" t="s">
        <v>8097</v>
      </c>
      <c r="I78" s="1261"/>
      <c r="J78" s="1261"/>
      <c r="L78" s="5946"/>
      <c r="M78" s="1244"/>
      <c r="N78" s="54"/>
      <c r="O78" s="1247"/>
      <c r="P78" s="1247"/>
      <c r="Q78" s="176"/>
      <c r="R78" s="5954">
        <f t="shared" ref="R78:R80" si="20">R77+1</f>
        <v>3</v>
      </c>
      <c r="S78" s="2032" t="s">
        <v>4927</v>
      </c>
      <c r="T78" s="1239" t="s">
        <v>4928</v>
      </c>
      <c r="U78" s="5909" t="s">
        <v>4929</v>
      </c>
      <c r="W78" s="5937">
        <f t="shared" si="18"/>
        <v>19</v>
      </c>
      <c r="X78" s="1259" t="s">
        <v>4930</v>
      </c>
      <c r="Y78" s="1260" t="s">
        <v>4931</v>
      </c>
      <c r="Z78" s="1260" t="s">
        <v>4932</v>
      </c>
      <c r="AA78" s="1260" t="s">
        <v>4933</v>
      </c>
      <c r="AB78" s="1260" t="s">
        <v>4934</v>
      </c>
      <c r="AC78" s="1260" t="s">
        <v>4935</v>
      </c>
      <c r="AD78" s="1259" t="s">
        <v>4930</v>
      </c>
      <c r="AF78" s="3">
        <v>1</v>
      </c>
    </row>
    <row r="79" spans="2:32" ht="30" customHeight="1">
      <c r="B79" s="1256"/>
      <c r="D79" s="5962"/>
      <c r="E79" s="2035"/>
      <c r="F79" s="9"/>
      <c r="G79" s="1256"/>
      <c r="H79" s="1257"/>
      <c r="I79" s="1261"/>
      <c r="J79" s="1261"/>
      <c r="L79" s="5946"/>
      <c r="M79" s="1244"/>
      <c r="N79" s="54"/>
      <c r="O79" s="1247"/>
      <c r="P79" s="1247"/>
      <c r="Q79" s="176"/>
      <c r="R79" s="5954">
        <f t="shared" si="20"/>
        <v>4</v>
      </c>
      <c r="S79" s="2032" t="s">
        <v>4942</v>
      </c>
      <c r="T79" s="1239" t="s">
        <v>4943</v>
      </c>
      <c r="U79" s="5909" t="s">
        <v>4944</v>
      </c>
      <c r="W79" s="5937">
        <f t="shared" si="18"/>
        <v>20</v>
      </c>
      <c r="X79" s="1259" t="s">
        <v>4945</v>
      </c>
      <c r="Y79" s="1260" t="s">
        <v>4946</v>
      </c>
      <c r="Z79" s="1260" t="s">
        <v>4947</v>
      </c>
      <c r="AA79" s="1260" t="s">
        <v>4948</v>
      </c>
      <c r="AB79" s="1260" t="s">
        <v>4949</v>
      </c>
      <c r="AC79" s="1260" t="s">
        <v>4950</v>
      </c>
      <c r="AD79" s="1259" t="s">
        <v>4945</v>
      </c>
      <c r="AF79" s="3">
        <v>1</v>
      </c>
    </row>
    <row r="80" spans="2:32" ht="30" customHeight="1">
      <c r="B80" s="5964"/>
      <c r="C80" s="2042" t="s">
        <v>4951</v>
      </c>
      <c r="D80" s="2043"/>
      <c r="E80" s="5961"/>
      <c r="F80" s="9"/>
      <c r="G80" s="1256"/>
      <c r="H80" s="1257"/>
      <c r="I80" s="1261"/>
      <c r="J80" s="1261"/>
      <c r="L80" s="5946"/>
      <c r="M80" s="1244"/>
      <c r="N80" s="54"/>
      <c r="O80" s="1247"/>
      <c r="P80" s="1247"/>
      <c r="Q80" s="176"/>
      <c r="R80" s="5954">
        <f t="shared" si="20"/>
        <v>5</v>
      </c>
      <c r="S80" s="2032" t="s">
        <v>4952</v>
      </c>
      <c r="T80" s="1239" t="s">
        <v>4953</v>
      </c>
      <c r="U80" s="5909" t="s">
        <v>4954</v>
      </c>
      <c r="W80" s="5937">
        <f t="shared" si="18"/>
        <v>21</v>
      </c>
      <c r="X80" s="1259" t="s">
        <v>4610</v>
      </c>
      <c r="Y80" s="1260" t="s">
        <v>4955</v>
      </c>
      <c r="Z80" s="1260" t="s">
        <v>4956</v>
      </c>
      <c r="AA80" s="1260" t="s">
        <v>4957</v>
      </c>
      <c r="AB80" s="1260" t="s">
        <v>4958</v>
      </c>
      <c r="AC80" s="1260" t="s">
        <v>4959</v>
      </c>
      <c r="AD80" s="1259" t="s">
        <v>4610</v>
      </c>
      <c r="AF80" s="3">
        <v>1</v>
      </c>
    </row>
    <row r="81" spans="2:32" ht="30" customHeight="1">
      <c r="B81" s="1256">
        <v>1</v>
      </c>
      <c r="C81" s="1257" t="s">
        <v>4960</v>
      </c>
      <c r="D81" s="5950" t="s">
        <v>4961</v>
      </c>
      <c r="E81" s="2033" t="s">
        <v>4962</v>
      </c>
      <c r="F81" s="9"/>
      <c r="G81" s="1256"/>
      <c r="H81" s="1257"/>
      <c r="I81" s="1261"/>
      <c r="J81" s="1261"/>
      <c r="L81" s="5946"/>
      <c r="M81" s="1244"/>
      <c r="N81" s="54"/>
      <c r="O81" s="1247"/>
      <c r="P81" s="1247"/>
      <c r="Q81" s="176"/>
      <c r="R81" s="5954"/>
      <c r="S81" s="2031" t="s">
        <v>4969</v>
      </c>
      <c r="T81" s="2023"/>
      <c r="U81" s="5951"/>
      <c r="W81" s="5937">
        <f t="shared" si="18"/>
        <v>22</v>
      </c>
      <c r="X81" s="1259" t="s">
        <v>4970</v>
      </c>
      <c r="Y81" s="1260" t="s">
        <v>4971</v>
      </c>
      <c r="Z81" s="1260" t="s">
        <v>4972</v>
      </c>
      <c r="AA81" s="1260" t="s">
        <v>4973</v>
      </c>
      <c r="AB81" s="1260" t="s">
        <v>4974</v>
      </c>
      <c r="AC81" s="1260" t="s">
        <v>4975</v>
      </c>
      <c r="AD81" s="1259" t="s">
        <v>4970</v>
      </c>
      <c r="AF81" s="3">
        <v>1</v>
      </c>
    </row>
    <row r="82" spans="2:32" ht="30" customHeight="1">
      <c r="B82" s="1256">
        <v>2</v>
      </c>
      <c r="C82" s="1257" t="s">
        <v>4976</v>
      </c>
      <c r="D82" s="5950" t="s">
        <v>4977</v>
      </c>
      <c r="E82" s="2033" t="s">
        <v>4978</v>
      </c>
      <c r="F82" s="9"/>
      <c r="G82" s="1256"/>
      <c r="H82" s="1257"/>
      <c r="I82" s="1261"/>
      <c r="J82" s="1261"/>
      <c r="L82" s="5946"/>
      <c r="M82" s="1244"/>
      <c r="N82" s="54"/>
      <c r="O82" s="1247"/>
      <c r="P82" s="1247"/>
      <c r="Q82" s="176"/>
      <c r="R82" s="5954">
        <v>1</v>
      </c>
      <c r="S82" s="2032" t="s">
        <v>4985</v>
      </c>
      <c r="T82" s="1239" t="s">
        <v>4986</v>
      </c>
      <c r="U82" s="5909" t="s">
        <v>4987</v>
      </c>
      <c r="W82" s="5937">
        <f t="shared" si="18"/>
        <v>23</v>
      </c>
      <c r="X82" s="1259" t="s">
        <v>4988</v>
      </c>
      <c r="Y82" s="1260" t="s">
        <v>4989</v>
      </c>
      <c r="Z82" s="1260" t="s">
        <v>4990</v>
      </c>
      <c r="AA82" s="1260" t="s">
        <v>4991</v>
      </c>
      <c r="AB82" s="1260" t="s">
        <v>4992</v>
      </c>
      <c r="AC82" s="1260" t="s">
        <v>4993</v>
      </c>
      <c r="AD82" s="1259" t="s">
        <v>4988</v>
      </c>
      <c r="AF82" s="3">
        <v>1</v>
      </c>
    </row>
    <row r="83" spans="2:32" ht="30" customHeight="1">
      <c r="B83" s="1256">
        <v>3</v>
      </c>
      <c r="C83" s="1257" t="s">
        <v>4994</v>
      </c>
      <c r="D83" s="5950" t="s">
        <v>4995</v>
      </c>
      <c r="E83" s="2033" t="s">
        <v>4996</v>
      </c>
      <c r="F83" s="9"/>
      <c r="G83" s="1256"/>
      <c r="H83" s="1257"/>
      <c r="I83" s="1261"/>
      <c r="J83" s="1261"/>
      <c r="L83" s="5946"/>
      <c r="M83" s="1244"/>
      <c r="N83" s="54"/>
      <c r="O83" s="1247"/>
      <c r="P83" s="1247"/>
      <c r="Q83" s="176"/>
      <c r="R83" s="5954"/>
      <c r="S83" s="2031" t="s">
        <v>2</v>
      </c>
      <c r="T83" s="2023"/>
      <c r="U83" s="5951"/>
      <c r="W83" s="5937">
        <f t="shared" si="18"/>
        <v>24</v>
      </c>
      <c r="X83" s="1259" t="s">
        <v>5003</v>
      </c>
      <c r="Y83" s="1260" t="s">
        <v>5004</v>
      </c>
      <c r="Z83" s="1260" t="s">
        <v>5005</v>
      </c>
      <c r="AA83" s="1260" t="s">
        <v>5006</v>
      </c>
      <c r="AB83" s="1260" t="s">
        <v>5007</v>
      </c>
      <c r="AC83" s="1260" t="s">
        <v>5008</v>
      </c>
      <c r="AD83" s="1259" t="s">
        <v>5003</v>
      </c>
      <c r="AF83" s="3">
        <v>1</v>
      </c>
    </row>
    <row r="84" spans="2:32" ht="30" customHeight="1">
      <c r="B84" s="1256">
        <v>4</v>
      </c>
      <c r="C84" s="1257" t="s">
        <v>5009</v>
      </c>
      <c r="D84" s="5950" t="s">
        <v>5010</v>
      </c>
      <c r="E84" s="2033" t="s">
        <v>5011</v>
      </c>
      <c r="F84" s="9"/>
      <c r="G84" s="1256"/>
      <c r="H84" s="1257"/>
      <c r="I84" s="1261"/>
      <c r="J84" s="1261"/>
      <c r="L84" s="5946"/>
      <c r="M84" s="1244"/>
      <c r="N84" s="54"/>
      <c r="O84" s="1247"/>
      <c r="P84" s="1247"/>
      <c r="Q84" s="176"/>
      <c r="R84" s="5954">
        <v>1</v>
      </c>
      <c r="S84" s="2032" t="s">
        <v>5018</v>
      </c>
      <c r="T84" s="1239" t="s">
        <v>5019</v>
      </c>
      <c r="U84" s="5909" t="s">
        <v>5020</v>
      </c>
      <c r="W84" s="5937">
        <f t="shared" si="18"/>
        <v>25</v>
      </c>
      <c r="X84" s="1259" t="s">
        <v>5021</v>
      </c>
      <c r="Y84" s="1260" t="s">
        <v>5022</v>
      </c>
      <c r="Z84" s="1260" t="s">
        <v>5023</v>
      </c>
      <c r="AA84" s="1260" t="s">
        <v>5024</v>
      </c>
      <c r="AB84" s="1260" t="s">
        <v>5025</v>
      </c>
      <c r="AC84" s="1260" t="s">
        <v>5026</v>
      </c>
      <c r="AD84" s="1259" t="s">
        <v>5021</v>
      </c>
      <c r="AF84" s="3">
        <v>1</v>
      </c>
    </row>
    <row r="85" spans="2:32" ht="30" customHeight="1">
      <c r="B85" s="1256">
        <v>5</v>
      </c>
      <c r="C85" s="1257" t="s">
        <v>5027</v>
      </c>
      <c r="D85" s="5950" t="s">
        <v>5028</v>
      </c>
      <c r="E85" s="2033" t="s">
        <v>5029</v>
      </c>
      <c r="F85" s="9"/>
      <c r="G85" s="1256"/>
      <c r="H85" s="1257"/>
      <c r="I85" s="1261"/>
      <c r="J85" s="1261"/>
      <c r="L85" s="5946"/>
      <c r="M85" s="1244"/>
      <c r="N85" s="54"/>
      <c r="O85" s="1247"/>
      <c r="P85" s="1247"/>
      <c r="Q85" s="176"/>
      <c r="R85" s="5954">
        <f>R84+1</f>
        <v>2</v>
      </c>
      <c r="S85" s="2032" t="s">
        <v>5036</v>
      </c>
      <c r="T85" s="1239" t="s">
        <v>5037</v>
      </c>
      <c r="U85" s="5909" t="s">
        <v>5038</v>
      </c>
      <c r="W85" s="5937">
        <f t="shared" si="18"/>
        <v>26</v>
      </c>
      <c r="X85" s="1259" t="s">
        <v>5039</v>
      </c>
      <c r="Y85" s="1260" t="s">
        <v>5040</v>
      </c>
      <c r="Z85" s="1260" t="s">
        <v>5041</v>
      </c>
      <c r="AA85" s="1260" t="s">
        <v>5042</v>
      </c>
      <c r="AB85" s="1260" t="s">
        <v>5043</v>
      </c>
      <c r="AC85" s="1260" t="s">
        <v>5044</v>
      </c>
      <c r="AD85" s="1259" t="s">
        <v>5039</v>
      </c>
      <c r="AF85" s="3">
        <v>1</v>
      </c>
    </row>
    <row r="86" spans="2:32" ht="30" customHeight="1">
      <c r="B86" s="1256">
        <v>6</v>
      </c>
      <c r="C86" s="1257" t="s">
        <v>5045</v>
      </c>
      <c r="D86" s="5950" t="s">
        <v>5046</v>
      </c>
      <c r="E86" s="2033" t="s">
        <v>5047</v>
      </c>
      <c r="F86" s="9"/>
      <c r="G86" s="1256"/>
      <c r="H86" s="1257"/>
      <c r="I86" s="1261"/>
      <c r="J86" s="1261"/>
      <c r="L86" s="5946"/>
      <c r="M86" s="1244"/>
      <c r="N86" s="54"/>
      <c r="O86" s="1247"/>
      <c r="P86" s="1247"/>
      <c r="Q86" s="176"/>
      <c r="R86" s="5954">
        <f t="shared" ref="R86:R92" si="21">R85+1</f>
        <v>3</v>
      </c>
      <c r="S86" s="2032" t="s">
        <v>5054</v>
      </c>
      <c r="T86" s="1239" t="s">
        <v>5055</v>
      </c>
      <c r="U86" s="5909" t="s">
        <v>5056</v>
      </c>
      <c r="W86" s="5937">
        <f t="shared" si="18"/>
        <v>27</v>
      </c>
      <c r="X86" s="1259" t="s">
        <v>5057</v>
      </c>
      <c r="Y86" s="1260" t="s">
        <v>5058</v>
      </c>
      <c r="Z86" s="1263" t="s">
        <v>5059</v>
      </c>
      <c r="AA86" s="1260" t="s">
        <v>5060</v>
      </c>
      <c r="AB86" s="1260" t="s">
        <v>5061</v>
      </c>
      <c r="AC86" s="1260" t="s">
        <v>5062</v>
      </c>
      <c r="AD86" s="1259" t="s">
        <v>5057</v>
      </c>
      <c r="AF86" s="3">
        <v>1</v>
      </c>
    </row>
    <row r="87" spans="2:32" ht="30" customHeight="1">
      <c r="B87" s="1256">
        <v>7</v>
      </c>
      <c r="C87" s="1257" t="s">
        <v>5063</v>
      </c>
      <c r="D87" s="5950" t="s">
        <v>5064</v>
      </c>
      <c r="E87" s="2033" t="s">
        <v>5065</v>
      </c>
      <c r="F87" s="9"/>
      <c r="G87" s="1256"/>
      <c r="H87" s="1257"/>
      <c r="I87" s="1261"/>
      <c r="J87" s="1261"/>
      <c r="L87" s="5946"/>
      <c r="M87" s="1244"/>
      <c r="N87" s="54"/>
      <c r="O87" s="1247"/>
      <c r="P87" s="1247"/>
      <c r="Q87" s="176"/>
      <c r="R87" s="5954">
        <f t="shared" si="21"/>
        <v>4</v>
      </c>
      <c r="S87" s="2032" t="s">
        <v>5072</v>
      </c>
      <c r="T87" s="1239" t="s">
        <v>5073</v>
      </c>
      <c r="U87" s="5909" t="s">
        <v>5074</v>
      </c>
      <c r="W87" s="5937">
        <f t="shared" si="18"/>
        <v>28</v>
      </c>
      <c r="X87" s="1259" t="s">
        <v>5075</v>
      </c>
      <c r="Y87" s="1260" t="s">
        <v>5076</v>
      </c>
      <c r="Z87" s="1260" t="s">
        <v>5077</v>
      </c>
      <c r="AA87" s="1260" t="s">
        <v>5078</v>
      </c>
      <c r="AB87" s="1260" t="s">
        <v>5079</v>
      </c>
      <c r="AC87" s="1260" t="s">
        <v>5080</v>
      </c>
      <c r="AD87" s="1259" t="s">
        <v>5075</v>
      </c>
      <c r="AF87" s="3">
        <v>1</v>
      </c>
    </row>
    <row r="88" spans="2:32" ht="30" customHeight="1">
      <c r="B88" s="1256">
        <v>8</v>
      </c>
      <c r="C88" s="1257" t="s">
        <v>5081</v>
      </c>
      <c r="D88" s="5950" t="s">
        <v>5082</v>
      </c>
      <c r="E88" s="2033" t="s">
        <v>5083</v>
      </c>
      <c r="F88" s="9"/>
      <c r="I88" s="1261"/>
      <c r="J88" s="1261"/>
      <c r="L88" s="5946"/>
      <c r="M88" s="1244"/>
      <c r="N88" s="54"/>
      <c r="O88" s="1247"/>
      <c r="P88" s="1247"/>
      <c r="Q88" s="176"/>
      <c r="R88" s="5954">
        <f t="shared" si="21"/>
        <v>5</v>
      </c>
      <c r="S88" s="2032" t="s">
        <v>5090</v>
      </c>
      <c r="T88" s="1239" t="s">
        <v>5091</v>
      </c>
      <c r="U88" s="5909" t="s">
        <v>5092</v>
      </c>
      <c r="W88" s="5937">
        <f t="shared" si="18"/>
        <v>29</v>
      </c>
      <c r="X88" s="1259" t="s">
        <v>5093</v>
      </c>
      <c r="Y88" s="1260" t="s">
        <v>5094</v>
      </c>
      <c r="Z88" s="1260" t="s">
        <v>5095</v>
      </c>
      <c r="AA88" s="1260" t="s">
        <v>5096</v>
      </c>
      <c r="AB88" s="1260" t="s">
        <v>5097</v>
      </c>
      <c r="AC88" s="1260" t="s">
        <v>5098</v>
      </c>
      <c r="AD88" s="1259" t="s">
        <v>5093</v>
      </c>
      <c r="AF88" s="3">
        <v>1</v>
      </c>
    </row>
    <row r="89" spans="2:32" ht="30" customHeight="1">
      <c r="B89" s="1256">
        <v>9</v>
      </c>
      <c r="C89" s="1257" t="s">
        <v>5099</v>
      </c>
      <c r="D89" s="5950" t="s">
        <v>5100</v>
      </c>
      <c r="E89" s="2033" t="s">
        <v>5101</v>
      </c>
      <c r="F89" s="9"/>
      <c r="G89" s="1256"/>
      <c r="H89" s="1257"/>
      <c r="I89" s="1261"/>
      <c r="J89" s="1261"/>
      <c r="L89" s="5946"/>
      <c r="M89" s="1244"/>
      <c r="N89" s="54"/>
      <c r="O89" s="1247"/>
      <c r="P89" s="1247"/>
      <c r="Q89" s="176"/>
      <c r="R89" s="5954">
        <f t="shared" si="21"/>
        <v>6</v>
      </c>
      <c r="S89" s="2032" t="s">
        <v>5108</v>
      </c>
      <c r="T89" s="1239" t="s">
        <v>5109</v>
      </c>
      <c r="U89" s="5909" t="s">
        <v>5110</v>
      </c>
      <c r="W89" s="5937">
        <f t="shared" si="18"/>
        <v>30</v>
      </c>
      <c r="X89" s="1259" t="s">
        <v>5111</v>
      </c>
      <c r="Y89" s="1260" t="s">
        <v>5112</v>
      </c>
      <c r="Z89" s="1260" t="s">
        <v>5113</v>
      </c>
      <c r="AA89" s="1260" t="s">
        <v>5114</v>
      </c>
      <c r="AB89" s="1260" t="s">
        <v>5115</v>
      </c>
      <c r="AC89" s="1260" t="s">
        <v>5116</v>
      </c>
      <c r="AD89" s="1259" t="s">
        <v>5111</v>
      </c>
      <c r="AF89" s="3">
        <v>1</v>
      </c>
    </row>
    <row r="90" spans="2:32" ht="30" customHeight="1">
      <c r="B90" s="1256">
        <v>10</v>
      </c>
      <c r="C90" s="1257" t="s">
        <v>5117</v>
      </c>
      <c r="D90" s="5950" t="s">
        <v>5118</v>
      </c>
      <c r="E90" s="2033" t="s">
        <v>5119</v>
      </c>
      <c r="F90" s="9"/>
      <c r="G90" s="1256"/>
      <c r="H90" s="1257"/>
      <c r="I90" s="1261"/>
      <c r="J90" s="1261"/>
      <c r="L90" s="5946"/>
      <c r="M90" s="1244"/>
      <c r="N90" s="54"/>
      <c r="O90" s="1247"/>
      <c r="P90" s="1247"/>
      <c r="Q90" s="176"/>
      <c r="R90" s="5954">
        <f t="shared" si="21"/>
        <v>7</v>
      </c>
      <c r="S90" s="2032" t="s">
        <v>5126</v>
      </c>
      <c r="T90" s="1239" t="s">
        <v>5127</v>
      </c>
      <c r="U90" s="5909" t="s">
        <v>5128</v>
      </c>
      <c r="W90" s="5937">
        <f t="shared" si="18"/>
        <v>31</v>
      </c>
      <c r="X90" s="1259" t="s">
        <v>5129</v>
      </c>
      <c r="Y90" s="1260" t="s">
        <v>5130</v>
      </c>
      <c r="Z90" s="1260" t="s">
        <v>5131</v>
      </c>
      <c r="AA90" s="1260" t="s">
        <v>5132</v>
      </c>
      <c r="AB90" s="1260" t="s">
        <v>5133</v>
      </c>
      <c r="AC90" s="1260" t="s">
        <v>5134</v>
      </c>
      <c r="AD90" s="1259" t="s">
        <v>5129</v>
      </c>
      <c r="AF90" s="3">
        <v>1</v>
      </c>
    </row>
    <row r="91" spans="2:32" ht="30" customHeight="1">
      <c r="B91" s="1256">
        <v>11</v>
      </c>
      <c r="C91" s="1257" t="s">
        <v>5135</v>
      </c>
      <c r="D91" s="5950" t="s">
        <v>5136</v>
      </c>
      <c r="E91" s="2033" t="s">
        <v>5137</v>
      </c>
      <c r="F91" s="9"/>
      <c r="G91" s="1256"/>
      <c r="H91" s="1257"/>
      <c r="I91" s="1261"/>
      <c r="J91" s="1261"/>
      <c r="L91" s="5946"/>
      <c r="M91" s="1244"/>
      <c r="N91" s="54"/>
      <c r="O91" s="1247"/>
      <c r="P91" s="1247"/>
      <c r="Q91" s="176"/>
      <c r="R91" s="5954">
        <f t="shared" si="21"/>
        <v>8</v>
      </c>
      <c r="S91" s="2032" t="s">
        <v>5144</v>
      </c>
      <c r="T91" s="1239" t="s">
        <v>5145</v>
      </c>
      <c r="U91" s="5909" t="s">
        <v>5146</v>
      </c>
      <c r="W91" s="5937">
        <f t="shared" si="18"/>
        <v>32</v>
      </c>
      <c r="X91" s="1259" t="s">
        <v>5147</v>
      </c>
      <c r="Y91" s="1260" t="s">
        <v>5148</v>
      </c>
      <c r="Z91" s="1260" t="s">
        <v>5149</v>
      </c>
      <c r="AA91" s="1260" t="s">
        <v>5150</v>
      </c>
      <c r="AB91" s="1260" t="s">
        <v>5151</v>
      </c>
      <c r="AC91" s="1260" t="s">
        <v>5152</v>
      </c>
      <c r="AD91" s="1259" t="s">
        <v>5147</v>
      </c>
      <c r="AF91" s="3">
        <v>1</v>
      </c>
    </row>
    <row r="92" spans="2:32" ht="30" customHeight="1">
      <c r="B92" s="1256">
        <v>12</v>
      </c>
      <c r="C92" s="1257" t="s">
        <v>5153</v>
      </c>
      <c r="D92" s="5950" t="s">
        <v>5154</v>
      </c>
      <c r="E92" s="2033" t="s">
        <v>5155</v>
      </c>
      <c r="F92" s="9"/>
      <c r="G92" s="1256"/>
      <c r="H92" s="1257"/>
      <c r="I92" s="1261"/>
      <c r="J92" s="1261"/>
      <c r="L92" s="5946"/>
      <c r="M92" s="1244"/>
      <c r="N92" s="54"/>
      <c r="O92" s="1247"/>
      <c r="P92" s="1247"/>
      <c r="Q92" s="176"/>
      <c r="R92" s="5954">
        <f t="shared" si="21"/>
        <v>9</v>
      </c>
      <c r="S92" s="2032" t="s">
        <v>5162</v>
      </c>
      <c r="T92" s="1239" t="s">
        <v>5163</v>
      </c>
      <c r="U92" s="5909" t="s">
        <v>5164</v>
      </c>
      <c r="W92" s="5937">
        <f t="shared" si="18"/>
        <v>33</v>
      </c>
      <c r="X92" s="1259" t="s">
        <v>5165</v>
      </c>
      <c r="Y92" s="1260" t="s">
        <v>5166</v>
      </c>
      <c r="Z92" s="1260" t="s">
        <v>5167</v>
      </c>
      <c r="AA92" s="1260" t="s">
        <v>5168</v>
      </c>
      <c r="AB92" s="1260" t="s">
        <v>5169</v>
      </c>
      <c r="AC92" s="1260" t="s">
        <v>5170</v>
      </c>
      <c r="AD92" s="1259" t="s">
        <v>5165</v>
      </c>
      <c r="AF92" s="3">
        <v>1</v>
      </c>
    </row>
    <row r="93" spans="2:32" ht="30" customHeight="1">
      <c r="B93" s="1256">
        <v>13</v>
      </c>
      <c r="C93" s="1257" t="s">
        <v>5171</v>
      </c>
      <c r="D93" s="5950" t="s">
        <v>5172</v>
      </c>
      <c r="E93" s="2033" t="s">
        <v>5173</v>
      </c>
      <c r="F93" s="9"/>
      <c r="G93" s="1256"/>
      <c r="H93" s="1257"/>
      <c r="I93" s="1261"/>
      <c r="J93" s="1261"/>
      <c r="L93" s="5946"/>
      <c r="M93" s="1244"/>
      <c r="N93" s="54"/>
      <c r="O93" s="1247"/>
      <c r="P93" s="1247"/>
      <c r="Q93" s="176"/>
      <c r="R93" s="5954"/>
      <c r="S93" s="2031" t="s">
        <v>4522</v>
      </c>
      <c r="T93" s="2023"/>
      <c r="U93" s="5951"/>
      <c r="W93" s="5937">
        <f t="shared" si="18"/>
        <v>34</v>
      </c>
      <c r="X93" s="1259" t="s">
        <v>5180</v>
      </c>
      <c r="Y93" s="1260" t="s">
        <v>5181</v>
      </c>
      <c r="Z93" s="1260" t="s">
        <v>5182</v>
      </c>
      <c r="AA93" s="1260" t="s">
        <v>5183</v>
      </c>
      <c r="AB93" s="1260" t="s">
        <v>5184</v>
      </c>
      <c r="AC93" s="1260" t="s">
        <v>5185</v>
      </c>
      <c r="AD93" s="1259" t="s">
        <v>5180</v>
      </c>
      <c r="AF93" s="3">
        <v>1</v>
      </c>
    </row>
    <row r="94" spans="2:32" ht="30" customHeight="1">
      <c r="B94" s="1256">
        <v>14</v>
      </c>
      <c r="C94" s="1257" t="s">
        <v>5186</v>
      </c>
      <c r="D94" s="5950" t="s">
        <v>5187</v>
      </c>
      <c r="E94" s="2033" t="s">
        <v>5188</v>
      </c>
      <c r="F94" s="9"/>
      <c r="G94" s="1256"/>
      <c r="H94" s="1257"/>
      <c r="I94" s="1261"/>
      <c r="J94" s="1261"/>
      <c r="L94" s="5946"/>
      <c r="M94" s="1244"/>
      <c r="N94" s="54"/>
      <c r="O94" s="1247"/>
      <c r="P94" s="1247"/>
      <c r="Q94" s="176"/>
      <c r="R94" s="5954">
        <v>1</v>
      </c>
      <c r="S94" s="2032" t="s">
        <v>5195</v>
      </c>
      <c r="T94" s="1239" t="s">
        <v>5196</v>
      </c>
      <c r="U94" s="5909" t="s">
        <v>5197</v>
      </c>
      <c r="W94" s="5937">
        <f t="shared" si="18"/>
        <v>35</v>
      </c>
      <c r="X94" s="1259" t="s">
        <v>5198</v>
      </c>
      <c r="Y94" s="1260" t="s">
        <v>5199</v>
      </c>
      <c r="Z94" s="1263" t="s">
        <v>5200</v>
      </c>
      <c r="AA94" s="1260" t="s">
        <v>5201</v>
      </c>
      <c r="AB94" s="1260" t="s">
        <v>5202</v>
      </c>
      <c r="AC94" s="1260" t="s">
        <v>5203</v>
      </c>
      <c r="AD94" s="1259" t="s">
        <v>5198</v>
      </c>
      <c r="AF94" s="3">
        <v>1</v>
      </c>
    </row>
    <row r="95" spans="2:32" ht="30" customHeight="1">
      <c r="B95" s="1256">
        <v>15</v>
      </c>
      <c r="C95" s="1257" t="s">
        <v>5204</v>
      </c>
      <c r="D95" s="5950" t="s">
        <v>5205</v>
      </c>
      <c r="E95" s="2033" t="s">
        <v>5206</v>
      </c>
      <c r="F95" s="9"/>
      <c r="G95" s="1256"/>
      <c r="H95" s="1257"/>
      <c r="I95" s="1261"/>
      <c r="J95" s="1261"/>
      <c r="L95" s="5946"/>
      <c r="M95" s="1244"/>
      <c r="N95" s="54"/>
      <c r="O95" s="1247"/>
      <c r="P95" s="1247"/>
      <c r="Q95" s="176"/>
      <c r="R95" s="5954">
        <f>R94+1</f>
        <v>2</v>
      </c>
      <c r="S95" s="2032" t="s">
        <v>5213</v>
      </c>
      <c r="T95" s="1239" t="s">
        <v>5214</v>
      </c>
      <c r="U95" s="5909" t="s">
        <v>5215</v>
      </c>
      <c r="W95" s="5937">
        <f t="shared" si="18"/>
        <v>36</v>
      </c>
      <c r="X95" s="1259" t="s">
        <v>5216</v>
      </c>
      <c r="Y95" s="1260" t="s">
        <v>5217</v>
      </c>
      <c r="Z95" s="1260" t="s">
        <v>5218</v>
      </c>
      <c r="AA95" s="1260" t="s">
        <v>5219</v>
      </c>
      <c r="AB95" s="1260" t="s">
        <v>5220</v>
      </c>
      <c r="AC95" s="1260" t="s">
        <v>5221</v>
      </c>
      <c r="AD95" s="1259" t="s">
        <v>5216</v>
      </c>
      <c r="AF95" s="3">
        <v>1</v>
      </c>
    </row>
    <row r="96" spans="2:32" ht="30" customHeight="1">
      <c r="B96" s="1256">
        <v>16</v>
      </c>
      <c r="C96" s="1257" t="s">
        <v>5222</v>
      </c>
      <c r="D96" s="5950" t="s">
        <v>5223</v>
      </c>
      <c r="E96" s="2033" t="s">
        <v>5224</v>
      </c>
      <c r="F96" s="9"/>
      <c r="G96" s="1256"/>
      <c r="H96" s="1257"/>
      <c r="I96" s="1261"/>
      <c r="J96" s="1261"/>
      <c r="L96" s="5946"/>
      <c r="M96" s="1244"/>
      <c r="N96" s="54"/>
      <c r="O96" s="1247"/>
      <c r="P96" s="1247"/>
      <c r="Q96" s="176"/>
      <c r="R96" s="5954">
        <f t="shared" ref="R96:R97" si="22">R95+1</f>
        <v>3</v>
      </c>
      <c r="S96" s="2032" t="s">
        <v>5225</v>
      </c>
      <c r="T96" s="1239" t="s">
        <v>5226</v>
      </c>
      <c r="U96" s="5909" t="s">
        <v>5227</v>
      </c>
      <c r="W96" s="5937">
        <f t="shared" si="18"/>
        <v>37</v>
      </c>
      <c r="X96" s="1259" t="s">
        <v>5228</v>
      </c>
      <c r="Y96" s="1260" t="s">
        <v>5229</v>
      </c>
      <c r="Z96" s="1260" t="s">
        <v>5230</v>
      </c>
      <c r="AA96" s="1260" t="s">
        <v>5231</v>
      </c>
      <c r="AB96" s="1260" t="s">
        <v>5232</v>
      </c>
      <c r="AC96" s="1260" t="s">
        <v>5233</v>
      </c>
      <c r="AD96" s="1259" t="s">
        <v>5228</v>
      </c>
      <c r="AF96" s="3">
        <v>1</v>
      </c>
    </row>
    <row r="97" spans="2:32" ht="30" customHeight="1">
      <c r="B97" s="1256">
        <v>17</v>
      </c>
      <c r="C97" s="1257" t="s">
        <v>5234</v>
      </c>
      <c r="D97" s="5950" t="s">
        <v>5235</v>
      </c>
      <c r="E97" s="2033" t="s">
        <v>5236</v>
      </c>
      <c r="F97" s="9"/>
      <c r="G97" s="1256"/>
      <c r="H97" s="1257"/>
      <c r="I97" s="1261"/>
      <c r="J97" s="1261"/>
      <c r="L97" s="5946"/>
      <c r="M97" s="1244"/>
      <c r="N97" s="54"/>
      <c r="O97" s="1247"/>
      <c r="P97" s="1247"/>
      <c r="Q97" s="176"/>
      <c r="R97" s="5954">
        <f t="shared" si="22"/>
        <v>4</v>
      </c>
      <c r="S97" s="2032" t="s">
        <v>5243</v>
      </c>
      <c r="T97" s="1239" t="s">
        <v>5244</v>
      </c>
      <c r="U97" s="5909" t="s">
        <v>5245</v>
      </c>
      <c r="W97" s="5937">
        <f t="shared" si="18"/>
        <v>38</v>
      </c>
      <c r="X97" s="1259" t="s">
        <v>5246</v>
      </c>
      <c r="Y97" s="1260" t="s">
        <v>5247</v>
      </c>
      <c r="Z97" s="1263" t="s">
        <v>5248</v>
      </c>
      <c r="AA97" s="1260" t="s">
        <v>5249</v>
      </c>
      <c r="AB97" s="1260" t="s">
        <v>5250</v>
      </c>
      <c r="AC97" s="1260" t="s">
        <v>5251</v>
      </c>
      <c r="AD97" s="1259" t="s">
        <v>5246</v>
      </c>
      <c r="AF97" s="3">
        <v>1</v>
      </c>
    </row>
    <row r="98" spans="2:32" ht="30" customHeight="1">
      <c r="B98" s="1256">
        <v>18</v>
      </c>
      <c r="C98" s="1257" t="s">
        <v>5252</v>
      </c>
      <c r="D98" s="5950" t="s">
        <v>5253</v>
      </c>
      <c r="E98" s="2033" t="s">
        <v>5254</v>
      </c>
      <c r="F98" s="9"/>
      <c r="G98" s="1256"/>
      <c r="H98" s="1257"/>
      <c r="I98" s="1261"/>
      <c r="J98" s="1261"/>
      <c r="L98" s="5946"/>
      <c r="M98" s="1244"/>
      <c r="N98" s="54"/>
      <c r="O98" s="1247"/>
      <c r="P98" s="1247"/>
      <c r="Q98" s="176"/>
      <c r="R98" s="5954"/>
      <c r="S98" s="2031" t="s">
        <v>4683</v>
      </c>
      <c r="T98" s="2023"/>
      <c r="U98" s="5951"/>
      <c r="W98" s="5937">
        <f t="shared" si="18"/>
        <v>39</v>
      </c>
      <c r="X98" s="1259" t="s">
        <v>5261</v>
      </c>
      <c r="Y98" s="1260" t="s">
        <v>5262</v>
      </c>
      <c r="Z98" s="1260" t="s">
        <v>5263</v>
      </c>
      <c r="AA98" s="1260" t="s">
        <v>5264</v>
      </c>
      <c r="AB98" s="1260" t="s">
        <v>5265</v>
      </c>
      <c r="AC98" s="1260" t="s">
        <v>5266</v>
      </c>
      <c r="AD98" s="1259" t="s">
        <v>5261</v>
      </c>
      <c r="AF98" s="3">
        <v>1</v>
      </c>
    </row>
    <row r="99" spans="2:32" ht="30" customHeight="1">
      <c r="B99" s="1256">
        <v>19</v>
      </c>
      <c r="C99" s="1257" t="s">
        <v>5267</v>
      </c>
      <c r="D99" s="5950" t="s">
        <v>5268</v>
      </c>
      <c r="E99" s="2033" t="s">
        <v>5269</v>
      </c>
      <c r="F99" s="9"/>
      <c r="G99" s="1256"/>
      <c r="H99" s="1257"/>
      <c r="I99" s="1261"/>
      <c r="J99" s="1261"/>
      <c r="L99" s="5946"/>
      <c r="M99" s="1244"/>
      <c r="N99" s="54"/>
      <c r="O99" s="1247"/>
      <c r="P99" s="1247"/>
      <c r="Q99" s="176"/>
      <c r="R99" s="5954">
        <v>1</v>
      </c>
      <c r="S99" s="2032" t="s">
        <v>5271</v>
      </c>
      <c r="T99" s="1239" t="s">
        <v>5272</v>
      </c>
      <c r="U99" s="5909" t="s">
        <v>5273</v>
      </c>
      <c r="W99" s="5937">
        <f t="shared" si="18"/>
        <v>40</v>
      </c>
      <c r="X99" s="1259" t="s">
        <v>5274</v>
      </c>
      <c r="Y99" s="1260" t="s">
        <v>5275</v>
      </c>
      <c r="Z99" s="1260" t="s">
        <v>5276</v>
      </c>
      <c r="AA99" s="1260" t="s">
        <v>5277</v>
      </c>
      <c r="AB99" s="1260" t="s">
        <v>5278</v>
      </c>
      <c r="AC99" s="1260" t="s">
        <v>5279</v>
      </c>
      <c r="AD99" s="1259" t="s">
        <v>5274</v>
      </c>
      <c r="AF99" s="3">
        <v>1</v>
      </c>
    </row>
    <row r="100" spans="2:32" ht="30" customHeight="1">
      <c r="B100" s="1256">
        <v>20</v>
      </c>
      <c r="C100" s="1257" t="s">
        <v>5280</v>
      </c>
      <c r="D100" s="5950" t="s">
        <v>5281</v>
      </c>
      <c r="E100" s="2033" t="s">
        <v>5282</v>
      </c>
      <c r="F100" s="9"/>
      <c r="G100" s="1256"/>
      <c r="H100" s="1257"/>
      <c r="I100" s="1261"/>
      <c r="J100" s="1261"/>
      <c r="L100" s="5946"/>
      <c r="M100" s="1244"/>
      <c r="N100" s="54"/>
      <c r="O100" s="1247"/>
      <c r="P100" s="1247"/>
      <c r="Q100" s="176"/>
      <c r="R100" s="5954"/>
      <c r="S100" s="2031" t="s">
        <v>4813</v>
      </c>
      <c r="T100" s="2023"/>
      <c r="U100" s="5951"/>
      <c r="W100" s="5937">
        <f t="shared" si="18"/>
        <v>41</v>
      </c>
      <c r="X100" s="1259" t="s">
        <v>5289</v>
      </c>
      <c r="Y100" s="1260" t="s">
        <v>5290</v>
      </c>
      <c r="Z100" s="1260" t="s">
        <v>5291</v>
      </c>
      <c r="AA100" s="1260" t="s">
        <v>5292</v>
      </c>
      <c r="AB100" s="1260" t="s">
        <v>5293</v>
      </c>
      <c r="AC100" s="1260" t="s">
        <v>5294</v>
      </c>
      <c r="AD100" s="1259" t="s">
        <v>5289</v>
      </c>
      <c r="AF100" s="3">
        <v>1</v>
      </c>
    </row>
    <row r="101" spans="2:32" ht="30" customHeight="1">
      <c r="B101" s="1256">
        <v>21</v>
      </c>
      <c r="C101" s="1257" t="s">
        <v>5295</v>
      </c>
      <c r="D101" s="5950" t="s">
        <v>5296</v>
      </c>
      <c r="E101" s="2033" t="s">
        <v>5297</v>
      </c>
      <c r="F101" s="9"/>
      <c r="G101" s="1256"/>
      <c r="H101" s="1257"/>
      <c r="I101" s="1261"/>
      <c r="J101" s="1261"/>
      <c r="L101" s="5946"/>
      <c r="M101" s="1244"/>
      <c r="N101" s="54"/>
      <c r="O101" s="1247"/>
      <c r="P101" s="1247"/>
      <c r="Q101" s="176"/>
      <c r="R101" s="5954">
        <v>1</v>
      </c>
      <c r="S101" s="2032" t="s">
        <v>5304</v>
      </c>
      <c r="T101" s="1239" t="s">
        <v>5305</v>
      </c>
      <c r="U101" s="5909" t="s">
        <v>5306</v>
      </c>
      <c r="W101" s="5937">
        <f t="shared" si="18"/>
        <v>42</v>
      </c>
      <c r="X101" s="1259" t="s">
        <v>579</v>
      </c>
      <c r="Y101" s="1260" t="s">
        <v>5307</v>
      </c>
      <c r="Z101" s="1260" t="s">
        <v>5308</v>
      </c>
      <c r="AA101" s="1260" t="s">
        <v>5309</v>
      </c>
      <c r="AB101" s="1260" t="s">
        <v>5310</v>
      </c>
      <c r="AC101" s="1260" t="s">
        <v>5311</v>
      </c>
      <c r="AD101" s="1259" t="s">
        <v>579</v>
      </c>
      <c r="AF101" s="3">
        <v>1</v>
      </c>
    </row>
    <row r="102" spans="2:32" ht="30" customHeight="1">
      <c r="B102" s="1256">
        <v>22</v>
      </c>
      <c r="C102" s="1257" t="s">
        <v>5312</v>
      </c>
      <c r="D102" s="5950" t="s">
        <v>5313</v>
      </c>
      <c r="E102" s="2033" t="s">
        <v>5314</v>
      </c>
      <c r="F102" s="9"/>
      <c r="G102" s="1256"/>
      <c r="H102" s="1257"/>
      <c r="I102" s="1261"/>
      <c r="J102" s="1261"/>
      <c r="L102" s="5946"/>
      <c r="M102" s="1244"/>
      <c r="N102" s="54"/>
      <c r="O102" s="1247"/>
      <c r="P102" s="1247"/>
      <c r="Q102" s="176"/>
      <c r="R102" s="5954">
        <f>R101+1</f>
        <v>2</v>
      </c>
      <c r="S102" s="2032" t="s">
        <v>5321</v>
      </c>
      <c r="T102" s="1239" t="s">
        <v>5322</v>
      </c>
      <c r="U102" s="5909" t="s">
        <v>5323</v>
      </c>
      <c r="W102" s="5937">
        <f t="shared" si="18"/>
        <v>43</v>
      </c>
      <c r="X102" s="1259" t="s">
        <v>5324</v>
      </c>
      <c r="Y102" s="1260" t="s">
        <v>5325</v>
      </c>
      <c r="Z102" s="1260" t="s">
        <v>5326</v>
      </c>
      <c r="AA102" s="1260" t="s">
        <v>5327</v>
      </c>
      <c r="AB102" s="1260" t="s">
        <v>5328</v>
      </c>
      <c r="AC102" s="1260" t="s">
        <v>5329</v>
      </c>
      <c r="AD102" s="1259" t="s">
        <v>5324</v>
      </c>
      <c r="AF102" s="3">
        <v>1</v>
      </c>
    </row>
    <row r="103" spans="2:32" ht="30" customHeight="1">
      <c r="B103" s="1256">
        <v>23</v>
      </c>
      <c r="C103" s="1257" t="s">
        <v>5330</v>
      </c>
      <c r="D103" s="5950" t="s">
        <v>5331</v>
      </c>
      <c r="E103" s="2033" t="s">
        <v>5332</v>
      </c>
      <c r="F103" s="9"/>
      <c r="G103" s="1256"/>
      <c r="H103" s="1257"/>
      <c r="I103" s="1261"/>
      <c r="J103" s="1261"/>
      <c r="L103" s="5946"/>
      <c r="M103" s="1244"/>
      <c r="N103" s="54"/>
      <c r="O103" s="1247"/>
      <c r="P103" s="1247"/>
      <c r="Q103" s="176"/>
      <c r="R103" s="5954">
        <f>R102+1</f>
        <v>3</v>
      </c>
      <c r="S103" s="2032" t="s">
        <v>5339</v>
      </c>
      <c r="T103" s="1239" t="s">
        <v>5340</v>
      </c>
      <c r="U103" s="5909" t="s">
        <v>5341</v>
      </c>
      <c r="W103" s="5937">
        <f t="shared" si="18"/>
        <v>44</v>
      </c>
      <c r="X103" s="1259" t="s">
        <v>5342</v>
      </c>
      <c r="Y103" s="1260" t="s">
        <v>5343</v>
      </c>
      <c r="Z103" s="1260" t="s">
        <v>5344</v>
      </c>
      <c r="AA103" s="1260" t="s">
        <v>5345</v>
      </c>
      <c r="AB103" s="1260" t="s">
        <v>5346</v>
      </c>
      <c r="AC103" s="1260" t="s">
        <v>5347</v>
      </c>
      <c r="AD103" s="1259" t="s">
        <v>5342</v>
      </c>
      <c r="AF103" s="3">
        <v>1</v>
      </c>
    </row>
    <row r="104" spans="2:32" ht="30" customHeight="1">
      <c r="B104" s="1256"/>
      <c r="D104" s="5962"/>
      <c r="E104" s="2035"/>
      <c r="F104" s="9"/>
      <c r="G104" s="1256"/>
      <c r="H104" s="1257"/>
      <c r="I104" s="1261"/>
      <c r="J104" s="1261"/>
      <c r="L104" s="5946"/>
      <c r="M104" s="1244"/>
      <c r="N104" s="54"/>
      <c r="O104" s="1247"/>
      <c r="P104" s="1247"/>
      <c r="Q104" s="176"/>
      <c r="R104" s="5954"/>
      <c r="S104" s="2031" t="s">
        <v>5354</v>
      </c>
      <c r="T104" s="2023"/>
      <c r="U104" s="5951"/>
      <c r="W104" s="5937"/>
      <c r="AF104" s="3">
        <v>1</v>
      </c>
    </row>
    <row r="105" spans="2:32" ht="30" customHeight="1">
      <c r="B105" s="5964"/>
      <c r="C105" s="2042" t="s">
        <v>5355</v>
      </c>
      <c r="D105" s="2043"/>
      <c r="E105" s="5961"/>
      <c r="F105" s="9"/>
      <c r="G105" s="1256"/>
      <c r="H105" s="1257"/>
      <c r="I105" s="1261"/>
      <c r="J105" s="1261"/>
      <c r="L105" s="5946"/>
      <c r="M105" s="1244"/>
      <c r="N105" s="54"/>
      <c r="O105" s="1247"/>
      <c r="P105" s="1247"/>
      <c r="Q105" s="176"/>
      <c r="R105" s="5954">
        <v>1</v>
      </c>
      <c r="S105" s="2032" t="s">
        <v>5362</v>
      </c>
      <c r="T105" s="1239" t="s">
        <v>5363</v>
      </c>
      <c r="U105" s="5909" t="s">
        <v>5364</v>
      </c>
      <c r="W105" s="5937"/>
      <c r="X105" s="5952" t="s">
        <v>1486</v>
      </c>
      <c r="Y105" s="1238"/>
      <c r="Z105" s="1238"/>
      <c r="AA105" s="1284"/>
      <c r="AB105" s="1255"/>
      <c r="AC105" s="1255"/>
      <c r="AD105" s="5952" t="s">
        <v>1486</v>
      </c>
      <c r="AF105" s="3">
        <v>1</v>
      </c>
    </row>
    <row r="106" spans="2:32" ht="30" customHeight="1">
      <c r="B106" s="1256">
        <v>1</v>
      </c>
      <c r="C106" s="1257" t="s">
        <v>5365</v>
      </c>
      <c r="D106" s="5950" t="s">
        <v>5366</v>
      </c>
      <c r="E106" s="2033" t="s">
        <v>5367</v>
      </c>
      <c r="F106" s="9"/>
      <c r="G106" s="1256"/>
      <c r="H106" s="1257"/>
      <c r="I106" s="1261"/>
      <c r="J106" s="1261"/>
      <c r="L106" s="5946"/>
      <c r="M106" s="1244"/>
      <c r="N106" s="54"/>
      <c r="O106" s="1247"/>
      <c r="P106" s="1247"/>
      <c r="Q106" s="176"/>
      <c r="R106" s="5954"/>
      <c r="S106" s="2031" t="s">
        <v>1488</v>
      </c>
      <c r="T106" s="2023"/>
      <c r="U106" s="5951"/>
      <c r="W106" s="5937">
        <v>1</v>
      </c>
      <c r="X106" s="1259" t="s">
        <v>5374</v>
      </c>
      <c r="Y106" s="1260" t="s">
        <v>5375</v>
      </c>
      <c r="Z106" s="1260" t="s">
        <v>5376</v>
      </c>
      <c r="AA106" s="1260" t="s">
        <v>5377</v>
      </c>
      <c r="AB106" s="1260" t="s">
        <v>5378</v>
      </c>
      <c r="AC106" s="1260" t="s">
        <v>5379</v>
      </c>
      <c r="AD106" s="1259" t="s">
        <v>5374</v>
      </c>
      <c r="AF106" s="3">
        <v>1</v>
      </c>
    </row>
    <row r="107" spans="2:32" ht="30" customHeight="1">
      <c r="B107" s="1256">
        <v>2</v>
      </c>
      <c r="C107" s="1257" t="s">
        <v>5380</v>
      </c>
      <c r="D107" s="5950" t="s">
        <v>5381</v>
      </c>
      <c r="E107" s="2033" t="s">
        <v>5382</v>
      </c>
      <c r="F107" s="9"/>
      <c r="G107" s="1256"/>
      <c r="H107" s="1257"/>
      <c r="I107" s="1261"/>
      <c r="J107" s="1261"/>
      <c r="L107" s="5946"/>
      <c r="M107" s="1244"/>
      <c r="N107" s="54"/>
      <c r="O107" s="1247"/>
      <c r="P107" s="1247"/>
      <c r="Q107" s="176"/>
      <c r="R107" s="5954">
        <v>1</v>
      </c>
      <c r="S107" s="2032" t="s">
        <v>5383</v>
      </c>
      <c r="T107" s="1239" t="s">
        <v>5384</v>
      </c>
      <c r="U107" s="5909" t="s">
        <v>5385</v>
      </c>
      <c r="W107" s="5937">
        <f>W106+1</f>
        <v>2</v>
      </c>
      <c r="X107" s="1259" t="s">
        <v>5386</v>
      </c>
      <c r="Y107" s="1260" t="s">
        <v>5387</v>
      </c>
      <c r="Z107" s="1263" t="s">
        <v>5388</v>
      </c>
      <c r="AA107" s="1260" t="s">
        <v>5389</v>
      </c>
      <c r="AB107" s="1260" t="s">
        <v>5390</v>
      </c>
      <c r="AC107" s="1260" t="s">
        <v>5391</v>
      </c>
      <c r="AD107" s="1259" t="s">
        <v>5386</v>
      </c>
      <c r="AF107" s="3">
        <v>1</v>
      </c>
    </row>
    <row r="108" spans="2:32" ht="30" customHeight="1">
      <c r="B108" s="1256">
        <v>3</v>
      </c>
      <c r="C108" s="1257" t="s">
        <v>5392</v>
      </c>
      <c r="D108" s="5950" t="s">
        <v>5393</v>
      </c>
      <c r="E108" s="2033" t="s">
        <v>5394</v>
      </c>
      <c r="F108" s="9"/>
      <c r="G108" s="1256"/>
      <c r="H108" s="1257"/>
      <c r="I108" s="1261"/>
      <c r="J108" s="1261"/>
      <c r="L108" s="5946"/>
      <c r="M108" s="1244"/>
      <c r="N108" s="54"/>
      <c r="O108" s="1247"/>
      <c r="P108" s="1247"/>
      <c r="Q108" s="176"/>
      <c r="R108" s="5954">
        <f>R107+1</f>
        <v>2</v>
      </c>
      <c r="S108" s="2032" t="s">
        <v>5401</v>
      </c>
      <c r="T108" s="1239" t="s">
        <v>5402</v>
      </c>
      <c r="U108" s="5909" t="s">
        <v>5403</v>
      </c>
      <c r="W108" s="5937">
        <f t="shared" ref="W108:W155" si="23">W107+1</f>
        <v>3</v>
      </c>
      <c r="X108" s="1259" t="s">
        <v>5404</v>
      </c>
      <c r="Y108" s="1260" t="s">
        <v>5405</v>
      </c>
      <c r="Z108" s="1263" t="s">
        <v>5406</v>
      </c>
      <c r="AA108" s="1260" t="s">
        <v>5407</v>
      </c>
      <c r="AB108" s="1260" t="s">
        <v>5408</v>
      </c>
      <c r="AC108" s="1260" t="s">
        <v>5409</v>
      </c>
      <c r="AD108" s="1259" t="s">
        <v>5404</v>
      </c>
      <c r="AF108" s="3">
        <v>1</v>
      </c>
    </row>
    <row r="109" spans="2:32" ht="30" customHeight="1">
      <c r="B109" s="1256">
        <v>4</v>
      </c>
      <c r="C109" s="1257" t="s">
        <v>5410</v>
      </c>
      <c r="D109" s="5950" t="s">
        <v>5411</v>
      </c>
      <c r="E109" s="2033" t="s">
        <v>5412</v>
      </c>
      <c r="F109" s="9"/>
      <c r="G109" s="1256"/>
      <c r="H109" s="1257"/>
      <c r="I109" s="1261"/>
      <c r="J109" s="1261"/>
      <c r="L109" s="5946"/>
      <c r="M109" s="1244"/>
      <c r="N109" s="54"/>
      <c r="O109" s="1247"/>
      <c r="P109" s="1247"/>
      <c r="Q109" s="176"/>
      <c r="R109" s="5954"/>
      <c r="S109" s="627"/>
      <c r="T109" s="627"/>
      <c r="U109" s="627"/>
      <c r="W109" s="5937">
        <f t="shared" si="23"/>
        <v>4</v>
      </c>
      <c r="X109" s="1259" t="s">
        <v>5413</v>
      </c>
      <c r="Y109" s="1260" t="s">
        <v>5414</v>
      </c>
      <c r="Z109" s="1263" t="s">
        <v>5415</v>
      </c>
      <c r="AA109" s="1260" t="s">
        <v>5416</v>
      </c>
      <c r="AB109" s="1260" t="s">
        <v>5417</v>
      </c>
      <c r="AC109" s="1260" t="s">
        <v>5418</v>
      </c>
      <c r="AD109" s="1259" t="s">
        <v>5413</v>
      </c>
      <c r="AF109" s="3">
        <v>1</v>
      </c>
    </row>
    <row r="110" spans="2:32" ht="30" customHeight="1">
      <c r="B110" s="1256">
        <v>5</v>
      </c>
      <c r="C110" s="1257" t="s">
        <v>5419</v>
      </c>
      <c r="D110" s="5950" t="s">
        <v>5420</v>
      </c>
      <c r="E110" s="2033" t="s">
        <v>5421</v>
      </c>
      <c r="F110" s="9"/>
      <c r="G110" s="1256"/>
      <c r="H110" s="1257"/>
      <c r="I110" s="1261"/>
      <c r="J110" s="1261"/>
      <c r="L110" s="5946"/>
      <c r="M110" s="1244"/>
      <c r="N110" s="54"/>
      <c r="O110" s="1247"/>
      <c r="P110" s="1247"/>
      <c r="Q110" s="176"/>
      <c r="R110" s="1245" t="s">
        <v>1693</v>
      </c>
      <c r="S110" s="1285" t="s">
        <v>5428</v>
      </c>
      <c r="T110" s="1239"/>
      <c r="U110" s="1239"/>
      <c r="W110" s="5937">
        <f t="shared" si="23"/>
        <v>5</v>
      </c>
      <c r="X110" s="1259" t="s">
        <v>5429</v>
      </c>
      <c r="Y110" s="1260" t="s">
        <v>5430</v>
      </c>
      <c r="Z110" s="1260" t="s">
        <v>5431</v>
      </c>
      <c r="AA110" s="1260" t="s">
        <v>5432</v>
      </c>
      <c r="AB110" s="1260" t="s">
        <v>5433</v>
      </c>
      <c r="AC110" s="1260" t="s">
        <v>5434</v>
      </c>
      <c r="AD110" s="1259" t="s">
        <v>5429</v>
      </c>
      <c r="AF110" s="3">
        <v>1</v>
      </c>
    </row>
    <row r="111" spans="2:32" ht="30" customHeight="1">
      <c r="B111" s="1256">
        <v>6</v>
      </c>
      <c r="C111" s="1257" t="s">
        <v>5435</v>
      </c>
      <c r="D111" s="5950" t="s">
        <v>5436</v>
      </c>
      <c r="E111" s="2033" t="s">
        <v>5437</v>
      </c>
      <c r="F111" s="9"/>
      <c r="G111" s="1256"/>
      <c r="H111" s="1257"/>
      <c r="I111" s="1261"/>
      <c r="J111" s="1261"/>
      <c r="L111" s="5946"/>
      <c r="M111" s="1244"/>
      <c r="N111" s="54"/>
      <c r="O111" s="1247"/>
      <c r="P111" s="1247"/>
      <c r="Q111" s="176"/>
      <c r="R111" s="1245" t="s">
        <v>1693</v>
      </c>
      <c r="S111" s="1285" t="s">
        <v>5444</v>
      </c>
      <c r="T111" s="1073"/>
      <c r="U111" s="1073"/>
      <c r="W111" s="5937">
        <f t="shared" si="23"/>
        <v>6</v>
      </c>
      <c r="X111" s="1259" t="s">
        <v>5445</v>
      </c>
      <c r="Y111" s="1260" t="s">
        <v>5446</v>
      </c>
      <c r="Z111" s="1263" t="s">
        <v>5447</v>
      </c>
      <c r="AA111" s="1260" t="s">
        <v>5448</v>
      </c>
      <c r="AB111" s="1260" t="s">
        <v>5449</v>
      </c>
      <c r="AC111" s="1260" t="s">
        <v>5450</v>
      </c>
      <c r="AD111" s="1259" t="s">
        <v>5445</v>
      </c>
      <c r="AF111" s="3">
        <v>1</v>
      </c>
    </row>
    <row r="112" spans="2:32" ht="30" customHeight="1">
      <c r="B112" s="1256">
        <v>7</v>
      </c>
      <c r="C112" s="1257" t="s">
        <v>5451</v>
      </c>
      <c r="D112" s="5950" t="s">
        <v>5452</v>
      </c>
      <c r="E112" s="2033" t="s">
        <v>5453</v>
      </c>
      <c r="F112" s="9"/>
      <c r="G112" s="1256"/>
      <c r="H112" s="1257"/>
      <c r="I112" s="1261"/>
      <c r="J112" s="1261"/>
      <c r="L112" s="5946"/>
      <c r="M112" s="1244"/>
      <c r="N112" s="54"/>
      <c r="O112" s="1247"/>
      <c r="P112" s="1247"/>
      <c r="Q112" s="176"/>
      <c r="R112" s="1245" t="s">
        <v>1693</v>
      </c>
      <c r="S112" s="1285" t="s">
        <v>5460</v>
      </c>
      <c r="T112" s="1285"/>
      <c r="U112" s="1285"/>
      <c r="W112" s="5937">
        <f t="shared" si="23"/>
        <v>7</v>
      </c>
      <c r="X112" s="1259" t="s">
        <v>5461</v>
      </c>
      <c r="Y112" s="1260" t="s">
        <v>5462</v>
      </c>
      <c r="Z112" s="1263" t="s">
        <v>5463</v>
      </c>
      <c r="AA112" s="1260" t="s">
        <v>5464</v>
      </c>
      <c r="AB112" s="1260" t="s">
        <v>5465</v>
      </c>
      <c r="AC112" s="1260" t="s">
        <v>5466</v>
      </c>
      <c r="AD112" s="1259" t="s">
        <v>5461</v>
      </c>
      <c r="AF112" s="3">
        <v>1</v>
      </c>
    </row>
    <row r="113" spans="2:32" ht="30" customHeight="1">
      <c r="B113" s="1256">
        <v>8</v>
      </c>
      <c r="C113" s="1257" t="s">
        <v>5467</v>
      </c>
      <c r="D113" s="5950" t="s">
        <v>5468</v>
      </c>
      <c r="E113" s="2033" t="s">
        <v>5469</v>
      </c>
      <c r="F113" s="9"/>
      <c r="G113" s="1256"/>
      <c r="H113" s="1257"/>
      <c r="I113" s="1261"/>
      <c r="J113" s="1261"/>
      <c r="L113" s="5946"/>
      <c r="M113" s="1244"/>
      <c r="N113" s="54"/>
      <c r="O113" s="1247"/>
      <c r="P113" s="1247"/>
      <c r="Q113" s="176"/>
      <c r="R113" s="5937"/>
      <c r="S113" s="1240"/>
      <c r="T113" s="1285"/>
      <c r="U113" s="1285"/>
      <c r="W113" s="5937">
        <f t="shared" si="23"/>
        <v>8</v>
      </c>
      <c r="X113" s="1259" t="s">
        <v>5470</v>
      </c>
      <c r="Y113" s="1260" t="s">
        <v>5471</v>
      </c>
      <c r="Z113" s="1263" t="s">
        <v>5472</v>
      </c>
      <c r="AA113" s="1260" t="s">
        <v>5473</v>
      </c>
      <c r="AB113" s="1260" t="s">
        <v>5474</v>
      </c>
      <c r="AC113" s="1260" t="s">
        <v>5475</v>
      </c>
      <c r="AD113" s="1259" t="s">
        <v>5470</v>
      </c>
      <c r="AF113" s="3">
        <v>1</v>
      </c>
    </row>
    <row r="114" spans="2:32" ht="30" customHeight="1">
      <c r="B114" s="1256">
        <v>9</v>
      </c>
      <c r="C114" s="1257" t="s">
        <v>5476</v>
      </c>
      <c r="D114" s="5950" t="s">
        <v>5477</v>
      </c>
      <c r="E114" s="2033" t="s">
        <v>5478</v>
      </c>
      <c r="F114" s="9"/>
      <c r="G114" s="1256"/>
      <c r="H114" s="1257"/>
      <c r="I114" s="1261"/>
      <c r="J114" s="1261"/>
      <c r="L114" s="5946"/>
      <c r="M114" s="1244"/>
      <c r="N114" s="54"/>
      <c r="O114" s="1247"/>
      <c r="P114" s="1247"/>
      <c r="Q114" s="176"/>
      <c r="R114" s="5937"/>
      <c r="S114" s="1240"/>
      <c r="T114" s="1285"/>
      <c r="U114" s="1285"/>
      <c r="W114" s="5937">
        <f t="shared" si="23"/>
        <v>9</v>
      </c>
      <c r="X114" s="1259" t="s">
        <v>5485</v>
      </c>
      <c r="Y114" s="1260" t="s">
        <v>5486</v>
      </c>
      <c r="Z114" s="1260" t="s">
        <v>5487</v>
      </c>
      <c r="AA114" s="1260" t="s">
        <v>5488</v>
      </c>
      <c r="AB114" s="1260" t="s">
        <v>5489</v>
      </c>
      <c r="AC114" s="1260" t="s">
        <v>5490</v>
      </c>
      <c r="AD114" s="1259" t="s">
        <v>5485</v>
      </c>
      <c r="AF114" s="3">
        <v>1</v>
      </c>
    </row>
    <row r="115" spans="2:32" ht="30" customHeight="1">
      <c r="B115" s="1256">
        <v>10</v>
      </c>
      <c r="C115" s="1257" t="s">
        <v>5491</v>
      </c>
      <c r="D115" s="5950" t="s">
        <v>5492</v>
      </c>
      <c r="E115" s="2033" t="s">
        <v>5493</v>
      </c>
      <c r="F115" s="9"/>
      <c r="G115" s="1256"/>
      <c r="H115" s="1257"/>
      <c r="I115" s="1261"/>
      <c r="J115" s="1261"/>
      <c r="L115" s="5946"/>
      <c r="M115" s="1244"/>
      <c r="N115" s="54"/>
      <c r="O115" s="1247"/>
      <c r="P115" s="1247"/>
      <c r="Q115" s="176"/>
      <c r="R115" s="5937"/>
      <c r="S115" s="1240"/>
      <c r="T115" s="1073"/>
      <c r="U115" s="1073"/>
      <c r="W115" s="5937">
        <f t="shared" si="23"/>
        <v>10</v>
      </c>
      <c r="X115" s="1259" t="s">
        <v>5494</v>
      </c>
      <c r="Y115" s="1260" t="s">
        <v>5495</v>
      </c>
      <c r="Z115" s="1263" t="s">
        <v>5496</v>
      </c>
      <c r="AA115" s="1260" t="s">
        <v>5497</v>
      </c>
      <c r="AB115" s="1260" t="s">
        <v>5498</v>
      </c>
      <c r="AC115" s="1260" t="s">
        <v>5499</v>
      </c>
      <c r="AD115" s="1259" t="s">
        <v>5494</v>
      </c>
      <c r="AF115" s="3">
        <v>1</v>
      </c>
    </row>
    <row r="116" spans="2:32" ht="30" customHeight="1">
      <c r="B116" s="1256">
        <v>11</v>
      </c>
      <c r="C116" s="1257" t="s">
        <v>5500</v>
      </c>
      <c r="D116" s="5950" t="s">
        <v>5501</v>
      </c>
      <c r="E116" s="2033" t="s">
        <v>5502</v>
      </c>
      <c r="F116" s="9"/>
      <c r="G116" s="1256"/>
      <c r="H116" s="1257"/>
      <c r="I116" s="1261"/>
      <c r="J116" s="1261"/>
      <c r="L116" s="5946"/>
      <c r="M116" s="1244"/>
      <c r="N116" s="54"/>
      <c r="O116" s="1247"/>
      <c r="P116" s="1247"/>
      <c r="Q116" s="176"/>
      <c r="R116" s="5937"/>
      <c r="S116" s="1240"/>
      <c r="T116" s="1285"/>
      <c r="U116" s="1285"/>
      <c r="W116" s="5937">
        <f t="shared" si="23"/>
        <v>11</v>
      </c>
      <c r="X116" s="1259" t="s">
        <v>5509</v>
      </c>
      <c r="Y116" s="1260" t="s">
        <v>5510</v>
      </c>
      <c r="Z116" s="1260" t="s">
        <v>5511</v>
      </c>
      <c r="AA116" s="1260" t="s">
        <v>5512</v>
      </c>
      <c r="AB116" s="1260" t="s">
        <v>5513</v>
      </c>
      <c r="AC116" s="1260" t="s">
        <v>5514</v>
      </c>
      <c r="AD116" s="1259" t="s">
        <v>5509</v>
      </c>
      <c r="AF116" s="3">
        <v>1</v>
      </c>
    </row>
    <row r="117" spans="2:32" ht="30" customHeight="1">
      <c r="B117" s="1256">
        <v>12</v>
      </c>
      <c r="C117" s="1257" t="s">
        <v>5515</v>
      </c>
      <c r="D117" s="5950" t="s">
        <v>5516</v>
      </c>
      <c r="E117" s="2033" t="s">
        <v>5517</v>
      </c>
      <c r="F117" s="9"/>
      <c r="G117" s="1256"/>
      <c r="H117" s="1257"/>
      <c r="I117" s="1261"/>
      <c r="J117" s="1261"/>
      <c r="L117" s="5946"/>
      <c r="M117" s="1244"/>
      <c r="N117" s="54"/>
      <c r="O117" s="1247"/>
      <c r="P117" s="1247"/>
      <c r="Q117" s="176"/>
      <c r="R117" s="5937"/>
      <c r="S117" s="1240"/>
      <c r="W117" s="5937">
        <f t="shared" si="23"/>
        <v>12</v>
      </c>
      <c r="X117" s="1259" t="s">
        <v>5524</v>
      </c>
      <c r="Y117" s="1260" t="s">
        <v>5525</v>
      </c>
      <c r="Z117" s="1263" t="s">
        <v>5526</v>
      </c>
      <c r="AA117" s="1260" t="s">
        <v>5527</v>
      </c>
      <c r="AB117" s="1260" t="s">
        <v>5528</v>
      </c>
      <c r="AC117" s="1260" t="s">
        <v>5529</v>
      </c>
      <c r="AD117" s="1259" t="s">
        <v>5524</v>
      </c>
      <c r="AF117" s="3">
        <v>1</v>
      </c>
    </row>
    <row r="118" spans="2:32" ht="30" customHeight="1">
      <c r="B118" s="1256"/>
      <c r="D118" s="5962"/>
      <c r="E118" s="2035"/>
      <c r="F118" s="9"/>
      <c r="G118" s="1256"/>
      <c r="H118" s="1257"/>
      <c r="I118" s="1261"/>
      <c r="J118" s="1261"/>
      <c r="L118" s="5946"/>
      <c r="M118" s="1244"/>
      <c r="N118" s="54"/>
      <c r="O118" s="1247"/>
      <c r="P118" s="1247"/>
      <c r="Q118" s="176"/>
      <c r="R118" s="5937"/>
      <c r="S118" s="1240"/>
      <c r="T118" s="1285"/>
      <c r="U118" s="1285"/>
      <c r="W118" s="5937">
        <f t="shared" si="23"/>
        <v>13</v>
      </c>
      <c r="X118" s="1259" t="s">
        <v>5536</v>
      </c>
      <c r="Y118" s="1260" t="s">
        <v>5537</v>
      </c>
      <c r="Z118" s="1263" t="s">
        <v>5538</v>
      </c>
      <c r="AA118" s="1260" t="s">
        <v>5539</v>
      </c>
      <c r="AB118" s="1260" t="s">
        <v>5540</v>
      </c>
      <c r="AC118" s="1260" t="s">
        <v>5541</v>
      </c>
      <c r="AD118" s="1259" t="s">
        <v>5536</v>
      </c>
      <c r="AF118" s="3">
        <v>1</v>
      </c>
    </row>
    <row r="119" spans="2:32" ht="30" customHeight="1">
      <c r="B119" s="5964"/>
      <c r="C119" s="2042" t="s">
        <v>5542</v>
      </c>
      <c r="D119" s="2043" t="s">
        <v>5543</v>
      </c>
      <c r="E119" s="5961" t="s">
        <v>5544</v>
      </c>
      <c r="F119" s="9"/>
      <c r="G119" s="1256"/>
      <c r="H119" s="1257"/>
      <c r="I119" s="1261"/>
      <c r="J119" s="1261"/>
      <c r="L119" s="5946"/>
      <c r="M119" s="1244"/>
      <c r="N119" s="54"/>
      <c r="O119" s="1247"/>
      <c r="P119" s="1247"/>
      <c r="Q119" s="176"/>
      <c r="R119" s="5937"/>
      <c r="S119" s="1240"/>
      <c r="W119" s="5937">
        <f t="shared" si="23"/>
        <v>14</v>
      </c>
      <c r="X119" s="1259" t="s">
        <v>5545</v>
      </c>
      <c r="Y119" s="1260" t="s">
        <v>5546</v>
      </c>
      <c r="Z119" s="1260" t="s">
        <v>5547</v>
      </c>
      <c r="AA119" s="1260" t="s">
        <v>5548</v>
      </c>
      <c r="AB119" s="1260" t="s">
        <v>5549</v>
      </c>
      <c r="AC119" s="1260" t="s">
        <v>5550</v>
      </c>
      <c r="AD119" s="1259" t="s">
        <v>5545</v>
      </c>
      <c r="AF119" s="3">
        <v>1</v>
      </c>
    </row>
    <row r="120" spans="2:32" ht="30" customHeight="1">
      <c r="B120" s="1256">
        <v>1</v>
      </c>
      <c r="C120" s="1257" t="s">
        <v>5551</v>
      </c>
      <c r="D120" s="5950" t="s">
        <v>5552</v>
      </c>
      <c r="E120" s="2033" t="s">
        <v>5553</v>
      </c>
      <c r="F120" s="9"/>
      <c r="G120" s="1256"/>
      <c r="H120" s="1257"/>
      <c r="I120" s="1261"/>
      <c r="J120" s="1261"/>
      <c r="L120" s="5946"/>
      <c r="M120" s="1244"/>
      <c r="N120" s="54"/>
      <c r="O120" s="1247"/>
      <c r="P120" s="1247"/>
      <c r="Q120" s="176"/>
      <c r="R120" s="5937"/>
      <c r="S120" s="1240"/>
      <c r="T120" s="1239"/>
      <c r="U120" s="1239"/>
      <c r="W120" s="5937">
        <f t="shared" si="23"/>
        <v>15</v>
      </c>
      <c r="X120" s="1259" t="s">
        <v>5560</v>
      </c>
      <c r="Y120" s="1260" t="s">
        <v>5561</v>
      </c>
      <c r="Z120" s="1263" t="s">
        <v>5562</v>
      </c>
      <c r="AA120" s="1260" t="s">
        <v>5563</v>
      </c>
      <c r="AB120" s="1260" t="s">
        <v>5564</v>
      </c>
      <c r="AC120" s="1260" t="s">
        <v>5565</v>
      </c>
      <c r="AD120" s="1259" t="s">
        <v>5560</v>
      </c>
      <c r="AF120" s="3">
        <v>1</v>
      </c>
    </row>
    <row r="121" spans="2:32" ht="30" customHeight="1">
      <c r="B121" s="1256">
        <v>2</v>
      </c>
      <c r="C121" s="1257" t="s">
        <v>5566</v>
      </c>
      <c r="D121" s="5950" t="s">
        <v>5567</v>
      </c>
      <c r="E121" s="2033" t="s">
        <v>5568</v>
      </c>
      <c r="F121" s="9"/>
      <c r="G121" s="1256"/>
      <c r="H121" s="1257"/>
      <c r="I121" s="1261"/>
      <c r="J121" s="1261"/>
      <c r="L121" s="5946"/>
      <c r="M121" s="1244"/>
      <c r="N121" s="54"/>
      <c r="O121" s="1247"/>
      <c r="P121" s="1247"/>
      <c r="Q121" s="176"/>
      <c r="R121" s="5937"/>
      <c r="S121" s="1240"/>
      <c r="T121" s="1239"/>
      <c r="U121" s="1239"/>
      <c r="W121" s="5937">
        <f t="shared" si="23"/>
        <v>16</v>
      </c>
      <c r="X121" s="1259" t="s">
        <v>5575</v>
      </c>
      <c r="Y121" s="1260" t="s">
        <v>5576</v>
      </c>
      <c r="Z121" s="1263" t="s">
        <v>5577</v>
      </c>
      <c r="AA121" s="1260" t="s">
        <v>5578</v>
      </c>
      <c r="AB121" s="1260" t="s">
        <v>5579</v>
      </c>
      <c r="AC121" s="1260" t="s">
        <v>5580</v>
      </c>
      <c r="AD121" s="1259" t="s">
        <v>5575</v>
      </c>
      <c r="AF121" s="3">
        <v>1</v>
      </c>
    </row>
    <row r="122" spans="2:32" ht="30" customHeight="1">
      <c r="B122" s="1256">
        <v>3</v>
      </c>
      <c r="C122" s="1257" t="s">
        <v>5581</v>
      </c>
      <c r="D122" s="5950" t="s">
        <v>5582</v>
      </c>
      <c r="E122" s="2033" t="s">
        <v>5583</v>
      </c>
      <c r="F122" s="9"/>
      <c r="G122" s="1256"/>
      <c r="H122" s="1257"/>
      <c r="I122" s="1261"/>
      <c r="J122" s="1261"/>
      <c r="L122" s="5946"/>
      <c r="M122" s="1244"/>
      <c r="N122" s="54"/>
      <c r="O122" s="1247"/>
      <c r="P122" s="1247"/>
      <c r="Q122" s="176"/>
      <c r="R122" s="5937"/>
      <c r="S122" s="1240"/>
      <c r="T122" s="1239"/>
      <c r="U122" s="1239"/>
      <c r="W122" s="5937">
        <f t="shared" si="23"/>
        <v>17</v>
      </c>
      <c r="X122" s="1259" t="s">
        <v>5590</v>
      </c>
      <c r="Y122" s="1260" t="s">
        <v>5591</v>
      </c>
      <c r="Z122" s="1263" t="s">
        <v>5592</v>
      </c>
      <c r="AA122" s="1260" t="s">
        <v>5593</v>
      </c>
      <c r="AB122" s="1260" t="s">
        <v>5594</v>
      </c>
      <c r="AC122" s="1260" t="s">
        <v>5595</v>
      </c>
      <c r="AD122" s="1259" t="s">
        <v>5590</v>
      </c>
      <c r="AF122" s="3">
        <v>1</v>
      </c>
    </row>
    <row r="123" spans="2:32" ht="30" customHeight="1">
      <c r="B123" s="1256">
        <v>4</v>
      </c>
      <c r="C123" s="1257" t="s">
        <v>5596</v>
      </c>
      <c r="D123" s="5950" t="s">
        <v>5597</v>
      </c>
      <c r="E123" s="2033" t="s">
        <v>5598</v>
      </c>
      <c r="F123" s="9"/>
      <c r="G123" s="1256"/>
      <c r="H123" s="1257"/>
      <c r="I123" s="1261"/>
      <c r="J123" s="1261"/>
      <c r="L123" s="5946"/>
      <c r="M123" s="1244"/>
      <c r="N123" s="54"/>
      <c r="O123" s="1247"/>
      <c r="P123" s="1247"/>
      <c r="Q123" s="176"/>
      <c r="R123" s="5937"/>
      <c r="S123" s="1240"/>
      <c r="T123" s="1239"/>
      <c r="U123" s="1239"/>
      <c r="W123" s="5937">
        <f t="shared" si="23"/>
        <v>18</v>
      </c>
      <c r="X123" s="1259" t="s">
        <v>5605</v>
      </c>
      <c r="Y123" s="1260" t="s">
        <v>5606</v>
      </c>
      <c r="Z123" s="1263" t="s">
        <v>5607</v>
      </c>
      <c r="AA123" s="1260" t="s">
        <v>5608</v>
      </c>
      <c r="AB123" s="1260" t="s">
        <v>5609</v>
      </c>
      <c r="AC123" s="1260" t="s">
        <v>5610</v>
      </c>
      <c r="AD123" s="1259" t="s">
        <v>5605</v>
      </c>
      <c r="AF123" s="3">
        <v>1</v>
      </c>
    </row>
    <row r="124" spans="2:32" ht="30" customHeight="1">
      <c r="B124" s="1256">
        <v>5</v>
      </c>
      <c r="C124" s="1257" t="s">
        <v>5611</v>
      </c>
      <c r="D124" s="5950" t="s">
        <v>5612</v>
      </c>
      <c r="E124" s="2033" t="s">
        <v>5613</v>
      </c>
      <c r="F124" s="9"/>
      <c r="G124" s="1256"/>
      <c r="H124" s="1257"/>
      <c r="I124" s="1261"/>
      <c r="J124" s="1261"/>
      <c r="L124" s="5946"/>
      <c r="M124" s="1244"/>
      <c r="N124" s="54"/>
      <c r="O124" s="1247"/>
      <c r="P124" s="1247"/>
      <c r="Q124" s="176"/>
      <c r="R124" s="5937"/>
      <c r="S124" s="1240"/>
      <c r="T124" s="1239"/>
      <c r="U124" s="1239"/>
      <c r="W124" s="5937">
        <f t="shared" si="23"/>
        <v>19</v>
      </c>
      <c r="X124" s="1259" t="s">
        <v>5620</v>
      </c>
      <c r="Y124" s="1260" t="s">
        <v>5621</v>
      </c>
      <c r="Z124" s="1263" t="s">
        <v>5622</v>
      </c>
      <c r="AA124" s="1260" t="s">
        <v>5623</v>
      </c>
      <c r="AB124" s="1260" t="s">
        <v>5624</v>
      </c>
      <c r="AC124" s="1260" t="s">
        <v>5625</v>
      </c>
      <c r="AD124" s="1259" t="s">
        <v>5620</v>
      </c>
      <c r="AF124" s="3">
        <v>1</v>
      </c>
    </row>
    <row r="125" spans="2:32" ht="30" customHeight="1">
      <c r="B125" s="1256">
        <v>6</v>
      </c>
      <c r="C125" s="1257" t="s">
        <v>5626</v>
      </c>
      <c r="D125" s="5950" t="s">
        <v>5627</v>
      </c>
      <c r="E125" s="2033" t="s">
        <v>5628</v>
      </c>
      <c r="F125" s="9"/>
      <c r="G125" s="1256"/>
      <c r="H125" s="1257"/>
      <c r="I125" s="1261"/>
      <c r="J125" s="1261"/>
      <c r="L125" s="5946"/>
      <c r="M125" s="1244"/>
      <c r="N125" s="54"/>
      <c r="O125" s="1247"/>
      <c r="P125" s="1247"/>
      <c r="Q125" s="176"/>
      <c r="R125" s="5937"/>
      <c r="S125" s="1240"/>
      <c r="T125" s="1239"/>
      <c r="U125" s="1239"/>
      <c r="W125" s="5937">
        <f t="shared" si="23"/>
        <v>20</v>
      </c>
      <c r="X125" s="1259" t="s">
        <v>5635</v>
      </c>
      <c r="Y125" s="1260" t="s">
        <v>5636</v>
      </c>
      <c r="Z125" s="1263" t="s">
        <v>5637</v>
      </c>
      <c r="AA125" s="1260" t="s">
        <v>5638</v>
      </c>
      <c r="AB125" s="1260" t="s">
        <v>5639</v>
      </c>
      <c r="AC125" s="1260" t="s">
        <v>5640</v>
      </c>
      <c r="AD125" s="1259" t="s">
        <v>5635</v>
      </c>
      <c r="AF125" s="3">
        <v>1</v>
      </c>
    </row>
    <row r="126" spans="2:32" ht="30" customHeight="1">
      <c r="B126" s="1275"/>
      <c r="D126" s="5962"/>
      <c r="E126" s="2035"/>
      <c r="F126" s="9"/>
      <c r="G126" s="1256"/>
      <c r="H126" s="1257"/>
      <c r="I126" s="1261"/>
      <c r="J126" s="1261"/>
      <c r="L126" s="5946"/>
      <c r="M126" s="1244"/>
      <c r="N126" s="54"/>
      <c r="O126" s="1247"/>
      <c r="P126" s="1247"/>
      <c r="Q126" s="176"/>
      <c r="R126" s="5937"/>
      <c r="S126" s="1240"/>
      <c r="T126" s="1239"/>
      <c r="U126" s="1239"/>
      <c r="W126" s="5937">
        <f t="shared" si="23"/>
        <v>21</v>
      </c>
      <c r="X126" s="1259" t="s">
        <v>5641</v>
      </c>
      <c r="Y126" s="1260" t="s">
        <v>5642</v>
      </c>
      <c r="Z126" s="1263" t="s">
        <v>5643</v>
      </c>
      <c r="AA126" s="1260" t="s">
        <v>5644</v>
      </c>
      <c r="AB126" s="1260" t="s">
        <v>5645</v>
      </c>
      <c r="AC126" s="1260" t="s">
        <v>5646</v>
      </c>
      <c r="AD126" s="1259" t="s">
        <v>5641</v>
      </c>
      <c r="AF126" s="3">
        <v>1</v>
      </c>
    </row>
    <row r="127" spans="2:32" ht="30" customHeight="1">
      <c r="B127" s="5964"/>
      <c r="C127" s="2042" t="s">
        <v>452</v>
      </c>
      <c r="D127" s="2043" t="s">
        <v>5647</v>
      </c>
      <c r="E127" s="5961" t="s">
        <v>5648</v>
      </c>
      <c r="F127" s="9"/>
      <c r="G127" s="1256"/>
      <c r="H127" s="1257"/>
      <c r="I127" s="1261"/>
      <c r="J127" s="1261"/>
      <c r="L127" s="5946"/>
      <c r="M127" s="1244"/>
      <c r="N127" s="54"/>
      <c r="O127" s="1247"/>
      <c r="P127" s="1247"/>
      <c r="Q127" s="176"/>
      <c r="R127" s="5937"/>
      <c r="S127" s="1240"/>
      <c r="T127" s="1239"/>
      <c r="U127" s="1239"/>
      <c r="W127" s="5937">
        <f t="shared" si="23"/>
        <v>22</v>
      </c>
      <c r="X127" s="1259" t="s">
        <v>5655</v>
      </c>
      <c r="Y127" s="1260" t="s">
        <v>5656</v>
      </c>
      <c r="Z127" s="1263" t="s">
        <v>5657</v>
      </c>
      <c r="AA127" s="1260" t="s">
        <v>5658</v>
      </c>
      <c r="AB127" s="1260" t="s">
        <v>5659</v>
      </c>
      <c r="AC127" s="1260" t="s">
        <v>5660</v>
      </c>
      <c r="AD127" s="1259" t="s">
        <v>5655</v>
      </c>
      <c r="AF127" s="3">
        <v>1</v>
      </c>
    </row>
    <row r="128" spans="2:32" ht="30" customHeight="1">
      <c r="B128" s="1256">
        <v>1</v>
      </c>
      <c r="C128" s="1257" t="s">
        <v>5661</v>
      </c>
      <c r="D128" s="5950" t="s">
        <v>5662</v>
      </c>
      <c r="E128" s="2033" t="s">
        <v>5663</v>
      </c>
      <c r="F128" s="9"/>
      <c r="G128" s="1256"/>
      <c r="H128" s="1257"/>
      <c r="I128" s="1261"/>
      <c r="J128" s="1261"/>
      <c r="L128" s="5946"/>
      <c r="M128" s="1244"/>
      <c r="N128" s="54"/>
      <c r="O128" s="1247"/>
      <c r="P128" s="1247"/>
      <c r="Q128" s="176"/>
      <c r="R128" s="5937"/>
      <c r="S128" s="1240"/>
      <c r="T128" s="1239"/>
      <c r="U128" s="1239"/>
      <c r="W128" s="5937">
        <f t="shared" si="23"/>
        <v>23</v>
      </c>
      <c r="X128" s="1259" t="s">
        <v>5670</v>
      </c>
      <c r="Y128" s="1260" t="s">
        <v>5671</v>
      </c>
      <c r="Z128" s="1263" t="s">
        <v>5672</v>
      </c>
      <c r="AA128" s="1260" t="s">
        <v>5673</v>
      </c>
      <c r="AB128" s="1260" t="s">
        <v>5674</v>
      </c>
      <c r="AC128" s="1260" t="s">
        <v>5675</v>
      </c>
      <c r="AD128" s="1259" t="s">
        <v>5670</v>
      </c>
      <c r="AF128" s="3">
        <v>1</v>
      </c>
    </row>
    <row r="129" spans="2:32" ht="30" customHeight="1">
      <c r="B129" s="1256">
        <v>2</v>
      </c>
      <c r="C129" s="1257" t="s">
        <v>5676</v>
      </c>
      <c r="D129" s="5950" t="s">
        <v>5677</v>
      </c>
      <c r="E129" s="2033" t="s">
        <v>5678</v>
      </c>
      <c r="F129" s="9"/>
      <c r="G129" s="1256"/>
      <c r="H129" s="1257"/>
      <c r="I129" s="1261"/>
      <c r="J129" s="1261"/>
      <c r="L129" s="5946"/>
      <c r="M129" s="1244"/>
      <c r="N129" s="54"/>
      <c r="O129" s="1247"/>
      <c r="P129" s="1247"/>
      <c r="Q129" s="176"/>
      <c r="R129" s="5937"/>
      <c r="S129" s="1240"/>
      <c r="T129" s="1239"/>
      <c r="U129" s="1239"/>
      <c r="W129" s="5937">
        <f t="shared" si="23"/>
        <v>24</v>
      </c>
      <c r="X129" s="1259" t="s">
        <v>5685</v>
      </c>
      <c r="Y129" s="1260" t="s">
        <v>5686</v>
      </c>
      <c r="Z129" s="1263" t="s">
        <v>5687</v>
      </c>
      <c r="AA129" s="1260" t="s">
        <v>5688</v>
      </c>
      <c r="AB129" s="1260" t="s">
        <v>5689</v>
      </c>
      <c r="AC129" s="1260" t="s">
        <v>5690</v>
      </c>
      <c r="AD129" s="1259" t="s">
        <v>5685</v>
      </c>
      <c r="AF129" s="3">
        <v>1</v>
      </c>
    </row>
    <row r="130" spans="2:32" ht="30" customHeight="1">
      <c r="B130" s="1256">
        <v>3</v>
      </c>
      <c r="C130" s="1257" t="s">
        <v>5691</v>
      </c>
      <c r="D130" s="5950" t="s">
        <v>5692</v>
      </c>
      <c r="E130" s="2033" t="s">
        <v>5693</v>
      </c>
      <c r="F130" s="9"/>
      <c r="G130" s="1256"/>
      <c r="H130" s="1257"/>
      <c r="I130" s="1261"/>
      <c r="J130" s="1261"/>
      <c r="L130" s="5946"/>
      <c r="M130" s="1244"/>
      <c r="N130" s="54"/>
      <c r="O130" s="1247"/>
      <c r="P130" s="1247"/>
      <c r="Q130" s="176"/>
      <c r="R130" s="5937"/>
      <c r="S130" s="1240"/>
      <c r="T130" s="1239"/>
      <c r="U130" s="1239"/>
      <c r="W130" s="5937">
        <f t="shared" si="23"/>
        <v>25</v>
      </c>
      <c r="X130" s="1259" t="s">
        <v>5700</v>
      </c>
      <c r="Y130" s="1260" t="s">
        <v>5701</v>
      </c>
      <c r="Z130" s="1263" t="s">
        <v>5702</v>
      </c>
      <c r="AA130" s="1260" t="s">
        <v>5703</v>
      </c>
      <c r="AB130" s="1260" t="s">
        <v>5704</v>
      </c>
      <c r="AC130" s="1260" t="s">
        <v>5705</v>
      </c>
      <c r="AD130" s="1259" t="s">
        <v>5700</v>
      </c>
      <c r="AF130" s="3">
        <v>1</v>
      </c>
    </row>
    <row r="131" spans="2:32" ht="30" customHeight="1">
      <c r="B131" s="1256">
        <v>4</v>
      </c>
      <c r="C131" s="1257" t="s">
        <v>5706</v>
      </c>
      <c r="D131" s="5950" t="s">
        <v>5707</v>
      </c>
      <c r="E131" s="2033" t="s">
        <v>5708</v>
      </c>
      <c r="F131" s="9"/>
      <c r="G131" s="1256"/>
      <c r="H131" s="1257"/>
      <c r="I131" s="1261"/>
      <c r="J131" s="1261"/>
      <c r="L131" s="5946"/>
      <c r="M131" s="1244"/>
      <c r="N131" s="54"/>
      <c r="O131" s="1247"/>
      <c r="P131" s="1247"/>
      <c r="Q131" s="176"/>
      <c r="R131" s="5937"/>
      <c r="S131" s="1240"/>
      <c r="T131" s="1239"/>
      <c r="U131" s="1239"/>
      <c r="W131" s="5937">
        <f t="shared" si="23"/>
        <v>26</v>
      </c>
      <c r="X131" s="1259" t="s">
        <v>5715</v>
      </c>
      <c r="Y131" s="1260" t="s">
        <v>5716</v>
      </c>
      <c r="Z131" s="1263" t="s">
        <v>5717</v>
      </c>
      <c r="AA131" s="1260" t="s">
        <v>5718</v>
      </c>
      <c r="AB131" s="1260" t="s">
        <v>5719</v>
      </c>
      <c r="AC131" s="1260" t="s">
        <v>5720</v>
      </c>
      <c r="AD131" s="1259" t="s">
        <v>5715</v>
      </c>
      <c r="AF131" s="3">
        <v>1</v>
      </c>
    </row>
    <row r="132" spans="2:32" ht="30" customHeight="1">
      <c r="B132" s="1256">
        <v>5</v>
      </c>
      <c r="C132" s="1257" t="s">
        <v>5721</v>
      </c>
      <c r="D132" s="5950" t="s">
        <v>4808</v>
      </c>
      <c r="E132" s="2033" t="s">
        <v>5722</v>
      </c>
      <c r="F132" s="9"/>
      <c r="G132" s="1256"/>
      <c r="H132" s="1257"/>
      <c r="I132" s="1261"/>
      <c r="J132" s="1261"/>
      <c r="L132" s="5946"/>
      <c r="M132" s="1244"/>
      <c r="N132" s="54"/>
      <c r="O132" s="1247"/>
      <c r="P132" s="1247"/>
      <c r="Q132" s="176"/>
      <c r="R132" s="5937"/>
      <c r="S132" s="1240"/>
      <c r="T132" s="1239"/>
      <c r="U132" s="1239"/>
      <c r="W132" s="5937">
        <f t="shared" si="23"/>
        <v>27</v>
      </c>
      <c r="X132" s="1259" t="s">
        <v>5729</v>
      </c>
      <c r="Y132" s="1260" t="s">
        <v>5730</v>
      </c>
      <c r="Z132" s="1263" t="s">
        <v>5731</v>
      </c>
      <c r="AA132" s="1260" t="s">
        <v>5732</v>
      </c>
      <c r="AB132" s="1260" t="s">
        <v>5733</v>
      </c>
      <c r="AC132" s="1260" t="s">
        <v>5734</v>
      </c>
      <c r="AD132" s="1259" t="s">
        <v>5729</v>
      </c>
      <c r="AF132" s="3">
        <v>1</v>
      </c>
    </row>
    <row r="133" spans="2:32" ht="30" customHeight="1">
      <c r="B133" s="1256">
        <v>6</v>
      </c>
      <c r="C133" s="1257" t="s">
        <v>5735</v>
      </c>
      <c r="D133" s="5950" t="s">
        <v>5736</v>
      </c>
      <c r="E133" s="2033" t="s">
        <v>5722</v>
      </c>
      <c r="F133" s="9"/>
      <c r="G133" s="1256"/>
      <c r="H133" s="1257"/>
      <c r="I133" s="1261"/>
      <c r="J133" s="1261"/>
      <c r="L133" s="5946"/>
      <c r="M133" s="1244"/>
      <c r="N133" s="54"/>
      <c r="O133" s="1247"/>
      <c r="P133" s="1247"/>
      <c r="Q133" s="176"/>
      <c r="R133" s="5937"/>
      <c r="S133" s="1240"/>
      <c r="T133" s="1239"/>
      <c r="U133" s="1239"/>
      <c r="W133" s="5937">
        <f t="shared" si="23"/>
        <v>28</v>
      </c>
      <c r="X133" s="1259" t="s">
        <v>5743</v>
      </c>
      <c r="Y133" s="1260" t="s">
        <v>5744</v>
      </c>
      <c r="Z133" s="1263" t="s">
        <v>5745</v>
      </c>
      <c r="AA133" s="1260" t="s">
        <v>5746</v>
      </c>
      <c r="AB133" s="1260" t="s">
        <v>5747</v>
      </c>
      <c r="AC133" s="1260" t="s">
        <v>5748</v>
      </c>
      <c r="AD133" s="1259" t="s">
        <v>5743</v>
      </c>
      <c r="AF133" s="3">
        <v>1</v>
      </c>
    </row>
    <row r="134" spans="2:32" ht="30" customHeight="1">
      <c r="B134" s="1256">
        <v>7</v>
      </c>
      <c r="C134" s="1257" t="s">
        <v>257</v>
      </c>
      <c r="D134" s="5950" t="s">
        <v>5749</v>
      </c>
      <c r="E134" s="2033" t="s">
        <v>1377</v>
      </c>
      <c r="F134" s="9"/>
      <c r="G134" s="1256"/>
      <c r="H134" s="1257"/>
      <c r="I134" s="1261"/>
      <c r="J134" s="1261"/>
      <c r="L134" s="5946"/>
      <c r="M134" s="1244"/>
      <c r="N134" s="54"/>
      <c r="O134" s="1247"/>
      <c r="P134" s="1247"/>
      <c r="Q134" s="176"/>
      <c r="R134" s="5937"/>
      <c r="S134" s="1240"/>
      <c r="T134" s="1239"/>
      <c r="U134" s="1239"/>
      <c r="W134" s="5937">
        <f t="shared" si="23"/>
        <v>29</v>
      </c>
      <c r="X134" s="1259" t="s">
        <v>5756</v>
      </c>
      <c r="Y134" s="1260" t="s">
        <v>5757</v>
      </c>
      <c r="Z134" s="1263" t="s">
        <v>5758</v>
      </c>
      <c r="AA134" s="1260" t="s">
        <v>5759</v>
      </c>
      <c r="AB134" s="1260" t="s">
        <v>5760</v>
      </c>
      <c r="AC134" s="1260" t="s">
        <v>5761</v>
      </c>
      <c r="AD134" s="1259" t="s">
        <v>5756</v>
      </c>
      <c r="AF134" s="3">
        <v>1</v>
      </c>
    </row>
    <row r="135" spans="2:32" ht="30" customHeight="1">
      <c r="B135" s="1256"/>
      <c r="D135" s="5962"/>
      <c r="E135" s="2035"/>
      <c r="F135" s="9"/>
      <c r="G135" s="1256"/>
      <c r="H135" s="1257"/>
      <c r="I135" s="1261"/>
      <c r="J135" s="1261"/>
      <c r="L135" s="5946"/>
      <c r="M135" s="1244"/>
      <c r="N135" s="54"/>
      <c r="O135" s="1247"/>
      <c r="P135" s="1247"/>
      <c r="Q135" s="176"/>
      <c r="R135" s="5937"/>
      <c r="S135" s="1240"/>
      <c r="T135" s="1239"/>
      <c r="U135" s="1239"/>
      <c r="W135" s="5937">
        <f t="shared" si="23"/>
        <v>30</v>
      </c>
      <c r="X135" s="1259" t="s">
        <v>5768</v>
      </c>
      <c r="Y135" s="1260" t="s">
        <v>1438</v>
      </c>
      <c r="Z135" s="1263" t="s">
        <v>1439</v>
      </c>
      <c r="AA135" s="1260" t="s">
        <v>5769</v>
      </c>
      <c r="AB135" s="1260" t="s">
        <v>5770</v>
      </c>
      <c r="AC135" s="1260" t="s">
        <v>5771</v>
      </c>
      <c r="AD135" s="1259" t="s">
        <v>5768</v>
      </c>
      <c r="AF135" s="3">
        <v>1</v>
      </c>
    </row>
    <row r="136" spans="2:32" ht="30" customHeight="1">
      <c r="B136" s="5964"/>
      <c r="C136" s="2042" t="s">
        <v>5772</v>
      </c>
      <c r="D136" s="2043" t="s">
        <v>5772</v>
      </c>
      <c r="E136" s="5961" t="s">
        <v>5773</v>
      </c>
      <c r="F136" s="9"/>
      <c r="G136" s="1256"/>
      <c r="H136" s="1257"/>
      <c r="I136" s="1261"/>
      <c r="J136" s="1261"/>
      <c r="L136" s="5946"/>
      <c r="M136" s="1244"/>
      <c r="N136" s="54"/>
      <c r="O136" s="1247"/>
      <c r="P136" s="1247"/>
      <c r="Q136" s="176"/>
      <c r="R136" s="5937"/>
      <c r="S136" s="1240"/>
      <c r="T136" s="1239"/>
      <c r="U136" s="1239"/>
      <c r="W136" s="5937">
        <f t="shared" si="23"/>
        <v>31</v>
      </c>
      <c r="X136" s="1259" t="s">
        <v>5780</v>
      </c>
      <c r="Y136" s="1260" t="s">
        <v>5781</v>
      </c>
      <c r="Z136" s="1263" t="s">
        <v>5782</v>
      </c>
      <c r="AA136" s="1260" t="s">
        <v>5783</v>
      </c>
      <c r="AB136" s="1260" t="s">
        <v>5784</v>
      </c>
      <c r="AC136" s="1260" t="s">
        <v>5785</v>
      </c>
      <c r="AD136" s="1259" t="s">
        <v>5780</v>
      </c>
      <c r="AF136" s="3">
        <v>1</v>
      </c>
    </row>
    <row r="137" spans="2:32" ht="30" customHeight="1">
      <c r="B137" s="1256">
        <v>1</v>
      </c>
      <c r="C137" s="1257" t="s">
        <v>5786</v>
      </c>
      <c r="D137" s="5950" t="s">
        <v>5787</v>
      </c>
      <c r="E137" s="2033" t="s">
        <v>5788</v>
      </c>
      <c r="F137" s="9"/>
      <c r="G137" s="1256"/>
      <c r="H137" s="1257"/>
      <c r="I137" s="1261"/>
      <c r="J137" s="1261"/>
      <c r="L137" s="5946"/>
      <c r="M137" s="1244"/>
      <c r="N137" s="54"/>
      <c r="O137" s="1247"/>
      <c r="P137" s="1247"/>
      <c r="Q137" s="176"/>
      <c r="R137" s="5937"/>
      <c r="S137" s="1240"/>
      <c r="T137" s="1239"/>
      <c r="U137" s="1239"/>
      <c r="W137" s="5937">
        <f t="shared" si="23"/>
        <v>32</v>
      </c>
      <c r="X137" s="1259" t="s">
        <v>5789</v>
      </c>
      <c r="Y137" s="1260" t="s">
        <v>5790</v>
      </c>
      <c r="Z137" s="1263" t="s">
        <v>5791</v>
      </c>
      <c r="AA137" s="1260" t="s">
        <v>5792</v>
      </c>
      <c r="AB137" s="1260" t="s">
        <v>5793</v>
      </c>
      <c r="AC137" s="1260" t="s">
        <v>5794</v>
      </c>
      <c r="AD137" s="1259" t="s">
        <v>5789</v>
      </c>
      <c r="AF137" s="3">
        <v>1</v>
      </c>
    </row>
    <row r="138" spans="2:32" ht="30" customHeight="1">
      <c r="B138" s="1256"/>
      <c r="C138" s="1257"/>
      <c r="D138" s="5950"/>
      <c r="E138" s="2033"/>
      <c r="F138" s="9"/>
      <c r="G138" s="1256"/>
      <c r="H138" s="1257"/>
      <c r="I138" s="1261"/>
      <c r="J138" s="1261"/>
      <c r="L138" s="5946"/>
      <c r="M138" s="1244"/>
      <c r="N138" s="54"/>
      <c r="O138" s="1247"/>
      <c r="P138" s="1247"/>
      <c r="Q138" s="176"/>
      <c r="R138" s="5937"/>
      <c r="S138" s="1240"/>
      <c r="T138" s="1239"/>
      <c r="U138" s="1239"/>
      <c r="W138" s="5937">
        <f t="shared" si="23"/>
        <v>33</v>
      </c>
      <c r="X138" s="1259" t="s">
        <v>5800</v>
      </c>
      <c r="Y138" s="1260" t="s">
        <v>5801</v>
      </c>
      <c r="Z138" s="1263" t="s">
        <v>5802</v>
      </c>
      <c r="AA138" s="1260" t="s">
        <v>5803</v>
      </c>
      <c r="AB138" s="1260" t="s">
        <v>5804</v>
      </c>
      <c r="AC138" s="1260" t="s">
        <v>5805</v>
      </c>
      <c r="AD138" s="1259" t="s">
        <v>5800</v>
      </c>
      <c r="AF138" s="3">
        <v>1</v>
      </c>
    </row>
    <row r="139" spans="2:32" ht="30" customHeight="1">
      <c r="B139" s="5964"/>
      <c r="C139" s="2042" t="s">
        <v>5806</v>
      </c>
      <c r="D139" s="2043" t="s">
        <v>5807</v>
      </c>
      <c r="E139" s="5961" t="s">
        <v>5808</v>
      </c>
      <c r="F139" s="9"/>
      <c r="G139" s="1256"/>
      <c r="H139" s="1257"/>
      <c r="I139" s="1261"/>
      <c r="J139" s="1261"/>
      <c r="L139" s="5946"/>
      <c r="M139" s="1244"/>
      <c r="N139" s="54"/>
      <c r="O139" s="1247"/>
      <c r="P139" s="1247"/>
      <c r="Q139" s="176"/>
      <c r="R139" s="5937"/>
      <c r="S139" s="1240"/>
      <c r="T139" s="1239"/>
      <c r="U139" s="1239"/>
      <c r="W139" s="5937">
        <f t="shared" si="23"/>
        <v>34</v>
      </c>
      <c r="X139" s="1259" t="s">
        <v>5815</v>
      </c>
      <c r="Y139" s="1260" t="s">
        <v>5816</v>
      </c>
      <c r="Z139" s="1263" t="s">
        <v>5817</v>
      </c>
      <c r="AA139" s="1260" t="s">
        <v>5818</v>
      </c>
      <c r="AB139" s="1260" t="s">
        <v>5819</v>
      </c>
      <c r="AC139" s="1260" t="s">
        <v>5820</v>
      </c>
      <c r="AD139" s="1259" t="s">
        <v>5815</v>
      </c>
      <c r="AF139" s="3">
        <v>1</v>
      </c>
    </row>
    <row r="140" spans="2:32" ht="30" customHeight="1">
      <c r="B140" s="2049"/>
      <c r="C140" s="203"/>
      <c r="D140" s="1247"/>
      <c r="E140" s="5968"/>
      <c r="F140" s="9"/>
      <c r="G140" s="1256"/>
      <c r="H140" s="1257"/>
      <c r="I140" s="1261"/>
      <c r="J140" s="1261"/>
      <c r="L140" s="5946"/>
      <c r="M140" s="1244"/>
      <c r="N140" s="54"/>
      <c r="O140" s="1247"/>
      <c r="P140" s="1247"/>
      <c r="Q140" s="176"/>
      <c r="R140" s="5937"/>
      <c r="S140" s="1240"/>
      <c r="T140" s="1239"/>
      <c r="U140" s="1239"/>
      <c r="W140" s="5937">
        <f t="shared" si="23"/>
        <v>35</v>
      </c>
      <c r="X140" s="1259" t="s">
        <v>5827</v>
      </c>
      <c r="Y140" s="1260" t="s">
        <v>5828</v>
      </c>
      <c r="Z140" s="1263" t="s">
        <v>5829</v>
      </c>
      <c r="AA140" s="1260" t="s">
        <v>5830</v>
      </c>
      <c r="AB140" s="1260" t="s">
        <v>5831</v>
      </c>
      <c r="AC140" s="1260" t="s">
        <v>5832</v>
      </c>
      <c r="AD140" s="1259" t="s">
        <v>5827</v>
      </c>
      <c r="AF140" s="3">
        <v>1</v>
      </c>
    </row>
    <row r="141" spans="2:32" ht="30" customHeight="1">
      <c r="B141" s="2036">
        <v>1</v>
      </c>
      <c r="C141" s="203" t="s">
        <v>5833</v>
      </c>
      <c r="D141" s="1247"/>
      <c r="E141" s="5968"/>
      <c r="F141" s="9"/>
      <c r="G141" s="1256"/>
      <c r="H141" s="1257"/>
      <c r="I141" s="1261"/>
      <c r="J141" s="1261"/>
      <c r="L141" s="5946"/>
      <c r="M141" s="1244"/>
      <c r="N141" s="54"/>
      <c r="O141" s="1247"/>
      <c r="P141" s="1247"/>
      <c r="Q141" s="176"/>
      <c r="R141" s="5937"/>
      <c r="S141" s="1240"/>
      <c r="T141" s="1239"/>
      <c r="U141" s="1239"/>
      <c r="W141" s="5937">
        <f t="shared" si="23"/>
        <v>36</v>
      </c>
      <c r="X141" s="1259" t="s">
        <v>5840</v>
      </c>
      <c r="Y141" s="1260" t="s">
        <v>5841</v>
      </c>
      <c r="Z141" s="1263" t="s">
        <v>5842</v>
      </c>
      <c r="AA141" s="1260" t="s">
        <v>5843</v>
      </c>
      <c r="AB141" s="1260" t="s">
        <v>5844</v>
      </c>
      <c r="AC141" s="1260" t="s">
        <v>5845</v>
      </c>
      <c r="AD141" s="1259" t="s">
        <v>5840</v>
      </c>
      <c r="AF141" s="3">
        <v>1</v>
      </c>
    </row>
    <row r="142" spans="2:32" ht="30" customHeight="1">
      <c r="B142" s="2036">
        <v>2</v>
      </c>
      <c r="C142" s="203" t="s">
        <v>5846</v>
      </c>
      <c r="D142" s="1247"/>
      <c r="E142" s="5968"/>
      <c r="F142" s="9"/>
      <c r="G142" s="1256"/>
      <c r="H142" s="1257"/>
      <c r="I142" s="1261"/>
      <c r="J142" s="1261"/>
      <c r="L142" s="5946"/>
      <c r="M142" s="1244"/>
      <c r="N142" s="54"/>
      <c r="O142" s="1247"/>
      <c r="P142" s="1247"/>
      <c r="Q142" s="176"/>
      <c r="R142" s="5937"/>
      <c r="S142" s="1240"/>
      <c r="T142" s="1239"/>
      <c r="U142" s="1239"/>
      <c r="W142" s="5937">
        <f t="shared" si="23"/>
        <v>37</v>
      </c>
      <c r="X142" s="1259" t="s">
        <v>5853</v>
      </c>
      <c r="Y142" s="1260" t="s">
        <v>5854</v>
      </c>
      <c r="Z142" s="1263" t="s">
        <v>5855</v>
      </c>
      <c r="AA142" s="1260" t="s">
        <v>5856</v>
      </c>
      <c r="AB142" s="1260" t="s">
        <v>5857</v>
      </c>
      <c r="AC142" s="1260" t="s">
        <v>5858</v>
      </c>
      <c r="AD142" s="1259" t="s">
        <v>5853</v>
      </c>
      <c r="AF142" s="3">
        <v>1</v>
      </c>
    </row>
    <row r="143" spans="2:32" ht="30" customHeight="1">
      <c r="B143" s="2036">
        <v>3</v>
      </c>
      <c r="C143" s="203" t="s">
        <v>5859</v>
      </c>
      <c r="D143" s="1247"/>
      <c r="E143" s="5968"/>
      <c r="F143" s="9"/>
      <c r="G143" s="1256"/>
      <c r="H143" s="1257"/>
      <c r="I143" s="1261"/>
      <c r="J143" s="1261"/>
      <c r="L143" s="5946"/>
      <c r="M143" s="1244"/>
      <c r="N143" s="54"/>
      <c r="O143" s="1247"/>
      <c r="P143" s="1247"/>
      <c r="Q143" s="176"/>
      <c r="R143" s="5937"/>
      <c r="S143" s="1240"/>
      <c r="T143" s="1239"/>
      <c r="U143" s="1239"/>
      <c r="W143" s="5937">
        <f t="shared" si="23"/>
        <v>38</v>
      </c>
      <c r="X143" s="1259" t="s">
        <v>5866</v>
      </c>
      <c r="Y143" s="1260" t="s">
        <v>5867</v>
      </c>
      <c r="Z143" s="1263" t="s">
        <v>5868</v>
      </c>
      <c r="AA143" s="1260" t="s">
        <v>5869</v>
      </c>
      <c r="AB143" s="1260" t="s">
        <v>5870</v>
      </c>
      <c r="AC143" s="1260" t="s">
        <v>5871</v>
      </c>
      <c r="AD143" s="1259" t="s">
        <v>5866</v>
      </c>
      <c r="AF143" s="3">
        <v>1</v>
      </c>
    </row>
    <row r="144" spans="2:32" ht="30" customHeight="1">
      <c r="B144" s="2036">
        <v>4</v>
      </c>
      <c r="C144" s="203" t="s">
        <v>5872</v>
      </c>
      <c r="D144" s="1247"/>
      <c r="E144" s="5968"/>
      <c r="F144" s="9"/>
      <c r="G144" s="1256"/>
      <c r="H144" s="1257"/>
      <c r="I144" s="1261"/>
      <c r="J144" s="1261"/>
      <c r="L144" s="5946"/>
      <c r="M144" s="1244"/>
      <c r="N144" s="54"/>
      <c r="O144" s="1247"/>
      <c r="P144" s="1247"/>
      <c r="Q144" s="176"/>
      <c r="R144" s="5937"/>
      <c r="S144" s="1240"/>
      <c r="T144" s="1239"/>
      <c r="U144" s="1239"/>
      <c r="W144" s="5937">
        <f t="shared" si="23"/>
        <v>39</v>
      </c>
      <c r="X144" s="1259" t="s">
        <v>5879</v>
      </c>
      <c r="Y144" s="1260" t="s">
        <v>5880</v>
      </c>
      <c r="Z144" s="1263" t="s">
        <v>5881</v>
      </c>
      <c r="AA144" s="1260" t="s">
        <v>5882</v>
      </c>
      <c r="AB144" s="1260" t="s">
        <v>5883</v>
      </c>
      <c r="AC144" s="1260" t="s">
        <v>5884</v>
      </c>
      <c r="AD144" s="1259" t="s">
        <v>5879</v>
      </c>
      <c r="AF144" s="3">
        <v>1</v>
      </c>
    </row>
    <row r="145" spans="2:32" ht="30" customHeight="1">
      <c r="B145" s="2036">
        <v>5</v>
      </c>
      <c r="C145" s="203" t="s">
        <v>5885</v>
      </c>
      <c r="D145" s="1247"/>
      <c r="E145" s="5968"/>
      <c r="F145" s="9"/>
      <c r="G145" s="1256"/>
      <c r="H145" s="1257"/>
      <c r="I145" s="1261"/>
      <c r="J145" s="1261"/>
      <c r="L145" s="5946"/>
      <c r="M145" s="1244"/>
      <c r="N145" s="54"/>
      <c r="O145" s="1247"/>
      <c r="P145" s="1247"/>
      <c r="Q145" s="176"/>
      <c r="R145" s="5937"/>
      <c r="S145" s="1240"/>
      <c r="T145" s="1239"/>
      <c r="U145" s="1239"/>
      <c r="W145" s="5937">
        <f t="shared" si="23"/>
        <v>40</v>
      </c>
      <c r="X145" s="1259" t="s">
        <v>5886</v>
      </c>
      <c r="Y145" s="1260" t="s">
        <v>5887</v>
      </c>
      <c r="Z145" s="1263" t="s">
        <v>5888</v>
      </c>
      <c r="AA145" s="1260" t="s">
        <v>5889</v>
      </c>
      <c r="AB145" s="1260" t="s">
        <v>5890</v>
      </c>
      <c r="AC145" s="1260" t="s">
        <v>5891</v>
      </c>
      <c r="AD145" s="1259" t="s">
        <v>5886</v>
      </c>
      <c r="AF145" s="3">
        <v>1</v>
      </c>
    </row>
    <row r="146" spans="2:32" ht="30" customHeight="1">
      <c r="B146" s="2036">
        <v>6</v>
      </c>
      <c r="C146" s="203" t="s">
        <v>5892</v>
      </c>
      <c r="D146" s="1247"/>
      <c r="E146" s="5968"/>
      <c r="F146" s="9"/>
      <c r="G146" s="1256"/>
      <c r="H146" s="1257"/>
      <c r="I146" s="1261"/>
      <c r="J146" s="1261"/>
      <c r="L146" s="5946"/>
      <c r="M146" s="1244"/>
      <c r="N146" s="54"/>
      <c r="O146" s="1247"/>
      <c r="P146" s="1247"/>
      <c r="Q146" s="176"/>
      <c r="R146" s="5937"/>
      <c r="S146" s="1240"/>
      <c r="T146" s="1239"/>
      <c r="U146" s="1239"/>
      <c r="W146" s="5937">
        <f t="shared" si="23"/>
        <v>41</v>
      </c>
      <c r="X146" s="1259" t="s">
        <v>5899</v>
      </c>
      <c r="Y146" s="1260" t="s">
        <v>5900</v>
      </c>
      <c r="Z146" s="1263" t="s">
        <v>5901</v>
      </c>
      <c r="AA146" s="1260" t="s">
        <v>5902</v>
      </c>
      <c r="AB146" s="1260" t="s">
        <v>5903</v>
      </c>
      <c r="AC146" s="1260" t="s">
        <v>5904</v>
      </c>
      <c r="AD146" s="1259" t="s">
        <v>5899</v>
      </c>
      <c r="AF146" s="3">
        <v>1</v>
      </c>
    </row>
    <row r="147" spans="2:32" ht="30" customHeight="1">
      <c r="B147" s="5969">
        <v>7</v>
      </c>
      <c r="C147" s="2037" t="s">
        <v>5905</v>
      </c>
      <c r="D147" s="2038"/>
      <c r="E147" s="5970"/>
      <c r="F147" s="9"/>
      <c r="G147" s="1256"/>
      <c r="H147" s="1257"/>
      <c r="I147" s="1261"/>
      <c r="J147" s="1261"/>
      <c r="L147" s="5946"/>
      <c r="M147" s="1244"/>
      <c r="N147" s="54"/>
      <c r="O147" s="1247"/>
      <c r="P147" s="1247"/>
      <c r="Q147" s="176"/>
      <c r="R147" s="5937"/>
      <c r="S147" s="1240"/>
      <c r="T147" s="1239"/>
      <c r="U147" s="1239"/>
      <c r="W147" s="5937">
        <f t="shared" si="23"/>
        <v>42</v>
      </c>
      <c r="X147" s="1259" t="s">
        <v>5907</v>
      </c>
      <c r="Y147" s="1260" t="s">
        <v>5908</v>
      </c>
      <c r="Z147" s="1263" t="s">
        <v>5909</v>
      </c>
      <c r="AA147" s="1260" t="s">
        <v>5910</v>
      </c>
      <c r="AB147" s="1260" t="s">
        <v>5911</v>
      </c>
      <c r="AC147" s="1260" t="s">
        <v>5912</v>
      </c>
      <c r="AD147" s="1259" t="s">
        <v>5907</v>
      </c>
      <c r="AF147" s="3">
        <v>1</v>
      </c>
    </row>
    <row r="148" spans="2:32" ht="30" customHeight="1">
      <c r="B148" s="2036"/>
      <c r="C148" s="203"/>
      <c r="D148" s="1247"/>
      <c r="E148" s="5968"/>
      <c r="F148" s="9"/>
      <c r="G148" s="1256"/>
      <c r="H148" s="1257"/>
      <c r="I148" s="1261"/>
      <c r="J148" s="1261"/>
      <c r="L148" s="5946"/>
      <c r="M148" s="1244"/>
      <c r="N148" s="54"/>
      <c r="O148" s="1247"/>
      <c r="P148" s="1247"/>
      <c r="Q148" s="176"/>
      <c r="R148" s="5937"/>
      <c r="S148" s="1240"/>
      <c r="T148" s="1239"/>
      <c r="U148" s="1239"/>
      <c r="W148" s="5937">
        <f t="shared" si="23"/>
        <v>43</v>
      </c>
      <c r="X148" s="1259" t="s">
        <v>5919</v>
      </c>
      <c r="Y148" s="1260" t="s">
        <v>5920</v>
      </c>
      <c r="Z148" s="1263" t="s">
        <v>5921</v>
      </c>
      <c r="AA148" s="1260" t="s">
        <v>5922</v>
      </c>
      <c r="AB148" s="1260" t="s">
        <v>5923</v>
      </c>
      <c r="AC148" s="1260" t="s">
        <v>5924</v>
      </c>
      <c r="AD148" s="1259" t="s">
        <v>5919</v>
      </c>
      <c r="AF148" s="3">
        <v>1</v>
      </c>
    </row>
    <row r="149" spans="2:32" ht="30" customHeight="1">
      <c r="B149" s="2046"/>
      <c r="C149" s="2047" t="s">
        <v>5925</v>
      </c>
      <c r="D149" s="2048" t="s">
        <v>5926</v>
      </c>
      <c r="E149" s="5971" t="s">
        <v>5927</v>
      </c>
      <c r="F149" s="9"/>
      <c r="G149" s="1256"/>
      <c r="H149" s="1257"/>
      <c r="I149" s="1261"/>
      <c r="J149" s="1261"/>
      <c r="L149" s="5946"/>
      <c r="M149" s="1244"/>
      <c r="N149" s="54"/>
      <c r="O149" s="1247"/>
      <c r="P149" s="1247"/>
      <c r="Q149" s="176"/>
      <c r="R149" s="5937"/>
      <c r="S149" s="1240"/>
      <c r="T149" s="1239"/>
      <c r="U149" s="1239"/>
      <c r="W149" s="5937">
        <f t="shared" si="23"/>
        <v>44</v>
      </c>
      <c r="X149" s="1259" t="s">
        <v>5928</v>
      </c>
      <c r="Y149" s="1260" t="s">
        <v>5929</v>
      </c>
      <c r="Z149" s="1263" t="s">
        <v>5930</v>
      </c>
      <c r="AA149" s="1260" t="s">
        <v>5931</v>
      </c>
      <c r="AB149" s="1260" t="s">
        <v>5932</v>
      </c>
      <c r="AC149" s="1260" t="s">
        <v>5933</v>
      </c>
      <c r="AD149" s="1259" t="s">
        <v>5928</v>
      </c>
      <c r="AF149" s="3">
        <v>1</v>
      </c>
    </row>
    <row r="150" spans="2:32" ht="30" customHeight="1">
      <c r="B150" s="2036"/>
      <c r="C150" s="203"/>
      <c r="D150" s="1247"/>
      <c r="E150" s="5968"/>
      <c r="F150" s="9"/>
      <c r="G150" s="1256"/>
      <c r="H150" s="1257"/>
      <c r="I150" s="1261"/>
      <c r="J150" s="1261"/>
      <c r="L150" s="5946"/>
      <c r="M150" s="1244"/>
      <c r="N150" s="54"/>
      <c r="O150" s="1247"/>
      <c r="P150" s="1247"/>
      <c r="Q150" s="176"/>
      <c r="R150" s="5937"/>
      <c r="S150" s="1240"/>
      <c r="T150" s="1239"/>
      <c r="U150" s="1239"/>
      <c r="W150" s="5937">
        <f t="shared" si="23"/>
        <v>45</v>
      </c>
      <c r="X150" s="1259" t="s">
        <v>5934</v>
      </c>
      <c r="Y150" s="1260" t="s">
        <v>5935</v>
      </c>
      <c r="Z150" s="1263" t="s">
        <v>5936</v>
      </c>
      <c r="AA150" s="1260" t="s">
        <v>5937</v>
      </c>
      <c r="AB150" s="1260" t="s">
        <v>5938</v>
      </c>
      <c r="AC150" s="1260" t="s">
        <v>5939</v>
      </c>
      <c r="AD150" s="1259" t="s">
        <v>5934</v>
      </c>
      <c r="AF150" s="3">
        <v>1</v>
      </c>
    </row>
    <row r="151" spans="2:32" ht="30" customHeight="1">
      <c r="B151" s="2036">
        <v>1</v>
      </c>
      <c r="C151" s="203" t="s">
        <v>5940</v>
      </c>
      <c r="D151" s="1247"/>
      <c r="E151" s="5968"/>
      <c r="F151" s="9"/>
      <c r="G151" s="1256"/>
      <c r="H151" s="1257"/>
      <c r="I151" s="1261"/>
      <c r="J151" s="1261"/>
      <c r="L151" s="5946"/>
      <c r="M151" s="1244"/>
      <c r="N151" s="54"/>
      <c r="O151" s="1247"/>
      <c r="P151" s="1247"/>
      <c r="Q151" s="176"/>
      <c r="R151" s="5937"/>
      <c r="S151" s="1240"/>
      <c r="T151" s="1239"/>
      <c r="U151" s="1239"/>
      <c r="W151" s="5937">
        <f t="shared" si="23"/>
        <v>46</v>
      </c>
      <c r="X151" s="1259" t="s">
        <v>5941</v>
      </c>
      <c r="Y151" s="1260" t="s">
        <v>5942</v>
      </c>
      <c r="Z151" s="1263" t="s">
        <v>5943</v>
      </c>
      <c r="AA151" s="1260" t="s">
        <v>5944</v>
      </c>
      <c r="AB151" s="1260" t="s">
        <v>5945</v>
      </c>
      <c r="AC151" s="1260" t="s">
        <v>5946</v>
      </c>
      <c r="AD151" s="1259" t="s">
        <v>5941</v>
      </c>
      <c r="AF151" s="3">
        <v>1</v>
      </c>
    </row>
    <row r="152" spans="2:32" ht="30" customHeight="1">
      <c r="B152" s="2036">
        <v>2</v>
      </c>
      <c r="C152" s="203" t="s">
        <v>5947</v>
      </c>
      <c r="D152" s="1247"/>
      <c r="E152" s="5968"/>
      <c r="F152" s="9"/>
      <c r="G152" s="1256"/>
      <c r="H152" s="1257"/>
      <c r="I152" s="1261"/>
      <c r="J152" s="1261"/>
      <c r="L152" s="5946"/>
      <c r="M152" s="1244"/>
      <c r="N152" s="54"/>
      <c r="O152" s="1247"/>
      <c r="P152" s="1247"/>
      <c r="Q152" s="176"/>
      <c r="R152" s="5937"/>
      <c r="S152" s="1240"/>
      <c r="T152" s="1239"/>
      <c r="U152" s="1239"/>
      <c r="W152" s="5937">
        <f t="shared" si="23"/>
        <v>47</v>
      </c>
      <c r="X152" s="1259" t="s">
        <v>5948</v>
      </c>
      <c r="Y152" s="1260" t="s">
        <v>5949</v>
      </c>
      <c r="Z152" s="1263" t="s">
        <v>5950</v>
      </c>
      <c r="AA152" s="1260" t="s">
        <v>5951</v>
      </c>
      <c r="AB152" s="1260" t="s">
        <v>5952</v>
      </c>
      <c r="AC152" s="1260" t="s">
        <v>5953</v>
      </c>
      <c r="AD152" s="1259" t="s">
        <v>5948</v>
      </c>
      <c r="AF152" s="3">
        <v>1</v>
      </c>
    </row>
    <row r="153" spans="2:32" ht="30" customHeight="1">
      <c r="B153" s="2036">
        <v>3</v>
      </c>
      <c r="C153" s="203" t="s">
        <v>5954</v>
      </c>
      <c r="D153" s="1247"/>
      <c r="E153" s="5968"/>
      <c r="F153" s="9"/>
      <c r="G153" s="1256"/>
      <c r="H153" s="1257"/>
      <c r="I153" s="1261"/>
      <c r="J153" s="1261"/>
      <c r="L153" s="5946"/>
      <c r="M153" s="1244"/>
      <c r="N153" s="54"/>
      <c r="O153" s="1247"/>
      <c r="P153" s="1247"/>
      <c r="Q153" s="176"/>
      <c r="R153" s="5937"/>
      <c r="S153" s="1240"/>
      <c r="T153" s="1239"/>
      <c r="U153" s="1239"/>
      <c r="W153" s="5937">
        <f t="shared" si="23"/>
        <v>48</v>
      </c>
      <c r="X153" s="1259" t="s">
        <v>5955</v>
      </c>
      <c r="Y153" s="1260" t="s">
        <v>5956</v>
      </c>
      <c r="Z153" s="1263" t="s">
        <v>5957</v>
      </c>
      <c r="AA153" s="1260" t="s">
        <v>5958</v>
      </c>
      <c r="AB153" s="1260" t="s">
        <v>5959</v>
      </c>
      <c r="AC153" s="1260" t="s">
        <v>5960</v>
      </c>
      <c r="AD153" s="1259" t="s">
        <v>5955</v>
      </c>
      <c r="AF153" s="3">
        <v>1</v>
      </c>
    </row>
    <row r="154" spans="2:32" ht="30" customHeight="1">
      <c r="B154" s="2036">
        <v>4</v>
      </c>
      <c r="C154" s="203" t="s">
        <v>5961</v>
      </c>
      <c r="D154" s="1247"/>
      <c r="E154" s="5968"/>
      <c r="F154" s="9"/>
      <c r="G154" s="1256"/>
      <c r="H154" s="1257"/>
      <c r="I154" s="1261"/>
      <c r="J154" s="1261"/>
      <c r="L154" s="5946"/>
      <c r="M154" s="1244"/>
      <c r="N154" s="54"/>
      <c r="O154" s="1247"/>
      <c r="P154" s="1247"/>
      <c r="Q154" s="176"/>
      <c r="R154" s="5937"/>
      <c r="S154" s="1240"/>
      <c r="T154" s="1239"/>
      <c r="U154" s="1239"/>
      <c r="W154" s="5937">
        <f t="shared" si="23"/>
        <v>49</v>
      </c>
      <c r="X154" s="1259" t="s">
        <v>5962</v>
      </c>
      <c r="Y154" s="1260" t="s">
        <v>5963</v>
      </c>
      <c r="Z154" s="1263" t="s">
        <v>5964</v>
      </c>
      <c r="AA154" s="1260" t="s">
        <v>5965</v>
      </c>
      <c r="AB154" s="1260" t="s">
        <v>5966</v>
      </c>
      <c r="AC154" s="1260" t="s">
        <v>5967</v>
      </c>
      <c r="AD154" s="1259" t="s">
        <v>5962</v>
      </c>
      <c r="AF154" s="3">
        <v>1</v>
      </c>
    </row>
    <row r="155" spans="2:32" ht="30" customHeight="1">
      <c r="B155" s="2036">
        <v>5</v>
      </c>
      <c r="C155" s="203" t="s">
        <v>5968</v>
      </c>
      <c r="D155" s="1247"/>
      <c r="E155" s="5968"/>
      <c r="F155" s="9"/>
      <c r="G155" s="1256"/>
      <c r="H155" s="1257"/>
      <c r="I155" s="1261"/>
      <c r="J155" s="1261"/>
      <c r="L155" s="5946"/>
      <c r="M155" s="1244"/>
      <c r="N155" s="54"/>
      <c r="O155" s="1247"/>
      <c r="P155" s="1247"/>
      <c r="Q155" s="176"/>
      <c r="R155" s="5937"/>
      <c r="S155" s="1240"/>
      <c r="T155" s="1239"/>
      <c r="U155" s="1239"/>
      <c r="W155" s="5937">
        <f t="shared" si="23"/>
        <v>50</v>
      </c>
      <c r="X155" s="1259" t="s">
        <v>5969</v>
      </c>
      <c r="Y155" s="1260" t="s">
        <v>5970</v>
      </c>
      <c r="Z155" s="1263" t="s">
        <v>5971</v>
      </c>
      <c r="AA155" s="1260" t="s">
        <v>5972</v>
      </c>
      <c r="AB155" s="1260" t="s">
        <v>5973</v>
      </c>
      <c r="AC155" s="1260" t="s">
        <v>5974</v>
      </c>
      <c r="AD155" s="1259" t="s">
        <v>5969</v>
      </c>
      <c r="AF155" s="3">
        <v>1</v>
      </c>
    </row>
    <row r="156" spans="2:32" ht="30" customHeight="1">
      <c r="B156" s="2036">
        <v>6</v>
      </c>
      <c r="C156" s="203" t="s">
        <v>5975</v>
      </c>
      <c r="D156" s="1247"/>
      <c r="E156" s="5968"/>
      <c r="F156" s="9"/>
      <c r="G156" s="1256"/>
      <c r="H156" s="1257"/>
      <c r="I156" s="1261"/>
      <c r="J156" s="1261"/>
      <c r="L156" s="5946"/>
      <c r="M156" s="1244"/>
      <c r="N156" s="54"/>
      <c r="O156" s="1247"/>
      <c r="P156" s="1247"/>
      <c r="Q156" s="176"/>
      <c r="R156" s="5937"/>
      <c r="S156" s="1240"/>
      <c r="T156" s="1239"/>
      <c r="U156" s="1239"/>
      <c r="W156" s="5904"/>
      <c r="X156" s="5952" t="s">
        <v>3639</v>
      </c>
      <c r="Y156" s="1238"/>
      <c r="Z156" s="1238"/>
      <c r="AA156" s="1238"/>
      <c r="AB156" s="1255"/>
      <c r="AC156" s="1255"/>
      <c r="AD156" s="5952" t="s">
        <v>3639</v>
      </c>
      <c r="AF156" s="3">
        <v>1</v>
      </c>
    </row>
    <row r="157" spans="2:32" ht="30" customHeight="1">
      <c r="B157" s="2036">
        <v>7</v>
      </c>
      <c r="C157" s="203" t="s">
        <v>5976</v>
      </c>
      <c r="D157" s="1247"/>
      <c r="E157" s="5968"/>
      <c r="F157" s="9"/>
      <c r="G157" s="1256"/>
      <c r="H157" s="1257"/>
      <c r="I157" s="1261"/>
      <c r="J157" s="1261"/>
      <c r="L157" s="5946"/>
      <c r="M157" s="1244"/>
      <c r="N157" s="54"/>
      <c r="O157" s="1247"/>
      <c r="P157" s="1247"/>
      <c r="Q157" s="176"/>
      <c r="R157" s="5937"/>
      <c r="S157" s="1240"/>
      <c r="T157" s="1239"/>
      <c r="U157" s="1239"/>
      <c r="W157" s="5937">
        <v>1</v>
      </c>
      <c r="X157" s="1259" t="s">
        <v>5977</v>
      </c>
      <c r="Y157" s="1260" t="s">
        <v>5978</v>
      </c>
      <c r="Z157" s="1260" t="s">
        <v>5979</v>
      </c>
      <c r="AA157" s="1260" t="s">
        <v>5980</v>
      </c>
      <c r="AB157" s="1260" t="s">
        <v>5981</v>
      </c>
      <c r="AC157" s="1260" t="s">
        <v>5982</v>
      </c>
      <c r="AD157" s="1259" t="s">
        <v>5977</v>
      </c>
      <c r="AF157" s="3">
        <v>1</v>
      </c>
    </row>
    <row r="158" spans="2:32" ht="30" customHeight="1">
      <c r="B158" s="2036">
        <v>8</v>
      </c>
      <c r="C158" s="203" t="s">
        <v>5983</v>
      </c>
      <c r="D158" s="1247"/>
      <c r="E158" s="5968"/>
      <c r="F158" s="9"/>
      <c r="G158" s="1256"/>
      <c r="H158" s="1257"/>
      <c r="I158" s="1261"/>
      <c r="J158" s="1261"/>
      <c r="L158" s="5946"/>
      <c r="M158" s="1244"/>
      <c r="N158" s="54"/>
      <c r="O158" s="1247"/>
      <c r="P158" s="1247"/>
      <c r="Q158" s="176"/>
      <c r="R158" s="5937"/>
      <c r="S158" s="1240"/>
      <c r="T158" s="1239"/>
      <c r="U158" s="1239"/>
      <c r="W158" s="5937">
        <f>W157+1</f>
        <v>2</v>
      </c>
      <c r="X158" s="1259" t="s">
        <v>5984</v>
      </c>
      <c r="Y158" s="1260" t="s">
        <v>5985</v>
      </c>
      <c r="Z158" s="1260" t="s">
        <v>5986</v>
      </c>
      <c r="AA158" s="1260" t="s">
        <v>5987</v>
      </c>
      <c r="AB158" s="1260" t="s">
        <v>5988</v>
      </c>
      <c r="AC158" s="1260" t="s">
        <v>5989</v>
      </c>
      <c r="AD158" s="1259" t="s">
        <v>5984</v>
      </c>
      <c r="AF158" s="3">
        <v>1</v>
      </c>
    </row>
    <row r="159" spans="2:32" ht="30" customHeight="1">
      <c r="B159" s="2036">
        <v>9</v>
      </c>
      <c r="C159" s="203" t="s">
        <v>5990</v>
      </c>
      <c r="D159" s="1247"/>
      <c r="E159" s="5968"/>
      <c r="F159" s="9"/>
      <c r="G159" s="1256"/>
      <c r="H159" s="1257"/>
      <c r="I159" s="1261"/>
      <c r="J159" s="1261"/>
      <c r="L159" s="5946"/>
      <c r="M159" s="1244"/>
      <c r="N159" s="54"/>
      <c r="O159" s="1247"/>
      <c r="P159" s="1247"/>
      <c r="Q159" s="176"/>
      <c r="R159" s="5937"/>
      <c r="S159" s="1240"/>
      <c r="T159" s="1239"/>
      <c r="U159" s="1239"/>
      <c r="W159" s="5937">
        <f t="shared" ref="W159:W191" si="24">W158+1</f>
        <v>3</v>
      </c>
      <c r="X159" s="1259" t="s">
        <v>5991</v>
      </c>
      <c r="Y159" s="1260" t="s">
        <v>5992</v>
      </c>
      <c r="Z159" s="1260" t="s">
        <v>5993</v>
      </c>
      <c r="AA159" s="1260" t="s">
        <v>5994</v>
      </c>
      <c r="AB159" s="1260" t="s">
        <v>5995</v>
      </c>
      <c r="AC159" s="1260" t="s">
        <v>5996</v>
      </c>
      <c r="AD159" s="1259" t="s">
        <v>5991</v>
      </c>
      <c r="AF159" s="3">
        <v>1</v>
      </c>
    </row>
    <row r="160" spans="2:32" ht="30" customHeight="1">
      <c r="B160" s="2036">
        <v>10</v>
      </c>
      <c r="C160" s="203" t="s">
        <v>5997</v>
      </c>
      <c r="D160" s="1247"/>
      <c r="E160" s="5968"/>
      <c r="F160" s="9"/>
      <c r="G160" s="1256"/>
      <c r="H160" s="1257"/>
      <c r="I160" s="1261"/>
      <c r="J160" s="1261"/>
      <c r="L160" s="5946"/>
      <c r="M160" s="1244"/>
      <c r="N160" s="54"/>
      <c r="O160" s="1247"/>
      <c r="P160" s="1247"/>
      <c r="Q160" s="176"/>
      <c r="R160" s="5937"/>
      <c r="S160" s="1240"/>
      <c r="T160" s="1239"/>
      <c r="U160" s="1239"/>
      <c r="W160" s="5937">
        <f t="shared" si="24"/>
        <v>4</v>
      </c>
      <c r="X160" s="1259" t="s">
        <v>5998</v>
      </c>
      <c r="Y160" s="1260" t="s">
        <v>5999</v>
      </c>
      <c r="Z160" s="1260" t="s">
        <v>6000</v>
      </c>
      <c r="AA160" s="1260" t="s">
        <v>6001</v>
      </c>
      <c r="AB160" s="1260" t="s">
        <v>6002</v>
      </c>
      <c r="AC160" s="1260" t="s">
        <v>6003</v>
      </c>
      <c r="AD160" s="1259" t="s">
        <v>5998</v>
      </c>
      <c r="AF160" s="3">
        <v>1</v>
      </c>
    </row>
    <row r="161" spans="2:32" ht="30" customHeight="1">
      <c r="B161" s="2036">
        <v>11</v>
      </c>
      <c r="C161" s="203" t="s">
        <v>6004</v>
      </c>
      <c r="D161" s="1247"/>
      <c r="E161" s="5968"/>
      <c r="F161" s="9"/>
      <c r="G161" s="1256"/>
      <c r="H161" s="1257"/>
      <c r="I161" s="1261"/>
      <c r="J161" s="1261"/>
      <c r="L161" s="5946"/>
      <c r="M161" s="1244"/>
      <c r="N161" s="54"/>
      <c r="O161" s="1247"/>
      <c r="P161" s="1247"/>
      <c r="Q161" s="176"/>
      <c r="R161" s="5937"/>
      <c r="S161" s="1240"/>
      <c r="T161" s="1239"/>
      <c r="U161" s="1239"/>
      <c r="W161" s="5937">
        <f t="shared" si="24"/>
        <v>5</v>
      </c>
      <c r="X161" s="1259" t="s">
        <v>6005</v>
      </c>
      <c r="Y161" s="1260" t="s">
        <v>6006</v>
      </c>
      <c r="Z161" s="1260" t="s">
        <v>6007</v>
      </c>
      <c r="AA161" s="1260" t="s">
        <v>6008</v>
      </c>
      <c r="AB161" s="1260" t="s">
        <v>6009</v>
      </c>
      <c r="AC161" s="1260" t="s">
        <v>6010</v>
      </c>
      <c r="AD161" s="1259" t="s">
        <v>6005</v>
      </c>
      <c r="AF161" s="3">
        <v>1</v>
      </c>
    </row>
    <row r="162" spans="2:32" ht="30" customHeight="1">
      <c r="B162" s="2036">
        <v>12</v>
      </c>
      <c r="C162" s="203" t="s">
        <v>6011</v>
      </c>
      <c r="D162" s="1247"/>
      <c r="E162" s="5968"/>
      <c r="F162" s="9"/>
      <c r="G162" s="1256"/>
      <c r="H162" s="1257"/>
      <c r="I162" s="1261"/>
      <c r="J162" s="1261"/>
      <c r="L162" s="5946"/>
      <c r="M162" s="1244"/>
      <c r="N162" s="54"/>
      <c r="O162" s="1247"/>
      <c r="P162" s="1247"/>
      <c r="Q162" s="176"/>
      <c r="R162" s="5937"/>
      <c r="S162" s="1240"/>
      <c r="T162" s="1239"/>
      <c r="U162" s="1239"/>
      <c r="W162" s="5937">
        <f t="shared" si="24"/>
        <v>6</v>
      </c>
      <c r="X162" s="1259" t="s">
        <v>6012</v>
      </c>
      <c r="Y162" s="1260" t="s">
        <v>6013</v>
      </c>
      <c r="Z162" s="1260" t="s">
        <v>6014</v>
      </c>
      <c r="AA162" s="1260" t="s">
        <v>6015</v>
      </c>
      <c r="AB162" s="1260" t="s">
        <v>6016</v>
      </c>
      <c r="AC162" s="1260" t="s">
        <v>6017</v>
      </c>
      <c r="AD162" s="1259" t="s">
        <v>6012</v>
      </c>
      <c r="AF162" s="3">
        <v>1</v>
      </c>
    </row>
    <row r="163" spans="2:32" ht="30" customHeight="1">
      <c r="B163" s="2036"/>
      <c r="C163" s="203"/>
      <c r="D163" s="1247"/>
      <c r="E163" s="5968"/>
      <c r="F163" s="9"/>
      <c r="G163" s="1256"/>
      <c r="H163" s="1257"/>
      <c r="I163" s="1261"/>
      <c r="J163" s="1261"/>
      <c r="L163" s="5946"/>
      <c r="M163" s="1244"/>
      <c r="N163" s="54"/>
      <c r="O163" s="1247"/>
      <c r="P163" s="1247"/>
      <c r="Q163" s="176"/>
      <c r="R163" s="5937"/>
      <c r="S163" s="1240"/>
      <c r="T163" s="1239"/>
      <c r="U163" s="1239"/>
      <c r="W163" s="5937">
        <f t="shared" si="24"/>
        <v>7</v>
      </c>
      <c r="X163" s="1259" t="s">
        <v>6018</v>
      </c>
      <c r="Y163" s="1260" t="s">
        <v>6019</v>
      </c>
      <c r="Z163" s="1260" t="s">
        <v>6020</v>
      </c>
      <c r="AA163" s="1260" t="s">
        <v>6021</v>
      </c>
      <c r="AB163" s="1260" t="s">
        <v>6022</v>
      </c>
      <c r="AC163" s="1260" t="s">
        <v>6023</v>
      </c>
      <c r="AD163" s="1259" t="s">
        <v>6018</v>
      </c>
      <c r="AF163" s="3">
        <v>1</v>
      </c>
    </row>
    <row r="164" spans="2:32" ht="30" customHeight="1">
      <c r="B164" s="2046"/>
      <c r="C164" s="2047" t="s">
        <v>6024</v>
      </c>
      <c r="D164" s="2048" t="s">
        <v>6025</v>
      </c>
      <c r="E164" s="5971" t="s">
        <v>6026</v>
      </c>
      <c r="F164" s="9"/>
      <c r="G164" s="1256"/>
      <c r="H164" s="1257"/>
      <c r="I164" s="1261"/>
      <c r="J164" s="1261"/>
      <c r="L164" s="5946"/>
      <c r="M164" s="1244"/>
      <c r="N164" s="54"/>
      <c r="O164" s="1247"/>
      <c r="P164" s="1247"/>
      <c r="Q164" s="176"/>
      <c r="R164" s="5937"/>
      <c r="S164" s="1240"/>
      <c r="T164" s="1239"/>
      <c r="U164" s="1239"/>
      <c r="W164" s="5937">
        <f t="shared" si="24"/>
        <v>8</v>
      </c>
      <c r="X164" s="1259" t="s">
        <v>6027</v>
      </c>
      <c r="Y164" s="1260" t="s">
        <v>6028</v>
      </c>
      <c r="Z164" s="1260" t="s">
        <v>6029</v>
      </c>
      <c r="AA164" s="1260" t="s">
        <v>6030</v>
      </c>
      <c r="AB164" s="1260" t="s">
        <v>6031</v>
      </c>
      <c r="AC164" s="1260" t="s">
        <v>6032</v>
      </c>
      <c r="AD164" s="1259" t="s">
        <v>6027</v>
      </c>
      <c r="AF164" s="3">
        <v>1</v>
      </c>
    </row>
    <row r="165" spans="2:32" ht="30" customHeight="1">
      <c r="B165" s="2036"/>
      <c r="C165" s="203"/>
      <c r="D165" s="1247"/>
      <c r="E165" s="5968"/>
      <c r="F165" s="9"/>
      <c r="G165" s="1256"/>
      <c r="H165" s="1257"/>
      <c r="I165" s="1261"/>
      <c r="J165" s="1261"/>
      <c r="L165" s="5946"/>
      <c r="M165" s="1244"/>
      <c r="N165" s="54"/>
      <c r="O165" s="1247"/>
      <c r="P165" s="1247"/>
      <c r="Q165" s="176"/>
      <c r="R165" s="5937"/>
      <c r="S165" s="1240"/>
      <c r="T165" s="1239"/>
      <c r="U165" s="1239"/>
      <c r="W165" s="5937">
        <f t="shared" si="24"/>
        <v>9</v>
      </c>
      <c r="X165" s="1259" t="s">
        <v>6033</v>
      </c>
      <c r="Y165" s="1260" t="s">
        <v>6034</v>
      </c>
      <c r="Z165" s="1260" t="s">
        <v>6035</v>
      </c>
      <c r="AA165" s="1260" t="s">
        <v>6036</v>
      </c>
      <c r="AB165" s="1260" t="s">
        <v>6037</v>
      </c>
      <c r="AC165" s="1260" t="s">
        <v>6038</v>
      </c>
      <c r="AD165" s="1259" t="s">
        <v>6033</v>
      </c>
      <c r="AF165" s="3">
        <v>1</v>
      </c>
    </row>
    <row r="166" spans="2:32" ht="30" customHeight="1">
      <c r="B166" s="2036">
        <v>1</v>
      </c>
      <c r="C166" s="203" t="s">
        <v>6039</v>
      </c>
      <c r="D166" s="1247"/>
      <c r="E166" s="5968"/>
      <c r="F166" s="9"/>
      <c r="G166" s="1256"/>
      <c r="H166" s="1257"/>
      <c r="I166" s="1261"/>
      <c r="J166" s="1261"/>
      <c r="L166" s="5946"/>
      <c r="M166" s="1244"/>
      <c r="N166" s="54"/>
      <c r="O166" s="1247"/>
      <c r="P166" s="1247"/>
      <c r="Q166" s="176"/>
      <c r="R166" s="5937"/>
      <c r="S166" s="1240"/>
      <c r="T166" s="1239"/>
      <c r="U166" s="1239"/>
      <c r="W166" s="5937">
        <f t="shared" si="24"/>
        <v>10</v>
      </c>
      <c r="X166" s="1259" t="s">
        <v>6040</v>
      </c>
      <c r="Y166" s="1260" t="s">
        <v>6041</v>
      </c>
      <c r="Z166" s="1260" t="s">
        <v>6042</v>
      </c>
      <c r="AA166" s="1260" t="s">
        <v>6043</v>
      </c>
      <c r="AB166" s="1260" t="s">
        <v>6044</v>
      </c>
      <c r="AC166" s="1260" t="s">
        <v>6045</v>
      </c>
      <c r="AD166" s="1259" t="s">
        <v>6040</v>
      </c>
      <c r="AF166" s="3">
        <v>1</v>
      </c>
    </row>
    <row r="167" spans="2:32" ht="30" customHeight="1">
      <c r="B167" s="2036">
        <v>2</v>
      </c>
      <c r="C167" s="203" t="s">
        <v>6046</v>
      </c>
      <c r="D167" s="1247"/>
      <c r="E167" s="5968"/>
      <c r="F167" s="9"/>
      <c r="G167" s="1256"/>
      <c r="H167" s="1257"/>
      <c r="I167" s="1261"/>
      <c r="J167" s="1261"/>
      <c r="L167" s="5946"/>
      <c r="M167" s="1244"/>
      <c r="N167" s="54"/>
      <c r="O167" s="1247"/>
      <c r="P167" s="1247"/>
      <c r="Q167" s="176"/>
      <c r="R167" s="5937"/>
      <c r="S167" s="1240"/>
      <c r="T167" s="1239"/>
      <c r="U167" s="1239"/>
      <c r="W167" s="5937">
        <f t="shared" si="24"/>
        <v>11</v>
      </c>
      <c r="X167" s="1259" t="s">
        <v>6047</v>
      </c>
      <c r="Y167" s="1260" t="s">
        <v>6048</v>
      </c>
      <c r="Z167" s="1263" t="s">
        <v>6049</v>
      </c>
      <c r="AA167" s="1260" t="s">
        <v>6050</v>
      </c>
      <c r="AB167" s="1260" t="s">
        <v>6051</v>
      </c>
      <c r="AC167" s="1260" t="s">
        <v>6052</v>
      </c>
      <c r="AD167" s="1259" t="s">
        <v>6047</v>
      </c>
      <c r="AF167" s="3">
        <v>1</v>
      </c>
    </row>
    <row r="168" spans="2:32" ht="30" customHeight="1">
      <c r="B168" s="2036">
        <v>3</v>
      </c>
      <c r="C168" s="203" t="s">
        <v>6053</v>
      </c>
      <c r="D168" s="1247"/>
      <c r="E168" s="5968"/>
      <c r="F168" s="9"/>
      <c r="G168" s="1256"/>
      <c r="H168" s="1257"/>
      <c r="I168" s="1261"/>
      <c r="J168" s="1261"/>
      <c r="L168" s="5946"/>
      <c r="M168" s="1244"/>
      <c r="N168" s="54"/>
      <c r="O168" s="1247"/>
      <c r="P168" s="1247"/>
      <c r="Q168" s="176"/>
      <c r="R168" s="5937"/>
      <c r="S168" s="1240"/>
      <c r="T168" s="1239"/>
      <c r="U168" s="1239"/>
      <c r="W168" s="5937">
        <f t="shared" si="24"/>
        <v>12</v>
      </c>
      <c r="X168" s="1259" t="s">
        <v>6054</v>
      </c>
      <c r="Y168" s="1260" t="s">
        <v>6055</v>
      </c>
      <c r="Z168" s="1263" t="s">
        <v>6056</v>
      </c>
      <c r="AA168" s="1260" t="s">
        <v>6057</v>
      </c>
      <c r="AB168" s="1260" t="s">
        <v>6058</v>
      </c>
      <c r="AC168" s="1260" t="s">
        <v>6059</v>
      </c>
      <c r="AD168" s="1259" t="s">
        <v>6054</v>
      </c>
      <c r="AF168" s="3">
        <v>1</v>
      </c>
    </row>
    <row r="169" spans="2:32" ht="30" customHeight="1">
      <c r="B169" s="2036">
        <v>4</v>
      </c>
      <c r="C169" s="203" t="s">
        <v>6060</v>
      </c>
      <c r="D169" s="1247"/>
      <c r="E169" s="5968"/>
      <c r="F169" s="9"/>
      <c r="G169" s="1256"/>
      <c r="H169" s="1257"/>
      <c r="I169" s="1261"/>
      <c r="J169" s="1261"/>
      <c r="L169" s="5946"/>
      <c r="M169" s="1244"/>
      <c r="N169" s="54"/>
      <c r="O169" s="1247"/>
      <c r="P169" s="1247"/>
      <c r="Q169" s="176"/>
      <c r="R169" s="5937"/>
      <c r="S169" s="1240"/>
      <c r="T169" s="1239"/>
      <c r="U169" s="1239"/>
      <c r="W169" s="5937">
        <f t="shared" si="24"/>
        <v>13</v>
      </c>
      <c r="X169" s="1259" t="s">
        <v>6061</v>
      </c>
      <c r="Y169" s="1260" t="s">
        <v>6062</v>
      </c>
      <c r="Z169" s="1263" t="s">
        <v>6063</v>
      </c>
      <c r="AA169" s="1260" t="s">
        <v>6064</v>
      </c>
      <c r="AB169" s="1260" t="s">
        <v>6065</v>
      </c>
      <c r="AC169" s="1260" t="s">
        <v>6066</v>
      </c>
      <c r="AD169" s="1259" t="s">
        <v>6061</v>
      </c>
      <c r="AF169" s="3">
        <v>1</v>
      </c>
    </row>
    <row r="170" spans="2:32" ht="30" customHeight="1">
      <c r="B170" s="2036">
        <v>5</v>
      </c>
      <c r="C170" s="203" t="s">
        <v>6067</v>
      </c>
      <c r="D170" s="1247"/>
      <c r="E170" s="5968"/>
      <c r="F170" s="9"/>
      <c r="G170" s="1256"/>
      <c r="H170" s="1257"/>
      <c r="I170" s="1261"/>
      <c r="J170" s="1261"/>
      <c r="L170" s="5946"/>
      <c r="M170" s="1244"/>
      <c r="N170" s="54"/>
      <c r="O170" s="1247"/>
      <c r="P170" s="1247"/>
      <c r="Q170" s="176"/>
      <c r="R170" s="5937"/>
      <c r="S170" s="1240"/>
      <c r="T170" s="1239"/>
      <c r="U170" s="1239"/>
      <c r="W170" s="5937">
        <f t="shared" si="24"/>
        <v>14</v>
      </c>
      <c r="X170" s="1259" t="s">
        <v>6068</v>
      </c>
      <c r="Y170" s="1260" t="s">
        <v>6069</v>
      </c>
      <c r="Z170" s="1263" t="s">
        <v>6070</v>
      </c>
      <c r="AA170" s="1260" t="s">
        <v>6071</v>
      </c>
      <c r="AB170" s="1260" t="s">
        <v>6072</v>
      </c>
      <c r="AC170" s="1260" t="s">
        <v>6073</v>
      </c>
      <c r="AD170" s="1259" t="s">
        <v>6068</v>
      </c>
      <c r="AF170" s="3">
        <v>1</v>
      </c>
    </row>
    <row r="171" spans="2:32" ht="30" customHeight="1">
      <c r="B171" s="2036">
        <v>6</v>
      </c>
      <c r="C171" s="203" t="s">
        <v>6074</v>
      </c>
      <c r="D171" s="1247"/>
      <c r="E171" s="5968"/>
      <c r="F171" s="9"/>
      <c r="G171" s="1256"/>
      <c r="H171" s="1257"/>
      <c r="I171" s="1261"/>
      <c r="J171" s="1261"/>
      <c r="L171" s="5946"/>
      <c r="M171" s="1244"/>
      <c r="N171" s="54"/>
      <c r="O171" s="1247"/>
      <c r="P171" s="1247"/>
      <c r="Q171" s="176"/>
      <c r="R171" s="5937"/>
      <c r="S171" s="1240"/>
      <c r="T171" s="1239"/>
      <c r="U171" s="1239"/>
      <c r="W171" s="5937">
        <f t="shared" si="24"/>
        <v>15</v>
      </c>
      <c r="X171" s="1259" t="s">
        <v>6075</v>
      </c>
      <c r="Y171" s="1260" t="s">
        <v>6076</v>
      </c>
      <c r="Z171" s="1260" t="s">
        <v>6077</v>
      </c>
      <c r="AA171" s="1260" t="s">
        <v>6078</v>
      </c>
      <c r="AB171" s="1260" t="s">
        <v>6079</v>
      </c>
      <c r="AC171" s="1260" t="s">
        <v>6080</v>
      </c>
      <c r="AD171" s="1259" t="s">
        <v>6075</v>
      </c>
      <c r="AF171" s="3">
        <v>1</v>
      </c>
    </row>
    <row r="172" spans="2:32" ht="30" customHeight="1">
      <c r="B172" s="2036"/>
      <c r="C172" s="203"/>
      <c r="D172" s="1247"/>
      <c r="E172" s="5968"/>
      <c r="F172" s="9"/>
      <c r="G172" s="1256"/>
      <c r="H172" s="1257"/>
      <c r="I172" s="1261"/>
      <c r="J172" s="1261"/>
      <c r="L172" s="5946"/>
      <c r="M172" s="1244"/>
      <c r="N172" s="54"/>
      <c r="O172" s="1247"/>
      <c r="P172" s="1247"/>
      <c r="Q172" s="176"/>
      <c r="R172" s="5937"/>
      <c r="S172" s="1240"/>
      <c r="T172" s="1239"/>
      <c r="U172" s="1239"/>
      <c r="W172" s="5937">
        <f t="shared" si="24"/>
        <v>16</v>
      </c>
      <c r="X172" s="1259" t="s">
        <v>6081</v>
      </c>
      <c r="Y172" s="1260" t="s">
        <v>6082</v>
      </c>
      <c r="Z172" s="1263" t="s">
        <v>6083</v>
      </c>
      <c r="AA172" s="1260" t="s">
        <v>6084</v>
      </c>
      <c r="AB172" s="1260" t="s">
        <v>6085</v>
      </c>
      <c r="AC172" s="1260" t="s">
        <v>6086</v>
      </c>
      <c r="AD172" s="1259" t="s">
        <v>6081</v>
      </c>
      <c r="AF172" s="3">
        <v>1</v>
      </c>
    </row>
    <row r="173" spans="2:32" ht="30" customHeight="1">
      <c r="B173" s="2046"/>
      <c r="C173" s="2047" t="s">
        <v>6087</v>
      </c>
      <c r="D173" s="2048" t="s">
        <v>6088</v>
      </c>
      <c r="E173" s="5971" t="s">
        <v>6089</v>
      </c>
      <c r="F173" s="9"/>
      <c r="G173" s="1256"/>
      <c r="H173" s="1257"/>
      <c r="I173" s="1261"/>
      <c r="J173" s="1261"/>
      <c r="L173" s="5946"/>
      <c r="M173" s="1244"/>
      <c r="N173" s="54"/>
      <c r="O173" s="1247"/>
      <c r="P173" s="1247"/>
      <c r="Q173" s="176"/>
      <c r="R173" s="5937"/>
      <c r="S173" s="1240"/>
      <c r="T173" s="1239"/>
      <c r="U173" s="1239"/>
      <c r="W173" s="5937">
        <f t="shared" si="24"/>
        <v>17</v>
      </c>
      <c r="X173" s="1259" t="s">
        <v>6090</v>
      </c>
      <c r="Y173" s="1260" t="s">
        <v>6091</v>
      </c>
      <c r="Z173" s="1263" t="s">
        <v>6092</v>
      </c>
      <c r="AA173" s="1260" t="s">
        <v>6093</v>
      </c>
      <c r="AB173" s="1260" t="s">
        <v>6094</v>
      </c>
      <c r="AC173" s="1260" t="s">
        <v>6095</v>
      </c>
      <c r="AD173" s="1259" t="s">
        <v>6090</v>
      </c>
      <c r="AF173" s="3">
        <v>1</v>
      </c>
    </row>
    <row r="174" spans="2:32" ht="30" customHeight="1">
      <c r="B174" s="2036"/>
      <c r="C174" s="203"/>
      <c r="D174" s="1247"/>
      <c r="E174" s="5968"/>
      <c r="F174" s="9"/>
      <c r="G174" s="1256"/>
      <c r="H174" s="1257"/>
      <c r="I174" s="1261"/>
      <c r="J174" s="1261"/>
      <c r="L174" s="5946"/>
      <c r="M174" s="1244"/>
      <c r="N174" s="54"/>
      <c r="O174" s="1247"/>
      <c r="P174" s="1247"/>
      <c r="Q174" s="176"/>
      <c r="R174" s="5937"/>
      <c r="S174" s="1240"/>
      <c r="T174" s="1239"/>
      <c r="U174" s="1239"/>
      <c r="W174" s="5937">
        <f t="shared" si="24"/>
        <v>18</v>
      </c>
      <c r="X174" s="1259" t="s">
        <v>6096</v>
      </c>
      <c r="Y174" s="1260" t="s">
        <v>6097</v>
      </c>
      <c r="Z174" s="1263" t="s">
        <v>6098</v>
      </c>
      <c r="AA174" s="1260" t="s">
        <v>6099</v>
      </c>
      <c r="AB174" s="1260" t="s">
        <v>6100</v>
      </c>
      <c r="AC174" s="1260" t="s">
        <v>6101</v>
      </c>
      <c r="AD174" s="1259" t="s">
        <v>6096</v>
      </c>
      <c r="AF174" s="3">
        <v>1</v>
      </c>
    </row>
    <row r="175" spans="2:32" ht="30" customHeight="1">
      <c r="B175" s="2036">
        <v>1</v>
      </c>
      <c r="C175" s="203" t="s">
        <v>6102</v>
      </c>
      <c r="D175" s="1247"/>
      <c r="E175" s="5968"/>
      <c r="F175" s="9"/>
      <c r="G175" s="1256"/>
      <c r="H175" s="1257"/>
      <c r="I175" s="1261"/>
      <c r="J175" s="1261"/>
      <c r="L175" s="5946"/>
      <c r="M175" s="1244"/>
      <c r="N175" s="54"/>
      <c r="O175" s="1247"/>
      <c r="P175" s="1247"/>
      <c r="Q175" s="176"/>
      <c r="R175" s="5937"/>
      <c r="S175" s="1240"/>
      <c r="T175" s="1239"/>
      <c r="U175" s="1239"/>
      <c r="W175" s="5937">
        <f t="shared" si="24"/>
        <v>19</v>
      </c>
      <c r="X175" s="1259" t="s">
        <v>6103</v>
      </c>
      <c r="Y175" s="1260" t="s">
        <v>6104</v>
      </c>
      <c r="Z175" s="1260" t="s">
        <v>6105</v>
      </c>
      <c r="AA175" s="1260" t="s">
        <v>6106</v>
      </c>
      <c r="AB175" s="1260" t="s">
        <v>6107</v>
      </c>
      <c r="AC175" s="1260" t="s">
        <v>6108</v>
      </c>
      <c r="AD175" s="1259" t="s">
        <v>6103</v>
      </c>
      <c r="AF175" s="3">
        <v>1</v>
      </c>
    </row>
    <row r="176" spans="2:32" ht="30" customHeight="1">
      <c r="B176" s="2036">
        <v>2</v>
      </c>
      <c r="C176" s="203" t="s">
        <v>6109</v>
      </c>
      <c r="D176" s="1247"/>
      <c r="E176" s="5968"/>
      <c r="F176" s="9"/>
      <c r="G176" s="1256"/>
      <c r="H176" s="1257"/>
      <c r="I176" s="1261"/>
      <c r="J176" s="1261"/>
      <c r="L176" s="5946"/>
      <c r="M176" s="1244"/>
      <c r="N176" s="54"/>
      <c r="O176" s="1247"/>
      <c r="P176" s="1247"/>
      <c r="Q176" s="176"/>
      <c r="R176" s="5937"/>
      <c r="S176" s="1240"/>
      <c r="T176" s="1239"/>
      <c r="U176" s="1239"/>
      <c r="W176" s="5937">
        <f t="shared" si="24"/>
        <v>20</v>
      </c>
      <c r="X176" s="1259" t="s">
        <v>6110</v>
      </c>
      <c r="Y176" s="1260" t="s">
        <v>6111</v>
      </c>
      <c r="Z176" s="1263" t="s">
        <v>6112</v>
      </c>
      <c r="AA176" s="1260" t="s">
        <v>6113</v>
      </c>
      <c r="AB176" s="1260" t="s">
        <v>6114</v>
      </c>
      <c r="AC176" s="1260" t="s">
        <v>6115</v>
      </c>
      <c r="AD176" s="1259" t="s">
        <v>6110</v>
      </c>
      <c r="AF176" s="3">
        <v>1</v>
      </c>
    </row>
    <row r="177" spans="2:32" ht="30" customHeight="1">
      <c r="B177" s="2036">
        <v>3</v>
      </c>
      <c r="C177" s="203" t="s">
        <v>6116</v>
      </c>
      <c r="D177" s="1247"/>
      <c r="E177" s="5968"/>
      <c r="F177" s="9"/>
      <c r="G177" s="1256"/>
      <c r="H177" s="1257"/>
      <c r="I177" s="1261"/>
      <c r="J177" s="1261"/>
      <c r="L177" s="5946"/>
      <c r="M177" s="1244"/>
      <c r="N177" s="54"/>
      <c r="O177" s="1247"/>
      <c r="P177" s="1247"/>
      <c r="Q177" s="176"/>
      <c r="R177" s="5937"/>
      <c r="S177" s="1240"/>
      <c r="T177" s="1239"/>
      <c r="U177" s="1239"/>
      <c r="W177" s="5937">
        <f t="shared" si="24"/>
        <v>21</v>
      </c>
      <c r="X177" s="1259" t="s">
        <v>6117</v>
      </c>
      <c r="Y177" s="1260" t="s">
        <v>6118</v>
      </c>
      <c r="Z177" s="1263" t="s">
        <v>6119</v>
      </c>
      <c r="AA177" s="1260" t="s">
        <v>6120</v>
      </c>
      <c r="AB177" s="1260" t="s">
        <v>6121</v>
      </c>
      <c r="AC177" s="1260" t="s">
        <v>6122</v>
      </c>
      <c r="AD177" s="1259" t="s">
        <v>6117</v>
      </c>
      <c r="AF177" s="3">
        <v>1</v>
      </c>
    </row>
    <row r="178" spans="2:32" ht="30" customHeight="1">
      <c r="B178" s="2036">
        <v>4</v>
      </c>
      <c r="C178" s="203" t="s">
        <v>6123</v>
      </c>
      <c r="D178" s="1247"/>
      <c r="E178" s="5972"/>
      <c r="F178" s="9"/>
      <c r="G178" s="1256"/>
      <c r="H178" s="1257"/>
      <c r="I178" s="1261"/>
      <c r="J178" s="1261"/>
      <c r="L178" s="5946"/>
      <c r="M178" s="1244"/>
      <c r="N178" s="54"/>
      <c r="O178" s="1247"/>
      <c r="P178" s="1247"/>
      <c r="Q178" s="176"/>
      <c r="R178" s="5937"/>
      <c r="S178" s="1240"/>
      <c r="T178" s="1239"/>
      <c r="U178" s="1239"/>
      <c r="W178" s="5937">
        <f t="shared" si="24"/>
        <v>22</v>
      </c>
      <c r="X178" s="1259" t="s">
        <v>6124</v>
      </c>
      <c r="Y178" s="1260" t="s">
        <v>6125</v>
      </c>
      <c r="Z178" s="1260" t="s">
        <v>6126</v>
      </c>
      <c r="AA178" s="1260" t="s">
        <v>6127</v>
      </c>
      <c r="AB178" s="1260" t="s">
        <v>6128</v>
      </c>
      <c r="AC178" s="1260" t="s">
        <v>6129</v>
      </c>
      <c r="AD178" s="1259" t="s">
        <v>6124</v>
      </c>
      <c r="AF178" s="3">
        <v>1</v>
      </c>
    </row>
    <row r="179" spans="2:32" ht="30" customHeight="1">
      <c r="B179" s="2036"/>
      <c r="C179" s="203"/>
      <c r="D179" s="1247"/>
      <c r="E179" s="5972"/>
      <c r="F179" s="9"/>
      <c r="G179" s="1256"/>
      <c r="H179" s="1257"/>
      <c r="I179" s="1261"/>
      <c r="J179" s="1261"/>
      <c r="L179" s="5946"/>
      <c r="M179" s="1244"/>
      <c r="N179" s="54"/>
      <c r="O179" s="1247"/>
      <c r="P179" s="1247"/>
      <c r="Q179" s="176"/>
      <c r="R179" s="5937"/>
      <c r="S179" s="1240"/>
      <c r="T179" s="1239"/>
      <c r="U179" s="1239"/>
      <c r="W179" s="5937">
        <f t="shared" si="24"/>
        <v>23</v>
      </c>
      <c r="X179" s="1259" t="s">
        <v>6130</v>
      </c>
      <c r="Y179" s="1260" t="s">
        <v>6131</v>
      </c>
      <c r="Z179" s="1260" t="s">
        <v>6132</v>
      </c>
      <c r="AA179" s="1260" t="s">
        <v>6133</v>
      </c>
      <c r="AB179" s="1260" t="s">
        <v>6134</v>
      </c>
      <c r="AC179" s="1260" t="s">
        <v>6135</v>
      </c>
      <c r="AD179" s="1259" t="s">
        <v>6130</v>
      </c>
      <c r="AF179" s="3">
        <v>1</v>
      </c>
    </row>
    <row r="180" spans="2:32" ht="30" customHeight="1">
      <c r="B180" s="5973"/>
      <c r="C180" s="2042" t="s">
        <v>6136</v>
      </c>
      <c r="D180" s="2043" t="s">
        <v>6137</v>
      </c>
      <c r="E180" s="2043" t="s">
        <v>6138</v>
      </c>
      <c r="F180" s="2044"/>
      <c r="G180" s="2045"/>
      <c r="H180" s="5974"/>
      <c r="I180" s="1261"/>
      <c r="J180" s="1261"/>
      <c r="L180" s="5946"/>
      <c r="M180" s="1244"/>
      <c r="N180" s="54"/>
      <c r="O180" s="1247"/>
      <c r="P180" s="1247"/>
      <c r="Q180" s="176"/>
      <c r="R180" s="5937"/>
      <c r="S180" s="1240"/>
      <c r="T180" s="1239"/>
      <c r="U180" s="1239"/>
      <c r="W180" s="5937">
        <f t="shared" si="24"/>
        <v>24</v>
      </c>
      <c r="X180" s="1259" t="s">
        <v>6139</v>
      </c>
      <c r="Y180" s="1260" t="s">
        <v>6140</v>
      </c>
      <c r="Z180" s="1263" t="s">
        <v>6141</v>
      </c>
      <c r="AA180" s="1260" t="s">
        <v>6142</v>
      </c>
      <c r="AB180" s="1260" t="s">
        <v>6143</v>
      </c>
      <c r="AC180" s="1260" t="s">
        <v>6144</v>
      </c>
      <c r="AD180" s="1259" t="s">
        <v>6139</v>
      </c>
      <c r="AF180" s="3">
        <v>1</v>
      </c>
    </row>
    <row r="181" spans="2:32" ht="30" customHeight="1">
      <c r="B181" s="2036"/>
      <c r="C181" s="203"/>
      <c r="D181" s="1247"/>
      <c r="E181" s="1287"/>
      <c r="F181" s="9"/>
      <c r="G181" s="1256"/>
      <c r="H181" s="5975"/>
      <c r="I181" s="1261"/>
      <c r="J181" s="1261"/>
      <c r="L181" s="5946"/>
      <c r="M181" s="1244"/>
      <c r="N181" s="54"/>
      <c r="O181" s="1247"/>
      <c r="P181" s="1247"/>
      <c r="Q181" s="176"/>
      <c r="R181" s="5937"/>
      <c r="S181" s="1240"/>
      <c r="T181" s="1239"/>
      <c r="U181" s="1239"/>
      <c r="W181" s="5937">
        <f t="shared" si="24"/>
        <v>25</v>
      </c>
      <c r="X181" s="1259" t="s">
        <v>6145</v>
      </c>
      <c r="Y181" s="1260" t="s">
        <v>6146</v>
      </c>
      <c r="Z181" s="1260" t="s">
        <v>6147</v>
      </c>
      <c r="AA181" s="1260" t="s">
        <v>6148</v>
      </c>
      <c r="AB181" s="1260" t="s">
        <v>6149</v>
      </c>
      <c r="AC181" s="1260" t="s">
        <v>6150</v>
      </c>
      <c r="AD181" s="1259" t="s">
        <v>6145</v>
      </c>
      <c r="AF181" s="3">
        <v>1</v>
      </c>
    </row>
    <row r="182" spans="2:32" ht="30" customHeight="1">
      <c r="B182" s="2036">
        <v>1</v>
      </c>
      <c r="C182" s="203" t="s">
        <v>6151</v>
      </c>
      <c r="D182" s="1247"/>
      <c r="E182" s="1287"/>
      <c r="F182" s="9"/>
      <c r="G182" s="1256"/>
      <c r="H182" s="5975"/>
      <c r="I182" s="1261"/>
      <c r="J182" s="1261"/>
      <c r="L182" s="5946"/>
      <c r="M182" s="1244"/>
      <c r="N182" s="54"/>
      <c r="O182" s="1247"/>
      <c r="P182" s="1247"/>
      <c r="Q182" s="176"/>
      <c r="R182" s="5937"/>
      <c r="S182" s="1240"/>
      <c r="T182" s="1239"/>
      <c r="U182" s="1239"/>
      <c r="W182" s="5937">
        <f t="shared" si="24"/>
        <v>26</v>
      </c>
      <c r="X182" s="1259" t="s">
        <v>6152</v>
      </c>
      <c r="Y182" s="1260" t="s">
        <v>6153</v>
      </c>
      <c r="Z182" s="1263" t="s">
        <v>6154</v>
      </c>
      <c r="AA182" s="1260" t="s">
        <v>6155</v>
      </c>
      <c r="AB182" s="1260" t="s">
        <v>6156</v>
      </c>
      <c r="AC182" s="1260" t="s">
        <v>6157</v>
      </c>
      <c r="AD182" s="1259" t="s">
        <v>6152</v>
      </c>
      <c r="AF182" s="3">
        <v>1</v>
      </c>
    </row>
    <row r="183" spans="2:32" ht="30" customHeight="1">
      <c r="B183" s="2036">
        <v>2</v>
      </c>
      <c r="C183" s="203" t="s">
        <v>6158</v>
      </c>
      <c r="D183" s="1247"/>
      <c r="E183" s="1287"/>
      <c r="F183" s="9"/>
      <c r="G183" s="1256"/>
      <c r="H183" s="5975"/>
      <c r="I183" s="1261"/>
      <c r="J183" s="1261"/>
      <c r="L183" s="5946"/>
      <c r="M183" s="1244"/>
      <c r="N183" s="54"/>
      <c r="O183" s="1247"/>
      <c r="P183" s="1247"/>
      <c r="Q183" s="176"/>
      <c r="R183" s="5937"/>
      <c r="S183" s="1240"/>
      <c r="T183" s="1239"/>
      <c r="U183" s="1239"/>
      <c r="W183" s="5937">
        <f t="shared" si="24"/>
        <v>27</v>
      </c>
      <c r="X183" s="1259" t="s">
        <v>6159</v>
      </c>
      <c r="Y183" s="1260" t="s">
        <v>6160</v>
      </c>
      <c r="Z183" s="1260" t="s">
        <v>6161</v>
      </c>
      <c r="AA183" s="1260" t="s">
        <v>6162</v>
      </c>
      <c r="AB183" s="1260" t="s">
        <v>6163</v>
      </c>
      <c r="AC183" s="1260" t="s">
        <v>6164</v>
      </c>
      <c r="AD183" s="1259" t="s">
        <v>6159</v>
      </c>
      <c r="AF183" s="3">
        <v>1</v>
      </c>
    </row>
    <row r="184" spans="2:32" ht="30" customHeight="1">
      <c r="B184" s="2036">
        <v>3</v>
      </c>
      <c r="C184" s="203" t="s">
        <v>6165</v>
      </c>
      <c r="D184" s="1247"/>
      <c r="E184" s="1287"/>
      <c r="F184" s="9"/>
      <c r="G184" s="1256"/>
      <c r="H184" s="5975"/>
      <c r="I184" s="1261"/>
      <c r="J184" s="1261"/>
      <c r="L184" s="5946"/>
      <c r="M184" s="1244"/>
      <c r="N184" s="54"/>
      <c r="O184" s="1247"/>
      <c r="P184" s="1247"/>
      <c r="Q184" s="176"/>
      <c r="R184" s="5937"/>
      <c r="S184" s="1240"/>
      <c r="T184" s="1239"/>
      <c r="U184" s="1239"/>
      <c r="W184" s="5937">
        <f t="shared" si="24"/>
        <v>28</v>
      </c>
      <c r="X184" s="1259" t="s">
        <v>6166</v>
      </c>
      <c r="Y184" s="1260" t="s">
        <v>6167</v>
      </c>
      <c r="Z184" s="1260" t="s">
        <v>6168</v>
      </c>
      <c r="AA184" s="1260" t="s">
        <v>6169</v>
      </c>
      <c r="AB184" s="1260" t="s">
        <v>6170</v>
      </c>
      <c r="AC184" s="1260" t="s">
        <v>6171</v>
      </c>
      <c r="AD184" s="1259" t="s">
        <v>6166</v>
      </c>
      <c r="AF184" s="3">
        <v>1</v>
      </c>
    </row>
    <row r="185" spans="2:32" ht="30" customHeight="1">
      <c r="B185" s="2036">
        <v>4</v>
      </c>
      <c r="C185" s="203" t="s">
        <v>6172</v>
      </c>
      <c r="D185" s="1247"/>
      <c r="E185" s="1247"/>
      <c r="F185" s="9"/>
      <c r="G185" s="1256"/>
      <c r="H185" s="5975"/>
      <c r="I185" s="1261"/>
      <c r="J185" s="1261"/>
      <c r="L185" s="5946"/>
      <c r="M185" s="1244"/>
      <c r="N185" s="54"/>
      <c r="O185" s="1247"/>
      <c r="P185" s="1247"/>
      <c r="Q185" s="176"/>
      <c r="R185" s="5937"/>
      <c r="S185" s="1240"/>
      <c r="T185" s="1239"/>
      <c r="U185" s="1239"/>
      <c r="W185" s="5937">
        <f t="shared" si="24"/>
        <v>29</v>
      </c>
      <c r="X185" s="1259" t="s">
        <v>6173</v>
      </c>
      <c r="Y185" s="1260" t="s">
        <v>6174</v>
      </c>
      <c r="Z185" s="1263" t="s">
        <v>6175</v>
      </c>
      <c r="AA185" s="1260" t="s">
        <v>6176</v>
      </c>
      <c r="AB185" s="1260" t="s">
        <v>6177</v>
      </c>
      <c r="AC185" s="1260" t="s">
        <v>6178</v>
      </c>
      <c r="AD185" s="1259" t="s">
        <v>6173</v>
      </c>
      <c r="AF185" s="3">
        <v>1</v>
      </c>
    </row>
    <row r="186" spans="2:32" ht="30" customHeight="1">
      <c r="B186" s="2036">
        <v>5</v>
      </c>
      <c r="C186" s="203" t="s">
        <v>6179</v>
      </c>
      <c r="D186" s="1247"/>
      <c r="E186" s="1247"/>
      <c r="F186" s="9"/>
      <c r="G186" s="1256"/>
      <c r="H186" s="5975"/>
      <c r="I186" s="1261"/>
      <c r="J186" s="1261"/>
      <c r="L186" s="5946"/>
      <c r="M186" s="1244"/>
      <c r="N186" s="54"/>
      <c r="O186" s="1247"/>
      <c r="P186" s="1247"/>
      <c r="Q186" s="176"/>
      <c r="R186" s="5937"/>
      <c r="S186" s="1240"/>
      <c r="T186" s="1239"/>
      <c r="U186" s="1239"/>
      <c r="W186" s="5937">
        <f t="shared" si="24"/>
        <v>30</v>
      </c>
      <c r="X186" s="1259" t="s">
        <v>6180</v>
      </c>
      <c r="Y186" s="1260" t="s">
        <v>6181</v>
      </c>
      <c r="Z186" s="1263" t="s">
        <v>6182</v>
      </c>
      <c r="AA186" s="1260" t="s">
        <v>6183</v>
      </c>
      <c r="AB186" s="1260" t="s">
        <v>6184</v>
      </c>
      <c r="AC186" s="1260" t="s">
        <v>6185</v>
      </c>
      <c r="AD186" s="1259" t="s">
        <v>6180</v>
      </c>
      <c r="AF186" s="3">
        <v>1</v>
      </c>
    </row>
    <row r="187" spans="2:32" ht="30" customHeight="1">
      <c r="B187" s="5969">
        <v>6</v>
      </c>
      <c r="C187" s="2037" t="s">
        <v>6186</v>
      </c>
      <c r="D187" s="2038"/>
      <c r="E187" s="2039"/>
      <c r="F187" s="168"/>
      <c r="G187" s="2040"/>
      <c r="H187" s="5976"/>
      <c r="I187" s="1261"/>
      <c r="J187" s="1261"/>
      <c r="L187" s="5946"/>
      <c r="M187" s="1244"/>
      <c r="N187" s="54"/>
      <c r="O187" s="1247"/>
      <c r="P187" s="1247"/>
      <c r="Q187" s="176"/>
      <c r="R187" s="5937"/>
      <c r="S187" s="1240"/>
      <c r="T187" s="1239"/>
      <c r="U187" s="1239"/>
      <c r="W187" s="5937">
        <f t="shared" si="24"/>
        <v>31</v>
      </c>
      <c r="X187" s="1259" t="s">
        <v>6187</v>
      </c>
      <c r="Y187" s="1260" t="s">
        <v>6188</v>
      </c>
      <c r="Z187" s="1263" t="s">
        <v>6189</v>
      </c>
      <c r="AA187" s="1260" t="s">
        <v>6190</v>
      </c>
      <c r="AB187" s="1260" t="s">
        <v>6191</v>
      </c>
      <c r="AC187" s="1260" t="s">
        <v>6192</v>
      </c>
      <c r="AD187" s="1259" t="s">
        <v>6187</v>
      </c>
      <c r="AF187" s="3">
        <v>1</v>
      </c>
    </row>
    <row r="188" spans="2:32" ht="30" customHeight="1">
      <c r="B188" s="1256"/>
      <c r="C188" s="203"/>
      <c r="D188" s="1247"/>
      <c r="E188" s="1287"/>
      <c r="F188" s="9"/>
      <c r="G188" s="1256"/>
      <c r="H188" s="1257"/>
      <c r="I188" s="1261"/>
      <c r="J188" s="1261"/>
      <c r="L188" s="5946"/>
      <c r="M188" s="1244"/>
      <c r="N188" s="54"/>
      <c r="O188" s="1247"/>
      <c r="P188" s="1247"/>
      <c r="Q188" s="176"/>
      <c r="R188" s="5937"/>
      <c r="S188" s="1240"/>
      <c r="T188" s="1239"/>
      <c r="U188" s="1239"/>
      <c r="W188" s="5937">
        <f t="shared" si="24"/>
        <v>32</v>
      </c>
      <c r="X188" s="1259" t="s">
        <v>6193</v>
      </c>
      <c r="Y188" s="1260" t="s">
        <v>6194</v>
      </c>
      <c r="Z188" s="1263" t="s">
        <v>6195</v>
      </c>
      <c r="AA188" s="1260" t="s">
        <v>6196</v>
      </c>
      <c r="AB188" s="1260" t="s">
        <v>6197</v>
      </c>
      <c r="AC188" s="1260" t="s">
        <v>6198</v>
      </c>
      <c r="AD188" s="1259" t="s">
        <v>6193</v>
      </c>
      <c r="AF188" s="3">
        <v>1</v>
      </c>
    </row>
    <row r="189" spans="2:32" ht="30" customHeight="1">
      <c r="B189" s="5973"/>
      <c r="C189" s="2042" t="s">
        <v>6199</v>
      </c>
      <c r="D189" s="2043" t="s">
        <v>6200</v>
      </c>
      <c r="E189" s="2043" t="s">
        <v>6201</v>
      </c>
      <c r="F189" s="2044"/>
      <c r="G189" s="2045"/>
      <c r="H189" s="5974"/>
      <c r="I189" s="1261"/>
      <c r="J189" s="1261"/>
      <c r="L189" s="5946"/>
      <c r="M189" s="1244"/>
      <c r="N189" s="54"/>
      <c r="O189" s="1247"/>
      <c r="P189" s="1247"/>
      <c r="Q189" s="176"/>
      <c r="R189" s="5937"/>
      <c r="S189" s="1240"/>
      <c r="T189" s="1239"/>
      <c r="U189" s="1239"/>
      <c r="W189" s="5937">
        <f t="shared" si="24"/>
        <v>33</v>
      </c>
      <c r="X189" s="1259" t="s">
        <v>6202</v>
      </c>
      <c r="Y189" s="1260" t="s">
        <v>6203</v>
      </c>
      <c r="Z189" s="1260" t="s">
        <v>6204</v>
      </c>
      <c r="AA189" s="1260" t="s">
        <v>6205</v>
      </c>
      <c r="AB189" s="1260" t="s">
        <v>6206</v>
      </c>
      <c r="AC189" s="1260" t="s">
        <v>6207</v>
      </c>
      <c r="AD189" s="1259" t="s">
        <v>6202</v>
      </c>
      <c r="AF189" s="3">
        <v>1</v>
      </c>
    </row>
    <row r="190" spans="2:32" ht="30" customHeight="1">
      <c r="B190" s="2036"/>
      <c r="C190" s="203"/>
      <c r="D190" s="1247"/>
      <c r="E190" s="1287"/>
      <c r="F190" s="9"/>
      <c r="G190" s="1256"/>
      <c r="H190" s="5975"/>
      <c r="I190" s="1261"/>
      <c r="J190" s="1261"/>
      <c r="L190" s="5946"/>
      <c r="M190" s="1244"/>
      <c r="N190" s="54"/>
      <c r="O190" s="1247"/>
      <c r="P190" s="1247"/>
      <c r="Q190" s="176"/>
      <c r="R190" s="5937"/>
      <c r="S190" s="1240"/>
      <c r="T190" s="1239"/>
      <c r="U190" s="1239"/>
      <c r="W190" s="5937">
        <f t="shared" si="24"/>
        <v>34</v>
      </c>
      <c r="X190" s="1259" t="s">
        <v>6208</v>
      </c>
      <c r="Y190" s="1260" t="s">
        <v>6209</v>
      </c>
      <c r="Z190" s="1263" t="s">
        <v>6210</v>
      </c>
      <c r="AA190" s="1260" t="s">
        <v>6211</v>
      </c>
      <c r="AB190" s="1260" t="s">
        <v>6212</v>
      </c>
      <c r="AC190" s="1260" t="s">
        <v>6213</v>
      </c>
      <c r="AD190" s="1259" t="s">
        <v>6208</v>
      </c>
      <c r="AF190" s="3">
        <v>1</v>
      </c>
    </row>
    <row r="191" spans="2:32" ht="30" customHeight="1">
      <c r="B191" s="2036">
        <v>1</v>
      </c>
      <c r="C191" s="203" t="s">
        <v>6214</v>
      </c>
      <c r="D191" s="1247"/>
      <c r="E191" s="1287"/>
      <c r="F191" s="9"/>
      <c r="G191" s="1256"/>
      <c r="H191" s="5975"/>
      <c r="I191" s="1261"/>
      <c r="J191" s="1261"/>
      <c r="L191" s="5946"/>
      <c r="M191" s="1244"/>
      <c r="N191" s="54"/>
      <c r="O191" s="1247"/>
      <c r="P191" s="1247"/>
      <c r="Q191" s="176"/>
      <c r="R191" s="5937"/>
      <c r="S191" s="1240"/>
      <c r="T191" s="1239"/>
      <c r="U191" s="1239"/>
      <c r="W191" s="5937">
        <f t="shared" si="24"/>
        <v>35</v>
      </c>
      <c r="X191" s="1259" t="s">
        <v>6215</v>
      </c>
      <c r="Y191" s="1260" t="s">
        <v>6216</v>
      </c>
      <c r="Z191" s="1263" t="s">
        <v>6217</v>
      </c>
      <c r="AA191" s="1260" t="s">
        <v>6218</v>
      </c>
      <c r="AB191" s="1260" t="s">
        <v>6219</v>
      </c>
      <c r="AC191" s="1260" t="s">
        <v>6220</v>
      </c>
      <c r="AD191" s="1259" t="s">
        <v>6215</v>
      </c>
      <c r="AF191" s="3">
        <v>1</v>
      </c>
    </row>
    <row r="192" spans="2:32" ht="30" customHeight="1">
      <c r="B192" s="2036">
        <v>2</v>
      </c>
      <c r="C192" s="203" t="s">
        <v>6221</v>
      </c>
      <c r="D192" s="1247"/>
      <c r="E192" s="1287"/>
      <c r="F192" s="9"/>
      <c r="G192" s="1256"/>
      <c r="H192" s="5975"/>
      <c r="I192" s="1261"/>
      <c r="J192" s="1261"/>
      <c r="L192" s="5946"/>
      <c r="M192" s="1244"/>
      <c r="N192" s="54"/>
      <c r="O192" s="1247"/>
      <c r="P192" s="1247"/>
      <c r="Q192" s="176"/>
      <c r="R192" s="5937"/>
      <c r="S192" s="1240"/>
      <c r="T192" s="1239"/>
      <c r="U192" s="1239"/>
      <c r="W192" s="5937"/>
      <c r="AF192" s="3">
        <v>1</v>
      </c>
    </row>
    <row r="193" spans="2:32" ht="30" customHeight="1">
      <c r="B193" s="2036">
        <v>3</v>
      </c>
      <c r="C193" s="203" t="s">
        <v>6222</v>
      </c>
      <c r="D193" s="1247"/>
      <c r="E193" s="1287"/>
      <c r="F193" s="9"/>
      <c r="G193" s="1256"/>
      <c r="H193" s="5975"/>
      <c r="I193" s="1261"/>
      <c r="J193" s="1261"/>
      <c r="L193" s="5946"/>
      <c r="M193" s="1244"/>
      <c r="N193" s="54"/>
      <c r="O193" s="1247"/>
      <c r="P193" s="1247"/>
      <c r="Q193" s="176"/>
      <c r="R193" s="5937"/>
      <c r="S193" s="1240"/>
      <c r="T193" s="1239"/>
      <c r="U193" s="1239"/>
      <c r="X193" s="5952" t="s">
        <v>3083</v>
      </c>
      <c r="Y193" s="1238"/>
      <c r="Z193" s="1238"/>
      <c r="AA193" s="1238"/>
      <c r="AB193" s="1255"/>
      <c r="AC193" s="1255"/>
      <c r="AD193" s="5952" t="s">
        <v>3083</v>
      </c>
      <c r="AF193" s="3">
        <v>1</v>
      </c>
    </row>
    <row r="194" spans="2:32" ht="30" customHeight="1">
      <c r="B194" s="2036">
        <v>4</v>
      </c>
      <c r="C194" s="203" t="s">
        <v>6223</v>
      </c>
      <c r="D194" s="1247"/>
      <c r="E194" s="1247"/>
      <c r="F194" s="9"/>
      <c r="G194" s="1256"/>
      <c r="H194" s="5975"/>
      <c r="I194" s="1261"/>
      <c r="J194" s="1261"/>
      <c r="L194" s="5946"/>
      <c r="M194" s="1244"/>
      <c r="N194" s="54"/>
      <c r="O194" s="1247"/>
      <c r="P194" s="1247"/>
      <c r="Q194" s="176"/>
      <c r="R194" s="5937"/>
      <c r="S194" s="1240"/>
      <c r="T194" s="1239"/>
      <c r="U194" s="1239"/>
      <c r="W194" s="5937">
        <v>1</v>
      </c>
      <c r="X194" s="1259" t="s">
        <v>6224</v>
      </c>
      <c r="Y194" s="1260" t="s">
        <v>6225</v>
      </c>
      <c r="Z194" s="1263" t="s">
        <v>6226</v>
      </c>
      <c r="AA194" s="1260" t="s">
        <v>6227</v>
      </c>
      <c r="AB194" s="1260" t="s">
        <v>6228</v>
      </c>
      <c r="AC194" s="1260" t="s">
        <v>6229</v>
      </c>
      <c r="AD194" s="1259" t="s">
        <v>6224</v>
      </c>
      <c r="AF194" s="3">
        <v>1</v>
      </c>
    </row>
    <row r="195" spans="2:32" ht="30" customHeight="1">
      <c r="B195" s="2036">
        <v>5</v>
      </c>
      <c r="C195" s="203" t="s">
        <v>6230</v>
      </c>
      <c r="D195" s="1247"/>
      <c r="E195" s="1247"/>
      <c r="F195" s="9"/>
      <c r="G195" s="1256"/>
      <c r="H195" s="5975"/>
      <c r="I195" s="1261"/>
      <c r="J195" s="1261"/>
      <c r="L195" s="5946"/>
      <c r="M195" s="1244"/>
      <c r="N195" s="54"/>
      <c r="O195" s="1247"/>
      <c r="P195" s="1247"/>
      <c r="Q195" s="176"/>
      <c r="R195" s="5937"/>
      <c r="S195" s="1240"/>
      <c r="T195" s="1239"/>
      <c r="U195" s="1239"/>
      <c r="W195" s="5937">
        <f>W194+1</f>
        <v>2</v>
      </c>
      <c r="X195" s="1259" t="s">
        <v>6231</v>
      </c>
      <c r="Y195" s="1260" t="s">
        <v>6232</v>
      </c>
      <c r="Z195" s="1263" t="s">
        <v>6233</v>
      </c>
      <c r="AA195" s="1260" t="s">
        <v>6234</v>
      </c>
      <c r="AB195" s="1260" t="s">
        <v>6235</v>
      </c>
      <c r="AC195" s="1260" t="s">
        <v>6236</v>
      </c>
      <c r="AD195" s="1259" t="s">
        <v>6231</v>
      </c>
      <c r="AF195" s="3">
        <v>1</v>
      </c>
    </row>
    <row r="196" spans="2:32" ht="30" customHeight="1">
      <c r="B196" s="5969">
        <v>6</v>
      </c>
      <c r="C196" s="2037" t="s">
        <v>6237</v>
      </c>
      <c r="D196" s="2038"/>
      <c r="E196" s="2039"/>
      <c r="F196" s="168"/>
      <c r="G196" s="2040"/>
      <c r="H196" s="5976"/>
      <c r="I196" s="1261"/>
      <c r="J196" s="1261"/>
      <c r="L196" s="5946"/>
      <c r="M196" s="1244"/>
      <c r="N196" s="54"/>
      <c r="O196" s="1247"/>
      <c r="P196" s="1247"/>
      <c r="Q196" s="176"/>
      <c r="R196" s="5937"/>
      <c r="S196" s="1240"/>
      <c r="T196" s="1239"/>
      <c r="U196" s="1239"/>
      <c r="W196" s="5937">
        <v>2</v>
      </c>
      <c r="X196" s="1259" t="s">
        <v>6238</v>
      </c>
      <c r="Y196" s="1260" t="s">
        <v>6239</v>
      </c>
      <c r="Z196" s="1263" t="s">
        <v>6240</v>
      </c>
      <c r="AA196" s="1260" t="s">
        <v>6241</v>
      </c>
      <c r="AB196" s="1260" t="s">
        <v>6242</v>
      </c>
      <c r="AC196" s="1260" t="s">
        <v>6243</v>
      </c>
      <c r="AD196" s="1259" t="s">
        <v>6238</v>
      </c>
      <c r="AF196" s="3">
        <v>1</v>
      </c>
    </row>
    <row r="197" spans="2:32" ht="30" customHeight="1">
      <c r="B197" s="1256"/>
      <c r="C197" s="203"/>
      <c r="D197" s="1247"/>
      <c r="E197" s="1287"/>
      <c r="F197" s="9"/>
      <c r="G197" s="1256"/>
      <c r="H197" s="1257"/>
      <c r="I197" s="1261"/>
      <c r="J197" s="1261"/>
      <c r="L197" s="5946"/>
      <c r="M197" s="1244"/>
      <c r="N197" s="54"/>
      <c r="O197" s="1247"/>
      <c r="P197" s="1247"/>
      <c r="Q197" s="176"/>
      <c r="R197" s="5937"/>
      <c r="S197" s="1240"/>
      <c r="T197" s="1239"/>
      <c r="U197" s="1239"/>
      <c r="W197" s="5937">
        <f t="shared" ref="W197" si="25">W196+1</f>
        <v>3</v>
      </c>
      <c r="X197" s="1259" t="s">
        <v>6244</v>
      </c>
      <c r="Y197" s="1260" t="s">
        <v>6245</v>
      </c>
      <c r="Z197" s="1263" t="s">
        <v>6246</v>
      </c>
      <c r="AA197" s="1260" t="s">
        <v>6247</v>
      </c>
      <c r="AB197" s="1260" t="s">
        <v>6248</v>
      </c>
      <c r="AC197" s="1260" t="s">
        <v>6249</v>
      </c>
      <c r="AD197" s="1259" t="s">
        <v>6244</v>
      </c>
      <c r="AF197" s="3">
        <v>1</v>
      </c>
    </row>
    <row r="198" spans="2:32" ht="30" customHeight="1">
      <c r="B198" s="5973"/>
      <c r="C198" s="2042" t="s">
        <v>6250</v>
      </c>
      <c r="D198" s="2043" t="s">
        <v>6251</v>
      </c>
      <c r="E198" s="2043" t="s">
        <v>6252</v>
      </c>
      <c r="F198" s="2044"/>
      <c r="G198" s="2045"/>
      <c r="H198" s="5974"/>
      <c r="I198" s="1261"/>
      <c r="J198" s="1261"/>
      <c r="L198" s="5946"/>
      <c r="M198" s="1244"/>
      <c r="N198" s="54"/>
      <c r="O198" s="1247"/>
      <c r="P198" s="1247"/>
      <c r="Q198" s="176"/>
      <c r="R198" s="5937"/>
      <c r="S198" s="1240"/>
      <c r="T198" s="1239"/>
      <c r="U198" s="1239"/>
      <c r="W198" s="5937">
        <v>3</v>
      </c>
      <c r="X198" s="1259" t="s">
        <v>6253</v>
      </c>
      <c r="Y198" s="1260" t="s">
        <v>6254</v>
      </c>
      <c r="Z198" s="1263" t="s">
        <v>6255</v>
      </c>
      <c r="AA198" s="1260" t="s">
        <v>6256</v>
      </c>
      <c r="AB198" s="1260" t="s">
        <v>6257</v>
      </c>
      <c r="AC198" s="1260" t="s">
        <v>6258</v>
      </c>
      <c r="AD198" s="1259" t="s">
        <v>6253</v>
      </c>
      <c r="AF198" s="3">
        <v>1</v>
      </c>
    </row>
    <row r="199" spans="2:32" ht="30" customHeight="1">
      <c r="B199" s="2036"/>
      <c r="C199" s="203"/>
      <c r="D199" s="1247"/>
      <c r="E199" s="1287"/>
      <c r="F199" s="9"/>
      <c r="G199" s="1256"/>
      <c r="H199" s="5975"/>
      <c r="I199" s="1261"/>
      <c r="J199" s="1261"/>
      <c r="L199" s="5946"/>
      <c r="M199" s="1244"/>
      <c r="N199" s="54"/>
      <c r="O199" s="1247"/>
      <c r="P199" s="1247"/>
      <c r="Q199" s="176"/>
      <c r="R199" s="5937"/>
      <c r="S199" s="1240"/>
      <c r="T199" s="1239"/>
      <c r="U199" s="1239"/>
      <c r="W199" s="5937">
        <f t="shared" ref="W199" si="26">W198+1</f>
        <v>4</v>
      </c>
      <c r="X199" s="1259" t="s">
        <v>6259</v>
      </c>
      <c r="Y199" s="1260" t="s">
        <v>6260</v>
      </c>
      <c r="Z199" s="1263" t="s">
        <v>6261</v>
      </c>
      <c r="AA199" s="1260" t="s">
        <v>6262</v>
      </c>
      <c r="AB199" s="1260" t="s">
        <v>6263</v>
      </c>
      <c r="AC199" s="1260" t="s">
        <v>6264</v>
      </c>
      <c r="AD199" s="1259" t="s">
        <v>6259</v>
      </c>
      <c r="AF199" s="3">
        <v>1</v>
      </c>
    </row>
    <row r="200" spans="2:32" ht="30" customHeight="1">
      <c r="B200" s="2036">
        <v>1</v>
      </c>
      <c r="C200" s="203" t="s">
        <v>6265</v>
      </c>
      <c r="D200" s="1247"/>
      <c r="E200" s="1287"/>
      <c r="F200" s="9"/>
      <c r="G200" s="1256"/>
      <c r="H200" s="5975"/>
      <c r="I200" s="1261"/>
      <c r="J200" s="1261"/>
      <c r="L200" s="5946"/>
      <c r="M200" s="1244"/>
      <c r="N200" s="54"/>
      <c r="O200" s="1247"/>
      <c r="P200" s="1247"/>
      <c r="Q200" s="176"/>
      <c r="R200" s="5937"/>
      <c r="S200" s="1240"/>
      <c r="T200" s="1239"/>
      <c r="U200" s="1239"/>
      <c r="W200" s="5937">
        <v>4</v>
      </c>
      <c r="X200" s="1259" t="s">
        <v>6266</v>
      </c>
      <c r="Y200" s="1260" t="s">
        <v>6267</v>
      </c>
      <c r="Z200" s="1263" t="s">
        <v>6268</v>
      </c>
      <c r="AA200" s="1260" t="s">
        <v>6269</v>
      </c>
      <c r="AB200" s="1263" t="s">
        <v>6270</v>
      </c>
      <c r="AC200" s="1263" t="s">
        <v>6271</v>
      </c>
      <c r="AD200" s="1259" t="s">
        <v>6266</v>
      </c>
      <c r="AF200" s="3">
        <v>1</v>
      </c>
    </row>
    <row r="201" spans="2:32" ht="30" customHeight="1">
      <c r="B201" s="2036">
        <v>2</v>
      </c>
      <c r="C201" s="203" t="s">
        <v>6272</v>
      </c>
      <c r="D201" s="1247"/>
      <c r="E201" s="1287"/>
      <c r="F201" s="9"/>
      <c r="G201" s="1256"/>
      <c r="H201" s="5975"/>
      <c r="I201" s="1261"/>
      <c r="J201" s="1261"/>
      <c r="L201" s="5946"/>
      <c r="M201" s="1244"/>
      <c r="N201" s="54"/>
      <c r="O201" s="1247"/>
      <c r="P201" s="1247"/>
      <c r="Q201" s="176"/>
      <c r="R201" s="5937"/>
      <c r="S201" s="1240"/>
      <c r="T201" s="1239"/>
      <c r="U201" s="1239"/>
      <c r="W201" s="5937">
        <f t="shared" ref="W201" si="27">W200+1</f>
        <v>5</v>
      </c>
      <c r="X201" s="1259" t="s">
        <v>6273</v>
      </c>
      <c r="Y201" s="1260" t="s">
        <v>6274</v>
      </c>
      <c r="Z201" s="1263" t="s">
        <v>6275</v>
      </c>
      <c r="AA201" s="1260" t="s">
        <v>6276</v>
      </c>
      <c r="AB201" s="1260" t="s">
        <v>6277</v>
      </c>
      <c r="AC201" s="1260" t="s">
        <v>6278</v>
      </c>
      <c r="AD201" s="1259" t="s">
        <v>6273</v>
      </c>
      <c r="AF201" s="3">
        <v>1</v>
      </c>
    </row>
    <row r="202" spans="2:32" ht="30" customHeight="1">
      <c r="B202" s="2036">
        <v>3</v>
      </c>
      <c r="C202" s="203" t="s">
        <v>6279</v>
      </c>
      <c r="D202" s="1247"/>
      <c r="E202" s="1287"/>
      <c r="F202" s="9"/>
      <c r="G202" s="1256"/>
      <c r="H202" s="5975"/>
      <c r="I202" s="1261"/>
      <c r="J202" s="1261"/>
      <c r="L202" s="5946"/>
      <c r="M202" s="1244"/>
      <c r="N202" s="54"/>
      <c r="O202" s="1247"/>
      <c r="P202" s="1247"/>
      <c r="Q202" s="176"/>
      <c r="R202" s="5937"/>
      <c r="S202" s="1240"/>
      <c r="T202" s="1239"/>
      <c r="U202" s="1239"/>
      <c r="W202" s="5937">
        <v>5</v>
      </c>
      <c r="X202" s="1259" t="s">
        <v>6280</v>
      </c>
      <c r="Y202" s="1260" t="s">
        <v>6281</v>
      </c>
      <c r="Z202" s="1263" t="s">
        <v>6282</v>
      </c>
      <c r="AA202" s="1260" t="s">
        <v>6283</v>
      </c>
      <c r="AB202" s="1260" t="s">
        <v>6284</v>
      </c>
      <c r="AC202" s="1260" t="s">
        <v>6285</v>
      </c>
      <c r="AD202" s="1259" t="s">
        <v>6280</v>
      </c>
      <c r="AF202" s="3">
        <v>1</v>
      </c>
    </row>
    <row r="203" spans="2:32" ht="30" customHeight="1">
      <c r="B203" s="2036">
        <v>4</v>
      </c>
      <c r="C203" s="203" t="s">
        <v>6286</v>
      </c>
      <c r="D203" s="1247"/>
      <c r="E203" s="1287"/>
      <c r="F203" s="9"/>
      <c r="G203" s="1256"/>
      <c r="H203" s="5975"/>
      <c r="I203" s="1261"/>
      <c r="J203" s="1261"/>
      <c r="L203" s="5946"/>
      <c r="M203" s="1244"/>
      <c r="N203" s="54"/>
      <c r="O203" s="1247"/>
      <c r="P203" s="1247"/>
      <c r="Q203" s="176"/>
      <c r="R203" s="5937"/>
      <c r="S203" s="1240"/>
      <c r="T203" s="1239"/>
      <c r="U203" s="1239"/>
      <c r="W203" s="5937">
        <f t="shared" ref="W203" si="28">W202+1</f>
        <v>6</v>
      </c>
      <c r="X203" s="1259" t="s">
        <v>6287</v>
      </c>
      <c r="Y203" s="1260" t="s">
        <v>6288</v>
      </c>
      <c r="Z203" s="1263" t="s">
        <v>6289</v>
      </c>
      <c r="AA203" s="1260" t="s">
        <v>6290</v>
      </c>
      <c r="AB203" s="1260" t="s">
        <v>6291</v>
      </c>
      <c r="AC203" s="1260" t="s">
        <v>6292</v>
      </c>
      <c r="AD203" s="1259" t="s">
        <v>6287</v>
      </c>
      <c r="AF203" s="3">
        <v>1</v>
      </c>
    </row>
    <row r="204" spans="2:32" ht="30" customHeight="1">
      <c r="B204" s="2036">
        <v>5</v>
      </c>
      <c r="C204" s="203" t="s">
        <v>6293</v>
      </c>
      <c r="D204" s="1247"/>
      <c r="E204" s="1247"/>
      <c r="F204" s="9"/>
      <c r="G204" s="1256"/>
      <c r="H204" s="5975"/>
      <c r="I204" s="1261"/>
      <c r="J204" s="1261"/>
      <c r="L204" s="5946"/>
      <c r="M204" s="1244"/>
      <c r="N204" s="54"/>
      <c r="O204" s="1247"/>
      <c r="P204" s="1247"/>
      <c r="Q204" s="176"/>
      <c r="R204" s="5937"/>
      <c r="S204" s="1240"/>
      <c r="T204" s="1239"/>
      <c r="U204" s="1239"/>
      <c r="W204" s="5937">
        <v>6</v>
      </c>
      <c r="X204" s="1259" t="s">
        <v>6294</v>
      </c>
      <c r="Y204" s="1260" t="s">
        <v>6295</v>
      </c>
      <c r="Z204" s="1263" t="s">
        <v>6296</v>
      </c>
      <c r="AA204" s="1260" t="s">
        <v>6297</v>
      </c>
      <c r="AB204" s="1260" t="s">
        <v>6298</v>
      </c>
      <c r="AC204" s="1260" t="s">
        <v>6299</v>
      </c>
      <c r="AD204" s="1259" t="s">
        <v>6294</v>
      </c>
      <c r="AF204" s="3">
        <v>1</v>
      </c>
    </row>
    <row r="205" spans="2:32" ht="30" customHeight="1">
      <c r="B205" s="2036">
        <v>6</v>
      </c>
      <c r="C205" s="203" t="s">
        <v>6300</v>
      </c>
      <c r="D205" s="1247"/>
      <c r="E205" s="1247"/>
      <c r="F205" s="9"/>
      <c r="G205" s="1256"/>
      <c r="H205" s="5975"/>
      <c r="I205" s="1261"/>
      <c r="J205" s="1261"/>
      <c r="L205" s="5946"/>
      <c r="M205" s="1244"/>
      <c r="N205" s="54"/>
      <c r="O205" s="1247"/>
      <c r="P205" s="1247"/>
      <c r="Q205" s="176"/>
      <c r="R205" s="5937"/>
      <c r="S205" s="1240"/>
      <c r="T205" s="1239"/>
      <c r="U205" s="1239"/>
      <c r="W205" s="5937">
        <f t="shared" ref="W205" si="29">W204+1</f>
        <v>7</v>
      </c>
      <c r="X205" s="1259" t="s">
        <v>6301</v>
      </c>
      <c r="Y205" s="1260" t="s">
        <v>6302</v>
      </c>
      <c r="Z205" s="1263" t="s">
        <v>6303</v>
      </c>
      <c r="AA205" s="1260" t="s">
        <v>6304</v>
      </c>
      <c r="AB205" s="1260" t="s">
        <v>6305</v>
      </c>
      <c r="AC205" s="1260" t="s">
        <v>6306</v>
      </c>
      <c r="AD205" s="1259" t="s">
        <v>6301</v>
      </c>
      <c r="AF205" s="3">
        <v>1</v>
      </c>
    </row>
    <row r="206" spans="2:32" ht="30" customHeight="1">
      <c r="B206" s="5969">
        <v>7</v>
      </c>
      <c r="C206" s="2037" t="s">
        <v>6307</v>
      </c>
      <c r="D206" s="2038"/>
      <c r="E206" s="2039"/>
      <c r="F206" s="168"/>
      <c r="G206" s="2040"/>
      <c r="H206" s="5976"/>
      <c r="I206" s="1261"/>
      <c r="J206" s="1261"/>
      <c r="L206" s="5946"/>
      <c r="M206" s="1244"/>
      <c r="N206" s="54"/>
      <c r="O206" s="1247"/>
      <c r="P206" s="1247"/>
      <c r="Q206" s="176"/>
      <c r="R206" s="5937"/>
      <c r="S206" s="1240"/>
      <c r="T206" s="1239"/>
      <c r="U206" s="1239"/>
      <c r="W206" s="5937">
        <v>7</v>
      </c>
      <c r="X206" s="1259" t="s">
        <v>6308</v>
      </c>
      <c r="Y206" s="1260" t="s">
        <v>6309</v>
      </c>
      <c r="Z206" s="1263" t="s">
        <v>5717</v>
      </c>
      <c r="AA206" s="1260" t="s">
        <v>6310</v>
      </c>
      <c r="AB206" s="1260" t="s">
        <v>6311</v>
      </c>
      <c r="AC206" s="1260" t="s">
        <v>6312</v>
      </c>
      <c r="AD206" s="1259" t="s">
        <v>6308</v>
      </c>
      <c r="AF206" s="3">
        <v>1</v>
      </c>
    </row>
    <row r="207" spans="2:32" ht="30" customHeight="1">
      <c r="B207" s="1256"/>
      <c r="C207" s="203"/>
      <c r="D207" s="1247"/>
      <c r="E207" s="1287"/>
      <c r="F207" s="9"/>
      <c r="G207" s="1256"/>
      <c r="H207" s="1257"/>
      <c r="I207" s="1261"/>
      <c r="J207" s="1261"/>
      <c r="L207" s="5946"/>
      <c r="M207" s="1244"/>
      <c r="N207" s="54"/>
      <c r="O207" s="1247"/>
      <c r="P207" s="1247"/>
      <c r="Q207" s="176"/>
      <c r="R207" s="5937"/>
      <c r="S207" s="1240"/>
      <c r="T207" s="1239"/>
      <c r="U207" s="1239"/>
      <c r="W207" s="5937">
        <f t="shared" ref="W207" si="30">W206+1</f>
        <v>8</v>
      </c>
      <c r="X207" s="1259" t="s">
        <v>6313</v>
      </c>
      <c r="Y207" s="1260" t="s">
        <v>6314</v>
      </c>
      <c r="Z207" s="1263" t="s">
        <v>6315</v>
      </c>
      <c r="AA207" s="1260" t="s">
        <v>6316</v>
      </c>
      <c r="AB207" s="1260" t="s">
        <v>6317</v>
      </c>
      <c r="AC207" s="1260" t="s">
        <v>6318</v>
      </c>
      <c r="AD207" s="1259" t="s">
        <v>6313</v>
      </c>
      <c r="AF207" s="3">
        <v>1</v>
      </c>
    </row>
    <row r="208" spans="2:32" ht="30" customHeight="1">
      <c r="B208" s="5973"/>
      <c r="C208" s="2042" t="s">
        <v>6319</v>
      </c>
      <c r="D208" s="2043" t="s">
        <v>6320</v>
      </c>
      <c r="E208" s="2043" t="s">
        <v>6321</v>
      </c>
      <c r="F208" s="2044"/>
      <c r="G208" s="2045"/>
      <c r="H208" s="5974"/>
      <c r="I208" s="1261"/>
      <c r="J208" s="1261"/>
      <c r="L208" s="5946"/>
      <c r="M208" s="1244"/>
      <c r="N208" s="54"/>
      <c r="O208" s="1247"/>
      <c r="P208" s="1247"/>
      <c r="Q208" s="176"/>
      <c r="R208" s="5937"/>
      <c r="S208" s="1240"/>
      <c r="T208" s="1239"/>
      <c r="U208" s="1239"/>
      <c r="W208" s="5937">
        <v>8</v>
      </c>
      <c r="X208" s="1259" t="s">
        <v>6322</v>
      </c>
      <c r="Y208" s="1260" t="s">
        <v>6323</v>
      </c>
      <c r="Z208" s="1263" t="s">
        <v>6324</v>
      </c>
      <c r="AA208" s="1260" t="s">
        <v>6325</v>
      </c>
      <c r="AB208" s="1260" t="s">
        <v>6326</v>
      </c>
      <c r="AC208" s="1260" t="s">
        <v>6327</v>
      </c>
      <c r="AD208" s="1259" t="s">
        <v>6322</v>
      </c>
      <c r="AF208" s="3">
        <v>1</v>
      </c>
    </row>
    <row r="209" spans="2:32" ht="30" customHeight="1">
      <c r="B209" s="2036"/>
      <c r="C209" s="203"/>
      <c r="D209" s="1247"/>
      <c r="E209" s="1287"/>
      <c r="F209" s="9"/>
      <c r="G209" s="1256"/>
      <c r="H209" s="5975"/>
      <c r="I209" s="1261"/>
      <c r="J209" s="1261"/>
      <c r="L209" s="5946"/>
      <c r="M209" s="1244"/>
      <c r="N209" s="54"/>
      <c r="O209" s="1247"/>
      <c r="P209" s="1247"/>
      <c r="Q209" s="176"/>
      <c r="R209" s="5937"/>
      <c r="S209" s="1240"/>
      <c r="T209" s="1239"/>
      <c r="U209" s="1239"/>
      <c r="W209" s="5937">
        <f t="shared" ref="W209" si="31">W208+1</f>
        <v>9</v>
      </c>
      <c r="X209" s="1259" t="s">
        <v>6328</v>
      </c>
      <c r="Y209" s="1260" t="s">
        <v>6329</v>
      </c>
      <c r="Z209" s="1263" t="s">
        <v>6330</v>
      </c>
      <c r="AA209" s="1260" t="s">
        <v>6331</v>
      </c>
      <c r="AB209" s="1260" t="s">
        <v>6332</v>
      </c>
      <c r="AC209" s="1260" t="s">
        <v>6333</v>
      </c>
      <c r="AD209" s="1259" t="s">
        <v>6328</v>
      </c>
      <c r="AF209" s="3">
        <v>1</v>
      </c>
    </row>
    <row r="210" spans="2:32" ht="30" customHeight="1">
      <c r="B210" s="2036">
        <v>1</v>
      </c>
      <c r="C210" s="203" t="s">
        <v>6334</v>
      </c>
      <c r="D210" s="1247"/>
      <c r="E210" s="1287"/>
      <c r="F210" s="9"/>
      <c r="G210" s="1256"/>
      <c r="H210" s="5975"/>
      <c r="I210" s="1261"/>
      <c r="J210" s="1261"/>
      <c r="L210" s="5946"/>
      <c r="M210" s="1244"/>
      <c r="N210" s="54"/>
      <c r="O210" s="1247"/>
      <c r="P210" s="1247"/>
      <c r="Q210" s="176"/>
      <c r="R210" s="5937"/>
      <c r="S210" s="1240"/>
      <c r="T210" s="1239"/>
      <c r="U210" s="1239"/>
      <c r="W210" s="5937">
        <v>9</v>
      </c>
      <c r="X210" s="1259" t="s">
        <v>6335</v>
      </c>
      <c r="Y210" s="1260" t="s">
        <v>6336</v>
      </c>
      <c r="Z210" s="1263" t="s">
        <v>6337</v>
      </c>
      <c r="AA210" s="1260" t="s">
        <v>6338</v>
      </c>
      <c r="AB210" s="1260" t="s">
        <v>6339</v>
      </c>
      <c r="AC210" s="1260" t="s">
        <v>6340</v>
      </c>
      <c r="AD210" s="1259" t="s">
        <v>6335</v>
      </c>
      <c r="AF210" s="3">
        <v>1</v>
      </c>
    </row>
    <row r="211" spans="2:32" ht="30" customHeight="1">
      <c r="B211" s="2036">
        <v>2</v>
      </c>
      <c r="C211" s="203" t="s">
        <v>6341</v>
      </c>
      <c r="D211" s="1247"/>
      <c r="E211" s="1287"/>
      <c r="F211" s="9"/>
      <c r="G211" s="1256"/>
      <c r="H211" s="5975"/>
      <c r="I211" s="1261"/>
      <c r="J211" s="1261"/>
      <c r="L211" s="5946"/>
      <c r="M211" s="1244"/>
      <c r="N211" s="54"/>
      <c r="O211" s="1247"/>
      <c r="P211" s="1247"/>
      <c r="Q211" s="176"/>
      <c r="R211" s="5937"/>
      <c r="S211" s="1240"/>
      <c r="T211" s="1239"/>
      <c r="U211" s="1239"/>
      <c r="W211" s="5937">
        <f t="shared" ref="W211" si="32">W210+1</f>
        <v>10</v>
      </c>
      <c r="X211" s="1259" t="s">
        <v>6342</v>
      </c>
      <c r="Y211" s="1260" t="s">
        <v>6343</v>
      </c>
      <c r="Z211" s="1263" t="s">
        <v>6344</v>
      </c>
      <c r="AA211" s="1260" t="s">
        <v>6345</v>
      </c>
      <c r="AB211" s="1260" t="s">
        <v>6346</v>
      </c>
      <c r="AC211" s="1260" t="s">
        <v>6347</v>
      </c>
      <c r="AD211" s="1259" t="s">
        <v>6342</v>
      </c>
      <c r="AF211" s="3">
        <v>1</v>
      </c>
    </row>
    <row r="212" spans="2:32" ht="30" customHeight="1">
      <c r="B212" s="2036">
        <v>3</v>
      </c>
      <c r="C212" s="203" t="s">
        <v>6348</v>
      </c>
      <c r="D212" s="1247"/>
      <c r="E212" s="1247"/>
      <c r="F212" s="9"/>
      <c r="G212" s="1256"/>
      <c r="H212" s="5975"/>
      <c r="I212" s="1261"/>
      <c r="J212" s="1261"/>
      <c r="L212" s="5946"/>
      <c r="M212" s="1244"/>
      <c r="N212" s="54"/>
      <c r="O212" s="1247"/>
      <c r="P212" s="1247"/>
      <c r="Q212" s="176"/>
      <c r="R212" s="5937"/>
      <c r="S212" s="1240"/>
      <c r="T212" s="1239"/>
      <c r="U212" s="1239"/>
      <c r="W212" s="5937">
        <v>10</v>
      </c>
      <c r="X212" s="1259" t="s">
        <v>6349</v>
      </c>
      <c r="Y212" s="1260" t="s">
        <v>6350</v>
      </c>
      <c r="Z212" s="1263" t="s">
        <v>6351</v>
      </c>
      <c r="AA212" s="1260" t="s">
        <v>6352</v>
      </c>
      <c r="AB212" s="1260" t="s">
        <v>6353</v>
      </c>
      <c r="AC212" s="1260" t="s">
        <v>6354</v>
      </c>
      <c r="AD212" s="1259" t="s">
        <v>6349</v>
      </c>
      <c r="AF212" s="3">
        <v>1</v>
      </c>
    </row>
    <row r="213" spans="2:32" ht="30" customHeight="1">
      <c r="B213" s="2036">
        <v>4</v>
      </c>
      <c r="C213" s="203" t="s">
        <v>6355</v>
      </c>
      <c r="D213" s="1247"/>
      <c r="E213" s="1247"/>
      <c r="F213" s="9"/>
      <c r="G213" s="1256"/>
      <c r="H213" s="5975"/>
      <c r="I213" s="1261"/>
      <c r="J213" s="1261"/>
      <c r="L213" s="5946"/>
      <c r="M213" s="1244"/>
      <c r="N213" s="54"/>
      <c r="O213" s="1247"/>
      <c r="P213" s="1247"/>
      <c r="Q213" s="176"/>
      <c r="R213" s="5937"/>
      <c r="S213" s="1240"/>
      <c r="T213" s="1239"/>
      <c r="U213" s="1239"/>
      <c r="W213" s="5937">
        <f t="shared" ref="W213" si="33">W212+1</f>
        <v>11</v>
      </c>
      <c r="X213" s="1259" t="s">
        <v>6356</v>
      </c>
      <c r="Y213" s="1260" t="s">
        <v>6357</v>
      </c>
      <c r="Z213" s="1263" t="s">
        <v>6358</v>
      </c>
      <c r="AA213" s="1260" t="s">
        <v>6359</v>
      </c>
      <c r="AB213" s="1260" t="s">
        <v>6360</v>
      </c>
      <c r="AC213" s="1260" t="s">
        <v>6361</v>
      </c>
      <c r="AD213" s="1259" t="s">
        <v>6356</v>
      </c>
      <c r="AF213" s="3">
        <v>1</v>
      </c>
    </row>
    <row r="214" spans="2:32" ht="30" customHeight="1">
      <c r="B214" s="2036">
        <v>5</v>
      </c>
      <c r="C214" s="203" t="s">
        <v>6362</v>
      </c>
      <c r="D214" s="1247"/>
      <c r="E214" s="1287"/>
      <c r="F214" s="9"/>
      <c r="G214" s="1256"/>
      <c r="H214" s="5975"/>
      <c r="I214" s="1261"/>
      <c r="J214" s="1261"/>
      <c r="L214" s="5946"/>
      <c r="M214" s="1244"/>
      <c r="N214" s="54"/>
      <c r="O214" s="1247"/>
      <c r="P214" s="1247"/>
      <c r="Q214" s="176"/>
      <c r="R214" s="5937"/>
      <c r="S214" s="1240"/>
      <c r="T214" s="1239"/>
      <c r="U214" s="1239"/>
      <c r="W214" s="5937">
        <v>11</v>
      </c>
      <c r="X214" s="1259" t="s">
        <v>6363</v>
      </c>
      <c r="Y214" s="1260" t="s">
        <v>6364</v>
      </c>
      <c r="Z214" s="1263" t="s">
        <v>6365</v>
      </c>
      <c r="AA214" s="1260" t="s">
        <v>6366</v>
      </c>
      <c r="AB214" s="1260" t="s">
        <v>6367</v>
      </c>
      <c r="AC214" s="1260" t="s">
        <v>6368</v>
      </c>
      <c r="AD214" s="1259" t="s">
        <v>6363</v>
      </c>
      <c r="AF214" s="3">
        <v>1</v>
      </c>
    </row>
    <row r="215" spans="2:32" ht="30" customHeight="1">
      <c r="B215" s="5969"/>
      <c r="C215" s="2037"/>
      <c r="D215" s="2038"/>
      <c r="E215" s="2039"/>
      <c r="F215" s="168"/>
      <c r="G215" s="2040"/>
      <c r="H215" s="5976"/>
      <c r="I215" s="1261"/>
      <c r="J215" s="1261"/>
      <c r="L215" s="5946"/>
      <c r="M215" s="1244"/>
      <c r="N215" s="54"/>
      <c r="O215" s="1247"/>
      <c r="P215" s="1247"/>
      <c r="Q215" s="176"/>
      <c r="R215" s="5937"/>
      <c r="S215" s="1240"/>
      <c r="T215" s="1239"/>
      <c r="U215" s="1239"/>
      <c r="W215" s="5937">
        <f t="shared" ref="W215" si="34">W214+1</f>
        <v>12</v>
      </c>
      <c r="X215" s="1259" t="s">
        <v>6369</v>
      </c>
      <c r="Y215" s="1260" t="s">
        <v>6370</v>
      </c>
      <c r="Z215" s="1263" t="s">
        <v>6371</v>
      </c>
      <c r="AA215" s="1260" t="s">
        <v>6372</v>
      </c>
      <c r="AB215" s="1260" t="s">
        <v>6373</v>
      </c>
      <c r="AC215" s="1260" t="s">
        <v>6374</v>
      </c>
      <c r="AD215" s="1259" t="s">
        <v>6369</v>
      </c>
      <c r="AF215" s="3">
        <v>1</v>
      </c>
    </row>
    <row r="216" spans="2:32" ht="30" customHeight="1">
      <c r="B216" s="5973"/>
      <c r="C216" s="2042" t="s">
        <v>6375</v>
      </c>
      <c r="D216" s="2043" t="s">
        <v>6376</v>
      </c>
      <c r="E216" s="2043" t="s">
        <v>6377</v>
      </c>
      <c r="F216" s="2044"/>
      <c r="G216" s="2045"/>
      <c r="H216" s="5974"/>
      <c r="I216" s="1261"/>
      <c r="J216" s="1261"/>
      <c r="L216" s="5946"/>
      <c r="M216" s="1244"/>
      <c r="N216" s="54"/>
      <c r="O216" s="1247"/>
      <c r="P216" s="1247"/>
      <c r="Q216" s="176"/>
      <c r="R216" s="5937"/>
      <c r="S216" s="1240"/>
      <c r="T216" s="1239"/>
      <c r="U216" s="1239"/>
      <c r="W216" s="5937">
        <v>12</v>
      </c>
      <c r="X216" s="1259" t="s">
        <v>6378</v>
      </c>
      <c r="Y216" s="1260" t="s">
        <v>6260</v>
      </c>
      <c r="Z216" s="1263" t="s">
        <v>6261</v>
      </c>
      <c r="AA216" s="1260" t="s">
        <v>6379</v>
      </c>
      <c r="AB216" s="1260" t="s">
        <v>6380</v>
      </c>
      <c r="AC216" s="1260" t="s">
        <v>6381</v>
      </c>
      <c r="AD216" s="1259" t="s">
        <v>6378</v>
      </c>
      <c r="AF216" s="3">
        <v>1</v>
      </c>
    </row>
    <row r="217" spans="2:32" ht="30" customHeight="1">
      <c r="B217" s="2036"/>
      <c r="C217" s="203"/>
      <c r="D217" s="1247"/>
      <c r="E217" s="1287"/>
      <c r="F217" s="9"/>
      <c r="G217" s="1256"/>
      <c r="H217" s="5975"/>
      <c r="I217" s="1261"/>
      <c r="J217" s="1261"/>
      <c r="L217" s="5946"/>
      <c r="M217" s="1244"/>
      <c r="N217" s="54"/>
      <c r="O217" s="1247"/>
      <c r="P217" s="1247"/>
      <c r="Q217" s="176"/>
      <c r="R217" s="5937"/>
      <c r="S217" s="1240"/>
      <c r="T217" s="1239"/>
      <c r="U217" s="1239"/>
      <c r="W217" s="5937">
        <f t="shared" ref="W217" si="35">W216+1</f>
        <v>13</v>
      </c>
      <c r="X217" s="1259" t="s">
        <v>6382</v>
      </c>
      <c r="Y217" s="1260" t="s">
        <v>6383</v>
      </c>
      <c r="Z217" s="1263" t="s">
        <v>6384</v>
      </c>
      <c r="AA217" s="1260" t="s">
        <v>6385</v>
      </c>
      <c r="AB217" s="1260" t="s">
        <v>6386</v>
      </c>
      <c r="AC217" s="1260" t="s">
        <v>6387</v>
      </c>
      <c r="AD217" s="1259" t="s">
        <v>6382</v>
      </c>
      <c r="AF217" s="3">
        <v>1</v>
      </c>
    </row>
    <row r="218" spans="2:32" ht="30" customHeight="1">
      <c r="B218" s="2036">
        <v>1</v>
      </c>
      <c r="C218" s="203" t="s">
        <v>6388</v>
      </c>
      <c r="D218" s="1247"/>
      <c r="E218" s="1247"/>
      <c r="F218" s="9"/>
      <c r="G218" s="1256"/>
      <c r="H218" s="5975"/>
      <c r="I218" s="1261"/>
      <c r="J218" s="1261"/>
      <c r="L218" s="5946"/>
      <c r="M218" s="1244"/>
      <c r="N218" s="54"/>
      <c r="O218" s="1247"/>
      <c r="P218" s="1247"/>
      <c r="Q218" s="176"/>
      <c r="R218" s="5937"/>
      <c r="S218" s="1240"/>
      <c r="T218" s="1239"/>
      <c r="U218" s="1239"/>
      <c r="W218" s="5937">
        <v>13</v>
      </c>
      <c r="X218" s="1259" t="s">
        <v>6389</v>
      </c>
      <c r="Y218" s="1260" t="s">
        <v>6390</v>
      </c>
      <c r="Z218" s="1263" t="s">
        <v>6391</v>
      </c>
      <c r="AA218" s="1260" t="s">
        <v>6392</v>
      </c>
      <c r="AB218" s="1260" t="s">
        <v>6393</v>
      </c>
      <c r="AC218" s="1260" t="s">
        <v>6394</v>
      </c>
      <c r="AD218" s="1259" t="s">
        <v>6389</v>
      </c>
      <c r="AF218" s="3">
        <v>1</v>
      </c>
    </row>
    <row r="219" spans="2:32" ht="30" customHeight="1">
      <c r="B219" s="2036">
        <v>2</v>
      </c>
      <c r="C219" s="203" t="s">
        <v>6395</v>
      </c>
      <c r="D219" s="1247"/>
      <c r="E219" s="1247"/>
      <c r="F219" s="9"/>
      <c r="G219" s="1256"/>
      <c r="H219" s="5975"/>
      <c r="I219" s="1261"/>
      <c r="J219" s="1261"/>
      <c r="L219" s="5946"/>
      <c r="M219" s="1244"/>
      <c r="N219" s="54"/>
      <c r="O219" s="1247"/>
      <c r="P219" s="1247"/>
      <c r="Q219" s="176"/>
      <c r="R219" s="5937"/>
      <c r="S219" s="1240"/>
      <c r="T219" s="1239"/>
      <c r="U219" s="1239"/>
      <c r="W219" s="5937">
        <f t="shared" ref="W219" si="36">W218+1</f>
        <v>14</v>
      </c>
      <c r="X219" s="1259" t="s">
        <v>6396</v>
      </c>
      <c r="Y219" s="1260" t="s">
        <v>6397</v>
      </c>
      <c r="Z219" s="1263" t="s">
        <v>6289</v>
      </c>
      <c r="AA219" s="1260" t="s">
        <v>6398</v>
      </c>
      <c r="AB219" s="1260" t="s">
        <v>6399</v>
      </c>
      <c r="AC219" s="1260" t="s">
        <v>6400</v>
      </c>
      <c r="AD219" s="1259" t="s">
        <v>6396</v>
      </c>
      <c r="AF219" s="3">
        <v>1</v>
      </c>
    </row>
    <row r="220" spans="2:32" ht="30" customHeight="1">
      <c r="B220" s="5969">
        <v>3</v>
      </c>
      <c r="C220" s="2037" t="s">
        <v>6401</v>
      </c>
      <c r="D220" s="2038"/>
      <c r="E220" s="2037"/>
      <c r="F220" s="168"/>
      <c r="G220" s="2040"/>
      <c r="H220" s="5976"/>
      <c r="I220" s="1261"/>
      <c r="J220" s="1261"/>
      <c r="L220" s="5946"/>
      <c r="M220" s="1244"/>
      <c r="N220" s="54"/>
      <c r="O220" s="1247"/>
      <c r="P220" s="1247"/>
      <c r="Q220" s="176"/>
      <c r="R220" s="5937"/>
      <c r="S220" s="1240"/>
      <c r="T220" s="1239"/>
      <c r="U220" s="1239"/>
      <c r="W220" s="5937">
        <v>14</v>
      </c>
      <c r="X220" s="1259" t="s">
        <v>6402</v>
      </c>
      <c r="Y220" s="1260" t="s">
        <v>6403</v>
      </c>
      <c r="Z220" s="1288" t="s">
        <v>6404</v>
      </c>
      <c r="AA220" s="1260" t="s">
        <v>6405</v>
      </c>
      <c r="AB220" s="1260" t="s">
        <v>6406</v>
      </c>
      <c r="AC220" s="1260" t="s">
        <v>6407</v>
      </c>
      <c r="AD220" s="1259" t="s">
        <v>6402</v>
      </c>
      <c r="AF220" s="3">
        <v>1</v>
      </c>
    </row>
    <row r="221" spans="2:32" ht="30" customHeight="1">
      <c r="B221" s="1256"/>
      <c r="C221" s="203"/>
      <c r="D221" s="1247"/>
      <c r="E221" s="203"/>
      <c r="F221" s="9"/>
      <c r="G221" s="1256"/>
      <c r="H221" s="1257"/>
      <c r="I221" s="1261"/>
      <c r="J221" s="1261"/>
      <c r="L221" s="5946"/>
      <c r="M221" s="1244"/>
      <c r="N221" s="54"/>
      <c r="O221" s="1247"/>
      <c r="P221" s="1247"/>
      <c r="Q221" s="176"/>
      <c r="R221" s="5937"/>
      <c r="S221" s="1240"/>
      <c r="T221" s="1239"/>
      <c r="U221" s="1239"/>
      <c r="W221" s="5937">
        <f t="shared" ref="W221" si="37">W220+1</f>
        <v>15</v>
      </c>
      <c r="X221" s="1259" t="s">
        <v>6408</v>
      </c>
      <c r="Y221" s="1260" t="s">
        <v>6409</v>
      </c>
      <c r="Z221" s="1263" t="s">
        <v>6410</v>
      </c>
      <c r="AA221" s="1260" t="s">
        <v>6411</v>
      </c>
      <c r="AB221" s="1260" t="s">
        <v>6412</v>
      </c>
      <c r="AC221" s="1260" t="s">
        <v>6413</v>
      </c>
      <c r="AD221" s="1259" t="s">
        <v>6408</v>
      </c>
      <c r="AF221" s="3">
        <v>1</v>
      </c>
    </row>
    <row r="222" spans="2:32" ht="30" customHeight="1">
      <c r="B222" s="5973"/>
      <c r="C222" s="2042" t="s">
        <v>6414</v>
      </c>
      <c r="D222" s="2043" t="s">
        <v>6415</v>
      </c>
      <c r="E222" s="5961" t="s">
        <v>6416</v>
      </c>
      <c r="F222" s="9"/>
      <c r="G222" s="1256"/>
      <c r="H222" s="1257"/>
      <c r="I222" s="1261"/>
      <c r="J222" s="1261"/>
      <c r="L222" s="5946"/>
      <c r="M222" s="1244"/>
      <c r="N222" s="54"/>
      <c r="O222" s="1247"/>
      <c r="P222" s="1247"/>
      <c r="Q222" s="176"/>
      <c r="R222" s="5937"/>
      <c r="S222" s="1240"/>
      <c r="T222" s="1239"/>
      <c r="U222" s="1239"/>
      <c r="W222" s="5937">
        <v>15</v>
      </c>
      <c r="X222" s="1259" t="s">
        <v>6417</v>
      </c>
      <c r="Y222" s="1260" t="s">
        <v>6418</v>
      </c>
      <c r="Z222" s="1263" t="s">
        <v>6419</v>
      </c>
      <c r="AA222" s="1260" t="s">
        <v>6420</v>
      </c>
      <c r="AB222" s="1260" t="s">
        <v>6421</v>
      </c>
      <c r="AC222" s="1260" t="s">
        <v>6422</v>
      </c>
      <c r="AD222" s="1259" t="s">
        <v>6417</v>
      </c>
      <c r="AF222" s="3">
        <v>1</v>
      </c>
    </row>
    <row r="223" spans="2:32" ht="30" customHeight="1">
      <c r="B223" s="2036"/>
      <c r="C223" s="203"/>
      <c r="D223" s="1247"/>
      <c r="E223" s="5977"/>
      <c r="F223" s="9"/>
      <c r="G223" s="1256"/>
      <c r="H223" s="1257"/>
      <c r="I223" s="1261"/>
      <c r="J223" s="1261"/>
      <c r="L223" s="5946"/>
      <c r="M223" s="1244"/>
      <c r="N223" s="54"/>
      <c r="O223" s="1247"/>
      <c r="P223" s="1247"/>
      <c r="Q223" s="176"/>
      <c r="R223" s="5937"/>
      <c r="S223" s="1240"/>
      <c r="T223" s="1239"/>
      <c r="U223" s="1239"/>
      <c r="W223" s="5937">
        <f t="shared" ref="W223" si="38">W222+1</f>
        <v>16</v>
      </c>
      <c r="X223" s="1259" t="s">
        <v>6423</v>
      </c>
      <c r="Y223" s="1260" t="s">
        <v>6424</v>
      </c>
      <c r="Z223" s="1263" t="s">
        <v>6425</v>
      </c>
      <c r="AA223" s="1260" t="s">
        <v>6426</v>
      </c>
      <c r="AB223" s="1260" t="s">
        <v>6427</v>
      </c>
      <c r="AC223" s="1260" t="s">
        <v>6428</v>
      </c>
      <c r="AD223" s="1259" t="s">
        <v>6423</v>
      </c>
      <c r="AF223" s="3">
        <v>1</v>
      </c>
    </row>
    <row r="224" spans="2:32" ht="30" customHeight="1">
      <c r="B224" s="2036">
        <v>1</v>
      </c>
      <c r="C224" s="203" t="s">
        <v>6429</v>
      </c>
      <c r="D224" s="203"/>
      <c r="E224" s="5977"/>
      <c r="F224" s="9"/>
      <c r="G224" s="1256"/>
      <c r="H224" s="1257"/>
      <c r="I224" s="1261"/>
      <c r="J224" s="1261"/>
      <c r="L224" s="5946"/>
      <c r="M224" s="1244"/>
      <c r="N224" s="54"/>
      <c r="O224" s="1247"/>
      <c r="P224" s="1247"/>
      <c r="Q224" s="176"/>
      <c r="R224" s="5937"/>
      <c r="S224" s="1240"/>
      <c r="T224" s="1239"/>
      <c r="U224" s="1239"/>
      <c r="W224" s="5937">
        <v>16</v>
      </c>
      <c r="X224" s="1259" t="s">
        <v>6430</v>
      </c>
      <c r="Y224" s="1260" t="s">
        <v>6431</v>
      </c>
      <c r="Z224" s="1263" t="s">
        <v>6432</v>
      </c>
      <c r="AA224" s="1260" t="s">
        <v>6433</v>
      </c>
      <c r="AB224" s="1260" t="s">
        <v>6434</v>
      </c>
      <c r="AC224" s="1260" t="s">
        <v>6435</v>
      </c>
      <c r="AD224" s="1259" t="s">
        <v>6430</v>
      </c>
      <c r="AF224" s="3">
        <v>1</v>
      </c>
    </row>
    <row r="225" spans="2:32" ht="30" customHeight="1">
      <c r="B225" s="2036"/>
      <c r="C225" s="203" t="s">
        <v>6436</v>
      </c>
      <c r="D225" s="203"/>
      <c r="E225" s="5977"/>
      <c r="F225" s="9"/>
      <c r="G225" s="1256"/>
      <c r="H225" s="1257"/>
      <c r="I225" s="1261"/>
      <c r="J225" s="1261"/>
      <c r="L225" s="5946"/>
      <c r="M225" s="1244"/>
      <c r="N225" s="54"/>
      <c r="O225" s="1247"/>
      <c r="P225" s="1247"/>
      <c r="Q225" s="176"/>
      <c r="R225" s="5937"/>
      <c r="S225" s="1240"/>
      <c r="T225" s="1239"/>
      <c r="U225" s="1239"/>
      <c r="W225" s="5904"/>
      <c r="X225" s="5952" t="s">
        <v>3943</v>
      </c>
      <c r="Y225" s="1238"/>
      <c r="Z225" s="1238"/>
      <c r="AA225" s="1238"/>
      <c r="AB225" s="1255"/>
      <c r="AC225" s="1255"/>
      <c r="AD225" s="5952" t="s">
        <v>3943</v>
      </c>
      <c r="AF225" s="3">
        <v>1</v>
      </c>
    </row>
    <row r="226" spans="2:32" ht="30" customHeight="1">
      <c r="B226" s="2036"/>
      <c r="C226" s="203"/>
      <c r="D226" s="203"/>
      <c r="E226" s="5977"/>
      <c r="F226" s="9"/>
      <c r="G226" s="1256"/>
      <c r="H226" s="1257"/>
      <c r="I226" s="1261"/>
      <c r="J226" s="1261"/>
      <c r="L226" s="5946"/>
      <c r="M226" s="1244"/>
      <c r="N226" s="54"/>
      <c r="O226" s="1247"/>
      <c r="P226" s="1247"/>
      <c r="Q226" s="176"/>
      <c r="R226" s="5937"/>
      <c r="S226" s="1240"/>
      <c r="T226" s="1239"/>
      <c r="U226" s="1239"/>
      <c r="W226" s="5937">
        <v>1</v>
      </c>
      <c r="X226" s="1259" t="s">
        <v>6437</v>
      </c>
      <c r="Y226" s="1260" t="s">
        <v>6438</v>
      </c>
      <c r="Z226" s="1263" t="s">
        <v>6439</v>
      </c>
      <c r="AA226" s="1260" t="s">
        <v>6440</v>
      </c>
      <c r="AB226" s="1260" t="s">
        <v>6441</v>
      </c>
      <c r="AC226" s="1260" t="s">
        <v>6442</v>
      </c>
      <c r="AD226" s="1259" t="s">
        <v>6437</v>
      </c>
      <c r="AF226" s="3">
        <v>1</v>
      </c>
    </row>
    <row r="227" spans="2:32" ht="30" customHeight="1">
      <c r="B227" s="2036">
        <v>2</v>
      </c>
      <c r="C227" s="203" t="s">
        <v>6443</v>
      </c>
      <c r="D227" s="203"/>
      <c r="E227" s="5978"/>
      <c r="F227" s="9"/>
      <c r="G227" s="1256"/>
      <c r="H227" s="1257"/>
      <c r="I227" s="1261"/>
      <c r="J227" s="1261"/>
      <c r="L227" s="5946"/>
      <c r="M227" s="1244"/>
      <c r="N227" s="54"/>
      <c r="O227" s="1247"/>
      <c r="P227" s="1247"/>
      <c r="Q227" s="176"/>
      <c r="R227" s="5937"/>
      <c r="S227" s="1240"/>
      <c r="T227" s="1239"/>
      <c r="U227" s="1239"/>
      <c r="W227" s="5937">
        <f>W226+1</f>
        <v>2</v>
      </c>
      <c r="X227" s="1259" t="s">
        <v>6444</v>
      </c>
      <c r="Y227" s="1260" t="s">
        <v>6445</v>
      </c>
      <c r="Z227" s="1263" t="s">
        <v>6446</v>
      </c>
      <c r="AA227" s="1260" t="s">
        <v>6447</v>
      </c>
      <c r="AB227" s="1260" t="s">
        <v>6448</v>
      </c>
      <c r="AC227" s="1260" t="s">
        <v>6449</v>
      </c>
      <c r="AD227" s="1259" t="s">
        <v>6444</v>
      </c>
      <c r="AF227" s="3">
        <v>1</v>
      </c>
    </row>
    <row r="228" spans="2:32" ht="30" customHeight="1">
      <c r="B228" s="2036"/>
      <c r="C228" s="203" t="s">
        <v>6450</v>
      </c>
      <c r="D228" s="203"/>
      <c r="E228" s="5978"/>
      <c r="F228" s="9"/>
      <c r="G228" s="1256"/>
      <c r="H228" s="1257"/>
      <c r="I228" s="1261"/>
      <c r="J228" s="1261"/>
      <c r="L228" s="5946"/>
      <c r="M228" s="1244"/>
      <c r="N228" s="54"/>
      <c r="O228" s="1247"/>
      <c r="P228" s="1247"/>
      <c r="Q228" s="176"/>
      <c r="R228" s="5937"/>
      <c r="S228" s="1240"/>
      <c r="T228" s="1239"/>
      <c r="U228" s="1239"/>
      <c r="W228" s="5937">
        <f t="shared" ref="W228:W235" si="39">W227+1</f>
        <v>3</v>
      </c>
      <c r="X228" s="1259" t="s">
        <v>6451</v>
      </c>
      <c r="Y228" s="1260" t="s">
        <v>6452</v>
      </c>
      <c r="Z228" s="1263" t="s">
        <v>6453</v>
      </c>
      <c r="AA228" s="1260" t="s">
        <v>6454</v>
      </c>
      <c r="AB228" s="1260" t="s">
        <v>6455</v>
      </c>
      <c r="AC228" s="1260" t="s">
        <v>6456</v>
      </c>
      <c r="AD228" s="1259" t="s">
        <v>6451</v>
      </c>
      <c r="AF228" s="3">
        <v>1</v>
      </c>
    </row>
    <row r="229" spans="2:32" ht="30" customHeight="1">
      <c r="B229" s="2036"/>
      <c r="C229" s="203"/>
      <c r="D229" s="203"/>
      <c r="E229" s="5978"/>
      <c r="F229" s="9"/>
      <c r="G229" s="1256"/>
      <c r="H229" s="1257"/>
      <c r="I229" s="1261"/>
      <c r="J229" s="1261"/>
      <c r="L229" s="5946"/>
      <c r="M229" s="1244"/>
      <c r="N229" s="54"/>
      <c r="O229" s="1247"/>
      <c r="P229" s="1247"/>
      <c r="Q229" s="176"/>
      <c r="R229" s="5937"/>
      <c r="S229" s="1240"/>
      <c r="T229" s="1239"/>
      <c r="U229" s="1239"/>
      <c r="W229" s="5937">
        <f t="shared" si="39"/>
        <v>4</v>
      </c>
      <c r="X229" s="1259" t="s">
        <v>6457</v>
      </c>
      <c r="Y229" s="1260" t="s">
        <v>6458</v>
      </c>
      <c r="Z229" s="1263" t="s">
        <v>6459</v>
      </c>
      <c r="AA229" s="1260" t="s">
        <v>6460</v>
      </c>
      <c r="AB229" s="1260" t="s">
        <v>6461</v>
      </c>
      <c r="AC229" s="1260" t="s">
        <v>6462</v>
      </c>
      <c r="AD229" s="1259" t="s">
        <v>6457</v>
      </c>
      <c r="AF229" s="3">
        <v>1</v>
      </c>
    </row>
    <row r="230" spans="2:32" ht="30" customHeight="1">
      <c r="B230" s="2036">
        <v>3</v>
      </c>
      <c r="C230" s="54" t="s">
        <v>6463</v>
      </c>
      <c r="D230" s="203"/>
      <c r="E230" s="5978"/>
      <c r="F230" s="9"/>
      <c r="G230" s="1256"/>
      <c r="H230" s="1257"/>
      <c r="I230" s="1261"/>
      <c r="J230" s="1261"/>
      <c r="L230" s="5946"/>
      <c r="M230" s="1244"/>
      <c r="N230" s="54"/>
      <c r="O230" s="1247"/>
      <c r="P230" s="1247"/>
      <c r="Q230" s="176"/>
      <c r="R230" s="5937"/>
      <c r="S230" s="1240"/>
      <c r="T230" s="1239"/>
      <c r="U230" s="1239"/>
      <c r="W230" s="5937">
        <f t="shared" si="39"/>
        <v>5</v>
      </c>
      <c r="X230" s="1259" t="s">
        <v>6464</v>
      </c>
      <c r="Y230" s="1260" t="s">
        <v>6465</v>
      </c>
      <c r="Z230" s="1263" t="s">
        <v>6466</v>
      </c>
      <c r="AA230" s="1260" t="s">
        <v>6467</v>
      </c>
      <c r="AB230" s="1260" t="s">
        <v>6468</v>
      </c>
      <c r="AC230" s="1260" t="s">
        <v>6469</v>
      </c>
      <c r="AD230" s="1259" t="s">
        <v>6464</v>
      </c>
      <c r="AF230" s="3">
        <v>1</v>
      </c>
    </row>
    <row r="231" spans="2:32" ht="30" customHeight="1">
      <c r="B231" s="5969"/>
      <c r="C231" s="2041" t="s">
        <v>6470</v>
      </c>
      <c r="D231" s="2037"/>
      <c r="E231" s="5979"/>
      <c r="F231" s="9"/>
      <c r="G231" s="1256"/>
      <c r="H231" s="1257"/>
      <c r="I231" s="1261"/>
      <c r="J231" s="1261"/>
      <c r="L231" s="5946"/>
      <c r="M231" s="1244"/>
      <c r="N231" s="54"/>
      <c r="O231" s="1247"/>
      <c r="P231" s="1247"/>
      <c r="Q231" s="176"/>
      <c r="R231" s="5937"/>
      <c r="S231" s="1240"/>
      <c r="T231" s="1239"/>
      <c r="U231" s="1239"/>
      <c r="W231" s="5937">
        <f t="shared" si="39"/>
        <v>6</v>
      </c>
      <c r="X231" s="1259" t="s">
        <v>6471</v>
      </c>
      <c r="Y231" s="1260" t="s">
        <v>6472</v>
      </c>
      <c r="Z231" s="1263" t="s">
        <v>6473</v>
      </c>
      <c r="AA231" s="1260" t="s">
        <v>6474</v>
      </c>
      <c r="AB231" s="1260" t="s">
        <v>6475</v>
      </c>
      <c r="AC231" s="1260" t="s">
        <v>6476</v>
      </c>
      <c r="AD231" s="1259" t="s">
        <v>6471</v>
      </c>
      <c r="AF231" s="3">
        <v>1</v>
      </c>
    </row>
    <row r="232" spans="2:32" ht="30" customHeight="1">
      <c r="B232" s="1256"/>
      <c r="C232" s="1234"/>
      <c r="D232" s="1234"/>
      <c r="E232" s="1234"/>
      <c r="F232" s="9"/>
      <c r="G232" s="1256"/>
      <c r="H232" s="1257"/>
      <c r="I232" s="1261"/>
      <c r="J232" s="1261"/>
      <c r="L232" s="5946"/>
      <c r="M232" s="1244"/>
      <c r="N232" s="54"/>
      <c r="O232" s="1247"/>
      <c r="P232" s="1247"/>
      <c r="Q232" s="176"/>
      <c r="R232" s="5937"/>
      <c r="S232" s="1240"/>
      <c r="T232" s="1239"/>
      <c r="U232" s="1239"/>
      <c r="W232" s="5937">
        <f t="shared" si="39"/>
        <v>7</v>
      </c>
      <c r="X232" s="1259" t="s">
        <v>6477</v>
      </c>
      <c r="Y232" s="1260" t="s">
        <v>6478</v>
      </c>
      <c r="Z232" s="1263" t="s">
        <v>6479</v>
      </c>
      <c r="AA232" s="1260" t="s">
        <v>6480</v>
      </c>
      <c r="AB232" s="1260" t="s">
        <v>6481</v>
      </c>
      <c r="AC232" s="1260" t="s">
        <v>6482</v>
      </c>
      <c r="AD232" s="1259" t="s">
        <v>6477</v>
      </c>
      <c r="AF232" s="3">
        <v>1</v>
      </c>
    </row>
    <row r="233" spans="2:32" ht="30" customHeight="1">
      <c r="B233" s="5726" t="s">
        <v>14223</v>
      </c>
      <c r="C233" s="1234"/>
      <c r="D233" s="1234"/>
      <c r="E233" s="1234"/>
      <c r="F233" s="9"/>
      <c r="G233" s="1256"/>
      <c r="H233" s="1257"/>
      <c r="I233" s="1261"/>
      <c r="J233" s="1261"/>
      <c r="L233" s="5946"/>
      <c r="M233" s="1244"/>
      <c r="N233" s="54"/>
      <c r="O233" s="1247"/>
      <c r="P233" s="1247"/>
      <c r="Q233" s="176"/>
      <c r="R233" s="5937"/>
      <c r="S233" s="1240"/>
      <c r="T233" s="1239"/>
      <c r="U233" s="1239"/>
      <c r="W233" s="5937">
        <f t="shared" si="39"/>
        <v>8</v>
      </c>
      <c r="X233" s="1259" t="s">
        <v>6483</v>
      </c>
      <c r="Y233" s="1260" t="s">
        <v>6484</v>
      </c>
      <c r="Z233" s="1263" t="s">
        <v>6485</v>
      </c>
      <c r="AA233" s="1260" t="s">
        <v>6486</v>
      </c>
      <c r="AB233" s="1260" t="s">
        <v>6487</v>
      </c>
      <c r="AC233" s="1260" t="s">
        <v>6488</v>
      </c>
      <c r="AD233" s="1259" t="s">
        <v>6483</v>
      </c>
      <c r="AF233" s="3">
        <v>1</v>
      </c>
    </row>
    <row r="234" spans="2:32" ht="30" customHeight="1">
      <c r="B234" s="5726" t="s">
        <v>14226</v>
      </c>
      <c r="C234" s="1234"/>
      <c r="D234" s="1234"/>
      <c r="E234" s="1234"/>
      <c r="F234" s="9"/>
      <c r="G234" s="1256"/>
      <c r="H234" s="1257"/>
      <c r="I234" s="1261"/>
      <c r="J234" s="1261"/>
      <c r="L234" s="5946"/>
      <c r="M234" s="1244"/>
      <c r="N234" s="54"/>
      <c r="O234" s="1247"/>
      <c r="P234" s="1247"/>
      <c r="Q234" s="176"/>
      <c r="R234" s="5937"/>
      <c r="S234" s="1240"/>
      <c r="T234" s="1239"/>
      <c r="U234" s="1239"/>
      <c r="W234" s="5937">
        <f t="shared" si="39"/>
        <v>9</v>
      </c>
      <c r="X234" s="1259" t="s">
        <v>4490</v>
      </c>
      <c r="Y234" s="1260" t="s">
        <v>6489</v>
      </c>
      <c r="Z234" s="1263" t="s">
        <v>6490</v>
      </c>
      <c r="AA234" s="1260" t="s">
        <v>6491</v>
      </c>
      <c r="AB234" s="1260" t="s">
        <v>6492</v>
      </c>
      <c r="AC234" s="1260" t="s">
        <v>6493</v>
      </c>
      <c r="AD234" s="1259" t="s">
        <v>4490</v>
      </c>
      <c r="AF234" s="3">
        <v>1</v>
      </c>
    </row>
    <row r="235" spans="2:32" ht="30" customHeight="1">
      <c r="B235" s="5726" t="s">
        <v>14229</v>
      </c>
      <c r="C235" s="1234"/>
      <c r="D235" s="1234"/>
      <c r="E235" s="1234"/>
      <c r="F235" s="9"/>
      <c r="G235" s="1256"/>
      <c r="H235" s="1257"/>
      <c r="I235" s="1261"/>
      <c r="J235" s="1261"/>
      <c r="L235" s="5946"/>
      <c r="M235" s="1244"/>
      <c r="N235" s="54"/>
      <c r="O235" s="1247"/>
      <c r="P235" s="1247"/>
      <c r="Q235" s="176"/>
      <c r="R235" s="5937"/>
      <c r="S235" s="1240"/>
      <c r="T235" s="1239"/>
      <c r="U235" s="1239"/>
      <c r="W235" s="5937">
        <f t="shared" si="39"/>
        <v>10</v>
      </c>
      <c r="X235" s="1259" t="s">
        <v>6494</v>
      </c>
      <c r="Y235" s="1260" t="s">
        <v>6495</v>
      </c>
      <c r="Z235" s="1263" t="s">
        <v>6496</v>
      </c>
      <c r="AA235" s="1260" t="s">
        <v>6497</v>
      </c>
      <c r="AB235" s="1260" t="s">
        <v>6498</v>
      </c>
      <c r="AC235" s="1260" t="s">
        <v>6499</v>
      </c>
      <c r="AD235" s="1259" t="s">
        <v>6494</v>
      </c>
      <c r="AF235" s="3">
        <v>1</v>
      </c>
    </row>
    <row r="236" spans="2:32" ht="30" customHeight="1">
      <c r="B236" s="5726"/>
      <c r="C236" s="1234"/>
      <c r="D236" s="1234"/>
      <c r="E236" s="1234"/>
      <c r="F236" s="9"/>
      <c r="G236" s="1256"/>
      <c r="H236" s="1257"/>
      <c r="I236" s="1261"/>
      <c r="J236" s="1261"/>
      <c r="L236" s="5946"/>
      <c r="M236" s="1244"/>
      <c r="N236" s="54"/>
      <c r="O236" s="1247"/>
      <c r="P236" s="1247"/>
      <c r="Q236" s="176"/>
      <c r="R236" s="5937"/>
      <c r="S236" s="1240"/>
      <c r="T236" s="1239"/>
      <c r="U236" s="1239"/>
      <c r="W236" s="5904"/>
      <c r="X236" s="5952" t="s">
        <v>4015</v>
      </c>
      <c r="Y236" s="1238"/>
      <c r="Z236" s="1238"/>
      <c r="AA236" s="1238"/>
      <c r="AB236" s="1255"/>
      <c r="AC236" s="5952" t="s">
        <v>4015</v>
      </c>
      <c r="AD236" s="5952" t="s">
        <v>4015</v>
      </c>
      <c r="AF236" s="3">
        <v>1</v>
      </c>
    </row>
    <row r="237" spans="2:32" ht="30" customHeight="1">
      <c r="B237" s="5726" t="s">
        <v>14232</v>
      </c>
      <c r="C237" s="1234"/>
      <c r="D237" s="1234"/>
      <c r="E237" s="1234"/>
      <c r="F237" s="9"/>
      <c r="G237" s="1256"/>
      <c r="H237" s="1257"/>
      <c r="I237" s="1261"/>
      <c r="J237" s="1261"/>
      <c r="L237" s="5946"/>
      <c r="M237" s="1244"/>
      <c r="N237" s="54"/>
      <c r="O237" s="1247"/>
      <c r="P237" s="1247"/>
      <c r="Q237" s="176"/>
      <c r="R237" s="5937"/>
      <c r="S237" s="1240"/>
      <c r="T237" s="1239"/>
      <c r="U237" s="1239"/>
      <c r="W237" s="5937">
        <v>1</v>
      </c>
      <c r="X237" s="1259" t="s">
        <v>6500</v>
      </c>
      <c r="Y237" s="1260" t="s">
        <v>6501</v>
      </c>
      <c r="Z237" s="1263" t="s">
        <v>6502</v>
      </c>
      <c r="AA237" s="1260" t="s">
        <v>6503</v>
      </c>
      <c r="AB237" s="1260" t="s">
        <v>6504</v>
      </c>
      <c r="AC237" s="1260" t="s">
        <v>6505</v>
      </c>
      <c r="AD237" s="1259" t="s">
        <v>6500</v>
      </c>
      <c r="AF237" s="3">
        <v>1</v>
      </c>
    </row>
    <row r="238" spans="2:32" ht="30" customHeight="1">
      <c r="B238" s="5726" t="s">
        <v>14235</v>
      </c>
      <c r="C238" s="1234"/>
      <c r="D238" s="1234"/>
      <c r="E238" s="1234"/>
      <c r="F238" s="9"/>
      <c r="G238" s="1256"/>
      <c r="H238" s="1257"/>
      <c r="I238" s="1261"/>
      <c r="J238" s="1261"/>
      <c r="L238" s="5946"/>
      <c r="M238" s="1244"/>
      <c r="N238" s="54"/>
      <c r="O238" s="1247"/>
      <c r="P238" s="1247"/>
      <c r="Q238" s="176"/>
      <c r="R238" s="5937"/>
      <c r="S238" s="1240"/>
      <c r="T238" s="1239"/>
      <c r="U238" s="1239"/>
      <c r="W238" s="5937">
        <f>W237+1</f>
        <v>2</v>
      </c>
      <c r="X238" s="1259" t="s">
        <v>6506</v>
      </c>
      <c r="Y238" s="1260" t="s">
        <v>6507</v>
      </c>
      <c r="Z238" s="1263" t="s">
        <v>6508</v>
      </c>
      <c r="AA238" s="1260" t="s">
        <v>6509</v>
      </c>
      <c r="AB238" s="1260" t="s">
        <v>6510</v>
      </c>
      <c r="AC238" s="1260" t="s">
        <v>6511</v>
      </c>
      <c r="AD238" s="1259" t="s">
        <v>6506</v>
      </c>
      <c r="AF238" s="3">
        <v>1</v>
      </c>
    </row>
    <row r="239" spans="2:32" ht="30" customHeight="1">
      <c r="B239" s="1256"/>
      <c r="C239" s="1234"/>
      <c r="D239" s="1234"/>
      <c r="E239" s="1234"/>
      <c r="F239" s="9"/>
      <c r="G239" s="1256"/>
      <c r="H239" s="1257"/>
      <c r="I239" s="1261"/>
      <c r="J239" s="1261"/>
      <c r="L239" s="5946"/>
      <c r="M239" s="1244"/>
      <c r="N239" s="54"/>
      <c r="O239" s="1247"/>
      <c r="P239" s="1247"/>
      <c r="Q239" s="176"/>
      <c r="R239" s="5937"/>
      <c r="S239" s="1240"/>
      <c r="T239" s="1239"/>
      <c r="U239" s="1239"/>
      <c r="W239" s="5937">
        <f>W238+1</f>
        <v>3</v>
      </c>
      <c r="X239" s="1259" t="s">
        <v>6512</v>
      </c>
      <c r="Y239" s="1260" t="s">
        <v>6513</v>
      </c>
      <c r="Z239" s="1263" t="s">
        <v>6514</v>
      </c>
      <c r="AA239" s="1260" t="s">
        <v>6515</v>
      </c>
      <c r="AB239" s="1260" t="s">
        <v>6516</v>
      </c>
      <c r="AC239" s="1260" t="s">
        <v>6517</v>
      </c>
      <c r="AD239" s="1259" t="s">
        <v>6512</v>
      </c>
      <c r="AF239" s="3">
        <v>1</v>
      </c>
    </row>
    <row r="240" spans="2:32" ht="30" customHeight="1">
      <c r="B240" s="1256"/>
      <c r="C240" s="1234"/>
      <c r="D240" s="1234"/>
      <c r="E240" s="1234"/>
      <c r="F240" s="9"/>
      <c r="G240" s="1256"/>
      <c r="H240" s="1257"/>
      <c r="I240" s="1261"/>
      <c r="J240" s="1261"/>
      <c r="L240" s="5946"/>
      <c r="M240" s="1244"/>
      <c r="N240" s="54"/>
      <c r="O240" s="1247"/>
      <c r="P240" s="1247"/>
      <c r="Q240" s="176"/>
      <c r="R240" s="5937"/>
      <c r="S240" s="1240"/>
      <c r="T240" s="1239"/>
      <c r="U240" s="1239"/>
      <c r="W240" s="5937">
        <f>W239+1</f>
        <v>4</v>
      </c>
      <c r="X240" s="1259" t="s">
        <v>6518</v>
      </c>
      <c r="Y240" s="1260" t="s">
        <v>6519</v>
      </c>
      <c r="Z240" s="1263" t="s">
        <v>6520</v>
      </c>
      <c r="AA240" s="1260" t="s">
        <v>6521</v>
      </c>
      <c r="AB240" s="1260" t="s">
        <v>6522</v>
      </c>
      <c r="AC240" s="1260" t="s">
        <v>6523</v>
      </c>
      <c r="AD240" s="1259" t="s">
        <v>6518</v>
      </c>
      <c r="AF240" s="3">
        <v>1</v>
      </c>
    </row>
    <row r="241" spans="2:32" ht="30" customHeight="1">
      <c r="B241" s="5726" t="s">
        <v>14224</v>
      </c>
      <c r="C241" s="1234"/>
      <c r="D241" s="1234"/>
      <c r="E241" s="1234"/>
      <c r="F241" s="9"/>
      <c r="G241" s="1256"/>
      <c r="H241" s="1257"/>
      <c r="I241" s="1261"/>
      <c r="J241" s="1261"/>
      <c r="L241" s="5946"/>
      <c r="M241" s="1244"/>
      <c r="N241" s="54"/>
      <c r="O241" s="1247"/>
      <c r="P241" s="1247"/>
      <c r="Q241" s="176"/>
      <c r="R241" s="5937"/>
      <c r="S241" s="1240"/>
      <c r="T241" s="1239"/>
      <c r="U241" s="1239"/>
      <c r="W241" s="5980"/>
      <c r="X241" s="1289"/>
      <c r="Y241" s="1289"/>
      <c r="Z241" s="1289"/>
      <c r="AA241" s="1289"/>
      <c r="AB241" s="1289"/>
      <c r="AC241" s="1289"/>
      <c r="AD241" s="1289"/>
      <c r="AF241" s="3">
        <v>1</v>
      </c>
    </row>
    <row r="242" spans="2:32" ht="30" customHeight="1">
      <c r="B242" s="5726" t="s">
        <v>14227</v>
      </c>
      <c r="C242" s="1234"/>
      <c r="D242" s="1234"/>
      <c r="E242" s="1234"/>
      <c r="F242" s="9"/>
      <c r="G242" s="1256"/>
      <c r="H242" s="1257"/>
      <c r="I242" s="1261"/>
      <c r="J242" s="1261"/>
      <c r="L242" s="5946"/>
      <c r="M242" s="1244"/>
      <c r="N242" s="54"/>
      <c r="O242" s="1247"/>
      <c r="P242" s="1247"/>
      <c r="Q242" s="176"/>
      <c r="R242" s="5937"/>
      <c r="S242" s="1240"/>
      <c r="T242" s="1239"/>
      <c r="U242" s="1239"/>
      <c r="W242" s="5904"/>
      <c r="X242" s="5952" t="s">
        <v>5270</v>
      </c>
      <c r="Y242" s="1238"/>
      <c r="Z242" s="1238"/>
      <c r="AA242" s="1238"/>
      <c r="AB242" s="1255"/>
      <c r="AC242" s="1255"/>
      <c r="AD242" s="5952" t="s">
        <v>5270</v>
      </c>
      <c r="AF242" s="3">
        <v>1</v>
      </c>
    </row>
    <row r="243" spans="2:32" ht="30" customHeight="1">
      <c r="B243" s="5726" t="s">
        <v>14230</v>
      </c>
      <c r="C243" s="1234"/>
      <c r="D243" s="1234"/>
      <c r="E243" s="1234"/>
      <c r="F243" s="9"/>
      <c r="G243" s="1256"/>
      <c r="H243" s="1257"/>
      <c r="I243" s="1261"/>
      <c r="J243" s="1261"/>
      <c r="L243" s="5946"/>
      <c r="M243" s="1244"/>
      <c r="N243" s="54"/>
      <c r="O243" s="1247"/>
      <c r="P243" s="1247"/>
      <c r="Q243" s="176"/>
      <c r="R243" s="5937"/>
      <c r="S243" s="1240"/>
      <c r="T243" s="1239"/>
      <c r="U243" s="1239"/>
      <c r="W243" s="5937">
        <v>1</v>
      </c>
      <c r="X243" s="1259" t="s">
        <v>6524</v>
      </c>
      <c r="Y243" s="1260" t="s">
        <v>6525</v>
      </c>
      <c r="Z243" s="1263" t="s">
        <v>6526</v>
      </c>
      <c r="AA243" s="1260" t="s">
        <v>6527</v>
      </c>
      <c r="AB243" s="1260" t="s">
        <v>6528</v>
      </c>
      <c r="AC243" s="1260" t="s">
        <v>6529</v>
      </c>
      <c r="AD243" s="1259" t="s">
        <v>6524</v>
      </c>
      <c r="AF243" s="3">
        <v>1</v>
      </c>
    </row>
    <row r="244" spans="2:32" ht="30" customHeight="1">
      <c r="B244" s="5726"/>
      <c r="C244" s="1234"/>
      <c r="D244" s="1234"/>
      <c r="E244" s="1234"/>
      <c r="F244" s="9"/>
      <c r="G244" s="1256"/>
      <c r="H244" s="1257"/>
      <c r="I244" s="1261"/>
      <c r="J244" s="1261"/>
      <c r="L244" s="5946"/>
      <c r="M244" s="1244"/>
      <c r="N244" s="54"/>
      <c r="O244" s="1247"/>
      <c r="P244" s="1247"/>
      <c r="Q244" s="176"/>
      <c r="R244" s="5937"/>
      <c r="S244" s="1240"/>
      <c r="T244" s="1239"/>
      <c r="U244" s="1239"/>
      <c r="W244" s="5937">
        <f>W243+1</f>
        <v>2</v>
      </c>
      <c r="X244" s="1259" t="s">
        <v>6530</v>
      </c>
      <c r="Y244" s="1260" t="s">
        <v>6531</v>
      </c>
      <c r="Z244" s="1263" t="s">
        <v>6532</v>
      </c>
      <c r="AA244" s="1260" t="s">
        <v>6533</v>
      </c>
      <c r="AB244" s="1260" t="s">
        <v>6534</v>
      </c>
      <c r="AC244" s="1260" t="s">
        <v>6535</v>
      </c>
      <c r="AD244" s="1259" t="s">
        <v>6530</v>
      </c>
      <c r="AF244" s="3">
        <v>1</v>
      </c>
    </row>
    <row r="245" spans="2:32" ht="30" customHeight="1">
      <c r="B245" s="5726" t="s">
        <v>14233</v>
      </c>
      <c r="C245" s="1234"/>
      <c r="D245" s="1234"/>
      <c r="E245" s="1234"/>
      <c r="F245" s="9"/>
      <c r="G245" s="1256"/>
      <c r="H245" s="1257"/>
      <c r="I245" s="1261"/>
      <c r="J245" s="1261"/>
      <c r="L245" s="5946"/>
      <c r="M245" s="1244"/>
      <c r="N245" s="54"/>
      <c r="O245" s="1247"/>
      <c r="P245" s="1247"/>
      <c r="Q245" s="176"/>
      <c r="R245" s="5937"/>
      <c r="S245" s="1240"/>
      <c r="T245" s="1239"/>
      <c r="U245" s="1239"/>
      <c r="W245" s="5937">
        <f t="shared" ref="W245:W249" si="40">W244+1</f>
        <v>3</v>
      </c>
      <c r="X245" s="1259" t="s">
        <v>6536</v>
      </c>
      <c r="Y245" s="1239" t="s">
        <v>6537</v>
      </c>
      <c r="Z245" s="1239" t="s">
        <v>6538</v>
      </c>
      <c r="AA245" s="1260" t="s">
        <v>6539</v>
      </c>
      <c r="AB245" s="1260" t="s">
        <v>6540</v>
      </c>
      <c r="AC245" s="1260" t="s">
        <v>6541</v>
      </c>
      <c r="AD245" s="1259" t="s">
        <v>6536</v>
      </c>
      <c r="AF245" s="3">
        <v>1</v>
      </c>
    </row>
    <row r="246" spans="2:32" ht="30" customHeight="1">
      <c r="B246" s="5726" t="s">
        <v>14236</v>
      </c>
      <c r="C246" s="1234"/>
      <c r="D246" s="1234"/>
      <c r="E246" s="1234"/>
      <c r="F246" s="9"/>
      <c r="G246" s="1256"/>
      <c r="H246" s="1257"/>
      <c r="I246" s="1261"/>
      <c r="J246" s="1261"/>
      <c r="L246" s="5946"/>
      <c r="M246" s="1244"/>
      <c r="N246" s="54"/>
      <c r="O246" s="1247"/>
      <c r="P246" s="1247"/>
      <c r="Q246" s="176"/>
      <c r="R246" s="5937"/>
      <c r="S246" s="1240"/>
      <c r="T246" s="1239"/>
      <c r="U246" s="1239"/>
      <c r="W246" s="5937">
        <f t="shared" si="40"/>
        <v>4</v>
      </c>
      <c r="X246" s="1259" t="s">
        <v>6542</v>
      </c>
      <c r="Y246" s="1263" t="s">
        <v>6543</v>
      </c>
      <c r="Z246" s="1263" t="s">
        <v>6544</v>
      </c>
      <c r="AA246" s="1260" t="s">
        <v>6545</v>
      </c>
      <c r="AB246" s="1260" t="s">
        <v>6546</v>
      </c>
      <c r="AC246" s="1260" t="s">
        <v>6547</v>
      </c>
      <c r="AD246" s="1259" t="s">
        <v>6542</v>
      </c>
      <c r="AF246" s="3">
        <v>1</v>
      </c>
    </row>
    <row r="247" spans="2:32" ht="30" customHeight="1">
      <c r="B247" s="1256"/>
      <c r="C247" s="1234"/>
      <c r="D247" s="1234"/>
      <c r="E247" s="1234"/>
      <c r="F247" s="9"/>
      <c r="G247" s="1256"/>
      <c r="H247" s="1257"/>
      <c r="I247" s="1261"/>
      <c r="J247" s="1261"/>
      <c r="L247" s="5946"/>
      <c r="M247" s="1244"/>
      <c r="N247" s="54"/>
      <c r="O247" s="1247"/>
      <c r="P247" s="1247"/>
      <c r="Q247" s="176"/>
      <c r="R247" s="5937"/>
      <c r="S247" s="1240"/>
      <c r="T247" s="1239"/>
      <c r="U247" s="1239"/>
      <c r="W247" s="5937">
        <f t="shared" si="40"/>
        <v>5</v>
      </c>
      <c r="X247" s="1259" t="s">
        <v>6548</v>
      </c>
      <c r="Y247" s="1260" t="s">
        <v>6549</v>
      </c>
      <c r="Z247" s="1263" t="s">
        <v>6550</v>
      </c>
      <c r="AA247" s="1260" t="s">
        <v>6551</v>
      </c>
      <c r="AB247" s="1260" t="s">
        <v>6552</v>
      </c>
      <c r="AC247" s="1260" t="s">
        <v>6553</v>
      </c>
      <c r="AD247" s="1259" t="s">
        <v>6548</v>
      </c>
      <c r="AF247" s="3">
        <v>1</v>
      </c>
    </row>
    <row r="248" spans="2:32" ht="30" customHeight="1">
      <c r="B248" s="1256"/>
      <c r="C248" s="1234"/>
      <c r="D248" s="1234"/>
      <c r="E248" s="1234"/>
      <c r="F248" s="9"/>
      <c r="G248" s="1256"/>
      <c r="H248" s="1257"/>
      <c r="I248" s="1261"/>
      <c r="J248" s="1261"/>
      <c r="L248" s="5946"/>
      <c r="M248" s="1244"/>
      <c r="N248" s="54"/>
      <c r="O248" s="1247"/>
      <c r="P248" s="1247"/>
      <c r="Q248" s="176"/>
      <c r="R248" s="5937"/>
      <c r="S248" s="1240"/>
      <c r="T248" s="1239"/>
      <c r="U248" s="1239"/>
      <c r="W248" s="5937">
        <f t="shared" si="40"/>
        <v>6</v>
      </c>
      <c r="X248" s="1259" t="s">
        <v>6554</v>
      </c>
      <c r="Y248" s="1260" t="s">
        <v>6555</v>
      </c>
      <c r="Z248" s="1263" t="s">
        <v>6556</v>
      </c>
      <c r="AA248" s="1260" t="s">
        <v>6557</v>
      </c>
      <c r="AB248" s="1260" t="s">
        <v>6558</v>
      </c>
      <c r="AC248" s="1260" t="s">
        <v>6559</v>
      </c>
      <c r="AD248" s="1259" t="s">
        <v>6554</v>
      </c>
      <c r="AF248" s="3">
        <v>1</v>
      </c>
    </row>
    <row r="249" spans="2:32" ht="30" customHeight="1">
      <c r="B249" s="5726" t="s">
        <v>14225</v>
      </c>
      <c r="C249" s="1234"/>
      <c r="D249" s="1234"/>
      <c r="E249" s="1234"/>
      <c r="F249" s="9"/>
      <c r="G249" s="1256"/>
      <c r="H249" s="1257"/>
      <c r="I249" s="1261"/>
      <c r="J249" s="1261"/>
      <c r="L249" s="5946"/>
      <c r="M249" s="1244"/>
      <c r="N249" s="54"/>
      <c r="O249" s="1247"/>
      <c r="P249" s="1247"/>
      <c r="Q249" s="176"/>
      <c r="R249" s="5937"/>
      <c r="S249" s="1240"/>
      <c r="T249" s="1239"/>
      <c r="U249" s="1239"/>
      <c r="W249" s="5937">
        <f t="shared" si="40"/>
        <v>7</v>
      </c>
      <c r="X249" s="1259" t="s">
        <v>6560</v>
      </c>
      <c r="Y249" s="1263" t="s">
        <v>6561</v>
      </c>
      <c r="Z249" s="1263" t="s">
        <v>6562</v>
      </c>
      <c r="AA249" s="1260" t="s">
        <v>6563</v>
      </c>
      <c r="AB249" s="1260" t="s">
        <v>6564</v>
      </c>
      <c r="AC249" s="1260" t="s">
        <v>6565</v>
      </c>
      <c r="AD249" s="1259" t="s">
        <v>6560</v>
      </c>
      <c r="AF249" s="3">
        <v>1</v>
      </c>
    </row>
    <row r="250" spans="2:32" ht="30" customHeight="1">
      <c r="B250" s="5726" t="s">
        <v>14228</v>
      </c>
      <c r="C250" s="1234"/>
      <c r="D250" s="1234"/>
      <c r="E250" s="1234"/>
      <c r="F250" s="9"/>
      <c r="G250" s="1256"/>
      <c r="H250" s="1257"/>
      <c r="I250" s="1261"/>
      <c r="J250" s="1261"/>
      <c r="L250" s="5946"/>
      <c r="M250" s="1244"/>
      <c r="N250" s="54"/>
      <c r="O250" s="1247"/>
      <c r="P250" s="1247"/>
      <c r="Q250" s="176"/>
      <c r="R250" s="5937"/>
      <c r="S250" s="1240"/>
      <c r="T250" s="1239"/>
      <c r="U250" s="1239"/>
      <c r="W250" s="5904"/>
      <c r="X250" s="5952" t="s">
        <v>3084</v>
      </c>
      <c r="Y250" s="1238"/>
      <c r="Z250" s="1238"/>
      <c r="AA250" s="1238"/>
      <c r="AB250" s="1255"/>
      <c r="AC250" s="1255"/>
      <c r="AD250" s="5952" t="s">
        <v>3084</v>
      </c>
      <c r="AF250" s="3">
        <v>1</v>
      </c>
    </row>
    <row r="251" spans="2:32" ht="30" customHeight="1">
      <c r="B251" s="5726" t="s">
        <v>14231</v>
      </c>
      <c r="C251" s="1234"/>
      <c r="D251" s="1234"/>
      <c r="E251" s="1234"/>
      <c r="F251" s="9"/>
      <c r="G251" s="1256"/>
      <c r="H251" s="1257"/>
      <c r="I251" s="1261"/>
      <c r="J251" s="1261"/>
      <c r="L251" s="5946"/>
      <c r="M251" s="1244"/>
      <c r="N251" s="54"/>
      <c r="O251" s="1247"/>
      <c r="P251" s="1247"/>
      <c r="Q251" s="176"/>
      <c r="R251" s="5937"/>
      <c r="S251" s="1240"/>
      <c r="T251" s="1239"/>
      <c r="U251" s="1239"/>
      <c r="W251" s="5937">
        <v>1</v>
      </c>
      <c r="X251" s="1259" t="s">
        <v>6566</v>
      </c>
      <c r="Y251" s="1260" t="s">
        <v>6567</v>
      </c>
      <c r="Z251" s="1263" t="s">
        <v>6568</v>
      </c>
      <c r="AA251" s="1260" t="s">
        <v>6569</v>
      </c>
      <c r="AB251" s="1260" t="s">
        <v>6570</v>
      </c>
      <c r="AC251" s="1260" t="s">
        <v>6571</v>
      </c>
      <c r="AD251" s="1259" t="s">
        <v>6566</v>
      </c>
      <c r="AF251" s="3">
        <v>1</v>
      </c>
    </row>
    <row r="252" spans="2:32" ht="30" customHeight="1">
      <c r="B252" s="5726"/>
      <c r="C252" s="1234"/>
      <c r="D252" s="1234"/>
      <c r="E252" s="1234"/>
      <c r="F252" s="9"/>
      <c r="G252" s="1256"/>
      <c r="H252" s="1257"/>
      <c r="I252" s="1261"/>
      <c r="J252" s="1261"/>
      <c r="L252" s="5946"/>
      <c r="M252" s="1244"/>
      <c r="N252" s="54"/>
      <c r="O252" s="1247"/>
      <c r="P252" s="1247"/>
      <c r="Q252" s="176"/>
      <c r="R252" s="5937"/>
      <c r="S252" s="1240"/>
      <c r="T252" s="1239"/>
      <c r="U252" s="1239"/>
      <c r="W252" s="5980"/>
      <c r="X252" s="1259"/>
      <c r="Y252" s="1260"/>
      <c r="Z252" s="1263"/>
      <c r="AA252" s="1260" t="s">
        <v>6572</v>
      </c>
      <c r="AB252" s="1260" t="s">
        <v>6573</v>
      </c>
      <c r="AC252" s="1260" t="s">
        <v>6574</v>
      </c>
      <c r="AD252" s="1259"/>
      <c r="AF252" s="3">
        <v>1</v>
      </c>
    </row>
    <row r="253" spans="2:32" ht="30" customHeight="1">
      <c r="B253" s="5726" t="s">
        <v>14234</v>
      </c>
      <c r="C253" s="1234"/>
      <c r="D253" s="1234"/>
      <c r="E253" s="1234"/>
      <c r="F253" s="9"/>
      <c r="G253" s="1256"/>
      <c r="H253" s="1257"/>
      <c r="I253" s="1261"/>
      <c r="J253" s="1261"/>
      <c r="L253" s="5946"/>
      <c r="M253" s="1244"/>
      <c r="N253" s="54"/>
      <c r="O253" s="1247"/>
      <c r="P253" s="1247"/>
      <c r="Q253" s="176"/>
      <c r="R253" s="5937"/>
      <c r="S253" s="1240"/>
      <c r="T253" s="1239"/>
      <c r="U253" s="1239"/>
      <c r="W253" s="627"/>
      <c r="X253" s="1259"/>
      <c r="Y253" s="1260"/>
      <c r="Z253" s="1263"/>
      <c r="AA253" s="1260" t="s">
        <v>6575</v>
      </c>
      <c r="AB253" s="1260" t="s">
        <v>6576</v>
      </c>
      <c r="AC253" s="1260" t="s">
        <v>6577</v>
      </c>
      <c r="AD253" s="1259"/>
      <c r="AF253" s="3">
        <v>1</v>
      </c>
    </row>
    <row r="254" spans="2:32" ht="30" customHeight="1">
      <c r="B254" s="5726" t="s">
        <v>14237</v>
      </c>
      <c r="C254" s="1234"/>
      <c r="D254" s="1234"/>
      <c r="E254" s="1234"/>
      <c r="F254" s="9"/>
      <c r="G254" s="1256"/>
      <c r="H254" s="1257"/>
      <c r="I254" s="1261"/>
      <c r="J254" s="1261"/>
      <c r="L254" s="5946"/>
      <c r="M254" s="1244"/>
      <c r="N254" s="54"/>
      <c r="O254" s="1247"/>
      <c r="P254" s="1247"/>
      <c r="Q254" s="176"/>
      <c r="R254" s="5937"/>
      <c r="S254" s="1240"/>
      <c r="T254" s="1239"/>
      <c r="U254" s="1239"/>
      <c r="W254" s="5904"/>
      <c r="X254" s="5952" t="s">
        <v>0</v>
      </c>
      <c r="Y254" s="1238"/>
      <c r="Z254" s="1238"/>
      <c r="AA254" s="1238"/>
      <c r="AB254" s="1255"/>
      <c r="AC254" s="5952" t="s">
        <v>0</v>
      </c>
      <c r="AD254" s="5952" t="s">
        <v>0</v>
      </c>
      <c r="AF254" s="3">
        <v>1</v>
      </c>
    </row>
    <row r="255" spans="2:32" ht="30" customHeight="1">
      <c r="B255" s="1256"/>
      <c r="C255" s="1234"/>
      <c r="D255" s="1234"/>
      <c r="E255" s="1234"/>
      <c r="F255" s="9"/>
      <c r="G255" s="1256"/>
      <c r="H255" s="1257"/>
      <c r="I255" s="1261"/>
      <c r="J255" s="1261"/>
      <c r="L255" s="5946"/>
      <c r="M255" s="1244"/>
      <c r="N255" s="54"/>
      <c r="O255" s="1247"/>
      <c r="P255" s="1247"/>
      <c r="Q255" s="176"/>
      <c r="R255" s="5937"/>
      <c r="S255" s="1240"/>
      <c r="T255" s="1239"/>
      <c r="U255" s="1239"/>
      <c r="W255" s="5937">
        <v>1</v>
      </c>
      <c r="X255" s="1259" t="s">
        <v>6578</v>
      </c>
      <c r="Y255" s="1260" t="s">
        <v>6579</v>
      </c>
      <c r="Z255" s="1263" t="s">
        <v>6580</v>
      </c>
      <c r="AA255" s="1260" t="s">
        <v>6581</v>
      </c>
      <c r="AB255" s="1260" t="s">
        <v>6582</v>
      </c>
      <c r="AC255" s="1260" t="s">
        <v>6583</v>
      </c>
      <c r="AD255" s="1259" t="s">
        <v>6578</v>
      </c>
      <c r="AF255" s="3">
        <v>1</v>
      </c>
    </row>
    <row r="256" spans="2:32" ht="30" customHeight="1">
      <c r="B256" s="1256"/>
      <c r="C256" s="1234"/>
      <c r="D256" s="1234"/>
      <c r="E256" s="1234"/>
      <c r="F256" s="9"/>
      <c r="G256" s="1256"/>
      <c r="H256" s="1257"/>
      <c r="I256" s="1261"/>
      <c r="J256" s="1261"/>
      <c r="L256" s="5946"/>
      <c r="M256" s="1244"/>
      <c r="N256" s="54"/>
      <c r="O256" s="1247"/>
      <c r="P256" s="1247"/>
      <c r="Q256" s="176"/>
      <c r="R256" s="5937"/>
      <c r="S256" s="1240"/>
      <c r="T256" s="1239"/>
      <c r="U256" s="1239"/>
      <c r="W256" s="5937">
        <f>W255+1</f>
        <v>2</v>
      </c>
      <c r="X256" s="1259" t="s">
        <v>6584</v>
      </c>
      <c r="Y256" s="1260" t="s">
        <v>6585</v>
      </c>
      <c r="Z256" s="1263" t="s">
        <v>6586</v>
      </c>
      <c r="AA256" s="1260" t="s">
        <v>6587</v>
      </c>
      <c r="AB256" s="1260" t="s">
        <v>6588</v>
      </c>
      <c r="AC256" s="1260" t="s">
        <v>6589</v>
      </c>
      <c r="AD256" s="1259" t="s">
        <v>6584</v>
      </c>
      <c r="AF256" s="3">
        <v>1</v>
      </c>
    </row>
    <row r="257" spans="2:32" ht="30" customHeight="1">
      <c r="B257" s="1256"/>
      <c r="C257" s="1234"/>
      <c r="D257" s="1234"/>
      <c r="E257" s="1234"/>
      <c r="F257" s="9"/>
      <c r="G257" s="1256"/>
      <c r="H257" s="1257"/>
      <c r="I257" s="1261"/>
      <c r="J257" s="1261"/>
      <c r="L257" s="5946"/>
      <c r="M257" s="1244"/>
      <c r="N257" s="54"/>
      <c r="O257" s="1247"/>
      <c r="P257" s="1247"/>
      <c r="Q257" s="176"/>
      <c r="R257" s="5937"/>
      <c r="S257" s="1240"/>
      <c r="T257" s="1239"/>
      <c r="U257" s="1239"/>
      <c r="W257" s="5937">
        <f t="shared" ref="W257:W264" si="41">W256+1</f>
        <v>3</v>
      </c>
      <c r="X257" s="1259" t="s">
        <v>6590</v>
      </c>
      <c r="Y257" s="1260" t="s">
        <v>6591</v>
      </c>
      <c r="Z257" s="1263" t="s">
        <v>6592</v>
      </c>
      <c r="AA257" s="1260" t="s">
        <v>6593</v>
      </c>
      <c r="AB257" s="1260" t="s">
        <v>6594</v>
      </c>
      <c r="AC257" s="1260" t="s">
        <v>6595</v>
      </c>
      <c r="AD257" s="1259" t="s">
        <v>6590</v>
      </c>
      <c r="AF257" s="3">
        <v>1</v>
      </c>
    </row>
    <row r="258" spans="2:32" ht="30" customHeight="1">
      <c r="B258" s="1256"/>
      <c r="C258" s="1234"/>
      <c r="D258" s="1234"/>
      <c r="E258" s="1234"/>
      <c r="F258" s="9"/>
      <c r="G258" s="1256"/>
      <c r="H258" s="1257"/>
      <c r="I258" s="1261"/>
      <c r="J258" s="1261"/>
      <c r="L258" s="5946"/>
      <c r="M258" s="1244"/>
      <c r="N258" s="54"/>
      <c r="O258" s="1247"/>
      <c r="P258" s="1247"/>
      <c r="Q258" s="176"/>
      <c r="R258" s="5937"/>
      <c r="S258" s="1240"/>
      <c r="T258" s="1239"/>
      <c r="U258" s="1239"/>
      <c r="W258" s="5937">
        <f t="shared" si="41"/>
        <v>4</v>
      </c>
      <c r="X258" s="1259" t="s">
        <v>6596</v>
      </c>
      <c r="Y258" s="1260" t="s">
        <v>6597</v>
      </c>
      <c r="Z258" s="1260" t="s">
        <v>6598</v>
      </c>
      <c r="AA258" s="1260" t="s">
        <v>6599</v>
      </c>
      <c r="AB258" s="1260" t="s">
        <v>6600</v>
      </c>
      <c r="AC258" s="1260" t="s">
        <v>6601</v>
      </c>
      <c r="AD258" s="1259" t="s">
        <v>6596</v>
      </c>
      <c r="AF258" s="3">
        <v>1</v>
      </c>
    </row>
    <row r="259" spans="2:32" ht="30" customHeight="1">
      <c r="B259" s="1256"/>
      <c r="C259" s="1234"/>
      <c r="D259" s="1234"/>
      <c r="E259" s="1234"/>
      <c r="F259" s="9"/>
      <c r="G259" s="1256"/>
      <c r="H259" s="1257"/>
      <c r="I259" s="1261"/>
      <c r="J259" s="1261"/>
      <c r="L259" s="5946"/>
      <c r="M259" s="1244"/>
      <c r="N259" s="54"/>
      <c r="O259" s="1247"/>
      <c r="P259" s="1247"/>
      <c r="Q259" s="176"/>
      <c r="R259" s="5937"/>
      <c r="S259" s="1240"/>
      <c r="T259" s="1239"/>
      <c r="U259" s="1239"/>
      <c r="W259" s="5937">
        <f t="shared" si="41"/>
        <v>5</v>
      </c>
      <c r="X259" s="1259" t="s">
        <v>6602</v>
      </c>
      <c r="Y259" s="1239" t="s">
        <v>6603</v>
      </c>
      <c r="Z259" s="1239" t="s">
        <v>6604</v>
      </c>
      <c r="AA259" s="1260" t="s">
        <v>6605</v>
      </c>
      <c r="AB259" s="1260" t="s">
        <v>6606</v>
      </c>
      <c r="AC259" s="1260" t="s">
        <v>6607</v>
      </c>
      <c r="AD259" s="1259" t="s">
        <v>6602</v>
      </c>
      <c r="AF259" s="3">
        <v>1</v>
      </c>
    </row>
    <row r="260" spans="2:32" ht="30" customHeight="1">
      <c r="B260" s="1256"/>
      <c r="C260" s="1234"/>
      <c r="D260" s="1234"/>
      <c r="E260" s="1234"/>
      <c r="F260" s="9"/>
      <c r="G260" s="1256"/>
      <c r="H260" s="1257"/>
      <c r="I260" s="1261"/>
      <c r="J260" s="1261"/>
      <c r="L260" s="5946"/>
      <c r="M260" s="1244"/>
      <c r="N260" s="54"/>
      <c r="O260" s="1247"/>
      <c r="P260" s="1247"/>
      <c r="Q260" s="176"/>
      <c r="R260" s="5937"/>
      <c r="S260" s="1240"/>
      <c r="T260" s="1239"/>
      <c r="U260" s="1239"/>
      <c r="W260" s="5937">
        <f t="shared" si="41"/>
        <v>6</v>
      </c>
      <c r="X260" s="1259" t="s">
        <v>6608</v>
      </c>
      <c r="Y260" s="1260" t="s">
        <v>6609</v>
      </c>
      <c r="Z260" s="1263" t="s">
        <v>6610</v>
      </c>
      <c r="AA260" s="1260" t="s">
        <v>6611</v>
      </c>
      <c r="AB260" s="1260" t="s">
        <v>6612</v>
      </c>
      <c r="AC260" s="1260" t="s">
        <v>6613</v>
      </c>
      <c r="AD260" s="1259" t="s">
        <v>6608</v>
      </c>
      <c r="AF260" s="3">
        <v>1</v>
      </c>
    </row>
    <row r="261" spans="2:32" ht="30" customHeight="1">
      <c r="B261" s="1256"/>
      <c r="C261" s="1234"/>
      <c r="D261" s="1234"/>
      <c r="E261" s="1234"/>
      <c r="F261" s="9"/>
      <c r="G261" s="1256"/>
      <c r="H261" s="1257"/>
      <c r="I261" s="1261"/>
      <c r="J261" s="1261"/>
      <c r="L261" s="5946"/>
      <c r="M261" s="1244"/>
      <c r="N261" s="54"/>
      <c r="O261" s="1247"/>
      <c r="P261" s="1247"/>
      <c r="Q261" s="176"/>
      <c r="R261" s="5937"/>
      <c r="S261" s="1240"/>
      <c r="T261" s="1239"/>
      <c r="U261" s="1239"/>
      <c r="W261" s="5937">
        <f t="shared" si="41"/>
        <v>7</v>
      </c>
      <c r="X261" s="1259" t="s">
        <v>6614</v>
      </c>
      <c r="Y261" s="1260" t="s">
        <v>6615</v>
      </c>
      <c r="Z261" s="1263" t="s">
        <v>6616</v>
      </c>
      <c r="AA261" s="1260" t="s">
        <v>6617</v>
      </c>
      <c r="AB261" s="1260" t="s">
        <v>6618</v>
      </c>
      <c r="AC261" s="1260" t="s">
        <v>6619</v>
      </c>
      <c r="AD261" s="1259" t="s">
        <v>6614</v>
      </c>
      <c r="AF261" s="3">
        <v>1</v>
      </c>
    </row>
    <row r="262" spans="2:32" ht="30" customHeight="1">
      <c r="B262" s="1256"/>
      <c r="C262" s="1234"/>
      <c r="D262" s="1234"/>
      <c r="E262" s="1234"/>
      <c r="F262" s="9"/>
      <c r="G262" s="1256"/>
      <c r="H262" s="1257"/>
      <c r="I262" s="1261"/>
      <c r="J262" s="1261"/>
      <c r="L262" s="5946"/>
      <c r="M262" s="1244"/>
      <c r="N262" s="54"/>
      <c r="O262" s="1247"/>
      <c r="P262" s="1247"/>
      <c r="Q262" s="176"/>
      <c r="R262" s="5937"/>
      <c r="S262" s="1240"/>
      <c r="T262" s="1239"/>
      <c r="U262" s="1239"/>
      <c r="W262" s="5937">
        <f t="shared" si="41"/>
        <v>8</v>
      </c>
      <c r="X262" s="1259" t="s">
        <v>6620</v>
      </c>
      <c r="Y262" s="1260" t="s">
        <v>6621</v>
      </c>
      <c r="Z262" s="1263" t="s">
        <v>6622</v>
      </c>
      <c r="AA262" s="1260" t="s">
        <v>6623</v>
      </c>
      <c r="AB262" s="1260" t="s">
        <v>6624</v>
      </c>
      <c r="AC262" s="1260" t="s">
        <v>6625</v>
      </c>
      <c r="AD262" s="1259" t="s">
        <v>6620</v>
      </c>
      <c r="AF262" s="3">
        <v>1</v>
      </c>
    </row>
    <row r="263" spans="2:32" ht="30" customHeight="1">
      <c r="B263" s="1256"/>
      <c r="C263" s="1234"/>
      <c r="D263" s="1234"/>
      <c r="E263" s="1234"/>
      <c r="F263" s="9"/>
      <c r="G263" s="1256"/>
      <c r="H263" s="1257"/>
      <c r="I263" s="1261"/>
      <c r="J263" s="1261"/>
      <c r="L263" s="5946"/>
      <c r="M263" s="1244"/>
      <c r="N263" s="54"/>
      <c r="O263" s="1247"/>
      <c r="P263" s="1247"/>
      <c r="Q263" s="176"/>
      <c r="R263" s="5937"/>
      <c r="S263" s="1240"/>
      <c r="T263" s="1239"/>
      <c r="U263" s="1239"/>
      <c r="W263" s="5937">
        <f t="shared" si="41"/>
        <v>9</v>
      </c>
      <c r="X263" s="1259" t="s">
        <v>6626</v>
      </c>
      <c r="Y263" s="1260" t="s">
        <v>6627</v>
      </c>
      <c r="Z263" s="1263" t="s">
        <v>6628</v>
      </c>
      <c r="AA263" s="1260" t="s">
        <v>6629</v>
      </c>
      <c r="AB263" s="1260" t="s">
        <v>6630</v>
      </c>
      <c r="AC263" s="1260" t="s">
        <v>6631</v>
      </c>
      <c r="AD263" s="1259" t="s">
        <v>6626</v>
      </c>
      <c r="AF263" s="3">
        <v>1</v>
      </c>
    </row>
    <row r="264" spans="2:32" ht="30" customHeight="1">
      <c r="B264" s="1256"/>
      <c r="C264" s="1234"/>
      <c r="D264" s="1234"/>
      <c r="E264" s="1234"/>
      <c r="F264" s="9"/>
      <c r="G264" s="1256"/>
      <c r="H264" s="1257"/>
      <c r="I264" s="1261"/>
      <c r="J264" s="1261"/>
      <c r="L264" s="5946"/>
      <c r="M264" s="1244"/>
      <c r="N264" s="54"/>
      <c r="O264" s="1247"/>
      <c r="P264" s="1247"/>
      <c r="Q264" s="176"/>
      <c r="R264" s="5937"/>
      <c r="S264" s="1240"/>
      <c r="T264" s="1239"/>
      <c r="U264" s="1239"/>
      <c r="W264" s="5937">
        <f t="shared" si="41"/>
        <v>10</v>
      </c>
      <c r="X264" s="1259" t="s">
        <v>6632</v>
      </c>
      <c r="Y264" s="1260" t="s">
        <v>6633</v>
      </c>
      <c r="Z264" s="1263" t="s">
        <v>6634</v>
      </c>
      <c r="AA264" s="1260" t="s">
        <v>6635</v>
      </c>
      <c r="AB264" s="1260" t="s">
        <v>6636</v>
      </c>
      <c r="AD264" s="1259" t="s">
        <v>6632</v>
      </c>
      <c r="AF264" s="3">
        <v>1</v>
      </c>
    </row>
    <row r="265" spans="2:32" ht="30" customHeight="1">
      <c r="B265" s="1256"/>
      <c r="C265" s="1234"/>
      <c r="D265" s="1234"/>
      <c r="E265" s="1234"/>
      <c r="F265" s="9"/>
      <c r="G265" s="1256"/>
      <c r="H265" s="1257"/>
      <c r="I265" s="1261"/>
      <c r="J265" s="1261"/>
      <c r="L265" s="5946"/>
      <c r="M265" s="1244"/>
      <c r="N265" s="54"/>
      <c r="O265" s="1247"/>
      <c r="P265" s="1247"/>
      <c r="Q265" s="176"/>
      <c r="R265" s="5937"/>
      <c r="S265" s="1240"/>
      <c r="T265" s="1239"/>
      <c r="U265" s="1239"/>
      <c r="X265" s="5952" t="s">
        <v>1</v>
      </c>
      <c r="Y265" s="1290"/>
      <c r="Z265" s="1290"/>
      <c r="AA265" s="1290"/>
      <c r="AB265" s="1255"/>
      <c r="AC265" s="1255"/>
      <c r="AD265" s="5952" t="s">
        <v>1</v>
      </c>
      <c r="AF265" s="3">
        <v>1</v>
      </c>
    </row>
    <row r="266" spans="2:32" ht="30" customHeight="1">
      <c r="B266" s="1256"/>
      <c r="C266" s="1234"/>
      <c r="D266" s="1234"/>
      <c r="E266" s="1234"/>
      <c r="F266" s="9"/>
      <c r="G266" s="1256"/>
      <c r="H266" s="1257"/>
      <c r="I266" s="1261"/>
      <c r="J266" s="1261"/>
      <c r="L266" s="5946"/>
      <c r="M266" s="1244"/>
      <c r="N266" s="54"/>
      <c r="O266" s="1247"/>
      <c r="P266" s="1247"/>
      <c r="Q266" s="176"/>
      <c r="R266" s="5937"/>
      <c r="S266" s="1240"/>
      <c r="T266" s="1239"/>
      <c r="U266" s="1239"/>
      <c r="W266" s="5937">
        <v>1</v>
      </c>
      <c r="X266" s="1259" t="s">
        <v>6637</v>
      </c>
      <c r="Y266" s="1260" t="s">
        <v>6638</v>
      </c>
      <c r="Z266" s="1263" t="s">
        <v>6639</v>
      </c>
      <c r="AA266" s="1260" t="s">
        <v>6640</v>
      </c>
      <c r="AB266" s="1260" t="s">
        <v>6641</v>
      </c>
      <c r="AC266" s="1260" t="s">
        <v>6642</v>
      </c>
      <c r="AD266" s="1259" t="s">
        <v>6637</v>
      </c>
      <c r="AF266" s="3">
        <v>1</v>
      </c>
    </row>
    <row r="267" spans="2:32" ht="30" customHeight="1">
      <c r="B267" s="1256"/>
      <c r="C267" s="1234"/>
      <c r="D267" s="1234"/>
      <c r="E267" s="1234"/>
      <c r="F267" s="9"/>
      <c r="G267" s="1256"/>
      <c r="H267" s="1257"/>
      <c r="I267" s="1261"/>
      <c r="J267" s="1261"/>
      <c r="L267" s="5946"/>
      <c r="M267" s="1244"/>
      <c r="N267" s="54"/>
      <c r="O267" s="1247"/>
      <c r="P267" s="1247"/>
      <c r="Q267" s="176"/>
      <c r="R267" s="5937"/>
      <c r="S267" s="1240"/>
      <c r="T267" s="1239"/>
      <c r="U267" s="1239"/>
      <c r="W267" s="5937">
        <f>W266+1</f>
        <v>2</v>
      </c>
      <c r="X267" s="1259" t="s">
        <v>6643</v>
      </c>
      <c r="Y267" s="1260" t="s">
        <v>6644</v>
      </c>
      <c r="Z267" s="1263" t="s">
        <v>6645</v>
      </c>
      <c r="AA267" s="1260" t="s">
        <v>6646</v>
      </c>
      <c r="AB267" s="1260" t="s">
        <v>6647</v>
      </c>
      <c r="AC267" s="1260" t="s">
        <v>6648</v>
      </c>
      <c r="AD267" s="1259" t="s">
        <v>6643</v>
      </c>
      <c r="AF267" s="3">
        <v>1</v>
      </c>
    </row>
    <row r="268" spans="2:32" ht="30" customHeight="1">
      <c r="B268" s="1256"/>
      <c r="C268" s="1234"/>
      <c r="D268" s="1234"/>
      <c r="E268" s="1234"/>
      <c r="F268" s="9"/>
      <c r="G268" s="1256"/>
      <c r="H268" s="1257"/>
      <c r="I268" s="1261"/>
      <c r="J268" s="1261"/>
      <c r="L268" s="5946"/>
      <c r="M268" s="1244"/>
      <c r="N268" s="54"/>
      <c r="O268" s="1247"/>
      <c r="P268" s="1247"/>
      <c r="Q268" s="176"/>
      <c r="R268" s="5937"/>
      <c r="S268" s="1240"/>
      <c r="T268" s="1239"/>
      <c r="U268" s="1239"/>
      <c r="W268" s="5937">
        <f t="shared" ref="W268:W299" si="42">W267+1</f>
        <v>3</v>
      </c>
      <c r="X268" s="1259" t="s">
        <v>6649</v>
      </c>
      <c r="Y268" s="1260" t="s">
        <v>6650</v>
      </c>
      <c r="Z268" s="1263" t="s">
        <v>6651</v>
      </c>
      <c r="AA268" s="1260" t="s">
        <v>6652</v>
      </c>
      <c r="AB268" s="1260" t="s">
        <v>6653</v>
      </c>
      <c r="AC268" s="1260" t="s">
        <v>6654</v>
      </c>
      <c r="AD268" s="1259" t="s">
        <v>6649</v>
      </c>
      <c r="AF268" s="3">
        <v>1</v>
      </c>
    </row>
    <row r="269" spans="2:32" ht="30" customHeight="1">
      <c r="B269" s="1256"/>
      <c r="C269" s="1234"/>
      <c r="D269" s="1234"/>
      <c r="E269" s="1234"/>
      <c r="F269" s="9"/>
      <c r="G269" s="1256"/>
      <c r="H269" s="1257"/>
      <c r="I269" s="1261"/>
      <c r="J269" s="1261"/>
      <c r="L269" s="5946"/>
      <c r="M269" s="1244"/>
      <c r="N269" s="54"/>
      <c r="O269" s="1247"/>
      <c r="P269" s="1247"/>
      <c r="Q269" s="176"/>
      <c r="R269" s="5937"/>
      <c r="S269" s="1240"/>
      <c r="T269" s="1239"/>
      <c r="U269" s="1239"/>
      <c r="W269" s="5937">
        <f t="shared" si="42"/>
        <v>4</v>
      </c>
      <c r="X269" s="1259" t="s">
        <v>6655</v>
      </c>
      <c r="Y269" s="1260" t="s">
        <v>6656</v>
      </c>
      <c r="Z269" s="1263" t="s">
        <v>6657</v>
      </c>
      <c r="AA269" s="1260" t="s">
        <v>6658</v>
      </c>
      <c r="AB269" s="1260" t="s">
        <v>6659</v>
      </c>
      <c r="AC269" s="1288" t="s">
        <v>6660</v>
      </c>
      <c r="AD269" s="1259" t="s">
        <v>6655</v>
      </c>
      <c r="AF269" s="3">
        <v>1</v>
      </c>
    </row>
    <row r="270" spans="2:32" ht="30" customHeight="1">
      <c r="B270" s="1256"/>
      <c r="C270" s="1234"/>
      <c r="D270" s="1234"/>
      <c r="E270" s="1234"/>
      <c r="F270" s="9"/>
      <c r="G270" s="1256"/>
      <c r="H270" s="1257"/>
      <c r="I270" s="1261"/>
      <c r="J270" s="1261"/>
      <c r="L270" s="5946"/>
      <c r="M270" s="1244"/>
      <c r="N270" s="54"/>
      <c r="O270" s="1247"/>
      <c r="P270" s="1247"/>
      <c r="Q270" s="176"/>
      <c r="R270" s="5937"/>
      <c r="S270" s="1240"/>
      <c r="T270" s="1239"/>
      <c r="U270" s="1239"/>
      <c r="W270" s="5937">
        <f t="shared" si="42"/>
        <v>5</v>
      </c>
      <c r="X270" s="1259" t="s">
        <v>6661</v>
      </c>
      <c r="Y270" s="1260" t="s">
        <v>6662</v>
      </c>
      <c r="Z270" s="1263" t="s">
        <v>6663</v>
      </c>
      <c r="AA270" s="1260" t="s">
        <v>6664</v>
      </c>
      <c r="AB270" s="1260" t="s">
        <v>6665</v>
      </c>
      <c r="AC270" s="1260" t="s">
        <v>6666</v>
      </c>
      <c r="AD270" s="1259" t="s">
        <v>6661</v>
      </c>
      <c r="AF270" s="3">
        <v>1</v>
      </c>
    </row>
    <row r="271" spans="2:32" ht="30" customHeight="1">
      <c r="B271" s="1256"/>
      <c r="C271" s="1234"/>
      <c r="D271" s="1234"/>
      <c r="E271" s="1234"/>
      <c r="F271" s="9"/>
      <c r="G271" s="1256"/>
      <c r="H271" s="1257"/>
      <c r="I271" s="1261"/>
      <c r="J271" s="1261"/>
      <c r="L271" s="5946"/>
      <c r="M271" s="1244"/>
      <c r="N271" s="54"/>
      <c r="O271" s="1247"/>
      <c r="P271" s="1247"/>
      <c r="Q271" s="176"/>
      <c r="R271" s="5937"/>
      <c r="S271" s="1240"/>
      <c r="T271" s="1239"/>
      <c r="U271" s="1239"/>
      <c r="W271" s="5937">
        <f t="shared" si="42"/>
        <v>6</v>
      </c>
      <c r="X271" s="1259" t="s">
        <v>6667</v>
      </c>
      <c r="Y271" s="1260" t="s">
        <v>6668</v>
      </c>
      <c r="Z271" s="1263" t="s">
        <v>6669</v>
      </c>
      <c r="AA271" s="1260" t="s">
        <v>6670</v>
      </c>
      <c r="AB271" s="1260" t="s">
        <v>6671</v>
      </c>
      <c r="AC271" s="1260" t="s">
        <v>6672</v>
      </c>
      <c r="AD271" s="1259" t="s">
        <v>6667</v>
      </c>
      <c r="AF271" s="3">
        <v>1</v>
      </c>
    </row>
    <row r="272" spans="2:32" ht="30" customHeight="1">
      <c r="B272" s="1256"/>
      <c r="C272" s="1234"/>
      <c r="D272" s="1234"/>
      <c r="E272" s="1234"/>
      <c r="F272" s="9"/>
      <c r="G272" s="1256"/>
      <c r="H272" s="1257"/>
      <c r="I272" s="1261"/>
      <c r="J272" s="1261"/>
      <c r="L272" s="5946"/>
      <c r="M272" s="1244"/>
      <c r="N272" s="54"/>
      <c r="O272" s="1247"/>
      <c r="P272" s="1247"/>
      <c r="Q272" s="176"/>
      <c r="R272" s="5937"/>
      <c r="S272" s="1240"/>
      <c r="T272" s="1239"/>
      <c r="U272" s="1239"/>
      <c r="W272" s="5937">
        <f t="shared" si="42"/>
        <v>7</v>
      </c>
      <c r="X272" s="1259" t="s">
        <v>6673</v>
      </c>
      <c r="Y272" s="1260" t="s">
        <v>6674</v>
      </c>
      <c r="Z272" s="1263" t="s">
        <v>6675</v>
      </c>
      <c r="AA272" s="1260" t="s">
        <v>6676</v>
      </c>
      <c r="AB272" s="1260" t="s">
        <v>6677</v>
      </c>
      <c r="AC272" s="1260" t="s">
        <v>6678</v>
      </c>
      <c r="AD272" s="1259" t="s">
        <v>6673</v>
      </c>
      <c r="AF272" s="3">
        <v>1</v>
      </c>
    </row>
    <row r="273" spans="2:32" ht="30" customHeight="1">
      <c r="B273" s="1256"/>
      <c r="C273" s="1234"/>
      <c r="D273" s="1234"/>
      <c r="E273" s="1234"/>
      <c r="F273" s="9"/>
      <c r="G273" s="1256"/>
      <c r="H273" s="1257"/>
      <c r="I273" s="1261"/>
      <c r="J273" s="1261"/>
      <c r="L273" s="5946"/>
      <c r="M273" s="1244"/>
      <c r="N273" s="54"/>
      <c r="O273" s="1247"/>
      <c r="P273" s="1247"/>
      <c r="Q273" s="176"/>
      <c r="R273" s="5937"/>
      <c r="S273" s="1240"/>
      <c r="T273" s="1239"/>
      <c r="U273" s="1239"/>
      <c r="W273" s="5937">
        <f t="shared" si="42"/>
        <v>8</v>
      </c>
      <c r="X273" s="1259" t="s">
        <v>6679</v>
      </c>
      <c r="Y273" s="1260" t="s">
        <v>6680</v>
      </c>
      <c r="Z273" s="1263" t="s">
        <v>6681</v>
      </c>
      <c r="AA273" s="1260" t="s">
        <v>6682</v>
      </c>
      <c r="AB273" s="1260" t="s">
        <v>6683</v>
      </c>
      <c r="AC273" s="1260" t="s">
        <v>6684</v>
      </c>
      <c r="AD273" s="1259" t="s">
        <v>6679</v>
      </c>
      <c r="AF273" s="3">
        <v>1</v>
      </c>
    </row>
    <row r="274" spans="2:32" ht="30" customHeight="1">
      <c r="B274" s="1256"/>
      <c r="C274" s="1234"/>
      <c r="D274" s="1234"/>
      <c r="E274" s="1234"/>
      <c r="F274" s="9"/>
      <c r="G274" s="1256"/>
      <c r="H274" s="1257"/>
      <c r="I274" s="1261"/>
      <c r="J274" s="1261"/>
      <c r="L274" s="5946"/>
      <c r="M274" s="1244"/>
      <c r="N274" s="54"/>
      <c r="O274" s="1247"/>
      <c r="P274" s="1247"/>
      <c r="Q274" s="176"/>
      <c r="R274" s="5937"/>
      <c r="S274" s="1240"/>
      <c r="T274" s="1239"/>
      <c r="U274" s="1239"/>
      <c r="W274" s="5937">
        <f t="shared" si="42"/>
        <v>9</v>
      </c>
      <c r="X274" s="1259" t="s">
        <v>6685</v>
      </c>
      <c r="Y274" s="1260" t="s">
        <v>6686</v>
      </c>
      <c r="Z274" s="1263" t="s">
        <v>6687</v>
      </c>
      <c r="AA274" s="1260" t="s">
        <v>6688</v>
      </c>
      <c r="AB274" s="1260" t="s">
        <v>6689</v>
      </c>
      <c r="AC274" s="1260" t="s">
        <v>6690</v>
      </c>
      <c r="AD274" s="1259" t="s">
        <v>6685</v>
      </c>
      <c r="AF274" s="3">
        <v>1</v>
      </c>
    </row>
    <row r="275" spans="2:32" ht="30" customHeight="1">
      <c r="B275" s="1256"/>
      <c r="C275" s="1234"/>
      <c r="D275" s="1234"/>
      <c r="E275" s="1234"/>
      <c r="F275" s="9"/>
      <c r="G275" s="1256"/>
      <c r="H275" s="1257"/>
      <c r="I275" s="1261"/>
      <c r="J275" s="1261"/>
      <c r="L275" s="5946"/>
      <c r="M275" s="1244"/>
      <c r="N275" s="54"/>
      <c r="O275" s="1247"/>
      <c r="P275" s="1247"/>
      <c r="Q275" s="176"/>
      <c r="R275" s="5937"/>
      <c r="S275" s="1240"/>
      <c r="T275" s="1239"/>
      <c r="U275" s="1239"/>
      <c r="W275" s="5937">
        <f t="shared" si="42"/>
        <v>10</v>
      </c>
      <c r="X275" s="1259" t="s">
        <v>6691</v>
      </c>
      <c r="Y275" s="1260" t="s">
        <v>6692</v>
      </c>
      <c r="Z275" s="1263" t="s">
        <v>6693</v>
      </c>
      <c r="AA275" s="1260" t="s">
        <v>6694</v>
      </c>
      <c r="AB275" s="1260" t="s">
        <v>6695</v>
      </c>
      <c r="AC275" s="1260" t="s">
        <v>6696</v>
      </c>
      <c r="AD275" s="1259" t="s">
        <v>6691</v>
      </c>
      <c r="AF275" s="3">
        <v>1</v>
      </c>
    </row>
    <row r="276" spans="2:32" ht="30" customHeight="1">
      <c r="B276" s="1256"/>
      <c r="C276" s="1234"/>
      <c r="D276" s="1234"/>
      <c r="E276" s="1234"/>
      <c r="F276" s="9"/>
      <c r="G276" s="1256"/>
      <c r="H276" s="1257"/>
      <c r="I276" s="1261"/>
      <c r="J276" s="1261"/>
      <c r="L276" s="5946"/>
      <c r="M276" s="1244"/>
      <c r="N276" s="54"/>
      <c r="O276" s="1247"/>
      <c r="P276" s="1247"/>
      <c r="Q276" s="176"/>
      <c r="R276" s="5937"/>
      <c r="S276" s="1240"/>
      <c r="T276" s="1239"/>
      <c r="U276" s="1239"/>
      <c r="W276" s="5937">
        <f t="shared" si="42"/>
        <v>11</v>
      </c>
      <c r="X276" s="1259" t="s">
        <v>6697</v>
      </c>
      <c r="Y276" s="1260" t="s">
        <v>6698</v>
      </c>
      <c r="Z276" s="1263" t="s">
        <v>6699</v>
      </c>
      <c r="AA276" s="1260" t="s">
        <v>6700</v>
      </c>
      <c r="AB276" s="1260" t="s">
        <v>6701</v>
      </c>
      <c r="AC276" s="1260" t="s">
        <v>6702</v>
      </c>
      <c r="AD276" s="1259" t="s">
        <v>6697</v>
      </c>
      <c r="AF276" s="3">
        <v>1</v>
      </c>
    </row>
    <row r="277" spans="2:32" ht="30" customHeight="1">
      <c r="B277" s="1256"/>
      <c r="C277" s="1234"/>
      <c r="D277" s="1234"/>
      <c r="E277" s="1234"/>
      <c r="F277" s="9"/>
      <c r="G277" s="1256"/>
      <c r="H277" s="1257"/>
      <c r="I277" s="1261"/>
      <c r="J277" s="1261"/>
      <c r="L277" s="5946"/>
      <c r="M277" s="1244"/>
      <c r="N277" s="54"/>
      <c r="O277" s="1247"/>
      <c r="P277" s="1247"/>
      <c r="Q277" s="176"/>
      <c r="R277" s="5937"/>
      <c r="S277" s="1240"/>
      <c r="T277" s="1239"/>
      <c r="U277" s="1239"/>
      <c r="W277" s="5937">
        <f t="shared" si="42"/>
        <v>12</v>
      </c>
      <c r="X277" s="1259" t="s">
        <v>6703</v>
      </c>
      <c r="Y277" s="1260" t="s">
        <v>6704</v>
      </c>
      <c r="Z277" s="1263" t="s">
        <v>6705</v>
      </c>
      <c r="AA277" s="1260" t="s">
        <v>6706</v>
      </c>
      <c r="AB277" s="1260" t="s">
        <v>6707</v>
      </c>
      <c r="AC277" s="1260" t="s">
        <v>6708</v>
      </c>
      <c r="AD277" s="1259" t="s">
        <v>6703</v>
      </c>
      <c r="AF277" s="3">
        <v>1</v>
      </c>
    </row>
    <row r="278" spans="2:32" ht="30" customHeight="1">
      <c r="B278" s="1256"/>
      <c r="C278" s="1234"/>
      <c r="D278" s="1234"/>
      <c r="E278" s="1234"/>
      <c r="F278" s="9"/>
      <c r="G278" s="1256"/>
      <c r="H278" s="1257"/>
      <c r="I278" s="1261"/>
      <c r="J278" s="1261"/>
      <c r="L278" s="5946"/>
      <c r="M278" s="1244"/>
      <c r="N278" s="54"/>
      <c r="O278" s="1247"/>
      <c r="P278" s="1247"/>
      <c r="Q278" s="176"/>
      <c r="R278" s="5937"/>
      <c r="S278" s="1240"/>
      <c r="T278" s="1239"/>
      <c r="U278" s="1239"/>
      <c r="W278" s="5937">
        <f t="shared" si="42"/>
        <v>13</v>
      </c>
      <c r="X278" s="1259" t="s">
        <v>6709</v>
      </c>
      <c r="Y278" s="1260" t="s">
        <v>6710</v>
      </c>
      <c r="Z278" s="1263" t="s">
        <v>6711</v>
      </c>
      <c r="AA278" s="1260" t="s">
        <v>6712</v>
      </c>
      <c r="AB278" s="1260" t="s">
        <v>6713</v>
      </c>
      <c r="AC278" s="1260" t="s">
        <v>6714</v>
      </c>
      <c r="AD278" s="1259" t="s">
        <v>6709</v>
      </c>
      <c r="AF278" s="3">
        <v>1</v>
      </c>
    </row>
    <row r="279" spans="2:32" ht="30" customHeight="1">
      <c r="B279" s="1256"/>
      <c r="C279" s="1234"/>
      <c r="D279" s="1234"/>
      <c r="E279" s="1234"/>
      <c r="F279" s="9"/>
      <c r="G279" s="1256"/>
      <c r="H279" s="1257"/>
      <c r="I279" s="1261"/>
      <c r="J279" s="1261"/>
      <c r="L279" s="5946"/>
      <c r="M279" s="1244"/>
      <c r="N279" s="54"/>
      <c r="O279" s="1247"/>
      <c r="P279" s="1247"/>
      <c r="Q279" s="176"/>
      <c r="R279" s="5937"/>
      <c r="S279" s="1240"/>
      <c r="T279" s="1239"/>
      <c r="U279" s="1239"/>
      <c r="W279" s="5937">
        <f t="shared" si="42"/>
        <v>14</v>
      </c>
      <c r="X279" s="1259" t="s">
        <v>6715</v>
      </c>
      <c r="Y279" s="1239" t="s">
        <v>6716</v>
      </c>
      <c r="Z279" s="1239" t="s">
        <v>6717</v>
      </c>
      <c r="AA279" s="1260" t="s">
        <v>6718</v>
      </c>
      <c r="AB279" s="1260" t="s">
        <v>6719</v>
      </c>
      <c r="AC279" s="1260" t="s">
        <v>6720</v>
      </c>
      <c r="AD279" s="1259" t="s">
        <v>6715</v>
      </c>
      <c r="AF279" s="3">
        <v>1</v>
      </c>
    </row>
    <row r="280" spans="2:32" ht="30" customHeight="1">
      <c r="B280" s="1256"/>
      <c r="C280" s="1234"/>
      <c r="D280" s="1234"/>
      <c r="E280" s="1234"/>
      <c r="F280" s="9"/>
      <c r="G280" s="1256"/>
      <c r="H280" s="1257"/>
      <c r="I280" s="1261"/>
      <c r="J280" s="1261"/>
      <c r="L280" s="5946"/>
      <c r="M280" s="1244"/>
      <c r="N280" s="54"/>
      <c r="O280" s="1247"/>
      <c r="P280" s="1247"/>
      <c r="Q280" s="176"/>
      <c r="R280" s="5937"/>
      <c r="S280" s="1240"/>
      <c r="T280" s="1239"/>
      <c r="U280" s="1239"/>
      <c r="W280" s="5937">
        <f t="shared" si="42"/>
        <v>15</v>
      </c>
      <c r="X280" s="1259" t="s">
        <v>6721</v>
      </c>
      <c r="Y280" s="1260" t="s">
        <v>6722</v>
      </c>
      <c r="Z280" s="1263" t="s">
        <v>6723</v>
      </c>
      <c r="AA280" s="1260" t="s">
        <v>6724</v>
      </c>
      <c r="AB280" s="1260" t="s">
        <v>6725</v>
      </c>
      <c r="AC280" s="1260" t="s">
        <v>6726</v>
      </c>
      <c r="AD280" s="1259" t="s">
        <v>6721</v>
      </c>
      <c r="AF280" s="3">
        <v>1</v>
      </c>
    </row>
    <row r="281" spans="2:32" ht="30" customHeight="1">
      <c r="B281" s="1256"/>
      <c r="C281" s="1234"/>
      <c r="D281" s="1234"/>
      <c r="E281" s="1234"/>
      <c r="F281" s="9"/>
      <c r="G281" s="1256"/>
      <c r="H281" s="1257"/>
      <c r="I281" s="1261"/>
      <c r="J281" s="1261"/>
      <c r="L281" s="5946"/>
      <c r="M281" s="1244"/>
      <c r="N281" s="54"/>
      <c r="O281" s="1247"/>
      <c r="P281" s="1247"/>
      <c r="Q281" s="176"/>
      <c r="R281" s="5937"/>
      <c r="S281" s="1240"/>
      <c r="T281" s="1239"/>
      <c r="U281" s="1239"/>
      <c r="W281" s="5937">
        <f t="shared" si="42"/>
        <v>16</v>
      </c>
      <c r="X281" s="1259" t="s">
        <v>6727</v>
      </c>
      <c r="Y281" s="1260" t="s">
        <v>6728</v>
      </c>
      <c r="Z281" s="1263" t="s">
        <v>6729</v>
      </c>
      <c r="AA281" s="1260" t="s">
        <v>6730</v>
      </c>
      <c r="AB281" s="1260" t="s">
        <v>6731</v>
      </c>
      <c r="AC281" s="1260" t="s">
        <v>6732</v>
      </c>
      <c r="AD281" s="1259" t="s">
        <v>6727</v>
      </c>
      <c r="AF281" s="3">
        <v>1</v>
      </c>
    </row>
    <row r="282" spans="2:32" ht="30" customHeight="1">
      <c r="B282" s="1256"/>
      <c r="C282" s="1234"/>
      <c r="D282" s="1234"/>
      <c r="E282" s="1234"/>
      <c r="F282" s="9"/>
      <c r="G282" s="1256"/>
      <c r="H282" s="1257"/>
      <c r="I282" s="1261"/>
      <c r="J282" s="1261"/>
      <c r="L282" s="5946"/>
      <c r="M282" s="1244"/>
      <c r="N282" s="54"/>
      <c r="O282" s="1247"/>
      <c r="P282" s="1247"/>
      <c r="Q282" s="176"/>
      <c r="R282" s="5937"/>
      <c r="S282" s="1240"/>
      <c r="T282" s="1239"/>
      <c r="U282" s="1239"/>
      <c r="W282" s="5937">
        <f t="shared" si="42"/>
        <v>17</v>
      </c>
      <c r="X282" s="1259" t="s">
        <v>6733</v>
      </c>
      <c r="Y282" s="1260" t="s">
        <v>6734</v>
      </c>
      <c r="Z282" s="1263" t="s">
        <v>6735</v>
      </c>
      <c r="AA282" s="1260" t="s">
        <v>6736</v>
      </c>
      <c r="AB282" s="1260" t="s">
        <v>6737</v>
      </c>
      <c r="AC282" s="1260" t="s">
        <v>6738</v>
      </c>
      <c r="AD282" s="1259" t="s">
        <v>6733</v>
      </c>
      <c r="AF282" s="3">
        <v>1</v>
      </c>
    </row>
    <row r="283" spans="2:32" ht="30" customHeight="1">
      <c r="B283" s="1256"/>
      <c r="C283" s="1234"/>
      <c r="D283" s="1234"/>
      <c r="E283" s="1234"/>
      <c r="F283" s="9"/>
      <c r="G283" s="1256"/>
      <c r="H283" s="1257"/>
      <c r="I283" s="1261"/>
      <c r="J283" s="1261"/>
      <c r="L283" s="5946"/>
      <c r="M283" s="1244"/>
      <c r="N283" s="54"/>
      <c r="O283" s="1247"/>
      <c r="P283" s="1247"/>
      <c r="Q283" s="176"/>
      <c r="R283" s="5937"/>
      <c r="S283" s="1240"/>
      <c r="T283" s="1239"/>
      <c r="U283" s="1239"/>
      <c r="W283" s="5937">
        <f t="shared" si="42"/>
        <v>18</v>
      </c>
      <c r="X283" s="1259" t="s">
        <v>6739</v>
      </c>
      <c r="Y283" s="1260" t="s">
        <v>6740</v>
      </c>
      <c r="Z283" s="1263" t="s">
        <v>6741</v>
      </c>
      <c r="AA283" s="1260" t="s">
        <v>6742</v>
      </c>
      <c r="AB283" s="1260" t="s">
        <v>6743</v>
      </c>
      <c r="AC283" s="1260" t="s">
        <v>6744</v>
      </c>
      <c r="AD283" s="1259" t="s">
        <v>6739</v>
      </c>
      <c r="AF283" s="3">
        <v>1</v>
      </c>
    </row>
    <row r="284" spans="2:32" ht="30" customHeight="1">
      <c r="B284" s="1256"/>
      <c r="C284" s="1234"/>
      <c r="D284" s="1234"/>
      <c r="E284" s="1234"/>
      <c r="F284" s="9"/>
      <c r="G284" s="1256"/>
      <c r="H284" s="1257"/>
      <c r="I284" s="1261"/>
      <c r="J284" s="1261"/>
      <c r="L284" s="5946"/>
      <c r="M284" s="1244"/>
      <c r="N284" s="54"/>
      <c r="O284" s="1247"/>
      <c r="P284" s="1247"/>
      <c r="Q284" s="176"/>
      <c r="R284" s="5937"/>
      <c r="S284" s="1240"/>
      <c r="T284" s="1239"/>
      <c r="U284" s="1239"/>
      <c r="W284" s="5937">
        <f t="shared" si="42"/>
        <v>19</v>
      </c>
      <c r="X284" s="1259" t="s">
        <v>6745</v>
      </c>
      <c r="Y284" s="1260" t="s">
        <v>6746</v>
      </c>
      <c r="Z284" s="1263" t="s">
        <v>6747</v>
      </c>
      <c r="AA284" s="1260" t="s">
        <v>6748</v>
      </c>
      <c r="AB284" s="1260" t="s">
        <v>6749</v>
      </c>
      <c r="AC284" s="1260" t="s">
        <v>6750</v>
      </c>
      <c r="AD284" s="1259" t="s">
        <v>6745</v>
      </c>
      <c r="AF284" s="3">
        <v>1</v>
      </c>
    </row>
    <row r="285" spans="2:32" ht="30" customHeight="1">
      <c r="B285" s="1256"/>
      <c r="C285" s="1234"/>
      <c r="D285" s="1234"/>
      <c r="E285" s="1234"/>
      <c r="F285" s="9"/>
      <c r="G285" s="1256"/>
      <c r="H285" s="1257"/>
      <c r="I285" s="1261"/>
      <c r="J285" s="1261"/>
      <c r="L285" s="5946"/>
      <c r="M285" s="1244"/>
      <c r="N285" s="54"/>
      <c r="O285" s="1247"/>
      <c r="P285" s="1247"/>
      <c r="Q285" s="176"/>
      <c r="R285" s="5937"/>
      <c r="S285" s="1240"/>
      <c r="T285" s="1239"/>
      <c r="U285" s="1239"/>
      <c r="W285" s="5937">
        <f t="shared" si="42"/>
        <v>20</v>
      </c>
      <c r="X285" s="1259" t="s">
        <v>6751</v>
      </c>
      <c r="Y285" s="1260" t="s">
        <v>6752</v>
      </c>
      <c r="Z285" s="1263" t="s">
        <v>6753</v>
      </c>
      <c r="AA285" s="1260" t="s">
        <v>6754</v>
      </c>
      <c r="AB285" s="1260" t="s">
        <v>6755</v>
      </c>
      <c r="AC285" s="1260" t="s">
        <v>6756</v>
      </c>
      <c r="AD285" s="1259" t="s">
        <v>6751</v>
      </c>
      <c r="AF285" s="3">
        <v>1</v>
      </c>
    </row>
    <row r="286" spans="2:32" ht="30" customHeight="1">
      <c r="B286" s="1256"/>
      <c r="C286" s="1234"/>
      <c r="D286" s="1234"/>
      <c r="E286" s="1234"/>
      <c r="F286" s="9"/>
      <c r="G286" s="1256"/>
      <c r="H286" s="1257"/>
      <c r="I286" s="1261"/>
      <c r="J286" s="1261"/>
      <c r="L286" s="5946"/>
      <c r="M286" s="1244"/>
      <c r="N286" s="54"/>
      <c r="O286" s="1247"/>
      <c r="P286" s="1247"/>
      <c r="Q286" s="176"/>
      <c r="R286" s="5937"/>
      <c r="S286" s="1240"/>
      <c r="T286" s="1239"/>
      <c r="U286" s="1239"/>
      <c r="W286" s="5937">
        <f t="shared" si="42"/>
        <v>21</v>
      </c>
      <c r="X286" s="1259" t="s">
        <v>6757</v>
      </c>
      <c r="Y286" s="1260" t="s">
        <v>6758</v>
      </c>
      <c r="Z286" s="1263" t="s">
        <v>4518</v>
      </c>
      <c r="AA286" s="1260" t="s">
        <v>6759</v>
      </c>
      <c r="AB286" s="1260" t="s">
        <v>6760</v>
      </c>
      <c r="AC286" s="1260" t="s">
        <v>6761</v>
      </c>
      <c r="AD286" s="1259" t="s">
        <v>6757</v>
      </c>
      <c r="AF286" s="3">
        <v>1</v>
      </c>
    </row>
    <row r="287" spans="2:32" ht="30" customHeight="1">
      <c r="B287" s="1256"/>
      <c r="C287" s="1234"/>
      <c r="D287" s="1234"/>
      <c r="E287" s="1234"/>
      <c r="F287" s="9"/>
      <c r="G287" s="1256"/>
      <c r="H287" s="1257"/>
      <c r="I287" s="1261"/>
      <c r="J287" s="1261"/>
      <c r="L287" s="5946"/>
      <c r="M287" s="1244"/>
      <c r="N287" s="54"/>
      <c r="O287" s="1247"/>
      <c r="P287" s="1247"/>
      <c r="Q287" s="176"/>
      <c r="R287" s="5937"/>
      <c r="S287" s="1240"/>
      <c r="T287" s="1239"/>
      <c r="U287" s="1239"/>
      <c r="W287" s="5937">
        <f t="shared" si="42"/>
        <v>22</v>
      </c>
      <c r="X287" s="1259" t="s">
        <v>6762</v>
      </c>
      <c r="Y287" s="1260" t="s">
        <v>6763</v>
      </c>
      <c r="Z287" s="1263" t="s">
        <v>6764</v>
      </c>
      <c r="AA287" s="1260" t="s">
        <v>6765</v>
      </c>
      <c r="AB287" s="1260" t="s">
        <v>6766</v>
      </c>
      <c r="AC287" s="1260" t="s">
        <v>6767</v>
      </c>
      <c r="AD287" s="1259" t="s">
        <v>6762</v>
      </c>
      <c r="AF287" s="3">
        <v>1</v>
      </c>
    </row>
    <row r="288" spans="2:32" ht="30" customHeight="1">
      <c r="B288" s="1256"/>
      <c r="C288" s="1234"/>
      <c r="D288" s="1234"/>
      <c r="E288" s="1234"/>
      <c r="F288" s="9"/>
      <c r="G288" s="1256"/>
      <c r="H288" s="1257"/>
      <c r="I288" s="1261"/>
      <c r="J288" s="1261"/>
      <c r="L288" s="5946"/>
      <c r="M288" s="1244"/>
      <c r="N288" s="54"/>
      <c r="O288" s="1247"/>
      <c r="P288" s="1247"/>
      <c r="Q288" s="176"/>
      <c r="R288" s="5937"/>
      <c r="S288" s="1240"/>
      <c r="T288" s="1239"/>
      <c r="U288" s="1239"/>
      <c r="W288" s="5937">
        <f t="shared" si="42"/>
        <v>23</v>
      </c>
      <c r="X288" s="1259" t="s">
        <v>6768</v>
      </c>
      <c r="Y288" s="1260" t="s">
        <v>6769</v>
      </c>
      <c r="Z288" s="1263" t="s">
        <v>6770</v>
      </c>
      <c r="AA288" s="1260" t="s">
        <v>6771</v>
      </c>
      <c r="AB288" s="1260" t="s">
        <v>6772</v>
      </c>
      <c r="AC288" s="1260" t="s">
        <v>6773</v>
      </c>
      <c r="AD288" s="1259" t="s">
        <v>6768</v>
      </c>
      <c r="AF288" s="3">
        <v>1</v>
      </c>
    </row>
    <row r="289" spans="2:32" ht="30" customHeight="1">
      <c r="B289" s="1256"/>
      <c r="C289" s="1234"/>
      <c r="D289" s="1234"/>
      <c r="E289" s="1234"/>
      <c r="F289" s="9"/>
      <c r="G289" s="1256"/>
      <c r="H289" s="1257"/>
      <c r="I289" s="1261"/>
      <c r="J289" s="1261"/>
      <c r="L289" s="5946"/>
      <c r="M289" s="1244"/>
      <c r="N289" s="54"/>
      <c r="O289" s="1247"/>
      <c r="P289" s="1247"/>
      <c r="Q289" s="176"/>
      <c r="R289" s="5937"/>
      <c r="S289" s="1240"/>
      <c r="T289" s="1239"/>
      <c r="U289" s="1239"/>
      <c r="W289" s="5937">
        <f t="shared" si="42"/>
        <v>24</v>
      </c>
      <c r="X289" s="1259" t="s">
        <v>6774</v>
      </c>
      <c r="Y289" s="1260" t="s">
        <v>6775</v>
      </c>
      <c r="Z289" s="1263" t="s">
        <v>6776</v>
      </c>
      <c r="AA289" s="1260" t="s">
        <v>6777</v>
      </c>
      <c r="AB289" s="1260" t="s">
        <v>6778</v>
      </c>
      <c r="AC289" s="1260" t="s">
        <v>6779</v>
      </c>
      <c r="AD289" s="1259" t="s">
        <v>6774</v>
      </c>
      <c r="AF289" s="3">
        <v>1</v>
      </c>
    </row>
    <row r="290" spans="2:32" ht="30" customHeight="1">
      <c r="B290" s="1256"/>
      <c r="C290" s="1234"/>
      <c r="D290" s="1234"/>
      <c r="E290" s="1234"/>
      <c r="F290" s="9"/>
      <c r="G290" s="1256"/>
      <c r="H290" s="1257"/>
      <c r="I290" s="1261"/>
      <c r="J290" s="1261"/>
      <c r="L290" s="5946"/>
      <c r="M290" s="1244"/>
      <c r="N290" s="54"/>
      <c r="O290" s="1247"/>
      <c r="P290" s="1247"/>
      <c r="Q290" s="176"/>
      <c r="R290" s="5937"/>
      <c r="S290" s="1240"/>
      <c r="T290" s="1239"/>
      <c r="U290" s="1239"/>
      <c r="W290" s="5937">
        <f t="shared" si="42"/>
        <v>25</v>
      </c>
      <c r="X290" s="1259" t="s">
        <v>6780</v>
      </c>
      <c r="Y290" s="1260" t="s">
        <v>6781</v>
      </c>
      <c r="Z290" s="1263" t="s">
        <v>6782</v>
      </c>
      <c r="AA290" s="1260" t="s">
        <v>6783</v>
      </c>
      <c r="AB290" s="1260" t="s">
        <v>6784</v>
      </c>
      <c r="AC290" s="1260" t="s">
        <v>6785</v>
      </c>
      <c r="AD290" s="1259" t="s">
        <v>6780</v>
      </c>
      <c r="AF290" s="3">
        <v>1</v>
      </c>
    </row>
    <row r="291" spans="2:32" ht="30" customHeight="1">
      <c r="B291" s="1256"/>
      <c r="C291" s="1234"/>
      <c r="D291" s="1234"/>
      <c r="E291" s="1234"/>
      <c r="F291" s="9"/>
      <c r="G291" s="1256"/>
      <c r="H291" s="1257"/>
      <c r="I291" s="1261"/>
      <c r="J291" s="1261"/>
      <c r="L291" s="5946"/>
      <c r="M291" s="1244"/>
      <c r="N291" s="54"/>
      <c r="O291" s="1247"/>
      <c r="P291" s="1247"/>
      <c r="Q291" s="176"/>
      <c r="R291" s="5937"/>
      <c r="S291" s="1240"/>
      <c r="T291" s="1239"/>
      <c r="U291" s="1239"/>
      <c r="W291" s="5937">
        <f t="shared" si="42"/>
        <v>26</v>
      </c>
      <c r="X291" s="1259" t="s">
        <v>6786</v>
      </c>
      <c r="Y291" s="1260" t="s">
        <v>6787</v>
      </c>
      <c r="Z291" s="1263" t="s">
        <v>6788</v>
      </c>
      <c r="AA291" s="1260" t="s">
        <v>6789</v>
      </c>
      <c r="AB291" s="1260" t="s">
        <v>6790</v>
      </c>
      <c r="AC291" s="1260" t="s">
        <v>6791</v>
      </c>
      <c r="AD291" s="1259" t="s">
        <v>6786</v>
      </c>
      <c r="AF291" s="3">
        <v>1</v>
      </c>
    </row>
    <row r="292" spans="2:32" ht="30" customHeight="1">
      <c r="B292" s="1256"/>
      <c r="C292" s="1234"/>
      <c r="D292" s="1234"/>
      <c r="E292" s="1234"/>
      <c r="F292" s="9"/>
      <c r="G292" s="1256"/>
      <c r="H292" s="1257"/>
      <c r="I292" s="1261"/>
      <c r="J292" s="1261"/>
      <c r="L292" s="5946"/>
      <c r="M292" s="1244"/>
      <c r="N292" s="54"/>
      <c r="O292" s="1247"/>
      <c r="P292" s="1247"/>
      <c r="Q292" s="176"/>
      <c r="R292" s="5937"/>
      <c r="S292" s="1240"/>
      <c r="T292" s="1239"/>
      <c r="U292" s="1239"/>
      <c r="W292" s="5937">
        <f t="shared" si="42"/>
        <v>27</v>
      </c>
      <c r="X292" s="1259" t="s">
        <v>6792</v>
      </c>
      <c r="Y292" s="1260" t="s">
        <v>6793</v>
      </c>
      <c r="Z292" s="1263" t="s">
        <v>6794</v>
      </c>
      <c r="AA292" s="1260" t="s">
        <v>6795</v>
      </c>
      <c r="AB292" s="1260" t="s">
        <v>6796</v>
      </c>
      <c r="AC292" s="1260" t="s">
        <v>6797</v>
      </c>
      <c r="AD292" s="1259" t="s">
        <v>6792</v>
      </c>
      <c r="AF292" s="3">
        <v>1</v>
      </c>
    </row>
    <row r="293" spans="2:32" ht="30" customHeight="1">
      <c r="B293" s="1256"/>
      <c r="C293" s="1234"/>
      <c r="D293" s="1234"/>
      <c r="E293" s="1234"/>
      <c r="F293" s="9"/>
      <c r="G293" s="1256"/>
      <c r="H293" s="1257"/>
      <c r="I293" s="1261"/>
      <c r="J293" s="1261"/>
      <c r="L293" s="5946"/>
      <c r="M293" s="1244"/>
      <c r="N293" s="54"/>
      <c r="O293" s="1247"/>
      <c r="P293" s="1247"/>
      <c r="Q293" s="176"/>
      <c r="R293" s="5937"/>
      <c r="S293" s="1240"/>
      <c r="T293" s="1239"/>
      <c r="U293" s="1239"/>
      <c r="W293" s="5937">
        <f t="shared" si="42"/>
        <v>28</v>
      </c>
      <c r="X293" s="1259" t="s">
        <v>6798</v>
      </c>
      <c r="Y293" s="1260" t="s">
        <v>6799</v>
      </c>
      <c r="Z293" s="1263" t="s">
        <v>6092</v>
      </c>
      <c r="AA293" s="1260" t="s">
        <v>6800</v>
      </c>
      <c r="AB293" s="1260" t="s">
        <v>6094</v>
      </c>
      <c r="AC293" s="1260" t="s">
        <v>6095</v>
      </c>
      <c r="AD293" s="1259" t="s">
        <v>6798</v>
      </c>
      <c r="AF293" s="3">
        <v>1</v>
      </c>
    </row>
    <row r="294" spans="2:32" ht="30" customHeight="1">
      <c r="B294" s="1256"/>
      <c r="C294" s="1234"/>
      <c r="D294" s="1234"/>
      <c r="E294" s="1234"/>
      <c r="F294" s="9"/>
      <c r="G294" s="1256"/>
      <c r="H294" s="1257"/>
      <c r="I294" s="1261"/>
      <c r="J294" s="1261"/>
      <c r="L294" s="5946"/>
      <c r="M294" s="1244"/>
      <c r="N294" s="54"/>
      <c r="O294" s="1247"/>
      <c r="P294" s="1247"/>
      <c r="Q294" s="176"/>
      <c r="R294" s="5937"/>
      <c r="S294" s="1240"/>
      <c r="T294" s="1239"/>
      <c r="U294" s="1239"/>
      <c r="W294" s="5937">
        <f t="shared" si="42"/>
        <v>29</v>
      </c>
      <c r="X294" s="1259" t="s">
        <v>6801</v>
      </c>
      <c r="Y294" s="1260" t="s">
        <v>6802</v>
      </c>
      <c r="Z294" s="1263" t="s">
        <v>6803</v>
      </c>
      <c r="AA294" s="1260" t="s">
        <v>6804</v>
      </c>
      <c r="AB294" s="1260" t="s">
        <v>6805</v>
      </c>
      <c r="AC294" s="1260" t="s">
        <v>6806</v>
      </c>
      <c r="AD294" s="1259" t="s">
        <v>6801</v>
      </c>
      <c r="AF294" s="3">
        <v>1</v>
      </c>
    </row>
    <row r="295" spans="2:32" ht="30" customHeight="1">
      <c r="B295" s="1256"/>
      <c r="C295" s="1234"/>
      <c r="D295" s="1234"/>
      <c r="E295" s="1234"/>
      <c r="F295" s="9"/>
      <c r="G295" s="1256"/>
      <c r="H295" s="1257"/>
      <c r="I295" s="1261"/>
      <c r="J295" s="1261"/>
      <c r="L295" s="5946"/>
      <c r="M295" s="1244"/>
      <c r="N295" s="54"/>
      <c r="O295" s="1247"/>
      <c r="P295" s="1247"/>
      <c r="Q295" s="176"/>
      <c r="R295" s="5937"/>
      <c r="S295" s="1240"/>
      <c r="T295" s="1239"/>
      <c r="U295" s="1239"/>
      <c r="W295" s="5937">
        <f t="shared" si="42"/>
        <v>30</v>
      </c>
      <c r="X295" s="1259" t="s">
        <v>6807</v>
      </c>
      <c r="Y295" s="1239" t="s">
        <v>6808</v>
      </c>
      <c r="Z295" s="1239" t="s">
        <v>6809</v>
      </c>
      <c r="AA295" s="1260" t="s">
        <v>6810</v>
      </c>
      <c r="AB295" s="1260" t="s">
        <v>6811</v>
      </c>
      <c r="AC295" s="1260" t="s">
        <v>6812</v>
      </c>
      <c r="AD295" s="1259" t="s">
        <v>6807</v>
      </c>
      <c r="AF295" s="3">
        <v>1</v>
      </c>
    </row>
    <row r="296" spans="2:32" ht="30" customHeight="1">
      <c r="B296" s="1256"/>
      <c r="C296" s="1234"/>
      <c r="D296" s="1234"/>
      <c r="E296" s="1234"/>
      <c r="F296" s="9"/>
      <c r="G296" s="1256"/>
      <c r="H296" s="1257"/>
      <c r="I296" s="1261"/>
      <c r="J296" s="1261"/>
      <c r="L296" s="5946"/>
      <c r="M296" s="1244"/>
      <c r="N296" s="54"/>
      <c r="O296" s="1247"/>
      <c r="P296" s="1247"/>
      <c r="Q296" s="176"/>
      <c r="R296" s="5937"/>
      <c r="S296" s="1240"/>
      <c r="T296" s="1239"/>
      <c r="U296" s="1239"/>
      <c r="W296" s="5937">
        <f t="shared" si="42"/>
        <v>31</v>
      </c>
      <c r="X296" s="1259" t="s">
        <v>6813</v>
      </c>
      <c r="Y296" s="1260" t="s">
        <v>6814</v>
      </c>
      <c r="Z296" s="1263" t="s">
        <v>6815</v>
      </c>
      <c r="AA296" s="1260" t="s">
        <v>6816</v>
      </c>
      <c r="AB296" s="1260" t="s">
        <v>6817</v>
      </c>
      <c r="AC296" s="1260" t="s">
        <v>6818</v>
      </c>
      <c r="AD296" s="1259" t="s">
        <v>6813</v>
      </c>
      <c r="AF296" s="3">
        <v>1</v>
      </c>
    </row>
    <row r="297" spans="2:32" ht="30" customHeight="1">
      <c r="B297" s="1256"/>
      <c r="C297" s="1291"/>
      <c r="D297" s="1239"/>
      <c r="E297" s="1239"/>
      <c r="F297" s="9"/>
      <c r="G297" s="1256"/>
      <c r="H297" s="1257"/>
      <c r="I297" s="1261"/>
      <c r="J297" s="1261"/>
      <c r="L297" s="5946"/>
      <c r="M297" s="1244"/>
      <c r="N297" s="54"/>
      <c r="O297" s="1247"/>
      <c r="P297" s="1247"/>
      <c r="Q297" s="176"/>
      <c r="R297" s="5937"/>
      <c r="S297" s="1240"/>
      <c r="T297" s="1239"/>
      <c r="U297" s="1239"/>
      <c r="W297" s="5937">
        <f t="shared" si="42"/>
        <v>32</v>
      </c>
      <c r="X297" s="1259" t="s">
        <v>6819</v>
      </c>
      <c r="Y297" s="1260" t="s">
        <v>6820</v>
      </c>
      <c r="Z297" s="1263" t="s">
        <v>6821</v>
      </c>
      <c r="AA297" s="1260" t="s">
        <v>6822</v>
      </c>
      <c r="AB297" s="1260" t="s">
        <v>6823</v>
      </c>
      <c r="AC297" s="1260" t="s">
        <v>6824</v>
      </c>
      <c r="AD297" s="1259" t="s">
        <v>6819</v>
      </c>
      <c r="AF297" s="3">
        <v>1</v>
      </c>
    </row>
    <row r="298" spans="2:32" ht="30" customHeight="1">
      <c r="B298" s="1256"/>
      <c r="C298" s="1291"/>
      <c r="D298" s="1239"/>
      <c r="E298" s="1239"/>
      <c r="F298" s="9"/>
      <c r="G298" s="1256"/>
      <c r="H298" s="1257"/>
      <c r="I298" s="1261"/>
      <c r="J298" s="1261"/>
      <c r="L298" s="5946"/>
      <c r="M298" s="1244"/>
      <c r="N298" s="54"/>
      <c r="O298" s="1247"/>
      <c r="P298" s="1247"/>
      <c r="Q298" s="176"/>
      <c r="R298" s="5937"/>
      <c r="S298" s="1240"/>
      <c r="T298" s="1239"/>
      <c r="U298" s="1239"/>
      <c r="W298" s="5937">
        <f t="shared" si="42"/>
        <v>33</v>
      </c>
      <c r="X298" s="1259" t="s">
        <v>6825</v>
      </c>
      <c r="Y298" s="1260" t="s">
        <v>6826</v>
      </c>
      <c r="Z298" s="1263" t="s">
        <v>6827</v>
      </c>
      <c r="AA298" s="1260" t="s">
        <v>6828</v>
      </c>
      <c r="AB298" s="1260" t="s">
        <v>6829</v>
      </c>
      <c r="AC298" s="1260" t="s">
        <v>6830</v>
      </c>
      <c r="AD298" s="1259" t="s">
        <v>6825</v>
      </c>
      <c r="AF298" s="3">
        <v>1</v>
      </c>
    </row>
    <row r="299" spans="2:32" ht="30" customHeight="1">
      <c r="B299" s="1256"/>
      <c r="C299" s="1291"/>
      <c r="D299" s="1239"/>
      <c r="E299" s="1239"/>
      <c r="F299" s="9"/>
      <c r="G299" s="1256"/>
      <c r="H299" s="1257"/>
      <c r="I299" s="1261"/>
      <c r="J299" s="1261"/>
      <c r="L299" s="5946"/>
      <c r="M299" s="1244"/>
      <c r="N299" s="54"/>
      <c r="O299" s="1247"/>
      <c r="P299" s="1247"/>
      <c r="Q299" s="176"/>
      <c r="R299" s="5937"/>
      <c r="S299" s="1240"/>
      <c r="T299" s="1239"/>
      <c r="U299" s="1239"/>
      <c r="W299" s="5937">
        <f t="shared" si="42"/>
        <v>34</v>
      </c>
      <c r="X299" s="1259" t="s">
        <v>6831</v>
      </c>
      <c r="Y299" s="1260" t="s">
        <v>6832</v>
      </c>
      <c r="Z299" s="1263" t="s">
        <v>6833</v>
      </c>
      <c r="AA299" s="1260" t="s">
        <v>6834</v>
      </c>
      <c r="AB299" s="1260" t="s">
        <v>6835</v>
      </c>
      <c r="AC299" s="1260" t="s">
        <v>6836</v>
      </c>
      <c r="AD299" s="1259" t="s">
        <v>6831</v>
      </c>
      <c r="AF299" s="3">
        <v>1</v>
      </c>
    </row>
    <row r="300" spans="2:32" ht="30" customHeight="1">
      <c r="B300" s="1256"/>
      <c r="C300" s="1291"/>
      <c r="D300" s="1239"/>
      <c r="E300" s="1239"/>
      <c r="F300" s="9"/>
      <c r="G300" s="1256"/>
      <c r="H300" s="1257"/>
      <c r="I300" s="1261"/>
      <c r="J300" s="1261"/>
      <c r="L300" s="5946"/>
      <c r="M300" s="1244"/>
      <c r="N300" s="54"/>
      <c r="O300" s="1247"/>
      <c r="P300" s="1247"/>
      <c r="Q300" s="176"/>
      <c r="R300" s="5937"/>
      <c r="S300" s="1240"/>
      <c r="T300" s="1239"/>
      <c r="U300" s="1239"/>
      <c r="W300" s="5937"/>
      <c r="X300" s="5981" t="s">
        <v>4969</v>
      </c>
      <c r="Y300" s="1255"/>
      <c r="Z300" s="1255"/>
      <c r="AA300" s="1255"/>
      <c r="AB300" s="1255"/>
      <c r="AC300" s="1255"/>
      <c r="AD300" s="5981" t="s">
        <v>4969</v>
      </c>
      <c r="AF300" s="3">
        <v>1</v>
      </c>
    </row>
    <row r="301" spans="2:32" ht="30" customHeight="1">
      <c r="B301" s="1256"/>
      <c r="C301" s="1291"/>
      <c r="D301" s="1239"/>
      <c r="E301" s="1239"/>
      <c r="F301" s="9"/>
      <c r="G301" s="1256"/>
      <c r="H301" s="1257"/>
      <c r="I301" s="1261"/>
      <c r="J301" s="1261"/>
      <c r="L301" s="5946"/>
      <c r="M301" s="1244"/>
      <c r="N301" s="54"/>
      <c r="O301" s="1247"/>
      <c r="P301" s="1247"/>
      <c r="Q301" s="176"/>
      <c r="R301" s="5937"/>
      <c r="S301" s="1240"/>
      <c r="T301" s="1239"/>
      <c r="U301" s="1239"/>
      <c r="W301" s="5937">
        <v>1</v>
      </c>
      <c r="X301" s="1259" t="s">
        <v>6837</v>
      </c>
      <c r="Y301" s="1260" t="s">
        <v>6838</v>
      </c>
      <c r="Z301" s="1263" t="s">
        <v>6839</v>
      </c>
      <c r="AA301" s="1260" t="s">
        <v>6840</v>
      </c>
      <c r="AB301" s="1260" t="s">
        <v>6841</v>
      </c>
      <c r="AC301" s="1260" t="s">
        <v>6842</v>
      </c>
      <c r="AD301" s="1259" t="s">
        <v>6837</v>
      </c>
      <c r="AF301" s="3">
        <v>1</v>
      </c>
    </row>
    <row r="302" spans="2:32" ht="30" customHeight="1">
      <c r="B302" s="1256"/>
      <c r="C302" s="1291"/>
      <c r="D302" s="1239"/>
      <c r="E302" s="1239"/>
      <c r="F302" s="9"/>
      <c r="G302" s="1256"/>
      <c r="H302" s="1257"/>
      <c r="I302" s="1261"/>
      <c r="J302" s="1261"/>
      <c r="L302" s="5946"/>
      <c r="M302" s="1244"/>
      <c r="N302" s="54"/>
      <c r="O302" s="1247"/>
      <c r="P302" s="1247"/>
      <c r="Q302" s="176"/>
      <c r="R302" s="5937"/>
      <c r="S302" s="1240"/>
      <c r="T302" s="1239"/>
      <c r="U302" s="1239"/>
      <c r="W302" s="5937">
        <f>W301+1</f>
        <v>2</v>
      </c>
      <c r="X302" s="1259" t="s">
        <v>6843</v>
      </c>
      <c r="Y302" s="1260" t="s">
        <v>6844</v>
      </c>
      <c r="Z302" s="1263" t="s">
        <v>6845</v>
      </c>
      <c r="AA302" s="1260" t="s">
        <v>6846</v>
      </c>
      <c r="AB302" s="1260" t="s">
        <v>6847</v>
      </c>
      <c r="AC302" s="1260" t="s">
        <v>6848</v>
      </c>
      <c r="AD302" s="1259" t="s">
        <v>6843</v>
      </c>
      <c r="AF302" s="3">
        <v>1</v>
      </c>
    </row>
    <row r="303" spans="2:32" ht="30" customHeight="1">
      <c r="B303" s="1256"/>
      <c r="C303" s="1291"/>
      <c r="D303" s="1239"/>
      <c r="E303" s="1239"/>
      <c r="F303" s="9"/>
      <c r="G303" s="1256"/>
      <c r="H303" s="1257"/>
      <c r="I303" s="1261"/>
      <c r="J303" s="1261"/>
      <c r="L303" s="5946"/>
      <c r="M303" s="1244"/>
      <c r="N303" s="54"/>
      <c r="O303" s="1247"/>
      <c r="P303" s="1247"/>
      <c r="Q303" s="176"/>
      <c r="R303" s="5937"/>
      <c r="S303" s="1240"/>
      <c r="T303" s="1239"/>
      <c r="U303" s="1239"/>
      <c r="W303" s="5937">
        <v>2</v>
      </c>
      <c r="X303" s="1259" t="s">
        <v>6849</v>
      </c>
      <c r="Y303" s="1260" t="s">
        <v>6850</v>
      </c>
      <c r="Z303" s="1263" t="s">
        <v>6851</v>
      </c>
      <c r="AA303" s="1260" t="s">
        <v>6852</v>
      </c>
      <c r="AB303" s="1260" t="s">
        <v>6853</v>
      </c>
      <c r="AC303" s="1260" t="s">
        <v>6854</v>
      </c>
      <c r="AD303" s="1259" t="s">
        <v>6849</v>
      </c>
      <c r="AF303" s="3">
        <v>1</v>
      </c>
    </row>
    <row r="304" spans="2:32" ht="30" customHeight="1">
      <c r="B304" s="1256"/>
      <c r="C304" s="1291"/>
      <c r="D304" s="1239"/>
      <c r="E304" s="1239"/>
      <c r="F304" s="9"/>
      <c r="G304" s="1256"/>
      <c r="H304" s="1257"/>
      <c r="I304" s="1261"/>
      <c r="J304" s="1261"/>
      <c r="L304" s="5946"/>
      <c r="M304" s="1244"/>
      <c r="N304" s="54"/>
      <c r="O304" s="1247"/>
      <c r="P304" s="1247"/>
      <c r="Q304" s="176"/>
      <c r="R304" s="5937"/>
      <c r="S304" s="1240"/>
      <c r="T304" s="1239"/>
      <c r="U304" s="1239"/>
      <c r="W304" s="5937"/>
      <c r="X304" s="5981" t="s">
        <v>4246</v>
      </c>
      <c r="Y304" s="1255"/>
      <c r="Z304" s="1255"/>
      <c r="AA304" s="1255"/>
      <c r="AB304" s="1255"/>
      <c r="AC304" s="1255"/>
      <c r="AD304" s="5981" t="s">
        <v>4246</v>
      </c>
      <c r="AF304" s="3">
        <v>1</v>
      </c>
    </row>
    <row r="305" spans="2:32" ht="30" customHeight="1">
      <c r="B305" s="1256"/>
      <c r="C305" s="1291"/>
      <c r="D305" s="1239"/>
      <c r="E305" s="1239"/>
      <c r="F305" s="9"/>
      <c r="G305" s="1256"/>
      <c r="H305" s="1257"/>
      <c r="I305" s="1261"/>
      <c r="J305" s="1261"/>
      <c r="L305" s="5946"/>
      <c r="M305" s="1244"/>
      <c r="N305" s="54"/>
      <c r="O305" s="1247"/>
      <c r="P305" s="1247"/>
      <c r="Q305" s="176"/>
      <c r="R305" s="5937"/>
      <c r="S305" s="1240"/>
      <c r="T305" s="1239"/>
      <c r="U305" s="1239"/>
      <c r="W305" s="5937">
        <v>1</v>
      </c>
      <c r="X305" s="1259" t="s">
        <v>6855</v>
      </c>
      <c r="Y305" s="1263" t="s">
        <v>6856</v>
      </c>
      <c r="Z305" s="1263" t="s">
        <v>6857</v>
      </c>
      <c r="AA305" s="1260" t="s">
        <v>6858</v>
      </c>
      <c r="AB305" s="1260" t="s">
        <v>6859</v>
      </c>
      <c r="AC305" s="1260" t="s">
        <v>6860</v>
      </c>
      <c r="AD305" s="1259" t="s">
        <v>6855</v>
      </c>
      <c r="AF305" s="3">
        <v>1</v>
      </c>
    </row>
    <row r="306" spans="2:32" ht="30" customHeight="1">
      <c r="B306" s="1256"/>
      <c r="C306" s="1291"/>
      <c r="D306" s="1239"/>
      <c r="E306" s="1239"/>
      <c r="F306" s="9"/>
      <c r="G306" s="1256"/>
      <c r="H306" s="1257"/>
      <c r="I306" s="1261"/>
      <c r="J306" s="1261"/>
      <c r="L306" s="5946"/>
      <c r="M306" s="1244"/>
      <c r="N306" s="54"/>
      <c r="O306" s="1247"/>
      <c r="P306" s="1247"/>
      <c r="Q306" s="176"/>
      <c r="R306" s="5937"/>
      <c r="S306" s="1240"/>
      <c r="T306" s="1239"/>
      <c r="U306" s="1239"/>
      <c r="W306" s="5937"/>
      <c r="X306" s="5981" t="s">
        <v>2</v>
      </c>
      <c r="Y306" s="627"/>
      <c r="Z306" s="1255"/>
      <c r="AA306" s="627"/>
      <c r="AB306" s="1255"/>
      <c r="AC306" s="1255"/>
      <c r="AD306" s="5981" t="s">
        <v>2</v>
      </c>
      <c r="AF306" s="3">
        <v>1</v>
      </c>
    </row>
    <row r="307" spans="2:32" ht="30" customHeight="1">
      <c r="B307" s="1256"/>
      <c r="C307" s="1291"/>
      <c r="D307" s="1239"/>
      <c r="E307" s="1239"/>
      <c r="F307" s="9"/>
      <c r="G307" s="1256"/>
      <c r="H307" s="1257"/>
      <c r="I307" s="1261"/>
      <c r="J307" s="1261"/>
      <c r="L307" s="5946"/>
      <c r="M307" s="1244"/>
      <c r="N307" s="54"/>
      <c r="O307" s="1247"/>
      <c r="P307" s="1247"/>
      <c r="Q307" s="176"/>
      <c r="R307" s="5937"/>
      <c r="S307" s="1240"/>
      <c r="T307" s="1239"/>
      <c r="U307" s="1239"/>
      <c r="W307" s="5937">
        <v>1</v>
      </c>
      <c r="X307" s="1259" t="s">
        <v>6861</v>
      </c>
      <c r="Y307" s="1260" t="s">
        <v>6862</v>
      </c>
      <c r="Z307" s="1263" t="s">
        <v>6863</v>
      </c>
      <c r="AA307" s="1260" t="s">
        <v>6864</v>
      </c>
      <c r="AB307" s="1260" t="s">
        <v>6865</v>
      </c>
      <c r="AC307" s="1260" t="s">
        <v>6866</v>
      </c>
      <c r="AD307" s="1259" t="s">
        <v>6861</v>
      </c>
      <c r="AF307" s="3">
        <v>1</v>
      </c>
    </row>
    <row r="308" spans="2:32" ht="30" customHeight="1">
      <c r="B308" s="1256"/>
      <c r="C308" s="1291"/>
      <c r="D308" s="1239"/>
      <c r="E308" s="1239"/>
      <c r="F308" s="9"/>
      <c r="G308" s="1256"/>
      <c r="H308" s="1257"/>
      <c r="I308" s="1261"/>
      <c r="J308" s="1261"/>
      <c r="L308" s="5946"/>
      <c r="M308" s="1244"/>
      <c r="N308" s="54"/>
      <c r="O308" s="1247"/>
      <c r="P308" s="1247"/>
      <c r="Q308" s="176"/>
      <c r="R308" s="5937"/>
      <c r="S308" s="1240"/>
      <c r="T308" s="1239"/>
      <c r="U308" s="1239"/>
      <c r="W308" s="5937">
        <f>W307+1</f>
        <v>2</v>
      </c>
      <c r="X308" s="1259" t="s">
        <v>6867</v>
      </c>
      <c r="Y308" s="1260" t="s">
        <v>6868</v>
      </c>
      <c r="Z308" s="1263" t="s">
        <v>6869</v>
      </c>
      <c r="AA308" s="1260" t="s">
        <v>6870</v>
      </c>
      <c r="AB308" s="1260" t="s">
        <v>6871</v>
      </c>
      <c r="AC308" s="1260" t="s">
        <v>6872</v>
      </c>
      <c r="AD308" s="1259" t="s">
        <v>6867</v>
      </c>
      <c r="AF308" s="3">
        <v>1</v>
      </c>
    </row>
    <row r="309" spans="2:32" ht="30" customHeight="1">
      <c r="B309" s="1256"/>
      <c r="C309" s="1291"/>
      <c r="D309" s="1239"/>
      <c r="E309" s="1239"/>
      <c r="F309" s="9"/>
      <c r="G309" s="1256"/>
      <c r="H309" s="1257"/>
      <c r="I309" s="1261"/>
      <c r="J309" s="1261"/>
      <c r="L309" s="5946"/>
      <c r="M309" s="1244"/>
      <c r="N309" s="54"/>
      <c r="O309" s="1247"/>
      <c r="P309" s="1247"/>
      <c r="Q309" s="176"/>
      <c r="R309" s="5937"/>
      <c r="S309" s="1240"/>
      <c r="T309" s="1239"/>
      <c r="U309" s="1239"/>
      <c r="W309" s="5937">
        <f t="shared" ref="W309:W342" si="43">W308+1</f>
        <v>3</v>
      </c>
      <c r="X309" s="1259" t="s">
        <v>6873</v>
      </c>
      <c r="Y309" s="1260" t="s">
        <v>6874</v>
      </c>
      <c r="Z309" s="1263" t="s">
        <v>6875</v>
      </c>
      <c r="AA309" s="1260" t="s">
        <v>6876</v>
      </c>
      <c r="AB309" s="1260" t="s">
        <v>6877</v>
      </c>
      <c r="AC309" s="1260" t="s">
        <v>6878</v>
      </c>
      <c r="AD309" s="1259" t="s">
        <v>6873</v>
      </c>
      <c r="AF309" s="3">
        <v>1</v>
      </c>
    </row>
    <row r="310" spans="2:32" ht="30" customHeight="1">
      <c r="B310" s="1256"/>
      <c r="C310" s="1291"/>
      <c r="D310" s="1239"/>
      <c r="E310" s="1239"/>
      <c r="F310" s="9"/>
      <c r="G310" s="1256"/>
      <c r="H310" s="1257"/>
      <c r="I310" s="1261"/>
      <c r="J310" s="1261"/>
      <c r="L310" s="5946"/>
      <c r="M310" s="1244"/>
      <c r="N310" s="54"/>
      <c r="O310" s="1247"/>
      <c r="P310" s="1247"/>
      <c r="Q310" s="176"/>
      <c r="R310" s="5937"/>
      <c r="S310" s="1240"/>
      <c r="T310" s="1239"/>
      <c r="U310" s="1239"/>
      <c r="W310" s="5937">
        <f t="shared" si="43"/>
        <v>4</v>
      </c>
      <c r="X310" s="1259" t="s">
        <v>6879</v>
      </c>
      <c r="Y310" s="1260" t="s">
        <v>6880</v>
      </c>
      <c r="Z310" s="1263" t="s">
        <v>6881</v>
      </c>
      <c r="AA310" s="1260" t="s">
        <v>6882</v>
      </c>
      <c r="AB310" s="1260" t="s">
        <v>6883</v>
      </c>
      <c r="AC310" s="1260" t="s">
        <v>6884</v>
      </c>
      <c r="AD310" s="1259" t="s">
        <v>6879</v>
      </c>
      <c r="AF310" s="3">
        <v>1</v>
      </c>
    </row>
    <row r="311" spans="2:32" ht="30" customHeight="1">
      <c r="B311" s="1256"/>
      <c r="C311" s="1291"/>
      <c r="D311" s="1239"/>
      <c r="E311" s="1239"/>
      <c r="F311" s="9"/>
      <c r="G311" s="1256"/>
      <c r="H311" s="1257"/>
      <c r="I311" s="1261"/>
      <c r="J311" s="1261"/>
      <c r="L311" s="5946"/>
      <c r="M311" s="1244"/>
      <c r="N311" s="54"/>
      <c r="O311" s="1247"/>
      <c r="P311" s="1247"/>
      <c r="Q311" s="176"/>
      <c r="R311" s="5937"/>
      <c r="S311" s="1240"/>
      <c r="T311" s="1239"/>
      <c r="U311" s="1239"/>
      <c r="W311" s="5937">
        <f t="shared" si="43"/>
        <v>5</v>
      </c>
      <c r="X311" s="1259" t="s">
        <v>6885</v>
      </c>
      <c r="Y311" s="1260" t="s">
        <v>6886</v>
      </c>
      <c r="Z311" s="1263" t="s">
        <v>6887</v>
      </c>
      <c r="AA311" s="1260" t="s">
        <v>6888</v>
      </c>
      <c r="AB311" s="1260" t="s">
        <v>6889</v>
      </c>
      <c r="AC311" s="1260" t="s">
        <v>6890</v>
      </c>
      <c r="AD311" s="1259" t="s">
        <v>6885</v>
      </c>
      <c r="AF311" s="3">
        <v>1</v>
      </c>
    </row>
    <row r="312" spans="2:32" ht="30" customHeight="1">
      <c r="B312" s="1256"/>
      <c r="C312" s="1291"/>
      <c r="D312" s="1239"/>
      <c r="E312" s="1239"/>
      <c r="F312" s="9"/>
      <c r="G312" s="1256"/>
      <c r="H312" s="1257"/>
      <c r="I312" s="1261"/>
      <c r="J312" s="1261"/>
      <c r="L312" s="5946"/>
      <c r="M312" s="1244"/>
      <c r="N312" s="54"/>
      <c r="O312" s="1247"/>
      <c r="P312" s="1247"/>
      <c r="Q312" s="176"/>
      <c r="R312" s="5937"/>
      <c r="S312" s="1240"/>
      <c r="T312" s="1239"/>
      <c r="U312" s="1239"/>
      <c r="W312" s="5937">
        <f t="shared" si="43"/>
        <v>6</v>
      </c>
      <c r="X312" s="1259" t="s">
        <v>6891</v>
      </c>
      <c r="Y312" s="1260" t="s">
        <v>6892</v>
      </c>
      <c r="Z312" s="1263" t="s">
        <v>6893</v>
      </c>
      <c r="AA312" s="1260" t="s">
        <v>6894</v>
      </c>
      <c r="AB312" s="1260" t="s">
        <v>6895</v>
      </c>
      <c r="AC312" s="1260" t="s">
        <v>6896</v>
      </c>
      <c r="AD312" s="1259" t="s">
        <v>6891</v>
      </c>
      <c r="AF312" s="3">
        <v>1</v>
      </c>
    </row>
    <row r="313" spans="2:32" ht="30" customHeight="1">
      <c r="B313" s="1256"/>
      <c r="C313" s="1291"/>
      <c r="D313" s="1239"/>
      <c r="E313" s="1239"/>
      <c r="F313" s="9"/>
      <c r="G313" s="1256"/>
      <c r="H313" s="1257"/>
      <c r="I313" s="1261"/>
      <c r="J313" s="1261"/>
      <c r="L313" s="5946"/>
      <c r="M313" s="1244"/>
      <c r="N313" s="54"/>
      <c r="O313" s="1247"/>
      <c r="P313" s="1247"/>
      <c r="Q313" s="176"/>
      <c r="R313" s="5937"/>
      <c r="S313" s="1240"/>
      <c r="T313" s="1239"/>
      <c r="U313" s="1239"/>
      <c r="W313" s="5937">
        <f t="shared" si="43"/>
        <v>7</v>
      </c>
      <c r="X313" s="1259" t="s">
        <v>6897</v>
      </c>
      <c r="Y313" s="1260" t="s">
        <v>6898</v>
      </c>
      <c r="Z313" s="1263" t="s">
        <v>6899</v>
      </c>
      <c r="AA313" s="1260" t="s">
        <v>6900</v>
      </c>
      <c r="AB313" s="1260" t="s">
        <v>6901</v>
      </c>
      <c r="AC313" s="1260" t="s">
        <v>6902</v>
      </c>
      <c r="AD313" s="1259" t="s">
        <v>6897</v>
      </c>
      <c r="AF313" s="3">
        <v>1</v>
      </c>
    </row>
    <row r="314" spans="2:32" ht="30" customHeight="1">
      <c r="B314" s="1256"/>
      <c r="C314" s="1291"/>
      <c r="D314" s="1239"/>
      <c r="E314" s="1239"/>
      <c r="F314" s="9"/>
      <c r="G314" s="1256"/>
      <c r="H314" s="1257"/>
      <c r="I314" s="1261"/>
      <c r="J314" s="1261"/>
      <c r="L314" s="5946"/>
      <c r="M314" s="1244"/>
      <c r="N314" s="54"/>
      <c r="O314" s="1247"/>
      <c r="P314" s="1247"/>
      <c r="Q314" s="176"/>
      <c r="R314" s="5937"/>
      <c r="S314" s="1240"/>
      <c r="T314" s="1239"/>
      <c r="U314" s="1239"/>
      <c r="W314" s="5937">
        <f t="shared" si="43"/>
        <v>8</v>
      </c>
      <c r="X314" s="1259" t="s">
        <v>6903</v>
      </c>
      <c r="Y314" s="1260" t="s">
        <v>6904</v>
      </c>
      <c r="Z314" s="1263" t="s">
        <v>6905</v>
      </c>
      <c r="AA314" s="1260" t="s">
        <v>6906</v>
      </c>
      <c r="AB314" s="1260" t="s">
        <v>6907</v>
      </c>
      <c r="AC314" s="1260" t="s">
        <v>6908</v>
      </c>
      <c r="AD314" s="1259" t="s">
        <v>6903</v>
      </c>
      <c r="AF314" s="3">
        <v>1</v>
      </c>
    </row>
    <row r="315" spans="2:32" ht="30" customHeight="1">
      <c r="B315" s="1256"/>
      <c r="C315" s="1291"/>
      <c r="D315" s="1239"/>
      <c r="E315" s="1239"/>
      <c r="F315" s="9"/>
      <c r="G315" s="1256"/>
      <c r="H315" s="1257"/>
      <c r="I315" s="1261"/>
      <c r="J315" s="1261"/>
      <c r="L315" s="5946"/>
      <c r="M315" s="1244"/>
      <c r="N315" s="54"/>
      <c r="O315" s="1247"/>
      <c r="P315" s="1247"/>
      <c r="Q315" s="176"/>
      <c r="R315" s="5937"/>
      <c r="S315" s="1240"/>
      <c r="T315" s="1239"/>
      <c r="U315" s="1239"/>
      <c r="W315" s="5937">
        <f t="shared" si="43"/>
        <v>9</v>
      </c>
      <c r="X315" s="1259" t="s">
        <v>6909</v>
      </c>
      <c r="Y315" s="1260" t="s">
        <v>6910</v>
      </c>
      <c r="Z315" s="1263" t="s">
        <v>6911</v>
      </c>
      <c r="AA315" s="1260" t="s">
        <v>6912</v>
      </c>
      <c r="AB315" s="1260" t="s">
        <v>6913</v>
      </c>
      <c r="AC315" s="1260" t="s">
        <v>6914</v>
      </c>
      <c r="AD315" s="1259" t="s">
        <v>6909</v>
      </c>
      <c r="AF315" s="3">
        <v>1</v>
      </c>
    </row>
    <row r="316" spans="2:32" ht="30" customHeight="1">
      <c r="B316" s="1256"/>
      <c r="C316" s="1291"/>
      <c r="D316" s="1239"/>
      <c r="E316" s="1239"/>
      <c r="F316" s="9"/>
      <c r="G316" s="1256"/>
      <c r="H316" s="1257"/>
      <c r="I316" s="1261"/>
      <c r="J316" s="1261"/>
      <c r="L316" s="5946"/>
      <c r="M316" s="1244"/>
      <c r="N316" s="54"/>
      <c r="O316" s="1247"/>
      <c r="P316" s="1247"/>
      <c r="Q316" s="176"/>
      <c r="R316" s="5937"/>
      <c r="S316" s="1240"/>
      <c r="T316" s="1239"/>
      <c r="U316" s="1239"/>
      <c r="W316" s="5937">
        <f t="shared" si="43"/>
        <v>10</v>
      </c>
      <c r="X316" s="1259" t="s">
        <v>6915</v>
      </c>
      <c r="Y316" s="1260" t="s">
        <v>6916</v>
      </c>
      <c r="Z316" s="1263" t="s">
        <v>6917</v>
      </c>
      <c r="AA316" s="1260" t="s">
        <v>6918</v>
      </c>
      <c r="AB316" s="1260" t="s">
        <v>6919</v>
      </c>
      <c r="AC316" s="1260" t="s">
        <v>6920</v>
      </c>
      <c r="AD316" s="1259" t="s">
        <v>6915</v>
      </c>
      <c r="AF316" s="3">
        <v>1</v>
      </c>
    </row>
    <row r="317" spans="2:32" ht="30" customHeight="1">
      <c r="B317" s="1256"/>
      <c r="C317" s="1291"/>
      <c r="D317" s="1239"/>
      <c r="E317" s="1239"/>
      <c r="F317" s="9"/>
      <c r="G317" s="1256"/>
      <c r="H317" s="1257"/>
      <c r="I317" s="1261"/>
      <c r="J317" s="1261"/>
      <c r="L317" s="5946"/>
      <c r="M317" s="1244"/>
      <c r="N317" s="54"/>
      <c r="O317" s="1247"/>
      <c r="P317" s="1247"/>
      <c r="Q317" s="176"/>
      <c r="R317" s="5937"/>
      <c r="S317" s="1240"/>
      <c r="T317" s="1239"/>
      <c r="U317" s="1239"/>
      <c r="W317" s="5937">
        <f t="shared" si="43"/>
        <v>11</v>
      </c>
      <c r="X317" s="1259" t="s">
        <v>6921</v>
      </c>
      <c r="Y317" s="1239" t="s">
        <v>6922</v>
      </c>
      <c r="Z317" s="1239" t="s">
        <v>6923</v>
      </c>
      <c r="AA317" s="1260" t="s">
        <v>6924</v>
      </c>
      <c r="AB317" s="1260" t="s">
        <v>6925</v>
      </c>
      <c r="AC317" s="1260" t="s">
        <v>6926</v>
      </c>
      <c r="AD317" s="1259" t="s">
        <v>6921</v>
      </c>
      <c r="AF317" s="3">
        <v>1</v>
      </c>
    </row>
    <row r="318" spans="2:32" ht="30" customHeight="1">
      <c r="B318" s="1256"/>
      <c r="C318" s="1291"/>
      <c r="D318" s="1239"/>
      <c r="E318" s="1239"/>
      <c r="F318" s="9"/>
      <c r="G318" s="1256"/>
      <c r="H318" s="1257"/>
      <c r="I318" s="1261"/>
      <c r="J318" s="1261"/>
      <c r="L318" s="5946"/>
      <c r="M318" s="1244"/>
      <c r="N318" s="54"/>
      <c r="O318" s="1247"/>
      <c r="P318" s="1247"/>
      <c r="Q318" s="176"/>
      <c r="R318" s="5937"/>
      <c r="S318" s="1240"/>
      <c r="T318" s="1239"/>
      <c r="U318" s="1239"/>
      <c r="W318" s="5937">
        <f t="shared" si="43"/>
        <v>12</v>
      </c>
      <c r="X318" s="1259" t="s">
        <v>6927</v>
      </c>
      <c r="Y318" s="1260" t="s">
        <v>6928</v>
      </c>
      <c r="Z318" s="1263" t="s">
        <v>6929</v>
      </c>
      <c r="AA318" s="1260" t="s">
        <v>6930</v>
      </c>
      <c r="AB318" s="1260" t="s">
        <v>6931</v>
      </c>
      <c r="AC318" s="1260" t="s">
        <v>6932</v>
      </c>
      <c r="AD318" s="1259" t="s">
        <v>6927</v>
      </c>
      <c r="AF318" s="3">
        <v>1</v>
      </c>
    </row>
    <row r="319" spans="2:32" ht="30" customHeight="1">
      <c r="B319" s="1256"/>
      <c r="C319" s="1291"/>
      <c r="D319" s="1239"/>
      <c r="E319" s="1239"/>
      <c r="F319" s="9"/>
      <c r="G319" s="1256"/>
      <c r="H319" s="1257"/>
      <c r="I319" s="1261"/>
      <c r="J319" s="1261"/>
      <c r="L319" s="5946"/>
      <c r="M319" s="1244"/>
      <c r="N319" s="54"/>
      <c r="O319" s="1247"/>
      <c r="P319" s="1247"/>
      <c r="Q319" s="176"/>
      <c r="R319" s="5937"/>
      <c r="S319" s="1240"/>
      <c r="T319" s="1239"/>
      <c r="U319" s="1239"/>
      <c r="W319" s="5937">
        <f t="shared" si="43"/>
        <v>13</v>
      </c>
      <c r="X319" s="1259" t="s">
        <v>6933</v>
      </c>
      <c r="Y319" s="1260" t="s">
        <v>6934</v>
      </c>
      <c r="Z319" s="1263" t="s">
        <v>6935</v>
      </c>
      <c r="AA319" s="1260" t="s">
        <v>6936</v>
      </c>
      <c r="AB319" s="1260" t="s">
        <v>6937</v>
      </c>
      <c r="AC319" s="1260" t="s">
        <v>6938</v>
      </c>
      <c r="AD319" s="1259" t="s">
        <v>6933</v>
      </c>
      <c r="AF319" s="3">
        <v>1</v>
      </c>
    </row>
    <row r="320" spans="2:32" ht="30" customHeight="1">
      <c r="B320" s="1256"/>
      <c r="C320" s="1291"/>
      <c r="D320" s="1239"/>
      <c r="E320" s="1239"/>
      <c r="F320" s="9"/>
      <c r="G320" s="1256"/>
      <c r="H320" s="1257"/>
      <c r="I320" s="1261"/>
      <c r="J320" s="1261"/>
      <c r="L320" s="5946"/>
      <c r="M320" s="1244"/>
      <c r="N320" s="54"/>
      <c r="O320" s="1247"/>
      <c r="P320" s="1247"/>
      <c r="Q320" s="176"/>
      <c r="R320" s="5937"/>
      <c r="S320" s="1240"/>
      <c r="T320" s="1239"/>
      <c r="U320" s="1239"/>
      <c r="W320" s="5937">
        <f t="shared" si="43"/>
        <v>14</v>
      </c>
      <c r="X320" s="1259" t="s">
        <v>6939</v>
      </c>
      <c r="Y320" s="1260" t="s">
        <v>6940</v>
      </c>
      <c r="Z320" s="1263" t="s">
        <v>6941</v>
      </c>
      <c r="AA320" s="1260" t="s">
        <v>6942</v>
      </c>
      <c r="AB320" s="1260" t="s">
        <v>6943</v>
      </c>
      <c r="AC320" s="1260" t="s">
        <v>6944</v>
      </c>
      <c r="AD320" s="1259" t="s">
        <v>6939</v>
      </c>
      <c r="AF320" s="3">
        <v>1</v>
      </c>
    </row>
    <row r="321" spans="2:32" ht="30" customHeight="1">
      <c r="B321" s="1256"/>
      <c r="C321" s="1291"/>
      <c r="D321" s="1239"/>
      <c r="E321" s="1239"/>
      <c r="F321" s="9"/>
      <c r="G321" s="1256"/>
      <c r="H321" s="1257"/>
      <c r="I321" s="1261"/>
      <c r="J321" s="1261"/>
      <c r="L321" s="5946"/>
      <c r="M321" s="1244"/>
      <c r="N321" s="54"/>
      <c r="O321" s="1247"/>
      <c r="P321" s="1247"/>
      <c r="Q321" s="176"/>
      <c r="R321" s="5937"/>
      <c r="S321" s="1240"/>
      <c r="T321" s="1239"/>
      <c r="U321" s="1239"/>
      <c r="W321" s="5937">
        <f t="shared" si="43"/>
        <v>15</v>
      </c>
      <c r="X321" s="1259" t="s">
        <v>6945</v>
      </c>
      <c r="Y321" s="1260" t="s">
        <v>6946</v>
      </c>
      <c r="Z321" s="1263" t="s">
        <v>6947</v>
      </c>
      <c r="AA321" s="1260" t="s">
        <v>6948</v>
      </c>
      <c r="AB321" s="1260" t="s">
        <v>6949</v>
      </c>
      <c r="AC321" s="1260" t="s">
        <v>6950</v>
      </c>
      <c r="AD321" s="1259" t="s">
        <v>6945</v>
      </c>
      <c r="AF321" s="3">
        <v>1</v>
      </c>
    </row>
    <row r="322" spans="2:32" ht="30" customHeight="1">
      <c r="B322" s="1256"/>
      <c r="C322" s="1291"/>
      <c r="D322" s="1239"/>
      <c r="E322" s="1239"/>
      <c r="F322" s="9"/>
      <c r="G322" s="1256"/>
      <c r="H322" s="1257"/>
      <c r="I322" s="1261"/>
      <c r="J322" s="1261"/>
      <c r="L322" s="5946"/>
      <c r="M322" s="1244"/>
      <c r="N322" s="54"/>
      <c r="O322" s="1247"/>
      <c r="P322" s="1247"/>
      <c r="Q322" s="176"/>
      <c r="R322" s="5937"/>
      <c r="S322" s="1240"/>
      <c r="T322" s="1239"/>
      <c r="U322" s="1239"/>
      <c r="W322" s="5937">
        <f t="shared" si="43"/>
        <v>16</v>
      </c>
      <c r="X322" s="1259" t="s">
        <v>6951</v>
      </c>
      <c r="Y322" s="1239" t="s">
        <v>6952</v>
      </c>
      <c r="Z322" s="1239" t="s">
        <v>6953</v>
      </c>
      <c r="AA322" s="1260" t="s">
        <v>6954</v>
      </c>
      <c r="AB322" s="1260" t="s">
        <v>6955</v>
      </c>
      <c r="AC322" s="1260" t="s">
        <v>6956</v>
      </c>
      <c r="AD322" s="1259" t="s">
        <v>6951</v>
      </c>
      <c r="AF322" s="3">
        <v>1</v>
      </c>
    </row>
    <row r="323" spans="2:32" ht="30" customHeight="1">
      <c r="B323" s="1256"/>
      <c r="C323" s="1291"/>
      <c r="D323" s="1239"/>
      <c r="E323" s="1239"/>
      <c r="F323" s="9"/>
      <c r="G323" s="1256"/>
      <c r="H323" s="1257"/>
      <c r="I323" s="1261"/>
      <c r="J323" s="1261"/>
      <c r="L323" s="5946"/>
      <c r="M323" s="1244"/>
      <c r="N323" s="54"/>
      <c r="O323" s="1247"/>
      <c r="P323" s="1247"/>
      <c r="Q323" s="176"/>
      <c r="R323" s="5937"/>
      <c r="S323" s="1240"/>
      <c r="T323" s="1239"/>
      <c r="U323" s="1239"/>
      <c r="W323" s="5937">
        <f t="shared" si="43"/>
        <v>17</v>
      </c>
      <c r="X323" s="1259" t="s">
        <v>6957</v>
      </c>
      <c r="Y323" s="1260" t="s">
        <v>6958</v>
      </c>
      <c r="Z323" s="1263" t="s">
        <v>6959</v>
      </c>
      <c r="AA323" s="1260" t="s">
        <v>6960</v>
      </c>
      <c r="AB323" s="1260" t="s">
        <v>6961</v>
      </c>
      <c r="AC323" s="1260" t="s">
        <v>6962</v>
      </c>
      <c r="AD323" s="1259" t="s">
        <v>6957</v>
      </c>
      <c r="AF323" s="3">
        <v>1</v>
      </c>
    </row>
    <row r="324" spans="2:32" ht="30" customHeight="1">
      <c r="B324" s="1256"/>
      <c r="C324" s="1291"/>
      <c r="D324" s="1239"/>
      <c r="E324" s="1239"/>
      <c r="F324" s="9"/>
      <c r="G324" s="1256"/>
      <c r="H324" s="1257"/>
      <c r="I324" s="1261"/>
      <c r="J324" s="1261"/>
      <c r="L324" s="5946"/>
      <c r="M324" s="1244"/>
      <c r="N324" s="54"/>
      <c r="O324" s="1247"/>
      <c r="P324" s="1247"/>
      <c r="Q324" s="176"/>
      <c r="R324" s="5937"/>
      <c r="S324" s="1240"/>
      <c r="T324" s="1239"/>
      <c r="U324" s="1239"/>
      <c r="W324" s="5937">
        <f t="shared" si="43"/>
        <v>18</v>
      </c>
      <c r="X324" s="1259" t="s">
        <v>6963</v>
      </c>
      <c r="Y324" s="1260" t="s">
        <v>6964</v>
      </c>
      <c r="Z324" s="1263" t="s">
        <v>6965</v>
      </c>
      <c r="AA324" s="1260" t="s">
        <v>6966</v>
      </c>
      <c r="AB324" s="1260" t="s">
        <v>6967</v>
      </c>
      <c r="AC324" s="1260" t="s">
        <v>6968</v>
      </c>
      <c r="AD324" s="1259" t="s">
        <v>6963</v>
      </c>
      <c r="AF324" s="3">
        <v>1</v>
      </c>
    </row>
    <row r="325" spans="2:32" ht="30" customHeight="1">
      <c r="B325" s="1256"/>
      <c r="C325" s="1291"/>
      <c r="D325" s="1239"/>
      <c r="E325" s="1239"/>
      <c r="F325" s="9"/>
      <c r="G325" s="1256"/>
      <c r="H325" s="1257"/>
      <c r="I325" s="1261"/>
      <c r="J325" s="1261"/>
      <c r="L325" s="5946"/>
      <c r="M325" s="1244"/>
      <c r="N325" s="54"/>
      <c r="O325" s="1247"/>
      <c r="P325" s="1247"/>
      <c r="Q325" s="176"/>
      <c r="R325" s="5937"/>
      <c r="S325" s="1240"/>
      <c r="T325" s="1239"/>
      <c r="U325" s="1239"/>
      <c r="W325" s="5937">
        <f t="shared" si="43"/>
        <v>19</v>
      </c>
      <c r="X325" s="1259" t="s">
        <v>6969</v>
      </c>
      <c r="Y325" s="1260" t="s">
        <v>6970</v>
      </c>
      <c r="Z325" s="1263" t="s">
        <v>6971</v>
      </c>
      <c r="AA325" s="1260" t="s">
        <v>6972</v>
      </c>
      <c r="AB325" s="1260" t="s">
        <v>6973</v>
      </c>
      <c r="AC325" s="1260" t="s">
        <v>6974</v>
      </c>
      <c r="AD325" s="1259" t="s">
        <v>6969</v>
      </c>
      <c r="AF325" s="3">
        <v>1</v>
      </c>
    </row>
    <row r="326" spans="2:32" ht="30" customHeight="1">
      <c r="B326" s="1256"/>
      <c r="C326" s="1291"/>
      <c r="D326" s="1239"/>
      <c r="E326" s="1239"/>
      <c r="F326" s="9"/>
      <c r="G326" s="1256"/>
      <c r="H326" s="1257"/>
      <c r="I326" s="1261"/>
      <c r="J326" s="1261"/>
      <c r="L326" s="5946"/>
      <c r="M326" s="1244"/>
      <c r="N326" s="54"/>
      <c r="O326" s="1247"/>
      <c r="P326" s="1247"/>
      <c r="Q326" s="176"/>
      <c r="R326" s="5937"/>
      <c r="S326" s="1240"/>
      <c r="T326" s="1239"/>
      <c r="U326" s="1239"/>
      <c r="W326" s="5937">
        <f t="shared" si="43"/>
        <v>20</v>
      </c>
      <c r="X326" s="1259" t="s">
        <v>6975</v>
      </c>
      <c r="Y326" s="1260" t="s">
        <v>6976</v>
      </c>
      <c r="Z326" s="1263" t="s">
        <v>6977</v>
      </c>
      <c r="AA326" s="1260" t="s">
        <v>6978</v>
      </c>
      <c r="AB326" s="1260" t="s">
        <v>6979</v>
      </c>
      <c r="AC326" s="1260" t="s">
        <v>6980</v>
      </c>
      <c r="AD326" s="1259" t="s">
        <v>6975</v>
      </c>
      <c r="AF326" s="3">
        <v>1</v>
      </c>
    </row>
    <row r="327" spans="2:32" ht="30" customHeight="1">
      <c r="B327" s="1256"/>
      <c r="C327" s="1291"/>
      <c r="D327" s="1239"/>
      <c r="E327" s="1239"/>
      <c r="F327" s="9"/>
      <c r="G327" s="1256"/>
      <c r="H327" s="1257"/>
      <c r="I327" s="1261"/>
      <c r="J327" s="1261"/>
      <c r="L327" s="5946"/>
      <c r="M327" s="1244"/>
      <c r="N327" s="54"/>
      <c r="O327" s="1247"/>
      <c r="P327" s="1247"/>
      <c r="Q327" s="176"/>
      <c r="R327" s="5937"/>
      <c r="S327" s="1240"/>
      <c r="T327" s="1239"/>
      <c r="U327" s="1239"/>
      <c r="W327" s="5937">
        <f t="shared" si="43"/>
        <v>21</v>
      </c>
      <c r="X327" s="1259" t="s">
        <v>6981</v>
      </c>
      <c r="Y327" s="1260" t="s">
        <v>6982</v>
      </c>
      <c r="Z327" s="1263" t="s">
        <v>6983</v>
      </c>
      <c r="AA327" s="1260" t="s">
        <v>6984</v>
      </c>
      <c r="AB327" s="1260" t="s">
        <v>6985</v>
      </c>
      <c r="AC327" s="1260" t="s">
        <v>6986</v>
      </c>
      <c r="AD327" s="1259" t="s">
        <v>6981</v>
      </c>
      <c r="AF327" s="3">
        <v>1</v>
      </c>
    </row>
    <row r="328" spans="2:32" ht="30" customHeight="1">
      <c r="B328" s="1256"/>
      <c r="C328" s="1291"/>
      <c r="D328" s="1239"/>
      <c r="E328" s="1239"/>
      <c r="F328" s="9"/>
      <c r="G328" s="1256"/>
      <c r="H328" s="1257"/>
      <c r="I328" s="1261"/>
      <c r="J328" s="1261"/>
      <c r="L328" s="5946"/>
      <c r="M328" s="1244"/>
      <c r="N328" s="54"/>
      <c r="O328" s="1247"/>
      <c r="P328" s="1247"/>
      <c r="Q328" s="176"/>
      <c r="R328" s="5937"/>
      <c r="S328" s="1240"/>
      <c r="T328" s="1239"/>
      <c r="U328" s="1239"/>
      <c r="W328" s="5937">
        <f t="shared" si="43"/>
        <v>22</v>
      </c>
      <c r="X328" s="1259" t="s">
        <v>6987</v>
      </c>
      <c r="Y328" s="1239" t="s">
        <v>6988</v>
      </c>
      <c r="Z328" s="1239" t="s">
        <v>6989</v>
      </c>
      <c r="AA328" s="1260" t="s">
        <v>6990</v>
      </c>
      <c r="AB328" s="1260" t="s">
        <v>6991</v>
      </c>
      <c r="AC328" s="1260" t="s">
        <v>6992</v>
      </c>
      <c r="AD328" s="1259" t="s">
        <v>6987</v>
      </c>
      <c r="AF328" s="3">
        <v>1</v>
      </c>
    </row>
    <row r="329" spans="2:32" ht="30" customHeight="1">
      <c r="B329" s="1256"/>
      <c r="C329" s="1291"/>
      <c r="D329" s="1239"/>
      <c r="E329" s="1239"/>
      <c r="F329" s="9"/>
      <c r="G329" s="1256"/>
      <c r="H329" s="1257"/>
      <c r="I329" s="1261"/>
      <c r="J329" s="1261"/>
      <c r="L329" s="5946"/>
      <c r="M329" s="1244"/>
      <c r="N329" s="54"/>
      <c r="O329" s="1247"/>
      <c r="P329" s="1247"/>
      <c r="Q329" s="176"/>
      <c r="R329" s="5937"/>
      <c r="S329" s="1240"/>
      <c r="T329" s="1239"/>
      <c r="U329" s="1239"/>
      <c r="W329" s="5937">
        <f t="shared" si="43"/>
        <v>23</v>
      </c>
      <c r="X329" s="1259" t="s">
        <v>6993</v>
      </c>
      <c r="Y329" s="1260" t="s">
        <v>6994</v>
      </c>
      <c r="Z329" s="1263" t="s">
        <v>6995</v>
      </c>
      <c r="AA329" s="1260" t="s">
        <v>6996</v>
      </c>
      <c r="AB329" s="1260" t="s">
        <v>6997</v>
      </c>
      <c r="AC329" s="1260" t="s">
        <v>6998</v>
      </c>
      <c r="AD329" s="1259" t="s">
        <v>6993</v>
      </c>
      <c r="AF329" s="3">
        <v>1</v>
      </c>
    </row>
    <row r="330" spans="2:32" ht="30" customHeight="1">
      <c r="B330" s="1256"/>
      <c r="C330" s="1291"/>
      <c r="D330" s="1239"/>
      <c r="E330" s="1239"/>
      <c r="F330" s="9"/>
      <c r="G330" s="1256"/>
      <c r="H330" s="1257"/>
      <c r="I330" s="1261"/>
      <c r="J330" s="1261"/>
      <c r="L330" s="5946"/>
      <c r="M330" s="1244"/>
      <c r="N330" s="54"/>
      <c r="O330" s="1247"/>
      <c r="P330" s="1247"/>
      <c r="Q330" s="176"/>
      <c r="R330" s="5937"/>
      <c r="S330" s="1240"/>
      <c r="T330" s="1239"/>
      <c r="U330" s="1239"/>
      <c r="W330" s="5937">
        <f t="shared" si="43"/>
        <v>24</v>
      </c>
      <c r="X330" s="1259" t="s">
        <v>6999</v>
      </c>
      <c r="Y330" s="1260" t="s">
        <v>5296</v>
      </c>
      <c r="Z330" s="1263" t="s">
        <v>5297</v>
      </c>
      <c r="AA330" s="1260" t="s">
        <v>7000</v>
      </c>
      <c r="AB330" s="1260" t="s">
        <v>6248</v>
      </c>
      <c r="AC330" s="1260" t="s">
        <v>6249</v>
      </c>
      <c r="AD330" s="1259" t="s">
        <v>6999</v>
      </c>
      <c r="AF330" s="3">
        <v>1</v>
      </c>
    </row>
    <row r="331" spans="2:32" ht="30" customHeight="1">
      <c r="B331" s="1256"/>
      <c r="C331" s="1291"/>
      <c r="D331" s="1239"/>
      <c r="E331" s="1239"/>
      <c r="F331" s="9"/>
      <c r="G331" s="1256"/>
      <c r="H331" s="1257"/>
      <c r="I331" s="1261"/>
      <c r="J331" s="1261"/>
      <c r="L331" s="5946"/>
      <c r="M331" s="1244"/>
      <c r="N331" s="54"/>
      <c r="O331" s="1247"/>
      <c r="P331" s="1247"/>
      <c r="Q331" s="176"/>
      <c r="R331" s="5937"/>
      <c r="S331" s="1240"/>
      <c r="T331" s="1239"/>
      <c r="U331" s="1239"/>
      <c r="W331" s="5937">
        <f t="shared" si="43"/>
        <v>25</v>
      </c>
      <c r="X331" s="1259" t="s">
        <v>7001</v>
      </c>
      <c r="Y331" s="1260" t="s">
        <v>7002</v>
      </c>
      <c r="Z331" s="1263" t="s">
        <v>7003</v>
      </c>
      <c r="AA331" s="1260" t="s">
        <v>7004</v>
      </c>
      <c r="AB331" s="1260" t="s">
        <v>7005</v>
      </c>
      <c r="AC331" s="1260" t="s">
        <v>7006</v>
      </c>
      <c r="AD331" s="1259" t="s">
        <v>7001</v>
      </c>
      <c r="AF331" s="3">
        <v>1</v>
      </c>
    </row>
    <row r="332" spans="2:32" ht="30" customHeight="1">
      <c r="B332" s="1256"/>
      <c r="C332" s="1291"/>
      <c r="D332" s="1239"/>
      <c r="E332" s="1239"/>
      <c r="F332" s="9"/>
      <c r="G332" s="1256"/>
      <c r="H332" s="1257"/>
      <c r="I332" s="1261"/>
      <c r="J332" s="1261"/>
      <c r="L332" s="5946"/>
      <c r="M332" s="1244"/>
      <c r="N332" s="54"/>
      <c r="O332" s="1247"/>
      <c r="P332" s="1247"/>
      <c r="Q332" s="176"/>
      <c r="R332" s="5937"/>
      <c r="S332" s="1240"/>
      <c r="T332" s="1239"/>
      <c r="U332" s="1239"/>
      <c r="W332" s="5937">
        <f t="shared" si="43"/>
        <v>26</v>
      </c>
      <c r="X332" s="1259" t="s">
        <v>7007</v>
      </c>
      <c r="Y332" s="1260" t="s">
        <v>7008</v>
      </c>
      <c r="Z332" s="1263" t="s">
        <v>7009</v>
      </c>
      <c r="AA332" s="1260" t="s">
        <v>7010</v>
      </c>
      <c r="AB332" s="1260" t="s">
        <v>7011</v>
      </c>
      <c r="AC332" s="1260" t="s">
        <v>7012</v>
      </c>
      <c r="AD332" s="1259" t="s">
        <v>7007</v>
      </c>
      <c r="AF332" s="3">
        <v>1</v>
      </c>
    </row>
    <row r="333" spans="2:32" ht="30" customHeight="1">
      <c r="B333" s="1256"/>
      <c r="C333" s="1291"/>
      <c r="D333" s="1239"/>
      <c r="E333" s="1239"/>
      <c r="F333" s="9"/>
      <c r="G333" s="1256"/>
      <c r="H333" s="1257"/>
      <c r="I333" s="1261"/>
      <c r="J333" s="1261"/>
      <c r="L333" s="5946"/>
      <c r="M333" s="1244"/>
      <c r="N333" s="54"/>
      <c r="O333" s="1247"/>
      <c r="P333" s="1247"/>
      <c r="Q333" s="176"/>
      <c r="R333" s="5937"/>
      <c r="S333" s="1240"/>
      <c r="T333" s="1239"/>
      <c r="U333" s="1239"/>
      <c r="W333" s="5937">
        <f t="shared" si="43"/>
        <v>27</v>
      </c>
      <c r="X333" s="1259" t="s">
        <v>7013</v>
      </c>
      <c r="Y333" s="1260" t="s">
        <v>7014</v>
      </c>
      <c r="Z333" s="1263" t="s">
        <v>7015</v>
      </c>
      <c r="AA333" s="1260" t="s">
        <v>7016</v>
      </c>
      <c r="AB333" s="1260" t="s">
        <v>7017</v>
      </c>
      <c r="AC333" s="1260" t="s">
        <v>7018</v>
      </c>
      <c r="AD333" s="1259" t="s">
        <v>7013</v>
      </c>
      <c r="AF333" s="3">
        <v>1</v>
      </c>
    </row>
    <row r="334" spans="2:32" ht="30" customHeight="1">
      <c r="B334" s="1256"/>
      <c r="C334" s="1291"/>
      <c r="D334" s="1239"/>
      <c r="E334" s="1239"/>
      <c r="F334" s="9"/>
      <c r="G334" s="1256"/>
      <c r="H334" s="1257"/>
      <c r="I334" s="1261"/>
      <c r="J334" s="1261"/>
      <c r="L334" s="5946"/>
      <c r="M334" s="1244"/>
      <c r="N334" s="54"/>
      <c r="O334" s="1247"/>
      <c r="P334" s="1247"/>
      <c r="Q334" s="176"/>
      <c r="R334" s="5937"/>
      <c r="S334" s="1240"/>
      <c r="T334" s="1239"/>
      <c r="U334" s="1239"/>
      <c r="W334" s="5937">
        <f t="shared" si="43"/>
        <v>28</v>
      </c>
      <c r="X334" s="1259" t="s">
        <v>7019</v>
      </c>
      <c r="Y334" s="1260" t="s">
        <v>7020</v>
      </c>
      <c r="Z334" s="1263" t="s">
        <v>7021</v>
      </c>
      <c r="AA334" s="1260" t="s">
        <v>7022</v>
      </c>
      <c r="AB334" s="1260" t="s">
        <v>7023</v>
      </c>
      <c r="AC334" s="1260" t="s">
        <v>7024</v>
      </c>
      <c r="AD334" s="1259" t="s">
        <v>7019</v>
      </c>
      <c r="AF334" s="3">
        <v>1</v>
      </c>
    </row>
    <row r="335" spans="2:32" ht="30" customHeight="1">
      <c r="B335" s="1256"/>
      <c r="C335" s="1291"/>
      <c r="D335" s="1239"/>
      <c r="E335" s="1239"/>
      <c r="F335" s="9"/>
      <c r="G335" s="1256"/>
      <c r="H335" s="1257"/>
      <c r="I335" s="1261"/>
      <c r="J335" s="1261"/>
      <c r="L335" s="5946"/>
      <c r="M335" s="1244"/>
      <c r="N335" s="54"/>
      <c r="O335" s="1247"/>
      <c r="P335" s="1247"/>
      <c r="Q335" s="176"/>
      <c r="R335" s="5937"/>
      <c r="S335" s="1240"/>
      <c r="T335" s="1239"/>
      <c r="U335" s="1239"/>
      <c r="W335" s="5937">
        <f t="shared" si="43"/>
        <v>29</v>
      </c>
      <c r="X335" s="1259" t="s">
        <v>7025</v>
      </c>
      <c r="Y335" s="1260" t="s">
        <v>7026</v>
      </c>
      <c r="Z335" s="1263" t="s">
        <v>7027</v>
      </c>
      <c r="AA335" s="1260" t="s">
        <v>7028</v>
      </c>
      <c r="AB335" s="1260" t="s">
        <v>7029</v>
      </c>
      <c r="AC335" s="1260" t="s">
        <v>7030</v>
      </c>
      <c r="AD335" s="1259" t="s">
        <v>7025</v>
      </c>
      <c r="AF335" s="3">
        <v>1</v>
      </c>
    </row>
    <row r="336" spans="2:32" ht="30" customHeight="1">
      <c r="B336" s="1256"/>
      <c r="C336" s="1291"/>
      <c r="D336" s="1239"/>
      <c r="E336" s="1239"/>
      <c r="F336" s="9"/>
      <c r="G336" s="1256"/>
      <c r="H336" s="1257"/>
      <c r="I336" s="1261"/>
      <c r="J336" s="1261"/>
      <c r="L336" s="5946"/>
      <c r="M336" s="1244"/>
      <c r="N336" s="54"/>
      <c r="O336" s="1247"/>
      <c r="P336" s="1247"/>
      <c r="Q336" s="176"/>
      <c r="R336" s="5937"/>
      <c r="S336" s="1240"/>
      <c r="T336" s="1239"/>
      <c r="U336" s="1239"/>
      <c r="W336" s="5937">
        <f t="shared" si="43"/>
        <v>30</v>
      </c>
      <c r="X336" s="1259" t="s">
        <v>7031</v>
      </c>
      <c r="Y336" s="1239" t="s">
        <v>7032</v>
      </c>
      <c r="Z336" s="1239" t="s">
        <v>7033</v>
      </c>
      <c r="AA336" s="1260" t="s">
        <v>7034</v>
      </c>
      <c r="AB336" s="1260" t="s">
        <v>7035</v>
      </c>
      <c r="AC336" s="1260" t="s">
        <v>7036</v>
      </c>
      <c r="AD336" s="1259" t="s">
        <v>7031</v>
      </c>
      <c r="AF336" s="3">
        <v>1</v>
      </c>
    </row>
    <row r="337" spans="2:32" ht="30" customHeight="1">
      <c r="B337" s="1256"/>
      <c r="C337" s="1291"/>
      <c r="D337" s="1239"/>
      <c r="E337" s="1239"/>
      <c r="F337" s="9"/>
      <c r="G337" s="1256"/>
      <c r="H337" s="1257"/>
      <c r="I337" s="1261"/>
      <c r="J337" s="1261"/>
      <c r="L337" s="5946"/>
      <c r="M337" s="1244"/>
      <c r="N337" s="54"/>
      <c r="O337" s="1247"/>
      <c r="P337" s="1247"/>
      <c r="Q337" s="176"/>
      <c r="R337" s="5937"/>
      <c r="S337" s="1240"/>
      <c r="T337" s="1239"/>
      <c r="U337" s="1239"/>
      <c r="W337" s="5937">
        <f t="shared" si="43"/>
        <v>31</v>
      </c>
      <c r="X337" s="1259" t="s">
        <v>7037</v>
      </c>
      <c r="Y337" s="1260" t="s">
        <v>7038</v>
      </c>
      <c r="Z337" s="1263" t="s">
        <v>7039</v>
      </c>
      <c r="AA337" s="1260" t="s">
        <v>7040</v>
      </c>
      <c r="AB337" s="1260" t="s">
        <v>7041</v>
      </c>
      <c r="AC337" s="1260" t="s">
        <v>7042</v>
      </c>
      <c r="AD337" s="1259" t="s">
        <v>7037</v>
      </c>
      <c r="AF337" s="3">
        <v>1</v>
      </c>
    </row>
    <row r="338" spans="2:32" ht="30" customHeight="1">
      <c r="B338" s="1256"/>
      <c r="C338" s="1291"/>
      <c r="D338" s="1239"/>
      <c r="E338" s="1239"/>
      <c r="F338" s="9"/>
      <c r="G338" s="1256"/>
      <c r="H338" s="1257"/>
      <c r="I338" s="1261"/>
      <c r="J338" s="1261"/>
      <c r="L338" s="5946"/>
      <c r="M338" s="1244"/>
      <c r="N338" s="54"/>
      <c r="O338" s="1247"/>
      <c r="P338" s="1247"/>
      <c r="Q338" s="176"/>
      <c r="R338" s="5937"/>
      <c r="S338" s="1240"/>
      <c r="T338" s="1239"/>
      <c r="U338" s="1239"/>
      <c r="W338" s="5937">
        <f t="shared" si="43"/>
        <v>32</v>
      </c>
      <c r="X338" s="1259" t="s">
        <v>7043</v>
      </c>
      <c r="Y338" s="1260" t="s">
        <v>7044</v>
      </c>
      <c r="Z338" s="1263" t="s">
        <v>7045</v>
      </c>
      <c r="AA338" s="1260" t="s">
        <v>5856</v>
      </c>
      <c r="AB338" s="1260" t="s">
        <v>5857</v>
      </c>
      <c r="AC338" s="1260" t="s">
        <v>5858</v>
      </c>
      <c r="AD338" s="1259" t="s">
        <v>7043</v>
      </c>
      <c r="AF338" s="3">
        <v>1</v>
      </c>
    </row>
    <row r="339" spans="2:32" ht="30" customHeight="1">
      <c r="B339" s="1256"/>
      <c r="C339" s="1291"/>
      <c r="D339" s="1239"/>
      <c r="E339" s="1239"/>
      <c r="F339" s="9"/>
      <c r="G339" s="1256"/>
      <c r="H339" s="1257"/>
      <c r="I339" s="1261"/>
      <c r="J339" s="1261"/>
      <c r="L339" s="5946"/>
      <c r="M339" s="1244"/>
      <c r="N339" s="54"/>
      <c r="O339" s="1247"/>
      <c r="P339" s="1247"/>
      <c r="Q339" s="176"/>
      <c r="R339" s="5937"/>
      <c r="S339" s="1240"/>
      <c r="T339" s="1239"/>
      <c r="U339" s="1239"/>
      <c r="W339" s="5937">
        <f t="shared" si="43"/>
        <v>33</v>
      </c>
      <c r="X339" s="1259" t="s">
        <v>7046</v>
      </c>
      <c r="Y339" s="1260" t="s">
        <v>7047</v>
      </c>
      <c r="Z339" s="1263" t="s">
        <v>7048</v>
      </c>
      <c r="AA339" s="1260" t="s">
        <v>7049</v>
      </c>
      <c r="AB339" s="1260" t="s">
        <v>7050</v>
      </c>
      <c r="AC339" s="1260" t="s">
        <v>7051</v>
      </c>
      <c r="AD339" s="1259" t="s">
        <v>7046</v>
      </c>
      <c r="AF339" s="3">
        <v>1</v>
      </c>
    </row>
    <row r="340" spans="2:32" ht="30" customHeight="1">
      <c r="B340" s="1256"/>
      <c r="C340" s="1291"/>
      <c r="D340" s="1239"/>
      <c r="E340" s="1239"/>
      <c r="F340" s="9"/>
      <c r="G340" s="1256"/>
      <c r="H340" s="1257"/>
      <c r="I340" s="1261"/>
      <c r="J340" s="1261"/>
      <c r="L340" s="5946"/>
      <c r="M340" s="1244"/>
      <c r="N340" s="54"/>
      <c r="O340" s="1247"/>
      <c r="P340" s="1247"/>
      <c r="Q340" s="176"/>
      <c r="R340" s="5937"/>
      <c r="S340" s="1240"/>
      <c r="T340" s="1239"/>
      <c r="U340" s="1239"/>
      <c r="W340" s="5937">
        <f t="shared" si="43"/>
        <v>34</v>
      </c>
      <c r="X340" s="1259" t="s">
        <v>7052</v>
      </c>
      <c r="Y340" s="1260" t="s">
        <v>7053</v>
      </c>
      <c r="Z340" s="1263" t="s">
        <v>7054</v>
      </c>
      <c r="AA340" s="1260" t="s">
        <v>7055</v>
      </c>
      <c r="AB340" s="1260" t="s">
        <v>7056</v>
      </c>
      <c r="AC340" s="1288" t="s">
        <v>7057</v>
      </c>
      <c r="AD340" s="1259" t="s">
        <v>7052</v>
      </c>
      <c r="AF340" s="3">
        <v>1</v>
      </c>
    </row>
    <row r="341" spans="2:32" ht="30" customHeight="1">
      <c r="B341" s="1256"/>
      <c r="C341" s="1291"/>
      <c r="D341" s="1239"/>
      <c r="E341" s="1239"/>
      <c r="F341" s="9"/>
      <c r="G341" s="1256"/>
      <c r="H341" s="1257"/>
      <c r="I341" s="1261"/>
      <c r="J341" s="1261"/>
      <c r="L341" s="5946"/>
      <c r="M341" s="1244"/>
      <c r="N341" s="54"/>
      <c r="O341" s="1247"/>
      <c r="P341" s="1247"/>
      <c r="Q341" s="176"/>
      <c r="R341" s="5937"/>
      <c r="S341" s="1240"/>
      <c r="T341" s="1239"/>
      <c r="U341" s="1239"/>
      <c r="W341" s="5937">
        <f t="shared" si="43"/>
        <v>35</v>
      </c>
      <c r="X341" s="1259" t="s">
        <v>7058</v>
      </c>
      <c r="Y341" s="1260" t="s">
        <v>7059</v>
      </c>
      <c r="Z341" s="1263" t="s">
        <v>7060</v>
      </c>
      <c r="AA341" s="1260" t="s">
        <v>7061</v>
      </c>
      <c r="AB341" s="1260" t="s">
        <v>7062</v>
      </c>
      <c r="AC341" s="1260" t="s">
        <v>7063</v>
      </c>
      <c r="AD341" s="1259" t="s">
        <v>7058</v>
      </c>
      <c r="AF341" s="3">
        <v>1</v>
      </c>
    </row>
    <row r="342" spans="2:32" ht="30" customHeight="1">
      <c r="B342" s="1256"/>
      <c r="C342" s="1291"/>
      <c r="D342" s="1239"/>
      <c r="E342" s="1239"/>
      <c r="F342" s="9"/>
      <c r="G342" s="1256"/>
      <c r="H342" s="1257"/>
      <c r="I342" s="1261"/>
      <c r="J342" s="1261"/>
      <c r="L342" s="5946"/>
      <c r="M342" s="1244"/>
      <c r="N342" s="54"/>
      <c r="O342" s="1247"/>
      <c r="P342" s="1247"/>
      <c r="Q342" s="176"/>
      <c r="R342" s="5937"/>
      <c r="S342" s="1240"/>
      <c r="T342" s="1239"/>
      <c r="U342" s="1239"/>
      <c r="W342" s="5937">
        <f t="shared" si="43"/>
        <v>36</v>
      </c>
      <c r="X342" s="1259" t="s">
        <v>7064</v>
      </c>
      <c r="Y342" s="1260" t="s">
        <v>7065</v>
      </c>
      <c r="Z342" s="1263" t="s">
        <v>7066</v>
      </c>
      <c r="AA342" s="1260" t="s">
        <v>7067</v>
      </c>
      <c r="AB342" s="1260" t="s">
        <v>7068</v>
      </c>
      <c r="AC342" s="1260" t="s">
        <v>7069</v>
      </c>
      <c r="AD342" s="1259" t="s">
        <v>7064</v>
      </c>
      <c r="AF342" s="3">
        <v>1</v>
      </c>
    </row>
    <row r="343" spans="2:32" ht="30" customHeight="1">
      <c r="B343" s="1256"/>
      <c r="C343" s="1291"/>
      <c r="D343" s="1239"/>
      <c r="E343" s="1239"/>
      <c r="F343" s="9"/>
      <c r="G343" s="1256"/>
      <c r="H343" s="1257"/>
      <c r="I343" s="1261"/>
      <c r="J343" s="1261"/>
      <c r="L343" s="5946"/>
      <c r="M343" s="1244"/>
      <c r="N343" s="54"/>
      <c r="O343" s="1247"/>
      <c r="P343" s="1247"/>
      <c r="Q343" s="176"/>
      <c r="R343" s="5937"/>
      <c r="S343" s="1240"/>
      <c r="T343" s="1239"/>
      <c r="U343" s="1239"/>
      <c r="X343" s="5952" t="s">
        <v>7070</v>
      </c>
      <c r="Y343" s="1290"/>
      <c r="Z343" s="1290"/>
      <c r="AA343" s="1290"/>
      <c r="AB343" s="1255"/>
      <c r="AC343" s="1255"/>
      <c r="AD343" s="5952" t="s">
        <v>7070</v>
      </c>
      <c r="AF343" s="3">
        <v>1</v>
      </c>
    </row>
    <row r="344" spans="2:32" ht="30" customHeight="1">
      <c r="B344" s="1256"/>
      <c r="C344" s="1291"/>
      <c r="D344" s="1239"/>
      <c r="E344" s="1239"/>
      <c r="F344" s="9"/>
      <c r="G344" s="1256"/>
      <c r="H344" s="1257"/>
      <c r="I344" s="1261"/>
      <c r="J344" s="1261"/>
      <c r="L344" s="5946"/>
      <c r="M344" s="1244"/>
      <c r="N344" s="54"/>
      <c r="O344" s="1247"/>
      <c r="P344" s="1247"/>
      <c r="Q344" s="176"/>
      <c r="R344" s="5937"/>
      <c r="S344" s="1240"/>
      <c r="T344" s="1239"/>
      <c r="U344" s="1239"/>
      <c r="W344" s="5937">
        <v>1</v>
      </c>
      <c r="X344" s="1292" t="s">
        <v>7071</v>
      </c>
      <c r="Y344" s="1260" t="s">
        <v>7072</v>
      </c>
      <c r="Z344" s="1260" t="s">
        <v>7073</v>
      </c>
      <c r="AA344" s="1260" t="s">
        <v>7074</v>
      </c>
      <c r="AB344" s="1260" t="s">
        <v>7075</v>
      </c>
      <c r="AC344" s="1260" t="s">
        <v>7076</v>
      </c>
      <c r="AD344" s="1292" t="s">
        <v>7071</v>
      </c>
      <c r="AF344" s="3">
        <v>1</v>
      </c>
    </row>
    <row r="345" spans="2:32" ht="30" customHeight="1">
      <c r="B345" s="1256"/>
      <c r="C345" s="1291"/>
      <c r="D345" s="1239"/>
      <c r="E345" s="1239"/>
      <c r="F345" s="9"/>
      <c r="G345" s="1256"/>
      <c r="H345" s="1257"/>
      <c r="I345" s="1261"/>
      <c r="J345" s="1261"/>
      <c r="L345" s="5946"/>
      <c r="M345" s="1244"/>
      <c r="N345" s="54"/>
      <c r="O345" s="1247"/>
      <c r="P345" s="1247"/>
      <c r="Q345" s="176"/>
      <c r="R345" s="5937"/>
      <c r="S345" s="1240"/>
      <c r="T345" s="1239"/>
      <c r="U345" s="1239"/>
      <c r="W345" s="5937"/>
      <c r="X345" s="1293"/>
      <c r="AA345" s="1260" t="s">
        <v>7077</v>
      </c>
      <c r="AB345" s="1260" t="s">
        <v>7078</v>
      </c>
      <c r="AC345" s="1260" t="s">
        <v>7079</v>
      </c>
      <c r="AD345" s="1293"/>
      <c r="AF345" s="3">
        <v>1</v>
      </c>
    </row>
    <row r="346" spans="2:32" ht="30" customHeight="1">
      <c r="B346" s="1256"/>
      <c r="C346" s="1291"/>
      <c r="D346" s="1239"/>
      <c r="E346" s="1239"/>
      <c r="F346" s="9"/>
      <c r="G346" s="1256"/>
      <c r="H346" s="1257"/>
      <c r="I346" s="1261"/>
      <c r="J346" s="1261"/>
      <c r="L346" s="5946"/>
      <c r="M346" s="1244"/>
      <c r="N346" s="54"/>
      <c r="O346" s="1247"/>
      <c r="P346" s="1247"/>
      <c r="Q346" s="176"/>
      <c r="R346" s="5937"/>
      <c r="S346" s="1240"/>
      <c r="T346" s="1239"/>
      <c r="U346" s="1239"/>
      <c r="W346" s="5937"/>
      <c r="X346" s="1293"/>
      <c r="AA346" s="1260" t="s">
        <v>7080</v>
      </c>
      <c r="AB346" s="1260" t="s">
        <v>7081</v>
      </c>
      <c r="AC346" s="1260" t="s">
        <v>7082</v>
      </c>
      <c r="AD346" s="1293"/>
      <c r="AF346" s="3">
        <v>1</v>
      </c>
    </row>
    <row r="347" spans="2:32" ht="30" customHeight="1">
      <c r="B347" s="1256"/>
      <c r="C347" s="1291"/>
      <c r="D347" s="1239"/>
      <c r="E347" s="1239"/>
      <c r="F347" s="9"/>
      <c r="G347" s="1256"/>
      <c r="H347" s="1257"/>
      <c r="I347" s="1261"/>
      <c r="J347" s="1261"/>
      <c r="L347" s="5946"/>
      <c r="M347" s="1244"/>
      <c r="N347" s="54"/>
      <c r="O347" s="1247"/>
      <c r="P347" s="1247"/>
      <c r="Q347" s="176"/>
      <c r="R347" s="5937"/>
      <c r="S347" s="1240"/>
      <c r="T347" s="1239"/>
      <c r="U347" s="1239"/>
      <c r="W347" s="5937"/>
      <c r="X347" s="5981" t="s">
        <v>4522</v>
      </c>
      <c r="Y347" s="1255"/>
      <c r="Z347" s="1255"/>
      <c r="AA347" s="1255"/>
      <c r="AB347" s="1255"/>
      <c r="AC347" s="1255"/>
      <c r="AD347" s="5981" t="s">
        <v>4522</v>
      </c>
      <c r="AF347" s="3">
        <v>1</v>
      </c>
    </row>
    <row r="348" spans="2:32" ht="30" customHeight="1">
      <c r="B348" s="1256"/>
      <c r="C348" s="1291"/>
      <c r="D348" s="1239"/>
      <c r="E348" s="1239"/>
      <c r="F348" s="9"/>
      <c r="G348" s="1256"/>
      <c r="H348" s="1257"/>
      <c r="I348" s="1261"/>
      <c r="J348" s="1261"/>
      <c r="L348" s="5946"/>
      <c r="M348" s="1244"/>
      <c r="N348" s="54"/>
      <c r="O348" s="1247"/>
      <c r="P348" s="1247"/>
      <c r="Q348" s="176"/>
      <c r="R348" s="5937"/>
      <c r="S348" s="1240"/>
      <c r="T348" s="1239"/>
      <c r="U348" s="1239"/>
      <c r="W348" s="5937">
        <v>1</v>
      </c>
      <c r="X348" s="1294" t="s">
        <v>7083</v>
      </c>
      <c r="Y348" s="1260" t="s">
        <v>7084</v>
      </c>
      <c r="Z348" s="1263" t="s">
        <v>7085</v>
      </c>
      <c r="AA348" s="1260" t="s">
        <v>7086</v>
      </c>
      <c r="AB348" s="1260" t="s">
        <v>7087</v>
      </c>
      <c r="AC348" s="1260" t="s">
        <v>7088</v>
      </c>
      <c r="AD348" s="1294" t="s">
        <v>7083</v>
      </c>
      <c r="AF348" s="3">
        <v>1</v>
      </c>
    </row>
    <row r="349" spans="2:32" ht="30" customHeight="1">
      <c r="B349" s="1256"/>
      <c r="C349" s="1291"/>
      <c r="D349" s="1239"/>
      <c r="E349" s="1239"/>
      <c r="F349" s="9"/>
      <c r="G349" s="1256"/>
      <c r="H349" s="1257"/>
      <c r="I349" s="1261"/>
      <c r="J349" s="1261"/>
      <c r="L349" s="5946"/>
      <c r="M349" s="1244"/>
      <c r="N349" s="54"/>
      <c r="O349" s="1247"/>
      <c r="P349" s="1247"/>
      <c r="Q349" s="176"/>
      <c r="R349" s="5937"/>
      <c r="S349" s="1240"/>
      <c r="T349" s="1239"/>
      <c r="U349" s="1239"/>
      <c r="W349" s="5937">
        <f>W348+1</f>
        <v>2</v>
      </c>
      <c r="X349" s="1294" t="s">
        <v>7089</v>
      </c>
      <c r="Y349" s="1260" t="s">
        <v>7090</v>
      </c>
      <c r="Z349" s="1263" t="s">
        <v>7091</v>
      </c>
      <c r="AA349" s="1260" t="s">
        <v>7092</v>
      </c>
      <c r="AB349" s="1263" t="s">
        <v>7093</v>
      </c>
      <c r="AC349" s="1263" t="s">
        <v>7094</v>
      </c>
      <c r="AD349" s="1294" t="s">
        <v>7089</v>
      </c>
      <c r="AF349" s="3">
        <v>1</v>
      </c>
    </row>
    <row r="350" spans="2:32" ht="30" customHeight="1">
      <c r="B350" s="1256"/>
      <c r="C350" s="1291"/>
      <c r="D350" s="1239"/>
      <c r="E350" s="1239"/>
      <c r="F350" s="9"/>
      <c r="G350" s="1256"/>
      <c r="H350" s="1257"/>
      <c r="I350" s="1261"/>
      <c r="J350" s="1261"/>
      <c r="L350" s="5946"/>
      <c r="M350" s="1244"/>
      <c r="N350" s="54"/>
      <c r="O350" s="1247"/>
      <c r="P350" s="1247"/>
      <c r="Q350" s="176"/>
      <c r="R350" s="5937"/>
      <c r="S350" s="1240"/>
      <c r="T350" s="1239"/>
      <c r="U350" s="1239"/>
      <c r="W350" s="5937">
        <v>2</v>
      </c>
      <c r="X350" s="1294" t="s">
        <v>7095</v>
      </c>
      <c r="Y350" s="1260" t="s">
        <v>7096</v>
      </c>
      <c r="Z350" s="1263" t="s">
        <v>7097</v>
      </c>
      <c r="AA350" s="1260" t="s">
        <v>7098</v>
      </c>
      <c r="AB350" s="1263" t="s">
        <v>7099</v>
      </c>
      <c r="AC350" s="1263" t="s">
        <v>7100</v>
      </c>
      <c r="AD350" s="1294" t="s">
        <v>7095</v>
      </c>
      <c r="AF350" s="3">
        <v>1</v>
      </c>
    </row>
    <row r="351" spans="2:32" ht="30" customHeight="1">
      <c r="B351" s="1256"/>
      <c r="C351" s="1291"/>
      <c r="D351" s="1239"/>
      <c r="E351" s="1239"/>
      <c r="F351" s="9"/>
      <c r="G351" s="1256"/>
      <c r="H351" s="1257"/>
      <c r="I351" s="1261"/>
      <c r="J351" s="1261"/>
      <c r="L351" s="5946"/>
      <c r="M351" s="1244"/>
      <c r="N351" s="54"/>
      <c r="O351" s="1247"/>
      <c r="P351" s="1247"/>
      <c r="Q351" s="176"/>
      <c r="R351" s="5937"/>
      <c r="S351" s="1240"/>
      <c r="T351" s="1239"/>
      <c r="U351" s="1239"/>
      <c r="W351" s="5937">
        <f t="shared" ref="W351" si="44">W350+1</f>
        <v>3</v>
      </c>
      <c r="X351" s="1294" t="s">
        <v>7101</v>
      </c>
      <c r="Y351" s="1260" t="s">
        <v>7102</v>
      </c>
      <c r="Z351" s="1263" t="s">
        <v>7103</v>
      </c>
      <c r="AA351" s="1260" t="s">
        <v>7104</v>
      </c>
      <c r="AB351" s="1263" t="s">
        <v>7105</v>
      </c>
      <c r="AC351" s="1263" t="s">
        <v>7106</v>
      </c>
      <c r="AD351" s="1294" t="s">
        <v>7101</v>
      </c>
      <c r="AF351" s="3">
        <v>1</v>
      </c>
    </row>
    <row r="352" spans="2:32" ht="30" customHeight="1">
      <c r="B352" s="1256"/>
      <c r="C352" s="1291"/>
      <c r="D352" s="1239"/>
      <c r="E352" s="1239"/>
      <c r="F352" s="9"/>
      <c r="G352" s="1256"/>
      <c r="H352" s="1257"/>
      <c r="I352" s="1261"/>
      <c r="J352" s="1261"/>
      <c r="L352" s="5946"/>
      <c r="M352" s="1244"/>
      <c r="N352" s="54"/>
      <c r="O352" s="1247"/>
      <c r="P352" s="1247"/>
      <c r="Q352" s="176"/>
      <c r="R352" s="5937"/>
      <c r="S352" s="1240"/>
      <c r="T352" s="1239"/>
      <c r="U352" s="1239"/>
      <c r="W352" s="5937">
        <v>3</v>
      </c>
      <c r="X352" s="1294" t="s">
        <v>7107</v>
      </c>
      <c r="Y352" s="1260" t="s">
        <v>7108</v>
      </c>
      <c r="Z352" s="1263" t="s">
        <v>7109</v>
      </c>
      <c r="AA352" s="1260" t="s">
        <v>7110</v>
      </c>
      <c r="AB352" s="1263" t="s">
        <v>7111</v>
      </c>
      <c r="AC352" s="1263" t="s">
        <v>7112</v>
      </c>
      <c r="AD352" s="1294" t="s">
        <v>7107</v>
      </c>
      <c r="AF352" s="3">
        <v>1</v>
      </c>
    </row>
    <row r="353" spans="2:32" ht="30" customHeight="1">
      <c r="B353" s="1256"/>
      <c r="C353" s="1291"/>
      <c r="D353" s="1239"/>
      <c r="E353" s="1239"/>
      <c r="F353" s="9"/>
      <c r="G353" s="1256"/>
      <c r="H353" s="1257"/>
      <c r="I353" s="1261"/>
      <c r="J353" s="1261"/>
      <c r="L353" s="5946"/>
      <c r="M353" s="1244"/>
      <c r="N353" s="54"/>
      <c r="O353" s="1247"/>
      <c r="P353" s="1247"/>
      <c r="Q353" s="176"/>
      <c r="R353" s="5937"/>
      <c r="S353" s="1240"/>
      <c r="T353" s="1239"/>
      <c r="U353" s="1239"/>
      <c r="W353" s="5937">
        <f t="shared" ref="W353" si="45">W352+1</f>
        <v>4</v>
      </c>
      <c r="X353" s="1294" t="s">
        <v>7113</v>
      </c>
      <c r="Y353" s="1260" t="s">
        <v>7114</v>
      </c>
      <c r="Z353" s="1263" t="s">
        <v>7115</v>
      </c>
      <c r="AA353" s="1260" t="s">
        <v>7116</v>
      </c>
      <c r="AB353" s="1260" t="s">
        <v>7117</v>
      </c>
      <c r="AC353" s="1263" t="s">
        <v>7118</v>
      </c>
      <c r="AD353" s="1294" t="s">
        <v>7113</v>
      </c>
      <c r="AF353" s="3">
        <v>1</v>
      </c>
    </row>
    <row r="354" spans="2:32" ht="30" customHeight="1">
      <c r="B354" s="1256"/>
      <c r="C354" s="1291"/>
      <c r="D354" s="1239"/>
      <c r="E354" s="1239"/>
      <c r="F354" s="9"/>
      <c r="G354" s="1256"/>
      <c r="H354" s="1257"/>
      <c r="I354" s="1261"/>
      <c r="J354" s="1261"/>
      <c r="L354" s="5946"/>
      <c r="M354" s="1244"/>
      <c r="N354" s="54"/>
      <c r="O354" s="1247"/>
      <c r="P354" s="1247"/>
      <c r="Q354" s="176"/>
      <c r="R354" s="5937"/>
      <c r="S354" s="1240"/>
      <c r="T354" s="1239"/>
      <c r="U354" s="1239"/>
      <c r="W354" s="5937">
        <v>4</v>
      </c>
      <c r="X354" s="1294" t="s">
        <v>7119</v>
      </c>
      <c r="Y354" s="1260" t="s">
        <v>7120</v>
      </c>
      <c r="Z354" s="1263" t="s">
        <v>7121</v>
      </c>
      <c r="AA354" s="1260" t="s">
        <v>7122</v>
      </c>
      <c r="AB354" s="1260" t="s">
        <v>7123</v>
      </c>
      <c r="AC354" s="1260" t="s">
        <v>7124</v>
      </c>
      <c r="AD354" s="1294" t="s">
        <v>7119</v>
      </c>
      <c r="AF354" s="3">
        <v>1</v>
      </c>
    </row>
    <row r="355" spans="2:32" ht="30" customHeight="1">
      <c r="B355" s="1256"/>
      <c r="C355" s="1291"/>
      <c r="D355" s="1239"/>
      <c r="E355" s="1239"/>
      <c r="F355" s="9"/>
      <c r="G355" s="1256"/>
      <c r="H355" s="1257"/>
      <c r="I355" s="1261"/>
      <c r="J355" s="1261"/>
      <c r="L355" s="5946"/>
      <c r="M355" s="1244"/>
      <c r="N355" s="54"/>
      <c r="O355" s="1247"/>
      <c r="P355" s="1247"/>
      <c r="Q355" s="176"/>
      <c r="R355" s="5937"/>
      <c r="S355" s="1240"/>
      <c r="T355" s="1239"/>
      <c r="U355" s="1239"/>
      <c r="W355" s="5937">
        <f t="shared" ref="W355" si="46">W354+1</f>
        <v>5</v>
      </c>
      <c r="X355" s="1294" t="s">
        <v>7125</v>
      </c>
      <c r="Y355" s="1260" t="s">
        <v>7126</v>
      </c>
      <c r="Z355" s="1263" t="s">
        <v>7127</v>
      </c>
      <c r="AA355" s="1260" t="s">
        <v>7128</v>
      </c>
      <c r="AB355" s="1260" t="s">
        <v>7129</v>
      </c>
      <c r="AC355" s="1263" t="s">
        <v>7130</v>
      </c>
      <c r="AD355" s="1294" t="s">
        <v>7125</v>
      </c>
      <c r="AF355" s="3">
        <v>1</v>
      </c>
    </row>
    <row r="356" spans="2:32" ht="30" customHeight="1">
      <c r="B356" s="1256"/>
      <c r="C356" s="1291"/>
      <c r="D356" s="1239"/>
      <c r="E356" s="1239"/>
      <c r="F356" s="9"/>
      <c r="G356" s="1256"/>
      <c r="H356" s="1257"/>
      <c r="I356" s="1261"/>
      <c r="J356" s="1261"/>
      <c r="L356" s="5946"/>
      <c r="M356" s="1244"/>
      <c r="N356" s="54"/>
      <c r="O356" s="1247"/>
      <c r="P356" s="1247"/>
      <c r="Q356" s="176"/>
      <c r="R356" s="5937"/>
      <c r="S356" s="1240"/>
      <c r="T356" s="1239"/>
      <c r="U356" s="1239"/>
      <c r="W356" s="5937">
        <v>5</v>
      </c>
      <c r="X356" s="1294" t="s">
        <v>7131</v>
      </c>
      <c r="Y356" s="1260" t="s">
        <v>7132</v>
      </c>
      <c r="Z356" s="1263" t="s">
        <v>7133</v>
      </c>
      <c r="AA356" s="1260" t="s">
        <v>7134</v>
      </c>
      <c r="AB356" s="1263" t="s">
        <v>7135</v>
      </c>
      <c r="AC356" s="1263" t="s">
        <v>7136</v>
      </c>
      <c r="AD356" s="1294" t="s">
        <v>7131</v>
      </c>
      <c r="AF356" s="3">
        <v>1</v>
      </c>
    </row>
    <row r="357" spans="2:32" ht="30" customHeight="1">
      <c r="B357" s="1256"/>
      <c r="C357" s="1291"/>
      <c r="D357" s="1239"/>
      <c r="E357" s="1239"/>
      <c r="F357" s="9"/>
      <c r="G357" s="1256"/>
      <c r="H357" s="1257"/>
      <c r="I357" s="1261"/>
      <c r="J357" s="1261"/>
      <c r="L357" s="5946"/>
      <c r="M357" s="1244"/>
      <c r="N357" s="54"/>
      <c r="O357" s="1247"/>
      <c r="P357" s="1247"/>
      <c r="Q357" s="176"/>
      <c r="R357" s="5937"/>
      <c r="S357" s="1240"/>
      <c r="T357" s="1239"/>
      <c r="U357" s="1239"/>
      <c r="W357" s="5937">
        <f t="shared" ref="W357" si="47">W356+1</f>
        <v>6</v>
      </c>
      <c r="X357" s="1294" t="s">
        <v>7137</v>
      </c>
      <c r="Y357" s="1260" t="s">
        <v>7138</v>
      </c>
      <c r="Z357" s="1263" t="s">
        <v>7139</v>
      </c>
      <c r="AA357" s="1260" t="s">
        <v>7140</v>
      </c>
      <c r="AB357" s="1260" t="s">
        <v>7141</v>
      </c>
      <c r="AC357" s="1260" t="s">
        <v>7142</v>
      </c>
      <c r="AD357" s="1294" t="s">
        <v>7137</v>
      </c>
      <c r="AF357" s="3">
        <v>1</v>
      </c>
    </row>
    <row r="358" spans="2:32" ht="30" customHeight="1">
      <c r="B358" s="1256"/>
      <c r="C358" s="1291"/>
      <c r="D358" s="1239"/>
      <c r="E358" s="1239"/>
      <c r="F358" s="9"/>
      <c r="G358" s="1256"/>
      <c r="H358" s="1257"/>
      <c r="I358" s="1261"/>
      <c r="J358" s="1261"/>
      <c r="L358" s="5946"/>
      <c r="M358" s="1244"/>
      <c r="N358" s="54"/>
      <c r="O358" s="1247"/>
      <c r="P358" s="1247"/>
      <c r="Q358" s="176"/>
      <c r="R358" s="5937"/>
      <c r="S358" s="1240"/>
      <c r="T358" s="1239"/>
      <c r="U358" s="1239"/>
      <c r="W358" s="5937">
        <v>6</v>
      </c>
      <c r="X358" s="1294" t="s">
        <v>7143</v>
      </c>
      <c r="Y358" s="1260" t="s">
        <v>7144</v>
      </c>
      <c r="Z358" s="1263" t="s">
        <v>7145</v>
      </c>
      <c r="AA358" s="1260" t="s">
        <v>7146</v>
      </c>
      <c r="AB358" s="1263" t="s">
        <v>7147</v>
      </c>
      <c r="AC358" s="1263" t="s">
        <v>7148</v>
      </c>
      <c r="AD358" s="1294" t="s">
        <v>7143</v>
      </c>
      <c r="AF358" s="3">
        <v>1</v>
      </c>
    </row>
    <row r="359" spans="2:32" ht="30" customHeight="1">
      <c r="B359" s="1256"/>
      <c r="C359" s="1291"/>
      <c r="D359" s="1239"/>
      <c r="E359" s="1239"/>
      <c r="F359" s="9"/>
      <c r="G359" s="1256"/>
      <c r="H359" s="1257"/>
      <c r="I359" s="1261"/>
      <c r="J359" s="1261"/>
      <c r="L359" s="5946"/>
      <c r="M359" s="1244"/>
      <c r="N359" s="54"/>
      <c r="O359" s="1247"/>
      <c r="P359" s="1247"/>
      <c r="Q359" s="176"/>
      <c r="R359" s="5937"/>
      <c r="S359" s="1240"/>
      <c r="T359" s="1239"/>
      <c r="U359" s="1239"/>
      <c r="W359" s="5937">
        <f t="shared" ref="W359" si="48">W358+1</f>
        <v>7</v>
      </c>
      <c r="X359" s="1294" t="s">
        <v>7149</v>
      </c>
      <c r="Y359" s="1260" t="s">
        <v>7150</v>
      </c>
      <c r="Z359" s="1263" t="s">
        <v>7151</v>
      </c>
      <c r="AA359" s="1260" t="s">
        <v>7152</v>
      </c>
      <c r="AB359" s="1263" t="s">
        <v>7153</v>
      </c>
      <c r="AC359" s="1263" t="s">
        <v>7154</v>
      </c>
      <c r="AD359" s="1294" t="s">
        <v>7149</v>
      </c>
      <c r="AF359" s="3">
        <v>1</v>
      </c>
    </row>
    <row r="360" spans="2:32" ht="30" customHeight="1">
      <c r="B360" s="1256"/>
      <c r="C360" s="1291"/>
      <c r="D360" s="1239"/>
      <c r="E360" s="1239"/>
      <c r="F360" s="9"/>
      <c r="G360" s="1256"/>
      <c r="H360" s="1257"/>
      <c r="I360" s="1261"/>
      <c r="J360" s="1261"/>
      <c r="L360" s="5946"/>
      <c r="M360" s="1244"/>
      <c r="N360" s="54"/>
      <c r="O360" s="1247"/>
      <c r="P360" s="1247"/>
      <c r="Q360" s="176"/>
      <c r="R360" s="5937"/>
      <c r="S360" s="1240"/>
      <c r="T360" s="1239"/>
      <c r="U360" s="1239"/>
      <c r="W360" s="5937">
        <v>7</v>
      </c>
      <c r="X360" s="1294" t="s">
        <v>7155</v>
      </c>
      <c r="Y360" s="1260" t="s">
        <v>7156</v>
      </c>
      <c r="Z360" s="1263" t="s">
        <v>7157</v>
      </c>
      <c r="AA360" s="1260" t="s">
        <v>7158</v>
      </c>
      <c r="AB360" s="1263" t="s">
        <v>7159</v>
      </c>
      <c r="AC360" s="1263" t="s">
        <v>7160</v>
      </c>
      <c r="AD360" s="1294" t="s">
        <v>7155</v>
      </c>
      <c r="AF360" s="3">
        <v>1</v>
      </c>
    </row>
    <row r="361" spans="2:32" ht="30" customHeight="1">
      <c r="B361" s="1256"/>
      <c r="C361" s="1291"/>
      <c r="D361" s="1239"/>
      <c r="E361" s="1239"/>
      <c r="F361" s="9"/>
      <c r="G361" s="1256"/>
      <c r="H361" s="1257"/>
      <c r="I361" s="1261"/>
      <c r="J361" s="1261"/>
      <c r="L361" s="5946"/>
      <c r="M361" s="1244"/>
      <c r="N361" s="54"/>
      <c r="O361" s="1247"/>
      <c r="P361" s="1247"/>
      <c r="Q361" s="176"/>
      <c r="R361" s="5937"/>
      <c r="S361" s="1240"/>
      <c r="T361" s="1239"/>
      <c r="U361" s="1239"/>
      <c r="W361" s="5937">
        <f t="shared" ref="W361" si="49">W360+1</f>
        <v>8</v>
      </c>
      <c r="X361" s="1294" t="s">
        <v>7161</v>
      </c>
      <c r="Y361" s="1260" t="s">
        <v>7162</v>
      </c>
      <c r="Z361" s="1263" t="s">
        <v>7163</v>
      </c>
      <c r="AA361" s="1260" t="s">
        <v>7164</v>
      </c>
      <c r="AB361" s="1263" t="s">
        <v>7165</v>
      </c>
      <c r="AC361" s="1263" t="s">
        <v>7166</v>
      </c>
      <c r="AD361" s="1294" t="s">
        <v>7161</v>
      </c>
      <c r="AF361" s="3">
        <v>1</v>
      </c>
    </row>
    <row r="362" spans="2:32" ht="30" customHeight="1">
      <c r="B362" s="1256"/>
      <c r="C362" s="1291"/>
      <c r="D362" s="1239"/>
      <c r="E362" s="1239"/>
      <c r="F362" s="9"/>
      <c r="G362" s="1256"/>
      <c r="H362" s="1257"/>
      <c r="I362" s="1261"/>
      <c r="J362" s="1261"/>
      <c r="L362" s="5946"/>
      <c r="M362" s="1244"/>
      <c r="N362" s="54"/>
      <c r="O362" s="1247"/>
      <c r="P362" s="1247"/>
      <c r="Q362" s="176"/>
      <c r="R362" s="5937"/>
      <c r="S362" s="1240"/>
      <c r="T362" s="1239"/>
      <c r="U362" s="1239"/>
      <c r="W362" s="5937">
        <v>8</v>
      </c>
      <c r="X362" s="1294" t="s">
        <v>7167</v>
      </c>
      <c r="Y362" s="1260" t="s">
        <v>7168</v>
      </c>
      <c r="Z362" s="1263" t="s">
        <v>7169</v>
      </c>
      <c r="AA362" s="1260" t="s">
        <v>7170</v>
      </c>
      <c r="AB362" s="1263" t="s">
        <v>7171</v>
      </c>
      <c r="AC362" s="1263" t="s">
        <v>7172</v>
      </c>
      <c r="AD362" s="1294" t="s">
        <v>7167</v>
      </c>
      <c r="AF362" s="3">
        <v>1</v>
      </c>
    </row>
    <row r="363" spans="2:32" ht="30" customHeight="1">
      <c r="B363" s="1256"/>
      <c r="C363" s="1291"/>
      <c r="D363" s="1239"/>
      <c r="E363" s="1239"/>
      <c r="F363" s="9"/>
      <c r="G363" s="1256"/>
      <c r="H363" s="1257"/>
      <c r="I363" s="1261"/>
      <c r="J363" s="1261"/>
      <c r="L363" s="5946"/>
      <c r="M363" s="1244"/>
      <c r="N363" s="54"/>
      <c r="O363" s="1247"/>
      <c r="P363" s="1247"/>
      <c r="Q363" s="176"/>
      <c r="R363" s="5937"/>
      <c r="S363" s="1240"/>
      <c r="T363" s="1239"/>
      <c r="U363" s="1239"/>
      <c r="W363" s="5937">
        <f t="shared" ref="W363" si="50">W362+1</f>
        <v>9</v>
      </c>
      <c r="X363" s="1294" t="s">
        <v>7173</v>
      </c>
      <c r="Y363" s="1260" t="s">
        <v>7174</v>
      </c>
      <c r="Z363" s="1263" t="s">
        <v>7175</v>
      </c>
      <c r="AA363" s="1260" t="s">
        <v>7176</v>
      </c>
      <c r="AB363" s="1260" t="s">
        <v>7177</v>
      </c>
      <c r="AC363" s="1260" t="s">
        <v>7178</v>
      </c>
      <c r="AD363" s="1294" t="s">
        <v>7173</v>
      </c>
      <c r="AF363" s="3">
        <v>1</v>
      </c>
    </row>
    <row r="364" spans="2:32" ht="30" customHeight="1">
      <c r="B364" s="1256"/>
      <c r="C364" s="1291"/>
      <c r="D364" s="1239"/>
      <c r="E364" s="1239"/>
      <c r="F364" s="9"/>
      <c r="G364" s="1256"/>
      <c r="H364" s="1257"/>
      <c r="I364" s="1261"/>
      <c r="J364" s="1261"/>
      <c r="L364" s="5946"/>
      <c r="M364" s="1244"/>
      <c r="N364" s="54"/>
      <c r="O364" s="1247"/>
      <c r="P364" s="1247"/>
      <c r="Q364" s="176"/>
      <c r="R364" s="5937"/>
      <c r="S364" s="1240"/>
      <c r="T364" s="1239"/>
      <c r="U364" s="1239"/>
      <c r="W364" s="5937">
        <v>9</v>
      </c>
      <c r="X364" s="1294" t="s">
        <v>7179</v>
      </c>
      <c r="Y364" s="1260" t="s">
        <v>7180</v>
      </c>
      <c r="Z364" s="1263" t="s">
        <v>7181</v>
      </c>
      <c r="AA364" s="1260" t="s">
        <v>7182</v>
      </c>
      <c r="AB364" s="1263" t="s">
        <v>7183</v>
      </c>
      <c r="AC364" s="1263" t="s">
        <v>7184</v>
      </c>
      <c r="AD364" s="1294" t="s">
        <v>7179</v>
      </c>
      <c r="AF364" s="3">
        <v>1</v>
      </c>
    </row>
    <row r="365" spans="2:32" ht="30" customHeight="1">
      <c r="B365" s="1256"/>
      <c r="C365" s="1291"/>
      <c r="D365" s="1239"/>
      <c r="E365" s="1239"/>
      <c r="F365" s="9"/>
      <c r="G365" s="1256"/>
      <c r="H365" s="1257"/>
      <c r="I365" s="1261"/>
      <c r="J365" s="1261"/>
      <c r="L365" s="5946"/>
      <c r="M365" s="1244"/>
      <c r="N365" s="54"/>
      <c r="O365" s="1247"/>
      <c r="P365" s="1247"/>
      <c r="Q365" s="176"/>
      <c r="R365" s="5937"/>
      <c r="S365" s="1240"/>
      <c r="T365" s="1239"/>
      <c r="U365" s="1239"/>
      <c r="W365" s="5937">
        <f t="shared" ref="W365" si="51">W364+1</f>
        <v>10</v>
      </c>
      <c r="X365" s="1294" t="s">
        <v>7185</v>
      </c>
      <c r="Y365" s="1239" t="s">
        <v>7186</v>
      </c>
      <c r="Z365" s="1239" t="s">
        <v>7187</v>
      </c>
      <c r="AA365" s="1260" t="s">
        <v>7188</v>
      </c>
      <c r="AB365" s="1260" t="s">
        <v>7189</v>
      </c>
      <c r="AC365" s="1260" t="s">
        <v>7190</v>
      </c>
      <c r="AD365" s="1294" t="s">
        <v>7185</v>
      </c>
      <c r="AF365" s="3">
        <v>1</v>
      </c>
    </row>
    <row r="366" spans="2:32" ht="30" customHeight="1">
      <c r="B366" s="1256"/>
      <c r="C366" s="1291"/>
      <c r="D366" s="1239"/>
      <c r="E366" s="1239"/>
      <c r="F366" s="9"/>
      <c r="G366" s="1256"/>
      <c r="H366" s="1257"/>
      <c r="I366" s="1261"/>
      <c r="J366" s="1261"/>
      <c r="L366" s="5946"/>
      <c r="M366" s="1244"/>
      <c r="N366" s="54"/>
      <c r="O366" s="1247"/>
      <c r="P366" s="1247"/>
      <c r="Q366" s="176"/>
      <c r="R366" s="5937"/>
      <c r="S366" s="1240"/>
      <c r="T366" s="1239"/>
      <c r="U366" s="1239"/>
      <c r="W366" s="5937">
        <v>10</v>
      </c>
      <c r="X366" s="1294" t="s">
        <v>7191</v>
      </c>
      <c r="Y366" s="1260" t="s">
        <v>7192</v>
      </c>
      <c r="Z366" s="1263" t="s">
        <v>7193</v>
      </c>
      <c r="AA366" s="1260" t="s">
        <v>7194</v>
      </c>
      <c r="AB366" s="1260" t="s">
        <v>7195</v>
      </c>
      <c r="AC366" s="1260" t="s">
        <v>7196</v>
      </c>
      <c r="AD366" s="1294" t="s">
        <v>7191</v>
      </c>
      <c r="AF366" s="3">
        <v>1</v>
      </c>
    </row>
    <row r="367" spans="2:32" ht="30" customHeight="1">
      <c r="B367" s="1256"/>
      <c r="C367" s="1291"/>
      <c r="D367" s="1239"/>
      <c r="E367" s="1239"/>
      <c r="F367" s="9"/>
      <c r="G367" s="1256"/>
      <c r="H367" s="1257"/>
      <c r="I367" s="1261"/>
      <c r="J367" s="1261"/>
      <c r="L367" s="5946"/>
      <c r="M367" s="1244"/>
      <c r="N367" s="54"/>
      <c r="O367" s="1247"/>
      <c r="P367" s="1247"/>
      <c r="Q367" s="176"/>
      <c r="R367" s="5937"/>
      <c r="S367" s="1240"/>
      <c r="T367" s="1239"/>
      <c r="U367" s="1239"/>
      <c r="W367" s="5937">
        <f t="shared" ref="W367" si="52">W366+1</f>
        <v>11</v>
      </c>
      <c r="X367" s="1294" t="s">
        <v>7197</v>
      </c>
      <c r="Y367" s="1260" t="s">
        <v>7198</v>
      </c>
      <c r="Z367" s="1263" t="s">
        <v>7199</v>
      </c>
      <c r="AA367" s="1260" t="s">
        <v>7200</v>
      </c>
      <c r="AB367" s="1263" t="s">
        <v>7201</v>
      </c>
      <c r="AC367" s="1263" t="s">
        <v>7202</v>
      </c>
      <c r="AD367" s="1294" t="s">
        <v>7197</v>
      </c>
      <c r="AF367" s="3">
        <v>1</v>
      </c>
    </row>
    <row r="368" spans="2:32" ht="30" customHeight="1">
      <c r="B368" s="1256"/>
      <c r="C368" s="1291"/>
      <c r="D368" s="1239"/>
      <c r="E368" s="1239"/>
      <c r="F368" s="9"/>
      <c r="G368" s="1256"/>
      <c r="H368" s="1257"/>
      <c r="I368" s="1261"/>
      <c r="J368" s="1261"/>
      <c r="L368" s="5946"/>
      <c r="M368" s="1244"/>
      <c r="N368" s="54"/>
      <c r="O368" s="1247"/>
      <c r="P368" s="1247"/>
      <c r="Q368" s="176"/>
      <c r="R368" s="5937"/>
      <c r="S368" s="1240"/>
      <c r="T368" s="1239"/>
      <c r="U368" s="1239"/>
      <c r="W368" s="5937">
        <v>11</v>
      </c>
      <c r="X368" s="1294" t="s">
        <v>7203</v>
      </c>
      <c r="Y368" s="1260" t="s">
        <v>7204</v>
      </c>
      <c r="Z368" s="1263" t="s">
        <v>7205</v>
      </c>
      <c r="AA368" s="1260" t="s">
        <v>7206</v>
      </c>
      <c r="AB368" s="1260" t="s">
        <v>7207</v>
      </c>
      <c r="AC368" s="1260" t="s">
        <v>7208</v>
      </c>
      <c r="AD368" s="1294" t="s">
        <v>7203</v>
      </c>
      <c r="AF368" s="3">
        <v>1</v>
      </c>
    </row>
    <row r="369" spans="2:32" ht="30" customHeight="1">
      <c r="B369" s="1256"/>
      <c r="C369" s="1291"/>
      <c r="D369" s="1239"/>
      <c r="E369" s="1239"/>
      <c r="F369" s="9"/>
      <c r="G369" s="1256"/>
      <c r="H369" s="1257"/>
      <c r="I369" s="1261"/>
      <c r="J369" s="1261"/>
      <c r="L369" s="5946"/>
      <c r="M369" s="1244"/>
      <c r="N369" s="54"/>
      <c r="O369" s="1247"/>
      <c r="P369" s="1247"/>
      <c r="Q369" s="176"/>
      <c r="R369" s="5937"/>
      <c r="S369" s="1240"/>
      <c r="T369" s="1239"/>
      <c r="U369" s="1239"/>
      <c r="W369" s="5937">
        <f t="shared" ref="W369" si="53">W368+1</f>
        <v>12</v>
      </c>
      <c r="X369" s="1294" t="s">
        <v>7209</v>
      </c>
      <c r="Y369" s="1260" t="s">
        <v>7210</v>
      </c>
      <c r="Z369" s="1263" t="s">
        <v>7211</v>
      </c>
      <c r="AA369" s="1260" t="s">
        <v>7212</v>
      </c>
      <c r="AB369" s="1260" t="s">
        <v>7213</v>
      </c>
      <c r="AC369" s="1260" t="s">
        <v>7214</v>
      </c>
      <c r="AD369" s="1294" t="s">
        <v>7209</v>
      </c>
      <c r="AF369" s="3">
        <v>1</v>
      </c>
    </row>
    <row r="370" spans="2:32" ht="30" customHeight="1">
      <c r="B370" s="1256"/>
      <c r="C370" s="1291"/>
      <c r="D370" s="1239"/>
      <c r="E370" s="1239"/>
      <c r="F370" s="9"/>
      <c r="G370" s="1256"/>
      <c r="H370" s="1257"/>
      <c r="I370" s="1261"/>
      <c r="J370" s="1261"/>
      <c r="L370" s="5946"/>
      <c r="M370" s="1244"/>
      <c r="N370" s="54"/>
      <c r="O370" s="1247"/>
      <c r="P370" s="1247"/>
      <c r="Q370" s="176"/>
      <c r="R370" s="5937"/>
      <c r="S370" s="1240"/>
      <c r="T370" s="1239"/>
      <c r="U370" s="1239"/>
      <c r="W370" s="5937">
        <v>12</v>
      </c>
      <c r="X370" s="1294" t="s">
        <v>7215</v>
      </c>
      <c r="Y370" s="1260" t="s">
        <v>7216</v>
      </c>
      <c r="Z370" s="1263" t="s">
        <v>7217</v>
      </c>
      <c r="AA370" s="1260" t="s">
        <v>7218</v>
      </c>
      <c r="AB370" s="1263" t="s">
        <v>7219</v>
      </c>
      <c r="AC370" s="1263" t="s">
        <v>7220</v>
      </c>
      <c r="AD370" s="1294" t="s">
        <v>7215</v>
      </c>
      <c r="AF370" s="3">
        <v>1</v>
      </c>
    </row>
    <row r="371" spans="2:32" ht="30" customHeight="1">
      <c r="B371" s="1256"/>
      <c r="C371" s="1291"/>
      <c r="D371" s="1239"/>
      <c r="E371" s="1239"/>
      <c r="F371" s="9"/>
      <c r="G371" s="1256"/>
      <c r="H371" s="1257"/>
      <c r="I371" s="1261"/>
      <c r="J371" s="1261"/>
      <c r="L371" s="5946"/>
      <c r="M371" s="1244"/>
      <c r="N371" s="54"/>
      <c r="O371" s="1247"/>
      <c r="P371" s="1247"/>
      <c r="Q371" s="176"/>
      <c r="R371" s="5937"/>
      <c r="S371" s="1240"/>
      <c r="T371" s="1239"/>
      <c r="U371" s="1239"/>
      <c r="W371" s="5937">
        <f t="shared" ref="W371" si="54">W370+1</f>
        <v>13</v>
      </c>
      <c r="X371" s="1294" t="s">
        <v>7221</v>
      </c>
      <c r="Y371" s="1260" t="s">
        <v>7222</v>
      </c>
      <c r="Z371" s="1263" t="s">
        <v>7223</v>
      </c>
      <c r="AA371" s="1260" t="s">
        <v>7224</v>
      </c>
      <c r="AB371" s="1263" t="s">
        <v>7225</v>
      </c>
      <c r="AC371" s="1263" t="s">
        <v>7226</v>
      </c>
      <c r="AD371" s="1294" t="s">
        <v>7221</v>
      </c>
      <c r="AF371" s="3">
        <v>1</v>
      </c>
    </row>
    <row r="372" spans="2:32" ht="30" customHeight="1">
      <c r="B372" s="1256"/>
      <c r="C372" s="1291"/>
      <c r="D372" s="1239"/>
      <c r="E372" s="1239"/>
      <c r="F372" s="9"/>
      <c r="G372" s="1256"/>
      <c r="H372" s="1257"/>
      <c r="I372" s="1261"/>
      <c r="J372" s="1261"/>
      <c r="L372" s="5946"/>
      <c r="M372" s="1244"/>
      <c r="N372" s="54"/>
      <c r="O372" s="1247"/>
      <c r="P372" s="1247"/>
      <c r="Q372" s="176"/>
      <c r="R372" s="5937"/>
      <c r="S372" s="1240"/>
      <c r="T372" s="1239"/>
      <c r="U372" s="1239"/>
      <c r="W372" s="5937">
        <v>13</v>
      </c>
      <c r="X372" s="1294" t="s">
        <v>7227</v>
      </c>
      <c r="Y372" s="1260" t="s">
        <v>7228</v>
      </c>
      <c r="Z372" s="1263" t="s">
        <v>7229</v>
      </c>
      <c r="AA372" s="1260" t="s">
        <v>5889</v>
      </c>
      <c r="AB372" s="1263" t="s">
        <v>7230</v>
      </c>
      <c r="AC372" s="1263" t="s">
        <v>7231</v>
      </c>
      <c r="AD372" s="1294" t="s">
        <v>7227</v>
      </c>
      <c r="AF372" s="3">
        <v>1</v>
      </c>
    </row>
    <row r="373" spans="2:32" ht="30" customHeight="1">
      <c r="B373" s="1256"/>
      <c r="C373" s="1291"/>
      <c r="D373" s="1239"/>
      <c r="E373" s="1239"/>
      <c r="F373" s="9"/>
      <c r="G373" s="1256"/>
      <c r="H373" s="1257"/>
      <c r="I373" s="1261"/>
      <c r="J373" s="1261"/>
      <c r="L373" s="5946"/>
      <c r="M373" s="1244"/>
      <c r="N373" s="54"/>
      <c r="O373" s="1247"/>
      <c r="P373" s="1247"/>
      <c r="Q373" s="176"/>
      <c r="R373" s="5937"/>
      <c r="S373" s="1240"/>
      <c r="T373" s="1239"/>
      <c r="U373" s="1239"/>
      <c r="W373" s="5937">
        <f t="shared" ref="W373" si="55">W372+1</f>
        <v>14</v>
      </c>
      <c r="X373" s="1294" t="s">
        <v>7232</v>
      </c>
      <c r="Y373" s="1260" t="s">
        <v>7233</v>
      </c>
      <c r="Z373" s="1263" t="s">
        <v>7234</v>
      </c>
      <c r="AA373" s="1260" t="s">
        <v>7235</v>
      </c>
      <c r="AB373" s="1260" t="s">
        <v>7236</v>
      </c>
      <c r="AC373" s="1260" t="s">
        <v>7237</v>
      </c>
      <c r="AD373" s="1294" t="s">
        <v>7232</v>
      </c>
      <c r="AF373" s="3">
        <v>1</v>
      </c>
    </row>
    <row r="374" spans="2:32" ht="30" customHeight="1">
      <c r="B374" s="1256"/>
      <c r="C374" s="1291"/>
      <c r="D374" s="1239"/>
      <c r="E374" s="1239"/>
      <c r="F374" s="9"/>
      <c r="G374" s="1256"/>
      <c r="H374" s="1257"/>
      <c r="I374" s="1261"/>
      <c r="J374" s="1261"/>
      <c r="L374" s="5946"/>
      <c r="M374" s="1244"/>
      <c r="N374" s="54"/>
      <c r="O374" s="1247"/>
      <c r="P374" s="1247"/>
      <c r="Q374" s="176"/>
      <c r="R374" s="5937"/>
      <c r="S374" s="1240"/>
      <c r="T374" s="1239"/>
      <c r="U374" s="1239"/>
      <c r="W374" s="5937">
        <v>14</v>
      </c>
      <c r="X374" s="1294" t="s">
        <v>7238</v>
      </c>
      <c r="Y374" s="1260" t="s">
        <v>7239</v>
      </c>
      <c r="Z374" s="1263" t="s">
        <v>7240</v>
      </c>
      <c r="AA374" s="1260" t="s">
        <v>7241</v>
      </c>
      <c r="AB374" s="1263" t="s">
        <v>7242</v>
      </c>
      <c r="AC374" s="1263" t="s">
        <v>7243</v>
      </c>
      <c r="AD374" s="1294" t="s">
        <v>7238</v>
      </c>
      <c r="AF374" s="3">
        <v>1</v>
      </c>
    </row>
    <row r="375" spans="2:32" ht="30" customHeight="1">
      <c r="B375" s="1256"/>
      <c r="C375" s="1291"/>
      <c r="D375" s="1239"/>
      <c r="E375" s="1239"/>
      <c r="F375" s="9"/>
      <c r="G375" s="1256"/>
      <c r="H375" s="1257"/>
      <c r="I375" s="1261"/>
      <c r="J375" s="1261"/>
      <c r="L375" s="5946"/>
      <c r="M375" s="1244"/>
      <c r="N375" s="54"/>
      <c r="O375" s="1247"/>
      <c r="P375" s="1247"/>
      <c r="Q375" s="176"/>
      <c r="R375" s="5937"/>
      <c r="S375" s="1240"/>
      <c r="T375" s="1239"/>
      <c r="U375" s="1239"/>
      <c r="W375" s="5937">
        <f t="shared" ref="W375" si="56">W374+1</f>
        <v>15</v>
      </c>
      <c r="X375" s="1294" t="s">
        <v>7244</v>
      </c>
      <c r="Y375" s="1260" t="s">
        <v>7245</v>
      </c>
      <c r="Z375" s="1263" t="s">
        <v>7246</v>
      </c>
      <c r="AA375" s="1260" t="s">
        <v>7247</v>
      </c>
      <c r="AB375" s="1263" t="s">
        <v>7248</v>
      </c>
      <c r="AC375" s="1263" t="s">
        <v>7249</v>
      </c>
      <c r="AD375" s="1294" t="s">
        <v>7244</v>
      </c>
      <c r="AF375" s="3">
        <v>1</v>
      </c>
    </row>
    <row r="376" spans="2:32" ht="30" customHeight="1">
      <c r="B376" s="1256"/>
      <c r="C376" s="1291"/>
      <c r="D376" s="1239"/>
      <c r="E376" s="1239"/>
      <c r="F376" s="9"/>
      <c r="G376" s="1256"/>
      <c r="H376" s="1257"/>
      <c r="I376" s="1261"/>
      <c r="J376" s="1261"/>
      <c r="L376" s="5946"/>
      <c r="M376" s="1244"/>
      <c r="N376" s="54"/>
      <c r="O376" s="1247"/>
      <c r="P376" s="1247"/>
      <c r="Q376" s="176"/>
      <c r="R376" s="5937"/>
      <c r="S376" s="1240"/>
      <c r="T376" s="1239"/>
      <c r="U376" s="1239"/>
      <c r="W376" s="5937">
        <v>15</v>
      </c>
      <c r="X376" s="1294" t="s">
        <v>7250</v>
      </c>
      <c r="Y376" s="1260" t="s">
        <v>7251</v>
      </c>
      <c r="Z376" s="1263" t="s">
        <v>7252</v>
      </c>
      <c r="AA376" s="1260" t="s">
        <v>7253</v>
      </c>
      <c r="AB376" s="1263" t="s">
        <v>7254</v>
      </c>
      <c r="AC376" s="1263" t="s">
        <v>7255</v>
      </c>
      <c r="AD376" s="1294" t="s">
        <v>7250</v>
      </c>
      <c r="AF376" s="3">
        <v>1</v>
      </c>
    </row>
    <row r="377" spans="2:32" ht="30" customHeight="1">
      <c r="B377" s="1256"/>
      <c r="C377" s="1291"/>
      <c r="D377" s="1239"/>
      <c r="E377" s="1239"/>
      <c r="F377" s="9"/>
      <c r="G377" s="1256"/>
      <c r="H377" s="1257"/>
      <c r="I377" s="1261"/>
      <c r="J377" s="1261"/>
      <c r="L377" s="5946"/>
      <c r="M377" s="1244"/>
      <c r="N377" s="54"/>
      <c r="O377" s="1247"/>
      <c r="P377" s="1247"/>
      <c r="Q377" s="176"/>
      <c r="R377" s="5937"/>
      <c r="S377" s="1240"/>
      <c r="T377" s="1239"/>
      <c r="U377" s="1239"/>
      <c r="W377" s="5937">
        <f t="shared" ref="W377" si="57">W376+1</f>
        <v>16</v>
      </c>
      <c r="X377" s="1294" t="s">
        <v>7256</v>
      </c>
      <c r="Y377" s="1260" t="s">
        <v>7257</v>
      </c>
      <c r="Z377" s="1263" t="s">
        <v>7258</v>
      </c>
      <c r="AA377" s="1260" t="s">
        <v>7259</v>
      </c>
      <c r="AB377" s="1263" t="s">
        <v>7260</v>
      </c>
      <c r="AC377" s="1263" t="s">
        <v>7261</v>
      </c>
      <c r="AD377" s="1294" t="s">
        <v>7256</v>
      </c>
      <c r="AF377" s="3">
        <v>1</v>
      </c>
    </row>
    <row r="378" spans="2:32" ht="30" customHeight="1">
      <c r="B378" s="1256"/>
      <c r="C378" s="1291"/>
      <c r="D378" s="1239"/>
      <c r="E378" s="1239"/>
      <c r="F378" s="9"/>
      <c r="G378" s="1256"/>
      <c r="H378" s="1257"/>
      <c r="I378" s="1261"/>
      <c r="J378" s="1261"/>
      <c r="L378" s="5946"/>
      <c r="M378" s="1244"/>
      <c r="N378" s="54"/>
      <c r="O378" s="1247"/>
      <c r="P378" s="1247"/>
      <c r="Q378" s="176"/>
      <c r="R378" s="5937"/>
      <c r="S378" s="1240"/>
      <c r="T378" s="1239"/>
      <c r="U378" s="1239"/>
      <c r="W378" s="5937">
        <v>16</v>
      </c>
      <c r="X378" s="1294" t="s">
        <v>7262</v>
      </c>
      <c r="Y378" s="1260" t="s">
        <v>7263</v>
      </c>
      <c r="Z378" s="1263" t="s">
        <v>7264</v>
      </c>
      <c r="AA378" s="1260" t="s">
        <v>7265</v>
      </c>
      <c r="AB378" s="1263" t="s">
        <v>7266</v>
      </c>
      <c r="AC378" s="1263" t="s">
        <v>7267</v>
      </c>
      <c r="AD378" s="1294" t="s">
        <v>7262</v>
      </c>
      <c r="AF378" s="3">
        <v>1</v>
      </c>
    </row>
    <row r="379" spans="2:32" ht="30" customHeight="1">
      <c r="B379" s="1256"/>
      <c r="C379" s="1291"/>
      <c r="D379" s="1239"/>
      <c r="E379" s="1239"/>
      <c r="F379" s="9"/>
      <c r="G379" s="1256"/>
      <c r="H379" s="1257"/>
      <c r="I379" s="1261"/>
      <c r="J379" s="1261"/>
      <c r="L379" s="5946"/>
      <c r="M379" s="1244"/>
      <c r="N379" s="54"/>
      <c r="O379" s="1247"/>
      <c r="P379" s="1247"/>
      <c r="Q379" s="176"/>
      <c r="R379" s="5937"/>
      <c r="S379" s="1240"/>
      <c r="T379" s="1239"/>
      <c r="U379" s="1239"/>
      <c r="W379" s="5937">
        <f t="shared" ref="W379" si="58">W378+1</f>
        <v>17</v>
      </c>
      <c r="X379" s="1294" t="s">
        <v>7268</v>
      </c>
      <c r="Y379" s="1260" t="s">
        <v>7269</v>
      </c>
      <c r="Z379" s="1263" t="s">
        <v>7270</v>
      </c>
      <c r="AA379" s="1260" t="s">
        <v>7271</v>
      </c>
      <c r="AB379" s="1260" t="s">
        <v>7272</v>
      </c>
      <c r="AC379" s="1260" t="s">
        <v>7273</v>
      </c>
      <c r="AD379" s="1294" t="s">
        <v>7268</v>
      </c>
      <c r="AF379" s="3">
        <v>1</v>
      </c>
    </row>
    <row r="380" spans="2:32" ht="30" customHeight="1">
      <c r="B380" s="1256"/>
      <c r="C380" s="1291"/>
      <c r="D380" s="1239"/>
      <c r="E380" s="1239"/>
      <c r="F380" s="9"/>
      <c r="G380" s="1256"/>
      <c r="H380" s="1257"/>
      <c r="I380" s="1261"/>
      <c r="J380" s="1261"/>
      <c r="L380" s="5946"/>
      <c r="M380" s="1244"/>
      <c r="N380" s="54"/>
      <c r="O380" s="1247"/>
      <c r="P380" s="1247"/>
      <c r="Q380" s="176"/>
      <c r="R380" s="5937"/>
      <c r="S380" s="1240"/>
      <c r="T380" s="1239"/>
      <c r="U380" s="1239"/>
      <c r="W380" s="5937">
        <v>17</v>
      </c>
      <c r="X380" s="1294" t="s">
        <v>7274</v>
      </c>
      <c r="Y380" s="1260" t="s">
        <v>7275</v>
      </c>
      <c r="Z380" s="1263" t="s">
        <v>7276</v>
      </c>
      <c r="AA380" s="1260" t="s">
        <v>7277</v>
      </c>
      <c r="AB380" s="1260" t="s">
        <v>7278</v>
      </c>
      <c r="AC380" s="1260" t="s">
        <v>7279</v>
      </c>
      <c r="AD380" s="1294" t="s">
        <v>7274</v>
      </c>
      <c r="AF380" s="3">
        <v>1</v>
      </c>
    </row>
    <row r="381" spans="2:32" ht="30" customHeight="1">
      <c r="B381" s="1256"/>
      <c r="C381" s="1291"/>
      <c r="D381" s="1239"/>
      <c r="E381" s="1239"/>
      <c r="F381" s="9"/>
      <c r="G381" s="1256"/>
      <c r="H381" s="1257"/>
      <c r="I381" s="1261"/>
      <c r="J381" s="1261"/>
      <c r="L381" s="5946"/>
      <c r="M381" s="1244"/>
      <c r="N381" s="54"/>
      <c r="O381" s="1247"/>
      <c r="P381" s="1247"/>
      <c r="Q381" s="176"/>
      <c r="R381" s="5937"/>
      <c r="S381" s="1240"/>
      <c r="T381" s="1239"/>
      <c r="U381" s="1239"/>
      <c r="W381" s="5937">
        <f t="shared" ref="W381" si="59">W380+1</f>
        <v>18</v>
      </c>
      <c r="X381" s="1294" t="s">
        <v>7280</v>
      </c>
      <c r="Y381" s="1260" t="s">
        <v>4722</v>
      </c>
      <c r="Z381" s="1263" t="s">
        <v>7281</v>
      </c>
      <c r="AA381" s="1260" t="s">
        <v>7282</v>
      </c>
      <c r="AB381" s="1263" t="s">
        <v>7283</v>
      </c>
      <c r="AC381" s="1263" t="s">
        <v>7284</v>
      </c>
      <c r="AD381" s="1294" t="s">
        <v>7280</v>
      </c>
      <c r="AF381" s="3">
        <v>1</v>
      </c>
    </row>
    <row r="382" spans="2:32" ht="30" customHeight="1">
      <c r="B382" s="1256"/>
      <c r="C382" s="1291"/>
      <c r="D382" s="1239"/>
      <c r="E382" s="1239"/>
      <c r="F382" s="9"/>
      <c r="G382" s="1256"/>
      <c r="H382" s="1257"/>
      <c r="I382" s="1261"/>
      <c r="J382" s="1261"/>
      <c r="L382" s="5946"/>
      <c r="M382" s="1244"/>
      <c r="N382" s="54"/>
      <c r="O382" s="1247"/>
      <c r="P382" s="1247"/>
      <c r="Q382" s="176"/>
      <c r="R382" s="5937"/>
      <c r="S382" s="1240"/>
      <c r="T382" s="1239"/>
      <c r="U382" s="1239"/>
      <c r="W382" s="5937">
        <v>18</v>
      </c>
      <c r="X382" s="1294" t="s">
        <v>7285</v>
      </c>
      <c r="Y382" s="1260" t="s">
        <v>7286</v>
      </c>
      <c r="Z382" s="1263" t="s">
        <v>7287</v>
      </c>
      <c r="AA382" s="1260" t="s">
        <v>5856</v>
      </c>
      <c r="AB382" s="1260" t="s">
        <v>5857</v>
      </c>
      <c r="AC382" s="1260" t="s">
        <v>5858</v>
      </c>
      <c r="AD382" s="1294" t="s">
        <v>7285</v>
      </c>
      <c r="AF382" s="3">
        <v>1</v>
      </c>
    </row>
    <row r="383" spans="2:32" ht="30" customHeight="1">
      <c r="B383" s="1256"/>
      <c r="C383" s="1291"/>
      <c r="D383" s="1239"/>
      <c r="E383" s="1239"/>
      <c r="F383" s="9"/>
      <c r="G383" s="1256"/>
      <c r="H383" s="1257"/>
      <c r="I383" s="1261"/>
      <c r="J383" s="1261"/>
      <c r="L383" s="5946"/>
      <c r="M383" s="1244"/>
      <c r="N383" s="54"/>
      <c r="O383" s="1247"/>
      <c r="P383" s="1247"/>
      <c r="Q383" s="176"/>
      <c r="R383" s="5937"/>
      <c r="S383" s="1240"/>
      <c r="T383" s="1239"/>
      <c r="U383" s="1239"/>
      <c r="W383" s="5937">
        <f t="shared" ref="W383" si="60">W382+1</f>
        <v>19</v>
      </c>
      <c r="X383" s="1294" t="s">
        <v>7288</v>
      </c>
      <c r="Y383" s="1260" t="s">
        <v>7289</v>
      </c>
      <c r="Z383" s="1263" t="s">
        <v>7290</v>
      </c>
      <c r="AA383" s="1260" t="s">
        <v>5856</v>
      </c>
      <c r="AB383" s="1260" t="s">
        <v>5857</v>
      </c>
      <c r="AC383" s="1260" t="s">
        <v>5858</v>
      </c>
      <c r="AD383" s="1294" t="s">
        <v>7288</v>
      </c>
      <c r="AF383" s="3">
        <v>1</v>
      </c>
    </row>
    <row r="384" spans="2:32" ht="30" customHeight="1">
      <c r="B384" s="1256"/>
      <c r="C384" s="1291"/>
      <c r="D384" s="1239"/>
      <c r="E384" s="1239"/>
      <c r="F384" s="9"/>
      <c r="G384" s="1256"/>
      <c r="H384" s="1257"/>
      <c r="I384" s="1261"/>
      <c r="J384" s="1261"/>
      <c r="L384" s="5946"/>
      <c r="M384" s="1244"/>
      <c r="N384" s="54"/>
      <c r="O384" s="1247"/>
      <c r="P384" s="1247"/>
      <c r="Q384" s="176"/>
      <c r="R384" s="5937"/>
      <c r="S384" s="1240"/>
      <c r="T384" s="1239"/>
      <c r="U384" s="1239"/>
      <c r="W384" s="5937">
        <v>19</v>
      </c>
      <c r="X384" s="1294" t="s">
        <v>7291</v>
      </c>
      <c r="Y384" s="1260" t="s">
        <v>7292</v>
      </c>
      <c r="Z384" s="1263" t="s">
        <v>7293</v>
      </c>
      <c r="AA384" s="1260" t="s">
        <v>7294</v>
      </c>
      <c r="AB384" s="1263" t="s">
        <v>7295</v>
      </c>
      <c r="AC384" s="1263" t="s">
        <v>7296</v>
      </c>
      <c r="AD384" s="1294" t="s">
        <v>7291</v>
      </c>
      <c r="AF384" s="3">
        <v>1</v>
      </c>
    </row>
    <row r="385" spans="2:32" ht="30" customHeight="1">
      <c r="B385" s="1256"/>
      <c r="C385" s="1291"/>
      <c r="D385" s="1239"/>
      <c r="E385" s="1239"/>
      <c r="F385" s="9"/>
      <c r="G385" s="1256"/>
      <c r="H385" s="1257"/>
      <c r="I385" s="1261"/>
      <c r="J385" s="1261"/>
      <c r="L385" s="5946"/>
      <c r="M385" s="1244"/>
      <c r="N385" s="54"/>
      <c r="O385" s="1247"/>
      <c r="P385" s="1247"/>
      <c r="Q385" s="176"/>
      <c r="R385" s="5937"/>
      <c r="S385" s="1240"/>
      <c r="T385" s="1239"/>
      <c r="U385" s="1239"/>
      <c r="W385" s="5937">
        <f t="shared" ref="W385" si="61">W384+1</f>
        <v>20</v>
      </c>
      <c r="X385" s="1294" t="s">
        <v>7297</v>
      </c>
      <c r="Y385" s="1260" t="s">
        <v>7298</v>
      </c>
      <c r="Z385" s="1263" t="s">
        <v>7299</v>
      </c>
      <c r="AA385" s="1260" t="s">
        <v>7300</v>
      </c>
      <c r="AB385" s="1260" t="s">
        <v>7301</v>
      </c>
      <c r="AC385" s="1260" t="s">
        <v>7302</v>
      </c>
      <c r="AD385" s="1294" t="s">
        <v>7297</v>
      </c>
      <c r="AF385" s="3">
        <v>1</v>
      </c>
    </row>
    <row r="386" spans="2:32" ht="30" customHeight="1">
      <c r="B386" s="1256"/>
      <c r="C386" s="1291"/>
      <c r="D386" s="1239"/>
      <c r="E386" s="1239"/>
      <c r="F386" s="9"/>
      <c r="G386" s="1256"/>
      <c r="H386" s="1257"/>
      <c r="I386" s="1261"/>
      <c r="J386" s="1261"/>
      <c r="L386" s="5946"/>
      <c r="M386" s="1244"/>
      <c r="N386" s="54"/>
      <c r="O386" s="1247"/>
      <c r="P386" s="1247"/>
      <c r="Q386" s="176"/>
      <c r="R386" s="5937"/>
      <c r="S386" s="1240"/>
      <c r="T386" s="1239"/>
      <c r="U386" s="1239"/>
      <c r="W386" s="5937">
        <v>20</v>
      </c>
      <c r="X386" s="1294" t="s">
        <v>7303</v>
      </c>
      <c r="Y386" s="1260" t="s">
        <v>7304</v>
      </c>
      <c r="Z386" s="1263" t="s">
        <v>7305</v>
      </c>
      <c r="AA386" s="1260" t="s">
        <v>7306</v>
      </c>
      <c r="AB386" s="1263" t="s">
        <v>7307</v>
      </c>
      <c r="AC386" s="1263" t="s">
        <v>7308</v>
      </c>
      <c r="AD386" s="1294" t="s">
        <v>7303</v>
      </c>
      <c r="AF386" s="3">
        <v>1</v>
      </c>
    </row>
    <row r="387" spans="2:32" ht="30" customHeight="1">
      <c r="B387" s="1256"/>
      <c r="C387" s="1291"/>
      <c r="D387" s="1239"/>
      <c r="E387" s="1239"/>
      <c r="F387" s="9"/>
      <c r="G387" s="1256"/>
      <c r="H387" s="1257"/>
      <c r="I387" s="1261"/>
      <c r="J387" s="1261"/>
      <c r="L387" s="5946"/>
      <c r="M387" s="1244"/>
      <c r="N387" s="54"/>
      <c r="O387" s="1247"/>
      <c r="P387" s="1247"/>
      <c r="Q387" s="176"/>
      <c r="R387" s="5937"/>
      <c r="S387" s="1240"/>
      <c r="T387" s="1239"/>
      <c r="U387" s="1239"/>
      <c r="W387" s="5937">
        <f t="shared" ref="W387" si="62">W386+1</f>
        <v>21</v>
      </c>
      <c r="X387" s="1294" t="s">
        <v>7309</v>
      </c>
      <c r="Y387" s="1260" t="s">
        <v>7310</v>
      </c>
      <c r="Z387" s="1263" t="s">
        <v>7311</v>
      </c>
      <c r="AA387" s="1260" t="s">
        <v>7312</v>
      </c>
      <c r="AB387" s="1263" t="s">
        <v>7313</v>
      </c>
      <c r="AC387" s="1263" t="s">
        <v>7314</v>
      </c>
      <c r="AD387" s="1294" t="s">
        <v>7309</v>
      </c>
      <c r="AF387" s="3">
        <v>1</v>
      </c>
    </row>
    <row r="388" spans="2:32" ht="30" customHeight="1">
      <c r="B388" s="1256"/>
      <c r="C388" s="1291"/>
      <c r="D388" s="1239"/>
      <c r="E388" s="1239"/>
      <c r="F388" s="9"/>
      <c r="G388" s="1256"/>
      <c r="H388" s="1257"/>
      <c r="I388" s="1261"/>
      <c r="J388" s="1261"/>
      <c r="L388" s="5946"/>
      <c r="M388" s="1244"/>
      <c r="N388" s="54"/>
      <c r="O388" s="1247"/>
      <c r="P388" s="1247"/>
      <c r="Q388" s="176"/>
      <c r="R388" s="5937"/>
      <c r="S388" s="1240"/>
      <c r="T388" s="1239"/>
      <c r="U388" s="1239"/>
      <c r="W388" s="5937">
        <v>21</v>
      </c>
      <c r="X388" s="1294" t="s">
        <v>7315</v>
      </c>
      <c r="Y388" s="1239" t="s">
        <v>7316</v>
      </c>
      <c r="Z388" s="1239" t="s">
        <v>7317</v>
      </c>
      <c r="AA388" s="1260" t="s">
        <v>7318</v>
      </c>
      <c r="AB388" s="1260" t="s">
        <v>7319</v>
      </c>
      <c r="AC388" s="1260" t="s">
        <v>7320</v>
      </c>
      <c r="AD388" s="1294" t="s">
        <v>7315</v>
      </c>
      <c r="AF388" s="3">
        <v>1</v>
      </c>
    </row>
    <row r="389" spans="2:32" ht="30" customHeight="1">
      <c r="B389" s="1256"/>
      <c r="C389" s="1291"/>
      <c r="D389" s="1239"/>
      <c r="E389" s="1239"/>
      <c r="F389" s="9"/>
      <c r="G389" s="1256"/>
      <c r="H389" s="1257"/>
      <c r="I389" s="1261"/>
      <c r="J389" s="1261"/>
      <c r="L389" s="5946"/>
      <c r="M389" s="1244"/>
      <c r="N389" s="54"/>
      <c r="O389" s="1247"/>
      <c r="P389" s="1247"/>
      <c r="Q389" s="176"/>
      <c r="R389" s="5937"/>
      <c r="S389" s="1240"/>
      <c r="T389" s="1239"/>
      <c r="U389" s="1239"/>
      <c r="W389" s="5937">
        <f t="shared" ref="W389" si="63">W388+1</f>
        <v>22</v>
      </c>
      <c r="X389" s="1294" t="s">
        <v>7321</v>
      </c>
      <c r="Y389" s="1260" t="s">
        <v>7322</v>
      </c>
      <c r="Z389" s="1263" t="s">
        <v>7323</v>
      </c>
      <c r="AA389" s="1260" t="s">
        <v>7324</v>
      </c>
      <c r="AB389" s="1263" t="s">
        <v>7325</v>
      </c>
      <c r="AC389" s="1263" t="s">
        <v>7326</v>
      </c>
      <c r="AD389" s="1294" t="s">
        <v>7321</v>
      </c>
      <c r="AF389" s="3">
        <v>1</v>
      </c>
    </row>
    <row r="390" spans="2:32" ht="30" customHeight="1">
      <c r="B390" s="1256"/>
      <c r="C390" s="1291"/>
      <c r="D390" s="1239"/>
      <c r="E390" s="1239"/>
      <c r="F390" s="9"/>
      <c r="G390" s="1256"/>
      <c r="H390" s="1257"/>
      <c r="I390" s="1261"/>
      <c r="J390" s="1261"/>
      <c r="L390" s="5946"/>
      <c r="M390" s="1244"/>
      <c r="N390" s="54"/>
      <c r="O390" s="1247"/>
      <c r="P390" s="1247"/>
      <c r="Q390" s="176"/>
      <c r="R390" s="5937"/>
      <c r="S390" s="1240"/>
      <c r="T390" s="1239"/>
      <c r="U390" s="1239"/>
      <c r="W390" s="5937">
        <v>22</v>
      </c>
      <c r="X390" s="1294" t="s">
        <v>7327</v>
      </c>
      <c r="Y390" s="1260" t="s">
        <v>7328</v>
      </c>
      <c r="Z390" s="1263" t="s">
        <v>7329</v>
      </c>
      <c r="AA390" s="1260" t="s">
        <v>7330</v>
      </c>
      <c r="AB390" s="1260" t="s">
        <v>7331</v>
      </c>
      <c r="AC390" s="1260" t="s">
        <v>7332</v>
      </c>
      <c r="AD390" s="1294" t="s">
        <v>7327</v>
      </c>
      <c r="AF390" s="3">
        <v>1</v>
      </c>
    </row>
    <row r="391" spans="2:32" ht="30" customHeight="1">
      <c r="B391" s="1256"/>
      <c r="C391" s="1291"/>
      <c r="D391" s="1239"/>
      <c r="E391" s="1239"/>
      <c r="F391" s="9"/>
      <c r="G391" s="1256"/>
      <c r="H391" s="1257"/>
      <c r="I391" s="1261"/>
      <c r="J391" s="1261"/>
      <c r="L391" s="5946"/>
      <c r="M391" s="1244"/>
      <c r="N391" s="54"/>
      <c r="O391" s="1247"/>
      <c r="P391" s="1247"/>
      <c r="Q391" s="176"/>
      <c r="R391" s="5937"/>
      <c r="S391" s="1240"/>
      <c r="T391" s="1239"/>
      <c r="U391" s="1239"/>
      <c r="W391" s="5937">
        <f t="shared" ref="W391" si="64">W390+1</f>
        <v>23</v>
      </c>
      <c r="X391" s="1294" t="s">
        <v>7333</v>
      </c>
      <c r="Y391" s="1260" t="s">
        <v>7334</v>
      </c>
      <c r="Z391" s="1263" t="s">
        <v>7335</v>
      </c>
      <c r="AA391" s="1260" t="s">
        <v>7336</v>
      </c>
      <c r="AB391" s="1260" t="s">
        <v>7337</v>
      </c>
      <c r="AC391" s="1260" t="s">
        <v>7338</v>
      </c>
      <c r="AD391" s="1294" t="s">
        <v>7333</v>
      </c>
      <c r="AF391" s="3">
        <v>1</v>
      </c>
    </row>
    <row r="392" spans="2:32" ht="30" customHeight="1">
      <c r="B392" s="1256"/>
      <c r="C392" s="1291"/>
      <c r="D392" s="1239"/>
      <c r="E392" s="1239"/>
      <c r="F392" s="9"/>
      <c r="G392" s="1256"/>
      <c r="H392" s="1257"/>
      <c r="I392" s="1261"/>
      <c r="J392" s="1261"/>
      <c r="L392" s="5946"/>
      <c r="M392" s="1244"/>
      <c r="N392" s="54"/>
      <c r="O392" s="1247"/>
      <c r="P392" s="1247"/>
      <c r="Q392" s="176"/>
      <c r="R392" s="5937"/>
      <c r="S392" s="1240"/>
      <c r="T392" s="1239"/>
      <c r="U392" s="1239"/>
      <c r="W392" s="5937">
        <v>23</v>
      </c>
      <c r="X392" s="1294" t="s">
        <v>7339</v>
      </c>
      <c r="Y392" s="1260" t="s">
        <v>7340</v>
      </c>
      <c r="Z392" s="1263" t="s">
        <v>7341</v>
      </c>
      <c r="AA392" s="1260" t="s">
        <v>7342</v>
      </c>
      <c r="AB392" s="1263" t="s">
        <v>7343</v>
      </c>
      <c r="AC392" s="1263" t="s">
        <v>7344</v>
      </c>
      <c r="AD392" s="1294" t="s">
        <v>7339</v>
      </c>
      <c r="AF392" s="3">
        <v>1</v>
      </c>
    </row>
    <row r="393" spans="2:32" ht="30" customHeight="1">
      <c r="B393" s="1256"/>
      <c r="C393" s="1291"/>
      <c r="D393" s="1239"/>
      <c r="E393" s="1239"/>
      <c r="F393" s="9"/>
      <c r="G393" s="1256"/>
      <c r="H393" s="1257"/>
      <c r="I393" s="1261"/>
      <c r="J393" s="1261"/>
      <c r="L393" s="5946"/>
      <c r="M393" s="1244"/>
      <c r="N393" s="54"/>
      <c r="O393" s="1247"/>
      <c r="P393" s="1247"/>
      <c r="Q393" s="176"/>
      <c r="R393" s="5937"/>
      <c r="S393" s="1240"/>
      <c r="T393" s="1239"/>
      <c r="U393" s="1239"/>
      <c r="W393" s="5937">
        <f t="shared" ref="W393" si="65">W392+1</f>
        <v>24</v>
      </c>
      <c r="X393" s="1294" t="s">
        <v>7345</v>
      </c>
      <c r="Y393" s="1260" t="s">
        <v>7346</v>
      </c>
      <c r="Z393" s="1263" t="s">
        <v>7347</v>
      </c>
      <c r="AA393" s="1260" t="s">
        <v>7348</v>
      </c>
      <c r="AB393" s="1260" t="s">
        <v>7349</v>
      </c>
      <c r="AC393" s="1260" t="s">
        <v>7350</v>
      </c>
      <c r="AD393" s="1294" t="s">
        <v>7345</v>
      </c>
      <c r="AF393" s="3">
        <v>1</v>
      </c>
    </row>
    <row r="394" spans="2:32" ht="30" customHeight="1">
      <c r="B394" s="1256"/>
      <c r="C394" s="1291"/>
      <c r="D394" s="1239"/>
      <c r="E394" s="1239"/>
      <c r="F394" s="9"/>
      <c r="G394" s="1256"/>
      <c r="H394" s="1257"/>
      <c r="I394" s="1261"/>
      <c r="J394" s="1261"/>
      <c r="L394" s="5946"/>
      <c r="M394" s="1244"/>
      <c r="N394" s="54"/>
      <c r="O394" s="1247"/>
      <c r="P394" s="1247"/>
      <c r="Q394" s="176"/>
      <c r="R394" s="5937"/>
      <c r="S394" s="1240"/>
      <c r="T394" s="1239"/>
      <c r="U394" s="1239"/>
      <c r="W394" s="5937">
        <v>24</v>
      </c>
      <c r="X394" s="1294" t="s">
        <v>7351</v>
      </c>
      <c r="Y394" s="1260" t="s">
        <v>7352</v>
      </c>
      <c r="Z394" s="1263" t="s">
        <v>7353</v>
      </c>
      <c r="AA394" s="1260" t="s">
        <v>7354</v>
      </c>
      <c r="AB394" s="1263" t="s">
        <v>7355</v>
      </c>
      <c r="AC394" s="1263" t="s">
        <v>7356</v>
      </c>
      <c r="AD394" s="1294" t="s">
        <v>7351</v>
      </c>
      <c r="AF394" s="3">
        <v>1</v>
      </c>
    </row>
    <row r="395" spans="2:32" ht="30" customHeight="1">
      <c r="B395" s="1256"/>
      <c r="C395" s="1291"/>
      <c r="D395" s="1239"/>
      <c r="E395" s="1239"/>
      <c r="F395" s="9"/>
      <c r="G395" s="1256"/>
      <c r="H395" s="1257"/>
      <c r="I395" s="1261"/>
      <c r="J395" s="1261"/>
      <c r="L395" s="5946"/>
      <c r="M395" s="1244"/>
      <c r="N395" s="54"/>
      <c r="O395" s="1247"/>
      <c r="P395" s="1247"/>
      <c r="Q395" s="176"/>
      <c r="R395" s="5937"/>
      <c r="S395" s="1240"/>
      <c r="T395" s="1239"/>
      <c r="U395" s="1239"/>
      <c r="W395" s="5937">
        <f t="shared" ref="W395" si="66">W394+1</f>
        <v>25</v>
      </c>
      <c r="X395" s="1294" t="s">
        <v>7357</v>
      </c>
      <c r="Y395" s="1260" t="s">
        <v>7358</v>
      </c>
      <c r="Z395" s="1263" t="s">
        <v>7359</v>
      </c>
      <c r="AA395" s="1260" t="s">
        <v>7360</v>
      </c>
      <c r="AB395" s="1260" t="s">
        <v>7361</v>
      </c>
      <c r="AC395" s="1260" t="s">
        <v>7362</v>
      </c>
      <c r="AD395" s="1294" t="s">
        <v>7357</v>
      </c>
      <c r="AF395" s="3">
        <v>1</v>
      </c>
    </row>
    <row r="396" spans="2:32" ht="30" customHeight="1">
      <c r="B396" s="1256"/>
      <c r="C396" s="1291"/>
      <c r="D396" s="1239"/>
      <c r="E396" s="1239"/>
      <c r="F396" s="9"/>
      <c r="G396" s="1256"/>
      <c r="H396" s="1257"/>
      <c r="I396" s="1261"/>
      <c r="J396" s="1261"/>
      <c r="L396" s="5946"/>
      <c r="M396" s="1244"/>
      <c r="N396" s="54"/>
      <c r="O396" s="1247"/>
      <c r="P396" s="1247"/>
      <c r="Q396" s="176"/>
      <c r="R396" s="5937"/>
      <c r="S396" s="1240"/>
      <c r="T396" s="1239"/>
      <c r="U396" s="1239"/>
      <c r="W396" s="5937">
        <v>25</v>
      </c>
      <c r="X396" s="1294" t="s">
        <v>7363</v>
      </c>
      <c r="Y396" s="1260" t="s">
        <v>7364</v>
      </c>
      <c r="Z396" s="1263" t="s">
        <v>7365</v>
      </c>
      <c r="AA396" s="1260" t="s">
        <v>7366</v>
      </c>
      <c r="AB396" s="1260" t="s">
        <v>7367</v>
      </c>
      <c r="AC396" s="1263" t="s">
        <v>7368</v>
      </c>
      <c r="AD396" s="1294" t="s">
        <v>7363</v>
      </c>
      <c r="AF396" s="3">
        <v>1</v>
      </c>
    </row>
    <row r="397" spans="2:32" ht="30" customHeight="1">
      <c r="B397" s="1256"/>
      <c r="C397" s="1291"/>
      <c r="D397" s="1239"/>
      <c r="E397" s="1239"/>
      <c r="F397" s="9"/>
      <c r="G397" s="1256"/>
      <c r="H397" s="1257"/>
      <c r="I397" s="1261"/>
      <c r="J397" s="1261"/>
      <c r="L397" s="5946"/>
      <c r="M397" s="1244"/>
      <c r="N397" s="54"/>
      <c r="O397" s="1247"/>
      <c r="P397" s="1247"/>
      <c r="Q397" s="176"/>
      <c r="R397" s="5937"/>
      <c r="S397" s="1240"/>
      <c r="T397" s="1239"/>
      <c r="U397" s="1239"/>
      <c r="W397" s="5937">
        <f t="shared" ref="W397" si="67">W396+1</f>
        <v>26</v>
      </c>
      <c r="X397" s="1294" t="s">
        <v>7369</v>
      </c>
      <c r="Y397" s="1260" t="s">
        <v>7370</v>
      </c>
      <c r="Z397" s="1263" t="s">
        <v>7371</v>
      </c>
      <c r="AA397" s="1260" t="s">
        <v>7372</v>
      </c>
      <c r="AB397" s="1263" t="s">
        <v>7373</v>
      </c>
      <c r="AC397" s="1260" t="s">
        <v>7374</v>
      </c>
      <c r="AD397" s="1294" t="s">
        <v>7369</v>
      </c>
      <c r="AF397" s="3">
        <v>1</v>
      </c>
    </row>
    <row r="398" spans="2:32" ht="30" customHeight="1">
      <c r="B398" s="1256"/>
      <c r="C398" s="1291"/>
      <c r="D398" s="1239"/>
      <c r="E398" s="1239"/>
      <c r="F398" s="9"/>
      <c r="G398" s="1256"/>
      <c r="H398" s="1257"/>
      <c r="I398" s="1261"/>
      <c r="J398" s="1261"/>
      <c r="L398" s="5946"/>
      <c r="M398" s="1244"/>
      <c r="N398" s="54"/>
      <c r="O398" s="1247"/>
      <c r="P398" s="1247"/>
      <c r="Q398" s="176"/>
      <c r="R398" s="5937"/>
      <c r="S398" s="1240"/>
      <c r="T398" s="1239"/>
      <c r="U398" s="1239"/>
      <c r="W398" s="5937">
        <v>26</v>
      </c>
      <c r="X398" s="1294" t="s">
        <v>7375</v>
      </c>
      <c r="Y398" s="1260" t="s">
        <v>7376</v>
      </c>
      <c r="Z398" s="1263" t="s">
        <v>7377</v>
      </c>
      <c r="AA398" s="1260" t="s">
        <v>7378</v>
      </c>
      <c r="AB398" s="1263" t="s">
        <v>7379</v>
      </c>
      <c r="AC398" s="1263" t="s">
        <v>7380</v>
      </c>
      <c r="AD398" s="1294" t="s">
        <v>7375</v>
      </c>
      <c r="AF398" s="3">
        <v>1</v>
      </c>
    </row>
    <row r="399" spans="2:32" ht="30" customHeight="1">
      <c r="B399" s="1256"/>
      <c r="C399" s="1291"/>
      <c r="D399" s="1239"/>
      <c r="E399" s="1239"/>
      <c r="F399" s="9"/>
      <c r="G399" s="1256"/>
      <c r="H399" s="1257"/>
      <c r="I399" s="1261"/>
      <c r="J399" s="1261"/>
      <c r="L399" s="5946"/>
      <c r="M399" s="1244"/>
      <c r="N399" s="54"/>
      <c r="O399" s="1247"/>
      <c r="P399" s="1247"/>
      <c r="Q399" s="176"/>
      <c r="R399" s="5937"/>
      <c r="S399" s="1240"/>
      <c r="T399" s="1239"/>
      <c r="U399" s="1239"/>
      <c r="W399" s="5937">
        <f t="shared" ref="W399" si="68">W398+1</f>
        <v>27</v>
      </c>
      <c r="X399" s="1294" t="s">
        <v>7381</v>
      </c>
      <c r="Y399" s="1260" t="s">
        <v>7382</v>
      </c>
      <c r="Z399" s="1263" t="s">
        <v>7383</v>
      </c>
      <c r="AA399" s="1260" t="s">
        <v>7384</v>
      </c>
      <c r="AB399" s="1263" t="s">
        <v>7385</v>
      </c>
      <c r="AC399" s="1263" t="s">
        <v>7386</v>
      </c>
      <c r="AD399" s="1294" t="s">
        <v>7381</v>
      </c>
      <c r="AF399" s="3">
        <v>1</v>
      </c>
    </row>
    <row r="400" spans="2:32" ht="30" customHeight="1">
      <c r="B400" s="1256"/>
      <c r="C400" s="1291"/>
      <c r="D400" s="1239"/>
      <c r="E400" s="1239"/>
      <c r="F400" s="9"/>
      <c r="G400" s="1256"/>
      <c r="H400" s="1257"/>
      <c r="I400" s="1261"/>
      <c r="J400" s="1261"/>
      <c r="L400" s="5946"/>
      <c r="M400" s="1244"/>
      <c r="N400" s="54"/>
      <c r="O400" s="1247"/>
      <c r="P400" s="1247"/>
      <c r="Q400" s="176"/>
      <c r="R400" s="5937"/>
      <c r="S400" s="1240"/>
      <c r="T400" s="1239"/>
      <c r="U400" s="1239"/>
      <c r="W400" s="5937">
        <v>27</v>
      </c>
      <c r="X400" s="1294" t="s">
        <v>7387</v>
      </c>
      <c r="Y400" s="1260" t="s">
        <v>7388</v>
      </c>
      <c r="Z400" s="1263" t="s">
        <v>7389</v>
      </c>
      <c r="AA400" s="1260" t="s">
        <v>7390</v>
      </c>
      <c r="AB400" s="1263" t="s">
        <v>7391</v>
      </c>
      <c r="AC400" s="1263" t="s">
        <v>7392</v>
      </c>
      <c r="AD400" s="1294" t="s">
        <v>7387</v>
      </c>
      <c r="AF400" s="3">
        <v>1</v>
      </c>
    </row>
    <row r="401" spans="2:32" ht="30" customHeight="1">
      <c r="B401" s="1256"/>
      <c r="C401" s="1291"/>
      <c r="D401" s="1239"/>
      <c r="E401" s="1239"/>
      <c r="F401" s="9"/>
      <c r="G401" s="1256"/>
      <c r="H401" s="1257"/>
      <c r="I401" s="1261"/>
      <c r="J401" s="1261"/>
      <c r="L401" s="5946"/>
      <c r="M401" s="1244"/>
      <c r="N401" s="54"/>
      <c r="O401" s="1247"/>
      <c r="P401" s="1247"/>
      <c r="Q401" s="176"/>
      <c r="R401" s="5937"/>
      <c r="S401" s="1240"/>
      <c r="T401" s="1239"/>
      <c r="U401" s="1239"/>
      <c r="W401" s="5937">
        <f t="shared" ref="W401" si="69">W400+1</f>
        <v>28</v>
      </c>
      <c r="X401" s="1294" t="s">
        <v>7393</v>
      </c>
      <c r="Y401" s="1260" t="s">
        <v>7394</v>
      </c>
      <c r="Z401" s="1263" t="s">
        <v>7395</v>
      </c>
      <c r="AA401" s="1260" t="s">
        <v>7396</v>
      </c>
      <c r="AB401" s="1263" t="s">
        <v>7397</v>
      </c>
      <c r="AC401" s="1263" t="s">
        <v>7398</v>
      </c>
      <c r="AD401" s="1294" t="s">
        <v>7393</v>
      </c>
      <c r="AF401" s="3">
        <v>1</v>
      </c>
    </row>
    <row r="402" spans="2:32" ht="30" customHeight="1">
      <c r="B402" s="1256"/>
      <c r="C402" s="1291"/>
      <c r="D402" s="1239"/>
      <c r="E402" s="1239"/>
      <c r="F402" s="9"/>
      <c r="G402" s="1256"/>
      <c r="H402" s="1257"/>
      <c r="I402" s="1261"/>
      <c r="J402" s="1261"/>
      <c r="L402" s="5946"/>
      <c r="M402" s="1244"/>
      <c r="N402" s="54"/>
      <c r="O402" s="1247"/>
      <c r="P402" s="1247"/>
      <c r="Q402" s="176"/>
      <c r="R402" s="5937"/>
      <c r="S402" s="1240"/>
      <c r="T402" s="1239"/>
      <c r="U402" s="1239"/>
      <c r="W402" s="5937">
        <v>28</v>
      </c>
      <c r="X402" s="1255"/>
      <c r="Y402" s="1255"/>
      <c r="Z402" s="1255"/>
      <c r="AA402" s="1255"/>
      <c r="AB402" s="1255"/>
      <c r="AC402" s="1255"/>
      <c r="AD402" s="1255"/>
      <c r="AF402" s="3">
        <v>1</v>
      </c>
    </row>
    <row r="403" spans="2:32" ht="30" customHeight="1">
      <c r="B403" s="1256"/>
      <c r="C403" s="1291"/>
      <c r="D403" s="1239"/>
      <c r="E403" s="1239"/>
      <c r="F403" s="9"/>
      <c r="G403" s="1256"/>
      <c r="H403" s="1257"/>
      <c r="I403" s="1261"/>
      <c r="J403" s="1261"/>
      <c r="L403" s="5946"/>
      <c r="M403" s="1244"/>
      <c r="N403" s="54"/>
      <c r="O403" s="1247"/>
      <c r="P403" s="1247"/>
      <c r="Q403" s="176"/>
      <c r="R403" s="5937"/>
      <c r="S403" s="1240"/>
      <c r="T403" s="1239"/>
      <c r="U403" s="1239"/>
      <c r="W403" s="5937"/>
      <c r="X403" s="5981" t="s">
        <v>4683</v>
      </c>
      <c r="Y403" s="1255"/>
      <c r="Z403" s="1255"/>
      <c r="AA403" s="1255"/>
      <c r="AB403" s="1255"/>
      <c r="AC403" s="1255"/>
      <c r="AD403" s="5981" t="s">
        <v>4683</v>
      </c>
      <c r="AF403" s="3">
        <v>1</v>
      </c>
    </row>
    <row r="404" spans="2:32" ht="30" customHeight="1">
      <c r="B404" s="1256"/>
      <c r="C404" s="1291"/>
      <c r="D404" s="1239"/>
      <c r="E404" s="1239"/>
      <c r="F404" s="9"/>
      <c r="G404" s="1256"/>
      <c r="H404" s="1257"/>
      <c r="I404" s="1261"/>
      <c r="J404" s="1261"/>
      <c r="L404" s="5946"/>
      <c r="M404" s="1244"/>
      <c r="N404" s="54"/>
      <c r="O404" s="1247"/>
      <c r="P404" s="1247"/>
      <c r="Q404" s="176"/>
      <c r="R404" s="5937"/>
      <c r="S404" s="1240"/>
      <c r="T404" s="1239"/>
      <c r="U404" s="1239"/>
      <c r="W404" s="5937">
        <v>1</v>
      </c>
      <c r="X404" s="1294" t="s">
        <v>7399</v>
      </c>
      <c r="Y404" s="1260" t="s">
        <v>7400</v>
      </c>
      <c r="Z404" s="1263" t="s">
        <v>7401</v>
      </c>
      <c r="AA404" s="1260" t="s">
        <v>7402</v>
      </c>
      <c r="AB404" s="1260" t="s">
        <v>7403</v>
      </c>
      <c r="AC404" s="1260" t="s">
        <v>7404</v>
      </c>
      <c r="AD404" s="1294" t="s">
        <v>7399</v>
      </c>
      <c r="AF404" s="3">
        <v>1</v>
      </c>
    </row>
    <row r="405" spans="2:32" ht="30" customHeight="1">
      <c r="B405" s="1256"/>
      <c r="C405" s="1291"/>
      <c r="D405" s="1239"/>
      <c r="E405" s="1239"/>
      <c r="F405" s="9"/>
      <c r="G405" s="1256"/>
      <c r="H405" s="1257"/>
      <c r="I405" s="1261"/>
      <c r="J405" s="1261"/>
      <c r="L405" s="5946"/>
      <c r="M405" s="1244"/>
      <c r="N405" s="54"/>
      <c r="O405" s="1247"/>
      <c r="P405" s="1247"/>
      <c r="Q405" s="176"/>
      <c r="R405" s="5937"/>
      <c r="S405" s="1240"/>
      <c r="T405" s="1239"/>
      <c r="U405" s="1239"/>
      <c r="W405" s="5937">
        <f>W404+1</f>
        <v>2</v>
      </c>
      <c r="X405" s="1294" t="s">
        <v>7405</v>
      </c>
      <c r="Y405" s="1260" t="s">
        <v>7406</v>
      </c>
      <c r="Z405" s="1263" t="s">
        <v>7407</v>
      </c>
      <c r="AA405" s="1260" t="s">
        <v>7408</v>
      </c>
      <c r="AB405" s="1260" t="s">
        <v>7409</v>
      </c>
      <c r="AC405" s="1260" t="s">
        <v>7410</v>
      </c>
      <c r="AD405" s="1294" t="s">
        <v>7405</v>
      </c>
      <c r="AF405" s="3">
        <v>1</v>
      </c>
    </row>
    <row r="406" spans="2:32" ht="30" customHeight="1">
      <c r="B406" s="1256"/>
      <c r="C406" s="1291"/>
      <c r="D406" s="1239"/>
      <c r="E406" s="1239"/>
      <c r="F406" s="9"/>
      <c r="G406" s="1256"/>
      <c r="H406" s="1257"/>
      <c r="I406" s="1261"/>
      <c r="J406" s="1261"/>
      <c r="L406" s="5946"/>
      <c r="M406" s="1244"/>
      <c r="N406" s="54"/>
      <c r="O406" s="1247"/>
      <c r="P406" s="1247"/>
      <c r="Q406" s="176"/>
      <c r="R406" s="5937"/>
      <c r="S406" s="1240"/>
      <c r="T406" s="1239"/>
      <c r="U406" s="1239"/>
      <c r="W406" s="5937">
        <f t="shared" ref="W406:W428" si="70">W405+1</f>
        <v>3</v>
      </c>
      <c r="X406" s="1294" t="s">
        <v>7411</v>
      </c>
      <c r="Y406" s="1260" t="s">
        <v>7412</v>
      </c>
      <c r="Z406" s="1263" t="s">
        <v>7413</v>
      </c>
      <c r="AA406" s="1260" t="s">
        <v>7414</v>
      </c>
      <c r="AB406" s="1260" t="s">
        <v>7415</v>
      </c>
      <c r="AC406" s="1260" t="s">
        <v>7416</v>
      </c>
      <c r="AD406" s="1294" t="s">
        <v>7411</v>
      </c>
      <c r="AF406" s="3">
        <v>1</v>
      </c>
    </row>
    <row r="407" spans="2:32" ht="30" customHeight="1">
      <c r="B407" s="1256"/>
      <c r="C407" s="1291"/>
      <c r="D407" s="1239"/>
      <c r="E407" s="1239"/>
      <c r="F407" s="9"/>
      <c r="G407" s="1256"/>
      <c r="H407" s="1257"/>
      <c r="I407" s="1261"/>
      <c r="J407" s="1261"/>
      <c r="L407" s="5946"/>
      <c r="M407" s="1244"/>
      <c r="N407" s="54"/>
      <c r="O407" s="1247"/>
      <c r="P407" s="1247"/>
      <c r="Q407" s="176"/>
      <c r="R407" s="5937"/>
      <c r="S407" s="1240"/>
      <c r="T407" s="1239"/>
      <c r="U407" s="1239"/>
      <c r="W407" s="5937">
        <f t="shared" si="70"/>
        <v>4</v>
      </c>
      <c r="X407" s="1294" t="s">
        <v>7417</v>
      </c>
      <c r="Y407" s="1239" t="s">
        <v>7418</v>
      </c>
      <c r="Z407" s="1239" t="s">
        <v>7419</v>
      </c>
      <c r="AA407" s="1260" t="s">
        <v>7420</v>
      </c>
      <c r="AB407" s="1260" t="s">
        <v>7421</v>
      </c>
      <c r="AC407" s="1260" t="s">
        <v>7422</v>
      </c>
      <c r="AD407" s="1294" t="s">
        <v>7417</v>
      </c>
      <c r="AF407" s="3">
        <v>1</v>
      </c>
    </row>
    <row r="408" spans="2:32" ht="30" customHeight="1">
      <c r="B408" s="1256"/>
      <c r="C408" s="1291"/>
      <c r="D408" s="1239"/>
      <c r="E408" s="1239"/>
      <c r="F408" s="9"/>
      <c r="G408" s="1256"/>
      <c r="H408" s="1257"/>
      <c r="I408" s="1261"/>
      <c r="J408" s="1261"/>
      <c r="L408" s="5946"/>
      <c r="M408" s="1244"/>
      <c r="N408" s="54"/>
      <c r="O408" s="1247"/>
      <c r="P408" s="1247"/>
      <c r="Q408" s="176"/>
      <c r="R408" s="5937"/>
      <c r="S408" s="1240"/>
      <c r="T408" s="1239"/>
      <c r="U408" s="1239"/>
      <c r="W408" s="5937">
        <f t="shared" si="70"/>
        <v>5</v>
      </c>
      <c r="X408" s="1294" t="s">
        <v>7423</v>
      </c>
      <c r="Y408" s="1260" t="s">
        <v>7424</v>
      </c>
      <c r="Z408" s="1263" t="s">
        <v>7425</v>
      </c>
      <c r="AA408" s="1260" t="s">
        <v>7426</v>
      </c>
      <c r="AB408" s="1260" t="s">
        <v>7427</v>
      </c>
      <c r="AC408" s="1260" t="s">
        <v>7428</v>
      </c>
      <c r="AD408" s="1294" t="s">
        <v>7423</v>
      </c>
      <c r="AF408" s="3">
        <v>1</v>
      </c>
    </row>
    <row r="409" spans="2:32" ht="30" customHeight="1">
      <c r="B409" s="1256"/>
      <c r="C409" s="1291"/>
      <c r="D409" s="1239"/>
      <c r="E409" s="1239"/>
      <c r="F409" s="9"/>
      <c r="G409" s="1256"/>
      <c r="H409" s="1257"/>
      <c r="I409" s="1261"/>
      <c r="J409" s="1261"/>
      <c r="L409" s="5946"/>
      <c r="M409" s="1244"/>
      <c r="N409" s="54"/>
      <c r="O409" s="1247"/>
      <c r="P409" s="1247"/>
      <c r="Q409" s="176"/>
      <c r="R409" s="5937"/>
      <c r="S409" s="1240"/>
      <c r="T409" s="1239"/>
      <c r="U409" s="1239"/>
      <c r="W409" s="5937">
        <f t="shared" si="70"/>
        <v>6</v>
      </c>
      <c r="X409" s="1294" t="s">
        <v>7429</v>
      </c>
      <c r="Y409" s="1260" t="s">
        <v>7430</v>
      </c>
      <c r="Z409" s="1263" t="s">
        <v>7431</v>
      </c>
      <c r="AA409" s="1260" t="s">
        <v>7432</v>
      </c>
      <c r="AB409" s="1260" t="s">
        <v>7433</v>
      </c>
      <c r="AC409" s="1260" t="s">
        <v>7434</v>
      </c>
      <c r="AD409" s="1294" t="s">
        <v>7429</v>
      </c>
      <c r="AF409" s="3">
        <v>1</v>
      </c>
    </row>
    <row r="410" spans="2:32" ht="30" customHeight="1">
      <c r="B410" s="1256"/>
      <c r="C410" s="1291"/>
      <c r="D410" s="1239"/>
      <c r="E410" s="1239"/>
      <c r="F410" s="9"/>
      <c r="G410" s="1256"/>
      <c r="H410" s="1257"/>
      <c r="I410" s="1261"/>
      <c r="J410" s="1261"/>
      <c r="L410" s="5946"/>
      <c r="M410" s="1244"/>
      <c r="N410" s="54"/>
      <c r="O410" s="1247"/>
      <c r="P410" s="1247"/>
      <c r="Q410" s="176"/>
      <c r="R410" s="5937"/>
      <c r="S410" s="1240"/>
      <c r="T410" s="1239"/>
      <c r="U410" s="1239"/>
      <c r="W410" s="5937">
        <f t="shared" si="70"/>
        <v>7</v>
      </c>
      <c r="X410" s="1294" t="s">
        <v>7435</v>
      </c>
      <c r="Y410" s="1239" t="s">
        <v>7436</v>
      </c>
      <c r="Z410" s="1239" t="s">
        <v>7437</v>
      </c>
      <c r="AA410" s="1260" t="s">
        <v>7438</v>
      </c>
      <c r="AB410" s="1260" t="s">
        <v>7439</v>
      </c>
      <c r="AC410" s="1260" t="s">
        <v>7440</v>
      </c>
      <c r="AD410" s="1294" t="s">
        <v>7435</v>
      </c>
      <c r="AF410" s="3">
        <v>1</v>
      </c>
    </row>
    <row r="411" spans="2:32" ht="30" customHeight="1">
      <c r="B411" s="1256"/>
      <c r="C411" s="1291"/>
      <c r="D411" s="1239"/>
      <c r="E411" s="1239"/>
      <c r="F411" s="9"/>
      <c r="G411" s="1256"/>
      <c r="H411" s="1257"/>
      <c r="I411" s="1261"/>
      <c r="J411" s="1261"/>
      <c r="L411" s="5946"/>
      <c r="M411" s="1244"/>
      <c r="N411" s="54"/>
      <c r="O411" s="1247"/>
      <c r="P411" s="1247"/>
      <c r="Q411" s="176"/>
      <c r="R411" s="5937"/>
      <c r="S411" s="1240"/>
      <c r="T411" s="1239"/>
      <c r="U411" s="1239"/>
      <c r="W411" s="5937">
        <f t="shared" si="70"/>
        <v>8</v>
      </c>
      <c r="X411" s="1294" t="s">
        <v>7441</v>
      </c>
      <c r="Y411" s="1239" t="s">
        <v>7442</v>
      </c>
      <c r="Z411" s="1239" t="s">
        <v>7443</v>
      </c>
      <c r="AA411" s="1260" t="s">
        <v>7444</v>
      </c>
      <c r="AB411" s="1260" t="s">
        <v>7445</v>
      </c>
      <c r="AC411" s="1260" t="s">
        <v>7446</v>
      </c>
      <c r="AD411" s="1294" t="s">
        <v>7441</v>
      </c>
      <c r="AF411" s="3">
        <v>1</v>
      </c>
    </row>
    <row r="412" spans="2:32" ht="30" customHeight="1">
      <c r="B412" s="1256"/>
      <c r="C412" s="1291"/>
      <c r="D412" s="1239"/>
      <c r="E412" s="1239"/>
      <c r="F412" s="9"/>
      <c r="G412" s="1256"/>
      <c r="H412" s="1257"/>
      <c r="I412" s="1261"/>
      <c r="J412" s="1261"/>
      <c r="L412" s="5946"/>
      <c r="M412" s="1244"/>
      <c r="N412" s="54"/>
      <c r="O412" s="1247"/>
      <c r="P412" s="1247"/>
      <c r="Q412" s="176"/>
      <c r="R412" s="5937"/>
      <c r="S412" s="1240"/>
      <c r="T412" s="1239"/>
      <c r="U412" s="1239"/>
      <c r="W412" s="5937">
        <f t="shared" si="70"/>
        <v>9</v>
      </c>
      <c r="X412" s="1294" t="s">
        <v>7447</v>
      </c>
      <c r="Y412" s="1239" t="s">
        <v>7448</v>
      </c>
      <c r="Z412" s="1239" t="s">
        <v>7449</v>
      </c>
      <c r="AA412" s="1260" t="s">
        <v>7450</v>
      </c>
      <c r="AB412" s="1260" t="s">
        <v>7451</v>
      </c>
      <c r="AC412" s="1260" t="s">
        <v>7452</v>
      </c>
      <c r="AD412" s="1294" t="s">
        <v>7447</v>
      </c>
      <c r="AF412" s="3">
        <v>1</v>
      </c>
    </row>
    <row r="413" spans="2:32" ht="30" customHeight="1">
      <c r="B413" s="1256"/>
      <c r="C413" s="1291"/>
      <c r="D413" s="1239"/>
      <c r="E413" s="1239"/>
      <c r="F413" s="9"/>
      <c r="G413" s="1256"/>
      <c r="H413" s="1257"/>
      <c r="I413" s="1261"/>
      <c r="J413" s="1261"/>
      <c r="L413" s="5946"/>
      <c r="M413" s="1244"/>
      <c r="N413" s="54"/>
      <c r="O413" s="1247"/>
      <c r="P413" s="1247"/>
      <c r="Q413" s="176"/>
      <c r="R413" s="5937"/>
      <c r="S413" s="1240"/>
      <c r="T413" s="1239"/>
      <c r="U413" s="1239"/>
      <c r="W413" s="5937">
        <f t="shared" si="70"/>
        <v>10</v>
      </c>
      <c r="X413" s="1294" t="s">
        <v>7453</v>
      </c>
      <c r="Y413" s="1260" t="s">
        <v>7454</v>
      </c>
      <c r="Z413" s="1263" t="s">
        <v>7455</v>
      </c>
      <c r="AA413" s="1260" t="s">
        <v>7456</v>
      </c>
      <c r="AB413" s="1260" t="s">
        <v>7457</v>
      </c>
      <c r="AC413" s="1260" t="s">
        <v>7458</v>
      </c>
      <c r="AD413" s="1294" t="s">
        <v>7453</v>
      </c>
      <c r="AF413" s="3">
        <v>1</v>
      </c>
    </row>
    <row r="414" spans="2:32" ht="30" customHeight="1">
      <c r="B414" s="1256"/>
      <c r="C414" s="1291"/>
      <c r="D414" s="1239"/>
      <c r="E414" s="1239"/>
      <c r="F414" s="9"/>
      <c r="G414" s="1256"/>
      <c r="H414" s="1257"/>
      <c r="I414" s="1261"/>
      <c r="J414" s="1261"/>
      <c r="L414" s="5946"/>
      <c r="M414" s="1244"/>
      <c r="N414" s="54"/>
      <c r="O414" s="1247"/>
      <c r="P414" s="1247"/>
      <c r="Q414" s="176"/>
      <c r="R414" s="5937"/>
      <c r="S414" s="1240"/>
      <c r="T414" s="1239"/>
      <c r="U414" s="1239"/>
      <c r="W414" s="5937">
        <f t="shared" si="70"/>
        <v>11</v>
      </c>
      <c r="X414" s="1294" t="s">
        <v>7459</v>
      </c>
      <c r="Y414" s="1239" t="s">
        <v>7460</v>
      </c>
      <c r="Z414" s="1239" t="s">
        <v>7459</v>
      </c>
      <c r="AA414" s="1260" t="s">
        <v>7461</v>
      </c>
      <c r="AB414" s="1260" t="s">
        <v>7462</v>
      </c>
      <c r="AC414" s="1260" t="s">
        <v>7463</v>
      </c>
      <c r="AD414" s="1294" t="s">
        <v>7459</v>
      </c>
      <c r="AF414" s="3">
        <v>1</v>
      </c>
    </row>
    <row r="415" spans="2:32" ht="30" customHeight="1">
      <c r="B415" s="1256"/>
      <c r="C415" s="1291"/>
      <c r="D415" s="1239"/>
      <c r="E415" s="1239"/>
      <c r="F415" s="9"/>
      <c r="G415" s="1256"/>
      <c r="H415" s="1257"/>
      <c r="I415" s="1261"/>
      <c r="J415" s="1261"/>
      <c r="L415" s="5946"/>
      <c r="M415" s="1244"/>
      <c r="N415" s="54"/>
      <c r="O415" s="1247"/>
      <c r="P415" s="1247"/>
      <c r="Q415" s="176"/>
      <c r="R415" s="5937"/>
      <c r="S415" s="1240"/>
      <c r="T415" s="1239"/>
      <c r="U415" s="1239"/>
      <c r="W415" s="5937">
        <f t="shared" si="70"/>
        <v>12</v>
      </c>
      <c r="X415" s="1294" t="s">
        <v>7464</v>
      </c>
      <c r="Y415" s="1260" t="s">
        <v>7465</v>
      </c>
      <c r="Z415" s="1263" t="s">
        <v>7466</v>
      </c>
      <c r="AA415" s="1260" t="s">
        <v>7467</v>
      </c>
      <c r="AB415" s="1260" t="s">
        <v>7468</v>
      </c>
      <c r="AC415" s="1260" t="s">
        <v>7469</v>
      </c>
      <c r="AD415" s="1294" t="s">
        <v>7464</v>
      </c>
      <c r="AF415" s="3">
        <v>1</v>
      </c>
    </row>
    <row r="416" spans="2:32" ht="30" customHeight="1">
      <c r="B416" s="1256"/>
      <c r="C416" s="1291"/>
      <c r="D416" s="1239"/>
      <c r="E416" s="1239"/>
      <c r="F416" s="9"/>
      <c r="G416" s="1256"/>
      <c r="H416" s="1257"/>
      <c r="I416" s="1261"/>
      <c r="J416" s="1261"/>
      <c r="L416" s="5946"/>
      <c r="M416" s="1244"/>
      <c r="N416" s="54"/>
      <c r="O416" s="1247"/>
      <c r="P416" s="1247"/>
      <c r="Q416" s="176"/>
      <c r="R416" s="5937"/>
      <c r="S416" s="1240"/>
      <c r="T416" s="1239"/>
      <c r="U416" s="1239"/>
      <c r="W416" s="5937">
        <f t="shared" si="70"/>
        <v>13</v>
      </c>
      <c r="X416" s="1294" t="s">
        <v>7470</v>
      </c>
      <c r="Y416" s="1260" t="s">
        <v>7471</v>
      </c>
      <c r="Z416" s="1263" t="s">
        <v>7472</v>
      </c>
      <c r="AA416" s="1260" t="s">
        <v>7473</v>
      </c>
      <c r="AB416" s="1260" t="s">
        <v>7474</v>
      </c>
      <c r="AC416" s="1260" t="s">
        <v>7475</v>
      </c>
      <c r="AD416" s="1294" t="s">
        <v>7470</v>
      </c>
      <c r="AF416" s="3">
        <v>1</v>
      </c>
    </row>
    <row r="417" spans="2:32" ht="30" customHeight="1">
      <c r="B417" s="1256"/>
      <c r="C417" s="1291"/>
      <c r="D417" s="1239"/>
      <c r="E417" s="1239"/>
      <c r="F417" s="9"/>
      <c r="G417" s="1256"/>
      <c r="H417" s="1257"/>
      <c r="I417" s="1261"/>
      <c r="J417" s="1261"/>
      <c r="L417" s="5946"/>
      <c r="M417" s="1244"/>
      <c r="N417" s="54"/>
      <c r="O417" s="1247"/>
      <c r="P417" s="1247"/>
      <c r="Q417" s="176"/>
      <c r="R417" s="5937"/>
      <c r="S417" s="1240"/>
      <c r="T417" s="1239"/>
      <c r="U417" s="1239"/>
      <c r="W417" s="5937">
        <f t="shared" si="70"/>
        <v>14</v>
      </c>
      <c r="X417" s="1294" t="s">
        <v>7476</v>
      </c>
      <c r="Y417" s="1260" t="s">
        <v>7477</v>
      </c>
      <c r="Z417" s="1263" t="s">
        <v>7478</v>
      </c>
      <c r="AA417" s="1260" t="s">
        <v>7479</v>
      </c>
      <c r="AB417" s="1260" t="s">
        <v>7480</v>
      </c>
      <c r="AC417" s="1260" t="s">
        <v>7481</v>
      </c>
      <c r="AD417" s="1294" t="s">
        <v>7476</v>
      </c>
      <c r="AF417" s="3">
        <v>1</v>
      </c>
    </row>
    <row r="418" spans="2:32" ht="30" customHeight="1">
      <c r="B418" s="1256"/>
      <c r="C418" s="1291"/>
      <c r="D418" s="1239"/>
      <c r="E418" s="1239"/>
      <c r="F418" s="9"/>
      <c r="G418" s="1256"/>
      <c r="H418" s="1257"/>
      <c r="I418" s="1261"/>
      <c r="J418" s="1261"/>
      <c r="L418" s="5946"/>
      <c r="M418" s="1244"/>
      <c r="N418" s="54"/>
      <c r="O418" s="1247"/>
      <c r="P418" s="1247"/>
      <c r="Q418" s="176"/>
      <c r="R418" s="5937"/>
      <c r="S418" s="1240"/>
      <c r="T418" s="1239"/>
      <c r="U418" s="1239"/>
      <c r="W418" s="5937">
        <f t="shared" si="70"/>
        <v>15</v>
      </c>
      <c r="X418" s="1294" t="s">
        <v>7482</v>
      </c>
      <c r="Y418" s="1260" t="s">
        <v>7483</v>
      </c>
      <c r="Z418" s="1263" t="s">
        <v>7484</v>
      </c>
      <c r="AA418" s="1260" t="s">
        <v>7485</v>
      </c>
      <c r="AB418" s="1260" t="s">
        <v>7486</v>
      </c>
      <c r="AC418" s="1260" t="s">
        <v>7487</v>
      </c>
      <c r="AD418" s="1294" t="s">
        <v>7482</v>
      </c>
      <c r="AF418" s="3">
        <v>1</v>
      </c>
    </row>
    <row r="419" spans="2:32" ht="30" customHeight="1">
      <c r="B419" s="1256"/>
      <c r="C419" s="1291"/>
      <c r="D419" s="1239"/>
      <c r="E419" s="1239"/>
      <c r="F419" s="9"/>
      <c r="G419" s="1256"/>
      <c r="H419" s="1257"/>
      <c r="I419" s="1261"/>
      <c r="J419" s="1261"/>
      <c r="L419" s="5946"/>
      <c r="M419" s="1244"/>
      <c r="N419" s="54"/>
      <c r="O419" s="1247"/>
      <c r="P419" s="1247"/>
      <c r="Q419" s="176"/>
      <c r="R419" s="5937"/>
      <c r="S419" s="1240"/>
      <c r="T419" s="1239"/>
      <c r="U419" s="1239"/>
      <c r="W419" s="5937">
        <f t="shared" si="70"/>
        <v>16</v>
      </c>
      <c r="X419" s="1294" t="s">
        <v>7488</v>
      </c>
      <c r="Y419" s="1239" t="s">
        <v>7489</v>
      </c>
      <c r="Z419" s="1239" t="s">
        <v>7490</v>
      </c>
      <c r="AA419" s="1260" t="s">
        <v>7491</v>
      </c>
      <c r="AB419" s="1260" t="s">
        <v>7492</v>
      </c>
      <c r="AC419" s="1260" t="s">
        <v>7493</v>
      </c>
      <c r="AD419" s="1294" t="s">
        <v>7488</v>
      </c>
      <c r="AF419" s="3">
        <v>1</v>
      </c>
    </row>
    <row r="420" spans="2:32" ht="30" customHeight="1">
      <c r="B420" s="1256"/>
      <c r="C420" s="1291"/>
      <c r="D420" s="1239"/>
      <c r="E420" s="1239"/>
      <c r="F420" s="9"/>
      <c r="G420" s="1256"/>
      <c r="H420" s="1257"/>
      <c r="I420" s="1261"/>
      <c r="J420" s="1261"/>
      <c r="L420" s="5946"/>
      <c r="M420" s="1244"/>
      <c r="N420" s="54"/>
      <c r="O420" s="1247"/>
      <c r="P420" s="1247"/>
      <c r="Q420" s="176"/>
      <c r="R420" s="5937"/>
      <c r="S420" s="1240"/>
      <c r="T420" s="1239"/>
      <c r="U420" s="1239"/>
      <c r="W420" s="5937">
        <f t="shared" si="70"/>
        <v>17</v>
      </c>
      <c r="X420" s="1294" t="s">
        <v>7494</v>
      </c>
      <c r="Y420" s="1260" t="s">
        <v>7495</v>
      </c>
      <c r="Z420" s="1263" t="s">
        <v>7496</v>
      </c>
      <c r="AA420" s="1260" t="s">
        <v>7497</v>
      </c>
      <c r="AB420" s="1260" t="s">
        <v>7498</v>
      </c>
      <c r="AC420" s="1260" t="s">
        <v>7499</v>
      </c>
      <c r="AD420" s="1294" t="s">
        <v>7494</v>
      </c>
      <c r="AF420" s="3">
        <v>1</v>
      </c>
    </row>
    <row r="421" spans="2:32" ht="30" customHeight="1">
      <c r="B421" s="1256"/>
      <c r="C421" s="1291"/>
      <c r="D421" s="1239"/>
      <c r="E421" s="1239"/>
      <c r="F421" s="9"/>
      <c r="G421" s="1256"/>
      <c r="H421" s="1257"/>
      <c r="I421" s="1261"/>
      <c r="J421" s="1261"/>
      <c r="L421" s="5946"/>
      <c r="M421" s="1244"/>
      <c r="N421" s="54"/>
      <c r="O421" s="1247"/>
      <c r="P421" s="1247"/>
      <c r="Q421" s="176"/>
      <c r="R421" s="5937"/>
      <c r="S421" s="1240"/>
      <c r="T421" s="1239"/>
      <c r="U421" s="1239"/>
      <c r="W421" s="5937">
        <f t="shared" si="70"/>
        <v>18</v>
      </c>
      <c r="X421" s="1294" t="s">
        <v>7500</v>
      </c>
      <c r="Y421" s="1260" t="s">
        <v>7501</v>
      </c>
      <c r="Z421" s="1263" t="s">
        <v>7502</v>
      </c>
      <c r="AA421" s="1260" t="s">
        <v>7503</v>
      </c>
      <c r="AB421" s="1260" t="s">
        <v>7504</v>
      </c>
      <c r="AC421" s="1260" t="s">
        <v>7505</v>
      </c>
      <c r="AD421" s="1294" t="s">
        <v>7500</v>
      </c>
      <c r="AF421" s="3">
        <v>1</v>
      </c>
    </row>
    <row r="422" spans="2:32" ht="30" customHeight="1">
      <c r="B422" s="1256"/>
      <c r="C422" s="1291"/>
      <c r="D422" s="1239"/>
      <c r="E422" s="1239"/>
      <c r="F422" s="9"/>
      <c r="G422" s="1256"/>
      <c r="H422" s="1257"/>
      <c r="I422" s="1261"/>
      <c r="J422" s="1261"/>
      <c r="L422" s="5946"/>
      <c r="M422" s="1244"/>
      <c r="N422" s="54"/>
      <c r="O422" s="1247"/>
      <c r="P422" s="1247"/>
      <c r="Q422" s="176"/>
      <c r="R422" s="5937"/>
      <c r="S422" s="1240"/>
      <c r="T422" s="1239"/>
      <c r="U422" s="1239"/>
      <c r="W422" s="5937">
        <f t="shared" si="70"/>
        <v>19</v>
      </c>
      <c r="X422" s="1294" t="s">
        <v>7506</v>
      </c>
      <c r="Y422" s="1260" t="s">
        <v>7507</v>
      </c>
      <c r="Z422" s="1263" t="s">
        <v>7508</v>
      </c>
      <c r="AA422" s="1260" t="s">
        <v>7509</v>
      </c>
      <c r="AB422" s="1260" t="s">
        <v>7510</v>
      </c>
      <c r="AC422" s="1260" t="s">
        <v>7511</v>
      </c>
      <c r="AD422" s="1294" t="s">
        <v>7506</v>
      </c>
      <c r="AF422" s="3">
        <v>1</v>
      </c>
    </row>
    <row r="423" spans="2:32" ht="30" customHeight="1">
      <c r="B423" s="1256"/>
      <c r="C423" s="1291"/>
      <c r="D423" s="1239"/>
      <c r="E423" s="1239"/>
      <c r="F423" s="9"/>
      <c r="G423" s="1256"/>
      <c r="H423" s="1257"/>
      <c r="I423" s="1261"/>
      <c r="J423" s="1261"/>
      <c r="L423" s="5946"/>
      <c r="M423" s="1244"/>
      <c r="N423" s="54"/>
      <c r="O423" s="1247"/>
      <c r="P423" s="1247"/>
      <c r="Q423" s="176"/>
      <c r="R423" s="5937"/>
      <c r="S423" s="1240"/>
      <c r="T423" s="1239"/>
      <c r="U423" s="1239"/>
      <c r="W423" s="5937">
        <f t="shared" si="70"/>
        <v>20</v>
      </c>
      <c r="X423" s="1294" t="s">
        <v>7512</v>
      </c>
      <c r="Y423" s="1260" t="s">
        <v>7513</v>
      </c>
      <c r="Z423" s="1263" t="s">
        <v>7514</v>
      </c>
      <c r="AA423" s="1260" t="s">
        <v>7515</v>
      </c>
      <c r="AB423" s="1260" t="s">
        <v>7516</v>
      </c>
      <c r="AC423" s="1260" t="s">
        <v>7517</v>
      </c>
      <c r="AD423" s="1294" t="s">
        <v>7512</v>
      </c>
      <c r="AF423" s="3">
        <v>1</v>
      </c>
    </row>
    <row r="424" spans="2:32" ht="30" customHeight="1">
      <c r="B424" s="1256"/>
      <c r="C424" s="1291"/>
      <c r="D424" s="1239"/>
      <c r="E424" s="1239"/>
      <c r="F424" s="9"/>
      <c r="G424" s="1256"/>
      <c r="H424" s="1257"/>
      <c r="I424" s="1261"/>
      <c r="J424" s="1261"/>
      <c r="L424" s="5946"/>
      <c r="M424" s="1244"/>
      <c r="N424" s="54"/>
      <c r="O424" s="1247"/>
      <c r="P424" s="1247"/>
      <c r="Q424" s="176"/>
      <c r="R424" s="5937"/>
      <c r="S424" s="1240"/>
      <c r="T424" s="1239"/>
      <c r="U424" s="1239"/>
      <c r="W424" s="5937">
        <f t="shared" si="70"/>
        <v>21</v>
      </c>
      <c r="X424" s="1294" t="s">
        <v>7518</v>
      </c>
      <c r="Y424" s="1260" t="s">
        <v>7519</v>
      </c>
      <c r="Z424" s="1263" t="s">
        <v>7520</v>
      </c>
      <c r="AA424" s="1260" t="s">
        <v>7521</v>
      </c>
      <c r="AB424" s="1260" t="s">
        <v>7522</v>
      </c>
      <c r="AC424" s="1260" t="s">
        <v>7523</v>
      </c>
      <c r="AD424" s="1294" t="s">
        <v>7518</v>
      </c>
      <c r="AF424" s="3">
        <v>1</v>
      </c>
    </row>
    <row r="425" spans="2:32" ht="30" customHeight="1">
      <c r="B425" s="1256"/>
      <c r="C425" s="1291"/>
      <c r="D425" s="1239"/>
      <c r="E425" s="1239"/>
      <c r="F425" s="9"/>
      <c r="G425" s="1256"/>
      <c r="H425" s="1257"/>
      <c r="I425" s="1261"/>
      <c r="J425" s="1261"/>
      <c r="L425" s="5946"/>
      <c r="M425" s="1244"/>
      <c r="N425" s="54"/>
      <c r="O425" s="1247"/>
      <c r="P425" s="1247"/>
      <c r="Q425" s="176"/>
      <c r="R425" s="5937"/>
      <c r="S425" s="1240"/>
      <c r="T425" s="1239"/>
      <c r="U425" s="1239"/>
      <c r="W425" s="5937">
        <f t="shared" si="70"/>
        <v>22</v>
      </c>
      <c r="X425" s="1294" t="s">
        <v>7524</v>
      </c>
      <c r="Y425" s="1260" t="s">
        <v>7525</v>
      </c>
      <c r="Z425" s="1263" t="s">
        <v>7526</v>
      </c>
      <c r="AA425" s="1260" t="s">
        <v>7527</v>
      </c>
      <c r="AB425" s="1260" t="s">
        <v>7528</v>
      </c>
      <c r="AC425" s="1260" t="s">
        <v>7529</v>
      </c>
      <c r="AD425" s="1294" t="s">
        <v>7524</v>
      </c>
      <c r="AF425" s="3">
        <v>1</v>
      </c>
    </row>
    <row r="426" spans="2:32" ht="30" customHeight="1">
      <c r="B426" s="1256"/>
      <c r="C426" s="1291"/>
      <c r="D426" s="1239"/>
      <c r="E426" s="1239"/>
      <c r="F426" s="9"/>
      <c r="G426" s="1256"/>
      <c r="H426" s="1257"/>
      <c r="I426" s="1261"/>
      <c r="J426" s="1261"/>
      <c r="L426" s="5946"/>
      <c r="M426" s="1244"/>
      <c r="N426" s="54"/>
      <c r="O426" s="1247"/>
      <c r="P426" s="1247"/>
      <c r="Q426" s="176"/>
      <c r="R426" s="5937"/>
      <c r="S426" s="1240"/>
      <c r="T426" s="1239"/>
      <c r="U426" s="1239"/>
      <c r="W426" s="5937">
        <f t="shared" si="70"/>
        <v>23</v>
      </c>
      <c r="X426" s="1294" t="s">
        <v>7530</v>
      </c>
      <c r="Y426" s="1239" t="s">
        <v>7531</v>
      </c>
      <c r="Z426" s="1239" t="s">
        <v>7532</v>
      </c>
      <c r="AA426" s="1260" t="s">
        <v>7533</v>
      </c>
      <c r="AB426" s="1260" t="s">
        <v>7534</v>
      </c>
      <c r="AC426" s="1260" t="s">
        <v>7535</v>
      </c>
      <c r="AD426" s="1294" t="s">
        <v>7530</v>
      </c>
      <c r="AF426" s="3">
        <v>1</v>
      </c>
    </row>
    <row r="427" spans="2:32" ht="30" customHeight="1">
      <c r="B427" s="1256"/>
      <c r="C427" s="1291"/>
      <c r="D427" s="1239"/>
      <c r="E427" s="1239"/>
      <c r="F427" s="9"/>
      <c r="G427" s="1256"/>
      <c r="H427" s="1257"/>
      <c r="I427" s="1261"/>
      <c r="J427" s="1261"/>
      <c r="L427" s="5946"/>
      <c r="M427" s="1244"/>
      <c r="N427" s="54"/>
      <c r="O427" s="1247"/>
      <c r="P427" s="1247"/>
      <c r="Q427" s="176"/>
      <c r="R427" s="5937"/>
      <c r="S427" s="1240"/>
      <c r="T427" s="1239"/>
      <c r="U427" s="1239"/>
      <c r="W427" s="5937">
        <f t="shared" si="70"/>
        <v>24</v>
      </c>
      <c r="X427" s="1294" t="s">
        <v>7536</v>
      </c>
      <c r="Y427" s="1260" t="s">
        <v>7537</v>
      </c>
      <c r="Z427" s="1263" t="s">
        <v>7538</v>
      </c>
      <c r="AA427" s="1260" t="s">
        <v>7539</v>
      </c>
      <c r="AB427" s="1260" t="s">
        <v>7540</v>
      </c>
      <c r="AC427" s="1260" t="s">
        <v>7541</v>
      </c>
      <c r="AD427" s="1294" t="s">
        <v>7536</v>
      </c>
      <c r="AF427" s="3">
        <v>1</v>
      </c>
    </row>
    <row r="428" spans="2:32" ht="30" customHeight="1">
      <c r="B428" s="1256"/>
      <c r="C428" s="1291"/>
      <c r="D428" s="1239"/>
      <c r="E428" s="1239"/>
      <c r="F428" s="9"/>
      <c r="G428" s="1256"/>
      <c r="H428" s="1257"/>
      <c r="I428" s="1261"/>
      <c r="J428" s="1261"/>
      <c r="L428" s="5946"/>
      <c r="M428" s="1244"/>
      <c r="N428" s="54"/>
      <c r="O428" s="1247"/>
      <c r="P428" s="1247"/>
      <c r="Q428" s="176"/>
      <c r="R428" s="5937"/>
      <c r="S428" s="1240"/>
      <c r="T428" s="1239"/>
      <c r="U428" s="1239"/>
      <c r="W428" s="5937">
        <f t="shared" si="70"/>
        <v>25</v>
      </c>
      <c r="X428" s="1294" t="s">
        <v>7542</v>
      </c>
      <c r="Y428" s="1260" t="s">
        <v>7543</v>
      </c>
      <c r="Z428" s="1263" t="s">
        <v>7544</v>
      </c>
      <c r="AA428" s="1260" t="s">
        <v>7545</v>
      </c>
      <c r="AB428" s="1260" t="s">
        <v>7546</v>
      </c>
      <c r="AC428" s="1260" t="s">
        <v>7547</v>
      </c>
      <c r="AD428" s="1294" t="s">
        <v>7542</v>
      </c>
      <c r="AF428" s="3">
        <v>1</v>
      </c>
    </row>
    <row r="429" spans="2:32" ht="30" customHeight="1">
      <c r="B429" s="1256"/>
      <c r="C429" s="1291"/>
      <c r="D429" s="1239"/>
      <c r="E429" s="1239"/>
      <c r="F429" s="9"/>
      <c r="G429" s="1256"/>
      <c r="H429" s="1257"/>
      <c r="I429" s="1261"/>
      <c r="J429" s="1261"/>
      <c r="L429" s="5946"/>
      <c r="M429" s="1244"/>
      <c r="N429" s="54"/>
      <c r="O429" s="1247"/>
      <c r="P429" s="1247"/>
      <c r="Q429" s="176"/>
      <c r="R429" s="5937"/>
      <c r="S429" s="1240"/>
      <c r="T429" s="1239"/>
      <c r="U429" s="1239"/>
      <c r="X429" s="5952" t="s">
        <v>4813</v>
      </c>
      <c r="AB429" s="1255"/>
      <c r="AC429" s="1255"/>
      <c r="AD429" s="5952" t="s">
        <v>4813</v>
      </c>
      <c r="AF429" s="3">
        <v>1</v>
      </c>
    </row>
    <row r="430" spans="2:32" ht="30" customHeight="1">
      <c r="B430" s="1256"/>
      <c r="C430" s="1291"/>
      <c r="D430" s="1239"/>
      <c r="E430" s="1239"/>
      <c r="F430" s="9"/>
      <c r="G430" s="1256"/>
      <c r="H430" s="1257"/>
      <c r="I430" s="1261"/>
      <c r="J430" s="1261"/>
      <c r="L430" s="5946"/>
      <c r="M430" s="1244"/>
      <c r="N430" s="54"/>
      <c r="O430" s="1247"/>
      <c r="P430" s="1247"/>
      <c r="Q430" s="176"/>
      <c r="R430" s="5937"/>
      <c r="S430" s="1240"/>
      <c r="T430" s="1239"/>
      <c r="U430" s="1239"/>
      <c r="W430" s="5937">
        <v>1</v>
      </c>
      <c r="X430" s="1294" t="s">
        <v>7548</v>
      </c>
      <c r="Y430" s="1260" t="s">
        <v>7549</v>
      </c>
      <c r="Z430" s="1263" t="s">
        <v>7550</v>
      </c>
      <c r="AA430" s="1260" t="s">
        <v>7551</v>
      </c>
      <c r="AB430" s="1260" t="s">
        <v>7552</v>
      </c>
      <c r="AC430" s="1260" t="s">
        <v>7553</v>
      </c>
      <c r="AD430" s="1294" t="s">
        <v>7548</v>
      </c>
      <c r="AF430" s="3">
        <v>1</v>
      </c>
    </row>
    <row r="431" spans="2:32" ht="30" customHeight="1">
      <c r="B431" s="1256"/>
      <c r="C431" s="1291"/>
      <c r="D431" s="1239"/>
      <c r="E431" s="1239"/>
      <c r="F431" s="9"/>
      <c r="G431" s="1256"/>
      <c r="H431" s="1257"/>
      <c r="I431" s="1261"/>
      <c r="J431" s="1261"/>
      <c r="L431" s="5946"/>
      <c r="M431" s="1244"/>
      <c r="N431" s="54"/>
      <c r="O431" s="1247"/>
      <c r="P431" s="1247"/>
      <c r="Q431" s="176"/>
      <c r="R431" s="5937"/>
      <c r="S431" s="1240"/>
      <c r="T431" s="1239"/>
      <c r="U431" s="1239"/>
      <c r="W431" s="5937">
        <f>W430+1</f>
        <v>2</v>
      </c>
      <c r="X431" s="1294" t="s">
        <v>7554</v>
      </c>
      <c r="Y431" s="1260" t="s">
        <v>7555</v>
      </c>
      <c r="Z431" s="1263" t="s">
        <v>7556</v>
      </c>
      <c r="AA431" s="1260" t="s">
        <v>7557</v>
      </c>
      <c r="AB431" s="1260" t="s">
        <v>7558</v>
      </c>
      <c r="AC431" s="1260" t="s">
        <v>7559</v>
      </c>
      <c r="AD431" s="1294" t="s">
        <v>7554</v>
      </c>
      <c r="AF431" s="3">
        <v>1</v>
      </c>
    </row>
    <row r="432" spans="2:32" ht="30" customHeight="1">
      <c r="B432" s="1256"/>
      <c r="C432" s="1291"/>
      <c r="D432" s="1239"/>
      <c r="E432" s="1239"/>
      <c r="F432" s="9"/>
      <c r="G432" s="1256"/>
      <c r="H432" s="1257"/>
      <c r="I432" s="1261"/>
      <c r="J432" s="1261"/>
      <c r="L432" s="5946"/>
      <c r="M432" s="1244"/>
      <c r="N432" s="54"/>
      <c r="O432" s="1247"/>
      <c r="P432" s="1247"/>
      <c r="Q432" s="176"/>
      <c r="R432" s="5937"/>
      <c r="S432" s="1240"/>
      <c r="T432" s="1239"/>
      <c r="U432" s="1239"/>
      <c r="W432" s="5937">
        <f t="shared" ref="W432:W453" si="71">W431+1</f>
        <v>3</v>
      </c>
      <c r="X432" s="1294" t="s">
        <v>7560</v>
      </c>
      <c r="Y432" s="1260" t="s">
        <v>7561</v>
      </c>
      <c r="Z432" s="1263" t="s">
        <v>7562</v>
      </c>
      <c r="AA432" s="1260" t="s">
        <v>7563</v>
      </c>
      <c r="AB432" s="1260" t="s">
        <v>7564</v>
      </c>
      <c r="AC432" s="1260" t="s">
        <v>7565</v>
      </c>
      <c r="AD432" s="1294" t="s">
        <v>7560</v>
      </c>
      <c r="AF432" s="3">
        <v>1</v>
      </c>
    </row>
    <row r="433" spans="2:32" ht="30" customHeight="1">
      <c r="B433" s="1256"/>
      <c r="C433" s="1291"/>
      <c r="D433" s="1239"/>
      <c r="E433" s="1239"/>
      <c r="F433" s="9"/>
      <c r="G433" s="1256"/>
      <c r="H433" s="1257"/>
      <c r="I433" s="1261"/>
      <c r="J433" s="1261"/>
      <c r="L433" s="5946"/>
      <c r="M433" s="1244"/>
      <c r="N433" s="54"/>
      <c r="O433" s="1247"/>
      <c r="P433" s="1247"/>
      <c r="Q433" s="176"/>
      <c r="R433" s="5937"/>
      <c r="S433" s="1240"/>
      <c r="T433" s="1239"/>
      <c r="U433" s="1239"/>
      <c r="W433" s="5937">
        <f t="shared" si="71"/>
        <v>4</v>
      </c>
      <c r="X433" s="1294" t="s">
        <v>7566</v>
      </c>
      <c r="Y433" s="1260" t="s">
        <v>7567</v>
      </c>
      <c r="Z433" s="1263" t="s">
        <v>7568</v>
      </c>
      <c r="AA433" s="1260" t="s">
        <v>7569</v>
      </c>
      <c r="AB433" s="1260" t="s">
        <v>7570</v>
      </c>
      <c r="AC433" s="1260" t="s">
        <v>7571</v>
      </c>
      <c r="AD433" s="1294" t="s">
        <v>7566</v>
      </c>
      <c r="AF433" s="3">
        <v>1</v>
      </c>
    </row>
    <row r="434" spans="2:32" ht="30" customHeight="1">
      <c r="B434" s="1256"/>
      <c r="C434" s="1291"/>
      <c r="D434" s="1239"/>
      <c r="E434" s="1239"/>
      <c r="F434" s="9"/>
      <c r="G434" s="1256"/>
      <c r="H434" s="1257"/>
      <c r="I434" s="1261"/>
      <c r="J434" s="1261"/>
      <c r="L434" s="5946"/>
      <c r="M434" s="1244"/>
      <c r="N434" s="54"/>
      <c r="O434" s="1247"/>
      <c r="P434" s="1247"/>
      <c r="Q434" s="176"/>
      <c r="R434" s="5937"/>
      <c r="S434" s="1240"/>
      <c r="T434" s="1239"/>
      <c r="U434" s="1239"/>
      <c r="W434" s="5937">
        <f t="shared" si="71"/>
        <v>5</v>
      </c>
      <c r="X434" s="1294" t="s">
        <v>7572</v>
      </c>
      <c r="Y434" s="1260" t="s">
        <v>7573</v>
      </c>
      <c r="Z434" s="1263" t="s">
        <v>7574</v>
      </c>
      <c r="AA434" s="1260" t="s">
        <v>7575</v>
      </c>
      <c r="AB434" s="1260" t="s">
        <v>7576</v>
      </c>
      <c r="AC434" s="1260" t="s">
        <v>7577</v>
      </c>
      <c r="AD434" s="1294" t="s">
        <v>7572</v>
      </c>
      <c r="AF434" s="3">
        <v>1</v>
      </c>
    </row>
    <row r="435" spans="2:32" ht="30" customHeight="1">
      <c r="B435" s="1256"/>
      <c r="C435" s="1291"/>
      <c r="D435" s="1239"/>
      <c r="E435" s="1239"/>
      <c r="F435" s="9"/>
      <c r="G435" s="1256"/>
      <c r="H435" s="1257"/>
      <c r="I435" s="1261"/>
      <c r="J435" s="1261"/>
      <c r="L435" s="5946"/>
      <c r="M435" s="1244"/>
      <c r="N435" s="54"/>
      <c r="O435" s="1247"/>
      <c r="P435" s="1247"/>
      <c r="Q435" s="176"/>
      <c r="R435" s="5937"/>
      <c r="S435" s="1240"/>
      <c r="T435" s="1239"/>
      <c r="U435" s="1239"/>
      <c r="W435" s="5937">
        <f t="shared" si="71"/>
        <v>6</v>
      </c>
      <c r="X435" s="1294" t="s">
        <v>7578</v>
      </c>
      <c r="Y435" s="1260" t="s">
        <v>7579</v>
      </c>
      <c r="Z435" s="1263" t="s">
        <v>7580</v>
      </c>
      <c r="AA435" s="1260" t="s">
        <v>7581</v>
      </c>
      <c r="AB435" s="1260" t="s">
        <v>7582</v>
      </c>
      <c r="AC435" s="1260" t="s">
        <v>7583</v>
      </c>
      <c r="AD435" s="1294" t="s">
        <v>7578</v>
      </c>
      <c r="AF435" s="3">
        <v>1</v>
      </c>
    </row>
    <row r="436" spans="2:32" ht="30" customHeight="1">
      <c r="B436" s="1256"/>
      <c r="C436" s="1291"/>
      <c r="D436" s="1239"/>
      <c r="E436" s="1239"/>
      <c r="F436" s="9"/>
      <c r="G436" s="1256"/>
      <c r="H436" s="1257"/>
      <c r="I436" s="1261"/>
      <c r="J436" s="1261"/>
      <c r="L436" s="5946"/>
      <c r="M436" s="1244"/>
      <c r="N436" s="54"/>
      <c r="O436" s="1247"/>
      <c r="P436" s="1247"/>
      <c r="Q436" s="176"/>
      <c r="R436" s="5937"/>
      <c r="S436" s="1240"/>
      <c r="T436" s="1239"/>
      <c r="U436" s="1239"/>
      <c r="W436" s="5937">
        <f t="shared" si="71"/>
        <v>7</v>
      </c>
      <c r="X436" s="1294" t="s">
        <v>7584</v>
      </c>
      <c r="Y436" s="1260" t="s">
        <v>7585</v>
      </c>
      <c r="Z436" s="1263" t="s">
        <v>7586</v>
      </c>
      <c r="AA436" s="1260" t="s">
        <v>7587</v>
      </c>
      <c r="AB436" s="1260" t="s">
        <v>7588</v>
      </c>
      <c r="AC436" s="1260" t="s">
        <v>7589</v>
      </c>
      <c r="AD436" s="1294" t="s">
        <v>7584</v>
      </c>
      <c r="AF436" s="3">
        <v>1</v>
      </c>
    </row>
    <row r="437" spans="2:32" ht="30" customHeight="1">
      <c r="B437" s="1256"/>
      <c r="C437" s="1291"/>
      <c r="D437" s="1239"/>
      <c r="E437" s="1239"/>
      <c r="F437" s="9"/>
      <c r="G437" s="1256"/>
      <c r="H437" s="1257"/>
      <c r="I437" s="1261"/>
      <c r="J437" s="1261"/>
      <c r="L437" s="5946"/>
      <c r="M437" s="1244"/>
      <c r="N437" s="54"/>
      <c r="O437" s="1247"/>
      <c r="P437" s="1247"/>
      <c r="Q437" s="176"/>
      <c r="R437" s="5937"/>
      <c r="S437" s="1240"/>
      <c r="T437" s="1239"/>
      <c r="U437" s="1239"/>
      <c r="W437" s="5937">
        <f t="shared" si="71"/>
        <v>8</v>
      </c>
      <c r="X437" s="1294" t="s">
        <v>7590</v>
      </c>
      <c r="Y437" s="1260" t="s">
        <v>7591</v>
      </c>
      <c r="Z437" s="1263" t="s">
        <v>7592</v>
      </c>
      <c r="AA437" s="1260" t="s">
        <v>7593</v>
      </c>
      <c r="AB437" s="1260" t="s">
        <v>7594</v>
      </c>
      <c r="AC437" s="1260" t="s">
        <v>7595</v>
      </c>
      <c r="AD437" s="1294" t="s">
        <v>7590</v>
      </c>
      <c r="AF437" s="3">
        <v>1</v>
      </c>
    </row>
    <row r="438" spans="2:32" ht="30" customHeight="1">
      <c r="B438" s="1256"/>
      <c r="C438" s="1291"/>
      <c r="D438" s="1239"/>
      <c r="E438" s="1239"/>
      <c r="F438" s="9"/>
      <c r="G438" s="1256"/>
      <c r="H438" s="1257"/>
      <c r="I438" s="1261"/>
      <c r="J438" s="1261"/>
      <c r="L438" s="5946"/>
      <c r="M438" s="1244"/>
      <c r="N438" s="54"/>
      <c r="O438" s="1247"/>
      <c r="P438" s="1247"/>
      <c r="Q438" s="176"/>
      <c r="R438" s="5937"/>
      <c r="S438" s="1240"/>
      <c r="T438" s="1239"/>
      <c r="U438" s="1239"/>
      <c r="W438" s="5937">
        <f t="shared" si="71"/>
        <v>9</v>
      </c>
      <c r="X438" s="1294" t="s">
        <v>7596</v>
      </c>
      <c r="Y438" s="1260" t="s">
        <v>7597</v>
      </c>
      <c r="Z438" s="1263" t="s">
        <v>7598</v>
      </c>
      <c r="AA438" s="1260" t="s">
        <v>7599</v>
      </c>
      <c r="AB438" s="1260" t="s">
        <v>7600</v>
      </c>
      <c r="AC438" s="1260" t="s">
        <v>7601</v>
      </c>
      <c r="AD438" s="1294" t="s">
        <v>7596</v>
      </c>
      <c r="AF438" s="3">
        <v>1</v>
      </c>
    </row>
    <row r="439" spans="2:32" ht="30" customHeight="1">
      <c r="B439" s="1256"/>
      <c r="C439" s="1291"/>
      <c r="D439" s="1239"/>
      <c r="E439" s="1239"/>
      <c r="F439" s="9"/>
      <c r="G439" s="1256"/>
      <c r="H439" s="1257"/>
      <c r="I439" s="1261"/>
      <c r="J439" s="1261"/>
      <c r="L439" s="5946"/>
      <c r="M439" s="1244"/>
      <c r="N439" s="54"/>
      <c r="O439" s="1247"/>
      <c r="P439" s="1247"/>
      <c r="Q439" s="176"/>
      <c r="R439" s="5937"/>
      <c r="S439" s="1240"/>
      <c r="T439" s="1239"/>
      <c r="U439" s="1239"/>
      <c r="W439" s="5937">
        <f t="shared" si="71"/>
        <v>10</v>
      </c>
      <c r="X439" s="1294" t="s">
        <v>7602</v>
      </c>
      <c r="Y439" s="1260" t="s">
        <v>7603</v>
      </c>
      <c r="Z439" s="1263" t="s">
        <v>7604</v>
      </c>
      <c r="AA439" s="1260" t="s">
        <v>7605</v>
      </c>
      <c r="AB439" s="1260" t="s">
        <v>7606</v>
      </c>
      <c r="AC439" s="1260" t="s">
        <v>7607</v>
      </c>
      <c r="AD439" s="1294" t="s">
        <v>7602</v>
      </c>
      <c r="AF439" s="3">
        <v>1</v>
      </c>
    </row>
    <row r="440" spans="2:32" ht="30" customHeight="1">
      <c r="B440" s="1256"/>
      <c r="C440" s="1291"/>
      <c r="D440" s="1239"/>
      <c r="E440" s="1239"/>
      <c r="F440" s="9"/>
      <c r="G440" s="1256"/>
      <c r="H440" s="1257"/>
      <c r="I440" s="1261"/>
      <c r="J440" s="1261"/>
      <c r="L440" s="5946"/>
      <c r="M440" s="1244"/>
      <c r="N440" s="54"/>
      <c r="O440" s="1247"/>
      <c r="P440" s="1247"/>
      <c r="Q440" s="176"/>
      <c r="R440" s="5937"/>
      <c r="S440" s="1240"/>
      <c r="T440" s="1239"/>
      <c r="U440" s="1239"/>
      <c r="W440" s="5937">
        <f t="shared" si="71"/>
        <v>11</v>
      </c>
      <c r="X440" s="1294" t="s">
        <v>7608</v>
      </c>
      <c r="Y440" s="1260" t="s">
        <v>7609</v>
      </c>
      <c r="Z440" s="1263" t="s">
        <v>7610</v>
      </c>
      <c r="AA440" s="1260" t="s">
        <v>7611</v>
      </c>
      <c r="AB440" s="1260" t="s">
        <v>7612</v>
      </c>
      <c r="AC440" s="1260" t="s">
        <v>7613</v>
      </c>
      <c r="AD440" s="1294" t="s">
        <v>7608</v>
      </c>
      <c r="AF440" s="3">
        <v>1</v>
      </c>
    </row>
    <row r="441" spans="2:32" ht="30" customHeight="1">
      <c r="B441" s="1256"/>
      <c r="C441" s="1291"/>
      <c r="D441" s="1239"/>
      <c r="E441" s="1239"/>
      <c r="F441" s="9"/>
      <c r="G441" s="1256"/>
      <c r="H441" s="1257"/>
      <c r="I441" s="1261"/>
      <c r="J441" s="1261"/>
      <c r="L441" s="5946"/>
      <c r="M441" s="1244"/>
      <c r="N441" s="54"/>
      <c r="O441" s="1247"/>
      <c r="P441" s="1247"/>
      <c r="Q441" s="176"/>
      <c r="R441" s="5937"/>
      <c r="S441" s="1240"/>
      <c r="T441" s="1239"/>
      <c r="U441" s="1239"/>
      <c r="W441" s="5937">
        <f t="shared" si="71"/>
        <v>12</v>
      </c>
      <c r="X441" s="1294" t="s">
        <v>7614</v>
      </c>
      <c r="Y441" s="1260" t="s">
        <v>7615</v>
      </c>
      <c r="Z441" s="1263" t="s">
        <v>7347</v>
      </c>
      <c r="AA441" s="1260" t="s">
        <v>7616</v>
      </c>
      <c r="AB441" s="1260" t="s">
        <v>7617</v>
      </c>
      <c r="AC441" s="1260" t="s">
        <v>7618</v>
      </c>
      <c r="AD441" s="1294" t="s">
        <v>7614</v>
      </c>
      <c r="AF441" s="3">
        <v>1</v>
      </c>
    </row>
    <row r="442" spans="2:32" ht="30" customHeight="1">
      <c r="B442" s="1256"/>
      <c r="C442" s="1291"/>
      <c r="D442" s="1239"/>
      <c r="E442" s="1239"/>
      <c r="F442" s="9"/>
      <c r="G442" s="1256"/>
      <c r="H442" s="1257"/>
      <c r="I442" s="1261"/>
      <c r="J442" s="1261"/>
      <c r="L442" s="5946"/>
      <c r="M442" s="1244"/>
      <c r="N442" s="54"/>
      <c r="O442" s="1247"/>
      <c r="P442" s="1247"/>
      <c r="Q442" s="176"/>
      <c r="R442" s="5937"/>
      <c r="S442" s="1240"/>
      <c r="T442" s="1239"/>
      <c r="U442" s="1239"/>
      <c r="W442" s="5937">
        <f t="shared" si="71"/>
        <v>13</v>
      </c>
      <c r="X442" s="1294" t="s">
        <v>7619</v>
      </c>
      <c r="Y442" s="1260" t="s">
        <v>7620</v>
      </c>
      <c r="Z442" s="1263" t="s">
        <v>7621</v>
      </c>
      <c r="AA442" s="1260" t="s">
        <v>7622</v>
      </c>
      <c r="AB442" s="1260" t="s">
        <v>7623</v>
      </c>
      <c r="AC442" s="1260" t="s">
        <v>7624</v>
      </c>
      <c r="AD442" s="1294" t="s">
        <v>7619</v>
      </c>
      <c r="AF442" s="3">
        <v>1</v>
      </c>
    </row>
    <row r="443" spans="2:32" ht="30" customHeight="1">
      <c r="B443" s="1256"/>
      <c r="C443" s="1291"/>
      <c r="D443" s="1239"/>
      <c r="E443" s="1239"/>
      <c r="F443" s="9"/>
      <c r="G443" s="1256"/>
      <c r="H443" s="1257"/>
      <c r="I443" s="1261"/>
      <c r="J443" s="1261"/>
      <c r="L443" s="5946"/>
      <c r="M443" s="1244"/>
      <c r="N443" s="54"/>
      <c r="O443" s="1247"/>
      <c r="P443" s="1247"/>
      <c r="Q443" s="176"/>
      <c r="R443" s="5937"/>
      <c r="S443" s="1240"/>
      <c r="T443" s="1239"/>
      <c r="U443" s="1239"/>
      <c r="W443" s="5937">
        <f t="shared" si="71"/>
        <v>14</v>
      </c>
      <c r="X443" s="1294" t="s">
        <v>7625</v>
      </c>
      <c r="Y443" s="1260" t="s">
        <v>7626</v>
      </c>
      <c r="Z443" s="1263" t="s">
        <v>7627</v>
      </c>
      <c r="AA443" s="1260" t="s">
        <v>7628</v>
      </c>
      <c r="AB443" s="1260" t="s">
        <v>7629</v>
      </c>
      <c r="AC443" s="1260" t="s">
        <v>7630</v>
      </c>
      <c r="AD443" s="1294" t="s">
        <v>7625</v>
      </c>
      <c r="AF443" s="3">
        <v>1</v>
      </c>
    </row>
    <row r="444" spans="2:32" ht="30" customHeight="1">
      <c r="B444" s="1256"/>
      <c r="C444" s="1291"/>
      <c r="D444" s="1239"/>
      <c r="E444" s="1239"/>
      <c r="F444" s="9"/>
      <c r="G444" s="1256"/>
      <c r="H444" s="1257"/>
      <c r="I444" s="1261"/>
      <c r="J444" s="1261"/>
      <c r="L444" s="5946"/>
      <c r="M444" s="1244"/>
      <c r="N444" s="54"/>
      <c r="O444" s="1247"/>
      <c r="P444" s="1247"/>
      <c r="Q444" s="176"/>
      <c r="R444" s="5937"/>
      <c r="S444" s="1240"/>
      <c r="T444" s="1239"/>
      <c r="U444" s="1239"/>
      <c r="W444" s="5937">
        <f t="shared" si="71"/>
        <v>15</v>
      </c>
      <c r="X444" s="1294" t="s">
        <v>7631</v>
      </c>
      <c r="Y444" s="1260" t="s">
        <v>7632</v>
      </c>
      <c r="Z444" s="1263" t="s">
        <v>7633</v>
      </c>
      <c r="AA444" s="1260" t="s">
        <v>7634</v>
      </c>
      <c r="AB444" s="1260" t="s">
        <v>7635</v>
      </c>
      <c r="AC444" s="1260" t="s">
        <v>7636</v>
      </c>
      <c r="AD444" s="1294" t="s">
        <v>7631</v>
      </c>
      <c r="AF444" s="3">
        <v>1</v>
      </c>
    </row>
    <row r="445" spans="2:32" ht="30" customHeight="1">
      <c r="B445" s="1256"/>
      <c r="C445" s="1291"/>
      <c r="D445" s="1239"/>
      <c r="E445" s="1239"/>
      <c r="F445" s="9"/>
      <c r="G445" s="1256"/>
      <c r="H445" s="1257"/>
      <c r="I445" s="1261"/>
      <c r="J445" s="1261"/>
      <c r="L445" s="5946"/>
      <c r="M445" s="1244"/>
      <c r="N445" s="54"/>
      <c r="O445" s="1247"/>
      <c r="P445" s="1247"/>
      <c r="Q445" s="176"/>
      <c r="R445" s="5937"/>
      <c r="S445" s="1240"/>
      <c r="T445" s="1239"/>
      <c r="U445" s="1239"/>
      <c r="W445" s="5937">
        <f t="shared" si="71"/>
        <v>16</v>
      </c>
      <c r="X445" s="1294" t="s">
        <v>7637</v>
      </c>
      <c r="Y445" s="1260" t="s">
        <v>7638</v>
      </c>
      <c r="Z445" s="1263" t="s">
        <v>7639</v>
      </c>
      <c r="AA445" s="1260" t="s">
        <v>7640</v>
      </c>
      <c r="AB445" s="1260" t="s">
        <v>7641</v>
      </c>
      <c r="AC445" s="1260" t="s">
        <v>7642</v>
      </c>
      <c r="AD445" s="1294" t="s">
        <v>7637</v>
      </c>
      <c r="AF445" s="3">
        <v>1</v>
      </c>
    </row>
    <row r="446" spans="2:32" ht="30" customHeight="1">
      <c r="B446" s="1256"/>
      <c r="C446" s="1291"/>
      <c r="D446" s="1239"/>
      <c r="E446" s="1239"/>
      <c r="F446" s="9"/>
      <c r="G446" s="1256"/>
      <c r="H446" s="1257"/>
      <c r="I446" s="1261"/>
      <c r="J446" s="1261"/>
      <c r="L446" s="5946"/>
      <c r="M446" s="1244"/>
      <c r="N446" s="54"/>
      <c r="O446" s="1247"/>
      <c r="P446" s="1247"/>
      <c r="Q446" s="176"/>
      <c r="R446" s="5937"/>
      <c r="S446" s="1240"/>
      <c r="T446" s="1239"/>
      <c r="U446" s="1239"/>
      <c r="W446" s="5937">
        <f t="shared" si="71"/>
        <v>17</v>
      </c>
      <c r="X446" s="1294" t="s">
        <v>7643</v>
      </c>
      <c r="Y446" s="1260" t="s">
        <v>7644</v>
      </c>
      <c r="Z446" s="1263" t="s">
        <v>7645</v>
      </c>
      <c r="AA446" s="1260" t="s">
        <v>7646</v>
      </c>
      <c r="AB446" s="1260" t="s">
        <v>7647</v>
      </c>
      <c r="AC446" s="1260" t="s">
        <v>7648</v>
      </c>
      <c r="AD446" s="1294" t="s">
        <v>7643</v>
      </c>
      <c r="AF446" s="3">
        <v>1</v>
      </c>
    </row>
    <row r="447" spans="2:32" ht="30" customHeight="1">
      <c r="B447" s="1256"/>
      <c r="C447" s="1291"/>
      <c r="D447" s="1239"/>
      <c r="E447" s="1239"/>
      <c r="F447" s="9"/>
      <c r="G447" s="1256"/>
      <c r="H447" s="1257"/>
      <c r="I447" s="1261"/>
      <c r="J447" s="1261"/>
      <c r="L447" s="5946"/>
      <c r="M447" s="1244"/>
      <c r="N447" s="54"/>
      <c r="O447" s="1247"/>
      <c r="P447" s="1247"/>
      <c r="Q447" s="176"/>
      <c r="R447" s="5937"/>
      <c r="S447" s="1240"/>
      <c r="T447" s="1239"/>
      <c r="U447" s="1239"/>
      <c r="W447" s="5937">
        <f t="shared" si="71"/>
        <v>18</v>
      </c>
      <c r="X447" s="1294" t="s">
        <v>7649</v>
      </c>
      <c r="Y447" s="1260" t="s">
        <v>7650</v>
      </c>
      <c r="Z447" s="1263" t="s">
        <v>7651</v>
      </c>
      <c r="AA447" s="1260" t="s">
        <v>7652</v>
      </c>
      <c r="AB447" s="1260" t="s">
        <v>7653</v>
      </c>
      <c r="AC447" s="1260" t="s">
        <v>7654</v>
      </c>
      <c r="AD447" s="1294" t="s">
        <v>7649</v>
      </c>
      <c r="AF447" s="3">
        <v>1</v>
      </c>
    </row>
    <row r="448" spans="2:32" ht="30" customHeight="1">
      <c r="B448" s="1256"/>
      <c r="C448" s="1291"/>
      <c r="D448" s="1239"/>
      <c r="E448" s="1239"/>
      <c r="F448" s="9"/>
      <c r="G448" s="1256"/>
      <c r="H448" s="1257"/>
      <c r="I448" s="1261"/>
      <c r="J448" s="1261"/>
      <c r="L448" s="5946"/>
      <c r="M448" s="1244"/>
      <c r="N448" s="54"/>
      <c r="O448" s="1247"/>
      <c r="P448" s="1247"/>
      <c r="Q448" s="176"/>
      <c r="R448" s="5937"/>
      <c r="S448" s="1240"/>
      <c r="T448" s="1239"/>
      <c r="U448" s="1239"/>
      <c r="W448" s="5937">
        <f t="shared" si="71"/>
        <v>19</v>
      </c>
      <c r="X448" s="1294" t="s">
        <v>7655</v>
      </c>
      <c r="Y448" s="1260" t="s">
        <v>7656</v>
      </c>
      <c r="Z448" s="1263" t="s">
        <v>7657</v>
      </c>
      <c r="AA448" s="1260" t="s">
        <v>7658</v>
      </c>
      <c r="AB448" s="1260" t="s">
        <v>7659</v>
      </c>
      <c r="AC448" s="1260" t="s">
        <v>7660</v>
      </c>
      <c r="AD448" s="1294" t="s">
        <v>7655</v>
      </c>
      <c r="AF448" s="3">
        <v>1</v>
      </c>
    </row>
    <row r="449" spans="2:32" ht="30" customHeight="1">
      <c r="B449" s="1256"/>
      <c r="C449" s="1291"/>
      <c r="D449" s="1239"/>
      <c r="E449" s="1239"/>
      <c r="F449" s="9"/>
      <c r="G449" s="1256"/>
      <c r="H449" s="1257"/>
      <c r="I449" s="1261"/>
      <c r="J449" s="1261"/>
      <c r="L449" s="5946"/>
      <c r="M449" s="1244"/>
      <c r="N449" s="54"/>
      <c r="O449" s="1247"/>
      <c r="P449" s="1247"/>
      <c r="Q449" s="176"/>
      <c r="R449" s="5937"/>
      <c r="S449" s="1240"/>
      <c r="T449" s="1239"/>
      <c r="U449" s="1239"/>
      <c r="W449" s="5937">
        <f t="shared" si="71"/>
        <v>20</v>
      </c>
      <c r="X449" s="1294" t="s">
        <v>7661</v>
      </c>
      <c r="Y449" s="1260" t="s">
        <v>7662</v>
      </c>
      <c r="Z449" s="1263" t="s">
        <v>7663</v>
      </c>
      <c r="AA449" s="1260" t="s">
        <v>7664</v>
      </c>
      <c r="AB449" s="1260" t="s">
        <v>7665</v>
      </c>
      <c r="AC449" s="1260" t="s">
        <v>7666</v>
      </c>
      <c r="AD449" s="1294" t="s">
        <v>7661</v>
      </c>
      <c r="AF449" s="3">
        <v>1</v>
      </c>
    </row>
    <row r="450" spans="2:32" ht="30" customHeight="1">
      <c r="B450" s="1256"/>
      <c r="C450" s="1291"/>
      <c r="D450" s="1239"/>
      <c r="E450" s="1239"/>
      <c r="F450" s="9"/>
      <c r="G450" s="1256"/>
      <c r="H450" s="1257"/>
      <c r="I450" s="1261"/>
      <c r="J450" s="1261"/>
      <c r="L450" s="5946"/>
      <c r="M450" s="1244"/>
      <c r="N450" s="54"/>
      <c r="O450" s="1247"/>
      <c r="P450" s="1247"/>
      <c r="Q450" s="176"/>
      <c r="R450" s="5937"/>
      <c r="S450" s="1240"/>
      <c r="T450" s="1239"/>
      <c r="U450" s="1239"/>
      <c r="W450" s="5937">
        <f t="shared" si="71"/>
        <v>21</v>
      </c>
      <c r="X450" s="1294" t="s">
        <v>7667</v>
      </c>
      <c r="Y450" s="1260" t="s">
        <v>7668</v>
      </c>
      <c r="Z450" s="1263" t="s">
        <v>7669</v>
      </c>
      <c r="AA450" s="1260" t="s">
        <v>7670</v>
      </c>
      <c r="AB450" s="1260" t="s">
        <v>7671</v>
      </c>
      <c r="AC450" s="1260" t="s">
        <v>7672</v>
      </c>
      <c r="AD450" s="1294" t="s">
        <v>7667</v>
      </c>
      <c r="AF450" s="3">
        <v>1</v>
      </c>
    </row>
    <row r="451" spans="2:32" ht="30" customHeight="1">
      <c r="B451" s="1256"/>
      <c r="C451" s="1291"/>
      <c r="D451" s="1239"/>
      <c r="E451" s="1239"/>
      <c r="F451" s="9"/>
      <c r="G451" s="1256"/>
      <c r="H451" s="1257"/>
      <c r="I451" s="1261"/>
      <c r="J451" s="1261"/>
      <c r="L451" s="5946"/>
      <c r="M451" s="1244"/>
      <c r="N451" s="54"/>
      <c r="O451" s="1247"/>
      <c r="P451" s="1247"/>
      <c r="Q451" s="176"/>
      <c r="R451" s="5937"/>
      <c r="S451" s="1240"/>
      <c r="T451" s="1239"/>
      <c r="U451" s="1239"/>
      <c r="W451" s="5937">
        <f t="shared" si="71"/>
        <v>22</v>
      </c>
      <c r="X451" s="1294" t="s">
        <v>7673</v>
      </c>
      <c r="Y451" s="1260" t="s">
        <v>7674</v>
      </c>
      <c r="Z451" s="1263" t="s">
        <v>7675</v>
      </c>
      <c r="AA451" s="1260" t="s">
        <v>7676</v>
      </c>
      <c r="AB451" s="1260" t="s">
        <v>7677</v>
      </c>
      <c r="AC451" s="1260" t="s">
        <v>7678</v>
      </c>
      <c r="AD451" s="1294" t="s">
        <v>7673</v>
      </c>
      <c r="AF451" s="3">
        <v>1</v>
      </c>
    </row>
    <row r="452" spans="2:32" ht="30" customHeight="1">
      <c r="B452" s="1256"/>
      <c r="C452" s="1291"/>
      <c r="D452" s="1239"/>
      <c r="E452" s="1239"/>
      <c r="F452" s="9"/>
      <c r="G452" s="1256"/>
      <c r="H452" s="1257"/>
      <c r="I452" s="1261"/>
      <c r="J452" s="1261"/>
      <c r="L452" s="5946"/>
      <c r="M452" s="1244"/>
      <c r="N452" s="54"/>
      <c r="O452" s="1247"/>
      <c r="P452" s="1247"/>
      <c r="Q452" s="176"/>
      <c r="R452" s="5937"/>
      <c r="S452" s="1240"/>
      <c r="T452" s="1239"/>
      <c r="U452" s="1239"/>
      <c r="W452" s="5937">
        <f t="shared" si="71"/>
        <v>23</v>
      </c>
      <c r="X452" s="1294" t="s">
        <v>7679</v>
      </c>
      <c r="Y452" s="1260" t="s">
        <v>7680</v>
      </c>
      <c r="Z452" s="1263" t="s">
        <v>7681</v>
      </c>
      <c r="AA452" s="1260" t="s">
        <v>7682</v>
      </c>
      <c r="AB452" s="1260" t="s">
        <v>7683</v>
      </c>
      <c r="AC452" s="1260" t="s">
        <v>7684</v>
      </c>
      <c r="AD452" s="1294" t="s">
        <v>7679</v>
      </c>
      <c r="AF452" s="3">
        <v>1</v>
      </c>
    </row>
    <row r="453" spans="2:32" ht="30" customHeight="1">
      <c r="B453" s="1256"/>
      <c r="C453" s="1291"/>
      <c r="D453" s="1239"/>
      <c r="E453" s="1239"/>
      <c r="F453" s="9"/>
      <c r="G453" s="1256"/>
      <c r="H453" s="1257"/>
      <c r="I453" s="1261"/>
      <c r="J453" s="1261"/>
      <c r="L453" s="5946"/>
      <c r="M453" s="1244"/>
      <c r="N453" s="54"/>
      <c r="O453" s="1247"/>
      <c r="P453" s="1247"/>
      <c r="Q453" s="176"/>
      <c r="R453" s="5937"/>
      <c r="S453" s="1240"/>
      <c r="T453" s="1239"/>
      <c r="U453" s="1239"/>
      <c r="W453" s="5937">
        <f t="shared" si="71"/>
        <v>24</v>
      </c>
      <c r="X453" s="1294" t="s">
        <v>7685</v>
      </c>
      <c r="Y453" s="1260" t="s">
        <v>7686</v>
      </c>
      <c r="Z453" s="1263" t="s">
        <v>7687</v>
      </c>
      <c r="AA453" s="1260" t="s">
        <v>7688</v>
      </c>
      <c r="AB453" s="1260" t="s">
        <v>7689</v>
      </c>
      <c r="AC453" s="1260" t="s">
        <v>7690</v>
      </c>
      <c r="AD453" s="1294" t="s">
        <v>7685</v>
      </c>
      <c r="AF453" s="3">
        <v>1</v>
      </c>
    </row>
    <row r="454" spans="2:32" ht="30" customHeight="1">
      <c r="B454" s="1256"/>
      <c r="C454" s="1291"/>
      <c r="D454" s="1239"/>
      <c r="E454" s="1239"/>
      <c r="F454" s="9"/>
      <c r="G454" s="1256"/>
      <c r="H454" s="1257"/>
      <c r="I454" s="1261"/>
      <c r="J454" s="1261"/>
      <c r="L454" s="5946"/>
      <c r="M454" s="1244"/>
      <c r="N454" s="54"/>
      <c r="O454" s="1247"/>
      <c r="P454" s="1247"/>
      <c r="Q454" s="176"/>
      <c r="R454" s="5937"/>
      <c r="S454" s="1240"/>
      <c r="T454" s="1239"/>
      <c r="U454" s="1239"/>
      <c r="W454" s="5904"/>
      <c r="X454" s="5952" t="s">
        <v>5906</v>
      </c>
      <c r="Y454" s="1290"/>
      <c r="Z454" s="1290"/>
      <c r="AA454" s="1290"/>
      <c r="AB454" s="1255"/>
      <c r="AC454" s="1255"/>
      <c r="AD454" s="5952" t="s">
        <v>5906</v>
      </c>
      <c r="AF454" s="3">
        <v>1</v>
      </c>
    </row>
    <row r="455" spans="2:32" ht="30" customHeight="1">
      <c r="B455" s="1256"/>
      <c r="C455" s="1291"/>
      <c r="D455" s="1239"/>
      <c r="E455" s="1239"/>
      <c r="F455" s="9"/>
      <c r="G455" s="1256"/>
      <c r="H455" s="1257"/>
      <c r="I455" s="1261"/>
      <c r="J455" s="1261"/>
      <c r="L455" s="5946"/>
      <c r="M455" s="1244"/>
      <c r="N455" s="54"/>
      <c r="O455" s="1247"/>
      <c r="P455" s="1247"/>
      <c r="Q455" s="176"/>
      <c r="R455" s="5937"/>
      <c r="S455" s="1240"/>
      <c r="T455" s="1239"/>
      <c r="U455" s="1239"/>
      <c r="W455" s="5937">
        <v>1</v>
      </c>
      <c r="X455" s="1292" t="s">
        <v>7691</v>
      </c>
      <c r="Y455" s="1260" t="s">
        <v>5914</v>
      </c>
      <c r="Z455" s="1263" t="s">
        <v>7692</v>
      </c>
      <c r="AA455" s="1260" t="s">
        <v>7693</v>
      </c>
      <c r="AB455" s="1260" t="s">
        <v>7694</v>
      </c>
      <c r="AC455" s="1260" t="s">
        <v>7695</v>
      </c>
      <c r="AD455" s="1292" t="s">
        <v>7691</v>
      </c>
      <c r="AF455" s="3">
        <v>1</v>
      </c>
    </row>
    <row r="456" spans="2:32" ht="30" customHeight="1">
      <c r="B456" s="1256"/>
      <c r="C456" s="1291"/>
      <c r="D456" s="1239"/>
      <c r="E456" s="1239"/>
      <c r="F456" s="9"/>
      <c r="G456" s="1256"/>
      <c r="H456" s="1257"/>
      <c r="I456" s="1261"/>
      <c r="J456" s="1261"/>
      <c r="L456" s="5946"/>
      <c r="M456" s="1244"/>
      <c r="N456" s="54"/>
      <c r="O456" s="1247"/>
      <c r="P456" s="1247"/>
      <c r="Q456" s="176"/>
      <c r="R456" s="5937"/>
      <c r="S456" s="1240"/>
      <c r="T456" s="1239"/>
      <c r="U456" s="1239"/>
      <c r="W456" s="5937">
        <f>W455+1</f>
        <v>2</v>
      </c>
      <c r="X456" s="1292" t="s">
        <v>7696</v>
      </c>
      <c r="Y456" s="1260" t="s">
        <v>7697</v>
      </c>
      <c r="Z456" s="1263" t="s">
        <v>7698</v>
      </c>
      <c r="AA456" s="1260" t="s">
        <v>7699</v>
      </c>
      <c r="AB456" s="1260" t="s">
        <v>7700</v>
      </c>
      <c r="AC456" s="1260" t="s">
        <v>7701</v>
      </c>
      <c r="AD456" s="1292" t="s">
        <v>7696</v>
      </c>
      <c r="AF456" s="3">
        <v>1</v>
      </c>
    </row>
    <row r="457" spans="2:32" ht="30" customHeight="1">
      <c r="B457" s="1256"/>
      <c r="C457" s="1291"/>
      <c r="D457" s="1239"/>
      <c r="E457" s="1239"/>
      <c r="F457" s="9"/>
      <c r="G457" s="1256"/>
      <c r="H457" s="1257"/>
      <c r="I457" s="1261"/>
      <c r="J457" s="1261"/>
      <c r="L457" s="5946"/>
      <c r="M457" s="1244"/>
      <c r="N457" s="54"/>
      <c r="O457" s="1247"/>
      <c r="P457" s="1247"/>
      <c r="Q457" s="176"/>
      <c r="R457" s="5937"/>
      <c r="S457" s="1240"/>
      <c r="T457" s="1239"/>
      <c r="U457" s="1239"/>
      <c r="W457" s="5904"/>
      <c r="X457" s="5952" t="s">
        <v>5354</v>
      </c>
      <c r="Y457" s="1290"/>
      <c r="Z457" s="1290"/>
      <c r="AA457" s="1290"/>
      <c r="AB457" s="1255"/>
      <c r="AC457" s="1255"/>
      <c r="AD457" s="5952" t="s">
        <v>5354</v>
      </c>
      <c r="AF457" s="3">
        <v>1</v>
      </c>
    </row>
    <row r="458" spans="2:32" ht="30" customHeight="1">
      <c r="B458" s="1256"/>
      <c r="C458" s="1291"/>
      <c r="D458" s="1239"/>
      <c r="E458" s="1239"/>
      <c r="F458" s="9"/>
      <c r="G458" s="1256"/>
      <c r="H458" s="1257"/>
      <c r="I458" s="1261"/>
      <c r="J458" s="1261"/>
      <c r="L458" s="5946"/>
      <c r="M458" s="1244"/>
      <c r="N458" s="54"/>
      <c r="O458" s="1247"/>
      <c r="P458" s="1247"/>
      <c r="Q458" s="176"/>
      <c r="R458" s="5937"/>
      <c r="S458" s="1240"/>
      <c r="T458" s="1239"/>
      <c r="U458" s="1239"/>
      <c r="W458" s="5937">
        <v>1</v>
      </c>
      <c r="X458" s="1294" t="s">
        <v>7702</v>
      </c>
      <c r="Y458" s="1260" t="s">
        <v>7703</v>
      </c>
      <c r="Z458" s="1263" t="s">
        <v>7704</v>
      </c>
      <c r="AA458" s="1260" t="s">
        <v>7705</v>
      </c>
      <c r="AB458" s="1260" t="s">
        <v>7706</v>
      </c>
      <c r="AC458" s="1260" t="s">
        <v>7707</v>
      </c>
      <c r="AD458" s="1294" t="s">
        <v>7702</v>
      </c>
      <c r="AF458" s="3">
        <v>1</v>
      </c>
    </row>
    <row r="459" spans="2:32" ht="30" customHeight="1">
      <c r="B459" s="1256"/>
      <c r="C459" s="1291"/>
      <c r="D459" s="1239"/>
      <c r="E459" s="1239"/>
      <c r="F459" s="9"/>
      <c r="G459" s="1256"/>
      <c r="H459" s="1257"/>
      <c r="I459" s="1261"/>
      <c r="J459" s="1261"/>
      <c r="L459" s="5946"/>
      <c r="M459" s="1244"/>
      <c r="N459" s="54"/>
      <c r="O459" s="1247"/>
      <c r="P459" s="1247"/>
      <c r="Q459" s="176"/>
      <c r="R459" s="5937"/>
      <c r="S459" s="1240"/>
      <c r="T459" s="1239"/>
      <c r="U459" s="1239"/>
      <c r="W459" s="5937">
        <f>W458+1</f>
        <v>2</v>
      </c>
      <c r="X459" s="1294" t="s">
        <v>7708</v>
      </c>
      <c r="Y459" s="1260" t="s">
        <v>7709</v>
      </c>
      <c r="Z459" s="1263" t="s">
        <v>7710</v>
      </c>
      <c r="AA459" s="1260" t="s">
        <v>7711</v>
      </c>
      <c r="AB459" s="1260" t="s">
        <v>7712</v>
      </c>
      <c r="AC459" s="1260" t="s">
        <v>7713</v>
      </c>
      <c r="AD459" s="1294" t="s">
        <v>7708</v>
      </c>
      <c r="AF459" s="3">
        <v>1</v>
      </c>
    </row>
    <row r="460" spans="2:32" ht="30" customHeight="1">
      <c r="B460" s="1256"/>
      <c r="C460" s="1291"/>
      <c r="D460" s="1239"/>
      <c r="E460" s="1239"/>
      <c r="F460" s="9"/>
      <c r="G460" s="1256"/>
      <c r="H460" s="1257"/>
      <c r="I460" s="1261"/>
      <c r="J460" s="1261"/>
      <c r="L460" s="5946"/>
      <c r="M460" s="1244"/>
      <c r="N460" s="54"/>
      <c r="O460" s="1247"/>
      <c r="P460" s="1247"/>
      <c r="Q460" s="176"/>
      <c r="R460" s="5937"/>
      <c r="S460" s="1240"/>
      <c r="T460" s="1239"/>
      <c r="U460" s="1239"/>
      <c r="W460" s="5937">
        <f t="shared" ref="W460:W465" si="72">W459+1</f>
        <v>3</v>
      </c>
      <c r="X460" s="1294" t="s">
        <v>7714</v>
      </c>
      <c r="Y460" s="1260" t="s">
        <v>7715</v>
      </c>
      <c r="Z460" s="1263" t="s">
        <v>7716</v>
      </c>
      <c r="AA460" s="1260" t="s">
        <v>7717</v>
      </c>
      <c r="AB460" s="1260" t="s">
        <v>7718</v>
      </c>
      <c r="AC460" s="1260" t="s">
        <v>7719</v>
      </c>
      <c r="AD460" s="1294" t="s">
        <v>7714</v>
      </c>
      <c r="AF460" s="3">
        <v>1</v>
      </c>
    </row>
    <row r="461" spans="2:32" ht="30" customHeight="1">
      <c r="B461" s="1256"/>
      <c r="C461" s="1291"/>
      <c r="D461" s="1239"/>
      <c r="E461" s="1239"/>
      <c r="F461" s="9"/>
      <c r="G461" s="1256"/>
      <c r="H461" s="1257"/>
      <c r="I461" s="1261"/>
      <c r="J461" s="1261"/>
      <c r="L461" s="5946"/>
      <c r="M461" s="1244"/>
      <c r="N461" s="54"/>
      <c r="O461" s="1247"/>
      <c r="P461" s="1247"/>
      <c r="Q461" s="176"/>
      <c r="R461" s="5937"/>
      <c r="S461" s="1240"/>
      <c r="T461" s="1239"/>
      <c r="U461" s="1239"/>
      <c r="W461" s="5937">
        <f t="shared" si="72"/>
        <v>4</v>
      </c>
      <c r="X461" s="1294" t="s">
        <v>7720</v>
      </c>
      <c r="Y461" s="1239" t="s">
        <v>7721</v>
      </c>
      <c r="Z461" s="1239" t="s">
        <v>7722</v>
      </c>
      <c r="AA461" s="1260" t="s">
        <v>7723</v>
      </c>
      <c r="AB461" s="1260" t="s">
        <v>7724</v>
      </c>
      <c r="AC461" s="1260" t="s">
        <v>7725</v>
      </c>
      <c r="AD461" s="1294" t="s">
        <v>7720</v>
      </c>
      <c r="AF461" s="3">
        <v>1</v>
      </c>
    </row>
    <row r="462" spans="2:32" ht="30" customHeight="1">
      <c r="B462" s="1256"/>
      <c r="C462" s="1291"/>
      <c r="D462" s="1239"/>
      <c r="E462" s="1239"/>
      <c r="F462" s="9"/>
      <c r="G462" s="1256"/>
      <c r="H462" s="1257"/>
      <c r="I462" s="1261"/>
      <c r="J462" s="1261"/>
      <c r="L462" s="5946"/>
      <c r="M462" s="1244"/>
      <c r="N462" s="54"/>
      <c r="O462" s="1247"/>
      <c r="P462" s="1247"/>
      <c r="Q462" s="176"/>
      <c r="R462" s="5937"/>
      <c r="S462" s="1240"/>
      <c r="T462" s="1239"/>
      <c r="U462" s="1239"/>
      <c r="W462" s="5937">
        <f t="shared" si="72"/>
        <v>5</v>
      </c>
      <c r="X462" s="1294" t="s">
        <v>7726</v>
      </c>
      <c r="Y462" s="1260" t="s">
        <v>7727</v>
      </c>
      <c r="Z462" s="1263" t="s">
        <v>7728</v>
      </c>
      <c r="AA462" s="1260" t="s">
        <v>7729</v>
      </c>
      <c r="AB462" s="1260" t="s">
        <v>7730</v>
      </c>
      <c r="AC462" s="1260" t="s">
        <v>7731</v>
      </c>
      <c r="AD462" s="1294" t="s">
        <v>7726</v>
      </c>
      <c r="AF462" s="3">
        <v>1</v>
      </c>
    </row>
    <row r="463" spans="2:32" ht="30" customHeight="1">
      <c r="B463" s="1256"/>
      <c r="C463" s="1291"/>
      <c r="D463" s="1239"/>
      <c r="E463" s="1239"/>
      <c r="F463" s="9"/>
      <c r="G463" s="1256"/>
      <c r="H463" s="1257"/>
      <c r="I463" s="1261"/>
      <c r="J463" s="1261"/>
      <c r="L463" s="5946"/>
      <c r="M463" s="1244"/>
      <c r="N463" s="54"/>
      <c r="O463" s="1247"/>
      <c r="P463" s="1247"/>
      <c r="Q463" s="176"/>
      <c r="R463" s="5937"/>
      <c r="S463" s="1240"/>
      <c r="T463" s="1239"/>
      <c r="U463" s="1239"/>
      <c r="W463" s="5937">
        <f t="shared" si="72"/>
        <v>6</v>
      </c>
      <c r="X463" s="1294" t="s">
        <v>7732</v>
      </c>
      <c r="Y463" s="1260" t="s">
        <v>7733</v>
      </c>
      <c r="Z463" s="1263" t="s">
        <v>7734</v>
      </c>
      <c r="AA463" s="1260" t="s">
        <v>7735</v>
      </c>
      <c r="AB463" s="1260" t="s">
        <v>7736</v>
      </c>
      <c r="AC463" s="1260" t="s">
        <v>7737</v>
      </c>
      <c r="AD463" s="1294" t="s">
        <v>7732</v>
      </c>
      <c r="AF463" s="3">
        <v>1</v>
      </c>
    </row>
    <row r="464" spans="2:32" ht="30" customHeight="1">
      <c r="B464" s="1256"/>
      <c r="C464" s="1291"/>
      <c r="D464" s="1239"/>
      <c r="E464" s="1239"/>
      <c r="F464" s="9"/>
      <c r="G464" s="1256"/>
      <c r="H464" s="1257"/>
      <c r="I464" s="1261"/>
      <c r="J464" s="1261"/>
      <c r="L464" s="5946"/>
      <c r="M464" s="1244"/>
      <c r="N464" s="54"/>
      <c r="O464" s="1247"/>
      <c r="P464" s="1247"/>
      <c r="Q464" s="176"/>
      <c r="R464" s="5937"/>
      <c r="S464" s="1240"/>
      <c r="T464" s="1239"/>
      <c r="U464" s="1239"/>
      <c r="W464" s="5937">
        <f t="shared" si="72"/>
        <v>7</v>
      </c>
      <c r="X464" s="1294" t="s">
        <v>7738</v>
      </c>
      <c r="Y464" s="1260" t="s">
        <v>7739</v>
      </c>
      <c r="Z464" s="1263" t="s">
        <v>7740</v>
      </c>
      <c r="AA464" s="1260" t="s">
        <v>7741</v>
      </c>
      <c r="AB464" s="1260" t="s">
        <v>7742</v>
      </c>
      <c r="AC464" s="1260" t="s">
        <v>7743</v>
      </c>
      <c r="AD464" s="1294" t="s">
        <v>7738</v>
      </c>
      <c r="AF464" s="3">
        <v>1</v>
      </c>
    </row>
    <row r="465" spans="1:34" ht="30" customHeight="1">
      <c r="B465" s="1256"/>
      <c r="C465" s="1291"/>
      <c r="D465" s="1239"/>
      <c r="E465" s="1239"/>
      <c r="F465" s="9"/>
      <c r="G465" s="1256"/>
      <c r="H465" s="1257"/>
      <c r="I465" s="1261"/>
      <c r="J465" s="1261"/>
      <c r="L465" s="5946"/>
      <c r="M465" s="1244"/>
      <c r="N465" s="54"/>
      <c r="O465" s="1247"/>
      <c r="P465" s="1247"/>
      <c r="Q465" s="176"/>
      <c r="R465" s="5937"/>
      <c r="S465" s="1240"/>
      <c r="T465" s="1239"/>
      <c r="U465" s="1239"/>
      <c r="W465" s="5937">
        <f t="shared" si="72"/>
        <v>8</v>
      </c>
      <c r="X465" s="1294" t="s">
        <v>7744</v>
      </c>
      <c r="Y465" s="1260" t="s">
        <v>7745</v>
      </c>
      <c r="Z465" s="1263" t="s">
        <v>7746</v>
      </c>
      <c r="AA465" s="1260" t="s">
        <v>7747</v>
      </c>
      <c r="AB465" s="1260" t="s">
        <v>7748</v>
      </c>
      <c r="AC465" s="1260" t="s">
        <v>7749</v>
      </c>
      <c r="AD465" s="1294" t="s">
        <v>7744</v>
      </c>
      <c r="AF465" s="3">
        <v>1</v>
      </c>
    </row>
    <row r="466" spans="1:34" ht="30" customHeight="1">
      <c r="B466" s="1256"/>
      <c r="C466" s="1291"/>
      <c r="D466" s="1239"/>
      <c r="E466" s="1239"/>
      <c r="F466" s="9"/>
      <c r="G466" s="1256"/>
      <c r="H466" s="1257"/>
      <c r="I466" s="1261"/>
      <c r="J466" s="1261"/>
      <c r="L466" s="5946"/>
      <c r="M466" s="1244"/>
      <c r="N466" s="54"/>
      <c r="O466" s="1247"/>
      <c r="P466" s="1247"/>
      <c r="Q466" s="176"/>
      <c r="R466" s="5937"/>
      <c r="S466" s="1240"/>
      <c r="T466" s="1239"/>
      <c r="U466" s="1239"/>
      <c r="W466" s="5904"/>
      <c r="X466" s="5952" t="s">
        <v>1488</v>
      </c>
      <c r="Y466" s="1290"/>
      <c r="Z466" s="1290"/>
      <c r="AA466" s="1290"/>
      <c r="AB466" s="1255"/>
      <c r="AC466" s="1255"/>
      <c r="AD466" s="5952" t="s">
        <v>1488</v>
      </c>
      <c r="AF466" s="3">
        <v>1</v>
      </c>
    </row>
    <row r="467" spans="1:34" ht="30" customHeight="1">
      <c r="B467" s="1256"/>
      <c r="C467" s="1291"/>
      <c r="D467" s="1239"/>
      <c r="E467" s="1239"/>
      <c r="F467" s="9"/>
      <c r="G467" s="1256"/>
      <c r="H467" s="1257"/>
      <c r="I467" s="1261"/>
      <c r="J467" s="1261"/>
      <c r="L467" s="5946"/>
      <c r="M467" s="1244"/>
      <c r="N467" s="54"/>
      <c r="O467" s="1247"/>
      <c r="P467" s="1247"/>
      <c r="Q467" s="176"/>
      <c r="R467" s="5937"/>
      <c r="S467" s="1240"/>
      <c r="T467" s="1239"/>
      <c r="U467" s="1239"/>
      <c r="W467" s="5937">
        <v>1</v>
      </c>
      <c r="X467" s="1292" t="s">
        <v>7750</v>
      </c>
      <c r="Y467" s="1260" t="s">
        <v>7751</v>
      </c>
      <c r="Z467" s="1263" t="s">
        <v>7752</v>
      </c>
      <c r="AA467" s="1260" t="s">
        <v>7753</v>
      </c>
      <c r="AB467" s="1260" t="s">
        <v>7754</v>
      </c>
      <c r="AC467" s="1260" t="s">
        <v>7755</v>
      </c>
      <c r="AD467" s="1292" t="s">
        <v>7750</v>
      </c>
      <c r="AF467" s="3">
        <v>1</v>
      </c>
    </row>
    <row r="468" spans="1:34" ht="30" customHeight="1">
      <c r="B468" s="1256"/>
      <c r="C468" s="1291"/>
      <c r="D468" s="1239"/>
      <c r="E468" s="1239"/>
      <c r="F468" s="9"/>
      <c r="G468" s="1256"/>
      <c r="H468" s="1257"/>
      <c r="I468" s="1261"/>
      <c r="J468" s="1261"/>
      <c r="L468" s="5946"/>
      <c r="M468" s="1244"/>
      <c r="N468" s="54"/>
      <c r="O468" s="1247"/>
      <c r="P468" s="1247"/>
      <c r="Q468" s="176"/>
      <c r="R468" s="5937"/>
      <c r="S468" s="1240"/>
      <c r="T468" s="1239"/>
      <c r="U468" s="1239"/>
      <c r="AF468" s="626" t="s">
        <v>793</v>
      </c>
    </row>
    <row r="469" spans="1:34" ht="15.75">
      <c r="A469" s="3">
        <v>1</v>
      </c>
      <c r="B469" s="3">
        <v>1</v>
      </c>
      <c r="C469" s="3">
        <v>1</v>
      </c>
      <c r="D469" s="3">
        <v>1</v>
      </c>
      <c r="E469" s="3">
        <v>1</v>
      </c>
      <c r="F469" s="3">
        <v>1</v>
      </c>
      <c r="G469" s="3">
        <v>1</v>
      </c>
      <c r="H469" s="3">
        <v>1</v>
      </c>
      <c r="I469" s="3">
        <v>1</v>
      </c>
      <c r="J469" s="3">
        <v>1</v>
      </c>
      <c r="K469" s="3">
        <v>1</v>
      </c>
      <c r="L469" s="5946"/>
      <c r="M469" s="1244"/>
      <c r="N469" s="54"/>
      <c r="O469" s="1247"/>
      <c r="P469" s="1247"/>
      <c r="Q469" s="3">
        <v>1</v>
      </c>
      <c r="R469" s="3">
        <v>1</v>
      </c>
      <c r="S469" s="3">
        <v>1</v>
      </c>
      <c r="T469" s="3">
        <v>1</v>
      </c>
      <c r="U469" s="3">
        <v>1</v>
      </c>
      <c r="V469" s="3">
        <v>1</v>
      </c>
      <c r="W469" s="3">
        <v>1</v>
      </c>
      <c r="X469" s="3">
        <v>1</v>
      </c>
      <c r="Y469" s="3">
        <v>1</v>
      </c>
      <c r="Z469" s="3">
        <v>1</v>
      </c>
      <c r="AA469" s="3">
        <v>1</v>
      </c>
      <c r="AB469" s="3">
        <v>1</v>
      </c>
      <c r="AC469" s="3">
        <v>1</v>
      </c>
      <c r="AD469" s="3">
        <v>1</v>
      </c>
      <c r="AE469" s="3">
        <v>1</v>
      </c>
      <c r="AF469" s="1" t="str">
        <f>ADDRESS(ROW(),COLUMN(),4)</f>
        <v>AF469</v>
      </c>
      <c r="AG469" s="628"/>
      <c r="AH469" s="629" t="str">
        <f>ADDRESS(ROW(),COLUMN(),4)</f>
        <v>AH469</v>
      </c>
    </row>
    <row r="470" spans="1:34" ht="15.75">
      <c r="L470" s="5946"/>
      <c r="M470" s="1244"/>
      <c r="N470" s="54"/>
      <c r="O470" s="1247"/>
      <c r="P470" s="1247"/>
    </row>
    <row r="471" spans="1:34">
      <c r="L471" s="3">
        <v>1</v>
      </c>
      <c r="M471" s="3">
        <v>1</v>
      </c>
      <c r="N471" s="3">
        <v>1</v>
      </c>
      <c r="O471" s="3">
        <v>1</v>
      </c>
      <c r="P471" s="3">
        <v>1</v>
      </c>
    </row>
  </sheetData>
  <mergeCells count="26">
    <mergeCell ref="B4:E5"/>
    <mergeCell ref="G4:J5"/>
    <mergeCell ref="R4:U5"/>
    <mergeCell ref="W4:AD5"/>
    <mergeCell ref="W6:AD7"/>
    <mergeCell ref="H8:J8"/>
    <mergeCell ref="H46:H47"/>
    <mergeCell ref="I46:I47"/>
    <mergeCell ref="J46:J47"/>
    <mergeCell ref="AA9:AC9"/>
    <mergeCell ref="H10:J10"/>
    <mergeCell ref="H32:H33"/>
    <mergeCell ref="I32:I33"/>
    <mergeCell ref="J32:J33"/>
    <mergeCell ref="H37:H38"/>
    <mergeCell ref="I37:I38"/>
    <mergeCell ref="J37:J38"/>
    <mergeCell ref="H76:H77"/>
    <mergeCell ref="G65:G66"/>
    <mergeCell ref="H65:H66"/>
    <mergeCell ref="I65:I66"/>
    <mergeCell ref="J65:J66"/>
    <mergeCell ref="G73:G74"/>
    <mergeCell ref="H73:H74"/>
    <mergeCell ref="I73:I74"/>
    <mergeCell ref="J73:J74"/>
  </mergeCells>
  <hyperlinks>
    <hyperlink ref="S110" r:id="rId1" xr:uid="{EFCD8527-67B5-44D6-B6F1-FE9F905DF02D}"/>
    <hyperlink ref="S111" r:id="rId2" xr:uid="{0B4607FD-E944-4312-8D2F-73D507585836}"/>
    <hyperlink ref="S112" r:id="rId3" xr:uid="{990FC2DA-4ABE-44A6-AAC8-3FF456D64A3E}"/>
    <hyperlink ref="H78" r:id="rId4" xr:uid="{63CC93CB-D956-469E-9D17-2BB66E3DC691}"/>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75040-584B-4849-BC8A-B91DBF2B7611}">
  <dimension ref="A1:AH469"/>
  <sheetViews>
    <sheetView zoomScaleNormal="100" workbookViewId="0">
      <selection activeCell="A13" sqref="A13"/>
    </sheetView>
  </sheetViews>
  <sheetFormatPr baseColWidth="10" defaultRowHeight="15"/>
  <cols>
    <col min="2" max="2" width="10.7109375" customWidth="1"/>
    <col min="3" max="3" width="38" customWidth="1"/>
    <col min="4" max="4" width="50.7109375" customWidth="1"/>
    <col min="5" max="5" width="34.5703125" customWidth="1"/>
    <col min="6" max="6" width="50.7109375" customWidth="1"/>
    <col min="7" max="7" width="34.5703125" customWidth="1"/>
    <col min="8" max="8" width="50.85546875" customWidth="1"/>
    <col min="9" max="9" width="7.5703125" customWidth="1"/>
    <col min="10" max="10" width="6" style="1333" customWidth="1"/>
    <col min="11" max="11" width="46.42578125" customWidth="1"/>
    <col min="12" max="12" width="48.42578125" customWidth="1"/>
    <col min="13" max="13" width="7.5703125" customWidth="1"/>
    <col min="14" max="14" width="10.7109375" customWidth="1"/>
    <col min="15" max="15" width="30.7109375" customWidth="1"/>
    <col min="16" max="16" width="40.7109375" customWidth="1"/>
    <col min="17" max="17" width="30.7109375" customWidth="1"/>
    <col min="18" max="18" width="40.7109375" customWidth="1"/>
    <col min="19" max="19" width="30.7109375" customWidth="1"/>
    <col min="20" max="20" width="40.7109375" customWidth="1"/>
    <col min="22" max="22" width="4.7109375" style="1270" customWidth="1"/>
    <col min="23" max="23" width="70.28515625" style="1270" customWidth="1"/>
    <col min="24" max="25" width="50.7109375" style="1270" customWidth="1"/>
    <col min="27" max="27" width="11.42578125" style="1270"/>
    <col min="28" max="28" width="82.85546875" customWidth="1"/>
    <col min="29" max="29" width="66.28515625" customWidth="1"/>
    <col min="30" max="30" width="80.7109375" customWidth="1"/>
    <col min="34" max="34" width="80.85546875" customWidth="1"/>
  </cols>
  <sheetData>
    <row r="1" spans="1:34" ht="15.75" thickTop="1">
      <c r="A1" s="1" t="str">
        <f>ADDRESS(ROW(),COLUMN(),4)</f>
        <v>A1</v>
      </c>
      <c r="B1" s="2" t="str">
        <f t="shared" ref="B1:L1" si="0">SUBSTITUTE(ADDRESS(1,COLUMN(),4),"1","")</f>
        <v>B</v>
      </c>
      <c r="C1" s="2" t="str">
        <f t="shared" si="0"/>
        <v>C</v>
      </c>
      <c r="D1" s="2" t="str">
        <f t="shared" si="0"/>
        <v>D</v>
      </c>
      <c r="E1" s="2" t="str">
        <f t="shared" si="0"/>
        <v>E</v>
      </c>
      <c r="F1" s="2" t="str">
        <f t="shared" si="0"/>
        <v>F</v>
      </c>
      <c r="G1" s="2" t="str">
        <f t="shared" si="0"/>
        <v>G</v>
      </c>
      <c r="H1" s="2" t="str">
        <f t="shared" si="0"/>
        <v>H</v>
      </c>
      <c r="I1" s="9"/>
      <c r="J1" s="2" t="str">
        <f t="shared" si="0"/>
        <v>J</v>
      </c>
      <c r="K1" s="2" t="str">
        <f t="shared" si="0"/>
        <v>K</v>
      </c>
      <c r="L1" s="2" t="str">
        <f t="shared" si="0"/>
        <v>L</v>
      </c>
      <c r="M1" s="9"/>
      <c r="N1" s="2" t="str">
        <f t="shared" ref="N1:AD1" si="1">SUBSTITUTE(ADDRESS(1,COLUMN(),4),"1","")</f>
        <v>N</v>
      </c>
      <c r="O1" s="2" t="str">
        <f t="shared" si="1"/>
        <v>O</v>
      </c>
      <c r="P1" s="2" t="str">
        <f t="shared" si="1"/>
        <v>P</v>
      </c>
      <c r="Q1" s="2" t="str">
        <f t="shared" si="1"/>
        <v>Q</v>
      </c>
      <c r="R1" s="2" t="str">
        <f t="shared" si="1"/>
        <v>R</v>
      </c>
      <c r="S1" s="2" t="str">
        <f t="shared" si="1"/>
        <v>S</v>
      </c>
      <c r="T1" s="2" t="str">
        <f t="shared" si="1"/>
        <v>T</v>
      </c>
      <c r="V1" s="2" t="str">
        <f t="shared" si="1"/>
        <v>V</v>
      </c>
      <c r="W1" s="2" t="str">
        <f t="shared" si="1"/>
        <v>W</v>
      </c>
      <c r="X1" s="2" t="str">
        <f t="shared" si="1"/>
        <v>X</v>
      </c>
      <c r="Y1" s="2" t="str">
        <f t="shared" si="1"/>
        <v>Y</v>
      </c>
      <c r="AA1" s="2" t="str">
        <f t="shared" si="1"/>
        <v>AA</v>
      </c>
      <c r="AB1" s="2" t="str">
        <f t="shared" si="1"/>
        <v>AB</v>
      </c>
      <c r="AC1" s="2" t="str">
        <f t="shared" si="1"/>
        <v>AC</v>
      </c>
      <c r="AD1" s="2" t="str">
        <f t="shared" si="1"/>
        <v>AD</v>
      </c>
      <c r="AF1" s="3">
        <v>1</v>
      </c>
      <c r="AG1" s="4" t="str">
        <f>SUBSTITUTE(ADDRESS(1,COLUMN(),4),"1","")</f>
        <v>AG</v>
      </c>
      <c r="AH1" s="5" t="str">
        <f>SUBSTITUTE(ADDRESS(1,COLUMN(),4),"1","")</f>
        <v>AH</v>
      </c>
    </row>
    <row r="2" spans="1:34">
      <c r="B2" s="694">
        <f t="shared" ref="B2:L2" ca="1" si="2">CELL("largeur",B2)</f>
        <v>10</v>
      </c>
      <c r="C2" s="694">
        <f t="shared" ca="1" si="2"/>
        <v>37</v>
      </c>
      <c r="D2" s="694">
        <f t="shared" ca="1" si="2"/>
        <v>50</v>
      </c>
      <c r="E2" s="694">
        <f t="shared" ca="1" si="2"/>
        <v>34</v>
      </c>
      <c r="F2" s="694">
        <f t="shared" ca="1" si="2"/>
        <v>50</v>
      </c>
      <c r="G2" s="694">
        <f t="shared" ca="1" si="2"/>
        <v>34</v>
      </c>
      <c r="H2" s="694">
        <f t="shared" ca="1" si="2"/>
        <v>50</v>
      </c>
      <c r="I2" s="9"/>
      <c r="J2" s="694">
        <f t="shared" ca="1" si="2"/>
        <v>5</v>
      </c>
      <c r="K2" s="694">
        <f t="shared" ca="1" si="2"/>
        <v>46</v>
      </c>
      <c r="L2" s="694">
        <f t="shared" ca="1" si="2"/>
        <v>48</v>
      </c>
      <c r="M2" s="9"/>
      <c r="N2" s="694">
        <f t="shared" ref="N2:AD2" ca="1" si="3">CELL("largeur",N2)</f>
        <v>10</v>
      </c>
      <c r="O2" s="694">
        <f t="shared" ca="1" si="3"/>
        <v>30</v>
      </c>
      <c r="P2" s="694">
        <f t="shared" ca="1" si="3"/>
        <v>40</v>
      </c>
      <c r="Q2" s="694">
        <f t="shared" ca="1" si="3"/>
        <v>30</v>
      </c>
      <c r="R2" s="694">
        <f t="shared" ca="1" si="3"/>
        <v>40</v>
      </c>
      <c r="S2" s="694">
        <f t="shared" ca="1" si="3"/>
        <v>30</v>
      </c>
      <c r="T2" s="694">
        <f t="shared" ca="1" si="3"/>
        <v>40</v>
      </c>
      <c r="V2" s="694">
        <f t="shared" ca="1" si="3"/>
        <v>4</v>
      </c>
      <c r="W2" s="694">
        <f t="shared" ca="1" si="3"/>
        <v>70</v>
      </c>
      <c r="X2" s="694">
        <f t="shared" ca="1" si="3"/>
        <v>50</v>
      </c>
      <c r="Y2" s="694">
        <f t="shared" ca="1" si="3"/>
        <v>50</v>
      </c>
      <c r="AA2" s="694">
        <f t="shared" ca="1" si="3"/>
        <v>11</v>
      </c>
      <c r="AB2" s="694">
        <f t="shared" ca="1" si="3"/>
        <v>82</v>
      </c>
      <c r="AC2" s="694">
        <f t="shared" ca="1" si="3"/>
        <v>66</v>
      </c>
      <c r="AD2" s="694">
        <f t="shared" ca="1" si="3"/>
        <v>80</v>
      </c>
      <c r="AF2" s="3">
        <v>1</v>
      </c>
      <c r="AG2" s="7" t="s">
        <v>3</v>
      </c>
      <c r="AH2" s="8"/>
    </row>
    <row r="3" spans="1:34" ht="16.5" thickBot="1">
      <c r="B3" s="695">
        <v>10</v>
      </c>
      <c r="C3" s="695">
        <v>34</v>
      </c>
      <c r="D3" s="695">
        <v>50</v>
      </c>
      <c r="E3" s="695">
        <v>34</v>
      </c>
      <c r="F3" s="695">
        <v>50</v>
      </c>
      <c r="G3" s="695">
        <v>34</v>
      </c>
      <c r="H3" s="695">
        <v>50</v>
      </c>
      <c r="I3" s="9"/>
      <c r="J3" s="695">
        <v>5</v>
      </c>
      <c r="K3" s="695">
        <v>46</v>
      </c>
      <c r="L3" s="695">
        <v>48</v>
      </c>
      <c r="M3" s="9"/>
      <c r="N3" s="695">
        <v>10</v>
      </c>
      <c r="O3" s="695">
        <v>30</v>
      </c>
      <c r="P3" s="695">
        <v>40</v>
      </c>
      <c r="Q3" s="695">
        <v>30</v>
      </c>
      <c r="R3" s="695">
        <v>40</v>
      </c>
      <c r="S3" s="695">
        <v>30</v>
      </c>
      <c r="T3" s="695">
        <v>40</v>
      </c>
      <c r="V3" s="695">
        <v>4</v>
      </c>
      <c r="W3" s="695">
        <v>50</v>
      </c>
      <c r="X3" s="695">
        <v>50</v>
      </c>
      <c r="Y3" s="695">
        <v>50</v>
      </c>
      <c r="AA3" s="695">
        <v>11</v>
      </c>
      <c r="AB3" s="695">
        <v>82</v>
      </c>
      <c r="AC3" s="695">
        <v>66</v>
      </c>
      <c r="AD3" s="695">
        <v>80</v>
      </c>
      <c r="AF3" s="3">
        <v>1</v>
      </c>
      <c r="AG3" s="10">
        <f ca="1">COUNTA(A1:AF468) + COUNTBLANK(A1:AF468)</f>
        <v>14994</v>
      </c>
      <c r="AH3" s="11" t="str">
        <f>"cellules entre -cells -celdas  "&amp;" " &amp;A1&amp;" et  "&amp;AF469</f>
        <v>cellules entre -cells -celdas   A1 et  AF469</v>
      </c>
    </row>
    <row r="4" spans="1:34" ht="15" customHeight="1">
      <c r="B4" s="5487"/>
      <c r="C4" s="7030" t="s">
        <v>3113</v>
      </c>
      <c r="D4" s="7030"/>
      <c r="E4" s="7030"/>
      <c r="F4" s="7030"/>
      <c r="G4" s="7030"/>
      <c r="H4" s="7030"/>
      <c r="I4" s="9"/>
      <c r="J4" s="1334"/>
      <c r="K4" s="7032" t="s">
        <v>8140</v>
      </c>
      <c r="L4" s="7032"/>
      <c r="M4" s="9"/>
      <c r="N4" s="7034" t="s">
        <v>3114</v>
      </c>
      <c r="O4" s="7034"/>
      <c r="P4" s="7034"/>
      <c r="Q4" s="7034"/>
      <c r="R4" s="7034"/>
      <c r="S4" s="7034"/>
      <c r="T4" s="7034"/>
      <c r="V4" s="7011" t="s">
        <v>3111</v>
      </c>
      <c r="W4" s="7011"/>
      <c r="X4" s="7011"/>
      <c r="Y4" s="7011"/>
      <c r="AA4" s="7011" t="s">
        <v>3112</v>
      </c>
      <c r="AB4" s="7011"/>
      <c r="AC4" s="7011"/>
      <c r="AD4" s="7011"/>
      <c r="AF4" s="3">
        <v>1</v>
      </c>
      <c r="AG4" s="10">
        <f ca="1">COUNTA(A1:AF468)</f>
        <v>2839</v>
      </c>
      <c r="AH4" s="11" t="s">
        <v>9</v>
      </c>
    </row>
    <row r="5" spans="1:34" ht="15" customHeight="1">
      <c r="B5" s="5487"/>
      <c r="C5" s="7031"/>
      <c r="D5" s="7031"/>
      <c r="E5" s="7031"/>
      <c r="F5" s="7031"/>
      <c r="G5" s="7031"/>
      <c r="H5" s="7031"/>
      <c r="I5" s="9"/>
      <c r="J5" s="1334"/>
      <c r="K5" s="7033"/>
      <c r="L5" s="7033"/>
      <c r="M5" s="9"/>
      <c r="N5" s="7035"/>
      <c r="O5" s="7035"/>
      <c r="P5" s="7035"/>
      <c r="Q5" s="7035"/>
      <c r="R5" s="7035"/>
      <c r="S5" s="7035"/>
      <c r="T5" s="7035"/>
      <c r="V5" s="7012"/>
      <c r="W5" s="7012"/>
      <c r="X5" s="7012"/>
      <c r="Y5" s="7012"/>
      <c r="AA5" s="7012"/>
      <c r="AB5" s="7012"/>
      <c r="AC5" s="7012"/>
      <c r="AD5" s="7012"/>
      <c r="AF5" s="3">
        <v>1</v>
      </c>
      <c r="AG5" s="10">
        <f ca="1">COUNTBLANK(A1:AF468)</f>
        <v>12155</v>
      </c>
      <c r="AH5" s="11" t="s">
        <v>12</v>
      </c>
    </row>
    <row r="6" spans="1:34" ht="21" customHeight="1">
      <c r="B6" s="5487"/>
      <c r="C6" s="9"/>
      <c r="D6" s="9"/>
      <c r="E6" s="9"/>
      <c r="F6" s="9"/>
      <c r="G6" s="9"/>
      <c r="H6" s="9"/>
      <c r="I6" s="9"/>
      <c r="M6" s="9"/>
      <c r="V6" s="1231" t="s">
        <v>3117</v>
      </c>
      <c r="W6" s="1232"/>
      <c r="X6" s="1233"/>
      <c r="Y6" s="1233"/>
      <c r="AA6" s="1234"/>
      <c r="AB6" s="9"/>
      <c r="AC6" s="9"/>
      <c r="AD6" s="9"/>
      <c r="AF6" s="3">
        <v>1</v>
      </c>
      <c r="AG6" s="10">
        <f>SUM(AF1:AF467)+2</f>
        <v>469</v>
      </c>
      <c r="AH6" s="11" t="s">
        <v>14</v>
      </c>
    </row>
    <row r="7" spans="1:34" ht="30" customHeight="1">
      <c r="B7" s="5904"/>
      <c r="C7" s="2017" t="s">
        <v>10</v>
      </c>
      <c r="D7" s="1237"/>
      <c r="E7" s="2017"/>
      <c r="F7" s="1237"/>
      <c r="G7" s="2017"/>
      <c r="H7" s="1237"/>
      <c r="I7" s="9"/>
      <c r="J7" s="5905"/>
      <c r="K7" s="1335" t="s">
        <v>521</v>
      </c>
      <c r="L7" s="5906" t="s">
        <v>8139</v>
      </c>
      <c r="M7" s="9"/>
      <c r="N7" s="5904"/>
      <c r="O7" s="1331" t="s">
        <v>10</v>
      </c>
      <c r="P7" s="1238"/>
      <c r="Q7" s="1238"/>
      <c r="R7" s="1238"/>
      <c r="S7" s="1238"/>
      <c r="T7" s="2011"/>
      <c r="V7" s="1231" t="s">
        <v>3119</v>
      </c>
      <c r="W7" s="1232"/>
      <c r="X7" s="1233"/>
      <c r="Y7" s="1233"/>
      <c r="AA7" s="1234"/>
      <c r="AB7" s="9"/>
      <c r="AC7" s="1235" t="s">
        <v>3120</v>
      </c>
      <c r="AD7" s="1236" t="str">
        <f>AF469</f>
        <v>AF469</v>
      </c>
      <c r="AF7" s="3">
        <v>1</v>
      </c>
      <c r="AG7" s="10">
        <f>SUM(A469:AE469)+1</f>
        <v>32</v>
      </c>
      <c r="AH7" s="11" t="s">
        <v>17</v>
      </c>
    </row>
    <row r="8" spans="1:34" ht="30" customHeight="1">
      <c r="B8" s="2029">
        <v>1</v>
      </c>
      <c r="C8" s="2027" t="s">
        <v>3124</v>
      </c>
      <c r="D8" s="1239" t="s">
        <v>3126</v>
      </c>
      <c r="E8" s="5907" t="s">
        <v>3125</v>
      </c>
      <c r="F8" s="1239" t="s">
        <v>3127</v>
      </c>
      <c r="G8" s="5908" t="s">
        <v>8732</v>
      </c>
      <c r="H8" s="5909" t="s">
        <v>3128</v>
      </c>
      <c r="I8" s="9"/>
      <c r="J8" s="5910"/>
      <c r="K8" s="7028" t="s">
        <v>8098</v>
      </c>
      <c r="L8" s="7029"/>
      <c r="M8" s="9"/>
      <c r="N8" s="5911">
        <v>1</v>
      </c>
      <c r="O8" s="1332" t="s">
        <v>3129</v>
      </c>
      <c r="P8" s="1242" t="s">
        <v>3132</v>
      </c>
      <c r="Q8" s="5912" t="s">
        <v>3130</v>
      </c>
      <c r="R8" s="5913" t="s">
        <v>3133</v>
      </c>
      <c r="S8" s="2012" t="s">
        <v>3131</v>
      </c>
      <c r="T8" s="5913" t="s">
        <v>3134</v>
      </c>
      <c r="V8" s="1231" t="s">
        <v>3122</v>
      </c>
      <c r="W8" s="1232"/>
      <c r="X8" s="1233"/>
      <c r="Y8" s="1233"/>
      <c r="AA8" s="1233"/>
      <c r="AB8" s="6999" t="s">
        <v>3123</v>
      </c>
      <c r="AC8" s="6999"/>
      <c r="AD8" s="6999"/>
      <c r="AF8" s="3">
        <v>1</v>
      </c>
    </row>
    <row r="9" spans="1:34" ht="30" customHeight="1">
      <c r="B9" s="2029"/>
      <c r="C9" s="2017" t="s">
        <v>1484</v>
      </c>
      <c r="E9" s="5914"/>
      <c r="G9" s="5914"/>
      <c r="H9" s="5915"/>
      <c r="I9" s="9"/>
      <c r="J9" s="5910" t="s">
        <v>10</v>
      </c>
      <c r="K9" s="1336" t="s">
        <v>8099</v>
      </c>
      <c r="L9" s="5916"/>
      <c r="M9" s="9"/>
      <c r="N9" s="5911">
        <f>N8+1</f>
        <v>2</v>
      </c>
      <c r="O9" s="1332" t="s">
        <v>3140</v>
      </c>
      <c r="P9" s="1242" t="s">
        <v>3143</v>
      </c>
      <c r="Q9" s="5912" t="s">
        <v>3141</v>
      </c>
      <c r="R9" s="5913" t="s">
        <v>3144</v>
      </c>
      <c r="S9" s="2012" t="s">
        <v>3142</v>
      </c>
      <c r="T9" s="5913" t="s">
        <v>3145</v>
      </c>
      <c r="V9" s="1233"/>
      <c r="W9" s="1232"/>
      <c r="X9" s="1233"/>
      <c r="Y9" s="1233"/>
      <c r="AA9" s="1233"/>
      <c r="AB9" s="1233"/>
      <c r="AC9" s="1233"/>
      <c r="AD9" s="1233"/>
      <c r="AF9" s="3">
        <v>1</v>
      </c>
    </row>
    <row r="10" spans="1:34" ht="30" customHeight="1">
      <c r="B10" s="2029">
        <v>1</v>
      </c>
      <c r="C10" s="2027" t="s">
        <v>3152</v>
      </c>
      <c r="D10" s="1253" t="s">
        <v>3154</v>
      </c>
      <c r="E10" s="2021" t="s">
        <v>3153</v>
      </c>
      <c r="F10" s="1253" t="s">
        <v>3155</v>
      </c>
      <c r="G10" s="2022" t="s">
        <v>8733</v>
      </c>
      <c r="H10" s="5917" t="s">
        <v>3156</v>
      </c>
      <c r="I10" s="9"/>
      <c r="J10" s="5918"/>
      <c r="K10" s="1336" t="s">
        <v>8100</v>
      </c>
      <c r="L10" s="5919" t="s">
        <v>3354</v>
      </c>
      <c r="M10" s="9"/>
      <c r="N10" s="5911">
        <f t="shared" ref="N10:N46" si="4">N9+1</f>
        <v>3</v>
      </c>
      <c r="O10" s="1332" t="s">
        <v>3157</v>
      </c>
      <c r="P10" s="1242" t="s">
        <v>3160</v>
      </c>
      <c r="Q10" s="5912" t="s">
        <v>3158</v>
      </c>
      <c r="R10" s="5913" t="s">
        <v>3161</v>
      </c>
      <c r="S10" s="2012" t="s">
        <v>3159</v>
      </c>
      <c r="T10" s="5913" t="s">
        <v>3162</v>
      </c>
      <c r="V10" s="1233"/>
      <c r="W10" s="1250" t="s">
        <v>3150</v>
      </c>
      <c r="X10" s="1251"/>
      <c r="Y10" s="1251"/>
      <c r="AA10" s="1252"/>
      <c r="AB10" s="7026" t="s">
        <v>3151</v>
      </c>
      <c r="AC10" s="7026"/>
      <c r="AD10" s="7026"/>
      <c r="AF10" s="3">
        <v>1</v>
      </c>
    </row>
    <row r="11" spans="1:34" ht="30" customHeight="1">
      <c r="B11" s="2029">
        <f>B10+1</f>
        <v>2</v>
      </c>
      <c r="C11" s="2027" t="s">
        <v>3170</v>
      </c>
      <c r="D11" s="5920" t="s">
        <v>3173</v>
      </c>
      <c r="E11" s="5921" t="s">
        <v>3171</v>
      </c>
      <c r="F11" s="5920" t="s">
        <v>3174</v>
      </c>
      <c r="G11" s="5922" t="s">
        <v>3172</v>
      </c>
      <c r="H11" s="5923" t="s">
        <v>3175</v>
      </c>
      <c r="I11" s="9"/>
      <c r="J11" s="5918"/>
      <c r="K11" s="1336" t="s">
        <v>3323</v>
      </c>
      <c r="L11" s="5919" t="s">
        <v>114</v>
      </c>
      <c r="M11" s="9"/>
      <c r="N11" s="5911">
        <f t="shared" si="4"/>
        <v>4</v>
      </c>
      <c r="O11" s="1332" t="s">
        <v>3176</v>
      </c>
      <c r="P11" s="1242" t="s">
        <v>3179</v>
      </c>
      <c r="Q11" s="5912" t="s">
        <v>3177</v>
      </c>
      <c r="R11" s="5913" t="s">
        <v>3180</v>
      </c>
      <c r="S11" s="2012" t="s">
        <v>3178</v>
      </c>
      <c r="T11" s="5913" t="s">
        <v>3181</v>
      </c>
      <c r="V11" s="1256">
        <v>1</v>
      </c>
      <c r="W11" s="1257" t="s">
        <v>3167</v>
      </c>
      <c r="X11" s="1239" t="s">
        <v>3168</v>
      </c>
      <c r="Y11" s="1239" t="s">
        <v>3169</v>
      </c>
      <c r="AA11" s="1252"/>
      <c r="AB11" s="1258"/>
      <c r="AC11" s="1258"/>
      <c r="AD11" s="1258"/>
      <c r="AF11" s="3">
        <v>1</v>
      </c>
    </row>
    <row r="12" spans="1:34" ht="30" customHeight="1">
      <c r="B12" s="2029">
        <v>2</v>
      </c>
      <c r="C12" s="2027" t="s">
        <v>3192</v>
      </c>
      <c r="D12" s="5920" t="s">
        <v>3194</v>
      </c>
      <c r="E12" s="5921" t="s">
        <v>3193</v>
      </c>
      <c r="F12" s="5920" t="s">
        <v>3195</v>
      </c>
      <c r="G12" s="5922" t="s">
        <v>8734</v>
      </c>
      <c r="H12" s="5923" t="s">
        <v>3196</v>
      </c>
      <c r="I12" s="9"/>
      <c r="J12" s="5918"/>
      <c r="K12" s="1336" t="s">
        <v>3494</v>
      </c>
      <c r="L12" s="5916"/>
      <c r="M12" s="9"/>
      <c r="N12" s="5911">
        <f t="shared" si="4"/>
        <v>5</v>
      </c>
      <c r="O12" s="1332" t="s">
        <v>3197</v>
      </c>
      <c r="P12" s="1242" t="s">
        <v>3200</v>
      </c>
      <c r="Q12" s="5912" t="s">
        <v>3198</v>
      </c>
      <c r="R12" s="5913" t="s">
        <v>3201</v>
      </c>
      <c r="S12" s="2012" t="s">
        <v>3199</v>
      </c>
      <c r="T12" s="5913" t="s">
        <v>3202</v>
      </c>
      <c r="V12" s="1256">
        <v>2</v>
      </c>
      <c r="W12" s="1257" t="s">
        <v>3186</v>
      </c>
      <c r="X12" s="1239" t="s">
        <v>3187</v>
      </c>
      <c r="Y12" s="1239" t="s">
        <v>3188</v>
      </c>
      <c r="AA12" s="1251" t="s">
        <v>2629</v>
      </c>
      <c r="AB12" s="1250" t="s">
        <v>3189</v>
      </c>
      <c r="AC12" s="1250" t="s">
        <v>3190</v>
      </c>
      <c r="AD12" s="1250" t="s">
        <v>3191</v>
      </c>
      <c r="AF12" s="3">
        <v>1</v>
      </c>
    </row>
    <row r="13" spans="1:34" ht="30" customHeight="1">
      <c r="B13" s="2029">
        <f>B12+1</f>
        <v>3</v>
      </c>
      <c r="C13" s="2027" t="s">
        <v>3221</v>
      </c>
      <c r="D13" s="5920" t="s">
        <v>3223</v>
      </c>
      <c r="E13" s="5921" t="s">
        <v>3222</v>
      </c>
      <c r="F13" s="5920" t="s">
        <v>3224</v>
      </c>
      <c r="G13" s="5922" t="s">
        <v>8735</v>
      </c>
      <c r="H13" s="5923" t="s">
        <v>3225</v>
      </c>
      <c r="I13" s="9"/>
      <c r="J13" s="5918"/>
      <c r="K13" s="1336" t="s">
        <v>3652</v>
      </c>
      <c r="L13" s="5919" t="s">
        <v>3680</v>
      </c>
      <c r="M13" s="9"/>
      <c r="N13" s="5911">
        <f t="shared" si="4"/>
        <v>6</v>
      </c>
      <c r="O13" s="1332" t="s">
        <v>3226</v>
      </c>
      <c r="P13" s="1242" t="s">
        <v>3229</v>
      </c>
      <c r="Q13" s="5912" t="s">
        <v>3227</v>
      </c>
      <c r="R13" s="5913" t="s">
        <v>3230</v>
      </c>
      <c r="S13" s="2012" t="s">
        <v>3228</v>
      </c>
      <c r="T13" s="5913" t="s">
        <v>3231</v>
      </c>
      <c r="V13" s="1256">
        <v>3</v>
      </c>
      <c r="W13" s="1257" t="s">
        <v>3216</v>
      </c>
      <c r="X13" s="1239" t="s">
        <v>3217</v>
      </c>
      <c r="Y13" s="1239" t="s">
        <v>3218</v>
      </c>
      <c r="AA13" s="1256">
        <v>1</v>
      </c>
      <c r="AB13" s="1257" t="s">
        <v>3189</v>
      </c>
      <c r="AC13" s="1261" t="s">
        <v>3219</v>
      </c>
      <c r="AD13" s="1261" t="s">
        <v>3220</v>
      </c>
      <c r="AF13" s="3">
        <v>1</v>
      </c>
    </row>
    <row r="14" spans="1:34" ht="30" customHeight="1">
      <c r="B14" s="2029">
        <v>3</v>
      </c>
      <c r="C14" s="2027" t="s">
        <v>3251</v>
      </c>
      <c r="D14" s="1262" t="s">
        <v>3253</v>
      </c>
      <c r="E14" s="5924" t="s">
        <v>3252</v>
      </c>
      <c r="F14" s="1262" t="s">
        <v>3254</v>
      </c>
      <c r="G14" s="5925" t="s">
        <v>8736</v>
      </c>
      <c r="H14" s="2020" t="s">
        <v>3255</v>
      </c>
      <c r="I14" s="9"/>
      <c r="J14" s="5918"/>
      <c r="K14" s="1336" t="s">
        <v>3708</v>
      </c>
      <c r="L14" s="5919" t="s">
        <v>8101</v>
      </c>
      <c r="M14" s="9"/>
      <c r="N14" s="5911">
        <f t="shared" si="4"/>
        <v>7</v>
      </c>
      <c r="O14" s="1332" t="s">
        <v>3256</v>
      </c>
      <c r="P14" s="1242" t="s">
        <v>3259</v>
      </c>
      <c r="Q14" s="5912" t="s">
        <v>3257</v>
      </c>
      <c r="R14" s="5913" t="s">
        <v>3260</v>
      </c>
      <c r="S14" s="2012" t="s">
        <v>3258</v>
      </c>
      <c r="T14" s="5913" t="s">
        <v>3261</v>
      </c>
      <c r="V14" s="1256">
        <v>4</v>
      </c>
      <c r="W14" s="1257" t="s">
        <v>3245</v>
      </c>
      <c r="X14" s="1239" t="s">
        <v>3246</v>
      </c>
      <c r="Y14" s="1239" t="s">
        <v>3247</v>
      </c>
      <c r="AA14" s="1256">
        <v>2</v>
      </c>
      <c r="AB14" s="1257" t="s">
        <v>3248</v>
      </c>
      <c r="AC14" s="1261" t="s">
        <v>3249</v>
      </c>
      <c r="AD14" s="1261" t="s">
        <v>3250</v>
      </c>
      <c r="AF14" s="3">
        <v>1</v>
      </c>
    </row>
    <row r="15" spans="1:34" ht="30" customHeight="1">
      <c r="B15" s="2029"/>
      <c r="C15" s="2017" t="s">
        <v>1485</v>
      </c>
      <c r="D15" s="9"/>
      <c r="E15" s="5914"/>
      <c r="F15" s="9"/>
      <c r="G15" s="5914"/>
      <c r="H15" s="5915"/>
      <c r="I15" s="9"/>
      <c r="J15" s="5918"/>
      <c r="K15" s="1336" t="s">
        <v>3732</v>
      </c>
      <c r="L15" s="5919" t="s">
        <v>114</v>
      </c>
      <c r="M15" s="9"/>
      <c r="N15" s="5911">
        <f t="shared" si="4"/>
        <v>8</v>
      </c>
      <c r="O15" s="1332" t="s">
        <v>3280</v>
      </c>
      <c r="P15" s="1242" t="s">
        <v>3283</v>
      </c>
      <c r="Q15" s="5912" t="s">
        <v>3281</v>
      </c>
      <c r="R15" s="5913" t="s">
        <v>3284</v>
      </c>
      <c r="S15" s="2012" t="s">
        <v>3282</v>
      </c>
      <c r="T15" s="5913" t="s">
        <v>3285</v>
      </c>
      <c r="V15" s="1256">
        <v>5</v>
      </c>
      <c r="W15" s="1257" t="s">
        <v>3274</v>
      </c>
      <c r="X15" s="1239" t="s">
        <v>3275</v>
      </c>
      <c r="Y15" s="1239" t="s">
        <v>3276</v>
      </c>
      <c r="AA15" s="1256">
        <v>3</v>
      </c>
      <c r="AB15" s="1257" t="s">
        <v>3277</v>
      </c>
      <c r="AC15" s="1261" t="s">
        <v>3278</v>
      </c>
      <c r="AD15" s="1261" t="s">
        <v>3279</v>
      </c>
      <c r="AF15" s="3">
        <v>1</v>
      </c>
    </row>
    <row r="16" spans="1:34" ht="30" customHeight="1">
      <c r="B16" s="2029">
        <v>1</v>
      </c>
      <c r="C16" s="2027" t="s">
        <v>3304</v>
      </c>
      <c r="D16" s="1253" t="s">
        <v>3307</v>
      </c>
      <c r="E16" s="2021" t="s">
        <v>3305</v>
      </c>
      <c r="F16" s="1253" t="s">
        <v>3308</v>
      </c>
      <c r="G16" s="2022" t="s">
        <v>3306</v>
      </c>
      <c r="H16" s="5917" t="s">
        <v>3309</v>
      </c>
      <c r="I16" s="9"/>
      <c r="J16" s="5918"/>
      <c r="K16" s="1336" t="s">
        <v>3763</v>
      </c>
      <c r="L16" s="5919" t="s">
        <v>114</v>
      </c>
      <c r="M16" s="9"/>
      <c r="N16" s="5911">
        <f t="shared" si="4"/>
        <v>9</v>
      </c>
      <c r="O16" s="1332" t="s">
        <v>3310</v>
      </c>
      <c r="P16" s="1242" t="s">
        <v>3313</v>
      </c>
      <c r="Q16" s="5912" t="s">
        <v>3311</v>
      </c>
      <c r="R16" s="5913" t="s">
        <v>3314</v>
      </c>
      <c r="S16" s="2012" t="s">
        <v>3312</v>
      </c>
      <c r="T16" s="5913" t="s">
        <v>3315</v>
      </c>
      <c r="V16" s="1256">
        <v>6</v>
      </c>
      <c r="W16" s="1257" t="s">
        <v>3298</v>
      </c>
      <c r="X16" s="1239" t="s">
        <v>3299</v>
      </c>
      <c r="Y16" s="1239" t="s">
        <v>3300</v>
      </c>
      <c r="AA16" s="1256">
        <v>4</v>
      </c>
      <c r="AB16" s="1257" t="s">
        <v>3301</v>
      </c>
      <c r="AC16" s="1261" t="s">
        <v>3302</v>
      </c>
      <c r="AD16" s="1261" t="s">
        <v>3303</v>
      </c>
      <c r="AF16" s="3">
        <v>1</v>
      </c>
    </row>
    <row r="17" spans="2:32" ht="30" customHeight="1">
      <c r="B17" s="2029">
        <f t="shared" ref="B17:B25" si="5">B16+1</f>
        <v>2</v>
      </c>
      <c r="C17" s="2027" t="s">
        <v>3335</v>
      </c>
      <c r="D17" s="5920" t="s">
        <v>3338</v>
      </c>
      <c r="E17" s="5921" t="s">
        <v>3336</v>
      </c>
      <c r="F17" s="5920" t="s">
        <v>3339</v>
      </c>
      <c r="G17" s="5922" t="s">
        <v>3337</v>
      </c>
      <c r="H17" s="5923" t="s">
        <v>3340</v>
      </c>
      <c r="I17" s="9"/>
      <c r="J17" s="5918"/>
      <c r="K17" s="1336" t="s">
        <v>8102</v>
      </c>
      <c r="L17" s="5919" t="s">
        <v>114</v>
      </c>
      <c r="M17" s="9"/>
      <c r="N17" s="5911">
        <f t="shared" si="4"/>
        <v>10</v>
      </c>
      <c r="O17" s="1332" t="s">
        <v>3341</v>
      </c>
      <c r="P17" s="1242" t="s">
        <v>3344</v>
      </c>
      <c r="Q17" s="5912" t="s">
        <v>3342</v>
      </c>
      <c r="R17" s="5913" t="s">
        <v>3345</v>
      </c>
      <c r="S17" s="2012" t="s">
        <v>3343</v>
      </c>
      <c r="T17" s="5913" t="s">
        <v>3346</v>
      </c>
      <c r="V17" s="1256">
        <v>7</v>
      </c>
      <c r="W17" s="1257" t="s">
        <v>3329</v>
      </c>
      <c r="X17" s="1239" t="s">
        <v>3330</v>
      </c>
      <c r="Y17" s="1239" t="s">
        <v>3331</v>
      </c>
      <c r="AA17" s="1256">
        <v>5</v>
      </c>
      <c r="AB17" s="1264" t="s">
        <v>3332</v>
      </c>
      <c r="AC17" s="1261" t="s">
        <v>3333</v>
      </c>
      <c r="AD17" s="1261" t="s">
        <v>3334</v>
      </c>
      <c r="AF17" s="3">
        <v>1</v>
      </c>
    </row>
    <row r="18" spans="2:32" ht="30" customHeight="1">
      <c r="B18" s="2029">
        <f t="shared" si="5"/>
        <v>3</v>
      </c>
      <c r="C18" s="2027" t="s">
        <v>3363</v>
      </c>
      <c r="D18" s="5920" t="s">
        <v>3365</v>
      </c>
      <c r="E18" s="5921" t="s">
        <v>3364</v>
      </c>
      <c r="F18" s="5920" t="s">
        <v>3366</v>
      </c>
      <c r="G18" s="5922" t="s">
        <v>8737</v>
      </c>
      <c r="H18" s="5923" t="s">
        <v>3367</v>
      </c>
      <c r="I18" s="9"/>
      <c r="J18" s="5918"/>
      <c r="K18" s="1336" t="s">
        <v>8103</v>
      </c>
      <c r="L18" s="5919" t="s">
        <v>114</v>
      </c>
      <c r="M18" s="9"/>
      <c r="N18" s="5911">
        <f t="shared" si="4"/>
        <v>11</v>
      </c>
      <c r="O18" s="1332" t="s">
        <v>3368</v>
      </c>
      <c r="P18" s="1242" t="s">
        <v>3371</v>
      </c>
      <c r="Q18" s="5912" t="s">
        <v>3369</v>
      </c>
      <c r="R18" s="5913" t="s">
        <v>3372</v>
      </c>
      <c r="S18" s="2012" t="s">
        <v>3370</v>
      </c>
      <c r="T18" s="5913" t="s">
        <v>3373</v>
      </c>
      <c r="V18" s="1256">
        <v>8</v>
      </c>
      <c r="W18" s="1291" t="s">
        <v>3360</v>
      </c>
      <c r="X18" s="1239" t="s">
        <v>3361</v>
      </c>
      <c r="Y18" s="1239" t="s">
        <v>3362</v>
      </c>
      <c r="AA18" s="1264"/>
      <c r="AB18" s="696"/>
      <c r="AC18" s="1265"/>
      <c r="AD18" s="1265"/>
      <c r="AF18" s="3">
        <v>1</v>
      </c>
    </row>
    <row r="19" spans="2:32" ht="30" customHeight="1">
      <c r="B19" s="2029">
        <f t="shared" si="5"/>
        <v>4</v>
      </c>
      <c r="C19" s="2027" t="s">
        <v>3393</v>
      </c>
      <c r="D19" s="5920" t="s">
        <v>3396</v>
      </c>
      <c r="E19" s="5921" t="s">
        <v>3394</v>
      </c>
      <c r="F19" s="5920" t="s">
        <v>3397</v>
      </c>
      <c r="G19" s="5922" t="s">
        <v>3395</v>
      </c>
      <c r="H19" s="5923" t="s">
        <v>3398</v>
      </c>
      <c r="I19" s="9"/>
      <c r="J19" s="5918"/>
      <c r="K19" s="1336" t="s">
        <v>3846</v>
      </c>
      <c r="L19" s="5919" t="s">
        <v>114</v>
      </c>
      <c r="M19" s="9"/>
      <c r="N19" s="5911">
        <f t="shared" si="4"/>
        <v>12</v>
      </c>
      <c r="O19" s="1332" t="s">
        <v>3399</v>
      </c>
      <c r="P19" s="1242" t="s">
        <v>3402</v>
      </c>
      <c r="Q19" s="5912" t="s">
        <v>3400</v>
      </c>
      <c r="R19" s="5913" t="s">
        <v>3403</v>
      </c>
      <c r="S19" s="2012" t="s">
        <v>3401</v>
      </c>
      <c r="T19" s="5913" t="s">
        <v>3404</v>
      </c>
      <c r="V19" s="1256">
        <v>9</v>
      </c>
      <c r="W19" s="1257" t="s">
        <v>3387</v>
      </c>
      <c r="X19" s="1239" t="s">
        <v>3388</v>
      </c>
      <c r="Y19" s="1239" t="s">
        <v>3389</v>
      </c>
      <c r="AA19" s="1251" t="s">
        <v>16</v>
      </c>
      <c r="AB19" s="1250" t="s">
        <v>3390</v>
      </c>
      <c r="AC19" s="1250" t="s">
        <v>3391</v>
      </c>
      <c r="AD19" s="1250" t="s">
        <v>3392</v>
      </c>
      <c r="AF19" s="3">
        <v>1</v>
      </c>
    </row>
    <row r="20" spans="2:32" ht="30" customHeight="1">
      <c r="B20" s="2029">
        <f t="shared" si="5"/>
        <v>5</v>
      </c>
      <c r="C20" s="2027" t="s">
        <v>3421</v>
      </c>
      <c r="D20" s="1262" t="s">
        <v>3424</v>
      </c>
      <c r="E20" s="5924" t="s">
        <v>3422</v>
      </c>
      <c r="F20" s="1262" t="s">
        <v>3425</v>
      </c>
      <c r="G20" s="5925" t="s">
        <v>3423</v>
      </c>
      <c r="H20" s="2020" t="s">
        <v>3426</v>
      </c>
      <c r="I20" s="9"/>
      <c r="J20" s="5918"/>
      <c r="K20" s="1336" t="s">
        <v>3876</v>
      </c>
      <c r="L20" s="5919" t="s">
        <v>114</v>
      </c>
      <c r="M20" s="9"/>
      <c r="N20" s="5911">
        <f t="shared" si="4"/>
        <v>13</v>
      </c>
      <c r="O20" s="1332" t="s">
        <v>3427</v>
      </c>
      <c r="P20" s="1242" t="s">
        <v>3430</v>
      </c>
      <c r="Q20" s="5912" t="s">
        <v>3428</v>
      </c>
      <c r="R20" s="5913" t="s">
        <v>3431</v>
      </c>
      <c r="S20" s="2012" t="s">
        <v>3429</v>
      </c>
      <c r="T20" s="5913" t="s">
        <v>3432</v>
      </c>
      <c r="V20" s="1256">
        <v>10</v>
      </c>
      <c r="W20" s="1257" t="s">
        <v>3415</v>
      </c>
      <c r="X20" s="1239" t="s">
        <v>3416</v>
      </c>
      <c r="Y20" s="1239" t="s">
        <v>3417</v>
      </c>
      <c r="AA20" s="1256">
        <v>1</v>
      </c>
      <c r="AB20" s="1266" t="s">
        <v>3418</v>
      </c>
      <c r="AC20" s="1261" t="s">
        <v>3419</v>
      </c>
      <c r="AD20" s="1261" t="s">
        <v>3420</v>
      </c>
      <c r="AF20" s="3">
        <v>1</v>
      </c>
    </row>
    <row r="21" spans="2:32" ht="30" customHeight="1">
      <c r="B21" s="2029">
        <f t="shared" si="5"/>
        <v>6</v>
      </c>
      <c r="C21" s="2027" t="s">
        <v>3448</v>
      </c>
      <c r="D21" s="1262" t="s">
        <v>3451</v>
      </c>
      <c r="E21" s="5924" t="s">
        <v>3449</v>
      </c>
      <c r="F21" s="1262" t="s">
        <v>3452</v>
      </c>
      <c r="G21" s="5925" t="s">
        <v>3450</v>
      </c>
      <c r="H21" s="2020" t="s">
        <v>3453</v>
      </c>
      <c r="I21" s="9"/>
      <c r="J21" s="5918"/>
      <c r="K21" s="1336" t="s">
        <v>3953</v>
      </c>
      <c r="L21" s="5919" t="s">
        <v>114</v>
      </c>
      <c r="M21" s="9"/>
      <c r="N21" s="5911">
        <f t="shared" si="4"/>
        <v>14</v>
      </c>
      <c r="O21" s="1332" t="s">
        <v>3454</v>
      </c>
      <c r="P21" s="1242" t="s">
        <v>3457</v>
      </c>
      <c r="Q21" s="5912" t="s">
        <v>3455</v>
      </c>
      <c r="R21" s="5913" t="s">
        <v>3458</v>
      </c>
      <c r="S21" s="2012" t="s">
        <v>3456</v>
      </c>
      <c r="T21" s="5913" t="s">
        <v>3459</v>
      </c>
      <c r="V21" s="1256">
        <v>11</v>
      </c>
      <c r="W21" s="1257" t="s">
        <v>3442</v>
      </c>
      <c r="X21" s="1239" t="s">
        <v>3443</v>
      </c>
      <c r="Y21" s="1239" t="s">
        <v>3444</v>
      </c>
      <c r="AA21" s="1256">
        <v>2</v>
      </c>
      <c r="AB21" s="1266" t="s">
        <v>3445</v>
      </c>
      <c r="AC21" s="1261" t="s">
        <v>3446</v>
      </c>
      <c r="AD21" s="1261" t="s">
        <v>3447</v>
      </c>
      <c r="AF21" s="3">
        <v>1</v>
      </c>
    </row>
    <row r="22" spans="2:32" ht="30" customHeight="1">
      <c r="B22" s="2029">
        <f t="shared" si="5"/>
        <v>7</v>
      </c>
      <c r="C22" s="2027" t="s">
        <v>3479</v>
      </c>
      <c r="D22" s="1262" t="s">
        <v>3482</v>
      </c>
      <c r="E22" s="5924" t="s">
        <v>3480</v>
      </c>
      <c r="F22" s="1262" t="s">
        <v>3483</v>
      </c>
      <c r="G22" s="5925" t="s">
        <v>3481</v>
      </c>
      <c r="H22" s="2020" t="s">
        <v>3484</v>
      </c>
      <c r="I22" s="9"/>
      <c r="J22" s="5926"/>
      <c r="K22" s="7019"/>
      <c r="L22" s="7020"/>
      <c r="M22" s="9"/>
      <c r="N22" s="5911">
        <f t="shared" si="4"/>
        <v>15</v>
      </c>
      <c r="O22" s="1332" t="s">
        <v>3485</v>
      </c>
      <c r="P22" s="1242" t="s">
        <v>3488</v>
      </c>
      <c r="Q22" s="5912" t="s">
        <v>3486</v>
      </c>
      <c r="R22" s="5913" t="s">
        <v>3489</v>
      </c>
      <c r="S22" s="2012" t="s">
        <v>3487</v>
      </c>
      <c r="T22" s="5913" t="s">
        <v>3490</v>
      </c>
      <c r="V22" s="1256">
        <v>12</v>
      </c>
      <c r="W22" s="1257" t="s">
        <v>3473</v>
      </c>
      <c r="X22" s="1239" t="s">
        <v>3474</v>
      </c>
      <c r="Y22" s="1239" t="s">
        <v>3475</v>
      </c>
      <c r="AA22" s="1256">
        <v>3</v>
      </c>
      <c r="AB22" s="1266" t="s">
        <v>3476</v>
      </c>
      <c r="AC22" s="1261" t="s">
        <v>3477</v>
      </c>
      <c r="AD22" s="1261" t="s">
        <v>3478</v>
      </c>
      <c r="AF22" s="3">
        <v>1</v>
      </c>
    </row>
    <row r="23" spans="2:32" ht="30" customHeight="1">
      <c r="B23" s="2029">
        <f t="shared" si="5"/>
        <v>8</v>
      </c>
      <c r="C23" s="2027" t="s">
        <v>3506</v>
      </c>
      <c r="D23" s="1262" t="s">
        <v>3508</v>
      </c>
      <c r="E23" s="5924" t="s">
        <v>3507</v>
      </c>
      <c r="F23" s="1262" t="s">
        <v>3509</v>
      </c>
      <c r="G23" s="5925" t="s">
        <v>8738</v>
      </c>
      <c r="H23" s="2020" t="s">
        <v>3510</v>
      </c>
      <c r="I23" s="9"/>
      <c r="J23" s="5910" t="s">
        <v>1485</v>
      </c>
      <c r="K23" s="1336" t="s">
        <v>4752</v>
      </c>
      <c r="L23" s="5919" t="s">
        <v>8104</v>
      </c>
      <c r="M23" s="9"/>
      <c r="N23" s="5911">
        <f t="shared" si="4"/>
        <v>16</v>
      </c>
      <c r="O23" s="1332" t="s">
        <v>3511</v>
      </c>
      <c r="P23" s="1242" t="s">
        <v>3514</v>
      </c>
      <c r="Q23" s="5912" t="s">
        <v>3512</v>
      </c>
      <c r="R23" s="5913" t="s">
        <v>3515</v>
      </c>
      <c r="S23" s="2012" t="s">
        <v>3513</v>
      </c>
      <c r="T23" s="5913" t="s">
        <v>3516</v>
      </c>
      <c r="V23" s="1256">
        <v>13</v>
      </c>
      <c r="W23" s="1257" t="s">
        <v>3500</v>
      </c>
      <c r="X23" s="1239" t="s">
        <v>3501</v>
      </c>
      <c r="Y23" s="1239" t="s">
        <v>3502</v>
      </c>
      <c r="AA23" s="1256">
        <v>4</v>
      </c>
      <c r="AB23" s="1266" t="s">
        <v>3503</v>
      </c>
      <c r="AC23" s="1261" t="s">
        <v>3504</v>
      </c>
      <c r="AD23" s="1261" t="s">
        <v>3505</v>
      </c>
      <c r="AF23" s="3">
        <v>1</v>
      </c>
    </row>
    <row r="24" spans="2:32" ht="30" customHeight="1">
      <c r="B24" s="2029">
        <f t="shared" si="5"/>
        <v>9</v>
      </c>
      <c r="C24" s="2027" t="s">
        <v>3536</v>
      </c>
      <c r="D24" s="1262" t="s">
        <v>3538</v>
      </c>
      <c r="E24" s="5924" t="s">
        <v>3537</v>
      </c>
      <c r="F24" s="1262" t="s">
        <v>3539</v>
      </c>
      <c r="G24" s="5925" t="s">
        <v>8739</v>
      </c>
      <c r="H24" s="2020" t="s">
        <v>3540</v>
      </c>
      <c r="I24" s="9"/>
      <c r="J24" s="5918"/>
      <c r="K24" s="1336" t="s">
        <v>4778</v>
      </c>
      <c r="L24" s="5919" t="s">
        <v>114</v>
      </c>
      <c r="M24" s="9"/>
      <c r="N24" s="5911">
        <f t="shared" si="4"/>
        <v>17</v>
      </c>
      <c r="O24" s="1332" t="s">
        <v>3541</v>
      </c>
      <c r="P24" s="1242" t="s">
        <v>3544</v>
      </c>
      <c r="Q24" s="5912" t="s">
        <v>3542</v>
      </c>
      <c r="R24" s="5913" t="s">
        <v>3545</v>
      </c>
      <c r="S24" s="2012" t="s">
        <v>3543</v>
      </c>
      <c r="T24" s="5913" t="s">
        <v>3546</v>
      </c>
      <c r="V24" s="1256">
        <v>14</v>
      </c>
      <c r="W24" s="1257" t="s">
        <v>3530</v>
      </c>
      <c r="X24" s="1239" t="s">
        <v>3531</v>
      </c>
      <c r="Y24" s="1239" t="s">
        <v>3532</v>
      </c>
      <c r="AA24" s="1256">
        <v>5</v>
      </c>
      <c r="AB24" s="1266" t="s">
        <v>3533</v>
      </c>
      <c r="AC24" s="1261" t="s">
        <v>3534</v>
      </c>
      <c r="AD24" s="1261" t="s">
        <v>3535</v>
      </c>
      <c r="AF24" s="3">
        <v>1</v>
      </c>
    </row>
    <row r="25" spans="2:32" ht="30" customHeight="1">
      <c r="B25" s="2029">
        <f t="shared" si="5"/>
        <v>10</v>
      </c>
      <c r="C25" s="2027" t="s">
        <v>3566</v>
      </c>
      <c r="D25" s="1262" t="s">
        <v>3569</v>
      </c>
      <c r="E25" s="5924" t="s">
        <v>3567</v>
      </c>
      <c r="F25" s="1262" t="s">
        <v>3570</v>
      </c>
      <c r="G25" s="5925" t="s">
        <v>3568</v>
      </c>
      <c r="H25" s="2020" t="s">
        <v>3571</v>
      </c>
      <c r="I25" s="9"/>
      <c r="J25" s="5918"/>
      <c r="K25" s="1336" t="s">
        <v>4801</v>
      </c>
      <c r="L25" s="5919" t="s">
        <v>114</v>
      </c>
      <c r="M25" s="9"/>
      <c r="N25" s="5911">
        <f t="shared" si="4"/>
        <v>18</v>
      </c>
      <c r="O25" s="1332" t="s">
        <v>3572</v>
      </c>
      <c r="P25" s="1242" t="s">
        <v>3575</v>
      </c>
      <c r="Q25" s="5912" t="s">
        <v>3573</v>
      </c>
      <c r="R25" s="5913" t="s">
        <v>3576</v>
      </c>
      <c r="S25" s="2012" t="s">
        <v>3574</v>
      </c>
      <c r="T25" s="5913" t="s">
        <v>3577</v>
      </c>
      <c r="V25" s="1256">
        <v>15</v>
      </c>
      <c r="W25" s="1257" t="s">
        <v>3560</v>
      </c>
      <c r="X25" s="1239" t="s">
        <v>3561</v>
      </c>
      <c r="Y25" s="1239" t="s">
        <v>3562</v>
      </c>
      <c r="AA25" s="1256">
        <v>6</v>
      </c>
      <c r="AB25" s="1266" t="s">
        <v>3563</v>
      </c>
      <c r="AC25" s="1261" t="s">
        <v>3564</v>
      </c>
      <c r="AD25" s="1261" t="s">
        <v>3565</v>
      </c>
      <c r="AF25" s="3">
        <v>1</v>
      </c>
    </row>
    <row r="26" spans="2:32" ht="30" customHeight="1">
      <c r="B26" s="2029"/>
      <c r="C26" s="2017" t="s">
        <v>1486</v>
      </c>
      <c r="D26" s="9"/>
      <c r="E26" s="5914"/>
      <c r="F26" s="9"/>
      <c r="G26" s="5914"/>
      <c r="H26" s="5915"/>
      <c r="I26" s="9"/>
      <c r="J26" s="5918"/>
      <c r="K26" s="1336" t="s">
        <v>4823</v>
      </c>
      <c r="L26" s="5919" t="s">
        <v>114</v>
      </c>
      <c r="M26" s="9"/>
      <c r="N26" s="5911">
        <f t="shared" si="4"/>
        <v>19</v>
      </c>
      <c r="O26" s="1332" t="s">
        <v>3594</v>
      </c>
      <c r="P26" s="1242" t="s">
        <v>3597</v>
      </c>
      <c r="Q26" s="5912" t="s">
        <v>3595</v>
      </c>
      <c r="R26" s="5913" t="s">
        <v>3598</v>
      </c>
      <c r="S26" s="2012" t="s">
        <v>3596</v>
      </c>
      <c r="T26" s="5913" t="s">
        <v>3599</v>
      </c>
      <c r="V26" s="1256"/>
      <c r="W26" s="1343" t="str">
        <f>IF(ISNUMBER(IFERROR(VALUE("0,5"),"")),"On this computer, type a COMMA as the decimal separator",IF(ISNUMBER(IFERROR(VALUE("0.5"),"")),"On this computer, type a POINT as the decimal separator","Unable to determine the decimal separator"))</f>
        <v>On this computer, type a POINT as the decimal separator</v>
      </c>
      <c r="X26" s="1341"/>
      <c r="Y26" s="1341"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A26" s="1256">
        <v>7</v>
      </c>
      <c r="AB26" s="1266" t="s">
        <v>3591</v>
      </c>
      <c r="AC26" s="1261" t="s">
        <v>3592</v>
      </c>
      <c r="AD26" s="1261" t="s">
        <v>3593</v>
      </c>
      <c r="AF26" s="3">
        <v>1</v>
      </c>
    </row>
    <row r="27" spans="2:32" ht="30" customHeight="1">
      <c r="B27" s="2029">
        <v>1</v>
      </c>
      <c r="C27" s="2027" t="s">
        <v>3615</v>
      </c>
      <c r="D27" s="1262" t="s">
        <v>3617</v>
      </c>
      <c r="E27" s="5924" t="s">
        <v>3616</v>
      </c>
      <c r="F27" s="1262" t="s">
        <v>3618</v>
      </c>
      <c r="G27" s="5925" t="s">
        <v>8740</v>
      </c>
      <c r="H27" s="2020" t="s">
        <v>3619</v>
      </c>
      <c r="I27" s="9"/>
      <c r="J27" s="5918"/>
      <c r="K27" s="1336" t="s">
        <v>4721</v>
      </c>
      <c r="L27" s="5919" t="s">
        <v>114</v>
      </c>
      <c r="M27" s="9"/>
      <c r="N27" s="5911">
        <f t="shared" si="4"/>
        <v>20</v>
      </c>
      <c r="O27" s="1332" t="s">
        <v>3620</v>
      </c>
      <c r="P27" s="1242" t="s">
        <v>3623</v>
      </c>
      <c r="Q27" s="5912" t="s">
        <v>3621</v>
      </c>
      <c r="R27" s="5913" t="s">
        <v>3624</v>
      </c>
      <c r="S27" s="2012" t="s">
        <v>3622</v>
      </c>
      <c r="T27" s="5913" t="s">
        <v>3625</v>
      </c>
      <c r="V27" s="1342"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W27" s="1257"/>
      <c r="X27" s="1267"/>
      <c r="Y27" s="1267"/>
      <c r="AA27" s="1256">
        <v>8</v>
      </c>
      <c r="AB27" s="1266" t="s">
        <v>3612</v>
      </c>
      <c r="AC27" s="1261" t="s">
        <v>3613</v>
      </c>
      <c r="AD27" s="1261" t="s">
        <v>3614</v>
      </c>
      <c r="AF27" s="3">
        <v>1</v>
      </c>
    </row>
    <row r="28" spans="2:32" ht="30" customHeight="1">
      <c r="B28" s="2029"/>
      <c r="C28" s="2017" t="s">
        <v>3639</v>
      </c>
      <c r="D28" s="9"/>
      <c r="E28" s="5914"/>
      <c r="F28" s="9"/>
      <c r="G28" s="5914"/>
      <c r="H28" s="5915"/>
      <c r="I28" s="9"/>
      <c r="J28" s="5918"/>
      <c r="K28" s="1336" t="s">
        <v>579</v>
      </c>
      <c r="L28" s="5919" t="s">
        <v>5289</v>
      </c>
      <c r="M28" s="9"/>
      <c r="N28" s="5911">
        <f t="shared" si="4"/>
        <v>21</v>
      </c>
      <c r="O28" s="1332" t="s">
        <v>3640</v>
      </c>
      <c r="P28" s="1242" t="s">
        <v>3643</v>
      </c>
      <c r="Q28" s="5912" t="s">
        <v>3641</v>
      </c>
      <c r="R28" s="5913" t="s">
        <v>3644</v>
      </c>
      <c r="S28" s="2012" t="s">
        <v>3642</v>
      </c>
      <c r="T28" s="5913" t="s">
        <v>3645</v>
      </c>
      <c r="V28" s="1256"/>
      <c r="W28" s="1268"/>
      <c r="X28" s="2026" t="s">
        <v>3638</v>
      </c>
      <c r="Y28" s="1269"/>
      <c r="AA28" s="1264"/>
      <c r="AB28" s="696"/>
      <c r="AC28" s="1265"/>
      <c r="AD28" s="1265"/>
      <c r="AF28" s="3">
        <v>1</v>
      </c>
    </row>
    <row r="29" spans="2:32" ht="30" customHeight="1">
      <c r="B29" s="2029">
        <v>1</v>
      </c>
      <c r="C29" s="2027" t="s">
        <v>3662</v>
      </c>
      <c r="D29" s="1262" t="s">
        <v>3664</v>
      </c>
      <c r="E29" s="5924" t="s">
        <v>3663</v>
      </c>
      <c r="F29" s="1262" t="s">
        <v>3665</v>
      </c>
      <c r="G29" s="5925" t="s">
        <v>8741</v>
      </c>
      <c r="H29" s="2020" t="s">
        <v>3666</v>
      </c>
      <c r="I29" s="9"/>
      <c r="J29" s="5918"/>
      <c r="K29" s="1336" t="s">
        <v>5324</v>
      </c>
      <c r="L29" s="5919" t="s">
        <v>114</v>
      </c>
      <c r="M29" s="9"/>
      <c r="N29" s="5911">
        <f t="shared" si="4"/>
        <v>22</v>
      </c>
      <c r="O29" s="1332" t="s">
        <v>3667</v>
      </c>
      <c r="P29" s="1242" t="s">
        <v>3670</v>
      </c>
      <c r="Q29" s="5912" t="s">
        <v>3668</v>
      </c>
      <c r="R29" s="5913" t="s">
        <v>3671</v>
      </c>
      <c r="S29" s="2012" t="s">
        <v>3669</v>
      </c>
      <c r="T29" s="5913" t="s">
        <v>3672</v>
      </c>
      <c r="V29" s="1256"/>
      <c r="W29" s="1268"/>
      <c r="X29" s="2026" t="s">
        <v>3658</v>
      </c>
      <c r="Y29" s="1269"/>
      <c r="AA29" s="1251" t="s">
        <v>2630</v>
      </c>
      <c r="AB29" s="1250" t="s">
        <v>3659</v>
      </c>
      <c r="AC29" s="1250" t="s">
        <v>3660</v>
      </c>
      <c r="AD29" s="1250" t="s">
        <v>3661</v>
      </c>
      <c r="AF29" s="3">
        <v>1</v>
      </c>
    </row>
    <row r="30" spans="2:32" ht="30" customHeight="1">
      <c r="B30" s="2029">
        <f>B29+1</f>
        <v>2</v>
      </c>
      <c r="C30" s="2027" t="s">
        <v>3689</v>
      </c>
      <c r="D30" s="1262" t="s">
        <v>3692</v>
      </c>
      <c r="E30" s="5924" t="s">
        <v>3690</v>
      </c>
      <c r="F30" s="1262" t="s">
        <v>3693</v>
      </c>
      <c r="G30" s="5925" t="s">
        <v>3691</v>
      </c>
      <c r="H30" s="2020" t="s">
        <v>3694</v>
      </c>
      <c r="I30" s="9"/>
      <c r="J30" s="5918"/>
      <c r="K30" s="1336" t="s">
        <v>8105</v>
      </c>
      <c r="L30" s="5919" t="s">
        <v>4696</v>
      </c>
      <c r="M30" s="9"/>
      <c r="N30" s="5911">
        <f t="shared" si="4"/>
        <v>23</v>
      </c>
      <c r="O30" s="1332" t="s">
        <v>3695</v>
      </c>
      <c r="P30" s="1242" t="s">
        <v>3698</v>
      </c>
      <c r="Q30" s="5912" t="s">
        <v>3696</v>
      </c>
      <c r="R30" s="5913" t="s">
        <v>3699</v>
      </c>
      <c r="S30" s="2012" t="s">
        <v>3697</v>
      </c>
      <c r="T30" s="5913" t="s">
        <v>3700</v>
      </c>
      <c r="V30" s="1256"/>
      <c r="Y30" s="1271"/>
      <c r="AA30" s="1256">
        <v>1</v>
      </c>
      <c r="AB30" s="1266" t="s">
        <v>3686</v>
      </c>
      <c r="AC30" s="1261" t="s">
        <v>3687</v>
      </c>
      <c r="AD30" s="1261" t="s">
        <v>3688</v>
      </c>
      <c r="AF30" s="3">
        <v>1</v>
      </c>
    </row>
    <row r="31" spans="2:32" ht="30" customHeight="1">
      <c r="B31" s="2029">
        <f>B30+1</f>
        <v>3</v>
      </c>
      <c r="C31" s="2027" t="s">
        <v>3717</v>
      </c>
      <c r="D31" s="1262" t="s">
        <v>3719</v>
      </c>
      <c r="E31" s="5924" t="s">
        <v>3718</v>
      </c>
      <c r="F31" s="1262" t="s">
        <v>3720</v>
      </c>
      <c r="G31" s="5925" t="s">
        <v>8742</v>
      </c>
      <c r="H31" s="2020" t="s">
        <v>3721</v>
      </c>
      <c r="I31" s="9"/>
      <c r="J31" s="5918"/>
      <c r="K31" s="1336" t="s">
        <v>4671</v>
      </c>
      <c r="L31" s="5919" t="s">
        <v>114</v>
      </c>
      <c r="M31" s="9"/>
      <c r="N31" s="5911">
        <f t="shared" si="4"/>
        <v>24</v>
      </c>
      <c r="O31" s="1332" t="s">
        <v>3722</v>
      </c>
      <c r="P31" s="1242" t="s">
        <v>3725</v>
      </c>
      <c r="Q31" s="5912" t="s">
        <v>3723</v>
      </c>
      <c r="R31" s="5913" t="s">
        <v>3726</v>
      </c>
      <c r="S31" s="2012" t="s">
        <v>3724</v>
      </c>
      <c r="T31" s="5913" t="s">
        <v>3727</v>
      </c>
      <c r="V31" s="1256"/>
      <c r="W31" s="1250"/>
      <c r="X31" s="1271"/>
      <c r="Y31" s="1271"/>
      <c r="AA31" s="1256">
        <v>2</v>
      </c>
      <c r="AB31" s="1266" t="s">
        <v>3714</v>
      </c>
      <c r="AC31" s="1261" t="s">
        <v>3715</v>
      </c>
      <c r="AD31" s="1261" t="s">
        <v>3716</v>
      </c>
      <c r="AF31" s="3">
        <v>1</v>
      </c>
    </row>
    <row r="32" spans="2:32" ht="30" customHeight="1">
      <c r="B32" s="2029">
        <f>B31+1</f>
        <v>4</v>
      </c>
      <c r="C32" s="2027" t="s">
        <v>3744</v>
      </c>
      <c r="D32" s="1262" t="s">
        <v>3747</v>
      </c>
      <c r="E32" s="5924" t="s">
        <v>3745</v>
      </c>
      <c r="F32" s="1262" t="s">
        <v>3748</v>
      </c>
      <c r="G32" s="5925" t="s">
        <v>3746</v>
      </c>
      <c r="H32" s="2020" t="s">
        <v>3749</v>
      </c>
      <c r="I32" s="9"/>
      <c r="J32" s="5918"/>
      <c r="K32" s="1336" t="s">
        <v>8106</v>
      </c>
      <c r="L32" s="5919"/>
      <c r="M32" s="9"/>
      <c r="N32" s="5911">
        <f t="shared" si="4"/>
        <v>25</v>
      </c>
      <c r="O32" s="1332" t="s">
        <v>3750</v>
      </c>
      <c r="P32" s="1242" t="s">
        <v>3753</v>
      </c>
      <c r="Q32" s="5912" t="s">
        <v>3751</v>
      </c>
      <c r="R32" s="5913" t="s">
        <v>3754</v>
      </c>
      <c r="S32" s="2012" t="s">
        <v>3752</v>
      </c>
      <c r="T32" s="5913" t="s">
        <v>3755</v>
      </c>
      <c r="V32" s="1257"/>
      <c r="W32" s="1272" t="s">
        <v>3738</v>
      </c>
      <c r="X32" s="1273" t="s">
        <v>3739</v>
      </c>
      <c r="Y32" s="1273" t="s">
        <v>3740</v>
      </c>
      <c r="AA32" s="1274"/>
      <c r="AB32" s="7027" t="s">
        <v>3741</v>
      </c>
      <c r="AC32" s="7027" t="s">
        <v>3742</v>
      </c>
      <c r="AD32" s="7027" t="s">
        <v>3743</v>
      </c>
      <c r="AF32" s="3">
        <v>1</v>
      </c>
    </row>
    <row r="33" spans="2:32" ht="30" customHeight="1">
      <c r="B33" s="2029">
        <f>B32+1</f>
        <v>5</v>
      </c>
      <c r="C33" s="2027" t="s">
        <v>3772</v>
      </c>
      <c r="D33" s="1262" t="s">
        <v>3774</v>
      </c>
      <c r="E33" s="5924" t="s">
        <v>3773</v>
      </c>
      <c r="F33" s="1262" t="s">
        <v>3775</v>
      </c>
      <c r="G33" s="5925" t="s">
        <v>8743</v>
      </c>
      <c r="H33" s="2020" t="s">
        <v>3776</v>
      </c>
      <c r="I33" s="9"/>
      <c r="J33" s="5926"/>
      <c r="K33" s="7019"/>
      <c r="L33" s="7020"/>
      <c r="M33" s="9"/>
      <c r="N33" s="5911">
        <f t="shared" si="4"/>
        <v>26</v>
      </c>
      <c r="O33" s="1332" t="s">
        <v>3777</v>
      </c>
      <c r="P33" s="1242" t="s">
        <v>3780</v>
      </c>
      <c r="Q33" s="5912" t="s">
        <v>3778</v>
      </c>
      <c r="R33" s="5913" t="s">
        <v>3781</v>
      </c>
      <c r="S33" s="2012" t="s">
        <v>3779</v>
      </c>
      <c r="T33" s="5913" t="s">
        <v>3782</v>
      </c>
      <c r="V33" s="1275"/>
      <c r="W33" s="1250" t="s">
        <v>3769</v>
      </c>
      <c r="X33" s="1250" t="s">
        <v>3770</v>
      </c>
      <c r="Y33" s="1250" t="s">
        <v>3771</v>
      </c>
      <c r="AA33" s="1274"/>
      <c r="AB33" s="7027"/>
      <c r="AC33" s="7027"/>
      <c r="AD33" s="7027"/>
      <c r="AF33" s="3">
        <v>1</v>
      </c>
    </row>
    <row r="34" spans="2:32" ht="30" customHeight="1">
      <c r="B34" s="2029">
        <f t="shared" ref="B34" si="6">B33+1</f>
        <v>6</v>
      </c>
      <c r="C34" s="2027" t="s">
        <v>3802</v>
      </c>
      <c r="D34" s="1262" t="s">
        <v>3805</v>
      </c>
      <c r="E34" s="5924" t="s">
        <v>3803</v>
      </c>
      <c r="F34" s="1262" t="s">
        <v>3806</v>
      </c>
      <c r="G34" s="5925" t="s">
        <v>3804</v>
      </c>
      <c r="H34" s="2020" t="s">
        <v>3807</v>
      </c>
      <c r="I34" s="9"/>
      <c r="J34" s="5910" t="s">
        <v>1486</v>
      </c>
      <c r="K34" s="1336" t="s">
        <v>8107</v>
      </c>
      <c r="L34" s="5919" t="s">
        <v>8108</v>
      </c>
      <c r="M34" s="9"/>
      <c r="N34" s="5911">
        <f t="shared" si="4"/>
        <v>27</v>
      </c>
      <c r="O34" s="1332" t="s">
        <v>3808</v>
      </c>
      <c r="P34" s="1242" t="s">
        <v>3811</v>
      </c>
      <c r="Q34" s="5912" t="s">
        <v>3809</v>
      </c>
      <c r="R34" s="5913" t="s">
        <v>3812</v>
      </c>
      <c r="S34" s="2012" t="s">
        <v>3810</v>
      </c>
      <c r="T34" s="5913" t="s">
        <v>3813</v>
      </c>
      <c r="V34" s="1256">
        <v>1</v>
      </c>
      <c r="W34" s="1257" t="s">
        <v>3796</v>
      </c>
      <c r="X34" s="1239" t="s">
        <v>3797</v>
      </c>
      <c r="Y34" s="1239" t="s">
        <v>3798</v>
      </c>
      <c r="AA34" s="1251" t="s">
        <v>2631</v>
      </c>
      <c r="AB34" s="1250" t="s">
        <v>3799</v>
      </c>
      <c r="AC34" s="1250" t="s">
        <v>3800</v>
      </c>
      <c r="AD34" s="1250" t="s">
        <v>3801</v>
      </c>
      <c r="AF34" s="3">
        <v>1</v>
      </c>
    </row>
    <row r="35" spans="2:32" ht="30" customHeight="1">
      <c r="B35" s="2029"/>
      <c r="C35" s="2017" t="s">
        <v>3083</v>
      </c>
      <c r="D35" s="229"/>
      <c r="E35" s="5927"/>
      <c r="F35" s="229"/>
      <c r="G35" s="5927"/>
      <c r="H35" s="5915"/>
      <c r="I35" s="9"/>
      <c r="J35" s="5918"/>
      <c r="K35" s="1336" t="s">
        <v>8109</v>
      </c>
      <c r="L35" s="5919" t="s">
        <v>5445</v>
      </c>
      <c r="M35" s="9"/>
      <c r="N35" s="5911">
        <f t="shared" si="4"/>
        <v>28</v>
      </c>
      <c r="O35" s="1332" t="s">
        <v>3833</v>
      </c>
      <c r="P35" s="1242" t="s">
        <v>3836</v>
      </c>
      <c r="Q35" s="5912" t="s">
        <v>3834</v>
      </c>
      <c r="R35" s="5913" t="s">
        <v>3837</v>
      </c>
      <c r="S35" s="2012" t="s">
        <v>3835</v>
      </c>
      <c r="T35" s="5913" t="s">
        <v>3838</v>
      </c>
      <c r="V35" s="1256">
        <v>2</v>
      </c>
      <c r="W35" s="1257" t="s">
        <v>3827</v>
      </c>
      <c r="X35" s="1239" t="s">
        <v>3828</v>
      </c>
      <c r="Y35" s="1239" t="s">
        <v>3829</v>
      </c>
      <c r="AA35" s="1256">
        <v>1</v>
      </c>
      <c r="AB35" s="1257" t="s">
        <v>3830</v>
      </c>
      <c r="AC35" s="1261" t="s">
        <v>3831</v>
      </c>
      <c r="AD35" s="1261" t="s">
        <v>3832</v>
      </c>
      <c r="AF35" s="3">
        <v>1</v>
      </c>
    </row>
    <row r="36" spans="2:32" ht="30" customHeight="1">
      <c r="B36" s="2029">
        <v>1</v>
      </c>
      <c r="C36" s="2027" t="s">
        <v>3858</v>
      </c>
      <c r="D36" s="1262" t="s">
        <v>3860</v>
      </c>
      <c r="E36" s="5924" t="s">
        <v>3859</v>
      </c>
      <c r="F36" s="1262" t="s">
        <v>3861</v>
      </c>
      <c r="G36" s="5925" t="s">
        <v>8744</v>
      </c>
      <c r="H36" s="2020" t="s">
        <v>3862</v>
      </c>
      <c r="I36" s="9"/>
      <c r="J36" s="5918"/>
      <c r="K36" s="1336" t="s">
        <v>5470</v>
      </c>
      <c r="L36" s="5919" t="s">
        <v>5485</v>
      </c>
      <c r="M36" s="9"/>
      <c r="N36" s="5911">
        <f t="shared" si="4"/>
        <v>29</v>
      </c>
      <c r="O36" s="1332" t="s">
        <v>3863</v>
      </c>
      <c r="P36" s="1242" t="s">
        <v>3866</v>
      </c>
      <c r="Q36" s="5912" t="s">
        <v>3864</v>
      </c>
      <c r="R36" s="5913" t="s">
        <v>3867</v>
      </c>
      <c r="S36" s="2012" t="s">
        <v>3865</v>
      </c>
      <c r="T36" s="5913" t="s">
        <v>3868</v>
      </c>
      <c r="V36" s="1256">
        <v>3</v>
      </c>
      <c r="W36" s="1257" t="s">
        <v>3852</v>
      </c>
      <c r="X36" s="1239" t="s">
        <v>3853</v>
      </c>
      <c r="Y36" s="1239" t="s">
        <v>3854</v>
      </c>
      <c r="AA36" s="1256">
        <v>2</v>
      </c>
      <c r="AB36" s="1257" t="s">
        <v>3855</v>
      </c>
      <c r="AC36" s="1261" t="s">
        <v>3856</v>
      </c>
      <c r="AD36" s="1261" t="s">
        <v>3857</v>
      </c>
      <c r="AF36" s="3">
        <v>1</v>
      </c>
    </row>
    <row r="37" spans="2:32" ht="30" customHeight="1">
      <c r="B37" s="2029">
        <f>B36+1</f>
        <v>2</v>
      </c>
      <c r="C37" s="2027" t="s">
        <v>3888</v>
      </c>
      <c r="D37" s="1262" t="s">
        <v>3890</v>
      </c>
      <c r="E37" s="5924" t="s">
        <v>3889</v>
      </c>
      <c r="F37" s="1262" t="s">
        <v>3891</v>
      </c>
      <c r="G37" s="5925" t="s">
        <v>8745</v>
      </c>
      <c r="H37" s="2020" t="s">
        <v>3892</v>
      </c>
      <c r="I37" s="9"/>
      <c r="J37" s="5918"/>
      <c r="K37" s="1336" t="s">
        <v>8110</v>
      </c>
      <c r="L37" s="5919" t="s">
        <v>5545</v>
      </c>
      <c r="M37" s="9"/>
      <c r="N37" s="5911">
        <f t="shared" si="4"/>
        <v>30</v>
      </c>
      <c r="O37" s="1332" t="s">
        <v>3893</v>
      </c>
      <c r="P37" s="1242" t="s">
        <v>3896</v>
      </c>
      <c r="Q37" s="5912" t="s">
        <v>3894</v>
      </c>
      <c r="R37" s="5913" t="s">
        <v>3897</v>
      </c>
      <c r="S37" s="2012" t="s">
        <v>3895</v>
      </c>
      <c r="T37" s="5913" t="s">
        <v>3898</v>
      </c>
      <c r="V37" s="1256">
        <v>4</v>
      </c>
      <c r="W37" s="1257" t="s">
        <v>3882</v>
      </c>
      <c r="X37" s="1239" t="s">
        <v>3883</v>
      </c>
      <c r="Y37" s="1239" t="s">
        <v>3884</v>
      </c>
      <c r="AA37" s="1276"/>
      <c r="AB37" s="7023" t="s">
        <v>3885</v>
      </c>
      <c r="AC37" s="7024" t="s">
        <v>3886</v>
      </c>
      <c r="AD37" s="7024" t="s">
        <v>3887</v>
      </c>
      <c r="AF37" s="3">
        <v>1</v>
      </c>
    </row>
    <row r="38" spans="2:32" ht="30" customHeight="1">
      <c r="B38" s="2029">
        <f t="shared" ref="B38" si="7">B37+1</f>
        <v>3</v>
      </c>
      <c r="C38" s="2027" t="s">
        <v>3914</v>
      </c>
      <c r="D38" s="1262" t="s">
        <v>3916</v>
      </c>
      <c r="E38" s="5924" t="s">
        <v>3915</v>
      </c>
      <c r="F38" s="1262" t="s">
        <v>3917</v>
      </c>
      <c r="G38" s="5925" t="s">
        <v>8746</v>
      </c>
      <c r="H38" s="2020" t="s">
        <v>3918</v>
      </c>
      <c r="I38" s="9"/>
      <c r="J38" s="5918"/>
      <c r="K38" s="1336" t="s">
        <v>5768</v>
      </c>
      <c r="L38" s="5919" t="s">
        <v>5780</v>
      </c>
      <c r="M38" s="9"/>
      <c r="N38" s="5911">
        <f t="shared" si="4"/>
        <v>31</v>
      </c>
      <c r="O38" s="1332" t="s">
        <v>3919</v>
      </c>
      <c r="P38" s="1242" t="s">
        <v>3922</v>
      </c>
      <c r="Q38" s="5912" t="s">
        <v>3920</v>
      </c>
      <c r="R38" s="5913" t="s">
        <v>3923</v>
      </c>
      <c r="S38" s="2012" t="s">
        <v>3921</v>
      </c>
      <c r="T38" s="5913" t="s">
        <v>3924</v>
      </c>
      <c r="V38" s="1256">
        <v>5</v>
      </c>
      <c r="W38" s="1257" t="s">
        <v>3911</v>
      </c>
      <c r="X38" s="1239" t="s">
        <v>3912</v>
      </c>
      <c r="Y38" s="1239" t="s">
        <v>3913</v>
      </c>
      <c r="AA38" s="1276"/>
      <c r="AB38" s="7023"/>
      <c r="AC38" s="7024"/>
      <c r="AD38" s="7024"/>
      <c r="AF38" s="3">
        <v>1</v>
      </c>
    </row>
    <row r="39" spans="2:32" ht="30" customHeight="1">
      <c r="B39" s="2029"/>
      <c r="C39" s="2017" t="s">
        <v>3943</v>
      </c>
      <c r="D39" s="627"/>
      <c r="E39" s="5927"/>
      <c r="F39" s="627"/>
      <c r="G39" s="5927"/>
      <c r="H39" s="5915"/>
      <c r="I39" s="9"/>
      <c r="J39" s="5918"/>
      <c r="K39" s="1336" t="s">
        <v>8111</v>
      </c>
      <c r="L39" s="5919" t="s">
        <v>5494</v>
      </c>
      <c r="M39" s="9"/>
      <c r="N39" s="5911">
        <f t="shared" si="4"/>
        <v>32</v>
      </c>
      <c r="O39" s="1332" t="s">
        <v>3944</v>
      </c>
      <c r="P39" s="1242" t="s">
        <v>3947</v>
      </c>
      <c r="Q39" s="5912" t="s">
        <v>3945</v>
      </c>
      <c r="R39" s="5913" t="s">
        <v>3948</v>
      </c>
      <c r="S39" s="2012" t="s">
        <v>3946</v>
      </c>
      <c r="T39" s="5913" t="s">
        <v>3949</v>
      </c>
      <c r="V39" s="1256">
        <v>6</v>
      </c>
      <c r="W39" s="1257" t="s">
        <v>3937</v>
      </c>
      <c r="X39" s="1239" t="s">
        <v>3938</v>
      </c>
      <c r="Y39" s="1239" t="s">
        <v>3939</v>
      </c>
      <c r="AA39" s="1256">
        <v>3</v>
      </c>
      <c r="AB39" s="1257" t="s">
        <v>3940</v>
      </c>
      <c r="AC39" s="1261" t="s">
        <v>3941</v>
      </c>
      <c r="AD39" s="1261" t="s">
        <v>3942</v>
      </c>
      <c r="AF39" s="3">
        <v>1</v>
      </c>
    </row>
    <row r="40" spans="2:32" ht="30" customHeight="1">
      <c r="B40" s="2029">
        <v>1</v>
      </c>
      <c r="C40" s="2027" t="s">
        <v>3964</v>
      </c>
      <c r="D40" s="1262" t="s">
        <v>3966</v>
      </c>
      <c r="E40" s="5924" t="s">
        <v>3965</v>
      </c>
      <c r="F40" s="1262" t="s">
        <v>3967</v>
      </c>
      <c r="G40" s="5925" t="s">
        <v>8747</v>
      </c>
      <c r="H40" s="2020" t="s">
        <v>3968</v>
      </c>
      <c r="I40" s="9"/>
      <c r="J40" s="5918"/>
      <c r="K40" s="1336" t="s">
        <v>5800</v>
      </c>
      <c r="L40" s="5919" t="s">
        <v>5789</v>
      </c>
      <c r="M40" s="9"/>
      <c r="N40" s="5911">
        <f t="shared" si="4"/>
        <v>33</v>
      </c>
      <c r="O40" s="1332" t="s">
        <v>3969</v>
      </c>
      <c r="P40" s="1242" t="s">
        <v>3972</v>
      </c>
      <c r="Q40" s="5912" t="s">
        <v>3970</v>
      </c>
      <c r="R40" s="5913" t="s">
        <v>3973</v>
      </c>
      <c r="S40" s="2012" t="s">
        <v>3971</v>
      </c>
      <c r="T40" s="5913" t="s">
        <v>3974</v>
      </c>
      <c r="V40" s="1256">
        <v>7</v>
      </c>
      <c r="W40" s="1257" t="s">
        <v>3301</v>
      </c>
      <c r="X40" s="1239" t="s">
        <v>3959</v>
      </c>
      <c r="Y40" s="1239" t="s">
        <v>3960</v>
      </c>
      <c r="AA40" s="1256">
        <v>4</v>
      </c>
      <c r="AB40" s="1257" t="s">
        <v>3961</v>
      </c>
      <c r="AC40" s="1261" t="s">
        <v>3962</v>
      </c>
      <c r="AD40" s="1261" t="s">
        <v>3963</v>
      </c>
      <c r="AF40" s="3">
        <v>1</v>
      </c>
    </row>
    <row r="41" spans="2:32" ht="30" customHeight="1">
      <c r="B41" s="2029">
        <f>B40+1</f>
        <v>2</v>
      </c>
      <c r="C41" s="2027" t="s">
        <v>3993</v>
      </c>
      <c r="D41" s="1262" t="s">
        <v>3995</v>
      </c>
      <c r="E41" s="5924" t="s">
        <v>3994</v>
      </c>
      <c r="F41" s="1262" t="s">
        <v>3996</v>
      </c>
      <c r="G41" s="5925" t="s">
        <v>8748</v>
      </c>
      <c r="H41" s="2020" t="s">
        <v>3997</v>
      </c>
      <c r="I41" s="9"/>
      <c r="J41" s="5918"/>
      <c r="K41" s="1336" t="s">
        <v>5853</v>
      </c>
      <c r="L41" s="5919" t="s">
        <v>5866</v>
      </c>
      <c r="M41" s="9"/>
      <c r="N41" s="5911">
        <f t="shared" si="4"/>
        <v>34</v>
      </c>
      <c r="O41" s="1332" t="s">
        <v>3998</v>
      </c>
      <c r="P41" s="1242" t="s">
        <v>4001</v>
      </c>
      <c r="Q41" s="5912" t="s">
        <v>3999</v>
      </c>
      <c r="R41" s="5913" t="s">
        <v>4002</v>
      </c>
      <c r="S41" s="2012" t="s">
        <v>4000</v>
      </c>
      <c r="T41" s="5913" t="s">
        <v>4003</v>
      </c>
      <c r="V41" s="1256">
        <v>8</v>
      </c>
      <c r="W41" s="1257" t="s">
        <v>3987</v>
      </c>
      <c r="X41" s="1239" t="s">
        <v>3988</v>
      </c>
      <c r="Y41" s="1239" t="s">
        <v>3989</v>
      </c>
      <c r="AA41" s="1256">
        <v>5</v>
      </c>
      <c r="AB41" s="1257" t="s">
        <v>3990</v>
      </c>
      <c r="AC41" s="1261" t="s">
        <v>3991</v>
      </c>
      <c r="AD41" s="1261" t="s">
        <v>3992</v>
      </c>
      <c r="AF41" s="3">
        <v>1</v>
      </c>
    </row>
    <row r="42" spans="2:32" ht="30" customHeight="1">
      <c r="B42" s="2029"/>
      <c r="C42" s="2017" t="s">
        <v>4015</v>
      </c>
      <c r="D42" s="627"/>
      <c r="E42" s="5927"/>
      <c r="F42" s="627"/>
      <c r="G42" s="5927"/>
      <c r="H42" s="5915"/>
      <c r="I42" s="9"/>
      <c r="J42" s="5918"/>
      <c r="K42" s="1336" t="s">
        <v>5879</v>
      </c>
      <c r="L42" s="5919" t="s">
        <v>5886</v>
      </c>
      <c r="M42" s="9"/>
      <c r="N42" s="5911">
        <f t="shared" si="4"/>
        <v>35</v>
      </c>
      <c r="O42" s="1332" t="s">
        <v>4016</v>
      </c>
      <c r="P42" s="1242" t="s">
        <v>4019</v>
      </c>
      <c r="Q42" s="5912" t="s">
        <v>4017</v>
      </c>
      <c r="R42" s="5913" t="s">
        <v>4020</v>
      </c>
      <c r="S42" s="2012" t="s">
        <v>4018</v>
      </c>
      <c r="T42" s="5913" t="s">
        <v>4021</v>
      </c>
      <c r="V42" s="1256">
        <v>9</v>
      </c>
      <c r="W42" s="1257" t="s">
        <v>3248</v>
      </c>
      <c r="X42" s="1239" t="s">
        <v>4010</v>
      </c>
      <c r="Y42" s="1239" t="s">
        <v>4011</v>
      </c>
      <c r="AA42" s="1256">
        <v>6</v>
      </c>
      <c r="AB42" s="1257" t="s">
        <v>4012</v>
      </c>
      <c r="AC42" s="1261" t="s">
        <v>4013</v>
      </c>
      <c r="AD42" s="1261" t="s">
        <v>4014</v>
      </c>
      <c r="AF42" s="3">
        <v>1</v>
      </c>
    </row>
    <row r="43" spans="2:32" ht="30" customHeight="1">
      <c r="B43" s="2029">
        <v>1</v>
      </c>
      <c r="C43" s="2027" t="s">
        <v>4037</v>
      </c>
      <c r="D43" s="1262" t="s">
        <v>4040</v>
      </c>
      <c r="E43" s="5924" t="s">
        <v>4038</v>
      </c>
      <c r="F43" s="1262" t="s">
        <v>4041</v>
      </c>
      <c r="G43" s="5925" t="s">
        <v>4039</v>
      </c>
      <c r="H43" s="2020" t="s">
        <v>4042</v>
      </c>
      <c r="I43" s="9"/>
      <c r="J43" s="5926"/>
      <c r="K43" s="7019"/>
      <c r="L43" s="7020"/>
      <c r="M43" s="9"/>
      <c r="N43" s="5911">
        <f t="shared" si="4"/>
        <v>36</v>
      </c>
      <c r="O43" s="1332" t="s">
        <v>4043</v>
      </c>
      <c r="P43" s="1242" t="s">
        <v>4046</v>
      </c>
      <c r="Q43" s="5912" t="s">
        <v>4044</v>
      </c>
      <c r="R43" s="5913" t="s">
        <v>4047</v>
      </c>
      <c r="S43" s="2012" t="s">
        <v>4045</v>
      </c>
      <c r="T43" s="5913" t="s">
        <v>4048</v>
      </c>
      <c r="V43" s="1256"/>
      <c r="AA43" s="1256"/>
      <c r="AB43" s="1264" t="s">
        <v>4034</v>
      </c>
      <c r="AC43" s="1279" t="s">
        <v>4035</v>
      </c>
      <c r="AD43" s="1279" t="s">
        <v>4036</v>
      </c>
      <c r="AF43" s="3">
        <v>1</v>
      </c>
    </row>
    <row r="44" spans="2:32" ht="30" customHeight="1">
      <c r="B44" s="2029">
        <f>B43+1</f>
        <v>2</v>
      </c>
      <c r="C44" s="2027" t="s">
        <v>4064</v>
      </c>
      <c r="D44" s="1262" t="s">
        <v>4066</v>
      </c>
      <c r="E44" s="5924" t="s">
        <v>4065</v>
      </c>
      <c r="F44" s="1262" t="s">
        <v>4067</v>
      </c>
      <c r="G44" s="5925" t="s">
        <v>8749</v>
      </c>
      <c r="H44" s="2020" t="s">
        <v>4068</v>
      </c>
      <c r="I44" s="9"/>
      <c r="J44" s="5910" t="s">
        <v>3639</v>
      </c>
      <c r="K44" s="1336" t="s">
        <v>8112</v>
      </c>
      <c r="L44" s="5919" t="s">
        <v>8113</v>
      </c>
      <c r="M44" s="9"/>
      <c r="N44" s="5911">
        <f t="shared" si="4"/>
        <v>37</v>
      </c>
      <c r="O44" s="1332" t="s">
        <v>4069</v>
      </c>
      <c r="P44" s="1242" t="s">
        <v>4072</v>
      </c>
      <c r="Q44" s="5912" t="s">
        <v>4070</v>
      </c>
      <c r="R44" s="5913" t="s">
        <v>4073</v>
      </c>
      <c r="S44" s="2012" t="s">
        <v>4071</v>
      </c>
      <c r="T44" s="5913" t="s">
        <v>4074</v>
      </c>
      <c r="V44" s="1256">
        <v>1</v>
      </c>
      <c r="W44" s="1250" t="s">
        <v>3390</v>
      </c>
      <c r="X44" s="1250" t="s">
        <v>3391</v>
      </c>
      <c r="Y44" s="1250" t="s">
        <v>3392</v>
      </c>
      <c r="AA44" s="1256">
        <v>7</v>
      </c>
      <c r="AB44" s="1257" t="s">
        <v>4061</v>
      </c>
      <c r="AC44" s="1261" t="s">
        <v>4062</v>
      </c>
      <c r="AD44" s="1261" t="s">
        <v>4063</v>
      </c>
      <c r="AF44" s="3">
        <v>1</v>
      </c>
    </row>
    <row r="45" spans="2:32" ht="30" customHeight="1">
      <c r="B45" s="2029"/>
      <c r="C45" s="2017" t="s">
        <v>0</v>
      </c>
      <c r="D45" s="627"/>
      <c r="E45" s="5928"/>
      <c r="F45" s="627"/>
      <c r="G45" s="5928"/>
      <c r="H45" s="5915"/>
      <c r="I45" s="9"/>
      <c r="J45" s="5918"/>
      <c r="K45" s="1336" t="s">
        <v>8114</v>
      </c>
      <c r="L45" s="5919" t="s">
        <v>8115</v>
      </c>
      <c r="M45" s="9"/>
      <c r="N45" s="5911">
        <f t="shared" si="4"/>
        <v>38</v>
      </c>
      <c r="O45" s="1332" t="s">
        <v>4093</v>
      </c>
      <c r="P45" s="1242" t="s">
        <v>4096</v>
      </c>
      <c r="Q45" s="5912" t="s">
        <v>4094</v>
      </c>
      <c r="R45" s="5913" t="s">
        <v>4097</v>
      </c>
      <c r="S45" s="2012" t="s">
        <v>4095</v>
      </c>
      <c r="T45" s="5913" t="s">
        <v>4098</v>
      </c>
      <c r="V45" s="1256">
        <v>2</v>
      </c>
      <c r="W45" s="1257" t="s">
        <v>4087</v>
      </c>
      <c r="X45" s="1239" t="s">
        <v>4088</v>
      </c>
      <c r="Y45" s="1239" t="s">
        <v>4089</v>
      </c>
      <c r="AA45" s="1256">
        <v>8</v>
      </c>
      <c r="AB45" s="1257" t="s">
        <v>4090</v>
      </c>
      <c r="AC45" s="1261" t="s">
        <v>4091</v>
      </c>
      <c r="AD45" s="1261" t="s">
        <v>4092</v>
      </c>
      <c r="AF45" s="3">
        <v>1</v>
      </c>
    </row>
    <row r="46" spans="2:32" ht="30" customHeight="1">
      <c r="B46" s="2029">
        <v>1</v>
      </c>
      <c r="C46" s="2028" t="s">
        <v>4117</v>
      </c>
      <c r="D46" s="1260" t="s">
        <v>4119</v>
      </c>
      <c r="E46" s="5929" t="s">
        <v>4118</v>
      </c>
      <c r="F46" s="1260" t="s">
        <v>4120</v>
      </c>
      <c r="G46" s="5930" t="s">
        <v>8750</v>
      </c>
      <c r="H46" s="5931" t="s">
        <v>4121</v>
      </c>
      <c r="I46" s="9"/>
      <c r="J46" s="5918"/>
      <c r="K46" s="1336" t="s">
        <v>8116</v>
      </c>
      <c r="L46" s="5919" t="s">
        <v>8117</v>
      </c>
      <c r="M46" s="9"/>
      <c r="N46" s="5911">
        <f t="shared" si="4"/>
        <v>39</v>
      </c>
      <c r="O46" s="1332" t="s">
        <v>4122</v>
      </c>
      <c r="P46" s="1242" t="s">
        <v>4125</v>
      </c>
      <c r="Q46" s="5912" t="s">
        <v>4123</v>
      </c>
      <c r="R46" s="5913" t="s">
        <v>4126</v>
      </c>
      <c r="S46" s="2012" t="s">
        <v>4124</v>
      </c>
      <c r="T46" s="5913" t="s">
        <v>4127</v>
      </c>
      <c r="V46" s="1256">
        <v>3</v>
      </c>
      <c r="W46" s="1257" t="s">
        <v>4111</v>
      </c>
      <c r="X46" s="1239" t="s">
        <v>4112</v>
      </c>
      <c r="Y46" s="1239" t="s">
        <v>4113</v>
      </c>
      <c r="AA46" s="1276"/>
      <c r="AB46" s="7025" t="s">
        <v>4114</v>
      </c>
      <c r="AC46" s="7025" t="s">
        <v>4115</v>
      </c>
      <c r="AD46" s="7025" t="s">
        <v>4116</v>
      </c>
      <c r="AF46" s="3">
        <v>1</v>
      </c>
    </row>
    <row r="47" spans="2:32" ht="30" customHeight="1">
      <c r="B47" s="2029"/>
      <c r="C47" s="2017" t="s">
        <v>1</v>
      </c>
      <c r="D47" s="627"/>
      <c r="E47" s="5928"/>
      <c r="F47" s="627"/>
      <c r="G47" s="5928"/>
      <c r="H47" s="5915"/>
      <c r="I47" s="9"/>
      <c r="J47" s="5918"/>
      <c r="K47" s="1336" t="s">
        <v>8118</v>
      </c>
      <c r="L47" s="5919" t="s">
        <v>114</v>
      </c>
      <c r="M47" s="9"/>
      <c r="N47" s="5911"/>
      <c r="O47" s="1331" t="s">
        <v>1484</v>
      </c>
      <c r="P47" s="1238"/>
      <c r="Q47" s="5932"/>
      <c r="R47" s="5933"/>
      <c r="S47" s="2013"/>
      <c r="T47" s="5934"/>
      <c r="V47" s="1256">
        <v>4</v>
      </c>
      <c r="W47" s="1257" t="s">
        <v>4137</v>
      </c>
      <c r="X47" s="1239" t="s">
        <v>4138</v>
      </c>
      <c r="Y47" s="1239" t="s">
        <v>4139</v>
      </c>
      <c r="AA47" s="1276"/>
      <c r="AB47" s="7025"/>
      <c r="AC47" s="7025"/>
      <c r="AD47" s="7025"/>
      <c r="AF47" s="3">
        <v>1</v>
      </c>
    </row>
    <row r="48" spans="2:32" ht="30" customHeight="1">
      <c r="B48" s="2029">
        <v>1</v>
      </c>
      <c r="C48" s="2027" t="s">
        <v>4158</v>
      </c>
      <c r="D48" s="1262" t="s">
        <v>4160</v>
      </c>
      <c r="E48" s="5924" t="s">
        <v>4159</v>
      </c>
      <c r="F48" s="1262" t="s">
        <v>4161</v>
      </c>
      <c r="G48" s="5925" t="s">
        <v>8751</v>
      </c>
      <c r="H48" s="2020" t="s">
        <v>4162</v>
      </c>
      <c r="I48" s="9"/>
      <c r="J48" s="5926"/>
      <c r="K48" s="7019"/>
      <c r="L48" s="7020"/>
      <c r="M48" s="9"/>
      <c r="N48" s="5911">
        <v>1</v>
      </c>
      <c r="O48" s="1332" t="s">
        <v>4163</v>
      </c>
      <c r="P48" s="1242" t="s">
        <v>4166</v>
      </c>
      <c r="Q48" s="5912" t="s">
        <v>4164</v>
      </c>
      <c r="R48" s="5913" t="s">
        <v>4167</v>
      </c>
      <c r="S48" s="2012" t="s">
        <v>4165</v>
      </c>
      <c r="T48" s="5913" t="s">
        <v>4168</v>
      </c>
      <c r="V48" s="1256">
        <v>5</v>
      </c>
      <c r="W48" s="1257" t="s">
        <v>4152</v>
      </c>
      <c r="X48" s="1239" t="s">
        <v>4153</v>
      </c>
      <c r="Y48" s="1239" t="s">
        <v>4154</v>
      </c>
      <c r="AA48" s="1257"/>
      <c r="AB48" s="1257" t="s">
        <v>4155</v>
      </c>
      <c r="AC48" s="1261" t="s">
        <v>4156</v>
      </c>
      <c r="AD48" s="1261" t="s">
        <v>4157</v>
      </c>
      <c r="AF48" s="3">
        <v>1</v>
      </c>
    </row>
    <row r="49" spans="2:32" ht="30" customHeight="1">
      <c r="B49" s="2029">
        <f>B48+1</f>
        <v>2</v>
      </c>
      <c r="C49" s="2027" t="s">
        <v>4187</v>
      </c>
      <c r="D49" s="1262" t="s">
        <v>4189</v>
      </c>
      <c r="E49" s="5924" t="s">
        <v>4188</v>
      </c>
      <c r="F49" s="1262" t="s">
        <v>4190</v>
      </c>
      <c r="G49" s="5925" t="s">
        <v>8752</v>
      </c>
      <c r="H49" s="2020" t="s">
        <v>4191</v>
      </c>
      <c r="I49" s="9"/>
      <c r="J49" s="5910" t="s">
        <v>3083</v>
      </c>
      <c r="K49" s="1336" t="s">
        <v>8119</v>
      </c>
      <c r="L49" s="5919" t="s">
        <v>6328</v>
      </c>
      <c r="M49" s="9"/>
      <c r="N49" s="5911">
        <f>N48+1</f>
        <v>2</v>
      </c>
      <c r="O49" s="1332" t="s">
        <v>4192</v>
      </c>
      <c r="P49" s="1242" t="s">
        <v>4195</v>
      </c>
      <c r="Q49" s="5912" t="s">
        <v>4193</v>
      </c>
      <c r="R49" s="5913" t="s">
        <v>4196</v>
      </c>
      <c r="S49" s="2012" t="s">
        <v>4194</v>
      </c>
      <c r="T49" s="5913" t="s">
        <v>4197</v>
      </c>
      <c r="V49" s="1256">
        <v>6</v>
      </c>
      <c r="W49" s="1257" t="s">
        <v>4181</v>
      </c>
      <c r="X49" s="1239" t="s">
        <v>4182</v>
      </c>
      <c r="Y49" s="1239" t="s">
        <v>4183</v>
      </c>
      <c r="AA49" s="1256">
        <v>9</v>
      </c>
      <c r="AB49" s="1257" t="s">
        <v>4184</v>
      </c>
      <c r="AC49" s="1261" t="s">
        <v>4185</v>
      </c>
      <c r="AD49" s="1261" t="s">
        <v>4186</v>
      </c>
      <c r="AF49" s="3">
        <v>1</v>
      </c>
    </row>
    <row r="50" spans="2:32" ht="30" customHeight="1">
      <c r="B50" s="2029">
        <v>2</v>
      </c>
      <c r="C50" s="2027" t="s">
        <v>4216</v>
      </c>
      <c r="D50" s="1262" t="s">
        <v>4219</v>
      </c>
      <c r="E50" s="5924" t="s">
        <v>4217</v>
      </c>
      <c r="F50" s="1262" t="s">
        <v>4220</v>
      </c>
      <c r="G50" s="5925" t="s">
        <v>4218</v>
      </c>
      <c r="H50" s="2020" t="s">
        <v>4221</v>
      </c>
      <c r="I50" s="9"/>
      <c r="J50" s="5918"/>
      <c r="K50" s="1336"/>
      <c r="L50" s="5919" t="s">
        <v>6244</v>
      </c>
      <c r="M50" s="9"/>
      <c r="N50" s="5911">
        <f t="shared" ref="N50:N58" si="8">N49+1</f>
        <v>3</v>
      </c>
      <c r="O50" s="1332" t="s">
        <v>4222</v>
      </c>
      <c r="P50" s="1242" t="s">
        <v>4225</v>
      </c>
      <c r="Q50" s="5912" t="s">
        <v>4223</v>
      </c>
      <c r="R50" s="5913" t="s">
        <v>4226</v>
      </c>
      <c r="S50" s="2012" t="s">
        <v>4224</v>
      </c>
      <c r="T50" s="5913" t="s">
        <v>4227</v>
      </c>
      <c r="V50" s="1256">
        <v>7</v>
      </c>
      <c r="W50" s="1257" t="s">
        <v>4210</v>
      </c>
      <c r="X50" s="1239" t="s">
        <v>4211</v>
      </c>
      <c r="Y50" s="1239" t="s">
        <v>4212</v>
      </c>
      <c r="AA50" s="1256">
        <v>10</v>
      </c>
      <c r="AB50" s="1257" t="s">
        <v>4213</v>
      </c>
      <c r="AC50" s="1261" t="s">
        <v>4214</v>
      </c>
      <c r="AD50" s="1261" t="s">
        <v>4215</v>
      </c>
      <c r="AF50" s="3">
        <v>1</v>
      </c>
    </row>
    <row r="51" spans="2:32" ht="30" customHeight="1">
      <c r="B51" s="2029"/>
      <c r="C51" s="2017" t="s">
        <v>4246</v>
      </c>
      <c r="D51" s="627"/>
      <c r="E51" s="5928"/>
      <c r="F51" s="627"/>
      <c r="G51" s="5928"/>
      <c r="H51" s="5915"/>
      <c r="I51" s="9"/>
      <c r="J51" s="5926"/>
      <c r="K51" s="7019"/>
      <c r="L51" s="7020"/>
      <c r="M51" s="9"/>
      <c r="N51" s="5911">
        <f t="shared" si="8"/>
        <v>4</v>
      </c>
      <c r="O51" s="1332" t="s">
        <v>4247</v>
      </c>
      <c r="P51" s="1242" t="s">
        <v>4250</v>
      </c>
      <c r="Q51" s="5912" t="s">
        <v>4248</v>
      </c>
      <c r="R51" s="5913" t="s">
        <v>4251</v>
      </c>
      <c r="S51" s="2012" t="s">
        <v>4249</v>
      </c>
      <c r="T51" s="5913" t="s">
        <v>4252</v>
      </c>
      <c r="V51" s="1256">
        <v>8</v>
      </c>
      <c r="W51" s="1257" t="s">
        <v>4240</v>
      </c>
      <c r="X51" s="1239" t="s">
        <v>4241</v>
      </c>
      <c r="Y51" s="1239" t="s">
        <v>4242</v>
      </c>
      <c r="AA51" s="1256">
        <v>11</v>
      </c>
      <c r="AB51" s="1257" t="s">
        <v>4243</v>
      </c>
      <c r="AC51" s="1261" t="s">
        <v>4244</v>
      </c>
      <c r="AD51" s="1261" t="s">
        <v>4245</v>
      </c>
      <c r="AF51" s="3">
        <v>1</v>
      </c>
    </row>
    <row r="52" spans="2:32" ht="30" customHeight="1">
      <c r="B52" s="2029">
        <v>1</v>
      </c>
      <c r="C52" s="2027" t="s">
        <v>4271</v>
      </c>
      <c r="D52" s="1262" t="s">
        <v>4274</v>
      </c>
      <c r="E52" s="5924" t="s">
        <v>4272</v>
      </c>
      <c r="F52" s="1262" t="s">
        <v>4275</v>
      </c>
      <c r="G52" s="5925" t="s">
        <v>4273</v>
      </c>
      <c r="H52" s="2020" t="s">
        <v>4276</v>
      </c>
      <c r="I52" s="9"/>
      <c r="J52" s="5910" t="s">
        <v>3943</v>
      </c>
      <c r="K52" s="1336" t="s">
        <v>6444</v>
      </c>
      <c r="L52" s="5919" t="s">
        <v>6451</v>
      </c>
      <c r="M52" s="9"/>
      <c r="N52" s="5911">
        <f t="shared" si="8"/>
        <v>5</v>
      </c>
      <c r="O52" s="1332" t="s">
        <v>4277</v>
      </c>
      <c r="P52" s="1242" t="s">
        <v>4280</v>
      </c>
      <c r="Q52" s="5912" t="s">
        <v>4278</v>
      </c>
      <c r="R52" s="5913" t="s">
        <v>4281</v>
      </c>
      <c r="S52" s="2012" t="s">
        <v>4279</v>
      </c>
      <c r="T52" s="5913" t="s">
        <v>4282</v>
      </c>
      <c r="V52" s="1256">
        <v>9</v>
      </c>
      <c r="W52" s="1257" t="s">
        <v>4265</v>
      </c>
      <c r="X52" s="1239" t="s">
        <v>4266</v>
      </c>
      <c r="Y52" s="1239" t="s">
        <v>4267</v>
      </c>
      <c r="AA52" s="1256">
        <v>12</v>
      </c>
      <c r="AB52" s="1257" t="s">
        <v>4268</v>
      </c>
      <c r="AC52" s="1265" t="s">
        <v>4269</v>
      </c>
      <c r="AD52" s="1265" t="s">
        <v>4270</v>
      </c>
      <c r="AF52" s="3">
        <v>1</v>
      </c>
    </row>
    <row r="53" spans="2:32" ht="30" customHeight="1">
      <c r="B53" s="2029"/>
      <c r="C53" s="2017" t="s">
        <v>2</v>
      </c>
      <c r="D53" s="627"/>
      <c r="E53" s="5928"/>
      <c r="F53" s="627"/>
      <c r="G53" s="5928"/>
      <c r="H53" s="5915"/>
      <c r="I53" s="9"/>
      <c r="J53" s="5918"/>
      <c r="K53" s="1336" t="s">
        <v>8120</v>
      </c>
      <c r="L53" s="5935"/>
      <c r="M53" s="9"/>
      <c r="N53" s="5911">
        <f t="shared" si="8"/>
        <v>6</v>
      </c>
      <c r="O53" s="1332" t="s">
        <v>4292</v>
      </c>
      <c r="P53" s="1242" t="s">
        <v>4295</v>
      </c>
      <c r="Q53" s="5912" t="s">
        <v>4293</v>
      </c>
      <c r="R53" s="5913" t="s">
        <v>4296</v>
      </c>
      <c r="S53" s="2012" t="s">
        <v>4294</v>
      </c>
      <c r="T53" s="5913" t="s">
        <v>4297</v>
      </c>
      <c r="V53" s="1256">
        <v>10</v>
      </c>
      <c r="W53" s="1257" t="s">
        <v>4289</v>
      </c>
      <c r="X53" s="1239" t="s">
        <v>4290</v>
      </c>
      <c r="Y53" s="1239" t="s">
        <v>4291</v>
      </c>
      <c r="AA53" s="1257"/>
      <c r="AB53" s="696"/>
      <c r="AC53" s="1265"/>
      <c r="AD53" s="1265"/>
      <c r="AF53" s="3">
        <v>1</v>
      </c>
    </row>
    <row r="54" spans="2:32" ht="30" customHeight="1">
      <c r="B54" s="2029">
        <v>1</v>
      </c>
      <c r="C54" s="2027" t="s">
        <v>4313</v>
      </c>
      <c r="D54" s="1262" t="s">
        <v>4315</v>
      </c>
      <c r="E54" s="5924" t="s">
        <v>4314</v>
      </c>
      <c r="F54" s="1262" t="s">
        <v>4316</v>
      </c>
      <c r="G54" s="5925" t="s">
        <v>8753</v>
      </c>
      <c r="H54" s="2020" t="s">
        <v>4317</v>
      </c>
      <c r="I54" s="9"/>
      <c r="J54" s="5926"/>
      <c r="K54" s="7019"/>
      <c r="L54" s="7020"/>
      <c r="M54" s="9"/>
      <c r="N54" s="5911">
        <f t="shared" si="8"/>
        <v>7</v>
      </c>
      <c r="O54" s="1332" t="s">
        <v>4318</v>
      </c>
      <c r="P54" s="1242" t="s">
        <v>4321</v>
      </c>
      <c r="Q54" s="5912" t="s">
        <v>4319</v>
      </c>
      <c r="R54" s="5913" t="s">
        <v>4322</v>
      </c>
      <c r="S54" s="2012" t="s">
        <v>4320</v>
      </c>
      <c r="T54" s="5913" t="s">
        <v>4323</v>
      </c>
      <c r="V54" s="1256"/>
      <c r="AA54" s="1251" t="s">
        <v>2632</v>
      </c>
      <c r="AB54" s="1250" t="s">
        <v>4310</v>
      </c>
      <c r="AC54" s="1250" t="s">
        <v>4311</v>
      </c>
      <c r="AD54" s="1250" t="s">
        <v>4312</v>
      </c>
      <c r="AF54" s="3">
        <v>1</v>
      </c>
    </row>
    <row r="55" spans="2:32" ht="30" customHeight="1">
      <c r="B55" s="2029">
        <f>B54+1</f>
        <v>2</v>
      </c>
      <c r="C55" s="2027" t="s">
        <v>4338</v>
      </c>
      <c r="D55" s="1262" t="s">
        <v>4340</v>
      </c>
      <c r="E55" s="5924" t="s">
        <v>4339</v>
      </c>
      <c r="F55" s="1262" t="s">
        <v>4341</v>
      </c>
      <c r="G55" s="5925" t="s">
        <v>8754</v>
      </c>
      <c r="H55" s="2020" t="s">
        <v>4342</v>
      </c>
      <c r="I55" s="9"/>
      <c r="J55" s="5910" t="s">
        <v>5270</v>
      </c>
      <c r="K55" s="1336" t="s">
        <v>6560</v>
      </c>
      <c r="L55" s="5936"/>
      <c r="M55" s="9"/>
      <c r="N55" s="5911">
        <f t="shared" si="8"/>
        <v>8</v>
      </c>
      <c r="O55" s="1332" t="s">
        <v>4343</v>
      </c>
      <c r="P55" s="1242" t="s">
        <v>4346</v>
      </c>
      <c r="Q55" s="5912" t="s">
        <v>4344</v>
      </c>
      <c r="R55" s="5913" t="s">
        <v>4347</v>
      </c>
      <c r="S55" s="2012" t="s">
        <v>4345</v>
      </c>
      <c r="T55" s="5913" t="s">
        <v>4348</v>
      </c>
      <c r="V55" s="1256"/>
      <c r="W55" s="1250" t="s">
        <v>4334</v>
      </c>
      <c r="X55" s="1250" t="s">
        <v>3391</v>
      </c>
      <c r="Y55" s="1250" t="s">
        <v>3392</v>
      </c>
      <c r="AA55" s="1256">
        <v>1</v>
      </c>
      <c r="AB55" s="1257" t="s">
        <v>4335</v>
      </c>
      <c r="AC55" s="1261" t="s">
        <v>4336</v>
      </c>
      <c r="AD55" s="1261" t="s">
        <v>4337</v>
      </c>
      <c r="AF55" s="3">
        <v>1</v>
      </c>
    </row>
    <row r="56" spans="2:32" ht="30" customHeight="1">
      <c r="B56" s="2029">
        <v>2</v>
      </c>
      <c r="C56" s="2027" t="s">
        <v>4367</v>
      </c>
      <c r="D56" s="1262" t="s">
        <v>4370</v>
      </c>
      <c r="E56" s="5924" t="s">
        <v>4368</v>
      </c>
      <c r="F56" s="1262" t="s">
        <v>4371</v>
      </c>
      <c r="G56" s="5925" t="s">
        <v>4369</v>
      </c>
      <c r="H56" s="2020" t="s">
        <v>4372</v>
      </c>
      <c r="I56" s="9"/>
      <c r="J56" s="5910"/>
      <c r="K56" s="1336"/>
      <c r="L56" s="5919" t="s">
        <v>6542</v>
      </c>
      <c r="M56" s="9"/>
      <c r="N56" s="5911">
        <f t="shared" si="8"/>
        <v>9</v>
      </c>
      <c r="O56" s="1332" t="s">
        <v>4373</v>
      </c>
      <c r="P56" s="1242" t="s">
        <v>4376</v>
      </c>
      <c r="Q56" s="5912" t="s">
        <v>4374</v>
      </c>
      <c r="R56" s="5913" t="s">
        <v>4377</v>
      </c>
      <c r="S56" s="2012" t="s">
        <v>4375</v>
      </c>
      <c r="T56" s="5913" t="s">
        <v>4378</v>
      </c>
      <c r="V56" s="1256">
        <v>1</v>
      </c>
      <c r="W56" s="1257" t="s">
        <v>4361</v>
      </c>
      <c r="X56" s="1239" t="s">
        <v>4362</v>
      </c>
      <c r="Y56" s="1239" t="s">
        <v>4363</v>
      </c>
      <c r="AA56" s="1256">
        <v>2</v>
      </c>
      <c r="AB56" s="1257" t="s">
        <v>4364</v>
      </c>
      <c r="AC56" s="1261" t="s">
        <v>4365</v>
      </c>
      <c r="AD56" s="1261" t="s">
        <v>4366</v>
      </c>
      <c r="AF56" s="3">
        <v>1</v>
      </c>
    </row>
    <row r="57" spans="2:32" ht="30" customHeight="1">
      <c r="B57" s="2029">
        <f t="shared" ref="B57" si="9">B56+1</f>
        <v>3</v>
      </c>
      <c r="C57" s="2027" t="s">
        <v>4397</v>
      </c>
      <c r="D57" s="1262" t="s">
        <v>4399</v>
      </c>
      <c r="E57" s="5924" t="s">
        <v>4398</v>
      </c>
      <c r="F57" s="1262" t="s">
        <v>4400</v>
      </c>
      <c r="G57" s="5925" t="s">
        <v>8755</v>
      </c>
      <c r="H57" s="2020" t="s">
        <v>4401</v>
      </c>
      <c r="I57" s="9"/>
      <c r="J57" s="5926"/>
      <c r="K57" s="7019"/>
      <c r="L57" s="7020"/>
      <c r="M57" s="9"/>
      <c r="N57" s="5911">
        <f t="shared" si="8"/>
        <v>10</v>
      </c>
      <c r="O57" s="1332" t="s">
        <v>4402</v>
      </c>
      <c r="P57" s="1242" t="s">
        <v>4405</v>
      </c>
      <c r="Q57" s="5912" t="s">
        <v>4403</v>
      </c>
      <c r="R57" s="5913" t="s">
        <v>4406</v>
      </c>
      <c r="S57" s="2012" t="s">
        <v>4404</v>
      </c>
      <c r="T57" s="5913" t="s">
        <v>4407</v>
      </c>
      <c r="V57" s="1256">
        <v>2</v>
      </c>
      <c r="W57" s="1257" t="s">
        <v>4391</v>
      </c>
      <c r="X57" s="1239" t="s">
        <v>4392</v>
      </c>
      <c r="Y57" s="1239" t="s">
        <v>4393</v>
      </c>
      <c r="AA57" s="1256">
        <v>3</v>
      </c>
      <c r="AB57" s="1257" t="s">
        <v>4394</v>
      </c>
      <c r="AC57" s="1261" t="s">
        <v>4395</v>
      </c>
      <c r="AD57" s="1261" t="s">
        <v>4396</v>
      </c>
      <c r="AF57" s="3">
        <v>1</v>
      </c>
    </row>
    <row r="58" spans="2:32" ht="30" customHeight="1">
      <c r="B58" s="2029">
        <v>3</v>
      </c>
      <c r="C58" s="2027" t="s">
        <v>4422</v>
      </c>
      <c r="D58" s="1262" t="s">
        <v>4424</v>
      </c>
      <c r="E58" s="5924" t="s">
        <v>4423</v>
      </c>
      <c r="F58" s="1262" t="s">
        <v>4425</v>
      </c>
      <c r="G58" s="5925" t="s">
        <v>8756</v>
      </c>
      <c r="H58" s="2020" t="s">
        <v>4426</v>
      </c>
      <c r="I58" s="9"/>
      <c r="J58" s="5910" t="s">
        <v>0</v>
      </c>
      <c r="K58" s="1336" t="s">
        <v>6584</v>
      </c>
      <c r="L58" s="5919" t="s">
        <v>6590</v>
      </c>
      <c r="M58" s="9"/>
      <c r="N58" s="5911">
        <f t="shared" si="8"/>
        <v>11</v>
      </c>
      <c r="O58" s="1332" t="s">
        <v>4427</v>
      </c>
      <c r="P58" s="1242" t="s">
        <v>4430</v>
      </c>
      <c r="Q58" s="5912" t="s">
        <v>4428</v>
      </c>
      <c r="R58" s="5913" t="s">
        <v>4431</v>
      </c>
      <c r="S58" s="2012" t="s">
        <v>4429</v>
      </c>
      <c r="T58" s="5913" t="s">
        <v>4432</v>
      </c>
      <c r="V58" s="1256">
        <v>3</v>
      </c>
      <c r="W58" s="1257" t="s">
        <v>4417</v>
      </c>
      <c r="X58" s="1239" t="s">
        <v>4418</v>
      </c>
      <c r="Y58" s="1239" t="s">
        <v>4363</v>
      </c>
      <c r="AA58" s="1256">
        <v>4</v>
      </c>
      <c r="AB58" s="1257" t="s">
        <v>4419</v>
      </c>
      <c r="AC58" s="1261" t="s">
        <v>4420</v>
      </c>
      <c r="AD58" s="1261" t="s">
        <v>4421</v>
      </c>
      <c r="AF58" s="3">
        <v>1</v>
      </c>
    </row>
    <row r="59" spans="2:32" ht="30" customHeight="1">
      <c r="B59" s="2029">
        <f t="shared" ref="B59" si="10">B58+1</f>
        <v>4</v>
      </c>
      <c r="C59" s="2027" t="s">
        <v>4448</v>
      </c>
      <c r="D59" s="1262" t="s">
        <v>4451</v>
      </c>
      <c r="E59" s="5924" t="s">
        <v>4449</v>
      </c>
      <c r="F59" s="1262" t="s">
        <v>4452</v>
      </c>
      <c r="G59" s="5925" t="s">
        <v>4450</v>
      </c>
      <c r="H59" s="2020" t="s">
        <v>4453</v>
      </c>
      <c r="I59" s="9"/>
      <c r="J59" s="5926"/>
      <c r="K59" s="7019"/>
      <c r="L59" s="7020"/>
      <c r="M59" s="9"/>
      <c r="N59" s="5911"/>
      <c r="O59" s="1331" t="s">
        <v>1485</v>
      </c>
      <c r="P59" s="1238"/>
      <c r="Q59" s="5932"/>
      <c r="R59" s="5933"/>
      <c r="S59" s="2013"/>
      <c r="T59" s="5934"/>
      <c r="V59" s="1256"/>
      <c r="AA59" s="1256">
        <v>5</v>
      </c>
      <c r="AB59" s="1257" t="s">
        <v>4445</v>
      </c>
      <c r="AC59" s="1261" t="s">
        <v>4446</v>
      </c>
      <c r="AD59" s="1261" t="s">
        <v>4447</v>
      </c>
      <c r="AF59" s="3">
        <v>1</v>
      </c>
    </row>
    <row r="60" spans="2:32" ht="30" customHeight="1">
      <c r="B60" s="2029">
        <v>4</v>
      </c>
      <c r="C60" s="2027" t="s">
        <v>4463</v>
      </c>
      <c r="D60" s="1262" t="s">
        <v>4466</v>
      </c>
      <c r="E60" s="5924" t="s">
        <v>4464</v>
      </c>
      <c r="F60" s="1262" t="s">
        <v>4467</v>
      </c>
      <c r="G60" s="5925" t="s">
        <v>4465</v>
      </c>
      <c r="H60" s="2020" t="s">
        <v>4468</v>
      </c>
      <c r="I60" s="9"/>
      <c r="J60" s="5910" t="s">
        <v>1</v>
      </c>
      <c r="K60" s="1336" t="s">
        <v>6643</v>
      </c>
      <c r="L60" s="5916"/>
      <c r="M60" s="9"/>
      <c r="N60" s="5911">
        <v>1</v>
      </c>
      <c r="O60" s="1332" t="s">
        <v>4469</v>
      </c>
      <c r="P60" s="1242" t="s">
        <v>4472</v>
      </c>
      <c r="Q60" s="5912" t="s">
        <v>4470</v>
      </c>
      <c r="R60" s="5913" t="s">
        <v>4473</v>
      </c>
      <c r="S60" s="2012" t="s">
        <v>4471</v>
      </c>
      <c r="T60" s="5913" t="s">
        <v>4474</v>
      </c>
      <c r="V60" s="1256"/>
      <c r="W60" s="1250" t="s">
        <v>4460</v>
      </c>
      <c r="X60" s="1250" t="s">
        <v>4461</v>
      </c>
      <c r="Y60" s="1250" t="s">
        <v>4462</v>
      </c>
      <c r="AA60" s="1257"/>
      <c r="AB60" s="437"/>
      <c r="AC60" s="229"/>
      <c r="AD60" s="229"/>
      <c r="AF60" s="3">
        <v>1</v>
      </c>
    </row>
    <row r="61" spans="2:32" ht="30" customHeight="1">
      <c r="B61" s="2029">
        <f t="shared" ref="B61" si="11">B60+1</f>
        <v>5</v>
      </c>
      <c r="C61" s="2027" t="s">
        <v>4493</v>
      </c>
      <c r="D61" s="1262" t="s">
        <v>4495</v>
      </c>
      <c r="E61" s="5924" t="s">
        <v>4494</v>
      </c>
      <c r="F61" s="1262" t="s">
        <v>4496</v>
      </c>
      <c r="G61" s="5925" t="s">
        <v>8757</v>
      </c>
      <c r="H61" s="2020" t="s">
        <v>4497</v>
      </c>
      <c r="I61" s="9"/>
      <c r="J61" s="5918"/>
      <c r="K61" s="1336" t="s">
        <v>6685</v>
      </c>
      <c r="L61" s="5919" t="s">
        <v>6691</v>
      </c>
      <c r="M61" s="9"/>
      <c r="N61" s="5911">
        <f>N60+1</f>
        <v>2</v>
      </c>
      <c r="O61" s="1332" t="s">
        <v>4498</v>
      </c>
      <c r="P61" s="1242" t="s">
        <v>4501</v>
      </c>
      <c r="Q61" s="5912" t="s">
        <v>4499</v>
      </c>
      <c r="R61" s="5913" t="s">
        <v>4502</v>
      </c>
      <c r="S61" s="2012" t="s">
        <v>4500</v>
      </c>
      <c r="T61" s="5913" t="s">
        <v>4503</v>
      </c>
      <c r="V61" s="1256">
        <v>1</v>
      </c>
      <c r="W61" s="1257" t="s">
        <v>4487</v>
      </c>
      <c r="X61" s="1239" t="s">
        <v>4488</v>
      </c>
      <c r="Y61" s="1239" t="s">
        <v>4489</v>
      </c>
      <c r="AA61" s="1251" t="s">
        <v>2633</v>
      </c>
      <c r="AB61" s="1250" t="s">
        <v>4490</v>
      </c>
      <c r="AC61" s="1250" t="s">
        <v>4491</v>
      </c>
      <c r="AD61" s="1250" t="s">
        <v>4492</v>
      </c>
      <c r="AF61" s="3">
        <v>1</v>
      </c>
    </row>
    <row r="62" spans="2:32" ht="30" customHeight="1">
      <c r="B62" s="2029"/>
      <c r="C62" s="2017" t="s">
        <v>4522</v>
      </c>
      <c r="D62" s="627"/>
      <c r="E62" s="5928"/>
      <c r="F62" s="627"/>
      <c r="G62" s="5928"/>
      <c r="H62" s="5915"/>
      <c r="I62" s="9"/>
      <c r="J62" s="5918"/>
      <c r="K62" s="1336" t="s">
        <v>8121</v>
      </c>
      <c r="L62" s="5919" t="s">
        <v>6715</v>
      </c>
      <c r="M62" s="9"/>
      <c r="N62" s="5911">
        <f t="shared" ref="N62:N76" si="12">N61+1</f>
        <v>3</v>
      </c>
      <c r="O62" s="1332" t="s">
        <v>4523</v>
      </c>
      <c r="P62" s="1242" t="s">
        <v>4526</v>
      </c>
      <c r="Q62" s="5912" t="s">
        <v>4524</v>
      </c>
      <c r="R62" s="5913" t="s">
        <v>4527</v>
      </c>
      <c r="S62" s="2012" t="s">
        <v>4525</v>
      </c>
      <c r="T62" s="5913" t="s">
        <v>4528</v>
      </c>
      <c r="V62" s="1256">
        <v>2</v>
      </c>
      <c r="W62" s="1257" t="s">
        <v>4516</v>
      </c>
      <c r="X62" s="1239" t="s">
        <v>4517</v>
      </c>
      <c r="Y62" s="1239" t="s">
        <v>4518</v>
      </c>
      <c r="AA62" s="1256">
        <v>1</v>
      </c>
      <c r="AB62" s="1257" t="s">
        <v>4519</v>
      </c>
      <c r="AC62" s="1261" t="s">
        <v>4520</v>
      </c>
      <c r="AD62" s="1261" t="s">
        <v>4521</v>
      </c>
      <c r="AF62" s="3">
        <v>1</v>
      </c>
    </row>
    <row r="63" spans="2:32" ht="30" customHeight="1">
      <c r="B63" s="2029">
        <v>1</v>
      </c>
      <c r="C63" s="2027" t="s">
        <v>4547</v>
      </c>
      <c r="D63" s="1262" t="s">
        <v>4549</v>
      </c>
      <c r="E63" s="5924" t="s">
        <v>4548</v>
      </c>
      <c r="F63" s="1262" t="s">
        <v>4550</v>
      </c>
      <c r="G63" s="5925" t="s">
        <v>8758</v>
      </c>
      <c r="H63" s="2020" t="s">
        <v>4551</v>
      </c>
      <c r="I63" s="9"/>
      <c r="J63" s="5918"/>
      <c r="K63" s="1336" t="s">
        <v>6762</v>
      </c>
      <c r="L63" s="5919" t="s">
        <v>8122</v>
      </c>
      <c r="M63" s="9"/>
      <c r="N63" s="5911">
        <f t="shared" si="12"/>
        <v>4</v>
      </c>
      <c r="O63" s="1332" t="s">
        <v>4552</v>
      </c>
      <c r="P63" s="1242" t="s">
        <v>4555</v>
      </c>
      <c r="Q63" s="5912" t="s">
        <v>4553</v>
      </c>
      <c r="R63" s="5913" t="s">
        <v>4556</v>
      </c>
      <c r="S63" s="2012" t="s">
        <v>4554</v>
      </c>
      <c r="T63" s="5913" t="s">
        <v>4557</v>
      </c>
      <c r="V63" s="1256">
        <v>3</v>
      </c>
      <c r="W63" s="1257" t="s">
        <v>4541</v>
      </c>
      <c r="X63" s="1239" t="s">
        <v>4542</v>
      </c>
      <c r="Y63" s="1239" t="s">
        <v>4543</v>
      </c>
      <c r="AA63" s="1256">
        <v>2</v>
      </c>
      <c r="AB63" s="1257" t="s">
        <v>4544</v>
      </c>
      <c r="AC63" s="1261" t="s">
        <v>4545</v>
      </c>
      <c r="AD63" s="1261" t="s">
        <v>4546</v>
      </c>
      <c r="AF63" s="3">
        <v>1</v>
      </c>
    </row>
    <row r="64" spans="2:32" ht="30" customHeight="1">
      <c r="B64" s="2029">
        <f>B63+1</f>
        <v>2</v>
      </c>
      <c r="C64" s="2027" t="s">
        <v>4576</v>
      </c>
      <c r="D64" s="1262" t="s">
        <v>4578</v>
      </c>
      <c r="E64" s="5924" t="s">
        <v>4577</v>
      </c>
      <c r="F64" s="1262" t="s">
        <v>4579</v>
      </c>
      <c r="G64" s="5925" t="s">
        <v>8759</v>
      </c>
      <c r="H64" s="2020" t="s">
        <v>4580</v>
      </c>
      <c r="I64" s="9"/>
      <c r="J64" s="5918"/>
      <c r="K64" s="1336" t="s">
        <v>6768</v>
      </c>
      <c r="L64" s="5919" t="s">
        <v>114</v>
      </c>
      <c r="M64" s="9"/>
      <c r="N64" s="5911">
        <f t="shared" si="12"/>
        <v>5</v>
      </c>
      <c r="O64" s="1332" t="s">
        <v>4581</v>
      </c>
      <c r="P64" s="1242" t="s">
        <v>4584</v>
      </c>
      <c r="Q64" s="5912" t="s">
        <v>4582</v>
      </c>
      <c r="R64" s="5913" t="s">
        <v>4585</v>
      </c>
      <c r="S64" s="2012" t="s">
        <v>4583</v>
      </c>
      <c r="T64" s="5913" t="s">
        <v>4586</v>
      </c>
      <c r="V64" s="1256">
        <v>4</v>
      </c>
      <c r="W64" s="1257" t="s">
        <v>4570</v>
      </c>
      <c r="X64" s="1239" t="s">
        <v>4571</v>
      </c>
      <c r="Y64" s="1239" t="s">
        <v>4572</v>
      </c>
      <c r="AA64" s="1256">
        <v>3</v>
      </c>
      <c r="AB64" s="1257" t="s">
        <v>4573</v>
      </c>
      <c r="AC64" s="1261" t="s">
        <v>4574</v>
      </c>
      <c r="AD64" s="1261" t="s">
        <v>4575</v>
      </c>
      <c r="AF64" s="3">
        <v>1</v>
      </c>
    </row>
    <row r="65" spans="2:32" ht="30" customHeight="1">
      <c r="B65" s="2029">
        <f t="shared" ref="B65:B67" si="13">B64+1</f>
        <v>3</v>
      </c>
      <c r="C65" s="2027" t="s">
        <v>4605</v>
      </c>
      <c r="D65" s="1262" t="s">
        <v>4607</v>
      </c>
      <c r="E65" s="5924" t="s">
        <v>4606</v>
      </c>
      <c r="F65" s="1262" t="s">
        <v>4608</v>
      </c>
      <c r="G65" s="5925" t="s">
        <v>8760</v>
      </c>
      <c r="H65" s="2020" t="s">
        <v>4609</v>
      </c>
      <c r="I65" s="9"/>
      <c r="J65" s="5918"/>
      <c r="K65" s="1336" t="s">
        <v>6774</v>
      </c>
      <c r="L65" s="5919" t="s">
        <v>8123</v>
      </c>
      <c r="M65" s="9"/>
      <c r="N65" s="5911">
        <f t="shared" si="12"/>
        <v>6</v>
      </c>
      <c r="O65" s="1332" t="s">
        <v>4610</v>
      </c>
      <c r="P65" s="1242" t="s">
        <v>4610</v>
      </c>
      <c r="Q65" s="5912" t="s">
        <v>4611</v>
      </c>
      <c r="R65" s="5913" t="s">
        <v>4613</v>
      </c>
      <c r="S65" s="2012" t="s">
        <v>4612</v>
      </c>
      <c r="T65" s="5913" t="s">
        <v>4614</v>
      </c>
      <c r="V65" s="1256">
        <v>5</v>
      </c>
      <c r="W65" s="1257" t="s">
        <v>4599</v>
      </c>
      <c r="X65" s="1239" t="s">
        <v>4600</v>
      </c>
      <c r="Y65" s="1239" t="s">
        <v>4601</v>
      </c>
      <c r="AA65" s="6992">
        <v>4</v>
      </c>
      <c r="AB65" s="6993" t="s">
        <v>4602</v>
      </c>
      <c r="AC65" s="6995" t="s">
        <v>4603</v>
      </c>
      <c r="AD65" s="6995" t="s">
        <v>4604</v>
      </c>
      <c r="AF65" s="3">
        <v>1</v>
      </c>
    </row>
    <row r="66" spans="2:32" ht="30" customHeight="1">
      <c r="B66" s="2029">
        <f t="shared" si="13"/>
        <v>4</v>
      </c>
      <c r="C66" s="2027" t="s">
        <v>4626</v>
      </c>
      <c r="D66" s="1262" t="s">
        <v>4628</v>
      </c>
      <c r="E66" s="5924" t="s">
        <v>4627</v>
      </c>
      <c r="F66" s="1262" t="s">
        <v>4629</v>
      </c>
      <c r="G66" s="5925" t="s">
        <v>8761</v>
      </c>
      <c r="H66" s="2020" t="s">
        <v>4630</v>
      </c>
      <c r="I66" s="9"/>
      <c r="J66" s="5910"/>
      <c r="K66" s="1337"/>
      <c r="L66" s="5919" t="s">
        <v>6751</v>
      </c>
      <c r="M66" s="9"/>
      <c r="N66" s="5911">
        <f t="shared" si="12"/>
        <v>7</v>
      </c>
      <c r="O66" s="1332" t="s">
        <v>4631</v>
      </c>
      <c r="P66" s="1242" t="s">
        <v>4634</v>
      </c>
      <c r="Q66" s="5912" t="s">
        <v>4632</v>
      </c>
      <c r="R66" s="5913" t="s">
        <v>4635</v>
      </c>
      <c r="S66" s="2012" t="s">
        <v>4633</v>
      </c>
      <c r="T66" s="5913" t="s">
        <v>4636</v>
      </c>
      <c r="V66" s="1256">
        <v>6</v>
      </c>
      <c r="W66" s="1257" t="s">
        <v>4624</v>
      </c>
      <c r="X66" s="1239" t="s">
        <v>1434</v>
      </c>
      <c r="Y66" s="1239" t="s">
        <v>4625</v>
      </c>
      <c r="AA66" s="6992"/>
      <c r="AB66" s="6993"/>
      <c r="AC66" s="6995"/>
      <c r="AD66" s="6995"/>
      <c r="AF66" s="3">
        <v>1</v>
      </c>
    </row>
    <row r="67" spans="2:32" ht="30" customHeight="1">
      <c r="B67" s="2029">
        <f t="shared" si="13"/>
        <v>5</v>
      </c>
      <c r="C67" s="2027" t="s">
        <v>4653</v>
      </c>
      <c r="D67" s="1262" t="s">
        <v>4656</v>
      </c>
      <c r="E67" s="5924" t="s">
        <v>4654</v>
      </c>
      <c r="F67" s="1262" t="s">
        <v>4657</v>
      </c>
      <c r="G67" s="5925" t="s">
        <v>4655</v>
      </c>
      <c r="H67" s="2020" t="s">
        <v>4658</v>
      </c>
      <c r="I67" s="9"/>
      <c r="J67" s="5926"/>
      <c r="K67" s="7019"/>
      <c r="L67" s="7020"/>
      <c r="M67" s="9"/>
      <c r="N67" s="5911">
        <f t="shared" si="12"/>
        <v>8</v>
      </c>
      <c r="O67" s="1332" t="s">
        <v>4659</v>
      </c>
      <c r="P67" s="1242" t="s">
        <v>4662</v>
      </c>
      <c r="Q67" s="5912" t="s">
        <v>4660</v>
      </c>
      <c r="R67" s="5913" t="s">
        <v>4663</v>
      </c>
      <c r="S67" s="2012" t="s">
        <v>4661</v>
      </c>
      <c r="T67" s="5913" t="s">
        <v>4664</v>
      </c>
      <c r="V67" s="1256">
        <v>7</v>
      </c>
      <c r="W67" s="1257" t="s">
        <v>4649</v>
      </c>
      <c r="X67" s="1239" t="s">
        <v>4571</v>
      </c>
      <c r="Y67" s="1239" t="s">
        <v>4572</v>
      </c>
      <c r="AA67" s="1251" t="s">
        <v>2634</v>
      </c>
      <c r="AB67" s="1250" t="s">
        <v>4650</v>
      </c>
      <c r="AC67" s="1250" t="s">
        <v>4651</v>
      </c>
      <c r="AD67" s="1250" t="s">
        <v>4652</v>
      </c>
      <c r="AF67" s="3">
        <v>1</v>
      </c>
    </row>
    <row r="68" spans="2:32" ht="30" customHeight="1">
      <c r="B68" s="2029"/>
      <c r="C68" s="2017" t="s">
        <v>4683</v>
      </c>
      <c r="D68" s="1259"/>
      <c r="E68" s="5928"/>
      <c r="F68" s="1259"/>
      <c r="G68" s="5928"/>
      <c r="H68" s="5915"/>
      <c r="I68" s="9"/>
      <c r="J68" s="5910" t="s">
        <v>4246</v>
      </c>
      <c r="K68" s="1336" t="s">
        <v>8124</v>
      </c>
      <c r="L68" s="5919" t="s">
        <v>114</v>
      </c>
      <c r="M68" s="9"/>
      <c r="N68" s="5911">
        <f t="shared" si="12"/>
        <v>9</v>
      </c>
      <c r="O68" s="1332" t="s">
        <v>4684</v>
      </c>
      <c r="P68" s="1242" t="s">
        <v>4687</v>
      </c>
      <c r="Q68" s="5912" t="s">
        <v>4685</v>
      </c>
      <c r="R68" s="5913" t="s">
        <v>4688</v>
      </c>
      <c r="S68" s="2012" t="s">
        <v>4686</v>
      </c>
      <c r="T68" s="5913" t="s">
        <v>4689</v>
      </c>
      <c r="V68" s="1256">
        <v>8</v>
      </c>
      <c r="W68" s="1257" t="s">
        <v>4677</v>
      </c>
      <c r="X68" s="1239" t="s">
        <v>4678</v>
      </c>
      <c r="Y68" s="1239" t="s">
        <v>4679</v>
      </c>
      <c r="AA68" s="1256">
        <v>1</v>
      </c>
      <c r="AB68" s="1257" t="s">
        <v>4680</v>
      </c>
      <c r="AC68" s="1261" t="s">
        <v>4681</v>
      </c>
      <c r="AD68" s="1261" t="s">
        <v>4682</v>
      </c>
      <c r="AF68" s="3">
        <v>1</v>
      </c>
    </row>
    <row r="69" spans="2:32" ht="30" customHeight="1">
      <c r="B69" s="2029">
        <v>1</v>
      </c>
      <c r="C69" s="2027" t="s">
        <v>4705</v>
      </c>
      <c r="D69" s="1262" t="s">
        <v>4706</v>
      </c>
      <c r="E69" s="5924" t="s">
        <v>8731</v>
      </c>
      <c r="F69" s="1262" t="s">
        <v>4707</v>
      </c>
      <c r="G69" s="5925" t="s">
        <v>8762</v>
      </c>
      <c r="H69" s="2020" t="s">
        <v>4708</v>
      </c>
      <c r="I69" s="9"/>
      <c r="J69" s="5926"/>
      <c r="K69" s="7019"/>
      <c r="L69" s="7020"/>
      <c r="M69" s="9"/>
      <c r="N69" s="5911">
        <f t="shared" si="12"/>
        <v>10</v>
      </c>
      <c r="O69" s="1332" t="s">
        <v>4709</v>
      </c>
      <c r="P69" s="1242" t="s">
        <v>4712</v>
      </c>
      <c r="Q69" s="5912" t="s">
        <v>4710</v>
      </c>
      <c r="R69" s="5913" t="s">
        <v>4713</v>
      </c>
      <c r="S69" s="2012" t="s">
        <v>4711</v>
      </c>
      <c r="T69" s="5913" t="s">
        <v>4714</v>
      </c>
      <c r="V69" s="1256">
        <v>9</v>
      </c>
      <c r="W69" s="1257" t="s">
        <v>4702</v>
      </c>
      <c r="X69" s="1239" t="s">
        <v>4703</v>
      </c>
      <c r="Y69" s="1239" t="s">
        <v>4704</v>
      </c>
      <c r="AA69" s="1264"/>
      <c r="AB69" s="437"/>
      <c r="AC69" s="229"/>
      <c r="AD69" s="229"/>
      <c r="AF69" s="3">
        <v>1</v>
      </c>
    </row>
    <row r="70" spans="2:32" ht="30" customHeight="1">
      <c r="B70" s="2029">
        <f>B69+1</f>
        <v>2</v>
      </c>
      <c r="C70" s="2027" t="s">
        <v>4734</v>
      </c>
      <c r="D70" s="1262" t="s">
        <v>4737</v>
      </c>
      <c r="E70" s="5924" t="s">
        <v>4735</v>
      </c>
      <c r="F70" s="1262" t="s">
        <v>4738</v>
      </c>
      <c r="G70" s="5925" t="s">
        <v>4736</v>
      </c>
      <c r="H70" s="2020" t="s">
        <v>4739</v>
      </c>
      <c r="I70" s="9"/>
      <c r="J70" s="5910" t="s">
        <v>2</v>
      </c>
      <c r="K70" s="1336" t="s">
        <v>6879</v>
      </c>
      <c r="L70" s="5919" t="s">
        <v>6885</v>
      </c>
      <c r="M70" s="9"/>
      <c r="N70" s="5911">
        <f t="shared" si="12"/>
        <v>11</v>
      </c>
      <c r="O70" s="1332" t="s">
        <v>4740</v>
      </c>
      <c r="P70" s="1242" t="s">
        <v>4743</v>
      </c>
      <c r="Q70" s="5912" t="s">
        <v>4741</v>
      </c>
      <c r="R70" s="5913" t="s">
        <v>4744</v>
      </c>
      <c r="S70" s="2012" t="s">
        <v>4742</v>
      </c>
      <c r="T70" s="5913" t="s">
        <v>4745</v>
      </c>
      <c r="V70" s="1256">
        <v>10</v>
      </c>
      <c r="W70" s="1257" t="s">
        <v>4727</v>
      </c>
      <c r="X70" s="1239" t="s">
        <v>4728</v>
      </c>
      <c r="Y70" s="1239" t="s">
        <v>4729</v>
      </c>
      <c r="AA70" s="1280" t="s">
        <v>4730</v>
      </c>
      <c r="AB70" s="1281" t="s">
        <v>4731</v>
      </c>
      <c r="AC70" s="1281" t="s">
        <v>4732</v>
      </c>
      <c r="AD70" s="1281" t="s">
        <v>4733</v>
      </c>
      <c r="AF70" s="3">
        <v>1</v>
      </c>
    </row>
    <row r="71" spans="2:32" ht="30" customHeight="1">
      <c r="B71" s="2029">
        <f t="shared" ref="B71:B72" si="14">B70+1</f>
        <v>3</v>
      </c>
      <c r="C71" s="2027" t="s">
        <v>4764</v>
      </c>
      <c r="D71" s="1262" t="s">
        <v>4766</v>
      </c>
      <c r="E71" s="5924" t="s">
        <v>4765</v>
      </c>
      <c r="F71" s="1262" t="s">
        <v>4767</v>
      </c>
      <c r="G71" s="5925" t="s">
        <v>8763</v>
      </c>
      <c r="H71" s="2020" t="s">
        <v>4768</v>
      </c>
      <c r="I71" s="9"/>
      <c r="J71" s="5918"/>
      <c r="K71" s="1336" t="s">
        <v>6903</v>
      </c>
      <c r="L71" s="5919" t="s">
        <v>8125</v>
      </c>
      <c r="M71" s="9"/>
      <c r="N71" s="5911">
        <f t="shared" si="12"/>
        <v>12</v>
      </c>
      <c r="O71" s="1332" t="s">
        <v>4769</v>
      </c>
      <c r="P71" s="1242" t="s">
        <v>4772</v>
      </c>
      <c r="Q71" s="5912" t="s">
        <v>4770</v>
      </c>
      <c r="R71" s="5913" t="s">
        <v>4773</v>
      </c>
      <c r="S71" s="2012" t="s">
        <v>4771</v>
      </c>
      <c r="T71" s="5913" t="s">
        <v>4774</v>
      </c>
      <c r="V71" s="1256">
        <v>11</v>
      </c>
      <c r="W71" s="1257" t="s">
        <v>4758</v>
      </c>
      <c r="X71" s="1239" t="s">
        <v>4759</v>
      </c>
      <c r="Y71" s="1239" t="s">
        <v>4760</v>
      </c>
      <c r="AA71" s="1282" t="s">
        <v>2615</v>
      </c>
      <c r="AB71" s="1257" t="s">
        <v>4761</v>
      </c>
      <c r="AC71" s="1261" t="s">
        <v>4762</v>
      </c>
      <c r="AD71" s="1261" t="s">
        <v>4763</v>
      </c>
      <c r="AF71" s="3">
        <v>1</v>
      </c>
    </row>
    <row r="72" spans="2:32" ht="30" customHeight="1">
      <c r="B72" s="2029">
        <f t="shared" si="14"/>
        <v>4</v>
      </c>
      <c r="C72" s="2027" t="s">
        <v>4790</v>
      </c>
      <c r="D72" s="1262" t="s">
        <v>4792</v>
      </c>
      <c r="E72" s="5924" t="s">
        <v>4791</v>
      </c>
      <c r="F72" s="1262" t="s">
        <v>4793</v>
      </c>
      <c r="G72" s="5925" t="s">
        <v>8764</v>
      </c>
      <c r="H72" s="2020" t="s">
        <v>4794</v>
      </c>
      <c r="I72" s="9"/>
      <c r="J72" s="5918"/>
      <c r="K72" s="1336" t="s">
        <v>6909</v>
      </c>
      <c r="L72" s="5919" t="s">
        <v>114</v>
      </c>
      <c r="M72" s="9"/>
      <c r="N72" s="5911">
        <f t="shared" si="12"/>
        <v>13</v>
      </c>
      <c r="O72" s="1332" t="s">
        <v>4795</v>
      </c>
      <c r="P72" s="1242" t="s">
        <v>4798</v>
      </c>
      <c r="Q72" s="5912" t="s">
        <v>4796</v>
      </c>
      <c r="R72" s="5913" t="s">
        <v>4799</v>
      </c>
      <c r="S72" s="2012" t="s">
        <v>4797</v>
      </c>
      <c r="T72" s="5913" t="s">
        <v>4800</v>
      </c>
      <c r="V72" s="1256">
        <v>12</v>
      </c>
      <c r="W72" s="1257" t="s">
        <v>4784</v>
      </c>
      <c r="X72" s="1239" t="s">
        <v>4785</v>
      </c>
      <c r="Y72" s="1239" t="s">
        <v>4786</v>
      </c>
      <c r="AA72" s="1282" t="s">
        <v>2616</v>
      </c>
      <c r="AB72" s="1257" t="s">
        <v>4787</v>
      </c>
      <c r="AC72" s="1261" t="s">
        <v>4788</v>
      </c>
      <c r="AD72" s="1261" t="s">
        <v>4789</v>
      </c>
      <c r="AF72" s="3">
        <v>1</v>
      </c>
    </row>
    <row r="73" spans="2:32" ht="30" customHeight="1">
      <c r="B73" s="2029"/>
      <c r="C73" s="2017" t="s">
        <v>4813</v>
      </c>
      <c r="D73" s="1259"/>
      <c r="E73" s="5928"/>
      <c r="F73" s="1259"/>
      <c r="G73" s="5928"/>
      <c r="H73" s="5915"/>
      <c r="I73" s="9"/>
      <c r="J73" s="5918"/>
      <c r="K73" s="1336" t="s">
        <v>6945</v>
      </c>
      <c r="L73" s="5919" t="s">
        <v>6951</v>
      </c>
      <c r="M73" s="9"/>
      <c r="N73" s="5911">
        <f t="shared" si="12"/>
        <v>14</v>
      </c>
      <c r="O73" s="1332" t="s">
        <v>4814</v>
      </c>
      <c r="P73" s="1242" t="s">
        <v>4817</v>
      </c>
      <c r="Q73" s="5912" t="s">
        <v>4815</v>
      </c>
      <c r="R73" s="5913" t="s">
        <v>4818</v>
      </c>
      <c r="S73" s="2012" t="s">
        <v>4816</v>
      </c>
      <c r="T73" s="5913" t="s">
        <v>4819</v>
      </c>
      <c r="V73" s="1256">
        <v>13</v>
      </c>
      <c r="W73" s="1257" t="s">
        <v>4807</v>
      </c>
      <c r="X73" s="1239" t="s">
        <v>4808</v>
      </c>
      <c r="Y73" s="1239" t="s">
        <v>4809</v>
      </c>
      <c r="AA73" s="7021" t="s">
        <v>2617</v>
      </c>
      <c r="AB73" s="7018" t="s">
        <v>4810</v>
      </c>
      <c r="AC73" s="7022" t="s">
        <v>4811</v>
      </c>
      <c r="AD73" s="7022" t="s">
        <v>4812</v>
      </c>
      <c r="AF73" s="3">
        <v>1</v>
      </c>
    </row>
    <row r="74" spans="2:32" ht="30" customHeight="1">
      <c r="B74" s="2029">
        <v>1</v>
      </c>
      <c r="C74" s="2027" t="s">
        <v>4832</v>
      </c>
      <c r="D74" s="1262" t="s">
        <v>4834</v>
      </c>
      <c r="E74" s="5924" t="s">
        <v>4833</v>
      </c>
      <c r="F74" s="1262" t="s">
        <v>4835</v>
      </c>
      <c r="G74" s="5925" t="s">
        <v>8765</v>
      </c>
      <c r="H74" s="2020" t="s">
        <v>4836</v>
      </c>
      <c r="I74" s="9"/>
      <c r="J74" s="5918"/>
      <c r="K74" s="1336" t="s">
        <v>7001</v>
      </c>
      <c r="L74" s="5919" t="s">
        <v>7007</v>
      </c>
      <c r="M74" s="9"/>
      <c r="N74" s="5911">
        <f t="shared" si="12"/>
        <v>15</v>
      </c>
      <c r="O74" s="1332" t="s">
        <v>4837</v>
      </c>
      <c r="P74" s="1242" t="s">
        <v>4839</v>
      </c>
      <c r="Q74" s="5912" t="s">
        <v>4278</v>
      </c>
      <c r="R74" s="5913" t="s">
        <v>4840</v>
      </c>
      <c r="S74" s="2012" t="s">
        <v>4838</v>
      </c>
      <c r="T74" s="5913" t="s">
        <v>4841</v>
      </c>
      <c r="V74" s="1256">
        <v>14</v>
      </c>
      <c r="W74" s="1257" t="s">
        <v>4829</v>
      </c>
      <c r="X74" s="1239" t="s">
        <v>4830</v>
      </c>
      <c r="Y74" s="1239" t="s">
        <v>4831</v>
      </c>
      <c r="AA74" s="7021"/>
      <c r="AB74" s="7018"/>
      <c r="AC74" s="7022"/>
      <c r="AD74" s="7022"/>
      <c r="AF74" s="3">
        <v>1</v>
      </c>
    </row>
    <row r="75" spans="2:32" ht="30" customHeight="1">
      <c r="B75" s="2029">
        <f>B74+1</f>
        <v>2</v>
      </c>
      <c r="C75" s="2027" t="s">
        <v>4857</v>
      </c>
      <c r="D75" s="1262" t="s">
        <v>4859</v>
      </c>
      <c r="E75" s="5924" t="s">
        <v>4858</v>
      </c>
      <c r="F75" s="1262" t="s">
        <v>4860</v>
      </c>
      <c r="G75" s="5925" t="s">
        <v>8766</v>
      </c>
      <c r="H75" s="2020" t="s">
        <v>4861</v>
      </c>
      <c r="I75" s="9"/>
      <c r="J75" s="5918"/>
      <c r="K75" s="1336" t="s">
        <v>7043</v>
      </c>
      <c r="L75" s="5919" t="s">
        <v>7037</v>
      </c>
      <c r="M75" s="9"/>
      <c r="N75" s="5911">
        <f t="shared" si="12"/>
        <v>16</v>
      </c>
      <c r="O75" s="1332" t="s">
        <v>4862</v>
      </c>
      <c r="P75" s="1242" t="s">
        <v>4865</v>
      </c>
      <c r="Q75" s="5912" t="s">
        <v>4863</v>
      </c>
      <c r="R75" s="5913" t="s">
        <v>4866</v>
      </c>
      <c r="S75" s="2012" t="s">
        <v>4864</v>
      </c>
      <c r="T75" s="5913" t="s">
        <v>4867</v>
      </c>
      <c r="V75" s="1256">
        <v>15</v>
      </c>
      <c r="W75" s="1257" t="s">
        <v>4851</v>
      </c>
      <c r="X75" s="1239" t="s">
        <v>4852</v>
      </c>
      <c r="Y75" s="1239" t="s">
        <v>4853</v>
      </c>
      <c r="AA75" s="1257"/>
      <c r="AB75" s="1257" t="s">
        <v>4854</v>
      </c>
      <c r="AC75" s="1261" t="s">
        <v>4855</v>
      </c>
      <c r="AD75" s="1261" t="s">
        <v>4856</v>
      </c>
      <c r="AF75" s="3">
        <v>1</v>
      </c>
    </row>
    <row r="76" spans="2:32" ht="30" customHeight="1">
      <c r="B76" s="2029">
        <f t="shared" ref="B76:B77" si="15">B75+1</f>
        <v>3</v>
      </c>
      <c r="C76" s="2027" t="s">
        <v>4880</v>
      </c>
      <c r="D76" s="1262" t="s">
        <v>4883</v>
      </c>
      <c r="E76" s="5924" t="s">
        <v>4881</v>
      </c>
      <c r="F76" s="1262" t="s">
        <v>4884</v>
      </c>
      <c r="G76" s="5925" t="s">
        <v>4882</v>
      </c>
      <c r="H76" s="2020" t="s">
        <v>4885</v>
      </c>
      <c r="I76" s="9"/>
      <c r="J76" s="5918"/>
      <c r="K76" s="1338"/>
      <c r="L76" s="5919" t="s">
        <v>6999</v>
      </c>
      <c r="M76" s="9"/>
      <c r="N76" s="5911">
        <f t="shared" si="12"/>
        <v>17</v>
      </c>
      <c r="O76" s="1332" t="s">
        <v>4886</v>
      </c>
      <c r="P76" s="1242" t="s">
        <v>4889</v>
      </c>
      <c r="Q76" s="5912" t="s">
        <v>4887</v>
      </c>
      <c r="R76" s="5913" t="s">
        <v>4890</v>
      </c>
      <c r="S76" s="2012" t="s">
        <v>4888</v>
      </c>
      <c r="T76" s="5913" t="s">
        <v>4891</v>
      </c>
      <c r="V76" s="1256">
        <v>16</v>
      </c>
      <c r="W76" s="1257" t="s">
        <v>4874</v>
      </c>
      <c r="X76" s="1239" t="s">
        <v>4875</v>
      </c>
      <c r="Y76" s="1239" t="s">
        <v>4876</v>
      </c>
      <c r="AA76" s="1257"/>
      <c r="AB76" s="7018" t="s">
        <v>4877</v>
      </c>
      <c r="AC76" s="1261" t="s">
        <v>4878</v>
      </c>
      <c r="AD76" s="1261" t="s">
        <v>4879</v>
      </c>
      <c r="AF76" s="3">
        <v>1</v>
      </c>
    </row>
    <row r="77" spans="2:32" ht="30" customHeight="1">
      <c r="B77" s="2029">
        <f t="shared" si="15"/>
        <v>4</v>
      </c>
      <c r="C77" s="2027" t="s">
        <v>4904</v>
      </c>
      <c r="D77" s="1262" t="s">
        <v>4906</v>
      </c>
      <c r="E77" s="5921" t="s">
        <v>4905</v>
      </c>
      <c r="F77" s="1262" t="s">
        <v>4907</v>
      </c>
      <c r="G77" s="5922" t="s">
        <v>8767</v>
      </c>
      <c r="H77" s="5923" t="s">
        <v>4908</v>
      </c>
      <c r="I77" s="9"/>
      <c r="J77" s="5926"/>
      <c r="K77" s="7019"/>
      <c r="L77" s="7020"/>
      <c r="M77" s="9"/>
      <c r="N77" s="5911"/>
      <c r="O77" s="1331" t="s">
        <v>1486</v>
      </c>
      <c r="P77" s="1238"/>
      <c r="Q77" s="5932"/>
      <c r="R77" s="5933"/>
      <c r="S77" s="2013"/>
      <c r="T77" s="5934"/>
      <c r="V77" s="1256">
        <v>17</v>
      </c>
      <c r="W77" s="1257" t="s">
        <v>4901</v>
      </c>
      <c r="X77" s="1239" t="s">
        <v>4902</v>
      </c>
      <c r="Y77" s="1239" t="s">
        <v>4903</v>
      </c>
      <c r="AA77" s="1257"/>
      <c r="AB77" s="7018"/>
      <c r="AC77" s="1265"/>
      <c r="AD77" s="1265"/>
      <c r="AF77" s="3">
        <v>1</v>
      </c>
    </row>
    <row r="78" spans="2:32" ht="30" customHeight="1">
      <c r="B78" s="5937"/>
      <c r="C78" s="176"/>
      <c r="D78" s="1262"/>
      <c r="E78" s="2018"/>
      <c r="F78" s="1262"/>
      <c r="G78" s="2019"/>
      <c r="H78" s="1262"/>
      <c r="I78" s="9"/>
      <c r="J78" s="5910" t="s">
        <v>4522</v>
      </c>
      <c r="K78" s="1336" t="s">
        <v>7107</v>
      </c>
      <c r="L78" s="5919" t="s">
        <v>7113</v>
      </c>
      <c r="M78" s="9"/>
      <c r="N78" s="5911">
        <v>1</v>
      </c>
      <c r="O78" s="1332" t="s">
        <v>4921</v>
      </c>
      <c r="P78" s="1242" t="s">
        <v>4924</v>
      </c>
      <c r="Q78" s="5912" t="s">
        <v>4922</v>
      </c>
      <c r="R78" s="5913" t="s">
        <v>4925</v>
      </c>
      <c r="S78" s="2012" t="s">
        <v>4923</v>
      </c>
      <c r="T78" s="5913" t="s">
        <v>4926</v>
      </c>
      <c r="V78" s="1256">
        <v>18</v>
      </c>
      <c r="W78" s="1257" t="s">
        <v>4918</v>
      </c>
      <c r="X78" s="1239" t="s">
        <v>4919</v>
      </c>
      <c r="Y78" s="1239" t="s">
        <v>4920</v>
      </c>
      <c r="Z78" s="508"/>
      <c r="AA78" s="2025" t="s">
        <v>200</v>
      </c>
      <c r="AB78" s="2024" t="s">
        <v>8097</v>
      </c>
      <c r="AC78" s="1261"/>
      <c r="AD78" s="1261"/>
      <c r="AF78" s="3">
        <v>1</v>
      </c>
    </row>
    <row r="79" spans="2:32" ht="30" customHeight="1">
      <c r="B79" s="5937"/>
      <c r="C79" s="176"/>
      <c r="D79" s="1262"/>
      <c r="E79" s="2018"/>
      <c r="F79" s="1262"/>
      <c r="G79" s="2019"/>
      <c r="H79" s="1262"/>
      <c r="I79" s="9"/>
      <c r="J79" s="5918"/>
      <c r="K79" s="1336" t="s">
        <v>8126</v>
      </c>
      <c r="L79" s="5919" t="s">
        <v>8127</v>
      </c>
      <c r="M79" s="9"/>
      <c r="N79" s="5911">
        <f>N78+1</f>
        <v>2</v>
      </c>
      <c r="O79" s="1332" t="s">
        <v>4936</v>
      </c>
      <c r="P79" s="1242" t="s">
        <v>4939</v>
      </c>
      <c r="Q79" s="5912" t="s">
        <v>4937</v>
      </c>
      <c r="R79" s="5913" t="s">
        <v>4940</v>
      </c>
      <c r="S79" s="2012" t="s">
        <v>4938</v>
      </c>
      <c r="T79" s="5913" t="s">
        <v>4941</v>
      </c>
      <c r="V79" s="1256"/>
      <c r="AA79" s="1256"/>
      <c r="AB79" s="1257"/>
      <c r="AC79" s="1261"/>
      <c r="AD79" s="1261"/>
      <c r="AF79" s="3">
        <v>1</v>
      </c>
    </row>
    <row r="80" spans="2:32" ht="30" customHeight="1">
      <c r="B80" s="5937"/>
      <c r="C80" s="176"/>
      <c r="D80" s="1262"/>
      <c r="E80" s="2018"/>
      <c r="F80" s="1262"/>
      <c r="G80" s="2019"/>
      <c r="H80" s="1262"/>
      <c r="I80" s="9"/>
      <c r="J80" s="5918"/>
      <c r="K80" s="1337"/>
      <c r="L80" s="5919" t="s">
        <v>8128</v>
      </c>
      <c r="M80" s="9"/>
      <c r="N80" s="5911">
        <f t="shared" ref="N80:N95" si="16">N79+1</f>
        <v>3</v>
      </c>
      <c r="O80" s="1331" t="s">
        <v>3639</v>
      </c>
      <c r="P80" s="1238"/>
      <c r="Q80" s="5932"/>
      <c r="R80" s="5933"/>
      <c r="S80" s="2013"/>
      <c r="T80" s="5934"/>
      <c r="V80" s="1256"/>
      <c r="W80" s="1250" t="s">
        <v>4951</v>
      </c>
      <c r="X80" s="1273"/>
      <c r="Y80" s="1273"/>
      <c r="AA80" s="1256"/>
      <c r="AB80" s="1257"/>
      <c r="AC80" s="1261"/>
      <c r="AD80" s="1261"/>
      <c r="AF80" s="3">
        <v>1</v>
      </c>
    </row>
    <row r="81" spans="2:32" ht="30" customHeight="1">
      <c r="B81" s="5937"/>
      <c r="C81" s="176"/>
      <c r="D81" s="1262"/>
      <c r="E81" s="2018"/>
      <c r="F81" s="1262"/>
      <c r="G81" s="2019"/>
      <c r="H81" s="1262"/>
      <c r="I81" s="9"/>
      <c r="J81" s="5918"/>
      <c r="K81" s="1336" t="s">
        <v>8129</v>
      </c>
      <c r="L81" s="5919" t="s">
        <v>7155</v>
      </c>
      <c r="M81" s="9"/>
      <c r="N81" s="5911">
        <f t="shared" si="16"/>
        <v>4</v>
      </c>
      <c r="O81" s="1332" t="s">
        <v>4963</v>
      </c>
      <c r="P81" s="1242" t="s">
        <v>4966</v>
      </c>
      <c r="Q81" s="5912" t="s">
        <v>4964</v>
      </c>
      <c r="R81" s="5913" t="s">
        <v>4967</v>
      </c>
      <c r="S81" s="2012" t="s">
        <v>4965</v>
      </c>
      <c r="T81" s="5913" t="s">
        <v>4968</v>
      </c>
      <c r="V81" s="1256">
        <v>1</v>
      </c>
      <c r="W81" s="1257" t="s">
        <v>4960</v>
      </c>
      <c r="X81" s="1239" t="s">
        <v>4961</v>
      </c>
      <c r="Y81" s="1239" t="s">
        <v>4962</v>
      </c>
      <c r="AA81" s="1256"/>
      <c r="AB81" s="1257"/>
      <c r="AC81" s="1261"/>
      <c r="AD81" s="1261"/>
      <c r="AF81" s="3">
        <v>1</v>
      </c>
    </row>
    <row r="82" spans="2:32" ht="30" customHeight="1">
      <c r="B82" s="5937"/>
      <c r="C82" s="176"/>
      <c r="D82" s="1262"/>
      <c r="E82" s="2018"/>
      <c r="F82" s="1262"/>
      <c r="G82" s="2019"/>
      <c r="H82" s="1262"/>
      <c r="I82" s="9"/>
      <c r="J82" s="5918"/>
      <c r="K82" s="1336" t="s">
        <v>8130</v>
      </c>
      <c r="L82" s="5919" t="s">
        <v>7179</v>
      </c>
      <c r="M82" s="9"/>
      <c r="N82" s="5911">
        <f t="shared" si="16"/>
        <v>5</v>
      </c>
      <c r="O82" s="1332" t="s">
        <v>4979</v>
      </c>
      <c r="P82" s="1242" t="s">
        <v>4982</v>
      </c>
      <c r="Q82" s="5912" t="s">
        <v>4980</v>
      </c>
      <c r="R82" s="5913" t="s">
        <v>4983</v>
      </c>
      <c r="S82" s="2012" t="s">
        <v>4981</v>
      </c>
      <c r="T82" s="5913" t="s">
        <v>4984</v>
      </c>
      <c r="V82" s="1256">
        <v>2</v>
      </c>
      <c r="W82" s="1257" t="s">
        <v>4976</v>
      </c>
      <c r="X82" s="1239" t="s">
        <v>4977</v>
      </c>
      <c r="Y82" s="1239" t="s">
        <v>4978</v>
      </c>
      <c r="AA82" s="1256"/>
      <c r="AB82" s="1257"/>
      <c r="AC82" s="1261"/>
      <c r="AD82" s="1261"/>
      <c r="AF82" s="3">
        <v>1</v>
      </c>
    </row>
    <row r="83" spans="2:32" ht="30" customHeight="1">
      <c r="B83" s="5937"/>
      <c r="C83" s="176"/>
      <c r="D83" s="1262"/>
      <c r="E83" s="2018"/>
      <c r="F83" s="1262"/>
      <c r="G83" s="2019"/>
      <c r="H83" s="1262"/>
      <c r="I83" s="9"/>
      <c r="J83" s="5918"/>
      <c r="K83" s="1336" t="s">
        <v>7221</v>
      </c>
      <c r="L83" s="5919" t="s">
        <v>7227</v>
      </c>
      <c r="M83" s="9"/>
      <c r="N83" s="5911">
        <f t="shared" si="16"/>
        <v>6</v>
      </c>
      <c r="O83" s="1332" t="s">
        <v>4997</v>
      </c>
      <c r="P83" s="1242" t="s">
        <v>5000</v>
      </c>
      <c r="Q83" s="5912" t="s">
        <v>4998</v>
      </c>
      <c r="R83" s="5913" t="s">
        <v>5001</v>
      </c>
      <c r="S83" s="2012" t="s">
        <v>4999</v>
      </c>
      <c r="T83" s="5913" t="s">
        <v>5002</v>
      </c>
      <c r="V83" s="1256">
        <v>3</v>
      </c>
      <c r="W83" s="1257" t="s">
        <v>4994</v>
      </c>
      <c r="X83" s="1239" t="s">
        <v>4995</v>
      </c>
      <c r="Y83" s="1239" t="s">
        <v>4996</v>
      </c>
      <c r="AA83" s="1256"/>
      <c r="AB83" s="1257"/>
      <c r="AC83" s="1261"/>
      <c r="AD83" s="1261"/>
      <c r="AF83" s="3">
        <v>1</v>
      </c>
    </row>
    <row r="84" spans="2:32" ht="30" customHeight="1">
      <c r="B84" s="5937"/>
      <c r="C84" s="176"/>
      <c r="D84" s="1262"/>
      <c r="E84" s="2018"/>
      <c r="F84" s="1262"/>
      <c r="G84" s="2019"/>
      <c r="H84" s="1262"/>
      <c r="I84" s="9"/>
      <c r="J84" s="5918"/>
      <c r="K84" s="1336" t="s">
        <v>8131</v>
      </c>
      <c r="L84" s="5919" t="s">
        <v>8132</v>
      </c>
      <c r="M84" s="9"/>
      <c r="N84" s="5911">
        <f t="shared" si="16"/>
        <v>7</v>
      </c>
      <c r="O84" s="1332" t="s">
        <v>5012</v>
      </c>
      <c r="P84" s="1242" t="s">
        <v>5015</v>
      </c>
      <c r="Q84" s="5912" t="s">
        <v>5013</v>
      </c>
      <c r="R84" s="5913" t="s">
        <v>5016</v>
      </c>
      <c r="S84" s="2012" t="s">
        <v>5014</v>
      </c>
      <c r="T84" s="5913" t="s">
        <v>5017</v>
      </c>
      <c r="V84" s="1256">
        <v>4</v>
      </c>
      <c r="W84" s="1257" t="s">
        <v>5009</v>
      </c>
      <c r="X84" s="1239" t="s">
        <v>5010</v>
      </c>
      <c r="Y84" s="1239" t="s">
        <v>5011</v>
      </c>
      <c r="AA84" s="1256"/>
      <c r="AB84" s="1257"/>
      <c r="AC84" s="1261"/>
      <c r="AD84" s="1261"/>
      <c r="AF84" s="3">
        <v>1</v>
      </c>
    </row>
    <row r="85" spans="2:32" ht="30" customHeight="1">
      <c r="B85" s="5937"/>
      <c r="C85" s="176"/>
      <c r="D85" s="1262"/>
      <c r="E85" s="2018"/>
      <c r="F85" s="1262"/>
      <c r="G85" s="2019"/>
      <c r="H85" s="1262"/>
      <c r="I85" s="9"/>
      <c r="J85" s="5918"/>
      <c r="K85" s="1337"/>
      <c r="L85" s="5919" t="s">
        <v>7262</v>
      </c>
      <c r="M85" s="9"/>
      <c r="N85" s="5911">
        <f t="shared" si="16"/>
        <v>8</v>
      </c>
      <c r="O85" s="1332" t="s">
        <v>5030</v>
      </c>
      <c r="P85" s="1242" t="s">
        <v>5033</v>
      </c>
      <c r="Q85" s="5912" t="s">
        <v>5031</v>
      </c>
      <c r="R85" s="5913" t="s">
        <v>5034</v>
      </c>
      <c r="S85" s="2012" t="s">
        <v>5032</v>
      </c>
      <c r="T85" s="5913" t="s">
        <v>5035</v>
      </c>
      <c r="V85" s="1256">
        <v>5</v>
      </c>
      <c r="W85" s="1257" t="s">
        <v>5027</v>
      </c>
      <c r="X85" s="1239" t="s">
        <v>5028</v>
      </c>
      <c r="Y85" s="1239" t="s">
        <v>5029</v>
      </c>
      <c r="AA85" s="1256"/>
      <c r="AB85" s="1257"/>
      <c r="AC85" s="1261"/>
      <c r="AD85" s="1261"/>
      <c r="AF85" s="3">
        <v>1</v>
      </c>
    </row>
    <row r="86" spans="2:32" ht="30" customHeight="1">
      <c r="B86" s="5937"/>
      <c r="C86" s="176"/>
      <c r="D86" s="1262"/>
      <c r="E86" s="2018"/>
      <c r="F86" s="1262"/>
      <c r="G86" s="2019"/>
      <c r="H86" s="1262"/>
      <c r="I86" s="9"/>
      <c r="J86" s="5918"/>
      <c r="K86" s="1336" t="s">
        <v>7285</v>
      </c>
      <c r="L86" s="5919" t="s">
        <v>7274</v>
      </c>
      <c r="M86" s="9"/>
      <c r="N86" s="5911">
        <f t="shared" si="16"/>
        <v>9</v>
      </c>
      <c r="O86" s="1332" t="s">
        <v>5048</v>
      </c>
      <c r="P86" s="1242" t="s">
        <v>5051</v>
      </c>
      <c r="Q86" s="5912" t="s">
        <v>5049</v>
      </c>
      <c r="R86" s="5913" t="s">
        <v>5052</v>
      </c>
      <c r="S86" s="2012" t="s">
        <v>5050</v>
      </c>
      <c r="T86" s="5913" t="s">
        <v>5053</v>
      </c>
      <c r="V86" s="1256">
        <v>6</v>
      </c>
      <c r="W86" s="1257" t="s">
        <v>5045</v>
      </c>
      <c r="X86" s="1239" t="s">
        <v>5046</v>
      </c>
      <c r="Y86" s="1239" t="s">
        <v>5047</v>
      </c>
      <c r="AA86" s="1256"/>
      <c r="AB86" s="1257"/>
      <c r="AC86" s="1261"/>
      <c r="AD86" s="1261"/>
      <c r="AF86" s="3">
        <v>1</v>
      </c>
    </row>
    <row r="87" spans="2:32" ht="30" customHeight="1">
      <c r="B87" s="5937"/>
      <c r="C87" s="176"/>
      <c r="D87" s="1262"/>
      <c r="E87" s="2018"/>
      <c r="F87" s="1262"/>
      <c r="G87" s="2019"/>
      <c r="H87" s="1262"/>
      <c r="I87" s="9"/>
      <c r="J87" s="5918"/>
      <c r="K87" s="1336" t="s">
        <v>7288</v>
      </c>
      <c r="L87" s="5919" t="s">
        <v>7280</v>
      </c>
      <c r="M87" s="9"/>
      <c r="N87" s="5911">
        <f t="shared" si="16"/>
        <v>10</v>
      </c>
      <c r="O87" s="1332" t="s">
        <v>5066</v>
      </c>
      <c r="P87" s="1242" t="s">
        <v>5069</v>
      </c>
      <c r="Q87" s="5912" t="s">
        <v>5067</v>
      </c>
      <c r="R87" s="5913" t="s">
        <v>5070</v>
      </c>
      <c r="S87" s="2012" t="s">
        <v>5068</v>
      </c>
      <c r="T87" s="5913" t="s">
        <v>5071</v>
      </c>
      <c r="V87" s="1256">
        <v>7</v>
      </c>
      <c r="W87" s="1257" t="s">
        <v>5063</v>
      </c>
      <c r="X87" s="1239" t="s">
        <v>5064</v>
      </c>
      <c r="Y87" s="1239" t="s">
        <v>5065</v>
      </c>
      <c r="AA87" s="1256"/>
      <c r="AB87" s="1257"/>
      <c r="AC87" s="1261"/>
      <c r="AD87" s="1261"/>
      <c r="AF87" s="3">
        <v>1</v>
      </c>
    </row>
    <row r="88" spans="2:32" ht="30" customHeight="1">
      <c r="B88" s="5937"/>
      <c r="C88" s="176"/>
      <c r="D88" s="1262"/>
      <c r="E88" s="2018"/>
      <c r="F88" s="1262"/>
      <c r="G88" s="2019"/>
      <c r="H88" s="1262"/>
      <c r="I88" s="9"/>
      <c r="J88" s="5918"/>
      <c r="K88" s="1336" t="s">
        <v>7303</v>
      </c>
      <c r="L88" s="5919" t="s">
        <v>7297</v>
      </c>
      <c r="M88" s="9"/>
      <c r="N88" s="5911">
        <f t="shared" si="16"/>
        <v>11</v>
      </c>
      <c r="O88" s="1332" t="s">
        <v>5084</v>
      </c>
      <c r="P88" s="1242" t="s">
        <v>5087</v>
      </c>
      <c r="Q88" s="5912" t="s">
        <v>5085</v>
      </c>
      <c r="R88" s="5913" t="s">
        <v>5088</v>
      </c>
      <c r="S88" s="2012" t="s">
        <v>5086</v>
      </c>
      <c r="T88" s="5913" t="s">
        <v>5089</v>
      </c>
      <c r="V88" s="1256">
        <v>8</v>
      </c>
      <c r="W88" s="1257" t="s">
        <v>5081</v>
      </c>
      <c r="X88" s="1239" t="s">
        <v>5082</v>
      </c>
      <c r="Y88" s="1239" t="s">
        <v>5083</v>
      </c>
      <c r="AC88" s="1261"/>
      <c r="AD88" s="1261"/>
      <c r="AF88" s="3">
        <v>1</v>
      </c>
    </row>
    <row r="89" spans="2:32" ht="30" customHeight="1">
      <c r="B89" s="5937"/>
      <c r="C89" s="176"/>
      <c r="D89" s="1262"/>
      <c r="E89" s="2018"/>
      <c r="F89" s="1262"/>
      <c r="G89" s="2019"/>
      <c r="H89" s="1262"/>
      <c r="I89" s="9"/>
      <c r="J89" s="5918"/>
      <c r="K89" s="1337"/>
      <c r="L89" s="5919" t="s">
        <v>7321</v>
      </c>
      <c r="M89" s="9"/>
      <c r="N89" s="5911">
        <f t="shared" si="16"/>
        <v>12</v>
      </c>
      <c r="O89" s="1332" t="s">
        <v>5102</v>
      </c>
      <c r="P89" s="1242" t="s">
        <v>5105</v>
      </c>
      <c r="Q89" s="5912" t="s">
        <v>5103</v>
      </c>
      <c r="R89" s="5913" t="s">
        <v>5106</v>
      </c>
      <c r="S89" s="2012" t="s">
        <v>5104</v>
      </c>
      <c r="T89" s="5913" t="s">
        <v>5107</v>
      </c>
      <c r="V89" s="1256">
        <v>9</v>
      </c>
      <c r="W89" s="1257" t="s">
        <v>5099</v>
      </c>
      <c r="X89" s="1239" t="s">
        <v>5100</v>
      </c>
      <c r="Y89" s="1239" t="s">
        <v>5101</v>
      </c>
      <c r="AA89" s="1256"/>
      <c r="AB89" s="1257"/>
      <c r="AC89" s="1261"/>
      <c r="AD89" s="1261"/>
      <c r="AF89" s="3">
        <v>1</v>
      </c>
    </row>
    <row r="90" spans="2:32" ht="30" customHeight="1">
      <c r="B90" s="5937"/>
      <c r="C90" s="176"/>
      <c r="D90" s="1262"/>
      <c r="E90" s="2018"/>
      <c r="F90" s="1262"/>
      <c r="G90" s="2019"/>
      <c r="H90" s="1262"/>
      <c r="I90" s="9"/>
      <c r="J90" s="5918"/>
      <c r="K90" s="1336" t="s">
        <v>7339</v>
      </c>
      <c r="L90" s="5919" t="s">
        <v>8133</v>
      </c>
      <c r="M90" s="9"/>
      <c r="N90" s="5911">
        <f t="shared" si="16"/>
        <v>13</v>
      </c>
      <c r="O90" s="1332" t="s">
        <v>5120</v>
      </c>
      <c r="P90" s="1242" t="s">
        <v>5123</v>
      </c>
      <c r="Q90" s="5912" t="s">
        <v>5121</v>
      </c>
      <c r="R90" s="5913" t="s">
        <v>5124</v>
      </c>
      <c r="S90" s="2012" t="s">
        <v>5122</v>
      </c>
      <c r="T90" s="5913" t="s">
        <v>5125</v>
      </c>
      <c r="V90" s="1256">
        <v>10</v>
      </c>
      <c r="W90" s="1257" t="s">
        <v>5117</v>
      </c>
      <c r="X90" s="1239" t="s">
        <v>5118</v>
      </c>
      <c r="Y90" s="1239" t="s">
        <v>5119</v>
      </c>
      <c r="AA90" s="1256"/>
      <c r="AB90" s="1257"/>
      <c r="AC90" s="1261"/>
      <c r="AD90" s="1261"/>
      <c r="AF90" s="3">
        <v>1</v>
      </c>
    </row>
    <row r="91" spans="2:32" ht="30" customHeight="1">
      <c r="B91" s="5937"/>
      <c r="C91" s="176"/>
      <c r="D91" s="1262"/>
      <c r="E91" s="2018"/>
      <c r="F91" s="1262"/>
      <c r="G91" s="2019"/>
      <c r="H91" s="1262"/>
      <c r="I91" s="9"/>
      <c r="J91" s="5926"/>
      <c r="K91" s="7019"/>
      <c r="L91" s="7020"/>
      <c r="M91" s="9"/>
      <c r="N91" s="5911">
        <f t="shared" si="16"/>
        <v>14</v>
      </c>
      <c r="O91" s="1332" t="s">
        <v>5138</v>
      </c>
      <c r="P91" s="1242" t="s">
        <v>5141</v>
      </c>
      <c r="Q91" s="5912" t="s">
        <v>5139</v>
      </c>
      <c r="R91" s="5913" t="s">
        <v>5142</v>
      </c>
      <c r="S91" s="2012" t="s">
        <v>5140</v>
      </c>
      <c r="T91" s="5913" t="s">
        <v>5143</v>
      </c>
      <c r="V91" s="1256">
        <v>11</v>
      </c>
      <c r="W91" s="1257" t="s">
        <v>5135</v>
      </c>
      <c r="X91" s="1239" t="s">
        <v>5136</v>
      </c>
      <c r="Y91" s="1239" t="s">
        <v>5137</v>
      </c>
      <c r="AA91" s="1256"/>
      <c r="AB91" s="1257"/>
      <c r="AC91" s="1261"/>
      <c r="AD91" s="1261"/>
      <c r="AF91" s="3">
        <v>1</v>
      </c>
    </row>
    <row r="92" spans="2:32" ht="30" customHeight="1">
      <c r="B92" s="5937"/>
      <c r="C92" s="176"/>
      <c r="D92" s="1262"/>
      <c r="E92" s="2018"/>
      <c r="F92" s="1262"/>
      <c r="G92" s="2019"/>
      <c r="H92" s="1262"/>
      <c r="I92" s="9"/>
      <c r="J92" s="5910" t="s">
        <v>4683</v>
      </c>
      <c r="K92" s="1336" t="s">
        <v>8134</v>
      </c>
      <c r="L92" s="5919" t="s">
        <v>7494</v>
      </c>
      <c r="M92" s="9"/>
      <c r="N92" s="5911">
        <f t="shared" si="16"/>
        <v>15</v>
      </c>
      <c r="O92" s="1332" t="s">
        <v>5156</v>
      </c>
      <c r="P92" s="1242" t="s">
        <v>5159</v>
      </c>
      <c r="Q92" s="5912" t="s">
        <v>5157</v>
      </c>
      <c r="R92" s="5913" t="s">
        <v>5160</v>
      </c>
      <c r="S92" s="2012" t="s">
        <v>5158</v>
      </c>
      <c r="T92" s="5913" t="s">
        <v>5161</v>
      </c>
      <c r="V92" s="1256">
        <v>12</v>
      </c>
      <c r="W92" s="1257" t="s">
        <v>5153</v>
      </c>
      <c r="X92" s="1239" t="s">
        <v>5154</v>
      </c>
      <c r="Y92" s="1239" t="s">
        <v>5155</v>
      </c>
      <c r="AA92" s="1256"/>
      <c r="AB92" s="1257"/>
      <c r="AC92" s="1261"/>
      <c r="AD92" s="1261"/>
      <c r="AF92" s="3">
        <v>1</v>
      </c>
    </row>
    <row r="93" spans="2:32" ht="30" customHeight="1">
      <c r="B93" s="5937"/>
      <c r="C93" s="176"/>
      <c r="D93" s="1262"/>
      <c r="E93" s="2018"/>
      <c r="F93" s="1262"/>
      <c r="G93" s="2019"/>
      <c r="H93" s="1262"/>
      <c r="I93" s="9"/>
      <c r="J93" s="5918"/>
      <c r="K93" s="1336" t="s">
        <v>8135</v>
      </c>
      <c r="L93" s="5919" t="s">
        <v>7500</v>
      </c>
      <c r="M93" s="9"/>
      <c r="N93" s="5911">
        <f t="shared" si="16"/>
        <v>16</v>
      </c>
      <c r="O93" s="1332" t="s">
        <v>5174</v>
      </c>
      <c r="P93" s="1242" t="s">
        <v>5177</v>
      </c>
      <c r="Q93" s="5912" t="s">
        <v>5175</v>
      </c>
      <c r="R93" s="5913" t="s">
        <v>5178</v>
      </c>
      <c r="S93" s="2012" t="s">
        <v>5176</v>
      </c>
      <c r="T93" s="5913" t="s">
        <v>5179</v>
      </c>
      <c r="V93" s="1256">
        <v>13</v>
      </c>
      <c r="W93" s="1257" t="s">
        <v>5171</v>
      </c>
      <c r="X93" s="1239" t="s">
        <v>5172</v>
      </c>
      <c r="Y93" s="1239" t="s">
        <v>5173</v>
      </c>
      <c r="AA93" s="1256"/>
      <c r="AB93" s="1257"/>
      <c r="AC93" s="1261"/>
      <c r="AD93" s="1261"/>
      <c r="AF93" s="3">
        <v>1</v>
      </c>
    </row>
    <row r="94" spans="2:32" ht="30" customHeight="1">
      <c r="B94" s="5937"/>
      <c r="C94" s="176"/>
      <c r="D94" s="1262"/>
      <c r="E94" s="2018"/>
      <c r="F94" s="1262"/>
      <c r="G94" s="2019"/>
      <c r="H94" s="1262"/>
      <c r="I94" s="9"/>
      <c r="J94" s="5918"/>
      <c r="K94" s="1336" t="s">
        <v>7506</v>
      </c>
      <c r="L94" s="5919" t="s">
        <v>7512</v>
      </c>
      <c r="M94" s="9"/>
      <c r="N94" s="5911">
        <f t="shared" si="16"/>
        <v>17</v>
      </c>
      <c r="O94" s="1332" t="s">
        <v>5189</v>
      </c>
      <c r="P94" s="1242" t="s">
        <v>5192</v>
      </c>
      <c r="Q94" s="5912" t="s">
        <v>5190</v>
      </c>
      <c r="R94" s="5913" t="s">
        <v>5193</v>
      </c>
      <c r="S94" s="2012" t="s">
        <v>5191</v>
      </c>
      <c r="T94" s="5913" t="s">
        <v>5194</v>
      </c>
      <c r="V94" s="1256">
        <v>14</v>
      </c>
      <c r="W94" s="1257" t="s">
        <v>5186</v>
      </c>
      <c r="X94" s="1239" t="s">
        <v>5187</v>
      </c>
      <c r="Y94" s="1239" t="s">
        <v>5188</v>
      </c>
      <c r="AA94" s="1256"/>
      <c r="AB94" s="1257"/>
      <c r="AC94" s="1261"/>
      <c r="AD94" s="1261"/>
      <c r="AF94" s="3">
        <v>1</v>
      </c>
    </row>
    <row r="95" spans="2:32" ht="30" customHeight="1">
      <c r="B95" s="5937"/>
      <c r="C95" s="176"/>
      <c r="D95" s="1262"/>
      <c r="E95" s="2018"/>
      <c r="F95" s="1262"/>
      <c r="G95" s="2019"/>
      <c r="H95" s="1262"/>
      <c r="I95" s="9"/>
      <c r="J95" s="5918"/>
      <c r="K95" s="1336" t="s">
        <v>7524</v>
      </c>
      <c r="L95" s="5919" t="s">
        <v>8136</v>
      </c>
      <c r="M95" s="9"/>
      <c r="N95" s="5911">
        <f t="shared" si="16"/>
        <v>18</v>
      </c>
      <c r="O95" s="1332" t="s">
        <v>5207</v>
      </c>
      <c r="P95" s="1242" t="s">
        <v>5210</v>
      </c>
      <c r="Q95" s="5912" t="s">
        <v>5208</v>
      </c>
      <c r="R95" s="5913" t="s">
        <v>5211</v>
      </c>
      <c r="S95" s="2012" t="s">
        <v>5209</v>
      </c>
      <c r="T95" s="5913" t="s">
        <v>5212</v>
      </c>
      <c r="V95" s="1256">
        <v>15</v>
      </c>
      <c r="W95" s="1257" t="s">
        <v>5204</v>
      </c>
      <c r="X95" s="1239" t="s">
        <v>5205</v>
      </c>
      <c r="Y95" s="1239" t="s">
        <v>5206</v>
      </c>
      <c r="AA95" s="1256"/>
      <c r="AB95" s="1257"/>
      <c r="AC95" s="1261"/>
      <c r="AD95" s="1261"/>
      <c r="AF95" s="3">
        <v>1</v>
      </c>
    </row>
    <row r="96" spans="2:32" ht="30" customHeight="1">
      <c r="B96" s="5937"/>
      <c r="C96" s="176"/>
      <c r="D96" s="1262"/>
      <c r="E96" s="2018"/>
      <c r="F96" s="1262"/>
      <c r="G96" s="2019"/>
      <c r="H96" s="1262"/>
      <c r="I96" s="9"/>
      <c r="J96" s="5918"/>
      <c r="K96" s="1336" t="s">
        <v>8137</v>
      </c>
      <c r="L96" s="5936"/>
      <c r="M96" s="9"/>
      <c r="N96" s="5911"/>
      <c r="O96" s="1331" t="s">
        <v>3943</v>
      </c>
      <c r="P96" s="1238"/>
      <c r="Q96" s="5932"/>
      <c r="R96" s="5933"/>
      <c r="S96" s="2013"/>
      <c r="T96" s="5934"/>
      <c r="V96" s="1256">
        <v>16</v>
      </c>
      <c r="W96" s="1257" t="s">
        <v>5222</v>
      </c>
      <c r="X96" s="1239" t="s">
        <v>5223</v>
      </c>
      <c r="Y96" s="1239" t="s">
        <v>5224</v>
      </c>
      <c r="AA96" s="1256"/>
      <c r="AB96" s="1257"/>
      <c r="AC96" s="1261"/>
      <c r="AD96" s="1261"/>
      <c r="AF96" s="3">
        <v>1</v>
      </c>
    </row>
    <row r="97" spans="2:32" ht="30" customHeight="1">
      <c r="B97" s="5937"/>
      <c r="C97" s="176"/>
      <c r="D97" s="1262"/>
      <c r="E97" s="2018"/>
      <c r="F97" s="1262"/>
      <c r="G97" s="2019"/>
      <c r="H97" s="1262"/>
      <c r="I97" s="9"/>
      <c r="J97" s="5926"/>
      <c r="K97" s="7019"/>
      <c r="L97" s="7020"/>
      <c r="M97" s="9"/>
      <c r="N97" s="5911">
        <v>1</v>
      </c>
      <c r="O97" s="1332" t="s">
        <v>5237</v>
      </c>
      <c r="P97" s="1283" t="s">
        <v>5240</v>
      </c>
      <c r="Q97" s="5938" t="s">
        <v>5238</v>
      </c>
      <c r="R97" s="5939" t="s">
        <v>5241</v>
      </c>
      <c r="S97" s="2014" t="s">
        <v>5239</v>
      </c>
      <c r="T97" s="5939" t="s">
        <v>5242</v>
      </c>
      <c r="V97" s="1256">
        <v>17</v>
      </c>
      <c r="W97" s="1257" t="s">
        <v>5234</v>
      </c>
      <c r="X97" s="1239" t="s">
        <v>5235</v>
      </c>
      <c r="Y97" s="1239" t="s">
        <v>5236</v>
      </c>
      <c r="AA97" s="1256"/>
      <c r="AB97" s="1257"/>
      <c r="AC97" s="1261"/>
      <c r="AD97" s="1261"/>
      <c r="AF97" s="3">
        <v>1</v>
      </c>
    </row>
    <row r="98" spans="2:32" ht="30" customHeight="1">
      <c r="B98" s="5937"/>
      <c r="C98" s="176"/>
      <c r="D98" s="1262"/>
      <c r="E98" s="2018"/>
      <c r="F98" s="1262"/>
      <c r="G98" s="2019"/>
      <c r="H98" s="1262"/>
      <c r="I98" s="9"/>
      <c r="J98" s="5910" t="s">
        <v>4813</v>
      </c>
      <c r="K98" s="1336" t="s">
        <v>7554</v>
      </c>
      <c r="L98" s="5919" t="s">
        <v>7560</v>
      </c>
      <c r="M98" s="9"/>
      <c r="N98" s="5911">
        <f>N97+1</f>
        <v>2</v>
      </c>
      <c r="O98" s="1332" t="s">
        <v>5255</v>
      </c>
      <c r="P98" s="1283" t="s">
        <v>5258</v>
      </c>
      <c r="Q98" s="5940" t="s">
        <v>5256</v>
      </c>
      <c r="R98" s="5939" t="s">
        <v>5259</v>
      </c>
      <c r="S98" s="2015" t="s">
        <v>5257</v>
      </c>
      <c r="T98" s="5939" t="s">
        <v>5260</v>
      </c>
      <c r="V98" s="1256">
        <v>18</v>
      </c>
      <c r="W98" s="1257" t="s">
        <v>5252</v>
      </c>
      <c r="X98" s="1239" t="s">
        <v>5253</v>
      </c>
      <c r="Y98" s="1239" t="s">
        <v>5254</v>
      </c>
      <c r="AA98" s="1256"/>
      <c r="AB98" s="1257"/>
      <c r="AC98" s="1261"/>
      <c r="AD98" s="1261"/>
      <c r="AF98" s="3">
        <v>1</v>
      </c>
    </row>
    <row r="99" spans="2:32" ht="30" customHeight="1">
      <c r="B99" s="5937"/>
      <c r="C99" s="176"/>
      <c r="D99" s="1262"/>
      <c r="E99" s="2018"/>
      <c r="F99" s="1262"/>
      <c r="G99" s="2019"/>
      <c r="H99" s="1262"/>
      <c r="I99" s="9"/>
      <c r="J99" s="5918"/>
      <c r="K99" s="1336" t="s">
        <v>7625</v>
      </c>
      <c r="L99" s="5919" t="s">
        <v>7631</v>
      </c>
      <c r="M99" s="9"/>
      <c r="N99" s="5911"/>
      <c r="O99" s="1331" t="s">
        <v>5270</v>
      </c>
      <c r="P99" s="1238"/>
      <c r="Q99" s="5932"/>
      <c r="R99" s="5933"/>
      <c r="S99" s="2013"/>
      <c r="T99" s="5934"/>
      <c r="V99" s="1256">
        <v>19</v>
      </c>
      <c r="W99" s="1257" t="s">
        <v>5267</v>
      </c>
      <c r="X99" s="1239" t="s">
        <v>5268</v>
      </c>
      <c r="Y99" s="1239" t="s">
        <v>5269</v>
      </c>
      <c r="AA99" s="1256"/>
      <c r="AB99" s="1257"/>
      <c r="AC99" s="1261"/>
      <c r="AD99" s="1261"/>
      <c r="AF99" s="3">
        <v>1</v>
      </c>
    </row>
    <row r="100" spans="2:32" ht="30" customHeight="1">
      <c r="B100" s="5937"/>
      <c r="C100" s="176"/>
      <c r="D100" s="1262"/>
      <c r="E100" s="2018"/>
      <c r="F100" s="1262"/>
      <c r="G100" s="2019"/>
      <c r="H100" s="1262"/>
      <c r="I100" s="9"/>
      <c r="J100" s="5918"/>
      <c r="K100" s="1336" t="s">
        <v>7637</v>
      </c>
      <c r="L100" s="5919" t="s">
        <v>7649</v>
      </c>
      <c r="M100" s="9"/>
      <c r="N100" s="5911">
        <v>1</v>
      </c>
      <c r="O100" s="1332" t="s">
        <v>5283</v>
      </c>
      <c r="P100" s="1242" t="s">
        <v>5286</v>
      </c>
      <c r="Q100" s="5912" t="s">
        <v>5284</v>
      </c>
      <c r="R100" s="5913" t="s">
        <v>5287</v>
      </c>
      <c r="S100" s="2012" t="s">
        <v>5285</v>
      </c>
      <c r="T100" s="5913" t="s">
        <v>5288</v>
      </c>
      <c r="V100" s="1256">
        <v>20</v>
      </c>
      <c r="W100" s="1257" t="s">
        <v>5280</v>
      </c>
      <c r="X100" s="1239" t="s">
        <v>5281</v>
      </c>
      <c r="Y100" s="1239" t="s">
        <v>5282</v>
      </c>
      <c r="AA100" s="1256"/>
      <c r="AB100" s="1257"/>
      <c r="AC100" s="1261"/>
      <c r="AD100" s="1261"/>
      <c r="AF100" s="3">
        <v>1</v>
      </c>
    </row>
    <row r="101" spans="2:32" ht="30" customHeight="1">
      <c r="B101" s="5937"/>
      <c r="C101" s="176"/>
      <c r="D101" s="1262"/>
      <c r="E101" s="2018"/>
      <c r="F101" s="1262"/>
      <c r="G101" s="2019"/>
      <c r="H101" s="1262"/>
      <c r="I101" s="9"/>
      <c r="J101" s="5918"/>
      <c r="K101" s="1336" t="s">
        <v>7643</v>
      </c>
      <c r="L101" s="5919" t="s">
        <v>8138</v>
      </c>
      <c r="M101" s="9"/>
      <c r="N101" s="5911">
        <f>N100+1</f>
        <v>2</v>
      </c>
      <c r="O101" s="1332" t="s">
        <v>5298</v>
      </c>
      <c r="P101" s="1242" t="s">
        <v>5301</v>
      </c>
      <c r="Q101" s="5912" t="s">
        <v>5299</v>
      </c>
      <c r="R101" s="5913" t="s">
        <v>5302</v>
      </c>
      <c r="S101" s="2012" t="s">
        <v>5300</v>
      </c>
      <c r="T101" s="5913" t="s">
        <v>5303</v>
      </c>
      <c r="V101" s="1256">
        <v>21</v>
      </c>
      <c r="W101" s="1257" t="s">
        <v>5295</v>
      </c>
      <c r="X101" s="1239" t="s">
        <v>5296</v>
      </c>
      <c r="Y101" s="1239" t="s">
        <v>5297</v>
      </c>
      <c r="AA101" s="1256"/>
      <c r="AB101" s="1257"/>
      <c r="AC101" s="1261"/>
      <c r="AD101" s="1261"/>
      <c r="AF101" s="3">
        <v>1</v>
      </c>
    </row>
    <row r="102" spans="2:32" ht="30" customHeight="1">
      <c r="B102" s="5937"/>
      <c r="C102" s="176"/>
      <c r="D102" s="1262"/>
      <c r="E102" s="2018"/>
      <c r="F102" s="1262"/>
      <c r="G102" s="2019"/>
      <c r="H102" s="1262"/>
      <c r="I102" s="9"/>
      <c r="J102" s="5926"/>
      <c r="K102" s="7019"/>
      <c r="L102" s="7020"/>
      <c r="M102" s="9"/>
      <c r="N102" s="5911">
        <v>2</v>
      </c>
      <c r="O102" s="1332" t="s">
        <v>5315</v>
      </c>
      <c r="P102" s="1242" t="s">
        <v>5318</v>
      </c>
      <c r="Q102" s="5912" t="s">
        <v>5316</v>
      </c>
      <c r="R102" s="5913" t="s">
        <v>5319</v>
      </c>
      <c r="S102" s="2012" t="s">
        <v>5317</v>
      </c>
      <c r="T102" s="5913" t="s">
        <v>5320</v>
      </c>
      <c r="V102" s="1256">
        <v>22</v>
      </c>
      <c r="W102" s="1257" t="s">
        <v>5312</v>
      </c>
      <c r="X102" s="1239" t="s">
        <v>5313</v>
      </c>
      <c r="Y102" s="1239" t="s">
        <v>5314</v>
      </c>
      <c r="AA102" s="1256"/>
      <c r="AB102" s="1257"/>
      <c r="AC102" s="1261"/>
      <c r="AD102" s="1261"/>
      <c r="AF102" s="3">
        <v>1</v>
      </c>
    </row>
    <row r="103" spans="2:32" ht="30" customHeight="1">
      <c r="B103" s="5937"/>
      <c r="C103" s="176"/>
      <c r="D103" s="1262"/>
      <c r="E103" s="2018"/>
      <c r="F103" s="1262"/>
      <c r="G103" s="2019"/>
      <c r="H103" s="1262"/>
      <c r="I103" s="9"/>
      <c r="J103" s="5910" t="s">
        <v>5354</v>
      </c>
      <c r="K103" s="1336"/>
      <c r="L103" s="5919" t="s">
        <v>7726</v>
      </c>
      <c r="M103" s="9"/>
      <c r="N103" s="5911">
        <f t="shared" ref="N103" si="17">N102+1</f>
        <v>3</v>
      </c>
      <c r="O103" s="1332" t="s">
        <v>5333</v>
      </c>
      <c r="P103" s="1242" t="s">
        <v>5336</v>
      </c>
      <c r="Q103" s="5912" t="s">
        <v>5334</v>
      </c>
      <c r="R103" s="5913" t="s">
        <v>5337</v>
      </c>
      <c r="S103" s="2012" t="s">
        <v>5335</v>
      </c>
      <c r="T103" s="5913" t="s">
        <v>5338</v>
      </c>
      <c r="V103" s="1256">
        <v>23</v>
      </c>
      <c r="W103" s="1257" t="s">
        <v>5330</v>
      </c>
      <c r="X103" s="1239" t="s">
        <v>5331</v>
      </c>
      <c r="Y103" s="1239" t="s">
        <v>5332</v>
      </c>
      <c r="AA103" s="1256"/>
      <c r="AB103" s="1257"/>
      <c r="AC103" s="1261"/>
      <c r="AD103" s="1261"/>
      <c r="AF103" s="3">
        <v>1</v>
      </c>
    </row>
    <row r="104" spans="2:32" ht="30" customHeight="1">
      <c r="B104" s="5937"/>
      <c r="C104" s="176"/>
      <c r="D104" s="1262"/>
      <c r="E104" s="2018"/>
      <c r="F104" s="1262"/>
      <c r="G104" s="2019"/>
      <c r="H104" s="1262"/>
      <c r="I104" s="9"/>
      <c r="J104" s="5918"/>
      <c r="K104" s="1336"/>
      <c r="L104" s="5919"/>
      <c r="M104" s="9"/>
      <c r="N104" s="5911">
        <v>3</v>
      </c>
      <c r="O104" s="1332" t="s">
        <v>5348</v>
      </c>
      <c r="P104" s="1242" t="s">
        <v>5351</v>
      </c>
      <c r="Q104" s="5912" t="s">
        <v>5349</v>
      </c>
      <c r="R104" s="5913" t="s">
        <v>5352</v>
      </c>
      <c r="S104" s="2012" t="s">
        <v>5350</v>
      </c>
      <c r="T104" s="5913" t="s">
        <v>5353</v>
      </c>
      <c r="V104" s="1256"/>
      <c r="AA104" s="1256"/>
      <c r="AB104" s="1257"/>
      <c r="AC104" s="1261"/>
      <c r="AD104" s="1261"/>
      <c r="AF104" s="3">
        <v>1</v>
      </c>
    </row>
    <row r="105" spans="2:32" ht="30" customHeight="1">
      <c r="B105" s="5937"/>
      <c r="C105" s="176"/>
      <c r="D105" s="1262"/>
      <c r="E105" s="2018"/>
      <c r="F105" s="1262"/>
      <c r="G105" s="2019"/>
      <c r="H105" s="1262"/>
      <c r="I105" s="9"/>
      <c r="J105" s="5918"/>
      <c r="K105" s="1336"/>
      <c r="L105" s="5919"/>
      <c r="M105" s="9"/>
      <c r="N105" s="5911">
        <f t="shared" ref="N105" si="18">N104+1</f>
        <v>4</v>
      </c>
      <c r="O105" s="1332" t="s">
        <v>5356</v>
      </c>
      <c r="P105" s="1242" t="s">
        <v>5359</v>
      </c>
      <c r="Q105" s="5912" t="s">
        <v>5357</v>
      </c>
      <c r="R105" s="5913" t="s">
        <v>5360</v>
      </c>
      <c r="S105" s="2012" t="s">
        <v>5358</v>
      </c>
      <c r="T105" s="5913" t="s">
        <v>5361</v>
      </c>
      <c r="V105" s="1256"/>
      <c r="W105" s="1250" t="s">
        <v>5355</v>
      </c>
      <c r="X105" s="1273"/>
      <c r="Y105" s="1273"/>
      <c r="AA105" s="1256"/>
      <c r="AB105" s="1257"/>
      <c r="AC105" s="1261"/>
      <c r="AD105" s="1261"/>
      <c r="AF105" s="3">
        <v>1</v>
      </c>
    </row>
    <row r="106" spans="2:32" ht="30" customHeight="1">
      <c r="B106" s="5937"/>
      <c r="C106" s="176"/>
      <c r="D106" s="1262"/>
      <c r="E106" s="2018"/>
      <c r="F106" s="1262"/>
      <c r="G106" s="2019"/>
      <c r="H106" s="1262"/>
      <c r="I106" s="9"/>
      <c r="J106" s="5941"/>
      <c r="K106" s="1339"/>
      <c r="L106" s="5942"/>
      <c r="M106" s="9"/>
      <c r="N106" s="5911">
        <v>4</v>
      </c>
      <c r="O106" s="1332" t="s">
        <v>5368</v>
      </c>
      <c r="P106" s="1242" t="s">
        <v>5371</v>
      </c>
      <c r="Q106" s="5912" t="s">
        <v>5369</v>
      </c>
      <c r="R106" s="5913" t="s">
        <v>5372</v>
      </c>
      <c r="S106" s="2012" t="s">
        <v>5370</v>
      </c>
      <c r="T106" s="5913" t="s">
        <v>5373</v>
      </c>
      <c r="V106" s="1256">
        <v>1</v>
      </c>
      <c r="W106" s="1257" t="s">
        <v>5365</v>
      </c>
      <c r="X106" s="1239" t="s">
        <v>5366</v>
      </c>
      <c r="Y106" s="1239" t="s">
        <v>5367</v>
      </c>
      <c r="AA106" s="1256"/>
      <c r="AB106" s="1257"/>
      <c r="AC106" s="1261"/>
      <c r="AD106" s="1261"/>
      <c r="AF106" s="3">
        <v>1</v>
      </c>
    </row>
    <row r="107" spans="2:32" ht="30" customHeight="1">
      <c r="B107" s="5937"/>
      <c r="C107" s="176"/>
      <c r="D107" s="1262"/>
      <c r="E107" s="2018"/>
      <c r="F107" s="1262"/>
      <c r="G107" s="2019"/>
      <c r="H107" s="1262"/>
      <c r="I107" s="9"/>
      <c r="M107" s="9"/>
      <c r="N107" s="5911"/>
      <c r="O107" s="1331" t="s">
        <v>0</v>
      </c>
      <c r="P107" s="1238"/>
      <c r="Q107" s="5932"/>
      <c r="R107" s="5933"/>
      <c r="S107" s="2013"/>
      <c r="T107" s="5934"/>
      <c r="V107" s="1256">
        <v>2</v>
      </c>
      <c r="W107" s="1257" t="s">
        <v>5380</v>
      </c>
      <c r="X107" s="1239" t="s">
        <v>5381</v>
      </c>
      <c r="Y107" s="1239" t="s">
        <v>5382</v>
      </c>
      <c r="AA107" s="1256"/>
      <c r="AB107" s="1257"/>
      <c r="AC107" s="1261"/>
      <c r="AD107" s="1261"/>
      <c r="AF107" s="3">
        <v>1</v>
      </c>
    </row>
    <row r="108" spans="2:32" ht="30" customHeight="1">
      <c r="B108" s="5937"/>
      <c r="C108" s="176"/>
      <c r="D108" s="1262"/>
      <c r="E108" s="2018"/>
      <c r="F108" s="1262"/>
      <c r="G108" s="2019"/>
      <c r="H108" s="1262"/>
      <c r="I108" s="9"/>
      <c r="M108" s="9"/>
      <c r="N108" s="5911">
        <v>1</v>
      </c>
      <c r="O108" s="1332" t="s">
        <v>5395</v>
      </c>
      <c r="P108" s="1242" t="s">
        <v>5398</v>
      </c>
      <c r="Q108" s="5912" t="s">
        <v>5396</v>
      </c>
      <c r="R108" s="5913" t="s">
        <v>5399</v>
      </c>
      <c r="S108" s="2012" t="s">
        <v>5397</v>
      </c>
      <c r="T108" s="5913" t="s">
        <v>5400</v>
      </c>
      <c r="V108" s="1256">
        <v>3</v>
      </c>
      <c r="W108" s="1257" t="s">
        <v>5392</v>
      </c>
      <c r="X108" s="1239" t="s">
        <v>5393</v>
      </c>
      <c r="Y108" s="1239" t="s">
        <v>5394</v>
      </c>
      <c r="AA108" s="1256"/>
      <c r="AB108" s="1257"/>
      <c r="AC108" s="1261"/>
      <c r="AD108" s="1261"/>
      <c r="AF108" s="3">
        <v>1</v>
      </c>
    </row>
    <row r="109" spans="2:32" ht="30" customHeight="1">
      <c r="B109" s="5937"/>
      <c r="C109" s="176"/>
      <c r="D109" s="1262"/>
      <c r="E109" s="2018"/>
      <c r="F109" s="1262"/>
      <c r="G109" s="2019"/>
      <c r="H109" s="1262"/>
      <c r="I109" s="9"/>
      <c r="M109" s="9"/>
      <c r="N109" s="5911"/>
      <c r="O109" s="1331" t="s">
        <v>1</v>
      </c>
      <c r="P109" s="1238"/>
      <c r="Q109" s="5932"/>
      <c r="R109" s="5933"/>
      <c r="S109" s="2013"/>
      <c r="T109" s="5934"/>
      <c r="V109" s="1256">
        <v>4</v>
      </c>
      <c r="W109" s="1257" t="s">
        <v>5410</v>
      </c>
      <c r="X109" s="1239" t="s">
        <v>5411</v>
      </c>
      <c r="Y109" s="1239" t="s">
        <v>5412</v>
      </c>
      <c r="AA109" s="1256"/>
      <c r="AB109" s="1257"/>
      <c r="AC109" s="1261"/>
      <c r="AD109" s="1261"/>
      <c r="AF109" s="3">
        <v>1</v>
      </c>
    </row>
    <row r="110" spans="2:32" ht="30" customHeight="1">
      <c r="B110" s="5937"/>
      <c r="C110" s="176"/>
      <c r="D110" s="1262"/>
      <c r="E110" s="2018"/>
      <c r="F110" s="1262"/>
      <c r="G110" s="2019"/>
      <c r="H110" s="1262"/>
      <c r="I110" s="9"/>
      <c r="M110" s="9"/>
      <c r="N110" s="5911">
        <v>1</v>
      </c>
      <c r="O110" s="1332" t="s">
        <v>5422</v>
      </c>
      <c r="P110" s="1242" t="s">
        <v>5425</v>
      </c>
      <c r="Q110" s="5912" t="s">
        <v>5423</v>
      </c>
      <c r="R110" s="5913" t="s">
        <v>5426</v>
      </c>
      <c r="S110" s="2012" t="s">
        <v>5424</v>
      </c>
      <c r="T110" s="5913" t="s">
        <v>5427</v>
      </c>
      <c r="V110" s="1256">
        <v>5</v>
      </c>
      <c r="W110" s="1257" t="s">
        <v>5419</v>
      </c>
      <c r="X110" s="1239" t="s">
        <v>5420</v>
      </c>
      <c r="Y110" s="1239" t="s">
        <v>5421</v>
      </c>
      <c r="AA110" s="1256"/>
      <c r="AB110" s="1257"/>
      <c r="AC110" s="1261"/>
      <c r="AD110" s="1261"/>
      <c r="AF110" s="3">
        <v>1</v>
      </c>
    </row>
    <row r="111" spans="2:32" ht="30" customHeight="1">
      <c r="B111" s="5937"/>
      <c r="C111" s="176"/>
      <c r="D111" s="1262"/>
      <c r="E111" s="2018"/>
      <c r="F111" s="1262"/>
      <c r="G111" s="2019"/>
      <c r="H111" s="1262"/>
      <c r="I111" s="9"/>
      <c r="M111" s="9"/>
      <c r="N111" s="5911">
        <v>2</v>
      </c>
      <c r="O111" s="1332" t="s">
        <v>5438</v>
      </c>
      <c r="P111" s="1242" t="s">
        <v>5441</v>
      </c>
      <c r="Q111" s="5912" t="s">
        <v>5439</v>
      </c>
      <c r="R111" s="5913" t="s">
        <v>5442</v>
      </c>
      <c r="S111" s="2012" t="s">
        <v>5440</v>
      </c>
      <c r="T111" s="5913" t="s">
        <v>5443</v>
      </c>
      <c r="V111" s="1256">
        <v>6</v>
      </c>
      <c r="W111" s="1257" t="s">
        <v>5435</v>
      </c>
      <c r="X111" s="1239" t="s">
        <v>5436</v>
      </c>
      <c r="Y111" s="1239" t="s">
        <v>5437</v>
      </c>
      <c r="AA111" s="1256"/>
      <c r="AB111" s="1257"/>
      <c r="AC111" s="1261"/>
      <c r="AD111" s="1261"/>
      <c r="AF111" s="3">
        <v>1</v>
      </c>
    </row>
    <row r="112" spans="2:32" ht="30" customHeight="1">
      <c r="B112" s="5937"/>
      <c r="C112" s="176"/>
      <c r="D112" s="1262"/>
      <c r="E112" s="2018"/>
      <c r="F112" s="1262"/>
      <c r="G112" s="2019"/>
      <c r="H112" s="1262"/>
      <c r="I112" s="9"/>
      <c r="M112" s="9"/>
      <c r="N112" s="5911">
        <f>N111+1</f>
        <v>3</v>
      </c>
      <c r="O112" s="1332" t="s">
        <v>5454</v>
      </c>
      <c r="P112" s="1242" t="s">
        <v>5457</v>
      </c>
      <c r="Q112" s="5912" t="s">
        <v>5455</v>
      </c>
      <c r="R112" s="5913" t="s">
        <v>5458</v>
      </c>
      <c r="S112" s="2012" t="s">
        <v>5456</v>
      </c>
      <c r="T112" s="5913" t="s">
        <v>5459</v>
      </c>
      <c r="V112" s="1256">
        <v>7</v>
      </c>
      <c r="W112" s="1257" t="s">
        <v>5451</v>
      </c>
      <c r="X112" s="1239" t="s">
        <v>5452</v>
      </c>
      <c r="Y112" s="1239" t="s">
        <v>5453</v>
      </c>
      <c r="AA112" s="1256"/>
      <c r="AB112" s="1257"/>
      <c r="AC112" s="1261"/>
      <c r="AD112" s="1261"/>
      <c r="AF112" s="3">
        <v>1</v>
      </c>
    </row>
    <row r="113" spans="2:32" ht="30" customHeight="1">
      <c r="B113" s="5937"/>
      <c r="C113" s="176"/>
      <c r="D113" s="1262"/>
      <c r="E113" s="2018"/>
      <c r="F113" s="1262"/>
      <c r="G113" s="2019"/>
      <c r="H113" s="1262"/>
      <c r="I113" s="9"/>
      <c r="M113" s="9"/>
      <c r="N113" s="5911"/>
      <c r="O113" s="1331" t="s">
        <v>4969</v>
      </c>
      <c r="P113" s="1238"/>
      <c r="Q113" s="5932"/>
      <c r="R113" s="5933"/>
      <c r="S113" s="2013"/>
      <c r="T113" s="5934"/>
      <c r="V113" s="1256">
        <v>8</v>
      </c>
      <c r="W113" s="1257" t="s">
        <v>5467</v>
      </c>
      <c r="X113" s="1239" t="s">
        <v>5468</v>
      </c>
      <c r="Y113" s="1239" t="s">
        <v>5469</v>
      </c>
      <c r="AA113" s="1256"/>
      <c r="AB113" s="1257"/>
      <c r="AC113" s="1261"/>
      <c r="AD113" s="1261"/>
      <c r="AF113" s="3">
        <v>1</v>
      </c>
    </row>
    <row r="114" spans="2:32" ht="30" customHeight="1">
      <c r="B114" s="5937"/>
      <c r="C114" s="176"/>
      <c r="D114" s="1262"/>
      <c r="E114" s="2018"/>
      <c r="F114" s="1262"/>
      <c r="G114" s="2019"/>
      <c r="H114" s="1262"/>
      <c r="I114" s="9"/>
      <c r="M114" s="9"/>
      <c r="N114" s="5911">
        <v>1</v>
      </c>
      <c r="O114" s="1332" t="s">
        <v>5479</v>
      </c>
      <c r="P114" s="1242" t="s">
        <v>5482</v>
      </c>
      <c r="Q114" s="5912" t="s">
        <v>5480</v>
      </c>
      <c r="R114" s="5913" t="s">
        <v>5483</v>
      </c>
      <c r="S114" s="2012" t="s">
        <v>5481</v>
      </c>
      <c r="T114" s="5913" t="s">
        <v>5484</v>
      </c>
      <c r="V114" s="1256">
        <v>9</v>
      </c>
      <c r="W114" s="1257" t="s">
        <v>5476</v>
      </c>
      <c r="X114" s="1239" t="s">
        <v>5477</v>
      </c>
      <c r="Y114" s="1239" t="s">
        <v>5478</v>
      </c>
      <c r="AA114" s="1256"/>
      <c r="AB114" s="1257"/>
      <c r="AC114" s="1261"/>
      <c r="AD114" s="1261"/>
      <c r="AF114" s="3">
        <v>1</v>
      </c>
    </row>
    <row r="115" spans="2:32" ht="30" customHeight="1">
      <c r="B115" s="5937"/>
      <c r="C115" s="176"/>
      <c r="D115" s="1262"/>
      <c r="E115" s="2018"/>
      <c r="F115" s="1262"/>
      <c r="G115" s="2019"/>
      <c r="H115" s="1262"/>
      <c r="I115" s="9"/>
      <c r="M115" s="9"/>
      <c r="N115" s="5911"/>
      <c r="O115" s="1331" t="s">
        <v>4246</v>
      </c>
      <c r="P115" s="1238"/>
      <c r="Q115" s="5932"/>
      <c r="R115" s="5933"/>
      <c r="S115" s="2013"/>
      <c r="T115" s="5934"/>
      <c r="V115" s="1256">
        <v>10</v>
      </c>
      <c r="W115" s="1257" t="s">
        <v>5491</v>
      </c>
      <c r="X115" s="1239" t="s">
        <v>5492</v>
      </c>
      <c r="Y115" s="1239" t="s">
        <v>5493</v>
      </c>
      <c r="AA115" s="1256"/>
      <c r="AB115" s="1257"/>
      <c r="AC115" s="1261"/>
      <c r="AD115" s="1261"/>
      <c r="AF115" s="3">
        <v>1</v>
      </c>
    </row>
    <row r="116" spans="2:32" ht="30" customHeight="1">
      <c r="B116" s="5937"/>
      <c r="C116" s="176"/>
      <c r="D116" s="1262"/>
      <c r="E116" s="2018"/>
      <c r="F116" s="1262"/>
      <c r="G116" s="2019"/>
      <c r="H116" s="1262"/>
      <c r="I116" s="9"/>
      <c r="M116" s="9"/>
      <c r="N116" s="5911">
        <v>1</v>
      </c>
      <c r="O116" s="1332" t="s">
        <v>5503</v>
      </c>
      <c r="P116" s="1242" t="s">
        <v>5506</v>
      </c>
      <c r="Q116" s="5912" t="s">
        <v>5504</v>
      </c>
      <c r="R116" s="5913" t="s">
        <v>5507</v>
      </c>
      <c r="S116" s="2012" t="s">
        <v>5505</v>
      </c>
      <c r="T116" s="5913" t="s">
        <v>5508</v>
      </c>
      <c r="V116" s="1256">
        <v>11</v>
      </c>
      <c r="W116" s="1257" t="s">
        <v>5500</v>
      </c>
      <c r="X116" s="1239" t="s">
        <v>5501</v>
      </c>
      <c r="Y116" s="1239" t="s">
        <v>5502</v>
      </c>
      <c r="AA116" s="1256"/>
      <c r="AB116" s="1257"/>
      <c r="AC116" s="1261"/>
      <c r="AD116" s="1261"/>
      <c r="AF116" s="3">
        <v>1</v>
      </c>
    </row>
    <row r="117" spans="2:32" ht="30" customHeight="1">
      <c r="B117" s="5937"/>
      <c r="C117" s="176"/>
      <c r="D117" s="1262"/>
      <c r="E117" s="2018"/>
      <c r="F117" s="1262"/>
      <c r="G117" s="2019"/>
      <c r="H117" s="1262"/>
      <c r="I117" s="9"/>
      <c r="M117" s="9"/>
      <c r="N117" s="5911">
        <f>N116+1</f>
        <v>2</v>
      </c>
      <c r="O117" s="1332" t="s">
        <v>5518</v>
      </c>
      <c r="P117" s="1242" t="s">
        <v>5521</v>
      </c>
      <c r="Q117" s="5912" t="s">
        <v>5519</v>
      </c>
      <c r="R117" s="5913" t="s">
        <v>5522</v>
      </c>
      <c r="S117" s="2012" t="s">
        <v>5520</v>
      </c>
      <c r="T117" s="5913" t="s">
        <v>5523</v>
      </c>
      <c r="V117" s="1256">
        <v>12</v>
      </c>
      <c r="W117" s="1257" t="s">
        <v>5515</v>
      </c>
      <c r="X117" s="1239" t="s">
        <v>5516</v>
      </c>
      <c r="Y117" s="1239" t="s">
        <v>5517</v>
      </c>
      <c r="AA117" s="1256"/>
      <c r="AB117" s="1257"/>
      <c r="AC117" s="1261"/>
      <c r="AD117" s="1261"/>
      <c r="AF117" s="3">
        <v>1</v>
      </c>
    </row>
    <row r="118" spans="2:32" ht="30" customHeight="1">
      <c r="B118" s="5937"/>
      <c r="C118" s="176"/>
      <c r="D118" s="1262"/>
      <c r="E118" s="2018"/>
      <c r="F118" s="1262"/>
      <c r="G118" s="2019"/>
      <c r="H118" s="1262"/>
      <c r="I118" s="9"/>
      <c r="M118" s="9"/>
      <c r="N118" s="5911">
        <f>N117+1</f>
        <v>3</v>
      </c>
      <c r="O118" s="1332" t="s">
        <v>5530</v>
      </c>
      <c r="P118" s="1242" t="s">
        <v>5533</v>
      </c>
      <c r="Q118" s="5912" t="s">
        <v>5531</v>
      </c>
      <c r="R118" s="5913" t="s">
        <v>5534</v>
      </c>
      <c r="S118" s="2012" t="s">
        <v>5532</v>
      </c>
      <c r="T118" s="5913" t="s">
        <v>5535</v>
      </c>
      <c r="V118" s="1256"/>
      <c r="AA118" s="1256"/>
      <c r="AB118" s="1257"/>
      <c r="AC118" s="1261"/>
      <c r="AD118" s="1261"/>
      <c r="AF118" s="3">
        <v>1</v>
      </c>
    </row>
    <row r="119" spans="2:32" ht="30" customHeight="1">
      <c r="B119" s="5937">
        <v>1</v>
      </c>
      <c r="C119" s="176"/>
      <c r="D119" s="1262"/>
      <c r="E119" s="2018"/>
      <c r="F119" s="1262"/>
      <c r="G119" s="2019"/>
      <c r="H119" s="1262"/>
      <c r="I119" s="9"/>
      <c r="M119" s="9"/>
      <c r="N119" s="5911"/>
      <c r="O119" s="1331" t="s">
        <v>2</v>
      </c>
      <c r="P119" s="1238"/>
      <c r="Q119" s="5932"/>
      <c r="R119" s="5933"/>
      <c r="S119" s="2013"/>
      <c r="T119" s="5934"/>
      <c r="V119" s="1256"/>
      <c r="W119" s="1250" t="s">
        <v>5542</v>
      </c>
      <c r="X119" s="1250" t="s">
        <v>5543</v>
      </c>
      <c r="Y119" s="1250" t="s">
        <v>5544</v>
      </c>
      <c r="AA119" s="1256"/>
      <c r="AB119" s="1257"/>
      <c r="AC119" s="1261"/>
      <c r="AD119" s="1261"/>
      <c r="AF119" s="3">
        <v>1</v>
      </c>
    </row>
    <row r="120" spans="2:32" ht="30" customHeight="1">
      <c r="B120" s="5937"/>
      <c r="C120" s="176"/>
      <c r="D120" s="1262"/>
      <c r="E120" s="2018"/>
      <c r="F120" s="1262"/>
      <c r="G120" s="2019"/>
      <c r="H120" s="1262"/>
      <c r="I120" s="9"/>
      <c r="M120" s="9"/>
      <c r="N120" s="5911">
        <v>1</v>
      </c>
      <c r="O120" s="1332" t="s">
        <v>5554</v>
      </c>
      <c r="P120" s="1242" t="s">
        <v>5557</v>
      </c>
      <c r="Q120" s="5912" t="s">
        <v>5555</v>
      </c>
      <c r="R120" s="5913" t="s">
        <v>5558</v>
      </c>
      <c r="S120" s="2012" t="s">
        <v>5556</v>
      </c>
      <c r="T120" s="5913" t="s">
        <v>5559</v>
      </c>
      <c r="V120" s="1256">
        <v>1</v>
      </c>
      <c r="W120" s="1257" t="s">
        <v>5551</v>
      </c>
      <c r="X120" s="1239" t="s">
        <v>5552</v>
      </c>
      <c r="Y120" s="1239" t="s">
        <v>5553</v>
      </c>
      <c r="AA120" s="1256"/>
      <c r="AB120" s="1257"/>
      <c r="AC120" s="1261"/>
      <c r="AD120" s="1261"/>
      <c r="AF120" s="3">
        <v>1</v>
      </c>
    </row>
    <row r="121" spans="2:32" ht="30" customHeight="1">
      <c r="B121" s="5937"/>
      <c r="C121" s="176"/>
      <c r="D121" s="1262"/>
      <c r="E121" s="2018"/>
      <c r="F121" s="1262"/>
      <c r="G121" s="2019"/>
      <c r="H121" s="1262"/>
      <c r="I121" s="9"/>
      <c r="M121" s="9"/>
      <c r="N121" s="5911">
        <f>N120+1</f>
        <v>2</v>
      </c>
      <c r="O121" s="1332" t="s">
        <v>5569</v>
      </c>
      <c r="P121" s="1242" t="s">
        <v>5572</v>
      </c>
      <c r="Q121" s="5912" t="s">
        <v>5570</v>
      </c>
      <c r="R121" s="5913" t="s">
        <v>5573</v>
      </c>
      <c r="S121" s="2012" t="s">
        <v>5571</v>
      </c>
      <c r="T121" s="5943" t="s">
        <v>5574</v>
      </c>
      <c r="V121" s="1256">
        <v>2</v>
      </c>
      <c r="W121" s="1257" t="s">
        <v>5566</v>
      </c>
      <c r="X121" s="1239" t="s">
        <v>5567</v>
      </c>
      <c r="Y121" s="1239" t="s">
        <v>5568</v>
      </c>
      <c r="AA121" s="1256"/>
      <c r="AB121" s="1257"/>
      <c r="AC121" s="1261"/>
      <c r="AD121" s="1261"/>
      <c r="AF121" s="3">
        <v>1</v>
      </c>
    </row>
    <row r="122" spans="2:32" ht="30" customHeight="1">
      <c r="B122" s="5937"/>
      <c r="C122" s="176"/>
      <c r="D122" s="1262"/>
      <c r="E122" s="2018"/>
      <c r="F122" s="1262"/>
      <c r="G122" s="2019"/>
      <c r="H122" s="1262"/>
      <c r="I122" s="9"/>
      <c r="M122" s="9"/>
      <c r="N122" s="5911">
        <f t="shared" ref="N122:N125" si="19">N121+1</f>
        <v>3</v>
      </c>
      <c r="O122" s="1332" t="s">
        <v>5584</v>
      </c>
      <c r="P122" s="1242" t="s">
        <v>5587</v>
      </c>
      <c r="Q122" s="5912" t="s">
        <v>5585</v>
      </c>
      <c r="R122" s="5913" t="s">
        <v>5588</v>
      </c>
      <c r="S122" s="2012" t="s">
        <v>5586</v>
      </c>
      <c r="T122" s="5913" t="s">
        <v>5589</v>
      </c>
      <c r="V122" s="1256">
        <v>3</v>
      </c>
      <c r="W122" s="1257" t="s">
        <v>5581</v>
      </c>
      <c r="X122" s="1239" t="s">
        <v>5582</v>
      </c>
      <c r="Y122" s="1239" t="s">
        <v>5583</v>
      </c>
      <c r="AA122" s="1256"/>
      <c r="AB122" s="1257"/>
      <c r="AC122" s="1261"/>
      <c r="AD122" s="1261"/>
      <c r="AF122" s="3">
        <v>1</v>
      </c>
    </row>
    <row r="123" spans="2:32" ht="30" customHeight="1">
      <c r="B123" s="5937"/>
      <c r="C123" s="176"/>
      <c r="D123" s="1262"/>
      <c r="E123" s="2018"/>
      <c r="F123" s="1262"/>
      <c r="G123" s="2019"/>
      <c r="H123" s="1262"/>
      <c r="I123" s="9"/>
      <c r="M123" s="9"/>
      <c r="N123" s="5911">
        <f t="shared" si="19"/>
        <v>4</v>
      </c>
      <c r="O123" s="1332" t="s">
        <v>5599</v>
      </c>
      <c r="P123" s="1242" t="s">
        <v>5602</v>
      </c>
      <c r="Q123" s="5912" t="s">
        <v>5600</v>
      </c>
      <c r="R123" s="5913" t="s">
        <v>5603</v>
      </c>
      <c r="S123" s="2012" t="s">
        <v>5601</v>
      </c>
      <c r="T123" s="5913" t="s">
        <v>5604</v>
      </c>
      <c r="V123" s="1256">
        <v>4</v>
      </c>
      <c r="W123" s="1257" t="s">
        <v>5596</v>
      </c>
      <c r="X123" s="1239" t="s">
        <v>5597</v>
      </c>
      <c r="Y123" s="1239" t="s">
        <v>5598</v>
      </c>
      <c r="AA123" s="1256"/>
      <c r="AB123" s="1257"/>
      <c r="AC123" s="1261"/>
      <c r="AD123" s="1261"/>
      <c r="AF123" s="3">
        <v>1</v>
      </c>
    </row>
    <row r="124" spans="2:32" ht="30" customHeight="1">
      <c r="B124" s="5937"/>
      <c r="C124" s="176"/>
      <c r="D124" s="1262"/>
      <c r="E124" s="2018"/>
      <c r="F124" s="1262"/>
      <c r="G124" s="2019"/>
      <c r="H124" s="1262"/>
      <c r="I124" s="9"/>
      <c r="M124" s="9"/>
      <c r="N124" s="5911">
        <f t="shared" si="19"/>
        <v>5</v>
      </c>
      <c r="O124" s="1332" t="s">
        <v>5614</v>
      </c>
      <c r="P124" s="1242" t="s">
        <v>5617</v>
      </c>
      <c r="Q124" s="5912" t="s">
        <v>5615</v>
      </c>
      <c r="R124" s="5913" t="s">
        <v>5618</v>
      </c>
      <c r="S124" s="2012" t="s">
        <v>5616</v>
      </c>
      <c r="T124" s="5913" t="s">
        <v>5619</v>
      </c>
      <c r="V124" s="1256">
        <v>5</v>
      </c>
      <c r="W124" s="1257" t="s">
        <v>5611</v>
      </c>
      <c r="X124" s="1239" t="s">
        <v>5612</v>
      </c>
      <c r="Y124" s="1239" t="s">
        <v>5613</v>
      </c>
      <c r="AA124" s="1256"/>
      <c r="AB124" s="1257"/>
      <c r="AC124" s="1261"/>
      <c r="AD124" s="1261"/>
      <c r="AF124" s="3">
        <v>1</v>
      </c>
    </row>
    <row r="125" spans="2:32" ht="30" customHeight="1">
      <c r="B125" s="5937"/>
      <c r="C125" s="176"/>
      <c r="D125" s="1262"/>
      <c r="E125" s="2018"/>
      <c r="F125" s="1262"/>
      <c r="G125" s="2019"/>
      <c r="H125" s="1262"/>
      <c r="I125" s="9"/>
      <c r="M125" s="9"/>
      <c r="N125" s="5911">
        <f t="shared" si="19"/>
        <v>6</v>
      </c>
      <c r="O125" s="1332" t="s">
        <v>5629</v>
      </c>
      <c r="P125" s="1242" t="s">
        <v>5632</v>
      </c>
      <c r="Q125" s="5912" t="s">
        <v>5630</v>
      </c>
      <c r="R125" s="5913" t="s">
        <v>5633</v>
      </c>
      <c r="S125" s="2012" t="s">
        <v>5631</v>
      </c>
      <c r="T125" s="5913" t="s">
        <v>5634</v>
      </c>
      <c r="V125" s="1256">
        <v>6</v>
      </c>
      <c r="W125" s="1257" t="s">
        <v>5626</v>
      </c>
      <c r="X125" s="1239" t="s">
        <v>5627</v>
      </c>
      <c r="Y125" s="1239" t="s">
        <v>5628</v>
      </c>
      <c r="AA125" s="1256"/>
      <c r="AB125" s="1257"/>
      <c r="AC125" s="1261"/>
      <c r="AD125" s="1261"/>
      <c r="AF125" s="3">
        <v>1</v>
      </c>
    </row>
    <row r="126" spans="2:32" ht="30" customHeight="1">
      <c r="B126" s="5937"/>
      <c r="C126" s="176"/>
      <c r="D126" s="1262"/>
      <c r="E126" s="2018"/>
      <c r="F126" s="1262"/>
      <c r="G126" s="2019"/>
      <c r="H126" s="1262"/>
      <c r="I126" s="9"/>
      <c r="M126" s="9"/>
      <c r="N126" s="5911"/>
      <c r="O126" s="1331" t="s">
        <v>4522</v>
      </c>
      <c r="P126" s="1238"/>
      <c r="Q126" s="5932"/>
      <c r="R126" s="5933"/>
      <c r="S126" s="2013"/>
      <c r="T126" s="5934"/>
      <c r="V126" s="1275"/>
      <c r="AA126" s="1256"/>
      <c r="AB126" s="1257"/>
      <c r="AC126" s="1261"/>
      <c r="AD126" s="1261"/>
      <c r="AF126" s="3">
        <v>1</v>
      </c>
    </row>
    <row r="127" spans="2:32" ht="30" customHeight="1">
      <c r="B127" s="5937"/>
      <c r="C127" s="176"/>
      <c r="D127" s="1262"/>
      <c r="E127" s="2018"/>
      <c r="F127" s="1262"/>
      <c r="G127" s="2019"/>
      <c r="H127" s="1262"/>
      <c r="I127" s="9"/>
      <c r="M127" s="9"/>
      <c r="N127" s="5911">
        <v>1</v>
      </c>
      <c r="O127" s="1332" t="s">
        <v>5649</v>
      </c>
      <c r="P127" s="1242" t="s">
        <v>5652</v>
      </c>
      <c r="Q127" s="5912" t="s">
        <v>5650</v>
      </c>
      <c r="R127" s="5913" t="s">
        <v>5653</v>
      </c>
      <c r="S127" s="2012" t="s">
        <v>5651</v>
      </c>
      <c r="T127" s="5913" t="s">
        <v>5654</v>
      </c>
      <c r="V127" s="1275"/>
      <c r="W127" s="1250" t="s">
        <v>452</v>
      </c>
      <c r="X127" s="1250" t="s">
        <v>5647</v>
      </c>
      <c r="Y127" s="1250" t="s">
        <v>5648</v>
      </c>
      <c r="AA127" s="1256"/>
      <c r="AB127" s="1257"/>
      <c r="AC127" s="1261"/>
      <c r="AD127" s="1261"/>
      <c r="AF127" s="3">
        <v>1</v>
      </c>
    </row>
    <row r="128" spans="2:32" ht="30" customHeight="1">
      <c r="B128" s="5937"/>
      <c r="C128" s="176"/>
      <c r="D128" s="1262"/>
      <c r="E128" s="2018"/>
      <c r="F128" s="1262"/>
      <c r="G128" s="2019"/>
      <c r="H128" s="1262"/>
      <c r="I128" s="9"/>
      <c r="M128" s="9"/>
      <c r="N128" s="5911">
        <f>N127+1</f>
        <v>2</v>
      </c>
      <c r="O128" s="1332" t="s">
        <v>5664</v>
      </c>
      <c r="P128" s="1242" t="s">
        <v>5667</v>
      </c>
      <c r="Q128" s="5912" t="s">
        <v>5665</v>
      </c>
      <c r="R128" s="5913" t="s">
        <v>5668</v>
      </c>
      <c r="S128" s="2012" t="s">
        <v>5666</v>
      </c>
      <c r="T128" s="5913" t="s">
        <v>5669</v>
      </c>
      <c r="V128" s="1256">
        <v>1</v>
      </c>
      <c r="W128" s="1257" t="s">
        <v>5661</v>
      </c>
      <c r="X128" s="1239" t="s">
        <v>5662</v>
      </c>
      <c r="Y128" s="1239" t="s">
        <v>5663</v>
      </c>
      <c r="AA128" s="1256"/>
      <c r="AB128" s="1257"/>
      <c r="AC128" s="1261"/>
      <c r="AD128" s="1261"/>
      <c r="AF128" s="3">
        <v>1</v>
      </c>
    </row>
    <row r="129" spans="2:32" ht="30" customHeight="1">
      <c r="B129" s="5937"/>
      <c r="C129" s="176"/>
      <c r="D129" s="1262"/>
      <c r="E129" s="2018"/>
      <c r="F129" s="1262"/>
      <c r="G129" s="2019"/>
      <c r="H129" s="1262"/>
      <c r="I129" s="9"/>
      <c r="M129" s="9"/>
      <c r="N129" s="5911">
        <f t="shared" ref="N129:N136" si="20">N128+1</f>
        <v>3</v>
      </c>
      <c r="O129" s="1332" t="s">
        <v>5679</v>
      </c>
      <c r="P129" s="1242" t="s">
        <v>5682</v>
      </c>
      <c r="Q129" s="5912" t="s">
        <v>5680</v>
      </c>
      <c r="R129" s="5913" t="s">
        <v>5683</v>
      </c>
      <c r="S129" s="2012" t="s">
        <v>5681</v>
      </c>
      <c r="T129" s="5913" t="s">
        <v>5684</v>
      </c>
      <c r="V129" s="1256">
        <v>2</v>
      </c>
      <c r="W129" s="1257" t="s">
        <v>5676</v>
      </c>
      <c r="X129" s="1239" t="s">
        <v>5677</v>
      </c>
      <c r="Y129" s="1239" t="s">
        <v>5678</v>
      </c>
      <c r="AA129" s="1256"/>
      <c r="AB129" s="1257"/>
      <c r="AC129" s="1261"/>
      <c r="AD129" s="1261"/>
      <c r="AF129" s="3">
        <v>1</v>
      </c>
    </row>
    <row r="130" spans="2:32" ht="30" customHeight="1">
      <c r="B130" s="5937"/>
      <c r="C130" s="176"/>
      <c r="D130" s="1262"/>
      <c r="E130" s="2018"/>
      <c r="F130" s="1262"/>
      <c r="G130" s="2019"/>
      <c r="H130" s="1262"/>
      <c r="I130" s="9"/>
      <c r="M130" s="9"/>
      <c r="N130" s="5911">
        <f t="shared" si="20"/>
        <v>4</v>
      </c>
      <c r="O130" s="1332" t="s">
        <v>5694</v>
      </c>
      <c r="P130" s="1242" t="s">
        <v>5697</v>
      </c>
      <c r="Q130" s="5912" t="s">
        <v>5695</v>
      </c>
      <c r="R130" s="5913" t="s">
        <v>5698</v>
      </c>
      <c r="S130" s="2012" t="s">
        <v>5696</v>
      </c>
      <c r="T130" s="5913" t="s">
        <v>5699</v>
      </c>
      <c r="V130" s="1256">
        <v>3</v>
      </c>
      <c r="W130" s="1257" t="s">
        <v>5691</v>
      </c>
      <c r="X130" s="1239" t="s">
        <v>5692</v>
      </c>
      <c r="Y130" s="1239" t="s">
        <v>5693</v>
      </c>
      <c r="AA130" s="1256"/>
      <c r="AB130" s="1257"/>
      <c r="AC130" s="1261"/>
      <c r="AD130" s="1261"/>
      <c r="AF130" s="3">
        <v>1</v>
      </c>
    </row>
    <row r="131" spans="2:32" ht="30" customHeight="1">
      <c r="B131" s="5937"/>
      <c r="C131" s="176"/>
      <c r="D131" s="1262"/>
      <c r="E131" s="2018"/>
      <c r="F131" s="1262"/>
      <c r="G131" s="2019"/>
      <c r="H131" s="1262"/>
      <c r="I131" s="9"/>
      <c r="M131" s="9"/>
      <c r="N131" s="5911">
        <f t="shared" si="20"/>
        <v>5</v>
      </c>
      <c r="O131" s="1332" t="s">
        <v>5709</v>
      </c>
      <c r="P131" s="1242" t="s">
        <v>5712</v>
      </c>
      <c r="Q131" s="5912" t="s">
        <v>5710</v>
      </c>
      <c r="R131" s="5913" t="s">
        <v>5713</v>
      </c>
      <c r="S131" s="2012" t="s">
        <v>5711</v>
      </c>
      <c r="T131" s="5913" t="s">
        <v>5714</v>
      </c>
      <c r="V131" s="1256">
        <v>4</v>
      </c>
      <c r="W131" s="1257" t="s">
        <v>5706</v>
      </c>
      <c r="X131" s="1239" t="s">
        <v>5707</v>
      </c>
      <c r="Y131" s="1239" t="s">
        <v>5708</v>
      </c>
      <c r="AA131" s="1256"/>
      <c r="AB131" s="1257"/>
      <c r="AC131" s="1261"/>
      <c r="AD131" s="1261"/>
      <c r="AF131" s="3">
        <v>1</v>
      </c>
    </row>
    <row r="132" spans="2:32" ht="30" customHeight="1">
      <c r="B132" s="5937"/>
      <c r="C132" s="176"/>
      <c r="D132" s="1262"/>
      <c r="E132" s="2018"/>
      <c r="F132" s="1262"/>
      <c r="G132" s="2019"/>
      <c r="H132" s="1262"/>
      <c r="I132" s="9"/>
      <c r="M132" s="9"/>
      <c r="N132" s="5911">
        <f t="shared" si="20"/>
        <v>6</v>
      </c>
      <c r="O132" s="1332" t="s">
        <v>5723</v>
      </c>
      <c r="P132" s="1242" t="s">
        <v>5726</v>
      </c>
      <c r="Q132" s="5912" t="s">
        <v>5724</v>
      </c>
      <c r="R132" s="5913" t="s">
        <v>5727</v>
      </c>
      <c r="S132" s="2012" t="s">
        <v>5725</v>
      </c>
      <c r="T132" s="5913" t="s">
        <v>5728</v>
      </c>
      <c r="V132" s="1256">
        <v>5</v>
      </c>
      <c r="W132" s="1257" t="s">
        <v>5721</v>
      </c>
      <c r="X132" s="1239" t="s">
        <v>4808</v>
      </c>
      <c r="Y132" s="1239" t="s">
        <v>5722</v>
      </c>
      <c r="AA132" s="1256"/>
      <c r="AB132" s="1257"/>
      <c r="AC132" s="1261"/>
      <c r="AD132" s="1261"/>
      <c r="AF132" s="3">
        <v>1</v>
      </c>
    </row>
    <row r="133" spans="2:32" ht="30" customHeight="1">
      <c r="B133" s="5937"/>
      <c r="C133" s="176"/>
      <c r="D133" s="1262"/>
      <c r="E133" s="2018"/>
      <c r="F133" s="1262"/>
      <c r="G133" s="2019"/>
      <c r="H133" s="1262"/>
      <c r="I133" s="9"/>
      <c r="M133" s="9"/>
      <c r="N133" s="5911">
        <f t="shared" si="20"/>
        <v>7</v>
      </c>
      <c r="O133" s="1332" t="s">
        <v>5737</v>
      </c>
      <c r="P133" s="1242" t="s">
        <v>5740</v>
      </c>
      <c r="Q133" s="5912" t="s">
        <v>5738</v>
      </c>
      <c r="R133" s="5913" t="s">
        <v>5741</v>
      </c>
      <c r="S133" s="2012" t="s">
        <v>5739</v>
      </c>
      <c r="T133" s="5913" t="s">
        <v>5742</v>
      </c>
      <c r="V133" s="1256">
        <v>6</v>
      </c>
      <c r="W133" s="1257" t="s">
        <v>5735</v>
      </c>
      <c r="X133" s="1239" t="s">
        <v>5736</v>
      </c>
      <c r="Y133" s="1239" t="s">
        <v>5722</v>
      </c>
      <c r="AA133" s="1256"/>
      <c r="AB133" s="1257"/>
      <c r="AC133" s="1261"/>
      <c r="AD133" s="1261"/>
      <c r="AF133" s="3">
        <v>1</v>
      </c>
    </row>
    <row r="134" spans="2:32" ht="30" customHeight="1">
      <c r="B134" s="5937"/>
      <c r="C134" s="176"/>
      <c r="D134" s="1262"/>
      <c r="E134" s="2018"/>
      <c r="F134" s="1262"/>
      <c r="G134" s="2019"/>
      <c r="H134" s="1262"/>
      <c r="I134" s="9"/>
      <c r="M134" s="9"/>
      <c r="N134" s="5911">
        <f t="shared" si="20"/>
        <v>8</v>
      </c>
      <c r="O134" s="1332" t="s">
        <v>5750</v>
      </c>
      <c r="P134" s="1242" t="s">
        <v>5753</v>
      </c>
      <c r="Q134" s="5912" t="s">
        <v>5751</v>
      </c>
      <c r="R134" s="5913" t="s">
        <v>5754</v>
      </c>
      <c r="S134" s="2012" t="s">
        <v>5752</v>
      </c>
      <c r="T134" s="5913" t="s">
        <v>5755</v>
      </c>
      <c r="V134" s="1256">
        <v>7</v>
      </c>
      <c r="W134" s="1257" t="s">
        <v>257</v>
      </c>
      <c r="X134" s="1239" t="s">
        <v>5749</v>
      </c>
      <c r="Y134" s="1239" t="s">
        <v>1377</v>
      </c>
      <c r="AA134" s="1256"/>
      <c r="AB134" s="1257"/>
      <c r="AC134" s="1261"/>
      <c r="AD134" s="1261"/>
      <c r="AF134" s="3">
        <v>1</v>
      </c>
    </row>
    <row r="135" spans="2:32" ht="30" customHeight="1">
      <c r="B135" s="5937"/>
      <c r="C135" s="176"/>
      <c r="D135" s="1262"/>
      <c r="E135" s="2018"/>
      <c r="F135" s="1262"/>
      <c r="G135" s="2019"/>
      <c r="H135" s="1262"/>
      <c r="I135" s="9"/>
      <c r="M135" s="9"/>
      <c r="N135" s="5911">
        <f t="shared" si="20"/>
        <v>9</v>
      </c>
      <c r="O135" s="1332" t="s">
        <v>5762</v>
      </c>
      <c r="P135" s="1242" t="s">
        <v>5765</v>
      </c>
      <c r="Q135" s="5912" t="s">
        <v>5763</v>
      </c>
      <c r="R135" s="5913" t="s">
        <v>5766</v>
      </c>
      <c r="S135" s="2012" t="s">
        <v>5764</v>
      </c>
      <c r="T135" s="5913" t="s">
        <v>5767</v>
      </c>
      <c r="V135" s="1256"/>
      <c r="AA135" s="1256"/>
      <c r="AB135" s="1257"/>
      <c r="AC135" s="1261"/>
      <c r="AD135" s="1261"/>
      <c r="AF135" s="3">
        <v>1</v>
      </c>
    </row>
    <row r="136" spans="2:32" ht="30" customHeight="1">
      <c r="B136" s="5937"/>
      <c r="C136" s="176"/>
      <c r="D136" s="1262"/>
      <c r="E136" s="2018"/>
      <c r="F136" s="1262"/>
      <c r="G136" s="2019"/>
      <c r="H136" s="1262"/>
      <c r="I136" s="9"/>
      <c r="M136" s="9"/>
      <c r="N136" s="5911">
        <f t="shared" si="20"/>
        <v>10</v>
      </c>
      <c r="O136" s="1332" t="s">
        <v>5774</v>
      </c>
      <c r="P136" s="1242" t="s">
        <v>5777</v>
      </c>
      <c r="Q136" s="5912" t="s">
        <v>5775</v>
      </c>
      <c r="R136" s="5913" t="s">
        <v>5778</v>
      </c>
      <c r="S136" s="2012" t="s">
        <v>5776</v>
      </c>
      <c r="T136" s="5913" t="s">
        <v>5779</v>
      </c>
      <c r="V136" s="1256"/>
      <c r="W136" s="1250" t="s">
        <v>5772</v>
      </c>
      <c r="X136" s="1250" t="s">
        <v>5772</v>
      </c>
      <c r="Y136" s="1250" t="s">
        <v>5773</v>
      </c>
      <c r="AA136" s="1256"/>
      <c r="AB136" s="1257"/>
      <c r="AC136" s="1261"/>
      <c r="AD136" s="1261"/>
      <c r="AF136" s="3">
        <v>1</v>
      </c>
    </row>
    <row r="137" spans="2:32" ht="30" customHeight="1">
      <c r="B137" s="5937"/>
      <c r="C137" s="176"/>
      <c r="D137" s="1262"/>
      <c r="E137" s="2018"/>
      <c r="F137" s="1262"/>
      <c r="G137" s="2019"/>
      <c r="H137" s="1262"/>
      <c r="I137" s="9"/>
      <c r="M137" s="9"/>
      <c r="N137" s="5911"/>
      <c r="O137" s="1331" t="s">
        <v>4683</v>
      </c>
      <c r="P137" s="1238"/>
      <c r="Q137" s="5932"/>
      <c r="R137" s="5933"/>
      <c r="S137" s="2013"/>
      <c r="T137" s="5934"/>
      <c r="V137" s="1256">
        <v>1</v>
      </c>
      <c r="W137" s="1257" t="s">
        <v>5786</v>
      </c>
      <c r="X137" s="1239" t="s">
        <v>5787</v>
      </c>
      <c r="Y137" s="1239" t="s">
        <v>5788</v>
      </c>
      <c r="AA137" s="1256"/>
      <c r="AB137" s="1257"/>
      <c r="AC137" s="1261"/>
      <c r="AD137" s="1261"/>
      <c r="AF137" s="3">
        <v>1</v>
      </c>
    </row>
    <row r="138" spans="2:32" ht="30" customHeight="1">
      <c r="B138" s="5937"/>
      <c r="C138" s="176"/>
      <c r="D138" s="1262"/>
      <c r="E138" s="2018"/>
      <c r="F138" s="1262"/>
      <c r="G138" s="2019"/>
      <c r="H138" s="1262"/>
      <c r="I138" s="9"/>
      <c r="M138" s="9"/>
      <c r="N138" s="5911">
        <f>N137+1</f>
        <v>1</v>
      </c>
      <c r="O138" s="1332" t="s">
        <v>5795</v>
      </c>
      <c r="P138" s="1242" t="s">
        <v>5795</v>
      </c>
      <c r="Q138" s="5940" t="s">
        <v>5796</v>
      </c>
      <c r="R138" s="5913" t="s">
        <v>5798</v>
      </c>
      <c r="S138" s="2016" t="s">
        <v>5797</v>
      </c>
      <c r="T138" s="5913" t="s">
        <v>5799</v>
      </c>
      <c r="V138" s="1256"/>
      <c r="W138" s="1257"/>
      <c r="X138" s="1239"/>
      <c r="Y138" s="1239"/>
      <c r="AA138" s="1256"/>
      <c r="AB138" s="1257"/>
      <c r="AC138" s="1261"/>
      <c r="AD138" s="1261"/>
      <c r="AF138" s="3">
        <v>1</v>
      </c>
    </row>
    <row r="139" spans="2:32" ht="30" customHeight="1">
      <c r="B139" s="5937"/>
      <c r="C139" s="176"/>
      <c r="D139" s="1262"/>
      <c r="E139" s="2018"/>
      <c r="F139" s="1262"/>
      <c r="G139" s="2019"/>
      <c r="H139" s="1262"/>
      <c r="I139" s="9"/>
      <c r="M139" s="9"/>
      <c r="N139" s="5911">
        <f t="shared" ref="N139:N144" si="21">N138+1</f>
        <v>2</v>
      </c>
      <c r="O139" s="1332" t="s">
        <v>5809</v>
      </c>
      <c r="P139" s="1242" t="s">
        <v>5812</v>
      </c>
      <c r="Q139" s="5912" t="s">
        <v>5810</v>
      </c>
      <c r="R139" s="5913" t="s">
        <v>5813</v>
      </c>
      <c r="S139" s="2012" t="s">
        <v>5811</v>
      </c>
      <c r="T139" s="5913" t="s">
        <v>5814</v>
      </c>
      <c r="W139" s="1250" t="s">
        <v>5806</v>
      </c>
      <c r="X139" s="1286" t="s">
        <v>5807</v>
      </c>
      <c r="Y139" s="1286" t="s">
        <v>5808</v>
      </c>
      <c r="AA139" s="1256"/>
      <c r="AB139" s="1257"/>
      <c r="AC139" s="1261"/>
      <c r="AD139" s="1261"/>
      <c r="AF139" s="3">
        <v>1</v>
      </c>
    </row>
    <row r="140" spans="2:32" ht="30" customHeight="1">
      <c r="B140" s="5937"/>
      <c r="C140" s="176"/>
      <c r="D140" s="1262"/>
      <c r="E140" s="2018"/>
      <c r="F140" s="1262"/>
      <c r="G140" s="2019"/>
      <c r="H140" s="1262"/>
      <c r="I140" s="9"/>
      <c r="M140" s="9"/>
      <c r="N140" s="5911">
        <f t="shared" si="21"/>
        <v>3</v>
      </c>
      <c r="O140" s="1332" t="s">
        <v>5821</v>
      </c>
      <c r="P140" s="1242" t="s">
        <v>5824</v>
      </c>
      <c r="Q140" s="5912" t="s">
        <v>5822</v>
      </c>
      <c r="R140" s="5913" t="s">
        <v>5825</v>
      </c>
      <c r="S140" s="2012" t="s">
        <v>5823</v>
      </c>
      <c r="T140" s="5913" t="s">
        <v>5826</v>
      </c>
      <c r="W140" s="203"/>
      <c r="X140" s="1247"/>
      <c r="Y140" s="1247"/>
      <c r="AA140" s="1256"/>
      <c r="AB140" s="1257"/>
      <c r="AC140" s="1261"/>
      <c r="AD140" s="1261"/>
      <c r="AF140" s="3">
        <v>1</v>
      </c>
    </row>
    <row r="141" spans="2:32" ht="30" customHeight="1">
      <c r="B141" s="5937"/>
      <c r="C141" s="176"/>
      <c r="D141" s="1262"/>
      <c r="E141" s="2018"/>
      <c r="F141" s="1262"/>
      <c r="G141" s="2019"/>
      <c r="H141" s="1262"/>
      <c r="I141" s="9"/>
      <c r="M141" s="9"/>
      <c r="N141" s="5911">
        <f t="shared" si="21"/>
        <v>4</v>
      </c>
      <c r="O141" s="1332" t="s">
        <v>5834</v>
      </c>
      <c r="P141" s="1242" t="s">
        <v>5837</v>
      </c>
      <c r="Q141" s="5912" t="s">
        <v>5835</v>
      </c>
      <c r="R141" s="5913" t="s">
        <v>5838</v>
      </c>
      <c r="S141" s="2012" t="s">
        <v>5836</v>
      </c>
      <c r="T141" s="5913" t="s">
        <v>5839</v>
      </c>
      <c r="V141" s="1256">
        <v>1</v>
      </c>
      <c r="W141" s="203" t="s">
        <v>5833</v>
      </c>
      <c r="X141" s="1247"/>
      <c r="Y141" s="1247"/>
      <c r="AA141" s="1256"/>
      <c r="AB141" s="1257"/>
      <c r="AC141" s="1261"/>
      <c r="AD141" s="1261"/>
      <c r="AF141" s="3">
        <v>1</v>
      </c>
    </row>
    <row r="142" spans="2:32" ht="30" customHeight="1">
      <c r="B142" s="5937"/>
      <c r="C142" s="176"/>
      <c r="D142" s="1262"/>
      <c r="E142" s="2018"/>
      <c r="F142" s="1262"/>
      <c r="G142" s="2019"/>
      <c r="H142" s="1262"/>
      <c r="I142" s="9"/>
      <c r="M142" s="9"/>
      <c r="N142" s="5911">
        <f t="shared" si="21"/>
        <v>5</v>
      </c>
      <c r="O142" s="1332" t="s">
        <v>5847</v>
      </c>
      <c r="P142" s="1242" t="s">
        <v>5850</v>
      </c>
      <c r="Q142" s="5912" t="s">
        <v>5848</v>
      </c>
      <c r="R142" s="5913" t="s">
        <v>5851</v>
      </c>
      <c r="S142" s="2012" t="s">
        <v>5849</v>
      </c>
      <c r="T142" s="5913" t="s">
        <v>5852</v>
      </c>
      <c r="V142" s="1256">
        <v>2</v>
      </c>
      <c r="W142" s="203" t="s">
        <v>5846</v>
      </c>
      <c r="X142" s="1247"/>
      <c r="Y142" s="1247"/>
      <c r="AA142" s="1256"/>
      <c r="AB142" s="1257"/>
      <c r="AC142" s="1261"/>
      <c r="AD142" s="1261"/>
      <c r="AF142" s="3">
        <v>1</v>
      </c>
    </row>
    <row r="143" spans="2:32" ht="30" customHeight="1">
      <c r="B143" s="5937"/>
      <c r="C143" s="176"/>
      <c r="D143" s="1262"/>
      <c r="E143" s="2018"/>
      <c r="F143" s="1262"/>
      <c r="G143" s="2019"/>
      <c r="H143" s="1262"/>
      <c r="I143" s="9"/>
      <c r="M143" s="9"/>
      <c r="N143" s="5911">
        <f t="shared" si="21"/>
        <v>6</v>
      </c>
      <c r="O143" s="1332" t="s">
        <v>5860</v>
      </c>
      <c r="P143" s="1242" t="s">
        <v>5863</v>
      </c>
      <c r="Q143" s="5912" t="s">
        <v>5861</v>
      </c>
      <c r="R143" s="5913" t="s">
        <v>5864</v>
      </c>
      <c r="S143" s="2012" t="s">
        <v>5862</v>
      </c>
      <c r="T143" s="5913" t="s">
        <v>5865</v>
      </c>
      <c r="V143" s="1256">
        <v>3</v>
      </c>
      <c r="W143" s="203" t="s">
        <v>5859</v>
      </c>
      <c r="X143" s="1247"/>
      <c r="Y143" s="1247"/>
      <c r="AA143" s="1256"/>
      <c r="AB143" s="1257"/>
      <c r="AC143" s="1261"/>
      <c r="AD143" s="1261"/>
      <c r="AF143" s="3">
        <v>1</v>
      </c>
    </row>
    <row r="144" spans="2:32" ht="30" customHeight="1">
      <c r="B144" s="5937"/>
      <c r="C144" s="176"/>
      <c r="D144" s="1262"/>
      <c r="E144" s="2018"/>
      <c r="F144" s="1262"/>
      <c r="G144" s="2019"/>
      <c r="H144" s="1262"/>
      <c r="I144" s="9"/>
      <c r="M144" s="9"/>
      <c r="N144" s="5911">
        <f t="shared" si="21"/>
        <v>7</v>
      </c>
      <c r="O144" s="1332" t="s">
        <v>5873</v>
      </c>
      <c r="P144" s="1242" t="s">
        <v>5876</v>
      </c>
      <c r="Q144" s="5912" t="s">
        <v>5874</v>
      </c>
      <c r="R144" s="5913" t="s">
        <v>5877</v>
      </c>
      <c r="S144" s="2012" t="s">
        <v>5875</v>
      </c>
      <c r="T144" s="5913" t="s">
        <v>5878</v>
      </c>
      <c r="V144" s="1256">
        <v>4</v>
      </c>
      <c r="W144" s="203" t="s">
        <v>5872</v>
      </c>
      <c r="X144" s="1247"/>
      <c r="Y144" s="1247"/>
      <c r="AA144" s="1256"/>
      <c r="AB144" s="1257"/>
      <c r="AC144" s="1261"/>
      <c r="AD144" s="1261"/>
      <c r="AF144" s="3">
        <v>1</v>
      </c>
    </row>
    <row r="145" spans="2:32" ht="30" customHeight="1">
      <c r="B145" s="5937"/>
      <c r="C145" s="176"/>
      <c r="D145" s="1262"/>
      <c r="E145" s="2018"/>
      <c r="F145" s="1262"/>
      <c r="G145" s="2019"/>
      <c r="H145" s="1262"/>
      <c r="I145" s="9"/>
      <c r="M145" s="9"/>
      <c r="N145" s="5911"/>
      <c r="O145" s="1331" t="s">
        <v>4813</v>
      </c>
      <c r="P145" s="1238"/>
      <c r="Q145" s="5932"/>
      <c r="R145" s="5933"/>
      <c r="S145" s="2013"/>
      <c r="T145" s="5934"/>
      <c r="V145" s="1256">
        <v>5</v>
      </c>
      <c r="W145" s="203" t="s">
        <v>5885</v>
      </c>
      <c r="X145" s="1247"/>
      <c r="Y145" s="1247"/>
      <c r="AA145" s="1256"/>
      <c r="AB145" s="1257"/>
      <c r="AC145" s="1261"/>
      <c r="AD145" s="1261"/>
      <c r="AF145" s="3">
        <v>1</v>
      </c>
    </row>
    <row r="146" spans="2:32" ht="30" customHeight="1">
      <c r="B146" s="5937"/>
      <c r="C146" s="176"/>
      <c r="D146" s="1262"/>
      <c r="E146" s="2018"/>
      <c r="F146" s="1262"/>
      <c r="G146" s="2019"/>
      <c r="H146" s="1262"/>
      <c r="I146" s="9"/>
      <c r="M146" s="9"/>
      <c r="N146" s="5911">
        <f>N145+1</f>
        <v>1</v>
      </c>
      <c r="O146" s="1332" t="s">
        <v>5893</v>
      </c>
      <c r="P146" s="1242" t="s">
        <v>5896</v>
      </c>
      <c r="Q146" s="5912" t="s">
        <v>5894</v>
      </c>
      <c r="R146" s="5913" t="s">
        <v>5897</v>
      </c>
      <c r="S146" s="2012" t="s">
        <v>5895</v>
      </c>
      <c r="T146" s="5913" t="s">
        <v>5898</v>
      </c>
      <c r="V146" s="1256">
        <v>6</v>
      </c>
      <c r="W146" s="203" t="s">
        <v>5892</v>
      </c>
      <c r="X146" s="1247"/>
      <c r="Y146" s="1247"/>
      <c r="AA146" s="1256"/>
      <c r="AB146" s="1257"/>
      <c r="AC146" s="1261"/>
      <c r="AD146" s="1261"/>
      <c r="AF146" s="3">
        <v>1</v>
      </c>
    </row>
    <row r="147" spans="2:32" ht="30" customHeight="1">
      <c r="B147" s="5937"/>
      <c r="C147" s="176"/>
      <c r="D147" s="1262"/>
      <c r="E147" s="2018"/>
      <c r="F147" s="1262"/>
      <c r="G147" s="2019"/>
      <c r="H147" s="1262"/>
      <c r="I147" s="9"/>
      <c r="M147" s="9"/>
      <c r="N147" s="5911"/>
      <c r="O147" s="1331" t="s">
        <v>5906</v>
      </c>
      <c r="P147" s="1238"/>
      <c r="Q147" s="5932"/>
      <c r="R147" s="5933"/>
      <c r="S147" s="2013"/>
      <c r="T147" s="5934"/>
      <c r="V147" s="1256">
        <v>7</v>
      </c>
      <c r="W147" s="203" t="s">
        <v>5905</v>
      </c>
      <c r="X147" s="1247"/>
      <c r="Y147" s="1247"/>
      <c r="AA147" s="1256"/>
      <c r="AB147" s="1257"/>
      <c r="AC147" s="1261"/>
      <c r="AD147" s="1261"/>
      <c r="AF147" s="3">
        <v>1</v>
      </c>
    </row>
    <row r="148" spans="2:32" ht="30" customHeight="1">
      <c r="B148" s="5937"/>
      <c r="C148" s="176"/>
      <c r="D148" s="1262"/>
      <c r="E148" s="2018"/>
      <c r="F148" s="1262"/>
      <c r="G148" s="2019"/>
      <c r="H148" s="1262"/>
      <c r="I148" s="9"/>
      <c r="M148" s="9"/>
      <c r="N148" s="5911">
        <f>N147+1</f>
        <v>1</v>
      </c>
      <c r="O148" s="1332" t="s">
        <v>5913</v>
      </c>
      <c r="P148" s="1242" t="s">
        <v>5916</v>
      </c>
      <c r="Q148" s="5912" t="s">
        <v>5914</v>
      </c>
      <c r="R148" s="5913" t="s">
        <v>5917</v>
      </c>
      <c r="S148" s="2012" t="s">
        <v>5915</v>
      </c>
      <c r="T148" s="5913" t="s">
        <v>5918</v>
      </c>
      <c r="V148" s="1256"/>
      <c r="W148" s="203"/>
      <c r="X148" s="1247"/>
      <c r="Y148" s="1247"/>
      <c r="AA148" s="1256"/>
      <c r="AB148" s="1257"/>
      <c r="AC148" s="1261"/>
      <c r="AD148" s="1261"/>
      <c r="AF148" s="3">
        <v>1</v>
      </c>
    </row>
    <row r="149" spans="2:32" ht="30" customHeight="1">
      <c r="B149" s="5937"/>
      <c r="C149" s="176"/>
      <c r="D149" s="1262"/>
      <c r="E149" s="2018"/>
      <c r="F149" s="1262"/>
      <c r="G149" s="2019"/>
      <c r="H149" s="1262"/>
      <c r="I149" s="9"/>
      <c r="M149" s="9"/>
      <c r="N149" s="5911"/>
      <c r="O149" s="1241"/>
      <c r="P149" s="1242"/>
      <c r="Q149" s="1242"/>
      <c r="R149" s="1242"/>
      <c r="S149" s="1243"/>
      <c r="T149" s="1242"/>
      <c r="V149" s="1256"/>
      <c r="W149" s="1250" t="s">
        <v>5925</v>
      </c>
      <c r="X149" s="1286" t="s">
        <v>5926</v>
      </c>
      <c r="Y149" s="1286" t="s">
        <v>5927</v>
      </c>
      <c r="AA149" s="1256"/>
      <c r="AB149" s="1257"/>
      <c r="AC149" s="1261"/>
      <c r="AD149" s="1261"/>
      <c r="AF149" s="3">
        <v>1</v>
      </c>
    </row>
    <row r="150" spans="2:32" ht="30" customHeight="1">
      <c r="B150" s="5937"/>
      <c r="C150" s="176"/>
      <c r="D150" s="1262"/>
      <c r="E150" s="2018"/>
      <c r="F150" s="1262"/>
      <c r="G150" s="2019"/>
      <c r="H150" s="1262"/>
      <c r="I150" s="9"/>
      <c r="M150" s="9"/>
      <c r="N150" s="5911"/>
      <c r="O150" s="1241"/>
      <c r="P150" s="1242"/>
      <c r="Q150" s="1242"/>
      <c r="R150" s="1242"/>
      <c r="S150" s="1243"/>
      <c r="T150" s="1242"/>
      <c r="V150" s="1256"/>
      <c r="W150" s="203"/>
      <c r="X150" s="1247"/>
      <c r="Y150" s="1247"/>
      <c r="AA150" s="1256"/>
      <c r="AB150" s="1257"/>
      <c r="AC150" s="1261"/>
      <c r="AD150" s="1261"/>
      <c r="AF150" s="3">
        <v>1</v>
      </c>
    </row>
    <row r="151" spans="2:32" ht="30" customHeight="1">
      <c r="B151" s="5937"/>
      <c r="C151" s="176"/>
      <c r="D151" s="1262"/>
      <c r="E151" s="2018"/>
      <c r="F151" s="1262"/>
      <c r="G151" s="2019"/>
      <c r="H151" s="1262"/>
      <c r="I151" s="9"/>
      <c r="M151" s="9"/>
      <c r="N151" s="5911"/>
      <c r="O151" s="1241"/>
      <c r="P151" s="1242"/>
      <c r="Q151" s="1242"/>
      <c r="R151" s="1242"/>
      <c r="S151" s="1243"/>
      <c r="T151" s="1242"/>
      <c r="V151" s="1256">
        <v>1</v>
      </c>
      <c r="W151" s="203" t="s">
        <v>5940</v>
      </c>
      <c r="X151" s="1247"/>
      <c r="Y151" s="1247"/>
      <c r="AA151" s="1256"/>
      <c r="AB151" s="1257"/>
      <c r="AC151" s="1261"/>
      <c r="AD151" s="1261"/>
      <c r="AF151" s="3">
        <v>1</v>
      </c>
    </row>
    <row r="152" spans="2:32" ht="30" customHeight="1">
      <c r="B152" s="5937"/>
      <c r="C152" s="176"/>
      <c r="D152" s="1262"/>
      <c r="E152" s="2018"/>
      <c r="F152" s="1262"/>
      <c r="G152" s="2019"/>
      <c r="H152" s="1262"/>
      <c r="I152" s="9"/>
      <c r="M152" s="9"/>
      <c r="N152" s="5911"/>
      <c r="O152" s="1241"/>
      <c r="P152" s="1242"/>
      <c r="Q152" s="1242"/>
      <c r="R152" s="1242"/>
      <c r="S152" s="1243"/>
      <c r="T152" s="1242"/>
      <c r="V152" s="1256">
        <v>2</v>
      </c>
      <c r="W152" s="203" t="s">
        <v>5947</v>
      </c>
      <c r="X152" s="1247"/>
      <c r="Y152" s="1247"/>
      <c r="AA152" s="1256"/>
      <c r="AB152" s="1257"/>
      <c r="AC152" s="1261"/>
      <c r="AD152" s="1261"/>
      <c r="AF152" s="3">
        <v>1</v>
      </c>
    </row>
    <row r="153" spans="2:32" ht="30" customHeight="1">
      <c r="B153" s="5937"/>
      <c r="C153" s="176"/>
      <c r="D153" s="1262"/>
      <c r="E153" s="2018"/>
      <c r="F153" s="1262"/>
      <c r="G153" s="2019"/>
      <c r="H153" s="1262"/>
      <c r="I153" s="9"/>
      <c r="M153" s="9"/>
      <c r="N153" s="5911"/>
      <c r="O153" s="1241"/>
      <c r="P153" s="1242"/>
      <c r="Q153" s="1242"/>
      <c r="R153" s="1242"/>
      <c r="S153" s="1243"/>
      <c r="T153" s="1242"/>
      <c r="V153" s="1256">
        <v>3</v>
      </c>
      <c r="W153" s="203" t="s">
        <v>5954</v>
      </c>
      <c r="X153" s="1247"/>
      <c r="Y153" s="1247"/>
      <c r="AA153" s="1256"/>
      <c r="AB153" s="1257"/>
      <c r="AC153" s="1261"/>
      <c r="AD153" s="1261"/>
      <c r="AF153" s="3">
        <v>1</v>
      </c>
    </row>
    <row r="154" spans="2:32" ht="30" customHeight="1">
      <c r="B154" s="5937"/>
      <c r="C154" s="176"/>
      <c r="D154" s="1262"/>
      <c r="E154" s="2018"/>
      <c r="F154" s="1262"/>
      <c r="G154" s="2019"/>
      <c r="H154" s="1262"/>
      <c r="I154" s="9"/>
      <c r="M154" s="9"/>
      <c r="N154" s="5911"/>
      <c r="O154" s="1241"/>
      <c r="P154" s="1242"/>
      <c r="Q154" s="1242"/>
      <c r="R154" s="1242"/>
      <c r="S154" s="1243"/>
      <c r="T154" s="1242"/>
      <c r="V154" s="1256">
        <v>4</v>
      </c>
      <c r="W154" s="203" t="s">
        <v>5961</v>
      </c>
      <c r="X154" s="1247"/>
      <c r="Y154" s="1247"/>
      <c r="AA154" s="1256"/>
      <c r="AB154" s="1257"/>
      <c r="AC154" s="1261"/>
      <c r="AD154" s="1261"/>
      <c r="AF154" s="3">
        <v>1</v>
      </c>
    </row>
    <row r="155" spans="2:32" ht="30" customHeight="1">
      <c r="B155" s="5937"/>
      <c r="C155" s="176"/>
      <c r="D155" s="1262"/>
      <c r="E155" s="2018"/>
      <c r="F155" s="1262"/>
      <c r="G155" s="2019"/>
      <c r="H155" s="1262"/>
      <c r="I155" s="9"/>
      <c r="M155" s="9"/>
      <c r="N155" s="5911"/>
      <c r="O155" s="1241"/>
      <c r="P155" s="1242"/>
      <c r="Q155" s="1242"/>
      <c r="R155" s="1242"/>
      <c r="S155" s="1243"/>
      <c r="T155" s="1242"/>
      <c r="V155" s="1256">
        <v>5</v>
      </c>
      <c r="W155" s="203" t="s">
        <v>5968</v>
      </c>
      <c r="X155" s="1247"/>
      <c r="Y155" s="1247"/>
      <c r="AA155" s="1256"/>
      <c r="AB155" s="1257"/>
      <c r="AC155" s="1261"/>
      <c r="AD155" s="1261"/>
      <c r="AF155" s="3">
        <v>1</v>
      </c>
    </row>
    <row r="156" spans="2:32" ht="30" customHeight="1">
      <c r="B156" s="5937"/>
      <c r="C156" s="176"/>
      <c r="D156" s="1262"/>
      <c r="E156" s="2018"/>
      <c r="F156" s="1262"/>
      <c r="G156" s="2019"/>
      <c r="H156" s="1262"/>
      <c r="I156" s="9"/>
      <c r="M156" s="9"/>
      <c r="N156" s="5911"/>
      <c r="O156" s="1241"/>
      <c r="P156" s="1242"/>
      <c r="Q156" s="1242"/>
      <c r="R156" s="1242"/>
      <c r="S156" s="1243"/>
      <c r="T156" s="1242"/>
      <c r="V156" s="1256">
        <v>6</v>
      </c>
      <c r="W156" s="203" t="s">
        <v>5975</v>
      </c>
      <c r="X156" s="1247"/>
      <c r="Y156" s="1247"/>
      <c r="AA156" s="1256"/>
      <c r="AB156" s="1257"/>
      <c r="AC156" s="1261"/>
      <c r="AD156" s="1261"/>
      <c r="AF156" s="3">
        <v>1</v>
      </c>
    </row>
    <row r="157" spans="2:32" ht="30" customHeight="1">
      <c r="B157" s="5937"/>
      <c r="C157" s="176"/>
      <c r="D157" s="1262"/>
      <c r="E157" s="2018"/>
      <c r="F157" s="1262"/>
      <c r="G157" s="2019"/>
      <c r="H157" s="1262"/>
      <c r="I157" s="9"/>
      <c r="M157" s="9"/>
      <c r="N157" s="5911"/>
      <c r="O157" s="1241"/>
      <c r="P157" s="1242"/>
      <c r="Q157" s="1242"/>
      <c r="R157" s="1242"/>
      <c r="S157" s="1243"/>
      <c r="T157" s="1242"/>
      <c r="V157" s="1256">
        <v>7</v>
      </c>
      <c r="W157" s="203" t="s">
        <v>5976</v>
      </c>
      <c r="X157" s="1247"/>
      <c r="Y157" s="1247"/>
      <c r="AA157" s="1256"/>
      <c r="AB157" s="1257"/>
      <c r="AC157" s="1261"/>
      <c r="AD157" s="1261"/>
      <c r="AF157" s="3">
        <v>1</v>
      </c>
    </row>
    <row r="158" spans="2:32" ht="30" customHeight="1">
      <c r="B158" s="5937"/>
      <c r="C158" s="176"/>
      <c r="D158" s="1262"/>
      <c r="E158" s="2018"/>
      <c r="F158" s="1262"/>
      <c r="G158" s="2019"/>
      <c r="H158" s="1262"/>
      <c r="I158" s="9"/>
      <c r="M158" s="9"/>
      <c r="N158" s="5911"/>
      <c r="O158" s="1241"/>
      <c r="P158" s="1242"/>
      <c r="Q158" s="1242"/>
      <c r="R158" s="1242"/>
      <c r="S158" s="1243"/>
      <c r="T158" s="1242"/>
      <c r="V158" s="1256">
        <v>8</v>
      </c>
      <c r="W158" s="203" t="s">
        <v>5983</v>
      </c>
      <c r="X158" s="1247"/>
      <c r="Y158" s="1247"/>
      <c r="AA158" s="1256"/>
      <c r="AB158" s="1257"/>
      <c r="AC158" s="1261"/>
      <c r="AD158" s="1261"/>
      <c r="AF158" s="3">
        <v>1</v>
      </c>
    </row>
    <row r="159" spans="2:32" ht="30" customHeight="1">
      <c r="B159" s="5937"/>
      <c r="C159" s="176"/>
      <c r="D159" s="1262"/>
      <c r="E159" s="2018"/>
      <c r="F159" s="1262"/>
      <c r="G159" s="2019"/>
      <c r="H159" s="1262"/>
      <c r="I159" s="9"/>
      <c r="M159" s="9"/>
      <c r="N159" s="5911"/>
      <c r="O159" s="1241"/>
      <c r="P159" s="1242"/>
      <c r="Q159" s="1242"/>
      <c r="R159" s="1242"/>
      <c r="S159" s="1243"/>
      <c r="T159" s="1242"/>
      <c r="V159" s="1256">
        <v>9</v>
      </c>
      <c r="W159" s="203" t="s">
        <v>5990</v>
      </c>
      <c r="X159" s="1247"/>
      <c r="Y159" s="1247"/>
      <c r="AA159" s="1256"/>
      <c r="AB159" s="1257"/>
      <c r="AC159" s="1261"/>
      <c r="AD159" s="1261"/>
      <c r="AF159" s="3">
        <v>1</v>
      </c>
    </row>
    <row r="160" spans="2:32" ht="30" customHeight="1">
      <c r="B160" s="5937"/>
      <c r="C160" s="176"/>
      <c r="D160" s="1262"/>
      <c r="E160" s="2018"/>
      <c r="F160" s="1262"/>
      <c r="G160" s="2019"/>
      <c r="H160" s="1262"/>
      <c r="I160" s="9"/>
      <c r="M160" s="9"/>
      <c r="N160" s="5911"/>
      <c r="O160" s="1241"/>
      <c r="P160" s="1242"/>
      <c r="Q160" s="1242"/>
      <c r="R160" s="1242"/>
      <c r="S160" s="1243"/>
      <c r="T160" s="1242"/>
      <c r="V160" s="1256">
        <v>10</v>
      </c>
      <c r="W160" s="203" t="s">
        <v>5997</v>
      </c>
      <c r="X160" s="1247"/>
      <c r="Y160" s="1247"/>
      <c r="AA160" s="1256"/>
      <c r="AB160" s="1257"/>
      <c r="AC160" s="1261"/>
      <c r="AD160" s="1261"/>
      <c r="AF160" s="3">
        <v>1</v>
      </c>
    </row>
    <row r="161" spans="2:32" ht="30" customHeight="1">
      <c r="B161" s="5937"/>
      <c r="C161" s="176"/>
      <c r="D161" s="1262"/>
      <c r="E161" s="2018"/>
      <c r="F161" s="1262"/>
      <c r="G161" s="2019"/>
      <c r="H161" s="1262"/>
      <c r="I161" s="9"/>
      <c r="M161" s="9"/>
      <c r="N161" s="5911"/>
      <c r="O161" s="1241"/>
      <c r="P161" s="1242"/>
      <c r="Q161" s="1242"/>
      <c r="R161" s="1242"/>
      <c r="S161" s="1243"/>
      <c r="T161" s="1242"/>
      <c r="V161" s="1256">
        <v>11</v>
      </c>
      <c r="W161" s="203" t="s">
        <v>6004</v>
      </c>
      <c r="X161" s="1247"/>
      <c r="Y161" s="1247"/>
      <c r="AA161" s="1256"/>
      <c r="AB161" s="1257"/>
      <c r="AC161" s="1261"/>
      <c r="AD161" s="1261"/>
      <c r="AF161" s="3">
        <v>1</v>
      </c>
    </row>
    <row r="162" spans="2:32" ht="30" customHeight="1">
      <c r="B162" s="5937"/>
      <c r="C162" s="176"/>
      <c r="D162" s="1262"/>
      <c r="E162" s="2018"/>
      <c r="F162" s="1262"/>
      <c r="G162" s="2019"/>
      <c r="H162" s="1262"/>
      <c r="I162" s="9"/>
      <c r="M162" s="9"/>
      <c r="N162" s="5911"/>
      <c r="O162" s="1241"/>
      <c r="P162" s="1242"/>
      <c r="Q162" s="1242"/>
      <c r="R162" s="1242"/>
      <c r="S162" s="1243"/>
      <c r="T162" s="1242"/>
      <c r="V162" s="1256">
        <v>12</v>
      </c>
      <c r="W162" s="203" t="s">
        <v>6011</v>
      </c>
      <c r="X162" s="1247"/>
      <c r="Y162" s="1247"/>
      <c r="AA162" s="1256"/>
      <c r="AB162" s="1257"/>
      <c r="AC162" s="1261"/>
      <c r="AD162" s="1261"/>
      <c r="AF162" s="3">
        <v>1</v>
      </c>
    </row>
    <row r="163" spans="2:32" ht="30" customHeight="1">
      <c r="B163" s="5937"/>
      <c r="C163" s="176"/>
      <c r="D163" s="1262"/>
      <c r="E163" s="2018"/>
      <c r="F163" s="1262"/>
      <c r="G163" s="2019"/>
      <c r="H163" s="1262"/>
      <c r="I163" s="9"/>
      <c r="M163" s="9"/>
      <c r="N163" s="5911"/>
      <c r="O163" s="1241"/>
      <c r="P163" s="1242"/>
      <c r="Q163" s="1242"/>
      <c r="R163" s="1242"/>
      <c r="S163" s="1243"/>
      <c r="T163" s="1242"/>
      <c r="V163" s="1256"/>
      <c r="W163" s="203"/>
      <c r="X163" s="1247"/>
      <c r="Y163" s="1247"/>
      <c r="AA163" s="1256"/>
      <c r="AB163" s="1257"/>
      <c r="AC163" s="1261"/>
      <c r="AD163" s="1261"/>
      <c r="AF163" s="3">
        <v>1</v>
      </c>
    </row>
    <row r="164" spans="2:32" ht="30" customHeight="1">
      <c r="B164" s="5937"/>
      <c r="C164" s="176"/>
      <c r="D164" s="1262"/>
      <c r="E164" s="2018"/>
      <c r="F164" s="1262"/>
      <c r="G164" s="2019"/>
      <c r="H164" s="1262"/>
      <c r="I164" s="9"/>
      <c r="M164" s="9"/>
      <c r="N164" s="5911"/>
      <c r="O164" s="1241"/>
      <c r="P164" s="1242"/>
      <c r="Q164" s="1242"/>
      <c r="R164" s="1242"/>
      <c r="S164" s="1243"/>
      <c r="T164" s="1242"/>
      <c r="V164" s="1256"/>
      <c r="W164" s="1250" t="s">
        <v>6024</v>
      </c>
      <c r="X164" s="1286" t="s">
        <v>6025</v>
      </c>
      <c r="Y164" s="1286" t="s">
        <v>6026</v>
      </c>
      <c r="AA164" s="1256"/>
      <c r="AB164" s="1257"/>
      <c r="AC164" s="1261"/>
      <c r="AD164" s="1261"/>
      <c r="AF164" s="3">
        <v>1</v>
      </c>
    </row>
    <row r="165" spans="2:32" ht="30" customHeight="1">
      <c r="B165" s="5937"/>
      <c r="C165" s="176"/>
      <c r="D165" s="1262"/>
      <c r="E165" s="2018"/>
      <c r="F165" s="1262"/>
      <c r="G165" s="2019"/>
      <c r="H165" s="1262"/>
      <c r="I165" s="9"/>
      <c r="M165" s="9"/>
      <c r="N165" s="5911"/>
      <c r="O165" s="1241"/>
      <c r="P165" s="1242"/>
      <c r="Q165" s="1242"/>
      <c r="R165" s="1242"/>
      <c r="S165" s="1243"/>
      <c r="T165" s="1242"/>
      <c r="V165" s="1256"/>
      <c r="W165" s="203"/>
      <c r="X165" s="1247"/>
      <c r="Y165" s="1247"/>
      <c r="AA165" s="1256"/>
      <c r="AB165" s="1257"/>
      <c r="AC165" s="1261"/>
      <c r="AD165" s="1261"/>
      <c r="AF165" s="3">
        <v>1</v>
      </c>
    </row>
    <row r="166" spans="2:32" ht="30" customHeight="1">
      <c r="B166" s="5937"/>
      <c r="C166" s="176"/>
      <c r="D166" s="1262"/>
      <c r="E166" s="2018"/>
      <c r="F166" s="1262"/>
      <c r="G166" s="2019"/>
      <c r="H166" s="1262"/>
      <c r="I166" s="9"/>
      <c r="M166" s="9"/>
      <c r="N166" s="5911"/>
      <c r="O166" s="1241"/>
      <c r="P166" s="1242"/>
      <c r="Q166" s="1242"/>
      <c r="R166" s="1242"/>
      <c r="S166" s="1243"/>
      <c r="T166" s="1242"/>
      <c r="V166" s="1256">
        <v>1</v>
      </c>
      <c r="W166" s="203" t="s">
        <v>6039</v>
      </c>
      <c r="X166" s="1247"/>
      <c r="Y166" s="1247"/>
      <c r="AA166" s="1256"/>
      <c r="AB166" s="1257"/>
      <c r="AC166" s="1261"/>
      <c r="AD166" s="1261"/>
      <c r="AF166" s="3">
        <v>1</v>
      </c>
    </row>
    <row r="167" spans="2:32" ht="30" customHeight="1">
      <c r="B167" s="5937"/>
      <c r="C167" s="176"/>
      <c r="D167" s="1262"/>
      <c r="E167" s="2018"/>
      <c r="F167" s="1262"/>
      <c r="G167" s="2019"/>
      <c r="H167" s="1262"/>
      <c r="I167" s="9"/>
      <c r="M167" s="9"/>
      <c r="N167" s="5911"/>
      <c r="O167" s="1241"/>
      <c r="P167" s="1242"/>
      <c r="Q167" s="1242"/>
      <c r="R167" s="1242"/>
      <c r="S167" s="1243"/>
      <c r="T167" s="1242"/>
      <c r="V167" s="1256">
        <v>2</v>
      </c>
      <c r="W167" s="203" t="s">
        <v>6046</v>
      </c>
      <c r="X167" s="1247"/>
      <c r="Y167" s="1247"/>
      <c r="AA167" s="1256"/>
      <c r="AB167" s="1257"/>
      <c r="AC167" s="1261"/>
      <c r="AD167" s="1261"/>
      <c r="AF167" s="3">
        <v>1</v>
      </c>
    </row>
    <row r="168" spans="2:32" ht="30" customHeight="1">
      <c r="B168" s="5937"/>
      <c r="C168" s="176"/>
      <c r="D168" s="1262"/>
      <c r="E168" s="2018"/>
      <c r="F168" s="1262"/>
      <c r="G168" s="2019"/>
      <c r="H168" s="1262"/>
      <c r="I168" s="9"/>
      <c r="M168" s="9"/>
      <c r="N168" s="5911"/>
      <c r="O168" s="1241"/>
      <c r="P168" s="1242"/>
      <c r="Q168" s="1242"/>
      <c r="R168" s="1242"/>
      <c r="S168" s="1243"/>
      <c r="T168" s="1242"/>
      <c r="V168" s="1256">
        <v>3</v>
      </c>
      <c r="W168" s="203" t="s">
        <v>6053</v>
      </c>
      <c r="X168" s="1247"/>
      <c r="Y168" s="1247"/>
      <c r="AA168" s="1256"/>
      <c r="AB168" s="1257"/>
      <c r="AC168" s="1261"/>
      <c r="AD168" s="1261"/>
      <c r="AF168" s="3">
        <v>1</v>
      </c>
    </row>
    <row r="169" spans="2:32" ht="30" customHeight="1">
      <c r="B169" s="5937"/>
      <c r="C169" s="176"/>
      <c r="D169" s="1262"/>
      <c r="E169" s="2018"/>
      <c r="F169" s="1262"/>
      <c r="G169" s="2019"/>
      <c r="H169" s="1262"/>
      <c r="I169" s="9"/>
      <c r="M169" s="9"/>
      <c r="N169" s="5911"/>
      <c r="O169" s="1241"/>
      <c r="P169" s="1242"/>
      <c r="Q169" s="1242"/>
      <c r="R169" s="1242"/>
      <c r="S169" s="1243"/>
      <c r="T169" s="1242"/>
      <c r="V169" s="1256">
        <v>4</v>
      </c>
      <c r="W169" s="203" t="s">
        <v>6060</v>
      </c>
      <c r="X169" s="1247"/>
      <c r="Y169" s="1247"/>
      <c r="AA169" s="1256"/>
      <c r="AB169" s="1257"/>
      <c r="AC169" s="1261"/>
      <c r="AD169" s="1261"/>
      <c r="AF169" s="3">
        <v>1</v>
      </c>
    </row>
    <row r="170" spans="2:32" ht="30" customHeight="1">
      <c r="B170" s="5937"/>
      <c r="C170" s="176"/>
      <c r="D170" s="1262"/>
      <c r="E170" s="2018"/>
      <c r="F170" s="1262"/>
      <c r="G170" s="2019"/>
      <c r="H170" s="1262"/>
      <c r="I170" s="9"/>
      <c r="M170" s="9"/>
      <c r="N170" s="5911"/>
      <c r="O170" s="1241"/>
      <c r="P170" s="1242"/>
      <c r="Q170" s="1242"/>
      <c r="R170" s="1242"/>
      <c r="S170" s="1243"/>
      <c r="T170" s="1242"/>
      <c r="V170" s="1256">
        <v>5</v>
      </c>
      <c r="W170" s="203" t="s">
        <v>6067</v>
      </c>
      <c r="X170" s="1247"/>
      <c r="Y170" s="1247"/>
      <c r="AA170" s="1256"/>
      <c r="AB170" s="1257"/>
      <c r="AC170" s="1261"/>
      <c r="AD170" s="1261"/>
      <c r="AF170" s="3">
        <v>1</v>
      </c>
    </row>
    <row r="171" spans="2:32" ht="30" customHeight="1">
      <c r="B171" s="5937"/>
      <c r="C171" s="176"/>
      <c r="D171" s="1262"/>
      <c r="E171" s="2018"/>
      <c r="F171" s="1262"/>
      <c r="G171" s="2019"/>
      <c r="H171" s="1262"/>
      <c r="I171" s="9"/>
      <c r="M171" s="9"/>
      <c r="N171" s="5911"/>
      <c r="O171" s="1241"/>
      <c r="P171" s="1242"/>
      <c r="Q171" s="1242"/>
      <c r="R171" s="1242"/>
      <c r="S171" s="1243"/>
      <c r="T171" s="1242"/>
      <c r="V171" s="1256">
        <v>6</v>
      </c>
      <c r="W171" s="203" t="s">
        <v>6074</v>
      </c>
      <c r="X171" s="1247"/>
      <c r="Y171" s="1247"/>
      <c r="AA171" s="1256"/>
      <c r="AB171" s="1257"/>
      <c r="AC171" s="1261"/>
      <c r="AD171" s="1261"/>
      <c r="AF171" s="3">
        <v>1</v>
      </c>
    </row>
    <row r="172" spans="2:32" ht="30" customHeight="1">
      <c r="B172" s="5937"/>
      <c r="C172" s="176"/>
      <c r="D172" s="1262"/>
      <c r="E172" s="2018"/>
      <c r="F172" s="1262"/>
      <c r="G172" s="2019"/>
      <c r="H172" s="1262"/>
      <c r="I172" s="9"/>
      <c r="M172" s="9"/>
      <c r="N172" s="5911"/>
      <c r="O172" s="1241"/>
      <c r="P172" s="1242"/>
      <c r="Q172" s="1242"/>
      <c r="R172" s="1242"/>
      <c r="S172" s="1243"/>
      <c r="T172" s="1242"/>
      <c r="V172" s="1256"/>
      <c r="W172" s="203"/>
      <c r="X172" s="1247"/>
      <c r="Y172" s="1247"/>
      <c r="AA172" s="1256"/>
      <c r="AB172" s="1257"/>
      <c r="AC172" s="1261"/>
      <c r="AD172" s="1261"/>
      <c r="AF172" s="3">
        <v>1</v>
      </c>
    </row>
    <row r="173" spans="2:32" ht="30" customHeight="1">
      <c r="B173" s="5937"/>
      <c r="C173" s="176"/>
      <c r="D173" s="1262"/>
      <c r="E173" s="2018"/>
      <c r="F173" s="1262"/>
      <c r="G173" s="2019"/>
      <c r="H173" s="1262"/>
      <c r="I173" s="9"/>
      <c r="M173" s="9"/>
      <c r="N173" s="5911"/>
      <c r="O173" s="1241"/>
      <c r="P173" s="1242"/>
      <c r="Q173" s="1242"/>
      <c r="R173" s="1242"/>
      <c r="S173" s="1243"/>
      <c r="T173" s="1242"/>
      <c r="V173" s="1256"/>
      <c r="W173" s="1250" t="s">
        <v>6087</v>
      </c>
      <c r="X173" s="1286" t="s">
        <v>6088</v>
      </c>
      <c r="Y173" s="1286" t="s">
        <v>6089</v>
      </c>
      <c r="AA173" s="1256"/>
      <c r="AB173" s="1257"/>
      <c r="AC173" s="1261"/>
      <c r="AD173" s="1261"/>
      <c r="AF173" s="3">
        <v>1</v>
      </c>
    </row>
    <row r="174" spans="2:32" ht="30" customHeight="1">
      <c r="B174" s="5937"/>
      <c r="C174" s="176"/>
      <c r="D174" s="1262"/>
      <c r="E174" s="2018"/>
      <c r="F174" s="1262"/>
      <c r="G174" s="2019"/>
      <c r="H174" s="1262"/>
      <c r="I174" s="9"/>
      <c r="M174" s="9"/>
      <c r="N174" s="5911"/>
      <c r="O174" s="1241"/>
      <c r="P174" s="1242"/>
      <c r="Q174" s="1242"/>
      <c r="R174" s="1242"/>
      <c r="S174" s="1243"/>
      <c r="T174" s="1242"/>
      <c r="V174" s="1256"/>
      <c r="W174" s="203"/>
      <c r="X174" s="1247"/>
      <c r="Y174" s="1247"/>
      <c r="AA174" s="1256"/>
      <c r="AB174" s="1257"/>
      <c r="AC174" s="1261"/>
      <c r="AD174" s="1261"/>
      <c r="AF174" s="3">
        <v>1</v>
      </c>
    </row>
    <row r="175" spans="2:32" ht="30" customHeight="1">
      <c r="B175" s="5937"/>
      <c r="C175" s="176"/>
      <c r="D175" s="1262"/>
      <c r="E175" s="2018"/>
      <c r="F175" s="1262"/>
      <c r="G175" s="2019"/>
      <c r="H175" s="1262"/>
      <c r="I175" s="9"/>
      <c r="M175" s="9"/>
      <c r="N175" s="5911"/>
      <c r="O175" s="1241"/>
      <c r="P175" s="1242"/>
      <c r="Q175" s="1242"/>
      <c r="R175" s="1242"/>
      <c r="S175" s="1243"/>
      <c r="T175" s="1242"/>
      <c r="V175" s="1256">
        <v>1</v>
      </c>
      <c r="W175" s="203" t="s">
        <v>6102</v>
      </c>
      <c r="X175" s="1247"/>
      <c r="Y175" s="1247"/>
      <c r="AA175" s="1256"/>
      <c r="AB175" s="1257"/>
      <c r="AC175" s="1261"/>
      <c r="AD175" s="1261"/>
      <c r="AF175" s="3">
        <v>1</v>
      </c>
    </row>
    <row r="176" spans="2:32" ht="30" customHeight="1">
      <c r="B176" s="5937"/>
      <c r="C176" s="176"/>
      <c r="D176" s="1262"/>
      <c r="E176" s="2018"/>
      <c r="F176" s="1262"/>
      <c r="G176" s="2019"/>
      <c r="H176" s="1262"/>
      <c r="I176" s="9"/>
      <c r="M176" s="9"/>
      <c r="N176" s="5911"/>
      <c r="O176" s="1241"/>
      <c r="P176" s="1242"/>
      <c r="Q176" s="1242"/>
      <c r="R176" s="1242"/>
      <c r="S176" s="1243"/>
      <c r="T176" s="1242"/>
      <c r="V176" s="1256">
        <v>2</v>
      </c>
      <c r="W176" s="203" t="s">
        <v>6109</v>
      </c>
      <c r="X176" s="1247"/>
      <c r="Y176" s="1247"/>
      <c r="AA176" s="1256"/>
      <c r="AB176" s="1257"/>
      <c r="AC176" s="1261"/>
      <c r="AD176" s="1261"/>
      <c r="AF176" s="3">
        <v>1</v>
      </c>
    </row>
    <row r="177" spans="2:32" ht="30" customHeight="1">
      <c r="B177" s="5937"/>
      <c r="C177" s="176"/>
      <c r="D177" s="1262"/>
      <c r="E177" s="2018"/>
      <c r="F177" s="1262"/>
      <c r="G177" s="2019"/>
      <c r="H177" s="1262"/>
      <c r="I177" s="9"/>
      <c r="M177" s="9"/>
      <c r="N177" s="5911"/>
      <c r="O177" s="1241"/>
      <c r="P177" s="1242"/>
      <c r="Q177" s="1242"/>
      <c r="R177" s="1242"/>
      <c r="S177" s="1243"/>
      <c r="T177" s="1242"/>
      <c r="V177" s="1256">
        <v>3</v>
      </c>
      <c r="W177" s="203" t="s">
        <v>6116</v>
      </c>
      <c r="X177" s="1247"/>
      <c r="Y177" s="1247"/>
      <c r="AA177" s="1256"/>
      <c r="AB177" s="1257"/>
      <c r="AC177" s="1261"/>
      <c r="AD177" s="1261"/>
      <c r="AF177" s="3">
        <v>1</v>
      </c>
    </row>
    <row r="178" spans="2:32" ht="30" customHeight="1">
      <c r="B178" s="5937"/>
      <c r="C178" s="176"/>
      <c r="D178" s="1262"/>
      <c r="E178" s="2018"/>
      <c r="F178" s="1262"/>
      <c r="G178" s="2019"/>
      <c r="H178" s="1262"/>
      <c r="I178" s="9"/>
      <c r="M178" s="9"/>
      <c r="N178" s="5911"/>
      <c r="O178" s="1241"/>
      <c r="P178" s="1242"/>
      <c r="Q178" s="1242"/>
      <c r="R178" s="1242"/>
      <c r="S178" s="1243"/>
      <c r="T178" s="1242"/>
      <c r="V178" s="1256">
        <v>4</v>
      </c>
      <c r="W178" s="203" t="s">
        <v>6123</v>
      </c>
      <c r="X178" s="1247"/>
      <c r="Y178" s="1287"/>
      <c r="AA178" s="1256"/>
      <c r="AB178" s="1257"/>
      <c r="AC178" s="1261"/>
      <c r="AD178" s="1261"/>
      <c r="AF178" s="3">
        <v>1</v>
      </c>
    </row>
    <row r="179" spans="2:32" ht="30" customHeight="1">
      <c r="B179" s="5937"/>
      <c r="C179" s="176"/>
      <c r="D179" s="1262"/>
      <c r="E179" s="2018"/>
      <c r="F179" s="1262"/>
      <c r="G179" s="2019"/>
      <c r="H179" s="1262"/>
      <c r="I179" s="9"/>
      <c r="M179" s="9"/>
      <c r="N179" s="5911"/>
      <c r="O179" s="1241"/>
      <c r="P179" s="1242"/>
      <c r="Q179" s="1242"/>
      <c r="R179" s="1242"/>
      <c r="S179" s="1243"/>
      <c r="T179" s="1242"/>
      <c r="V179" s="1256"/>
      <c r="W179" s="203"/>
      <c r="X179" s="1247"/>
      <c r="Y179" s="1287"/>
      <c r="AA179" s="1256"/>
      <c r="AB179" s="1257"/>
      <c r="AC179" s="1261"/>
      <c r="AD179" s="1261"/>
      <c r="AF179" s="3">
        <v>1</v>
      </c>
    </row>
    <row r="180" spans="2:32" ht="30" customHeight="1">
      <c r="B180" s="5937"/>
      <c r="C180" s="176"/>
      <c r="D180" s="1262"/>
      <c r="E180" s="2018"/>
      <c r="F180" s="1262"/>
      <c r="G180" s="2019"/>
      <c r="H180" s="1262"/>
      <c r="I180" s="9"/>
      <c r="M180" s="9"/>
      <c r="N180" s="5911"/>
      <c r="O180" s="1241"/>
      <c r="P180" s="1242"/>
      <c r="Q180" s="1242"/>
      <c r="R180" s="1242"/>
      <c r="S180" s="1243"/>
      <c r="T180" s="1242"/>
      <c r="V180" s="1256"/>
      <c r="W180" s="1250" t="s">
        <v>6136</v>
      </c>
      <c r="X180" s="1286" t="s">
        <v>6137</v>
      </c>
      <c r="Y180" s="1286" t="s">
        <v>6138</v>
      </c>
      <c r="AA180" s="1256"/>
      <c r="AB180" s="1257"/>
      <c r="AC180" s="1261"/>
      <c r="AD180" s="1261"/>
      <c r="AF180" s="3">
        <v>1</v>
      </c>
    </row>
    <row r="181" spans="2:32" ht="30" customHeight="1">
      <c r="B181" s="5937"/>
      <c r="C181" s="176"/>
      <c r="D181" s="1262"/>
      <c r="E181" s="2018"/>
      <c r="F181" s="1262"/>
      <c r="G181" s="2019"/>
      <c r="H181" s="1262"/>
      <c r="I181" s="9"/>
      <c r="M181" s="9"/>
      <c r="N181" s="5911"/>
      <c r="O181" s="1241"/>
      <c r="P181" s="1242"/>
      <c r="Q181" s="1242"/>
      <c r="R181" s="1242"/>
      <c r="S181" s="1243"/>
      <c r="T181" s="1242"/>
      <c r="V181" s="1256"/>
      <c r="W181" s="203"/>
      <c r="X181" s="1247"/>
      <c r="Y181" s="1287"/>
      <c r="AA181" s="1256"/>
      <c r="AB181" s="1257"/>
      <c r="AC181" s="1261"/>
      <c r="AD181" s="1261"/>
      <c r="AF181" s="3">
        <v>1</v>
      </c>
    </row>
    <row r="182" spans="2:32" ht="30" customHeight="1">
      <c r="B182" s="5937"/>
      <c r="C182" s="176"/>
      <c r="D182" s="1262"/>
      <c r="E182" s="2018"/>
      <c r="F182" s="1262"/>
      <c r="G182" s="2019"/>
      <c r="H182" s="1262"/>
      <c r="I182" s="9"/>
      <c r="M182" s="9"/>
      <c r="N182" s="5911"/>
      <c r="O182" s="1241"/>
      <c r="P182" s="1242"/>
      <c r="Q182" s="1242"/>
      <c r="R182" s="1242"/>
      <c r="S182" s="1243"/>
      <c r="T182" s="1242"/>
      <c r="V182" s="1256">
        <v>1</v>
      </c>
      <c r="W182" s="203" t="s">
        <v>6151</v>
      </c>
      <c r="X182" s="1247"/>
      <c r="Y182" s="1287"/>
      <c r="AA182" s="1256"/>
      <c r="AB182" s="1257"/>
      <c r="AC182" s="1261"/>
      <c r="AD182" s="1261"/>
      <c r="AF182" s="3">
        <v>1</v>
      </c>
    </row>
    <row r="183" spans="2:32" ht="30" customHeight="1">
      <c r="B183" s="5937"/>
      <c r="C183" s="176"/>
      <c r="D183" s="1262"/>
      <c r="E183" s="2018"/>
      <c r="F183" s="1262"/>
      <c r="G183" s="2019"/>
      <c r="H183" s="1262"/>
      <c r="I183" s="9"/>
      <c r="M183" s="9"/>
      <c r="N183" s="5911"/>
      <c r="O183" s="1241"/>
      <c r="P183" s="1242"/>
      <c r="Q183" s="1242"/>
      <c r="R183" s="1242"/>
      <c r="S183" s="1243"/>
      <c r="T183" s="1242"/>
      <c r="V183" s="1256">
        <v>2</v>
      </c>
      <c r="W183" s="203" t="s">
        <v>6158</v>
      </c>
      <c r="X183" s="1247"/>
      <c r="Y183" s="1287"/>
      <c r="AA183" s="1256"/>
      <c r="AB183" s="1257"/>
      <c r="AC183" s="1261"/>
      <c r="AD183" s="1261"/>
      <c r="AF183" s="3">
        <v>1</v>
      </c>
    </row>
    <row r="184" spans="2:32" ht="30" customHeight="1">
      <c r="B184" s="5937"/>
      <c r="C184" s="176"/>
      <c r="D184" s="1262"/>
      <c r="E184" s="2018"/>
      <c r="F184" s="1262"/>
      <c r="G184" s="2019"/>
      <c r="H184" s="1262"/>
      <c r="I184" s="9"/>
      <c r="M184" s="9"/>
      <c r="N184" s="5911"/>
      <c r="O184" s="1241"/>
      <c r="P184" s="1242"/>
      <c r="Q184" s="1242"/>
      <c r="R184" s="1242"/>
      <c r="S184" s="1243"/>
      <c r="T184" s="1242"/>
      <c r="V184" s="1256">
        <v>3</v>
      </c>
      <c r="W184" s="203" t="s">
        <v>6165</v>
      </c>
      <c r="X184" s="1247"/>
      <c r="Y184" s="1287"/>
      <c r="AA184" s="1256"/>
      <c r="AB184" s="1257"/>
      <c r="AC184" s="1261"/>
      <c r="AD184" s="1261"/>
      <c r="AF184" s="3">
        <v>1</v>
      </c>
    </row>
    <row r="185" spans="2:32" ht="30" customHeight="1">
      <c r="B185" s="5937"/>
      <c r="C185" s="176"/>
      <c r="D185" s="1262"/>
      <c r="E185" s="2018"/>
      <c r="F185" s="1262"/>
      <c r="G185" s="2019"/>
      <c r="H185" s="1262"/>
      <c r="I185" s="9"/>
      <c r="M185" s="9"/>
      <c r="N185" s="5911"/>
      <c r="O185" s="1241"/>
      <c r="P185" s="1242"/>
      <c r="Q185" s="1242"/>
      <c r="R185" s="1242"/>
      <c r="S185" s="1243"/>
      <c r="T185" s="1242"/>
      <c r="V185" s="1256">
        <v>4</v>
      </c>
      <c r="W185" s="203" t="s">
        <v>6172</v>
      </c>
      <c r="X185" s="1247"/>
      <c r="Y185" s="1247"/>
      <c r="AA185" s="1256"/>
      <c r="AB185" s="1257"/>
      <c r="AC185" s="1261"/>
      <c r="AD185" s="1261"/>
      <c r="AF185" s="3">
        <v>1</v>
      </c>
    </row>
    <row r="186" spans="2:32" ht="30" customHeight="1">
      <c r="B186" s="5937"/>
      <c r="C186" s="176"/>
      <c r="D186" s="1262"/>
      <c r="E186" s="2018"/>
      <c r="F186" s="1262"/>
      <c r="G186" s="2019"/>
      <c r="H186" s="1262"/>
      <c r="I186" s="9"/>
      <c r="M186" s="9"/>
      <c r="N186" s="5911"/>
      <c r="O186" s="1241"/>
      <c r="P186" s="1242"/>
      <c r="Q186" s="1242"/>
      <c r="R186" s="1242"/>
      <c r="S186" s="1243"/>
      <c r="T186" s="1242"/>
      <c r="V186" s="1256">
        <v>5</v>
      </c>
      <c r="W186" s="203" t="s">
        <v>6179</v>
      </c>
      <c r="X186" s="1247"/>
      <c r="Y186" s="1247"/>
      <c r="AA186" s="1256"/>
      <c r="AB186" s="1257"/>
      <c r="AC186" s="1261"/>
      <c r="AD186" s="1261"/>
      <c r="AF186" s="3">
        <v>1</v>
      </c>
    </row>
    <row r="187" spans="2:32" ht="30" customHeight="1">
      <c r="B187" s="5937"/>
      <c r="C187" s="176"/>
      <c r="D187" s="1262"/>
      <c r="E187" s="2018"/>
      <c r="F187" s="1262"/>
      <c r="G187" s="2019"/>
      <c r="H187" s="1262"/>
      <c r="I187" s="9"/>
      <c r="M187" s="9"/>
      <c r="N187" s="5911"/>
      <c r="O187" s="1241"/>
      <c r="P187" s="1242"/>
      <c r="Q187" s="1242"/>
      <c r="R187" s="1242"/>
      <c r="S187" s="1243"/>
      <c r="T187" s="1242"/>
      <c r="V187" s="1256">
        <v>6</v>
      </c>
      <c r="W187" s="203" t="s">
        <v>6186</v>
      </c>
      <c r="X187" s="1247"/>
      <c r="Y187" s="1287"/>
      <c r="AA187" s="1256"/>
      <c r="AB187" s="1257"/>
      <c r="AC187" s="1261"/>
      <c r="AD187" s="1261"/>
      <c r="AF187" s="3">
        <v>1</v>
      </c>
    </row>
    <row r="188" spans="2:32" ht="30" customHeight="1">
      <c r="B188" s="5937"/>
      <c r="C188" s="176"/>
      <c r="D188" s="1262"/>
      <c r="E188" s="2018"/>
      <c r="F188" s="1262"/>
      <c r="G188" s="2019"/>
      <c r="H188" s="1262"/>
      <c r="I188" s="9"/>
      <c r="M188" s="9"/>
      <c r="N188" s="5911"/>
      <c r="O188" s="1241"/>
      <c r="P188" s="1242"/>
      <c r="Q188" s="1242"/>
      <c r="R188" s="1242"/>
      <c r="S188" s="1243"/>
      <c r="T188" s="1242"/>
      <c r="V188" s="1256"/>
      <c r="W188" s="203"/>
      <c r="X188" s="1247"/>
      <c r="Y188" s="1287"/>
      <c r="AA188" s="1256"/>
      <c r="AB188" s="1257"/>
      <c r="AC188" s="1261"/>
      <c r="AD188" s="1261"/>
      <c r="AF188" s="3">
        <v>1</v>
      </c>
    </row>
    <row r="189" spans="2:32" ht="30" customHeight="1">
      <c r="B189" s="5937"/>
      <c r="C189" s="176"/>
      <c r="D189" s="1262"/>
      <c r="E189" s="2018"/>
      <c r="F189" s="1262"/>
      <c r="G189" s="2019"/>
      <c r="H189" s="1262"/>
      <c r="I189" s="9"/>
      <c r="M189" s="9"/>
      <c r="N189" s="5911"/>
      <c r="O189" s="1241"/>
      <c r="P189" s="1242"/>
      <c r="Q189" s="1242"/>
      <c r="R189" s="1242"/>
      <c r="S189" s="1243"/>
      <c r="T189" s="1242"/>
      <c r="V189" s="1256"/>
      <c r="W189" s="1250" t="s">
        <v>6199</v>
      </c>
      <c r="X189" s="1286" t="s">
        <v>6200</v>
      </c>
      <c r="Y189" s="1286" t="s">
        <v>6201</v>
      </c>
      <c r="AA189" s="1256"/>
      <c r="AB189" s="1257"/>
      <c r="AC189" s="1261"/>
      <c r="AD189" s="1261"/>
      <c r="AF189" s="3">
        <v>1</v>
      </c>
    </row>
    <row r="190" spans="2:32" ht="30" customHeight="1">
      <c r="B190" s="5937"/>
      <c r="C190" s="176"/>
      <c r="D190" s="1262"/>
      <c r="E190" s="2018"/>
      <c r="F190" s="1262"/>
      <c r="G190" s="2019"/>
      <c r="H190" s="1262"/>
      <c r="I190" s="9"/>
      <c r="M190" s="9"/>
      <c r="N190" s="5911"/>
      <c r="O190" s="1241"/>
      <c r="P190" s="1242"/>
      <c r="Q190" s="1242"/>
      <c r="R190" s="1242"/>
      <c r="S190" s="1243"/>
      <c r="T190" s="1242"/>
      <c r="V190" s="1256"/>
      <c r="W190" s="203"/>
      <c r="X190" s="1247"/>
      <c r="Y190" s="1287"/>
      <c r="AA190" s="1256"/>
      <c r="AB190" s="1257"/>
      <c r="AC190" s="1261"/>
      <c r="AD190" s="1261"/>
      <c r="AF190" s="3">
        <v>1</v>
      </c>
    </row>
    <row r="191" spans="2:32" ht="30" customHeight="1">
      <c r="B191" s="5937"/>
      <c r="C191" s="176"/>
      <c r="D191" s="1262"/>
      <c r="E191" s="2018"/>
      <c r="F191" s="1262"/>
      <c r="G191" s="2019"/>
      <c r="H191" s="1262"/>
      <c r="I191" s="9"/>
      <c r="M191" s="9"/>
      <c r="N191" s="5911"/>
      <c r="O191" s="1241"/>
      <c r="P191" s="1242"/>
      <c r="Q191" s="1242"/>
      <c r="R191" s="1242"/>
      <c r="S191" s="1243"/>
      <c r="T191" s="1242"/>
      <c r="V191" s="1256">
        <v>1</v>
      </c>
      <c r="W191" s="203" t="s">
        <v>6214</v>
      </c>
      <c r="X191" s="1247"/>
      <c r="Y191" s="1287"/>
      <c r="AA191" s="1256"/>
      <c r="AB191" s="1257"/>
      <c r="AC191" s="1261"/>
      <c r="AD191" s="1261"/>
      <c r="AF191" s="3">
        <v>1</v>
      </c>
    </row>
    <row r="192" spans="2:32" ht="30" customHeight="1">
      <c r="B192" s="5937"/>
      <c r="C192" s="176"/>
      <c r="D192" s="1262"/>
      <c r="E192" s="2018"/>
      <c r="F192" s="1262"/>
      <c r="G192" s="2019"/>
      <c r="H192" s="1262"/>
      <c r="I192" s="9"/>
      <c r="M192" s="9"/>
      <c r="N192" s="5911"/>
      <c r="O192" s="1241"/>
      <c r="P192" s="1242"/>
      <c r="Q192" s="1242"/>
      <c r="R192" s="1242"/>
      <c r="S192" s="1243"/>
      <c r="T192" s="1242"/>
      <c r="V192" s="1256">
        <v>2</v>
      </c>
      <c r="W192" s="203" t="s">
        <v>6221</v>
      </c>
      <c r="X192" s="1247"/>
      <c r="Y192" s="1287"/>
      <c r="AA192" s="1256"/>
      <c r="AB192" s="1257"/>
      <c r="AC192" s="1261"/>
      <c r="AD192" s="1261"/>
      <c r="AF192" s="3">
        <v>1</v>
      </c>
    </row>
    <row r="193" spans="2:32" ht="30" customHeight="1">
      <c r="B193" s="5937"/>
      <c r="C193" s="176"/>
      <c r="D193" s="1262"/>
      <c r="E193" s="2018"/>
      <c r="F193" s="1262"/>
      <c r="G193" s="2019"/>
      <c r="H193" s="1262"/>
      <c r="I193" s="9"/>
      <c r="M193" s="9"/>
      <c r="N193" s="5911"/>
      <c r="O193" s="1241"/>
      <c r="P193" s="1242"/>
      <c r="Q193" s="1242"/>
      <c r="R193" s="1242"/>
      <c r="S193" s="1243"/>
      <c r="T193" s="1242"/>
      <c r="V193" s="1256">
        <v>3</v>
      </c>
      <c r="W193" s="203" t="s">
        <v>6222</v>
      </c>
      <c r="X193" s="1247"/>
      <c r="Y193" s="1287"/>
      <c r="AA193" s="1256"/>
      <c r="AB193" s="1257"/>
      <c r="AC193" s="1261"/>
      <c r="AD193" s="1261"/>
      <c r="AF193" s="3">
        <v>1</v>
      </c>
    </row>
    <row r="194" spans="2:32" ht="30" customHeight="1">
      <c r="B194" s="5937"/>
      <c r="C194" s="176"/>
      <c r="D194" s="1262"/>
      <c r="E194" s="2018"/>
      <c r="F194" s="1262"/>
      <c r="G194" s="2019"/>
      <c r="H194" s="1262"/>
      <c r="I194" s="9"/>
      <c r="M194" s="9"/>
      <c r="N194" s="5911"/>
      <c r="O194" s="1241"/>
      <c r="P194" s="1242"/>
      <c r="Q194" s="1242"/>
      <c r="R194" s="1242"/>
      <c r="S194" s="1243"/>
      <c r="T194" s="1242"/>
      <c r="V194" s="1256">
        <v>4</v>
      </c>
      <c r="W194" s="203" t="s">
        <v>6223</v>
      </c>
      <c r="X194" s="1247"/>
      <c r="Y194" s="1247"/>
      <c r="AA194" s="1256"/>
      <c r="AB194" s="1257"/>
      <c r="AC194" s="1261"/>
      <c r="AD194" s="1261"/>
      <c r="AF194" s="3">
        <v>1</v>
      </c>
    </row>
    <row r="195" spans="2:32" ht="30" customHeight="1">
      <c r="B195" s="5937"/>
      <c r="C195" s="176"/>
      <c r="D195" s="1262"/>
      <c r="E195" s="2018"/>
      <c r="F195" s="1262"/>
      <c r="G195" s="2019"/>
      <c r="H195" s="1262"/>
      <c r="I195" s="9"/>
      <c r="M195" s="9"/>
      <c r="N195" s="5911"/>
      <c r="O195" s="1241"/>
      <c r="P195" s="1242"/>
      <c r="Q195" s="1242"/>
      <c r="R195" s="1242"/>
      <c r="S195" s="1243"/>
      <c r="T195" s="1242"/>
      <c r="V195" s="1256">
        <v>5</v>
      </c>
      <c r="W195" s="203" t="s">
        <v>6230</v>
      </c>
      <c r="X195" s="1247"/>
      <c r="Y195" s="1247"/>
      <c r="AA195" s="1256"/>
      <c r="AB195" s="1257"/>
      <c r="AC195" s="1261"/>
      <c r="AD195" s="1261"/>
      <c r="AF195" s="3">
        <v>1</v>
      </c>
    </row>
    <row r="196" spans="2:32" ht="30" customHeight="1">
      <c r="B196" s="5937"/>
      <c r="C196" s="176"/>
      <c r="D196" s="1262"/>
      <c r="E196" s="2018"/>
      <c r="F196" s="1262"/>
      <c r="G196" s="2019"/>
      <c r="H196" s="1262"/>
      <c r="I196" s="9"/>
      <c r="M196" s="9"/>
      <c r="N196" s="5911"/>
      <c r="O196" s="1241"/>
      <c r="P196" s="1242"/>
      <c r="Q196" s="1242"/>
      <c r="R196" s="1242"/>
      <c r="S196" s="1243"/>
      <c r="T196" s="1242"/>
      <c r="V196" s="1256">
        <v>6</v>
      </c>
      <c r="W196" s="203" t="s">
        <v>6237</v>
      </c>
      <c r="X196" s="1247"/>
      <c r="Y196" s="1287"/>
      <c r="AA196" s="1256"/>
      <c r="AB196" s="1257"/>
      <c r="AC196" s="1261"/>
      <c r="AD196" s="1261"/>
      <c r="AF196" s="3">
        <v>1</v>
      </c>
    </row>
    <row r="197" spans="2:32" ht="30" customHeight="1">
      <c r="B197" s="5937"/>
      <c r="C197" s="176"/>
      <c r="D197" s="1262"/>
      <c r="E197" s="2018"/>
      <c r="F197" s="1262"/>
      <c r="G197" s="2019"/>
      <c r="H197" s="1262"/>
      <c r="I197" s="9"/>
      <c r="M197" s="9"/>
      <c r="N197" s="5911"/>
      <c r="O197" s="1241"/>
      <c r="P197" s="1242"/>
      <c r="Q197" s="1242"/>
      <c r="R197" s="1242"/>
      <c r="S197" s="1243"/>
      <c r="T197" s="1242"/>
      <c r="V197" s="1256"/>
      <c r="W197" s="203"/>
      <c r="X197" s="1247"/>
      <c r="Y197" s="1287"/>
      <c r="AA197" s="1256"/>
      <c r="AB197" s="1257"/>
      <c r="AC197" s="1261"/>
      <c r="AD197" s="1261"/>
      <c r="AF197" s="3">
        <v>1</v>
      </c>
    </row>
    <row r="198" spans="2:32" ht="30" customHeight="1">
      <c r="B198" s="5937"/>
      <c r="C198" s="176"/>
      <c r="D198" s="1262"/>
      <c r="E198" s="2018"/>
      <c r="F198" s="1262"/>
      <c r="G198" s="2019"/>
      <c r="H198" s="1262"/>
      <c r="I198" s="9"/>
      <c r="M198" s="9"/>
      <c r="N198" s="5911"/>
      <c r="O198" s="1241"/>
      <c r="P198" s="1242"/>
      <c r="Q198" s="1242"/>
      <c r="R198" s="1242"/>
      <c r="S198" s="1243"/>
      <c r="T198" s="1242"/>
      <c r="V198" s="1256"/>
      <c r="W198" s="1250" t="s">
        <v>6250</v>
      </c>
      <c r="X198" s="1286" t="s">
        <v>6251</v>
      </c>
      <c r="Y198" s="1286" t="s">
        <v>6252</v>
      </c>
      <c r="AA198" s="1256"/>
      <c r="AB198" s="1257"/>
      <c r="AC198" s="1261"/>
      <c r="AD198" s="1261"/>
      <c r="AF198" s="3">
        <v>1</v>
      </c>
    </row>
    <row r="199" spans="2:32" ht="30" customHeight="1">
      <c r="B199" s="5937"/>
      <c r="C199" s="176"/>
      <c r="D199" s="1262"/>
      <c r="E199" s="2018"/>
      <c r="F199" s="1262"/>
      <c r="G199" s="2019"/>
      <c r="H199" s="1262"/>
      <c r="I199" s="9"/>
      <c r="M199" s="9"/>
      <c r="N199" s="5911"/>
      <c r="O199" s="1241"/>
      <c r="P199" s="1242"/>
      <c r="Q199" s="1242"/>
      <c r="R199" s="1242"/>
      <c r="S199" s="1243"/>
      <c r="T199" s="1242"/>
      <c r="V199" s="1256"/>
      <c r="W199" s="203"/>
      <c r="X199" s="1247"/>
      <c r="Y199" s="1287"/>
      <c r="AA199" s="1256"/>
      <c r="AB199" s="1257"/>
      <c r="AC199" s="1261"/>
      <c r="AD199" s="1261"/>
      <c r="AF199" s="3">
        <v>1</v>
      </c>
    </row>
    <row r="200" spans="2:32" ht="30" customHeight="1">
      <c r="B200" s="5937"/>
      <c r="C200" s="176"/>
      <c r="D200" s="1262"/>
      <c r="E200" s="2018"/>
      <c r="F200" s="1262"/>
      <c r="G200" s="2019"/>
      <c r="H200" s="1262"/>
      <c r="I200" s="9"/>
      <c r="M200" s="9"/>
      <c r="N200" s="5911"/>
      <c r="O200" s="1241"/>
      <c r="P200" s="1242"/>
      <c r="Q200" s="1242"/>
      <c r="R200" s="1242"/>
      <c r="S200" s="1243"/>
      <c r="T200" s="1242"/>
      <c r="V200" s="1256">
        <v>1</v>
      </c>
      <c r="W200" s="203" t="s">
        <v>6265</v>
      </c>
      <c r="X200" s="1247"/>
      <c r="Y200" s="1287"/>
      <c r="AA200" s="1256"/>
      <c r="AB200" s="1257"/>
      <c r="AC200" s="1261"/>
      <c r="AD200" s="1261"/>
      <c r="AF200" s="3">
        <v>1</v>
      </c>
    </row>
    <row r="201" spans="2:32" ht="30" customHeight="1">
      <c r="B201" s="5937"/>
      <c r="C201" s="176"/>
      <c r="D201" s="1262"/>
      <c r="E201" s="2018"/>
      <c r="F201" s="1262"/>
      <c r="G201" s="2019"/>
      <c r="H201" s="1262"/>
      <c r="I201" s="9"/>
      <c r="M201" s="9"/>
      <c r="N201" s="5911"/>
      <c r="O201" s="1241"/>
      <c r="P201" s="1242"/>
      <c r="Q201" s="1242"/>
      <c r="R201" s="1242"/>
      <c r="S201" s="1243"/>
      <c r="T201" s="1242"/>
      <c r="V201" s="1256">
        <v>2</v>
      </c>
      <c r="W201" s="203" t="s">
        <v>6272</v>
      </c>
      <c r="X201" s="1247"/>
      <c r="Y201" s="1287"/>
      <c r="AA201" s="1256"/>
      <c r="AB201" s="1257"/>
      <c r="AC201" s="1261"/>
      <c r="AD201" s="1261"/>
      <c r="AF201" s="3">
        <v>1</v>
      </c>
    </row>
    <row r="202" spans="2:32" ht="30" customHeight="1">
      <c r="B202" s="5937"/>
      <c r="C202" s="176"/>
      <c r="D202" s="1262"/>
      <c r="E202" s="2018"/>
      <c r="F202" s="1262"/>
      <c r="G202" s="2019"/>
      <c r="H202" s="1262"/>
      <c r="I202" s="9"/>
      <c r="M202" s="9"/>
      <c r="N202" s="5911"/>
      <c r="O202" s="1241"/>
      <c r="P202" s="1242"/>
      <c r="Q202" s="1242"/>
      <c r="R202" s="1242"/>
      <c r="S202" s="1243"/>
      <c r="T202" s="1242"/>
      <c r="V202" s="1256">
        <v>3</v>
      </c>
      <c r="W202" s="203" t="s">
        <v>6279</v>
      </c>
      <c r="X202" s="1247"/>
      <c r="Y202" s="1287"/>
      <c r="AA202" s="1256"/>
      <c r="AB202" s="1257"/>
      <c r="AC202" s="1261"/>
      <c r="AD202" s="1261"/>
      <c r="AF202" s="3">
        <v>1</v>
      </c>
    </row>
    <row r="203" spans="2:32" ht="30" customHeight="1">
      <c r="B203" s="5937"/>
      <c r="C203" s="176"/>
      <c r="D203" s="1262"/>
      <c r="E203" s="2018"/>
      <c r="F203" s="1262"/>
      <c r="G203" s="2019"/>
      <c r="H203" s="1262"/>
      <c r="I203" s="9"/>
      <c r="M203" s="9"/>
      <c r="N203" s="5911"/>
      <c r="O203" s="1241"/>
      <c r="P203" s="1242"/>
      <c r="Q203" s="1242"/>
      <c r="R203" s="1242"/>
      <c r="S203" s="1243"/>
      <c r="T203" s="1242"/>
      <c r="V203" s="1256">
        <v>4</v>
      </c>
      <c r="W203" s="203" t="s">
        <v>6286</v>
      </c>
      <c r="X203" s="1247"/>
      <c r="Y203" s="1287"/>
      <c r="AA203" s="1256"/>
      <c r="AB203" s="1257"/>
      <c r="AC203" s="1261"/>
      <c r="AD203" s="1261"/>
      <c r="AF203" s="3">
        <v>1</v>
      </c>
    </row>
    <row r="204" spans="2:32" ht="30" customHeight="1">
      <c r="B204" s="5937"/>
      <c r="C204" s="176"/>
      <c r="D204" s="1262"/>
      <c r="E204" s="2018"/>
      <c r="F204" s="1262"/>
      <c r="G204" s="2019"/>
      <c r="H204" s="1262"/>
      <c r="I204" s="9"/>
      <c r="M204" s="9"/>
      <c r="N204" s="5911"/>
      <c r="O204" s="1241"/>
      <c r="P204" s="1242"/>
      <c r="Q204" s="1242"/>
      <c r="R204" s="1242"/>
      <c r="S204" s="1243"/>
      <c r="T204" s="1242"/>
      <c r="V204" s="1256">
        <v>5</v>
      </c>
      <c r="W204" s="203" t="s">
        <v>6293</v>
      </c>
      <c r="X204" s="1247"/>
      <c r="Y204" s="1247"/>
      <c r="AA204" s="1256"/>
      <c r="AB204" s="1257"/>
      <c r="AC204" s="1261"/>
      <c r="AD204" s="1261"/>
      <c r="AF204" s="3">
        <v>1</v>
      </c>
    </row>
    <row r="205" spans="2:32" ht="30" customHeight="1">
      <c r="B205" s="5937"/>
      <c r="C205" s="176"/>
      <c r="D205" s="1262"/>
      <c r="E205" s="2018"/>
      <c r="F205" s="1262"/>
      <c r="G205" s="2019"/>
      <c r="H205" s="1262"/>
      <c r="I205" s="9"/>
      <c r="M205" s="9"/>
      <c r="N205" s="5911"/>
      <c r="O205" s="1241"/>
      <c r="P205" s="1242"/>
      <c r="Q205" s="1242"/>
      <c r="R205" s="1242"/>
      <c r="S205" s="1243"/>
      <c r="T205" s="1242"/>
      <c r="V205" s="1256">
        <v>6</v>
      </c>
      <c r="W205" s="203" t="s">
        <v>6300</v>
      </c>
      <c r="X205" s="1247"/>
      <c r="Y205" s="1247"/>
      <c r="AA205" s="1256"/>
      <c r="AB205" s="1257"/>
      <c r="AC205" s="1261"/>
      <c r="AD205" s="1261"/>
      <c r="AF205" s="3">
        <v>1</v>
      </c>
    </row>
    <row r="206" spans="2:32" ht="30" customHeight="1">
      <c r="B206" s="5937"/>
      <c r="C206" s="176"/>
      <c r="D206" s="1262"/>
      <c r="E206" s="2018"/>
      <c r="F206" s="1262"/>
      <c r="G206" s="2019"/>
      <c r="H206" s="1262"/>
      <c r="I206" s="9"/>
      <c r="M206" s="9"/>
      <c r="N206" s="5911"/>
      <c r="O206" s="1241"/>
      <c r="P206" s="1242"/>
      <c r="Q206" s="1242"/>
      <c r="R206" s="1242"/>
      <c r="S206" s="1243"/>
      <c r="T206" s="1242"/>
      <c r="V206" s="1256">
        <v>7</v>
      </c>
      <c r="W206" s="203" t="s">
        <v>6307</v>
      </c>
      <c r="X206" s="1247"/>
      <c r="Y206" s="1287"/>
      <c r="AA206" s="1256"/>
      <c r="AB206" s="1257"/>
      <c r="AC206" s="1261"/>
      <c r="AD206" s="1261"/>
      <c r="AF206" s="3">
        <v>1</v>
      </c>
    </row>
    <row r="207" spans="2:32" ht="30" customHeight="1">
      <c r="B207" s="5937"/>
      <c r="C207" s="176"/>
      <c r="D207" s="1262"/>
      <c r="E207" s="2018"/>
      <c r="F207" s="1262"/>
      <c r="G207" s="2019"/>
      <c r="H207" s="1262"/>
      <c r="I207" s="9"/>
      <c r="M207" s="9"/>
      <c r="N207" s="5911"/>
      <c r="O207" s="1241"/>
      <c r="P207" s="1242"/>
      <c r="Q207" s="1242"/>
      <c r="R207" s="1242"/>
      <c r="S207" s="1243"/>
      <c r="T207" s="1242"/>
      <c r="V207" s="1256"/>
      <c r="W207" s="203"/>
      <c r="X207" s="1247"/>
      <c r="Y207" s="1287"/>
      <c r="AA207" s="1256"/>
      <c r="AB207" s="1257"/>
      <c r="AC207" s="1261"/>
      <c r="AD207" s="1261"/>
      <c r="AF207" s="3">
        <v>1</v>
      </c>
    </row>
    <row r="208" spans="2:32" ht="30" customHeight="1">
      <c r="B208" s="5937"/>
      <c r="C208" s="176"/>
      <c r="D208" s="1262"/>
      <c r="E208" s="2018"/>
      <c r="F208" s="1262"/>
      <c r="G208" s="2019"/>
      <c r="H208" s="1262"/>
      <c r="I208" s="9"/>
      <c r="M208" s="9"/>
      <c r="N208" s="5911"/>
      <c r="O208" s="1241"/>
      <c r="P208" s="1242"/>
      <c r="Q208" s="1242"/>
      <c r="R208" s="1242"/>
      <c r="S208" s="1243"/>
      <c r="T208" s="1242"/>
      <c r="V208" s="1256"/>
      <c r="W208" s="1250" t="s">
        <v>6319</v>
      </c>
      <c r="X208" s="1286" t="s">
        <v>6320</v>
      </c>
      <c r="Y208" s="1286" t="s">
        <v>6321</v>
      </c>
      <c r="AA208" s="1256"/>
      <c r="AB208" s="1257"/>
      <c r="AC208" s="1261"/>
      <c r="AD208" s="1261"/>
      <c r="AF208" s="3">
        <v>1</v>
      </c>
    </row>
    <row r="209" spans="2:32" ht="30" customHeight="1">
      <c r="B209" s="5937"/>
      <c r="C209" s="176"/>
      <c r="D209" s="1262"/>
      <c r="E209" s="2018"/>
      <c r="F209" s="1262"/>
      <c r="G209" s="2019"/>
      <c r="H209" s="1262"/>
      <c r="I209" s="9"/>
      <c r="M209" s="9"/>
      <c r="N209" s="5911"/>
      <c r="O209" s="1241"/>
      <c r="P209" s="1242"/>
      <c r="Q209" s="1242"/>
      <c r="R209" s="1242"/>
      <c r="S209" s="1243"/>
      <c r="T209" s="1242"/>
      <c r="V209" s="1256"/>
      <c r="W209" s="203"/>
      <c r="X209" s="1247"/>
      <c r="Y209" s="1287"/>
      <c r="AA209" s="1256"/>
      <c r="AB209" s="1257"/>
      <c r="AC209" s="1261"/>
      <c r="AD209" s="1261"/>
      <c r="AF209" s="3">
        <v>1</v>
      </c>
    </row>
    <row r="210" spans="2:32" ht="30" customHeight="1">
      <c r="B210" s="5937"/>
      <c r="C210" s="176"/>
      <c r="D210" s="1262"/>
      <c r="E210" s="2018"/>
      <c r="F210" s="1262"/>
      <c r="G210" s="2019"/>
      <c r="H210" s="1262"/>
      <c r="I210" s="9"/>
      <c r="M210" s="9"/>
      <c r="N210" s="5911"/>
      <c r="O210" s="1241"/>
      <c r="P210" s="1242"/>
      <c r="Q210" s="1242"/>
      <c r="R210" s="1242"/>
      <c r="S210" s="1243"/>
      <c r="T210" s="1242"/>
      <c r="V210" s="1256">
        <v>1</v>
      </c>
      <c r="W210" s="203" t="s">
        <v>6334</v>
      </c>
      <c r="X210" s="1247"/>
      <c r="Y210" s="1287"/>
      <c r="AA210" s="1256"/>
      <c r="AB210" s="1257"/>
      <c r="AC210" s="1261"/>
      <c r="AD210" s="1261"/>
      <c r="AF210" s="3">
        <v>1</v>
      </c>
    </row>
    <row r="211" spans="2:32" ht="30" customHeight="1">
      <c r="B211" s="5937"/>
      <c r="C211" s="176"/>
      <c r="D211" s="1262"/>
      <c r="E211" s="2018"/>
      <c r="F211" s="1262"/>
      <c r="G211" s="2019"/>
      <c r="H211" s="1262"/>
      <c r="I211" s="9"/>
      <c r="M211" s="9"/>
      <c r="N211" s="5911"/>
      <c r="O211" s="1241"/>
      <c r="P211" s="1242"/>
      <c r="Q211" s="1242"/>
      <c r="R211" s="1242"/>
      <c r="S211" s="1243"/>
      <c r="T211" s="1242"/>
      <c r="V211" s="1256">
        <v>2</v>
      </c>
      <c r="W211" s="203" t="s">
        <v>6341</v>
      </c>
      <c r="X211" s="1247"/>
      <c r="Y211" s="1287"/>
      <c r="AA211" s="1256"/>
      <c r="AB211" s="1257"/>
      <c r="AC211" s="1261"/>
      <c r="AD211" s="1261"/>
      <c r="AF211" s="3">
        <v>1</v>
      </c>
    </row>
    <row r="212" spans="2:32" ht="30" customHeight="1">
      <c r="B212" s="5937"/>
      <c r="C212" s="176"/>
      <c r="D212" s="1262"/>
      <c r="E212" s="2018"/>
      <c r="F212" s="1262"/>
      <c r="G212" s="2019"/>
      <c r="H212" s="1262"/>
      <c r="I212" s="9"/>
      <c r="M212" s="9"/>
      <c r="N212" s="5911"/>
      <c r="O212" s="1241"/>
      <c r="P212" s="1242"/>
      <c r="Q212" s="1242"/>
      <c r="R212" s="1242"/>
      <c r="S212" s="1243"/>
      <c r="T212" s="1242"/>
      <c r="V212" s="1256">
        <v>3</v>
      </c>
      <c r="W212" s="203" t="s">
        <v>6348</v>
      </c>
      <c r="X212" s="1247"/>
      <c r="Y212" s="1247"/>
      <c r="AA212" s="1256"/>
      <c r="AB212" s="1257"/>
      <c r="AC212" s="1261"/>
      <c r="AD212" s="1261"/>
      <c r="AF212" s="3">
        <v>1</v>
      </c>
    </row>
    <row r="213" spans="2:32" ht="30" customHeight="1">
      <c r="B213" s="5937"/>
      <c r="C213" s="176"/>
      <c r="D213" s="1262"/>
      <c r="E213" s="2018"/>
      <c r="F213" s="1262"/>
      <c r="G213" s="2019"/>
      <c r="H213" s="1262"/>
      <c r="I213" s="9"/>
      <c r="M213" s="9"/>
      <c r="N213" s="5911"/>
      <c r="O213" s="1241"/>
      <c r="P213" s="1242"/>
      <c r="Q213" s="1242"/>
      <c r="R213" s="1242"/>
      <c r="S213" s="1243"/>
      <c r="T213" s="1242"/>
      <c r="V213" s="1256">
        <v>4</v>
      </c>
      <c r="W213" s="203" t="s">
        <v>6355</v>
      </c>
      <c r="X213" s="1247"/>
      <c r="Y213" s="1247"/>
      <c r="AA213" s="1256"/>
      <c r="AB213" s="1257"/>
      <c r="AC213" s="1261"/>
      <c r="AD213" s="1261"/>
      <c r="AF213" s="3">
        <v>1</v>
      </c>
    </row>
    <row r="214" spans="2:32" ht="30" customHeight="1">
      <c r="B214" s="5937"/>
      <c r="C214" s="176"/>
      <c r="D214" s="1262"/>
      <c r="E214" s="2018"/>
      <c r="F214" s="1262"/>
      <c r="G214" s="2019"/>
      <c r="H214" s="1262"/>
      <c r="I214" s="9"/>
      <c r="M214" s="9"/>
      <c r="N214" s="5911"/>
      <c r="O214" s="1241"/>
      <c r="P214" s="1242"/>
      <c r="Q214" s="1242"/>
      <c r="R214" s="1242"/>
      <c r="S214" s="1243"/>
      <c r="T214" s="1242"/>
      <c r="V214" s="1256">
        <v>5</v>
      </c>
      <c r="W214" s="203" t="s">
        <v>6362</v>
      </c>
      <c r="X214" s="1247"/>
      <c r="Y214" s="1287"/>
      <c r="AA214" s="1256"/>
      <c r="AB214" s="1257"/>
      <c r="AC214" s="1261"/>
      <c r="AD214" s="1261"/>
      <c r="AF214" s="3">
        <v>1</v>
      </c>
    </row>
    <row r="215" spans="2:32" ht="30" customHeight="1">
      <c r="B215" s="5937"/>
      <c r="C215" s="176"/>
      <c r="D215" s="1262"/>
      <c r="E215" s="2018"/>
      <c r="F215" s="1262"/>
      <c r="G215" s="2019"/>
      <c r="H215" s="1262"/>
      <c r="I215" s="9"/>
      <c r="M215" s="9"/>
      <c r="N215" s="5911"/>
      <c r="O215" s="1241"/>
      <c r="P215" s="1242"/>
      <c r="Q215" s="1242"/>
      <c r="R215" s="1242"/>
      <c r="S215" s="1243"/>
      <c r="T215" s="1242"/>
      <c r="V215" s="1256"/>
      <c r="W215" s="203"/>
      <c r="X215" s="1247"/>
      <c r="Y215" s="1287"/>
      <c r="AA215" s="1256"/>
      <c r="AB215" s="1257"/>
      <c r="AC215" s="1261"/>
      <c r="AD215" s="1261"/>
      <c r="AF215" s="3">
        <v>1</v>
      </c>
    </row>
    <row r="216" spans="2:32" ht="30" customHeight="1">
      <c r="B216" s="5937"/>
      <c r="C216" s="176"/>
      <c r="D216" s="1262"/>
      <c r="E216" s="2018"/>
      <c r="F216" s="1262"/>
      <c r="G216" s="2019"/>
      <c r="H216" s="1262"/>
      <c r="I216" s="9"/>
      <c r="M216" s="9"/>
      <c r="N216" s="5911"/>
      <c r="O216" s="1241"/>
      <c r="P216" s="1242"/>
      <c r="Q216" s="1242"/>
      <c r="R216" s="1242"/>
      <c r="S216" s="1243"/>
      <c r="T216" s="1242"/>
      <c r="V216" s="1256"/>
      <c r="W216" s="1250" t="s">
        <v>6375</v>
      </c>
      <c r="X216" s="1286" t="s">
        <v>6376</v>
      </c>
      <c r="Y216" s="1286" t="s">
        <v>6377</v>
      </c>
      <c r="AA216" s="1256"/>
      <c r="AB216" s="1257"/>
      <c r="AC216" s="1261"/>
      <c r="AD216" s="1261"/>
      <c r="AF216" s="3">
        <v>1</v>
      </c>
    </row>
    <row r="217" spans="2:32" ht="30" customHeight="1">
      <c r="B217" s="5937"/>
      <c r="C217" s="176"/>
      <c r="D217" s="1262"/>
      <c r="E217" s="2018"/>
      <c r="F217" s="1262"/>
      <c r="G217" s="2019"/>
      <c r="H217" s="1262"/>
      <c r="I217" s="9"/>
      <c r="M217" s="9"/>
      <c r="N217" s="5911"/>
      <c r="O217" s="1241"/>
      <c r="P217" s="1242"/>
      <c r="Q217" s="1242"/>
      <c r="R217" s="1242"/>
      <c r="S217" s="1243"/>
      <c r="T217" s="1242"/>
      <c r="V217" s="1256"/>
      <c r="W217" s="203"/>
      <c r="X217" s="1247"/>
      <c r="Y217" s="1287"/>
      <c r="AA217" s="1256"/>
      <c r="AB217" s="1257"/>
      <c r="AC217" s="1261"/>
      <c r="AD217" s="1261"/>
      <c r="AF217" s="3">
        <v>1</v>
      </c>
    </row>
    <row r="218" spans="2:32" ht="30" customHeight="1">
      <c r="B218" s="5937"/>
      <c r="C218" s="176"/>
      <c r="D218" s="1262"/>
      <c r="E218" s="2018"/>
      <c r="F218" s="1262"/>
      <c r="G218" s="2019"/>
      <c r="H218" s="1262"/>
      <c r="I218" s="9"/>
      <c r="M218" s="9"/>
      <c r="N218" s="5911"/>
      <c r="O218" s="1241"/>
      <c r="P218" s="1242"/>
      <c r="Q218" s="1242"/>
      <c r="R218" s="1242"/>
      <c r="S218" s="1243"/>
      <c r="T218" s="1242"/>
      <c r="V218" s="1256">
        <v>1</v>
      </c>
      <c r="W218" s="203" t="s">
        <v>6388</v>
      </c>
      <c r="X218" s="1247"/>
      <c r="Y218" s="1247"/>
      <c r="AA218" s="1256"/>
      <c r="AB218" s="1257"/>
      <c r="AC218" s="1261"/>
      <c r="AD218" s="1261"/>
      <c r="AF218" s="3">
        <v>1</v>
      </c>
    </row>
    <row r="219" spans="2:32" ht="30" customHeight="1">
      <c r="B219" s="5937"/>
      <c r="C219" s="176"/>
      <c r="D219" s="1262"/>
      <c r="E219" s="2018"/>
      <c r="F219" s="1262"/>
      <c r="G219" s="2019"/>
      <c r="H219" s="1262"/>
      <c r="I219" s="9"/>
      <c r="M219" s="9"/>
      <c r="N219" s="5911"/>
      <c r="O219" s="1241"/>
      <c r="P219" s="1242"/>
      <c r="Q219" s="1242"/>
      <c r="R219" s="1242"/>
      <c r="S219" s="1243"/>
      <c r="T219" s="1242"/>
      <c r="V219" s="1256">
        <v>2</v>
      </c>
      <c r="W219" s="203" t="s">
        <v>6395</v>
      </c>
      <c r="X219" s="1247"/>
      <c r="Y219" s="1247"/>
      <c r="AA219" s="1256"/>
      <c r="AB219" s="1257"/>
      <c r="AC219" s="1261"/>
      <c r="AD219" s="1261"/>
      <c r="AF219" s="3">
        <v>1</v>
      </c>
    </row>
    <row r="220" spans="2:32" ht="30" customHeight="1">
      <c r="B220" s="5937"/>
      <c r="C220" s="176"/>
      <c r="D220" s="1262"/>
      <c r="E220" s="2018"/>
      <c r="F220" s="1262"/>
      <c r="G220" s="2019"/>
      <c r="H220" s="1262"/>
      <c r="I220" s="9"/>
      <c r="M220" s="9"/>
      <c r="N220" s="5911"/>
      <c r="O220" s="1241"/>
      <c r="P220" s="1242"/>
      <c r="Q220" s="1242"/>
      <c r="R220" s="1242"/>
      <c r="S220" s="1243"/>
      <c r="T220" s="1242"/>
      <c r="V220" s="1256">
        <v>3</v>
      </c>
      <c r="W220" s="203" t="s">
        <v>6401</v>
      </c>
      <c r="X220" s="1247"/>
      <c r="Y220" s="203"/>
      <c r="AA220" s="1256"/>
      <c r="AB220" s="1257"/>
      <c r="AC220" s="1261"/>
      <c r="AD220" s="1261"/>
      <c r="AF220" s="3">
        <v>1</v>
      </c>
    </row>
    <row r="221" spans="2:32" ht="30" customHeight="1">
      <c r="B221" s="5937"/>
      <c r="C221" s="176"/>
      <c r="D221" s="1262"/>
      <c r="E221" s="2018"/>
      <c r="F221" s="1262"/>
      <c r="G221" s="2019"/>
      <c r="H221" s="1262"/>
      <c r="I221" s="9"/>
      <c r="M221" s="9"/>
      <c r="N221" s="5911"/>
      <c r="O221" s="1241"/>
      <c r="P221" s="1242"/>
      <c r="Q221" s="1242"/>
      <c r="R221" s="1242"/>
      <c r="S221" s="1243"/>
      <c r="T221" s="1242"/>
      <c r="V221" s="1256"/>
      <c r="W221" s="203"/>
      <c r="X221" s="1247"/>
      <c r="Y221" s="203"/>
      <c r="AA221" s="1256"/>
      <c r="AB221" s="1257"/>
      <c r="AC221" s="1261"/>
      <c r="AD221" s="1261"/>
      <c r="AF221" s="3">
        <v>1</v>
      </c>
    </row>
    <row r="222" spans="2:32" ht="30" customHeight="1">
      <c r="B222" s="5937"/>
      <c r="C222" s="176"/>
      <c r="D222" s="1262"/>
      <c r="E222" s="2018"/>
      <c r="F222" s="1262"/>
      <c r="G222" s="2019"/>
      <c r="H222" s="1262"/>
      <c r="I222" s="9"/>
      <c r="M222" s="9"/>
      <c r="N222" s="5911"/>
      <c r="O222" s="1241"/>
      <c r="P222" s="1242"/>
      <c r="Q222" s="1242"/>
      <c r="R222" s="1242"/>
      <c r="S222" s="1243"/>
      <c r="T222" s="1242"/>
      <c r="V222" s="1256"/>
      <c r="W222" s="1250" t="s">
        <v>6414</v>
      </c>
      <c r="X222" s="1286" t="s">
        <v>6415</v>
      </c>
      <c r="Y222" s="1286" t="s">
        <v>6416</v>
      </c>
      <c r="AA222" s="1256"/>
      <c r="AB222" s="1257"/>
      <c r="AC222" s="1261"/>
      <c r="AD222" s="1261"/>
      <c r="AF222" s="3">
        <v>1</v>
      </c>
    </row>
    <row r="223" spans="2:32" ht="30" customHeight="1">
      <c r="B223" s="5937"/>
      <c r="C223" s="176"/>
      <c r="D223" s="1262"/>
      <c r="E223" s="2018"/>
      <c r="F223" s="1262"/>
      <c r="G223" s="2019"/>
      <c r="H223" s="1262"/>
      <c r="I223" s="9"/>
      <c r="M223" s="9"/>
      <c r="N223" s="5911"/>
      <c r="O223" s="1241"/>
      <c r="P223" s="1242"/>
      <c r="Q223" s="1242"/>
      <c r="R223" s="1242"/>
      <c r="S223" s="1243"/>
      <c r="T223" s="1242"/>
      <c r="V223" s="1256"/>
      <c r="W223" s="203"/>
      <c r="X223" s="1247"/>
      <c r="Y223" s="203"/>
      <c r="AA223" s="1256"/>
      <c r="AB223" s="1257"/>
      <c r="AC223" s="1261"/>
      <c r="AD223" s="1261"/>
      <c r="AF223" s="3">
        <v>1</v>
      </c>
    </row>
    <row r="224" spans="2:32" ht="30" customHeight="1">
      <c r="B224" s="5937"/>
      <c r="C224" s="176"/>
      <c r="D224" s="1262"/>
      <c r="E224" s="2018"/>
      <c r="F224" s="1262"/>
      <c r="G224" s="2019"/>
      <c r="H224" s="1262"/>
      <c r="I224" s="9"/>
      <c r="M224" s="9"/>
      <c r="N224" s="5911"/>
      <c r="O224" s="1241"/>
      <c r="P224" s="1242"/>
      <c r="Q224" s="1242"/>
      <c r="R224" s="1242"/>
      <c r="S224" s="1243"/>
      <c r="T224" s="1242"/>
      <c r="V224" s="1256">
        <v>1</v>
      </c>
      <c r="W224" s="203" t="s">
        <v>6429</v>
      </c>
      <c r="X224" s="203"/>
      <c r="Y224" s="203"/>
      <c r="AA224" s="1256"/>
      <c r="AB224" s="1257"/>
      <c r="AC224" s="1261"/>
      <c r="AD224" s="1261"/>
      <c r="AF224" s="3">
        <v>1</v>
      </c>
    </row>
    <row r="225" spans="2:32" ht="30" customHeight="1">
      <c r="B225" s="5937"/>
      <c r="C225" s="176"/>
      <c r="D225" s="1262"/>
      <c r="E225" s="2018"/>
      <c r="F225" s="1262"/>
      <c r="G225" s="2019"/>
      <c r="H225" s="1262"/>
      <c r="I225" s="9"/>
      <c r="M225" s="9"/>
      <c r="N225" s="5911"/>
      <c r="O225" s="1241"/>
      <c r="P225" s="1242"/>
      <c r="Q225" s="1242"/>
      <c r="R225" s="1242"/>
      <c r="S225" s="1243"/>
      <c r="T225" s="1242"/>
      <c r="V225" s="1256"/>
      <c r="W225" s="203" t="s">
        <v>6436</v>
      </c>
      <c r="X225" s="203"/>
      <c r="Y225" s="203"/>
      <c r="AA225" s="1256"/>
      <c r="AB225" s="1257"/>
      <c r="AC225" s="1261"/>
      <c r="AD225" s="1261"/>
      <c r="AF225" s="3">
        <v>1</v>
      </c>
    </row>
    <row r="226" spans="2:32" ht="30" customHeight="1">
      <c r="B226" s="5937"/>
      <c r="C226" s="176"/>
      <c r="D226" s="1262"/>
      <c r="E226" s="2018"/>
      <c r="F226" s="1262"/>
      <c r="G226" s="2019"/>
      <c r="H226" s="1262"/>
      <c r="I226" s="9"/>
      <c r="M226" s="9"/>
      <c r="N226" s="5911"/>
      <c r="O226" s="1241"/>
      <c r="P226" s="1242"/>
      <c r="Q226" s="1242"/>
      <c r="R226" s="1242"/>
      <c r="S226" s="1243"/>
      <c r="T226" s="1242"/>
      <c r="V226" s="1256"/>
      <c r="W226" s="203"/>
      <c r="X226" s="203"/>
      <c r="Y226" s="203"/>
      <c r="AA226" s="1256"/>
      <c r="AB226" s="1257"/>
      <c r="AC226" s="1261"/>
      <c r="AD226" s="1261"/>
      <c r="AF226" s="3">
        <v>1</v>
      </c>
    </row>
    <row r="227" spans="2:32" ht="30" customHeight="1">
      <c r="B227" s="5937"/>
      <c r="C227" s="176"/>
      <c r="D227" s="1262"/>
      <c r="E227" s="2018"/>
      <c r="F227" s="1262"/>
      <c r="G227" s="2019"/>
      <c r="H227" s="1262"/>
      <c r="I227" s="9"/>
      <c r="M227" s="9"/>
      <c r="N227" s="5911"/>
      <c r="O227" s="1241"/>
      <c r="P227" s="1242"/>
      <c r="Q227" s="1242"/>
      <c r="R227" s="1242"/>
      <c r="S227" s="1243"/>
      <c r="T227" s="1242"/>
      <c r="V227" s="1256">
        <v>2</v>
      </c>
      <c r="W227" s="203" t="s">
        <v>6443</v>
      </c>
      <c r="X227" s="203"/>
      <c r="AA227" s="1256"/>
      <c r="AB227" s="1257"/>
      <c r="AC227" s="1261"/>
      <c r="AD227" s="1261"/>
      <c r="AF227" s="3">
        <v>1</v>
      </c>
    </row>
    <row r="228" spans="2:32" ht="30" customHeight="1">
      <c r="B228" s="5937"/>
      <c r="C228" s="176"/>
      <c r="D228" s="1262"/>
      <c r="E228" s="2018"/>
      <c r="F228" s="1262"/>
      <c r="G228" s="2019"/>
      <c r="H228" s="1262"/>
      <c r="I228" s="9"/>
      <c r="M228" s="9"/>
      <c r="N228" s="5911"/>
      <c r="O228" s="1241"/>
      <c r="P228" s="1242"/>
      <c r="Q228" s="1242"/>
      <c r="R228" s="1242"/>
      <c r="S228" s="1243"/>
      <c r="T228" s="1242"/>
      <c r="V228" s="1256"/>
      <c r="W228" s="203" t="s">
        <v>6450</v>
      </c>
      <c r="X228" s="203"/>
      <c r="AA228" s="1256"/>
      <c r="AB228" s="1257"/>
      <c r="AC228" s="1261"/>
      <c r="AD228" s="1261"/>
      <c r="AF228" s="3">
        <v>1</v>
      </c>
    </row>
    <row r="229" spans="2:32" ht="30" customHeight="1">
      <c r="B229" s="5937"/>
      <c r="C229" s="176"/>
      <c r="D229" s="1262"/>
      <c r="E229" s="2018"/>
      <c r="F229" s="1262"/>
      <c r="G229" s="2019"/>
      <c r="H229" s="1262"/>
      <c r="I229" s="9"/>
      <c r="M229" s="9"/>
      <c r="N229" s="5911"/>
      <c r="O229" s="1241"/>
      <c r="P229" s="1242"/>
      <c r="Q229" s="1242"/>
      <c r="R229" s="1242"/>
      <c r="S229" s="1243"/>
      <c r="T229" s="1242"/>
      <c r="V229" s="1256"/>
      <c r="W229" s="203"/>
      <c r="X229" s="203"/>
      <c r="AA229" s="1256"/>
      <c r="AB229" s="1257"/>
      <c r="AC229" s="1261"/>
      <c r="AD229" s="1261"/>
      <c r="AF229" s="3">
        <v>1</v>
      </c>
    </row>
    <row r="230" spans="2:32" ht="30" customHeight="1">
      <c r="B230" s="5937"/>
      <c r="C230" s="176"/>
      <c r="D230" s="1262"/>
      <c r="E230" s="2018"/>
      <c r="F230" s="1262"/>
      <c r="G230" s="2019"/>
      <c r="H230" s="1262"/>
      <c r="I230" s="9"/>
      <c r="M230" s="9"/>
      <c r="N230" s="5911"/>
      <c r="O230" s="1241"/>
      <c r="P230" s="1242"/>
      <c r="Q230" s="1242"/>
      <c r="R230" s="1242"/>
      <c r="S230" s="1243"/>
      <c r="T230" s="1242"/>
      <c r="V230" s="1256">
        <v>3</v>
      </c>
      <c r="W230" s="54" t="s">
        <v>6463</v>
      </c>
      <c r="X230" s="203"/>
      <c r="AA230" s="1256"/>
      <c r="AB230" s="1257"/>
      <c r="AC230" s="1261"/>
      <c r="AD230" s="1261"/>
      <c r="AF230" s="3">
        <v>1</v>
      </c>
    </row>
    <row r="231" spans="2:32" ht="30" customHeight="1">
      <c r="B231" s="5937"/>
      <c r="C231" s="176"/>
      <c r="D231" s="1262"/>
      <c r="E231" s="2018"/>
      <c r="F231" s="1262"/>
      <c r="G231" s="2019"/>
      <c r="H231" s="1262"/>
      <c r="I231" s="9"/>
      <c r="M231" s="9"/>
      <c r="N231" s="5911"/>
      <c r="O231" s="1241"/>
      <c r="P231" s="1242"/>
      <c r="Q231" s="1242"/>
      <c r="R231" s="1242"/>
      <c r="S231" s="1243"/>
      <c r="T231" s="1242"/>
      <c r="V231" s="1256"/>
      <c r="W231" s="54" t="s">
        <v>6470</v>
      </c>
      <c r="X231" s="203"/>
      <c r="AA231" s="1256"/>
      <c r="AB231" s="1257"/>
      <c r="AC231" s="1261"/>
      <c r="AD231" s="1261"/>
      <c r="AF231" s="3">
        <v>1</v>
      </c>
    </row>
    <row r="232" spans="2:32" ht="30" customHeight="1">
      <c r="B232" s="5937"/>
      <c r="C232" s="176"/>
      <c r="D232" s="1262"/>
      <c r="E232" s="2018"/>
      <c r="F232" s="1262"/>
      <c r="G232" s="2019"/>
      <c r="H232" s="1262"/>
      <c r="I232" s="9"/>
      <c r="M232" s="9"/>
      <c r="N232" s="5911"/>
      <c r="O232" s="1241"/>
      <c r="P232" s="1242"/>
      <c r="Q232" s="1242"/>
      <c r="R232" s="1242"/>
      <c r="S232" s="1243"/>
      <c r="T232" s="1242"/>
      <c r="V232" s="1256"/>
      <c r="W232" s="1234"/>
      <c r="X232" s="1234"/>
      <c r="Y232" s="1234"/>
      <c r="AA232" s="1256"/>
      <c r="AB232" s="1257"/>
      <c r="AC232" s="1261"/>
      <c r="AD232" s="1261"/>
      <c r="AF232" s="3">
        <v>1</v>
      </c>
    </row>
    <row r="233" spans="2:32" ht="30" customHeight="1">
      <c r="B233" s="5937"/>
      <c r="C233" s="176"/>
      <c r="D233" s="1262"/>
      <c r="E233" s="2018"/>
      <c r="F233" s="1262"/>
      <c r="G233" s="2019"/>
      <c r="H233" s="1262"/>
      <c r="I233" s="9"/>
      <c r="M233" s="9"/>
      <c r="N233" s="5911"/>
      <c r="O233" s="1241"/>
      <c r="P233" s="1242"/>
      <c r="Q233" s="1242"/>
      <c r="R233" s="1242"/>
      <c r="S233" s="1243"/>
      <c r="T233" s="1242"/>
      <c r="V233" s="1256"/>
      <c r="W233" s="1234"/>
      <c r="X233" s="1234"/>
      <c r="Y233" s="1234"/>
      <c r="AA233" s="1256"/>
      <c r="AB233" s="1257"/>
      <c r="AC233" s="1261"/>
      <c r="AD233" s="1261"/>
      <c r="AF233" s="3">
        <v>1</v>
      </c>
    </row>
    <row r="234" spans="2:32" ht="30" customHeight="1">
      <c r="B234" s="5937"/>
      <c r="C234" s="176"/>
      <c r="D234" s="1262"/>
      <c r="E234" s="2018"/>
      <c r="F234" s="1262"/>
      <c r="G234" s="2019"/>
      <c r="H234" s="1262"/>
      <c r="I234" s="9"/>
      <c r="M234" s="9"/>
      <c r="N234" s="5911"/>
      <c r="O234" s="1241"/>
      <c r="P234" s="1242"/>
      <c r="Q234" s="1242"/>
      <c r="R234" s="1242"/>
      <c r="S234" s="1243"/>
      <c r="T234" s="1242"/>
      <c r="V234" s="1256"/>
      <c r="W234" s="1234"/>
      <c r="X234" s="1234"/>
      <c r="Y234" s="1234"/>
      <c r="AA234" s="1256"/>
      <c r="AB234" s="1257"/>
      <c r="AC234" s="1261"/>
      <c r="AD234" s="1261"/>
      <c r="AF234" s="3">
        <v>1</v>
      </c>
    </row>
    <row r="235" spans="2:32" ht="30" customHeight="1">
      <c r="B235" s="5937"/>
      <c r="C235" s="176"/>
      <c r="D235" s="1262"/>
      <c r="E235" s="2018"/>
      <c r="F235" s="1262"/>
      <c r="G235" s="2019"/>
      <c r="H235" s="1262"/>
      <c r="I235" s="9"/>
      <c r="M235" s="9"/>
      <c r="N235" s="5911"/>
      <c r="O235" s="1241"/>
      <c r="P235" s="1242"/>
      <c r="Q235" s="1242"/>
      <c r="R235" s="1242"/>
      <c r="S235" s="1243"/>
      <c r="T235" s="1242"/>
      <c r="V235" s="1256"/>
      <c r="W235" s="1234"/>
      <c r="X235" s="1234"/>
      <c r="Y235" s="1234"/>
      <c r="AA235" s="1256"/>
      <c r="AB235" s="1257"/>
      <c r="AC235" s="1261"/>
      <c r="AD235" s="1261"/>
      <c r="AF235" s="3">
        <v>1</v>
      </c>
    </row>
    <row r="236" spans="2:32" ht="30" customHeight="1">
      <c r="B236" s="5937"/>
      <c r="C236" s="176"/>
      <c r="D236" s="1262"/>
      <c r="E236" s="2018"/>
      <c r="F236" s="1262"/>
      <c r="G236" s="2019"/>
      <c r="H236" s="1262"/>
      <c r="I236" s="9"/>
      <c r="M236" s="9"/>
      <c r="N236" s="5911"/>
      <c r="O236" s="1241"/>
      <c r="P236" s="1242"/>
      <c r="Q236" s="1242"/>
      <c r="R236" s="1242"/>
      <c r="S236" s="1243"/>
      <c r="T236" s="1242"/>
      <c r="V236" s="1256"/>
      <c r="W236" s="1234"/>
      <c r="X236" s="1234"/>
      <c r="Y236" s="1234"/>
      <c r="AA236" s="1256"/>
      <c r="AB236" s="1257"/>
      <c r="AC236" s="1261"/>
      <c r="AD236" s="1261"/>
      <c r="AF236" s="3">
        <v>1</v>
      </c>
    </row>
    <row r="237" spans="2:32" ht="30" customHeight="1">
      <c r="B237" s="5937"/>
      <c r="C237" s="176"/>
      <c r="D237" s="1262"/>
      <c r="E237" s="2018"/>
      <c r="F237" s="1262"/>
      <c r="G237" s="2019"/>
      <c r="H237" s="1262"/>
      <c r="I237" s="9"/>
      <c r="M237" s="9"/>
      <c r="N237" s="5911"/>
      <c r="O237" s="1241"/>
      <c r="P237" s="1242"/>
      <c r="Q237" s="1242"/>
      <c r="R237" s="1242"/>
      <c r="S237" s="1243"/>
      <c r="T237" s="1242"/>
      <c r="V237" s="1256"/>
      <c r="W237" s="1234"/>
      <c r="X237" s="1234"/>
      <c r="Y237" s="1234"/>
      <c r="AA237" s="1256"/>
      <c r="AB237" s="1257"/>
      <c r="AC237" s="1261"/>
      <c r="AD237" s="1261"/>
      <c r="AF237" s="3">
        <v>1</v>
      </c>
    </row>
    <row r="238" spans="2:32" ht="30" customHeight="1">
      <c r="B238" s="5937"/>
      <c r="C238" s="176"/>
      <c r="D238" s="1262"/>
      <c r="E238" s="2018"/>
      <c r="F238" s="1262"/>
      <c r="G238" s="2019"/>
      <c r="H238" s="1262"/>
      <c r="I238" s="9"/>
      <c r="M238" s="9"/>
      <c r="N238" s="5911"/>
      <c r="O238" s="1241"/>
      <c r="P238" s="1242"/>
      <c r="Q238" s="1242"/>
      <c r="R238" s="1242"/>
      <c r="S238" s="1243"/>
      <c r="T238" s="1242"/>
      <c r="V238" s="1256"/>
      <c r="W238" s="1234"/>
      <c r="X238" s="1234"/>
      <c r="Y238" s="1234"/>
      <c r="AA238" s="1256"/>
      <c r="AB238" s="1257"/>
      <c r="AC238" s="1261"/>
      <c r="AD238" s="1261"/>
      <c r="AF238" s="3">
        <v>1</v>
      </c>
    </row>
    <row r="239" spans="2:32" ht="30" customHeight="1">
      <c r="B239" s="5937"/>
      <c r="C239" s="176"/>
      <c r="D239" s="1262"/>
      <c r="E239" s="2018"/>
      <c r="F239" s="1262"/>
      <c r="G239" s="2019"/>
      <c r="H239" s="1262"/>
      <c r="I239" s="9"/>
      <c r="M239" s="9"/>
      <c r="N239" s="5911"/>
      <c r="O239" s="1241"/>
      <c r="P239" s="1242"/>
      <c r="Q239" s="1242"/>
      <c r="R239" s="1242"/>
      <c r="S239" s="1243"/>
      <c r="T239" s="1242"/>
      <c r="V239" s="1256"/>
      <c r="W239" s="1234"/>
      <c r="X239" s="1234"/>
      <c r="Y239" s="1234"/>
      <c r="AA239" s="1256"/>
      <c r="AB239" s="1257"/>
      <c r="AC239" s="1261"/>
      <c r="AD239" s="1261"/>
      <c r="AF239" s="3">
        <v>1</v>
      </c>
    </row>
    <row r="240" spans="2:32" ht="30" customHeight="1">
      <c r="B240" s="5937"/>
      <c r="C240" s="176"/>
      <c r="D240" s="1262"/>
      <c r="E240" s="2018"/>
      <c r="F240" s="1262"/>
      <c r="G240" s="2019"/>
      <c r="H240" s="1262"/>
      <c r="I240" s="9"/>
      <c r="M240" s="9"/>
      <c r="N240" s="5911"/>
      <c r="O240" s="1241"/>
      <c r="P240" s="1242"/>
      <c r="Q240" s="1242"/>
      <c r="R240" s="1242"/>
      <c r="S240" s="1243"/>
      <c r="T240" s="1242"/>
      <c r="V240" s="1256"/>
      <c r="W240" s="1234"/>
      <c r="X240" s="1234"/>
      <c r="Y240" s="1234"/>
      <c r="AA240" s="1256"/>
      <c r="AB240" s="1257"/>
      <c r="AC240" s="1261"/>
      <c r="AD240" s="1261"/>
      <c r="AF240" s="3">
        <v>1</v>
      </c>
    </row>
    <row r="241" spans="2:32" ht="30" customHeight="1">
      <c r="B241" s="5937"/>
      <c r="C241" s="176"/>
      <c r="D241" s="1262"/>
      <c r="E241" s="2018"/>
      <c r="F241" s="1262"/>
      <c r="G241" s="2019"/>
      <c r="H241" s="1262"/>
      <c r="I241" s="9"/>
      <c r="M241" s="9"/>
      <c r="N241" s="5911"/>
      <c r="O241" s="1241"/>
      <c r="P241" s="1242"/>
      <c r="Q241" s="1242"/>
      <c r="R241" s="1242"/>
      <c r="S241" s="1243"/>
      <c r="T241" s="1242"/>
      <c r="V241" s="1256"/>
      <c r="W241" s="1234"/>
      <c r="X241" s="1234"/>
      <c r="Y241" s="1234"/>
      <c r="AA241" s="1256"/>
      <c r="AB241" s="1257"/>
      <c r="AC241" s="1261"/>
      <c r="AD241" s="1261"/>
      <c r="AF241" s="3">
        <v>1</v>
      </c>
    </row>
    <row r="242" spans="2:32" ht="30" customHeight="1">
      <c r="B242" s="5937"/>
      <c r="C242" s="176"/>
      <c r="D242" s="1262"/>
      <c r="E242" s="2018"/>
      <c r="F242" s="1262"/>
      <c r="G242" s="2019"/>
      <c r="H242" s="1262"/>
      <c r="I242" s="9"/>
      <c r="M242" s="9"/>
      <c r="N242" s="5911"/>
      <c r="O242" s="1241"/>
      <c r="P242" s="1242"/>
      <c r="Q242" s="1242"/>
      <c r="R242" s="1242"/>
      <c r="S242" s="1243"/>
      <c r="T242" s="1242"/>
      <c r="V242" s="1256"/>
      <c r="W242" s="1234"/>
      <c r="X242" s="1234"/>
      <c r="Y242" s="1234"/>
      <c r="AA242" s="1256"/>
      <c r="AB242" s="1257"/>
      <c r="AC242" s="1261"/>
      <c r="AD242" s="1261"/>
      <c r="AF242" s="3">
        <v>1</v>
      </c>
    </row>
    <row r="243" spans="2:32" ht="30" customHeight="1">
      <c r="B243" s="5937"/>
      <c r="C243" s="176"/>
      <c r="D243" s="1262"/>
      <c r="E243" s="2018"/>
      <c r="F243" s="1262"/>
      <c r="G243" s="2019"/>
      <c r="H243" s="1262"/>
      <c r="I243" s="9"/>
      <c r="M243" s="9"/>
      <c r="N243" s="5911"/>
      <c r="O243" s="1241"/>
      <c r="P243" s="1242"/>
      <c r="Q243" s="1242"/>
      <c r="R243" s="1242"/>
      <c r="S243" s="1243"/>
      <c r="T243" s="1242"/>
      <c r="V243" s="1256"/>
      <c r="W243" s="1234"/>
      <c r="X243" s="1234"/>
      <c r="Y243" s="1234"/>
      <c r="AA243" s="1256"/>
      <c r="AB243" s="1257"/>
      <c r="AC243" s="1261"/>
      <c r="AD243" s="1261"/>
      <c r="AF243" s="3">
        <v>1</v>
      </c>
    </row>
    <row r="244" spans="2:32" ht="30" customHeight="1">
      <c r="B244" s="5937"/>
      <c r="C244" s="176"/>
      <c r="D244" s="1262"/>
      <c r="E244" s="2018"/>
      <c r="F244" s="1262"/>
      <c r="G244" s="2019"/>
      <c r="H244" s="1262"/>
      <c r="I244" s="9"/>
      <c r="M244" s="9"/>
      <c r="N244" s="5911"/>
      <c r="O244" s="1241"/>
      <c r="P244" s="1242"/>
      <c r="Q244" s="1242"/>
      <c r="R244" s="1242"/>
      <c r="S244" s="1243"/>
      <c r="T244" s="1242"/>
      <c r="V244" s="1256"/>
      <c r="W244" s="1234"/>
      <c r="X244" s="1234"/>
      <c r="Y244" s="1234"/>
      <c r="AA244" s="1256"/>
      <c r="AB244" s="1257"/>
      <c r="AC244" s="1261"/>
      <c r="AD244" s="1261"/>
      <c r="AF244" s="3">
        <v>1</v>
      </c>
    </row>
    <row r="245" spans="2:32" ht="30" customHeight="1">
      <c r="B245" s="5937"/>
      <c r="C245" s="176"/>
      <c r="D245" s="1262"/>
      <c r="E245" s="2018"/>
      <c r="F245" s="1262"/>
      <c r="G245" s="2019"/>
      <c r="H245" s="1262"/>
      <c r="I245" s="9"/>
      <c r="M245" s="9"/>
      <c r="N245" s="5911"/>
      <c r="O245" s="1241"/>
      <c r="P245" s="1242"/>
      <c r="Q245" s="1242"/>
      <c r="R245" s="1242"/>
      <c r="S245" s="1243"/>
      <c r="T245" s="1242"/>
      <c r="V245" s="1256"/>
      <c r="W245" s="1234"/>
      <c r="X245" s="1234"/>
      <c r="Y245" s="1234"/>
      <c r="AA245" s="1256"/>
      <c r="AB245" s="1257"/>
      <c r="AC245" s="1261"/>
      <c r="AD245" s="1261"/>
      <c r="AF245" s="3">
        <v>1</v>
      </c>
    </row>
    <row r="246" spans="2:32" ht="30" customHeight="1">
      <c r="B246" s="5937"/>
      <c r="C246" s="176"/>
      <c r="D246" s="1262"/>
      <c r="E246" s="2018"/>
      <c r="F246" s="1262"/>
      <c r="G246" s="2019"/>
      <c r="H246" s="1262"/>
      <c r="I246" s="9"/>
      <c r="M246" s="9"/>
      <c r="N246" s="5911"/>
      <c r="O246" s="1241"/>
      <c r="P246" s="1242"/>
      <c r="Q246" s="1242"/>
      <c r="R246" s="1242"/>
      <c r="S246" s="1243"/>
      <c r="T246" s="1242"/>
      <c r="V246" s="1256"/>
      <c r="W246" s="1234"/>
      <c r="X246" s="1234"/>
      <c r="Y246" s="1234"/>
      <c r="AA246" s="1256"/>
      <c r="AB246" s="1257"/>
      <c r="AC246" s="1261"/>
      <c r="AD246" s="1261"/>
      <c r="AF246" s="3">
        <v>1</v>
      </c>
    </row>
    <row r="247" spans="2:32" ht="30" customHeight="1">
      <c r="B247" s="5937"/>
      <c r="C247" s="176"/>
      <c r="D247" s="1262"/>
      <c r="E247" s="2018"/>
      <c r="F247" s="1262"/>
      <c r="G247" s="2019"/>
      <c r="H247" s="1262"/>
      <c r="I247" s="9"/>
      <c r="M247" s="9"/>
      <c r="N247" s="5911"/>
      <c r="O247" s="1241"/>
      <c r="P247" s="1242"/>
      <c r="Q247" s="1242"/>
      <c r="R247" s="1242"/>
      <c r="S247" s="1243"/>
      <c r="T247" s="1242"/>
      <c r="V247" s="1256"/>
      <c r="W247" s="1234"/>
      <c r="X247" s="1234"/>
      <c r="Y247" s="1234"/>
      <c r="AA247" s="1256"/>
      <c r="AB247" s="1257"/>
      <c r="AC247" s="1261"/>
      <c r="AD247" s="1261"/>
      <c r="AF247" s="3">
        <v>1</v>
      </c>
    </row>
    <row r="248" spans="2:32" ht="30" customHeight="1">
      <c r="B248" s="5937"/>
      <c r="C248" s="176"/>
      <c r="D248" s="1262"/>
      <c r="E248" s="2018"/>
      <c r="F248" s="1262"/>
      <c r="G248" s="2019"/>
      <c r="H248" s="1262"/>
      <c r="I248" s="9"/>
      <c r="M248" s="9"/>
      <c r="N248" s="5911"/>
      <c r="O248" s="1241"/>
      <c r="P248" s="1242"/>
      <c r="Q248" s="1242"/>
      <c r="R248" s="1242"/>
      <c r="S248" s="1243"/>
      <c r="T248" s="1242"/>
      <c r="V248" s="1256"/>
      <c r="W248" s="1234"/>
      <c r="X248" s="1234"/>
      <c r="Y248" s="1234"/>
      <c r="AA248" s="1256"/>
      <c r="AB248" s="1257"/>
      <c r="AC248" s="1261"/>
      <c r="AD248" s="1261"/>
      <c r="AF248" s="3">
        <v>1</v>
      </c>
    </row>
    <row r="249" spans="2:32" ht="30" customHeight="1">
      <c r="B249" s="5937"/>
      <c r="C249" s="176"/>
      <c r="D249" s="1262"/>
      <c r="E249" s="2018"/>
      <c r="F249" s="1262"/>
      <c r="G249" s="2019"/>
      <c r="H249" s="1262"/>
      <c r="I249" s="9"/>
      <c r="M249" s="9"/>
      <c r="N249" s="5911"/>
      <c r="O249" s="1241"/>
      <c r="P249" s="1242"/>
      <c r="Q249" s="1242"/>
      <c r="R249" s="1242"/>
      <c r="S249" s="1243"/>
      <c r="T249" s="1242"/>
      <c r="V249" s="1256"/>
      <c r="W249" s="1234"/>
      <c r="X249" s="1234"/>
      <c r="Y249" s="1234"/>
      <c r="AA249" s="1256"/>
      <c r="AB249" s="1257"/>
      <c r="AC249" s="1261"/>
      <c r="AD249" s="1261"/>
      <c r="AF249" s="3">
        <v>1</v>
      </c>
    </row>
    <row r="250" spans="2:32" ht="30" customHeight="1">
      <c r="B250" s="5937"/>
      <c r="C250" s="176"/>
      <c r="D250" s="1262"/>
      <c r="E250" s="2018"/>
      <c r="F250" s="1262"/>
      <c r="G250" s="2019"/>
      <c r="H250" s="1262"/>
      <c r="I250" s="9"/>
      <c r="M250" s="9"/>
      <c r="N250" s="5911"/>
      <c r="O250" s="1241"/>
      <c r="P250" s="1242"/>
      <c r="Q250" s="1242"/>
      <c r="R250" s="1242"/>
      <c r="S250" s="1243"/>
      <c r="T250" s="1242"/>
      <c r="V250" s="1256"/>
      <c r="W250" s="1234"/>
      <c r="X250" s="1234"/>
      <c r="Y250" s="1234"/>
      <c r="AA250" s="1256"/>
      <c r="AB250" s="1257"/>
      <c r="AC250" s="1261"/>
      <c r="AD250" s="1261"/>
      <c r="AF250" s="3">
        <v>1</v>
      </c>
    </row>
    <row r="251" spans="2:32" ht="30" customHeight="1">
      <c r="B251" s="5937"/>
      <c r="C251" s="176"/>
      <c r="D251" s="1262"/>
      <c r="E251" s="2018"/>
      <c r="F251" s="1262"/>
      <c r="G251" s="2019"/>
      <c r="H251" s="1262"/>
      <c r="I251" s="9"/>
      <c r="M251" s="9"/>
      <c r="N251" s="5911"/>
      <c r="O251" s="1241"/>
      <c r="P251" s="1242"/>
      <c r="Q251" s="1242"/>
      <c r="R251" s="1242"/>
      <c r="S251" s="1243"/>
      <c r="T251" s="1242"/>
      <c r="V251" s="1256"/>
      <c r="W251" s="1234"/>
      <c r="X251" s="1234"/>
      <c r="Y251" s="1234"/>
      <c r="AA251" s="1256"/>
      <c r="AB251" s="1257"/>
      <c r="AC251" s="1261"/>
      <c r="AD251" s="1261"/>
      <c r="AF251" s="3">
        <v>1</v>
      </c>
    </row>
    <row r="252" spans="2:32" ht="30" customHeight="1">
      <c r="B252" s="5937"/>
      <c r="C252" s="176"/>
      <c r="D252" s="1262"/>
      <c r="E252" s="2018"/>
      <c r="F252" s="1262"/>
      <c r="G252" s="2019"/>
      <c r="H252" s="1262"/>
      <c r="I252" s="9"/>
      <c r="M252" s="9"/>
      <c r="N252" s="5911"/>
      <c r="O252" s="1241"/>
      <c r="P252" s="1242"/>
      <c r="Q252" s="1242"/>
      <c r="R252" s="1242"/>
      <c r="S252" s="1243"/>
      <c r="T252" s="1242"/>
      <c r="V252" s="1256"/>
      <c r="W252" s="1234"/>
      <c r="X252" s="1234"/>
      <c r="Y252" s="1234"/>
      <c r="AA252" s="1256"/>
      <c r="AB252" s="1257"/>
      <c r="AC252" s="1261"/>
      <c r="AD252" s="1261"/>
      <c r="AF252" s="3">
        <v>1</v>
      </c>
    </row>
    <row r="253" spans="2:32" ht="30" customHeight="1">
      <c r="B253" s="5937"/>
      <c r="C253" s="176"/>
      <c r="D253" s="1262"/>
      <c r="E253" s="2018"/>
      <c r="F253" s="1262"/>
      <c r="G253" s="2019"/>
      <c r="H253" s="1262"/>
      <c r="I253" s="9"/>
      <c r="M253" s="9"/>
      <c r="N253" s="5911"/>
      <c r="O253" s="1241"/>
      <c r="P253" s="1242"/>
      <c r="Q253" s="1242"/>
      <c r="R253" s="1242"/>
      <c r="S253" s="1243"/>
      <c r="T253" s="1242"/>
      <c r="V253" s="1256"/>
      <c r="W253" s="1234"/>
      <c r="X253" s="1234"/>
      <c r="Y253" s="1234"/>
      <c r="AA253" s="1256"/>
      <c r="AB253" s="1257"/>
      <c r="AC253" s="1261"/>
      <c r="AD253" s="1261"/>
      <c r="AF253" s="3">
        <v>1</v>
      </c>
    </row>
    <row r="254" spans="2:32" ht="30" customHeight="1">
      <c r="B254" s="5937"/>
      <c r="C254" s="176"/>
      <c r="D254" s="1262"/>
      <c r="E254" s="2018"/>
      <c r="F254" s="1262"/>
      <c r="G254" s="2019"/>
      <c r="H254" s="1262"/>
      <c r="I254" s="9"/>
      <c r="M254" s="9"/>
      <c r="N254" s="5911"/>
      <c r="O254" s="1241"/>
      <c r="P254" s="1242"/>
      <c r="Q254" s="1242"/>
      <c r="R254" s="1242"/>
      <c r="S254" s="1243"/>
      <c r="T254" s="1242"/>
      <c r="V254" s="1256"/>
      <c r="W254" s="1234"/>
      <c r="X254" s="1234"/>
      <c r="Y254" s="1234"/>
      <c r="AA254" s="1256"/>
      <c r="AB254" s="1257"/>
      <c r="AC254" s="1261"/>
      <c r="AD254" s="1261"/>
      <c r="AF254" s="3">
        <v>1</v>
      </c>
    </row>
    <row r="255" spans="2:32" ht="30" customHeight="1">
      <c r="B255" s="5937"/>
      <c r="C255" s="176"/>
      <c r="D255" s="1262"/>
      <c r="E255" s="2018"/>
      <c r="F255" s="1262"/>
      <c r="G255" s="2019"/>
      <c r="H255" s="1262"/>
      <c r="I255" s="9"/>
      <c r="M255" s="9"/>
      <c r="N255" s="5911"/>
      <c r="O255" s="1241"/>
      <c r="P255" s="1242"/>
      <c r="Q255" s="1242"/>
      <c r="R255" s="1242"/>
      <c r="S255" s="1243"/>
      <c r="T255" s="1242"/>
      <c r="V255" s="1256"/>
      <c r="W255" s="1234"/>
      <c r="X255" s="1234"/>
      <c r="Y255" s="1234"/>
      <c r="AA255" s="1256"/>
      <c r="AB255" s="1257"/>
      <c r="AC255" s="1261"/>
      <c r="AD255" s="1261"/>
      <c r="AF255" s="3">
        <v>1</v>
      </c>
    </row>
    <row r="256" spans="2:32" ht="30" customHeight="1">
      <c r="B256" s="5937"/>
      <c r="C256" s="176"/>
      <c r="D256" s="1262"/>
      <c r="E256" s="2018"/>
      <c r="F256" s="1262"/>
      <c r="G256" s="2019"/>
      <c r="H256" s="1262"/>
      <c r="I256" s="9"/>
      <c r="M256" s="9"/>
      <c r="N256" s="5911"/>
      <c r="O256" s="1241"/>
      <c r="P256" s="1242"/>
      <c r="Q256" s="1242"/>
      <c r="R256" s="1242"/>
      <c r="S256" s="1243"/>
      <c r="T256" s="1242"/>
      <c r="V256" s="1256"/>
      <c r="W256" s="1234"/>
      <c r="X256" s="1234"/>
      <c r="Y256" s="1234"/>
      <c r="AA256" s="1256"/>
      <c r="AB256" s="1257"/>
      <c r="AC256" s="1261"/>
      <c r="AD256" s="1261"/>
      <c r="AF256" s="3">
        <v>1</v>
      </c>
    </row>
    <row r="257" spans="2:32" ht="30" customHeight="1">
      <c r="B257" s="5937"/>
      <c r="C257" s="176"/>
      <c r="D257" s="1262"/>
      <c r="E257" s="2018"/>
      <c r="F257" s="1262"/>
      <c r="G257" s="2019"/>
      <c r="H257" s="1262"/>
      <c r="I257" s="9"/>
      <c r="M257" s="9"/>
      <c r="N257" s="5911"/>
      <c r="O257" s="1241"/>
      <c r="P257" s="1242"/>
      <c r="Q257" s="1242"/>
      <c r="R257" s="1242"/>
      <c r="S257" s="1243"/>
      <c r="T257" s="1242"/>
      <c r="V257" s="1256"/>
      <c r="W257" s="1234"/>
      <c r="X257" s="1234"/>
      <c r="Y257" s="1234"/>
      <c r="AA257" s="1256"/>
      <c r="AB257" s="1257"/>
      <c r="AC257" s="1261"/>
      <c r="AD257" s="1261"/>
      <c r="AF257" s="3">
        <v>1</v>
      </c>
    </row>
    <row r="258" spans="2:32" ht="30" customHeight="1">
      <c r="B258" s="5937"/>
      <c r="C258" s="176"/>
      <c r="D258" s="1262"/>
      <c r="E258" s="2018"/>
      <c r="F258" s="1262"/>
      <c r="G258" s="2019"/>
      <c r="H258" s="1262"/>
      <c r="I258" s="9"/>
      <c r="M258" s="9"/>
      <c r="N258" s="5911"/>
      <c r="O258" s="1241"/>
      <c r="P258" s="1242"/>
      <c r="Q258" s="1242"/>
      <c r="R258" s="1242"/>
      <c r="S258" s="1243"/>
      <c r="T258" s="1242"/>
      <c r="V258" s="1256"/>
      <c r="W258" s="1234"/>
      <c r="X258" s="1234"/>
      <c r="Y258" s="1234"/>
      <c r="AA258" s="1256"/>
      <c r="AB258" s="1257"/>
      <c r="AC258" s="1261"/>
      <c r="AD258" s="1261"/>
      <c r="AF258" s="3">
        <v>1</v>
      </c>
    </row>
    <row r="259" spans="2:32" ht="30" customHeight="1">
      <c r="B259" s="5937"/>
      <c r="C259" s="176"/>
      <c r="D259" s="1262"/>
      <c r="E259" s="2018"/>
      <c r="F259" s="1262"/>
      <c r="G259" s="2019"/>
      <c r="H259" s="1262"/>
      <c r="I259" s="9"/>
      <c r="M259" s="9"/>
      <c r="N259" s="5911"/>
      <c r="O259" s="1241"/>
      <c r="P259" s="1242"/>
      <c r="Q259" s="1242"/>
      <c r="R259" s="1242"/>
      <c r="S259" s="1243"/>
      <c r="T259" s="1242"/>
      <c r="V259" s="1256"/>
      <c r="W259" s="1234"/>
      <c r="X259" s="1234"/>
      <c r="Y259" s="1234"/>
      <c r="AA259" s="1256"/>
      <c r="AB259" s="1257"/>
      <c r="AC259" s="1261"/>
      <c r="AD259" s="1261"/>
      <c r="AF259" s="3">
        <v>1</v>
      </c>
    </row>
    <row r="260" spans="2:32" ht="30" customHeight="1">
      <c r="B260" s="5937"/>
      <c r="C260" s="176"/>
      <c r="D260" s="1262"/>
      <c r="E260" s="2018"/>
      <c r="F260" s="1262"/>
      <c r="G260" s="2019"/>
      <c r="H260" s="1262"/>
      <c r="I260" s="9"/>
      <c r="M260" s="9"/>
      <c r="N260" s="5911"/>
      <c r="O260" s="1241"/>
      <c r="P260" s="1242"/>
      <c r="Q260" s="1242"/>
      <c r="R260" s="1242"/>
      <c r="S260" s="1243"/>
      <c r="T260" s="1242"/>
      <c r="V260" s="1256"/>
      <c r="W260" s="1234"/>
      <c r="X260" s="1234"/>
      <c r="Y260" s="1234"/>
      <c r="AA260" s="1256"/>
      <c r="AB260" s="1257"/>
      <c r="AC260" s="1261"/>
      <c r="AD260" s="1261"/>
      <c r="AF260" s="3">
        <v>1</v>
      </c>
    </row>
    <row r="261" spans="2:32" ht="30" customHeight="1">
      <c r="B261" s="5937"/>
      <c r="C261" s="176"/>
      <c r="D261" s="1262"/>
      <c r="E261" s="2018"/>
      <c r="F261" s="1262"/>
      <c r="G261" s="2019"/>
      <c r="H261" s="1262"/>
      <c r="I261" s="9"/>
      <c r="M261" s="9"/>
      <c r="N261" s="5911"/>
      <c r="O261" s="1241"/>
      <c r="P261" s="1242"/>
      <c r="Q261" s="1242"/>
      <c r="R261" s="1242"/>
      <c r="S261" s="1243"/>
      <c r="T261" s="1242"/>
      <c r="V261" s="1256"/>
      <c r="W261" s="1234"/>
      <c r="X261" s="1234"/>
      <c r="Y261" s="1234"/>
      <c r="AA261" s="1256"/>
      <c r="AB261" s="1257"/>
      <c r="AC261" s="1261"/>
      <c r="AD261" s="1261"/>
      <c r="AF261" s="3">
        <v>1</v>
      </c>
    </row>
    <row r="262" spans="2:32" ht="30" customHeight="1">
      <c r="B262" s="5937"/>
      <c r="C262" s="176"/>
      <c r="D262" s="1262"/>
      <c r="E262" s="2018"/>
      <c r="F262" s="1262"/>
      <c r="G262" s="2019"/>
      <c r="H262" s="1262"/>
      <c r="I262" s="9"/>
      <c r="M262" s="9"/>
      <c r="N262" s="5911"/>
      <c r="O262" s="1241"/>
      <c r="P262" s="1242"/>
      <c r="Q262" s="1242"/>
      <c r="R262" s="1242"/>
      <c r="S262" s="1243"/>
      <c r="T262" s="1242"/>
      <c r="V262" s="1256"/>
      <c r="W262" s="1234"/>
      <c r="X262" s="1234"/>
      <c r="Y262" s="1234"/>
      <c r="AA262" s="1256"/>
      <c r="AB262" s="1257"/>
      <c r="AC262" s="1261"/>
      <c r="AD262" s="1261"/>
      <c r="AF262" s="3">
        <v>1</v>
      </c>
    </row>
    <row r="263" spans="2:32" ht="30" customHeight="1">
      <c r="B263" s="5937"/>
      <c r="C263" s="176"/>
      <c r="D263" s="1262"/>
      <c r="E263" s="2018"/>
      <c r="F263" s="1262"/>
      <c r="G263" s="2019"/>
      <c r="H263" s="1262"/>
      <c r="I263" s="9"/>
      <c r="M263" s="9"/>
      <c r="N263" s="5911"/>
      <c r="O263" s="1241"/>
      <c r="P263" s="1242"/>
      <c r="Q263" s="1242"/>
      <c r="R263" s="1242"/>
      <c r="S263" s="1243"/>
      <c r="T263" s="1242"/>
      <c r="V263" s="1256"/>
      <c r="W263" s="1234"/>
      <c r="X263" s="1234"/>
      <c r="Y263" s="1234"/>
      <c r="AA263" s="1256"/>
      <c r="AB263" s="1257"/>
      <c r="AC263" s="1261"/>
      <c r="AD263" s="1261"/>
      <c r="AF263" s="3">
        <v>1</v>
      </c>
    </row>
    <row r="264" spans="2:32" ht="30" customHeight="1">
      <c r="B264" s="5937"/>
      <c r="C264" s="176"/>
      <c r="D264" s="1262"/>
      <c r="E264" s="2018"/>
      <c r="F264" s="1262"/>
      <c r="G264" s="2019"/>
      <c r="H264" s="1262"/>
      <c r="I264" s="9"/>
      <c r="M264" s="9"/>
      <c r="N264" s="5911"/>
      <c r="O264" s="1241"/>
      <c r="P264" s="1242"/>
      <c r="Q264" s="1242"/>
      <c r="R264" s="1242"/>
      <c r="S264" s="1243"/>
      <c r="T264" s="1242"/>
      <c r="V264" s="1256"/>
      <c r="W264" s="1234"/>
      <c r="X264" s="1234"/>
      <c r="Y264" s="1234"/>
      <c r="AA264" s="1256"/>
      <c r="AB264" s="1257"/>
      <c r="AC264" s="1261"/>
      <c r="AD264" s="1261"/>
      <c r="AF264" s="3">
        <v>1</v>
      </c>
    </row>
    <row r="265" spans="2:32" ht="30" customHeight="1">
      <c r="B265" s="5937"/>
      <c r="C265" s="176"/>
      <c r="D265" s="1262"/>
      <c r="E265" s="2018"/>
      <c r="F265" s="1262"/>
      <c r="G265" s="2019"/>
      <c r="H265" s="1262"/>
      <c r="I265" s="9"/>
      <c r="M265" s="9"/>
      <c r="N265" s="5911"/>
      <c r="O265" s="1241"/>
      <c r="P265" s="1242"/>
      <c r="Q265" s="1242"/>
      <c r="R265" s="1242"/>
      <c r="S265" s="1243"/>
      <c r="T265" s="1242"/>
      <c r="V265" s="1256"/>
      <c r="W265" s="1234"/>
      <c r="X265" s="1234"/>
      <c r="Y265" s="1234"/>
      <c r="AA265" s="1256"/>
      <c r="AB265" s="1257"/>
      <c r="AC265" s="1261"/>
      <c r="AD265" s="1261"/>
      <c r="AF265" s="3">
        <v>1</v>
      </c>
    </row>
    <row r="266" spans="2:32" ht="30" customHeight="1">
      <c r="B266" s="5937"/>
      <c r="C266" s="176"/>
      <c r="D266" s="1262"/>
      <c r="E266" s="2018"/>
      <c r="F266" s="1262"/>
      <c r="G266" s="2019"/>
      <c r="H266" s="1262"/>
      <c r="I266" s="9"/>
      <c r="M266" s="9"/>
      <c r="N266" s="5911"/>
      <c r="O266" s="1241"/>
      <c r="P266" s="1242"/>
      <c r="Q266" s="1242"/>
      <c r="R266" s="1242"/>
      <c r="S266" s="1243"/>
      <c r="T266" s="1242"/>
      <c r="V266" s="1256"/>
      <c r="W266" s="1234"/>
      <c r="X266" s="1234"/>
      <c r="Y266" s="1234"/>
      <c r="AA266" s="1256"/>
      <c r="AB266" s="1257"/>
      <c r="AC266" s="1261"/>
      <c r="AD266" s="1261"/>
      <c r="AF266" s="3">
        <v>1</v>
      </c>
    </row>
    <row r="267" spans="2:32" ht="30" customHeight="1">
      <c r="B267" s="5937"/>
      <c r="C267" s="176"/>
      <c r="D267" s="1262"/>
      <c r="E267" s="2018"/>
      <c r="F267" s="1262"/>
      <c r="G267" s="2019"/>
      <c r="H267" s="1262"/>
      <c r="I267" s="9"/>
      <c r="M267" s="9"/>
      <c r="N267" s="5911"/>
      <c r="O267" s="1241"/>
      <c r="P267" s="1242"/>
      <c r="Q267" s="1242"/>
      <c r="R267" s="1242"/>
      <c r="S267" s="1243"/>
      <c r="T267" s="1242"/>
      <c r="V267" s="1256"/>
      <c r="W267" s="1234"/>
      <c r="X267" s="1234"/>
      <c r="Y267" s="1234"/>
      <c r="AA267" s="1256"/>
      <c r="AB267" s="1257"/>
      <c r="AC267" s="1261"/>
      <c r="AD267" s="1261"/>
      <c r="AF267" s="3">
        <v>1</v>
      </c>
    </row>
    <row r="268" spans="2:32" ht="30" customHeight="1">
      <c r="B268" s="5937"/>
      <c r="C268" s="176"/>
      <c r="D268" s="1262"/>
      <c r="E268" s="2018"/>
      <c r="F268" s="1262"/>
      <c r="G268" s="2019"/>
      <c r="H268" s="1262"/>
      <c r="I268" s="9"/>
      <c r="M268" s="9"/>
      <c r="N268" s="5911"/>
      <c r="O268" s="1241"/>
      <c r="P268" s="1242"/>
      <c r="Q268" s="1242"/>
      <c r="R268" s="1242"/>
      <c r="S268" s="1243"/>
      <c r="T268" s="1242"/>
      <c r="V268" s="1256"/>
      <c r="W268" s="1234"/>
      <c r="X268" s="1234"/>
      <c r="Y268" s="1234"/>
      <c r="AA268" s="1256"/>
      <c r="AB268" s="1257"/>
      <c r="AC268" s="1261"/>
      <c r="AD268" s="1261"/>
      <c r="AF268" s="3">
        <v>1</v>
      </c>
    </row>
    <row r="269" spans="2:32" ht="30" customHeight="1">
      <c r="B269" s="5937"/>
      <c r="C269" s="176"/>
      <c r="D269" s="1262"/>
      <c r="E269" s="2018"/>
      <c r="F269" s="1262"/>
      <c r="G269" s="2019"/>
      <c r="H269" s="1262"/>
      <c r="I269" s="9"/>
      <c r="M269" s="9"/>
      <c r="N269" s="5911"/>
      <c r="O269" s="1241"/>
      <c r="P269" s="1242"/>
      <c r="Q269" s="1242"/>
      <c r="R269" s="1242"/>
      <c r="S269" s="1243"/>
      <c r="T269" s="1242"/>
      <c r="V269" s="1256"/>
      <c r="W269" s="1234"/>
      <c r="X269" s="1234"/>
      <c r="Y269" s="1234"/>
      <c r="AA269" s="1256"/>
      <c r="AB269" s="1257"/>
      <c r="AC269" s="1261"/>
      <c r="AD269" s="1261"/>
      <c r="AF269" s="3">
        <v>1</v>
      </c>
    </row>
    <row r="270" spans="2:32" ht="30" customHeight="1">
      <c r="B270" s="5937"/>
      <c r="C270" s="176"/>
      <c r="D270" s="1262"/>
      <c r="E270" s="2018"/>
      <c r="F270" s="1262"/>
      <c r="G270" s="2019"/>
      <c r="H270" s="1262"/>
      <c r="I270" s="9"/>
      <c r="M270" s="9"/>
      <c r="N270" s="5911"/>
      <c r="O270" s="1241"/>
      <c r="P270" s="1242"/>
      <c r="Q270" s="1242"/>
      <c r="R270" s="1242"/>
      <c r="S270" s="1243"/>
      <c r="T270" s="1242"/>
      <c r="V270" s="1256"/>
      <c r="W270" s="1234"/>
      <c r="X270" s="1234"/>
      <c r="Y270" s="1234"/>
      <c r="AA270" s="1256"/>
      <c r="AB270" s="1257"/>
      <c r="AC270" s="1261"/>
      <c r="AD270" s="1261"/>
      <c r="AF270" s="3">
        <v>1</v>
      </c>
    </row>
    <row r="271" spans="2:32" ht="30" customHeight="1">
      <c r="B271" s="5937"/>
      <c r="C271" s="176"/>
      <c r="D271" s="1262"/>
      <c r="E271" s="2018"/>
      <c r="F271" s="1262"/>
      <c r="G271" s="2019"/>
      <c r="H271" s="1262"/>
      <c r="I271" s="9"/>
      <c r="M271" s="9"/>
      <c r="N271" s="5911"/>
      <c r="O271" s="1241"/>
      <c r="P271" s="1242"/>
      <c r="Q271" s="1242"/>
      <c r="R271" s="1242"/>
      <c r="S271" s="1243"/>
      <c r="T271" s="1242"/>
      <c r="V271" s="1256"/>
      <c r="W271" s="1234"/>
      <c r="X271" s="1234"/>
      <c r="Y271" s="1234"/>
      <c r="AA271" s="1256"/>
      <c r="AB271" s="1257"/>
      <c r="AC271" s="1261"/>
      <c r="AD271" s="1261"/>
      <c r="AF271" s="3">
        <v>1</v>
      </c>
    </row>
    <row r="272" spans="2:32" ht="30" customHeight="1">
      <c r="B272" s="5937"/>
      <c r="C272" s="176"/>
      <c r="D272" s="1262"/>
      <c r="E272" s="2018"/>
      <c r="F272" s="1262"/>
      <c r="G272" s="2019"/>
      <c r="H272" s="1262"/>
      <c r="I272" s="9"/>
      <c r="M272" s="9"/>
      <c r="N272" s="5911"/>
      <c r="O272" s="1241"/>
      <c r="P272" s="1242"/>
      <c r="Q272" s="1242"/>
      <c r="R272" s="1242"/>
      <c r="S272" s="1243"/>
      <c r="T272" s="1242"/>
      <c r="V272" s="1256"/>
      <c r="W272" s="1234"/>
      <c r="X272" s="1234"/>
      <c r="Y272" s="1234"/>
      <c r="AA272" s="1256"/>
      <c r="AB272" s="1257"/>
      <c r="AC272" s="1261"/>
      <c r="AD272" s="1261"/>
      <c r="AF272" s="3">
        <v>1</v>
      </c>
    </row>
    <row r="273" spans="2:32" ht="30" customHeight="1">
      <c r="B273" s="5937"/>
      <c r="C273" s="176"/>
      <c r="D273" s="1262"/>
      <c r="E273" s="2018"/>
      <c r="F273" s="1262"/>
      <c r="G273" s="2019"/>
      <c r="H273" s="1262"/>
      <c r="I273" s="9"/>
      <c r="M273" s="9"/>
      <c r="N273" s="5911"/>
      <c r="O273" s="1241"/>
      <c r="P273" s="1242"/>
      <c r="Q273" s="1242"/>
      <c r="R273" s="1242"/>
      <c r="S273" s="1243"/>
      <c r="T273" s="1242"/>
      <c r="V273" s="1256"/>
      <c r="W273" s="1234"/>
      <c r="X273" s="1234"/>
      <c r="Y273" s="1234"/>
      <c r="AA273" s="1256"/>
      <c r="AB273" s="1257"/>
      <c r="AC273" s="1261"/>
      <c r="AD273" s="1261"/>
      <c r="AF273" s="3">
        <v>1</v>
      </c>
    </row>
    <row r="274" spans="2:32" ht="30" customHeight="1">
      <c r="B274" s="5937"/>
      <c r="C274" s="176"/>
      <c r="D274" s="1262"/>
      <c r="E274" s="2018"/>
      <c r="F274" s="1262"/>
      <c r="G274" s="2019"/>
      <c r="H274" s="1262"/>
      <c r="I274" s="9"/>
      <c r="M274" s="9"/>
      <c r="N274" s="5911"/>
      <c r="O274" s="1241"/>
      <c r="P274" s="1242"/>
      <c r="Q274" s="1242"/>
      <c r="R274" s="1242"/>
      <c r="S274" s="1243"/>
      <c r="T274" s="1242"/>
      <c r="V274" s="1256"/>
      <c r="W274" s="1234"/>
      <c r="X274" s="1234"/>
      <c r="Y274" s="1234"/>
      <c r="AA274" s="1256"/>
      <c r="AB274" s="1257"/>
      <c r="AC274" s="1261"/>
      <c r="AD274" s="1261"/>
      <c r="AF274" s="3">
        <v>1</v>
      </c>
    </row>
    <row r="275" spans="2:32" ht="30" customHeight="1">
      <c r="B275" s="5937"/>
      <c r="C275" s="176"/>
      <c r="D275" s="1262"/>
      <c r="E275" s="2018"/>
      <c r="F275" s="1262"/>
      <c r="G275" s="2019"/>
      <c r="H275" s="1262"/>
      <c r="I275" s="9"/>
      <c r="M275" s="9"/>
      <c r="N275" s="5911"/>
      <c r="O275" s="1241"/>
      <c r="P275" s="1242"/>
      <c r="Q275" s="1242"/>
      <c r="R275" s="1242"/>
      <c r="S275" s="1243"/>
      <c r="T275" s="1242"/>
      <c r="V275" s="1256"/>
      <c r="W275" s="1234"/>
      <c r="X275" s="1234"/>
      <c r="Y275" s="1234"/>
      <c r="AA275" s="1256"/>
      <c r="AB275" s="1257"/>
      <c r="AC275" s="1261"/>
      <c r="AD275" s="1261"/>
      <c r="AF275" s="3">
        <v>1</v>
      </c>
    </row>
    <row r="276" spans="2:32" ht="30" customHeight="1">
      <c r="B276" s="5937"/>
      <c r="C276" s="176"/>
      <c r="D276" s="1262"/>
      <c r="E276" s="2018"/>
      <c r="F276" s="1262"/>
      <c r="G276" s="2019"/>
      <c r="H276" s="1262"/>
      <c r="I276" s="9"/>
      <c r="M276" s="9"/>
      <c r="N276" s="5911"/>
      <c r="O276" s="1241"/>
      <c r="P276" s="1242"/>
      <c r="Q276" s="1242"/>
      <c r="R276" s="1242"/>
      <c r="S276" s="1243"/>
      <c r="T276" s="1242"/>
      <c r="V276" s="1256"/>
      <c r="W276" s="1234"/>
      <c r="X276" s="1234"/>
      <c r="Y276" s="1234"/>
      <c r="AA276" s="1256"/>
      <c r="AB276" s="1257"/>
      <c r="AC276" s="1261"/>
      <c r="AD276" s="1261"/>
      <c r="AF276" s="3">
        <v>1</v>
      </c>
    </row>
    <row r="277" spans="2:32" ht="30" customHeight="1">
      <c r="B277" s="5937"/>
      <c r="C277" s="176"/>
      <c r="D277" s="1262"/>
      <c r="E277" s="2018"/>
      <c r="F277" s="1262"/>
      <c r="G277" s="2019"/>
      <c r="H277" s="1262"/>
      <c r="I277" s="9"/>
      <c r="M277" s="9"/>
      <c r="N277" s="5911"/>
      <c r="O277" s="1241"/>
      <c r="P277" s="1242"/>
      <c r="Q277" s="1242"/>
      <c r="R277" s="1242"/>
      <c r="S277" s="1243"/>
      <c r="T277" s="1242"/>
      <c r="V277" s="1256"/>
      <c r="W277" s="1234"/>
      <c r="X277" s="1234"/>
      <c r="Y277" s="1234"/>
      <c r="AA277" s="1256"/>
      <c r="AB277" s="1257"/>
      <c r="AC277" s="1261"/>
      <c r="AD277" s="1261"/>
      <c r="AF277" s="3">
        <v>1</v>
      </c>
    </row>
    <row r="278" spans="2:32" ht="30" customHeight="1">
      <c r="B278" s="5937"/>
      <c r="C278" s="176"/>
      <c r="D278" s="1262"/>
      <c r="E278" s="2018"/>
      <c r="F278" s="1262"/>
      <c r="G278" s="2019"/>
      <c r="H278" s="1262"/>
      <c r="I278" s="9"/>
      <c r="M278" s="9"/>
      <c r="N278" s="5911"/>
      <c r="O278" s="1241"/>
      <c r="P278" s="1242"/>
      <c r="Q278" s="1242"/>
      <c r="R278" s="1242"/>
      <c r="S278" s="1243"/>
      <c r="T278" s="1242"/>
      <c r="V278" s="1256"/>
      <c r="W278" s="1234"/>
      <c r="X278" s="1234"/>
      <c r="Y278" s="1234"/>
      <c r="AA278" s="1256"/>
      <c r="AB278" s="1257"/>
      <c r="AC278" s="1261"/>
      <c r="AD278" s="1261"/>
      <c r="AF278" s="3">
        <v>1</v>
      </c>
    </row>
    <row r="279" spans="2:32" ht="30" customHeight="1">
      <c r="B279" s="5937"/>
      <c r="C279" s="176"/>
      <c r="D279" s="1262"/>
      <c r="E279" s="2018"/>
      <c r="F279" s="1262"/>
      <c r="G279" s="2019"/>
      <c r="H279" s="1262"/>
      <c r="I279" s="9"/>
      <c r="M279" s="9"/>
      <c r="N279" s="5911"/>
      <c r="O279" s="1241"/>
      <c r="P279" s="1242"/>
      <c r="Q279" s="1242"/>
      <c r="R279" s="1242"/>
      <c r="S279" s="1243"/>
      <c r="T279" s="1242"/>
      <c r="V279" s="1256"/>
      <c r="W279" s="1234"/>
      <c r="X279" s="1234"/>
      <c r="Y279" s="1234"/>
      <c r="AA279" s="1256"/>
      <c r="AB279" s="1257"/>
      <c r="AC279" s="1261"/>
      <c r="AD279" s="1261"/>
      <c r="AF279" s="3">
        <v>1</v>
      </c>
    </row>
    <row r="280" spans="2:32" ht="30" customHeight="1">
      <c r="B280" s="5937"/>
      <c r="C280" s="176"/>
      <c r="D280" s="1262"/>
      <c r="E280" s="2018"/>
      <c r="F280" s="1262"/>
      <c r="G280" s="2019"/>
      <c r="H280" s="1262"/>
      <c r="I280" s="9"/>
      <c r="M280" s="9"/>
      <c r="N280" s="5911"/>
      <c r="O280" s="1241"/>
      <c r="P280" s="1242"/>
      <c r="Q280" s="1242"/>
      <c r="R280" s="1242"/>
      <c r="S280" s="1243"/>
      <c r="T280" s="1242"/>
      <c r="V280" s="1256"/>
      <c r="W280" s="1234"/>
      <c r="X280" s="1234"/>
      <c r="Y280" s="1234"/>
      <c r="AA280" s="1256"/>
      <c r="AB280" s="1257"/>
      <c r="AC280" s="1261"/>
      <c r="AD280" s="1261"/>
      <c r="AF280" s="3">
        <v>1</v>
      </c>
    </row>
    <row r="281" spans="2:32" ht="30" customHeight="1">
      <c r="B281" s="5937"/>
      <c r="C281" s="176"/>
      <c r="D281" s="1262"/>
      <c r="E281" s="2018"/>
      <c r="F281" s="1262"/>
      <c r="G281" s="2019"/>
      <c r="H281" s="1262"/>
      <c r="I281" s="9"/>
      <c r="M281" s="9"/>
      <c r="N281" s="5911"/>
      <c r="O281" s="1241"/>
      <c r="P281" s="1242"/>
      <c r="Q281" s="1242"/>
      <c r="R281" s="1242"/>
      <c r="S281" s="1243"/>
      <c r="T281" s="1242"/>
      <c r="V281" s="1256"/>
      <c r="W281" s="1234"/>
      <c r="X281" s="1234"/>
      <c r="Y281" s="1234"/>
      <c r="AA281" s="1256"/>
      <c r="AB281" s="1257"/>
      <c r="AC281" s="1261"/>
      <c r="AD281" s="1261"/>
      <c r="AF281" s="3">
        <v>1</v>
      </c>
    </row>
    <row r="282" spans="2:32" ht="30" customHeight="1">
      <c r="B282" s="5937"/>
      <c r="C282" s="176"/>
      <c r="D282" s="1262"/>
      <c r="E282" s="2018"/>
      <c r="F282" s="1262"/>
      <c r="G282" s="2019"/>
      <c r="H282" s="1262"/>
      <c r="I282" s="9"/>
      <c r="M282" s="9"/>
      <c r="N282" s="5911"/>
      <c r="O282" s="1241"/>
      <c r="P282" s="1242"/>
      <c r="Q282" s="1242"/>
      <c r="R282" s="1242"/>
      <c r="S282" s="1243"/>
      <c r="T282" s="1242"/>
      <c r="V282" s="1256"/>
      <c r="W282" s="1234"/>
      <c r="X282" s="1234"/>
      <c r="Y282" s="1234"/>
      <c r="AA282" s="1256"/>
      <c r="AB282" s="1257"/>
      <c r="AC282" s="1261"/>
      <c r="AD282" s="1261"/>
      <c r="AF282" s="3">
        <v>1</v>
      </c>
    </row>
    <row r="283" spans="2:32" ht="30" customHeight="1">
      <c r="B283" s="5937"/>
      <c r="C283" s="176"/>
      <c r="D283" s="1262"/>
      <c r="E283" s="2018"/>
      <c r="F283" s="1262"/>
      <c r="G283" s="2019"/>
      <c r="H283" s="1262"/>
      <c r="I283" s="9"/>
      <c r="M283" s="9"/>
      <c r="N283" s="5911"/>
      <c r="O283" s="1241"/>
      <c r="P283" s="1242"/>
      <c r="Q283" s="1242"/>
      <c r="R283" s="1242"/>
      <c r="S283" s="1243"/>
      <c r="T283" s="1242"/>
      <c r="V283" s="1256"/>
      <c r="W283" s="1234"/>
      <c r="X283" s="1234"/>
      <c r="Y283" s="1234"/>
      <c r="AA283" s="1256"/>
      <c r="AB283" s="1257"/>
      <c r="AC283" s="1261"/>
      <c r="AD283" s="1261"/>
      <c r="AF283" s="3">
        <v>1</v>
      </c>
    </row>
    <row r="284" spans="2:32" ht="30" customHeight="1">
      <c r="B284" s="5937"/>
      <c r="C284" s="176"/>
      <c r="D284" s="1262"/>
      <c r="E284" s="2018"/>
      <c r="F284" s="1262"/>
      <c r="G284" s="2019"/>
      <c r="H284" s="1262"/>
      <c r="I284" s="9"/>
      <c r="M284" s="9"/>
      <c r="N284" s="5911"/>
      <c r="O284" s="1241"/>
      <c r="P284" s="1242"/>
      <c r="Q284" s="1242"/>
      <c r="R284" s="1242"/>
      <c r="S284" s="1243"/>
      <c r="T284" s="1242"/>
      <c r="V284" s="1256"/>
      <c r="W284" s="1234"/>
      <c r="X284" s="1234"/>
      <c r="Y284" s="1234"/>
      <c r="AA284" s="1256"/>
      <c r="AB284" s="1257"/>
      <c r="AC284" s="1261"/>
      <c r="AD284" s="1261"/>
      <c r="AF284" s="3">
        <v>1</v>
      </c>
    </row>
    <row r="285" spans="2:32" ht="30" customHeight="1">
      <c r="B285" s="5937"/>
      <c r="C285" s="176"/>
      <c r="D285" s="1262"/>
      <c r="E285" s="2018"/>
      <c r="F285" s="1262"/>
      <c r="G285" s="2019"/>
      <c r="H285" s="1262"/>
      <c r="I285" s="9"/>
      <c r="M285" s="9"/>
      <c r="N285" s="5911"/>
      <c r="O285" s="1241"/>
      <c r="P285" s="1242"/>
      <c r="Q285" s="1242"/>
      <c r="R285" s="1242"/>
      <c r="S285" s="1243"/>
      <c r="T285" s="1242"/>
      <c r="V285" s="1256"/>
      <c r="W285" s="1234"/>
      <c r="X285" s="1234"/>
      <c r="Y285" s="1234"/>
      <c r="AA285" s="1256"/>
      <c r="AB285" s="1257"/>
      <c r="AC285" s="1261"/>
      <c r="AD285" s="1261"/>
      <c r="AF285" s="3">
        <v>1</v>
      </c>
    </row>
    <row r="286" spans="2:32" ht="30" customHeight="1">
      <c r="B286" s="5937"/>
      <c r="C286" s="176"/>
      <c r="D286" s="1262"/>
      <c r="E286" s="2018"/>
      <c r="F286" s="1262"/>
      <c r="G286" s="2019"/>
      <c r="H286" s="1262"/>
      <c r="I286" s="9"/>
      <c r="M286" s="9"/>
      <c r="N286" s="5911"/>
      <c r="O286" s="1241"/>
      <c r="P286" s="1242"/>
      <c r="Q286" s="1242"/>
      <c r="R286" s="1242"/>
      <c r="S286" s="1243"/>
      <c r="T286" s="1242"/>
      <c r="V286" s="1256"/>
      <c r="W286" s="1234"/>
      <c r="X286" s="1234"/>
      <c r="Y286" s="1234"/>
      <c r="AA286" s="1256"/>
      <c r="AB286" s="1257"/>
      <c r="AC286" s="1261"/>
      <c r="AD286" s="1261"/>
      <c r="AF286" s="3">
        <v>1</v>
      </c>
    </row>
    <row r="287" spans="2:32" ht="30" customHeight="1">
      <c r="B287" s="5937"/>
      <c r="C287" s="176"/>
      <c r="D287" s="1262"/>
      <c r="E287" s="2018"/>
      <c r="F287" s="1262"/>
      <c r="G287" s="2019"/>
      <c r="H287" s="1262"/>
      <c r="I287" s="9"/>
      <c r="M287" s="9"/>
      <c r="N287" s="5911"/>
      <c r="O287" s="1241"/>
      <c r="P287" s="1242"/>
      <c r="Q287" s="1242"/>
      <c r="R287" s="1242"/>
      <c r="S287" s="1243"/>
      <c r="T287" s="1242"/>
      <c r="V287" s="1256"/>
      <c r="W287" s="1234"/>
      <c r="X287" s="1234"/>
      <c r="Y287" s="1234"/>
      <c r="AA287" s="1256"/>
      <c r="AB287" s="1257"/>
      <c r="AC287" s="1261"/>
      <c r="AD287" s="1261"/>
      <c r="AF287" s="3">
        <v>1</v>
      </c>
    </row>
    <row r="288" spans="2:32" ht="30" customHeight="1">
      <c r="B288" s="5937"/>
      <c r="C288" s="176"/>
      <c r="D288" s="1262"/>
      <c r="E288" s="2018"/>
      <c r="F288" s="1262"/>
      <c r="G288" s="2019"/>
      <c r="H288" s="1262"/>
      <c r="I288" s="9"/>
      <c r="M288" s="9"/>
      <c r="N288" s="5911"/>
      <c r="O288" s="1241"/>
      <c r="P288" s="1242"/>
      <c r="Q288" s="1242"/>
      <c r="R288" s="1242"/>
      <c r="S288" s="1243"/>
      <c r="T288" s="1242"/>
      <c r="V288" s="1256"/>
      <c r="W288" s="1234"/>
      <c r="X288" s="1234"/>
      <c r="Y288" s="1234"/>
      <c r="AA288" s="1256"/>
      <c r="AB288" s="1257"/>
      <c r="AC288" s="1261"/>
      <c r="AD288" s="1261"/>
      <c r="AF288" s="3">
        <v>1</v>
      </c>
    </row>
    <row r="289" spans="2:32" ht="30" customHeight="1">
      <c r="B289" s="5937"/>
      <c r="C289" s="176"/>
      <c r="D289" s="1262"/>
      <c r="E289" s="2018"/>
      <c r="F289" s="1262"/>
      <c r="G289" s="2019"/>
      <c r="H289" s="1262"/>
      <c r="I289" s="9"/>
      <c r="M289" s="9"/>
      <c r="N289" s="5911"/>
      <c r="O289" s="1241"/>
      <c r="P289" s="1242"/>
      <c r="Q289" s="1242"/>
      <c r="R289" s="1242"/>
      <c r="S289" s="1243"/>
      <c r="T289" s="1242"/>
      <c r="V289" s="1256"/>
      <c r="W289" s="1234"/>
      <c r="X289" s="1234"/>
      <c r="Y289" s="1234"/>
      <c r="AA289" s="1256"/>
      <c r="AB289" s="1257"/>
      <c r="AC289" s="1261"/>
      <c r="AD289" s="1261"/>
      <c r="AF289" s="3">
        <v>1</v>
      </c>
    </row>
    <row r="290" spans="2:32" ht="30" customHeight="1">
      <c r="B290" s="5937"/>
      <c r="C290" s="176"/>
      <c r="D290" s="1262"/>
      <c r="E290" s="2018"/>
      <c r="F290" s="1262"/>
      <c r="G290" s="2019"/>
      <c r="H290" s="1262"/>
      <c r="I290" s="9"/>
      <c r="M290" s="9"/>
      <c r="N290" s="5911"/>
      <c r="O290" s="1241"/>
      <c r="P290" s="1242"/>
      <c r="Q290" s="1242"/>
      <c r="R290" s="1242"/>
      <c r="S290" s="1243"/>
      <c r="T290" s="1242"/>
      <c r="V290" s="1256"/>
      <c r="W290" s="1234"/>
      <c r="X290" s="1234"/>
      <c r="Y290" s="1234"/>
      <c r="AA290" s="1256"/>
      <c r="AB290" s="1257"/>
      <c r="AC290" s="1261"/>
      <c r="AD290" s="1261"/>
      <c r="AF290" s="3">
        <v>1</v>
      </c>
    </row>
    <row r="291" spans="2:32" ht="30" customHeight="1">
      <c r="B291" s="5937"/>
      <c r="C291" s="176"/>
      <c r="D291" s="1262"/>
      <c r="E291" s="2018"/>
      <c r="F291" s="1262"/>
      <c r="G291" s="2019"/>
      <c r="H291" s="1262"/>
      <c r="I291" s="9"/>
      <c r="M291" s="9"/>
      <c r="N291" s="5911"/>
      <c r="O291" s="1241"/>
      <c r="P291" s="1242"/>
      <c r="Q291" s="1242"/>
      <c r="R291" s="1242"/>
      <c r="S291" s="1243"/>
      <c r="T291" s="1242"/>
      <c r="V291" s="1256"/>
      <c r="W291" s="1234"/>
      <c r="X291" s="1234"/>
      <c r="Y291" s="1234"/>
      <c r="AA291" s="1256"/>
      <c r="AB291" s="1257"/>
      <c r="AC291" s="1261"/>
      <c r="AD291" s="1261"/>
      <c r="AF291" s="3">
        <v>1</v>
      </c>
    </row>
    <row r="292" spans="2:32" ht="30" customHeight="1">
      <c r="B292" s="5937"/>
      <c r="C292" s="176"/>
      <c r="D292" s="1262"/>
      <c r="E292" s="2018"/>
      <c r="F292" s="1262"/>
      <c r="G292" s="2019"/>
      <c r="H292" s="1262"/>
      <c r="I292" s="9"/>
      <c r="M292" s="9"/>
      <c r="N292" s="5911"/>
      <c r="O292" s="1241"/>
      <c r="P292" s="1242"/>
      <c r="Q292" s="1242"/>
      <c r="R292" s="1242"/>
      <c r="S292" s="1243"/>
      <c r="T292" s="1242"/>
      <c r="V292" s="1256"/>
      <c r="W292" s="1234"/>
      <c r="X292" s="1234"/>
      <c r="Y292" s="1234"/>
      <c r="AA292" s="1256"/>
      <c r="AB292" s="1257"/>
      <c r="AC292" s="1261"/>
      <c r="AD292" s="1261"/>
      <c r="AF292" s="3">
        <v>1</v>
      </c>
    </row>
    <row r="293" spans="2:32" ht="30" customHeight="1">
      <c r="B293" s="5937"/>
      <c r="C293" s="176"/>
      <c r="D293" s="1262"/>
      <c r="E293" s="2018"/>
      <c r="F293" s="1262"/>
      <c r="G293" s="2019"/>
      <c r="H293" s="1262"/>
      <c r="I293" s="9"/>
      <c r="M293" s="9"/>
      <c r="N293" s="5911"/>
      <c r="O293" s="1241"/>
      <c r="P293" s="1242"/>
      <c r="Q293" s="1242"/>
      <c r="R293" s="1242"/>
      <c r="S293" s="1243"/>
      <c r="T293" s="1242"/>
      <c r="V293" s="1256"/>
      <c r="W293" s="1234"/>
      <c r="X293" s="1234"/>
      <c r="Y293" s="1234"/>
      <c r="AA293" s="1256"/>
      <c r="AB293" s="1257"/>
      <c r="AC293" s="1261"/>
      <c r="AD293" s="1261"/>
      <c r="AF293" s="3">
        <v>1</v>
      </c>
    </row>
    <row r="294" spans="2:32" ht="30" customHeight="1">
      <c r="B294" s="5937"/>
      <c r="C294" s="176"/>
      <c r="D294" s="1262"/>
      <c r="E294" s="2018"/>
      <c r="F294" s="1262"/>
      <c r="G294" s="2019"/>
      <c r="H294" s="1262"/>
      <c r="I294" s="9"/>
      <c r="M294" s="9"/>
      <c r="N294" s="5911"/>
      <c r="O294" s="1241"/>
      <c r="P294" s="1242"/>
      <c r="Q294" s="1242"/>
      <c r="R294" s="1242"/>
      <c r="S294" s="1243"/>
      <c r="T294" s="1242"/>
      <c r="V294" s="1256"/>
      <c r="W294" s="1234"/>
      <c r="X294" s="1234"/>
      <c r="Y294" s="1234"/>
      <c r="AA294" s="1256"/>
      <c r="AB294" s="1257"/>
      <c r="AC294" s="1261"/>
      <c r="AD294" s="1261"/>
      <c r="AF294" s="3">
        <v>1</v>
      </c>
    </row>
    <row r="295" spans="2:32" ht="30" customHeight="1">
      <c r="B295" s="5937"/>
      <c r="C295" s="176"/>
      <c r="D295" s="1262"/>
      <c r="E295" s="2018"/>
      <c r="F295" s="1262"/>
      <c r="G295" s="2019"/>
      <c r="H295" s="1262"/>
      <c r="I295" s="9"/>
      <c r="M295" s="9"/>
      <c r="N295" s="5911"/>
      <c r="O295" s="1241"/>
      <c r="P295" s="1242"/>
      <c r="Q295" s="1242"/>
      <c r="R295" s="1242"/>
      <c r="S295" s="1243"/>
      <c r="T295" s="1242"/>
      <c r="V295" s="1256"/>
      <c r="W295" s="1234"/>
      <c r="X295" s="1234"/>
      <c r="Y295" s="1234"/>
      <c r="AA295" s="1256"/>
      <c r="AB295" s="1257"/>
      <c r="AC295" s="1261"/>
      <c r="AD295" s="1261"/>
      <c r="AF295" s="3">
        <v>1</v>
      </c>
    </row>
    <row r="296" spans="2:32" ht="30" customHeight="1">
      <c r="B296" s="5937"/>
      <c r="C296" s="176"/>
      <c r="D296" s="1262"/>
      <c r="E296" s="2018"/>
      <c r="F296" s="1262"/>
      <c r="G296" s="2019"/>
      <c r="H296" s="1262"/>
      <c r="I296" s="9"/>
      <c r="M296" s="9"/>
      <c r="N296" s="5911"/>
      <c r="O296" s="1241"/>
      <c r="P296" s="1242"/>
      <c r="Q296" s="1242"/>
      <c r="R296" s="1242"/>
      <c r="S296" s="1243"/>
      <c r="T296" s="1242"/>
      <c r="V296" s="1256"/>
      <c r="W296" s="1234"/>
      <c r="X296" s="1234"/>
      <c r="Y296" s="1234"/>
      <c r="AA296" s="1256"/>
      <c r="AB296" s="1257"/>
      <c r="AC296" s="1261"/>
      <c r="AD296" s="1261"/>
      <c r="AF296" s="3">
        <v>1</v>
      </c>
    </row>
    <row r="297" spans="2:32" ht="30" customHeight="1">
      <c r="B297" s="5937"/>
      <c r="C297" s="176"/>
      <c r="D297" s="1262"/>
      <c r="E297" s="2018"/>
      <c r="F297" s="1262"/>
      <c r="G297" s="2019"/>
      <c r="H297" s="1262"/>
      <c r="I297" s="9"/>
      <c r="M297" s="9"/>
      <c r="N297" s="5911"/>
      <c r="O297" s="1241"/>
      <c r="P297" s="1242"/>
      <c r="Q297" s="1242"/>
      <c r="R297" s="1242"/>
      <c r="S297" s="1243"/>
      <c r="T297" s="1242"/>
      <c r="V297" s="1256"/>
      <c r="W297" s="1291"/>
      <c r="X297" s="1239"/>
      <c r="Y297" s="1239"/>
      <c r="AA297" s="1256"/>
      <c r="AB297" s="1257"/>
      <c r="AC297" s="1261"/>
      <c r="AD297" s="1261"/>
      <c r="AF297" s="3">
        <v>1</v>
      </c>
    </row>
    <row r="298" spans="2:32" ht="30" customHeight="1">
      <c r="B298" s="5937"/>
      <c r="C298" s="176"/>
      <c r="D298" s="1262"/>
      <c r="E298" s="2018"/>
      <c r="F298" s="1262"/>
      <c r="G298" s="2019"/>
      <c r="H298" s="1262"/>
      <c r="I298" s="9"/>
      <c r="M298" s="9"/>
      <c r="N298" s="5911"/>
      <c r="O298" s="1241"/>
      <c r="P298" s="1242"/>
      <c r="Q298" s="1242"/>
      <c r="R298" s="1242"/>
      <c r="S298" s="1243"/>
      <c r="T298" s="1242"/>
      <c r="V298" s="1256"/>
      <c r="W298" s="1291"/>
      <c r="X298" s="1239"/>
      <c r="Y298" s="1239"/>
      <c r="AA298" s="1256"/>
      <c r="AB298" s="1257"/>
      <c r="AC298" s="1261"/>
      <c r="AD298" s="1261"/>
      <c r="AF298" s="3">
        <v>1</v>
      </c>
    </row>
    <row r="299" spans="2:32" ht="30" customHeight="1">
      <c r="B299" s="5937"/>
      <c r="C299" s="176"/>
      <c r="D299" s="1262"/>
      <c r="E299" s="2018"/>
      <c r="F299" s="1262"/>
      <c r="G299" s="2019"/>
      <c r="H299" s="1262"/>
      <c r="I299" s="9"/>
      <c r="M299" s="9"/>
      <c r="N299" s="5911"/>
      <c r="O299" s="1241"/>
      <c r="P299" s="1242"/>
      <c r="Q299" s="1242"/>
      <c r="R299" s="1242"/>
      <c r="S299" s="1243"/>
      <c r="T299" s="1242"/>
      <c r="V299" s="1256"/>
      <c r="W299" s="1291"/>
      <c r="X299" s="1239"/>
      <c r="Y299" s="1239"/>
      <c r="AA299" s="1256"/>
      <c r="AB299" s="1257"/>
      <c r="AC299" s="1261"/>
      <c r="AD299" s="1261"/>
      <c r="AF299" s="3">
        <v>1</v>
      </c>
    </row>
    <row r="300" spans="2:32" ht="30" customHeight="1">
      <c r="B300" s="5937"/>
      <c r="C300" s="176"/>
      <c r="D300" s="1262"/>
      <c r="E300" s="2018"/>
      <c r="F300" s="1262"/>
      <c r="G300" s="2019"/>
      <c r="H300" s="1262"/>
      <c r="I300" s="9"/>
      <c r="M300" s="9"/>
      <c r="N300" s="5911"/>
      <c r="O300" s="1241"/>
      <c r="P300" s="1242"/>
      <c r="Q300" s="1242"/>
      <c r="R300" s="1242"/>
      <c r="S300" s="1243"/>
      <c r="T300" s="1242"/>
      <c r="V300" s="1256"/>
      <c r="W300" s="1291"/>
      <c r="X300" s="1239"/>
      <c r="Y300" s="1239"/>
      <c r="AA300" s="1256"/>
      <c r="AB300" s="1257"/>
      <c r="AC300" s="1261"/>
      <c r="AD300" s="1261"/>
      <c r="AF300" s="3">
        <v>1</v>
      </c>
    </row>
    <row r="301" spans="2:32" ht="30" customHeight="1">
      <c r="B301" s="5937"/>
      <c r="C301" s="176"/>
      <c r="D301" s="1262"/>
      <c r="E301" s="2018"/>
      <c r="F301" s="1262"/>
      <c r="G301" s="2019"/>
      <c r="H301" s="1262"/>
      <c r="I301" s="9"/>
      <c r="M301" s="9"/>
      <c r="N301" s="5911"/>
      <c r="O301" s="1241"/>
      <c r="P301" s="1242"/>
      <c r="Q301" s="1242"/>
      <c r="R301" s="1242"/>
      <c r="S301" s="1243"/>
      <c r="T301" s="1242"/>
      <c r="V301" s="1256"/>
      <c r="W301" s="1291"/>
      <c r="X301" s="1239"/>
      <c r="Y301" s="1239"/>
      <c r="AA301" s="1256"/>
      <c r="AB301" s="1257"/>
      <c r="AC301" s="1261"/>
      <c r="AD301" s="1261"/>
      <c r="AF301" s="3">
        <v>1</v>
      </c>
    </row>
    <row r="302" spans="2:32" ht="30" customHeight="1">
      <c r="B302" s="5937"/>
      <c r="C302" s="176"/>
      <c r="D302" s="1262"/>
      <c r="E302" s="2018"/>
      <c r="F302" s="1262"/>
      <c r="G302" s="2019"/>
      <c r="H302" s="1262"/>
      <c r="I302" s="9"/>
      <c r="M302" s="9"/>
      <c r="N302" s="5911"/>
      <c r="O302" s="1241"/>
      <c r="P302" s="1242"/>
      <c r="Q302" s="1242"/>
      <c r="R302" s="1242"/>
      <c r="S302" s="1243"/>
      <c r="T302" s="1242"/>
      <c r="V302" s="1256"/>
      <c r="W302" s="1291"/>
      <c r="X302" s="1239"/>
      <c r="Y302" s="1239"/>
      <c r="AA302" s="1256"/>
      <c r="AB302" s="1257"/>
      <c r="AC302" s="1261"/>
      <c r="AD302" s="1261"/>
      <c r="AF302" s="3">
        <v>1</v>
      </c>
    </row>
    <row r="303" spans="2:32" ht="30" customHeight="1">
      <c r="B303" s="5937"/>
      <c r="C303" s="176"/>
      <c r="D303" s="1262"/>
      <c r="E303" s="2018"/>
      <c r="F303" s="1262"/>
      <c r="G303" s="2019"/>
      <c r="H303" s="1262"/>
      <c r="I303" s="9"/>
      <c r="M303" s="9"/>
      <c r="N303" s="5911"/>
      <c r="O303" s="1241"/>
      <c r="P303" s="1242"/>
      <c r="Q303" s="1242"/>
      <c r="R303" s="1242"/>
      <c r="S303" s="1243"/>
      <c r="T303" s="1242"/>
      <c r="V303" s="1256"/>
      <c r="W303" s="1291"/>
      <c r="X303" s="1239"/>
      <c r="Y303" s="1239"/>
      <c r="AA303" s="1256"/>
      <c r="AB303" s="1257"/>
      <c r="AC303" s="1261"/>
      <c r="AD303" s="1261"/>
      <c r="AF303" s="3">
        <v>1</v>
      </c>
    </row>
    <row r="304" spans="2:32" ht="30" customHeight="1">
      <c r="B304" s="5937"/>
      <c r="C304" s="176"/>
      <c r="D304" s="1262"/>
      <c r="E304" s="2018"/>
      <c r="F304" s="1262"/>
      <c r="G304" s="2019"/>
      <c r="H304" s="1262"/>
      <c r="I304" s="9"/>
      <c r="M304" s="9"/>
      <c r="N304" s="5911"/>
      <c r="O304" s="1241"/>
      <c r="P304" s="1242"/>
      <c r="Q304" s="1242"/>
      <c r="R304" s="1242"/>
      <c r="S304" s="1243"/>
      <c r="T304" s="1242"/>
      <c r="V304" s="1256"/>
      <c r="W304" s="1291"/>
      <c r="X304" s="1239"/>
      <c r="Y304" s="1239"/>
      <c r="AA304" s="1256"/>
      <c r="AB304" s="1257"/>
      <c r="AC304" s="1261"/>
      <c r="AD304" s="1261"/>
      <c r="AF304" s="3">
        <v>1</v>
      </c>
    </row>
    <row r="305" spans="2:32" ht="30" customHeight="1">
      <c r="B305" s="5937"/>
      <c r="C305" s="176"/>
      <c r="D305" s="1262"/>
      <c r="E305" s="2018"/>
      <c r="F305" s="1262"/>
      <c r="G305" s="2019"/>
      <c r="H305" s="1262"/>
      <c r="I305" s="9"/>
      <c r="M305" s="9"/>
      <c r="N305" s="5911"/>
      <c r="O305" s="1241"/>
      <c r="P305" s="1242"/>
      <c r="Q305" s="1242"/>
      <c r="R305" s="1242"/>
      <c r="S305" s="1243"/>
      <c r="T305" s="1242"/>
      <c r="V305" s="1256"/>
      <c r="W305" s="1291"/>
      <c r="X305" s="1239"/>
      <c r="Y305" s="1239"/>
      <c r="AA305" s="1256"/>
      <c r="AB305" s="1257"/>
      <c r="AC305" s="1261"/>
      <c r="AD305" s="1261"/>
      <c r="AF305" s="3">
        <v>1</v>
      </c>
    </row>
    <row r="306" spans="2:32" ht="30" customHeight="1">
      <c r="B306" s="5937"/>
      <c r="C306" s="176"/>
      <c r="D306" s="1262"/>
      <c r="E306" s="2018"/>
      <c r="F306" s="1262"/>
      <c r="G306" s="2019"/>
      <c r="H306" s="1262"/>
      <c r="I306" s="9"/>
      <c r="M306" s="9"/>
      <c r="N306" s="5911"/>
      <c r="O306" s="1241"/>
      <c r="P306" s="1242"/>
      <c r="Q306" s="1242"/>
      <c r="R306" s="1242"/>
      <c r="S306" s="1243"/>
      <c r="T306" s="1242"/>
      <c r="V306" s="1256"/>
      <c r="W306" s="1291"/>
      <c r="X306" s="1239"/>
      <c r="Y306" s="1239"/>
      <c r="AA306" s="1256"/>
      <c r="AB306" s="1257"/>
      <c r="AC306" s="1261"/>
      <c r="AD306" s="1261"/>
      <c r="AF306" s="3">
        <v>1</v>
      </c>
    </row>
    <row r="307" spans="2:32" ht="30" customHeight="1">
      <c r="B307" s="5937"/>
      <c r="C307" s="176"/>
      <c r="D307" s="1262"/>
      <c r="E307" s="2018"/>
      <c r="F307" s="1262"/>
      <c r="G307" s="2019"/>
      <c r="H307" s="1262"/>
      <c r="I307" s="9"/>
      <c r="M307" s="9"/>
      <c r="N307" s="5911"/>
      <c r="O307" s="1241"/>
      <c r="P307" s="1242"/>
      <c r="Q307" s="1242"/>
      <c r="R307" s="1242"/>
      <c r="S307" s="1243"/>
      <c r="T307" s="1242"/>
      <c r="V307" s="1256"/>
      <c r="W307" s="1291"/>
      <c r="X307" s="1239"/>
      <c r="Y307" s="1239"/>
      <c r="AA307" s="1256"/>
      <c r="AB307" s="1257"/>
      <c r="AC307" s="1261"/>
      <c r="AD307" s="1261"/>
      <c r="AF307" s="3">
        <v>1</v>
      </c>
    </row>
    <row r="308" spans="2:32" ht="30" customHeight="1">
      <c r="B308" s="5937"/>
      <c r="C308" s="176"/>
      <c r="D308" s="1262"/>
      <c r="E308" s="2018"/>
      <c r="F308" s="1262"/>
      <c r="G308" s="2019"/>
      <c r="H308" s="1262"/>
      <c r="I308" s="9"/>
      <c r="M308" s="9"/>
      <c r="N308" s="5911"/>
      <c r="O308" s="1241"/>
      <c r="P308" s="1242"/>
      <c r="Q308" s="1242"/>
      <c r="R308" s="1242"/>
      <c r="S308" s="1243"/>
      <c r="T308" s="1242"/>
      <c r="V308" s="1256"/>
      <c r="W308" s="1291"/>
      <c r="X308" s="1239"/>
      <c r="Y308" s="1239"/>
      <c r="AA308" s="1256"/>
      <c r="AB308" s="1257"/>
      <c r="AC308" s="1261"/>
      <c r="AD308" s="1261"/>
      <c r="AF308" s="3">
        <v>1</v>
      </c>
    </row>
    <row r="309" spans="2:32" ht="30" customHeight="1">
      <c r="B309" s="5937"/>
      <c r="C309" s="176"/>
      <c r="D309" s="1262"/>
      <c r="E309" s="2018"/>
      <c r="F309" s="1262"/>
      <c r="G309" s="2019"/>
      <c r="H309" s="1262"/>
      <c r="I309" s="9"/>
      <c r="M309" s="9"/>
      <c r="N309" s="5911"/>
      <c r="O309" s="1241"/>
      <c r="P309" s="1242"/>
      <c r="Q309" s="1242"/>
      <c r="R309" s="1242"/>
      <c r="S309" s="1243"/>
      <c r="T309" s="1242"/>
      <c r="V309" s="1256"/>
      <c r="W309" s="1291"/>
      <c r="X309" s="1239"/>
      <c r="Y309" s="1239"/>
      <c r="AA309" s="1256"/>
      <c r="AB309" s="1257"/>
      <c r="AC309" s="1261"/>
      <c r="AD309" s="1261"/>
      <c r="AF309" s="3">
        <v>1</v>
      </c>
    </row>
    <row r="310" spans="2:32" ht="30" customHeight="1">
      <c r="B310" s="5937"/>
      <c r="C310" s="176"/>
      <c r="D310" s="1262"/>
      <c r="E310" s="2018"/>
      <c r="F310" s="1262"/>
      <c r="G310" s="2019"/>
      <c r="H310" s="1262"/>
      <c r="I310" s="9"/>
      <c r="M310" s="9"/>
      <c r="N310" s="5911"/>
      <c r="O310" s="1241"/>
      <c r="P310" s="1242"/>
      <c r="Q310" s="1242"/>
      <c r="R310" s="1242"/>
      <c r="S310" s="1243"/>
      <c r="T310" s="1242"/>
      <c r="V310" s="1256"/>
      <c r="W310" s="1291"/>
      <c r="X310" s="1239"/>
      <c r="Y310" s="1239"/>
      <c r="AA310" s="1256"/>
      <c r="AB310" s="1257"/>
      <c r="AC310" s="1261"/>
      <c r="AD310" s="1261"/>
      <c r="AF310" s="3">
        <v>1</v>
      </c>
    </row>
    <row r="311" spans="2:32" ht="30" customHeight="1">
      <c r="B311" s="5937"/>
      <c r="C311" s="176"/>
      <c r="D311" s="1262"/>
      <c r="E311" s="2018"/>
      <c r="F311" s="1262"/>
      <c r="G311" s="2019"/>
      <c r="H311" s="1262"/>
      <c r="I311" s="9"/>
      <c r="M311" s="9"/>
      <c r="N311" s="5911"/>
      <c r="O311" s="1241"/>
      <c r="P311" s="1242"/>
      <c r="Q311" s="1242"/>
      <c r="R311" s="1242"/>
      <c r="S311" s="1243"/>
      <c r="T311" s="1242"/>
      <c r="V311" s="1256"/>
      <c r="W311" s="1291"/>
      <c r="X311" s="1239"/>
      <c r="Y311" s="1239"/>
      <c r="AA311" s="1256"/>
      <c r="AB311" s="1257"/>
      <c r="AC311" s="1261"/>
      <c r="AD311" s="1261"/>
      <c r="AF311" s="3">
        <v>1</v>
      </c>
    </row>
    <row r="312" spans="2:32" ht="30" customHeight="1">
      <c r="B312" s="5937"/>
      <c r="C312" s="176"/>
      <c r="D312" s="1262"/>
      <c r="E312" s="2018"/>
      <c r="F312" s="1262"/>
      <c r="G312" s="2019"/>
      <c r="H312" s="1262"/>
      <c r="I312" s="9"/>
      <c r="M312" s="9"/>
      <c r="N312" s="5911"/>
      <c r="O312" s="1241"/>
      <c r="P312" s="1242"/>
      <c r="Q312" s="1242"/>
      <c r="R312" s="1242"/>
      <c r="S312" s="1243"/>
      <c r="T312" s="1242"/>
      <c r="V312" s="1256"/>
      <c r="W312" s="1291"/>
      <c r="X312" s="1239"/>
      <c r="Y312" s="1239"/>
      <c r="AA312" s="1256"/>
      <c r="AB312" s="1257"/>
      <c r="AC312" s="1261"/>
      <c r="AD312" s="1261"/>
      <c r="AF312" s="3">
        <v>1</v>
      </c>
    </row>
    <row r="313" spans="2:32" ht="30" customHeight="1">
      <c r="B313" s="5937"/>
      <c r="C313" s="176"/>
      <c r="D313" s="1262"/>
      <c r="E313" s="2018"/>
      <c r="F313" s="1262"/>
      <c r="G313" s="2019"/>
      <c r="H313" s="1262"/>
      <c r="I313" s="9"/>
      <c r="M313" s="9"/>
      <c r="N313" s="5911"/>
      <c r="O313" s="1241"/>
      <c r="P313" s="1242"/>
      <c r="Q313" s="1242"/>
      <c r="R313" s="1242"/>
      <c r="S313" s="1243"/>
      <c r="T313" s="1242"/>
      <c r="V313" s="1256"/>
      <c r="W313" s="1291"/>
      <c r="X313" s="1239"/>
      <c r="Y313" s="1239"/>
      <c r="AA313" s="1256"/>
      <c r="AB313" s="1257"/>
      <c r="AC313" s="1261"/>
      <c r="AD313" s="1261"/>
      <c r="AF313" s="3">
        <v>1</v>
      </c>
    </row>
    <row r="314" spans="2:32" ht="30" customHeight="1">
      <c r="B314" s="5937"/>
      <c r="C314" s="176"/>
      <c r="D314" s="1262"/>
      <c r="E314" s="2018"/>
      <c r="F314" s="1262"/>
      <c r="G314" s="2019"/>
      <c r="H314" s="1262"/>
      <c r="I314" s="9"/>
      <c r="M314" s="9"/>
      <c r="N314" s="5911"/>
      <c r="O314" s="1241"/>
      <c r="P314" s="1242"/>
      <c r="Q314" s="1242"/>
      <c r="R314" s="1242"/>
      <c r="S314" s="1243"/>
      <c r="T314" s="1242"/>
      <c r="V314" s="1256"/>
      <c r="W314" s="1291"/>
      <c r="X314" s="1239"/>
      <c r="Y314" s="1239"/>
      <c r="AA314" s="1256"/>
      <c r="AB314" s="1257"/>
      <c r="AC314" s="1261"/>
      <c r="AD314" s="1261"/>
      <c r="AF314" s="3">
        <v>1</v>
      </c>
    </row>
    <row r="315" spans="2:32" ht="30" customHeight="1">
      <c r="B315" s="5937"/>
      <c r="C315" s="176"/>
      <c r="D315" s="1262"/>
      <c r="E315" s="2018"/>
      <c r="F315" s="1262"/>
      <c r="G315" s="2019"/>
      <c r="H315" s="1262"/>
      <c r="I315" s="9"/>
      <c r="M315" s="9"/>
      <c r="N315" s="5911"/>
      <c r="O315" s="1241"/>
      <c r="P315" s="1242"/>
      <c r="Q315" s="1242"/>
      <c r="R315" s="1242"/>
      <c r="S315" s="1243"/>
      <c r="T315" s="1242"/>
      <c r="V315" s="1256"/>
      <c r="W315" s="1291"/>
      <c r="X315" s="1239"/>
      <c r="Y315" s="1239"/>
      <c r="AA315" s="1256"/>
      <c r="AB315" s="1257"/>
      <c r="AC315" s="1261"/>
      <c r="AD315" s="1261"/>
      <c r="AF315" s="3">
        <v>1</v>
      </c>
    </row>
    <row r="316" spans="2:32" ht="30" customHeight="1">
      <c r="B316" s="5937"/>
      <c r="C316" s="176"/>
      <c r="D316" s="1262"/>
      <c r="E316" s="2018"/>
      <c r="F316" s="1262"/>
      <c r="G316" s="2019"/>
      <c r="H316" s="1262"/>
      <c r="I316" s="9"/>
      <c r="M316" s="9"/>
      <c r="N316" s="5911"/>
      <c r="O316" s="1241"/>
      <c r="P316" s="1242"/>
      <c r="Q316" s="1242"/>
      <c r="R316" s="1242"/>
      <c r="S316" s="1243"/>
      <c r="T316" s="1242"/>
      <c r="V316" s="1256"/>
      <c r="W316" s="1291"/>
      <c r="X316" s="1239"/>
      <c r="Y316" s="1239"/>
      <c r="AA316" s="1256"/>
      <c r="AB316" s="1257"/>
      <c r="AC316" s="1261"/>
      <c r="AD316" s="1261"/>
      <c r="AF316" s="3">
        <v>1</v>
      </c>
    </row>
    <row r="317" spans="2:32" ht="30" customHeight="1">
      <c r="B317" s="5937"/>
      <c r="C317" s="176"/>
      <c r="D317" s="1262"/>
      <c r="E317" s="2018"/>
      <c r="F317" s="1262"/>
      <c r="G317" s="2019"/>
      <c r="H317" s="1262"/>
      <c r="I317" s="9"/>
      <c r="M317" s="9"/>
      <c r="N317" s="5911"/>
      <c r="O317" s="1241"/>
      <c r="P317" s="1242"/>
      <c r="Q317" s="1242"/>
      <c r="R317" s="1242"/>
      <c r="S317" s="1243"/>
      <c r="T317" s="1242"/>
      <c r="V317" s="1256"/>
      <c r="W317" s="1291"/>
      <c r="X317" s="1239"/>
      <c r="Y317" s="1239"/>
      <c r="AA317" s="1256"/>
      <c r="AB317" s="1257"/>
      <c r="AC317" s="1261"/>
      <c r="AD317" s="1261"/>
      <c r="AF317" s="3">
        <v>1</v>
      </c>
    </row>
    <row r="318" spans="2:32" ht="30" customHeight="1">
      <c r="B318" s="5937"/>
      <c r="C318" s="176"/>
      <c r="D318" s="1262"/>
      <c r="E318" s="2018"/>
      <c r="F318" s="1262"/>
      <c r="G318" s="2019"/>
      <c r="H318" s="1262"/>
      <c r="I318" s="9"/>
      <c r="M318" s="9"/>
      <c r="N318" s="5911"/>
      <c r="O318" s="1241"/>
      <c r="P318" s="1242"/>
      <c r="Q318" s="1242"/>
      <c r="R318" s="1242"/>
      <c r="S318" s="1243"/>
      <c r="T318" s="1242"/>
      <c r="V318" s="1256"/>
      <c r="W318" s="1291"/>
      <c r="X318" s="1239"/>
      <c r="Y318" s="1239"/>
      <c r="AA318" s="1256"/>
      <c r="AB318" s="1257"/>
      <c r="AC318" s="1261"/>
      <c r="AD318" s="1261"/>
      <c r="AF318" s="3">
        <v>1</v>
      </c>
    </row>
    <row r="319" spans="2:32" ht="30" customHeight="1">
      <c r="B319" s="5937"/>
      <c r="C319" s="176"/>
      <c r="D319" s="1262"/>
      <c r="E319" s="2018"/>
      <c r="F319" s="1262"/>
      <c r="G319" s="2019"/>
      <c r="H319" s="1262"/>
      <c r="I319" s="9"/>
      <c r="M319" s="9"/>
      <c r="N319" s="5911"/>
      <c r="O319" s="1241"/>
      <c r="P319" s="1242"/>
      <c r="Q319" s="1242"/>
      <c r="R319" s="1242"/>
      <c r="S319" s="1243"/>
      <c r="T319" s="1242"/>
      <c r="V319" s="1256"/>
      <c r="W319" s="1291"/>
      <c r="X319" s="1239"/>
      <c r="Y319" s="1239"/>
      <c r="AA319" s="1256"/>
      <c r="AB319" s="1257"/>
      <c r="AC319" s="1261"/>
      <c r="AD319" s="1261"/>
      <c r="AF319" s="3">
        <v>1</v>
      </c>
    </row>
    <row r="320" spans="2:32" ht="30" customHeight="1">
      <c r="B320" s="5937"/>
      <c r="C320" s="176"/>
      <c r="D320" s="1262"/>
      <c r="E320" s="2018"/>
      <c r="F320" s="1262"/>
      <c r="G320" s="2019"/>
      <c r="H320" s="1262"/>
      <c r="I320" s="9"/>
      <c r="M320" s="9"/>
      <c r="N320" s="5911"/>
      <c r="O320" s="1241"/>
      <c r="P320" s="1242"/>
      <c r="Q320" s="1242"/>
      <c r="R320" s="1242"/>
      <c r="S320" s="1243"/>
      <c r="T320" s="1242"/>
      <c r="V320" s="1256"/>
      <c r="W320" s="1291"/>
      <c r="X320" s="1239"/>
      <c r="Y320" s="1239"/>
      <c r="AA320" s="1256"/>
      <c r="AB320" s="1257"/>
      <c r="AC320" s="1261"/>
      <c r="AD320" s="1261"/>
      <c r="AF320" s="3">
        <v>1</v>
      </c>
    </row>
    <row r="321" spans="2:32" ht="30" customHeight="1">
      <c r="B321" s="5937"/>
      <c r="C321" s="176"/>
      <c r="D321" s="1262"/>
      <c r="E321" s="2018"/>
      <c r="F321" s="1262"/>
      <c r="G321" s="2019"/>
      <c r="H321" s="1262"/>
      <c r="I321" s="9"/>
      <c r="M321" s="9"/>
      <c r="N321" s="5911"/>
      <c r="O321" s="1241"/>
      <c r="P321" s="1242"/>
      <c r="Q321" s="1242"/>
      <c r="R321" s="1242"/>
      <c r="S321" s="1243"/>
      <c r="T321" s="1242"/>
      <c r="V321" s="1256"/>
      <c r="W321" s="1291"/>
      <c r="X321" s="1239"/>
      <c r="Y321" s="1239"/>
      <c r="AA321" s="1256"/>
      <c r="AB321" s="1257"/>
      <c r="AC321" s="1261"/>
      <c r="AD321" s="1261"/>
      <c r="AF321" s="3">
        <v>1</v>
      </c>
    </row>
    <row r="322" spans="2:32" ht="30" customHeight="1">
      <c r="B322" s="5937"/>
      <c r="C322" s="176"/>
      <c r="D322" s="1262"/>
      <c r="E322" s="2018"/>
      <c r="F322" s="1262"/>
      <c r="G322" s="2019"/>
      <c r="H322" s="1262"/>
      <c r="I322" s="9"/>
      <c r="M322" s="9"/>
      <c r="N322" s="5911"/>
      <c r="O322" s="1241"/>
      <c r="P322" s="1242"/>
      <c r="Q322" s="1242"/>
      <c r="R322" s="1242"/>
      <c r="S322" s="1243"/>
      <c r="T322" s="1242"/>
      <c r="V322" s="1256"/>
      <c r="W322" s="1291"/>
      <c r="X322" s="1239"/>
      <c r="Y322" s="1239"/>
      <c r="AA322" s="1256"/>
      <c r="AB322" s="1257"/>
      <c r="AC322" s="1261"/>
      <c r="AD322" s="1261"/>
      <c r="AF322" s="3">
        <v>1</v>
      </c>
    </row>
    <row r="323" spans="2:32" ht="30" customHeight="1">
      <c r="B323" s="5937"/>
      <c r="C323" s="176"/>
      <c r="D323" s="1262"/>
      <c r="E323" s="2018"/>
      <c r="F323" s="1262"/>
      <c r="G323" s="2019"/>
      <c r="H323" s="1262"/>
      <c r="I323" s="9"/>
      <c r="M323" s="9"/>
      <c r="N323" s="5911"/>
      <c r="O323" s="1241"/>
      <c r="P323" s="1242"/>
      <c r="Q323" s="1242"/>
      <c r="R323" s="1242"/>
      <c r="S323" s="1243"/>
      <c r="T323" s="1242"/>
      <c r="V323" s="1256"/>
      <c r="W323" s="1291"/>
      <c r="X323" s="1239"/>
      <c r="Y323" s="1239"/>
      <c r="AA323" s="1256"/>
      <c r="AB323" s="1257"/>
      <c r="AC323" s="1261"/>
      <c r="AD323" s="1261"/>
      <c r="AF323" s="3">
        <v>1</v>
      </c>
    </row>
    <row r="324" spans="2:32" ht="30" customHeight="1">
      <c r="B324" s="5937"/>
      <c r="C324" s="176"/>
      <c r="D324" s="1262"/>
      <c r="E324" s="2018"/>
      <c r="F324" s="1262"/>
      <c r="G324" s="2019"/>
      <c r="H324" s="1262"/>
      <c r="I324" s="9"/>
      <c r="M324" s="9"/>
      <c r="N324" s="5911"/>
      <c r="O324" s="1241"/>
      <c r="P324" s="1242"/>
      <c r="Q324" s="1242"/>
      <c r="R324" s="1242"/>
      <c r="S324" s="1243"/>
      <c r="T324" s="1242"/>
      <c r="V324" s="1256"/>
      <c r="W324" s="1291"/>
      <c r="X324" s="1239"/>
      <c r="Y324" s="1239"/>
      <c r="AA324" s="1256"/>
      <c r="AB324" s="1257"/>
      <c r="AC324" s="1261"/>
      <c r="AD324" s="1261"/>
      <c r="AF324" s="3">
        <v>1</v>
      </c>
    </row>
    <row r="325" spans="2:32" ht="30" customHeight="1">
      <c r="B325" s="5937"/>
      <c r="C325" s="176"/>
      <c r="D325" s="1262"/>
      <c r="E325" s="2018"/>
      <c r="F325" s="1262"/>
      <c r="G325" s="2019"/>
      <c r="H325" s="1262"/>
      <c r="I325" s="9"/>
      <c r="M325" s="9"/>
      <c r="N325" s="5911"/>
      <c r="O325" s="1241"/>
      <c r="P325" s="1242"/>
      <c r="Q325" s="1242"/>
      <c r="R325" s="1242"/>
      <c r="S325" s="1243"/>
      <c r="T325" s="1242"/>
      <c r="V325" s="1256"/>
      <c r="W325" s="1291"/>
      <c r="X325" s="1239"/>
      <c r="Y325" s="1239"/>
      <c r="AA325" s="1256"/>
      <c r="AB325" s="1257"/>
      <c r="AC325" s="1261"/>
      <c r="AD325" s="1261"/>
      <c r="AF325" s="3">
        <v>1</v>
      </c>
    </row>
    <row r="326" spans="2:32" ht="30" customHeight="1">
      <c r="B326" s="5937"/>
      <c r="C326" s="176"/>
      <c r="D326" s="1262"/>
      <c r="E326" s="2018"/>
      <c r="F326" s="1262"/>
      <c r="G326" s="2019"/>
      <c r="H326" s="1262"/>
      <c r="I326" s="9"/>
      <c r="M326" s="9"/>
      <c r="N326" s="5911"/>
      <c r="O326" s="1241"/>
      <c r="P326" s="1242"/>
      <c r="Q326" s="1242"/>
      <c r="R326" s="1242"/>
      <c r="S326" s="1243"/>
      <c r="T326" s="1242"/>
      <c r="V326" s="1256"/>
      <c r="W326" s="1291"/>
      <c r="X326" s="1239"/>
      <c r="Y326" s="1239"/>
      <c r="AA326" s="1256"/>
      <c r="AB326" s="1257"/>
      <c r="AC326" s="1261"/>
      <c r="AD326" s="1261"/>
      <c r="AF326" s="3">
        <v>1</v>
      </c>
    </row>
    <row r="327" spans="2:32" ht="30" customHeight="1">
      <c r="B327" s="5937"/>
      <c r="C327" s="176"/>
      <c r="D327" s="1262"/>
      <c r="E327" s="2018"/>
      <c r="F327" s="1262"/>
      <c r="G327" s="2019"/>
      <c r="H327" s="1262"/>
      <c r="I327" s="9"/>
      <c r="M327" s="9"/>
      <c r="N327" s="5911"/>
      <c r="O327" s="1241"/>
      <c r="P327" s="1242"/>
      <c r="Q327" s="1242"/>
      <c r="R327" s="1242"/>
      <c r="S327" s="1243"/>
      <c r="T327" s="1242"/>
      <c r="V327" s="1256"/>
      <c r="W327" s="1291"/>
      <c r="X327" s="1239"/>
      <c r="Y327" s="1239"/>
      <c r="AA327" s="1256"/>
      <c r="AB327" s="1257"/>
      <c r="AC327" s="1261"/>
      <c r="AD327" s="1261"/>
      <c r="AF327" s="3">
        <v>1</v>
      </c>
    </row>
    <row r="328" spans="2:32" ht="30" customHeight="1">
      <c r="B328" s="5937"/>
      <c r="C328" s="176"/>
      <c r="D328" s="1262"/>
      <c r="E328" s="2018"/>
      <c r="F328" s="1262"/>
      <c r="G328" s="2019"/>
      <c r="H328" s="1262"/>
      <c r="I328" s="9"/>
      <c r="M328" s="9"/>
      <c r="N328" s="5911"/>
      <c r="O328" s="1241"/>
      <c r="P328" s="1242"/>
      <c r="Q328" s="1242"/>
      <c r="R328" s="1242"/>
      <c r="S328" s="1243"/>
      <c r="T328" s="1242"/>
      <c r="V328" s="1256"/>
      <c r="W328" s="1291"/>
      <c r="X328" s="1239"/>
      <c r="Y328" s="1239"/>
      <c r="AA328" s="1256"/>
      <c r="AB328" s="1257"/>
      <c r="AC328" s="1261"/>
      <c r="AD328" s="1261"/>
      <c r="AF328" s="3">
        <v>1</v>
      </c>
    </row>
    <row r="329" spans="2:32" ht="30" customHeight="1">
      <c r="B329" s="5937"/>
      <c r="C329" s="176"/>
      <c r="D329" s="1262"/>
      <c r="E329" s="2018"/>
      <c r="F329" s="1262"/>
      <c r="G329" s="2019"/>
      <c r="H329" s="1262"/>
      <c r="I329" s="9"/>
      <c r="M329" s="9"/>
      <c r="N329" s="5911"/>
      <c r="O329" s="1241"/>
      <c r="P329" s="1242"/>
      <c r="Q329" s="1242"/>
      <c r="R329" s="1242"/>
      <c r="S329" s="1243"/>
      <c r="T329" s="1242"/>
      <c r="V329" s="1256"/>
      <c r="W329" s="1291"/>
      <c r="X329" s="1239"/>
      <c r="Y329" s="1239"/>
      <c r="AA329" s="1256"/>
      <c r="AB329" s="1257"/>
      <c r="AC329" s="1261"/>
      <c r="AD329" s="1261"/>
      <c r="AF329" s="3">
        <v>1</v>
      </c>
    </row>
    <row r="330" spans="2:32" ht="30" customHeight="1">
      <c r="B330" s="5937"/>
      <c r="C330" s="176"/>
      <c r="D330" s="1262"/>
      <c r="E330" s="2018"/>
      <c r="F330" s="1262"/>
      <c r="G330" s="2019"/>
      <c r="H330" s="1262"/>
      <c r="I330" s="9"/>
      <c r="M330" s="9"/>
      <c r="N330" s="5911"/>
      <c r="O330" s="1241"/>
      <c r="P330" s="1242"/>
      <c r="Q330" s="1242"/>
      <c r="R330" s="1242"/>
      <c r="S330" s="1243"/>
      <c r="T330" s="1242"/>
      <c r="V330" s="1256"/>
      <c r="W330" s="1291"/>
      <c r="X330" s="1239"/>
      <c r="Y330" s="1239"/>
      <c r="AA330" s="1256"/>
      <c r="AB330" s="1257"/>
      <c r="AC330" s="1261"/>
      <c r="AD330" s="1261"/>
      <c r="AF330" s="3">
        <v>1</v>
      </c>
    </row>
    <row r="331" spans="2:32" ht="30" customHeight="1">
      <c r="B331" s="5937"/>
      <c r="C331" s="176"/>
      <c r="D331" s="1262"/>
      <c r="E331" s="2018"/>
      <c r="F331" s="1262"/>
      <c r="G331" s="2019"/>
      <c r="H331" s="1262"/>
      <c r="I331" s="9"/>
      <c r="M331" s="9"/>
      <c r="N331" s="5911"/>
      <c r="O331" s="1241"/>
      <c r="P331" s="1242"/>
      <c r="Q331" s="1242"/>
      <c r="R331" s="1242"/>
      <c r="S331" s="1243"/>
      <c r="T331" s="1242"/>
      <c r="V331" s="1256"/>
      <c r="W331" s="1291"/>
      <c r="X331" s="1239"/>
      <c r="Y331" s="1239"/>
      <c r="AA331" s="1256"/>
      <c r="AB331" s="1257"/>
      <c r="AC331" s="1261"/>
      <c r="AD331" s="1261"/>
      <c r="AF331" s="3">
        <v>1</v>
      </c>
    </row>
    <row r="332" spans="2:32" ht="30" customHeight="1">
      <c r="B332" s="5937"/>
      <c r="C332" s="176"/>
      <c r="D332" s="1262"/>
      <c r="E332" s="2018"/>
      <c r="F332" s="1262"/>
      <c r="G332" s="2019"/>
      <c r="H332" s="1262"/>
      <c r="I332" s="9"/>
      <c r="M332" s="9"/>
      <c r="N332" s="5911"/>
      <c r="O332" s="1241"/>
      <c r="P332" s="1242"/>
      <c r="Q332" s="1242"/>
      <c r="R332" s="1242"/>
      <c r="S332" s="1243"/>
      <c r="T332" s="1242"/>
      <c r="V332" s="1256"/>
      <c r="W332" s="1291"/>
      <c r="X332" s="1239"/>
      <c r="Y332" s="1239"/>
      <c r="AA332" s="1256"/>
      <c r="AB332" s="1257"/>
      <c r="AC332" s="1261"/>
      <c r="AD332" s="1261"/>
      <c r="AF332" s="3">
        <v>1</v>
      </c>
    </row>
    <row r="333" spans="2:32" ht="30" customHeight="1">
      <c r="B333" s="5937"/>
      <c r="C333" s="176"/>
      <c r="D333" s="1262"/>
      <c r="E333" s="2018"/>
      <c r="F333" s="1262"/>
      <c r="G333" s="2019"/>
      <c r="H333" s="1262"/>
      <c r="I333" s="9"/>
      <c r="M333" s="9"/>
      <c r="N333" s="5911"/>
      <c r="O333" s="1241"/>
      <c r="P333" s="1242"/>
      <c r="Q333" s="1242"/>
      <c r="R333" s="1242"/>
      <c r="S333" s="1243"/>
      <c r="T333" s="1242"/>
      <c r="V333" s="1256"/>
      <c r="W333" s="1291"/>
      <c r="X333" s="1239"/>
      <c r="Y333" s="1239"/>
      <c r="AA333" s="1256"/>
      <c r="AB333" s="1257"/>
      <c r="AC333" s="1261"/>
      <c r="AD333" s="1261"/>
      <c r="AF333" s="3">
        <v>1</v>
      </c>
    </row>
    <row r="334" spans="2:32" ht="30" customHeight="1">
      <c r="B334" s="5937"/>
      <c r="C334" s="176"/>
      <c r="D334" s="1262"/>
      <c r="E334" s="2018"/>
      <c r="F334" s="1262"/>
      <c r="G334" s="2019"/>
      <c r="H334" s="1262"/>
      <c r="I334" s="9"/>
      <c r="M334" s="9"/>
      <c r="N334" s="5911"/>
      <c r="O334" s="1241"/>
      <c r="P334" s="1242"/>
      <c r="Q334" s="1242"/>
      <c r="R334" s="1242"/>
      <c r="S334" s="1243"/>
      <c r="T334" s="1242"/>
      <c r="V334" s="1256"/>
      <c r="W334" s="1291"/>
      <c r="X334" s="1239"/>
      <c r="Y334" s="1239"/>
      <c r="AA334" s="1256"/>
      <c r="AB334" s="1257"/>
      <c r="AC334" s="1261"/>
      <c r="AD334" s="1261"/>
      <c r="AF334" s="3">
        <v>1</v>
      </c>
    </row>
    <row r="335" spans="2:32" ht="30" customHeight="1">
      <c r="B335" s="5937"/>
      <c r="C335" s="176"/>
      <c r="D335" s="1262"/>
      <c r="E335" s="2018"/>
      <c r="F335" s="1262"/>
      <c r="G335" s="2019"/>
      <c r="H335" s="1262"/>
      <c r="I335" s="9"/>
      <c r="M335" s="9"/>
      <c r="N335" s="5911"/>
      <c r="O335" s="1241"/>
      <c r="P335" s="1242"/>
      <c r="Q335" s="1242"/>
      <c r="R335" s="1242"/>
      <c r="S335" s="1243"/>
      <c r="T335" s="1242"/>
      <c r="V335" s="1256"/>
      <c r="W335" s="1291"/>
      <c r="X335" s="1239"/>
      <c r="Y335" s="1239"/>
      <c r="AA335" s="1256"/>
      <c r="AB335" s="1257"/>
      <c r="AC335" s="1261"/>
      <c r="AD335" s="1261"/>
      <c r="AF335" s="3">
        <v>1</v>
      </c>
    </row>
    <row r="336" spans="2:32" ht="30" customHeight="1">
      <c r="B336" s="5937"/>
      <c r="C336" s="176"/>
      <c r="D336" s="1262"/>
      <c r="E336" s="2018"/>
      <c r="F336" s="1262"/>
      <c r="G336" s="2019"/>
      <c r="H336" s="1262"/>
      <c r="I336" s="9"/>
      <c r="M336" s="9"/>
      <c r="N336" s="5911"/>
      <c r="O336" s="1241"/>
      <c r="P336" s="1242"/>
      <c r="Q336" s="1242"/>
      <c r="R336" s="1242"/>
      <c r="S336" s="1243"/>
      <c r="T336" s="1242"/>
      <c r="V336" s="1256"/>
      <c r="W336" s="1291"/>
      <c r="X336" s="1239"/>
      <c r="Y336" s="1239"/>
      <c r="AA336" s="1256"/>
      <c r="AB336" s="1257"/>
      <c r="AC336" s="1261"/>
      <c r="AD336" s="1261"/>
      <c r="AF336" s="3">
        <v>1</v>
      </c>
    </row>
    <row r="337" spans="2:32" ht="30" customHeight="1">
      <c r="B337" s="5937"/>
      <c r="C337" s="176"/>
      <c r="D337" s="1262"/>
      <c r="E337" s="2018"/>
      <c r="F337" s="1262"/>
      <c r="G337" s="2019"/>
      <c r="H337" s="1262"/>
      <c r="I337" s="9"/>
      <c r="M337" s="9"/>
      <c r="N337" s="5911"/>
      <c r="O337" s="1241"/>
      <c r="P337" s="1242"/>
      <c r="Q337" s="1242"/>
      <c r="R337" s="1242"/>
      <c r="S337" s="1243"/>
      <c r="T337" s="1242"/>
      <c r="V337" s="1256"/>
      <c r="W337" s="1291"/>
      <c r="X337" s="1239"/>
      <c r="Y337" s="1239"/>
      <c r="AA337" s="1256"/>
      <c r="AB337" s="1257"/>
      <c r="AC337" s="1261"/>
      <c r="AD337" s="1261"/>
      <c r="AF337" s="3">
        <v>1</v>
      </c>
    </row>
    <row r="338" spans="2:32" ht="30" customHeight="1">
      <c r="B338" s="5937"/>
      <c r="C338" s="176"/>
      <c r="D338" s="1262"/>
      <c r="E338" s="2018"/>
      <c r="F338" s="1262"/>
      <c r="G338" s="2019"/>
      <c r="H338" s="1262"/>
      <c r="I338" s="9"/>
      <c r="M338" s="9"/>
      <c r="N338" s="5911"/>
      <c r="O338" s="1241"/>
      <c r="P338" s="1242"/>
      <c r="Q338" s="1242"/>
      <c r="R338" s="1242"/>
      <c r="S338" s="1243"/>
      <c r="T338" s="1242"/>
      <c r="V338" s="1256"/>
      <c r="W338" s="1291"/>
      <c r="X338" s="1239"/>
      <c r="Y338" s="1239"/>
      <c r="AA338" s="1256"/>
      <c r="AB338" s="1257"/>
      <c r="AC338" s="1261"/>
      <c r="AD338" s="1261"/>
      <c r="AF338" s="3">
        <v>1</v>
      </c>
    </row>
    <row r="339" spans="2:32" ht="30" customHeight="1">
      <c r="B339" s="5937"/>
      <c r="C339" s="176"/>
      <c r="D339" s="1262"/>
      <c r="E339" s="2018"/>
      <c r="F339" s="1262"/>
      <c r="G339" s="2019"/>
      <c r="H339" s="1262"/>
      <c r="I339" s="9"/>
      <c r="M339" s="9"/>
      <c r="N339" s="5911"/>
      <c r="O339" s="1241"/>
      <c r="P339" s="1242"/>
      <c r="Q339" s="1242"/>
      <c r="R339" s="1242"/>
      <c r="S339" s="1243"/>
      <c r="T339" s="1242"/>
      <c r="V339" s="1256"/>
      <c r="W339" s="1291"/>
      <c r="X339" s="1239"/>
      <c r="Y339" s="1239"/>
      <c r="AA339" s="1256"/>
      <c r="AB339" s="1257"/>
      <c r="AC339" s="1261"/>
      <c r="AD339" s="1261"/>
      <c r="AF339" s="3">
        <v>1</v>
      </c>
    </row>
    <row r="340" spans="2:32" ht="30" customHeight="1">
      <c r="B340" s="5937"/>
      <c r="C340" s="176"/>
      <c r="D340" s="1262"/>
      <c r="E340" s="2018"/>
      <c r="F340" s="1262"/>
      <c r="G340" s="2019"/>
      <c r="H340" s="1262"/>
      <c r="I340" s="9"/>
      <c r="M340" s="9"/>
      <c r="N340" s="5911"/>
      <c r="O340" s="1241"/>
      <c r="P340" s="1242"/>
      <c r="Q340" s="1242"/>
      <c r="R340" s="1242"/>
      <c r="S340" s="1243"/>
      <c r="T340" s="1242"/>
      <c r="V340" s="1256"/>
      <c r="W340" s="1291"/>
      <c r="X340" s="1239"/>
      <c r="Y340" s="1239"/>
      <c r="AA340" s="1256"/>
      <c r="AB340" s="1257"/>
      <c r="AC340" s="1261"/>
      <c r="AD340" s="1261"/>
      <c r="AF340" s="3">
        <v>1</v>
      </c>
    </row>
    <row r="341" spans="2:32" ht="30" customHeight="1">
      <c r="B341" s="5937"/>
      <c r="C341" s="176"/>
      <c r="D341" s="1262"/>
      <c r="E341" s="2018"/>
      <c r="F341" s="1262"/>
      <c r="G341" s="2019"/>
      <c r="H341" s="1262"/>
      <c r="I341" s="9"/>
      <c r="M341" s="9"/>
      <c r="N341" s="5911"/>
      <c r="O341" s="1241"/>
      <c r="P341" s="1242"/>
      <c r="Q341" s="1242"/>
      <c r="R341" s="1242"/>
      <c r="S341" s="1243"/>
      <c r="T341" s="1242"/>
      <c r="V341" s="1256"/>
      <c r="W341" s="1291"/>
      <c r="X341" s="1239"/>
      <c r="Y341" s="1239"/>
      <c r="AA341" s="1256"/>
      <c r="AB341" s="1257"/>
      <c r="AC341" s="1261"/>
      <c r="AD341" s="1261"/>
      <c r="AF341" s="3">
        <v>1</v>
      </c>
    </row>
    <row r="342" spans="2:32" ht="30" customHeight="1">
      <c r="B342" s="5937"/>
      <c r="C342" s="176"/>
      <c r="D342" s="1262"/>
      <c r="E342" s="2018"/>
      <c r="F342" s="1262"/>
      <c r="G342" s="2019"/>
      <c r="H342" s="1262"/>
      <c r="I342" s="9"/>
      <c r="M342" s="9"/>
      <c r="N342" s="5911"/>
      <c r="O342" s="1241"/>
      <c r="P342" s="1242"/>
      <c r="Q342" s="1242"/>
      <c r="R342" s="1242"/>
      <c r="S342" s="1243"/>
      <c r="T342" s="1242"/>
      <c r="V342" s="1256"/>
      <c r="W342" s="1291"/>
      <c r="X342" s="1239"/>
      <c r="Y342" s="1239"/>
      <c r="AA342" s="1256"/>
      <c r="AB342" s="1257"/>
      <c r="AC342" s="1261"/>
      <c r="AD342" s="1261"/>
      <c r="AF342" s="3">
        <v>1</v>
      </c>
    </row>
    <row r="343" spans="2:32" ht="30" customHeight="1">
      <c r="B343" s="5937"/>
      <c r="C343" s="176"/>
      <c r="D343" s="1262"/>
      <c r="E343" s="2018"/>
      <c r="F343" s="1262"/>
      <c r="G343" s="2019"/>
      <c r="H343" s="1262"/>
      <c r="I343" s="9"/>
      <c r="M343" s="9"/>
      <c r="N343" s="5911"/>
      <c r="O343" s="1241"/>
      <c r="P343" s="1242"/>
      <c r="Q343" s="1242"/>
      <c r="R343" s="1242"/>
      <c r="S343" s="1243"/>
      <c r="T343" s="1242"/>
      <c r="V343" s="1256"/>
      <c r="W343" s="1291"/>
      <c r="X343" s="1239"/>
      <c r="Y343" s="1239"/>
      <c r="AA343" s="1256"/>
      <c r="AB343" s="1257"/>
      <c r="AC343" s="1261"/>
      <c r="AD343" s="1261"/>
      <c r="AF343" s="3">
        <v>1</v>
      </c>
    </row>
    <row r="344" spans="2:32" ht="30" customHeight="1">
      <c r="B344" s="5937"/>
      <c r="C344" s="176"/>
      <c r="D344" s="1262"/>
      <c r="E344" s="2018"/>
      <c r="F344" s="1262"/>
      <c r="G344" s="2019"/>
      <c r="H344" s="1262"/>
      <c r="I344" s="9"/>
      <c r="M344" s="9"/>
      <c r="N344" s="5911"/>
      <c r="O344" s="1241"/>
      <c r="P344" s="1242"/>
      <c r="Q344" s="1242"/>
      <c r="R344" s="1242"/>
      <c r="S344" s="1243"/>
      <c r="T344" s="1242"/>
      <c r="V344" s="1256"/>
      <c r="W344" s="1291"/>
      <c r="X344" s="1239"/>
      <c r="Y344" s="1239"/>
      <c r="AA344" s="1256"/>
      <c r="AB344" s="1257"/>
      <c r="AC344" s="1261"/>
      <c r="AD344" s="1261"/>
      <c r="AF344" s="3">
        <v>1</v>
      </c>
    </row>
    <row r="345" spans="2:32" ht="30" customHeight="1">
      <c r="B345" s="5937"/>
      <c r="C345" s="176"/>
      <c r="D345" s="1262"/>
      <c r="E345" s="2018"/>
      <c r="F345" s="1262"/>
      <c r="G345" s="2019"/>
      <c r="H345" s="1262"/>
      <c r="I345" s="9"/>
      <c r="M345" s="9"/>
      <c r="N345" s="5911"/>
      <c r="O345" s="1241"/>
      <c r="P345" s="1242"/>
      <c r="Q345" s="1242"/>
      <c r="R345" s="1242"/>
      <c r="S345" s="1243"/>
      <c r="T345" s="1242"/>
      <c r="V345" s="1256"/>
      <c r="W345" s="1291"/>
      <c r="X345" s="1239"/>
      <c r="Y345" s="1239"/>
      <c r="AA345" s="1256"/>
      <c r="AB345" s="1257"/>
      <c r="AC345" s="1261"/>
      <c r="AD345" s="1261"/>
      <c r="AF345" s="3">
        <v>1</v>
      </c>
    </row>
    <row r="346" spans="2:32" ht="30" customHeight="1">
      <c r="B346" s="5937"/>
      <c r="C346" s="176"/>
      <c r="D346" s="1262"/>
      <c r="E346" s="2018"/>
      <c r="F346" s="1262"/>
      <c r="G346" s="2019"/>
      <c r="H346" s="1262"/>
      <c r="I346" s="9"/>
      <c r="M346" s="9"/>
      <c r="N346" s="5911"/>
      <c r="O346" s="1241"/>
      <c r="P346" s="1242"/>
      <c r="Q346" s="1242"/>
      <c r="R346" s="1242"/>
      <c r="S346" s="1243"/>
      <c r="T346" s="1242"/>
      <c r="V346" s="1256"/>
      <c r="W346" s="1291"/>
      <c r="X346" s="1239"/>
      <c r="Y346" s="1239"/>
      <c r="AA346" s="1256"/>
      <c r="AB346" s="1257"/>
      <c r="AC346" s="1261"/>
      <c r="AD346" s="1261"/>
      <c r="AF346" s="3">
        <v>1</v>
      </c>
    </row>
    <row r="347" spans="2:32" ht="30" customHeight="1">
      <c r="B347" s="5937"/>
      <c r="C347" s="176"/>
      <c r="D347" s="1262"/>
      <c r="E347" s="2018"/>
      <c r="F347" s="1262"/>
      <c r="G347" s="2019"/>
      <c r="H347" s="1262"/>
      <c r="I347" s="9"/>
      <c r="M347" s="9"/>
      <c r="N347" s="5911"/>
      <c r="O347" s="1241"/>
      <c r="P347" s="1242"/>
      <c r="Q347" s="1242"/>
      <c r="R347" s="1242"/>
      <c r="S347" s="1243"/>
      <c r="T347" s="1242"/>
      <c r="V347" s="1256"/>
      <c r="W347" s="1291"/>
      <c r="X347" s="1239"/>
      <c r="Y347" s="1239"/>
      <c r="AA347" s="1256"/>
      <c r="AB347" s="1257"/>
      <c r="AC347" s="1261"/>
      <c r="AD347" s="1261"/>
      <c r="AF347" s="3">
        <v>1</v>
      </c>
    </row>
    <row r="348" spans="2:32" ht="30" customHeight="1">
      <c r="B348" s="5937"/>
      <c r="C348" s="176"/>
      <c r="D348" s="1262"/>
      <c r="E348" s="2018"/>
      <c r="F348" s="1262"/>
      <c r="G348" s="2019"/>
      <c r="H348" s="1262"/>
      <c r="I348" s="9"/>
      <c r="M348" s="9"/>
      <c r="N348" s="5911"/>
      <c r="O348" s="1241"/>
      <c r="P348" s="1242"/>
      <c r="Q348" s="1242"/>
      <c r="R348" s="1242"/>
      <c r="S348" s="1243"/>
      <c r="T348" s="1242"/>
      <c r="V348" s="1256"/>
      <c r="W348" s="1291"/>
      <c r="X348" s="1239"/>
      <c r="Y348" s="1239"/>
      <c r="AA348" s="1256"/>
      <c r="AB348" s="1257"/>
      <c r="AC348" s="1261"/>
      <c r="AD348" s="1261"/>
      <c r="AF348" s="3">
        <v>1</v>
      </c>
    </row>
    <row r="349" spans="2:32" ht="30" customHeight="1">
      <c r="B349" s="5937"/>
      <c r="C349" s="176"/>
      <c r="D349" s="1262"/>
      <c r="E349" s="2018"/>
      <c r="F349" s="1262"/>
      <c r="G349" s="2019"/>
      <c r="H349" s="1262"/>
      <c r="I349" s="9"/>
      <c r="M349" s="9"/>
      <c r="N349" s="5911"/>
      <c r="O349" s="1241"/>
      <c r="P349" s="1242"/>
      <c r="Q349" s="1242"/>
      <c r="R349" s="1242"/>
      <c r="S349" s="1243"/>
      <c r="T349" s="1242"/>
      <c r="V349" s="1256"/>
      <c r="W349" s="1291"/>
      <c r="X349" s="1239"/>
      <c r="Y349" s="1239"/>
      <c r="AA349" s="1256"/>
      <c r="AB349" s="1257"/>
      <c r="AC349" s="1261"/>
      <c r="AD349" s="1261"/>
      <c r="AF349" s="3">
        <v>1</v>
      </c>
    </row>
    <row r="350" spans="2:32" ht="30" customHeight="1">
      <c r="B350" s="5937"/>
      <c r="C350" s="176"/>
      <c r="D350" s="1262"/>
      <c r="E350" s="2018"/>
      <c r="F350" s="1262"/>
      <c r="G350" s="2019"/>
      <c r="H350" s="1262"/>
      <c r="I350" s="9"/>
      <c r="M350" s="9"/>
      <c r="N350" s="5911"/>
      <c r="O350" s="1241"/>
      <c r="P350" s="1242"/>
      <c r="Q350" s="1242"/>
      <c r="R350" s="1242"/>
      <c r="S350" s="1243"/>
      <c r="T350" s="1242"/>
      <c r="V350" s="1256"/>
      <c r="W350" s="1291"/>
      <c r="X350" s="1239"/>
      <c r="Y350" s="1239"/>
      <c r="AA350" s="1256"/>
      <c r="AB350" s="1257"/>
      <c r="AC350" s="1261"/>
      <c r="AD350" s="1261"/>
      <c r="AF350" s="3">
        <v>1</v>
      </c>
    </row>
    <row r="351" spans="2:32" ht="30" customHeight="1">
      <c r="B351" s="5937"/>
      <c r="C351" s="176"/>
      <c r="D351" s="1262"/>
      <c r="E351" s="2018"/>
      <c r="F351" s="1262"/>
      <c r="G351" s="2019"/>
      <c r="H351" s="1262"/>
      <c r="I351" s="9"/>
      <c r="M351" s="9"/>
      <c r="N351" s="5911"/>
      <c r="O351" s="1241"/>
      <c r="P351" s="1242"/>
      <c r="Q351" s="1242"/>
      <c r="R351" s="1242"/>
      <c r="S351" s="1243"/>
      <c r="T351" s="1242"/>
      <c r="V351" s="1256"/>
      <c r="W351" s="1291"/>
      <c r="X351" s="1239"/>
      <c r="Y351" s="1239"/>
      <c r="AA351" s="1256"/>
      <c r="AB351" s="1257"/>
      <c r="AC351" s="1261"/>
      <c r="AD351" s="1261"/>
      <c r="AF351" s="3">
        <v>1</v>
      </c>
    </row>
    <row r="352" spans="2:32" ht="30" customHeight="1">
      <c r="B352" s="5937"/>
      <c r="C352" s="176"/>
      <c r="D352" s="1262"/>
      <c r="E352" s="2018"/>
      <c r="F352" s="1262"/>
      <c r="G352" s="2019"/>
      <c r="H352" s="1262"/>
      <c r="I352" s="9"/>
      <c r="M352" s="9"/>
      <c r="N352" s="5911"/>
      <c r="O352" s="1241"/>
      <c r="P352" s="1242"/>
      <c r="Q352" s="1242"/>
      <c r="R352" s="1242"/>
      <c r="S352" s="1243"/>
      <c r="T352" s="1242"/>
      <c r="V352" s="1256"/>
      <c r="W352" s="1291"/>
      <c r="X352" s="1239"/>
      <c r="Y352" s="1239"/>
      <c r="AA352" s="1256"/>
      <c r="AB352" s="1257"/>
      <c r="AC352" s="1261"/>
      <c r="AD352" s="1261"/>
      <c r="AF352" s="3">
        <v>1</v>
      </c>
    </row>
    <row r="353" spans="2:32" ht="30" customHeight="1">
      <c r="B353" s="5937"/>
      <c r="C353" s="176"/>
      <c r="D353" s="1262"/>
      <c r="E353" s="2018"/>
      <c r="F353" s="1262"/>
      <c r="G353" s="2019"/>
      <c r="H353" s="1262"/>
      <c r="I353" s="9"/>
      <c r="M353" s="9"/>
      <c r="N353" s="5911"/>
      <c r="O353" s="1241"/>
      <c r="P353" s="1242"/>
      <c r="Q353" s="1242"/>
      <c r="R353" s="1242"/>
      <c r="S353" s="1243"/>
      <c r="T353" s="1242"/>
      <c r="V353" s="1256"/>
      <c r="W353" s="1291"/>
      <c r="X353" s="1239"/>
      <c r="Y353" s="1239"/>
      <c r="AA353" s="1256"/>
      <c r="AB353" s="1257"/>
      <c r="AC353" s="1261"/>
      <c r="AD353" s="1261"/>
      <c r="AF353" s="3">
        <v>1</v>
      </c>
    </row>
    <row r="354" spans="2:32" ht="30" customHeight="1">
      <c r="B354" s="5937"/>
      <c r="C354" s="176"/>
      <c r="D354" s="1262"/>
      <c r="E354" s="2018"/>
      <c r="F354" s="1262"/>
      <c r="G354" s="2019"/>
      <c r="H354" s="1262"/>
      <c r="I354" s="9"/>
      <c r="M354" s="9"/>
      <c r="N354" s="5911"/>
      <c r="O354" s="1241"/>
      <c r="P354" s="1242"/>
      <c r="Q354" s="1242"/>
      <c r="R354" s="1242"/>
      <c r="S354" s="1243"/>
      <c r="T354" s="1242"/>
      <c r="V354" s="1256"/>
      <c r="W354" s="1291"/>
      <c r="X354" s="1239"/>
      <c r="Y354" s="1239"/>
      <c r="AA354" s="1256"/>
      <c r="AB354" s="1257"/>
      <c r="AC354" s="1261"/>
      <c r="AD354" s="1261"/>
      <c r="AF354" s="3">
        <v>1</v>
      </c>
    </row>
    <row r="355" spans="2:32" ht="30" customHeight="1">
      <c r="B355" s="5937"/>
      <c r="C355" s="176"/>
      <c r="D355" s="1262"/>
      <c r="E355" s="2018"/>
      <c r="F355" s="1262"/>
      <c r="G355" s="2019"/>
      <c r="H355" s="1262"/>
      <c r="I355" s="9"/>
      <c r="M355" s="9"/>
      <c r="N355" s="5911"/>
      <c r="O355" s="1241"/>
      <c r="P355" s="1242"/>
      <c r="Q355" s="1242"/>
      <c r="R355" s="1242"/>
      <c r="S355" s="1243"/>
      <c r="T355" s="1242"/>
      <c r="V355" s="1256"/>
      <c r="W355" s="1291"/>
      <c r="X355" s="1239"/>
      <c r="Y355" s="1239"/>
      <c r="AA355" s="1256"/>
      <c r="AB355" s="1257"/>
      <c r="AC355" s="1261"/>
      <c r="AD355" s="1261"/>
      <c r="AF355" s="3">
        <v>1</v>
      </c>
    </row>
    <row r="356" spans="2:32" ht="30" customHeight="1">
      <c r="B356" s="5937"/>
      <c r="C356" s="176"/>
      <c r="D356" s="1262"/>
      <c r="E356" s="2018"/>
      <c r="F356" s="1262"/>
      <c r="G356" s="2019"/>
      <c r="H356" s="1262"/>
      <c r="I356" s="9"/>
      <c r="M356" s="9"/>
      <c r="N356" s="5911"/>
      <c r="O356" s="1241"/>
      <c r="P356" s="1242"/>
      <c r="Q356" s="1242"/>
      <c r="R356" s="1242"/>
      <c r="S356" s="1243"/>
      <c r="T356" s="1242"/>
      <c r="V356" s="1256"/>
      <c r="W356" s="1291"/>
      <c r="X356" s="1239"/>
      <c r="Y356" s="1239"/>
      <c r="AA356" s="1256"/>
      <c r="AB356" s="1257"/>
      <c r="AC356" s="1261"/>
      <c r="AD356" s="1261"/>
      <c r="AF356" s="3">
        <v>1</v>
      </c>
    </row>
    <row r="357" spans="2:32" ht="30" customHeight="1">
      <c r="B357" s="5937"/>
      <c r="C357" s="176"/>
      <c r="D357" s="1262"/>
      <c r="E357" s="2018"/>
      <c r="F357" s="1262"/>
      <c r="G357" s="2019"/>
      <c r="H357" s="1262"/>
      <c r="I357" s="9"/>
      <c r="M357" s="9"/>
      <c r="N357" s="5911"/>
      <c r="O357" s="1241"/>
      <c r="P357" s="1242"/>
      <c r="Q357" s="1242"/>
      <c r="R357" s="1242"/>
      <c r="S357" s="1243"/>
      <c r="T357" s="1242"/>
      <c r="V357" s="1256"/>
      <c r="W357" s="1291"/>
      <c r="X357" s="1239"/>
      <c r="Y357" s="1239"/>
      <c r="AA357" s="1256"/>
      <c r="AB357" s="1257"/>
      <c r="AC357" s="1261"/>
      <c r="AD357" s="1261"/>
      <c r="AF357" s="3">
        <v>1</v>
      </c>
    </row>
    <row r="358" spans="2:32" ht="30" customHeight="1">
      <c r="B358" s="5937"/>
      <c r="C358" s="176"/>
      <c r="D358" s="1262"/>
      <c r="E358" s="2018"/>
      <c r="F358" s="1262"/>
      <c r="G358" s="2019"/>
      <c r="H358" s="1262"/>
      <c r="I358" s="9"/>
      <c r="M358" s="9"/>
      <c r="N358" s="5911"/>
      <c r="O358" s="1241"/>
      <c r="P358" s="1242"/>
      <c r="Q358" s="1242"/>
      <c r="R358" s="1242"/>
      <c r="S358" s="1243"/>
      <c r="T358" s="1242"/>
      <c r="V358" s="1256"/>
      <c r="W358" s="1291"/>
      <c r="X358" s="1239"/>
      <c r="Y358" s="1239"/>
      <c r="AA358" s="1256"/>
      <c r="AB358" s="1257"/>
      <c r="AC358" s="1261"/>
      <c r="AD358" s="1261"/>
      <c r="AF358" s="3">
        <v>1</v>
      </c>
    </row>
    <row r="359" spans="2:32" ht="30" customHeight="1">
      <c r="B359" s="5937"/>
      <c r="C359" s="176"/>
      <c r="D359" s="1262"/>
      <c r="E359" s="2018"/>
      <c r="F359" s="1262"/>
      <c r="G359" s="2019"/>
      <c r="H359" s="1262"/>
      <c r="I359" s="9"/>
      <c r="M359" s="9"/>
      <c r="N359" s="5911"/>
      <c r="O359" s="1241"/>
      <c r="P359" s="1242"/>
      <c r="Q359" s="1242"/>
      <c r="R359" s="1242"/>
      <c r="S359" s="1243"/>
      <c r="T359" s="1242"/>
      <c r="V359" s="1256"/>
      <c r="W359" s="1291"/>
      <c r="X359" s="1239"/>
      <c r="Y359" s="1239"/>
      <c r="AA359" s="1256"/>
      <c r="AB359" s="1257"/>
      <c r="AC359" s="1261"/>
      <c r="AD359" s="1261"/>
      <c r="AF359" s="3">
        <v>1</v>
      </c>
    </row>
    <row r="360" spans="2:32" ht="30" customHeight="1">
      <c r="B360" s="5937"/>
      <c r="C360" s="176"/>
      <c r="D360" s="1262"/>
      <c r="E360" s="2018"/>
      <c r="F360" s="1262"/>
      <c r="G360" s="2019"/>
      <c r="H360" s="1262"/>
      <c r="I360" s="9"/>
      <c r="M360" s="9"/>
      <c r="N360" s="5911"/>
      <c r="O360" s="1241"/>
      <c r="P360" s="1242"/>
      <c r="Q360" s="1242"/>
      <c r="R360" s="1242"/>
      <c r="S360" s="1243"/>
      <c r="T360" s="1242"/>
      <c r="V360" s="1256"/>
      <c r="W360" s="1291"/>
      <c r="X360" s="1239"/>
      <c r="Y360" s="1239"/>
      <c r="AA360" s="1256"/>
      <c r="AB360" s="1257"/>
      <c r="AC360" s="1261"/>
      <c r="AD360" s="1261"/>
      <c r="AF360" s="3">
        <v>1</v>
      </c>
    </row>
    <row r="361" spans="2:32" ht="30" customHeight="1">
      <c r="B361" s="5937"/>
      <c r="C361" s="176"/>
      <c r="D361" s="1262"/>
      <c r="E361" s="2018"/>
      <c r="F361" s="1262"/>
      <c r="G361" s="2019"/>
      <c r="H361" s="1262"/>
      <c r="I361" s="9"/>
      <c r="M361" s="9"/>
      <c r="N361" s="5911"/>
      <c r="O361" s="1241"/>
      <c r="P361" s="1242"/>
      <c r="Q361" s="1242"/>
      <c r="R361" s="1242"/>
      <c r="S361" s="1243"/>
      <c r="T361" s="1242"/>
      <c r="V361" s="1256"/>
      <c r="W361" s="1291"/>
      <c r="X361" s="1239"/>
      <c r="Y361" s="1239"/>
      <c r="AA361" s="1256"/>
      <c r="AB361" s="1257"/>
      <c r="AC361" s="1261"/>
      <c r="AD361" s="1261"/>
      <c r="AF361" s="3">
        <v>1</v>
      </c>
    </row>
    <row r="362" spans="2:32" ht="30" customHeight="1">
      <c r="B362" s="5937"/>
      <c r="C362" s="176"/>
      <c r="D362" s="1262"/>
      <c r="E362" s="2018"/>
      <c r="F362" s="1262"/>
      <c r="G362" s="2019"/>
      <c r="H362" s="1262"/>
      <c r="I362" s="9"/>
      <c r="M362" s="9"/>
      <c r="N362" s="5911"/>
      <c r="O362" s="1241"/>
      <c r="P362" s="1242"/>
      <c r="Q362" s="1242"/>
      <c r="R362" s="1242"/>
      <c r="S362" s="1243"/>
      <c r="T362" s="1242"/>
      <c r="V362" s="1256"/>
      <c r="W362" s="1291"/>
      <c r="X362" s="1239"/>
      <c r="Y362" s="1239"/>
      <c r="AA362" s="1256"/>
      <c r="AB362" s="1257"/>
      <c r="AC362" s="1261"/>
      <c r="AD362" s="1261"/>
      <c r="AF362" s="3">
        <v>1</v>
      </c>
    </row>
    <row r="363" spans="2:32" ht="30" customHeight="1">
      <c r="B363" s="5937"/>
      <c r="C363" s="176"/>
      <c r="D363" s="1262"/>
      <c r="E363" s="2018"/>
      <c r="F363" s="1262"/>
      <c r="G363" s="2019"/>
      <c r="H363" s="1262"/>
      <c r="I363" s="9"/>
      <c r="M363" s="9"/>
      <c r="N363" s="5911"/>
      <c r="O363" s="1241"/>
      <c r="P363" s="1242"/>
      <c r="Q363" s="1242"/>
      <c r="R363" s="1242"/>
      <c r="S363" s="1243"/>
      <c r="T363" s="1242"/>
      <c r="V363" s="1256"/>
      <c r="W363" s="1291"/>
      <c r="X363" s="1239"/>
      <c r="Y363" s="1239"/>
      <c r="AA363" s="1256"/>
      <c r="AB363" s="1257"/>
      <c r="AC363" s="1261"/>
      <c r="AD363" s="1261"/>
      <c r="AF363" s="3">
        <v>1</v>
      </c>
    </row>
    <row r="364" spans="2:32" ht="30" customHeight="1">
      <c r="B364" s="5937"/>
      <c r="C364" s="176"/>
      <c r="D364" s="1262"/>
      <c r="E364" s="2018"/>
      <c r="F364" s="1262"/>
      <c r="G364" s="2019"/>
      <c r="H364" s="1262"/>
      <c r="I364" s="9"/>
      <c r="M364" s="9"/>
      <c r="N364" s="5911"/>
      <c r="O364" s="1241"/>
      <c r="P364" s="1242"/>
      <c r="Q364" s="1242"/>
      <c r="R364" s="1242"/>
      <c r="S364" s="1243"/>
      <c r="T364" s="1242"/>
      <c r="V364" s="1256"/>
      <c r="W364" s="1291"/>
      <c r="X364" s="1239"/>
      <c r="Y364" s="1239"/>
      <c r="AA364" s="1256"/>
      <c r="AB364" s="1257"/>
      <c r="AC364" s="1261"/>
      <c r="AD364" s="1261"/>
      <c r="AF364" s="3">
        <v>1</v>
      </c>
    </row>
    <row r="365" spans="2:32" ht="30" customHeight="1">
      <c r="B365" s="5937"/>
      <c r="C365" s="176"/>
      <c r="D365" s="1262"/>
      <c r="E365" s="2018"/>
      <c r="F365" s="1262"/>
      <c r="G365" s="2019"/>
      <c r="H365" s="1262"/>
      <c r="I365" s="9"/>
      <c r="M365" s="9"/>
      <c r="N365" s="5911"/>
      <c r="O365" s="1241"/>
      <c r="P365" s="1242"/>
      <c r="Q365" s="1242"/>
      <c r="R365" s="1242"/>
      <c r="S365" s="1243"/>
      <c r="T365" s="1242"/>
      <c r="V365" s="1256"/>
      <c r="W365" s="1291"/>
      <c r="X365" s="1239"/>
      <c r="Y365" s="1239"/>
      <c r="AA365" s="1256"/>
      <c r="AB365" s="1257"/>
      <c r="AC365" s="1261"/>
      <c r="AD365" s="1261"/>
      <c r="AF365" s="3">
        <v>1</v>
      </c>
    </row>
    <row r="366" spans="2:32" ht="30" customHeight="1">
      <c r="B366" s="5937"/>
      <c r="C366" s="176"/>
      <c r="D366" s="1262"/>
      <c r="E366" s="2018"/>
      <c r="F366" s="1262"/>
      <c r="G366" s="2019"/>
      <c r="H366" s="1262"/>
      <c r="I366" s="9"/>
      <c r="M366" s="9"/>
      <c r="N366" s="5911"/>
      <c r="O366" s="1241"/>
      <c r="P366" s="1242"/>
      <c r="Q366" s="1242"/>
      <c r="R366" s="1242"/>
      <c r="S366" s="1243"/>
      <c r="T366" s="1242"/>
      <c r="V366" s="1256"/>
      <c r="W366" s="1291"/>
      <c r="X366" s="1239"/>
      <c r="Y366" s="1239"/>
      <c r="AA366" s="1256"/>
      <c r="AB366" s="1257"/>
      <c r="AC366" s="1261"/>
      <c r="AD366" s="1261"/>
      <c r="AF366" s="3">
        <v>1</v>
      </c>
    </row>
    <row r="367" spans="2:32" ht="30" customHeight="1">
      <c r="B367" s="5937"/>
      <c r="C367" s="176"/>
      <c r="D367" s="1262"/>
      <c r="E367" s="2018"/>
      <c r="F367" s="1262"/>
      <c r="G367" s="2019"/>
      <c r="H367" s="1262"/>
      <c r="I367" s="9"/>
      <c r="M367" s="9"/>
      <c r="N367" s="5911"/>
      <c r="O367" s="1241"/>
      <c r="P367" s="1242"/>
      <c r="Q367" s="1242"/>
      <c r="R367" s="1242"/>
      <c r="S367" s="1243"/>
      <c r="T367" s="1242"/>
      <c r="V367" s="1256"/>
      <c r="W367" s="1291"/>
      <c r="X367" s="1239"/>
      <c r="Y367" s="1239"/>
      <c r="AA367" s="1256"/>
      <c r="AB367" s="1257"/>
      <c r="AC367" s="1261"/>
      <c r="AD367" s="1261"/>
      <c r="AF367" s="3">
        <v>1</v>
      </c>
    </row>
    <row r="368" spans="2:32" ht="30" customHeight="1">
      <c r="B368" s="5937"/>
      <c r="C368" s="176"/>
      <c r="D368" s="1262"/>
      <c r="E368" s="2018"/>
      <c r="F368" s="1262"/>
      <c r="G368" s="2019"/>
      <c r="H368" s="1262"/>
      <c r="I368" s="9"/>
      <c r="M368" s="9"/>
      <c r="N368" s="5911"/>
      <c r="O368" s="1241"/>
      <c r="P368" s="1242"/>
      <c r="Q368" s="1242"/>
      <c r="R368" s="1242"/>
      <c r="S368" s="1243"/>
      <c r="T368" s="1242"/>
      <c r="V368" s="1256"/>
      <c r="W368" s="1291"/>
      <c r="X368" s="1239"/>
      <c r="Y368" s="1239"/>
      <c r="AA368" s="1256"/>
      <c r="AB368" s="1257"/>
      <c r="AC368" s="1261"/>
      <c r="AD368" s="1261"/>
      <c r="AF368" s="3">
        <v>1</v>
      </c>
    </row>
    <row r="369" spans="2:32" ht="30" customHeight="1">
      <c r="B369" s="5937"/>
      <c r="C369" s="176"/>
      <c r="D369" s="1262"/>
      <c r="E369" s="2018"/>
      <c r="F369" s="1262"/>
      <c r="G369" s="2019"/>
      <c r="H369" s="1262"/>
      <c r="I369" s="9"/>
      <c r="M369" s="9"/>
      <c r="N369" s="5911"/>
      <c r="O369" s="1241"/>
      <c r="P369" s="1242"/>
      <c r="Q369" s="1242"/>
      <c r="R369" s="1242"/>
      <c r="S369" s="1243"/>
      <c r="T369" s="1242"/>
      <c r="V369" s="1256"/>
      <c r="W369" s="1291"/>
      <c r="X369" s="1239"/>
      <c r="Y369" s="1239"/>
      <c r="AA369" s="1256"/>
      <c r="AB369" s="1257"/>
      <c r="AC369" s="1261"/>
      <c r="AD369" s="1261"/>
      <c r="AF369" s="3">
        <v>1</v>
      </c>
    </row>
    <row r="370" spans="2:32" ht="30" customHeight="1">
      <c r="B370" s="5937"/>
      <c r="C370" s="176"/>
      <c r="D370" s="1262"/>
      <c r="E370" s="2018"/>
      <c r="F370" s="1262"/>
      <c r="G370" s="2019"/>
      <c r="H370" s="1262"/>
      <c r="I370" s="9"/>
      <c r="M370" s="9"/>
      <c r="N370" s="5911"/>
      <c r="O370" s="1241"/>
      <c r="P370" s="1242"/>
      <c r="Q370" s="1242"/>
      <c r="R370" s="1242"/>
      <c r="S370" s="1243"/>
      <c r="T370" s="1242"/>
      <c r="V370" s="1256"/>
      <c r="W370" s="1291"/>
      <c r="X370" s="1239"/>
      <c r="Y370" s="1239"/>
      <c r="AA370" s="1256"/>
      <c r="AB370" s="1257"/>
      <c r="AC370" s="1261"/>
      <c r="AD370" s="1261"/>
      <c r="AF370" s="3">
        <v>1</v>
      </c>
    </row>
    <row r="371" spans="2:32" ht="30" customHeight="1">
      <c r="B371" s="5937"/>
      <c r="C371" s="176"/>
      <c r="D371" s="1262"/>
      <c r="E371" s="2018"/>
      <c r="F371" s="1262"/>
      <c r="G371" s="2019"/>
      <c r="H371" s="1262"/>
      <c r="I371" s="9"/>
      <c r="M371" s="9"/>
      <c r="N371" s="5911"/>
      <c r="O371" s="1241"/>
      <c r="P371" s="1242"/>
      <c r="Q371" s="1242"/>
      <c r="R371" s="1242"/>
      <c r="S371" s="1243"/>
      <c r="T371" s="1242"/>
      <c r="V371" s="1256"/>
      <c r="W371" s="1291"/>
      <c r="X371" s="1239"/>
      <c r="Y371" s="1239"/>
      <c r="AA371" s="1256"/>
      <c r="AB371" s="1257"/>
      <c r="AC371" s="1261"/>
      <c r="AD371" s="1261"/>
      <c r="AF371" s="3">
        <v>1</v>
      </c>
    </row>
    <row r="372" spans="2:32" ht="30" customHeight="1">
      <c r="B372" s="5937"/>
      <c r="C372" s="176"/>
      <c r="D372" s="1262"/>
      <c r="E372" s="2018"/>
      <c r="F372" s="1262"/>
      <c r="G372" s="2019"/>
      <c r="H372" s="1262"/>
      <c r="I372" s="9"/>
      <c r="M372" s="9"/>
      <c r="N372" s="5911"/>
      <c r="O372" s="1241"/>
      <c r="P372" s="1242"/>
      <c r="Q372" s="1242"/>
      <c r="R372" s="1242"/>
      <c r="S372" s="1243"/>
      <c r="T372" s="1242"/>
      <c r="V372" s="1256"/>
      <c r="W372" s="1291"/>
      <c r="X372" s="1239"/>
      <c r="Y372" s="1239"/>
      <c r="AA372" s="1256"/>
      <c r="AB372" s="1257"/>
      <c r="AC372" s="1261"/>
      <c r="AD372" s="1261"/>
      <c r="AF372" s="3">
        <v>1</v>
      </c>
    </row>
    <row r="373" spans="2:32" ht="30" customHeight="1">
      <c r="B373" s="5937"/>
      <c r="C373" s="176"/>
      <c r="D373" s="1262"/>
      <c r="E373" s="2018"/>
      <c r="F373" s="1262"/>
      <c r="G373" s="2019"/>
      <c r="H373" s="1262"/>
      <c r="I373" s="9"/>
      <c r="M373" s="9"/>
      <c r="N373" s="5911"/>
      <c r="O373" s="1241"/>
      <c r="P373" s="1242"/>
      <c r="Q373" s="1242"/>
      <c r="R373" s="1242"/>
      <c r="S373" s="1243"/>
      <c r="T373" s="1242"/>
      <c r="V373" s="1256"/>
      <c r="W373" s="1291"/>
      <c r="X373" s="1239"/>
      <c r="Y373" s="1239"/>
      <c r="AA373" s="1256"/>
      <c r="AB373" s="1257"/>
      <c r="AC373" s="1261"/>
      <c r="AD373" s="1261"/>
      <c r="AF373" s="3">
        <v>1</v>
      </c>
    </row>
    <row r="374" spans="2:32" ht="30" customHeight="1">
      <c r="B374" s="5937"/>
      <c r="C374" s="176"/>
      <c r="D374" s="1262"/>
      <c r="E374" s="2018"/>
      <c r="F374" s="1262"/>
      <c r="G374" s="2019"/>
      <c r="H374" s="1262"/>
      <c r="I374" s="9"/>
      <c r="M374" s="9"/>
      <c r="N374" s="5911"/>
      <c r="O374" s="1241"/>
      <c r="P374" s="1242"/>
      <c r="Q374" s="1242"/>
      <c r="R374" s="1242"/>
      <c r="S374" s="1243"/>
      <c r="T374" s="1242"/>
      <c r="V374" s="1256"/>
      <c r="W374" s="1291"/>
      <c r="X374" s="1239"/>
      <c r="Y374" s="1239"/>
      <c r="AA374" s="1256"/>
      <c r="AB374" s="1257"/>
      <c r="AC374" s="1261"/>
      <c r="AD374" s="1261"/>
      <c r="AF374" s="3">
        <v>1</v>
      </c>
    </row>
    <row r="375" spans="2:32" ht="30" customHeight="1">
      <c r="B375" s="5937"/>
      <c r="C375" s="176"/>
      <c r="D375" s="1262"/>
      <c r="E375" s="2018"/>
      <c r="F375" s="1262"/>
      <c r="G375" s="2019"/>
      <c r="H375" s="1262"/>
      <c r="I375" s="9"/>
      <c r="M375" s="9"/>
      <c r="N375" s="5911"/>
      <c r="O375" s="1241"/>
      <c r="P375" s="1242"/>
      <c r="Q375" s="1242"/>
      <c r="R375" s="1242"/>
      <c r="S375" s="1243"/>
      <c r="T375" s="1242"/>
      <c r="V375" s="1256"/>
      <c r="W375" s="1291"/>
      <c r="X375" s="1239"/>
      <c r="Y375" s="1239"/>
      <c r="AA375" s="1256"/>
      <c r="AB375" s="1257"/>
      <c r="AC375" s="1261"/>
      <c r="AD375" s="1261"/>
      <c r="AF375" s="3">
        <v>1</v>
      </c>
    </row>
    <row r="376" spans="2:32" ht="30" customHeight="1">
      <c r="B376" s="5937"/>
      <c r="C376" s="176"/>
      <c r="D376" s="1262"/>
      <c r="E376" s="2018"/>
      <c r="F376" s="1262"/>
      <c r="G376" s="2019"/>
      <c r="H376" s="1262"/>
      <c r="I376" s="9"/>
      <c r="M376" s="9"/>
      <c r="N376" s="5911"/>
      <c r="O376" s="1241"/>
      <c r="P376" s="1242"/>
      <c r="Q376" s="1242"/>
      <c r="R376" s="1242"/>
      <c r="S376" s="1243"/>
      <c r="T376" s="1242"/>
      <c r="V376" s="1256"/>
      <c r="W376" s="1291"/>
      <c r="X376" s="1239"/>
      <c r="Y376" s="1239"/>
      <c r="AA376" s="1256"/>
      <c r="AB376" s="1257"/>
      <c r="AC376" s="1261"/>
      <c r="AD376" s="1261"/>
      <c r="AF376" s="3">
        <v>1</v>
      </c>
    </row>
    <row r="377" spans="2:32" ht="30" customHeight="1">
      <c r="B377" s="5937"/>
      <c r="C377" s="176"/>
      <c r="D377" s="1262"/>
      <c r="E377" s="2018"/>
      <c r="F377" s="1262"/>
      <c r="G377" s="2019"/>
      <c r="H377" s="1262"/>
      <c r="I377" s="9"/>
      <c r="M377" s="9"/>
      <c r="N377" s="5911"/>
      <c r="O377" s="1241"/>
      <c r="P377" s="1242"/>
      <c r="Q377" s="1242"/>
      <c r="R377" s="1242"/>
      <c r="S377" s="1243"/>
      <c r="T377" s="1242"/>
      <c r="V377" s="1256"/>
      <c r="W377" s="1291"/>
      <c r="X377" s="1239"/>
      <c r="Y377" s="1239"/>
      <c r="AA377" s="1256"/>
      <c r="AB377" s="1257"/>
      <c r="AC377" s="1261"/>
      <c r="AD377" s="1261"/>
      <c r="AF377" s="3">
        <v>1</v>
      </c>
    </row>
    <row r="378" spans="2:32" ht="30" customHeight="1">
      <c r="B378" s="5937"/>
      <c r="C378" s="176"/>
      <c r="D378" s="1262"/>
      <c r="E378" s="2018"/>
      <c r="F378" s="1262"/>
      <c r="G378" s="2019"/>
      <c r="H378" s="1262"/>
      <c r="I378" s="9"/>
      <c r="M378" s="9"/>
      <c r="N378" s="5911"/>
      <c r="O378" s="1241"/>
      <c r="P378" s="1242"/>
      <c r="Q378" s="1242"/>
      <c r="R378" s="1242"/>
      <c r="S378" s="1243"/>
      <c r="T378" s="1242"/>
      <c r="V378" s="1256"/>
      <c r="W378" s="1291"/>
      <c r="X378" s="1239"/>
      <c r="Y378" s="1239"/>
      <c r="AA378" s="1256"/>
      <c r="AB378" s="1257"/>
      <c r="AC378" s="1261"/>
      <c r="AD378" s="1261"/>
      <c r="AF378" s="3">
        <v>1</v>
      </c>
    </row>
    <row r="379" spans="2:32" ht="30" customHeight="1">
      <c r="B379" s="5937"/>
      <c r="C379" s="176"/>
      <c r="D379" s="1262"/>
      <c r="E379" s="2018"/>
      <c r="F379" s="1262"/>
      <c r="G379" s="2019"/>
      <c r="H379" s="1262"/>
      <c r="I379" s="9"/>
      <c r="M379" s="9"/>
      <c r="N379" s="5911"/>
      <c r="O379" s="1241"/>
      <c r="P379" s="1242"/>
      <c r="Q379" s="1242"/>
      <c r="R379" s="1242"/>
      <c r="S379" s="1243"/>
      <c r="T379" s="1242"/>
      <c r="V379" s="1256"/>
      <c r="W379" s="1291"/>
      <c r="X379" s="1239"/>
      <c r="Y379" s="1239"/>
      <c r="AA379" s="1256"/>
      <c r="AB379" s="1257"/>
      <c r="AC379" s="1261"/>
      <c r="AD379" s="1261"/>
      <c r="AF379" s="3">
        <v>1</v>
      </c>
    </row>
    <row r="380" spans="2:32" ht="30" customHeight="1">
      <c r="B380" s="5937"/>
      <c r="C380" s="176"/>
      <c r="D380" s="1262"/>
      <c r="E380" s="2018"/>
      <c r="F380" s="1262"/>
      <c r="G380" s="2019"/>
      <c r="H380" s="1262"/>
      <c r="I380" s="9"/>
      <c r="M380" s="9"/>
      <c r="N380" s="5911"/>
      <c r="O380" s="1241"/>
      <c r="P380" s="1242"/>
      <c r="Q380" s="1242"/>
      <c r="R380" s="1242"/>
      <c r="S380" s="1243"/>
      <c r="T380" s="1242"/>
      <c r="V380" s="1256"/>
      <c r="W380" s="1291"/>
      <c r="X380" s="1239"/>
      <c r="Y380" s="1239"/>
      <c r="AA380" s="1256"/>
      <c r="AB380" s="1257"/>
      <c r="AC380" s="1261"/>
      <c r="AD380" s="1261"/>
      <c r="AF380" s="3">
        <v>1</v>
      </c>
    </row>
    <row r="381" spans="2:32" ht="30" customHeight="1">
      <c r="B381" s="5937"/>
      <c r="C381" s="176"/>
      <c r="D381" s="1262"/>
      <c r="E381" s="2018"/>
      <c r="F381" s="1262"/>
      <c r="G381" s="2019"/>
      <c r="H381" s="1262"/>
      <c r="I381" s="9"/>
      <c r="M381" s="9"/>
      <c r="N381" s="5911"/>
      <c r="O381" s="1241"/>
      <c r="P381" s="1242"/>
      <c r="Q381" s="1242"/>
      <c r="R381" s="1242"/>
      <c r="S381" s="1243"/>
      <c r="T381" s="1242"/>
      <c r="V381" s="1256"/>
      <c r="W381" s="1291"/>
      <c r="X381" s="1239"/>
      <c r="Y381" s="1239"/>
      <c r="AA381" s="1256"/>
      <c r="AB381" s="1257"/>
      <c r="AC381" s="1261"/>
      <c r="AD381" s="1261"/>
      <c r="AF381" s="3">
        <v>1</v>
      </c>
    </row>
    <row r="382" spans="2:32" ht="30" customHeight="1">
      <c r="B382" s="5937"/>
      <c r="C382" s="176"/>
      <c r="D382" s="1262"/>
      <c r="E382" s="2018"/>
      <c r="F382" s="1262"/>
      <c r="G382" s="2019"/>
      <c r="H382" s="1262"/>
      <c r="I382" s="9"/>
      <c r="M382" s="9"/>
      <c r="N382" s="5911"/>
      <c r="O382" s="1241"/>
      <c r="P382" s="1242"/>
      <c r="Q382" s="1242"/>
      <c r="R382" s="1242"/>
      <c r="S382" s="1243"/>
      <c r="T382" s="1242"/>
      <c r="V382" s="1256"/>
      <c r="W382" s="1291"/>
      <c r="X382" s="1239"/>
      <c r="Y382" s="1239"/>
      <c r="AA382" s="1256"/>
      <c r="AB382" s="1257"/>
      <c r="AC382" s="1261"/>
      <c r="AD382" s="1261"/>
      <c r="AF382" s="3">
        <v>1</v>
      </c>
    </row>
    <row r="383" spans="2:32" ht="30" customHeight="1">
      <c r="B383" s="5937"/>
      <c r="C383" s="176"/>
      <c r="D383" s="1262"/>
      <c r="E383" s="2018"/>
      <c r="F383" s="1262"/>
      <c r="G383" s="2019"/>
      <c r="H383" s="1262"/>
      <c r="I383" s="9"/>
      <c r="M383" s="9"/>
      <c r="N383" s="5911"/>
      <c r="O383" s="1241"/>
      <c r="P383" s="1242"/>
      <c r="Q383" s="1242"/>
      <c r="R383" s="1242"/>
      <c r="S383" s="1243"/>
      <c r="T383" s="1242"/>
      <c r="V383" s="1256"/>
      <c r="W383" s="1291"/>
      <c r="X383" s="1239"/>
      <c r="Y383" s="1239"/>
      <c r="AA383" s="1256"/>
      <c r="AB383" s="1257"/>
      <c r="AC383" s="1261"/>
      <c r="AD383" s="1261"/>
      <c r="AF383" s="3">
        <v>1</v>
      </c>
    </row>
    <row r="384" spans="2:32" ht="30" customHeight="1">
      <c r="B384" s="5937"/>
      <c r="C384" s="176"/>
      <c r="D384" s="1262"/>
      <c r="E384" s="2018"/>
      <c r="F384" s="1262"/>
      <c r="G384" s="2019"/>
      <c r="H384" s="1262"/>
      <c r="I384" s="9"/>
      <c r="M384" s="9"/>
      <c r="N384" s="5911"/>
      <c r="O384" s="1241"/>
      <c r="P384" s="1242"/>
      <c r="Q384" s="1242"/>
      <c r="R384" s="1242"/>
      <c r="S384" s="1243"/>
      <c r="T384" s="1242"/>
      <c r="V384" s="1256"/>
      <c r="W384" s="1291"/>
      <c r="X384" s="1239"/>
      <c r="Y384" s="1239"/>
      <c r="AA384" s="1256"/>
      <c r="AB384" s="1257"/>
      <c r="AC384" s="1261"/>
      <c r="AD384" s="1261"/>
      <c r="AF384" s="3">
        <v>1</v>
      </c>
    </row>
    <row r="385" spans="2:32" ht="30" customHeight="1">
      <c r="B385" s="5937"/>
      <c r="C385" s="176"/>
      <c r="D385" s="1262"/>
      <c r="E385" s="2018"/>
      <c r="F385" s="1262"/>
      <c r="G385" s="2019"/>
      <c r="H385" s="1262"/>
      <c r="I385" s="9"/>
      <c r="M385" s="9"/>
      <c r="N385" s="5911"/>
      <c r="O385" s="1241"/>
      <c r="P385" s="1242"/>
      <c r="Q385" s="1242"/>
      <c r="R385" s="1242"/>
      <c r="S385" s="1243"/>
      <c r="T385" s="1242"/>
      <c r="V385" s="1256"/>
      <c r="W385" s="1291"/>
      <c r="X385" s="1239"/>
      <c r="Y385" s="1239"/>
      <c r="AA385" s="1256"/>
      <c r="AB385" s="1257"/>
      <c r="AC385" s="1261"/>
      <c r="AD385" s="1261"/>
      <c r="AF385" s="3">
        <v>1</v>
      </c>
    </row>
    <row r="386" spans="2:32" ht="30" customHeight="1">
      <c r="B386" s="5937"/>
      <c r="C386" s="176"/>
      <c r="D386" s="1262"/>
      <c r="E386" s="2018"/>
      <c r="F386" s="1262"/>
      <c r="G386" s="2019"/>
      <c r="H386" s="1262"/>
      <c r="I386" s="9"/>
      <c r="M386" s="9"/>
      <c r="N386" s="5911"/>
      <c r="O386" s="1241"/>
      <c r="P386" s="1242"/>
      <c r="Q386" s="1242"/>
      <c r="R386" s="1242"/>
      <c r="S386" s="1243"/>
      <c r="T386" s="1242"/>
      <c r="V386" s="1256"/>
      <c r="W386" s="1291"/>
      <c r="X386" s="1239"/>
      <c r="Y386" s="1239"/>
      <c r="AA386" s="1256"/>
      <c r="AB386" s="1257"/>
      <c r="AC386" s="1261"/>
      <c r="AD386" s="1261"/>
      <c r="AF386" s="3">
        <v>1</v>
      </c>
    </row>
    <row r="387" spans="2:32" ht="30" customHeight="1">
      <c r="B387" s="5937"/>
      <c r="C387" s="176"/>
      <c r="D387" s="1262"/>
      <c r="E387" s="2018"/>
      <c r="F387" s="1262"/>
      <c r="G387" s="2019"/>
      <c r="H387" s="1262"/>
      <c r="I387" s="9"/>
      <c r="M387" s="9"/>
      <c r="N387" s="5911"/>
      <c r="O387" s="1241"/>
      <c r="P387" s="1242"/>
      <c r="Q387" s="1242"/>
      <c r="R387" s="1242"/>
      <c r="S387" s="1243"/>
      <c r="T387" s="1242"/>
      <c r="V387" s="1256"/>
      <c r="W387" s="1291"/>
      <c r="X387" s="1239"/>
      <c r="Y387" s="1239"/>
      <c r="AA387" s="1256"/>
      <c r="AB387" s="1257"/>
      <c r="AC387" s="1261"/>
      <c r="AD387" s="1261"/>
      <c r="AF387" s="3">
        <v>1</v>
      </c>
    </row>
    <row r="388" spans="2:32" ht="30" customHeight="1">
      <c r="B388" s="5937"/>
      <c r="C388" s="176"/>
      <c r="D388" s="1262"/>
      <c r="E388" s="2018"/>
      <c r="F388" s="1262"/>
      <c r="G388" s="2019"/>
      <c r="H388" s="1262"/>
      <c r="I388" s="9"/>
      <c r="M388" s="9"/>
      <c r="N388" s="5911"/>
      <c r="O388" s="1241"/>
      <c r="P388" s="1242"/>
      <c r="Q388" s="1242"/>
      <c r="R388" s="1242"/>
      <c r="S388" s="1243"/>
      <c r="T388" s="1242"/>
      <c r="V388" s="1256"/>
      <c r="W388" s="1291"/>
      <c r="X388" s="1239"/>
      <c r="Y388" s="1239"/>
      <c r="AA388" s="1256"/>
      <c r="AB388" s="1257"/>
      <c r="AC388" s="1261"/>
      <c r="AD388" s="1261"/>
      <c r="AF388" s="3">
        <v>1</v>
      </c>
    </row>
    <row r="389" spans="2:32" ht="30" customHeight="1">
      <c r="B389" s="5937"/>
      <c r="C389" s="176"/>
      <c r="D389" s="1262"/>
      <c r="E389" s="2018"/>
      <c r="F389" s="1262"/>
      <c r="G389" s="2019"/>
      <c r="H389" s="1262"/>
      <c r="I389" s="9"/>
      <c r="M389" s="9"/>
      <c r="N389" s="5911"/>
      <c r="O389" s="1241"/>
      <c r="P389" s="1242"/>
      <c r="Q389" s="1242"/>
      <c r="R389" s="1242"/>
      <c r="S389" s="1243"/>
      <c r="T389" s="1242"/>
      <c r="V389" s="1256"/>
      <c r="W389" s="1291"/>
      <c r="X389" s="1239"/>
      <c r="Y389" s="1239"/>
      <c r="AA389" s="1256"/>
      <c r="AB389" s="1257"/>
      <c r="AC389" s="1261"/>
      <c r="AD389" s="1261"/>
      <c r="AF389" s="3">
        <v>1</v>
      </c>
    </row>
    <row r="390" spans="2:32" ht="30" customHeight="1">
      <c r="B390" s="5937"/>
      <c r="C390" s="176"/>
      <c r="D390" s="1262"/>
      <c r="E390" s="2018"/>
      <c r="F390" s="1262"/>
      <c r="G390" s="2019"/>
      <c r="H390" s="1262"/>
      <c r="I390" s="9"/>
      <c r="M390" s="9"/>
      <c r="N390" s="5911"/>
      <c r="O390" s="1241"/>
      <c r="P390" s="1242"/>
      <c r="Q390" s="1242"/>
      <c r="R390" s="1242"/>
      <c r="S390" s="1243"/>
      <c r="T390" s="1242"/>
      <c r="V390" s="1256"/>
      <c r="W390" s="1291"/>
      <c r="X390" s="1239"/>
      <c r="Y390" s="1239"/>
      <c r="AA390" s="1256"/>
      <c r="AB390" s="1257"/>
      <c r="AC390" s="1261"/>
      <c r="AD390" s="1261"/>
      <c r="AF390" s="3">
        <v>1</v>
      </c>
    </row>
    <row r="391" spans="2:32" ht="30" customHeight="1">
      <c r="B391" s="5937"/>
      <c r="C391" s="176"/>
      <c r="D391" s="1262"/>
      <c r="E391" s="2018"/>
      <c r="F391" s="1262"/>
      <c r="G391" s="2019"/>
      <c r="H391" s="1262"/>
      <c r="I391" s="9"/>
      <c r="M391" s="9"/>
      <c r="N391" s="5911"/>
      <c r="O391" s="1241"/>
      <c r="P391" s="1242"/>
      <c r="Q391" s="1242"/>
      <c r="R391" s="1242"/>
      <c r="S391" s="1243"/>
      <c r="T391" s="1242"/>
      <c r="V391" s="1256"/>
      <c r="W391" s="1291"/>
      <c r="X391" s="1239"/>
      <c r="Y391" s="1239"/>
      <c r="AA391" s="1256"/>
      <c r="AB391" s="1257"/>
      <c r="AC391" s="1261"/>
      <c r="AD391" s="1261"/>
      <c r="AF391" s="3">
        <v>1</v>
      </c>
    </row>
    <row r="392" spans="2:32" ht="30" customHeight="1">
      <c r="B392" s="5937"/>
      <c r="C392" s="176"/>
      <c r="D392" s="1262"/>
      <c r="E392" s="2018"/>
      <c r="F392" s="1262"/>
      <c r="G392" s="2019"/>
      <c r="H392" s="1262"/>
      <c r="I392" s="9"/>
      <c r="M392" s="9"/>
      <c r="N392" s="5911"/>
      <c r="O392" s="1241"/>
      <c r="P392" s="1242"/>
      <c r="Q392" s="1242"/>
      <c r="R392" s="1242"/>
      <c r="S392" s="1243"/>
      <c r="T392" s="1242"/>
      <c r="V392" s="1256"/>
      <c r="W392" s="1291"/>
      <c r="X392" s="1239"/>
      <c r="Y392" s="1239"/>
      <c r="AA392" s="1256"/>
      <c r="AB392" s="1257"/>
      <c r="AC392" s="1261"/>
      <c r="AD392" s="1261"/>
      <c r="AF392" s="3">
        <v>1</v>
      </c>
    </row>
    <row r="393" spans="2:32" ht="30" customHeight="1">
      <c r="B393" s="5937"/>
      <c r="C393" s="176"/>
      <c r="D393" s="1262"/>
      <c r="E393" s="2018"/>
      <c r="F393" s="1262"/>
      <c r="G393" s="2019"/>
      <c r="H393" s="1262"/>
      <c r="I393" s="9"/>
      <c r="M393" s="9"/>
      <c r="N393" s="5911"/>
      <c r="O393" s="1241"/>
      <c r="P393" s="1242"/>
      <c r="Q393" s="1242"/>
      <c r="R393" s="1242"/>
      <c r="S393" s="1243"/>
      <c r="T393" s="1242"/>
      <c r="V393" s="1256"/>
      <c r="W393" s="1291"/>
      <c r="X393" s="1239"/>
      <c r="Y393" s="1239"/>
      <c r="AA393" s="1256"/>
      <c r="AB393" s="1257"/>
      <c r="AC393" s="1261"/>
      <c r="AD393" s="1261"/>
      <c r="AF393" s="3">
        <v>1</v>
      </c>
    </row>
    <row r="394" spans="2:32" ht="30" customHeight="1">
      <c r="B394" s="5937"/>
      <c r="C394" s="176"/>
      <c r="D394" s="1262"/>
      <c r="E394" s="2018"/>
      <c r="F394" s="1262"/>
      <c r="G394" s="2019"/>
      <c r="H394" s="1262"/>
      <c r="I394" s="9"/>
      <c r="M394" s="9"/>
      <c r="N394" s="5911"/>
      <c r="O394" s="1241"/>
      <c r="P394" s="1242"/>
      <c r="Q394" s="1242"/>
      <c r="R394" s="1242"/>
      <c r="S394" s="1243"/>
      <c r="T394" s="1242"/>
      <c r="V394" s="1256"/>
      <c r="W394" s="1291"/>
      <c r="X394" s="1239"/>
      <c r="Y394" s="1239"/>
      <c r="AA394" s="1256"/>
      <c r="AB394" s="1257"/>
      <c r="AC394" s="1261"/>
      <c r="AD394" s="1261"/>
      <c r="AF394" s="3">
        <v>1</v>
      </c>
    </row>
    <row r="395" spans="2:32" ht="30" customHeight="1">
      <c r="B395" s="5937"/>
      <c r="C395" s="176"/>
      <c r="D395" s="1262"/>
      <c r="E395" s="2018"/>
      <c r="F395" s="1262"/>
      <c r="G395" s="2019"/>
      <c r="H395" s="1262"/>
      <c r="I395" s="9"/>
      <c r="M395" s="9"/>
      <c r="N395" s="5911"/>
      <c r="O395" s="1241"/>
      <c r="P395" s="1242"/>
      <c r="Q395" s="1242"/>
      <c r="R395" s="1242"/>
      <c r="S395" s="1243"/>
      <c r="T395" s="1242"/>
      <c r="V395" s="1256"/>
      <c r="W395" s="1291"/>
      <c r="X395" s="1239"/>
      <c r="Y395" s="1239"/>
      <c r="AA395" s="1256"/>
      <c r="AB395" s="1257"/>
      <c r="AC395" s="1261"/>
      <c r="AD395" s="1261"/>
      <c r="AF395" s="3">
        <v>1</v>
      </c>
    </row>
    <row r="396" spans="2:32" ht="30" customHeight="1">
      <c r="B396" s="5937"/>
      <c r="C396" s="176"/>
      <c r="D396" s="1262"/>
      <c r="E396" s="2018"/>
      <c r="F396" s="1262"/>
      <c r="G396" s="2019"/>
      <c r="H396" s="1262"/>
      <c r="I396" s="9"/>
      <c r="M396" s="9"/>
      <c r="N396" s="5911"/>
      <c r="O396" s="1241"/>
      <c r="P396" s="1242"/>
      <c r="Q396" s="1242"/>
      <c r="R396" s="1242"/>
      <c r="S396" s="1243"/>
      <c r="T396" s="1242"/>
      <c r="V396" s="1256"/>
      <c r="W396" s="1291"/>
      <c r="X396" s="1239"/>
      <c r="Y396" s="1239"/>
      <c r="AA396" s="1256"/>
      <c r="AB396" s="1257"/>
      <c r="AC396" s="1261"/>
      <c r="AD396" s="1261"/>
      <c r="AF396" s="3">
        <v>1</v>
      </c>
    </row>
    <row r="397" spans="2:32" ht="30" customHeight="1">
      <c r="B397" s="5937"/>
      <c r="C397" s="176"/>
      <c r="D397" s="1262"/>
      <c r="E397" s="2018"/>
      <c r="F397" s="1262"/>
      <c r="G397" s="2019"/>
      <c r="H397" s="1262"/>
      <c r="I397" s="9"/>
      <c r="M397" s="9"/>
      <c r="N397" s="5911"/>
      <c r="O397" s="1241"/>
      <c r="P397" s="1242"/>
      <c r="Q397" s="1242"/>
      <c r="R397" s="1242"/>
      <c r="S397" s="1243"/>
      <c r="T397" s="1242"/>
      <c r="V397" s="1256"/>
      <c r="W397" s="1291"/>
      <c r="X397" s="1239"/>
      <c r="Y397" s="1239"/>
      <c r="AA397" s="1256"/>
      <c r="AB397" s="1257"/>
      <c r="AC397" s="1261"/>
      <c r="AD397" s="1261"/>
      <c r="AF397" s="3">
        <v>1</v>
      </c>
    </row>
    <row r="398" spans="2:32" ht="30" customHeight="1">
      <c r="B398" s="5937"/>
      <c r="C398" s="176"/>
      <c r="D398" s="1262"/>
      <c r="E398" s="2018"/>
      <c r="F398" s="1262"/>
      <c r="G398" s="2019"/>
      <c r="H398" s="1262"/>
      <c r="I398" s="9"/>
      <c r="M398" s="9"/>
      <c r="N398" s="5911"/>
      <c r="O398" s="1241"/>
      <c r="P398" s="1242"/>
      <c r="Q398" s="1242"/>
      <c r="R398" s="1242"/>
      <c r="S398" s="1243"/>
      <c r="T398" s="1242"/>
      <c r="V398" s="1256"/>
      <c r="W398" s="1291"/>
      <c r="X398" s="1239"/>
      <c r="Y398" s="1239"/>
      <c r="AA398" s="1256"/>
      <c r="AB398" s="1257"/>
      <c r="AC398" s="1261"/>
      <c r="AD398" s="1261"/>
      <c r="AF398" s="3">
        <v>1</v>
      </c>
    </row>
    <row r="399" spans="2:32" ht="30" customHeight="1">
      <c r="B399" s="5937"/>
      <c r="C399" s="176"/>
      <c r="D399" s="1262"/>
      <c r="E399" s="2018"/>
      <c r="F399" s="1262"/>
      <c r="G399" s="2019"/>
      <c r="H399" s="1262"/>
      <c r="I399" s="9"/>
      <c r="M399" s="9"/>
      <c r="N399" s="5911"/>
      <c r="O399" s="1241"/>
      <c r="P399" s="1242"/>
      <c r="Q399" s="1242"/>
      <c r="R399" s="1242"/>
      <c r="S399" s="1243"/>
      <c r="T399" s="1242"/>
      <c r="V399" s="1256"/>
      <c r="W399" s="1291"/>
      <c r="X399" s="1239"/>
      <c r="Y399" s="1239"/>
      <c r="AA399" s="1256"/>
      <c r="AB399" s="1257"/>
      <c r="AC399" s="1261"/>
      <c r="AD399" s="1261"/>
      <c r="AF399" s="3">
        <v>1</v>
      </c>
    </row>
    <row r="400" spans="2:32" ht="30" customHeight="1">
      <c r="B400" s="5937"/>
      <c r="C400" s="176"/>
      <c r="D400" s="1262"/>
      <c r="E400" s="2018"/>
      <c r="F400" s="1262"/>
      <c r="G400" s="2019"/>
      <c r="H400" s="1262"/>
      <c r="I400" s="9"/>
      <c r="M400" s="9"/>
      <c r="N400" s="5911"/>
      <c r="O400" s="1241"/>
      <c r="P400" s="1242"/>
      <c r="Q400" s="1242"/>
      <c r="R400" s="1242"/>
      <c r="S400" s="1243"/>
      <c r="T400" s="1242"/>
      <c r="V400" s="1256"/>
      <c r="W400" s="1291"/>
      <c r="X400" s="1239"/>
      <c r="Y400" s="1239"/>
      <c r="AA400" s="1256"/>
      <c r="AB400" s="1257"/>
      <c r="AC400" s="1261"/>
      <c r="AD400" s="1261"/>
      <c r="AF400" s="3">
        <v>1</v>
      </c>
    </row>
    <row r="401" spans="2:32" ht="30" customHeight="1">
      <c r="B401" s="5937"/>
      <c r="C401" s="176"/>
      <c r="D401" s="1262"/>
      <c r="E401" s="2018"/>
      <c r="F401" s="1262"/>
      <c r="G401" s="2019"/>
      <c r="H401" s="1262"/>
      <c r="I401" s="9"/>
      <c r="M401" s="9"/>
      <c r="N401" s="5911"/>
      <c r="O401" s="1241"/>
      <c r="P401" s="1242"/>
      <c r="Q401" s="1242"/>
      <c r="R401" s="1242"/>
      <c r="S401" s="1243"/>
      <c r="T401" s="1242"/>
      <c r="V401" s="1256"/>
      <c r="W401" s="1291"/>
      <c r="X401" s="1239"/>
      <c r="Y401" s="1239"/>
      <c r="AA401" s="1256"/>
      <c r="AB401" s="1257"/>
      <c r="AC401" s="1261"/>
      <c r="AD401" s="1261"/>
      <c r="AF401" s="3">
        <v>1</v>
      </c>
    </row>
    <row r="402" spans="2:32" ht="30" customHeight="1">
      <c r="B402" s="5937"/>
      <c r="C402" s="176"/>
      <c r="D402" s="1262"/>
      <c r="E402" s="2018"/>
      <c r="F402" s="1262"/>
      <c r="G402" s="2019"/>
      <c r="H402" s="1262"/>
      <c r="I402" s="9"/>
      <c r="M402" s="9"/>
      <c r="N402" s="5911"/>
      <c r="O402" s="1241"/>
      <c r="P402" s="1242"/>
      <c r="Q402" s="1242"/>
      <c r="R402" s="1242"/>
      <c r="S402" s="1243"/>
      <c r="T402" s="1242"/>
      <c r="V402" s="1256"/>
      <c r="W402" s="1291"/>
      <c r="X402" s="1239"/>
      <c r="Y402" s="1239"/>
      <c r="AA402" s="1256"/>
      <c r="AB402" s="1257"/>
      <c r="AC402" s="1261"/>
      <c r="AD402" s="1261"/>
      <c r="AF402" s="3">
        <v>1</v>
      </c>
    </row>
    <row r="403" spans="2:32" ht="30" customHeight="1">
      <c r="B403" s="5937"/>
      <c r="C403" s="176"/>
      <c r="D403" s="1262"/>
      <c r="E403" s="2018"/>
      <c r="F403" s="1262"/>
      <c r="G403" s="2019"/>
      <c r="H403" s="1262"/>
      <c r="I403" s="9"/>
      <c r="M403" s="9"/>
      <c r="N403" s="5911"/>
      <c r="O403" s="1241"/>
      <c r="P403" s="1242"/>
      <c r="Q403" s="1242"/>
      <c r="R403" s="1242"/>
      <c r="S403" s="1243"/>
      <c r="T403" s="1242"/>
      <c r="V403" s="1256"/>
      <c r="W403" s="1291"/>
      <c r="X403" s="1239"/>
      <c r="Y403" s="1239"/>
      <c r="AA403" s="1256"/>
      <c r="AB403" s="1257"/>
      <c r="AC403" s="1261"/>
      <c r="AD403" s="1261"/>
      <c r="AF403" s="3">
        <v>1</v>
      </c>
    </row>
    <row r="404" spans="2:32" ht="30" customHeight="1">
      <c r="B404" s="5937"/>
      <c r="C404" s="176"/>
      <c r="D404" s="1262"/>
      <c r="E404" s="2018"/>
      <c r="F404" s="1262"/>
      <c r="G404" s="2019"/>
      <c r="H404" s="1262"/>
      <c r="I404" s="9"/>
      <c r="M404" s="9"/>
      <c r="N404" s="5911"/>
      <c r="O404" s="1241"/>
      <c r="P404" s="1242"/>
      <c r="Q404" s="1242"/>
      <c r="R404" s="1242"/>
      <c r="S404" s="1243"/>
      <c r="T404" s="1242"/>
      <c r="V404" s="1256"/>
      <c r="W404" s="1291"/>
      <c r="X404" s="1239"/>
      <c r="Y404" s="1239"/>
      <c r="AA404" s="1256"/>
      <c r="AB404" s="1257"/>
      <c r="AC404" s="1261"/>
      <c r="AD404" s="1261"/>
      <c r="AF404" s="3">
        <v>1</v>
      </c>
    </row>
    <row r="405" spans="2:32" ht="30" customHeight="1">
      <c r="B405" s="5937"/>
      <c r="C405" s="176"/>
      <c r="D405" s="1262"/>
      <c r="E405" s="2018"/>
      <c r="F405" s="1262"/>
      <c r="G405" s="2019"/>
      <c r="H405" s="1262"/>
      <c r="I405" s="9"/>
      <c r="M405" s="9"/>
      <c r="N405" s="5911"/>
      <c r="O405" s="1241"/>
      <c r="P405" s="1242"/>
      <c r="Q405" s="1242"/>
      <c r="R405" s="1242"/>
      <c r="S405" s="1243"/>
      <c r="T405" s="1242"/>
      <c r="V405" s="1256"/>
      <c r="W405" s="1291"/>
      <c r="X405" s="1239"/>
      <c r="Y405" s="1239"/>
      <c r="AA405" s="1256"/>
      <c r="AB405" s="1257"/>
      <c r="AC405" s="1261"/>
      <c r="AD405" s="1261"/>
      <c r="AF405" s="3">
        <v>1</v>
      </c>
    </row>
    <row r="406" spans="2:32" ht="30" customHeight="1">
      <c r="B406" s="5937"/>
      <c r="C406" s="176"/>
      <c r="D406" s="1262"/>
      <c r="E406" s="2018"/>
      <c r="F406" s="1262"/>
      <c r="G406" s="2019"/>
      <c r="H406" s="1262"/>
      <c r="I406" s="9"/>
      <c r="M406" s="9"/>
      <c r="N406" s="5911"/>
      <c r="O406" s="1241"/>
      <c r="P406" s="1242"/>
      <c r="Q406" s="1242"/>
      <c r="R406" s="1242"/>
      <c r="S406" s="1243"/>
      <c r="T406" s="1242"/>
      <c r="V406" s="1256"/>
      <c r="W406" s="1291"/>
      <c r="X406" s="1239"/>
      <c r="Y406" s="1239"/>
      <c r="AA406" s="1256"/>
      <c r="AB406" s="1257"/>
      <c r="AC406" s="1261"/>
      <c r="AD406" s="1261"/>
      <c r="AF406" s="3">
        <v>1</v>
      </c>
    </row>
    <row r="407" spans="2:32" ht="30" customHeight="1">
      <c r="B407" s="5937"/>
      <c r="C407" s="176"/>
      <c r="D407" s="1262"/>
      <c r="E407" s="2018"/>
      <c r="F407" s="1262"/>
      <c r="G407" s="2019"/>
      <c r="H407" s="1262"/>
      <c r="I407" s="9"/>
      <c r="M407" s="9"/>
      <c r="N407" s="5911"/>
      <c r="O407" s="1241"/>
      <c r="P407" s="1242"/>
      <c r="Q407" s="1242"/>
      <c r="R407" s="1242"/>
      <c r="S407" s="1243"/>
      <c r="T407" s="1242"/>
      <c r="V407" s="1256"/>
      <c r="W407" s="1291"/>
      <c r="X407" s="1239"/>
      <c r="Y407" s="1239"/>
      <c r="AA407" s="1256"/>
      <c r="AB407" s="1257"/>
      <c r="AC407" s="1261"/>
      <c r="AD407" s="1261"/>
      <c r="AF407" s="3">
        <v>1</v>
      </c>
    </row>
    <row r="408" spans="2:32" ht="30" customHeight="1">
      <c r="B408" s="5937"/>
      <c r="C408" s="176"/>
      <c r="D408" s="1262"/>
      <c r="E408" s="2018"/>
      <c r="F408" s="1262"/>
      <c r="G408" s="2019"/>
      <c r="H408" s="1262"/>
      <c r="I408" s="9"/>
      <c r="M408" s="9"/>
      <c r="N408" s="5911"/>
      <c r="O408" s="1241"/>
      <c r="P408" s="1242"/>
      <c r="Q408" s="1242"/>
      <c r="R408" s="1242"/>
      <c r="S408" s="1243"/>
      <c r="T408" s="1242"/>
      <c r="V408" s="1256"/>
      <c r="W408" s="1291"/>
      <c r="X408" s="1239"/>
      <c r="Y408" s="1239"/>
      <c r="AA408" s="1256"/>
      <c r="AB408" s="1257"/>
      <c r="AC408" s="1261"/>
      <c r="AD408" s="1261"/>
      <c r="AF408" s="3">
        <v>1</v>
      </c>
    </row>
    <row r="409" spans="2:32" ht="30" customHeight="1">
      <c r="B409" s="5937"/>
      <c r="C409" s="176"/>
      <c r="D409" s="1262"/>
      <c r="E409" s="2018"/>
      <c r="F409" s="1262"/>
      <c r="G409" s="2019"/>
      <c r="H409" s="1262"/>
      <c r="I409" s="9"/>
      <c r="M409" s="9"/>
      <c r="N409" s="5911"/>
      <c r="O409" s="1241"/>
      <c r="P409" s="1242"/>
      <c r="Q409" s="1242"/>
      <c r="R409" s="1242"/>
      <c r="S409" s="1243"/>
      <c r="T409" s="1242"/>
      <c r="V409" s="1256"/>
      <c r="W409" s="1291"/>
      <c r="X409" s="1239"/>
      <c r="Y409" s="1239"/>
      <c r="AA409" s="1256"/>
      <c r="AB409" s="1257"/>
      <c r="AC409" s="1261"/>
      <c r="AD409" s="1261"/>
      <c r="AF409" s="3">
        <v>1</v>
      </c>
    </row>
    <row r="410" spans="2:32" ht="30" customHeight="1">
      <c r="B410" s="5937"/>
      <c r="C410" s="176"/>
      <c r="D410" s="1262"/>
      <c r="E410" s="2018"/>
      <c r="F410" s="1262"/>
      <c r="G410" s="2019"/>
      <c r="H410" s="1262"/>
      <c r="I410" s="9"/>
      <c r="M410" s="9"/>
      <c r="N410" s="5911"/>
      <c r="O410" s="1241"/>
      <c r="P410" s="1242"/>
      <c r="Q410" s="1242"/>
      <c r="R410" s="1242"/>
      <c r="S410" s="1243"/>
      <c r="T410" s="1242"/>
      <c r="V410" s="1256"/>
      <c r="W410" s="1291"/>
      <c r="X410" s="1239"/>
      <c r="Y410" s="1239"/>
      <c r="AA410" s="1256"/>
      <c r="AB410" s="1257"/>
      <c r="AC410" s="1261"/>
      <c r="AD410" s="1261"/>
      <c r="AF410" s="3">
        <v>1</v>
      </c>
    </row>
    <row r="411" spans="2:32" ht="30" customHeight="1">
      <c r="B411" s="5937"/>
      <c r="C411" s="176"/>
      <c r="D411" s="1262"/>
      <c r="E411" s="2018"/>
      <c r="F411" s="1262"/>
      <c r="G411" s="2019"/>
      <c r="H411" s="1262"/>
      <c r="I411" s="9"/>
      <c r="M411" s="9"/>
      <c r="N411" s="5911"/>
      <c r="O411" s="1241"/>
      <c r="P411" s="1242"/>
      <c r="Q411" s="1242"/>
      <c r="R411" s="1242"/>
      <c r="S411" s="1243"/>
      <c r="T411" s="1242"/>
      <c r="V411" s="1256"/>
      <c r="W411" s="1291"/>
      <c r="X411" s="1239"/>
      <c r="Y411" s="1239"/>
      <c r="AA411" s="1256"/>
      <c r="AB411" s="1257"/>
      <c r="AC411" s="1261"/>
      <c r="AD411" s="1261"/>
      <c r="AF411" s="3">
        <v>1</v>
      </c>
    </row>
    <row r="412" spans="2:32" ht="30" customHeight="1">
      <c r="B412" s="5937"/>
      <c r="C412" s="176"/>
      <c r="D412" s="1262"/>
      <c r="E412" s="2018"/>
      <c r="F412" s="1262"/>
      <c r="G412" s="2019"/>
      <c r="H412" s="1262"/>
      <c r="I412" s="9"/>
      <c r="M412" s="9"/>
      <c r="N412" s="5911"/>
      <c r="O412" s="1241"/>
      <c r="P412" s="1242"/>
      <c r="Q412" s="1242"/>
      <c r="R412" s="1242"/>
      <c r="S412" s="1243"/>
      <c r="T412" s="1242"/>
      <c r="V412" s="1256"/>
      <c r="W412" s="1291"/>
      <c r="X412" s="1239"/>
      <c r="Y412" s="1239"/>
      <c r="AA412" s="1256"/>
      <c r="AB412" s="1257"/>
      <c r="AC412" s="1261"/>
      <c r="AD412" s="1261"/>
      <c r="AF412" s="3">
        <v>1</v>
      </c>
    </row>
    <row r="413" spans="2:32" ht="30" customHeight="1">
      <c r="B413" s="5937"/>
      <c r="C413" s="176"/>
      <c r="D413" s="1262"/>
      <c r="E413" s="2018"/>
      <c r="F413" s="1262"/>
      <c r="G413" s="2019"/>
      <c r="H413" s="1262"/>
      <c r="I413" s="9"/>
      <c r="M413" s="9"/>
      <c r="N413" s="5911"/>
      <c r="O413" s="1241"/>
      <c r="P413" s="1242"/>
      <c r="Q413" s="1242"/>
      <c r="R413" s="1242"/>
      <c r="S413" s="1243"/>
      <c r="T413" s="1242"/>
      <c r="V413" s="1256"/>
      <c r="W413" s="1291"/>
      <c r="X413" s="1239"/>
      <c r="Y413" s="1239"/>
      <c r="AA413" s="1256"/>
      <c r="AB413" s="1257"/>
      <c r="AC413" s="1261"/>
      <c r="AD413" s="1261"/>
      <c r="AF413" s="3">
        <v>1</v>
      </c>
    </row>
    <row r="414" spans="2:32" ht="30" customHeight="1">
      <c r="B414" s="5937"/>
      <c r="C414" s="176"/>
      <c r="D414" s="1262"/>
      <c r="E414" s="2018"/>
      <c r="F414" s="1262"/>
      <c r="G414" s="2019"/>
      <c r="H414" s="1262"/>
      <c r="I414" s="9"/>
      <c r="M414" s="9"/>
      <c r="N414" s="5911"/>
      <c r="O414" s="1241"/>
      <c r="P414" s="1242"/>
      <c r="Q414" s="1242"/>
      <c r="R414" s="1242"/>
      <c r="S414" s="1243"/>
      <c r="T414" s="1242"/>
      <c r="V414" s="1256"/>
      <c r="W414" s="1291"/>
      <c r="X414" s="1239"/>
      <c r="Y414" s="1239"/>
      <c r="AA414" s="1256"/>
      <c r="AB414" s="1257"/>
      <c r="AC414" s="1261"/>
      <c r="AD414" s="1261"/>
      <c r="AF414" s="3">
        <v>1</v>
      </c>
    </row>
    <row r="415" spans="2:32" ht="30" customHeight="1">
      <c r="B415" s="5937"/>
      <c r="C415" s="176"/>
      <c r="D415" s="1262"/>
      <c r="E415" s="2018"/>
      <c r="F415" s="1262"/>
      <c r="G415" s="2019"/>
      <c r="H415" s="1262"/>
      <c r="I415" s="9"/>
      <c r="M415" s="9"/>
      <c r="N415" s="5911"/>
      <c r="O415" s="1241"/>
      <c r="P415" s="1242"/>
      <c r="Q415" s="1242"/>
      <c r="R415" s="1242"/>
      <c r="S415" s="1243"/>
      <c r="T415" s="1242"/>
      <c r="V415" s="1256"/>
      <c r="W415" s="1291"/>
      <c r="X415" s="1239"/>
      <c r="Y415" s="1239"/>
      <c r="AA415" s="1256"/>
      <c r="AB415" s="1257"/>
      <c r="AC415" s="1261"/>
      <c r="AD415" s="1261"/>
      <c r="AF415" s="3">
        <v>1</v>
      </c>
    </row>
    <row r="416" spans="2:32" ht="30" customHeight="1">
      <c r="B416" s="5937"/>
      <c r="C416" s="176"/>
      <c r="D416" s="1262"/>
      <c r="E416" s="2018"/>
      <c r="F416" s="1262"/>
      <c r="G416" s="2019"/>
      <c r="H416" s="1262"/>
      <c r="I416" s="9"/>
      <c r="M416" s="9"/>
      <c r="N416" s="5911"/>
      <c r="O416" s="1241"/>
      <c r="P416" s="1242"/>
      <c r="Q416" s="1242"/>
      <c r="R416" s="1242"/>
      <c r="S416" s="1243"/>
      <c r="T416" s="1242"/>
      <c r="V416" s="1256"/>
      <c r="W416" s="1291"/>
      <c r="X416" s="1239"/>
      <c r="Y416" s="1239"/>
      <c r="AA416" s="1256"/>
      <c r="AB416" s="1257"/>
      <c r="AC416" s="1261"/>
      <c r="AD416" s="1261"/>
      <c r="AF416" s="3">
        <v>1</v>
      </c>
    </row>
    <row r="417" spans="2:32" ht="30" customHeight="1">
      <c r="B417" s="5937"/>
      <c r="C417" s="176"/>
      <c r="D417" s="1262"/>
      <c r="E417" s="2018"/>
      <c r="F417" s="1262"/>
      <c r="G417" s="2019"/>
      <c r="H417" s="1262"/>
      <c r="I417" s="9"/>
      <c r="M417" s="9"/>
      <c r="N417" s="5911"/>
      <c r="O417" s="1241"/>
      <c r="P417" s="1242"/>
      <c r="Q417" s="1242"/>
      <c r="R417" s="1242"/>
      <c r="S417" s="1243"/>
      <c r="T417" s="1242"/>
      <c r="V417" s="1256"/>
      <c r="W417" s="1291"/>
      <c r="X417" s="1239"/>
      <c r="Y417" s="1239"/>
      <c r="AA417" s="1256"/>
      <c r="AB417" s="1257"/>
      <c r="AC417" s="1261"/>
      <c r="AD417" s="1261"/>
      <c r="AF417" s="3">
        <v>1</v>
      </c>
    </row>
    <row r="418" spans="2:32" ht="30" customHeight="1">
      <c r="B418" s="5937"/>
      <c r="C418" s="176"/>
      <c r="D418" s="1262"/>
      <c r="E418" s="2018"/>
      <c r="F418" s="1262"/>
      <c r="G418" s="2019"/>
      <c r="H418" s="1262"/>
      <c r="I418" s="9"/>
      <c r="M418" s="9"/>
      <c r="N418" s="5911"/>
      <c r="O418" s="1241"/>
      <c r="P418" s="1242"/>
      <c r="Q418" s="1242"/>
      <c r="R418" s="1242"/>
      <c r="S418" s="1243"/>
      <c r="T418" s="1242"/>
      <c r="V418" s="1256"/>
      <c r="W418" s="1291"/>
      <c r="X418" s="1239"/>
      <c r="Y418" s="1239"/>
      <c r="AA418" s="1256"/>
      <c r="AB418" s="1257"/>
      <c r="AC418" s="1261"/>
      <c r="AD418" s="1261"/>
      <c r="AF418" s="3">
        <v>1</v>
      </c>
    </row>
    <row r="419" spans="2:32" ht="30" customHeight="1">
      <c r="B419" s="5937"/>
      <c r="C419" s="176"/>
      <c r="D419" s="1262"/>
      <c r="E419" s="2018"/>
      <c r="F419" s="1262"/>
      <c r="G419" s="2019"/>
      <c r="H419" s="1262"/>
      <c r="I419" s="9"/>
      <c r="M419" s="9"/>
      <c r="N419" s="5911"/>
      <c r="O419" s="1241"/>
      <c r="P419" s="1242"/>
      <c r="Q419" s="1242"/>
      <c r="R419" s="1242"/>
      <c r="S419" s="1243"/>
      <c r="T419" s="1242"/>
      <c r="V419" s="1256"/>
      <c r="W419" s="1291"/>
      <c r="X419" s="1239"/>
      <c r="Y419" s="1239"/>
      <c r="AA419" s="1256"/>
      <c r="AB419" s="1257"/>
      <c r="AC419" s="1261"/>
      <c r="AD419" s="1261"/>
      <c r="AF419" s="3">
        <v>1</v>
      </c>
    </row>
    <row r="420" spans="2:32" ht="30" customHeight="1">
      <c r="B420" s="5937"/>
      <c r="C420" s="176"/>
      <c r="D420" s="1262"/>
      <c r="E420" s="2018"/>
      <c r="F420" s="1262"/>
      <c r="G420" s="2019"/>
      <c r="H420" s="1262"/>
      <c r="I420" s="9"/>
      <c r="M420" s="9"/>
      <c r="N420" s="5911"/>
      <c r="O420" s="1241"/>
      <c r="P420" s="1242"/>
      <c r="Q420" s="1242"/>
      <c r="R420" s="1242"/>
      <c r="S420" s="1243"/>
      <c r="T420" s="1242"/>
      <c r="V420" s="1256"/>
      <c r="W420" s="1291"/>
      <c r="X420" s="1239"/>
      <c r="Y420" s="1239"/>
      <c r="AA420" s="1256"/>
      <c r="AB420" s="1257"/>
      <c r="AC420" s="1261"/>
      <c r="AD420" s="1261"/>
      <c r="AF420" s="3">
        <v>1</v>
      </c>
    </row>
    <row r="421" spans="2:32" ht="30" customHeight="1">
      <c r="B421" s="5937"/>
      <c r="C421" s="176"/>
      <c r="D421" s="1262"/>
      <c r="E421" s="2018"/>
      <c r="F421" s="1262"/>
      <c r="G421" s="2019"/>
      <c r="H421" s="1262"/>
      <c r="I421" s="9"/>
      <c r="M421" s="9"/>
      <c r="N421" s="5911"/>
      <c r="O421" s="1241"/>
      <c r="P421" s="1242"/>
      <c r="Q421" s="1242"/>
      <c r="R421" s="1242"/>
      <c r="S421" s="1243"/>
      <c r="T421" s="1242"/>
      <c r="V421" s="1256"/>
      <c r="W421" s="1291"/>
      <c r="X421" s="1239"/>
      <c r="Y421" s="1239"/>
      <c r="AA421" s="1256"/>
      <c r="AB421" s="1257"/>
      <c r="AC421" s="1261"/>
      <c r="AD421" s="1261"/>
      <c r="AF421" s="3">
        <v>1</v>
      </c>
    </row>
    <row r="422" spans="2:32" ht="30" customHeight="1">
      <c r="B422" s="5937"/>
      <c r="C422" s="176"/>
      <c r="D422" s="1262"/>
      <c r="E422" s="2018"/>
      <c r="F422" s="1262"/>
      <c r="G422" s="2019"/>
      <c r="H422" s="1262"/>
      <c r="I422" s="9"/>
      <c r="M422" s="9"/>
      <c r="N422" s="5911"/>
      <c r="O422" s="1241"/>
      <c r="P422" s="1242"/>
      <c r="Q422" s="1242"/>
      <c r="R422" s="1242"/>
      <c r="S422" s="1243"/>
      <c r="T422" s="1242"/>
      <c r="V422" s="1256"/>
      <c r="W422" s="1291"/>
      <c r="X422" s="1239"/>
      <c r="Y422" s="1239"/>
      <c r="AA422" s="1256"/>
      <c r="AB422" s="1257"/>
      <c r="AC422" s="1261"/>
      <c r="AD422" s="1261"/>
      <c r="AF422" s="3">
        <v>1</v>
      </c>
    </row>
    <row r="423" spans="2:32" ht="30" customHeight="1">
      <c r="B423" s="5937"/>
      <c r="C423" s="176"/>
      <c r="D423" s="1262"/>
      <c r="E423" s="2018"/>
      <c r="F423" s="1262"/>
      <c r="G423" s="2019"/>
      <c r="H423" s="1262"/>
      <c r="I423" s="9"/>
      <c r="M423" s="9"/>
      <c r="N423" s="5911"/>
      <c r="O423" s="1241"/>
      <c r="P423" s="1242"/>
      <c r="Q423" s="1242"/>
      <c r="R423" s="1242"/>
      <c r="S423" s="1243"/>
      <c r="T423" s="1242"/>
      <c r="V423" s="1256"/>
      <c r="W423" s="1291"/>
      <c r="X423" s="1239"/>
      <c r="Y423" s="1239"/>
      <c r="AA423" s="1256"/>
      <c r="AB423" s="1257"/>
      <c r="AC423" s="1261"/>
      <c r="AD423" s="1261"/>
      <c r="AF423" s="3">
        <v>1</v>
      </c>
    </row>
    <row r="424" spans="2:32" ht="30" customHeight="1">
      <c r="B424" s="5937"/>
      <c r="C424" s="176"/>
      <c r="D424" s="1262"/>
      <c r="E424" s="2018"/>
      <c r="F424" s="1262"/>
      <c r="G424" s="2019"/>
      <c r="H424" s="1262"/>
      <c r="I424" s="9"/>
      <c r="M424" s="9"/>
      <c r="N424" s="5911"/>
      <c r="O424" s="1241"/>
      <c r="P424" s="1242"/>
      <c r="Q424" s="1242"/>
      <c r="R424" s="1242"/>
      <c r="S424" s="1243"/>
      <c r="T424" s="1242"/>
      <c r="V424" s="1256"/>
      <c r="W424" s="1291"/>
      <c r="X424" s="1239"/>
      <c r="Y424" s="1239"/>
      <c r="AA424" s="1256"/>
      <c r="AB424" s="1257"/>
      <c r="AC424" s="1261"/>
      <c r="AD424" s="1261"/>
      <c r="AF424" s="3">
        <v>1</v>
      </c>
    </row>
    <row r="425" spans="2:32" ht="30" customHeight="1">
      <c r="B425" s="5937"/>
      <c r="C425" s="176"/>
      <c r="D425" s="1262"/>
      <c r="E425" s="2018"/>
      <c r="F425" s="1262"/>
      <c r="G425" s="2019"/>
      <c r="H425" s="1262"/>
      <c r="I425" s="9"/>
      <c r="M425" s="9"/>
      <c r="N425" s="5911"/>
      <c r="O425" s="1241"/>
      <c r="P425" s="1242"/>
      <c r="Q425" s="1242"/>
      <c r="R425" s="1242"/>
      <c r="S425" s="1243"/>
      <c r="T425" s="1242"/>
      <c r="V425" s="1256"/>
      <c r="W425" s="1291"/>
      <c r="X425" s="1239"/>
      <c r="Y425" s="1239"/>
      <c r="AA425" s="1256"/>
      <c r="AB425" s="1257"/>
      <c r="AC425" s="1261"/>
      <c r="AD425" s="1261"/>
      <c r="AF425" s="3">
        <v>1</v>
      </c>
    </row>
    <row r="426" spans="2:32" ht="30" customHeight="1">
      <c r="B426" s="5937"/>
      <c r="C426" s="176"/>
      <c r="D426" s="1262"/>
      <c r="E426" s="2018"/>
      <c r="F426" s="1262"/>
      <c r="G426" s="2019"/>
      <c r="H426" s="1262"/>
      <c r="I426" s="9"/>
      <c r="M426" s="9"/>
      <c r="N426" s="5911"/>
      <c r="O426" s="1241"/>
      <c r="P426" s="1242"/>
      <c r="Q426" s="1242"/>
      <c r="R426" s="1242"/>
      <c r="S426" s="1243"/>
      <c r="T426" s="1242"/>
      <c r="V426" s="1256"/>
      <c r="W426" s="1291"/>
      <c r="X426" s="1239"/>
      <c r="Y426" s="1239"/>
      <c r="AA426" s="1256"/>
      <c r="AB426" s="1257"/>
      <c r="AC426" s="1261"/>
      <c r="AD426" s="1261"/>
      <c r="AF426" s="3">
        <v>1</v>
      </c>
    </row>
    <row r="427" spans="2:32" ht="30" customHeight="1">
      <c r="B427" s="5937"/>
      <c r="C427" s="176"/>
      <c r="D427" s="1262"/>
      <c r="E427" s="2018"/>
      <c r="F427" s="1262"/>
      <c r="G427" s="2019"/>
      <c r="H427" s="1262"/>
      <c r="I427" s="9"/>
      <c r="M427" s="9"/>
      <c r="N427" s="5911"/>
      <c r="O427" s="1241"/>
      <c r="P427" s="1242"/>
      <c r="Q427" s="1242"/>
      <c r="R427" s="1242"/>
      <c r="S427" s="1243"/>
      <c r="T427" s="1242"/>
      <c r="V427" s="1256"/>
      <c r="W427" s="1291"/>
      <c r="X427" s="1239"/>
      <c r="Y427" s="1239"/>
      <c r="AA427" s="1256"/>
      <c r="AB427" s="1257"/>
      <c r="AC427" s="1261"/>
      <c r="AD427" s="1261"/>
      <c r="AF427" s="3">
        <v>1</v>
      </c>
    </row>
    <row r="428" spans="2:32" ht="30" customHeight="1">
      <c r="B428" s="5937"/>
      <c r="C428" s="176"/>
      <c r="D428" s="1262"/>
      <c r="E428" s="2018"/>
      <c r="F428" s="1262"/>
      <c r="G428" s="2019"/>
      <c r="H428" s="1262"/>
      <c r="I428" s="9"/>
      <c r="M428" s="9"/>
      <c r="N428" s="5911"/>
      <c r="O428" s="1241"/>
      <c r="P428" s="1242"/>
      <c r="Q428" s="1242"/>
      <c r="R428" s="1242"/>
      <c r="S428" s="1243"/>
      <c r="T428" s="1242"/>
      <c r="V428" s="1256"/>
      <c r="W428" s="1291"/>
      <c r="X428" s="1239"/>
      <c r="Y428" s="1239"/>
      <c r="AA428" s="1256"/>
      <c r="AB428" s="1257"/>
      <c r="AC428" s="1261"/>
      <c r="AD428" s="1261"/>
      <c r="AF428" s="3">
        <v>1</v>
      </c>
    </row>
    <row r="429" spans="2:32" ht="30" customHeight="1">
      <c r="B429" s="5937"/>
      <c r="C429" s="176"/>
      <c r="D429" s="1262"/>
      <c r="E429" s="2018"/>
      <c r="F429" s="1262"/>
      <c r="G429" s="2019"/>
      <c r="H429" s="1262"/>
      <c r="I429" s="9"/>
      <c r="M429" s="9"/>
      <c r="N429" s="5911"/>
      <c r="O429" s="1241"/>
      <c r="P429" s="1242"/>
      <c r="Q429" s="1242"/>
      <c r="R429" s="1242"/>
      <c r="S429" s="1243"/>
      <c r="T429" s="1242"/>
      <c r="V429" s="1256"/>
      <c r="W429" s="1291"/>
      <c r="X429" s="1239"/>
      <c r="Y429" s="1239"/>
      <c r="AA429" s="1256"/>
      <c r="AB429" s="1257"/>
      <c r="AC429" s="1261"/>
      <c r="AD429" s="1261"/>
      <c r="AF429" s="3">
        <v>1</v>
      </c>
    </row>
    <row r="430" spans="2:32" ht="30" customHeight="1">
      <c r="B430" s="5937"/>
      <c r="C430" s="176"/>
      <c r="D430" s="1262"/>
      <c r="E430" s="2018"/>
      <c r="F430" s="1262"/>
      <c r="G430" s="2019"/>
      <c r="H430" s="1262"/>
      <c r="I430" s="9"/>
      <c r="M430" s="9"/>
      <c r="N430" s="5911"/>
      <c r="O430" s="1241"/>
      <c r="P430" s="1242"/>
      <c r="Q430" s="1242"/>
      <c r="R430" s="1242"/>
      <c r="S430" s="1243"/>
      <c r="T430" s="1242"/>
      <c r="V430" s="1256"/>
      <c r="W430" s="1291"/>
      <c r="X430" s="1239"/>
      <c r="Y430" s="1239"/>
      <c r="AA430" s="1256"/>
      <c r="AB430" s="1257"/>
      <c r="AC430" s="1261"/>
      <c r="AD430" s="1261"/>
      <c r="AF430" s="3">
        <v>1</v>
      </c>
    </row>
    <row r="431" spans="2:32" ht="30" customHeight="1">
      <c r="B431" s="5937"/>
      <c r="C431" s="176"/>
      <c r="D431" s="1262"/>
      <c r="E431" s="2018"/>
      <c r="F431" s="1262"/>
      <c r="G431" s="2019"/>
      <c r="H431" s="1262"/>
      <c r="I431" s="9"/>
      <c r="M431" s="9"/>
      <c r="N431" s="5911"/>
      <c r="O431" s="1241"/>
      <c r="P431" s="1242"/>
      <c r="Q431" s="1242"/>
      <c r="R431" s="1242"/>
      <c r="S431" s="1243"/>
      <c r="T431" s="1242"/>
      <c r="V431" s="1256"/>
      <c r="W431" s="1291"/>
      <c r="X431" s="1239"/>
      <c r="Y431" s="1239"/>
      <c r="AA431" s="1256"/>
      <c r="AB431" s="1257"/>
      <c r="AC431" s="1261"/>
      <c r="AD431" s="1261"/>
      <c r="AF431" s="3">
        <v>1</v>
      </c>
    </row>
    <row r="432" spans="2:32" ht="30" customHeight="1">
      <c r="B432" s="5937"/>
      <c r="C432" s="176"/>
      <c r="D432" s="1262"/>
      <c r="E432" s="2018"/>
      <c r="F432" s="1262"/>
      <c r="G432" s="2019"/>
      <c r="H432" s="1262"/>
      <c r="I432" s="9"/>
      <c r="M432" s="9"/>
      <c r="N432" s="5911"/>
      <c r="O432" s="1241"/>
      <c r="P432" s="1242"/>
      <c r="Q432" s="1242"/>
      <c r="R432" s="1242"/>
      <c r="S432" s="1243"/>
      <c r="T432" s="1242"/>
      <c r="V432" s="1256"/>
      <c r="W432" s="1291"/>
      <c r="X432" s="1239"/>
      <c r="Y432" s="1239"/>
      <c r="AA432" s="1256"/>
      <c r="AB432" s="1257"/>
      <c r="AC432" s="1261"/>
      <c r="AD432" s="1261"/>
      <c r="AF432" s="3">
        <v>1</v>
      </c>
    </row>
    <row r="433" spans="2:32" ht="30" customHeight="1">
      <c r="B433" s="5937"/>
      <c r="C433" s="176"/>
      <c r="D433" s="1262"/>
      <c r="E433" s="2018"/>
      <c r="F433" s="1262"/>
      <c r="G433" s="2019"/>
      <c r="H433" s="1262"/>
      <c r="I433" s="9"/>
      <c r="M433" s="9"/>
      <c r="N433" s="5911"/>
      <c r="O433" s="1241"/>
      <c r="P433" s="1242"/>
      <c r="Q433" s="1242"/>
      <c r="R433" s="1242"/>
      <c r="S433" s="1243"/>
      <c r="T433" s="1242"/>
      <c r="V433" s="1256"/>
      <c r="W433" s="1291"/>
      <c r="X433" s="1239"/>
      <c r="Y433" s="1239"/>
      <c r="AA433" s="1256"/>
      <c r="AB433" s="1257"/>
      <c r="AC433" s="1261"/>
      <c r="AD433" s="1261"/>
      <c r="AF433" s="3">
        <v>1</v>
      </c>
    </row>
    <row r="434" spans="2:32" ht="30" customHeight="1">
      <c r="B434" s="5937"/>
      <c r="C434" s="176"/>
      <c r="D434" s="1262"/>
      <c r="E434" s="2018"/>
      <c r="F434" s="1262"/>
      <c r="G434" s="2019"/>
      <c r="H434" s="1262"/>
      <c r="I434" s="9"/>
      <c r="M434" s="9"/>
      <c r="N434" s="5911"/>
      <c r="O434" s="1241"/>
      <c r="P434" s="1242"/>
      <c r="Q434" s="1242"/>
      <c r="R434" s="1242"/>
      <c r="S434" s="1243"/>
      <c r="T434" s="1242"/>
      <c r="V434" s="1256"/>
      <c r="W434" s="1291"/>
      <c r="X434" s="1239"/>
      <c r="Y434" s="1239"/>
      <c r="AA434" s="1256"/>
      <c r="AB434" s="1257"/>
      <c r="AC434" s="1261"/>
      <c r="AD434" s="1261"/>
      <c r="AF434" s="3">
        <v>1</v>
      </c>
    </row>
    <row r="435" spans="2:32" ht="30" customHeight="1">
      <c r="B435" s="5937"/>
      <c r="C435" s="176"/>
      <c r="D435" s="1262"/>
      <c r="E435" s="2018"/>
      <c r="F435" s="1262"/>
      <c r="G435" s="2019"/>
      <c r="H435" s="1262"/>
      <c r="I435" s="9"/>
      <c r="M435" s="9"/>
      <c r="N435" s="5911"/>
      <c r="O435" s="1241"/>
      <c r="P435" s="1242"/>
      <c r="Q435" s="1242"/>
      <c r="R435" s="1242"/>
      <c r="S435" s="1243"/>
      <c r="T435" s="1242"/>
      <c r="V435" s="1256"/>
      <c r="W435" s="1291"/>
      <c r="X435" s="1239"/>
      <c r="Y435" s="1239"/>
      <c r="AA435" s="1256"/>
      <c r="AB435" s="1257"/>
      <c r="AC435" s="1261"/>
      <c r="AD435" s="1261"/>
      <c r="AF435" s="3">
        <v>1</v>
      </c>
    </row>
    <row r="436" spans="2:32" ht="30" customHeight="1">
      <c r="B436" s="5937"/>
      <c r="C436" s="176"/>
      <c r="D436" s="1262"/>
      <c r="E436" s="2018"/>
      <c r="F436" s="1262"/>
      <c r="G436" s="2019"/>
      <c r="H436" s="1262"/>
      <c r="I436" s="9"/>
      <c r="M436" s="9"/>
      <c r="N436" s="5911"/>
      <c r="O436" s="1241"/>
      <c r="P436" s="1242"/>
      <c r="Q436" s="1242"/>
      <c r="R436" s="1242"/>
      <c r="S436" s="1243"/>
      <c r="T436" s="1242"/>
      <c r="V436" s="1256"/>
      <c r="W436" s="1291"/>
      <c r="X436" s="1239"/>
      <c r="Y436" s="1239"/>
      <c r="AA436" s="1256"/>
      <c r="AB436" s="1257"/>
      <c r="AC436" s="1261"/>
      <c r="AD436" s="1261"/>
      <c r="AF436" s="3">
        <v>1</v>
      </c>
    </row>
    <row r="437" spans="2:32" ht="30" customHeight="1">
      <c r="B437" s="5937"/>
      <c r="C437" s="176"/>
      <c r="D437" s="1262"/>
      <c r="E437" s="2018"/>
      <c r="F437" s="1262"/>
      <c r="G437" s="2019"/>
      <c r="H437" s="1262"/>
      <c r="I437" s="9"/>
      <c r="M437" s="9"/>
      <c r="N437" s="5911"/>
      <c r="O437" s="1241"/>
      <c r="P437" s="1242"/>
      <c r="Q437" s="1242"/>
      <c r="R437" s="1242"/>
      <c r="S437" s="1243"/>
      <c r="T437" s="1242"/>
      <c r="V437" s="1256"/>
      <c r="W437" s="1291"/>
      <c r="X437" s="1239"/>
      <c r="Y437" s="1239"/>
      <c r="AA437" s="1256"/>
      <c r="AB437" s="1257"/>
      <c r="AC437" s="1261"/>
      <c r="AD437" s="1261"/>
      <c r="AF437" s="3">
        <v>1</v>
      </c>
    </row>
    <row r="438" spans="2:32" ht="30" customHeight="1">
      <c r="B438" s="5937"/>
      <c r="C438" s="176"/>
      <c r="D438" s="1262"/>
      <c r="E438" s="2018"/>
      <c r="F438" s="1262"/>
      <c r="G438" s="2019"/>
      <c r="H438" s="1262"/>
      <c r="I438" s="9"/>
      <c r="M438" s="9"/>
      <c r="N438" s="5911"/>
      <c r="O438" s="1241"/>
      <c r="P438" s="1242"/>
      <c r="Q438" s="1242"/>
      <c r="R438" s="1242"/>
      <c r="S438" s="1243"/>
      <c r="T438" s="1242"/>
      <c r="V438" s="1256"/>
      <c r="W438" s="1291"/>
      <c r="X438" s="1239"/>
      <c r="Y438" s="1239"/>
      <c r="AA438" s="1256"/>
      <c r="AB438" s="1257"/>
      <c r="AC438" s="1261"/>
      <c r="AD438" s="1261"/>
      <c r="AF438" s="3">
        <v>1</v>
      </c>
    </row>
    <row r="439" spans="2:32" ht="30" customHeight="1">
      <c r="B439" s="5937"/>
      <c r="C439" s="176"/>
      <c r="D439" s="1262"/>
      <c r="E439" s="2018"/>
      <c r="F439" s="1262"/>
      <c r="G439" s="2019"/>
      <c r="H439" s="1262"/>
      <c r="I439" s="9"/>
      <c r="M439" s="9"/>
      <c r="N439" s="5911"/>
      <c r="O439" s="1241"/>
      <c r="P439" s="1242"/>
      <c r="Q439" s="1242"/>
      <c r="R439" s="1242"/>
      <c r="S439" s="1243"/>
      <c r="T439" s="1242"/>
      <c r="V439" s="1256"/>
      <c r="W439" s="1291"/>
      <c r="X439" s="1239"/>
      <c r="Y439" s="1239"/>
      <c r="AA439" s="1256"/>
      <c r="AB439" s="1257"/>
      <c r="AC439" s="1261"/>
      <c r="AD439" s="1261"/>
      <c r="AF439" s="3">
        <v>1</v>
      </c>
    </row>
    <row r="440" spans="2:32" ht="30" customHeight="1">
      <c r="B440" s="5937"/>
      <c r="C440" s="176"/>
      <c r="D440" s="1262"/>
      <c r="E440" s="2018"/>
      <c r="F440" s="1262"/>
      <c r="G440" s="2019"/>
      <c r="H440" s="1262"/>
      <c r="I440" s="9"/>
      <c r="M440" s="9"/>
      <c r="N440" s="5911"/>
      <c r="O440" s="1241"/>
      <c r="P440" s="1242"/>
      <c r="Q440" s="1242"/>
      <c r="R440" s="1242"/>
      <c r="S440" s="1243"/>
      <c r="T440" s="1242"/>
      <c r="V440" s="1256"/>
      <c r="W440" s="1291"/>
      <c r="X440" s="1239"/>
      <c r="Y440" s="1239"/>
      <c r="AA440" s="1256"/>
      <c r="AB440" s="1257"/>
      <c r="AC440" s="1261"/>
      <c r="AD440" s="1261"/>
      <c r="AF440" s="3">
        <v>1</v>
      </c>
    </row>
    <row r="441" spans="2:32" ht="30" customHeight="1">
      <c r="B441" s="5937"/>
      <c r="C441" s="176"/>
      <c r="D441" s="1262"/>
      <c r="E441" s="2018"/>
      <c r="F441" s="1262"/>
      <c r="G441" s="2019"/>
      <c r="H441" s="1262"/>
      <c r="I441" s="9"/>
      <c r="M441" s="9"/>
      <c r="N441" s="5911"/>
      <c r="O441" s="1241"/>
      <c r="P441" s="1242"/>
      <c r="Q441" s="1242"/>
      <c r="R441" s="1242"/>
      <c r="S441" s="1243"/>
      <c r="T441" s="1242"/>
      <c r="V441" s="1256"/>
      <c r="W441" s="1291"/>
      <c r="X441" s="1239"/>
      <c r="Y441" s="1239"/>
      <c r="AA441" s="1256"/>
      <c r="AB441" s="1257"/>
      <c r="AC441" s="1261"/>
      <c r="AD441" s="1261"/>
      <c r="AF441" s="3">
        <v>1</v>
      </c>
    </row>
    <row r="442" spans="2:32" ht="30" customHeight="1">
      <c r="B442" s="5937"/>
      <c r="C442" s="176"/>
      <c r="D442" s="1262"/>
      <c r="E442" s="2018"/>
      <c r="F442" s="1262"/>
      <c r="G442" s="2019"/>
      <c r="H442" s="1262"/>
      <c r="I442" s="9"/>
      <c r="M442" s="9"/>
      <c r="N442" s="5911"/>
      <c r="O442" s="1241"/>
      <c r="P442" s="1242"/>
      <c r="Q442" s="1242"/>
      <c r="R442" s="1242"/>
      <c r="S442" s="1243"/>
      <c r="T442" s="1242"/>
      <c r="V442" s="1256"/>
      <c r="W442" s="1291"/>
      <c r="X442" s="1239"/>
      <c r="Y442" s="1239"/>
      <c r="AA442" s="1256"/>
      <c r="AB442" s="1257"/>
      <c r="AC442" s="1261"/>
      <c r="AD442" s="1261"/>
      <c r="AF442" s="3">
        <v>1</v>
      </c>
    </row>
    <row r="443" spans="2:32" ht="30" customHeight="1">
      <c r="B443" s="5937"/>
      <c r="C443" s="176"/>
      <c r="D443" s="1262"/>
      <c r="E443" s="2018"/>
      <c r="F443" s="1262"/>
      <c r="G443" s="2019"/>
      <c r="H443" s="1262"/>
      <c r="I443" s="9"/>
      <c r="M443" s="9"/>
      <c r="N443" s="5911"/>
      <c r="O443" s="1241"/>
      <c r="P443" s="1242"/>
      <c r="Q443" s="1242"/>
      <c r="R443" s="1242"/>
      <c r="S443" s="1243"/>
      <c r="T443" s="1242"/>
      <c r="V443" s="1256"/>
      <c r="W443" s="1291"/>
      <c r="X443" s="1239"/>
      <c r="Y443" s="1239"/>
      <c r="AA443" s="1256"/>
      <c r="AB443" s="1257"/>
      <c r="AC443" s="1261"/>
      <c r="AD443" s="1261"/>
      <c r="AF443" s="3">
        <v>1</v>
      </c>
    </row>
    <row r="444" spans="2:32" ht="30" customHeight="1">
      <c r="B444" s="5937"/>
      <c r="C444" s="176"/>
      <c r="D444" s="1262"/>
      <c r="E444" s="2018"/>
      <c r="F444" s="1262"/>
      <c r="G444" s="2019"/>
      <c r="H444" s="1262"/>
      <c r="I444" s="9"/>
      <c r="M444" s="9"/>
      <c r="N444" s="5911"/>
      <c r="O444" s="1241"/>
      <c r="P444" s="1242"/>
      <c r="Q444" s="1242"/>
      <c r="R444" s="1242"/>
      <c r="S444" s="1243"/>
      <c r="T444" s="1242"/>
      <c r="V444" s="1256"/>
      <c r="W444" s="1291"/>
      <c r="X444" s="1239"/>
      <c r="Y444" s="1239"/>
      <c r="AA444" s="1256"/>
      <c r="AB444" s="1257"/>
      <c r="AC444" s="1261"/>
      <c r="AD444" s="1261"/>
      <c r="AF444" s="3">
        <v>1</v>
      </c>
    </row>
    <row r="445" spans="2:32" ht="30" customHeight="1">
      <c r="B445" s="5937"/>
      <c r="C445" s="176"/>
      <c r="D445" s="1262"/>
      <c r="E445" s="2018"/>
      <c r="F445" s="1262"/>
      <c r="G445" s="2019"/>
      <c r="H445" s="1262"/>
      <c r="I445" s="9"/>
      <c r="M445" s="9"/>
      <c r="N445" s="5911"/>
      <c r="O445" s="1241"/>
      <c r="P445" s="1242"/>
      <c r="Q445" s="1242"/>
      <c r="R445" s="1242"/>
      <c r="S445" s="1243"/>
      <c r="T445" s="1242"/>
      <c r="V445" s="1256"/>
      <c r="W445" s="1291"/>
      <c r="X445" s="1239"/>
      <c r="Y445" s="1239"/>
      <c r="AA445" s="1256"/>
      <c r="AB445" s="1257"/>
      <c r="AC445" s="1261"/>
      <c r="AD445" s="1261"/>
      <c r="AF445" s="3">
        <v>1</v>
      </c>
    </row>
    <row r="446" spans="2:32" ht="30" customHeight="1">
      <c r="B446" s="5937"/>
      <c r="C446" s="176"/>
      <c r="D446" s="1262"/>
      <c r="E446" s="2018"/>
      <c r="F446" s="1262"/>
      <c r="G446" s="2019"/>
      <c r="H446" s="1262"/>
      <c r="I446" s="9"/>
      <c r="M446" s="9"/>
      <c r="N446" s="5911"/>
      <c r="O446" s="1241"/>
      <c r="P446" s="1242"/>
      <c r="Q446" s="1242"/>
      <c r="R446" s="1242"/>
      <c r="S446" s="1243"/>
      <c r="T446" s="1242"/>
      <c r="V446" s="1256"/>
      <c r="W446" s="1291"/>
      <c r="X446" s="1239"/>
      <c r="Y446" s="1239"/>
      <c r="AA446" s="1256"/>
      <c r="AB446" s="1257"/>
      <c r="AC446" s="1261"/>
      <c r="AD446" s="1261"/>
      <c r="AF446" s="3">
        <v>1</v>
      </c>
    </row>
    <row r="447" spans="2:32" ht="30" customHeight="1">
      <c r="B447" s="5937"/>
      <c r="C447" s="176"/>
      <c r="D447" s="1262"/>
      <c r="E447" s="2018"/>
      <c r="F447" s="1262"/>
      <c r="G447" s="2019"/>
      <c r="H447" s="1262"/>
      <c r="I447" s="9"/>
      <c r="M447" s="9"/>
      <c r="N447" s="5911"/>
      <c r="O447" s="1241"/>
      <c r="P447" s="1242"/>
      <c r="Q447" s="1242"/>
      <c r="R447" s="1242"/>
      <c r="S447" s="1243"/>
      <c r="T447" s="1242"/>
      <c r="V447" s="1256"/>
      <c r="W447" s="1291"/>
      <c r="X447" s="1239"/>
      <c r="Y447" s="1239"/>
      <c r="AA447" s="1256"/>
      <c r="AB447" s="1257"/>
      <c r="AC447" s="1261"/>
      <c r="AD447" s="1261"/>
      <c r="AF447" s="3">
        <v>1</v>
      </c>
    </row>
    <row r="448" spans="2:32" ht="30" customHeight="1">
      <c r="B448" s="5937"/>
      <c r="C448" s="176"/>
      <c r="D448" s="1262"/>
      <c r="E448" s="2018"/>
      <c r="F448" s="1262"/>
      <c r="G448" s="2019"/>
      <c r="H448" s="1262"/>
      <c r="I448" s="9"/>
      <c r="M448" s="9"/>
      <c r="N448" s="5911"/>
      <c r="O448" s="1241"/>
      <c r="P448" s="1242"/>
      <c r="Q448" s="1242"/>
      <c r="R448" s="1242"/>
      <c r="S448" s="1243"/>
      <c r="T448" s="1242"/>
      <c r="V448" s="1256"/>
      <c r="W448" s="1291"/>
      <c r="X448" s="1239"/>
      <c r="Y448" s="1239"/>
      <c r="AA448" s="1256"/>
      <c r="AB448" s="1257"/>
      <c r="AC448" s="1261"/>
      <c r="AD448" s="1261"/>
      <c r="AF448" s="3">
        <v>1</v>
      </c>
    </row>
    <row r="449" spans="2:32" ht="30" customHeight="1">
      <c r="B449" s="5937"/>
      <c r="C449" s="176"/>
      <c r="D449" s="1262"/>
      <c r="E449" s="2018"/>
      <c r="F449" s="1262"/>
      <c r="G449" s="2019"/>
      <c r="H449" s="1262"/>
      <c r="I449" s="9"/>
      <c r="M449" s="9"/>
      <c r="N449" s="5911"/>
      <c r="O449" s="1241"/>
      <c r="P449" s="1242"/>
      <c r="Q449" s="1242"/>
      <c r="R449" s="1242"/>
      <c r="S449" s="1243"/>
      <c r="T449" s="1242"/>
      <c r="V449" s="1256"/>
      <c r="W449" s="1291"/>
      <c r="X449" s="1239"/>
      <c r="Y449" s="1239"/>
      <c r="AA449" s="1256"/>
      <c r="AB449" s="1257"/>
      <c r="AC449" s="1261"/>
      <c r="AD449" s="1261"/>
      <c r="AF449" s="3">
        <v>1</v>
      </c>
    </row>
    <row r="450" spans="2:32" ht="30" customHeight="1">
      <c r="B450" s="5937"/>
      <c r="C450" s="176"/>
      <c r="D450" s="1262"/>
      <c r="E450" s="2018"/>
      <c r="F450" s="1262"/>
      <c r="G450" s="2019"/>
      <c r="H450" s="1262"/>
      <c r="I450" s="9"/>
      <c r="M450" s="9"/>
      <c r="N450" s="5911"/>
      <c r="O450" s="1241"/>
      <c r="P450" s="1242"/>
      <c r="Q450" s="1242"/>
      <c r="R450" s="1242"/>
      <c r="S450" s="1243"/>
      <c r="T450" s="1242"/>
      <c r="V450" s="1256"/>
      <c r="W450" s="1291"/>
      <c r="X450" s="1239"/>
      <c r="Y450" s="1239"/>
      <c r="AA450" s="1256"/>
      <c r="AB450" s="1257"/>
      <c r="AC450" s="1261"/>
      <c r="AD450" s="1261"/>
      <c r="AF450" s="3">
        <v>1</v>
      </c>
    </row>
    <row r="451" spans="2:32" ht="30" customHeight="1">
      <c r="B451" s="5937"/>
      <c r="C451" s="176"/>
      <c r="D451" s="1262"/>
      <c r="E451" s="2018"/>
      <c r="F451" s="1262"/>
      <c r="G451" s="2019"/>
      <c r="H451" s="1262"/>
      <c r="I451" s="9"/>
      <c r="M451" s="9"/>
      <c r="N451" s="5911"/>
      <c r="O451" s="1241"/>
      <c r="P451" s="1242"/>
      <c r="Q451" s="1242"/>
      <c r="R451" s="1242"/>
      <c r="S451" s="1243"/>
      <c r="T451" s="1242"/>
      <c r="V451" s="1256"/>
      <c r="W451" s="1291"/>
      <c r="X451" s="1239"/>
      <c r="Y451" s="1239"/>
      <c r="AA451" s="1256"/>
      <c r="AB451" s="1257"/>
      <c r="AC451" s="1261"/>
      <c r="AD451" s="1261"/>
      <c r="AF451" s="3">
        <v>1</v>
      </c>
    </row>
    <row r="452" spans="2:32" ht="30" customHeight="1">
      <c r="B452" s="5937"/>
      <c r="C452" s="176"/>
      <c r="D452" s="1262"/>
      <c r="E452" s="2018"/>
      <c r="F452" s="1262"/>
      <c r="G452" s="2019"/>
      <c r="H452" s="1262"/>
      <c r="I452" s="9"/>
      <c r="M452" s="9"/>
      <c r="N452" s="5911"/>
      <c r="O452" s="1241"/>
      <c r="P452" s="1242"/>
      <c r="Q452" s="1242"/>
      <c r="R452" s="1242"/>
      <c r="S452" s="1243"/>
      <c r="T452" s="1242"/>
      <c r="V452" s="1256"/>
      <c r="W452" s="1291"/>
      <c r="X452" s="1239"/>
      <c r="Y452" s="1239"/>
      <c r="AA452" s="1256"/>
      <c r="AB452" s="1257"/>
      <c r="AC452" s="1261"/>
      <c r="AD452" s="1261"/>
      <c r="AF452" s="3">
        <v>1</v>
      </c>
    </row>
    <row r="453" spans="2:32" ht="30" customHeight="1">
      <c r="B453" s="5937"/>
      <c r="C453" s="176"/>
      <c r="D453" s="1262"/>
      <c r="E453" s="2018"/>
      <c r="F453" s="1262"/>
      <c r="G453" s="2019"/>
      <c r="H453" s="1262"/>
      <c r="I453" s="9"/>
      <c r="M453" s="9"/>
      <c r="N453" s="5911"/>
      <c r="O453" s="1241"/>
      <c r="P453" s="1242"/>
      <c r="Q453" s="1242"/>
      <c r="R453" s="1242"/>
      <c r="S453" s="1243"/>
      <c r="T453" s="1242"/>
      <c r="V453" s="1256"/>
      <c r="W453" s="1291"/>
      <c r="X453" s="1239"/>
      <c r="Y453" s="1239"/>
      <c r="AA453" s="1256"/>
      <c r="AB453" s="1257"/>
      <c r="AC453" s="1261"/>
      <c r="AD453" s="1261"/>
      <c r="AF453" s="3">
        <v>1</v>
      </c>
    </row>
    <row r="454" spans="2:32" ht="30" customHeight="1">
      <c r="B454" s="5937"/>
      <c r="C454" s="176"/>
      <c r="D454" s="1262"/>
      <c r="E454" s="2018"/>
      <c r="F454" s="1262"/>
      <c r="G454" s="2019"/>
      <c r="H454" s="1262"/>
      <c r="I454" s="9"/>
      <c r="M454" s="9"/>
      <c r="N454" s="5911"/>
      <c r="O454" s="1241"/>
      <c r="P454" s="1242"/>
      <c r="Q454" s="1242"/>
      <c r="R454" s="1242"/>
      <c r="S454" s="1243"/>
      <c r="T454" s="1242"/>
      <c r="V454" s="1256"/>
      <c r="W454" s="1291"/>
      <c r="X454" s="1239"/>
      <c r="Y454" s="1239"/>
      <c r="AA454" s="1256"/>
      <c r="AB454" s="1257"/>
      <c r="AC454" s="1261"/>
      <c r="AD454" s="1261"/>
      <c r="AF454" s="3">
        <v>1</v>
      </c>
    </row>
    <row r="455" spans="2:32" ht="30" customHeight="1">
      <c r="B455" s="5937"/>
      <c r="C455" s="176"/>
      <c r="D455" s="1262"/>
      <c r="E455" s="2018"/>
      <c r="F455" s="1262"/>
      <c r="G455" s="2019"/>
      <c r="H455" s="1262"/>
      <c r="I455" s="9"/>
      <c r="M455" s="9"/>
      <c r="N455" s="5911"/>
      <c r="O455" s="1241"/>
      <c r="P455" s="1242"/>
      <c r="Q455" s="1242"/>
      <c r="R455" s="1242"/>
      <c r="S455" s="1243"/>
      <c r="T455" s="1242"/>
      <c r="V455" s="1256"/>
      <c r="W455" s="1291"/>
      <c r="X455" s="1239"/>
      <c r="Y455" s="1239"/>
      <c r="AA455" s="1256"/>
      <c r="AB455" s="1257"/>
      <c r="AC455" s="1261"/>
      <c r="AD455" s="1261"/>
      <c r="AF455" s="3">
        <v>1</v>
      </c>
    </row>
    <row r="456" spans="2:32" ht="30" customHeight="1">
      <c r="B456" s="5937"/>
      <c r="C456" s="176"/>
      <c r="D456" s="1262"/>
      <c r="E456" s="2018"/>
      <c r="F456" s="1262"/>
      <c r="G456" s="2019"/>
      <c r="H456" s="1262"/>
      <c r="I456" s="9"/>
      <c r="M456" s="9"/>
      <c r="N456" s="5911"/>
      <c r="O456" s="1241"/>
      <c r="P456" s="1242"/>
      <c r="Q456" s="1242"/>
      <c r="R456" s="1242"/>
      <c r="S456" s="1243"/>
      <c r="T456" s="1242"/>
      <c r="V456" s="1256"/>
      <c r="W456" s="1291"/>
      <c r="X456" s="1239"/>
      <c r="Y456" s="1239"/>
      <c r="AA456" s="1256"/>
      <c r="AB456" s="1257"/>
      <c r="AC456" s="1261"/>
      <c r="AD456" s="1261"/>
      <c r="AF456" s="3">
        <v>1</v>
      </c>
    </row>
    <row r="457" spans="2:32" ht="30" customHeight="1">
      <c r="B457" s="5937"/>
      <c r="C457" s="176"/>
      <c r="D457" s="1262"/>
      <c r="E457" s="2018"/>
      <c r="F457" s="1262"/>
      <c r="G457" s="2019"/>
      <c r="H457" s="1262"/>
      <c r="I457" s="9"/>
      <c r="M457" s="9"/>
      <c r="N457" s="5911"/>
      <c r="O457" s="1241"/>
      <c r="P457" s="1242"/>
      <c r="Q457" s="1242"/>
      <c r="R457" s="1242"/>
      <c r="S457" s="1243"/>
      <c r="T457" s="1242"/>
      <c r="V457" s="1256"/>
      <c r="W457" s="1291"/>
      <c r="X457" s="1239"/>
      <c r="Y457" s="1239"/>
      <c r="AA457" s="1256"/>
      <c r="AB457" s="1257"/>
      <c r="AC457" s="1261"/>
      <c r="AD457" s="1261"/>
      <c r="AF457" s="3">
        <v>1</v>
      </c>
    </row>
    <row r="458" spans="2:32" ht="30" customHeight="1">
      <c r="B458" s="5937"/>
      <c r="C458" s="176"/>
      <c r="D458" s="1262"/>
      <c r="E458" s="2018"/>
      <c r="F458" s="1262"/>
      <c r="G458" s="2019"/>
      <c r="H458" s="1262"/>
      <c r="I458" s="9"/>
      <c r="M458" s="9"/>
      <c r="N458" s="5911"/>
      <c r="O458" s="1241"/>
      <c r="P458" s="1242"/>
      <c r="Q458" s="1242"/>
      <c r="R458" s="1242"/>
      <c r="S458" s="1243"/>
      <c r="T458" s="1242"/>
      <c r="V458" s="1256"/>
      <c r="W458" s="1291"/>
      <c r="X458" s="1239"/>
      <c r="Y458" s="1239"/>
      <c r="AA458" s="1256"/>
      <c r="AB458" s="1257"/>
      <c r="AC458" s="1261"/>
      <c r="AD458" s="1261"/>
      <c r="AF458" s="3">
        <v>1</v>
      </c>
    </row>
    <row r="459" spans="2:32" ht="30" customHeight="1">
      <c r="B459" s="5937"/>
      <c r="C459" s="176"/>
      <c r="D459" s="1262"/>
      <c r="E459" s="2018"/>
      <c r="F459" s="1262"/>
      <c r="G459" s="2019"/>
      <c r="H459" s="1262"/>
      <c r="I459" s="9"/>
      <c r="M459" s="9"/>
      <c r="N459" s="5911"/>
      <c r="O459" s="1241"/>
      <c r="P459" s="1242"/>
      <c r="Q459" s="1242"/>
      <c r="R459" s="1242"/>
      <c r="S459" s="1243"/>
      <c r="T459" s="1242"/>
      <c r="V459" s="1256"/>
      <c r="W459" s="1291"/>
      <c r="X459" s="1239"/>
      <c r="Y459" s="1239"/>
      <c r="AA459" s="1256"/>
      <c r="AB459" s="1257"/>
      <c r="AC459" s="1261"/>
      <c r="AD459" s="1261"/>
      <c r="AF459" s="3">
        <v>1</v>
      </c>
    </row>
    <row r="460" spans="2:32" ht="30" customHeight="1">
      <c r="B460" s="5937"/>
      <c r="C460" s="176"/>
      <c r="D460" s="1262"/>
      <c r="E460" s="2018"/>
      <c r="F460" s="1262"/>
      <c r="G460" s="2019"/>
      <c r="H460" s="1262"/>
      <c r="I460" s="9"/>
      <c r="M460" s="9"/>
      <c r="N460" s="5911"/>
      <c r="O460" s="1241"/>
      <c r="P460" s="1242"/>
      <c r="Q460" s="1242"/>
      <c r="R460" s="1242"/>
      <c r="S460" s="1243"/>
      <c r="T460" s="1242"/>
      <c r="V460" s="1256"/>
      <c r="W460" s="1291"/>
      <c r="X460" s="1239"/>
      <c r="Y460" s="1239"/>
      <c r="AA460" s="1256"/>
      <c r="AB460" s="1257"/>
      <c r="AC460" s="1261"/>
      <c r="AD460" s="1261"/>
      <c r="AF460" s="3">
        <v>1</v>
      </c>
    </row>
    <row r="461" spans="2:32" ht="30" customHeight="1">
      <c r="B461" s="5937"/>
      <c r="C461" s="176"/>
      <c r="D461" s="1262"/>
      <c r="E461" s="2018"/>
      <c r="F461" s="1262"/>
      <c r="G461" s="2019"/>
      <c r="H461" s="1262"/>
      <c r="I461" s="9"/>
      <c r="M461" s="9"/>
      <c r="N461" s="5911"/>
      <c r="O461" s="1241"/>
      <c r="P461" s="1242"/>
      <c r="Q461" s="1242"/>
      <c r="R461" s="1242"/>
      <c r="S461" s="1243"/>
      <c r="T461" s="1242"/>
      <c r="V461" s="1256"/>
      <c r="W461" s="1291"/>
      <c r="X461" s="1239"/>
      <c r="Y461" s="1239"/>
      <c r="AA461" s="1256"/>
      <c r="AB461" s="1257"/>
      <c r="AC461" s="1261"/>
      <c r="AD461" s="1261"/>
      <c r="AF461" s="3">
        <v>1</v>
      </c>
    </row>
    <row r="462" spans="2:32" ht="30" customHeight="1">
      <c r="B462" s="5937"/>
      <c r="C462" s="176"/>
      <c r="D462" s="1262"/>
      <c r="E462" s="2018"/>
      <c r="F462" s="1262"/>
      <c r="G462" s="2019"/>
      <c r="H462" s="1262"/>
      <c r="I462" s="9"/>
      <c r="M462" s="9"/>
      <c r="N462" s="5911"/>
      <c r="O462" s="1241"/>
      <c r="P462" s="1242"/>
      <c r="Q462" s="1242"/>
      <c r="R462" s="1242"/>
      <c r="S462" s="1243"/>
      <c r="T462" s="1242"/>
      <c r="V462" s="1256"/>
      <c r="W462" s="1291"/>
      <c r="X462" s="1239"/>
      <c r="Y462" s="1239"/>
      <c r="AA462" s="1256"/>
      <c r="AB462" s="1257"/>
      <c r="AC462" s="1261"/>
      <c r="AD462" s="1261"/>
      <c r="AF462" s="3">
        <v>1</v>
      </c>
    </row>
    <row r="463" spans="2:32" ht="30" customHeight="1">
      <c r="B463" s="5937"/>
      <c r="C463" s="176"/>
      <c r="D463" s="1262"/>
      <c r="E463" s="2018"/>
      <c r="F463" s="1262"/>
      <c r="G463" s="2019"/>
      <c r="H463" s="1262"/>
      <c r="I463" s="9"/>
      <c r="M463" s="9"/>
      <c r="N463" s="5911"/>
      <c r="O463" s="1241"/>
      <c r="P463" s="1242"/>
      <c r="Q463" s="1242"/>
      <c r="R463" s="1242"/>
      <c r="S463" s="1243"/>
      <c r="T463" s="1242"/>
      <c r="V463" s="1256"/>
      <c r="W463" s="1291"/>
      <c r="X463" s="1239"/>
      <c r="Y463" s="1239"/>
      <c r="AA463" s="1256"/>
      <c r="AB463" s="1257"/>
      <c r="AC463" s="1261"/>
      <c r="AD463" s="1261"/>
      <c r="AF463" s="3">
        <v>1</v>
      </c>
    </row>
    <row r="464" spans="2:32" ht="30" customHeight="1">
      <c r="B464" s="5937"/>
      <c r="C464" s="176"/>
      <c r="D464" s="1262"/>
      <c r="E464" s="2018"/>
      <c r="F464" s="1262"/>
      <c r="G464" s="2019"/>
      <c r="H464" s="1262"/>
      <c r="I464" s="9"/>
      <c r="M464" s="9"/>
      <c r="N464" s="5911"/>
      <c r="O464" s="1241"/>
      <c r="P464" s="1242"/>
      <c r="Q464" s="1242"/>
      <c r="R464" s="1242"/>
      <c r="S464" s="1243"/>
      <c r="T464" s="1242"/>
      <c r="V464" s="1256"/>
      <c r="W464" s="1291"/>
      <c r="X464" s="1239"/>
      <c r="Y464" s="1239"/>
      <c r="AA464" s="1256"/>
      <c r="AB464" s="1257"/>
      <c r="AC464" s="1261"/>
      <c r="AD464" s="1261"/>
      <c r="AF464" s="3">
        <v>1</v>
      </c>
    </row>
    <row r="465" spans="1:34" ht="30" customHeight="1">
      <c r="B465" s="5937"/>
      <c r="C465" s="176"/>
      <c r="D465" s="1262"/>
      <c r="E465" s="2018"/>
      <c r="F465" s="1262"/>
      <c r="G465" s="2019"/>
      <c r="H465" s="1262"/>
      <c r="I465" s="9"/>
      <c r="M465" s="9"/>
      <c r="N465" s="5911"/>
      <c r="O465" s="1241"/>
      <c r="P465" s="1242"/>
      <c r="Q465" s="1242"/>
      <c r="R465" s="1242"/>
      <c r="S465" s="1243"/>
      <c r="T465" s="1242"/>
      <c r="V465" s="1256"/>
      <c r="W465" s="1291"/>
      <c r="X465" s="1239"/>
      <c r="Y465" s="1239"/>
      <c r="AA465" s="1256"/>
      <c r="AB465" s="1257"/>
      <c r="AC465" s="1261"/>
      <c r="AD465" s="1261"/>
      <c r="AF465" s="3">
        <v>1</v>
      </c>
    </row>
    <row r="466" spans="1:34" ht="30" customHeight="1">
      <c r="B466" s="5937"/>
      <c r="C466" s="176"/>
      <c r="D466" s="1262"/>
      <c r="E466" s="2018"/>
      <c r="F466" s="1262"/>
      <c r="G466" s="2019"/>
      <c r="H466" s="1262"/>
      <c r="I466" s="9"/>
      <c r="M466" s="9"/>
      <c r="N466" s="5911"/>
      <c r="O466" s="1241"/>
      <c r="P466" s="1242"/>
      <c r="Q466" s="1242"/>
      <c r="R466" s="1242"/>
      <c r="S466" s="1243"/>
      <c r="T466" s="1242"/>
      <c r="V466" s="1256"/>
      <c r="W466" s="1291"/>
      <c r="X466" s="1239"/>
      <c r="Y466" s="1239"/>
      <c r="AA466" s="1256"/>
      <c r="AB466" s="1257"/>
      <c r="AC466" s="1261"/>
      <c r="AD466" s="1261"/>
      <c r="AF466" s="3">
        <v>1</v>
      </c>
    </row>
    <row r="467" spans="1:34" ht="30" customHeight="1">
      <c r="B467" s="5937"/>
      <c r="C467" s="176"/>
      <c r="D467" s="1262"/>
      <c r="E467" s="2018"/>
      <c r="F467" s="1262"/>
      <c r="G467" s="2019"/>
      <c r="H467" s="1262"/>
      <c r="I467" s="9"/>
      <c r="M467" s="9"/>
      <c r="N467" s="5911"/>
      <c r="O467" s="1241"/>
      <c r="P467" s="1242"/>
      <c r="Q467" s="1242"/>
      <c r="R467" s="1242"/>
      <c r="S467" s="1243"/>
      <c r="T467" s="1242"/>
      <c r="V467" s="1256"/>
      <c r="W467" s="1291"/>
      <c r="X467" s="1239"/>
      <c r="Y467" s="1239"/>
      <c r="AA467" s="1256"/>
      <c r="AB467" s="1257"/>
      <c r="AC467" s="1261"/>
      <c r="AD467" s="1261"/>
      <c r="AF467" s="3">
        <v>1</v>
      </c>
    </row>
    <row r="468" spans="1:34" ht="30" customHeight="1">
      <c r="B468" s="5937"/>
      <c r="C468" s="176"/>
      <c r="D468" s="1262"/>
      <c r="E468" s="2018"/>
      <c r="F468" s="1262"/>
      <c r="G468" s="2019"/>
      <c r="H468" s="1262"/>
      <c r="I468" s="9"/>
      <c r="M468" s="9"/>
      <c r="N468" s="5911"/>
      <c r="O468" s="1241"/>
      <c r="P468" s="1242"/>
      <c r="Q468" s="1242"/>
      <c r="R468" s="1242"/>
      <c r="S468" s="1243"/>
      <c r="T468" s="1242"/>
      <c r="V468" s="1256"/>
      <c r="W468" s="1291"/>
      <c r="X468" s="1239"/>
      <c r="Y468" s="1239"/>
      <c r="AA468" s="1256"/>
      <c r="AB468" s="1257"/>
      <c r="AC468" s="1261"/>
      <c r="AD468" s="1261"/>
      <c r="AF468" s="626" t="s">
        <v>793</v>
      </c>
    </row>
    <row r="469" spans="1:34">
      <c r="A469" s="3">
        <v>1</v>
      </c>
      <c r="B469" s="3">
        <v>1</v>
      </c>
      <c r="C469" s="3">
        <v>1</v>
      </c>
      <c r="D469" s="3">
        <v>1</v>
      </c>
      <c r="E469" s="3">
        <v>1</v>
      </c>
      <c r="F469" s="3">
        <v>1</v>
      </c>
      <c r="G469" s="3">
        <v>1</v>
      </c>
      <c r="H469" s="3">
        <v>1</v>
      </c>
      <c r="I469" s="3">
        <v>1</v>
      </c>
      <c r="J469" s="3">
        <v>1</v>
      </c>
      <c r="K469" s="3">
        <v>1</v>
      </c>
      <c r="L469" s="3">
        <v>1</v>
      </c>
      <c r="M469" s="3">
        <v>1</v>
      </c>
      <c r="N469" s="3">
        <v>1</v>
      </c>
      <c r="O469" s="3">
        <v>1</v>
      </c>
      <c r="P469" s="3">
        <v>1</v>
      </c>
      <c r="Q469" s="3">
        <v>1</v>
      </c>
      <c r="R469" s="3">
        <v>1</v>
      </c>
      <c r="S469" s="3">
        <v>1</v>
      </c>
      <c r="T469" s="3">
        <v>1</v>
      </c>
      <c r="U469" s="3">
        <v>1</v>
      </c>
      <c r="V469" s="3">
        <v>1</v>
      </c>
      <c r="W469" s="3">
        <v>1</v>
      </c>
      <c r="X469" s="3">
        <v>1</v>
      </c>
      <c r="Y469" s="3">
        <v>1</v>
      </c>
      <c r="Z469" s="3">
        <v>1</v>
      </c>
      <c r="AA469" s="3">
        <v>1</v>
      </c>
      <c r="AB469" s="3">
        <v>1</v>
      </c>
      <c r="AC469" s="3">
        <v>1</v>
      </c>
      <c r="AD469" s="3">
        <v>1</v>
      </c>
      <c r="AE469" s="3">
        <v>1</v>
      </c>
      <c r="AF469" s="1" t="str">
        <f>ADDRESS(ROW(),COLUMN(),4)</f>
        <v>AF469</v>
      </c>
      <c r="AG469" s="628"/>
      <c r="AH469" s="629" t="str">
        <f>ADDRESS(ROW(),COLUMN(),4)</f>
        <v>AH469</v>
      </c>
    </row>
  </sheetData>
  <mergeCells count="40">
    <mergeCell ref="K8:L8"/>
    <mergeCell ref="AB8:AD8"/>
    <mergeCell ref="C4:H5"/>
    <mergeCell ref="K4:L5"/>
    <mergeCell ref="N4:T5"/>
    <mergeCell ref="V4:Y5"/>
    <mergeCell ref="AA4:AD5"/>
    <mergeCell ref="AB10:AD10"/>
    <mergeCell ref="K22:L22"/>
    <mergeCell ref="AB32:AB33"/>
    <mergeCell ref="AC32:AC33"/>
    <mergeCell ref="AD32:AD33"/>
    <mergeCell ref="K33:L33"/>
    <mergeCell ref="AB37:AB38"/>
    <mergeCell ref="AC37:AC38"/>
    <mergeCell ref="AD37:AD38"/>
    <mergeCell ref="K43:L43"/>
    <mergeCell ref="AB46:AB47"/>
    <mergeCell ref="AC46:AC47"/>
    <mergeCell ref="AD46:AD47"/>
    <mergeCell ref="AA73:AA74"/>
    <mergeCell ref="AB73:AB74"/>
    <mergeCell ref="AC73:AC74"/>
    <mergeCell ref="AD73:AD74"/>
    <mergeCell ref="K48:L48"/>
    <mergeCell ref="K51:L51"/>
    <mergeCell ref="K54:L54"/>
    <mergeCell ref="K57:L57"/>
    <mergeCell ref="K59:L59"/>
    <mergeCell ref="AA65:AA66"/>
    <mergeCell ref="AB65:AB66"/>
    <mergeCell ref="AC65:AC66"/>
    <mergeCell ref="AD65:AD66"/>
    <mergeCell ref="K67:L67"/>
    <mergeCell ref="K69:L69"/>
    <mergeCell ref="AB76:AB77"/>
    <mergeCell ref="K77:L77"/>
    <mergeCell ref="K91:L91"/>
    <mergeCell ref="K97:L97"/>
    <mergeCell ref="K102:L102"/>
  </mergeCells>
  <hyperlinks>
    <hyperlink ref="AB78" r:id="rId1" xr:uid="{2A843FF5-8E1A-470D-BFF3-9A452CC1A25F}"/>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175F6-2DB6-4DCD-8DC0-CC63479E05C9}">
  <dimension ref="A1:AB198"/>
  <sheetViews>
    <sheetView zoomScaleNormal="100" workbookViewId="0">
      <selection activeCell="B32" sqref="B32"/>
    </sheetView>
  </sheetViews>
  <sheetFormatPr baseColWidth="10" defaultRowHeight="15"/>
  <cols>
    <col min="2" max="2" width="37" customWidth="1"/>
    <col min="3" max="3" width="15.28515625" style="1296" customWidth="1"/>
    <col min="4" max="4" width="47.28515625" style="1296" customWidth="1"/>
    <col min="6" max="6" width="38" customWidth="1"/>
    <col min="7" max="7" width="71.4257812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35.7109375" customWidth="1"/>
    <col min="25" max="25" width="3.7109375" customWidth="1"/>
    <col min="26" max="26" width="35.7109375" customWidth="1"/>
    <col min="27" max="27" width="11.7109375" customWidth="1"/>
  </cols>
  <sheetData>
    <row r="1" spans="1:28" ht="15.75">
      <c r="AA1" s="1282"/>
      <c r="AB1" s="3">
        <v>1</v>
      </c>
    </row>
    <row r="2" spans="1:28" s="2684" customFormat="1" ht="33.75">
      <c r="A2" s="2682"/>
      <c r="B2" s="2683" t="s">
        <v>9555</v>
      </c>
      <c r="C2" s="2683"/>
      <c r="D2" s="2683"/>
      <c r="E2" s="2683"/>
      <c r="F2" s="2683"/>
      <c r="G2" s="2683"/>
      <c r="H2" s="2683"/>
      <c r="I2" s="2683"/>
      <c r="J2" s="2683"/>
      <c r="K2" s="2683"/>
      <c r="L2" s="2683"/>
      <c r="M2" s="2683"/>
      <c r="N2" s="2683"/>
      <c r="O2" s="2683"/>
      <c r="P2" s="2683"/>
      <c r="Q2" s="2683"/>
      <c r="R2" s="2683"/>
      <c r="S2" s="2683"/>
      <c r="T2" s="2683"/>
      <c r="U2" s="2683"/>
      <c r="V2" s="2683"/>
      <c r="W2" s="2683"/>
      <c r="X2" s="2683"/>
      <c r="Y2" s="2683"/>
      <c r="Z2" s="2683"/>
      <c r="AA2" s="1282"/>
      <c r="AB2" s="3">
        <v>1</v>
      </c>
    </row>
    <row r="3" spans="1:28" ht="15.75">
      <c r="AA3" s="1282"/>
      <c r="AB3" s="3">
        <v>1</v>
      </c>
    </row>
    <row r="4" spans="1:28" ht="18.75">
      <c r="B4" s="5894" t="s">
        <v>9556</v>
      </c>
      <c r="C4" s="5895"/>
      <c r="D4" s="5895" t="s">
        <v>9557</v>
      </c>
      <c r="F4" s="5896" t="s">
        <v>9558</v>
      </c>
      <c r="G4" s="2685"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H4" s="5897" t="s">
        <v>9559</v>
      </c>
      <c r="J4" s="5897" t="s">
        <v>9560</v>
      </c>
      <c r="L4" s="5897" t="s">
        <v>9561</v>
      </c>
      <c r="N4" s="5897" t="s">
        <v>9562</v>
      </c>
      <c r="P4" s="5897" t="s">
        <v>9563</v>
      </c>
      <c r="R4" s="5897" t="s">
        <v>9564</v>
      </c>
      <c r="T4" s="5897" t="s">
        <v>9550</v>
      </c>
      <c r="V4" s="5897" t="s">
        <v>9565</v>
      </c>
      <c r="X4" s="5897" t="s">
        <v>9566</v>
      </c>
      <c r="Z4" s="5897" t="s">
        <v>9567</v>
      </c>
      <c r="AA4" s="1282"/>
      <c r="AB4" s="3">
        <v>1</v>
      </c>
    </row>
    <row r="5" spans="1:28" ht="15.75">
      <c r="B5" s="5894" t="s">
        <v>9568</v>
      </c>
      <c r="C5" s="5895"/>
      <c r="D5" s="5895" t="s">
        <v>9569</v>
      </c>
      <c r="F5" s="5898" t="s">
        <v>9570</v>
      </c>
      <c r="G5" s="2686" t="s">
        <v>9571</v>
      </c>
      <c r="H5" s="5899" t="s">
        <v>9572</v>
      </c>
      <c r="J5" s="5899" t="s">
        <v>9572</v>
      </c>
      <c r="L5" s="5899" t="s">
        <v>9573</v>
      </c>
      <c r="N5" s="5899" t="s">
        <v>9574</v>
      </c>
      <c r="P5" s="5899" t="s">
        <v>9573</v>
      </c>
      <c r="R5" s="5899" t="s">
        <v>9573</v>
      </c>
      <c r="T5" s="5899" t="s">
        <v>9573</v>
      </c>
      <c r="V5" s="5899" t="s">
        <v>9573</v>
      </c>
      <c r="X5" s="5899" t="s">
        <v>9573</v>
      </c>
      <c r="Z5" s="5899" t="s">
        <v>9575</v>
      </c>
      <c r="AA5" s="1282"/>
      <c r="AB5" s="3">
        <v>1</v>
      </c>
    </row>
    <row r="6" spans="1:28" ht="15.75">
      <c r="B6" s="5894" t="s">
        <v>9576</v>
      </c>
      <c r="C6" s="5895"/>
      <c r="D6" s="5895" t="s">
        <v>9577</v>
      </c>
      <c r="F6" s="5900" t="s">
        <v>9578</v>
      </c>
      <c r="G6" t="s">
        <v>9579</v>
      </c>
      <c r="H6" s="5900" t="s">
        <v>9580</v>
      </c>
      <c r="J6" s="5900" t="s">
        <v>9581</v>
      </c>
      <c r="L6" s="5900" t="s">
        <v>9582</v>
      </c>
      <c r="N6" s="5900" t="s">
        <v>9583</v>
      </c>
      <c r="P6" s="5900" t="s">
        <v>9584</v>
      </c>
      <c r="R6" s="5900" t="s">
        <v>9585</v>
      </c>
      <c r="T6" s="5900" t="s">
        <v>9586</v>
      </c>
      <c r="V6" s="5900" t="s">
        <v>9587</v>
      </c>
      <c r="X6" s="5900" t="s">
        <v>9588</v>
      </c>
      <c r="Z6" s="5900" t="s">
        <v>9589</v>
      </c>
      <c r="AA6" s="1282"/>
      <c r="AB6" s="3">
        <v>1</v>
      </c>
    </row>
    <row r="7" spans="1:28" ht="15.75">
      <c r="D7" s="5895"/>
      <c r="F7" s="5900" t="s">
        <v>9590</v>
      </c>
      <c r="G7" t="s">
        <v>9591</v>
      </c>
      <c r="H7" s="5901"/>
      <c r="J7" s="5900"/>
      <c r="L7" s="5900" t="s">
        <v>9592</v>
      </c>
      <c r="N7" s="5900" t="s">
        <v>9593</v>
      </c>
      <c r="P7" s="5901"/>
      <c r="R7" s="5901"/>
      <c r="T7" s="5901"/>
      <c r="V7" s="5901"/>
      <c r="X7" s="5901"/>
      <c r="Z7" s="5900" t="s">
        <v>9594</v>
      </c>
      <c r="AA7" s="1282"/>
      <c r="AB7" s="3">
        <v>1</v>
      </c>
    </row>
    <row r="8" spans="1:28" ht="15.75">
      <c r="B8" s="5894" t="s">
        <v>9595</v>
      </c>
      <c r="C8" s="5895" t="s">
        <v>9596</v>
      </c>
      <c r="D8" s="5894" t="s">
        <v>9597</v>
      </c>
      <c r="H8" s="5899" t="s">
        <v>9573</v>
      </c>
      <c r="J8" s="5899" t="s">
        <v>9573</v>
      </c>
      <c r="L8" s="5901"/>
      <c r="N8" s="5901"/>
      <c r="P8" s="5899" t="s">
        <v>9574</v>
      </c>
      <c r="R8" s="5899" t="s">
        <v>9574</v>
      </c>
      <c r="T8" s="5899" t="s">
        <v>9574</v>
      </c>
      <c r="V8" s="5899" t="s">
        <v>9574</v>
      </c>
      <c r="X8" s="5899" t="s">
        <v>9574</v>
      </c>
      <c r="Z8" s="5902"/>
      <c r="AA8" s="1282"/>
      <c r="AB8" s="3">
        <v>1</v>
      </c>
    </row>
    <row r="9" spans="1:28" ht="15.75">
      <c r="B9" s="5894" t="s">
        <v>9598</v>
      </c>
      <c r="C9" s="5895" t="s">
        <v>9599</v>
      </c>
      <c r="D9" s="5894" t="s">
        <v>9600</v>
      </c>
      <c r="F9" s="5898" t="s">
        <v>9601</v>
      </c>
      <c r="G9" s="2686" t="s">
        <v>9602</v>
      </c>
      <c r="H9" s="5900" t="s">
        <v>9603</v>
      </c>
      <c r="J9" s="5900" t="s">
        <v>9604</v>
      </c>
      <c r="L9" s="5899" t="s">
        <v>9574</v>
      </c>
      <c r="N9" s="5899" t="s">
        <v>9605</v>
      </c>
      <c r="P9" s="5900" t="s">
        <v>9606</v>
      </c>
      <c r="R9" s="5900" t="s">
        <v>9607</v>
      </c>
      <c r="T9" s="5900" t="s">
        <v>9608</v>
      </c>
      <c r="V9" s="5900" t="s">
        <v>9609</v>
      </c>
      <c r="X9" s="5900" t="s">
        <v>9610</v>
      </c>
      <c r="Z9" s="5902"/>
      <c r="AA9" s="1282"/>
      <c r="AB9" s="3">
        <v>1</v>
      </c>
    </row>
    <row r="10" spans="1:28" ht="15.75">
      <c r="C10" s="741"/>
      <c r="F10" s="5900" t="s">
        <v>9611</v>
      </c>
      <c r="G10" t="s">
        <v>9612</v>
      </c>
      <c r="H10" s="5900" t="s">
        <v>9613</v>
      </c>
      <c r="J10" s="5900" t="s">
        <v>9614</v>
      </c>
      <c r="L10" s="5900" t="s">
        <v>9615</v>
      </c>
      <c r="N10" s="5900" t="s">
        <v>9616</v>
      </c>
      <c r="P10" s="5901"/>
      <c r="R10" s="5901"/>
      <c r="T10" s="5901"/>
      <c r="V10" s="5901"/>
      <c r="X10" s="5901"/>
      <c r="Z10" s="5901"/>
      <c r="AA10" s="1282"/>
      <c r="AB10" s="3">
        <v>1</v>
      </c>
    </row>
    <row r="11" spans="1:28" ht="15.75">
      <c r="B11" s="5894" t="s">
        <v>9617</v>
      </c>
      <c r="C11" s="5895"/>
      <c r="D11" s="5894" t="s">
        <v>9618</v>
      </c>
      <c r="F11" s="5900" t="s">
        <v>9619</v>
      </c>
      <c r="G11" t="s">
        <v>9620</v>
      </c>
      <c r="H11" s="5901"/>
      <c r="J11" s="5900" t="s">
        <v>9621</v>
      </c>
      <c r="L11" s="5900" t="s">
        <v>9622</v>
      </c>
      <c r="N11" s="5901"/>
      <c r="P11" s="5899" t="s">
        <v>9575</v>
      </c>
      <c r="R11" s="5899" t="s">
        <v>9623</v>
      </c>
      <c r="T11" s="5899" t="s">
        <v>9624</v>
      </c>
      <c r="V11" s="5899" t="s">
        <v>9625</v>
      </c>
      <c r="X11" s="5899" t="s">
        <v>9575</v>
      </c>
      <c r="Z11" s="5901"/>
      <c r="AA11" s="1282"/>
      <c r="AB11" s="3">
        <v>1</v>
      </c>
    </row>
    <row r="12" spans="1:28" ht="15.75">
      <c r="B12" s="5894" t="s">
        <v>9626</v>
      </c>
      <c r="C12" s="5895"/>
      <c r="D12" s="5895" t="s">
        <v>9627</v>
      </c>
      <c r="H12" s="5899" t="s">
        <v>9574</v>
      </c>
      <c r="J12" s="5900" t="s">
        <v>9628</v>
      </c>
      <c r="L12" s="5900" t="s">
        <v>9629</v>
      </c>
      <c r="N12" s="5899" t="s">
        <v>9575</v>
      </c>
      <c r="P12" s="5900" t="s">
        <v>9630</v>
      </c>
      <c r="R12" s="5900" t="s">
        <v>9631</v>
      </c>
      <c r="T12" s="5900" t="s">
        <v>9632</v>
      </c>
      <c r="V12" s="5900" t="s">
        <v>9633</v>
      </c>
      <c r="X12" s="5900" t="s">
        <v>9634</v>
      </c>
      <c r="Z12" s="5901"/>
      <c r="AA12" s="1282"/>
      <c r="AB12" s="3">
        <v>1</v>
      </c>
    </row>
    <row r="13" spans="1:28" ht="15.75">
      <c r="B13" s="5894" t="s">
        <v>9635</v>
      </c>
      <c r="C13" s="5895"/>
      <c r="D13" s="5894" t="s">
        <v>9636</v>
      </c>
      <c r="F13" s="5898" t="s">
        <v>9637</v>
      </c>
      <c r="G13" s="2686" t="s">
        <v>9638</v>
      </c>
      <c r="H13" s="5900" t="s">
        <v>9639</v>
      </c>
      <c r="J13" s="5900" t="s">
        <v>9640</v>
      </c>
      <c r="L13" s="5901"/>
      <c r="N13" s="5900" t="s">
        <v>9641</v>
      </c>
      <c r="P13" s="5901"/>
      <c r="R13" s="5901"/>
      <c r="T13" s="5901"/>
      <c r="V13" s="5901"/>
      <c r="X13" s="5901"/>
      <c r="Z13" s="5901"/>
      <c r="AA13" s="1282"/>
      <c r="AB13" s="3">
        <v>1</v>
      </c>
    </row>
    <row r="14" spans="1:28" ht="15.75">
      <c r="F14" s="5900" t="s">
        <v>9642</v>
      </c>
      <c r="G14" t="s">
        <v>9643</v>
      </c>
      <c r="H14" s="5900" t="s">
        <v>9644</v>
      </c>
      <c r="J14" s="5900"/>
      <c r="L14" s="5899" t="s">
        <v>9605</v>
      </c>
      <c r="N14" s="5901"/>
      <c r="P14" s="5899" t="s">
        <v>9624</v>
      </c>
      <c r="R14" s="5899" t="s">
        <v>9605</v>
      </c>
      <c r="T14" s="5899" t="s">
        <v>9575</v>
      </c>
      <c r="V14" s="5901"/>
      <c r="X14" s="5901"/>
      <c r="Z14" s="5901"/>
      <c r="AA14" s="1282"/>
      <c r="AB14" s="3">
        <v>1</v>
      </c>
    </row>
    <row r="15" spans="1:28" ht="15.75">
      <c r="B15" s="5894" t="s">
        <v>9645</v>
      </c>
      <c r="C15" s="5895" t="s">
        <v>9646</v>
      </c>
      <c r="D15" s="5895" t="s">
        <v>9647</v>
      </c>
      <c r="F15" s="5900" t="s">
        <v>9648</v>
      </c>
      <c r="G15" t="s">
        <v>9649</v>
      </c>
      <c r="H15" s="5901"/>
      <c r="J15" s="5899" t="s">
        <v>9574</v>
      </c>
      <c r="L15" s="5900" t="s">
        <v>9650</v>
      </c>
      <c r="N15" s="5899" t="s">
        <v>9624</v>
      </c>
      <c r="P15" s="5900" t="s">
        <v>9651</v>
      </c>
      <c r="R15" s="5900" t="s">
        <v>9652</v>
      </c>
      <c r="T15" s="5900" t="s">
        <v>9653</v>
      </c>
      <c r="V15" s="5901"/>
      <c r="X15" s="5901"/>
      <c r="Z15" s="5901"/>
      <c r="AA15" s="1282"/>
      <c r="AB15" s="3">
        <v>1</v>
      </c>
    </row>
    <row r="16" spans="1:28" ht="15.75">
      <c r="B16" s="5894" t="s">
        <v>9645</v>
      </c>
      <c r="C16" s="5895" t="s">
        <v>9646</v>
      </c>
      <c r="D16" s="5895" t="s">
        <v>9654</v>
      </c>
      <c r="H16" s="5899" t="s">
        <v>4117</v>
      </c>
      <c r="J16" s="5900" t="s">
        <v>9655</v>
      </c>
      <c r="L16" s="5901"/>
      <c r="N16" s="5900" t="s">
        <v>9656</v>
      </c>
      <c r="P16" s="5901"/>
      <c r="R16" s="5901"/>
      <c r="T16" s="5901"/>
      <c r="V16" s="5901"/>
      <c r="X16" s="5901"/>
      <c r="Z16" s="5901"/>
      <c r="AA16" s="1282"/>
      <c r="AB16" s="3">
        <v>1</v>
      </c>
    </row>
    <row r="17" spans="2:28" ht="15.75">
      <c r="B17" s="5894" t="s">
        <v>9645</v>
      </c>
      <c r="C17" s="5895" t="s">
        <v>9646</v>
      </c>
      <c r="D17" s="5895" t="s">
        <v>9657</v>
      </c>
      <c r="F17" s="5898" t="s">
        <v>9658</v>
      </c>
      <c r="G17" s="2686" t="s">
        <v>9659</v>
      </c>
      <c r="H17" s="5903" t="s">
        <v>9660</v>
      </c>
      <c r="J17" s="5900" t="s">
        <v>9661</v>
      </c>
      <c r="L17" s="5899" t="s">
        <v>9662</v>
      </c>
      <c r="N17" s="5901"/>
      <c r="P17" s="5901"/>
      <c r="R17" s="5899" t="s">
        <v>9575</v>
      </c>
      <c r="T17" s="5901"/>
      <c r="V17" s="5901"/>
      <c r="X17" s="5901"/>
      <c r="Z17" s="5901"/>
      <c r="AA17" s="1282"/>
      <c r="AB17" s="3">
        <v>1</v>
      </c>
    </row>
    <row r="18" spans="2:28" ht="15.75">
      <c r="F18" s="5900" t="s">
        <v>9663</v>
      </c>
      <c r="G18" t="s">
        <v>9664</v>
      </c>
      <c r="H18" s="5901"/>
      <c r="J18" s="5900" t="s">
        <v>9665</v>
      </c>
      <c r="L18" s="5900" t="s">
        <v>9666</v>
      </c>
      <c r="N18" s="5901"/>
      <c r="P18" s="5901"/>
      <c r="R18" s="5900" t="s">
        <v>9667</v>
      </c>
      <c r="T18" s="5901"/>
      <c r="V18" s="5901"/>
      <c r="X18" s="5901"/>
      <c r="Z18" s="5901"/>
      <c r="AA18" s="1282"/>
      <c r="AB18" s="3">
        <v>1</v>
      </c>
    </row>
    <row r="19" spans="2:28" ht="15.75">
      <c r="B19" s="5894" t="s">
        <v>9668</v>
      </c>
      <c r="C19" s="5895"/>
      <c r="D19" s="5895" t="s">
        <v>9669</v>
      </c>
      <c r="F19" s="5900" t="s">
        <v>9670</v>
      </c>
      <c r="G19" t="s">
        <v>9671</v>
      </c>
      <c r="H19" s="5899" t="s">
        <v>9605</v>
      </c>
      <c r="J19" s="5900" t="s">
        <v>9672</v>
      </c>
      <c r="L19" s="5900" t="s">
        <v>9673</v>
      </c>
      <c r="N19" s="5901"/>
      <c r="P19" s="5901"/>
      <c r="R19" s="5901"/>
      <c r="T19" s="5901"/>
      <c r="V19" s="5901"/>
      <c r="X19" s="5901"/>
      <c r="Z19" s="5901"/>
      <c r="AA19" s="1282"/>
      <c r="AB19" s="3">
        <v>1</v>
      </c>
    </row>
    <row r="20" spans="2:28" ht="15.75">
      <c r="B20" s="5894" t="s">
        <v>9668</v>
      </c>
      <c r="C20" s="5895"/>
      <c r="D20" s="5895" t="s">
        <v>9674</v>
      </c>
      <c r="H20" s="5900" t="s">
        <v>9675</v>
      </c>
      <c r="J20" s="5900"/>
      <c r="L20" s="5901"/>
      <c r="N20" s="5901"/>
      <c r="P20" s="5901"/>
      <c r="R20" s="5899" t="s">
        <v>9676</v>
      </c>
      <c r="T20" s="5901"/>
      <c r="V20" s="5901"/>
      <c r="X20" s="5901"/>
      <c r="Z20" s="5901"/>
      <c r="AA20" s="1282"/>
      <c r="AB20" s="3">
        <v>1</v>
      </c>
    </row>
    <row r="21" spans="2:28" ht="15.75">
      <c r="B21" s="5894" t="s">
        <v>9668</v>
      </c>
      <c r="C21" s="5895"/>
      <c r="D21" s="5895" t="s">
        <v>9677</v>
      </c>
      <c r="F21" s="5898" t="s">
        <v>9678</v>
      </c>
      <c r="G21" s="2686" t="s">
        <v>9679</v>
      </c>
      <c r="H21" s="5900" t="s">
        <v>9680</v>
      </c>
      <c r="J21" s="5899" t="s">
        <v>4117</v>
      </c>
      <c r="L21" s="5901"/>
      <c r="N21" s="5901"/>
      <c r="P21" s="5901"/>
      <c r="R21" s="5900" t="s">
        <v>9681</v>
      </c>
      <c r="T21" s="5901"/>
      <c r="V21" s="5901"/>
      <c r="X21" s="5901"/>
      <c r="Z21" s="5901"/>
      <c r="AA21" s="1282"/>
      <c r="AB21" s="3">
        <v>1</v>
      </c>
    </row>
    <row r="22" spans="2:28" ht="15.75">
      <c r="F22" s="5900" t="s">
        <v>9682</v>
      </c>
      <c r="G22" t="s">
        <v>9683</v>
      </c>
      <c r="H22" s="5900"/>
      <c r="J22" s="5903" t="s">
        <v>9684</v>
      </c>
      <c r="L22" s="5901"/>
      <c r="N22" s="5901"/>
      <c r="P22" s="5901"/>
      <c r="R22" s="5901"/>
      <c r="T22" s="5901"/>
      <c r="V22" s="5901"/>
      <c r="X22" s="5901"/>
      <c r="Z22" s="5901"/>
      <c r="AA22" s="1282"/>
      <c r="AB22" s="3">
        <v>1</v>
      </c>
    </row>
    <row r="23" spans="2:28" ht="15.75">
      <c r="B23" s="5894" t="s">
        <v>9685</v>
      </c>
      <c r="C23" s="5895" t="s">
        <v>9686</v>
      </c>
      <c r="D23" s="5895" t="s">
        <v>9687</v>
      </c>
      <c r="F23" s="5900" t="s">
        <v>9688</v>
      </c>
      <c r="G23" t="s">
        <v>9689</v>
      </c>
      <c r="H23" s="5899" t="s">
        <v>9575</v>
      </c>
      <c r="J23" s="5903"/>
      <c r="L23" s="5901"/>
      <c r="N23" s="5901"/>
      <c r="P23" s="5901"/>
      <c r="R23" s="5899" t="s">
        <v>9690</v>
      </c>
      <c r="T23" s="5901"/>
      <c r="V23" s="5901"/>
      <c r="X23" s="5901"/>
      <c r="Z23" s="5901"/>
      <c r="AA23" s="1282"/>
      <c r="AB23" s="3">
        <v>1</v>
      </c>
    </row>
    <row r="24" spans="2:28" ht="15.75">
      <c r="H24" s="5900" t="s">
        <v>9691</v>
      </c>
      <c r="J24" s="5899" t="s">
        <v>9605</v>
      </c>
      <c r="L24" s="5901"/>
      <c r="N24" s="5901"/>
      <c r="P24" s="5901"/>
      <c r="R24" s="5900" t="s">
        <v>9692</v>
      </c>
      <c r="T24" s="5901"/>
      <c r="V24" s="5901"/>
      <c r="X24" s="5901"/>
      <c r="Z24" s="5901"/>
      <c r="AA24" s="1282"/>
      <c r="AB24" s="3">
        <v>1</v>
      </c>
    </row>
    <row r="25" spans="2:28" ht="15.75">
      <c r="B25" s="5894" t="s">
        <v>9693</v>
      </c>
      <c r="C25" s="5895" t="s">
        <v>9694</v>
      </c>
      <c r="D25" s="5895" t="s">
        <v>9695</v>
      </c>
      <c r="F25" s="5898" t="s">
        <v>9696</v>
      </c>
      <c r="G25" s="2686" t="s">
        <v>9697</v>
      </c>
      <c r="H25" s="5900" t="s">
        <v>9698</v>
      </c>
      <c r="J25" s="5900" t="s">
        <v>9699</v>
      </c>
      <c r="L25" s="5901"/>
      <c r="N25" s="5901"/>
      <c r="P25" s="5901"/>
      <c r="R25" s="5901"/>
      <c r="T25" s="5901"/>
      <c r="V25" s="5901"/>
      <c r="X25" s="5901"/>
      <c r="Z25" s="5901"/>
      <c r="AA25" s="1282"/>
      <c r="AB25" s="3">
        <v>1</v>
      </c>
    </row>
    <row r="26" spans="2:28" ht="15.75">
      <c r="B26" s="5894" t="s">
        <v>9693</v>
      </c>
      <c r="C26" s="5895" t="s">
        <v>9700</v>
      </c>
      <c r="D26" s="5895" t="s">
        <v>9701</v>
      </c>
      <c r="F26" s="5903" t="s">
        <v>9702</v>
      </c>
      <c r="G26" t="s">
        <v>9703</v>
      </c>
      <c r="H26" s="5900"/>
      <c r="J26" s="5900" t="s">
        <v>9704</v>
      </c>
      <c r="L26" s="5901"/>
      <c r="N26" s="5901"/>
      <c r="P26" s="5901"/>
      <c r="R26" s="5899" t="s">
        <v>9625</v>
      </c>
      <c r="T26" s="5901"/>
      <c r="V26" s="5901"/>
      <c r="X26" s="5901"/>
      <c r="Z26" s="5901"/>
      <c r="AA26" s="1282"/>
      <c r="AB26" s="3">
        <v>1</v>
      </c>
    </row>
    <row r="27" spans="2:28" ht="15.75">
      <c r="F27" s="5903" t="s">
        <v>9705</v>
      </c>
      <c r="G27" t="s">
        <v>9706</v>
      </c>
      <c r="H27" s="5899" t="s">
        <v>9707</v>
      </c>
      <c r="J27" s="5900"/>
      <c r="L27" s="5901"/>
      <c r="N27" s="5901"/>
      <c r="P27" s="5901"/>
      <c r="R27" s="5900" t="s">
        <v>9708</v>
      </c>
      <c r="T27" s="5901"/>
      <c r="V27" s="5901"/>
      <c r="X27" s="5901"/>
      <c r="Z27" s="5901"/>
      <c r="AA27" s="1282"/>
      <c r="AB27" s="3">
        <v>1</v>
      </c>
    </row>
    <row r="28" spans="2:28" ht="15.75">
      <c r="B28" s="5894" t="s">
        <v>9709</v>
      </c>
      <c r="C28" s="5895" t="s">
        <v>9710</v>
      </c>
      <c r="D28" s="5895" t="s">
        <v>9711</v>
      </c>
      <c r="F28" s="5903" t="s">
        <v>9712</v>
      </c>
      <c r="G28" t="s">
        <v>9713</v>
      </c>
      <c r="H28" s="5903" t="s">
        <v>9714</v>
      </c>
      <c r="J28" s="5899" t="s">
        <v>9575</v>
      </c>
      <c r="L28" s="5901"/>
      <c r="N28" s="5901"/>
      <c r="P28" s="5901"/>
      <c r="R28" s="5901"/>
      <c r="T28" s="5901"/>
      <c r="V28" s="5901"/>
      <c r="X28" s="5901"/>
      <c r="Z28" s="5901"/>
      <c r="AA28" s="1282"/>
      <c r="AB28" s="3">
        <v>1</v>
      </c>
    </row>
    <row r="29" spans="2:28" ht="15.75">
      <c r="B29" s="5894" t="s">
        <v>9715</v>
      </c>
      <c r="C29" s="5895" t="s">
        <v>9716</v>
      </c>
      <c r="D29" s="5895" t="s">
        <v>9717</v>
      </c>
      <c r="H29" s="5903" t="s">
        <v>9718</v>
      </c>
      <c r="J29" s="5900" t="s">
        <v>9719</v>
      </c>
      <c r="L29" s="5901"/>
      <c r="N29" s="5901"/>
      <c r="P29" s="5901"/>
      <c r="R29" s="5901"/>
      <c r="T29" s="5901"/>
      <c r="V29" s="5901"/>
      <c r="X29" s="5901"/>
      <c r="Z29" s="5901"/>
      <c r="AA29" s="1282"/>
      <c r="AB29" s="3">
        <v>1</v>
      </c>
    </row>
    <row r="30" spans="2:28" ht="15.75">
      <c r="F30" s="5898" t="s">
        <v>9624</v>
      </c>
      <c r="G30" s="2686" t="s">
        <v>9720</v>
      </c>
      <c r="H30" s="5903"/>
      <c r="J30" s="5900"/>
      <c r="L30" s="5901"/>
      <c r="N30" s="5901"/>
      <c r="P30" s="5901"/>
      <c r="R30" s="5901"/>
      <c r="T30" s="5901"/>
      <c r="V30" s="5901"/>
      <c r="X30" s="5901"/>
      <c r="Z30" s="5901"/>
      <c r="AA30" s="1282"/>
      <c r="AB30" s="3">
        <v>1</v>
      </c>
    </row>
    <row r="31" spans="2:28" ht="15.75">
      <c r="B31" s="5894" t="s">
        <v>9721</v>
      </c>
      <c r="C31" s="5895" t="s">
        <v>9722</v>
      </c>
      <c r="D31" s="5895" t="s">
        <v>9723</v>
      </c>
      <c r="F31" s="5900" t="s">
        <v>9724</v>
      </c>
      <c r="G31" t="s">
        <v>9725</v>
      </c>
      <c r="H31" s="5899" t="s">
        <v>8300</v>
      </c>
      <c r="J31" s="5899" t="s">
        <v>9707</v>
      </c>
      <c r="L31" s="5901"/>
      <c r="N31" s="5901"/>
      <c r="P31" s="5901"/>
      <c r="R31" s="5901"/>
      <c r="T31" s="5901"/>
      <c r="V31" s="5901"/>
      <c r="X31" s="5901"/>
      <c r="Z31" s="5901"/>
      <c r="AA31" s="1282"/>
      <c r="AB31" s="3">
        <v>1</v>
      </c>
    </row>
    <row r="32" spans="2:28" ht="15.75">
      <c r="F32" s="5900" t="s">
        <v>9726</v>
      </c>
      <c r="G32" s="630" t="s">
        <v>9727</v>
      </c>
      <c r="H32" s="5900" t="s">
        <v>9728</v>
      </c>
      <c r="J32" s="5903" t="s">
        <v>9729</v>
      </c>
      <c r="L32" s="5901"/>
      <c r="N32" s="5901"/>
      <c r="P32" s="5901"/>
      <c r="R32" s="5901"/>
      <c r="T32" s="5901"/>
      <c r="V32" s="5901"/>
      <c r="X32" s="5901"/>
      <c r="Z32" s="5901"/>
      <c r="AA32" s="1282"/>
      <c r="AB32" s="3">
        <v>1</v>
      </c>
    </row>
    <row r="33" spans="2:28" ht="15.75">
      <c r="B33" s="5894" t="s">
        <v>9730</v>
      </c>
      <c r="C33" s="5895" t="s">
        <v>9694</v>
      </c>
      <c r="D33" s="5895" t="s">
        <v>9695</v>
      </c>
      <c r="F33" s="5900" t="s">
        <v>9731</v>
      </c>
      <c r="G33" s="630" t="s">
        <v>9732</v>
      </c>
      <c r="H33" s="5900" t="s">
        <v>9733</v>
      </c>
      <c r="J33" s="5903" t="s">
        <v>9734</v>
      </c>
      <c r="L33" s="5901"/>
      <c r="N33" s="5901"/>
      <c r="P33" s="5901"/>
      <c r="R33" s="5901"/>
      <c r="T33" s="5901"/>
      <c r="V33" s="5901"/>
      <c r="X33" s="5901"/>
      <c r="Z33" s="5901"/>
      <c r="AA33" s="1282"/>
      <c r="AB33" s="3">
        <v>1</v>
      </c>
    </row>
    <row r="34" spans="2:28" ht="15.75">
      <c r="B34" s="5894" t="s">
        <v>9730</v>
      </c>
      <c r="C34" s="5895" t="s">
        <v>9700</v>
      </c>
      <c r="D34" s="5895" t="s">
        <v>9701</v>
      </c>
      <c r="H34" s="5901"/>
      <c r="J34" s="5903"/>
      <c r="L34" s="5901"/>
      <c r="N34" s="5901"/>
      <c r="P34" s="5901"/>
      <c r="R34" s="5901"/>
      <c r="T34" s="5901"/>
      <c r="V34" s="5901"/>
      <c r="X34" s="5901"/>
      <c r="Z34" s="5901"/>
      <c r="AA34" s="1282"/>
      <c r="AB34" s="3">
        <v>1</v>
      </c>
    </row>
    <row r="35" spans="2:28" ht="15.75">
      <c r="F35" s="5898" t="s">
        <v>9735</v>
      </c>
      <c r="G35" s="2686" t="s">
        <v>9736</v>
      </c>
      <c r="H35" s="5901"/>
      <c r="J35" s="5899" t="s">
        <v>8300</v>
      </c>
      <c r="L35" s="5901"/>
      <c r="N35" s="5901"/>
      <c r="P35" s="5901"/>
      <c r="R35" s="5901"/>
      <c r="T35" s="5901"/>
      <c r="V35" s="5901"/>
      <c r="X35" s="5901"/>
      <c r="Z35" s="5901"/>
      <c r="AA35" s="1282"/>
      <c r="AB35" s="3">
        <v>1</v>
      </c>
    </row>
    <row r="36" spans="2:28" ht="15.75">
      <c r="B36" s="5894" t="s">
        <v>9737</v>
      </c>
      <c r="C36" s="5895" t="s">
        <v>9686</v>
      </c>
      <c r="D36" s="5894" t="s">
        <v>9738</v>
      </c>
      <c r="F36" s="5903" t="s">
        <v>9739</v>
      </c>
      <c r="G36" t="s">
        <v>9740</v>
      </c>
      <c r="H36" s="5901"/>
      <c r="J36" s="5900" t="s">
        <v>9741</v>
      </c>
      <c r="L36" s="5901"/>
      <c r="N36" s="5901"/>
      <c r="P36" s="5901"/>
      <c r="R36" s="5901"/>
      <c r="T36" s="5901"/>
      <c r="V36" s="5901"/>
      <c r="X36" s="5901"/>
      <c r="Z36" s="5901"/>
      <c r="AA36" s="1282"/>
      <c r="AB36" s="3">
        <v>1</v>
      </c>
    </row>
    <row r="37" spans="2:28" ht="15.75">
      <c r="F37" s="5903" t="s">
        <v>9742</v>
      </c>
      <c r="G37" t="s">
        <v>9743</v>
      </c>
      <c r="H37" s="5901"/>
      <c r="J37" s="5900" t="s">
        <v>9744</v>
      </c>
      <c r="L37" s="5901"/>
      <c r="N37" s="5901"/>
      <c r="P37" s="5901"/>
      <c r="R37" s="5901"/>
      <c r="T37" s="5901"/>
      <c r="V37" s="5901"/>
      <c r="X37" s="5901"/>
      <c r="Z37" s="5901"/>
      <c r="AA37" s="1282"/>
      <c r="AB37" s="3">
        <v>1</v>
      </c>
    </row>
    <row r="38" spans="2:28" ht="15.75">
      <c r="B38" s="5894" t="s">
        <v>9745</v>
      </c>
      <c r="C38" s="5895" t="s">
        <v>9746</v>
      </c>
      <c r="D38" s="5895" t="s">
        <v>9701</v>
      </c>
      <c r="H38" s="5901"/>
      <c r="J38" s="5901"/>
      <c r="L38" s="5901"/>
      <c r="N38" s="5901"/>
      <c r="P38" s="5901"/>
      <c r="R38" s="5901"/>
      <c r="T38" s="5901"/>
      <c r="V38" s="5901"/>
      <c r="X38" s="5901"/>
      <c r="Z38" s="5901"/>
      <c r="AA38" s="1282"/>
      <c r="AB38" s="3">
        <v>1</v>
      </c>
    </row>
    <row r="39" spans="2:28" ht="15.75">
      <c r="B39" s="5894" t="s">
        <v>9745</v>
      </c>
      <c r="C39" s="5895" t="s">
        <v>9747</v>
      </c>
      <c r="D39" s="5895" t="s">
        <v>9748</v>
      </c>
      <c r="F39" s="5898" t="s">
        <v>9749</v>
      </c>
      <c r="G39" s="2686" t="s">
        <v>9575</v>
      </c>
      <c r="H39" s="5901"/>
      <c r="J39" s="5901"/>
      <c r="L39" s="5901"/>
      <c r="N39" s="5901"/>
      <c r="P39" s="5901"/>
      <c r="R39" s="5901"/>
      <c r="T39" s="5901"/>
      <c r="V39" s="5901"/>
      <c r="X39" s="5901"/>
      <c r="Z39" s="5901"/>
      <c r="AA39" s="1282"/>
      <c r="AB39" s="3">
        <v>1</v>
      </c>
    </row>
    <row r="40" spans="2:28" ht="15.75">
      <c r="F40" s="5894" t="s">
        <v>9750</v>
      </c>
      <c r="G40" t="s">
        <v>9751</v>
      </c>
      <c r="H40" s="5901"/>
      <c r="J40" s="5901"/>
      <c r="L40" s="5901"/>
      <c r="N40" s="5901"/>
      <c r="P40" s="5901"/>
      <c r="R40" s="5901"/>
      <c r="T40" s="5901"/>
      <c r="V40" s="5901"/>
      <c r="X40" s="5901"/>
      <c r="Z40" s="5901"/>
      <c r="AA40" s="1282"/>
      <c r="AB40" s="3">
        <v>1</v>
      </c>
    </row>
    <row r="41" spans="2:28" ht="15.75">
      <c r="B41" s="5894" t="s">
        <v>9752</v>
      </c>
      <c r="C41" s="5895" t="s">
        <v>9753</v>
      </c>
      <c r="D41" s="5895" t="s">
        <v>9754</v>
      </c>
      <c r="F41" s="5894" t="s">
        <v>9755</v>
      </c>
      <c r="G41" t="s">
        <v>9756</v>
      </c>
      <c r="H41" s="5901"/>
      <c r="J41" s="5901"/>
      <c r="L41" s="5901"/>
      <c r="N41" s="5901"/>
      <c r="P41" s="5901"/>
      <c r="R41" s="5901"/>
      <c r="T41" s="5901"/>
      <c r="V41" s="5901"/>
      <c r="X41" s="5901"/>
      <c r="Z41" s="5901"/>
      <c r="AA41" s="1282"/>
      <c r="AB41" s="3">
        <v>1</v>
      </c>
    </row>
    <row r="42" spans="2:28" ht="15.75">
      <c r="H42" s="5901"/>
      <c r="J42" s="5901"/>
      <c r="L42" s="5901"/>
      <c r="N42" s="5901"/>
      <c r="P42" s="5901"/>
      <c r="R42" s="5901"/>
      <c r="T42" s="5901"/>
      <c r="V42" s="5901"/>
      <c r="X42" s="5901"/>
      <c r="Z42" s="5901"/>
      <c r="AA42" s="1282"/>
      <c r="AB42" s="3">
        <v>1</v>
      </c>
    </row>
    <row r="43" spans="2:28" ht="15.75">
      <c r="B43" s="5894" t="s">
        <v>9757</v>
      </c>
      <c r="C43" s="5895" t="s">
        <v>9758</v>
      </c>
      <c r="D43" s="5895" t="s">
        <v>9759</v>
      </c>
      <c r="F43" s="5898" t="s">
        <v>9623</v>
      </c>
      <c r="G43" s="2686" t="s">
        <v>9760</v>
      </c>
      <c r="H43" s="5901"/>
      <c r="J43" s="5901"/>
      <c r="L43" s="5901"/>
      <c r="N43" s="5901"/>
      <c r="P43" s="5901"/>
      <c r="R43" s="5901"/>
      <c r="T43" s="5901"/>
      <c r="V43" s="5901"/>
      <c r="X43" s="5901"/>
      <c r="Z43" s="5901"/>
      <c r="AA43" s="1282"/>
      <c r="AB43" s="3">
        <v>1</v>
      </c>
    </row>
    <row r="44" spans="2:28" ht="15.75">
      <c r="B44" s="5894" t="s">
        <v>9761</v>
      </c>
      <c r="C44" s="5895" t="s">
        <v>9762</v>
      </c>
      <c r="D44" s="5895" t="s">
        <v>9763</v>
      </c>
      <c r="F44" s="5894" t="s">
        <v>9764</v>
      </c>
      <c r="G44" t="s">
        <v>9765</v>
      </c>
      <c r="H44" s="5901"/>
      <c r="J44" s="5901"/>
      <c r="L44" s="5901"/>
      <c r="N44" s="5901"/>
      <c r="P44" s="5901"/>
      <c r="R44" s="5901"/>
      <c r="T44" s="5901"/>
      <c r="V44" s="5901"/>
      <c r="X44" s="5901"/>
      <c r="Z44" s="5901"/>
      <c r="AA44" s="1282"/>
      <c r="AB44" s="3">
        <v>1</v>
      </c>
    </row>
    <row r="45" spans="2:28" ht="15.75">
      <c r="F45" s="5894" t="s">
        <v>9766</v>
      </c>
      <c r="G45" t="s">
        <v>9767</v>
      </c>
      <c r="H45" s="5901"/>
      <c r="J45" s="5901"/>
      <c r="L45" s="5901"/>
      <c r="N45" s="5901"/>
      <c r="P45" s="5901"/>
      <c r="R45" s="5901"/>
      <c r="T45" s="5901"/>
      <c r="V45" s="5901"/>
      <c r="X45" s="5901"/>
      <c r="Z45" s="5901"/>
      <c r="AA45" s="1282"/>
      <c r="AB45" s="3">
        <v>1</v>
      </c>
    </row>
    <row r="46" spans="2:28" ht="15.75">
      <c r="B46" s="5894" t="s">
        <v>9768</v>
      </c>
      <c r="C46" s="5895" t="s">
        <v>9694</v>
      </c>
      <c r="D46" s="5895" t="s">
        <v>9695</v>
      </c>
      <c r="H46" s="5901"/>
      <c r="J46" s="5901"/>
      <c r="L46" s="5901"/>
      <c r="N46" s="5901"/>
      <c r="P46" s="5901"/>
      <c r="R46" s="5901"/>
      <c r="T46" s="5901"/>
      <c r="V46" s="5901"/>
      <c r="X46" s="5901"/>
      <c r="Z46" s="5901"/>
      <c r="AA46" s="1282"/>
      <c r="AB46" s="3">
        <v>1</v>
      </c>
    </row>
    <row r="47" spans="2:28" ht="15.75">
      <c r="F47" s="5898" t="s">
        <v>9769</v>
      </c>
      <c r="G47" s="2686" t="s">
        <v>9770</v>
      </c>
      <c r="H47" s="5901"/>
      <c r="J47" s="5901"/>
      <c r="L47" s="5901"/>
      <c r="N47" s="5901"/>
      <c r="P47" s="5901"/>
      <c r="R47" s="5901"/>
      <c r="T47" s="5901"/>
      <c r="V47" s="5901"/>
      <c r="X47" s="5901"/>
      <c r="Z47" s="5901"/>
      <c r="AA47" s="1282"/>
      <c r="AB47" s="3">
        <v>1</v>
      </c>
    </row>
    <row r="48" spans="2:28" ht="15.75">
      <c r="B48" s="5894" t="s">
        <v>9771</v>
      </c>
      <c r="C48" s="5895" t="s">
        <v>9772</v>
      </c>
      <c r="D48" s="5895" t="s">
        <v>9772</v>
      </c>
      <c r="F48" s="5894" t="s">
        <v>9773</v>
      </c>
      <c r="G48" t="s">
        <v>9774</v>
      </c>
      <c r="H48" s="5901"/>
      <c r="J48" s="5901"/>
      <c r="L48" s="5901"/>
      <c r="N48" s="5901"/>
      <c r="P48" s="5901"/>
      <c r="R48" s="5901"/>
      <c r="T48" s="5901"/>
      <c r="V48" s="5901"/>
      <c r="X48" s="5901"/>
      <c r="Z48" s="5901"/>
      <c r="AA48" s="1282"/>
      <c r="AB48" s="3">
        <v>1</v>
      </c>
    </row>
    <row r="49" spans="2:28" ht="15.75">
      <c r="B49" s="5894" t="s">
        <v>9775</v>
      </c>
      <c r="C49" s="5895" t="s">
        <v>9746</v>
      </c>
      <c r="D49" s="5895" t="s">
        <v>9701</v>
      </c>
      <c r="F49" s="5894" t="s">
        <v>9776</v>
      </c>
      <c r="G49" t="s">
        <v>9777</v>
      </c>
      <c r="H49" s="5901"/>
      <c r="J49" s="5901"/>
      <c r="L49" s="5901"/>
      <c r="N49" s="5901"/>
      <c r="P49" s="5901"/>
      <c r="R49" s="5901"/>
      <c r="T49" s="5901"/>
      <c r="V49" s="5901"/>
      <c r="X49" s="5901"/>
      <c r="Z49" s="5901"/>
      <c r="AA49" s="1282"/>
      <c r="AB49" s="3">
        <v>1</v>
      </c>
    </row>
    <row r="50" spans="2:28" ht="15.75">
      <c r="B50" s="5894" t="s">
        <v>9778</v>
      </c>
      <c r="C50" s="5895" t="s">
        <v>9747</v>
      </c>
      <c r="D50" s="5895" t="s">
        <v>9748</v>
      </c>
      <c r="H50" s="5901"/>
      <c r="J50" s="5901"/>
      <c r="L50" s="5901"/>
      <c r="N50" s="5901"/>
      <c r="P50" s="5901"/>
      <c r="R50" s="5901"/>
      <c r="T50" s="5901"/>
      <c r="V50" s="5901"/>
      <c r="X50" s="5901"/>
      <c r="Z50" s="5901"/>
      <c r="AA50" s="1282"/>
      <c r="AB50" s="3">
        <v>1</v>
      </c>
    </row>
    <row r="51" spans="2:28" ht="15.75">
      <c r="B51" s="5894" t="s">
        <v>9779</v>
      </c>
      <c r="C51" s="5895" t="s">
        <v>9780</v>
      </c>
      <c r="D51" s="5895" t="s">
        <v>9780</v>
      </c>
      <c r="F51" s="2687" t="s">
        <v>9781</v>
      </c>
      <c r="H51" s="5901"/>
      <c r="J51" s="5901"/>
      <c r="L51" s="5901"/>
      <c r="N51" s="5901"/>
      <c r="P51" s="5901"/>
      <c r="R51" s="5901"/>
      <c r="T51" s="5901"/>
      <c r="V51" s="5901"/>
      <c r="X51" s="5901"/>
      <c r="Z51" s="5901"/>
      <c r="AA51" s="1282"/>
      <c r="AB51" s="3">
        <v>1</v>
      </c>
    </row>
    <row r="52" spans="2:28" ht="15.75">
      <c r="B52" s="5894" t="s">
        <v>9782</v>
      </c>
      <c r="C52" s="5895" t="s">
        <v>9783</v>
      </c>
      <c r="D52" s="5895" t="s">
        <v>9784</v>
      </c>
      <c r="F52" s="2304" t="s">
        <v>9785</v>
      </c>
      <c r="H52" s="5901"/>
      <c r="J52" s="5901"/>
      <c r="L52" s="5901"/>
      <c r="N52" s="5901"/>
      <c r="P52" s="5901"/>
      <c r="R52" s="5901"/>
      <c r="T52" s="5901"/>
      <c r="V52" s="5901"/>
      <c r="X52" s="5901"/>
      <c r="Z52" s="5901"/>
      <c r="AA52" s="1282"/>
      <c r="AB52" s="3">
        <v>1</v>
      </c>
    </row>
    <row r="53" spans="2:28" ht="15.75">
      <c r="F53" s="2687" t="s">
        <v>9786</v>
      </c>
      <c r="H53" s="5901"/>
      <c r="J53" s="5901"/>
      <c r="L53" s="5901"/>
      <c r="N53" s="5901"/>
      <c r="P53" s="5901"/>
      <c r="R53" s="5901"/>
      <c r="T53" s="5901"/>
      <c r="V53" s="5901"/>
      <c r="X53" s="5901"/>
      <c r="Z53" s="5901"/>
      <c r="AA53" s="1282"/>
      <c r="AB53" s="3">
        <v>1</v>
      </c>
    </row>
    <row r="54" spans="2:28" ht="15.75">
      <c r="B54" s="5894" t="s">
        <v>9787</v>
      </c>
      <c r="C54" s="5895" t="s">
        <v>9710</v>
      </c>
      <c r="D54" s="5895" t="s">
        <v>9711</v>
      </c>
      <c r="AB54" s="3">
        <v>1</v>
      </c>
    </row>
    <row r="55" spans="2:28" ht="15.75">
      <c r="B55" s="5894" t="s">
        <v>9787</v>
      </c>
      <c r="C55" s="5895" t="s">
        <v>9668</v>
      </c>
      <c r="D55" s="5895" t="s">
        <v>9788</v>
      </c>
      <c r="F55" s="5894" t="s">
        <v>9789</v>
      </c>
      <c r="AB55" s="3">
        <v>1</v>
      </c>
    </row>
    <row r="56" spans="2:28" ht="15.75">
      <c r="B56" s="5894" t="s">
        <v>9790</v>
      </c>
      <c r="C56" s="5895" t="s">
        <v>9791</v>
      </c>
      <c r="D56" s="5895" t="s">
        <v>9792</v>
      </c>
      <c r="F56" s="5894" t="s">
        <v>9793</v>
      </c>
      <c r="AB56" s="3">
        <v>1</v>
      </c>
    </row>
    <row r="57" spans="2:28" ht="15.75">
      <c r="F57" s="5894" t="s">
        <v>9794</v>
      </c>
      <c r="AB57" s="3">
        <v>1</v>
      </c>
    </row>
    <row r="58" spans="2:28" ht="15.75">
      <c r="B58" s="5894" t="s">
        <v>9795</v>
      </c>
      <c r="C58" s="5895" t="s">
        <v>9791</v>
      </c>
      <c r="D58" s="5895" t="s">
        <v>9792</v>
      </c>
      <c r="F58" s="5894" t="s">
        <v>9796</v>
      </c>
      <c r="AB58" s="3">
        <v>1</v>
      </c>
    </row>
    <row r="59" spans="2:28" ht="15.75">
      <c r="B59" s="5894" t="s">
        <v>9797</v>
      </c>
      <c r="C59" s="5895" t="s">
        <v>9694</v>
      </c>
      <c r="D59" s="5895" t="s">
        <v>9695</v>
      </c>
      <c r="F59" s="5894" t="s">
        <v>9798</v>
      </c>
      <c r="AB59" s="3">
        <v>1</v>
      </c>
    </row>
    <row r="60" spans="2:28" ht="15.75">
      <c r="B60" s="5894" t="s">
        <v>9799</v>
      </c>
      <c r="C60" s="5895" t="s">
        <v>9747</v>
      </c>
      <c r="D60" s="5895" t="s">
        <v>9748</v>
      </c>
      <c r="F60" s="5894" t="s">
        <v>9800</v>
      </c>
      <c r="AB60" s="3">
        <v>1</v>
      </c>
    </row>
    <row r="61" spans="2:28" ht="15.75">
      <c r="F61" s="5894" t="s">
        <v>9801</v>
      </c>
      <c r="AB61" s="3">
        <v>1</v>
      </c>
    </row>
    <row r="62" spans="2:28" ht="15.75">
      <c r="B62" s="5894" t="s">
        <v>9802</v>
      </c>
      <c r="C62" s="5895" t="s">
        <v>9803</v>
      </c>
      <c r="D62" s="5895" t="s">
        <v>9804</v>
      </c>
      <c r="AB62" s="3">
        <v>1</v>
      </c>
    </row>
    <row r="63" spans="2:28" ht="15.75">
      <c r="B63" s="5894" t="s">
        <v>9805</v>
      </c>
      <c r="C63" s="5895" t="s">
        <v>9806</v>
      </c>
      <c r="D63" s="5895" t="s">
        <v>9807</v>
      </c>
      <c r="F63" s="714" t="s">
        <v>9808</v>
      </c>
      <c r="G63" s="2688" t="s">
        <v>9809</v>
      </c>
      <c r="AB63" s="3">
        <v>1</v>
      </c>
    </row>
    <row r="64" spans="2:28" ht="15.75">
      <c r="B64" s="5894" t="s">
        <v>9805</v>
      </c>
      <c r="C64" s="5895" t="s">
        <v>9810</v>
      </c>
      <c r="D64" s="5894" t="s">
        <v>9811</v>
      </c>
      <c r="F64" s="714" t="s">
        <v>9812</v>
      </c>
      <c r="G64" s="2688" t="s">
        <v>9813</v>
      </c>
      <c r="AB64" s="3">
        <v>1</v>
      </c>
    </row>
    <row r="65" spans="2:28">
      <c r="F65" s="714" t="s">
        <v>9814</v>
      </c>
      <c r="G65" s="2689" t="s">
        <v>9815</v>
      </c>
      <c r="AB65" s="3">
        <v>1</v>
      </c>
    </row>
    <row r="66" spans="2:28" ht="15.75">
      <c r="B66" s="5894" t="s">
        <v>9816</v>
      </c>
      <c r="C66" s="5895" t="s">
        <v>1635</v>
      </c>
      <c r="D66" s="5895" t="s">
        <v>9817</v>
      </c>
      <c r="F66" s="714" t="s">
        <v>9818</v>
      </c>
      <c r="G66" s="2689" t="s">
        <v>9819</v>
      </c>
      <c r="AB66" s="3">
        <v>1</v>
      </c>
    </row>
    <row r="67" spans="2:28" ht="15.75">
      <c r="B67" s="5894" t="s">
        <v>9820</v>
      </c>
      <c r="C67" s="5895" t="s">
        <v>9791</v>
      </c>
      <c r="D67" s="5895" t="s">
        <v>9792</v>
      </c>
      <c r="F67" s="714" t="s">
        <v>9821</v>
      </c>
      <c r="G67" s="2689" t="s">
        <v>9822</v>
      </c>
      <c r="AB67" s="3">
        <v>1</v>
      </c>
    </row>
    <row r="68" spans="2:28" ht="15.75">
      <c r="B68" s="5894" t="s">
        <v>8319</v>
      </c>
      <c r="C68" s="5895" t="s">
        <v>9803</v>
      </c>
      <c r="D68" s="5895" t="s">
        <v>9804</v>
      </c>
      <c r="F68" s="714" t="s">
        <v>9823</v>
      </c>
      <c r="G68" s="2689" t="s">
        <v>9824</v>
      </c>
      <c r="AB68" s="3">
        <v>1</v>
      </c>
    </row>
    <row r="69" spans="2:28" ht="15.75">
      <c r="B69" s="5894" t="s">
        <v>9825</v>
      </c>
      <c r="C69" s="5895" t="s">
        <v>9826</v>
      </c>
      <c r="D69" s="5895" t="s">
        <v>9827</v>
      </c>
      <c r="F69" s="714" t="s">
        <v>9828</v>
      </c>
      <c r="G69" s="2689" t="s">
        <v>9829</v>
      </c>
      <c r="AB69" s="3">
        <v>1</v>
      </c>
    </row>
    <row r="70" spans="2:28" ht="15.75">
      <c r="B70" s="5894" t="s">
        <v>9830</v>
      </c>
      <c r="C70" s="5895" t="s">
        <v>9831</v>
      </c>
      <c r="D70" s="5895" t="s">
        <v>9832</v>
      </c>
      <c r="F70" s="714" t="s">
        <v>9833</v>
      </c>
      <c r="G70" s="2689" t="s">
        <v>9834</v>
      </c>
      <c r="AB70" s="3">
        <v>1</v>
      </c>
    </row>
    <row r="71" spans="2:28">
      <c r="F71" s="714" t="s">
        <v>9835</v>
      </c>
      <c r="G71" s="2689" t="s">
        <v>9836</v>
      </c>
      <c r="AB71" s="3">
        <v>1</v>
      </c>
    </row>
    <row r="72" spans="2:28" ht="15.75">
      <c r="B72" s="5894" t="s">
        <v>9837</v>
      </c>
      <c r="C72" s="5895" t="s">
        <v>9747</v>
      </c>
      <c r="D72" s="5895" t="s">
        <v>9748</v>
      </c>
      <c r="F72" s="714" t="s">
        <v>9838</v>
      </c>
      <c r="G72" s="2689" t="s">
        <v>9839</v>
      </c>
      <c r="AB72" s="3">
        <v>1</v>
      </c>
    </row>
    <row r="73" spans="2:28">
      <c r="F73" s="714" t="s">
        <v>9840</v>
      </c>
      <c r="G73" s="2689" t="s">
        <v>9841</v>
      </c>
      <c r="AB73" s="3">
        <v>1</v>
      </c>
    </row>
    <row r="74" spans="2:28" ht="15.75">
      <c r="B74" s="5894" t="s">
        <v>9842</v>
      </c>
      <c r="C74" s="5895" t="s">
        <v>9843</v>
      </c>
      <c r="D74" s="5895" t="s">
        <v>9844</v>
      </c>
      <c r="AA74" s="3">
        <v>1</v>
      </c>
      <c r="AB74" s="3">
        <v>1</v>
      </c>
    </row>
    <row r="75" spans="2:28" ht="15.75">
      <c r="B75" s="5894" t="s">
        <v>9842</v>
      </c>
      <c r="C75" s="5895" t="s">
        <v>9845</v>
      </c>
      <c r="D75" s="5895" t="s">
        <v>9817</v>
      </c>
      <c r="F75" t="s">
        <v>9846</v>
      </c>
      <c r="AB75" s="3">
        <v>1</v>
      </c>
    </row>
    <row r="76" spans="2:28" ht="15.75">
      <c r="B76" s="5894" t="s">
        <v>9842</v>
      </c>
      <c r="C76" s="5895" t="s">
        <v>9845</v>
      </c>
      <c r="D76" s="5895" t="s">
        <v>9817</v>
      </c>
      <c r="F76" t="s">
        <v>9847</v>
      </c>
      <c r="AB76" s="3">
        <v>1</v>
      </c>
    </row>
    <row r="77" spans="2:28" ht="15.75">
      <c r="B77" s="5894" t="s">
        <v>9848</v>
      </c>
      <c r="C77" s="5895" t="s">
        <v>9849</v>
      </c>
      <c r="D77" s="5895" t="s">
        <v>9817</v>
      </c>
      <c r="F77" t="s">
        <v>9850</v>
      </c>
      <c r="AB77" s="3">
        <v>1</v>
      </c>
    </row>
    <row r="78" spans="2:28" ht="15.75">
      <c r="B78" s="5894" t="s">
        <v>9848</v>
      </c>
      <c r="C78" s="5895" t="s">
        <v>9843</v>
      </c>
      <c r="D78" s="5895" t="s">
        <v>9844</v>
      </c>
      <c r="F78" t="s">
        <v>9851</v>
      </c>
      <c r="AB78" s="3">
        <v>1</v>
      </c>
    </row>
    <row r="79" spans="2:28">
      <c r="F79" t="s">
        <v>9852</v>
      </c>
      <c r="AB79" s="3">
        <v>1</v>
      </c>
    </row>
    <row r="80" spans="2:28" ht="15.75">
      <c r="B80" s="5894" t="s">
        <v>9853</v>
      </c>
      <c r="C80" s="5895" t="s">
        <v>9746</v>
      </c>
      <c r="D80" s="5895" t="s">
        <v>9701</v>
      </c>
      <c r="F80" t="s">
        <v>9854</v>
      </c>
      <c r="AB80" s="3">
        <v>1</v>
      </c>
    </row>
    <row r="81" spans="2:28" ht="15.75">
      <c r="B81" s="5894" t="s">
        <v>9855</v>
      </c>
      <c r="C81" s="5895" t="s">
        <v>9845</v>
      </c>
      <c r="D81" s="5895" t="s">
        <v>9817</v>
      </c>
      <c r="F81" t="s">
        <v>9856</v>
      </c>
      <c r="AB81" s="3">
        <v>1</v>
      </c>
    </row>
    <row r="82" spans="2:28" ht="15.75">
      <c r="B82" s="5894" t="s">
        <v>9857</v>
      </c>
      <c r="C82" s="5895" t="s">
        <v>1635</v>
      </c>
      <c r="D82" s="5895" t="s">
        <v>9817</v>
      </c>
      <c r="AB82" s="3">
        <v>1</v>
      </c>
    </row>
    <row r="83" spans="2:28" ht="15.75">
      <c r="B83" s="5894" t="s">
        <v>9858</v>
      </c>
      <c r="C83" s="5895" t="s">
        <v>1635</v>
      </c>
      <c r="D83" s="5895" t="s">
        <v>9817</v>
      </c>
      <c r="AB83" s="3">
        <v>1</v>
      </c>
    </row>
    <row r="84" spans="2:28" ht="15.75">
      <c r="B84" s="5894" t="s">
        <v>9859</v>
      </c>
      <c r="C84" s="5895" t="s">
        <v>9686</v>
      </c>
      <c r="D84" s="5894" t="s">
        <v>9860</v>
      </c>
      <c r="AB84" s="3">
        <v>1</v>
      </c>
    </row>
    <row r="85" spans="2:28" ht="15.75">
      <c r="B85" s="5894" t="s">
        <v>9861</v>
      </c>
      <c r="C85" s="5895" t="s">
        <v>9746</v>
      </c>
      <c r="D85" s="5895" t="s">
        <v>9701</v>
      </c>
      <c r="AB85" s="3">
        <v>1</v>
      </c>
    </row>
    <row r="86" spans="2:28">
      <c r="AB86" s="3">
        <v>1</v>
      </c>
    </row>
    <row r="87" spans="2:28" ht="15.75">
      <c r="B87" s="5894" t="s">
        <v>9862</v>
      </c>
      <c r="C87" s="5895" t="s">
        <v>9863</v>
      </c>
      <c r="D87" s="5895" t="s">
        <v>9864</v>
      </c>
      <c r="AB87" s="3">
        <v>1</v>
      </c>
    </row>
    <row r="88" spans="2:28" ht="15.75">
      <c r="B88" s="5894" t="s">
        <v>9865</v>
      </c>
      <c r="C88" s="5895" t="s">
        <v>9866</v>
      </c>
      <c r="D88" s="5895" t="s">
        <v>9867</v>
      </c>
      <c r="AB88" s="3">
        <v>1</v>
      </c>
    </row>
    <row r="89" spans="2:28" ht="15.75">
      <c r="B89" s="5894" t="s">
        <v>9865</v>
      </c>
      <c r="C89" s="5895" t="s">
        <v>9868</v>
      </c>
      <c r="D89" s="5895" t="s">
        <v>9869</v>
      </c>
      <c r="AB89" s="3">
        <v>1</v>
      </c>
    </row>
    <row r="90" spans="2:28" ht="15.75">
      <c r="B90" s="5894" t="s">
        <v>9870</v>
      </c>
      <c r="C90" s="5895" t="s">
        <v>9871</v>
      </c>
      <c r="D90" s="5895" t="s">
        <v>9872</v>
      </c>
      <c r="AB90" s="3">
        <v>1</v>
      </c>
    </row>
    <row r="91" spans="2:28" ht="15.75">
      <c r="B91" s="5894" t="s">
        <v>9873</v>
      </c>
      <c r="C91" s="5895" t="s">
        <v>9845</v>
      </c>
      <c r="D91" s="5895" t="s">
        <v>9817</v>
      </c>
      <c r="AB91" s="3">
        <v>1</v>
      </c>
    </row>
    <row r="92" spans="2:28">
      <c r="AB92" s="3">
        <v>1</v>
      </c>
    </row>
    <row r="93" spans="2:28" ht="15.75">
      <c r="B93" s="5894" t="s">
        <v>9874</v>
      </c>
      <c r="C93" s="5895" t="s">
        <v>9875</v>
      </c>
      <c r="D93" s="5895" t="s">
        <v>9876</v>
      </c>
      <c r="AB93" s="3">
        <v>1</v>
      </c>
    </row>
    <row r="94" spans="2:28" ht="15.75">
      <c r="B94" s="5894" t="s">
        <v>9874</v>
      </c>
      <c r="C94" s="5895" t="s">
        <v>9746</v>
      </c>
      <c r="D94" s="5895" t="s">
        <v>9701</v>
      </c>
      <c r="AB94" s="3">
        <v>1</v>
      </c>
    </row>
    <row r="95" spans="2:28" ht="15.75">
      <c r="B95" s="5894" t="s">
        <v>9874</v>
      </c>
      <c r="C95" s="5895" t="s">
        <v>9877</v>
      </c>
      <c r="D95" s="5895" t="s">
        <v>9711</v>
      </c>
      <c r="AB95" s="3">
        <v>1</v>
      </c>
    </row>
    <row r="96" spans="2:28" ht="15.75">
      <c r="B96" s="5894" t="s">
        <v>9874</v>
      </c>
      <c r="C96" s="5895" t="s">
        <v>9878</v>
      </c>
      <c r="D96" s="5895" t="s">
        <v>9879</v>
      </c>
      <c r="AB96" s="3">
        <v>1</v>
      </c>
    </row>
    <row r="97" spans="2:28" ht="15.75">
      <c r="B97" s="5894" t="s">
        <v>9874</v>
      </c>
      <c r="C97" s="5895" t="s">
        <v>9875</v>
      </c>
      <c r="D97" s="5895" t="s">
        <v>9876</v>
      </c>
      <c r="AB97" s="3">
        <v>1</v>
      </c>
    </row>
    <row r="98" spans="2:28">
      <c r="AB98" s="3">
        <v>1</v>
      </c>
    </row>
    <row r="99" spans="2:28" ht="15.75">
      <c r="B99" s="5894" t="s">
        <v>9880</v>
      </c>
      <c r="C99" s="5895" t="s">
        <v>9716</v>
      </c>
      <c r="D99" s="5895" t="s">
        <v>9717</v>
      </c>
      <c r="AB99" s="3">
        <v>1</v>
      </c>
    </row>
    <row r="100" spans="2:28">
      <c r="AB100" s="3">
        <v>1</v>
      </c>
    </row>
    <row r="101" spans="2:28" ht="15.75">
      <c r="B101" s="5894" t="s">
        <v>8246</v>
      </c>
      <c r="C101" s="5895" t="s">
        <v>9881</v>
      </c>
      <c r="D101" s="5895" t="s">
        <v>9882</v>
      </c>
      <c r="AB101" s="3">
        <v>1</v>
      </c>
    </row>
    <row r="102" spans="2:28" ht="15.75">
      <c r="B102" s="5894" t="s">
        <v>8246</v>
      </c>
      <c r="C102" s="5895" t="s">
        <v>9881</v>
      </c>
      <c r="D102" s="5895" t="s">
        <v>9882</v>
      </c>
      <c r="AB102" s="3">
        <v>1</v>
      </c>
    </row>
    <row r="103" spans="2:28" ht="15.75">
      <c r="B103" s="5894" t="s">
        <v>8246</v>
      </c>
      <c r="C103" s="5895" t="s">
        <v>9843</v>
      </c>
      <c r="D103" s="5895" t="s">
        <v>9844</v>
      </c>
      <c r="AB103" s="3">
        <v>1</v>
      </c>
    </row>
    <row r="104" spans="2:28" ht="15.75">
      <c r="B104" s="5894" t="s">
        <v>8246</v>
      </c>
      <c r="C104" s="5895" t="s">
        <v>9845</v>
      </c>
      <c r="D104" s="5895" t="s">
        <v>9817</v>
      </c>
      <c r="AB104" s="3">
        <v>1</v>
      </c>
    </row>
    <row r="105" spans="2:28" ht="15.75">
      <c r="B105" s="5894" t="s">
        <v>9883</v>
      </c>
      <c r="C105" s="5895" t="s">
        <v>9871</v>
      </c>
      <c r="D105" s="5895" t="s">
        <v>9723</v>
      </c>
      <c r="AB105" s="3">
        <v>1</v>
      </c>
    </row>
    <row r="106" spans="2:28">
      <c r="AB106" s="3">
        <v>1</v>
      </c>
    </row>
    <row r="107" spans="2:28" ht="15.75">
      <c r="B107" s="5894" t="s">
        <v>9884</v>
      </c>
      <c r="C107" s="5895" t="s">
        <v>9791</v>
      </c>
      <c r="D107" s="5895" t="s">
        <v>9792</v>
      </c>
      <c r="AB107" s="3">
        <v>1</v>
      </c>
    </row>
    <row r="108" spans="2:28">
      <c r="AB108" s="3">
        <v>1</v>
      </c>
    </row>
    <row r="109" spans="2:28" ht="15.75">
      <c r="B109" s="5894" t="s">
        <v>9885</v>
      </c>
      <c r="C109" s="5895" t="s">
        <v>9886</v>
      </c>
      <c r="D109" s="5895" t="s">
        <v>9887</v>
      </c>
      <c r="AB109" s="3">
        <v>1</v>
      </c>
    </row>
    <row r="110" spans="2:28" ht="15.75">
      <c r="B110" s="5894" t="s">
        <v>9885</v>
      </c>
      <c r="C110" s="5895" t="s">
        <v>9791</v>
      </c>
      <c r="D110" s="5895" t="s">
        <v>9792</v>
      </c>
      <c r="AB110" s="3">
        <v>1</v>
      </c>
    </row>
    <row r="111" spans="2:28" ht="15.75">
      <c r="B111" s="5894" t="s">
        <v>9885</v>
      </c>
      <c r="C111" s="5895" t="s">
        <v>9881</v>
      </c>
      <c r="D111" s="5895" t="s">
        <v>9882</v>
      </c>
      <c r="AB111" s="3">
        <v>1</v>
      </c>
    </row>
    <row r="112" spans="2:28" ht="15.75">
      <c r="B112" s="5894" t="s">
        <v>9885</v>
      </c>
      <c r="C112" s="5895" t="s">
        <v>9716</v>
      </c>
      <c r="D112" s="5895" t="s">
        <v>9717</v>
      </c>
      <c r="AB112" s="3">
        <v>1</v>
      </c>
    </row>
    <row r="113" spans="2:28">
      <c r="AB113" s="3">
        <v>1</v>
      </c>
    </row>
    <row r="114" spans="2:28" ht="15.75">
      <c r="B114" s="5894" t="s">
        <v>9888</v>
      </c>
      <c r="C114" s="5895" t="s">
        <v>9831</v>
      </c>
      <c r="D114" s="5895" t="s">
        <v>9832</v>
      </c>
      <c r="AB114" s="3">
        <v>1</v>
      </c>
    </row>
    <row r="115" spans="2:28" ht="15.75">
      <c r="B115" s="5894" t="s">
        <v>9889</v>
      </c>
      <c r="C115" s="5895" t="s">
        <v>1635</v>
      </c>
      <c r="D115" s="5895" t="s">
        <v>9890</v>
      </c>
      <c r="AB115" s="3">
        <v>1</v>
      </c>
    </row>
    <row r="116" spans="2:28" ht="15.75">
      <c r="B116" s="5894" t="s">
        <v>9891</v>
      </c>
      <c r="C116" s="5895" t="s">
        <v>9746</v>
      </c>
      <c r="D116" s="5895" t="s">
        <v>9701</v>
      </c>
      <c r="AB116" s="3">
        <v>1</v>
      </c>
    </row>
    <row r="117" spans="2:28">
      <c r="AB117" s="3">
        <v>1</v>
      </c>
    </row>
    <row r="118" spans="2:28" ht="15.75">
      <c r="B118" s="5894" t="s">
        <v>9892</v>
      </c>
      <c r="C118" s="5895" t="s">
        <v>9843</v>
      </c>
      <c r="D118" s="5895" t="s">
        <v>9844</v>
      </c>
      <c r="AB118" s="3">
        <v>1</v>
      </c>
    </row>
    <row r="119" spans="2:28" ht="15.75">
      <c r="B119" s="5894" t="s">
        <v>9892</v>
      </c>
      <c r="C119" s="5895" t="s">
        <v>9758</v>
      </c>
      <c r="D119" s="5895" t="s">
        <v>9893</v>
      </c>
      <c r="AB119" s="3">
        <v>1</v>
      </c>
    </row>
    <row r="120" spans="2:28" ht="15.75">
      <c r="B120" s="5894" t="s">
        <v>9894</v>
      </c>
      <c r="C120" s="5895" t="s">
        <v>9803</v>
      </c>
      <c r="D120" s="5895" t="s">
        <v>9804</v>
      </c>
      <c r="AB120" s="3">
        <v>1</v>
      </c>
    </row>
    <row r="121" spans="2:28">
      <c r="AB121" s="3">
        <v>1</v>
      </c>
    </row>
    <row r="122" spans="2:28" ht="15.75">
      <c r="B122" s="5894" t="s">
        <v>9895</v>
      </c>
      <c r="C122" s="5895" t="s">
        <v>9843</v>
      </c>
      <c r="D122" s="5895" t="s">
        <v>9844</v>
      </c>
      <c r="F122" s="5726" t="s">
        <v>14223</v>
      </c>
      <c r="G122" s="1234"/>
      <c r="AB122" s="3">
        <v>1</v>
      </c>
    </row>
    <row r="123" spans="2:28" ht="15.75">
      <c r="B123" s="5894" t="s">
        <v>9896</v>
      </c>
      <c r="C123" s="5895" t="s">
        <v>1753</v>
      </c>
      <c r="D123" s="5895" t="s">
        <v>1753</v>
      </c>
      <c r="F123" s="5726" t="s">
        <v>14226</v>
      </c>
      <c r="G123" s="1234"/>
      <c r="AB123" s="3">
        <v>1</v>
      </c>
    </row>
    <row r="124" spans="2:28" ht="15.75">
      <c r="F124" s="5726" t="s">
        <v>14229</v>
      </c>
      <c r="G124" s="1234"/>
      <c r="AB124" s="3">
        <v>1</v>
      </c>
    </row>
    <row r="125" spans="2:28" ht="15.75">
      <c r="B125" s="5894" t="s">
        <v>9897</v>
      </c>
      <c r="C125" s="5895" t="s">
        <v>9694</v>
      </c>
      <c r="D125" s="5895" t="s">
        <v>9695</v>
      </c>
      <c r="F125" s="5726"/>
      <c r="G125" s="1234"/>
      <c r="AB125" s="3">
        <v>1</v>
      </c>
    </row>
    <row r="126" spans="2:28" ht="15.75">
      <c r="B126" s="5894" t="s">
        <v>9898</v>
      </c>
      <c r="C126" s="5895" t="s">
        <v>9746</v>
      </c>
      <c r="D126" s="5895" t="s">
        <v>9701</v>
      </c>
      <c r="F126" s="5726" t="s">
        <v>14232</v>
      </c>
      <c r="G126" s="1234"/>
      <c r="AB126" s="3">
        <v>1</v>
      </c>
    </row>
    <row r="127" spans="2:28" ht="15.75">
      <c r="B127" s="5894" t="s">
        <v>9898</v>
      </c>
      <c r="C127" s="5895" t="s">
        <v>9899</v>
      </c>
      <c r="D127" s="5895" t="s">
        <v>9717</v>
      </c>
      <c r="F127" s="5726" t="s">
        <v>14235</v>
      </c>
      <c r="G127" s="1234"/>
      <c r="AB127" s="3">
        <v>1</v>
      </c>
    </row>
    <row r="128" spans="2:28" ht="15.75">
      <c r="F128" s="1256"/>
      <c r="G128" s="1234"/>
      <c r="AB128" s="3">
        <v>1</v>
      </c>
    </row>
    <row r="129" spans="2:28" ht="15.75">
      <c r="B129" s="5894" t="s">
        <v>9900</v>
      </c>
      <c r="C129" s="5895" t="s">
        <v>9843</v>
      </c>
      <c r="D129" s="5895" t="s">
        <v>9844</v>
      </c>
      <c r="F129" s="1256"/>
      <c r="G129" s="1234"/>
      <c r="AB129" s="3">
        <v>1</v>
      </c>
    </row>
    <row r="130" spans="2:28" ht="15.75">
      <c r="B130" s="5894" t="s">
        <v>9901</v>
      </c>
      <c r="C130" s="5895" t="s">
        <v>9868</v>
      </c>
      <c r="D130" s="5895" t="s">
        <v>9869</v>
      </c>
      <c r="F130" s="5726" t="s">
        <v>14224</v>
      </c>
      <c r="G130" s="1234"/>
      <c r="AB130" s="3">
        <v>1</v>
      </c>
    </row>
    <row r="131" spans="2:28" ht="15.75">
      <c r="F131" s="5726" t="s">
        <v>14227</v>
      </c>
      <c r="G131" s="1234"/>
      <c r="AB131" s="3">
        <v>1</v>
      </c>
    </row>
    <row r="132" spans="2:28" ht="15.75">
      <c r="B132" s="5894" t="s">
        <v>9902</v>
      </c>
      <c r="C132" s="5895" t="s">
        <v>9903</v>
      </c>
      <c r="D132" s="5895" t="s">
        <v>9695</v>
      </c>
      <c r="F132" s="5726" t="s">
        <v>14230</v>
      </c>
      <c r="G132" s="1234"/>
      <c r="AB132" s="3">
        <v>1</v>
      </c>
    </row>
    <row r="133" spans="2:28" ht="15.75">
      <c r="F133" s="5726"/>
      <c r="G133" s="1234"/>
      <c r="AB133" s="3">
        <v>1</v>
      </c>
    </row>
    <row r="134" spans="2:28" ht="15.75">
      <c r="B134" s="5894" t="s">
        <v>9904</v>
      </c>
      <c r="C134" s="5895" t="s">
        <v>9716</v>
      </c>
      <c r="D134" s="5895" t="s">
        <v>9717</v>
      </c>
      <c r="F134" s="5726" t="s">
        <v>14233</v>
      </c>
      <c r="G134" s="1234"/>
      <c r="AB134" s="3">
        <v>1</v>
      </c>
    </row>
    <row r="135" spans="2:28" ht="15.75">
      <c r="B135" s="5894" t="s">
        <v>9904</v>
      </c>
      <c r="C135" s="5895" t="s">
        <v>9886</v>
      </c>
      <c r="D135" s="5895" t="s">
        <v>9905</v>
      </c>
      <c r="F135" s="5726" t="s">
        <v>14236</v>
      </c>
      <c r="G135" s="1234"/>
      <c r="AB135" s="3">
        <v>1</v>
      </c>
    </row>
    <row r="136" spans="2:28" ht="15.75">
      <c r="F136" s="1256"/>
      <c r="G136" s="1234"/>
      <c r="AB136" s="3">
        <v>1</v>
      </c>
    </row>
    <row r="137" spans="2:28" ht="15.75">
      <c r="B137" s="5894" t="s">
        <v>9906</v>
      </c>
      <c r="C137" s="5895" t="s">
        <v>9845</v>
      </c>
      <c r="D137" s="5895" t="s">
        <v>9907</v>
      </c>
      <c r="F137" s="1256"/>
      <c r="G137" s="1234"/>
      <c r="AB137" s="3">
        <v>1</v>
      </c>
    </row>
    <row r="138" spans="2:28" ht="15.75">
      <c r="B138" s="5894" t="s">
        <v>9908</v>
      </c>
      <c r="C138" s="5895" t="s">
        <v>9826</v>
      </c>
      <c r="D138" s="5895" t="s">
        <v>9827</v>
      </c>
      <c r="F138" s="5726" t="s">
        <v>14225</v>
      </c>
      <c r="G138" s="1234"/>
      <c r="AB138" s="3">
        <v>1</v>
      </c>
    </row>
    <row r="139" spans="2:28" ht="15.75">
      <c r="B139" s="5894" t="s">
        <v>9909</v>
      </c>
      <c r="C139" s="5895" t="s">
        <v>1635</v>
      </c>
      <c r="D139" s="5895" t="s">
        <v>9817</v>
      </c>
      <c r="F139" s="5726" t="s">
        <v>14228</v>
      </c>
      <c r="G139" s="1234"/>
      <c r="AB139" s="3">
        <v>1</v>
      </c>
    </row>
    <row r="140" spans="2:28" ht="15.75">
      <c r="B140" s="5894" t="s">
        <v>9910</v>
      </c>
      <c r="C140" s="5895" t="s">
        <v>9845</v>
      </c>
      <c r="D140" s="5895" t="s">
        <v>9817</v>
      </c>
      <c r="F140" s="5726" t="s">
        <v>14231</v>
      </c>
      <c r="G140" s="1234"/>
      <c r="AB140" s="3">
        <v>1</v>
      </c>
    </row>
    <row r="141" spans="2:28" ht="15.75">
      <c r="B141" s="5894" t="s">
        <v>9911</v>
      </c>
      <c r="C141" s="5895" t="s">
        <v>9716</v>
      </c>
      <c r="D141" s="5895" t="s">
        <v>9717</v>
      </c>
      <c r="F141" s="5726"/>
      <c r="G141" s="1234"/>
      <c r="AB141" s="3">
        <v>1</v>
      </c>
    </row>
    <row r="142" spans="2:28" ht="15.75">
      <c r="B142" s="5894" t="s">
        <v>9912</v>
      </c>
      <c r="C142" s="5895" t="s">
        <v>9843</v>
      </c>
      <c r="D142" s="5895" t="s">
        <v>9844</v>
      </c>
      <c r="F142" s="5726" t="s">
        <v>14234</v>
      </c>
      <c r="G142" s="1234"/>
      <c r="AB142" s="3">
        <v>1</v>
      </c>
    </row>
    <row r="143" spans="2:28" ht="15.75">
      <c r="B143" s="5894" t="s">
        <v>9913</v>
      </c>
      <c r="C143" s="5895" t="s">
        <v>9875</v>
      </c>
      <c r="D143" s="5895" t="s">
        <v>9876</v>
      </c>
      <c r="F143" s="5726" t="s">
        <v>14237</v>
      </c>
      <c r="G143" s="1234"/>
      <c r="AB143" s="3">
        <v>1</v>
      </c>
    </row>
    <row r="144" spans="2:28" ht="15.75">
      <c r="B144" s="5894" t="s">
        <v>9914</v>
      </c>
      <c r="C144" s="5895" t="s">
        <v>9845</v>
      </c>
      <c r="D144" s="5895" t="s">
        <v>9907</v>
      </c>
      <c r="AB144" s="3">
        <v>1</v>
      </c>
    </row>
    <row r="145" spans="2:28" ht="15.75">
      <c r="B145" s="5894" t="s">
        <v>8284</v>
      </c>
      <c r="C145" s="5895" t="s">
        <v>9915</v>
      </c>
      <c r="D145" s="5895" t="s">
        <v>9748</v>
      </c>
      <c r="AB145" s="3">
        <v>1</v>
      </c>
    </row>
    <row r="146" spans="2:28" ht="15.75">
      <c r="B146" s="5894" t="s">
        <v>8284</v>
      </c>
      <c r="C146" s="5895" t="s">
        <v>9746</v>
      </c>
      <c r="D146" s="5895" t="s">
        <v>9701</v>
      </c>
      <c r="AB146" s="3">
        <v>1</v>
      </c>
    </row>
    <row r="147" spans="2:28" ht="15.75">
      <c r="B147" s="5894" t="s">
        <v>8284</v>
      </c>
      <c r="C147" s="5895" t="s">
        <v>9694</v>
      </c>
      <c r="D147" s="5895" t="s">
        <v>9695</v>
      </c>
      <c r="AB147" s="3">
        <v>1</v>
      </c>
    </row>
    <row r="148" spans="2:28">
      <c r="AB148" s="3">
        <v>1</v>
      </c>
    </row>
    <row r="149" spans="2:28" ht="15.75">
      <c r="B149" s="5894" t="s">
        <v>9916</v>
      </c>
      <c r="C149" s="5895" t="s">
        <v>9803</v>
      </c>
      <c r="D149" s="5895" t="s">
        <v>9804</v>
      </c>
      <c r="AB149" s="3">
        <v>1</v>
      </c>
    </row>
    <row r="150" spans="2:28" ht="15.75">
      <c r="B150" s="5894" t="s">
        <v>9917</v>
      </c>
      <c r="C150" s="5895" t="s">
        <v>9918</v>
      </c>
      <c r="D150" s="5895" t="s">
        <v>9919</v>
      </c>
      <c r="AB150" s="3">
        <v>1</v>
      </c>
    </row>
    <row r="151" spans="2:28">
      <c r="AB151" s="3">
        <v>1</v>
      </c>
    </row>
    <row r="152" spans="2:28" ht="15.75">
      <c r="B152" s="5894" t="s">
        <v>8249</v>
      </c>
      <c r="C152" s="5895" t="s">
        <v>9746</v>
      </c>
      <c r="D152" s="5895" t="s">
        <v>9701</v>
      </c>
      <c r="AB152" s="3">
        <v>1</v>
      </c>
    </row>
    <row r="153" spans="2:28" ht="15.75">
      <c r="B153" s="5894" t="s">
        <v>9920</v>
      </c>
      <c r="C153" s="5895" t="s">
        <v>9710</v>
      </c>
      <c r="D153" s="5895" t="s">
        <v>9711</v>
      </c>
      <c r="AB153" s="3">
        <v>1</v>
      </c>
    </row>
    <row r="154" spans="2:28" ht="15.75">
      <c r="B154" s="5894" t="s">
        <v>9920</v>
      </c>
      <c r="C154" s="5895" t="s">
        <v>9716</v>
      </c>
      <c r="D154" s="5895" t="s">
        <v>9717</v>
      </c>
      <c r="AB154" s="3">
        <v>1</v>
      </c>
    </row>
    <row r="155" spans="2:28" ht="15.75">
      <c r="B155" s="5894" t="s">
        <v>9920</v>
      </c>
      <c r="C155" s="5895" t="s">
        <v>9747</v>
      </c>
      <c r="D155" s="5895" t="s">
        <v>9748</v>
      </c>
      <c r="AB155" s="3">
        <v>1</v>
      </c>
    </row>
    <row r="156" spans="2:28" ht="15.75">
      <c r="B156" s="5894" t="s">
        <v>9920</v>
      </c>
      <c r="C156" s="5895" t="s">
        <v>9921</v>
      </c>
      <c r="D156" s="5895" t="s">
        <v>9723</v>
      </c>
      <c r="AB156" s="3">
        <v>1</v>
      </c>
    </row>
    <row r="157" spans="2:28" ht="15.75">
      <c r="B157" s="5894" t="s">
        <v>9922</v>
      </c>
      <c r="C157" s="5895" t="s">
        <v>9716</v>
      </c>
      <c r="D157" s="5895" t="s">
        <v>9717</v>
      </c>
      <c r="AB157" s="3">
        <v>1</v>
      </c>
    </row>
    <row r="158" spans="2:28" ht="15.75">
      <c r="B158" s="5894" t="s">
        <v>9922</v>
      </c>
      <c r="C158" s="5895" t="s">
        <v>9668</v>
      </c>
      <c r="D158" s="5895" t="s">
        <v>9792</v>
      </c>
      <c r="AB158" s="3">
        <v>1</v>
      </c>
    </row>
    <row r="159" spans="2:28" ht="15.75">
      <c r="B159" s="5894" t="s">
        <v>9922</v>
      </c>
      <c r="C159" s="5895" t="s">
        <v>9845</v>
      </c>
      <c r="D159" s="5895" t="s">
        <v>9817</v>
      </c>
      <c r="AB159" s="3">
        <v>1</v>
      </c>
    </row>
    <row r="160" spans="2:28">
      <c r="AB160" s="3">
        <v>1</v>
      </c>
    </row>
    <row r="161" spans="2:28" ht="15.75">
      <c r="B161" s="5894" t="s">
        <v>9923</v>
      </c>
      <c r="C161" s="5895" t="s">
        <v>9924</v>
      </c>
      <c r="D161" s="5895" t="s">
        <v>9925</v>
      </c>
      <c r="AB161" s="3">
        <v>1</v>
      </c>
    </row>
    <row r="162" spans="2:28" ht="15.75">
      <c r="B162" s="5894" t="s">
        <v>9926</v>
      </c>
      <c r="C162" s="5895" t="s">
        <v>9845</v>
      </c>
      <c r="D162" s="5895" t="s">
        <v>9907</v>
      </c>
      <c r="AB162" s="3">
        <v>1</v>
      </c>
    </row>
    <row r="163" spans="2:28">
      <c r="AB163" s="3">
        <v>1</v>
      </c>
    </row>
    <row r="164" spans="2:28" ht="15.75">
      <c r="B164" s="5894" t="s">
        <v>9927</v>
      </c>
      <c r="C164" s="5895" t="s">
        <v>9746</v>
      </c>
      <c r="D164" s="5895" t="s">
        <v>9701</v>
      </c>
      <c r="AB164" s="3">
        <v>1</v>
      </c>
    </row>
    <row r="165" spans="2:28" ht="15.75">
      <c r="B165" s="5894" t="s">
        <v>9928</v>
      </c>
      <c r="C165" s="5895" t="s">
        <v>9694</v>
      </c>
      <c r="D165" s="5895" t="s">
        <v>9695</v>
      </c>
      <c r="AB165" s="3">
        <v>1</v>
      </c>
    </row>
    <row r="166" spans="2:28">
      <c r="AB166" s="3">
        <v>1</v>
      </c>
    </row>
    <row r="167" spans="2:28" ht="15.75">
      <c r="B167" s="5894" t="s">
        <v>9929</v>
      </c>
      <c r="C167" s="5895" t="s">
        <v>9930</v>
      </c>
      <c r="D167" s="5895" t="s">
        <v>9931</v>
      </c>
      <c r="AB167" s="3">
        <v>1</v>
      </c>
    </row>
    <row r="168" spans="2:28" ht="15.75">
      <c r="B168" s="5894" t="s">
        <v>9932</v>
      </c>
      <c r="C168" s="5895" t="s">
        <v>9871</v>
      </c>
      <c r="D168" s="5895" t="s">
        <v>9723</v>
      </c>
      <c r="AB168" s="3">
        <v>1</v>
      </c>
    </row>
    <row r="169" spans="2:28">
      <c r="AB169" s="3">
        <v>1</v>
      </c>
    </row>
    <row r="170" spans="2:28" ht="15.75">
      <c r="B170" s="5894" t="s">
        <v>9933</v>
      </c>
      <c r="C170" s="5895" t="s">
        <v>9686</v>
      </c>
      <c r="D170" s="5895" t="s">
        <v>9934</v>
      </c>
      <c r="AB170" s="3">
        <v>1</v>
      </c>
    </row>
    <row r="171" spans="2:28" ht="15.75">
      <c r="B171" s="5894" t="s">
        <v>9935</v>
      </c>
      <c r="C171" s="5895" t="s">
        <v>9831</v>
      </c>
      <c r="D171" s="5895" t="s">
        <v>9832</v>
      </c>
      <c r="AB171" s="3">
        <v>1</v>
      </c>
    </row>
    <row r="172" spans="2:28">
      <c r="AB172" s="3">
        <v>1</v>
      </c>
    </row>
    <row r="173" spans="2:28" ht="18">
      <c r="B173" s="2690" t="s">
        <v>9936</v>
      </c>
      <c r="C173" s="2691"/>
      <c r="D173" s="2691"/>
      <c r="AB173" s="3">
        <v>1</v>
      </c>
    </row>
    <row r="174" spans="2:28">
      <c r="AB174" s="3">
        <v>1</v>
      </c>
    </row>
    <row r="175" spans="2:28">
      <c r="B175" s="678" t="s">
        <v>9937</v>
      </c>
      <c r="C175" s="741"/>
      <c r="D175" s="741"/>
      <c r="AB175" s="3">
        <v>1</v>
      </c>
    </row>
    <row r="176" spans="2:28" ht="15.75">
      <c r="B176" s="5894" t="s">
        <v>9938</v>
      </c>
      <c r="C176" s="5895" t="s">
        <v>9843</v>
      </c>
      <c r="D176" s="5895" t="s">
        <v>9939</v>
      </c>
      <c r="AB176" s="3">
        <v>1</v>
      </c>
    </row>
    <row r="177" spans="2:28" ht="15.75">
      <c r="B177" s="5894" t="s">
        <v>9940</v>
      </c>
      <c r="C177" s="5895" t="s">
        <v>9941</v>
      </c>
      <c r="D177" s="5895" t="s">
        <v>9942</v>
      </c>
      <c r="AB177" s="3">
        <v>1</v>
      </c>
    </row>
    <row r="178" spans="2:28" ht="15.75">
      <c r="B178" s="5894" t="s">
        <v>9938</v>
      </c>
      <c r="C178" s="5895" t="s">
        <v>9668</v>
      </c>
      <c r="D178" s="5895" t="s">
        <v>9943</v>
      </c>
      <c r="AB178" s="3">
        <v>1</v>
      </c>
    </row>
    <row r="179" spans="2:28">
      <c r="AB179" s="3">
        <v>1</v>
      </c>
    </row>
    <row r="180" spans="2:28" ht="15.75">
      <c r="B180" s="5894" t="s">
        <v>9944</v>
      </c>
      <c r="C180" s="5895" t="s">
        <v>9843</v>
      </c>
      <c r="D180" s="5895" t="s">
        <v>9945</v>
      </c>
      <c r="AB180" s="3">
        <v>1</v>
      </c>
    </row>
    <row r="181" spans="2:28" ht="15.75">
      <c r="B181" s="5894" t="s">
        <v>9944</v>
      </c>
      <c r="C181" s="5895" t="s">
        <v>9941</v>
      </c>
      <c r="D181" s="5895" t="s">
        <v>9946</v>
      </c>
      <c r="AB181" s="3">
        <v>1</v>
      </c>
    </row>
    <row r="182" spans="2:28" ht="15.75">
      <c r="B182" s="5894" t="s">
        <v>9944</v>
      </c>
      <c r="C182" s="5895" t="s">
        <v>9668</v>
      </c>
      <c r="D182" s="5895" t="s">
        <v>9947</v>
      </c>
      <c r="AB182" s="3">
        <v>1</v>
      </c>
    </row>
    <row r="183" spans="2:28" ht="15.75">
      <c r="B183" s="5894" t="s">
        <v>9948</v>
      </c>
      <c r="C183" s="5895" t="s">
        <v>9949</v>
      </c>
      <c r="D183" s="5895" t="s">
        <v>9950</v>
      </c>
      <c r="AB183" s="3">
        <v>1</v>
      </c>
    </row>
    <row r="184" spans="2:28" ht="15.75">
      <c r="B184" s="5894" t="s">
        <v>9951</v>
      </c>
      <c r="C184" s="5895" t="s">
        <v>9952</v>
      </c>
      <c r="D184" s="5895" t="s">
        <v>9953</v>
      </c>
      <c r="AB184" s="3">
        <v>1</v>
      </c>
    </row>
    <row r="185" spans="2:28">
      <c r="AB185" s="3">
        <v>1</v>
      </c>
    </row>
    <row r="186" spans="2:28" ht="15.75">
      <c r="B186" s="5894" t="s">
        <v>9954</v>
      </c>
      <c r="C186" s="5895" t="s">
        <v>9843</v>
      </c>
      <c r="D186" s="5895" t="s">
        <v>9955</v>
      </c>
      <c r="AB186" s="3">
        <v>1</v>
      </c>
    </row>
    <row r="187" spans="2:28" ht="15.75">
      <c r="B187" s="5894" t="s">
        <v>9954</v>
      </c>
      <c r="C187" s="5895" t="s">
        <v>9941</v>
      </c>
      <c r="D187" s="5895" t="s">
        <v>9956</v>
      </c>
      <c r="AB187" s="3">
        <v>1</v>
      </c>
    </row>
    <row r="188" spans="2:28" ht="15.75">
      <c r="B188" s="5894" t="s">
        <v>9954</v>
      </c>
      <c r="C188" s="5895" t="s">
        <v>9668</v>
      </c>
      <c r="D188" s="5895" t="s">
        <v>9792</v>
      </c>
      <c r="AB188" s="3">
        <v>1</v>
      </c>
    </row>
    <row r="189" spans="2:28" ht="15.75">
      <c r="B189" s="5894" t="s">
        <v>9954</v>
      </c>
      <c r="C189" s="5895" t="s">
        <v>9949</v>
      </c>
      <c r="D189" s="5895" t="s">
        <v>9717</v>
      </c>
      <c r="AB189" s="3">
        <v>1</v>
      </c>
    </row>
    <row r="190" spans="2:28" ht="15.75">
      <c r="B190" s="5894" t="s">
        <v>9954</v>
      </c>
      <c r="C190" s="5895" t="s">
        <v>9952</v>
      </c>
      <c r="D190" s="5895" t="s">
        <v>9701</v>
      </c>
      <c r="AB190" s="3">
        <v>1</v>
      </c>
    </row>
    <row r="191" spans="2:28">
      <c r="AB191" s="3">
        <v>1</v>
      </c>
    </row>
    <row r="192" spans="2:28" ht="15.75">
      <c r="B192" s="5894" t="s">
        <v>9957</v>
      </c>
      <c r="C192" s="5895" t="s">
        <v>9843</v>
      </c>
      <c r="D192" s="5895" t="s">
        <v>9754</v>
      </c>
      <c r="AB192" s="3">
        <v>1</v>
      </c>
    </row>
    <row r="193" spans="1:28" ht="15.75">
      <c r="B193" s="5894" t="s">
        <v>9957</v>
      </c>
      <c r="C193" s="5895" t="s">
        <v>9941</v>
      </c>
      <c r="D193" s="5895" t="s">
        <v>9958</v>
      </c>
      <c r="AB193" s="3">
        <v>1</v>
      </c>
    </row>
    <row r="194" spans="1:28" ht="15.75">
      <c r="B194" s="5894" t="s">
        <v>9957</v>
      </c>
      <c r="C194" s="5895" t="s">
        <v>9668</v>
      </c>
      <c r="D194" s="5895" t="s">
        <v>9959</v>
      </c>
      <c r="AB194" s="3">
        <v>1</v>
      </c>
    </row>
    <row r="195" spans="1:28" ht="15.75">
      <c r="B195" s="5894" t="s">
        <v>9957</v>
      </c>
      <c r="C195" s="5895" t="s">
        <v>9949</v>
      </c>
      <c r="D195" s="5895" t="s">
        <v>9960</v>
      </c>
      <c r="AB195" s="3">
        <v>1</v>
      </c>
    </row>
    <row r="196" spans="1:28" ht="15.75">
      <c r="B196" s="5894" t="s">
        <v>9957</v>
      </c>
      <c r="C196" s="5895" t="s">
        <v>9952</v>
      </c>
      <c r="D196" s="5895" t="s">
        <v>9961</v>
      </c>
      <c r="AB196" s="3">
        <v>1</v>
      </c>
    </row>
    <row r="197" spans="1:28">
      <c r="AB197" s="3">
        <v>1</v>
      </c>
    </row>
    <row r="198" spans="1:28">
      <c r="A198" s="3">
        <v>1</v>
      </c>
      <c r="B198" s="3">
        <v>1</v>
      </c>
      <c r="C198" s="3">
        <v>1</v>
      </c>
      <c r="D198" s="3">
        <v>1</v>
      </c>
      <c r="E198" s="3">
        <v>1</v>
      </c>
      <c r="F198" s="3">
        <v>1</v>
      </c>
      <c r="G198" s="3">
        <v>1</v>
      </c>
      <c r="H198" s="3">
        <v>1</v>
      </c>
      <c r="I198" s="3">
        <v>1</v>
      </c>
      <c r="J198" s="3">
        <v>1</v>
      </c>
      <c r="K198" s="3">
        <v>1</v>
      </c>
      <c r="L198" s="3">
        <v>1</v>
      </c>
      <c r="M198" s="3">
        <v>1</v>
      </c>
      <c r="N198" s="3">
        <v>1</v>
      </c>
      <c r="O198" s="3">
        <v>1</v>
      </c>
      <c r="P198" s="3">
        <v>1</v>
      </c>
      <c r="Q198" s="3">
        <v>1</v>
      </c>
      <c r="R198" s="3">
        <v>1</v>
      </c>
      <c r="S198" s="3">
        <v>1</v>
      </c>
      <c r="T198" s="3">
        <v>1</v>
      </c>
      <c r="U198" s="3">
        <v>1</v>
      </c>
      <c r="V198" s="3">
        <v>1</v>
      </c>
      <c r="W198" s="3">
        <v>1</v>
      </c>
      <c r="X198" s="3">
        <v>1</v>
      </c>
      <c r="Y198" s="3">
        <v>1</v>
      </c>
      <c r="Z198" s="3">
        <v>1</v>
      </c>
      <c r="AA198" s="3">
        <v>1</v>
      </c>
      <c r="AB198" s="1148" t="s">
        <v>793</v>
      </c>
    </row>
  </sheetData>
  <hyperlinks>
    <hyperlink ref="G64" r:id="rId1" xr:uid="{15AD98E1-CD28-46B3-A0E3-0DCCCE41107C}"/>
    <hyperlink ref="G63" r:id="rId2" xr:uid="{B49C7D5F-C2DA-40DC-8229-329E3DDA0F63}"/>
    <hyperlink ref="G65" r:id="rId3" xr:uid="{4A854B87-3B6D-4FFC-B0D9-F38900CA1CEF}"/>
    <hyperlink ref="G66" r:id="rId4" xr:uid="{E112C4B6-C990-4AFD-97B8-11F6F87599DC}"/>
    <hyperlink ref="G67" r:id="rId5" xr:uid="{B128C50A-2131-4C45-AF38-33AB3DBF14D0}"/>
    <hyperlink ref="G68" r:id="rId6" xr:uid="{67CAB04D-8DC1-4374-8887-6BA7FEC4F443}"/>
    <hyperlink ref="G69" r:id="rId7" xr:uid="{AFBE8D50-12D2-4E73-9918-73F9C6C4D05E}"/>
    <hyperlink ref="G70" r:id="rId8" xr:uid="{DFA9676D-2BF9-4A4C-9874-1AF64C847586}"/>
    <hyperlink ref="G71" r:id="rId9" xr:uid="{9CEE7E90-A9BD-4741-9287-248CC59E5884}"/>
    <hyperlink ref="G72" r:id="rId10" xr:uid="{5A51B7E3-626D-4AA6-948C-97FC0D4C7E4F}"/>
    <hyperlink ref="G73" r:id="rId11" xr:uid="{131B129A-680A-4361-9270-B59EC42A0DB6}"/>
  </hyperlinks>
  <pageMargins left="0.7" right="0.7" top="0.75" bottom="0.75" header="0.3" footer="0.3"/>
  <drawing r:id="rId1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4EB01-D11E-4E3B-BFD8-EF44A9A6F685}">
  <dimension ref="A1:V316"/>
  <sheetViews>
    <sheetView workbookViewId="0">
      <selection activeCell="A26" sqref="A26"/>
    </sheetView>
  </sheetViews>
  <sheetFormatPr baseColWidth="10" defaultRowHeight="15"/>
  <cols>
    <col min="1" max="1" width="6.140625" style="630" customWidth="1"/>
    <col min="2" max="2" width="4.5703125" style="630" customWidth="1"/>
    <col min="3" max="3" width="16.5703125" style="630" customWidth="1"/>
    <col min="4" max="4" width="21.42578125" style="630" customWidth="1"/>
    <col min="5" max="5" width="23" style="630" customWidth="1"/>
    <col min="6" max="6" width="29.42578125" style="630" customWidth="1"/>
    <col min="7" max="21" width="11.42578125" style="630"/>
    <col min="23" max="16384" width="11.42578125" style="630"/>
  </cols>
  <sheetData>
    <row r="1" spans="1:22">
      <c r="A1" s="186"/>
      <c r="B1" s="186"/>
      <c r="C1" s="186"/>
      <c r="D1" s="186"/>
      <c r="E1" s="186"/>
      <c r="F1" s="186"/>
      <c r="G1" s="186"/>
      <c r="H1" s="186"/>
      <c r="I1" s="186"/>
      <c r="J1" s="186"/>
      <c r="K1" s="186"/>
      <c r="L1" s="186"/>
      <c r="M1" s="186"/>
      <c r="N1" s="186"/>
      <c r="O1" s="186"/>
      <c r="P1" s="186"/>
      <c r="Q1" s="186"/>
      <c r="R1" s="186"/>
      <c r="S1" s="186"/>
      <c r="T1" s="186"/>
      <c r="U1" s="186"/>
      <c r="V1" s="3">
        <v>1</v>
      </c>
    </row>
    <row r="2" spans="1:22">
      <c r="A2" s="186"/>
      <c r="B2" s="186"/>
      <c r="C2" s="186"/>
      <c r="D2" s="186"/>
      <c r="E2" s="186"/>
      <c r="F2" s="186"/>
      <c r="G2" s="186"/>
      <c r="H2" s="186"/>
      <c r="I2" s="186"/>
      <c r="J2" s="186"/>
      <c r="K2" s="186"/>
      <c r="L2" s="186"/>
      <c r="M2" s="186"/>
      <c r="N2" s="186"/>
      <c r="O2" s="186"/>
      <c r="P2" s="186"/>
      <c r="Q2" s="186"/>
      <c r="R2" s="186"/>
      <c r="S2" s="186"/>
      <c r="T2" s="186"/>
      <c r="U2" s="186"/>
      <c r="V2" s="3">
        <v>1</v>
      </c>
    </row>
    <row r="3" spans="1:22">
      <c r="A3" s="186"/>
      <c r="B3" s="186"/>
      <c r="C3" s="186"/>
      <c r="D3" s="186"/>
      <c r="E3" s="186"/>
      <c r="F3" s="186"/>
      <c r="G3" s="186"/>
      <c r="H3" s="186"/>
      <c r="I3" s="186"/>
      <c r="J3" s="186"/>
      <c r="K3" s="186"/>
      <c r="L3" s="186"/>
      <c r="M3" s="186"/>
      <c r="N3" s="186"/>
      <c r="O3" s="186"/>
      <c r="P3" s="186"/>
      <c r="Q3" s="186"/>
      <c r="R3" s="186"/>
      <c r="S3" s="186"/>
      <c r="T3" s="186"/>
      <c r="U3" s="186"/>
      <c r="V3" s="3">
        <v>1</v>
      </c>
    </row>
    <row r="4" spans="1:22" ht="18.75">
      <c r="A4" s="186"/>
      <c r="B4" s="186"/>
      <c r="C4" s="570" t="s">
        <v>9962</v>
      </c>
      <c r="D4" s="186"/>
      <c r="E4" s="186"/>
      <c r="F4" s="186"/>
      <c r="G4" s="186"/>
      <c r="H4" s="703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I4" s="7036"/>
      <c r="J4" s="7036"/>
      <c r="K4" s="7036"/>
      <c r="L4" s="7036"/>
      <c r="M4" s="7036"/>
      <c r="N4" s="7036"/>
      <c r="O4" s="7036"/>
      <c r="P4" s="186"/>
      <c r="Q4" s="186"/>
      <c r="R4" s="186"/>
      <c r="S4" s="186"/>
      <c r="T4" s="186"/>
      <c r="U4" s="186"/>
      <c r="V4" s="3">
        <v>1</v>
      </c>
    </row>
    <row r="5" spans="1:22">
      <c r="A5" s="186"/>
      <c r="B5" s="186"/>
      <c r="C5" s="54"/>
      <c r="D5" s="186"/>
      <c r="E5" s="186"/>
      <c r="F5" s="186"/>
      <c r="G5" s="186"/>
      <c r="H5" s="7036"/>
      <c r="I5" s="7036"/>
      <c r="J5" s="7036"/>
      <c r="K5" s="7036"/>
      <c r="L5" s="7036"/>
      <c r="M5" s="7036"/>
      <c r="N5" s="7036"/>
      <c r="O5" s="7036"/>
      <c r="P5" s="186"/>
      <c r="Q5" s="186"/>
      <c r="R5" s="186"/>
      <c r="S5" s="186"/>
      <c r="T5" s="186"/>
      <c r="U5" s="186"/>
      <c r="V5" s="3">
        <v>1</v>
      </c>
    </row>
    <row r="6" spans="1:22">
      <c r="A6" s="186"/>
      <c r="B6" s="186"/>
      <c r="C6" s="54" t="s">
        <v>9963</v>
      </c>
      <c r="D6" s="186"/>
      <c r="E6" s="186"/>
      <c r="F6" s="186"/>
      <c r="G6" s="186"/>
      <c r="H6" s="186"/>
      <c r="I6" s="186"/>
      <c r="J6" s="186"/>
      <c r="K6" s="186"/>
      <c r="L6" s="186"/>
      <c r="M6" s="186"/>
      <c r="N6" s="186"/>
      <c r="O6" s="186"/>
      <c r="P6" s="186"/>
      <c r="Q6" s="186"/>
      <c r="R6" s="186"/>
      <c r="S6" s="186"/>
      <c r="T6" s="186"/>
      <c r="U6" s="186"/>
      <c r="V6" s="3">
        <v>1</v>
      </c>
    </row>
    <row r="7" spans="1:22">
      <c r="A7" s="186"/>
      <c r="B7" s="186"/>
      <c r="C7" s="54" t="s">
        <v>9964</v>
      </c>
      <c r="D7" s="186"/>
      <c r="E7" s="186"/>
      <c r="F7" s="186"/>
      <c r="G7" s="186"/>
      <c r="H7" s="186"/>
      <c r="I7" s="186"/>
      <c r="J7" s="186"/>
      <c r="K7" s="186"/>
      <c r="L7" s="186"/>
      <c r="M7" s="186"/>
      <c r="N7" s="186"/>
      <c r="O7" s="186"/>
      <c r="P7" s="186"/>
      <c r="Q7" s="186"/>
      <c r="R7" s="186"/>
      <c r="S7" s="186"/>
      <c r="T7" s="186"/>
      <c r="U7" s="186"/>
      <c r="V7" s="3">
        <v>1</v>
      </c>
    </row>
    <row r="8" spans="1:22">
      <c r="A8" s="186"/>
      <c r="B8" s="186"/>
      <c r="C8" s="54" t="s">
        <v>9965</v>
      </c>
      <c r="D8" s="186"/>
      <c r="E8" s="186"/>
      <c r="F8" s="186"/>
      <c r="G8" s="186"/>
      <c r="H8" s="186"/>
      <c r="I8" s="186"/>
      <c r="J8" s="186"/>
      <c r="K8" s="186"/>
      <c r="L8" s="186"/>
      <c r="M8" s="186"/>
      <c r="N8" s="186"/>
      <c r="O8" s="186"/>
      <c r="P8" s="186"/>
      <c r="Q8" s="186"/>
      <c r="R8" s="186"/>
      <c r="S8" s="186"/>
      <c r="T8" s="186"/>
      <c r="U8" s="186"/>
      <c r="V8" s="3">
        <v>1</v>
      </c>
    </row>
    <row r="9" spans="1:22">
      <c r="A9" s="186"/>
      <c r="B9" s="186"/>
      <c r="C9" s="54" t="s">
        <v>9966</v>
      </c>
      <c r="D9" s="186"/>
      <c r="E9" s="186"/>
      <c r="F9" s="186"/>
      <c r="G9" s="186"/>
      <c r="H9" s="186"/>
      <c r="I9" s="186"/>
      <c r="J9" s="186"/>
      <c r="K9" s="186"/>
      <c r="L9" s="186"/>
      <c r="M9" s="186"/>
      <c r="N9" s="186"/>
      <c r="O9" s="186"/>
      <c r="P9" s="186"/>
      <c r="Q9" s="186"/>
      <c r="R9" s="186"/>
      <c r="S9" s="186"/>
      <c r="T9" s="186"/>
      <c r="U9" s="186"/>
      <c r="V9" s="3">
        <v>1</v>
      </c>
    </row>
    <row r="10" spans="1:22">
      <c r="A10" s="186"/>
      <c r="B10" s="186"/>
      <c r="C10" s="54"/>
      <c r="D10" s="186"/>
      <c r="E10" s="186"/>
      <c r="F10" s="186"/>
      <c r="G10" s="186"/>
      <c r="H10" s="186"/>
      <c r="I10" s="186"/>
      <c r="J10" s="186"/>
      <c r="K10" s="186"/>
      <c r="L10" s="186"/>
      <c r="M10" s="186"/>
      <c r="N10" s="186"/>
      <c r="O10" s="186"/>
      <c r="P10" s="186"/>
      <c r="Q10" s="186"/>
      <c r="R10" s="186"/>
      <c r="S10" s="186"/>
      <c r="T10" s="186"/>
      <c r="U10" s="186"/>
      <c r="V10" s="3">
        <v>1</v>
      </c>
    </row>
    <row r="11" spans="1:22" ht="15.75">
      <c r="A11" s="186"/>
      <c r="B11" s="186"/>
      <c r="C11" s="2692" t="s">
        <v>9967</v>
      </c>
      <c r="D11" s="186"/>
      <c r="E11" s="186"/>
      <c r="F11" s="186"/>
      <c r="G11" s="186"/>
      <c r="H11" s="186"/>
      <c r="I11" s="186"/>
      <c r="J11" s="186"/>
      <c r="K11" s="186"/>
      <c r="L11" s="186"/>
      <c r="M11" s="186"/>
      <c r="N11" s="186"/>
      <c r="O11" s="186"/>
      <c r="P11" s="186"/>
      <c r="Q11" s="186"/>
      <c r="R11" s="186"/>
      <c r="S11" s="186"/>
      <c r="T11" s="186"/>
      <c r="U11" s="186"/>
      <c r="V11" s="3">
        <v>1</v>
      </c>
    </row>
    <row r="12" spans="1:22">
      <c r="A12" s="186"/>
      <c r="B12" s="186"/>
      <c r="C12" s="186"/>
      <c r="D12" s="186"/>
      <c r="E12" s="186"/>
      <c r="F12" s="186"/>
      <c r="G12" s="186"/>
      <c r="H12" s="186"/>
      <c r="I12" s="186"/>
      <c r="J12" s="186"/>
      <c r="K12" s="186"/>
      <c r="L12" s="186"/>
      <c r="M12" s="186"/>
      <c r="N12" s="186"/>
      <c r="O12" s="186"/>
      <c r="P12" s="186"/>
      <c r="Q12" s="186"/>
      <c r="R12" s="186"/>
      <c r="S12" s="186"/>
      <c r="T12" s="186"/>
      <c r="U12" s="186"/>
      <c r="V12" s="3">
        <v>1</v>
      </c>
    </row>
    <row r="13" spans="1:22">
      <c r="A13" s="186"/>
      <c r="B13" s="186"/>
      <c r="C13" s="186" t="s">
        <v>9968</v>
      </c>
      <c r="D13" s="186"/>
      <c r="E13" s="186"/>
      <c r="F13" s="186"/>
      <c r="G13" s="186"/>
      <c r="H13" s="186"/>
      <c r="I13" s="186"/>
      <c r="J13" s="186"/>
      <c r="K13" s="186"/>
      <c r="L13" s="186"/>
      <c r="M13" s="186"/>
      <c r="N13" s="186"/>
      <c r="O13" s="186"/>
      <c r="P13" s="186"/>
      <c r="Q13" s="186"/>
      <c r="R13" s="186"/>
      <c r="S13" s="186"/>
      <c r="T13" s="186"/>
      <c r="U13" s="186"/>
      <c r="V13" s="3">
        <v>1</v>
      </c>
    </row>
    <row r="14" spans="1:22">
      <c r="A14" s="186"/>
      <c r="B14" s="186"/>
      <c r="C14" s="186"/>
      <c r="D14" s="186"/>
      <c r="E14" s="186"/>
      <c r="F14" s="186"/>
      <c r="G14" s="186"/>
      <c r="H14" s="186"/>
      <c r="I14" s="186"/>
      <c r="J14" s="186"/>
      <c r="K14" s="186"/>
      <c r="L14" s="186"/>
      <c r="M14" s="186"/>
      <c r="N14" s="186"/>
      <c r="O14" s="186"/>
      <c r="P14" s="186"/>
      <c r="Q14" s="186"/>
      <c r="R14" s="186"/>
      <c r="S14" s="186"/>
      <c r="T14" s="186"/>
      <c r="U14" s="186"/>
      <c r="V14" s="3">
        <v>1</v>
      </c>
    </row>
    <row r="15" spans="1:22">
      <c r="A15" s="186"/>
      <c r="B15" s="186"/>
      <c r="C15" s="186" t="s">
        <v>8049</v>
      </c>
      <c r="D15" s="186"/>
      <c r="E15" s="186"/>
      <c r="F15" s="186"/>
      <c r="G15" s="186"/>
      <c r="H15" s="186"/>
      <c r="I15" s="186"/>
      <c r="J15" s="186"/>
      <c r="K15" s="186"/>
      <c r="L15" s="186"/>
      <c r="M15" s="186"/>
      <c r="N15" s="186"/>
      <c r="O15" s="186"/>
      <c r="P15" s="186"/>
      <c r="Q15" s="186"/>
      <c r="R15" s="186"/>
      <c r="S15" s="186"/>
      <c r="T15" s="186"/>
      <c r="U15" s="186"/>
      <c r="V15" s="3">
        <v>1</v>
      </c>
    </row>
    <row r="16" spans="1:22">
      <c r="A16" s="186"/>
      <c r="B16" s="186"/>
      <c r="C16" s="186"/>
      <c r="D16" s="186"/>
      <c r="E16" s="186"/>
      <c r="F16" s="186"/>
      <c r="G16" s="186"/>
      <c r="H16" s="186"/>
      <c r="I16" s="186"/>
      <c r="J16" s="186"/>
      <c r="K16" s="186"/>
      <c r="L16" s="186"/>
      <c r="M16" s="186"/>
      <c r="N16" s="186"/>
      <c r="O16" s="186"/>
      <c r="P16" s="186"/>
      <c r="Q16" s="186"/>
      <c r="R16" s="186"/>
      <c r="S16" s="186"/>
      <c r="T16" s="186"/>
      <c r="U16" s="186"/>
      <c r="V16" s="3">
        <v>1</v>
      </c>
    </row>
    <row r="17" spans="1:22" ht="15.75">
      <c r="A17" s="186"/>
      <c r="B17" s="186"/>
      <c r="C17" s="2692" t="s">
        <v>9969</v>
      </c>
      <c r="D17" s="186"/>
      <c r="E17" s="186"/>
      <c r="F17" s="186"/>
      <c r="G17" s="186"/>
      <c r="H17" s="186"/>
      <c r="I17" s="186"/>
      <c r="J17" s="186"/>
      <c r="K17" s="186"/>
      <c r="L17" s="186"/>
      <c r="M17" s="186"/>
      <c r="N17" s="186"/>
      <c r="O17" s="186"/>
      <c r="P17" s="186"/>
      <c r="Q17" s="186"/>
      <c r="R17" s="186"/>
      <c r="S17" s="186"/>
      <c r="T17" s="186"/>
      <c r="U17" s="186"/>
      <c r="V17" s="3">
        <v>1</v>
      </c>
    </row>
    <row r="18" spans="1:22">
      <c r="A18" s="186"/>
      <c r="B18" s="186"/>
      <c r="C18" s="186"/>
      <c r="D18" s="186"/>
      <c r="E18" s="186"/>
      <c r="F18" s="186"/>
      <c r="G18" s="186"/>
      <c r="H18" s="186"/>
      <c r="I18" s="186"/>
      <c r="J18" s="186"/>
      <c r="K18" s="186"/>
      <c r="L18" s="186"/>
      <c r="M18" s="186"/>
      <c r="N18" s="186"/>
      <c r="O18" s="186"/>
      <c r="P18" s="186"/>
      <c r="Q18" s="186"/>
      <c r="R18" s="186"/>
      <c r="S18" s="186"/>
      <c r="T18" s="186"/>
      <c r="U18" s="186"/>
      <c r="V18" s="3">
        <v>1</v>
      </c>
    </row>
    <row r="19" spans="1:22" ht="15.75">
      <c r="A19" s="186"/>
      <c r="B19" s="186"/>
      <c r="C19" s="2693" t="s">
        <v>9970</v>
      </c>
      <c r="D19" s="186"/>
      <c r="E19" s="186"/>
      <c r="F19" s="186"/>
      <c r="G19" s="186"/>
      <c r="H19" s="186"/>
      <c r="I19" s="186"/>
      <c r="J19" s="186"/>
      <c r="K19" s="186"/>
      <c r="L19" s="186"/>
      <c r="M19" s="186"/>
      <c r="N19" s="186"/>
      <c r="O19" s="186"/>
      <c r="P19" s="186"/>
      <c r="Q19" s="186"/>
      <c r="R19" s="186"/>
      <c r="S19" s="186"/>
      <c r="T19" s="186"/>
      <c r="U19" s="186"/>
      <c r="V19" s="3">
        <v>1</v>
      </c>
    </row>
    <row r="20" spans="1:22" ht="15.75">
      <c r="A20" s="186"/>
      <c r="B20" s="186"/>
      <c r="C20" s="2693" t="s">
        <v>9971</v>
      </c>
      <c r="D20" s="186"/>
      <c r="E20" s="186"/>
      <c r="F20" s="186"/>
      <c r="G20" s="186"/>
      <c r="H20" s="186"/>
      <c r="I20" s="186"/>
      <c r="J20" s="186"/>
      <c r="K20" s="186"/>
      <c r="L20" s="186"/>
      <c r="M20" s="186"/>
      <c r="N20" s="186"/>
      <c r="O20" s="186"/>
      <c r="P20" s="186"/>
      <c r="Q20" s="186"/>
      <c r="R20" s="186"/>
      <c r="S20" s="186"/>
      <c r="T20" s="186"/>
      <c r="U20" s="186"/>
      <c r="V20" s="3">
        <v>1</v>
      </c>
    </row>
    <row r="21" spans="1:22" ht="15.75">
      <c r="A21" s="186"/>
      <c r="B21" s="186"/>
      <c r="C21" s="2693" t="s">
        <v>9972</v>
      </c>
      <c r="D21" s="186"/>
      <c r="E21" s="186"/>
      <c r="F21" s="186"/>
      <c r="G21" s="186"/>
      <c r="H21" s="186"/>
      <c r="I21" s="186"/>
      <c r="J21" s="186"/>
      <c r="K21" s="186"/>
      <c r="L21" s="186"/>
      <c r="M21" s="186"/>
      <c r="N21" s="186"/>
      <c r="O21" s="186"/>
      <c r="P21" s="186"/>
      <c r="Q21" s="186"/>
      <c r="R21" s="186"/>
      <c r="S21" s="186"/>
      <c r="T21" s="186"/>
      <c r="U21" s="186"/>
      <c r="V21" s="3">
        <v>1</v>
      </c>
    </row>
    <row r="22" spans="1:22">
      <c r="A22" s="186"/>
      <c r="B22" s="186"/>
      <c r="C22" s="186"/>
      <c r="D22" s="186"/>
      <c r="E22" s="186"/>
      <c r="F22" s="186"/>
      <c r="G22" s="186"/>
      <c r="H22" s="186"/>
      <c r="I22" s="186"/>
      <c r="J22" s="186"/>
      <c r="K22" s="186"/>
      <c r="L22" s="186"/>
      <c r="M22" s="186"/>
      <c r="N22" s="186"/>
      <c r="O22" s="186"/>
      <c r="P22" s="186"/>
      <c r="Q22" s="186"/>
      <c r="R22" s="186"/>
      <c r="S22" s="186"/>
      <c r="T22" s="186"/>
      <c r="U22" s="186"/>
      <c r="V22" s="3">
        <v>1</v>
      </c>
    </row>
    <row r="23" spans="1:22">
      <c r="A23" s="186"/>
      <c r="B23" s="186"/>
      <c r="C23" s="2694" t="s">
        <v>9973</v>
      </c>
      <c r="D23" s="186"/>
      <c r="E23" s="186"/>
      <c r="F23" s="186"/>
      <c r="G23" s="186"/>
      <c r="H23" s="186"/>
      <c r="I23" s="186"/>
      <c r="J23" s="186"/>
      <c r="K23" s="186"/>
      <c r="L23" s="186"/>
      <c r="M23" s="186"/>
      <c r="N23" s="186"/>
      <c r="O23" s="186"/>
      <c r="P23" s="186"/>
      <c r="Q23" s="186"/>
      <c r="R23" s="186"/>
      <c r="S23" s="186"/>
      <c r="T23" s="186"/>
      <c r="U23" s="186"/>
      <c r="V23" s="3">
        <v>1</v>
      </c>
    </row>
    <row r="24" spans="1:22">
      <c r="A24" s="186"/>
      <c r="B24" s="186"/>
      <c r="C24" s="2694" t="s">
        <v>9974</v>
      </c>
      <c r="D24" s="186"/>
      <c r="E24" s="186"/>
      <c r="F24" s="186"/>
      <c r="G24" s="186"/>
      <c r="H24" s="186"/>
      <c r="I24" s="186"/>
      <c r="J24" s="186"/>
      <c r="K24" s="186"/>
      <c r="L24" s="186"/>
      <c r="M24" s="186"/>
      <c r="N24" s="186"/>
      <c r="O24" s="186"/>
      <c r="P24" s="186"/>
      <c r="Q24" s="186"/>
      <c r="R24" s="186"/>
      <c r="S24" s="186"/>
      <c r="T24" s="186"/>
      <c r="U24" s="186"/>
      <c r="V24" s="3">
        <v>1</v>
      </c>
    </row>
    <row r="25" spans="1:22">
      <c r="A25" s="186"/>
      <c r="B25" s="186"/>
      <c r="C25" s="2694"/>
      <c r="D25" s="186"/>
      <c r="E25" s="186"/>
      <c r="F25" s="186"/>
      <c r="G25" s="186"/>
      <c r="H25" s="186"/>
      <c r="I25" s="186"/>
      <c r="J25" s="186"/>
      <c r="K25" s="186"/>
      <c r="L25" s="186"/>
      <c r="M25" s="186"/>
      <c r="N25" s="186"/>
      <c r="O25" s="186"/>
      <c r="P25" s="186"/>
      <c r="Q25" s="186"/>
      <c r="R25" s="186"/>
      <c r="S25" s="186"/>
      <c r="T25" s="186"/>
      <c r="U25" s="186"/>
      <c r="V25" s="3">
        <v>1</v>
      </c>
    </row>
    <row r="26" spans="1:22">
      <c r="A26" s="186"/>
      <c r="B26" s="186"/>
      <c r="C26" s="2694" t="s">
        <v>9975</v>
      </c>
      <c r="D26" s="186"/>
      <c r="E26" s="186"/>
      <c r="F26" s="186"/>
      <c r="G26" s="186"/>
      <c r="H26" s="186"/>
      <c r="I26" s="186"/>
      <c r="J26" s="186"/>
      <c r="K26" s="186"/>
      <c r="L26" s="186"/>
      <c r="M26" s="186"/>
      <c r="N26" s="186"/>
      <c r="O26" s="186"/>
      <c r="P26" s="186"/>
      <c r="Q26" s="186"/>
      <c r="R26" s="186"/>
      <c r="S26" s="186"/>
      <c r="T26" s="186"/>
      <c r="U26" s="186"/>
      <c r="V26" s="3">
        <v>1</v>
      </c>
    </row>
    <row r="27" spans="1:22">
      <c r="A27" s="186"/>
      <c r="B27" s="186"/>
      <c r="C27" s="2694"/>
      <c r="D27" s="186"/>
      <c r="E27" s="186"/>
      <c r="F27" s="186"/>
      <c r="G27" s="186"/>
      <c r="H27" s="186"/>
      <c r="I27" s="186"/>
      <c r="J27" s="186"/>
      <c r="K27" s="186"/>
      <c r="L27" s="186"/>
      <c r="M27" s="186"/>
      <c r="N27" s="186"/>
      <c r="O27" s="186"/>
      <c r="P27" s="186"/>
      <c r="Q27" s="186"/>
      <c r="R27" s="186"/>
      <c r="S27" s="186"/>
      <c r="T27" s="186"/>
      <c r="U27" s="186"/>
      <c r="V27" s="3">
        <v>1</v>
      </c>
    </row>
    <row r="28" spans="1:22">
      <c r="A28" s="186"/>
      <c r="B28" s="186"/>
      <c r="C28" s="186" t="s">
        <v>9976</v>
      </c>
      <c r="D28" s="186"/>
      <c r="E28" s="186"/>
      <c r="F28" s="186"/>
      <c r="G28" s="186"/>
      <c r="H28" s="186"/>
      <c r="I28" s="186"/>
      <c r="J28" s="186"/>
      <c r="K28" s="186"/>
      <c r="L28" s="186"/>
      <c r="M28" s="186"/>
      <c r="N28" s="186"/>
      <c r="O28" s="186"/>
      <c r="P28" s="186"/>
      <c r="Q28" s="186"/>
      <c r="R28" s="186"/>
      <c r="S28" s="186"/>
      <c r="T28" s="186"/>
      <c r="U28" s="186"/>
      <c r="V28" s="3">
        <v>1</v>
      </c>
    </row>
    <row r="29" spans="1:22">
      <c r="A29" s="186"/>
      <c r="B29" s="186"/>
      <c r="C29" s="2694" t="s">
        <v>9977</v>
      </c>
      <c r="D29" s="186"/>
      <c r="E29" s="186"/>
      <c r="F29" s="186"/>
      <c r="G29" s="186"/>
      <c r="H29" s="186"/>
      <c r="I29" s="186"/>
      <c r="J29" s="186"/>
      <c r="K29" s="186"/>
      <c r="L29" s="186"/>
      <c r="M29" s="186"/>
      <c r="N29" s="186"/>
      <c r="O29" s="186"/>
      <c r="P29" s="186"/>
      <c r="Q29" s="186"/>
      <c r="R29" s="186"/>
      <c r="S29" s="186"/>
      <c r="T29" s="186"/>
      <c r="U29" s="186"/>
      <c r="V29" s="3">
        <v>1</v>
      </c>
    </row>
    <row r="30" spans="1:22">
      <c r="A30" s="186"/>
      <c r="B30" s="186"/>
      <c r="C30" s="186"/>
      <c r="D30" s="186"/>
      <c r="E30" s="186"/>
      <c r="F30" s="186"/>
      <c r="G30" s="186"/>
      <c r="H30" s="186"/>
      <c r="I30" s="186"/>
      <c r="J30" s="186"/>
      <c r="K30" s="186"/>
      <c r="L30" s="186"/>
      <c r="M30" s="186"/>
      <c r="N30" s="186"/>
      <c r="O30" s="186"/>
      <c r="P30" s="186"/>
      <c r="Q30" s="186"/>
      <c r="R30" s="186"/>
      <c r="S30" s="186"/>
      <c r="T30" s="186"/>
      <c r="U30" s="186"/>
      <c r="V30" s="3">
        <v>1</v>
      </c>
    </row>
    <row r="31" spans="1:22">
      <c r="A31" s="186"/>
      <c r="B31" s="186"/>
      <c r="C31" s="186" t="s">
        <v>9978</v>
      </c>
      <c r="D31" s="186"/>
      <c r="E31" s="186"/>
      <c r="F31" s="186"/>
      <c r="G31" s="186"/>
      <c r="H31" s="186"/>
      <c r="I31" s="186"/>
      <c r="J31" s="186"/>
      <c r="K31" s="186"/>
      <c r="L31" s="186"/>
      <c r="M31" s="186"/>
      <c r="N31" s="186"/>
      <c r="O31" s="186"/>
      <c r="P31" s="186"/>
      <c r="Q31" s="186"/>
      <c r="R31" s="186"/>
      <c r="S31" s="186"/>
      <c r="T31" s="186"/>
      <c r="U31" s="186"/>
      <c r="V31" s="3">
        <v>1</v>
      </c>
    </row>
    <row r="32" spans="1:22">
      <c r="A32" s="186"/>
      <c r="B32" s="186"/>
      <c r="C32" s="186"/>
      <c r="D32" s="186"/>
      <c r="E32" s="186"/>
      <c r="F32" s="186"/>
      <c r="G32" s="186"/>
      <c r="H32" s="186"/>
      <c r="I32" s="186"/>
      <c r="J32" s="186"/>
      <c r="K32" s="186"/>
      <c r="L32" s="186"/>
      <c r="M32" s="186"/>
      <c r="N32" s="186"/>
      <c r="O32" s="186"/>
      <c r="P32" s="186"/>
      <c r="Q32" s="186"/>
      <c r="R32" s="186"/>
      <c r="S32" s="186"/>
      <c r="T32" s="186"/>
      <c r="U32" s="186"/>
      <c r="V32" s="3">
        <v>1</v>
      </c>
    </row>
    <row r="33" spans="1:22">
      <c r="A33" s="186"/>
      <c r="B33" s="186"/>
      <c r="C33" s="186" t="s">
        <v>9979</v>
      </c>
      <c r="D33" s="186"/>
      <c r="E33" s="186"/>
      <c r="F33" s="186"/>
      <c r="G33" s="186"/>
      <c r="H33" s="186"/>
      <c r="I33" s="186"/>
      <c r="J33" s="186"/>
      <c r="K33" s="186"/>
      <c r="L33" s="186"/>
      <c r="M33" s="186"/>
      <c r="N33" s="186"/>
      <c r="O33" s="186"/>
      <c r="P33" s="186"/>
      <c r="Q33" s="186"/>
      <c r="R33" s="186"/>
      <c r="S33" s="186"/>
      <c r="T33" s="186"/>
      <c r="U33" s="186"/>
      <c r="V33" s="3">
        <v>1</v>
      </c>
    </row>
    <row r="34" spans="1:22">
      <c r="A34" s="186"/>
      <c r="B34" s="186"/>
      <c r="C34" s="186" t="s">
        <v>9980</v>
      </c>
      <c r="D34" s="186"/>
      <c r="E34" s="186"/>
      <c r="F34" s="186"/>
      <c r="G34" s="186"/>
      <c r="H34" s="186"/>
      <c r="I34" s="186"/>
      <c r="J34" s="186"/>
      <c r="K34" s="186"/>
      <c r="L34" s="186"/>
      <c r="M34" s="186"/>
      <c r="N34" s="186"/>
      <c r="O34" s="186"/>
      <c r="P34" s="186"/>
      <c r="Q34" s="186"/>
      <c r="R34" s="186"/>
      <c r="S34" s="186"/>
      <c r="T34" s="186"/>
      <c r="U34" s="186"/>
      <c r="V34" s="3">
        <v>1</v>
      </c>
    </row>
    <row r="35" spans="1:22">
      <c r="A35" s="186"/>
      <c r="B35" s="186"/>
      <c r="C35" s="186"/>
      <c r="D35" s="186"/>
      <c r="E35" s="186"/>
      <c r="F35" s="186"/>
      <c r="G35" s="186"/>
      <c r="H35" s="186"/>
      <c r="I35" s="186"/>
      <c r="J35" s="186"/>
      <c r="K35" s="186"/>
      <c r="L35" s="186"/>
      <c r="M35" s="186"/>
      <c r="N35" s="186"/>
      <c r="O35" s="186"/>
      <c r="P35" s="186"/>
      <c r="Q35" s="186"/>
      <c r="R35" s="186"/>
      <c r="S35" s="186"/>
      <c r="T35" s="186"/>
      <c r="U35" s="186"/>
      <c r="V35" s="3">
        <v>1</v>
      </c>
    </row>
    <row r="36" spans="1:22" ht="18">
      <c r="A36" s="186"/>
      <c r="B36" s="186"/>
      <c r="C36" s="1302" t="s">
        <v>9981</v>
      </c>
      <c r="D36" s="186"/>
      <c r="E36" s="186"/>
      <c r="F36" s="186"/>
      <c r="G36" s="186"/>
      <c r="H36" s="186"/>
      <c r="I36" s="186"/>
      <c r="J36" s="186"/>
      <c r="K36" s="186"/>
      <c r="L36" s="186"/>
      <c r="M36" s="186"/>
      <c r="N36" s="186"/>
      <c r="O36" s="186"/>
      <c r="P36" s="186"/>
      <c r="Q36" s="186"/>
      <c r="R36" s="186"/>
      <c r="S36" s="186"/>
      <c r="T36" s="186"/>
      <c r="U36" s="186"/>
      <c r="V36" s="3">
        <v>1</v>
      </c>
    </row>
    <row r="37" spans="1:22">
      <c r="A37" s="186"/>
      <c r="B37" s="186"/>
      <c r="C37" s="54"/>
      <c r="D37" s="186"/>
      <c r="E37" s="186"/>
      <c r="F37" s="186"/>
      <c r="G37" s="186"/>
      <c r="H37" s="186"/>
      <c r="I37" s="186"/>
      <c r="J37" s="186"/>
      <c r="K37" s="186"/>
      <c r="L37" s="186"/>
      <c r="M37" s="186"/>
      <c r="N37" s="186"/>
      <c r="O37" s="186"/>
      <c r="P37" s="186"/>
      <c r="Q37" s="186"/>
      <c r="R37" s="186"/>
      <c r="S37" s="186"/>
      <c r="T37" s="186"/>
      <c r="U37" s="186"/>
      <c r="V37" s="3">
        <v>1</v>
      </c>
    </row>
    <row r="38" spans="1:22">
      <c r="A38" s="186"/>
      <c r="B38" s="186"/>
      <c r="C38" s="677" t="s">
        <v>9982</v>
      </c>
      <c r="D38" s="186"/>
      <c r="E38" s="186"/>
      <c r="F38" s="186"/>
      <c r="G38" s="186"/>
      <c r="H38" s="186"/>
      <c r="I38" s="186"/>
      <c r="J38" s="186"/>
      <c r="K38" s="186"/>
      <c r="L38" s="186"/>
      <c r="M38" s="186"/>
      <c r="N38" s="186"/>
      <c r="O38" s="186"/>
      <c r="P38" s="186"/>
      <c r="Q38" s="186"/>
      <c r="R38" s="186"/>
      <c r="S38" s="186"/>
      <c r="T38" s="186"/>
      <c r="U38" s="186"/>
      <c r="V38" s="3">
        <v>1</v>
      </c>
    </row>
    <row r="39" spans="1:22">
      <c r="A39" s="186"/>
      <c r="B39" s="186"/>
      <c r="C39" s="54"/>
      <c r="D39" s="186"/>
      <c r="E39" s="186"/>
      <c r="F39" s="186"/>
      <c r="G39" s="186"/>
      <c r="H39" s="186"/>
      <c r="I39" s="186"/>
      <c r="J39" s="186"/>
      <c r="K39" s="186"/>
      <c r="L39" s="186"/>
      <c r="M39" s="186"/>
      <c r="N39" s="186"/>
      <c r="O39" s="186"/>
      <c r="P39" s="186"/>
      <c r="Q39" s="186"/>
      <c r="R39" s="186"/>
      <c r="S39" s="186"/>
      <c r="T39" s="186"/>
      <c r="U39" s="186"/>
      <c r="V39" s="3">
        <v>1</v>
      </c>
    </row>
    <row r="40" spans="1:22">
      <c r="A40" s="186"/>
      <c r="B40" s="186"/>
      <c r="C40" s="54" t="s">
        <v>9983</v>
      </c>
      <c r="D40" s="186"/>
      <c r="E40" s="186"/>
      <c r="F40" s="186"/>
      <c r="G40" s="186"/>
      <c r="H40" s="186"/>
      <c r="I40" s="186"/>
      <c r="J40" s="186"/>
      <c r="K40" s="186"/>
      <c r="L40" s="186"/>
      <c r="M40" s="186"/>
      <c r="N40" s="186"/>
      <c r="O40" s="186"/>
      <c r="P40" s="186"/>
      <c r="Q40" s="186"/>
      <c r="R40" s="186"/>
      <c r="S40" s="186"/>
      <c r="T40" s="186"/>
      <c r="U40" s="186"/>
      <c r="V40" s="3">
        <v>1</v>
      </c>
    </row>
    <row r="41" spans="1:22">
      <c r="A41" s="186"/>
      <c r="B41" s="186"/>
      <c r="C41" s="54" t="s">
        <v>9984</v>
      </c>
      <c r="D41" s="186"/>
      <c r="E41" s="186"/>
      <c r="F41" s="186"/>
      <c r="G41" s="186"/>
      <c r="H41" s="186"/>
      <c r="I41" s="186"/>
      <c r="J41" s="186"/>
      <c r="K41" s="186"/>
      <c r="L41" s="186"/>
      <c r="M41" s="186"/>
      <c r="N41" s="186"/>
      <c r="O41" s="186"/>
      <c r="P41" s="186"/>
      <c r="Q41" s="186"/>
      <c r="R41" s="186"/>
      <c r="S41" s="186"/>
      <c r="T41" s="186"/>
      <c r="U41" s="186"/>
      <c r="V41" s="3">
        <v>1</v>
      </c>
    </row>
    <row r="42" spans="1:22">
      <c r="A42" s="186"/>
      <c r="B42" s="186"/>
      <c r="C42" s="2695" t="s">
        <v>9985</v>
      </c>
      <c r="D42" s="186"/>
      <c r="E42" s="186"/>
      <c r="F42" s="186"/>
      <c r="G42" s="186"/>
      <c r="H42" s="186"/>
      <c r="I42" s="186"/>
      <c r="J42" s="186"/>
      <c r="K42" s="186"/>
      <c r="L42" s="186"/>
      <c r="M42" s="186"/>
      <c r="N42" s="186"/>
      <c r="O42" s="186"/>
      <c r="P42" s="186"/>
      <c r="Q42" s="186"/>
      <c r="R42" s="186"/>
      <c r="S42" s="186"/>
      <c r="T42" s="186"/>
      <c r="U42" s="186"/>
      <c r="V42" s="3">
        <v>1</v>
      </c>
    </row>
    <row r="43" spans="1:22">
      <c r="A43" s="186"/>
      <c r="B43" s="186"/>
      <c r="C43" s="54"/>
      <c r="D43" s="186"/>
      <c r="E43" s="186"/>
      <c r="F43" s="186"/>
      <c r="G43" s="186"/>
      <c r="H43" s="186"/>
      <c r="I43" s="186"/>
      <c r="J43" s="186"/>
      <c r="K43" s="186"/>
      <c r="L43" s="186"/>
      <c r="M43" s="186"/>
      <c r="N43" s="186"/>
      <c r="O43" s="186"/>
      <c r="P43" s="186"/>
      <c r="Q43" s="186"/>
      <c r="R43" s="186"/>
      <c r="S43" s="186"/>
      <c r="T43" s="186"/>
      <c r="U43" s="186"/>
      <c r="V43" s="3">
        <v>1</v>
      </c>
    </row>
    <row r="44" spans="1:22">
      <c r="A44" s="186"/>
      <c r="B44" s="186"/>
      <c r="C44" s="677" t="s">
        <v>9986</v>
      </c>
      <c r="D44" s="186"/>
      <c r="E44" s="186"/>
      <c r="F44" s="186"/>
      <c r="G44" s="186"/>
      <c r="H44" s="186"/>
      <c r="I44" s="186"/>
      <c r="J44" s="186"/>
      <c r="K44" s="186"/>
      <c r="L44" s="186"/>
      <c r="M44" s="186"/>
      <c r="N44" s="186"/>
      <c r="O44" s="186"/>
      <c r="P44" s="186"/>
      <c r="Q44" s="186"/>
      <c r="R44" s="186"/>
      <c r="S44" s="186"/>
      <c r="T44" s="186"/>
      <c r="U44" s="186"/>
      <c r="V44" s="3">
        <v>1</v>
      </c>
    </row>
    <row r="45" spans="1:22">
      <c r="A45" s="186"/>
      <c r="B45" s="186"/>
      <c r="C45" s="2695" t="s">
        <v>9987</v>
      </c>
      <c r="D45" s="186"/>
      <c r="E45" s="186"/>
      <c r="F45" s="186"/>
      <c r="G45" s="186"/>
      <c r="H45" s="186"/>
      <c r="I45" s="186"/>
      <c r="J45" s="186"/>
      <c r="K45" s="186"/>
      <c r="L45" s="186"/>
      <c r="M45" s="186"/>
      <c r="N45" s="186"/>
      <c r="O45" s="186"/>
      <c r="P45" s="186"/>
      <c r="Q45" s="186"/>
      <c r="R45" s="186"/>
      <c r="S45" s="186"/>
      <c r="T45" s="186"/>
      <c r="U45" s="186"/>
      <c r="V45" s="3">
        <v>1</v>
      </c>
    </row>
    <row r="46" spans="1:22">
      <c r="A46" s="186"/>
      <c r="B46" s="186"/>
      <c r="C46" s="54" t="s">
        <v>9988</v>
      </c>
      <c r="D46" s="186"/>
      <c r="E46" s="186"/>
      <c r="F46" s="186"/>
      <c r="G46" s="186"/>
      <c r="H46" s="186"/>
      <c r="I46" s="186"/>
      <c r="J46" s="186"/>
      <c r="K46" s="186"/>
      <c r="L46" s="186"/>
      <c r="M46" s="186"/>
      <c r="N46" s="186"/>
      <c r="O46" s="186"/>
      <c r="P46" s="186"/>
      <c r="Q46" s="186"/>
      <c r="R46" s="186"/>
      <c r="S46" s="186"/>
      <c r="T46" s="186"/>
      <c r="U46" s="186"/>
      <c r="V46" s="3">
        <v>1</v>
      </c>
    </row>
    <row r="47" spans="1:22">
      <c r="A47" s="186"/>
      <c r="B47" s="186"/>
      <c r="C47" s="186"/>
      <c r="D47" s="186"/>
      <c r="E47" s="186"/>
      <c r="F47" s="186"/>
      <c r="G47" s="186"/>
      <c r="H47" s="186"/>
      <c r="I47" s="186"/>
      <c r="J47" s="186"/>
      <c r="K47" s="186"/>
      <c r="L47" s="186"/>
      <c r="M47" s="186"/>
      <c r="N47" s="186"/>
      <c r="O47" s="186"/>
      <c r="P47" s="186"/>
      <c r="Q47" s="186"/>
      <c r="R47" s="186"/>
      <c r="S47" s="186"/>
      <c r="T47" s="186"/>
      <c r="U47" s="186"/>
      <c r="V47" s="3">
        <v>1</v>
      </c>
    </row>
    <row r="48" spans="1:22" ht="18">
      <c r="A48" s="186"/>
      <c r="B48" s="186"/>
      <c r="C48" s="1302" t="s">
        <v>9989</v>
      </c>
      <c r="D48" s="186"/>
      <c r="E48" s="186"/>
      <c r="F48" s="186"/>
      <c r="G48" s="186"/>
      <c r="H48" s="186"/>
      <c r="I48" s="186"/>
      <c r="J48" s="186"/>
      <c r="K48" s="186"/>
      <c r="L48" s="186"/>
      <c r="M48" s="186"/>
      <c r="N48" s="186"/>
      <c r="O48" s="186"/>
      <c r="P48" s="186"/>
      <c r="Q48" s="186"/>
      <c r="R48" s="186"/>
      <c r="S48" s="186"/>
      <c r="T48" s="186"/>
      <c r="U48" s="186"/>
      <c r="V48" s="3">
        <v>1</v>
      </c>
    </row>
    <row r="49" spans="1:22">
      <c r="A49" s="186"/>
      <c r="B49" s="186"/>
      <c r="C49" s="186" t="s">
        <v>9990</v>
      </c>
      <c r="D49" s="186"/>
      <c r="E49" s="186"/>
      <c r="F49" s="186"/>
      <c r="G49" s="186"/>
      <c r="H49" s="186"/>
      <c r="I49" s="186"/>
      <c r="J49" s="186"/>
      <c r="K49" s="186"/>
      <c r="L49" s="186"/>
      <c r="M49" s="186"/>
      <c r="N49" s="186"/>
      <c r="O49" s="186"/>
      <c r="P49" s="186"/>
      <c r="Q49" s="186"/>
      <c r="R49" s="186"/>
      <c r="S49" s="186"/>
      <c r="T49" s="186"/>
      <c r="U49" s="186"/>
      <c r="V49" s="3">
        <v>1</v>
      </c>
    </row>
    <row r="50" spans="1:22">
      <c r="A50" s="186"/>
      <c r="B50" s="186"/>
      <c r="C50" s="2694" t="s">
        <v>9991</v>
      </c>
      <c r="D50" s="186"/>
      <c r="E50" s="186"/>
      <c r="F50" s="186"/>
      <c r="G50" s="186"/>
      <c r="H50" s="186"/>
      <c r="I50" s="186"/>
      <c r="J50" s="186"/>
      <c r="K50" s="186"/>
      <c r="L50" s="186"/>
      <c r="M50" s="186"/>
      <c r="N50" s="186"/>
      <c r="O50" s="186"/>
      <c r="P50" s="186"/>
      <c r="Q50" s="186"/>
      <c r="R50" s="186"/>
      <c r="S50" s="186"/>
      <c r="T50" s="186"/>
      <c r="U50" s="186"/>
      <c r="V50" s="3">
        <v>1</v>
      </c>
    </row>
    <row r="51" spans="1:22">
      <c r="A51" s="186"/>
      <c r="B51" s="186"/>
      <c r="C51" s="186"/>
      <c r="D51" s="186"/>
      <c r="E51" s="186"/>
      <c r="F51" s="186"/>
      <c r="G51" s="186"/>
      <c r="H51" s="186"/>
      <c r="I51" s="186"/>
      <c r="J51" s="186"/>
      <c r="K51" s="186"/>
      <c r="L51" s="186"/>
      <c r="M51" s="186"/>
      <c r="N51" s="186"/>
      <c r="O51" s="186"/>
      <c r="P51" s="186"/>
      <c r="Q51" s="186"/>
      <c r="R51" s="186"/>
      <c r="S51" s="186"/>
      <c r="T51" s="186"/>
      <c r="U51" s="186"/>
      <c r="V51" s="3">
        <v>1</v>
      </c>
    </row>
    <row r="52" spans="1:22">
      <c r="A52" s="186"/>
      <c r="B52" s="186"/>
      <c r="C52" s="186" t="s">
        <v>9992</v>
      </c>
      <c r="D52" s="186"/>
      <c r="E52" s="186"/>
      <c r="F52" s="186"/>
      <c r="G52" s="186"/>
      <c r="H52" s="186"/>
      <c r="I52" s="186"/>
      <c r="J52" s="186"/>
      <c r="K52" s="186"/>
      <c r="L52" s="186"/>
      <c r="M52" s="186"/>
      <c r="N52" s="186"/>
      <c r="O52" s="186"/>
      <c r="P52" s="186"/>
      <c r="Q52" s="186"/>
      <c r="R52" s="186"/>
      <c r="S52" s="186"/>
      <c r="T52" s="186"/>
      <c r="U52" s="186"/>
      <c r="V52" s="3">
        <v>1</v>
      </c>
    </row>
    <row r="53" spans="1:22">
      <c r="A53" s="186"/>
      <c r="B53" s="186"/>
      <c r="C53" s="186"/>
      <c r="D53" s="186"/>
      <c r="E53" s="186"/>
      <c r="F53" s="186"/>
      <c r="G53" s="186"/>
      <c r="H53" s="186"/>
      <c r="I53" s="186"/>
      <c r="J53" s="186"/>
      <c r="K53" s="186"/>
      <c r="L53" s="186"/>
      <c r="M53" s="186"/>
      <c r="N53" s="186"/>
      <c r="O53" s="186"/>
      <c r="P53" s="186"/>
      <c r="Q53" s="186"/>
      <c r="R53" s="186"/>
      <c r="S53" s="186"/>
      <c r="T53" s="186"/>
      <c r="U53" s="186"/>
      <c r="V53" s="3">
        <v>1</v>
      </c>
    </row>
    <row r="54" spans="1:22">
      <c r="A54" s="186"/>
      <c r="B54" s="186"/>
      <c r="C54" s="186" t="s">
        <v>9993</v>
      </c>
      <c r="D54" s="186"/>
      <c r="E54" s="186"/>
      <c r="F54" s="186"/>
      <c r="G54" s="186"/>
      <c r="H54" s="186"/>
      <c r="I54" s="186"/>
      <c r="J54" s="186"/>
      <c r="K54" s="186"/>
      <c r="L54" s="186"/>
      <c r="M54" s="186"/>
      <c r="N54" s="186"/>
      <c r="O54" s="186"/>
      <c r="P54" s="186"/>
      <c r="Q54" s="186"/>
      <c r="R54" s="186"/>
      <c r="S54" s="186"/>
      <c r="T54" s="186"/>
      <c r="U54" s="186"/>
      <c r="V54" s="3">
        <v>1</v>
      </c>
    </row>
    <row r="55" spans="1:22">
      <c r="A55" s="186"/>
      <c r="B55" s="186"/>
      <c r="C55" s="186"/>
      <c r="D55" s="186"/>
      <c r="E55" s="186"/>
      <c r="F55" s="186"/>
      <c r="G55" s="186"/>
      <c r="H55" s="186"/>
      <c r="I55" s="186"/>
      <c r="J55" s="186"/>
      <c r="K55" s="186"/>
      <c r="L55" s="186"/>
      <c r="M55" s="186"/>
      <c r="N55" s="186"/>
      <c r="O55" s="186"/>
      <c r="P55" s="186"/>
      <c r="Q55" s="186"/>
      <c r="R55" s="186"/>
      <c r="S55" s="186"/>
      <c r="T55" s="186"/>
      <c r="U55" s="186"/>
      <c r="V55" s="3">
        <v>1</v>
      </c>
    </row>
    <row r="56" spans="1:22">
      <c r="A56" s="186"/>
      <c r="B56" s="186"/>
      <c r="C56" s="186"/>
      <c r="D56" s="186"/>
      <c r="E56" s="186"/>
      <c r="F56" s="186"/>
      <c r="G56" s="186"/>
      <c r="H56" s="186"/>
      <c r="I56" s="186"/>
      <c r="J56" s="186"/>
      <c r="K56" s="186"/>
      <c r="L56" s="186"/>
      <c r="M56" s="186"/>
      <c r="N56" s="186"/>
      <c r="O56" s="186"/>
      <c r="P56" s="186"/>
      <c r="Q56" s="186"/>
      <c r="R56" s="186"/>
      <c r="S56" s="186"/>
      <c r="T56" s="186"/>
      <c r="U56" s="186"/>
      <c r="V56" s="3">
        <v>1</v>
      </c>
    </row>
    <row r="57" spans="1:22" ht="18.75">
      <c r="A57" s="186"/>
      <c r="B57" s="186"/>
      <c r="C57" s="2696" t="s">
        <v>9994</v>
      </c>
      <c r="D57" s="2697"/>
      <c r="E57" s="186"/>
      <c r="F57" s="186"/>
      <c r="G57" s="186"/>
      <c r="H57" s="186"/>
      <c r="I57" s="186"/>
      <c r="J57" s="186"/>
      <c r="K57" s="186"/>
      <c r="L57" s="186"/>
      <c r="M57" s="186"/>
      <c r="N57" s="186"/>
      <c r="O57" s="186"/>
      <c r="P57" s="186"/>
      <c r="Q57" s="186"/>
      <c r="R57" s="186"/>
      <c r="S57" s="186"/>
      <c r="T57" s="186"/>
      <c r="U57" s="186"/>
      <c r="V57" s="3">
        <v>1</v>
      </c>
    </row>
    <row r="58" spans="1:22" ht="15.75">
      <c r="A58" s="186"/>
      <c r="B58" s="186"/>
      <c r="C58" s="2698"/>
      <c r="D58" s="2697"/>
      <c r="E58" s="186"/>
      <c r="F58" s="186"/>
      <c r="G58" s="186"/>
      <c r="H58" s="186"/>
      <c r="I58" s="186"/>
      <c r="J58" s="186"/>
      <c r="K58" s="186"/>
      <c r="L58" s="186"/>
      <c r="M58" s="186"/>
      <c r="N58" s="186"/>
      <c r="O58" s="186"/>
      <c r="P58" s="186"/>
      <c r="Q58" s="186"/>
      <c r="R58" s="186"/>
      <c r="S58" s="186"/>
      <c r="T58" s="186"/>
      <c r="U58" s="186"/>
      <c r="V58" s="3">
        <v>1</v>
      </c>
    </row>
    <row r="59" spans="1:22" ht="18.75">
      <c r="A59" s="186"/>
      <c r="B59" s="186"/>
      <c r="C59" s="1300" t="s">
        <v>9995</v>
      </c>
      <c r="D59" s="2697"/>
      <c r="E59" s="186"/>
      <c r="F59" s="186"/>
      <c r="G59" s="186"/>
      <c r="H59" s="186"/>
      <c r="I59" s="186"/>
      <c r="J59" s="186"/>
      <c r="K59" s="186"/>
      <c r="L59" s="186"/>
      <c r="M59" s="186"/>
      <c r="N59" s="186"/>
      <c r="O59" s="186"/>
      <c r="P59" s="186"/>
      <c r="Q59" s="186"/>
      <c r="R59" s="186"/>
      <c r="S59" s="186"/>
      <c r="T59" s="186"/>
      <c r="U59" s="186"/>
      <c r="V59" s="3">
        <v>1</v>
      </c>
    </row>
    <row r="60" spans="1:22" ht="18.75">
      <c r="A60" s="186"/>
      <c r="B60" s="186"/>
      <c r="C60" s="1300"/>
      <c r="D60" s="2697"/>
      <c r="E60" s="186"/>
      <c r="F60" s="186"/>
      <c r="G60" s="186"/>
      <c r="H60" s="186"/>
      <c r="I60" s="186"/>
      <c r="J60" s="186"/>
      <c r="K60" s="186"/>
      <c r="L60" s="186"/>
      <c r="M60" s="186"/>
      <c r="N60" s="186"/>
      <c r="O60" s="186"/>
      <c r="P60" s="186"/>
      <c r="Q60" s="186"/>
      <c r="R60" s="186"/>
      <c r="S60" s="186"/>
      <c r="T60" s="186"/>
      <c r="U60" s="186"/>
      <c r="V60" s="3">
        <v>1</v>
      </c>
    </row>
    <row r="61" spans="1:22" ht="15.75">
      <c r="A61" s="186"/>
      <c r="B61" s="186"/>
      <c r="C61" s="2699" t="s">
        <v>9996</v>
      </c>
      <c r="D61" s="2697"/>
      <c r="E61" s="186"/>
      <c r="F61" s="186"/>
      <c r="G61" s="186"/>
      <c r="H61" s="186"/>
      <c r="I61" s="186"/>
      <c r="J61" s="186"/>
      <c r="K61" s="186"/>
      <c r="L61" s="186"/>
      <c r="M61" s="186"/>
      <c r="N61" s="186"/>
      <c r="O61" s="186"/>
      <c r="P61" s="186"/>
      <c r="Q61" s="186"/>
      <c r="R61" s="186"/>
      <c r="S61" s="186"/>
      <c r="T61" s="186"/>
      <c r="U61" s="186"/>
      <c r="V61" s="3">
        <v>1</v>
      </c>
    </row>
    <row r="62" spans="1:22">
      <c r="A62" s="186"/>
      <c r="B62" s="186"/>
      <c r="C62" s="186"/>
      <c r="D62" s="2697"/>
      <c r="E62" s="186"/>
      <c r="F62" s="186"/>
      <c r="G62" s="186"/>
      <c r="H62" s="186"/>
      <c r="I62" s="186"/>
      <c r="J62" s="186"/>
      <c r="K62" s="186"/>
      <c r="L62" s="186"/>
      <c r="M62" s="186"/>
      <c r="N62" s="186"/>
      <c r="O62" s="186"/>
      <c r="P62" s="186"/>
      <c r="Q62" s="186"/>
      <c r="R62" s="186"/>
      <c r="S62" s="186"/>
      <c r="T62" s="186"/>
      <c r="U62" s="186"/>
      <c r="V62" s="3">
        <v>1</v>
      </c>
    </row>
    <row r="63" spans="1:22" ht="15.75">
      <c r="A63" s="2300" t="s">
        <v>9997</v>
      </c>
      <c r="B63" s="186"/>
      <c r="C63" s="2698" t="s">
        <v>8049</v>
      </c>
      <c r="D63" s="2697"/>
      <c r="E63" s="186"/>
      <c r="F63" s="186"/>
      <c r="G63" s="186"/>
      <c r="H63" s="186"/>
      <c r="I63" s="186"/>
      <c r="J63" s="186"/>
      <c r="K63" s="186"/>
      <c r="L63" s="186"/>
      <c r="M63" s="186"/>
      <c r="N63" s="186"/>
      <c r="O63" s="186"/>
      <c r="P63" s="186"/>
      <c r="Q63" s="186"/>
      <c r="R63" s="186"/>
      <c r="S63" s="186"/>
      <c r="T63" s="186"/>
      <c r="U63" s="186"/>
      <c r="V63" s="3">
        <v>1</v>
      </c>
    </row>
    <row r="64" spans="1:22" ht="15.75">
      <c r="A64" s="2700">
        <f>LEN(C64)</f>
        <v>877</v>
      </c>
      <c r="B64" s="2300"/>
      <c r="C64" s="2692" t="s">
        <v>9998</v>
      </c>
      <c r="D64" s="186"/>
      <c r="E64" s="186"/>
      <c r="F64" s="186"/>
      <c r="G64" s="186"/>
      <c r="H64" s="186"/>
      <c r="I64" s="186"/>
      <c r="J64" s="186"/>
      <c r="K64" s="186"/>
      <c r="L64" s="186"/>
      <c r="M64" s="186"/>
      <c r="N64" s="186"/>
      <c r="O64" s="186"/>
      <c r="P64" s="186"/>
      <c r="Q64" s="186"/>
      <c r="R64" s="186"/>
      <c r="S64" s="186"/>
      <c r="T64" s="186"/>
      <c r="U64" s="186"/>
      <c r="V64" s="3"/>
    </row>
    <row r="65" spans="1:22" ht="15.75">
      <c r="A65" s="186"/>
      <c r="B65" s="186"/>
      <c r="C65" s="2692"/>
      <c r="D65" s="186"/>
      <c r="E65" s="186"/>
      <c r="F65" s="186"/>
      <c r="G65" s="186"/>
      <c r="H65" s="186"/>
      <c r="I65" s="186"/>
      <c r="J65" s="186"/>
      <c r="K65" s="186"/>
      <c r="L65" s="186"/>
      <c r="M65" s="186"/>
      <c r="N65" s="186"/>
      <c r="O65" s="186"/>
      <c r="P65" s="186"/>
      <c r="Q65" s="186"/>
      <c r="R65" s="186"/>
      <c r="S65" s="186"/>
      <c r="T65" s="186"/>
      <c r="U65" s="186"/>
      <c r="V65" s="3">
        <v>1</v>
      </c>
    </row>
    <row r="66" spans="1:22">
      <c r="A66" s="186"/>
      <c r="B66" s="186"/>
      <c r="C66" s="2694" t="s">
        <v>9999</v>
      </c>
      <c r="D66" s="186"/>
      <c r="E66" s="186"/>
      <c r="F66" s="186"/>
      <c r="G66" s="186"/>
      <c r="H66" s="186"/>
      <c r="I66" s="186"/>
      <c r="J66" s="186"/>
      <c r="K66" s="186"/>
      <c r="L66" s="186"/>
      <c r="M66" s="186"/>
      <c r="N66" s="186"/>
      <c r="O66" s="186"/>
      <c r="P66" s="186"/>
      <c r="Q66" s="186"/>
      <c r="R66" s="186"/>
      <c r="S66" s="186"/>
      <c r="T66" s="186"/>
      <c r="U66" s="186"/>
      <c r="V66" s="3">
        <v>1</v>
      </c>
    </row>
    <row r="67" spans="1:22">
      <c r="A67" s="186"/>
      <c r="B67" s="186"/>
      <c r="C67" s="186"/>
      <c r="D67" s="186"/>
      <c r="E67" s="186"/>
      <c r="F67" s="186"/>
      <c r="G67" s="186"/>
      <c r="H67" s="186"/>
      <c r="I67" s="186"/>
      <c r="J67" s="186"/>
      <c r="K67" s="186"/>
      <c r="L67" s="186"/>
      <c r="M67" s="186"/>
      <c r="N67" s="186"/>
      <c r="O67" s="186"/>
      <c r="P67" s="186"/>
      <c r="Q67" s="186"/>
      <c r="R67" s="186"/>
      <c r="S67" s="186"/>
      <c r="T67" s="186"/>
      <c r="U67" s="186"/>
      <c r="V67" s="3">
        <v>1</v>
      </c>
    </row>
    <row r="68" spans="1:22" ht="30" customHeight="1">
      <c r="A68" s="186"/>
      <c r="B68" s="186"/>
      <c r="C68" s="2698" t="s">
        <v>9426</v>
      </c>
      <c r="D68" s="186"/>
      <c r="E68" s="186"/>
      <c r="F68" s="186"/>
      <c r="G68" s="186"/>
      <c r="H68" s="186"/>
      <c r="I68" s="186"/>
      <c r="J68" s="186"/>
      <c r="K68" s="186"/>
      <c r="L68" s="186"/>
      <c r="M68" s="186"/>
      <c r="N68" s="186"/>
      <c r="O68" s="186"/>
      <c r="P68" s="186"/>
      <c r="Q68" s="186"/>
      <c r="R68" s="186"/>
      <c r="S68" s="186"/>
      <c r="T68" s="186"/>
      <c r="U68" s="186"/>
      <c r="V68" s="3">
        <v>1</v>
      </c>
    </row>
    <row r="69" spans="1:22">
      <c r="A69" s="54"/>
      <c r="B69" s="186"/>
      <c r="C69" s="186"/>
      <c r="D69" s="186"/>
      <c r="E69" s="186"/>
      <c r="F69" s="186"/>
      <c r="G69" s="186"/>
      <c r="H69" s="186"/>
      <c r="I69" s="186"/>
      <c r="J69" s="186"/>
      <c r="K69" s="186"/>
      <c r="L69" s="186"/>
      <c r="M69" s="186"/>
      <c r="N69" s="186"/>
      <c r="O69" s="186"/>
      <c r="P69" s="186"/>
      <c r="Q69" s="186"/>
      <c r="R69" s="186"/>
      <c r="S69" s="186"/>
      <c r="T69" s="186"/>
      <c r="U69" s="186"/>
      <c r="V69" s="3">
        <v>1</v>
      </c>
    </row>
    <row r="70" spans="1:22">
      <c r="A70" s="2300">
        <f>LEN(C70)</f>
        <v>64</v>
      </c>
      <c r="B70" s="2300"/>
      <c r="C70" s="186" t="s">
        <v>10000</v>
      </c>
      <c r="D70" s="186"/>
      <c r="E70" s="186"/>
      <c r="F70" s="186"/>
      <c r="G70" s="186"/>
      <c r="H70" s="186"/>
      <c r="I70" s="186"/>
      <c r="J70" s="186"/>
      <c r="K70" s="186"/>
      <c r="L70" s="186"/>
      <c r="M70" s="186"/>
      <c r="N70" s="186"/>
      <c r="O70" s="186"/>
      <c r="P70" s="186"/>
      <c r="Q70" s="186"/>
      <c r="R70" s="186"/>
      <c r="S70" s="186"/>
      <c r="T70" s="186"/>
      <c r="U70" s="186"/>
      <c r="V70" s="3">
        <v>1</v>
      </c>
    </row>
    <row r="71" spans="1:22">
      <c r="A71" s="2300">
        <f>LEN(C71)</f>
        <v>70</v>
      </c>
      <c r="B71" s="2300"/>
      <c r="C71" s="186" t="s">
        <v>10001</v>
      </c>
      <c r="D71" s="186"/>
      <c r="E71" s="186"/>
      <c r="F71" s="186"/>
      <c r="G71" s="186"/>
      <c r="H71" s="186"/>
      <c r="I71" s="186"/>
      <c r="J71" s="186"/>
      <c r="K71" s="186"/>
      <c r="L71" s="186"/>
      <c r="M71" s="186"/>
      <c r="N71" s="186"/>
      <c r="O71" s="186"/>
      <c r="P71" s="186"/>
      <c r="Q71" s="186"/>
      <c r="R71" s="186"/>
      <c r="S71" s="186"/>
      <c r="T71" s="186"/>
      <c r="U71" s="186"/>
      <c r="V71" s="3">
        <v>1</v>
      </c>
    </row>
    <row r="72" spans="1:22">
      <c r="A72" s="186"/>
      <c r="B72" s="186"/>
      <c r="C72" s="186"/>
      <c r="D72" s="186"/>
      <c r="E72" s="186"/>
      <c r="F72" s="186"/>
      <c r="G72" s="186"/>
      <c r="H72" s="186"/>
      <c r="I72" s="186"/>
      <c r="J72" s="186"/>
      <c r="K72" s="186"/>
      <c r="L72" s="186"/>
      <c r="M72" s="186"/>
      <c r="N72" s="186"/>
      <c r="O72" s="186"/>
      <c r="P72" s="186"/>
      <c r="Q72" s="186"/>
      <c r="R72" s="186"/>
      <c r="S72" s="186"/>
      <c r="T72" s="186"/>
      <c r="U72" s="186"/>
      <c r="V72" s="3">
        <v>1</v>
      </c>
    </row>
    <row r="73" spans="1:22">
      <c r="A73" s="2300">
        <f t="shared" ref="A73:A75" si="0">LEN(C73)</f>
        <v>65</v>
      </c>
      <c r="B73" s="2300"/>
      <c r="C73" s="186" t="s">
        <v>10002</v>
      </c>
      <c r="D73" s="186"/>
      <c r="E73" s="186"/>
      <c r="F73" s="186"/>
      <c r="G73" s="186"/>
      <c r="H73" s="186"/>
      <c r="I73" s="186"/>
      <c r="J73" s="186"/>
      <c r="K73" s="186"/>
      <c r="L73" s="186"/>
      <c r="M73" s="186"/>
      <c r="N73" s="186"/>
      <c r="O73" s="186"/>
      <c r="P73" s="186"/>
      <c r="Q73" s="186"/>
      <c r="R73" s="186"/>
      <c r="S73" s="186"/>
      <c r="T73" s="186"/>
      <c r="U73" s="186"/>
      <c r="V73" s="3">
        <v>1</v>
      </c>
    </row>
    <row r="74" spans="1:22">
      <c r="A74" s="2300">
        <f t="shared" si="0"/>
        <v>67</v>
      </c>
      <c r="B74" s="2300"/>
      <c r="C74" s="186" t="s">
        <v>10003</v>
      </c>
      <c r="D74" s="186"/>
      <c r="E74" s="186"/>
      <c r="F74" s="186"/>
      <c r="G74" s="186"/>
      <c r="H74" s="186"/>
      <c r="I74" s="186"/>
      <c r="J74" s="186"/>
      <c r="K74" s="186"/>
      <c r="L74" s="186"/>
      <c r="M74" s="186"/>
      <c r="N74" s="186"/>
      <c r="O74" s="186"/>
      <c r="P74" s="186"/>
      <c r="Q74" s="186"/>
      <c r="R74" s="186"/>
      <c r="S74" s="186"/>
      <c r="T74" s="186"/>
      <c r="U74" s="186"/>
      <c r="V74" s="3">
        <v>1</v>
      </c>
    </row>
    <row r="75" spans="1:22">
      <c r="A75" s="2300">
        <f t="shared" si="0"/>
        <v>33</v>
      </c>
      <c r="B75" s="2300"/>
      <c r="C75" s="186" t="s">
        <v>10004</v>
      </c>
      <c r="D75" s="186"/>
      <c r="E75" s="186"/>
      <c r="F75" s="186"/>
      <c r="G75" s="186"/>
      <c r="H75" s="186"/>
      <c r="I75" s="186"/>
      <c r="J75" s="186"/>
      <c r="K75" s="186"/>
      <c r="L75" s="186"/>
      <c r="M75" s="186"/>
      <c r="N75" s="186"/>
      <c r="O75" s="186"/>
      <c r="P75" s="186"/>
      <c r="Q75" s="186"/>
      <c r="R75" s="186"/>
      <c r="S75" s="186"/>
      <c r="T75" s="186"/>
      <c r="U75" s="186"/>
      <c r="V75" s="3">
        <v>1</v>
      </c>
    </row>
    <row r="76" spans="1:22">
      <c r="A76" s="186"/>
      <c r="B76" s="186"/>
      <c r="C76" s="186"/>
      <c r="D76" s="186"/>
      <c r="E76" s="186"/>
      <c r="F76" s="186"/>
      <c r="G76" s="186"/>
      <c r="H76" s="186"/>
      <c r="I76" s="186"/>
      <c r="J76" s="186"/>
      <c r="K76" s="186"/>
      <c r="L76" s="186"/>
      <c r="M76" s="186"/>
      <c r="N76" s="186"/>
      <c r="O76" s="186"/>
      <c r="P76" s="186"/>
      <c r="Q76" s="186"/>
      <c r="R76" s="186"/>
      <c r="S76" s="186"/>
      <c r="T76" s="186"/>
      <c r="U76" s="186"/>
      <c r="V76" s="3">
        <v>1</v>
      </c>
    </row>
    <row r="77" spans="1:22">
      <c r="A77" s="2300">
        <f t="shared" ref="A77:A78" si="1">LEN(C77)</f>
        <v>64</v>
      </c>
      <c r="B77" s="2300"/>
      <c r="C77" s="186" t="s">
        <v>10005</v>
      </c>
      <c r="D77" s="186"/>
      <c r="E77" s="186"/>
      <c r="F77" s="186"/>
      <c r="G77" s="186"/>
      <c r="H77" s="186"/>
      <c r="I77" s="186"/>
      <c r="J77" s="186"/>
      <c r="K77" s="186"/>
      <c r="L77" s="186"/>
      <c r="M77" s="186"/>
      <c r="N77" s="186"/>
      <c r="O77" s="186"/>
      <c r="P77" s="186"/>
      <c r="Q77" s="186"/>
      <c r="R77" s="186"/>
      <c r="S77" s="186"/>
      <c r="T77" s="186"/>
      <c r="U77" s="186"/>
      <c r="V77" s="3">
        <v>1</v>
      </c>
    </row>
    <row r="78" spans="1:22">
      <c r="A78" s="2300">
        <f t="shared" si="1"/>
        <v>56</v>
      </c>
      <c r="B78" s="2300"/>
      <c r="C78" s="186" t="s">
        <v>10006</v>
      </c>
      <c r="D78" s="186"/>
      <c r="E78" s="186"/>
      <c r="F78" s="186"/>
      <c r="G78" s="186"/>
      <c r="H78" s="186"/>
      <c r="I78" s="186"/>
      <c r="J78" s="186"/>
      <c r="K78" s="186"/>
      <c r="L78" s="186"/>
      <c r="M78" s="186"/>
      <c r="N78" s="186"/>
      <c r="O78" s="186"/>
      <c r="P78" s="186"/>
      <c r="Q78" s="186"/>
      <c r="R78" s="186"/>
      <c r="S78" s="186"/>
      <c r="T78" s="186"/>
      <c r="U78" s="186"/>
      <c r="V78" s="3">
        <v>1</v>
      </c>
    </row>
    <row r="79" spans="1:22">
      <c r="A79" s="186"/>
      <c r="B79" s="186"/>
      <c r="C79" s="186"/>
      <c r="D79" s="186"/>
      <c r="E79" s="186"/>
      <c r="F79" s="186"/>
      <c r="G79" s="186"/>
      <c r="H79" s="186"/>
      <c r="I79" s="186"/>
      <c r="J79" s="186"/>
      <c r="K79" s="186"/>
      <c r="L79" s="186"/>
      <c r="M79" s="186"/>
      <c r="N79" s="186"/>
      <c r="O79" s="186"/>
      <c r="P79" s="186"/>
      <c r="Q79" s="186"/>
      <c r="R79" s="186"/>
      <c r="S79" s="186"/>
      <c r="T79" s="186"/>
      <c r="U79" s="186"/>
      <c r="V79" s="3">
        <v>1</v>
      </c>
    </row>
    <row r="80" spans="1:22">
      <c r="A80" s="2300">
        <f t="shared" ref="A80:A82" si="2">LEN(C80)</f>
        <v>61</v>
      </c>
      <c r="B80" s="2300"/>
      <c r="C80" s="186" t="s">
        <v>10007</v>
      </c>
      <c r="D80" s="186"/>
      <c r="E80" s="186"/>
      <c r="F80" s="186"/>
      <c r="G80" s="186"/>
      <c r="H80" s="186"/>
      <c r="I80" s="186"/>
      <c r="J80" s="186"/>
      <c r="K80" s="186"/>
      <c r="L80" s="186"/>
      <c r="M80" s="186"/>
      <c r="N80" s="186"/>
      <c r="O80" s="186"/>
      <c r="P80" s="186"/>
      <c r="Q80" s="186"/>
      <c r="R80" s="186"/>
      <c r="S80" s="186"/>
      <c r="T80" s="186"/>
      <c r="U80" s="186"/>
      <c r="V80" s="3">
        <v>1</v>
      </c>
    </row>
    <row r="81" spans="1:22">
      <c r="A81" s="2300">
        <f t="shared" si="2"/>
        <v>62</v>
      </c>
      <c r="B81" s="2300"/>
      <c r="C81" s="186" t="s">
        <v>10008</v>
      </c>
      <c r="D81" s="186"/>
      <c r="E81" s="186"/>
      <c r="F81" s="186"/>
      <c r="G81" s="186"/>
      <c r="H81" s="186"/>
      <c r="I81" s="186"/>
      <c r="J81" s="186"/>
      <c r="K81" s="186"/>
      <c r="L81" s="186"/>
      <c r="M81" s="186"/>
      <c r="N81" s="186"/>
      <c r="O81" s="186"/>
      <c r="P81" s="186"/>
      <c r="Q81" s="186"/>
      <c r="R81" s="186"/>
      <c r="S81" s="186"/>
      <c r="T81" s="186"/>
      <c r="U81" s="186"/>
      <c r="V81" s="3">
        <v>1</v>
      </c>
    </row>
    <row r="82" spans="1:22">
      <c r="A82" s="2300">
        <f t="shared" si="2"/>
        <v>29</v>
      </c>
      <c r="B82" s="2300"/>
      <c r="C82" s="186" t="s">
        <v>10009</v>
      </c>
      <c r="D82" s="186"/>
      <c r="E82" s="186"/>
      <c r="F82" s="186"/>
      <c r="G82" s="186"/>
      <c r="H82" s="186"/>
      <c r="I82" s="186"/>
      <c r="J82" s="186"/>
      <c r="K82" s="186"/>
      <c r="L82" s="186"/>
      <c r="M82" s="186"/>
      <c r="N82" s="186"/>
      <c r="O82" s="186"/>
      <c r="P82" s="186"/>
      <c r="Q82" s="186"/>
      <c r="R82" s="186"/>
      <c r="S82" s="186"/>
      <c r="T82" s="186"/>
      <c r="U82" s="186"/>
      <c r="V82" s="3">
        <v>1</v>
      </c>
    </row>
    <row r="83" spans="1:22">
      <c r="A83" s="186"/>
      <c r="B83" s="186"/>
      <c r="C83" s="186"/>
      <c r="D83" s="186"/>
      <c r="E83" s="186"/>
      <c r="F83" s="186"/>
      <c r="G83" s="186"/>
      <c r="H83" s="186"/>
      <c r="I83" s="186"/>
      <c r="J83" s="186"/>
      <c r="K83" s="186"/>
      <c r="L83" s="186"/>
      <c r="M83" s="186"/>
      <c r="N83" s="186"/>
      <c r="O83" s="186"/>
      <c r="P83" s="186"/>
      <c r="Q83" s="186"/>
      <c r="R83" s="186"/>
      <c r="S83" s="186"/>
      <c r="T83" s="186"/>
      <c r="U83" s="186"/>
      <c r="V83" s="3">
        <v>1</v>
      </c>
    </row>
    <row r="84" spans="1:22">
      <c r="A84" s="2300">
        <f t="shared" ref="A84:A85" si="3">LEN(C84)</f>
        <v>65</v>
      </c>
      <c r="B84" s="2300"/>
      <c r="C84" s="186" t="s">
        <v>10010</v>
      </c>
      <c r="D84" s="186"/>
      <c r="E84" s="186"/>
      <c r="F84" s="186"/>
      <c r="G84" s="186"/>
      <c r="H84" s="186"/>
      <c r="I84" s="186"/>
      <c r="J84" s="186"/>
      <c r="K84" s="186"/>
      <c r="L84" s="186"/>
      <c r="M84" s="186"/>
      <c r="N84" s="186"/>
      <c r="O84" s="186"/>
      <c r="P84" s="186"/>
      <c r="Q84" s="186"/>
      <c r="R84" s="186"/>
      <c r="S84" s="186"/>
      <c r="T84" s="186"/>
      <c r="U84" s="186"/>
      <c r="V84" s="3">
        <v>1</v>
      </c>
    </row>
    <row r="85" spans="1:22">
      <c r="A85" s="2300">
        <f t="shared" si="3"/>
        <v>9</v>
      </c>
      <c r="B85" s="2300"/>
      <c r="C85" s="186" t="s">
        <v>10011</v>
      </c>
      <c r="D85" s="186"/>
      <c r="E85" s="186"/>
      <c r="F85" s="186"/>
      <c r="G85" s="186"/>
      <c r="H85" s="186"/>
      <c r="I85" s="186"/>
      <c r="J85" s="186"/>
      <c r="K85" s="186"/>
      <c r="L85" s="186"/>
      <c r="M85" s="186"/>
      <c r="N85" s="186"/>
      <c r="O85" s="186"/>
      <c r="P85" s="186"/>
      <c r="Q85" s="186"/>
      <c r="R85" s="186"/>
      <c r="S85" s="186"/>
      <c r="T85" s="186"/>
      <c r="U85" s="186"/>
      <c r="V85" s="3">
        <v>1</v>
      </c>
    </row>
    <row r="86" spans="1:22">
      <c r="A86" s="186"/>
      <c r="B86" s="186"/>
      <c r="C86" s="186"/>
      <c r="D86" s="186"/>
      <c r="E86" s="186"/>
      <c r="F86" s="186"/>
      <c r="G86" s="186"/>
      <c r="H86" s="186"/>
      <c r="I86" s="186"/>
      <c r="J86" s="186"/>
      <c r="K86" s="186"/>
      <c r="L86" s="186"/>
      <c r="M86" s="186"/>
      <c r="N86" s="186"/>
      <c r="O86" s="186"/>
      <c r="P86" s="186"/>
      <c r="Q86" s="186"/>
      <c r="R86" s="186"/>
      <c r="S86" s="186"/>
      <c r="T86" s="186"/>
      <c r="U86" s="186"/>
      <c r="V86" s="3">
        <v>1</v>
      </c>
    </row>
    <row r="87" spans="1:22">
      <c r="A87" s="2300">
        <f t="shared" ref="A87:A89" si="4">LEN(C87)</f>
        <v>8</v>
      </c>
      <c r="B87" s="2300"/>
      <c r="C87" s="2694" t="s">
        <v>10012</v>
      </c>
      <c r="D87" s="186"/>
      <c r="E87" s="186"/>
      <c r="F87" s="186"/>
      <c r="G87" s="186"/>
      <c r="H87" s="186"/>
      <c r="I87" s="186"/>
      <c r="J87" s="186"/>
      <c r="K87" s="186"/>
      <c r="L87" s="186"/>
      <c r="M87" s="186"/>
      <c r="N87" s="186"/>
      <c r="O87" s="186"/>
      <c r="P87" s="186"/>
      <c r="Q87" s="186"/>
      <c r="R87" s="186"/>
      <c r="S87" s="186"/>
      <c r="T87" s="186"/>
      <c r="U87" s="186"/>
      <c r="V87" s="3">
        <v>1</v>
      </c>
    </row>
    <row r="88" spans="1:22">
      <c r="A88" s="2300">
        <f t="shared" si="4"/>
        <v>67</v>
      </c>
      <c r="B88" s="2300"/>
      <c r="C88" s="186" t="s">
        <v>10013</v>
      </c>
      <c r="D88" s="186"/>
      <c r="E88" s="186"/>
      <c r="F88" s="186"/>
      <c r="G88" s="186"/>
      <c r="H88" s="186"/>
      <c r="I88" s="186"/>
      <c r="J88" s="186"/>
      <c r="K88" s="186"/>
      <c r="L88" s="186"/>
      <c r="M88" s="186"/>
      <c r="N88" s="186"/>
      <c r="O88" s="186"/>
      <c r="P88" s="186"/>
      <c r="Q88" s="186"/>
      <c r="R88" s="186"/>
      <c r="S88" s="186"/>
      <c r="T88" s="186"/>
      <c r="U88" s="186"/>
      <c r="V88" s="3">
        <v>1</v>
      </c>
    </row>
    <row r="89" spans="1:22">
      <c r="A89" s="2300">
        <f t="shared" si="4"/>
        <v>66</v>
      </c>
      <c r="B89" s="2300"/>
      <c r="C89" s="186" t="s">
        <v>10014</v>
      </c>
      <c r="D89" s="186"/>
      <c r="E89" s="186"/>
      <c r="F89" s="186"/>
      <c r="G89" s="186"/>
      <c r="H89" s="186"/>
      <c r="I89" s="186"/>
      <c r="J89" s="186"/>
      <c r="K89" s="186"/>
      <c r="L89" s="186"/>
      <c r="M89" s="186"/>
      <c r="N89" s="186"/>
      <c r="O89" s="186"/>
      <c r="P89" s="186"/>
      <c r="Q89" s="186"/>
      <c r="R89" s="186"/>
      <c r="S89" s="186"/>
      <c r="T89" s="186"/>
      <c r="U89" s="186"/>
      <c r="V89" s="3">
        <v>1</v>
      </c>
    </row>
    <row r="90" spans="1:22">
      <c r="A90" s="186"/>
      <c r="B90" s="186"/>
      <c r="C90" s="186"/>
      <c r="D90" s="186"/>
      <c r="E90" s="186"/>
      <c r="F90" s="186"/>
      <c r="G90" s="186"/>
      <c r="H90" s="186"/>
      <c r="I90" s="186"/>
      <c r="J90" s="186"/>
      <c r="K90" s="186"/>
      <c r="L90" s="186"/>
      <c r="M90" s="186"/>
      <c r="N90" s="186"/>
      <c r="O90" s="186"/>
      <c r="P90" s="186"/>
      <c r="Q90" s="186"/>
      <c r="R90" s="186"/>
      <c r="S90" s="186"/>
      <c r="T90" s="186"/>
      <c r="U90" s="186"/>
      <c r="V90" s="3">
        <v>1</v>
      </c>
    </row>
    <row r="91" spans="1:22">
      <c r="A91" s="186"/>
      <c r="B91" s="186"/>
      <c r="C91" s="186"/>
      <c r="D91" s="186"/>
      <c r="E91" s="186"/>
      <c r="F91" s="186"/>
      <c r="G91" s="186"/>
      <c r="H91" s="186"/>
      <c r="I91" s="186"/>
      <c r="J91" s="186"/>
      <c r="K91" s="186"/>
      <c r="L91" s="186"/>
      <c r="M91" s="186"/>
      <c r="N91" s="186"/>
      <c r="O91" s="186"/>
      <c r="P91" s="186"/>
      <c r="Q91" s="186"/>
      <c r="R91" s="186"/>
      <c r="S91" s="186"/>
      <c r="T91" s="186"/>
      <c r="U91" s="186"/>
      <c r="V91" s="3">
        <v>1</v>
      </c>
    </row>
    <row r="92" spans="1:22" ht="15.75">
      <c r="A92" s="186"/>
      <c r="B92" s="2701" t="s">
        <v>10015</v>
      </c>
      <c r="C92" s="2213" t="s">
        <v>10016</v>
      </c>
      <c r="D92" s="186"/>
      <c r="E92" s="186"/>
      <c r="F92" s="186"/>
      <c r="G92" s="186"/>
      <c r="H92" s="186"/>
      <c r="I92" s="186"/>
      <c r="J92" s="186"/>
      <c r="K92" s="186"/>
      <c r="L92" s="186"/>
      <c r="M92" s="186"/>
      <c r="N92" s="186"/>
      <c r="O92" s="186"/>
      <c r="P92" s="186"/>
      <c r="Q92" s="186"/>
      <c r="R92" s="186"/>
      <c r="S92" s="186"/>
      <c r="T92" s="186"/>
      <c r="U92" s="186"/>
      <c r="V92" s="3">
        <v>1</v>
      </c>
    </row>
    <row r="93" spans="1:22">
      <c r="A93" s="186"/>
      <c r="B93" s="186"/>
      <c r="C93" s="2694" t="s">
        <v>10017</v>
      </c>
      <c r="D93" s="186"/>
      <c r="E93" s="186"/>
      <c r="F93" s="186"/>
      <c r="G93" s="186"/>
      <c r="H93" s="186"/>
      <c r="I93" s="186"/>
      <c r="J93" s="186"/>
      <c r="K93" s="186"/>
      <c r="L93" s="186"/>
      <c r="M93" s="186"/>
      <c r="N93" s="186"/>
      <c r="O93" s="186"/>
      <c r="P93" s="186"/>
      <c r="Q93" s="186"/>
      <c r="R93" s="186"/>
      <c r="S93" s="186"/>
      <c r="T93" s="186"/>
      <c r="U93" s="186"/>
      <c r="V93" s="3">
        <v>1</v>
      </c>
    </row>
    <row r="94" spans="1:22">
      <c r="A94" s="186"/>
      <c r="B94" s="186"/>
      <c r="C94" s="2213" t="s">
        <v>10018</v>
      </c>
      <c r="D94" s="186"/>
      <c r="E94" s="186"/>
      <c r="F94" s="186"/>
      <c r="G94" s="186"/>
      <c r="H94" s="186"/>
      <c r="I94" s="186"/>
      <c r="J94" s="186"/>
      <c r="K94" s="186"/>
      <c r="L94" s="186"/>
      <c r="M94" s="186"/>
      <c r="N94" s="186"/>
      <c r="O94" s="186"/>
      <c r="P94" s="186"/>
      <c r="Q94" s="186"/>
      <c r="R94" s="186"/>
      <c r="S94" s="186"/>
      <c r="T94" s="186"/>
      <c r="U94" s="186"/>
      <c r="V94" s="3">
        <v>1</v>
      </c>
    </row>
    <row r="95" spans="1:22">
      <c r="A95" s="186"/>
      <c r="B95" s="186"/>
      <c r="C95" s="186"/>
      <c r="D95" s="186"/>
      <c r="E95" s="186"/>
      <c r="F95" s="186"/>
      <c r="G95" s="186"/>
      <c r="H95" s="186"/>
      <c r="I95" s="186"/>
      <c r="J95" s="186"/>
      <c r="K95" s="186"/>
      <c r="L95" s="186"/>
      <c r="M95" s="186"/>
      <c r="N95" s="186"/>
      <c r="O95" s="186"/>
      <c r="P95" s="186"/>
      <c r="Q95" s="186"/>
      <c r="R95" s="186"/>
      <c r="S95" s="186"/>
      <c r="T95" s="186"/>
      <c r="U95" s="186"/>
      <c r="V95" s="3">
        <v>1</v>
      </c>
    </row>
    <row r="96" spans="1:22" ht="15.75">
      <c r="A96" s="186"/>
      <c r="B96" s="2701" t="s">
        <v>10019</v>
      </c>
      <c r="C96" s="186" t="s">
        <v>10020</v>
      </c>
      <c r="D96" s="186"/>
      <c r="E96" s="186"/>
      <c r="F96" s="186"/>
      <c r="G96" s="186"/>
      <c r="H96" s="186"/>
      <c r="I96" s="186"/>
      <c r="J96" s="186"/>
      <c r="K96" s="186"/>
      <c r="L96" s="186"/>
      <c r="M96" s="186"/>
      <c r="N96" s="186"/>
      <c r="O96" s="186"/>
      <c r="P96" s="186"/>
      <c r="Q96" s="186"/>
      <c r="R96" s="186"/>
      <c r="S96" s="186"/>
      <c r="T96" s="186"/>
      <c r="U96" s="186"/>
      <c r="V96" s="3">
        <v>1</v>
      </c>
    </row>
    <row r="97" spans="1:22">
      <c r="A97" s="186"/>
      <c r="B97" s="186"/>
      <c r="C97" s="186" t="s">
        <v>10021</v>
      </c>
      <c r="D97" s="186"/>
      <c r="E97" s="186"/>
      <c r="F97" s="186"/>
      <c r="G97" s="186"/>
      <c r="H97" s="186"/>
      <c r="I97" s="186"/>
      <c r="J97" s="186"/>
      <c r="K97" s="186"/>
      <c r="L97" s="186"/>
      <c r="M97" s="186"/>
      <c r="N97" s="186"/>
      <c r="O97" s="186"/>
      <c r="P97" s="186"/>
      <c r="Q97" s="186"/>
      <c r="R97" s="186"/>
      <c r="S97" s="186"/>
      <c r="T97" s="186"/>
      <c r="U97" s="186"/>
      <c r="V97" s="3">
        <v>1</v>
      </c>
    </row>
    <row r="98" spans="1:22">
      <c r="A98" s="186"/>
      <c r="B98" s="186"/>
      <c r="C98" s="186" t="s">
        <v>10022</v>
      </c>
      <c r="D98" s="186"/>
      <c r="E98" s="186"/>
      <c r="F98" s="186"/>
      <c r="G98" s="186"/>
      <c r="H98" s="186"/>
      <c r="I98" s="186"/>
      <c r="J98" s="186"/>
      <c r="K98" s="186"/>
      <c r="L98" s="186"/>
      <c r="M98" s="186"/>
      <c r="N98" s="186"/>
      <c r="O98" s="186"/>
      <c r="P98" s="186"/>
      <c r="Q98" s="186"/>
      <c r="R98" s="186"/>
      <c r="S98" s="186"/>
      <c r="T98" s="186"/>
      <c r="U98" s="186"/>
      <c r="V98" s="3">
        <v>1</v>
      </c>
    </row>
    <row r="99" spans="1:22">
      <c r="A99" s="186"/>
      <c r="B99" s="186"/>
      <c r="C99" s="186"/>
      <c r="D99" s="186"/>
      <c r="E99" s="186"/>
      <c r="F99" s="186"/>
      <c r="G99" s="186"/>
      <c r="H99" s="186"/>
      <c r="I99" s="186"/>
      <c r="J99" s="186"/>
      <c r="K99" s="186"/>
      <c r="L99" s="186"/>
      <c r="M99" s="186"/>
      <c r="N99" s="186"/>
      <c r="O99" s="186"/>
      <c r="P99" s="186"/>
      <c r="Q99" s="186"/>
      <c r="R99" s="186"/>
      <c r="S99" s="186"/>
      <c r="T99" s="186"/>
      <c r="U99" s="186"/>
      <c r="V99" s="3">
        <v>1</v>
      </c>
    </row>
    <row r="100" spans="1:22">
      <c r="A100" s="186"/>
      <c r="B100" s="186"/>
      <c r="C100" s="186" t="s">
        <v>10023</v>
      </c>
      <c r="D100" s="186"/>
      <c r="E100" s="186"/>
      <c r="F100" s="186"/>
      <c r="G100" s="186"/>
      <c r="H100" s="186"/>
      <c r="I100" s="186"/>
      <c r="J100" s="186"/>
      <c r="K100" s="186"/>
      <c r="L100" s="186"/>
      <c r="M100" s="186"/>
      <c r="N100" s="186"/>
      <c r="O100" s="186"/>
      <c r="P100" s="186"/>
      <c r="Q100" s="186"/>
      <c r="R100" s="186"/>
      <c r="S100" s="186"/>
      <c r="T100" s="186"/>
      <c r="U100" s="186"/>
      <c r="V100" s="3">
        <v>1</v>
      </c>
    </row>
    <row r="101" spans="1:22">
      <c r="A101" s="186"/>
      <c r="B101" s="186"/>
      <c r="C101" s="186" t="s">
        <v>10024</v>
      </c>
      <c r="D101" s="186"/>
      <c r="E101" s="186"/>
      <c r="F101" s="186"/>
      <c r="G101" s="186"/>
      <c r="H101" s="186"/>
      <c r="I101" s="186"/>
      <c r="J101" s="186"/>
      <c r="K101" s="186"/>
      <c r="L101" s="186"/>
      <c r="M101" s="186"/>
      <c r="N101" s="186"/>
      <c r="O101" s="186"/>
      <c r="P101" s="186"/>
      <c r="Q101" s="186"/>
      <c r="R101" s="186"/>
      <c r="S101" s="186"/>
      <c r="T101" s="186"/>
      <c r="U101" s="186"/>
      <c r="V101" s="3">
        <v>1</v>
      </c>
    </row>
    <row r="102" spans="1:22">
      <c r="A102" s="186"/>
      <c r="B102" s="186"/>
      <c r="C102" s="186" t="s">
        <v>10025</v>
      </c>
      <c r="D102" s="186"/>
      <c r="E102" s="186"/>
      <c r="F102" s="186"/>
      <c r="G102" s="186"/>
      <c r="H102" s="186"/>
      <c r="I102" s="186"/>
      <c r="J102" s="186"/>
      <c r="K102" s="186"/>
      <c r="L102" s="186"/>
      <c r="M102" s="186"/>
      <c r="N102" s="186"/>
      <c r="O102" s="186"/>
      <c r="P102" s="186"/>
      <c r="Q102" s="186"/>
      <c r="R102" s="186"/>
      <c r="S102" s="186"/>
      <c r="T102" s="186"/>
      <c r="U102" s="186"/>
      <c r="V102" s="3">
        <v>1</v>
      </c>
    </row>
    <row r="103" spans="1:2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3">
        <v>1</v>
      </c>
    </row>
    <row r="104" spans="1:22">
      <c r="A104" s="186"/>
      <c r="B104" s="186"/>
      <c r="C104" s="186" t="s">
        <v>10026</v>
      </c>
      <c r="D104" s="186"/>
      <c r="E104" s="186"/>
      <c r="F104" s="186"/>
      <c r="G104" s="186"/>
      <c r="H104" s="186"/>
      <c r="I104" s="186"/>
      <c r="J104" s="186"/>
      <c r="K104" s="186"/>
      <c r="L104" s="186"/>
      <c r="M104" s="186"/>
      <c r="N104" s="186"/>
      <c r="O104" s="186"/>
      <c r="P104" s="186"/>
      <c r="Q104" s="186"/>
      <c r="R104" s="186"/>
      <c r="S104" s="186"/>
      <c r="T104" s="186"/>
      <c r="U104" s="186"/>
      <c r="V104" s="3">
        <v>1</v>
      </c>
    </row>
    <row r="105" spans="1:22">
      <c r="A105" s="186"/>
      <c r="B105" s="186"/>
      <c r="C105" s="186" t="s">
        <v>10027</v>
      </c>
      <c r="D105" s="186"/>
      <c r="E105" s="186"/>
      <c r="F105" s="186"/>
      <c r="G105" s="186"/>
      <c r="H105" s="186"/>
      <c r="I105" s="186"/>
      <c r="J105" s="186"/>
      <c r="K105" s="186"/>
      <c r="L105" s="186"/>
      <c r="M105" s="186"/>
      <c r="N105" s="186"/>
      <c r="O105" s="186"/>
      <c r="P105" s="186"/>
      <c r="Q105" s="186"/>
      <c r="R105" s="186"/>
      <c r="S105" s="186"/>
      <c r="T105" s="186"/>
      <c r="U105" s="186"/>
      <c r="V105" s="3">
        <v>1</v>
      </c>
    </row>
    <row r="106" spans="1:2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3">
        <v>1</v>
      </c>
    </row>
    <row r="107" spans="1:22">
      <c r="A107" s="186"/>
      <c r="B107" s="186"/>
      <c r="C107" s="186" t="s">
        <v>10028</v>
      </c>
      <c r="D107" s="186"/>
      <c r="E107" s="186"/>
      <c r="F107" s="186"/>
      <c r="G107" s="186"/>
      <c r="H107" s="186"/>
      <c r="I107" s="186"/>
      <c r="J107" s="186"/>
      <c r="K107" s="186"/>
      <c r="L107" s="186"/>
      <c r="M107" s="186"/>
      <c r="N107" s="186"/>
      <c r="O107" s="186"/>
      <c r="P107" s="186"/>
      <c r="Q107" s="186"/>
      <c r="R107" s="186"/>
      <c r="S107" s="186"/>
      <c r="T107" s="186"/>
      <c r="U107" s="186"/>
      <c r="V107" s="3">
        <v>1</v>
      </c>
    </row>
    <row r="108" spans="1:22">
      <c r="A108" s="186"/>
      <c r="B108" s="186"/>
      <c r="C108" s="186" t="s">
        <v>10029</v>
      </c>
      <c r="D108" s="186"/>
      <c r="E108" s="186"/>
      <c r="F108" s="186"/>
      <c r="G108" s="186"/>
      <c r="H108" s="186"/>
      <c r="I108" s="186"/>
      <c r="J108" s="186"/>
      <c r="K108" s="186"/>
      <c r="L108" s="186"/>
      <c r="M108" s="186"/>
      <c r="N108" s="186"/>
      <c r="O108" s="186"/>
      <c r="P108" s="186"/>
      <c r="Q108" s="186"/>
      <c r="R108" s="186"/>
      <c r="S108" s="186"/>
      <c r="T108" s="186"/>
      <c r="U108" s="186"/>
      <c r="V108" s="3">
        <v>1</v>
      </c>
    </row>
    <row r="109" spans="1:2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3">
        <v>1</v>
      </c>
    </row>
    <row r="110" spans="1:22">
      <c r="A110" s="186"/>
      <c r="B110" s="186"/>
      <c r="C110" s="186" t="s">
        <v>10030</v>
      </c>
      <c r="D110" s="186"/>
      <c r="E110" s="186"/>
      <c r="F110" s="186"/>
      <c r="G110" s="186"/>
      <c r="H110" s="186"/>
      <c r="I110" s="186"/>
      <c r="J110" s="186"/>
      <c r="K110" s="186"/>
      <c r="L110" s="186"/>
      <c r="M110" s="186"/>
      <c r="N110" s="186"/>
      <c r="O110" s="186"/>
      <c r="P110" s="186"/>
      <c r="Q110" s="186"/>
      <c r="R110" s="186"/>
      <c r="S110" s="186"/>
      <c r="T110" s="186"/>
      <c r="U110" s="186"/>
      <c r="V110" s="3">
        <v>1</v>
      </c>
    </row>
    <row r="111" spans="1:22">
      <c r="A111" s="186"/>
      <c r="B111" s="186"/>
      <c r="C111" s="186" t="s">
        <v>10031</v>
      </c>
      <c r="D111" s="186"/>
      <c r="E111" s="186"/>
      <c r="F111" s="186"/>
      <c r="G111" s="186"/>
      <c r="H111" s="186"/>
      <c r="I111" s="186"/>
      <c r="J111" s="186"/>
      <c r="K111" s="186"/>
      <c r="L111" s="186"/>
      <c r="M111" s="186"/>
      <c r="N111" s="186"/>
      <c r="O111" s="186"/>
      <c r="P111" s="186"/>
      <c r="Q111" s="186"/>
      <c r="R111" s="186"/>
      <c r="S111" s="186"/>
      <c r="T111" s="186"/>
      <c r="U111" s="186"/>
      <c r="V111" s="3">
        <v>1</v>
      </c>
    </row>
    <row r="112" spans="1:22">
      <c r="A112" s="186"/>
      <c r="B112" s="186"/>
      <c r="C112" s="186" t="s">
        <v>10032</v>
      </c>
      <c r="D112" s="186"/>
      <c r="E112" s="186"/>
      <c r="F112" s="186"/>
      <c r="G112" s="186"/>
      <c r="H112" s="186"/>
      <c r="I112" s="186"/>
      <c r="J112" s="186"/>
      <c r="K112" s="186"/>
      <c r="L112" s="186"/>
      <c r="M112" s="186"/>
      <c r="N112" s="186"/>
      <c r="O112" s="186"/>
      <c r="P112" s="186"/>
      <c r="Q112" s="186"/>
      <c r="R112" s="186"/>
      <c r="S112" s="186"/>
      <c r="T112" s="186"/>
      <c r="U112" s="186"/>
      <c r="V112" s="3">
        <v>1</v>
      </c>
    </row>
    <row r="113" spans="1:2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3">
        <v>1</v>
      </c>
    </row>
    <row r="114" spans="1:22" ht="15.75">
      <c r="A114" s="186"/>
      <c r="B114" s="2702" t="s">
        <v>10033</v>
      </c>
      <c r="C114" s="186"/>
      <c r="D114" s="186"/>
      <c r="E114" s="186"/>
      <c r="F114" s="186"/>
      <c r="G114" s="186"/>
      <c r="H114" s="186"/>
      <c r="I114" s="186"/>
      <c r="J114" s="186"/>
      <c r="K114" s="186"/>
      <c r="L114" s="186"/>
      <c r="M114" s="186"/>
      <c r="N114" s="186"/>
      <c r="O114" s="186"/>
      <c r="P114" s="186"/>
      <c r="Q114" s="186"/>
      <c r="R114" s="186"/>
      <c r="S114" s="186"/>
      <c r="T114" s="186"/>
      <c r="U114" s="186"/>
      <c r="V114" s="3">
        <v>1</v>
      </c>
    </row>
    <row r="115" spans="1:22">
      <c r="A115" s="186"/>
      <c r="B115" s="186"/>
      <c r="C115" s="186" t="s">
        <v>10034</v>
      </c>
      <c r="D115" s="186"/>
      <c r="E115" s="186"/>
      <c r="F115" s="186"/>
      <c r="G115" s="186"/>
      <c r="H115" s="186"/>
      <c r="I115" s="186"/>
      <c r="J115" s="186"/>
      <c r="K115" s="186"/>
      <c r="L115" s="186"/>
      <c r="M115" s="186"/>
      <c r="N115" s="186"/>
      <c r="O115" s="186"/>
      <c r="P115" s="186"/>
      <c r="Q115" s="186"/>
      <c r="R115" s="186"/>
      <c r="S115" s="186"/>
      <c r="T115" s="186"/>
      <c r="U115" s="186"/>
      <c r="V115" s="3">
        <v>1</v>
      </c>
    </row>
    <row r="116" spans="1:22">
      <c r="A116" s="186"/>
      <c r="B116" s="186"/>
      <c r="C116" s="186" t="s">
        <v>10035</v>
      </c>
      <c r="D116" s="186"/>
      <c r="E116" s="186"/>
      <c r="F116" s="186"/>
      <c r="G116" s="186"/>
      <c r="H116" s="186"/>
      <c r="I116" s="186"/>
      <c r="J116" s="186"/>
      <c r="K116" s="186"/>
      <c r="L116" s="186"/>
      <c r="M116" s="186"/>
      <c r="N116" s="186"/>
      <c r="O116" s="186"/>
      <c r="P116" s="186"/>
      <c r="Q116" s="186"/>
      <c r="R116" s="186"/>
      <c r="S116" s="186"/>
      <c r="T116" s="186"/>
      <c r="U116" s="186"/>
      <c r="V116" s="3">
        <v>1</v>
      </c>
    </row>
    <row r="117" spans="1:2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3">
        <v>1</v>
      </c>
    </row>
    <row r="118" spans="1:22" ht="15.75">
      <c r="A118" s="186"/>
      <c r="B118" s="2702" t="s">
        <v>10036</v>
      </c>
      <c r="C118" s="186"/>
      <c r="D118" s="186"/>
      <c r="E118" s="186"/>
      <c r="F118" s="186"/>
      <c r="G118" s="186"/>
      <c r="H118" s="186"/>
      <c r="I118" s="186"/>
      <c r="J118" s="186"/>
      <c r="K118" s="186"/>
      <c r="L118" s="186"/>
      <c r="M118" s="186"/>
      <c r="N118" s="186"/>
      <c r="O118" s="186"/>
      <c r="P118" s="186"/>
      <c r="Q118" s="186"/>
      <c r="R118" s="186"/>
      <c r="S118" s="186"/>
      <c r="T118" s="186"/>
      <c r="U118" s="186"/>
      <c r="V118" s="3">
        <v>1</v>
      </c>
    </row>
    <row r="119" spans="1:22">
      <c r="A119" s="186"/>
      <c r="B119" s="186"/>
      <c r="C119" s="186" t="s">
        <v>10037</v>
      </c>
      <c r="D119" s="186"/>
      <c r="E119" s="186"/>
      <c r="F119" s="186"/>
      <c r="G119" s="186"/>
      <c r="H119" s="186"/>
      <c r="I119" s="186"/>
      <c r="J119" s="186"/>
      <c r="K119" s="186"/>
      <c r="L119" s="186"/>
      <c r="M119" s="186"/>
      <c r="N119" s="186"/>
      <c r="O119" s="186"/>
      <c r="P119" s="186"/>
      <c r="Q119" s="186"/>
      <c r="R119" s="186"/>
      <c r="S119" s="186"/>
      <c r="T119" s="186"/>
      <c r="U119" s="186"/>
      <c r="V119" s="3">
        <v>1</v>
      </c>
    </row>
    <row r="120" spans="1:2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3">
        <v>1</v>
      </c>
    </row>
    <row r="121" spans="1:22" ht="18">
      <c r="A121" s="186"/>
      <c r="B121" s="186"/>
      <c r="C121" s="1302" t="s">
        <v>10038</v>
      </c>
      <c r="D121" s="186"/>
      <c r="E121" s="186"/>
      <c r="F121" s="186"/>
      <c r="G121" s="186"/>
      <c r="H121" s="186"/>
      <c r="I121" s="186"/>
      <c r="J121" s="186"/>
      <c r="K121" s="186"/>
      <c r="L121" s="186"/>
      <c r="M121" s="186"/>
      <c r="N121" s="1302" t="s">
        <v>10039</v>
      </c>
      <c r="O121" s="186"/>
      <c r="P121" s="186"/>
      <c r="Q121" s="186"/>
      <c r="R121" s="186"/>
      <c r="S121" s="186"/>
      <c r="T121" s="186"/>
      <c r="U121" s="186"/>
      <c r="V121" s="3">
        <v>1</v>
      </c>
    </row>
    <row r="122" spans="1:22">
      <c r="A122" s="186"/>
      <c r="B122" s="186"/>
      <c r="C122" s="186"/>
      <c r="D122" s="186"/>
      <c r="E122" s="186"/>
      <c r="F122" s="186"/>
      <c r="G122" s="186"/>
      <c r="H122" s="186"/>
      <c r="I122" s="186"/>
      <c r="J122" s="186"/>
      <c r="K122" s="186"/>
      <c r="L122" s="186"/>
      <c r="M122" s="186"/>
      <c r="N122" s="54"/>
      <c r="O122" s="186"/>
      <c r="P122" s="186"/>
      <c r="Q122" s="186"/>
      <c r="R122" s="186"/>
      <c r="S122" s="186"/>
      <c r="T122" s="186"/>
      <c r="U122" s="186"/>
      <c r="V122" s="3">
        <v>1</v>
      </c>
    </row>
    <row r="123" spans="1:22">
      <c r="A123" s="186"/>
      <c r="B123" s="186"/>
      <c r="C123" s="186" t="s">
        <v>10040</v>
      </c>
      <c r="D123" s="186"/>
      <c r="E123" s="186"/>
      <c r="F123" s="186"/>
      <c r="G123" s="186"/>
      <c r="H123" s="186"/>
      <c r="I123" s="186"/>
      <c r="J123" s="186"/>
      <c r="K123" s="186"/>
      <c r="L123" s="186"/>
      <c r="M123" s="186"/>
      <c r="N123" s="677" t="s">
        <v>10041</v>
      </c>
      <c r="O123" s="186"/>
      <c r="P123" s="186"/>
      <c r="Q123" s="186"/>
      <c r="R123" s="186"/>
      <c r="S123" s="186"/>
      <c r="T123" s="186"/>
      <c r="U123" s="186"/>
      <c r="V123" s="3">
        <v>1</v>
      </c>
    </row>
    <row r="124" spans="1:22">
      <c r="A124" s="186"/>
      <c r="B124" s="186"/>
      <c r="C124" s="186"/>
      <c r="D124" s="186"/>
      <c r="E124" s="186"/>
      <c r="F124" s="186"/>
      <c r="G124" s="186"/>
      <c r="H124" s="186"/>
      <c r="I124" s="186"/>
      <c r="J124" s="186"/>
      <c r="K124" s="186"/>
      <c r="L124" s="186"/>
      <c r="M124" s="186"/>
      <c r="N124" s="677" t="s">
        <v>10042</v>
      </c>
      <c r="O124" s="186"/>
      <c r="P124" s="186"/>
      <c r="Q124" s="186"/>
      <c r="R124" s="186"/>
      <c r="S124" s="186"/>
      <c r="T124" s="186"/>
      <c r="U124" s="186"/>
      <c r="V124" s="3">
        <v>1</v>
      </c>
    </row>
    <row r="125" spans="1:22">
      <c r="A125" s="186"/>
      <c r="B125" s="186"/>
      <c r="C125" s="186" t="s">
        <v>10043</v>
      </c>
      <c r="D125" s="186"/>
      <c r="E125" s="186"/>
      <c r="F125" s="186"/>
      <c r="G125" s="186"/>
      <c r="H125" s="186"/>
      <c r="I125" s="186"/>
      <c r="J125" s="186"/>
      <c r="K125" s="186"/>
      <c r="L125" s="186"/>
      <c r="M125" s="186"/>
      <c r="N125" s="677" t="s">
        <v>10044</v>
      </c>
      <c r="O125" s="186"/>
      <c r="P125" s="186"/>
      <c r="Q125" s="186"/>
      <c r="R125" s="186"/>
      <c r="S125" s="186"/>
      <c r="T125" s="186"/>
      <c r="U125" s="186"/>
      <c r="V125" s="3">
        <v>1</v>
      </c>
    </row>
    <row r="126" spans="1:22">
      <c r="A126" s="186"/>
      <c r="B126" s="186"/>
      <c r="C126" s="54"/>
      <c r="D126" s="186"/>
      <c r="E126" s="186"/>
      <c r="F126" s="186"/>
      <c r="G126" s="186"/>
      <c r="H126" s="186"/>
      <c r="I126" s="186"/>
      <c r="J126" s="186"/>
      <c r="K126" s="186"/>
      <c r="L126" s="186"/>
      <c r="M126" s="186"/>
      <c r="N126" s="677" t="s">
        <v>10045</v>
      </c>
      <c r="O126" s="186"/>
      <c r="P126" s="186"/>
      <c r="Q126" s="186"/>
      <c r="R126" s="186"/>
      <c r="S126" s="186"/>
      <c r="T126" s="186"/>
      <c r="U126" s="186"/>
      <c r="V126" s="3">
        <v>1</v>
      </c>
    </row>
    <row r="127" spans="1:22">
      <c r="A127" s="186"/>
      <c r="B127" s="186"/>
      <c r="C127" s="2298" t="s">
        <v>10046</v>
      </c>
      <c r="D127" s="186"/>
      <c r="E127" s="186"/>
      <c r="F127" s="186"/>
      <c r="G127" s="186"/>
      <c r="H127" s="186"/>
      <c r="I127" s="186"/>
      <c r="J127" s="186"/>
      <c r="K127" s="186"/>
      <c r="L127" s="186"/>
      <c r="M127" s="186"/>
      <c r="N127" s="677" t="s">
        <v>10047</v>
      </c>
      <c r="O127" s="186"/>
      <c r="P127" s="186"/>
      <c r="Q127" s="186"/>
      <c r="R127" s="186"/>
      <c r="S127" s="186"/>
      <c r="T127" s="186"/>
      <c r="U127" s="186"/>
      <c r="V127" s="3">
        <v>1</v>
      </c>
    </row>
    <row r="128" spans="1:22">
      <c r="A128" s="186"/>
      <c r="B128" s="186"/>
      <c r="C128" s="2298" t="s">
        <v>10048</v>
      </c>
      <c r="D128" s="186"/>
      <c r="E128" s="186"/>
      <c r="F128" s="186"/>
      <c r="G128" s="186"/>
      <c r="H128" s="186"/>
      <c r="I128" s="186"/>
      <c r="J128" s="186"/>
      <c r="K128" s="186"/>
      <c r="L128" s="186"/>
      <c r="M128" s="186"/>
      <c r="N128" s="677" t="s">
        <v>10049</v>
      </c>
      <c r="O128" s="186"/>
      <c r="P128" s="186"/>
      <c r="Q128" s="186"/>
      <c r="R128" s="186"/>
      <c r="S128" s="186"/>
      <c r="T128" s="186"/>
      <c r="U128" s="186"/>
      <c r="V128" s="3">
        <v>1</v>
      </c>
    </row>
    <row r="129" spans="1:22">
      <c r="A129" s="186"/>
      <c r="B129" s="186"/>
      <c r="C129" s="2298" t="s">
        <v>10050</v>
      </c>
      <c r="D129" s="186"/>
      <c r="E129" s="186"/>
      <c r="F129" s="186"/>
      <c r="G129" s="186"/>
      <c r="H129" s="186"/>
      <c r="I129" s="186"/>
      <c r="J129" s="186"/>
      <c r="K129" s="186"/>
      <c r="L129" s="186"/>
      <c r="M129" s="186"/>
      <c r="N129" s="677" t="s">
        <v>10051</v>
      </c>
      <c r="O129" s="186"/>
      <c r="P129" s="186"/>
      <c r="Q129" s="186"/>
      <c r="R129" s="186"/>
      <c r="S129" s="186"/>
      <c r="T129" s="186"/>
      <c r="U129" s="186"/>
      <c r="V129" s="3">
        <v>1</v>
      </c>
    </row>
    <row r="130" spans="1:22">
      <c r="A130" s="186"/>
      <c r="B130" s="186"/>
      <c r="C130" s="2298" t="s">
        <v>10052</v>
      </c>
      <c r="D130" s="186"/>
      <c r="E130" s="186"/>
      <c r="F130" s="186"/>
      <c r="G130" s="186"/>
      <c r="H130" s="186"/>
      <c r="I130" s="186"/>
      <c r="J130" s="186"/>
      <c r="K130" s="186"/>
      <c r="L130" s="186"/>
      <c r="M130" s="186"/>
      <c r="N130" s="677" t="s">
        <v>10053</v>
      </c>
      <c r="O130" s="186"/>
      <c r="P130" s="186"/>
      <c r="Q130" s="186"/>
      <c r="R130" s="186"/>
      <c r="S130" s="186"/>
      <c r="T130" s="186"/>
      <c r="U130" s="186"/>
      <c r="V130" s="3">
        <v>1</v>
      </c>
    </row>
    <row r="131" spans="1:22">
      <c r="A131" s="186"/>
      <c r="B131" s="186"/>
      <c r="C131" s="186"/>
      <c r="D131" s="186"/>
      <c r="E131" s="186"/>
      <c r="F131" s="186"/>
      <c r="G131" s="186"/>
      <c r="H131" s="186"/>
      <c r="I131" s="186"/>
      <c r="J131" s="186"/>
      <c r="K131" s="186"/>
      <c r="L131" s="186"/>
      <c r="M131" s="186"/>
      <c r="N131" s="677" t="s">
        <v>10054</v>
      </c>
      <c r="O131" s="186"/>
      <c r="P131" s="186"/>
      <c r="Q131" s="186"/>
      <c r="R131" s="186"/>
      <c r="S131" s="186"/>
      <c r="T131" s="186"/>
      <c r="U131" s="186"/>
      <c r="V131" s="3">
        <v>1</v>
      </c>
    </row>
    <row r="132" spans="1:22" ht="18">
      <c r="A132" s="186"/>
      <c r="B132" s="186"/>
      <c r="C132" s="1302" t="s">
        <v>10055</v>
      </c>
      <c r="D132" s="186"/>
      <c r="E132" s="186"/>
      <c r="F132" s="186"/>
      <c r="G132" s="186"/>
      <c r="H132" s="186"/>
      <c r="I132" s="186"/>
      <c r="J132" s="186"/>
      <c r="K132" s="186"/>
      <c r="L132" s="186"/>
      <c r="M132" s="186"/>
      <c r="N132" s="677" t="s">
        <v>10056</v>
      </c>
      <c r="O132" s="186"/>
      <c r="P132" s="186"/>
      <c r="Q132" s="186"/>
      <c r="R132" s="186"/>
      <c r="S132" s="186"/>
      <c r="T132" s="186"/>
      <c r="U132" s="186"/>
      <c r="V132" s="3">
        <v>1</v>
      </c>
    </row>
    <row r="133" spans="1:2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3">
        <v>1</v>
      </c>
    </row>
    <row r="134" spans="1:22" ht="18">
      <c r="A134" s="186"/>
      <c r="B134" s="186"/>
      <c r="C134" s="2694" t="s">
        <v>10057</v>
      </c>
      <c r="D134" s="186"/>
      <c r="E134" s="186"/>
      <c r="F134" s="186"/>
      <c r="G134" s="186"/>
      <c r="H134" s="186"/>
      <c r="I134" s="186"/>
      <c r="J134" s="186"/>
      <c r="K134" s="186"/>
      <c r="L134" s="186"/>
      <c r="M134" s="186"/>
      <c r="N134" s="1302" t="s">
        <v>10058</v>
      </c>
      <c r="O134" s="186"/>
      <c r="P134" s="186"/>
      <c r="Q134" s="186"/>
      <c r="R134" s="186"/>
      <c r="S134" s="186"/>
      <c r="T134" s="186"/>
      <c r="U134" s="186"/>
      <c r="V134" s="3">
        <v>1</v>
      </c>
    </row>
    <row r="135" spans="1:22">
      <c r="A135" s="186"/>
      <c r="B135" s="186"/>
      <c r="C135" s="186"/>
      <c r="D135" s="186"/>
      <c r="E135" s="186"/>
      <c r="F135" s="186"/>
      <c r="G135" s="186"/>
      <c r="H135" s="186"/>
      <c r="I135" s="186"/>
      <c r="J135" s="186"/>
      <c r="K135" s="186"/>
      <c r="L135" s="186"/>
      <c r="M135" s="186"/>
      <c r="N135" s="54"/>
      <c r="O135" s="186"/>
      <c r="P135" s="186"/>
      <c r="Q135" s="186"/>
      <c r="R135" s="186"/>
      <c r="S135" s="186"/>
      <c r="T135" s="186"/>
      <c r="U135" s="186"/>
      <c r="V135" s="3">
        <v>1</v>
      </c>
    </row>
    <row r="136" spans="1:22">
      <c r="A136" s="186"/>
      <c r="B136" s="186"/>
      <c r="C136" s="186" t="s">
        <v>10043</v>
      </c>
      <c r="D136" s="186"/>
      <c r="E136" s="186"/>
      <c r="F136" s="186"/>
      <c r="G136" s="186"/>
      <c r="H136" s="186"/>
      <c r="I136" s="186"/>
      <c r="J136" s="186"/>
      <c r="K136" s="186"/>
      <c r="L136" s="186"/>
      <c r="M136" s="186"/>
      <c r="N136" s="677" t="s">
        <v>10059</v>
      </c>
      <c r="O136" s="186"/>
      <c r="P136" s="186"/>
      <c r="Q136" s="186"/>
      <c r="R136" s="186"/>
      <c r="S136" s="186"/>
      <c r="T136" s="186"/>
      <c r="U136" s="186"/>
      <c r="V136" s="3">
        <v>1</v>
      </c>
    </row>
    <row r="137" spans="1:22">
      <c r="A137" s="186"/>
      <c r="B137" s="186"/>
      <c r="C137" s="54"/>
      <c r="D137" s="186"/>
      <c r="E137" s="186"/>
      <c r="F137" s="186"/>
      <c r="G137" s="186"/>
      <c r="H137" s="186"/>
      <c r="I137" s="186"/>
      <c r="J137" s="186"/>
      <c r="K137" s="186"/>
      <c r="L137" s="186"/>
      <c r="M137" s="186"/>
      <c r="N137" s="677" t="s">
        <v>10060</v>
      </c>
      <c r="O137" s="186"/>
      <c r="P137" s="186"/>
      <c r="Q137" s="186"/>
      <c r="R137" s="186"/>
      <c r="S137" s="186"/>
      <c r="T137" s="186"/>
      <c r="U137" s="186"/>
      <c r="V137" s="3">
        <v>1</v>
      </c>
    </row>
    <row r="138" spans="1:22">
      <c r="A138" s="186"/>
      <c r="B138" s="186"/>
      <c r="C138" s="2298" t="s">
        <v>10061</v>
      </c>
      <c r="D138" s="186"/>
      <c r="E138" s="186"/>
      <c r="F138" s="186"/>
      <c r="G138" s="186"/>
      <c r="H138" s="186"/>
      <c r="I138" s="186"/>
      <c r="J138" s="186"/>
      <c r="K138" s="186"/>
      <c r="L138" s="186"/>
      <c r="M138" s="186"/>
      <c r="N138" s="677" t="s">
        <v>10062</v>
      </c>
      <c r="O138" s="186"/>
      <c r="P138" s="186"/>
      <c r="Q138" s="186"/>
      <c r="R138" s="186"/>
      <c r="S138" s="186"/>
      <c r="T138" s="186"/>
      <c r="U138" s="186"/>
      <c r="V138" s="3">
        <v>1</v>
      </c>
    </row>
    <row r="139" spans="1:22">
      <c r="A139" s="186"/>
      <c r="B139" s="186"/>
      <c r="C139" s="2298" t="s">
        <v>10063</v>
      </c>
      <c r="D139" s="186"/>
      <c r="E139" s="186"/>
      <c r="F139" s="186"/>
      <c r="G139" s="186"/>
      <c r="H139" s="186"/>
      <c r="I139" s="186"/>
      <c r="J139" s="186"/>
      <c r="K139" s="186"/>
      <c r="L139" s="186"/>
      <c r="M139" s="186"/>
      <c r="N139" s="677" t="s">
        <v>10064</v>
      </c>
      <c r="O139" s="186"/>
      <c r="P139" s="186"/>
      <c r="Q139" s="186"/>
      <c r="R139" s="186"/>
      <c r="S139" s="186"/>
      <c r="T139" s="186"/>
      <c r="U139" s="186"/>
      <c r="V139" s="3">
        <v>1</v>
      </c>
    </row>
    <row r="140" spans="1:22">
      <c r="A140" s="186"/>
      <c r="B140" s="186"/>
      <c r="C140" s="2298" t="s">
        <v>10065</v>
      </c>
      <c r="D140" s="186"/>
      <c r="E140" s="186"/>
      <c r="F140" s="186"/>
      <c r="G140" s="186"/>
      <c r="H140" s="186"/>
      <c r="I140" s="186"/>
      <c r="J140" s="186"/>
      <c r="K140" s="186"/>
      <c r="L140" s="186"/>
      <c r="M140" s="186"/>
      <c r="N140" s="677" t="s">
        <v>10066</v>
      </c>
      <c r="O140" s="186"/>
      <c r="P140" s="186"/>
      <c r="Q140" s="186"/>
      <c r="R140" s="186"/>
      <c r="S140" s="186"/>
      <c r="T140" s="186"/>
      <c r="U140" s="186"/>
      <c r="V140" s="3">
        <v>1</v>
      </c>
    </row>
    <row r="141" spans="1:22">
      <c r="A141" s="186"/>
      <c r="B141" s="186"/>
      <c r="C141" s="2298" t="s">
        <v>10067</v>
      </c>
      <c r="D141" s="186"/>
      <c r="E141" s="186"/>
      <c r="F141" s="186"/>
      <c r="G141" s="186"/>
      <c r="H141" s="186"/>
      <c r="I141" s="186"/>
      <c r="J141" s="186"/>
      <c r="K141" s="186"/>
      <c r="L141" s="186"/>
      <c r="M141" s="186"/>
      <c r="N141" s="677" t="s">
        <v>10068</v>
      </c>
      <c r="O141" s="186"/>
      <c r="P141" s="186"/>
      <c r="Q141" s="186"/>
      <c r="R141" s="186"/>
      <c r="S141" s="186"/>
      <c r="T141" s="186"/>
      <c r="U141" s="186"/>
      <c r="V141" s="3">
        <v>1</v>
      </c>
    </row>
    <row r="142" spans="1:22">
      <c r="A142" s="186"/>
      <c r="B142" s="186"/>
      <c r="C142" s="186"/>
      <c r="D142" s="186"/>
      <c r="E142" s="186"/>
      <c r="F142" s="186"/>
      <c r="G142" s="186"/>
      <c r="H142" s="186"/>
      <c r="I142" s="186"/>
      <c r="J142" s="186"/>
      <c r="K142" s="186"/>
      <c r="L142" s="186"/>
      <c r="M142" s="186"/>
      <c r="N142" s="677" t="s">
        <v>10069</v>
      </c>
      <c r="O142" s="186"/>
      <c r="P142" s="186"/>
      <c r="Q142" s="186"/>
      <c r="R142" s="186"/>
      <c r="S142" s="186"/>
      <c r="T142" s="186"/>
      <c r="U142" s="186"/>
      <c r="V142" s="3">
        <v>1</v>
      </c>
    </row>
    <row r="143" spans="1:22" ht="18">
      <c r="A143" s="186"/>
      <c r="B143" s="186"/>
      <c r="C143" s="1302" t="s">
        <v>10070</v>
      </c>
      <c r="D143" s="186"/>
      <c r="E143" s="186"/>
      <c r="F143" s="186"/>
      <c r="G143" s="186"/>
      <c r="H143" s="186"/>
      <c r="I143" s="186"/>
      <c r="J143" s="186"/>
      <c r="K143" s="186"/>
      <c r="L143" s="186"/>
      <c r="M143" s="186"/>
      <c r="N143" s="677" t="s">
        <v>10071</v>
      </c>
      <c r="O143" s="186"/>
      <c r="P143" s="186"/>
      <c r="Q143" s="186"/>
      <c r="R143" s="186"/>
      <c r="S143" s="186"/>
      <c r="T143" s="186"/>
      <c r="U143" s="186"/>
      <c r="V143" s="3">
        <v>1</v>
      </c>
    </row>
    <row r="144" spans="1:22">
      <c r="A144" s="186"/>
      <c r="B144" s="186"/>
      <c r="C144" s="186"/>
      <c r="D144" s="186"/>
      <c r="E144" s="186"/>
      <c r="F144" s="186"/>
      <c r="G144" s="186"/>
      <c r="H144" s="186"/>
      <c r="I144" s="186"/>
      <c r="J144" s="186"/>
      <c r="K144" s="186"/>
      <c r="L144" s="186"/>
      <c r="M144" s="186"/>
      <c r="N144" s="677" t="s">
        <v>10072</v>
      </c>
      <c r="O144" s="186"/>
      <c r="P144" s="186"/>
      <c r="Q144" s="186"/>
      <c r="R144" s="186"/>
      <c r="S144" s="186"/>
      <c r="T144" s="186"/>
      <c r="U144" s="186"/>
      <c r="V144" s="3">
        <v>1</v>
      </c>
    </row>
    <row r="145" spans="1:22">
      <c r="A145" s="186"/>
      <c r="B145" s="186"/>
      <c r="C145" s="186" t="s">
        <v>10073</v>
      </c>
      <c r="D145" s="186"/>
      <c r="E145" s="186"/>
      <c r="F145" s="186"/>
      <c r="G145" s="186"/>
      <c r="H145" s="186"/>
      <c r="I145" s="186"/>
      <c r="J145" s="186"/>
      <c r="K145" s="186"/>
      <c r="L145" s="186"/>
      <c r="M145" s="186"/>
      <c r="N145" s="677" t="s">
        <v>10074</v>
      </c>
      <c r="O145" s="186"/>
      <c r="P145" s="186"/>
      <c r="Q145" s="186"/>
      <c r="R145" s="186"/>
      <c r="S145" s="186"/>
      <c r="T145" s="186"/>
      <c r="U145" s="186"/>
      <c r="V145" s="3">
        <v>1</v>
      </c>
    </row>
    <row r="146" spans="1:2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3">
        <v>1</v>
      </c>
    </row>
    <row r="147" spans="1:22" ht="18">
      <c r="A147" s="186"/>
      <c r="B147" s="186"/>
      <c r="C147" s="186" t="s">
        <v>10043</v>
      </c>
      <c r="D147" s="186"/>
      <c r="E147" s="186"/>
      <c r="F147" s="186"/>
      <c r="G147" s="186"/>
      <c r="H147" s="186"/>
      <c r="I147" s="186"/>
      <c r="J147" s="186"/>
      <c r="K147" s="186"/>
      <c r="L147" s="186"/>
      <c r="M147" s="186"/>
      <c r="N147" s="1302" t="s">
        <v>10075</v>
      </c>
      <c r="O147" s="186"/>
      <c r="P147" s="186"/>
      <c r="Q147" s="186"/>
      <c r="R147" s="186"/>
      <c r="S147" s="186"/>
      <c r="T147" s="186"/>
      <c r="U147" s="186"/>
      <c r="V147" s="3">
        <v>1</v>
      </c>
    </row>
    <row r="148" spans="1:22">
      <c r="A148" s="186"/>
      <c r="B148" s="186"/>
      <c r="C148" s="54"/>
      <c r="D148" s="186"/>
      <c r="E148" s="186"/>
      <c r="F148" s="186"/>
      <c r="G148" s="186"/>
      <c r="H148" s="186"/>
      <c r="I148" s="186"/>
      <c r="J148" s="186"/>
      <c r="K148" s="186"/>
      <c r="L148" s="186"/>
      <c r="M148" s="186"/>
      <c r="N148" s="54"/>
      <c r="O148" s="186"/>
      <c r="P148" s="186"/>
      <c r="Q148" s="186"/>
      <c r="R148" s="186"/>
      <c r="S148" s="186"/>
      <c r="T148" s="186"/>
      <c r="U148" s="186"/>
      <c r="V148" s="3">
        <v>1</v>
      </c>
    </row>
    <row r="149" spans="1:22">
      <c r="A149" s="186"/>
      <c r="B149" s="186"/>
      <c r="C149" s="2298" t="s">
        <v>10076</v>
      </c>
      <c r="D149" s="186"/>
      <c r="E149" s="186"/>
      <c r="F149" s="186"/>
      <c r="G149" s="186"/>
      <c r="H149" s="186"/>
      <c r="I149" s="186"/>
      <c r="J149" s="186"/>
      <c r="K149" s="186"/>
      <c r="L149" s="186"/>
      <c r="M149" s="186"/>
      <c r="N149" s="677" t="s">
        <v>10077</v>
      </c>
      <c r="O149" s="186"/>
      <c r="P149" s="186"/>
      <c r="Q149" s="186"/>
      <c r="R149" s="186"/>
      <c r="S149" s="186"/>
      <c r="T149" s="186"/>
      <c r="U149" s="186"/>
      <c r="V149" s="3">
        <v>1</v>
      </c>
    </row>
    <row r="150" spans="1:22">
      <c r="A150" s="186"/>
      <c r="B150" s="186"/>
      <c r="C150" s="2298" t="s">
        <v>10078</v>
      </c>
      <c r="D150" s="186"/>
      <c r="E150" s="186"/>
      <c r="F150" s="186"/>
      <c r="G150" s="186"/>
      <c r="H150" s="186"/>
      <c r="I150" s="186"/>
      <c r="J150" s="186"/>
      <c r="K150" s="186"/>
      <c r="L150" s="186"/>
      <c r="M150" s="186"/>
      <c r="N150" s="677" t="s">
        <v>10079</v>
      </c>
      <c r="O150" s="186"/>
      <c r="P150" s="186"/>
      <c r="Q150" s="186"/>
      <c r="R150" s="186"/>
      <c r="S150" s="186"/>
      <c r="T150" s="186"/>
      <c r="U150" s="186"/>
      <c r="V150" s="3">
        <v>1</v>
      </c>
    </row>
    <row r="151" spans="1:22">
      <c r="A151" s="186"/>
      <c r="B151" s="186"/>
      <c r="C151" s="2298" t="s">
        <v>10080</v>
      </c>
      <c r="D151" s="186"/>
      <c r="E151" s="186"/>
      <c r="F151" s="186"/>
      <c r="G151" s="186"/>
      <c r="H151" s="186"/>
      <c r="I151" s="186"/>
      <c r="J151" s="186"/>
      <c r="K151" s="186"/>
      <c r="L151" s="186"/>
      <c r="M151" s="186"/>
      <c r="N151" s="677" t="s">
        <v>10081</v>
      </c>
      <c r="O151" s="186"/>
      <c r="P151" s="186"/>
      <c r="Q151" s="186"/>
      <c r="R151" s="186"/>
      <c r="S151" s="186"/>
      <c r="T151" s="186"/>
      <c r="U151" s="186"/>
      <c r="V151" s="3">
        <v>1</v>
      </c>
    </row>
    <row r="152" spans="1:22">
      <c r="A152" s="186"/>
      <c r="B152" s="186"/>
      <c r="C152" s="186"/>
      <c r="D152" s="186"/>
      <c r="E152" s="186"/>
      <c r="F152" s="186"/>
      <c r="G152" s="186"/>
      <c r="H152" s="186"/>
      <c r="I152" s="186"/>
      <c r="J152" s="186"/>
      <c r="K152" s="186"/>
      <c r="L152" s="186"/>
      <c r="M152" s="186"/>
      <c r="N152" s="677" t="s">
        <v>10082</v>
      </c>
      <c r="O152" s="186"/>
      <c r="P152" s="186"/>
      <c r="Q152" s="186"/>
      <c r="R152" s="186"/>
      <c r="S152" s="186"/>
      <c r="T152" s="186"/>
      <c r="U152" s="186"/>
      <c r="V152" s="3">
        <v>1</v>
      </c>
    </row>
    <row r="153" spans="1:22" ht="18">
      <c r="A153" s="186"/>
      <c r="B153" s="186"/>
      <c r="C153" s="1302" t="s">
        <v>10083</v>
      </c>
      <c r="D153" s="186"/>
      <c r="E153" s="186"/>
      <c r="F153" s="186"/>
      <c r="G153" s="186"/>
      <c r="H153" s="186"/>
      <c r="I153" s="186"/>
      <c r="J153" s="186"/>
      <c r="K153" s="186"/>
      <c r="L153" s="186"/>
      <c r="M153" s="186"/>
      <c r="N153" s="677" t="s">
        <v>10084</v>
      </c>
      <c r="O153" s="186"/>
      <c r="P153" s="186"/>
      <c r="Q153" s="186"/>
      <c r="R153" s="186"/>
      <c r="S153" s="186"/>
      <c r="T153" s="186"/>
      <c r="U153" s="186"/>
      <c r="V153" s="3">
        <v>1</v>
      </c>
    </row>
    <row r="154" spans="1:22">
      <c r="A154" s="186"/>
      <c r="B154" s="186"/>
      <c r="C154" s="186"/>
      <c r="D154" s="186"/>
      <c r="E154" s="186"/>
      <c r="F154" s="186"/>
      <c r="G154" s="186"/>
      <c r="H154" s="186"/>
      <c r="I154" s="186"/>
      <c r="J154" s="186"/>
      <c r="K154" s="186"/>
      <c r="L154" s="186"/>
      <c r="M154" s="186"/>
      <c r="N154" s="677" t="s">
        <v>10085</v>
      </c>
      <c r="O154" s="186"/>
      <c r="P154" s="186"/>
      <c r="Q154" s="186"/>
      <c r="R154" s="186"/>
      <c r="S154" s="186"/>
      <c r="T154" s="186"/>
      <c r="U154" s="186"/>
      <c r="V154" s="3">
        <v>1</v>
      </c>
    </row>
    <row r="155" spans="1:22">
      <c r="A155" s="186"/>
      <c r="B155" s="186"/>
      <c r="C155" s="186" t="s">
        <v>10086</v>
      </c>
      <c r="D155" s="186"/>
      <c r="E155" s="186"/>
      <c r="F155" s="186"/>
      <c r="G155" s="186"/>
      <c r="H155" s="186"/>
      <c r="I155" s="186"/>
      <c r="J155" s="186"/>
      <c r="K155" s="186"/>
      <c r="L155" s="186"/>
      <c r="M155" s="186"/>
      <c r="N155" s="677" t="s">
        <v>10087</v>
      </c>
      <c r="O155" s="186"/>
      <c r="P155" s="186"/>
      <c r="Q155" s="186"/>
      <c r="R155" s="186"/>
      <c r="S155" s="186"/>
      <c r="T155" s="186"/>
      <c r="U155" s="186"/>
      <c r="V155" s="3">
        <v>1</v>
      </c>
    </row>
    <row r="156" spans="1:22">
      <c r="A156" s="186"/>
      <c r="B156" s="186"/>
      <c r="C156" s="186"/>
      <c r="D156" s="186"/>
      <c r="E156" s="186"/>
      <c r="F156" s="186"/>
      <c r="G156" s="186"/>
      <c r="H156" s="186"/>
      <c r="I156" s="186"/>
      <c r="J156" s="186"/>
      <c r="K156" s="186"/>
      <c r="L156" s="186"/>
      <c r="M156" s="186"/>
      <c r="N156" s="677" t="s">
        <v>10088</v>
      </c>
      <c r="O156" s="186"/>
      <c r="P156" s="186"/>
      <c r="Q156" s="186"/>
      <c r="R156" s="186"/>
      <c r="S156" s="186"/>
      <c r="T156" s="186"/>
      <c r="U156" s="186"/>
      <c r="V156" s="3">
        <v>1</v>
      </c>
    </row>
    <row r="157" spans="1:22">
      <c r="A157" s="186"/>
      <c r="B157" s="186"/>
      <c r="C157" s="186" t="s">
        <v>10043</v>
      </c>
      <c r="D157" s="186"/>
      <c r="E157" s="186"/>
      <c r="F157" s="186"/>
      <c r="G157" s="186"/>
      <c r="H157" s="186"/>
      <c r="I157" s="186"/>
      <c r="J157" s="186"/>
      <c r="K157" s="186"/>
      <c r="L157" s="186"/>
      <c r="M157" s="186"/>
      <c r="N157" s="677" t="s">
        <v>10089</v>
      </c>
      <c r="O157" s="186"/>
      <c r="P157" s="186"/>
      <c r="Q157" s="186"/>
      <c r="R157" s="186"/>
      <c r="S157" s="186"/>
      <c r="T157" s="186"/>
      <c r="U157" s="186"/>
      <c r="V157" s="3">
        <v>1</v>
      </c>
    </row>
    <row r="158" spans="1:22">
      <c r="A158" s="186"/>
      <c r="B158" s="186"/>
      <c r="C158" s="54"/>
      <c r="D158" s="186"/>
      <c r="E158" s="186"/>
      <c r="F158" s="186"/>
      <c r="G158" s="186"/>
      <c r="H158" s="186"/>
      <c r="I158" s="186"/>
      <c r="J158" s="186"/>
      <c r="K158" s="186"/>
      <c r="L158" s="186"/>
      <c r="M158" s="186"/>
      <c r="N158" s="677" t="s">
        <v>10090</v>
      </c>
      <c r="O158" s="186"/>
      <c r="P158" s="186"/>
      <c r="Q158" s="186"/>
      <c r="R158" s="186"/>
      <c r="S158" s="186"/>
      <c r="T158" s="186"/>
      <c r="U158" s="186"/>
      <c r="V158" s="3">
        <v>1</v>
      </c>
    </row>
    <row r="159" spans="1:22">
      <c r="A159" s="186"/>
      <c r="B159" s="186"/>
      <c r="C159" s="2298" t="s">
        <v>10091</v>
      </c>
      <c r="D159" s="186"/>
      <c r="E159" s="186"/>
      <c r="F159" s="186"/>
      <c r="G159" s="186"/>
      <c r="H159" s="186"/>
      <c r="I159" s="186"/>
      <c r="J159" s="186"/>
      <c r="K159" s="186"/>
      <c r="L159" s="186"/>
      <c r="M159" s="186"/>
      <c r="N159" s="186"/>
      <c r="O159" s="186"/>
      <c r="P159" s="186"/>
      <c r="Q159" s="186"/>
      <c r="R159" s="186"/>
      <c r="S159" s="186"/>
      <c r="T159" s="186"/>
      <c r="U159" s="186"/>
      <c r="V159" s="3">
        <v>1</v>
      </c>
    </row>
    <row r="160" spans="1:22" ht="18">
      <c r="A160" s="186"/>
      <c r="B160" s="186"/>
      <c r="C160" s="2298" t="s">
        <v>10092</v>
      </c>
      <c r="D160" s="186"/>
      <c r="E160" s="186"/>
      <c r="F160" s="186"/>
      <c r="G160" s="186"/>
      <c r="H160" s="186"/>
      <c r="I160" s="186"/>
      <c r="J160" s="186"/>
      <c r="K160" s="186"/>
      <c r="L160" s="186"/>
      <c r="M160" s="186"/>
      <c r="N160" s="1302" t="s">
        <v>10093</v>
      </c>
      <c r="O160" s="186"/>
      <c r="P160" s="186"/>
      <c r="Q160" s="186"/>
      <c r="R160" s="186"/>
      <c r="S160" s="186"/>
      <c r="T160" s="186"/>
      <c r="U160" s="186"/>
      <c r="V160" s="3">
        <v>1</v>
      </c>
    </row>
    <row r="161" spans="1:22">
      <c r="A161" s="186"/>
      <c r="B161" s="186"/>
      <c r="C161" s="2298" t="s">
        <v>10094</v>
      </c>
      <c r="D161" s="186"/>
      <c r="E161" s="186"/>
      <c r="F161" s="186"/>
      <c r="G161" s="186"/>
      <c r="H161" s="186"/>
      <c r="I161" s="186"/>
      <c r="J161" s="186"/>
      <c r="K161" s="186"/>
      <c r="L161" s="186"/>
      <c r="M161" s="186"/>
      <c r="N161" s="54"/>
      <c r="O161" s="186"/>
      <c r="P161" s="186"/>
      <c r="Q161" s="186"/>
      <c r="R161" s="186"/>
      <c r="S161" s="186"/>
      <c r="T161" s="186"/>
      <c r="U161" s="186"/>
      <c r="V161" s="3">
        <v>1</v>
      </c>
    </row>
    <row r="162" spans="1:22">
      <c r="A162" s="186"/>
      <c r="B162" s="186"/>
      <c r="C162" s="186"/>
      <c r="D162" s="186"/>
      <c r="E162" s="186"/>
      <c r="F162" s="186"/>
      <c r="G162" s="186"/>
      <c r="H162" s="186"/>
      <c r="I162" s="186"/>
      <c r="J162" s="186"/>
      <c r="K162" s="186"/>
      <c r="L162" s="186"/>
      <c r="M162" s="186"/>
      <c r="N162" s="677" t="s">
        <v>10095</v>
      </c>
      <c r="O162" s="186"/>
      <c r="P162" s="186"/>
      <c r="Q162" s="186"/>
      <c r="R162" s="186"/>
      <c r="S162" s="186"/>
      <c r="T162" s="186"/>
      <c r="U162" s="186"/>
      <c r="V162" s="3">
        <v>1</v>
      </c>
    </row>
    <row r="163" spans="1:22" ht="18">
      <c r="A163" s="186"/>
      <c r="B163" s="186"/>
      <c r="C163" s="1302" t="s">
        <v>10096</v>
      </c>
      <c r="D163" s="186"/>
      <c r="E163" s="186"/>
      <c r="F163" s="186"/>
      <c r="G163" s="186"/>
      <c r="H163" s="186"/>
      <c r="I163" s="186"/>
      <c r="J163" s="186"/>
      <c r="K163" s="186"/>
      <c r="L163" s="186"/>
      <c r="M163" s="186"/>
      <c r="N163" s="677" t="s">
        <v>10097</v>
      </c>
      <c r="O163" s="186"/>
      <c r="P163" s="186"/>
      <c r="Q163" s="186"/>
      <c r="R163" s="186"/>
      <c r="S163" s="186"/>
      <c r="T163" s="186"/>
      <c r="U163" s="186"/>
      <c r="V163" s="3">
        <v>1</v>
      </c>
    </row>
    <row r="164" spans="1:22">
      <c r="A164" s="186"/>
      <c r="B164" s="186"/>
      <c r="C164" s="186"/>
      <c r="D164" s="186"/>
      <c r="E164" s="186"/>
      <c r="F164" s="186"/>
      <c r="G164" s="186"/>
      <c r="H164" s="186"/>
      <c r="I164" s="186"/>
      <c r="J164" s="186"/>
      <c r="K164" s="186"/>
      <c r="L164" s="186"/>
      <c r="M164" s="186"/>
      <c r="N164" s="677" t="s">
        <v>10098</v>
      </c>
      <c r="O164" s="186"/>
      <c r="P164" s="186"/>
      <c r="Q164" s="186"/>
      <c r="R164" s="186"/>
      <c r="S164" s="186"/>
      <c r="T164" s="186"/>
      <c r="U164" s="186"/>
      <c r="V164" s="3">
        <v>1</v>
      </c>
    </row>
    <row r="165" spans="1:22">
      <c r="A165" s="186"/>
      <c r="B165" s="186"/>
      <c r="C165" s="186" t="s">
        <v>10099</v>
      </c>
      <c r="D165" s="186"/>
      <c r="E165" s="186"/>
      <c r="F165" s="186"/>
      <c r="G165" s="186"/>
      <c r="H165" s="186"/>
      <c r="I165" s="186"/>
      <c r="J165" s="186"/>
      <c r="K165" s="186"/>
      <c r="L165" s="186"/>
      <c r="M165" s="186"/>
      <c r="N165" s="677" t="s">
        <v>10100</v>
      </c>
      <c r="O165" s="186"/>
      <c r="P165" s="186"/>
      <c r="Q165" s="186"/>
      <c r="R165" s="186"/>
      <c r="S165" s="186"/>
      <c r="T165" s="186"/>
      <c r="U165" s="186"/>
      <c r="V165" s="3">
        <v>1</v>
      </c>
    </row>
    <row r="166" spans="1:22">
      <c r="A166" s="186"/>
      <c r="B166" s="186"/>
      <c r="C166" s="186"/>
      <c r="D166" s="186"/>
      <c r="E166" s="186"/>
      <c r="F166" s="186"/>
      <c r="G166" s="186"/>
      <c r="H166" s="186"/>
      <c r="I166" s="186"/>
      <c r="J166" s="186"/>
      <c r="K166" s="186"/>
      <c r="L166" s="186"/>
      <c r="M166" s="186"/>
      <c r="N166" s="677" t="s">
        <v>10101</v>
      </c>
      <c r="O166" s="186"/>
      <c r="P166" s="186"/>
      <c r="Q166" s="186"/>
      <c r="R166" s="186"/>
      <c r="S166" s="186"/>
      <c r="T166" s="186"/>
      <c r="U166" s="186"/>
      <c r="V166" s="3">
        <v>1</v>
      </c>
    </row>
    <row r="167" spans="1:22">
      <c r="A167" s="186"/>
      <c r="B167" s="186"/>
      <c r="C167" s="186" t="s">
        <v>10043</v>
      </c>
      <c r="D167" s="186"/>
      <c r="E167" s="186"/>
      <c r="F167" s="186"/>
      <c r="G167" s="186"/>
      <c r="H167" s="186"/>
      <c r="I167" s="186"/>
      <c r="J167" s="186"/>
      <c r="K167" s="186"/>
      <c r="L167" s="186"/>
      <c r="M167" s="186"/>
      <c r="N167" s="677" t="s">
        <v>10102</v>
      </c>
      <c r="O167" s="186"/>
      <c r="P167" s="186"/>
      <c r="Q167" s="186"/>
      <c r="R167" s="186"/>
      <c r="S167" s="186"/>
      <c r="T167" s="186"/>
      <c r="U167" s="186"/>
      <c r="V167" s="3">
        <v>1</v>
      </c>
    </row>
    <row r="168" spans="1:22">
      <c r="A168" s="186"/>
      <c r="B168" s="186"/>
      <c r="C168" s="54"/>
      <c r="D168" s="186"/>
      <c r="E168" s="186"/>
      <c r="F168" s="186"/>
      <c r="G168" s="186"/>
      <c r="H168" s="186"/>
      <c r="I168" s="186"/>
      <c r="J168" s="186"/>
      <c r="K168" s="186"/>
      <c r="L168" s="186"/>
      <c r="M168" s="186"/>
      <c r="N168" s="677" t="s">
        <v>10103</v>
      </c>
      <c r="O168" s="186"/>
      <c r="P168" s="186"/>
      <c r="Q168" s="186"/>
      <c r="R168" s="186"/>
      <c r="S168" s="186"/>
      <c r="T168" s="186"/>
      <c r="U168" s="186"/>
      <c r="V168" s="3">
        <v>1</v>
      </c>
    </row>
    <row r="169" spans="1:22">
      <c r="A169" s="186"/>
      <c r="B169" s="186"/>
      <c r="C169" s="2298" t="s">
        <v>10104</v>
      </c>
      <c r="D169" s="186"/>
      <c r="E169" s="186"/>
      <c r="F169" s="186"/>
      <c r="G169" s="186"/>
      <c r="H169" s="186"/>
      <c r="I169" s="186"/>
      <c r="J169" s="186"/>
      <c r="K169" s="186"/>
      <c r="L169" s="186"/>
      <c r="M169" s="186"/>
      <c r="N169" s="677" t="s">
        <v>10105</v>
      </c>
      <c r="O169" s="186"/>
      <c r="P169" s="186"/>
      <c r="Q169" s="186"/>
      <c r="R169" s="186"/>
      <c r="S169" s="186"/>
      <c r="T169" s="186"/>
      <c r="U169" s="186"/>
      <c r="V169" s="3">
        <v>1</v>
      </c>
    </row>
    <row r="170" spans="1:22">
      <c r="A170" s="186"/>
      <c r="B170" s="186"/>
      <c r="C170" s="2298" t="s">
        <v>10106</v>
      </c>
      <c r="D170" s="186"/>
      <c r="E170" s="186"/>
      <c r="F170" s="186"/>
      <c r="G170" s="186"/>
      <c r="H170" s="186"/>
      <c r="I170" s="186"/>
      <c r="J170" s="186"/>
      <c r="K170" s="186"/>
      <c r="L170" s="186"/>
      <c r="M170" s="186"/>
      <c r="N170" s="677" t="s">
        <v>8226</v>
      </c>
      <c r="O170" s="186"/>
      <c r="P170" s="186"/>
      <c r="Q170" s="186"/>
      <c r="R170" s="186"/>
      <c r="S170" s="186"/>
      <c r="T170" s="186"/>
      <c r="U170" s="186"/>
      <c r="V170" s="3">
        <v>1</v>
      </c>
    </row>
    <row r="171" spans="1:22">
      <c r="A171" s="186"/>
      <c r="B171" s="186"/>
      <c r="C171" s="2298" t="s">
        <v>10107</v>
      </c>
      <c r="D171" s="186"/>
      <c r="E171" s="186"/>
      <c r="F171" s="186"/>
      <c r="G171" s="186"/>
      <c r="H171" s="186"/>
      <c r="I171" s="186"/>
      <c r="J171" s="186"/>
      <c r="K171" s="186"/>
      <c r="L171" s="186"/>
      <c r="M171" s="186"/>
      <c r="N171" s="677" t="s">
        <v>10108</v>
      </c>
      <c r="O171" s="186"/>
      <c r="P171" s="186"/>
      <c r="Q171" s="186"/>
      <c r="R171" s="186"/>
      <c r="S171" s="186"/>
      <c r="T171" s="186"/>
      <c r="U171" s="186"/>
      <c r="V171" s="3">
        <v>1</v>
      </c>
    </row>
    <row r="172" spans="1:2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3">
        <v>1</v>
      </c>
    </row>
    <row r="173" spans="1:22" ht="18">
      <c r="A173" s="186"/>
      <c r="B173" s="186"/>
      <c r="C173" s="1302" t="s">
        <v>10109</v>
      </c>
      <c r="D173" s="186"/>
      <c r="E173" s="186"/>
      <c r="F173" s="186"/>
      <c r="G173" s="186"/>
      <c r="H173" s="186"/>
      <c r="I173" s="186"/>
      <c r="J173" s="186"/>
      <c r="K173" s="186"/>
      <c r="L173" s="186"/>
      <c r="M173" s="186"/>
      <c r="N173" s="1302" t="s">
        <v>10110</v>
      </c>
      <c r="O173" s="186"/>
      <c r="P173" s="186"/>
      <c r="Q173" s="186"/>
      <c r="R173" s="186"/>
      <c r="S173" s="186"/>
      <c r="T173" s="186"/>
      <c r="U173" s="186"/>
      <c r="V173" s="3">
        <v>1</v>
      </c>
    </row>
    <row r="174" spans="1:22">
      <c r="A174" s="186"/>
      <c r="B174" s="186"/>
      <c r="C174" s="186"/>
      <c r="D174" s="186"/>
      <c r="E174" s="186"/>
      <c r="F174" s="186"/>
      <c r="G174" s="186"/>
      <c r="H174" s="186"/>
      <c r="I174" s="186"/>
      <c r="J174" s="186"/>
      <c r="K174" s="186"/>
      <c r="L174" s="186"/>
      <c r="M174" s="186"/>
      <c r="N174" s="54"/>
      <c r="O174" s="186"/>
      <c r="P174" s="186"/>
      <c r="Q174" s="186"/>
      <c r="R174" s="186"/>
      <c r="S174" s="186"/>
      <c r="T174" s="186"/>
      <c r="U174" s="186"/>
      <c r="V174" s="3">
        <v>1</v>
      </c>
    </row>
    <row r="175" spans="1:22">
      <c r="A175" s="186"/>
      <c r="B175" s="186"/>
      <c r="C175" s="186" t="s">
        <v>10111</v>
      </c>
      <c r="D175" s="186"/>
      <c r="E175" s="186"/>
      <c r="F175" s="186"/>
      <c r="G175" s="186"/>
      <c r="H175" s="186"/>
      <c r="I175" s="186"/>
      <c r="J175" s="186"/>
      <c r="K175" s="186"/>
      <c r="L175" s="186"/>
      <c r="M175" s="186"/>
      <c r="N175" s="677" t="s">
        <v>10112</v>
      </c>
      <c r="O175" s="186"/>
      <c r="P175" s="186"/>
      <c r="Q175" s="186"/>
      <c r="R175" s="186"/>
      <c r="S175" s="186"/>
      <c r="T175" s="186"/>
      <c r="U175" s="186"/>
      <c r="V175" s="3">
        <v>1</v>
      </c>
    </row>
    <row r="176" spans="1:22">
      <c r="A176" s="186"/>
      <c r="B176" s="186"/>
      <c r="C176" s="186"/>
      <c r="D176" s="186"/>
      <c r="E176" s="186"/>
      <c r="F176" s="186"/>
      <c r="G176" s="186"/>
      <c r="H176" s="186"/>
      <c r="I176" s="186"/>
      <c r="J176" s="186"/>
      <c r="K176" s="186"/>
      <c r="L176" s="186"/>
      <c r="M176" s="186"/>
      <c r="N176" s="677" t="s">
        <v>10113</v>
      </c>
      <c r="O176" s="186"/>
      <c r="P176" s="186"/>
      <c r="Q176" s="186"/>
      <c r="R176" s="186"/>
      <c r="S176" s="186"/>
      <c r="T176" s="186"/>
      <c r="U176" s="186"/>
      <c r="V176" s="3">
        <v>1</v>
      </c>
    </row>
    <row r="177" spans="1:22">
      <c r="A177" s="186"/>
      <c r="B177" s="186"/>
      <c r="C177" s="186" t="s">
        <v>10043</v>
      </c>
      <c r="D177" s="186"/>
      <c r="E177" s="186"/>
      <c r="F177" s="186"/>
      <c r="G177" s="186"/>
      <c r="H177" s="186"/>
      <c r="I177" s="186"/>
      <c r="J177" s="186"/>
      <c r="K177" s="186"/>
      <c r="L177" s="186"/>
      <c r="M177" s="186"/>
      <c r="N177" s="677" t="s">
        <v>10114</v>
      </c>
      <c r="O177" s="186"/>
      <c r="P177" s="186"/>
      <c r="Q177" s="186"/>
      <c r="R177" s="186"/>
      <c r="S177" s="186"/>
      <c r="T177" s="186"/>
      <c r="U177" s="186"/>
      <c r="V177" s="3">
        <v>1</v>
      </c>
    </row>
    <row r="178" spans="1:22">
      <c r="A178" s="186"/>
      <c r="B178" s="186"/>
      <c r="C178" s="54"/>
      <c r="D178" s="186"/>
      <c r="E178" s="186"/>
      <c r="F178" s="186"/>
      <c r="G178" s="186"/>
      <c r="H178" s="186"/>
      <c r="I178" s="186"/>
      <c r="J178" s="186"/>
      <c r="K178" s="186"/>
      <c r="L178" s="186"/>
      <c r="M178" s="186"/>
      <c r="N178" s="677" t="s">
        <v>10115</v>
      </c>
      <c r="O178" s="186"/>
      <c r="P178" s="186"/>
      <c r="Q178" s="186"/>
      <c r="R178" s="186"/>
      <c r="S178" s="186"/>
      <c r="T178" s="186"/>
      <c r="U178" s="186"/>
      <c r="V178" s="3">
        <v>1</v>
      </c>
    </row>
    <row r="179" spans="1:22">
      <c r="A179" s="186"/>
      <c r="B179" s="186"/>
      <c r="C179" s="2298" t="s">
        <v>10116</v>
      </c>
      <c r="D179" s="186"/>
      <c r="E179" s="186"/>
      <c r="F179" s="186"/>
      <c r="G179" s="186"/>
      <c r="H179" s="186"/>
      <c r="I179" s="186"/>
      <c r="J179" s="186"/>
      <c r="K179" s="186"/>
      <c r="L179" s="186"/>
      <c r="M179" s="186"/>
      <c r="N179" s="677" t="s">
        <v>10117</v>
      </c>
      <c r="O179" s="186"/>
      <c r="P179" s="186"/>
      <c r="Q179" s="186"/>
      <c r="R179" s="186"/>
      <c r="S179" s="186"/>
      <c r="T179" s="186"/>
      <c r="U179" s="186"/>
      <c r="V179" s="3">
        <v>1</v>
      </c>
    </row>
    <row r="180" spans="1:22">
      <c r="A180" s="186"/>
      <c r="B180" s="186"/>
      <c r="C180" s="2298" t="s">
        <v>10118</v>
      </c>
      <c r="D180" s="186"/>
      <c r="E180" s="186"/>
      <c r="F180" s="186"/>
      <c r="G180" s="186"/>
      <c r="H180" s="186"/>
      <c r="I180" s="186"/>
      <c r="J180" s="186"/>
      <c r="K180" s="186"/>
      <c r="L180" s="186"/>
      <c r="M180" s="186"/>
      <c r="N180" s="677" t="s">
        <v>10119</v>
      </c>
      <c r="O180" s="186"/>
      <c r="P180" s="186"/>
      <c r="Q180" s="186"/>
      <c r="R180" s="186"/>
      <c r="S180" s="186"/>
      <c r="T180" s="186"/>
      <c r="U180" s="186"/>
      <c r="V180" s="3">
        <v>1</v>
      </c>
    </row>
    <row r="181" spans="1:22">
      <c r="A181" s="186"/>
      <c r="B181" s="186"/>
      <c r="C181" s="2298" t="s">
        <v>10120</v>
      </c>
      <c r="D181" s="186"/>
      <c r="E181" s="186"/>
      <c r="F181" s="186"/>
      <c r="G181" s="186"/>
      <c r="H181" s="186"/>
      <c r="I181" s="186"/>
      <c r="J181" s="186"/>
      <c r="K181" s="186"/>
      <c r="L181" s="186"/>
      <c r="M181" s="186"/>
      <c r="N181" s="677" t="s">
        <v>10121</v>
      </c>
      <c r="O181" s="186"/>
      <c r="P181" s="186"/>
      <c r="Q181" s="186"/>
      <c r="R181" s="186"/>
      <c r="S181" s="186"/>
      <c r="T181" s="186"/>
      <c r="U181" s="186"/>
      <c r="V181" s="3">
        <v>1</v>
      </c>
    </row>
    <row r="182" spans="1:22">
      <c r="A182" s="186"/>
      <c r="B182" s="186"/>
      <c r="C182" s="186"/>
      <c r="D182" s="186"/>
      <c r="E182" s="186"/>
      <c r="F182" s="186"/>
      <c r="G182" s="186"/>
      <c r="H182" s="186"/>
      <c r="I182" s="186"/>
      <c r="J182" s="186"/>
      <c r="K182" s="186"/>
      <c r="L182" s="186"/>
      <c r="M182" s="186"/>
      <c r="N182" s="677" t="s">
        <v>10122</v>
      </c>
      <c r="O182" s="186"/>
      <c r="P182" s="186"/>
      <c r="Q182" s="186"/>
      <c r="R182" s="186"/>
      <c r="S182" s="186"/>
      <c r="T182" s="186"/>
      <c r="U182" s="186"/>
      <c r="V182" s="3">
        <v>1</v>
      </c>
    </row>
    <row r="183" spans="1:22" ht="18">
      <c r="A183" s="186"/>
      <c r="B183" s="186"/>
      <c r="C183" s="1302" t="s">
        <v>10123</v>
      </c>
      <c r="D183" s="186"/>
      <c r="E183" s="186"/>
      <c r="F183" s="186"/>
      <c r="G183" s="186"/>
      <c r="H183" s="186"/>
      <c r="I183" s="186"/>
      <c r="J183" s="186"/>
      <c r="K183" s="186"/>
      <c r="L183" s="186"/>
      <c r="M183" s="186"/>
      <c r="N183" s="677" t="s">
        <v>10124</v>
      </c>
      <c r="O183" s="186"/>
      <c r="P183" s="186"/>
      <c r="Q183" s="186"/>
      <c r="R183" s="186"/>
      <c r="S183" s="186"/>
      <c r="T183" s="186"/>
      <c r="U183" s="186"/>
      <c r="V183" s="3">
        <v>1</v>
      </c>
    </row>
    <row r="184" spans="1:22">
      <c r="A184" s="186"/>
      <c r="B184" s="186"/>
      <c r="C184" s="186"/>
      <c r="D184" s="186"/>
      <c r="E184" s="186"/>
      <c r="F184" s="186"/>
      <c r="G184" s="186"/>
      <c r="H184" s="186"/>
      <c r="I184" s="186"/>
      <c r="J184" s="186"/>
      <c r="K184" s="186"/>
      <c r="L184" s="186"/>
      <c r="M184" s="186"/>
      <c r="N184" s="677" t="s">
        <v>10125</v>
      </c>
      <c r="O184" s="186"/>
      <c r="P184" s="186"/>
      <c r="Q184" s="186"/>
      <c r="R184" s="186"/>
      <c r="S184" s="186"/>
      <c r="T184" s="186"/>
      <c r="U184" s="186"/>
      <c r="V184" s="3">
        <v>1</v>
      </c>
    </row>
    <row r="185" spans="1:22">
      <c r="A185" s="186"/>
      <c r="B185" s="186"/>
      <c r="C185" s="186" t="s">
        <v>10126</v>
      </c>
      <c r="D185" s="186"/>
      <c r="E185" s="186"/>
      <c r="F185" s="186"/>
      <c r="G185" s="186"/>
      <c r="H185" s="186"/>
      <c r="I185" s="186"/>
      <c r="J185" s="186"/>
      <c r="K185" s="186"/>
      <c r="L185" s="186"/>
      <c r="M185" s="186"/>
      <c r="N185" s="186"/>
      <c r="O185" s="186"/>
      <c r="P185" s="186"/>
      <c r="Q185" s="186"/>
      <c r="R185" s="186"/>
      <c r="S185" s="186"/>
      <c r="T185" s="186"/>
      <c r="U185" s="186"/>
      <c r="V185" s="3">
        <v>1</v>
      </c>
    </row>
    <row r="186" spans="1:22" ht="18">
      <c r="A186" s="186"/>
      <c r="B186" s="186"/>
      <c r="C186" s="186"/>
      <c r="D186" s="186"/>
      <c r="E186" s="186"/>
      <c r="F186" s="186"/>
      <c r="G186" s="186"/>
      <c r="H186" s="186"/>
      <c r="I186" s="186"/>
      <c r="J186" s="186"/>
      <c r="K186" s="186"/>
      <c r="L186" s="186"/>
      <c r="M186" s="186"/>
      <c r="N186" s="1302" t="s">
        <v>10127</v>
      </c>
      <c r="O186" s="186"/>
      <c r="P186" s="186"/>
      <c r="Q186" s="186"/>
      <c r="R186" s="186"/>
      <c r="S186" s="186"/>
      <c r="T186" s="186"/>
      <c r="U186" s="186"/>
      <c r="V186" s="3">
        <v>1</v>
      </c>
    </row>
    <row r="187" spans="1:22">
      <c r="A187" s="186"/>
      <c r="B187" s="186"/>
      <c r="C187" s="186" t="s">
        <v>10043</v>
      </c>
      <c r="D187" s="186"/>
      <c r="E187" s="186"/>
      <c r="F187" s="186"/>
      <c r="G187" s="186"/>
      <c r="H187" s="186"/>
      <c r="I187" s="186"/>
      <c r="J187" s="186"/>
      <c r="K187" s="186"/>
      <c r="L187" s="186"/>
      <c r="M187" s="186"/>
      <c r="N187" s="54"/>
      <c r="O187" s="186"/>
      <c r="P187" s="186"/>
      <c r="Q187" s="186"/>
      <c r="R187" s="186"/>
      <c r="S187" s="186"/>
      <c r="T187" s="186"/>
      <c r="U187" s="186"/>
      <c r="V187" s="3">
        <v>1</v>
      </c>
    </row>
    <row r="188" spans="1:22">
      <c r="A188" s="186"/>
      <c r="B188" s="186"/>
      <c r="C188" s="54"/>
      <c r="D188" s="186"/>
      <c r="E188" s="186"/>
      <c r="F188" s="186"/>
      <c r="G188" s="186"/>
      <c r="H188" s="186"/>
      <c r="I188" s="186"/>
      <c r="J188" s="186"/>
      <c r="K188" s="186"/>
      <c r="L188" s="186"/>
      <c r="M188" s="186"/>
      <c r="N188" s="677" t="s">
        <v>10128</v>
      </c>
      <c r="O188" s="186"/>
      <c r="P188" s="186"/>
      <c r="Q188" s="186"/>
      <c r="R188" s="186"/>
      <c r="S188" s="186"/>
      <c r="T188" s="186"/>
      <c r="U188" s="186"/>
      <c r="V188" s="3">
        <v>1</v>
      </c>
    </row>
    <row r="189" spans="1:22">
      <c r="A189" s="186"/>
      <c r="B189" s="186"/>
      <c r="C189" s="2298" t="s">
        <v>10129</v>
      </c>
      <c r="D189" s="186"/>
      <c r="E189" s="186"/>
      <c r="F189" s="186"/>
      <c r="G189" s="186"/>
      <c r="H189" s="186"/>
      <c r="I189" s="186"/>
      <c r="J189" s="186"/>
      <c r="K189" s="186"/>
      <c r="L189" s="186"/>
      <c r="M189" s="186"/>
      <c r="N189" s="677" t="s">
        <v>10130</v>
      </c>
      <c r="O189" s="186"/>
      <c r="P189" s="186"/>
      <c r="Q189" s="186"/>
      <c r="R189" s="186"/>
      <c r="S189" s="186"/>
      <c r="T189" s="186"/>
      <c r="U189" s="186"/>
      <c r="V189" s="3">
        <v>1</v>
      </c>
    </row>
    <row r="190" spans="1:22">
      <c r="A190" s="186"/>
      <c r="B190" s="186"/>
      <c r="C190" s="2298" t="s">
        <v>10131</v>
      </c>
      <c r="D190" s="186"/>
      <c r="E190" s="186"/>
      <c r="F190" s="186"/>
      <c r="G190" s="186"/>
      <c r="H190" s="186"/>
      <c r="I190" s="186"/>
      <c r="J190" s="186"/>
      <c r="K190" s="186"/>
      <c r="L190" s="186"/>
      <c r="M190" s="186"/>
      <c r="N190" s="677" t="s">
        <v>10132</v>
      </c>
      <c r="O190" s="186"/>
      <c r="P190" s="186"/>
      <c r="Q190" s="186"/>
      <c r="R190" s="186"/>
      <c r="S190" s="186"/>
      <c r="T190" s="186"/>
      <c r="U190" s="186"/>
      <c r="V190" s="3">
        <v>1</v>
      </c>
    </row>
    <row r="191" spans="1:22">
      <c r="A191" s="186"/>
      <c r="B191" s="186"/>
      <c r="C191" s="2298" t="s">
        <v>10133</v>
      </c>
      <c r="D191" s="186"/>
      <c r="E191" s="186"/>
      <c r="F191" s="186"/>
      <c r="G191" s="186"/>
      <c r="H191" s="186"/>
      <c r="I191" s="186"/>
      <c r="J191" s="186"/>
      <c r="K191" s="186"/>
      <c r="L191" s="186"/>
      <c r="M191" s="186"/>
      <c r="N191" s="677" t="s">
        <v>10134</v>
      </c>
      <c r="O191" s="186"/>
      <c r="P191" s="186"/>
      <c r="Q191" s="186"/>
      <c r="R191" s="186"/>
      <c r="S191" s="186"/>
      <c r="T191" s="186"/>
      <c r="U191" s="186"/>
      <c r="V191" s="3">
        <v>1</v>
      </c>
    </row>
    <row r="192" spans="1:22">
      <c r="A192" s="186"/>
      <c r="B192" s="186"/>
      <c r="C192" s="186"/>
      <c r="D192" s="186"/>
      <c r="E192" s="186"/>
      <c r="F192" s="186"/>
      <c r="G192" s="186"/>
      <c r="H192" s="186"/>
      <c r="I192" s="186"/>
      <c r="J192" s="186"/>
      <c r="K192" s="186"/>
      <c r="L192" s="186"/>
      <c r="M192" s="186"/>
      <c r="N192" s="677" t="s">
        <v>10135</v>
      </c>
      <c r="O192" s="186"/>
      <c r="P192" s="186"/>
      <c r="Q192" s="186"/>
      <c r="R192" s="186"/>
      <c r="S192" s="186"/>
      <c r="T192" s="186"/>
      <c r="U192" s="186"/>
      <c r="V192" s="3">
        <v>1</v>
      </c>
    </row>
    <row r="193" spans="1:22">
      <c r="A193" s="186"/>
      <c r="B193" s="186"/>
      <c r="C193" s="186" t="s">
        <v>10136</v>
      </c>
      <c r="D193" s="186"/>
      <c r="E193" s="186"/>
      <c r="F193" s="186"/>
      <c r="G193" s="186"/>
      <c r="H193" s="186"/>
      <c r="I193" s="186"/>
      <c r="J193" s="186"/>
      <c r="K193" s="186"/>
      <c r="L193" s="186"/>
      <c r="M193" s="186"/>
      <c r="N193" s="677" t="s">
        <v>10137</v>
      </c>
      <c r="O193" s="186"/>
      <c r="P193" s="186"/>
      <c r="Q193" s="186"/>
      <c r="R193" s="186"/>
      <c r="S193" s="186"/>
      <c r="T193" s="186"/>
      <c r="U193" s="186"/>
      <c r="V193" s="3">
        <v>1</v>
      </c>
    </row>
    <row r="194" spans="1:22">
      <c r="A194" s="186"/>
      <c r="B194" s="186"/>
      <c r="C194" s="186" t="s">
        <v>10138</v>
      </c>
      <c r="D194" s="186"/>
      <c r="E194" s="186"/>
      <c r="F194" s="186"/>
      <c r="G194" s="186"/>
      <c r="H194" s="186"/>
      <c r="I194" s="186"/>
      <c r="J194" s="186"/>
      <c r="K194" s="186"/>
      <c r="L194" s="186"/>
      <c r="M194" s="186"/>
      <c r="N194" s="677" t="s">
        <v>10139</v>
      </c>
      <c r="O194" s="186"/>
      <c r="P194" s="186"/>
      <c r="Q194" s="186"/>
      <c r="R194" s="186"/>
      <c r="S194" s="186"/>
      <c r="T194" s="186"/>
      <c r="U194" s="186"/>
      <c r="V194" s="3">
        <v>1</v>
      </c>
    </row>
    <row r="195" spans="1:22">
      <c r="A195" s="186"/>
      <c r="B195" s="186"/>
      <c r="C195" s="186"/>
      <c r="D195" s="186"/>
      <c r="E195" s="186"/>
      <c r="F195" s="186"/>
      <c r="G195" s="186"/>
      <c r="H195" s="186"/>
      <c r="I195" s="186"/>
      <c r="J195" s="186"/>
      <c r="K195" s="186"/>
      <c r="L195" s="186"/>
      <c r="M195" s="186"/>
      <c r="N195" s="677" t="s">
        <v>10140</v>
      </c>
      <c r="O195" s="186"/>
      <c r="P195" s="186"/>
      <c r="Q195" s="186"/>
      <c r="R195" s="186"/>
      <c r="S195" s="186"/>
      <c r="T195" s="186"/>
      <c r="U195" s="186"/>
      <c r="V195" s="3">
        <v>1</v>
      </c>
    </row>
    <row r="196" spans="1:22">
      <c r="A196" s="186"/>
      <c r="B196" s="186"/>
      <c r="C196" s="186"/>
      <c r="D196" s="186"/>
      <c r="E196" s="186"/>
      <c r="F196" s="186"/>
      <c r="G196" s="186"/>
      <c r="H196" s="186"/>
      <c r="I196" s="186"/>
      <c r="J196" s="186"/>
      <c r="K196" s="186"/>
      <c r="L196" s="186"/>
      <c r="M196" s="186"/>
      <c r="N196" s="677" t="s">
        <v>10141</v>
      </c>
      <c r="O196" s="186"/>
      <c r="P196" s="186"/>
      <c r="Q196" s="186"/>
      <c r="R196" s="186"/>
      <c r="S196" s="186"/>
      <c r="T196" s="186"/>
      <c r="U196" s="186"/>
      <c r="V196" s="3">
        <v>1</v>
      </c>
    </row>
    <row r="197" spans="1:22">
      <c r="A197" s="186"/>
      <c r="B197" s="186"/>
      <c r="C197" s="2694" t="s">
        <v>10142</v>
      </c>
      <c r="D197" s="186"/>
      <c r="E197" s="186"/>
      <c r="F197" s="186"/>
      <c r="G197" s="186"/>
      <c r="H197" s="186"/>
      <c r="I197" s="186"/>
      <c r="J197" s="186"/>
      <c r="K197" s="186"/>
      <c r="L197" s="186"/>
      <c r="M197" s="186"/>
      <c r="N197" s="677" t="s">
        <v>10143</v>
      </c>
      <c r="O197" s="186"/>
      <c r="P197" s="186"/>
      <c r="Q197" s="186"/>
      <c r="R197" s="186"/>
      <c r="S197" s="186"/>
      <c r="T197" s="186"/>
      <c r="U197" s="186"/>
      <c r="V197" s="3">
        <v>1</v>
      </c>
    </row>
    <row r="198" spans="1:22">
      <c r="A198" s="186"/>
      <c r="B198" s="186"/>
      <c r="C198" s="186" t="s">
        <v>10144</v>
      </c>
      <c r="D198" s="186"/>
      <c r="E198" s="186"/>
      <c r="F198" s="186"/>
      <c r="G198" s="186"/>
      <c r="H198" s="186"/>
      <c r="I198" s="186"/>
      <c r="J198" s="186"/>
      <c r="K198" s="186"/>
      <c r="L198" s="186"/>
      <c r="M198" s="186"/>
      <c r="N198" s="186"/>
      <c r="O198" s="186"/>
      <c r="P198" s="186"/>
      <c r="Q198" s="186"/>
      <c r="R198" s="186"/>
      <c r="S198" s="186"/>
      <c r="T198" s="186"/>
      <c r="U198" s="186"/>
      <c r="V198" s="3">
        <v>1</v>
      </c>
    </row>
    <row r="199" spans="1:22">
      <c r="A199" s="186"/>
      <c r="B199" s="186"/>
      <c r="C199" s="186"/>
      <c r="D199" s="186"/>
      <c r="E199" s="186"/>
      <c r="F199" s="186"/>
      <c r="G199" s="186"/>
      <c r="H199" s="186"/>
      <c r="I199" s="186"/>
      <c r="J199" s="186"/>
      <c r="K199" s="186"/>
      <c r="L199" s="186"/>
      <c r="M199" s="186"/>
      <c r="N199" s="186" t="s">
        <v>10145</v>
      </c>
      <c r="O199" s="186"/>
      <c r="P199" s="186"/>
      <c r="Q199" s="186"/>
      <c r="R199" s="186"/>
      <c r="S199" s="186"/>
      <c r="T199" s="186"/>
      <c r="U199" s="186"/>
      <c r="V199" s="3">
        <v>1</v>
      </c>
    </row>
    <row r="200" spans="1:22">
      <c r="A200" s="186"/>
      <c r="B200" s="186"/>
      <c r="C200" s="2694" t="s">
        <v>10146</v>
      </c>
      <c r="D200" s="186"/>
      <c r="E200" s="186"/>
      <c r="F200" s="186"/>
      <c r="G200" s="186"/>
      <c r="H200" s="186"/>
      <c r="I200" s="186"/>
      <c r="J200" s="186"/>
      <c r="K200" s="186"/>
      <c r="L200" s="186"/>
      <c r="M200" s="186"/>
      <c r="N200" s="186" t="s">
        <v>10147</v>
      </c>
      <c r="O200" s="186"/>
      <c r="P200" s="186"/>
      <c r="Q200" s="186"/>
      <c r="R200" s="186"/>
      <c r="S200" s="186"/>
      <c r="T200" s="186"/>
      <c r="U200" s="186"/>
      <c r="V200" s="3">
        <v>1</v>
      </c>
    </row>
    <row r="201" spans="1:22">
      <c r="A201" s="186"/>
      <c r="B201" s="186"/>
      <c r="C201" s="656" t="s">
        <v>10148</v>
      </c>
      <c r="D201" s="186"/>
      <c r="E201" s="186"/>
      <c r="F201" s="186"/>
      <c r="G201" s="186"/>
      <c r="H201" s="186"/>
      <c r="I201" s="186"/>
      <c r="J201" s="186"/>
      <c r="K201" s="186"/>
      <c r="L201" s="186"/>
      <c r="M201" s="186"/>
      <c r="N201" s="186"/>
      <c r="O201" s="186"/>
      <c r="P201" s="186"/>
      <c r="Q201" s="186"/>
      <c r="R201" s="186"/>
      <c r="S201" s="186"/>
      <c r="T201" s="186"/>
      <c r="U201" s="186"/>
      <c r="V201" s="3">
        <v>1</v>
      </c>
    </row>
    <row r="202" spans="1:2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3">
        <v>1</v>
      </c>
    </row>
    <row r="203" spans="1:22">
      <c r="A203" s="186"/>
      <c r="B203" s="186"/>
      <c r="C203" s="2694" t="s">
        <v>10149</v>
      </c>
      <c r="D203" s="186"/>
      <c r="E203" s="186"/>
      <c r="F203" s="186"/>
      <c r="G203" s="186"/>
      <c r="H203" s="186"/>
      <c r="I203" s="186"/>
      <c r="J203" s="186"/>
      <c r="K203" s="186"/>
      <c r="L203" s="186"/>
      <c r="M203" s="186"/>
      <c r="N203" s="186"/>
      <c r="O203" s="186"/>
      <c r="P203" s="186"/>
      <c r="Q203" s="186"/>
      <c r="R203" s="186"/>
      <c r="S203" s="186"/>
      <c r="T203" s="186"/>
      <c r="U203" s="186"/>
      <c r="V203" s="3">
        <v>1</v>
      </c>
    </row>
    <row r="204" spans="1:22">
      <c r="A204" s="186"/>
      <c r="B204" s="186"/>
      <c r="C204" s="656" t="s">
        <v>10150</v>
      </c>
      <c r="D204" s="186"/>
      <c r="E204" s="186"/>
      <c r="F204" s="186"/>
      <c r="G204" s="186"/>
      <c r="H204" s="186"/>
      <c r="I204" s="186"/>
      <c r="J204" s="186"/>
      <c r="K204" s="186"/>
      <c r="L204" s="186"/>
      <c r="M204" s="186"/>
      <c r="N204" s="186"/>
      <c r="O204" s="186"/>
      <c r="P204" s="186"/>
      <c r="Q204" s="186"/>
      <c r="R204" s="186"/>
      <c r="S204" s="186"/>
      <c r="T204" s="186"/>
      <c r="U204" s="186"/>
      <c r="V204" s="3">
        <v>1</v>
      </c>
    </row>
    <row r="205" spans="1:2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3">
        <v>1</v>
      </c>
    </row>
    <row r="206" spans="1:22">
      <c r="A206" s="186"/>
      <c r="B206" s="186"/>
      <c r="C206" s="2694" t="s">
        <v>10151</v>
      </c>
      <c r="D206" s="186"/>
      <c r="E206" s="186"/>
      <c r="F206" s="186"/>
      <c r="G206" s="186"/>
      <c r="H206" s="186"/>
      <c r="I206" s="186"/>
      <c r="J206" s="186"/>
      <c r="K206" s="186"/>
      <c r="L206" s="186"/>
      <c r="M206" s="186"/>
      <c r="N206" s="2694" t="s">
        <v>10152</v>
      </c>
      <c r="O206" s="186"/>
      <c r="P206" s="186"/>
      <c r="Q206" s="186"/>
      <c r="R206" s="186"/>
      <c r="S206" s="186"/>
      <c r="T206" s="186"/>
      <c r="U206" s="186"/>
      <c r="V206" s="3">
        <v>1</v>
      </c>
    </row>
    <row r="207" spans="1:22">
      <c r="A207" s="186"/>
      <c r="B207" s="186"/>
      <c r="C207" s="656" t="s">
        <v>10153</v>
      </c>
      <c r="D207" s="186"/>
      <c r="E207" s="186"/>
      <c r="F207" s="186"/>
      <c r="G207" s="186"/>
      <c r="H207" s="186"/>
      <c r="I207" s="186"/>
      <c r="J207" s="186"/>
      <c r="K207" s="186"/>
      <c r="L207" s="186"/>
      <c r="M207" s="186"/>
      <c r="N207" s="656" t="s">
        <v>10154</v>
      </c>
      <c r="O207" s="186"/>
      <c r="P207" s="186"/>
      <c r="Q207" s="186"/>
      <c r="R207" s="186"/>
      <c r="S207" s="186"/>
      <c r="T207" s="186"/>
      <c r="U207" s="186"/>
      <c r="V207" s="3">
        <v>1</v>
      </c>
    </row>
    <row r="208" spans="1:22">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3">
        <v>1</v>
      </c>
    </row>
    <row r="209" spans="1:22">
      <c r="A209" s="186"/>
      <c r="B209" s="186"/>
      <c r="C209" s="2703" t="s">
        <v>10155</v>
      </c>
      <c r="D209" s="2688" t="s">
        <v>10156</v>
      </c>
      <c r="F209" s="186"/>
      <c r="G209" s="186"/>
      <c r="H209" s="186"/>
      <c r="I209" s="186"/>
      <c r="J209" s="186"/>
      <c r="K209" s="186"/>
      <c r="L209" s="186"/>
      <c r="M209" s="186"/>
      <c r="N209" s="186"/>
      <c r="O209" s="186"/>
      <c r="P209" s="186"/>
      <c r="Q209" s="186"/>
      <c r="R209" s="186"/>
      <c r="S209" s="186"/>
      <c r="T209" s="186"/>
      <c r="U209" s="186"/>
      <c r="V209" s="3">
        <v>1</v>
      </c>
    </row>
    <row r="210" spans="1:22">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3">
        <v>1</v>
      </c>
    </row>
    <row r="211" spans="1:22">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3">
        <v>1</v>
      </c>
    </row>
    <row r="212" spans="1:22" ht="18.75">
      <c r="A212" s="186"/>
      <c r="B212" s="186"/>
      <c r="C212" s="2704" t="s">
        <v>10157</v>
      </c>
      <c r="D212" s="186"/>
      <c r="E212" s="186"/>
      <c r="F212" s="186"/>
      <c r="G212" s="186"/>
      <c r="H212" s="186"/>
      <c r="I212" s="186"/>
      <c r="J212" s="186"/>
      <c r="K212" s="186"/>
      <c r="L212" s="186"/>
      <c r="M212" s="186"/>
      <c r="N212" s="186"/>
      <c r="O212" s="186"/>
      <c r="P212" s="186"/>
      <c r="Q212" s="186"/>
      <c r="R212" s="186"/>
      <c r="S212" s="186"/>
      <c r="T212" s="186"/>
      <c r="U212" s="186"/>
      <c r="V212" s="3">
        <v>1</v>
      </c>
    </row>
    <row r="213" spans="1:22">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3">
        <v>1</v>
      </c>
    </row>
    <row r="214" spans="1:22" ht="18">
      <c r="A214" s="186"/>
      <c r="B214" s="186"/>
      <c r="C214" s="1302" t="s">
        <v>10158</v>
      </c>
      <c r="D214" s="9"/>
      <c r="E214" s="9"/>
      <c r="F214" s="9"/>
      <c r="G214" s="186"/>
      <c r="H214" s="186"/>
      <c r="I214" s="186"/>
      <c r="J214" s="186"/>
      <c r="K214" s="186"/>
      <c r="L214" s="186"/>
      <c r="M214" s="186"/>
      <c r="N214" s="186"/>
      <c r="O214" s="186"/>
      <c r="P214" s="186"/>
      <c r="Q214" s="186"/>
      <c r="R214" s="186"/>
      <c r="S214" s="186"/>
      <c r="T214" s="186"/>
      <c r="U214" s="186"/>
      <c r="V214" s="3">
        <v>1</v>
      </c>
    </row>
    <row r="215" spans="1:22">
      <c r="A215" s="186"/>
      <c r="B215" s="186"/>
      <c r="C215" s="9"/>
      <c r="D215" s="9"/>
      <c r="E215" s="9"/>
      <c r="F215" s="9"/>
      <c r="G215" s="186"/>
      <c r="H215" s="186"/>
      <c r="I215" s="186"/>
      <c r="J215" s="186"/>
      <c r="K215" s="186"/>
      <c r="L215" s="186"/>
      <c r="M215" s="186"/>
      <c r="N215" s="186"/>
      <c r="O215" s="186"/>
      <c r="P215" s="186"/>
      <c r="Q215" s="186"/>
      <c r="R215" s="186"/>
      <c r="S215" s="186"/>
      <c r="T215" s="186"/>
      <c r="U215" s="186"/>
      <c r="V215" s="3">
        <v>1</v>
      </c>
    </row>
    <row r="216" spans="1:22">
      <c r="A216" s="186"/>
      <c r="B216" s="186"/>
      <c r="C216" s="9" t="s">
        <v>10159</v>
      </c>
      <c r="D216" s="9"/>
      <c r="E216" s="9"/>
      <c r="F216" s="9"/>
      <c r="G216" s="186"/>
      <c r="H216" s="186"/>
      <c r="I216" s="186"/>
      <c r="J216" s="186"/>
      <c r="K216" s="186"/>
      <c r="L216" s="186"/>
      <c r="M216" s="186"/>
      <c r="N216" s="186"/>
      <c r="O216" s="186"/>
      <c r="P216" s="186"/>
      <c r="Q216" s="186"/>
      <c r="R216" s="186"/>
      <c r="S216" s="186"/>
      <c r="T216" s="186"/>
      <c r="U216" s="186"/>
      <c r="V216" s="3">
        <v>1</v>
      </c>
    </row>
    <row r="217" spans="1:22">
      <c r="A217" s="186"/>
      <c r="B217" s="186"/>
      <c r="C217" s="9"/>
      <c r="D217" s="9"/>
      <c r="E217" s="9"/>
      <c r="F217" s="9"/>
      <c r="G217" s="186"/>
      <c r="H217" s="186"/>
      <c r="I217" s="186"/>
      <c r="J217" s="186"/>
      <c r="K217" s="186"/>
      <c r="L217" s="186"/>
      <c r="M217" s="186"/>
      <c r="N217" s="186"/>
      <c r="O217" s="186"/>
      <c r="P217" s="186"/>
      <c r="Q217" s="186"/>
      <c r="R217" s="186"/>
      <c r="S217" s="186"/>
      <c r="T217" s="186"/>
      <c r="U217" s="186"/>
      <c r="V217" s="3">
        <v>1</v>
      </c>
    </row>
    <row r="218" spans="1:22">
      <c r="A218" s="186"/>
      <c r="B218" s="186"/>
      <c r="C218" s="186"/>
      <c r="D218" s="656" t="s">
        <v>10160</v>
      </c>
      <c r="E218" s="9"/>
      <c r="F218" s="9"/>
      <c r="G218" s="186"/>
      <c r="H218" s="186"/>
      <c r="I218" s="186"/>
      <c r="J218" s="186"/>
      <c r="K218" s="186"/>
      <c r="L218" s="186"/>
      <c r="M218" s="186"/>
      <c r="N218" s="186"/>
      <c r="O218" s="186"/>
      <c r="P218" s="186"/>
      <c r="Q218" s="186"/>
      <c r="R218" s="186"/>
      <c r="S218" s="186"/>
      <c r="T218" s="186"/>
      <c r="U218" s="186"/>
      <c r="V218" s="3">
        <v>1</v>
      </c>
    </row>
    <row r="219" spans="1:22">
      <c r="A219" s="186"/>
      <c r="B219" s="186"/>
      <c r="C219" s="9"/>
      <c r="D219" s="9"/>
      <c r="E219" s="9"/>
      <c r="F219" s="9"/>
      <c r="G219" s="186"/>
      <c r="H219" s="186"/>
      <c r="I219" s="186"/>
      <c r="J219" s="186"/>
      <c r="K219" s="186"/>
      <c r="L219" s="186"/>
      <c r="M219" s="186"/>
      <c r="N219" s="186"/>
      <c r="O219" s="186"/>
      <c r="P219" s="186"/>
      <c r="Q219" s="186"/>
      <c r="R219" s="186"/>
      <c r="S219" s="186"/>
      <c r="T219" s="186"/>
      <c r="U219" s="186"/>
      <c r="V219" s="3">
        <v>1</v>
      </c>
    </row>
    <row r="220" spans="1:22" ht="23.25">
      <c r="A220" s="186"/>
      <c r="B220" s="186"/>
      <c r="C220" s="1314" t="s">
        <v>10161</v>
      </c>
      <c r="D220" s="9"/>
      <c r="E220" s="9"/>
      <c r="F220" s="9"/>
      <c r="G220" s="186"/>
      <c r="H220" s="186"/>
      <c r="I220" s="186"/>
      <c r="J220" s="186"/>
      <c r="K220" s="186"/>
      <c r="L220" s="186"/>
      <c r="M220" s="186"/>
      <c r="N220" s="186"/>
      <c r="O220" s="186"/>
      <c r="P220" s="186"/>
      <c r="Q220" s="186"/>
      <c r="R220" s="186"/>
      <c r="S220" s="186"/>
      <c r="T220" s="186"/>
      <c r="U220" s="186"/>
      <c r="V220" s="3">
        <v>1</v>
      </c>
    </row>
    <row r="221" spans="1:22">
      <c r="A221" s="186"/>
      <c r="B221" s="186"/>
      <c r="C221" s="1301"/>
      <c r="D221" s="9"/>
      <c r="E221" s="9"/>
      <c r="F221" s="9"/>
      <c r="G221" s="186"/>
      <c r="H221" s="186"/>
      <c r="I221" s="186"/>
      <c r="J221" s="186"/>
      <c r="K221" s="186"/>
      <c r="L221" s="186"/>
      <c r="M221" s="186"/>
      <c r="N221" s="186"/>
      <c r="O221" s="186"/>
      <c r="P221" s="186"/>
      <c r="Q221" s="186"/>
      <c r="R221" s="186"/>
      <c r="S221" s="186"/>
      <c r="T221" s="186"/>
      <c r="U221" s="186"/>
      <c r="V221" s="3">
        <v>1</v>
      </c>
    </row>
    <row r="222" spans="1:22">
      <c r="A222" s="186"/>
      <c r="B222" s="186"/>
      <c r="C222" s="1309" t="s">
        <v>10162</v>
      </c>
      <c r="D222" s="9"/>
      <c r="E222" s="9"/>
      <c r="F222" s="9"/>
      <c r="G222" s="186"/>
      <c r="H222" s="186"/>
      <c r="I222" s="186"/>
      <c r="J222" s="186"/>
      <c r="K222" s="186"/>
      <c r="L222" s="186"/>
      <c r="M222" s="186"/>
      <c r="N222" s="186"/>
      <c r="O222" s="186"/>
      <c r="P222" s="186"/>
      <c r="Q222" s="186"/>
      <c r="R222" s="186"/>
      <c r="S222" s="186"/>
      <c r="T222" s="186"/>
      <c r="U222" s="186"/>
      <c r="V222" s="3">
        <v>1</v>
      </c>
    </row>
    <row r="223" spans="1:22">
      <c r="A223" s="186"/>
      <c r="B223" s="186"/>
      <c r="C223" s="1309" t="s">
        <v>10163</v>
      </c>
      <c r="D223" s="9"/>
      <c r="E223" s="9"/>
      <c r="F223" s="9"/>
      <c r="G223" s="186"/>
      <c r="H223" s="186"/>
      <c r="I223" s="186"/>
      <c r="J223" s="186"/>
      <c r="K223" s="186"/>
      <c r="L223" s="186"/>
      <c r="M223" s="186"/>
      <c r="N223" s="186"/>
      <c r="O223" s="186"/>
      <c r="P223" s="186"/>
      <c r="Q223" s="186"/>
      <c r="R223" s="186"/>
      <c r="S223" s="186"/>
      <c r="T223" s="186"/>
      <c r="U223" s="186"/>
      <c r="V223" s="3">
        <v>1</v>
      </c>
    </row>
    <row r="224" spans="1:22">
      <c r="A224" s="186"/>
      <c r="B224" s="186"/>
      <c r="C224" s="1309" t="s">
        <v>10164</v>
      </c>
      <c r="D224" s="9"/>
      <c r="E224" s="9"/>
      <c r="F224" s="9"/>
      <c r="G224" s="186"/>
      <c r="H224" s="186"/>
      <c r="I224" s="186"/>
      <c r="J224" s="186"/>
      <c r="K224" s="186"/>
      <c r="L224" s="186"/>
      <c r="M224" s="186"/>
      <c r="N224" s="186"/>
      <c r="O224" s="186"/>
      <c r="P224" s="186"/>
      <c r="Q224" s="186"/>
      <c r="R224" s="186"/>
      <c r="S224" s="186"/>
      <c r="T224" s="186"/>
      <c r="U224" s="186"/>
      <c r="V224" s="3">
        <v>1</v>
      </c>
    </row>
    <row r="225" spans="1:22">
      <c r="A225" s="186"/>
      <c r="B225" s="186"/>
      <c r="C225" s="1309" t="s">
        <v>10165</v>
      </c>
      <c r="D225" s="9"/>
      <c r="E225" s="9"/>
      <c r="F225" s="9"/>
      <c r="G225" s="186"/>
      <c r="H225" s="186"/>
      <c r="I225" s="186"/>
      <c r="J225" s="186"/>
      <c r="K225" s="186"/>
      <c r="L225" s="186"/>
      <c r="M225" s="186"/>
      <c r="N225" s="186"/>
      <c r="O225" s="186"/>
      <c r="P225" s="186"/>
      <c r="Q225" s="186"/>
      <c r="R225" s="186"/>
      <c r="S225" s="186"/>
      <c r="T225" s="186"/>
      <c r="U225" s="186"/>
      <c r="V225" s="3">
        <v>1</v>
      </c>
    </row>
    <row r="226" spans="1:22">
      <c r="A226" s="186"/>
      <c r="B226" s="186"/>
      <c r="C226" s="1309" t="s">
        <v>10166</v>
      </c>
      <c r="D226" s="9"/>
      <c r="E226" s="9"/>
      <c r="F226" s="9"/>
      <c r="G226" s="186"/>
      <c r="H226" s="186"/>
      <c r="I226" s="186"/>
      <c r="J226" s="186"/>
      <c r="K226" s="186"/>
      <c r="L226" s="186"/>
      <c r="M226" s="186"/>
      <c r="N226" s="186"/>
      <c r="O226" s="186"/>
      <c r="P226" s="186"/>
      <c r="Q226" s="186"/>
      <c r="R226" s="186"/>
      <c r="S226" s="186"/>
      <c r="T226" s="186"/>
      <c r="U226" s="186"/>
      <c r="V226" s="3">
        <v>1</v>
      </c>
    </row>
    <row r="227" spans="1:22">
      <c r="A227" s="186"/>
      <c r="B227" s="186"/>
      <c r="C227" s="1309" t="s">
        <v>10167</v>
      </c>
      <c r="D227" s="9"/>
      <c r="E227" s="9"/>
      <c r="F227" s="9"/>
      <c r="G227" s="186"/>
      <c r="H227" s="186"/>
      <c r="I227" s="186"/>
      <c r="J227" s="186"/>
      <c r="K227" s="186"/>
      <c r="L227" s="186"/>
      <c r="M227" s="186"/>
      <c r="N227" s="186"/>
      <c r="O227" s="186"/>
      <c r="P227" s="186"/>
      <c r="Q227" s="186"/>
      <c r="R227" s="186"/>
      <c r="S227" s="186"/>
      <c r="T227" s="186"/>
      <c r="U227" s="186"/>
      <c r="V227" s="3">
        <v>1</v>
      </c>
    </row>
    <row r="228" spans="1:22">
      <c r="A228" s="186"/>
      <c r="B228" s="186"/>
      <c r="C228" s="1309" t="s">
        <v>10168</v>
      </c>
      <c r="D228" s="9"/>
      <c r="E228" s="9"/>
      <c r="F228" s="9"/>
      <c r="G228" s="186"/>
      <c r="H228" s="186"/>
      <c r="I228" s="186"/>
      <c r="J228" s="186"/>
      <c r="K228" s="186"/>
      <c r="L228" s="186"/>
      <c r="M228" s="186"/>
      <c r="N228" s="186"/>
      <c r="O228" s="186"/>
      <c r="P228" s="186"/>
      <c r="Q228" s="186"/>
      <c r="R228" s="186"/>
      <c r="S228" s="186"/>
      <c r="T228" s="186"/>
      <c r="U228" s="186"/>
      <c r="V228" s="3">
        <v>1</v>
      </c>
    </row>
    <row r="229" spans="1:22">
      <c r="A229" s="186"/>
      <c r="B229" s="186"/>
      <c r="C229" s="1309" t="s">
        <v>10169</v>
      </c>
      <c r="D229" s="9"/>
      <c r="E229" s="9"/>
      <c r="F229" s="9"/>
      <c r="G229" s="186"/>
      <c r="H229" s="186"/>
      <c r="I229" s="186"/>
      <c r="J229" s="186"/>
      <c r="K229" s="186"/>
      <c r="L229" s="186"/>
      <c r="M229" s="186"/>
      <c r="N229" s="186"/>
      <c r="O229" s="186"/>
      <c r="P229" s="186"/>
      <c r="Q229" s="186"/>
      <c r="R229" s="186"/>
      <c r="S229" s="186"/>
      <c r="T229" s="186"/>
      <c r="U229" s="186"/>
      <c r="V229" s="3">
        <v>1</v>
      </c>
    </row>
    <row r="230" spans="1:22">
      <c r="A230" s="186"/>
      <c r="B230" s="186"/>
      <c r="C230" s="1309" t="s">
        <v>10170</v>
      </c>
      <c r="D230" s="9"/>
      <c r="E230" s="9"/>
      <c r="F230" s="9"/>
      <c r="G230" s="186"/>
      <c r="H230" s="186"/>
      <c r="I230" s="186"/>
      <c r="J230" s="186"/>
      <c r="K230" s="186"/>
      <c r="L230" s="186"/>
      <c r="M230" s="186"/>
      <c r="N230" s="186"/>
      <c r="O230" s="186"/>
      <c r="P230" s="186"/>
      <c r="Q230" s="186"/>
      <c r="R230" s="186"/>
      <c r="S230" s="186"/>
      <c r="T230" s="186"/>
      <c r="U230" s="186"/>
      <c r="V230" s="3">
        <v>1</v>
      </c>
    </row>
    <row r="231" spans="1:22">
      <c r="A231" s="186"/>
      <c r="B231" s="186"/>
      <c r="C231" s="1309" t="s">
        <v>10171</v>
      </c>
      <c r="D231" s="9"/>
      <c r="E231" s="9"/>
      <c r="F231" s="9"/>
      <c r="G231" s="186"/>
      <c r="H231" s="186"/>
      <c r="I231" s="186"/>
      <c r="J231" s="186"/>
      <c r="K231" s="186"/>
      <c r="L231" s="186"/>
      <c r="M231" s="186"/>
      <c r="N231" s="186"/>
      <c r="O231" s="186"/>
      <c r="P231" s="186"/>
      <c r="Q231" s="186"/>
      <c r="R231" s="186"/>
      <c r="S231" s="186"/>
      <c r="T231" s="186"/>
      <c r="U231" s="186"/>
      <c r="V231" s="3">
        <v>1</v>
      </c>
    </row>
    <row r="232" spans="1:22">
      <c r="A232" s="186"/>
      <c r="B232" s="186"/>
      <c r="C232" s="1309" t="s">
        <v>10172</v>
      </c>
      <c r="D232" s="9"/>
      <c r="E232" s="9"/>
      <c r="F232" s="9"/>
      <c r="G232" s="186"/>
      <c r="H232" s="186"/>
      <c r="I232" s="186"/>
      <c r="J232" s="186"/>
      <c r="K232" s="186"/>
      <c r="L232" s="186"/>
      <c r="M232" s="186"/>
      <c r="N232" s="186"/>
      <c r="O232" s="186"/>
      <c r="P232" s="186"/>
      <c r="Q232" s="186"/>
      <c r="R232" s="186"/>
      <c r="S232" s="186"/>
      <c r="T232" s="186"/>
      <c r="U232" s="186"/>
      <c r="V232" s="3">
        <v>1</v>
      </c>
    </row>
    <row r="233" spans="1:22">
      <c r="A233" s="186"/>
      <c r="B233" s="186"/>
      <c r="C233" s="1309" t="s">
        <v>10173</v>
      </c>
      <c r="D233" s="9"/>
      <c r="E233" s="9"/>
      <c r="F233" s="9"/>
      <c r="G233" s="186"/>
      <c r="H233" s="186"/>
      <c r="I233" s="186"/>
      <c r="J233" s="186"/>
      <c r="K233" s="186"/>
      <c r="L233" s="186"/>
      <c r="M233" s="186"/>
      <c r="N233" s="186"/>
      <c r="O233" s="186"/>
      <c r="P233" s="186"/>
      <c r="Q233" s="186"/>
      <c r="R233" s="186"/>
      <c r="S233" s="186"/>
      <c r="T233" s="186"/>
      <c r="U233" s="186"/>
      <c r="V233" s="3">
        <v>1</v>
      </c>
    </row>
    <row r="234" spans="1:22">
      <c r="A234" s="186"/>
      <c r="B234" s="186"/>
      <c r="C234" s="1309" t="s">
        <v>10174</v>
      </c>
      <c r="D234" s="9"/>
      <c r="E234" s="9"/>
      <c r="F234" s="9"/>
      <c r="G234" s="186"/>
      <c r="H234" s="186"/>
      <c r="I234" s="186"/>
      <c r="J234" s="186"/>
      <c r="K234" s="186"/>
      <c r="L234" s="186"/>
      <c r="M234" s="186"/>
      <c r="N234" s="186"/>
      <c r="O234" s="186"/>
      <c r="P234" s="186"/>
      <c r="Q234" s="186"/>
      <c r="R234" s="186"/>
      <c r="S234" s="186"/>
      <c r="T234" s="186"/>
      <c r="U234" s="186"/>
      <c r="V234" s="3">
        <v>1</v>
      </c>
    </row>
    <row r="235" spans="1:22">
      <c r="A235" s="186"/>
      <c r="B235" s="186"/>
      <c r="C235" s="1309" t="s">
        <v>10175</v>
      </c>
      <c r="D235" s="9"/>
      <c r="E235" s="9"/>
      <c r="F235" s="9"/>
      <c r="G235" s="186"/>
      <c r="H235" s="186"/>
      <c r="I235" s="186"/>
      <c r="J235" s="186"/>
      <c r="K235" s="186"/>
      <c r="L235" s="186"/>
      <c r="M235" s="186"/>
      <c r="N235" s="186"/>
      <c r="O235" s="186"/>
      <c r="P235" s="186"/>
      <c r="Q235" s="186"/>
      <c r="R235" s="186"/>
      <c r="S235" s="186"/>
      <c r="T235" s="186"/>
      <c r="U235" s="186"/>
      <c r="V235" s="3">
        <v>1</v>
      </c>
    </row>
    <row r="236" spans="1:22">
      <c r="A236" s="186"/>
      <c r="B236" s="186"/>
      <c r="C236" s="1309" t="s">
        <v>10176</v>
      </c>
      <c r="D236" s="9"/>
      <c r="E236" s="9"/>
      <c r="F236" s="9"/>
      <c r="G236" s="186"/>
      <c r="H236" s="186"/>
      <c r="I236" s="186"/>
      <c r="J236" s="186"/>
      <c r="K236" s="186"/>
      <c r="L236" s="186"/>
      <c r="M236" s="186"/>
      <c r="N236" s="186"/>
      <c r="O236" s="186"/>
      <c r="P236" s="186"/>
      <c r="Q236" s="186"/>
      <c r="R236" s="186"/>
      <c r="S236" s="186"/>
      <c r="T236" s="186"/>
      <c r="U236" s="186"/>
      <c r="V236" s="3">
        <v>1</v>
      </c>
    </row>
    <row r="237" spans="1:22">
      <c r="A237" s="186"/>
      <c r="B237" s="186"/>
      <c r="C237" s="1309" t="s">
        <v>10177</v>
      </c>
      <c r="D237" s="9"/>
      <c r="E237" s="9"/>
      <c r="F237" s="9"/>
      <c r="G237" s="186"/>
      <c r="H237" s="186"/>
      <c r="I237" s="186"/>
      <c r="J237" s="186"/>
      <c r="K237" s="186"/>
      <c r="L237" s="186"/>
      <c r="M237" s="186"/>
      <c r="N237" s="186"/>
      <c r="O237" s="186"/>
      <c r="P237" s="186"/>
      <c r="Q237" s="186"/>
      <c r="R237" s="186"/>
      <c r="S237" s="186"/>
      <c r="T237" s="186"/>
      <c r="U237" s="186"/>
      <c r="V237" s="3">
        <v>1</v>
      </c>
    </row>
    <row r="238" spans="1:22">
      <c r="A238" s="186"/>
      <c r="B238" s="186"/>
      <c r="C238" s="9"/>
      <c r="D238" s="9"/>
      <c r="E238" s="9"/>
      <c r="F238" s="9"/>
      <c r="G238" s="186"/>
      <c r="H238" s="186"/>
      <c r="I238" s="186"/>
      <c r="J238" s="186"/>
      <c r="K238" s="186"/>
      <c r="L238" s="186"/>
      <c r="M238" s="186"/>
      <c r="N238" s="186"/>
      <c r="O238" s="186"/>
      <c r="P238" s="186"/>
      <c r="Q238" s="186"/>
      <c r="R238" s="186"/>
      <c r="S238" s="186"/>
      <c r="T238" s="186"/>
      <c r="U238" s="186"/>
      <c r="V238" s="3">
        <v>1</v>
      </c>
    </row>
    <row r="239" spans="1:22" ht="23.25">
      <c r="A239" s="186"/>
      <c r="B239" s="186"/>
      <c r="C239" s="1314" t="s">
        <v>10178</v>
      </c>
      <c r="D239" s="9"/>
      <c r="E239" s="9"/>
      <c r="F239" s="9"/>
      <c r="G239" s="186"/>
      <c r="H239" s="186"/>
      <c r="I239" s="186"/>
      <c r="J239" s="186"/>
      <c r="K239" s="186"/>
      <c r="L239" s="186"/>
      <c r="M239" s="186"/>
      <c r="N239" s="186"/>
      <c r="O239" s="186"/>
      <c r="P239" s="186"/>
      <c r="Q239" s="186"/>
      <c r="R239" s="186"/>
      <c r="S239" s="186"/>
      <c r="T239" s="186"/>
      <c r="U239" s="186"/>
      <c r="V239" s="3">
        <v>1</v>
      </c>
    </row>
    <row r="240" spans="1:22">
      <c r="A240" s="186"/>
      <c r="B240" s="186"/>
      <c r="C240" s="9"/>
      <c r="D240" s="9"/>
      <c r="E240" s="9"/>
      <c r="F240" s="9"/>
      <c r="G240" s="186"/>
      <c r="H240" s="186"/>
      <c r="I240" s="186"/>
      <c r="J240" s="186"/>
      <c r="K240" s="186"/>
      <c r="L240" s="186"/>
      <c r="M240" s="186"/>
      <c r="N240" s="186"/>
      <c r="O240" s="186"/>
      <c r="P240" s="186"/>
      <c r="Q240" s="186"/>
      <c r="R240" s="186"/>
      <c r="S240" s="186"/>
      <c r="T240" s="186"/>
      <c r="U240" s="186"/>
      <c r="V240" s="3">
        <v>1</v>
      </c>
    </row>
    <row r="241" spans="1:22" ht="18">
      <c r="A241" s="186"/>
      <c r="B241" s="186"/>
      <c r="C241" s="1302" t="s">
        <v>10179</v>
      </c>
      <c r="D241" s="9"/>
      <c r="E241" s="9"/>
      <c r="F241" s="9"/>
      <c r="G241" s="186"/>
      <c r="H241" s="186"/>
      <c r="I241" s="186"/>
      <c r="J241" s="186"/>
      <c r="K241" s="186"/>
      <c r="L241" s="186"/>
      <c r="M241" s="186"/>
      <c r="N241" s="186"/>
      <c r="O241" s="186"/>
      <c r="P241" s="186"/>
      <c r="Q241" s="186"/>
      <c r="R241" s="186"/>
      <c r="S241" s="186"/>
      <c r="T241" s="186"/>
      <c r="U241" s="186"/>
      <c r="V241" s="3">
        <v>1</v>
      </c>
    </row>
    <row r="242" spans="1:22">
      <c r="A242" s="186"/>
      <c r="B242" s="186"/>
      <c r="C242" s="9"/>
      <c r="D242" s="9"/>
      <c r="E242" s="9"/>
      <c r="F242" s="9"/>
      <c r="G242" s="186"/>
      <c r="H242" s="186"/>
      <c r="I242" s="186"/>
      <c r="J242" s="186"/>
      <c r="K242" s="186"/>
      <c r="L242" s="186"/>
      <c r="M242" s="186"/>
      <c r="N242" s="186"/>
      <c r="O242" s="186"/>
      <c r="P242" s="186"/>
      <c r="Q242" s="186"/>
      <c r="R242" s="186"/>
      <c r="S242" s="186"/>
      <c r="T242" s="186"/>
      <c r="U242" s="186"/>
      <c r="V242" s="3">
        <v>1</v>
      </c>
    </row>
    <row r="243" spans="1:22">
      <c r="A243" s="186"/>
      <c r="B243" s="186"/>
      <c r="C243" s="9" t="s">
        <v>10180</v>
      </c>
      <c r="D243" s="9"/>
      <c r="E243" s="9"/>
      <c r="F243" s="9"/>
      <c r="G243" s="186"/>
      <c r="H243" s="186"/>
      <c r="I243" s="186"/>
      <c r="J243" s="186"/>
      <c r="K243" s="186"/>
      <c r="L243" s="186"/>
      <c r="M243" s="186"/>
      <c r="N243" s="186"/>
      <c r="O243" s="186"/>
      <c r="P243" s="186"/>
      <c r="Q243" s="186"/>
      <c r="R243" s="186"/>
      <c r="S243" s="186"/>
      <c r="T243" s="186"/>
      <c r="U243" s="186"/>
      <c r="V243" s="3">
        <v>1</v>
      </c>
    </row>
    <row r="244" spans="1:22">
      <c r="A244" s="186"/>
      <c r="B244" s="186"/>
      <c r="C244" s="1301"/>
      <c r="D244" s="9"/>
      <c r="E244" s="9"/>
      <c r="F244" s="9"/>
      <c r="G244" s="186"/>
      <c r="H244" s="186"/>
      <c r="I244" s="186"/>
      <c r="J244" s="186"/>
      <c r="K244" s="186"/>
      <c r="L244" s="186"/>
      <c r="M244" s="186"/>
      <c r="N244" s="186"/>
      <c r="O244" s="186"/>
      <c r="P244" s="186"/>
      <c r="Q244" s="186"/>
      <c r="R244" s="186"/>
      <c r="S244" s="186"/>
      <c r="T244" s="186"/>
      <c r="U244" s="186"/>
      <c r="V244" s="3">
        <v>1</v>
      </c>
    </row>
    <row r="245" spans="1:22">
      <c r="A245" s="186"/>
      <c r="B245" s="186"/>
      <c r="C245" s="1301" t="s">
        <v>10181</v>
      </c>
      <c r="D245" s="9"/>
      <c r="E245" s="9"/>
      <c r="F245" s="9"/>
      <c r="G245" s="186"/>
      <c r="H245" s="186"/>
      <c r="I245" s="186"/>
      <c r="J245" s="186"/>
      <c r="K245" s="186"/>
      <c r="L245" s="186"/>
      <c r="M245" s="186"/>
      <c r="N245" s="186"/>
      <c r="O245" s="186"/>
      <c r="P245" s="186"/>
      <c r="Q245" s="186"/>
      <c r="R245" s="186"/>
      <c r="S245" s="186"/>
      <c r="T245" s="186"/>
      <c r="U245" s="186"/>
      <c r="V245" s="3">
        <v>1</v>
      </c>
    </row>
    <row r="246" spans="1:22">
      <c r="A246" s="186"/>
      <c r="B246" s="186"/>
      <c r="C246" s="1301" t="s">
        <v>10182</v>
      </c>
      <c r="D246" s="9"/>
      <c r="E246" s="9"/>
      <c r="F246" s="9"/>
      <c r="G246" s="186"/>
      <c r="H246" s="186"/>
      <c r="I246" s="186"/>
      <c r="J246" s="186"/>
      <c r="K246" s="186"/>
      <c r="L246" s="186"/>
      <c r="M246" s="186"/>
      <c r="N246" s="186"/>
      <c r="O246" s="186"/>
      <c r="P246" s="186"/>
      <c r="Q246" s="186"/>
      <c r="R246" s="186"/>
      <c r="S246" s="186"/>
      <c r="T246" s="186"/>
      <c r="U246" s="186"/>
      <c r="V246" s="3">
        <v>1</v>
      </c>
    </row>
    <row r="247" spans="1:22">
      <c r="A247" s="186"/>
      <c r="B247" s="186"/>
      <c r="C247" s="1301" t="s">
        <v>10183</v>
      </c>
      <c r="D247" s="9"/>
      <c r="E247" s="9"/>
      <c r="F247" s="9"/>
      <c r="G247" s="186"/>
      <c r="H247" s="186"/>
      <c r="I247" s="186"/>
      <c r="J247" s="186"/>
      <c r="K247" s="186"/>
      <c r="L247" s="186"/>
      <c r="M247" s="186"/>
      <c r="N247" s="186"/>
      <c r="O247" s="186"/>
      <c r="P247" s="186"/>
      <c r="Q247" s="186"/>
      <c r="R247" s="186"/>
      <c r="S247" s="186"/>
      <c r="T247" s="186"/>
      <c r="U247" s="186"/>
      <c r="V247" s="3">
        <v>1</v>
      </c>
    </row>
    <row r="248" spans="1:22">
      <c r="A248" s="186"/>
      <c r="B248" s="186"/>
      <c r="C248" s="1301" t="s">
        <v>10184</v>
      </c>
      <c r="D248" s="9"/>
      <c r="E248" s="9"/>
      <c r="F248" s="9"/>
      <c r="G248" s="186"/>
      <c r="H248" s="186"/>
      <c r="I248" s="186"/>
      <c r="J248" s="186"/>
      <c r="K248" s="186"/>
      <c r="L248" s="186"/>
      <c r="M248" s="186"/>
      <c r="N248" s="186"/>
      <c r="O248" s="186"/>
      <c r="P248" s="186"/>
      <c r="Q248" s="186"/>
      <c r="R248" s="186"/>
      <c r="S248" s="186"/>
      <c r="T248" s="186"/>
      <c r="U248" s="186"/>
      <c r="V248" s="3">
        <v>1</v>
      </c>
    </row>
    <row r="249" spans="1:22">
      <c r="A249" s="186"/>
      <c r="B249" s="186"/>
      <c r="C249" s="9"/>
      <c r="D249" s="9"/>
      <c r="E249" s="9"/>
      <c r="F249" s="9"/>
      <c r="G249" s="186"/>
      <c r="H249" s="186"/>
      <c r="I249" s="186"/>
      <c r="J249" s="186"/>
      <c r="K249" s="186"/>
      <c r="L249" s="186"/>
      <c r="M249" s="186"/>
      <c r="N249" s="186"/>
      <c r="O249" s="186"/>
      <c r="P249" s="186"/>
      <c r="Q249" s="186"/>
      <c r="R249" s="186"/>
      <c r="S249" s="186"/>
      <c r="T249" s="186"/>
      <c r="U249" s="186"/>
      <c r="V249" s="3">
        <v>1</v>
      </c>
    </row>
    <row r="250" spans="1:22" ht="18">
      <c r="A250" s="186"/>
      <c r="B250" s="186"/>
      <c r="C250" s="1302" t="s">
        <v>10185</v>
      </c>
      <c r="D250" s="9"/>
      <c r="E250" s="9"/>
      <c r="F250" s="9"/>
      <c r="G250" s="186"/>
      <c r="H250" s="186"/>
      <c r="I250" s="186"/>
      <c r="J250" s="186"/>
      <c r="K250" s="186"/>
      <c r="L250" s="186"/>
      <c r="M250" s="186"/>
      <c r="N250" s="186"/>
      <c r="O250" s="186"/>
      <c r="P250" s="186"/>
      <c r="Q250" s="186"/>
      <c r="R250" s="186"/>
      <c r="S250" s="186"/>
      <c r="T250" s="186"/>
      <c r="U250" s="186"/>
      <c r="V250" s="3">
        <v>1</v>
      </c>
    </row>
    <row r="251" spans="1:22">
      <c r="A251" s="186"/>
      <c r="B251" s="186"/>
      <c r="C251" s="9"/>
      <c r="D251" s="9"/>
      <c r="E251" s="9"/>
      <c r="F251" s="9"/>
      <c r="G251" s="186"/>
      <c r="H251" s="186"/>
      <c r="I251" s="186"/>
      <c r="J251" s="186"/>
      <c r="K251" s="186"/>
      <c r="L251" s="186"/>
      <c r="M251" s="186"/>
      <c r="N251" s="186"/>
      <c r="O251" s="186"/>
      <c r="P251" s="186"/>
      <c r="Q251" s="186"/>
      <c r="R251" s="186"/>
      <c r="S251" s="186"/>
      <c r="T251" s="186"/>
      <c r="U251" s="186"/>
      <c r="V251" s="3">
        <v>1</v>
      </c>
    </row>
    <row r="252" spans="1:22">
      <c r="A252" s="186"/>
      <c r="B252" s="186"/>
      <c r="C252" s="9" t="s">
        <v>10186</v>
      </c>
      <c r="D252" s="9"/>
      <c r="E252" s="9"/>
      <c r="F252" s="9"/>
      <c r="G252" s="186"/>
      <c r="H252" s="186"/>
      <c r="I252" s="186"/>
      <c r="J252" s="186"/>
      <c r="K252" s="186"/>
      <c r="L252" s="186"/>
      <c r="M252" s="186"/>
      <c r="N252" s="186"/>
      <c r="O252" s="186"/>
      <c r="P252" s="186"/>
      <c r="Q252" s="186"/>
      <c r="R252" s="186"/>
      <c r="S252" s="186"/>
      <c r="T252" s="186"/>
      <c r="U252" s="186"/>
      <c r="V252" s="3">
        <v>1</v>
      </c>
    </row>
    <row r="253" spans="1:22">
      <c r="A253" s="186"/>
      <c r="B253" s="186"/>
      <c r="C253" s="1301"/>
      <c r="D253" s="9"/>
      <c r="E253" s="9"/>
      <c r="F253" s="9"/>
      <c r="G253" s="186"/>
      <c r="H253" s="186"/>
      <c r="I253" s="186"/>
      <c r="J253" s="186"/>
      <c r="K253" s="186"/>
      <c r="L253" s="186"/>
      <c r="M253" s="186"/>
      <c r="N253" s="186"/>
      <c r="O253" s="186"/>
      <c r="P253" s="186"/>
      <c r="Q253" s="186"/>
      <c r="R253" s="186"/>
      <c r="S253" s="186"/>
      <c r="T253" s="186"/>
      <c r="U253" s="186"/>
      <c r="V253" s="3">
        <v>1</v>
      </c>
    </row>
    <row r="254" spans="1:22">
      <c r="A254" s="186"/>
      <c r="B254" s="186"/>
      <c r="C254" s="1301" t="s">
        <v>10187</v>
      </c>
      <c r="D254" s="9"/>
      <c r="E254" s="9"/>
      <c r="F254" s="9"/>
      <c r="G254" s="186"/>
      <c r="H254" s="186"/>
      <c r="I254" s="186"/>
      <c r="J254" s="186"/>
      <c r="K254" s="186"/>
      <c r="L254" s="186"/>
      <c r="M254" s="186"/>
      <c r="N254" s="186"/>
      <c r="O254" s="186"/>
      <c r="P254" s="186"/>
      <c r="Q254" s="186"/>
      <c r="R254" s="186"/>
      <c r="S254" s="186"/>
      <c r="T254" s="186"/>
      <c r="U254" s="186"/>
      <c r="V254" s="3">
        <v>1</v>
      </c>
    </row>
    <row r="255" spans="1:22">
      <c r="A255" s="186"/>
      <c r="B255" s="186"/>
      <c r="C255" s="1301" t="s">
        <v>10188</v>
      </c>
      <c r="D255" s="9"/>
      <c r="E255" s="9"/>
      <c r="F255" s="9"/>
      <c r="G255" s="186"/>
      <c r="H255" s="186"/>
      <c r="I255" s="186"/>
      <c r="J255" s="186"/>
      <c r="K255" s="186"/>
      <c r="L255" s="186"/>
      <c r="M255" s="186"/>
      <c r="N255" s="186"/>
      <c r="O255" s="186"/>
      <c r="P255" s="186"/>
      <c r="Q255" s="186"/>
      <c r="R255" s="186"/>
      <c r="S255" s="186"/>
      <c r="T255" s="186"/>
      <c r="U255" s="186"/>
      <c r="V255" s="3">
        <v>1</v>
      </c>
    </row>
    <row r="256" spans="1:22">
      <c r="A256" s="186"/>
      <c r="B256" s="186"/>
      <c r="C256" s="9"/>
      <c r="D256" s="9"/>
      <c r="E256" s="9"/>
      <c r="F256" s="9"/>
      <c r="G256" s="186"/>
      <c r="H256" s="186"/>
      <c r="I256" s="186"/>
      <c r="J256" s="186"/>
      <c r="K256" s="186"/>
      <c r="L256" s="186"/>
      <c r="M256" s="186"/>
      <c r="N256" s="186"/>
      <c r="O256" s="186"/>
      <c r="P256" s="186"/>
      <c r="Q256" s="186"/>
      <c r="R256" s="186"/>
      <c r="S256" s="186"/>
      <c r="T256" s="186"/>
      <c r="U256" s="186"/>
      <c r="V256" s="3">
        <v>1</v>
      </c>
    </row>
    <row r="257" spans="1:22">
      <c r="A257" s="186"/>
      <c r="B257" s="186"/>
      <c r="C257" s="9" t="s">
        <v>10189</v>
      </c>
      <c r="D257" s="9"/>
      <c r="E257" s="9"/>
      <c r="F257" s="9"/>
      <c r="G257" s="186"/>
      <c r="H257" s="186"/>
      <c r="I257" s="186"/>
      <c r="J257" s="186"/>
      <c r="K257" s="186"/>
      <c r="L257" s="186"/>
      <c r="M257" s="186"/>
      <c r="N257" s="186"/>
      <c r="O257" s="186"/>
      <c r="P257" s="186"/>
      <c r="Q257" s="186"/>
      <c r="R257" s="186"/>
      <c r="S257" s="186"/>
      <c r="T257" s="186"/>
      <c r="U257" s="186"/>
      <c r="V257" s="3">
        <v>1</v>
      </c>
    </row>
    <row r="258" spans="1:22">
      <c r="A258" s="186"/>
      <c r="B258" s="186"/>
      <c r="C258" s="1301"/>
      <c r="D258" s="9"/>
      <c r="E258" s="9"/>
      <c r="F258" s="9"/>
      <c r="G258" s="186"/>
      <c r="H258" s="186"/>
      <c r="I258" s="186"/>
      <c r="J258" s="186"/>
      <c r="K258" s="186"/>
      <c r="L258" s="186"/>
      <c r="M258" s="186"/>
      <c r="N258" s="186"/>
      <c r="O258" s="186"/>
      <c r="P258" s="186"/>
      <c r="Q258" s="186"/>
      <c r="R258" s="186"/>
      <c r="S258" s="186"/>
      <c r="T258" s="186"/>
      <c r="U258" s="186"/>
      <c r="V258" s="3">
        <v>1</v>
      </c>
    </row>
    <row r="259" spans="1:22">
      <c r="A259" s="186"/>
      <c r="B259" s="186"/>
      <c r="C259" s="1301" t="s">
        <v>10190</v>
      </c>
      <c r="D259" s="9"/>
      <c r="E259" s="9"/>
      <c r="F259" s="9"/>
      <c r="G259" s="186"/>
      <c r="H259" s="186"/>
      <c r="I259" s="186"/>
      <c r="J259" s="186"/>
      <c r="K259" s="186"/>
      <c r="L259" s="186"/>
      <c r="M259" s="186"/>
      <c r="N259" s="186"/>
      <c r="O259" s="186"/>
      <c r="P259" s="186"/>
      <c r="Q259" s="186"/>
      <c r="R259" s="186"/>
      <c r="S259" s="186"/>
      <c r="T259" s="186"/>
      <c r="U259" s="186"/>
      <c r="V259" s="3">
        <v>1</v>
      </c>
    </row>
    <row r="260" spans="1:22">
      <c r="A260" s="186"/>
      <c r="B260" s="186"/>
      <c r="C260" s="1301"/>
      <c r="D260" s="9"/>
      <c r="E260" s="9"/>
      <c r="F260" s="9"/>
      <c r="G260" s="186"/>
      <c r="H260" s="186"/>
      <c r="I260" s="186"/>
      <c r="J260" s="186"/>
      <c r="K260" s="186"/>
      <c r="L260" s="186"/>
      <c r="M260" s="186"/>
      <c r="N260" s="186"/>
      <c r="O260" s="186"/>
      <c r="P260" s="186"/>
      <c r="Q260" s="186"/>
      <c r="R260" s="186"/>
      <c r="S260" s="186"/>
      <c r="T260" s="186"/>
      <c r="U260" s="186"/>
      <c r="V260" s="3">
        <v>1</v>
      </c>
    </row>
    <row r="261" spans="1:22">
      <c r="A261" s="186"/>
      <c r="B261" s="186"/>
      <c r="C261" s="1301" t="s">
        <v>10191</v>
      </c>
      <c r="D261" s="9"/>
      <c r="E261" s="9"/>
      <c r="F261" s="9"/>
      <c r="G261" s="186"/>
      <c r="H261" s="186"/>
      <c r="I261" s="186"/>
      <c r="J261" s="186"/>
      <c r="K261" s="186"/>
      <c r="L261" s="186"/>
      <c r="M261" s="186"/>
      <c r="N261" s="186"/>
      <c r="O261" s="186"/>
      <c r="P261" s="186"/>
      <c r="Q261" s="186"/>
      <c r="R261" s="186"/>
      <c r="S261" s="186"/>
      <c r="T261" s="186"/>
      <c r="U261" s="186"/>
      <c r="V261" s="3">
        <v>1</v>
      </c>
    </row>
    <row r="262" spans="1:22">
      <c r="A262" s="186"/>
      <c r="B262" s="186"/>
      <c r="C262" s="1301" t="s">
        <v>10192</v>
      </c>
      <c r="D262" s="9"/>
      <c r="E262" s="9"/>
      <c r="F262" s="9"/>
      <c r="G262" s="186"/>
      <c r="H262" s="186"/>
      <c r="I262" s="186"/>
      <c r="J262" s="186"/>
      <c r="K262" s="186"/>
      <c r="L262" s="186"/>
      <c r="M262" s="186"/>
      <c r="N262" s="186"/>
      <c r="O262" s="186"/>
      <c r="P262" s="186"/>
      <c r="Q262" s="186"/>
      <c r="R262" s="186"/>
      <c r="S262" s="186"/>
      <c r="T262" s="186"/>
      <c r="U262" s="186"/>
      <c r="V262" s="3">
        <v>1</v>
      </c>
    </row>
    <row r="263" spans="1:22">
      <c r="A263" s="186"/>
      <c r="B263" s="186"/>
      <c r="C263" s="1301" t="s">
        <v>10193</v>
      </c>
      <c r="D263" s="9"/>
      <c r="E263" s="9"/>
      <c r="F263" s="9"/>
      <c r="G263" s="186"/>
      <c r="H263" s="186"/>
      <c r="I263" s="186"/>
      <c r="J263" s="186"/>
      <c r="K263" s="186"/>
      <c r="L263" s="186"/>
      <c r="M263" s="186"/>
      <c r="N263" s="186"/>
      <c r="O263" s="186"/>
      <c r="P263" s="186"/>
      <c r="Q263" s="186"/>
      <c r="R263" s="186"/>
      <c r="S263" s="186"/>
      <c r="T263" s="186"/>
      <c r="U263" s="186"/>
      <c r="V263" s="3">
        <v>1</v>
      </c>
    </row>
    <row r="264" spans="1:22">
      <c r="A264" s="186"/>
      <c r="B264" s="186"/>
      <c r="C264" s="9"/>
      <c r="D264" s="9"/>
      <c r="E264" s="9"/>
      <c r="F264" s="9"/>
      <c r="G264" s="186"/>
      <c r="H264" s="186"/>
      <c r="I264" s="186"/>
      <c r="J264" s="186"/>
      <c r="K264" s="186"/>
      <c r="L264" s="186"/>
      <c r="M264" s="186"/>
      <c r="N264" s="186"/>
      <c r="O264" s="186"/>
      <c r="P264" s="186"/>
      <c r="Q264" s="186"/>
      <c r="R264" s="186"/>
      <c r="S264" s="186"/>
      <c r="T264" s="186"/>
      <c r="U264" s="186"/>
      <c r="V264" s="3">
        <v>1</v>
      </c>
    </row>
    <row r="265" spans="1:22" ht="18">
      <c r="A265" s="186"/>
      <c r="B265" s="186"/>
      <c r="C265" s="1302" t="s">
        <v>10194</v>
      </c>
      <c r="D265" s="9"/>
      <c r="E265" s="9"/>
      <c r="F265" s="9"/>
      <c r="G265" s="186"/>
      <c r="H265" s="186"/>
      <c r="I265" s="186"/>
      <c r="J265" s="186"/>
      <c r="K265" s="186"/>
      <c r="L265" s="186"/>
      <c r="M265" s="186"/>
      <c r="N265" s="186"/>
      <c r="O265" s="186"/>
      <c r="P265" s="186"/>
      <c r="Q265" s="186"/>
      <c r="R265" s="186"/>
      <c r="S265" s="186"/>
      <c r="T265" s="186"/>
      <c r="U265" s="186"/>
      <c r="V265" s="3">
        <v>1</v>
      </c>
    </row>
    <row r="266" spans="1:22">
      <c r="A266" s="186"/>
      <c r="B266" s="186"/>
      <c r="C266" s="1301"/>
      <c r="D266" s="9"/>
      <c r="E266" s="9"/>
      <c r="F266" s="9"/>
      <c r="G266" s="186"/>
      <c r="H266" s="186"/>
      <c r="I266" s="186"/>
      <c r="J266" s="186"/>
      <c r="K266" s="186"/>
      <c r="L266" s="186"/>
      <c r="M266" s="186"/>
      <c r="N266" s="186"/>
      <c r="O266" s="186"/>
      <c r="P266" s="186"/>
      <c r="Q266" s="186"/>
      <c r="R266" s="186"/>
      <c r="S266" s="186"/>
      <c r="T266" s="186"/>
      <c r="U266" s="186"/>
      <c r="V266" s="3">
        <v>1</v>
      </c>
    </row>
    <row r="267" spans="1:22">
      <c r="A267" s="186"/>
      <c r="B267" s="186"/>
      <c r="C267" s="1301" t="s">
        <v>10195</v>
      </c>
      <c r="D267" s="9"/>
      <c r="E267" s="9"/>
      <c r="F267" s="9"/>
      <c r="G267" s="186"/>
      <c r="H267" s="186"/>
      <c r="I267" s="186"/>
      <c r="J267" s="186"/>
      <c r="K267" s="186"/>
      <c r="L267" s="186"/>
      <c r="M267" s="186"/>
      <c r="N267" s="186"/>
      <c r="O267" s="186"/>
      <c r="P267" s="186"/>
      <c r="Q267" s="186"/>
      <c r="R267" s="186"/>
      <c r="S267" s="186"/>
      <c r="T267" s="186"/>
      <c r="U267" s="186"/>
      <c r="V267" s="3">
        <v>1</v>
      </c>
    </row>
    <row r="268" spans="1:22">
      <c r="A268" s="186"/>
      <c r="B268" s="186"/>
      <c r="C268" s="1301" t="s">
        <v>10196</v>
      </c>
      <c r="D268" s="9"/>
      <c r="E268" s="9"/>
      <c r="F268" s="9"/>
      <c r="G268" s="186"/>
      <c r="H268" s="186"/>
      <c r="I268" s="186"/>
      <c r="J268" s="186"/>
      <c r="K268" s="186"/>
      <c r="L268" s="186"/>
      <c r="M268" s="186"/>
      <c r="N268" s="186"/>
      <c r="O268" s="186"/>
      <c r="P268" s="186"/>
      <c r="Q268" s="186"/>
      <c r="R268" s="186"/>
      <c r="S268" s="186"/>
      <c r="T268" s="186"/>
      <c r="U268" s="186"/>
      <c r="V268" s="3">
        <v>1</v>
      </c>
    </row>
    <row r="269" spans="1:22">
      <c r="A269" s="186"/>
      <c r="B269" s="186"/>
      <c r="C269" s="9"/>
      <c r="D269" s="9"/>
      <c r="E269" s="9"/>
      <c r="F269" s="9"/>
      <c r="G269" s="186"/>
      <c r="H269" s="186"/>
      <c r="I269" s="186"/>
      <c r="J269" s="186"/>
      <c r="K269" s="186"/>
      <c r="L269" s="186"/>
      <c r="M269" s="186"/>
      <c r="N269" s="186"/>
      <c r="O269" s="186"/>
      <c r="P269" s="186"/>
      <c r="Q269" s="186"/>
      <c r="R269" s="186"/>
      <c r="S269" s="186"/>
      <c r="T269" s="186"/>
      <c r="U269" s="186"/>
      <c r="V269" s="3">
        <v>1</v>
      </c>
    </row>
    <row r="270" spans="1:22">
      <c r="A270" s="186"/>
      <c r="B270" s="186"/>
      <c r="C270" s="9" t="s">
        <v>10197</v>
      </c>
      <c r="D270" s="9"/>
      <c r="E270" s="9"/>
      <c r="F270" s="9"/>
      <c r="G270" s="186"/>
      <c r="H270" s="186"/>
      <c r="I270" s="186"/>
      <c r="J270" s="186"/>
      <c r="K270" s="186"/>
      <c r="L270" s="186"/>
      <c r="M270" s="186"/>
      <c r="N270" s="186"/>
      <c r="O270" s="186"/>
      <c r="P270" s="186"/>
      <c r="Q270" s="186"/>
      <c r="R270" s="186"/>
      <c r="S270" s="186"/>
      <c r="T270" s="186"/>
      <c r="U270" s="186"/>
      <c r="V270" s="3">
        <v>1</v>
      </c>
    </row>
    <row r="271" spans="1:22">
      <c r="A271" s="186"/>
      <c r="B271" s="186"/>
      <c r="C271" s="1301"/>
      <c r="D271" s="9"/>
      <c r="E271" s="9"/>
      <c r="F271" s="9"/>
      <c r="G271" s="186"/>
      <c r="H271" s="186"/>
      <c r="I271" s="186"/>
      <c r="J271" s="186"/>
      <c r="K271" s="186"/>
      <c r="L271" s="186"/>
      <c r="M271" s="186"/>
      <c r="N271" s="186"/>
      <c r="O271" s="186"/>
      <c r="P271" s="186"/>
      <c r="Q271" s="186"/>
      <c r="R271" s="186"/>
      <c r="S271" s="186"/>
      <c r="T271" s="186"/>
      <c r="U271" s="186"/>
      <c r="V271" s="3">
        <v>1</v>
      </c>
    </row>
    <row r="272" spans="1:22" ht="15.75">
      <c r="A272" s="186"/>
      <c r="B272" s="186"/>
      <c r="C272" s="1301" t="s">
        <v>10198</v>
      </c>
      <c r="D272" s="9"/>
      <c r="E272" s="9"/>
      <c r="F272" s="9"/>
      <c r="G272" s="186"/>
      <c r="H272" s="186"/>
      <c r="I272" s="186"/>
      <c r="J272" s="186"/>
      <c r="K272" s="186"/>
      <c r="L272" s="5726" t="s">
        <v>14223</v>
      </c>
      <c r="M272" s="1234"/>
      <c r="N272" s="186"/>
      <c r="O272" s="186"/>
      <c r="P272" s="186"/>
      <c r="Q272" s="186"/>
      <c r="R272" s="186"/>
      <c r="S272" s="186"/>
      <c r="T272" s="186"/>
      <c r="U272" s="186"/>
      <c r="V272" s="3">
        <v>1</v>
      </c>
    </row>
    <row r="273" spans="1:22" ht="15.75">
      <c r="A273" s="186"/>
      <c r="B273" s="186"/>
      <c r="C273" s="9"/>
      <c r="D273" s="9"/>
      <c r="E273" s="9"/>
      <c r="F273" s="9"/>
      <c r="G273" s="186"/>
      <c r="H273" s="186"/>
      <c r="I273" s="186"/>
      <c r="J273" s="186"/>
      <c r="K273" s="186"/>
      <c r="L273" s="5726" t="s">
        <v>14226</v>
      </c>
      <c r="M273" s="1234"/>
      <c r="N273" s="186"/>
      <c r="O273" s="186"/>
      <c r="P273" s="186"/>
      <c r="Q273" s="186"/>
      <c r="R273" s="186"/>
      <c r="S273" s="186"/>
      <c r="T273" s="186"/>
      <c r="U273" s="186"/>
      <c r="V273" s="3">
        <v>1</v>
      </c>
    </row>
    <row r="274" spans="1:22" ht="18">
      <c r="A274" s="186"/>
      <c r="B274" s="186"/>
      <c r="C274" s="1302" t="s">
        <v>10199</v>
      </c>
      <c r="D274" s="9"/>
      <c r="E274" s="9"/>
      <c r="F274" s="9"/>
      <c r="G274" s="186"/>
      <c r="H274" s="186"/>
      <c r="I274" s="186"/>
      <c r="J274" s="186"/>
      <c r="K274" s="186"/>
      <c r="L274" s="5726" t="s">
        <v>14229</v>
      </c>
      <c r="M274" s="1234"/>
      <c r="N274" s="186"/>
      <c r="O274" s="186"/>
      <c r="P274" s="186"/>
      <c r="Q274" s="186"/>
      <c r="R274" s="186"/>
      <c r="S274" s="186"/>
      <c r="T274" s="186"/>
      <c r="U274" s="186"/>
      <c r="V274" s="3">
        <v>1</v>
      </c>
    </row>
    <row r="275" spans="1:22" ht="15.75">
      <c r="A275" s="186"/>
      <c r="B275" s="186"/>
      <c r="C275" s="1301"/>
      <c r="D275" s="9"/>
      <c r="E275" s="9"/>
      <c r="F275" s="9"/>
      <c r="G275" s="186"/>
      <c r="H275" s="186"/>
      <c r="I275" s="186"/>
      <c r="J275" s="186"/>
      <c r="K275" s="186"/>
      <c r="L275" s="5726"/>
      <c r="M275" s="1234"/>
      <c r="N275" s="186"/>
      <c r="O275" s="186"/>
      <c r="P275" s="186"/>
      <c r="Q275" s="186"/>
      <c r="R275" s="186"/>
      <c r="S275" s="186"/>
      <c r="T275" s="186"/>
      <c r="U275" s="186"/>
      <c r="V275" s="3">
        <v>1</v>
      </c>
    </row>
    <row r="276" spans="1:22" ht="15.75">
      <c r="A276" s="186"/>
      <c r="B276" s="186"/>
      <c r="C276" s="1301" t="s">
        <v>10200</v>
      </c>
      <c r="D276" s="9"/>
      <c r="E276" s="9"/>
      <c r="F276" s="9"/>
      <c r="G276" s="186"/>
      <c r="H276" s="186"/>
      <c r="I276" s="186"/>
      <c r="J276" s="186"/>
      <c r="K276" s="186"/>
      <c r="L276" s="5726" t="s">
        <v>14232</v>
      </c>
      <c r="M276" s="1234"/>
      <c r="N276" s="186"/>
      <c r="O276" s="186"/>
      <c r="P276" s="186"/>
      <c r="Q276" s="186"/>
      <c r="R276" s="186"/>
      <c r="S276" s="186"/>
      <c r="T276" s="186"/>
      <c r="U276" s="186"/>
      <c r="V276" s="3">
        <v>1</v>
      </c>
    </row>
    <row r="277" spans="1:22" ht="15.75">
      <c r="A277" s="186"/>
      <c r="B277" s="186"/>
      <c r="C277" s="1301" t="s">
        <v>10201</v>
      </c>
      <c r="D277" s="9"/>
      <c r="E277" s="9"/>
      <c r="F277" s="9"/>
      <c r="G277" s="186"/>
      <c r="H277" s="186"/>
      <c r="I277" s="186"/>
      <c r="J277" s="186"/>
      <c r="K277" s="186"/>
      <c r="L277" s="5726" t="s">
        <v>14235</v>
      </c>
      <c r="M277" s="1234"/>
      <c r="N277" s="186"/>
      <c r="O277" s="186"/>
      <c r="P277" s="186"/>
      <c r="Q277" s="186"/>
      <c r="R277" s="186"/>
      <c r="S277" s="186"/>
      <c r="T277" s="186"/>
      <c r="U277" s="186"/>
      <c r="V277" s="3">
        <v>1</v>
      </c>
    </row>
    <row r="278" spans="1:22" ht="15.75">
      <c r="A278" s="186"/>
      <c r="B278" s="186"/>
      <c r="C278" s="1301" t="s">
        <v>10202</v>
      </c>
      <c r="D278" s="9"/>
      <c r="E278" s="9"/>
      <c r="F278" s="9"/>
      <c r="G278" s="186"/>
      <c r="H278" s="186"/>
      <c r="I278" s="186"/>
      <c r="J278" s="186"/>
      <c r="K278" s="186"/>
      <c r="L278" s="1256"/>
      <c r="M278" s="1234"/>
      <c r="N278" s="186"/>
      <c r="O278" s="186"/>
      <c r="P278" s="186"/>
      <c r="Q278" s="186"/>
      <c r="R278" s="186"/>
      <c r="S278" s="186"/>
      <c r="T278" s="186"/>
      <c r="U278" s="186"/>
      <c r="V278" s="3">
        <v>1</v>
      </c>
    </row>
    <row r="279" spans="1:22" ht="15.75">
      <c r="A279" s="186"/>
      <c r="B279" s="186"/>
      <c r="C279" s="9"/>
      <c r="D279" s="9"/>
      <c r="E279" s="9"/>
      <c r="F279" s="9"/>
      <c r="G279" s="186"/>
      <c r="H279" s="186"/>
      <c r="I279" s="186"/>
      <c r="J279" s="186"/>
      <c r="K279" s="186"/>
      <c r="L279" s="1256"/>
      <c r="M279" s="1234"/>
      <c r="N279" s="186"/>
      <c r="O279" s="186"/>
      <c r="P279" s="186"/>
      <c r="Q279" s="186"/>
      <c r="R279" s="186"/>
      <c r="S279" s="186"/>
      <c r="T279" s="186"/>
      <c r="U279" s="186"/>
      <c r="V279" s="3">
        <v>1</v>
      </c>
    </row>
    <row r="280" spans="1:22" ht="15.75">
      <c r="A280" s="186"/>
      <c r="B280" s="186"/>
      <c r="C280" s="9" t="s">
        <v>10203</v>
      </c>
      <c r="D280" s="9"/>
      <c r="E280" s="9"/>
      <c r="F280" s="9"/>
      <c r="G280" s="186"/>
      <c r="H280" s="186"/>
      <c r="I280" s="186"/>
      <c r="J280" s="186"/>
      <c r="K280" s="186"/>
      <c r="L280" s="5726" t="s">
        <v>14224</v>
      </c>
      <c r="M280" s="1234"/>
      <c r="N280" s="186"/>
      <c r="O280" s="186"/>
      <c r="P280" s="186"/>
      <c r="Q280" s="186"/>
      <c r="R280" s="186"/>
      <c r="S280" s="186"/>
      <c r="T280" s="186"/>
      <c r="U280" s="186"/>
      <c r="V280" s="3">
        <v>1</v>
      </c>
    </row>
    <row r="281" spans="1:22" ht="15.75">
      <c r="A281" s="186"/>
      <c r="B281" s="186"/>
      <c r="C281" s="1301"/>
      <c r="D281" s="9"/>
      <c r="E281" s="9"/>
      <c r="F281" s="9"/>
      <c r="G281" s="186"/>
      <c r="H281" s="186"/>
      <c r="I281" s="186"/>
      <c r="J281" s="186"/>
      <c r="K281" s="186"/>
      <c r="L281" s="5726" t="s">
        <v>14227</v>
      </c>
      <c r="M281" s="1234"/>
      <c r="N281" s="186"/>
      <c r="O281" s="186"/>
      <c r="P281" s="186"/>
      <c r="Q281" s="186"/>
      <c r="R281" s="186"/>
      <c r="S281" s="186"/>
      <c r="T281" s="186"/>
      <c r="U281" s="186"/>
      <c r="V281" s="3">
        <v>1</v>
      </c>
    </row>
    <row r="282" spans="1:22" ht="15.75">
      <c r="A282" s="186"/>
      <c r="B282" s="186"/>
      <c r="C282" s="1301" t="s">
        <v>10204</v>
      </c>
      <c r="D282" s="9"/>
      <c r="E282" s="9"/>
      <c r="F282" s="9"/>
      <c r="G282" s="186"/>
      <c r="H282" s="186"/>
      <c r="I282" s="186"/>
      <c r="J282" s="186"/>
      <c r="K282" s="186"/>
      <c r="L282" s="5726" t="s">
        <v>14230</v>
      </c>
      <c r="M282" s="1234"/>
      <c r="N282" s="186"/>
      <c r="O282" s="186"/>
      <c r="P282" s="186"/>
      <c r="Q282" s="186"/>
      <c r="R282" s="186"/>
      <c r="S282" s="186"/>
      <c r="T282" s="186"/>
      <c r="U282" s="186"/>
      <c r="V282" s="3">
        <v>1</v>
      </c>
    </row>
    <row r="283" spans="1:22" ht="15.75">
      <c r="A283" s="186"/>
      <c r="B283" s="186"/>
      <c r="C283" s="9"/>
      <c r="D283" s="9"/>
      <c r="E283" s="9"/>
      <c r="F283" s="9"/>
      <c r="G283" s="186"/>
      <c r="H283" s="186"/>
      <c r="I283" s="186"/>
      <c r="J283" s="186"/>
      <c r="K283" s="186"/>
      <c r="L283" s="5726"/>
      <c r="M283" s="1234"/>
      <c r="N283" s="186"/>
      <c r="O283" s="186"/>
      <c r="P283" s="186"/>
      <c r="Q283" s="186"/>
      <c r="R283" s="186"/>
      <c r="S283" s="186"/>
      <c r="T283" s="186"/>
      <c r="U283" s="186"/>
      <c r="V283" s="3">
        <v>1</v>
      </c>
    </row>
    <row r="284" spans="1:22" ht="18">
      <c r="A284" s="186"/>
      <c r="B284" s="186"/>
      <c r="C284" s="1302" t="s">
        <v>10205</v>
      </c>
      <c r="D284" s="9"/>
      <c r="E284" s="9"/>
      <c r="F284" s="9"/>
      <c r="G284" s="186"/>
      <c r="H284" s="186"/>
      <c r="I284" s="186"/>
      <c r="J284" s="186"/>
      <c r="K284" s="186"/>
      <c r="L284" s="5726" t="s">
        <v>14233</v>
      </c>
      <c r="M284" s="1234"/>
      <c r="N284" s="186"/>
      <c r="O284" s="186"/>
      <c r="P284" s="186"/>
      <c r="Q284" s="186"/>
      <c r="R284" s="186"/>
      <c r="S284" s="186"/>
      <c r="T284" s="186"/>
      <c r="U284" s="186"/>
      <c r="V284" s="3">
        <v>1</v>
      </c>
    </row>
    <row r="285" spans="1:22" ht="15.75">
      <c r="A285" s="186"/>
      <c r="B285" s="186"/>
      <c r="C285" s="9"/>
      <c r="D285" s="9"/>
      <c r="E285" s="9"/>
      <c r="F285" s="9"/>
      <c r="G285" s="186"/>
      <c r="H285" s="186"/>
      <c r="I285" s="186"/>
      <c r="J285" s="186"/>
      <c r="K285" s="186"/>
      <c r="L285" s="5726" t="s">
        <v>14236</v>
      </c>
      <c r="M285" s="1234"/>
      <c r="N285" s="186"/>
      <c r="O285" s="186"/>
      <c r="P285" s="186"/>
      <c r="Q285" s="186"/>
      <c r="R285" s="186"/>
      <c r="S285" s="186"/>
      <c r="T285" s="186"/>
      <c r="U285" s="186"/>
      <c r="V285" s="3">
        <v>1</v>
      </c>
    </row>
    <row r="286" spans="1:22" ht="15.75">
      <c r="A286" s="186"/>
      <c r="B286" s="186"/>
      <c r="C286" s="9" t="s">
        <v>10206</v>
      </c>
      <c r="D286" s="9"/>
      <c r="E286" s="9"/>
      <c r="F286" s="9"/>
      <c r="G286" s="186"/>
      <c r="H286" s="186"/>
      <c r="I286" s="186"/>
      <c r="J286" s="186"/>
      <c r="K286" s="186"/>
      <c r="L286" s="1256"/>
      <c r="M286" s="1234"/>
      <c r="N286" s="186"/>
      <c r="O286" s="186"/>
      <c r="P286" s="186"/>
      <c r="Q286" s="186"/>
      <c r="R286" s="186"/>
      <c r="S286" s="186"/>
      <c r="T286" s="186"/>
      <c r="U286" s="186"/>
      <c r="V286" s="3">
        <v>1</v>
      </c>
    </row>
    <row r="287" spans="1:22" ht="15.75">
      <c r="A287" s="186"/>
      <c r="B287" s="186"/>
      <c r="C287" s="1301"/>
      <c r="D287" s="9"/>
      <c r="E287" s="9"/>
      <c r="F287" s="9"/>
      <c r="G287" s="186"/>
      <c r="H287" s="186"/>
      <c r="I287" s="186"/>
      <c r="J287" s="186"/>
      <c r="K287" s="186"/>
      <c r="L287" s="1256"/>
      <c r="M287" s="1234"/>
      <c r="N287" s="186"/>
      <c r="O287" s="186"/>
      <c r="P287" s="186"/>
      <c r="Q287" s="186"/>
      <c r="R287" s="186"/>
      <c r="S287" s="186"/>
      <c r="T287" s="186"/>
      <c r="U287" s="186"/>
      <c r="V287" s="3">
        <v>1</v>
      </c>
    </row>
    <row r="288" spans="1:22" ht="15.75">
      <c r="A288" s="186"/>
      <c r="B288" s="186"/>
      <c r="C288" s="1301" t="s">
        <v>10207</v>
      </c>
      <c r="D288" s="9"/>
      <c r="E288" s="9"/>
      <c r="F288" s="9"/>
      <c r="G288" s="186"/>
      <c r="H288" s="186"/>
      <c r="I288" s="186"/>
      <c r="J288" s="186"/>
      <c r="K288" s="186"/>
      <c r="L288" s="5726" t="s">
        <v>14225</v>
      </c>
      <c r="M288" s="1234"/>
      <c r="N288" s="186"/>
      <c r="O288" s="186"/>
      <c r="P288" s="186"/>
      <c r="Q288" s="186"/>
      <c r="R288" s="186"/>
      <c r="S288" s="186"/>
      <c r="T288" s="186"/>
      <c r="U288" s="186"/>
      <c r="V288" s="3">
        <v>1</v>
      </c>
    </row>
    <row r="289" spans="1:22" ht="15.75">
      <c r="A289" s="186"/>
      <c r="B289" s="186"/>
      <c r="C289" s="9"/>
      <c r="D289" s="9"/>
      <c r="E289" s="9"/>
      <c r="F289" s="9"/>
      <c r="G289" s="186"/>
      <c r="H289" s="186"/>
      <c r="I289" s="186"/>
      <c r="J289" s="186"/>
      <c r="K289" s="186"/>
      <c r="L289" s="5726" t="s">
        <v>14228</v>
      </c>
      <c r="M289" s="1234"/>
      <c r="N289" s="186"/>
      <c r="O289" s="186"/>
      <c r="P289" s="186"/>
      <c r="Q289" s="186"/>
      <c r="R289" s="186"/>
      <c r="S289" s="186"/>
      <c r="T289" s="186"/>
      <c r="U289" s="186"/>
      <c r="V289" s="3">
        <v>1</v>
      </c>
    </row>
    <row r="290" spans="1:22" ht="15.75">
      <c r="A290" s="186"/>
      <c r="B290" s="186"/>
      <c r="C290" s="9" t="s">
        <v>10208</v>
      </c>
      <c r="D290" s="9"/>
      <c r="E290" s="9"/>
      <c r="F290" s="9"/>
      <c r="G290" s="186"/>
      <c r="H290" s="186"/>
      <c r="I290" s="186"/>
      <c r="J290" s="186"/>
      <c r="K290" s="186"/>
      <c r="L290" s="5726" t="s">
        <v>14231</v>
      </c>
      <c r="M290" s="1234"/>
      <c r="N290" s="186"/>
      <c r="O290" s="186"/>
      <c r="P290" s="186"/>
      <c r="Q290" s="186"/>
      <c r="R290" s="186"/>
      <c r="S290" s="186"/>
      <c r="T290" s="186"/>
      <c r="U290" s="186"/>
      <c r="V290" s="3">
        <v>1</v>
      </c>
    </row>
    <row r="291" spans="1:22" ht="15.75">
      <c r="A291" s="186"/>
      <c r="B291" s="186"/>
      <c r="C291" s="1301"/>
      <c r="D291" s="9"/>
      <c r="E291" s="9"/>
      <c r="F291" s="9"/>
      <c r="G291" s="186"/>
      <c r="H291" s="186"/>
      <c r="I291" s="186"/>
      <c r="J291" s="186"/>
      <c r="K291" s="186"/>
      <c r="L291" s="5726"/>
      <c r="M291" s="1234"/>
      <c r="N291" s="186"/>
      <c r="O291" s="186"/>
      <c r="P291" s="186"/>
      <c r="Q291" s="186"/>
      <c r="R291" s="186"/>
      <c r="S291" s="186"/>
      <c r="T291" s="186"/>
      <c r="U291" s="186"/>
      <c r="V291" s="3">
        <v>1</v>
      </c>
    </row>
    <row r="292" spans="1:22" ht="15.75">
      <c r="A292" s="186"/>
      <c r="B292" s="186"/>
      <c r="C292" s="1301" t="s">
        <v>10209</v>
      </c>
      <c r="D292" s="9"/>
      <c r="E292" s="9"/>
      <c r="F292" s="9"/>
      <c r="G292" s="186"/>
      <c r="H292" s="186"/>
      <c r="I292" s="186"/>
      <c r="J292" s="186"/>
      <c r="K292" s="186"/>
      <c r="L292" s="5726" t="s">
        <v>14234</v>
      </c>
      <c r="M292" s="1234"/>
      <c r="N292" s="186"/>
      <c r="O292" s="186"/>
      <c r="P292" s="186"/>
      <c r="Q292" s="186"/>
      <c r="R292" s="186"/>
      <c r="S292" s="186"/>
      <c r="T292" s="186"/>
      <c r="U292" s="186"/>
      <c r="V292" s="3">
        <v>1</v>
      </c>
    </row>
    <row r="293" spans="1:22" ht="15.75">
      <c r="A293" s="186"/>
      <c r="B293" s="186"/>
      <c r="C293" s="1301" t="s">
        <v>10210</v>
      </c>
      <c r="D293" s="9"/>
      <c r="E293" s="9"/>
      <c r="F293" s="9"/>
      <c r="G293" s="186"/>
      <c r="H293" s="186"/>
      <c r="I293" s="186"/>
      <c r="J293" s="186"/>
      <c r="K293" s="186"/>
      <c r="L293" s="5726" t="s">
        <v>14237</v>
      </c>
      <c r="M293" s="1234"/>
      <c r="N293" s="186"/>
      <c r="O293" s="186"/>
      <c r="P293" s="186"/>
      <c r="Q293" s="186"/>
      <c r="R293" s="186"/>
      <c r="S293" s="186"/>
      <c r="T293" s="186"/>
      <c r="U293" s="186"/>
      <c r="V293" s="3">
        <v>1</v>
      </c>
    </row>
    <row r="294" spans="1:22">
      <c r="A294" s="186"/>
      <c r="B294" s="186"/>
      <c r="C294" s="9"/>
      <c r="D294" s="9"/>
      <c r="E294" s="9"/>
      <c r="F294" s="9"/>
      <c r="G294" s="186"/>
      <c r="H294" s="186"/>
      <c r="I294" s="186"/>
      <c r="J294" s="186"/>
      <c r="K294" s="186"/>
      <c r="L294" s="186"/>
      <c r="M294" s="186"/>
      <c r="N294" s="186"/>
      <c r="O294" s="186"/>
      <c r="P294" s="186"/>
      <c r="Q294" s="186"/>
      <c r="R294" s="186"/>
      <c r="S294" s="186"/>
      <c r="T294" s="186"/>
      <c r="U294" s="186"/>
      <c r="V294" s="3">
        <v>1</v>
      </c>
    </row>
    <row r="295" spans="1:22" ht="18">
      <c r="A295" s="186"/>
      <c r="B295" s="186"/>
      <c r="C295" s="1302" t="s">
        <v>10211</v>
      </c>
      <c r="D295" s="9"/>
      <c r="E295" s="9"/>
      <c r="F295" s="9"/>
      <c r="G295" s="186"/>
      <c r="H295" s="186"/>
      <c r="I295" s="186"/>
      <c r="J295" s="186"/>
      <c r="K295" s="186"/>
      <c r="L295" s="186"/>
      <c r="M295" s="186"/>
      <c r="N295" s="186"/>
      <c r="O295" s="186"/>
      <c r="P295" s="186"/>
      <c r="Q295" s="186"/>
      <c r="R295" s="186"/>
      <c r="S295" s="186"/>
      <c r="T295" s="186"/>
      <c r="U295" s="186"/>
      <c r="V295" s="3">
        <v>1</v>
      </c>
    </row>
    <row r="296" spans="1:22">
      <c r="A296" s="186"/>
      <c r="B296" s="186"/>
      <c r="C296" s="1301"/>
      <c r="D296" s="9"/>
      <c r="E296" s="9"/>
      <c r="F296" s="9"/>
      <c r="G296" s="186"/>
      <c r="H296" s="186"/>
      <c r="I296" s="186"/>
      <c r="J296" s="186"/>
      <c r="K296" s="186"/>
      <c r="L296" s="186"/>
      <c r="M296" s="186"/>
      <c r="N296" s="186"/>
      <c r="O296" s="186"/>
      <c r="P296" s="186"/>
      <c r="Q296" s="186"/>
      <c r="R296" s="186"/>
      <c r="S296" s="186"/>
      <c r="T296" s="186"/>
      <c r="U296" s="186"/>
      <c r="V296" s="3">
        <v>1</v>
      </c>
    </row>
    <row r="297" spans="1:22">
      <c r="A297" s="186"/>
      <c r="B297" s="186"/>
      <c r="C297" s="1301" t="s">
        <v>10212</v>
      </c>
      <c r="D297" s="9"/>
      <c r="E297" s="9"/>
      <c r="F297" s="9"/>
      <c r="G297" s="186"/>
      <c r="H297" s="186"/>
      <c r="I297" s="186"/>
      <c r="J297" s="186"/>
      <c r="K297" s="186"/>
      <c r="L297" s="186"/>
      <c r="M297" s="186"/>
      <c r="N297" s="186"/>
      <c r="O297" s="186"/>
      <c r="P297" s="186"/>
      <c r="Q297" s="186"/>
      <c r="R297" s="186"/>
      <c r="S297" s="186"/>
      <c r="T297" s="186"/>
      <c r="U297" s="186"/>
      <c r="V297" s="3">
        <v>1</v>
      </c>
    </row>
    <row r="298" spans="1:22">
      <c r="A298" s="186"/>
      <c r="B298" s="186"/>
      <c r="C298" s="1301" t="s">
        <v>10213</v>
      </c>
      <c r="D298" s="9"/>
      <c r="E298" s="9"/>
      <c r="F298" s="9"/>
      <c r="G298" s="186"/>
      <c r="H298" s="186"/>
      <c r="I298" s="186"/>
      <c r="J298" s="186"/>
      <c r="K298" s="186"/>
      <c r="L298" s="186"/>
      <c r="M298" s="186"/>
      <c r="N298" s="186"/>
      <c r="O298" s="186"/>
      <c r="P298" s="186"/>
      <c r="Q298" s="186"/>
      <c r="R298" s="186"/>
      <c r="S298" s="186"/>
      <c r="T298" s="186"/>
      <c r="U298" s="186"/>
      <c r="V298" s="3">
        <v>1</v>
      </c>
    </row>
    <row r="299" spans="1:22">
      <c r="A299" s="186"/>
      <c r="B299" s="186"/>
      <c r="C299" s="9"/>
      <c r="D299" s="9"/>
      <c r="E299" s="9"/>
      <c r="F299" s="9"/>
      <c r="G299" s="186"/>
      <c r="H299" s="186"/>
      <c r="I299" s="186"/>
      <c r="J299" s="186"/>
      <c r="K299" s="186"/>
      <c r="L299" s="186"/>
      <c r="M299" s="186"/>
      <c r="N299" s="186"/>
      <c r="O299" s="186"/>
      <c r="P299" s="186"/>
      <c r="Q299" s="186"/>
      <c r="R299" s="186"/>
      <c r="S299" s="186"/>
      <c r="T299" s="186"/>
      <c r="U299" s="186"/>
      <c r="V299" s="3">
        <v>1</v>
      </c>
    </row>
    <row r="300" spans="1:22">
      <c r="A300" s="186"/>
      <c r="B300" s="186"/>
      <c r="C300" s="9"/>
      <c r="D300" s="9"/>
      <c r="E300" s="9"/>
      <c r="F300" s="9"/>
      <c r="G300" s="186"/>
      <c r="H300" s="186"/>
      <c r="I300" s="186"/>
      <c r="J300" s="186"/>
      <c r="K300" s="186"/>
      <c r="L300" s="186"/>
      <c r="M300" s="186"/>
      <c r="N300" s="186"/>
      <c r="O300" s="186"/>
      <c r="P300" s="186"/>
      <c r="Q300" s="186"/>
      <c r="R300" s="186"/>
      <c r="S300" s="186"/>
      <c r="T300" s="186"/>
      <c r="U300" s="186"/>
      <c r="V300" s="3">
        <v>1</v>
      </c>
    </row>
    <row r="301" spans="1:22">
      <c r="A301" s="186"/>
      <c r="B301" s="186"/>
      <c r="C301" s="9"/>
      <c r="D301" s="9"/>
      <c r="E301" s="9"/>
      <c r="F301" s="9"/>
      <c r="G301" s="186"/>
      <c r="H301" s="186"/>
      <c r="I301" s="186"/>
      <c r="J301" s="186"/>
      <c r="K301" s="186"/>
      <c r="L301" s="186"/>
      <c r="M301" s="186"/>
      <c r="N301" s="186"/>
      <c r="O301" s="186"/>
      <c r="P301" s="186"/>
      <c r="Q301" s="186"/>
      <c r="R301" s="186"/>
      <c r="S301" s="186"/>
      <c r="T301" s="186"/>
      <c r="U301" s="186"/>
      <c r="V301" s="3">
        <v>1</v>
      </c>
    </row>
    <row r="302" spans="1:22" ht="23.25">
      <c r="A302" s="186"/>
      <c r="B302" s="186"/>
      <c r="C302" s="1314" t="s">
        <v>10214</v>
      </c>
      <c r="D302" s="9"/>
      <c r="E302" s="9"/>
      <c r="F302" s="9"/>
      <c r="G302" s="186"/>
      <c r="H302" s="186"/>
      <c r="I302" s="186"/>
      <c r="J302" s="186"/>
      <c r="K302" s="186"/>
      <c r="L302" s="186"/>
      <c r="M302" s="186"/>
      <c r="N302" s="186"/>
      <c r="O302" s="186"/>
      <c r="P302" s="186"/>
      <c r="Q302" s="186"/>
      <c r="R302" s="186"/>
      <c r="S302" s="186"/>
      <c r="T302" s="186"/>
      <c r="U302" s="186"/>
      <c r="V302" s="3">
        <v>1</v>
      </c>
    </row>
    <row r="303" spans="1:22">
      <c r="A303" s="186"/>
      <c r="B303" s="186"/>
      <c r="C303" s="9"/>
      <c r="D303" s="9"/>
      <c r="E303" s="9"/>
      <c r="F303" s="9"/>
      <c r="G303" s="186"/>
      <c r="H303" s="186"/>
      <c r="I303" s="186"/>
      <c r="J303" s="186"/>
      <c r="K303" s="186"/>
      <c r="L303" s="186"/>
      <c r="M303" s="186"/>
      <c r="N303" s="186"/>
      <c r="O303" s="186"/>
      <c r="P303" s="186"/>
      <c r="Q303" s="186"/>
      <c r="R303" s="186"/>
      <c r="S303" s="186"/>
      <c r="T303" s="186"/>
      <c r="U303" s="186"/>
      <c r="V303" s="3">
        <v>1</v>
      </c>
    </row>
    <row r="304" spans="1:22">
      <c r="A304" s="186"/>
      <c r="B304" s="186"/>
      <c r="C304" s="2705" t="s">
        <v>10215</v>
      </c>
      <c r="D304" s="2705" t="s">
        <v>10216</v>
      </c>
      <c r="E304" s="2705" t="s">
        <v>10217</v>
      </c>
      <c r="F304" s="2705" t="s">
        <v>10218</v>
      </c>
      <c r="G304" s="186"/>
      <c r="H304" s="186"/>
      <c r="I304" s="186"/>
      <c r="J304" s="186"/>
      <c r="K304" s="186"/>
      <c r="L304" s="186"/>
      <c r="M304" s="186"/>
      <c r="N304" s="186"/>
      <c r="O304" s="186"/>
      <c r="P304" s="186"/>
      <c r="Q304" s="186"/>
      <c r="R304" s="186"/>
      <c r="S304" s="186"/>
      <c r="T304" s="186"/>
      <c r="U304" s="186"/>
      <c r="V304" s="3">
        <v>1</v>
      </c>
    </row>
    <row r="305" spans="1:22" ht="30">
      <c r="A305" s="186"/>
      <c r="B305" s="186"/>
      <c r="C305" s="1239" t="s">
        <v>10219</v>
      </c>
      <c r="D305" s="1239" t="s">
        <v>10220</v>
      </c>
      <c r="E305" s="1239" t="s">
        <v>10221</v>
      </c>
      <c r="F305" s="1239" t="s">
        <v>10222</v>
      </c>
      <c r="G305" s="186"/>
      <c r="H305" s="186"/>
      <c r="I305" s="186"/>
      <c r="J305" s="186"/>
      <c r="K305" s="186"/>
      <c r="L305" s="186"/>
      <c r="M305" s="186"/>
      <c r="N305" s="186"/>
      <c r="O305" s="186"/>
      <c r="P305" s="186"/>
      <c r="Q305" s="186"/>
      <c r="R305" s="186"/>
      <c r="S305" s="186"/>
      <c r="T305" s="186"/>
      <c r="U305" s="186"/>
      <c r="V305" s="3">
        <v>1</v>
      </c>
    </row>
    <row r="306" spans="1:22" ht="30">
      <c r="A306" s="186"/>
      <c r="B306" s="186"/>
      <c r="C306" s="1239" t="s">
        <v>8141</v>
      </c>
      <c r="D306" s="1239" t="s">
        <v>10223</v>
      </c>
      <c r="E306" s="1239" t="s">
        <v>10224</v>
      </c>
      <c r="F306" s="1239" t="s">
        <v>10225</v>
      </c>
      <c r="G306" s="186"/>
      <c r="H306" s="186"/>
      <c r="I306" s="186"/>
      <c r="J306" s="186"/>
      <c r="K306" s="186"/>
      <c r="L306" s="186"/>
      <c r="M306" s="186"/>
      <c r="N306" s="186"/>
      <c r="O306" s="186"/>
      <c r="P306" s="186"/>
      <c r="Q306" s="186"/>
      <c r="R306" s="186"/>
      <c r="S306" s="186"/>
      <c r="T306" s="186"/>
      <c r="U306" s="186"/>
      <c r="V306" s="3">
        <v>1</v>
      </c>
    </row>
    <row r="307" spans="1:22" ht="30">
      <c r="A307" s="186"/>
      <c r="B307" s="186"/>
      <c r="C307" s="1239" t="s">
        <v>10226</v>
      </c>
      <c r="D307" s="1239" t="s">
        <v>10227</v>
      </c>
      <c r="E307" s="1239" t="s">
        <v>10228</v>
      </c>
      <c r="F307" s="1239" t="s">
        <v>10229</v>
      </c>
      <c r="G307" s="186"/>
      <c r="H307" s="186"/>
      <c r="I307" s="186"/>
      <c r="J307" s="186"/>
      <c r="K307" s="186"/>
      <c r="L307" s="186"/>
      <c r="M307" s="186"/>
      <c r="N307" s="186"/>
      <c r="O307" s="186"/>
      <c r="P307" s="186"/>
      <c r="Q307" s="186"/>
      <c r="R307" s="186"/>
      <c r="S307" s="186"/>
      <c r="T307" s="186"/>
      <c r="U307" s="186"/>
      <c r="V307" s="3">
        <v>1</v>
      </c>
    </row>
    <row r="308" spans="1:22" ht="30">
      <c r="A308" s="186"/>
      <c r="B308" s="186"/>
      <c r="C308" s="1239" t="s">
        <v>10230</v>
      </c>
      <c r="D308" s="1239" t="s">
        <v>10231</v>
      </c>
      <c r="E308" s="1239" t="s">
        <v>10232</v>
      </c>
      <c r="F308" s="1239" t="s">
        <v>10233</v>
      </c>
      <c r="G308" s="186"/>
      <c r="H308" s="186"/>
      <c r="I308" s="186"/>
      <c r="J308" s="186"/>
      <c r="K308" s="186"/>
      <c r="L308" s="186"/>
      <c r="M308" s="186"/>
      <c r="N308" s="186"/>
      <c r="O308" s="186"/>
      <c r="P308" s="186"/>
      <c r="Q308" s="186"/>
      <c r="R308" s="186"/>
      <c r="S308" s="186"/>
      <c r="T308" s="186"/>
      <c r="U308" s="186"/>
      <c r="V308" s="3">
        <v>1</v>
      </c>
    </row>
    <row r="309" spans="1:22" ht="30">
      <c r="A309" s="186"/>
      <c r="B309" s="186"/>
      <c r="C309" s="1239" t="s">
        <v>452</v>
      </c>
      <c r="D309" s="1239" t="s">
        <v>10227</v>
      </c>
      <c r="E309" s="1239" t="s">
        <v>10234</v>
      </c>
      <c r="F309" s="1239" t="s">
        <v>10235</v>
      </c>
      <c r="G309" s="186"/>
      <c r="H309" s="186"/>
      <c r="I309" s="186"/>
      <c r="J309" s="186"/>
      <c r="K309" s="186"/>
      <c r="L309" s="186"/>
      <c r="M309" s="186"/>
      <c r="N309" s="186"/>
      <c r="O309" s="186"/>
      <c r="P309" s="186"/>
      <c r="Q309" s="186"/>
      <c r="R309" s="186"/>
      <c r="S309" s="186"/>
      <c r="T309" s="186"/>
      <c r="U309" s="186"/>
      <c r="V309" s="3">
        <v>1</v>
      </c>
    </row>
    <row r="310" spans="1:22" ht="30">
      <c r="A310" s="186"/>
      <c r="B310" s="186"/>
      <c r="C310" s="1239" t="s">
        <v>10236</v>
      </c>
      <c r="D310" s="1239" t="s">
        <v>10237</v>
      </c>
      <c r="E310" s="1239" t="s">
        <v>10238</v>
      </c>
      <c r="F310" s="1239" t="s">
        <v>10239</v>
      </c>
      <c r="G310" s="186"/>
      <c r="H310" s="186"/>
      <c r="I310" s="186"/>
      <c r="J310" s="186"/>
      <c r="K310" s="186"/>
      <c r="L310" s="186"/>
      <c r="M310" s="186"/>
      <c r="N310" s="186"/>
      <c r="O310" s="186"/>
      <c r="P310" s="186"/>
      <c r="Q310" s="186"/>
      <c r="R310" s="186"/>
      <c r="S310" s="186"/>
      <c r="T310" s="186"/>
      <c r="U310" s="186"/>
      <c r="V310" s="3">
        <v>1</v>
      </c>
    </row>
    <row r="311" spans="1:22">
      <c r="A311" s="186"/>
      <c r="B311" s="186"/>
      <c r="C311" s="9"/>
      <c r="D311" s="9"/>
      <c r="E311" s="9"/>
      <c r="F311" s="9"/>
      <c r="G311" s="186"/>
      <c r="H311" s="186"/>
      <c r="I311" s="186"/>
      <c r="J311" s="186"/>
      <c r="K311" s="186"/>
      <c r="L311" s="186"/>
      <c r="M311" s="186"/>
      <c r="N311" s="186"/>
      <c r="O311" s="186"/>
      <c r="P311" s="186"/>
      <c r="Q311" s="186"/>
      <c r="R311" s="186"/>
      <c r="S311" s="186"/>
      <c r="T311" s="186"/>
      <c r="U311" s="186"/>
      <c r="V311" s="3">
        <v>1</v>
      </c>
    </row>
    <row r="312" spans="1:22">
      <c r="A312" s="186"/>
      <c r="B312" s="186"/>
      <c r="C312" s="9"/>
      <c r="D312" s="9"/>
      <c r="E312" s="9"/>
      <c r="F312" s="9"/>
      <c r="G312" s="186"/>
      <c r="H312" s="186"/>
      <c r="I312" s="186"/>
      <c r="J312" s="186"/>
      <c r="K312" s="186"/>
      <c r="L312" s="186"/>
      <c r="M312" s="186"/>
      <c r="N312" s="186"/>
      <c r="O312" s="186"/>
      <c r="P312" s="186"/>
      <c r="Q312" s="186"/>
      <c r="R312" s="186"/>
      <c r="S312" s="186"/>
      <c r="T312" s="186"/>
      <c r="U312" s="186"/>
      <c r="V312" s="3">
        <v>1</v>
      </c>
    </row>
    <row r="313" spans="1:22">
      <c r="A313" s="186"/>
      <c r="B313" s="186"/>
      <c r="C313" s="9" t="s">
        <v>10240</v>
      </c>
      <c r="D313" s="9"/>
      <c r="E313" s="9"/>
      <c r="F313" s="9"/>
      <c r="G313" s="186"/>
      <c r="H313" s="186"/>
      <c r="I313" s="186"/>
      <c r="J313" s="186"/>
      <c r="K313" s="186"/>
      <c r="L313" s="186"/>
      <c r="M313" s="186"/>
      <c r="N313" s="186"/>
      <c r="O313" s="186"/>
      <c r="P313" s="186"/>
      <c r="Q313" s="186"/>
      <c r="R313" s="186"/>
      <c r="S313" s="186"/>
      <c r="T313" s="186"/>
      <c r="U313" s="186"/>
      <c r="V313" s="3">
        <v>1</v>
      </c>
    </row>
    <row r="314" spans="1:22">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3">
        <v>1</v>
      </c>
    </row>
    <row r="315" spans="1:22">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3">
        <v>1</v>
      </c>
    </row>
    <row r="316" spans="1:22">
      <c r="A316" s="3">
        <v>1</v>
      </c>
      <c r="B316" s="3">
        <v>1</v>
      </c>
      <c r="C316" s="3">
        <v>1</v>
      </c>
      <c r="D316" s="3">
        <v>1</v>
      </c>
      <c r="E316" s="3">
        <v>1</v>
      </c>
      <c r="F316" s="3">
        <v>1</v>
      </c>
      <c r="G316" s="3">
        <v>1</v>
      </c>
      <c r="H316" s="3">
        <v>1</v>
      </c>
      <c r="I316" s="3">
        <v>1</v>
      </c>
      <c r="J316" s="3">
        <v>1</v>
      </c>
      <c r="K316" s="3">
        <v>1</v>
      </c>
      <c r="L316" s="3">
        <v>1</v>
      </c>
      <c r="M316" s="3">
        <v>1</v>
      </c>
      <c r="N316" s="3">
        <v>1</v>
      </c>
      <c r="O316" s="3">
        <v>1</v>
      </c>
      <c r="P316" s="3">
        <v>1</v>
      </c>
      <c r="Q316" s="3">
        <v>1</v>
      </c>
      <c r="R316" s="3">
        <v>1</v>
      </c>
      <c r="S316" s="3">
        <v>1</v>
      </c>
      <c r="T316" s="3">
        <v>1</v>
      </c>
      <c r="U316" s="3">
        <v>1</v>
      </c>
      <c r="V316" s="1148" t="s">
        <v>793</v>
      </c>
    </row>
  </sheetData>
  <mergeCells count="1">
    <mergeCell ref="H4:O5"/>
  </mergeCells>
  <hyperlinks>
    <hyperlink ref="C201" r:id="rId1" xr:uid="{1315C8AD-9A5D-4061-A031-6C4FDD21EB15}"/>
    <hyperlink ref="C207" r:id="rId2" xr:uid="{775EF3B4-51FD-4428-88DB-F9617A482C50}"/>
    <hyperlink ref="C204" r:id="rId3" xr:uid="{16C02F13-F419-4D2E-93C6-E5BEA356F2E2}"/>
    <hyperlink ref="N207" r:id="rId4" xr:uid="{169871EE-430F-431B-BB56-30DF1AFA43CF}"/>
    <hyperlink ref="D209" r:id="rId5" xr:uid="{B9D764FA-F344-4579-B066-2DEA7075D352}"/>
    <hyperlink ref="D218" r:id="rId6" xr:uid="{A35280F3-AA86-465C-B6ED-38E5723F9A7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EFC62-60DB-4529-A8AD-5A33B6FE3749}">
  <dimension ref="A1:AA497"/>
  <sheetViews>
    <sheetView zoomScaleNormal="100" workbookViewId="0">
      <selection activeCell="A12" sqref="A12"/>
    </sheetView>
  </sheetViews>
  <sheetFormatPr baseColWidth="10" defaultColWidth="11.42578125" defaultRowHeight="15.75"/>
  <cols>
    <col min="1" max="1" width="6.5703125" style="2354" customWidth="1"/>
    <col min="2" max="2" width="11.42578125" style="2354"/>
    <col min="3" max="3" width="15.5703125" style="2354" customWidth="1"/>
    <col min="4" max="4" width="11.42578125" style="2354"/>
    <col min="5" max="5" width="16.28515625" style="2354" customWidth="1"/>
    <col min="6" max="6" width="13.85546875" style="2354" customWidth="1"/>
    <col min="7" max="7" width="14.7109375" style="2354" customWidth="1"/>
    <col min="8" max="8" width="13.85546875" style="2354" customWidth="1"/>
    <col min="9" max="14" width="11.42578125" style="2354"/>
    <col min="15" max="15" width="19.42578125" style="2354" customWidth="1"/>
    <col min="16" max="17" width="11.42578125" style="2354"/>
    <col min="18" max="18" width="16.42578125" style="2354" customWidth="1"/>
    <col min="19" max="20" width="11.42578125" style="2354"/>
    <col min="21" max="21" width="13.7109375" style="2354" customWidth="1"/>
    <col min="22" max="16384" width="11.42578125" style="2354"/>
  </cols>
  <sheetData>
    <row r="1" spans="1:27" ht="21" customHeight="1" thickTop="1">
      <c r="A1" s="2" t="str">
        <f t="shared" ref="A1:Q1" si="0">SUBSTITUTE(ADDRESS(1,COLUMN(),4),"1","")</f>
        <v>A</v>
      </c>
      <c r="B1" s="2" t="str">
        <f t="shared" si="0"/>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54"/>
      <c r="S1" s="54"/>
      <c r="T1" s="54"/>
      <c r="U1" s="54"/>
      <c r="V1" s="54"/>
      <c r="W1" s="54"/>
      <c r="X1" s="54"/>
      <c r="Y1" s="54"/>
      <c r="Z1" s="54"/>
      <c r="AA1" s="3">
        <v>1</v>
      </c>
    </row>
    <row r="2" spans="1:27" ht="21" customHeight="1">
      <c r="A2" s="694">
        <f t="shared" ref="A2:Q2" ca="1" si="1">CELL("largeur",A2)</f>
        <v>6</v>
      </c>
      <c r="B2" s="694">
        <f t="shared" ca="1" si="1"/>
        <v>11</v>
      </c>
      <c r="C2" s="694">
        <f t="shared" ca="1" si="1"/>
        <v>15</v>
      </c>
      <c r="D2" s="694">
        <f t="shared" ca="1" si="1"/>
        <v>11</v>
      </c>
      <c r="E2" s="694">
        <f t="shared" ca="1" si="1"/>
        <v>16</v>
      </c>
      <c r="F2" s="694">
        <f t="shared" ca="1" si="1"/>
        <v>13</v>
      </c>
      <c r="G2" s="694">
        <f t="shared" ca="1" si="1"/>
        <v>14</v>
      </c>
      <c r="H2" s="694">
        <f t="shared" ca="1" si="1"/>
        <v>13</v>
      </c>
      <c r="I2" s="694">
        <f t="shared" ca="1" si="1"/>
        <v>11</v>
      </c>
      <c r="J2" s="694">
        <f t="shared" ca="1" si="1"/>
        <v>11</v>
      </c>
      <c r="K2" s="694">
        <f t="shared" ca="1" si="1"/>
        <v>11</v>
      </c>
      <c r="L2" s="694">
        <f t="shared" ca="1" si="1"/>
        <v>11</v>
      </c>
      <c r="M2" s="694">
        <f t="shared" ca="1" si="1"/>
        <v>11</v>
      </c>
      <c r="N2" s="694">
        <f t="shared" ca="1" si="1"/>
        <v>11</v>
      </c>
      <c r="O2" s="694">
        <f t="shared" ca="1" si="1"/>
        <v>19</v>
      </c>
      <c r="P2" s="694">
        <f t="shared" ca="1" si="1"/>
        <v>11</v>
      </c>
      <c r="Q2" s="694">
        <f t="shared" ca="1" si="1"/>
        <v>11</v>
      </c>
      <c r="R2" s="54"/>
      <c r="S2" s="54"/>
      <c r="T2" s="54"/>
      <c r="U2" s="54"/>
      <c r="V2" s="54"/>
      <c r="W2" s="54"/>
      <c r="X2" s="54"/>
      <c r="Y2" s="54"/>
      <c r="Z2" s="54"/>
      <c r="AA2" s="3">
        <v>1</v>
      </c>
    </row>
    <row r="3" spans="1:27" ht="21" customHeight="1">
      <c r="A3" s="2069">
        <v>6</v>
      </c>
      <c r="B3" s="2069">
        <v>11</v>
      </c>
      <c r="C3" s="2069">
        <v>15</v>
      </c>
      <c r="D3" s="2069">
        <v>11</v>
      </c>
      <c r="E3" s="2069">
        <v>16</v>
      </c>
      <c r="F3" s="2069">
        <v>13</v>
      </c>
      <c r="G3" s="2069">
        <v>14</v>
      </c>
      <c r="H3" s="2069">
        <v>13</v>
      </c>
      <c r="I3" s="2069">
        <v>11</v>
      </c>
      <c r="J3" s="2069">
        <v>11</v>
      </c>
      <c r="K3" s="2069">
        <v>11</v>
      </c>
      <c r="L3" s="2069">
        <v>11</v>
      </c>
      <c r="M3" s="2069">
        <v>11</v>
      </c>
      <c r="N3" s="2069">
        <v>11</v>
      </c>
      <c r="O3" s="2069">
        <v>19</v>
      </c>
      <c r="P3" s="2069">
        <v>11</v>
      </c>
      <c r="Q3" s="2069">
        <v>11</v>
      </c>
      <c r="R3" s="54"/>
      <c r="S3" s="54"/>
      <c r="T3" s="54"/>
      <c r="U3" s="54"/>
      <c r="V3" s="54"/>
      <c r="W3" s="54"/>
      <c r="X3" s="54"/>
      <c r="Y3" s="54"/>
      <c r="Z3" s="54"/>
      <c r="AA3" s="3">
        <v>1</v>
      </c>
    </row>
    <row r="4" spans="1:27" s="2684" customFormat="1" ht="43.5" customHeight="1">
      <c r="A4" s="2682">
        <f>(ROW())</f>
        <v>4</v>
      </c>
      <c r="B4" s="7625" t="s">
        <v>10241</v>
      </c>
      <c r="C4" s="7625"/>
      <c r="D4" s="7625"/>
      <c r="E4" s="7625"/>
      <c r="F4" s="7625"/>
      <c r="G4" s="7625"/>
      <c r="H4" s="7625"/>
      <c r="I4" s="7625"/>
      <c r="J4" s="7625"/>
      <c r="K4" s="7625"/>
      <c r="L4" s="7625"/>
      <c r="M4" s="7625"/>
      <c r="N4" s="7625"/>
      <c r="O4" s="7625"/>
      <c r="P4" s="7625"/>
      <c r="Q4" s="7625"/>
      <c r="R4" s="54"/>
      <c r="S4" s="54"/>
      <c r="T4" s="5433" t="s">
        <v>1491</v>
      </c>
      <c r="U4" s="1" t="str">
        <f>AA497</f>
        <v>AA497</v>
      </c>
      <c r="V4" s="54"/>
      <c r="W4" s="54"/>
      <c r="X4" s="54"/>
      <c r="Y4" s="54"/>
      <c r="Z4" s="54"/>
      <c r="AA4" s="3">
        <v>1</v>
      </c>
    </row>
    <row r="5" spans="1:27" s="2684" customFormat="1" ht="21" customHeight="1">
      <c r="A5" s="54"/>
      <c r="B5" s="54"/>
      <c r="C5" s="54"/>
      <c r="D5" s="54"/>
      <c r="E5" s="54"/>
      <c r="F5" s="54"/>
      <c r="G5" s="54"/>
      <c r="H5" s="54"/>
      <c r="I5" s="54"/>
      <c r="J5" s="54"/>
      <c r="K5" s="54"/>
      <c r="L5" s="54"/>
      <c r="M5" s="54"/>
      <c r="N5" s="54"/>
      <c r="O5" s="54"/>
      <c r="P5" s="54"/>
      <c r="Q5" s="54"/>
      <c r="R5" s="54"/>
      <c r="S5" s="54"/>
      <c r="T5" s="54"/>
      <c r="U5" s="54"/>
      <c r="V5" s="54"/>
      <c r="W5" s="54"/>
      <c r="X5" s="54"/>
      <c r="Y5" s="54"/>
      <c r="Z5" s="54"/>
      <c r="AA5" s="3">
        <v>1</v>
      </c>
    </row>
    <row r="6" spans="1:27" s="2684" customFormat="1" ht="21" customHeight="1">
      <c r="A6" s="54"/>
      <c r="B6" s="54"/>
      <c r="C6" s="2709" t="s">
        <v>10242</v>
      </c>
      <c r="D6" s="2709"/>
      <c r="E6" s="54"/>
      <c r="F6" s="54"/>
      <c r="G6" s="54"/>
      <c r="H6" s="54"/>
      <c r="I6" s="54"/>
      <c r="J6" s="2711" t="s">
        <v>10243</v>
      </c>
      <c r="K6" s="2712"/>
      <c r="L6" s="54"/>
      <c r="M6" s="54"/>
      <c r="N6" s="54"/>
      <c r="O6" s="54"/>
      <c r="P6" s="54"/>
      <c r="Q6" s="2713" t="str">
        <f ca="1">"Page N°"&amp;_xlfn.SHEET()</f>
        <v>Page N°24</v>
      </c>
      <c r="R6" s="54"/>
      <c r="S6" s="54"/>
      <c r="T6" s="54"/>
      <c r="U6" s="54"/>
      <c r="V6" s="54"/>
      <c r="W6" s="54"/>
      <c r="X6" s="54"/>
      <c r="Y6" s="54"/>
      <c r="Z6" s="54"/>
      <c r="AA6" s="3">
        <v>1</v>
      </c>
    </row>
    <row r="7" spans="1:27" s="2684" customFormat="1" ht="21" customHeight="1">
      <c r="A7" s="54"/>
      <c r="B7" s="54"/>
      <c r="C7" s="2714" t="str">
        <f>B56</f>
        <v>B56</v>
      </c>
      <c r="D7" s="2715" t="s">
        <v>9521</v>
      </c>
      <c r="E7" s="54"/>
      <c r="F7" s="54"/>
      <c r="G7" s="54"/>
      <c r="H7" s="54"/>
      <c r="I7" s="54"/>
      <c r="J7" s="2714" t="str">
        <f>J56</f>
        <v>J56</v>
      </c>
      <c r="K7" s="2715" t="s">
        <v>9521</v>
      </c>
      <c r="L7" s="54"/>
      <c r="M7" s="54"/>
      <c r="N7" s="54"/>
      <c r="O7" s="54"/>
      <c r="P7" s="54"/>
      <c r="Q7" s="2707"/>
      <c r="R7" s="54"/>
      <c r="S7" s="54"/>
      <c r="T7" s="54"/>
      <c r="U7" s="54"/>
      <c r="V7" s="54"/>
      <c r="W7" s="54"/>
      <c r="X7" s="54"/>
      <c r="Y7" s="54"/>
      <c r="Z7" s="54"/>
      <c r="AA7" s="3">
        <v>1</v>
      </c>
    </row>
    <row r="8" spans="1:27" s="2684" customFormat="1" ht="21" customHeight="1">
      <c r="A8" s="54"/>
      <c r="B8" s="54"/>
      <c r="C8" s="54"/>
      <c r="D8" s="54"/>
      <c r="E8" s="54"/>
      <c r="F8" s="54"/>
      <c r="G8" s="54"/>
      <c r="H8" s="54"/>
      <c r="I8" s="54"/>
      <c r="J8" s="54"/>
      <c r="K8" s="54"/>
      <c r="L8" s="54"/>
      <c r="M8" s="54"/>
      <c r="N8" s="54"/>
      <c r="O8" s="54"/>
      <c r="P8" s="54"/>
      <c r="Q8" s="54"/>
      <c r="R8" s="54"/>
      <c r="S8" s="54"/>
      <c r="T8" s="54"/>
      <c r="U8" s="54"/>
      <c r="V8" s="54"/>
      <c r="W8" s="54"/>
      <c r="X8" s="54"/>
      <c r="Y8" s="54"/>
      <c r="Z8" s="54"/>
      <c r="AA8" s="3">
        <v>1</v>
      </c>
    </row>
    <row r="9" spans="1:27" s="2684" customFormat="1" ht="21" customHeight="1">
      <c r="A9" s="54"/>
      <c r="B9" s="54"/>
      <c r="C9" s="2709" t="s">
        <v>10244</v>
      </c>
      <c r="D9" s="2710"/>
      <c r="E9" s="54"/>
      <c r="F9" s="54"/>
      <c r="G9" s="54"/>
      <c r="H9" s="54"/>
      <c r="I9" s="54"/>
      <c r="J9" s="2709" t="s">
        <v>10245</v>
      </c>
      <c r="K9" s="2717"/>
      <c r="L9" s="54"/>
      <c r="M9" s="54"/>
      <c r="N9" s="54"/>
      <c r="O9" s="54"/>
      <c r="P9" s="54"/>
      <c r="Q9" s="2707"/>
      <c r="R9" s="54"/>
      <c r="S9" s="54"/>
      <c r="T9" s="54"/>
      <c r="U9" s="54"/>
      <c r="V9" s="54"/>
      <c r="W9" s="54"/>
      <c r="X9" s="54"/>
      <c r="Y9" s="54"/>
      <c r="Z9" s="54"/>
      <c r="AA9" s="3">
        <v>1</v>
      </c>
    </row>
    <row r="10" spans="1:27" s="2684" customFormat="1" ht="21" customHeight="1">
      <c r="A10" s="54"/>
      <c r="B10" s="54"/>
      <c r="C10" s="2714" t="str">
        <f>B73</f>
        <v>B73</v>
      </c>
      <c r="D10" s="2715" t="s">
        <v>9521</v>
      </c>
      <c r="E10" s="54"/>
      <c r="F10" s="54"/>
      <c r="G10" s="54"/>
      <c r="H10" s="54"/>
      <c r="I10" s="54"/>
      <c r="J10" s="2714" t="str">
        <f>H187</f>
        <v>H187</v>
      </c>
      <c r="K10" s="2715" t="s">
        <v>9521</v>
      </c>
      <c r="L10" s="54"/>
      <c r="M10" s="54"/>
      <c r="N10" s="54"/>
      <c r="O10" s="54"/>
      <c r="P10" s="54"/>
      <c r="Q10" s="2707"/>
      <c r="R10" s="54"/>
      <c r="S10" s="54"/>
      <c r="T10" s="54"/>
      <c r="U10" s="54"/>
      <c r="V10" s="54"/>
      <c r="W10" s="54"/>
      <c r="X10" s="54"/>
      <c r="Y10" s="54"/>
      <c r="Z10" s="54"/>
      <c r="AA10" s="3">
        <v>1</v>
      </c>
    </row>
    <row r="11" spans="1:27" s="2684" customFormat="1" ht="21" customHeight="1">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3">
        <v>1</v>
      </c>
    </row>
    <row r="12" spans="1:27" s="2684" customFormat="1" ht="21" customHeight="1">
      <c r="A12" s="54"/>
      <c r="B12" s="54"/>
      <c r="C12" s="2709" t="s">
        <v>10246</v>
      </c>
      <c r="D12" s="2719"/>
      <c r="E12" s="54"/>
      <c r="F12" s="54"/>
      <c r="G12" s="54"/>
      <c r="H12" s="54"/>
      <c r="I12" s="54"/>
      <c r="J12" s="2709" t="s">
        <v>10247</v>
      </c>
      <c r="K12" s="2717"/>
      <c r="L12" s="54"/>
      <c r="M12" s="54"/>
      <c r="N12" s="54"/>
      <c r="O12" s="54"/>
      <c r="P12" s="54"/>
      <c r="Q12" s="2719"/>
      <c r="R12" s="54"/>
      <c r="S12" s="54"/>
      <c r="T12" s="54"/>
      <c r="U12" s="54"/>
      <c r="V12" s="54"/>
      <c r="W12" s="54"/>
      <c r="X12" s="54"/>
      <c r="Y12" s="54"/>
      <c r="Z12" s="54"/>
      <c r="AA12" s="3">
        <v>1</v>
      </c>
    </row>
    <row r="13" spans="1:27" s="2684" customFormat="1" ht="21" customHeight="1">
      <c r="A13" s="54"/>
      <c r="B13" s="54"/>
      <c r="C13" s="2714" t="str">
        <f>B103</f>
        <v>B103</v>
      </c>
      <c r="D13" s="2715" t="s">
        <v>9521</v>
      </c>
      <c r="E13" s="54"/>
      <c r="F13" s="54"/>
      <c r="G13" s="54"/>
      <c r="H13" s="54"/>
      <c r="I13" s="54"/>
      <c r="J13" s="2714" t="str">
        <f>H202</f>
        <v>H202</v>
      </c>
      <c r="K13" s="2715" t="s">
        <v>9521</v>
      </c>
      <c r="L13" s="54"/>
      <c r="M13" s="54"/>
      <c r="N13" s="54"/>
      <c r="O13" s="54"/>
      <c r="P13" s="54"/>
      <c r="Q13" s="2720"/>
      <c r="R13" s="54"/>
      <c r="S13" s="54"/>
      <c r="T13" s="54"/>
      <c r="U13" s="54"/>
      <c r="V13" s="54"/>
      <c r="W13" s="54"/>
      <c r="X13" s="54"/>
      <c r="Y13" s="54"/>
      <c r="Z13" s="54"/>
      <c r="AA13" s="3">
        <v>1</v>
      </c>
    </row>
    <row r="14" spans="1:27" s="2684" customFormat="1" ht="21" customHeight="1">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3">
        <v>1</v>
      </c>
    </row>
    <row r="15" spans="1:27" s="2684" customFormat="1" ht="21" customHeight="1">
      <c r="A15" s="54"/>
      <c r="B15" s="54"/>
      <c r="C15" s="2709" t="s">
        <v>10248</v>
      </c>
      <c r="D15" s="2722"/>
      <c r="E15" s="54"/>
      <c r="F15" s="54"/>
      <c r="G15" s="54"/>
      <c r="H15" s="54"/>
      <c r="I15" s="54"/>
      <c r="J15" s="2709" t="s">
        <v>10249</v>
      </c>
      <c r="K15" s="2717"/>
      <c r="L15" s="54"/>
      <c r="M15" s="54"/>
      <c r="N15" s="54"/>
      <c r="O15" s="54"/>
      <c r="P15" s="54"/>
      <c r="Q15" s="2707"/>
      <c r="R15" s="54"/>
      <c r="S15" s="54"/>
      <c r="T15" s="54"/>
      <c r="U15" s="54"/>
      <c r="V15" s="54"/>
      <c r="W15" s="54"/>
      <c r="X15" s="54"/>
      <c r="Y15" s="54"/>
      <c r="Z15" s="54"/>
      <c r="AA15" s="3">
        <v>1</v>
      </c>
    </row>
    <row r="16" spans="1:27" s="2684" customFormat="1" ht="21" customHeight="1">
      <c r="A16" s="54"/>
      <c r="B16" s="54"/>
      <c r="C16" s="2714" t="str">
        <f>B123</f>
        <v>B123</v>
      </c>
      <c r="D16" s="2715" t="s">
        <v>9521</v>
      </c>
      <c r="E16" s="54"/>
      <c r="F16" s="54"/>
      <c r="G16" s="54"/>
      <c r="H16" s="54"/>
      <c r="I16" s="54"/>
      <c r="J16" s="2714" t="str">
        <f>N221</f>
        <v>N221</v>
      </c>
      <c r="K16" s="2715" t="s">
        <v>9521</v>
      </c>
      <c r="L16" s="54"/>
      <c r="M16" s="54"/>
      <c r="N16" s="54"/>
      <c r="O16" s="54"/>
      <c r="P16" s="54"/>
      <c r="Q16" s="2707"/>
      <c r="R16" s="54"/>
      <c r="S16" s="54"/>
      <c r="T16" s="54"/>
      <c r="U16" s="54"/>
      <c r="V16" s="54"/>
      <c r="W16" s="54"/>
      <c r="X16" s="54"/>
      <c r="Y16" s="54"/>
      <c r="Z16" s="54"/>
      <c r="AA16" s="3">
        <v>1</v>
      </c>
    </row>
    <row r="17" spans="1:27" s="2684" customFormat="1" ht="21" customHeight="1">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3">
        <v>1</v>
      </c>
    </row>
    <row r="18" spans="1:27" s="2684" customFormat="1" ht="21" customHeight="1">
      <c r="A18" s="54"/>
      <c r="B18" s="54"/>
      <c r="C18" s="2709" t="s">
        <v>10250</v>
      </c>
      <c r="D18" s="2724"/>
      <c r="E18" s="54"/>
      <c r="F18" s="54"/>
      <c r="G18" s="54"/>
      <c r="H18" s="54"/>
      <c r="I18" s="54"/>
      <c r="J18" s="2709" t="s">
        <v>10251</v>
      </c>
      <c r="K18" s="2717"/>
      <c r="L18" s="54"/>
      <c r="M18" s="54"/>
      <c r="N18" s="54"/>
      <c r="O18" s="54"/>
      <c r="P18" s="54"/>
      <c r="Q18" s="2707"/>
      <c r="R18" s="54"/>
      <c r="S18" s="54"/>
      <c r="T18" s="54"/>
      <c r="U18" s="54"/>
      <c r="V18" s="54"/>
      <c r="W18" s="54"/>
      <c r="X18" s="54"/>
      <c r="Y18" s="54"/>
      <c r="Z18" s="54"/>
      <c r="AA18" s="3">
        <v>1</v>
      </c>
    </row>
    <row r="19" spans="1:27" s="2684" customFormat="1" ht="21" customHeight="1">
      <c r="A19" s="54"/>
      <c r="B19" s="54"/>
      <c r="C19" s="2714" t="str">
        <f>B138</f>
        <v>B138</v>
      </c>
      <c r="D19" s="2715" t="s">
        <v>9521</v>
      </c>
      <c r="E19" s="54"/>
      <c r="F19" s="54"/>
      <c r="G19" s="54"/>
      <c r="H19" s="54"/>
      <c r="I19" s="54"/>
      <c r="J19" s="2714" t="str">
        <f>N233</f>
        <v>N233</v>
      </c>
      <c r="K19" s="2715" t="s">
        <v>9521</v>
      </c>
      <c r="L19" s="54"/>
      <c r="M19" s="54"/>
      <c r="N19" s="54"/>
      <c r="O19" s="54"/>
      <c r="P19" s="54"/>
      <c r="Q19" s="2707"/>
      <c r="R19" s="54"/>
      <c r="S19" s="54"/>
      <c r="T19" s="54"/>
      <c r="U19" s="54"/>
      <c r="V19" s="54"/>
      <c r="W19" s="54"/>
      <c r="X19" s="54"/>
      <c r="Y19" s="54"/>
      <c r="Z19" s="54"/>
      <c r="AA19" s="3">
        <v>1</v>
      </c>
    </row>
    <row r="20" spans="1:27" s="2684" customFormat="1" ht="21" customHeight="1">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3">
        <v>1</v>
      </c>
    </row>
    <row r="21" spans="1:27" s="2684" customFormat="1" ht="21" customHeight="1">
      <c r="A21" s="54"/>
      <c r="B21" s="54"/>
      <c r="C21" s="2709" t="s">
        <v>10252</v>
      </c>
      <c r="D21" s="2708"/>
      <c r="E21" s="54"/>
      <c r="F21" s="54"/>
      <c r="G21" s="54"/>
      <c r="H21" s="54"/>
      <c r="I21" s="54"/>
      <c r="J21" s="2709" t="s">
        <v>10253</v>
      </c>
      <c r="K21" s="2717"/>
      <c r="L21" s="54"/>
      <c r="M21" s="54"/>
      <c r="N21" s="54"/>
      <c r="O21" s="54"/>
      <c r="P21" s="54"/>
      <c r="Q21" s="2707"/>
      <c r="R21" s="54"/>
      <c r="S21" s="54"/>
      <c r="T21" s="54"/>
      <c r="U21" s="54"/>
      <c r="V21" s="54"/>
      <c r="W21" s="54"/>
      <c r="X21" s="54"/>
      <c r="Y21" s="54"/>
      <c r="Z21" s="54"/>
      <c r="AA21" s="3">
        <v>1</v>
      </c>
    </row>
    <row r="22" spans="1:27" s="2684" customFormat="1" ht="21" customHeight="1">
      <c r="A22" s="54"/>
      <c r="B22" s="54"/>
      <c r="C22" s="2714" t="str">
        <f>B159</f>
        <v>B159</v>
      </c>
      <c r="D22" s="2715" t="s">
        <v>9521</v>
      </c>
      <c r="E22" s="54"/>
      <c r="F22" s="54"/>
      <c r="G22" s="54"/>
      <c r="H22" s="54"/>
      <c r="I22" s="54"/>
      <c r="J22" s="2714" t="str">
        <f>M250</f>
        <v>M250</v>
      </c>
      <c r="K22" s="2715" t="s">
        <v>9521</v>
      </c>
      <c r="L22" s="54"/>
      <c r="M22" s="54"/>
      <c r="N22" s="54"/>
      <c r="O22" s="54"/>
      <c r="P22" s="54"/>
      <c r="Q22" s="2707"/>
      <c r="R22" s="54"/>
      <c r="S22" s="54"/>
      <c r="T22" s="54"/>
      <c r="U22" s="54"/>
      <c r="V22" s="54"/>
      <c r="W22" s="54"/>
      <c r="X22" s="54"/>
      <c r="Y22" s="54"/>
      <c r="Z22" s="54"/>
      <c r="AA22" s="3">
        <v>1</v>
      </c>
    </row>
    <row r="23" spans="1:27" s="2684" customFormat="1" ht="21" customHeight="1">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3">
        <v>1</v>
      </c>
    </row>
    <row r="24" spans="1:27" s="2684" customFormat="1" ht="21" customHeight="1">
      <c r="A24" s="54"/>
      <c r="B24" s="54"/>
      <c r="C24" s="2709" t="s">
        <v>10254</v>
      </c>
      <c r="D24" s="2708"/>
      <c r="E24" s="54"/>
      <c r="F24" s="54"/>
      <c r="G24" s="54"/>
      <c r="H24" s="54"/>
      <c r="I24" s="54"/>
      <c r="J24" s="2709" t="s">
        <v>10255</v>
      </c>
      <c r="K24" s="2722"/>
      <c r="L24" s="54"/>
      <c r="M24" s="54"/>
      <c r="N24" s="54"/>
      <c r="O24" s="54"/>
      <c r="P24" s="54"/>
      <c r="Q24" s="2707"/>
      <c r="R24" s="54"/>
      <c r="S24" s="54"/>
      <c r="T24" s="54"/>
      <c r="U24" s="54"/>
      <c r="V24" s="54"/>
      <c r="W24" s="54"/>
      <c r="X24" s="54"/>
      <c r="Y24" s="54"/>
      <c r="Z24" s="54"/>
      <c r="AA24" s="3">
        <v>1</v>
      </c>
    </row>
    <row r="25" spans="1:27" s="2684" customFormat="1" ht="21" customHeight="1">
      <c r="A25" s="54"/>
      <c r="B25" s="54"/>
      <c r="C25" s="2714" t="str">
        <f>B172</f>
        <v>B172</v>
      </c>
      <c r="D25" s="2715" t="s">
        <v>9521</v>
      </c>
      <c r="E25" s="54"/>
      <c r="F25" s="54"/>
      <c r="G25" s="54"/>
      <c r="H25" s="54"/>
      <c r="I25" s="54"/>
      <c r="J25" s="2714" t="str">
        <f>B358</f>
        <v>B358</v>
      </c>
      <c r="K25" s="2715" t="s">
        <v>9521</v>
      </c>
      <c r="L25" s="54"/>
      <c r="M25" s="54"/>
      <c r="N25" s="54"/>
      <c r="O25" s="54"/>
      <c r="P25" s="54"/>
      <c r="Q25" s="2707"/>
      <c r="R25" s="54"/>
      <c r="S25" s="54"/>
      <c r="T25" s="54"/>
      <c r="U25" s="54"/>
      <c r="V25" s="54"/>
      <c r="W25" s="54"/>
      <c r="X25" s="54"/>
      <c r="Y25" s="54"/>
      <c r="Z25" s="54"/>
      <c r="AA25" s="3">
        <v>1</v>
      </c>
    </row>
    <row r="26" spans="1:27" s="2684" customFormat="1" ht="21"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3">
        <v>1</v>
      </c>
    </row>
    <row r="27" spans="1:27" s="2684" customFormat="1" ht="21" customHeight="1">
      <c r="A27" s="54"/>
      <c r="B27" s="54"/>
      <c r="C27" s="2709" t="s">
        <v>10245</v>
      </c>
      <c r="D27" s="2717"/>
      <c r="E27" s="54"/>
      <c r="F27" s="54"/>
      <c r="G27" s="54"/>
      <c r="H27" s="54"/>
      <c r="I27" s="54"/>
      <c r="J27" s="2709" t="s">
        <v>10256</v>
      </c>
      <c r="K27" s="2722"/>
      <c r="L27" s="54"/>
      <c r="M27" s="54"/>
      <c r="N27" s="54"/>
      <c r="O27" s="54"/>
      <c r="P27" s="54"/>
      <c r="Q27" s="2707"/>
      <c r="R27" s="54"/>
      <c r="S27" s="54"/>
      <c r="T27" s="54"/>
      <c r="U27" s="54"/>
      <c r="V27" s="54"/>
      <c r="W27" s="54"/>
      <c r="X27" s="54"/>
      <c r="Y27" s="54"/>
      <c r="Z27" s="54"/>
      <c r="AA27" s="3">
        <v>1</v>
      </c>
    </row>
    <row r="28" spans="1:27" s="2684" customFormat="1" ht="21" customHeight="1">
      <c r="A28" s="54"/>
      <c r="B28" s="54"/>
      <c r="C28" s="2714" t="str">
        <f>B187</f>
        <v>B187</v>
      </c>
      <c r="D28" s="2715" t="s">
        <v>9521</v>
      </c>
      <c r="E28" s="54"/>
      <c r="F28" s="54"/>
      <c r="G28" s="54"/>
      <c r="H28" s="54"/>
      <c r="I28" s="54"/>
      <c r="J28" s="2714" t="str">
        <f>H345</f>
        <v>H345</v>
      </c>
      <c r="K28" s="2715" t="s">
        <v>9521</v>
      </c>
      <c r="L28" s="54"/>
      <c r="M28" s="54"/>
      <c r="N28" s="54"/>
      <c r="O28" s="54"/>
      <c r="P28" s="54"/>
      <c r="Q28" s="2707"/>
      <c r="R28" s="54"/>
      <c r="S28" s="54"/>
      <c r="T28" s="54"/>
      <c r="U28" s="54"/>
      <c r="V28" s="54"/>
      <c r="W28" s="54"/>
      <c r="X28" s="54"/>
      <c r="Y28" s="54"/>
      <c r="Z28" s="54"/>
      <c r="AA28" s="3">
        <v>1</v>
      </c>
    </row>
    <row r="29" spans="1:27" s="2684" customFormat="1" ht="21" customHeight="1">
      <c r="A29" s="54"/>
      <c r="B29" s="54"/>
      <c r="C29" s="2708"/>
      <c r="D29" s="2708"/>
      <c r="E29" s="54"/>
      <c r="F29" s="54"/>
      <c r="G29" s="54"/>
      <c r="H29" s="54"/>
      <c r="I29" s="54"/>
      <c r="L29" s="54"/>
      <c r="M29" s="54"/>
      <c r="N29" s="54"/>
      <c r="O29" s="54"/>
      <c r="P29" s="54"/>
      <c r="Q29" s="2707"/>
      <c r="R29" s="54"/>
      <c r="S29" s="54"/>
      <c r="T29" s="54"/>
      <c r="U29" s="54"/>
      <c r="V29" s="54"/>
      <c r="W29" s="54"/>
      <c r="X29" s="54"/>
      <c r="Y29" s="54"/>
      <c r="Z29" s="54"/>
      <c r="AA29" s="3">
        <v>1</v>
      </c>
    </row>
    <row r="30" spans="1:27" s="2684" customFormat="1" ht="21" customHeight="1">
      <c r="A30" s="54"/>
      <c r="B30" s="54"/>
      <c r="C30" s="2709" t="s">
        <v>10247</v>
      </c>
      <c r="D30" s="2717"/>
      <c r="E30" s="54"/>
      <c r="F30" s="54"/>
      <c r="G30" s="54"/>
      <c r="H30" s="54"/>
      <c r="I30" s="54"/>
      <c r="J30" s="2709" t="s">
        <v>10257</v>
      </c>
      <c r="K30" s="2722"/>
      <c r="L30" s="54"/>
      <c r="M30" s="54"/>
      <c r="N30" s="54"/>
      <c r="O30" s="54"/>
      <c r="P30" s="54"/>
      <c r="Q30" s="2707"/>
      <c r="R30" s="54"/>
      <c r="S30" s="54"/>
      <c r="T30" s="54"/>
      <c r="U30" s="54"/>
      <c r="V30" s="54"/>
      <c r="W30" s="54"/>
      <c r="X30" s="54"/>
      <c r="Y30" s="54"/>
      <c r="Z30" s="54"/>
      <c r="AA30" s="3">
        <v>1</v>
      </c>
    </row>
    <row r="31" spans="1:27" s="2684" customFormat="1" ht="21" customHeight="1">
      <c r="A31" s="54"/>
      <c r="B31" s="54"/>
      <c r="C31" s="2714" t="str">
        <f>B202</f>
        <v>B202</v>
      </c>
      <c r="D31" s="2715" t="s">
        <v>9521</v>
      </c>
      <c r="E31" s="54"/>
      <c r="F31" s="54"/>
      <c r="G31" s="54"/>
      <c r="H31" s="54"/>
      <c r="I31" s="54"/>
      <c r="J31" s="2714" t="str">
        <f>B385</f>
        <v>B385</v>
      </c>
      <c r="K31" s="2715" t="s">
        <v>9521</v>
      </c>
      <c r="L31" s="54"/>
      <c r="M31" s="54"/>
      <c r="N31" s="54"/>
      <c r="O31" s="54"/>
      <c r="P31" s="54"/>
      <c r="Q31" s="2707"/>
      <c r="R31" s="54"/>
      <c r="S31" s="54"/>
      <c r="T31" s="54"/>
      <c r="U31" s="54"/>
      <c r="V31" s="54"/>
      <c r="W31" s="54"/>
      <c r="X31" s="54"/>
      <c r="Y31" s="54"/>
      <c r="Z31" s="54"/>
      <c r="AA31" s="3">
        <v>1</v>
      </c>
    </row>
    <row r="32" spans="1:27" s="2684" customFormat="1" ht="21" customHeight="1">
      <c r="A32" s="54"/>
      <c r="B32" s="54"/>
      <c r="C32" s="2708"/>
      <c r="D32" s="2708"/>
      <c r="E32" s="54"/>
      <c r="F32" s="54"/>
      <c r="G32" s="54"/>
      <c r="H32" s="54"/>
      <c r="I32" s="54"/>
      <c r="J32" s="2708"/>
      <c r="K32" s="2708"/>
      <c r="L32" s="54"/>
      <c r="M32" s="54"/>
      <c r="N32" s="54"/>
      <c r="O32" s="54"/>
      <c r="P32" s="54"/>
      <c r="Q32" s="2707"/>
      <c r="R32" s="54"/>
      <c r="S32" s="54"/>
      <c r="T32" s="54"/>
      <c r="U32" s="54"/>
      <c r="V32" s="54"/>
      <c r="W32" s="54"/>
      <c r="X32" s="54"/>
      <c r="Y32" s="54"/>
      <c r="Z32" s="54"/>
      <c r="AA32" s="3">
        <v>1</v>
      </c>
    </row>
    <row r="33" spans="1:27" s="2684" customFormat="1" ht="21" customHeight="1">
      <c r="A33" s="54"/>
      <c r="B33" s="54"/>
      <c r="C33" s="2709" t="s">
        <v>10246</v>
      </c>
      <c r="D33" s="2708"/>
      <c r="E33" s="54"/>
      <c r="F33" s="54"/>
      <c r="G33" s="54"/>
      <c r="H33" s="54"/>
      <c r="I33" s="54"/>
      <c r="J33" s="2709" t="s">
        <v>10258</v>
      </c>
      <c r="K33" s="2722"/>
      <c r="L33" s="54"/>
      <c r="M33" s="54"/>
      <c r="N33" s="54"/>
      <c r="O33" s="54"/>
      <c r="P33" s="54"/>
      <c r="Q33" s="2707"/>
      <c r="R33" s="54"/>
      <c r="S33" s="54"/>
      <c r="T33" s="54"/>
      <c r="U33" s="54"/>
      <c r="V33" s="54"/>
      <c r="W33" s="54"/>
      <c r="X33" s="54"/>
      <c r="Y33" s="54"/>
      <c r="Z33" s="54"/>
      <c r="AA33" s="3">
        <v>1</v>
      </c>
    </row>
    <row r="34" spans="1:27" s="2684" customFormat="1" ht="21" customHeight="1">
      <c r="A34" s="54"/>
      <c r="B34" s="54"/>
      <c r="C34" s="2714" t="str">
        <f>B221</f>
        <v>B221</v>
      </c>
      <c r="D34" s="2715" t="s">
        <v>9521</v>
      </c>
      <c r="E34" s="54"/>
      <c r="F34" s="54"/>
      <c r="G34" s="54"/>
      <c r="H34" s="54"/>
      <c r="I34" s="54"/>
      <c r="J34" s="2714" t="str">
        <f>B405</f>
        <v>B405</v>
      </c>
      <c r="K34" s="2715" t="s">
        <v>9521</v>
      </c>
      <c r="L34" s="54"/>
      <c r="M34" s="54"/>
      <c r="N34" s="54"/>
      <c r="O34" s="54"/>
      <c r="P34" s="54"/>
      <c r="Q34" s="2707"/>
      <c r="R34" s="54"/>
      <c r="S34" s="54"/>
      <c r="T34" s="54"/>
      <c r="U34" s="54"/>
      <c r="V34" s="54"/>
      <c r="W34" s="54"/>
      <c r="X34" s="54"/>
      <c r="Y34" s="54"/>
      <c r="Z34" s="54"/>
      <c r="AA34" s="3">
        <v>1</v>
      </c>
    </row>
    <row r="35" spans="1:27" s="2684" customFormat="1" ht="21" customHeight="1">
      <c r="A35" s="54"/>
      <c r="B35" s="54"/>
      <c r="C35" s="2708"/>
      <c r="D35" s="2708"/>
      <c r="E35" s="54"/>
      <c r="F35" s="54"/>
      <c r="G35" s="54"/>
      <c r="H35" s="54"/>
      <c r="I35" s="54"/>
      <c r="J35" s="2708"/>
      <c r="K35" s="2708"/>
      <c r="L35" s="54"/>
      <c r="M35" s="54"/>
      <c r="N35" s="54"/>
      <c r="O35" s="54"/>
      <c r="P35" s="54"/>
      <c r="Q35" s="2707"/>
      <c r="R35" s="54"/>
      <c r="S35" s="54"/>
      <c r="T35" s="54"/>
      <c r="U35" s="54"/>
      <c r="V35" s="54"/>
      <c r="W35" s="54"/>
      <c r="X35" s="54"/>
      <c r="Y35" s="54"/>
      <c r="Z35" s="54"/>
      <c r="AA35" s="3">
        <v>1</v>
      </c>
    </row>
    <row r="36" spans="1:27" s="2684" customFormat="1" ht="21" customHeight="1">
      <c r="A36" s="54"/>
      <c r="B36" s="54"/>
      <c r="C36" s="2709" t="s">
        <v>10259</v>
      </c>
      <c r="D36" s="2722"/>
      <c r="E36" s="54"/>
      <c r="F36" s="54"/>
      <c r="G36" s="54"/>
      <c r="H36" s="54"/>
      <c r="I36" s="54"/>
      <c r="J36" s="2709" t="s">
        <v>10260</v>
      </c>
      <c r="K36" s="2722"/>
      <c r="L36" s="54"/>
      <c r="M36" s="54"/>
      <c r="N36" s="54"/>
      <c r="O36" s="54"/>
      <c r="P36" s="54"/>
      <c r="Q36" s="2707"/>
      <c r="R36" s="54"/>
      <c r="S36" s="54"/>
      <c r="T36" s="54"/>
      <c r="U36" s="54"/>
      <c r="V36" s="54"/>
      <c r="W36" s="54"/>
      <c r="X36" s="54"/>
      <c r="Y36" s="54"/>
      <c r="Z36" s="54"/>
      <c r="AA36" s="3">
        <v>1</v>
      </c>
    </row>
    <row r="37" spans="1:27" s="2684" customFormat="1" ht="21" customHeight="1">
      <c r="A37" s="54"/>
      <c r="B37" s="54"/>
      <c r="C37" s="2714" t="str">
        <f>B241</f>
        <v>B241</v>
      </c>
      <c r="D37" s="2715" t="s">
        <v>9521</v>
      </c>
      <c r="E37" s="54"/>
      <c r="F37" s="54"/>
      <c r="G37" s="54"/>
      <c r="H37" s="54"/>
      <c r="I37" s="54"/>
      <c r="J37" s="2714" t="str">
        <f>B419</f>
        <v>B419</v>
      </c>
      <c r="K37" s="2715" t="s">
        <v>9521</v>
      </c>
      <c r="L37" s="54"/>
      <c r="M37" s="54"/>
      <c r="N37" s="54"/>
      <c r="O37" s="54"/>
      <c r="P37" s="54"/>
      <c r="Q37" s="2707"/>
      <c r="R37" s="54"/>
      <c r="S37" s="54"/>
      <c r="T37" s="54"/>
      <c r="U37" s="54"/>
      <c r="V37" s="54"/>
      <c r="W37" s="54"/>
      <c r="X37" s="54"/>
      <c r="Y37" s="54"/>
      <c r="Z37" s="54"/>
      <c r="AA37" s="3">
        <v>1</v>
      </c>
    </row>
    <row r="38" spans="1:27" s="2684" customFormat="1" ht="21" customHeight="1">
      <c r="A38" s="54"/>
      <c r="B38" s="54"/>
      <c r="C38" s="2708"/>
      <c r="D38" s="2708"/>
      <c r="E38" s="54"/>
      <c r="F38" s="54"/>
      <c r="G38" s="54"/>
      <c r="H38" s="54"/>
      <c r="I38" s="54"/>
      <c r="J38" s="2708"/>
      <c r="K38" s="2708"/>
      <c r="L38" s="54"/>
      <c r="M38" s="54"/>
      <c r="N38" s="54"/>
      <c r="O38" s="54"/>
      <c r="P38" s="54"/>
      <c r="Q38" s="2707"/>
      <c r="R38" s="54"/>
      <c r="S38" s="54"/>
      <c r="T38" s="54"/>
      <c r="U38" s="54"/>
      <c r="V38" s="54"/>
      <c r="W38" s="54"/>
      <c r="X38" s="54"/>
      <c r="Y38" s="54"/>
      <c r="Z38" s="54"/>
      <c r="AA38" s="3">
        <v>1</v>
      </c>
    </row>
    <row r="39" spans="1:27" s="2684" customFormat="1" ht="21" customHeight="1">
      <c r="A39" s="54"/>
      <c r="B39" s="54"/>
      <c r="C39" s="2709" t="s">
        <v>10261</v>
      </c>
      <c r="D39" s="2722"/>
      <c r="E39" s="54"/>
      <c r="F39" s="54"/>
      <c r="G39" s="54"/>
      <c r="H39" s="54"/>
      <c r="I39" s="54"/>
      <c r="J39" s="2709" t="s">
        <v>10262</v>
      </c>
      <c r="K39" s="2722"/>
      <c r="L39" s="54"/>
      <c r="M39" s="54"/>
      <c r="N39" s="54"/>
      <c r="O39" s="54"/>
      <c r="P39" s="54"/>
      <c r="Q39" s="2707"/>
      <c r="R39" s="54"/>
      <c r="S39" s="54"/>
      <c r="T39" s="54"/>
      <c r="U39" s="54"/>
      <c r="V39" s="54"/>
      <c r="W39" s="54"/>
      <c r="X39" s="54"/>
      <c r="Y39" s="54"/>
      <c r="Z39" s="54"/>
      <c r="AA39" s="3">
        <v>1</v>
      </c>
    </row>
    <row r="40" spans="1:27" s="2684" customFormat="1" ht="21" customHeight="1">
      <c r="A40" s="54"/>
      <c r="B40" s="54"/>
      <c r="C40" s="2714" t="str">
        <f>B250</f>
        <v>B250</v>
      </c>
      <c r="D40" s="2715" t="s">
        <v>9521</v>
      </c>
      <c r="E40" s="54"/>
      <c r="F40" s="54"/>
      <c r="G40" s="54"/>
      <c r="H40" s="54"/>
      <c r="I40" s="54"/>
      <c r="J40" s="2714" t="str">
        <f>B449</f>
        <v>B449</v>
      </c>
      <c r="K40" s="2715" t="s">
        <v>9521</v>
      </c>
      <c r="L40" s="54"/>
      <c r="M40" s="54"/>
      <c r="N40" s="54"/>
      <c r="O40" s="54"/>
      <c r="P40" s="54"/>
      <c r="Q40" s="2707"/>
      <c r="R40" s="54"/>
      <c r="S40" s="54"/>
      <c r="T40" s="54"/>
      <c r="U40" s="54"/>
      <c r="V40" s="54"/>
      <c r="W40" s="54"/>
      <c r="X40" s="54"/>
      <c r="Y40" s="54"/>
      <c r="Z40" s="54"/>
      <c r="AA40" s="3">
        <v>1</v>
      </c>
    </row>
    <row r="41" spans="1:27" s="2684" customFormat="1" ht="21" customHeight="1">
      <c r="A41" s="54"/>
      <c r="B41" s="54"/>
      <c r="C41" s="2708"/>
      <c r="D41" s="2708"/>
      <c r="E41" s="54"/>
      <c r="F41" s="54"/>
      <c r="G41" s="54"/>
      <c r="H41" s="54"/>
      <c r="I41" s="54"/>
      <c r="J41" s="2708"/>
      <c r="K41" s="2708"/>
      <c r="L41" s="54"/>
      <c r="M41" s="54"/>
      <c r="N41" s="54"/>
      <c r="O41" s="54"/>
      <c r="P41" s="54"/>
      <c r="Q41" s="2707"/>
      <c r="R41" s="54"/>
      <c r="S41" s="54"/>
      <c r="T41" s="54"/>
      <c r="U41" s="54"/>
      <c r="V41" s="54"/>
      <c r="W41" s="54"/>
      <c r="X41" s="54"/>
      <c r="Y41" s="54"/>
      <c r="Z41" s="54"/>
      <c r="AA41" s="3">
        <v>1</v>
      </c>
    </row>
    <row r="42" spans="1:27" s="2684" customFormat="1" ht="21" customHeight="1">
      <c r="A42" s="54"/>
      <c r="B42" s="54"/>
      <c r="C42" s="2709" t="s">
        <v>10263</v>
      </c>
      <c r="D42" s="2722"/>
      <c r="E42" s="54"/>
      <c r="F42" s="54"/>
      <c r="G42" s="54"/>
      <c r="H42" s="54"/>
      <c r="I42" s="54"/>
      <c r="J42" s="2709" t="s">
        <v>10264</v>
      </c>
      <c r="K42" s="2722"/>
      <c r="L42" s="54"/>
      <c r="M42" s="54"/>
      <c r="N42" s="54"/>
      <c r="O42" s="54"/>
      <c r="P42" s="54"/>
      <c r="Q42" s="2707"/>
      <c r="R42" s="54"/>
      <c r="S42" s="54"/>
      <c r="T42" s="54"/>
      <c r="U42" s="54"/>
      <c r="V42" s="54"/>
      <c r="W42" s="54"/>
      <c r="X42" s="54"/>
      <c r="Y42" s="54"/>
      <c r="Z42" s="54"/>
      <c r="AA42" s="3">
        <v>1</v>
      </c>
    </row>
    <row r="43" spans="1:27" s="2684" customFormat="1" ht="21" customHeight="1">
      <c r="A43" s="54"/>
      <c r="B43" s="54"/>
      <c r="C43" s="2714" t="str">
        <f>B278</f>
        <v>B278</v>
      </c>
      <c r="D43" s="2715" t="s">
        <v>9521</v>
      </c>
      <c r="E43" s="54"/>
      <c r="F43" s="54"/>
      <c r="G43" s="54"/>
      <c r="H43" s="54"/>
      <c r="I43" s="54"/>
      <c r="J43" s="2714" t="str">
        <f>B482</f>
        <v>B482</v>
      </c>
      <c r="K43" s="2715" t="s">
        <v>9521</v>
      </c>
      <c r="L43" s="54"/>
      <c r="M43" s="54"/>
      <c r="N43" s="54"/>
      <c r="O43" s="54"/>
      <c r="P43" s="54"/>
      <c r="Q43" s="2707"/>
      <c r="R43" s="54"/>
      <c r="S43" s="54"/>
      <c r="T43" s="54"/>
      <c r="U43" s="54"/>
      <c r="V43" s="54"/>
      <c r="W43" s="54"/>
      <c r="X43" s="54"/>
      <c r="Y43" s="54"/>
      <c r="Z43" s="54"/>
      <c r="AA43" s="3">
        <v>1</v>
      </c>
    </row>
    <row r="44" spans="1:27" s="2684" customFormat="1" ht="21" customHeight="1">
      <c r="A44" s="54"/>
      <c r="B44" s="54"/>
      <c r="D44" s="2707"/>
      <c r="E44" s="54"/>
      <c r="F44" s="54"/>
      <c r="G44" s="54"/>
      <c r="H44" s="54"/>
      <c r="I44" s="54"/>
      <c r="J44" s="2707"/>
      <c r="K44" s="2707"/>
      <c r="L44" s="54"/>
      <c r="M44" s="54"/>
      <c r="N44" s="54"/>
      <c r="O44" s="54"/>
      <c r="P44" s="54"/>
      <c r="Q44" s="2707"/>
      <c r="R44" s="54"/>
      <c r="S44" s="54"/>
      <c r="T44" s="54"/>
      <c r="U44" s="54"/>
      <c r="V44" s="54"/>
      <c r="W44" s="54"/>
      <c r="X44" s="54"/>
      <c r="Y44" s="54"/>
      <c r="Z44" s="54"/>
      <c r="AA44" s="3">
        <v>1</v>
      </c>
    </row>
    <row r="45" spans="1:27" s="2684" customFormat="1" ht="21" customHeight="1">
      <c r="A45" s="54"/>
      <c r="B45" s="54"/>
      <c r="C45" s="2709" t="s">
        <v>10265</v>
      </c>
      <c r="D45" s="2722"/>
      <c r="E45" s="54"/>
      <c r="F45" s="54"/>
      <c r="G45" s="54"/>
      <c r="H45" s="54"/>
      <c r="I45" s="54"/>
      <c r="J45" s="2707"/>
      <c r="K45" s="2707"/>
      <c r="L45" s="54"/>
      <c r="M45" s="54"/>
      <c r="N45" s="54"/>
      <c r="O45" s="54"/>
      <c r="P45" s="54"/>
      <c r="Q45" s="2707"/>
      <c r="R45" s="54"/>
      <c r="S45" s="54"/>
      <c r="T45" s="54"/>
      <c r="U45" s="54"/>
      <c r="V45" s="54"/>
      <c r="W45" s="54"/>
      <c r="X45" s="54"/>
      <c r="Y45" s="54"/>
      <c r="Z45" s="54"/>
      <c r="AA45" s="3">
        <v>1</v>
      </c>
    </row>
    <row r="46" spans="1:27" s="2684" customFormat="1" ht="21" customHeight="1">
      <c r="A46" s="54"/>
      <c r="B46" s="54"/>
      <c r="C46" s="2714" t="str">
        <f>B308</f>
        <v>B308</v>
      </c>
      <c r="D46" s="2715" t="s">
        <v>9521</v>
      </c>
      <c r="E46" s="54"/>
      <c r="F46" s="54"/>
      <c r="G46" s="54"/>
      <c r="H46" s="54"/>
      <c r="I46" s="54"/>
      <c r="J46" s="2707"/>
      <c r="K46" s="2707"/>
      <c r="L46" s="54"/>
      <c r="M46" s="54"/>
      <c r="N46" s="54"/>
      <c r="O46" s="54"/>
      <c r="P46" s="54"/>
      <c r="Q46" s="2707"/>
      <c r="R46" s="54"/>
      <c r="S46" s="54"/>
      <c r="T46" s="54"/>
      <c r="U46" s="54"/>
      <c r="V46" s="54"/>
      <c r="W46" s="54"/>
      <c r="X46" s="54"/>
      <c r="Y46" s="54"/>
      <c r="Z46" s="54"/>
      <c r="AA46" s="3">
        <v>1</v>
      </c>
    </row>
    <row r="47" spans="1:27" s="2684" customFormat="1" ht="21" customHeight="1">
      <c r="A47" s="54"/>
      <c r="B47" s="54"/>
      <c r="C47" s="2708"/>
      <c r="D47" s="2708"/>
      <c r="E47" s="54"/>
      <c r="F47" s="54"/>
      <c r="G47" s="54"/>
      <c r="H47" s="54"/>
      <c r="I47" s="54"/>
      <c r="J47" s="2707"/>
      <c r="K47" s="2707"/>
      <c r="L47" s="54"/>
      <c r="M47" s="54"/>
      <c r="N47" s="54"/>
      <c r="O47" s="54"/>
      <c r="P47" s="54"/>
      <c r="Q47" s="2707"/>
      <c r="R47" s="54"/>
      <c r="S47" s="54"/>
      <c r="T47" s="54"/>
      <c r="U47" s="54"/>
      <c r="V47" s="54"/>
      <c r="W47" s="54"/>
      <c r="X47" s="54"/>
      <c r="Y47" s="54"/>
      <c r="Z47" s="54"/>
      <c r="AA47" s="3">
        <v>1</v>
      </c>
    </row>
    <row r="48" spans="1:27" s="2684" customFormat="1" ht="21" customHeight="1">
      <c r="A48" s="54"/>
      <c r="B48" s="54"/>
      <c r="C48" s="2709" t="s">
        <v>10266</v>
      </c>
      <c r="D48" s="2722"/>
      <c r="E48" s="54"/>
      <c r="F48" s="54"/>
      <c r="G48" s="54"/>
      <c r="H48" s="54"/>
      <c r="I48" s="54"/>
      <c r="J48" s="2707"/>
      <c r="K48" s="2707"/>
      <c r="L48" s="54"/>
      <c r="M48" s="54"/>
      <c r="N48" s="54"/>
      <c r="O48" s="54"/>
      <c r="P48" s="54"/>
      <c r="Q48" s="2707"/>
      <c r="R48" s="54"/>
      <c r="S48" s="54"/>
      <c r="T48" s="54"/>
      <c r="U48" s="54"/>
      <c r="V48" s="54"/>
      <c r="W48" s="54"/>
      <c r="X48" s="54"/>
      <c r="Y48" s="54"/>
      <c r="Z48" s="54"/>
      <c r="AA48" s="3">
        <v>1</v>
      </c>
    </row>
    <row r="49" spans="1:27" s="2684" customFormat="1" ht="21" customHeight="1">
      <c r="A49" s="54"/>
      <c r="B49" s="54"/>
      <c r="C49" s="2714" t="str">
        <f>B345</f>
        <v>B345</v>
      </c>
      <c r="D49" s="2715" t="s">
        <v>9521</v>
      </c>
      <c r="E49" s="54"/>
      <c r="F49" s="54"/>
      <c r="G49" s="54"/>
      <c r="H49" s="54"/>
      <c r="I49" s="54"/>
      <c r="J49" s="2707"/>
      <c r="K49" s="2707"/>
      <c r="L49" s="54"/>
      <c r="M49" s="54"/>
      <c r="N49" s="54"/>
      <c r="O49" s="54"/>
      <c r="P49" s="54"/>
      <c r="Q49" s="2707"/>
      <c r="R49" s="54"/>
      <c r="S49" s="54"/>
      <c r="T49" s="54"/>
      <c r="U49" s="54"/>
      <c r="V49" s="54"/>
      <c r="W49" s="54"/>
      <c r="X49" s="54"/>
      <c r="Y49" s="54"/>
      <c r="Z49" s="54"/>
      <c r="AA49" s="3">
        <v>1</v>
      </c>
    </row>
    <row r="50" spans="1:27" s="2684" customFormat="1" ht="21" customHeight="1">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3">
        <v>1</v>
      </c>
    </row>
    <row r="51" spans="1:27" s="2684" customFormat="1" ht="21" customHeight="1">
      <c r="A51" s="5771" t="s">
        <v>166</v>
      </c>
      <c r="B51" s="7626" t="s">
        <v>10267</v>
      </c>
      <c r="C51" s="7626"/>
      <c r="D51" s="7626"/>
      <c r="E51" s="7626"/>
      <c r="F51" s="7626"/>
      <c r="G51" s="7626"/>
      <c r="H51" s="7626"/>
      <c r="I51" s="7626"/>
      <c r="J51" s="7626"/>
      <c r="K51" s="7626"/>
      <c r="L51" s="7626"/>
      <c r="M51" s="7626"/>
      <c r="N51" s="7626"/>
      <c r="O51" s="7626"/>
      <c r="P51" s="7626"/>
      <c r="Q51" s="7626"/>
      <c r="R51" s="54"/>
      <c r="S51" s="54"/>
      <c r="T51" s="54"/>
      <c r="U51" s="54"/>
      <c r="V51" s="54"/>
      <c r="W51" s="54"/>
      <c r="X51" s="54"/>
      <c r="Y51" s="54"/>
      <c r="Z51" s="54"/>
      <c r="AA51" s="3">
        <v>1</v>
      </c>
    </row>
    <row r="52" spans="1:27" s="2684" customFormat="1" ht="21" customHeight="1">
      <c r="A52" s="2726"/>
      <c r="B52" s="7626"/>
      <c r="C52" s="7626"/>
      <c r="D52" s="7626"/>
      <c r="E52" s="7626"/>
      <c r="F52" s="7626"/>
      <c r="G52" s="7626"/>
      <c r="H52" s="7626"/>
      <c r="I52" s="7626"/>
      <c r="J52" s="7626"/>
      <c r="K52" s="7626"/>
      <c r="L52" s="7626"/>
      <c r="M52" s="7626"/>
      <c r="N52" s="7626"/>
      <c r="O52" s="7626"/>
      <c r="P52" s="7626"/>
      <c r="Q52" s="7626"/>
      <c r="R52" s="54"/>
      <c r="S52" s="54"/>
      <c r="T52" s="54"/>
      <c r="U52" s="54"/>
      <c r="V52" s="54"/>
      <c r="W52" s="54"/>
      <c r="X52" s="54"/>
      <c r="Y52" s="54"/>
      <c r="Z52" s="54"/>
      <c r="AA52" s="3">
        <v>1</v>
      </c>
    </row>
    <row r="53" spans="1:27" s="2684" customFormat="1" ht="21" customHeight="1" thickBot="1">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3">
        <v>1</v>
      </c>
    </row>
    <row r="54" spans="1:27" s="2684" customFormat="1" ht="21" customHeight="1">
      <c r="A54" s="5772" t="s">
        <v>166</v>
      </c>
      <c r="B54" s="7627" t="s">
        <v>10242</v>
      </c>
      <c r="C54" s="7628"/>
      <c r="D54" s="7628"/>
      <c r="E54" s="7628"/>
      <c r="F54" s="7628"/>
      <c r="G54" s="7629"/>
      <c r="H54" s="54"/>
      <c r="I54" s="5773" t="s">
        <v>166</v>
      </c>
      <c r="J54" s="7633" t="s">
        <v>10243</v>
      </c>
      <c r="K54" s="7634"/>
      <c r="L54" s="7634"/>
      <c r="M54" s="7634"/>
      <c r="N54" s="7634"/>
      <c r="O54" s="7635"/>
      <c r="P54" s="54"/>
      <c r="Q54" s="54"/>
      <c r="R54" s="54"/>
      <c r="S54" s="54"/>
      <c r="T54" s="54"/>
      <c r="U54" s="54"/>
      <c r="V54" s="54"/>
      <c r="W54" s="54"/>
      <c r="X54" s="54"/>
      <c r="Y54" s="54"/>
      <c r="Z54" s="54"/>
      <c r="AA54" s="3">
        <v>1</v>
      </c>
    </row>
    <row r="55" spans="1:27" s="2684" customFormat="1" ht="21" customHeight="1">
      <c r="A55" s="7128" t="str">
        <f>B54</f>
        <v>LIAISON AU TAPIOCA</v>
      </c>
      <c r="B55" s="7630"/>
      <c r="C55" s="7631"/>
      <c r="D55" s="7631"/>
      <c r="E55" s="7631"/>
      <c r="F55" s="7631"/>
      <c r="G55" s="7632"/>
      <c r="H55" s="54"/>
      <c r="I55" s="7061" t="str">
        <f>J54</f>
        <v>Gastro Norm</v>
      </c>
      <c r="J55" s="2727" t="s">
        <v>10268</v>
      </c>
      <c r="K55" s="7636" t="s">
        <v>10269</v>
      </c>
      <c r="L55" s="7636"/>
      <c r="M55" s="7636"/>
      <c r="N55" s="7636"/>
      <c r="O55" s="7637"/>
      <c r="P55" s="54"/>
      <c r="Q55" s="54"/>
      <c r="R55" s="54"/>
      <c r="S55" s="54"/>
      <c r="T55" s="54"/>
      <c r="U55" s="54"/>
      <c r="V55" s="54"/>
      <c r="W55" s="54"/>
      <c r="X55" s="54"/>
      <c r="Y55" s="54"/>
      <c r="Z55" s="54"/>
      <c r="AA55" s="3">
        <v>1</v>
      </c>
    </row>
    <row r="56" spans="1:27" s="2684" customFormat="1" ht="21" customHeight="1">
      <c r="A56" s="7128"/>
      <c r="B56" s="2728" t="str">
        <f>ADDRESS(ROW(),COLUMN(),4)</f>
        <v>B56</v>
      </c>
      <c r="C56" s="2615" t="s">
        <v>9521</v>
      </c>
      <c r="D56" s="2729"/>
      <c r="E56" s="2668"/>
      <c r="F56" s="2730"/>
      <c r="G56" s="2731"/>
      <c r="H56" s="54"/>
      <c r="I56" s="7061"/>
      <c r="J56" s="5774" t="str">
        <f>ADDRESS(ROW(),COLUMN(),4)</f>
        <v>J56</v>
      </c>
      <c r="K56" s="2615" t="s">
        <v>9521</v>
      </c>
      <c r="L56" s="2729"/>
      <c r="M56" s="2729"/>
      <c r="N56" s="2729"/>
      <c r="O56" s="2732"/>
      <c r="P56" s="54"/>
      <c r="Q56" s="54"/>
      <c r="R56" s="54"/>
      <c r="S56" s="54"/>
      <c r="T56" s="54"/>
      <c r="U56" s="54"/>
      <c r="V56" s="54"/>
      <c r="W56" s="54"/>
      <c r="X56" s="54"/>
      <c r="Y56" s="54"/>
      <c r="Z56" s="54"/>
      <c r="AA56" s="3">
        <v>1</v>
      </c>
    </row>
    <row r="57" spans="1:27" s="2684" customFormat="1" ht="21" customHeight="1">
      <c r="A57" s="7128"/>
      <c r="B57" s="7638" t="s">
        <v>10270</v>
      </c>
      <c r="C57" s="7639"/>
      <c r="D57" s="7639"/>
      <c r="E57" s="7639"/>
      <c r="F57" s="7639"/>
      <c r="G57" s="7640"/>
      <c r="H57" s="54"/>
      <c r="I57" s="7061"/>
      <c r="J57" s="7641" t="s">
        <v>10271</v>
      </c>
      <c r="K57" s="7642"/>
      <c r="L57" s="7642"/>
      <c r="M57" s="7642"/>
      <c r="N57" s="7642"/>
      <c r="O57" s="7643"/>
      <c r="P57" s="54"/>
      <c r="Q57" s="54"/>
      <c r="R57" s="54"/>
      <c r="S57" s="54"/>
      <c r="T57" s="54"/>
      <c r="U57" s="54"/>
      <c r="V57" s="54"/>
      <c r="W57" s="54"/>
      <c r="X57" s="54"/>
      <c r="Y57" s="54"/>
      <c r="Z57" s="54"/>
      <c r="AA57" s="3">
        <v>1</v>
      </c>
    </row>
    <row r="58" spans="1:27" s="2684" customFormat="1" ht="21" customHeight="1">
      <c r="A58" s="7128"/>
      <c r="B58" s="7638"/>
      <c r="C58" s="7639"/>
      <c r="D58" s="7639"/>
      <c r="E58" s="7639"/>
      <c r="F58" s="7639"/>
      <c r="G58" s="7640"/>
      <c r="H58" s="54"/>
      <c r="I58" s="7061"/>
      <c r="J58" s="7641"/>
      <c r="K58" s="7642"/>
      <c r="L58" s="7642"/>
      <c r="M58" s="7642"/>
      <c r="N58" s="7642"/>
      <c r="O58" s="7643"/>
      <c r="P58" s="54"/>
      <c r="Q58" s="54"/>
      <c r="R58" s="54"/>
      <c r="S58" s="54"/>
      <c r="T58" s="54"/>
      <c r="U58" s="54"/>
      <c r="V58" s="54"/>
      <c r="W58" s="54"/>
      <c r="X58" s="54"/>
      <c r="Y58" s="54"/>
      <c r="Z58" s="54"/>
      <c r="AA58" s="3">
        <v>1</v>
      </c>
    </row>
    <row r="59" spans="1:27" s="2684" customFormat="1" ht="21" customHeight="1">
      <c r="A59" s="7128"/>
      <c r="B59" s="5775" t="s">
        <v>10272</v>
      </c>
      <c r="C59" s="7644" t="s">
        <v>10273</v>
      </c>
      <c r="D59" s="7644"/>
      <c r="E59" s="7644"/>
      <c r="F59" s="7644"/>
      <c r="G59" s="7645"/>
      <c r="H59" s="54"/>
      <c r="I59" s="7061"/>
      <c r="J59" s="7641"/>
      <c r="K59" s="7642"/>
      <c r="L59" s="7642"/>
      <c r="M59" s="7642"/>
      <c r="N59" s="7642"/>
      <c r="O59" s="7643"/>
      <c r="P59" s="54"/>
      <c r="Q59" s="54"/>
      <c r="R59" s="54"/>
      <c r="S59" s="54"/>
      <c r="T59" s="54"/>
      <c r="U59" s="54"/>
      <c r="V59" s="54"/>
      <c r="W59" s="54"/>
      <c r="X59" s="54"/>
      <c r="Y59" s="54"/>
      <c r="Z59" s="54"/>
      <c r="AA59" s="3">
        <v>1</v>
      </c>
    </row>
    <row r="60" spans="1:27" s="2684" customFormat="1" ht="21" customHeight="1">
      <c r="A60" s="7128"/>
      <c r="B60" s="5775" t="s">
        <v>10272</v>
      </c>
      <c r="C60" s="7644" t="s">
        <v>10274</v>
      </c>
      <c r="D60" s="7644"/>
      <c r="E60" s="7644"/>
      <c r="F60" s="7644"/>
      <c r="G60" s="7645"/>
      <c r="H60" s="54"/>
      <c r="I60" s="7061"/>
      <c r="J60" s="2734"/>
      <c r="K60" s="2735"/>
      <c r="L60" s="2735"/>
      <c r="M60" s="2735"/>
      <c r="N60" s="2735"/>
      <c r="O60" s="2736"/>
      <c r="P60" s="54"/>
      <c r="Q60" s="54"/>
      <c r="R60" s="54"/>
      <c r="S60" s="54"/>
      <c r="T60" s="54"/>
      <c r="U60" s="54"/>
      <c r="V60" s="54"/>
      <c r="W60" s="54"/>
      <c r="X60" s="54"/>
      <c r="Y60" s="54"/>
      <c r="Z60" s="54"/>
      <c r="AA60" s="3">
        <v>1</v>
      </c>
    </row>
    <row r="61" spans="1:27" s="2684" customFormat="1" ht="21" customHeight="1">
      <c r="A61" s="7128"/>
      <c r="B61" s="5775" t="s">
        <v>10272</v>
      </c>
      <c r="C61" s="7644" t="s">
        <v>10275</v>
      </c>
      <c r="D61" s="7644"/>
      <c r="E61" s="7644"/>
      <c r="F61" s="7644"/>
      <c r="G61" s="7645"/>
      <c r="H61" s="54"/>
      <c r="I61" s="7061"/>
      <c r="J61" s="2734"/>
      <c r="K61" s="2735"/>
      <c r="L61" s="2735"/>
      <c r="M61" s="2735"/>
      <c r="N61" s="2735"/>
      <c r="O61" s="2736"/>
      <c r="P61" s="54"/>
      <c r="Q61" s="54"/>
      <c r="R61" s="54"/>
      <c r="S61" s="54"/>
      <c r="T61" s="54"/>
      <c r="U61" s="54"/>
      <c r="V61" s="54"/>
      <c r="W61" s="54"/>
      <c r="X61" s="54"/>
      <c r="Y61" s="54"/>
      <c r="Z61" s="54"/>
      <c r="AA61" s="3">
        <v>1</v>
      </c>
    </row>
    <row r="62" spans="1:27" s="2684" customFormat="1" ht="21" customHeight="1">
      <c r="A62" s="7128"/>
      <c r="B62" s="5775" t="s">
        <v>10276</v>
      </c>
      <c r="C62" s="7644" t="s">
        <v>10277</v>
      </c>
      <c r="D62" s="7644"/>
      <c r="E62" s="7644"/>
      <c r="F62" s="7644"/>
      <c r="G62" s="7645"/>
      <c r="H62" s="54"/>
      <c r="I62" s="7061"/>
      <c r="J62" s="2734"/>
      <c r="K62" s="2735"/>
      <c r="L62" s="2735"/>
      <c r="M62" s="2735"/>
      <c r="N62" s="2735"/>
      <c r="O62" s="2736"/>
      <c r="P62" s="54"/>
      <c r="Q62" s="54"/>
      <c r="R62" s="54"/>
      <c r="S62" s="54"/>
      <c r="T62" s="54"/>
      <c r="U62" s="54"/>
      <c r="V62" s="54"/>
      <c r="W62" s="54"/>
      <c r="X62" s="54"/>
      <c r="Y62" s="54"/>
      <c r="Z62" s="54"/>
      <c r="AA62" s="3">
        <v>1</v>
      </c>
    </row>
    <row r="63" spans="1:27" s="2684" customFormat="1" ht="21" customHeight="1">
      <c r="A63" s="7128"/>
      <c r="B63" s="5775" t="s">
        <v>10278</v>
      </c>
      <c r="C63" s="7644" t="s">
        <v>10279</v>
      </c>
      <c r="D63" s="7644"/>
      <c r="E63" s="7644"/>
      <c r="F63" s="7644"/>
      <c r="G63" s="7645"/>
      <c r="H63" s="54"/>
      <c r="I63" s="7061"/>
      <c r="J63" s="2734"/>
      <c r="K63" s="2735"/>
      <c r="L63" s="2735"/>
      <c r="M63" s="2735"/>
      <c r="N63" s="2735"/>
      <c r="O63" s="2736"/>
      <c r="P63" s="54"/>
      <c r="Q63" s="54"/>
      <c r="R63" s="54"/>
      <c r="S63" s="54"/>
      <c r="T63" s="54"/>
      <c r="U63" s="54"/>
      <c r="V63" s="54"/>
      <c r="W63" s="54"/>
      <c r="X63" s="54"/>
      <c r="Y63" s="54"/>
      <c r="Z63" s="54"/>
      <c r="AA63" s="3">
        <v>1</v>
      </c>
    </row>
    <row r="64" spans="1:27" s="2684" customFormat="1" ht="21" customHeight="1">
      <c r="A64" s="7128"/>
      <c r="B64" s="5775" t="s">
        <v>10280</v>
      </c>
      <c r="C64" s="7644" t="s">
        <v>10281</v>
      </c>
      <c r="D64" s="7644"/>
      <c r="E64" s="7644"/>
      <c r="F64" s="7644"/>
      <c r="G64" s="7645"/>
      <c r="H64" s="54"/>
      <c r="I64" s="7061"/>
      <c r="J64" s="2734"/>
      <c r="K64" s="2735"/>
      <c r="L64" s="2735"/>
      <c r="M64" s="2735"/>
      <c r="N64" s="2735"/>
      <c r="O64" s="2736"/>
      <c r="P64" s="54"/>
      <c r="Q64" s="54"/>
      <c r="R64" s="54"/>
      <c r="S64" s="54"/>
      <c r="T64" s="54"/>
      <c r="U64" s="54"/>
      <c r="V64" s="54"/>
      <c r="W64" s="54"/>
      <c r="X64" s="54"/>
      <c r="Y64" s="54"/>
      <c r="Z64" s="54"/>
      <c r="AA64" s="3">
        <v>1</v>
      </c>
    </row>
    <row r="65" spans="1:27" s="2684" customFormat="1" ht="21" customHeight="1">
      <c r="A65" s="7128"/>
      <c r="B65" s="5775" t="s">
        <v>10280</v>
      </c>
      <c r="C65" s="7644" t="s">
        <v>10282</v>
      </c>
      <c r="D65" s="7644"/>
      <c r="E65" s="7644"/>
      <c r="F65" s="7644"/>
      <c r="G65" s="7645"/>
      <c r="H65" s="54"/>
      <c r="I65" s="7061"/>
      <c r="J65" s="2734"/>
      <c r="K65" s="2735"/>
      <c r="L65" s="2735"/>
      <c r="M65" s="2735"/>
      <c r="N65" s="2735"/>
      <c r="O65" s="2736"/>
      <c r="P65" s="54"/>
      <c r="Q65" s="54"/>
      <c r="R65" s="54"/>
      <c r="S65" s="54"/>
      <c r="T65" s="54"/>
      <c r="U65" s="54"/>
      <c r="V65" s="54"/>
      <c r="W65" s="54"/>
      <c r="X65" s="54"/>
      <c r="Y65" s="54"/>
      <c r="Z65" s="54"/>
      <c r="AA65" s="3">
        <v>1</v>
      </c>
    </row>
    <row r="66" spans="1:27" s="2684" customFormat="1" ht="21" customHeight="1">
      <c r="A66" s="7128"/>
      <c r="B66" s="7638" t="s">
        <v>10283</v>
      </c>
      <c r="C66" s="7639" t="s">
        <v>10284</v>
      </c>
      <c r="D66" s="7639"/>
      <c r="E66" s="7639"/>
      <c r="F66" s="7639"/>
      <c r="G66" s="7640"/>
      <c r="H66" s="54"/>
      <c r="I66" s="7061"/>
      <c r="J66" s="2734"/>
      <c r="K66" s="2735"/>
      <c r="L66" s="2735"/>
      <c r="M66" s="2735"/>
      <c r="N66" s="2735"/>
      <c r="O66" s="2736"/>
      <c r="P66" s="54"/>
      <c r="Q66" s="54"/>
      <c r="R66" s="54"/>
      <c r="S66" s="54"/>
      <c r="T66" s="54"/>
      <c r="U66" s="54"/>
      <c r="V66" s="54"/>
      <c r="W66" s="54"/>
      <c r="X66" s="54"/>
      <c r="Y66" s="54"/>
      <c r="Z66" s="54"/>
      <c r="AA66" s="3">
        <v>1</v>
      </c>
    </row>
    <row r="67" spans="1:27" s="2684" customFormat="1" ht="21" customHeight="1">
      <c r="A67" s="7128"/>
      <c r="B67" s="7638"/>
      <c r="C67" s="7639"/>
      <c r="D67" s="7639"/>
      <c r="E67" s="7639"/>
      <c r="F67" s="7639"/>
      <c r="G67" s="7640"/>
      <c r="H67" s="54"/>
      <c r="I67" s="7061"/>
      <c r="J67" s="2734"/>
      <c r="K67" s="2735"/>
      <c r="L67" s="2735"/>
      <c r="M67" s="2735"/>
      <c r="N67" s="2735"/>
      <c r="O67" s="2736"/>
      <c r="P67" s="54"/>
      <c r="Q67" s="54"/>
      <c r="R67" s="54"/>
      <c r="S67" s="54"/>
      <c r="T67" s="54"/>
      <c r="U67" s="54"/>
      <c r="V67" s="54"/>
      <c r="W67" s="54"/>
      <c r="X67" s="54"/>
      <c r="Y67" s="54"/>
      <c r="Z67" s="54"/>
      <c r="AA67" s="3">
        <v>1</v>
      </c>
    </row>
    <row r="68" spans="1:27" s="2684" customFormat="1" ht="21" customHeight="1">
      <c r="A68" s="7128"/>
      <c r="B68" s="7638" t="s">
        <v>10285</v>
      </c>
      <c r="C68" s="7639" t="s">
        <v>10286</v>
      </c>
      <c r="D68" s="7639"/>
      <c r="E68" s="7639"/>
      <c r="F68" s="7639"/>
      <c r="G68" s="7640"/>
      <c r="H68" s="54"/>
      <c r="I68" s="7061"/>
      <c r="J68" s="2734"/>
      <c r="K68" s="2735"/>
      <c r="L68" s="2735"/>
      <c r="M68" s="2735"/>
      <c r="N68" s="2735"/>
      <c r="O68" s="2736"/>
      <c r="P68" s="54"/>
      <c r="Q68" s="54"/>
      <c r="R68" s="54"/>
      <c r="S68" s="54"/>
      <c r="T68" s="54"/>
      <c r="U68" s="54"/>
      <c r="V68" s="54"/>
      <c r="W68" s="54"/>
      <c r="X68" s="54"/>
      <c r="Y68" s="54"/>
      <c r="Z68" s="54"/>
      <c r="AA68" s="3">
        <v>1</v>
      </c>
    </row>
    <row r="69" spans="1:27" s="2684" customFormat="1" ht="21" customHeight="1">
      <c r="A69" s="7128"/>
      <c r="B69" s="7646"/>
      <c r="C69" s="7647"/>
      <c r="D69" s="7647"/>
      <c r="E69" s="7647"/>
      <c r="F69" s="7647"/>
      <c r="G69" s="7648"/>
      <c r="H69" s="54"/>
      <c r="I69" s="7061"/>
      <c r="J69" s="2734"/>
      <c r="K69" s="2735"/>
      <c r="L69" s="2735"/>
      <c r="M69" s="2735"/>
      <c r="N69" s="2735"/>
      <c r="O69" s="2736"/>
      <c r="P69" s="54"/>
      <c r="Q69" s="54"/>
      <c r="R69" s="54"/>
      <c r="S69" s="54"/>
      <c r="T69" s="54"/>
      <c r="U69" s="54"/>
      <c r="V69" s="54"/>
      <c r="W69" s="54"/>
      <c r="X69" s="54"/>
      <c r="Y69" s="54"/>
      <c r="Z69" s="54"/>
      <c r="AA69" s="3">
        <v>1</v>
      </c>
    </row>
    <row r="70" spans="1:27" s="2684" customFormat="1" ht="21" customHeight="1" thickBot="1">
      <c r="A70" s="54"/>
      <c r="B70" s="54"/>
      <c r="C70" s="54"/>
      <c r="D70" s="54"/>
      <c r="E70" s="54"/>
      <c r="F70" s="54"/>
      <c r="G70" s="54"/>
      <c r="H70" s="54"/>
      <c r="I70" s="7061"/>
      <c r="J70" s="2734"/>
      <c r="K70" s="2735"/>
      <c r="L70" s="2735"/>
      <c r="M70" s="2735"/>
      <c r="N70" s="2735"/>
      <c r="O70" s="2736"/>
      <c r="P70" s="54"/>
      <c r="Q70" s="54"/>
      <c r="R70" s="54"/>
      <c r="S70" s="54"/>
      <c r="T70" s="54"/>
      <c r="U70" s="54"/>
      <c r="V70" s="54"/>
      <c r="W70" s="54"/>
      <c r="X70" s="54"/>
      <c r="Y70" s="54"/>
      <c r="Z70" s="54"/>
      <c r="AA70" s="3">
        <v>1</v>
      </c>
    </row>
    <row r="71" spans="1:27" s="2684" customFormat="1" ht="21" customHeight="1">
      <c r="A71" s="5772" t="s">
        <v>166</v>
      </c>
      <c r="B71" s="7649" t="s">
        <v>10244</v>
      </c>
      <c r="C71" s="7650"/>
      <c r="D71" s="7653" t="s">
        <v>10287</v>
      </c>
      <c r="E71" s="7653"/>
      <c r="F71" s="7655" t="s">
        <v>10288</v>
      </c>
      <c r="G71" s="7657" t="s">
        <v>10289</v>
      </c>
      <c r="H71" s="54"/>
      <c r="I71" s="7061"/>
      <c r="J71" s="2737"/>
      <c r="K71" s="2707"/>
      <c r="L71" s="2707"/>
      <c r="M71" s="2707"/>
      <c r="N71" s="2707"/>
      <c r="O71" s="2736"/>
      <c r="P71" s="54"/>
      <c r="Q71" s="54"/>
      <c r="R71" s="54"/>
      <c r="S71" s="54"/>
      <c r="T71" s="54"/>
      <c r="U71" s="54"/>
      <c r="V71" s="54"/>
      <c r="W71" s="54"/>
      <c r="X71" s="54"/>
      <c r="Y71" s="54"/>
      <c r="Z71" s="54"/>
      <c r="AA71" s="3">
        <v>1</v>
      </c>
    </row>
    <row r="72" spans="1:27" s="2684" customFormat="1" ht="21" customHeight="1">
      <c r="A72" s="7128" t="str">
        <f>B71</f>
        <v>SERVICE DES SAUCES</v>
      </c>
      <c r="B72" s="7651"/>
      <c r="C72" s="7652"/>
      <c r="D72" s="7654"/>
      <c r="E72" s="7654"/>
      <c r="F72" s="7656"/>
      <c r="G72" s="7658"/>
      <c r="H72" s="54"/>
      <c r="I72" s="7061"/>
      <c r="J72" s="2737"/>
      <c r="K72" s="2707"/>
      <c r="L72" s="2707"/>
      <c r="M72" s="2707"/>
      <c r="N72" s="2707"/>
      <c r="O72" s="2736"/>
      <c r="P72" s="54"/>
      <c r="Q72" s="54"/>
      <c r="R72" s="54"/>
      <c r="S72" s="54"/>
      <c r="T72" s="54"/>
      <c r="U72" s="54"/>
      <c r="V72" s="54"/>
      <c r="W72" s="54"/>
      <c r="X72" s="54"/>
      <c r="Y72" s="54"/>
      <c r="Z72" s="54"/>
      <c r="AA72" s="3">
        <v>1</v>
      </c>
    </row>
    <row r="73" spans="1:27" s="2684" customFormat="1" ht="21" customHeight="1">
      <c r="A73" s="7128"/>
      <c r="B73" s="5757" t="str">
        <f>ADDRESS(ROW(),COLUMN(),4)</f>
        <v>B73</v>
      </c>
      <c r="C73" s="2615" t="s">
        <v>9521</v>
      </c>
      <c r="D73" s="2729"/>
      <c r="E73" s="2668"/>
      <c r="F73" s="2668"/>
      <c r="G73" s="2738"/>
      <c r="H73" s="54"/>
      <c r="I73" s="7061"/>
      <c r="J73" s="2737"/>
      <c r="K73" s="2707"/>
      <c r="L73" s="2707"/>
      <c r="M73" s="2707"/>
      <c r="N73" s="2707"/>
      <c r="O73" s="2736"/>
      <c r="P73" s="54"/>
      <c r="Q73" s="54"/>
      <c r="R73" s="54"/>
      <c r="S73" s="54"/>
      <c r="T73" s="54"/>
      <c r="U73" s="54"/>
      <c r="V73" s="54"/>
      <c r="W73" s="54"/>
      <c r="X73" s="54"/>
      <c r="Y73" s="54"/>
      <c r="Z73" s="54"/>
      <c r="AA73" s="3">
        <v>1</v>
      </c>
    </row>
    <row r="74" spans="1:27" s="2684" customFormat="1" ht="21" customHeight="1">
      <c r="A74" s="7128"/>
      <c r="B74" s="7615" t="s">
        <v>10290</v>
      </c>
      <c r="C74" s="7616"/>
      <c r="D74" s="2739" t="s">
        <v>10291</v>
      </c>
      <c r="E74" s="2739"/>
      <c r="F74" s="2740"/>
      <c r="G74" s="2741"/>
      <c r="H74" s="54"/>
      <c r="I74" s="7061"/>
      <c r="J74" s="7617" t="s">
        <v>10292</v>
      </c>
      <c r="K74" s="7618"/>
      <c r="L74" s="7618"/>
      <c r="M74" s="7618"/>
      <c r="N74" s="7618"/>
      <c r="O74" s="2736"/>
      <c r="P74" s="54"/>
      <c r="Q74" s="54"/>
      <c r="R74" s="54"/>
      <c r="S74" s="54"/>
      <c r="T74" s="54"/>
      <c r="U74" s="54"/>
      <c r="V74" s="54"/>
      <c r="W74" s="54"/>
      <c r="X74" s="54"/>
      <c r="Y74" s="54"/>
      <c r="Z74" s="54"/>
      <c r="AA74" s="3">
        <v>1</v>
      </c>
    </row>
    <row r="75" spans="1:27" s="2684" customFormat="1" ht="21" customHeight="1">
      <c r="A75" s="7128"/>
      <c r="B75" s="7621" t="s">
        <v>10293</v>
      </c>
      <c r="C75" s="7622"/>
      <c r="D75" s="2743" t="s">
        <v>10294</v>
      </c>
      <c r="E75" s="2743"/>
      <c r="F75" s="2742" t="s">
        <v>10295</v>
      </c>
      <c r="G75" s="2744" t="s">
        <v>10296</v>
      </c>
      <c r="H75" s="54"/>
      <c r="I75" s="7061"/>
      <c r="J75" s="7617"/>
      <c r="K75" s="7618"/>
      <c r="L75" s="7618"/>
      <c r="M75" s="7618"/>
      <c r="N75" s="7618"/>
      <c r="O75" s="2736"/>
      <c r="P75" s="54"/>
      <c r="Q75" s="54"/>
      <c r="R75" s="54"/>
      <c r="S75" s="54"/>
      <c r="T75" s="54"/>
      <c r="U75" s="54"/>
      <c r="V75" s="54"/>
      <c r="W75" s="54"/>
      <c r="X75" s="54"/>
      <c r="Y75" s="54"/>
      <c r="Z75" s="54"/>
      <c r="AA75" s="3">
        <v>1</v>
      </c>
    </row>
    <row r="76" spans="1:27" s="2684" customFormat="1" ht="21" customHeight="1" thickBot="1">
      <c r="A76" s="7128"/>
      <c r="B76" s="7621" t="s">
        <v>10297</v>
      </c>
      <c r="C76" s="7622"/>
      <c r="D76" s="2743" t="s">
        <v>10298</v>
      </c>
      <c r="E76" s="2743"/>
      <c r="F76" s="2742" t="s">
        <v>10299</v>
      </c>
      <c r="G76" s="2744" t="s">
        <v>10300</v>
      </c>
      <c r="H76" s="54"/>
      <c r="I76" s="7061"/>
      <c r="J76" s="7619"/>
      <c r="K76" s="7620"/>
      <c r="L76" s="7620"/>
      <c r="M76" s="7620"/>
      <c r="N76" s="7620"/>
      <c r="O76" s="2745"/>
      <c r="P76" s="54"/>
      <c r="Q76" s="54"/>
      <c r="R76" s="54"/>
      <c r="S76" s="54"/>
      <c r="T76" s="54"/>
      <c r="U76" s="54"/>
      <c r="V76" s="54"/>
      <c r="W76" s="54"/>
      <c r="X76" s="54"/>
      <c r="Y76" s="54"/>
      <c r="Z76" s="54"/>
      <c r="AA76" s="3">
        <v>1</v>
      </c>
    </row>
    <row r="77" spans="1:27" s="2684" customFormat="1" ht="21" customHeight="1">
      <c r="A77" s="7128"/>
      <c r="B77" s="7621" t="s">
        <v>10301</v>
      </c>
      <c r="C77" s="7622"/>
      <c r="D77" s="2743" t="s">
        <v>10302</v>
      </c>
      <c r="E77" s="2743"/>
      <c r="F77" s="2742" t="s">
        <v>10303</v>
      </c>
      <c r="G77" s="2744" t="s">
        <v>10304</v>
      </c>
      <c r="H77" s="54"/>
      <c r="I77" s="54"/>
      <c r="J77" s="54"/>
      <c r="K77" s="54"/>
      <c r="L77" s="54"/>
      <c r="M77" s="54"/>
      <c r="N77" s="54"/>
      <c r="O77" s="54"/>
      <c r="P77" s="54"/>
      <c r="Q77" s="54"/>
      <c r="R77" s="54"/>
      <c r="S77" s="54"/>
      <c r="T77" s="54"/>
      <c r="U77" s="54"/>
      <c r="V77" s="54"/>
      <c r="W77" s="54"/>
      <c r="X77" s="54"/>
      <c r="Y77" s="54"/>
      <c r="Z77" s="54"/>
      <c r="AA77" s="3">
        <v>1</v>
      </c>
    </row>
    <row r="78" spans="1:27" s="2684" customFormat="1" ht="21" customHeight="1" thickBot="1">
      <c r="A78" s="7128"/>
      <c r="B78" s="7623" t="s">
        <v>10305</v>
      </c>
      <c r="C78" s="7624"/>
      <c r="D78" s="2747" t="s">
        <v>10306</v>
      </c>
      <c r="E78" s="2747"/>
      <c r="F78" s="2746" t="s">
        <v>10307</v>
      </c>
      <c r="G78" s="2748" t="s">
        <v>10308</v>
      </c>
      <c r="H78" s="54"/>
      <c r="I78" s="54"/>
      <c r="J78" s="54"/>
      <c r="K78" s="54"/>
      <c r="L78" s="54"/>
      <c r="M78" s="54"/>
      <c r="N78" s="54"/>
      <c r="O78" s="54"/>
      <c r="P78" s="54"/>
      <c r="Q78" s="54"/>
      <c r="R78" s="54"/>
      <c r="S78" s="54"/>
      <c r="T78" s="54"/>
      <c r="U78" s="54"/>
      <c r="V78" s="54"/>
      <c r="W78" s="54"/>
      <c r="X78" s="54"/>
      <c r="Y78" s="54"/>
      <c r="Z78" s="54"/>
      <c r="AA78" s="3">
        <v>1</v>
      </c>
    </row>
    <row r="79" spans="1:27" s="2684" customFormat="1" ht="21"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3">
        <v>1</v>
      </c>
    </row>
    <row r="80" spans="1:27" s="2684" customFormat="1" ht="21" customHeight="1">
      <c r="A80" s="2707"/>
      <c r="B80" s="2749"/>
      <c r="C80" s="2750" t="s">
        <v>10309</v>
      </c>
      <c r="D80" s="2707"/>
      <c r="E80" s="2749"/>
      <c r="F80" s="2749"/>
      <c r="G80" s="2707"/>
      <c r="H80" s="2707"/>
      <c r="I80" s="2707"/>
      <c r="J80" s="2707"/>
      <c r="K80" s="2707"/>
      <c r="L80" s="7596" t="s">
        <v>10310</v>
      </c>
      <c r="M80" s="7597"/>
      <c r="N80" s="7597"/>
      <c r="O80" s="7598"/>
      <c r="P80" s="54"/>
      <c r="Q80" s="54"/>
      <c r="R80" s="54"/>
      <c r="S80" s="54"/>
      <c r="T80" s="54"/>
      <c r="U80" s="54"/>
      <c r="V80" s="54"/>
      <c r="W80" s="54"/>
      <c r="X80" s="54"/>
      <c r="Y80" s="54"/>
      <c r="Z80" s="54"/>
      <c r="AA80" s="3">
        <v>1</v>
      </c>
    </row>
    <row r="81" spans="1:27" s="2684" customFormat="1" ht="21" customHeight="1">
      <c r="A81" s="2707"/>
      <c r="B81" s="2749"/>
      <c r="C81" s="2750"/>
      <c r="D81" s="2707"/>
      <c r="E81" s="2749"/>
      <c r="F81" s="2749"/>
      <c r="G81" s="2707"/>
      <c r="H81" s="2707"/>
      <c r="I81" s="2707"/>
      <c r="J81" s="2707"/>
      <c r="K81" s="2707"/>
      <c r="L81" s="7599"/>
      <c r="M81" s="7600"/>
      <c r="N81" s="7600"/>
      <c r="O81" s="7601"/>
      <c r="P81" s="54"/>
      <c r="Q81" s="54"/>
      <c r="R81" s="54"/>
      <c r="S81" s="54"/>
      <c r="T81" s="54"/>
      <c r="U81" s="54"/>
      <c r="V81" s="54"/>
      <c r="W81" s="54"/>
      <c r="X81" s="54"/>
      <c r="Y81" s="54"/>
      <c r="Z81" s="54"/>
      <c r="AA81" s="3">
        <v>1</v>
      </c>
    </row>
    <row r="82" spans="1:27" s="2684" customFormat="1" ht="21" customHeight="1">
      <c r="A82" s="2707"/>
      <c r="B82" s="2751" t="s">
        <v>10268</v>
      </c>
      <c r="C82" s="2752" t="s">
        <v>10311</v>
      </c>
      <c r="D82" s="2707"/>
      <c r="E82" s="2752"/>
      <c r="F82" s="2752"/>
      <c r="G82" s="2753"/>
      <c r="H82" s="2707"/>
      <c r="I82" s="2707"/>
      <c r="J82" s="2707"/>
      <c r="K82" s="2707"/>
      <c r="L82" s="7599"/>
      <c r="M82" s="7600"/>
      <c r="N82" s="7600"/>
      <c r="O82" s="7601"/>
      <c r="P82" s="54"/>
      <c r="Q82" s="54"/>
      <c r="R82" s="54"/>
      <c r="S82" s="54"/>
      <c r="T82" s="54"/>
      <c r="U82" s="54"/>
      <c r="V82" s="54"/>
      <c r="W82" s="54"/>
      <c r="X82" s="54"/>
      <c r="Y82" s="54"/>
      <c r="Z82" s="54"/>
      <c r="AA82" s="3">
        <v>1</v>
      </c>
    </row>
    <row r="83" spans="1:27" s="2684" customFormat="1" ht="21" customHeight="1">
      <c r="A83" s="2707"/>
      <c r="B83" s="2754"/>
      <c r="C83" s="2754"/>
      <c r="D83" s="2707"/>
      <c r="E83" s="2752"/>
      <c r="F83" s="2752"/>
      <c r="G83" s="2753"/>
      <c r="H83" s="2707"/>
      <c r="I83" s="2707"/>
      <c r="J83" s="2707"/>
      <c r="K83" s="2707"/>
      <c r="L83" s="7599"/>
      <c r="M83" s="7600"/>
      <c r="N83" s="7600"/>
      <c r="O83" s="7601"/>
      <c r="P83" s="54"/>
      <c r="Q83" s="54"/>
      <c r="R83" s="54"/>
      <c r="S83" s="54"/>
      <c r="T83" s="54"/>
      <c r="U83" s="54"/>
      <c r="V83" s="54"/>
      <c r="W83" s="54"/>
      <c r="X83" s="54"/>
      <c r="Y83" s="54"/>
      <c r="Z83" s="54"/>
      <c r="AA83" s="3">
        <v>1</v>
      </c>
    </row>
    <row r="84" spans="1:27" s="2684" customFormat="1" ht="21" customHeight="1">
      <c r="A84" s="2707"/>
      <c r="B84" s="2751" t="s">
        <v>10268</v>
      </c>
      <c r="C84" s="7602" t="s">
        <v>10312</v>
      </c>
      <c r="D84" s="7603"/>
      <c r="E84" s="7603"/>
      <c r="F84" s="7603"/>
      <c r="G84" s="7603"/>
      <c r="H84" s="7603"/>
      <c r="I84" s="2753"/>
      <c r="J84" s="2708"/>
      <c r="K84" s="2707"/>
      <c r="L84" s="7604" t="s">
        <v>10313</v>
      </c>
      <c r="M84" s="7605"/>
      <c r="N84" s="7605"/>
      <c r="O84" s="7606"/>
      <c r="P84" s="54"/>
      <c r="Q84" s="54"/>
      <c r="R84" s="54"/>
      <c r="S84" s="54"/>
      <c r="T84" s="54"/>
      <c r="U84" s="54"/>
      <c r="V84" s="54"/>
      <c r="W84" s="54"/>
      <c r="X84" s="54"/>
      <c r="Y84" s="54"/>
      <c r="Z84" s="54"/>
      <c r="AA84" s="3">
        <v>1</v>
      </c>
    </row>
    <row r="85" spans="1:27" s="2684" customFormat="1" ht="21" customHeight="1">
      <c r="A85" s="54"/>
      <c r="B85" s="54"/>
      <c r="C85" s="54"/>
      <c r="D85" s="54"/>
      <c r="E85" s="54"/>
      <c r="F85" s="54"/>
      <c r="G85" s="54"/>
      <c r="H85" s="54"/>
      <c r="I85" s="54"/>
      <c r="J85" s="54"/>
      <c r="K85" s="54"/>
      <c r="L85" s="7604"/>
      <c r="M85" s="7605"/>
      <c r="N85" s="7605"/>
      <c r="O85" s="7606"/>
      <c r="P85" s="54"/>
      <c r="Q85" s="54"/>
      <c r="R85" s="54"/>
      <c r="S85" s="54"/>
      <c r="T85" s="54"/>
      <c r="U85" s="54"/>
      <c r="V85" s="54"/>
      <c r="W85" s="54"/>
      <c r="X85" s="54"/>
      <c r="Y85" s="54"/>
      <c r="Z85" s="54"/>
      <c r="AA85" s="3">
        <v>1</v>
      </c>
    </row>
    <row r="86" spans="1:27" s="2684" customFormat="1" ht="21" customHeight="1">
      <c r="A86" s="2707"/>
      <c r="B86" s="2749"/>
      <c r="C86" s="2750" t="s">
        <v>10314</v>
      </c>
      <c r="D86" s="54"/>
      <c r="E86" s="54"/>
      <c r="F86" s="54"/>
      <c r="G86" s="54"/>
      <c r="H86" s="54"/>
      <c r="I86" s="54"/>
      <c r="J86" s="54"/>
      <c r="K86" s="54"/>
      <c r="L86" s="7607"/>
      <c r="M86" s="7608"/>
      <c r="N86" s="7608"/>
      <c r="O86" s="7609"/>
      <c r="P86" s="54"/>
      <c r="Q86" s="54"/>
      <c r="R86" s="54"/>
      <c r="S86" s="54"/>
      <c r="T86" s="54"/>
      <c r="U86" s="54"/>
      <c r="V86" s="54"/>
      <c r="W86" s="54"/>
      <c r="X86" s="54"/>
      <c r="Y86" s="54"/>
      <c r="Z86" s="54"/>
      <c r="AA86" s="3">
        <v>1</v>
      </c>
    </row>
    <row r="87" spans="1:27" s="2684" customFormat="1" ht="21" customHeight="1">
      <c r="A87" s="2707"/>
      <c r="B87" s="2751" t="s">
        <v>10268</v>
      </c>
      <c r="C87" s="7610" t="s">
        <v>10315</v>
      </c>
      <c r="D87" s="7610"/>
      <c r="E87" s="7610"/>
      <c r="F87" s="7610"/>
      <c r="G87" s="7610"/>
      <c r="H87" s="7610"/>
      <c r="I87" s="7610"/>
      <c r="J87" s="7610"/>
      <c r="K87" s="2707"/>
      <c r="L87" s="54"/>
      <c r="M87" s="54"/>
      <c r="N87" s="54"/>
      <c r="O87" s="54"/>
      <c r="P87" s="54"/>
      <c r="Q87" s="54"/>
      <c r="R87" s="54"/>
      <c r="S87" s="54"/>
      <c r="T87" s="54"/>
      <c r="U87" s="54"/>
      <c r="V87" s="54"/>
      <c r="W87" s="54"/>
      <c r="X87" s="54"/>
      <c r="Y87" s="54"/>
      <c r="Z87" s="54"/>
      <c r="AA87" s="3">
        <v>1</v>
      </c>
    </row>
    <row r="88" spans="1:27" s="2684" customFormat="1" ht="21"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3">
        <v>1</v>
      </c>
    </row>
    <row r="89" spans="1:27" s="2684" customFormat="1" ht="21" customHeight="1">
      <c r="A89" s="2707"/>
      <c r="B89" s="2751" t="s">
        <v>10268</v>
      </c>
      <c r="C89" s="7611" t="s">
        <v>10316</v>
      </c>
      <c r="D89" s="7611"/>
      <c r="E89" s="7611"/>
      <c r="F89" s="7611"/>
      <c r="G89" s="7611"/>
      <c r="H89" s="7611"/>
      <c r="I89" s="7611"/>
      <c r="J89" s="2708"/>
      <c r="K89" s="2708"/>
      <c r="L89" s="7612" t="s">
        <v>10317</v>
      </c>
      <c r="M89" s="7613"/>
      <c r="N89" s="7613"/>
      <c r="O89" s="7614"/>
      <c r="P89" s="54"/>
      <c r="Q89" s="54"/>
      <c r="R89" s="54"/>
      <c r="S89" s="54"/>
      <c r="T89" s="54"/>
      <c r="U89" s="54"/>
      <c r="V89" s="54"/>
      <c r="W89" s="54"/>
      <c r="X89" s="54"/>
      <c r="Y89" s="54"/>
      <c r="Z89" s="54"/>
      <c r="AA89" s="3">
        <v>1</v>
      </c>
    </row>
    <row r="90" spans="1:27" s="2684" customFormat="1" ht="21" customHeight="1">
      <c r="A90" s="54"/>
      <c r="B90" s="54"/>
      <c r="C90" s="54"/>
      <c r="D90" s="54"/>
      <c r="E90" s="54"/>
      <c r="F90" s="54"/>
      <c r="G90" s="54"/>
      <c r="H90" s="54"/>
      <c r="I90" s="54"/>
      <c r="J90" s="54"/>
      <c r="K90" s="54"/>
      <c r="L90" s="7543" t="s">
        <v>10318</v>
      </c>
      <c r="M90" s="7544"/>
      <c r="N90" s="7544"/>
      <c r="O90" s="7545"/>
      <c r="P90" s="54"/>
      <c r="Q90" s="54"/>
      <c r="R90" s="54"/>
      <c r="S90" s="54"/>
      <c r="T90" s="54"/>
      <c r="U90" s="54"/>
      <c r="V90" s="54"/>
      <c r="W90" s="54"/>
      <c r="X90" s="54"/>
      <c r="Y90" s="54"/>
      <c r="Z90" s="54"/>
      <c r="AA90" s="3">
        <v>1</v>
      </c>
    </row>
    <row r="91" spans="1:27" s="2684" customFormat="1" ht="21" customHeight="1">
      <c r="A91" s="2707"/>
      <c r="B91" s="2751" t="s">
        <v>10268</v>
      </c>
      <c r="C91" s="2756" t="s">
        <v>10319</v>
      </c>
      <c r="D91" s="2753"/>
      <c r="E91" s="2753"/>
      <c r="F91" s="2753"/>
      <c r="G91" s="2753"/>
      <c r="H91" s="2755"/>
      <c r="I91" s="2753"/>
      <c r="J91" s="2708"/>
      <c r="K91" s="2708"/>
      <c r="L91" s="7543"/>
      <c r="M91" s="7544"/>
      <c r="N91" s="7544"/>
      <c r="O91" s="7545"/>
      <c r="P91" s="54"/>
      <c r="Q91" s="54"/>
      <c r="R91" s="54"/>
      <c r="S91" s="54"/>
      <c r="T91" s="54"/>
      <c r="U91" s="54"/>
      <c r="V91" s="54"/>
      <c r="W91" s="54"/>
      <c r="X91" s="54"/>
      <c r="Y91" s="54"/>
      <c r="Z91" s="54"/>
      <c r="AA91" s="3">
        <v>1</v>
      </c>
    </row>
    <row r="92" spans="1:27" s="2684" customFormat="1" ht="21" customHeight="1">
      <c r="A92" s="54"/>
      <c r="B92" s="54"/>
      <c r="C92" s="54"/>
      <c r="D92" s="54"/>
      <c r="E92" s="54"/>
      <c r="F92" s="54"/>
      <c r="G92" s="54"/>
      <c r="H92" s="54"/>
      <c r="I92" s="54"/>
      <c r="J92" s="54"/>
      <c r="K92" s="54"/>
      <c r="L92" s="7543"/>
      <c r="M92" s="7544"/>
      <c r="N92" s="7544"/>
      <c r="O92" s="7545"/>
      <c r="P92" s="54"/>
      <c r="Q92" s="54"/>
      <c r="R92" s="54"/>
      <c r="S92" s="54"/>
      <c r="T92" s="54"/>
      <c r="U92" s="54"/>
      <c r="V92" s="54"/>
      <c r="W92" s="54"/>
      <c r="X92" s="54"/>
      <c r="Y92" s="54"/>
      <c r="Z92" s="54"/>
      <c r="AA92" s="3">
        <v>1</v>
      </c>
    </row>
    <row r="93" spans="1:27" s="2684" customFormat="1" ht="21" customHeight="1">
      <c r="A93" s="2707"/>
      <c r="B93" s="2751" t="s">
        <v>10268</v>
      </c>
      <c r="C93" s="2757" t="s">
        <v>10320</v>
      </c>
      <c r="I93" s="2753"/>
      <c r="J93" s="2708"/>
      <c r="K93" s="2707"/>
      <c r="L93" s="7543"/>
      <c r="M93" s="7544"/>
      <c r="N93" s="7544"/>
      <c r="O93" s="7545"/>
      <c r="P93" s="54"/>
      <c r="Q93" s="54"/>
      <c r="R93" s="54"/>
      <c r="S93" s="54"/>
      <c r="T93" s="54"/>
      <c r="U93" s="54"/>
      <c r="V93" s="54"/>
      <c r="W93" s="54"/>
      <c r="X93" s="54"/>
      <c r="Y93" s="54"/>
      <c r="Z93" s="54"/>
      <c r="AA93" s="3">
        <v>1</v>
      </c>
    </row>
    <row r="94" spans="1:27" s="2684" customFormat="1" ht="21" customHeight="1">
      <c r="A94" s="54"/>
      <c r="B94" s="54"/>
      <c r="C94" s="54"/>
      <c r="D94" s="54"/>
      <c r="E94" s="54"/>
      <c r="F94" s="54"/>
      <c r="G94" s="54"/>
      <c r="H94" s="54"/>
      <c r="I94" s="54"/>
      <c r="J94" s="54"/>
      <c r="K94" s="54"/>
      <c r="L94" s="7546" t="s">
        <v>10321</v>
      </c>
      <c r="M94" s="7547"/>
      <c r="N94" s="7547"/>
      <c r="O94" s="7548"/>
      <c r="P94" s="54"/>
      <c r="Q94" s="54"/>
      <c r="R94" s="54"/>
      <c r="S94" s="54"/>
      <c r="T94" s="54"/>
      <c r="U94" s="54"/>
      <c r="V94" s="54"/>
      <c r="W94" s="54"/>
      <c r="X94" s="54"/>
      <c r="Y94" s="54"/>
      <c r="Z94" s="54"/>
      <c r="AA94" s="3">
        <v>1</v>
      </c>
    </row>
    <row r="95" spans="1:27" s="2684" customFormat="1" ht="21" customHeight="1">
      <c r="A95" s="54"/>
      <c r="B95" s="54"/>
      <c r="C95" s="54"/>
      <c r="D95" s="54"/>
      <c r="E95" s="54"/>
      <c r="F95" s="54"/>
      <c r="G95" s="54"/>
      <c r="H95" s="54"/>
      <c r="I95" s="54"/>
      <c r="J95" s="54"/>
      <c r="K95" s="54"/>
      <c r="L95" s="7546"/>
      <c r="M95" s="7547"/>
      <c r="N95" s="7547"/>
      <c r="O95" s="7548"/>
      <c r="P95" s="54"/>
      <c r="Q95" s="54"/>
      <c r="R95" s="54"/>
      <c r="S95" s="54"/>
      <c r="T95" s="54"/>
      <c r="U95" s="54"/>
      <c r="V95" s="54"/>
      <c r="W95" s="54"/>
      <c r="X95" s="54"/>
      <c r="Y95" s="54"/>
      <c r="Z95" s="54"/>
      <c r="AA95" s="3">
        <v>1</v>
      </c>
    </row>
    <row r="96" spans="1:27" s="2684" customFormat="1" ht="21" customHeight="1">
      <c r="A96" s="54"/>
      <c r="B96" s="54"/>
      <c r="C96" s="54"/>
      <c r="D96" s="54"/>
      <c r="E96" s="54"/>
      <c r="F96" s="54"/>
      <c r="G96" s="54"/>
      <c r="H96" s="54"/>
      <c r="I96" s="54"/>
      <c r="J96" s="54"/>
      <c r="K96" s="54"/>
      <c r="L96" s="7546"/>
      <c r="M96" s="7547"/>
      <c r="N96" s="7547"/>
      <c r="O96" s="7548"/>
      <c r="P96" s="54"/>
      <c r="Q96" s="54"/>
      <c r="R96" s="54"/>
      <c r="S96" s="54"/>
      <c r="T96" s="54"/>
      <c r="U96" s="54"/>
      <c r="V96" s="54"/>
      <c r="W96" s="54"/>
      <c r="X96" s="54"/>
      <c r="Y96" s="54"/>
      <c r="Z96" s="54"/>
      <c r="AA96" s="3">
        <v>1</v>
      </c>
    </row>
    <row r="97" spans="1:27" s="2684" customFormat="1" ht="21" customHeight="1">
      <c r="A97" s="54"/>
      <c r="B97" s="54"/>
      <c r="C97" s="54"/>
      <c r="D97" s="54"/>
      <c r="E97" s="54"/>
      <c r="F97" s="54"/>
      <c r="G97" s="54"/>
      <c r="H97" s="54"/>
      <c r="I97" s="54"/>
      <c r="J97" s="54"/>
      <c r="K97" s="54"/>
      <c r="L97" s="7549" t="s">
        <v>10322</v>
      </c>
      <c r="M97" s="7550"/>
      <c r="N97" s="7550"/>
      <c r="O97" s="7551"/>
      <c r="P97" s="54"/>
      <c r="Q97" s="54"/>
      <c r="R97" s="54"/>
      <c r="S97" s="54"/>
      <c r="T97" s="54"/>
      <c r="U97" s="54"/>
      <c r="V97" s="54"/>
      <c r="W97" s="54"/>
      <c r="X97" s="54"/>
      <c r="Y97" s="54"/>
      <c r="Z97" s="54"/>
      <c r="AA97" s="3">
        <v>1</v>
      </c>
    </row>
    <row r="98" spans="1:27" s="2684" customFormat="1" ht="21" customHeight="1">
      <c r="A98" s="54"/>
      <c r="B98" s="54"/>
      <c r="C98" s="54"/>
      <c r="D98" s="54"/>
      <c r="E98" s="54"/>
      <c r="F98" s="54"/>
      <c r="G98" s="54"/>
      <c r="H98" s="54"/>
      <c r="I98" s="54"/>
      <c r="J98" s="54"/>
      <c r="K98" s="54"/>
      <c r="L98" s="7549"/>
      <c r="M98" s="7550"/>
      <c r="N98" s="7550"/>
      <c r="O98" s="7551"/>
      <c r="P98" s="54"/>
      <c r="Q98" s="54"/>
      <c r="R98" s="54"/>
      <c r="S98" s="54"/>
      <c r="T98" s="54"/>
      <c r="U98" s="54"/>
      <c r="V98" s="54"/>
      <c r="W98" s="54"/>
      <c r="X98" s="54"/>
      <c r="Y98" s="54"/>
      <c r="Z98" s="54"/>
      <c r="AA98" s="3">
        <v>1</v>
      </c>
    </row>
    <row r="99" spans="1:27" s="2684" customFormat="1" ht="21" customHeight="1">
      <c r="A99" s="54"/>
      <c r="B99" s="54"/>
      <c r="C99" s="54"/>
      <c r="D99" s="54"/>
      <c r="E99" s="54"/>
      <c r="F99" s="54"/>
      <c r="G99" s="54"/>
      <c r="H99" s="54"/>
      <c r="I99" s="54"/>
      <c r="J99" s="54"/>
      <c r="K99" s="54"/>
      <c r="L99" s="7552"/>
      <c r="M99" s="7553"/>
      <c r="N99" s="7553"/>
      <c r="O99" s="7554"/>
      <c r="P99" s="54"/>
      <c r="Q99" s="54"/>
      <c r="R99" s="54"/>
      <c r="S99" s="54"/>
      <c r="T99" s="54"/>
      <c r="U99" s="54"/>
      <c r="V99" s="54"/>
      <c r="W99" s="54"/>
      <c r="X99" s="54"/>
      <c r="Y99" s="54"/>
      <c r="Z99" s="54"/>
      <c r="AA99" s="3">
        <v>1</v>
      </c>
    </row>
    <row r="100" spans="1:27" s="2684" customFormat="1" ht="21"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3">
        <v>1</v>
      </c>
    </row>
    <row r="101" spans="1:27" s="2684" customFormat="1" ht="21"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3">
        <v>1</v>
      </c>
    </row>
    <row r="102" spans="1:27" ht="21" customHeight="1">
      <c r="A102" s="5773" t="s">
        <v>166</v>
      </c>
      <c r="B102" s="7555" t="s">
        <v>10246</v>
      </c>
      <c r="C102" s="7556"/>
      <c r="D102" s="7556"/>
      <c r="E102" s="7556"/>
      <c r="F102" s="7556"/>
      <c r="G102" s="7556"/>
      <c r="H102" s="7556"/>
      <c r="I102" s="7556"/>
      <c r="J102" s="7556"/>
      <c r="K102" s="7556"/>
      <c r="L102" s="7556"/>
      <c r="M102" s="7556"/>
      <c r="N102" s="7556"/>
      <c r="O102" s="7556"/>
      <c r="P102" s="7556"/>
      <c r="Q102" s="7556"/>
      <c r="R102" s="7556"/>
      <c r="S102" s="7556"/>
      <c r="T102" s="7557"/>
      <c r="U102" s="54"/>
      <c r="V102" s="54"/>
      <c r="W102" s="54"/>
      <c r="X102" s="54"/>
      <c r="Y102" s="54"/>
      <c r="Z102" s="54"/>
      <c r="AA102" s="3">
        <v>1</v>
      </c>
    </row>
    <row r="103" spans="1:27" ht="21" customHeight="1">
      <c r="A103" s="7129" t="str">
        <f>B102</f>
        <v>Gastronormes tableau N° 1</v>
      </c>
      <c r="B103" s="2758" t="str">
        <f>ADDRESS(ROW(),COLUMN(),4)</f>
        <v>B103</v>
      </c>
      <c r="C103" s="5776" t="s">
        <v>9521</v>
      </c>
      <c r="D103" s="2720"/>
      <c r="E103" s="2720"/>
      <c r="F103" s="2720"/>
      <c r="G103" s="2720"/>
      <c r="H103" s="2720"/>
      <c r="I103" s="2720"/>
      <c r="J103" s="2720"/>
      <c r="K103" s="2720"/>
      <c r="L103" s="2720"/>
      <c r="M103" s="2720"/>
      <c r="N103" s="2720"/>
      <c r="O103" s="2721"/>
      <c r="P103" s="2720"/>
      <c r="Q103" s="2721"/>
      <c r="R103" s="2721"/>
      <c r="S103" s="2721"/>
      <c r="T103" s="2759" t="s">
        <v>10323</v>
      </c>
      <c r="U103" s="54"/>
      <c r="V103" s="54"/>
      <c r="W103" s="54"/>
      <c r="X103" s="54"/>
      <c r="Y103" s="54"/>
      <c r="Z103" s="54"/>
      <c r="AA103" s="3">
        <v>1</v>
      </c>
    </row>
    <row r="104" spans="1:27" ht="21" customHeight="1">
      <c r="A104" s="7129"/>
      <c r="B104" s="7558" t="s">
        <v>10324</v>
      </c>
      <c r="C104" s="7559"/>
      <c r="D104" s="7559"/>
      <c r="E104" s="7559"/>
      <c r="F104" s="7559"/>
      <c r="G104" s="7559"/>
      <c r="H104" s="7559"/>
      <c r="I104" s="7559"/>
      <c r="J104" s="7559"/>
      <c r="K104" s="7559"/>
      <c r="L104" s="7560" t="s">
        <v>10325</v>
      </c>
      <c r="M104" s="7561"/>
      <c r="N104" s="7561"/>
      <c r="O104" s="7561"/>
      <c r="P104" s="7561"/>
      <c r="Q104" s="7561"/>
      <c r="R104" s="7561"/>
      <c r="S104" s="7561"/>
      <c r="T104" s="7562"/>
      <c r="U104" s="54"/>
      <c r="V104" s="54"/>
      <c r="W104" s="54"/>
      <c r="X104" s="54"/>
      <c r="Y104" s="54"/>
      <c r="Z104" s="54"/>
      <c r="AA104" s="3">
        <v>1</v>
      </c>
    </row>
    <row r="105" spans="1:27" ht="21" customHeight="1">
      <c r="A105" s="7129"/>
      <c r="B105" s="7563" t="s">
        <v>10326</v>
      </c>
      <c r="C105" s="7564"/>
      <c r="D105" s="7564"/>
      <c r="E105" s="7569" t="s">
        <v>10248</v>
      </c>
      <c r="F105" s="7572" t="s">
        <v>10327</v>
      </c>
      <c r="G105" s="7575" t="s">
        <v>10328</v>
      </c>
      <c r="H105" s="7576"/>
      <c r="I105" s="7576"/>
      <c r="J105" s="7576"/>
      <c r="K105" s="7577"/>
      <c r="L105" s="7578" t="s">
        <v>10329</v>
      </c>
      <c r="M105" s="7579"/>
      <c r="N105" s="7582" t="s">
        <v>10330</v>
      </c>
      <c r="O105" s="7583"/>
      <c r="P105" s="7583"/>
      <c r="Q105" s="7583"/>
      <c r="R105" s="7583"/>
      <c r="S105" s="7583"/>
      <c r="T105" s="7584"/>
      <c r="U105" s="54"/>
      <c r="V105" s="54"/>
      <c r="W105" s="54"/>
      <c r="X105" s="54"/>
      <c r="Y105" s="54"/>
      <c r="Z105" s="54"/>
      <c r="AA105" s="3">
        <v>1</v>
      </c>
    </row>
    <row r="106" spans="1:27" ht="21" customHeight="1">
      <c r="A106" s="7129"/>
      <c r="B106" s="7565"/>
      <c r="C106" s="7566"/>
      <c r="D106" s="7566"/>
      <c r="E106" s="7570"/>
      <c r="F106" s="7573"/>
      <c r="G106" s="2760" t="s">
        <v>10331</v>
      </c>
      <c r="H106" s="2761" t="s">
        <v>10332</v>
      </c>
      <c r="I106" s="2762" t="s">
        <v>8189</v>
      </c>
      <c r="J106" s="2762" t="s">
        <v>10333</v>
      </c>
      <c r="K106" s="2762" t="s">
        <v>8191</v>
      </c>
      <c r="L106" s="7580"/>
      <c r="M106" s="7581"/>
      <c r="N106" s="7585"/>
      <c r="O106" s="7586"/>
      <c r="P106" s="7586"/>
      <c r="Q106" s="7586"/>
      <c r="R106" s="7586"/>
      <c r="S106" s="7586"/>
      <c r="T106" s="7587"/>
      <c r="U106" s="54"/>
      <c r="V106" s="54"/>
      <c r="W106" s="54"/>
      <c r="X106" s="54"/>
      <c r="Y106" s="54"/>
      <c r="Z106" s="54"/>
      <c r="AA106" s="3">
        <v>1</v>
      </c>
    </row>
    <row r="107" spans="1:27" ht="21" customHeight="1">
      <c r="A107" s="7129"/>
      <c r="B107" s="7565"/>
      <c r="C107" s="7566"/>
      <c r="D107" s="7566"/>
      <c r="E107" s="7570"/>
      <c r="F107" s="7573"/>
      <c r="G107" s="2763">
        <v>12</v>
      </c>
      <c r="H107" s="2763">
        <v>25</v>
      </c>
      <c r="I107" s="2763">
        <v>14</v>
      </c>
      <c r="J107" s="2763">
        <v>7</v>
      </c>
      <c r="K107" s="2763">
        <v>10</v>
      </c>
      <c r="L107" s="7591" t="s">
        <v>10334</v>
      </c>
      <c r="M107" s="7592"/>
      <c r="N107" s="7585"/>
      <c r="O107" s="7586"/>
      <c r="P107" s="7586"/>
      <c r="Q107" s="7586"/>
      <c r="R107" s="7586"/>
      <c r="S107" s="7586"/>
      <c r="T107" s="7587"/>
      <c r="U107" s="54"/>
      <c r="V107" s="54"/>
      <c r="W107" s="54"/>
      <c r="X107" s="54"/>
      <c r="Y107" s="54"/>
      <c r="Z107" s="54"/>
      <c r="AA107" s="3">
        <v>1</v>
      </c>
    </row>
    <row r="108" spans="1:27" ht="21" customHeight="1" thickBot="1">
      <c r="A108" s="7129"/>
      <c r="B108" s="7567"/>
      <c r="C108" s="7568"/>
      <c r="D108" s="7568"/>
      <c r="E108" s="7571"/>
      <c r="F108" s="7574"/>
      <c r="G108" s="7593" t="s">
        <v>10335</v>
      </c>
      <c r="H108" s="7593"/>
      <c r="I108" s="7593"/>
      <c r="J108" s="7593"/>
      <c r="K108" s="7593"/>
      <c r="L108" s="7594">
        <f>SUM(G107:K107)</f>
        <v>68</v>
      </c>
      <c r="M108" s="7595"/>
      <c r="N108" s="7588"/>
      <c r="O108" s="7589"/>
      <c r="P108" s="7589"/>
      <c r="Q108" s="7589"/>
      <c r="R108" s="7589"/>
      <c r="S108" s="7589"/>
      <c r="T108" s="7590"/>
      <c r="U108" s="54"/>
      <c r="V108" s="54"/>
      <c r="W108" s="54"/>
      <c r="X108" s="54"/>
      <c r="Y108" s="54"/>
      <c r="Z108" s="54"/>
      <c r="AA108" s="3">
        <v>1</v>
      </c>
    </row>
    <row r="109" spans="1:27" ht="21" customHeight="1">
      <c r="A109" s="7129"/>
      <c r="B109" s="2764" t="s">
        <v>10336</v>
      </c>
      <c r="C109" s="2765"/>
      <c r="D109" s="2765"/>
      <c r="E109" s="2765"/>
      <c r="F109" s="2765"/>
      <c r="G109" s="2765"/>
      <c r="H109" s="2765"/>
      <c r="I109" s="2765"/>
      <c r="J109" s="2765"/>
      <c r="K109" s="2765"/>
      <c r="L109" s="2765"/>
      <c r="M109" s="2765"/>
      <c r="N109" s="2765"/>
      <c r="O109" s="2765"/>
      <c r="P109" s="2765"/>
      <c r="Q109" s="2765"/>
      <c r="R109" s="2765"/>
      <c r="S109" s="2765"/>
      <c r="T109" s="2766" t="s">
        <v>10336</v>
      </c>
      <c r="U109" s="54"/>
      <c r="V109" s="54"/>
      <c r="W109" s="54"/>
      <c r="X109" s="54"/>
      <c r="Y109" s="54"/>
      <c r="Z109" s="54"/>
      <c r="AA109" s="3">
        <v>1</v>
      </c>
    </row>
    <row r="110" spans="1:27" ht="21" customHeight="1">
      <c r="A110" s="7129"/>
      <c r="B110" s="7529" t="s">
        <v>10337</v>
      </c>
      <c r="C110" s="7530"/>
      <c r="D110" s="7530"/>
      <c r="E110" s="2767">
        <v>25</v>
      </c>
      <c r="F110" s="2768" t="s">
        <v>8172</v>
      </c>
      <c r="G110" s="2769">
        <v>0.5</v>
      </c>
      <c r="H110" s="2769">
        <v>1</v>
      </c>
      <c r="I110" s="2769">
        <v>1</v>
      </c>
      <c r="J110" s="2769">
        <v>1</v>
      </c>
      <c r="K110" s="2769">
        <v>1</v>
      </c>
      <c r="L110" s="2770">
        <f>(G110*G107)+(H110*H107)+(I110*I107)+(J110*J107)+(K110*K107)</f>
        <v>62</v>
      </c>
      <c r="M110" s="7533" t="str">
        <f>F110</f>
        <v>paupiettes</v>
      </c>
      <c r="N110" s="7533"/>
      <c r="O110" s="2771">
        <f>IF(L110=0,0,INT(L110/E110))</f>
        <v>2</v>
      </c>
      <c r="P110" s="2772">
        <f>L110-(O110*E110)</f>
        <v>12</v>
      </c>
      <c r="Q110" s="2773" t="str">
        <f>IF(P110=0,0,F110)</f>
        <v>paupiettes</v>
      </c>
      <c r="R110" s="2774">
        <f>IF(P110=0,0,O110+1)</f>
        <v>3</v>
      </c>
      <c r="S110" s="2772">
        <f>IF(P110=0,0,L110-(R110*E110))</f>
        <v>-13</v>
      </c>
      <c r="T110" s="2775" t="str">
        <f>IF(S110=0,0,F110)</f>
        <v>paupiettes</v>
      </c>
      <c r="U110" s="54"/>
      <c r="V110" s="54"/>
      <c r="W110" s="54"/>
      <c r="X110" s="54"/>
      <c r="Y110" s="54"/>
      <c r="Z110" s="54"/>
      <c r="AA110" s="3">
        <v>1</v>
      </c>
    </row>
    <row r="111" spans="1:27" ht="21" customHeight="1">
      <c r="A111" s="7129"/>
      <c r="B111" s="7529" t="s">
        <v>10338</v>
      </c>
      <c r="C111" s="7530"/>
      <c r="D111" s="7530"/>
      <c r="E111" s="2767">
        <v>12</v>
      </c>
      <c r="F111" s="2768" t="s">
        <v>10339</v>
      </c>
      <c r="G111" s="2769">
        <v>1</v>
      </c>
      <c r="H111" s="2769">
        <v>1</v>
      </c>
      <c r="I111" s="2769">
        <v>1</v>
      </c>
      <c r="J111" s="2769">
        <v>1</v>
      </c>
      <c r="K111" s="2769">
        <v>1</v>
      </c>
      <c r="L111" s="2770">
        <f>(G111*G107)+(H111*H107)+(I111*I107)+(J111*J107)+(K111*K107)</f>
        <v>68</v>
      </c>
      <c r="M111" s="7533" t="str">
        <f>F111</f>
        <v>Cuisses</v>
      </c>
      <c r="N111" s="7533"/>
      <c r="O111" s="2771">
        <f>IF(L111=0,0,INT(L111/E111))</f>
        <v>5</v>
      </c>
      <c r="P111" s="2772">
        <f>L111-(O111*E111)</f>
        <v>8</v>
      </c>
      <c r="Q111" s="2773" t="str">
        <f>IF(P111=0,0,F111)</f>
        <v>Cuisses</v>
      </c>
      <c r="R111" s="2774">
        <f>IF(P111=0,0,O111+1)</f>
        <v>6</v>
      </c>
      <c r="S111" s="2772">
        <f>IF(P111=0,0,L111-(R111*E111))</f>
        <v>-4</v>
      </c>
      <c r="T111" s="2775" t="str">
        <f>IF(S111=0,0,F111)</f>
        <v>Cuisses</v>
      </c>
      <c r="U111" s="54"/>
      <c r="V111" s="54"/>
      <c r="W111" s="54"/>
      <c r="X111" s="54"/>
      <c r="Y111" s="54"/>
      <c r="Z111" s="54"/>
      <c r="AA111" s="3">
        <v>1</v>
      </c>
    </row>
    <row r="112" spans="1:27" ht="21" customHeight="1">
      <c r="A112" s="7129"/>
      <c r="B112" s="7529" t="s">
        <v>10340</v>
      </c>
      <c r="C112" s="7530"/>
      <c r="D112" s="7530"/>
      <c r="E112" s="2767">
        <v>60</v>
      </c>
      <c r="F112" s="2768" t="s">
        <v>884</v>
      </c>
      <c r="G112" s="2769">
        <v>1</v>
      </c>
      <c r="H112" s="2776">
        <v>1.5</v>
      </c>
      <c r="I112" s="2769">
        <v>2</v>
      </c>
      <c r="J112" s="2769">
        <v>3</v>
      </c>
      <c r="K112" s="2769">
        <v>2</v>
      </c>
      <c r="L112" s="2770">
        <f>(G112*G107)+(H112*H107)+(I112*I107)+(J112*J107)+(K112*K107)</f>
        <v>118.5</v>
      </c>
      <c r="M112" s="7533" t="str">
        <f>F112</f>
        <v>tranches</v>
      </c>
      <c r="N112" s="7533"/>
      <c r="O112" s="2771">
        <f>IF(L112=0,0,INT(L112/E112))</f>
        <v>1</v>
      </c>
      <c r="P112" s="2772">
        <f>L112-(O112*E112)</f>
        <v>58.5</v>
      </c>
      <c r="Q112" s="2773" t="str">
        <f>IF(P112=0,0,F112)</f>
        <v>tranches</v>
      </c>
      <c r="R112" s="2774">
        <f>IF(P112=0,0,O112+1)</f>
        <v>2</v>
      </c>
      <c r="S112" s="2772">
        <f>IF(P112=0,0,L112-(R112*E112))</f>
        <v>-1.5</v>
      </c>
      <c r="T112" s="2775" t="str">
        <f>IF(S112=0,0,F112)</f>
        <v>tranches</v>
      </c>
      <c r="U112" s="54"/>
      <c r="V112" s="54"/>
      <c r="W112" s="54"/>
      <c r="X112" s="54"/>
      <c r="Y112" s="54"/>
      <c r="Z112" s="54"/>
      <c r="AA112" s="3">
        <v>1</v>
      </c>
    </row>
    <row r="113" spans="1:27" ht="21" customHeight="1" thickBot="1">
      <c r="A113" s="7129"/>
      <c r="B113" s="7529" t="s">
        <v>10341</v>
      </c>
      <c r="C113" s="7530"/>
      <c r="D113" s="7530"/>
      <c r="E113" s="2767">
        <v>20</v>
      </c>
      <c r="F113" s="2768" t="s">
        <v>8173</v>
      </c>
      <c r="G113" s="2769">
        <v>1</v>
      </c>
      <c r="H113" s="2769">
        <v>1.5</v>
      </c>
      <c r="I113" s="2769">
        <v>2</v>
      </c>
      <c r="J113" s="2769">
        <v>3</v>
      </c>
      <c r="K113" s="2769">
        <v>2</v>
      </c>
      <c r="L113" s="2777">
        <f>(G113*G107)+(H113*H107)+(I113*I107)+(J113*J107)+(K113*K107)</f>
        <v>118.5</v>
      </c>
      <c r="M113" s="7531" t="str">
        <f>F113</f>
        <v>tomates</v>
      </c>
      <c r="N113" s="7531"/>
      <c r="O113" s="2778">
        <f>IF(L113=0,0,INT(L113/E113))</f>
        <v>5</v>
      </c>
      <c r="P113" s="2779">
        <f>L113-(O113*E113)</f>
        <v>18.5</v>
      </c>
      <c r="Q113" s="2780" t="str">
        <f>IF(P113=0,0,F113)</f>
        <v>tomates</v>
      </c>
      <c r="R113" s="2781">
        <f>IF(P113=0,0,O113+1)</f>
        <v>6</v>
      </c>
      <c r="S113" s="2779">
        <f>IF(P113=0,0,L113-(R113*E113))</f>
        <v>-1.5</v>
      </c>
      <c r="T113" s="2782" t="str">
        <f>IF(S113=0,0,F113)</f>
        <v>tomates</v>
      </c>
      <c r="U113" s="54"/>
      <c r="V113" s="54"/>
      <c r="W113" s="54"/>
      <c r="X113" s="54"/>
      <c r="Y113" s="54"/>
      <c r="Z113" s="54"/>
      <c r="AA113" s="3">
        <v>1</v>
      </c>
    </row>
    <row r="114" spans="1:27" ht="21" customHeight="1">
      <c r="A114" s="7129"/>
      <c r="B114" s="2783" t="s">
        <v>10342</v>
      </c>
      <c r="C114" s="2784"/>
      <c r="D114" s="2784"/>
      <c r="E114" s="2784"/>
      <c r="F114" s="2784"/>
      <c r="G114" s="2784"/>
      <c r="H114" s="2784"/>
      <c r="I114" s="2784"/>
      <c r="J114" s="2784"/>
      <c r="K114" s="2784"/>
      <c r="L114" s="2784"/>
      <c r="M114" s="2784"/>
      <c r="N114" s="2784"/>
      <c r="O114" s="2784"/>
      <c r="P114" s="2784"/>
      <c r="Q114" s="2784"/>
      <c r="R114" s="2784"/>
      <c r="S114" s="2784"/>
      <c r="T114" s="2785" t="s">
        <v>10342</v>
      </c>
      <c r="U114" s="54"/>
      <c r="V114" s="54"/>
      <c r="W114" s="54"/>
      <c r="X114" s="54"/>
      <c r="Y114" s="54"/>
      <c r="Z114" s="54"/>
      <c r="AA114" s="3">
        <v>1</v>
      </c>
    </row>
    <row r="115" spans="1:27" ht="21" customHeight="1">
      <c r="A115" s="7129"/>
      <c r="B115" s="7532" t="s">
        <v>10343</v>
      </c>
      <c r="C115" s="7530"/>
      <c r="D115" s="7530"/>
      <c r="E115" s="2767">
        <v>3</v>
      </c>
      <c r="F115" s="2768" t="s">
        <v>837</v>
      </c>
      <c r="G115" s="2769">
        <v>7.4999999999999997E-2</v>
      </c>
      <c r="H115" s="2786">
        <v>0.09</v>
      </c>
      <c r="I115" s="2786">
        <v>0.15</v>
      </c>
      <c r="J115" s="2786">
        <v>0.18</v>
      </c>
      <c r="K115" s="2786">
        <v>0.13</v>
      </c>
      <c r="L115" s="2787">
        <f>(G115*G107)+(H115*H107)+(I115*I107)+(J115*J107)+(K115*K107)</f>
        <v>7.81</v>
      </c>
      <c r="M115" s="7533" t="str">
        <f>F115</f>
        <v>Kg</v>
      </c>
      <c r="N115" s="7533"/>
      <c r="O115" s="2771">
        <f>IF(L115=0,0,INT(L115/E115))</f>
        <v>2</v>
      </c>
      <c r="P115" s="2788">
        <f>L115-(O115*E115)</f>
        <v>1.8099999999999996</v>
      </c>
      <c r="Q115" s="2773" t="str">
        <f>IF(P115=0,0,F115)</f>
        <v>Kg</v>
      </c>
      <c r="R115" s="2774">
        <f>IF(P115=0,0,O115+1)</f>
        <v>3</v>
      </c>
      <c r="S115" s="2772">
        <f>IF(P115=0,0,L115-(R115*E115))</f>
        <v>-1.1900000000000004</v>
      </c>
      <c r="T115" s="2789" t="str">
        <f>IF(S115=0,0,F115)</f>
        <v>Kg</v>
      </c>
      <c r="U115" s="54"/>
      <c r="V115" s="54"/>
      <c r="W115" s="54"/>
      <c r="X115" s="54"/>
      <c r="Y115" s="54"/>
      <c r="Z115" s="54"/>
      <c r="AA115" s="3">
        <v>1</v>
      </c>
    </row>
    <row r="116" spans="1:27" ht="21" customHeight="1">
      <c r="A116" s="7129"/>
      <c r="B116" s="7532" t="s">
        <v>10344</v>
      </c>
      <c r="C116" s="7530"/>
      <c r="D116" s="7530"/>
      <c r="E116" s="2767">
        <v>7.2</v>
      </c>
      <c r="F116" s="2790" t="s">
        <v>837</v>
      </c>
      <c r="G116" s="2786">
        <v>0.2</v>
      </c>
      <c r="H116" s="2786">
        <v>0.25</v>
      </c>
      <c r="I116" s="2786">
        <v>0.35</v>
      </c>
      <c r="J116" s="2786">
        <v>0.45</v>
      </c>
      <c r="K116" s="2786">
        <v>0.35</v>
      </c>
      <c r="L116" s="2787">
        <f>(G116*G107)+(H116*H107)+(I116*I107)+(J116*J107)+(K116*K107)</f>
        <v>20.2</v>
      </c>
      <c r="M116" s="7533" t="str">
        <f>F116</f>
        <v>Kg</v>
      </c>
      <c r="N116" s="7533"/>
      <c r="O116" s="2771">
        <f>IF(L116=0,0,INT(L116/E116))</f>
        <v>2</v>
      </c>
      <c r="P116" s="2788">
        <f>L116-(O116*E116)</f>
        <v>5.7999999999999989</v>
      </c>
      <c r="Q116" s="2773" t="str">
        <f>IF(P116=0,0,F116)</f>
        <v>Kg</v>
      </c>
      <c r="R116" s="2774">
        <f>IF(P116=0,0,O116+1)</f>
        <v>3</v>
      </c>
      <c r="S116" s="2772">
        <f>IF(P116=0,0,L116-(R116*E116))</f>
        <v>-1.4000000000000021</v>
      </c>
      <c r="T116" s="2789" t="str">
        <f>IF(S116=0,0,F116)</f>
        <v>Kg</v>
      </c>
      <c r="U116" s="54"/>
      <c r="V116" s="54"/>
      <c r="W116" s="54"/>
      <c r="X116" s="54"/>
      <c r="Y116" s="54"/>
      <c r="Z116" s="54"/>
      <c r="AA116" s="3">
        <v>1</v>
      </c>
    </row>
    <row r="117" spans="1:27" ht="21" customHeight="1">
      <c r="A117" s="7129"/>
      <c r="B117" s="7536" t="s">
        <v>10345</v>
      </c>
      <c r="C117" s="7537"/>
      <c r="D117" s="7537"/>
      <c r="E117" s="2791">
        <v>4</v>
      </c>
      <c r="F117" s="2792" t="s">
        <v>837</v>
      </c>
      <c r="G117" s="5777">
        <v>0.2</v>
      </c>
      <c r="H117" s="5777">
        <v>0.25</v>
      </c>
      <c r="I117" s="5777">
        <v>0.35</v>
      </c>
      <c r="J117" s="5777">
        <v>0.45</v>
      </c>
      <c r="K117" s="5777">
        <v>0.35</v>
      </c>
      <c r="L117" s="5778">
        <f>(G117*G107)+(H117*H107)+(I117*I107)+(J117*J107)+(K117*K107)</f>
        <v>20.2</v>
      </c>
      <c r="M117" s="7538" t="str">
        <f>F117</f>
        <v>Kg</v>
      </c>
      <c r="N117" s="7538"/>
      <c r="O117" s="2793">
        <f>IF(L117=0,0,INT(L117/E117))</f>
        <v>5</v>
      </c>
      <c r="P117" s="2794">
        <f>L117-(O117*E117)</f>
        <v>0.19999999999999929</v>
      </c>
      <c r="Q117" s="5779" t="str">
        <f>IF(P117=0,0,F117)</f>
        <v>Kg</v>
      </c>
      <c r="R117" s="5780">
        <f>IF(P117=0,0,O117+1)</f>
        <v>6</v>
      </c>
      <c r="S117" s="2795">
        <f>IF(P117=0,0,L117-(R117*E117))</f>
        <v>-3.8000000000000007</v>
      </c>
      <c r="T117" s="2796" t="str">
        <f>IF(S117=0,0,F117)</f>
        <v>Kg</v>
      </c>
      <c r="U117" s="54"/>
      <c r="V117" s="54"/>
      <c r="W117" s="54"/>
      <c r="X117" s="54"/>
      <c r="Y117" s="54"/>
      <c r="Z117" s="54"/>
      <c r="AA117" s="3">
        <v>1</v>
      </c>
    </row>
    <row r="118" spans="1:27" ht="21" customHeight="1">
      <c r="A118" s="7129"/>
      <c r="B118" s="5781" t="s">
        <v>10346</v>
      </c>
      <c r="C118" s="5782"/>
      <c r="D118" s="5782"/>
      <c r="E118" s="5783"/>
      <c r="F118" s="5784"/>
      <c r="G118" s="5785"/>
      <c r="H118" s="5785"/>
      <c r="I118" s="5785"/>
      <c r="J118" s="5785"/>
      <c r="K118" s="5785"/>
      <c r="L118" s="5786"/>
      <c r="M118" s="5787"/>
      <c r="N118" s="5787"/>
      <c r="O118" s="5788"/>
      <c r="P118" s="5789"/>
      <c r="Q118" s="5790"/>
      <c r="R118" s="5788"/>
      <c r="S118" s="5791"/>
      <c r="T118" s="5792"/>
      <c r="U118" s="54"/>
      <c r="V118" s="54"/>
      <c r="W118" s="54"/>
      <c r="X118" s="54"/>
      <c r="Y118" s="54"/>
      <c r="Z118" s="54"/>
      <c r="AA118" s="3">
        <v>1</v>
      </c>
    </row>
    <row r="119" spans="1:27" ht="21" customHeight="1">
      <c r="A119" s="7129"/>
      <c r="B119" s="5793" t="s">
        <v>10347</v>
      </c>
      <c r="C119" s="2797"/>
      <c r="D119" s="2797"/>
      <c r="E119" s="2798"/>
      <c r="F119" s="2799"/>
      <c r="G119" s="2800"/>
      <c r="H119" s="2800"/>
      <c r="I119" s="2800"/>
      <c r="J119" s="2800"/>
      <c r="K119" s="2800"/>
      <c r="L119" s="2801"/>
      <c r="M119" s="2802"/>
      <c r="N119" s="2802"/>
      <c r="O119" s="2803"/>
      <c r="P119" s="2804"/>
      <c r="Q119" s="2805"/>
      <c r="R119" s="2803"/>
      <c r="S119" s="2806"/>
      <c r="T119" s="2807"/>
      <c r="U119" s="54"/>
      <c r="V119" s="54"/>
      <c r="W119" s="54"/>
      <c r="X119" s="54"/>
      <c r="Y119" s="54"/>
      <c r="Z119" s="54"/>
      <c r="AA119" s="3">
        <v>1</v>
      </c>
    </row>
    <row r="120" spans="1:27" ht="21" customHeight="1">
      <c r="A120" s="7129"/>
      <c r="B120" s="2808"/>
      <c r="C120" s="2808"/>
      <c r="D120" s="2808"/>
      <c r="E120" s="2808"/>
      <c r="F120" s="2808"/>
      <c r="G120" s="7539" t="s">
        <v>9546</v>
      </c>
      <c r="H120" s="7539"/>
      <c r="I120" s="7539"/>
      <c r="J120" s="7539"/>
      <c r="K120" s="7539"/>
      <c r="L120" s="2808"/>
      <c r="M120" s="2808"/>
      <c r="N120" s="2808"/>
      <c r="O120" s="2808"/>
      <c r="P120" s="2808"/>
      <c r="Q120" s="2808"/>
      <c r="R120" s="2808"/>
      <c r="S120" s="2809"/>
      <c r="T120" s="2810"/>
      <c r="U120" s="54"/>
      <c r="V120" s="54"/>
      <c r="W120" s="54"/>
      <c r="X120" s="54"/>
      <c r="Y120" s="54"/>
      <c r="Z120" s="54"/>
      <c r="AA120" s="3">
        <v>1</v>
      </c>
    </row>
    <row r="121" spans="1:27" s="2684" customFormat="1" ht="21" customHeight="1" thickBo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3">
        <v>1</v>
      </c>
    </row>
    <row r="122" spans="1:27" s="2684" customFormat="1" ht="21" customHeight="1">
      <c r="A122" s="5794" t="s">
        <v>166</v>
      </c>
      <c r="B122" s="7540" t="s">
        <v>10248</v>
      </c>
      <c r="C122" s="7541"/>
      <c r="D122" s="7541"/>
      <c r="E122" s="7541"/>
      <c r="F122" s="7542"/>
      <c r="G122" s="2707"/>
      <c r="H122" s="2707"/>
      <c r="I122" s="2707"/>
      <c r="J122" s="2707"/>
      <c r="K122" s="2708"/>
      <c r="L122" s="2708"/>
      <c r="M122" s="54"/>
      <c r="N122" s="54"/>
      <c r="O122" s="54"/>
      <c r="P122" s="54"/>
      <c r="Q122" s="54"/>
      <c r="R122" s="54"/>
      <c r="S122" s="54"/>
      <c r="T122" s="54"/>
      <c r="U122" s="54"/>
      <c r="V122" s="54"/>
      <c r="W122" s="54"/>
      <c r="X122" s="54"/>
      <c r="Y122" s="54"/>
      <c r="Z122" s="54"/>
      <c r="AA122" s="3">
        <v>1</v>
      </c>
    </row>
    <row r="123" spans="1:27" s="2684" customFormat="1" ht="21" customHeight="1">
      <c r="A123" s="7453" t="str">
        <f>B122</f>
        <v>Contenance 1 Gastro</v>
      </c>
      <c r="B123" s="5757" t="str">
        <f>ADDRESS(ROW(),COLUMN(),4)</f>
        <v>B123</v>
      </c>
      <c r="C123" s="2615" t="s">
        <v>9521</v>
      </c>
      <c r="D123" s="2811"/>
      <c r="E123" s="2811"/>
      <c r="F123" s="2812"/>
      <c r="G123" s="2707"/>
      <c r="H123" s="2707"/>
      <c r="I123" s="2707"/>
      <c r="J123" s="2707"/>
      <c r="K123" s="2708"/>
      <c r="L123" s="2708"/>
      <c r="M123" s="54"/>
      <c r="N123" s="54"/>
      <c r="O123" s="54"/>
      <c r="P123" s="54"/>
      <c r="Q123" s="54"/>
      <c r="R123" s="54"/>
      <c r="S123" s="54"/>
      <c r="T123" s="54"/>
      <c r="U123" s="54"/>
      <c r="V123" s="54"/>
      <c r="W123" s="54"/>
      <c r="X123" s="54"/>
      <c r="Y123" s="54"/>
      <c r="Z123" s="54"/>
      <c r="AA123" s="3">
        <v>1</v>
      </c>
    </row>
    <row r="124" spans="1:27" s="2684" customFormat="1" ht="21" customHeight="1">
      <c r="A124" s="7453"/>
      <c r="B124" s="7527" t="s">
        <v>10348</v>
      </c>
      <c r="C124" s="7528"/>
      <c r="D124" s="7528"/>
      <c r="E124" s="2813">
        <v>16</v>
      </c>
      <c r="F124" s="2814" t="s">
        <v>10339</v>
      </c>
      <c r="G124" s="2707"/>
      <c r="H124" s="2707"/>
      <c r="I124" s="2707"/>
      <c r="J124" s="2707"/>
      <c r="K124" s="2708"/>
      <c r="L124" s="2708"/>
      <c r="M124" s="54"/>
      <c r="N124" s="54"/>
      <c r="O124" s="54"/>
      <c r="P124" s="54"/>
      <c r="Q124" s="54"/>
      <c r="R124" s="54"/>
      <c r="S124" s="54"/>
      <c r="T124" s="54"/>
      <c r="U124" s="54"/>
      <c r="V124" s="54"/>
      <c r="W124" s="54"/>
      <c r="X124" s="54"/>
      <c r="Y124" s="54"/>
      <c r="Z124" s="54"/>
      <c r="AA124" s="3">
        <v>1</v>
      </c>
    </row>
    <row r="125" spans="1:27" s="2684" customFormat="1" ht="21" customHeight="1">
      <c r="A125" s="7453"/>
      <c r="B125" s="7527" t="s">
        <v>10349</v>
      </c>
      <c r="C125" s="7528"/>
      <c r="D125" s="7528"/>
      <c r="E125" s="2813">
        <v>24</v>
      </c>
      <c r="F125" s="2814" t="s">
        <v>10339</v>
      </c>
      <c r="G125" s="2707"/>
      <c r="H125" s="2707"/>
      <c r="I125" s="2707"/>
      <c r="J125" s="2707"/>
      <c r="K125" s="2708"/>
      <c r="L125" s="2708"/>
      <c r="M125" s="54"/>
      <c r="N125" s="54"/>
      <c r="O125" s="54"/>
      <c r="P125" s="54"/>
      <c r="Q125" s="54"/>
      <c r="R125" s="54"/>
      <c r="S125" s="54"/>
      <c r="T125" s="54"/>
      <c r="U125" s="54"/>
      <c r="V125" s="54"/>
      <c r="W125" s="54"/>
      <c r="X125" s="54"/>
      <c r="Y125" s="54"/>
      <c r="Z125" s="54"/>
      <c r="AA125" s="3">
        <v>1</v>
      </c>
    </row>
    <row r="126" spans="1:27" s="2684" customFormat="1" ht="21" customHeight="1">
      <c r="A126" s="7453"/>
      <c r="B126" s="7527" t="s">
        <v>10350</v>
      </c>
      <c r="C126" s="7528"/>
      <c r="D126" s="7528"/>
      <c r="E126" s="2813">
        <v>20</v>
      </c>
      <c r="F126" s="2814" t="s">
        <v>10339</v>
      </c>
      <c r="G126" s="2707"/>
      <c r="H126" s="2707"/>
      <c r="I126" s="2707"/>
      <c r="J126" s="2707"/>
      <c r="K126" s="2708"/>
      <c r="L126" s="2708"/>
      <c r="M126" s="54"/>
      <c r="N126" s="54"/>
      <c r="O126" s="54"/>
      <c r="P126" s="54"/>
      <c r="Q126" s="54"/>
      <c r="R126" s="54"/>
      <c r="S126" s="54"/>
      <c r="T126" s="54"/>
      <c r="U126" s="54"/>
      <c r="V126" s="54"/>
      <c r="W126" s="54"/>
      <c r="X126" s="54"/>
      <c r="Y126" s="54"/>
      <c r="Z126" s="54"/>
      <c r="AA126" s="3">
        <v>1</v>
      </c>
    </row>
    <row r="127" spans="1:27" s="2684" customFormat="1" ht="21" customHeight="1">
      <c r="A127" s="7453"/>
      <c r="B127" s="7527" t="s">
        <v>10351</v>
      </c>
      <c r="C127" s="7528"/>
      <c r="D127" s="7528"/>
      <c r="E127" s="2813">
        <v>25</v>
      </c>
      <c r="F127" s="2814" t="s">
        <v>8180</v>
      </c>
      <c r="G127" s="2707"/>
      <c r="H127" s="2707"/>
      <c r="I127" s="2707"/>
      <c r="J127" s="2707"/>
      <c r="K127" s="2708"/>
      <c r="L127" s="2708"/>
      <c r="M127" s="54"/>
      <c r="N127" s="54"/>
      <c r="O127" s="54"/>
      <c r="P127" s="54"/>
      <c r="Q127" s="54"/>
      <c r="R127" s="54"/>
      <c r="S127" s="54"/>
      <c r="T127" s="54"/>
      <c r="U127" s="54"/>
      <c r="V127" s="54"/>
      <c r="W127" s="54"/>
      <c r="X127" s="54"/>
      <c r="Y127" s="54"/>
      <c r="Z127" s="54"/>
      <c r="AA127" s="3">
        <v>1</v>
      </c>
    </row>
    <row r="128" spans="1:27" s="2684" customFormat="1" ht="21" customHeight="1">
      <c r="A128" s="7453"/>
      <c r="B128" s="7527" t="s">
        <v>10337</v>
      </c>
      <c r="C128" s="7528"/>
      <c r="D128" s="7528"/>
      <c r="E128" s="2813">
        <v>25</v>
      </c>
      <c r="F128" s="2814" t="s">
        <v>8172</v>
      </c>
      <c r="G128" s="2707"/>
      <c r="H128" s="2707"/>
      <c r="I128" s="2707"/>
      <c r="J128" s="2707"/>
      <c r="K128" s="2708"/>
      <c r="L128" s="2708"/>
      <c r="M128" s="54"/>
      <c r="N128" s="54"/>
      <c r="O128" s="54"/>
      <c r="P128" s="54"/>
      <c r="Q128" s="54"/>
      <c r="R128" s="54"/>
      <c r="S128" s="54"/>
      <c r="T128" s="54"/>
      <c r="U128" s="54"/>
      <c r="V128" s="54"/>
      <c r="W128" s="54"/>
      <c r="X128" s="54"/>
      <c r="Y128" s="54"/>
      <c r="Z128" s="54"/>
      <c r="AA128" s="3">
        <v>1</v>
      </c>
    </row>
    <row r="129" spans="1:27" s="2684" customFormat="1" ht="21" customHeight="1">
      <c r="A129" s="7453"/>
      <c r="B129" s="7527" t="s">
        <v>10338</v>
      </c>
      <c r="C129" s="7528"/>
      <c r="D129" s="7528"/>
      <c r="E129" s="2813">
        <v>12</v>
      </c>
      <c r="F129" s="2814" t="s">
        <v>10339</v>
      </c>
      <c r="G129" s="2707"/>
      <c r="H129" s="2707"/>
      <c r="I129" s="2707"/>
      <c r="J129" s="2707"/>
      <c r="K129" s="2708"/>
      <c r="L129" s="2708"/>
      <c r="M129" s="54"/>
      <c r="N129" s="54"/>
      <c r="O129" s="54"/>
      <c r="P129" s="54"/>
      <c r="Q129" s="54"/>
      <c r="R129" s="54"/>
      <c r="S129" s="54"/>
      <c r="T129" s="54"/>
      <c r="U129" s="54"/>
      <c r="V129" s="54"/>
      <c r="W129" s="54"/>
      <c r="X129" s="54"/>
      <c r="Y129" s="54"/>
      <c r="Z129" s="54"/>
      <c r="AA129" s="3">
        <v>1</v>
      </c>
    </row>
    <row r="130" spans="1:27" s="2684" customFormat="1" ht="21" customHeight="1">
      <c r="A130" s="7453"/>
      <c r="B130" s="7527" t="s">
        <v>10340</v>
      </c>
      <c r="C130" s="7528"/>
      <c r="D130" s="7528"/>
      <c r="E130" s="2813">
        <v>60</v>
      </c>
      <c r="F130" s="2814" t="s">
        <v>884</v>
      </c>
      <c r="G130" s="2707"/>
      <c r="H130" s="2707"/>
      <c r="I130" s="2707"/>
      <c r="J130" s="2707"/>
      <c r="K130" s="2708"/>
      <c r="L130" s="2708"/>
      <c r="M130" s="54"/>
      <c r="N130" s="54"/>
      <c r="O130" s="54"/>
      <c r="P130" s="54"/>
      <c r="Q130" s="54"/>
      <c r="R130" s="54"/>
      <c r="S130" s="54"/>
      <c r="T130" s="54"/>
      <c r="U130" s="54"/>
      <c r="V130" s="54"/>
      <c r="W130" s="54"/>
      <c r="X130" s="54"/>
      <c r="Y130" s="54"/>
      <c r="Z130" s="54"/>
      <c r="AA130" s="3">
        <v>1</v>
      </c>
    </row>
    <row r="131" spans="1:27" s="2684" customFormat="1" ht="21" customHeight="1">
      <c r="A131" s="7453"/>
      <c r="B131" s="7527" t="s">
        <v>10341</v>
      </c>
      <c r="C131" s="7528"/>
      <c r="D131" s="7528"/>
      <c r="E131" s="2813">
        <v>20</v>
      </c>
      <c r="F131" s="2814" t="s">
        <v>8173</v>
      </c>
      <c r="G131" s="2707"/>
      <c r="H131" s="2707"/>
      <c r="I131" s="2707"/>
      <c r="J131" s="2707"/>
      <c r="K131" s="2708"/>
      <c r="L131" s="2708"/>
      <c r="M131" s="54"/>
      <c r="N131" s="54"/>
      <c r="O131" s="54"/>
      <c r="P131" s="54"/>
      <c r="Q131" s="54"/>
      <c r="R131" s="54"/>
      <c r="S131" s="54"/>
      <c r="T131" s="54"/>
      <c r="U131" s="54"/>
      <c r="V131" s="54"/>
      <c r="W131" s="54"/>
      <c r="X131" s="54"/>
      <c r="Y131" s="54"/>
      <c r="Z131" s="54"/>
      <c r="AA131" s="3">
        <v>1</v>
      </c>
    </row>
    <row r="132" spans="1:27" s="2684" customFormat="1" ht="21" customHeight="1">
      <c r="A132" s="7453"/>
      <c r="B132" s="2815"/>
      <c r="C132" s="2816"/>
      <c r="D132" s="2816"/>
      <c r="E132" s="2816"/>
      <c r="F132" s="2817"/>
      <c r="G132" s="2707"/>
      <c r="H132" s="2707"/>
      <c r="I132" s="2707"/>
      <c r="J132" s="2707"/>
      <c r="K132" s="2708"/>
      <c r="L132" s="2708"/>
      <c r="M132" s="54"/>
      <c r="N132" s="54"/>
      <c r="O132" s="54"/>
      <c r="P132" s="54"/>
      <c r="Q132" s="54"/>
      <c r="R132" s="54"/>
      <c r="S132" s="54"/>
      <c r="T132" s="54"/>
      <c r="U132" s="54"/>
      <c r="V132" s="54"/>
      <c r="W132" s="54"/>
      <c r="X132" s="54"/>
      <c r="Y132" s="54"/>
      <c r="Z132" s="54"/>
      <c r="AA132" s="3">
        <v>1</v>
      </c>
    </row>
    <row r="133" spans="1:27" s="2684" customFormat="1" ht="21" customHeight="1">
      <c r="A133" s="7453"/>
      <c r="B133" s="7527" t="s">
        <v>10343</v>
      </c>
      <c r="C133" s="7528"/>
      <c r="D133" s="7528"/>
      <c r="E133" s="2813">
        <v>3</v>
      </c>
      <c r="F133" s="2814" t="s">
        <v>837</v>
      </c>
      <c r="G133" s="2707"/>
      <c r="H133" s="2707"/>
      <c r="I133" s="2707"/>
      <c r="J133" s="2707"/>
      <c r="K133" s="2708"/>
      <c r="L133" s="2708"/>
      <c r="M133" s="54"/>
      <c r="N133" s="54"/>
      <c r="O133" s="54"/>
      <c r="P133" s="54"/>
      <c r="Q133" s="54"/>
      <c r="R133" s="54"/>
      <c r="S133" s="54"/>
      <c r="T133" s="54"/>
      <c r="U133" s="54"/>
      <c r="V133" s="54"/>
      <c r="W133" s="54"/>
      <c r="X133" s="54"/>
      <c r="Y133" s="54"/>
      <c r="Z133" s="54"/>
      <c r="AA133" s="3">
        <v>1</v>
      </c>
    </row>
    <row r="134" spans="1:27" s="2684" customFormat="1" ht="21" customHeight="1">
      <c r="A134" s="7453"/>
      <c r="B134" s="7527" t="s">
        <v>10344</v>
      </c>
      <c r="C134" s="7528"/>
      <c r="D134" s="7528"/>
      <c r="E134" s="2813">
        <v>7.2</v>
      </c>
      <c r="F134" s="2814" t="s">
        <v>837</v>
      </c>
      <c r="G134" s="2707"/>
      <c r="H134" s="2707"/>
      <c r="I134" s="2707"/>
      <c r="J134" s="2707"/>
      <c r="K134" s="2708"/>
      <c r="L134" s="2708"/>
      <c r="M134" s="54"/>
      <c r="N134" s="54"/>
      <c r="O134" s="54"/>
      <c r="P134" s="54"/>
      <c r="Q134" s="54"/>
      <c r="R134" s="54"/>
      <c r="S134" s="54"/>
      <c r="T134" s="54"/>
      <c r="U134" s="54"/>
      <c r="V134" s="54"/>
      <c r="W134" s="54"/>
      <c r="X134" s="54"/>
      <c r="Y134" s="54"/>
      <c r="Z134" s="54"/>
      <c r="AA134" s="3">
        <v>1</v>
      </c>
    </row>
    <row r="135" spans="1:27" s="2684" customFormat="1" ht="21" customHeight="1" thickBot="1">
      <c r="A135" s="7453"/>
      <c r="B135" s="7534" t="s">
        <v>10345</v>
      </c>
      <c r="C135" s="7535"/>
      <c r="D135" s="7535"/>
      <c r="E135" s="2818">
        <v>4</v>
      </c>
      <c r="F135" s="2819" t="s">
        <v>837</v>
      </c>
      <c r="G135" s="2707"/>
      <c r="H135" s="2707"/>
      <c r="I135" s="2707"/>
      <c r="J135" s="2707"/>
      <c r="K135" s="2708"/>
      <c r="L135" s="2708"/>
      <c r="M135" s="54"/>
      <c r="N135" s="54"/>
      <c r="O135" s="54"/>
      <c r="P135" s="54"/>
      <c r="Q135" s="54"/>
      <c r="R135" s="54"/>
      <c r="S135" s="54"/>
      <c r="T135" s="54"/>
      <c r="U135" s="54"/>
      <c r="V135" s="54"/>
      <c r="W135" s="54"/>
      <c r="X135" s="54"/>
      <c r="Y135" s="54"/>
      <c r="Z135" s="54"/>
      <c r="AA135" s="3">
        <v>1</v>
      </c>
    </row>
    <row r="136" spans="1:27" s="2684" customFormat="1" ht="21" customHeight="1" thickBo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3">
        <v>1</v>
      </c>
    </row>
    <row r="137" spans="1:27" ht="21" customHeight="1">
      <c r="A137" s="5795" t="s">
        <v>166</v>
      </c>
      <c r="B137" s="7516" t="s">
        <v>10250</v>
      </c>
      <c r="C137" s="7517"/>
      <c r="D137" s="7517"/>
      <c r="E137" s="7517"/>
      <c r="F137" s="7517"/>
      <c r="G137" s="7517"/>
      <c r="H137" s="7517"/>
      <c r="I137" s="7517"/>
      <c r="J137" s="7517"/>
      <c r="K137" s="7517"/>
      <c r="L137" s="7518"/>
      <c r="M137" s="54"/>
      <c r="N137" s="54"/>
      <c r="O137" s="54"/>
      <c r="P137" s="54"/>
      <c r="Q137" s="54"/>
      <c r="R137" s="54"/>
      <c r="S137" s="54"/>
      <c r="T137" s="54"/>
      <c r="U137" s="54"/>
      <c r="V137" s="54"/>
      <c r="W137" s="54"/>
      <c r="X137" s="54"/>
      <c r="Y137" s="54"/>
      <c r="Z137" s="54"/>
      <c r="AA137" s="3">
        <v>1</v>
      </c>
    </row>
    <row r="138" spans="1:27" ht="21" customHeight="1">
      <c r="A138" s="7453" t="str">
        <f>B137</f>
        <v>une fonction intéressante : MODULO &gt; MOD</v>
      </c>
      <c r="B138" s="2758" t="str">
        <f>ADDRESS(ROW(),COLUMN(),4)</f>
        <v>B138</v>
      </c>
      <c r="C138" s="5776" t="s">
        <v>9521</v>
      </c>
      <c r="D138" s="5796"/>
      <c r="E138" s="5796"/>
      <c r="F138" s="5796"/>
      <c r="G138" s="5796"/>
      <c r="H138" s="5796"/>
      <c r="I138" s="5796"/>
      <c r="J138" s="5796"/>
      <c r="K138" s="5796"/>
      <c r="L138" s="5797"/>
      <c r="M138" s="54"/>
      <c r="N138" s="54"/>
      <c r="O138" s="54"/>
      <c r="P138" s="54"/>
      <c r="Q138" s="54"/>
      <c r="R138" s="54"/>
      <c r="S138" s="54"/>
      <c r="T138" s="54"/>
      <c r="U138" s="54"/>
      <c r="V138" s="54"/>
      <c r="W138" s="54"/>
      <c r="X138" s="54"/>
      <c r="Y138" s="54"/>
      <c r="Z138" s="54"/>
      <c r="AA138" s="3">
        <v>1</v>
      </c>
    </row>
    <row r="139" spans="1:27" ht="21" customHeight="1">
      <c r="A139" s="7453"/>
      <c r="B139" s="2820" t="s">
        <v>10352</v>
      </c>
      <c r="C139" s="7519" t="s">
        <v>10353</v>
      </c>
      <c r="D139" s="7519"/>
      <c r="E139" s="2822" t="s">
        <v>10354</v>
      </c>
      <c r="F139" s="2823"/>
      <c r="G139" s="7520" t="s">
        <v>10355</v>
      </c>
      <c r="H139" s="7520"/>
      <c r="I139" s="2825"/>
      <c r="J139" s="2825"/>
      <c r="K139" s="2826"/>
      <c r="L139" s="2827"/>
      <c r="M139" s="54"/>
      <c r="N139" s="54"/>
      <c r="O139" s="54"/>
      <c r="P139" s="54"/>
      <c r="Q139" s="54"/>
      <c r="R139" s="54"/>
      <c r="S139" s="54"/>
      <c r="T139" s="54"/>
      <c r="U139" s="54"/>
      <c r="V139" s="54"/>
      <c r="W139" s="54"/>
      <c r="X139" s="54"/>
      <c r="Y139" s="54"/>
      <c r="Z139" s="54"/>
      <c r="AA139" s="3">
        <v>1</v>
      </c>
    </row>
    <row r="140" spans="1:27" ht="21" customHeight="1">
      <c r="A140" s="7453"/>
      <c r="B140" s="2828" t="s">
        <v>10356</v>
      </c>
      <c r="C140" s="2821"/>
      <c r="D140" s="2821"/>
      <c r="E140" s="2822"/>
      <c r="F140" s="2823"/>
      <c r="G140" s="2824"/>
      <c r="H140" s="2824"/>
      <c r="I140" s="2821"/>
      <c r="J140" s="2821"/>
      <c r="K140" s="2826"/>
      <c r="L140" s="2827"/>
      <c r="M140" s="54"/>
      <c r="N140" s="54"/>
      <c r="O140" s="54"/>
      <c r="P140" s="54"/>
      <c r="Q140" s="54"/>
      <c r="R140" s="54"/>
      <c r="S140" s="54"/>
      <c r="T140" s="54"/>
      <c r="U140" s="54"/>
      <c r="V140" s="54"/>
      <c r="W140" s="54"/>
      <c r="X140" s="54"/>
      <c r="Y140" s="54"/>
      <c r="Z140" s="54"/>
      <c r="AA140" s="3">
        <v>1</v>
      </c>
    </row>
    <row r="141" spans="1:27" ht="21" customHeight="1">
      <c r="A141" s="7453"/>
      <c r="B141" s="2829"/>
      <c r="C141" s="7521" t="s">
        <v>10329</v>
      </c>
      <c r="D141" s="7522" t="s">
        <v>10357</v>
      </c>
      <c r="E141" s="7523" t="s">
        <v>10358</v>
      </c>
      <c r="F141" s="7523" t="s">
        <v>10359</v>
      </c>
      <c r="G141" s="2361"/>
      <c r="H141" s="2830"/>
      <c r="I141" s="2831"/>
      <c r="J141" s="2832"/>
      <c r="K141" s="2833"/>
      <c r="L141" s="2827"/>
      <c r="M141" s="54"/>
      <c r="N141" s="54"/>
      <c r="O141" s="54"/>
      <c r="P141" s="54"/>
      <c r="Q141" s="54"/>
      <c r="R141" s="54"/>
      <c r="S141" s="54"/>
      <c r="T141" s="54"/>
      <c r="U141" s="54"/>
      <c r="V141" s="54"/>
      <c r="W141" s="54"/>
      <c r="X141" s="54"/>
      <c r="Y141" s="54"/>
      <c r="Z141" s="54"/>
      <c r="AA141" s="3">
        <v>1</v>
      </c>
    </row>
    <row r="142" spans="1:27" ht="21" customHeight="1">
      <c r="A142" s="7453"/>
      <c r="B142" s="2829"/>
      <c r="C142" s="7521"/>
      <c r="D142" s="7522"/>
      <c r="E142" s="7523"/>
      <c r="F142" s="7523"/>
      <c r="G142" s="2353"/>
      <c r="H142" s="2834"/>
      <c r="I142" s="2834">
        <f>E143</f>
        <v>16</v>
      </c>
      <c r="J142" s="2835"/>
      <c r="K142" s="2835">
        <f>F143</f>
        <v>0.66999999999999993</v>
      </c>
      <c r="L142" s="2827"/>
      <c r="M142" s="54"/>
      <c r="N142" s="54"/>
      <c r="O142" s="54"/>
      <c r="P142" s="54"/>
      <c r="Q142" s="54"/>
      <c r="R142" s="54"/>
      <c r="S142" s="54"/>
      <c r="T142" s="54"/>
      <c r="U142" s="54"/>
      <c r="V142" s="54"/>
      <c r="W142" s="54"/>
      <c r="X142" s="54"/>
      <c r="Y142" s="54"/>
      <c r="Z142" s="54"/>
      <c r="AA142" s="3">
        <v>1</v>
      </c>
    </row>
    <row r="143" spans="1:27" ht="21" customHeight="1">
      <c r="A143" s="7453"/>
      <c r="B143" s="2829"/>
      <c r="C143" s="2836">
        <v>13.63</v>
      </c>
      <c r="D143" s="2837">
        <v>0.81</v>
      </c>
      <c r="E143" s="2838">
        <f>INT(C143/D143)</f>
        <v>16</v>
      </c>
      <c r="F143" s="2839">
        <f>MOD(C143,D143)</f>
        <v>0.66999999999999993</v>
      </c>
      <c r="G143" s="2823"/>
      <c r="H143" s="2840" t="s">
        <v>10360</v>
      </c>
      <c r="I143" s="2841" t="str">
        <f ca="1">_xlfn.FORMULATEXT(E143)</f>
        <v>=ENT(C143/D143)</v>
      </c>
      <c r="J143" s="2842" t="s">
        <v>10360</v>
      </c>
      <c r="K143" s="2843" t="str">
        <f ca="1">_xlfn.FORMULATEXT(F143)</f>
        <v>=MOD(C143;D143)</v>
      </c>
      <c r="L143" s="2827"/>
      <c r="M143" s="54"/>
      <c r="N143" s="54"/>
      <c r="O143" s="54"/>
      <c r="P143" s="54"/>
      <c r="Q143" s="54"/>
      <c r="R143" s="54"/>
      <c r="S143" s="54"/>
      <c r="T143" s="54"/>
      <c r="U143" s="54"/>
      <c r="V143" s="54"/>
      <c r="W143" s="54"/>
      <c r="X143" s="54"/>
      <c r="Y143" s="54"/>
      <c r="Z143" s="54"/>
      <c r="AA143" s="3">
        <v>1</v>
      </c>
    </row>
    <row r="144" spans="1:27" ht="21" customHeight="1">
      <c r="A144" s="7453"/>
      <c r="B144" s="2829"/>
      <c r="C144" s="2844" t="str">
        <f>LEFT(ADDRESS(1,COLUMN(),4),LEN(ADDRESS(1,COLUMN(),4))-1)</f>
        <v>C</v>
      </c>
      <c r="D144" s="2844" t="str">
        <f>LEFT(ADDRESS(1,COLUMN(),4),LEN(ADDRESS(1,COLUMN(),4))-1)</f>
        <v>D</v>
      </c>
      <c r="E144" s="2844" t="str">
        <f>LEFT(ADDRESS(1,COLUMN(),4),LEN(ADDRESS(1,COLUMN(),4))-1)</f>
        <v>E</v>
      </c>
      <c r="F144" s="2844" t="str">
        <f>LEFT(ADDRESS(1,COLUMN(),4),LEN(ADDRESS(1,COLUMN(),4))-1)</f>
        <v>F</v>
      </c>
      <c r="G144" s="2823"/>
      <c r="H144" s="2840"/>
      <c r="I144" s="2841"/>
      <c r="J144" s="2842"/>
      <c r="K144" s="2843"/>
      <c r="L144" s="2827"/>
      <c r="M144" s="54"/>
      <c r="N144" s="54"/>
      <c r="O144" s="54"/>
      <c r="P144" s="54"/>
      <c r="Q144" s="54"/>
      <c r="R144" s="54"/>
      <c r="S144" s="54"/>
      <c r="T144" s="54"/>
      <c r="U144" s="54"/>
      <c r="V144" s="54"/>
      <c r="W144" s="54"/>
      <c r="X144" s="54"/>
      <c r="Y144" s="54"/>
      <c r="Z144" s="54"/>
      <c r="AA144" s="3">
        <v>1</v>
      </c>
    </row>
    <row r="145" spans="1:27" ht="21" customHeight="1">
      <c r="A145" s="7453"/>
      <c r="B145" s="2829"/>
      <c r="C145" s="2214" t="s">
        <v>10361</v>
      </c>
      <c r="D145" s="2831"/>
      <c r="E145" s="2840"/>
      <c r="F145" s="2843"/>
      <c r="G145" s="2823"/>
      <c r="H145" s="2353"/>
      <c r="I145" s="2353"/>
      <c r="J145" s="2353"/>
      <c r="K145" s="2353"/>
      <c r="L145" s="2827"/>
      <c r="M145" s="54"/>
      <c r="N145" s="54"/>
      <c r="O145" s="54"/>
      <c r="P145" s="54"/>
      <c r="Q145" s="54"/>
      <c r="R145" s="54"/>
      <c r="S145" s="54"/>
      <c r="T145" s="54"/>
      <c r="U145" s="54"/>
      <c r="V145" s="54"/>
      <c r="W145" s="54"/>
      <c r="X145" s="54"/>
      <c r="Y145" s="54"/>
      <c r="Z145" s="54"/>
      <c r="AA145" s="3">
        <v>1</v>
      </c>
    </row>
    <row r="146" spans="1:27" ht="21" customHeight="1">
      <c r="A146" s="7453"/>
      <c r="B146" s="2829"/>
      <c r="C146" s="5798"/>
      <c r="D146" s="5799" t="s">
        <v>10329</v>
      </c>
      <c r="E146" s="5800">
        <v>13.63</v>
      </c>
      <c r="F146" s="5801">
        <f>IF(MOD(E146,E147)&gt;MOD(E146,E147)/2,INT(E146/E147)+1,INT(E146/E147))</f>
        <v>17</v>
      </c>
      <c r="G146" s="5802" t="s">
        <v>10362</v>
      </c>
      <c r="H146" s="5803"/>
      <c r="I146" s="5804"/>
      <c r="J146" s="2353"/>
      <c r="K146" s="2353"/>
      <c r="L146" s="2827"/>
      <c r="M146" s="54"/>
      <c r="N146" s="54"/>
      <c r="O146" s="54"/>
      <c r="P146" s="54"/>
      <c r="Q146" s="54"/>
      <c r="R146" s="54"/>
      <c r="S146" s="54"/>
      <c r="T146" s="54"/>
      <c r="U146" s="54"/>
      <c r="V146" s="54"/>
      <c r="W146" s="54"/>
      <c r="X146" s="54"/>
      <c r="Y146" s="54"/>
      <c r="Z146" s="54"/>
      <c r="AA146" s="3">
        <v>1</v>
      </c>
    </row>
    <row r="147" spans="1:27" ht="21" customHeight="1">
      <c r="A147" s="7453"/>
      <c r="B147" s="2829"/>
      <c r="C147" s="2845"/>
      <c r="D147" s="2846" t="s">
        <v>10357</v>
      </c>
      <c r="E147" s="2847">
        <v>0.81</v>
      </c>
      <c r="F147" s="2848">
        <f>INT(E146/E147)</f>
        <v>16</v>
      </c>
      <c r="G147" s="2849">
        <f>E147</f>
        <v>0.81</v>
      </c>
      <c r="H147" s="2850" t="str">
        <f>IF(I147&gt;0,"Plus 1 de")</f>
        <v>Plus 1 de</v>
      </c>
      <c r="I147" s="2851">
        <f>MOD(E146,E147)</f>
        <v>0.66999999999999993</v>
      </c>
      <c r="J147" s="2353"/>
      <c r="K147" s="2353"/>
      <c r="L147" s="2827"/>
      <c r="M147" s="54"/>
      <c r="N147" s="54"/>
      <c r="O147" s="54"/>
      <c r="P147" s="54"/>
      <c r="Q147" s="54"/>
      <c r="R147" s="54"/>
      <c r="S147" s="54"/>
      <c r="T147" s="54"/>
      <c r="U147" s="54"/>
      <c r="V147" s="54"/>
      <c r="W147" s="54"/>
      <c r="X147" s="54"/>
      <c r="Y147" s="54"/>
      <c r="Z147" s="54"/>
      <c r="AA147" s="3">
        <v>1</v>
      </c>
    </row>
    <row r="148" spans="1:27" ht="21" customHeight="1">
      <c r="A148" s="7453"/>
      <c r="B148" s="2829"/>
      <c r="C148" s="7524" t="s">
        <v>9546</v>
      </c>
      <c r="D148" s="7525"/>
      <c r="E148" s="7526"/>
      <c r="F148" s="5805" t="s">
        <v>10363</v>
      </c>
      <c r="G148" s="5806"/>
      <c r="H148" s="5807"/>
      <c r="I148" s="5808"/>
      <c r="J148" s="2353"/>
      <c r="K148" s="2353"/>
      <c r="L148" s="2827"/>
      <c r="M148" s="54"/>
      <c r="N148" s="54"/>
      <c r="O148" s="54"/>
      <c r="P148" s="54"/>
      <c r="Q148" s="54"/>
      <c r="R148" s="54"/>
      <c r="S148" s="54"/>
      <c r="T148" s="54"/>
      <c r="U148" s="54"/>
      <c r="V148" s="54"/>
      <c r="W148" s="54"/>
      <c r="X148" s="54"/>
      <c r="Y148" s="54"/>
      <c r="Z148" s="54"/>
      <c r="AA148" s="3">
        <v>1</v>
      </c>
    </row>
    <row r="149" spans="1:27" ht="21" customHeight="1">
      <c r="A149" s="7453"/>
      <c r="B149" s="2829"/>
      <c r="C149" s="2214"/>
      <c r="D149" s="2831"/>
      <c r="E149" s="2840"/>
      <c r="F149" s="2843"/>
      <c r="G149" s="2852" t="s">
        <v>10364</v>
      </c>
      <c r="H149" s="2853" t="s">
        <v>10365</v>
      </c>
      <c r="I149" s="2854" t="s">
        <v>10366</v>
      </c>
      <c r="J149" s="2353"/>
      <c r="K149" s="2353"/>
      <c r="L149" s="2827"/>
      <c r="M149" s="54"/>
      <c r="N149" s="54"/>
      <c r="O149" s="54"/>
      <c r="P149" s="54"/>
      <c r="Q149" s="54"/>
      <c r="R149" s="54"/>
      <c r="S149" s="54"/>
      <c r="T149" s="54"/>
      <c r="U149" s="54"/>
      <c r="V149" s="54"/>
      <c r="W149" s="54"/>
      <c r="X149" s="54"/>
      <c r="Y149" s="54"/>
      <c r="Z149" s="54"/>
      <c r="AA149" s="3">
        <v>1</v>
      </c>
    </row>
    <row r="150" spans="1:27" ht="21" customHeight="1">
      <c r="A150" s="7453"/>
      <c r="B150" s="2829"/>
      <c r="C150" s="2840"/>
      <c r="D150" s="2840"/>
      <c r="E150" s="2840"/>
      <c r="F150" s="2840"/>
      <c r="G150" s="2823"/>
      <c r="H150" s="2850">
        <f>F146</f>
        <v>17</v>
      </c>
      <c r="I150" s="2855" t="str">
        <f ca="1">_xlfn.FORMULATEXT(F146)</f>
        <v>=SI(MOD(E146;E147)&gt;MOD(E146;E147)/2;ENT(E146/E147)+1;ENT(E146/E147))</v>
      </c>
      <c r="J150" s="2353"/>
      <c r="K150" s="2353"/>
      <c r="L150" s="2827"/>
      <c r="M150" s="54"/>
      <c r="N150" s="54"/>
      <c r="O150" s="54"/>
      <c r="P150" s="54"/>
      <c r="Q150" s="54"/>
      <c r="R150" s="54"/>
      <c r="S150" s="54"/>
      <c r="T150" s="54"/>
      <c r="U150" s="54"/>
      <c r="V150" s="54"/>
      <c r="W150" s="54"/>
      <c r="X150" s="54"/>
      <c r="Y150" s="54"/>
      <c r="Z150" s="54"/>
      <c r="AA150" s="3">
        <v>1</v>
      </c>
    </row>
    <row r="151" spans="1:27" ht="21" customHeight="1">
      <c r="A151" s="7453"/>
      <c r="B151" s="2829"/>
      <c r="C151" s="2840"/>
      <c r="D151" s="2840"/>
      <c r="E151" s="2840"/>
      <c r="F151" s="2840"/>
      <c r="G151" s="2823"/>
      <c r="H151" s="2850">
        <f>F147</f>
        <v>16</v>
      </c>
      <c r="I151" s="2855" t="str">
        <f ca="1">_xlfn.FORMULATEXT(F147)</f>
        <v>=ENT(E146/E147)</v>
      </c>
      <c r="J151" s="2353"/>
      <c r="K151" s="2353"/>
      <c r="L151" s="2827"/>
      <c r="M151" s="54"/>
      <c r="N151" s="54"/>
      <c r="O151" s="54"/>
      <c r="P151" s="54"/>
      <c r="Q151" s="54"/>
      <c r="R151" s="54"/>
      <c r="S151" s="54"/>
      <c r="T151" s="54"/>
      <c r="U151" s="54"/>
      <c r="V151" s="54"/>
      <c r="W151" s="54"/>
      <c r="X151" s="54"/>
      <c r="Y151" s="54"/>
      <c r="Z151" s="54"/>
      <c r="AA151" s="3">
        <v>1</v>
      </c>
    </row>
    <row r="152" spans="1:27" ht="21" customHeight="1">
      <c r="A152" s="7453"/>
      <c r="B152" s="2829"/>
      <c r="C152" s="2840"/>
      <c r="D152" s="2840"/>
      <c r="E152" s="2840"/>
      <c r="F152" s="2840"/>
      <c r="G152" s="2831"/>
      <c r="H152" s="2849">
        <f>G147</f>
        <v>0.81</v>
      </c>
      <c r="I152" s="2855" t="str">
        <f ca="1">_xlfn.FORMULATEXT(G147)</f>
        <v>=E147</v>
      </c>
      <c r="J152" s="2353"/>
      <c r="K152" s="2353"/>
      <c r="L152" s="2827"/>
      <c r="M152" s="54"/>
      <c r="N152" s="54"/>
      <c r="O152" s="54"/>
      <c r="P152" s="54"/>
      <c r="Q152" s="54"/>
      <c r="R152" s="54"/>
      <c r="S152" s="54"/>
      <c r="T152" s="54"/>
      <c r="U152" s="54"/>
      <c r="V152" s="54"/>
      <c r="W152" s="54"/>
      <c r="X152" s="54"/>
      <c r="Y152" s="54"/>
      <c r="Z152" s="54"/>
      <c r="AA152" s="3">
        <v>1</v>
      </c>
    </row>
    <row r="153" spans="1:27" ht="21" customHeight="1">
      <c r="A153" s="7453"/>
      <c r="B153" s="2829"/>
      <c r="C153" s="2831"/>
      <c r="D153" s="2831"/>
      <c r="E153" s="2831"/>
      <c r="F153" s="2831"/>
      <c r="G153" s="2831"/>
      <c r="H153" s="2850" t="str">
        <f>H147</f>
        <v>Plus 1 de</v>
      </c>
      <c r="I153" s="2855" t="str">
        <f ca="1">_xlfn.FORMULATEXT(H147)</f>
        <v>=SI(I147&gt;0;"Plus 1 de")</v>
      </c>
      <c r="J153" s="2353"/>
      <c r="K153" s="2353"/>
      <c r="L153" s="2827"/>
      <c r="M153" s="54"/>
      <c r="N153" s="54"/>
      <c r="O153" s="54"/>
      <c r="P153" s="54"/>
      <c r="Q153" s="54"/>
      <c r="R153" s="54"/>
      <c r="S153" s="54"/>
      <c r="T153" s="54"/>
      <c r="U153" s="54"/>
      <c r="V153" s="54"/>
      <c r="W153" s="54"/>
      <c r="X153" s="54"/>
      <c r="Y153" s="54"/>
      <c r="Z153" s="54"/>
      <c r="AA153" s="3">
        <v>1</v>
      </c>
    </row>
    <row r="154" spans="1:27" ht="21" customHeight="1">
      <c r="A154" s="7453"/>
      <c r="B154" s="2829" t="s">
        <v>10363</v>
      </c>
      <c r="C154" s="2831"/>
      <c r="D154" s="2831"/>
      <c r="E154" s="2831"/>
      <c r="F154" s="2831"/>
      <c r="G154" s="2831"/>
      <c r="H154" s="2856">
        <f>I147</f>
        <v>0.66999999999999993</v>
      </c>
      <c r="I154" s="2857" t="str">
        <f ca="1">_xlfn.FORMULATEXT(I147)</f>
        <v>=MOD(E146;E147)</v>
      </c>
      <c r="J154" s="2353"/>
      <c r="K154" s="2353"/>
      <c r="L154" s="2827"/>
      <c r="M154" s="54"/>
      <c r="N154" s="54"/>
      <c r="O154" s="54"/>
      <c r="P154" s="54"/>
      <c r="Q154" s="54"/>
      <c r="R154" s="54"/>
      <c r="S154" s="54"/>
      <c r="T154" s="54"/>
      <c r="U154" s="54"/>
      <c r="V154" s="54"/>
      <c r="W154" s="54"/>
      <c r="X154" s="54"/>
      <c r="Y154" s="54"/>
      <c r="Z154" s="54"/>
      <c r="AA154" s="3">
        <v>1</v>
      </c>
    </row>
    <row r="155" spans="1:27" ht="21" customHeight="1">
      <c r="A155" s="7453"/>
      <c r="B155" s="5781" t="s">
        <v>10346</v>
      </c>
      <c r="C155" s="5809"/>
      <c r="D155" s="5809"/>
      <c r="E155" s="5809"/>
      <c r="F155" s="5809"/>
      <c r="G155" s="5809"/>
      <c r="H155" s="5810"/>
      <c r="I155" s="5811"/>
      <c r="J155" s="5812"/>
      <c r="K155" s="5812"/>
      <c r="L155" s="5813"/>
      <c r="M155" s="54"/>
      <c r="N155" s="54"/>
      <c r="O155" s="54"/>
      <c r="P155" s="54"/>
      <c r="Q155" s="54"/>
      <c r="R155" s="54"/>
      <c r="S155" s="54"/>
      <c r="T155" s="54"/>
      <c r="U155" s="54"/>
      <c r="V155" s="54"/>
      <c r="W155" s="54"/>
      <c r="X155" s="54"/>
      <c r="Y155" s="54"/>
      <c r="Z155" s="54"/>
      <c r="AA155" s="3">
        <v>1</v>
      </c>
    </row>
    <row r="156" spans="1:27" ht="21" customHeight="1" thickBot="1">
      <c r="A156" s="7453"/>
      <c r="B156" s="2858" t="s">
        <v>10347</v>
      </c>
      <c r="C156" s="2859"/>
      <c r="D156" s="2859"/>
      <c r="E156" s="2859"/>
      <c r="F156" s="2859"/>
      <c r="G156" s="2859"/>
      <c r="H156" s="2860"/>
      <c r="I156" s="2861"/>
      <c r="J156" s="2447"/>
      <c r="K156" s="2447"/>
      <c r="L156" s="2862"/>
      <c r="M156" s="54"/>
      <c r="N156" s="54"/>
      <c r="O156" s="54"/>
      <c r="P156" s="54"/>
      <c r="Q156" s="54"/>
      <c r="R156" s="54"/>
      <c r="S156" s="54"/>
      <c r="T156" s="54"/>
      <c r="U156" s="54"/>
      <c r="V156" s="54"/>
      <c r="W156" s="54"/>
      <c r="X156" s="54"/>
      <c r="Y156" s="54"/>
      <c r="Z156" s="54"/>
      <c r="AA156" s="3">
        <v>1</v>
      </c>
    </row>
    <row r="157" spans="1:27" s="2684" customFormat="1" ht="21" customHeight="1" thickBo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3">
        <v>1</v>
      </c>
    </row>
    <row r="158" spans="1:27" s="2684" customFormat="1" ht="21" customHeight="1">
      <c r="A158" s="5814" t="s">
        <v>166</v>
      </c>
      <c r="B158" s="7503" t="s">
        <v>10252</v>
      </c>
      <c r="C158" s="7504"/>
      <c r="D158" s="7504"/>
      <c r="E158" s="7504"/>
      <c r="F158" s="7504"/>
      <c r="G158" s="7504"/>
      <c r="H158" s="7504"/>
      <c r="I158" s="7504"/>
      <c r="J158" s="7504"/>
      <c r="K158" s="7504"/>
      <c r="L158" s="7505"/>
      <c r="M158" s="54"/>
      <c r="N158" s="54"/>
      <c r="O158" s="54"/>
      <c r="P158" s="54"/>
      <c r="Q158" s="54"/>
      <c r="R158" s="54"/>
      <c r="S158" s="54"/>
      <c r="T158" s="54"/>
      <c r="U158" s="54"/>
      <c r="V158" s="54"/>
      <c r="W158" s="54"/>
      <c r="X158" s="54"/>
      <c r="Y158" s="54"/>
      <c r="Z158" s="54"/>
      <c r="AA158" s="3">
        <v>1</v>
      </c>
    </row>
    <row r="159" spans="1:27" s="2684" customFormat="1" ht="21" customHeight="1">
      <c r="A159" s="7506" t="str">
        <f>B158</f>
        <v>Nombre de contenants a la pièce avec la fonction MODULO</v>
      </c>
      <c r="B159" s="5815" t="str">
        <f>ADDRESS(ROW(),COLUMN(),4)</f>
        <v>B159</v>
      </c>
      <c r="C159" s="2863" t="s">
        <v>9521</v>
      </c>
      <c r="D159" s="2864"/>
      <c r="E159" s="2864"/>
      <c r="F159" s="2864"/>
      <c r="G159" s="2864"/>
      <c r="H159" s="2864"/>
      <c r="I159" s="2864"/>
      <c r="J159" s="2865"/>
      <c r="K159" s="2866" t="str">
        <f ca="1">MID(CELL("filename",B159),SEARCH("[",CELL("filename",B159))+1,SEARCH("]",CELL("filename",B159))-SEARCH("[",CELL("filename",B159))-1)</f>
        <v>ff.FICHE.TRILINGUE.20.COLONNES.05.01.2026.xlsx</v>
      </c>
      <c r="L159" s="2867">
        <v>5</v>
      </c>
      <c r="M159" s="54"/>
      <c r="N159" s="54"/>
      <c r="O159" s="54"/>
      <c r="P159" s="54"/>
      <c r="Q159" s="54"/>
      <c r="R159" s="54"/>
      <c r="S159" s="54"/>
      <c r="T159" s="54"/>
      <c r="U159" s="54"/>
      <c r="V159" s="54"/>
      <c r="W159" s="54"/>
      <c r="X159" s="54"/>
      <c r="Y159" s="54"/>
      <c r="Z159" s="54"/>
      <c r="AA159" s="3">
        <v>1</v>
      </c>
    </row>
    <row r="160" spans="1:27" s="2684" customFormat="1" ht="21" customHeight="1">
      <c r="A160" s="7506"/>
      <c r="B160" s="2868"/>
      <c r="C160" s="2869"/>
      <c r="D160" s="2869"/>
      <c r="E160" s="2869"/>
      <c r="F160" s="2869"/>
      <c r="G160" s="2869"/>
      <c r="H160" s="2869"/>
      <c r="I160" s="2869"/>
      <c r="J160" s="2869"/>
      <c r="K160" s="2869"/>
      <c r="L160" s="2870"/>
      <c r="M160" s="54"/>
      <c r="N160" s="54"/>
      <c r="O160" s="54"/>
      <c r="P160" s="54"/>
      <c r="Q160" s="54"/>
      <c r="R160" s="54"/>
      <c r="S160" s="54"/>
      <c r="T160" s="54"/>
      <c r="U160" s="54"/>
      <c r="V160" s="54"/>
      <c r="W160" s="54"/>
      <c r="X160" s="54"/>
      <c r="Y160" s="54"/>
      <c r="Z160" s="54"/>
      <c r="AA160" s="3">
        <v>1</v>
      </c>
    </row>
    <row r="161" spans="1:27" s="2684" customFormat="1" ht="21" customHeight="1">
      <c r="A161" s="7506"/>
      <c r="B161" s="2871"/>
      <c r="C161" s="2872"/>
      <c r="D161" s="2873" t="s">
        <v>10329</v>
      </c>
      <c r="E161" s="2874">
        <v>680</v>
      </c>
      <c r="F161" s="2875" t="s">
        <v>10367</v>
      </c>
      <c r="G161" s="2876">
        <f>IF(MOD(E161,E163)&gt;MOD(E161,E163)/2,INT(E161/E163)+1,INT(E161/E163))</f>
        <v>57</v>
      </c>
      <c r="H161" s="2876" t="s">
        <v>10362</v>
      </c>
      <c r="I161" s="2876"/>
      <c r="J161" s="2876"/>
      <c r="K161" s="2876"/>
      <c r="L161" s="2870"/>
      <c r="M161" s="54"/>
      <c r="N161" s="54"/>
      <c r="O161" s="54"/>
      <c r="P161" s="54"/>
      <c r="Q161" s="54"/>
      <c r="R161" s="54"/>
      <c r="S161" s="54"/>
      <c r="T161" s="54"/>
      <c r="U161" s="54"/>
      <c r="V161" s="54"/>
      <c r="W161" s="54"/>
      <c r="X161" s="54"/>
      <c r="Y161" s="54"/>
      <c r="Z161" s="54"/>
      <c r="AA161" s="3">
        <v>1</v>
      </c>
    </row>
    <row r="162" spans="1:27" s="2684" customFormat="1" ht="21" customHeight="1">
      <c r="A162" s="7506"/>
      <c r="B162" s="2871"/>
      <c r="C162" s="2877"/>
      <c r="D162" s="2878"/>
      <c r="E162" s="2877"/>
      <c r="F162" s="2877"/>
      <c r="G162" s="2877"/>
      <c r="H162" s="2877"/>
      <c r="I162" s="2877"/>
      <c r="J162" s="2877"/>
      <c r="K162" s="2877"/>
      <c r="L162" s="2870"/>
      <c r="M162" s="54"/>
      <c r="N162" s="54"/>
      <c r="O162" s="54"/>
      <c r="P162" s="54"/>
      <c r="Q162" s="54"/>
      <c r="R162" s="54"/>
      <c r="S162" s="54"/>
      <c r="T162" s="54"/>
      <c r="U162" s="54"/>
      <c r="V162" s="54"/>
      <c r="W162" s="54"/>
      <c r="X162" s="54"/>
      <c r="Y162" s="54"/>
      <c r="Z162" s="54"/>
      <c r="AA162" s="3">
        <v>1</v>
      </c>
    </row>
    <row r="163" spans="1:27" s="2684" customFormat="1" ht="21" customHeight="1">
      <c r="A163" s="7506"/>
      <c r="B163" s="2871"/>
      <c r="C163" s="2879"/>
      <c r="D163" s="2880" t="s">
        <v>10357</v>
      </c>
      <c r="E163" s="2874">
        <v>12</v>
      </c>
      <c r="F163" s="2501" t="str">
        <f>F161</f>
        <v>chouquettes</v>
      </c>
      <c r="G163" s="2876">
        <f>INT(E161/E163)</f>
        <v>56</v>
      </c>
      <c r="H163" s="2881" t="s">
        <v>94</v>
      </c>
      <c r="I163" s="2882">
        <f>E163</f>
        <v>12</v>
      </c>
      <c r="J163" s="2501" t="str">
        <f>F163</f>
        <v>chouquettes</v>
      </c>
      <c r="K163" s="2881">
        <f>I163*G163</f>
        <v>672</v>
      </c>
      <c r="L163" s="2883"/>
      <c r="M163" s="54"/>
      <c r="N163" s="54"/>
      <c r="O163" s="54"/>
      <c r="P163" s="54"/>
      <c r="Q163" s="54"/>
      <c r="R163" s="54"/>
      <c r="S163" s="54"/>
      <c r="T163" s="54"/>
      <c r="U163" s="54"/>
      <c r="V163" s="54"/>
      <c r="W163" s="54"/>
      <c r="X163" s="54"/>
      <c r="Y163" s="54"/>
      <c r="Z163" s="54"/>
      <c r="AA163" s="3">
        <v>1</v>
      </c>
    </row>
    <row r="164" spans="1:27" s="2684" customFormat="1" ht="21" customHeight="1">
      <c r="A164" s="7506"/>
      <c r="B164" s="2884"/>
      <c r="C164" s="2877"/>
      <c r="D164" s="2877"/>
      <c r="E164" s="2877"/>
      <c r="F164" s="2877"/>
      <c r="G164" s="2877"/>
      <c r="H164" s="2885" t="str">
        <f>IF(K163=E161,"",IF(I164&gt;0,"Plus 1 de"))</f>
        <v>Plus 1 de</v>
      </c>
      <c r="I164" s="2882">
        <f>IF(K163=E161,"",MOD(E161,E163))</f>
        <v>8</v>
      </c>
      <c r="J164" s="2501" t="str">
        <f>IF(K163=E161,"",J163)</f>
        <v>chouquettes</v>
      </c>
      <c r="K164" s="2881">
        <f>IF(K163=E161,"",K163+I164)</f>
        <v>680</v>
      </c>
      <c r="L164" s="2883"/>
      <c r="M164" s="54"/>
      <c r="N164" s="54"/>
      <c r="O164" s="54"/>
      <c r="P164" s="54"/>
      <c r="Q164" s="54"/>
      <c r="R164" s="54"/>
      <c r="S164" s="54"/>
      <c r="T164" s="54"/>
      <c r="U164" s="54"/>
      <c r="V164" s="54"/>
      <c r="W164" s="54"/>
      <c r="X164" s="54"/>
      <c r="Y164" s="54"/>
      <c r="Z164" s="54"/>
      <c r="AA164" s="3">
        <v>1</v>
      </c>
    </row>
    <row r="165" spans="1:27" s="2684" customFormat="1" ht="21" customHeight="1">
      <c r="A165" s="7506"/>
      <c r="B165" s="2884"/>
      <c r="C165" s="2877"/>
      <c r="D165" s="2877"/>
      <c r="E165" s="2877"/>
      <c r="F165" s="2877"/>
      <c r="G165" s="2877"/>
      <c r="H165" s="2885"/>
      <c r="I165" s="2886"/>
      <c r="J165" s="2887"/>
      <c r="K165" s="2888"/>
      <c r="L165" s="2883"/>
      <c r="M165" s="54"/>
      <c r="N165" s="54"/>
      <c r="O165" s="54"/>
      <c r="P165" s="54"/>
      <c r="Q165" s="54"/>
      <c r="R165" s="54"/>
      <c r="S165" s="54"/>
      <c r="T165" s="54"/>
      <c r="U165" s="54"/>
      <c r="V165" s="54"/>
      <c r="W165" s="54"/>
      <c r="X165" s="54"/>
      <c r="Y165" s="54"/>
      <c r="Z165" s="54"/>
      <c r="AA165" s="3">
        <v>1</v>
      </c>
    </row>
    <row r="166" spans="1:27" s="2684" customFormat="1" ht="21" customHeight="1">
      <c r="A166" s="7506"/>
      <c r="B166" s="7508" t="s">
        <v>9486</v>
      </c>
      <c r="C166" s="7509"/>
      <c r="D166" s="7509"/>
      <c r="E166" s="7509"/>
      <c r="F166" s="7509"/>
      <c r="G166" s="7509"/>
      <c r="H166" s="7509"/>
      <c r="I166" s="7509"/>
      <c r="J166" s="7509"/>
      <c r="K166" s="7509"/>
      <c r="L166" s="2870"/>
      <c r="M166" s="54"/>
      <c r="N166" s="54"/>
      <c r="O166" s="54"/>
      <c r="P166" s="54"/>
      <c r="Q166" s="54"/>
      <c r="R166" s="54"/>
      <c r="S166" s="54"/>
      <c r="T166" s="54"/>
      <c r="U166" s="54"/>
      <c r="V166" s="54"/>
      <c r="W166" s="54"/>
      <c r="X166" s="54"/>
      <c r="Y166" s="54"/>
      <c r="Z166" s="54"/>
      <c r="AA166" s="3">
        <v>1</v>
      </c>
    </row>
    <row r="167" spans="1:27" s="2684" customFormat="1" ht="21" customHeight="1">
      <c r="A167" s="7506"/>
      <c r="B167" s="7510" t="s">
        <v>9546</v>
      </c>
      <c r="C167" s="7511"/>
      <c r="D167" s="7511"/>
      <c r="E167" s="7511"/>
      <c r="F167" s="7511"/>
      <c r="G167" s="7511"/>
      <c r="H167" s="7511"/>
      <c r="I167" s="7511"/>
      <c r="J167" s="7511"/>
      <c r="K167" s="7511"/>
      <c r="L167" s="2870"/>
      <c r="M167" s="54"/>
      <c r="N167" s="54"/>
      <c r="O167" s="54"/>
      <c r="P167" s="54"/>
      <c r="Q167" s="54"/>
      <c r="R167" s="54"/>
      <c r="S167" s="54"/>
      <c r="T167" s="54"/>
      <c r="U167" s="54"/>
      <c r="V167" s="54"/>
      <c r="W167" s="54"/>
      <c r="X167" s="54"/>
      <c r="Y167" s="54"/>
      <c r="Z167" s="54"/>
      <c r="AA167" s="3">
        <v>1</v>
      </c>
    </row>
    <row r="168" spans="1:27" s="2684" customFormat="1" ht="21" customHeight="1">
      <c r="A168" s="7506"/>
      <c r="B168" s="2889" t="s">
        <v>207</v>
      </c>
      <c r="C168" s="2890" t="str">
        <f ca="1">CELL("nomfichier")</f>
        <v>D:\Données\1.UPRT\0-UPRT.fait\1-UPRT.FR-SITE-WEB\ff-fiches-fabrications\ff.fiches.fabrication.2023\ffr.restaurant.2023\[ff.FICHE.TRILINGUE.20.COLONNES.05.01.2026.xlsx]Couleurs.pour.vos.documents</v>
      </c>
      <c r="D168" s="2890"/>
      <c r="E168" s="2890"/>
      <c r="F168" s="2890"/>
      <c r="G168" s="2890"/>
      <c r="H168" s="2890"/>
      <c r="I168" s="2890"/>
      <c r="J168" s="2890"/>
      <c r="K168" s="2890"/>
      <c r="L168" s="2891"/>
      <c r="M168" s="54"/>
      <c r="N168" s="54"/>
      <c r="O168" s="54"/>
      <c r="P168" s="54"/>
      <c r="Q168" s="54"/>
      <c r="R168" s="54"/>
      <c r="S168" s="54"/>
      <c r="T168" s="54"/>
      <c r="U168" s="54"/>
      <c r="V168" s="54"/>
      <c r="W168" s="54"/>
      <c r="X168" s="54"/>
      <c r="Y168" s="54"/>
      <c r="Z168" s="54"/>
      <c r="AA168" s="3">
        <v>1</v>
      </c>
    </row>
    <row r="169" spans="1:27" s="2684" customFormat="1" ht="21" customHeight="1" thickBot="1">
      <c r="A169" s="7507"/>
      <c r="B169" s="2892" t="s">
        <v>10368</v>
      </c>
      <c r="C169" s="2893"/>
      <c r="D169" s="2893"/>
      <c r="E169" s="2893"/>
      <c r="F169" s="2893"/>
      <c r="G169" s="2893"/>
      <c r="H169" s="2893"/>
      <c r="I169" s="2893"/>
      <c r="J169" s="2893"/>
      <c r="K169" s="2893"/>
      <c r="L169" s="2894"/>
      <c r="M169" s="54"/>
      <c r="N169" s="54"/>
      <c r="O169" s="54"/>
      <c r="P169" s="54"/>
      <c r="Q169" s="54"/>
      <c r="R169" s="54"/>
      <c r="S169" s="54"/>
      <c r="T169" s="54"/>
      <c r="U169" s="54"/>
      <c r="V169" s="54"/>
      <c r="W169" s="54"/>
      <c r="X169" s="54"/>
      <c r="Y169" s="54"/>
      <c r="Z169" s="54"/>
      <c r="AA169" s="3">
        <v>1</v>
      </c>
    </row>
    <row r="170" spans="1:27" s="2684" customFormat="1" ht="21" customHeight="1" thickBo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3">
        <v>1</v>
      </c>
    </row>
    <row r="171" spans="1:27" s="2684" customFormat="1" ht="21" customHeight="1">
      <c r="A171" s="5814" t="s">
        <v>166</v>
      </c>
      <c r="B171" s="7503" t="s">
        <v>10254</v>
      </c>
      <c r="C171" s="7504"/>
      <c r="D171" s="7504"/>
      <c r="E171" s="7504"/>
      <c r="F171" s="7504"/>
      <c r="G171" s="7504"/>
      <c r="H171" s="7504"/>
      <c r="I171" s="7504"/>
      <c r="J171" s="7504"/>
      <c r="K171" s="7505"/>
      <c r="L171" s="54"/>
      <c r="M171" s="54"/>
      <c r="N171" s="54"/>
      <c r="O171" s="54"/>
      <c r="P171" s="54"/>
      <c r="Q171" s="54"/>
      <c r="R171" s="54"/>
      <c r="S171" s="54"/>
      <c r="T171" s="54"/>
      <c r="U171" s="54"/>
      <c r="V171" s="54"/>
      <c r="W171" s="54"/>
      <c r="X171" s="54"/>
      <c r="Y171" s="54"/>
      <c r="Z171" s="54"/>
      <c r="AA171" s="3">
        <v>1</v>
      </c>
    </row>
    <row r="172" spans="1:27" s="2684" customFormat="1" ht="21" customHeight="1">
      <c r="A172" s="7506" t="str">
        <f>B171</f>
        <v>Nombre de contenants au poids avec la fonction MODULO</v>
      </c>
      <c r="B172" s="5815" t="str">
        <f>ADDRESS(ROW(),COLUMN(),4)</f>
        <v>B172</v>
      </c>
      <c r="C172" s="2863" t="s">
        <v>9521</v>
      </c>
      <c r="D172" s="2864"/>
      <c r="E172" s="2864"/>
      <c r="F172" s="2864"/>
      <c r="G172" s="2864"/>
      <c r="H172" s="2864"/>
      <c r="I172" s="2865"/>
      <c r="J172" s="2866" t="str">
        <f ca="1">MID(CELL("filename",B172),SEARCH("[",CELL("filename",B172))+1,SEARCH("]",CELL("filename",B172))-SEARCH("[",CELL("filename",B172))-1)</f>
        <v>ff.FICHE.TRILINGUE.20.COLONNES.05.01.2026.xlsx</v>
      </c>
      <c r="K172" s="2867">
        <v>5</v>
      </c>
      <c r="L172" s="54"/>
      <c r="M172" s="54"/>
      <c r="N172" s="54"/>
      <c r="O172" s="54"/>
      <c r="P172" s="54"/>
      <c r="Q172" s="54"/>
      <c r="R172" s="54"/>
      <c r="S172" s="54"/>
      <c r="T172" s="54"/>
      <c r="U172" s="54"/>
      <c r="V172" s="54"/>
      <c r="W172" s="54"/>
      <c r="X172" s="54"/>
      <c r="Y172" s="54"/>
      <c r="Z172" s="54"/>
      <c r="AA172" s="3">
        <v>1</v>
      </c>
    </row>
    <row r="173" spans="1:27" s="2684" customFormat="1" ht="21" customHeight="1">
      <c r="A173" s="7506"/>
      <c r="B173" s="2868"/>
      <c r="C173" s="2869"/>
      <c r="D173" s="2869"/>
      <c r="E173" s="2869"/>
      <c r="F173" s="2869"/>
      <c r="G173" s="2869"/>
      <c r="H173" s="2869"/>
      <c r="I173" s="2869"/>
      <c r="J173" s="2869"/>
      <c r="K173" s="2870"/>
      <c r="L173" s="54"/>
      <c r="M173" s="54"/>
      <c r="N173" s="54"/>
      <c r="O173" s="54"/>
      <c r="P173" s="54"/>
      <c r="Q173" s="54"/>
      <c r="R173" s="54"/>
      <c r="S173" s="54"/>
      <c r="T173" s="54"/>
      <c r="U173" s="54"/>
      <c r="V173" s="54"/>
      <c r="W173" s="54"/>
      <c r="X173" s="54"/>
      <c r="Y173" s="54"/>
      <c r="Z173" s="54"/>
      <c r="AA173" s="3">
        <v>1</v>
      </c>
    </row>
    <row r="174" spans="1:27" s="2684" customFormat="1" ht="21" customHeight="1">
      <c r="A174" s="7506"/>
      <c r="B174" s="2871"/>
      <c r="C174" s="2872"/>
      <c r="D174" s="2873" t="s">
        <v>10329</v>
      </c>
      <c r="E174" s="2895">
        <v>11</v>
      </c>
      <c r="F174" s="2876">
        <f>IF(MOD(E174,E176)&gt;MOD(E174,E176)/2,INT(E174/E176)+1,INT(E174/E176))</f>
        <v>37</v>
      </c>
      <c r="G174" s="2876" t="s">
        <v>10362</v>
      </c>
      <c r="H174" s="2876"/>
      <c r="I174" s="2876"/>
      <c r="J174" s="2876"/>
      <c r="K174" s="2870"/>
      <c r="L174" s="54"/>
      <c r="M174" s="54"/>
      <c r="N174" s="54"/>
      <c r="O174" s="54"/>
      <c r="P174" s="54"/>
      <c r="Q174" s="54"/>
      <c r="R174" s="54"/>
      <c r="S174" s="54"/>
      <c r="T174" s="54"/>
      <c r="U174" s="54"/>
      <c r="V174" s="54"/>
      <c r="W174" s="54"/>
      <c r="X174" s="54"/>
      <c r="Y174" s="54"/>
      <c r="Z174" s="54"/>
      <c r="AA174" s="3">
        <v>1</v>
      </c>
    </row>
    <row r="175" spans="1:27" s="2684" customFormat="1" ht="21" customHeight="1">
      <c r="A175" s="7506"/>
      <c r="B175" s="2871"/>
      <c r="C175" s="2877"/>
      <c r="D175" s="2878"/>
      <c r="E175" s="2877"/>
      <c r="F175" s="2877"/>
      <c r="G175" s="2877"/>
      <c r="H175" s="2877"/>
      <c r="I175" s="2877"/>
      <c r="J175" s="2877"/>
      <c r="K175" s="2870"/>
      <c r="L175" s="54"/>
      <c r="M175" s="54"/>
      <c r="N175" s="54"/>
      <c r="O175" s="54"/>
      <c r="P175" s="54"/>
      <c r="Q175" s="54"/>
      <c r="R175" s="54"/>
      <c r="S175" s="54"/>
      <c r="T175" s="54"/>
      <c r="U175" s="54"/>
      <c r="V175" s="54"/>
      <c r="W175" s="54"/>
      <c r="X175" s="54"/>
      <c r="Y175" s="54"/>
      <c r="Z175" s="54"/>
      <c r="AA175" s="3">
        <v>1</v>
      </c>
    </row>
    <row r="176" spans="1:27" s="2684" customFormat="1" ht="21" customHeight="1">
      <c r="A176" s="7506"/>
      <c r="B176" s="2871"/>
      <c r="C176" s="2879"/>
      <c r="D176" s="2880" t="s">
        <v>10357</v>
      </c>
      <c r="E176" s="2896">
        <v>0.3</v>
      </c>
      <c r="F176" s="2876">
        <f>INT(E174/E176)</f>
        <v>36</v>
      </c>
      <c r="G176" s="7512">
        <f>E176</f>
        <v>0.3</v>
      </c>
      <c r="H176" s="7512"/>
      <c r="I176" s="2877"/>
      <c r="J176" s="2897">
        <f>E176*F176</f>
        <v>10.799999999999999</v>
      </c>
      <c r="K176" s="2870"/>
      <c r="L176" s="54"/>
      <c r="M176" s="54"/>
      <c r="N176" s="54"/>
      <c r="O176" s="54"/>
      <c r="P176" s="54"/>
      <c r="Q176" s="54"/>
      <c r="R176" s="54"/>
      <c r="S176" s="54"/>
      <c r="T176" s="54"/>
      <c r="U176" s="54"/>
      <c r="V176" s="54"/>
      <c r="W176" s="54"/>
      <c r="X176" s="54"/>
      <c r="Y176" s="54"/>
      <c r="Z176" s="54"/>
      <c r="AA176" s="3">
        <v>1</v>
      </c>
    </row>
    <row r="177" spans="1:27" s="2684" customFormat="1" ht="21" customHeight="1">
      <c r="A177" s="7506"/>
      <c r="B177" s="2884"/>
      <c r="C177" s="2877"/>
      <c r="D177" s="2877"/>
      <c r="E177" s="2877"/>
      <c r="F177" s="2898"/>
      <c r="G177" s="2885" t="str">
        <f>IF(J176=E174,"","Plus 1 de")</f>
        <v>Plus 1 de</v>
      </c>
      <c r="H177" s="2899">
        <f>IF(J176=E174,"",MOD(E174,E176))</f>
        <v>0.2000000000000004</v>
      </c>
      <c r="I177" s="2887"/>
      <c r="J177" s="2897">
        <f>IF(J176=E174,"",J176+H177)</f>
        <v>11</v>
      </c>
      <c r="K177" s="2870"/>
      <c r="L177" s="54"/>
      <c r="M177" s="54"/>
      <c r="N177" s="54"/>
      <c r="O177" s="54"/>
      <c r="P177" s="54"/>
      <c r="Q177" s="54"/>
      <c r="R177" s="54"/>
      <c r="S177" s="54"/>
      <c r="T177" s="54"/>
      <c r="U177" s="54"/>
      <c r="V177" s="54"/>
      <c r="W177" s="54"/>
      <c r="X177" s="54"/>
      <c r="Y177" s="54"/>
      <c r="Z177" s="54"/>
      <c r="AA177" s="3">
        <v>1</v>
      </c>
    </row>
    <row r="178" spans="1:27" s="2684" customFormat="1" ht="21" customHeight="1">
      <c r="A178" s="7506"/>
      <c r="B178" s="7508" t="s">
        <v>9486</v>
      </c>
      <c r="C178" s="7509"/>
      <c r="D178" s="7509"/>
      <c r="E178" s="7509"/>
      <c r="F178" s="7509"/>
      <c r="G178" s="7509"/>
      <c r="H178" s="7509"/>
      <c r="I178" s="7509"/>
      <c r="J178" s="7509"/>
      <c r="K178" s="2870"/>
      <c r="L178" s="54"/>
      <c r="M178" s="54"/>
      <c r="N178" s="54"/>
      <c r="O178" s="54"/>
      <c r="P178" s="54"/>
      <c r="Q178" s="54"/>
      <c r="R178" s="54"/>
      <c r="S178" s="54"/>
      <c r="T178" s="54"/>
      <c r="U178" s="54"/>
      <c r="V178" s="54"/>
      <c r="W178" s="54"/>
      <c r="X178" s="54"/>
      <c r="Y178" s="54"/>
      <c r="Z178" s="54"/>
      <c r="AA178" s="3">
        <v>1</v>
      </c>
    </row>
    <row r="179" spans="1:27" s="2684" customFormat="1" ht="21" customHeight="1">
      <c r="A179" s="7506"/>
      <c r="B179" s="7513" t="s">
        <v>9546</v>
      </c>
      <c r="C179" s="7514"/>
      <c r="D179" s="7514"/>
      <c r="E179" s="7514"/>
      <c r="F179" s="7514"/>
      <c r="G179" s="7514"/>
      <c r="H179" s="7514"/>
      <c r="I179" s="7514"/>
      <c r="J179" s="7514"/>
      <c r="K179" s="7515"/>
      <c r="L179" s="54"/>
      <c r="M179" s="54"/>
      <c r="N179" s="54"/>
      <c r="O179" s="54"/>
      <c r="P179" s="54"/>
      <c r="Q179" s="54"/>
      <c r="R179" s="54"/>
      <c r="S179" s="54"/>
      <c r="T179" s="54"/>
      <c r="U179" s="54"/>
      <c r="V179" s="54"/>
      <c r="W179" s="54"/>
      <c r="X179" s="54"/>
      <c r="Y179" s="54"/>
      <c r="Z179" s="54"/>
      <c r="AA179" s="3">
        <v>1</v>
      </c>
    </row>
    <row r="180" spans="1:27" s="2684" customFormat="1" ht="21" customHeight="1">
      <c r="A180" s="7506"/>
      <c r="B180" s="2900" t="s">
        <v>10346</v>
      </c>
      <c r="C180" s="2901"/>
      <c r="D180" s="2901"/>
      <c r="E180" s="2901"/>
      <c r="F180" s="2901"/>
      <c r="G180" s="2901"/>
      <c r="H180" s="2901"/>
      <c r="I180" s="2901"/>
      <c r="J180" s="2901"/>
      <c r="K180" s="2870"/>
      <c r="L180" s="54"/>
      <c r="M180" s="54"/>
      <c r="N180" s="54"/>
      <c r="O180" s="54"/>
      <c r="P180" s="54"/>
      <c r="Q180" s="54"/>
      <c r="R180" s="54"/>
      <c r="S180" s="54"/>
      <c r="T180" s="54"/>
      <c r="U180" s="54"/>
      <c r="V180" s="54"/>
      <c r="W180" s="54"/>
      <c r="X180" s="54"/>
      <c r="Y180" s="54"/>
      <c r="Z180" s="54"/>
      <c r="AA180" s="3">
        <v>1</v>
      </c>
    </row>
    <row r="181" spans="1:27" s="2684" customFormat="1" ht="21" customHeight="1">
      <c r="A181" s="7506"/>
      <c r="B181" s="5793" t="s">
        <v>10347</v>
      </c>
      <c r="C181" s="2902"/>
      <c r="D181" s="2902"/>
      <c r="E181" s="2902"/>
      <c r="F181" s="2902"/>
      <c r="G181" s="2902"/>
      <c r="H181" s="2902"/>
      <c r="I181" s="2902"/>
      <c r="J181" s="2902"/>
      <c r="K181" s="2903"/>
      <c r="L181" s="54"/>
      <c r="M181" s="54"/>
      <c r="N181" s="54"/>
      <c r="O181" s="54"/>
      <c r="P181" s="54"/>
      <c r="Q181" s="54"/>
      <c r="R181" s="54"/>
      <c r="S181" s="54"/>
      <c r="T181" s="54"/>
      <c r="U181" s="54"/>
      <c r="V181" s="54"/>
      <c r="W181" s="54"/>
      <c r="X181" s="54"/>
      <c r="Y181" s="54"/>
      <c r="Z181" s="54"/>
      <c r="AA181" s="3">
        <v>1</v>
      </c>
    </row>
    <row r="182" spans="1:27" s="2684" customFormat="1" ht="21" customHeight="1">
      <c r="A182" s="7506"/>
      <c r="B182" s="2889" t="s">
        <v>207</v>
      </c>
      <c r="C182" s="2890" t="str">
        <f ca="1">CELL("nomfichier")</f>
        <v>D:\Données\1.UPRT\0-UPRT.fait\1-UPRT.FR-SITE-WEB\ff-fiches-fabrications\ff.fiches.fabrication.2023\ffr.restaurant.2023\[ff.FICHE.TRILINGUE.20.COLONNES.05.01.2026.xlsx]Couleurs.pour.vos.documents</v>
      </c>
      <c r="D182" s="2890"/>
      <c r="E182" s="2890"/>
      <c r="F182" s="2890"/>
      <c r="G182" s="2890"/>
      <c r="H182" s="2890"/>
      <c r="I182" s="2890"/>
      <c r="J182" s="2890"/>
      <c r="K182" s="2891"/>
      <c r="L182" s="54"/>
      <c r="M182" s="54"/>
      <c r="N182" s="54"/>
      <c r="O182" s="54"/>
      <c r="P182" s="54"/>
      <c r="Q182" s="54"/>
      <c r="R182" s="54"/>
      <c r="S182" s="54"/>
      <c r="T182" s="54"/>
      <c r="U182" s="54"/>
      <c r="V182" s="54"/>
      <c r="W182" s="54"/>
      <c r="X182" s="54"/>
      <c r="Y182" s="54"/>
      <c r="Z182" s="54"/>
      <c r="AA182" s="3">
        <v>1</v>
      </c>
    </row>
    <row r="183" spans="1:27" s="2684" customFormat="1" ht="21" customHeight="1" thickBot="1">
      <c r="A183" s="7507"/>
      <c r="B183" s="2892" t="s">
        <v>10368</v>
      </c>
      <c r="C183" s="2893"/>
      <c r="D183" s="2893"/>
      <c r="E183" s="2893"/>
      <c r="F183" s="2893"/>
      <c r="G183" s="2893"/>
      <c r="H183" s="2893"/>
      <c r="I183" s="2893"/>
      <c r="J183" s="2893"/>
      <c r="K183" s="2894"/>
      <c r="L183" s="54"/>
      <c r="M183" s="54"/>
      <c r="N183" s="54"/>
      <c r="O183" s="54"/>
      <c r="P183" s="54"/>
      <c r="Q183" s="54"/>
      <c r="R183" s="54"/>
      <c r="S183" s="54"/>
      <c r="T183" s="54"/>
      <c r="U183" s="54"/>
      <c r="V183" s="54"/>
      <c r="W183" s="54"/>
      <c r="X183" s="54"/>
      <c r="Y183" s="54"/>
      <c r="Z183" s="54"/>
      <c r="AA183" s="3">
        <v>1</v>
      </c>
    </row>
    <row r="184" spans="1:27" s="2684" customFormat="1" ht="21"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3">
        <v>1</v>
      </c>
    </row>
    <row r="185" spans="1:27" s="2684" customFormat="1" ht="21" customHeight="1" thickBo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3">
        <v>1</v>
      </c>
    </row>
    <row r="186" spans="1:27" s="2684" customFormat="1" ht="21" customHeight="1">
      <c r="A186" s="5772" t="s">
        <v>166</v>
      </c>
      <c r="B186" s="7447" t="s">
        <v>10245</v>
      </c>
      <c r="C186" s="7448"/>
      <c r="D186" s="7448"/>
      <c r="E186" s="7449"/>
      <c r="F186" s="54"/>
      <c r="G186" s="5773" t="s">
        <v>166</v>
      </c>
      <c r="H186" s="7450" t="s">
        <v>10245</v>
      </c>
      <c r="I186" s="7451"/>
      <c r="J186" s="7451"/>
      <c r="K186" s="7451"/>
      <c r="L186" s="7451"/>
      <c r="M186" s="7451"/>
      <c r="N186" s="7451"/>
      <c r="O186" s="7451"/>
      <c r="P186" s="7451"/>
      <c r="Q186" s="7451"/>
      <c r="R186" s="7451"/>
      <c r="S186" s="7452"/>
      <c r="T186" s="54"/>
      <c r="U186" s="54"/>
      <c r="V186" s="54"/>
      <c r="W186" s="54"/>
      <c r="X186" s="54"/>
      <c r="Y186" s="54"/>
      <c r="Z186" s="54"/>
      <c r="AA186" s="3">
        <v>1</v>
      </c>
    </row>
    <row r="187" spans="1:27" s="2684" customFormat="1" ht="21" customHeight="1">
      <c r="A187" s="7453" t="str">
        <f>B186</f>
        <v>CONDITIONNEMENT AU POIDS</v>
      </c>
      <c r="B187" s="2758" t="str">
        <f>ADDRESS(ROW(),COLUMN(),4)</f>
        <v>B187</v>
      </c>
      <c r="C187" s="5776" t="s">
        <v>9521</v>
      </c>
      <c r="D187" s="5796"/>
      <c r="E187" s="5816"/>
      <c r="F187" s="54"/>
      <c r="G187" s="7453" t="str">
        <f>H186</f>
        <v>CONDITIONNEMENT AU POIDS</v>
      </c>
      <c r="H187" s="2904" t="str">
        <f>ADDRESS(ROW(),COLUMN(),4)</f>
        <v>H187</v>
      </c>
      <c r="I187" s="2718" t="s">
        <v>9521</v>
      </c>
      <c r="J187" s="2716"/>
      <c r="K187" s="2725"/>
      <c r="L187" s="2725"/>
      <c r="M187" s="2725"/>
      <c r="N187" s="2725"/>
      <c r="O187" s="2725"/>
      <c r="P187" s="2905"/>
      <c r="Q187" s="2906" t="s">
        <v>10369</v>
      </c>
      <c r="R187" s="2907">
        <f>M188+Q188</f>
        <v>2</v>
      </c>
      <c r="S187" s="2908"/>
      <c r="T187" s="54"/>
      <c r="U187" s="54"/>
      <c r="V187" s="54"/>
      <c r="W187" s="54"/>
      <c r="X187" s="54"/>
      <c r="Y187" s="54"/>
      <c r="Z187" s="54"/>
      <c r="AA187" s="3">
        <v>1</v>
      </c>
    </row>
    <row r="188" spans="1:27" s="2684" customFormat="1" ht="21" customHeight="1">
      <c r="A188" s="7453"/>
      <c r="B188" s="7474" t="s">
        <v>10370</v>
      </c>
      <c r="C188" s="7475" t="s">
        <v>10371</v>
      </c>
      <c r="D188" s="7476" t="s">
        <v>10372</v>
      </c>
      <c r="E188" s="7471" t="s">
        <v>10373</v>
      </c>
      <c r="F188" s="54"/>
      <c r="G188" s="7453"/>
      <c r="H188" s="7474" t="s">
        <v>10370</v>
      </c>
      <c r="I188" s="7475" t="s">
        <v>10371</v>
      </c>
      <c r="J188" s="7476" t="s">
        <v>10372</v>
      </c>
      <c r="K188" s="7493" t="s">
        <v>10373</v>
      </c>
      <c r="L188" s="7495" t="s">
        <v>10358</v>
      </c>
      <c r="M188" s="7498">
        <f>IF(ISBLANK(I190),0,INT(H190/I190))</f>
        <v>1</v>
      </c>
      <c r="N188" s="5817" t="s">
        <v>94</v>
      </c>
      <c r="O188" s="5818" t="s">
        <v>10374</v>
      </c>
      <c r="P188" s="7499" t="s">
        <v>10375</v>
      </c>
      <c r="Q188" s="7498">
        <f>IF(ISBLANK(I190),0,ROUNDUP((H190/I190)-INT(H190/I190),0))</f>
        <v>1</v>
      </c>
      <c r="R188" s="5817" t="s">
        <v>94</v>
      </c>
      <c r="S188" s="5819" t="s">
        <v>10374</v>
      </c>
      <c r="T188" s="54"/>
      <c r="U188" s="54"/>
      <c r="V188" s="54"/>
      <c r="W188" s="54"/>
      <c r="X188" s="54"/>
      <c r="Y188" s="54"/>
      <c r="Z188" s="54"/>
      <c r="AA188" s="3">
        <v>1</v>
      </c>
    </row>
    <row r="189" spans="1:27" s="2684" customFormat="1" ht="21" customHeight="1">
      <c r="A189" s="7453"/>
      <c r="B189" s="7458"/>
      <c r="C189" s="7461"/>
      <c r="D189" s="7463"/>
      <c r="E189" s="7471"/>
      <c r="F189" s="54"/>
      <c r="G189" s="7453"/>
      <c r="H189" s="7459"/>
      <c r="I189" s="7461"/>
      <c r="J189" s="7463"/>
      <c r="K189" s="7494"/>
      <c r="L189" s="7496"/>
      <c r="M189" s="7416"/>
      <c r="N189" s="7477">
        <f>IF(J190*I190&gt;K190,0,J190*I190)</f>
        <v>0.84000000000000008</v>
      </c>
      <c r="O189" s="7472">
        <f>M188*I190</f>
        <v>12</v>
      </c>
      <c r="P189" s="7500"/>
      <c r="Q189" s="7416"/>
      <c r="R189" s="7477">
        <f>(J190*H190)-(J190*I190)*M188</f>
        <v>7.0000000000000062E-2</v>
      </c>
      <c r="S189" s="7479">
        <f>IF(J190=0,0,R189/J190)</f>
        <v>1.0000000000000009</v>
      </c>
      <c r="T189" s="54"/>
      <c r="U189" s="54"/>
      <c r="V189" s="54"/>
      <c r="W189" s="54"/>
      <c r="X189" s="54"/>
      <c r="Y189" s="54"/>
      <c r="Z189" s="54"/>
      <c r="AA189" s="3">
        <v>1</v>
      </c>
    </row>
    <row r="190" spans="1:27" s="2684" customFormat="1" ht="21" customHeight="1">
      <c r="A190" s="7453"/>
      <c r="B190" s="5820">
        <v>13</v>
      </c>
      <c r="C190" s="5821">
        <v>12</v>
      </c>
      <c r="D190" s="5822">
        <v>7.0000000000000007E-2</v>
      </c>
      <c r="E190" s="2911">
        <f>D190*B190</f>
        <v>0.91000000000000014</v>
      </c>
      <c r="F190" s="54"/>
      <c r="G190" s="7453"/>
      <c r="H190" s="5820">
        <v>13</v>
      </c>
      <c r="I190" s="5821">
        <v>12</v>
      </c>
      <c r="J190" s="5822">
        <v>7.0000000000000007E-2</v>
      </c>
      <c r="K190" s="5823">
        <f>J190*H190</f>
        <v>0.91000000000000014</v>
      </c>
      <c r="L190" s="7497"/>
      <c r="M190" s="2912" t="s">
        <v>10376</v>
      </c>
      <c r="N190" s="7478"/>
      <c r="O190" s="7502"/>
      <c r="P190" s="7501"/>
      <c r="Q190" s="2912" t="s">
        <v>10376</v>
      </c>
      <c r="R190" s="7478"/>
      <c r="S190" s="7480"/>
      <c r="T190" s="54"/>
      <c r="U190" s="54"/>
      <c r="V190" s="54"/>
      <c r="W190" s="54"/>
      <c r="X190" s="54"/>
      <c r="Y190" s="54"/>
      <c r="Z190" s="54"/>
      <c r="AA190" s="3">
        <v>1</v>
      </c>
    </row>
    <row r="191" spans="1:27" s="2684" customFormat="1" ht="21" customHeight="1" thickBot="1">
      <c r="A191" s="7453"/>
      <c r="B191" s="7481" t="s">
        <v>10358</v>
      </c>
      <c r="C191" s="2914">
        <f>IF(ISBLANK(C190),0,INT(B190/C190))</f>
        <v>1</v>
      </c>
      <c r="D191" s="2915" t="s">
        <v>94</v>
      </c>
      <c r="E191" s="2916" t="s">
        <v>10374</v>
      </c>
      <c r="F191" s="54"/>
      <c r="G191" s="7453"/>
      <c r="H191" s="7483" t="s">
        <v>9546</v>
      </c>
      <c r="I191" s="7484"/>
      <c r="J191" s="7484"/>
      <c r="K191" s="7485"/>
      <c r="L191" s="2917"/>
      <c r="M191" s="2447"/>
      <c r="N191" s="2447"/>
      <c r="O191" s="2447"/>
      <c r="P191" s="2447"/>
      <c r="Q191" s="2447"/>
      <c r="R191" s="2447"/>
      <c r="S191" s="2448"/>
      <c r="T191" s="54"/>
      <c r="U191" s="54"/>
      <c r="V191" s="54"/>
      <c r="W191" s="54"/>
      <c r="X191" s="54"/>
      <c r="Y191" s="54"/>
      <c r="Z191" s="54"/>
      <c r="AA191" s="3">
        <v>1</v>
      </c>
    </row>
    <row r="192" spans="1:27" s="2684" customFormat="1" ht="21" customHeight="1">
      <c r="A192" s="7453"/>
      <c r="B192" s="7482"/>
      <c r="C192" s="2912" t="s">
        <v>10376</v>
      </c>
      <c r="D192" s="2913">
        <f>IF(D190*C190&gt;E190,0,D190*C190)</f>
        <v>0.84000000000000008</v>
      </c>
      <c r="E192" s="2918">
        <f>C191*C190</f>
        <v>12</v>
      </c>
      <c r="F192" s="54"/>
      <c r="G192" s="54"/>
      <c r="H192" s="54"/>
      <c r="I192" s="54"/>
      <c r="J192" s="54"/>
      <c r="K192" s="54"/>
      <c r="L192" s="54"/>
      <c r="M192" s="54"/>
      <c r="N192" s="54"/>
      <c r="O192" s="54"/>
      <c r="P192" s="54"/>
      <c r="Q192" s="54"/>
      <c r="R192" s="54"/>
      <c r="S192" s="54"/>
      <c r="T192" s="54"/>
      <c r="U192" s="54"/>
      <c r="V192" s="54"/>
      <c r="W192" s="54"/>
      <c r="X192" s="54"/>
      <c r="Y192" s="54"/>
      <c r="Z192" s="54"/>
      <c r="AA192" s="3">
        <v>1</v>
      </c>
    </row>
    <row r="193" spans="1:27" s="2684" customFormat="1" ht="21" customHeight="1">
      <c r="A193" s="7453"/>
      <c r="B193" s="7481" t="s">
        <v>10375</v>
      </c>
      <c r="C193" s="2914">
        <f>IF(ISBLANK(C190),0,ROUNDUP((B190/C190)-INT(B190/C190),0))</f>
        <v>1</v>
      </c>
      <c r="D193" s="2915" t="s">
        <v>94</v>
      </c>
      <c r="E193" s="2916" t="s">
        <v>10374</v>
      </c>
      <c r="F193" s="54"/>
      <c r="G193" s="54"/>
      <c r="H193" s="54"/>
      <c r="I193" s="54"/>
      <c r="J193" s="54"/>
      <c r="K193" s="54"/>
      <c r="L193" s="54"/>
      <c r="M193" s="54"/>
      <c r="N193" s="54"/>
      <c r="O193" s="54"/>
      <c r="P193" s="54"/>
      <c r="Q193" s="54"/>
      <c r="R193" s="54"/>
      <c r="S193" s="54"/>
      <c r="T193" s="54"/>
      <c r="U193" s="54"/>
      <c r="V193" s="54"/>
      <c r="W193" s="54"/>
      <c r="X193" s="54"/>
      <c r="Y193" s="54"/>
      <c r="Z193" s="54"/>
      <c r="AA193" s="3">
        <v>1</v>
      </c>
    </row>
    <row r="194" spans="1:27" s="2684" customFormat="1" ht="21" customHeight="1">
      <c r="A194" s="7453"/>
      <c r="B194" s="7486"/>
      <c r="C194" s="2912" t="s">
        <v>10376</v>
      </c>
      <c r="D194" s="2909">
        <f>(D190*B190)-(D190*C190)*C191</f>
        <v>7.0000000000000062E-2</v>
      </c>
      <c r="E194" s="2910">
        <f>IF(D190=0,0,D194/D190)</f>
        <v>1.0000000000000009</v>
      </c>
      <c r="F194" s="54"/>
      <c r="G194" s="54"/>
      <c r="H194" s="54"/>
      <c r="I194" s="54"/>
      <c r="J194" s="54"/>
      <c r="K194" s="54"/>
      <c r="L194" s="54"/>
      <c r="M194" s="54"/>
      <c r="N194" s="54"/>
      <c r="O194" s="54"/>
      <c r="P194" s="54"/>
      <c r="Q194" s="54"/>
      <c r="R194" s="54"/>
      <c r="S194" s="54"/>
      <c r="T194" s="54"/>
      <c r="U194" s="54"/>
      <c r="V194" s="54"/>
      <c r="W194" s="54"/>
      <c r="X194" s="54"/>
      <c r="Y194" s="54"/>
      <c r="Z194" s="54"/>
      <c r="AA194" s="3">
        <v>1</v>
      </c>
    </row>
    <row r="195" spans="1:27" s="2684" customFormat="1" ht="21" customHeight="1" thickBot="1">
      <c r="A195" s="7453"/>
      <c r="B195" s="2920"/>
      <c r="C195" s="5824" t="s">
        <v>10369</v>
      </c>
      <c r="D195" s="5825">
        <f>C191+C193</f>
        <v>2</v>
      </c>
      <c r="E195" s="2921"/>
      <c r="F195" s="54"/>
      <c r="G195" s="54"/>
      <c r="H195" s="54"/>
      <c r="I195" s="54"/>
      <c r="J195" s="54"/>
      <c r="K195" s="54"/>
      <c r="L195" s="54"/>
      <c r="M195" s="54"/>
      <c r="N195" s="54"/>
      <c r="O195" s="54"/>
      <c r="P195" s="54"/>
      <c r="Q195" s="54"/>
      <c r="R195" s="54"/>
      <c r="S195" s="54"/>
      <c r="T195" s="54"/>
      <c r="U195" s="54"/>
      <c r="V195" s="54"/>
      <c r="W195" s="54"/>
      <c r="X195" s="54"/>
      <c r="Y195" s="54"/>
      <c r="Z195" s="54"/>
      <c r="AA195" s="3">
        <v>1</v>
      </c>
    </row>
    <row r="196" spans="1:27" s="2684" customFormat="1" ht="21" customHeight="1">
      <c r="A196" s="7453"/>
      <c r="B196" s="7487" t="s">
        <v>10346</v>
      </c>
      <c r="C196" s="7488"/>
      <c r="D196" s="7488"/>
      <c r="E196" s="7489"/>
      <c r="F196" s="54"/>
      <c r="G196" s="54"/>
      <c r="H196" s="54"/>
      <c r="I196" s="54"/>
      <c r="J196" s="54"/>
      <c r="K196" s="54"/>
      <c r="L196" s="54"/>
      <c r="M196" s="54"/>
      <c r="N196" s="54"/>
      <c r="O196" s="54"/>
      <c r="P196" s="54"/>
      <c r="Q196" s="54"/>
      <c r="R196" s="54"/>
      <c r="S196" s="54"/>
      <c r="T196" s="54"/>
      <c r="U196" s="54"/>
      <c r="V196" s="54"/>
      <c r="W196" s="54"/>
      <c r="X196" s="54"/>
      <c r="Y196" s="54"/>
      <c r="Z196" s="54"/>
      <c r="AA196" s="3">
        <v>1</v>
      </c>
    </row>
    <row r="197" spans="1:27" s="2684" customFormat="1" ht="21" customHeight="1">
      <c r="A197" s="7453"/>
      <c r="B197" s="7490"/>
      <c r="C197" s="7491"/>
      <c r="D197" s="7491"/>
      <c r="E197" s="7492"/>
      <c r="F197" s="54"/>
      <c r="G197" s="54"/>
      <c r="H197" s="54"/>
      <c r="I197" s="54"/>
      <c r="J197" s="54"/>
      <c r="K197" s="54"/>
      <c r="L197" s="54"/>
      <c r="M197" s="54"/>
      <c r="N197" s="54"/>
      <c r="O197" s="54"/>
      <c r="P197" s="54"/>
      <c r="Q197" s="54"/>
      <c r="R197" s="54"/>
      <c r="S197" s="54"/>
      <c r="T197" s="54"/>
      <c r="U197" s="54"/>
      <c r="V197" s="54"/>
      <c r="W197" s="54"/>
      <c r="X197" s="54"/>
      <c r="Y197" s="54"/>
      <c r="Z197" s="54"/>
      <c r="AA197" s="3">
        <v>1</v>
      </c>
    </row>
    <row r="198" spans="1:27" s="2684" customFormat="1" ht="21" customHeight="1">
      <c r="A198" s="7453"/>
      <c r="B198" s="7441" t="s">
        <v>10347</v>
      </c>
      <c r="C198" s="7442"/>
      <c r="D198" s="7442"/>
      <c r="E198" s="7443"/>
      <c r="F198" s="54"/>
      <c r="G198" s="54"/>
      <c r="H198" s="54"/>
      <c r="I198" s="54"/>
      <c r="J198" s="54"/>
      <c r="K198" s="54"/>
      <c r="L198" s="54"/>
      <c r="M198" s="54"/>
      <c r="N198" s="54"/>
      <c r="O198" s="54"/>
      <c r="P198" s="54"/>
      <c r="Q198" s="54"/>
      <c r="R198" s="54"/>
      <c r="S198" s="54"/>
      <c r="T198" s="54"/>
      <c r="U198" s="54"/>
      <c r="V198" s="54"/>
      <c r="W198" s="54"/>
      <c r="X198" s="54"/>
      <c r="Y198" s="54"/>
      <c r="Z198" s="54"/>
      <c r="AA198" s="3">
        <v>1</v>
      </c>
    </row>
    <row r="199" spans="1:27" s="2684" customFormat="1" ht="21" customHeight="1" thickBot="1">
      <c r="A199" s="7453"/>
      <c r="B199" s="7444"/>
      <c r="C199" s="7445"/>
      <c r="D199" s="7445"/>
      <c r="E199" s="7446"/>
      <c r="F199" s="54"/>
      <c r="G199" s="54"/>
      <c r="H199" s="54"/>
      <c r="I199" s="54"/>
      <c r="J199" s="54"/>
      <c r="K199" s="54"/>
      <c r="L199" s="54"/>
      <c r="M199" s="54"/>
      <c r="N199" s="54"/>
      <c r="O199" s="54"/>
      <c r="P199" s="54"/>
      <c r="Q199" s="54"/>
      <c r="R199" s="54"/>
      <c r="S199" s="54"/>
      <c r="T199" s="54"/>
      <c r="U199" s="54"/>
      <c r="V199" s="54"/>
      <c r="W199" s="54"/>
      <c r="X199" s="54"/>
      <c r="Y199" s="54"/>
      <c r="Z199" s="54"/>
      <c r="AA199" s="3">
        <v>1</v>
      </c>
    </row>
    <row r="200" spans="1:27" s="2684" customFormat="1" ht="21" customHeight="1" thickBo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3">
        <v>1</v>
      </c>
    </row>
    <row r="201" spans="1:27" s="2684" customFormat="1" ht="21" customHeight="1">
      <c r="A201" s="5772" t="s">
        <v>166</v>
      </c>
      <c r="B201" s="7447" t="s">
        <v>10247</v>
      </c>
      <c r="C201" s="7448"/>
      <c r="D201" s="7448"/>
      <c r="E201" s="7449"/>
      <c r="F201" s="54"/>
      <c r="G201" s="5773" t="s">
        <v>166</v>
      </c>
      <c r="H201" s="7450" t="s">
        <v>10247</v>
      </c>
      <c r="I201" s="7451"/>
      <c r="J201" s="7451"/>
      <c r="K201" s="7451"/>
      <c r="L201" s="7451"/>
      <c r="M201" s="7451"/>
      <c r="N201" s="7451"/>
      <c r="O201" s="7451"/>
      <c r="P201" s="7451"/>
      <c r="Q201" s="7451"/>
      <c r="R201" s="7451"/>
      <c r="S201" s="7452"/>
      <c r="T201" s="54"/>
      <c r="U201" s="54"/>
      <c r="V201" s="54"/>
      <c r="W201" s="54"/>
      <c r="X201" s="54"/>
      <c r="Y201" s="54"/>
      <c r="Z201" s="54"/>
      <c r="AA201" s="3">
        <v>1</v>
      </c>
    </row>
    <row r="202" spans="1:27" s="2684" customFormat="1" ht="21" customHeight="1">
      <c r="A202" s="7453" t="str">
        <f>B201</f>
        <v>CONDITIONNEMENT A LA PIÈCE</v>
      </c>
      <c r="B202" s="5757" t="str">
        <f>ADDRESS(ROW(),COLUMN(),4)</f>
        <v>B202</v>
      </c>
      <c r="C202" s="2615" t="s">
        <v>9521</v>
      </c>
      <c r="D202" s="2729"/>
      <c r="E202" s="2922"/>
      <c r="F202" s="54"/>
      <c r="G202" s="7453" t="str">
        <f>H201</f>
        <v>CONDITIONNEMENT A LA PIÈCE</v>
      </c>
      <c r="H202" s="5757" t="str">
        <f>ADDRESS(ROW(),COLUMN(),4)</f>
        <v>H202</v>
      </c>
      <c r="I202" s="2615" t="s">
        <v>9521</v>
      </c>
      <c r="J202" s="2729"/>
      <c r="K202" s="2923"/>
      <c r="L202" s="2924" t="s">
        <v>10377</v>
      </c>
      <c r="M202" s="7454" t="s">
        <v>10378</v>
      </c>
      <c r="N202" s="7454"/>
      <c r="O202" s="7455"/>
      <c r="P202" s="2925"/>
      <c r="Q202" s="2926" t="s">
        <v>10369</v>
      </c>
      <c r="R202" s="2927">
        <f>M203+Q203</f>
        <v>24</v>
      </c>
      <c r="S202" s="2928"/>
      <c r="T202" s="54"/>
      <c r="U202" s="54"/>
      <c r="V202" s="54"/>
      <c r="W202" s="54"/>
      <c r="X202" s="54"/>
      <c r="Y202" s="54"/>
      <c r="Z202" s="54"/>
      <c r="AA202" s="3">
        <v>1</v>
      </c>
    </row>
    <row r="203" spans="1:27" s="2684" customFormat="1" ht="21" customHeight="1">
      <c r="A203" s="7453"/>
      <c r="B203" s="5826" t="s">
        <v>10377</v>
      </c>
      <c r="C203" s="7456" t="s">
        <v>10378</v>
      </c>
      <c r="D203" s="7456"/>
      <c r="E203" s="7457"/>
      <c r="F203" s="54"/>
      <c r="G203" s="7453"/>
      <c r="H203" s="7458" t="s">
        <v>10370</v>
      </c>
      <c r="I203" s="7460" t="s">
        <v>10371</v>
      </c>
      <c r="J203" s="7462" t="s">
        <v>10379</v>
      </c>
      <c r="K203" s="7464" t="s">
        <v>182</v>
      </c>
      <c r="L203" s="7465" t="s">
        <v>10358</v>
      </c>
      <c r="M203" s="7416">
        <f>IF(ISBLANK(I205),0,INT(H205/I205))</f>
        <v>23</v>
      </c>
      <c r="N203" s="2929" t="s">
        <v>94</v>
      </c>
      <c r="O203" s="2930" t="s">
        <v>10374</v>
      </c>
      <c r="P203" s="7467" t="s">
        <v>10375</v>
      </c>
      <c r="Q203" s="7416">
        <f>IF(ISBLANK(I205),0,ROUNDUP((H205/I205)-INT(H205/I205),0))</f>
        <v>1</v>
      </c>
      <c r="R203" s="2929" t="s">
        <v>94</v>
      </c>
      <c r="S203" s="2931" t="s">
        <v>10374</v>
      </c>
      <c r="T203" s="54"/>
      <c r="U203" s="54"/>
      <c r="V203" s="54"/>
      <c r="W203" s="54"/>
      <c r="X203" s="54"/>
      <c r="Y203" s="54"/>
      <c r="Z203" s="54"/>
      <c r="AA203" s="3">
        <v>1</v>
      </c>
    </row>
    <row r="204" spans="1:27" s="2684" customFormat="1" ht="21" customHeight="1">
      <c r="A204" s="7453"/>
      <c r="B204" s="7468" t="s">
        <v>10370</v>
      </c>
      <c r="C204" s="7469" t="s">
        <v>10371</v>
      </c>
      <c r="D204" s="7462" t="s">
        <v>10379</v>
      </c>
      <c r="E204" s="7471" t="s">
        <v>182</v>
      </c>
      <c r="F204" s="54"/>
      <c r="G204" s="7453"/>
      <c r="H204" s="7459"/>
      <c r="I204" s="7461"/>
      <c r="J204" s="7463"/>
      <c r="K204" s="7464"/>
      <c r="L204" s="7465"/>
      <c r="M204" s="7416"/>
      <c r="N204" s="2932">
        <f>IF(J205*I205&gt;K205,0,J205*I205)</f>
        <v>9</v>
      </c>
      <c r="O204" s="7472">
        <f>M203*I205</f>
        <v>69</v>
      </c>
      <c r="P204" s="7467"/>
      <c r="Q204" s="7416"/>
      <c r="R204" s="2932">
        <f>(J205*H205)-(J205*I205)*M203</f>
        <v>3</v>
      </c>
      <c r="S204" s="2933">
        <f>IF(J205=0,0,R204/J205)</f>
        <v>1</v>
      </c>
      <c r="T204" s="54"/>
      <c r="U204" s="54"/>
      <c r="V204" s="54"/>
      <c r="W204" s="54"/>
      <c r="X204" s="54"/>
      <c r="Y204" s="54"/>
      <c r="Z204" s="54"/>
      <c r="AA204" s="3">
        <v>1</v>
      </c>
    </row>
    <row r="205" spans="1:27" s="2684" customFormat="1" ht="21" customHeight="1">
      <c r="A205" s="7453"/>
      <c r="B205" s="7459"/>
      <c r="C205" s="7470"/>
      <c r="D205" s="7463"/>
      <c r="E205" s="7471"/>
      <c r="F205" s="54"/>
      <c r="G205" s="7453"/>
      <c r="H205" s="5820">
        <v>70</v>
      </c>
      <c r="I205" s="2934">
        <v>3</v>
      </c>
      <c r="J205" s="2935">
        <v>3</v>
      </c>
      <c r="K205" s="2936">
        <f>J205*H205</f>
        <v>210</v>
      </c>
      <c r="L205" s="7466"/>
      <c r="M205" s="2937" t="s">
        <v>10376</v>
      </c>
      <c r="N205" s="2938" t="str">
        <f>M202</f>
        <v>Tranches</v>
      </c>
      <c r="O205" s="7473"/>
      <c r="P205" s="2939"/>
      <c r="Q205" s="2937" t="s">
        <v>10376</v>
      </c>
      <c r="R205" s="2938" t="str">
        <f>M202</f>
        <v>Tranches</v>
      </c>
      <c r="S205" s="2940"/>
      <c r="T205" s="54"/>
      <c r="U205" s="54"/>
      <c r="V205" s="54"/>
      <c r="W205" s="54"/>
      <c r="X205" s="54"/>
      <c r="Y205" s="54"/>
      <c r="Z205" s="54"/>
      <c r="AA205" s="3">
        <v>1</v>
      </c>
    </row>
    <row r="206" spans="1:27" s="2684" customFormat="1" ht="21" customHeight="1">
      <c r="A206" s="7453"/>
      <c r="B206" s="5820">
        <v>70</v>
      </c>
      <c r="C206" s="5821">
        <v>3</v>
      </c>
      <c r="D206" s="5827">
        <v>3</v>
      </c>
      <c r="E206" s="2941">
        <f>D206*B206</f>
        <v>210</v>
      </c>
      <c r="F206" s="54"/>
      <c r="G206" s="7453"/>
      <c r="H206" s="7410" t="s">
        <v>9546</v>
      </c>
      <c r="I206" s="7411"/>
      <c r="J206" s="7411"/>
      <c r="K206" s="7411"/>
      <c r="L206" s="2942" t="s">
        <v>10377</v>
      </c>
      <c r="M206" s="2943" t="s">
        <v>10380</v>
      </c>
      <c r="N206" s="2353"/>
      <c r="O206" s="2944"/>
      <c r="P206" s="2945"/>
      <c r="Q206" s="2946"/>
      <c r="R206" s="2946"/>
      <c r="S206" s="2947"/>
      <c r="T206" s="54"/>
      <c r="U206" s="54"/>
      <c r="V206" s="54"/>
      <c r="W206" s="54"/>
      <c r="X206" s="54"/>
      <c r="Y206" s="54"/>
      <c r="Z206" s="54"/>
      <c r="AA206" s="3">
        <v>1</v>
      </c>
    </row>
    <row r="207" spans="1:27" s="2684" customFormat="1" ht="21" customHeight="1" thickBot="1">
      <c r="A207" s="7453"/>
      <c r="B207" s="7412" t="s">
        <v>10358</v>
      </c>
      <c r="C207" s="7415">
        <f>IF(ISBLANK(C206),0,INT(B206/C206))</f>
        <v>23</v>
      </c>
      <c r="D207" s="2915" t="s">
        <v>94</v>
      </c>
      <c r="E207" s="2916" t="s">
        <v>10374</v>
      </c>
      <c r="F207" s="54"/>
      <c r="G207" s="7453"/>
      <c r="H207" s="2948" t="s">
        <v>10381</v>
      </c>
      <c r="I207" s="2447"/>
      <c r="J207" s="2447"/>
      <c r="K207" s="2447"/>
      <c r="L207" s="2949" t="s">
        <v>10382</v>
      </c>
      <c r="M207" s="2950"/>
      <c r="N207" s="2950"/>
      <c r="O207" s="2951"/>
      <c r="P207" s="2952"/>
      <c r="Q207" s="2952"/>
      <c r="R207" s="2952"/>
      <c r="S207" s="2953"/>
      <c r="T207" s="54"/>
      <c r="U207" s="54"/>
      <c r="V207" s="54"/>
      <c r="W207" s="54"/>
      <c r="X207" s="54"/>
      <c r="Y207" s="54"/>
      <c r="Z207" s="54"/>
      <c r="AA207" s="3">
        <v>1</v>
      </c>
    </row>
    <row r="208" spans="1:27" s="2684" customFormat="1" ht="21" customHeight="1">
      <c r="A208" s="7453"/>
      <c r="B208" s="7413"/>
      <c r="C208" s="7416"/>
      <c r="D208" s="2932">
        <f>IF(D206*C206&gt;E206,0,D206*C206)</f>
        <v>9</v>
      </c>
      <c r="E208" s="7417">
        <f>C207*C206</f>
        <v>69</v>
      </c>
      <c r="F208" s="54"/>
      <c r="G208" s="54"/>
      <c r="H208" s="54"/>
      <c r="I208" s="54"/>
      <c r="J208" s="54"/>
      <c r="K208" s="54"/>
      <c r="L208" s="54"/>
      <c r="M208" s="54"/>
      <c r="N208" s="54"/>
      <c r="O208" s="54"/>
      <c r="P208" s="54"/>
      <c r="Q208" s="54"/>
      <c r="R208" s="54"/>
      <c r="S208" s="54"/>
      <c r="T208" s="54"/>
      <c r="U208" s="54"/>
      <c r="V208" s="54"/>
      <c r="W208" s="54"/>
      <c r="X208" s="54"/>
      <c r="Y208" s="54"/>
      <c r="Z208" s="54"/>
      <c r="AA208" s="3">
        <v>1</v>
      </c>
    </row>
    <row r="209" spans="1:27" s="2684" customFormat="1" ht="21" customHeight="1">
      <c r="A209" s="7453"/>
      <c r="B209" s="7414"/>
      <c r="C209" s="2912" t="s">
        <v>10376</v>
      </c>
      <c r="D209" s="2954" t="str">
        <f>C203</f>
        <v>Tranches</v>
      </c>
      <c r="E209" s="7418"/>
      <c r="F209" s="54"/>
      <c r="G209" s="54"/>
      <c r="H209" s="54"/>
      <c r="I209" s="54"/>
      <c r="J209" s="54"/>
      <c r="K209" s="54"/>
      <c r="L209" s="54"/>
      <c r="M209" s="54"/>
      <c r="N209" s="54"/>
      <c r="O209" s="54"/>
      <c r="P209" s="54"/>
      <c r="Q209" s="54"/>
      <c r="R209" s="54"/>
      <c r="S209" s="54"/>
      <c r="T209" s="54"/>
      <c r="U209" s="54"/>
      <c r="V209" s="54"/>
      <c r="W209" s="54"/>
      <c r="X209" s="54"/>
      <c r="Y209" s="54"/>
      <c r="Z209" s="54"/>
      <c r="AA209" s="3">
        <v>1</v>
      </c>
    </row>
    <row r="210" spans="1:27" s="2684" customFormat="1" ht="21" customHeight="1">
      <c r="A210" s="7453"/>
      <c r="B210" s="7419" t="s">
        <v>10375</v>
      </c>
      <c r="C210" s="7415">
        <f>IF(ISBLANK(C206),0,ROUNDUP((B206/C206)-INT(B206/C206),0))</f>
        <v>1</v>
      </c>
      <c r="D210" s="2915" t="s">
        <v>94</v>
      </c>
      <c r="E210" s="2916" t="s">
        <v>10374</v>
      </c>
      <c r="F210" s="54"/>
      <c r="G210" s="54"/>
      <c r="H210" s="54"/>
      <c r="I210" s="54"/>
      <c r="J210" s="54"/>
      <c r="K210" s="54"/>
      <c r="L210" s="54"/>
      <c r="M210" s="54"/>
      <c r="N210" s="54"/>
      <c r="O210" s="54"/>
      <c r="P210" s="54"/>
      <c r="Q210" s="54"/>
      <c r="R210" s="54"/>
      <c r="S210" s="54"/>
      <c r="T210" s="54"/>
      <c r="U210" s="54"/>
      <c r="V210" s="54"/>
      <c r="W210" s="54"/>
      <c r="X210" s="54"/>
      <c r="Y210" s="54"/>
      <c r="Z210" s="54"/>
      <c r="AA210" s="3">
        <v>1</v>
      </c>
    </row>
    <row r="211" spans="1:27" s="2684" customFormat="1" ht="21" customHeight="1">
      <c r="A211" s="7453"/>
      <c r="B211" s="7420"/>
      <c r="C211" s="7416"/>
      <c r="D211" s="2932">
        <f>(D206*B206)-(D206*C206)*C207</f>
        <v>3</v>
      </c>
      <c r="E211" s="2933">
        <f>IF(D206=0,0,D211/D206)</f>
        <v>1</v>
      </c>
      <c r="F211" s="54"/>
      <c r="G211" s="54"/>
      <c r="H211" s="54"/>
      <c r="I211" s="54"/>
      <c r="J211" s="54"/>
      <c r="K211" s="54"/>
      <c r="L211" s="54"/>
      <c r="M211" s="54"/>
      <c r="N211" s="54"/>
      <c r="O211" s="54"/>
      <c r="P211" s="54"/>
      <c r="Q211" s="54"/>
      <c r="R211" s="54"/>
      <c r="S211" s="54"/>
      <c r="T211" s="54"/>
      <c r="U211" s="54"/>
      <c r="V211" s="54"/>
      <c r="W211" s="54"/>
      <c r="X211" s="54"/>
      <c r="Y211" s="54"/>
      <c r="Z211" s="54"/>
      <c r="AA211" s="3">
        <v>1</v>
      </c>
    </row>
    <row r="212" spans="1:27" s="2684" customFormat="1" ht="21" customHeight="1">
      <c r="A212" s="7453"/>
      <c r="B212" s="2919"/>
      <c r="C212" s="2912" t="s">
        <v>10376</v>
      </c>
      <c r="D212" s="2954" t="str">
        <f>C203</f>
        <v>Tranches</v>
      </c>
      <c r="E212" s="2940"/>
      <c r="F212" s="54"/>
      <c r="G212" s="54"/>
      <c r="H212" s="54"/>
      <c r="I212" s="54"/>
      <c r="J212" s="54"/>
      <c r="K212" s="54"/>
      <c r="L212" s="54"/>
      <c r="M212" s="54"/>
      <c r="N212" s="54"/>
      <c r="O212" s="54"/>
      <c r="P212" s="54"/>
      <c r="Q212" s="54"/>
      <c r="R212" s="54"/>
      <c r="S212" s="54"/>
      <c r="T212" s="54"/>
      <c r="U212" s="54"/>
      <c r="V212" s="54"/>
      <c r="W212" s="54"/>
      <c r="X212" s="54"/>
      <c r="Y212" s="54"/>
      <c r="Z212" s="54"/>
      <c r="AA212" s="3">
        <v>1</v>
      </c>
    </row>
    <row r="213" spans="1:27" s="2684" customFormat="1" ht="21" customHeight="1">
      <c r="A213" s="7453"/>
      <c r="B213" s="5828"/>
      <c r="C213" s="5829" t="s">
        <v>10369</v>
      </c>
      <c r="D213" s="5830">
        <f>C207+C210</f>
        <v>24</v>
      </c>
      <c r="E213" s="5831"/>
      <c r="F213" s="54"/>
      <c r="G213" s="54"/>
      <c r="H213" s="54"/>
      <c r="I213" s="54"/>
      <c r="J213" s="54"/>
      <c r="K213" s="54"/>
      <c r="L213" s="54"/>
      <c r="M213" s="54"/>
      <c r="N213" s="54"/>
      <c r="O213" s="54"/>
      <c r="P213" s="54"/>
      <c r="Q213" s="54"/>
      <c r="R213" s="54"/>
      <c r="S213" s="54"/>
      <c r="T213" s="54"/>
      <c r="U213" s="54"/>
      <c r="V213" s="54"/>
      <c r="W213" s="54"/>
      <c r="X213" s="54"/>
      <c r="Y213" s="54"/>
      <c r="Z213" s="54"/>
      <c r="AA213" s="3">
        <v>1</v>
      </c>
    </row>
    <row r="214" spans="1:27" s="2684" customFormat="1" ht="21" customHeight="1">
      <c r="A214" s="7453"/>
      <c r="B214" s="7410" t="s">
        <v>9546</v>
      </c>
      <c r="C214" s="7411"/>
      <c r="D214" s="7411"/>
      <c r="E214" s="7434"/>
      <c r="F214" s="54"/>
      <c r="G214" s="54"/>
      <c r="H214" s="54"/>
      <c r="I214" s="54"/>
      <c r="J214" s="54"/>
      <c r="K214" s="54"/>
      <c r="L214" s="54"/>
      <c r="M214" s="54"/>
      <c r="N214" s="54"/>
      <c r="O214" s="54"/>
      <c r="P214" s="54"/>
      <c r="Q214" s="54"/>
      <c r="R214" s="54"/>
      <c r="S214" s="54"/>
      <c r="T214" s="54"/>
      <c r="U214" s="54"/>
      <c r="V214" s="54"/>
      <c r="W214" s="54"/>
      <c r="X214" s="54"/>
      <c r="Y214" s="54"/>
      <c r="Z214" s="54"/>
      <c r="AA214" s="3">
        <v>1</v>
      </c>
    </row>
    <row r="215" spans="1:27" s="2684" customFormat="1" ht="21" customHeight="1">
      <c r="A215" s="7453"/>
      <c r="B215" s="2955" t="s">
        <v>10377</v>
      </c>
      <c r="C215" s="2353" t="s">
        <v>10380</v>
      </c>
      <c r="D215" s="2353"/>
      <c r="E215" s="2356"/>
      <c r="F215" s="54"/>
      <c r="G215" s="54"/>
      <c r="H215" s="54"/>
      <c r="I215" s="54"/>
      <c r="J215" s="54"/>
      <c r="K215" s="54"/>
      <c r="L215" s="54"/>
      <c r="M215" s="54"/>
      <c r="N215" s="54"/>
      <c r="O215" s="54"/>
      <c r="P215" s="54"/>
      <c r="Q215" s="54"/>
      <c r="R215" s="54"/>
      <c r="S215" s="54"/>
      <c r="T215" s="54"/>
      <c r="U215" s="54"/>
      <c r="V215" s="54"/>
      <c r="W215" s="54"/>
      <c r="X215" s="54"/>
      <c r="Y215" s="54"/>
      <c r="Z215" s="54"/>
      <c r="AA215" s="3">
        <v>1</v>
      </c>
    </row>
    <row r="216" spans="1:27" s="2684" customFormat="1" ht="21" customHeight="1">
      <c r="A216" s="7453"/>
      <c r="B216" s="2956" t="s">
        <v>10382</v>
      </c>
      <c r="C216" s="2353"/>
      <c r="D216" s="2353"/>
      <c r="E216" s="2356"/>
      <c r="F216" s="54"/>
      <c r="G216" s="54"/>
      <c r="H216" s="54"/>
      <c r="I216" s="54"/>
      <c r="J216" s="54"/>
      <c r="K216" s="54"/>
      <c r="L216" s="54"/>
      <c r="M216" s="54"/>
      <c r="N216" s="54"/>
      <c r="O216" s="54"/>
      <c r="P216" s="54"/>
      <c r="Q216" s="54"/>
      <c r="R216" s="54"/>
      <c r="S216" s="54"/>
      <c r="T216" s="54"/>
      <c r="U216" s="54"/>
      <c r="V216" s="54"/>
      <c r="W216" s="54"/>
      <c r="X216" s="54"/>
      <c r="Y216" s="54"/>
      <c r="Z216" s="54"/>
      <c r="AA216" s="3">
        <v>1</v>
      </c>
    </row>
    <row r="217" spans="1:27" s="2684" customFormat="1" ht="21" customHeight="1" thickBot="1">
      <c r="A217" s="7453"/>
      <c r="B217" s="2948" t="s">
        <v>10381</v>
      </c>
      <c r="C217" s="2447"/>
      <c r="D217" s="2447"/>
      <c r="E217" s="2448"/>
      <c r="F217" s="54"/>
      <c r="G217" s="54"/>
      <c r="H217" s="54"/>
      <c r="I217" s="54"/>
      <c r="J217" s="54"/>
      <c r="K217" s="54"/>
      <c r="L217" s="54"/>
      <c r="M217" s="54"/>
      <c r="N217" s="54"/>
      <c r="O217" s="54"/>
      <c r="P217" s="54"/>
      <c r="Q217" s="54"/>
      <c r="R217" s="54"/>
      <c r="S217" s="54"/>
      <c r="T217" s="54"/>
      <c r="U217" s="54"/>
      <c r="V217" s="54"/>
      <c r="W217" s="54"/>
      <c r="X217" s="54"/>
      <c r="Y217" s="54"/>
      <c r="Z217" s="54"/>
      <c r="AA217" s="3">
        <v>1</v>
      </c>
    </row>
    <row r="218" spans="1:27" s="2684" customFormat="1" ht="21" customHeight="1">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3">
        <v>1</v>
      </c>
    </row>
    <row r="219" spans="1:27" s="2684" customFormat="1" ht="21" customHeight="1" thickBot="1">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3">
        <v>1</v>
      </c>
    </row>
    <row r="220" spans="1:27" s="2684" customFormat="1" ht="21" customHeight="1">
      <c r="A220" s="5773" t="s">
        <v>166</v>
      </c>
      <c r="B220" s="7435" t="s">
        <v>10246</v>
      </c>
      <c r="C220" s="7436"/>
      <c r="D220" s="7436"/>
      <c r="E220" s="7436"/>
      <c r="F220" s="7436"/>
      <c r="G220" s="7436"/>
      <c r="H220" s="7436"/>
      <c r="I220" s="7436"/>
      <c r="J220" s="7436"/>
      <c r="K220" s="7437"/>
      <c r="L220" s="54"/>
      <c r="M220" s="5773" t="s">
        <v>166</v>
      </c>
      <c r="N220" s="7438" t="s">
        <v>10249</v>
      </c>
      <c r="O220" s="7439"/>
      <c r="P220" s="7439"/>
      <c r="Q220" s="7439"/>
      <c r="R220" s="7439"/>
      <c r="S220" s="7439"/>
      <c r="T220" s="7439"/>
      <c r="U220" s="7439"/>
      <c r="V220" s="7439"/>
      <c r="W220" s="7440"/>
      <c r="X220" s="54"/>
      <c r="Y220" s="54"/>
      <c r="Z220" s="54"/>
      <c r="AA220" s="3">
        <v>1</v>
      </c>
    </row>
    <row r="221" spans="1:27" s="2684" customFormat="1" ht="21" customHeight="1">
      <c r="A221" s="7272" t="str">
        <f>B220</f>
        <v>Gastronormes tableau N° 1</v>
      </c>
      <c r="B221" s="5757" t="str">
        <f>ADDRESS(ROW(),COLUMN(),4)</f>
        <v>B221</v>
      </c>
      <c r="C221" s="2615" t="s">
        <v>9521</v>
      </c>
      <c r="D221" s="2811"/>
      <c r="E221" s="2811"/>
      <c r="F221" s="2811"/>
      <c r="G221" s="2811"/>
      <c r="H221" s="2811"/>
      <c r="I221" s="2811"/>
      <c r="J221" s="2811"/>
      <c r="K221" s="2812"/>
      <c r="L221" s="54"/>
      <c r="M221" s="7272" t="str">
        <f>N220</f>
        <v>Gastronormes tableau N° 2</v>
      </c>
      <c r="N221" s="5757" t="str">
        <f>ADDRESS(ROW(),COLUMN(),4)</f>
        <v>N221</v>
      </c>
      <c r="O221" s="2615" t="s">
        <v>9521</v>
      </c>
      <c r="P221" s="2811"/>
      <c r="Q221" s="2811"/>
      <c r="R221" s="2811"/>
      <c r="S221" s="2811"/>
      <c r="T221" s="2811"/>
      <c r="U221" s="2811"/>
      <c r="V221" s="2811"/>
      <c r="W221" s="2812"/>
      <c r="X221" s="54"/>
      <c r="Y221" s="54"/>
      <c r="Z221" s="54"/>
      <c r="AA221" s="3">
        <v>1</v>
      </c>
    </row>
    <row r="222" spans="1:27" s="2684" customFormat="1" ht="21" customHeight="1">
      <c r="A222" s="7272"/>
      <c r="B222" s="7390" t="s">
        <v>10383</v>
      </c>
      <c r="C222" s="7391"/>
      <c r="D222" s="7391"/>
      <c r="E222" s="7391"/>
      <c r="F222" s="7391"/>
      <c r="G222" s="2957"/>
      <c r="H222" s="2957"/>
      <c r="I222" s="2957"/>
      <c r="J222" s="2958"/>
      <c r="K222" s="2959" t="s">
        <v>10323</v>
      </c>
      <c r="L222" s="54"/>
      <c r="M222" s="7272"/>
      <c r="N222" s="7394" t="s">
        <v>10384</v>
      </c>
      <c r="O222" s="7395"/>
      <c r="P222" s="7395"/>
      <c r="Q222" s="7395"/>
      <c r="R222" s="7395"/>
      <c r="S222" s="2960"/>
      <c r="T222" s="2960"/>
      <c r="U222" s="2960"/>
      <c r="V222" s="2961"/>
      <c r="W222" s="2962" t="s">
        <v>10323</v>
      </c>
      <c r="X222" s="54"/>
      <c r="Y222" s="54"/>
      <c r="Z222" s="54"/>
      <c r="AA222" s="3">
        <v>1</v>
      </c>
    </row>
    <row r="223" spans="1:27" s="2684" customFormat="1" ht="21" customHeight="1">
      <c r="A223" s="7272"/>
      <c r="B223" s="7392"/>
      <c r="C223" s="7393"/>
      <c r="D223" s="7393"/>
      <c r="E223" s="7393"/>
      <c r="F223" s="7393"/>
      <c r="G223" s="5832"/>
      <c r="H223" s="5832"/>
      <c r="I223" s="5832"/>
      <c r="J223" s="5833"/>
      <c r="K223" s="5834" t="s">
        <v>10385</v>
      </c>
      <c r="L223" s="54"/>
      <c r="M223" s="7272"/>
      <c r="N223" s="7396"/>
      <c r="O223" s="7397"/>
      <c r="P223" s="7397"/>
      <c r="Q223" s="7397"/>
      <c r="R223" s="7397"/>
      <c r="S223" s="2960"/>
      <c r="T223" s="2960"/>
      <c r="U223" s="2960"/>
      <c r="V223" s="2961"/>
      <c r="W223" s="2963" t="s">
        <v>10386</v>
      </c>
      <c r="X223" s="54"/>
      <c r="Y223" s="54"/>
      <c r="Z223" s="54"/>
      <c r="AA223" s="3">
        <v>1</v>
      </c>
    </row>
    <row r="224" spans="1:27" s="2684" customFormat="1" ht="21" customHeight="1">
      <c r="A224" s="7272"/>
      <c r="B224" s="7398" t="s">
        <v>10324</v>
      </c>
      <c r="C224" s="7399"/>
      <c r="D224" s="7399"/>
      <c r="E224" s="7399"/>
      <c r="F224" s="7399"/>
      <c r="G224" s="7399"/>
      <c r="H224" s="7399"/>
      <c r="I224" s="7399"/>
      <c r="J224" s="7399"/>
      <c r="K224" s="7400"/>
      <c r="L224" s="54"/>
      <c r="M224" s="7272"/>
      <c r="N224" s="7401" t="s">
        <v>10324</v>
      </c>
      <c r="O224" s="7402"/>
      <c r="P224" s="7402"/>
      <c r="Q224" s="7402"/>
      <c r="R224" s="7402"/>
      <c r="S224" s="7402"/>
      <c r="T224" s="7402"/>
      <c r="U224" s="7402"/>
      <c r="V224" s="7402"/>
      <c r="W224" s="7403"/>
      <c r="X224" s="54"/>
      <c r="Y224" s="54"/>
      <c r="Z224" s="54"/>
      <c r="AA224" s="3">
        <v>1</v>
      </c>
    </row>
    <row r="225" spans="1:27" s="2684" customFormat="1" ht="21" customHeight="1">
      <c r="A225" s="7272"/>
      <c r="B225" s="7404" t="s">
        <v>10326</v>
      </c>
      <c r="C225" s="7405"/>
      <c r="D225" s="7405"/>
      <c r="E225" s="7406"/>
      <c r="F225" s="7421" t="s">
        <v>10248</v>
      </c>
      <c r="G225" s="7423" t="s">
        <v>10327</v>
      </c>
      <c r="H225" s="7424" t="s">
        <v>10387</v>
      </c>
      <c r="I225" s="7425"/>
      <c r="J225" s="7421" t="s">
        <v>10388</v>
      </c>
      <c r="K225" s="7428"/>
      <c r="L225" s="54"/>
      <c r="M225" s="7272"/>
      <c r="N225" s="7407" t="s">
        <v>10326</v>
      </c>
      <c r="O225" s="7408"/>
      <c r="P225" s="7408"/>
      <c r="Q225" s="7408"/>
      <c r="R225" s="2964" t="s">
        <v>10248</v>
      </c>
      <c r="S225" s="7430" t="s">
        <v>10327</v>
      </c>
      <c r="T225" s="7430"/>
      <c r="U225" s="2966" t="s">
        <v>10389</v>
      </c>
      <c r="V225" s="2965" t="s">
        <v>10388</v>
      </c>
      <c r="W225" s="2478"/>
      <c r="X225" s="54"/>
      <c r="Y225" s="54"/>
      <c r="Z225" s="54"/>
      <c r="AA225" s="3">
        <v>1</v>
      </c>
    </row>
    <row r="226" spans="1:27" s="2684" customFormat="1" ht="21" customHeight="1">
      <c r="A226" s="7272"/>
      <c r="B226" s="7407"/>
      <c r="C226" s="7408"/>
      <c r="D226" s="7408"/>
      <c r="E226" s="7409"/>
      <c r="F226" s="7422"/>
      <c r="G226" s="7356"/>
      <c r="H226" s="7426"/>
      <c r="I226" s="7427"/>
      <c r="J226" s="7422"/>
      <c r="K226" s="7429"/>
      <c r="L226" s="54"/>
      <c r="M226" s="7272"/>
      <c r="N226" s="7431" t="s">
        <v>10390</v>
      </c>
      <c r="O226" s="7432"/>
      <c r="P226" s="7432"/>
      <c r="Q226" s="7432"/>
      <c r="R226" s="2967">
        <v>16</v>
      </c>
      <c r="S226" s="7433" t="s">
        <v>10339</v>
      </c>
      <c r="T226" s="7433"/>
      <c r="U226" s="2968">
        <v>1</v>
      </c>
      <c r="V226" s="2969">
        <v>1250</v>
      </c>
      <c r="W226" s="2970"/>
      <c r="X226" s="54"/>
      <c r="Y226" s="54"/>
      <c r="Z226" s="54"/>
      <c r="AA226" s="3">
        <v>1</v>
      </c>
    </row>
    <row r="227" spans="1:27" s="2684" customFormat="1" ht="21" customHeight="1">
      <c r="A227" s="7272"/>
      <c r="B227" s="7368" t="s">
        <v>10343</v>
      </c>
      <c r="C227" s="7369"/>
      <c r="D227" s="7369"/>
      <c r="E227" s="7370"/>
      <c r="F227" s="7374">
        <v>3</v>
      </c>
      <c r="G227" s="7376" t="s">
        <v>837</v>
      </c>
      <c r="H227" s="7378">
        <v>23</v>
      </c>
      <c r="I227" s="7378"/>
      <c r="J227" s="7380">
        <v>100</v>
      </c>
      <c r="K227" s="7381"/>
      <c r="L227" s="54"/>
      <c r="M227" s="7272"/>
      <c r="N227" s="7384" t="s">
        <v>10325</v>
      </c>
      <c r="O227" s="7385"/>
      <c r="P227" s="7385"/>
      <c r="Q227" s="7385"/>
      <c r="R227" s="7385"/>
      <c r="S227" s="7385"/>
      <c r="T227" s="7385"/>
      <c r="U227" s="7385"/>
      <c r="V227" s="7385"/>
      <c r="W227" s="7386"/>
      <c r="X227" s="54"/>
      <c r="Y227" s="54"/>
      <c r="Z227" s="54"/>
      <c r="AA227" s="3">
        <v>1</v>
      </c>
    </row>
    <row r="228" spans="1:27" s="2684" customFormat="1" ht="21" customHeight="1">
      <c r="A228" s="7272"/>
      <c r="B228" s="7371"/>
      <c r="C228" s="7372"/>
      <c r="D228" s="7372"/>
      <c r="E228" s="7373"/>
      <c r="F228" s="7375"/>
      <c r="G228" s="7377"/>
      <c r="H228" s="7379"/>
      <c r="I228" s="7379"/>
      <c r="J228" s="7382"/>
      <c r="K228" s="7383"/>
      <c r="L228" s="54"/>
      <c r="M228" s="7272"/>
      <c r="N228" s="2971" t="s">
        <v>10391</v>
      </c>
      <c r="O228" s="7387" t="s">
        <v>10329</v>
      </c>
      <c r="P228" s="7388"/>
      <c r="Q228" s="7388"/>
      <c r="R228" s="7387" t="s">
        <v>10330</v>
      </c>
      <c r="S228" s="7388"/>
      <c r="T228" s="7388"/>
      <c r="U228" s="7388"/>
      <c r="V228" s="7388"/>
      <c r="W228" s="7389"/>
      <c r="X228" s="54"/>
      <c r="Y228" s="54"/>
      <c r="Z228" s="54"/>
      <c r="AA228" s="3">
        <v>1</v>
      </c>
    </row>
    <row r="229" spans="1:27" s="2684" customFormat="1" ht="21" customHeight="1">
      <c r="A229" s="7272"/>
      <c r="B229" s="7346" t="s">
        <v>10325</v>
      </c>
      <c r="C229" s="7347"/>
      <c r="D229" s="7347"/>
      <c r="E229" s="7347"/>
      <c r="F229" s="7347"/>
      <c r="G229" s="7347"/>
      <c r="H229" s="7347"/>
      <c r="I229" s="7347"/>
      <c r="J229" s="7347"/>
      <c r="K229" s="7348"/>
      <c r="L229" s="54"/>
      <c r="M229" s="7272"/>
      <c r="N229" s="2972">
        <f>R226/U226</f>
        <v>16</v>
      </c>
      <c r="O229" s="2973">
        <f>U226*V226</f>
        <v>1250</v>
      </c>
      <c r="P229" s="7352" t="str">
        <f>S226</f>
        <v>Cuisses</v>
      </c>
      <c r="Q229" s="7352"/>
      <c r="R229" s="2974">
        <f>IF(O229=0,0,INT(O229/R226))</f>
        <v>78</v>
      </c>
      <c r="S229" s="5835">
        <f>O229-(R229*R226)</f>
        <v>2</v>
      </c>
      <c r="T229" s="5836" t="str">
        <f>IF(S229=0,0,S226)</f>
        <v>Cuisses</v>
      </c>
      <c r="U229" s="5837">
        <f>IF(S229=0,0,R229+1)</f>
        <v>79</v>
      </c>
      <c r="V229" s="5835">
        <f>IF(S229=0,0,O229-(U229*R226))</f>
        <v>-14</v>
      </c>
      <c r="W229" s="5838" t="str">
        <f>IF(V229=0,0,S226)</f>
        <v>Cuisses</v>
      </c>
      <c r="X229" s="54"/>
      <c r="Y229" s="54"/>
      <c r="Z229" s="54"/>
      <c r="AA229" s="3">
        <v>1</v>
      </c>
    </row>
    <row r="230" spans="1:27" s="2684" customFormat="1" ht="21" customHeight="1" thickBot="1">
      <c r="A230" s="7272"/>
      <c r="B230" s="7349"/>
      <c r="C230" s="7350"/>
      <c r="D230" s="7350"/>
      <c r="E230" s="7350"/>
      <c r="F230" s="7350"/>
      <c r="G230" s="7350"/>
      <c r="H230" s="7350"/>
      <c r="I230" s="7350"/>
      <c r="J230" s="7350"/>
      <c r="K230" s="7351"/>
      <c r="L230" s="54"/>
      <c r="M230" s="7272"/>
      <c r="N230" s="7304" t="s">
        <v>10356</v>
      </c>
      <c r="O230" s="7305"/>
      <c r="P230" s="7305"/>
      <c r="Q230" s="7305"/>
      <c r="R230" s="7305"/>
      <c r="S230" s="7305"/>
      <c r="T230" s="7305"/>
      <c r="U230" s="7305"/>
      <c r="V230" s="7305"/>
      <c r="W230" s="7306"/>
      <c r="X230" s="54"/>
      <c r="Y230" s="54"/>
      <c r="Z230" s="54"/>
      <c r="AA230" s="3">
        <v>1</v>
      </c>
    </row>
    <row r="231" spans="1:27" s="2684" customFormat="1" ht="21" customHeight="1" thickBot="1">
      <c r="A231" s="7272"/>
      <c r="B231" s="7353" t="s">
        <v>10389</v>
      </c>
      <c r="C231" s="7354"/>
      <c r="D231" s="7357" t="s">
        <v>10329</v>
      </c>
      <c r="E231" s="7358"/>
      <c r="F231" s="7361" t="s">
        <v>10330</v>
      </c>
      <c r="G231" s="7361"/>
      <c r="H231" s="7361"/>
      <c r="I231" s="7361"/>
      <c r="J231" s="7361"/>
      <c r="K231" s="7362"/>
      <c r="L231" s="54"/>
      <c r="M231" s="54"/>
      <c r="N231" s="54"/>
      <c r="O231" s="54"/>
      <c r="P231" s="54"/>
      <c r="Q231" s="54"/>
      <c r="R231" s="54"/>
      <c r="S231" s="54"/>
      <c r="T231" s="54"/>
      <c r="U231" s="54"/>
      <c r="V231" s="54"/>
      <c r="W231" s="54"/>
      <c r="X231" s="54"/>
      <c r="Y231" s="54"/>
      <c r="Z231" s="54"/>
      <c r="AA231" s="3">
        <v>1</v>
      </c>
    </row>
    <row r="232" spans="1:27" s="2684" customFormat="1" ht="21" customHeight="1">
      <c r="A232" s="7272"/>
      <c r="B232" s="7355"/>
      <c r="C232" s="7356"/>
      <c r="D232" s="7359"/>
      <c r="E232" s="7360"/>
      <c r="F232" s="7363"/>
      <c r="G232" s="7363"/>
      <c r="H232" s="7363"/>
      <c r="I232" s="7363"/>
      <c r="J232" s="7363"/>
      <c r="K232" s="7364"/>
      <c r="L232" s="54"/>
      <c r="M232" s="5839" t="s">
        <v>166</v>
      </c>
      <c r="N232" s="7365" t="s">
        <v>10251</v>
      </c>
      <c r="O232" s="7366"/>
      <c r="P232" s="7366"/>
      <c r="Q232" s="7366"/>
      <c r="R232" s="7366"/>
      <c r="S232" s="7366"/>
      <c r="T232" s="7366"/>
      <c r="U232" s="7366"/>
      <c r="V232" s="7366"/>
      <c r="W232" s="7366"/>
      <c r="X232" s="7366"/>
      <c r="Y232" s="7366"/>
      <c r="Z232" s="7367"/>
      <c r="AA232" s="3">
        <v>1</v>
      </c>
    </row>
    <row r="233" spans="1:27" s="2684" customFormat="1" ht="21" customHeight="1">
      <c r="A233" s="7272"/>
      <c r="B233" s="7336">
        <f>F227/H227</f>
        <v>0.13043478260869565</v>
      </c>
      <c r="C233" s="7337"/>
      <c r="D233" s="7340">
        <f>B233*J227</f>
        <v>13.043478260869565</v>
      </c>
      <c r="E233" s="7342" t="str">
        <f>G227</f>
        <v>Kg</v>
      </c>
      <c r="F233" s="7318">
        <f>IF(D233=0,0,INT(D233/F227))</f>
        <v>4</v>
      </c>
      <c r="G233" s="7320">
        <f>D233-(F233*F227)</f>
        <v>1.0434782608695645</v>
      </c>
      <c r="H233" s="7344" t="str">
        <f>IF(G233=0,0,G227)</f>
        <v>Kg</v>
      </c>
      <c r="I233" s="7318">
        <f>IF(G233=0,0,F233+1)</f>
        <v>5</v>
      </c>
      <c r="J233" s="7320">
        <f>IF(G233=0,0,D233-(I233*F227))</f>
        <v>-1.9565217391304355</v>
      </c>
      <c r="K233" s="7322" t="str">
        <f>IF(J233=0,0,G227)</f>
        <v>Kg</v>
      </c>
      <c r="L233" s="54"/>
      <c r="M233" s="7272" t="str">
        <f>N232</f>
        <v>Service au choix : au poids ou à la portion</v>
      </c>
      <c r="N233" s="2904" t="str">
        <f>ADDRESS(ROW(),COLUMN(),4)</f>
        <v>N233</v>
      </c>
      <c r="O233" s="2718" t="s">
        <v>9521</v>
      </c>
      <c r="P233" s="2723"/>
      <c r="Q233" s="2723"/>
      <c r="R233" s="2723"/>
      <c r="S233" s="2723"/>
      <c r="T233" s="2723"/>
      <c r="U233" s="2723"/>
      <c r="V233" s="2723"/>
      <c r="W233" s="2723"/>
      <c r="X233" s="2723"/>
      <c r="Y233" s="2723"/>
      <c r="Z233" s="2975"/>
      <c r="AA233" s="3">
        <v>1</v>
      </c>
    </row>
    <row r="234" spans="1:27" s="2684" customFormat="1" ht="21" customHeight="1" thickBot="1">
      <c r="A234" s="7272"/>
      <c r="B234" s="7338"/>
      <c r="C234" s="7339"/>
      <c r="D234" s="7341"/>
      <c r="E234" s="7343"/>
      <c r="F234" s="7319"/>
      <c r="G234" s="7321"/>
      <c r="H234" s="7345"/>
      <c r="I234" s="7319"/>
      <c r="J234" s="7321"/>
      <c r="K234" s="7323"/>
      <c r="L234" s="54"/>
      <c r="M234" s="7272"/>
      <c r="N234" s="7324" t="s">
        <v>10392</v>
      </c>
      <c r="O234" s="7325"/>
      <c r="P234" s="7325"/>
      <c r="Q234" s="7325"/>
      <c r="R234" s="7325"/>
      <c r="S234" s="7325"/>
      <c r="T234" s="2976"/>
      <c r="U234" s="2977"/>
      <c r="V234" s="2977"/>
      <c r="W234" s="2977"/>
      <c r="X234" s="2977"/>
      <c r="Y234" s="2977"/>
      <c r="Z234" s="2978"/>
      <c r="AA234" s="3">
        <v>1</v>
      </c>
    </row>
    <row r="235" spans="1:27" s="2684" customFormat="1" ht="21" customHeight="1">
      <c r="A235" s="7272"/>
      <c r="B235" s="7326" t="str">
        <f ca="1">_xlfn.FORMULATEXT(B233)</f>
        <v>=F227/H227</v>
      </c>
      <c r="C235" s="7327"/>
      <c r="D235" s="2979" t="str">
        <f ca="1">_xlfn.FORMULATEXT(D233)</f>
        <v>=B233*J227</v>
      </c>
      <c r="E235" s="1873"/>
      <c r="F235" s="2980" t="str">
        <f ca="1">_xlfn.FORMULATEXT(F233)</f>
        <v>=SI(D233=0;0;ENT(D233/F227))</v>
      </c>
      <c r="G235" s="2981"/>
      <c r="H235" s="2982" t="str">
        <f ca="1">_xlfn.FORMULATEXT(H233)</f>
        <v>=SI(G233=0;0;G227)</v>
      </c>
      <c r="I235" s="2983"/>
      <c r="J235" s="2981" t="str">
        <f ca="1">_xlfn.FORMULATEXT(I233)</f>
        <v>=SI(G233=0;0;F233+1)</v>
      </c>
      <c r="K235" s="2984"/>
      <c r="L235" s="54"/>
      <c r="M235" s="7272"/>
      <c r="N235" s="2985"/>
      <c r="O235" s="2986"/>
      <c r="P235" s="2987"/>
      <c r="Q235" s="7328" t="s">
        <v>10328</v>
      </c>
      <c r="R235" s="7328"/>
      <c r="S235" s="2988"/>
      <c r="T235" s="2987"/>
      <c r="U235" s="2987"/>
      <c r="V235" s="2987"/>
      <c r="W235" s="2987"/>
      <c r="X235" s="2987"/>
      <c r="Y235" s="2989"/>
      <c r="Z235" s="2990"/>
      <c r="AA235" s="3">
        <v>1</v>
      </c>
    </row>
    <row r="236" spans="1:27" s="2684" customFormat="1" ht="21" customHeight="1">
      <c r="A236" s="7272"/>
      <c r="B236" s="2991" t="s">
        <v>10114</v>
      </c>
      <c r="C236" s="2618"/>
      <c r="D236" s="2618"/>
      <c r="E236" s="2618"/>
      <c r="F236" s="2618"/>
      <c r="G236" s="2992" t="str">
        <f ca="1">_xlfn.FORMULATEXT(G233)</f>
        <v>=D233-(F233*F227)</v>
      </c>
      <c r="H236" s="2618"/>
      <c r="I236" s="2980" t="str">
        <f ca="1">_xlfn.FORMULATEXT(J233)</f>
        <v>=SI(G233=0;0;D233-(I233*F227))</v>
      </c>
      <c r="J236" s="2618"/>
      <c r="K236" s="2984"/>
      <c r="L236" s="54"/>
      <c r="M236" s="7272"/>
      <c r="N236" s="2985"/>
      <c r="O236" s="2987"/>
      <c r="P236" s="2986" t="s">
        <v>10393</v>
      </c>
      <c r="Q236" s="2993" t="s">
        <v>8189</v>
      </c>
      <c r="R236" s="2993" t="s">
        <v>10394</v>
      </c>
      <c r="S236" s="2988"/>
      <c r="T236" s="7313" t="s">
        <v>10395</v>
      </c>
      <c r="U236" s="7313"/>
      <c r="V236" s="7313"/>
      <c r="W236" s="7313"/>
      <c r="X236" s="7314">
        <v>10</v>
      </c>
      <c r="Y236" s="7315" t="s">
        <v>10396</v>
      </c>
      <c r="Z236" s="7316">
        <f>O237*X236</f>
        <v>4.5</v>
      </c>
      <c r="AA236" s="3">
        <v>1</v>
      </c>
    </row>
    <row r="237" spans="1:27" s="2684" customFormat="1" ht="21" customHeight="1" thickBot="1">
      <c r="A237" s="7272"/>
      <c r="B237" s="7304" t="s">
        <v>10356</v>
      </c>
      <c r="C237" s="7305"/>
      <c r="D237" s="7305"/>
      <c r="E237" s="7305"/>
      <c r="F237" s="7305"/>
      <c r="G237" s="7305"/>
      <c r="H237" s="7305"/>
      <c r="I237" s="7305"/>
      <c r="J237" s="7305"/>
      <c r="K237" s="7306"/>
      <c r="L237" s="54"/>
      <c r="M237" s="7272"/>
      <c r="N237" s="2994"/>
      <c r="O237" s="2995">
        <v>0.45</v>
      </c>
      <c r="P237" s="2996" t="s">
        <v>837</v>
      </c>
      <c r="Q237" s="2997">
        <v>25</v>
      </c>
      <c r="R237" s="2997">
        <v>7</v>
      </c>
      <c r="S237" s="2988"/>
      <c r="T237" s="7313"/>
      <c r="U237" s="7313"/>
      <c r="V237" s="7313"/>
      <c r="W237" s="7313"/>
      <c r="X237" s="7314"/>
      <c r="Y237" s="7315"/>
      <c r="Z237" s="7316"/>
      <c r="AA237" s="3">
        <v>1</v>
      </c>
    </row>
    <row r="238" spans="1:27" s="2684" customFormat="1" ht="21" customHeight="1">
      <c r="A238" s="54"/>
      <c r="B238" s="54"/>
      <c r="C238" s="54"/>
      <c r="D238" s="54"/>
      <c r="E238" s="54"/>
      <c r="F238" s="54"/>
      <c r="G238" s="54"/>
      <c r="H238" s="54"/>
      <c r="I238" s="54"/>
      <c r="J238" s="54"/>
      <c r="K238" s="54"/>
      <c r="L238" s="54"/>
      <c r="M238" s="7272"/>
      <c r="N238" s="2994"/>
      <c r="O238" s="2988"/>
      <c r="P238" s="2988"/>
      <c r="Q238" s="2998" t="s">
        <v>8189</v>
      </c>
      <c r="R238" s="2998" t="s">
        <v>10394</v>
      </c>
      <c r="S238" s="2988"/>
      <c r="T238" s="2987"/>
      <c r="U238" s="7317" t="s">
        <v>10397</v>
      </c>
      <c r="V238" s="7317"/>
      <c r="W238" s="7317"/>
      <c r="X238" s="7317"/>
      <c r="Y238" s="7317"/>
      <c r="Z238" s="2990"/>
      <c r="AA238" s="3">
        <v>1</v>
      </c>
    </row>
    <row r="239" spans="1:27" s="2684" customFormat="1" ht="21" customHeight="1" thickBot="1">
      <c r="A239" s="54"/>
      <c r="B239" s="54"/>
      <c r="C239" s="54"/>
      <c r="D239" s="54"/>
      <c r="E239" s="54"/>
      <c r="F239" s="54"/>
      <c r="G239" s="54"/>
      <c r="H239" s="54"/>
      <c r="I239" s="54"/>
      <c r="J239" s="54"/>
      <c r="K239" s="54"/>
      <c r="L239" s="54"/>
      <c r="M239" s="7272"/>
      <c r="N239" s="2999"/>
      <c r="O239" s="3000" t="s">
        <v>10398</v>
      </c>
      <c r="P239" s="3000"/>
      <c r="Q239" s="3001">
        <v>0.2</v>
      </c>
      <c r="R239" s="3001">
        <v>0.25</v>
      </c>
      <c r="S239" s="3002">
        <f>(Q239*Q237)+(R239*R237)</f>
        <v>6.75</v>
      </c>
      <c r="T239" s="3003" t="str">
        <f>P237</f>
        <v>Kg</v>
      </c>
      <c r="U239" s="3004">
        <f>IF(S239=0,0,INT(S239/(O237*X236)))</f>
        <v>1</v>
      </c>
      <c r="V239" s="3005">
        <f>S239-(U239*(O237*X236))</f>
        <v>2.25</v>
      </c>
      <c r="W239" s="3006" t="str">
        <f>IF(V239=0,0,P237)</f>
        <v>Kg</v>
      </c>
      <c r="X239" s="3004">
        <f>IF(V239=0,0,U239+1)</f>
        <v>2</v>
      </c>
      <c r="Y239" s="3005">
        <f>IF(V239=0,0,S239-(X239*Z236))</f>
        <v>-2.25</v>
      </c>
      <c r="Z239" s="3007" t="str">
        <f>IF(Y239=0,0,P237)</f>
        <v>Kg</v>
      </c>
      <c r="AA239" s="3">
        <v>1</v>
      </c>
    </row>
    <row r="240" spans="1:27" s="2684" customFormat="1" ht="21" customHeight="1">
      <c r="A240" s="5839" t="s">
        <v>166</v>
      </c>
      <c r="B240" s="7329" t="s">
        <v>10259</v>
      </c>
      <c r="C240" s="7330"/>
      <c r="D240" s="7330"/>
      <c r="E240" s="7330"/>
      <c r="F240" s="7330"/>
      <c r="G240" s="7330"/>
      <c r="H240" s="7330"/>
      <c r="I240" s="7330"/>
      <c r="J240" s="7330"/>
      <c r="K240" s="7331"/>
      <c r="L240" s="54"/>
      <c r="M240" s="7272"/>
      <c r="N240" s="7332" t="s">
        <v>10399</v>
      </c>
      <c r="O240" s="7333"/>
      <c r="P240" s="7333"/>
      <c r="Q240" s="7288">
        <f>Q239/O237</f>
        <v>0.44444444444444448</v>
      </c>
      <c r="R240" s="7288">
        <f>R239/O237</f>
        <v>0.55555555555555558</v>
      </c>
      <c r="S240" s="7290">
        <f>(Q240*Q237)+(R240*R237)</f>
        <v>15.000000000000002</v>
      </c>
      <c r="T240" s="7292" t="str">
        <f>Y236</f>
        <v>portions</v>
      </c>
      <c r="U240" s="7294">
        <f>IF(S240=0,0,INT(S240/X236))</f>
        <v>1</v>
      </c>
      <c r="V240" s="7296">
        <f>S240-(U240*X236)</f>
        <v>5.0000000000000018</v>
      </c>
      <c r="W240" s="7298" t="str">
        <f>IF(V240=0,0,Y236)</f>
        <v>portions</v>
      </c>
      <c r="X240" s="7307">
        <f>IF(V240=0,0,U240+1)</f>
        <v>2</v>
      </c>
      <c r="Y240" s="7309">
        <f>IF(V240=0,0,S240-(X240*X236))</f>
        <v>-4.9999999999999982</v>
      </c>
      <c r="Z240" s="7311" t="str">
        <f>IF(Y240=0,0,Y236)</f>
        <v>portions</v>
      </c>
      <c r="AA240" s="3">
        <v>1</v>
      </c>
    </row>
    <row r="241" spans="1:27" s="2684" customFormat="1" ht="21" customHeight="1">
      <c r="A241" s="7272" t="str">
        <f>B240</f>
        <v>Poids de sauce à servir</v>
      </c>
      <c r="B241" s="5757" t="str">
        <f>ADDRESS(ROW(),COLUMN(),4)</f>
        <v>B241</v>
      </c>
      <c r="C241" s="2615" t="s">
        <v>9521</v>
      </c>
      <c r="D241" s="2811"/>
      <c r="E241" s="2811"/>
      <c r="F241" s="2811"/>
      <c r="G241" s="2811"/>
      <c r="H241" s="2811"/>
      <c r="I241" s="2811"/>
      <c r="J241" s="2811"/>
      <c r="K241" s="2812"/>
      <c r="L241" s="54"/>
      <c r="M241" s="7272"/>
      <c r="N241" s="7334"/>
      <c r="O241" s="7335"/>
      <c r="P241" s="7335"/>
      <c r="Q241" s="7289"/>
      <c r="R241" s="7289"/>
      <c r="S241" s="7291"/>
      <c r="T241" s="7293"/>
      <c r="U241" s="7295"/>
      <c r="V241" s="7297"/>
      <c r="W241" s="7299"/>
      <c r="X241" s="7308"/>
      <c r="Y241" s="7310"/>
      <c r="Z241" s="7312"/>
      <c r="AA241" s="3">
        <v>1</v>
      </c>
    </row>
    <row r="242" spans="1:27" s="2684" customFormat="1" ht="21" customHeight="1" thickBot="1">
      <c r="A242" s="7272"/>
      <c r="B242" s="7273" t="s">
        <v>10400</v>
      </c>
      <c r="C242" s="7274"/>
      <c r="D242" s="7274"/>
      <c r="E242" s="7274"/>
      <c r="F242" s="7277" t="s">
        <v>10401</v>
      </c>
      <c r="G242" s="7277"/>
      <c r="H242" s="7277"/>
      <c r="I242" s="7277"/>
      <c r="J242" s="7279">
        <v>0.15</v>
      </c>
      <c r="K242" s="7280"/>
      <c r="L242" s="54"/>
      <c r="M242" s="7272"/>
      <c r="N242" s="7283" t="s">
        <v>10356</v>
      </c>
      <c r="O242" s="7284"/>
      <c r="P242" s="7284"/>
      <c r="Q242" s="7284"/>
      <c r="R242" s="7284"/>
      <c r="S242" s="7284"/>
      <c r="T242" s="7284"/>
      <c r="U242" s="7284"/>
      <c r="V242" s="7284"/>
      <c r="W242" s="7284"/>
      <c r="X242" s="7284"/>
      <c r="Y242" s="7284"/>
      <c r="Z242" s="7285"/>
      <c r="AA242" s="3">
        <v>1</v>
      </c>
    </row>
    <row r="243" spans="1:27" s="2684" customFormat="1" ht="21" customHeight="1">
      <c r="A243" s="7272"/>
      <c r="B243" s="7275"/>
      <c r="C243" s="7276"/>
      <c r="D243" s="7276"/>
      <c r="E243" s="7276"/>
      <c r="F243" s="7278"/>
      <c r="G243" s="7278"/>
      <c r="H243" s="7278"/>
      <c r="I243" s="7278"/>
      <c r="J243" s="7281"/>
      <c r="K243" s="7282"/>
      <c r="L243" s="54"/>
      <c r="M243" s="54"/>
      <c r="N243" s="54"/>
      <c r="O243" s="54"/>
      <c r="P243" s="54"/>
      <c r="Q243" s="54"/>
      <c r="R243" s="54"/>
      <c r="S243" s="54"/>
      <c r="T243" s="54"/>
      <c r="U243" s="54"/>
      <c r="V243" s="54"/>
      <c r="W243" s="54"/>
      <c r="X243" s="54"/>
      <c r="Y243" s="54"/>
      <c r="Z243" s="54"/>
      <c r="AA243" s="3">
        <v>1</v>
      </c>
    </row>
    <row r="244" spans="1:27" s="2684" customFormat="1" ht="21" customHeight="1">
      <c r="A244" s="7272"/>
      <c r="B244" s="7286" t="s">
        <v>10388</v>
      </c>
      <c r="C244" s="7287" t="s">
        <v>10402</v>
      </c>
      <c r="D244" s="7300" t="s">
        <v>10403</v>
      </c>
      <c r="E244" s="7301" t="s">
        <v>10404</v>
      </c>
      <c r="F244" s="7301"/>
      <c r="G244" s="7302" t="s">
        <v>10405</v>
      </c>
      <c r="H244" s="7301" t="s">
        <v>10406</v>
      </c>
      <c r="I244" s="7301"/>
      <c r="J244" s="7301" t="s">
        <v>10407</v>
      </c>
      <c r="K244" s="7303"/>
      <c r="L244" s="54"/>
      <c r="M244" s="54"/>
      <c r="N244" s="54"/>
      <c r="O244" s="54"/>
      <c r="P244" s="54"/>
      <c r="Q244" s="54"/>
      <c r="R244" s="54"/>
      <c r="S244" s="54"/>
      <c r="T244" s="54"/>
      <c r="U244" s="54"/>
      <c r="V244" s="54"/>
      <c r="W244" s="54"/>
      <c r="X244" s="54"/>
      <c r="Y244" s="54"/>
      <c r="Z244" s="54"/>
      <c r="AA244" s="3">
        <v>1</v>
      </c>
    </row>
    <row r="245" spans="1:27" s="2684" customFormat="1" ht="21" customHeight="1">
      <c r="A245" s="7272"/>
      <c r="B245" s="7286"/>
      <c r="C245" s="7287"/>
      <c r="D245" s="7300"/>
      <c r="E245" s="7301"/>
      <c r="F245" s="7301"/>
      <c r="G245" s="7302"/>
      <c r="H245" s="7301"/>
      <c r="I245" s="7301"/>
      <c r="J245" s="7301"/>
      <c r="K245" s="7303"/>
      <c r="L245" s="54"/>
      <c r="M245" s="54"/>
      <c r="N245" s="54"/>
      <c r="O245" s="54"/>
      <c r="P245" s="54"/>
      <c r="Q245" s="54"/>
      <c r="R245" s="54"/>
      <c r="S245" s="54"/>
      <c r="T245" s="54"/>
      <c r="U245" s="54"/>
      <c r="V245" s="54"/>
      <c r="W245" s="54"/>
      <c r="X245" s="54"/>
      <c r="Y245" s="54"/>
      <c r="Z245" s="54"/>
      <c r="AA245" s="3">
        <v>1</v>
      </c>
    </row>
    <row r="246" spans="1:27" s="2684" customFormat="1" ht="21" customHeight="1">
      <c r="A246" s="7272"/>
      <c r="B246" s="3008">
        <v>50</v>
      </c>
      <c r="C246" s="3009">
        <v>0.03</v>
      </c>
      <c r="D246" s="3010">
        <v>2</v>
      </c>
      <c r="E246" s="3011">
        <f>IF(B246=0,0,(C246/(100-D246)*100))</f>
        <v>3.0612244897959183E-2</v>
      </c>
      <c r="F246" s="5840" t="s">
        <v>837</v>
      </c>
      <c r="G246" s="3012">
        <f>J242/C246</f>
        <v>5</v>
      </c>
      <c r="H246" s="3013">
        <f>C246*B246</f>
        <v>1.5</v>
      </c>
      <c r="I246" s="5840" t="s">
        <v>837</v>
      </c>
      <c r="J246" s="3014">
        <f>E246*B246</f>
        <v>1.5306122448979591</v>
      </c>
      <c r="K246" s="5841" t="s">
        <v>837</v>
      </c>
      <c r="L246" s="54"/>
      <c r="M246" s="54"/>
      <c r="N246" s="54"/>
      <c r="O246" s="54"/>
      <c r="P246" s="54"/>
      <c r="Q246" s="54"/>
      <c r="R246" s="54"/>
      <c r="S246" s="54"/>
      <c r="T246" s="54"/>
      <c r="U246" s="54"/>
      <c r="V246" s="54"/>
      <c r="W246" s="54"/>
      <c r="X246" s="54"/>
      <c r="Y246" s="54"/>
      <c r="Z246" s="54"/>
      <c r="AA246" s="3">
        <v>1</v>
      </c>
    </row>
    <row r="247" spans="1:27" s="2684" customFormat="1" ht="21" customHeight="1" thickBot="1">
      <c r="A247" s="7272"/>
      <c r="B247" s="7304" t="s">
        <v>10356</v>
      </c>
      <c r="C247" s="7305"/>
      <c r="D247" s="7305"/>
      <c r="E247" s="7305"/>
      <c r="F247" s="7305"/>
      <c r="G247" s="7305"/>
      <c r="H247" s="7305"/>
      <c r="I247" s="7305"/>
      <c r="J247" s="7305"/>
      <c r="K247" s="7306"/>
      <c r="L247" s="54"/>
      <c r="M247" s="54"/>
      <c r="N247" s="54"/>
      <c r="O247" s="54"/>
      <c r="P247" s="54"/>
      <c r="Q247" s="54"/>
      <c r="R247" s="54"/>
      <c r="S247" s="54"/>
      <c r="T247" s="54"/>
      <c r="U247" s="54"/>
      <c r="V247" s="54"/>
      <c r="W247" s="54"/>
      <c r="X247" s="54"/>
      <c r="Y247" s="54"/>
      <c r="Z247" s="54"/>
      <c r="AA247" s="3">
        <v>1</v>
      </c>
    </row>
    <row r="248" spans="1:27" s="2684" customFormat="1" ht="21" customHeight="1" thickBot="1">
      <c r="A248" s="2707"/>
      <c r="B248" s="2733"/>
      <c r="C248" s="2733"/>
      <c r="D248" s="2733"/>
      <c r="E248" s="2733"/>
      <c r="F248" s="2733"/>
      <c r="G248" s="2733"/>
      <c r="H248" s="2708"/>
      <c r="I248" s="2742"/>
      <c r="J248" s="2742"/>
      <c r="K248" s="2743"/>
      <c r="L248" s="54"/>
      <c r="M248" s="54"/>
      <c r="N248" s="54"/>
      <c r="O248" s="54"/>
      <c r="P248" s="54"/>
      <c r="Q248" s="54"/>
      <c r="R248" s="54"/>
      <c r="S248" s="54"/>
      <c r="T248" s="54"/>
      <c r="U248" s="54"/>
      <c r="V248" s="54"/>
      <c r="W248" s="54"/>
      <c r="X248" s="54"/>
      <c r="Y248" s="54"/>
      <c r="Z248" s="54"/>
      <c r="AA248" s="3">
        <v>1</v>
      </c>
    </row>
    <row r="249" spans="1:27" s="2684" customFormat="1" ht="21" customHeight="1">
      <c r="A249" s="5839" t="s">
        <v>166</v>
      </c>
      <c r="B249" s="7256" t="s">
        <v>10261</v>
      </c>
      <c r="C249" s="7257"/>
      <c r="D249" s="7257"/>
      <c r="E249" s="7257"/>
      <c r="F249" s="7257"/>
      <c r="G249" s="7257"/>
      <c r="H249" s="7257"/>
      <c r="I249" s="7257"/>
      <c r="J249" s="7258"/>
      <c r="K249" s="2707"/>
      <c r="L249" s="5839" t="s">
        <v>166</v>
      </c>
      <c r="M249" s="7256" t="s">
        <v>10253</v>
      </c>
      <c r="N249" s="7257"/>
      <c r="O249" s="7257"/>
      <c r="P249" s="7257"/>
      <c r="Q249" s="7258"/>
      <c r="R249" s="54"/>
      <c r="S249" s="54"/>
      <c r="T249" s="54"/>
      <c r="U249" s="54"/>
      <c r="V249" s="54"/>
      <c r="W249" s="54"/>
      <c r="X249" s="54"/>
      <c r="Y249" s="54"/>
      <c r="Z249" s="54"/>
      <c r="AA249" s="3">
        <v>1</v>
      </c>
    </row>
    <row r="250" spans="1:27" s="2684" customFormat="1" ht="21" customHeight="1">
      <c r="A250" s="7096" t="str">
        <f>B249</f>
        <v>Total Mx dans 1 contenant</v>
      </c>
      <c r="B250" s="5757" t="str">
        <f>ADDRESS(ROW(),COLUMN(),4)</f>
        <v>B250</v>
      </c>
      <c r="C250" s="2615" t="s">
        <v>9521</v>
      </c>
      <c r="D250" s="2729"/>
      <c r="E250" s="2729"/>
      <c r="F250" s="2729"/>
      <c r="G250" s="2729"/>
      <c r="H250" s="2729"/>
      <c r="I250" s="2729"/>
      <c r="J250" s="2732"/>
      <c r="K250" s="2707"/>
      <c r="L250" s="7096"/>
      <c r="M250" s="5757" t="str">
        <f>ADDRESS(ROW(),COLUMN(),4)</f>
        <v>M250</v>
      </c>
      <c r="N250" s="2615" t="s">
        <v>9521</v>
      </c>
      <c r="O250" s="2729"/>
      <c r="P250" s="2729"/>
      <c r="Q250" s="2732"/>
      <c r="R250" s="54"/>
      <c r="S250" s="54"/>
      <c r="T250" s="54"/>
      <c r="U250" s="54"/>
      <c r="V250" s="54"/>
      <c r="W250" s="54"/>
      <c r="X250" s="54"/>
      <c r="Y250" s="54"/>
      <c r="Z250" s="54"/>
      <c r="AA250" s="3">
        <v>1</v>
      </c>
    </row>
    <row r="251" spans="1:27" s="2684" customFormat="1" ht="21" customHeight="1">
      <c r="A251" s="7096"/>
      <c r="B251" s="7259" t="s">
        <v>10261</v>
      </c>
      <c r="C251" s="7261" t="s">
        <v>10408</v>
      </c>
      <c r="D251" s="7263" t="s">
        <v>10409</v>
      </c>
      <c r="E251" s="3015" t="s">
        <v>10410</v>
      </c>
      <c r="F251" s="3015"/>
      <c r="G251" s="3015"/>
      <c r="H251" s="3015"/>
      <c r="I251" s="3015"/>
      <c r="J251" s="3016"/>
      <c r="K251" s="2707"/>
      <c r="L251" s="7096"/>
      <c r="M251" s="7247" t="s">
        <v>10411</v>
      </c>
      <c r="N251" s="3018"/>
      <c r="O251" s="7249" t="s">
        <v>10412</v>
      </c>
      <c r="P251" s="3020"/>
      <c r="Q251" s="7265" t="s">
        <v>10413</v>
      </c>
      <c r="R251" s="54"/>
      <c r="S251" s="54"/>
      <c r="T251" s="54"/>
      <c r="U251" s="54"/>
      <c r="V251" s="54"/>
      <c r="W251" s="54"/>
      <c r="X251" s="54"/>
      <c r="Y251" s="54"/>
      <c r="Z251" s="54"/>
      <c r="AA251" s="3">
        <v>1</v>
      </c>
    </row>
    <row r="252" spans="1:27" s="2684" customFormat="1" ht="21" customHeight="1">
      <c r="A252" s="7096"/>
      <c r="B252" s="7260"/>
      <c r="C252" s="7262"/>
      <c r="D252" s="7264"/>
      <c r="E252" s="3021"/>
      <c r="F252" s="3021"/>
      <c r="G252" s="3021"/>
      <c r="H252" s="3021"/>
      <c r="I252" s="3021"/>
      <c r="J252" s="3022"/>
      <c r="K252" s="2707"/>
      <c r="L252" s="7096"/>
      <c r="M252" s="7247"/>
      <c r="N252" s="3018"/>
      <c r="O252" s="7249"/>
      <c r="P252" s="3020"/>
      <c r="Q252" s="7265"/>
      <c r="R252" s="54"/>
      <c r="S252" s="54"/>
      <c r="T252" s="54"/>
      <c r="U252" s="54"/>
      <c r="V252" s="54"/>
      <c r="W252" s="54"/>
      <c r="X252" s="54"/>
      <c r="Y252" s="54"/>
      <c r="Z252" s="54"/>
      <c r="AA252" s="3">
        <v>1</v>
      </c>
    </row>
    <row r="253" spans="1:27" s="2684" customFormat="1" ht="21" customHeight="1">
      <c r="A253" s="7096"/>
      <c r="B253" s="7260"/>
      <c r="C253" s="7262"/>
      <c r="D253" s="7264"/>
      <c r="E253" s="3023"/>
      <c r="F253" s="3023"/>
      <c r="G253" s="3023"/>
      <c r="H253" s="3023"/>
      <c r="I253" s="3023"/>
      <c r="J253" s="3024"/>
      <c r="K253" s="2707"/>
      <c r="L253" s="7096"/>
      <c r="M253" s="7247"/>
      <c r="N253" s="3018"/>
      <c r="O253" s="7249"/>
      <c r="P253" s="3020"/>
      <c r="Q253" s="7265"/>
      <c r="R253" s="54"/>
      <c r="S253" s="54"/>
      <c r="T253" s="54"/>
      <c r="U253" s="54"/>
      <c r="V253" s="54"/>
      <c r="W253" s="54"/>
      <c r="X253" s="54"/>
      <c r="Y253" s="54"/>
      <c r="Z253" s="54"/>
      <c r="AA253" s="3">
        <v>1</v>
      </c>
    </row>
    <row r="254" spans="1:27" s="2684" customFormat="1" ht="21" customHeight="1">
      <c r="A254" s="7096"/>
      <c r="B254" s="3025">
        <v>32</v>
      </c>
      <c r="C254" s="3026">
        <v>1.45</v>
      </c>
      <c r="D254" s="3027">
        <f>B254/C254</f>
        <v>22.068965517241381</v>
      </c>
      <c r="E254" s="3028" t="s">
        <v>10414</v>
      </c>
      <c r="F254" s="3029"/>
      <c r="G254" s="3029"/>
      <c r="H254" s="3029"/>
      <c r="I254" s="3029"/>
      <c r="J254" s="3030"/>
      <c r="K254" s="2707"/>
      <c r="L254" s="7096"/>
      <c r="M254" s="3031">
        <v>10</v>
      </c>
      <c r="N254" s="3032"/>
      <c r="O254" s="3032">
        <v>0.1</v>
      </c>
      <c r="P254" s="3032"/>
      <c r="Q254" s="3033">
        <f>M254/O254</f>
        <v>100</v>
      </c>
      <c r="R254" s="54"/>
      <c r="S254" s="54"/>
      <c r="T254" s="54"/>
      <c r="U254" s="54"/>
      <c r="V254" s="54"/>
      <c r="W254" s="54"/>
      <c r="X254" s="54"/>
      <c r="Y254" s="54"/>
      <c r="Z254" s="54"/>
      <c r="AA254" s="3">
        <v>1</v>
      </c>
    </row>
    <row r="255" spans="1:27" s="2684" customFormat="1" ht="21" customHeight="1">
      <c r="A255" s="7096"/>
      <c r="B255" s="3034"/>
      <c r="C255" s="3035"/>
      <c r="D255" s="3036"/>
      <c r="E255" s="3029"/>
      <c r="F255" s="3029"/>
      <c r="G255" s="3029"/>
      <c r="H255" s="3029"/>
      <c r="I255" s="3029"/>
      <c r="J255" s="3030"/>
      <c r="K255" s="2707"/>
      <c r="L255" s="7096"/>
      <c r="M255" s="3031">
        <v>1</v>
      </c>
      <c r="N255" s="3032"/>
      <c r="O255" s="3032">
        <v>7.0000000000000007E-2</v>
      </c>
      <c r="P255" s="3032"/>
      <c r="Q255" s="3033">
        <f>M255/O255</f>
        <v>14.285714285714285</v>
      </c>
      <c r="R255" s="54"/>
      <c r="S255" s="54"/>
      <c r="T255" s="54"/>
      <c r="U255" s="54"/>
      <c r="V255" s="54"/>
      <c r="W255" s="54"/>
      <c r="X255" s="54"/>
      <c r="Y255" s="54"/>
      <c r="Z255" s="54"/>
      <c r="AA255" s="3">
        <v>1</v>
      </c>
    </row>
    <row r="256" spans="1:27" s="2684" customFormat="1" ht="21" customHeight="1">
      <c r="A256" s="7096"/>
      <c r="B256" s="3037" t="s">
        <v>10415</v>
      </c>
      <c r="C256" s="3038"/>
      <c r="D256" s="3038"/>
      <c r="E256" s="3038"/>
      <c r="F256" s="3038"/>
      <c r="G256" s="3038"/>
      <c r="H256" s="3038"/>
      <c r="I256" s="3038"/>
      <c r="J256" s="3039"/>
      <c r="K256" s="2707"/>
      <c r="L256" s="7096"/>
      <c r="M256" s="3040"/>
      <c r="N256" s="3041"/>
      <c r="O256" s="3042"/>
      <c r="P256" s="3041"/>
      <c r="Q256" s="2736"/>
      <c r="R256" s="54"/>
      <c r="S256" s="54"/>
      <c r="T256" s="54"/>
      <c r="U256" s="54"/>
      <c r="V256" s="54"/>
      <c r="W256" s="54"/>
      <c r="X256" s="54"/>
      <c r="Y256" s="54"/>
      <c r="Z256" s="54"/>
      <c r="AA256" s="3">
        <v>1</v>
      </c>
    </row>
    <row r="257" spans="1:27" s="2684" customFormat="1" ht="21" customHeight="1">
      <c r="A257" s="7096"/>
      <c r="B257" s="3043">
        <v>32</v>
      </c>
      <c r="C257" s="3044">
        <v>1.2</v>
      </c>
      <c r="D257" s="3027">
        <f t="shared" ref="D257:D268" si="2">B257/C257</f>
        <v>26.666666666666668</v>
      </c>
      <c r="E257" s="3045" t="s">
        <v>10416</v>
      </c>
      <c r="F257" s="3046"/>
      <c r="G257" s="3046"/>
      <c r="H257" s="3046"/>
      <c r="I257" s="3047"/>
      <c r="J257" s="3048"/>
      <c r="K257" s="2707"/>
      <c r="L257" s="7096"/>
      <c r="M257" s="3049" t="s">
        <v>10417</v>
      </c>
      <c r="N257" s="3050"/>
      <c r="O257" s="3042"/>
      <c r="P257" s="2708"/>
      <c r="Q257" s="2736"/>
      <c r="R257" s="54"/>
      <c r="S257" s="54"/>
      <c r="T257" s="54"/>
      <c r="U257" s="54"/>
      <c r="V257" s="54"/>
      <c r="W257" s="54"/>
      <c r="X257" s="54"/>
      <c r="Y257" s="54"/>
      <c r="Z257" s="54"/>
      <c r="AA257" s="3">
        <v>1</v>
      </c>
    </row>
    <row r="258" spans="1:27" s="2684" customFormat="1" ht="21" customHeight="1">
      <c r="A258" s="7096"/>
      <c r="B258" s="3043">
        <v>12</v>
      </c>
      <c r="C258" s="3044">
        <v>1</v>
      </c>
      <c r="D258" s="3027">
        <f t="shared" si="2"/>
        <v>12</v>
      </c>
      <c r="E258" s="3045" t="s">
        <v>10418</v>
      </c>
      <c r="F258" s="3046"/>
      <c r="G258" s="3046"/>
      <c r="H258" s="3046"/>
      <c r="I258" s="3047"/>
      <c r="J258" s="3048"/>
      <c r="K258" s="2707"/>
      <c r="L258" s="7096"/>
      <c r="M258" s="3051" t="s">
        <v>10419</v>
      </c>
      <c r="N258" s="3050"/>
      <c r="O258" s="3042"/>
      <c r="P258" s="2708"/>
      <c r="Q258" s="2736"/>
      <c r="R258" s="54"/>
      <c r="S258" s="54"/>
      <c r="T258" s="54"/>
      <c r="U258" s="54"/>
      <c r="V258" s="54"/>
      <c r="W258" s="54"/>
      <c r="X258" s="54"/>
      <c r="Y258" s="54"/>
      <c r="Z258" s="54"/>
      <c r="AA258" s="3">
        <v>1</v>
      </c>
    </row>
    <row r="259" spans="1:27" s="2684" customFormat="1" ht="21" customHeight="1">
      <c r="A259" s="7096"/>
      <c r="B259" s="3043">
        <v>32</v>
      </c>
      <c r="C259" s="3044">
        <v>2</v>
      </c>
      <c r="D259" s="3027">
        <f t="shared" si="2"/>
        <v>16</v>
      </c>
      <c r="E259" s="3045" t="s">
        <v>10420</v>
      </c>
      <c r="F259" s="3046"/>
      <c r="G259" s="3046"/>
      <c r="H259" s="3046"/>
      <c r="I259" s="3047"/>
      <c r="J259" s="3048"/>
      <c r="K259" s="2707"/>
      <c r="L259" s="7096"/>
      <c r="M259" s="3052"/>
      <c r="N259" s="3053"/>
      <c r="O259" s="3053"/>
      <c r="P259" s="3053"/>
      <c r="Q259" s="3054"/>
      <c r="R259" s="54"/>
      <c r="S259" s="54"/>
      <c r="T259" s="54"/>
      <c r="U259" s="54"/>
      <c r="V259" s="54"/>
      <c r="W259" s="54"/>
      <c r="X259" s="54"/>
      <c r="Y259" s="54"/>
      <c r="Z259" s="54"/>
      <c r="AA259" s="3">
        <v>1</v>
      </c>
    </row>
    <row r="260" spans="1:27" s="2684" customFormat="1" ht="21" customHeight="1">
      <c r="A260" s="7096"/>
      <c r="B260" s="3043">
        <v>32</v>
      </c>
      <c r="C260" s="3044">
        <v>1.2</v>
      </c>
      <c r="D260" s="3027">
        <f t="shared" si="2"/>
        <v>26.666666666666668</v>
      </c>
      <c r="E260" s="3045" t="s">
        <v>10420</v>
      </c>
      <c r="F260" s="3046"/>
      <c r="G260" s="3046"/>
      <c r="H260" s="3046"/>
      <c r="I260" s="3047"/>
      <c r="J260" s="3048"/>
      <c r="K260" s="2707"/>
      <c r="L260" s="7096"/>
      <c r="M260" s="7247" t="s">
        <v>10411</v>
      </c>
      <c r="N260" s="7248"/>
      <c r="O260" s="7249" t="s">
        <v>10421</v>
      </c>
      <c r="P260" s="7249"/>
      <c r="Q260" s="7250" t="s">
        <v>10422</v>
      </c>
      <c r="R260" s="54"/>
      <c r="S260" s="54"/>
      <c r="T260" s="54"/>
      <c r="U260" s="54"/>
      <c r="V260" s="54"/>
      <c r="W260" s="54"/>
      <c r="X260" s="54"/>
      <c r="Y260" s="54"/>
      <c r="Z260" s="54"/>
      <c r="AA260" s="3">
        <v>1</v>
      </c>
    </row>
    <row r="261" spans="1:27" s="2684" customFormat="1" ht="21" customHeight="1">
      <c r="A261" s="7096"/>
      <c r="B261" s="3043">
        <v>33</v>
      </c>
      <c r="C261" s="3044">
        <v>1.3</v>
      </c>
      <c r="D261" s="3027">
        <f t="shared" si="2"/>
        <v>25.384615384615383</v>
      </c>
      <c r="E261" s="3045" t="s">
        <v>10423</v>
      </c>
      <c r="F261" s="3046"/>
      <c r="G261" s="3046"/>
      <c r="H261" s="3046"/>
      <c r="I261" s="3047"/>
      <c r="J261" s="3048"/>
      <c r="K261" s="2707"/>
      <c r="L261" s="7096"/>
      <c r="M261" s="7247"/>
      <c r="N261" s="7248"/>
      <c r="O261" s="7249"/>
      <c r="P261" s="7249"/>
      <c r="Q261" s="7250"/>
      <c r="R261" s="54"/>
      <c r="S261" s="54"/>
      <c r="T261" s="54"/>
      <c r="U261" s="54"/>
      <c r="V261" s="54"/>
      <c r="W261" s="54"/>
      <c r="X261" s="54"/>
      <c r="Y261" s="54"/>
      <c r="Z261" s="54"/>
      <c r="AA261" s="3">
        <v>1</v>
      </c>
    </row>
    <row r="262" spans="1:27" s="2684" customFormat="1" ht="21" customHeight="1">
      <c r="A262" s="7096"/>
      <c r="B262" s="3043">
        <v>33</v>
      </c>
      <c r="C262" s="3044">
        <v>1.5</v>
      </c>
      <c r="D262" s="3027">
        <f t="shared" si="2"/>
        <v>22</v>
      </c>
      <c r="E262" s="3045" t="s">
        <v>10424</v>
      </c>
      <c r="F262" s="3046"/>
      <c r="G262" s="3046"/>
      <c r="H262" s="3046"/>
      <c r="I262" s="3047"/>
      <c r="J262" s="3048"/>
      <c r="K262" s="2707"/>
      <c r="L262" s="7096"/>
      <c r="M262" s="3017"/>
      <c r="N262" s="3055"/>
      <c r="O262" s="3019"/>
      <c r="P262" s="3019"/>
      <c r="Q262" s="3056"/>
      <c r="R262" s="54"/>
      <c r="S262" s="54"/>
      <c r="T262" s="54"/>
      <c r="U262" s="54"/>
      <c r="V262" s="54"/>
      <c r="W262" s="54"/>
      <c r="X262" s="54"/>
      <c r="Y262" s="54"/>
      <c r="Z262" s="54"/>
      <c r="AA262" s="3">
        <v>1</v>
      </c>
    </row>
    <row r="263" spans="1:27" s="2684" customFormat="1" ht="21" customHeight="1">
      <c r="A263" s="7096"/>
      <c r="B263" s="3043">
        <v>30</v>
      </c>
      <c r="C263" s="3044">
        <v>1.2</v>
      </c>
      <c r="D263" s="3027">
        <f t="shared" si="2"/>
        <v>25</v>
      </c>
      <c r="E263" s="3045" t="s">
        <v>10425</v>
      </c>
      <c r="F263" s="3046"/>
      <c r="G263" s="3046"/>
      <c r="H263" s="3046"/>
      <c r="I263" s="3047"/>
      <c r="J263" s="3048"/>
      <c r="K263" s="2707"/>
      <c r="L263" s="7096"/>
      <c r="M263" s="3057">
        <v>0.25</v>
      </c>
      <c r="N263" s="3058"/>
      <c r="O263" s="3059">
        <v>2</v>
      </c>
      <c r="P263" s="3060"/>
      <c r="Q263" s="3061">
        <f>M263/O263</f>
        <v>0.125</v>
      </c>
      <c r="R263" s="54"/>
      <c r="S263" s="54"/>
      <c r="T263" s="54"/>
      <c r="U263" s="54"/>
      <c r="V263" s="54"/>
      <c r="W263" s="54"/>
      <c r="X263" s="54"/>
      <c r="Y263" s="54"/>
      <c r="Z263" s="54"/>
      <c r="AA263" s="3">
        <v>1</v>
      </c>
    </row>
    <row r="264" spans="1:27" s="2684" customFormat="1" ht="21" customHeight="1">
      <c r="A264" s="7096"/>
      <c r="B264" s="3043">
        <v>33</v>
      </c>
      <c r="C264" s="3044">
        <v>1.6</v>
      </c>
      <c r="D264" s="3027">
        <f t="shared" si="2"/>
        <v>20.625</v>
      </c>
      <c r="E264" s="3045" t="s">
        <v>10426</v>
      </c>
      <c r="F264" s="3046"/>
      <c r="G264" s="3046"/>
      <c r="H264" s="3046"/>
      <c r="I264" s="3047"/>
      <c r="J264" s="3048"/>
      <c r="K264" s="2707"/>
      <c r="L264" s="7096"/>
      <c r="M264" s="3057">
        <v>3.5</v>
      </c>
      <c r="N264" s="3058"/>
      <c r="O264" s="3059">
        <v>20</v>
      </c>
      <c r="P264" s="3060"/>
      <c r="Q264" s="3061">
        <f>M264/O264</f>
        <v>0.17499999999999999</v>
      </c>
      <c r="R264" s="54"/>
      <c r="S264" s="54"/>
      <c r="T264" s="54"/>
      <c r="U264" s="54"/>
      <c r="V264" s="54"/>
      <c r="W264" s="54"/>
      <c r="X264" s="54"/>
      <c r="Y264" s="54"/>
      <c r="Z264" s="54"/>
      <c r="AA264" s="3">
        <v>1</v>
      </c>
    </row>
    <row r="265" spans="1:27" s="2684" customFormat="1" ht="21" customHeight="1">
      <c r="A265" s="7096"/>
      <c r="B265" s="3043">
        <v>33</v>
      </c>
      <c r="C265" s="3044">
        <v>2</v>
      </c>
      <c r="D265" s="3027">
        <f t="shared" si="2"/>
        <v>16.5</v>
      </c>
      <c r="E265" s="3045" t="s">
        <v>10427</v>
      </c>
      <c r="F265" s="3046"/>
      <c r="G265" s="3046"/>
      <c r="H265" s="3046"/>
      <c r="I265" s="3047"/>
      <c r="J265" s="3048"/>
      <c r="K265" s="2707"/>
      <c r="L265" s="7096"/>
      <c r="M265" s="3062"/>
      <c r="N265" s="3063"/>
      <c r="O265" s="3064"/>
      <c r="P265" s="3064"/>
      <c r="Q265" s="3065"/>
      <c r="R265" s="54"/>
      <c r="S265" s="54"/>
      <c r="T265" s="54"/>
      <c r="U265" s="54"/>
      <c r="V265" s="54"/>
      <c r="W265" s="54"/>
      <c r="X265" s="54"/>
      <c r="Y265" s="54"/>
      <c r="Z265" s="54"/>
      <c r="AA265" s="3">
        <v>1</v>
      </c>
    </row>
    <row r="266" spans="1:27" s="2684" customFormat="1" ht="21" customHeight="1">
      <c r="A266" s="7096"/>
      <c r="B266" s="3043">
        <v>48</v>
      </c>
      <c r="C266" s="3044">
        <v>6</v>
      </c>
      <c r="D266" s="3027">
        <f t="shared" si="2"/>
        <v>8</v>
      </c>
      <c r="E266" s="3045" t="s">
        <v>10428</v>
      </c>
      <c r="F266" s="3046"/>
      <c r="G266" s="3046"/>
      <c r="H266" s="3046"/>
      <c r="I266" s="3047"/>
      <c r="J266" s="3048"/>
      <c r="K266" s="2707"/>
      <c r="L266" s="7096"/>
      <c r="M266" s="3066" t="s">
        <v>10417</v>
      </c>
      <c r="N266" s="3067"/>
      <c r="O266" s="3068"/>
      <c r="P266" s="3069"/>
      <c r="Q266" s="3070"/>
      <c r="R266" s="54"/>
      <c r="S266" s="54"/>
      <c r="T266" s="54"/>
      <c r="U266" s="54"/>
      <c r="V266" s="54"/>
      <c r="W266" s="54"/>
      <c r="X266" s="54"/>
      <c r="Y266" s="54"/>
      <c r="Z266" s="54"/>
      <c r="AA266" s="3">
        <v>1</v>
      </c>
    </row>
    <row r="267" spans="1:27" s="2684" customFormat="1" ht="21" customHeight="1">
      <c r="A267" s="7096"/>
      <c r="B267" s="3043">
        <v>1</v>
      </c>
      <c r="C267" s="3044">
        <v>0.25</v>
      </c>
      <c r="D267" s="3027">
        <f t="shared" si="2"/>
        <v>4</v>
      </c>
      <c r="E267" s="3045" t="s">
        <v>10429</v>
      </c>
      <c r="F267" s="3046"/>
      <c r="G267" s="3046"/>
      <c r="H267" s="3046"/>
      <c r="I267" s="3047"/>
      <c r="J267" s="3048"/>
      <c r="K267" s="2707"/>
      <c r="L267" s="7096"/>
      <c r="M267" s="3071" t="s">
        <v>10430</v>
      </c>
      <c r="N267" s="3067"/>
      <c r="O267" s="3068"/>
      <c r="P267" s="3069"/>
      <c r="Q267" s="3070"/>
      <c r="R267" s="54"/>
      <c r="S267" s="54"/>
      <c r="T267" s="54"/>
      <c r="U267" s="54"/>
      <c r="V267" s="54"/>
      <c r="W267" s="54"/>
      <c r="X267" s="54"/>
      <c r="Y267" s="54"/>
      <c r="Z267" s="54"/>
      <c r="AA267" s="3">
        <v>1</v>
      </c>
    </row>
    <row r="268" spans="1:27" s="2684" customFormat="1" ht="21" customHeight="1">
      <c r="A268" s="7096"/>
      <c r="B268" s="3043">
        <v>25</v>
      </c>
      <c r="C268" s="3044">
        <v>1</v>
      </c>
      <c r="D268" s="3027">
        <f t="shared" si="2"/>
        <v>25</v>
      </c>
      <c r="E268" s="3045" t="s">
        <v>10431</v>
      </c>
      <c r="F268" s="3046"/>
      <c r="G268" s="3046"/>
      <c r="H268" s="3046"/>
      <c r="I268" s="3047"/>
      <c r="J268" s="3048"/>
      <c r="K268" s="2707"/>
      <c r="L268" s="7096"/>
      <c r="M268" s="7251" t="s">
        <v>10101</v>
      </c>
      <c r="N268" s="7252"/>
      <c r="O268" s="7252"/>
      <c r="P268" s="5842"/>
      <c r="Q268" s="7255" t="s">
        <v>10422</v>
      </c>
      <c r="R268" s="54"/>
      <c r="S268" s="54"/>
      <c r="T268" s="54"/>
      <c r="U268" s="54"/>
      <c r="V268" s="54"/>
      <c r="W268" s="54"/>
      <c r="X268" s="54"/>
      <c r="Y268" s="54"/>
      <c r="Z268" s="54"/>
      <c r="AA268" s="3">
        <v>1</v>
      </c>
    </row>
    <row r="269" spans="1:27" s="2684" customFormat="1" ht="21" customHeight="1">
      <c r="A269" s="7096"/>
      <c r="B269" s="3072"/>
      <c r="C269" s="3073"/>
      <c r="D269" s="3027"/>
      <c r="E269" s="3074"/>
      <c r="F269" s="3046"/>
      <c r="G269" s="3046"/>
      <c r="H269" s="3046"/>
      <c r="I269" s="3047"/>
      <c r="J269" s="3048"/>
      <c r="K269" s="2707"/>
      <c r="L269" s="7096"/>
      <c r="M269" s="7253"/>
      <c r="N269" s="7254"/>
      <c r="O269" s="7254"/>
      <c r="P269" s="3075" t="s">
        <v>815</v>
      </c>
      <c r="Q269" s="7250"/>
      <c r="R269" s="54"/>
      <c r="S269" s="54"/>
      <c r="T269" s="54"/>
      <c r="U269" s="54"/>
      <c r="V269" s="54"/>
      <c r="W269" s="54"/>
      <c r="X269" s="54"/>
      <c r="Y269" s="54"/>
      <c r="Z269" s="54"/>
      <c r="AA269" s="3">
        <v>1</v>
      </c>
    </row>
    <row r="270" spans="1:27" s="2684" customFormat="1" ht="21" customHeight="1">
      <c r="A270" s="7096"/>
      <c r="B270" s="3076" t="s">
        <v>10432</v>
      </c>
      <c r="C270" s="3073"/>
      <c r="D270" s="3027"/>
      <c r="E270" s="3074"/>
      <c r="F270" s="3046"/>
      <c r="G270" s="3046"/>
      <c r="H270" s="3046"/>
      <c r="I270" s="3047"/>
      <c r="J270" s="3048"/>
      <c r="K270" s="2707"/>
      <c r="L270" s="7096"/>
      <c r="M270" s="3077" t="s">
        <v>10433</v>
      </c>
      <c r="N270" s="3078"/>
      <c r="O270" s="3068">
        <v>0.9</v>
      </c>
      <c r="P270" s="3069">
        <v>7</v>
      </c>
      <c r="Q270" s="3070">
        <f>O270/P270</f>
        <v>0.12857142857142859</v>
      </c>
      <c r="R270" s="54"/>
      <c r="S270" s="54"/>
      <c r="T270" s="54"/>
      <c r="U270" s="54"/>
      <c r="V270" s="54"/>
      <c r="W270" s="54"/>
      <c r="X270" s="54"/>
      <c r="Y270" s="54"/>
      <c r="Z270" s="54"/>
      <c r="AA270" s="3">
        <v>1</v>
      </c>
    </row>
    <row r="271" spans="1:27" s="2684" customFormat="1" ht="21" customHeight="1">
      <c r="A271" s="7096"/>
      <c r="B271" s="7266" t="s">
        <v>10434</v>
      </c>
      <c r="C271" s="7267"/>
      <c r="D271" s="7267"/>
      <c r="E271" s="7267"/>
      <c r="F271" s="7267"/>
      <c r="G271" s="7267"/>
      <c r="H271" s="7267"/>
      <c r="I271" s="7267"/>
      <c r="J271" s="7268"/>
      <c r="K271" s="2707"/>
      <c r="L271" s="7096"/>
      <c r="M271" s="3077" t="s">
        <v>10435</v>
      </c>
      <c r="N271" s="3078"/>
      <c r="O271" s="3068">
        <v>3.5</v>
      </c>
      <c r="P271" s="3069">
        <v>20</v>
      </c>
      <c r="Q271" s="3070">
        <f>O271/P271</f>
        <v>0.17499999999999999</v>
      </c>
      <c r="R271" s="54"/>
      <c r="S271" s="54"/>
      <c r="T271" s="54"/>
      <c r="U271" s="54"/>
      <c r="V271" s="54"/>
      <c r="W271" s="54"/>
      <c r="X271" s="54"/>
      <c r="Y271" s="54"/>
      <c r="Z271" s="54"/>
      <c r="AA271" s="3">
        <v>1</v>
      </c>
    </row>
    <row r="272" spans="1:27" s="2684" customFormat="1" ht="21" customHeight="1">
      <c r="A272" s="7096"/>
      <c r="B272" s="7266"/>
      <c r="C272" s="7267"/>
      <c r="D272" s="7267"/>
      <c r="E272" s="7267"/>
      <c r="F272" s="7267"/>
      <c r="G272" s="7267"/>
      <c r="H272" s="7267"/>
      <c r="I272" s="7267"/>
      <c r="J272" s="7268"/>
      <c r="K272" s="2707"/>
      <c r="L272" s="7096"/>
      <c r="M272" s="3062"/>
      <c r="N272" s="3063"/>
      <c r="O272" s="3064"/>
      <c r="P272" s="3064"/>
      <c r="Q272" s="3065"/>
      <c r="R272" s="54"/>
      <c r="S272" s="54"/>
      <c r="T272" s="54"/>
      <c r="U272" s="54"/>
      <c r="V272" s="54"/>
      <c r="W272" s="54"/>
      <c r="X272" s="54"/>
      <c r="Y272" s="54"/>
      <c r="Z272" s="54"/>
      <c r="AA272" s="3">
        <v>1</v>
      </c>
    </row>
    <row r="273" spans="1:27" s="2684" customFormat="1" ht="21" customHeight="1" thickBot="1">
      <c r="A273" s="7096"/>
      <c r="B273" s="7269"/>
      <c r="C273" s="7270"/>
      <c r="D273" s="7270"/>
      <c r="E273" s="7270"/>
      <c r="F273" s="7270"/>
      <c r="G273" s="7270"/>
      <c r="H273" s="7270"/>
      <c r="I273" s="7270"/>
      <c r="J273" s="7271"/>
      <c r="K273" s="2707"/>
      <c r="L273" s="7096"/>
      <c r="M273" s="3079" t="s">
        <v>10410</v>
      </c>
      <c r="N273" s="3080"/>
      <c r="O273" s="3080"/>
      <c r="P273" s="3080"/>
      <c r="Q273" s="3081"/>
      <c r="R273" s="54"/>
      <c r="S273" s="54"/>
      <c r="T273" s="54"/>
      <c r="U273" s="54"/>
      <c r="V273" s="54"/>
      <c r="W273" s="54"/>
      <c r="X273" s="54"/>
      <c r="Y273" s="54"/>
      <c r="Z273" s="54"/>
      <c r="AA273" s="3">
        <v>1</v>
      </c>
    </row>
    <row r="274" spans="1:27" s="2684" customFormat="1" ht="21" customHeight="1" thickBot="1">
      <c r="A274" s="2707"/>
      <c r="B274" s="2708"/>
      <c r="C274" s="2708"/>
      <c r="D274" s="2708"/>
      <c r="E274" s="2708"/>
      <c r="F274" s="2708"/>
      <c r="G274" s="2708"/>
      <c r="H274" s="2708"/>
      <c r="I274" s="2708"/>
      <c r="J274" s="2708"/>
      <c r="K274" s="2708"/>
      <c r="L274" s="7096"/>
      <c r="M274" s="3082"/>
      <c r="N274" s="3083"/>
      <c r="O274" s="3084"/>
      <c r="P274" s="3083"/>
      <c r="Q274" s="2745"/>
      <c r="R274" s="54"/>
      <c r="S274" s="54"/>
      <c r="T274" s="54"/>
      <c r="U274" s="54"/>
      <c r="V274" s="54"/>
      <c r="W274" s="54"/>
      <c r="X274" s="54"/>
      <c r="Y274" s="54"/>
      <c r="Z274" s="54"/>
      <c r="AA274" s="3">
        <v>1</v>
      </c>
    </row>
    <row r="275" spans="1:27" s="2684" customFormat="1" ht="21" customHeight="1" thickBot="1">
      <c r="A275" s="2707"/>
      <c r="B275" s="2733"/>
      <c r="C275" s="2733"/>
      <c r="D275" s="2733"/>
      <c r="E275" s="2733"/>
      <c r="F275" s="2733"/>
      <c r="G275" s="2733"/>
      <c r="H275" s="2708"/>
      <c r="I275" s="2742"/>
      <c r="J275" s="2742"/>
      <c r="K275" s="2743"/>
      <c r="L275" s="2743"/>
      <c r="M275" s="2742"/>
      <c r="N275" s="2742"/>
      <c r="O275" s="2707"/>
      <c r="P275" s="2707"/>
      <c r="Q275" s="2707"/>
      <c r="R275" s="54"/>
      <c r="S275" s="54"/>
      <c r="T275" s="54"/>
      <c r="U275" s="54"/>
      <c r="V275" s="54"/>
      <c r="W275" s="54"/>
      <c r="X275" s="54"/>
      <c r="Y275" s="54"/>
      <c r="Z275" s="54"/>
      <c r="AA275" s="3">
        <v>1</v>
      </c>
    </row>
    <row r="276" spans="1:27" s="2684" customFormat="1" ht="21" customHeight="1">
      <c r="A276" s="7217" t="s">
        <v>166</v>
      </c>
      <c r="B276" s="7219" t="s">
        <v>10263</v>
      </c>
      <c r="C276" s="7220"/>
      <c r="D276" s="7220"/>
      <c r="E276" s="7220"/>
      <c r="F276" s="7220"/>
      <c r="G276" s="7220"/>
      <c r="H276" s="7220"/>
      <c r="I276" s="7220"/>
      <c r="J276" s="7220"/>
      <c r="K276" s="7220"/>
      <c r="L276" s="7220"/>
      <c r="M276" s="7220"/>
      <c r="N276" s="7223">
        <v>1</v>
      </c>
      <c r="O276" s="2707"/>
      <c r="P276" s="2707"/>
      <c r="Q276" s="2707"/>
      <c r="R276" s="54"/>
      <c r="S276" s="54"/>
      <c r="T276" s="54"/>
      <c r="U276" s="54"/>
      <c r="V276" s="54"/>
      <c r="W276" s="54"/>
      <c r="X276" s="54"/>
      <c r="Y276" s="54"/>
      <c r="Z276" s="54"/>
      <c r="AA276" s="3">
        <v>1</v>
      </c>
    </row>
    <row r="277" spans="1:27" s="2684" customFormat="1" ht="21" customHeight="1">
      <c r="A277" s="7218"/>
      <c r="B277" s="7221"/>
      <c r="C277" s="7222"/>
      <c r="D277" s="7222"/>
      <c r="E277" s="7222"/>
      <c r="F277" s="7222"/>
      <c r="G277" s="7222"/>
      <c r="H277" s="7222"/>
      <c r="I277" s="7222"/>
      <c r="J277" s="7222"/>
      <c r="K277" s="7222"/>
      <c r="L277" s="7222"/>
      <c r="M277" s="7222"/>
      <c r="N277" s="7224"/>
      <c r="O277" s="2707"/>
      <c r="P277" s="2707"/>
      <c r="Q277" s="2707"/>
      <c r="R277" s="54"/>
      <c r="S277" s="54"/>
      <c r="T277" s="54"/>
      <c r="U277" s="54"/>
      <c r="V277" s="54"/>
      <c r="W277" s="54"/>
      <c r="X277" s="54"/>
      <c r="Y277" s="54"/>
      <c r="Z277" s="54"/>
      <c r="AA277" s="3">
        <v>1</v>
      </c>
    </row>
    <row r="278" spans="1:27" s="2684" customFormat="1" ht="21" customHeight="1">
      <c r="A278" s="7225" t="str">
        <f>B276</f>
        <v>QUANTITÉS A SERVIR OU A COMMANDER</v>
      </c>
      <c r="B278" s="3085" t="str">
        <f>ADDRESS(ROW(),COLUMN(),4)</f>
        <v>B278</v>
      </c>
      <c r="C278" s="3086" t="s">
        <v>9521</v>
      </c>
      <c r="D278" s="3087"/>
      <c r="E278" s="3087"/>
      <c r="F278" s="3087"/>
      <c r="G278" s="3087"/>
      <c r="H278" s="3087"/>
      <c r="I278" s="3087"/>
      <c r="J278" s="3087"/>
      <c r="K278" s="3087"/>
      <c r="L278" s="3087"/>
      <c r="M278" s="3087"/>
      <c r="N278" s="3088"/>
      <c r="O278" s="2707"/>
      <c r="P278" s="2707"/>
      <c r="Q278" s="2707"/>
      <c r="R278" s="54"/>
      <c r="S278" s="54"/>
      <c r="T278" s="54"/>
      <c r="U278" s="54"/>
      <c r="V278" s="54"/>
      <c r="W278" s="54"/>
      <c r="X278" s="54"/>
      <c r="Y278" s="54"/>
      <c r="Z278" s="54"/>
      <c r="AA278" s="3">
        <v>1</v>
      </c>
    </row>
    <row r="279" spans="1:27" s="2684" customFormat="1" ht="21" customHeight="1">
      <c r="A279" s="7225"/>
      <c r="B279" s="7226" t="s">
        <v>10436</v>
      </c>
      <c r="C279" s="7227"/>
      <c r="D279" s="7227"/>
      <c r="E279" s="7227"/>
      <c r="F279" s="7227"/>
      <c r="G279" s="7227"/>
      <c r="H279" s="7227"/>
      <c r="I279" s="7227"/>
      <c r="J279" s="7227"/>
      <c r="K279" s="7227"/>
      <c r="L279" s="7227"/>
      <c r="M279" s="7227"/>
      <c r="N279" s="7228"/>
      <c r="O279" s="2707"/>
      <c r="P279" s="2707"/>
      <c r="Q279" s="2707"/>
      <c r="R279" s="54"/>
      <c r="S279" s="54"/>
      <c r="T279" s="54"/>
      <c r="U279" s="54"/>
      <c r="V279" s="54"/>
      <c r="W279" s="54"/>
      <c r="X279" s="54"/>
      <c r="Y279" s="54"/>
      <c r="Z279" s="54"/>
      <c r="AA279" s="3">
        <v>1</v>
      </c>
    </row>
    <row r="280" spans="1:27" s="2684" customFormat="1" ht="21" customHeight="1">
      <c r="A280" s="7225"/>
      <c r="B280" s="7229" t="s">
        <v>10437</v>
      </c>
      <c r="C280" s="7230"/>
      <c r="D280" s="7230"/>
      <c r="E280" s="7230"/>
      <c r="F280" s="7230"/>
      <c r="G280" s="7230"/>
      <c r="H280" s="7230"/>
      <c r="I280" s="7230"/>
      <c r="J280" s="7230"/>
      <c r="K280" s="7230"/>
      <c r="L280" s="7230"/>
      <c r="M280" s="7230"/>
      <c r="N280" s="7231"/>
      <c r="O280" s="2707"/>
      <c r="P280" s="2707"/>
      <c r="Q280" s="2707"/>
      <c r="R280" s="54"/>
      <c r="S280" s="54"/>
      <c r="T280" s="54"/>
      <c r="U280" s="54"/>
      <c r="V280" s="54"/>
      <c r="W280" s="54"/>
      <c r="X280" s="54"/>
      <c r="Y280" s="54"/>
      <c r="Z280" s="54"/>
      <c r="AA280" s="3">
        <v>1</v>
      </c>
    </row>
    <row r="281" spans="1:27" s="2684" customFormat="1" ht="21" customHeight="1">
      <c r="A281" s="7225"/>
      <c r="B281" s="7229"/>
      <c r="C281" s="7230"/>
      <c r="D281" s="7230"/>
      <c r="E281" s="7230"/>
      <c r="F281" s="7230"/>
      <c r="G281" s="7230"/>
      <c r="H281" s="7230"/>
      <c r="I281" s="7230"/>
      <c r="J281" s="7230"/>
      <c r="K281" s="7230"/>
      <c r="L281" s="7230"/>
      <c r="M281" s="7230"/>
      <c r="N281" s="7231"/>
      <c r="O281" s="2707"/>
      <c r="P281" s="2707"/>
      <c r="Q281" s="2707"/>
      <c r="R281" s="54"/>
      <c r="S281" s="54"/>
      <c r="T281" s="54"/>
      <c r="U281" s="54"/>
      <c r="V281" s="54"/>
      <c r="W281" s="54"/>
      <c r="X281" s="54"/>
      <c r="Y281" s="54"/>
      <c r="Z281" s="54"/>
      <c r="AA281" s="3">
        <v>1</v>
      </c>
    </row>
    <row r="282" spans="1:27" s="2684" customFormat="1" ht="21" customHeight="1">
      <c r="A282" s="7225"/>
      <c r="B282" s="7229"/>
      <c r="C282" s="7230"/>
      <c r="D282" s="7230"/>
      <c r="E282" s="7230"/>
      <c r="F282" s="7230"/>
      <c r="G282" s="7230"/>
      <c r="H282" s="7230"/>
      <c r="I282" s="7230"/>
      <c r="J282" s="7230"/>
      <c r="K282" s="7230"/>
      <c r="L282" s="7230"/>
      <c r="M282" s="7230"/>
      <c r="N282" s="7231"/>
      <c r="O282" s="2707"/>
      <c r="P282" s="2707"/>
      <c r="Q282" s="2707"/>
      <c r="R282" s="54"/>
      <c r="S282" s="54"/>
      <c r="T282" s="54"/>
      <c r="U282" s="54"/>
      <c r="V282" s="54"/>
      <c r="W282" s="54"/>
      <c r="X282" s="54"/>
      <c r="Y282" s="54"/>
      <c r="Z282" s="54"/>
      <c r="AA282" s="3">
        <v>1</v>
      </c>
    </row>
    <row r="283" spans="1:27" s="2684" customFormat="1" ht="21" customHeight="1">
      <c r="A283" s="7225"/>
      <c r="B283" s="7229"/>
      <c r="C283" s="7230"/>
      <c r="D283" s="7230"/>
      <c r="E283" s="7230"/>
      <c r="F283" s="7230"/>
      <c r="G283" s="7230"/>
      <c r="H283" s="7230"/>
      <c r="I283" s="7230"/>
      <c r="J283" s="7230"/>
      <c r="K283" s="7230"/>
      <c r="L283" s="7230"/>
      <c r="M283" s="7230"/>
      <c r="N283" s="7231"/>
      <c r="O283" s="2707"/>
      <c r="P283" s="2707"/>
      <c r="Q283" s="2707"/>
      <c r="R283" s="54"/>
      <c r="S283" s="54"/>
      <c r="T283" s="54"/>
      <c r="U283" s="54"/>
      <c r="V283" s="54"/>
      <c r="W283" s="54"/>
      <c r="X283" s="54"/>
      <c r="Y283" s="54"/>
      <c r="Z283" s="54"/>
      <c r="AA283" s="3">
        <v>1</v>
      </c>
    </row>
    <row r="284" spans="1:27" s="2684" customFormat="1" ht="21" customHeight="1">
      <c r="A284" s="7225"/>
      <c r="B284" s="7232"/>
      <c r="C284" s="7233"/>
      <c r="D284" s="7233"/>
      <c r="E284" s="7233"/>
      <c r="F284" s="7233"/>
      <c r="G284" s="7233"/>
      <c r="H284" s="7233"/>
      <c r="I284" s="7233"/>
      <c r="J284" s="7233"/>
      <c r="K284" s="7233"/>
      <c r="L284" s="7233"/>
      <c r="M284" s="7233"/>
      <c r="N284" s="7234"/>
      <c r="O284" s="2707"/>
      <c r="P284" s="2707"/>
      <c r="Q284" s="2707"/>
      <c r="R284" s="54"/>
      <c r="S284" s="54"/>
      <c r="T284" s="54"/>
      <c r="U284" s="54"/>
      <c r="V284" s="54"/>
      <c r="W284" s="54"/>
      <c r="X284" s="54"/>
      <c r="Y284" s="54"/>
      <c r="Z284" s="54"/>
      <c r="AA284" s="3">
        <v>1</v>
      </c>
    </row>
    <row r="285" spans="1:27" s="2684" customFormat="1" ht="21" customHeight="1">
      <c r="A285" s="7225"/>
      <c r="B285" s="3089"/>
      <c r="C285" s="3090"/>
      <c r="D285" s="3090"/>
      <c r="E285" s="3090"/>
      <c r="F285" s="3090"/>
      <c r="G285" s="3090"/>
      <c r="H285" s="3090"/>
      <c r="I285" s="3090"/>
      <c r="J285" s="3090"/>
      <c r="K285" s="3090"/>
      <c r="L285" s="7246" t="s">
        <v>2629</v>
      </c>
      <c r="M285" s="7246"/>
      <c r="N285" s="3091"/>
      <c r="O285" s="2707"/>
      <c r="P285" s="2707"/>
      <c r="Q285" s="2707"/>
      <c r="R285" s="54"/>
      <c r="S285" s="54"/>
      <c r="T285" s="54"/>
      <c r="U285" s="54"/>
      <c r="V285" s="54"/>
      <c r="W285" s="54"/>
      <c r="X285" s="54"/>
      <c r="Y285" s="54"/>
      <c r="Z285" s="54"/>
      <c r="AA285" s="3">
        <v>1</v>
      </c>
    </row>
    <row r="286" spans="1:27" s="2684" customFormat="1" ht="21" customHeight="1">
      <c r="A286" s="7225"/>
      <c r="B286" s="3090"/>
      <c r="C286" s="3090"/>
      <c r="D286" s="3090"/>
      <c r="E286" s="3090"/>
      <c r="F286" s="3090"/>
      <c r="G286" s="3090"/>
      <c r="H286" s="3090"/>
      <c r="I286" s="3090"/>
      <c r="J286" s="3090"/>
      <c r="K286" s="3092" t="s">
        <v>10438</v>
      </c>
      <c r="L286" s="7237" t="s">
        <v>293</v>
      </c>
      <c r="M286" s="7238"/>
      <c r="N286" s="3091"/>
      <c r="O286" s="2707"/>
      <c r="P286" s="2707"/>
      <c r="Q286" s="2707"/>
      <c r="R286" s="54"/>
      <c r="S286" s="54"/>
      <c r="T286" s="54"/>
      <c r="U286" s="54"/>
      <c r="V286" s="54"/>
      <c r="W286" s="54"/>
      <c r="X286" s="54"/>
      <c r="Y286" s="54"/>
      <c r="Z286" s="54"/>
      <c r="AA286" s="3">
        <v>1</v>
      </c>
    </row>
    <row r="287" spans="1:27" s="2684" customFormat="1" ht="21" customHeight="1">
      <c r="A287" s="7225"/>
      <c r="B287" s="3089"/>
      <c r="C287" s="3090"/>
      <c r="D287" s="3090"/>
      <c r="E287" s="3090"/>
      <c r="F287" s="3090"/>
      <c r="G287" s="3090"/>
      <c r="H287" s="3090"/>
      <c r="I287" s="3090"/>
      <c r="J287" s="3090"/>
      <c r="K287" s="3090"/>
      <c r="L287" s="3090"/>
      <c r="M287" s="3093"/>
      <c r="N287" s="3091"/>
      <c r="O287" s="2707"/>
      <c r="P287" s="2707"/>
      <c r="Q287" s="2707"/>
      <c r="R287" s="54"/>
      <c r="S287" s="54"/>
      <c r="T287" s="54"/>
      <c r="U287" s="54"/>
      <c r="V287" s="54"/>
      <c r="W287" s="54"/>
      <c r="X287" s="54"/>
      <c r="Y287" s="54"/>
      <c r="Z287" s="54"/>
      <c r="AA287" s="3">
        <v>1</v>
      </c>
    </row>
    <row r="288" spans="1:27" s="2684" customFormat="1" ht="21" customHeight="1">
      <c r="A288" s="7225"/>
      <c r="B288" s="3089"/>
      <c r="C288" s="3090"/>
      <c r="D288" s="3090"/>
      <c r="E288" s="3090"/>
      <c r="F288" s="3094" t="s">
        <v>10439</v>
      </c>
      <c r="G288" s="3095" t="s">
        <v>10331</v>
      </c>
      <c r="H288" s="5843" t="s">
        <v>10332</v>
      </c>
      <c r="I288" s="5844" t="s">
        <v>8189</v>
      </c>
      <c r="J288" s="5843" t="s">
        <v>10333</v>
      </c>
      <c r="K288" s="5843" t="s">
        <v>10394</v>
      </c>
      <c r="L288" s="3090"/>
      <c r="M288" s="3090"/>
      <c r="N288" s="3091"/>
      <c r="O288" s="2707"/>
      <c r="P288" s="2707"/>
      <c r="Q288" s="2707"/>
      <c r="R288" s="54"/>
      <c r="S288" s="54"/>
      <c r="T288" s="54"/>
      <c r="U288" s="54"/>
      <c r="V288" s="54"/>
      <c r="W288" s="54"/>
      <c r="X288" s="54"/>
      <c r="Y288" s="54"/>
      <c r="Z288" s="54"/>
      <c r="AA288" s="3">
        <v>1</v>
      </c>
    </row>
    <row r="289" spans="1:27" s="2684" customFormat="1" ht="21" customHeight="1">
      <c r="A289" s="7225"/>
      <c r="B289" s="3089"/>
      <c r="C289" s="3090"/>
      <c r="D289" s="3090"/>
      <c r="E289" s="3090"/>
      <c r="F289" s="3096" t="s">
        <v>10440</v>
      </c>
      <c r="G289" s="5845">
        <v>50</v>
      </c>
      <c r="H289" s="5845">
        <v>500</v>
      </c>
      <c r="I289" s="5845">
        <v>150</v>
      </c>
      <c r="J289" s="5845">
        <v>13</v>
      </c>
      <c r="K289" s="5845">
        <v>13</v>
      </c>
      <c r="L289" s="3097">
        <f>SUM(G289:K289)</f>
        <v>726</v>
      </c>
      <c r="M289" s="3098" t="s">
        <v>36</v>
      </c>
      <c r="N289" s="3091"/>
      <c r="O289" s="2707"/>
      <c r="P289" s="2707"/>
      <c r="Q289" s="2707"/>
      <c r="R289" s="54"/>
      <c r="S289" s="54"/>
      <c r="T289" s="54"/>
      <c r="U289" s="54"/>
      <c r="V289" s="54"/>
      <c r="W289" s="54"/>
      <c r="X289" s="54"/>
      <c r="Y289" s="54"/>
      <c r="Z289" s="54"/>
      <c r="AA289" s="3">
        <v>1</v>
      </c>
    </row>
    <row r="290" spans="1:27" s="2684" customFormat="1" ht="21" customHeight="1">
      <c r="A290" s="7225"/>
      <c r="B290" s="3089"/>
      <c r="C290" s="3090"/>
      <c r="D290" s="3090"/>
      <c r="E290" s="3090"/>
      <c r="F290" s="3099" t="s">
        <v>10441</v>
      </c>
      <c r="G290" s="5846">
        <v>0.5</v>
      </c>
      <c r="H290" s="5846">
        <v>1</v>
      </c>
      <c r="I290" s="5846">
        <v>1</v>
      </c>
      <c r="J290" s="5846">
        <v>2</v>
      </c>
      <c r="K290" s="5846">
        <v>1</v>
      </c>
      <c r="L290" s="3100">
        <f>SUM(G290:K290)/COUNTIF(G290:K290,"&gt;0")</f>
        <v>1.1000000000000001</v>
      </c>
      <c r="M290" s="3098" t="s">
        <v>10442</v>
      </c>
      <c r="N290" s="3091"/>
      <c r="O290" s="2707"/>
      <c r="P290" s="2707"/>
      <c r="Q290" s="2707"/>
      <c r="R290" s="54"/>
      <c r="S290" s="54"/>
      <c r="T290" s="54"/>
      <c r="U290" s="54"/>
      <c r="V290" s="54"/>
      <c r="W290" s="54"/>
      <c r="X290" s="54"/>
      <c r="Y290" s="54"/>
      <c r="Z290" s="54"/>
      <c r="AA290" s="3">
        <v>1</v>
      </c>
    </row>
    <row r="291" spans="1:27" s="2684" customFormat="1" ht="21" customHeight="1">
      <c r="A291" s="7225"/>
      <c r="B291" s="3089"/>
      <c r="C291" s="3090"/>
      <c r="D291" s="3090"/>
      <c r="E291" s="3090"/>
      <c r="F291" s="3101" t="s">
        <v>10443</v>
      </c>
      <c r="G291" s="3102">
        <f>G290*G289</f>
        <v>25</v>
      </c>
      <c r="H291" s="3103">
        <f>H290*H289</f>
        <v>500</v>
      </c>
      <c r="I291" s="3103">
        <f>I290*I289</f>
        <v>150</v>
      </c>
      <c r="J291" s="3103">
        <f>J290*J289</f>
        <v>26</v>
      </c>
      <c r="K291" s="3103">
        <f>K290*K289</f>
        <v>13</v>
      </c>
      <c r="L291" s="3097">
        <f>SUM(G291:K291)</f>
        <v>714</v>
      </c>
      <c r="M291" s="3098" t="str">
        <f>L286</f>
        <v>pommes</v>
      </c>
      <c r="N291" s="3091"/>
      <c r="O291" s="2707"/>
      <c r="P291" s="2707"/>
      <c r="Q291" s="2707"/>
      <c r="R291" s="54"/>
      <c r="S291" s="54"/>
      <c r="T291" s="54"/>
      <c r="U291" s="54"/>
      <c r="V291" s="54"/>
      <c r="W291" s="54"/>
      <c r="X291" s="54"/>
      <c r="Y291" s="54"/>
      <c r="Z291" s="54"/>
      <c r="AA291" s="3">
        <v>1</v>
      </c>
    </row>
    <row r="292" spans="1:27" s="2684" customFormat="1" ht="21" customHeight="1">
      <c r="A292" s="7225"/>
      <c r="B292" s="3089"/>
      <c r="C292" s="3090"/>
      <c r="D292" s="3090"/>
      <c r="E292" s="3090"/>
      <c r="F292" s="3090"/>
      <c r="G292" s="3104" t="str">
        <f>L286</f>
        <v>pommes</v>
      </c>
      <c r="H292" s="3104" t="str">
        <f>L286</f>
        <v>pommes</v>
      </c>
      <c r="I292" s="3104" t="str">
        <f>L286</f>
        <v>pommes</v>
      </c>
      <c r="J292" s="3104" t="str">
        <f>L286</f>
        <v>pommes</v>
      </c>
      <c r="K292" s="3104" t="str">
        <f>L286</f>
        <v>pommes</v>
      </c>
      <c r="L292" s="3090"/>
      <c r="M292" s="3093"/>
      <c r="N292" s="3091"/>
      <c r="O292" s="2707"/>
      <c r="P292" s="2707"/>
      <c r="Q292" s="2707"/>
      <c r="R292" s="54"/>
      <c r="S292" s="54"/>
      <c r="T292" s="54"/>
      <c r="U292" s="54"/>
      <c r="V292" s="54"/>
      <c r="W292" s="54"/>
      <c r="X292" s="54"/>
      <c r="Y292" s="54"/>
      <c r="Z292" s="54"/>
      <c r="AA292" s="3">
        <v>1</v>
      </c>
    </row>
    <row r="293" spans="1:27" s="2684" customFormat="1" ht="21" customHeight="1">
      <c r="A293" s="7225"/>
      <c r="B293" s="3105"/>
      <c r="C293" s="3106" t="s">
        <v>10444</v>
      </c>
      <c r="D293" s="3107">
        <v>10</v>
      </c>
      <c r="E293" s="3108" t="s">
        <v>16</v>
      </c>
      <c r="F293" s="3109"/>
      <c r="G293" s="3109"/>
      <c r="H293" s="3090"/>
      <c r="I293" s="3090"/>
      <c r="J293" s="3090"/>
      <c r="K293" s="3090"/>
      <c r="L293" s="3090"/>
      <c r="M293" s="3093"/>
      <c r="N293" s="3091"/>
      <c r="O293" s="2707"/>
      <c r="P293" s="2707"/>
      <c r="Q293" s="2707"/>
      <c r="R293" s="54"/>
      <c r="S293" s="54"/>
      <c r="T293" s="54"/>
      <c r="U293" s="54"/>
      <c r="V293" s="54"/>
      <c r="W293" s="54"/>
      <c r="X293" s="54"/>
      <c r="Y293" s="54"/>
      <c r="Z293" s="54"/>
      <c r="AA293" s="3">
        <v>1</v>
      </c>
    </row>
    <row r="294" spans="1:27" s="2684" customFormat="1" ht="21" customHeight="1">
      <c r="A294" s="7225"/>
      <c r="B294" s="3089"/>
      <c r="C294" s="3090"/>
      <c r="D294" s="3090"/>
      <c r="E294" s="3090"/>
      <c r="F294" s="3101" t="s">
        <v>10445</v>
      </c>
      <c r="G294" s="3110">
        <f>G291/(100-D293)*100</f>
        <v>27.777777777777779</v>
      </c>
      <c r="H294" s="3110">
        <f>H291/(100-D293)*100</f>
        <v>555.55555555555554</v>
      </c>
      <c r="I294" s="3110">
        <f>I291/(100-D293)*100</f>
        <v>166.66666666666669</v>
      </c>
      <c r="J294" s="3110">
        <f>J291/(100-D293)*100</f>
        <v>28.888888888888886</v>
      </c>
      <c r="K294" s="3110">
        <f>K291/(100-D293)*100</f>
        <v>14.444444444444443</v>
      </c>
      <c r="L294" s="3111">
        <f>SUM(G294:K294)</f>
        <v>793.33333333333337</v>
      </c>
      <c r="M294" s="3098" t="str">
        <f>L286</f>
        <v>pommes</v>
      </c>
      <c r="N294" s="3091"/>
      <c r="O294" s="2707"/>
      <c r="P294" s="2707"/>
      <c r="Q294" s="2707"/>
      <c r="R294" s="54"/>
      <c r="S294" s="54"/>
      <c r="T294" s="54"/>
      <c r="U294" s="54"/>
      <c r="V294" s="54"/>
      <c r="W294" s="54"/>
      <c r="X294" s="54"/>
      <c r="Y294" s="54"/>
      <c r="Z294" s="54"/>
      <c r="AA294" s="3">
        <v>1</v>
      </c>
    </row>
    <row r="295" spans="1:27" s="2684" customFormat="1" ht="21" customHeight="1">
      <c r="A295" s="7225"/>
      <c r="B295" s="3089"/>
      <c r="C295" s="3090"/>
      <c r="D295" s="3090"/>
      <c r="E295" s="3090"/>
      <c r="F295" s="3101"/>
      <c r="G295" s="3112" t="str">
        <f>L286</f>
        <v>pommes</v>
      </c>
      <c r="H295" s="3112" t="str">
        <f>L286</f>
        <v>pommes</v>
      </c>
      <c r="I295" s="3112" t="str">
        <f>L286</f>
        <v>pommes</v>
      </c>
      <c r="J295" s="3112" t="str">
        <f>L286</f>
        <v>pommes</v>
      </c>
      <c r="K295" s="3112" t="str">
        <f>L286</f>
        <v>pommes</v>
      </c>
      <c r="L295" s="3097"/>
      <c r="M295" s="3098"/>
      <c r="N295" s="3091"/>
      <c r="O295" s="2707"/>
      <c r="P295" s="2707"/>
      <c r="Q295" s="2707"/>
      <c r="R295" s="54"/>
      <c r="S295" s="54"/>
      <c r="T295" s="54"/>
      <c r="U295" s="54"/>
      <c r="V295" s="54"/>
      <c r="W295" s="54"/>
      <c r="X295" s="54"/>
      <c r="Y295" s="54"/>
      <c r="Z295" s="54"/>
      <c r="AA295" s="3">
        <v>1</v>
      </c>
    </row>
    <row r="296" spans="1:27" s="2684" customFormat="1" ht="21" customHeight="1">
      <c r="A296" s="7225"/>
      <c r="B296" s="3113"/>
      <c r="C296" s="5847"/>
      <c r="D296" s="5847"/>
      <c r="E296" s="5847"/>
      <c r="F296" s="5847"/>
      <c r="G296" s="5847"/>
      <c r="H296" s="5847"/>
      <c r="I296" s="5847"/>
      <c r="J296" s="5847"/>
      <c r="K296" s="5847"/>
      <c r="L296" s="5847"/>
      <c r="M296" s="5847"/>
      <c r="N296" s="5848"/>
      <c r="O296" s="2707"/>
      <c r="P296" s="2707"/>
      <c r="Q296" s="2707"/>
      <c r="R296" s="54"/>
      <c r="S296" s="54"/>
      <c r="T296" s="54"/>
      <c r="U296" s="54"/>
      <c r="V296" s="54"/>
      <c r="W296" s="54"/>
      <c r="X296" s="54"/>
      <c r="Y296" s="54"/>
      <c r="Z296" s="54"/>
      <c r="AA296" s="3">
        <v>1</v>
      </c>
    </row>
    <row r="297" spans="1:27" s="2684" customFormat="1" ht="21" customHeight="1">
      <c r="A297" s="7225"/>
      <c r="B297" s="3114" t="s">
        <v>2629</v>
      </c>
      <c r="C297" s="3115" t="s">
        <v>10446</v>
      </c>
      <c r="D297" s="3116"/>
      <c r="E297" s="3116"/>
      <c r="F297" s="3116"/>
      <c r="G297" s="3116"/>
      <c r="H297" s="3116"/>
      <c r="I297" s="3116"/>
      <c r="J297" s="3116"/>
      <c r="K297" s="3116"/>
      <c r="L297" s="3116"/>
      <c r="M297" s="3116"/>
      <c r="N297" s="3117"/>
      <c r="O297" s="2707"/>
      <c r="P297" s="2707"/>
      <c r="Q297" s="2707"/>
      <c r="R297" s="54"/>
      <c r="S297" s="54"/>
      <c r="T297" s="54"/>
      <c r="U297" s="54"/>
      <c r="V297" s="54"/>
      <c r="W297" s="54"/>
      <c r="X297" s="54"/>
      <c r="Y297" s="54"/>
      <c r="Z297" s="54"/>
      <c r="AA297" s="3">
        <v>1</v>
      </c>
    </row>
    <row r="298" spans="1:27" s="2684" customFormat="1" ht="21" customHeight="1">
      <c r="A298" s="7225"/>
      <c r="B298" s="3118"/>
      <c r="C298" s="7237" t="s">
        <v>316</v>
      </c>
      <c r="D298" s="7238"/>
      <c r="E298" s="3119"/>
      <c r="F298" s="7237" t="s">
        <v>837</v>
      </c>
      <c r="G298" s="7238"/>
      <c r="H298" s="3119"/>
      <c r="I298" s="7237" t="s">
        <v>10447</v>
      </c>
      <c r="J298" s="7238"/>
      <c r="K298" s="3119"/>
      <c r="L298" s="7237" t="s">
        <v>10448</v>
      </c>
      <c r="M298" s="7238"/>
      <c r="N298" s="3120"/>
      <c r="O298" s="2707"/>
      <c r="P298" s="2707"/>
      <c r="Q298" s="2707"/>
      <c r="R298" s="54"/>
      <c r="S298" s="54"/>
      <c r="T298" s="54"/>
      <c r="U298" s="54"/>
      <c r="V298" s="54"/>
      <c r="W298" s="54"/>
      <c r="X298" s="54"/>
      <c r="Y298" s="54"/>
      <c r="Z298" s="54"/>
      <c r="AA298" s="3">
        <v>1</v>
      </c>
    </row>
    <row r="299" spans="1:27" s="2684" customFormat="1" ht="21" customHeight="1">
      <c r="A299" s="7225"/>
      <c r="B299" s="3121" t="s">
        <v>16</v>
      </c>
      <c r="C299" s="3122" t="s">
        <v>10449</v>
      </c>
      <c r="D299" s="3119"/>
      <c r="E299" s="3119"/>
      <c r="F299" s="3119"/>
      <c r="G299" s="3119"/>
      <c r="H299" s="3119"/>
      <c r="I299" s="3119"/>
      <c r="J299" s="3119"/>
      <c r="K299" s="3119"/>
      <c r="L299" s="3119"/>
      <c r="M299" s="3119"/>
      <c r="N299" s="3120"/>
      <c r="O299" s="2707"/>
      <c r="P299" s="2707"/>
      <c r="Q299" s="2707"/>
      <c r="R299" s="54"/>
      <c r="S299" s="54"/>
      <c r="T299" s="54"/>
      <c r="U299" s="54"/>
      <c r="V299" s="54"/>
      <c r="W299" s="54"/>
      <c r="X299" s="54"/>
      <c r="Y299" s="54"/>
      <c r="Z299" s="54"/>
      <c r="AA299" s="3">
        <v>1</v>
      </c>
    </row>
    <row r="300" spans="1:27" s="2684" customFormat="1" ht="21" customHeight="1">
      <c r="A300" s="7225"/>
      <c r="B300" s="7179" t="s">
        <v>10450</v>
      </c>
      <c r="C300" s="7180"/>
      <c r="D300" s="7180"/>
      <c r="E300" s="7180"/>
      <c r="F300" s="7180"/>
      <c r="G300" s="7180"/>
      <c r="H300" s="7180"/>
      <c r="I300" s="7180"/>
      <c r="J300" s="7180"/>
      <c r="K300" s="7180"/>
      <c r="L300" s="7180"/>
      <c r="M300" s="7180"/>
      <c r="N300" s="7181"/>
      <c r="O300" s="2707"/>
      <c r="P300" s="2707"/>
      <c r="Q300" s="2707"/>
      <c r="R300" s="54"/>
      <c r="S300" s="54"/>
      <c r="T300" s="54"/>
      <c r="U300" s="54"/>
      <c r="V300" s="54"/>
      <c r="W300" s="54"/>
      <c r="X300" s="54"/>
      <c r="Y300" s="54"/>
      <c r="Z300" s="54"/>
      <c r="AA300" s="3">
        <v>1</v>
      </c>
    </row>
    <row r="301" spans="1:27" s="2684" customFormat="1" ht="21" customHeight="1">
      <c r="A301" s="7225"/>
      <c r="B301" s="7182"/>
      <c r="C301" s="7183"/>
      <c r="D301" s="7183"/>
      <c r="E301" s="7183"/>
      <c r="F301" s="7183"/>
      <c r="G301" s="7183"/>
      <c r="H301" s="7183"/>
      <c r="I301" s="7183"/>
      <c r="J301" s="7183"/>
      <c r="K301" s="7183"/>
      <c r="L301" s="7183"/>
      <c r="M301" s="7183"/>
      <c r="N301" s="7184"/>
      <c r="O301" s="2707"/>
      <c r="P301" s="2707"/>
      <c r="Q301" s="2707"/>
      <c r="R301" s="54"/>
      <c r="S301" s="54"/>
      <c r="T301" s="54"/>
      <c r="U301" s="54"/>
      <c r="V301" s="54"/>
      <c r="W301" s="54"/>
      <c r="X301" s="54"/>
      <c r="Y301" s="54"/>
      <c r="Z301" s="54"/>
      <c r="AA301" s="3">
        <v>1</v>
      </c>
    </row>
    <row r="302" spans="1:27" s="2684" customFormat="1" ht="21" customHeight="1">
      <c r="A302" s="7225"/>
      <c r="B302" s="3123" t="s">
        <v>207</v>
      </c>
      <c r="C302" s="7185" t="str">
        <f ca="1">CELL("nomfichier")</f>
        <v>D:\Données\1.UPRT\0-UPRT.fait\1-UPRT.FR-SITE-WEB\ff-fiches-fabrications\ff.fiches.fabrication.2023\ffr.restaurant.2023\[ff.FICHE.TRILINGUE.20.COLONNES.05.01.2026.xlsx]Couleurs.pour.vos.documents</v>
      </c>
      <c r="D302" s="7185"/>
      <c r="E302" s="7185"/>
      <c r="F302" s="7185"/>
      <c r="G302" s="7185"/>
      <c r="H302" s="7185"/>
      <c r="I302" s="7185"/>
      <c r="J302" s="7185"/>
      <c r="K302" s="7185"/>
      <c r="L302" s="7185"/>
      <c r="M302" s="7185"/>
      <c r="N302" s="7186"/>
      <c r="O302" s="2707"/>
      <c r="P302" s="2707"/>
      <c r="Q302" s="2707"/>
      <c r="R302" s="54"/>
      <c r="S302" s="54"/>
      <c r="T302" s="54"/>
      <c r="U302" s="54"/>
      <c r="V302" s="54"/>
      <c r="W302" s="54"/>
      <c r="X302" s="54"/>
      <c r="Y302" s="54"/>
      <c r="Z302" s="54"/>
      <c r="AA302" s="3">
        <v>1</v>
      </c>
    </row>
    <row r="303" spans="1:27" s="2684" customFormat="1" ht="21" customHeight="1">
      <c r="A303" s="7225"/>
      <c r="B303" s="3124" t="s">
        <v>10451</v>
      </c>
      <c r="C303" s="7187" t="s">
        <v>10452</v>
      </c>
      <c r="D303" s="7187"/>
      <c r="E303" s="7187"/>
      <c r="F303" s="7187"/>
      <c r="G303" s="7187"/>
      <c r="H303" s="7187"/>
      <c r="I303" s="7187"/>
      <c r="J303" s="7187"/>
      <c r="K303" s="7187"/>
      <c r="L303" s="7187"/>
      <c r="M303" s="7187"/>
      <c r="N303" s="7188"/>
      <c r="O303" s="2707"/>
      <c r="P303" s="2707"/>
      <c r="Q303" s="2707"/>
      <c r="R303" s="54"/>
      <c r="S303" s="54"/>
      <c r="T303" s="54"/>
      <c r="U303" s="54"/>
      <c r="V303" s="54"/>
      <c r="W303" s="54"/>
      <c r="X303" s="54"/>
      <c r="Y303" s="54"/>
      <c r="Z303" s="54"/>
      <c r="AA303" s="3">
        <v>1</v>
      </c>
    </row>
    <row r="304" spans="1:27" s="2684" customFormat="1" ht="21" customHeight="1" thickBot="1">
      <c r="A304" s="7225"/>
      <c r="B304" s="7189" t="s">
        <v>10368</v>
      </c>
      <c r="C304" s="7190"/>
      <c r="D304" s="7190"/>
      <c r="E304" s="7190"/>
      <c r="F304" s="7190"/>
      <c r="G304" s="7190"/>
      <c r="H304" s="7190"/>
      <c r="I304" s="7190"/>
      <c r="J304" s="7190"/>
      <c r="K304" s="7190"/>
      <c r="L304" s="7190"/>
      <c r="M304" s="7190"/>
      <c r="N304" s="7191"/>
      <c r="O304" s="2707"/>
      <c r="P304" s="2707"/>
      <c r="Q304" s="2707"/>
      <c r="R304" s="54"/>
      <c r="S304" s="54"/>
      <c r="T304" s="54"/>
      <c r="U304" s="54"/>
      <c r="V304" s="54"/>
      <c r="W304" s="54"/>
      <c r="X304" s="54"/>
      <c r="Y304" s="54"/>
      <c r="Z304" s="54"/>
      <c r="AA304" s="3">
        <v>1</v>
      </c>
    </row>
    <row r="305" spans="1:27" s="2684" customFormat="1" ht="21" customHeight="1" thickBot="1">
      <c r="A305" s="2707"/>
      <c r="B305" s="2733"/>
      <c r="C305" s="2733"/>
      <c r="D305" s="2733"/>
      <c r="E305" s="2733"/>
      <c r="F305" s="2733"/>
      <c r="G305" s="2733"/>
      <c r="H305" s="2708"/>
      <c r="I305" s="2742"/>
      <c r="J305" s="2742"/>
      <c r="K305" s="2743"/>
      <c r="L305" s="2743"/>
      <c r="M305" s="2742"/>
      <c r="N305" s="2742"/>
      <c r="O305" s="2707"/>
      <c r="P305" s="2707"/>
      <c r="Q305" s="2707"/>
      <c r="R305" s="54"/>
      <c r="S305" s="54"/>
      <c r="T305" s="54"/>
      <c r="U305" s="54"/>
      <c r="V305" s="54"/>
      <c r="W305" s="54"/>
      <c r="X305" s="54"/>
      <c r="Y305" s="54"/>
      <c r="Z305" s="54"/>
      <c r="AA305" s="3">
        <v>1</v>
      </c>
    </row>
    <row r="306" spans="1:27" s="2684" customFormat="1" ht="21" customHeight="1">
      <c r="A306" s="7217" t="s">
        <v>166</v>
      </c>
      <c r="B306" s="7219" t="s">
        <v>10265</v>
      </c>
      <c r="C306" s="7220"/>
      <c r="D306" s="7220"/>
      <c r="E306" s="7220"/>
      <c r="F306" s="7220"/>
      <c r="G306" s="7220"/>
      <c r="H306" s="7220"/>
      <c r="I306" s="7220"/>
      <c r="J306" s="7220"/>
      <c r="K306" s="7220"/>
      <c r="L306" s="7220"/>
      <c r="M306" s="7220"/>
      <c r="N306" s="7223">
        <v>2</v>
      </c>
      <c r="O306" s="2707"/>
      <c r="P306" s="2707"/>
      <c r="Q306" s="2707"/>
      <c r="R306" s="54"/>
      <c r="S306" s="54"/>
      <c r="T306" s="54"/>
      <c r="U306" s="54"/>
      <c r="V306" s="54"/>
      <c r="W306" s="54"/>
      <c r="X306" s="54"/>
      <c r="Y306" s="54"/>
      <c r="Z306" s="54"/>
      <c r="AA306" s="3">
        <v>1</v>
      </c>
    </row>
    <row r="307" spans="1:27" s="2684" customFormat="1" ht="21" customHeight="1">
      <c r="A307" s="7218"/>
      <c r="B307" s="7221"/>
      <c r="C307" s="7222"/>
      <c r="D307" s="7222"/>
      <c r="E307" s="7222"/>
      <c r="F307" s="7222"/>
      <c r="G307" s="7222"/>
      <c r="H307" s="7222"/>
      <c r="I307" s="7222"/>
      <c r="J307" s="7222"/>
      <c r="K307" s="7222"/>
      <c r="L307" s="7222"/>
      <c r="M307" s="7222"/>
      <c r="N307" s="7224"/>
      <c r="O307" s="2707"/>
      <c r="P307" s="2707"/>
      <c r="Q307" s="2707"/>
      <c r="R307" s="54"/>
      <c r="S307" s="54"/>
      <c r="T307" s="54"/>
      <c r="U307" s="54"/>
      <c r="V307" s="54"/>
      <c r="W307" s="54"/>
      <c r="X307" s="54"/>
      <c r="Y307" s="54"/>
      <c r="Z307" s="54"/>
      <c r="AA307" s="3">
        <v>1</v>
      </c>
    </row>
    <row r="308" spans="1:27" s="2684" customFormat="1" ht="21" customHeight="1">
      <c r="A308" s="7225" t="str">
        <f>B306</f>
        <v>COMBIEN POURRIEZ VOUS SERVIR AVEC</v>
      </c>
      <c r="B308" s="3085" t="str">
        <f>ADDRESS(ROW(),COLUMN(),4)</f>
        <v>B308</v>
      </c>
      <c r="C308" s="3086" t="s">
        <v>9521</v>
      </c>
      <c r="D308" s="3087"/>
      <c r="E308" s="3087"/>
      <c r="F308" s="3087"/>
      <c r="G308" s="3087"/>
      <c r="H308" s="3087"/>
      <c r="I308" s="3087"/>
      <c r="J308" s="3087"/>
      <c r="K308" s="3087"/>
      <c r="L308" s="3087"/>
      <c r="M308" s="3087"/>
      <c r="N308" s="3088"/>
      <c r="O308" s="2707"/>
      <c r="P308" s="2707"/>
      <c r="Q308" s="2707"/>
      <c r="R308" s="54"/>
      <c r="S308" s="54"/>
      <c r="T308" s="54"/>
      <c r="U308" s="54"/>
      <c r="V308" s="54"/>
      <c r="W308" s="54"/>
      <c r="X308" s="54"/>
      <c r="Y308" s="54"/>
      <c r="Z308" s="54"/>
      <c r="AA308" s="3">
        <v>1</v>
      </c>
    </row>
    <row r="309" spans="1:27" s="2684" customFormat="1" ht="21" customHeight="1">
      <c r="A309" s="7225"/>
      <c r="B309" s="7226" t="s">
        <v>10436</v>
      </c>
      <c r="C309" s="7227"/>
      <c r="D309" s="7227"/>
      <c r="E309" s="7227"/>
      <c r="F309" s="7227"/>
      <c r="G309" s="7227"/>
      <c r="H309" s="7227"/>
      <c r="I309" s="7227"/>
      <c r="J309" s="7227"/>
      <c r="K309" s="7227"/>
      <c r="L309" s="7227"/>
      <c r="M309" s="7227"/>
      <c r="N309" s="7228"/>
      <c r="O309" s="2707"/>
      <c r="P309" s="2707"/>
      <c r="Q309" s="2707"/>
      <c r="R309" s="54"/>
      <c r="S309" s="54"/>
      <c r="T309" s="54"/>
      <c r="U309" s="54"/>
      <c r="V309" s="54"/>
      <c r="W309" s="54"/>
      <c r="X309" s="54"/>
      <c r="Y309" s="54"/>
      <c r="Z309" s="54"/>
      <c r="AA309" s="3">
        <v>1</v>
      </c>
    </row>
    <row r="310" spans="1:27" s="2684" customFormat="1" ht="21" customHeight="1">
      <c r="A310" s="7225"/>
      <c r="B310" s="7229" t="s">
        <v>10453</v>
      </c>
      <c r="C310" s="7230"/>
      <c r="D310" s="7230"/>
      <c r="E310" s="7230"/>
      <c r="F310" s="7230"/>
      <c r="G310" s="7230"/>
      <c r="H310" s="7230"/>
      <c r="I310" s="7230"/>
      <c r="J310" s="7230"/>
      <c r="K310" s="7230"/>
      <c r="L310" s="7230"/>
      <c r="M310" s="7230"/>
      <c r="N310" s="7231"/>
      <c r="O310" s="2707"/>
      <c r="P310" s="2707"/>
      <c r="Q310" s="2707"/>
      <c r="R310" s="54"/>
      <c r="S310" s="54"/>
      <c r="T310" s="54"/>
      <c r="U310" s="54"/>
      <c r="V310" s="54"/>
      <c r="W310" s="54"/>
      <c r="X310" s="54"/>
      <c r="Y310" s="54"/>
      <c r="Z310" s="54"/>
      <c r="AA310" s="3">
        <v>1</v>
      </c>
    </row>
    <row r="311" spans="1:27" s="2684" customFormat="1" ht="21" customHeight="1">
      <c r="A311" s="7225"/>
      <c r="B311" s="7229"/>
      <c r="C311" s="7230"/>
      <c r="D311" s="7230"/>
      <c r="E311" s="7230"/>
      <c r="F311" s="7230"/>
      <c r="G311" s="7230"/>
      <c r="H311" s="7230"/>
      <c r="I311" s="7230"/>
      <c r="J311" s="7230"/>
      <c r="K311" s="7230"/>
      <c r="L311" s="7230"/>
      <c r="M311" s="7230"/>
      <c r="N311" s="7231"/>
      <c r="O311" s="2707"/>
      <c r="P311" s="2707"/>
      <c r="Q311" s="2707"/>
      <c r="R311" s="54"/>
      <c r="S311" s="54"/>
      <c r="T311" s="54"/>
      <c r="U311" s="54"/>
      <c r="V311" s="54"/>
      <c r="W311" s="54"/>
      <c r="X311" s="54"/>
      <c r="Y311" s="54"/>
      <c r="Z311" s="54"/>
      <c r="AA311" s="3">
        <v>1</v>
      </c>
    </row>
    <row r="312" spans="1:27" s="2684" customFormat="1" ht="21" customHeight="1">
      <c r="A312" s="7225"/>
      <c r="B312" s="7229"/>
      <c r="C312" s="7230"/>
      <c r="D312" s="7230"/>
      <c r="E312" s="7230"/>
      <c r="F312" s="7230"/>
      <c r="G312" s="7230"/>
      <c r="H312" s="7230"/>
      <c r="I312" s="7230"/>
      <c r="J312" s="7230"/>
      <c r="K312" s="7230"/>
      <c r="L312" s="7230"/>
      <c r="M312" s="7230"/>
      <c r="N312" s="7231"/>
      <c r="O312" s="2707"/>
      <c r="P312" s="2707"/>
      <c r="Q312" s="2707"/>
      <c r="R312" s="54"/>
      <c r="S312" s="54"/>
      <c r="T312" s="54"/>
      <c r="U312" s="54"/>
      <c r="V312" s="54"/>
      <c r="W312" s="54"/>
      <c r="X312" s="54"/>
      <c r="Y312" s="54"/>
      <c r="Z312" s="54"/>
      <c r="AA312" s="3">
        <v>1</v>
      </c>
    </row>
    <row r="313" spans="1:27" s="2684" customFormat="1" ht="21" customHeight="1">
      <c r="A313" s="7225"/>
      <c r="B313" s="7229"/>
      <c r="C313" s="7230"/>
      <c r="D313" s="7230"/>
      <c r="E313" s="7230"/>
      <c r="F313" s="7230"/>
      <c r="G313" s="7230"/>
      <c r="H313" s="7230"/>
      <c r="I313" s="7230"/>
      <c r="J313" s="7230"/>
      <c r="K313" s="7230"/>
      <c r="L313" s="7230"/>
      <c r="M313" s="7230"/>
      <c r="N313" s="7231"/>
      <c r="O313" s="2707"/>
      <c r="P313" s="2707"/>
      <c r="Q313" s="2707"/>
      <c r="R313" s="54"/>
      <c r="S313" s="54"/>
      <c r="T313" s="54"/>
      <c r="U313" s="54"/>
      <c r="V313" s="54"/>
      <c r="W313" s="54"/>
      <c r="X313" s="54"/>
      <c r="Y313" s="54"/>
      <c r="Z313" s="54"/>
      <c r="AA313" s="3">
        <v>1</v>
      </c>
    </row>
    <row r="314" spans="1:27" s="2684" customFormat="1" ht="21" customHeight="1">
      <c r="A314" s="7225"/>
      <c r="B314" s="7232"/>
      <c r="C314" s="7233"/>
      <c r="D314" s="7233"/>
      <c r="E314" s="7233"/>
      <c r="F314" s="7233"/>
      <c r="G314" s="7233"/>
      <c r="H314" s="7233"/>
      <c r="I314" s="7233"/>
      <c r="J314" s="7233"/>
      <c r="K314" s="7233"/>
      <c r="L314" s="7233"/>
      <c r="M314" s="7233"/>
      <c r="N314" s="7234"/>
      <c r="O314" s="2707"/>
      <c r="P314" s="2707"/>
      <c r="Q314" s="2707"/>
      <c r="R314" s="54"/>
      <c r="S314" s="54"/>
      <c r="T314" s="54"/>
      <c r="U314" s="54"/>
      <c r="V314" s="54"/>
      <c r="W314" s="54"/>
      <c r="X314" s="54"/>
      <c r="Y314" s="54"/>
      <c r="Z314" s="54"/>
      <c r="AA314" s="3">
        <v>1</v>
      </c>
    </row>
    <row r="315" spans="1:27" s="2684" customFormat="1" ht="21" customHeight="1">
      <c r="A315" s="7225"/>
      <c r="B315" s="3125"/>
      <c r="C315" s="3126"/>
      <c r="D315" s="3126"/>
      <c r="E315" s="3126"/>
      <c r="F315" s="3126"/>
      <c r="G315" s="3126"/>
      <c r="H315" s="3126"/>
      <c r="I315" s="3126"/>
      <c r="J315" s="3126"/>
      <c r="K315" s="3126"/>
      <c r="L315" s="7235" t="s">
        <v>2629</v>
      </c>
      <c r="M315" s="7236"/>
      <c r="N315" s="3127"/>
      <c r="O315" s="2707"/>
      <c r="P315" s="2707"/>
      <c r="Q315" s="2707"/>
      <c r="R315" s="54"/>
      <c r="S315" s="54"/>
      <c r="T315" s="54"/>
      <c r="U315" s="54"/>
      <c r="V315" s="54"/>
      <c r="W315" s="54"/>
      <c r="X315" s="54"/>
      <c r="Y315" s="54"/>
      <c r="Z315" s="54"/>
      <c r="AA315" s="3">
        <v>1</v>
      </c>
    </row>
    <row r="316" spans="1:27" s="2684" customFormat="1" ht="21" customHeight="1">
      <c r="A316" s="7225"/>
      <c r="B316" s="3125"/>
      <c r="C316" s="3126"/>
      <c r="D316" s="3126"/>
      <c r="E316" s="3126"/>
      <c r="F316" s="3126"/>
      <c r="G316" s="3126"/>
      <c r="H316" s="3126"/>
      <c r="I316" s="3126"/>
      <c r="K316" s="3101" t="s">
        <v>10454</v>
      </c>
      <c r="L316" s="7239">
        <v>2.4</v>
      </c>
      <c r="M316" s="7239"/>
      <c r="N316" s="3127"/>
      <c r="O316" s="2707"/>
      <c r="P316" s="2707"/>
      <c r="Q316" s="2707"/>
      <c r="R316" s="54"/>
      <c r="S316" s="54"/>
      <c r="T316" s="54"/>
      <c r="U316" s="54"/>
      <c r="V316" s="54"/>
      <c r="W316" s="54"/>
      <c r="X316" s="54"/>
      <c r="Y316" s="54"/>
      <c r="Z316" s="54"/>
      <c r="AA316" s="3">
        <v>1</v>
      </c>
    </row>
    <row r="317" spans="1:27" s="2684" customFormat="1" ht="21" customHeight="1">
      <c r="A317" s="7225"/>
      <c r="B317" s="3128"/>
      <c r="C317" s="3129"/>
      <c r="D317" s="3129"/>
      <c r="E317" s="3129"/>
      <c r="F317" s="3126"/>
      <c r="G317" s="3126"/>
      <c r="H317" s="3126"/>
      <c r="I317" s="3126"/>
      <c r="J317" s="3126"/>
      <c r="K317" s="3130"/>
      <c r="L317" s="7239"/>
      <c r="M317" s="7239"/>
      <c r="N317" s="3127"/>
      <c r="O317" s="2707"/>
      <c r="P317" s="2707"/>
      <c r="Q317" s="2707"/>
      <c r="R317" s="54"/>
      <c r="S317" s="54"/>
      <c r="T317" s="54"/>
      <c r="U317" s="54"/>
      <c r="V317" s="54"/>
      <c r="W317" s="54"/>
      <c r="X317" s="54"/>
      <c r="Y317" s="54"/>
      <c r="Z317" s="54"/>
      <c r="AA317" s="3">
        <v>1</v>
      </c>
    </row>
    <row r="318" spans="1:27" s="2684" customFormat="1" ht="21" customHeight="1">
      <c r="A318" s="7225"/>
      <c r="B318" s="3125"/>
      <c r="C318" s="3126"/>
      <c r="D318" s="3126"/>
      <c r="E318" s="3126"/>
      <c r="F318" s="3126"/>
      <c r="G318" s="3126"/>
      <c r="H318" s="3126"/>
      <c r="I318" s="3126"/>
      <c r="J318" s="3126"/>
      <c r="K318" s="3126"/>
      <c r="L318" s="3126"/>
      <c r="M318" s="3126"/>
      <c r="N318" s="3127"/>
      <c r="O318" s="2707"/>
      <c r="P318" s="2707"/>
      <c r="Q318" s="2707"/>
      <c r="R318" s="54"/>
      <c r="S318" s="54"/>
      <c r="T318" s="54"/>
      <c r="U318" s="54"/>
      <c r="V318" s="54"/>
      <c r="W318" s="54"/>
      <c r="X318" s="54"/>
      <c r="Y318" s="54"/>
      <c r="Z318" s="54"/>
      <c r="AA318" s="3">
        <v>1</v>
      </c>
    </row>
    <row r="319" spans="1:27" s="2684" customFormat="1" ht="21" customHeight="1">
      <c r="A319" s="7225"/>
      <c r="B319" s="3125"/>
      <c r="C319" s="3126"/>
      <c r="D319" s="3126"/>
      <c r="E319" s="3126"/>
      <c r="F319" s="3131" t="s">
        <v>10439</v>
      </c>
      <c r="G319" s="5849" t="s">
        <v>10331</v>
      </c>
      <c r="H319" s="5849" t="s">
        <v>10332</v>
      </c>
      <c r="I319" s="5850" t="s">
        <v>8189</v>
      </c>
      <c r="J319" s="5849" t="s">
        <v>10333</v>
      </c>
      <c r="K319" s="5849" t="s">
        <v>10394</v>
      </c>
      <c r="L319" s="3126"/>
      <c r="M319" s="3126"/>
      <c r="N319" s="3127"/>
      <c r="O319" s="2707"/>
      <c r="P319" s="2707"/>
      <c r="Q319" s="2707"/>
      <c r="R319" s="54"/>
      <c r="S319" s="54"/>
      <c r="T319" s="54"/>
      <c r="U319" s="54"/>
      <c r="V319" s="54"/>
      <c r="W319" s="54"/>
      <c r="X319" s="54"/>
      <c r="Y319" s="54"/>
      <c r="Z319" s="54"/>
      <c r="AA319" s="3">
        <v>1</v>
      </c>
    </row>
    <row r="320" spans="1:27" s="2684" customFormat="1" ht="21" customHeight="1">
      <c r="A320" s="7225"/>
      <c r="B320" s="3125"/>
      <c r="C320" s="3126"/>
      <c r="D320" s="3126"/>
      <c r="E320" s="3126"/>
      <c r="F320" s="3099" t="s">
        <v>10455</v>
      </c>
      <c r="G320" s="5851">
        <v>0.05</v>
      </c>
      <c r="H320" s="5851">
        <v>0.08</v>
      </c>
      <c r="I320" s="5851">
        <v>0.11</v>
      </c>
      <c r="J320" s="5851">
        <v>0.125</v>
      </c>
      <c r="K320" s="5851">
        <v>7.0000000000000007E-2</v>
      </c>
      <c r="L320" s="3100">
        <f>SUM(G320:K320)/COUNTIF(G320:K320,"&gt;0")</f>
        <v>8.6999999999999994E-2</v>
      </c>
      <c r="M320" s="3098" t="s">
        <v>10442</v>
      </c>
      <c r="N320" s="3127"/>
      <c r="O320" s="2707"/>
      <c r="P320" s="2707"/>
      <c r="Q320" s="2707"/>
      <c r="R320" s="54"/>
      <c r="S320" s="54"/>
      <c r="T320" s="54"/>
      <c r="U320" s="54"/>
      <c r="V320" s="54"/>
      <c r="W320" s="54"/>
      <c r="X320" s="54"/>
      <c r="Y320" s="54"/>
      <c r="Z320" s="54"/>
      <c r="AA320" s="3">
        <v>1</v>
      </c>
    </row>
    <row r="321" spans="1:27" s="2684" customFormat="1" ht="21" customHeight="1">
      <c r="A321" s="7225"/>
      <c r="B321" s="3125"/>
      <c r="C321" s="3126"/>
      <c r="D321" s="3126"/>
      <c r="E321" s="3126"/>
      <c r="F321" s="3101" t="s">
        <v>10456</v>
      </c>
      <c r="G321" s="3132">
        <f>L316/G320</f>
        <v>47.999999999999993</v>
      </c>
      <c r="H321" s="3132">
        <f>L316/H320</f>
        <v>30</v>
      </c>
      <c r="I321" s="3132">
        <f>L316/I320</f>
        <v>21.818181818181817</v>
      </c>
      <c r="J321" s="3132">
        <f>L316/J320</f>
        <v>19.2</v>
      </c>
      <c r="K321" s="3132">
        <f>L316/K320</f>
        <v>34.285714285714285</v>
      </c>
      <c r="L321" s="3133" t="s">
        <v>10457</v>
      </c>
      <c r="M321" s="3098"/>
      <c r="N321" s="3127"/>
      <c r="O321" s="2707"/>
      <c r="P321" s="2707"/>
      <c r="Q321" s="2707"/>
      <c r="R321" s="54"/>
      <c r="S321" s="54"/>
      <c r="T321" s="54"/>
      <c r="U321" s="54"/>
      <c r="V321" s="54"/>
      <c r="W321" s="54"/>
      <c r="X321" s="54"/>
      <c r="Y321" s="54"/>
      <c r="Z321" s="54"/>
      <c r="AA321" s="3">
        <v>1</v>
      </c>
    </row>
    <row r="322" spans="1:27" s="2684" customFormat="1" ht="21" customHeight="1">
      <c r="A322" s="7225"/>
      <c r="B322" s="3134" t="s">
        <v>2629</v>
      </c>
      <c r="C322" s="3135" t="s">
        <v>10458</v>
      </c>
      <c r="D322" s="3126"/>
      <c r="E322" s="3126"/>
      <c r="F322" s="3101"/>
      <c r="G322" s="3136"/>
      <c r="H322" s="3136"/>
      <c r="I322" s="3136"/>
      <c r="J322" s="3136"/>
      <c r="K322" s="3136"/>
      <c r="L322" s="3133"/>
      <c r="M322" s="3098"/>
      <c r="N322" s="3127"/>
      <c r="O322" s="2707"/>
      <c r="P322" s="2707"/>
      <c r="Q322" s="2707"/>
      <c r="R322" s="54"/>
      <c r="S322" s="54"/>
      <c r="T322" s="54"/>
      <c r="U322" s="54"/>
      <c r="V322" s="54"/>
      <c r="W322" s="54"/>
      <c r="X322" s="54"/>
      <c r="Y322" s="54"/>
      <c r="Z322" s="54"/>
      <c r="AA322" s="3">
        <v>1</v>
      </c>
    </row>
    <row r="323" spans="1:27" s="2684" customFormat="1" ht="21" customHeight="1">
      <c r="A323" s="7225"/>
      <c r="B323" s="7240" t="s">
        <v>10459</v>
      </c>
      <c r="C323" s="7241"/>
      <c r="D323" s="7241"/>
      <c r="E323" s="7241"/>
      <c r="F323" s="7241"/>
      <c r="G323" s="7241"/>
      <c r="H323" s="7241"/>
      <c r="I323" s="7241"/>
      <c r="J323" s="7241"/>
      <c r="K323" s="7241"/>
      <c r="L323" s="7241"/>
      <c r="M323" s="7241"/>
      <c r="N323" s="7242"/>
      <c r="O323" s="2707"/>
      <c r="P323" s="2707"/>
      <c r="Q323" s="2707"/>
      <c r="R323" s="54"/>
      <c r="S323" s="54"/>
      <c r="T323" s="54"/>
      <c r="U323" s="54"/>
      <c r="V323" s="54"/>
      <c r="W323" s="54"/>
      <c r="X323" s="54"/>
      <c r="Y323" s="54"/>
      <c r="Z323" s="54"/>
      <c r="AA323" s="3">
        <v>1</v>
      </c>
    </row>
    <row r="324" spans="1:27" s="2684" customFormat="1" ht="21" customHeight="1">
      <c r="A324" s="7225"/>
      <c r="B324" s="3137"/>
      <c r="C324" s="3138"/>
      <c r="D324" s="3138"/>
      <c r="E324" s="3138"/>
      <c r="F324" s="3126"/>
      <c r="G324" s="3126"/>
      <c r="H324" s="3097"/>
      <c r="I324" s="3097"/>
      <c r="J324" s="3097"/>
      <c r="K324" s="3097"/>
      <c r="L324" s="7243" t="s">
        <v>16</v>
      </c>
      <c r="M324" s="7243"/>
      <c r="N324" s="3127"/>
      <c r="O324" s="2707"/>
      <c r="P324" s="2707"/>
      <c r="Q324" s="2707"/>
      <c r="R324" s="54"/>
      <c r="S324" s="54"/>
      <c r="T324" s="54"/>
      <c r="U324" s="54"/>
      <c r="V324" s="54"/>
      <c r="W324" s="54"/>
      <c r="X324" s="54"/>
      <c r="Y324" s="54"/>
      <c r="Z324" s="54"/>
      <c r="AA324" s="3">
        <v>1</v>
      </c>
    </row>
    <row r="325" spans="1:27" s="2684" customFormat="1" ht="21" customHeight="1">
      <c r="A325" s="7225"/>
      <c r="B325" s="3137"/>
      <c r="C325" s="3138"/>
      <c r="D325" s="3138"/>
      <c r="E325" s="3138"/>
      <c r="F325" s="3126"/>
      <c r="G325" s="3126"/>
      <c r="H325" s="3097"/>
      <c r="I325" s="3097"/>
      <c r="J325" s="3097"/>
      <c r="K325" s="3139" t="s">
        <v>10438</v>
      </c>
      <c r="L325" s="7244" t="s">
        <v>837</v>
      </c>
      <c r="M325" s="7245"/>
      <c r="N325" s="3127"/>
      <c r="O325" s="2707"/>
      <c r="P325" s="2707"/>
      <c r="Q325" s="2707"/>
      <c r="R325" s="54"/>
      <c r="S325" s="54"/>
      <c r="T325" s="54"/>
      <c r="U325" s="54"/>
      <c r="V325" s="54"/>
      <c r="W325" s="54"/>
      <c r="X325" s="54"/>
      <c r="Y325" s="54"/>
      <c r="Z325" s="54"/>
      <c r="AA325" s="3">
        <v>1</v>
      </c>
    </row>
    <row r="326" spans="1:27" s="2684" customFormat="1" ht="21" customHeight="1">
      <c r="A326" s="7225"/>
      <c r="B326" s="3125"/>
      <c r="C326" s="3126"/>
      <c r="D326" s="3097"/>
      <c r="E326" s="3097"/>
      <c r="F326" s="3097"/>
      <c r="G326" s="3097"/>
      <c r="H326" s="3097"/>
      <c r="I326" s="3097"/>
      <c r="J326" s="3097"/>
      <c r="K326" s="3097"/>
      <c r="L326" s="3097"/>
      <c r="M326" s="3098"/>
      <c r="N326" s="3127"/>
      <c r="O326" s="2707"/>
      <c r="P326" s="2707"/>
      <c r="Q326" s="2707"/>
      <c r="R326" s="54"/>
      <c r="S326" s="54"/>
      <c r="T326" s="54"/>
      <c r="U326" s="54"/>
      <c r="V326" s="54"/>
      <c r="W326" s="54"/>
      <c r="X326" s="54"/>
      <c r="Y326" s="54"/>
      <c r="Z326" s="54"/>
      <c r="AA326" s="3">
        <v>1</v>
      </c>
    </row>
    <row r="327" spans="1:27" s="2684" customFormat="1" ht="21" customHeight="1">
      <c r="A327" s="7225"/>
      <c r="B327" s="3125"/>
      <c r="C327" s="3126"/>
      <c r="D327" s="3126"/>
      <c r="E327" s="3126"/>
      <c r="F327" s="3096" t="s">
        <v>10440</v>
      </c>
      <c r="G327" s="5845">
        <v>50</v>
      </c>
      <c r="H327" s="5845">
        <v>500</v>
      </c>
      <c r="I327" s="5845">
        <v>150</v>
      </c>
      <c r="J327" s="5845">
        <v>13</v>
      </c>
      <c r="K327" s="5845">
        <v>13</v>
      </c>
      <c r="L327" s="3097">
        <f>SUM(G327:K327)</f>
        <v>726</v>
      </c>
      <c r="M327" s="3098" t="s">
        <v>36</v>
      </c>
      <c r="N327" s="3127"/>
      <c r="O327" s="2707"/>
      <c r="P327" s="2707"/>
      <c r="Q327" s="2707"/>
      <c r="R327" s="54"/>
      <c r="S327" s="54"/>
      <c r="T327" s="54"/>
      <c r="U327" s="54"/>
      <c r="V327" s="54"/>
      <c r="W327" s="54"/>
      <c r="X327" s="54"/>
      <c r="Y327" s="54"/>
      <c r="Z327" s="54"/>
      <c r="AA327" s="3">
        <v>1</v>
      </c>
    </row>
    <row r="328" spans="1:27" s="2684" customFormat="1" ht="21" customHeight="1">
      <c r="A328" s="7225"/>
      <c r="B328" s="3125"/>
      <c r="C328" s="3126"/>
      <c r="D328" s="3126"/>
      <c r="E328" s="3126"/>
      <c r="F328" s="3101" t="s">
        <v>10460</v>
      </c>
      <c r="G328" s="5852">
        <f>G320*G327</f>
        <v>2.5</v>
      </c>
      <c r="H328" s="5852">
        <f>H320*H327</f>
        <v>40</v>
      </c>
      <c r="I328" s="5852">
        <f>I320*I327</f>
        <v>16.5</v>
      </c>
      <c r="J328" s="5852">
        <f>J320*J327</f>
        <v>1.625</v>
      </c>
      <c r="K328" s="5852">
        <f>K320*K327</f>
        <v>0.91000000000000014</v>
      </c>
      <c r="L328" s="3097">
        <f>SUM(G328:K328)</f>
        <v>61.534999999999997</v>
      </c>
      <c r="M328" s="3098" t="str">
        <f>L325</f>
        <v>Kg</v>
      </c>
      <c r="N328" s="3127"/>
      <c r="O328" s="2707"/>
      <c r="P328" s="2707"/>
      <c r="Q328" s="2707"/>
      <c r="R328" s="54"/>
      <c r="S328" s="54"/>
      <c r="T328" s="54"/>
      <c r="U328" s="54"/>
      <c r="V328" s="54"/>
      <c r="W328" s="54"/>
      <c r="X328" s="54"/>
      <c r="Y328" s="54"/>
      <c r="Z328" s="54"/>
      <c r="AA328" s="3">
        <v>1</v>
      </c>
    </row>
    <row r="329" spans="1:27" s="2684" customFormat="1" ht="21" customHeight="1">
      <c r="A329" s="7225"/>
      <c r="B329" s="3125"/>
      <c r="C329" s="3126"/>
      <c r="D329" s="3126"/>
      <c r="E329" s="3126"/>
      <c r="F329" s="3126"/>
      <c r="G329" s="3140" t="str">
        <f>L325</f>
        <v>Kg</v>
      </c>
      <c r="H329" s="3140" t="str">
        <f>L325</f>
        <v>Kg</v>
      </c>
      <c r="I329" s="3140" t="str">
        <f>L325</f>
        <v>Kg</v>
      </c>
      <c r="J329" s="3140" t="str">
        <f>L325</f>
        <v>Kg</v>
      </c>
      <c r="K329" s="3140" t="str">
        <f>L325</f>
        <v>Kg</v>
      </c>
      <c r="L329" s="3126"/>
      <c r="M329" s="3141"/>
      <c r="N329" s="3127"/>
      <c r="O329" s="2707"/>
      <c r="P329" s="2707"/>
      <c r="Q329" s="2707"/>
      <c r="R329" s="54"/>
      <c r="S329" s="54"/>
      <c r="T329" s="54"/>
      <c r="U329" s="54"/>
      <c r="V329" s="54"/>
      <c r="W329" s="54"/>
      <c r="X329" s="54"/>
      <c r="Y329" s="54"/>
      <c r="Z329" s="54"/>
      <c r="AA329" s="3">
        <v>1</v>
      </c>
    </row>
    <row r="330" spans="1:27" s="2684" customFormat="1" ht="21" customHeight="1">
      <c r="A330" s="7225"/>
      <c r="B330" s="3142"/>
      <c r="C330" s="3106" t="s">
        <v>10444</v>
      </c>
      <c r="D330" s="3107">
        <v>50</v>
      </c>
      <c r="E330" s="3108" t="s">
        <v>2630</v>
      </c>
      <c r="H330" s="3126"/>
      <c r="I330" s="3126"/>
      <c r="J330" s="3126"/>
      <c r="K330" s="3126"/>
      <c r="L330" s="3126"/>
      <c r="M330" s="3141"/>
      <c r="N330" s="3127"/>
      <c r="O330" s="2707"/>
      <c r="P330" s="2707"/>
      <c r="Q330" s="2707"/>
      <c r="R330" s="54"/>
      <c r="S330" s="54"/>
      <c r="T330" s="54"/>
      <c r="U330" s="54"/>
      <c r="V330" s="54"/>
      <c r="W330" s="54"/>
      <c r="X330" s="54"/>
      <c r="Y330" s="54"/>
      <c r="Z330" s="54"/>
      <c r="AA330" s="3">
        <v>1</v>
      </c>
    </row>
    <row r="331" spans="1:27" s="2684" customFormat="1" ht="21" customHeight="1">
      <c r="A331" s="7225"/>
      <c r="B331" s="3125"/>
      <c r="C331" s="3126"/>
      <c r="D331" s="3126"/>
      <c r="E331" s="3126"/>
      <c r="F331" s="3101" t="s">
        <v>10445</v>
      </c>
      <c r="G331" s="3110">
        <f>G328/(100-D330)*100</f>
        <v>5</v>
      </c>
      <c r="H331" s="3110">
        <f>H328/(100-D330)*100</f>
        <v>80</v>
      </c>
      <c r="I331" s="3110">
        <f>I328/(100-D330)*100</f>
        <v>33</v>
      </c>
      <c r="J331" s="3110">
        <f>J328/(100-D330)*100</f>
        <v>3.25</v>
      </c>
      <c r="K331" s="3110">
        <f>K328/(100-D330)*100</f>
        <v>1.8200000000000005</v>
      </c>
      <c r="L331" s="3097">
        <f>SUM(G331:K331)</f>
        <v>123.07000000000001</v>
      </c>
      <c r="M331" s="3098" t="str">
        <f>L325</f>
        <v>Kg</v>
      </c>
      <c r="N331" s="3127"/>
      <c r="O331" s="2707"/>
      <c r="P331" s="2707"/>
      <c r="Q331" s="2707"/>
      <c r="R331" s="54"/>
      <c r="S331" s="54"/>
      <c r="T331" s="54"/>
      <c r="U331" s="54"/>
      <c r="V331" s="54"/>
      <c r="W331" s="54"/>
      <c r="X331" s="54"/>
      <c r="Y331" s="54"/>
      <c r="Z331" s="54"/>
      <c r="AA331" s="3">
        <v>1</v>
      </c>
    </row>
    <row r="332" spans="1:27" s="2684" customFormat="1" ht="21" customHeight="1">
      <c r="A332" s="7225"/>
      <c r="B332" s="3125"/>
      <c r="C332" s="3126"/>
      <c r="D332" s="3126"/>
      <c r="E332" s="3126"/>
      <c r="F332" s="3101"/>
      <c r="G332" s="3112" t="str">
        <f>L325</f>
        <v>Kg</v>
      </c>
      <c r="H332" s="3112" t="str">
        <f>L325</f>
        <v>Kg</v>
      </c>
      <c r="I332" s="3112" t="str">
        <f>L325</f>
        <v>Kg</v>
      </c>
      <c r="J332" s="3112" t="str">
        <f>L325</f>
        <v>Kg</v>
      </c>
      <c r="K332" s="3112" t="str">
        <f>L325</f>
        <v>Kg</v>
      </c>
      <c r="L332" s="3097"/>
      <c r="M332" s="3098"/>
      <c r="N332" s="3127"/>
      <c r="O332" s="2707"/>
      <c r="P332" s="2707"/>
      <c r="Q332" s="2707"/>
      <c r="R332" s="54"/>
      <c r="S332" s="54"/>
      <c r="T332" s="54"/>
      <c r="U332" s="54"/>
      <c r="V332" s="54"/>
      <c r="W332" s="54"/>
      <c r="X332" s="54"/>
      <c r="Y332" s="54"/>
      <c r="Z332" s="54"/>
      <c r="AA332" s="3">
        <v>1</v>
      </c>
    </row>
    <row r="333" spans="1:27" s="2684" customFormat="1" ht="21" customHeight="1">
      <c r="A333" s="7225"/>
      <c r="B333" s="3143" t="s">
        <v>2630</v>
      </c>
      <c r="C333" s="3122" t="s">
        <v>10449</v>
      </c>
      <c r="D333" s="5853"/>
      <c r="E333" s="5853"/>
      <c r="F333" s="5853"/>
      <c r="G333" s="5853"/>
      <c r="H333" s="5853"/>
      <c r="I333" s="5853"/>
      <c r="J333" s="5853"/>
      <c r="K333" s="5853"/>
      <c r="L333" s="5853"/>
      <c r="M333" s="5853"/>
      <c r="N333" s="5854"/>
      <c r="O333" s="2707"/>
      <c r="P333" s="2707"/>
      <c r="Q333" s="2707"/>
      <c r="R333" s="54"/>
      <c r="S333" s="54"/>
      <c r="T333" s="54"/>
      <c r="U333" s="54"/>
      <c r="V333" s="54"/>
      <c r="W333" s="54"/>
      <c r="X333" s="54"/>
      <c r="Y333" s="54"/>
      <c r="Z333" s="54"/>
      <c r="AA333" s="3">
        <v>1</v>
      </c>
    </row>
    <row r="334" spans="1:27" s="2684" customFormat="1" ht="21" customHeight="1">
      <c r="A334" s="7225"/>
      <c r="B334" s="3144" t="s">
        <v>16</v>
      </c>
      <c r="C334" s="3145" t="s">
        <v>10446</v>
      </c>
      <c r="D334" s="3116"/>
      <c r="E334" s="3116"/>
      <c r="F334" s="3116"/>
      <c r="G334" s="3116"/>
      <c r="H334" s="3116"/>
      <c r="I334" s="3116"/>
      <c r="J334" s="3116"/>
      <c r="K334" s="3116"/>
      <c r="L334" s="3116"/>
      <c r="M334" s="3116"/>
      <c r="N334" s="3117"/>
      <c r="O334" s="2707"/>
      <c r="P334" s="2707"/>
      <c r="Q334" s="2707"/>
      <c r="R334" s="54"/>
      <c r="S334" s="54"/>
      <c r="T334" s="54"/>
      <c r="U334" s="54"/>
      <c r="V334" s="54"/>
      <c r="W334" s="54"/>
      <c r="X334" s="54"/>
      <c r="Y334" s="54"/>
      <c r="Z334" s="54"/>
      <c r="AA334" s="3">
        <v>1</v>
      </c>
    </row>
    <row r="335" spans="1:27" s="2684" customFormat="1" ht="21" customHeight="1">
      <c r="A335" s="7225"/>
      <c r="B335" s="3118"/>
      <c r="C335" s="7244" t="s">
        <v>837</v>
      </c>
      <c r="D335" s="7245"/>
      <c r="E335" s="3119"/>
      <c r="F335" s="7244" t="s">
        <v>10447</v>
      </c>
      <c r="G335" s="7245"/>
      <c r="H335" s="3119"/>
      <c r="I335" s="7244" t="s">
        <v>10448</v>
      </c>
      <c r="J335" s="7245"/>
      <c r="K335" s="3119"/>
      <c r="L335" s="7244" t="s">
        <v>316</v>
      </c>
      <c r="M335" s="7245"/>
      <c r="N335" s="3120"/>
      <c r="O335" s="2707"/>
      <c r="P335" s="2707"/>
      <c r="Q335" s="2707"/>
      <c r="R335" s="54"/>
      <c r="S335" s="54"/>
      <c r="T335" s="54"/>
      <c r="U335" s="54"/>
      <c r="V335" s="54"/>
      <c r="W335" s="54"/>
      <c r="X335" s="54"/>
      <c r="Y335" s="54"/>
      <c r="Z335" s="54"/>
      <c r="AA335" s="3">
        <v>1</v>
      </c>
    </row>
    <row r="336" spans="1:27" s="2684" customFormat="1" ht="21" customHeight="1">
      <c r="A336" s="7225"/>
      <c r="B336" s="3118"/>
      <c r="C336" s="3119"/>
      <c r="D336" s="3119"/>
      <c r="E336" s="3119"/>
      <c r="F336" s="3119"/>
      <c r="G336" s="3119"/>
      <c r="H336" s="3119"/>
      <c r="I336" s="3119"/>
      <c r="J336" s="3119"/>
      <c r="K336" s="3119"/>
      <c r="L336" s="3119"/>
      <c r="M336" s="3119"/>
      <c r="N336" s="3120"/>
      <c r="O336" s="2707"/>
      <c r="P336" s="2707"/>
      <c r="Q336" s="2707"/>
      <c r="R336" s="54"/>
      <c r="S336" s="54"/>
      <c r="T336" s="54"/>
      <c r="U336" s="54"/>
      <c r="V336" s="54"/>
      <c r="W336" s="54"/>
      <c r="X336" s="54"/>
      <c r="Y336" s="54"/>
      <c r="Z336" s="54"/>
      <c r="AA336" s="3">
        <v>1</v>
      </c>
    </row>
    <row r="337" spans="1:27" s="2684" customFormat="1" ht="21" customHeight="1">
      <c r="A337" s="7225"/>
      <c r="B337" s="7179" t="s">
        <v>10450</v>
      </c>
      <c r="C337" s="7180"/>
      <c r="D337" s="7180"/>
      <c r="E337" s="7180"/>
      <c r="F337" s="7180"/>
      <c r="G337" s="7180"/>
      <c r="H337" s="7180"/>
      <c r="I337" s="7180"/>
      <c r="J337" s="7180"/>
      <c r="K337" s="7180"/>
      <c r="L337" s="7180"/>
      <c r="M337" s="7180"/>
      <c r="N337" s="7181"/>
      <c r="O337" s="2707"/>
      <c r="P337" s="2707"/>
      <c r="Q337" s="2707"/>
      <c r="R337" s="54"/>
      <c r="S337" s="54"/>
      <c r="T337" s="54"/>
      <c r="U337" s="54"/>
      <c r="V337" s="54"/>
      <c r="W337" s="54"/>
      <c r="X337" s="54"/>
      <c r="Y337" s="54"/>
      <c r="Z337" s="54"/>
      <c r="AA337" s="3">
        <v>1</v>
      </c>
    </row>
    <row r="338" spans="1:27" s="2684" customFormat="1" ht="21" customHeight="1">
      <c r="A338" s="7225"/>
      <c r="B338" s="7182"/>
      <c r="C338" s="7183"/>
      <c r="D338" s="7183"/>
      <c r="E338" s="7183"/>
      <c r="F338" s="7183"/>
      <c r="G338" s="7183"/>
      <c r="H338" s="7183"/>
      <c r="I338" s="7183"/>
      <c r="J338" s="7183"/>
      <c r="K338" s="7183"/>
      <c r="L338" s="7183"/>
      <c r="M338" s="7183"/>
      <c r="N338" s="7184"/>
      <c r="O338" s="2707"/>
      <c r="P338" s="2707"/>
      <c r="Q338" s="2707"/>
      <c r="R338" s="54"/>
      <c r="S338" s="54"/>
      <c r="T338" s="54"/>
      <c r="U338" s="54"/>
      <c r="V338" s="54"/>
      <c r="W338" s="54"/>
      <c r="X338" s="54"/>
      <c r="Y338" s="54"/>
      <c r="Z338" s="54"/>
      <c r="AA338" s="3">
        <v>1</v>
      </c>
    </row>
    <row r="339" spans="1:27" s="2684" customFormat="1" ht="21" customHeight="1">
      <c r="A339" s="7225"/>
      <c r="B339" s="3123" t="s">
        <v>207</v>
      </c>
      <c r="C339" s="7185" t="str">
        <f ca="1">CELL("nomfichier")</f>
        <v>D:\Données\1.UPRT\0-UPRT.fait\1-UPRT.FR-SITE-WEB\ff-fiches-fabrications\ff.fiches.fabrication.2023\ffr.restaurant.2023\[ff.FICHE.TRILINGUE.20.COLONNES.05.01.2026.xlsx]Couleurs.pour.vos.documents</v>
      </c>
      <c r="D339" s="7185"/>
      <c r="E339" s="7185"/>
      <c r="F339" s="7185"/>
      <c r="G339" s="7185"/>
      <c r="H339" s="7185"/>
      <c r="I339" s="7185"/>
      <c r="J339" s="7185"/>
      <c r="K339" s="7185"/>
      <c r="L339" s="7185"/>
      <c r="M339" s="7185"/>
      <c r="N339" s="7186"/>
      <c r="O339" s="2707"/>
      <c r="P339" s="2707"/>
      <c r="Q339" s="2707"/>
      <c r="R339" s="54"/>
      <c r="S339" s="54"/>
      <c r="T339" s="54"/>
      <c r="U339" s="54"/>
      <c r="V339" s="54"/>
      <c r="W339" s="54"/>
      <c r="X339" s="54"/>
      <c r="Y339" s="54"/>
      <c r="Z339" s="54"/>
      <c r="AA339" s="3">
        <v>1</v>
      </c>
    </row>
    <row r="340" spans="1:27" s="2684" customFormat="1" ht="21" customHeight="1">
      <c r="A340" s="7225"/>
      <c r="B340" s="3124" t="s">
        <v>10451</v>
      </c>
      <c r="C340" s="7187" t="s">
        <v>10452</v>
      </c>
      <c r="D340" s="7187"/>
      <c r="E340" s="7187"/>
      <c r="F340" s="7187"/>
      <c r="G340" s="7187"/>
      <c r="H340" s="7187"/>
      <c r="I340" s="7187"/>
      <c r="J340" s="7187"/>
      <c r="K340" s="7187"/>
      <c r="L340" s="7187"/>
      <c r="M340" s="7187"/>
      <c r="N340" s="7188"/>
      <c r="O340" s="2707"/>
      <c r="P340" s="2707"/>
      <c r="Q340" s="2707"/>
      <c r="R340" s="54"/>
      <c r="S340" s="54"/>
      <c r="T340" s="54"/>
      <c r="U340" s="54"/>
      <c r="V340" s="54"/>
      <c r="W340" s="54"/>
      <c r="X340" s="54"/>
      <c r="Y340" s="54"/>
      <c r="Z340" s="54"/>
      <c r="AA340" s="3">
        <v>1</v>
      </c>
    </row>
    <row r="341" spans="1:27" s="2684" customFormat="1" ht="21" customHeight="1" thickBot="1">
      <c r="A341" s="7225"/>
      <c r="B341" s="7189" t="s">
        <v>10368</v>
      </c>
      <c r="C341" s="7190"/>
      <c r="D341" s="7190"/>
      <c r="E341" s="7190"/>
      <c r="F341" s="7190"/>
      <c r="G341" s="7190"/>
      <c r="H341" s="7190"/>
      <c r="I341" s="7190"/>
      <c r="J341" s="7190"/>
      <c r="K341" s="7190"/>
      <c r="L341" s="7190"/>
      <c r="M341" s="7190"/>
      <c r="N341" s="7191"/>
      <c r="O341" s="2707"/>
      <c r="P341" s="2707"/>
      <c r="Q341" s="2707"/>
      <c r="R341" s="54"/>
      <c r="S341" s="54"/>
      <c r="T341" s="54"/>
      <c r="U341" s="54"/>
      <c r="V341" s="54"/>
      <c r="W341" s="54"/>
      <c r="X341" s="54"/>
      <c r="Y341" s="54"/>
      <c r="Z341" s="54"/>
      <c r="AA341" s="3">
        <v>1</v>
      </c>
    </row>
    <row r="342" spans="1:27" s="2684" customFormat="1" ht="21" customHeight="1">
      <c r="A342" s="2707"/>
      <c r="B342" s="2733"/>
      <c r="C342" s="2733"/>
      <c r="D342" s="2733"/>
      <c r="E342" s="2733"/>
      <c r="F342" s="2733"/>
      <c r="G342" s="2733"/>
      <c r="H342" s="2708"/>
      <c r="I342" s="2742"/>
      <c r="J342" s="2742"/>
      <c r="K342" s="2743"/>
      <c r="L342" s="2743"/>
      <c r="M342" s="2742"/>
      <c r="N342" s="2742"/>
      <c r="O342" s="2707"/>
      <c r="P342" s="2707"/>
      <c r="Q342" s="2707"/>
      <c r="R342" s="54"/>
      <c r="S342" s="54"/>
      <c r="T342" s="54"/>
      <c r="U342" s="54"/>
      <c r="V342" s="54"/>
      <c r="W342" s="54"/>
      <c r="X342" s="54"/>
      <c r="Y342" s="54"/>
      <c r="Z342" s="54"/>
      <c r="AA342" s="3">
        <v>1</v>
      </c>
    </row>
    <row r="343" spans="1:27" s="2684" customFormat="1" ht="21" customHeight="1" thickBot="1">
      <c r="A343" s="2707"/>
      <c r="B343" s="2733"/>
      <c r="C343" s="2733"/>
      <c r="D343" s="2733"/>
      <c r="E343" s="2733"/>
      <c r="F343" s="2733"/>
      <c r="G343" s="2733"/>
      <c r="H343" s="2708"/>
      <c r="I343" s="2742"/>
      <c r="J343" s="2742"/>
      <c r="K343" s="2743"/>
      <c r="L343" s="2743"/>
      <c r="M343" s="2742"/>
      <c r="N343" s="2742"/>
      <c r="O343" s="2707"/>
      <c r="P343" s="2707"/>
      <c r="Q343" s="2707"/>
      <c r="R343" s="54"/>
      <c r="S343" s="54"/>
      <c r="T343" s="54"/>
      <c r="U343" s="54"/>
      <c r="V343" s="54"/>
      <c r="W343" s="54"/>
      <c r="X343" s="54"/>
      <c r="Y343" s="54"/>
      <c r="Z343" s="54"/>
      <c r="AA343" s="3">
        <v>1</v>
      </c>
    </row>
    <row r="344" spans="1:27" s="2684" customFormat="1" ht="21" customHeight="1">
      <c r="A344" s="5839" t="s">
        <v>166</v>
      </c>
      <c r="B344" s="3146" t="s">
        <v>10266</v>
      </c>
      <c r="C344" s="3147"/>
      <c r="D344" s="3148"/>
      <c r="E344" s="3149"/>
      <c r="F344" s="2707"/>
      <c r="G344" s="5795" t="s">
        <v>166</v>
      </c>
      <c r="H344" s="3150" t="s">
        <v>10256</v>
      </c>
      <c r="I344" s="3151"/>
      <c r="J344" s="3152"/>
      <c r="K344" s="3152"/>
      <c r="L344" s="3152"/>
      <c r="M344" s="3152"/>
      <c r="N344" s="3153"/>
      <c r="O344" s="2707"/>
      <c r="P344" s="2707"/>
      <c r="Q344" s="2707"/>
      <c r="R344" s="54"/>
      <c r="S344" s="54"/>
      <c r="T344" s="54"/>
      <c r="U344" s="54"/>
      <c r="V344" s="54"/>
      <c r="W344" s="54"/>
      <c r="X344" s="54"/>
      <c r="Y344" s="54"/>
      <c r="Z344" s="54"/>
      <c r="AA344" s="3">
        <v>1</v>
      </c>
    </row>
    <row r="345" spans="1:27" s="2684" customFormat="1" ht="21" customHeight="1">
      <c r="A345" s="7129" t="str">
        <f>B344</f>
        <v xml:space="preserve">Quantités nettes à prévoir : Mater Prim Adul Adul +  </v>
      </c>
      <c r="B345" s="5757" t="str">
        <f>ADDRESS(ROW(),COLUMN(),4)</f>
        <v>B345</v>
      </c>
      <c r="C345" s="2615" t="s">
        <v>9521</v>
      </c>
      <c r="D345" s="2729"/>
      <c r="E345" s="2732"/>
      <c r="F345" s="2707"/>
      <c r="G345" s="7129" t="str">
        <f>H344</f>
        <v>PURÉE DÉSHYDRATÉE</v>
      </c>
      <c r="H345" s="5757" t="str">
        <f>ADDRESS(ROW(),COLUMN(),4)</f>
        <v>H345</v>
      </c>
      <c r="I345" s="2615" t="s">
        <v>9521</v>
      </c>
      <c r="J345" s="2729"/>
      <c r="K345" s="2668"/>
      <c r="L345" s="2668"/>
      <c r="M345" s="2668"/>
      <c r="N345" s="2738"/>
      <c r="O345" s="2707"/>
      <c r="P345" s="2707"/>
      <c r="Q345" s="2707"/>
      <c r="R345" s="54"/>
      <c r="S345" s="54"/>
      <c r="T345" s="54"/>
      <c r="U345" s="54"/>
      <c r="V345" s="54"/>
      <c r="W345" s="54"/>
      <c r="X345" s="54"/>
      <c r="Y345" s="54"/>
      <c r="Z345" s="54"/>
      <c r="AA345" s="3">
        <v>1</v>
      </c>
    </row>
    <row r="346" spans="1:27" s="2684" customFormat="1" ht="21" customHeight="1">
      <c r="A346" s="7129"/>
      <c r="B346" s="7192" t="s">
        <v>10461</v>
      </c>
      <c r="C346" s="7193"/>
      <c r="D346" s="7196" t="s">
        <v>10462</v>
      </c>
      <c r="E346" s="7198">
        <f>(B348*B351)+(C348*C351)+(D348*D351)+(E348*E351)</f>
        <v>228.85000000000002</v>
      </c>
      <c r="F346" s="2707"/>
      <c r="G346" s="7129"/>
      <c r="H346" s="3154" t="s">
        <v>10463</v>
      </c>
      <c r="I346" s="3155" t="s">
        <v>9544</v>
      </c>
      <c r="J346" s="3155" t="s">
        <v>10464</v>
      </c>
      <c r="K346" s="3155" t="s">
        <v>10465</v>
      </c>
      <c r="L346" s="3155" t="s">
        <v>10466</v>
      </c>
      <c r="M346" s="3155" t="s">
        <v>9737</v>
      </c>
      <c r="N346" s="3156" t="s">
        <v>10467</v>
      </c>
      <c r="O346" s="2707"/>
      <c r="P346" s="2707"/>
      <c r="Q346" s="2707"/>
      <c r="R346" s="54"/>
      <c r="S346" s="54"/>
      <c r="T346" s="54"/>
      <c r="U346" s="54"/>
      <c r="V346" s="54"/>
      <c r="W346" s="54"/>
      <c r="X346" s="54"/>
      <c r="Y346" s="54"/>
      <c r="Z346" s="54"/>
      <c r="AA346" s="3">
        <v>1</v>
      </c>
    </row>
    <row r="347" spans="1:27" s="2684" customFormat="1" ht="21" customHeight="1">
      <c r="A347" s="7129"/>
      <c r="B347" s="7194"/>
      <c r="C347" s="7195"/>
      <c r="D347" s="7197"/>
      <c r="E347" s="7199"/>
      <c r="F347" s="2707"/>
      <c r="G347" s="7129"/>
      <c r="H347" s="7200">
        <v>0.12</v>
      </c>
      <c r="I347" s="7176">
        <v>1</v>
      </c>
      <c r="J347" s="7176">
        <v>0.11</v>
      </c>
      <c r="K347" s="7176">
        <v>0</v>
      </c>
      <c r="L347" s="7176">
        <v>0.01</v>
      </c>
      <c r="M347" s="7176">
        <v>5.0000000000000001E-3</v>
      </c>
      <c r="N347" s="7177">
        <f>SUM(H347:M347)</f>
        <v>1.2450000000000001</v>
      </c>
      <c r="O347" s="2707"/>
      <c r="P347" s="2707"/>
      <c r="Q347" s="2707"/>
      <c r="R347" s="54"/>
      <c r="S347" s="54"/>
      <c r="T347" s="54"/>
      <c r="U347" s="54"/>
      <c r="V347" s="54"/>
      <c r="W347" s="54"/>
      <c r="X347" s="54"/>
      <c r="Y347" s="54"/>
      <c r="Z347" s="54"/>
      <c r="AA347" s="3">
        <v>1</v>
      </c>
    </row>
    <row r="348" spans="1:27" s="2684" customFormat="1" ht="21" customHeight="1">
      <c r="A348" s="7129"/>
      <c r="B348" s="7211">
        <v>6.5000000000000002E-2</v>
      </c>
      <c r="C348" s="7213">
        <v>7.4999999999999997E-2</v>
      </c>
      <c r="D348" s="7213">
        <v>0.12</v>
      </c>
      <c r="E348" s="7215">
        <v>0.15</v>
      </c>
      <c r="F348" s="2707"/>
      <c r="G348" s="7129"/>
      <c r="H348" s="7200"/>
      <c r="I348" s="7176"/>
      <c r="J348" s="7176"/>
      <c r="K348" s="7176"/>
      <c r="L348" s="7176"/>
      <c r="M348" s="7176"/>
      <c r="N348" s="7177"/>
      <c r="O348" s="2707"/>
      <c r="P348" s="2707"/>
      <c r="Q348" s="2707"/>
      <c r="R348" s="54"/>
      <c r="S348" s="54"/>
      <c r="T348" s="54"/>
      <c r="U348" s="54"/>
      <c r="V348" s="54"/>
      <c r="W348" s="54"/>
      <c r="X348" s="54"/>
      <c r="Y348" s="54"/>
      <c r="Z348" s="54"/>
      <c r="AA348" s="3">
        <v>1</v>
      </c>
    </row>
    <row r="349" spans="1:27" s="2684" customFormat="1" ht="21" customHeight="1">
      <c r="A349" s="7129"/>
      <c r="B349" s="7212"/>
      <c r="C349" s="7214"/>
      <c r="D349" s="7214"/>
      <c r="E349" s="7216"/>
      <c r="F349" s="2707"/>
      <c r="G349" s="7129"/>
      <c r="H349" s="7174">
        <f>(H347/N347)*N349</f>
        <v>2.1204819277108431</v>
      </c>
      <c r="I349" s="7175">
        <f>(I347/N347)*N349</f>
        <v>17.670682730923691</v>
      </c>
      <c r="J349" s="7175">
        <f>(J347/N347)*N349</f>
        <v>1.9437751004016062</v>
      </c>
      <c r="K349" s="7175">
        <f>(K347/N347)*N349</f>
        <v>0</v>
      </c>
      <c r="L349" s="7175">
        <f>(L347/N347)*N349</f>
        <v>0.17670682730923692</v>
      </c>
      <c r="M349" s="7175">
        <f>(M347/N347)*N349</f>
        <v>8.8353413654618462E-2</v>
      </c>
      <c r="N349" s="7201">
        <v>22</v>
      </c>
      <c r="O349" s="2707"/>
      <c r="P349" s="2707"/>
      <c r="Q349" s="2707"/>
      <c r="R349" s="54"/>
      <c r="S349" s="54"/>
      <c r="T349" s="54"/>
      <c r="U349" s="54"/>
      <c r="V349" s="54"/>
      <c r="W349" s="54"/>
      <c r="X349" s="54"/>
      <c r="Y349" s="54"/>
      <c r="Z349" s="54"/>
      <c r="AA349" s="3">
        <v>1</v>
      </c>
    </row>
    <row r="350" spans="1:27" s="2684" customFormat="1" ht="21" customHeight="1">
      <c r="A350" s="7129"/>
      <c r="B350" s="3157" t="s">
        <v>8187</v>
      </c>
      <c r="C350" s="3158" t="s">
        <v>8188</v>
      </c>
      <c r="D350" s="3158" t="s">
        <v>10468</v>
      </c>
      <c r="E350" s="3159" t="s">
        <v>10333</v>
      </c>
      <c r="F350" s="2707"/>
      <c r="G350" s="7129"/>
      <c r="H350" s="7174"/>
      <c r="I350" s="7175"/>
      <c r="J350" s="7175"/>
      <c r="K350" s="7175"/>
      <c r="L350" s="7175"/>
      <c r="M350" s="7175"/>
      <c r="N350" s="7201"/>
      <c r="O350" s="2707"/>
      <c r="P350" s="2707"/>
      <c r="Q350" s="2707"/>
      <c r="R350" s="54"/>
      <c r="S350" s="54"/>
      <c r="T350" s="54"/>
      <c r="U350" s="54"/>
      <c r="V350" s="54"/>
      <c r="W350" s="54"/>
      <c r="X350" s="54"/>
      <c r="Y350" s="54"/>
      <c r="Z350" s="54"/>
      <c r="AA350" s="3">
        <v>1</v>
      </c>
    </row>
    <row r="351" spans="1:27" s="2684" customFormat="1" ht="21" customHeight="1">
      <c r="A351" s="7129"/>
      <c r="B351" s="7202">
        <v>920</v>
      </c>
      <c r="C351" s="7204">
        <v>1700</v>
      </c>
      <c r="D351" s="7204">
        <v>240</v>
      </c>
      <c r="E351" s="7206">
        <v>85</v>
      </c>
      <c r="F351" s="2707"/>
      <c r="G351" s="7129"/>
      <c r="H351" s="7208" t="s">
        <v>10469</v>
      </c>
      <c r="I351" s="7209"/>
      <c r="J351" s="7209"/>
      <c r="K351" s="7209"/>
      <c r="L351" s="7209"/>
      <c r="M351" s="7209"/>
      <c r="N351" s="7210"/>
      <c r="O351" s="2707"/>
      <c r="P351" s="2707"/>
      <c r="Q351" s="2707"/>
      <c r="R351" s="54"/>
      <c r="S351" s="54"/>
      <c r="T351" s="54"/>
      <c r="U351" s="54"/>
      <c r="V351" s="54"/>
      <c r="W351" s="54"/>
      <c r="X351" s="54"/>
      <c r="Y351" s="54"/>
      <c r="Z351" s="54"/>
      <c r="AA351" s="3">
        <v>1</v>
      </c>
    </row>
    <row r="352" spans="1:27" s="2684" customFormat="1" ht="21" customHeight="1">
      <c r="A352" s="7129"/>
      <c r="B352" s="7203"/>
      <c r="C352" s="7205"/>
      <c r="D352" s="7205"/>
      <c r="E352" s="7207"/>
      <c r="F352" s="2707"/>
      <c r="G352" s="7129"/>
      <c r="H352" s="7172">
        <f t="shared" ref="H352:M352" si="3">ROUNDUP(H349,2)</f>
        <v>2.13</v>
      </c>
      <c r="I352" s="7173">
        <f t="shared" si="3"/>
        <v>17.680000000000003</v>
      </c>
      <c r="J352" s="7173">
        <f t="shared" si="3"/>
        <v>1.95</v>
      </c>
      <c r="K352" s="7173">
        <f t="shared" si="3"/>
        <v>0</v>
      </c>
      <c r="L352" s="7173">
        <f t="shared" si="3"/>
        <v>0.18000000000000002</v>
      </c>
      <c r="M352" s="7173">
        <f t="shared" si="3"/>
        <v>0.09</v>
      </c>
      <c r="N352" s="7178">
        <f>SUM(H352:M352)</f>
        <v>22.03</v>
      </c>
      <c r="O352" s="2707"/>
      <c r="P352" s="2707"/>
      <c r="Q352" s="2707"/>
      <c r="R352" s="54"/>
      <c r="S352" s="54"/>
      <c r="T352" s="54"/>
      <c r="U352" s="54"/>
      <c r="V352" s="54"/>
      <c r="W352" s="54"/>
      <c r="X352" s="54"/>
      <c r="Y352" s="54"/>
      <c r="Z352" s="54"/>
      <c r="AA352" s="3">
        <v>1</v>
      </c>
    </row>
    <row r="353" spans="1:27" s="2684" customFormat="1" ht="21" customHeight="1">
      <c r="A353" s="7129"/>
      <c r="B353" s="7161" t="s">
        <v>10470</v>
      </c>
      <c r="C353" s="7163">
        <f>SUM(B351:E351)</f>
        <v>2945</v>
      </c>
      <c r="D353" s="7165" t="s">
        <v>10471</v>
      </c>
      <c r="E353" s="7167">
        <f>IF(E346=0,0,E346/D348)</f>
        <v>1907.0833333333335</v>
      </c>
      <c r="F353" s="2707"/>
      <c r="G353" s="7129"/>
      <c r="H353" s="7172"/>
      <c r="I353" s="7173"/>
      <c r="J353" s="7173"/>
      <c r="K353" s="7173"/>
      <c r="L353" s="7173"/>
      <c r="M353" s="7173"/>
      <c r="N353" s="7178"/>
      <c r="O353" s="2707"/>
      <c r="P353" s="2707"/>
      <c r="Q353" s="2707"/>
      <c r="R353" s="54"/>
      <c r="S353" s="54"/>
      <c r="T353" s="54"/>
      <c r="U353" s="54"/>
      <c r="V353" s="54"/>
      <c r="W353" s="54"/>
      <c r="X353" s="54"/>
      <c r="Y353" s="54"/>
      <c r="Z353" s="54"/>
      <c r="AA353" s="3">
        <v>1</v>
      </c>
    </row>
    <row r="354" spans="1:27" s="2684" customFormat="1" ht="21" customHeight="1" thickBot="1">
      <c r="A354" s="7129"/>
      <c r="B354" s="7162"/>
      <c r="C354" s="7164"/>
      <c r="D354" s="7166"/>
      <c r="E354" s="7168"/>
      <c r="F354" s="2707"/>
      <c r="G354" s="7129"/>
      <c r="H354" s="7169" t="s">
        <v>10472</v>
      </c>
      <c r="I354" s="7170"/>
      <c r="J354" s="7170"/>
      <c r="K354" s="7170"/>
      <c r="L354" s="7170"/>
      <c r="M354" s="7170"/>
      <c r="N354" s="7171"/>
      <c r="O354" s="2707"/>
      <c r="P354" s="2707"/>
      <c r="Q354" s="2707"/>
      <c r="R354" s="54"/>
      <c r="S354" s="54"/>
      <c r="T354" s="54"/>
      <c r="U354" s="54"/>
      <c r="V354" s="54"/>
      <c r="W354" s="54"/>
      <c r="X354" s="54"/>
      <c r="Y354" s="54"/>
      <c r="Z354" s="54"/>
      <c r="AA354" s="3">
        <v>1</v>
      </c>
    </row>
    <row r="355" spans="1:27" s="2684" customFormat="1" ht="21" customHeight="1" thickBot="1">
      <c r="A355" s="7129"/>
      <c r="B355" s="7152" t="s">
        <v>9546</v>
      </c>
      <c r="C355" s="7153"/>
      <c r="D355" s="7153"/>
      <c r="E355" s="7154"/>
      <c r="F355" s="2707"/>
      <c r="G355" s="7129"/>
      <c r="H355" s="7152" t="s">
        <v>9546</v>
      </c>
      <c r="I355" s="7153"/>
      <c r="J355" s="7153"/>
      <c r="K355" s="7153"/>
      <c r="L355" s="2447"/>
      <c r="M355" s="2447"/>
      <c r="N355" s="2448"/>
      <c r="O355" s="2708"/>
      <c r="P355" s="2708"/>
      <c r="Q355" s="2708"/>
      <c r="R355" s="54"/>
      <c r="S355" s="54"/>
      <c r="T355" s="54"/>
      <c r="U355" s="54"/>
      <c r="V355" s="54"/>
      <c r="W355" s="54"/>
      <c r="X355" s="54"/>
      <c r="Y355" s="54"/>
      <c r="Z355" s="54"/>
      <c r="AA355" s="3">
        <v>1</v>
      </c>
    </row>
    <row r="356" spans="1:27" s="2684" customFormat="1" ht="21" customHeight="1" thickBot="1">
      <c r="A356" s="2707"/>
      <c r="B356" s="2708"/>
      <c r="C356" s="2708"/>
      <c r="D356" s="2708"/>
      <c r="E356" s="2708"/>
      <c r="F356" s="2708"/>
      <c r="G356" s="2708"/>
      <c r="H356" s="2708"/>
      <c r="I356" s="2708"/>
      <c r="J356" s="2708"/>
      <c r="K356" s="2708"/>
      <c r="L356" s="2708"/>
      <c r="M356" s="2708"/>
      <c r="N356" s="2708"/>
      <c r="O356" s="2708"/>
      <c r="P356" s="2708"/>
      <c r="Q356" s="2708"/>
      <c r="R356" s="54"/>
      <c r="S356" s="54"/>
      <c r="T356" s="54"/>
      <c r="U356" s="54"/>
      <c r="V356" s="54"/>
      <c r="W356" s="54"/>
      <c r="X356" s="54"/>
      <c r="Y356" s="54"/>
      <c r="Z356" s="54"/>
      <c r="AA356" s="3">
        <v>1</v>
      </c>
    </row>
    <row r="357" spans="1:27" s="2684" customFormat="1" ht="21" customHeight="1">
      <c r="A357" s="5839" t="s">
        <v>166</v>
      </c>
      <c r="B357" s="7125" t="str">
        <f>B359</f>
        <v>Gélatine alimentaire</v>
      </c>
      <c r="C357" s="7126"/>
      <c r="D357" s="7126"/>
      <c r="E357" s="7126"/>
      <c r="F357" s="7126"/>
      <c r="G357" s="7126"/>
      <c r="H357" s="7126"/>
      <c r="I357" s="7126"/>
      <c r="J357" s="7126"/>
      <c r="K357" s="7126"/>
      <c r="L357" s="7126"/>
      <c r="M357" s="7126"/>
      <c r="N357" s="7127"/>
      <c r="O357" s="2707"/>
      <c r="P357" s="2707"/>
      <c r="Q357" s="2707"/>
      <c r="R357" s="54"/>
      <c r="S357" s="54"/>
      <c r="T357" s="54"/>
      <c r="U357" s="54"/>
      <c r="V357" s="54"/>
      <c r="W357" s="54"/>
      <c r="X357" s="54"/>
      <c r="Y357" s="54"/>
      <c r="Z357" s="54"/>
      <c r="AA357" s="3">
        <v>1</v>
      </c>
    </row>
    <row r="358" spans="1:27" s="2684" customFormat="1" ht="21" customHeight="1">
      <c r="A358" s="7128" t="str">
        <f>B359</f>
        <v>Gélatine alimentaire</v>
      </c>
      <c r="B358" s="5757" t="str">
        <f>ADDRESS(ROW(),COLUMN(),4)</f>
        <v>B358</v>
      </c>
      <c r="C358" s="2615" t="s">
        <v>9521</v>
      </c>
      <c r="D358" s="2729"/>
      <c r="E358" s="2729"/>
      <c r="F358" s="2729"/>
      <c r="G358" s="2729"/>
      <c r="H358" s="2729"/>
      <c r="I358" s="2729"/>
      <c r="J358" s="2729"/>
      <c r="K358" s="2729"/>
      <c r="L358" s="2729"/>
      <c r="M358" s="2729"/>
      <c r="N358" s="5855"/>
      <c r="O358" s="2707"/>
      <c r="P358" s="2707"/>
      <c r="Q358" s="2707"/>
      <c r="R358" s="54"/>
      <c r="S358" s="54"/>
      <c r="T358" s="54"/>
      <c r="U358" s="54"/>
      <c r="V358" s="54"/>
      <c r="W358" s="54"/>
      <c r="X358" s="54"/>
      <c r="Y358" s="54"/>
      <c r="Z358" s="54"/>
      <c r="AA358" s="3">
        <v>1</v>
      </c>
    </row>
    <row r="359" spans="1:27" s="2684" customFormat="1" ht="21" customHeight="1">
      <c r="A359" s="7129"/>
      <c r="B359" s="7130" t="s">
        <v>10255</v>
      </c>
      <c r="C359" s="7131"/>
      <c r="D359" s="7131"/>
      <c r="E359" s="7131"/>
      <c r="F359" s="7131"/>
      <c r="G359" s="7131"/>
      <c r="H359" s="7131"/>
      <c r="I359" s="7131"/>
      <c r="J359" s="7131"/>
      <c r="K359" s="7131"/>
      <c r="L359" s="7131"/>
      <c r="M359" s="7131"/>
      <c r="N359" s="7132"/>
      <c r="O359" s="2707"/>
      <c r="P359" s="2707"/>
      <c r="Q359" s="2707"/>
      <c r="R359" s="54"/>
      <c r="S359" s="54"/>
      <c r="T359" s="54"/>
      <c r="U359" s="54"/>
      <c r="V359" s="54"/>
      <c r="W359" s="54"/>
      <c r="X359" s="54"/>
      <c r="Y359" s="54"/>
      <c r="Z359" s="54"/>
      <c r="AA359" s="3">
        <v>1</v>
      </c>
    </row>
    <row r="360" spans="1:27" s="2684" customFormat="1" ht="21" customHeight="1">
      <c r="A360" s="7129"/>
      <c r="B360" s="7130"/>
      <c r="C360" s="7131"/>
      <c r="D360" s="7131"/>
      <c r="E360" s="7131"/>
      <c r="F360" s="7131"/>
      <c r="G360" s="7131"/>
      <c r="H360" s="7131"/>
      <c r="I360" s="7131"/>
      <c r="J360" s="7131"/>
      <c r="K360" s="7131"/>
      <c r="L360" s="7131"/>
      <c r="M360" s="7131"/>
      <c r="N360" s="7132"/>
      <c r="O360" s="2707"/>
      <c r="P360" s="2707"/>
      <c r="Q360" s="2707"/>
      <c r="R360" s="54"/>
      <c r="S360" s="54"/>
      <c r="T360" s="54"/>
      <c r="U360" s="54"/>
      <c r="V360" s="54"/>
      <c r="W360" s="54"/>
      <c r="X360" s="54"/>
      <c r="Y360" s="54"/>
      <c r="Z360" s="54"/>
      <c r="AA360" s="3">
        <v>1</v>
      </c>
    </row>
    <row r="361" spans="1:27" s="2684" customFormat="1" ht="21" customHeight="1">
      <c r="A361" s="7129"/>
      <c r="B361" s="7133" t="s">
        <v>10473</v>
      </c>
      <c r="C361" s="7134"/>
      <c r="D361" s="7134"/>
      <c r="E361" s="7134"/>
      <c r="F361" s="7134"/>
      <c r="G361" s="7134"/>
      <c r="H361" s="7134"/>
      <c r="I361" s="7134"/>
      <c r="J361" s="7134"/>
      <c r="K361" s="7134"/>
      <c r="L361" s="7134"/>
      <c r="M361" s="7134"/>
      <c r="N361" s="7135"/>
      <c r="O361" s="2707"/>
      <c r="P361" s="2707"/>
      <c r="Q361" s="2707"/>
      <c r="R361" s="54"/>
      <c r="S361" s="54"/>
      <c r="T361" s="54"/>
      <c r="U361" s="54"/>
      <c r="V361" s="54"/>
      <c r="W361" s="54"/>
      <c r="X361" s="54"/>
      <c r="Y361" s="54"/>
      <c r="Z361" s="54"/>
      <c r="AA361" s="3">
        <v>1</v>
      </c>
    </row>
    <row r="362" spans="1:27" s="2684" customFormat="1" ht="21" customHeight="1">
      <c r="A362" s="7129"/>
      <c r="B362" s="7136"/>
      <c r="C362" s="7137"/>
      <c r="D362" s="7137"/>
      <c r="E362" s="7137"/>
      <c r="F362" s="7137"/>
      <c r="G362" s="7137"/>
      <c r="H362" s="7137"/>
      <c r="I362" s="7137"/>
      <c r="J362" s="7137"/>
      <c r="K362" s="7137"/>
      <c r="L362" s="7137"/>
      <c r="M362" s="7137"/>
      <c r="N362" s="7138"/>
      <c r="O362" s="2707"/>
      <c r="P362" s="2707"/>
      <c r="Q362" s="2707"/>
      <c r="R362" s="54"/>
      <c r="S362" s="54"/>
      <c r="T362" s="54"/>
      <c r="U362" s="54"/>
      <c r="V362" s="54"/>
      <c r="W362" s="54"/>
      <c r="X362" s="54"/>
      <c r="Y362" s="54"/>
      <c r="Z362" s="54"/>
      <c r="AA362" s="3">
        <v>1</v>
      </c>
    </row>
    <row r="363" spans="1:27" s="2684" customFormat="1" ht="21" customHeight="1">
      <c r="A363" s="7129"/>
      <c r="B363" s="3160"/>
      <c r="C363" s="3161"/>
      <c r="D363" s="3161"/>
      <c r="E363" s="3161"/>
      <c r="F363" s="3161"/>
      <c r="G363" s="3161"/>
      <c r="H363" s="3161"/>
      <c r="I363" s="3161"/>
      <c r="J363" s="3161"/>
      <c r="K363" s="3161"/>
      <c r="L363" s="3161"/>
      <c r="M363" s="3161"/>
      <c r="N363" s="5856" t="s">
        <v>10474</v>
      </c>
      <c r="O363" s="2707"/>
      <c r="P363" s="2707"/>
      <c r="Q363" s="2707"/>
      <c r="R363" s="54"/>
      <c r="S363" s="54"/>
      <c r="T363" s="54"/>
      <c r="U363" s="54"/>
      <c r="V363" s="54"/>
      <c r="W363" s="54"/>
      <c r="X363" s="54"/>
      <c r="Y363" s="54"/>
      <c r="Z363" s="54"/>
      <c r="AA363" s="3">
        <v>1</v>
      </c>
    </row>
    <row r="364" spans="1:27" s="2684" customFormat="1" ht="21" customHeight="1">
      <c r="A364" s="7129"/>
      <c r="B364" s="3160"/>
      <c r="C364" s="3162" t="s">
        <v>10475</v>
      </c>
      <c r="D364" s="3161"/>
      <c r="E364" s="3161"/>
      <c r="F364" s="3161"/>
      <c r="G364" s="3161"/>
      <c r="H364" s="3161"/>
      <c r="I364" s="3161"/>
      <c r="J364" s="3161"/>
      <c r="K364" s="3161"/>
      <c r="L364" s="3161"/>
      <c r="M364" s="3161"/>
      <c r="N364" s="3163"/>
      <c r="O364" s="2707"/>
      <c r="P364" s="2707"/>
      <c r="Q364" s="2707"/>
      <c r="R364" s="54"/>
      <c r="S364" s="54"/>
      <c r="T364" s="54"/>
      <c r="U364" s="54"/>
      <c r="V364" s="54"/>
      <c r="W364" s="54"/>
      <c r="X364" s="54"/>
      <c r="Y364" s="54"/>
      <c r="Z364" s="54"/>
      <c r="AA364" s="3">
        <v>1</v>
      </c>
    </row>
    <row r="365" spans="1:27" s="2684" customFormat="1" ht="21" customHeight="1">
      <c r="A365" s="7129"/>
      <c r="B365" s="3160"/>
      <c r="C365" s="3162" t="s">
        <v>10476</v>
      </c>
      <c r="D365" s="3161"/>
      <c r="E365" s="3161"/>
      <c r="F365" s="3161"/>
      <c r="G365" s="3161"/>
      <c r="H365" s="3161"/>
      <c r="I365" s="3161"/>
      <c r="J365" s="3161"/>
      <c r="K365" s="3161"/>
      <c r="L365" s="3161"/>
      <c r="M365" s="3161"/>
      <c r="N365" s="3163"/>
      <c r="O365" s="2707"/>
      <c r="P365" s="2707"/>
      <c r="Q365" s="2707"/>
      <c r="R365" s="54"/>
      <c r="S365" s="54"/>
      <c r="T365" s="54"/>
      <c r="U365" s="54"/>
      <c r="V365" s="54"/>
      <c r="W365" s="54"/>
      <c r="X365" s="54"/>
      <c r="Y365" s="54"/>
      <c r="Z365" s="54"/>
      <c r="AA365" s="3">
        <v>1</v>
      </c>
    </row>
    <row r="366" spans="1:27" s="2684" customFormat="1" ht="21" customHeight="1">
      <c r="A366" s="7129"/>
      <c r="B366" s="3160"/>
      <c r="C366" s="3162" t="s">
        <v>10477</v>
      </c>
      <c r="D366" s="3161"/>
      <c r="E366" s="3161"/>
      <c r="F366" s="3161"/>
      <c r="G366" s="3161"/>
      <c r="H366" s="3161"/>
      <c r="I366" s="3161"/>
      <c r="J366" s="3161"/>
      <c r="K366" s="3161"/>
      <c r="L366" s="3161"/>
      <c r="M366" s="3161"/>
      <c r="N366" s="3163"/>
      <c r="O366" s="2707"/>
      <c r="P366" s="2707"/>
      <c r="Q366" s="2707"/>
      <c r="R366" s="54"/>
      <c r="S366" s="54"/>
      <c r="T366" s="54"/>
      <c r="U366" s="54"/>
      <c r="V366" s="54"/>
      <c r="W366" s="54"/>
      <c r="X366" s="54"/>
      <c r="Y366" s="54"/>
      <c r="Z366" s="54"/>
      <c r="AA366" s="3">
        <v>1</v>
      </c>
    </row>
    <row r="367" spans="1:27" s="2684" customFormat="1" ht="21" customHeight="1">
      <c r="A367" s="7129"/>
      <c r="B367" s="3160"/>
      <c r="C367" s="3162" t="s">
        <v>10478</v>
      </c>
      <c r="D367" s="3161"/>
      <c r="E367" s="3161"/>
      <c r="F367" s="3161"/>
      <c r="G367" s="3161"/>
      <c r="H367" s="3161"/>
      <c r="I367" s="3161"/>
      <c r="J367" s="3161"/>
      <c r="K367" s="3161"/>
      <c r="L367" s="3161"/>
      <c r="M367" s="3161"/>
      <c r="N367" s="3163"/>
      <c r="O367" s="2707"/>
      <c r="P367" s="2707"/>
      <c r="Q367" s="2707"/>
      <c r="R367" s="54"/>
      <c r="S367" s="54"/>
      <c r="T367" s="54"/>
      <c r="U367" s="54"/>
      <c r="V367" s="54"/>
      <c r="W367" s="54"/>
      <c r="X367" s="54"/>
      <c r="Y367" s="54"/>
      <c r="Z367" s="54"/>
      <c r="AA367" s="3">
        <v>1</v>
      </c>
    </row>
    <row r="368" spans="1:27" s="2684" customFormat="1" ht="21" customHeight="1">
      <c r="A368" s="7129"/>
      <c r="B368" s="3160"/>
      <c r="C368" s="3162" t="s">
        <v>10479</v>
      </c>
      <c r="D368" s="3161"/>
      <c r="E368" s="3161"/>
      <c r="F368" s="3161"/>
      <c r="G368" s="3161"/>
      <c r="H368" s="3161"/>
      <c r="I368" s="3161"/>
      <c r="J368" s="3161"/>
      <c r="K368" s="3161"/>
      <c r="L368" s="3161"/>
      <c r="M368" s="3161"/>
      <c r="N368" s="3163"/>
      <c r="O368" s="2707"/>
      <c r="P368" s="2707"/>
      <c r="Q368" s="2707"/>
      <c r="R368" s="54"/>
      <c r="S368" s="54"/>
      <c r="T368" s="54"/>
      <c r="U368" s="54"/>
      <c r="V368" s="54"/>
      <c r="W368" s="54"/>
      <c r="X368" s="54"/>
      <c r="Y368" s="54"/>
      <c r="Z368" s="54"/>
      <c r="AA368" s="3">
        <v>1</v>
      </c>
    </row>
    <row r="369" spans="1:27" s="2684" customFormat="1" ht="21" customHeight="1">
      <c r="A369" s="7129"/>
      <c r="B369" s="3160"/>
      <c r="C369" s="3162" t="s">
        <v>10480</v>
      </c>
      <c r="D369" s="3161"/>
      <c r="E369" s="3161"/>
      <c r="F369" s="3161"/>
      <c r="G369" s="3161"/>
      <c r="H369" s="3161"/>
      <c r="I369" s="3161"/>
      <c r="J369" s="3161"/>
      <c r="K369" s="3161"/>
      <c r="L369" s="3161"/>
      <c r="M369" s="3161"/>
      <c r="N369" s="3163"/>
      <c r="O369" s="2707"/>
      <c r="P369" s="2707"/>
      <c r="Q369" s="2707"/>
      <c r="R369" s="54"/>
      <c r="S369" s="54"/>
      <c r="T369" s="54"/>
      <c r="U369" s="54"/>
      <c r="V369" s="54"/>
      <c r="W369" s="54"/>
      <c r="X369" s="54"/>
      <c r="Y369" s="54"/>
      <c r="Z369" s="54"/>
      <c r="AA369" s="3">
        <v>1</v>
      </c>
    </row>
    <row r="370" spans="1:27" s="2684" customFormat="1" ht="21" customHeight="1">
      <c r="A370" s="7129"/>
      <c r="B370" s="3160"/>
      <c r="C370" s="3162" t="s">
        <v>10481</v>
      </c>
      <c r="D370" s="3161"/>
      <c r="E370" s="3161"/>
      <c r="F370" s="3161"/>
      <c r="G370" s="3161"/>
      <c r="H370" s="3161"/>
      <c r="I370" s="3161"/>
      <c r="J370" s="3161"/>
      <c r="K370" s="3161"/>
      <c r="L370" s="3161"/>
      <c r="M370" s="3161"/>
      <c r="N370" s="3163"/>
      <c r="O370" s="2707"/>
      <c r="P370" s="2707"/>
      <c r="Q370" s="2707"/>
      <c r="R370" s="54"/>
      <c r="S370" s="54"/>
      <c r="T370" s="54"/>
      <c r="U370" s="54"/>
      <c r="V370" s="54"/>
      <c r="W370" s="54"/>
      <c r="X370" s="54"/>
      <c r="Y370" s="54"/>
      <c r="Z370" s="54"/>
      <c r="AA370" s="3">
        <v>1</v>
      </c>
    </row>
    <row r="371" spans="1:27" s="2684" customFormat="1" ht="21" customHeight="1">
      <c r="A371" s="7129"/>
      <c r="B371" s="3160"/>
      <c r="C371" s="3161"/>
      <c r="D371" s="3161"/>
      <c r="E371" s="3161"/>
      <c r="F371" s="3161"/>
      <c r="G371" s="3161"/>
      <c r="H371" s="3161"/>
      <c r="I371" s="3161"/>
      <c r="J371" s="3161"/>
      <c r="K371" s="3161"/>
      <c r="L371" s="3161"/>
      <c r="M371" s="3161"/>
      <c r="N371" s="3163"/>
      <c r="O371" s="2707"/>
      <c r="P371" s="2707"/>
      <c r="Q371" s="2707"/>
      <c r="R371" s="54"/>
      <c r="S371" s="54"/>
      <c r="T371" s="54"/>
      <c r="U371" s="54"/>
      <c r="V371" s="54"/>
      <c r="W371" s="54"/>
      <c r="X371" s="54"/>
      <c r="Y371" s="54"/>
      <c r="Z371" s="54"/>
      <c r="AA371" s="3">
        <v>1</v>
      </c>
    </row>
    <row r="372" spans="1:27" s="2684" customFormat="1" ht="21" customHeight="1">
      <c r="A372" s="7129"/>
      <c r="B372" s="3160"/>
      <c r="C372" s="7155" t="s">
        <v>10482</v>
      </c>
      <c r="D372" s="7156"/>
      <c r="E372" s="7156"/>
      <c r="F372" s="7156"/>
      <c r="G372" s="7156"/>
      <c r="H372" s="7156"/>
      <c r="I372" s="7156"/>
      <c r="J372" s="7156"/>
      <c r="K372" s="7156"/>
      <c r="L372" s="7156"/>
      <c r="M372" s="7157"/>
      <c r="N372" s="3163"/>
      <c r="O372" s="2707"/>
      <c r="P372" s="2707"/>
      <c r="Q372" s="2707"/>
      <c r="R372" s="54"/>
      <c r="S372" s="54"/>
      <c r="T372" s="54"/>
      <c r="U372" s="54"/>
      <c r="V372" s="54"/>
      <c r="W372" s="54"/>
      <c r="X372" s="54"/>
      <c r="Y372" s="54"/>
      <c r="Z372" s="54"/>
      <c r="AA372" s="3">
        <v>1</v>
      </c>
    </row>
    <row r="373" spans="1:27" s="2684" customFormat="1" ht="21" customHeight="1">
      <c r="A373" s="7129"/>
      <c r="B373" s="3160"/>
      <c r="C373" s="3164"/>
      <c r="D373" s="3165"/>
      <c r="E373" s="2707"/>
      <c r="F373" s="3166" t="s">
        <v>2629</v>
      </c>
      <c r="G373" s="3165"/>
      <c r="H373" s="7158" t="s">
        <v>10352</v>
      </c>
      <c r="I373" s="7158"/>
      <c r="J373" s="7158"/>
      <c r="K373" s="7158"/>
      <c r="L373" s="7158"/>
      <c r="M373" s="7159"/>
      <c r="N373" s="3163"/>
      <c r="O373" s="2707"/>
      <c r="P373" s="2707"/>
      <c r="Q373" s="2707"/>
      <c r="R373" s="54"/>
      <c r="S373" s="54"/>
      <c r="T373" s="54"/>
      <c r="U373" s="54"/>
      <c r="V373" s="54"/>
      <c r="W373" s="54"/>
      <c r="X373" s="54"/>
      <c r="Y373" s="54"/>
      <c r="Z373" s="54"/>
      <c r="AA373" s="3">
        <v>1</v>
      </c>
    </row>
    <row r="374" spans="1:27" s="2684" customFormat="1" ht="21" customHeight="1">
      <c r="A374" s="7129"/>
      <c r="B374" s="3160"/>
      <c r="C374" s="3167" t="s">
        <v>16</v>
      </c>
      <c r="D374" s="7160" t="s">
        <v>10483</v>
      </c>
      <c r="E374" s="7160"/>
      <c r="F374" s="3168">
        <v>2</v>
      </c>
      <c r="G374" s="3169"/>
      <c r="H374" s="2689" t="s">
        <v>10484</v>
      </c>
      <c r="I374" s="3169"/>
      <c r="J374" s="3169"/>
      <c r="K374" s="3170"/>
      <c r="L374" s="3170"/>
      <c r="M374" s="3171"/>
      <c r="N374" s="3163"/>
      <c r="O374" s="2707"/>
      <c r="P374" s="2707"/>
      <c r="Q374" s="2707"/>
      <c r="R374" s="54"/>
      <c r="S374" s="54"/>
      <c r="T374" s="54"/>
      <c r="U374" s="54"/>
      <c r="V374" s="54"/>
      <c r="W374" s="54"/>
      <c r="X374" s="54"/>
      <c r="Y374" s="54"/>
      <c r="Z374" s="54"/>
      <c r="AA374" s="3">
        <v>1</v>
      </c>
    </row>
    <row r="375" spans="1:27" s="2684" customFormat="1" ht="21" customHeight="1">
      <c r="A375" s="7129"/>
      <c r="B375" s="3160"/>
      <c r="C375" s="3172">
        <v>10</v>
      </c>
      <c r="D375" s="3173" t="s">
        <v>10485</v>
      </c>
      <c r="E375" s="2707"/>
      <c r="F375" s="3174">
        <f>C375*F374</f>
        <v>20</v>
      </c>
      <c r="G375" s="3175"/>
      <c r="H375" s="2689" t="s">
        <v>10486</v>
      </c>
      <c r="I375" s="3169"/>
      <c r="J375" s="3169"/>
      <c r="K375" s="3170"/>
      <c r="L375" s="3170"/>
      <c r="M375" s="3171"/>
      <c r="N375" s="3163"/>
      <c r="O375" s="2707"/>
      <c r="P375" s="2707"/>
      <c r="Q375" s="2707"/>
      <c r="R375" s="54"/>
      <c r="S375" s="54"/>
      <c r="T375" s="54"/>
      <c r="U375" s="54"/>
      <c r="V375" s="54"/>
      <c r="W375" s="54"/>
      <c r="X375" s="54"/>
      <c r="Y375" s="54"/>
      <c r="Z375" s="54"/>
      <c r="AA375" s="3">
        <v>1</v>
      </c>
    </row>
    <row r="376" spans="1:27" s="2684" customFormat="1" ht="21" customHeight="1">
      <c r="A376" s="7129"/>
      <c r="B376" s="3160"/>
      <c r="C376" s="3176"/>
      <c r="D376" s="3177"/>
      <c r="E376" s="3170"/>
      <c r="F376" s="3170"/>
      <c r="G376" s="3170"/>
      <c r="H376" s="2689" t="s">
        <v>10487</v>
      </c>
      <c r="I376" s="3178"/>
      <c r="J376" s="3169"/>
      <c r="K376" s="3170"/>
      <c r="L376" s="3170"/>
      <c r="M376" s="3171"/>
      <c r="N376" s="3163"/>
      <c r="O376" s="2707"/>
      <c r="P376" s="2707"/>
      <c r="Q376" s="2707"/>
      <c r="R376" s="54"/>
      <c r="S376" s="54"/>
      <c r="T376" s="54"/>
      <c r="U376" s="54"/>
      <c r="V376" s="54"/>
      <c r="W376" s="54"/>
      <c r="X376" s="54"/>
      <c r="Y376" s="54"/>
      <c r="Z376" s="54"/>
      <c r="AA376" s="3">
        <v>1</v>
      </c>
    </row>
    <row r="377" spans="1:27" s="2684" customFormat="1" ht="21" customHeight="1">
      <c r="A377" s="7129"/>
      <c r="B377" s="3160"/>
      <c r="C377" s="3167"/>
      <c r="D377" s="3179"/>
      <c r="E377" s="3170"/>
      <c r="F377" s="3170"/>
      <c r="G377" s="3170"/>
      <c r="H377" s="2689"/>
      <c r="I377" s="3169"/>
      <c r="J377" s="3169"/>
      <c r="K377" s="3170"/>
      <c r="L377" s="3170"/>
      <c r="M377" s="3171"/>
      <c r="N377" s="3163"/>
      <c r="O377" s="2707"/>
      <c r="P377" s="2707"/>
      <c r="Q377" s="2707"/>
      <c r="R377" s="54"/>
      <c r="S377" s="54"/>
      <c r="T377" s="54"/>
      <c r="U377" s="54"/>
      <c r="V377" s="54"/>
      <c r="W377" s="54"/>
      <c r="X377" s="54"/>
      <c r="Y377" s="54"/>
      <c r="Z377" s="54"/>
      <c r="AA377" s="3">
        <v>1</v>
      </c>
    </row>
    <row r="378" spans="1:27" s="2684" customFormat="1" ht="21" customHeight="1">
      <c r="A378" s="7129"/>
      <c r="B378" s="3160"/>
      <c r="C378" s="3180" t="s">
        <v>2629</v>
      </c>
      <c r="D378" s="3181" t="s">
        <v>10488</v>
      </c>
      <c r="E378" s="3182"/>
      <c r="F378" s="3182"/>
      <c r="G378" s="3182"/>
      <c r="H378" s="3182"/>
      <c r="I378" s="3182"/>
      <c r="J378" s="3182"/>
      <c r="K378" s="3182"/>
      <c r="L378" s="3182"/>
      <c r="M378" s="3183"/>
      <c r="N378" s="3163"/>
      <c r="O378" s="2707"/>
      <c r="P378" s="2707"/>
      <c r="Q378" s="2707"/>
      <c r="R378" s="54"/>
      <c r="S378" s="54"/>
      <c r="T378" s="54"/>
      <c r="U378" s="54"/>
      <c r="V378" s="54"/>
      <c r="W378" s="54"/>
      <c r="X378" s="54"/>
      <c r="Y378" s="54"/>
      <c r="Z378" s="54"/>
      <c r="AA378" s="3">
        <v>1</v>
      </c>
    </row>
    <row r="379" spans="1:27" s="2684" customFormat="1" ht="21" customHeight="1">
      <c r="A379" s="7129"/>
      <c r="B379" s="3160"/>
      <c r="C379" s="5857" t="s">
        <v>16</v>
      </c>
      <c r="D379" s="5858" t="s">
        <v>10489</v>
      </c>
      <c r="E379" s="5859"/>
      <c r="F379" s="5859"/>
      <c r="G379" s="5859"/>
      <c r="H379" s="5859"/>
      <c r="I379" s="5859"/>
      <c r="J379" s="5859"/>
      <c r="K379" s="5859"/>
      <c r="L379" s="5859"/>
      <c r="M379" s="5860"/>
      <c r="N379" s="3163"/>
      <c r="O379" s="2707"/>
      <c r="P379" s="2707"/>
      <c r="Q379" s="2707"/>
      <c r="R379" s="54"/>
      <c r="S379" s="54"/>
      <c r="T379" s="54"/>
      <c r="U379" s="54"/>
      <c r="V379" s="54"/>
      <c r="W379" s="54"/>
      <c r="X379" s="54"/>
      <c r="Y379" s="54"/>
      <c r="Z379" s="54"/>
      <c r="AA379" s="3">
        <v>1</v>
      </c>
    </row>
    <row r="380" spans="1:27" s="2684" customFormat="1" ht="21" customHeight="1">
      <c r="A380" s="7129"/>
      <c r="B380" s="3184" t="str">
        <f ca="1">CELL("nomfichier",A376)</f>
        <v xml:space="preserve">D:\Données\1.UPRT\0-UPRT.fait\1-UPRT.FR-SITE-WEB\ff-fiches-fabrications\ff.fiches.fabrication.2023\ffr.restaurant.2023\[ff.FICHE.TRILINGUE.20.COLONNES.05.01.2026.xlsx]aides cuisine </v>
      </c>
      <c r="C380" s="3161"/>
      <c r="D380" s="3161"/>
      <c r="E380" s="3161"/>
      <c r="F380" s="3161"/>
      <c r="G380" s="3161"/>
      <c r="H380" s="3161"/>
      <c r="I380" s="3161"/>
      <c r="J380" s="3161"/>
      <c r="K380" s="3161"/>
      <c r="L380" s="3161"/>
      <c r="M380" s="3161"/>
      <c r="N380" s="3163"/>
      <c r="O380" s="2707"/>
      <c r="P380" s="2707"/>
      <c r="Q380" s="2707"/>
      <c r="R380" s="54"/>
      <c r="S380" s="54"/>
      <c r="T380" s="54"/>
      <c r="U380" s="54"/>
      <c r="V380" s="54"/>
      <c r="W380" s="54"/>
      <c r="X380" s="54"/>
      <c r="Y380" s="54"/>
      <c r="Z380" s="54"/>
      <c r="AA380" s="3">
        <v>1</v>
      </c>
    </row>
    <row r="381" spans="1:27" s="2684" customFormat="1" ht="21" customHeight="1">
      <c r="A381" s="7129"/>
      <c r="B381" s="7146" t="s">
        <v>10490</v>
      </c>
      <c r="C381" s="7147"/>
      <c r="D381" s="7147"/>
      <c r="E381" s="7147"/>
      <c r="F381" s="7147"/>
      <c r="G381" s="7147"/>
      <c r="H381" s="7147"/>
      <c r="I381" s="7147"/>
      <c r="J381" s="7147"/>
      <c r="K381" s="7147"/>
      <c r="L381" s="7147"/>
      <c r="M381" s="7147"/>
      <c r="N381" s="7148"/>
      <c r="O381" s="2707"/>
      <c r="P381" s="2707"/>
      <c r="Q381" s="2707"/>
      <c r="R381" s="54"/>
      <c r="S381" s="54"/>
      <c r="T381" s="54"/>
      <c r="U381" s="54"/>
      <c r="V381" s="54"/>
      <c r="W381" s="54"/>
      <c r="X381" s="54"/>
      <c r="Y381" s="54"/>
      <c r="Z381" s="54"/>
      <c r="AA381" s="3">
        <v>1</v>
      </c>
    </row>
    <row r="382" spans="1:27" s="2684" customFormat="1" ht="21" customHeight="1" thickBot="1">
      <c r="A382" s="7129"/>
      <c r="B382" s="7149"/>
      <c r="C382" s="7150"/>
      <c r="D382" s="7150"/>
      <c r="E382" s="7150"/>
      <c r="F382" s="7150"/>
      <c r="G382" s="7150"/>
      <c r="H382" s="7150"/>
      <c r="I382" s="7150"/>
      <c r="J382" s="7150"/>
      <c r="K382" s="7150"/>
      <c r="L382" s="7150"/>
      <c r="M382" s="7150"/>
      <c r="N382" s="7151"/>
      <c r="O382" s="2707"/>
      <c r="P382" s="2707"/>
      <c r="Q382" s="2707"/>
      <c r="R382" s="54"/>
      <c r="S382" s="54"/>
      <c r="T382" s="54"/>
      <c r="U382" s="54"/>
      <c r="V382" s="54"/>
      <c r="W382" s="54"/>
      <c r="X382" s="54"/>
      <c r="Y382" s="54"/>
      <c r="Z382" s="54"/>
      <c r="AA382" s="3">
        <v>1</v>
      </c>
    </row>
    <row r="383" spans="1:27" s="2684" customFormat="1" ht="21" customHeight="1" thickBot="1">
      <c r="B383" s="2707"/>
      <c r="C383" s="2707"/>
      <c r="D383" s="2707"/>
      <c r="E383" s="2707"/>
      <c r="F383" s="2707"/>
      <c r="G383" s="2707"/>
      <c r="H383" s="2707"/>
      <c r="I383" s="2707"/>
      <c r="J383" s="2707"/>
      <c r="K383" s="2707"/>
      <c r="L383" s="2707"/>
      <c r="M383" s="2707"/>
      <c r="N383" s="2707"/>
      <c r="O383" s="2707"/>
      <c r="P383" s="2707"/>
      <c r="Q383" s="2707"/>
      <c r="R383" s="54"/>
      <c r="S383" s="54"/>
      <c r="T383" s="54"/>
      <c r="U383" s="54"/>
      <c r="V383" s="54"/>
      <c r="W383" s="54"/>
      <c r="X383" s="54"/>
      <c r="Y383" s="54"/>
      <c r="Z383" s="54"/>
      <c r="AA383" s="3">
        <v>1</v>
      </c>
    </row>
    <row r="384" spans="1:27" s="2684" customFormat="1" ht="21" customHeight="1">
      <c r="A384" s="5839" t="s">
        <v>166</v>
      </c>
      <c r="B384" s="7125" t="str">
        <f>B386</f>
        <v>ŒUFS poids et %</v>
      </c>
      <c r="C384" s="7126"/>
      <c r="D384" s="7126"/>
      <c r="E384" s="7126"/>
      <c r="F384" s="7126"/>
      <c r="G384" s="7126"/>
      <c r="H384" s="7126"/>
      <c r="I384" s="7126"/>
      <c r="J384" s="7126"/>
      <c r="K384" s="7126"/>
      <c r="L384" s="7126"/>
      <c r="M384" s="7126"/>
      <c r="N384" s="7127"/>
      <c r="O384" s="2707"/>
      <c r="P384" s="2707"/>
      <c r="Q384" s="2707"/>
      <c r="R384" s="54"/>
      <c r="S384" s="54"/>
      <c r="T384" s="54"/>
      <c r="U384" s="54"/>
      <c r="V384" s="54"/>
      <c r="W384" s="54"/>
      <c r="X384" s="54"/>
      <c r="Y384" s="54"/>
      <c r="Z384" s="54"/>
      <c r="AA384" s="3">
        <v>1</v>
      </c>
    </row>
    <row r="385" spans="1:27" s="2684" customFormat="1" ht="21" customHeight="1">
      <c r="A385" s="7128" t="str">
        <f>B386</f>
        <v>ŒUFS poids et %</v>
      </c>
      <c r="B385" s="5757" t="str">
        <f>ADDRESS(ROW(),COLUMN(),4)</f>
        <v>B385</v>
      </c>
      <c r="C385" s="2615" t="s">
        <v>9521</v>
      </c>
      <c r="D385" s="2729"/>
      <c r="E385" s="2729"/>
      <c r="F385" s="2729"/>
      <c r="G385" s="2729"/>
      <c r="H385" s="2729"/>
      <c r="I385" s="2729"/>
      <c r="J385" s="2729"/>
      <c r="K385" s="2729"/>
      <c r="L385" s="2729"/>
      <c r="M385" s="2729"/>
      <c r="N385" s="5855"/>
      <c r="O385" s="2707"/>
      <c r="P385" s="2707"/>
      <c r="Q385" s="2707"/>
      <c r="R385" s="54"/>
      <c r="S385" s="54"/>
      <c r="T385" s="54"/>
      <c r="U385" s="54"/>
      <c r="V385" s="54"/>
      <c r="W385" s="54"/>
      <c r="X385" s="54"/>
      <c r="Y385" s="54"/>
      <c r="Z385" s="54"/>
      <c r="AA385" s="3">
        <v>1</v>
      </c>
    </row>
    <row r="386" spans="1:27" s="2684" customFormat="1" ht="21" customHeight="1">
      <c r="A386" s="7129"/>
      <c r="B386" s="7130" t="s">
        <v>10257</v>
      </c>
      <c r="C386" s="7131"/>
      <c r="D386" s="7131"/>
      <c r="E386" s="7131"/>
      <c r="F386" s="7131"/>
      <c r="G386" s="7131"/>
      <c r="H386" s="7131"/>
      <c r="I386" s="7131"/>
      <c r="J386" s="7131"/>
      <c r="K386" s="7131"/>
      <c r="L386" s="7131"/>
      <c r="M386" s="7131"/>
      <c r="N386" s="7132"/>
      <c r="O386" s="2707"/>
      <c r="P386" s="2707"/>
      <c r="Q386" s="2707"/>
      <c r="R386" s="54"/>
      <c r="S386" s="54"/>
      <c r="T386" s="54"/>
      <c r="U386" s="54"/>
      <c r="V386" s="54"/>
      <c r="W386" s="54"/>
      <c r="X386" s="54"/>
      <c r="Y386" s="54"/>
      <c r="Z386" s="54"/>
      <c r="AA386" s="3">
        <v>1</v>
      </c>
    </row>
    <row r="387" spans="1:27" s="2684" customFormat="1" ht="21" customHeight="1">
      <c r="A387" s="7129"/>
      <c r="B387" s="7130"/>
      <c r="C387" s="7131"/>
      <c r="D387" s="7131"/>
      <c r="E387" s="7131"/>
      <c r="F387" s="7131"/>
      <c r="G387" s="7131"/>
      <c r="H387" s="7131"/>
      <c r="I387" s="7131"/>
      <c r="J387" s="7131"/>
      <c r="K387" s="7131"/>
      <c r="L387" s="7131"/>
      <c r="M387" s="7131"/>
      <c r="N387" s="7132"/>
      <c r="O387" s="2707"/>
      <c r="P387" s="2707"/>
      <c r="Q387" s="2707"/>
      <c r="R387" s="54"/>
      <c r="S387" s="54"/>
      <c r="T387" s="54"/>
      <c r="U387" s="54"/>
      <c r="V387" s="54"/>
      <c r="W387" s="54"/>
      <c r="X387" s="54"/>
      <c r="Y387" s="54"/>
      <c r="Z387" s="54"/>
      <c r="AA387" s="3">
        <v>1</v>
      </c>
    </row>
    <row r="388" spans="1:27" s="2684" customFormat="1" ht="21" customHeight="1">
      <c r="A388" s="7129"/>
      <c r="B388" s="7133" t="s">
        <v>10410</v>
      </c>
      <c r="C388" s="7134"/>
      <c r="D388" s="7134"/>
      <c r="E388" s="7134"/>
      <c r="F388" s="7134"/>
      <c r="G388" s="7134"/>
      <c r="H388" s="7134"/>
      <c r="I388" s="7134"/>
      <c r="J388" s="7134"/>
      <c r="K388" s="7134"/>
      <c r="L388" s="7134"/>
      <c r="M388" s="7134"/>
      <c r="N388" s="7135"/>
      <c r="O388" s="2707"/>
      <c r="P388" s="2707"/>
      <c r="Q388" s="2707"/>
      <c r="R388" s="54"/>
      <c r="S388" s="54"/>
      <c r="T388" s="54"/>
      <c r="U388" s="54"/>
      <c r="V388" s="54"/>
      <c r="W388" s="54"/>
      <c r="X388" s="54"/>
      <c r="Y388" s="54"/>
      <c r="Z388" s="54"/>
      <c r="AA388" s="3">
        <v>1</v>
      </c>
    </row>
    <row r="389" spans="1:27" s="2684" customFormat="1" ht="21" customHeight="1">
      <c r="A389" s="7129"/>
      <c r="B389" s="7136"/>
      <c r="C389" s="7137"/>
      <c r="D389" s="7137"/>
      <c r="E389" s="7137"/>
      <c r="F389" s="7137"/>
      <c r="G389" s="7137"/>
      <c r="H389" s="7137"/>
      <c r="I389" s="7137"/>
      <c r="J389" s="7137"/>
      <c r="K389" s="7137"/>
      <c r="L389" s="7137"/>
      <c r="M389" s="7137"/>
      <c r="N389" s="7138"/>
      <c r="O389" s="2707"/>
      <c r="P389" s="2707"/>
      <c r="Q389" s="2707"/>
      <c r="R389" s="54"/>
      <c r="S389" s="54"/>
      <c r="T389" s="54"/>
      <c r="U389" s="54"/>
      <c r="V389" s="54"/>
      <c r="W389" s="54"/>
      <c r="X389" s="54"/>
      <c r="Y389" s="54"/>
      <c r="Z389" s="54"/>
      <c r="AA389" s="3">
        <v>1</v>
      </c>
    </row>
    <row r="390" spans="1:27" s="2684" customFormat="1" ht="21" customHeight="1">
      <c r="A390" s="7129"/>
      <c r="B390" s="7139" t="s">
        <v>10257</v>
      </c>
      <c r="C390" s="7140"/>
      <c r="D390" s="7140"/>
      <c r="E390" s="7140"/>
      <c r="F390" s="7140"/>
      <c r="G390" s="7140"/>
      <c r="H390" s="7140"/>
      <c r="I390" s="7140"/>
      <c r="J390" s="7140"/>
      <c r="K390" s="7140"/>
      <c r="L390" s="7140"/>
      <c r="M390" s="7140"/>
      <c r="N390" s="7141"/>
      <c r="O390" s="2707"/>
      <c r="P390" s="2707"/>
      <c r="Q390" s="2707"/>
      <c r="R390" s="54"/>
      <c r="S390" s="54"/>
      <c r="T390" s="54"/>
      <c r="U390" s="54"/>
      <c r="V390" s="54"/>
      <c r="W390" s="54"/>
      <c r="X390" s="54"/>
      <c r="Y390" s="54"/>
      <c r="Z390" s="54"/>
      <c r="AA390" s="3">
        <v>1</v>
      </c>
    </row>
    <row r="391" spans="1:27" s="2684" customFormat="1" ht="21" customHeight="1">
      <c r="A391" s="7129"/>
      <c r="B391" s="3185" t="s">
        <v>16</v>
      </c>
      <c r="C391" s="5861"/>
      <c r="D391" s="5862" t="s">
        <v>2629</v>
      </c>
      <c r="E391" s="5861"/>
      <c r="F391" s="5861"/>
      <c r="G391" s="5863" t="s">
        <v>16</v>
      </c>
      <c r="H391" s="5861"/>
      <c r="I391" s="5862" t="s">
        <v>2629</v>
      </c>
      <c r="J391" s="5861"/>
      <c r="K391" s="5863" t="s">
        <v>16</v>
      </c>
      <c r="L391" s="5861"/>
      <c r="M391" s="5862" t="s">
        <v>2629</v>
      </c>
      <c r="N391" s="5864"/>
      <c r="O391" s="2707"/>
      <c r="P391" s="2707"/>
      <c r="Q391" s="2707"/>
      <c r="R391" s="54"/>
      <c r="S391" s="54"/>
      <c r="T391" s="54"/>
      <c r="U391" s="54"/>
      <c r="V391" s="54"/>
      <c r="W391" s="54"/>
      <c r="X391" s="54"/>
      <c r="Y391" s="54"/>
      <c r="Z391" s="54"/>
      <c r="AA391" s="3">
        <v>1</v>
      </c>
    </row>
    <row r="392" spans="1:27" s="2684" customFormat="1" ht="21" customHeight="1">
      <c r="A392" s="7129"/>
      <c r="B392" s="7142" t="s">
        <v>10491</v>
      </c>
      <c r="C392" s="7143"/>
      <c r="D392" s="5865">
        <v>50</v>
      </c>
      <c r="E392" s="5866">
        <v>1</v>
      </c>
      <c r="F392" s="5867"/>
      <c r="G392" s="7144" t="s">
        <v>10492</v>
      </c>
      <c r="H392" s="7145"/>
      <c r="I392" s="5865">
        <v>20</v>
      </c>
      <c r="J392" s="5868">
        <f>I392/D392</f>
        <v>0.4</v>
      </c>
      <c r="K392" s="7144" t="s">
        <v>10493</v>
      </c>
      <c r="L392" s="7145"/>
      <c r="M392" s="5865">
        <v>30</v>
      </c>
      <c r="N392" s="5869">
        <f>M392/D392</f>
        <v>0.6</v>
      </c>
      <c r="O392" s="2707"/>
      <c r="P392" s="2707"/>
      <c r="Q392" s="2707"/>
      <c r="R392" s="54"/>
      <c r="S392" s="54"/>
      <c r="T392" s="54"/>
      <c r="U392" s="54"/>
      <c r="V392" s="54"/>
      <c r="W392" s="54"/>
      <c r="X392" s="54"/>
      <c r="Y392" s="54"/>
      <c r="Z392" s="54"/>
      <c r="AA392" s="3">
        <v>1</v>
      </c>
    </row>
    <row r="393" spans="1:27" s="2684" customFormat="1" ht="21" customHeight="1">
      <c r="A393" s="7129"/>
      <c r="B393" s="3186">
        <v>4</v>
      </c>
      <c r="C393" s="3187" t="s">
        <v>10494</v>
      </c>
      <c r="D393" s="3187">
        <f>B393*D392</f>
        <v>200</v>
      </c>
      <c r="E393" s="3173" t="s">
        <v>10495</v>
      </c>
      <c r="F393" s="2707"/>
      <c r="G393" s="3186">
        <v>10</v>
      </c>
      <c r="H393" s="3187" t="s">
        <v>10496</v>
      </c>
      <c r="I393" s="3187">
        <f>G393*I392</f>
        <v>200</v>
      </c>
      <c r="J393" s="3173" t="s">
        <v>10495</v>
      </c>
      <c r="K393" s="3186">
        <v>12</v>
      </c>
      <c r="L393" s="3187" t="s">
        <v>10497</v>
      </c>
      <c r="M393" s="3187">
        <f>K393*M392</f>
        <v>360</v>
      </c>
      <c r="N393" s="3188" t="s">
        <v>10495</v>
      </c>
      <c r="O393" s="2707"/>
      <c r="P393" s="2707"/>
      <c r="Q393" s="2707"/>
      <c r="R393" s="54"/>
      <c r="S393" s="54"/>
      <c r="T393" s="54"/>
      <c r="U393" s="54"/>
      <c r="V393" s="54"/>
      <c r="W393" s="54"/>
      <c r="X393" s="54"/>
      <c r="Y393" s="54"/>
      <c r="Z393" s="54"/>
      <c r="AA393" s="3">
        <v>1</v>
      </c>
    </row>
    <row r="394" spans="1:27" s="2684" customFormat="1" ht="21" customHeight="1">
      <c r="A394" s="7129"/>
      <c r="B394" s="3189" t="s">
        <v>49</v>
      </c>
      <c r="C394" s="3190" t="s">
        <v>10498</v>
      </c>
      <c r="D394" s="3190" t="s">
        <v>10499</v>
      </c>
      <c r="E394" s="3190" t="s">
        <v>8319</v>
      </c>
      <c r="F394" s="2707"/>
      <c r="G394" s="3189" t="s">
        <v>49</v>
      </c>
      <c r="H394" s="3190" t="s">
        <v>10498</v>
      </c>
      <c r="I394" s="3190" t="s">
        <v>10499</v>
      </c>
      <c r="J394" s="3190" t="s">
        <v>8319</v>
      </c>
      <c r="K394" s="3189" t="s">
        <v>49</v>
      </c>
      <c r="L394" s="3190" t="s">
        <v>10498</v>
      </c>
      <c r="M394" s="3190" t="s">
        <v>10499</v>
      </c>
      <c r="N394" s="3191" t="s">
        <v>8319</v>
      </c>
      <c r="O394" s="2707"/>
      <c r="P394" s="2707"/>
      <c r="Q394" s="2707"/>
      <c r="R394" s="54"/>
      <c r="S394" s="54"/>
      <c r="T394" s="54"/>
      <c r="U394" s="54"/>
      <c r="V394" s="54"/>
      <c r="W394" s="54"/>
      <c r="X394" s="54"/>
      <c r="Y394" s="54"/>
      <c r="Z394" s="54"/>
      <c r="AA394" s="3">
        <v>1</v>
      </c>
    </row>
    <row r="395" spans="1:27" s="2684" customFormat="1" ht="21" customHeight="1">
      <c r="A395" s="7129"/>
      <c r="B395" s="3192">
        <f>D393</f>
        <v>200</v>
      </c>
      <c r="C395" s="3193">
        <f>B395*C396</f>
        <v>24.489795918367346</v>
      </c>
      <c r="D395" s="3193">
        <f>B395*D396</f>
        <v>22.448979591836736</v>
      </c>
      <c r="E395" s="3193">
        <f>B395*E396</f>
        <v>153.0612244897959</v>
      </c>
      <c r="F395" s="2707"/>
      <c r="G395" s="3192">
        <f>I393</f>
        <v>200</v>
      </c>
      <c r="H395" s="3194">
        <f>G395*H396</f>
        <v>34.4</v>
      </c>
      <c r="I395" s="3194">
        <f>G395*I396</f>
        <v>64.600000000000009</v>
      </c>
      <c r="J395" s="3194">
        <f>G395*J396</f>
        <v>101</v>
      </c>
      <c r="K395" s="3192">
        <f>M393</f>
        <v>360</v>
      </c>
      <c r="L395" s="3193">
        <f>K395*L396</f>
        <v>39.96</v>
      </c>
      <c r="M395" s="3193">
        <f>K395*M396</f>
        <v>0</v>
      </c>
      <c r="N395" s="3195">
        <f>K395*N396</f>
        <v>320</v>
      </c>
      <c r="O395" s="2707"/>
      <c r="P395" s="2707"/>
      <c r="Q395" s="2707"/>
      <c r="R395" s="54"/>
      <c r="S395" s="54"/>
      <c r="T395" s="54"/>
      <c r="U395" s="54"/>
      <c r="V395" s="54"/>
      <c r="W395" s="54"/>
      <c r="X395" s="54"/>
      <c r="Y395" s="54"/>
      <c r="Z395" s="54"/>
      <c r="AA395" s="3">
        <v>1</v>
      </c>
    </row>
    <row r="396" spans="1:27" s="2684" customFormat="1" ht="21" customHeight="1">
      <c r="A396" s="7129"/>
      <c r="B396" s="3196">
        <f>C396+D396+E396</f>
        <v>1</v>
      </c>
      <c r="C396" s="3197">
        <v>0.12244897959183673</v>
      </c>
      <c r="D396" s="3197">
        <v>0.11224489795918367</v>
      </c>
      <c r="E396" s="3197">
        <v>0.76530612244897955</v>
      </c>
      <c r="F396" s="2707"/>
      <c r="G396" s="3196">
        <f>H396+I396+J396</f>
        <v>1</v>
      </c>
      <c r="H396" s="3197">
        <v>0.17199999999999999</v>
      </c>
      <c r="I396" s="3197">
        <v>0.32300000000000001</v>
      </c>
      <c r="J396" s="3197">
        <v>0.505</v>
      </c>
      <c r="K396" s="3196">
        <f>L396+M396+N396</f>
        <v>0.99988888888888894</v>
      </c>
      <c r="L396" s="3197">
        <v>0.111</v>
      </c>
      <c r="M396" s="3198">
        <v>0</v>
      </c>
      <c r="N396" s="3199">
        <v>0.88888888888888895</v>
      </c>
      <c r="O396" s="2707"/>
      <c r="P396" s="2707"/>
      <c r="Q396" s="2707"/>
      <c r="R396" s="54"/>
      <c r="S396" s="54"/>
      <c r="T396" s="54"/>
      <c r="U396" s="54"/>
      <c r="V396" s="54"/>
      <c r="W396" s="54"/>
      <c r="X396" s="54"/>
      <c r="Y396" s="54"/>
      <c r="Z396" s="54"/>
      <c r="AA396" s="3">
        <v>1</v>
      </c>
    </row>
    <row r="397" spans="1:27" s="2684" customFormat="1" ht="21" customHeight="1">
      <c r="A397" s="7129"/>
      <c r="B397" s="3200"/>
      <c r="C397" s="5862" t="s">
        <v>2629</v>
      </c>
      <c r="D397" s="5862" t="s">
        <v>2629</v>
      </c>
      <c r="E397" s="5862" t="s">
        <v>2629</v>
      </c>
      <c r="F397" s="5870"/>
      <c r="G397" s="3200"/>
      <c r="H397" s="5862" t="s">
        <v>2629</v>
      </c>
      <c r="I397" s="5862" t="s">
        <v>2629</v>
      </c>
      <c r="J397" s="5862" t="s">
        <v>2629</v>
      </c>
      <c r="K397" s="3200"/>
      <c r="L397" s="5862" t="s">
        <v>2629</v>
      </c>
      <c r="M397" s="5871"/>
      <c r="N397" s="5872" t="s">
        <v>2629</v>
      </c>
      <c r="O397" s="2707"/>
      <c r="P397" s="2707"/>
      <c r="Q397" s="2707"/>
      <c r="R397" s="54"/>
      <c r="S397" s="54"/>
      <c r="T397" s="54"/>
      <c r="U397" s="54"/>
      <c r="V397" s="54"/>
      <c r="W397" s="54"/>
      <c r="X397" s="54"/>
      <c r="Y397" s="54"/>
      <c r="Z397" s="54"/>
      <c r="AA397" s="3">
        <v>1</v>
      </c>
    </row>
    <row r="398" spans="1:27" s="2684" customFormat="1" ht="21" customHeight="1">
      <c r="A398" s="7129"/>
      <c r="B398" s="3201" t="s">
        <v>2629</v>
      </c>
      <c r="C398" s="3202" t="s">
        <v>10500</v>
      </c>
      <c r="D398" s="3203"/>
      <c r="E398" s="3203"/>
      <c r="F398" s="3203"/>
      <c r="G398" s="3203"/>
      <c r="H398" s="3203"/>
      <c r="I398" s="3203"/>
      <c r="J398" s="3203"/>
      <c r="K398" s="3203"/>
      <c r="L398" s="3203"/>
      <c r="M398" s="3203"/>
      <c r="N398" s="3204"/>
      <c r="O398" s="2707"/>
      <c r="P398" s="2707"/>
      <c r="Q398" s="2707"/>
      <c r="R398" s="54"/>
      <c r="S398" s="54"/>
      <c r="T398" s="54"/>
      <c r="U398" s="54"/>
      <c r="V398" s="54"/>
      <c r="W398" s="54"/>
      <c r="X398" s="54"/>
      <c r="Y398" s="54"/>
      <c r="Z398" s="54"/>
      <c r="AA398" s="3">
        <v>1</v>
      </c>
    </row>
    <row r="399" spans="1:27" s="2684" customFormat="1" ht="21" customHeight="1">
      <c r="A399" s="7129"/>
      <c r="B399" s="3205" t="s">
        <v>16</v>
      </c>
      <c r="C399" s="3206" t="s">
        <v>10501</v>
      </c>
      <c r="D399" s="3203"/>
      <c r="E399" s="3203"/>
      <c r="F399" s="3203"/>
      <c r="G399" s="3203"/>
      <c r="H399" s="3203"/>
      <c r="I399" s="3203"/>
      <c r="J399" s="3203"/>
      <c r="K399" s="3203"/>
      <c r="L399" s="3203"/>
      <c r="M399" s="3161"/>
      <c r="N399" s="3207" t="s">
        <v>10474</v>
      </c>
      <c r="O399" s="2707"/>
      <c r="P399" s="2707"/>
      <c r="Q399" s="2707"/>
      <c r="R399" s="54"/>
      <c r="S399" s="54"/>
      <c r="T399" s="54"/>
      <c r="U399" s="54"/>
      <c r="V399" s="54"/>
      <c r="W399" s="54"/>
      <c r="X399" s="54"/>
      <c r="Y399" s="54"/>
      <c r="Z399" s="54"/>
      <c r="AA399" s="3">
        <v>1</v>
      </c>
    </row>
    <row r="400" spans="1:27" s="2684" customFormat="1" ht="21" customHeight="1">
      <c r="A400" s="7129"/>
      <c r="B400" s="3208"/>
      <c r="C400" s="3166"/>
      <c r="D400" s="3209" t="s">
        <v>10502</v>
      </c>
      <c r="E400" s="2689" t="s">
        <v>10503</v>
      </c>
      <c r="F400" s="2707"/>
      <c r="G400" s="3198"/>
      <c r="H400" s="3166"/>
      <c r="I400" s="3166"/>
      <c r="J400" s="3166"/>
      <c r="K400" s="3203"/>
      <c r="L400" s="3203"/>
      <c r="M400" s="3161"/>
      <c r="N400" s="3204"/>
      <c r="O400" s="2707"/>
      <c r="P400" s="2707"/>
      <c r="Q400" s="2707"/>
      <c r="R400" s="54"/>
      <c r="S400" s="54"/>
      <c r="T400" s="54"/>
      <c r="U400" s="54"/>
      <c r="V400" s="54"/>
      <c r="W400" s="54"/>
      <c r="X400" s="54"/>
      <c r="Y400" s="54"/>
      <c r="Z400" s="54"/>
      <c r="AA400" s="3">
        <v>1</v>
      </c>
    </row>
    <row r="401" spans="1:27" s="2684" customFormat="1" ht="21" customHeight="1">
      <c r="A401" s="7129"/>
      <c r="B401" s="7146" t="s">
        <v>10490</v>
      </c>
      <c r="C401" s="7147"/>
      <c r="D401" s="7147"/>
      <c r="E401" s="7147"/>
      <c r="F401" s="7147"/>
      <c r="G401" s="7147"/>
      <c r="H401" s="7147"/>
      <c r="I401" s="7147"/>
      <c r="J401" s="7147"/>
      <c r="K401" s="7147"/>
      <c r="L401" s="7147"/>
      <c r="M401" s="7147"/>
      <c r="N401" s="7148"/>
      <c r="O401" s="2707"/>
      <c r="P401" s="2707"/>
      <c r="Q401" s="2707"/>
      <c r="R401" s="54"/>
      <c r="S401" s="54"/>
      <c r="T401" s="54"/>
      <c r="U401" s="54"/>
      <c r="V401" s="54"/>
      <c r="W401" s="54"/>
      <c r="X401" s="54"/>
      <c r="Y401" s="54"/>
      <c r="Z401" s="54"/>
      <c r="AA401" s="3">
        <v>1</v>
      </c>
    </row>
    <row r="402" spans="1:27" s="2684" customFormat="1" ht="21" customHeight="1" thickBot="1">
      <c r="A402" s="7129"/>
      <c r="B402" s="7149"/>
      <c r="C402" s="7150"/>
      <c r="D402" s="7150"/>
      <c r="E402" s="7150"/>
      <c r="F402" s="7150"/>
      <c r="G402" s="7150"/>
      <c r="H402" s="7150"/>
      <c r="I402" s="7150"/>
      <c r="J402" s="7150"/>
      <c r="K402" s="7150"/>
      <c r="L402" s="7150"/>
      <c r="M402" s="7150"/>
      <c r="N402" s="7151"/>
      <c r="O402" s="2707"/>
      <c r="P402" s="2707"/>
      <c r="Q402" s="2707"/>
      <c r="R402" s="54"/>
      <c r="S402" s="54"/>
      <c r="T402" s="54"/>
      <c r="U402" s="54"/>
      <c r="V402" s="54"/>
      <c r="W402" s="54"/>
      <c r="X402" s="54"/>
      <c r="Y402" s="54"/>
      <c r="Z402" s="54"/>
      <c r="AA402" s="3">
        <v>1</v>
      </c>
    </row>
    <row r="403" spans="1:27" s="2684" customFormat="1" ht="21" customHeight="1" thickBot="1">
      <c r="A403" s="2707"/>
      <c r="B403" s="2708"/>
      <c r="C403" s="2708"/>
      <c r="D403" s="2708"/>
      <c r="E403" s="2708"/>
      <c r="F403" s="2708"/>
      <c r="G403" s="2708"/>
      <c r="H403" s="2708"/>
      <c r="I403" s="2708"/>
      <c r="J403" s="2708"/>
      <c r="K403" s="2708"/>
      <c r="L403" s="2708"/>
      <c r="M403" s="2708"/>
      <c r="N403" s="2708"/>
      <c r="O403" s="2708"/>
      <c r="P403" s="2708"/>
      <c r="Q403" s="2708"/>
      <c r="R403" s="54"/>
      <c r="S403" s="54"/>
      <c r="T403" s="54"/>
      <c r="U403" s="54"/>
      <c r="V403" s="54"/>
      <c r="W403" s="54"/>
      <c r="X403" s="54"/>
      <c r="Y403" s="54"/>
      <c r="Z403" s="54"/>
      <c r="AA403" s="3">
        <v>1</v>
      </c>
    </row>
    <row r="404" spans="1:27" s="2684" customFormat="1" ht="21" customHeight="1">
      <c r="A404" s="5839" t="s">
        <v>166</v>
      </c>
      <c r="B404" s="7112" t="s">
        <v>10258</v>
      </c>
      <c r="C404" s="7113"/>
      <c r="D404" s="7113"/>
      <c r="E404" s="7113"/>
      <c r="F404" s="7113"/>
      <c r="G404" s="7113"/>
      <c r="H404" s="7113"/>
      <c r="I404" s="7113"/>
      <c r="J404" s="7113"/>
      <c r="K404" s="7114"/>
      <c r="L404" s="2707"/>
      <c r="M404" s="2707"/>
      <c r="N404" s="2707"/>
      <c r="O404" s="2707"/>
      <c r="P404" s="2707"/>
      <c r="Q404" s="2707"/>
      <c r="R404" s="54"/>
      <c r="S404" s="54"/>
      <c r="T404" s="54"/>
      <c r="U404" s="54"/>
      <c r="V404" s="54"/>
      <c r="W404" s="54"/>
      <c r="X404" s="54"/>
      <c r="Y404" s="54"/>
      <c r="Z404" s="54"/>
      <c r="AA404" s="3">
        <v>1</v>
      </c>
    </row>
    <row r="405" spans="1:27" s="2684" customFormat="1" ht="21" customHeight="1">
      <c r="A405" s="7096" t="str">
        <f>B404</f>
        <v>Composition d'une garniture "COUSCOUS"</v>
      </c>
      <c r="B405" s="5757" t="str">
        <f>ADDRESS(ROW(),COLUMN(),4)</f>
        <v>B405</v>
      </c>
      <c r="C405" s="2615" t="s">
        <v>9521</v>
      </c>
      <c r="D405" s="5873"/>
      <c r="E405" s="5873"/>
      <c r="F405" s="5873"/>
      <c r="G405" s="5873"/>
      <c r="H405" s="5873"/>
      <c r="I405" s="5873"/>
      <c r="J405" s="5873"/>
      <c r="K405" s="5874"/>
      <c r="L405" s="2707"/>
      <c r="M405" s="2707"/>
      <c r="N405" s="2707"/>
      <c r="O405" s="2707"/>
      <c r="P405" s="2707"/>
      <c r="Q405" s="2707"/>
      <c r="R405" s="54"/>
      <c r="S405" s="54"/>
      <c r="T405" s="54"/>
      <c r="U405" s="54"/>
      <c r="V405" s="54"/>
      <c r="W405" s="54"/>
      <c r="X405" s="54"/>
      <c r="Y405" s="54"/>
      <c r="Z405" s="54"/>
      <c r="AA405" s="3">
        <v>1</v>
      </c>
    </row>
    <row r="406" spans="1:27" s="2684" customFormat="1" ht="21" customHeight="1">
      <c r="A406" s="7096"/>
      <c r="B406" s="7115" t="s">
        <v>10504</v>
      </c>
      <c r="C406" s="7116"/>
      <c r="D406" s="7116"/>
      <c r="E406" s="3210">
        <v>1</v>
      </c>
      <c r="F406" s="3211">
        <f>E406</f>
        <v>1</v>
      </c>
      <c r="G406" s="7117" t="s">
        <v>10505</v>
      </c>
      <c r="H406" s="7117"/>
      <c r="I406" s="3212" t="s">
        <v>10506</v>
      </c>
      <c r="J406" s="7118" t="s">
        <v>10507</v>
      </c>
      <c r="K406" s="7119"/>
      <c r="L406" s="2707"/>
      <c r="M406" s="2707"/>
      <c r="N406" s="2707"/>
      <c r="O406" s="2707"/>
      <c r="P406" s="2707"/>
      <c r="Q406" s="2707"/>
      <c r="R406" s="54"/>
      <c r="S406" s="54"/>
      <c r="T406" s="54"/>
      <c r="U406" s="54"/>
      <c r="V406" s="54"/>
      <c r="W406" s="54"/>
      <c r="X406" s="54"/>
      <c r="Y406" s="54"/>
      <c r="Z406" s="54"/>
      <c r="AA406" s="3">
        <v>1</v>
      </c>
    </row>
    <row r="407" spans="1:27" s="2684" customFormat="1" ht="21" customHeight="1">
      <c r="A407" s="7096"/>
      <c r="B407" s="7091" t="s">
        <v>10508</v>
      </c>
      <c r="C407" s="7092"/>
      <c r="D407" s="7092"/>
      <c r="E407" s="3213">
        <v>25</v>
      </c>
      <c r="F407" s="3211">
        <f>F406</f>
        <v>1</v>
      </c>
      <c r="G407" s="7093">
        <f t="shared" ref="G407:G413" si="4">(F407*E407)/100</f>
        <v>0.25</v>
      </c>
      <c r="H407" s="7093"/>
      <c r="I407" s="3214">
        <v>20</v>
      </c>
      <c r="J407" s="7094">
        <f t="shared" ref="J407:J413" si="5">G407/(100-I407)*100</f>
        <v>0.3125</v>
      </c>
      <c r="K407" s="7095"/>
      <c r="L407" s="2707"/>
      <c r="M407" s="2707"/>
      <c r="N407" s="2707"/>
      <c r="O407" s="2707"/>
      <c r="P407" s="2707"/>
      <c r="Q407" s="2707"/>
      <c r="R407" s="54"/>
      <c r="S407" s="54"/>
      <c r="T407" s="54"/>
      <c r="U407" s="54"/>
      <c r="V407" s="54"/>
      <c r="W407" s="54"/>
      <c r="X407" s="54"/>
      <c r="Y407" s="54"/>
      <c r="Z407" s="54"/>
      <c r="AA407" s="3">
        <v>1</v>
      </c>
    </row>
    <row r="408" spans="1:27" s="2684" customFormat="1" ht="21" customHeight="1">
      <c r="A408" s="7096"/>
      <c r="B408" s="7091" t="s">
        <v>10509</v>
      </c>
      <c r="C408" s="7092"/>
      <c r="D408" s="7092"/>
      <c r="E408" s="3213">
        <v>20</v>
      </c>
      <c r="F408" s="3211">
        <f>F406</f>
        <v>1</v>
      </c>
      <c r="G408" s="7093">
        <f t="shared" si="4"/>
        <v>0.2</v>
      </c>
      <c r="H408" s="7093"/>
      <c r="I408" s="3214">
        <v>25</v>
      </c>
      <c r="J408" s="7094">
        <f t="shared" si="5"/>
        <v>0.26666666666666672</v>
      </c>
      <c r="K408" s="7095"/>
      <c r="L408" s="2707"/>
      <c r="M408" s="2707"/>
      <c r="N408" s="2707"/>
      <c r="O408" s="2707"/>
      <c r="P408" s="2707"/>
      <c r="Q408" s="2707"/>
      <c r="R408" s="54"/>
      <c r="S408" s="54"/>
      <c r="T408" s="54"/>
      <c r="U408" s="54"/>
      <c r="V408" s="54"/>
      <c r="W408" s="54"/>
      <c r="X408" s="54"/>
      <c r="Y408" s="54"/>
      <c r="Z408" s="54"/>
      <c r="AA408" s="3">
        <v>1</v>
      </c>
    </row>
    <row r="409" spans="1:27" s="2684" customFormat="1" ht="21" customHeight="1">
      <c r="A409" s="7096"/>
      <c r="B409" s="7091" t="s">
        <v>10510</v>
      </c>
      <c r="C409" s="7092"/>
      <c r="D409" s="7092"/>
      <c r="E409" s="3213">
        <v>15</v>
      </c>
      <c r="F409" s="3211">
        <f>F406</f>
        <v>1</v>
      </c>
      <c r="G409" s="7093">
        <f t="shared" si="4"/>
        <v>0.15</v>
      </c>
      <c r="H409" s="7093"/>
      <c r="I409" s="3214">
        <v>20</v>
      </c>
      <c r="J409" s="7094">
        <f t="shared" si="5"/>
        <v>0.1875</v>
      </c>
      <c r="K409" s="7095"/>
      <c r="L409" s="2707"/>
      <c r="M409" s="2707"/>
      <c r="N409" s="2707"/>
      <c r="O409" s="2707"/>
      <c r="P409" s="2707"/>
      <c r="Q409" s="2707"/>
      <c r="R409" s="54"/>
      <c r="S409" s="54"/>
      <c r="T409" s="54"/>
      <c r="U409" s="54"/>
      <c r="V409" s="54"/>
      <c r="W409" s="54"/>
      <c r="X409" s="54"/>
      <c r="Y409" s="54"/>
      <c r="Z409" s="54"/>
      <c r="AA409" s="3">
        <v>1</v>
      </c>
    </row>
    <row r="410" spans="1:27" s="2684" customFormat="1" ht="21" customHeight="1">
      <c r="A410" s="7096"/>
      <c r="B410" s="7091" t="s">
        <v>10511</v>
      </c>
      <c r="C410" s="7092"/>
      <c r="D410" s="7092"/>
      <c r="E410" s="3213">
        <v>15</v>
      </c>
      <c r="F410" s="3211">
        <f>F406</f>
        <v>1</v>
      </c>
      <c r="G410" s="7093">
        <f t="shared" si="4"/>
        <v>0.15</v>
      </c>
      <c r="H410" s="7093"/>
      <c r="I410" s="3214">
        <v>0</v>
      </c>
      <c r="J410" s="7094">
        <f t="shared" si="5"/>
        <v>0.15</v>
      </c>
      <c r="K410" s="7095"/>
      <c r="L410" s="2707"/>
      <c r="M410" s="2707"/>
      <c r="N410" s="2707"/>
      <c r="O410" s="2707"/>
      <c r="P410" s="2707"/>
      <c r="Q410" s="2707"/>
      <c r="R410" s="54"/>
      <c r="S410" s="54"/>
      <c r="T410" s="54"/>
      <c r="U410" s="54"/>
      <c r="V410" s="54"/>
      <c r="W410" s="54"/>
      <c r="X410" s="54"/>
      <c r="Y410" s="54"/>
      <c r="Z410" s="54"/>
      <c r="AA410" s="3">
        <v>1</v>
      </c>
    </row>
    <row r="411" spans="1:27" s="2684" customFormat="1" ht="21" customHeight="1">
      <c r="A411" s="7096"/>
      <c r="B411" s="7091" t="s">
        <v>10512</v>
      </c>
      <c r="C411" s="7092"/>
      <c r="D411" s="7092"/>
      <c r="E411" s="3213">
        <v>10</v>
      </c>
      <c r="F411" s="3211">
        <f>F406</f>
        <v>1</v>
      </c>
      <c r="G411" s="7093">
        <f t="shared" si="4"/>
        <v>0.1</v>
      </c>
      <c r="H411" s="7093"/>
      <c r="I411" s="3214">
        <v>20</v>
      </c>
      <c r="J411" s="7094">
        <f t="shared" si="5"/>
        <v>0.125</v>
      </c>
      <c r="K411" s="7095"/>
      <c r="L411" s="2707"/>
      <c r="M411" s="2707"/>
      <c r="N411" s="2707"/>
      <c r="O411" s="2707"/>
      <c r="P411" s="2707"/>
      <c r="Q411" s="2707"/>
      <c r="R411" s="54"/>
      <c r="S411" s="54"/>
      <c r="T411" s="54"/>
      <c r="U411" s="54"/>
      <c r="V411" s="54"/>
      <c r="W411" s="54"/>
      <c r="X411" s="54"/>
      <c r="Y411" s="54"/>
      <c r="Z411" s="54"/>
      <c r="AA411" s="3">
        <v>1</v>
      </c>
    </row>
    <row r="412" spans="1:27" s="2684" customFormat="1" ht="21" customHeight="1">
      <c r="A412" s="7096"/>
      <c r="B412" s="7091" t="s">
        <v>10513</v>
      </c>
      <c r="C412" s="7092"/>
      <c r="D412" s="7092"/>
      <c r="E412" s="3213">
        <v>7.5</v>
      </c>
      <c r="F412" s="3211">
        <f>F406</f>
        <v>1</v>
      </c>
      <c r="G412" s="7093">
        <f t="shared" si="4"/>
        <v>7.4999999999999997E-2</v>
      </c>
      <c r="H412" s="7093"/>
      <c r="I412" s="3214">
        <v>20</v>
      </c>
      <c r="J412" s="7094">
        <f t="shared" si="5"/>
        <v>9.375E-2</v>
      </c>
      <c r="K412" s="7095"/>
      <c r="L412" s="2707"/>
      <c r="M412" s="2707"/>
      <c r="N412" s="2707"/>
      <c r="O412" s="2707"/>
      <c r="P412" s="2707"/>
      <c r="Q412" s="2707"/>
      <c r="R412" s="54"/>
      <c r="S412" s="54"/>
      <c r="T412" s="54"/>
      <c r="U412" s="54"/>
      <c r="V412" s="54"/>
      <c r="W412" s="54"/>
      <c r="X412" s="54"/>
      <c r="Y412" s="54"/>
      <c r="Z412" s="54"/>
      <c r="AA412" s="3">
        <v>1</v>
      </c>
    </row>
    <row r="413" spans="1:27" s="2684" customFormat="1" ht="21" customHeight="1">
      <c r="A413" s="7096"/>
      <c r="B413" s="7091" t="s">
        <v>10514</v>
      </c>
      <c r="C413" s="7092"/>
      <c r="D413" s="7092"/>
      <c r="E413" s="3213">
        <v>7.5</v>
      </c>
      <c r="F413" s="3211">
        <f>F406</f>
        <v>1</v>
      </c>
      <c r="G413" s="7093">
        <f t="shared" si="4"/>
        <v>7.4999999999999997E-2</v>
      </c>
      <c r="H413" s="7093"/>
      <c r="I413" s="3214">
        <v>20</v>
      </c>
      <c r="J413" s="7094">
        <f t="shared" si="5"/>
        <v>9.375E-2</v>
      </c>
      <c r="K413" s="7095"/>
      <c r="L413" s="2707"/>
      <c r="M413" s="2707"/>
      <c r="N413" s="2707"/>
      <c r="O413" s="2707"/>
      <c r="P413" s="2707"/>
      <c r="Q413" s="2707"/>
      <c r="R413" s="54"/>
      <c r="S413" s="54"/>
      <c r="T413" s="54"/>
      <c r="U413" s="54"/>
      <c r="V413" s="54"/>
      <c r="W413" s="54"/>
      <c r="X413" s="54"/>
      <c r="Y413" s="54"/>
      <c r="Z413" s="54"/>
      <c r="AA413" s="3">
        <v>1</v>
      </c>
    </row>
    <row r="414" spans="1:27" s="2684" customFormat="1" ht="21" customHeight="1">
      <c r="A414" s="7096"/>
      <c r="B414" s="7120" t="s">
        <v>182</v>
      </c>
      <c r="C414" s="7121"/>
      <c r="D414" s="7121"/>
      <c r="E414" s="3215">
        <f>SUM(E407:E413)</f>
        <v>100</v>
      </c>
      <c r="F414" s="3216"/>
      <c r="G414" s="3169"/>
      <c r="H414" s="2708"/>
      <c r="I414" s="3169"/>
      <c r="J414" s="3169"/>
      <c r="K414" s="3217"/>
      <c r="L414" s="2707"/>
      <c r="M414" s="2707"/>
      <c r="N414" s="2707"/>
      <c r="O414" s="2707"/>
      <c r="P414" s="2707"/>
      <c r="Q414" s="2707"/>
      <c r="R414" s="54"/>
      <c r="S414" s="54"/>
      <c r="T414" s="54"/>
      <c r="U414" s="54"/>
      <c r="V414" s="54"/>
      <c r="W414" s="54"/>
      <c r="X414" s="54"/>
      <c r="Y414" s="54"/>
      <c r="Z414" s="54"/>
      <c r="AA414" s="3">
        <v>1</v>
      </c>
    </row>
    <row r="415" spans="1:27" s="2684" customFormat="1" ht="21" customHeight="1">
      <c r="A415" s="7096"/>
      <c r="B415" s="3218"/>
      <c r="C415" s="5870"/>
      <c r="D415" s="5870"/>
      <c r="E415" s="5875"/>
      <c r="F415" s="5876" t="str">
        <f>SUBSTITUTE(ADDRESS(1,COLUMN(),4),"1","")</f>
        <v>F</v>
      </c>
      <c r="G415" s="5877" t="s">
        <v>10515</v>
      </c>
      <c r="H415" s="5877"/>
      <c r="I415" s="5878"/>
      <c r="J415" s="5878"/>
      <c r="K415" s="5879"/>
      <c r="L415" s="2707"/>
      <c r="M415" s="2707"/>
      <c r="N415" s="2707"/>
      <c r="O415" s="2707"/>
      <c r="P415" s="2707"/>
      <c r="Q415" s="2707"/>
      <c r="R415" s="54"/>
      <c r="S415" s="54"/>
      <c r="T415" s="54"/>
      <c r="U415" s="54"/>
      <c r="V415" s="54"/>
      <c r="W415" s="54"/>
      <c r="X415" s="54"/>
      <c r="Y415" s="54"/>
      <c r="Z415" s="54"/>
      <c r="AA415" s="3">
        <v>1</v>
      </c>
    </row>
    <row r="416" spans="1:27" s="2684" customFormat="1" ht="21" customHeight="1" thickBot="1">
      <c r="A416" s="7096"/>
      <c r="B416" s="7122" t="s">
        <v>10516</v>
      </c>
      <c r="C416" s="7123"/>
      <c r="D416" s="7123"/>
      <c r="E416" s="7123"/>
      <c r="F416" s="7123"/>
      <c r="G416" s="7123"/>
      <c r="H416" s="7123"/>
      <c r="I416" s="7123"/>
      <c r="J416" s="7123"/>
      <c r="K416" s="7124"/>
      <c r="L416" s="2354"/>
      <c r="M416" s="2707"/>
      <c r="N416" s="2707"/>
      <c r="O416" s="2707"/>
      <c r="P416" s="2707"/>
      <c r="Q416" s="2707"/>
      <c r="R416" s="54"/>
      <c r="S416" s="54"/>
      <c r="T416" s="54"/>
      <c r="U416" s="54"/>
      <c r="V416" s="54"/>
      <c r="W416" s="54"/>
      <c r="X416" s="54"/>
      <c r="Y416" s="54"/>
      <c r="Z416" s="54"/>
      <c r="AA416" s="3">
        <v>1</v>
      </c>
    </row>
    <row r="417" spans="1:27" s="2684" customFormat="1" ht="21" customHeight="1" thickBot="1">
      <c r="A417" s="2707"/>
      <c r="B417" s="2708"/>
      <c r="C417" s="2708"/>
      <c r="D417" s="2708"/>
      <c r="E417" s="2708"/>
      <c r="F417" s="2708"/>
      <c r="G417" s="2708"/>
      <c r="H417" s="2708"/>
      <c r="I417" s="2708"/>
      <c r="J417" s="2708"/>
      <c r="K417" s="2708"/>
      <c r="L417" s="2708"/>
      <c r="M417" s="2707"/>
      <c r="N417" s="2707"/>
      <c r="O417" s="2707"/>
      <c r="P417" s="2707"/>
      <c r="Q417" s="2707"/>
      <c r="R417" s="54"/>
      <c r="S417" s="54"/>
      <c r="T417" s="54"/>
      <c r="U417" s="54"/>
      <c r="V417" s="54"/>
      <c r="W417" s="54"/>
      <c r="X417" s="54"/>
      <c r="Y417" s="54"/>
      <c r="Z417" s="54"/>
      <c r="AA417" s="3">
        <v>1</v>
      </c>
    </row>
    <row r="418" spans="1:27" s="2684" customFormat="1" ht="21" customHeight="1">
      <c r="A418" s="5839" t="s">
        <v>166</v>
      </c>
      <c r="B418" s="7088" t="s">
        <v>10260</v>
      </c>
      <c r="C418" s="7089"/>
      <c r="D418" s="7089"/>
      <c r="E418" s="7089"/>
      <c r="F418" s="7089"/>
      <c r="G418" s="7089"/>
      <c r="H418" s="7089"/>
      <c r="I418" s="7089"/>
      <c r="J418" s="7089"/>
      <c r="K418" s="7090"/>
      <c r="L418" s="2708"/>
      <c r="M418" s="2707"/>
      <c r="N418" s="2707"/>
      <c r="O418" s="2707"/>
      <c r="P418" s="2707"/>
      <c r="Q418" s="2707"/>
      <c r="R418" s="54"/>
      <c r="S418" s="54"/>
      <c r="T418" s="54"/>
      <c r="U418" s="54"/>
      <c r="V418" s="54"/>
      <c r="W418" s="54"/>
      <c r="X418" s="54"/>
      <c r="Y418" s="54"/>
      <c r="Z418" s="54"/>
      <c r="AA418" s="3">
        <v>1</v>
      </c>
    </row>
    <row r="419" spans="1:27" s="2684" customFormat="1" ht="21" customHeight="1">
      <c r="A419" s="7096" t="str">
        <f>B418</f>
        <v>COMPOSITION ET SERVICE D'UN PLAT COMPLET</v>
      </c>
      <c r="B419" s="5757" t="str">
        <f>ADDRESS(ROW(),COLUMN(),4)</f>
        <v>B419</v>
      </c>
      <c r="C419" s="2615" t="s">
        <v>9521</v>
      </c>
      <c r="D419" s="2729"/>
      <c r="E419" s="2729"/>
      <c r="F419" s="2729"/>
      <c r="G419" s="2729"/>
      <c r="H419" s="2729"/>
      <c r="I419" s="2729"/>
      <c r="J419" s="2729"/>
      <c r="K419" s="5855"/>
      <c r="L419" s="2708"/>
      <c r="M419" s="2707"/>
      <c r="N419" s="2707"/>
      <c r="O419" s="2707"/>
      <c r="P419" s="2707"/>
      <c r="Q419" s="2707"/>
      <c r="R419" s="54"/>
      <c r="S419" s="54"/>
      <c r="T419" s="54"/>
      <c r="U419" s="54"/>
      <c r="V419" s="54"/>
      <c r="W419" s="54"/>
      <c r="X419" s="54"/>
      <c r="Y419" s="54"/>
      <c r="Z419" s="54"/>
      <c r="AA419" s="3">
        <v>1</v>
      </c>
    </row>
    <row r="420" spans="1:27" s="2684" customFormat="1" ht="21" customHeight="1">
      <c r="A420" s="7096"/>
      <c r="B420" s="7097" t="s">
        <v>10516</v>
      </c>
      <c r="C420" s="7098"/>
      <c r="D420" s="7098"/>
      <c r="E420" s="7098"/>
      <c r="F420" s="7098"/>
      <c r="G420" s="7098"/>
      <c r="H420" s="7098"/>
      <c r="I420" s="7098"/>
      <c r="J420" s="7098"/>
      <c r="K420" s="7099"/>
      <c r="L420" s="2708"/>
      <c r="M420" s="2707"/>
      <c r="N420" s="2707"/>
      <c r="O420" s="2707"/>
      <c r="P420" s="2707"/>
      <c r="Q420" s="2707"/>
      <c r="R420" s="54"/>
      <c r="S420" s="54"/>
      <c r="T420" s="54"/>
      <c r="U420" s="54"/>
      <c r="V420" s="54"/>
      <c r="W420" s="54"/>
      <c r="X420" s="54"/>
      <c r="Y420" s="54"/>
      <c r="Z420" s="54"/>
      <c r="AA420" s="3">
        <v>1</v>
      </c>
    </row>
    <row r="421" spans="1:27" s="2684" customFormat="1" ht="21" customHeight="1">
      <c r="A421" s="7096"/>
      <c r="B421" s="7100" t="s">
        <v>10517</v>
      </c>
      <c r="C421" s="7101"/>
      <c r="D421" s="7101"/>
      <c r="E421" s="7101"/>
      <c r="F421" s="7101"/>
      <c r="G421" s="7101"/>
      <c r="H421" s="7101"/>
      <c r="I421" s="7101"/>
      <c r="J421" s="7101"/>
      <c r="K421" s="7102"/>
      <c r="L421" s="2708"/>
      <c r="M421" s="2707"/>
      <c r="N421" s="2707"/>
      <c r="O421" s="2707"/>
      <c r="P421" s="2707"/>
      <c r="Q421" s="2707"/>
      <c r="R421" s="54"/>
      <c r="S421" s="54"/>
      <c r="T421" s="54"/>
      <c r="U421" s="54"/>
      <c r="V421" s="54"/>
      <c r="W421" s="54"/>
      <c r="X421" s="54"/>
      <c r="Y421" s="54"/>
      <c r="Z421" s="54"/>
      <c r="AA421" s="3">
        <v>1</v>
      </c>
    </row>
    <row r="422" spans="1:27" s="2684" customFormat="1" ht="21" customHeight="1">
      <c r="A422" s="7096"/>
      <c r="B422" s="7103" t="str">
        <f ca="1">CELL("nomfichier")</f>
        <v>D:\Données\1.UPRT\0-UPRT.fait\1-UPRT.FR-SITE-WEB\ff-fiches-fabrications\ff.fiches.fabrication.2023\ffr.restaurant.2023\[ff.FICHE.TRILINGUE.20.COLONNES.05.01.2026.xlsx]Couleurs.pour.vos.documents</v>
      </c>
      <c r="C422" s="7104"/>
      <c r="D422" s="7104"/>
      <c r="E422" s="7104"/>
      <c r="F422" s="7104"/>
      <c r="G422" s="7104"/>
      <c r="H422" s="7104"/>
      <c r="I422" s="7104"/>
      <c r="J422" s="7104"/>
      <c r="K422" s="7105"/>
      <c r="L422" s="2708"/>
      <c r="M422" s="2707"/>
      <c r="N422" s="2707"/>
      <c r="O422" s="2707"/>
      <c r="P422" s="2707"/>
      <c r="Q422" s="2707"/>
      <c r="R422" s="54"/>
      <c r="S422" s="54"/>
      <c r="T422" s="54"/>
      <c r="U422" s="54"/>
      <c r="V422" s="54"/>
      <c r="W422" s="54"/>
      <c r="X422" s="54"/>
      <c r="Y422" s="54"/>
      <c r="Z422" s="54"/>
      <c r="AA422" s="3">
        <v>1</v>
      </c>
    </row>
    <row r="423" spans="1:27" s="2684" customFormat="1" ht="21" customHeight="1">
      <c r="A423" s="7096"/>
      <c r="B423" s="7106" t="s">
        <v>10518</v>
      </c>
      <c r="C423" s="7107"/>
      <c r="D423" s="7107"/>
      <c r="E423" s="7107"/>
      <c r="F423" s="7107"/>
      <c r="G423" s="7107"/>
      <c r="H423" s="7107"/>
      <c r="I423" s="7107"/>
      <c r="J423" s="7107"/>
      <c r="K423" s="7108"/>
      <c r="L423" s="2708"/>
      <c r="M423" s="2707"/>
      <c r="N423" s="2707"/>
      <c r="O423" s="2707"/>
      <c r="P423" s="2707"/>
      <c r="Q423" s="2707"/>
      <c r="R423" s="54"/>
      <c r="S423" s="54"/>
      <c r="T423" s="54"/>
      <c r="U423" s="54"/>
      <c r="V423" s="54"/>
      <c r="W423" s="54"/>
      <c r="X423" s="54"/>
      <c r="Y423" s="54"/>
      <c r="Z423" s="54"/>
      <c r="AA423" s="3">
        <v>1</v>
      </c>
    </row>
    <row r="424" spans="1:27" s="2684" customFormat="1" ht="21" customHeight="1">
      <c r="A424" s="7096"/>
      <c r="B424" s="3142"/>
      <c r="C424" s="3219"/>
      <c r="D424" s="3219" t="s">
        <v>10519</v>
      </c>
      <c r="E424" s="2708"/>
      <c r="F424" s="3220">
        <f ca="1">TODAY()</f>
        <v>46037</v>
      </c>
      <c r="G424" s="3221"/>
      <c r="H424" s="3222"/>
      <c r="I424" s="3223">
        <f ca="1">NOW()</f>
        <v>46037.834345254632</v>
      </c>
      <c r="J424" s="3223"/>
      <c r="K424" s="3224"/>
      <c r="L424" s="2708"/>
      <c r="M424" s="2707"/>
      <c r="N424" s="2707"/>
      <c r="O424" s="2707"/>
      <c r="P424" s="2707"/>
      <c r="Q424" s="2707"/>
      <c r="R424" s="54"/>
      <c r="S424" s="54"/>
      <c r="T424" s="54"/>
      <c r="U424" s="54"/>
      <c r="V424" s="54"/>
      <c r="W424" s="54"/>
      <c r="X424" s="54"/>
      <c r="Y424" s="54"/>
      <c r="Z424" s="54"/>
      <c r="AA424" s="3">
        <v>1</v>
      </c>
    </row>
    <row r="425" spans="1:27" s="2684" customFormat="1" ht="21" customHeight="1">
      <c r="A425" s="7096"/>
      <c r="B425" s="3225" t="s">
        <v>2629</v>
      </c>
      <c r="C425" s="3226" t="s">
        <v>687</v>
      </c>
      <c r="D425" s="2707"/>
      <c r="E425" s="2708"/>
      <c r="F425" s="2708"/>
      <c r="G425" s="2708"/>
      <c r="H425" s="3227"/>
      <c r="I425" s="3227"/>
      <c r="J425" s="3227"/>
      <c r="K425" s="3228"/>
      <c r="L425" s="2708"/>
      <c r="M425" s="2707"/>
      <c r="N425" s="2707"/>
      <c r="O425" s="2707"/>
      <c r="P425" s="2707"/>
      <c r="Q425" s="2707"/>
      <c r="R425" s="54"/>
      <c r="S425" s="54"/>
      <c r="T425" s="54"/>
      <c r="U425" s="54"/>
      <c r="V425" s="54"/>
      <c r="W425" s="54"/>
      <c r="X425" s="54"/>
      <c r="Y425" s="54"/>
      <c r="Z425" s="54"/>
      <c r="AA425" s="3">
        <v>1</v>
      </c>
    </row>
    <row r="426" spans="1:27" s="2684" customFormat="1" ht="21" customHeight="1">
      <c r="A426" s="7096"/>
      <c r="B426" s="2737"/>
      <c r="C426" s="3229" t="s">
        <v>10331</v>
      </c>
      <c r="D426" s="3230" t="s">
        <v>10332</v>
      </c>
      <c r="E426" s="3230" t="s">
        <v>8189</v>
      </c>
      <c r="F426" s="3230" t="s">
        <v>10333</v>
      </c>
      <c r="G426" s="3231" t="s">
        <v>8191</v>
      </c>
      <c r="H426" s="7109" t="s">
        <v>10439</v>
      </c>
      <c r="I426" s="7109"/>
      <c r="J426" s="7109"/>
      <c r="K426" s="3232"/>
      <c r="L426" s="2708"/>
      <c r="M426" s="2707"/>
      <c r="N426" s="2707"/>
      <c r="O426" s="2707"/>
      <c r="P426" s="2707"/>
      <c r="Q426" s="2707"/>
      <c r="R426" s="54"/>
      <c r="S426" s="54"/>
      <c r="T426" s="54"/>
      <c r="U426" s="54"/>
      <c r="V426" s="54"/>
      <c r="W426" s="54"/>
      <c r="X426" s="54"/>
      <c r="Y426" s="54"/>
      <c r="Z426" s="54"/>
      <c r="AA426" s="3">
        <v>1</v>
      </c>
    </row>
    <row r="427" spans="1:27" s="2684" customFormat="1" ht="21" customHeight="1">
      <c r="A427" s="7096"/>
      <c r="B427" s="2737"/>
      <c r="C427" s="3233">
        <v>550</v>
      </c>
      <c r="D427" s="3233">
        <v>920</v>
      </c>
      <c r="E427" s="3233">
        <v>340</v>
      </c>
      <c r="F427" s="3233">
        <v>150</v>
      </c>
      <c r="G427" s="3233">
        <v>210</v>
      </c>
      <c r="H427" s="7110" t="s">
        <v>10334</v>
      </c>
      <c r="I427" s="7110"/>
      <c r="J427" s="7110"/>
      <c r="K427" s="3235">
        <f>SUM(C427:J427)</f>
        <v>2170</v>
      </c>
      <c r="L427" s="2708"/>
      <c r="M427" s="2707"/>
      <c r="N427" s="2707"/>
      <c r="O427" s="2707"/>
      <c r="P427" s="2707"/>
      <c r="Q427" s="2707"/>
      <c r="R427" s="54"/>
      <c r="S427" s="54"/>
      <c r="T427" s="54"/>
      <c r="U427" s="54"/>
      <c r="V427" s="54"/>
      <c r="W427" s="54"/>
      <c r="X427" s="54"/>
      <c r="Y427" s="54"/>
      <c r="Z427" s="54"/>
      <c r="AA427" s="3">
        <v>1</v>
      </c>
    </row>
    <row r="428" spans="1:27" s="2684" customFormat="1" ht="21" customHeight="1">
      <c r="A428" s="7096"/>
      <c r="B428" s="3236"/>
      <c r="C428" s="3237"/>
      <c r="D428" s="3237"/>
      <c r="E428" s="3237"/>
      <c r="F428" s="3237"/>
      <c r="G428" s="3237"/>
      <c r="H428" s="3234"/>
      <c r="I428" s="3234"/>
      <c r="J428" s="3234"/>
      <c r="K428" s="3235"/>
      <c r="L428" s="2708"/>
      <c r="M428" s="2707"/>
      <c r="N428" s="2707"/>
      <c r="O428" s="2707"/>
      <c r="P428" s="2707"/>
      <c r="Q428" s="2707"/>
      <c r="R428" s="54"/>
      <c r="S428" s="54"/>
      <c r="T428" s="54"/>
      <c r="U428" s="54"/>
      <c r="V428" s="54"/>
      <c r="W428" s="54"/>
      <c r="X428" s="54"/>
      <c r="Y428" s="54"/>
      <c r="Z428" s="54"/>
      <c r="AA428" s="3">
        <v>1</v>
      </c>
    </row>
    <row r="429" spans="1:27" s="2684" customFormat="1" ht="21" customHeight="1">
      <c r="A429" s="7096"/>
      <c r="B429" s="3225" t="s">
        <v>16</v>
      </c>
      <c r="C429" s="3226" t="s">
        <v>10520</v>
      </c>
      <c r="D429" s="3237"/>
      <c r="E429" s="3237"/>
      <c r="F429" s="3237"/>
      <c r="G429" s="3237"/>
      <c r="H429" s="3234"/>
      <c r="I429" s="3234"/>
      <c r="J429" s="3234"/>
      <c r="K429" s="3238"/>
      <c r="L429" s="2708"/>
      <c r="M429" s="2707"/>
      <c r="N429" s="2707"/>
      <c r="O429" s="2707"/>
      <c r="P429" s="2707"/>
      <c r="Q429" s="2707"/>
      <c r="R429" s="54"/>
      <c r="S429" s="54"/>
      <c r="T429" s="54"/>
      <c r="U429" s="54"/>
      <c r="V429" s="54"/>
      <c r="W429" s="54"/>
      <c r="X429" s="54"/>
      <c r="Y429" s="54"/>
      <c r="Z429" s="54"/>
      <c r="AA429" s="3">
        <v>1</v>
      </c>
    </row>
    <row r="430" spans="1:27" s="2684" customFormat="1" ht="21" customHeight="1">
      <c r="A430" s="7096"/>
      <c r="B430" s="3236"/>
      <c r="C430" s="2707"/>
      <c r="D430" s="2707"/>
      <c r="E430" s="2707"/>
      <c r="F430" s="2707"/>
      <c r="G430" s="2707"/>
      <c r="H430" s="3239"/>
      <c r="I430" s="2707"/>
      <c r="J430" s="2708"/>
      <c r="K430" s="2736"/>
      <c r="L430" s="2708"/>
      <c r="M430" s="2707"/>
      <c r="N430" s="2707"/>
      <c r="O430" s="2707"/>
      <c r="P430" s="2707"/>
      <c r="Q430" s="2707"/>
      <c r="R430" s="54"/>
      <c r="S430" s="54"/>
      <c r="T430" s="54"/>
      <c r="U430" s="54"/>
      <c r="V430" s="54"/>
      <c r="W430" s="54"/>
      <c r="X430" s="54"/>
      <c r="Y430" s="54"/>
      <c r="Z430" s="54"/>
      <c r="AA430" s="3">
        <v>1</v>
      </c>
    </row>
    <row r="431" spans="1:27" s="2684" customFormat="1" ht="21" customHeight="1">
      <c r="A431" s="7096"/>
      <c r="B431" s="3236"/>
      <c r="C431" s="3240">
        <v>0</v>
      </c>
      <c r="D431" s="3240">
        <v>1</v>
      </c>
      <c r="E431" s="3240">
        <v>1</v>
      </c>
      <c r="F431" s="3240">
        <v>0</v>
      </c>
      <c r="G431" s="3240">
        <v>1</v>
      </c>
      <c r="H431" s="7111" t="s">
        <v>10521</v>
      </c>
      <c r="I431" s="7111"/>
      <c r="J431" s="7111"/>
      <c r="K431" s="3241">
        <f>(C431*C427)+(D431*D427)+(E431*E427)+(F431*F427)+(G431*G427)</f>
        <v>1470</v>
      </c>
      <c r="L431" s="2708"/>
      <c r="M431" s="2707"/>
      <c r="N431" s="2707"/>
      <c r="O431" s="2707"/>
      <c r="P431" s="2707"/>
      <c r="Q431" s="2707"/>
      <c r="R431" s="54"/>
      <c r="S431" s="54"/>
      <c r="T431" s="54"/>
      <c r="U431" s="54"/>
      <c r="V431" s="54"/>
      <c r="W431" s="54"/>
      <c r="X431" s="54"/>
      <c r="Y431" s="54"/>
      <c r="Z431" s="54"/>
      <c r="AA431" s="3">
        <v>1</v>
      </c>
    </row>
    <row r="432" spans="1:27" s="2684" customFormat="1" ht="21" customHeight="1">
      <c r="A432" s="7096"/>
      <c r="B432" s="3236"/>
      <c r="C432" s="3240">
        <v>1</v>
      </c>
      <c r="D432" s="3240">
        <v>0</v>
      </c>
      <c r="E432" s="3240">
        <v>0</v>
      </c>
      <c r="F432" s="3240">
        <v>2</v>
      </c>
      <c r="G432" s="3240">
        <v>0</v>
      </c>
      <c r="H432" s="7111" t="s">
        <v>10522</v>
      </c>
      <c r="I432" s="7111"/>
      <c r="J432" s="7111"/>
      <c r="K432" s="3241">
        <f>(C432*C427)+(D432*D427)+(E432*E427)+(F432*F427)+(G432*G427)</f>
        <v>850</v>
      </c>
      <c r="L432" s="2708"/>
      <c r="M432" s="2707"/>
      <c r="N432" s="2707"/>
      <c r="O432" s="2707"/>
      <c r="P432" s="2707"/>
      <c r="Q432" s="2707"/>
      <c r="R432" s="54"/>
      <c r="S432" s="54"/>
      <c r="T432" s="54"/>
      <c r="U432" s="54"/>
      <c r="V432" s="54"/>
      <c r="W432" s="54"/>
      <c r="X432" s="54"/>
      <c r="Y432" s="54"/>
      <c r="Z432" s="54"/>
      <c r="AA432" s="3">
        <v>1</v>
      </c>
    </row>
    <row r="433" spans="1:27" s="2684" customFormat="1" ht="21" customHeight="1">
      <c r="A433" s="7096"/>
      <c r="B433" s="3236"/>
      <c r="C433" s="3242">
        <v>0.5</v>
      </c>
      <c r="D433" s="3240">
        <v>1</v>
      </c>
      <c r="E433" s="3240">
        <v>1</v>
      </c>
      <c r="F433" s="3240">
        <v>1</v>
      </c>
      <c r="G433" s="3240">
        <v>1</v>
      </c>
      <c r="H433" s="7111" t="s">
        <v>10523</v>
      </c>
      <c r="I433" s="7111"/>
      <c r="J433" s="7111"/>
      <c r="K433" s="3241">
        <f>(C433*C427)+(D433*D427)+(E433*E427)+(F433*F427)+(G433*G427)</f>
        <v>1895</v>
      </c>
      <c r="L433" s="2708"/>
      <c r="M433" s="2707"/>
      <c r="N433" s="2707"/>
      <c r="O433" s="2707"/>
      <c r="P433" s="2707"/>
      <c r="Q433" s="2707"/>
      <c r="R433" s="54"/>
      <c r="S433" s="54"/>
      <c r="T433" s="54"/>
      <c r="U433" s="54"/>
      <c r="V433" s="54"/>
      <c r="W433" s="54"/>
      <c r="X433" s="54"/>
      <c r="Y433" s="54"/>
      <c r="Z433" s="54"/>
      <c r="AA433" s="3">
        <v>1</v>
      </c>
    </row>
    <row r="434" spans="1:27" s="2684" customFormat="1" ht="21" customHeight="1">
      <c r="A434" s="7096"/>
      <c r="B434" s="3236"/>
      <c r="C434" s="3240">
        <v>0</v>
      </c>
      <c r="D434" s="3240">
        <v>0</v>
      </c>
      <c r="E434" s="3240">
        <v>2</v>
      </c>
      <c r="F434" s="3240">
        <v>2</v>
      </c>
      <c r="G434" s="3240">
        <v>1</v>
      </c>
      <c r="H434" s="7111" t="s">
        <v>10524</v>
      </c>
      <c r="I434" s="7111"/>
      <c r="J434" s="7111"/>
      <c r="K434" s="3241">
        <f>(C434*C427)+(D434*D427)+(E434*E427)+(F434*F427)+(G434*G427)</f>
        <v>1190</v>
      </c>
      <c r="L434" s="2708"/>
      <c r="M434" s="2707"/>
      <c r="N434" s="2707"/>
      <c r="O434" s="2707"/>
      <c r="P434" s="2707"/>
      <c r="Q434" s="2707"/>
      <c r="R434" s="54"/>
      <c r="S434" s="54"/>
      <c r="T434" s="54"/>
      <c r="U434" s="54"/>
      <c r="V434" s="54"/>
      <c r="W434" s="54"/>
      <c r="X434" s="54"/>
      <c r="Y434" s="54"/>
      <c r="Z434" s="54"/>
      <c r="AA434" s="3">
        <v>1</v>
      </c>
    </row>
    <row r="435" spans="1:27" s="2684" customFormat="1" ht="21" customHeight="1">
      <c r="A435" s="7096"/>
      <c r="B435" s="3236"/>
      <c r="C435" s="3240">
        <v>1</v>
      </c>
      <c r="D435" s="3240">
        <v>2</v>
      </c>
      <c r="E435" s="3240">
        <v>0</v>
      </c>
      <c r="F435" s="3240">
        <v>1</v>
      </c>
      <c r="G435" s="3240">
        <v>0</v>
      </c>
      <c r="H435" s="7111" t="s">
        <v>10525</v>
      </c>
      <c r="I435" s="7111"/>
      <c r="J435" s="7111"/>
      <c r="K435" s="3241">
        <f>(C435*C427)+(D435*D427)+(E435*E427)+(F435*F427)+(G435*G427)</f>
        <v>2540</v>
      </c>
      <c r="L435" s="2708"/>
      <c r="M435" s="2707"/>
      <c r="N435" s="2707"/>
      <c r="O435" s="2707"/>
      <c r="P435" s="2707"/>
      <c r="Q435" s="2707"/>
      <c r="R435" s="54"/>
      <c r="S435" s="54"/>
      <c r="T435" s="54"/>
      <c r="U435" s="54"/>
      <c r="V435" s="54"/>
      <c r="W435" s="54"/>
      <c r="X435" s="54"/>
      <c r="Y435" s="54"/>
      <c r="Z435" s="54"/>
      <c r="AA435" s="3">
        <v>1</v>
      </c>
    </row>
    <row r="436" spans="1:27" s="2684" customFormat="1" ht="21" customHeight="1">
      <c r="A436" s="7096"/>
      <c r="B436" s="3236"/>
      <c r="C436" s="3229" t="s">
        <v>10331</v>
      </c>
      <c r="D436" s="3230" t="s">
        <v>10332</v>
      </c>
      <c r="E436" s="3230" t="s">
        <v>8189</v>
      </c>
      <c r="F436" s="3230" t="s">
        <v>10333</v>
      </c>
      <c r="G436" s="3231" t="s">
        <v>8191</v>
      </c>
      <c r="H436" s="3243"/>
      <c r="I436" s="2707"/>
      <c r="J436" s="2708"/>
      <c r="K436" s="3241"/>
      <c r="L436" s="2708"/>
      <c r="M436" s="2707"/>
      <c r="N436" s="2707"/>
      <c r="O436" s="2707"/>
      <c r="P436" s="2707"/>
      <c r="Q436" s="2707"/>
      <c r="R436" s="54"/>
      <c r="S436" s="54"/>
      <c r="T436" s="54"/>
      <c r="U436" s="54"/>
      <c r="V436" s="54"/>
      <c r="W436" s="54"/>
      <c r="X436" s="54"/>
      <c r="Y436" s="54"/>
      <c r="Z436" s="54"/>
      <c r="AA436" s="3">
        <v>1</v>
      </c>
    </row>
    <row r="437" spans="1:27" s="2684" customFormat="1" ht="21" customHeight="1">
      <c r="A437" s="7096"/>
      <c r="B437" s="3236"/>
      <c r="C437" s="3244">
        <f>SUM(C431:C435)</f>
        <v>2.5</v>
      </c>
      <c r="D437" s="3244">
        <f>SUM(D431:D435)</f>
        <v>4</v>
      </c>
      <c r="E437" s="3244">
        <f>SUM(E431:E435)</f>
        <v>4</v>
      </c>
      <c r="F437" s="3244">
        <f>SUM(F431:F435)</f>
        <v>6</v>
      </c>
      <c r="G437" s="3244">
        <f>SUM(G431:G435)</f>
        <v>3</v>
      </c>
      <c r="H437" s="3245" t="s">
        <v>10526</v>
      </c>
      <c r="I437" s="2707"/>
      <c r="J437" s="2708"/>
      <c r="K437" s="3246"/>
      <c r="L437" s="2708"/>
      <c r="M437" s="2707"/>
      <c r="N437" s="2707"/>
      <c r="O437" s="2707"/>
      <c r="P437" s="2707"/>
      <c r="Q437" s="2707"/>
      <c r="R437" s="54"/>
      <c r="S437" s="54"/>
      <c r="T437" s="54"/>
      <c r="U437" s="54"/>
      <c r="V437" s="54"/>
      <c r="W437" s="54"/>
      <c r="X437" s="54"/>
      <c r="Y437" s="54"/>
      <c r="Z437" s="54"/>
      <c r="AA437" s="3">
        <v>1</v>
      </c>
    </row>
    <row r="438" spans="1:27" s="2684" customFormat="1" ht="21" customHeight="1">
      <c r="A438" s="7096"/>
      <c r="B438" s="3247"/>
      <c r="C438" s="3248"/>
      <c r="D438" s="3248"/>
      <c r="E438" s="3248"/>
      <c r="F438" s="3248"/>
      <c r="G438" s="3248"/>
      <c r="H438" s="3243"/>
      <c r="I438" s="2707"/>
      <c r="J438" s="2708"/>
      <c r="K438" s="3249"/>
      <c r="L438" s="2708"/>
      <c r="M438" s="2707"/>
      <c r="N438" s="2707"/>
      <c r="O438" s="2707"/>
      <c r="P438" s="2707"/>
      <c r="Q438" s="2707"/>
      <c r="R438" s="54"/>
      <c r="S438" s="54"/>
      <c r="T438" s="54"/>
      <c r="U438" s="54"/>
      <c r="V438" s="54"/>
      <c r="W438" s="54"/>
      <c r="X438" s="54"/>
      <c r="Y438" s="54"/>
      <c r="Z438" s="54"/>
      <c r="AA438" s="3">
        <v>1</v>
      </c>
    </row>
    <row r="439" spans="1:27" s="2684" customFormat="1" ht="21" customHeight="1">
      <c r="A439" s="7096"/>
      <c r="B439" s="3225" t="s">
        <v>2630</v>
      </c>
      <c r="C439" s="3250">
        <v>0.06</v>
      </c>
      <c r="D439" s="3250">
        <v>0.08</v>
      </c>
      <c r="E439" s="3250">
        <v>0.15</v>
      </c>
      <c r="F439" s="3250">
        <v>0.2</v>
      </c>
      <c r="G439" s="3250">
        <v>0.1</v>
      </c>
      <c r="H439" s="7111" t="s">
        <v>10527</v>
      </c>
      <c r="I439" s="7111"/>
      <c r="J439" s="7111"/>
      <c r="K439" s="3251">
        <f>(C439*C427)+(D439*D427)+(E439*E427)+(F439*F427)+(G439*G427)</f>
        <v>208.60000000000002</v>
      </c>
      <c r="L439" s="2708"/>
      <c r="M439" s="2707"/>
      <c r="N439" s="2707"/>
      <c r="O439" s="2707"/>
      <c r="P439" s="2707"/>
      <c r="Q439" s="2707"/>
      <c r="R439" s="54"/>
      <c r="S439" s="54"/>
      <c r="T439" s="54"/>
      <c r="U439" s="54"/>
      <c r="V439" s="54"/>
      <c r="W439" s="54"/>
      <c r="X439" s="54"/>
      <c r="Y439" s="54"/>
      <c r="Z439" s="54"/>
      <c r="AA439" s="3">
        <v>1</v>
      </c>
    </row>
    <row r="440" spans="1:27" s="2684" customFormat="1" ht="21" customHeight="1">
      <c r="A440" s="7096"/>
      <c r="B440" s="3247"/>
      <c r="C440" s="3248"/>
      <c r="D440" s="3248"/>
      <c r="E440" s="3248"/>
      <c r="F440" s="3248"/>
      <c r="G440" s="3248"/>
      <c r="H440" s="3252"/>
      <c r="I440" s="3253"/>
      <c r="J440" s="3254"/>
      <c r="K440" s="3241"/>
      <c r="L440" s="2708"/>
      <c r="M440" s="2707"/>
      <c r="N440" s="2707"/>
      <c r="O440" s="2707"/>
      <c r="P440" s="2707"/>
      <c r="Q440" s="2707"/>
      <c r="R440" s="54"/>
      <c r="S440" s="54"/>
      <c r="T440" s="54"/>
      <c r="U440" s="54"/>
      <c r="V440" s="54"/>
      <c r="W440" s="54"/>
      <c r="X440" s="54"/>
      <c r="Y440" s="54"/>
      <c r="Z440" s="54"/>
      <c r="AA440" s="3">
        <v>1</v>
      </c>
    </row>
    <row r="441" spans="1:27" s="2684" customFormat="1" ht="21" customHeight="1">
      <c r="A441" s="7096"/>
      <c r="B441" s="3225" t="s">
        <v>2631</v>
      </c>
      <c r="C441" s="3250">
        <v>0.06</v>
      </c>
      <c r="D441" s="3250">
        <v>0.1</v>
      </c>
      <c r="E441" s="3250">
        <v>0.12</v>
      </c>
      <c r="F441" s="3250">
        <v>0.15</v>
      </c>
      <c r="G441" s="3250">
        <v>0.12</v>
      </c>
      <c r="H441" s="7111" t="s">
        <v>10528</v>
      </c>
      <c r="I441" s="7111"/>
      <c r="J441" s="7111"/>
      <c r="K441" s="3251">
        <f>(C441*C427)+(D441*D427)+(E441*E427)+(F441*F427)+(G441*G427)</f>
        <v>213.5</v>
      </c>
      <c r="L441" s="2708"/>
      <c r="M441" s="2707"/>
      <c r="N441" s="2707"/>
      <c r="O441" s="2707"/>
      <c r="P441" s="2707"/>
      <c r="Q441" s="2707"/>
      <c r="R441" s="54"/>
      <c r="S441" s="54"/>
      <c r="T441" s="54"/>
      <c r="U441" s="54"/>
      <c r="V441" s="54"/>
      <c r="W441" s="54"/>
      <c r="X441" s="54"/>
      <c r="Y441" s="54"/>
      <c r="Z441" s="54"/>
      <c r="AA441" s="3">
        <v>1</v>
      </c>
    </row>
    <row r="442" spans="1:27" s="2684" customFormat="1" ht="21" customHeight="1">
      <c r="A442" s="7096"/>
      <c r="B442" s="3247"/>
      <c r="C442" s="3248"/>
      <c r="D442" s="3248"/>
      <c r="E442" s="3248"/>
      <c r="F442" s="3248"/>
      <c r="G442" s="3248"/>
      <c r="H442" s="3252"/>
      <c r="I442" s="3253"/>
      <c r="J442" s="3254"/>
      <c r="K442" s="3241"/>
      <c r="L442" s="2708"/>
      <c r="M442" s="2707"/>
      <c r="N442" s="2707"/>
      <c r="O442" s="2707"/>
      <c r="P442" s="2707"/>
      <c r="Q442" s="2707"/>
      <c r="R442" s="54"/>
      <c r="S442" s="54"/>
      <c r="T442" s="54"/>
      <c r="U442" s="54"/>
      <c r="V442" s="54"/>
      <c r="W442" s="54"/>
      <c r="X442" s="54"/>
      <c r="Y442" s="54"/>
      <c r="Z442" s="54"/>
      <c r="AA442" s="3">
        <v>1</v>
      </c>
    </row>
    <row r="443" spans="1:27" s="2684" customFormat="1" ht="21" customHeight="1">
      <c r="A443" s="7096"/>
      <c r="B443" s="3225" t="s">
        <v>2632</v>
      </c>
      <c r="C443" s="3250">
        <v>0.06</v>
      </c>
      <c r="D443" s="3250">
        <v>0.1</v>
      </c>
      <c r="E443" s="3250">
        <v>0.15</v>
      </c>
      <c r="F443" s="3250">
        <v>0.2</v>
      </c>
      <c r="G443" s="3250">
        <v>0.15</v>
      </c>
      <c r="H443" s="7111" t="s">
        <v>10305</v>
      </c>
      <c r="I443" s="7111"/>
      <c r="J443" s="7111"/>
      <c r="K443" s="3251">
        <f>(C443*C427)+(D443*D427)+(E443*E427)+(F443*F427)+(G443*G427)</f>
        <v>237.5</v>
      </c>
      <c r="L443" s="2708"/>
      <c r="M443" s="2707"/>
      <c r="N443" s="2707"/>
      <c r="O443" s="2707"/>
      <c r="P443" s="2707"/>
      <c r="Q443" s="2707"/>
      <c r="R443" s="54"/>
      <c r="S443" s="54"/>
      <c r="T443" s="54"/>
      <c r="U443" s="54"/>
      <c r="V443" s="54"/>
      <c r="W443" s="54"/>
      <c r="X443" s="54"/>
      <c r="Y443" s="54"/>
      <c r="Z443" s="54"/>
      <c r="AA443" s="3">
        <v>1</v>
      </c>
    </row>
    <row r="444" spans="1:27" s="2684" customFormat="1" ht="21" customHeight="1" thickBot="1">
      <c r="A444" s="7096"/>
      <c r="B444" s="3255"/>
      <c r="C444" s="3256"/>
      <c r="D444" s="3084"/>
      <c r="E444" s="3257"/>
      <c r="F444" s="3258"/>
      <c r="G444" s="3259"/>
      <c r="H444" s="3259"/>
      <c r="I444" s="3084"/>
      <c r="J444" s="3084"/>
      <c r="K444" s="2745"/>
      <c r="L444" s="2708"/>
      <c r="M444" s="2707"/>
      <c r="N444" s="2707"/>
      <c r="O444" s="2707"/>
      <c r="P444" s="2707"/>
      <c r="Q444" s="2707"/>
      <c r="R444" s="54"/>
      <c r="S444" s="54"/>
      <c r="T444" s="54"/>
      <c r="U444" s="54"/>
      <c r="V444" s="54"/>
      <c r="W444" s="54"/>
      <c r="X444" s="54"/>
      <c r="Y444" s="54"/>
      <c r="Z444" s="54"/>
      <c r="AA444" s="3">
        <v>1</v>
      </c>
    </row>
    <row r="445" spans="1:27" s="2684" customFormat="1" ht="21" customHeight="1">
      <c r="A445" s="2707"/>
      <c r="B445" s="2708"/>
      <c r="C445" s="2708"/>
      <c r="D445" s="2708"/>
      <c r="E445" s="2708"/>
      <c r="F445" s="2708"/>
      <c r="G445" s="2708"/>
      <c r="H445" s="2708"/>
      <c r="I445" s="2708"/>
      <c r="J445" s="2708"/>
      <c r="K445" s="2708"/>
      <c r="L445" s="2708"/>
      <c r="M445" s="2707"/>
      <c r="N445" s="2707"/>
      <c r="O445" s="2707"/>
      <c r="P445" s="2707"/>
      <c r="Q445" s="2707"/>
      <c r="R445" s="54"/>
      <c r="S445" s="54"/>
      <c r="T445" s="54"/>
      <c r="U445" s="54"/>
      <c r="V445" s="54"/>
      <c r="W445" s="54"/>
      <c r="X445" s="54"/>
      <c r="Y445" s="54"/>
      <c r="Z445" s="54"/>
      <c r="AA445" s="3">
        <v>1</v>
      </c>
    </row>
    <row r="446" spans="1:27" s="2684" customFormat="1" ht="21" customHeight="1">
      <c r="A446" s="3260"/>
      <c r="B446" s="3261"/>
      <c r="C446" s="3262"/>
      <c r="D446" s="3262"/>
      <c r="E446" s="3262"/>
      <c r="F446" s="3262"/>
      <c r="G446" s="3262"/>
      <c r="H446" s="3262"/>
      <c r="I446" s="3262"/>
      <c r="J446" s="3261"/>
      <c r="K446" s="3261"/>
      <c r="L446" s="3261"/>
      <c r="M446" s="3260"/>
      <c r="N446" s="3260"/>
      <c r="O446" s="3260"/>
      <c r="P446" s="3260"/>
      <c r="Q446" s="3260"/>
      <c r="R446" s="54"/>
      <c r="S446" s="54"/>
      <c r="T446" s="54"/>
      <c r="U446" s="54"/>
      <c r="V446" s="54"/>
      <c r="W446" s="54"/>
      <c r="X446" s="54"/>
      <c r="Y446" s="54"/>
      <c r="Z446" s="54"/>
      <c r="AA446" s="3">
        <v>1</v>
      </c>
    </row>
    <row r="447" spans="1:27" s="2684" customFormat="1" ht="21" customHeight="1" thickBot="1">
      <c r="A447" s="2707"/>
      <c r="B447" s="2708"/>
      <c r="C447" s="2708"/>
      <c r="D447" s="2708"/>
      <c r="E447" s="2708"/>
      <c r="F447" s="2708"/>
      <c r="G447" s="2708"/>
      <c r="H447" s="2708"/>
      <c r="I447" s="2708"/>
      <c r="J447" s="2708"/>
      <c r="K447" s="2708"/>
      <c r="L447" s="2708"/>
      <c r="M447" s="2707"/>
      <c r="N447" s="2707"/>
      <c r="O447" s="2707"/>
      <c r="P447" s="2707"/>
      <c r="Q447" s="2707"/>
      <c r="R447" s="54"/>
      <c r="S447" s="54"/>
      <c r="T447" s="54"/>
      <c r="U447" s="54"/>
      <c r="V447" s="54"/>
      <c r="W447" s="54"/>
      <c r="X447" s="54"/>
      <c r="Y447" s="54"/>
      <c r="Z447" s="54"/>
      <c r="AA447" s="3">
        <v>1</v>
      </c>
    </row>
    <row r="448" spans="1:27" s="2684" customFormat="1" ht="21" customHeight="1">
      <c r="A448" s="5839" t="s">
        <v>166</v>
      </c>
      <c r="B448" s="7073" t="s">
        <v>10262</v>
      </c>
      <c r="C448" s="7074"/>
      <c r="D448" s="7074"/>
      <c r="E448" s="7074"/>
      <c r="F448" s="7074"/>
      <c r="G448" s="7074"/>
      <c r="H448" s="7074"/>
      <c r="I448" s="7074"/>
      <c r="J448" s="7074"/>
      <c r="K448" s="7075"/>
      <c r="L448" s="2707"/>
      <c r="M448" s="2707"/>
      <c r="N448" s="5726" t="s">
        <v>14223</v>
      </c>
      <c r="O448" s="1234"/>
      <c r="P448" s="2707"/>
      <c r="Q448" s="2707"/>
      <c r="R448" s="54"/>
      <c r="S448" s="54"/>
      <c r="T448" s="54"/>
      <c r="U448" s="54"/>
      <c r="V448" s="54"/>
      <c r="W448" s="54"/>
      <c r="X448" s="54"/>
      <c r="Y448" s="54"/>
      <c r="Z448" s="54"/>
      <c r="AA448" s="3">
        <v>1</v>
      </c>
    </row>
    <row r="449" spans="1:27" s="2684" customFormat="1" ht="21" customHeight="1">
      <c r="A449" s="7061" t="str">
        <f>B448</f>
        <v>Comment respecter un grammage à servir Exemple N° 1</v>
      </c>
      <c r="B449" s="5757" t="str">
        <f>ADDRESS(ROW(),COLUMN(),4)</f>
        <v>B449</v>
      </c>
      <c r="C449" s="2615" t="s">
        <v>9521</v>
      </c>
      <c r="D449" s="2729"/>
      <c r="E449" s="2729"/>
      <c r="F449" s="2729"/>
      <c r="G449" s="2729"/>
      <c r="H449" s="2729"/>
      <c r="I449" s="2729"/>
      <c r="J449" s="2729"/>
      <c r="K449" s="5855"/>
      <c r="L449" s="2707"/>
      <c r="M449" s="2707"/>
      <c r="N449" s="5726" t="s">
        <v>14226</v>
      </c>
      <c r="O449" s="1234"/>
      <c r="P449" s="2707"/>
      <c r="Q449" s="2707"/>
      <c r="R449" s="54"/>
      <c r="S449" s="54"/>
      <c r="T449" s="54"/>
      <c r="U449" s="54"/>
      <c r="V449" s="54"/>
      <c r="W449" s="54"/>
      <c r="X449" s="54"/>
      <c r="Y449" s="54"/>
      <c r="Z449" s="54"/>
      <c r="AA449" s="3">
        <v>1</v>
      </c>
    </row>
    <row r="450" spans="1:27" s="2684" customFormat="1" ht="21" customHeight="1">
      <c r="A450" s="7061"/>
      <c r="B450" s="7062" t="s">
        <v>10529</v>
      </c>
      <c r="C450" s="7063"/>
      <c r="D450" s="7063"/>
      <c r="E450" s="7063"/>
      <c r="F450" s="7063"/>
      <c r="G450" s="7063"/>
      <c r="H450" s="7063"/>
      <c r="I450" s="7063"/>
      <c r="J450" s="7063"/>
      <c r="K450" s="7064"/>
      <c r="L450" s="2707"/>
      <c r="M450" s="2707"/>
      <c r="N450" s="5726" t="s">
        <v>14229</v>
      </c>
      <c r="O450" s="1234"/>
      <c r="P450" s="2707"/>
      <c r="Q450" s="2707"/>
      <c r="R450" s="54"/>
      <c r="S450" s="54"/>
      <c r="T450" s="54"/>
      <c r="U450" s="54"/>
      <c r="V450" s="54"/>
      <c r="W450" s="54"/>
      <c r="X450" s="54"/>
      <c r="Y450" s="54"/>
      <c r="Z450" s="54"/>
      <c r="AA450" s="3">
        <v>1</v>
      </c>
    </row>
    <row r="451" spans="1:27" s="2684" customFormat="1" ht="21" customHeight="1">
      <c r="A451" s="7061"/>
      <c r="B451" s="7065"/>
      <c r="C451" s="7066"/>
      <c r="D451" s="7066"/>
      <c r="E451" s="7066"/>
      <c r="F451" s="7066"/>
      <c r="G451" s="7066"/>
      <c r="H451" s="7066"/>
      <c r="I451" s="7066"/>
      <c r="J451" s="7066"/>
      <c r="K451" s="7067"/>
      <c r="L451" s="2707"/>
      <c r="M451" s="2707"/>
      <c r="N451" s="5726"/>
      <c r="O451" s="1234"/>
      <c r="P451" s="2707"/>
      <c r="Q451" s="2707"/>
      <c r="R451" s="54"/>
      <c r="S451" s="54"/>
      <c r="T451" s="54"/>
      <c r="U451" s="54"/>
      <c r="V451" s="54"/>
      <c r="W451" s="54"/>
      <c r="X451" s="54"/>
      <c r="Y451" s="54"/>
      <c r="Z451" s="54"/>
      <c r="AA451" s="3">
        <v>1</v>
      </c>
    </row>
    <row r="452" spans="1:27" s="2684" customFormat="1" ht="21" customHeight="1">
      <c r="A452" s="7061"/>
      <c r="B452" s="7068" t="s">
        <v>10530</v>
      </c>
      <c r="C452" s="7069"/>
      <c r="D452" s="7070">
        <v>130</v>
      </c>
      <c r="E452" s="7072" t="s">
        <v>10531</v>
      </c>
      <c r="F452" s="7072"/>
      <c r="G452" s="7078">
        <v>70</v>
      </c>
      <c r="H452" s="3263"/>
      <c r="I452" s="7080" t="str">
        <f>IF(K452="","produit à servir","produits entiers à couper en ")</f>
        <v xml:space="preserve">produits entiers à couper en </v>
      </c>
      <c r="J452" s="7080"/>
      <c r="K452" s="7043">
        <f>IF(J463=1,"",J463)</f>
        <v>0.5</v>
      </c>
      <c r="L452" s="2707"/>
      <c r="M452" s="2707"/>
      <c r="N452" s="5726" t="s">
        <v>14232</v>
      </c>
      <c r="O452" s="1234"/>
      <c r="P452" s="2707"/>
      <c r="Q452" s="2707"/>
      <c r="R452" s="54"/>
      <c r="S452" s="54"/>
      <c r="T452" s="54"/>
      <c r="U452" s="54"/>
      <c r="V452" s="54"/>
      <c r="W452" s="54"/>
      <c r="X452" s="54"/>
      <c r="Y452" s="54"/>
      <c r="Z452" s="54"/>
      <c r="AA452" s="3">
        <v>1</v>
      </c>
    </row>
    <row r="453" spans="1:27" s="2684" customFormat="1" ht="21" customHeight="1">
      <c r="A453" s="7061"/>
      <c r="B453" s="7068"/>
      <c r="C453" s="7069"/>
      <c r="D453" s="7071"/>
      <c r="E453" s="7072"/>
      <c r="F453" s="7072"/>
      <c r="G453" s="7079"/>
      <c r="H453" s="3263"/>
      <c r="I453" s="7080"/>
      <c r="J453" s="7080"/>
      <c r="K453" s="7043"/>
      <c r="L453" s="2707"/>
      <c r="M453" s="2707"/>
      <c r="N453" s="5726" t="s">
        <v>14235</v>
      </c>
      <c r="O453" s="1234"/>
      <c r="P453" s="2707"/>
      <c r="Q453" s="2707"/>
      <c r="R453" s="54"/>
      <c r="S453" s="54"/>
      <c r="T453" s="54"/>
      <c r="U453" s="54"/>
      <c r="V453" s="54"/>
      <c r="W453" s="54"/>
      <c r="X453" s="54"/>
      <c r="Y453" s="54"/>
      <c r="Z453" s="54"/>
      <c r="AA453" s="3">
        <v>1</v>
      </c>
    </row>
    <row r="454" spans="1:27" s="2684" customFormat="1" ht="21" customHeight="1">
      <c r="A454" s="7061"/>
      <c r="B454" s="5880"/>
      <c r="C454" s="3264"/>
      <c r="D454" s="7044" t="s">
        <v>10532</v>
      </c>
      <c r="E454" s="7046">
        <f>LARGE(E464:E468,1)</f>
        <v>5</v>
      </c>
      <c r="F454" s="7044" t="s">
        <v>3107</v>
      </c>
      <c r="G454" s="7046" t="s">
        <v>815</v>
      </c>
      <c r="H454" s="7044">
        <f>LARGE(F464:F468,1)</f>
        <v>9</v>
      </c>
      <c r="I454" s="7044" t="s">
        <v>10533</v>
      </c>
      <c r="J454" s="3265"/>
      <c r="K454" s="3266"/>
      <c r="L454" s="2707"/>
      <c r="M454" s="2707"/>
      <c r="N454" s="1256"/>
      <c r="O454" s="1234"/>
      <c r="P454" s="2707"/>
      <c r="Q454" s="2707"/>
      <c r="R454" s="54"/>
      <c r="S454" s="54"/>
      <c r="T454" s="54"/>
      <c r="U454" s="54"/>
      <c r="V454" s="54"/>
      <c r="W454" s="54"/>
      <c r="X454" s="54"/>
      <c r="Y454" s="54"/>
      <c r="Z454" s="54"/>
      <c r="AA454" s="3">
        <v>1</v>
      </c>
    </row>
    <row r="455" spans="1:27" s="2684" customFormat="1" ht="21" customHeight="1">
      <c r="A455" s="7061"/>
      <c r="B455" s="5881"/>
      <c r="C455" s="3267"/>
      <c r="D455" s="7045"/>
      <c r="E455" s="7047"/>
      <c r="F455" s="7045"/>
      <c r="G455" s="7047"/>
      <c r="H455" s="7045"/>
      <c r="I455" s="7045"/>
      <c r="J455" s="2729"/>
      <c r="K455" s="5855"/>
      <c r="L455" s="2707"/>
      <c r="M455" s="2707"/>
      <c r="N455" s="1256"/>
      <c r="O455" s="1234"/>
      <c r="P455" s="2707"/>
      <c r="Q455" s="2707"/>
      <c r="R455" s="54"/>
      <c r="S455" s="54"/>
      <c r="T455" s="54"/>
      <c r="U455" s="54"/>
      <c r="V455" s="54"/>
      <c r="W455" s="54"/>
      <c r="X455" s="54"/>
      <c r="Y455" s="54"/>
      <c r="Z455" s="54"/>
      <c r="AA455" s="3">
        <v>1</v>
      </c>
    </row>
    <row r="456" spans="1:27" s="2684" customFormat="1" ht="21" customHeight="1">
      <c r="A456" s="7061"/>
      <c r="B456" s="7081" t="s">
        <v>10534</v>
      </c>
      <c r="C456" s="7082"/>
      <c r="D456" s="7082"/>
      <c r="E456" s="7082"/>
      <c r="F456" s="7082"/>
      <c r="G456" s="7082"/>
      <c r="H456" s="7082"/>
      <c r="I456" s="7082"/>
      <c r="J456" s="7082"/>
      <c r="K456" s="7083"/>
      <c r="L456" s="2707"/>
      <c r="M456" s="2707"/>
      <c r="N456" s="5726" t="s">
        <v>14224</v>
      </c>
      <c r="O456" s="1234"/>
      <c r="P456" s="2707"/>
      <c r="Q456" s="2707"/>
      <c r="R456" s="54"/>
      <c r="S456" s="54"/>
      <c r="T456" s="54"/>
      <c r="U456" s="54"/>
      <c r="V456" s="54"/>
      <c r="W456" s="54"/>
      <c r="X456" s="54"/>
      <c r="Y456" s="54"/>
      <c r="Z456" s="54"/>
      <c r="AA456" s="3">
        <v>1</v>
      </c>
    </row>
    <row r="457" spans="1:27" s="2684" customFormat="1" ht="21" customHeight="1">
      <c r="A457" s="7061"/>
      <c r="B457" s="7084"/>
      <c r="C457" s="7085"/>
      <c r="D457" s="7085"/>
      <c r="E457" s="7085"/>
      <c r="F457" s="7085"/>
      <c r="G457" s="7085"/>
      <c r="H457" s="7085"/>
      <c r="I457" s="7085"/>
      <c r="J457" s="7085"/>
      <c r="K457" s="7086"/>
      <c r="L457" s="2707"/>
      <c r="M457" s="2707"/>
      <c r="N457" s="5726" t="s">
        <v>14227</v>
      </c>
      <c r="O457" s="1234"/>
      <c r="P457" s="2707"/>
      <c r="Q457" s="2707"/>
      <c r="R457" s="54"/>
      <c r="S457" s="54"/>
      <c r="T457" s="54"/>
      <c r="U457" s="54"/>
      <c r="V457" s="54"/>
      <c r="W457" s="54"/>
      <c r="X457" s="54"/>
      <c r="Y457" s="54"/>
      <c r="Z457" s="54"/>
      <c r="AA457" s="3">
        <v>1</v>
      </c>
    </row>
    <row r="458" spans="1:27" s="2684" customFormat="1" ht="21" customHeight="1">
      <c r="A458" s="7061"/>
      <c r="B458" s="7056" t="str">
        <f>IF(C458="","MOINS","Servir ")</f>
        <v xml:space="preserve">Servir </v>
      </c>
      <c r="C458" s="7087">
        <f>IF(E454-1=0,"",E454-1)</f>
        <v>4</v>
      </c>
      <c r="D458" s="7054" t="str">
        <f>IF(C458="","",IF(F458=1,"produits entiers de","produits coupés en "))</f>
        <v xml:space="preserve">produits coupés en </v>
      </c>
      <c r="E458" s="7054"/>
      <c r="F458" s="7076">
        <f>IF(C458="","",H454/C458)</f>
        <v>2.25</v>
      </c>
      <c r="G458" s="7059" t="str">
        <f>IF(C458="","","parts")</f>
        <v>parts</v>
      </c>
      <c r="H458" s="7054" t="str">
        <f>IF(C458="","","grammage unitaire")</f>
        <v>grammage unitaire</v>
      </c>
      <c r="I458" s="7054"/>
      <c r="J458" s="7055">
        <f>IF(C458="","",B469/F458)</f>
        <v>5.7777777777777782E-2</v>
      </c>
      <c r="K458" s="3271"/>
      <c r="L458" s="2707"/>
      <c r="M458" s="2707"/>
      <c r="N458" s="5726" t="s">
        <v>14230</v>
      </c>
      <c r="O458" s="1234"/>
      <c r="P458" s="2707"/>
      <c r="Q458" s="2707"/>
      <c r="R458" s="54"/>
      <c r="S458" s="54"/>
      <c r="T458" s="54"/>
      <c r="U458" s="54"/>
      <c r="V458" s="54"/>
      <c r="W458" s="54"/>
      <c r="X458" s="54"/>
      <c r="Y458" s="54"/>
      <c r="Z458" s="54"/>
      <c r="AA458" s="3">
        <v>1</v>
      </c>
    </row>
    <row r="459" spans="1:27" s="2684" customFormat="1" ht="21" customHeight="1">
      <c r="A459" s="7061"/>
      <c r="B459" s="7056"/>
      <c r="C459" s="7087"/>
      <c r="D459" s="7054"/>
      <c r="E459" s="7054"/>
      <c r="F459" s="7076"/>
      <c r="G459" s="7059"/>
      <c r="H459" s="7054"/>
      <c r="I459" s="7054"/>
      <c r="J459" s="7055"/>
      <c r="K459" s="3272" t="s">
        <v>10535</v>
      </c>
      <c r="L459" s="2707"/>
      <c r="M459" s="2707"/>
      <c r="N459" s="5726"/>
      <c r="O459" s="1234"/>
      <c r="P459" s="2707"/>
      <c r="Q459" s="2707"/>
      <c r="R459" s="54"/>
      <c r="S459" s="54"/>
      <c r="T459" s="54"/>
      <c r="U459" s="54"/>
      <c r="V459" s="54"/>
      <c r="W459" s="54"/>
      <c r="X459" s="54"/>
      <c r="Y459" s="54"/>
      <c r="Z459" s="54"/>
      <c r="AA459" s="3">
        <v>1</v>
      </c>
    </row>
    <row r="460" spans="1:27" s="2684" customFormat="1" ht="21" customHeight="1">
      <c r="A460" s="7061"/>
      <c r="B460" s="7056" t="str">
        <f>IF(C458="","","plus")</f>
        <v>plus</v>
      </c>
      <c r="C460" s="7057">
        <f>IF(C458="","",E454-C458)</f>
        <v>1</v>
      </c>
      <c r="D460" s="7054" t="str">
        <f>IF(C460="","","produit coupé en ")</f>
        <v xml:space="preserve">produit coupé en </v>
      </c>
      <c r="E460" s="7054"/>
      <c r="F460" s="7058">
        <f>IF(D460="","",H454)</f>
        <v>9</v>
      </c>
      <c r="G460" s="7059" t="str">
        <f>IF(D460="","","parts")</f>
        <v>parts</v>
      </c>
      <c r="H460" s="3275"/>
      <c r="I460" s="7060" t="str">
        <f>IF(C460="","moins"," de")</f>
        <v xml:space="preserve"> de</v>
      </c>
      <c r="J460" s="7055">
        <f>IF(D460="",B469-C469,B469/F460)</f>
        <v>1.4444444444444446E-2</v>
      </c>
      <c r="K460" s="7077">
        <f>(D452/H454)*E454</f>
        <v>72.222222222222229</v>
      </c>
      <c r="L460" s="2707"/>
      <c r="M460" s="2707"/>
      <c r="N460" s="5726" t="s">
        <v>14233</v>
      </c>
      <c r="O460" s="1234"/>
      <c r="P460" s="2707"/>
      <c r="Q460" s="2707"/>
      <c r="R460" s="54"/>
      <c r="S460" s="54"/>
      <c r="T460" s="54"/>
      <c r="U460" s="54"/>
      <c r="V460" s="54"/>
      <c r="W460" s="54"/>
      <c r="X460" s="54"/>
      <c r="Y460" s="54"/>
      <c r="Z460" s="54"/>
      <c r="AA460" s="3">
        <v>1</v>
      </c>
    </row>
    <row r="461" spans="1:27" s="2684" customFormat="1" ht="21" customHeight="1">
      <c r="A461" s="7061"/>
      <c r="B461" s="7056"/>
      <c r="C461" s="7057"/>
      <c r="D461" s="7054"/>
      <c r="E461" s="7054"/>
      <c r="F461" s="7058"/>
      <c r="G461" s="7059"/>
      <c r="H461" s="3275"/>
      <c r="I461" s="7060"/>
      <c r="J461" s="7055"/>
      <c r="K461" s="7077"/>
      <c r="L461" s="2707"/>
      <c r="M461" s="2707"/>
      <c r="N461" s="5726" t="s">
        <v>14236</v>
      </c>
      <c r="O461" s="1234"/>
      <c r="P461" s="2707"/>
      <c r="Q461" s="2707"/>
      <c r="R461" s="54"/>
      <c r="S461" s="54"/>
      <c r="T461" s="54"/>
      <c r="U461" s="54"/>
      <c r="V461" s="54"/>
      <c r="W461" s="54"/>
      <c r="X461" s="54"/>
      <c r="Y461" s="54"/>
      <c r="Z461" s="54"/>
      <c r="AA461" s="3">
        <v>1</v>
      </c>
    </row>
    <row r="462" spans="1:27" s="2684" customFormat="1" ht="21" customHeight="1">
      <c r="A462" s="7061"/>
      <c r="B462" s="3268"/>
      <c r="C462" s="3273"/>
      <c r="D462" s="3269"/>
      <c r="E462" s="3269"/>
      <c r="F462" s="3274"/>
      <c r="G462" s="3097"/>
      <c r="H462" s="3275"/>
      <c r="I462" s="3276"/>
      <c r="J462" s="3270"/>
      <c r="K462" s="3272"/>
      <c r="L462" s="2707"/>
      <c r="M462" s="2707"/>
      <c r="N462" s="1256"/>
      <c r="O462" s="1234"/>
      <c r="P462" s="2707"/>
      <c r="Q462" s="2707"/>
      <c r="R462" s="54"/>
      <c r="S462" s="54"/>
      <c r="T462" s="54"/>
      <c r="U462" s="54"/>
      <c r="V462" s="54"/>
      <c r="W462" s="54"/>
      <c r="X462" s="54"/>
      <c r="Y462" s="54"/>
      <c r="Z462" s="54"/>
      <c r="AA462" s="3">
        <v>1</v>
      </c>
    </row>
    <row r="463" spans="1:27" s="2684" customFormat="1" ht="21" customHeight="1">
      <c r="A463" s="7061"/>
      <c r="B463" s="3277" t="s">
        <v>10536</v>
      </c>
      <c r="C463" s="3278" t="s">
        <v>10537</v>
      </c>
      <c r="D463" s="3278" t="s">
        <v>10538</v>
      </c>
      <c r="E463" s="3279" t="s">
        <v>10539</v>
      </c>
      <c r="F463" s="3279"/>
      <c r="G463" s="3280" t="s">
        <v>10540</v>
      </c>
      <c r="H463" s="3281" t="s">
        <v>815</v>
      </c>
      <c r="I463" s="3281"/>
      <c r="J463" s="3282">
        <f>LARGE(K464:K468,1)</f>
        <v>0.5</v>
      </c>
      <c r="K463" s="3283">
        <f>SMALL(D464:D468,COUNTIF(D464:D468,0)+1)</f>
        <v>1.9999999999999907E-2</v>
      </c>
      <c r="L463" s="2707"/>
      <c r="M463" s="2707"/>
      <c r="N463" s="1256"/>
      <c r="O463" s="1234"/>
      <c r="P463" s="2707"/>
      <c r="Q463" s="2707"/>
      <c r="R463" s="54"/>
      <c r="S463" s="54"/>
      <c r="T463" s="54"/>
      <c r="U463" s="54"/>
      <c r="V463" s="54"/>
      <c r="W463" s="54"/>
      <c r="X463" s="54"/>
      <c r="Y463" s="54"/>
      <c r="Z463" s="54"/>
      <c r="AA463" s="3">
        <v>1</v>
      </c>
    </row>
    <row r="464" spans="1:27" s="2684" customFormat="1" ht="21" customHeight="1">
      <c r="A464" s="7061"/>
      <c r="B464" s="3284">
        <f>C469*H464</f>
        <v>7.0000000000000007E-2</v>
      </c>
      <c r="C464" s="3285">
        <f>B469*G464</f>
        <v>0.13</v>
      </c>
      <c r="D464" s="3285">
        <f>C464-B464</f>
        <v>0.06</v>
      </c>
      <c r="E464" s="3286">
        <f>IF(D464=0,0,IF(D464=K463,G464,0))</f>
        <v>0</v>
      </c>
      <c r="F464" s="3286">
        <f>IF(E464&gt;0,H464,0)</f>
        <v>0</v>
      </c>
      <c r="G464" s="3282">
        <v>1</v>
      </c>
      <c r="H464" s="3287">
        <f>INT(I464)</f>
        <v>1</v>
      </c>
      <c r="I464" s="3287">
        <f>C464/C469</f>
        <v>1.857142857142857</v>
      </c>
      <c r="J464" s="3282">
        <f>IF(E464=0,0,E464/F464)</f>
        <v>0</v>
      </c>
      <c r="K464" s="3288">
        <f>ROUNDDOWN(J464,1)</f>
        <v>0</v>
      </c>
      <c r="L464" s="2707"/>
      <c r="M464" s="2707"/>
      <c r="N464" s="5726" t="s">
        <v>14225</v>
      </c>
      <c r="O464" s="1234"/>
      <c r="P464" s="2707"/>
      <c r="Q464" s="2707"/>
      <c r="R464" s="54"/>
      <c r="S464" s="54"/>
      <c r="T464" s="54"/>
      <c r="U464" s="54"/>
      <c r="V464" s="54"/>
      <c r="W464" s="54"/>
      <c r="X464" s="54"/>
      <c r="Y464" s="54"/>
      <c r="Z464" s="54"/>
      <c r="AA464" s="3">
        <v>1</v>
      </c>
    </row>
    <row r="465" spans="1:27" s="2684" customFormat="1" ht="21" customHeight="1">
      <c r="A465" s="7061"/>
      <c r="B465" s="3284">
        <f>C469*H465</f>
        <v>0.21000000000000002</v>
      </c>
      <c r="C465" s="3285">
        <f>B469*G465</f>
        <v>0.26</v>
      </c>
      <c r="D465" s="3285">
        <f>C465-B465</f>
        <v>4.9999999999999989E-2</v>
      </c>
      <c r="E465" s="3286">
        <f>IF(D465=0,0,IF(D465=K463,G465,0))</f>
        <v>0</v>
      </c>
      <c r="F465" s="3286">
        <f>IF(E465&gt;0,H465,0)</f>
        <v>0</v>
      </c>
      <c r="G465" s="3282">
        <v>2</v>
      </c>
      <c r="H465" s="3287">
        <f>INT(I465)</f>
        <v>3</v>
      </c>
      <c r="I465" s="3287">
        <f>C465/C469</f>
        <v>3.714285714285714</v>
      </c>
      <c r="J465" s="3282">
        <f>IF(E465=0,0,E465/F465)</f>
        <v>0</v>
      </c>
      <c r="K465" s="3288">
        <f>ROUNDDOWN(J465,1)</f>
        <v>0</v>
      </c>
      <c r="L465" s="2707"/>
      <c r="M465" s="2707"/>
      <c r="N465" s="5726" t="s">
        <v>14228</v>
      </c>
      <c r="O465" s="1234"/>
      <c r="P465" s="2707"/>
      <c r="Q465" s="2707"/>
      <c r="R465" s="54"/>
      <c r="S465" s="54"/>
      <c r="T465" s="54"/>
      <c r="U465" s="54"/>
      <c r="V465" s="54"/>
      <c r="W465" s="54"/>
      <c r="X465" s="54"/>
      <c r="Y465" s="54"/>
      <c r="Z465" s="54"/>
      <c r="AA465" s="3">
        <v>1</v>
      </c>
    </row>
    <row r="466" spans="1:27" s="2684" customFormat="1" ht="21" customHeight="1">
      <c r="A466" s="7061"/>
      <c r="B466" s="3284">
        <f>C469*H466</f>
        <v>0.35000000000000003</v>
      </c>
      <c r="C466" s="3285">
        <f>B469*G466</f>
        <v>0.39</v>
      </c>
      <c r="D466" s="3285">
        <f>C466-B466</f>
        <v>3.999999999999998E-2</v>
      </c>
      <c r="E466" s="3286">
        <f>IF(D466=0,0,IF(D466=K463,G466,0))</f>
        <v>0</v>
      </c>
      <c r="F466" s="3286">
        <f>IF(E466&gt;0,H466,0)</f>
        <v>0</v>
      </c>
      <c r="G466" s="3282">
        <v>3</v>
      </c>
      <c r="H466" s="3287">
        <f>INT(I466)</f>
        <v>5</v>
      </c>
      <c r="I466" s="3287">
        <f>C466/C469</f>
        <v>5.5714285714285712</v>
      </c>
      <c r="J466" s="3282">
        <f>IF(E466=0,0,E466/F466)</f>
        <v>0</v>
      </c>
      <c r="K466" s="3288">
        <f>ROUNDDOWN(J466,1)</f>
        <v>0</v>
      </c>
      <c r="L466" s="2707"/>
      <c r="M466" s="2707"/>
      <c r="N466" s="5726" t="s">
        <v>14231</v>
      </c>
      <c r="O466" s="1234"/>
      <c r="P466" s="2707"/>
      <c r="Q466" s="2707"/>
      <c r="R466" s="54"/>
      <c r="S466" s="54"/>
      <c r="T466" s="54"/>
      <c r="U466" s="54"/>
      <c r="V466" s="54"/>
      <c r="W466" s="54"/>
      <c r="X466" s="54"/>
      <c r="Y466" s="54"/>
      <c r="Z466" s="54"/>
      <c r="AA466" s="3">
        <v>1</v>
      </c>
    </row>
    <row r="467" spans="1:27" s="2684" customFormat="1" ht="21" customHeight="1">
      <c r="A467" s="7061"/>
      <c r="B467" s="3284">
        <f>C469*H467</f>
        <v>0.49000000000000005</v>
      </c>
      <c r="C467" s="3285">
        <f>B469*G467</f>
        <v>0.52</v>
      </c>
      <c r="D467" s="3285">
        <f>C467-B467</f>
        <v>2.9999999999999971E-2</v>
      </c>
      <c r="E467" s="3286">
        <f>IF(D467=0,0,IF(D467=K463,G467,0))</f>
        <v>0</v>
      </c>
      <c r="F467" s="3286">
        <f>IF(E467&gt;0,H467,0)</f>
        <v>0</v>
      </c>
      <c r="G467" s="3282">
        <v>4</v>
      </c>
      <c r="H467" s="3287">
        <f>INT(I467)</f>
        <v>7</v>
      </c>
      <c r="I467" s="3287">
        <f>C467/C469</f>
        <v>7.4285714285714279</v>
      </c>
      <c r="J467" s="3282">
        <f>IF(E467=0,0,E467/F467)</f>
        <v>0</v>
      </c>
      <c r="K467" s="3288">
        <f>ROUNDDOWN(J467,1)</f>
        <v>0</v>
      </c>
      <c r="L467" s="2707"/>
      <c r="M467" s="2707"/>
      <c r="N467" s="5726"/>
      <c r="O467" s="1234"/>
      <c r="P467" s="2707"/>
      <c r="Q467" s="2707"/>
      <c r="R467" s="54"/>
      <c r="S467" s="54"/>
      <c r="T467" s="54"/>
      <c r="U467" s="54"/>
      <c r="V467" s="54"/>
      <c r="W467" s="54"/>
      <c r="X467" s="54"/>
      <c r="Y467" s="54"/>
      <c r="Z467" s="54"/>
      <c r="AA467" s="3">
        <v>1</v>
      </c>
    </row>
    <row r="468" spans="1:27" s="2684" customFormat="1" ht="21" customHeight="1">
      <c r="A468" s="7061"/>
      <c r="B468" s="3289">
        <f>C469*H468</f>
        <v>0.63000000000000012</v>
      </c>
      <c r="C468" s="5882">
        <f>B469*G468</f>
        <v>0.65</v>
      </c>
      <c r="D468" s="5882">
        <f>C468-B468</f>
        <v>1.9999999999999907E-2</v>
      </c>
      <c r="E468" s="5883">
        <f>IF(D468=0,0,IF(D468=K463,G468,0))</f>
        <v>5</v>
      </c>
      <c r="F468" s="5883">
        <f>IF(E468&gt;0,H468,0)</f>
        <v>9</v>
      </c>
      <c r="G468" s="5884">
        <v>5</v>
      </c>
      <c r="H468" s="5885">
        <f>INT(I468)</f>
        <v>9</v>
      </c>
      <c r="I468" s="5885">
        <f>C468/C469</f>
        <v>9.2857142857142847</v>
      </c>
      <c r="J468" s="5884">
        <f>IF(E468=0,0,E468/F468)</f>
        <v>0.55555555555555558</v>
      </c>
      <c r="K468" s="5886">
        <f>ROUNDDOWN(J468,1)</f>
        <v>0.5</v>
      </c>
      <c r="L468" s="2707"/>
      <c r="M468" s="2707"/>
      <c r="N468" s="5726" t="s">
        <v>14234</v>
      </c>
      <c r="O468" s="1234"/>
      <c r="P468" s="2707"/>
      <c r="Q468" s="2707"/>
      <c r="R468" s="54"/>
      <c r="S468" s="54"/>
      <c r="T468" s="54"/>
      <c r="U468" s="54"/>
      <c r="V468" s="54"/>
      <c r="W468" s="54"/>
      <c r="X468" s="54"/>
      <c r="Y468" s="54"/>
      <c r="Z468" s="54"/>
      <c r="AA468" s="3">
        <v>1</v>
      </c>
    </row>
    <row r="469" spans="1:27" s="2684" customFormat="1" ht="21" customHeight="1">
      <c r="A469" s="7061"/>
      <c r="B469" s="3285">
        <f>D452/1000</f>
        <v>0.13</v>
      </c>
      <c r="C469" s="3285">
        <f>G452/1000</f>
        <v>7.0000000000000007E-2</v>
      </c>
      <c r="D469" s="3285"/>
      <c r="E469" s="3286"/>
      <c r="F469" s="3286"/>
      <c r="G469" s="3282"/>
      <c r="H469" s="3287"/>
      <c r="I469" s="3287"/>
      <c r="J469" s="3282"/>
      <c r="K469" s="3288"/>
      <c r="L469" s="2707"/>
      <c r="M469" s="2707"/>
      <c r="N469" s="5726" t="s">
        <v>14237</v>
      </c>
      <c r="O469" s="1234"/>
      <c r="P469" s="2707"/>
      <c r="Q469" s="2707"/>
      <c r="R469" s="54"/>
      <c r="S469" s="54"/>
      <c r="T469" s="54"/>
      <c r="U469" s="54"/>
      <c r="V469" s="54"/>
      <c r="W469" s="54"/>
      <c r="X469" s="54"/>
      <c r="Y469" s="54"/>
      <c r="Z469" s="54"/>
      <c r="AA469" s="3">
        <v>1</v>
      </c>
    </row>
    <row r="470" spans="1:27" s="2684" customFormat="1" ht="21" customHeight="1">
      <c r="A470" s="7061"/>
      <c r="B470" s="7037" t="s">
        <v>9546</v>
      </c>
      <c r="C470" s="7038"/>
      <c r="D470" s="7038"/>
      <c r="E470" s="7038"/>
      <c r="F470" s="7038"/>
      <c r="G470" s="7038"/>
      <c r="H470" s="7038"/>
      <c r="I470" s="7038"/>
      <c r="J470" s="7038"/>
      <c r="K470" s="7039"/>
      <c r="L470" s="2707"/>
      <c r="M470" s="2707"/>
      <c r="N470" s="2707"/>
      <c r="O470" s="2707"/>
      <c r="P470" s="2707"/>
      <c r="Q470" s="2707"/>
      <c r="R470" s="54"/>
      <c r="S470" s="54"/>
      <c r="T470" s="54"/>
      <c r="U470" s="54"/>
      <c r="V470" s="54"/>
      <c r="W470" s="54"/>
      <c r="X470" s="54"/>
      <c r="Y470" s="54"/>
      <c r="Z470" s="54"/>
      <c r="AA470" s="3">
        <v>1</v>
      </c>
    </row>
    <row r="471" spans="1:27" s="2684" customFormat="1" ht="21" customHeight="1">
      <c r="A471" s="7061"/>
      <c r="B471" s="7040" t="s">
        <v>10541</v>
      </c>
      <c r="C471" s="7041"/>
      <c r="D471" s="7041"/>
      <c r="E471" s="7041"/>
      <c r="F471" s="7041"/>
      <c r="G471" s="7041"/>
      <c r="H471" s="7041"/>
      <c r="I471" s="7041"/>
      <c r="J471" s="7041"/>
      <c r="K471" s="7042"/>
      <c r="L471" s="2707"/>
      <c r="M471" s="2707"/>
      <c r="N471" s="2707"/>
      <c r="O471" s="2707"/>
      <c r="P471" s="2707"/>
      <c r="Q471" s="2707"/>
      <c r="R471" s="54"/>
      <c r="S471" s="54"/>
      <c r="T471" s="54"/>
      <c r="U471" s="54"/>
      <c r="V471" s="54"/>
      <c r="W471" s="54"/>
      <c r="X471" s="54"/>
      <c r="Y471" s="54"/>
      <c r="Z471" s="54"/>
      <c r="AA471" s="3">
        <v>1</v>
      </c>
    </row>
    <row r="472" spans="1:27" s="2684" customFormat="1" ht="21" customHeight="1">
      <c r="A472" s="7061"/>
      <c r="B472" s="7040"/>
      <c r="C472" s="7041"/>
      <c r="D472" s="7041"/>
      <c r="E472" s="7041"/>
      <c r="F472" s="7041"/>
      <c r="G472" s="7041"/>
      <c r="H472" s="7041"/>
      <c r="I472" s="7041"/>
      <c r="J472" s="7041"/>
      <c r="K472" s="7042"/>
      <c r="L472" s="2707"/>
      <c r="M472" s="2707"/>
      <c r="N472" s="2707"/>
      <c r="O472" s="2707"/>
      <c r="P472" s="2707"/>
      <c r="Q472" s="2707"/>
      <c r="R472" s="54"/>
      <c r="S472" s="54"/>
      <c r="T472" s="54"/>
      <c r="U472" s="54"/>
      <c r="V472" s="54"/>
      <c r="W472" s="54"/>
      <c r="X472" s="54"/>
      <c r="Y472" s="54"/>
      <c r="Z472" s="54"/>
      <c r="AA472" s="3">
        <v>1</v>
      </c>
    </row>
    <row r="473" spans="1:27" s="2684" customFormat="1" ht="21" customHeight="1">
      <c r="A473" s="7061"/>
      <c r="B473" s="7040"/>
      <c r="C473" s="7041"/>
      <c r="D473" s="7041"/>
      <c r="E473" s="7041"/>
      <c r="F473" s="7041"/>
      <c r="G473" s="7041"/>
      <c r="H473" s="7041"/>
      <c r="I473" s="7041"/>
      <c r="J473" s="7041"/>
      <c r="K473" s="7042"/>
      <c r="L473" s="2707"/>
      <c r="M473" s="2707"/>
      <c r="N473" s="2707"/>
      <c r="O473" s="2707"/>
      <c r="P473" s="2707"/>
      <c r="Q473" s="2707"/>
      <c r="R473" s="54"/>
      <c r="S473" s="54"/>
      <c r="T473" s="54"/>
      <c r="U473" s="54"/>
      <c r="V473" s="54"/>
      <c r="W473" s="54"/>
      <c r="X473" s="54"/>
      <c r="Y473" s="54"/>
      <c r="Z473" s="54"/>
      <c r="AA473" s="3">
        <v>1</v>
      </c>
    </row>
    <row r="474" spans="1:27" s="2684" customFormat="1" ht="21" customHeight="1">
      <c r="A474" s="7061"/>
      <c r="B474" s="7040" t="s">
        <v>10542</v>
      </c>
      <c r="C474" s="7041"/>
      <c r="D474" s="7041"/>
      <c r="E474" s="7041"/>
      <c r="F474" s="7041"/>
      <c r="G474" s="7041"/>
      <c r="H474" s="7041"/>
      <c r="I474" s="7041"/>
      <c r="J474" s="7041"/>
      <c r="K474" s="7042"/>
      <c r="L474" s="2707"/>
      <c r="M474" s="2707"/>
      <c r="N474" s="2707"/>
      <c r="O474" s="2707"/>
      <c r="P474" s="2707"/>
      <c r="Q474" s="2707"/>
      <c r="R474" s="54"/>
      <c r="S474" s="54"/>
      <c r="T474" s="54"/>
      <c r="U474" s="54"/>
      <c r="V474" s="54"/>
      <c r="W474" s="54"/>
      <c r="X474" s="54"/>
      <c r="Y474" s="54"/>
      <c r="Z474" s="54"/>
      <c r="AA474" s="3">
        <v>1</v>
      </c>
    </row>
    <row r="475" spans="1:27" s="2684" customFormat="1" ht="21" customHeight="1">
      <c r="A475" s="7061"/>
      <c r="B475" s="7040"/>
      <c r="C475" s="7041"/>
      <c r="D475" s="7041"/>
      <c r="E475" s="7041"/>
      <c r="F475" s="7041"/>
      <c r="G475" s="7041"/>
      <c r="H475" s="7041"/>
      <c r="I475" s="7041"/>
      <c r="J475" s="7041"/>
      <c r="K475" s="7042"/>
      <c r="L475" s="2707"/>
      <c r="M475" s="2707"/>
      <c r="N475" s="2707"/>
      <c r="O475" s="2707"/>
      <c r="P475" s="2707"/>
      <c r="Q475" s="2707"/>
      <c r="R475" s="54"/>
      <c r="S475" s="54"/>
      <c r="T475" s="54"/>
      <c r="U475" s="54"/>
      <c r="V475" s="54"/>
      <c r="W475" s="54"/>
      <c r="X475" s="54"/>
      <c r="Y475" s="54"/>
      <c r="Z475" s="54"/>
      <c r="AA475" s="3">
        <v>1</v>
      </c>
    </row>
    <row r="476" spans="1:27" s="2684" customFormat="1" ht="21" customHeight="1">
      <c r="A476" s="7061"/>
      <c r="B476" s="7040"/>
      <c r="C476" s="7041"/>
      <c r="D476" s="7041"/>
      <c r="E476" s="7041"/>
      <c r="F476" s="7041"/>
      <c r="G476" s="7041"/>
      <c r="H476" s="7041"/>
      <c r="I476" s="7041"/>
      <c r="J476" s="7041"/>
      <c r="K476" s="7042"/>
      <c r="L476" s="2708"/>
      <c r="M476" s="2707"/>
      <c r="N476" s="2707"/>
      <c r="O476" s="2707"/>
      <c r="P476" s="2707"/>
      <c r="Q476" s="2707"/>
      <c r="R476" s="54"/>
      <c r="S476" s="54"/>
      <c r="T476" s="54"/>
      <c r="U476" s="54"/>
      <c r="V476" s="54"/>
      <c r="W476" s="54"/>
      <c r="X476" s="54"/>
      <c r="Y476" s="54"/>
      <c r="Z476" s="54"/>
      <c r="AA476" s="3">
        <v>1</v>
      </c>
    </row>
    <row r="477" spans="1:27" s="2684" customFormat="1" ht="21" customHeight="1" thickBot="1">
      <c r="A477" s="7061"/>
      <c r="B477" s="3290"/>
      <c r="C477" s="3291"/>
      <c r="D477" s="3291"/>
      <c r="E477" s="3291"/>
      <c r="F477" s="3291"/>
      <c r="G477" s="3291"/>
      <c r="H477" s="3291"/>
      <c r="I477" s="3291"/>
      <c r="J477" s="3291"/>
      <c r="K477" s="3292"/>
      <c r="L477" s="2708"/>
      <c r="M477" s="2707"/>
      <c r="N477" s="2707"/>
      <c r="O477" s="2707"/>
      <c r="P477" s="2707"/>
      <c r="Q477" s="2707"/>
      <c r="R477" s="54"/>
      <c r="S477" s="54"/>
      <c r="T477" s="54"/>
      <c r="U477" s="54"/>
      <c r="V477" s="54"/>
      <c r="W477" s="54"/>
      <c r="X477" s="54"/>
      <c r="Y477" s="54"/>
      <c r="Z477" s="54"/>
      <c r="AA477" s="3">
        <v>1</v>
      </c>
    </row>
    <row r="478" spans="1:27" s="2684" customFormat="1" ht="21"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3">
        <v>1</v>
      </c>
    </row>
    <row r="479" spans="1:27" s="2684" customFormat="1" ht="21" customHeight="1">
      <c r="A479" s="3260"/>
      <c r="B479" s="3261"/>
      <c r="C479" s="3262"/>
      <c r="D479" s="3262"/>
      <c r="E479" s="3262"/>
      <c r="F479" s="3262"/>
      <c r="G479" s="3262"/>
      <c r="H479" s="3262"/>
      <c r="I479" s="3262"/>
      <c r="J479" s="3261"/>
      <c r="K479" s="3261"/>
      <c r="L479" s="3261"/>
      <c r="M479" s="3260"/>
      <c r="N479" s="3260"/>
      <c r="O479" s="3260"/>
      <c r="P479" s="3260"/>
      <c r="Q479" s="3260"/>
      <c r="R479" s="54"/>
      <c r="S479" s="54"/>
      <c r="T479" s="54"/>
      <c r="U479" s="54"/>
      <c r="V479" s="54"/>
      <c r="W479" s="54"/>
      <c r="X479" s="54"/>
      <c r="Y479" s="54"/>
      <c r="Z479" s="54"/>
      <c r="AA479" s="3">
        <v>1</v>
      </c>
    </row>
    <row r="480" spans="1:27" s="2684" customFormat="1" ht="21"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3">
        <v>1</v>
      </c>
    </row>
    <row r="481" spans="1:27" s="2684" customFormat="1" ht="21" customHeight="1">
      <c r="A481" s="5839" t="s">
        <v>166</v>
      </c>
      <c r="B481" s="7048" t="s">
        <v>10264</v>
      </c>
      <c r="C481" s="7048"/>
      <c r="D481" s="7048"/>
      <c r="E481" s="7048"/>
      <c r="F481" s="7048"/>
      <c r="G481" s="7048"/>
      <c r="H481" s="7048"/>
      <c r="I481" s="7048"/>
      <c r="J481" s="7048"/>
      <c r="K481" s="7048"/>
      <c r="L481" s="7048"/>
      <c r="M481" s="7048"/>
      <c r="N481" s="7048"/>
      <c r="O481" s="2708"/>
      <c r="P481" s="2708"/>
      <c r="Q481" s="2708"/>
      <c r="R481" s="54"/>
      <c r="S481" s="54"/>
      <c r="T481" s="54"/>
      <c r="U481" s="54"/>
      <c r="V481" s="54"/>
      <c r="W481" s="54"/>
      <c r="X481" s="54"/>
      <c r="Y481" s="54"/>
      <c r="Z481" s="54"/>
      <c r="AA481" s="3">
        <v>1</v>
      </c>
    </row>
    <row r="482" spans="1:27" s="2684" customFormat="1" ht="21" customHeight="1">
      <c r="A482" s="7049" t="str">
        <f>B481</f>
        <v>Combien faut-il commander pour des effectifs et des grammages différents</v>
      </c>
      <c r="B482" s="3085" t="str">
        <f>ADDRESS(ROW(),COLUMN(),4)</f>
        <v>B482</v>
      </c>
      <c r="C482" s="3086" t="s">
        <v>9521</v>
      </c>
      <c r="D482" s="3087"/>
      <c r="E482" s="3087"/>
      <c r="F482" s="3087"/>
      <c r="G482" s="3087"/>
      <c r="H482" s="3087"/>
      <c r="I482" s="3087"/>
      <c r="J482" s="3087"/>
      <c r="K482" s="3087"/>
      <c r="L482" s="3087"/>
      <c r="M482" s="3087"/>
      <c r="N482" s="3293"/>
      <c r="O482" s="2708"/>
      <c r="P482" s="2708"/>
      <c r="Q482" s="2708"/>
      <c r="R482" s="54"/>
      <c r="S482" s="54"/>
      <c r="T482" s="54"/>
      <c r="U482" s="54"/>
      <c r="V482" s="54"/>
      <c r="W482" s="54"/>
      <c r="X482" s="54"/>
      <c r="Y482" s="54"/>
      <c r="Z482" s="54"/>
      <c r="AA482" s="3">
        <v>1</v>
      </c>
    </row>
    <row r="483" spans="1:27" s="2684" customFormat="1" ht="21" customHeight="1">
      <c r="A483" s="7049"/>
      <c r="B483" s="3294"/>
      <c r="C483" s="2708"/>
      <c r="D483" s="2708"/>
      <c r="E483" s="2708"/>
      <c r="F483" s="2708"/>
      <c r="G483" s="2708"/>
      <c r="H483" s="2708"/>
      <c r="I483" s="2708"/>
      <c r="J483" s="2708"/>
      <c r="K483" s="2708"/>
      <c r="L483" s="2708"/>
      <c r="M483" s="2708"/>
      <c r="N483" s="3295"/>
      <c r="O483" s="2708"/>
      <c r="P483" s="2708"/>
      <c r="Q483" s="2708"/>
      <c r="R483" s="54"/>
      <c r="S483" s="54"/>
      <c r="T483" s="54"/>
      <c r="U483" s="54"/>
      <c r="V483" s="54"/>
      <c r="W483" s="54"/>
      <c r="X483" s="54"/>
      <c r="Y483" s="54"/>
      <c r="Z483" s="54"/>
      <c r="AA483" s="3">
        <v>1</v>
      </c>
    </row>
    <row r="484" spans="1:27" s="2684" customFormat="1" ht="21" customHeight="1">
      <c r="A484" s="7049"/>
      <c r="B484" s="7050" t="s">
        <v>10543</v>
      </c>
      <c r="C484" s="7051"/>
      <c r="D484" s="7051"/>
      <c r="E484" s="7051"/>
      <c r="F484" s="7051"/>
      <c r="G484" s="7051"/>
      <c r="H484" s="7051"/>
      <c r="I484" s="7051"/>
      <c r="J484" s="7051"/>
      <c r="K484" s="7051"/>
      <c r="L484" s="7051"/>
      <c r="M484" s="7051"/>
      <c r="N484" s="7052"/>
      <c r="O484" s="2708"/>
      <c r="P484" s="2708"/>
      <c r="Q484" s="2708"/>
      <c r="R484" s="54"/>
      <c r="S484" s="54"/>
      <c r="T484" s="54"/>
      <c r="U484" s="54"/>
      <c r="V484" s="54"/>
      <c r="W484" s="54"/>
      <c r="X484" s="54"/>
      <c r="Y484" s="54"/>
      <c r="Z484" s="54"/>
      <c r="AA484" s="3">
        <v>1</v>
      </c>
    </row>
    <row r="485" spans="1:27" s="2684" customFormat="1" ht="21" customHeight="1">
      <c r="A485" s="7049"/>
      <c r="B485" s="3296"/>
      <c r="C485" s="3297"/>
      <c r="D485" s="3297"/>
      <c r="E485" s="3297"/>
      <c r="F485" s="3297"/>
      <c r="G485" s="3297"/>
      <c r="H485" s="3297"/>
      <c r="I485" s="3297"/>
      <c r="J485" s="3297"/>
      <c r="K485" s="3297"/>
      <c r="L485" s="3297"/>
      <c r="M485" s="3297"/>
      <c r="N485" s="3298"/>
      <c r="O485" s="2708"/>
      <c r="P485" s="2708"/>
      <c r="Q485" s="2708"/>
      <c r="R485" s="54"/>
      <c r="S485" s="54"/>
      <c r="T485" s="54"/>
      <c r="U485" s="54"/>
      <c r="V485" s="54"/>
      <c r="W485" s="54"/>
      <c r="X485" s="54"/>
      <c r="Y485" s="54"/>
      <c r="Z485" s="54"/>
      <c r="AA485" s="3">
        <v>1</v>
      </c>
    </row>
    <row r="486" spans="1:27" s="2684" customFormat="1" ht="21" customHeight="1">
      <c r="A486" s="7049"/>
      <c r="B486" s="3299"/>
      <c r="C486" s="3300"/>
      <c r="D486" s="3300"/>
      <c r="E486" s="3301" t="s">
        <v>10440</v>
      </c>
      <c r="F486" s="5887">
        <v>250</v>
      </c>
      <c r="G486" s="5887">
        <v>620</v>
      </c>
      <c r="H486" s="5887">
        <v>37</v>
      </c>
      <c r="I486" s="5887">
        <v>14</v>
      </c>
      <c r="J486" s="3097">
        <f>SUM(F486:I486)</f>
        <v>921</v>
      </c>
      <c r="K486" s="3302" t="s">
        <v>36</v>
      </c>
      <c r="L486" s="3303"/>
      <c r="M486" s="2707"/>
      <c r="N486" s="3304"/>
      <c r="O486" s="2708"/>
      <c r="P486" s="2708"/>
      <c r="Q486" s="2708"/>
      <c r="R486" s="54"/>
      <c r="S486" s="54"/>
      <c r="T486" s="54"/>
      <c r="U486" s="54"/>
      <c r="V486" s="54"/>
      <c r="W486" s="54"/>
      <c r="X486" s="54"/>
      <c r="Y486" s="54"/>
      <c r="Z486" s="54"/>
      <c r="AA486" s="3">
        <v>1</v>
      </c>
    </row>
    <row r="487" spans="1:27" s="2684" customFormat="1" ht="21" customHeight="1">
      <c r="A487" s="7049"/>
      <c r="B487" s="3299"/>
      <c r="C487" s="3300"/>
      <c r="D487" s="3300"/>
      <c r="E487" s="3305" t="s">
        <v>10544</v>
      </c>
      <c r="F487" s="5888">
        <v>4.4999999999999998E-2</v>
      </c>
      <c r="G487" s="5888">
        <v>7.0000000000000007E-2</v>
      </c>
      <c r="H487" s="5888">
        <v>0.11</v>
      </c>
      <c r="I487" s="5889">
        <v>0.13</v>
      </c>
      <c r="J487" s="2707"/>
      <c r="K487" s="3306" t="s">
        <v>10444</v>
      </c>
      <c r="L487" s="3307">
        <v>25</v>
      </c>
      <c r="M487" s="3308" t="s">
        <v>1746</v>
      </c>
      <c r="N487" s="3304"/>
      <c r="O487" s="2708"/>
      <c r="P487" s="2708"/>
      <c r="Q487" s="2708"/>
      <c r="R487" s="54"/>
      <c r="S487" s="54"/>
      <c r="T487" s="54"/>
      <c r="U487" s="54"/>
      <c r="V487" s="54"/>
      <c r="W487" s="54"/>
      <c r="X487" s="54"/>
      <c r="Y487" s="54"/>
      <c r="Z487" s="54"/>
      <c r="AA487" s="3">
        <v>1</v>
      </c>
    </row>
    <row r="488" spans="1:27" s="2684" customFormat="1" ht="21" customHeight="1">
      <c r="A488" s="7049"/>
      <c r="B488" s="3299"/>
      <c r="C488" s="3300"/>
      <c r="D488" s="3300"/>
      <c r="E488" s="3309" t="s">
        <v>8912</v>
      </c>
      <c r="F488" s="3310" t="s">
        <v>10331</v>
      </c>
      <c r="G488" s="5890" t="s">
        <v>10332</v>
      </c>
      <c r="H488" s="5891" t="s">
        <v>8189</v>
      </c>
      <c r="I488" s="5890" t="s">
        <v>10333</v>
      </c>
      <c r="J488" s="7053" t="s">
        <v>10545</v>
      </c>
      <c r="K488" s="7053"/>
      <c r="L488" s="7053"/>
      <c r="M488" s="2707"/>
      <c r="N488" s="3304"/>
      <c r="O488" s="2708"/>
      <c r="P488" s="2708"/>
      <c r="Q488" s="2708"/>
      <c r="R488" s="54"/>
      <c r="S488" s="54"/>
      <c r="T488" s="54"/>
      <c r="U488" s="54"/>
      <c r="V488" s="54"/>
      <c r="W488" s="54"/>
      <c r="X488" s="54"/>
      <c r="Y488" s="54"/>
      <c r="Z488" s="54"/>
      <c r="AA488" s="3">
        <v>1</v>
      </c>
    </row>
    <row r="489" spans="1:27" s="2684" customFormat="1" ht="21" customHeight="1">
      <c r="A489" s="7049"/>
      <c r="B489" s="3299"/>
      <c r="C489" s="3300"/>
      <c r="D489" s="3300"/>
      <c r="E489" s="3311" t="s">
        <v>10546</v>
      </c>
      <c r="F489" s="3312">
        <f>F487*F486</f>
        <v>11.25</v>
      </c>
      <c r="G489" s="3312">
        <f>G487*G486</f>
        <v>43.400000000000006</v>
      </c>
      <c r="H489" s="3312">
        <f>H487*H486</f>
        <v>4.07</v>
      </c>
      <c r="I489" s="3313">
        <f>I487*I486</f>
        <v>1.82</v>
      </c>
      <c r="J489" s="3314">
        <f>SUM(F489:I489)</f>
        <v>60.540000000000006</v>
      </c>
      <c r="K489" s="3314"/>
      <c r="L489" s="3315" t="s">
        <v>10547</v>
      </c>
      <c r="M489" s="2707"/>
      <c r="N489" s="3316"/>
      <c r="O489" s="2708"/>
      <c r="P489" s="2708"/>
      <c r="Q489" s="2708"/>
      <c r="R489" s="54"/>
      <c r="S489" s="54"/>
      <c r="T489" s="54"/>
      <c r="U489" s="54"/>
      <c r="V489" s="54"/>
      <c r="W489" s="54"/>
      <c r="X489" s="54"/>
      <c r="Y489" s="54"/>
      <c r="Z489" s="54"/>
      <c r="AA489" s="3">
        <v>1</v>
      </c>
    </row>
    <row r="490" spans="1:27" s="2684" customFormat="1" ht="21" customHeight="1">
      <c r="A490" s="7049"/>
      <c r="B490" s="3299"/>
      <c r="C490" s="3300"/>
      <c r="D490" s="3300"/>
      <c r="E490" s="3317" t="s">
        <v>10445</v>
      </c>
      <c r="F490" s="3318">
        <f>F489/(100-L487)*100</f>
        <v>15</v>
      </c>
      <c r="G490" s="3318">
        <f>G489/(100-L487)*100</f>
        <v>57.866666666666674</v>
      </c>
      <c r="H490" s="3318">
        <f>H489/(100-L487)*100</f>
        <v>5.4266666666666667</v>
      </c>
      <c r="I490" s="3319">
        <f>I489/(100-L487)*100</f>
        <v>2.4266666666666667</v>
      </c>
      <c r="J490" s="3320">
        <f>SUM(F490:I490)</f>
        <v>80.72</v>
      </c>
      <c r="K490" s="3321"/>
      <c r="L490" s="3133" t="s">
        <v>10548</v>
      </c>
      <c r="M490" s="2707"/>
      <c r="N490" s="3316"/>
      <c r="O490" s="2708"/>
      <c r="P490" s="2708"/>
      <c r="Q490" s="2708"/>
      <c r="R490" s="54"/>
      <c r="S490" s="54"/>
      <c r="T490" s="54"/>
      <c r="U490" s="54"/>
      <c r="V490" s="54"/>
      <c r="W490" s="54"/>
      <c r="X490" s="54"/>
      <c r="Y490" s="54"/>
      <c r="Z490" s="54"/>
      <c r="AA490" s="3">
        <v>1</v>
      </c>
    </row>
    <row r="491" spans="1:27" s="2684" customFormat="1" ht="21" customHeight="1">
      <c r="A491" s="7049"/>
      <c r="B491" s="3299"/>
      <c r="C491" s="3300"/>
      <c r="D491" s="3300"/>
      <c r="E491" s="3300"/>
      <c r="F491" s="3300"/>
      <c r="G491" s="3300"/>
      <c r="H491" s="3300"/>
      <c r="I491" s="3300"/>
      <c r="J491" s="3322">
        <f>J490-J489</f>
        <v>20.179999999999993</v>
      </c>
      <c r="K491" s="3322"/>
      <c r="L491" s="3323" t="s">
        <v>10549</v>
      </c>
      <c r="M491" s="3324"/>
      <c r="N491" s="3304"/>
      <c r="O491" s="2708"/>
      <c r="P491" s="2708"/>
      <c r="Q491" s="2708"/>
      <c r="R491" s="54"/>
      <c r="S491" s="54"/>
      <c r="T491" s="54"/>
      <c r="U491" s="54"/>
      <c r="V491" s="54"/>
      <c r="W491" s="54"/>
      <c r="X491" s="54"/>
      <c r="Y491" s="54"/>
      <c r="Z491" s="54"/>
      <c r="AA491" s="3">
        <v>1</v>
      </c>
    </row>
    <row r="492" spans="1:27" s="2684" customFormat="1" ht="21" customHeight="1">
      <c r="A492" s="7049"/>
      <c r="B492" s="3299"/>
      <c r="C492" s="3300"/>
      <c r="D492" s="3300"/>
      <c r="E492" s="3300"/>
      <c r="F492" s="3300"/>
      <c r="G492" s="3300"/>
      <c r="H492" s="3300"/>
      <c r="I492" s="3300"/>
      <c r="J492" s="3325">
        <f>(J491/J486)*1000</f>
        <v>21.910966340933761</v>
      </c>
      <c r="K492" s="3322"/>
      <c r="L492" s="3323" t="s">
        <v>10550</v>
      </c>
      <c r="M492" s="3324"/>
      <c r="N492" s="3304"/>
      <c r="O492" s="2708"/>
      <c r="P492" s="2708"/>
      <c r="Q492" s="2708"/>
      <c r="R492" s="54"/>
      <c r="S492" s="54"/>
      <c r="T492" s="54"/>
      <c r="U492" s="54"/>
      <c r="V492" s="54"/>
      <c r="W492" s="54"/>
      <c r="X492" s="54"/>
      <c r="Y492" s="54"/>
      <c r="Z492" s="54"/>
      <c r="AA492" s="3">
        <v>1</v>
      </c>
    </row>
    <row r="493" spans="1:27" s="2684" customFormat="1" ht="21" customHeight="1">
      <c r="A493" s="7049"/>
      <c r="B493" s="3299"/>
      <c r="C493" s="3326" t="s">
        <v>1746</v>
      </c>
      <c r="D493" s="3327" t="s">
        <v>10551</v>
      </c>
      <c r="E493" s="3300"/>
      <c r="F493" s="3300"/>
      <c r="G493" s="3300"/>
      <c r="H493" s="3300"/>
      <c r="I493" s="3300"/>
      <c r="J493" s="3300"/>
      <c r="K493" s="3300"/>
      <c r="L493" s="3300"/>
      <c r="M493" s="3300"/>
      <c r="N493" s="3304"/>
      <c r="O493" s="2708"/>
      <c r="P493" s="2708"/>
      <c r="Q493" s="2708"/>
      <c r="R493" s="54"/>
      <c r="S493" s="54"/>
      <c r="T493" s="54"/>
      <c r="U493" s="54"/>
      <c r="V493" s="54"/>
      <c r="W493" s="54"/>
      <c r="X493" s="54"/>
      <c r="Y493" s="54"/>
      <c r="Z493" s="54"/>
      <c r="AA493" s="3">
        <v>1</v>
      </c>
    </row>
    <row r="494" spans="1:27" s="2684" customFormat="1" ht="21" customHeight="1">
      <c r="A494" s="7049"/>
      <c r="B494" s="3299"/>
      <c r="C494" s="3328"/>
      <c r="D494" s="3327" t="s">
        <v>10552</v>
      </c>
      <c r="E494" s="3300"/>
      <c r="F494" s="3300"/>
      <c r="G494" s="3300"/>
      <c r="H494" s="3300"/>
      <c r="I494" s="3300"/>
      <c r="J494" s="3300"/>
      <c r="K494" s="3300"/>
      <c r="L494" s="3300"/>
      <c r="M494" s="3300"/>
      <c r="N494" s="3304"/>
      <c r="O494" s="2708"/>
      <c r="P494" s="2708"/>
      <c r="Q494" s="2708"/>
      <c r="R494" s="54"/>
      <c r="S494" s="54"/>
      <c r="T494" s="54"/>
      <c r="U494" s="54"/>
      <c r="V494" s="54"/>
      <c r="W494" s="54"/>
      <c r="X494" s="54"/>
      <c r="Y494" s="54"/>
      <c r="Z494" s="54"/>
      <c r="AA494" s="3">
        <v>1</v>
      </c>
    </row>
    <row r="495" spans="1:27" s="2684" customFormat="1" ht="21" customHeight="1">
      <c r="A495" s="7049"/>
      <c r="B495" s="5892"/>
      <c r="C495" s="5877"/>
      <c r="D495" s="5877"/>
      <c r="E495" s="5877"/>
      <c r="F495" s="5877"/>
      <c r="G495" s="5877"/>
      <c r="H495" s="5877"/>
      <c r="I495" s="5877"/>
      <c r="J495" s="5877"/>
      <c r="K495" s="5877"/>
      <c r="L495" s="5877"/>
      <c r="M495" s="5877"/>
      <c r="N495" s="5893"/>
      <c r="O495" s="2708"/>
      <c r="P495" s="2708"/>
      <c r="Q495" s="2708"/>
      <c r="R495" s="54"/>
      <c r="S495" s="54"/>
      <c r="T495" s="54"/>
      <c r="U495" s="54"/>
      <c r="V495" s="54"/>
      <c r="W495" s="54"/>
      <c r="X495" s="54"/>
      <c r="Y495" s="54"/>
      <c r="Z495" s="54"/>
      <c r="AA495" s="3">
        <v>1</v>
      </c>
    </row>
    <row r="496" spans="1:27" s="2684" customFormat="1" ht="21"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3329" t="s">
        <v>793</v>
      </c>
    </row>
    <row r="497" spans="1:27" s="2684" customFormat="1" ht="15">
      <c r="A497" s="3">
        <v>1</v>
      </c>
      <c r="B497" s="3">
        <v>1</v>
      </c>
      <c r="C497" s="3">
        <v>1</v>
      </c>
      <c r="D497" s="3">
        <v>1</v>
      </c>
      <c r="E497" s="3">
        <v>1</v>
      </c>
      <c r="F497" s="3">
        <v>1</v>
      </c>
      <c r="G497" s="3">
        <v>1</v>
      </c>
      <c r="H497" s="3">
        <v>1</v>
      </c>
      <c r="I497" s="3">
        <v>1</v>
      </c>
      <c r="J497" s="3">
        <v>1</v>
      </c>
      <c r="K497" s="3">
        <v>1</v>
      </c>
      <c r="L497" s="3">
        <v>1</v>
      </c>
      <c r="M497" s="3">
        <v>1</v>
      </c>
      <c r="N497" s="3">
        <v>1</v>
      </c>
      <c r="O497" s="3">
        <v>1</v>
      </c>
      <c r="P497" s="3">
        <v>1</v>
      </c>
      <c r="Q497" s="3">
        <v>1</v>
      </c>
      <c r="R497" s="3">
        <v>1</v>
      </c>
      <c r="S497" s="3">
        <v>1</v>
      </c>
      <c r="T497" s="3">
        <v>1</v>
      </c>
      <c r="U497" s="3">
        <v>1</v>
      </c>
      <c r="V497" s="3">
        <v>1</v>
      </c>
      <c r="W497" s="3">
        <v>1</v>
      </c>
      <c r="X497" s="3">
        <v>1</v>
      </c>
      <c r="Y497" s="3">
        <v>1</v>
      </c>
      <c r="Z497" s="3">
        <v>1</v>
      </c>
      <c r="AA497" s="1" t="str">
        <f>ADDRESS(ROW(),COLUMN(),4)</f>
        <v>AA497</v>
      </c>
    </row>
  </sheetData>
  <mergeCells count="422">
    <mergeCell ref="B4:Q4"/>
    <mergeCell ref="B51:Q52"/>
    <mergeCell ref="B54:G55"/>
    <mergeCell ref="J54:O54"/>
    <mergeCell ref="A55:A69"/>
    <mergeCell ref="I55:I76"/>
    <mergeCell ref="K55:O55"/>
    <mergeCell ref="B57:G58"/>
    <mergeCell ref="J57:O59"/>
    <mergeCell ref="C59:G59"/>
    <mergeCell ref="B66:B67"/>
    <mergeCell ref="C66:G67"/>
    <mergeCell ref="B68:B69"/>
    <mergeCell ref="C68:G69"/>
    <mergeCell ref="B71:C72"/>
    <mergeCell ref="D71:E72"/>
    <mergeCell ref="F71:F72"/>
    <mergeCell ref="G71:G72"/>
    <mergeCell ref="C60:G60"/>
    <mergeCell ref="C61:G61"/>
    <mergeCell ref="C62:G62"/>
    <mergeCell ref="C63:G63"/>
    <mergeCell ref="C64:G64"/>
    <mergeCell ref="C65:G65"/>
    <mergeCell ref="L80:O83"/>
    <mergeCell ref="C84:H84"/>
    <mergeCell ref="L84:O86"/>
    <mergeCell ref="C87:J87"/>
    <mergeCell ref="C89:I89"/>
    <mergeCell ref="L89:O89"/>
    <mergeCell ref="A72:A78"/>
    <mergeCell ref="B74:C74"/>
    <mergeCell ref="J74:N76"/>
    <mergeCell ref="B75:C75"/>
    <mergeCell ref="B76:C76"/>
    <mergeCell ref="B77:C77"/>
    <mergeCell ref="B78:C78"/>
    <mergeCell ref="L90:O93"/>
    <mergeCell ref="L94:O96"/>
    <mergeCell ref="L97:O99"/>
    <mergeCell ref="B102:T102"/>
    <mergeCell ref="A103:A120"/>
    <mergeCell ref="B104:K104"/>
    <mergeCell ref="L104:T104"/>
    <mergeCell ref="B105:D108"/>
    <mergeCell ref="E105:E108"/>
    <mergeCell ref="F105:F108"/>
    <mergeCell ref="B110:D110"/>
    <mergeCell ref="M110:N110"/>
    <mergeCell ref="B111:D111"/>
    <mergeCell ref="M111:N111"/>
    <mergeCell ref="B112:D112"/>
    <mergeCell ref="M112:N112"/>
    <mergeCell ref="G105:K105"/>
    <mergeCell ref="L105:M106"/>
    <mergeCell ref="N105:T108"/>
    <mergeCell ref="L107:M107"/>
    <mergeCell ref="G108:K108"/>
    <mergeCell ref="L108:M108"/>
    <mergeCell ref="A123:A135"/>
    <mergeCell ref="B124:D124"/>
    <mergeCell ref="B125:D125"/>
    <mergeCell ref="B126:D126"/>
    <mergeCell ref="B127:D127"/>
    <mergeCell ref="B128:D128"/>
    <mergeCell ref="B113:D113"/>
    <mergeCell ref="M113:N113"/>
    <mergeCell ref="B115:D115"/>
    <mergeCell ref="M115:N115"/>
    <mergeCell ref="B116:D116"/>
    <mergeCell ref="M116:N116"/>
    <mergeCell ref="B129:D129"/>
    <mergeCell ref="B130:D130"/>
    <mergeCell ref="B131:D131"/>
    <mergeCell ref="B133:D133"/>
    <mergeCell ref="B134:D134"/>
    <mergeCell ref="B135:D135"/>
    <mergeCell ref="B117:D117"/>
    <mergeCell ref="M117:N117"/>
    <mergeCell ref="G120:K120"/>
    <mergeCell ref="B122:F122"/>
    <mergeCell ref="B137:L137"/>
    <mergeCell ref="A138:A156"/>
    <mergeCell ref="C139:D139"/>
    <mergeCell ref="G139:H139"/>
    <mergeCell ref="C141:C142"/>
    <mergeCell ref="D141:D142"/>
    <mergeCell ref="E141:E142"/>
    <mergeCell ref="F141:F142"/>
    <mergeCell ref="C148:E148"/>
    <mergeCell ref="B158:L158"/>
    <mergeCell ref="A159:A169"/>
    <mergeCell ref="B166:K166"/>
    <mergeCell ref="B167:K167"/>
    <mergeCell ref="B171:K171"/>
    <mergeCell ref="A172:A183"/>
    <mergeCell ref="G176:H176"/>
    <mergeCell ref="B178:J178"/>
    <mergeCell ref="B179:K179"/>
    <mergeCell ref="B186:E186"/>
    <mergeCell ref="H186:S186"/>
    <mergeCell ref="A187:A199"/>
    <mergeCell ref="G187:G191"/>
    <mergeCell ref="B188:B189"/>
    <mergeCell ref="C188:C189"/>
    <mergeCell ref="D188:D189"/>
    <mergeCell ref="E188:E189"/>
    <mergeCell ref="H188:H189"/>
    <mergeCell ref="I188:I189"/>
    <mergeCell ref="R189:R190"/>
    <mergeCell ref="S189:S190"/>
    <mergeCell ref="B191:B192"/>
    <mergeCell ref="H191:K191"/>
    <mergeCell ref="B193:B194"/>
    <mergeCell ref="B196:E197"/>
    <mergeCell ref="J188:J189"/>
    <mergeCell ref="K188:K189"/>
    <mergeCell ref="L188:L190"/>
    <mergeCell ref="M188:M189"/>
    <mergeCell ref="P188:P190"/>
    <mergeCell ref="Q188:Q189"/>
    <mergeCell ref="N189:N190"/>
    <mergeCell ref="O189:O190"/>
    <mergeCell ref="B198:E199"/>
    <mergeCell ref="B201:E201"/>
    <mergeCell ref="H201:S201"/>
    <mergeCell ref="A202:A217"/>
    <mergeCell ref="G202:G207"/>
    <mergeCell ref="M202:O202"/>
    <mergeCell ref="C203:E203"/>
    <mergeCell ref="H203:H204"/>
    <mergeCell ref="I203:I204"/>
    <mergeCell ref="J203:J204"/>
    <mergeCell ref="K203:K204"/>
    <mergeCell ref="L203:L205"/>
    <mergeCell ref="M203:M204"/>
    <mergeCell ref="P203:P204"/>
    <mergeCell ref="Q203:Q204"/>
    <mergeCell ref="B204:B205"/>
    <mergeCell ref="C204:C205"/>
    <mergeCell ref="D204:D205"/>
    <mergeCell ref="E204:E205"/>
    <mergeCell ref="O204:O205"/>
    <mergeCell ref="A221:A237"/>
    <mergeCell ref="M221:M230"/>
    <mergeCell ref="B222:F223"/>
    <mergeCell ref="N222:R223"/>
    <mergeCell ref="B224:K224"/>
    <mergeCell ref="N224:W224"/>
    <mergeCell ref="B225:E226"/>
    <mergeCell ref="H206:K206"/>
    <mergeCell ref="B207:B209"/>
    <mergeCell ref="C207:C208"/>
    <mergeCell ref="E208:E209"/>
    <mergeCell ref="B210:B211"/>
    <mergeCell ref="C210:C211"/>
    <mergeCell ref="F225:F226"/>
    <mergeCell ref="G225:G226"/>
    <mergeCell ref="H225:I226"/>
    <mergeCell ref="J225:K226"/>
    <mergeCell ref="N225:Q225"/>
    <mergeCell ref="S225:T225"/>
    <mergeCell ref="N226:Q226"/>
    <mergeCell ref="S226:T226"/>
    <mergeCell ref="B214:E214"/>
    <mergeCell ref="B220:K220"/>
    <mergeCell ref="N220:W220"/>
    <mergeCell ref="B229:K230"/>
    <mergeCell ref="P229:Q229"/>
    <mergeCell ref="N230:W230"/>
    <mergeCell ref="B231:C232"/>
    <mergeCell ref="D231:E232"/>
    <mergeCell ref="F231:K232"/>
    <mergeCell ref="N232:Z232"/>
    <mergeCell ref="B227:E228"/>
    <mergeCell ref="F227:F228"/>
    <mergeCell ref="G227:G228"/>
    <mergeCell ref="H227:I228"/>
    <mergeCell ref="J227:K228"/>
    <mergeCell ref="N227:W227"/>
    <mergeCell ref="O228:Q228"/>
    <mergeCell ref="R228:W228"/>
    <mergeCell ref="T236:W237"/>
    <mergeCell ref="X236:X237"/>
    <mergeCell ref="Y236:Y237"/>
    <mergeCell ref="Z236:Z237"/>
    <mergeCell ref="B237:K237"/>
    <mergeCell ref="U238:Y238"/>
    <mergeCell ref="I233:I234"/>
    <mergeCell ref="J233:J234"/>
    <mergeCell ref="K233:K234"/>
    <mergeCell ref="M233:M242"/>
    <mergeCell ref="N234:S234"/>
    <mergeCell ref="B235:C235"/>
    <mergeCell ref="Q235:R235"/>
    <mergeCell ref="B240:K240"/>
    <mergeCell ref="N240:P241"/>
    <mergeCell ref="Q240:Q241"/>
    <mergeCell ref="B233:C234"/>
    <mergeCell ref="D233:D234"/>
    <mergeCell ref="E233:E234"/>
    <mergeCell ref="F233:F234"/>
    <mergeCell ref="G233:G234"/>
    <mergeCell ref="H233:H234"/>
    <mergeCell ref="A241:A247"/>
    <mergeCell ref="B242:E243"/>
    <mergeCell ref="F242:I243"/>
    <mergeCell ref="J242:K243"/>
    <mergeCell ref="N242:Z242"/>
    <mergeCell ref="B244:B245"/>
    <mergeCell ref="C244:C245"/>
    <mergeCell ref="R240:R241"/>
    <mergeCell ref="S240:S241"/>
    <mergeCell ref="T240:T241"/>
    <mergeCell ref="U240:U241"/>
    <mergeCell ref="V240:V241"/>
    <mergeCell ref="W240:W241"/>
    <mergeCell ref="D244:D245"/>
    <mergeCell ref="E244:F245"/>
    <mergeCell ref="G244:G245"/>
    <mergeCell ref="H244:I245"/>
    <mergeCell ref="J244:K245"/>
    <mergeCell ref="B247:K247"/>
    <mergeCell ref="X240:X241"/>
    <mergeCell ref="Y240:Y241"/>
    <mergeCell ref="Z240:Z241"/>
    <mergeCell ref="M260:M261"/>
    <mergeCell ref="N260:N261"/>
    <mergeCell ref="O260:O261"/>
    <mergeCell ref="P260:P261"/>
    <mergeCell ref="Q260:Q261"/>
    <mergeCell ref="M268:O269"/>
    <mergeCell ref="Q268:Q269"/>
    <mergeCell ref="B249:J249"/>
    <mergeCell ref="M249:Q249"/>
    <mergeCell ref="L250:L274"/>
    <mergeCell ref="B251:B253"/>
    <mergeCell ref="C251:C253"/>
    <mergeCell ref="D251:D253"/>
    <mergeCell ref="M251:M253"/>
    <mergeCell ref="O251:O253"/>
    <mergeCell ref="Q251:Q253"/>
    <mergeCell ref="B271:J273"/>
    <mergeCell ref="A276:A277"/>
    <mergeCell ref="B276:M277"/>
    <mergeCell ref="N276:N277"/>
    <mergeCell ref="A278:A304"/>
    <mergeCell ref="B279:N279"/>
    <mergeCell ref="B280:N283"/>
    <mergeCell ref="B284:N284"/>
    <mergeCell ref="L285:M285"/>
    <mergeCell ref="L286:M286"/>
    <mergeCell ref="B304:N304"/>
    <mergeCell ref="A250:A273"/>
    <mergeCell ref="A306:A307"/>
    <mergeCell ref="B306:M307"/>
    <mergeCell ref="N306:N307"/>
    <mergeCell ref="A308:A341"/>
    <mergeCell ref="B309:N309"/>
    <mergeCell ref="B310:N313"/>
    <mergeCell ref="B314:N314"/>
    <mergeCell ref="L315:M315"/>
    <mergeCell ref="C298:D298"/>
    <mergeCell ref="F298:G298"/>
    <mergeCell ref="I298:J298"/>
    <mergeCell ref="L298:M298"/>
    <mergeCell ref="B300:N301"/>
    <mergeCell ref="C302:N302"/>
    <mergeCell ref="L316:M317"/>
    <mergeCell ref="B323:N323"/>
    <mergeCell ref="L324:M324"/>
    <mergeCell ref="L325:M325"/>
    <mergeCell ref="C335:D335"/>
    <mergeCell ref="F335:G335"/>
    <mergeCell ref="I335:J335"/>
    <mergeCell ref="L335:M335"/>
    <mergeCell ref="C303:N303"/>
    <mergeCell ref="B337:N338"/>
    <mergeCell ref="C339:N339"/>
    <mergeCell ref="C340:N340"/>
    <mergeCell ref="B341:N341"/>
    <mergeCell ref="A345:A355"/>
    <mergeCell ref="G345:G355"/>
    <mergeCell ref="B346:C347"/>
    <mergeCell ref="D346:D347"/>
    <mergeCell ref="E346:E347"/>
    <mergeCell ref="H347:H348"/>
    <mergeCell ref="J349:J350"/>
    <mergeCell ref="K349:K350"/>
    <mergeCell ref="L349:L350"/>
    <mergeCell ref="M349:M350"/>
    <mergeCell ref="N349:N350"/>
    <mergeCell ref="B351:B352"/>
    <mergeCell ref="C351:C352"/>
    <mergeCell ref="D351:D352"/>
    <mergeCell ref="E351:E352"/>
    <mergeCell ref="H351:N351"/>
    <mergeCell ref="B348:B349"/>
    <mergeCell ref="C348:C349"/>
    <mergeCell ref="D348:D349"/>
    <mergeCell ref="E348:E349"/>
    <mergeCell ref="H349:H350"/>
    <mergeCell ref="I349:I350"/>
    <mergeCell ref="I347:I348"/>
    <mergeCell ref="J347:J348"/>
    <mergeCell ref="K347:K348"/>
    <mergeCell ref="L347:L348"/>
    <mergeCell ref="M347:M348"/>
    <mergeCell ref="N347:N348"/>
    <mergeCell ref="N352:N353"/>
    <mergeCell ref="B353:B354"/>
    <mergeCell ref="C353:C354"/>
    <mergeCell ref="D353:D354"/>
    <mergeCell ref="E353:E354"/>
    <mergeCell ref="H354:N354"/>
    <mergeCell ref="H352:H353"/>
    <mergeCell ref="I352:I353"/>
    <mergeCell ref="J352:J353"/>
    <mergeCell ref="K352:K353"/>
    <mergeCell ref="L352:L353"/>
    <mergeCell ref="M352:M353"/>
    <mergeCell ref="B355:E355"/>
    <mergeCell ref="H355:K355"/>
    <mergeCell ref="B357:N357"/>
    <mergeCell ref="A358:A382"/>
    <mergeCell ref="B359:N360"/>
    <mergeCell ref="B361:N362"/>
    <mergeCell ref="C372:M372"/>
    <mergeCell ref="H373:M373"/>
    <mergeCell ref="D374:E374"/>
    <mergeCell ref="B381:N382"/>
    <mergeCell ref="B384:N384"/>
    <mergeCell ref="A385:A402"/>
    <mergeCell ref="B386:N387"/>
    <mergeCell ref="B388:N389"/>
    <mergeCell ref="B390:N390"/>
    <mergeCell ref="B392:C392"/>
    <mergeCell ref="G392:H392"/>
    <mergeCell ref="K392:L392"/>
    <mergeCell ref="B401:N402"/>
    <mergeCell ref="J408:K408"/>
    <mergeCell ref="B409:D409"/>
    <mergeCell ref="G409:H409"/>
    <mergeCell ref="J409:K409"/>
    <mergeCell ref="B410:D410"/>
    <mergeCell ref="G410:H410"/>
    <mergeCell ref="J410:K410"/>
    <mergeCell ref="B404:K404"/>
    <mergeCell ref="A405:A416"/>
    <mergeCell ref="B406:D406"/>
    <mergeCell ref="G406:H406"/>
    <mergeCell ref="J406:K406"/>
    <mergeCell ref="B407:D407"/>
    <mergeCell ref="G407:H407"/>
    <mergeCell ref="J407:K407"/>
    <mergeCell ref="B408:D408"/>
    <mergeCell ref="G408:H408"/>
    <mergeCell ref="B413:D413"/>
    <mergeCell ref="G413:H413"/>
    <mergeCell ref="J413:K413"/>
    <mergeCell ref="B414:D414"/>
    <mergeCell ref="B416:K416"/>
    <mergeCell ref="B418:K418"/>
    <mergeCell ref="B411:D411"/>
    <mergeCell ref="G411:H411"/>
    <mergeCell ref="J411:K411"/>
    <mergeCell ref="B412:D412"/>
    <mergeCell ref="G412:H412"/>
    <mergeCell ref="J412:K412"/>
    <mergeCell ref="A419:A444"/>
    <mergeCell ref="B420:K420"/>
    <mergeCell ref="B421:K421"/>
    <mergeCell ref="B422:K422"/>
    <mergeCell ref="B423:K423"/>
    <mergeCell ref="H426:J426"/>
    <mergeCell ref="H427:J427"/>
    <mergeCell ref="H431:J431"/>
    <mergeCell ref="H432:J432"/>
    <mergeCell ref="H433:J433"/>
    <mergeCell ref="H434:J434"/>
    <mergeCell ref="H435:J435"/>
    <mergeCell ref="H439:J439"/>
    <mergeCell ref="H441:J441"/>
    <mergeCell ref="H443:J443"/>
    <mergeCell ref="B448:K448"/>
    <mergeCell ref="F454:F455"/>
    <mergeCell ref="G454:G455"/>
    <mergeCell ref="H454:H455"/>
    <mergeCell ref="I454:I455"/>
    <mergeCell ref="D458:E459"/>
    <mergeCell ref="F458:F459"/>
    <mergeCell ref="G458:G459"/>
    <mergeCell ref="K460:K461"/>
    <mergeCell ref="G452:G453"/>
    <mergeCell ref="I452:J453"/>
    <mergeCell ref="B456:K457"/>
    <mergeCell ref="B458:B459"/>
    <mergeCell ref="C458:C459"/>
    <mergeCell ref="B470:K470"/>
    <mergeCell ref="B471:K473"/>
    <mergeCell ref="K452:K453"/>
    <mergeCell ref="D454:D455"/>
    <mergeCell ref="E454:E455"/>
    <mergeCell ref="B474:K476"/>
    <mergeCell ref="B481:N481"/>
    <mergeCell ref="A482:A495"/>
    <mergeCell ref="B484:N484"/>
    <mergeCell ref="J488:L488"/>
    <mergeCell ref="H458:I459"/>
    <mergeCell ref="J458:J459"/>
    <mergeCell ref="B460:B461"/>
    <mergeCell ref="C460:C461"/>
    <mergeCell ref="D460:E461"/>
    <mergeCell ref="F460:F461"/>
    <mergeCell ref="G460:G461"/>
    <mergeCell ref="I460:I461"/>
    <mergeCell ref="J460:J461"/>
    <mergeCell ref="A449:A477"/>
    <mergeCell ref="B450:K451"/>
    <mergeCell ref="B452:C453"/>
    <mergeCell ref="D452:D453"/>
    <mergeCell ref="E452:F453"/>
  </mergeCells>
  <conditionalFormatting sqref="A51">
    <cfRule type="expression" dxfId="41" priority="8" stopIfTrue="1">
      <formula>OR(ROW()=CELL("ligne"),COLUMN()=CELL("colonne"))</formula>
    </cfRule>
  </conditionalFormatting>
  <conditionalFormatting sqref="A54">
    <cfRule type="expression" dxfId="40" priority="19" stopIfTrue="1">
      <formula>OR(ROW()=CELL("ligne"),COLUMN()=CELL("colonne"))</formula>
    </cfRule>
  </conditionalFormatting>
  <conditionalFormatting sqref="A71">
    <cfRule type="expression" dxfId="39" priority="18" stopIfTrue="1">
      <formula>OR(ROW()=CELL("ligne"),COLUMN()=CELL("colonne"))</formula>
    </cfRule>
  </conditionalFormatting>
  <conditionalFormatting sqref="A102">
    <cfRule type="expression" dxfId="38" priority="7" stopIfTrue="1">
      <formula>OR(ROW()=CELL("ligne"),COLUMN()=CELL("colonne"))</formula>
    </cfRule>
  </conditionalFormatting>
  <conditionalFormatting sqref="A122:A123">
    <cfRule type="expression" dxfId="37" priority="13" stopIfTrue="1">
      <formula>OR(ROW()=CELL("ligne"),COLUMN()=CELL("colonne"))</formula>
    </cfRule>
  </conditionalFormatting>
  <conditionalFormatting sqref="A137:A138">
    <cfRule type="expression" dxfId="36" priority="14" stopIfTrue="1">
      <formula>OR(ROW()=CELL("ligne"),COLUMN()=CELL("colonne"))</formula>
    </cfRule>
  </conditionalFormatting>
  <conditionalFormatting sqref="A158:A159">
    <cfRule type="expression" dxfId="35" priority="2" stopIfTrue="1">
      <formula>OR(ROW()=CELL("ligne"),COLUMN()=CELL("colonne"))</formula>
    </cfRule>
  </conditionalFormatting>
  <conditionalFormatting sqref="A171:A172">
    <cfRule type="expression" dxfId="34" priority="1" stopIfTrue="1">
      <formula>OR(ROW()=CELL("ligne"),COLUMN()=CELL("colonne"))</formula>
    </cfRule>
  </conditionalFormatting>
  <conditionalFormatting sqref="A186:A187">
    <cfRule type="expression" dxfId="33" priority="16" stopIfTrue="1">
      <formula>OR(ROW()=CELL("ligne"),COLUMN()=CELL("colonne"))</formula>
    </cfRule>
  </conditionalFormatting>
  <conditionalFormatting sqref="A201:A202">
    <cfRule type="expression" dxfId="32" priority="15" stopIfTrue="1">
      <formula>OR(ROW()=CELL("ligne"),COLUMN()=CELL("colonne"))</formula>
    </cfRule>
  </conditionalFormatting>
  <conditionalFormatting sqref="A221">
    <cfRule type="expression" dxfId="31" priority="9" stopIfTrue="1">
      <formula>OR(ROW()=CELL("ligne"),COLUMN()=CELL("colonne"))</formula>
    </cfRule>
  </conditionalFormatting>
  <conditionalFormatting sqref="A241">
    <cfRule type="expression" dxfId="30" priority="11" stopIfTrue="1">
      <formula>OR(ROW()=CELL("ligne"),COLUMN()=CELL("colonne"))</formula>
    </cfRule>
  </conditionalFormatting>
  <conditionalFormatting sqref="A344">
    <cfRule type="expression" dxfId="29" priority="4" stopIfTrue="1">
      <formula>OR(ROW()=CELL("ligne"),COLUMN()=CELL("colonne"))</formula>
    </cfRule>
  </conditionalFormatting>
  <conditionalFormatting sqref="A481">
    <cfRule type="expression" dxfId="28" priority="3" stopIfTrue="1">
      <formula>OR(ROW()=CELL("ligne"),COLUMN()=CELL("colonne"))</formula>
    </cfRule>
  </conditionalFormatting>
  <conditionalFormatting sqref="G186:G187">
    <cfRule type="expression" dxfId="27" priority="6" stopIfTrue="1">
      <formula>OR(ROW()=CELL("ligne"),COLUMN()=CELL("colonne"))</formula>
    </cfRule>
  </conditionalFormatting>
  <conditionalFormatting sqref="G201:G202">
    <cfRule type="expression" dxfId="26" priority="5" stopIfTrue="1">
      <formula>OR(ROW()=CELL("ligne"),COLUMN()=CELL("colonne"))</formula>
    </cfRule>
  </conditionalFormatting>
  <conditionalFormatting sqref="G344">
    <cfRule type="expression" dxfId="25" priority="17" stopIfTrue="1">
      <formula>OR(ROW()=CELL("ligne"),COLUMN()=CELL("colonne"))</formula>
    </cfRule>
  </conditionalFormatting>
  <conditionalFormatting sqref="I54">
    <cfRule type="expression" dxfId="24" priority="20" stopIfTrue="1">
      <formula>OR(ROW()=CELL("ligne"),COLUMN()=CELL("colonne"))</formula>
    </cfRule>
  </conditionalFormatting>
  <conditionalFormatting sqref="M221">
    <cfRule type="expression" dxfId="23" priority="12" stopIfTrue="1">
      <formula>OR(ROW()=CELL("ligne"),COLUMN()=CELL("colonne"))</formula>
    </cfRule>
  </conditionalFormatting>
  <conditionalFormatting sqref="M233">
    <cfRule type="expression" dxfId="22" priority="10" stopIfTrue="1">
      <formula>OR(ROW()=CELL("ligne"),COLUMN()=CELL("colonne"))</formula>
    </cfRule>
  </conditionalFormatting>
  <hyperlinks>
    <hyperlink ref="K55" r:id="rId1" xr:uid="{66EE7E6D-869A-4AA2-9895-038FE15FAC0B}"/>
    <hyperlink ref="C82" r:id="rId2" xr:uid="{88087D27-1BDA-4AB9-A793-D0826546EA13}"/>
    <hyperlink ref="C84" r:id="rId3" xr:uid="{87C59DEF-E8C0-40E8-8885-6A4A17389AEB}"/>
    <hyperlink ref="C87" r:id="rId4" xr:uid="{A95B506B-6AE8-4160-A622-12D928C7540D}"/>
    <hyperlink ref="C89" r:id="rId5" xr:uid="{1B7AD524-D775-4AB6-9FCA-2FE7253A1660}"/>
    <hyperlink ref="C139" r:id="rId6" xr:uid="{3A814EAA-84E0-4CCC-94CE-03C23F028899}"/>
    <hyperlink ref="E139" r:id="rId7" xr:uid="{C16C19ED-EBCC-4F36-A209-A725AE02BAF3}"/>
    <hyperlink ref="G139" r:id="rId8" xr:uid="{9947B7AE-F34D-4F02-94C5-80F0A042E0CA}"/>
    <hyperlink ref="H375" r:id="rId9" xr:uid="{78928563-4A60-4243-90E8-B3912A84237D}"/>
    <hyperlink ref="H374" r:id="rId10" display="feuilles de gélatine - Le Salon du Blog Culinaire" xr:uid="{640F7B81-6B40-449A-91BC-29689C5DFC53}"/>
    <hyperlink ref="H376" r:id="rId11" xr:uid="{8D198230-7EA2-4734-AAF7-FFF2656FFB44}"/>
    <hyperlink ref="E400" r:id="rId12" xr:uid="{9E44AB83-5CD4-42FC-8435-11CCDC97ED5C}"/>
    <hyperlink ref="C91" r:id="rId13" xr:uid="{4144F78D-717A-4F5B-97A6-1ADFEDA1ABF8}"/>
    <hyperlink ref="C93" r:id="rId14" xr:uid="{BEB88DF7-F766-47A2-B1A8-A6A3D6F691F9}"/>
  </hyperlinks>
  <pageMargins left="0.7" right="0.7" top="0.75" bottom="0.75" header="0.3" footer="0.3"/>
  <drawing r:id="rId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421FE-851E-48CD-A2B4-B37036C069A1}">
  <dimension ref="A1:S165"/>
  <sheetViews>
    <sheetView workbookViewId="0">
      <selection activeCell="B9" sqref="B9"/>
    </sheetView>
  </sheetViews>
  <sheetFormatPr baseColWidth="10" defaultColWidth="11.42578125" defaultRowHeight="15.75"/>
  <cols>
    <col min="1" max="1" width="6.85546875" style="2354" customWidth="1"/>
    <col min="2" max="2" width="16.7109375" style="2354" customWidth="1"/>
    <col min="3" max="3" width="11.42578125" style="2354"/>
    <col min="4" max="4" width="16.85546875" style="2354" customWidth="1"/>
    <col min="5" max="5" width="11.42578125" style="2354"/>
    <col min="6" max="6" width="14.42578125" style="2354" customWidth="1"/>
    <col min="7" max="10" width="11.42578125" style="2354"/>
    <col min="11" max="11" width="13.42578125" style="2354" customWidth="1"/>
    <col min="12" max="12" width="11.42578125" style="2354"/>
    <col min="13" max="13" width="18.7109375" style="2354" customWidth="1"/>
    <col min="14" max="14" width="11.42578125" style="2354"/>
    <col min="15" max="15" width="13.85546875" style="2354" customWidth="1"/>
    <col min="16" max="16" width="9.85546875" style="2354" customWidth="1"/>
    <col min="17" max="18" width="36.5703125" style="2354" customWidth="1"/>
    <col min="19" max="16384" width="11.42578125" style="2354"/>
  </cols>
  <sheetData>
    <row r="1" spans="1:19" ht="16.5" thickTop="1">
      <c r="A1" s="2" t="str">
        <f t="shared" ref="A1:Q1" si="0">SUBSTITUTE(ADDRESS(1,COLUMN(),4),"1","")</f>
        <v>A</v>
      </c>
      <c r="B1" s="2" t="str">
        <f t="shared" si="0"/>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5494"/>
      <c r="S1" s="3">
        <v>1</v>
      </c>
    </row>
    <row r="2" spans="1:19">
      <c r="A2" s="694">
        <f t="shared" ref="A2:Q2" ca="1" si="1">CELL("largeur",A2)</f>
        <v>6</v>
      </c>
      <c r="B2" s="694">
        <f t="shared" ca="1" si="1"/>
        <v>16</v>
      </c>
      <c r="C2" s="694">
        <f t="shared" ca="1" si="1"/>
        <v>11</v>
      </c>
      <c r="D2" s="694">
        <f t="shared" ca="1" si="1"/>
        <v>16</v>
      </c>
      <c r="E2" s="694">
        <f t="shared" ca="1" si="1"/>
        <v>11</v>
      </c>
      <c r="F2" s="694">
        <f t="shared" ca="1" si="1"/>
        <v>14</v>
      </c>
      <c r="G2" s="694">
        <f t="shared" ca="1" si="1"/>
        <v>11</v>
      </c>
      <c r="H2" s="694">
        <f t="shared" ca="1" si="1"/>
        <v>11</v>
      </c>
      <c r="I2" s="694">
        <f t="shared" ca="1" si="1"/>
        <v>11</v>
      </c>
      <c r="J2" s="694">
        <f t="shared" ca="1" si="1"/>
        <v>11</v>
      </c>
      <c r="K2" s="694">
        <f t="shared" ca="1" si="1"/>
        <v>13</v>
      </c>
      <c r="L2" s="694">
        <f t="shared" ca="1" si="1"/>
        <v>11</v>
      </c>
      <c r="M2" s="694">
        <f t="shared" ca="1" si="1"/>
        <v>18</v>
      </c>
      <c r="N2" s="694">
        <f t="shared" ca="1" si="1"/>
        <v>11</v>
      </c>
      <c r="O2" s="694">
        <f t="shared" ca="1" si="1"/>
        <v>13</v>
      </c>
      <c r="P2" s="694">
        <f t="shared" ca="1" si="1"/>
        <v>9</v>
      </c>
      <c r="Q2" s="694">
        <f t="shared" ca="1" si="1"/>
        <v>36</v>
      </c>
      <c r="R2" s="694"/>
      <c r="S2" s="3">
        <v>1</v>
      </c>
    </row>
    <row r="3" spans="1:19">
      <c r="A3" s="2069">
        <v>6</v>
      </c>
      <c r="B3" s="2069">
        <v>16</v>
      </c>
      <c r="C3" s="2069">
        <v>11</v>
      </c>
      <c r="D3" s="2069">
        <v>16</v>
      </c>
      <c r="E3" s="2069">
        <v>11</v>
      </c>
      <c r="F3" s="2069">
        <v>14</v>
      </c>
      <c r="G3" s="2069">
        <v>11</v>
      </c>
      <c r="H3" s="2069">
        <v>11</v>
      </c>
      <c r="I3" s="2069">
        <v>11</v>
      </c>
      <c r="J3" s="2069">
        <v>11</v>
      </c>
      <c r="K3" s="2069">
        <v>13</v>
      </c>
      <c r="L3" s="2069">
        <v>11</v>
      </c>
      <c r="M3" s="2069">
        <v>18</v>
      </c>
      <c r="N3" s="2069">
        <v>11</v>
      </c>
      <c r="O3" s="2069">
        <v>13</v>
      </c>
      <c r="P3" s="2069">
        <v>11</v>
      </c>
      <c r="Q3" s="2069">
        <v>11</v>
      </c>
      <c r="R3" s="2069"/>
      <c r="S3" s="3">
        <v>1</v>
      </c>
    </row>
    <row r="4" spans="1:19" s="2684" customFormat="1" ht="33.75">
      <c r="A4" s="2682">
        <f>(ROW())</f>
        <v>4</v>
      </c>
      <c r="B4" s="7660" t="s">
        <v>10553</v>
      </c>
      <c r="C4" s="7660"/>
      <c r="D4" s="7660"/>
      <c r="E4" s="7660"/>
      <c r="F4" s="7660"/>
      <c r="G4" s="7660"/>
      <c r="H4" s="7660"/>
      <c r="I4" s="7660"/>
      <c r="J4" s="7660"/>
      <c r="K4" s="7660"/>
      <c r="L4" s="7660"/>
      <c r="M4" s="7660"/>
      <c r="N4" s="7660"/>
      <c r="O4" s="7660"/>
      <c r="P4" s="7660"/>
      <c r="Q4" s="7660"/>
      <c r="R4" s="5616"/>
      <c r="S4" s="3">
        <v>1</v>
      </c>
    </row>
    <row r="5" spans="1:19" s="2684" customFormat="1" ht="23.25">
      <c r="A5" s="2707"/>
      <c r="B5" s="3330"/>
      <c r="C5" s="3331"/>
      <c r="D5" s="3331"/>
      <c r="E5" s="3331"/>
      <c r="F5" s="3331"/>
      <c r="G5" s="3331"/>
      <c r="H5" s="2618"/>
      <c r="I5" s="2618"/>
      <c r="J5" s="2618"/>
      <c r="K5" s="2618"/>
      <c r="L5" s="2618"/>
      <c r="M5" s="2618"/>
      <c r="N5" s="2618"/>
      <c r="O5" s="2618"/>
      <c r="P5" s="2706" t="s">
        <v>1491</v>
      </c>
      <c r="Q5" s="1" t="str">
        <f>S165</f>
        <v>S165</v>
      </c>
      <c r="R5" s="5615"/>
      <c r="S5" s="3">
        <v>1</v>
      </c>
    </row>
    <row r="6" spans="1:19" s="2684" customFormat="1" ht="27" customHeight="1">
      <c r="A6" s="5727" t="s">
        <v>166</v>
      </c>
      <c r="B6" s="7626" t="s">
        <v>10267</v>
      </c>
      <c r="C6" s="7626"/>
      <c r="D6" s="7626"/>
      <c r="E6" s="7626"/>
      <c r="F6" s="7626"/>
      <c r="G6" s="7626"/>
      <c r="H6" s="7626"/>
      <c r="I6" s="7626"/>
      <c r="J6" s="7626"/>
      <c r="K6" s="7626"/>
      <c r="L6" s="7626"/>
      <c r="M6" s="7626"/>
      <c r="N6" s="7626"/>
      <c r="O6" s="7626"/>
      <c r="P6" s="7626"/>
      <c r="Q6" s="7626"/>
      <c r="R6" s="5615"/>
      <c r="S6" s="3">
        <v>1</v>
      </c>
    </row>
    <row r="7" spans="1:19" s="2684" customFormat="1" ht="27" customHeight="1">
      <c r="A7" s="2726"/>
      <c r="B7" s="7626"/>
      <c r="C7" s="7626"/>
      <c r="D7" s="7626"/>
      <c r="E7" s="7626"/>
      <c r="F7" s="7626"/>
      <c r="G7" s="7626"/>
      <c r="H7" s="7626"/>
      <c r="I7" s="7626"/>
      <c r="J7" s="7626"/>
      <c r="K7" s="7626"/>
      <c r="L7" s="7626"/>
      <c r="M7" s="7626"/>
      <c r="N7" s="7626"/>
      <c r="O7" s="7626"/>
      <c r="P7" s="7626"/>
      <c r="Q7" s="7626"/>
      <c r="R7" s="5615"/>
      <c r="S7" s="3">
        <v>1</v>
      </c>
    </row>
    <row r="8" spans="1:19" s="2684" customFormat="1">
      <c r="A8" s="2707"/>
      <c r="B8" s="3330"/>
      <c r="C8" s="3331"/>
      <c r="D8" s="3331"/>
      <c r="E8" s="3331"/>
      <c r="F8" s="3331"/>
      <c r="G8" s="3331"/>
      <c r="H8" s="2618"/>
      <c r="I8" s="2618"/>
      <c r="J8" s="2618"/>
      <c r="K8" s="2618"/>
      <c r="L8" s="2618"/>
      <c r="M8" s="2618"/>
      <c r="N8" s="2618"/>
      <c r="O8" s="2618"/>
      <c r="P8" s="2618"/>
      <c r="Q8" s="2713" t="str">
        <f ca="1">"Page N°"&amp;_xlfn.SHEET()</f>
        <v>Page N°25</v>
      </c>
      <c r="R8" s="2713"/>
      <c r="S8" s="3">
        <v>1</v>
      </c>
    </row>
    <row r="9" spans="1:19" s="2684" customFormat="1" ht="21">
      <c r="A9" s="2707"/>
      <c r="B9" s="3330"/>
      <c r="C9" s="2709" t="s">
        <v>9519</v>
      </c>
      <c r="D9" s="2709"/>
      <c r="E9" s="2618"/>
      <c r="F9" s="2618"/>
      <c r="G9" s="2618"/>
      <c r="H9" s="2618"/>
      <c r="I9" s="2618"/>
      <c r="J9" s="2618"/>
      <c r="K9" s="2618"/>
      <c r="L9" s="2618"/>
      <c r="M9" s="2618"/>
      <c r="N9" s="2618"/>
      <c r="O9" s="2618"/>
      <c r="P9" s="2618"/>
      <c r="Q9" s="2707"/>
      <c r="R9" s="2707"/>
      <c r="S9" s="3">
        <v>1</v>
      </c>
    </row>
    <row r="10" spans="1:19" s="2684" customFormat="1" ht="21">
      <c r="A10" s="2707"/>
      <c r="B10" s="3330"/>
      <c r="C10" s="2714" t="str">
        <f>B23</f>
        <v>B23</v>
      </c>
      <c r="D10" s="3332" t="s">
        <v>9521</v>
      </c>
      <c r="E10" s="2716"/>
      <c r="F10" s="2716"/>
      <c r="G10" s="2716"/>
      <c r="H10" s="2716"/>
      <c r="I10" s="2716"/>
      <c r="J10" s="2716"/>
      <c r="K10" s="2618"/>
      <c r="L10" s="2618"/>
      <c r="M10" s="2618"/>
      <c r="N10" s="2618"/>
      <c r="O10" s="2618"/>
      <c r="P10" s="2618"/>
      <c r="Q10" s="2707"/>
      <c r="R10" s="2707"/>
      <c r="S10" s="3">
        <v>1</v>
      </c>
    </row>
    <row r="11" spans="1:19" s="2684" customFormat="1">
      <c r="A11" s="2707"/>
      <c r="B11" s="3330"/>
      <c r="C11" s="3330"/>
      <c r="D11" s="3331"/>
      <c r="E11" s="3331"/>
      <c r="F11" s="3331"/>
      <c r="G11" s="3331"/>
      <c r="H11" s="2618"/>
      <c r="I11" s="2618"/>
      <c r="J11" s="2618"/>
      <c r="K11" s="2618"/>
      <c r="L11" s="2618"/>
      <c r="M11" s="2618"/>
      <c r="N11" s="2618"/>
      <c r="O11" s="2618"/>
      <c r="P11" s="2618"/>
      <c r="Q11" s="2707"/>
      <c r="R11" s="2707"/>
      <c r="S11" s="3">
        <v>1</v>
      </c>
    </row>
    <row r="12" spans="1:19" s="2684" customFormat="1" ht="21">
      <c r="A12" s="2707"/>
      <c r="B12" s="3330"/>
      <c r="C12" s="2709" t="s">
        <v>10554</v>
      </c>
      <c r="D12" s="2709"/>
      <c r="E12" s="2709" t="s">
        <v>9524</v>
      </c>
      <c r="F12" s="3333"/>
      <c r="G12" s="3334"/>
      <c r="H12" s="2618"/>
      <c r="I12" s="2618"/>
      <c r="J12" s="2709" t="s">
        <v>9523</v>
      </c>
      <c r="K12" s="2709"/>
      <c r="L12" s="2709" t="s">
        <v>9524</v>
      </c>
      <c r="M12" s="3333"/>
      <c r="N12" s="3333"/>
      <c r="O12" s="3334"/>
      <c r="P12" s="2618"/>
      <c r="Q12" s="2707"/>
      <c r="R12" s="2707"/>
      <c r="S12" s="3">
        <v>1</v>
      </c>
    </row>
    <row r="13" spans="1:19" s="2684" customFormat="1" ht="21">
      <c r="A13" s="2707"/>
      <c r="B13" s="3330"/>
      <c r="C13" s="2714" t="str">
        <f>B38</f>
        <v>B38</v>
      </c>
      <c r="D13" s="3332" t="s">
        <v>9521</v>
      </c>
      <c r="E13" s="2716"/>
      <c r="F13" s="2716"/>
      <c r="G13" s="2716"/>
      <c r="H13" s="2618"/>
      <c r="I13" s="2618"/>
      <c r="J13" s="2714" t="str">
        <f>K38</f>
        <v>K38</v>
      </c>
      <c r="K13" s="3332" t="s">
        <v>9521</v>
      </c>
      <c r="L13" s="2716"/>
      <c r="M13" s="2716"/>
      <c r="N13" s="2716"/>
      <c r="O13" s="2716"/>
      <c r="P13" s="2618"/>
      <c r="Q13" s="2707"/>
      <c r="R13" s="2707"/>
      <c r="S13" s="3">
        <v>1</v>
      </c>
    </row>
    <row r="14" spans="1:19" s="2684" customFormat="1">
      <c r="A14" s="2707"/>
      <c r="B14" s="3330"/>
      <c r="C14" s="3330"/>
      <c r="D14" s="3331"/>
      <c r="E14" s="3331"/>
      <c r="F14" s="3331"/>
      <c r="G14" s="3331"/>
      <c r="H14" s="2618"/>
      <c r="I14" s="2618"/>
      <c r="J14" s="2618"/>
      <c r="K14" s="2618"/>
      <c r="L14" s="2618"/>
      <c r="M14" s="2618"/>
      <c r="N14" s="2618"/>
      <c r="O14" s="2618"/>
      <c r="P14" s="2618"/>
      <c r="Q14" s="2707"/>
      <c r="R14" s="2707"/>
      <c r="S14" s="3">
        <v>1</v>
      </c>
    </row>
    <row r="15" spans="1:19" s="2684" customFormat="1" ht="15" customHeight="1">
      <c r="A15" s="2707"/>
      <c r="B15" s="3330"/>
      <c r="C15" s="2709" t="s">
        <v>10555</v>
      </c>
      <c r="D15" s="2709"/>
      <c r="E15" s="3331"/>
      <c r="F15" s="3331"/>
      <c r="G15" s="3331"/>
      <c r="H15" s="2618"/>
      <c r="I15" s="2618"/>
      <c r="J15" s="2709" t="s">
        <v>10556</v>
      </c>
      <c r="K15" s="2709"/>
      <c r="L15" s="2618"/>
      <c r="M15" s="2618"/>
      <c r="N15" s="2618"/>
      <c r="O15" s="2618"/>
      <c r="P15" s="2618"/>
      <c r="Q15" s="2707"/>
      <c r="R15" s="2707"/>
      <c r="S15" s="3">
        <v>1</v>
      </c>
    </row>
    <row r="16" spans="1:19" s="2684" customFormat="1" ht="21">
      <c r="A16" s="2707"/>
      <c r="B16" s="3330"/>
      <c r="C16" s="2714" t="str">
        <f>B53</f>
        <v>B53</v>
      </c>
      <c r="D16" s="3332" t="s">
        <v>9521</v>
      </c>
      <c r="E16" s="3331"/>
      <c r="F16" s="3331"/>
      <c r="G16" s="3331"/>
      <c r="H16" s="2618"/>
      <c r="I16" s="2618"/>
      <c r="J16" s="2714" t="str">
        <f>K53</f>
        <v>K53</v>
      </c>
      <c r="K16" s="3332" t="s">
        <v>9521</v>
      </c>
      <c r="L16" s="2618"/>
      <c r="M16" s="2618"/>
      <c r="N16" s="2618"/>
      <c r="O16" s="2618"/>
      <c r="P16" s="2618"/>
      <c r="Q16" s="2707"/>
      <c r="R16" s="2707"/>
      <c r="S16" s="3">
        <v>1</v>
      </c>
    </row>
    <row r="17" spans="1:19" s="2684" customFormat="1">
      <c r="A17" s="2707"/>
      <c r="B17" s="3330"/>
      <c r="C17" s="3331"/>
      <c r="D17" s="3331"/>
      <c r="E17" s="3331"/>
      <c r="F17" s="3331"/>
      <c r="G17" s="3331"/>
      <c r="H17" s="2618"/>
      <c r="I17" s="2618"/>
      <c r="J17" s="2618"/>
      <c r="K17" s="2618"/>
      <c r="L17" s="2618"/>
      <c r="M17" s="2618"/>
      <c r="N17" s="2618"/>
      <c r="O17" s="2618"/>
      <c r="P17" s="2618"/>
      <c r="Q17" s="2707"/>
      <c r="R17" s="2707"/>
      <c r="S17" s="3">
        <v>1</v>
      </c>
    </row>
    <row r="18" spans="1:19" s="2684" customFormat="1" ht="15.75" customHeight="1">
      <c r="A18" s="2707"/>
      <c r="B18" s="3330"/>
      <c r="C18" s="2709" t="s">
        <v>10557</v>
      </c>
      <c r="D18" s="2709"/>
      <c r="E18" s="3331"/>
      <c r="F18" s="3331"/>
      <c r="G18" s="3331"/>
      <c r="H18" s="2618"/>
      <c r="I18" s="2618"/>
      <c r="J18" s="2709" t="s">
        <v>10558</v>
      </c>
      <c r="K18" s="2709"/>
      <c r="L18" s="2618"/>
      <c r="M18" s="2618"/>
      <c r="N18" s="2618"/>
      <c r="O18" s="2618"/>
      <c r="P18" s="2618"/>
      <c r="Q18" s="2707"/>
      <c r="R18" s="2707"/>
      <c r="S18" s="3">
        <v>1</v>
      </c>
    </row>
    <row r="19" spans="1:19" s="2684" customFormat="1" ht="21">
      <c r="A19" s="2707"/>
      <c r="B19" s="3330"/>
      <c r="C19" s="2714" t="str">
        <f>B61</f>
        <v>B61</v>
      </c>
      <c r="D19" s="3332" t="s">
        <v>9521</v>
      </c>
      <c r="E19" s="3331"/>
      <c r="F19" s="3331"/>
      <c r="G19" s="3331"/>
      <c r="H19" s="2618"/>
      <c r="I19" s="2618"/>
      <c r="J19" s="2714" t="str">
        <f>K61</f>
        <v>K61</v>
      </c>
      <c r="K19" s="3332" t="s">
        <v>9521</v>
      </c>
      <c r="L19" s="2618"/>
      <c r="M19" s="2618"/>
      <c r="N19" s="2618"/>
      <c r="O19" s="2618"/>
      <c r="P19" s="2618"/>
      <c r="Q19" s="2707"/>
      <c r="R19" s="2707"/>
      <c r="S19" s="3">
        <v>1</v>
      </c>
    </row>
    <row r="20" spans="1:19" s="2684" customFormat="1">
      <c r="A20" s="2707"/>
      <c r="B20" s="3330"/>
      <c r="C20" s="3331"/>
      <c r="D20" s="3331"/>
      <c r="E20" s="3331"/>
      <c r="F20" s="3331"/>
      <c r="G20" s="3331"/>
      <c r="H20" s="2618"/>
      <c r="I20" s="2618"/>
      <c r="J20" s="2618"/>
      <c r="K20" s="2618"/>
      <c r="L20" s="2618"/>
      <c r="M20" s="2618"/>
      <c r="N20" s="2618"/>
      <c r="O20" s="2618"/>
      <c r="P20" s="2618"/>
      <c r="Q20" s="2707"/>
      <c r="R20" s="2707"/>
      <c r="S20" s="3">
        <v>1</v>
      </c>
    </row>
    <row r="21" spans="1:19" s="2684" customFormat="1" ht="16.5" thickBot="1">
      <c r="A21" s="2707"/>
      <c r="B21" s="3330"/>
      <c r="C21" s="3331"/>
      <c r="D21" s="3331"/>
      <c r="E21" s="3331"/>
      <c r="F21" s="3331"/>
      <c r="G21" s="3331"/>
      <c r="H21" s="2618"/>
      <c r="I21" s="2618"/>
      <c r="J21" s="2618"/>
      <c r="K21" s="2618"/>
      <c r="L21" s="2618"/>
      <c r="M21" s="2618"/>
      <c r="N21" s="2618"/>
      <c r="O21" s="2618"/>
      <c r="P21" s="2618"/>
      <c r="Q21" s="2707"/>
      <c r="R21" s="2707"/>
      <c r="S21" s="3">
        <v>1</v>
      </c>
    </row>
    <row r="22" spans="1:19" s="2684" customFormat="1">
      <c r="A22" s="5617" t="s">
        <v>166</v>
      </c>
      <c r="B22" s="2609"/>
      <c r="C22" s="2610"/>
      <c r="D22" s="2610"/>
      <c r="E22" s="2610"/>
      <c r="F22" s="2610"/>
      <c r="G22" s="2611"/>
      <c r="H22" s="2610"/>
      <c r="I22" s="2610"/>
      <c r="J22" s="2612" t="s">
        <v>9519</v>
      </c>
      <c r="K22" s="2618"/>
      <c r="L22" s="2618"/>
      <c r="M22" s="2618"/>
      <c r="N22" s="2618"/>
      <c r="O22" s="2618"/>
      <c r="P22" s="2618"/>
      <c r="Q22" s="2707"/>
      <c r="R22" s="2707"/>
      <c r="S22" s="3">
        <v>1</v>
      </c>
    </row>
    <row r="23" spans="1:19" s="2684" customFormat="1" ht="15" customHeight="1">
      <c r="A23" s="7061" t="str">
        <f>J22</f>
        <v>Prix D'ACHAT / Prix de VENTE</v>
      </c>
      <c r="B23" s="3085" t="str">
        <f>ADDRESS(ROW(),COLUMN(),4)</f>
        <v>B23</v>
      </c>
      <c r="C23" s="2615" t="s">
        <v>9521</v>
      </c>
      <c r="D23" s="5728"/>
      <c r="E23" s="5728"/>
      <c r="F23" s="5728"/>
      <c r="G23" s="5728"/>
      <c r="H23" s="5728"/>
      <c r="I23" s="5728"/>
      <c r="J23" s="5729"/>
      <c r="K23" s="2618"/>
      <c r="L23" s="2618"/>
      <c r="M23" s="2618"/>
      <c r="N23" s="2618"/>
      <c r="O23" s="2618"/>
      <c r="P23" s="2618"/>
      <c r="Q23" s="2707"/>
      <c r="R23" s="2707"/>
      <c r="S23" s="3">
        <v>1</v>
      </c>
    </row>
    <row r="24" spans="1:19" s="2684" customFormat="1" ht="20.100000000000001" customHeight="1">
      <c r="A24" s="7061"/>
      <c r="B24" s="3335"/>
      <c r="C24" s="3336" t="s">
        <v>722</v>
      </c>
      <c r="D24" s="3337">
        <v>0.44</v>
      </c>
      <c r="E24" s="2618"/>
      <c r="F24" s="3338" t="s">
        <v>722</v>
      </c>
      <c r="G24" s="3337">
        <v>100</v>
      </c>
      <c r="H24" s="2618"/>
      <c r="I24" s="3339" t="s">
        <v>724</v>
      </c>
      <c r="J24" s="3340">
        <v>115</v>
      </c>
      <c r="K24" s="2618"/>
      <c r="L24" s="2618"/>
      <c r="M24" s="2707"/>
      <c r="N24" s="2707"/>
      <c r="O24" s="2707"/>
      <c r="P24" s="2707"/>
      <c r="Q24" s="2707"/>
      <c r="R24" s="2707"/>
      <c r="S24" s="3">
        <v>1</v>
      </c>
    </row>
    <row r="25" spans="1:19" s="2684" customFormat="1" ht="20.100000000000001" customHeight="1">
      <c r="A25" s="7061"/>
      <c r="B25" s="3341"/>
      <c r="C25" s="3342" t="s">
        <v>732</v>
      </c>
      <c r="D25" s="3343">
        <v>60</v>
      </c>
      <c r="E25" s="2618"/>
      <c r="F25" s="3342" t="s">
        <v>728</v>
      </c>
      <c r="G25" s="3344">
        <v>10</v>
      </c>
      <c r="H25" s="2618"/>
      <c r="I25" s="3338" t="s">
        <v>722</v>
      </c>
      <c r="J25" s="3345">
        <v>133</v>
      </c>
      <c r="K25" s="2618"/>
      <c r="L25" s="2618"/>
      <c r="M25" s="2707"/>
      <c r="N25" s="2707"/>
      <c r="O25" s="2707"/>
      <c r="P25" s="2707"/>
      <c r="Q25" s="2707"/>
      <c r="R25" s="2707"/>
      <c r="S25" s="3">
        <v>1</v>
      </c>
    </row>
    <row r="26" spans="1:19" s="2684" customFormat="1" ht="20.100000000000001" customHeight="1">
      <c r="A26" s="7061"/>
      <c r="B26" s="3346"/>
      <c r="C26" s="3347" t="s">
        <v>728</v>
      </c>
      <c r="D26" s="3348">
        <f>D24*D25%</f>
        <v>0.26400000000000001</v>
      </c>
      <c r="E26" s="2618"/>
      <c r="F26" s="3349" t="s">
        <v>724</v>
      </c>
      <c r="G26" s="3348">
        <f>IF(G24=0,0,G24+G25)</f>
        <v>110</v>
      </c>
      <c r="H26" s="2618"/>
      <c r="I26" s="3347" t="s">
        <v>728</v>
      </c>
      <c r="J26" s="3350">
        <f>IF(J24=0,0,IF(J25=0,0,J24-J25))</f>
        <v>-18</v>
      </c>
      <c r="K26" s="2618"/>
      <c r="L26" s="2618"/>
      <c r="M26" s="2707"/>
      <c r="N26" s="2707"/>
      <c r="O26" s="2707"/>
      <c r="P26" s="2707"/>
      <c r="Q26" s="2707"/>
      <c r="R26" s="2707"/>
      <c r="S26" s="3">
        <v>1</v>
      </c>
    </row>
    <row r="27" spans="1:19" s="2684" customFormat="1" ht="20.100000000000001" customHeight="1">
      <c r="A27" s="7061"/>
      <c r="B27" s="5730"/>
      <c r="C27" s="3349" t="s">
        <v>724</v>
      </c>
      <c r="D27" s="3348">
        <f>((D24*D25)/100)+D24</f>
        <v>0.70399999999999996</v>
      </c>
      <c r="E27" s="2618"/>
      <c r="F27" s="3351" t="s">
        <v>732</v>
      </c>
      <c r="G27" s="3352">
        <f>IF(G24=0,0,IF(ISBLANK(G24),0,(G25/G24)*100))</f>
        <v>10</v>
      </c>
      <c r="H27" s="2618"/>
      <c r="I27" s="3351" t="s">
        <v>732</v>
      </c>
      <c r="J27" s="3353">
        <f>IF(J25=0,0,IF(ISBLANK(J25),0,(J26/J25)*100))</f>
        <v>-13.533834586466165</v>
      </c>
      <c r="K27" s="2618"/>
      <c r="L27" s="2618"/>
      <c r="M27" s="2707"/>
      <c r="N27" s="2707"/>
      <c r="O27" s="2707"/>
      <c r="P27" s="2707"/>
      <c r="Q27" s="2707"/>
      <c r="R27" s="2707"/>
      <c r="S27" s="3">
        <v>1</v>
      </c>
    </row>
    <row r="28" spans="1:19" s="2684" customFormat="1" ht="20.100000000000001" customHeight="1">
      <c r="A28" s="7061"/>
      <c r="B28" s="5731"/>
      <c r="C28" s="5732"/>
      <c r="D28" s="5733"/>
      <c r="E28" s="5734"/>
      <c r="F28" s="5735"/>
      <c r="G28" s="5736"/>
      <c r="H28" s="5734"/>
      <c r="I28" s="5735"/>
      <c r="J28" s="5737"/>
      <c r="K28" s="2618"/>
      <c r="L28" s="2618"/>
      <c r="M28" s="2707"/>
      <c r="N28" s="2707"/>
      <c r="O28" s="2707"/>
      <c r="P28" s="2707"/>
      <c r="Q28" s="2707"/>
      <c r="R28" s="2707"/>
      <c r="S28" s="3">
        <v>1</v>
      </c>
    </row>
    <row r="29" spans="1:19" s="2684" customFormat="1" ht="20.100000000000001" customHeight="1">
      <c r="A29" s="7061"/>
      <c r="B29" s="3335"/>
      <c r="C29" s="3338" t="s">
        <v>722</v>
      </c>
      <c r="D29" s="3337">
        <v>5.8970000000000002</v>
      </c>
      <c r="E29" s="2618"/>
      <c r="F29" s="3339" t="s">
        <v>724</v>
      </c>
      <c r="G29" s="3344">
        <v>9.64</v>
      </c>
      <c r="H29" s="2618"/>
      <c r="I29" s="3339" t="s">
        <v>724</v>
      </c>
      <c r="J29" s="3340">
        <v>100</v>
      </c>
      <c r="K29" s="2618"/>
      <c r="L29" s="2618"/>
      <c r="M29" s="2707"/>
      <c r="N29" s="2707"/>
      <c r="O29" s="2707"/>
      <c r="P29" s="2707"/>
      <c r="Q29" s="2707"/>
      <c r="R29" s="2707"/>
      <c r="S29" s="3">
        <v>1</v>
      </c>
    </row>
    <row r="30" spans="1:19" s="2684" customFormat="1" ht="25.5" customHeight="1">
      <c r="A30" s="7061"/>
      <c r="B30" s="3354"/>
      <c r="C30" s="3339" t="s">
        <v>724</v>
      </c>
      <c r="D30" s="3344">
        <v>9.64</v>
      </c>
      <c r="E30" s="2618"/>
      <c r="F30" s="3355" t="s">
        <v>732</v>
      </c>
      <c r="G30" s="3356">
        <v>63.5</v>
      </c>
      <c r="H30" s="2618"/>
      <c r="I30" s="3357" t="s">
        <v>728</v>
      </c>
      <c r="J30" s="3340">
        <v>50</v>
      </c>
      <c r="K30" s="2618"/>
      <c r="L30" s="2618"/>
      <c r="M30" s="2707"/>
      <c r="N30" s="2707"/>
      <c r="O30" s="2707"/>
      <c r="P30" s="2707"/>
      <c r="Q30" s="2707"/>
      <c r="R30" s="2707"/>
      <c r="S30" s="3">
        <v>1</v>
      </c>
    </row>
    <row r="31" spans="1:19" s="2684" customFormat="1" ht="20.100000000000001" customHeight="1">
      <c r="A31" s="7061"/>
      <c r="B31" s="3346"/>
      <c r="C31" s="3347" t="s">
        <v>728</v>
      </c>
      <c r="D31" s="3348">
        <f>IF(D29=0,0,IF(D30=0,0,D30-D29))</f>
        <v>3.7430000000000003</v>
      </c>
      <c r="E31" s="2618"/>
      <c r="F31" s="3347" t="s">
        <v>728</v>
      </c>
      <c r="G31" s="3348">
        <f>G29-G32</f>
        <v>3.7439755351681958</v>
      </c>
      <c r="H31" s="2618"/>
      <c r="I31" s="3349" t="s">
        <v>722</v>
      </c>
      <c r="J31" s="3350">
        <f>IF(J29=0,0,IF(ISBLANK(J29),0,J29-J30))</f>
        <v>50</v>
      </c>
      <c r="K31" s="2618"/>
      <c r="L31" s="2618"/>
      <c r="M31" s="2707"/>
      <c r="N31" s="2707"/>
      <c r="O31" s="2707"/>
      <c r="P31" s="2707"/>
      <c r="Q31" s="2707"/>
      <c r="R31" s="2707"/>
      <c r="S31" s="3">
        <v>1</v>
      </c>
    </row>
    <row r="32" spans="1:19" s="2684" customFormat="1" ht="20.100000000000001" customHeight="1">
      <c r="A32" s="7061"/>
      <c r="B32" s="3358"/>
      <c r="C32" s="5738" t="s">
        <v>732</v>
      </c>
      <c r="D32" s="5739">
        <f>IF(D29=0,0,IF(ISBLANK(D29),0,(D31/D29)*100))</f>
        <v>63.472952348651859</v>
      </c>
      <c r="E32" s="2618"/>
      <c r="F32" s="5740" t="s">
        <v>722</v>
      </c>
      <c r="G32" s="5741">
        <f>(G29/(100+G30)*100)</f>
        <v>5.8960244648318048</v>
      </c>
      <c r="H32" s="2618"/>
      <c r="I32" s="5738" t="s">
        <v>732</v>
      </c>
      <c r="J32" s="5742">
        <f>IF(J31=0,0,IF(ISBLANK(J30),0,(J30/J31)*100))</f>
        <v>100</v>
      </c>
      <c r="K32" s="2618"/>
      <c r="L32" s="2618"/>
      <c r="M32" s="2707"/>
      <c r="N32" s="2707"/>
      <c r="O32" s="2707"/>
      <c r="P32" s="2707"/>
      <c r="Q32" s="2707"/>
      <c r="R32" s="2707"/>
      <c r="S32" s="3">
        <v>1</v>
      </c>
    </row>
    <row r="33" spans="1:19" s="2684" customFormat="1" ht="20.100000000000001" customHeight="1">
      <c r="A33" s="7061"/>
      <c r="B33" s="7756" t="s">
        <v>10472</v>
      </c>
      <c r="C33" s="7757"/>
      <c r="D33" s="7757"/>
      <c r="E33" s="7757"/>
      <c r="F33" s="7757"/>
      <c r="G33" s="7757"/>
      <c r="H33" s="7757"/>
      <c r="I33" s="7757"/>
      <c r="J33" s="7757"/>
      <c r="K33" s="2618"/>
      <c r="L33" s="2618"/>
      <c r="M33" s="2707"/>
      <c r="N33" s="2707"/>
      <c r="O33" s="2707"/>
      <c r="P33" s="2707"/>
      <c r="Q33" s="2707"/>
      <c r="R33" s="2707"/>
      <c r="S33" s="3">
        <v>1</v>
      </c>
    </row>
    <row r="34" spans="1:19" s="2684" customFormat="1" ht="15">
      <c r="A34" s="2707"/>
      <c r="B34" s="2279"/>
      <c r="C34" s="2279"/>
      <c r="D34" s="2279"/>
      <c r="E34" s="2279"/>
      <c r="F34" s="2279"/>
      <c r="G34" s="2279"/>
      <c r="H34" s="2618"/>
      <c r="I34" s="3359"/>
      <c r="J34" s="3359"/>
      <c r="K34" s="3360"/>
      <c r="L34" s="3360"/>
      <c r="M34" s="3359"/>
      <c r="N34" s="2707"/>
      <c r="O34" s="2707"/>
      <c r="P34" s="2707"/>
      <c r="Q34" s="2707"/>
      <c r="R34" s="2707"/>
      <c r="S34" s="3">
        <v>1</v>
      </c>
    </row>
    <row r="35" spans="1:19" s="2684" customFormat="1" ht="15">
      <c r="A35" s="2707"/>
      <c r="B35" s="2279"/>
      <c r="C35" s="2279"/>
      <c r="D35" s="2279"/>
      <c r="E35" s="2279"/>
      <c r="F35" s="2279"/>
      <c r="G35" s="2279"/>
      <c r="H35" s="2618"/>
      <c r="I35" s="3359"/>
      <c r="J35" s="3359"/>
      <c r="K35" s="3360"/>
      <c r="L35" s="3360"/>
      <c r="M35" s="3359"/>
      <c r="N35" s="2707"/>
      <c r="O35" s="2707"/>
      <c r="P35" s="2707"/>
      <c r="Q35" s="2707"/>
      <c r="R35" s="2707"/>
      <c r="S35" s="3">
        <v>1</v>
      </c>
    </row>
    <row r="36" spans="1:19" s="2684" customFormat="1" ht="15">
      <c r="A36" s="2707"/>
      <c r="B36" s="3361">
        <v>15</v>
      </c>
      <c r="C36" s="3361">
        <v>15</v>
      </c>
      <c r="D36" s="3361">
        <v>15</v>
      </c>
      <c r="E36" s="3361">
        <v>15</v>
      </c>
      <c r="F36" s="3361">
        <v>15</v>
      </c>
      <c r="G36" s="3361">
        <v>15</v>
      </c>
      <c r="H36" s="2707"/>
      <c r="I36" s="2707"/>
      <c r="J36" s="3362" t="s">
        <v>10559</v>
      </c>
      <c r="K36" s="3361">
        <v>15</v>
      </c>
      <c r="L36" s="3361">
        <v>15</v>
      </c>
      <c r="M36" s="3361">
        <v>15</v>
      </c>
      <c r="N36" s="3361">
        <v>15</v>
      </c>
      <c r="O36" s="3361">
        <v>15</v>
      </c>
      <c r="P36" s="3361">
        <v>15</v>
      </c>
      <c r="Q36" s="3363" t="s">
        <v>10559</v>
      </c>
      <c r="R36" s="3363"/>
      <c r="S36" s="3">
        <v>1</v>
      </c>
    </row>
    <row r="37" spans="1:19" s="2684" customFormat="1" ht="18.75">
      <c r="A37" s="5617" t="s">
        <v>166</v>
      </c>
      <c r="B37" s="5743" t="s">
        <v>10554</v>
      </c>
      <c r="C37" s="3364"/>
      <c r="D37" s="3364"/>
      <c r="E37" s="3364"/>
      <c r="F37" s="3364"/>
      <c r="G37" s="3365" t="s">
        <v>9524</v>
      </c>
      <c r="H37" s="2707"/>
      <c r="I37" s="2707"/>
      <c r="J37" s="5617" t="s">
        <v>166</v>
      </c>
      <c r="K37" s="5744" t="s">
        <v>9523</v>
      </c>
      <c r="L37" s="3364"/>
      <c r="M37" s="3364"/>
      <c r="N37" s="3364"/>
      <c r="O37" s="3364"/>
      <c r="P37" s="3365" t="s">
        <v>9524</v>
      </c>
      <c r="Q37" s="2707"/>
      <c r="R37" s="2707"/>
      <c r="S37" s="3">
        <v>1</v>
      </c>
    </row>
    <row r="38" spans="1:19" s="2684" customFormat="1" ht="19.5" customHeight="1">
      <c r="A38" s="7096" t="str">
        <f>B37</f>
        <v>Aide à la décision en Gr</v>
      </c>
      <c r="B38" s="3085" t="str">
        <f>ADDRESS(ROW(),COLUMN(),4)</f>
        <v>B38</v>
      </c>
      <c r="C38" s="2615" t="s">
        <v>9521</v>
      </c>
      <c r="D38" s="5728"/>
      <c r="E38" s="5728"/>
      <c r="F38" s="5728"/>
      <c r="G38" s="3293"/>
      <c r="H38" s="2707"/>
      <c r="I38" s="2707"/>
      <c r="J38" s="7096" t="str">
        <f>K37</f>
        <v>Aide à la décision en Kg</v>
      </c>
      <c r="K38" s="3085" t="str">
        <f>ADDRESS(ROW(),COLUMN(),4)</f>
        <v>K38</v>
      </c>
      <c r="L38" s="2615" t="s">
        <v>9521</v>
      </c>
      <c r="M38" s="5728"/>
      <c r="N38" s="5728"/>
      <c r="O38" s="5728"/>
      <c r="P38" s="3293"/>
      <c r="Q38" s="2707"/>
      <c r="R38" s="2707"/>
      <c r="S38" s="3">
        <v>1</v>
      </c>
    </row>
    <row r="39" spans="1:19" s="2684" customFormat="1" ht="19.5" customHeight="1">
      <c r="A39" s="7096"/>
      <c r="B39" s="3366" t="s">
        <v>723</v>
      </c>
      <c r="C39" s="3367">
        <v>1000</v>
      </c>
      <c r="D39" s="3368" t="s">
        <v>723</v>
      </c>
      <c r="E39" s="3367">
        <v>1000</v>
      </c>
      <c r="F39" s="3366" t="s">
        <v>723</v>
      </c>
      <c r="G39" s="3367">
        <v>100</v>
      </c>
      <c r="H39" s="2707"/>
      <c r="I39" s="2707"/>
      <c r="J39" s="7096"/>
      <c r="K39" s="3366" t="s">
        <v>723</v>
      </c>
      <c r="L39" s="3369">
        <v>1</v>
      </c>
      <c r="M39" s="3368" t="s">
        <v>723</v>
      </c>
      <c r="N39" s="3369">
        <v>1</v>
      </c>
      <c r="O39" s="3366" t="s">
        <v>723</v>
      </c>
      <c r="P39" s="3369">
        <v>1</v>
      </c>
      <c r="Q39" s="2707"/>
      <c r="R39" s="2707"/>
      <c r="S39" s="3">
        <v>1</v>
      </c>
    </row>
    <row r="40" spans="1:19" s="2684" customFormat="1">
      <c r="A40" s="7096"/>
      <c r="B40" s="3370" t="s">
        <v>721</v>
      </c>
      <c r="C40" s="3371">
        <v>2000</v>
      </c>
      <c r="D40" s="3372" t="s">
        <v>9528</v>
      </c>
      <c r="E40" s="3371">
        <v>327</v>
      </c>
      <c r="F40" s="3370" t="s">
        <v>735</v>
      </c>
      <c r="G40" s="3373">
        <v>40</v>
      </c>
      <c r="H40" s="2707"/>
      <c r="I40" s="2707"/>
      <c r="J40" s="7096"/>
      <c r="K40" s="3370" t="s">
        <v>721</v>
      </c>
      <c r="L40" s="3374">
        <v>2</v>
      </c>
      <c r="M40" s="3372" t="s">
        <v>9528</v>
      </c>
      <c r="N40" s="3374">
        <v>2</v>
      </c>
      <c r="O40" s="3370" t="s">
        <v>735</v>
      </c>
      <c r="P40" s="3373">
        <v>50</v>
      </c>
      <c r="Q40" s="2707"/>
      <c r="R40" s="2707"/>
      <c r="S40" s="3">
        <v>1</v>
      </c>
    </row>
    <row r="41" spans="1:19" s="2684" customFormat="1">
      <c r="A41" s="7096"/>
      <c r="B41" s="3375" t="s">
        <v>727</v>
      </c>
      <c r="C41" s="3376">
        <f>IF(C39=0,0,IF(C40=0,0,C40-C39))</f>
        <v>1000</v>
      </c>
      <c r="D41" s="3375" t="s">
        <v>9529</v>
      </c>
      <c r="E41" s="3376">
        <f>IF(E39=0,0,E39+E40)</f>
        <v>1327</v>
      </c>
      <c r="F41" s="3375" t="s">
        <v>727</v>
      </c>
      <c r="G41" s="3377">
        <f>G42*G40%</f>
        <v>66.666666666666671</v>
      </c>
      <c r="H41" s="2707"/>
      <c r="I41" s="2707"/>
      <c r="J41" s="7096"/>
      <c r="K41" s="3375" t="s">
        <v>727</v>
      </c>
      <c r="L41" s="3378">
        <f>IF(L39=0,0,IF(L40=0,0,L40-L39))</f>
        <v>1</v>
      </c>
      <c r="M41" s="3375" t="s">
        <v>9529</v>
      </c>
      <c r="N41" s="3378">
        <f>IF(N39=0,0,N39+N40)</f>
        <v>3</v>
      </c>
      <c r="O41" s="3375" t="s">
        <v>727</v>
      </c>
      <c r="P41" s="3378">
        <f>P42*P40%</f>
        <v>1</v>
      </c>
      <c r="Q41" s="2707"/>
      <c r="R41" s="2707"/>
      <c r="S41" s="3">
        <v>1</v>
      </c>
    </row>
    <row r="42" spans="1:19" s="2684" customFormat="1">
      <c r="A42" s="7096"/>
      <c r="B42" s="5745" t="s">
        <v>731</v>
      </c>
      <c r="C42" s="5746">
        <f>IF(C39=0,0,IF(C40=0,0,C41/C40))</f>
        <v>0.5</v>
      </c>
      <c r="D42" s="5745" t="s">
        <v>731</v>
      </c>
      <c r="E42" s="5746">
        <f>IF(E39=0,0,E40/E41)</f>
        <v>0.24642049736247174</v>
      </c>
      <c r="F42" s="3375" t="s">
        <v>9529</v>
      </c>
      <c r="G42" s="3377">
        <f>G39/(100-G40)*100</f>
        <v>166.66666666666669</v>
      </c>
      <c r="H42" s="2707"/>
      <c r="I42" s="2707"/>
      <c r="J42" s="7096"/>
      <c r="K42" s="5745" t="s">
        <v>731</v>
      </c>
      <c r="L42" s="5746">
        <f>IF(L39=0,0,IF(L40=0,0,L41/L40))</f>
        <v>0.5</v>
      </c>
      <c r="M42" s="5745" t="s">
        <v>731</v>
      </c>
      <c r="N42" s="5746">
        <f>IF(N39=0,0,N40/N41)</f>
        <v>0.66666666666666663</v>
      </c>
      <c r="O42" s="3375" t="s">
        <v>9529</v>
      </c>
      <c r="P42" s="5747">
        <f>P39/(100-P40)*100</f>
        <v>2</v>
      </c>
      <c r="Q42" s="2707"/>
      <c r="R42" s="2707"/>
      <c r="S42" s="3">
        <v>1</v>
      </c>
    </row>
    <row r="43" spans="1:19" s="2684" customFormat="1">
      <c r="A43" s="7096"/>
      <c r="B43" s="3379" t="s">
        <v>721</v>
      </c>
      <c r="C43" s="3371">
        <v>1780</v>
      </c>
      <c r="D43" s="5748" t="s">
        <v>721</v>
      </c>
      <c r="E43" s="3371">
        <v>2310</v>
      </c>
      <c r="F43" s="5749" t="s">
        <v>721</v>
      </c>
      <c r="G43" s="5750">
        <v>500</v>
      </c>
      <c r="H43" s="2707"/>
      <c r="I43" s="2707"/>
      <c r="J43" s="7096"/>
      <c r="K43" s="3379" t="s">
        <v>721</v>
      </c>
      <c r="L43" s="3380">
        <v>2</v>
      </c>
      <c r="M43" s="5751" t="s">
        <v>721</v>
      </c>
      <c r="N43" s="5752">
        <v>2</v>
      </c>
      <c r="O43" s="5751" t="s">
        <v>721</v>
      </c>
      <c r="P43" s="3380">
        <v>1</v>
      </c>
      <c r="Q43" s="2707"/>
      <c r="R43" s="2707"/>
      <c r="S43" s="3">
        <v>1</v>
      </c>
    </row>
    <row r="44" spans="1:19" s="2684" customFormat="1">
      <c r="A44" s="7096"/>
      <c r="B44" s="3366" t="s">
        <v>723</v>
      </c>
      <c r="C44" s="3367">
        <v>1000</v>
      </c>
      <c r="D44" s="3381" t="s">
        <v>9528</v>
      </c>
      <c r="E44" s="3367">
        <v>720</v>
      </c>
      <c r="F44" s="3381" t="s">
        <v>735</v>
      </c>
      <c r="G44" s="3382">
        <v>50</v>
      </c>
      <c r="H44" s="2707"/>
      <c r="I44" s="2707"/>
      <c r="J44" s="7096"/>
      <c r="K44" s="3366" t="s">
        <v>723</v>
      </c>
      <c r="L44" s="3383">
        <v>1</v>
      </c>
      <c r="M44" s="3381" t="s">
        <v>9528</v>
      </c>
      <c r="N44" s="3383">
        <v>1</v>
      </c>
      <c r="O44" s="3381" t="s">
        <v>735</v>
      </c>
      <c r="P44" s="3382">
        <v>50</v>
      </c>
      <c r="Q44" s="2707"/>
      <c r="R44" s="2707"/>
      <c r="S44" s="3">
        <v>1</v>
      </c>
    </row>
    <row r="45" spans="1:19" s="2684" customFormat="1">
      <c r="A45" s="7096"/>
      <c r="B45" s="3375" t="s">
        <v>727</v>
      </c>
      <c r="C45" s="3376">
        <f>IF(C43=0,0,IF(C44=0,0,C43-C44))</f>
        <v>780</v>
      </c>
      <c r="D45" s="3375" t="s">
        <v>738</v>
      </c>
      <c r="E45" s="3376">
        <f>IF(E43=0,0,IF(E44=0,0,E43-E44))</f>
        <v>1590</v>
      </c>
      <c r="F45" s="3375" t="s">
        <v>727</v>
      </c>
      <c r="G45" s="3376">
        <f>G43*G44%</f>
        <v>250</v>
      </c>
      <c r="H45" s="2707"/>
      <c r="I45" s="2707"/>
      <c r="J45" s="7096"/>
      <c r="K45" s="3375" t="s">
        <v>727</v>
      </c>
      <c r="L45" s="3378">
        <f>IF(L43=0,0,IF(L44=0,0,L43-L44))</f>
        <v>1</v>
      </c>
      <c r="M45" s="3375" t="s">
        <v>738</v>
      </c>
      <c r="N45" s="3378">
        <f>IF(N43=0,0,IF(N44=0,0,N43-N44))</f>
        <v>1</v>
      </c>
      <c r="O45" s="3375" t="s">
        <v>727</v>
      </c>
      <c r="P45" s="3378">
        <f>P43*P44%</f>
        <v>0.5</v>
      </c>
      <c r="Q45" s="2707"/>
      <c r="R45" s="2707"/>
      <c r="S45" s="3">
        <v>1</v>
      </c>
    </row>
    <row r="46" spans="1:19" s="2684" customFormat="1">
      <c r="A46" s="7096"/>
      <c r="B46" s="5745" t="s">
        <v>731</v>
      </c>
      <c r="C46" s="5746">
        <f>IF(C43=0,0,C45/C43)</f>
        <v>0.43820224719101125</v>
      </c>
      <c r="D46" s="5745" t="s">
        <v>731</v>
      </c>
      <c r="E46" s="5746">
        <f>IF(E43=0,0,IF(E44=0,0,E44/E43))</f>
        <v>0.31168831168831168</v>
      </c>
      <c r="F46" s="5745" t="s">
        <v>738</v>
      </c>
      <c r="G46" s="5753">
        <f>G43-G45</f>
        <v>250</v>
      </c>
      <c r="H46" s="2707"/>
      <c r="I46" s="2707"/>
      <c r="J46" s="7096"/>
      <c r="K46" s="5745" t="s">
        <v>731</v>
      </c>
      <c r="L46" s="5746">
        <f>IF(L43=0,0,L45/L43)</f>
        <v>0.5</v>
      </c>
      <c r="M46" s="5745" t="s">
        <v>731</v>
      </c>
      <c r="N46" s="5746">
        <f>IF(N43=0,0,IF(N44=0,0,N44/N43))</f>
        <v>0.5</v>
      </c>
      <c r="O46" s="5745" t="s">
        <v>738</v>
      </c>
      <c r="P46" s="5754">
        <f>P43-P45</f>
        <v>0.5</v>
      </c>
      <c r="Q46" s="2707"/>
      <c r="R46" s="2707"/>
      <c r="S46" s="3">
        <v>1</v>
      </c>
    </row>
    <row r="47" spans="1:19" s="2684" customFormat="1" ht="15">
      <c r="A47" s="7096"/>
      <c r="B47" s="7758" t="s">
        <v>10472</v>
      </c>
      <c r="C47" s="7759"/>
      <c r="D47" s="7759"/>
      <c r="E47" s="7759"/>
      <c r="F47" s="7759"/>
      <c r="G47" s="7759"/>
      <c r="H47" s="2707"/>
      <c r="I47" s="2707"/>
      <c r="J47" s="7096"/>
      <c r="K47" s="7758" t="s">
        <v>10472</v>
      </c>
      <c r="L47" s="7759"/>
      <c r="M47" s="7759"/>
      <c r="N47" s="7759"/>
      <c r="O47" s="7759"/>
      <c r="P47" s="7759"/>
      <c r="Q47" s="2707"/>
      <c r="R47" s="2707"/>
      <c r="S47" s="3">
        <v>1</v>
      </c>
    </row>
    <row r="48" spans="1:19" s="2684" customFormat="1" ht="15">
      <c r="A48" s="2279"/>
      <c r="B48" s="2279"/>
      <c r="C48" s="2279"/>
      <c r="D48" s="2279"/>
      <c r="E48" s="2279"/>
      <c r="F48" s="2279"/>
      <c r="G48" s="2279"/>
      <c r="H48" s="2618"/>
      <c r="I48" s="3359"/>
      <c r="J48" s="3359"/>
      <c r="K48" s="3360"/>
      <c r="L48" s="3360"/>
      <c r="M48" s="3359"/>
      <c r="N48" s="3359"/>
      <c r="O48" s="2707"/>
      <c r="P48" s="2707"/>
      <c r="Q48" s="2618"/>
      <c r="R48" s="2618"/>
      <c r="S48" s="3">
        <v>1</v>
      </c>
    </row>
    <row r="49" spans="1:19" s="2684" customFormat="1">
      <c r="A49" s="2707"/>
      <c r="B49" s="3384"/>
      <c r="C49" s="2707"/>
      <c r="D49" s="3385"/>
      <c r="E49" s="3385"/>
      <c r="F49" s="2279"/>
      <c r="G49" s="2279"/>
      <c r="H49" s="2618"/>
      <c r="I49" s="2707"/>
      <c r="J49" s="3386"/>
      <c r="K49" s="3386"/>
      <c r="L49" s="3386"/>
      <c r="M49" s="3386"/>
      <c r="N49" s="3386"/>
      <c r="O49" s="2707"/>
      <c r="P49" s="2707"/>
      <c r="Q49" s="2707"/>
      <c r="R49" s="2707"/>
      <c r="S49" s="3">
        <v>1</v>
      </c>
    </row>
    <row r="50" spans="1:19" s="2684" customFormat="1" ht="16.5" thickBot="1">
      <c r="A50" s="2707"/>
      <c r="B50" s="3384"/>
      <c r="C50" s="2707"/>
      <c r="D50" s="3385" t="s">
        <v>10560</v>
      </c>
      <c r="E50" s="3387"/>
      <c r="F50" s="2279"/>
      <c r="G50" s="2279"/>
      <c r="H50" s="2618"/>
      <c r="I50" s="2707"/>
      <c r="J50" s="3386"/>
      <c r="K50" s="2707"/>
      <c r="L50" s="2707"/>
      <c r="M50" s="2707"/>
      <c r="N50" s="2707"/>
      <c r="O50" s="3387"/>
      <c r="P50" s="2707"/>
      <c r="Q50" s="2707"/>
      <c r="R50" s="2707"/>
      <c r="S50" s="3">
        <v>1</v>
      </c>
    </row>
    <row r="51" spans="1:19" s="2684" customFormat="1">
      <c r="A51" s="5617" t="s">
        <v>166</v>
      </c>
      <c r="B51" s="7740" t="s">
        <v>10555</v>
      </c>
      <c r="C51" s="7741"/>
      <c r="D51" s="3388" t="s">
        <v>10555</v>
      </c>
      <c r="E51" s="3386"/>
      <c r="F51" s="2279"/>
      <c r="G51" s="2279"/>
      <c r="H51" s="2618"/>
      <c r="I51" s="2707"/>
      <c r="J51" s="5617" t="s">
        <v>166</v>
      </c>
      <c r="K51" s="7740" t="s">
        <v>10556</v>
      </c>
      <c r="L51" s="7741"/>
      <c r="M51" s="3388" t="s">
        <v>10556</v>
      </c>
      <c r="O51" s="3386"/>
      <c r="P51" s="2707"/>
      <c r="Q51" s="2707"/>
      <c r="R51" s="2707"/>
      <c r="S51" s="3">
        <v>1</v>
      </c>
    </row>
    <row r="52" spans="1:19" s="2684" customFormat="1">
      <c r="A52" s="7744" t="str">
        <f>B51</f>
        <v>Pour prendre, par exemple, le 5 % de 87 Kg</v>
      </c>
      <c r="B52" s="7742"/>
      <c r="C52" s="7743"/>
      <c r="D52" s="3386" t="s">
        <v>10561</v>
      </c>
      <c r="E52" s="3386"/>
      <c r="F52" s="2279"/>
      <c r="G52" s="2279"/>
      <c r="H52" s="2618"/>
      <c r="I52" s="2707"/>
      <c r="J52" s="7745" t="str">
        <f>K51</f>
        <v>Pour déduire, par exemple, le 5 % de 87 Kg</v>
      </c>
      <c r="K52" s="7742"/>
      <c r="L52" s="7743"/>
      <c r="M52" s="3386" t="s">
        <v>10562</v>
      </c>
      <c r="O52" s="3385"/>
      <c r="P52" s="2707"/>
      <c r="Q52" s="2707"/>
      <c r="R52" s="2707"/>
      <c r="S52" s="3">
        <v>1</v>
      </c>
    </row>
    <row r="53" spans="1:19" s="2684" customFormat="1">
      <c r="A53" s="7744"/>
      <c r="B53" s="5755" t="str">
        <f>ADDRESS(ROW(),COLUMN(),4)</f>
        <v>B53</v>
      </c>
      <c r="C53" s="5756" t="s">
        <v>9521</v>
      </c>
      <c r="D53" s="3386" t="s">
        <v>10563</v>
      </c>
      <c r="E53" s="3386"/>
      <c r="F53" s="2279"/>
      <c r="G53" s="2279"/>
      <c r="H53" s="2618"/>
      <c r="I53" s="2707"/>
      <c r="J53" s="7745"/>
      <c r="K53" s="5755" t="str">
        <f>ADDRESS(ROW(),COLUMN(),4)</f>
        <v>K53</v>
      </c>
      <c r="L53" s="5756" t="s">
        <v>9521</v>
      </c>
      <c r="M53" s="3385" t="s">
        <v>10564</v>
      </c>
      <c r="O53" s="3385"/>
      <c r="P53" s="2707"/>
      <c r="Q53" s="2707"/>
      <c r="R53" s="2707"/>
      <c r="S53" s="3">
        <v>1</v>
      </c>
    </row>
    <row r="54" spans="1:19" s="2684" customFormat="1">
      <c r="A54" s="7744"/>
      <c r="B54" s="3389" t="s">
        <v>721</v>
      </c>
      <c r="C54" s="3390">
        <v>87</v>
      </c>
      <c r="D54" s="3385" t="s">
        <v>10565</v>
      </c>
      <c r="E54" s="3385"/>
      <c r="F54" s="2279"/>
      <c r="G54" s="2279"/>
      <c r="H54" s="2618"/>
      <c r="I54" s="2707"/>
      <c r="J54" s="7745"/>
      <c r="K54" s="3389" t="s">
        <v>721</v>
      </c>
      <c r="L54" s="3391">
        <v>87</v>
      </c>
      <c r="M54" s="3386" t="s">
        <v>10566</v>
      </c>
      <c r="O54" s="3386"/>
      <c r="P54" s="2707"/>
      <c r="Q54" s="2707"/>
      <c r="R54" s="2707"/>
      <c r="S54" s="3">
        <v>1</v>
      </c>
    </row>
    <row r="55" spans="1:19" s="2684" customFormat="1">
      <c r="A55" s="7744"/>
      <c r="B55" s="3392" t="s">
        <v>735</v>
      </c>
      <c r="C55" s="3393">
        <v>5</v>
      </c>
      <c r="D55" s="3386" t="s">
        <v>10567</v>
      </c>
      <c r="E55" s="3386"/>
      <c r="F55" s="2279"/>
      <c r="G55" s="2279"/>
      <c r="H55" s="2618"/>
      <c r="I55" s="2707"/>
      <c r="J55" s="7745"/>
      <c r="K55" s="3392" t="s">
        <v>735</v>
      </c>
      <c r="L55" s="3393">
        <v>5</v>
      </c>
      <c r="M55" s="3385" t="s">
        <v>10568</v>
      </c>
      <c r="O55" s="3385"/>
      <c r="P55" s="2707"/>
      <c r="Q55" s="2707"/>
      <c r="R55" s="2707"/>
      <c r="S55" s="3">
        <v>1</v>
      </c>
    </row>
    <row r="56" spans="1:19" s="2684" customFormat="1">
      <c r="A56" s="7744"/>
      <c r="B56" s="3394" t="s">
        <v>10569</v>
      </c>
      <c r="C56" s="3395">
        <f>C55/100</f>
        <v>0.05</v>
      </c>
      <c r="D56" s="3386" t="s">
        <v>10570</v>
      </c>
      <c r="E56" s="3386"/>
      <c r="F56" s="2279"/>
      <c r="G56" s="2279"/>
      <c r="H56" s="2618"/>
      <c r="I56" s="2707"/>
      <c r="J56" s="7745"/>
      <c r="K56" s="3394" t="s">
        <v>10569</v>
      </c>
      <c r="L56" s="3395">
        <f>(100-L55)/100</f>
        <v>0.95</v>
      </c>
      <c r="M56" s="3386" t="s">
        <v>10571</v>
      </c>
      <c r="O56" s="3386"/>
      <c r="P56" s="2707"/>
      <c r="Q56" s="2707"/>
      <c r="R56" s="2707"/>
      <c r="S56" s="3">
        <v>1</v>
      </c>
    </row>
    <row r="57" spans="1:19" s="2684" customFormat="1" ht="16.5" thickBot="1">
      <c r="A57" s="7744"/>
      <c r="B57" s="3396" t="s">
        <v>727</v>
      </c>
      <c r="C57" s="3397">
        <f>C54*C56</f>
        <v>4.3500000000000005</v>
      </c>
      <c r="D57" s="3385" t="s">
        <v>10572</v>
      </c>
      <c r="E57" s="3385"/>
      <c r="F57" s="2279"/>
      <c r="G57" s="2279"/>
      <c r="H57" s="2618"/>
      <c r="I57" s="2707"/>
      <c r="J57" s="7745"/>
      <c r="K57" s="3396" t="s">
        <v>738</v>
      </c>
      <c r="L57" s="3397">
        <f>L54*L56</f>
        <v>82.649999999999991</v>
      </c>
      <c r="M57" s="3386"/>
      <c r="N57" s="3386"/>
      <c r="O57" s="2707"/>
      <c r="P57" s="2707"/>
      <c r="Q57" s="2707"/>
      <c r="R57" s="2707"/>
      <c r="S57" s="3">
        <v>1</v>
      </c>
    </row>
    <row r="58" spans="1:19" s="2684" customFormat="1" ht="35.25" customHeight="1" thickBot="1">
      <c r="A58" s="3384"/>
      <c r="B58" s="3384"/>
      <c r="C58" s="2707"/>
      <c r="D58" s="2707"/>
      <c r="F58" s="2279"/>
      <c r="G58" s="2279"/>
      <c r="H58" s="2618"/>
      <c r="I58" s="3359"/>
      <c r="J58" s="3386"/>
      <c r="K58" s="3386"/>
      <c r="L58" s="3386"/>
      <c r="M58" s="3386"/>
      <c r="N58" s="3386"/>
      <c r="O58" s="2707"/>
      <c r="P58" s="2707"/>
      <c r="Q58" s="2707"/>
      <c r="R58" s="2707"/>
      <c r="S58" s="3">
        <v>1</v>
      </c>
    </row>
    <row r="59" spans="1:19" s="2684" customFormat="1">
      <c r="A59" s="5617" t="s">
        <v>166</v>
      </c>
      <c r="B59" s="7746" t="s">
        <v>10557</v>
      </c>
      <c r="C59" s="7747"/>
      <c r="D59" s="3386" t="s">
        <v>10557</v>
      </c>
      <c r="E59" s="2707"/>
      <c r="F59" s="2279"/>
      <c r="G59" s="2279"/>
      <c r="H59" s="2618"/>
      <c r="I59" s="3359"/>
      <c r="J59" s="5617" t="s">
        <v>166</v>
      </c>
      <c r="K59" s="7748" t="s">
        <v>10558</v>
      </c>
      <c r="L59" s="7749"/>
      <c r="M59" s="3386" t="s">
        <v>10558</v>
      </c>
      <c r="N59" s="3386"/>
      <c r="O59" s="2707"/>
      <c r="P59" s="2707"/>
      <c r="Q59" s="2707"/>
      <c r="R59" s="2707"/>
      <c r="S59" s="3">
        <v>1</v>
      </c>
    </row>
    <row r="60" spans="1:19" s="2684" customFormat="1" ht="15">
      <c r="A60" s="7061" t="str">
        <f>B59</f>
        <v>Pour prendre 20% de 140</v>
      </c>
      <c r="B60" s="7752" t="s">
        <v>10573</v>
      </c>
      <c r="C60" s="7753"/>
      <c r="D60" s="3386" t="s">
        <v>10573</v>
      </c>
      <c r="E60" s="2707"/>
      <c r="F60" s="2279"/>
      <c r="G60" s="2279"/>
      <c r="H60" s="2618"/>
      <c r="I60" s="3359"/>
      <c r="J60" s="7745" t="str">
        <f>K59</f>
        <v xml:space="preserve">Voici la formule pour calculer un pourcentage, </v>
      </c>
      <c r="K60" s="7750"/>
      <c r="L60" s="7751"/>
      <c r="M60" s="3386" t="s">
        <v>10574</v>
      </c>
      <c r="N60" s="3386"/>
      <c r="O60" s="2707"/>
      <c r="P60" s="2707"/>
      <c r="Q60" s="2707"/>
      <c r="R60" s="2707"/>
      <c r="S60" s="3">
        <v>1</v>
      </c>
    </row>
    <row r="61" spans="1:19" s="2684" customFormat="1" ht="15">
      <c r="A61" s="7061"/>
      <c r="B61" s="5755" t="str">
        <f>ADDRESS(ROW(),COLUMN(),4)</f>
        <v>B61</v>
      </c>
      <c r="C61" s="5756" t="s">
        <v>9521</v>
      </c>
      <c r="D61" s="3386" t="s">
        <v>10575</v>
      </c>
      <c r="E61" s="2707"/>
      <c r="F61" s="2279"/>
      <c r="G61" s="2279"/>
      <c r="H61" s="2618"/>
      <c r="I61" s="3359"/>
      <c r="J61" s="7745"/>
      <c r="K61" s="5755" t="str">
        <f>ADDRESS(ROW(),COLUMN(),4)</f>
        <v>K61</v>
      </c>
      <c r="L61" s="5756" t="s">
        <v>9521</v>
      </c>
      <c r="M61" s="3386" t="s">
        <v>10576</v>
      </c>
      <c r="N61" s="3386"/>
      <c r="O61" s="2707"/>
      <c r="P61" s="2707"/>
      <c r="Q61" s="2707"/>
      <c r="R61" s="2707"/>
      <c r="S61" s="3">
        <v>1</v>
      </c>
    </row>
    <row r="62" spans="1:19" s="2684" customFormat="1">
      <c r="A62" s="7061"/>
      <c r="B62" s="3398" t="s">
        <v>721</v>
      </c>
      <c r="C62" s="3399">
        <v>140</v>
      </c>
      <c r="D62" s="3385" t="s">
        <v>10577</v>
      </c>
      <c r="E62" s="2707"/>
      <c r="F62" s="2279"/>
      <c r="G62" s="2279"/>
      <c r="H62" s="2618"/>
      <c r="I62" s="3359"/>
      <c r="J62" s="7745"/>
      <c r="K62" s="7754" t="s">
        <v>10574</v>
      </c>
      <c r="L62" s="7755"/>
      <c r="M62" s="3386" t="s">
        <v>10578</v>
      </c>
      <c r="N62" s="3386"/>
      <c r="O62" s="2707"/>
      <c r="P62" s="2707"/>
      <c r="Q62" s="2707"/>
      <c r="R62" s="2707"/>
      <c r="S62" s="3">
        <v>1</v>
      </c>
    </row>
    <row r="63" spans="1:19" s="2684" customFormat="1">
      <c r="A63" s="7061"/>
      <c r="B63" s="3400" t="s">
        <v>735</v>
      </c>
      <c r="C63" s="3401">
        <v>20</v>
      </c>
      <c r="D63" s="3386" t="s">
        <v>10579</v>
      </c>
      <c r="E63" s="2707"/>
      <c r="F63" s="2279"/>
      <c r="G63" s="2279"/>
      <c r="H63" s="2618"/>
      <c r="I63" s="3359"/>
      <c r="J63" s="7745"/>
      <c r="K63" s="7728" t="s">
        <v>10576</v>
      </c>
      <c r="L63" s="7729"/>
      <c r="M63" s="3386" t="s">
        <v>10580</v>
      </c>
      <c r="N63" s="3386"/>
      <c r="O63" s="2707"/>
      <c r="P63" s="2707"/>
      <c r="Q63" s="2707"/>
      <c r="R63" s="2707"/>
      <c r="S63" s="3">
        <v>1</v>
      </c>
    </row>
    <row r="64" spans="1:19" s="2684" customFormat="1">
      <c r="A64" s="7061"/>
      <c r="B64" s="3402" t="s">
        <v>727</v>
      </c>
      <c r="C64" s="3403">
        <f>(C62*C63)/100</f>
        <v>28</v>
      </c>
      <c r="D64" s="3385" t="s">
        <v>10581</v>
      </c>
      <c r="E64" s="2707"/>
      <c r="F64" s="2279"/>
      <c r="G64" s="2279"/>
      <c r="H64" s="2618"/>
      <c r="I64" s="3359"/>
      <c r="J64" s="7745"/>
      <c r="K64" s="3404" t="s">
        <v>721</v>
      </c>
      <c r="L64" s="3405">
        <v>500</v>
      </c>
      <c r="M64" s="3386" t="s">
        <v>10582</v>
      </c>
      <c r="N64" s="3386"/>
      <c r="O64" s="2707"/>
      <c r="P64" s="2707"/>
      <c r="Q64" s="2707"/>
      <c r="R64" s="2707"/>
      <c r="S64" s="3">
        <v>1</v>
      </c>
    </row>
    <row r="65" spans="1:19" s="2684" customFormat="1">
      <c r="A65" s="7061"/>
      <c r="B65" s="3402" t="s">
        <v>10569</v>
      </c>
      <c r="C65" s="3406">
        <f>C63/100</f>
        <v>0.2</v>
      </c>
      <c r="D65" s="3386" t="s">
        <v>10583</v>
      </c>
      <c r="E65" s="2707"/>
      <c r="F65" s="2279"/>
      <c r="G65" s="2279"/>
      <c r="H65" s="2618"/>
      <c r="I65" s="3359"/>
      <c r="J65" s="7745"/>
      <c r="K65" s="3407" t="s">
        <v>735</v>
      </c>
      <c r="L65" s="3408">
        <v>8</v>
      </c>
      <c r="M65" s="2707"/>
      <c r="N65" s="3386"/>
      <c r="O65" s="2707"/>
      <c r="P65" s="2707"/>
      <c r="Q65" s="2707"/>
      <c r="R65" s="2707"/>
      <c r="S65" s="3">
        <v>1</v>
      </c>
    </row>
    <row r="66" spans="1:19" s="2684" customFormat="1">
      <c r="A66" s="7061"/>
      <c r="B66" s="3394" t="s">
        <v>727</v>
      </c>
      <c r="C66" s="3409">
        <f>C62*C65</f>
        <v>28</v>
      </c>
      <c r="D66" s="3385" t="s">
        <v>10584</v>
      </c>
      <c r="E66" s="2707"/>
      <c r="F66" s="2279"/>
      <c r="G66" s="2279"/>
      <c r="H66" s="2618"/>
      <c r="I66" s="3359"/>
      <c r="J66" s="7745"/>
      <c r="K66" s="3394" t="s">
        <v>727</v>
      </c>
      <c r="L66" s="3409">
        <f>L64*(L65/100)</f>
        <v>40</v>
      </c>
      <c r="M66" s="2707"/>
      <c r="N66" s="3386"/>
      <c r="O66" s="2707"/>
      <c r="P66" s="2707"/>
      <c r="Q66" s="2707"/>
      <c r="R66" s="2707"/>
      <c r="S66" s="3">
        <v>1</v>
      </c>
    </row>
    <row r="67" spans="1:19" s="2684" customFormat="1">
      <c r="A67" s="7061"/>
      <c r="B67" s="7730" t="s">
        <v>10577</v>
      </c>
      <c r="C67" s="7731"/>
      <c r="D67" s="2707"/>
      <c r="E67" s="2707"/>
      <c r="F67" s="2279"/>
      <c r="G67" s="2279"/>
      <c r="H67" s="2618"/>
      <c r="I67" s="3359"/>
      <c r="J67" s="7745"/>
      <c r="K67" s="7732" t="s">
        <v>10578</v>
      </c>
      <c r="L67" s="7733"/>
      <c r="M67" s="2707"/>
      <c r="N67" s="3386"/>
      <c r="O67" s="2707"/>
      <c r="P67" s="2707"/>
      <c r="Q67" s="2707"/>
      <c r="R67" s="2707"/>
      <c r="S67" s="3">
        <v>1</v>
      </c>
    </row>
    <row r="68" spans="1:19" s="2684" customFormat="1" ht="15">
      <c r="A68" s="7061"/>
      <c r="B68" s="7734" t="s">
        <v>10579</v>
      </c>
      <c r="C68" s="7735"/>
      <c r="D68" s="2707"/>
      <c r="E68" s="2707"/>
      <c r="F68" s="2279"/>
      <c r="G68" s="2279"/>
      <c r="H68" s="2618"/>
      <c r="I68" s="3359"/>
      <c r="J68" s="7745"/>
      <c r="K68" s="7728" t="s">
        <v>10580</v>
      </c>
      <c r="L68" s="7729"/>
      <c r="M68" s="2707"/>
      <c r="N68" s="3386"/>
      <c r="O68" s="2707"/>
      <c r="P68" s="2707"/>
      <c r="Q68" s="2707"/>
      <c r="R68" s="2707"/>
      <c r="S68" s="3">
        <v>1</v>
      </c>
    </row>
    <row r="69" spans="1:19" s="2684" customFormat="1" ht="16.5" thickBot="1">
      <c r="A69" s="7061"/>
      <c r="B69" s="3410">
        <f>C65</f>
        <v>0.2</v>
      </c>
      <c r="C69" s="3411">
        <f>C62*B69</f>
        <v>28</v>
      </c>
      <c r="D69" s="2707"/>
      <c r="E69" s="2707"/>
      <c r="F69" s="2279"/>
      <c r="G69" s="2279"/>
      <c r="H69" s="2618"/>
      <c r="I69" s="3359"/>
      <c r="J69" s="7745"/>
      <c r="K69" s="3412">
        <f>L65/100</f>
        <v>0.08</v>
      </c>
      <c r="L69" s="3413">
        <f>L64*K69</f>
        <v>40</v>
      </c>
      <c r="M69" s="3386"/>
      <c r="N69" s="3386"/>
      <c r="O69" s="2707"/>
      <c r="P69" s="2707"/>
      <c r="Q69" s="2707"/>
      <c r="R69" s="2707"/>
      <c r="S69" s="3">
        <v>1</v>
      </c>
    </row>
    <row r="70" spans="1:19" s="2684" customFormat="1" ht="15">
      <c r="A70" s="7061"/>
      <c r="B70" s="7736" t="s">
        <v>10581</v>
      </c>
      <c r="C70" s="7737"/>
      <c r="D70" s="2707"/>
      <c r="E70" s="2707"/>
      <c r="F70" s="2279"/>
      <c r="G70" s="2279"/>
      <c r="H70" s="2618"/>
      <c r="I70" s="3359"/>
      <c r="J70" s="3386"/>
      <c r="K70" s="2707"/>
      <c r="L70" s="2707"/>
      <c r="M70" s="3386"/>
      <c r="N70" s="3386"/>
      <c r="O70" s="2707"/>
      <c r="P70" s="2707"/>
      <c r="Q70" s="2707"/>
      <c r="R70" s="2707"/>
      <c r="S70" s="3">
        <v>1</v>
      </c>
    </row>
    <row r="71" spans="1:19" s="2684" customFormat="1" ht="15.75" customHeight="1">
      <c r="A71" s="7061"/>
      <c r="B71" s="2737" t="s">
        <v>10583</v>
      </c>
      <c r="C71" s="2736"/>
      <c r="D71" s="2707"/>
      <c r="E71" s="2707"/>
      <c r="F71" s="2707"/>
      <c r="G71" s="2279"/>
      <c r="H71" s="2618"/>
      <c r="I71" s="3359"/>
      <c r="J71" s="3359"/>
      <c r="K71" s="2707"/>
      <c r="L71" s="2707"/>
      <c r="M71" s="3359"/>
      <c r="N71" s="3359"/>
      <c r="O71" s="2707"/>
      <c r="P71" s="2707"/>
      <c r="Q71" s="2707"/>
      <c r="R71" s="2707"/>
      <c r="S71" s="3">
        <v>1</v>
      </c>
    </row>
    <row r="72" spans="1:19" s="2684" customFormat="1" ht="15">
      <c r="A72" s="7061"/>
      <c r="B72" s="3407" t="s">
        <v>735</v>
      </c>
      <c r="C72" s="3408">
        <v>40</v>
      </c>
      <c r="D72" s="2707"/>
      <c r="E72" s="2707"/>
      <c r="F72" s="2707"/>
      <c r="G72" s="2279"/>
      <c r="H72" s="2618"/>
      <c r="I72" s="3359"/>
      <c r="J72" s="3359"/>
      <c r="K72" s="2707"/>
      <c r="L72" s="2707"/>
      <c r="M72" s="3359"/>
      <c r="N72" s="3359"/>
      <c r="O72" s="2707"/>
      <c r="P72" s="2707"/>
      <c r="Q72" s="2707"/>
      <c r="R72" s="2707"/>
      <c r="S72" s="3">
        <v>1</v>
      </c>
    </row>
    <row r="73" spans="1:19" s="2684" customFormat="1">
      <c r="A73" s="7061"/>
      <c r="B73" s="3410">
        <f>C72/100</f>
        <v>0.4</v>
      </c>
      <c r="C73" s="3411">
        <f>C62*B73</f>
        <v>56</v>
      </c>
      <c r="D73" s="2707"/>
      <c r="E73" s="2707"/>
      <c r="F73" s="2707"/>
      <c r="G73" s="2279"/>
      <c r="H73" s="2618"/>
      <c r="I73" s="3359"/>
      <c r="J73" s="3359"/>
      <c r="K73" s="2707"/>
      <c r="L73" s="2707"/>
      <c r="M73" s="3359"/>
      <c r="N73" s="3359"/>
      <c r="O73" s="2707"/>
      <c r="P73" s="2707"/>
      <c r="Q73" s="2707"/>
      <c r="R73" s="2707"/>
      <c r="S73" s="3">
        <v>1</v>
      </c>
    </row>
    <row r="74" spans="1:19" s="2684" customFormat="1" ht="15">
      <c r="A74" s="7061"/>
      <c r="B74" s="3407" t="s">
        <v>735</v>
      </c>
      <c r="C74" s="3408">
        <v>90</v>
      </c>
      <c r="D74" s="2707"/>
      <c r="E74" s="2707"/>
      <c r="F74" s="2707"/>
      <c r="G74" s="2279"/>
      <c r="H74" s="2618"/>
      <c r="I74" s="3359"/>
      <c r="J74" s="3359"/>
      <c r="K74" s="2707"/>
      <c r="L74" s="2707"/>
      <c r="M74" s="3359"/>
      <c r="N74" s="3359"/>
      <c r="O74" s="2707"/>
      <c r="P74" s="2707"/>
      <c r="Q74" s="2707"/>
      <c r="R74" s="2707"/>
      <c r="S74" s="3">
        <v>1</v>
      </c>
    </row>
    <row r="75" spans="1:19" s="2684" customFormat="1" ht="15">
      <c r="A75" s="7061"/>
      <c r="B75" s="7734" t="s">
        <v>10584</v>
      </c>
      <c r="C75" s="7735"/>
      <c r="D75" s="2707"/>
      <c r="E75" s="2707"/>
      <c r="F75" s="2707"/>
      <c r="G75" s="2279"/>
      <c r="H75" s="2618"/>
      <c r="I75" s="3359"/>
      <c r="J75" s="3359"/>
      <c r="K75" s="2707"/>
      <c r="L75" s="2707"/>
      <c r="M75" s="3359"/>
      <c r="N75" s="3359"/>
      <c r="O75" s="2707"/>
      <c r="P75" s="2707"/>
      <c r="Q75" s="2707"/>
      <c r="R75" s="2707"/>
      <c r="S75" s="3">
        <v>1</v>
      </c>
    </row>
    <row r="76" spans="1:19" s="2684" customFormat="1" ht="16.5" thickBot="1">
      <c r="A76" s="7061"/>
      <c r="B76" s="3414">
        <f>C74/100</f>
        <v>0.9</v>
      </c>
      <c r="C76" s="3413">
        <f>C62*B76</f>
        <v>126</v>
      </c>
      <c r="D76" s="2707"/>
      <c r="E76" s="2707"/>
      <c r="F76" s="2707"/>
      <c r="G76" s="2279"/>
      <c r="H76" s="2618"/>
      <c r="I76" s="3359"/>
      <c r="J76" s="3359"/>
      <c r="K76" s="2707"/>
      <c r="L76" s="2707"/>
      <c r="M76" s="3359"/>
      <c r="N76" s="3359"/>
      <c r="O76" s="2707"/>
      <c r="P76" s="2707"/>
      <c r="Q76" s="2707"/>
      <c r="R76" s="2707"/>
      <c r="S76" s="3">
        <v>1</v>
      </c>
    </row>
    <row r="77" spans="1:19" s="2684" customFormat="1" ht="15">
      <c r="A77" s="2279"/>
      <c r="B77" s="2279"/>
      <c r="C77" s="2279"/>
      <c r="D77" s="2279"/>
      <c r="E77" s="2279"/>
      <c r="F77" s="2279"/>
      <c r="G77" s="2279"/>
      <c r="H77" s="2618"/>
      <c r="I77" s="3359"/>
      <c r="J77" s="3359"/>
      <c r="K77" s="3360"/>
      <c r="L77" s="3360"/>
      <c r="M77" s="3359"/>
      <c r="N77" s="3359"/>
      <c r="O77" s="2707"/>
      <c r="P77" s="2707"/>
      <c r="Q77" s="2618"/>
      <c r="R77" s="2618"/>
      <c r="S77" s="3">
        <v>1</v>
      </c>
    </row>
    <row r="78" spans="1:19" s="2684" customFormat="1" ht="33.75">
      <c r="A78" s="2682">
        <f>(ROW())</f>
        <v>78</v>
      </c>
      <c r="B78" s="7660" t="s">
        <v>10585</v>
      </c>
      <c r="C78" s="7660"/>
      <c r="D78" s="7660"/>
      <c r="E78" s="7660"/>
      <c r="F78" s="7660"/>
      <c r="G78" s="7660"/>
      <c r="H78" s="7660"/>
      <c r="I78" s="7660"/>
      <c r="J78" s="7660"/>
      <c r="K78" s="7660"/>
      <c r="L78" s="7660"/>
      <c r="M78" s="7660"/>
      <c r="N78" s="7660"/>
      <c r="O78" s="7660"/>
      <c r="P78" s="7660"/>
      <c r="Q78" s="7660"/>
      <c r="R78" s="5616"/>
      <c r="S78" s="3">
        <v>1</v>
      </c>
    </row>
    <row r="79" spans="1:19" s="2684" customFormat="1" ht="15">
      <c r="A79" s="2707"/>
      <c r="B79" s="2279"/>
      <c r="C79" s="2279"/>
      <c r="D79" s="2279"/>
      <c r="E79" s="2279"/>
      <c r="F79" s="2279"/>
      <c r="G79" s="2279"/>
      <c r="H79" s="2618"/>
      <c r="I79" s="3359"/>
      <c r="J79" s="3359"/>
      <c r="K79" s="3360"/>
      <c r="L79" s="3360"/>
      <c r="M79" s="3359"/>
      <c r="N79" s="3359"/>
      <c r="O79" s="2707"/>
      <c r="P79" s="2707"/>
      <c r="Q79" s="2618"/>
      <c r="R79" s="2618"/>
      <c r="S79" s="3">
        <v>1</v>
      </c>
    </row>
    <row r="80" spans="1:19" s="2684" customFormat="1" ht="15">
      <c r="A80" s="2707"/>
      <c r="B80" s="2279"/>
      <c r="C80" s="2279"/>
      <c r="D80" s="2279"/>
      <c r="E80" s="2279"/>
      <c r="F80" s="2279"/>
      <c r="G80" s="2279"/>
      <c r="H80" s="2618"/>
      <c r="I80" s="3359"/>
      <c r="J80" s="3359"/>
      <c r="K80" s="3360"/>
      <c r="L80" s="3360"/>
      <c r="M80" s="3359"/>
      <c r="N80" s="3359"/>
      <c r="O80" s="2707"/>
      <c r="P80" s="2707"/>
      <c r="Q80" s="2618"/>
      <c r="R80" s="2618"/>
      <c r="S80" s="3">
        <v>1</v>
      </c>
    </row>
    <row r="81" spans="1:19" s="2684" customFormat="1" ht="21">
      <c r="A81" s="2707"/>
      <c r="B81" s="2279"/>
      <c r="C81" s="2709" t="s">
        <v>10586</v>
      </c>
      <c r="D81" s="2709"/>
      <c r="E81" s="2618"/>
      <c r="F81" s="2618"/>
      <c r="G81" s="2618"/>
      <c r="H81" s="2618"/>
      <c r="I81" s="3359"/>
      <c r="J81" s="2709" t="s">
        <v>9525</v>
      </c>
      <c r="K81" s="2709"/>
      <c r="L81" s="2618"/>
      <c r="M81" s="2709"/>
      <c r="N81" s="2709"/>
      <c r="O81" s="2618"/>
      <c r="P81" s="2709"/>
      <c r="Q81" s="2618"/>
      <c r="R81" s="2618"/>
      <c r="S81" s="3">
        <v>1</v>
      </c>
    </row>
    <row r="82" spans="1:19" s="2684" customFormat="1" ht="21">
      <c r="A82" s="2707"/>
      <c r="B82" s="2279"/>
      <c r="C82" s="2714" t="str">
        <f>B111</f>
        <v>B111</v>
      </c>
      <c r="D82" s="3332" t="s">
        <v>9521</v>
      </c>
      <c r="E82" s="2718"/>
      <c r="F82" s="3386"/>
      <c r="G82" s="2707"/>
      <c r="H82" s="2618"/>
      <c r="I82" s="3359"/>
      <c r="J82" s="2714" t="str">
        <f>J111</f>
        <v>J111</v>
      </c>
      <c r="K82" s="3332" t="s">
        <v>9521</v>
      </c>
      <c r="L82" s="2716"/>
      <c r="M82" s="2716"/>
      <c r="N82" s="2716"/>
      <c r="O82" s="2716"/>
      <c r="P82" s="2716"/>
      <c r="Q82" s="2618"/>
      <c r="R82" s="2618"/>
      <c r="S82" s="3">
        <v>1</v>
      </c>
    </row>
    <row r="83" spans="1:19" s="2684" customFormat="1" ht="15">
      <c r="A83" s="2707"/>
      <c r="B83" s="2279"/>
      <c r="C83" s="2279"/>
      <c r="D83" s="2279"/>
      <c r="E83" s="2279"/>
      <c r="F83" s="2279"/>
      <c r="G83" s="2279"/>
      <c r="H83" s="2618"/>
      <c r="I83" s="3359"/>
      <c r="J83" s="3359"/>
      <c r="K83" s="3360"/>
      <c r="L83" s="3360"/>
      <c r="M83" s="3359"/>
      <c r="N83" s="3359"/>
      <c r="O83" s="2707"/>
      <c r="P83" s="2707"/>
      <c r="Q83" s="2618"/>
      <c r="R83" s="2618"/>
      <c r="S83" s="3">
        <v>1</v>
      </c>
    </row>
    <row r="84" spans="1:19" s="2684" customFormat="1" ht="15">
      <c r="A84" s="2707"/>
      <c r="B84" s="2279"/>
      <c r="C84" s="2279"/>
      <c r="D84" s="2279"/>
      <c r="E84" s="2279"/>
      <c r="F84" s="2279"/>
      <c r="G84" s="2279"/>
      <c r="H84" s="2618"/>
      <c r="I84" s="3359"/>
      <c r="J84" s="3359"/>
      <c r="K84" s="3360"/>
      <c r="L84" s="3360"/>
      <c r="M84" s="3359"/>
      <c r="N84" s="3359"/>
      <c r="O84" s="2707"/>
      <c r="P84" s="2707"/>
      <c r="Q84" s="2618"/>
      <c r="R84" s="2618"/>
      <c r="S84" s="3">
        <v>1</v>
      </c>
    </row>
    <row r="85" spans="1:19" s="2684" customFormat="1">
      <c r="A85" s="2707"/>
      <c r="B85" s="2279"/>
      <c r="C85" s="2279"/>
      <c r="D85" s="2279"/>
      <c r="E85" s="2279"/>
      <c r="F85" s="2279"/>
      <c r="G85" s="2279"/>
      <c r="H85" s="2618"/>
      <c r="I85" s="3359"/>
      <c r="J85" s="2707"/>
      <c r="K85" s="2707"/>
      <c r="L85" s="2707"/>
      <c r="M85" s="5726" t="s">
        <v>14223</v>
      </c>
      <c r="N85" s="1234"/>
      <c r="O85" s="2707"/>
      <c r="P85" s="2707"/>
      <c r="Q85" s="2618"/>
      <c r="R85" s="2618"/>
      <c r="S85" s="3">
        <v>1</v>
      </c>
    </row>
    <row r="86" spans="1:19" s="2684" customFormat="1">
      <c r="A86" s="2707"/>
      <c r="B86" s="2279"/>
      <c r="C86" s="2279"/>
      <c r="D86" s="2279"/>
      <c r="E86" s="2279"/>
      <c r="F86" s="2279"/>
      <c r="G86" s="2279"/>
      <c r="H86" s="2618"/>
      <c r="I86" s="3359"/>
      <c r="J86" s="2707"/>
      <c r="K86" s="2707"/>
      <c r="L86" s="2707"/>
      <c r="M86" s="5726" t="s">
        <v>14226</v>
      </c>
      <c r="N86" s="1234"/>
      <c r="O86" s="2707"/>
      <c r="P86" s="2707"/>
      <c r="Q86" s="2618"/>
      <c r="R86" s="2618"/>
      <c r="S86" s="3">
        <v>1</v>
      </c>
    </row>
    <row r="87" spans="1:19" s="2684" customFormat="1">
      <c r="A87" s="2707"/>
      <c r="B87" s="2279"/>
      <c r="C87" s="2279"/>
      <c r="D87" s="2279"/>
      <c r="E87" s="2279"/>
      <c r="F87" s="2279"/>
      <c r="G87" s="2279"/>
      <c r="H87" s="2618"/>
      <c r="I87" s="3359"/>
      <c r="J87" s="2707"/>
      <c r="K87" s="2707"/>
      <c r="L87" s="2707"/>
      <c r="M87" s="5726" t="s">
        <v>14229</v>
      </c>
      <c r="N87" s="1234"/>
      <c r="O87" s="2707"/>
      <c r="P87" s="2707"/>
      <c r="Q87" s="2618"/>
      <c r="R87" s="2618"/>
      <c r="S87" s="3">
        <v>1</v>
      </c>
    </row>
    <row r="88" spans="1:19" s="2684" customFormat="1">
      <c r="A88" s="2707"/>
      <c r="B88" s="2279"/>
      <c r="C88" s="2279"/>
      <c r="D88" s="2279"/>
      <c r="E88" s="2279"/>
      <c r="F88" s="2279"/>
      <c r="G88" s="2279"/>
      <c r="H88" s="2618"/>
      <c r="I88" s="3359"/>
      <c r="J88" s="2707"/>
      <c r="K88" s="2707"/>
      <c r="L88" s="2707"/>
      <c r="M88" s="5726"/>
      <c r="N88" s="1234"/>
      <c r="O88" s="2707"/>
      <c r="P88" s="2707"/>
      <c r="Q88" s="2618"/>
      <c r="R88" s="2618"/>
      <c r="S88" s="3">
        <v>1</v>
      </c>
    </row>
    <row r="89" spans="1:19" s="2684" customFormat="1">
      <c r="A89" s="2707"/>
      <c r="B89" s="2279"/>
      <c r="C89" s="2279"/>
      <c r="D89" s="2279"/>
      <c r="E89" s="2279"/>
      <c r="F89" s="2279"/>
      <c r="G89" s="2279"/>
      <c r="H89" s="2618"/>
      <c r="I89" s="3359"/>
      <c r="J89" s="2707"/>
      <c r="K89" s="2707"/>
      <c r="L89" s="2707"/>
      <c r="M89" s="5726" t="s">
        <v>14232</v>
      </c>
      <c r="N89" s="1234"/>
      <c r="O89" s="2707"/>
      <c r="P89" s="2707"/>
      <c r="Q89" s="2618"/>
      <c r="R89" s="2618"/>
      <c r="S89" s="3">
        <v>1</v>
      </c>
    </row>
    <row r="90" spans="1:19" s="2684" customFormat="1">
      <c r="A90" s="2707"/>
      <c r="B90" s="2279"/>
      <c r="C90" s="2279"/>
      <c r="D90" s="2279"/>
      <c r="E90" s="2279"/>
      <c r="F90" s="2279"/>
      <c r="G90" s="2279"/>
      <c r="H90" s="2618"/>
      <c r="I90" s="3359"/>
      <c r="J90" s="2707"/>
      <c r="K90" s="2707"/>
      <c r="L90" s="2707"/>
      <c r="M90" s="5726" t="s">
        <v>14235</v>
      </c>
      <c r="N90" s="1234"/>
      <c r="O90" s="2707"/>
      <c r="P90" s="2707"/>
      <c r="Q90" s="2618"/>
      <c r="R90" s="2618"/>
      <c r="S90" s="3">
        <v>1</v>
      </c>
    </row>
    <row r="91" spans="1:19" s="2684" customFormat="1">
      <c r="A91" s="2707"/>
      <c r="B91" s="2279"/>
      <c r="C91" s="2279"/>
      <c r="D91" s="2279"/>
      <c r="E91" s="2279"/>
      <c r="F91" s="2279"/>
      <c r="G91" s="2279"/>
      <c r="H91" s="2618"/>
      <c r="I91" s="3359"/>
      <c r="J91" s="2707"/>
      <c r="K91" s="2707"/>
      <c r="L91" s="2707"/>
      <c r="M91" s="1256"/>
      <c r="N91" s="1234"/>
      <c r="O91" s="2707"/>
      <c r="P91" s="2707"/>
      <c r="Q91" s="2618"/>
      <c r="R91" s="2618"/>
      <c r="S91" s="3">
        <v>1</v>
      </c>
    </row>
    <row r="92" spans="1:19" s="2684" customFormat="1">
      <c r="A92" s="2707"/>
      <c r="B92" s="3415" t="s">
        <v>10587</v>
      </c>
      <c r="C92" s="2279"/>
      <c r="D92" s="2279"/>
      <c r="E92" s="2279"/>
      <c r="F92" s="2279"/>
      <c r="G92" s="2279"/>
      <c r="H92" s="2618"/>
      <c r="I92" s="3359"/>
      <c r="J92" s="2707"/>
      <c r="K92" s="2707"/>
      <c r="L92" s="2707"/>
      <c r="M92" s="1256"/>
      <c r="N92" s="1234"/>
      <c r="O92" s="2707"/>
      <c r="P92" s="2707"/>
      <c r="Q92" s="2618"/>
      <c r="R92" s="2618"/>
      <c r="S92" s="3">
        <v>1</v>
      </c>
    </row>
    <row r="93" spans="1:19" s="2684" customFormat="1">
      <c r="A93" s="2707"/>
      <c r="B93" s="3415" t="s">
        <v>10588</v>
      </c>
      <c r="C93" s="2279"/>
      <c r="D93" s="2279"/>
      <c r="E93" s="2279"/>
      <c r="F93" s="2279"/>
      <c r="G93" s="2279"/>
      <c r="H93" s="2618"/>
      <c r="I93" s="3359"/>
      <c r="J93" s="2707"/>
      <c r="K93" s="2707"/>
      <c r="L93" s="2707"/>
      <c r="M93" s="5726" t="s">
        <v>14224</v>
      </c>
      <c r="N93" s="1234"/>
      <c r="O93" s="2707"/>
      <c r="P93" s="2707"/>
      <c r="Q93" s="2618"/>
      <c r="R93" s="2618"/>
      <c r="S93" s="3">
        <v>1</v>
      </c>
    </row>
    <row r="94" spans="1:19" s="2684" customFormat="1">
      <c r="A94" s="2707"/>
      <c r="B94" s="2279"/>
      <c r="C94" s="2279"/>
      <c r="D94" s="2279"/>
      <c r="E94" s="2279"/>
      <c r="F94" s="2279"/>
      <c r="G94" s="2279"/>
      <c r="H94" s="2618"/>
      <c r="I94" s="3359"/>
      <c r="J94" s="2707"/>
      <c r="K94" s="2707"/>
      <c r="L94" s="2707"/>
      <c r="M94" s="5726" t="s">
        <v>14227</v>
      </c>
      <c r="N94" s="1234"/>
      <c r="O94" s="2707"/>
      <c r="P94" s="2707"/>
      <c r="Q94" s="2618"/>
      <c r="R94" s="2618"/>
      <c r="S94" s="3">
        <v>1</v>
      </c>
    </row>
    <row r="95" spans="1:19" s="2684" customFormat="1" ht="18.75">
      <c r="A95" s="2707"/>
      <c r="B95" s="2184" t="s">
        <v>10589</v>
      </c>
      <c r="C95" s="2707"/>
      <c r="D95" s="2707"/>
      <c r="E95" s="2707"/>
      <c r="F95" s="2279"/>
      <c r="G95" s="2279"/>
      <c r="H95" s="2618"/>
      <c r="I95" s="3359"/>
      <c r="J95" s="2707"/>
      <c r="K95" s="2707"/>
      <c r="L95" s="2707"/>
      <c r="M95" s="5726" t="s">
        <v>14230</v>
      </c>
      <c r="N95" s="1234"/>
      <c r="O95" s="2707"/>
      <c r="P95" s="2707"/>
      <c r="Q95" s="2618"/>
      <c r="R95" s="2618"/>
      <c r="S95" s="3">
        <v>1</v>
      </c>
    </row>
    <row r="96" spans="1:19" s="2684" customFormat="1">
      <c r="A96" s="2707"/>
      <c r="C96" s="2707"/>
      <c r="D96" s="2707"/>
      <c r="E96" s="2707"/>
      <c r="F96" s="2279"/>
      <c r="G96" s="2279"/>
      <c r="H96" s="2618"/>
      <c r="I96" s="3359"/>
      <c r="J96" s="3359"/>
      <c r="K96" s="3360"/>
      <c r="L96" s="3360"/>
      <c r="M96" s="5726"/>
      <c r="N96" s="1234"/>
      <c r="O96" s="2707"/>
      <c r="P96" s="2707"/>
      <c r="Q96" s="2618"/>
      <c r="R96" s="2618"/>
      <c r="S96" s="3">
        <v>1</v>
      </c>
    </row>
    <row r="97" spans="1:19" s="2684" customFormat="1" ht="18.75">
      <c r="A97" s="2707"/>
      <c r="B97" s="3416" t="s">
        <v>10268</v>
      </c>
      <c r="C97" s="5611" t="s">
        <v>10590</v>
      </c>
      <c r="D97" s="2825"/>
      <c r="E97" s="2825"/>
      <c r="F97" s="2825"/>
      <c r="G97" s="2825"/>
      <c r="H97" s="2825"/>
      <c r="I97" s="2825" t="s">
        <v>21</v>
      </c>
      <c r="J97" s="2825"/>
      <c r="K97" s="2825"/>
      <c r="L97" s="2825"/>
      <c r="M97" s="5726" t="s">
        <v>14233</v>
      </c>
      <c r="N97" s="1234"/>
      <c r="O97" s="2707"/>
      <c r="P97" s="2707"/>
      <c r="Q97" s="2618"/>
      <c r="R97" s="2618"/>
      <c r="S97" s="3">
        <v>1</v>
      </c>
    </row>
    <row r="98" spans="1:19" s="2684" customFormat="1" ht="31.5" customHeight="1">
      <c r="A98" s="2707"/>
      <c r="B98" s="3415"/>
      <c r="C98" s="3386"/>
      <c r="D98" s="3386"/>
      <c r="E98" s="3386"/>
      <c r="F98" s="2279"/>
      <c r="G98" s="3178"/>
      <c r="H98" s="3178"/>
      <c r="I98" s="3178"/>
      <c r="J98" s="3178"/>
      <c r="K98" s="3178"/>
      <c r="L98" s="3178"/>
      <c r="M98" s="5726" t="s">
        <v>14236</v>
      </c>
      <c r="N98" s="1234"/>
      <c r="O98" s="3178"/>
      <c r="P98" s="3178"/>
      <c r="Q98" s="3178"/>
      <c r="R98" s="3178"/>
      <c r="S98" s="3">
        <v>1</v>
      </c>
    </row>
    <row r="99" spans="1:19" s="2684" customFormat="1" ht="16.5" customHeight="1">
      <c r="A99" s="2707"/>
      <c r="B99" s="3417" t="s">
        <v>10591</v>
      </c>
      <c r="C99" s="3418"/>
      <c r="D99" s="3418"/>
      <c r="E99" s="3419"/>
      <c r="F99" s="3419"/>
      <c r="G99" s="3178"/>
      <c r="H99" s="3178"/>
      <c r="I99" s="3178"/>
      <c r="J99" s="3178"/>
      <c r="K99" s="3178"/>
      <c r="L99" s="3178"/>
      <c r="M99" s="1256"/>
      <c r="N99" s="1234"/>
      <c r="O99" s="3178"/>
      <c r="P99" s="3178"/>
      <c r="Q99" s="3178"/>
      <c r="R99" s="3178"/>
      <c r="S99" s="3">
        <v>1</v>
      </c>
    </row>
    <row r="100" spans="1:19" s="2684" customFormat="1">
      <c r="A100" s="2707"/>
      <c r="B100" s="3359"/>
      <c r="C100" s="3360"/>
      <c r="D100" s="3360"/>
      <c r="E100" s="3359"/>
      <c r="F100" s="3359"/>
      <c r="G100" s="3178"/>
      <c r="H100" s="3178"/>
      <c r="I100" s="3178"/>
      <c r="J100" s="3178"/>
      <c r="K100" s="3178"/>
      <c r="L100" s="3178"/>
      <c r="M100" s="1256"/>
      <c r="N100" s="1234"/>
      <c r="O100" s="3178"/>
      <c r="P100" s="3178"/>
      <c r="Q100" s="3178"/>
      <c r="R100" s="3178"/>
      <c r="S100" s="3">
        <v>1</v>
      </c>
    </row>
    <row r="101" spans="1:19" s="2684" customFormat="1" ht="21">
      <c r="A101" s="2707"/>
      <c r="B101" s="3420" t="s">
        <v>10592</v>
      </c>
      <c r="C101" s="2707"/>
      <c r="D101" s="2707"/>
      <c r="E101" s="2707"/>
      <c r="F101" s="2707"/>
      <c r="G101" s="3178"/>
      <c r="H101" s="3178"/>
      <c r="I101" s="3178"/>
      <c r="J101" s="3178"/>
      <c r="K101" s="3178"/>
      <c r="L101" s="3178"/>
      <c r="M101" s="5726" t="s">
        <v>14225</v>
      </c>
      <c r="N101" s="1234"/>
      <c r="O101" s="3178"/>
      <c r="P101" s="3178"/>
      <c r="Q101" s="3178"/>
      <c r="R101" s="3178"/>
      <c r="S101" s="3">
        <v>1</v>
      </c>
    </row>
    <row r="102" spans="1:19" s="2684" customFormat="1" ht="15.75" customHeight="1">
      <c r="A102" s="2707"/>
      <c r="B102" s="7738" t="s">
        <v>10593</v>
      </c>
      <c r="C102" s="7738"/>
      <c r="D102" s="7738"/>
      <c r="E102" s="7738"/>
      <c r="F102" s="7738"/>
      <c r="G102" s="3178"/>
      <c r="H102" s="3178"/>
      <c r="I102" s="3178"/>
      <c r="J102" s="3178"/>
      <c r="K102" s="3178"/>
      <c r="L102" s="3178"/>
      <c r="M102" s="5726" t="s">
        <v>14228</v>
      </c>
      <c r="N102" s="1234"/>
      <c r="O102" s="3178"/>
      <c r="P102" s="3178"/>
      <c r="Q102" s="3178"/>
      <c r="R102" s="3178"/>
      <c r="S102" s="3">
        <v>1</v>
      </c>
    </row>
    <row r="103" spans="1:19" s="2684" customFormat="1" ht="21" customHeight="1">
      <c r="A103" s="2707"/>
      <c r="B103" s="3416" t="s">
        <v>10268</v>
      </c>
      <c r="C103" s="7701" t="s">
        <v>10594</v>
      </c>
      <c r="D103" s="7701"/>
      <c r="E103" s="7701"/>
      <c r="F103" s="7701"/>
      <c r="G103" s="7701"/>
      <c r="H103" s="7701"/>
      <c r="I103" s="3178"/>
      <c r="J103" s="3178"/>
      <c r="K103" s="3178"/>
      <c r="L103" s="3178"/>
      <c r="M103" s="5726" t="s">
        <v>14231</v>
      </c>
      <c r="N103" s="1234"/>
      <c r="O103" s="3178"/>
      <c r="P103" s="3178"/>
      <c r="Q103" s="3178"/>
      <c r="R103" s="3178"/>
      <c r="S103" s="3">
        <v>1</v>
      </c>
    </row>
    <row r="104" spans="1:19" s="2684" customFormat="1" ht="21">
      <c r="A104" s="2707"/>
      <c r="B104" s="3421"/>
      <c r="C104" s="7739" t="s">
        <v>10595</v>
      </c>
      <c r="D104" s="7739"/>
      <c r="E104" s="7739"/>
      <c r="F104" s="7739"/>
      <c r="G104" s="7739"/>
      <c r="H104" s="3422"/>
      <c r="I104" s="3178"/>
      <c r="J104" s="3178"/>
      <c r="K104" s="3178"/>
      <c r="L104" s="3178"/>
      <c r="M104" s="5726"/>
      <c r="N104" s="1234"/>
      <c r="O104" s="3178"/>
      <c r="P104" s="3178"/>
      <c r="Q104" s="3178"/>
      <c r="R104" s="3178"/>
      <c r="S104" s="3">
        <v>1</v>
      </c>
    </row>
    <row r="105" spans="1:19" s="2684" customFormat="1" ht="21">
      <c r="A105" s="2707"/>
      <c r="B105" s="3421"/>
      <c r="C105" s="7701" t="s">
        <v>10596</v>
      </c>
      <c r="D105" s="7701"/>
      <c r="E105" s="7701"/>
      <c r="F105" s="7701"/>
      <c r="G105" s="7701"/>
      <c r="H105" s="7701"/>
      <c r="I105" s="3178"/>
      <c r="J105" s="3178"/>
      <c r="K105" s="3178"/>
      <c r="L105" s="3178"/>
      <c r="M105" s="5726" t="s">
        <v>14234</v>
      </c>
      <c r="N105" s="1234"/>
      <c r="O105" s="3178"/>
      <c r="P105" s="3178"/>
      <c r="Q105" s="3178"/>
      <c r="R105" s="3178"/>
      <c r="S105" s="3">
        <v>1</v>
      </c>
    </row>
    <row r="106" spans="1:19" s="2684" customFormat="1" ht="21">
      <c r="A106" s="2707"/>
      <c r="B106" s="3421"/>
      <c r="C106" s="7701" t="s">
        <v>10597</v>
      </c>
      <c r="D106" s="7701"/>
      <c r="E106" s="7701"/>
      <c r="F106" s="7701"/>
      <c r="G106" s="7701"/>
      <c r="H106" s="7701"/>
      <c r="I106" s="3178"/>
      <c r="J106" s="3178"/>
      <c r="K106" s="3178"/>
      <c r="L106" s="3178"/>
      <c r="M106" s="5726" t="s">
        <v>14237</v>
      </c>
      <c r="N106" s="1234"/>
      <c r="O106" s="3178"/>
      <c r="P106" s="3178"/>
      <c r="Q106" s="3178"/>
      <c r="R106" s="3178"/>
      <c r="S106" s="3">
        <v>1</v>
      </c>
    </row>
    <row r="107" spans="1:19" s="2684" customFormat="1" ht="21">
      <c r="A107" s="2707"/>
      <c r="B107" s="3421"/>
      <c r="C107" s="7701" t="s">
        <v>10598</v>
      </c>
      <c r="D107" s="7701"/>
      <c r="E107" s="7701"/>
      <c r="F107" s="7701"/>
      <c r="G107" s="7701"/>
      <c r="H107" s="7701"/>
      <c r="I107" s="3178"/>
      <c r="J107" s="3178"/>
      <c r="K107" s="3178"/>
      <c r="L107" s="3178"/>
      <c r="M107" s="3178"/>
      <c r="N107" s="3178"/>
      <c r="O107" s="3178"/>
      <c r="P107" s="3178"/>
      <c r="Q107" s="3178"/>
      <c r="R107" s="3178"/>
      <c r="S107" s="3">
        <v>1</v>
      </c>
    </row>
    <row r="108" spans="1:19" s="2684" customFormat="1" ht="21">
      <c r="A108" s="2707"/>
      <c r="B108" s="3421"/>
      <c r="C108" s="7701" t="s">
        <v>10599</v>
      </c>
      <c r="D108" s="7701"/>
      <c r="E108" s="7701"/>
      <c r="F108" s="7701"/>
      <c r="G108" s="7701"/>
      <c r="H108" s="7701"/>
      <c r="I108" s="3178"/>
      <c r="J108" s="3178"/>
      <c r="K108" s="3178"/>
      <c r="L108" s="3178"/>
      <c r="M108" s="3178"/>
      <c r="N108" s="3178"/>
      <c r="O108" s="3178"/>
      <c r="P108" s="3178"/>
      <c r="Q108" s="3178"/>
      <c r="R108" s="3178"/>
      <c r="S108" s="3">
        <v>1</v>
      </c>
    </row>
    <row r="109" spans="1:19" s="2684" customFormat="1" ht="16.5" thickBot="1">
      <c r="A109" s="2707"/>
      <c r="B109" s="3384"/>
      <c r="C109" s="2707"/>
      <c r="D109" s="2707"/>
      <c r="E109" s="2707"/>
      <c r="F109" s="2279"/>
      <c r="G109" s="2279"/>
      <c r="H109" s="2618"/>
      <c r="I109" s="3178"/>
      <c r="J109" s="3178"/>
      <c r="K109" s="3178"/>
      <c r="L109" s="3178"/>
      <c r="M109" s="3178"/>
      <c r="N109" s="3178"/>
      <c r="O109" s="3178"/>
      <c r="P109" s="3178"/>
      <c r="Q109" s="3178"/>
      <c r="R109" s="3178"/>
      <c r="S109" s="3">
        <v>1</v>
      </c>
    </row>
    <row r="110" spans="1:19" s="2684" customFormat="1" ht="21">
      <c r="A110" s="5617" t="s">
        <v>166</v>
      </c>
      <c r="B110" s="7702" t="s">
        <v>10586</v>
      </c>
      <c r="C110" s="7703"/>
      <c r="D110" s="7703"/>
      <c r="E110" s="7703"/>
      <c r="F110" s="7704"/>
      <c r="G110" s="3178"/>
      <c r="H110" s="3178"/>
      <c r="I110" s="5617" t="s">
        <v>166</v>
      </c>
      <c r="J110" s="7705" t="s">
        <v>9525</v>
      </c>
      <c r="K110" s="7706"/>
      <c r="L110" s="7706"/>
      <c r="M110" s="7706"/>
      <c r="N110" s="7706"/>
      <c r="O110" s="7706"/>
      <c r="P110" s="7707"/>
      <c r="Q110" s="3178"/>
      <c r="R110" s="3178"/>
      <c r="S110" s="3">
        <v>1</v>
      </c>
    </row>
    <row r="111" spans="1:19" s="2684" customFormat="1">
      <c r="A111" s="7061" t="str">
        <f>B110</f>
        <v>Formule avec DONT</v>
      </c>
      <c r="B111" s="5757" t="str">
        <f>ADDRESS(ROW(),COLUMN(),4)</f>
        <v>B111</v>
      </c>
      <c r="C111" s="2615" t="s">
        <v>9521</v>
      </c>
      <c r="D111" s="2718"/>
      <c r="E111" s="3386"/>
      <c r="F111" s="2736"/>
      <c r="G111" s="3178"/>
      <c r="H111" s="3178"/>
      <c r="I111" s="7061" t="str">
        <f>J110</f>
        <v>Décriptage d'une recette par les pourcentages</v>
      </c>
      <c r="J111" s="5757" t="str">
        <f>ADDRESS(ROW(),COLUMN(),4)</f>
        <v>J111</v>
      </c>
      <c r="K111" s="2615" t="s">
        <v>9521</v>
      </c>
      <c r="L111" s="5728"/>
      <c r="M111" s="5728"/>
      <c r="N111" s="5728"/>
      <c r="O111" s="5728"/>
      <c r="P111" s="5729"/>
      <c r="Q111" s="3178"/>
      <c r="R111" s="3178"/>
      <c r="S111" s="3">
        <v>1</v>
      </c>
    </row>
    <row r="112" spans="1:19" s="2684" customFormat="1" ht="15">
      <c r="A112" s="7061"/>
      <c r="B112" s="7708" t="s">
        <v>9526</v>
      </c>
      <c r="C112" s="7681" t="s">
        <v>10600</v>
      </c>
      <c r="D112" s="7681"/>
      <c r="E112" s="7681"/>
      <c r="F112" s="7682"/>
      <c r="G112" s="3178"/>
      <c r="H112" s="3178"/>
      <c r="I112" s="7061"/>
      <c r="J112" s="7712" t="s">
        <v>9526</v>
      </c>
      <c r="K112" s="7681" t="s">
        <v>9527</v>
      </c>
      <c r="L112" s="7681"/>
      <c r="M112" s="7681"/>
      <c r="N112" s="7681"/>
      <c r="O112" s="7681"/>
      <c r="P112" s="7682"/>
      <c r="Q112" s="3178"/>
      <c r="R112" s="3178"/>
      <c r="S112" s="3">
        <v>1</v>
      </c>
    </row>
    <row r="113" spans="1:19" s="2684" customFormat="1" ht="15">
      <c r="A113" s="7061"/>
      <c r="B113" s="7709"/>
      <c r="C113" s="7710"/>
      <c r="D113" s="7710"/>
      <c r="E113" s="7710"/>
      <c r="F113" s="7711"/>
      <c r="G113" s="3178"/>
      <c r="H113" s="3178"/>
      <c r="I113" s="7061"/>
      <c r="J113" s="7713"/>
      <c r="K113" s="7683"/>
      <c r="L113" s="7683"/>
      <c r="M113" s="7683"/>
      <c r="N113" s="7683"/>
      <c r="O113" s="7683"/>
      <c r="P113" s="7684"/>
      <c r="Q113" s="3178"/>
      <c r="R113" s="3178"/>
      <c r="S113" s="3">
        <v>1</v>
      </c>
    </row>
    <row r="114" spans="1:19" s="2684" customFormat="1" ht="15" customHeight="1">
      <c r="A114" s="7061"/>
      <c r="B114" s="7685" t="s">
        <v>9534</v>
      </c>
      <c r="C114" s="7686"/>
      <c r="D114" s="7686"/>
      <c r="E114" s="7689">
        <v>1000</v>
      </c>
      <c r="F114" s="7691">
        <f>(F116+F122)/E114*100</f>
        <v>100</v>
      </c>
      <c r="G114" s="3178"/>
      <c r="H114" s="3178"/>
      <c r="I114" s="7061"/>
      <c r="J114" s="7693" t="s">
        <v>9530</v>
      </c>
      <c r="K114" s="7695">
        <f>SUM(J118:J127)</f>
        <v>0.97000000000000008</v>
      </c>
      <c r="L114" s="7697" t="str">
        <f>IF(J117&lt;O117,"Recette incomplète, il manque",IF(J117&gt;O117,"Trop de produits dans la recette",IF(J117=O117,"OK")))</f>
        <v>Recette incomplète, il manque</v>
      </c>
      <c r="M114" s="7697"/>
      <c r="N114" s="7697"/>
      <c r="O114" s="7697"/>
      <c r="P114" s="7699">
        <f>IF(J117=O117,"",IF(J117&lt;O117,O117-J117,IF(J117&gt;O117,J117-O117)))</f>
        <v>2.9999999999999916E-2</v>
      </c>
      <c r="Q114" s="3178"/>
      <c r="R114" s="3178"/>
      <c r="S114" s="3">
        <v>1</v>
      </c>
    </row>
    <row r="115" spans="1:19" s="2684" customFormat="1" ht="15" customHeight="1">
      <c r="A115" s="7061"/>
      <c r="B115" s="7687"/>
      <c r="C115" s="7688"/>
      <c r="D115" s="7688"/>
      <c r="E115" s="7690"/>
      <c r="F115" s="7692"/>
      <c r="G115" s="3178"/>
      <c r="H115" s="3178"/>
      <c r="I115" s="7061"/>
      <c r="J115" s="7694"/>
      <c r="K115" s="7696"/>
      <c r="L115" s="7698"/>
      <c r="M115" s="7698"/>
      <c r="N115" s="7698"/>
      <c r="O115" s="7698"/>
      <c r="P115" s="7700"/>
      <c r="Q115" s="3178"/>
      <c r="R115" s="3178"/>
      <c r="S115" s="3">
        <v>1</v>
      </c>
    </row>
    <row r="116" spans="1:19" s="2684" customFormat="1" ht="30">
      <c r="A116" s="7061"/>
      <c r="B116" s="7714" t="s">
        <v>2629</v>
      </c>
      <c r="C116" s="7716" t="s">
        <v>10601</v>
      </c>
      <c r="D116" s="7716"/>
      <c r="E116" s="7718">
        <v>20</v>
      </c>
      <c r="F116" s="7720">
        <f>(E114*E116)/100</f>
        <v>200</v>
      </c>
      <c r="G116" s="3178"/>
      <c r="H116" s="3178"/>
      <c r="I116" s="7061"/>
      <c r="J116" s="5758" t="s">
        <v>9531</v>
      </c>
      <c r="K116" s="3423"/>
      <c r="L116" s="3423"/>
      <c r="M116" s="3423"/>
      <c r="N116" s="3424" t="s">
        <v>1554</v>
      </c>
      <c r="O116" s="5759" t="s">
        <v>9532</v>
      </c>
      <c r="P116" s="5760" t="s">
        <v>9533</v>
      </c>
      <c r="Q116" s="3178"/>
      <c r="R116" s="3178"/>
      <c r="S116" s="3">
        <v>1</v>
      </c>
    </row>
    <row r="117" spans="1:19" s="2684" customFormat="1">
      <c r="A117" s="7061"/>
      <c r="B117" s="7714"/>
      <c r="C117" s="7716"/>
      <c r="D117" s="7716"/>
      <c r="E117" s="7718"/>
      <c r="F117" s="7720"/>
      <c r="G117" s="3178"/>
      <c r="H117" s="3178"/>
      <c r="I117" s="7061"/>
      <c r="J117" s="3425">
        <f>SUM(J118:J127)</f>
        <v>0.97000000000000008</v>
      </c>
      <c r="K117" s="2658"/>
      <c r="L117" s="3426"/>
      <c r="M117" s="2660" t="s">
        <v>9534</v>
      </c>
      <c r="N117" s="5761">
        <v>7</v>
      </c>
      <c r="O117" s="5762">
        <v>1</v>
      </c>
      <c r="P117" s="3427">
        <f>SUM(P118:P127)</f>
        <v>6.9300000000000006</v>
      </c>
      <c r="Q117" s="3178"/>
      <c r="R117" s="3178"/>
      <c r="S117" s="3">
        <v>1</v>
      </c>
    </row>
    <row r="118" spans="1:19" s="2684" customFormat="1" ht="15.75" customHeight="1">
      <c r="A118" s="7061"/>
      <c r="B118" s="7715"/>
      <c r="C118" s="7717"/>
      <c r="D118" s="7717"/>
      <c r="E118" s="7719"/>
      <c r="F118" s="7721"/>
      <c r="G118" s="3178"/>
      <c r="H118" s="3178"/>
      <c r="I118" s="7061"/>
      <c r="J118" s="3428">
        <v>0.12</v>
      </c>
      <c r="K118" s="2662" t="s">
        <v>9535</v>
      </c>
      <c r="L118" s="2662"/>
      <c r="M118" s="2662"/>
      <c r="N118" s="5763">
        <f>N117*J118</f>
        <v>0.84</v>
      </c>
      <c r="O118" s="3429">
        <v>0</v>
      </c>
      <c r="P118" s="3430">
        <f t="shared" ref="P118:P127" si="2">IF(O118=0,N118,IF(N118="","",N118/(100-O118)*100))</f>
        <v>0.84</v>
      </c>
      <c r="Q118" s="3178"/>
      <c r="R118" s="3178"/>
      <c r="S118" s="3">
        <v>1</v>
      </c>
    </row>
    <row r="119" spans="1:19" s="2684" customFormat="1" ht="16.5" customHeight="1">
      <c r="A119" s="7061"/>
      <c r="B119" s="7722" t="s">
        <v>16</v>
      </c>
      <c r="C119" s="7723" t="s">
        <v>10602</v>
      </c>
      <c r="D119" s="7723"/>
      <c r="E119" s="7724">
        <v>26.5</v>
      </c>
      <c r="F119" s="7720">
        <f>(E116*E119)/10</f>
        <v>53</v>
      </c>
      <c r="G119" s="3178"/>
      <c r="H119" s="3178"/>
      <c r="I119" s="7061"/>
      <c r="J119" s="3428">
        <v>0.08</v>
      </c>
      <c r="K119" s="2662" t="s">
        <v>9536</v>
      </c>
      <c r="L119" s="2662"/>
      <c r="M119" s="2662"/>
      <c r="N119" s="3431">
        <f>N117*J119</f>
        <v>0.56000000000000005</v>
      </c>
      <c r="O119" s="3432">
        <v>0</v>
      </c>
      <c r="P119" s="3430">
        <f t="shared" si="2"/>
        <v>0.56000000000000005</v>
      </c>
      <c r="Q119" s="3178"/>
      <c r="R119" s="3178"/>
      <c r="S119" s="3">
        <v>1</v>
      </c>
    </row>
    <row r="120" spans="1:19" s="2684" customFormat="1" ht="16.5" customHeight="1">
      <c r="A120" s="7061"/>
      <c r="B120" s="7722"/>
      <c r="C120" s="7723"/>
      <c r="D120" s="7723"/>
      <c r="E120" s="7724"/>
      <c r="F120" s="7720"/>
      <c r="G120" s="3178"/>
      <c r="H120" s="3178"/>
      <c r="I120" s="7061"/>
      <c r="J120" s="3428">
        <v>0.2</v>
      </c>
      <c r="K120" s="2662" t="s">
        <v>9537</v>
      </c>
      <c r="L120" s="2662"/>
      <c r="M120" s="2662"/>
      <c r="N120" s="3431">
        <f>N117*J120</f>
        <v>1.4000000000000001</v>
      </c>
      <c r="O120" s="3432">
        <v>0</v>
      </c>
      <c r="P120" s="3430">
        <f t="shared" si="2"/>
        <v>1.4000000000000001</v>
      </c>
      <c r="Q120" s="3178"/>
      <c r="R120" s="3178"/>
      <c r="S120" s="3">
        <v>1</v>
      </c>
    </row>
    <row r="121" spans="1:19" s="2684" customFormat="1" ht="16.5" customHeight="1" thickBot="1">
      <c r="A121" s="7061"/>
      <c r="B121" s="7722"/>
      <c r="C121" s="7723"/>
      <c r="D121" s="7723"/>
      <c r="E121" s="7724"/>
      <c r="F121" s="7720"/>
      <c r="G121" s="3178"/>
      <c r="H121" s="3178"/>
      <c r="I121" s="7061"/>
      <c r="J121" s="3428">
        <v>0.55000000000000004</v>
      </c>
      <c r="K121" s="2662" t="s">
        <v>9538</v>
      </c>
      <c r="L121" s="2662"/>
      <c r="M121" s="2662"/>
      <c r="N121" s="3431">
        <f>N117*J121</f>
        <v>3.8500000000000005</v>
      </c>
      <c r="O121" s="3432">
        <v>0</v>
      </c>
      <c r="P121" s="3430">
        <f t="shared" si="2"/>
        <v>3.8500000000000005</v>
      </c>
      <c r="Q121" s="3178"/>
      <c r="R121" s="3178"/>
      <c r="S121" s="3">
        <v>1</v>
      </c>
    </row>
    <row r="122" spans="1:19" s="2684" customFormat="1" ht="20.25" customHeight="1">
      <c r="A122" s="7061"/>
      <c r="B122" s="7725" t="s">
        <v>2630</v>
      </c>
      <c r="C122" s="7726" t="s">
        <v>10603</v>
      </c>
      <c r="D122" s="7726"/>
      <c r="E122" s="7674">
        <f>(F114/E114)*F122</f>
        <v>80</v>
      </c>
      <c r="F122" s="7676">
        <f>E114-F116</f>
        <v>800</v>
      </c>
      <c r="G122" s="3178"/>
      <c r="H122" s="3178"/>
      <c r="I122" s="7061"/>
      <c r="J122" s="3428">
        <v>0.02</v>
      </c>
      <c r="K122" s="2662" t="s">
        <v>9539</v>
      </c>
      <c r="L122" s="2662"/>
      <c r="M122" s="2662"/>
      <c r="N122" s="3431">
        <f>N117*J122</f>
        <v>0.14000000000000001</v>
      </c>
      <c r="O122" s="3432">
        <v>50</v>
      </c>
      <c r="P122" s="3430">
        <f t="shared" si="2"/>
        <v>0.28000000000000003</v>
      </c>
      <c r="Q122" s="3178"/>
      <c r="R122" s="3178"/>
      <c r="S122" s="3">
        <v>1</v>
      </c>
    </row>
    <row r="123" spans="1:19" s="2684" customFormat="1" ht="15.75" customHeight="1">
      <c r="A123" s="7061"/>
      <c r="B123" s="7662"/>
      <c r="C123" s="7727"/>
      <c r="D123" s="7727"/>
      <c r="E123" s="7675"/>
      <c r="F123" s="7677"/>
      <c r="G123" s="3178"/>
      <c r="H123" s="3178"/>
      <c r="I123" s="7061"/>
      <c r="J123" s="3428"/>
      <c r="K123" s="2662"/>
      <c r="L123" s="2662"/>
      <c r="M123" s="2662"/>
      <c r="N123" s="3431">
        <f>N117*J123</f>
        <v>0</v>
      </c>
      <c r="O123" s="3432"/>
      <c r="P123" s="3430">
        <f t="shared" si="2"/>
        <v>0</v>
      </c>
      <c r="Q123" s="3178"/>
      <c r="R123" s="3178"/>
      <c r="S123" s="3">
        <v>1</v>
      </c>
    </row>
    <row r="124" spans="1:19" s="2684" customFormat="1" ht="15.75" customHeight="1">
      <c r="A124" s="7061"/>
      <c r="B124" s="7662" t="s">
        <v>2631</v>
      </c>
      <c r="C124" s="7678" t="s">
        <v>10604</v>
      </c>
      <c r="D124" s="7679" t="s">
        <v>10605</v>
      </c>
      <c r="E124" s="7667">
        <f>(F114/E114)*F124</f>
        <v>14.700000000000001</v>
      </c>
      <c r="F124" s="7669">
        <f>F116-F126</f>
        <v>147</v>
      </c>
      <c r="G124" s="3178"/>
      <c r="H124" s="3178"/>
      <c r="I124" s="7061"/>
      <c r="J124" s="3428"/>
      <c r="K124" s="2662"/>
      <c r="L124" s="2662"/>
      <c r="M124" s="2662"/>
      <c r="N124" s="3431">
        <f>N117*J124</f>
        <v>0</v>
      </c>
      <c r="O124" s="3432"/>
      <c r="P124" s="3430">
        <f t="shared" si="2"/>
        <v>0</v>
      </c>
      <c r="Q124" s="3178"/>
      <c r="R124" s="3178"/>
      <c r="S124" s="3">
        <v>1</v>
      </c>
    </row>
    <row r="125" spans="1:19" s="2684" customFormat="1" ht="15.75" customHeight="1">
      <c r="A125" s="7061"/>
      <c r="B125" s="7662"/>
      <c r="C125" s="7678"/>
      <c r="D125" s="7680"/>
      <c r="E125" s="7667"/>
      <c r="F125" s="7669"/>
      <c r="G125" s="3178"/>
      <c r="H125" s="3178"/>
      <c r="I125" s="7061"/>
      <c r="J125" s="3428"/>
      <c r="K125" s="2662"/>
      <c r="L125" s="2662"/>
      <c r="M125" s="2662"/>
      <c r="N125" s="3431">
        <f>N117*J125</f>
        <v>0</v>
      </c>
      <c r="O125" s="3432"/>
      <c r="P125" s="3430">
        <f t="shared" si="2"/>
        <v>0</v>
      </c>
      <c r="Q125" s="3178"/>
      <c r="R125" s="3178"/>
      <c r="S125" s="3">
        <v>1</v>
      </c>
    </row>
    <row r="126" spans="1:19" s="2684" customFormat="1" ht="15.75" customHeight="1">
      <c r="A126" s="7061"/>
      <c r="B126" s="7662" t="s">
        <v>2632</v>
      </c>
      <c r="C126" s="7664" t="s">
        <v>10606</v>
      </c>
      <c r="D126" s="7665"/>
      <c r="E126" s="7667">
        <f>(F114/E114)*F126</f>
        <v>5.3000000000000007</v>
      </c>
      <c r="F126" s="7669">
        <f>(F116*E119)/100</f>
        <v>53</v>
      </c>
      <c r="G126" s="3178"/>
      <c r="H126" s="3178"/>
      <c r="I126" s="7061"/>
      <c r="J126" s="3428"/>
      <c r="K126" s="2662"/>
      <c r="L126" s="2662"/>
      <c r="M126" s="2662"/>
      <c r="N126" s="3431">
        <f>N117*J126</f>
        <v>0</v>
      </c>
      <c r="O126" s="3432"/>
      <c r="P126" s="3430">
        <f t="shared" si="2"/>
        <v>0</v>
      </c>
      <c r="Q126" s="3178"/>
      <c r="R126" s="3178"/>
      <c r="S126" s="3">
        <v>1</v>
      </c>
    </row>
    <row r="127" spans="1:19" s="2684" customFormat="1" ht="15.75" customHeight="1">
      <c r="A127" s="7061"/>
      <c r="B127" s="7663"/>
      <c r="C127" s="7666"/>
      <c r="D127" s="7666"/>
      <c r="E127" s="7668"/>
      <c r="F127" s="7670"/>
      <c r="G127" s="3178"/>
      <c r="H127" s="3178"/>
      <c r="I127" s="7061"/>
      <c r="J127" s="3433"/>
      <c r="K127" s="5664"/>
      <c r="L127" s="5664"/>
      <c r="M127" s="5664"/>
      <c r="N127" s="5764">
        <f>N117*J127</f>
        <v>0</v>
      </c>
      <c r="O127" s="5765"/>
      <c r="P127" s="5766">
        <f t="shared" si="2"/>
        <v>0</v>
      </c>
      <c r="Q127" s="3178"/>
      <c r="R127" s="3178"/>
      <c r="S127" s="3">
        <v>1</v>
      </c>
    </row>
    <row r="128" spans="1:19" s="2684" customFormat="1" ht="15.75" customHeight="1">
      <c r="A128" s="7061"/>
      <c r="B128" s="5767"/>
      <c r="C128" s="5768"/>
      <c r="D128" s="5768"/>
      <c r="E128" s="5769">
        <f>SUM(E122:E127)</f>
        <v>100</v>
      </c>
      <c r="F128" s="5770">
        <f>SUM(F122:F127)</f>
        <v>1000</v>
      </c>
      <c r="G128" s="3178"/>
      <c r="H128" s="3178"/>
      <c r="I128" s="7061"/>
      <c r="J128" s="7671" t="s">
        <v>9546</v>
      </c>
      <c r="K128" s="7672"/>
      <c r="L128" s="7672"/>
      <c r="M128" s="7672"/>
      <c r="N128" s="7672"/>
      <c r="O128" s="7672"/>
      <c r="P128" s="7673"/>
      <c r="Q128" s="3178"/>
      <c r="R128" s="3178"/>
      <c r="S128" s="3">
        <v>1</v>
      </c>
    </row>
    <row r="129" spans="1:19" s="2684" customFormat="1" ht="15.75" customHeight="1">
      <c r="A129" s="7061"/>
      <c r="B129" s="7037" t="s">
        <v>9546</v>
      </c>
      <c r="C129" s="7038"/>
      <c r="D129" s="7038"/>
      <c r="E129" s="7038"/>
      <c r="F129" s="7039"/>
      <c r="G129" s="3178"/>
      <c r="H129" s="3178"/>
      <c r="I129" s="7061"/>
      <c r="J129" s="3434"/>
      <c r="K129" s="193" t="s">
        <v>9548</v>
      </c>
      <c r="L129" s="2707"/>
      <c r="M129" s="3435" t="s">
        <v>9549</v>
      </c>
      <c r="N129" s="2679"/>
      <c r="O129" s="2679"/>
      <c r="P129" s="2680"/>
      <c r="Q129" s="3178"/>
      <c r="R129" s="3178"/>
      <c r="S129" s="3">
        <v>1</v>
      </c>
    </row>
    <row r="130" spans="1:19" s="2684" customFormat="1" ht="15.75" customHeight="1" thickBot="1">
      <c r="A130" s="7061"/>
      <c r="B130" s="3436" t="s">
        <v>2629</v>
      </c>
      <c r="C130" s="2707" t="s">
        <v>10607</v>
      </c>
      <c r="D130" s="2707"/>
      <c r="E130" s="3386"/>
      <c r="F130" s="2736"/>
      <c r="G130" s="3178"/>
      <c r="H130" s="3178"/>
      <c r="I130" s="7061"/>
      <c r="J130" s="3082"/>
      <c r="K130" s="3084" t="s">
        <v>9551</v>
      </c>
      <c r="L130" s="3084"/>
      <c r="M130" s="3084" t="s">
        <v>9552</v>
      </c>
      <c r="N130" s="3437"/>
      <c r="O130" s="3084" t="s">
        <v>9532</v>
      </c>
      <c r="P130" s="3438"/>
      <c r="Q130" s="3178"/>
      <c r="R130" s="3178"/>
      <c r="S130" s="3">
        <v>1</v>
      </c>
    </row>
    <row r="131" spans="1:19" s="2684" customFormat="1" ht="15.75" customHeight="1">
      <c r="A131" s="7061"/>
      <c r="B131" s="3436" t="s">
        <v>16</v>
      </c>
      <c r="C131" s="2707" t="s">
        <v>10608</v>
      </c>
      <c r="D131" s="2707"/>
      <c r="E131" s="2707"/>
      <c r="F131" s="2736"/>
      <c r="G131" s="3178"/>
      <c r="H131" s="3178"/>
      <c r="I131" s="3178"/>
      <c r="J131" s="3178"/>
      <c r="K131" s="3178"/>
      <c r="L131" s="3178"/>
      <c r="M131" s="3178"/>
      <c r="N131" s="3178"/>
      <c r="O131" s="3178"/>
      <c r="P131" s="3178"/>
      <c r="Q131" s="3178"/>
      <c r="R131" s="3178"/>
      <c r="S131" s="3">
        <v>1</v>
      </c>
    </row>
    <row r="132" spans="1:19" s="2684" customFormat="1" ht="15.75" customHeight="1" thickBot="1">
      <c r="A132" s="7061"/>
      <c r="B132" s="3439" t="s">
        <v>2630</v>
      </c>
      <c r="C132" s="3440" t="s">
        <v>10609</v>
      </c>
      <c r="D132" s="3440"/>
      <c r="E132" s="3441"/>
      <c r="F132" s="3442"/>
      <c r="G132" s="3178"/>
      <c r="H132" s="3178"/>
      <c r="I132" s="3178"/>
      <c r="J132" s="3178"/>
      <c r="K132" s="3178"/>
      <c r="L132" s="3178"/>
      <c r="M132" s="3178"/>
      <c r="N132" s="3178"/>
      <c r="O132" s="3178"/>
      <c r="P132" s="3178"/>
      <c r="Q132" s="3178"/>
      <c r="R132" s="3178"/>
      <c r="S132" s="3">
        <v>1</v>
      </c>
    </row>
    <row r="133" spans="1:19" s="2684" customFormat="1" ht="18.75" customHeight="1">
      <c r="A133" s="7061"/>
      <c r="B133" s="3443"/>
      <c r="C133" s="3444" t="s">
        <v>9548</v>
      </c>
      <c r="D133" s="3444"/>
      <c r="E133" s="3445" t="s">
        <v>9552</v>
      </c>
      <c r="F133" s="3446"/>
      <c r="G133" s="3178"/>
      <c r="H133" s="3178"/>
      <c r="I133" s="3178"/>
      <c r="J133" s="3178"/>
      <c r="K133" s="3178"/>
      <c r="L133" s="3178"/>
      <c r="M133" s="3178"/>
      <c r="N133" s="3178"/>
      <c r="O133" s="3178"/>
      <c r="P133" s="3178"/>
      <c r="Q133" s="3178"/>
      <c r="R133" s="3178"/>
      <c r="S133" s="3">
        <v>1</v>
      </c>
    </row>
    <row r="134" spans="1:19" s="2684" customFormat="1" ht="16.5" customHeight="1" thickBot="1">
      <c r="A134" s="7061"/>
      <c r="B134" s="3082"/>
      <c r="C134" s="3447" t="s">
        <v>9549</v>
      </c>
      <c r="D134" s="3448"/>
      <c r="E134" s="3084"/>
      <c r="F134" s="3438"/>
      <c r="G134" s="3178"/>
      <c r="H134" s="3178"/>
      <c r="I134" s="3178"/>
      <c r="J134" s="3178"/>
      <c r="K134" s="3178"/>
      <c r="L134" s="3178"/>
      <c r="M134" s="3178"/>
      <c r="N134" s="3178"/>
      <c r="O134" s="3178"/>
      <c r="P134" s="3178"/>
      <c r="Q134" s="3178"/>
      <c r="R134" s="3178"/>
      <c r="S134" s="3">
        <v>1</v>
      </c>
    </row>
    <row r="135" spans="1:19" s="2684" customFormat="1">
      <c r="A135" s="3384"/>
      <c r="B135" s="3384"/>
      <c r="C135" s="2707"/>
      <c r="D135" s="2707"/>
      <c r="E135" s="2707"/>
      <c r="F135" s="2279"/>
      <c r="G135" s="3178"/>
      <c r="H135" s="3178"/>
      <c r="I135" s="3178"/>
      <c r="J135" s="3178"/>
      <c r="K135" s="3178"/>
      <c r="L135" s="3178"/>
      <c r="M135" s="3178"/>
      <c r="N135" s="3178"/>
      <c r="O135" s="3178"/>
      <c r="P135" s="3178"/>
      <c r="Q135" s="3178"/>
      <c r="R135" s="3178"/>
      <c r="S135" s="3">
        <v>1</v>
      </c>
    </row>
    <row r="136" spans="1:19" s="2684" customFormat="1" ht="33.75">
      <c r="A136" s="2682">
        <f>(ROW())</f>
        <v>136</v>
      </c>
      <c r="B136" s="7660" t="s">
        <v>10610</v>
      </c>
      <c r="C136" s="7660"/>
      <c r="D136" s="7660"/>
      <c r="E136" s="7660"/>
      <c r="F136" s="7660"/>
      <c r="G136" s="7660"/>
      <c r="H136" s="7660"/>
      <c r="I136" s="7660"/>
      <c r="J136" s="7660"/>
      <c r="K136" s="7660"/>
      <c r="L136" s="7660"/>
      <c r="M136" s="7660"/>
      <c r="N136" s="7660"/>
      <c r="O136" s="7660"/>
      <c r="P136" s="7660"/>
      <c r="Q136" s="7660"/>
      <c r="R136" s="5616"/>
      <c r="S136" s="3">
        <v>1</v>
      </c>
    </row>
    <row r="137" spans="1:19" s="2684" customFormat="1">
      <c r="A137" s="2707"/>
      <c r="B137" s="3384"/>
      <c r="C137" s="2707"/>
      <c r="D137" s="2707"/>
      <c r="E137" s="2707"/>
      <c r="F137" s="2279"/>
      <c r="G137" s="2279"/>
      <c r="H137" s="2618"/>
      <c r="I137" s="3359"/>
      <c r="J137" s="3386"/>
      <c r="K137" s="3386"/>
      <c r="L137" s="3386"/>
      <c r="M137" s="3386"/>
      <c r="N137" s="3386"/>
      <c r="O137" s="2707"/>
      <c r="P137" s="2707"/>
      <c r="Q137" s="3178"/>
      <c r="R137" s="3178"/>
      <c r="S137" s="3">
        <v>1</v>
      </c>
    </row>
    <row r="138" spans="1:19" s="2684" customFormat="1" ht="18.75">
      <c r="A138" s="3449" t="s">
        <v>2629</v>
      </c>
      <c r="B138" s="2722" t="s">
        <v>10611</v>
      </c>
      <c r="C138" s="3422"/>
      <c r="D138" s="3422"/>
      <c r="E138" s="3422"/>
      <c r="F138" s="3450"/>
      <c r="G138" s="3450"/>
      <c r="H138" s="3451"/>
      <c r="I138" s="3452"/>
      <c r="J138" s="3422"/>
      <c r="K138" s="3422"/>
      <c r="L138" s="3453"/>
      <c r="M138" s="3454"/>
      <c r="N138" s="3455"/>
      <c r="O138" s="2707"/>
      <c r="P138" s="2707"/>
      <c r="Q138" s="3178"/>
      <c r="R138" s="3178"/>
      <c r="S138" s="3">
        <v>1</v>
      </c>
    </row>
    <row r="139" spans="1:19" s="2684" customFormat="1" ht="18.75">
      <c r="A139" s="3422"/>
      <c r="B139" s="7659" t="s">
        <v>10612</v>
      </c>
      <c r="C139" s="7659"/>
      <c r="D139" s="7659"/>
      <c r="E139" s="7659"/>
      <c r="F139" s="7659"/>
      <c r="G139" s="7659"/>
      <c r="H139" s="3451"/>
      <c r="I139" s="3456" t="s">
        <v>2634</v>
      </c>
      <c r="J139" s="3457" t="s">
        <v>10613</v>
      </c>
      <c r="K139" s="3422"/>
      <c r="L139" s="3453"/>
      <c r="M139" s="3452"/>
      <c r="N139" s="3359"/>
      <c r="O139" s="2707"/>
      <c r="P139" s="2707"/>
      <c r="Q139" s="3178"/>
      <c r="R139" s="3178"/>
      <c r="S139" s="3">
        <v>1</v>
      </c>
    </row>
    <row r="140" spans="1:19" s="2684" customFormat="1" ht="18.75">
      <c r="A140" s="3422"/>
      <c r="B140" s="3422"/>
      <c r="C140" s="3422"/>
      <c r="D140" s="3422"/>
      <c r="E140" s="3422"/>
      <c r="F140" s="3450"/>
      <c r="G140" s="3450"/>
      <c r="H140" s="3451"/>
      <c r="I140" s="3452"/>
      <c r="J140" s="3458" t="s">
        <v>10614</v>
      </c>
      <c r="K140" s="3422"/>
      <c r="L140" s="3453"/>
      <c r="M140" s="3452"/>
      <c r="N140" s="3359"/>
      <c r="O140" s="2707"/>
      <c r="P140" s="2707"/>
      <c r="Q140" s="3178"/>
      <c r="R140" s="3178"/>
      <c r="S140" s="3">
        <v>1</v>
      </c>
    </row>
    <row r="141" spans="1:19" s="2684" customFormat="1" ht="18.75">
      <c r="A141" s="3449" t="s">
        <v>16</v>
      </c>
      <c r="B141" s="3422" t="s">
        <v>10615</v>
      </c>
      <c r="C141" s="3422"/>
      <c r="D141" s="3422"/>
      <c r="E141" s="3422"/>
      <c r="F141" s="3450"/>
      <c r="G141" s="3450"/>
      <c r="H141" s="3451"/>
      <c r="I141" s="3452"/>
      <c r="J141" s="3422"/>
      <c r="K141" s="3422"/>
      <c r="L141" s="3453"/>
      <c r="M141" s="3452"/>
      <c r="N141" s="3359"/>
      <c r="O141" s="2707"/>
      <c r="P141" s="2707"/>
      <c r="Q141" s="3178"/>
      <c r="R141" s="3178"/>
      <c r="S141" s="3">
        <v>1</v>
      </c>
    </row>
    <row r="142" spans="1:19" s="2684" customFormat="1" ht="18.75">
      <c r="A142" s="3422"/>
      <c r="B142" s="3422" t="s">
        <v>10616</v>
      </c>
      <c r="C142" s="3422"/>
      <c r="D142" s="3422"/>
      <c r="E142" s="3422"/>
      <c r="F142" s="3450"/>
      <c r="G142" s="3450"/>
      <c r="H142" s="3451"/>
      <c r="I142" s="3456" t="s">
        <v>2635</v>
      </c>
      <c r="J142" s="3457" t="s">
        <v>10617</v>
      </c>
      <c r="K142" s="3422"/>
      <c r="L142" s="3453"/>
      <c r="M142" s="3452"/>
      <c r="N142" s="3359"/>
      <c r="O142" s="2707"/>
      <c r="P142" s="2707"/>
      <c r="Q142" s="3178"/>
      <c r="R142" s="3178"/>
      <c r="S142" s="3">
        <v>1</v>
      </c>
    </row>
    <row r="143" spans="1:19" s="2684" customFormat="1" ht="18.75">
      <c r="A143" s="3422"/>
      <c r="B143" s="3422" t="s">
        <v>10618</v>
      </c>
      <c r="C143" s="3422"/>
      <c r="D143" s="3422"/>
      <c r="E143" s="3422"/>
      <c r="F143" s="3450"/>
      <c r="G143" s="3450"/>
      <c r="H143" s="3451"/>
      <c r="I143" s="3452"/>
      <c r="J143" s="3422" t="s">
        <v>10619</v>
      </c>
      <c r="K143" s="3422"/>
      <c r="L143" s="3453"/>
      <c r="M143" s="3452"/>
      <c r="N143" s="3359"/>
      <c r="O143" s="2707"/>
      <c r="P143" s="2707"/>
      <c r="Q143" s="3178"/>
      <c r="R143" s="3178"/>
      <c r="S143" s="3">
        <v>1</v>
      </c>
    </row>
    <row r="144" spans="1:19" s="2684" customFormat="1" ht="18.75">
      <c r="A144" s="3422"/>
      <c r="B144" s="3422" t="s">
        <v>10620</v>
      </c>
      <c r="C144" s="3422"/>
      <c r="D144" s="3422"/>
      <c r="E144" s="3422"/>
      <c r="F144" s="3450"/>
      <c r="G144" s="3450"/>
      <c r="H144" s="3451"/>
      <c r="I144" s="3452"/>
      <c r="J144" s="3422" t="s">
        <v>10621</v>
      </c>
      <c r="K144" s="3422"/>
      <c r="L144" s="3453"/>
      <c r="M144" s="3452"/>
      <c r="N144" s="3359"/>
      <c r="O144" s="2707"/>
      <c r="P144" s="2707"/>
      <c r="Q144" s="3178"/>
      <c r="R144" s="3178"/>
      <c r="S144" s="3">
        <v>1</v>
      </c>
    </row>
    <row r="145" spans="1:19" s="2684" customFormat="1" ht="18.75">
      <c r="A145" s="3422"/>
      <c r="B145" s="7659" t="s">
        <v>10622</v>
      </c>
      <c r="C145" s="7659"/>
      <c r="D145" s="7659"/>
      <c r="E145" s="7659"/>
      <c r="F145" s="3450"/>
      <c r="G145" s="3450"/>
      <c r="H145" s="3451"/>
      <c r="I145" s="3452"/>
      <c r="J145" s="3422" t="s">
        <v>10623</v>
      </c>
      <c r="K145" s="3422"/>
      <c r="L145" s="3453"/>
      <c r="M145" s="3452"/>
      <c r="N145" s="3359"/>
      <c r="O145" s="2707"/>
      <c r="P145" s="2707"/>
      <c r="Q145" s="3178"/>
      <c r="R145" s="3178"/>
      <c r="S145" s="3">
        <v>1</v>
      </c>
    </row>
    <row r="146" spans="1:19" s="2684" customFormat="1" ht="18.75">
      <c r="A146" s="3422"/>
      <c r="B146" s="3422"/>
      <c r="C146" s="3422"/>
      <c r="D146" s="3422"/>
      <c r="E146" s="3422"/>
      <c r="F146" s="3450"/>
      <c r="G146" s="3450"/>
      <c r="H146" s="3451"/>
      <c r="I146" s="3452"/>
      <c r="J146" s="3458" t="s">
        <v>10624</v>
      </c>
      <c r="K146" s="3422"/>
      <c r="L146" s="3453"/>
      <c r="M146" s="3452"/>
      <c r="N146" s="3359"/>
      <c r="O146" s="2707"/>
      <c r="P146" s="2707"/>
      <c r="Q146" s="3178"/>
      <c r="R146" s="3178"/>
      <c r="S146" s="3">
        <v>1</v>
      </c>
    </row>
    <row r="147" spans="1:19" s="2684" customFormat="1" ht="18.75">
      <c r="A147" s="3449" t="s">
        <v>2630</v>
      </c>
      <c r="B147" s="3457" t="s">
        <v>10625</v>
      </c>
      <c r="C147" s="3422"/>
      <c r="D147" s="3422"/>
      <c r="E147" s="3422"/>
      <c r="F147" s="3450"/>
      <c r="G147" s="3450"/>
      <c r="H147" s="3451"/>
      <c r="I147" s="3452"/>
      <c r="J147" s="3458" t="s">
        <v>10626</v>
      </c>
      <c r="K147" s="3422"/>
      <c r="L147" s="3453"/>
      <c r="M147" s="3452"/>
      <c r="N147" s="3359"/>
      <c r="O147" s="2707"/>
      <c r="P147" s="2707"/>
      <c r="Q147" s="3178"/>
      <c r="R147" s="3178"/>
      <c r="S147" s="3">
        <v>1</v>
      </c>
    </row>
    <row r="148" spans="1:19" s="2684" customFormat="1" ht="18.75">
      <c r="A148" s="3422"/>
      <c r="B148" s="7659" t="s">
        <v>10627</v>
      </c>
      <c r="C148" s="7659"/>
      <c r="D148" s="7659"/>
      <c r="E148" s="7659"/>
      <c r="F148" s="7659"/>
      <c r="G148" s="3450"/>
      <c r="H148" s="3451"/>
      <c r="I148" s="3452"/>
      <c r="J148" s="3422"/>
      <c r="K148" s="3422"/>
      <c r="L148" s="3453"/>
      <c r="M148" s="3452"/>
      <c r="N148" s="3359"/>
      <c r="O148" s="2707"/>
      <c r="P148" s="2707"/>
      <c r="Q148" s="3178"/>
      <c r="R148" s="3178"/>
      <c r="S148" s="3">
        <v>1</v>
      </c>
    </row>
    <row r="149" spans="1:19" s="2684" customFormat="1" ht="18.75">
      <c r="A149" s="3422"/>
      <c r="B149" s="3422"/>
      <c r="C149" s="3422"/>
      <c r="D149" s="3422"/>
      <c r="E149" s="3422"/>
      <c r="F149" s="3450"/>
      <c r="G149" s="3450"/>
      <c r="H149" s="3451"/>
      <c r="I149" s="3456" t="s">
        <v>453</v>
      </c>
      <c r="J149" s="3457" t="s">
        <v>10628</v>
      </c>
      <c r="K149" s="3422"/>
      <c r="L149" s="3453"/>
      <c r="M149" s="3452"/>
      <c r="N149" s="3359"/>
      <c r="O149" s="2707"/>
      <c r="P149" s="2707"/>
      <c r="Q149" s="3178"/>
      <c r="R149" s="3178"/>
      <c r="S149" s="3">
        <v>1</v>
      </c>
    </row>
    <row r="150" spans="1:19" s="2684" customFormat="1" ht="18.75">
      <c r="A150" s="3422"/>
      <c r="B150" s="3422"/>
      <c r="C150" s="3422"/>
      <c r="D150" s="3422"/>
      <c r="E150" s="3422"/>
      <c r="F150" s="3450"/>
      <c r="G150" s="3450"/>
      <c r="H150" s="3451"/>
      <c r="I150" s="3452"/>
      <c r="J150" s="3458" t="s">
        <v>10629</v>
      </c>
      <c r="K150" s="3422"/>
      <c r="L150" s="3453"/>
      <c r="M150" s="3452"/>
      <c r="N150" s="3359"/>
      <c r="O150" s="2707"/>
      <c r="P150" s="2707"/>
      <c r="Q150" s="3178"/>
      <c r="R150" s="3178"/>
      <c r="S150" s="3">
        <v>1</v>
      </c>
    </row>
    <row r="151" spans="1:19" s="2684" customFormat="1" ht="18.75">
      <c r="A151" s="3449" t="s">
        <v>2631</v>
      </c>
      <c r="B151" s="3457" t="s">
        <v>10630</v>
      </c>
      <c r="C151" s="3422"/>
      <c r="D151" s="3422"/>
      <c r="E151" s="3422"/>
      <c r="F151" s="3450"/>
      <c r="G151" s="3450"/>
      <c r="H151" s="3451"/>
      <c r="I151" s="3452"/>
      <c r="J151" s="3422"/>
      <c r="K151" s="3422"/>
      <c r="L151" s="3453"/>
      <c r="M151" s="3452"/>
      <c r="N151" s="3359"/>
      <c r="O151" s="2707"/>
      <c r="P151" s="2707"/>
      <c r="Q151" s="3178"/>
      <c r="R151" s="3178"/>
      <c r="S151" s="3">
        <v>1</v>
      </c>
    </row>
    <row r="152" spans="1:19" s="2684" customFormat="1" ht="18.75">
      <c r="A152" s="3422"/>
      <c r="B152" s="7661" t="s">
        <v>10631</v>
      </c>
      <c r="C152" s="7661"/>
      <c r="D152" s="7661"/>
      <c r="E152" s="7661"/>
      <c r="F152" s="7661"/>
      <c r="G152" s="7661"/>
      <c r="H152" s="3451"/>
      <c r="I152" s="3456" t="s">
        <v>2636</v>
      </c>
      <c r="J152" s="3457" t="s">
        <v>10632</v>
      </c>
      <c r="K152" s="3422"/>
      <c r="L152" s="3453"/>
      <c r="M152" s="3452"/>
      <c r="N152" s="3359"/>
      <c r="O152" s="2707"/>
      <c r="P152" s="2707"/>
      <c r="Q152" s="3178"/>
      <c r="R152" s="3178"/>
      <c r="S152" s="3">
        <v>1</v>
      </c>
    </row>
    <row r="153" spans="1:19" s="2684" customFormat="1" ht="18.75">
      <c r="A153" s="3422"/>
      <c r="B153" s="7659" t="s">
        <v>10633</v>
      </c>
      <c r="C153" s="7659"/>
      <c r="D153" s="7659"/>
      <c r="E153" s="7659"/>
      <c r="F153" s="7659"/>
      <c r="G153" s="7659"/>
      <c r="H153" s="3451"/>
      <c r="I153" s="3452"/>
      <c r="J153" t="s">
        <v>10634</v>
      </c>
      <c r="K153" s="3422"/>
      <c r="L153" s="3453"/>
      <c r="M153" s="3452"/>
      <c r="N153" s="3359"/>
      <c r="O153" s="2707"/>
      <c r="P153" s="2707"/>
      <c r="Q153" s="3178"/>
      <c r="R153" s="3178"/>
      <c r="S153" s="3">
        <v>1</v>
      </c>
    </row>
    <row r="154" spans="1:19" s="2684" customFormat="1" ht="18.75">
      <c r="A154" s="3422"/>
      <c r="B154" s="3422"/>
      <c r="C154" s="3422"/>
      <c r="D154" s="3422"/>
      <c r="E154" s="3422"/>
      <c r="F154" s="3450"/>
      <c r="G154" s="3450"/>
      <c r="H154" s="3451"/>
      <c r="I154" s="3452"/>
      <c r="J154" s="3422"/>
      <c r="K154" s="3422"/>
      <c r="L154" s="3453"/>
      <c r="M154" s="3452"/>
      <c r="N154" s="3359"/>
      <c r="O154" s="2707"/>
      <c r="P154" s="2707"/>
      <c r="Q154" s="3178"/>
      <c r="R154" s="3178"/>
      <c r="S154" s="3">
        <v>1</v>
      </c>
    </row>
    <row r="155" spans="1:19" s="2684" customFormat="1" ht="18.75">
      <c r="A155" s="3449" t="s">
        <v>2632</v>
      </c>
      <c r="B155" s="3457" t="s">
        <v>10635</v>
      </c>
      <c r="C155" s="3422"/>
      <c r="D155" s="3422"/>
      <c r="E155" s="3422"/>
      <c r="F155" s="3450"/>
      <c r="G155" s="3450"/>
      <c r="H155" s="3451"/>
      <c r="I155" s="3456" t="s">
        <v>509</v>
      </c>
      <c r="J155" s="3457" t="s">
        <v>10636</v>
      </c>
      <c r="K155" s="3422"/>
      <c r="L155" s="3453"/>
      <c r="M155" s="3452"/>
      <c r="N155" s="3359"/>
      <c r="O155" s="2707"/>
      <c r="P155" s="2707"/>
      <c r="Q155" s="3178"/>
      <c r="R155" s="3178"/>
      <c r="S155" s="3">
        <v>1</v>
      </c>
    </row>
    <row r="156" spans="1:19" s="2684" customFormat="1" ht="18.75">
      <c r="A156" s="3422"/>
      <c r="B156" s="3422" t="s">
        <v>10637</v>
      </c>
      <c r="C156" s="3422"/>
      <c r="D156" s="3422"/>
      <c r="E156" s="3422"/>
      <c r="F156" s="3450"/>
      <c r="G156" s="3450"/>
      <c r="H156" s="3451"/>
      <c r="I156" s="3452"/>
      <c r="J156" s="3458" t="s">
        <v>10638</v>
      </c>
      <c r="K156" s="3422"/>
      <c r="L156" s="3453"/>
      <c r="M156" s="3452"/>
      <c r="N156" s="3359"/>
      <c r="O156" s="2707"/>
      <c r="P156" s="2707"/>
      <c r="Q156" s="3178"/>
      <c r="R156" s="3178"/>
      <c r="S156" s="3">
        <v>1</v>
      </c>
    </row>
    <row r="157" spans="1:19" s="2684" customFormat="1" ht="18.75">
      <c r="A157" s="3422"/>
      <c r="B157" s="3422" t="s">
        <v>10639</v>
      </c>
      <c r="C157" s="3422"/>
      <c r="D157" s="3422"/>
      <c r="E157" s="3422"/>
      <c r="F157" s="3450"/>
      <c r="G157" s="3450"/>
      <c r="H157" s="3451"/>
      <c r="I157" s="3452"/>
      <c r="J157" s="3422"/>
      <c r="K157" s="3422"/>
      <c r="L157" s="3453"/>
      <c r="M157" s="3452"/>
      <c r="N157" s="3359"/>
      <c r="O157" s="2707"/>
      <c r="P157" s="2707"/>
      <c r="Q157" s="3178"/>
      <c r="R157" s="3178"/>
      <c r="S157" s="3">
        <v>1</v>
      </c>
    </row>
    <row r="158" spans="1:19" s="2684" customFormat="1" ht="18.75">
      <c r="A158" s="3422"/>
      <c r="B158" s="3422" t="s">
        <v>10640</v>
      </c>
      <c r="C158" s="3422"/>
      <c r="D158" s="3422"/>
      <c r="E158" s="3422"/>
      <c r="F158" s="3450"/>
      <c r="G158" s="3450"/>
      <c r="H158" s="3451"/>
      <c r="I158" s="3456" t="s">
        <v>2649</v>
      </c>
      <c r="J158" s="3459" t="s">
        <v>10641</v>
      </c>
      <c r="K158" s="3422"/>
      <c r="L158" s="3453"/>
      <c r="M158" s="3452"/>
      <c r="N158" s="3359"/>
      <c r="O158" s="2707"/>
      <c r="P158" s="2707"/>
      <c r="Q158" s="3178"/>
      <c r="R158" s="3178"/>
      <c r="S158" s="3">
        <v>1</v>
      </c>
    </row>
    <row r="159" spans="1:19" s="2684" customFormat="1" ht="18.75">
      <c r="A159" s="3422"/>
      <c r="B159" s="7659" t="s">
        <v>10642</v>
      </c>
      <c r="C159" s="7659"/>
      <c r="D159" s="7659"/>
      <c r="E159" s="7659"/>
      <c r="F159" s="7659"/>
      <c r="G159" s="3450"/>
      <c r="H159" s="3451"/>
      <c r="I159" s="3452"/>
      <c r="J159" s="3458" t="s">
        <v>10643</v>
      </c>
      <c r="K159" s="3422"/>
      <c r="L159" s="3453"/>
      <c r="M159" s="3452"/>
      <c r="N159" s="3359"/>
      <c r="O159" s="2707"/>
      <c r="P159" s="2707"/>
      <c r="Q159" s="3178"/>
      <c r="R159" s="3178"/>
      <c r="S159" s="3">
        <v>1</v>
      </c>
    </row>
    <row r="160" spans="1:19" s="2684" customFormat="1" ht="18.75">
      <c r="A160" s="3422"/>
      <c r="B160" s="3422"/>
      <c r="C160" s="3422"/>
      <c r="D160" s="3422"/>
      <c r="E160" s="3422"/>
      <c r="F160" s="3450"/>
      <c r="G160" s="3450"/>
      <c r="H160" s="3451"/>
      <c r="I160" s="3452"/>
      <c r="J160" s="3458" t="s">
        <v>10644</v>
      </c>
      <c r="K160" s="3422"/>
      <c r="L160" s="3453"/>
      <c r="M160" s="3452"/>
      <c r="N160" s="3359"/>
      <c r="O160" s="2707"/>
      <c r="P160" s="2707"/>
      <c r="Q160" s="3178"/>
      <c r="R160" s="3178"/>
      <c r="S160" s="3">
        <v>1</v>
      </c>
    </row>
    <row r="161" spans="1:19" s="2684" customFormat="1" ht="18.75">
      <c r="A161" s="3422"/>
      <c r="B161" s="3422"/>
      <c r="C161" s="3422"/>
      <c r="D161" s="3422"/>
      <c r="E161" s="3422"/>
      <c r="F161" s="3450"/>
      <c r="G161" s="3450"/>
      <c r="H161" s="3451"/>
      <c r="I161" s="3452"/>
      <c r="J161" s="3458" t="s">
        <v>10645</v>
      </c>
      <c r="K161" s="3422"/>
      <c r="L161" s="3453"/>
      <c r="M161" s="3452"/>
      <c r="N161" s="3359"/>
      <c r="O161" s="2707"/>
      <c r="P161" s="2707"/>
      <c r="Q161" s="3178"/>
      <c r="R161" s="3178"/>
      <c r="S161" s="3">
        <v>1</v>
      </c>
    </row>
    <row r="162" spans="1:19" s="2684" customFormat="1" ht="18.75">
      <c r="A162" s="3449" t="s">
        <v>2633</v>
      </c>
      <c r="B162" s="3457" t="s">
        <v>10646</v>
      </c>
      <c r="C162" s="3422"/>
      <c r="D162" s="3422"/>
      <c r="E162" s="3422"/>
      <c r="F162" s="3450"/>
      <c r="G162" s="3450"/>
      <c r="H162" s="3451"/>
      <c r="I162" s="3452"/>
      <c r="J162" s="3422"/>
      <c r="K162" s="3422"/>
      <c r="L162" s="3453"/>
      <c r="M162" s="3452"/>
      <c r="N162" s="3359"/>
      <c r="O162" s="2707"/>
      <c r="P162" s="2707"/>
      <c r="Q162" s="3178"/>
      <c r="R162" s="3178"/>
      <c r="S162" s="3">
        <v>1</v>
      </c>
    </row>
    <row r="163" spans="1:19" s="2684" customFormat="1" ht="18.75">
      <c r="A163" s="3422"/>
      <c r="B163" s="7659" t="s">
        <v>10647</v>
      </c>
      <c r="C163" s="7659"/>
      <c r="D163" s="7659"/>
      <c r="E163" s="7659"/>
      <c r="F163" s="3450"/>
      <c r="G163" s="3450"/>
      <c r="H163" s="3451"/>
      <c r="I163" s="3456" t="s">
        <v>2650</v>
      </c>
      <c r="J163" s="3457" t="s">
        <v>10648</v>
      </c>
      <c r="K163" s="3422"/>
      <c r="L163" s="3453"/>
      <c r="M163" s="3452"/>
      <c r="N163" s="3359"/>
      <c r="O163" s="2707"/>
      <c r="P163" s="2707"/>
      <c r="Q163" s="3178"/>
      <c r="R163" s="3178"/>
      <c r="S163" s="3">
        <v>1</v>
      </c>
    </row>
    <row r="164" spans="1:19" s="2684" customFormat="1" ht="18.75">
      <c r="A164" s="3422"/>
      <c r="B164" s="3422"/>
      <c r="C164" s="3422"/>
      <c r="D164" s="3422"/>
      <c r="E164" s="3422"/>
      <c r="F164" s="3450"/>
      <c r="G164" s="3450"/>
      <c r="H164" s="3451"/>
      <c r="I164" s="3452"/>
      <c r="J164" s="3460" t="s">
        <v>10649</v>
      </c>
      <c r="K164" s="3422"/>
      <c r="L164" s="3453"/>
      <c r="M164" s="3452"/>
      <c r="N164" s="3359"/>
      <c r="O164" s="2707"/>
      <c r="P164" s="2707"/>
      <c r="Q164" s="3178"/>
      <c r="R164" s="3178"/>
      <c r="S164" s="3329" t="s">
        <v>793</v>
      </c>
    </row>
    <row r="165" spans="1:19">
      <c r="A165" s="3">
        <v>1</v>
      </c>
      <c r="B165" s="3">
        <v>1</v>
      </c>
      <c r="C165" s="3">
        <v>1</v>
      </c>
      <c r="D165" s="3">
        <v>1</v>
      </c>
      <c r="E165" s="3">
        <v>1</v>
      </c>
      <c r="F165" s="3">
        <v>1</v>
      </c>
      <c r="G165" s="3">
        <v>1</v>
      </c>
      <c r="H165" s="3">
        <v>1</v>
      </c>
      <c r="I165" s="3">
        <v>1</v>
      </c>
      <c r="J165" s="3">
        <v>1</v>
      </c>
      <c r="K165" s="3">
        <v>1</v>
      </c>
      <c r="L165" s="3">
        <v>1</v>
      </c>
      <c r="M165" s="3">
        <v>1</v>
      </c>
      <c r="N165" s="3">
        <v>1</v>
      </c>
      <c r="O165" s="3">
        <v>1</v>
      </c>
      <c r="P165" s="3">
        <v>1</v>
      </c>
      <c r="Q165" s="3">
        <v>1</v>
      </c>
      <c r="R165" s="3">
        <v>1</v>
      </c>
      <c r="S165" s="1" t="str">
        <f>ADDRESS(ROW(),COLUMN(),4)</f>
        <v>S165</v>
      </c>
    </row>
  </sheetData>
  <mergeCells count="79">
    <mergeCell ref="B4:Q4"/>
    <mergeCell ref="B6:Q7"/>
    <mergeCell ref="A23:A33"/>
    <mergeCell ref="B33:J33"/>
    <mergeCell ref="A38:A47"/>
    <mergeCell ref="J38:J47"/>
    <mergeCell ref="B47:G47"/>
    <mergeCell ref="K47:P47"/>
    <mergeCell ref="B51:C52"/>
    <mergeCell ref="K51:L52"/>
    <mergeCell ref="A52:A57"/>
    <mergeCell ref="J52:J57"/>
    <mergeCell ref="B59:C59"/>
    <mergeCell ref="K59:L60"/>
    <mergeCell ref="A60:A76"/>
    <mergeCell ref="B60:C60"/>
    <mergeCell ref="J60:J69"/>
    <mergeCell ref="K62:L62"/>
    <mergeCell ref="C105:H105"/>
    <mergeCell ref="K63:L63"/>
    <mergeCell ref="B67:C67"/>
    <mergeCell ref="K67:L67"/>
    <mergeCell ref="B68:C68"/>
    <mergeCell ref="K68:L68"/>
    <mergeCell ref="B70:C70"/>
    <mergeCell ref="B75:C75"/>
    <mergeCell ref="B78:Q78"/>
    <mergeCell ref="B102:F102"/>
    <mergeCell ref="C103:H103"/>
    <mergeCell ref="C104:G104"/>
    <mergeCell ref="A111:A134"/>
    <mergeCell ref="I111:I130"/>
    <mergeCell ref="B112:B113"/>
    <mergeCell ref="C112:F113"/>
    <mergeCell ref="J112:J113"/>
    <mergeCell ref="B116:B118"/>
    <mergeCell ref="C116:D118"/>
    <mergeCell ref="E116:E118"/>
    <mergeCell ref="F116:F118"/>
    <mergeCell ref="B119:B121"/>
    <mergeCell ref="C119:D121"/>
    <mergeCell ref="E119:E121"/>
    <mergeCell ref="F119:F121"/>
    <mergeCell ref="B129:F129"/>
    <mergeCell ref="B122:B123"/>
    <mergeCell ref="C122:D123"/>
    <mergeCell ref="C106:H106"/>
    <mergeCell ref="C107:H107"/>
    <mergeCell ref="C108:H108"/>
    <mergeCell ref="B110:F110"/>
    <mergeCell ref="J110:P110"/>
    <mergeCell ref="K112:P113"/>
    <mergeCell ref="B114:D115"/>
    <mergeCell ref="E114:E115"/>
    <mergeCell ref="F114:F115"/>
    <mergeCell ref="J114:J115"/>
    <mergeCell ref="K114:K115"/>
    <mergeCell ref="L114:O115"/>
    <mergeCell ref="P114:P115"/>
    <mergeCell ref="E122:E123"/>
    <mergeCell ref="F122:F123"/>
    <mergeCell ref="B124:B125"/>
    <mergeCell ref="C124:C125"/>
    <mergeCell ref="D124:D125"/>
    <mergeCell ref="E124:E125"/>
    <mergeCell ref="F124:F125"/>
    <mergeCell ref="B126:B127"/>
    <mergeCell ref="C126:D127"/>
    <mergeCell ref="E126:E127"/>
    <mergeCell ref="F126:F127"/>
    <mergeCell ref="J128:P128"/>
    <mergeCell ref="B159:F159"/>
    <mergeCell ref="B163:E163"/>
    <mergeCell ref="B136:Q136"/>
    <mergeCell ref="B139:G139"/>
    <mergeCell ref="B145:E145"/>
    <mergeCell ref="B148:F148"/>
    <mergeCell ref="B152:G152"/>
    <mergeCell ref="B153:G153"/>
  </mergeCells>
  <conditionalFormatting sqref="A6">
    <cfRule type="expression" dxfId="21" priority="1" stopIfTrue="1">
      <formula>OR(ROW()=CELL("ligne"),COLUMN()=CELL("colonne"))</formula>
    </cfRule>
  </conditionalFormatting>
  <hyperlinks>
    <hyperlink ref="B139" r:id="rId1" xr:uid="{1BF38DB5-4905-423D-98A7-B2E541D84436}"/>
    <hyperlink ref="B145" r:id="rId2" xr:uid="{64ACDF38-9D95-4FB3-B45E-44C0514DC84B}"/>
    <hyperlink ref="B153" r:id="rId3" xr:uid="{F3E54F6F-1F5C-4F13-A648-416DBF700053}"/>
    <hyperlink ref="B159" r:id="rId4" xr:uid="{66A7DC0A-3DE3-4AB5-8E70-806A25C7D746}"/>
    <hyperlink ref="B163" r:id="rId5" xr:uid="{64121F6B-14D8-492F-B17B-1985699B73CC}"/>
    <hyperlink ref="B148" r:id="rId6" xr:uid="{51CFB460-6DDB-4C88-9826-414D2F4F0524}"/>
    <hyperlink ref="J146" r:id="rId7" xr:uid="{B6D171F2-0CB2-4001-BB25-536F2F4A1BD7}"/>
    <hyperlink ref="J147" r:id="rId8" xr:uid="{37FE9CE9-7601-4F77-86E8-86FB2A3845C3}"/>
    <hyperlink ref="J140" r:id="rId9" xr:uid="{D5CCDFE3-D91E-48E3-A7C4-3FB6CDFD7A7B}"/>
    <hyperlink ref="J159" r:id="rId10" xr:uid="{F67439D3-9525-413E-94A5-5D1A5BA51B9E}"/>
    <hyperlink ref="J150" r:id="rId11" xr:uid="{191796DF-69C7-4F68-8DEB-7399C0045929}"/>
    <hyperlink ref="J164" r:id="rId12" xr:uid="{6FAB2077-FFD7-4438-AC50-4D7374BA7AE3}"/>
    <hyperlink ref="J160" r:id="rId13" xr:uid="{6DEB26DC-C6AE-441E-B92D-8F7035373AA9}"/>
    <hyperlink ref="J161" r:id="rId14" xr:uid="{8C25E679-581B-4747-B8F1-85246E6A85FB}"/>
    <hyperlink ref="J156" r:id="rId15" xr:uid="{93E4C673-5E2B-4659-865B-830D90774767}"/>
    <hyperlink ref="B102" r:id="rId16" xr:uid="{DB8078DC-43E6-4D72-9E04-827BE20F71DF}"/>
    <hyperlink ref="C104" r:id="rId17" xr:uid="{0B89F8FE-58E0-4507-965C-858D97FCFA97}"/>
    <hyperlink ref="C106" r:id="rId18" xr:uid="{F2279264-3529-4354-AA9D-4BBE47A0878E}"/>
    <hyperlink ref="C107" r:id="rId19" xr:uid="{A4138623-6D2F-4FBC-BDCC-337615838A9D}"/>
    <hyperlink ref="C103" r:id="rId20" xr:uid="{110258F4-5B7A-4EAA-92E6-2D69A45BCD77}"/>
    <hyperlink ref="C108" r:id="rId21" xr:uid="{65211464-12ED-4400-9714-D8F76875F603}"/>
    <hyperlink ref="C105" r:id="rId22" xr:uid="{EB6DA1AF-DC7C-4378-B951-0C5A82965200}"/>
    <hyperlink ref="B92" r:id="rId23" xr:uid="{DCA8B003-EA5A-4774-84B2-BEEFFC1DE050}"/>
    <hyperlink ref="B93" r:id="rId24" xr:uid="{370592C9-CB88-4694-B4FC-DA333950AC40}"/>
    <hyperlink ref="B152:G152" r:id="rId25" display="http://calc.name/blog/comment-compter-le-pourcentage-de-tete-vite-et-facilement/" xr:uid="{123DFF46-ADF3-4008-A8A8-CB957A036CE2}"/>
    <hyperlink ref="C97" r:id="rId26" display="https://www.google.com/search?client=firefox-b-d&amp;sca_esv=564255901&amp;sxsrf=AB5stBihJ69cL1ng1vQDYXKmUFWjQYd6jQ:1694407722726&amp;q=dgccrf+Poids+brut+ou+poids+net+?+Ne+payer+pas+l%27emballage+!&amp;spell=1&amp;sa=X&amp;ved=2ahUKEwjRtKvT4KGBAxVJWqQEHb3mCrcQBSgAegQICBAB&amp;biw=1564&amp;bih=722&amp;dpr=1.2" xr:uid="{D8A4D872-03D6-44BA-BCAC-042F756804DA}"/>
  </hyperlinks>
  <pageMargins left="0.7" right="0.7" top="0.75" bottom="0.75" header="0.3" footer="0.3"/>
  <drawing r:id="rId2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35758-C607-4CB8-8D8C-BDB69B7C0EAB}">
  <dimension ref="A1:AS408"/>
  <sheetViews>
    <sheetView showZeros="0" zoomScaleNormal="100" workbookViewId="0">
      <selection activeCell="R7" sqref="R7"/>
    </sheetView>
  </sheetViews>
  <sheetFormatPr baseColWidth="10" defaultRowHeight="15"/>
  <cols>
    <col min="1" max="1" width="6.7109375" customWidth="1"/>
    <col min="2" max="2" width="11.7109375" style="633" customWidth="1"/>
    <col min="3" max="3" width="12.7109375" style="633" customWidth="1"/>
    <col min="4" max="4" width="4.5703125" style="633" customWidth="1"/>
    <col min="5" max="5" width="11.7109375" style="633" customWidth="1"/>
    <col min="6" max="6" width="12.5703125" style="633" customWidth="1"/>
    <col min="7" max="7" width="2.140625" style="633" customWidth="1"/>
    <col min="8" max="9" width="12.7109375" style="633" customWidth="1"/>
    <col min="10" max="10" width="5.140625" style="633" customWidth="1"/>
    <col min="11" max="19" width="12.7109375" style="633" customWidth="1"/>
    <col min="20" max="21" width="11.42578125" style="633"/>
    <col min="22" max="22" width="9.7109375" style="633" customWidth="1"/>
    <col min="23" max="23" width="23.7109375" style="633" customWidth="1"/>
    <col min="24" max="24" width="37.7109375" style="633" customWidth="1"/>
    <col min="25" max="27" width="8.7109375" style="633" customWidth="1"/>
    <col min="28" max="28" width="11.42578125" style="633"/>
    <col min="29" max="29" width="9.7109375" style="633" customWidth="1"/>
    <col min="30" max="30" width="23.7109375" style="633" customWidth="1"/>
    <col min="31" max="31" width="37.7109375" style="633" customWidth="1"/>
    <col min="32" max="34" width="8.7109375" style="633" customWidth="1"/>
    <col min="35" max="35" width="11.42578125" style="633"/>
    <col min="36" max="36" width="9.7109375" style="633" customWidth="1"/>
    <col min="37" max="37" width="23.7109375" style="633" customWidth="1"/>
    <col min="38" max="38" width="37.7109375" style="633" customWidth="1"/>
    <col min="39" max="41" width="8.7109375" style="633" customWidth="1"/>
    <col min="42" max="42" width="11.42578125" style="633"/>
    <col min="43" max="43" width="8.7109375" style="633" customWidth="1"/>
    <col min="44" max="44" width="11.42578125" style="627"/>
    <col min="45" max="45" width="43.5703125" style="627" customWidth="1"/>
  </cols>
  <sheetData>
    <row r="1" spans="1:45">
      <c r="A1" s="1" t="str">
        <f>ADDRESS(ROW(),COLUMN(),4)</f>
        <v>A1</v>
      </c>
      <c r="B1" s="657" t="str">
        <f>SUBSTITUTE(ADDRESS(1,COLUMN(),4),"1","")</f>
        <v>B</v>
      </c>
      <c r="C1" s="657" t="str">
        <f>SUBSTITUTE(ADDRESS(1,COLUMN(),4),"1","")</f>
        <v>C</v>
      </c>
      <c r="E1" s="657" t="str">
        <f>SUBSTITUTE(ADDRESS(1,COLUMN(),4),"1","")</f>
        <v>E</v>
      </c>
      <c r="F1" s="657" t="str">
        <f>SUBSTITUTE(ADDRESS(1,COLUMN(),4),"1","")</f>
        <v>F</v>
      </c>
      <c r="G1"/>
      <c r="H1" s="657" t="str">
        <f>SUBSTITUTE(ADDRESS(1,COLUMN(),4),"1","")</f>
        <v>H</v>
      </c>
      <c r="I1" s="657" t="str">
        <f>SUBSTITUTE(ADDRESS(1,COLUMN(),4),"1","")</f>
        <v>I</v>
      </c>
      <c r="J1"/>
      <c r="K1" s="657" t="str">
        <f t="shared" ref="K1:T1" si="0">SUBSTITUTE(ADDRESS(1,COLUMN(),4),"1","")</f>
        <v>K</v>
      </c>
      <c r="L1" s="657" t="str">
        <f t="shared" si="0"/>
        <v>L</v>
      </c>
      <c r="M1" s="657" t="str">
        <f t="shared" si="0"/>
        <v>M</v>
      </c>
      <c r="N1" s="657" t="str">
        <f t="shared" si="0"/>
        <v>N</v>
      </c>
      <c r="O1" s="657" t="str">
        <f t="shared" si="0"/>
        <v>O</v>
      </c>
      <c r="P1" s="657" t="str">
        <f t="shared" si="0"/>
        <v>P</v>
      </c>
      <c r="Q1" s="657" t="str">
        <f t="shared" si="0"/>
        <v>Q</v>
      </c>
      <c r="R1" s="657" t="str">
        <f t="shared" si="0"/>
        <v>R</v>
      </c>
      <c r="S1" s="657" t="str">
        <f t="shared" si="0"/>
        <v>S</v>
      </c>
      <c r="T1" s="657" t="str">
        <f t="shared" si="0"/>
        <v>T</v>
      </c>
      <c r="U1"/>
      <c r="V1" s="657" t="str">
        <f>SUBSTITUTE(ADDRESS(1,COLUMN(),4),"1","")</f>
        <v>V</v>
      </c>
      <c r="W1" s="657" t="str">
        <f>SUBSTITUTE(ADDRESS(1,COLUMN(),4),"1","")</f>
        <v>W</v>
      </c>
      <c r="X1" s="657" t="str">
        <f>SUBSTITUTE(ADDRESS(1,COLUMN(),4),"1","")</f>
        <v>X</v>
      </c>
      <c r="Y1" s="657" t="str">
        <f>SUBSTITUTE(ADDRESS(1,COLUMN(),4),"1","")</f>
        <v>Y</v>
      </c>
      <c r="Z1" s="657" t="str">
        <f>SUBSTITUTE(ADDRESS(1,COLUMN(),4),"1","")</f>
        <v>Z</v>
      </c>
      <c r="AA1"/>
      <c r="AB1"/>
      <c r="AC1" s="657" t="str">
        <f t="shared" ref="AC1:AH1" si="1">SUBSTITUTE(ADDRESS(1,COLUMN(),4),"1","")</f>
        <v>AC</v>
      </c>
      <c r="AD1" s="657" t="str">
        <f t="shared" si="1"/>
        <v>AD</v>
      </c>
      <c r="AE1" s="657" t="str">
        <f t="shared" si="1"/>
        <v>AE</v>
      </c>
      <c r="AF1" s="657" t="str">
        <f t="shared" si="1"/>
        <v>AF</v>
      </c>
      <c r="AG1" s="657" t="str">
        <f t="shared" si="1"/>
        <v>AG</v>
      </c>
      <c r="AH1" s="657" t="str">
        <f t="shared" si="1"/>
        <v>AH</v>
      </c>
      <c r="AI1"/>
      <c r="AJ1" s="657" t="str">
        <f t="shared" ref="AJ1:AO1" si="2">SUBSTITUTE(ADDRESS(1,COLUMN(),4),"1","")</f>
        <v>AJ</v>
      </c>
      <c r="AK1" s="657" t="str">
        <f t="shared" si="2"/>
        <v>AK</v>
      </c>
      <c r="AL1" s="657" t="str">
        <f t="shared" si="2"/>
        <v>AL</v>
      </c>
      <c r="AM1" s="657" t="str">
        <f t="shared" si="2"/>
        <v>AM</v>
      </c>
      <c r="AN1" s="657" t="str">
        <f t="shared" si="2"/>
        <v>AN</v>
      </c>
      <c r="AO1" s="657" t="str">
        <f t="shared" si="2"/>
        <v>AO</v>
      </c>
      <c r="AP1"/>
      <c r="AQ1" s="3">
        <v>1</v>
      </c>
      <c r="AR1" s="657" t="str">
        <f>SUBSTITUTE(ADDRESS(1,COLUMN(),4),"1","")</f>
        <v>AR</v>
      </c>
      <c r="AS1" s="658" t="str">
        <f>SUBSTITUTE(ADDRESS(1,COLUMN(),4),"1","")</f>
        <v>AS</v>
      </c>
    </row>
    <row r="2" spans="1:45">
      <c r="A2" s="659"/>
      <c r="B2" s="632">
        <f ca="1">CELL("largeur",B2)</f>
        <v>11</v>
      </c>
      <c r="C2" s="632">
        <f ca="1">CELL("largeur",C2)</f>
        <v>12</v>
      </c>
      <c r="E2" s="632">
        <f ca="1">CELL("largeur",E2)</f>
        <v>11</v>
      </c>
      <c r="F2" s="632">
        <f ca="1">CELL("largeur",F2)</f>
        <v>12</v>
      </c>
      <c r="G2"/>
      <c r="H2" s="632">
        <f ca="1">CELL("largeur",H2)</f>
        <v>12</v>
      </c>
      <c r="I2" s="632">
        <f ca="1">CELL("largeur",I2)</f>
        <v>12</v>
      </c>
      <c r="J2"/>
      <c r="K2" s="632">
        <f t="shared" ref="K2:T2" ca="1" si="3">CELL("largeur",K2)</f>
        <v>12</v>
      </c>
      <c r="L2" s="632">
        <f t="shared" ca="1" si="3"/>
        <v>12</v>
      </c>
      <c r="M2" s="632">
        <f t="shared" ca="1" si="3"/>
        <v>12</v>
      </c>
      <c r="N2" s="632">
        <f t="shared" ca="1" si="3"/>
        <v>12</v>
      </c>
      <c r="O2" s="632">
        <f t="shared" ca="1" si="3"/>
        <v>12</v>
      </c>
      <c r="P2" s="632">
        <f t="shared" ca="1" si="3"/>
        <v>12</v>
      </c>
      <c r="Q2" s="632">
        <f t="shared" ca="1" si="3"/>
        <v>12</v>
      </c>
      <c r="R2" s="632">
        <f t="shared" ca="1" si="3"/>
        <v>12</v>
      </c>
      <c r="S2" s="632">
        <f t="shared" ca="1" si="3"/>
        <v>12</v>
      </c>
      <c r="T2" s="632">
        <f t="shared" ca="1" si="3"/>
        <v>11</v>
      </c>
      <c r="U2"/>
      <c r="V2" s="632">
        <f ca="1">CELL("largeur",V2)</f>
        <v>9</v>
      </c>
      <c r="W2" s="632">
        <f ca="1">CELL("largeur",W2)</f>
        <v>23</v>
      </c>
      <c r="X2" s="632">
        <f ca="1">CELL("largeur",X2)</f>
        <v>37</v>
      </c>
      <c r="Y2" s="632">
        <f ca="1">CELL("largeur",Y2)</f>
        <v>8</v>
      </c>
      <c r="Z2" s="632">
        <f ca="1">CELL("largeur",Z2)</f>
        <v>8</v>
      </c>
      <c r="AA2"/>
      <c r="AB2"/>
      <c r="AC2" s="632">
        <f t="shared" ref="AC2:AH2" ca="1" si="4">CELL("largeur",AC2)</f>
        <v>9</v>
      </c>
      <c r="AD2" s="632">
        <f t="shared" ca="1" si="4"/>
        <v>23</v>
      </c>
      <c r="AE2" s="632">
        <f t="shared" ca="1" si="4"/>
        <v>37</v>
      </c>
      <c r="AF2" s="632">
        <f t="shared" ca="1" si="4"/>
        <v>8</v>
      </c>
      <c r="AG2" s="632">
        <f t="shared" ca="1" si="4"/>
        <v>8</v>
      </c>
      <c r="AH2" s="632">
        <f t="shared" ca="1" si="4"/>
        <v>8</v>
      </c>
      <c r="AI2"/>
      <c r="AJ2" s="632">
        <f t="shared" ref="AJ2:AO2" ca="1" si="5">CELL("largeur",AJ2)</f>
        <v>9</v>
      </c>
      <c r="AK2" s="632">
        <f t="shared" ca="1" si="5"/>
        <v>23</v>
      </c>
      <c r="AL2" s="632">
        <f t="shared" ca="1" si="5"/>
        <v>37</v>
      </c>
      <c r="AM2" s="632">
        <f t="shared" ca="1" si="5"/>
        <v>8</v>
      </c>
      <c r="AN2" s="632">
        <f t="shared" ca="1" si="5"/>
        <v>8</v>
      </c>
      <c r="AO2" s="632">
        <f t="shared" ca="1" si="5"/>
        <v>8</v>
      </c>
      <c r="AP2"/>
      <c r="AQ2" s="3">
        <v>1</v>
      </c>
      <c r="AR2" s="8"/>
      <c r="AS2" s="8" t="s">
        <v>846</v>
      </c>
    </row>
    <row r="3" spans="1:45" ht="15.75">
      <c r="B3"/>
      <c r="C3"/>
      <c r="E3"/>
      <c r="F3"/>
      <c r="G3"/>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c r="AQ3" s="3">
        <v>1</v>
      </c>
      <c r="AR3" s="10" cm="1">
        <f t="array" aca="1" ref="AR3" ca="1">COUNTA(A1:AQ408+COUNTBLANK(A1:AQ408))</f>
        <v>17544</v>
      </c>
      <c r="AS3" s="650" t="str">
        <f>"cellules entre"&amp;" " &amp;A1&amp;" et  "&amp;AQ408</f>
        <v>cellules entre A1 et  AQ408</v>
      </c>
    </row>
    <row r="4" spans="1:45" ht="21" customHeight="1">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06"/>
      <c r="AQ4" s="3">
        <v>1</v>
      </c>
      <c r="AR4" s="10">
        <f ca="1">COUNTA(A1:AQ408)</f>
        <v>7439</v>
      </c>
      <c r="AS4" s="650" t="s">
        <v>847</v>
      </c>
    </row>
    <row r="5" spans="1:45" ht="21" customHeight="1">
      <c r="H5" s="472"/>
      <c r="I5" s="472"/>
      <c r="J5" s="472"/>
      <c r="K5" s="472"/>
      <c r="L5" s="472"/>
      <c r="M5" s="472"/>
      <c r="N5" s="472"/>
      <c r="O5" s="472"/>
      <c r="P5" s="472"/>
      <c r="Q5" s="472"/>
      <c r="R5" s="472"/>
      <c r="S5" s="472"/>
      <c r="T5" s="472"/>
      <c r="U5" s="472"/>
      <c r="V5" s="472"/>
      <c r="W5" s="472"/>
      <c r="X5" s="472"/>
      <c r="Y5" s="472"/>
      <c r="Z5" s="472"/>
      <c r="AA5" s="472"/>
      <c r="AB5" s="472"/>
      <c r="AC5" s="433"/>
      <c r="AD5" s="406"/>
      <c r="AE5" s="406"/>
      <c r="AF5" s="406"/>
      <c r="AG5" s="472"/>
      <c r="AH5" s="472"/>
      <c r="AI5" s="472"/>
      <c r="AJ5" s="472"/>
      <c r="AK5" s="472"/>
      <c r="AL5" s="472"/>
      <c r="AM5" s="472"/>
      <c r="AN5" s="472"/>
      <c r="AO5" s="472"/>
      <c r="AP5" s="406"/>
      <c r="AQ5" s="3">
        <v>1</v>
      </c>
      <c r="AR5" s="10">
        <f ca="1">COUNTBLANK(A1:AQ408)</f>
        <v>10105</v>
      </c>
      <c r="AS5" s="650" t="s">
        <v>848</v>
      </c>
    </row>
    <row r="6" spans="1:45" ht="21" customHeight="1">
      <c r="H6" s="472"/>
      <c r="I6" s="472"/>
      <c r="J6" s="472"/>
      <c r="K6" s="472"/>
      <c r="L6" s="472"/>
      <c r="M6" s="472"/>
      <c r="N6" s="472"/>
      <c r="O6" s="472"/>
      <c r="P6" s="472"/>
      <c r="Q6" s="472"/>
      <c r="R6" s="472"/>
      <c r="S6" s="472"/>
      <c r="T6" s="472"/>
      <c r="U6" s="472"/>
      <c r="V6" s="472"/>
      <c r="W6" s="472"/>
      <c r="X6" s="472"/>
      <c r="Y6" s="472"/>
      <c r="Z6" s="472"/>
      <c r="AA6" s="472"/>
      <c r="AB6" s="472"/>
      <c r="AC6" s="433" t="s">
        <v>10650</v>
      </c>
      <c r="AD6" s="406"/>
      <c r="AE6" s="406"/>
      <c r="AF6" s="406"/>
      <c r="AG6" s="472"/>
      <c r="AH6" s="472"/>
      <c r="AI6" s="472"/>
      <c r="AJ6" s="472"/>
      <c r="AK6" s="472"/>
      <c r="AL6" s="472"/>
      <c r="AM6" s="472"/>
      <c r="AN6" s="472"/>
      <c r="AO6" s="472"/>
      <c r="AP6" s="406"/>
      <c r="AQ6" s="3">
        <v>1</v>
      </c>
      <c r="AR6" s="10">
        <f>SUM(AQ1:AQ406)+2</f>
        <v>408</v>
      </c>
      <c r="AS6" s="650" t="s">
        <v>849</v>
      </c>
    </row>
    <row r="7" spans="1:45" ht="21" customHeight="1">
      <c r="H7" s="472"/>
      <c r="I7" s="472"/>
      <c r="J7" s="472"/>
      <c r="K7" s="472"/>
      <c r="L7" s="472"/>
      <c r="M7" s="472"/>
      <c r="N7" s="472"/>
      <c r="O7" s="472"/>
      <c r="P7" s="472"/>
      <c r="Q7" s="472"/>
      <c r="R7" s="472"/>
      <c r="S7" s="472"/>
      <c r="T7" s="472"/>
      <c r="U7" s="472"/>
      <c r="V7" s="472"/>
      <c r="W7" s="472"/>
      <c r="X7" s="472"/>
      <c r="Y7" s="472"/>
      <c r="Z7" s="472"/>
      <c r="AA7" s="472"/>
      <c r="AB7" s="472"/>
      <c r="AC7" s="3461" t="s">
        <v>1693</v>
      </c>
      <c r="AD7" s="7782" t="s">
        <v>10651</v>
      </c>
      <c r="AE7" s="7782"/>
      <c r="AF7" s="7782"/>
      <c r="AG7" s="472"/>
      <c r="AH7" s="472"/>
      <c r="AI7" s="472"/>
      <c r="AJ7" s="472"/>
      <c r="AK7" s="472"/>
      <c r="AL7" s="472"/>
      <c r="AM7" s="472"/>
      <c r="AN7" s="472"/>
      <c r="AO7" s="472"/>
      <c r="AP7" s="406"/>
      <c r="AQ7" s="3">
        <v>1</v>
      </c>
      <c r="AR7" s="10">
        <f>SUM(A408:AP408)+1</f>
        <v>43</v>
      </c>
      <c r="AS7" s="650" t="s">
        <v>850</v>
      </c>
    </row>
    <row r="8" spans="1:45" ht="21" customHeight="1">
      <c r="B8" s="6654" t="s">
        <v>946</v>
      </c>
      <c r="C8" s="6654"/>
      <c r="E8" s="6654" t="s">
        <v>946</v>
      </c>
      <c r="F8" s="6654"/>
      <c r="H8" s="472"/>
      <c r="I8" s="472"/>
      <c r="J8" s="472"/>
      <c r="K8" s="472"/>
      <c r="L8" s="472"/>
      <c r="M8" s="472"/>
      <c r="N8" s="472"/>
      <c r="O8" s="472"/>
      <c r="P8" s="472"/>
      <c r="Q8" s="472"/>
      <c r="R8" s="472"/>
      <c r="S8" s="472"/>
      <c r="T8" s="472"/>
      <c r="U8" s="472"/>
      <c r="V8" s="472"/>
      <c r="W8" s="472"/>
      <c r="X8" s="472"/>
      <c r="Y8" s="472"/>
      <c r="Z8" s="472"/>
      <c r="AA8" s="472"/>
      <c r="AB8" s="472"/>
      <c r="AC8" s="472" t="s">
        <v>10652</v>
      </c>
      <c r="AD8" s="406"/>
      <c r="AE8" s="406"/>
      <c r="AF8" s="406"/>
      <c r="AG8" s="472"/>
      <c r="AH8" s="472"/>
      <c r="AI8" s="472"/>
      <c r="AJ8" s="472"/>
      <c r="AK8" s="472"/>
      <c r="AL8" s="472"/>
      <c r="AM8" s="472"/>
      <c r="AN8" s="472"/>
      <c r="AO8" s="472"/>
      <c r="AP8" s="406"/>
      <c r="AQ8" s="3">
        <v>1</v>
      </c>
    </row>
    <row r="9" spans="1:45" ht="21" customHeight="1">
      <c r="B9" s="6654"/>
      <c r="C9" s="6654"/>
      <c r="E9" s="6654"/>
      <c r="F9" s="6654"/>
      <c r="H9" s="472"/>
      <c r="I9" s="472"/>
      <c r="J9" s="472"/>
      <c r="K9" s="472"/>
      <c r="L9" s="472"/>
      <c r="M9" s="472"/>
      <c r="N9" s="472"/>
      <c r="O9" s="472"/>
      <c r="P9" s="472"/>
      <c r="Q9" s="472"/>
      <c r="R9" s="472"/>
      <c r="S9" s="472"/>
      <c r="T9" s="472"/>
      <c r="U9" s="472"/>
      <c r="V9" s="472"/>
      <c r="W9" s="472"/>
      <c r="X9" s="472"/>
      <c r="Y9" s="472"/>
      <c r="Z9" s="472"/>
      <c r="AA9" s="472"/>
      <c r="AB9" s="472"/>
      <c r="AC9" s="3461" t="s">
        <v>1693</v>
      </c>
      <c r="AD9" s="7782" t="s">
        <v>10653</v>
      </c>
      <c r="AE9" s="7782"/>
      <c r="AF9" s="7782"/>
      <c r="AG9" s="472"/>
      <c r="AH9" s="472"/>
      <c r="AI9" s="472"/>
      <c r="AJ9" s="472"/>
      <c r="AK9" s="472"/>
      <c r="AL9" s="472"/>
      <c r="AM9" s="472"/>
      <c r="AN9" s="472"/>
      <c r="AO9" s="472"/>
      <c r="AP9" s="406"/>
      <c r="AQ9" s="3">
        <v>1</v>
      </c>
    </row>
    <row r="10" spans="1:45" ht="21" customHeight="1">
      <c r="B10" s="6658" t="s">
        <v>958</v>
      </c>
      <c r="C10" s="6658"/>
      <c r="H10" s="472"/>
      <c r="I10" s="472"/>
      <c r="J10" s="472"/>
      <c r="K10" s="472"/>
      <c r="L10" s="472"/>
      <c r="M10" s="472"/>
      <c r="N10" s="472"/>
      <c r="O10" s="472"/>
      <c r="P10" s="472"/>
      <c r="Q10" s="472"/>
      <c r="R10" s="472"/>
      <c r="S10" s="472"/>
      <c r="T10" s="472"/>
      <c r="U10" s="472"/>
      <c r="V10" s="472"/>
      <c r="W10" s="472"/>
      <c r="X10" s="472"/>
      <c r="Y10" s="472"/>
      <c r="Z10" s="472"/>
      <c r="AA10" s="472"/>
      <c r="AB10" s="472"/>
      <c r="AC10" s="472" t="s">
        <v>10654</v>
      </c>
      <c r="AD10" s="406"/>
      <c r="AE10" s="406"/>
      <c r="AF10" s="406"/>
      <c r="AG10" s="472"/>
      <c r="AH10" s="472"/>
      <c r="AI10" s="472"/>
      <c r="AJ10" s="472"/>
      <c r="AK10" s="472"/>
      <c r="AL10" s="472"/>
      <c r="AM10" s="472"/>
      <c r="AN10" s="472"/>
      <c r="AO10" s="472"/>
      <c r="AP10" s="406"/>
      <c r="AQ10" s="3">
        <v>1</v>
      </c>
    </row>
    <row r="11" spans="1:45" ht="21" customHeight="1">
      <c r="B11" s="6658"/>
      <c r="C11" s="6658"/>
      <c r="H11" s="406">
        <v>1</v>
      </c>
      <c r="I11" s="406">
        <v>1</v>
      </c>
      <c r="J11" s="472"/>
      <c r="K11" s="7783" t="s">
        <v>10655</v>
      </c>
      <c r="L11" s="7783"/>
      <c r="M11" s="7783"/>
      <c r="N11" s="7783"/>
      <c r="O11" s="7783"/>
      <c r="P11" s="7783"/>
      <c r="Q11" s="7783"/>
      <c r="R11" s="7783"/>
      <c r="S11" s="472"/>
      <c r="T11" s="472"/>
      <c r="U11" s="472"/>
      <c r="V11" s="2086" t="s">
        <v>10656</v>
      </c>
      <c r="W11" s="472"/>
      <c r="X11" s="472"/>
      <c r="Y11" s="472"/>
      <c r="Z11" s="472"/>
      <c r="AA11" s="472"/>
      <c r="AB11" s="472"/>
      <c r="AC11" s="3461" t="s">
        <v>1693</v>
      </c>
      <c r="AD11" s="7782" t="s">
        <v>10657</v>
      </c>
      <c r="AE11" s="7782"/>
      <c r="AF11" s="7782"/>
      <c r="AG11" s="472"/>
      <c r="AH11" s="472"/>
      <c r="AI11" s="472"/>
      <c r="AJ11" s="472"/>
      <c r="AK11" s="472"/>
      <c r="AL11" s="472"/>
      <c r="AM11" s="472"/>
      <c r="AN11" s="472"/>
      <c r="AO11" s="472"/>
      <c r="AP11" s="406"/>
      <c r="AQ11" s="3">
        <v>1</v>
      </c>
    </row>
    <row r="12" spans="1:45" ht="21" customHeight="1">
      <c r="H12" s="671" t="s">
        <v>959</v>
      </c>
      <c r="I12" s="472"/>
      <c r="K12" s="3462"/>
      <c r="L12" s="3462"/>
      <c r="M12" s="3462"/>
      <c r="N12" s="3462"/>
      <c r="O12" s="3462"/>
      <c r="P12" s="3462"/>
      <c r="Q12" s="3463" t="str">
        <f ca="1">"Page "&amp;_xlfn.SHEET()&amp;" sur "&amp;_xlfn.SHEETS()</f>
        <v>Page 26 sur 27</v>
      </c>
      <c r="R12" s="3463"/>
      <c r="S12" s="472"/>
      <c r="T12" s="472"/>
      <c r="U12" s="3461" t="s">
        <v>1693</v>
      </c>
      <c r="V12" s="2352" t="s">
        <v>10658</v>
      </c>
      <c r="W12" s="472"/>
      <c r="X12" s="472"/>
      <c r="Y12" s="472"/>
      <c r="Z12" s="472"/>
      <c r="AA12" s="472"/>
      <c r="AB12" s="472">
        <v>0</v>
      </c>
      <c r="AC12" s="472" t="s">
        <v>10659</v>
      </c>
      <c r="AD12" s="472"/>
      <c r="AE12" s="472"/>
      <c r="AF12" s="472"/>
      <c r="AG12" s="472"/>
      <c r="AH12" s="472"/>
      <c r="AI12" s="472"/>
      <c r="AJ12" s="472"/>
      <c r="AK12" s="472"/>
      <c r="AL12" s="472"/>
      <c r="AM12" s="472"/>
      <c r="AN12" s="472"/>
      <c r="AO12" s="472"/>
      <c r="AP12" s="406"/>
      <c r="AQ12" s="3">
        <v>1</v>
      </c>
    </row>
    <row r="13" spans="1:45" ht="21" customHeight="1">
      <c r="B13" s="6626" t="s">
        <v>971</v>
      </c>
      <c r="C13" s="6626"/>
      <c r="E13" s="6624" t="s">
        <v>972</v>
      </c>
      <c r="F13" s="6624"/>
      <c r="H13" s="7769" t="s">
        <v>973</v>
      </c>
      <c r="I13" s="7769"/>
      <c r="K13" s="3464">
        <v>1</v>
      </c>
      <c r="L13" s="3465">
        <v>2</v>
      </c>
      <c r="M13" s="3466">
        <v>3</v>
      </c>
      <c r="N13" s="3467">
        <v>4</v>
      </c>
      <c r="O13" s="3468">
        <v>5</v>
      </c>
      <c r="P13" s="3469">
        <v>6</v>
      </c>
      <c r="Q13" s="3470">
        <v>7</v>
      </c>
      <c r="R13" s="3471">
        <v>8</v>
      </c>
      <c r="S13" s="472"/>
      <c r="T13" s="472"/>
      <c r="V13" s="415"/>
      <c r="W13" s="472"/>
      <c r="X13" s="472"/>
      <c r="Y13" s="472"/>
      <c r="Z13" s="472"/>
      <c r="AA13" s="472"/>
      <c r="AB13" s="472"/>
      <c r="AC13" s="3461" t="s">
        <v>1693</v>
      </c>
      <c r="AD13" s="3460" t="s">
        <v>10660</v>
      </c>
      <c r="AE13" s="472"/>
      <c r="AF13" s="472"/>
      <c r="AG13" s="472"/>
      <c r="AH13" s="472"/>
      <c r="AI13" s="472"/>
      <c r="AJ13" s="472"/>
      <c r="AK13" s="472"/>
      <c r="AL13" s="472"/>
      <c r="AM13" s="472"/>
      <c r="AN13" s="472"/>
      <c r="AO13" s="472"/>
      <c r="AP13" s="406"/>
      <c r="AQ13" s="3">
        <v>1</v>
      </c>
    </row>
    <row r="14" spans="1:45" ht="21" customHeight="1">
      <c r="B14" s="6626"/>
      <c r="C14" s="6626"/>
      <c r="E14" s="6624"/>
      <c r="F14" s="6624"/>
      <c r="H14" s="7770" t="s">
        <v>974</v>
      </c>
      <c r="I14" s="7771"/>
      <c r="K14" s="3472">
        <v>9</v>
      </c>
      <c r="L14" s="3473">
        <v>10</v>
      </c>
      <c r="M14" s="3474">
        <v>11</v>
      </c>
      <c r="N14" s="3475">
        <v>12</v>
      </c>
      <c r="O14" s="3476">
        <v>13</v>
      </c>
      <c r="P14" s="3477">
        <v>14</v>
      </c>
      <c r="Q14" s="3478">
        <v>15</v>
      </c>
      <c r="R14" s="3479">
        <v>16</v>
      </c>
      <c r="S14" s="472"/>
      <c r="T14" s="472"/>
      <c r="V14" s="2086" t="s">
        <v>10661</v>
      </c>
      <c r="W14" s="472"/>
      <c r="X14" s="472"/>
      <c r="Y14" s="472"/>
      <c r="Z14" s="472"/>
      <c r="AA14" s="472"/>
      <c r="AB14" s="472"/>
      <c r="AC14" s="472" t="s">
        <v>10662</v>
      </c>
      <c r="AD14" s="472"/>
      <c r="AE14" s="472"/>
      <c r="AF14" s="472"/>
      <c r="AG14" s="472"/>
      <c r="AH14" s="472"/>
      <c r="AI14" s="472"/>
      <c r="AJ14" s="472"/>
      <c r="AK14" s="472"/>
      <c r="AL14" s="472"/>
      <c r="AM14" s="472"/>
      <c r="AN14" s="472"/>
      <c r="AO14" s="472"/>
      <c r="AP14" s="406"/>
      <c r="AQ14" s="3">
        <v>1</v>
      </c>
    </row>
    <row r="15" spans="1:45" ht="21" customHeight="1">
      <c r="H15" s="7772"/>
      <c r="I15" s="7773"/>
      <c r="K15" s="3480">
        <v>17</v>
      </c>
      <c r="L15" s="3481">
        <v>18</v>
      </c>
      <c r="M15" s="3482">
        <v>19</v>
      </c>
      <c r="N15" s="3483">
        <v>20</v>
      </c>
      <c r="O15" s="3484">
        <v>21</v>
      </c>
      <c r="P15" s="3485">
        <v>22</v>
      </c>
      <c r="Q15" s="3486">
        <v>23</v>
      </c>
      <c r="R15" s="3487">
        <v>24</v>
      </c>
      <c r="S15" s="472"/>
      <c r="T15" s="472"/>
      <c r="U15" s="3461" t="s">
        <v>1693</v>
      </c>
      <c r="V15" s="2352" t="s">
        <v>10663</v>
      </c>
      <c r="W15" s="472"/>
      <c r="X15" s="472"/>
      <c r="Y15" s="472"/>
      <c r="Z15" s="472"/>
      <c r="AA15" s="472"/>
      <c r="AB15" s="472"/>
      <c r="AC15" s="3461" t="s">
        <v>1693</v>
      </c>
      <c r="AD15" s="3460" t="s">
        <v>10664</v>
      </c>
      <c r="AE15" s="472"/>
      <c r="AF15" s="472"/>
      <c r="AG15" s="472"/>
      <c r="AH15" s="472"/>
      <c r="AI15" s="472"/>
      <c r="AJ15" s="472"/>
      <c r="AK15" s="472"/>
      <c r="AL15" s="472"/>
      <c r="AM15" s="472"/>
      <c r="AN15" s="472"/>
      <c r="AO15" s="472"/>
      <c r="AP15" s="406"/>
      <c r="AQ15" s="3">
        <v>1</v>
      </c>
    </row>
    <row r="16" spans="1:45" ht="21" customHeight="1">
      <c r="B16" s="6630" t="s">
        <v>986</v>
      </c>
      <c r="C16" s="6630"/>
      <c r="E16" s="6660" t="s">
        <v>987</v>
      </c>
      <c r="F16" s="6660"/>
      <c r="H16" s="7774"/>
      <c r="I16" s="7775"/>
      <c r="K16" s="3488">
        <v>25</v>
      </c>
      <c r="L16" s="3489">
        <v>26</v>
      </c>
      <c r="M16" s="3490">
        <v>27</v>
      </c>
      <c r="N16" s="3491">
        <v>28</v>
      </c>
      <c r="O16" s="3492">
        <v>29</v>
      </c>
      <c r="P16" s="3493">
        <v>30</v>
      </c>
      <c r="Q16" s="3494">
        <v>31</v>
      </c>
      <c r="R16" s="3495">
        <v>32</v>
      </c>
      <c r="S16" s="472"/>
      <c r="T16" s="472"/>
      <c r="U16" s="3461" t="s">
        <v>1693</v>
      </c>
      <c r="V16" s="2352" t="s">
        <v>10665</v>
      </c>
      <c r="W16" s="472"/>
      <c r="X16" s="472"/>
      <c r="Y16" s="472"/>
      <c r="Z16" s="472"/>
      <c r="AA16" s="472"/>
      <c r="AB16" s="472"/>
      <c r="AC16" s="472" t="s">
        <v>10666</v>
      </c>
      <c r="AD16" s="472"/>
      <c r="AE16" s="472"/>
      <c r="AF16" s="472"/>
      <c r="AG16" s="472"/>
      <c r="AH16" s="472"/>
      <c r="AI16" s="472"/>
      <c r="AJ16" s="472"/>
      <c r="AK16" s="472"/>
      <c r="AL16" s="472"/>
      <c r="AM16" s="472"/>
      <c r="AN16" s="472"/>
      <c r="AO16" s="472"/>
      <c r="AP16" s="406"/>
      <c r="AQ16" s="3">
        <v>1</v>
      </c>
    </row>
    <row r="17" spans="1:43" ht="21" customHeight="1">
      <c r="B17" s="6630"/>
      <c r="C17" s="6630"/>
      <c r="E17" s="6660"/>
      <c r="F17" s="6660"/>
      <c r="H17" s="5671" t="s">
        <v>988</v>
      </c>
      <c r="I17" s="5671"/>
      <c r="K17" s="3496">
        <v>33</v>
      </c>
      <c r="L17" s="3497">
        <v>34</v>
      </c>
      <c r="M17" s="3498">
        <v>35</v>
      </c>
      <c r="N17" s="3499">
        <v>36</v>
      </c>
      <c r="O17" s="3500">
        <v>37</v>
      </c>
      <c r="P17" s="3501">
        <v>38</v>
      </c>
      <c r="Q17" s="3502">
        <v>39</v>
      </c>
      <c r="R17" s="3503">
        <v>40</v>
      </c>
      <c r="S17" s="472"/>
      <c r="T17" s="472"/>
      <c r="V17" s="415"/>
      <c r="W17" s="472"/>
      <c r="X17" s="472"/>
      <c r="Y17" s="472"/>
      <c r="Z17" s="472"/>
      <c r="AA17" s="472"/>
      <c r="AB17" s="472"/>
      <c r="AC17" s="3461" t="s">
        <v>1693</v>
      </c>
      <c r="AD17" s="3460" t="s">
        <v>10667</v>
      </c>
      <c r="AE17" s="472"/>
      <c r="AF17" s="472"/>
      <c r="AG17" s="472"/>
      <c r="AH17" s="472"/>
      <c r="AI17" s="472"/>
      <c r="AJ17" s="472"/>
      <c r="AK17" s="472"/>
      <c r="AL17" s="472"/>
      <c r="AM17" s="472"/>
      <c r="AN17" s="472"/>
      <c r="AO17" s="472"/>
      <c r="AP17" s="406"/>
      <c r="AQ17" s="3">
        <v>1</v>
      </c>
    </row>
    <row r="18" spans="1:43" ht="21" customHeight="1">
      <c r="H18" s="7776" t="s">
        <v>989</v>
      </c>
      <c r="I18" s="6681"/>
      <c r="K18" s="3504">
        <v>41</v>
      </c>
      <c r="L18" s="3505">
        <v>42</v>
      </c>
      <c r="M18" s="3506">
        <v>43</v>
      </c>
      <c r="N18" s="3507">
        <v>44</v>
      </c>
      <c r="O18" s="3508">
        <v>45</v>
      </c>
      <c r="P18" s="3509">
        <v>46</v>
      </c>
      <c r="Q18" s="3510">
        <v>47</v>
      </c>
      <c r="R18" s="3511">
        <v>48</v>
      </c>
      <c r="S18" s="472"/>
      <c r="T18" s="472"/>
      <c r="V18" s="2086" t="s">
        <v>10668</v>
      </c>
      <c r="W18" s="472"/>
      <c r="X18" s="472"/>
      <c r="Y18" s="472"/>
      <c r="Z18" s="472"/>
      <c r="AA18" s="472"/>
      <c r="AB18" s="472"/>
      <c r="AC18" s="472" t="s">
        <v>10669</v>
      </c>
      <c r="AD18" s="472"/>
      <c r="AE18" s="472"/>
      <c r="AF18" s="472"/>
      <c r="AG18" s="472"/>
      <c r="AH18" s="472"/>
      <c r="AI18" s="472"/>
      <c r="AJ18" s="472"/>
      <c r="AK18" s="472"/>
      <c r="AL18" s="472"/>
      <c r="AM18" s="472"/>
      <c r="AN18" s="472"/>
      <c r="AO18" s="472"/>
      <c r="AP18" s="406"/>
      <c r="AQ18" s="3">
        <v>1</v>
      </c>
    </row>
    <row r="19" spans="1:43" ht="21" customHeight="1">
      <c r="A19" s="630"/>
      <c r="B19" s="6674" t="s">
        <v>1001</v>
      </c>
      <c r="C19" s="6674"/>
      <c r="E19" s="6675" t="s">
        <v>1002</v>
      </c>
      <c r="F19" s="6675"/>
      <c r="H19" s="7777"/>
      <c r="I19" s="7778"/>
      <c r="K19" s="3512">
        <v>49</v>
      </c>
      <c r="L19" s="3513">
        <v>50</v>
      </c>
      <c r="M19" s="3514">
        <v>51</v>
      </c>
      <c r="N19" s="3515">
        <v>52</v>
      </c>
      <c r="O19" s="3516">
        <v>53</v>
      </c>
      <c r="P19" s="3517">
        <v>54</v>
      </c>
      <c r="Q19" s="3518">
        <v>55</v>
      </c>
      <c r="R19" s="3519">
        <v>56</v>
      </c>
      <c r="S19" s="472"/>
      <c r="T19" s="472"/>
      <c r="U19" s="3461" t="s">
        <v>1693</v>
      </c>
      <c r="V19" s="2352" t="s">
        <v>10670</v>
      </c>
      <c r="W19" s="472"/>
      <c r="X19" s="472"/>
      <c r="Y19" s="472"/>
      <c r="Z19" s="472"/>
      <c r="AA19" s="472"/>
      <c r="AB19" s="472"/>
      <c r="AC19" s="3461" t="s">
        <v>1693</v>
      </c>
      <c r="AD19" s="3460" t="s">
        <v>10671</v>
      </c>
      <c r="AE19" s="472"/>
      <c r="AF19" s="472"/>
      <c r="AG19" s="472"/>
      <c r="AH19" s="472"/>
      <c r="AI19" s="472"/>
      <c r="AJ19" s="472"/>
      <c r="AK19" s="472"/>
      <c r="AL19" s="472"/>
      <c r="AM19" s="472"/>
      <c r="AN19" s="472"/>
      <c r="AO19" s="472"/>
      <c r="AP19" s="406"/>
      <c r="AQ19" s="3">
        <v>1</v>
      </c>
    </row>
    <row r="20" spans="1:43" ht="21" customHeight="1">
      <c r="B20" s="6674"/>
      <c r="C20" s="6674"/>
      <c r="E20" s="6675"/>
      <c r="F20" s="6675"/>
      <c r="H20" s="649">
        <v>1</v>
      </c>
      <c r="I20" s="649">
        <v>1</v>
      </c>
      <c r="K20" s="7779" t="s">
        <v>10672</v>
      </c>
      <c r="L20" s="7779"/>
      <c r="M20" s="7779"/>
      <c r="N20" s="7779"/>
      <c r="O20" s="7779"/>
      <c r="P20" s="7779"/>
      <c r="Q20" s="7779"/>
      <c r="R20" s="7779"/>
      <c r="S20" s="472"/>
      <c r="T20" s="472"/>
      <c r="V20" s="472"/>
      <c r="W20" s="472"/>
      <c r="X20" s="472"/>
      <c r="Y20" s="472"/>
      <c r="Z20" s="472"/>
      <c r="AA20" s="472"/>
      <c r="AB20" s="472"/>
      <c r="AC20" s="472" t="s">
        <v>10673</v>
      </c>
      <c r="AD20" s="229"/>
      <c r="AE20" s="229"/>
      <c r="AF20" s="229"/>
      <c r="AG20" s="472"/>
      <c r="AH20" s="472"/>
      <c r="AI20" s="472"/>
      <c r="AJ20" s="472"/>
      <c r="AK20" s="472"/>
      <c r="AL20" s="472"/>
      <c r="AM20" s="472"/>
      <c r="AN20" s="472"/>
      <c r="AO20" s="472"/>
      <c r="AP20" s="406"/>
      <c r="AQ20" s="3">
        <v>1</v>
      </c>
    </row>
    <row r="21" spans="1:43" ht="21" customHeight="1">
      <c r="H21" s="7781" t="s">
        <v>1003</v>
      </c>
      <c r="I21" s="6685"/>
      <c r="K21" s="7780"/>
      <c r="L21" s="7780"/>
      <c r="M21" s="7780"/>
      <c r="N21" s="7780"/>
      <c r="O21" s="7780"/>
      <c r="P21" s="7780"/>
      <c r="Q21" s="7780"/>
      <c r="R21" s="7780"/>
      <c r="S21" s="472"/>
      <c r="T21" s="472"/>
      <c r="V21" s="472"/>
      <c r="W21" s="472"/>
      <c r="X21" s="472"/>
      <c r="Y21" s="472"/>
      <c r="Z21" s="472"/>
      <c r="AA21" s="472"/>
      <c r="AB21" s="472"/>
      <c r="AC21" s="3461" t="s">
        <v>1693</v>
      </c>
      <c r="AD21" s="3460" t="s">
        <v>10674</v>
      </c>
      <c r="AE21" s="472"/>
      <c r="AF21" s="472"/>
      <c r="AG21" s="472"/>
      <c r="AH21" s="472"/>
      <c r="AI21" s="472"/>
      <c r="AJ21" s="472"/>
      <c r="AK21" s="472"/>
      <c r="AL21" s="472"/>
      <c r="AM21" s="472"/>
      <c r="AN21" s="472"/>
      <c r="AO21" s="472"/>
      <c r="AQ21" s="3">
        <v>1</v>
      </c>
    </row>
    <row r="22" spans="1:43" ht="21" customHeight="1">
      <c r="B22" s="6676" t="s">
        <v>1015</v>
      </c>
      <c r="C22" s="6676"/>
      <c r="E22" s="6677" t="s">
        <v>1016</v>
      </c>
      <c r="F22" s="6677"/>
      <c r="H22" s="7764" t="s">
        <v>1017</v>
      </c>
      <c r="I22" s="7765"/>
      <c r="K22" s="7766" t="s">
        <v>10655</v>
      </c>
      <c r="L22" s="7767"/>
      <c r="M22" s="7767"/>
      <c r="N22" s="7767"/>
      <c r="O22" s="7767"/>
      <c r="P22" s="7767"/>
      <c r="Q22" s="7767"/>
      <c r="R22" s="7767"/>
      <c r="S22" s="7767"/>
      <c r="T22" s="7768"/>
      <c r="V22" s="472"/>
      <c r="W22" s="472"/>
      <c r="X22" s="472"/>
      <c r="Y22" s="472"/>
      <c r="Z22" s="472"/>
      <c r="AA22" s="472"/>
      <c r="AB22" s="472"/>
      <c r="AG22" s="472"/>
      <c r="AH22" s="472"/>
      <c r="AI22" s="472"/>
      <c r="AJ22" s="472"/>
      <c r="AK22" s="472"/>
      <c r="AL22" s="472"/>
      <c r="AM22" s="472"/>
      <c r="AN22" s="472"/>
      <c r="AO22" s="472"/>
      <c r="AQ22" s="3">
        <v>1</v>
      </c>
    </row>
    <row r="23" spans="1:43" ht="21" customHeight="1" thickBot="1">
      <c r="B23" s="6676"/>
      <c r="C23" s="6676"/>
      <c r="E23" s="6677"/>
      <c r="F23" s="6677"/>
      <c r="H23" s="3520" t="s">
        <v>1018</v>
      </c>
      <c r="I23" s="3521"/>
      <c r="K23" s="3522" t="s">
        <v>10675</v>
      </c>
      <c r="L23" s="3523" t="s">
        <v>10676</v>
      </c>
      <c r="M23" s="3523" t="s">
        <v>10677</v>
      </c>
      <c r="N23" s="3522" t="s">
        <v>10678</v>
      </c>
      <c r="O23" s="3522" t="s">
        <v>10679</v>
      </c>
      <c r="P23" s="3522" t="s">
        <v>10675</v>
      </c>
      <c r="Q23" s="3523" t="s">
        <v>10676</v>
      </c>
      <c r="R23" s="3523" t="s">
        <v>10677</v>
      </c>
      <c r="S23" s="3522" t="s">
        <v>10678</v>
      </c>
      <c r="T23" s="3522" t="s">
        <v>10679</v>
      </c>
      <c r="V23" s="3522" t="s">
        <v>10675</v>
      </c>
      <c r="W23" s="3524" t="s">
        <v>10680</v>
      </c>
      <c r="X23" s="3524" t="s">
        <v>10681</v>
      </c>
      <c r="Y23" s="3523" t="s">
        <v>10677</v>
      </c>
      <c r="Z23" s="3522" t="s">
        <v>10678</v>
      </c>
      <c r="AA23" s="3525" t="s">
        <v>10679</v>
      </c>
      <c r="AB23"/>
      <c r="AC23" s="3522" t="s">
        <v>10675</v>
      </c>
      <c r="AD23" s="3524" t="s">
        <v>10680</v>
      </c>
      <c r="AE23" s="3524" t="s">
        <v>10681</v>
      </c>
      <c r="AF23" s="3523" t="s">
        <v>10677</v>
      </c>
      <c r="AG23" s="3522" t="s">
        <v>10678</v>
      </c>
      <c r="AH23" s="3525" t="s">
        <v>10679</v>
      </c>
      <c r="AI23"/>
      <c r="AJ23" s="3522" t="s">
        <v>10675</v>
      </c>
      <c r="AK23" s="3524" t="s">
        <v>10680</v>
      </c>
      <c r="AL23" s="3524" t="s">
        <v>10681</v>
      </c>
      <c r="AM23" s="3526" t="s">
        <v>10677</v>
      </c>
      <c r="AN23" s="3522" t="s">
        <v>10678</v>
      </c>
      <c r="AO23" s="3527" t="s">
        <v>10679</v>
      </c>
      <c r="AQ23" s="3">
        <v>1</v>
      </c>
    </row>
    <row r="24" spans="1:43" ht="21" customHeight="1">
      <c r="H24" s="7760" t="s">
        <v>1019</v>
      </c>
      <c r="I24" s="7761"/>
      <c r="K24" s="5672" t="s">
        <v>10682</v>
      </c>
      <c r="L24" s="5673" t="s">
        <v>10683</v>
      </c>
      <c r="M24" s="5674">
        <v>0</v>
      </c>
      <c r="N24" s="5674">
        <v>0</v>
      </c>
      <c r="O24" s="5674">
        <v>0</v>
      </c>
      <c r="P24" s="5675" t="s">
        <v>10684</v>
      </c>
      <c r="Q24" s="5673" t="s">
        <v>10685</v>
      </c>
      <c r="R24" s="5674">
        <v>128</v>
      </c>
      <c r="S24" s="5674">
        <v>0</v>
      </c>
      <c r="T24" s="5674">
        <v>128</v>
      </c>
      <c r="V24" s="3528"/>
      <c r="W24" s="3529" t="s">
        <v>10686</v>
      </c>
      <c r="X24" s="3530" t="s">
        <v>10687</v>
      </c>
      <c r="Y24" s="3531">
        <v>0</v>
      </c>
      <c r="Z24" s="3532">
        <v>191</v>
      </c>
      <c r="AA24" s="3533">
        <v>255</v>
      </c>
      <c r="AB24"/>
      <c r="AC24" s="3534"/>
      <c r="AD24" s="3535" t="s">
        <v>10688</v>
      </c>
      <c r="AE24" s="3536" t="s">
        <v>10689</v>
      </c>
      <c r="AF24" s="3537">
        <v>74</v>
      </c>
      <c r="AG24" s="3538">
        <v>74</v>
      </c>
      <c r="AH24" s="3539">
        <v>74</v>
      </c>
      <c r="AI24"/>
      <c r="AJ24" s="3540"/>
      <c r="AK24" s="3541" t="s">
        <v>10690</v>
      </c>
      <c r="AL24" s="3536" t="s">
        <v>10691</v>
      </c>
      <c r="AM24" s="3537">
        <v>238</v>
      </c>
      <c r="AN24" s="3538">
        <v>213</v>
      </c>
      <c r="AO24" s="3539">
        <v>183</v>
      </c>
      <c r="AQ24" s="3">
        <v>1</v>
      </c>
    </row>
    <row r="25" spans="1:43" ht="21" customHeight="1">
      <c r="B25" s="6688" t="s">
        <v>1030</v>
      </c>
      <c r="C25" s="6688"/>
      <c r="E25" s="6689" t="s">
        <v>1031</v>
      </c>
      <c r="F25" s="6689"/>
      <c r="H25" s="3520" t="s">
        <v>1032</v>
      </c>
      <c r="I25" s="3521"/>
      <c r="K25" s="5676" t="s">
        <v>10692</v>
      </c>
      <c r="L25" s="5673" t="s">
        <v>10693</v>
      </c>
      <c r="M25" s="5674">
        <v>255</v>
      </c>
      <c r="N25" s="5674">
        <v>255</v>
      </c>
      <c r="O25" s="5674">
        <v>255</v>
      </c>
      <c r="P25" s="5677" t="s">
        <v>10694</v>
      </c>
      <c r="Q25" s="5673" t="s">
        <v>10695</v>
      </c>
      <c r="R25" s="5674">
        <v>128</v>
      </c>
      <c r="S25" s="5674">
        <v>0</v>
      </c>
      <c r="T25" s="5674">
        <v>0</v>
      </c>
      <c r="V25" s="3542"/>
      <c r="W25" s="3543"/>
      <c r="X25" s="3544" t="s">
        <v>10696</v>
      </c>
      <c r="Y25" s="3545">
        <v>170</v>
      </c>
      <c r="Z25" s="3546">
        <v>187</v>
      </c>
      <c r="AA25" s="3547">
        <v>204</v>
      </c>
      <c r="AB25"/>
      <c r="AC25" s="3548"/>
      <c r="AD25" s="3535" t="s">
        <v>10697</v>
      </c>
      <c r="AE25" s="3536" t="s">
        <v>10698</v>
      </c>
      <c r="AF25" s="3537">
        <v>71</v>
      </c>
      <c r="AG25" s="3538">
        <v>71</v>
      </c>
      <c r="AH25" s="3539">
        <v>71</v>
      </c>
      <c r="AI25"/>
      <c r="AJ25" s="3549"/>
      <c r="AK25" s="3550" t="s">
        <v>10699</v>
      </c>
      <c r="AL25" s="3536" t="s">
        <v>10700</v>
      </c>
      <c r="AM25" s="3537">
        <v>250</v>
      </c>
      <c r="AN25" s="3538">
        <v>214</v>
      </c>
      <c r="AO25" s="3539">
        <v>165</v>
      </c>
      <c r="AQ25" s="3">
        <v>1</v>
      </c>
    </row>
    <row r="26" spans="1:43" ht="21" customHeight="1">
      <c r="B26" s="6688"/>
      <c r="C26" s="6688"/>
      <c r="E26" s="6689"/>
      <c r="F26" s="6689"/>
      <c r="H26" s="7760" t="s">
        <v>1033</v>
      </c>
      <c r="I26" s="7761"/>
      <c r="K26" s="5678" t="s">
        <v>10701</v>
      </c>
      <c r="L26" s="5673" t="s">
        <v>10702</v>
      </c>
      <c r="M26" s="5674">
        <v>255</v>
      </c>
      <c r="N26" s="5674">
        <v>0</v>
      </c>
      <c r="O26" s="5674">
        <v>0</v>
      </c>
      <c r="P26" s="5679" t="s">
        <v>10703</v>
      </c>
      <c r="Q26" s="5673" t="s">
        <v>10704</v>
      </c>
      <c r="R26" s="5674">
        <v>0</v>
      </c>
      <c r="S26" s="5674">
        <v>128</v>
      </c>
      <c r="T26" s="5674">
        <v>128</v>
      </c>
      <c r="V26" s="3551"/>
      <c r="W26" s="3543" t="s">
        <v>10705</v>
      </c>
      <c r="X26" s="3544" t="s">
        <v>10706</v>
      </c>
      <c r="Y26" s="3545">
        <v>126</v>
      </c>
      <c r="Z26" s="3546">
        <v>192</v>
      </c>
      <c r="AA26" s="3547">
        <v>238</v>
      </c>
      <c r="AB26"/>
      <c r="AC26" s="3552"/>
      <c r="AD26" s="3535" t="s">
        <v>10707</v>
      </c>
      <c r="AE26" s="3536" t="s">
        <v>10708</v>
      </c>
      <c r="AF26" s="3537">
        <v>69</v>
      </c>
      <c r="AG26" s="3538">
        <v>69</v>
      </c>
      <c r="AH26" s="3539">
        <v>69</v>
      </c>
      <c r="AI26"/>
      <c r="AJ26" s="3553"/>
      <c r="AK26" s="3541" t="s">
        <v>10709</v>
      </c>
      <c r="AL26" s="3536" t="s">
        <v>10710</v>
      </c>
      <c r="AM26" s="3537">
        <v>255</v>
      </c>
      <c r="AN26" s="3538">
        <v>222</v>
      </c>
      <c r="AO26" s="3539">
        <v>173</v>
      </c>
      <c r="AQ26" s="3">
        <v>1</v>
      </c>
    </row>
    <row r="27" spans="1:43" ht="21" customHeight="1">
      <c r="H27" s="3520" t="s">
        <v>1034</v>
      </c>
      <c r="I27" s="3521"/>
      <c r="K27" s="5680" t="s">
        <v>10711</v>
      </c>
      <c r="L27" s="5673" t="s">
        <v>10712</v>
      </c>
      <c r="M27" s="5674">
        <v>0</v>
      </c>
      <c r="N27" s="5674">
        <v>255</v>
      </c>
      <c r="O27" s="5674">
        <v>0</v>
      </c>
      <c r="P27" s="5681" t="s">
        <v>10713</v>
      </c>
      <c r="Q27" s="5673" t="s">
        <v>10714</v>
      </c>
      <c r="R27" s="5674">
        <v>0</v>
      </c>
      <c r="S27" s="5674">
        <v>0</v>
      </c>
      <c r="T27" s="5674">
        <v>255</v>
      </c>
      <c r="V27" s="3554"/>
      <c r="W27" s="3543" t="s">
        <v>10715</v>
      </c>
      <c r="X27" s="3544" t="s">
        <v>10716</v>
      </c>
      <c r="Y27" s="3545">
        <v>135</v>
      </c>
      <c r="Z27" s="3546">
        <v>206</v>
      </c>
      <c r="AA27" s="3547">
        <v>250</v>
      </c>
      <c r="AB27"/>
      <c r="AC27" s="3555"/>
      <c r="AD27" s="3535" t="s">
        <v>10717</v>
      </c>
      <c r="AE27" s="3536" t="s">
        <v>10718</v>
      </c>
      <c r="AF27" s="3537">
        <v>66</v>
      </c>
      <c r="AG27" s="3538">
        <v>66</v>
      </c>
      <c r="AH27" s="3539">
        <v>66</v>
      </c>
      <c r="AI27"/>
      <c r="AJ27" s="3556"/>
      <c r="AK27" s="3541" t="s">
        <v>10719</v>
      </c>
      <c r="AL27" s="3536" t="s">
        <v>10720</v>
      </c>
      <c r="AM27" s="3537">
        <v>238</v>
      </c>
      <c r="AN27" s="3538">
        <v>223</v>
      </c>
      <c r="AO27" s="3539">
        <v>204</v>
      </c>
      <c r="AQ27" s="3">
        <v>1</v>
      </c>
    </row>
    <row r="28" spans="1:43" ht="21" customHeight="1">
      <c r="B28" s="6694" t="s">
        <v>1045</v>
      </c>
      <c r="C28" s="6694"/>
      <c r="E28" s="6660" t="s">
        <v>987</v>
      </c>
      <c r="F28" s="6660"/>
      <c r="H28" s="3520" t="s">
        <v>1046</v>
      </c>
      <c r="I28" s="3521"/>
      <c r="K28" s="5682" t="s">
        <v>10721</v>
      </c>
      <c r="L28" s="5673" t="s">
        <v>10722</v>
      </c>
      <c r="M28" s="5674">
        <v>0</v>
      </c>
      <c r="N28" s="5674">
        <v>0</v>
      </c>
      <c r="O28" s="5674">
        <v>255</v>
      </c>
      <c r="P28" s="5683" t="s">
        <v>10723</v>
      </c>
      <c r="Q28" s="5673" t="s">
        <v>10724</v>
      </c>
      <c r="R28" s="5674">
        <v>0</v>
      </c>
      <c r="S28" s="5674">
        <v>204</v>
      </c>
      <c r="T28" s="5674">
        <v>255</v>
      </c>
      <c r="V28" s="3557"/>
      <c r="W28" s="3558" t="s">
        <v>10725</v>
      </c>
      <c r="X28" s="3544" t="s">
        <v>10726</v>
      </c>
      <c r="Y28" s="3545">
        <v>161</v>
      </c>
      <c r="Z28" s="3546">
        <v>202</v>
      </c>
      <c r="AA28" s="3547">
        <v>241</v>
      </c>
      <c r="AB28"/>
      <c r="AC28" s="3559"/>
      <c r="AD28" s="3535" t="s">
        <v>10727</v>
      </c>
      <c r="AE28" s="3536" t="s">
        <v>10728</v>
      </c>
      <c r="AF28" s="3537">
        <v>64</v>
      </c>
      <c r="AG28" s="3538">
        <v>64</v>
      </c>
      <c r="AH28" s="3539">
        <v>64</v>
      </c>
      <c r="AI28"/>
      <c r="AJ28" s="3560"/>
      <c r="AK28" s="3550" t="s">
        <v>10729</v>
      </c>
      <c r="AL28" s="3536" t="s">
        <v>10730</v>
      </c>
      <c r="AM28" s="3537">
        <v>255</v>
      </c>
      <c r="AN28" s="3538">
        <v>228</v>
      </c>
      <c r="AO28" s="3539">
        <v>196</v>
      </c>
      <c r="AQ28" s="3">
        <v>1</v>
      </c>
    </row>
    <row r="29" spans="1:43" ht="21" customHeight="1">
      <c r="B29" s="6694"/>
      <c r="C29" s="6694"/>
      <c r="E29" s="6660"/>
      <c r="F29" s="6660"/>
      <c r="H29" s="7760" t="s">
        <v>1047</v>
      </c>
      <c r="I29" s="7761"/>
      <c r="K29" s="5684" t="s">
        <v>10731</v>
      </c>
      <c r="L29" s="5673" t="s">
        <v>10732</v>
      </c>
      <c r="M29" s="5674">
        <v>255</v>
      </c>
      <c r="N29" s="5674">
        <v>255</v>
      </c>
      <c r="O29" s="5674">
        <v>0</v>
      </c>
      <c r="P29" s="5685" t="s">
        <v>10733</v>
      </c>
      <c r="Q29" s="5673" t="s">
        <v>10734</v>
      </c>
      <c r="R29" s="5674">
        <v>204</v>
      </c>
      <c r="S29" s="5674">
        <v>0</v>
      </c>
      <c r="T29" s="5674">
        <v>0</v>
      </c>
      <c r="V29" s="3561"/>
      <c r="W29" s="3543" t="s">
        <v>10735</v>
      </c>
      <c r="X29" s="3544" t="s">
        <v>10736</v>
      </c>
      <c r="Y29" s="3545">
        <v>135</v>
      </c>
      <c r="Z29" s="3546">
        <v>206</v>
      </c>
      <c r="AA29" s="3547">
        <v>255</v>
      </c>
      <c r="AB29"/>
      <c r="AC29" s="3562"/>
      <c r="AD29" s="3535" t="s">
        <v>10737</v>
      </c>
      <c r="AE29" s="3536" t="s">
        <v>10738</v>
      </c>
      <c r="AF29" s="3537">
        <v>61</v>
      </c>
      <c r="AG29" s="3538">
        <v>61</v>
      </c>
      <c r="AH29" s="3539">
        <v>61</v>
      </c>
      <c r="AI29"/>
      <c r="AJ29" s="3563"/>
      <c r="AK29" s="3541" t="s">
        <v>10739</v>
      </c>
      <c r="AL29" s="3536" t="s">
        <v>10740</v>
      </c>
      <c r="AM29" s="3537">
        <v>250</v>
      </c>
      <c r="AN29" s="3538">
        <v>235</v>
      </c>
      <c r="AO29" s="3539">
        <v>215</v>
      </c>
      <c r="AQ29" s="3">
        <v>1</v>
      </c>
    </row>
    <row r="30" spans="1:43" ht="21" customHeight="1">
      <c r="H30" s="3520" t="s">
        <v>1048</v>
      </c>
      <c r="I30" s="3521"/>
      <c r="K30" s="5686" t="s">
        <v>10741</v>
      </c>
      <c r="L30" s="5673" t="s">
        <v>10742</v>
      </c>
      <c r="M30" s="5674">
        <v>255</v>
      </c>
      <c r="N30" s="5674">
        <v>0</v>
      </c>
      <c r="O30" s="5674">
        <v>255</v>
      </c>
      <c r="P30" s="5687" t="s">
        <v>10743</v>
      </c>
      <c r="Q30" s="5673" t="s">
        <v>10744</v>
      </c>
      <c r="R30" s="5674">
        <v>204</v>
      </c>
      <c r="S30" s="5674">
        <v>0</v>
      </c>
      <c r="T30" s="5674">
        <v>0</v>
      </c>
      <c r="V30" s="3564"/>
      <c r="W30" s="3558" t="s">
        <v>10745</v>
      </c>
      <c r="X30" s="3544" t="s">
        <v>10746</v>
      </c>
      <c r="Y30" s="3545">
        <v>188</v>
      </c>
      <c r="Z30" s="3546">
        <v>212</v>
      </c>
      <c r="AA30" s="3547">
        <v>230</v>
      </c>
      <c r="AB30"/>
      <c r="AC30" s="3565"/>
      <c r="AD30" s="3535" t="s">
        <v>10747</v>
      </c>
      <c r="AE30" s="3536" t="s">
        <v>10748</v>
      </c>
      <c r="AF30" s="3537">
        <v>59</v>
      </c>
      <c r="AG30" s="3538">
        <v>59</v>
      </c>
      <c r="AH30" s="3539">
        <v>59</v>
      </c>
      <c r="AI30"/>
      <c r="AJ30" s="3566"/>
      <c r="AK30" s="3541" t="s">
        <v>10749</v>
      </c>
      <c r="AL30" s="3536" t="s">
        <v>10750</v>
      </c>
      <c r="AM30" s="3537">
        <v>255</v>
      </c>
      <c r="AN30" s="3538">
        <v>239</v>
      </c>
      <c r="AO30" s="3539">
        <v>219</v>
      </c>
      <c r="AQ30" s="3">
        <v>1</v>
      </c>
    </row>
    <row r="31" spans="1:43" ht="21" customHeight="1">
      <c r="B31" s="6705" t="s">
        <v>1060</v>
      </c>
      <c r="C31" s="6705"/>
      <c r="E31" s="6702" t="s">
        <v>1061</v>
      </c>
      <c r="F31" s="6702"/>
      <c r="H31" s="7760" t="s">
        <v>1062</v>
      </c>
      <c r="I31" s="7761"/>
      <c r="K31" s="5688" t="s">
        <v>10751</v>
      </c>
      <c r="L31" s="5673" t="s">
        <v>10752</v>
      </c>
      <c r="M31" s="5674">
        <v>0</v>
      </c>
      <c r="N31" s="5674">
        <v>255</v>
      </c>
      <c r="O31" s="5674">
        <v>255</v>
      </c>
      <c r="P31" s="5689" t="s">
        <v>10753</v>
      </c>
      <c r="Q31" s="5673" t="s">
        <v>10754</v>
      </c>
      <c r="R31" s="5674">
        <v>255</v>
      </c>
      <c r="S31" s="5674">
        <v>0</v>
      </c>
      <c r="T31" s="5674">
        <v>0</v>
      </c>
      <c r="V31" s="3567"/>
      <c r="W31" s="3543" t="s">
        <v>10755</v>
      </c>
      <c r="X31" s="3544" t="s">
        <v>10756</v>
      </c>
      <c r="Y31" s="3545">
        <v>185</v>
      </c>
      <c r="Z31" s="3546">
        <v>211</v>
      </c>
      <c r="AA31" s="3547">
        <v>238</v>
      </c>
      <c r="AB31"/>
      <c r="AC31" s="3568"/>
      <c r="AD31" s="3535" t="s">
        <v>10757</v>
      </c>
      <c r="AE31" s="3536" t="s">
        <v>10758</v>
      </c>
      <c r="AF31" s="3537">
        <v>56</v>
      </c>
      <c r="AG31" s="3538">
        <v>56</v>
      </c>
      <c r="AH31" s="3539">
        <v>56</v>
      </c>
      <c r="AI31"/>
      <c r="AJ31" s="3569"/>
      <c r="AK31" s="3550" t="s">
        <v>10759</v>
      </c>
      <c r="AL31" s="3536" t="s">
        <v>10760</v>
      </c>
      <c r="AM31" s="3537">
        <v>250</v>
      </c>
      <c r="AN31" s="3538">
        <v>240</v>
      </c>
      <c r="AO31" s="3539">
        <v>230</v>
      </c>
      <c r="AQ31" s="3">
        <v>1</v>
      </c>
    </row>
    <row r="32" spans="1:43" ht="21" customHeight="1">
      <c r="B32" s="6705"/>
      <c r="C32" s="6705"/>
      <c r="E32" s="6702"/>
      <c r="F32" s="6702"/>
      <c r="H32" s="7762" t="s">
        <v>1063</v>
      </c>
      <c r="I32" s="7763"/>
      <c r="K32" s="5690" t="s">
        <v>10761</v>
      </c>
      <c r="L32" s="5673" t="s">
        <v>10762</v>
      </c>
      <c r="M32" s="5674">
        <v>128</v>
      </c>
      <c r="N32" s="5674">
        <v>0</v>
      </c>
      <c r="O32" s="5674">
        <v>0</v>
      </c>
      <c r="P32" s="5691" t="s">
        <v>10763</v>
      </c>
      <c r="Q32" s="5673" t="s">
        <v>10764</v>
      </c>
      <c r="R32" s="5674">
        <v>153</v>
      </c>
      <c r="S32" s="5674">
        <v>0</v>
      </c>
      <c r="T32" s="5674">
        <v>0</v>
      </c>
      <c r="V32" s="3570"/>
      <c r="W32" s="3543" t="s">
        <v>10765</v>
      </c>
      <c r="X32" s="3544" t="s">
        <v>10766</v>
      </c>
      <c r="Y32" s="3545">
        <v>198</v>
      </c>
      <c r="Z32" s="3546">
        <v>226</v>
      </c>
      <c r="AA32" s="3547">
        <v>255</v>
      </c>
      <c r="AB32"/>
      <c r="AC32" s="3571"/>
      <c r="AD32" s="3535" t="s">
        <v>10767</v>
      </c>
      <c r="AE32" s="3536" t="s">
        <v>10768</v>
      </c>
      <c r="AF32" s="3537">
        <v>54</v>
      </c>
      <c r="AG32" s="3538">
        <v>54</v>
      </c>
      <c r="AH32" s="3539">
        <v>54</v>
      </c>
      <c r="AI32"/>
      <c r="AJ32" s="3572"/>
      <c r="AK32" s="3541" t="s">
        <v>10769</v>
      </c>
      <c r="AL32" s="3536" t="s">
        <v>10770</v>
      </c>
      <c r="AM32" s="3537">
        <v>222</v>
      </c>
      <c r="AN32" s="3538">
        <v>184</v>
      </c>
      <c r="AO32" s="3539">
        <v>135</v>
      </c>
      <c r="AQ32" s="3">
        <v>1</v>
      </c>
    </row>
    <row r="33" spans="2:43" ht="21" customHeight="1" thickBot="1">
      <c r="H33" s="5692">
        <v>12</v>
      </c>
      <c r="I33" s="5693">
        <v>12</v>
      </c>
      <c r="K33" s="5694" t="s">
        <v>10771</v>
      </c>
      <c r="L33" s="5673" t="s">
        <v>10772</v>
      </c>
      <c r="M33" s="5674">
        <v>0</v>
      </c>
      <c r="N33" s="5674">
        <v>128</v>
      </c>
      <c r="O33" s="5674">
        <v>0</v>
      </c>
      <c r="P33" s="5695" t="s">
        <v>10773</v>
      </c>
      <c r="Q33" s="5673" t="s">
        <v>10774</v>
      </c>
      <c r="R33" s="5674">
        <v>255</v>
      </c>
      <c r="S33" s="5674">
        <v>0</v>
      </c>
      <c r="T33" s="5674">
        <v>0</v>
      </c>
      <c r="V33" s="3573"/>
      <c r="W33" s="3558" t="s">
        <v>10775</v>
      </c>
      <c r="X33" s="3544" t="s">
        <v>10776</v>
      </c>
      <c r="Y33" s="3545">
        <v>242</v>
      </c>
      <c r="Z33" s="3546">
        <v>243</v>
      </c>
      <c r="AA33" s="3547">
        <v>244</v>
      </c>
      <c r="AB33"/>
      <c r="AC33" s="3574"/>
      <c r="AD33" s="3535" t="s">
        <v>10777</v>
      </c>
      <c r="AE33" s="3536" t="s">
        <v>10778</v>
      </c>
      <c r="AF33" s="3537">
        <v>51</v>
      </c>
      <c r="AG33" s="3538">
        <v>51</v>
      </c>
      <c r="AH33" s="3539">
        <v>51</v>
      </c>
      <c r="AI33"/>
      <c r="AJ33" s="3575"/>
      <c r="AK33" s="3541" t="s">
        <v>10779</v>
      </c>
      <c r="AL33" s="3536" t="s">
        <v>10780</v>
      </c>
      <c r="AM33" s="3537">
        <v>205</v>
      </c>
      <c r="AN33" s="3538">
        <v>183</v>
      </c>
      <c r="AO33" s="3539">
        <v>158</v>
      </c>
      <c r="AQ33" s="3">
        <v>1</v>
      </c>
    </row>
    <row r="34" spans="2:43" ht="21" customHeight="1">
      <c r="B34" s="6701" t="s">
        <v>1075</v>
      </c>
      <c r="C34" s="6701"/>
      <c r="E34" s="6708" t="s">
        <v>1076</v>
      </c>
      <c r="F34" s="6708"/>
      <c r="K34" s="5696" t="s">
        <v>10781</v>
      </c>
      <c r="L34" s="5673" t="s">
        <v>10782</v>
      </c>
      <c r="M34" s="5674">
        <v>0</v>
      </c>
      <c r="N34" s="5674">
        <v>0</v>
      </c>
      <c r="O34" s="5674">
        <v>128</v>
      </c>
      <c r="P34" s="5697" t="s">
        <v>10783</v>
      </c>
      <c r="Q34" s="5673" t="s">
        <v>10784</v>
      </c>
      <c r="R34" s="5674">
        <v>204</v>
      </c>
      <c r="S34" s="5674">
        <v>0</v>
      </c>
      <c r="T34" s="5674">
        <v>0</v>
      </c>
      <c r="V34" s="3576"/>
      <c r="W34" s="3543" t="s">
        <v>10785</v>
      </c>
      <c r="X34" s="3544" t="s">
        <v>10786</v>
      </c>
      <c r="Y34" s="3545">
        <v>240</v>
      </c>
      <c r="Z34" s="3546">
        <v>248</v>
      </c>
      <c r="AA34" s="3547">
        <v>255</v>
      </c>
      <c r="AB34"/>
      <c r="AC34" s="3577"/>
      <c r="AD34" s="3578" t="s">
        <v>10787</v>
      </c>
      <c r="AE34" s="3536" t="s">
        <v>10788</v>
      </c>
      <c r="AF34" s="3537">
        <v>48</v>
      </c>
      <c r="AG34" s="3538">
        <v>48</v>
      </c>
      <c r="AH34" s="3539">
        <v>48</v>
      </c>
      <c r="AI34"/>
      <c r="AJ34" s="3579"/>
      <c r="AK34" s="3541" t="s">
        <v>10789</v>
      </c>
      <c r="AL34" s="3536" t="s">
        <v>10790</v>
      </c>
      <c r="AM34" s="3537">
        <v>210</v>
      </c>
      <c r="AN34" s="3538">
        <v>180</v>
      </c>
      <c r="AO34" s="3539">
        <v>140</v>
      </c>
      <c r="AQ34" s="3">
        <v>1</v>
      </c>
    </row>
    <row r="35" spans="2:43" ht="21" customHeight="1">
      <c r="B35" s="6701"/>
      <c r="C35" s="6701"/>
      <c r="E35" s="6708"/>
      <c r="F35" s="6708"/>
      <c r="K35" s="5698" t="s">
        <v>10791</v>
      </c>
      <c r="L35" s="5673" t="s">
        <v>10792</v>
      </c>
      <c r="M35" s="5674">
        <v>128</v>
      </c>
      <c r="N35" s="5674">
        <v>128</v>
      </c>
      <c r="O35" s="5674">
        <v>0</v>
      </c>
      <c r="P35" s="5699" t="s">
        <v>10793</v>
      </c>
      <c r="Q35" s="5673" t="s">
        <v>10794</v>
      </c>
      <c r="R35" s="5674">
        <v>255</v>
      </c>
      <c r="S35" s="5674">
        <v>0</v>
      </c>
      <c r="T35" s="5674">
        <v>0</v>
      </c>
      <c r="V35" s="3580"/>
      <c r="W35" s="3543" t="s">
        <v>10795</v>
      </c>
      <c r="X35" s="3544" t="s">
        <v>10796</v>
      </c>
      <c r="Y35" s="3545">
        <v>159</v>
      </c>
      <c r="Z35" s="3546">
        <v>182</v>
      </c>
      <c r="AA35" s="3547">
        <v>205</v>
      </c>
      <c r="AB35"/>
      <c r="AC35" s="3581"/>
      <c r="AD35" s="3535" t="s">
        <v>10797</v>
      </c>
      <c r="AE35" s="3536" t="s">
        <v>10798</v>
      </c>
      <c r="AF35" s="3537">
        <v>46</v>
      </c>
      <c r="AG35" s="3538">
        <v>46</v>
      </c>
      <c r="AH35" s="3539">
        <v>46</v>
      </c>
      <c r="AI35"/>
      <c r="AJ35" s="3582"/>
      <c r="AK35" s="3541" t="s">
        <v>10799</v>
      </c>
      <c r="AL35" s="3536" t="s">
        <v>10800</v>
      </c>
      <c r="AM35" s="3537">
        <v>205</v>
      </c>
      <c r="AN35" s="3538">
        <v>179</v>
      </c>
      <c r="AO35" s="3539">
        <v>139</v>
      </c>
      <c r="AQ35" s="3">
        <v>1</v>
      </c>
    </row>
    <row r="36" spans="2:43" ht="21" customHeight="1">
      <c r="K36" s="5675" t="s">
        <v>10801</v>
      </c>
      <c r="L36" s="5673" t="s">
        <v>10685</v>
      </c>
      <c r="M36" s="5674">
        <v>128</v>
      </c>
      <c r="N36" s="5674">
        <v>0</v>
      </c>
      <c r="O36" s="5674">
        <v>128</v>
      </c>
      <c r="P36" s="5700" t="s">
        <v>10802</v>
      </c>
      <c r="Q36" s="5673" t="s">
        <v>10803</v>
      </c>
      <c r="R36" s="5674">
        <v>51</v>
      </c>
      <c r="S36" s="5674">
        <v>0</v>
      </c>
      <c r="T36" s="5674">
        <v>0</v>
      </c>
      <c r="V36" s="3583"/>
      <c r="W36" s="3543" t="s">
        <v>10804</v>
      </c>
      <c r="X36" s="3544" t="s">
        <v>10805</v>
      </c>
      <c r="Y36" s="3545">
        <v>0</v>
      </c>
      <c r="Z36" s="3546">
        <v>178</v>
      </c>
      <c r="AA36" s="3547">
        <v>238</v>
      </c>
      <c r="AB36"/>
      <c r="AC36" s="3584"/>
      <c r="AD36" s="3535" t="s">
        <v>10806</v>
      </c>
      <c r="AE36" s="3536" t="s">
        <v>10807</v>
      </c>
      <c r="AF36" s="3537">
        <v>43</v>
      </c>
      <c r="AG36" s="3538">
        <v>43</v>
      </c>
      <c r="AH36" s="3539">
        <v>43</v>
      </c>
      <c r="AI36"/>
      <c r="AJ36" s="3585"/>
      <c r="AK36" s="3541" t="s">
        <v>10808</v>
      </c>
      <c r="AL36" s="3536" t="s">
        <v>10809</v>
      </c>
      <c r="AM36" s="3537">
        <v>238</v>
      </c>
      <c r="AN36" s="3538">
        <v>180</v>
      </c>
      <c r="AO36" s="3539">
        <v>34</v>
      </c>
      <c r="AQ36" s="3">
        <v>1</v>
      </c>
    </row>
    <row r="37" spans="2:43" ht="21" customHeight="1">
      <c r="K37" s="5679" t="s">
        <v>10810</v>
      </c>
      <c r="L37" s="5673" t="s">
        <v>10704</v>
      </c>
      <c r="M37" s="5674">
        <v>0</v>
      </c>
      <c r="N37" s="5674">
        <v>128</v>
      </c>
      <c r="O37" s="5674">
        <v>128</v>
      </c>
      <c r="P37" s="5701" t="s">
        <v>10811</v>
      </c>
      <c r="Q37" s="5673" t="s">
        <v>10812</v>
      </c>
      <c r="R37" s="5674">
        <v>51</v>
      </c>
      <c r="S37" s="5674">
        <v>0</v>
      </c>
      <c r="T37" s="5674">
        <v>0</v>
      </c>
      <c r="V37" s="3586"/>
      <c r="W37" s="3558" t="s">
        <v>10813</v>
      </c>
      <c r="X37" s="3544" t="s">
        <v>10814</v>
      </c>
      <c r="Y37" s="3545">
        <v>112</v>
      </c>
      <c r="Z37" s="3546">
        <v>163</v>
      </c>
      <c r="AA37" s="3547">
        <v>204</v>
      </c>
      <c r="AB37"/>
      <c r="AC37" s="3587"/>
      <c r="AD37" s="3535" t="s">
        <v>10815</v>
      </c>
      <c r="AE37" s="3536" t="s">
        <v>10816</v>
      </c>
      <c r="AF37" s="3537">
        <v>41</v>
      </c>
      <c r="AG37" s="3538">
        <v>41</v>
      </c>
      <c r="AH37" s="3539">
        <v>41</v>
      </c>
      <c r="AI37"/>
      <c r="AJ37" s="3588"/>
      <c r="AK37" s="3550" t="s">
        <v>10817</v>
      </c>
      <c r="AL37" s="3536" t="s">
        <v>10818</v>
      </c>
      <c r="AM37" s="3537">
        <v>227</v>
      </c>
      <c r="AN37" s="3538">
        <v>168</v>
      </c>
      <c r="AO37" s="3539">
        <v>87</v>
      </c>
      <c r="AQ37" s="3">
        <v>1</v>
      </c>
    </row>
    <row r="38" spans="2:43" ht="21" customHeight="1">
      <c r="K38" s="5702" t="s">
        <v>10819</v>
      </c>
      <c r="L38" s="5673" t="s">
        <v>10820</v>
      </c>
      <c r="M38" s="5674">
        <v>192</v>
      </c>
      <c r="N38" s="5674">
        <v>192</v>
      </c>
      <c r="O38" s="5674">
        <v>192</v>
      </c>
      <c r="P38" s="5703" t="s">
        <v>10821</v>
      </c>
      <c r="Q38" s="5673" t="s">
        <v>10822</v>
      </c>
      <c r="R38" s="5674">
        <v>153</v>
      </c>
      <c r="S38" s="5674">
        <v>0</v>
      </c>
      <c r="T38" s="5674">
        <v>0</v>
      </c>
      <c r="V38" s="3589"/>
      <c r="W38" s="3543" t="s">
        <v>10823</v>
      </c>
      <c r="X38" s="3544" t="s">
        <v>10824</v>
      </c>
      <c r="Y38" s="3545">
        <v>108</v>
      </c>
      <c r="Z38" s="3546">
        <v>166</v>
      </c>
      <c r="AA38" s="3547">
        <v>205</v>
      </c>
      <c r="AB38"/>
      <c r="AC38" s="3590"/>
      <c r="AD38" s="3535" t="s">
        <v>10825</v>
      </c>
      <c r="AE38" s="3536" t="s">
        <v>10826</v>
      </c>
      <c r="AF38" s="3537">
        <v>38</v>
      </c>
      <c r="AG38" s="3538">
        <v>38</v>
      </c>
      <c r="AH38" s="3539">
        <v>38</v>
      </c>
      <c r="AI38"/>
      <c r="AJ38" s="3591"/>
      <c r="AK38" s="3541" t="s">
        <v>10827</v>
      </c>
      <c r="AL38" s="3536" t="s">
        <v>10828</v>
      </c>
      <c r="AM38" s="3537">
        <v>238</v>
      </c>
      <c r="AN38" s="3538">
        <v>173</v>
      </c>
      <c r="AO38" s="3539">
        <v>14</v>
      </c>
      <c r="AQ38" s="3">
        <v>1</v>
      </c>
    </row>
    <row r="39" spans="2:43" ht="21" customHeight="1">
      <c r="K39" s="5704" t="s">
        <v>10829</v>
      </c>
      <c r="L39" s="5673" t="s">
        <v>10830</v>
      </c>
      <c r="M39" s="5674">
        <v>128</v>
      </c>
      <c r="N39" s="5674">
        <v>128</v>
      </c>
      <c r="O39" s="5674">
        <v>128</v>
      </c>
      <c r="P39" s="5705" t="s">
        <v>10831</v>
      </c>
      <c r="Q39" s="5673" t="s">
        <v>10832</v>
      </c>
      <c r="R39" s="5674">
        <v>255</v>
      </c>
      <c r="S39" s="5674">
        <v>0</v>
      </c>
      <c r="T39" s="5674">
        <v>0</v>
      </c>
      <c r="V39" s="3592"/>
      <c r="W39" s="3558" t="s">
        <v>10833</v>
      </c>
      <c r="X39" s="3544" t="s">
        <v>10834</v>
      </c>
      <c r="Y39" s="3545">
        <v>145</v>
      </c>
      <c r="Z39" s="3546">
        <v>163</v>
      </c>
      <c r="AA39" s="3547">
        <v>176</v>
      </c>
      <c r="AB39"/>
      <c r="AC39" s="3593"/>
      <c r="AD39" s="3535" t="s">
        <v>10835</v>
      </c>
      <c r="AE39" s="3536" t="s">
        <v>10836</v>
      </c>
      <c r="AF39" s="3537">
        <v>36</v>
      </c>
      <c r="AG39" s="3538">
        <v>36</v>
      </c>
      <c r="AH39" s="3539">
        <v>36</v>
      </c>
      <c r="AI39"/>
      <c r="AJ39" s="3594"/>
      <c r="AK39" s="3541" t="s">
        <v>10837</v>
      </c>
      <c r="AL39" s="3536" t="s">
        <v>10838</v>
      </c>
      <c r="AM39" s="3537">
        <v>205</v>
      </c>
      <c r="AN39" s="3538">
        <v>170</v>
      </c>
      <c r="AO39" s="3539">
        <v>125</v>
      </c>
      <c r="AQ39" s="3">
        <v>1</v>
      </c>
    </row>
    <row r="40" spans="2:43" ht="21" customHeight="1">
      <c r="K40" s="5706" t="s">
        <v>10839</v>
      </c>
      <c r="L40" s="5673" t="s">
        <v>10840</v>
      </c>
      <c r="M40" s="5674">
        <v>153</v>
      </c>
      <c r="N40" s="5674">
        <v>153</v>
      </c>
      <c r="O40" s="5674">
        <v>255</v>
      </c>
      <c r="P40" s="5707" t="s">
        <v>10841</v>
      </c>
      <c r="Q40" s="5673" t="s">
        <v>10842</v>
      </c>
      <c r="R40" s="5674">
        <v>255</v>
      </c>
      <c r="S40" s="5674">
        <v>0</v>
      </c>
      <c r="T40" s="5674">
        <v>0</v>
      </c>
      <c r="V40" s="3595"/>
      <c r="W40" s="3543"/>
      <c r="X40" s="3544" t="s">
        <v>10843</v>
      </c>
      <c r="Y40" s="3545">
        <v>51</v>
      </c>
      <c r="Z40" s="3546">
        <v>153</v>
      </c>
      <c r="AA40" s="3547">
        <v>204</v>
      </c>
      <c r="AB40"/>
      <c r="AC40" s="3596"/>
      <c r="AD40" s="3535" t="s">
        <v>10844</v>
      </c>
      <c r="AE40" s="3536" t="s">
        <v>10845</v>
      </c>
      <c r="AF40" s="3537">
        <v>33</v>
      </c>
      <c r="AG40" s="3538">
        <v>33</v>
      </c>
      <c r="AH40" s="3539">
        <v>33</v>
      </c>
      <c r="AI40"/>
      <c r="AJ40" s="3597"/>
      <c r="AK40" s="3541" t="s">
        <v>10846</v>
      </c>
      <c r="AL40" s="3536" t="s">
        <v>10847</v>
      </c>
      <c r="AM40" s="3537">
        <v>218</v>
      </c>
      <c r="AN40" s="3538">
        <v>165</v>
      </c>
      <c r="AO40" s="3539">
        <v>32</v>
      </c>
      <c r="AQ40" s="3">
        <v>1</v>
      </c>
    </row>
    <row r="41" spans="2:43" ht="21" customHeight="1">
      <c r="K41" s="5708" t="s">
        <v>10848</v>
      </c>
      <c r="L41" s="5673" t="s">
        <v>10849</v>
      </c>
      <c r="M41" s="5674">
        <v>153</v>
      </c>
      <c r="N41" s="5674">
        <v>51</v>
      </c>
      <c r="O41" s="5674">
        <v>102</v>
      </c>
      <c r="P41" s="5709" t="s">
        <v>10850</v>
      </c>
      <c r="Q41" s="5673" t="s">
        <v>10851</v>
      </c>
      <c r="R41" s="5674">
        <v>255</v>
      </c>
      <c r="S41" s="5674">
        <v>0</v>
      </c>
      <c r="T41" s="5674">
        <v>0</v>
      </c>
      <c r="V41" s="3598"/>
      <c r="W41" s="3543" t="s">
        <v>10852</v>
      </c>
      <c r="X41" s="3544" t="s">
        <v>10853</v>
      </c>
      <c r="Y41" s="3545">
        <v>50</v>
      </c>
      <c r="Z41" s="3546">
        <v>153</v>
      </c>
      <c r="AA41" s="3547">
        <v>204</v>
      </c>
      <c r="AB41"/>
      <c r="AC41" s="3599"/>
      <c r="AD41" s="3535" t="s">
        <v>10854</v>
      </c>
      <c r="AE41" s="3536" t="s">
        <v>10855</v>
      </c>
      <c r="AF41" s="3537">
        <v>31</v>
      </c>
      <c r="AG41" s="3538">
        <v>31</v>
      </c>
      <c r="AH41" s="3539">
        <v>31</v>
      </c>
      <c r="AI41"/>
      <c r="AJ41" s="3600"/>
      <c r="AK41" s="3550" t="s">
        <v>10856</v>
      </c>
      <c r="AL41" s="3536" t="s">
        <v>10857</v>
      </c>
      <c r="AM41" s="3537">
        <v>193</v>
      </c>
      <c r="AN41" s="3538">
        <v>154</v>
      </c>
      <c r="AO41" s="3539">
        <v>107</v>
      </c>
      <c r="AQ41" s="3">
        <v>1</v>
      </c>
    </row>
    <row r="42" spans="2:43" ht="21" customHeight="1">
      <c r="K42" s="5710" t="s">
        <v>10858</v>
      </c>
      <c r="L42" s="5673" t="s">
        <v>10859</v>
      </c>
      <c r="M42" s="5674"/>
      <c r="N42" s="5674"/>
      <c r="O42" s="5674"/>
      <c r="P42" s="5711" t="s">
        <v>10860</v>
      </c>
      <c r="Q42" s="5673" t="s">
        <v>10861</v>
      </c>
      <c r="R42" s="5674">
        <v>102</v>
      </c>
      <c r="S42" s="5674">
        <v>0</v>
      </c>
      <c r="T42" s="5674">
        <v>0</v>
      </c>
      <c r="V42" s="3601"/>
      <c r="W42" s="3543" t="s">
        <v>10862</v>
      </c>
      <c r="X42" s="3544" t="s">
        <v>10863</v>
      </c>
      <c r="Y42" s="3545">
        <v>0</v>
      </c>
      <c r="Z42" s="3546">
        <v>154</v>
      </c>
      <c r="AA42" s="3547">
        <v>205</v>
      </c>
      <c r="AB42"/>
      <c r="AC42" s="3602"/>
      <c r="AD42" s="3535" t="s">
        <v>10864</v>
      </c>
      <c r="AE42" s="3536" t="s">
        <v>10865</v>
      </c>
      <c r="AF42" s="3537">
        <v>28</v>
      </c>
      <c r="AG42" s="3538">
        <v>28</v>
      </c>
      <c r="AH42" s="3539">
        <v>28</v>
      </c>
      <c r="AI42"/>
      <c r="AJ42" s="3603"/>
      <c r="AK42" s="3550" t="s">
        <v>10866</v>
      </c>
      <c r="AL42" s="3536" t="s">
        <v>10867</v>
      </c>
      <c r="AM42" s="3537">
        <v>174</v>
      </c>
      <c r="AN42" s="3538">
        <v>155</v>
      </c>
      <c r="AO42" s="3539">
        <v>130</v>
      </c>
      <c r="AQ42" s="3">
        <v>1</v>
      </c>
    </row>
    <row r="43" spans="2:43" ht="21" customHeight="1">
      <c r="K43" s="5685" t="s">
        <v>10868</v>
      </c>
      <c r="L43" s="5673" t="s">
        <v>10734</v>
      </c>
      <c r="M43" s="5674">
        <v>204</v>
      </c>
      <c r="N43" s="5674">
        <v>255</v>
      </c>
      <c r="O43" s="5674">
        <v>255</v>
      </c>
      <c r="P43" s="5712" t="s">
        <v>10869</v>
      </c>
      <c r="Q43" s="5673" t="s">
        <v>10870</v>
      </c>
      <c r="R43" s="5674">
        <v>150</v>
      </c>
      <c r="S43" s="5674">
        <v>150</v>
      </c>
      <c r="T43" s="5674">
        <v>150</v>
      </c>
      <c r="V43" s="3604"/>
      <c r="W43" s="3558" t="s">
        <v>10871</v>
      </c>
      <c r="X43" s="3544" t="s">
        <v>10872</v>
      </c>
      <c r="Y43" s="3545">
        <v>58</v>
      </c>
      <c r="Z43" s="3546">
        <v>142</v>
      </c>
      <c r="AA43" s="3547">
        <v>186</v>
      </c>
      <c r="AB43"/>
      <c r="AC43" s="3605"/>
      <c r="AD43" s="3535" t="s">
        <v>10873</v>
      </c>
      <c r="AE43" s="3536" t="s">
        <v>10874</v>
      </c>
      <c r="AF43" s="3537">
        <v>26</v>
      </c>
      <c r="AG43" s="3538">
        <v>26</v>
      </c>
      <c r="AH43" s="3539">
        <v>26</v>
      </c>
      <c r="AI43"/>
      <c r="AJ43" s="3606"/>
      <c r="AK43" s="3541" t="s">
        <v>10875</v>
      </c>
      <c r="AL43" s="3536" t="s">
        <v>10876</v>
      </c>
      <c r="AM43" s="3537">
        <v>205</v>
      </c>
      <c r="AN43" s="3538">
        <v>155</v>
      </c>
      <c r="AO43" s="3539">
        <v>29</v>
      </c>
      <c r="AQ43" s="3">
        <v>1</v>
      </c>
    </row>
    <row r="44" spans="2:43" ht="21" customHeight="1">
      <c r="K44" s="5713" t="s">
        <v>10877</v>
      </c>
      <c r="L44" s="5673" t="s">
        <v>10878</v>
      </c>
      <c r="M44" s="5674">
        <v>102</v>
      </c>
      <c r="N44" s="5674">
        <v>0</v>
      </c>
      <c r="O44" s="5674">
        <v>102</v>
      </c>
      <c r="P44" s="5714" t="s">
        <v>10879</v>
      </c>
      <c r="Q44" s="5673" t="s">
        <v>10880</v>
      </c>
      <c r="R44" s="5674">
        <v>0</v>
      </c>
      <c r="S44" s="5674">
        <v>51</v>
      </c>
      <c r="T44" s="5674">
        <v>102</v>
      </c>
      <c r="V44" s="3607"/>
      <c r="W44" s="3543" t="s">
        <v>10881</v>
      </c>
      <c r="X44" s="3544" t="s">
        <v>10882</v>
      </c>
      <c r="Y44" s="3545">
        <v>119</v>
      </c>
      <c r="Z44" s="3546">
        <v>136</v>
      </c>
      <c r="AA44" s="3547">
        <v>153</v>
      </c>
      <c r="AB44"/>
      <c r="AC44" s="3608"/>
      <c r="AD44" s="3535" t="s">
        <v>10883</v>
      </c>
      <c r="AE44" s="3536" t="s">
        <v>10884</v>
      </c>
      <c r="AF44" s="3537">
        <v>23</v>
      </c>
      <c r="AG44" s="3538">
        <v>23</v>
      </c>
      <c r="AH44" s="3539">
        <v>23</v>
      </c>
      <c r="AI44"/>
      <c r="AJ44" s="3609"/>
      <c r="AK44" s="3541" t="s">
        <v>10885</v>
      </c>
      <c r="AL44" s="3536" t="s">
        <v>10886</v>
      </c>
      <c r="AM44" s="3537">
        <v>205</v>
      </c>
      <c r="AN44" s="3538">
        <v>149</v>
      </c>
      <c r="AO44" s="3539">
        <v>12</v>
      </c>
      <c r="AQ44" s="3">
        <v>1</v>
      </c>
    </row>
    <row r="45" spans="2:43" ht="21" customHeight="1">
      <c r="K45" s="5715" t="s">
        <v>10887</v>
      </c>
      <c r="L45" s="5673" t="s">
        <v>10888</v>
      </c>
      <c r="M45" s="5674">
        <v>255</v>
      </c>
      <c r="N45" s="5674">
        <v>128</v>
      </c>
      <c r="O45" s="5674">
        <v>128</v>
      </c>
      <c r="P45" s="5716" t="s">
        <v>10889</v>
      </c>
      <c r="Q45" s="5673" t="s">
        <v>10890</v>
      </c>
      <c r="R45" s="5674">
        <v>51</v>
      </c>
      <c r="S45" s="5674">
        <v>153</v>
      </c>
      <c r="T45" s="5674">
        <v>102</v>
      </c>
      <c r="V45" s="3610"/>
      <c r="W45" s="3543" t="s">
        <v>10891</v>
      </c>
      <c r="X45" s="3544" t="s">
        <v>10892</v>
      </c>
      <c r="Y45" s="3545">
        <v>112</v>
      </c>
      <c r="Z45" s="3546">
        <v>128</v>
      </c>
      <c r="AA45" s="3547">
        <v>144</v>
      </c>
      <c r="AB45"/>
      <c r="AC45" s="3611"/>
      <c r="AD45" s="3535" t="s">
        <v>10893</v>
      </c>
      <c r="AE45" s="3536" t="s">
        <v>10894</v>
      </c>
      <c r="AF45" s="3537">
        <v>20</v>
      </c>
      <c r="AG45" s="3538">
        <v>20</v>
      </c>
      <c r="AH45" s="3539">
        <v>20</v>
      </c>
      <c r="AI45"/>
      <c r="AJ45" s="3612"/>
      <c r="AK45" s="3541" t="s">
        <v>10895</v>
      </c>
      <c r="AL45" s="3536" t="s">
        <v>10896</v>
      </c>
      <c r="AM45" s="3537">
        <v>204</v>
      </c>
      <c r="AN45" s="3538">
        <v>153</v>
      </c>
      <c r="AO45" s="3539">
        <v>0</v>
      </c>
      <c r="AQ45" s="3">
        <v>1</v>
      </c>
    </row>
    <row r="46" spans="2:43" ht="21" customHeight="1">
      <c r="K46" s="5717" t="s">
        <v>10897</v>
      </c>
      <c r="L46" s="5673" t="s">
        <v>10898</v>
      </c>
      <c r="M46" s="5674">
        <v>0</v>
      </c>
      <c r="N46" s="5674">
        <v>102</v>
      </c>
      <c r="O46" s="5674">
        <v>204</v>
      </c>
      <c r="P46" s="5718" t="s">
        <v>10899</v>
      </c>
      <c r="Q46" s="5673" t="s">
        <v>10900</v>
      </c>
      <c r="R46" s="5674">
        <v>51</v>
      </c>
      <c r="S46" s="5674">
        <v>51</v>
      </c>
      <c r="T46" s="5674">
        <v>0</v>
      </c>
      <c r="V46" s="3613"/>
      <c r="W46" s="3543" t="s">
        <v>10901</v>
      </c>
      <c r="X46" s="3544" t="s">
        <v>10902</v>
      </c>
      <c r="Y46" s="3545">
        <v>108</v>
      </c>
      <c r="Z46" s="3546">
        <v>123</v>
      </c>
      <c r="AA46" s="3547">
        <v>139</v>
      </c>
      <c r="AB46"/>
      <c r="AC46" s="3614"/>
      <c r="AD46" s="3535" t="s">
        <v>10903</v>
      </c>
      <c r="AE46" s="3536" t="s">
        <v>10904</v>
      </c>
      <c r="AF46" s="3537">
        <v>18</v>
      </c>
      <c r="AG46" s="3538">
        <v>18</v>
      </c>
      <c r="AH46" s="3539">
        <v>18</v>
      </c>
      <c r="AI46"/>
      <c r="AJ46" s="3615"/>
      <c r="AK46" s="3550" t="s">
        <v>10905</v>
      </c>
      <c r="AL46" s="3536" t="s">
        <v>10906</v>
      </c>
      <c r="AM46" s="3537">
        <v>190</v>
      </c>
      <c r="AN46" s="3538">
        <v>138</v>
      </c>
      <c r="AO46" s="3539">
        <v>61</v>
      </c>
      <c r="AQ46" s="3">
        <v>1</v>
      </c>
    </row>
    <row r="47" spans="2:43" ht="21" customHeight="1">
      <c r="K47" s="5719" t="s">
        <v>10907</v>
      </c>
      <c r="L47" s="5673" t="s">
        <v>10908</v>
      </c>
      <c r="M47" s="5674">
        <v>204</v>
      </c>
      <c r="N47" s="5674">
        <v>204</v>
      </c>
      <c r="O47" s="5674">
        <v>255</v>
      </c>
      <c r="P47" s="5720" t="s">
        <v>10909</v>
      </c>
      <c r="Q47" s="5673" t="s">
        <v>10910</v>
      </c>
      <c r="R47" s="5674">
        <v>153</v>
      </c>
      <c r="S47" s="5674">
        <v>51</v>
      </c>
      <c r="T47" s="5674">
        <v>0</v>
      </c>
      <c r="V47" s="3616"/>
      <c r="W47" s="3558" t="s">
        <v>10911</v>
      </c>
      <c r="X47" s="3544" t="s">
        <v>10912</v>
      </c>
      <c r="Y47" s="3545">
        <v>103</v>
      </c>
      <c r="Z47" s="3546">
        <v>113</v>
      </c>
      <c r="AA47" s="3547">
        <v>121</v>
      </c>
      <c r="AB47"/>
      <c r="AC47" s="3617"/>
      <c r="AD47" s="3535" t="s">
        <v>10913</v>
      </c>
      <c r="AE47" s="3536" t="s">
        <v>10914</v>
      </c>
      <c r="AF47" s="3537">
        <v>15</v>
      </c>
      <c r="AG47" s="3538">
        <v>15</v>
      </c>
      <c r="AH47" s="3539">
        <v>15</v>
      </c>
      <c r="AI47"/>
      <c r="AJ47" s="3618"/>
      <c r="AK47" s="3541" t="s">
        <v>10915</v>
      </c>
      <c r="AL47" s="3536" t="s">
        <v>10916</v>
      </c>
      <c r="AM47" s="3537">
        <v>184</v>
      </c>
      <c r="AN47" s="3538">
        <v>134</v>
      </c>
      <c r="AO47" s="3539">
        <v>11</v>
      </c>
      <c r="AQ47" s="3">
        <v>1</v>
      </c>
    </row>
    <row r="48" spans="2:43" ht="21" customHeight="1">
      <c r="K48" s="5696" t="s">
        <v>10917</v>
      </c>
      <c r="L48" s="5673" t="s">
        <v>10782</v>
      </c>
      <c r="M48" s="5674">
        <v>0</v>
      </c>
      <c r="N48" s="5674">
        <v>0</v>
      </c>
      <c r="O48" s="5674">
        <v>128</v>
      </c>
      <c r="P48" s="5708" t="s">
        <v>10918</v>
      </c>
      <c r="Q48" s="5673" t="s">
        <v>10849</v>
      </c>
      <c r="R48" s="5674">
        <v>153</v>
      </c>
      <c r="S48" s="5674">
        <v>51</v>
      </c>
      <c r="T48" s="5674">
        <v>102</v>
      </c>
      <c r="V48" s="3619"/>
      <c r="W48" s="3543" t="s">
        <v>10919</v>
      </c>
      <c r="X48" s="3544" t="s">
        <v>10920</v>
      </c>
      <c r="Y48" s="3545">
        <v>74</v>
      </c>
      <c r="Z48" s="3546">
        <v>112</v>
      </c>
      <c r="AA48" s="3547">
        <v>139</v>
      </c>
      <c r="AB48"/>
      <c r="AC48" s="3620"/>
      <c r="AD48" s="3535" t="s">
        <v>10921</v>
      </c>
      <c r="AE48" s="3536" t="s">
        <v>10922</v>
      </c>
      <c r="AF48" s="3537">
        <v>13</v>
      </c>
      <c r="AG48" s="3538">
        <v>13</v>
      </c>
      <c r="AH48" s="3539">
        <v>13</v>
      </c>
      <c r="AI48"/>
      <c r="AJ48" s="3621"/>
      <c r="AK48" s="3541" t="s">
        <v>10923</v>
      </c>
      <c r="AL48" s="3536" t="s">
        <v>10924</v>
      </c>
      <c r="AM48" s="3537">
        <v>166</v>
      </c>
      <c r="AN48" s="3538">
        <v>125</v>
      </c>
      <c r="AO48" s="3539">
        <v>61</v>
      </c>
      <c r="AQ48" s="3">
        <v>1</v>
      </c>
    </row>
    <row r="49" spans="1:43" ht="21" customHeight="1">
      <c r="K49" s="5721" t="s">
        <v>10925</v>
      </c>
      <c r="L49" s="5673" t="s">
        <v>10926</v>
      </c>
      <c r="M49" s="5674">
        <v>255</v>
      </c>
      <c r="N49" s="5674">
        <v>0</v>
      </c>
      <c r="O49" s="5674">
        <v>255</v>
      </c>
      <c r="P49" s="5722" t="s">
        <v>10927</v>
      </c>
      <c r="Q49" s="5673" t="s">
        <v>10928</v>
      </c>
      <c r="R49" s="5674">
        <v>51</v>
      </c>
      <c r="S49" s="5674">
        <v>51</v>
      </c>
      <c r="T49" s="5674">
        <v>153</v>
      </c>
      <c r="V49" s="3622"/>
      <c r="W49" s="3543" t="s">
        <v>10929</v>
      </c>
      <c r="X49" s="3544" t="s">
        <v>10930</v>
      </c>
      <c r="Y49" s="3545">
        <v>35</v>
      </c>
      <c r="Z49" s="3546">
        <v>107</v>
      </c>
      <c r="AA49" s="3547">
        <v>142</v>
      </c>
      <c r="AB49"/>
      <c r="AC49" s="3623"/>
      <c r="AD49" s="3535" t="s">
        <v>10931</v>
      </c>
      <c r="AE49" s="3536" t="s">
        <v>10932</v>
      </c>
      <c r="AF49" s="3537">
        <v>10</v>
      </c>
      <c r="AG49" s="3538">
        <v>10</v>
      </c>
      <c r="AH49" s="3539">
        <v>10</v>
      </c>
      <c r="AI49"/>
      <c r="AJ49" s="3624"/>
      <c r="AK49" s="3550" t="s">
        <v>10933</v>
      </c>
      <c r="AL49" s="3536" t="s">
        <v>10934</v>
      </c>
      <c r="AM49" s="3537">
        <v>148</v>
      </c>
      <c r="AN49" s="3538">
        <v>127</v>
      </c>
      <c r="AO49" s="3539">
        <v>96</v>
      </c>
      <c r="AQ49" s="3">
        <v>1</v>
      </c>
    </row>
    <row r="50" spans="1:43" ht="21" customHeight="1">
      <c r="K50" s="5723" t="s">
        <v>10935</v>
      </c>
      <c r="L50" s="5673" t="s">
        <v>10936</v>
      </c>
      <c r="M50" s="5674">
        <v>255</v>
      </c>
      <c r="N50" s="5674">
        <v>255</v>
      </c>
      <c r="O50" s="5674">
        <v>0</v>
      </c>
      <c r="P50" s="5724" t="s">
        <v>10937</v>
      </c>
      <c r="Q50" s="5673" t="s">
        <v>10938</v>
      </c>
      <c r="R50" s="5674">
        <v>51</v>
      </c>
      <c r="S50" s="5674">
        <v>51</v>
      </c>
      <c r="T50" s="5674">
        <v>51</v>
      </c>
      <c r="V50" s="3625"/>
      <c r="W50" s="3558" t="s">
        <v>10939</v>
      </c>
      <c r="X50" s="3544" t="s">
        <v>10940</v>
      </c>
      <c r="Y50" s="3545">
        <v>83</v>
      </c>
      <c r="Z50" s="3546">
        <v>104</v>
      </c>
      <c r="AA50" s="3547">
        <v>120</v>
      </c>
      <c r="AB50"/>
      <c r="AC50" s="3626"/>
      <c r="AD50" s="3535" t="s">
        <v>10941</v>
      </c>
      <c r="AE50" s="3536" t="s">
        <v>10942</v>
      </c>
      <c r="AF50" s="3537">
        <v>8</v>
      </c>
      <c r="AG50" s="3538">
        <v>8</v>
      </c>
      <c r="AH50" s="3539">
        <v>8</v>
      </c>
      <c r="AI50"/>
      <c r="AJ50" s="3627"/>
      <c r="AK50" s="3550" t="s">
        <v>10943</v>
      </c>
      <c r="AL50" s="3536" t="s">
        <v>10944</v>
      </c>
      <c r="AM50" s="3537">
        <v>150</v>
      </c>
      <c r="AN50" s="3538">
        <v>124</v>
      </c>
      <c r="AO50" s="3539">
        <v>92</v>
      </c>
      <c r="AQ50" s="3">
        <v>1</v>
      </c>
    </row>
    <row r="51" spans="1:43" ht="21" customHeight="1">
      <c r="K51" s="5725" t="s">
        <v>10945</v>
      </c>
      <c r="L51" s="5673" t="s">
        <v>10946</v>
      </c>
      <c r="M51" s="5674">
        <v>0</v>
      </c>
      <c r="N51" s="5674">
        <v>255</v>
      </c>
      <c r="O51" s="5674">
        <v>255</v>
      </c>
      <c r="V51" s="3628"/>
      <c r="W51" s="3543" t="s">
        <v>10947</v>
      </c>
      <c r="X51" s="3544" t="s">
        <v>10948</v>
      </c>
      <c r="Y51" s="3545">
        <v>0</v>
      </c>
      <c r="Z51" s="3546">
        <v>104</v>
      </c>
      <c r="AA51" s="3547">
        <v>139</v>
      </c>
      <c r="AB51"/>
      <c r="AC51" s="3629"/>
      <c r="AD51" s="3535" t="s">
        <v>10949</v>
      </c>
      <c r="AE51" s="3536" t="s">
        <v>10950</v>
      </c>
      <c r="AF51" s="3537">
        <v>5</v>
      </c>
      <c r="AG51" s="3538">
        <v>5</v>
      </c>
      <c r="AH51" s="3539">
        <v>5</v>
      </c>
      <c r="AI51"/>
      <c r="AJ51" s="3630"/>
      <c r="AK51" s="3541" t="s">
        <v>10951</v>
      </c>
      <c r="AL51" s="3536" t="s">
        <v>10952</v>
      </c>
      <c r="AM51" s="3537">
        <v>139</v>
      </c>
      <c r="AN51" s="3538">
        <v>125</v>
      </c>
      <c r="AO51" s="3539">
        <v>107</v>
      </c>
      <c r="AQ51" s="3">
        <v>1</v>
      </c>
    </row>
    <row r="52" spans="1:43" ht="21" customHeight="1">
      <c r="V52" s="3631"/>
      <c r="W52" s="3558" t="s">
        <v>10953</v>
      </c>
      <c r="X52" s="3544" t="s">
        <v>10954</v>
      </c>
      <c r="Y52" s="3545">
        <v>81</v>
      </c>
      <c r="Z52" s="3546">
        <v>88</v>
      </c>
      <c r="AA52" s="3547">
        <v>94</v>
      </c>
      <c r="AB52"/>
      <c r="AC52" s="3632"/>
      <c r="AD52" s="3535" t="s">
        <v>10955</v>
      </c>
      <c r="AE52" s="3536" t="s">
        <v>10956</v>
      </c>
      <c r="AF52" s="3537">
        <v>3</v>
      </c>
      <c r="AG52" s="3538">
        <v>3</v>
      </c>
      <c r="AH52" s="3539">
        <v>3</v>
      </c>
      <c r="AI52"/>
      <c r="AJ52" s="3633"/>
      <c r="AK52" s="3541" t="s">
        <v>10957</v>
      </c>
      <c r="AL52" s="3536" t="s">
        <v>10958</v>
      </c>
      <c r="AM52" s="3537">
        <v>139</v>
      </c>
      <c r="AN52" s="3538">
        <v>121</v>
      </c>
      <c r="AO52" s="3539">
        <v>94</v>
      </c>
      <c r="AQ52" s="3">
        <v>1</v>
      </c>
    </row>
    <row r="53" spans="1:43" ht="21" customHeight="1">
      <c r="K53" s="3634" t="s">
        <v>10959</v>
      </c>
      <c r="L53"/>
      <c r="M53"/>
      <c r="N53"/>
      <c r="O53"/>
      <c r="P53"/>
      <c r="Q53"/>
      <c r="R53"/>
      <c r="S53"/>
      <c r="V53" s="3635"/>
      <c r="W53" s="3558" t="s">
        <v>10960</v>
      </c>
      <c r="X53" s="3544" t="s">
        <v>10961</v>
      </c>
      <c r="Y53" s="3545">
        <v>36</v>
      </c>
      <c r="Z53" s="3546">
        <v>68</v>
      </c>
      <c r="AA53" s="3547">
        <v>92</v>
      </c>
      <c r="AB53"/>
      <c r="AC53" s="3636"/>
      <c r="AD53" s="3578" t="s">
        <v>10962</v>
      </c>
      <c r="AE53" s="3536" t="s">
        <v>10963</v>
      </c>
      <c r="AF53" s="3537">
        <v>255</v>
      </c>
      <c r="AG53" s="3538">
        <v>255</v>
      </c>
      <c r="AH53" s="3539">
        <v>0</v>
      </c>
      <c r="AI53"/>
      <c r="AJ53" s="3637"/>
      <c r="AK53" s="3541" t="s">
        <v>10964</v>
      </c>
      <c r="AL53" s="3536" t="s">
        <v>10965</v>
      </c>
      <c r="AM53" s="3537">
        <v>139</v>
      </c>
      <c r="AN53" s="3538">
        <v>115</v>
      </c>
      <c r="AO53" s="3539">
        <v>85</v>
      </c>
      <c r="AQ53" s="3">
        <v>1</v>
      </c>
    </row>
    <row r="54" spans="1:43" ht="21" customHeight="1">
      <c r="K54" s="3638" t="s">
        <v>10966</v>
      </c>
      <c r="L54"/>
      <c r="M54"/>
      <c r="N54"/>
      <c r="O54"/>
      <c r="P54"/>
      <c r="Q54"/>
      <c r="R54"/>
      <c r="S54"/>
      <c r="V54" s="3639"/>
      <c r="W54" s="3558" t="s">
        <v>10967</v>
      </c>
      <c r="X54" s="3544" t="s">
        <v>10968</v>
      </c>
      <c r="Y54" s="3545">
        <v>54</v>
      </c>
      <c r="Z54" s="3546">
        <v>69</v>
      </c>
      <c r="AA54" s="3547">
        <v>79</v>
      </c>
      <c r="AB54"/>
      <c r="AC54" s="3640"/>
      <c r="AD54" s="3578" t="s">
        <v>10969</v>
      </c>
      <c r="AE54" s="3536" t="s">
        <v>10970</v>
      </c>
      <c r="AF54" s="3537">
        <v>234</v>
      </c>
      <c r="AG54" s="3538">
        <v>230</v>
      </c>
      <c r="AH54" s="3539">
        <v>121</v>
      </c>
      <c r="AI54"/>
      <c r="AJ54" s="3641"/>
      <c r="AK54" s="3550" t="s">
        <v>10971</v>
      </c>
      <c r="AL54" s="3536" t="s">
        <v>10972</v>
      </c>
      <c r="AM54" s="3537">
        <v>128</v>
      </c>
      <c r="AN54" s="3538">
        <v>109</v>
      </c>
      <c r="AO54" s="3539">
        <v>90</v>
      </c>
      <c r="AQ54" s="3">
        <v>1</v>
      </c>
    </row>
    <row r="55" spans="1:43" ht="21" customHeight="1">
      <c r="K55"/>
      <c r="L55"/>
      <c r="M55"/>
      <c r="N55"/>
      <c r="O55"/>
      <c r="P55"/>
      <c r="Q55"/>
      <c r="R55"/>
      <c r="S55"/>
      <c r="V55" s="3642"/>
      <c r="W55" s="3558" t="s">
        <v>10973</v>
      </c>
      <c r="X55" s="3544" t="s">
        <v>10974</v>
      </c>
      <c r="Y55" s="3545">
        <v>32</v>
      </c>
      <c r="Z55" s="3546">
        <v>40</v>
      </c>
      <c r="AA55" s="3547">
        <v>48</v>
      </c>
      <c r="AB55"/>
      <c r="AC55" s="3643"/>
      <c r="AD55" s="3578" t="s">
        <v>10975</v>
      </c>
      <c r="AE55" s="3536" t="s">
        <v>10976</v>
      </c>
      <c r="AF55" s="3537">
        <v>247</v>
      </c>
      <c r="AG55" s="3538">
        <v>255</v>
      </c>
      <c r="AH55" s="3539">
        <v>60</v>
      </c>
      <c r="AI55"/>
      <c r="AJ55" s="3644"/>
      <c r="AK55" s="3550" t="s">
        <v>10977</v>
      </c>
      <c r="AL55" s="3536" t="s">
        <v>10978</v>
      </c>
      <c r="AM55" s="3537">
        <v>139</v>
      </c>
      <c r="AN55" s="3538">
        <v>108</v>
      </c>
      <c r="AO55" s="3539">
        <v>66</v>
      </c>
      <c r="AQ55" s="3">
        <v>1</v>
      </c>
    </row>
    <row r="56" spans="1:43" ht="21" customHeight="1">
      <c r="K56" s="3645" t="s">
        <v>10979</v>
      </c>
      <c r="L56" s="3646" t="s">
        <v>10980</v>
      </c>
      <c r="M56" s="3647" t="s">
        <v>10981</v>
      </c>
      <c r="N56" s="3648" t="s">
        <v>10982</v>
      </c>
      <c r="O56" s="3649" t="s">
        <v>10983</v>
      </c>
      <c r="P56" s="3650" t="s">
        <v>10984</v>
      </c>
      <c r="Q56" s="3651" t="s">
        <v>10985</v>
      </c>
      <c r="R56" s="3652" t="s">
        <v>10986</v>
      </c>
      <c r="S56" s="3653" t="s">
        <v>10987</v>
      </c>
      <c r="V56" s="3654"/>
      <c r="W56" s="3558" t="s">
        <v>10988</v>
      </c>
      <c r="X56" s="3544" t="s">
        <v>10989</v>
      </c>
      <c r="Y56" s="3545">
        <v>32</v>
      </c>
      <c r="Z56" s="3546">
        <v>36</v>
      </c>
      <c r="AA56" s="3547">
        <v>40</v>
      </c>
      <c r="AB56"/>
      <c r="AC56" s="3655"/>
      <c r="AD56" s="3535" t="s">
        <v>10990</v>
      </c>
      <c r="AE56" s="3536" t="s">
        <v>10991</v>
      </c>
      <c r="AF56" s="3537">
        <v>205</v>
      </c>
      <c r="AG56" s="3538">
        <v>205</v>
      </c>
      <c r="AH56" s="3539">
        <v>180</v>
      </c>
      <c r="AI56"/>
      <c r="AJ56" s="3656"/>
      <c r="AK56" s="3550" t="s">
        <v>10992</v>
      </c>
      <c r="AL56" s="3536" t="s">
        <v>10993</v>
      </c>
      <c r="AM56" s="3537">
        <v>126</v>
      </c>
      <c r="AN56" s="3538">
        <v>109</v>
      </c>
      <c r="AO56" s="3539">
        <v>90</v>
      </c>
      <c r="AQ56" s="3">
        <v>1</v>
      </c>
    </row>
    <row r="57" spans="1:43" ht="21" customHeight="1">
      <c r="K57" s="3657" t="s">
        <v>10994</v>
      </c>
      <c r="L57" s="3658" t="s">
        <v>10995</v>
      </c>
      <c r="M57" s="3659" t="s">
        <v>10996</v>
      </c>
      <c r="N57" s="3660" t="s">
        <v>10997</v>
      </c>
      <c r="O57" s="3661" t="s">
        <v>10998</v>
      </c>
      <c r="P57" s="3662" t="s">
        <v>10999</v>
      </c>
      <c r="Q57" s="3663" t="s">
        <v>11000</v>
      </c>
      <c r="R57" s="3664" t="s">
        <v>11001</v>
      </c>
      <c r="S57" s="3665" t="s">
        <v>11002</v>
      </c>
      <c r="V57" s="3666"/>
      <c r="W57" s="3543" t="s">
        <v>11003</v>
      </c>
      <c r="X57" s="3544" t="s">
        <v>11004</v>
      </c>
      <c r="Y57" s="3545">
        <v>99</v>
      </c>
      <c r="Z57" s="3546">
        <v>184</v>
      </c>
      <c r="AA57" s="3547">
        <v>255</v>
      </c>
      <c r="AB57"/>
      <c r="AC57" s="3667"/>
      <c r="AD57" s="3578" t="s">
        <v>11005</v>
      </c>
      <c r="AE57" s="3536" t="s">
        <v>11006</v>
      </c>
      <c r="AF57" s="3537">
        <v>230</v>
      </c>
      <c r="AG57" s="3538">
        <v>230</v>
      </c>
      <c r="AH57" s="3539">
        <v>151</v>
      </c>
      <c r="AI57"/>
      <c r="AJ57" s="3668"/>
      <c r="AK57" s="3550" t="s">
        <v>11007</v>
      </c>
      <c r="AL57" s="3536" t="s">
        <v>11008</v>
      </c>
      <c r="AM57" s="3537">
        <v>150</v>
      </c>
      <c r="AN57" s="3538">
        <v>113</v>
      </c>
      <c r="AO57" s="3539">
        <v>23</v>
      </c>
      <c r="AQ57" s="3">
        <v>1</v>
      </c>
    </row>
    <row r="58" spans="1:43" ht="21" customHeight="1">
      <c r="K58" s="3669" t="s">
        <v>11009</v>
      </c>
      <c r="L58" s="3670" t="s">
        <v>11010</v>
      </c>
      <c r="M58" s="3671" t="s">
        <v>11011</v>
      </c>
      <c r="N58" s="3672" t="s">
        <v>11012</v>
      </c>
      <c r="O58" s="3673" t="s">
        <v>11013</v>
      </c>
      <c r="P58" s="3674" t="s">
        <v>11014</v>
      </c>
      <c r="Q58" s="3675" t="s">
        <v>11015</v>
      </c>
      <c r="R58" s="3676" t="s">
        <v>11016</v>
      </c>
      <c r="S58" s="3677" t="s">
        <v>11017</v>
      </c>
      <c r="V58" s="3678"/>
      <c r="W58" s="3543" t="s">
        <v>11018</v>
      </c>
      <c r="X58" s="3544" t="s">
        <v>11019</v>
      </c>
      <c r="Y58" s="3545">
        <v>176</v>
      </c>
      <c r="Z58" s="3546">
        <v>196</v>
      </c>
      <c r="AA58" s="3547">
        <v>222</v>
      </c>
      <c r="AB58"/>
      <c r="AC58" s="3679"/>
      <c r="AD58" s="3578" t="s">
        <v>11020</v>
      </c>
      <c r="AE58" s="3536" t="s">
        <v>11021</v>
      </c>
      <c r="AF58" s="3537">
        <v>254</v>
      </c>
      <c r="AG58" s="3538">
        <v>248</v>
      </c>
      <c r="AH58" s="3539">
        <v>108</v>
      </c>
      <c r="AI58"/>
      <c r="AJ58" s="3680"/>
      <c r="AK58" s="3550" t="s">
        <v>11022</v>
      </c>
      <c r="AL58" s="3536" t="s">
        <v>11023</v>
      </c>
      <c r="AM58" s="3537">
        <v>133</v>
      </c>
      <c r="AN58" s="3538">
        <v>109</v>
      </c>
      <c r="AO58" s="3539">
        <v>77</v>
      </c>
      <c r="AQ58" s="3">
        <v>1</v>
      </c>
    </row>
    <row r="59" spans="1:43" ht="21" customHeight="1">
      <c r="K59" s="3681" t="s">
        <v>11024</v>
      </c>
      <c r="L59" s="3682" t="s">
        <v>11025</v>
      </c>
      <c r="M59" s="3683" t="s">
        <v>11026</v>
      </c>
      <c r="N59" s="3684" t="s">
        <v>11027</v>
      </c>
      <c r="O59" s="3685" t="s">
        <v>11028</v>
      </c>
      <c r="P59" s="3686" t="s">
        <v>11029</v>
      </c>
      <c r="Q59" s="3687" t="s">
        <v>11030</v>
      </c>
      <c r="R59" s="3688" t="s">
        <v>11031</v>
      </c>
      <c r="S59" s="3689" t="s">
        <v>11032</v>
      </c>
      <c r="V59" s="3690"/>
      <c r="W59" s="3558" t="s">
        <v>11033</v>
      </c>
      <c r="X59" s="3544" t="s">
        <v>11034</v>
      </c>
      <c r="Y59" s="3545">
        <v>119</v>
      </c>
      <c r="Z59" s="3546">
        <v>181</v>
      </c>
      <c r="AA59" s="3547">
        <v>254</v>
      </c>
      <c r="AB59"/>
      <c r="AC59" s="3691"/>
      <c r="AD59" s="3578" t="s">
        <v>11035</v>
      </c>
      <c r="AE59" s="3536" t="s">
        <v>11036</v>
      </c>
      <c r="AF59" s="3537">
        <v>255</v>
      </c>
      <c r="AG59" s="3538">
        <v>255</v>
      </c>
      <c r="AH59" s="3539">
        <v>107</v>
      </c>
      <c r="AI59"/>
      <c r="AJ59" s="3692"/>
      <c r="AK59" s="3550" t="s">
        <v>11037</v>
      </c>
      <c r="AL59" s="3536" t="s">
        <v>11038</v>
      </c>
      <c r="AM59" s="3537">
        <v>146</v>
      </c>
      <c r="AN59" s="3538">
        <v>109</v>
      </c>
      <c r="AO59" s="3539">
        <v>39</v>
      </c>
      <c r="AQ59" s="3">
        <v>1</v>
      </c>
    </row>
    <row r="60" spans="1:43" ht="21" customHeight="1">
      <c r="K60" s="3693" t="s">
        <v>11039</v>
      </c>
      <c r="L60" s="3694" t="s">
        <v>11040</v>
      </c>
      <c r="M60" s="3695" t="s">
        <v>11041</v>
      </c>
      <c r="N60" s="3696" t="s">
        <v>11042</v>
      </c>
      <c r="O60" s="3697" t="s">
        <v>11043</v>
      </c>
      <c r="P60" s="3698" t="s">
        <v>11044</v>
      </c>
      <c r="Q60" s="3699" t="s">
        <v>11045</v>
      </c>
      <c r="R60" s="3700" t="s">
        <v>11046</v>
      </c>
      <c r="S60" s="3701" t="s">
        <v>11047</v>
      </c>
      <c r="V60" s="3702"/>
      <c r="W60" s="3543"/>
      <c r="X60" s="3544" t="s">
        <v>11048</v>
      </c>
      <c r="Y60" s="3545">
        <v>153</v>
      </c>
      <c r="Z60" s="3546">
        <v>204</v>
      </c>
      <c r="AA60" s="3547">
        <v>255</v>
      </c>
      <c r="AB60"/>
      <c r="AC60" s="3703"/>
      <c r="AD60" s="3535" t="s">
        <v>11049</v>
      </c>
      <c r="AE60" s="3536" t="s">
        <v>11050</v>
      </c>
      <c r="AF60" s="3537">
        <v>205</v>
      </c>
      <c r="AG60" s="3538">
        <v>205</v>
      </c>
      <c r="AH60" s="3539">
        <v>193</v>
      </c>
      <c r="AI60"/>
      <c r="AJ60" s="3704"/>
      <c r="AK60" s="3541" t="s">
        <v>11051</v>
      </c>
      <c r="AL60" s="3536" t="s">
        <v>11052</v>
      </c>
      <c r="AM60" s="3537">
        <v>142</v>
      </c>
      <c r="AN60" s="3538">
        <v>107</v>
      </c>
      <c r="AO60" s="3539">
        <v>35</v>
      </c>
      <c r="AQ60" s="3">
        <v>1</v>
      </c>
    </row>
    <row r="61" spans="1:43" ht="21" customHeight="1">
      <c r="A61" s="630"/>
      <c r="K61" s="3705" t="s">
        <v>11053</v>
      </c>
      <c r="L61" s="3706" t="s">
        <v>11054</v>
      </c>
      <c r="M61" s="3707" t="s">
        <v>11055</v>
      </c>
      <c r="N61" s="3708" t="s">
        <v>11056</v>
      </c>
      <c r="O61" s="3709" t="s">
        <v>11057</v>
      </c>
      <c r="P61" s="3710" t="s">
        <v>11058</v>
      </c>
      <c r="Q61" s="3711" t="s">
        <v>11059</v>
      </c>
      <c r="R61" s="3712" t="s">
        <v>11060</v>
      </c>
      <c r="S61" s="3713" t="s">
        <v>11061</v>
      </c>
      <c r="V61" s="3714"/>
      <c r="W61" s="3543" t="s">
        <v>11062</v>
      </c>
      <c r="X61" s="3544" t="s">
        <v>11063</v>
      </c>
      <c r="Y61" s="3545">
        <v>188</v>
      </c>
      <c r="Z61" s="3546">
        <v>210</v>
      </c>
      <c r="AA61" s="3547">
        <v>238</v>
      </c>
      <c r="AB61"/>
      <c r="AC61" s="3715"/>
      <c r="AD61" s="3578" t="s">
        <v>11064</v>
      </c>
      <c r="AE61" s="3536" t="s">
        <v>11065</v>
      </c>
      <c r="AF61" s="3537">
        <v>235</v>
      </c>
      <c r="AG61" s="3538">
        <v>232</v>
      </c>
      <c r="AH61" s="3539">
        <v>164</v>
      </c>
      <c r="AI61"/>
      <c r="AJ61" s="3716"/>
      <c r="AK61" s="3550" t="s">
        <v>11066</v>
      </c>
      <c r="AL61" s="3536" t="s">
        <v>11067</v>
      </c>
      <c r="AM61" s="3537">
        <v>130</v>
      </c>
      <c r="AN61" s="3538">
        <v>102</v>
      </c>
      <c r="AO61" s="3539">
        <v>68</v>
      </c>
      <c r="AP61" s="648"/>
      <c r="AQ61" s="3">
        <v>1</v>
      </c>
    </row>
    <row r="62" spans="1:43" ht="21" customHeight="1">
      <c r="A62" s="630"/>
      <c r="K62" s="3717" t="s">
        <v>11068</v>
      </c>
      <c r="L62" s="3718" t="s">
        <v>11069</v>
      </c>
      <c r="M62" s="3719" t="s">
        <v>11070</v>
      </c>
      <c r="N62" s="3720" t="s">
        <v>11071</v>
      </c>
      <c r="O62" s="3721" t="s">
        <v>11072</v>
      </c>
      <c r="P62" s="3722" t="s">
        <v>11073</v>
      </c>
      <c r="Q62" s="3723" t="s">
        <v>11074</v>
      </c>
      <c r="R62" s="3724" t="s">
        <v>11075</v>
      </c>
      <c r="S62" s="3725" t="s">
        <v>11076</v>
      </c>
      <c r="V62" s="3726"/>
      <c r="W62" s="3543" t="s">
        <v>11077</v>
      </c>
      <c r="X62" s="3544" t="s">
        <v>11078</v>
      </c>
      <c r="Y62" s="3545">
        <v>202</v>
      </c>
      <c r="Z62" s="3546">
        <v>225</v>
      </c>
      <c r="AA62" s="3547">
        <v>255</v>
      </c>
      <c r="AB62"/>
      <c r="AC62" s="3727"/>
      <c r="AD62" s="3535" t="s">
        <v>11079</v>
      </c>
      <c r="AE62" s="3536" t="s">
        <v>11080</v>
      </c>
      <c r="AF62" s="3537">
        <v>216</v>
      </c>
      <c r="AG62" s="3538">
        <v>216</v>
      </c>
      <c r="AH62" s="3539">
        <v>191</v>
      </c>
      <c r="AI62"/>
      <c r="AJ62" s="3728"/>
      <c r="AK62" s="3541" t="s">
        <v>11081</v>
      </c>
      <c r="AL62" s="3536" t="s">
        <v>11082</v>
      </c>
      <c r="AM62" s="3537">
        <v>139</v>
      </c>
      <c r="AN62" s="3538">
        <v>105</v>
      </c>
      <c r="AO62" s="3539">
        <v>20</v>
      </c>
      <c r="AQ62" s="3">
        <v>1</v>
      </c>
    </row>
    <row r="63" spans="1:43" ht="21" customHeight="1">
      <c r="A63" s="630"/>
      <c r="K63" s="3729" t="s">
        <v>11083</v>
      </c>
      <c r="L63" s="3730" t="s">
        <v>11084</v>
      </c>
      <c r="M63" s="3731" t="s">
        <v>11085</v>
      </c>
      <c r="N63" s="3732" t="s">
        <v>11086</v>
      </c>
      <c r="O63" s="3733" t="s">
        <v>11087</v>
      </c>
      <c r="P63" s="3734" t="s">
        <v>11088</v>
      </c>
      <c r="Q63" s="3735" t="s">
        <v>11089</v>
      </c>
      <c r="R63" s="3736" t="s">
        <v>11090</v>
      </c>
      <c r="S63" s="3737" t="s">
        <v>11091</v>
      </c>
      <c r="V63" s="3738"/>
      <c r="W63" s="3543" t="s">
        <v>11092</v>
      </c>
      <c r="X63" s="3544" t="s">
        <v>11093</v>
      </c>
      <c r="Y63" s="3545">
        <v>162</v>
      </c>
      <c r="Z63" s="3546">
        <v>181</v>
      </c>
      <c r="AA63" s="3547">
        <v>205</v>
      </c>
      <c r="AB63"/>
      <c r="AC63" s="3739"/>
      <c r="AD63" s="3535" t="s">
        <v>11094</v>
      </c>
      <c r="AE63" s="3536" t="s">
        <v>11095</v>
      </c>
      <c r="AF63" s="3537">
        <v>234</v>
      </c>
      <c r="AG63" s="3538">
        <v>234</v>
      </c>
      <c r="AH63" s="3539">
        <v>174</v>
      </c>
      <c r="AI63"/>
      <c r="AJ63" s="3740"/>
      <c r="AK63" s="3541" t="s">
        <v>11096</v>
      </c>
      <c r="AL63" s="3536" t="s">
        <v>11097</v>
      </c>
      <c r="AM63" s="3537">
        <v>139</v>
      </c>
      <c r="AN63" s="3538">
        <v>101</v>
      </c>
      <c r="AO63" s="3539">
        <v>8</v>
      </c>
      <c r="AQ63" s="3">
        <v>1</v>
      </c>
    </row>
    <row r="64" spans="1:43" ht="21" customHeight="1">
      <c r="A64" s="630"/>
      <c r="K64" s="3741" t="s">
        <v>11098</v>
      </c>
      <c r="L64" s="3742" t="s">
        <v>11099</v>
      </c>
      <c r="M64" s="3743" t="s">
        <v>11100</v>
      </c>
      <c r="N64" s="3744" t="s">
        <v>11101</v>
      </c>
      <c r="O64" s="3745" t="s">
        <v>11102</v>
      </c>
      <c r="P64" s="3746" t="s">
        <v>11103</v>
      </c>
      <c r="Q64" s="3747" t="s">
        <v>11104</v>
      </c>
      <c r="R64" s="3748" t="s">
        <v>11105</v>
      </c>
      <c r="S64" s="3749" t="s">
        <v>11106</v>
      </c>
      <c r="V64" s="3750"/>
      <c r="W64" s="3543" t="s">
        <v>11107</v>
      </c>
      <c r="X64" s="3544" t="s">
        <v>11108</v>
      </c>
      <c r="Y64" s="3545">
        <v>92</v>
      </c>
      <c r="Z64" s="3546">
        <v>172</v>
      </c>
      <c r="AA64" s="3547">
        <v>238</v>
      </c>
      <c r="AB64"/>
      <c r="AC64" s="3751"/>
      <c r="AD64" s="3535" t="s">
        <v>11109</v>
      </c>
      <c r="AE64" s="3536" t="s">
        <v>11110</v>
      </c>
      <c r="AF64" s="3537">
        <v>238</v>
      </c>
      <c r="AG64" s="3538">
        <v>238</v>
      </c>
      <c r="AH64" s="3539">
        <v>209</v>
      </c>
      <c r="AI64"/>
      <c r="AJ64" s="3752"/>
      <c r="AK64" s="3550" t="s">
        <v>11111</v>
      </c>
      <c r="AL64" s="3536" t="s">
        <v>11112</v>
      </c>
      <c r="AM64" s="3537">
        <v>120</v>
      </c>
      <c r="AN64" s="3538">
        <v>94</v>
      </c>
      <c r="AO64" s="3539">
        <v>47</v>
      </c>
      <c r="AQ64" s="3">
        <v>1</v>
      </c>
    </row>
    <row r="65" spans="1:43" ht="21" customHeight="1">
      <c r="A65" s="630"/>
      <c r="K65" s="3753" t="s">
        <v>11113</v>
      </c>
      <c r="L65" s="3754" t="s">
        <v>11114</v>
      </c>
      <c r="M65" s="3755" t="s">
        <v>11115</v>
      </c>
      <c r="N65" s="3756" t="s">
        <v>11116</v>
      </c>
      <c r="O65" s="3757" t="s">
        <v>11117</v>
      </c>
      <c r="P65" s="3758" t="s">
        <v>11118</v>
      </c>
      <c r="Q65" s="3759" t="s">
        <v>11119</v>
      </c>
      <c r="R65" s="3760" t="s">
        <v>11120</v>
      </c>
      <c r="S65" s="3761" t="s">
        <v>11121</v>
      </c>
      <c r="V65" s="3762"/>
      <c r="W65" s="3543"/>
      <c r="X65" s="3544" t="s">
        <v>11122</v>
      </c>
      <c r="Y65" s="3545">
        <v>102</v>
      </c>
      <c r="Z65" s="3546">
        <v>153</v>
      </c>
      <c r="AA65" s="3547">
        <v>204</v>
      </c>
      <c r="AB65"/>
      <c r="AC65" s="3763"/>
      <c r="AD65" s="3535" t="s">
        <v>11123</v>
      </c>
      <c r="AE65" s="3536" t="s">
        <v>11124</v>
      </c>
      <c r="AF65" s="3537">
        <v>250</v>
      </c>
      <c r="AG65" s="3538">
        <v>250</v>
      </c>
      <c r="AH65" s="3539">
        <v>210</v>
      </c>
      <c r="AI65"/>
      <c r="AJ65" s="3752"/>
      <c r="AK65" s="3550" t="s">
        <v>11125</v>
      </c>
      <c r="AL65" s="3536" t="s">
        <v>11112</v>
      </c>
      <c r="AM65" s="3537">
        <v>120</v>
      </c>
      <c r="AN65" s="3538">
        <v>94</v>
      </c>
      <c r="AO65" s="3539">
        <v>47</v>
      </c>
      <c r="AQ65" s="3">
        <v>1</v>
      </c>
    </row>
    <row r="66" spans="1:43" ht="21" customHeight="1">
      <c r="A66" s="630"/>
      <c r="K66" s="3764" t="s">
        <v>11126</v>
      </c>
      <c r="L66" s="3765" t="s">
        <v>11127</v>
      </c>
      <c r="M66" s="3766" t="s">
        <v>11128</v>
      </c>
      <c r="N66" s="3767" t="s">
        <v>11129</v>
      </c>
      <c r="O66" s="3768" t="s">
        <v>11130</v>
      </c>
      <c r="P66" s="3769" t="s">
        <v>11131</v>
      </c>
      <c r="Q66" s="3770" t="s">
        <v>11132</v>
      </c>
      <c r="R66" s="3771" t="s">
        <v>11133</v>
      </c>
      <c r="S66" s="3772" t="s">
        <v>11134</v>
      </c>
      <c r="V66" s="3773"/>
      <c r="W66" s="3558" t="s">
        <v>11135</v>
      </c>
      <c r="X66" s="3544" t="s">
        <v>11136</v>
      </c>
      <c r="Y66" s="3545">
        <v>73</v>
      </c>
      <c r="Z66" s="3546">
        <v>151</v>
      </c>
      <c r="AA66" s="3547">
        <v>208</v>
      </c>
      <c r="AB66"/>
      <c r="AC66" s="3774"/>
      <c r="AD66" s="3535" t="s">
        <v>11137</v>
      </c>
      <c r="AE66" s="3536" t="s">
        <v>11138</v>
      </c>
      <c r="AF66" s="3537">
        <v>238</v>
      </c>
      <c r="AG66" s="3538">
        <v>238</v>
      </c>
      <c r="AH66" s="3539">
        <v>224</v>
      </c>
      <c r="AI66"/>
      <c r="AJ66" s="3775"/>
      <c r="AK66" s="3550" t="s">
        <v>11139</v>
      </c>
      <c r="AL66" s="3536" t="s">
        <v>11140</v>
      </c>
      <c r="AM66" s="3537">
        <v>108</v>
      </c>
      <c r="AN66" s="3538">
        <v>84</v>
      </c>
      <c r="AO66" s="3539">
        <v>30</v>
      </c>
      <c r="AQ66" s="3">
        <v>1</v>
      </c>
    </row>
    <row r="67" spans="1:43" ht="21" customHeight="1">
      <c r="A67" s="630"/>
      <c r="K67" s="3776" t="s">
        <v>11141</v>
      </c>
      <c r="L67" s="3777" t="s">
        <v>11142</v>
      </c>
      <c r="M67" s="3778" t="s">
        <v>11143</v>
      </c>
      <c r="N67" s="3779" t="s">
        <v>11144</v>
      </c>
      <c r="O67" s="3780" t="s">
        <v>11145</v>
      </c>
      <c r="P67" s="3781" t="s">
        <v>11146</v>
      </c>
      <c r="Q67" s="3782" t="s">
        <v>11147</v>
      </c>
      <c r="R67" s="3783" t="s">
        <v>11148</v>
      </c>
      <c r="S67" s="3784" t="s">
        <v>11149</v>
      </c>
      <c r="V67" s="3785"/>
      <c r="W67" s="3543" t="s">
        <v>11150</v>
      </c>
      <c r="X67" s="3544" t="s">
        <v>11151</v>
      </c>
      <c r="Y67" s="3545">
        <v>79</v>
      </c>
      <c r="Z67" s="3546">
        <v>148</v>
      </c>
      <c r="AA67" s="3547">
        <v>205</v>
      </c>
      <c r="AB67"/>
      <c r="AC67" s="3786"/>
      <c r="AD67" s="3535" t="s">
        <v>11152</v>
      </c>
      <c r="AE67" s="3536" t="s">
        <v>11153</v>
      </c>
      <c r="AF67" s="3537">
        <v>245</v>
      </c>
      <c r="AG67" s="3538">
        <v>245</v>
      </c>
      <c r="AH67" s="3539">
        <v>220</v>
      </c>
      <c r="AI67"/>
      <c r="AJ67" s="3787"/>
      <c r="AK67" s="3550" t="s">
        <v>11154</v>
      </c>
      <c r="AL67" s="3536" t="s">
        <v>11155</v>
      </c>
      <c r="AM67" s="3537">
        <v>78</v>
      </c>
      <c r="AN67" s="3538">
        <v>61</v>
      </c>
      <c r="AO67" s="3539">
        <v>40</v>
      </c>
      <c r="AQ67" s="3">
        <v>1</v>
      </c>
    </row>
    <row r="68" spans="1:43" ht="21" customHeight="1">
      <c r="A68" s="630"/>
      <c r="K68" s="3788" t="s">
        <v>11156</v>
      </c>
      <c r="L68" s="3789" t="s">
        <v>11157</v>
      </c>
      <c r="M68" s="3790" t="s">
        <v>11158</v>
      </c>
      <c r="N68" s="3791" t="s">
        <v>11159</v>
      </c>
      <c r="O68" s="3792" t="s">
        <v>11160</v>
      </c>
      <c r="P68" s="3793" t="s">
        <v>11161</v>
      </c>
      <c r="Q68" s="3794" t="s">
        <v>11162</v>
      </c>
      <c r="R68" s="3795" t="s">
        <v>11163</v>
      </c>
      <c r="S68" s="3796" t="s">
        <v>11164</v>
      </c>
      <c r="V68" s="3797"/>
      <c r="W68" s="3558" t="s">
        <v>11165</v>
      </c>
      <c r="X68" s="3544" t="s">
        <v>11166</v>
      </c>
      <c r="Y68" s="3545">
        <v>30</v>
      </c>
      <c r="Z68" s="3546">
        <v>127</v>
      </c>
      <c r="AA68" s="3547">
        <v>203</v>
      </c>
      <c r="AB68"/>
      <c r="AC68" s="3798"/>
      <c r="AD68" s="3578" t="s">
        <v>11167</v>
      </c>
      <c r="AE68" s="3536" t="s">
        <v>11168</v>
      </c>
      <c r="AF68" s="3537">
        <v>255</v>
      </c>
      <c r="AG68" s="3538">
        <v>255</v>
      </c>
      <c r="AH68" s="3539">
        <v>212</v>
      </c>
      <c r="AI68"/>
      <c r="AJ68" s="3799"/>
      <c r="AK68" s="3550" t="s">
        <v>11169</v>
      </c>
      <c r="AL68" s="3536" t="s">
        <v>11170</v>
      </c>
      <c r="AM68" s="3537">
        <v>59</v>
      </c>
      <c r="AN68" s="3538">
        <v>49</v>
      </c>
      <c r="AO68" s="3539">
        <v>33</v>
      </c>
      <c r="AQ68" s="3">
        <v>1</v>
      </c>
    </row>
    <row r="69" spans="1:43" ht="21" customHeight="1">
      <c r="A69" s="630"/>
      <c r="K69" s="3800" t="s">
        <v>11171</v>
      </c>
      <c r="L69" s="3801" t="s">
        <v>11172</v>
      </c>
      <c r="M69" s="3802" t="s">
        <v>11173</v>
      </c>
      <c r="N69" s="3803" t="s">
        <v>11174</v>
      </c>
      <c r="O69" s="3804" t="s">
        <v>11175</v>
      </c>
      <c r="P69" s="3805" t="s">
        <v>11176</v>
      </c>
      <c r="Q69" s="3806" t="s">
        <v>11177</v>
      </c>
      <c r="R69" s="3807" t="s">
        <v>11178</v>
      </c>
      <c r="S69" s="3808" t="s">
        <v>11179</v>
      </c>
      <c r="V69" s="3809"/>
      <c r="W69" s="3543" t="s">
        <v>10929</v>
      </c>
      <c r="X69" s="3544" t="s">
        <v>11180</v>
      </c>
      <c r="Y69" s="3545">
        <v>70</v>
      </c>
      <c r="Z69" s="3546">
        <v>130</v>
      </c>
      <c r="AA69" s="3547">
        <v>180</v>
      </c>
      <c r="AB69"/>
      <c r="AC69" s="3810"/>
      <c r="AD69" s="3578" t="s">
        <v>11181</v>
      </c>
      <c r="AE69" s="3536" t="s">
        <v>11182</v>
      </c>
      <c r="AF69" s="3537">
        <v>254</v>
      </c>
      <c r="AG69" s="3538">
        <v>254</v>
      </c>
      <c r="AH69" s="3539">
        <v>224</v>
      </c>
      <c r="AI69"/>
      <c r="AJ69" s="3811"/>
      <c r="AK69" s="3550" t="s">
        <v>11183</v>
      </c>
      <c r="AL69" s="3536" t="s">
        <v>11184</v>
      </c>
      <c r="AM69" s="3537">
        <v>55</v>
      </c>
      <c r="AN69" s="3538">
        <v>47</v>
      </c>
      <c r="AO69" s="3539">
        <v>37</v>
      </c>
      <c r="AQ69" s="3">
        <v>1</v>
      </c>
    </row>
    <row r="70" spans="1:43" ht="21" customHeight="1">
      <c r="A70" s="630"/>
      <c r="K70" s="3812" t="s">
        <v>11185</v>
      </c>
      <c r="L70" s="3813" t="s">
        <v>11186</v>
      </c>
      <c r="M70" s="3814" t="s">
        <v>11187</v>
      </c>
      <c r="N70" s="3815" t="s">
        <v>11188</v>
      </c>
      <c r="O70" s="3816" t="s">
        <v>11189</v>
      </c>
      <c r="P70" s="3817" t="s">
        <v>11190</v>
      </c>
      <c r="Q70" s="3818" t="s">
        <v>11191</v>
      </c>
      <c r="R70" s="3819" t="s">
        <v>11192</v>
      </c>
      <c r="S70" s="3820" t="s">
        <v>11193</v>
      </c>
      <c r="V70" s="3821"/>
      <c r="W70" s="3558" t="s">
        <v>11194</v>
      </c>
      <c r="X70" s="3544" t="s">
        <v>11195</v>
      </c>
      <c r="Y70" s="3545">
        <v>53</v>
      </c>
      <c r="Z70" s="3546">
        <v>122</v>
      </c>
      <c r="AA70" s="3547">
        <v>183</v>
      </c>
      <c r="AB70"/>
      <c r="AC70" s="3822"/>
      <c r="AD70" s="3535" t="s">
        <v>11196</v>
      </c>
      <c r="AE70" s="3536" t="s">
        <v>11197</v>
      </c>
      <c r="AF70" s="3537">
        <v>255</v>
      </c>
      <c r="AG70" s="3538">
        <v>255</v>
      </c>
      <c r="AH70" s="3539">
        <v>224</v>
      </c>
      <c r="AI70"/>
      <c r="AJ70" s="3823"/>
      <c r="AK70" s="3550" t="s">
        <v>11198</v>
      </c>
      <c r="AL70" s="3536" t="s">
        <v>11199</v>
      </c>
      <c r="AM70" s="3537">
        <v>237</v>
      </c>
      <c r="AN70" s="3538">
        <v>211</v>
      </c>
      <c r="AO70" s="3539">
        <v>140</v>
      </c>
      <c r="AQ70" s="3">
        <v>1</v>
      </c>
    </row>
    <row r="71" spans="1:43" ht="21" customHeight="1">
      <c r="A71" s="630"/>
      <c r="K71" s="3824" t="s">
        <v>11200</v>
      </c>
      <c r="L71" s="3825" t="s">
        <v>11201</v>
      </c>
      <c r="M71" s="3826" t="s">
        <v>11202</v>
      </c>
      <c r="N71" s="3827" t="s">
        <v>11203</v>
      </c>
      <c r="O71" s="3828" t="s">
        <v>11204</v>
      </c>
      <c r="P71" s="3829" t="s">
        <v>11205</v>
      </c>
      <c r="Q71" s="3830" t="s">
        <v>11206</v>
      </c>
      <c r="R71" s="3831" t="s">
        <v>11207</v>
      </c>
      <c r="S71" s="3832" t="s">
        <v>11208</v>
      </c>
      <c r="V71" s="3833"/>
      <c r="W71" s="3558" t="s">
        <v>11209</v>
      </c>
      <c r="X71" s="3544" t="s">
        <v>11210</v>
      </c>
      <c r="Y71" s="3545">
        <v>86</v>
      </c>
      <c r="Z71" s="3546">
        <v>115</v>
      </c>
      <c r="AA71" s="3547">
        <v>154</v>
      </c>
      <c r="AB71"/>
      <c r="AC71" s="3834"/>
      <c r="AD71" s="3578" t="s">
        <v>11211</v>
      </c>
      <c r="AE71" s="3536" t="s">
        <v>11212</v>
      </c>
      <c r="AF71" s="3537">
        <v>254</v>
      </c>
      <c r="AG71" s="3538">
        <v>254</v>
      </c>
      <c r="AH71" s="3539">
        <v>226</v>
      </c>
      <c r="AI71"/>
      <c r="AJ71" s="3835"/>
      <c r="AK71" s="3550" t="s">
        <v>11213</v>
      </c>
      <c r="AL71" s="3536" t="s">
        <v>11214</v>
      </c>
      <c r="AM71" s="3537">
        <v>224</v>
      </c>
      <c r="AN71" s="3538">
        <v>205</v>
      </c>
      <c r="AO71" s="3539">
        <v>169</v>
      </c>
      <c r="AQ71" s="3">
        <v>1</v>
      </c>
    </row>
    <row r="72" spans="1:43" ht="21" customHeight="1">
      <c r="A72" s="630"/>
      <c r="K72" s="3836" t="s">
        <v>11215</v>
      </c>
      <c r="L72" s="3837" t="s">
        <v>11216</v>
      </c>
      <c r="M72" s="3838" t="s">
        <v>11217</v>
      </c>
      <c r="N72" s="3839" t="s">
        <v>11218</v>
      </c>
      <c r="O72" s="3840" t="s">
        <v>11219</v>
      </c>
      <c r="P72" s="3841" t="s">
        <v>11220</v>
      </c>
      <c r="Q72" s="3842" t="s">
        <v>11221</v>
      </c>
      <c r="R72" s="3843" t="s">
        <v>11222</v>
      </c>
      <c r="S72" s="3844" t="s">
        <v>11223</v>
      </c>
      <c r="V72" s="3845"/>
      <c r="W72" s="3543" t="s">
        <v>11224</v>
      </c>
      <c r="X72" s="3544" t="s">
        <v>11225</v>
      </c>
      <c r="Y72" s="3545">
        <v>110</v>
      </c>
      <c r="Z72" s="3546">
        <v>123</v>
      </c>
      <c r="AA72" s="3547">
        <v>139</v>
      </c>
      <c r="AB72"/>
      <c r="AC72" s="3846"/>
      <c r="AD72" s="3535" t="s">
        <v>11167</v>
      </c>
      <c r="AE72" s="3536" t="s">
        <v>11226</v>
      </c>
      <c r="AF72" s="3537">
        <v>255</v>
      </c>
      <c r="AG72" s="3538">
        <v>255</v>
      </c>
      <c r="AH72" s="3539">
        <v>240</v>
      </c>
      <c r="AI72"/>
      <c r="AJ72" s="3847"/>
      <c r="AK72" s="3541" t="s">
        <v>11227</v>
      </c>
      <c r="AL72" s="3536" t="s">
        <v>11228</v>
      </c>
      <c r="AM72" s="3537">
        <v>238</v>
      </c>
      <c r="AN72" s="3538">
        <v>216</v>
      </c>
      <c r="AO72" s="3539">
        <v>174</v>
      </c>
      <c r="AQ72" s="3">
        <v>1</v>
      </c>
    </row>
    <row r="73" spans="1:43" ht="21" customHeight="1">
      <c r="A73" s="630"/>
      <c r="K73" s="3848" t="s">
        <v>11229</v>
      </c>
      <c r="L73" s="3849" t="s">
        <v>11230</v>
      </c>
      <c r="M73" s="3850" t="s">
        <v>11231</v>
      </c>
      <c r="N73" s="3851" t="s">
        <v>11232</v>
      </c>
      <c r="O73" s="3852" t="s">
        <v>11233</v>
      </c>
      <c r="P73" s="3853" t="s">
        <v>11234</v>
      </c>
      <c r="Q73" s="3854" t="s">
        <v>11235</v>
      </c>
      <c r="R73" s="3855" t="s">
        <v>11236</v>
      </c>
      <c r="S73" s="3856" t="s">
        <v>11237</v>
      </c>
      <c r="V73" s="3857"/>
      <c r="W73" s="3558" t="s">
        <v>11238</v>
      </c>
      <c r="X73" s="3544" t="s">
        <v>11239</v>
      </c>
      <c r="Y73" s="3545">
        <v>0</v>
      </c>
      <c r="Z73" s="3546">
        <v>103</v>
      </c>
      <c r="AA73" s="3547">
        <v>165</v>
      </c>
      <c r="AB73"/>
      <c r="AC73" s="3858"/>
      <c r="AD73" s="3578" t="s">
        <v>11240</v>
      </c>
      <c r="AE73" s="3536" t="s">
        <v>11241</v>
      </c>
      <c r="AF73" s="3537">
        <v>233</v>
      </c>
      <c r="AG73" s="3538">
        <v>228</v>
      </c>
      <c r="AH73" s="3539">
        <v>80</v>
      </c>
      <c r="AI73"/>
      <c r="AJ73" s="3859"/>
      <c r="AK73" s="3541" t="s">
        <v>11242</v>
      </c>
      <c r="AL73" s="3536" t="s">
        <v>11243</v>
      </c>
      <c r="AM73" s="3537">
        <v>245</v>
      </c>
      <c r="AN73" s="3538">
        <v>222</v>
      </c>
      <c r="AO73" s="3539">
        <v>179</v>
      </c>
      <c r="AQ73" s="3">
        <v>1</v>
      </c>
    </row>
    <row r="74" spans="1:43" ht="21" customHeight="1">
      <c r="A74" s="630"/>
      <c r="K74" s="3860" t="s">
        <v>11244</v>
      </c>
      <c r="L74" s="3861" t="s">
        <v>11245</v>
      </c>
      <c r="M74" s="3862" t="s">
        <v>11246</v>
      </c>
      <c r="N74" s="3863" t="s">
        <v>11247</v>
      </c>
      <c r="O74" s="3864" t="s">
        <v>11248</v>
      </c>
      <c r="P74" s="3865" t="s">
        <v>11249</v>
      </c>
      <c r="Q74" s="3866" t="s">
        <v>11250</v>
      </c>
      <c r="R74" s="3867" t="s">
        <v>11251</v>
      </c>
      <c r="S74" s="3868" t="s">
        <v>11252</v>
      </c>
      <c r="V74" s="3869"/>
      <c r="W74" s="3558" t="s">
        <v>11253</v>
      </c>
      <c r="X74" s="3544" t="s">
        <v>11254</v>
      </c>
      <c r="Y74" s="3545">
        <v>67</v>
      </c>
      <c r="Z74" s="3546">
        <v>107</v>
      </c>
      <c r="AA74" s="3547">
        <v>149</v>
      </c>
      <c r="AB74"/>
      <c r="AC74" s="3870"/>
      <c r="AD74" s="3535" t="s">
        <v>10846</v>
      </c>
      <c r="AE74" s="3536" t="s">
        <v>11255</v>
      </c>
      <c r="AF74" s="3537">
        <v>219</v>
      </c>
      <c r="AG74" s="3538">
        <v>219</v>
      </c>
      <c r="AH74" s="3539">
        <v>112</v>
      </c>
      <c r="AI74"/>
      <c r="AJ74" s="3871"/>
      <c r="AK74" s="3541" t="s">
        <v>11256</v>
      </c>
      <c r="AL74" s="3536" t="s">
        <v>11257</v>
      </c>
      <c r="AM74" s="3537">
        <v>255</v>
      </c>
      <c r="AN74" s="3538">
        <v>228</v>
      </c>
      <c r="AO74" s="3539">
        <v>181</v>
      </c>
      <c r="AQ74" s="3">
        <v>1</v>
      </c>
    </row>
    <row r="75" spans="1:43" ht="21" customHeight="1">
      <c r="A75" s="630"/>
      <c r="K75" s="3872" t="s">
        <v>11258</v>
      </c>
      <c r="L75" s="3873" t="s">
        <v>11259</v>
      </c>
      <c r="M75" s="3874" t="s">
        <v>11260</v>
      </c>
      <c r="N75" s="3875" t="s">
        <v>11261</v>
      </c>
      <c r="O75" s="3876" t="s">
        <v>11262</v>
      </c>
      <c r="P75" s="3877" t="s">
        <v>11263</v>
      </c>
      <c r="Q75" s="3878" t="s">
        <v>11264</v>
      </c>
      <c r="R75" s="3879" t="s">
        <v>11265</v>
      </c>
      <c r="S75" s="3880" t="s">
        <v>11266</v>
      </c>
      <c r="V75" s="3881"/>
      <c r="W75" s="3543"/>
      <c r="X75" s="3544" t="s">
        <v>11267</v>
      </c>
      <c r="Y75" s="3545">
        <v>51</v>
      </c>
      <c r="Z75" s="3546">
        <v>102</v>
      </c>
      <c r="AA75" s="3547">
        <v>153</v>
      </c>
      <c r="AB75"/>
      <c r="AC75" s="3882"/>
      <c r="AD75" s="3535" t="s">
        <v>11268</v>
      </c>
      <c r="AE75" s="3536" t="s">
        <v>11269</v>
      </c>
      <c r="AF75" s="3537">
        <v>238</v>
      </c>
      <c r="AG75" s="3538">
        <v>238</v>
      </c>
      <c r="AH75" s="3539">
        <v>0</v>
      </c>
      <c r="AI75"/>
      <c r="AJ75" s="3883"/>
      <c r="AK75" s="3541" t="s">
        <v>11270</v>
      </c>
      <c r="AL75" s="3536" t="s">
        <v>11271</v>
      </c>
      <c r="AM75" s="3537">
        <v>255</v>
      </c>
      <c r="AN75" s="3538">
        <v>231</v>
      </c>
      <c r="AO75" s="3539">
        <v>186</v>
      </c>
      <c r="AQ75" s="3">
        <v>1</v>
      </c>
    </row>
    <row r="76" spans="1:43" ht="21" customHeight="1">
      <c r="A76" s="630"/>
      <c r="K76" s="3884" t="s">
        <v>11272</v>
      </c>
      <c r="L76" s="3885" t="s">
        <v>11273</v>
      </c>
      <c r="M76" s="3886" t="s">
        <v>11274</v>
      </c>
      <c r="N76" s="3887" t="s">
        <v>11275</v>
      </c>
      <c r="O76" s="3888" t="s">
        <v>11276</v>
      </c>
      <c r="P76" s="3889" t="s">
        <v>11277</v>
      </c>
      <c r="Q76" s="3890" t="s">
        <v>11278</v>
      </c>
      <c r="R76" s="3891" t="s">
        <v>11279</v>
      </c>
      <c r="S76" s="3892" t="s">
        <v>11280</v>
      </c>
      <c r="V76" s="3893"/>
      <c r="W76" s="3543" t="s">
        <v>11281</v>
      </c>
      <c r="X76" s="3544" t="s">
        <v>11282</v>
      </c>
      <c r="Y76" s="3545">
        <v>54</v>
      </c>
      <c r="Z76" s="3546">
        <v>100</v>
      </c>
      <c r="AA76" s="3547">
        <v>139</v>
      </c>
      <c r="AB76"/>
      <c r="AC76" s="3894"/>
      <c r="AD76" s="3578" t="s">
        <v>11283</v>
      </c>
      <c r="AE76" s="3536" t="s">
        <v>11284</v>
      </c>
      <c r="AF76" s="3537">
        <v>179</v>
      </c>
      <c r="AG76" s="3538">
        <v>177</v>
      </c>
      <c r="AH76" s="3539">
        <v>145</v>
      </c>
      <c r="AI76"/>
      <c r="AJ76" s="3895"/>
      <c r="AK76" s="3541" t="s">
        <v>11285</v>
      </c>
      <c r="AL76" s="3536" t="s">
        <v>11286</v>
      </c>
      <c r="AM76" s="3537">
        <v>255</v>
      </c>
      <c r="AN76" s="3538">
        <v>235</v>
      </c>
      <c r="AO76" s="3539">
        <v>205</v>
      </c>
      <c r="AQ76" s="3">
        <v>1</v>
      </c>
    </row>
    <row r="77" spans="1:43" ht="21" customHeight="1">
      <c r="A77" s="630"/>
      <c r="K77" s="3896" t="s">
        <v>11287</v>
      </c>
      <c r="L77" s="3897" t="s">
        <v>11288</v>
      </c>
      <c r="M77" s="3898" t="s">
        <v>11289</v>
      </c>
      <c r="N77" s="3899" t="s">
        <v>11290</v>
      </c>
      <c r="O77" s="3900" t="s">
        <v>11291</v>
      </c>
      <c r="P77" s="3901" t="s">
        <v>11292</v>
      </c>
      <c r="Q77" s="3902" t="s">
        <v>11293</v>
      </c>
      <c r="R77" s="3903" t="s">
        <v>11294</v>
      </c>
      <c r="S77" s="3904" t="s">
        <v>11295</v>
      </c>
      <c r="V77" s="3905"/>
      <c r="W77" s="3558" t="s">
        <v>11296</v>
      </c>
      <c r="X77" s="3544" t="s">
        <v>11297</v>
      </c>
      <c r="Y77" s="3545">
        <v>0</v>
      </c>
      <c r="Z77" s="3546">
        <v>65</v>
      </c>
      <c r="AA77" s="3547">
        <v>106</v>
      </c>
      <c r="AB77"/>
      <c r="AC77" s="3906"/>
      <c r="AD77" s="3535" t="s">
        <v>11298</v>
      </c>
      <c r="AE77" s="3536" t="s">
        <v>11299</v>
      </c>
      <c r="AF77" s="3537">
        <v>217</v>
      </c>
      <c r="AG77" s="3538">
        <v>217</v>
      </c>
      <c r="AH77" s="3539">
        <v>25</v>
      </c>
      <c r="AI77"/>
      <c r="AJ77" s="3907"/>
      <c r="AK77" s="3550" t="s">
        <v>11300</v>
      </c>
      <c r="AL77" s="3536" t="s">
        <v>11301</v>
      </c>
      <c r="AM77" s="3537">
        <v>255</v>
      </c>
      <c r="AN77" s="3538">
        <v>239</v>
      </c>
      <c r="AO77" s="3539">
        <v>213</v>
      </c>
      <c r="AQ77" s="3">
        <v>1</v>
      </c>
    </row>
    <row r="78" spans="1:43" ht="21" customHeight="1">
      <c r="A78" s="630"/>
      <c r="K78" s="3908" t="s">
        <v>11302</v>
      </c>
      <c r="L78" s="3909" t="s">
        <v>11303</v>
      </c>
      <c r="M78" s="3910" t="s">
        <v>11304</v>
      </c>
      <c r="N78" s="3911" t="s">
        <v>11305</v>
      </c>
      <c r="O78" s="3912" t="s">
        <v>11306</v>
      </c>
      <c r="P78" s="3913" t="s">
        <v>11307</v>
      </c>
      <c r="Q78" s="3914" t="s">
        <v>11308</v>
      </c>
      <c r="R78" s="3915" t="s">
        <v>11309</v>
      </c>
      <c r="S78" s="3916" t="s">
        <v>11310</v>
      </c>
      <c r="V78" s="3917"/>
      <c r="W78" s="3558" t="s">
        <v>11311</v>
      </c>
      <c r="X78" s="3544" t="s">
        <v>11312</v>
      </c>
      <c r="Y78" s="3545">
        <v>0</v>
      </c>
      <c r="Z78" s="3546">
        <v>48</v>
      </c>
      <c r="AA78" s="3547">
        <v>78</v>
      </c>
      <c r="AB78"/>
      <c r="AC78" s="3918"/>
      <c r="AD78" s="3578" t="s">
        <v>11313</v>
      </c>
      <c r="AE78" s="3536" t="s">
        <v>11314</v>
      </c>
      <c r="AF78" s="3537">
        <v>205</v>
      </c>
      <c r="AG78" s="3538">
        <v>205</v>
      </c>
      <c r="AH78" s="3539">
        <v>13</v>
      </c>
      <c r="AI78"/>
      <c r="AJ78" s="3919"/>
      <c r="AK78" s="3541" t="s">
        <v>11315</v>
      </c>
      <c r="AL78" s="3536" t="s">
        <v>11316</v>
      </c>
      <c r="AM78" s="3537">
        <v>253</v>
      </c>
      <c r="AN78" s="3538">
        <v>245</v>
      </c>
      <c r="AO78" s="3539">
        <v>230</v>
      </c>
      <c r="AQ78" s="3">
        <v>1</v>
      </c>
    </row>
    <row r="79" spans="1:43" ht="21" customHeight="1">
      <c r="A79" s="630"/>
      <c r="K79" s="3920" t="s">
        <v>11317</v>
      </c>
      <c r="L79" s="3921" t="s">
        <v>11318</v>
      </c>
      <c r="M79" s="3922" t="s">
        <v>11319</v>
      </c>
      <c r="N79" s="3923" t="s">
        <v>11320</v>
      </c>
      <c r="O79" s="3924" t="s">
        <v>11321</v>
      </c>
      <c r="P79" s="3925" t="s">
        <v>11322</v>
      </c>
      <c r="Q79" s="3926" t="s">
        <v>11323</v>
      </c>
      <c r="R79" s="3927" t="s">
        <v>11324</v>
      </c>
      <c r="S79" s="3928" t="s">
        <v>11325</v>
      </c>
      <c r="V79" s="3929"/>
      <c r="W79" s="3558" t="s">
        <v>11326</v>
      </c>
      <c r="X79" s="3544" t="s">
        <v>11327</v>
      </c>
      <c r="Y79" s="3545">
        <v>180</v>
      </c>
      <c r="Z79" s="3546">
        <v>188</v>
      </c>
      <c r="AA79" s="3547">
        <v>192</v>
      </c>
      <c r="AB79"/>
      <c r="AC79" s="3930"/>
      <c r="AD79" s="3535" t="s">
        <v>11328</v>
      </c>
      <c r="AE79" s="3536" t="s">
        <v>11329</v>
      </c>
      <c r="AF79" s="3537">
        <v>205</v>
      </c>
      <c r="AG79" s="3538">
        <v>205</v>
      </c>
      <c r="AH79" s="3539">
        <v>0</v>
      </c>
      <c r="AI79"/>
      <c r="AJ79" s="3931"/>
      <c r="AK79" s="3541" t="s">
        <v>11330</v>
      </c>
      <c r="AL79" s="3536" t="s">
        <v>11331</v>
      </c>
      <c r="AM79" s="3537">
        <v>255</v>
      </c>
      <c r="AN79" s="3538">
        <v>250</v>
      </c>
      <c r="AO79" s="3539">
        <v>240</v>
      </c>
      <c r="AQ79" s="3">
        <v>1</v>
      </c>
    </row>
    <row r="80" spans="1:43" ht="21" customHeight="1">
      <c r="K80" s="3932" t="s">
        <v>11332</v>
      </c>
      <c r="L80" s="3933" t="s">
        <v>11333</v>
      </c>
      <c r="M80" s="3934" t="s">
        <v>11334</v>
      </c>
      <c r="N80" s="3935" t="s">
        <v>11335</v>
      </c>
      <c r="O80" s="3936" t="s">
        <v>11336</v>
      </c>
      <c r="P80" s="3937" t="s">
        <v>11337</v>
      </c>
      <c r="Q80" s="3938" t="s">
        <v>11338</v>
      </c>
      <c r="R80" s="3939" t="s">
        <v>11339</v>
      </c>
      <c r="S80" s="3940" t="s">
        <v>11340</v>
      </c>
      <c r="V80" s="3941"/>
      <c r="W80" s="3558" t="s">
        <v>10687</v>
      </c>
      <c r="X80" s="3544" t="s">
        <v>11341</v>
      </c>
      <c r="Y80" s="3545">
        <v>116</v>
      </c>
      <c r="Z80" s="3546">
        <v>208</v>
      </c>
      <c r="AA80" s="3547">
        <v>241</v>
      </c>
      <c r="AB80"/>
      <c r="AC80" s="3942"/>
      <c r="AD80" s="3535" t="s">
        <v>11342</v>
      </c>
      <c r="AE80" s="3536" t="s">
        <v>11343</v>
      </c>
      <c r="AF80" s="3537">
        <v>139</v>
      </c>
      <c r="AG80" s="3538">
        <v>139</v>
      </c>
      <c r="AH80" s="3539">
        <v>131</v>
      </c>
      <c r="AI80"/>
      <c r="AJ80" s="3943"/>
      <c r="AK80" s="3550" t="s">
        <v>11344</v>
      </c>
      <c r="AL80" s="3536" t="s">
        <v>11345</v>
      </c>
      <c r="AM80" s="3537">
        <v>252</v>
      </c>
      <c r="AN80" s="3538">
        <v>210</v>
      </c>
      <c r="AO80" s="3539">
        <v>28</v>
      </c>
      <c r="AQ80" s="3">
        <v>1</v>
      </c>
    </row>
    <row r="81" spans="11:43" ht="21" customHeight="1">
      <c r="K81" s="3944" t="s">
        <v>11346</v>
      </c>
      <c r="L81" s="3945" t="s">
        <v>11347</v>
      </c>
      <c r="M81" s="3946" t="s">
        <v>11348</v>
      </c>
      <c r="N81" s="3947" t="s">
        <v>11349</v>
      </c>
      <c r="O81" s="3948" t="s">
        <v>11350</v>
      </c>
      <c r="P81" s="3949" t="s">
        <v>11351</v>
      </c>
      <c r="Q81" s="3950" t="s">
        <v>11352</v>
      </c>
      <c r="R81" s="3951" t="s">
        <v>11353</v>
      </c>
      <c r="S81" s="3952" t="s">
        <v>11354</v>
      </c>
      <c r="V81" s="3953"/>
      <c r="W81" s="3543" t="s">
        <v>10852</v>
      </c>
      <c r="X81" s="3544" t="s">
        <v>11355</v>
      </c>
      <c r="Y81" s="3545">
        <v>135</v>
      </c>
      <c r="Z81" s="3546">
        <v>206</v>
      </c>
      <c r="AA81" s="3547">
        <v>235</v>
      </c>
      <c r="AB81"/>
      <c r="AC81" s="3954"/>
      <c r="AD81" s="3578" t="s">
        <v>11356</v>
      </c>
      <c r="AE81" s="3536" t="s">
        <v>11357</v>
      </c>
      <c r="AF81" s="3537">
        <v>132</v>
      </c>
      <c r="AG81" s="3538">
        <v>132</v>
      </c>
      <c r="AH81" s="3539">
        <v>130</v>
      </c>
      <c r="AI81"/>
      <c r="AJ81" s="3955"/>
      <c r="AK81" s="3550" t="s">
        <v>11358</v>
      </c>
      <c r="AL81" s="3536" t="s">
        <v>11359</v>
      </c>
      <c r="AM81" s="3537">
        <v>226</v>
      </c>
      <c r="AN81" s="3538">
        <v>188</v>
      </c>
      <c r="AO81" s="3539">
        <v>116</v>
      </c>
      <c r="AQ81" s="3">
        <v>1</v>
      </c>
    </row>
    <row r="82" spans="11:43" ht="21" customHeight="1">
      <c r="K82" s="3956" t="s">
        <v>11360</v>
      </c>
      <c r="L82" s="3957" t="s">
        <v>11361</v>
      </c>
      <c r="M82" s="3958" t="s">
        <v>11362</v>
      </c>
      <c r="N82" s="3959" t="s">
        <v>11363</v>
      </c>
      <c r="O82" s="3960" t="s">
        <v>11364</v>
      </c>
      <c r="P82" s="3961" t="s">
        <v>11365</v>
      </c>
      <c r="Q82" s="3962" t="s">
        <v>11366</v>
      </c>
      <c r="R82" s="3963" t="s">
        <v>11367</v>
      </c>
      <c r="S82" s="3964" t="s">
        <v>11368</v>
      </c>
      <c r="V82" s="3965"/>
      <c r="W82" s="3543" t="s">
        <v>11369</v>
      </c>
      <c r="X82" s="3544" t="s">
        <v>11370</v>
      </c>
      <c r="Y82" s="3545">
        <v>164</v>
      </c>
      <c r="Z82" s="3546">
        <v>211</v>
      </c>
      <c r="AA82" s="3547">
        <v>238</v>
      </c>
      <c r="AB82"/>
      <c r="AC82" s="3966"/>
      <c r="AD82" s="3535" t="s">
        <v>11371</v>
      </c>
      <c r="AE82" s="3536" t="s">
        <v>11372</v>
      </c>
      <c r="AF82" s="3537">
        <v>139</v>
      </c>
      <c r="AG82" s="3538">
        <v>139</v>
      </c>
      <c r="AH82" s="3539">
        <v>122</v>
      </c>
      <c r="AI82"/>
      <c r="AJ82" s="3967"/>
      <c r="AK82" s="3541" t="s">
        <v>11373</v>
      </c>
      <c r="AL82" s="3536" t="s">
        <v>11374</v>
      </c>
      <c r="AM82" s="3537">
        <v>205</v>
      </c>
      <c r="AN82" s="3538">
        <v>186</v>
      </c>
      <c r="AO82" s="3539">
        <v>150</v>
      </c>
      <c r="AQ82" s="3">
        <v>1</v>
      </c>
    </row>
    <row r="83" spans="11:43" ht="21" customHeight="1">
      <c r="K83" s="3968" t="s">
        <v>11375</v>
      </c>
      <c r="L83" s="3969" t="s">
        <v>11376</v>
      </c>
      <c r="M83" s="3970" t="s">
        <v>11377</v>
      </c>
      <c r="N83" s="3971" t="s">
        <v>11378</v>
      </c>
      <c r="O83" s="3972" t="s">
        <v>11379</v>
      </c>
      <c r="P83" s="3973" t="s">
        <v>11380</v>
      </c>
      <c r="Q83" s="3974" t="s">
        <v>11381</v>
      </c>
      <c r="R83" s="3975" t="s">
        <v>11382</v>
      </c>
      <c r="S83" s="3976" t="s">
        <v>11383</v>
      </c>
      <c r="V83" s="3977"/>
      <c r="W83" s="3558" t="s">
        <v>11384</v>
      </c>
      <c r="X83" s="3544" t="s">
        <v>11385</v>
      </c>
      <c r="Y83" s="3545">
        <v>187</v>
      </c>
      <c r="Z83" s="3546">
        <v>210</v>
      </c>
      <c r="AA83" s="3547">
        <v>225</v>
      </c>
      <c r="AB83"/>
      <c r="AC83" s="3978"/>
      <c r="AD83" s="3578" t="s">
        <v>11386</v>
      </c>
      <c r="AE83" s="3536" t="s">
        <v>11387</v>
      </c>
      <c r="AF83" s="3537">
        <v>152</v>
      </c>
      <c r="AG83" s="3538">
        <v>148</v>
      </c>
      <c r="AH83" s="3539">
        <v>62</v>
      </c>
      <c r="AI83"/>
      <c r="AJ83" s="3979"/>
      <c r="AK83" s="3550" t="s">
        <v>11388</v>
      </c>
      <c r="AL83" s="3536" t="s">
        <v>11389</v>
      </c>
      <c r="AM83" s="3537">
        <v>243</v>
      </c>
      <c r="AN83" s="3538">
        <v>195</v>
      </c>
      <c r="AO83" s="3539">
        <v>0</v>
      </c>
      <c r="AQ83" s="3">
        <v>1</v>
      </c>
    </row>
    <row r="84" spans="11:43" ht="21" customHeight="1">
      <c r="K84" s="3980" t="s">
        <v>11390</v>
      </c>
      <c r="L84" s="3981" t="s">
        <v>11391</v>
      </c>
      <c r="M84" s="3982" t="s">
        <v>11392</v>
      </c>
      <c r="N84" s="3983" t="s">
        <v>11393</v>
      </c>
      <c r="O84" s="3984" t="s">
        <v>11394</v>
      </c>
      <c r="P84" s="3985" t="s">
        <v>11395</v>
      </c>
      <c r="Q84" s="3986" t="s">
        <v>11396</v>
      </c>
      <c r="R84" s="3987" t="s">
        <v>11397</v>
      </c>
      <c r="S84" s="3988" t="s">
        <v>11398</v>
      </c>
      <c r="V84" s="3989"/>
      <c r="W84" s="3543" t="s">
        <v>11399</v>
      </c>
      <c r="X84" s="3544" t="s">
        <v>11400</v>
      </c>
      <c r="Y84" s="3545">
        <v>176</v>
      </c>
      <c r="Z84" s="3546">
        <v>226</v>
      </c>
      <c r="AA84" s="3547">
        <v>255</v>
      </c>
      <c r="AB84"/>
      <c r="AC84" s="3990"/>
      <c r="AD84" s="3535" t="s">
        <v>11401</v>
      </c>
      <c r="AE84" s="3536" t="s">
        <v>11402</v>
      </c>
      <c r="AF84" s="3537">
        <v>139</v>
      </c>
      <c r="AG84" s="3538">
        <v>139</v>
      </c>
      <c r="AH84" s="3539">
        <v>0</v>
      </c>
      <c r="AI84"/>
      <c r="AJ84" s="3991"/>
      <c r="AK84" s="3550" t="s">
        <v>11403</v>
      </c>
      <c r="AL84" s="3536" t="s">
        <v>11404</v>
      </c>
      <c r="AM84" s="3537">
        <v>240</v>
      </c>
      <c r="AN84" s="3538">
        <v>195</v>
      </c>
      <c r="AO84" s="3539">
        <v>0</v>
      </c>
      <c r="AQ84" s="3">
        <v>1</v>
      </c>
    </row>
    <row r="85" spans="11:43" ht="21" customHeight="1">
      <c r="K85" s="3992" t="s">
        <v>11405</v>
      </c>
      <c r="L85" s="3993" t="s">
        <v>11406</v>
      </c>
      <c r="M85" s="3994" t="s">
        <v>11407</v>
      </c>
      <c r="N85" s="3995" t="s">
        <v>11408</v>
      </c>
      <c r="O85" s="3996" t="s">
        <v>11409</v>
      </c>
      <c r="P85" s="3997" t="s">
        <v>11410</v>
      </c>
      <c r="Q85" s="3998" t="s">
        <v>11411</v>
      </c>
      <c r="R85" s="3999" t="s">
        <v>11412</v>
      </c>
      <c r="S85" s="4000" t="s">
        <v>11413</v>
      </c>
      <c r="V85" s="4001"/>
      <c r="W85" s="3558" t="s">
        <v>11414</v>
      </c>
      <c r="X85" s="3544" t="s">
        <v>11415</v>
      </c>
      <c r="Y85" s="3545">
        <v>223</v>
      </c>
      <c r="Z85" s="3546">
        <v>242</v>
      </c>
      <c r="AA85" s="3547">
        <v>255</v>
      </c>
      <c r="AB85"/>
      <c r="AC85" s="4002"/>
      <c r="AD85" s="3535" t="s">
        <v>11416</v>
      </c>
      <c r="AE85" s="3536" t="s">
        <v>11417</v>
      </c>
      <c r="AF85" s="3537">
        <v>128</v>
      </c>
      <c r="AG85" s="3538">
        <v>128</v>
      </c>
      <c r="AH85" s="3539">
        <v>0</v>
      </c>
      <c r="AI85"/>
      <c r="AJ85" s="4003"/>
      <c r="AK85" s="3550" t="s">
        <v>11418</v>
      </c>
      <c r="AL85" s="3536" t="s">
        <v>11419</v>
      </c>
      <c r="AM85" s="3537">
        <v>187</v>
      </c>
      <c r="AN85" s="3538">
        <v>174</v>
      </c>
      <c r="AO85" s="3539">
        <v>152</v>
      </c>
      <c r="AQ85" s="3">
        <v>1</v>
      </c>
    </row>
    <row r="86" spans="11:43" ht="21" customHeight="1">
      <c r="K86" s="4004" t="s">
        <v>11420</v>
      </c>
      <c r="L86" s="4005" t="s">
        <v>11421</v>
      </c>
      <c r="M86" s="4006" t="s">
        <v>11422</v>
      </c>
      <c r="N86" s="4007" t="s">
        <v>11423</v>
      </c>
      <c r="O86" s="4008" t="s">
        <v>11424</v>
      </c>
      <c r="P86" s="4009" t="s">
        <v>11425</v>
      </c>
      <c r="Q86" s="4010" t="s">
        <v>11426</v>
      </c>
      <c r="R86" s="4011" t="s">
        <v>11427</v>
      </c>
      <c r="S86" s="4012" t="s">
        <v>11428</v>
      </c>
      <c r="V86" s="4013"/>
      <c r="W86" s="3543" t="s">
        <v>11429</v>
      </c>
      <c r="X86" s="3544" t="s">
        <v>11430</v>
      </c>
      <c r="Y86" s="3545">
        <v>141</v>
      </c>
      <c r="Z86" s="3546">
        <v>182</v>
      </c>
      <c r="AA86" s="3547">
        <v>205</v>
      </c>
      <c r="AB86"/>
      <c r="AC86" s="4014"/>
      <c r="AD86" s="3535" t="s">
        <v>11431</v>
      </c>
      <c r="AE86" s="3536" t="s">
        <v>11432</v>
      </c>
      <c r="AF86" s="3537">
        <v>79</v>
      </c>
      <c r="AG86" s="3538">
        <v>79</v>
      </c>
      <c r="AH86" s="3539">
        <v>47</v>
      </c>
      <c r="AI86"/>
      <c r="AJ86" s="4015"/>
      <c r="AK86" s="3550" t="s">
        <v>11433</v>
      </c>
      <c r="AL86" s="3536" t="s">
        <v>11434</v>
      </c>
      <c r="AM86" s="3537">
        <v>200</v>
      </c>
      <c r="AN86" s="3538">
        <v>173</v>
      </c>
      <c r="AO86" s="3539">
        <v>127</v>
      </c>
      <c r="AQ86" s="3">
        <v>1</v>
      </c>
    </row>
    <row r="87" spans="11:43" ht="21" customHeight="1">
      <c r="K87" s="4016" t="s">
        <v>11435</v>
      </c>
      <c r="L87" s="4017" t="s">
        <v>11436</v>
      </c>
      <c r="M87" s="4018" t="s">
        <v>11437</v>
      </c>
      <c r="N87" s="4019" t="s">
        <v>11438</v>
      </c>
      <c r="O87" s="4020" t="s">
        <v>11439</v>
      </c>
      <c r="P87" s="4021" t="s">
        <v>11440</v>
      </c>
      <c r="Q87" s="4022" t="s">
        <v>11441</v>
      </c>
      <c r="R87" s="4023" t="s">
        <v>11442</v>
      </c>
      <c r="S87" s="4024" t="s">
        <v>11443</v>
      </c>
      <c r="V87" s="4025"/>
      <c r="W87" s="3558" t="s">
        <v>11444</v>
      </c>
      <c r="X87" s="3544" t="s">
        <v>11445</v>
      </c>
      <c r="Y87" s="3545">
        <v>38</v>
      </c>
      <c r="Z87" s="3546">
        <v>196</v>
      </c>
      <c r="AA87" s="3547">
        <v>236</v>
      </c>
      <c r="AB87"/>
      <c r="AC87" s="4026"/>
      <c r="AD87" s="3578" t="s">
        <v>11446</v>
      </c>
      <c r="AE87" s="3536" t="s">
        <v>11447</v>
      </c>
      <c r="AF87" s="3537">
        <v>237</v>
      </c>
      <c r="AG87" s="3538">
        <v>255</v>
      </c>
      <c r="AH87" s="3539">
        <v>12</v>
      </c>
      <c r="AI87"/>
      <c r="AJ87" s="4027"/>
      <c r="AK87" s="3550" t="s">
        <v>11448</v>
      </c>
      <c r="AL87" s="3536" t="s">
        <v>11449</v>
      </c>
      <c r="AM87" s="3537">
        <v>223</v>
      </c>
      <c r="AN87" s="3538">
        <v>175</v>
      </c>
      <c r="AO87" s="3539">
        <v>44</v>
      </c>
      <c r="AQ87" s="3">
        <v>1</v>
      </c>
    </row>
    <row r="88" spans="11:43" ht="21" customHeight="1">
      <c r="K88" s="4028" t="s">
        <v>11450</v>
      </c>
      <c r="L88" s="4029" t="s">
        <v>11451</v>
      </c>
      <c r="M88" s="4030" t="s">
        <v>11452</v>
      </c>
      <c r="N88" s="4031" t="s">
        <v>11453</v>
      </c>
      <c r="O88" s="4032" t="s">
        <v>11454</v>
      </c>
      <c r="P88" s="4033" t="s">
        <v>11455</v>
      </c>
      <c r="Q88" s="4034" t="s">
        <v>11456</v>
      </c>
      <c r="R88" s="4035" t="s">
        <v>11457</v>
      </c>
      <c r="S88" s="4036" t="s">
        <v>11458</v>
      </c>
      <c r="V88" s="4037"/>
      <c r="W88" s="3543" t="s">
        <v>11459</v>
      </c>
      <c r="X88" s="3544" t="s">
        <v>11460</v>
      </c>
      <c r="Y88" s="3545">
        <v>56</v>
      </c>
      <c r="Z88" s="3546">
        <v>176</v>
      </c>
      <c r="AA88" s="3547">
        <v>222</v>
      </c>
      <c r="AB88"/>
      <c r="AC88" s="4038"/>
      <c r="AD88" s="3578" t="s">
        <v>11461</v>
      </c>
      <c r="AE88" s="3536" t="s">
        <v>11462</v>
      </c>
      <c r="AF88" s="3537">
        <v>218</v>
      </c>
      <c r="AG88" s="3538">
        <v>223</v>
      </c>
      <c r="AH88" s="3539">
        <v>183</v>
      </c>
      <c r="AI88"/>
      <c r="AJ88" s="4039"/>
      <c r="AK88" s="3550" t="s">
        <v>11463</v>
      </c>
      <c r="AL88" s="3536" t="s">
        <v>11464</v>
      </c>
      <c r="AM88" s="3537">
        <v>218</v>
      </c>
      <c r="AN88" s="3538">
        <v>179</v>
      </c>
      <c r="AO88" s="3539">
        <v>10</v>
      </c>
      <c r="AQ88" s="3">
        <v>1</v>
      </c>
    </row>
    <row r="89" spans="11:43" ht="21" customHeight="1">
      <c r="K89" s="4040" t="s">
        <v>11465</v>
      </c>
      <c r="L89" s="4041" t="s">
        <v>11466</v>
      </c>
      <c r="M89" s="4042" t="s">
        <v>11467</v>
      </c>
      <c r="N89" s="4043" t="s">
        <v>11468</v>
      </c>
      <c r="O89" s="4044" t="s">
        <v>11469</v>
      </c>
      <c r="P89" s="4045" t="s">
        <v>11470</v>
      </c>
      <c r="Q89" s="4046" t="s">
        <v>11471</v>
      </c>
      <c r="R89" s="4047" t="s">
        <v>11472</v>
      </c>
      <c r="S89" s="4048" t="s">
        <v>11473</v>
      </c>
      <c r="V89" s="4049"/>
      <c r="W89" s="3558" t="s">
        <v>11474</v>
      </c>
      <c r="X89" s="3544" t="s">
        <v>11475</v>
      </c>
      <c r="Y89" s="3545">
        <v>0</v>
      </c>
      <c r="Z89" s="3546">
        <v>161</v>
      </c>
      <c r="AA89" s="3547">
        <v>194</v>
      </c>
      <c r="AB89"/>
      <c r="AC89" s="4050"/>
      <c r="AD89" s="3578" t="s">
        <v>11476</v>
      </c>
      <c r="AE89" s="3536" t="s">
        <v>11477</v>
      </c>
      <c r="AF89" s="3537">
        <v>231</v>
      </c>
      <c r="AG89" s="3538">
        <v>240</v>
      </c>
      <c r="AH89" s="3539">
        <v>13</v>
      </c>
      <c r="AI89"/>
      <c r="AJ89" s="4051"/>
      <c r="AK89" s="3550" t="s">
        <v>11478</v>
      </c>
      <c r="AL89" s="3536" t="s">
        <v>11479</v>
      </c>
      <c r="AM89" s="3537">
        <v>201</v>
      </c>
      <c r="AN89" s="3538">
        <v>174</v>
      </c>
      <c r="AO89" s="3539">
        <v>93</v>
      </c>
      <c r="AQ89" s="3">
        <v>1</v>
      </c>
    </row>
    <row r="90" spans="11:43" ht="21" customHeight="1">
      <c r="K90" s="4052" t="s">
        <v>11480</v>
      </c>
      <c r="L90" s="4053" t="s">
        <v>11481</v>
      </c>
      <c r="M90" s="4054" t="s">
        <v>11482</v>
      </c>
      <c r="N90" s="4055" t="s">
        <v>11483</v>
      </c>
      <c r="O90" s="4056" t="s">
        <v>11484</v>
      </c>
      <c r="P90" s="4057" t="s">
        <v>11485</v>
      </c>
      <c r="Q90" s="4058" t="s">
        <v>11486</v>
      </c>
      <c r="R90" s="4059" t="s">
        <v>11487</v>
      </c>
      <c r="S90" s="4060" t="s">
        <v>11488</v>
      </c>
      <c r="V90" s="4061"/>
      <c r="W90" s="3558" t="s">
        <v>11489</v>
      </c>
      <c r="X90" s="3544" t="s">
        <v>11490</v>
      </c>
      <c r="Y90" s="3545">
        <v>129</v>
      </c>
      <c r="Z90" s="3546">
        <v>135</v>
      </c>
      <c r="AA90" s="3547">
        <v>139</v>
      </c>
      <c r="AB90"/>
      <c r="AC90" s="4062"/>
      <c r="AD90" s="3578" t="s">
        <v>11491</v>
      </c>
      <c r="AE90" s="3536" t="s">
        <v>11492</v>
      </c>
      <c r="AF90" s="3537">
        <v>199</v>
      </c>
      <c r="AG90" s="3538">
        <v>207</v>
      </c>
      <c r="AH90" s="3539">
        <v>0</v>
      </c>
      <c r="AI90"/>
      <c r="AJ90" s="4063"/>
      <c r="AK90" s="3550" t="s">
        <v>11493</v>
      </c>
      <c r="AL90" s="3536" t="s">
        <v>11494</v>
      </c>
      <c r="AM90" s="3537">
        <v>212</v>
      </c>
      <c r="AN90" s="3538">
        <v>175</v>
      </c>
      <c r="AO90" s="3539">
        <v>55</v>
      </c>
      <c r="AQ90" s="3">
        <v>1</v>
      </c>
    </row>
    <row r="91" spans="11:43" ht="21" customHeight="1">
      <c r="K91" s="4064" t="s">
        <v>11495</v>
      </c>
      <c r="L91" s="4065" t="s">
        <v>11496</v>
      </c>
      <c r="M91" s="4066" t="s">
        <v>11497</v>
      </c>
      <c r="N91" s="4067" t="s">
        <v>11498</v>
      </c>
      <c r="O91" s="4068" t="s">
        <v>11499</v>
      </c>
      <c r="P91" s="4069" t="s">
        <v>11500</v>
      </c>
      <c r="Q91" s="4070" t="s">
        <v>11501</v>
      </c>
      <c r="R91" s="4071" t="s">
        <v>11502</v>
      </c>
      <c r="S91" s="4072" t="s">
        <v>11503</v>
      </c>
      <c r="V91" s="4073"/>
      <c r="W91" s="3543" t="s">
        <v>11504</v>
      </c>
      <c r="X91" s="3544" t="s">
        <v>11505</v>
      </c>
      <c r="Y91" s="3545">
        <v>96</v>
      </c>
      <c r="Z91" s="3546">
        <v>123</v>
      </c>
      <c r="AA91" s="3547">
        <v>139</v>
      </c>
      <c r="AB91"/>
      <c r="AC91" s="4074"/>
      <c r="AD91" s="3535" t="s">
        <v>11506</v>
      </c>
      <c r="AE91" s="3536" t="s">
        <v>11507</v>
      </c>
      <c r="AF91" s="3537">
        <v>205</v>
      </c>
      <c r="AG91" s="3538">
        <v>201</v>
      </c>
      <c r="AH91" s="3539">
        <v>165</v>
      </c>
      <c r="AI91"/>
      <c r="AJ91" s="4075"/>
      <c r="AK91" s="3550" t="s">
        <v>11508</v>
      </c>
      <c r="AL91" s="3536" t="s">
        <v>11509</v>
      </c>
      <c r="AM91" s="3537">
        <v>186</v>
      </c>
      <c r="AN91" s="3538">
        <v>155</v>
      </c>
      <c r="AO91" s="3539">
        <v>97</v>
      </c>
      <c r="AQ91" s="3">
        <v>1</v>
      </c>
    </row>
    <row r="92" spans="11:43" ht="21" customHeight="1">
      <c r="K92" s="4076" t="s">
        <v>11510</v>
      </c>
      <c r="L92" s="4077" t="s">
        <v>11511</v>
      </c>
      <c r="M92" s="4078" t="s">
        <v>11512</v>
      </c>
      <c r="N92" s="4079" t="s">
        <v>11513</v>
      </c>
      <c r="O92" s="4080" t="s">
        <v>11514</v>
      </c>
      <c r="P92" s="4081" t="s">
        <v>11515</v>
      </c>
      <c r="Q92" s="4082" t="s">
        <v>11516</v>
      </c>
      <c r="R92" s="4083" t="s">
        <v>11517</v>
      </c>
      <c r="S92" s="4084" t="s">
        <v>11518</v>
      </c>
      <c r="V92" s="4085"/>
      <c r="W92" s="3558" t="s">
        <v>11519</v>
      </c>
      <c r="X92" s="3544" t="s">
        <v>11520</v>
      </c>
      <c r="Y92" s="3545">
        <v>0</v>
      </c>
      <c r="Z92" s="3546">
        <v>133</v>
      </c>
      <c r="AA92" s="3547">
        <v>161</v>
      </c>
      <c r="AB92"/>
      <c r="AC92" s="4086"/>
      <c r="AD92" s="3578" t="s">
        <v>9737</v>
      </c>
      <c r="AE92" s="3536" t="s">
        <v>11521</v>
      </c>
      <c r="AF92" s="3537">
        <v>240</v>
      </c>
      <c r="AG92" s="3538">
        <v>227</v>
      </c>
      <c r="AH92" s="3539">
        <v>107</v>
      </c>
      <c r="AI92"/>
      <c r="AJ92" s="4087"/>
      <c r="AK92" s="3550" t="s">
        <v>11522</v>
      </c>
      <c r="AL92" s="3536" t="s">
        <v>11523</v>
      </c>
      <c r="AM92" s="3537">
        <v>168</v>
      </c>
      <c r="AN92" s="3538">
        <v>152</v>
      </c>
      <c r="AO92" s="3539">
        <v>116</v>
      </c>
      <c r="AQ92" s="3">
        <v>1</v>
      </c>
    </row>
    <row r="93" spans="11:43" ht="21" customHeight="1">
      <c r="K93" s="4088" t="s">
        <v>11524</v>
      </c>
      <c r="L93" s="4089" t="s">
        <v>11525</v>
      </c>
      <c r="M93" s="4090" t="s">
        <v>11526</v>
      </c>
      <c r="N93" s="4091" t="s">
        <v>11527</v>
      </c>
      <c r="O93" s="4092" t="s">
        <v>11528</v>
      </c>
      <c r="P93" s="4093" t="s">
        <v>11529</v>
      </c>
      <c r="Q93" s="4094" t="s">
        <v>11530</v>
      </c>
      <c r="R93" s="4095" t="s">
        <v>11531</v>
      </c>
      <c r="S93" s="4096" t="s">
        <v>11532</v>
      </c>
      <c r="V93" s="4097"/>
      <c r="W93" s="3558" t="s">
        <v>11533</v>
      </c>
      <c r="X93" s="3544" t="s">
        <v>11534</v>
      </c>
      <c r="Y93" s="3545">
        <v>0</v>
      </c>
      <c r="Z93" s="3546">
        <v>119</v>
      </c>
      <c r="AA93" s="3547">
        <v>145</v>
      </c>
      <c r="AB93"/>
      <c r="AC93" s="4098"/>
      <c r="AD93" s="3578" t="s">
        <v>11535</v>
      </c>
      <c r="AE93" s="3536" t="s">
        <v>11536</v>
      </c>
      <c r="AF93" s="3537">
        <v>247</v>
      </c>
      <c r="AG93" s="3538">
        <v>227</v>
      </c>
      <c r="AH93" s="3539">
        <v>95</v>
      </c>
      <c r="AI93"/>
      <c r="AJ93" s="4099"/>
      <c r="AK93" s="3550" t="s">
        <v>11537</v>
      </c>
      <c r="AL93" s="3536" t="s">
        <v>11538</v>
      </c>
      <c r="AM93" s="3537">
        <v>161</v>
      </c>
      <c r="AN93" s="3538">
        <v>143</v>
      </c>
      <c r="AO93" s="3539">
        <v>96</v>
      </c>
      <c r="AQ93" s="3">
        <v>1</v>
      </c>
    </row>
    <row r="94" spans="11:43" ht="21" customHeight="1">
      <c r="K94" s="4100" t="s">
        <v>11539</v>
      </c>
      <c r="L94" s="4101" t="s">
        <v>11540</v>
      </c>
      <c r="M94" s="4102" t="s">
        <v>11541</v>
      </c>
      <c r="N94" s="4103" t="s">
        <v>11542</v>
      </c>
      <c r="O94" s="4104" t="s">
        <v>11543</v>
      </c>
      <c r="P94" s="4105" t="s">
        <v>11544</v>
      </c>
      <c r="Q94" s="4106" t="s">
        <v>11545</v>
      </c>
      <c r="R94" s="4107" t="s">
        <v>11546</v>
      </c>
      <c r="S94" s="4108" t="s">
        <v>11547</v>
      </c>
      <c r="V94" s="4109"/>
      <c r="W94" s="3558" t="s">
        <v>11548</v>
      </c>
      <c r="X94" s="3544" t="s">
        <v>11549</v>
      </c>
      <c r="Y94" s="3545">
        <v>6</v>
      </c>
      <c r="Z94" s="3546">
        <v>119</v>
      </c>
      <c r="AA94" s="3547">
        <v>144</v>
      </c>
      <c r="AB94"/>
      <c r="AC94" s="4110"/>
      <c r="AD94" s="3535" t="s">
        <v>11550</v>
      </c>
      <c r="AE94" s="3536" t="s">
        <v>11551</v>
      </c>
      <c r="AF94" s="3537">
        <v>205</v>
      </c>
      <c r="AG94" s="3538">
        <v>200</v>
      </c>
      <c r="AH94" s="3539">
        <v>177</v>
      </c>
      <c r="AI94"/>
      <c r="AJ94" s="4111"/>
      <c r="AK94" s="3550" t="s">
        <v>11552</v>
      </c>
      <c r="AL94" s="3536" t="s">
        <v>11553</v>
      </c>
      <c r="AM94" s="3537">
        <v>171</v>
      </c>
      <c r="AN94" s="3538">
        <v>145</v>
      </c>
      <c r="AO94" s="3539">
        <v>68</v>
      </c>
      <c r="AQ94" s="3">
        <v>1</v>
      </c>
    </row>
    <row r="95" spans="11:43" ht="21" customHeight="1">
      <c r="K95" s="4112" t="s">
        <v>11554</v>
      </c>
      <c r="L95" s="4113" t="s">
        <v>11555</v>
      </c>
      <c r="M95" s="4114" t="s">
        <v>11556</v>
      </c>
      <c r="N95" s="4115" t="s">
        <v>11557</v>
      </c>
      <c r="O95" s="4116" t="s">
        <v>11558</v>
      </c>
      <c r="P95" s="4117" t="s">
        <v>11559</v>
      </c>
      <c r="Q95" s="4118" t="s">
        <v>11560</v>
      </c>
      <c r="R95" s="4119" t="s">
        <v>11561</v>
      </c>
      <c r="S95" s="4120" t="s">
        <v>11562</v>
      </c>
      <c r="V95" s="4121"/>
      <c r="W95" s="3558" t="s">
        <v>11563</v>
      </c>
      <c r="X95" s="3544" t="s">
        <v>11564</v>
      </c>
      <c r="Y95" s="3545">
        <v>0</v>
      </c>
      <c r="Z95" s="3546">
        <v>46</v>
      </c>
      <c r="AA95" s="3547">
        <v>59</v>
      </c>
      <c r="AB95"/>
      <c r="AC95" s="4122"/>
      <c r="AD95" s="3535" t="s">
        <v>11565</v>
      </c>
      <c r="AE95" s="3536" t="s">
        <v>11566</v>
      </c>
      <c r="AF95" s="3537">
        <v>238</v>
      </c>
      <c r="AG95" s="3538">
        <v>230</v>
      </c>
      <c r="AH95" s="3539">
        <v>133</v>
      </c>
      <c r="AI95"/>
      <c r="AJ95" s="4123"/>
      <c r="AK95" s="3541" t="s">
        <v>11567</v>
      </c>
      <c r="AL95" s="3536" t="s">
        <v>11568</v>
      </c>
      <c r="AM95" s="3537">
        <v>139</v>
      </c>
      <c r="AN95" s="3538">
        <v>131</v>
      </c>
      <c r="AO95" s="3539">
        <v>120</v>
      </c>
      <c r="AQ95" s="3">
        <v>1</v>
      </c>
    </row>
    <row r="96" spans="11:43" ht="21" customHeight="1">
      <c r="K96" s="4124" t="s">
        <v>11569</v>
      </c>
      <c r="L96" s="4125" t="s">
        <v>11570</v>
      </c>
      <c r="M96" s="4126" t="s">
        <v>11571</v>
      </c>
      <c r="N96" s="4127" t="s">
        <v>11572</v>
      </c>
      <c r="O96" s="4128" t="s">
        <v>11573</v>
      </c>
      <c r="P96" s="4129" t="s">
        <v>11574</v>
      </c>
      <c r="Q96" s="4130" t="s">
        <v>11575</v>
      </c>
      <c r="R96" s="4131" t="s">
        <v>11576</v>
      </c>
      <c r="S96" s="4132" t="s">
        <v>11577</v>
      </c>
      <c r="V96" s="4133"/>
      <c r="W96" s="3558" t="s">
        <v>10775</v>
      </c>
      <c r="X96" s="3544" t="s">
        <v>10775</v>
      </c>
      <c r="Y96" s="3545">
        <v>255</v>
      </c>
      <c r="Z96" s="3546">
        <v>255</v>
      </c>
      <c r="AA96" s="3547">
        <v>255</v>
      </c>
      <c r="AB96"/>
      <c r="AC96" s="4134"/>
      <c r="AD96" s="3578" t="s">
        <v>11578</v>
      </c>
      <c r="AE96" s="3536" t="s">
        <v>11579</v>
      </c>
      <c r="AF96" s="3537">
        <v>250</v>
      </c>
      <c r="AG96" s="3538">
        <v>234</v>
      </c>
      <c r="AH96" s="3539">
        <v>115</v>
      </c>
      <c r="AI96"/>
      <c r="AJ96" s="4135"/>
      <c r="AK96" s="3550" t="s">
        <v>11580</v>
      </c>
      <c r="AL96" s="3536" t="s">
        <v>11581</v>
      </c>
      <c r="AM96" s="3537">
        <v>175</v>
      </c>
      <c r="AN96" s="3538">
        <v>141</v>
      </c>
      <c r="AO96" s="3539">
        <v>19</v>
      </c>
      <c r="AQ96" s="3">
        <v>1</v>
      </c>
    </row>
    <row r="97" spans="11:43" ht="21" customHeight="1">
      <c r="K97" s="4136" t="s">
        <v>11582</v>
      </c>
      <c r="L97" s="4137" t="s">
        <v>11583</v>
      </c>
      <c r="M97" s="4138" t="s">
        <v>11584</v>
      </c>
      <c r="N97" s="4139" t="s">
        <v>11585</v>
      </c>
      <c r="O97" s="4140" t="s">
        <v>11586</v>
      </c>
      <c r="P97" s="4141" t="s">
        <v>11587</v>
      </c>
      <c r="Q97" s="4142" t="s">
        <v>11588</v>
      </c>
      <c r="R97" s="4143" t="s">
        <v>11589</v>
      </c>
      <c r="S97" s="4144" t="s">
        <v>11590</v>
      </c>
      <c r="V97" s="4145"/>
      <c r="W97" s="3558" t="s">
        <v>11591</v>
      </c>
      <c r="X97" s="3544" t="s">
        <v>11592</v>
      </c>
      <c r="Y97" s="3545">
        <v>0</v>
      </c>
      <c r="Z97" s="3546">
        <v>0</v>
      </c>
      <c r="AA97" s="3547">
        <v>255</v>
      </c>
      <c r="AB97"/>
      <c r="AC97" s="4146"/>
      <c r="AD97" s="3535" t="s">
        <v>11593</v>
      </c>
      <c r="AE97" s="3536" t="s">
        <v>11594</v>
      </c>
      <c r="AF97" s="3537">
        <v>240</v>
      </c>
      <c r="AG97" s="3538">
        <v>230</v>
      </c>
      <c r="AH97" s="3539">
        <v>140</v>
      </c>
      <c r="AI97"/>
      <c r="AJ97" s="4147"/>
      <c r="AK97" s="3541" t="s">
        <v>11595</v>
      </c>
      <c r="AL97" s="3536" t="s">
        <v>11596</v>
      </c>
      <c r="AM97" s="3537">
        <v>139</v>
      </c>
      <c r="AN97" s="3538">
        <v>126</v>
      </c>
      <c r="AO97" s="3539">
        <v>102</v>
      </c>
      <c r="AQ97" s="3">
        <v>1</v>
      </c>
    </row>
    <row r="98" spans="11:43" ht="21" customHeight="1">
      <c r="K98" s="4148" t="s">
        <v>11597</v>
      </c>
      <c r="L98" s="4149" t="s">
        <v>11598</v>
      </c>
      <c r="M98" s="4150" t="s">
        <v>11599</v>
      </c>
      <c r="N98" s="4151" t="s">
        <v>11600</v>
      </c>
      <c r="O98" s="4152" t="s">
        <v>11601</v>
      </c>
      <c r="P98" s="4153" t="s">
        <v>11602</v>
      </c>
      <c r="Q98" s="4154" t="s">
        <v>11603</v>
      </c>
      <c r="R98" s="4155" t="s">
        <v>11604</v>
      </c>
      <c r="S98" s="4156" t="s">
        <v>11605</v>
      </c>
      <c r="V98" s="4157"/>
      <c r="W98" s="3543" t="s">
        <v>11606</v>
      </c>
      <c r="X98" s="3544" t="s">
        <v>11607</v>
      </c>
      <c r="Y98" s="3545">
        <v>77</v>
      </c>
      <c r="Z98" s="3546">
        <v>77</v>
      </c>
      <c r="AA98" s="3547">
        <v>255</v>
      </c>
      <c r="AB98"/>
      <c r="AC98" s="4158"/>
      <c r="AD98" s="3535" t="s">
        <v>11608</v>
      </c>
      <c r="AE98" s="3536" t="s">
        <v>11609</v>
      </c>
      <c r="AF98" s="3537">
        <v>238</v>
      </c>
      <c r="AG98" s="3538">
        <v>232</v>
      </c>
      <c r="AH98" s="3539">
        <v>170</v>
      </c>
      <c r="AI98"/>
      <c r="AJ98" s="4159"/>
      <c r="AK98" s="3541" t="s">
        <v>11610</v>
      </c>
      <c r="AL98" s="3536" t="s">
        <v>11611</v>
      </c>
      <c r="AM98" s="3537">
        <v>140</v>
      </c>
      <c r="AN98" s="3538">
        <v>120</v>
      </c>
      <c r="AO98" s="3539">
        <v>83</v>
      </c>
      <c r="AQ98" s="3">
        <v>1</v>
      </c>
    </row>
    <row r="99" spans="11:43" ht="21" customHeight="1">
      <c r="K99" s="4160" t="s">
        <v>11612</v>
      </c>
      <c r="L99" s="4161" t="s">
        <v>11613</v>
      </c>
      <c r="M99" s="4162" t="s">
        <v>11614</v>
      </c>
      <c r="N99" s="4163" t="s">
        <v>11615</v>
      </c>
      <c r="O99" s="4164" t="s">
        <v>11616</v>
      </c>
      <c r="P99" s="4165" t="s">
        <v>11617</v>
      </c>
      <c r="Q99" s="4166" t="s">
        <v>11618</v>
      </c>
      <c r="R99" s="4167" t="s">
        <v>11619</v>
      </c>
      <c r="S99" s="4168" t="s">
        <v>11620</v>
      </c>
      <c r="V99" s="4169"/>
      <c r="W99" s="3558" t="s">
        <v>11621</v>
      </c>
      <c r="X99" s="3544" t="s">
        <v>11622</v>
      </c>
      <c r="Y99" s="3545">
        <v>196</v>
      </c>
      <c r="Z99" s="3546">
        <v>195</v>
      </c>
      <c r="AA99" s="3547">
        <v>221</v>
      </c>
      <c r="AB99"/>
      <c r="AC99" s="4170"/>
      <c r="AD99" s="3578" t="s">
        <v>11623</v>
      </c>
      <c r="AE99" s="3536" t="s">
        <v>11624</v>
      </c>
      <c r="AF99" s="3537">
        <v>255</v>
      </c>
      <c r="AG99" s="3538">
        <v>244</v>
      </c>
      <c r="AH99" s="3539">
        <v>141</v>
      </c>
      <c r="AI99"/>
      <c r="AJ99" s="4171"/>
      <c r="AK99" s="3550" t="s">
        <v>11625</v>
      </c>
      <c r="AL99" s="3536" t="s">
        <v>11626</v>
      </c>
      <c r="AM99" s="3537">
        <v>118</v>
      </c>
      <c r="AN99" s="3538">
        <v>111</v>
      </c>
      <c r="AO99" s="3539">
        <v>100</v>
      </c>
      <c r="AQ99" s="3">
        <v>1</v>
      </c>
    </row>
    <row r="100" spans="11:43" ht="21" customHeight="1">
      <c r="K100" s="4172" t="s">
        <v>11627</v>
      </c>
      <c r="L100" s="4173" t="s">
        <v>11628</v>
      </c>
      <c r="M100" s="4174" t="s">
        <v>11629</v>
      </c>
      <c r="N100" s="4175" t="s">
        <v>11630</v>
      </c>
      <c r="O100" s="4176" t="s">
        <v>11631</v>
      </c>
      <c r="P100" s="4177" t="s">
        <v>11632</v>
      </c>
      <c r="Q100" s="4178" t="s">
        <v>11633</v>
      </c>
      <c r="R100" s="4179" t="s">
        <v>11634</v>
      </c>
      <c r="S100" s="4180" t="s">
        <v>11635</v>
      </c>
      <c r="V100" s="4181"/>
      <c r="W100" s="3543" t="s">
        <v>11636</v>
      </c>
      <c r="X100" s="3544" t="s">
        <v>11637</v>
      </c>
      <c r="Y100" s="3545">
        <v>217</v>
      </c>
      <c r="Z100" s="3546">
        <v>217</v>
      </c>
      <c r="AA100" s="3547">
        <v>243</v>
      </c>
      <c r="AB100"/>
      <c r="AC100" s="4182"/>
      <c r="AD100" s="3535" t="s">
        <v>11638</v>
      </c>
      <c r="AE100" s="3536" t="s">
        <v>11639</v>
      </c>
      <c r="AF100" s="3537">
        <v>255</v>
      </c>
      <c r="AG100" s="3538">
        <v>246</v>
      </c>
      <c r="AH100" s="3539">
        <v>143</v>
      </c>
      <c r="AI100"/>
      <c r="AJ100" s="4183"/>
      <c r="AK100" s="3550" t="s">
        <v>11640</v>
      </c>
      <c r="AL100" s="3536" t="s">
        <v>11641</v>
      </c>
      <c r="AM100" s="3537">
        <v>107</v>
      </c>
      <c r="AN100" s="3538">
        <v>87</v>
      </c>
      <c r="AO100" s="3539">
        <v>49</v>
      </c>
      <c r="AQ100" s="3">
        <v>1</v>
      </c>
    </row>
    <row r="101" spans="11:43" ht="21" customHeight="1">
      <c r="K101" s="4184" t="s">
        <v>11642</v>
      </c>
      <c r="L101" s="4185" t="s">
        <v>11643</v>
      </c>
      <c r="M101" s="4186" t="s">
        <v>11644</v>
      </c>
      <c r="N101" s="4187" t="s">
        <v>11645</v>
      </c>
      <c r="O101" s="4188" t="s">
        <v>11646</v>
      </c>
      <c r="P101" s="4189" t="s">
        <v>11647</v>
      </c>
      <c r="Q101" s="4190" t="s">
        <v>11648</v>
      </c>
      <c r="R101" s="4191" t="s">
        <v>11649</v>
      </c>
      <c r="S101" s="4192" t="s">
        <v>11650</v>
      </c>
      <c r="V101" s="4193"/>
      <c r="W101" s="3558" t="s">
        <v>11651</v>
      </c>
      <c r="X101" s="3544" t="s">
        <v>11652</v>
      </c>
      <c r="Y101" s="3545">
        <v>204</v>
      </c>
      <c r="Z101" s="3546">
        <v>204</v>
      </c>
      <c r="AA101" s="3547">
        <v>255</v>
      </c>
      <c r="AB101"/>
      <c r="AC101" s="4194"/>
      <c r="AD101" s="3535" t="s">
        <v>11653</v>
      </c>
      <c r="AE101" s="3536" t="s">
        <v>11654</v>
      </c>
      <c r="AF101" s="3537">
        <v>238</v>
      </c>
      <c r="AG101" s="3538">
        <v>233</v>
      </c>
      <c r="AH101" s="3539">
        <v>191</v>
      </c>
      <c r="AI101"/>
      <c r="AJ101" s="4195"/>
      <c r="AK101" s="3550" t="s">
        <v>11655</v>
      </c>
      <c r="AL101" s="3536" t="s">
        <v>11656</v>
      </c>
      <c r="AM101" s="3537">
        <v>97</v>
      </c>
      <c r="AN101" s="3538">
        <v>78</v>
      </c>
      <c r="AO101" s="3539">
        <v>26</v>
      </c>
      <c r="AQ101" s="3">
        <v>1</v>
      </c>
    </row>
    <row r="102" spans="11:43" ht="21" customHeight="1">
      <c r="K102" s="4196" t="s">
        <v>11657</v>
      </c>
      <c r="L102" s="4197" t="s">
        <v>11658</v>
      </c>
      <c r="M102" s="4198" t="s">
        <v>11659</v>
      </c>
      <c r="N102" s="4199" t="s">
        <v>11660</v>
      </c>
      <c r="O102" s="4200" t="s">
        <v>11661</v>
      </c>
      <c r="P102" s="4201" t="s">
        <v>11662</v>
      </c>
      <c r="Q102" s="4202" t="s">
        <v>11663</v>
      </c>
      <c r="R102" s="4203" t="s">
        <v>11664</v>
      </c>
      <c r="S102" s="4204" t="s">
        <v>11665</v>
      </c>
      <c r="V102" s="4205"/>
      <c r="W102" s="3558" t="s">
        <v>11666</v>
      </c>
      <c r="X102" s="3544" t="s">
        <v>11667</v>
      </c>
      <c r="Y102" s="3545">
        <v>233</v>
      </c>
      <c r="Z102" s="3546">
        <v>233</v>
      </c>
      <c r="AA102" s="3547">
        <v>237</v>
      </c>
      <c r="AB102"/>
      <c r="AC102" s="4206"/>
      <c r="AD102" s="3578" t="s">
        <v>11668</v>
      </c>
      <c r="AE102" s="3536" t="s">
        <v>11669</v>
      </c>
      <c r="AF102" s="3537">
        <v>251</v>
      </c>
      <c r="AG102" s="3538">
        <v>242</v>
      </c>
      <c r="AH102" s="3539">
        <v>183</v>
      </c>
      <c r="AI102"/>
      <c r="AJ102" s="4207"/>
      <c r="AK102" s="3550" t="s">
        <v>11670</v>
      </c>
      <c r="AL102" s="3536" t="s">
        <v>11671</v>
      </c>
      <c r="AM102" s="3537">
        <v>70</v>
      </c>
      <c r="AN102" s="3538">
        <v>63</v>
      </c>
      <c r="AO102" s="3539">
        <v>50</v>
      </c>
      <c r="AQ102" s="3">
        <v>1</v>
      </c>
    </row>
    <row r="103" spans="11:43" ht="21" customHeight="1">
      <c r="K103" s="4208" t="s">
        <v>11672</v>
      </c>
      <c r="L103" s="4209" t="s">
        <v>11673</v>
      </c>
      <c r="M103" s="4210" t="s">
        <v>11674</v>
      </c>
      <c r="N103" s="4211" t="s">
        <v>11675</v>
      </c>
      <c r="O103" s="4212" t="s">
        <v>11676</v>
      </c>
      <c r="P103" s="4213" t="s">
        <v>11677</v>
      </c>
      <c r="Q103" s="4214" t="s">
        <v>11678</v>
      </c>
      <c r="R103" s="4215" t="s">
        <v>11679</v>
      </c>
      <c r="S103" s="4216" t="s">
        <v>11680</v>
      </c>
      <c r="V103" s="4217"/>
      <c r="W103" s="3543" t="s">
        <v>11681</v>
      </c>
      <c r="X103" s="3544" t="s">
        <v>11682</v>
      </c>
      <c r="Y103" s="3545">
        <v>230</v>
      </c>
      <c r="Z103" s="3546">
        <v>230</v>
      </c>
      <c r="AA103" s="3547">
        <v>250</v>
      </c>
      <c r="AB103"/>
      <c r="AC103" s="4218"/>
      <c r="AD103" s="3578" t="s">
        <v>11683</v>
      </c>
      <c r="AE103" s="3536" t="s">
        <v>11684</v>
      </c>
      <c r="AF103" s="3537">
        <v>253</v>
      </c>
      <c r="AG103" s="3538">
        <v>241</v>
      </c>
      <c r="AH103" s="3539">
        <v>184</v>
      </c>
      <c r="AI103"/>
      <c r="AJ103" s="4219"/>
      <c r="AK103" s="3550" t="s">
        <v>11685</v>
      </c>
      <c r="AL103" s="3536" t="s">
        <v>11686</v>
      </c>
      <c r="AM103" s="3537">
        <v>41</v>
      </c>
      <c r="AN103" s="3538">
        <v>33</v>
      </c>
      <c r="AO103" s="3539">
        <v>7</v>
      </c>
      <c r="AQ103" s="3">
        <v>1</v>
      </c>
    </row>
    <row r="104" spans="11:43" ht="21" customHeight="1">
      <c r="K104" s="4220" t="s">
        <v>11687</v>
      </c>
      <c r="L104" s="4221" t="s">
        <v>11688</v>
      </c>
      <c r="M104" s="4222" t="s">
        <v>11689</v>
      </c>
      <c r="N104" s="4223" t="s">
        <v>11690</v>
      </c>
      <c r="O104" s="4224" t="s">
        <v>11691</v>
      </c>
      <c r="P104" s="4225" t="s">
        <v>11692</v>
      </c>
      <c r="Q104" s="4226" t="s">
        <v>11693</v>
      </c>
      <c r="R104" s="4227" t="s">
        <v>11694</v>
      </c>
      <c r="S104" s="4228" t="s">
        <v>11695</v>
      </c>
      <c r="V104" s="4229"/>
      <c r="W104" s="3543" t="s">
        <v>11696</v>
      </c>
      <c r="X104" s="3544" t="s">
        <v>11697</v>
      </c>
      <c r="Y104" s="3545">
        <v>248</v>
      </c>
      <c r="Z104" s="3546">
        <v>248</v>
      </c>
      <c r="AA104" s="3547">
        <v>255</v>
      </c>
      <c r="AB104"/>
      <c r="AC104" s="4230"/>
      <c r="AD104" s="3535" t="s">
        <v>11698</v>
      </c>
      <c r="AE104" s="3536" t="s">
        <v>11699</v>
      </c>
      <c r="AF104" s="3537">
        <v>238</v>
      </c>
      <c r="AG104" s="3538">
        <v>232</v>
      </c>
      <c r="AH104" s="3539">
        <v>205</v>
      </c>
      <c r="AI104"/>
      <c r="AJ104" s="4231"/>
      <c r="AK104" s="3541" t="s">
        <v>11700</v>
      </c>
      <c r="AL104" s="3536" t="s">
        <v>11701</v>
      </c>
      <c r="AM104" s="3537">
        <v>255</v>
      </c>
      <c r="AN104" s="3538">
        <v>165</v>
      </c>
      <c r="AO104" s="3539">
        <v>0</v>
      </c>
      <c r="AQ104" s="3">
        <v>1</v>
      </c>
    </row>
    <row r="105" spans="11:43" ht="21" customHeight="1">
      <c r="K105" s="4232" t="s">
        <v>11702</v>
      </c>
      <c r="L105" s="4233" t="s">
        <v>11703</v>
      </c>
      <c r="M105" s="4234" t="s">
        <v>11704</v>
      </c>
      <c r="N105" s="4235" t="s">
        <v>11705</v>
      </c>
      <c r="O105" s="4236" t="s">
        <v>11706</v>
      </c>
      <c r="P105" s="4237" t="s">
        <v>11707</v>
      </c>
      <c r="Q105" s="4238" t="s">
        <v>11708</v>
      </c>
      <c r="R105" s="4239" t="s">
        <v>11709</v>
      </c>
      <c r="S105" s="4240" t="s">
        <v>11710</v>
      </c>
      <c r="V105" s="4241"/>
      <c r="W105" s="3543" t="s">
        <v>11711</v>
      </c>
      <c r="X105" s="3544" t="s">
        <v>11712</v>
      </c>
      <c r="Y105" s="3545">
        <v>0</v>
      </c>
      <c r="Z105" s="3546">
        <v>0</v>
      </c>
      <c r="AA105" s="3547">
        <v>238</v>
      </c>
      <c r="AB105"/>
      <c r="AC105" s="4242"/>
      <c r="AD105" s="3535" t="s">
        <v>11713</v>
      </c>
      <c r="AE105" s="3536" t="s">
        <v>11714</v>
      </c>
      <c r="AF105" s="3537">
        <v>255</v>
      </c>
      <c r="AG105" s="3538">
        <v>250</v>
      </c>
      <c r="AH105" s="3539">
        <v>205</v>
      </c>
      <c r="AI105"/>
      <c r="AJ105" s="4243"/>
      <c r="AK105" s="3541" t="s">
        <v>11715</v>
      </c>
      <c r="AL105" s="3536" t="s">
        <v>11716</v>
      </c>
      <c r="AM105" s="3537">
        <v>244</v>
      </c>
      <c r="AN105" s="3538">
        <v>164</v>
      </c>
      <c r="AO105" s="3539">
        <v>96</v>
      </c>
      <c r="AQ105" s="3">
        <v>1</v>
      </c>
    </row>
    <row r="106" spans="11:43" ht="24" customHeight="1">
      <c r="K106" s="4244" t="s">
        <v>11717</v>
      </c>
      <c r="L106" s="4245" t="s">
        <v>11718</v>
      </c>
      <c r="M106" s="4246" t="s">
        <v>11719</v>
      </c>
      <c r="N106" s="4247" t="s">
        <v>11720</v>
      </c>
      <c r="O106" s="4248" t="s">
        <v>11721</v>
      </c>
      <c r="P106" s="4249" t="s">
        <v>11722</v>
      </c>
      <c r="Q106" s="4250" t="s">
        <v>11723</v>
      </c>
      <c r="R106" s="4251" t="s">
        <v>11724</v>
      </c>
      <c r="S106" s="4252" t="s">
        <v>11725</v>
      </c>
      <c r="V106" s="4253"/>
      <c r="W106" s="3558" t="s">
        <v>11726</v>
      </c>
      <c r="X106" s="3544" t="s">
        <v>11727</v>
      </c>
      <c r="Y106" s="3545">
        <v>96</v>
      </c>
      <c r="Z106" s="3546">
        <v>80</v>
      </c>
      <c r="AA106" s="3547">
        <v>220</v>
      </c>
      <c r="AB106"/>
      <c r="AC106" s="4254"/>
      <c r="AD106" s="3578" t="s">
        <v>11728</v>
      </c>
      <c r="AE106" s="3536" t="s">
        <v>11729</v>
      </c>
      <c r="AF106" s="3537">
        <v>254</v>
      </c>
      <c r="AG106" s="3538">
        <v>253</v>
      </c>
      <c r="AH106" s="3539">
        <v>240</v>
      </c>
      <c r="AI106"/>
      <c r="AJ106" s="4255"/>
      <c r="AK106" s="3550" t="s">
        <v>11730</v>
      </c>
      <c r="AL106" s="3536" t="s">
        <v>11731</v>
      </c>
      <c r="AM106" s="3537">
        <v>254</v>
      </c>
      <c r="AN106" s="3538">
        <v>163</v>
      </c>
      <c r="AO106" s="3539">
        <v>71</v>
      </c>
      <c r="AQ106" s="3">
        <v>1</v>
      </c>
    </row>
    <row r="107" spans="11:43" ht="21" customHeight="1">
      <c r="K107" s="4256" t="s">
        <v>11732</v>
      </c>
      <c r="L107" s="4257" t="s">
        <v>11733</v>
      </c>
      <c r="M107" s="4258" t="s">
        <v>11734</v>
      </c>
      <c r="N107" s="4259" t="s">
        <v>11735</v>
      </c>
      <c r="O107" s="4260" t="s">
        <v>11736</v>
      </c>
      <c r="P107" s="4261" t="s">
        <v>11737</v>
      </c>
      <c r="Q107" s="4262" t="s">
        <v>11738</v>
      </c>
      <c r="R107" s="4263" t="s">
        <v>11739</v>
      </c>
      <c r="S107" s="4264" t="s">
        <v>11740</v>
      </c>
      <c r="V107" s="4265"/>
      <c r="W107" s="3543" t="s">
        <v>11741</v>
      </c>
      <c r="X107" s="3544" t="s">
        <v>11742</v>
      </c>
      <c r="Y107" s="3545">
        <v>0</v>
      </c>
      <c r="Z107" s="3546">
        <v>0</v>
      </c>
      <c r="AA107" s="3547">
        <v>205</v>
      </c>
      <c r="AB107"/>
      <c r="AC107" s="4266"/>
      <c r="AD107" s="3578" t="s">
        <v>11743</v>
      </c>
      <c r="AE107" s="3536" t="s">
        <v>11744</v>
      </c>
      <c r="AF107" s="3537">
        <v>193</v>
      </c>
      <c r="AG107" s="3538">
        <v>191</v>
      </c>
      <c r="AH107" s="3539">
        <v>177</v>
      </c>
      <c r="AI107"/>
      <c r="AJ107" s="4267"/>
      <c r="AK107" s="3541" t="s">
        <v>11745</v>
      </c>
      <c r="AL107" s="3536" t="s">
        <v>11746</v>
      </c>
      <c r="AM107" s="3537">
        <v>255</v>
      </c>
      <c r="AN107" s="3538">
        <v>165</v>
      </c>
      <c r="AO107" s="3539">
        <v>79</v>
      </c>
      <c r="AQ107" s="3">
        <v>1</v>
      </c>
    </row>
    <row r="108" spans="11:43" ht="21" customHeight="1">
      <c r="K108" s="4268" t="s">
        <v>11747</v>
      </c>
      <c r="L108" s="4269" t="s">
        <v>11748</v>
      </c>
      <c r="M108" s="4270" t="s">
        <v>11749</v>
      </c>
      <c r="N108" s="4271" t="s">
        <v>11750</v>
      </c>
      <c r="O108" s="4272" t="s">
        <v>11751</v>
      </c>
      <c r="P108" s="4273" t="s">
        <v>11752</v>
      </c>
      <c r="Q108" s="4274" t="s">
        <v>11753</v>
      </c>
      <c r="R108" s="4275" t="s">
        <v>11754</v>
      </c>
      <c r="S108" s="4276" t="s">
        <v>11755</v>
      </c>
      <c r="V108" s="4277"/>
      <c r="W108" s="3543" t="s">
        <v>11756</v>
      </c>
      <c r="X108" s="3544" t="s">
        <v>11757</v>
      </c>
      <c r="Y108" s="3545">
        <v>89</v>
      </c>
      <c r="Z108" s="3546">
        <v>89</v>
      </c>
      <c r="AA108" s="3547">
        <v>171</v>
      </c>
      <c r="AB108"/>
      <c r="AC108" s="4278"/>
      <c r="AD108" s="3578" t="s">
        <v>11758</v>
      </c>
      <c r="AE108" s="3536" t="s">
        <v>11759</v>
      </c>
      <c r="AF108" s="3537">
        <v>239</v>
      </c>
      <c r="AG108" s="3538">
        <v>216</v>
      </c>
      <c r="AH108" s="3539">
        <v>7</v>
      </c>
      <c r="AI108"/>
      <c r="AJ108" s="4279"/>
      <c r="AK108" s="3541" t="s">
        <v>11760</v>
      </c>
      <c r="AL108" s="3536" t="s">
        <v>11761</v>
      </c>
      <c r="AM108" s="3537">
        <v>205</v>
      </c>
      <c r="AN108" s="3538">
        <v>197</v>
      </c>
      <c r="AO108" s="3539">
        <v>191</v>
      </c>
      <c r="AQ108" s="3">
        <v>1</v>
      </c>
    </row>
    <row r="109" spans="11:43" ht="21" customHeight="1">
      <c r="K109" s="4280" t="s">
        <v>11762</v>
      </c>
      <c r="L109" s="4281" t="s">
        <v>11763</v>
      </c>
      <c r="M109" s="4282" t="s">
        <v>11764</v>
      </c>
      <c r="N109" s="4283" t="s">
        <v>11765</v>
      </c>
      <c r="O109" s="4284" t="s">
        <v>11766</v>
      </c>
      <c r="P109" s="4285" t="s">
        <v>11767</v>
      </c>
      <c r="Q109" s="4286" t="s">
        <v>11768</v>
      </c>
      <c r="R109" s="4287" t="s">
        <v>11769</v>
      </c>
      <c r="S109" s="4288" t="s">
        <v>11770</v>
      </c>
      <c r="V109" s="4289"/>
      <c r="W109" s="3558" t="s">
        <v>11771</v>
      </c>
      <c r="X109" s="3544" t="s">
        <v>11772</v>
      </c>
      <c r="Y109" s="3545">
        <v>84</v>
      </c>
      <c r="Z109" s="3546">
        <v>90</v>
      </c>
      <c r="AA109" s="3547">
        <v>167</v>
      </c>
      <c r="AB109"/>
      <c r="AC109" s="4290"/>
      <c r="AD109" s="3578" t="s">
        <v>11773</v>
      </c>
      <c r="AE109" s="3536" t="s">
        <v>11774</v>
      </c>
      <c r="AF109" s="3537">
        <v>232</v>
      </c>
      <c r="AG109" s="3538">
        <v>214</v>
      </c>
      <c r="AH109" s="3539">
        <v>48</v>
      </c>
      <c r="AI109"/>
      <c r="AJ109" s="4291"/>
      <c r="AK109" s="3550" t="s">
        <v>11775</v>
      </c>
      <c r="AL109" s="3536" t="s">
        <v>11776</v>
      </c>
      <c r="AM109" s="3537">
        <v>250</v>
      </c>
      <c r="AN109" s="3538">
        <v>181</v>
      </c>
      <c r="AO109" s="3539">
        <v>127</v>
      </c>
      <c r="AQ109" s="3">
        <v>1</v>
      </c>
    </row>
    <row r="110" spans="11:43" ht="21" customHeight="1">
      <c r="K110" s="4292" t="s">
        <v>11777</v>
      </c>
      <c r="L110" s="4293" t="s">
        <v>11778</v>
      </c>
      <c r="M110" s="4294" t="s">
        <v>11779</v>
      </c>
      <c r="N110" s="4295" t="s">
        <v>11780</v>
      </c>
      <c r="O110" s="4296" t="s">
        <v>11781</v>
      </c>
      <c r="P110" s="4297" t="s">
        <v>11782</v>
      </c>
      <c r="Q110" s="4298" t="s">
        <v>11783</v>
      </c>
      <c r="R110" s="4299" t="s">
        <v>11784</v>
      </c>
      <c r="S110" s="4300" t="s">
        <v>11785</v>
      </c>
      <c r="V110" s="4301"/>
      <c r="W110" s="3558" t="s">
        <v>11786</v>
      </c>
      <c r="X110" s="3544" t="s">
        <v>11787</v>
      </c>
      <c r="Y110" s="3545">
        <v>1</v>
      </c>
      <c r="Z110" s="3546">
        <v>49</v>
      </c>
      <c r="AA110" s="3547">
        <v>180</v>
      </c>
      <c r="AB110"/>
      <c r="AC110" s="4302"/>
      <c r="AD110" s="3535" t="s">
        <v>11788</v>
      </c>
      <c r="AE110" s="3536" t="s">
        <v>11789</v>
      </c>
      <c r="AF110" s="3537">
        <v>205</v>
      </c>
      <c r="AG110" s="3538">
        <v>198</v>
      </c>
      <c r="AH110" s="3539">
        <v>115</v>
      </c>
      <c r="AI110"/>
      <c r="AJ110" s="4303"/>
      <c r="AK110" s="3550" t="s">
        <v>11790</v>
      </c>
      <c r="AL110" s="3536" t="s">
        <v>11791</v>
      </c>
      <c r="AM110" s="3537">
        <v>233</v>
      </c>
      <c r="AN110" s="3538">
        <v>201</v>
      </c>
      <c r="AO110" s="3539">
        <v>177</v>
      </c>
      <c r="AQ110" s="3">
        <v>1</v>
      </c>
    </row>
    <row r="111" spans="11:43" ht="21" customHeight="1">
      <c r="K111" s="4304" t="s">
        <v>11792</v>
      </c>
      <c r="L111" s="4305" t="s">
        <v>11793</v>
      </c>
      <c r="M111" s="4306" t="s">
        <v>11794</v>
      </c>
      <c r="N111" s="4307" t="s">
        <v>11795</v>
      </c>
      <c r="O111" s="4308" t="s">
        <v>11796</v>
      </c>
      <c r="P111" s="4309" t="s">
        <v>11797</v>
      </c>
      <c r="Q111" s="4310" t="s">
        <v>11798</v>
      </c>
      <c r="R111" s="4311" t="s">
        <v>11799</v>
      </c>
      <c r="S111" s="4312" t="s">
        <v>11800</v>
      </c>
      <c r="V111" s="4313"/>
      <c r="W111" s="3543" t="s">
        <v>11801</v>
      </c>
      <c r="X111" s="3544" t="s">
        <v>11802</v>
      </c>
      <c r="Y111" s="3545">
        <v>0</v>
      </c>
      <c r="Z111" s="3546">
        <v>0</v>
      </c>
      <c r="AA111" s="3547">
        <v>156</v>
      </c>
      <c r="AB111"/>
      <c r="AC111" s="4314"/>
      <c r="AD111" s="3578" t="s">
        <v>11803</v>
      </c>
      <c r="AE111" s="3536" t="s">
        <v>11804</v>
      </c>
      <c r="AF111" s="3537">
        <v>220</v>
      </c>
      <c r="AG111" s="3538">
        <v>211</v>
      </c>
      <c r="AH111" s="3539">
        <v>0</v>
      </c>
      <c r="AI111"/>
      <c r="AJ111" s="4315"/>
      <c r="AK111" s="3541" t="s">
        <v>11805</v>
      </c>
      <c r="AL111" s="3536" t="s">
        <v>11806</v>
      </c>
      <c r="AM111" s="3537">
        <v>238</v>
      </c>
      <c r="AN111" s="3538">
        <v>203</v>
      </c>
      <c r="AO111" s="3539">
        <v>173</v>
      </c>
      <c r="AQ111" s="3">
        <v>1</v>
      </c>
    </row>
    <row r="112" spans="11:43" ht="21" customHeight="1">
      <c r="K112" s="4316" t="s">
        <v>11807</v>
      </c>
      <c r="L112" s="4317" t="s">
        <v>11808</v>
      </c>
      <c r="M112" s="4318" t="s">
        <v>11809</v>
      </c>
      <c r="N112" s="4319" t="s">
        <v>11810</v>
      </c>
      <c r="O112" s="4320" t="s">
        <v>11811</v>
      </c>
      <c r="P112" s="4321" t="s">
        <v>11812</v>
      </c>
      <c r="Q112" s="4322" t="s">
        <v>11813</v>
      </c>
      <c r="R112" s="4323" t="s">
        <v>11814</v>
      </c>
      <c r="S112" s="4324" t="s">
        <v>11815</v>
      </c>
      <c r="V112" s="4325"/>
      <c r="W112" s="3558" t="s">
        <v>11816</v>
      </c>
      <c r="X112" s="3544" t="s">
        <v>11817</v>
      </c>
      <c r="Y112" s="3545">
        <v>27</v>
      </c>
      <c r="Z112" s="3546">
        <v>1</v>
      </c>
      <c r="AA112" s="3547">
        <v>155</v>
      </c>
      <c r="AB112"/>
      <c r="AC112" s="4326"/>
      <c r="AD112" s="3578" t="s">
        <v>11818</v>
      </c>
      <c r="AE112" s="3536" t="s">
        <v>11819</v>
      </c>
      <c r="AF112" s="3537">
        <v>185</v>
      </c>
      <c r="AG112" s="3538">
        <v>181</v>
      </c>
      <c r="AH112" s="3539">
        <v>125</v>
      </c>
      <c r="AI112"/>
      <c r="AJ112" s="4327"/>
      <c r="AK112" s="3541" t="s">
        <v>11820</v>
      </c>
      <c r="AL112" s="3536" t="s">
        <v>11821</v>
      </c>
      <c r="AM112" s="3537">
        <v>245</v>
      </c>
      <c r="AN112" s="3538">
        <v>204</v>
      </c>
      <c r="AO112" s="3539">
        <v>176</v>
      </c>
      <c r="AQ112" s="3">
        <v>1</v>
      </c>
    </row>
    <row r="113" spans="11:43" ht="21" customHeight="1">
      <c r="K113" s="4328" t="s">
        <v>11822</v>
      </c>
      <c r="L113" s="4329" t="s">
        <v>11823</v>
      </c>
      <c r="M113" s="4330" t="s">
        <v>11824</v>
      </c>
      <c r="N113" s="4331" t="s">
        <v>11825</v>
      </c>
      <c r="O113" s="4332" t="s">
        <v>11826</v>
      </c>
      <c r="P113" s="4333" t="s">
        <v>11827</v>
      </c>
      <c r="Q113" s="4334" t="s">
        <v>11828</v>
      </c>
      <c r="R113" s="4335" t="s">
        <v>11829</v>
      </c>
      <c r="S113" s="4336" t="s">
        <v>11830</v>
      </c>
      <c r="V113" s="4337"/>
      <c r="W113" s="3558" t="s">
        <v>11831</v>
      </c>
      <c r="X113" s="3544" t="s">
        <v>11832</v>
      </c>
      <c r="Y113" s="3545">
        <v>78</v>
      </c>
      <c r="Z113" s="3546">
        <v>81</v>
      </c>
      <c r="AA113" s="3547">
        <v>128</v>
      </c>
      <c r="AB113"/>
      <c r="AC113" s="4338"/>
      <c r="AD113" s="3578" t="s">
        <v>11833</v>
      </c>
      <c r="AE113" s="3536" t="s">
        <v>11834</v>
      </c>
      <c r="AF113" s="3537">
        <v>185</v>
      </c>
      <c r="AG113" s="3538">
        <v>178</v>
      </c>
      <c r="AH113" s="3539">
        <v>118</v>
      </c>
      <c r="AI113"/>
      <c r="AJ113" s="4339"/>
      <c r="AK113" s="3550" t="s">
        <v>11835</v>
      </c>
      <c r="AL113" s="3536" t="s">
        <v>11836</v>
      </c>
      <c r="AM113" s="3537">
        <v>236</v>
      </c>
      <c r="AN113" s="3538">
        <v>213</v>
      </c>
      <c r="AO113" s="3539">
        <v>197</v>
      </c>
      <c r="AQ113" s="3">
        <v>1</v>
      </c>
    </row>
    <row r="114" spans="11:43" ht="21" customHeight="1">
      <c r="K114" s="4340" t="s">
        <v>11837</v>
      </c>
      <c r="L114" s="4341" t="s">
        <v>11838</v>
      </c>
      <c r="M114" s="4342" t="s">
        <v>11839</v>
      </c>
      <c r="N114" s="4343" t="s">
        <v>11840</v>
      </c>
      <c r="O114" s="4344" t="s">
        <v>11841</v>
      </c>
      <c r="P114" s="4345" t="s">
        <v>11842</v>
      </c>
      <c r="Q114" s="4346" t="s">
        <v>11843</v>
      </c>
      <c r="R114" s="4347" t="s">
        <v>11844</v>
      </c>
      <c r="S114" s="4348" t="s">
        <v>11845</v>
      </c>
      <c r="V114" s="4349"/>
      <c r="W114" s="3543" t="s">
        <v>11846</v>
      </c>
      <c r="X114" s="3544" t="s">
        <v>11847</v>
      </c>
      <c r="Y114" s="3545">
        <v>35</v>
      </c>
      <c r="Z114" s="3546">
        <v>35</v>
      </c>
      <c r="AA114" s="3547">
        <v>142</v>
      </c>
      <c r="AB114"/>
      <c r="AC114" s="4350"/>
      <c r="AD114" s="3535" t="s">
        <v>11848</v>
      </c>
      <c r="AE114" s="3536" t="s">
        <v>11849</v>
      </c>
      <c r="AF114" s="3537">
        <v>189</v>
      </c>
      <c r="AG114" s="3538">
        <v>183</v>
      </c>
      <c r="AH114" s="3539">
        <v>107</v>
      </c>
      <c r="AI114"/>
      <c r="AJ114" s="4351"/>
      <c r="AK114" s="3541" t="s">
        <v>11850</v>
      </c>
      <c r="AL114" s="3536" t="s">
        <v>11851</v>
      </c>
      <c r="AM114" s="3537">
        <v>255</v>
      </c>
      <c r="AN114" s="3538">
        <v>218</v>
      </c>
      <c r="AO114" s="3539">
        <v>185</v>
      </c>
      <c r="AQ114" s="3">
        <v>1</v>
      </c>
    </row>
    <row r="115" spans="11:43" ht="21" customHeight="1">
      <c r="K115" s="4352" t="s">
        <v>11852</v>
      </c>
      <c r="L115" s="4353" t="s">
        <v>11853</v>
      </c>
      <c r="M115" s="4354" t="s">
        <v>11854</v>
      </c>
      <c r="N115" s="4355" t="s">
        <v>11855</v>
      </c>
      <c r="O115" s="4356" t="s">
        <v>11856</v>
      </c>
      <c r="P115" s="4357" t="s">
        <v>11857</v>
      </c>
      <c r="Q115" s="4358" t="s">
        <v>11858</v>
      </c>
      <c r="R115" s="4359" t="s">
        <v>11859</v>
      </c>
      <c r="S115" s="4360" t="s">
        <v>11860</v>
      </c>
      <c r="V115" s="4361"/>
      <c r="W115" s="3543" t="s">
        <v>11861</v>
      </c>
      <c r="X115" s="3544" t="s">
        <v>11862</v>
      </c>
      <c r="Y115" s="3545">
        <v>0</v>
      </c>
      <c r="Z115" s="3546">
        <v>0</v>
      </c>
      <c r="AA115" s="3547">
        <v>139</v>
      </c>
      <c r="AB115"/>
      <c r="AC115" s="4362"/>
      <c r="AD115" s="3578" t="s">
        <v>11863</v>
      </c>
      <c r="AE115" s="3536" t="s">
        <v>11864</v>
      </c>
      <c r="AF115" s="3537">
        <v>175</v>
      </c>
      <c r="AG115" s="3538">
        <v>167</v>
      </c>
      <c r="AH115" s="3539">
        <v>123</v>
      </c>
      <c r="AI115"/>
      <c r="AJ115" s="4363"/>
      <c r="AK115" s="3541" t="s">
        <v>11865</v>
      </c>
      <c r="AL115" s="3536" t="s">
        <v>11866</v>
      </c>
      <c r="AM115" s="3537">
        <v>238</v>
      </c>
      <c r="AN115" s="3538">
        <v>229</v>
      </c>
      <c r="AO115" s="3539">
        <v>222</v>
      </c>
      <c r="AQ115" s="3">
        <v>1</v>
      </c>
    </row>
    <row r="116" spans="11:43" ht="21" customHeight="1">
      <c r="K116" s="4364" t="s">
        <v>11867</v>
      </c>
      <c r="L116" s="4365" t="s">
        <v>11868</v>
      </c>
      <c r="M116" s="4366" t="s">
        <v>11869</v>
      </c>
      <c r="N116" s="4367" t="s">
        <v>11870</v>
      </c>
      <c r="O116" s="4368" t="s">
        <v>11871</v>
      </c>
      <c r="P116" s="4369" t="s">
        <v>11872</v>
      </c>
      <c r="Q116" s="4370" t="s">
        <v>11873</v>
      </c>
      <c r="R116" s="4371" t="s">
        <v>11874</v>
      </c>
      <c r="S116" s="4372" t="s">
        <v>11875</v>
      </c>
      <c r="V116" s="4373"/>
      <c r="W116" s="3543" t="s">
        <v>11876</v>
      </c>
      <c r="X116" s="3544" t="s">
        <v>11877</v>
      </c>
      <c r="Y116" s="3545">
        <v>36</v>
      </c>
      <c r="Z116" s="3546">
        <v>24</v>
      </c>
      <c r="AA116" s="3547">
        <v>130</v>
      </c>
      <c r="AB116"/>
      <c r="AC116" s="4374"/>
      <c r="AD116" s="3578" t="s">
        <v>11878</v>
      </c>
      <c r="AE116" s="3536" t="s">
        <v>11879</v>
      </c>
      <c r="AF116" s="3537">
        <v>185</v>
      </c>
      <c r="AG116" s="3538">
        <v>180</v>
      </c>
      <c r="AH116" s="3539">
        <v>89</v>
      </c>
      <c r="AI116"/>
      <c r="AJ116" s="4375"/>
      <c r="AK116" s="3541" t="s">
        <v>11880</v>
      </c>
      <c r="AL116" s="3536" t="s">
        <v>11881</v>
      </c>
      <c r="AM116" s="3537">
        <v>255</v>
      </c>
      <c r="AN116" s="3538">
        <v>245</v>
      </c>
      <c r="AO116" s="3539">
        <v>238</v>
      </c>
      <c r="AQ116" s="3">
        <v>1</v>
      </c>
    </row>
    <row r="117" spans="11:43" ht="21" customHeight="1">
      <c r="K117" s="4376" t="s">
        <v>11882</v>
      </c>
      <c r="L117" s="4377" t="s">
        <v>11883</v>
      </c>
      <c r="M117" s="4378" t="s">
        <v>11884</v>
      </c>
      <c r="N117" s="4379" t="s">
        <v>11885</v>
      </c>
      <c r="O117" s="4380" t="s">
        <v>11886</v>
      </c>
      <c r="P117" s="4381" t="s">
        <v>11887</v>
      </c>
      <c r="Q117" s="4382" t="s">
        <v>11888</v>
      </c>
      <c r="R117" s="4383" t="s">
        <v>11889</v>
      </c>
      <c r="S117" s="4384" t="s">
        <v>11890</v>
      </c>
      <c r="V117" s="4385"/>
      <c r="W117" s="3543" t="s">
        <v>11891</v>
      </c>
      <c r="X117" s="3544" t="s">
        <v>11892</v>
      </c>
      <c r="Y117" s="3545">
        <v>0</v>
      </c>
      <c r="Z117" s="3546">
        <v>0</v>
      </c>
      <c r="AA117" s="3547">
        <v>128</v>
      </c>
      <c r="AB117"/>
      <c r="AC117" s="4386"/>
      <c r="AD117" s="3578" t="s">
        <v>11893</v>
      </c>
      <c r="AE117" s="3536" t="s">
        <v>11894</v>
      </c>
      <c r="AF117" s="3537">
        <v>190</v>
      </c>
      <c r="AG117" s="3538">
        <v>183</v>
      </c>
      <c r="AH117" s="3539">
        <v>46</v>
      </c>
      <c r="AI117"/>
      <c r="AJ117" s="4387"/>
      <c r="AK117" s="3541" t="s">
        <v>11895</v>
      </c>
      <c r="AL117" s="3536" t="s">
        <v>11896</v>
      </c>
      <c r="AM117" s="3537">
        <v>238</v>
      </c>
      <c r="AN117" s="3538">
        <v>154</v>
      </c>
      <c r="AO117" s="3539">
        <v>73</v>
      </c>
      <c r="AQ117" s="3">
        <v>1</v>
      </c>
    </row>
    <row r="118" spans="11:43" ht="21" customHeight="1">
      <c r="K118" s="4388" t="s">
        <v>11897</v>
      </c>
      <c r="L118" s="4389" t="s">
        <v>11898</v>
      </c>
      <c r="M118" s="4390" t="s">
        <v>11899</v>
      </c>
      <c r="N118" s="4391" t="s">
        <v>11900</v>
      </c>
      <c r="O118" s="4392" t="s">
        <v>11901</v>
      </c>
      <c r="P118" s="4393" t="s">
        <v>11902</v>
      </c>
      <c r="Q118" s="4394" t="s">
        <v>11903</v>
      </c>
      <c r="R118" s="4395" t="s">
        <v>11904</v>
      </c>
      <c r="S118" s="4396" t="s">
        <v>11905</v>
      </c>
      <c r="V118" s="4397"/>
      <c r="W118" s="3543" t="s">
        <v>11906</v>
      </c>
      <c r="X118" s="3544" t="s">
        <v>11907</v>
      </c>
      <c r="Y118" s="3545">
        <v>66</v>
      </c>
      <c r="Z118" s="3546">
        <v>66</v>
      </c>
      <c r="AA118" s="3547">
        <v>111</v>
      </c>
      <c r="AB118"/>
      <c r="AC118" s="4398"/>
      <c r="AD118" s="3535" t="s">
        <v>11908</v>
      </c>
      <c r="AE118" s="3536" t="s">
        <v>11909</v>
      </c>
      <c r="AF118" s="3537">
        <v>181</v>
      </c>
      <c r="AG118" s="3538">
        <v>166</v>
      </c>
      <c r="AH118" s="3539">
        <v>66</v>
      </c>
      <c r="AI118"/>
      <c r="AJ118" s="4399"/>
      <c r="AK118" s="3541" t="s">
        <v>11910</v>
      </c>
      <c r="AL118" s="3536" t="s">
        <v>11911</v>
      </c>
      <c r="AM118" s="3537">
        <v>205</v>
      </c>
      <c r="AN118" s="3538">
        <v>175</v>
      </c>
      <c r="AO118" s="3539">
        <v>149</v>
      </c>
      <c r="AQ118" s="3">
        <v>1</v>
      </c>
    </row>
    <row r="119" spans="11:43" ht="21" customHeight="1">
      <c r="K119" s="4400" t="s">
        <v>11912</v>
      </c>
      <c r="L119" s="4401" t="s">
        <v>11913</v>
      </c>
      <c r="M119" s="4402" t="s">
        <v>11914</v>
      </c>
      <c r="N119" s="4403" t="s">
        <v>11915</v>
      </c>
      <c r="O119" s="4404" t="s">
        <v>11916</v>
      </c>
      <c r="P119" s="4405" t="s">
        <v>11917</v>
      </c>
      <c r="Q119" s="4406" t="s">
        <v>11918</v>
      </c>
      <c r="R119" s="4407" t="s">
        <v>11919</v>
      </c>
      <c r="S119" s="4408" t="s">
        <v>11920</v>
      </c>
      <c r="V119" s="4409"/>
      <c r="W119" s="3558" t="s">
        <v>11921</v>
      </c>
      <c r="X119" s="3544" t="s">
        <v>11922</v>
      </c>
      <c r="Y119" s="3545">
        <v>48</v>
      </c>
      <c r="Z119" s="3546">
        <v>38</v>
      </c>
      <c r="AA119" s="3547">
        <v>122</v>
      </c>
      <c r="AB119"/>
      <c r="AC119" s="4410"/>
      <c r="AD119" s="3535" t="s">
        <v>11923</v>
      </c>
      <c r="AE119" s="3536" t="s">
        <v>11924</v>
      </c>
      <c r="AF119" s="3537">
        <v>139</v>
      </c>
      <c r="AG119" s="3538">
        <v>136</v>
      </c>
      <c r="AH119" s="3539">
        <v>120</v>
      </c>
      <c r="AI119"/>
      <c r="AJ119" s="4411"/>
      <c r="AK119" s="3550" t="s">
        <v>11925</v>
      </c>
      <c r="AL119" s="3536" t="s">
        <v>11926</v>
      </c>
      <c r="AM119" s="3537">
        <v>246</v>
      </c>
      <c r="AN119" s="3538">
        <v>166</v>
      </c>
      <c r="AO119" s="3539">
        <v>0</v>
      </c>
      <c r="AQ119" s="3">
        <v>1</v>
      </c>
    </row>
    <row r="120" spans="11:43" ht="21" customHeight="1">
      <c r="K120" s="4412" t="s">
        <v>11927</v>
      </c>
      <c r="L120" s="4413" t="s">
        <v>11928</v>
      </c>
      <c r="M120" s="4414" t="s">
        <v>11929</v>
      </c>
      <c r="N120" s="4415" t="s">
        <v>11930</v>
      </c>
      <c r="O120" s="4416" t="s">
        <v>11931</v>
      </c>
      <c r="P120" s="4417" t="s">
        <v>11932</v>
      </c>
      <c r="Q120" s="4418" t="s">
        <v>11933</v>
      </c>
      <c r="R120" s="4419" t="s">
        <v>11934</v>
      </c>
      <c r="S120" s="4420" t="s">
        <v>11935</v>
      </c>
      <c r="V120" s="4421"/>
      <c r="W120" s="3558" t="s">
        <v>11936</v>
      </c>
      <c r="X120" s="3544" t="s">
        <v>11937</v>
      </c>
      <c r="Y120" s="3545">
        <v>33</v>
      </c>
      <c r="Z120" s="3546">
        <v>23</v>
      </c>
      <c r="AA120" s="3547">
        <v>125</v>
      </c>
      <c r="AB120"/>
      <c r="AC120" s="4422"/>
      <c r="AD120" s="3578" t="s">
        <v>11938</v>
      </c>
      <c r="AE120" s="3536" t="s">
        <v>11939</v>
      </c>
      <c r="AF120" s="3537">
        <v>138</v>
      </c>
      <c r="AG120" s="3538">
        <v>135</v>
      </c>
      <c r="AH120" s="3539">
        <v>118</v>
      </c>
      <c r="AI120"/>
      <c r="AJ120" s="4423"/>
      <c r="AK120" s="3550" t="s">
        <v>11940</v>
      </c>
      <c r="AL120" s="3536" t="s">
        <v>11941</v>
      </c>
      <c r="AM120" s="3537">
        <v>231</v>
      </c>
      <c r="AN120" s="3538">
        <v>168</v>
      </c>
      <c r="AO120" s="3539">
        <v>84</v>
      </c>
      <c r="AQ120" s="3">
        <v>1</v>
      </c>
    </row>
    <row r="121" spans="11:43" ht="21" customHeight="1">
      <c r="K121" s="4424" t="s">
        <v>11942</v>
      </c>
      <c r="L121" s="4425" t="s">
        <v>11943</v>
      </c>
      <c r="M121" s="4426" t="s">
        <v>11944</v>
      </c>
      <c r="N121" s="4427" t="s">
        <v>11945</v>
      </c>
      <c r="O121" s="4428" t="s">
        <v>11946</v>
      </c>
      <c r="P121" s="4429" t="s">
        <v>11947</v>
      </c>
      <c r="Q121" s="4430" t="s">
        <v>11948</v>
      </c>
      <c r="R121" s="4431" t="s">
        <v>11949</v>
      </c>
      <c r="S121" s="4432" t="s">
        <v>11950</v>
      </c>
      <c r="V121" s="4433"/>
      <c r="W121" s="3543" t="s">
        <v>11951</v>
      </c>
      <c r="X121" s="3544" t="s">
        <v>11952</v>
      </c>
      <c r="Y121" s="3545">
        <v>25</v>
      </c>
      <c r="Z121" s="3546">
        <v>25</v>
      </c>
      <c r="AA121" s="3547">
        <v>112</v>
      </c>
      <c r="AB121"/>
      <c r="AC121" s="4434"/>
      <c r="AD121" s="3535" t="s">
        <v>11953</v>
      </c>
      <c r="AE121" s="3536" t="s">
        <v>11954</v>
      </c>
      <c r="AF121" s="3537">
        <v>139</v>
      </c>
      <c r="AG121" s="3538">
        <v>137</v>
      </c>
      <c r="AH121" s="3539">
        <v>112</v>
      </c>
      <c r="AI121"/>
      <c r="AJ121" s="4435"/>
      <c r="AK121" s="3550" t="s">
        <v>11955</v>
      </c>
      <c r="AL121" s="3536" t="s">
        <v>11956</v>
      </c>
      <c r="AM121" s="3537">
        <v>194</v>
      </c>
      <c r="AN121" s="3538">
        <v>172</v>
      </c>
      <c r="AO121" s="3539">
        <v>153</v>
      </c>
      <c r="AQ121" s="3">
        <v>1</v>
      </c>
    </row>
    <row r="122" spans="11:43" ht="21" customHeight="1">
      <c r="K122" s="4436" t="s">
        <v>11957</v>
      </c>
      <c r="L122" s="4437" t="s">
        <v>11958</v>
      </c>
      <c r="M122" s="4438" t="s">
        <v>11959</v>
      </c>
      <c r="N122" s="4439" t="s">
        <v>11960</v>
      </c>
      <c r="O122" s="4440" t="s">
        <v>11961</v>
      </c>
      <c r="P122" s="4441" t="s">
        <v>11962</v>
      </c>
      <c r="Q122" s="4442" t="s">
        <v>11963</v>
      </c>
      <c r="R122" s="4443" t="s">
        <v>11964</v>
      </c>
      <c r="S122" s="4444" t="s">
        <v>11965</v>
      </c>
      <c r="V122" s="4445"/>
      <c r="W122" s="3558" t="s">
        <v>11966</v>
      </c>
      <c r="X122" s="3544" t="s">
        <v>11967</v>
      </c>
      <c r="Y122" s="3545">
        <v>15</v>
      </c>
      <c r="Z122" s="3546">
        <v>5</v>
      </c>
      <c r="AA122" s="3547">
        <v>107</v>
      </c>
      <c r="AB122"/>
      <c r="AC122" s="4446"/>
      <c r="AD122" s="3578" t="s">
        <v>11968</v>
      </c>
      <c r="AE122" s="3536" t="s">
        <v>11969</v>
      </c>
      <c r="AF122" s="3537">
        <v>140</v>
      </c>
      <c r="AG122" s="3538">
        <v>135</v>
      </c>
      <c r="AH122" s="3539">
        <v>103</v>
      </c>
      <c r="AI122"/>
      <c r="AJ122" s="4447"/>
      <c r="AK122" s="3541" t="s">
        <v>11970</v>
      </c>
      <c r="AL122" s="3536" t="s">
        <v>11971</v>
      </c>
      <c r="AM122" s="3537">
        <v>238</v>
      </c>
      <c r="AN122" s="3538">
        <v>154</v>
      </c>
      <c r="AO122" s="3539">
        <v>0</v>
      </c>
      <c r="AQ122" s="3">
        <v>1</v>
      </c>
    </row>
    <row r="123" spans="11:43" ht="21" customHeight="1">
      <c r="K123" s="4448" t="s">
        <v>11972</v>
      </c>
      <c r="L123" s="4449" t="s">
        <v>11973</v>
      </c>
      <c r="M123" s="4450" t="s">
        <v>11974</v>
      </c>
      <c r="N123" s="4451" t="s">
        <v>11975</v>
      </c>
      <c r="O123" s="4452" t="s">
        <v>11976</v>
      </c>
      <c r="P123" s="4453" t="s">
        <v>11977</v>
      </c>
      <c r="Q123" s="4454" t="s">
        <v>11978</v>
      </c>
      <c r="R123" s="4455" t="s">
        <v>11979</v>
      </c>
      <c r="S123" s="4456" t="s">
        <v>11980</v>
      </c>
      <c r="V123" s="4457"/>
      <c r="W123" s="3558" t="s">
        <v>11981</v>
      </c>
      <c r="X123" s="3544" t="s">
        <v>11982</v>
      </c>
      <c r="Y123" s="3545">
        <v>39</v>
      </c>
      <c r="Z123" s="3546">
        <v>36</v>
      </c>
      <c r="AA123" s="3547">
        <v>88</v>
      </c>
      <c r="AB123"/>
      <c r="AC123" s="4458"/>
      <c r="AD123" s="3535" t="s">
        <v>11983</v>
      </c>
      <c r="AE123" s="3536" t="s">
        <v>11984</v>
      </c>
      <c r="AF123" s="3537">
        <v>139</v>
      </c>
      <c r="AG123" s="3538">
        <v>134</v>
      </c>
      <c r="AH123" s="3539">
        <v>78</v>
      </c>
      <c r="AI123"/>
      <c r="AJ123" s="4459"/>
      <c r="AK123" s="3550" t="s">
        <v>11985</v>
      </c>
      <c r="AL123" s="3536" t="s">
        <v>11986</v>
      </c>
      <c r="AM123" s="3537">
        <v>234</v>
      </c>
      <c r="AN123" s="3538">
        <v>162</v>
      </c>
      <c r="AO123" s="3539">
        <v>33</v>
      </c>
      <c r="AQ123" s="3">
        <v>1</v>
      </c>
    </row>
    <row r="124" spans="11:43" ht="21" customHeight="1">
      <c r="K124" s="4460" t="s">
        <v>11987</v>
      </c>
      <c r="L124" s="4461" t="s">
        <v>11988</v>
      </c>
      <c r="M124" s="4462" t="s">
        <v>11989</v>
      </c>
      <c r="N124" s="4463" t="s">
        <v>11990</v>
      </c>
      <c r="O124" s="4464" t="s">
        <v>11991</v>
      </c>
      <c r="P124" s="4465" t="s">
        <v>11992</v>
      </c>
      <c r="Q124" s="4466" t="s">
        <v>11993</v>
      </c>
      <c r="R124" s="4467" t="s">
        <v>11994</v>
      </c>
      <c r="S124" s="4468" t="s">
        <v>11995</v>
      </c>
      <c r="V124" s="4469"/>
      <c r="W124" s="3543" t="s">
        <v>11996</v>
      </c>
      <c r="X124" s="3544" t="s">
        <v>11997</v>
      </c>
      <c r="Y124" s="3545">
        <v>47</v>
      </c>
      <c r="Z124" s="3546">
        <v>47</v>
      </c>
      <c r="AA124" s="3547">
        <v>79</v>
      </c>
      <c r="AB124"/>
      <c r="AC124" s="4470"/>
      <c r="AD124" s="3535" t="s">
        <v>11998</v>
      </c>
      <c r="AE124" s="3536" t="s">
        <v>11999</v>
      </c>
      <c r="AF124" s="3537">
        <v>139</v>
      </c>
      <c r="AG124" s="3538">
        <v>129</v>
      </c>
      <c r="AH124" s="3539">
        <v>76</v>
      </c>
      <c r="AI124"/>
      <c r="AJ124" s="4471"/>
      <c r="AK124" s="3550" t="s">
        <v>12000</v>
      </c>
      <c r="AL124" s="3536" t="s">
        <v>12001</v>
      </c>
      <c r="AM124" s="3537">
        <v>221</v>
      </c>
      <c r="AN124" s="3538">
        <v>152</v>
      </c>
      <c r="AO124" s="3539">
        <v>92</v>
      </c>
      <c r="AQ124" s="3">
        <v>1</v>
      </c>
    </row>
    <row r="125" spans="11:43" ht="21" customHeight="1">
      <c r="K125" s="4472" t="s">
        <v>12002</v>
      </c>
      <c r="L125" s="4473" t="s">
        <v>12003</v>
      </c>
      <c r="M125" s="4474" t="s">
        <v>12004</v>
      </c>
      <c r="N125" s="4475" t="s">
        <v>12005</v>
      </c>
      <c r="O125" s="4476" t="s">
        <v>12006</v>
      </c>
      <c r="P125" s="4477" t="s">
        <v>12007</v>
      </c>
      <c r="Q125" s="4478" t="s">
        <v>12008</v>
      </c>
      <c r="R125" s="4479" t="s">
        <v>12009</v>
      </c>
      <c r="S125" s="4480" t="s">
        <v>12010</v>
      </c>
      <c r="V125" s="4481"/>
      <c r="W125" s="3558" t="s">
        <v>12011</v>
      </c>
      <c r="X125" s="3544" t="s">
        <v>12012</v>
      </c>
      <c r="Y125" s="3545">
        <v>37</v>
      </c>
      <c r="Z125" s="3546">
        <v>36</v>
      </c>
      <c r="AA125" s="3547">
        <v>64</v>
      </c>
      <c r="AB125"/>
      <c r="AC125" s="4482"/>
      <c r="AD125" s="3578" t="s">
        <v>12013</v>
      </c>
      <c r="AE125" s="3536" t="s">
        <v>12014</v>
      </c>
      <c r="AF125" s="3537">
        <v>155</v>
      </c>
      <c r="AG125" s="3538">
        <v>148</v>
      </c>
      <c r="AH125" s="3539">
        <v>0</v>
      </c>
      <c r="AI125"/>
      <c r="AJ125" s="4483"/>
      <c r="AK125" s="3550" t="s">
        <v>12015</v>
      </c>
      <c r="AL125" s="3536" t="s">
        <v>12016</v>
      </c>
      <c r="AM125" s="3537">
        <v>222</v>
      </c>
      <c r="AN125" s="3538">
        <v>152</v>
      </c>
      <c r="AO125" s="3539">
        <v>22</v>
      </c>
      <c r="AQ125" s="3">
        <v>1</v>
      </c>
    </row>
    <row r="126" spans="11:43" ht="21" customHeight="1">
      <c r="K126" s="4484" t="s">
        <v>12017</v>
      </c>
      <c r="L126" s="4485" t="s">
        <v>12018</v>
      </c>
      <c r="M126" s="4486" t="s">
        <v>12019</v>
      </c>
      <c r="N126" s="4487" t="s">
        <v>12020</v>
      </c>
      <c r="O126" s="4488" t="s">
        <v>12021</v>
      </c>
      <c r="P126" s="4489" t="s">
        <v>12022</v>
      </c>
      <c r="Q126" s="4490" t="s">
        <v>12023</v>
      </c>
      <c r="R126" s="4491" t="s">
        <v>12024</v>
      </c>
      <c r="S126" s="4492" t="s">
        <v>12025</v>
      </c>
      <c r="V126" s="4493"/>
      <c r="W126" s="3558" t="s">
        <v>12026</v>
      </c>
      <c r="X126" s="3544" t="s">
        <v>12027</v>
      </c>
      <c r="Y126" s="3545">
        <v>0</v>
      </c>
      <c r="Z126" s="3546">
        <v>0</v>
      </c>
      <c r="AA126" s="3547">
        <v>16</v>
      </c>
      <c r="AB126"/>
      <c r="AC126" s="4494"/>
      <c r="AD126" s="3578" t="s">
        <v>12028</v>
      </c>
      <c r="AE126" s="3536" t="s">
        <v>12029</v>
      </c>
      <c r="AF126" s="3537">
        <v>134</v>
      </c>
      <c r="AG126" s="3538">
        <v>126</v>
      </c>
      <c r="AH126" s="3539">
        <v>54</v>
      </c>
      <c r="AI126"/>
      <c r="AJ126" s="4495"/>
      <c r="AK126" s="3541" t="s">
        <v>12030</v>
      </c>
      <c r="AL126" s="3536" t="s">
        <v>12031</v>
      </c>
      <c r="AM126" s="3537">
        <v>217</v>
      </c>
      <c r="AN126" s="3538">
        <v>135</v>
      </c>
      <c r="AO126" s="3539">
        <v>25</v>
      </c>
      <c r="AQ126" s="3">
        <v>1</v>
      </c>
    </row>
    <row r="127" spans="11:43" ht="21" customHeight="1">
      <c r="K127" s="4496" t="s">
        <v>12032</v>
      </c>
      <c r="L127" s="4497" t="s">
        <v>12033</v>
      </c>
      <c r="M127" s="4498" t="s">
        <v>12034</v>
      </c>
      <c r="N127" s="4499" t="s">
        <v>12035</v>
      </c>
      <c r="O127" s="4500" t="s">
        <v>12036</v>
      </c>
      <c r="P127" s="4501" t="s">
        <v>12037</v>
      </c>
      <c r="Q127" s="4502" t="s">
        <v>12038</v>
      </c>
      <c r="R127" s="4503" t="s">
        <v>12039</v>
      </c>
      <c r="S127" s="4504" t="s">
        <v>12040</v>
      </c>
      <c r="V127" s="4505"/>
      <c r="W127" s="3558" t="s">
        <v>12041</v>
      </c>
      <c r="X127" s="3544" t="s">
        <v>12042</v>
      </c>
      <c r="Y127" s="3545">
        <v>44</v>
      </c>
      <c r="Z127" s="3546">
        <v>117</v>
      </c>
      <c r="AA127" s="3547">
        <v>255</v>
      </c>
      <c r="AB127"/>
      <c r="AC127" s="4506"/>
      <c r="AD127" s="3578" t="s">
        <v>12043</v>
      </c>
      <c r="AE127" s="3536" t="s">
        <v>12044</v>
      </c>
      <c r="AF127" s="3537">
        <v>87</v>
      </c>
      <c r="AG127" s="3538">
        <v>85</v>
      </c>
      <c r="AH127" s="3539">
        <v>76</v>
      </c>
      <c r="AI127"/>
      <c r="AJ127" s="4507"/>
      <c r="AK127" s="3550" t="s">
        <v>12045</v>
      </c>
      <c r="AL127" s="3536" t="s">
        <v>12046</v>
      </c>
      <c r="AM127" s="3537">
        <v>205</v>
      </c>
      <c r="AN127" s="3538">
        <v>133</v>
      </c>
      <c r="AO127" s="3539">
        <v>63</v>
      </c>
      <c r="AQ127" s="3">
        <v>1</v>
      </c>
    </row>
    <row r="128" spans="11:43" ht="21" customHeight="1">
      <c r="K128" s="4508" t="s">
        <v>12047</v>
      </c>
      <c r="L128" s="4509" t="s">
        <v>12048</v>
      </c>
      <c r="M128" s="4510" t="s">
        <v>12049</v>
      </c>
      <c r="N128" s="4511" t="s">
        <v>12050</v>
      </c>
      <c r="O128" s="4512" t="s">
        <v>12051</v>
      </c>
      <c r="P128" s="4513" t="s">
        <v>12052</v>
      </c>
      <c r="Q128" s="4514" t="s">
        <v>12053</v>
      </c>
      <c r="R128" s="4515" t="s">
        <v>12054</v>
      </c>
      <c r="S128" s="4516" t="s">
        <v>12055</v>
      </c>
      <c r="V128" s="4517"/>
      <c r="W128" s="3543" t="s">
        <v>12056</v>
      </c>
      <c r="X128" s="3544" t="s">
        <v>12057</v>
      </c>
      <c r="Y128" s="3545">
        <v>72</v>
      </c>
      <c r="Z128" s="3546">
        <v>118</v>
      </c>
      <c r="AA128" s="3547">
        <v>255</v>
      </c>
      <c r="AB128"/>
      <c r="AC128" s="4518"/>
      <c r="AD128" s="3578" t="s">
        <v>12058</v>
      </c>
      <c r="AE128" s="3536" t="s">
        <v>12059</v>
      </c>
      <c r="AF128" s="3537">
        <v>91</v>
      </c>
      <c r="AG128" s="3538">
        <v>88</v>
      </c>
      <c r="AH128" s="3539">
        <v>66</v>
      </c>
      <c r="AI128"/>
      <c r="AJ128" s="4519"/>
      <c r="AK128" s="3541" t="s">
        <v>12060</v>
      </c>
      <c r="AL128" s="3536" t="s">
        <v>12061</v>
      </c>
      <c r="AM128" s="3537">
        <v>205</v>
      </c>
      <c r="AN128" s="3538">
        <v>133</v>
      </c>
      <c r="AO128" s="3539">
        <v>0</v>
      </c>
      <c r="AQ128" s="3">
        <v>1</v>
      </c>
    </row>
    <row r="129" spans="2:43" ht="21" customHeight="1">
      <c r="K129" s="4520" t="s">
        <v>12062</v>
      </c>
      <c r="L129" s="4521" t="s">
        <v>12063</v>
      </c>
      <c r="M129" s="4522" t="s">
        <v>12064</v>
      </c>
      <c r="N129" s="4523" t="s">
        <v>12065</v>
      </c>
      <c r="O129" s="4524" t="s">
        <v>12066</v>
      </c>
      <c r="P129" s="4525" t="s">
        <v>12067</v>
      </c>
      <c r="Q129" s="4526" t="s">
        <v>12068</v>
      </c>
      <c r="R129" s="4527" t="s">
        <v>12069</v>
      </c>
      <c r="S129" s="4528" t="s">
        <v>12070</v>
      </c>
      <c r="V129" s="4529"/>
      <c r="W129" s="3558" t="s">
        <v>12071</v>
      </c>
      <c r="X129" s="3544" t="s">
        <v>12072</v>
      </c>
      <c r="Y129" s="3545">
        <v>179</v>
      </c>
      <c r="Z129" s="3546">
        <v>188</v>
      </c>
      <c r="AA129" s="3547">
        <v>226</v>
      </c>
      <c r="AB129"/>
      <c r="AC129" s="4530"/>
      <c r="AD129" s="3578" t="s">
        <v>12073</v>
      </c>
      <c r="AE129" s="3536" t="s">
        <v>12074</v>
      </c>
      <c r="AF129" s="3537">
        <v>102</v>
      </c>
      <c r="AG129" s="3538">
        <v>93</v>
      </c>
      <c r="AH129" s="3539">
        <v>30</v>
      </c>
      <c r="AI129"/>
      <c r="AJ129" s="4531"/>
      <c r="AK129" s="3550" t="s">
        <v>12075</v>
      </c>
      <c r="AL129" s="3536" t="s">
        <v>12076</v>
      </c>
      <c r="AM129" s="3537">
        <v>201</v>
      </c>
      <c r="AN129" s="3538">
        <v>133</v>
      </c>
      <c r="AO129" s="3539">
        <v>0</v>
      </c>
      <c r="AQ129" s="3">
        <v>1</v>
      </c>
    </row>
    <row r="130" spans="2:43" ht="21" customHeight="1">
      <c r="K130" s="4532" t="s">
        <v>12077</v>
      </c>
      <c r="L130" s="4533" t="s">
        <v>12078</v>
      </c>
      <c r="M130" s="4534" t="s">
        <v>12079</v>
      </c>
      <c r="N130" s="4535" t="s">
        <v>12080</v>
      </c>
      <c r="O130" s="4536" t="s">
        <v>12081</v>
      </c>
      <c r="P130" s="4537" t="s">
        <v>12082</v>
      </c>
      <c r="Q130" s="4538" t="s">
        <v>12083</v>
      </c>
      <c r="R130" s="4539" t="s">
        <v>12084</v>
      </c>
      <c r="S130" s="4540" t="s">
        <v>12085</v>
      </c>
      <c r="V130" s="4541"/>
      <c r="W130" s="3543" t="s">
        <v>12086</v>
      </c>
      <c r="X130" s="3544" t="s">
        <v>12087</v>
      </c>
      <c r="Y130" s="3545">
        <v>230</v>
      </c>
      <c r="Z130" s="3546">
        <v>232</v>
      </c>
      <c r="AA130" s="3547">
        <v>250</v>
      </c>
      <c r="AB130"/>
      <c r="AC130" s="4542"/>
      <c r="AD130" s="3578" t="s">
        <v>12088</v>
      </c>
      <c r="AE130" s="3536" t="s">
        <v>12089</v>
      </c>
      <c r="AF130" s="3537">
        <v>64</v>
      </c>
      <c r="AG130" s="3538">
        <v>61</v>
      </c>
      <c r="AH130" s="3539">
        <v>33</v>
      </c>
      <c r="AI130"/>
      <c r="AJ130" s="4543"/>
      <c r="AK130" s="3550" t="s">
        <v>12090</v>
      </c>
      <c r="AL130" s="3536" t="s">
        <v>12091</v>
      </c>
      <c r="AM130" s="3537">
        <v>174</v>
      </c>
      <c r="AN130" s="3538">
        <v>137</v>
      </c>
      <c r="AO130" s="3539">
        <v>100</v>
      </c>
      <c r="AQ130" s="3">
        <v>1</v>
      </c>
    </row>
    <row r="131" spans="2:43" ht="21" customHeight="1">
      <c r="K131" s="4544" t="s">
        <v>12092</v>
      </c>
      <c r="L131" s="4545" t="s">
        <v>12093</v>
      </c>
      <c r="M131" s="4546" t="s">
        <v>12094</v>
      </c>
      <c r="N131" s="4547" t="s">
        <v>12095</v>
      </c>
      <c r="O131" s="4548" t="s">
        <v>12096</v>
      </c>
      <c r="P131" s="4549" t="s">
        <v>12097</v>
      </c>
      <c r="Q131" s="4550" t="s">
        <v>12098</v>
      </c>
      <c r="R131" s="4551" t="s">
        <v>12099</v>
      </c>
      <c r="S131" s="4552" t="s">
        <v>12100</v>
      </c>
      <c r="V131" s="4553"/>
      <c r="W131" s="3543" t="s">
        <v>12101</v>
      </c>
      <c r="X131" s="3544" t="s">
        <v>12102</v>
      </c>
      <c r="Y131" s="3545">
        <v>67</v>
      </c>
      <c r="Z131" s="3546">
        <v>110</v>
      </c>
      <c r="AA131" s="3547">
        <v>238</v>
      </c>
      <c r="AB131"/>
      <c r="AC131" s="4554"/>
      <c r="AD131" s="3578" t="s">
        <v>12103</v>
      </c>
      <c r="AE131" s="3536" t="s">
        <v>12104</v>
      </c>
      <c r="AF131" s="3537">
        <v>54</v>
      </c>
      <c r="AG131" s="3538">
        <v>53</v>
      </c>
      <c r="AH131" s="3539">
        <v>39</v>
      </c>
      <c r="AI131"/>
      <c r="AJ131" s="4555"/>
      <c r="AK131" s="3541" t="s">
        <v>12105</v>
      </c>
      <c r="AL131" s="3536" t="s">
        <v>12106</v>
      </c>
      <c r="AM131" s="3537">
        <v>166</v>
      </c>
      <c r="AN131" s="3538">
        <v>128</v>
      </c>
      <c r="AO131" s="3539">
        <v>100</v>
      </c>
      <c r="AQ131" s="3">
        <v>1</v>
      </c>
    </row>
    <row r="132" spans="2:43" ht="21" customHeight="1">
      <c r="K132" s="4556" t="s">
        <v>12107</v>
      </c>
      <c r="L132" s="4557" t="s">
        <v>12108</v>
      </c>
      <c r="M132" s="4558" t="s">
        <v>12109</v>
      </c>
      <c r="N132" s="4559" t="s">
        <v>12110</v>
      </c>
      <c r="O132" s="4560" t="s">
        <v>12111</v>
      </c>
      <c r="P132" s="4561" t="s">
        <v>12112</v>
      </c>
      <c r="Q132" s="4562" t="s">
        <v>12113</v>
      </c>
      <c r="R132" s="4563" t="s">
        <v>12114</v>
      </c>
      <c r="S132" s="4564" t="s">
        <v>12115</v>
      </c>
      <c r="V132" s="4565"/>
      <c r="W132" s="3543" t="s">
        <v>12116</v>
      </c>
      <c r="X132" s="3544" t="s">
        <v>12117</v>
      </c>
      <c r="Y132" s="3545">
        <v>65</v>
      </c>
      <c r="Z132" s="3546">
        <v>105</v>
      </c>
      <c r="AA132" s="3547">
        <v>225</v>
      </c>
      <c r="AB132"/>
      <c r="AC132" s="4566"/>
      <c r="AD132" s="3578" t="s">
        <v>12118</v>
      </c>
      <c r="AE132" s="3536" t="s">
        <v>12119</v>
      </c>
      <c r="AF132" s="3537">
        <v>37</v>
      </c>
      <c r="AG132" s="3538">
        <v>36</v>
      </c>
      <c r="AH132" s="3539">
        <v>29</v>
      </c>
      <c r="AI132"/>
      <c r="AJ132" s="4567"/>
      <c r="AK132" s="3550" t="s">
        <v>12045</v>
      </c>
      <c r="AL132" s="3536" t="s">
        <v>12120</v>
      </c>
      <c r="AM132" s="3537">
        <v>166</v>
      </c>
      <c r="AN132" s="3538">
        <v>123</v>
      </c>
      <c r="AO132" s="3539">
        <v>91</v>
      </c>
      <c r="AQ132" s="3">
        <v>1</v>
      </c>
    </row>
    <row r="133" spans="2:43" ht="21" customHeight="1">
      <c r="K133" s="4568" t="s">
        <v>12121</v>
      </c>
      <c r="L133" s="4569" t="s">
        <v>12122</v>
      </c>
      <c r="M133" s="4570" t="s">
        <v>12123</v>
      </c>
      <c r="N133" s="4571" t="s">
        <v>12124</v>
      </c>
      <c r="O133" s="4572" t="s">
        <v>12125</v>
      </c>
      <c r="P133" s="4573" t="s">
        <v>12126</v>
      </c>
      <c r="Q133" s="4574" t="s">
        <v>12127</v>
      </c>
      <c r="R133" s="4575" t="s">
        <v>12128</v>
      </c>
      <c r="S133" s="4576" t="s">
        <v>12129</v>
      </c>
      <c r="V133" s="4577"/>
      <c r="W133" s="3558" t="s">
        <v>12130</v>
      </c>
      <c r="X133" s="3544" t="s">
        <v>12131</v>
      </c>
      <c r="Y133" s="3545">
        <v>135</v>
      </c>
      <c r="Z133" s="3546">
        <v>145</v>
      </c>
      <c r="AA133" s="3547">
        <v>191</v>
      </c>
      <c r="AB133"/>
      <c r="AC133" s="4578"/>
      <c r="AD133" s="3578" t="s">
        <v>12132</v>
      </c>
      <c r="AE133" s="3536" t="s">
        <v>12133</v>
      </c>
      <c r="AF133" s="3537">
        <v>255</v>
      </c>
      <c r="AG133" s="3538">
        <v>0</v>
      </c>
      <c r="AH133" s="3539">
        <v>255</v>
      </c>
      <c r="AI133"/>
      <c r="AJ133" s="4579"/>
      <c r="AK133" s="3541" t="s">
        <v>12134</v>
      </c>
      <c r="AL133" s="3536" t="s">
        <v>12135</v>
      </c>
      <c r="AM133" s="3537">
        <v>139</v>
      </c>
      <c r="AN133" s="3538">
        <v>134</v>
      </c>
      <c r="AO133" s="3539">
        <v>130</v>
      </c>
      <c r="AQ133" s="3">
        <v>1</v>
      </c>
    </row>
    <row r="134" spans="2:43" ht="21" customHeight="1">
      <c r="K134" s="4580" t="s">
        <v>12136</v>
      </c>
      <c r="L134" s="4581" t="s">
        <v>12137</v>
      </c>
      <c r="M134" s="4582" t="s">
        <v>12138</v>
      </c>
      <c r="N134" s="4583" t="s">
        <v>12139</v>
      </c>
      <c r="O134" s="4584" t="s">
        <v>12140</v>
      </c>
      <c r="P134" s="4585" t="s">
        <v>12141</v>
      </c>
      <c r="Q134" s="4586" t="s">
        <v>12142</v>
      </c>
      <c r="R134" s="4587" t="s">
        <v>12143</v>
      </c>
      <c r="S134" s="4588" t="s">
        <v>12144</v>
      </c>
      <c r="V134" s="4589"/>
      <c r="W134" s="3558" t="s">
        <v>12145</v>
      </c>
      <c r="X134" s="3544" t="s">
        <v>12146</v>
      </c>
      <c r="Y134" s="3545">
        <v>140</v>
      </c>
      <c r="Z134" s="3546">
        <v>146</v>
      </c>
      <c r="AA134" s="3547">
        <v>172</v>
      </c>
      <c r="AB134"/>
      <c r="AC134" s="4590"/>
      <c r="AD134" s="3535" t="s">
        <v>12147</v>
      </c>
      <c r="AE134" s="3536" t="s">
        <v>12148</v>
      </c>
      <c r="AF134" s="3537">
        <v>238</v>
      </c>
      <c r="AG134" s="3538">
        <v>122</v>
      </c>
      <c r="AH134" s="3539">
        <v>233</v>
      </c>
      <c r="AI134"/>
      <c r="AJ134" s="4591"/>
      <c r="AK134" s="3550" t="s">
        <v>12149</v>
      </c>
      <c r="AL134" s="3536" t="s">
        <v>12150</v>
      </c>
      <c r="AM134" s="3537">
        <v>182</v>
      </c>
      <c r="AN134" s="3538">
        <v>120</v>
      </c>
      <c r="AO134" s="3539">
        <v>35</v>
      </c>
      <c r="AQ134" s="3">
        <v>1</v>
      </c>
    </row>
    <row r="135" spans="2:43" ht="21" customHeight="1">
      <c r="K135" s="4592" t="s">
        <v>12151</v>
      </c>
      <c r="L135" s="4593" t="s">
        <v>12152</v>
      </c>
      <c r="M135" s="4594" t="s">
        <v>12153</v>
      </c>
      <c r="N135" s="4595" t="s">
        <v>12154</v>
      </c>
      <c r="O135" s="4596" t="s">
        <v>12155</v>
      </c>
      <c r="P135" s="4597" t="s">
        <v>12156</v>
      </c>
      <c r="Q135" s="4598" t="s">
        <v>12157</v>
      </c>
      <c r="R135" s="4599" t="s">
        <v>12158</v>
      </c>
      <c r="S135" s="4600" t="s">
        <v>12159</v>
      </c>
      <c r="V135" s="4601"/>
      <c r="W135" s="3543" t="s">
        <v>12160</v>
      </c>
      <c r="X135" s="3544" t="s">
        <v>12161</v>
      </c>
      <c r="Y135" s="3545">
        <v>58</v>
      </c>
      <c r="Z135" s="3546">
        <v>95</v>
      </c>
      <c r="AA135" s="3547">
        <v>205</v>
      </c>
      <c r="AB135"/>
      <c r="AC135" s="4602"/>
      <c r="AD135" s="3535" t="s">
        <v>12162</v>
      </c>
      <c r="AE135" s="3536" t="s">
        <v>12163</v>
      </c>
      <c r="AF135" s="3537">
        <v>238</v>
      </c>
      <c r="AG135" s="3538">
        <v>130</v>
      </c>
      <c r="AH135" s="3539">
        <v>238</v>
      </c>
      <c r="AI135"/>
      <c r="AJ135" s="4603"/>
      <c r="AK135" s="3550" t="s">
        <v>12164</v>
      </c>
      <c r="AL135" s="3536" t="s">
        <v>12165</v>
      </c>
      <c r="AM135" s="3537">
        <v>149</v>
      </c>
      <c r="AN135" s="3538">
        <v>128</v>
      </c>
      <c r="AO135" s="3539">
        <v>112</v>
      </c>
      <c r="AQ135" s="3">
        <v>1</v>
      </c>
    </row>
    <row r="136" spans="2:43" ht="21" customHeight="1">
      <c r="K136" s="4604" t="s">
        <v>12166</v>
      </c>
      <c r="L136" s="4605" t="s">
        <v>12167</v>
      </c>
      <c r="M136" s="4606" t="s">
        <v>12168</v>
      </c>
      <c r="N136" s="4607" t="s">
        <v>12169</v>
      </c>
      <c r="O136" s="4608" t="s">
        <v>12170</v>
      </c>
      <c r="P136" s="4609" t="s">
        <v>12171</v>
      </c>
      <c r="Q136" s="4610" t="s">
        <v>12172</v>
      </c>
      <c r="R136" s="4611" t="s">
        <v>12173</v>
      </c>
      <c r="S136" s="4612" t="s">
        <v>12174</v>
      </c>
      <c r="V136" s="4613"/>
      <c r="W136" s="3558" t="s">
        <v>12175</v>
      </c>
      <c r="X136" s="3544" t="s">
        <v>12176</v>
      </c>
      <c r="Y136" s="3545">
        <v>108</v>
      </c>
      <c r="Z136" s="3546">
        <v>121</v>
      </c>
      <c r="AA136" s="3547">
        <v>184</v>
      </c>
      <c r="AB136"/>
      <c r="AC136" s="4614"/>
      <c r="AD136" s="3535" t="s">
        <v>12177</v>
      </c>
      <c r="AE136" s="3536" t="s">
        <v>12178</v>
      </c>
      <c r="AF136" s="3537">
        <v>205</v>
      </c>
      <c r="AG136" s="3538">
        <v>181</v>
      </c>
      <c r="AH136" s="3539">
        <v>205</v>
      </c>
      <c r="AI136"/>
      <c r="AJ136" s="4615"/>
      <c r="AK136" s="3550" t="s">
        <v>12179</v>
      </c>
      <c r="AL136" s="3536" t="s">
        <v>12180</v>
      </c>
      <c r="AM136" s="3537">
        <v>142</v>
      </c>
      <c r="AN136" s="3538">
        <v>130</v>
      </c>
      <c r="AO136" s="3539">
        <v>121</v>
      </c>
      <c r="AQ136" s="3">
        <v>1</v>
      </c>
    </row>
    <row r="137" spans="2:43" ht="21" customHeight="1">
      <c r="V137" s="4616"/>
      <c r="W137" s="3543" t="s">
        <v>12181</v>
      </c>
      <c r="X137" s="3544" t="s">
        <v>12182</v>
      </c>
      <c r="Y137" s="3545">
        <v>65</v>
      </c>
      <c r="Z137" s="3546">
        <v>86</v>
      </c>
      <c r="AA137" s="3547">
        <v>197</v>
      </c>
      <c r="AB137"/>
      <c r="AC137" s="4617"/>
      <c r="AD137" s="3535" t="s">
        <v>12183</v>
      </c>
      <c r="AE137" s="3536" t="s">
        <v>12184</v>
      </c>
      <c r="AF137" s="3537">
        <v>221</v>
      </c>
      <c r="AG137" s="3538">
        <v>160</v>
      </c>
      <c r="AH137" s="3539">
        <v>221</v>
      </c>
      <c r="AI137"/>
      <c r="AJ137" s="4618"/>
      <c r="AK137" s="3541" t="s">
        <v>12185</v>
      </c>
      <c r="AL137" s="3536" t="s">
        <v>12186</v>
      </c>
      <c r="AM137" s="3537">
        <v>139</v>
      </c>
      <c r="AN137" s="3538">
        <v>119</v>
      </c>
      <c r="AO137" s="3539">
        <v>101</v>
      </c>
      <c r="AQ137" s="3">
        <v>1</v>
      </c>
    </row>
    <row r="138" spans="2:43" ht="21" customHeight="1">
      <c r="B138" s="5726" t="s">
        <v>14223</v>
      </c>
      <c r="V138" s="4619"/>
      <c r="W138" s="3558" t="s">
        <v>12187</v>
      </c>
      <c r="X138" s="3544" t="s">
        <v>12188</v>
      </c>
      <c r="Y138" s="3545">
        <v>104</v>
      </c>
      <c r="Z138" s="3546">
        <v>111</v>
      </c>
      <c r="AA138" s="3547">
        <v>140</v>
      </c>
      <c r="AB138"/>
      <c r="AC138" s="4620"/>
      <c r="AD138" s="3535" t="s">
        <v>12189</v>
      </c>
      <c r="AE138" s="3536" t="s">
        <v>12190</v>
      </c>
      <c r="AF138" s="3537">
        <v>216</v>
      </c>
      <c r="AG138" s="3538">
        <v>191</v>
      </c>
      <c r="AH138" s="3539">
        <v>216</v>
      </c>
      <c r="AI138"/>
      <c r="AJ138" s="4621"/>
      <c r="AK138" s="3550" t="s">
        <v>12191</v>
      </c>
      <c r="AL138" s="3536" t="s">
        <v>12192</v>
      </c>
      <c r="AM138" s="3537">
        <v>153</v>
      </c>
      <c r="AN138" s="3538">
        <v>101</v>
      </c>
      <c r="AO138" s="3539">
        <v>21</v>
      </c>
      <c r="AQ138" s="3">
        <v>1</v>
      </c>
    </row>
    <row r="139" spans="2:43" ht="21" customHeight="1">
      <c r="B139" s="5726" t="s">
        <v>14226</v>
      </c>
      <c r="V139" s="4622"/>
      <c r="W139" s="3558" t="s">
        <v>12193</v>
      </c>
      <c r="X139" s="3544" t="s">
        <v>12194</v>
      </c>
      <c r="Y139" s="3545">
        <v>0</v>
      </c>
      <c r="Z139" s="3546">
        <v>51</v>
      </c>
      <c r="AA139" s="3547">
        <v>153</v>
      </c>
      <c r="AB139"/>
      <c r="AC139" s="4623"/>
      <c r="AD139" s="3535" t="s">
        <v>12195</v>
      </c>
      <c r="AE139" s="3536" t="s">
        <v>12196</v>
      </c>
      <c r="AF139" s="3537">
        <v>255</v>
      </c>
      <c r="AG139" s="3538">
        <v>131</v>
      </c>
      <c r="AH139" s="3539">
        <v>250</v>
      </c>
      <c r="AI139"/>
      <c r="AJ139" s="4624"/>
      <c r="AK139" s="3550" t="s">
        <v>12197</v>
      </c>
      <c r="AL139" s="3536" t="s">
        <v>12198</v>
      </c>
      <c r="AM139" s="3537">
        <v>143</v>
      </c>
      <c r="AN139" s="3538">
        <v>89</v>
      </c>
      <c r="AO139" s="3539">
        <v>34</v>
      </c>
      <c r="AQ139" s="3">
        <v>1</v>
      </c>
    </row>
    <row r="140" spans="2:43" ht="21" customHeight="1">
      <c r="B140" s="5726" t="s">
        <v>14229</v>
      </c>
      <c r="V140" s="4625"/>
      <c r="W140" s="3543" t="s">
        <v>12199</v>
      </c>
      <c r="X140" s="3544" t="s">
        <v>12200</v>
      </c>
      <c r="Y140" s="3545">
        <v>39</v>
      </c>
      <c r="Z140" s="3546">
        <v>64</v>
      </c>
      <c r="AA140" s="3547">
        <v>139</v>
      </c>
      <c r="AB140"/>
      <c r="AC140" s="4626"/>
      <c r="AD140" s="3535" t="s">
        <v>12201</v>
      </c>
      <c r="AE140" s="3536" t="s">
        <v>12202</v>
      </c>
      <c r="AF140" s="3537">
        <v>234</v>
      </c>
      <c r="AG140" s="3538">
        <v>173</v>
      </c>
      <c r="AH140" s="3539">
        <v>234</v>
      </c>
      <c r="AI140"/>
      <c r="AJ140" s="4627"/>
      <c r="AK140" s="3541" t="s">
        <v>12203</v>
      </c>
      <c r="AL140" s="3536" t="s">
        <v>12204</v>
      </c>
      <c r="AM140" s="3537">
        <v>139</v>
      </c>
      <c r="AN140" s="3538">
        <v>90</v>
      </c>
      <c r="AO140" s="3539">
        <v>43</v>
      </c>
      <c r="AQ140" s="3">
        <v>1</v>
      </c>
    </row>
    <row r="141" spans="2:43" ht="21" customHeight="1">
      <c r="B141" s="5726"/>
      <c r="V141" s="4628"/>
      <c r="W141" s="3558" t="s">
        <v>12205</v>
      </c>
      <c r="X141" s="3544" t="s">
        <v>12206</v>
      </c>
      <c r="Y141" s="3545">
        <v>76</v>
      </c>
      <c r="Z141" s="3546">
        <v>81</v>
      </c>
      <c r="AA141" s="3547">
        <v>109</v>
      </c>
      <c r="AB141"/>
      <c r="AC141" s="4629"/>
      <c r="AD141" s="3535" t="s">
        <v>12207</v>
      </c>
      <c r="AE141" s="3536" t="s">
        <v>12208</v>
      </c>
      <c r="AF141" s="3537">
        <v>238</v>
      </c>
      <c r="AG141" s="3538">
        <v>174</v>
      </c>
      <c r="AH141" s="3539">
        <v>238</v>
      </c>
      <c r="AI141"/>
      <c r="AJ141" s="4630"/>
      <c r="AK141" s="3541" t="s">
        <v>12209</v>
      </c>
      <c r="AL141" s="3536" t="s">
        <v>12210</v>
      </c>
      <c r="AM141" s="3537">
        <v>139</v>
      </c>
      <c r="AN141" s="3538">
        <v>90</v>
      </c>
      <c r="AO141" s="3539">
        <v>0</v>
      </c>
      <c r="AQ141" s="3">
        <v>1</v>
      </c>
    </row>
    <row r="142" spans="2:43" ht="21" customHeight="1">
      <c r="B142" s="5726" t="s">
        <v>14232</v>
      </c>
      <c r="V142" s="4631"/>
      <c r="W142" s="3543" t="s">
        <v>12211</v>
      </c>
      <c r="X142" s="3544" t="s">
        <v>12212</v>
      </c>
      <c r="Y142" s="3545">
        <v>0</v>
      </c>
      <c r="Z142" s="3546">
        <v>34</v>
      </c>
      <c r="AA142" s="3547">
        <v>102</v>
      </c>
      <c r="AB142"/>
      <c r="AC142" s="4632"/>
      <c r="AD142" s="3535" t="s">
        <v>12213</v>
      </c>
      <c r="AE142" s="3536" t="s">
        <v>12214</v>
      </c>
      <c r="AF142" s="3537">
        <v>255</v>
      </c>
      <c r="AG142" s="3538">
        <v>187</v>
      </c>
      <c r="AH142" s="3539">
        <v>255</v>
      </c>
      <c r="AI142"/>
      <c r="AJ142" s="4633"/>
      <c r="AK142" s="3550" t="s">
        <v>12215</v>
      </c>
      <c r="AL142" s="3536" t="s">
        <v>12216</v>
      </c>
      <c r="AM142" s="3537">
        <v>135</v>
      </c>
      <c r="AN142" s="3538">
        <v>89</v>
      </c>
      <c r="AO142" s="3539">
        <v>26</v>
      </c>
      <c r="AQ142" s="3">
        <v>1</v>
      </c>
    </row>
    <row r="143" spans="2:43" ht="21" customHeight="1">
      <c r="B143" s="5726" t="s">
        <v>14235</v>
      </c>
      <c r="V143" s="4634"/>
      <c r="W143" s="3558" t="s">
        <v>12217</v>
      </c>
      <c r="X143" s="3544" t="s">
        <v>12218</v>
      </c>
      <c r="Y143" s="3545">
        <v>102</v>
      </c>
      <c r="Z143" s="3546">
        <v>0</v>
      </c>
      <c r="AA143" s="3547">
        <v>255</v>
      </c>
      <c r="AB143"/>
      <c r="AC143" s="4635"/>
      <c r="AD143" s="3535" t="s">
        <v>12219</v>
      </c>
      <c r="AE143" s="3536" t="s">
        <v>12220</v>
      </c>
      <c r="AF143" s="3537">
        <v>238</v>
      </c>
      <c r="AG143" s="3538">
        <v>210</v>
      </c>
      <c r="AH143" s="3539">
        <v>238</v>
      </c>
      <c r="AI143"/>
      <c r="AJ143" s="4636"/>
      <c r="AK143" s="3550" t="s">
        <v>12221</v>
      </c>
      <c r="AL143" s="3536" t="s">
        <v>12222</v>
      </c>
      <c r="AM143" s="3537">
        <v>126</v>
      </c>
      <c r="AN143" s="3538">
        <v>88</v>
      </c>
      <c r="AO143" s="3539">
        <v>53</v>
      </c>
      <c r="AQ143" s="3">
        <v>1</v>
      </c>
    </row>
    <row r="144" spans="2:43" ht="21" customHeight="1">
      <c r="B144" s="1256"/>
      <c r="V144" s="4637"/>
      <c r="W144" s="3543" t="s">
        <v>12223</v>
      </c>
      <c r="X144" s="3544" t="s">
        <v>12224</v>
      </c>
      <c r="Y144" s="3545">
        <v>123</v>
      </c>
      <c r="Z144" s="3546">
        <v>104</v>
      </c>
      <c r="AA144" s="3547">
        <v>238</v>
      </c>
      <c r="AB144"/>
      <c r="AC144" s="4638"/>
      <c r="AD144" s="3535" t="s">
        <v>12225</v>
      </c>
      <c r="AE144" s="3536" t="s">
        <v>12226</v>
      </c>
      <c r="AF144" s="3537">
        <v>255</v>
      </c>
      <c r="AG144" s="3538">
        <v>225</v>
      </c>
      <c r="AH144" s="3539">
        <v>255</v>
      </c>
      <c r="AI144"/>
      <c r="AJ144" s="4639"/>
      <c r="AK144" s="3550" t="s">
        <v>12227</v>
      </c>
      <c r="AL144" s="3536" t="s">
        <v>12228</v>
      </c>
      <c r="AM144" s="3537">
        <v>133</v>
      </c>
      <c r="AN144" s="3538">
        <v>83</v>
      </c>
      <c r="AO144" s="3539">
        <v>15</v>
      </c>
      <c r="AQ144" s="3">
        <v>1</v>
      </c>
    </row>
    <row r="145" spans="2:43" ht="21" customHeight="1">
      <c r="B145" s="1256"/>
      <c r="V145" s="4640"/>
      <c r="W145" s="3558" t="s">
        <v>12229</v>
      </c>
      <c r="X145" s="3544" t="s">
        <v>12230</v>
      </c>
      <c r="Y145" s="3545">
        <v>150</v>
      </c>
      <c r="Z145" s="3546">
        <v>131</v>
      </c>
      <c r="AA145" s="3547">
        <v>236</v>
      </c>
      <c r="AB145"/>
      <c r="AC145" s="4641"/>
      <c r="AD145" s="3535" t="s">
        <v>12231</v>
      </c>
      <c r="AE145" s="3536" t="s">
        <v>12232</v>
      </c>
      <c r="AF145" s="3537">
        <v>205</v>
      </c>
      <c r="AG145" s="3538">
        <v>150</v>
      </c>
      <c r="AH145" s="3539">
        <v>205</v>
      </c>
      <c r="AI145"/>
      <c r="AJ145" s="4642"/>
      <c r="AK145" s="3550" t="s">
        <v>12233</v>
      </c>
      <c r="AL145" s="3536" t="s">
        <v>12234</v>
      </c>
      <c r="AM145" s="3537">
        <v>97</v>
      </c>
      <c r="AN145" s="3538">
        <v>75</v>
      </c>
      <c r="AO145" s="3539">
        <v>58</v>
      </c>
      <c r="AQ145" s="3">
        <v>1</v>
      </c>
    </row>
    <row r="146" spans="2:43" ht="21" customHeight="1">
      <c r="B146" s="5726" t="s">
        <v>14224</v>
      </c>
      <c r="V146" s="4643"/>
      <c r="W146" s="3543" t="s">
        <v>12235</v>
      </c>
      <c r="X146" s="3544" t="s">
        <v>12236</v>
      </c>
      <c r="Y146" s="3545">
        <v>131</v>
      </c>
      <c r="Z146" s="3546">
        <v>111</v>
      </c>
      <c r="AA146" s="3547">
        <v>255</v>
      </c>
      <c r="AB146"/>
      <c r="AC146" s="4644"/>
      <c r="AD146" s="3535" t="s">
        <v>12237</v>
      </c>
      <c r="AE146" s="3536" t="s">
        <v>12238</v>
      </c>
      <c r="AF146" s="3537">
        <v>219</v>
      </c>
      <c r="AG146" s="3538">
        <v>112</v>
      </c>
      <c r="AH146" s="3539">
        <v>219</v>
      </c>
      <c r="AI146"/>
      <c r="AJ146" s="4645"/>
      <c r="AK146" s="3550" t="s">
        <v>12239</v>
      </c>
      <c r="AL146" s="3536" t="s">
        <v>12240</v>
      </c>
      <c r="AM146" s="3537">
        <v>106</v>
      </c>
      <c r="AN146" s="3538">
        <v>75</v>
      </c>
      <c r="AO146" s="3539">
        <v>33</v>
      </c>
      <c r="AQ146" s="3">
        <v>1</v>
      </c>
    </row>
    <row r="147" spans="2:43" ht="21" customHeight="1">
      <c r="B147" s="5726" t="s">
        <v>14227</v>
      </c>
      <c r="V147" s="4646"/>
      <c r="W147" s="3543" t="s">
        <v>12241</v>
      </c>
      <c r="X147" s="3544" t="s">
        <v>12242</v>
      </c>
      <c r="Y147" s="3545">
        <v>132</v>
      </c>
      <c r="Z147" s="3546">
        <v>112</v>
      </c>
      <c r="AA147" s="3547">
        <v>255</v>
      </c>
      <c r="AB147"/>
      <c r="AC147" s="4647"/>
      <c r="AD147" s="3578" t="s">
        <v>12243</v>
      </c>
      <c r="AE147" s="3536" t="s">
        <v>12244</v>
      </c>
      <c r="AF147" s="3537">
        <v>218</v>
      </c>
      <c r="AG147" s="3538">
        <v>112</v>
      </c>
      <c r="AH147" s="3539">
        <v>214</v>
      </c>
      <c r="AI147"/>
      <c r="AJ147" s="4648"/>
      <c r="AK147" s="3550" t="s">
        <v>12245</v>
      </c>
      <c r="AL147" s="3536" t="s">
        <v>12246</v>
      </c>
      <c r="AM147" s="3537">
        <v>101</v>
      </c>
      <c r="AN147" s="3538">
        <v>69</v>
      </c>
      <c r="AO147" s="3539">
        <v>34</v>
      </c>
      <c r="AQ147" s="3">
        <v>1</v>
      </c>
    </row>
    <row r="148" spans="2:43" ht="21" customHeight="1">
      <c r="B148" s="5726" t="s">
        <v>14230</v>
      </c>
      <c r="V148" s="4649"/>
      <c r="W148" s="3543" t="s">
        <v>12247</v>
      </c>
      <c r="X148" s="3544" t="s">
        <v>12248</v>
      </c>
      <c r="Y148" s="3545">
        <v>122</v>
      </c>
      <c r="Z148" s="3546">
        <v>103</v>
      </c>
      <c r="AA148" s="3547">
        <v>238</v>
      </c>
      <c r="AB148"/>
      <c r="AC148" s="4650"/>
      <c r="AD148" s="3535" t="s">
        <v>12249</v>
      </c>
      <c r="AE148" s="3536" t="s">
        <v>12250</v>
      </c>
      <c r="AF148" s="3537">
        <v>238</v>
      </c>
      <c r="AG148" s="3538">
        <v>0</v>
      </c>
      <c r="AH148" s="3539">
        <v>238</v>
      </c>
      <c r="AI148"/>
      <c r="AJ148" s="4651"/>
      <c r="AK148" s="3550" t="s">
        <v>12251</v>
      </c>
      <c r="AL148" s="3536" t="s">
        <v>12252</v>
      </c>
      <c r="AM148" s="3537">
        <v>91</v>
      </c>
      <c r="AN148" s="3538">
        <v>60</v>
      </c>
      <c r="AO148" s="3539">
        <v>17</v>
      </c>
      <c r="AQ148" s="3">
        <v>1</v>
      </c>
    </row>
    <row r="149" spans="2:43" ht="21" customHeight="1">
      <c r="B149" s="5726"/>
      <c r="V149" s="4652"/>
      <c r="W149" s="3558" t="s">
        <v>12253</v>
      </c>
      <c r="X149" s="3544" t="s">
        <v>12254</v>
      </c>
      <c r="Y149" s="3545">
        <v>121</v>
      </c>
      <c r="Z149" s="3546">
        <v>28</v>
      </c>
      <c r="AA149" s="3547">
        <v>248</v>
      </c>
      <c r="AB149"/>
      <c r="AC149" s="4653"/>
      <c r="AD149" s="3578" t="s">
        <v>12255</v>
      </c>
      <c r="AE149" s="3536" t="s">
        <v>12256</v>
      </c>
      <c r="AF149" s="3537">
        <v>212</v>
      </c>
      <c r="AG149" s="3538">
        <v>115</v>
      </c>
      <c r="AH149" s="3539">
        <v>212</v>
      </c>
      <c r="AI149"/>
      <c r="AJ149" s="4654"/>
      <c r="AK149" s="3550" t="s">
        <v>12257</v>
      </c>
      <c r="AL149" s="3536" t="s">
        <v>12258</v>
      </c>
      <c r="AM149" s="3537">
        <v>72</v>
      </c>
      <c r="AN149" s="3538">
        <v>60</v>
      </c>
      <c r="AO149" s="3539">
        <v>50</v>
      </c>
      <c r="AQ149" s="3">
        <v>1</v>
      </c>
    </row>
    <row r="150" spans="2:43" ht="21" customHeight="1">
      <c r="B150" s="5726" t="s">
        <v>14233</v>
      </c>
      <c r="V150" s="4655"/>
      <c r="W150" s="3543" t="s">
        <v>12259</v>
      </c>
      <c r="X150" s="3544" t="s">
        <v>12260</v>
      </c>
      <c r="Y150" s="3545">
        <v>106</v>
      </c>
      <c r="Z150" s="3546">
        <v>90</v>
      </c>
      <c r="AA150" s="3547">
        <v>205</v>
      </c>
      <c r="AB150"/>
      <c r="AC150" s="4656"/>
      <c r="AD150" s="3535" t="s">
        <v>12261</v>
      </c>
      <c r="AE150" s="3536" t="s">
        <v>12262</v>
      </c>
      <c r="AF150" s="3537">
        <v>205</v>
      </c>
      <c r="AG150" s="3538">
        <v>105</v>
      </c>
      <c r="AH150" s="3539">
        <v>201</v>
      </c>
      <c r="AI150"/>
      <c r="AJ150" s="4657"/>
      <c r="AK150" s="3550" t="s">
        <v>12263</v>
      </c>
      <c r="AL150" s="3536" t="s">
        <v>12264</v>
      </c>
      <c r="AM150" s="3537">
        <v>75</v>
      </c>
      <c r="AN150" s="3538">
        <v>54</v>
      </c>
      <c r="AO150" s="3539">
        <v>33</v>
      </c>
      <c r="AQ150" s="3">
        <v>1</v>
      </c>
    </row>
    <row r="151" spans="2:43" ht="21" customHeight="1">
      <c r="B151" s="5726" t="s">
        <v>14236</v>
      </c>
      <c r="V151" s="4658"/>
      <c r="W151" s="3543" t="s">
        <v>12265</v>
      </c>
      <c r="X151" s="3544" t="s">
        <v>12266</v>
      </c>
      <c r="Y151" s="3545">
        <v>105</v>
      </c>
      <c r="Z151" s="3546">
        <v>89</v>
      </c>
      <c r="AA151" s="3547">
        <v>205</v>
      </c>
      <c r="AB151"/>
      <c r="AC151" s="4659"/>
      <c r="AD151" s="3578" t="s">
        <v>12267</v>
      </c>
      <c r="AE151" s="3536" t="s">
        <v>12268</v>
      </c>
      <c r="AF151" s="3537">
        <v>170</v>
      </c>
      <c r="AG151" s="3538">
        <v>152</v>
      </c>
      <c r="AH151" s="3539">
        <v>169</v>
      </c>
      <c r="AI151"/>
      <c r="AJ151" s="4660"/>
      <c r="AK151" s="3550" t="s">
        <v>12269</v>
      </c>
      <c r="AL151" s="3536" t="s">
        <v>12270</v>
      </c>
      <c r="AM151" s="3537">
        <v>70</v>
      </c>
      <c r="AN151" s="3538">
        <v>46</v>
      </c>
      <c r="AO151" s="3539">
        <v>1</v>
      </c>
      <c r="AQ151" s="3">
        <v>1</v>
      </c>
    </row>
    <row r="152" spans="2:43" ht="21" customHeight="1">
      <c r="B152" s="1256"/>
      <c r="V152" s="4661"/>
      <c r="W152" s="3558" t="s">
        <v>12271</v>
      </c>
      <c r="X152" s="3544" t="s">
        <v>12272</v>
      </c>
      <c r="Y152" s="3545">
        <v>140</v>
      </c>
      <c r="Z152" s="3546">
        <v>130</v>
      </c>
      <c r="AA152" s="3547">
        <v>182</v>
      </c>
      <c r="AB152"/>
      <c r="AC152" s="4662"/>
      <c r="AD152" s="3535" t="s">
        <v>12273</v>
      </c>
      <c r="AE152" s="3536" t="s">
        <v>12274</v>
      </c>
      <c r="AF152" s="3537">
        <v>205</v>
      </c>
      <c r="AG152" s="3538">
        <v>0</v>
      </c>
      <c r="AH152" s="3539">
        <v>205</v>
      </c>
      <c r="AI152"/>
      <c r="AJ152" s="4663"/>
      <c r="AK152" s="3550" t="s">
        <v>12275</v>
      </c>
      <c r="AL152" s="3536" t="s">
        <v>12276</v>
      </c>
      <c r="AM152" s="3537">
        <v>45</v>
      </c>
      <c r="AN152" s="3538">
        <v>36</v>
      </c>
      <c r="AO152" s="3539">
        <v>30</v>
      </c>
      <c r="AQ152" s="3">
        <v>1</v>
      </c>
    </row>
    <row r="153" spans="2:43" ht="21" customHeight="1">
      <c r="B153" s="1256"/>
      <c r="V153" s="4664"/>
      <c r="W153" s="3558" t="s">
        <v>12277</v>
      </c>
      <c r="X153" s="3544" t="s">
        <v>12278</v>
      </c>
      <c r="Y153" s="3545">
        <v>150</v>
      </c>
      <c r="Z153" s="3546">
        <v>144</v>
      </c>
      <c r="AA153" s="3547">
        <v>171</v>
      </c>
      <c r="AB153"/>
      <c r="AC153" s="4665"/>
      <c r="AD153" s="3535" t="s">
        <v>12279</v>
      </c>
      <c r="AE153" s="3536" t="s">
        <v>12280</v>
      </c>
      <c r="AF153" s="3537">
        <v>159</v>
      </c>
      <c r="AG153" s="3538">
        <v>95</v>
      </c>
      <c r="AH153" s="3539">
        <v>159</v>
      </c>
      <c r="AI153"/>
      <c r="AJ153" s="4666"/>
      <c r="AK153" s="3550" t="s">
        <v>12281</v>
      </c>
      <c r="AL153" s="3536" t="s">
        <v>12282</v>
      </c>
      <c r="AM153" s="3537">
        <v>47</v>
      </c>
      <c r="AN153" s="3538">
        <v>30</v>
      </c>
      <c r="AO153" s="3539">
        <v>14</v>
      </c>
      <c r="AQ153" s="3">
        <v>1</v>
      </c>
    </row>
    <row r="154" spans="2:43" ht="21" customHeight="1">
      <c r="B154" s="5726" t="s">
        <v>14225</v>
      </c>
      <c r="V154" s="4667"/>
      <c r="W154" s="3558" t="s">
        <v>12283</v>
      </c>
      <c r="X154" s="3544" t="s">
        <v>12284</v>
      </c>
      <c r="Y154" s="3545">
        <v>126</v>
      </c>
      <c r="Z154" s="3546">
        <v>115</v>
      </c>
      <c r="AA154" s="3547">
        <v>184</v>
      </c>
      <c r="AB154"/>
      <c r="AC154" s="4668"/>
      <c r="AD154" s="3535" t="s">
        <v>12285</v>
      </c>
      <c r="AE154" s="3536" t="s">
        <v>12286</v>
      </c>
      <c r="AF154" s="3537">
        <v>139</v>
      </c>
      <c r="AG154" s="3538">
        <v>123</v>
      </c>
      <c r="AH154" s="3539">
        <v>139</v>
      </c>
      <c r="AI154"/>
      <c r="AJ154" s="4669"/>
      <c r="AK154" s="3550" t="s">
        <v>12287</v>
      </c>
      <c r="AL154" s="3536" t="s">
        <v>12288</v>
      </c>
      <c r="AM154" s="3537">
        <v>19</v>
      </c>
      <c r="AN154" s="3538">
        <v>14</v>
      </c>
      <c r="AO154" s="3539">
        <v>10</v>
      </c>
      <c r="AQ154" s="3">
        <v>1</v>
      </c>
    </row>
    <row r="155" spans="2:43" ht="21" customHeight="1">
      <c r="B155" s="5726" t="s">
        <v>14228</v>
      </c>
      <c r="V155" s="4670"/>
      <c r="W155" s="3558" t="s">
        <v>12289</v>
      </c>
      <c r="X155" s="3544" t="s">
        <v>12290</v>
      </c>
      <c r="Y155" s="3545">
        <v>96</v>
      </c>
      <c r="Z155" s="3546">
        <v>78</v>
      </c>
      <c r="AA155" s="3547">
        <v>151</v>
      </c>
      <c r="AB155"/>
      <c r="AC155" s="4671"/>
      <c r="AD155" s="3535" t="s">
        <v>12291</v>
      </c>
      <c r="AE155" s="3536" t="s">
        <v>12292</v>
      </c>
      <c r="AF155" s="3537">
        <v>139</v>
      </c>
      <c r="AG155" s="3538">
        <v>102</v>
      </c>
      <c r="AH155" s="3539">
        <v>139</v>
      </c>
      <c r="AI155"/>
      <c r="AJ155" s="4672"/>
      <c r="AK155" s="3550" t="s">
        <v>12293</v>
      </c>
      <c r="AL155" s="3536" t="s">
        <v>12294</v>
      </c>
      <c r="AM155" s="3537">
        <v>255</v>
      </c>
      <c r="AN155" s="3538">
        <v>0</v>
      </c>
      <c r="AO155" s="3539">
        <v>0</v>
      </c>
      <c r="AQ155" s="3">
        <v>1</v>
      </c>
    </row>
    <row r="156" spans="2:43" ht="21" customHeight="1">
      <c r="B156" s="5726" t="s">
        <v>14231</v>
      </c>
      <c r="V156" s="4673"/>
      <c r="W156" s="3543" t="s">
        <v>12295</v>
      </c>
      <c r="X156" s="3544" t="s">
        <v>12296</v>
      </c>
      <c r="Y156" s="3545">
        <v>72</v>
      </c>
      <c r="Z156" s="3546">
        <v>61</v>
      </c>
      <c r="AA156" s="3547">
        <v>139</v>
      </c>
      <c r="AB156"/>
      <c r="AC156" s="4674"/>
      <c r="AD156" s="3578" t="s">
        <v>12297</v>
      </c>
      <c r="AE156" s="3536" t="s">
        <v>12298</v>
      </c>
      <c r="AF156" s="3537">
        <v>121</v>
      </c>
      <c r="AG156" s="3538">
        <v>104</v>
      </c>
      <c r="AH156" s="3539">
        <v>120</v>
      </c>
      <c r="AI156"/>
      <c r="AJ156" s="4675"/>
      <c r="AK156" s="3541" t="s">
        <v>12299</v>
      </c>
      <c r="AL156" s="3536" t="s">
        <v>12294</v>
      </c>
      <c r="AM156" s="3537">
        <v>255</v>
      </c>
      <c r="AN156" s="3538">
        <v>36</v>
      </c>
      <c r="AO156" s="3539">
        <v>0</v>
      </c>
      <c r="AQ156" s="3">
        <v>1</v>
      </c>
    </row>
    <row r="157" spans="2:43" ht="21" customHeight="1">
      <c r="B157" s="5726"/>
      <c r="V157" s="4676"/>
      <c r="W157" s="3543" t="s">
        <v>12300</v>
      </c>
      <c r="X157" s="3544" t="s">
        <v>12301</v>
      </c>
      <c r="Y157" s="3545">
        <v>71</v>
      </c>
      <c r="Z157" s="3546">
        <v>60</v>
      </c>
      <c r="AA157" s="3547">
        <v>139</v>
      </c>
      <c r="AB157"/>
      <c r="AC157" s="4677"/>
      <c r="AD157" s="3535" t="s">
        <v>12302</v>
      </c>
      <c r="AE157" s="3536" t="s">
        <v>12303</v>
      </c>
      <c r="AF157" s="3537">
        <v>139</v>
      </c>
      <c r="AG157" s="3538">
        <v>71</v>
      </c>
      <c r="AH157" s="3539">
        <v>137</v>
      </c>
      <c r="AI157"/>
      <c r="AJ157" s="4678"/>
      <c r="AK157" s="3541" t="s">
        <v>12304</v>
      </c>
      <c r="AL157" s="3536" t="s">
        <v>12294</v>
      </c>
      <c r="AM157" s="3537">
        <v>255</v>
      </c>
      <c r="AN157" s="3538">
        <v>69</v>
      </c>
      <c r="AO157" s="3539">
        <v>0</v>
      </c>
      <c r="AQ157" s="3">
        <v>1</v>
      </c>
    </row>
    <row r="158" spans="2:43" ht="21" customHeight="1">
      <c r="B158" s="5726" t="s">
        <v>14234</v>
      </c>
      <c r="V158" s="4679"/>
      <c r="W158" s="3558" t="s">
        <v>12305</v>
      </c>
      <c r="X158" s="3544" t="s">
        <v>12306</v>
      </c>
      <c r="Y158" s="3545">
        <v>46</v>
      </c>
      <c r="Z158" s="3546">
        <v>0</v>
      </c>
      <c r="AA158" s="3547">
        <v>108</v>
      </c>
      <c r="AB158"/>
      <c r="AC158" s="4680"/>
      <c r="AD158" s="3535" t="s">
        <v>12307</v>
      </c>
      <c r="AE158" s="3536" t="s">
        <v>12308</v>
      </c>
      <c r="AF158" s="3537">
        <v>139</v>
      </c>
      <c r="AG158" s="3538">
        <v>0</v>
      </c>
      <c r="AH158" s="3539">
        <v>139</v>
      </c>
      <c r="AI158"/>
      <c r="AJ158" s="4681"/>
      <c r="AK158" s="3550" t="s">
        <v>12309</v>
      </c>
      <c r="AL158" s="3536" t="s">
        <v>12294</v>
      </c>
      <c r="AM158" s="3537">
        <v>255</v>
      </c>
      <c r="AN158" s="3538">
        <v>73</v>
      </c>
      <c r="AO158" s="3539">
        <v>1</v>
      </c>
      <c r="AQ158" s="3">
        <v>1</v>
      </c>
    </row>
    <row r="159" spans="2:43" ht="21" customHeight="1">
      <c r="B159" s="5726" t="s">
        <v>14237</v>
      </c>
      <c r="V159" s="4682"/>
      <c r="W159" s="3543" t="s">
        <v>12310</v>
      </c>
      <c r="X159" s="3544" t="s">
        <v>12311</v>
      </c>
      <c r="Y159" s="3545">
        <v>188</v>
      </c>
      <c r="Z159" s="3546">
        <v>238</v>
      </c>
      <c r="AA159" s="3547">
        <v>104</v>
      </c>
      <c r="AB159"/>
      <c r="AC159" s="4683"/>
      <c r="AD159" s="3578" t="s">
        <v>12312</v>
      </c>
      <c r="AE159" s="3536" t="s">
        <v>12313</v>
      </c>
      <c r="AF159" s="3537">
        <v>128</v>
      </c>
      <c r="AG159" s="3538">
        <v>0</v>
      </c>
      <c r="AH159" s="3539">
        <v>128</v>
      </c>
      <c r="AI159"/>
      <c r="AJ159" s="4684"/>
      <c r="AK159" s="3550" t="s">
        <v>12314</v>
      </c>
      <c r="AL159" s="3536" t="s">
        <v>12315</v>
      </c>
      <c r="AM159" s="3537">
        <v>255</v>
      </c>
      <c r="AN159" s="3538">
        <v>9</v>
      </c>
      <c r="AO159" s="3539">
        <v>33</v>
      </c>
      <c r="AQ159" s="3">
        <v>1</v>
      </c>
    </row>
    <row r="160" spans="2:43" ht="21" customHeight="1">
      <c r="V160" s="4685"/>
      <c r="W160" s="3543" t="s">
        <v>12316</v>
      </c>
      <c r="X160" s="3544" t="s">
        <v>12317</v>
      </c>
      <c r="Y160" s="3545">
        <v>192</v>
      </c>
      <c r="Z160" s="3546">
        <v>255</v>
      </c>
      <c r="AA160" s="3547">
        <v>62</v>
      </c>
      <c r="AB160"/>
      <c r="AC160" s="4686"/>
      <c r="AD160" s="3535" t="s">
        <v>12318</v>
      </c>
      <c r="AE160" s="3536" t="s">
        <v>12319</v>
      </c>
      <c r="AF160" s="3537">
        <v>79</v>
      </c>
      <c r="AG160" s="3538">
        <v>47</v>
      </c>
      <c r="AH160" s="3539">
        <v>79</v>
      </c>
      <c r="AI160"/>
      <c r="AJ160" s="4687"/>
      <c r="AK160" s="3541" t="s">
        <v>12320</v>
      </c>
      <c r="AL160" s="3536" t="s">
        <v>12321</v>
      </c>
      <c r="AM160" s="3537">
        <v>255</v>
      </c>
      <c r="AN160" s="3538">
        <v>48</v>
      </c>
      <c r="AO160" s="3539">
        <v>48</v>
      </c>
      <c r="AQ160" s="3">
        <v>1</v>
      </c>
    </row>
    <row r="161" spans="1:43" ht="21" customHeight="1">
      <c r="V161" s="4688"/>
      <c r="W161" s="3558" t="s">
        <v>12322</v>
      </c>
      <c r="X161" s="3544" t="s">
        <v>12323</v>
      </c>
      <c r="Y161" s="3545">
        <v>190</v>
      </c>
      <c r="Z161" s="3546">
        <v>245</v>
      </c>
      <c r="AA161" s="3547">
        <v>116</v>
      </c>
      <c r="AB161"/>
      <c r="AC161" s="4689"/>
      <c r="AD161" s="3578" t="s">
        <v>12324</v>
      </c>
      <c r="AE161" s="3536" t="s">
        <v>12325</v>
      </c>
      <c r="AF161" s="3537">
        <v>41</v>
      </c>
      <c r="AG161" s="3538">
        <v>30</v>
      </c>
      <c r="AH161" s="3539">
        <v>41</v>
      </c>
      <c r="AI161"/>
      <c r="AJ161" s="4690"/>
      <c r="AK161" s="3541" t="s">
        <v>12326</v>
      </c>
      <c r="AL161" s="3536" t="s">
        <v>12327</v>
      </c>
      <c r="AM161" s="3537">
        <v>255</v>
      </c>
      <c r="AN161" s="3538">
        <v>64</v>
      </c>
      <c r="AO161" s="3539">
        <v>64</v>
      </c>
      <c r="AQ161" s="3">
        <v>1</v>
      </c>
    </row>
    <row r="162" spans="1:43" ht="21" customHeight="1">
      <c r="V162" s="4691"/>
      <c r="W162" s="3543" t="s">
        <v>12328</v>
      </c>
      <c r="X162" s="3544" t="s">
        <v>12329</v>
      </c>
      <c r="Y162" s="3545">
        <v>202</v>
      </c>
      <c r="Z162" s="3546">
        <v>255</v>
      </c>
      <c r="AA162" s="3547">
        <v>112</v>
      </c>
      <c r="AB162"/>
      <c r="AC162" s="4692"/>
      <c r="AD162" s="3578" t="s">
        <v>12330</v>
      </c>
      <c r="AE162" s="3536" t="s">
        <v>12331</v>
      </c>
      <c r="AF162" s="3537">
        <v>36</v>
      </c>
      <c r="AG162" s="3538">
        <v>33</v>
      </c>
      <c r="AH162" s="3539">
        <v>36</v>
      </c>
      <c r="AI162"/>
      <c r="AJ162" s="4693"/>
      <c r="AK162" s="3541" t="s">
        <v>12332</v>
      </c>
      <c r="AL162" s="3536" t="s">
        <v>12333</v>
      </c>
      <c r="AM162" s="3537">
        <v>255</v>
      </c>
      <c r="AN162" s="3538">
        <v>99</v>
      </c>
      <c r="AO162" s="3539">
        <v>71</v>
      </c>
      <c r="AQ162" s="3">
        <v>1</v>
      </c>
    </row>
    <row r="163" spans="1:43" ht="21" customHeight="1">
      <c r="V163" s="4694"/>
      <c r="W163" s="3558" t="s">
        <v>12334</v>
      </c>
      <c r="X163" s="3544" t="s">
        <v>12335</v>
      </c>
      <c r="Y163" s="3545">
        <v>251</v>
      </c>
      <c r="Z163" s="3546">
        <v>252</v>
      </c>
      <c r="AA163" s="3547">
        <v>250</v>
      </c>
      <c r="AB163"/>
      <c r="AC163" s="4695"/>
      <c r="AD163" s="3535" t="s">
        <v>12336</v>
      </c>
      <c r="AE163" s="3536" t="s">
        <v>12337</v>
      </c>
      <c r="AF163" s="3537">
        <v>227</v>
      </c>
      <c r="AG163" s="3538">
        <v>91</v>
      </c>
      <c r="AH163" s="3539">
        <v>216</v>
      </c>
      <c r="AI163"/>
      <c r="AJ163" s="4696"/>
      <c r="AK163" s="3550" t="s">
        <v>12338</v>
      </c>
      <c r="AL163" s="3536" t="s">
        <v>12339</v>
      </c>
      <c r="AM163" s="3537">
        <v>255</v>
      </c>
      <c r="AN163" s="3538">
        <v>94</v>
      </c>
      <c r="AO163" s="3539">
        <v>77</v>
      </c>
      <c r="AQ163" s="3">
        <v>1</v>
      </c>
    </row>
    <row r="164" spans="1:43" ht="21" customHeight="1">
      <c r="V164" s="4697"/>
      <c r="W164" s="3543" t="s">
        <v>12340</v>
      </c>
      <c r="X164" s="3544" t="s">
        <v>12341</v>
      </c>
      <c r="Y164" s="3545">
        <v>179</v>
      </c>
      <c r="Z164" s="3546">
        <v>238</v>
      </c>
      <c r="AA164" s="3547">
        <v>58</v>
      </c>
      <c r="AB164"/>
      <c r="AC164" s="4698"/>
      <c r="AD164" s="3578" t="s">
        <v>12342</v>
      </c>
      <c r="AE164" s="3536" t="s">
        <v>12343</v>
      </c>
      <c r="AF164" s="3537">
        <v>84</v>
      </c>
      <c r="AG164" s="3538">
        <v>25</v>
      </c>
      <c r="AH164" s="3539">
        <v>78</v>
      </c>
      <c r="AI164"/>
      <c r="AJ164" s="4699"/>
      <c r="AK164" s="3550" t="s">
        <v>12344</v>
      </c>
      <c r="AL164" s="3536" t="s">
        <v>12345</v>
      </c>
      <c r="AM164" s="3537">
        <v>252</v>
      </c>
      <c r="AN164" s="3538">
        <v>93</v>
      </c>
      <c r="AO164" s="3539">
        <v>93</v>
      </c>
      <c r="AQ164" s="3">
        <v>1</v>
      </c>
    </row>
    <row r="165" spans="1:43" ht="21" customHeight="1">
      <c r="A165" s="633"/>
      <c r="V165" s="4700"/>
      <c r="W165" s="3558" t="s">
        <v>12346</v>
      </c>
      <c r="X165" s="3544" t="s">
        <v>12347</v>
      </c>
      <c r="Y165" s="3545">
        <v>165</v>
      </c>
      <c r="Z165" s="3546">
        <v>209</v>
      </c>
      <c r="AA165" s="3547">
        <v>82</v>
      </c>
      <c r="AB165"/>
      <c r="AC165" s="4701"/>
      <c r="AD165" s="3550" t="s">
        <v>12348</v>
      </c>
      <c r="AE165" s="3536" t="s">
        <v>12349</v>
      </c>
      <c r="AF165" s="3537">
        <v>52</v>
      </c>
      <c r="AG165" s="3538">
        <v>23</v>
      </c>
      <c r="AH165" s="3539">
        <v>49</v>
      </c>
      <c r="AI165"/>
      <c r="AJ165" s="4702"/>
      <c r="AK165" s="3550" t="s">
        <v>12350</v>
      </c>
      <c r="AL165" s="3536" t="s">
        <v>12351</v>
      </c>
      <c r="AM165" s="3537">
        <v>217</v>
      </c>
      <c r="AN165" s="3538">
        <v>166</v>
      </c>
      <c r="AO165" s="3539">
        <v>169</v>
      </c>
      <c r="AQ165" s="3">
        <v>1</v>
      </c>
    </row>
    <row r="166" spans="1:43" ht="21" customHeight="1">
      <c r="V166" s="4703"/>
      <c r="W166" s="3543" t="s">
        <v>12352</v>
      </c>
      <c r="X166" s="3544" t="s">
        <v>12353</v>
      </c>
      <c r="Y166" s="3545">
        <v>162</v>
      </c>
      <c r="Z166" s="3546">
        <v>205</v>
      </c>
      <c r="AA166" s="3547">
        <v>90</v>
      </c>
      <c r="AB166"/>
      <c r="AC166" s="4704"/>
      <c r="AD166" s="3550" t="s">
        <v>12354</v>
      </c>
      <c r="AE166" s="3536" t="s">
        <v>12355</v>
      </c>
      <c r="AF166" s="3537">
        <v>213</v>
      </c>
      <c r="AG166" s="3538">
        <v>186</v>
      </c>
      <c r="AH166" s="3539">
        <v>219</v>
      </c>
      <c r="AI166"/>
      <c r="AJ166" s="4705"/>
      <c r="AK166" s="3541" t="s">
        <v>12356</v>
      </c>
      <c r="AL166" s="3536" t="s">
        <v>12357</v>
      </c>
      <c r="AM166" s="3537">
        <v>240</v>
      </c>
      <c r="AN166" s="3538">
        <v>128</v>
      </c>
      <c r="AO166" s="3539">
        <v>128</v>
      </c>
      <c r="AQ166" s="3">
        <v>1</v>
      </c>
    </row>
    <row r="167" spans="1:43" ht="21" customHeight="1">
      <c r="V167" s="4706"/>
      <c r="W167" s="3543" t="s">
        <v>12358</v>
      </c>
      <c r="X167" s="3544" t="s">
        <v>12359</v>
      </c>
      <c r="Y167" s="3545">
        <v>154</v>
      </c>
      <c r="Z167" s="3546">
        <v>205</v>
      </c>
      <c r="AA167" s="3547">
        <v>50</v>
      </c>
      <c r="AB167"/>
      <c r="AC167" s="4707"/>
      <c r="AD167" s="3550" t="s">
        <v>12360</v>
      </c>
      <c r="AE167" s="3536" t="s">
        <v>12361</v>
      </c>
      <c r="AF167" s="3537">
        <v>108</v>
      </c>
      <c r="AG167" s="3538">
        <v>2</v>
      </c>
      <c r="AH167" s="3539">
        <v>119</v>
      </c>
      <c r="AI167"/>
      <c r="AJ167" s="4708"/>
      <c r="AK167" s="3550" t="s">
        <v>12362</v>
      </c>
      <c r="AL167" s="3536" t="s">
        <v>12363</v>
      </c>
      <c r="AM167" s="3537">
        <v>222</v>
      </c>
      <c r="AN167" s="3538">
        <v>165</v>
      </c>
      <c r="AO167" s="3539">
        <v>164</v>
      </c>
      <c r="AQ167" s="3">
        <v>1</v>
      </c>
    </row>
    <row r="168" spans="1:43" ht="21" customHeight="1">
      <c r="V168" s="4709"/>
      <c r="W168" s="3543" t="s">
        <v>12364</v>
      </c>
      <c r="X168" s="3544" t="s">
        <v>12365</v>
      </c>
      <c r="Y168" s="3545">
        <v>153</v>
      </c>
      <c r="Z168" s="3546">
        <v>204</v>
      </c>
      <c r="AA168" s="3547">
        <v>50</v>
      </c>
      <c r="AB168"/>
      <c r="AC168" s="4710"/>
      <c r="AD168" s="3550" t="s">
        <v>12366</v>
      </c>
      <c r="AE168" s="3536" t="s">
        <v>12367</v>
      </c>
      <c r="AF168" s="3537">
        <v>48</v>
      </c>
      <c r="AG168" s="3538">
        <v>25</v>
      </c>
      <c r="AH168" s="3539">
        <v>52</v>
      </c>
      <c r="AI168"/>
      <c r="AJ168" s="4711"/>
      <c r="AK168" s="3550" t="s">
        <v>12368</v>
      </c>
      <c r="AL168" s="3536" t="s">
        <v>12369</v>
      </c>
      <c r="AM168" s="3537">
        <v>234</v>
      </c>
      <c r="AN168" s="3538">
        <v>147</v>
      </c>
      <c r="AO168" s="3539">
        <v>153</v>
      </c>
      <c r="AQ168" s="3">
        <v>1</v>
      </c>
    </row>
    <row r="169" spans="1:43" ht="21" customHeight="1">
      <c r="V169" s="4712"/>
      <c r="W169" s="3543" t="s">
        <v>12370</v>
      </c>
      <c r="X169" s="3544" t="s">
        <v>12371</v>
      </c>
      <c r="Y169" s="3545">
        <v>110</v>
      </c>
      <c r="Z169" s="3546">
        <v>139</v>
      </c>
      <c r="AA169" s="3547">
        <v>61</v>
      </c>
      <c r="AB169"/>
      <c r="AC169" s="4713"/>
      <c r="AD169" s="3541" t="s">
        <v>12259</v>
      </c>
      <c r="AE169" s="3536" t="s">
        <v>12372</v>
      </c>
      <c r="AF169" s="3537">
        <v>0</v>
      </c>
      <c r="AG169" s="3538">
        <v>127</v>
      </c>
      <c r="AH169" s="3539">
        <v>255</v>
      </c>
      <c r="AI169"/>
      <c r="AJ169" s="4714"/>
      <c r="AK169" s="3541" t="s">
        <v>12373</v>
      </c>
      <c r="AL169" s="3536" t="s">
        <v>12374</v>
      </c>
      <c r="AM169" s="3537">
        <v>250</v>
      </c>
      <c r="AN169" s="3538">
        <v>128</v>
      </c>
      <c r="AO169" s="3539">
        <v>114</v>
      </c>
      <c r="AQ169" s="3">
        <v>1</v>
      </c>
    </row>
    <row r="170" spans="1:43" ht="21" customHeight="1">
      <c r="V170" s="4715"/>
      <c r="W170" s="3543" t="s">
        <v>12375</v>
      </c>
      <c r="X170" s="3544" t="s">
        <v>12376</v>
      </c>
      <c r="Y170" s="3545">
        <v>107</v>
      </c>
      <c r="Z170" s="3546">
        <v>142</v>
      </c>
      <c r="AA170" s="3547">
        <v>35</v>
      </c>
      <c r="AB170"/>
      <c r="AC170" s="4716"/>
      <c r="AD170" s="3541" t="s">
        <v>12377</v>
      </c>
      <c r="AE170" s="3536" t="s">
        <v>12378</v>
      </c>
      <c r="AF170" s="3537">
        <v>30</v>
      </c>
      <c r="AG170" s="3538">
        <v>144</v>
      </c>
      <c r="AH170" s="3539">
        <v>255</v>
      </c>
      <c r="AI170"/>
      <c r="AJ170" s="4717"/>
      <c r="AK170" s="3550" t="s">
        <v>12379</v>
      </c>
      <c r="AL170" s="3536" t="s">
        <v>12380</v>
      </c>
      <c r="AM170" s="3537">
        <v>248</v>
      </c>
      <c r="AN170" s="3538">
        <v>131</v>
      </c>
      <c r="AO170" s="3539">
        <v>121</v>
      </c>
      <c r="AQ170" s="3">
        <v>1</v>
      </c>
    </row>
    <row r="171" spans="1:43" ht="21" customHeight="1">
      <c r="V171" s="4718"/>
      <c r="W171" s="3543" t="s">
        <v>12381</v>
      </c>
      <c r="X171" s="3544" t="s">
        <v>12382</v>
      </c>
      <c r="Y171" s="3545">
        <v>105</v>
      </c>
      <c r="Z171" s="3546">
        <v>139</v>
      </c>
      <c r="AA171" s="3547">
        <v>34</v>
      </c>
      <c r="AB171"/>
      <c r="AC171" s="4719"/>
      <c r="AD171" s="3550" t="s">
        <v>12383</v>
      </c>
      <c r="AE171" s="3536" t="s">
        <v>12384</v>
      </c>
      <c r="AF171" s="3537">
        <v>192</v>
      </c>
      <c r="AG171" s="3538">
        <v>200</v>
      </c>
      <c r="AH171" s="3539">
        <v>225</v>
      </c>
      <c r="AI171"/>
      <c r="AJ171" s="4720"/>
      <c r="AK171" s="3541" t="s">
        <v>12385</v>
      </c>
      <c r="AL171" s="3536" t="s">
        <v>12386</v>
      </c>
      <c r="AM171" s="3537">
        <v>255</v>
      </c>
      <c r="AN171" s="3538">
        <v>106</v>
      </c>
      <c r="AO171" s="3539">
        <v>106</v>
      </c>
      <c r="AQ171" s="3">
        <v>1</v>
      </c>
    </row>
    <row r="172" spans="1:43" ht="21" customHeight="1">
      <c r="V172" s="4721"/>
      <c r="W172" s="3543" t="s">
        <v>12387</v>
      </c>
      <c r="X172" s="3544" t="s">
        <v>12388</v>
      </c>
      <c r="Y172" s="3545">
        <v>85</v>
      </c>
      <c r="Z172" s="3546">
        <v>107</v>
      </c>
      <c r="AA172" s="3547">
        <v>47</v>
      </c>
      <c r="AB172"/>
      <c r="AC172" s="4722"/>
      <c r="AD172" s="3541" t="s">
        <v>12389</v>
      </c>
      <c r="AE172" s="3536" t="s">
        <v>12390</v>
      </c>
      <c r="AF172" s="3537">
        <v>100</v>
      </c>
      <c r="AG172" s="3538">
        <v>149</v>
      </c>
      <c r="AH172" s="3539">
        <v>237</v>
      </c>
      <c r="AI172"/>
      <c r="AJ172" s="4723"/>
      <c r="AK172" s="3550" t="s">
        <v>12391</v>
      </c>
      <c r="AL172" s="3536" t="s">
        <v>12392</v>
      </c>
      <c r="AM172" s="3537">
        <v>255</v>
      </c>
      <c r="AN172" s="3538">
        <v>111</v>
      </c>
      <c r="AO172" s="3539">
        <v>125</v>
      </c>
      <c r="AQ172" s="3">
        <v>1</v>
      </c>
    </row>
    <row r="173" spans="1:43" ht="21" customHeight="1">
      <c r="V173" s="4724"/>
      <c r="W173" s="3558" t="s">
        <v>12393</v>
      </c>
      <c r="X173" s="3544" t="s">
        <v>12394</v>
      </c>
      <c r="Y173" s="3545">
        <v>49</v>
      </c>
      <c r="Z173" s="3546">
        <v>54</v>
      </c>
      <c r="AA173" s="3547">
        <v>43</v>
      </c>
      <c r="AB173"/>
      <c r="AC173" s="4725"/>
      <c r="AD173" s="3541" t="s">
        <v>12395</v>
      </c>
      <c r="AE173" s="3536" t="s">
        <v>12396</v>
      </c>
      <c r="AF173" s="3537">
        <v>112</v>
      </c>
      <c r="AG173" s="3538">
        <v>147</v>
      </c>
      <c r="AH173" s="3539">
        <v>219</v>
      </c>
      <c r="AI173"/>
      <c r="AJ173" s="4726"/>
      <c r="AK173" s="3541" t="s">
        <v>12397</v>
      </c>
      <c r="AL173" s="3536" t="s">
        <v>12398</v>
      </c>
      <c r="AM173" s="3537">
        <v>205</v>
      </c>
      <c r="AN173" s="3538">
        <v>201</v>
      </c>
      <c r="AO173" s="3539">
        <v>201</v>
      </c>
      <c r="AQ173" s="3">
        <v>1</v>
      </c>
    </row>
    <row r="174" spans="1:43" ht="21" customHeight="1">
      <c r="V174" s="4727"/>
      <c r="W174" s="3558" t="s">
        <v>12399</v>
      </c>
      <c r="X174" s="3544" t="s">
        <v>12400</v>
      </c>
      <c r="Y174" s="3545">
        <v>194</v>
      </c>
      <c r="Z174" s="3546">
        <v>247</v>
      </c>
      <c r="AA174" s="3547">
        <v>50</v>
      </c>
      <c r="AB174"/>
      <c r="AC174" s="4728"/>
      <c r="AD174" s="3541" t="s">
        <v>12401</v>
      </c>
      <c r="AE174" s="3536" t="s">
        <v>12402</v>
      </c>
      <c r="AF174" s="3537">
        <v>28</v>
      </c>
      <c r="AG174" s="3538">
        <v>134</v>
      </c>
      <c r="AH174" s="3539">
        <v>238</v>
      </c>
      <c r="AI174"/>
      <c r="AJ174" s="4729"/>
      <c r="AK174" s="3550" t="s">
        <v>12403</v>
      </c>
      <c r="AL174" s="3536" t="s">
        <v>12404</v>
      </c>
      <c r="AM174" s="3537">
        <v>254</v>
      </c>
      <c r="AN174" s="3538">
        <v>150</v>
      </c>
      <c r="AO174" s="3539">
        <v>160</v>
      </c>
      <c r="AQ174" s="3">
        <v>1</v>
      </c>
    </row>
    <row r="175" spans="1:43" ht="21" customHeight="1">
      <c r="V175" s="4730"/>
      <c r="W175" s="3558" t="s">
        <v>12405</v>
      </c>
      <c r="X175" s="3544" t="s">
        <v>12406</v>
      </c>
      <c r="Y175" s="3545">
        <v>141</v>
      </c>
      <c r="Z175" s="3546">
        <v>182</v>
      </c>
      <c r="AA175" s="3547">
        <v>0</v>
      </c>
      <c r="AB175"/>
      <c r="AC175" s="4731"/>
      <c r="AD175" s="3550" t="s">
        <v>12407</v>
      </c>
      <c r="AE175" s="3536" t="s">
        <v>12408</v>
      </c>
      <c r="AF175" s="3537">
        <v>142</v>
      </c>
      <c r="AG175" s="3538">
        <v>162</v>
      </c>
      <c r="AH175" s="3539">
        <v>198</v>
      </c>
      <c r="AI175"/>
      <c r="AJ175" s="4732"/>
      <c r="AK175" s="3541" t="s">
        <v>12409</v>
      </c>
      <c r="AL175" s="3536" t="s">
        <v>12410</v>
      </c>
      <c r="AM175" s="3537">
        <v>238</v>
      </c>
      <c r="AN175" s="3538">
        <v>180</v>
      </c>
      <c r="AO175" s="3539">
        <v>180</v>
      </c>
      <c r="AQ175" s="3">
        <v>1</v>
      </c>
    </row>
    <row r="176" spans="1:43" ht="21" customHeight="1">
      <c r="V176" s="4733"/>
      <c r="W176" s="3558" t="s">
        <v>12411</v>
      </c>
      <c r="X176" s="3544" t="s">
        <v>12412</v>
      </c>
      <c r="Y176" s="3545">
        <v>126</v>
      </c>
      <c r="Z176" s="3546">
        <v>159</v>
      </c>
      <c r="AA176" s="3547">
        <v>46</v>
      </c>
      <c r="AB176"/>
      <c r="AC176" s="4734"/>
      <c r="AD176" s="3550" t="s">
        <v>12413</v>
      </c>
      <c r="AE176" s="3536" t="s">
        <v>12414</v>
      </c>
      <c r="AF176" s="3537">
        <v>49</v>
      </c>
      <c r="AG176" s="3538">
        <v>140</v>
      </c>
      <c r="AH176" s="3539">
        <v>231</v>
      </c>
      <c r="AI176"/>
      <c r="AJ176" s="4735"/>
      <c r="AK176" s="3550" t="s">
        <v>12415</v>
      </c>
      <c r="AL176" s="3536" t="s">
        <v>12416</v>
      </c>
      <c r="AM176" s="3537">
        <v>244</v>
      </c>
      <c r="AN176" s="3538">
        <v>194</v>
      </c>
      <c r="AO176" s="3539">
        <v>194</v>
      </c>
      <c r="AQ176" s="3">
        <v>1</v>
      </c>
    </row>
    <row r="177" spans="22:43" ht="21" customHeight="1">
      <c r="V177" s="4736"/>
      <c r="W177" s="3558" t="s">
        <v>12417</v>
      </c>
      <c r="X177" s="3544" t="s">
        <v>12418</v>
      </c>
      <c r="Y177" s="3545">
        <v>112</v>
      </c>
      <c r="Z177" s="3546">
        <v>141</v>
      </c>
      <c r="AA177" s="3547">
        <v>35</v>
      </c>
      <c r="AB177"/>
      <c r="AC177" s="4737"/>
      <c r="AD177" s="3541" t="s">
        <v>12419</v>
      </c>
      <c r="AE177" s="3536" t="s">
        <v>12420</v>
      </c>
      <c r="AF177" s="3537">
        <v>24</v>
      </c>
      <c r="AG177" s="3538">
        <v>116</v>
      </c>
      <c r="AH177" s="3539">
        <v>205</v>
      </c>
      <c r="AI177"/>
      <c r="AJ177" s="4738"/>
      <c r="AK177" s="3550" t="s">
        <v>12421</v>
      </c>
      <c r="AL177" s="3536" t="s">
        <v>12422</v>
      </c>
      <c r="AM177" s="3537">
        <v>255</v>
      </c>
      <c r="AN177" s="3538">
        <v>181</v>
      </c>
      <c r="AO177" s="3539">
        <v>186</v>
      </c>
      <c r="AQ177" s="3">
        <v>1</v>
      </c>
    </row>
    <row r="178" spans="22:43" ht="21" customHeight="1">
      <c r="V178" s="4739"/>
      <c r="W178" s="3558" t="s">
        <v>12423</v>
      </c>
      <c r="X178" s="3544" t="s">
        <v>12424</v>
      </c>
      <c r="Y178" s="3545">
        <v>89</v>
      </c>
      <c r="Z178" s="3546">
        <v>102</v>
      </c>
      <c r="AA178" s="3547">
        <v>67</v>
      </c>
      <c r="AB178"/>
      <c r="AC178" s="4740"/>
      <c r="AD178" s="3550" t="s">
        <v>12425</v>
      </c>
      <c r="AE178" s="3536" t="s">
        <v>12426</v>
      </c>
      <c r="AF178" s="3537">
        <v>21</v>
      </c>
      <c r="AG178" s="3538">
        <v>96</v>
      </c>
      <c r="AH178" s="3539">
        <v>189</v>
      </c>
      <c r="AI178"/>
      <c r="AJ178" s="4741"/>
      <c r="AK178" s="3550" t="s">
        <v>12427</v>
      </c>
      <c r="AL178" s="3536" t="s">
        <v>12428</v>
      </c>
      <c r="AM178" s="3537">
        <v>234</v>
      </c>
      <c r="AN178" s="3538">
        <v>216</v>
      </c>
      <c r="AO178" s="3539">
        <v>215</v>
      </c>
      <c r="AQ178" s="3">
        <v>1</v>
      </c>
    </row>
    <row r="179" spans="22:43" ht="21" customHeight="1">
      <c r="V179" s="4742"/>
      <c r="W179" s="3558" t="s">
        <v>12429</v>
      </c>
      <c r="X179" s="3544" t="s">
        <v>12430</v>
      </c>
      <c r="Y179" s="3545">
        <v>81</v>
      </c>
      <c r="Z179" s="3546">
        <v>87</v>
      </c>
      <c r="AA179" s="3547">
        <v>68</v>
      </c>
      <c r="AB179"/>
      <c r="AC179" s="4743"/>
      <c r="AD179" s="3550" t="s">
        <v>12431</v>
      </c>
      <c r="AE179" s="3536" t="s">
        <v>12432</v>
      </c>
      <c r="AF179" s="3537">
        <v>84</v>
      </c>
      <c r="AG179" s="3538">
        <v>114</v>
      </c>
      <c r="AH179" s="3539">
        <v>174</v>
      </c>
      <c r="AI179"/>
      <c r="AJ179" s="4744"/>
      <c r="AK179" s="3541" t="s">
        <v>12433</v>
      </c>
      <c r="AL179" s="3536" t="s">
        <v>12434</v>
      </c>
      <c r="AM179" s="3537">
        <v>255</v>
      </c>
      <c r="AN179" s="3538">
        <v>193</v>
      </c>
      <c r="AO179" s="3539">
        <v>193</v>
      </c>
      <c r="AQ179" s="3">
        <v>1</v>
      </c>
    </row>
    <row r="180" spans="22:43" ht="21" customHeight="1">
      <c r="V180" s="4745"/>
      <c r="W180" s="3558" t="s">
        <v>12435</v>
      </c>
      <c r="X180" s="3544" t="s">
        <v>12436</v>
      </c>
      <c r="Y180" s="3545">
        <v>74</v>
      </c>
      <c r="Z180" s="3546">
        <v>93</v>
      </c>
      <c r="AA180" s="3547">
        <v>35</v>
      </c>
      <c r="AB180"/>
      <c r="AC180" s="4746"/>
      <c r="AD180" s="3550" t="s">
        <v>12437</v>
      </c>
      <c r="AE180" s="3536" t="s">
        <v>12438</v>
      </c>
      <c r="AF180" s="3537">
        <v>38</v>
      </c>
      <c r="AG180" s="3538">
        <v>97</v>
      </c>
      <c r="AH180" s="3539">
        <v>156</v>
      </c>
      <c r="AI180"/>
      <c r="AJ180" s="4747"/>
      <c r="AK180" s="3550" t="s">
        <v>12439</v>
      </c>
      <c r="AL180" s="3536" t="s">
        <v>12440</v>
      </c>
      <c r="AM180" s="3537">
        <v>249</v>
      </c>
      <c r="AN180" s="3538">
        <v>204</v>
      </c>
      <c r="AO180" s="3539">
        <v>202</v>
      </c>
      <c r="AQ180" s="3">
        <v>1</v>
      </c>
    </row>
    <row r="181" spans="22:43" ht="21" customHeight="1">
      <c r="V181" s="4748"/>
      <c r="W181" s="3558" t="s">
        <v>12441</v>
      </c>
      <c r="X181" s="3544" t="s">
        <v>12442</v>
      </c>
      <c r="Y181" s="3545">
        <v>64</v>
      </c>
      <c r="Z181" s="3546">
        <v>79</v>
      </c>
      <c r="AA181" s="3547">
        <v>0</v>
      </c>
      <c r="AB181"/>
      <c r="AC181" s="4749"/>
      <c r="AD181" s="3550" t="s">
        <v>12443</v>
      </c>
      <c r="AE181" s="3536" t="s">
        <v>12444</v>
      </c>
      <c r="AF181" s="3537">
        <v>66</v>
      </c>
      <c r="AG181" s="3538">
        <v>91</v>
      </c>
      <c r="AH181" s="3539">
        <v>138</v>
      </c>
      <c r="AI181"/>
      <c r="AJ181" s="4750"/>
      <c r="AK181" s="3541" t="s">
        <v>12445</v>
      </c>
      <c r="AL181" s="3536" t="s">
        <v>12446</v>
      </c>
      <c r="AM181" s="3537">
        <v>238</v>
      </c>
      <c r="AN181" s="3538">
        <v>233</v>
      </c>
      <c r="AO181" s="3539">
        <v>233</v>
      </c>
      <c r="AQ181" s="3">
        <v>1</v>
      </c>
    </row>
    <row r="182" spans="22:43" ht="21" customHeight="1">
      <c r="V182" s="4751"/>
      <c r="W182" s="3558" t="s">
        <v>12447</v>
      </c>
      <c r="X182" s="3544" t="s">
        <v>12448</v>
      </c>
      <c r="Y182" s="3545">
        <v>35</v>
      </c>
      <c r="Z182" s="3546">
        <v>47</v>
      </c>
      <c r="AA182" s="3547">
        <v>0</v>
      </c>
      <c r="AB182"/>
      <c r="AC182" s="4752"/>
      <c r="AD182" s="3541" t="s">
        <v>12449</v>
      </c>
      <c r="AE182" s="3536" t="s">
        <v>12450</v>
      </c>
      <c r="AF182" s="3537">
        <v>16</v>
      </c>
      <c r="AG182" s="3538">
        <v>78</v>
      </c>
      <c r="AH182" s="3539">
        <v>139</v>
      </c>
      <c r="AI182"/>
      <c r="AJ182" s="4753"/>
      <c r="AK182" s="3541" t="s">
        <v>12451</v>
      </c>
      <c r="AL182" s="3536" t="s">
        <v>12452</v>
      </c>
      <c r="AM182" s="3537">
        <v>255</v>
      </c>
      <c r="AN182" s="3538">
        <v>250</v>
      </c>
      <c r="AO182" s="3539">
        <v>250</v>
      </c>
      <c r="AQ182" s="3">
        <v>1</v>
      </c>
    </row>
    <row r="183" spans="22:43" ht="21" customHeight="1">
      <c r="V183" s="4754"/>
      <c r="W183" s="3558" t="s">
        <v>12453</v>
      </c>
      <c r="X183" s="3544" t="s">
        <v>12454</v>
      </c>
      <c r="Y183" s="3545">
        <v>158</v>
      </c>
      <c r="Z183" s="3546">
        <v>253</v>
      </c>
      <c r="AA183" s="3547">
        <v>56</v>
      </c>
      <c r="AB183"/>
      <c r="AC183" s="4755"/>
      <c r="AD183" s="3550" t="s">
        <v>12455</v>
      </c>
      <c r="AE183" s="3536" t="s">
        <v>12456</v>
      </c>
      <c r="AF183" s="3537">
        <v>90</v>
      </c>
      <c r="AG183" s="3538">
        <v>94</v>
      </c>
      <c r="AH183" s="3539">
        <v>107</v>
      </c>
      <c r="AI183"/>
      <c r="AJ183" s="4756"/>
      <c r="AK183" s="3550" t="s">
        <v>12457</v>
      </c>
      <c r="AL183" s="3536" t="s">
        <v>12458</v>
      </c>
      <c r="AM183" s="3537">
        <v>254</v>
      </c>
      <c r="AN183" s="3538">
        <v>27</v>
      </c>
      <c r="AO183" s="3539">
        <v>0</v>
      </c>
      <c r="AQ183" s="3">
        <v>1</v>
      </c>
    </row>
    <row r="184" spans="22:43" ht="21" customHeight="1">
      <c r="V184" s="4757"/>
      <c r="W184" s="3543" t="s">
        <v>12459</v>
      </c>
      <c r="X184" s="3544" t="s">
        <v>12460</v>
      </c>
      <c r="Y184" s="3545">
        <v>173</v>
      </c>
      <c r="Z184" s="3546">
        <v>255</v>
      </c>
      <c r="AA184" s="3547">
        <v>47</v>
      </c>
      <c r="AB184"/>
      <c r="AC184" s="4758"/>
      <c r="AD184" s="3550" t="s">
        <v>12461</v>
      </c>
      <c r="AE184" s="3536" t="s">
        <v>12462</v>
      </c>
      <c r="AF184" s="3537">
        <v>34</v>
      </c>
      <c r="AG184" s="3538">
        <v>66</v>
      </c>
      <c r="AH184" s="3539">
        <v>124</v>
      </c>
      <c r="AI184"/>
      <c r="AJ184" s="4759"/>
      <c r="AK184" s="3541" t="s">
        <v>12463</v>
      </c>
      <c r="AL184" s="3536" t="s">
        <v>12464</v>
      </c>
      <c r="AM184" s="3537">
        <v>238</v>
      </c>
      <c r="AN184" s="3538">
        <v>99</v>
      </c>
      <c r="AO184" s="3539">
        <v>99</v>
      </c>
      <c r="AQ184" s="3">
        <v>1</v>
      </c>
    </row>
    <row r="185" spans="22:43" ht="21" customHeight="1">
      <c r="V185" s="4760"/>
      <c r="W185" s="3558" t="s">
        <v>12465</v>
      </c>
      <c r="X185" s="3544" t="s">
        <v>12466</v>
      </c>
      <c r="Y185" s="3545">
        <v>159</v>
      </c>
      <c r="Z185" s="3546">
        <v>232</v>
      </c>
      <c r="AA185" s="3547">
        <v>85</v>
      </c>
      <c r="AB185"/>
      <c r="AC185" s="4761"/>
      <c r="AD185" s="3550" t="s">
        <v>12467</v>
      </c>
      <c r="AE185" s="3536" t="s">
        <v>12468</v>
      </c>
      <c r="AF185" s="3537">
        <v>0</v>
      </c>
      <c r="AG185" s="3538">
        <v>51</v>
      </c>
      <c r="AH185" s="3539">
        <v>102</v>
      </c>
      <c r="AI185"/>
      <c r="AJ185" s="4762"/>
      <c r="AK185" s="3550" t="s">
        <v>12469</v>
      </c>
      <c r="AL185" s="3536" t="s">
        <v>12470</v>
      </c>
      <c r="AM185" s="3537">
        <v>196</v>
      </c>
      <c r="AN185" s="3538">
        <v>174</v>
      </c>
      <c r="AO185" s="3539">
        <v>173</v>
      </c>
      <c r="AQ185" s="3">
        <v>1</v>
      </c>
    </row>
    <row r="186" spans="22:43" ht="21" customHeight="1">
      <c r="V186" s="4763"/>
      <c r="W186" s="3558" t="s">
        <v>12471</v>
      </c>
      <c r="X186" s="3544" t="s">
        <v>12472</v>
      </c>
      <c r="Y186" s="3545">
        <v>123</v>
      </c>
      <c r="Z186" s="3546">
        <v>160</v>
      </c>
      <c r="AA186" s="3547">
        <v>91</v>
      </c>
      <c r="AB186"/>
      <c r="AC186" s="4764"/>
      <c r="AD186" s="3550" t="s">
        <v>12473</v>
      </c>
      <c r="AE186" s="3536" t="s">
        <v>12474</v>
      </c>
      <c r="AF186" s="3537">
        <v>3</v>
      </c>
      <c r="AG186" s="3538">
        <v>34</v>
      </c>
      <c r="AH186" s="3539">
        <v>76</v>
      </c>
      <c r="AI186"/>
      <c r="AJ186" s="4765"/>
      <c r="AK186" s="3541" t="s">
        <v>12475</v>
      </c>
      <c r="AL186" s="3536" t="s">
        <v>12476</v>
      </c>
      <c r="AM186" s="3537">
        <v>205</v>
      </c>
      <c r="AN186" s="3538">
        <v>155</v>
      </c>
      <c r="AO186" s="3539">
        <v>155</v>
      </c>
      <c r="AQ186" s="3">
        <v>1</v>
      </c>
    </row>
    <row r="187" spans="22:43" ht="21" customHeight="1">
      <c r="V187" s="4766"/>
      <c r="W187" s="3558" t="s">
        <v>12477</v>
      </c>
      <c r="X187" s="3544" t="s">
        <v>12478</v>
      </c>
      <c r="Y187" s="3545">
        <v>86</v>
      </c>
      <c r="Z187" s="3546">
        <v>130</v>
      </c>
      <c r="AA187" s="3547">
        <v>3</v>
      </c>
      <c r="AB187"/>
      <c r="AC187" s="4767"/>
      <c r="AD187" s="3541" t="s">
        <v>12479</v>
      </c>
      <c r="AE187" s="3536" t="s">
        <v>12480</v>
      </c>
      <c r="AF187" s="3537">
        <v>127</v>
      </c>
      <c r="AG187" s="3538">
        <v>0</v>
      </c>
      <c r="AH187" s="3539">
        <v>255</v>
      </c>
      <c r="AI187"/>
      <c r="AJ187" s="4768"/>
      <c r="AK187" s="3550" t="s">
        <v>12481</v>
      </c>
      <c r="AL187" s="3536" t="s">
        <v>12482</v>
      </c>
      <c r="AM187" s="3537">
        <v>228</v>
      </c>
      <c r="AN187" s="3538">
        <v>113</v>
      </c>
      <c r="AO187" s="3539">
        <v>122</v>
      </c>
      <c r="AQ187" s="3">
        <v>1</v>
      </c>
    </row>
    <row r="188" spans="22:43" ht="21" customHeight="1">
      <c r="V188" s="4769"/>
      <c r="W188" s="3558" t="s">
        <v>12483</v>
      </c>
      <c r="X188" s="3544" t="s">
        <v>12484</v>
      </c>
      <c r="Y188" s="3545">
        <v>0</v>
      </c>
      <c r="Z188" s="3546">
        <v>255</v>
      </c>
      <c r="AA188" s="3547">
        <v>255</v>
      </c>
      <c r="AB188"/>
      <c r="AC188" s="4770"/>
      <c r="AD188" s="3541" t="s">
        <v>12485</v>
      </c>
      <c r="AE188" s="3536" t="s">
        <v>12486</v>
      </c>
      <c r="AF188" s="3537">
        <v>155</v>
      </c>
      <c r="AG188" s="3538">
        <v>48</v>
      </c>
      <c r="AH188" s="3539">
        <v>255</v>
      </c>
      <c r="AI188"/>
      <c r="AJ188" s="4771"/>
      <c r="AK188" s="3550" t="s">
        <v>12487</v>
      </c>
      <c r="AL188" s="3536" t="s">
        <v>12488</v>
      </c>
      <c r="AM188" s="3537">
        <v>247</v>
      </c>
      <c r="AN188" s="3538">
        <v>35</v>
      </c>
      <c r="AO188" s="3539">
        <v>12</v>
      </c>
      <c r="AQ188" s="3">
        <v>1</v>
      </c>
    </row>
    <row r="189" spans="22:43" ht="21" customHeight="1">
      <c r="V189" s="4772"/>
      <c r="W189" s="3543" t="s">
        <v>12489</v>
      </c>
      <c r="X189" s="3544" t="s">
        <v>12490</v>
      </c>
      <c r="Y189" s="3545">
        <v>180</v>
      </c>
      <c r="Z189" s="3546">
        <v>205</v>
      </c>
      <c r="AA189" s="3547">
        <v>205</v>
      </c>
      <c r="AB189"/>
      <c r="AC189" s="4773"/>
      <c r="AD189" s="3541" t="s">
        <v>12491</v>
      </c>
      <c r="AE189" s="3536" t="s">
        <v>12492</v>
      </c>
      <c r="AF189" s="3537">
        <v>159</v>
      </c>
      <c r="AG189" s="3538">
        <v>121</v>
      </c>
      <c r="AH189" s="3539">
        <v>238</v>
      </c>
      <c r="AI189"/>
      <c r="AJ189" s="4774"/>
      <c r="AK189" s="3550" t="s">
        <v>12493</v>
      </c>
      <c r="AL189" s="3536" t="s">
        <v>12494</v>
      </c>
      <c r="AM189" s="3537">
        <v>187</v>
      </c>
      <c r="AN189" s="3538">
        <v>172</v>
      </c>
      <c r="AO189" s="3539">
        <v>172</v>
      </c>
      <c r="AQ189" s="3">
        <v>1</v>
      </c>
    </row>
    <row r="190" spans="22:43" ht="21" customHeight="1">
      <c r="V190" s="4775"/>
      <c r="W190" s="3543" t="s">
        <v>12495</v>
      </c>
      <c r="X190" s="3544" t="s">
        <v>12496</v>
      </c>
      <c r="Y190" s="3545">
        <v>141</v>
      </c>
      <c r="Z190" s="3546">
        <v>238</v>
      </c>
      <c r="AA190" s="3547">
        <v>238</v>
      </c>
      <c r="AB190"/>
      <c r="AC190" s="4776"/>
      <c r="AD190" s="3541" t="s">
        <v>12497</v>
      </c>
      <c r="AE190" s="3536" t="s">
        <v>12498</v>
      </c>
      <c r="AF190" s="3537">
        <v>171</v>
      </c>
      <c r="AG190" s="3538">
        <v>130</v>
      </c>
      <c r="AH190" s="3539">
        <v>255</v>
      </c>
      <c r="AI190"/>
      <c r="AJ190" s="4777"/>
      <c r="AK190" s="3550" t="s">
        <v>12499</v>
      </c>
      <c r="AL190" s="3536" t="s">
        <v>12500</v>
      </c>
      <c r="AM190" s="3537">
        <v>230</v>
      </c>
      <c r="AN190" s="3538">
        <v>103</v>
      </c>
      <c r="AO190" s="3539">
        <v>97</v>
      </c>
      <c r="AQ190" s="3">
        <v>1</v>
      </c>
    </row>
    <row r="191" spans="22:43" ht="21" customHeight="1">
      <c r="V191" s="4778"/>
      <c r="W191" s="3558" t="s">
        <v>12501</v>
      </c>
      <c r="X191" s="3544" t="s">
        <v>12502</v>
      </c>
      <c r="Y191" s="3545">
        <v>121</v>
      </c>
      <c r="Z191" s="3546">
        <v>248</v>
      </c>
      <c r="AA191" s="3547">
        <v>248</v>
      </c>
      <c r="AB191"/>
      <c r="AC191" s="4779"/>
      <c r="AD191" s="3550" t="s">
        <v>12503</v>
      </c>
      <c r="AE191" s="3536" t="s">
        <v>12504</v>
      </c>
      <c r="AF191" s="3537">
        <v>210</v>
      </c>
      <c r="AG191" s="3538">
        <v>202</v>
      </c>
      <c r="AH191" s="3539">
        <v>236</v>
      </c>
      <c r="AI191"/>
      <c r="AJ191" s="4780"/>
      <c r="AK191" s="3541" t="s">
        <v>12505</v>
      </c>
      <c r="AL191" s="3536" t="s">
        <v>12506</v>
      </c>
      <c r="AM191" s="3537">
        <v>238</v>
      </c>
      <c r="AN191" s="3538">
        <v>92</v>
      </c>
      <c r="AO191" s="3539">
        <v>66</v>
      </c>
      <c r="AQ191" s="3">
        <v>1</v>
      </c>
    </row>
    <row r="192" spans="22:43" ht="21" customHeight="1">
      <c r="V192" s="4781"/>
      <c r="W192" s="3543" t="s">
        <v>12507</v>
      </c>
      <c r="X192" s="3544" t="s">
        <v>12508</v>
      </c>
      <c r="Y192" s="3545">
        <v>193</v>
      </c>
      <c r="Z192" s="3546">
        <v>205</v>
      </c>
      <c r="AA192" s="3547">
        <v>205</v>
      </c>
      <c r="AB192"/>
      <c r="AC192" s="4782"/>
      <c r="AD192" s="3550" t="s">
        <v>12509</v>
      </c>
      <c r="AE192" s="3536" t="s">
        <v>12510</v>
      </c>
      <c r="AF192" s="3537">
        <v>220</v>
      </c>
      <c r="AG192" s="3538">
        <v>208</v>
      </c>
      <c r="AH192" s="3539">
        <v>255</v>
      </c>
      <c r="AI192"/>
      <c r="AJ192" s="4783"/>
      <c r="AK192" s="3541" t="s">
        <v>12511</v>
      </c>
      <c r="AL192" s="3536" t="s">
        <v>12512</v>
      </c>
      <c r="AM192" s="3537">
        <v>238</v>
      </c>
      <c r="AN192" s="3538">
        <v>59</v>
      </c>
      <c r="AO192" s="3539">
        <v>59</v>
      </c>
      <c r="AQ192" s="3">
        <v>1</v>
      </c>
    </row>
    <row r="193" spans="22:43" ht="21" customHeight="1">
      <c r="V193" s="4784"/>
      <c r="W193" s="3543" t="s">
        <v>12513</v>
      </c>
      <c r="X193" s="3544" t="s">
        <v>12514</v>
      </c>
      <c r="Y193" s="3545">
        <v>173</v>
      </c>
      <c r="Z193" s="3546">
        <v>234</v>
      </c>
      <c r="AA193" s="3547">
        <v>234</v>
      </c>
      <c r="AB193"/>
      <c r="AC193" s="4785"/>
      <c r="AD193" s="3541" t="s">
        <v>12515</v>
      </c>
      <c r="AE193" s="3536" t="s">
        <v>12516</v>
      </c>
      <c r="AF193" s="3537">
        <v>145</v>
      </c>
      <c r="AG193" s="3538">
        <v>44</v>
      </c>
      <c r="AH193" s="3539">
        <v>238</v>
      </c>
      <c r="AI193"/>
      <c r="AJ193" s="4786"/>
      <c r="AK193" s="3541" t="s">
        <v>12517</v>
      </c>
      <c r="AL193" s="3536" t="s">
        <v>12518</v>
      </c>
      <c r="AM193" s="3537">
        <v>238</v>
      </c>
      <c r="AN193" s="3538">
        <v>44</v>
      </c>
      <c r="AO193" s="3539">
        <v>44</v>
      </c>
      <c r="AQ193" s="3">
        <v>1</v>
      </c>
    </row>
    <row r="194" spans="22:43" ht="21" customHeight="1">
      <c r="V194" s="4787"/>
      <c r="W194" s="3543" t="s">
        <v>12519</v>
      </c>
      <c r="X194" s="3544" t="s">
        <v>12520</v>
      </c>
      <c r="Y194" s="3545">
        <v>174</v>
      </c>
      <c r="Z194" s="3546">
        <v>238</v>
      </c>
      <c r="AA194" s="3547">
        <v>238</v>
      </c>
      <c r="AB194"/>
      <c r="AC194" s="4788"/>
      <c r="AD194" s="3541" t="s">
        <v>12521</v>
      </c>
      <c r="AE194" s="3536" t="s">
        <v>12522</v>
      </c>
      <c r="AF194" s="3537">
        <v>147</v>
      </c>
      <c r="AG194" s="3538">
        <v>112</v>
      </c>
      <c r="AH194" s="3539">
        <v>219</v>
      </c>
      <c r="AI194"/>
      <c r="AJ194" s="4789"/>
      <c r="AK194" s="3550" t="s">
        <v>12523</v>
      </c>
      <c r="AL194" s="3536" t="s">
        <v>12524</v>
      </c>
      <c r="AM194" s="3537">
        <v>238</v>
      </c>
      <c r="AN194" s="3538">
        <v>16</v>
      </c>
      <c r="AO194" s="3539">
        <v>16</v>
      </c>
      <c r="AQ194" s="3">
        <v>1</v>
      </c>
    </row>
    <row r="195" spans="22:43" ht="21" customHeight="1">
      <c r="V195" s="4790"/>
      <c r="W195" s="3543" t="s">
        <v>12525</v>
      </c>
      <c r="X195" s="3544" t="s">
        <v>12526</v>
      </c>
      <c r="Y195" s="3545">
        <v>175</v>
      </c>
      <c r="Z195" s="3546">
        <v>238</v>
      </c>
      <c r="AA195" s="3547">
        <v>238</v>
      </c>
      <c r="AB195"/>
      <c r="AC195" s="4791"/>
      <c r="AD195" s="3541" t="s">
        <v>12527</v>
      </c>
      <c r="AE195" s="3536" t="s">
        <v>12528</v>
      </c>
      <c r="AF195" s="3537">
        <v>138</v>
      </c>
      <c r="AG195" s="3538">
        <v>43</v>
      </c>
      <c r="AH195" s="3539">
        <v>226</v>
      </c>
      <c r="AI195"/>
      <c r="AJ195" s="4792"/>
      <c r="AK195" s="3550" t="s">
        <v>12529</v>
      </c>
      <c r="AL195" s="3536" t="s">
        <v>12530</v>
      </c>
      <c r="AM195" s="3537">
        <v>233</v>
      </c>
      <c r="AN195" s="3538">
        <v>56</v>
      </c>
      <c r="AO195" s="3539">
        <v>63</v>
      </c>
      <c r="AQ195" s="3">
        <v>1</v>
      </c>
    </row>
    <row r="196" spans="22:43" ht="21" customHeight="1">
      <c r="V196" s="4793"/>
      <c r="W196" s="3543" t="s">
        <v>12531</v>
      </c>
      <c r="X196" s="3544" t="s">
        <v>12532</v>
      </c>
      <c r="Y196" s="3545">
        <v>151</v>
      </c>
      <c r="Z196" s="3546">
        <v>255</v>
      </c>
      <c r="AA196" s="3547">
        <v>255</v>
      </c>
      <c r="AB196"/>
      <c r="AC196" s="4794"/>
      <c r="AD196" s="3541" t="s">
        <v>12533</v>
      </c>
      <c r="AE196" s="3536" t="s">
        <v>12534</v>
      </c>
      <c r="AF196" s="3537">
        <v>137</v>
      </c>
      <c r="AG196" s="3538">
        <v>104</v>
      </c>
      <c r="AH196" s="3539">
        <v>205</v>
      </c>
      <c r="AI196"/>
      <c r="AJ196" s="4795"/>
      <c r="AK196" s="3541" t="s">
        <v>12535</v>
      </c>
      <c r="AL196" s="3536" t="s">
        <v>12536</v>
      </c>
      <c r="AM196" s="3537">
        <v>238</v>
      </c>
      <c r="AN196" s="3538">
        <v>0</v>
      </c>
      <c r="AO196" s="3539">
        <v>0</v>
      </c>
      <c r="AQ196" s="3">
        <v>1</v>
      </c>
    </row>
    <row r="197" spans="22:43" ht="21" customHeight="1">
      <c r="V197" s="4796"/>
      <c r="W197" s="3543" t="s">
        <v>12537</v>
      </c>
      <c r="X197" s="3544" t="s">
        <v>12538</v>
      </c>
      <c r="Y197" s="3545">
        <v>209</v>
      </c>
      <c r="Z197" s="3546">
        <v>238</v>
      </c>
      <c r="AA197" s="3547">
        <v>238</v>
      </c>
      <c r="AB197"/>
      <c r="AC197" s="4797"/>
      <c r="AD197" s="3550" t="s">
        <v>12539</v>
      </c>
      <c r="AE197" s="3536" t="s">
        <v>12540</v>
      </c>
      <c r="AF197" s="3537">
        <v>144</v>
      </c>
      <c r="AG197" s="3538">
        <v>101</v>
      </c>
      <c r="AH197" s="3539">
        <v>202</v>
      </c>
      <c r="AI197"/>
      <c r="AJ197" s="4798"/>
      <c r="AK197" s="3541" t="s">
        <v>12541</v>
      </c>
      <c r="AL197" s="3536" t="s">
        <v>12536</v>
      </c>
      <c r="AM197" s="3537">
        <v>238</v>
      </c>
      <c r="AN197" s="3538">
        <v>64</v>
      </c>
      <c r="AO197" s="3539">
        <v>0</v>
      </c>
      <c r="AQ197" s="3">
        <v>1</v>
      </c>
    </row>
    <row r="198" spans="22:43" ht="21" customHeight="1">
      <c r="V198" s="4799"/>
      <c r="W198" s="3543" t="s">
        <v>12542</v>
      </c>
      <c r="X198" s="3544" t="s">
        <v>12543</v>
      </c>
      <c r="Y198" s="3545">
        <v>187</v>
      </c>
      <c r="Z198" s="3546">
        <v>255</v>
      </c>
      <c r="AA198" s="3547">
        <v>255</v>
      </c>
      <c r="AB198"/>
      <c r="AC198" s="4800"/>
      <c r="AD198" s="3541" t="s">
        <v>12544</v>
      </c>
      <c r="AE198" s="3536" t="s">
        <v>12545</v>
      </c>
      <c r="AF198" s="3537">
        <v>125</v>
      </c>
      <c r="AG198" s="3538">
        <v>38</v>
      </c>
      <c r="AH198" s="3539">
        <v>205</v>
      </c>
      <c r="AI198"/>
      <c r="AJ198" s="4801"/>
      <c r="AK198" s="3550" t="s">
        <v>12546</v>
      </c>
      <c r="AL198" s="3536" t="s">
        <v>12547</v>
      </c>
      <c r="AM198" s="3537">
        <v>237</v>
      </c>
      <c r="AN198" s="3538">
        <v>0</v>
      </c>
      <c r="AO198" s="3539">
        <v>0</v>
      </c>
      <c r="AQ198" s="3">
        <v>1</v>
      </c>
    </row>
    <row r="199" spans="22:43" ht="21" customHeight="1">
      <c r="V199" s="4802"/>
      <c r="W199" s="3543" t="s">
        <v>12548</v>
      </c>
      <c r="X199" s="3544" t="s">
        <v>12549</v>
      </c>
      <c r="Y199" s="3545">
        <v>224</v>
      </c>
      <c r="Z199" s="3546">
        <v>238</v>
      </c>
      <c r="AA199" s="3547">
        <v>238</v>
      </c>
      <c r="AB199"/>
      <c r="AC199" s="4803"/>
      <c r="AD199" s="3541" t="s">
        <v>12550</v>
      </c>
      <c r="AE199" s="3536" t="s">
        <v>12551</v>
      </c>
      <c r="AF199" s="3537">
        <v>99</v>
      </c>
      <c r="AG199" s="3538">
        <v>86</v>
      </c>
      <c r="AH199" s="3539">
        <v>136</v>
      </c>
      <c r="AI199"/>
      <c r="AJ199" s="4804"/>
      <c r="AK199" s="3550" t="s">
        <v>12552</v>
      </c>
      <c r="AL199" s="3536" t="s">
        <v>12553</v>
      </c>
      <c r="AM199" s="3537">
        <v>231</v>
      </c>
      <c r="AN199" s="3538">
        <v>62</v>
      </c>
      <c r="AO199" s="3539">
        <v>1</v>
      </c>
      <c r="AQ199" s="3">
        <v>1</v>
      </c>
    </row>
    <row r="200" spans="22:43" ht="21" customHeight="1">
      <c r="V200" s="4805"/>
      <c r="W200" s="3543" t="s">
        <v>12554</v>
      </c>
      <c r="X200" s="3544" t="s">
        <v>12555</v>
      </c>
      <c r="Y200" s="3545">
        <v>224</v>
      </c>
      <c r="Z200" s="3546">
        <v>255</v>
      </c>
      <c r="AA200" s="3547">
        <v>255</v>
      </c>
      <c r="AB200"/>
      <c r="AC200" s="4806"/>
      <c r="AD200" s="3541" t="s">
        <v>12556</v>
      </c>
      <c r="AE200" s="3536" t="s">
        <v>12557</v>
      </c>
      <c r="AF200" s="3537">
        <v>93</v>
      </c>
      <c r="AG200" s="3538">
        <v>71</v>
      </c>
      <c r="AH200" s="3539">
        <v>139</v>
      </c>
      <c r="AI200"/>
      <c r="AJ200" s="4807"/>
      <c r="AK200" s="3541" t="s">
        <v>12558</v>
      </c>
      <c r="AL200" s="3536" t="s">
        <v>12559</v>
      </c>
      <c r="AM200" s="3537">
        <v>188</v>
      </c>
      <c r="AN200" s="3538">
        <v>143</v>
      </c>
      <c r="AO200" s="3539">
        <v>143</v>
      </c>
      <c r="AQ200" s="3">
        <v>1</v>
      </c>
    </row>
    <row r="201" spans="22:43" ht="21" customHeight="1">
      <c r="V201" s="4808"/>
      <c r="W201" s="3543" t="s">
        <v>12560</v>
      </c>
      <c r="X201" s="3544" t="s">
        <v>12561</v>
      </c>
      <c r="Y201" s="3545">
        <v>240</v>
      </c>
      <c r="Z201" s="3546">
        <v>255</v>
      </c>
      <c r="AA201" s="3547">
        <v>255</v>
      </c>
      <c r="AB201"/>
      <c r="AC201" s="4809"/>
      <c r="AD201" s="3550" t="s">
        <v>12562</v>
      </c>
      <c r="AE201" s="3536" t="s">
        <v>12563</v>
      </c>
      <c r="AF201" s="3537">
        <v>96</v>
      </c>
      <c r="AG201" s="3538">
        <v>78</v>
      </c>
      <c r="AH201" s="3539">
        <v>129</v>
      </c>
      <c r="AI201"/>
      <c r="AJ201" s="4810"/>
      <c r="AK201" s="3550" t="s">
        <v>12564</v>
      </c>
      <c r="AL201" s="3536" t="s">
        <v>12565</v>
      </c>
      <c r="AM201" s="3537">
        <v>226</v>
      </c>
      <c r="AN201" s="3538">
        <v>19</v>
      </c>
      <c r="AO201" s="3539">
        <v>19</v>
      </c>
      <c r="AQ201" s="3">
        <v>1</v>
      </c>
    </row>
    <row r="202" spans="22:43" ht="21" customHeight="1">
      <c r="V202" s="4811"/>
      <c r="W202" s="3558" t="s">
        <v>12566</v>
      </c>
      <c r="X202" s="3544" t="s">
        <v>12567</v>
      </c>
      <c r="Y202" s="3545">
        <v>242</v>
      </c>
      <c r="Z202" s="3546">
        <v>255</v>
      </c>
      <c r="AA202" s="3547">
        <v>255</v>
      </c>
      <c r="AB202"/>
      <c r="AC202" s="4812"/>
      <c r="AD202" s="3550" t="s">
        <v>12568</v>
      </c>
      <c r="AE202" s="3536" t="s">
        <v>12569</v>
      </c>
      <c r="AF202" s="3537">
        <v>85</v>
      </c>
      <c r="AG202" s="3538">
        <v>76</v>
      </c>
      <c r="AH202" s="3539">
        <v>105</v>
      </c>
      <c r="AI202"/>
      <c r="AJ202" s="4813"/>
      <c r="AK202" s="3550" t="s">
        <v>12570</v>
      </c>
      <c r="AL202" s="3536" t="s">
        <v>12571</v>
      </c>
      <c r="AM202" s="3537">
        <v>192</v>
      </c>
      <c r="AN202" s="3538">
        <v>128</v>
      </c>
      <c r="AO202" s="3539">
        <v>129</v>
      </c>
      <c r="AQ202" s="3">
        <v>1</v>
      </c>
    </row>
    <row r="203" spans="22:43" ht="21" customHeight="1">
      <c r="V203" s="4814"/>
      <c r="W203" s="3558" t="s">
        <v>12572</v>
      </c>
      <c r="X203" s="3544" t="s">
        <v>12573</v>
      </c>
      <c r="Y203" s="3545">
        <v>244</v>
      </c>
      <c r="Z203" s="3546">
        <v>254</v>
      </c>
      <c r="AA203" s="3547">
        <v>254</v>
      </c>
      <c r="AB203"/>
      <c r="AC203" s="4815"/>
      <c r="AD203" s="3541" t="s">
        <v>12574</v>
      </c>
      <c r="AE203" s="3536" t="s">
        <v>12575</v>
      </c>
      <c r="AF203" s="3537">
        <v>173</v>
      </c>
      <c r="AG203" s="3538">
        <v>216</v>
      </c>
      <c r="AH203" s="3539">
        <v>230</v>
      </c>
      <c r="AI203"/>
      <c r="AJ203" s="4816"/>
      <c r="AK203" s="3550" t="s">
        <v>12576</v>
      </c>
      <c r="AL203" s="3536" t="s">
        <v>12577</v>
      </c>
      <c r="AM203" s="3537">
        <v>222</v>
      </c>
      <c r="AN203" s="3538">
        <v>41</v>
      </c>
      <c r="AO203" s="3539">
        <v>22</v>
      </c>
      <c r="AQ203" s="3">
        <v>1</v>
      </c>
    </row>
    <row r="204" spans="22:43" ht="21" customHeight="1">
      <c r="V204" s="4817"/>
      <c r="W204" s="3558" t="s">
        <v>12578</v>
      </c>
      <c r="X204" s="3544" t="s">
        <v>12579</v>
      </c>
      <c r="Y204" s="3545">
        <v>246</v>
      </c>
      <c r="Z204" s="3546">
        <v>254</v>
      </c>
      <c r="AA204" s="3547">
        <v>254</v>
      </c>
      <c r="AB204"/>
      <c r="AC204" s="4818"/>
      <c r="AD204" s="3541" t="s">
        <v>12580</v>
      </c>
      <c r="AE204" s="3536" t="s">
        <v>12581</v>
      </c>
      <c r="AF204" s="3537">
        <v>178</v>
      </c>
      <c r="AG204" s="3538">
        <v>223</v>
      </c>
      <c r="AH204" s="3539">
        <v>238</v>
      </c>
      <c r="AI204"/>
      <c r="AJ204" s="4819"/>
      <c r="AK204" s="3541" t="s">
        <v>12582</v>
      </c>
      <c r="AL204" s="3536" t="s">
        <v>12583</v>
      </c>
      <c r="AM204" s="3537">
        <v>205</v>
      </c>
      <c r="AN204" s="3538">
        <v>92</v>
      </c>
      <c r="AO204" s="3539">
        <v>92</v>
      </c>
      <c r="AQ204" s="3">
        <v>1</v>
      </c>
    </row>
    <row r="205" spans="22:43" ht="21" customHeight="1">
      <c r="V205" s="4820"/>
      <c r="W205" s="3558" t="s">
        <v>12584</v>
      </c>
      <c r="X205" s="3544" t="s">
        <v>12585</v>
      </c>
      <c r="Y205" s="3545">
        <v>43</v>
      </c>
      <c r="Z205" s="3546">
        <v>250</v>
      </c>
      <c r="AA205" s="3547">
        <v>250</v>
      </c>
      <c r="AB205"/>
      <c r="AC205" s="4821"/>
      <c r="AD205" s="3550" t="s">
        <v>12586</v>
      </c>
      <c r="AE205" s="3536" t="s">
        <v>12587</v>
      </c>
      <c r="AF205" s="3537">
        <v>169</v>
      </c>
      <c r="AG205" s="3538">
        <v>234</v>
      </c>
      <c r="AH205" s="3539">
        <v>254</v>
      </c>
      <c r="AI205"/>
      <c r="AJ205" s="4822"/>
      <c r="AK205" s="3550" t="s">
        <v>12588</v>
      </c>
      <c r="AL205" s="3536" t="s">
        <v>12589</v>
      </c>
      <c r="AM205" s="3537">
        <v>219</v>
      </c>
      <c r="AN205" s="3538">
        <v>23</v>
      </c>
      <c r="AO205" s="3539">
        <v>2</v>
      </c>
      <c r="AQ205" s="3">
        <v>1</v>
      </c>
    </row>
    <row r="206" spans="22:43" ht="21" customHeight="1">
      <c r="V206" s="4823"/>
      <c r="W206" s="3543" t="s">
        <v>12590</v>
      </c>
      <c r="X206" s="3544" t="s">
        <v>12591</v>
      </c>
      <c r="Y206" s="3545">
        <v>150</v>
      </c>
      <c r="Z206" s="3546">
        <v>205</v>
      </c>
      <c r="AA206" s="3547">
        <v>205</v>
      </c>
      <c r="AB206"/>
      <c r="AC206" s="4824"/>
      <c r="AD206" s="3541" t="s">
        <v>12592</v>
      </c>
      <c r="AE206" s="3536" t="s">
        <v>12593</v>
      </c>
      <c r="AF206" s="3537">
        <v>191</v>
      </c>
      <c r="AG206" s="3538">
        <v>239</v>
      </c>
      <c r="AH206" s="3539">
        <v>255</v>
      </c>
      <c r="AI206"/>
      <c r="AJ206" s="4825"/>
      <c r="AK206" s="3541" t="s">
        <v>12594</v>
      </c>
      <c r="AL206" s="3536" t="s">
        <v>12595</v>
      </c>
      <c r="AM206" s="3537">
        <v>205</v>
      </c>
      <c r="AN206" s="3538">
        <v>85</v>
      </c>
      <c r="AO206" s="3539">
        <v>85</v>
      </c>
      <c r="AQ206" s="3">
        <v>1</v>
      </c>
    </row>
    <row r="207" spans="22:43" ht="21" customHeight="1">
      <c r="V207" s="4826"/>
      <c r="W207" s="3543" t="s">
        <v>12596</v>
      </c>
      <c r="X207" s="3544" t="s">
        <v>12597</v>
      </c>
      <c r="Y207" s="3545">
        <v>112</v>
      </c>
      <c r="Z207" s="3546">
        <v>219</v>
      </c>
      <c r="AA207" s="3547">
        <v>219</v>
      </c>
      <c r="AB207"/>
      <c r="AC207" s="4827"/>
      <c r="AD207" s="3541" t="s">
        <v>12598</v>
      </c>
      <c r="AE207" s="3536" t="s">
        <v>12599</v>
      </c>
      <c r="AF207" s="3537">
        <v>154</v>
      </c>
      <c r="AG207" s="3538">
        <v>192</v>
      </c>
      <c r="AH207" s="3539">
        <v>205</v>
      </c>
      <c r="AI207"/>
      <c r="AJ207" s="4828"/>
      <c r="AK207" s="3550" t="s">
        <v>12600</v>
      </c>
      <c r="AL207" s="3536" t="s">
        <v>12601</v>
      </c>
      <c r="AM207" s="3537">
        <v>217</v>
      </c>
      <c r="AN207" s="3538">
        <v>1</v>
      </c>
      <c r="AO207" s="3539">
        <v>21</v>
      </c>
      <c r="AQ207" s="3">
        <v>1</v>
      </c>
    </row>
    <row r="208" spans="22:43" ht="21" customHeight="1">
      <c r="V208" s="4829"/>
      <c r="W208" s="3558" t="s">
        <v>12602</v>
      </c>
      <c r="X208" s="3544" t="s">
        <v>12603</v>
      </c>
      <c r="Y208" s="3545">
        <v>128</v>
      </c>
      <c r="Z208" s="3546">
        <v>208</v>
      </c>
      <c r="AA208" s="3547">
        <v>208</v>
      </c>
      <c r="AB208"/>
      <c r="AC208" s="4830"/>
      <c r="AD208" s="3550" t="s">
        <v>12604</v>
      </c>
      <c r="AE208" s="3536" t="s">
        <v>12605</v>
      </c>
      <c r="AF208" s="3537">
        <v>102</v>
      </c>
      <c r="AG208" s="3538">
        <v>170</v>
      </c>
      <c r="AH208" s="3539">
        <v>188</v>
      </c>
      <c r="AI208"/>
      <c r="AJ208" s="4831"/>
      <c r="AK208" s="3541" t="s">
        <v>12606</v>
      </c>
      <c r="AL208" s="3536" t="s">
        <v>12607</v>
      </c>
      <c r="AM208" s="3537">
        <v>205</v>
      </c>
      <c r="AN208" s="3538">
        <v>79</v>
      </c>
      <c r="AO208" s="3539">
        <v>57</v>
      </c>
      <c r="AQ208" s="3">
        <v>1</v>
      </c>
    </row>
    <row r="209" spans="22:43" ht="21" customHeight="1">
      <c r="V209" s="4832"/>
      <c r="W209" s="3543" t="s">
        <v>12608</v>
      </c>
      <c r="X209" s="3544" t="s">
        <v>12609</v>
      </c>
      <c r="Y209" s="3545">
        <v>0</v>
      </c>
      <c r="Z209" s="3546">
        <v>238</v>
      </c>
      <c r="AA209" s="3547">
        <v>238</v>
      </c>
      <c r="AB209"/>
      <c r="AC209" s="4833"/>
      <c r="AD209" s="3550" t="s">
        <v>12610</v>
      </c>
      <c r="AE209" s="3536" t="s">
        <v>12611</v>
      </c>
      <c r="AF209" s="3537">
        <v>35</v>
      </c>
      <c r="AG209" s="3538">
        <v>158</v>
      </c>
      <c r="AH209" s="3539">
        <v>186</v>
      </c>
      <c r="AI209"/>
      <c r="AJ209" s="4834"/>
      <c r="AK209" s="3541" t="s">
        <v>12612</v>
      </c>
      <c r="AL209" s="3536" t="s">
        <v>12613</v>
      </c>
      <c r="AM209" s="3537">
        <v>205</v>
      </c>
      <c r="AN209" s="3538">
        <v>51</v>
      </c>
      <c r="AO209" s="3539">
        <v>51</v>
      </c>
      <c r="AQ209" s="3">
        <v>1</v>
      </c>
    </row>
    <row r="210" spans="22:43" ht="21" customHeight="1">
      <c r="V210" s="4835"/>
      <c r="W210" s="3543" t="s">
        <v>12614</v>
      </c>
      <c r="X210" s="3544" t="s">
        <v>12615</v>
      </c>
      <c r="Y210" s="3545">
        <v>121</v>
      </c>
      <c r="Z210" s="3546">
        <v>205</v>
      </c>
      <c r="AA210" s="3547">
        <v>205</v>
      </c>
      <c r="AB210"/>
      <c r="AC210" s="4836"/>
      <c r="AD210" s="3541" t="s">
        <v>12616</v>
      </c>
      <c r="AE210" s="3536" t="s">
        <v>12617</v>
      </c>
      <c r="AF210" s="3537">
        <v>104</v>
      </c>
      <c r="AG210" s="3538">
        <v>131</v>
      </c>
      <c r="AH210" s="3539">
        <v>139</v>
      </c>
      <c r="AI210"/>
      <c r="AJ210" s="4837"/>
      <c r="AK210" s="3541" t="s">
        <v>12511</v>
      </c>
      <c r="AL210" s="3536" t="s">
        <v>12618</v>
      </c>
      <c r="AM210" s="3537">
        <v>204</v>
      </c>
      <c r="AN210" s="3538">
        <v>51</v>
      </c>
      <c r="AO210" s="3539">
        <v>51</v>
      </c>
      <c r="AQ210" s="3">
        <v>1</v>
      </c>
    </row>
    <row r="211" spans="22:43" ht="21" customHeight="1">
      <c r="V211" s="4838"/>
      <c r="W211" s="3543" t="s">
        <v>12619</v>
      </c>
      <c r="X211" s="3544" t="s">
        <v>12620</v>
      </c>
      <c r="Y211" s="3545">
        <v>72</v>
      </c>
      <c r="Z211" s="3546">
        <v>209</v>
      </c>
      <c r="AA211" s="3547">
        <v>204</v>
      </c>
      <c r="AB211"/>
      <c r="AC211" s="4839"/>
      <c r="AD211" s="3550" t="s">
        <v>12621</v>
      </c>
      <c r="AE211" s="3536" t="s">
        <v>12622</v>
      </c>
      <c r="AF211" s="3537">
        <v>46</v>
      </c>
      <c r="AG211" s="3538">
        <v>132</v>
      </c>
      <c r="AH211" s="3539">
        <v>149</v>
      </c>
      <c r="AI211"/>
      <c r="AJ211" s="4840"/>
      <c r="AK211" s="3541" t="s">
        <v>12623</v>
      </c>
      <c r="AL211" s="3536" t="s">
        <v>12624</v>
      </c>
      <c r="AM211" s="3537">
        <v>205</v>
      </c>
      <c r="AN211" s="3538">
        <v>38</v>
      </c>
      <c r="AO211" s="3539">
        <v>38</v>
      </c>
      <c r="AQ211" s="3">
        <v>1</v>
      </c>
    </row>
    <row r="212" spans="22:43" ht="21" customHeight="1">
      <c r="V212" s="4841"/>
      <c r="W212" s="3543" t="s">
        <v>12625</v>
      </c>
      <c r="X212" s="3544" t="s">
        <v>12626</v>
      </c>
      <c r="Y212" s="3545">
        <v>0</v>
      </c>
      <c r="Z212" s="3546">
        <v>206</v>
      </c>
      <c r="AA212" s="3547">
        <v>209</v>
      </c>
      <c r="AB212"/>
      <c r="AC212" s="4842"/>
      <c r="AD212" s="3550" t="s">
        <v>12627</v>
      </c>
      <c r="AE212" s="3536" t="s">
        <v>12628</v>
      </c>
      <c r="AF212" s="3537">
        <v>54</v>
      </c>
      <c r="AG212" s="3538">
        <v>117</v>
      </c>
      <c r="AH212" s="3539">
        <v>136</v>
      </c>
      <c r="AI212"/>
      <c r="AJ212" s="4843"/>
      <c r="AK212" s="3550" t="s">
        <v>12629</v>
      </c>
      <c r="AL212" s="3536" t="s">
        <v>12630</v>
      </c>
      <c r="AM212" s="3537">
        <v>207</v>
      </c>
      <c r="AN212" s="3538">
        <v>10</v>
      </c>
      <c r="AO212" s="3539">
        <v>29</v>
      </c>
      <c r="AQ212" s="3">
        <v>1</v>
      </c>
    </row>
    <row r="213" spans="22:43" ht="21" customHeight="1">
      <c r="V213" s="4844"/>
      <c r="W213" s="3543" t="s">
        <v>12631</v>
      </c>
      <c r="X213" s="3544" t="s">
        <v>12632</v>
      </c>
      <c r="Y213" s="3545">
        <v>0</v>
      </c>
      <c r="Z213" s="3546">
        <v>205</v>
      </c>
      <c r="AA213" s="3547">
        <v>205</v>
      </c>
      <c r="AB213"/>
      <c r="AC213" s="4845"/>
      <c r="AD213" s="3550" t="s">
        <v>12633</v>
      </c>
      <c r="AE213" s="3536" t="s">
        <v>12634</v>
      </c>
      <c r="AF213" s="3537">
        <v>0</v>
      </c>
      <c r="AG213" s="3538">
        <v>73</v>
      </c>
      <c r="AH213" s="3539">
        <v>88</v>
      </c>
      <c r="AI213"/>
      <c r="AJ213" s="4846"/>
      <c r="AK213" s="3541" t="s">
        <v>12635</v>
      </c>
      <c r="AL213" s="3536" t="s">
        <v>12636</v>
      </c>
      <c r="AM213" s="3537">
        <v>205</v>
      </c>
      <c r="AN213" s="3538">
        <v>0</v>
      </c>
      <c r="AO213" s="3539">
        <v>0</v>
      </c>
      <c r="AQ213" s="3">
        <v>1</v>
      </c>
    </row>
    <row r="214" spans="22:43" ht="21" customHeight="1">
      <c r="V214" s="4847"/>
      <c r="W214" s="3558" t="s">
        <v>12637</v>
      </c>
      <c r="X214" s="3544" t="s">
        <v>12638</v>
      </c>
      <c r="Y214" s="3545">
        <v>0</v>
      </c>
      <c r="Z214" s="3546">
        <v>204</v>
      </c>
      <c r="AA214" s="3547">
        <v>203</v>
      </c>
      <c r="AB214"/>
      <c r="AC214" s="4848"/>
      <c r="AD214" s="3550" t="s">
        <v>12639</v>
      </c>
      <c r="AE214" s="3536" t="s">
        <v>12640</v>
      </c>
      <c r="AF214" s="3537">
        <v>29</v>
      </c>
      <c r="AG214" s="3538">
        <v>72</v>
      </c>
      <c r="AH214" s="3539">
        <v>81</v>
      </c>
      <c r="AI214"/>
      <c r="AJ214" s="4849"/>
      <c r="AK214" s="3541" t="s">
        <v>12641</v>
      </c>
      <c r="AL214" s="3536" t="s">
        <v>12636</v>
      </c>
      <c r="AM214" s="3537">
        <v>205</v>
      </c>
      <c r="AN214" s="3538">
        <v>55</v>
      </c>
      <c r="AO214" s="3539">
        <v>0</v>
      </c>
      <c r="AQ214" s="3">
        <v>1</v>
      </c>
    </row>
    <row r="215" spans="22:43" ht="21" customHeight="1">
      <c r="V215" s="4850"/>
      <c r="W215" s="3543" t="s">
        <v>12642</v>
      </c>
      <c r="X215" s="3544" t="s">
        <v>12643</v>
      </c>
      <c r="Y215" s="3545">
        <v>131</v>
      </c>
      <c r="Z215" s="3546">
        <v>139</v>
      </c>
      <c r="AA215" s="3547">
        <v>139</v>
      </c>
      <c r="AB215"/>
      <c r="AC215" s="4851"/>
      <c r="AD215" s="3550" t="s">
        <v>12644</v>
      </c>
      <c r="AE215" s="3536" t="s">
        <v>12645</v>
      </c>
      <c r="AF215" s="3537">
        <v>31</v>
      </c>
      <c r="AG215" s="3538">
        <v>254</v>
      </c>
      <c r="AH215" s="3539">
        <v>216</v>
      </c>
      <c r="AI215"/>
      <c r="AJ215" s="4852"/>
      <c r="AK215" s="3550" t="s">
        <v>12646</v>
      </c>
      <c r="AL215" s="3536" t="s">
        <v>12647</v>
      </c>
      <c r="AM215" s="3537">
        <v>198</v>
      </c>
      <c r="AN215" s="3538">
        <v>8</v>
      </c>
      <c r="AO215" s="3539">
        <v>0</v>
      </c>
      <c r="AQ215" s="3">
        <v>1</v>
      </c>
    </row>
    <row r="216" spans="22:43" ht="21" customHeight="1">
      <c r="V216" s="4853"/>
      <c r="W216" s="3543" t="s">
        <v>12648</v>
      </c>
      <c r="X216" s="3544" t="s">
        <v>12649</v>
      </c>
      <c r="Y216" s="3545">
        <v>95</v>
      </c>
      <c r="Z216" s="3546">
        <v>158</v>
      </c>
      <c r="AA216" s="3547">
        <v>160</v>
      </c>
      <c r="AB216"/>
      <c r="AC216" s="4854"/>
      <c r="AD216" s="3550" t="s">
        <v>12650</v>
      </c>
      <c r="AE216" s="3536" t="s">
        <v>12651</v>
      </c>
      <c r="AF216" s="3537">
        <v>150</v>
      </c>
      <c r="AG216" s="3538">
        <v>222</v>
      </c>
      <c r="AH216" s="3539">
        <v>209</v>
      </c>
      <c r="AI216"/>
      <c r="AJ216" s="4855"/>
      <c r="AK216" s="3550" t="s">
        <v>12652</v>
      </c>
      <c r="AL216" s="3536" t="s">
        <v>12653</v>
      </c>
      <c r="AM216" s="3537">
        <v>188</v>
      </c>
      <c r="AN216" s="3538">
        <v>63</v>
      </c>
      <c r="AO216" s="3539">
        <v>74</v>
      </c>
      <c r="AQ216" s="3">
        <v>1</v>
      </c>
    </row>
    <row r="217" spans="22:43" ht="21" customHeight="1">
      <c r="V217" s="4856"/>
      <c r="W217" s="3543" t="s">
        <v>12654</v>
      </c>
      <c r="X217" s="3544" t="s">
        <v>12655</v>
      </c>
      <c r="Y217" s="3545">
        <v>95</v>
      </c>
      <c r="Z217" s="3546">
        <v>159</v>
      </c>
      <c r="AA217" s="3547">
        <v>159</v>
      </c>
      <c r="AB217"/>
      <c r="AC217" s="4857"/>
      <c r="AD217" s="3550" t="s">
        <v>12656</v>
      </c>
      <c r="AE217" s="3536" t="s">
        <v>12657</v>
      </c>
      <c r="AF217" s="3537">
        <v>0</v>
      </c>
      <c r="AG217" s="3538">
        <v>166</v>
      </c>
      <c r="AH217" s="3539">
        <v>147</v>
      </c>
      <c r="AI217"/>
      <c r="AJ217" s="4858"/>
      <c r="AK217" s="3550" t="s">
        <v>12658</v>
      </c>
      <c r="AL217" s="3536" t="s">
        <v>12659</v>
      </c>
      <c r="AM217" s="3537">
        <v>191</v>
      </c>
      <c r="AN217" s="3538">
        <v>48</v>
      </c>
      <c r="AO217" s="3539">
        <v>48</v>
      </c>
      <c r="AQ217" s="3">
        <v>1</v>
      </c>
    </row>
    <row r="218" spans="22:43" ht="21" customHeight="1">
      <c r="V218" s="4859"/>
      <c r="W218" s="3543" t="s">
        <v>12660</v>
      </c>
      <c r="X218" s="3544" t="s">
        <v>12661</v>
      </c>
      <c r="Y218" s="3545">
        <v>122</v>
      </c>
      <c r="Z218" s="3546">
        <v>139</v>
      </c>
      <c r="AA218" s="3547">
        <v>139</v>
      </c>
      <c r="AB218"/>
      <c r="AC218" s="4860"/>
      <c r="AD218" s="3541" t="s">
        <v>12662</v>
      </c>
      <c r="AE218" s="3536" t="s">
        <v>12663</v>
      </c>
      <c r="AF218" s="3537">
        <v>74</v>
      </c>
      <c r="AG218" s="3538">
        <v>118</v>
      </c>
      <c r="AH218" s="3539">
        <v>110</v>
      </c>
      <c r="AI218"/>
      <c r="AJ218" s="4861"/>
      <c r="AK218" s="3541" t="s">
        <v>12664</v>
      </c>
      <c r="AL218" s="3536" t="s">
        <v>12665</v>
      </c>
      <c r="AM218" s="3537">
        <v>192</v>
      </c>
      <c r="AN218" s="3538">
        <v>0</v>
      </c>
      <c r="AO218" s="3539">
        <v>0</v>
      </c>
      <c r="AQ218" s="3">
        <v>1</v>
      </c>
    </row>
    <row r="219" spans="22:43" ht="21" customHeight="1">
      <c r="V219" s="4862"/>
      <c r="W219" s="3543" t="s">
        <v>12666</v>
      </c>
      <c r="X219" s="3544" t="s">
        <v>12667</v>
      </c>
      <c r="Y219" s="3545">
        <v>102</v>
      </c>
      <c r="Z219" s="3546">
        <v>139</v>
      </c>
      <c r="AA219" s="3547">
        <v>139</v>
      </c>
      <c r="AB219"/>
      <c r="AC219" s="4863"/>
      <c r="AD219" s="3550" t="s">
        <v>12668</v>
      </c>
      <c r="AE219" s="3536" t="s">
        <v>12669</v>
      </c>
      <c r="AF219" s="3537">
        <v>78</v>
      </c>
      <c r="AG219" s="3538">
        <v>87</v>
      </c>
      <c r="AH219" s="3539">
        <v>85</v>
      </c>
      <c r="AI219"/>
      <c r="AJ219" s="4864"/>
      <c r="AK219" s="3541" t="s">
        <v>12670</v>
      </c>
      <c r="AL219" s="3536" t="s">
        <v>12671</v>
      </c>
      <c r="AM219" s="3537">
        <v>139</v>
      </c>
      <c r="AN219" s="3538">
        <v>137</v>
      </c>
      <c r="AO219" s="3539">
        <v>137</v>
      </c>
      <c r="AQ219" s="3">
        <v>1</v>
      </c>
    </row>
    <row r="220" spans="22:43" ht="21" customHeight="1">
      <c r="V220" s="4865"/>
      <c r="W220" s="3543" t="s">
        <v>12672</v>
      </c>
      <c r="X220" s="3544" t="s">
        <v>12673</v>
      </c>
      <c r="Y220" s="3545">
        <v>82</v>
      </c>
      <c r="Z220" s="3546">
        <v>139</v>
      </c>
      <c r="AA220" s="3547">
        <v>139</v>
      </c>
      <c r="AB220"/>
      <c r="AC220" s="4866"/>
      <c r="AD220" s="3550" t="s">
        <v>12674</v>
      </c>
      <c r="AE220" s="3536" t="s">
        <v>12675</v>
      </c>
      <c r="AF220" s="3537">
        <v>58</v>
      </c>
      <c r="AG220" s="3538">
        <v>75</v>
      </c>
      <c r="AH220" s="3539">
        <v>71</v>
      </c>
      <c r="AI220"/>
      <c r="AJ220" s="4867"/>
      <c r="AK220" s="3550" t="s">
        <v>12676</v>
      </c>
      <c r="AL220" s="3536" t="s">
        <v>12677</v>
      </c>
      <c r="AM220" s="3537">
        <v>190</v>
      </c>
      <c r="AN220" s="3538">
        <v>0</v>
      </c>
      <c r="AO220" s="3539">
        <v>50</v>
      </c>
      <c r="AQ220" s="3">
        <v>1</v>
      </c>
    </row>
    <row r="221" spans="22:43" ht="21" customHeight="1">
      <c r="V221" s="4868"/>
      <c r="W221" s="3558" t="s">
        <v>12678</v>
      </c>
      <c r="X221" s="3544" t="s">
        <v>12679</v>
      </c>
      <c r="Y221" s="3545">
        <v>0</v>
      </c>
      <c r="Z221" s="3546">
        <v>142</v>
      </c>
      <c r="AA221" s="3547">
        <v>142</v>
      </c>
      <c r="AB221"/>
      <c r="AC221" s="4869"/>
      <c r="AD221" s="3550" t="s">
        <v>12680</v>
      </c>
      <c r="AE221" s="3536" t="s">
        <v>12681</v>
      </c>
      <c r="AF221" s="3537">
        <v>201</v>
      </c>
      <c r="AG221" s="3538">
        <v>220</v>
      </c>
      <c r="AH221" s="3539">
        <v>137</v>
      </c>
      <c r="AI221"/>
      <c r="AJ221" s="4870"/>
      <c r="AK221" s="3550" t="s">
        <v>12682</v>
      </c>
      <c r="AL221" s="3536" t="s">
        <v>12683</v>
      </c>
      <c r="AM221" s="3537">
        <v>188</v>
      </c>
      <c r="AN221" s="3538">
        <v>32</v>
      </c>
      <c r="AO221" s="3539">
        <v>1</v>
      </c>
      <c r="AQ221" s="3">
        <v>1</v>
      </c>
    </row>
    <row r="222" spans="22:43" ht="21" customHeight="1">
      <c r="V222" s="4871"/>
      <c r="W222" s="3543" t="s">
        <v>12684</v>
      </c>
      <c r="X222" s="3544" t="s">
        <v>12685</v>
      </c>
      <c r="Y222" s="3545">
        <v>0</v>
      </c>
      <c r="Z222" s="3546">
        <v>139</v>
      </c>
      <c r="AA222" s="3547">
        <v>139</v>
      </c>
      <c r="AB222"/>
      <c r="AC222" s="4872"/>
      <c r="AD222" s="3550" t="s">
        <v>12686</v>
      </c>
      <c r="AE222" s="3536" t="s">
        <v>12687</v>
      </c>
      <c r="AF222" s="3537">
        <v>189</v>
      </c>
      <c r="AG222" s="3538">
        <v>218</v>
      </c>
      <c r="AH222" s="3539">
        <v>87</v>
      </c>
      <c r="AI222"/>
      <c r="AJ222" s="4873"/>
      <c r="AK222" s="3550" t="s">
        <v>12688</v>
      </c>
      <c r="AL222" s="3536" t="s">
        <v>12689</v>
      </c>
      <c r="AM222" s="3537">
        <v>187</v>
      </c>
      <c r="AN222" s="3538">
        <v>11</v>
      </c>
      <c r="AO222" s="3539">
        <v>11</v>
      </c>
      <c r="AQ222" s="3">
        <v>1</v>
      </c>
    </row>
    <row r="223" spans="22:43" ht="21" customHeight="1">
      <c r="V223" s="4874"/>
      <c r="W223" s="3543" t="s">
        <v>12690</v>
      </c>
      <c r="X223" s="3544" t="s">
        <v>12691</v>
      </c>
      <c r="Y223" s="3545">
        <v>0</v>
      </c>
      <c r="Z223" s="3546">
        <v>128</v>
      </c>
      <c r="AA223" s="3547">
        <v>128</v>
      </c>
      <c r="AB223"/>
      <c r="AC223" s="4875"/>
      <c r="AD223" s="3550" t="s">
        <v>12692</v>
      </c>
      <c r="AE223" s="3536" t="s">
        <v>12693</v>
      </c>
      <c r="AF223" s="3537">
        <v>143</v>
      </c>
      <c r="AG223" s="3538">
        <v>151</v>
      </c>
      <c r="AH223" s="3539">
        <v>121</v>
      </c>
      <c r="AI223"/>
      <c r="AJ223" s="4876"/>
      <c r="AK223" s="3550" t="s">
        <v>12694</v>
      </c>
      <c r="AL223" s="3536" t="s">
        <v>12695</v>
      </c>
      <c r="AM223" s="3537">
        <v>171</v>
      </c>
      <c r="AN223" s="3538">
        <v>78</v>
      </c>
      <c r="AO223" s="3539">
        <v>82</v>
      </c>
      <c r="AQ223" s="3">
        <v>1</v>
      </c>
    </row>
    <row r="224" spans="22:43" ht="21" customHeight="1">
      <c r="V224" s="4877"/>
      <c r="W224" s="3543" t="s">
        <v>12696</v>
      </c>
      <c r="X224" s="3544" t="s">
        <v>12697</v>
      </c>
      <c r="Y224" s="3545">
        <v>47</v>
      </c>
      <c r="Z224" s="3546">
        <v>79</v>
      </c>
      <c r="AA224" s="3547">
        <v>79</v>
      </c>
      <c r="AB224"/>
      <c r="AC224" s="4878"/>
      <c r="AD224" s="3550" t="s">
        <v>12698</v>
      </c>
      <c r="AE224" s="3536" t="s">
        <v>12699</v>
      </c>
      <c r="AF224" s="3537">
        <v>138</v>
      </c>
      <c r="AG224" s="3538">
        <v>154</v>
      </c>
      <c r="AH224" s="3539">
        <v>91</v>
      </c>
      <c r="AI224"/>
      <c r="AJ224" s="4879"/>
      <c r="AK224" s="3550" t="s">
        <v>12700</v>
      </c>
      <c r="AL224" s="3536" t="s">
        <v>12701</v>
      </c>
      <c r="AM224" s="3537">
        <v>184</v>
      </c>
      <c r="AN224" s="3538">
        <v>32</v>
      </c>
      <c r="AO224" s="3539">
        <v>16</v>
      </c>
      <c r="AQ224" s="3">
        <v>1</v>
      </c>
    </row>
    <row r="225" spans="22:43" ht="21" customHeight="1">
      <c r="V225" s="4880"/>
      <c r="W225" s="3558" t="s">
        <v>12702</v>
      </c>
      <c r="X225" s="3544" t="s">
        <v>12703</v>
      </c>
      <c r="Y225" s="3545">
        <v>0</v>
      </c>
      <c r="Z225" s="3546">
        <v>75</v>
      </c>
      <c r="AA225" s="3547">
        <v>73</v>
      </c>
      <c r="AB225"/>
      <c r="AC225" s="4881"/>
      <c r="AD225" s="3550" t="s">
        <v>12704</v>
      </c>
      <c r="AE225" s="3536" t="s">
        <v>12705</v>
      </c>
      <c r="AF225" s="3537">
        <v>121</v>
      </c>
      <c r="AG225" s="3538">
        <v>137</v>
      </c>
      <c r="AH225" s="3539">
        <v>51</v>
      </c>
      <c r="AI225"/>
      <c r="AJ225" s="4882"/>
      <c r="AK225" s="3541" t="s">
        <v>12706</v>
      </c>
      <c r="AL225" s="3536" t="s">
        <v>12707</v>
      </c>
      <c r="AM225" s="3537">
        <v>178</v>
      </c>
      <c r="AN225" s="3538">
        <v>34</v>
      </c>
      <c r="AO225" s="3539">
        <v>34</v>
      </c>
      <c r="AQ225" s="3">
        <v>1</v>
      </c>
    </row>
    <row r="226" spans="22:43" ht="21" customHeight="1">
      <c r="V226" s="4883"/>
      <c r="W226" s="3558" t="s">
        <v>12708</v>
      </c>
      <c r="X226" s="3544" t="s">
        <v>12709</v>
      </c>
      <c r="Y226" s="3545">
        <v>0</v>
      </c>
      <c r="Z226" s="3546">
        <v>42</v>
      </c>
      <c r="AA226" s="3547">
        <v>41</v>
      </c>
      <c r="AB226"/>
      <c r="AC226" s="4884"/>
      <c r="AD226" s="3550" t="s">
        <v>12710</v>
      </c>
      <c r="AE226" s="3536" t="s">
        <v>12711</v>
      </c>
      <c r="AF226" s="3537">
        <v>90</v>
      </c>
      <c r="AG226" s="3538">
        <v>101</v>
      </c>
      <c r="AH226" s="3539">
        <v>33</v>
      </c>
      <c r="AI226"/>
      <c r="AJ226" s="4885"/>
      <c r="AK226" s="3550" t="s">
        <v>12712</v>
      </c>
      <c r="AL226" s="3536" t="s">
        <v>12713</v>
      </c>
      <c r="AM226" s="3537">
        <v>170</v>
      </c>
      <c r="AN226" s="3538">
        <v>56</v>
      </c>
      <c r="AO226" s="3539">
        <v>30</v>
      </c>
      <c r="AQ226" s="3">
        <v>1</v>
      </c>
    </row>
    <row r="227" spans="22:43" ht="21" customHeight="1">
      <c r="V227" s="4886"/>
      <c r="W227" s="3558" t="s">
        <v>12714</v>
      </c>
      <c r="X227" s="3544" t="s">
        <v>12715</v>
      </c>
      <c r="Y227" s="3545">
        <v>11</v>
      </c>
      <c r="Z227" s="3546">
        <v>22</v>
      </c>
      <c r="AA227" s="3547">
        <v>22</v>
      </c>
      <c r="AB227"/>
      <c r="AC227" s="4887"/>
      <c r="AD227" s="3550" t="s">
        <v>12716</v>
      </c>
      <c r="AE227" s="3536" t="s">
        <v>12717</v>
      </c>
      <c r="AF227" s="3537">
        <v>255</v>
      </c>
      <c r="AG227" s="3538">
        <v>215</v>
      </c>
      <c r="AH227" s="3539">
        <v>0</v>
      </c>
      <c r="AI227"/>
      <c r="AJ227" s="4888"/>
      <c r="AK227" s="3541" t="s">
        <v>12718</v>
      </c>
      <c r="AL227" s="3536" t="s">
        <v>12719</v>
      </c>
      <c r="AM227" s="3537">
        <v>166</v>
      </c>
      <c r="AN227" s="3538">
        <v>42</v>
      </c>
      <c r="AO227" s="3539">
        <v>42</v>
      </c>
      <c r="AQ227" s="3">
        <v>1</v>
      </c>
    </row>
    <row r="228" spans="22:43" ht="21" customHeight="1">
      <c r="V228" s="4889"/>
      <c r="W228" s="3543" t="s">
        <v>12720</v>
      </c>
      <c r="X228" s="3544" t="s">
        <v>12721</v>
      </c>
      <c r="Y228" s="3545">
        <v>0</v>
      </c>
      <c r="Z228" s="3546">
        <v>245</v>
      </c>
      <c r="AA228" s="3547">
        <v>255</v>
      </c>
      <c r="AB228"/>
      <c r="AC228" s="4890"/>
      <c r="AD228" s="3550" t="s">
        <v>12722</v>
      </c>
      <c r="AE228" s="3536" t="s">
        <v>12723</v>
      </c>
      <c r="AF228" s="3537">
        <v>255</v>
      </c>
      <c r="AG228" s="3538">
        <v>228</v>
      </c>
      <c r="AH228" s="3539">
        <v>54</v>
      </c>
      <c r="AI228"/>
      <c r="AJ228" s="4891"/>
      <c r="AK228" s="3541" t="s">
        <v>12724</v>
      </c>
      <c r="AL228" s="3536" t="s">
        <v>12725</v>
      </c>
      <c r="AM228" s="3537">
        <v>139</v>
      </c>
      <c r="AN228" s="3538">
        <v>105</v>
      </c>
      <c r="AO228" s="3539">
        <v>105</v>
      </c>
      <c r="AQ228" s="3">
        <v>1</v>
      </c>
    </row>
    <row r="229" spans="22:43" ht="21" customHeight="1">
      <c r="V229" s="4892"/>
      <c r="W229" s="3558" t="s">
        <v>12726</v>
      </c>
      <c r="X229" s="3544" t="s">
        <v>12727</v>
      </c>
      <c r="Y229" s="3545">
        <v>156</v>
      </c>
      <c r="Z229" s="3546">
        <v>209</v>
      </c>
      <c r="AA229" s="3547">
        <v>220</v>
      </c>
      <c r="AB229"/>
      <c r="AC229" s="4893"/>
      <c r="AD229" s="3550" t="s">
        <v>12728</v>
      </c>
      <c r="AE229" s="3536" t="s">
        <v>12729</v>
      </c>
      <c r="AF229" s="3537">
        <v>254</v>
      </c>
      <c r="AG229" s="3538">
        <v>227</v>
      </c>
      <c r="AH229" s="3539">
        <v>71</v>
      </c>
      <c r="AI229"/>
      <c r="AJ229" s="4894"/>
      <c r="AK229" s="3541" t="s">
        <v>12730</v>
      </c>
      <c r="AL229" s="3536" t="s">
        <v>12731</v>
      </c>
      <c r="AM229" s="3537">
        <v>165</v>
      </c>
      <c r="AN229" s="3538">
        <v>42</v>
      </c>
      <c r="AO229" s="3539">
        <v>42</v>
      </c>
      <c r="AQ229" s="3">
        <v>1</v>
      </c>
    </row>
    <row r="230" spans="22:43" ht="21" customHeight="1">
      <c r="V230" s="4895"/>
      <c r="W230" s="3543" t="s">
        <v>12732</v>
      </c>
      <c r="X230" s="3544" t="s">
        <v>12733</v>
      </c>
      <c r="Y230" s="3545">
        <v>142</v>
      </c>
      <c r="Z230" s="3546">
        <v>229</v>
      </c>
      <c r="AA230" s="3547">
        <v>238</v>
      </c>
      <c r="AB230"/>
      <c r="AC230" s="4896"/>
      <c r="AD230" s="3550" t="s">
        <v>12734</v>
      </c>
      <c r="AE230" s="3536" t="s">
        <v>12735</v>
      </c>
      <c r="AF230" s="3537">
        <v>250</v>
      </c>
      <c r="AG230" s="3538">
        <v>218</v>
      </c>
      <c r="AH230" s="3539">
        <v>94</v>
      </c>
      <c r="AI230"/>
      <c r="AJ230" s="4897"/>
      <c r="AK230" s="3550" t="s">
        <v>12736</v>
      </c>
      <c r="AL230" s="3536" t="s">
        <v>12737</v>
      </c>
      <c r="AM230" s="3537">
        <v>169</v>
      </c>
      <c r="AN230" s="3538">
        <v>17</v>
      </c>
      <c r="AO230" s="3539">
        <v>1</v>
      </c>
      <c r="AQ230" s="3">
        <v>1</v>
      </c>
    </row>
    <row r="231" spans="22:43" ht="21" customHeight="1">
      <c r="V231" s="4898"/>
      <c r="W231" s="3543" t="s">
        <v>12738</v>
      </c>
      <c r="X231" s="3544" t="s">
        <v>12739</v>
      </c>
      <c r="Y231" s="3545">
        <v>176</v>
      </c>
      <c r="Z231" s="3546">
        <v>224</v>
      </c>
      <c r="AA231" s="3547">
        <v>230</v>
      </c>
      <c r="AB231"/>
      <c r="AC231" s="4899"/>
      <c r="AD231" s="3550" t="s">
        <v>12740</v>
      </c>
      <c r="AE231" s="3536" t="s">
        <v>12741</v>
      </c>
      <c r="AF231" s="3537">
        <v>247</v>
      </c>
      <c r="AG231" s="3538">
        <v>226</v>
      </c>
      <c r="AH231" s="3539">
        <v>105</v>
      </c>
      <c r="AI231"/>
      <c r="AJ231" s="4900"/>
      <c r="AK231" s="3550" t="s">
        <v>12742</v>
      </c>
      <c r="AL231" s="3536" t="s">
        <v>12743</v>
      </c>
      <c r="AM231" s="3537">
        <v>144</v>
      </c>
      <c r="AN231" s="3538">
        <v>93</v>
      </c>
      <c r="AO231" s="3539">
        <v>93</v>
      </c>
      <c r="AQ231" s="3">
        <v>1</v>
      </c>
    </row>
    <row r="232" spans="22:43" ht="21" customHeight="1">
      <c r="V232" s="4901"/>
      <c r="W232" s="3543" t="s">
        <v>12744</v>
      </c>
      <c r="X232" s="3544" t="s">
        <v>12745</v>
      </c>
      <c r="Y232" s="3545">
        <v>152</v>
      </c>
      <c r="Z232" s="3546">
        <v>245</v>
      </c>
      <c r="AA232" s="3547">
        <v>255</v>
      </c>
      <c r="AB232"/>
      <c r="AC232" s="4902"/>
      <c r="AD232" s="3541" t="s">
        <v>12746</v>
      </c>
      <c r="AE232" s="3536" t="s">
        <v>12747</v>
      </c>
      <c r="AF232" s="3537">
        <v>238</v>
      </c>
      <c r="AG232" s="3538">
        <v>220</v>
      </c>
      <c r="AH232" s="3539">
        <v>130</v>
      </c>
      <c r="AI232"/>
      <c r="AJ232" s="4903"/>
      <c r="AK232" s="3550" t="s">
        <v>12748</v>
      </c>
      <c r="AL232" s="3536" t="s">
        <v>12749</v>
      </c>
      <c r="AM232" s="3537">
        <v>164</v>
      </c>
      <c r="AN232" s="3538">
        <v>36</v>
      </c>
      <c r="AO232" s="3539">
        <v>36</v>
      </c>
      <c r="AQ232" s="3">
        <v>1</v>
      </c>
    </row>
    <row r="233" spans="22:43" ht="21" customHeight="1">
      <c r="V233" s="4904"/>
      <c r="W233" s="3543" t="s">
        <v>12750</v>
      </c>
      <c r="X233" s="3544" t="s">
        <v>12751</v>
      </c>
      <c r="Y233" s="3545">
        <v>0</v>
      </c>
      <c r="Z233" s="3546">
        <v>229</v>
      </c>
      <c r="AA233" s="3547">
        <v>238</v>
      </c>
      <c r="AB233"/>
      <c r="AC233" s="4905"/>
      <c r="AD233" s="3541" t="s">
        <v>12752</v>
      </c>
      <c r="AE233" s="3536" t="s">
        <v>12747</v>
      </c>
      <c r="AF233" s="3537">
        <v>238</v>
      </c>
      <c r="AG233" s="3538">
        <v>221</v>
      </c>
      <c r="AH233" s="3539">
        <v>130</v>
      </c>
      <c r="AI233"/>
      <c r="AJ233" s="4906"/>
      <c r="AK233" s="3550" t="s">
        <v>12753</v>
      </c>
      <c r="AL233" s="3536" t="s">
        <v>12754</v>
      </c>
      <c r="AM233" s="3537">
        <v>165</v>
      </c>
      <c r="AN233" s="3538">
        <v>38</v>
      </c>
      <c r="AO233" s="3539">
        <v>10</v>
      </c>
      <c r="AQ233" s="3">
        <v>1</v>
      </c>
    </row>
    <row r="234" spans="22:43" ht="21" customHeight="1">
      <c r="V234" s="4907"/>
      <c r="W234" s="3543" t="s">
        <v>12755</v>
      </c>
      <c r="X234" s="3544" t="s">
        <v>12756</v>
      </c>
      <c r="Y234" s="3545">
        <v>122</v>
      </c>
      <c r="Z234" s="3546">
        <v>197</v>
      </c>
      <c r="AA234" s="3547">
        <v>205</v>
      </c>
      <c r="AB234"/>
      <c r="AC234" s="4908"/>
      <c r="AD234" s="3550" t="s">
        <v>12757</v>
      </c>
      <c r="AE234" s="3536" t="s">
        <v>12758</v>
      </c>
      <c r="AF234" s="3537">
        <v>225</v>
      </c>
      <c r="AG234" s="3538">
        <v>206</v>
      </c>
      <c r="AH234" s="3539">
        <v>154</v>
      </c>
      <c r="AI234"/>
      <c r="AJ234" s="4909"/>
      <c r="AK234" s="3541" t="s">
        <v>12759</v>
      </c>
      <c r="AL234" s="3536" t="s">
        <v>12760</v>
      </c>
      <c r="AM234" s="3537">
        <v>133</v>
      </c>
      <c r="AN234" s="3538">
        <v>99</v>
      </c>
      <c r="AO234" s="3539">
        <v>99</v>
      </c>
      <c r="AQ234" s="3">
        <v>1</v>
      </c>
    </row>
    <row r="235" spans="22:43" ht="21" customHeight="1">
      <c r="V235" s="4910"/>
      <c r="W235" s="3543" t="s">
        <v>12761</v>
      </c>
      <c r="X235" s="3544" t="s">
        <v>12762</v>
      </c>
      <c r="Y235" s="3545">
        <v>0</v>
      </c>
      <c r="Z235" s="3546">
        <v>197</v>
      </c>
      <c r="AA235" s="3547">
        <v>205</v>
      </c>
      <c r="AB235"/>
      <c r="AC235" s="4911"/>
      <c r="AD235" s="3550" t="s">
        <v>12763</v>
      </c>
      <c r="AE235" s="3536" t="s">
        <v>12764</v>
      </c>
      <c r="AF235" s="3537">
        <v>248</v>
      </c>
      <c r="AG235" s="3538">
        <v>222</v>
      </c>
      <c r="AH235" s="3539">
        <v>126</v>
      </c>
      <c r="AI235"/>
      <c r="AJ235" s="4912"/>
      <c r="AK235" s="3550" t="s">
        <v>12765</v>
      </c>
      <c r="AL235" s="3536" t="s">
        <v>12766</v>
      </c>
      <c r="AM235" s="3537">
        <v>150</v>
      </c>
      <c r="AN235" s="3538">
        <v>0</v>
      </c>
      <c r="AO235" s="3539">
        <v>24</v>
      </c>
      <c r="AQ235" s="3">
        <v>1</v>
      </c>
    </row>
    <row r="236" spans="22:43" ht="21" customHeight="1">
      <c r="V236" s="4913"/>
      <c r="W236" s="3543" t="s">
        <v>12767</v>
      </c>
      <c r="X236" s="3544" t="s">
        <v>12768</v>
      </c>
      <c r="Y236" s="3545">
        <v>3</v>
      </c>
      <c r="Z236" s="3546">
        <v>180</v>
      </c>
      <c r="AA236" s="3547">
        <v>200</v>
      </c>
      <c r="AB236"/>
      <c r="AC236" s="4914"/>
      <c r="AD236" s="3550" t="s">
        <v>12769</v>
      </c>
      <c r="AE236" s="3536" t="s">
        <v>12770</v>
      </c>
      <c r="AF236" s="3537">
        <v>255</v>
      </c>
      <c r="AG236" s="3538">
        <v>222</v>
      </c>
      <c r="AH236" s="3539">
        <v>117</v>
      </c>
      <c r="AI236"/>
      <c r="AJ236" s="4915"/>
      <c r="AK236" s="3541" t="s">
        <v>12771</v>
      </c>
      <c r="AL236" s="3536" t="s">
        <v>12772</v>
      </c>
      <c r="AM236" s="3537">
        <v>139</v>
      </c>
      <c r="AN236" s="3538">
        <v>58</v>
      </c>
      <c r="AO236" s="3539">
        <v>58</v>
      </c>
      <c r="AQ236" s="3">
        <v>1</v>
      </c>
    </row>
    <row r="237" spans="22:43" ht="21" customHeight="1">
      <c r="V237" s="4916"/>
      <c r="W237" s="3558" t="s">
        <v>12773</v>
      </c>
      <c r="X237" s="3544" t="s">
        <v>12774</v>
      </c>
      <c r="Y237" s="3545">
        <v>121</v>
      </c>
      <c r="Z237" s="3546">
        <v>128</v>
      </c>
      <c r="AA237" s="3547">
        <v>129</v>
      </c>
      <c r="AB237"/>
      <c r="AC237" s="4917"/>
      <c r="AD237" s="3541" t="s">
        <v>12775</v>
      </c>
      <c r="AE237" s="3536" t="s">
        <v>12776</v>
      </c>
      <c r="AF237" s="3537">
        <v>255</v>
      </c>
      <c r="AG237" s="3538">
        <v>236</v>
      </c>
      <c r="AH237" s="3539">
        <v>139</v>
      </c>
      <c r="AI237"/>
      <c r="AJ237" s="4918"/>
      <c r="AK237" s="3541" t="s">
        <v>12777</v>
      </c>
      <c r="AL237" s="3536" t="s">
        <v>12778</v>
      </c>
      <c r="AM237" s="3537">
        <v>142</v>
      </c>
      <c r="AN237" s="3538">
        <v>35</v>
      </c>
      <c r="AO237" s="3539">
        <v>35</v>
      </c>
      <c r="AQ237" s="3">
        <v>1</v>
      </c>
    </row>
    <row r="238" spans="22:43" ht="21" customHeight="1">
      <c r="V238" s="4919"/>
      <c r="W238" s="3543" t="s">
        <v>12779</v>
      </c>
      <c r="X238" s="3544" t="s">
        <v>12780</v>
      </c>
      <c r="Y238" s="3545">
        <v>83</v>
      </c>
      <c r="Z238" s="3546">
        <v>134</v>
      </c>
      <c r="AA238" s="3547">
        <v>139</v>
      </c>
      <c r="AB238"/>
      <c r="AC238" s="4920"/>
      <c r="AD238" s="3550" t="s">
        <v>12781</v>
      </c>
      <c r="AE238" s="3536" t="s">
        <v>12782</v>
      </c>
      <c r="AF238" s="3537">
        <v>243</v>
      </c>
      <c r="AG238" s="3538">
        <v>229</v>
      </c>
      <c r="AH238" s="3539">
        <v>171</v>
      </c>
      <c r="AI238"/>
      <c r="AJ238" s="4921"/>
      <c r="AK238" s="3541" t="s">
        <v>12783</v>
      </c>
      <c r="AL238" s="3536" t="s">
        <v>12784</v>
      </c>
      <c r="AM238" s="3537">
        <v>139</v>
      </c>
      <c r="AN238" s="3538">
        <v>35</v>
      </c>
      <c r="AO238" s="3539">
        <v>35</v>
      </c>
      <c r="AQ238" s="3">
        <v>1</v>
      </c>
    </row>
    <row r="239" spans="22:43" ht="21" customHeight="1">
      <c r="V239" s="4922"/>
      <c r="W239" s="3558" t="s">
        <v>12785</v>
      </c>
      <c r="X239" s="3544" t="s">
        <v>12786</v>
      </c>
      <c r="Y239" s="3545">
        <v>4</v>
      </c>
      <c r="Z239" s="3546">
        <v>139</v>
      </c>
      <c r="AA239" s="3547">
        <v>154</v>
      </c>
      <c r="AB239"/>
      <c r="AC239" s="4923"/>
      <c r="AD239" s="3550" t="s">
        <v>12787</v>
      </c>
      <c r="AE239" s="3536" t="s">
        <v>12788</v>
      </c>
      <c r="AF239" s="3537">
        <v>241</v>
      </c>
      <c r="AG239" s="3538">
        <v>226</v>
      </c>
      <c r="AH239" s="3539">
        <v>190</v>
      </c>
      <c r="AI239"/>
      <c r="AJ239" s="4924"/>
      <c r="AK239" s="3541" t="s">
        <v>12789</v>
      </c>
      <c r="AL239" s="3536" t="s">
        <v>12790</v>
      </c>
      <c r="AM239" s="3537">
        <v>140</v>
      </c>
      <c r="AN239" s="3538">
        <v>23</v>
      </c>
      <c r="AO239" s="3539">
        <v>23</v>
      </c>
      <c r="AQ239" s="3">
        <v>1</v>
      </c>
    </row>
    <row r="240" spans="22:43" ht="21" customHeight="1">
      <c r="V240" s="4925"/>
      <c r="W240" s="3543" t="s">
        <v>12791</v>
      </c>
      <c r="X240" s="3544" t="s">
        <v>12792</v>
      </c>
      <c r="Y240" s="3545">
        <v>0</v>
      </c>
      <c r="Z240" s="3546">
        <v>134</v>
      </c>
      <c r="AA240" s="3547">
        <v>139</v>
      </c>
      <c r="AB240"/>
      <c r="AC240" s="4926"/>
      <c r="AD240" s="3550" t="s">
        <v>12793</v>
      </c>
      <c r="AE240" s="3536" t="s">
        <v>12794</v>
      </c>
      <c r="AF240" s="3537">
        <v>255</v>
      </c>
      <c r="AG240" s="3538">
        <v>240</v>
      </c>
      <c r="AH240" s="3539">
        <v>188</v>
      </c>
      <c r="AI240"/>
      <c r="AJ240" s="4927"/>
      <c r="AK240" s="3541" t="s">
        <v>12795</v>
      </c>
      <c r="AL240" s="3536" t="s">
        <v>12796</v>
      </c>
      <c r="AM240" s="3537">
        <v>139</v>
      </c>
      <c r="AN240" s="3538">
        <v>26</v>
      </c>
      <c r="AO240" s="3539">
        <v>26</v>
      </c>
      <c r="AQ240" s="3">
        <v>1</v>
      </c>
    </row>
    <row r="241" spans="22:43" ht="21" customHeight="1">
      <c r="V241" s="4928"/>
      <c r="W241" s="3558" t="s">
        <v>12797</v>
      </c>
      <c r="X241" s="3544" t="s">
        <v>12798</v>
      </c>
      <c r="Y241" s="3545">
        <v>37</v>
      </c>
      <c r="Z241" s="3546">
        <v>253</v>
      </c>
      <c r="AA241" s="3547">
        <v>233</v>
      </c>
      <c r="AB241"/>
      <c r="AC241" s="4929"/>
      <c r="AD241" s="3550" t="s">
        <v>12799</v>
      </c>
      <c r="AE241" s="3536" t="s">
        <v>12800</v>
      </c>
      <c r="AF241" s="3537">
        <v>250</v>
      </c>
      <c r="AG241" s="3538">
        <v>240</v>
      </c>
      <c r="AH241" s="3539">
        <v>197</v>
      </c>
      <c r="AI241"/>
      <c r="AJ241" s="4930"/>
      <c r="AK241" s="3541" t="s">
        <v>12801</v>
      </c>
      <c r="AL241" s="3536" t="s">
        <v>12802</v>
      </c>
      <c r="AM241" s="3537">
        <v>139</v>
      </c>
      <c r="AN241" s="3538">
        <v>0</v>
      </c>
      <c r="AO241" s="3539">
        <v>0</v>
      </c>
      <c r="AQ241" s="3">
        <v>1</v>
      </c>
    </row>
    <row r="242" spans="22:43" ht="21" customHeight="1">
      <c r="V242" s="4931"/>
      <c r="W242" s="3543" t="s">
        <v>12803</v>
      </c>
      <c r="X242" s="3544" t="s">
        <v>12804</v>
      </c>
      <c r="Y242" s="3545">
        <v>64</v>
      </c>
      <c r="Z242" s="3546">
        <v>224</v>
      </c>
      <c r="AA242" s="3547">
        <v>208</v>
      </c>
      <c r="AB242"/>
      <c r="AC242" s="4932"/>
      <c r="AD242" s="3550" t="s">
        <v>12805</v>
      </c>
      <c r="AE242" s="3536" t="s">
        <v>12806</v>
      </c>
      <c r="AF242" s="3537">
        <v>240</v>
      </c>
      <c r="AG242" s="3538">
        <v>234</v>
      </c>
      <c r="AH242" s="3539">
        <v>214</v>
      </c>
      <c r="AI242"/>
      <c r="AJ242" s="4933"/>
      <c r="AK242" s="3541" t="s">
        <v>12807</v>
      </c>
      <c r="AL242" s="3536" t="s">
        <v>12802</v>
      </c>
      <c r="AM242" s="3537">
        <v>139</v>
      </c>
      <c r="AN242" s="3538">
        <v>37</v>
      </c>
      <c r="AO242" s="3539">
        <v>0</v>
      </c>
      <c r="AQ242" s="3">
        <v>1</v>
      </c>
    </row>
    <row r="243" spans="22:43" ht="21" customHeight="1">
      <c r="V243" s="4934"/>
      <c r="W243" s="3558" t="s">
        <v>12808</v>
      </c>
      <c r="X243" s="3544" t="s">
        <v>12809</v>
      </c>
      <c r="Y243" s="3545">
        <v>102</v>
      </c>
      <c r="Z243" s="3546">
        <v>173</v>
      </c>
      <c r="AA243" s="3547">
        <v>164</v>
      </c>
      <c r="AB243"/>
      <c r="AC243" s="4935"/>
      <c r="AD243" s="3541" t="s">
        <v>12810</v>
      </c>
      <c r="AE243" s="3536" t="s">
        <v>12811</v>
      </c>
      <c r="AF243" s="3537">
        <v>255</v>
      </c>
      <c r="AG243" s="3538">
        <v>248</v>
      </c>
      <c r="AH243" s="3539">
        <v>220</v>
      </c>
      <c r="AI243"/>
      <c r="AJ243" s="4936"/>
      <c r="AK243" s="3550" t="s">
        <v>12812</v>
      </c>
      <c r="AL243" s="3536" t="s">
        <v>12813</v>
      </c>
      <c r="AM243" s="3537">
        <v>132</v>
      </c>
      <c r="AN243" s="3538">
        <v>27</v>
      </c>
      <c r="AO243" s="3539">
        <v>45</v>
      </c>
      <c r="AQ243" s="3">
        <v>1</v>
      </c>
    </row>
    <row r="244" spans="22:43" ht="21" customHeight="1">
      <c r="V244" s="4937"/>
      <c r="W244" s="3543" t="s">
        <v>12814</v>
      </c>
      <c r="X244" s="3544" t="s">
        <v>12815</v>
      </c>
      <c r="Y244" s="3545">
        <v>32</v>
      </c>
      <c r="Z244" s="3546">
        <v>178</v>
      </c>
      <c r="AA244" s="3547">
        <v>170</v>
      </c>
      <c r="AB244"/>
      <c r="AC244" s="4938"/>
      <c r="AD244" s="3550" t="s">
        <v>12816</v>
      </c>
      <c r="AE244" s="3536" t="s">
        <v>12817</v>
      </c>
      <c r="AF244" s="3537">
        <v>252</v>
      </c>
      <c r="AG244" s="3538">
        <v>220</v>
      </c>
      <c r="AH244" s="3539">
        <v>18</v>
      </c>
      <c r="AI244"/>
      <c r="AJ244" s="4939"/>
      <c r="AK244" s="3550" t="s">
        <v>12818</v>
      </c>
      <c r="AL244" s="3536" t="s">
        <v>12819</v>
      </c>
      <c r="AM244" s="3537">
        <v>133</v>
      </c>
      <c r="AN244" s="3538">
        <v>6</v>
      </c>
      <c r="AO244" s="3539">
        <v>6</v>
      </c>
      <c r="AQ244" s="3">
        <v>1</v>
      </c>
    </row>
    <row r="245" spans="22:43" ht="21" customHeight="1">
      <c r="V245" s="4940"/>
      <c r="W245" s="3558" t="s">
        <v>12820</v>
      </c>
      <c r="X245" s="3544" t="s">
        <v>12821</v>
      </c>
      <c r="Y245" s="3545">
        <v>0</v>
      </c>
      <c r="Z245" s="3546">
        <v>136</v>
      </c>
      <c r="AA245" s="3547">
        <v>130</v>
      </c>
      <c r="AB245"/>
      <c r="AC245" s="4941"/>
      <c r="AD245" s="3550" t="s">
        <v>12822</v>
      </c>
      <c r="AE245" s="3536" t="s">
        <v>12823</v>
      </c>
      <c r="AF245" s="3537">
        <v>185</v>
      </c>
      <c r="AG245" s="3538">
        <v>184</v>
      </c>
      <c r="AH245" s="3539">
        <v>181</v>
      </c>
      <c r="AI245"/>
      <c r="AJ245" s="4942"/>
      <c r="AK245" s="3541" t="s">
        <v>12824</v>
      </c>
      <c r="AL245" s="3536" t="s">
        <v>12825</v>
      </c>
      <c r="AM245" s="3537">
        <v>128</v>
      </c>
      <c r="AN245" s="3538">
        <v>0</v>
      </c>
      <c r="AO245" s="3539">
        <v>0</v>
      </c>
      <c r="AQ245" s="3">
        <v>1</v>
      </c>
    </row>
    <row r="246" spans="22:43" ht="21" customHeight="1">
      <c r="V246" s="4943"/>
      <c r="W246" s="3558" t="s">
        <v>12826</v>
      </c>
      <c r="X246" s="3544" t="s">
        <v>12827</v>
      </c>
      <c r="Y246" s="3545">
        <v>49</v>
      </c>
      <c r="Z246" s="3546">
        <v>120</v>
      </c>
      <c r="AA246" s="3547">
        <v>115</v>
      </c>
      <c r="AB246"/>
      <c r="AC246" s="4944"/>
      <c r="AD246" s="3550" t="s">
        <v>12828</v>
      </c>
      <c r="AE246" s="3536" t="s">
        <v>12829</v>
      </c>
      <c r="AF246" s="3537">
        <v>238</v>
      </c>
      <c r="AG246" s="3538">
        <v>209</v>
      </c>
      <c r="AH246" s="3539">
        <v>83</v>
      </c>
      <c r="AI246"/>
      <c r="AJ246" s="4945"/>
      <c r="AK246" s="3541" t="s">
        <v>12373</v>
      </c>
      <c r="AL246" s="3536" t="s">
        <v>12830</v>
      </c>
      <c r="AM246" s="3537">
        <v>111</v>
      </c>
      <c r="AN246" s="3538">
        <v>66</v>
      </c>
      <c r="AO246" s="3539">
        <v>66</v>
      </c>
      <c r="AQ246" s="3">
        <v>1</v>
      </c>
    </row>
    <row r="247" spans="22:43" ht="21" customHeight="1">
      <c r="V247" s="4946"/>
      <c r="W247" s="3558" t="s">
        <v>12831</v>
      </c>
      <c r="X247" s="3544" t="s">
        <v>12832</v>
      </c>
      <c r="Y247" s="3545">
        <v>0</v>
      </c>
      <c r="Z247" s="3546">
        <v>122</v>
      </c>
      <c r="AA247" s="3547">
        <v>116</v>
      </c>
      <c r="AB247"/>
      <c r="AC247" s="4947"/>
      <c r="AD247" s="3550" t="s">
        <v>12833</v>
      </c>
      <c r="AE247" s="3536" t="s">
        <v>12834</v>
      </c>
      <c r="AF247" s="3537">
        <v>246</v>
      </c>
      <c r="AG247" s="3538">
        <v>220</v>
      </c>
      <c r="AH247" s="3539">
        <v>18</v>
      </c>
      <c r="AI247"/>
      <c r="AJ247" s="4948"/>
      <c r="AK247" s="3550" t="s">
        <v>12835</v>
      </c>
      <c r="AL247" s="3536" t="s">
        <v>12836</v>
      </c>
      <c r="AM247" s="3537">
        <v>114</v>
      </c>
      <c r="AN247" s="3538">
        <v>47</v>
      </c>
      <c r="AO247" s="3539">
        <v>55</v>
      </c>
      <c r="AQ247" s="3">
        <v>1</v>
      </c>
    </row>
    <row r="248" spans="22:43" ht="21" customHeight="1">
      <c r="V248" s="4949"/>
      <c r="W248" s="3558" t="s">
        <v>12837</v>
      </c>
      <c r="X248" s="3544" t="s">
        <v>12838</v>
      </c>
      <c r="Y248" s="3545">
        <v>1</v>
      </c>
      <c r="Z248" s="3546">
        <v>121</v>
      </c>
      <c r="AA248" s="3547">
        <v>111</v>
      </c>
      <c r="AB248"/>
      <c r="AC248" s="4950"/>
      <c r="AD248" s="3550" t="s">
        <v>12839</v>
      </c>
      <c r="AE248" s="3536" t="s">
        <v>12840</v>
      </c>
      <c r="AF248" s="3537">
        <v>239</v>
      </c>
      <c r="AG248" s="3538">
        <v>210</v>
      </c>
      <c r="AH248" s="3539">
        <v>66</v>
      </c>
      <c r="AI248"/>
      <c r="AJ248" s="4951"/>
      <c r="AK248" s="3550" t="s">
        <v>12841</v>
      </c>
      <c r="AL248" s="3536" t="s">
        <v>12842</v>
      </c>
      <c r="AM248" s="3537">
        <v>92</v>
      </c>
      <c r="AN248" s="3538">
        <v>80</v>
      </c>
      <c r="AO248" s="3539">
        <v>79</v>
      </c>
      <c r="AQ248" s="3">
        <v>1</v>
      </c>
    </row>
    <row r="249" spans="22:43" ht="21" customHeight="1">
      <c r="V249" s="4952"/>
      <c r="W249" s="3558" t="s">
        <v>12843</v>
      </c>
      <c r="X249" s="3544" t="s">
        <v>12844</v>
      </c>
      <c r="Y249" s="3545">
        <v>0</v>
      </c>
      <c r="Z249" s="3546">
        <v>68</v>
      </c>
      <c r="AA249" s="3547">
        <v>63</v>
      </c>
      <c r="AB249"/>
      <c r="AC249" s="4953"/>
      <c r="AD249" s="3550" t="s">
        <v>12845</v>
      </c>
      <c r="AE249" s="3536" t="s">
        <v>12846</v>
      </c>
      <c r="AF249" s="3537">
        <v>191</v>
      </c>
      <c r="AG249" s="3538">
        <v>184</v>
      </c>
      <c r="AH249" s="3539">
        <v>165</v>
      </c>
      <c r="AI249"/>
      <c r="AJ249" s="4954"/>
      <c r="AK249" s="3550" t="s">
        <v>12847</v>
      </c>
      <c r="AL249" s="3536" t="s">
        <v>12848</v>
      </c>
      <c r="AM249" s="3537">
        <v>115</v>
      </c>
      <c r="AN249" s="3538">
        <v>8</v>
      </c>
      <c r="AO249" s="3539">
        <v>0</v>
      </c>
      <c r="AQ249" s="3">
        <v>1</v>
      </c>
    </row>
    <row r="250" spans="22:43" ht="21" customHeight="1">
      <c r="V250" s="4955"/>
      <c r="W250" s="3558" t="s">
        <v>12849</v>
      </c>
      <c r="X250" s="3544" t="s">
        <v>12850</v>
      </c>
      <c r="Y250" s="3545">
        <v>199</v>
      </c>
      <c r="Z250" s="3546">
        <v>230</v>
      </c>
      <c r="AA250" s="3547">
        <v>215</v>
      </c>
      <c r="AB250"/>
      <c r="AC250" s="4956"/>
      <c r="AD250" s="3550" t="s">
        <v>12851</v>
      </c>
      <c r="AE250" s="3536" t="s">
        <v>12852</v>
      </c>
      <c r="AF250" s="3537">
        <v>243</v>
      </c>
      <c r="AG250" s="3538">
        <v>214</v>
      </c>
      <c r="AH250" s="3539">
        <v>23</v>
      </c>
      <c r="AI250"/>
      <c r="AJ250" s="4957"/>
      <c r="AK250" s="3550" t="s">
        <v>12853</v>
      </c>
      <c r="AL250" s="3536" t="s">
        <v>12854</v>
      </c>
      <c r="AM250" s="3537">
        <v>110</v>
      </c>
      <c r="AN250" s="3538">
        <v>11</v>
      </c>
      <c r="AO250" s="3539">
        <v>20</v>
      </c>
      <c r="AQ250" s="3">
        <v>1</v>
      </c>
    </row>
    <row r="251" spans="22:43" ht="21" customHeight="1">
      <c r="V251" s="4958"/>
      <c r="W251" s="3543" t="s">
        <v>12855</v>
      </c>
      <c r="X251" s="3544" t="s">
        <v>12856</v>
      </c>
      <c r="Y251" s="3545">
        <v>245</v>
      </c>
      <c r="Z251" s="3546">
        <v>255</v>
      </c>
      <c r="AA251" s="3547">
        <v>250</v>
      </c>
      <c r="AB251"/>
      <c r="AC251" s="4959"/>
      <c r="AD251" s="3541" t="s">
        <v>12857</v>
      </c>
      <c r="AE251" s="3536" t="s">
        <v>12858</v>
      </c>
      <c r="AF251" s="3537">
        <v>238</v>
      </c>
      <c r="AG251" s="3538">
        <v>201</v>
      </c>
      <c r="AH251" s="3539">
        <v>0</v>
      </c>
      <c r="AI251"/>
      <c r="AJ251" s="4960"/>
      <c r="AK251" s="3550" t="s">
        <v>12859</v>
      </c>
      <c r="AL251" s="3536" t="s">
        <v>12860</v>
      </c>
      <c r="AM251" s="3537">
        <v>109</v>
      </c>
      <c r="AN251" s="3538">
        <v>7</v>
      </c>
      <c r="AO251" s="3539">
        <v>26</v>
      </c>
      <c r="AQ251" s="3">
        <v>1</v>
      </c>
    </row>
    <row r="252" spans="22:43" ht="21" customHeight="1">
      <c r="V252" s="4961"/>
      <c r="W252" s="3558" t="s">
        <v>12861</v>
      </c>
      <c r="X252" s="3544" t="s">
        <v>12862</v>
      </c>
      <c r="Y252" s="3545">
        <v>142</v>
      </c>
      <c r="Z252" s="3546">
        <v>209</v>
      </c>
      <c r="AA252" s="3547">
        <v>178</v>
      </c>
      <c r="AB252"/>
      <c r="AC252" s="4962"/>
      <c r="AD252" s="3550" t="s">
        <v>12863</v>
      </c>
      <c r="AE252" s="3536" t="s">
        <v>12864</v>
      </c>
      <c r="AF252" s="3537">
        <v>208</v>
      </c>
      <c r="AG252" s="3538">
        <v>192</v>
      </c>
      <c r="AH252" s="3539">
        <v>122</v>
      </c>
      <c r="AI252"/>
      <c r="AJ252" s="4963"/>
      <c r="AK252" s="3550" t="s">
        <v>12865</v>
      </c>
      <c r="AL252" s="3536" t="s">
        <v>12866</v>
      </c>
      <c r="AM252" s="3537">
        <v>107</v>
      </c>
      <c r="AN252" s="3538">
        <v>13</v>
      </c>
      <c r="AO252" s="3539">
        <v>13</v>
      </c>
      <c r="AQ252" s="3">
        <v>1</v>
      </c>
    </row>
    <row r="253" spans="22:43" ht="21" customHeight="1">
      <c r="V253" s="4964"/>
      <c r="W253" s="3558" t="s">
        <v>12867</v>
      </c>
      <c r="X253" s="3544" t="s">
        <v>12868</v>
      </c>
      <c r="Y253" s="3545">
        <v>141</v>
      </c>
      <c r="Z253" s="3546">
        <v>163</v>
      </c>
      <c r="AA253" s="3547">
        <v>153</v>
      </c>
      <c r="AB253"/>
      <c r="AC253" s="4965"/>
      <c r="AD253" s="3541" t="s">
        <v>12869</v>
      </c>
      <c r="AE253" s="3536" t="s">
        <v>12870</v>
      </c>
      <c r="AF253" s="3537">
        <v>205</v>
      </c>
      <c r="AG253" s="3538">
        <v>190</v>
      </c>
      <c r="AH253" s="3539">
        <v>112</v>
      </c>
      <c r="AI253"/>
      <c r="AJ253" s="4966"/>
      <c r="AK253" s="3550" t="s">
        <v>12871</v>
      </c>
      <c r="AL253" s="3536" t="s">
        <v>12872</v>
      </c>
      <c r="AM253" s="3537">
        <v>84</v>
      </c>
      <c r="AN253" s="3538">
        <v>61</v>
      </c>
      <c r="AO253" s="3539">
        <v>63</v>
      </c>
      <c r="AQ253" s="3">
        <v>1</v>
      </c>
    </row>
    <row r="254" spans="22:43" ht="21" customHeight="1">
      <c r="V254" s="4967"/>
      <c r="W254" s="3558" t="s">
        <v>12873</v>
      </c>
      <c r="X254" s="3544" t="s">
        <v>12874</v>
      </c>
      <c r="Y254" s="3545">
        <v>131</v>
      </c>
      <c r="Z254" s="3546">
        <v>166</v>
      </c>
      <c r="AA254" s="3547">
        <v>151</v>
      </c>
      <c r="AB254"/>
      <c r="AC254" s="4968"/>
      <c r="AD254" s="3550" t="s">
        <v>12875</v>
      </c>
      <c r="AE254" s="3536" t="s">
        <v>12876</v>
      </c>
      <c r="AF254" s="3537">
        <v>194</v>
      </c>
      <c r="AG254" s="3538">
        <v>178</v>
      </c>
      <c r="AH254" s="3539">
        <v>128</v>
      </c>
      <c r="AI254"/>
      <c r="AJ254" s="4969"/>
      <c r="AK254" s="3550" t="s">
        <v>12877</v>
      </c>
      <c r="AL254" s="3536" t="s">
        <v>12878</v>
      </c>
      <c r="AM254" s="3537">
        <v>86</v>
      </c>
      <c r="AN254" s="3538">
        <v>7</v>
      </c>
      <c r="AO254" s="3539">
        <v>12</v>
      </c>
      <c r="AQ254" s="3">
        <v>1</v>
      </c>
    </row>
    <row r="255" spans="22:43" ht="21" customHeight="1">
      <c r="V255" s="4970"/>
      <c r="W255" s="3558" t="s">
        <v>12879</v>
      </c>
      <c r="X255" s="3544" t="s">
        <v>12880</v>
      </c>
      <c r="Y255" s="3545">
        <v>106</v>
      </c>
      <c r="Z255" s="3546">
        <v>171</v>
      </c>
      <c r="AA255" s="3547">
        <v>142</v>
      </c>
      <c r="AB255"/>
      <c r="AC255" s="4971"/>
      <c r="AD255" s="3550" t="s">
        <v>12881</v>
      </c>
      <c r="AE255" s="3536" t="s">
        <v>12882</v>
      </c>
      <c r="AF255" s="3537">
        <v>195</v>
      </c>
      <c r="AG255" s="3538">
        <v>180</v>
      </c>
      <c r="AH255" s="3539">
        <v>112</v>
      </c>
      <c r="AI255"/>
      <c r="AJ255" s="4972"/>
      <c r="AK255" s="3550" t="s">
        <v>12883</v>
      </c>
      <c r="AL255" s="3536" t="s">
        <v>12884</v>
      </c>
      <c r="AM255" s="3537">
        <v>78</v>
      </c>
      <c r="AN255" s="3538">
        <v>22</v>
      </c>
      <c r="AO255" s="3539">
        <v>9</v>
      </c>
      <c r="AQ255" s="3">
        <v>1</v>
      </c>
    </row>
    <row r="256" spans="22:43" ht="21" customHeight="1">
      <c r="V256" s="4973"/>
      <c r="W256" s="3558" t="s">
        <v>12885</v>
      </c>
      <c r="X256" s="3544" t="s">
        <v>12886</v>
      </c>
      <c r="Y256" s="3545">
        <v>62</v>
      </c>
      <c r="Z256" s="3546">
        <v>180</v>
      </c>
      <c r="AA256" s="3547">
        <v>137</v>
      </c>
      <c r="AB256"/>
      <c r="AC256" s="4974"/>
      <c r="AD256" s="3541" t="s">
        <v>12887</v>
      </c>
      <c r="AE256" s="3536" t="s">
        <v>12888</v>
      </c>
      <c r="AF256" s="3537">
        <v>207</v>
      </c>
      <c r="AG256" s="3538">
        <v>181</v>
      </c>
      <c r="AH256" s="3539">
        <v>59</v>
      </c>
      <c r="AI256"/>
      <c r="AJ256" s="4975"/>
      <c r="AK256" s="3550" t="s">
        <v>12889</v>
      </c>
      <c r="AL256" s="3536" t="s">
        <v>12890</v>
      </c>
      <c r="AM256" s="3537">
        <v>62</v>
      </c>
      <c r="AN256" s="3538">
        <v>29</v>
      </c>
      <c r="AO256" s="3539">
        <v>30</v>
      </c>
      <c r="AQ256" s="3">
        <v>1</v>
      </c>
    </row>
    <row r="257" spans="22:43" ht="21" customHeight="1">
      <c r="V257" s="4976"/>
      <c r="W257" s="3543" t="s">
        <v>12891</v>
      </c>
      <c r="X257" s="3544" t="s">
        <v>12892</v>
      </c>
      <c r="Y257" s="3545">
        <v>2</v>
      </c>
      <c r="Z257" s="3546">
        <v>157</v>
      </c>
      <c r="AA257" s="3547">
        <v>116</v>
      </c>
      <c r="AB257"/>
      <c r="AC257" s="4977"/>
      <c r="AD257" s="3550" t="s">
        <v>12893</v>
      </c>
      <c r="AE257" s="3536" t="s">
        <v>12894</v>
      </c>
      <c r="AF257" s="3537">
        <v>209</v>
      </c>
      <c r="AG257" s="3538">
        <v>182</v>
      </c>
      <c r="AH257" s="3539">
        <v>6</v>
      </c>
      <c r="AI257"/>
      <c r="AJ257" s="4978"/>
      <c r="AK257" s="3541" t="s">
        <v>12895</v>
      </c>
      <c r="AL257" s="3536" t="s">
        <v>12896</v>
      </c>
      <c r="AM257" s="3537">
        <v>238</v>
      </c>
      <c r="AN257" s="3538">
        <v>162</v>
      </c>
      <c r="AO257" s="3539">
        <v>173</v>
      </c>
      <c r="AQ257" s="3">
        <v>1</v>
      </c>
    </row>
    <row r="258" spans="22:43" ht="21" customHeight="1">
      <c r="V258" s="4979"/>
      <c r="W258" s="3543" t="s">
        <v>12897</v>
      </c>
      <c r="X258" s="3544" t="s">
        <v>12898</v>
      </c>
      <c r="Y258" s="3545">
        <v>35</v>
      </c>
      <c r="Z258" s="3546">
        <v>142</v>
      </c>
      <c r="AA258" s="3547">
        <v>104</v>
      </c>
      <c r="AB258"/>
      <c r="AC258" s="4980"/>
      <c r="AD258" s="3541" t="s">
        <v>12899</v>
      </c>
      <c r="AE258" s="3536" t="s">
        <v>12900</v>
      </c>
      <c r="AF258" s="3537">
        <v>205</v>
      </c>
      <c r="AG258" s="3538">
        <v>173</v>
      </c>
      <c r="AH258" s="3539">
        <v>0</v>
      </c>
      <c r="AI258"/>
      <c r="AJ258" s="4981"/>
      <c r="AK258" s="3541" t="s">
        <v>12901</v>
      </c>
      <c r="AL258" s="3536" t="s">
        <v>12902</v>
      </c>
      <c r="AM258" s="3537">
        <v>238</v>
      </c>
      <c r="AN258" s="3538">
        <v>169</v>
      </c>
      <c r="AO258" s="3539">
        <v>184</v>
      </c>
      <c r="AQ258" s="3">
        <v>1</v>
      </c>
    </row>
    <row r="259" spans="22:43" ht="21" customHeight="1">
      <c r="V259" s="4982"/>
      <c r="W259" s="3558" t="s">
        <v>12903</v>
      </c>
      <c r="X259" s="3544" t="s">
        <v>12904</v>
      </c>
      <c r="Y259" s="3545">
        <v>59</v>
      </c>
      <c r="Z259" s="3546">
        <v>120</v>
      </c>
      <c r="AA259" s="3547">
        <v>97</v>
      </c>
      <c r="AB259"/>
      <c r="AC259" s="4983"/>
      <c r="AD259" s="3541" t="s">
        <v>12905</v>
      </c>
      <c r="AE259" s="3536" t="s">
        <v>12906</v>
      </c>
      <c r="AF259" s="3537">
        <v>139</v>
      </c>
      <c r="AG259" s="3538">
        <v>117</v>
      </c>
      <c r="AH259" s="3539">
        <v>0</v>
      </c>
      <c r="AI259"/>
      <c r="AJ259" s="4984"/>
      <c r="AK259" s="3541" t="s">
        <v>12907</v>
      </c>
      <c r="AL259" s="3536" t="s">
        <v>12908</v>
      </c>
      <c r="AM259" s="3537">
        <v>255</v>
      </c>
      <c r="AN259" s="3538">
        <v>174</v>
      </c>
      <c r="AO259" s="3539">
        <v>185</v>
      </c>
      <c r="AQ259" s="3">
        <v>1</v>
      </c>
    </row>
    <row r="260" spans="22:43" ht="21" customHeight="1">
      <c r="V260" s="4985"/>
      <c r="W260" s="3558" t="s">
        <v>12909</v>
      </c>
      <c r="X260" s="3544" t="s">
        <v>12910</v>
      </c>
      <c r="Y260" s="3545">
        <v>0</v>
      </c>
      <c r="Z260" s="3546">
        <v>121</v>
      </c>
      <c r="AA260" s="3547">
        <v>89</v>
      </c>
      <c r="AB260"/>
      <c r="AC260" s="4986"/>
      <c r="AD260" s="3550" t="s">
        <v>12911</v>
      </c>
      <c r="AE260" s="3536" t="s">
        <v>12912</v>
      </c>
      <c r="AF260" s="3537">
        <v>104</v>
      </c>
      <c r="AG260" s="3538">
        <v>94</v>
      </c>
      <c r="AH260" s="3539">
        <v>67</v>
      </c>
      <c r="AI260"/>
      <c r="AJ260" s="4987"/>
      <c r="AK260" s="3541" t="s">
        <v>12913</v>
      </c>
      <c r="AL260" s="3536" t="s">
        <v>12914</v>
      </c>
      <c r="AM260" s="3537">
        <v>255</v>
      </c>
      <c r="AN260" s="3538">
        <v>181</v>
      </c>
      <c r="AO260" s="3539">
        <v>197</v>
      </c>
      <c r="AQ260" s="3">
        <v>1</v>
      </c>
    </row>
    <row r="261" spans="22:43" ht="21" customHeight="1">
      <c r="V261" s="4988"/>
      <c r="W261" s="3558" t="s">
        <v>12915</v>
      </c>
      <c r="X261" s="3544" t="s">
        <v>12916</v>
      </c>
      <c r="Y261" s="3545">
        <v>0</v>
      </c>
      <c r="Z261" s="3546">
        <v>84</v>
      </c>
      <c r="AA261" s="3547">
        <v>61</v>
      </c>
      <c r="AB261"/>
      <c r="AC261" s="4989"/>
      <c r="AD261" s="3550" t="s">
        <v>12917</v>
      </c>
      <c r="AE261" s="3536" t="s">
        <v>12918</v>
      </c>
      <c r="AF261" s="3537">
        <v>145</v>
      </c>
      <c r="AG261" s="3538">
        <v>92</v>
      </c>
      <c r="AH261" s="3539">
        <v>131</v>
      </c>
      <c r="AI261"/>
      <c r="AJ261" s="4990"/>
      <c r="AK261" s="3541" t="s">
        <v>12919</v>
      </c>
      <c r="AL261" s="3536" t="s">
        <v>12920</v>
      </c>
      <c r="AM261" s="3537">
        <v>255</v>
      </c>
      <c r="AN261" s="3538">
        <v>182</v>
      </c>
      <c r="AO261" s="3539">
        <v>193</v>
      </c>
      <c r="AQ261" s="3">
        <v>1</v>
      </c>
    </row>
    <row r="262" spans="22:43" ht="21" customHeight="1">
      <c r="V262" s="4991"/>
      <c r="W262" s="3543" t="s">
        <v>12921</v>
      </c>
      <c r="X262" s="3544" t="s">
        <v>12922</v>
      </c>
      <c r="Y262" s="3545">
        <v>118</v>
      </c>
      <c r="Z262" s="3546">
        <v>238</v>
      </c>
      <c r="AA262" s="3547">
        <v>198</v>
      </c>
      <c r="AB262"/>
      <c r="AC262" s="4992"/>
      <c r="AD262" s="3541" t="s">
        <v>12923</v>
      </c>
      <c r="AE262" s="3536" t="s">
        <v>12924</v>
      </c>
      <c r="AF262" s="3537">
        <v>135</v>
      </c>
      <c r="AG262" s="3538">
        <v>31</v>
      </c>
      <c r="AH262" s="3539">
        <v>120</v>
      </c>
      <c r="AI262"/>
      <c r="AJ262" s="4993"/>
      <c r="AK262" s="3541" t="s">
        <v>12925</v>
      </c>
      <c r="AL262" s="3536" t="s">
        <v>12926</v>
      </c>
      <c r="AM262" s="3537">
        <v>255</v>
      </c>
      <c r="AN262" s="3538">
        <v>192</v>
      </c>
      <c r="AO262" s="3539">
        <v>203</v>
      </c>
      <c r="AQ262" s="3">
        <v>1</v>
      </c>
    </row>
    <row r="263" spans="22:43" ht="21" customHeight="1">
      <c r="V263" s="4994"/>
      <c r="W263" s="3558" t="s">
        <v>12927</v>
      </c>
      <c r="X263" s="3544" t="s">
        <v>12928</v>
      </c>
      <c r="Y263" s="3545">
        <v>151</v>
      </c>
      <c r="Z263" s="3546">
        <v>223</v>
      </c>
      <c r="AA263" s="3547">
        <v>198</v>
      </c>
      <c r="AB263"/>
      <c r="AC263" s="4995"/>
      <c r="AD263" s="3550" t="s">
        <v>12929</v>
      </c>
      <c r="AE263" s="3536" t="s">
        <v>12930</v>
      </c>
      <c r="AF263" s="3537">
        <v>135</v>
      </c>
      <c r="AG263" s="3538">
        <v>0</v>
      </c>
      <c r="AH263" s="3539">
        <v>116</v>
      </c>
      <c r="AI263"/>
      <c r="AJ263" s="4996"/>
      <c r="AK263" s="3550" t="s">
        <v>12931</v>
      </c>
      <c r="AL263" s="3536" t="s">
        <v>12932</v>
      </c>
      <c r="AM263" s="3537">
        <v>213</v>
      </c>
      <c r="AN263" s="3538">
        <v>132</v>
      </c>
      <c r="AO263" s="3539">
        <v>144</v>
      </c>
      <c r="AQ263" s="3">
        <v>1</v>
      </c>
    </row>
    <row r="264" spans="22:43" ht="21" customHeight="1">
      <c r="V264" s="4997"/>
      <c r="W264" s="3543" t="s">
        <v>12933</v>
      </c>
      <c r="X264" s="3544" t="s">
        <v>12934</v>
      </c>
      <c r="Y264" s="3545">
        <v>127</v>
      </c>
      <c r="Z264" s="3546">
        <v>255</v>
      </c>
      <c r="AA264" s="3547">
        <v>212</v>
      </c>
      <c r="AB264"/>
      <c r="AC264" s="4998"/>
      <c r="AD264" s="3550" t="s">
        <v>12935</v>
      </c>
      <c r="AE264" s="3536" t="s">
        <v>12936</v>
      </c>
      <c r="AF264" s="3537">
        <v>93</v>
      </c>
      <c r="AG264" s="3538">
        <v>85</v>
      </c>
      <c r="AH264" s="3539">
        <v>91</v>
      </c>
      <c r="AI264"/>
      <c r="AJ264" s="4999"/>
      <c r="AK264" s="3541" t="s">
        <v>12937</v>
      </c>
      <c r="AL264" s="3536" t="s">
        <v>12938</v>
      </c>
      <c r="AM264" s="3537">
        <v>205</v>
      </c>
      <c r="AN264" s="3538">
        <v>145</v>
      </c>
      <c r="AO264" s="3539">
        <v>158</v>
      </c>
      <c r="AQ264" s="3">
        <v>1</v>
      </c>
    </row>
    <row r="265" spans="22:43" ht="21" customHeight="1">
      <c r="V265" s="5000"/>
      <c r="W265" s="3558" t="s">
        <v>12939</v>
      </c>
      <c r="X265" s="3544" t="s">
        <v>12940</v>
      </c>
      <c r="Y265" s="3545">
        <v>223</v>
      </c>
      <c r="Z265" s="3546">
        <v>237</v>
      </c>
      <c r="AA265" s="3547">
        <v>232</v>
      </c>
      <c r="AB265"/>
      <c r="AC265" s="5001"/>
      <c r="AD265" s="3550" t="s">
        <v>12941</v>
      </c>
      <c r="AE265" s="3536" t="s">
        <v>12942</v>
      </c>
      <c r="AF265" s="3537">
        <v>112</v>
      </c>
      <c r="AG265" s="3538">
        <v>41</v>
      </c>
      <c r="AH265" s="3539">
        <v>99</v>
      </c>
      <c r="AI265"/>
      <c r="AJ265" s="5002"/>
      <c r="AK265" s="3541" t="s">
        <v>12943</v>
      </c>
      <c r="AL265" s="3536" t="s">
        <v>12944</v>
      </c>
      <c r="AM265" s="3537">
        <v>205</v>
      </c>
      <c r="AN265" s="3538">
        <v>140</v>
      </c>
      <c r="AO265" s="3539">
        <v>149</v>
      </c>
      <c r="AQ265" s="3">
        <v>1</v>
      </c>
    </row>
    <row r="266" spans="22:43" ht="21" customHeight="1">
      <c r="V266" s="5003"/>
      <c r="W266" s="3543" t="s">
        <v>12945</v>
      </c>
      <c r="X266" s="3544" t="s">
        <v>12946</v>
      </c>
      <c r="Y266" s="3545">
        <v>102</v>
      </c>
      <c r="Z266" s="3546">
        <v>205</v>
      </c>
      <c r="AA266" s="3547">
        <v>170</v>
      </c>
      <c r="AB266"/>
      <c r="AC266" s="5004"/>
      <c r="AD266" s="3550" t="s">
        <v>12947</v>
      </c>
      <c r="AE266" s="3536" t="s">
        <v>12948</v>
      </c>
      <c r="AF266" s="3537">
        <v>93</v>
      </c>
      <c r="AG266" s="3538">
        <v>57</v>
      </c>
      <c r="AH266" s="3539">
        <v>84</v>
      </c>
      <c r="AI266"/>
      <c r="AJ266" s="5005"/>
      <c r="AK266" s="3550" t="s">
        <v>12949</v>
      </c>
      <c r="AL266" s="3536" t="s">
        <v>12950</v>
      </c>
      <c r="AM266" s="3537">
        <v>175</v>
      </c>
      <c r="AN266" s="3538">
        <v>134</v>
      </c>
      <c r="AO266" s="3539">
        <v>142</v>
      </c>
      <c r="AQ266" s="3">
        <v>1</v>
      </c>
    </row>
    <row r="267" spans="22:43" ht="21" customHeight="1">
      <c r="V267" s="5006"/>
      <c r="W267" s="3558" t="s">
        <v>12951</v>
      </c>
      <c r="X267" s="3544" t="s">
        <v>12952</v>
      </c>
      <c r="Y267" s="3545">
        <v>125</v>
      </c>
      <c r="Z267" s="3546">
        <v>137</v>
      </c>
      <c r="AA267" s="3547">
        <v>132</v>
      </c>
      <c r="AB267"/>
      <c r="AC267" s="5007"/>
      <c r="AD267" s="3550" t="s">
        <v>12953</v>
      </c>
      <c r="AE267" s="3536" t="s">
        <v>12954</v>
      </c>
      <c r="AF267" s="3537">
        <v>80</v>
      </c>
      <c r="AG267" s="3538">
        <v>64</v>
      </c>
      <c r="AH267" s="3539">
        <v>77</v>
      </c>
      <c r="AI267"/>
      <c r="AJ267" s="5008"/>
      <c r="AK267" s="3550" t="s">
        <v>12955</v>
      </c>
      <c r="AL267" s="3536" t="s">
        <v>12956</v>
      </c>
      <c r="AM267" s="3537">
        <v>199</v>
      </c>
      <c r="AN267" s="3538">
        <v>44</v>
      </c>
      <c r="AO267" s="3539">
        <v>72</v>
      </c>
      <c r="AQ267" s="3">
        <v>1</v>
      </c>
    </row>
    <row r="268" spans="22:43" ht="21" customHeight="1">
      <c r="V268" s="5009"/>
      <c r="W268" s="3558" t="s">
        <v>12957</v>
      </c>
      <c r="X268" s="3544" t="s">
        <v>12958</v>
      </c>
      <c r="Y268" s="3545">
        <v>100</v>
      </c>
      <c r="Z268" s="3546">
        <v>155</v>
      </c>
      <c r="AA268" s="3547">
        <v>136</v>
      </c>
      <c r="AB268"/>
      <c r="AC268" s="5010"/>
      <c r="AD268" s="3550" t="s">
        <v>12959</v>
      </c>
      <c r="AE268" s="3536" t="s">
        <v>12960</v>
      </c>
      <c r="AF268" s="3537">
        <v>211</v>
      </c>
      <c r="AG268" s="3538">
        <v>153</v>
      </c>
      <c r="AH268" s="3539">
        <v>230</v>
      </c>
      <c r="AI268"/>
      <c r="AJ268" s="5011"/>
      <c r="AK268" s="3550" t="s">
        <v>12961</v>
      </c>
      <c r="AL268" s="3536" t="s">
        <v>12962</v>
      </c>
      <c r="AM268" s="3537">
        <v>172</v>
      </c>
      <c r="AN268" s="3538">
        <v>30</v>
      </c>
      <c r="AO268" s="3539">
        <v>68</v>
      </c>
      <c r="AQ268" s="3">
        <v>1</v>
      </c>
    </row>
    <row r="269" spans="22:43" ht="21" customHeight="1">
      <c r="V269" s="5012"/>
      <c r="W269" s="3543" t="s">
        <v>12963</v>
      </c>
      <c r="X269" s="3544" t="s">
        <v>12964</v>
      </c>
      <c r="Y269" s="3545">
        <v>69</v>
      </c>
      <c r="Z269" s="3546">
        <v>139</v>
      </c>
      <c r="AA269" s="3547">
        <v>116</v>
      </c>
      <c r="AB269"/>
      <c r="AC269" s="5013"/>
      <c r="AD269" s="3541" t="s">
        <v>12965</v>
      </c>
      <c r="AE269" s="3536" t="s">
        <v>12966</v>
      </c>
      <c r="AF269" s="3537">
        <v>224</v>
      </c>
      <c r="AG269" s="3538">
        <v>102</v>
      </c>
      <c r="AH269" s="3539">
        <v>255</v>
      </c>
      <c r="AI269"/>
      <c r="AJ269" s="5014"/>
      <c r="AK269" s="3541" t="s">
        <v>12967</v>
      </c>
      <c r="AL269" s="3536" t="s">
        <v>12968</v>
      </c>
      <c r="AM269" s="3537">
        <v>139</v>
      </c>
      <c r="AN269" s="3538">
        <v>99</v>
      </c>
      <c r="AO269" s="3539">
        <v>108</v>
      </c>
      <c r="AQ269" s="3">
        <v>1</v>
      </c>
    </row>
    <row r="270" spans="22:43" ht="21" customHeight="1">
      <c r="V270" s="5015"/>
      <c r="W270" s="3558" t="s">
        <v>12969</v>
      </c>
      <c r="X270" s="3544" t="s">
        <v>12970</v>
      </c>
      <c r="Y270" s="3545">
        <v>94</v>
      </c>
      <c r="Z270" s="3546">
        <v>113</v>
      </c>
      <c r="AA270" s="3547">
        <v>106</v>
      </c>
      <c r="AB270"/>
      <c r="AC270" s="5016"/>
      <c r="AD270" s="3550" t="s">
        <v>12971</v>
      </c>
      <c r="AE270" s="3536" t="s">
        <v>12972</v>
      </c>
      <c r="AF270" s="3537">
        <v>223</v>
      </c>
      <c r="AG270" s="3538">
        <v>115</v>
      </c>
      <c r="AH270" s="3539">
        <v>255</v>
      </c>
      <c r="AI270"/>
      <c r="AJ270" s="5017"/>
      <c r="AK270" s="3541" t="s">
        <v>12973</v>
      </c>
      <c r="AL270" s="3536" t="s">
        <v>12974</v>
      </c>
      <c r="AM270" s="3537">
        <v>139</v>
      </c>
      <c r="AN270" s="3538">
        <v>95</v>
      </c>
      <c r="AO270" s="3539">
        <v>101</v>
      </c>
      <c r="AQ270" s="3">
        <v>1</v>
      </c>
    </row>
    <row r="271" spans="22:43" ht="21" customHeight="1">
      <c r="V271" s="5018"/>
      <c r="W271" s="3558" t="s">
        <v>12975</v>
      </c>
      <c r="X271" s="3544" t="s">
        <v>12976</v>
      </c>
      <c r="Y271" s="3545">
        <v>64</v>
      </c>
      <c r="Z271" s="3546">
        <v>130</v>
      </c>
      <c r="AA271" s="3547">
        <v>109</v>
      </c>
      <c r="AB271"/>
      <c r="AC271" s="5019"/>
      <c r="AD271" s="3541" t="s">
        <v>12977</v>
      </c>
      <c r="AE271" s="3536" t="s">
        <v>12978</v>
      </c>
      <c r="AF271" s="3537">
        <v>209</v>
      </c>
      <c r="AG271" s="3538">
        <v>95</v>
      </c>
      <c r="AH271" s="3539">
        <v>238</v>
      </c>
      <c r="AI271"/>
      <c r="AJ271" s="5020"/>
      <c r="AK271" s="3550" t="s">
        <v>12979</v>
      </c>
      <c r="AL271" s="3536" t="s">
        <v>12980</v>
      </c>
      <c r="AM271" s="3537">
        <v>158</v>
      </c>
      <c r="AN271" s="3538">
        <v>14</v>
      </c>
      <c r="AO271" s="3539">
        <v>64</v>
      </c>
      <c r="AQ271" s="3">
        <v>1</v>
      </c>
    </row>
    <row r="272" spans="22:43" ht="21" customHeight="1">
      <c r="V272" s="5021"/>
      <c r="W272" s="3558" t="s">
        <v>12981</v>
      </c>
      <c r="X272" s="3544" t="s">
        <v>12982</v>
      </c>
      <c r="Y272" s="3545">
        <v>27</v>
      </c>
      <c r="Z272" s="3546">
        <v>77</v>
      </c>
      <c r="AA272" s="3547">
        <v>62</v>
      </c>
      <c r="AB272"/>
      <c r="AC272" s="5022"/>
      <c r="AD272" s="3550" t="s">
        <v>12983</v>
      </c>
      <c r="AE272" s="3536" t="s">
        <v>12984</v>
      </c>
      <c r="AF272" s="3537">
        <v>182</v>
      </c>
      <c r="AG272" s="3538">
        <v>149</v>
      </c>
      <c r="AH272" s="3539">
        <v>192</v>
      </c>
      <c r="AI272"/>
      <c r="AJ272" s="5023"/>
      <c r="AK272" s="3550" t="s">
        <v>12985</v>
      </c>
      <c r="AL272" s="3536" t="s">
        <v>12986</v>
      </c>
      <c r="AM272" s="3537">
        <v>145</v>
      </c>
      <c r="AN272" s="3538">
        <v>40</v>
      </c>
      <c r="AO272" s="3539">
        <v>59</v>
      </c>
      <c r="AQ272" s="3">
        <v>1</v>
      </c>
    </row>
    <row r="273" spans="22:43" ht="21" customHeight="1">
      <c r="V273" s="5024"/>
      <c r="W273" s="3558" t="s">
        <v>12987</v>
      </c>
      <c r="X273" s="3544" t="s">
        <v>12988</v>
      </c>
      <c r="Y273" s="3545">
        <v>28</v>
      </c>
      <c r="Z273" s="3546">
        <v>53</v>
      </c>
      <c r="AA273" s="3547">
        <v>45</v>
      </c>
      <c r="AB273"/>
      <c r="AC273" s="5025"/>
      <c r="AD273" s="3541" t="s">
        <v>12989</v>
      </c>
      <c r="AE273" s="3536" t="s">
        <v>12990</v>
      </c>
      <c r="AF273" s="3537">
        <v>186</v>
      </c>
      <c r="AG273" s="3538">
        <v>85</v>
      </c>
      <c r="AH273" s="3539">
        <v>211</v>
      </c>
      <c r="AI273"/>
      <c r="AJ273" s="5026"/>
      <c r="AK273" s="3550" t="s">
        <v>12991</v>
      </c>
      <c r="AL273" s="3536" t="s">
        <v>12992</v>
      </c>
      <c r="AM273" s="3537">
        <v>144</v>
      </c>
      <c r="AN273" s="3538">
        <v>40</v>
      </c>
      <c r="AO273" s="3539">
        <v>59</v>
      </c>
      <c r="AQ273" s="3">
        <v>1</v>
      </c>
    </row>
    <row r="274" spans="22:43" ht="21" customHeight="1">
      <c r="V274" s="5027"/>
      <c r="W274" s="3558" t="s">
        <v>12993</v>
      </c>
      <c r="X274" s="3544" t="s">
        <v>12994</v>
      </c>
      <c r="Y274" s="3545">
        <v>30</v>
      </c>
      <c r="Z274" s="3546">
        <v>35</v>
      </c>
      <c r="AA274" s="3547">
        <v>33</v>
      </c>
      <c r="AB274"/>
      <c r="AC274" s="5028"/>
      <c r="AD274" s="3541" t="s">
        <v>12995</v>
      </c>
      <c r="AE274" s="3536" t="s">
        <v>12996</v>
      </c>
      <c r="AF274" s="3537">
        <v>180</v>
      </c>
      <c r="AG274" s="3538">
        <v>82</v>
      </c>
      <c r="AH274" s="3539">
        <v>205</v>
      </c>
      <c r="AI274"/>
      <c r="AJ274" s="5029"/>
      <c r="AK274" s="3550" t="s">
        <v>12997</v>
      </c>
      <c r="AL274" s="3536" t="s">
        <v>12998</v>
      </c>
      <c r="AM274" s="3537">
        <v>92</v>
      </c>
      <c r="AN274" s="3538">
        <v>9</v>
      </c>
      <c r="AO274" s="3539">
        <v>35</v>
      </c>
      <c r="AQ274" s="3">
        <v>1</v>
      </c>
    </row>
    <row r="275" spans="22:43" ht="21" customHeight="1">
      <c r="V275" s="5030"/>
      <c r="W275" s="3558" t="s">
        <v>12999</v>
      </c>
      <c r="X275" s="3544" t="s">
        <v>13000</v>
      </c>
      <c r="Y275" s="3545">
        <v>26</v>
      </c>
      <c r="Z275" s="3546">
        <v>36</v>
      </c>
      <c r="AA275" s="3547">
        <v>33</v>
      </c>
      <c r="AB275"/>
      <c r="AC275" s="5031"/>
      <c r="AD275" s="3550" t="s">
        <v>13001</v>
      </c>
      <c r="AE275" s="3536" t="s">
        <v>13002</v>
      </c>
      <c r="AF275" s="3537">
        <v>154</v>
      </c>
      <c r="AG275" s="3538">
        <v>78</v>
      </c>
      <c r="AH275" s="3539">
        <v>174</v>
      </c>
      <c r="AI275"/>
      <c r="AJ275" s="5032"/>
      <c r="AK275" s="3550" t="s">
        <v>13003</v>
      </c>
      <c r="AL275" s="3536" t="s">
        <v>13004</v>
      </c>
      <c r="AM275" s="3537">
        <v>58</v>
      </c>
      <c r="AN275" s="3538">
        <v>2</v>
      </c>
      <c r="AO275" s="3539">
        <v>13</v>
      </c>
      <c r="AQ275" s="3">
        <v>1</v>
      </c>
    </row>
    <row r="276" spans="22:43" ht="21" customHeight="1">
      <c r="V276" s="5033"/>
      <c r="W276" s="3543" t="s">
        <v>13005</v>
      </c>
      <c r="X276" s="3544" t="s">
        <v>13006</v>
      </c>
      <c r="Y276" s="3545">
        <v>0</v>
      </c>
      <c r="Z276" s="3546">
        <v>250</v>
      </c>
      <c r="AA276" s="3547">
        <v>154</v>
      </c>
      <c r="AB276"/>
      <c r="AC276" s="5034"/>
      <c r="AD276" s="3550" t="s">
        <v>13007</v>
      </c>
      <c r="AE276" s="3536" t="s">
        <v>13008</v>
      </c>
      <c r="AF276" s="3537">
        <v>134</v>
      </c>
      <c r="AG276" s="3538">
        <v>96</v>
      </c>
      <c r="AH276" s="3539">
        <v>142</v>
      </c>
      <c r="AI276"/>
      <c r="AJ276" s="5035"/>
      <c r="AK276" s="3550" t="s">
        <v>13009</v>
      </c>
      <c r="AL276" s="3536" t="s">
        <v>13010</v>
      </c>
      <c r="AM276" s="3537">
        <v>46</v>
      </c>
      <c r="AN276" s="3538">
        <v>29</v>
      </c>
      <c r="AO276" s="3539">
        <v>33</v>
      </c>
      <c r="AQ276" s="3">
        <v>1</v>
      </c>
    </row>
    <row r="277" spans="22:43" ht="21" customHeight="1">
      <c r="V277" s="5036"/>
      <c r="W277" s="3558" t="s">
        <v>13011</v>
      </c>
      <c r="X277" s="3544" t="s">
        <v>13012</v>
      </c>
      <c r="Y277" s="3545">
        <v>0</v>
      </c>
      <c r="Z277" s="3546">
        <v>136</v>
      </c>
      <c r="AA277" s="3547">
        <v>86</v>
      </c>
      <c r="AB277"/>
      <c r="AC277" s="5037"/>
      <c r="AD277" s="3550" t="s">
        <v>13013</v>
      </c>
      <c r="AE277" s="3536" t="s">
        <v>13014</v>
      </c>
      <c r="AF277" s="3537">
        <v>135</v>
      </c>
      <c r="AG277" s="3538">
        <v>86</v>
      </c>
      <c r="AH277" s="3539">
        <v>146</v>
      </c>
      <c r="AI277"/>
      <c r="AJ277" s="5038"/>
      <c r="AK277" s="3541" t="s">
        <v>13015</v>
      </c>
      <c r="AL277" s="3536" t="s">
        <v>13016</v>
      </c>
      <c r="AM277" s="3537">
        <v>255</v>
      </c>
      <c r="AN277" s="3538">
        <v>127</v>
      </c>
      <c r="AO277" s="3539">
        <v>36</v>
      </c>
      <c r="AQ277" s="3">
        <v>1</v>
      </c>
    </row>
    <row r="278" spans="22:43" ht="21" customHeight="1">
      <c r="V278" s="5039"/>
      <c r="W278" s="3543" t="s">
        <v>13017</v>
      </c>
      <c r="X278" s="3544" t="s">
        <v>13018</v>
      </c>
      <c r="Y278" s="3545">
        <v>255</v>
      </c>
      <c r="Z278" s="3546">
        <v>110</v>
      </c>
      <c r="AA278" s="3547">
        <v>199</v>
      </c>
      <c r="AB278"/>
      <c r="AC278" s="5040"/>
      <c r="AD278" s="3541" t="s">
        <v>13019</v>
      </c>
      <c r="AE278" s="3536" t="s">
        <v>13020</v>
      </c>
      <c r="AF278" s="3537">
        <v>122</v>
      </c>
      <c r="AG278" s="3538">
        <v>55</v>
      </c>
      <c r="AH278" s="3539">
        <v>139</v>
      </c>
      <c r="AI278"/>
      <c r="AJ278" s="5041"/>
      <c r="AK278" s="3541" t="s">
        <v>13021</v>
      </c>
      <c r="AL278" s="3536" t="s">
        <v>13022</v>
      </c>
      <c r="AM278" s="3537">
        <v>233</v>
      </c>
      <c r="AN278" s="3538">
        <v>150</v>
      </c>
      <c r="AO278" s="3539">
        <v>122</v>
      </c>
      <c r="AQ278" s="3">
        <v>1</v>
      </c>
    </row>
    <row r="279" spans="22:43" ht="21" customHeight="1">
      <c r="V279" s="5042"/>
      <c r="W279" s="3543" t="s">
        <v>13023</v>
      </c>
      <c r="X279" s="3544" t="s">
        <v>13024</v>
      </c>
      <c r="Y279" s="3545">
        <v>204</v>
      </c>
      <c r="Z279" s="3546">
        <v>50</v>
      </c>
      <c r="AA279" s="3547">
        <v>153</v>
      </c>
      <c r="AB279"/>
      <c r="AC279" s="5043"/>
      <c r="AD279" s="3550" t="s">
        <v>13025</v>
      </c>
      <c r="AE279" s="3536" t="s">
        <v>13026</v>
      </c>
      <c r="AF279" s="3537">
        <v>96</v>
      </c>
      <c r="AG279" s="3538">
        <v>47</v>
      </c>
      <c r="AH279" s="3539">
        <v>107</v>
      </c>
      <c r="AI279"/>
      <c r="AJ279" s="5044"/>
      <c r="AK279" s="3541" t="s">
        <v>13027</v>
      </c>
      <c r="AL279" s="3536" t="s">
        <v>13028</v>
      </c>
      <c r="AM279" s="3537">
        <v>238</v>
      </c>
      <c r="AN279" s="3538">
        <v>149</v>
      </c>
      <c r="AO279" s="3539">
        <v>114</v>
      </c>
      <c r="AQ279" s="3">
        <v>1</v>
      </c>
    </row>
    <row r="280" spans="22:43" ht="21" customHeight="1">
      <c r="V280" s="5045"/>
      <c r="W280" s="3543" t="s">
        <v>13029</v>
      </c>
      <c r="X280" s="3544" t="s">
        <v>13030</v>
      </c>
      <c r="Y280" s="3545">
        <v>205</v>
      </c>
      <c r="Z280" s="3546">
        <v>41</v>
      </c>
      <c r="AA280" s="3547">
        <v>144</v>
      </c>
      <c r="AB280"/>
      <c r="AC280" s="5046"/>
      <c r="AD280" s="3550" t="s">
        <v>13031</v>
      </c>
      <c r="AE280" s="3536" t="s">
        <v>13032</v>
      </c>
      <c r="AF280" s="3537">
        <v>86</v>
      </c>
      <c r="AG280" s="3538">
        <v>60</v>
      </c>
      <c r="AH280" s="3539">
        <v>92</v>
      </c>
      <c r="AI280"/>
      <c r="AJ280" s="5047"/>
      <c r="AK280" s="3541" t="s">
        <v>13033</v>
      </c>
      <c r="AL280" s="3536" t="s">
        <v>13034</v>
      </c>
      <c r="AM280" s="3537">
        <v>255</v>
      </c>
      <c r="AN280" s="3538">
        <v>130</v>
      </c>
      <c r="AO280" s="3539">
        <v>71</v>
      </c>
      <c r="AQ280" s="3">
        <v>1</v>
      </c>
    </row>
    <row r="281" spans="22:43" ht="21" customHeight="1">
      <c r="V281" s="5048"/>
      <c r="W281" s="3558" t="s">
        <v>13035</v>
      </c>
      <c r="X281" s="3544" t="s">
        <v>13036</v>
      </c>
      <c r="Y281" s="3545">
        <v>150</v>
      </c>
      <c r="Z281" s="3546">
        <v>85</v>
      </c>
      <c r="AA281" s="3547">
        <v>120</v>
      </c>
      <c r="AB281"/>
      <c r="AC281" s="5049"/>
      <c r="AD281" s="3541" t="s">
        <v>13037</v>
      </c>
      <c r="AE281" s="3536" t="s">
        <v>13038</v>
      </c>
      <c r="AF281" s="3537">
        <v>255</v>
      </c>
      <c r="AG281" s="3538">
        <v>20</v>
      </c>
      <c r="AH281" s="3539">
        <v>147</v>
      </c>
      <c r="AI281"/>
      <c r="AJ281" s="5050"/>
      <c r="AK281" s="3541" t="s">
        <v>13039</v>
      </c>
      <c r="AL281" s="3536" t="s">
        <v>13040</v>
      </c>
      <c r="AM281" s="3537">
        <v>255</v>
      </c>
      <c r="AN281" s="3538">
        <v>127</v>
      </c>
      <c r="AO281" s="3539">
        <v>80</v>
      </c>
      <c r="AQ281" s="3">
        <v>1</v>
      </c>
    </row>
    <row r="282" spans="22:43" ht="21" customHeight="1">
      <c r="V282" s="5051"/>
      <c r="W282" s="3543" t="s">
        <v>13041</v>
      </c>
      <c r="X282" s="3544" t="s">
        <v>13042</v>
      </c>
      <c r="Y282" s="3545">
        <v>139</v>
      </c>
      <c r="Z282" s="3546">
        <v>28</v>
      </c>
      <c r="AA282" s="3547">
        <v>98</v>
      </c>
      <c r="AB282"/>
      <c r="AC282" s="5052"/>
      <c r="AD282" s="3550" t="s">
        <v>13043</v>
      </c>
      <c r="AE282" s="3536" t="s">
        <v>13044</v>
      </c>
      <c r="AF282" s="3537">
        <v>253</v>
      </c>
      <c r="AG282" s="3538">
        <v>63</v>
      </c>
      <c r="AH282" s="3539">
        <v>146</v>
      </c>
      <c r="AI282"/>
      <c r="AJ282" s="5053"/>
      <c r="AK282" s="3541" t="s">
        <v>13045</v>
      </c>
      <c r="AL282" s="3536" t="s">
        <v>13046</v>
      </c>
      <c r="AM282" s="3537">
        <v>205</v>
      </c>
      <c r="AN282" s="3538">
        <v>183</v>
      </c>
      <c r="AO282" s="3539">
        <v>181</v>
      </c>
      <c r="AQ282" s="3">
        <v>1</v>
      </c>
    </row>
    <row r="283" spans="22:43" ht="21" customHeight="1">
      <c r="V283" s="5054"/>
      <c r="W283" s="3558" t="s">
        <v>13047</v>
      </c>
      <c r="X283" s="3544" t="s">
        <v>13048</v>
      </c>
      <c r="Y283" s="3545">
        <v>84</v>
      </c>
      <c r="Z283" s="3546">
        <v>19</v>
      </c>
      <c r="AA283" s="3547">
        <v>59</v>
      </c>
      <c r="AB283"/>
      <c r="AC283" s="5055"/>
      <c r="AD283" s="3541" t="s">
        <v>13049</v>
      </c>
      <c r="AE283" s="3536" t="s">
        <v>13050</v>
      </c>
      <c r="AF283" s="3537">
        <v>255</v>
      </c>
      <c r="AG283" s="3538">
        <v>62</v>
      </c>
      <c r="AH283" s="3539">
        <v>150</v>
      </c>
      <c r="AI283"/>
      <c r="AJ283" s="5056"/>
      <c r="AK283" s="3541" t="s">
        <v>13051</v>
      </c>
      <c r="AL283" s="3536" t="s">
        <v>13052</v>
      </c>
      <c r="AM283" s="3537">
        <v>255</v>
      </c>
      <c r="AN283" s="3538">
        <v>114</v>
      </c>
      <c r="AO283" s="3539">
        <v>86</v>
      </c>
      <c r="AQ283" s="3">
        <v>1</v>
      </c>
    </row>
    <row r="284" spans="22:43" ht="21" customHeight="1">
      <c r="V284" s="5057"/>
      <c r="W284" s="3558" t="s">
        <v>13053</v>
      </c>
      <c r="X284" s="3544" t="s">
        <v>13054</v>
      </c>
      <c r="Y284" s="3545">
        <v>56</v>
      </c>
      <c r="Z284" s="3546">
        <v>21</v>
      </c>
      <c r="AA284" s="3547">
        <v>44</v>
      </c>
      <c r="AB284"/>
      <c r="AC284" s="5058"/>
      <c r="AD284" s="3541" t="s">
        <v>13055</v>
      </c>
      <c r="AE284" s="3536" t="s">
        <v>13056</v>
      </c>
      <c r="AF284" s="3537">
        <v>238</v>
      </c>
      <c r="AG284" s="3538">
        <v>121</v>
      </c>
      <c r="AH284" s="3539">
        <v>159</v>
      </c>
      <c r="AI284"/>
      <c r="AJ284" s="5059"/>
      <c r="AK284" s="3541" t="s">
        <v>13057</v>
      </c>
      <c r="AL284" s="3536" t="s">
        <v>13058</v>
      </c>
      <c r="AM284" s="3537">
        <v>255</v>
      </c>
      <c r="AN284" s="3538">
        <v>140</v>
      </c>
      <c r="AO284" s="3539">
        <v>105</v>
      </c>
      <c r="AQ284" s="3">
        <v>1</v>
      </c>
    </row>
    <row r="285" spans="22:43" ht="21" customHeight="1">
      <c r="V285" s="5060"/>
      <c r="W285" s="3558" t="s">
        <v>13059</v>
      </c>
      <c r="X285" s="3544" t="s">
        <v>13060</v>
      </c>
      <c r="Y285" s="3545">
        <v>55</v>
      </c>
      <c r="Z285" s="3546">
        <v>0</v>
      </c>
      <c r="AA285" s="3547">
        <v>40</v>
      </c>
      <c r="AB285"/>
      <c r="AC285" s="5061"/>
      <c r="AD285" s="3550" t="s">
        <v>13061</v>
      </c>
      <c r="AE285" s="3536" t="s">
        <v>13062</v>
      </c>
      <c r="AF285" s="3537">
        <v>230</v>
      </c>
      <c r="AG285" s="3538">
        <v>143</v>
      </c>
      <c r="AH285" s="3539">
        <v>172</v>
      </c>
      <c r="AI285"/>
      <c r="AJ285" s="5062"/>
      <c r="AK285" s="3550" t="s">
        <v>13063</v>
      </c>
      <c r="AL285" s="3536" t="s">
        <v>13064</v>
      </c>
      <c r="AM285" s="3537">
        <v>255</v>
      </c>
      <c r="AN285" s="3538">
        <v>134</v>
      </c>
      <c r="AO285" s="3539">
        <v>106</v>
      </c>
      <c r="AQ285" s="3">
        <v>1</v>
      </c>
    </row>
    <row r="286" spans="22:43" ht="21" customHeight="1">
      <c r="V286" s="5063"/>
      <c r="W286" s="3558" t="s">
        <v>13065</v>
      </c>
      <c r="X286" s="3544" t="s">
        <v>13066</v>
      </c>
      <c r="Y286" s="3545">
        <v>191</v>
      </c>
      <c r="Z286" s="3546">
        <v>185</v>
      </c>
      <c r="AA286" s="3547">
        <v>189</v>
      </c>
      <c r="AB286"/>
      <c r="AC286" s="5064"/>
      <c r="AD286" s="3550" t="s">
        <v>13067</v>
      </c>
      <c r="AE286" s="3536" t="s">
        <v>13068</v>
      </c>
      <c r="AF286" s="3537">
        <v>253</v>
      </c>
      <c r="AG286" s="3538">
        <v>108</v>
      </c>
      <c r="AH286" s="3539">
        <v>158</v>
      </c>
      <c r="AI286"/>
      <c r="AJ286" s="5065"/>
      <c r="AK286" s="3541" t="s">
        <v>13069</v>
      </c>
      <c r="AL286" s="3536" t="s">
        <v>13070</v>
      </c>
      <c r="AM286" s="3537">
        <v>255</v>
      </c>
      <c r="AN286" s="3538">
        <v>160</v>
      </c>
      <c r="AO286" s="3539">
        <v>122</v>
      </c>
      <c r="AQ286" s="3">
        <v>1</v>
      </c>
    </row>
    <row r="287" spans="22:43" ht="21" customHeight="1">
      <c r="V287" s="5066"/>
      <c r="W287" s="3558" t="s">
        <v>13071</v>
      </c>
      <c r="X287" s="3544" t="s">
        <v>13072</v>
      </c>
      <c r="Y287" s="3545">
        <v>183</v>
      </c>
      <c r="Z287" s="3546">
        <v>132</v>
      </c>
      <c r="AA287" s="3547">
        <v>167</v>
      </c>
      <c r="AB287"/>
      <c r="AC287" s="5067"/>
      <c r="AD287" s="3541" t="s">
        <v>13073</v>
      </c>
      <c r="AE287" s="3536" t="s">
        <v>13074</v>
      </c>
      <c r="AF287" s="3537">
        <v>205</v>
      </c>
      <c r="AG287" s="3538">
        <v>193</v>
      </c>
      <c r="AH287" s="3539">
        <v>197</v>
      </c>
      <c r="AI287"/>
      <c r="AJ287" s="5068"/>
      <c r="AK287" s="3550" t="s">
        <v>13075</v>
      </c>
      <c r="AL287" s="3536" t="s">
        <v>13076</v>
      </c>
      <c r="AM287" s="3537">
        <v>255</v>
      </c>
      <c r="AN287" s="3538">
        <v>183</v>
      </c>
      <c r="AO287" s="3539">
        <v>165</v>
      </c>
      <c r="AQ287" s="3">
        <v>1</v>
      </c>
    </row>
    <row r="288" spans="22:43" ht="21" customHeight="1">
      <c r="V288" s="5069"/>
      <c r="W288" s="3558" t="s">
        <v>13077</v>
      </c>
      <c r="X288" s="3544" t="s">
        <v>13078</v>
      </c>
      <c r="Y288" s="3545">
        <v>170</v>
      </c>
      <c r="Z288" s="3546">
        <v>138</v>
      </c>
      <c r="AA288" s="3547">
        <v>158</v>
      </c>
      <c r="AB288"/>
      <c r="AC288" s="5070"/>
      <c r="AD288" s="3541" t="s">
        <v>13079</v>
      </c>
      <c r="AE288" s="3536" t="s">
        <v>13080</v>
      </c>
      <c r="AF288" s="3537">
        <v>255</v>
      </c>
      <c r="AG288" s="3538">
        <v>130</v>
      </c>
      <c r="AH288" s="3539">
        <v>171</v>
      </c>
      <c r="AI288"/>
      <c r="AJ288" s="5071"/>
      <c r="AK288" s="3550" t="s">
        <v>13081</v>
      </c>
      <c r="AL288" s="3536" t="s">
        <v>13082</v>
      </c>
      <c r="AM288" s="3537">
        <v>253</v>
      </c>
      <c r="AN288" s="3538">
        <v>191</v>
      </c>
      <c r="AO288" s="3539">
        <v>183</v>
      </c>
      <c r="AQ288" s="3">
        <v>1</v>
      </c>
    </row>
    <row r="289" spans="22:43" ht="21" customHeight="1">
      <c r="V289" s="5072"/>
      <c r="W289" s="3558" t="s">
        <v>13083</v>
      </c>
      <c r="X289" s="3544" t="s">
        <v>13084</v>
      </c>
      <c r="Y289" s="3545">
        <v>153</v>
      </c>
      <c r="Z289" s="3546">
        <v>122</v>
      </c>
      <c r="AA289" s="3547">
        <v>141</v>
      </c>
      <c r="AB289"/>
      <c r="AC289" s="5073"/>
      <c r="AD289" s="3550" t="s">
        <v>13085</v>
      </c>
      <c r="AE289" s="3536" t="s">
        <v>13086</v>
      </c>
      <c r="AF289" s="3537">
        <v>239</v>
      </c>
      <c r="AG289" s="3538">
        <v>187</v>
      </c>
      <c r="AH289" s="3539">
        <v>204</v>
      </c>
      <c r="AI289"/>
      <c r="AJ289" s="5074"/>
      <c r="AK289" s="3541" t="s">
        <v>13087</v>
      </c>
      <c r="AL289" s="3536" t="s">
        <v>13088</v>
      </c>
      <c r="AM289" s="3537">
        <v>238</v>
      </c>
      <c r="AN289" s="3538">
        <v>213</v>
      </c>
      <c r="AO289" s="3539">
        <v>210</v>
      </c>
      <c r="AQ289" s="3">
        <v>1</v>
      </c>
    </row>
    <row r="290" spans="22:43" ht="21" customHeight="1">
      <c r="V290" s="5075"/>
      <c r="W290" s="3558" t="s">
        <v>13089</v>
      </c>
      <c r="X290" s="3544" t="s">
        <v>13090</v>
      </c>
      <c r="Y290" s="3545">
        <v>139</v>
      </c>
      <c r="Z290" s="3546">
        <v>133</v>
      </c>
      <c r="AA290" s="3547">
        <v>137</v>
      </c>
      <c r="AB290"/>
      <c r="AC290" s="5076"/>
      <c r="AD290" s="3550" t="s">
        <v>13091</v>
      </c>
      <c r="AE290" s="3536" t="s">
        <v>13092</v>
      </c>
      <c r="AF290" s="3537">
        <v>254</v>
      </c>
      <c r="AG290" s="3538">
        <v>191</v>
      </c>
      <c r="AH290" s="3539">
        <v>210</v>
      </c>
      <c r="AI290"/>
      <c r="AJ290" s="5077"/>
      <c r="AK290" s="3541" t="s">
        <v>13093</v>
      </c>
      <c r="AL290" s="3536" t="s">
        <v>13094</v>
      </c>
      <c r="AM290" s="3537">
        <v>255</v>
      </c>
      <c r="AN290" s="3538">
        <v>228</v>
      </c>
      <c r="AO290" s="3539">
        <v>225</v>
      </c>
      <c r="AQ290" s="3">
        <v>1</v>
      </c>
    </row>
    <row r="291" spans="22:43" ht="21" customHeight="1">
      <c r="V291" s="5078"/>
      <c r="W291" s="3558" t="s">
        <v>13095</v>
      </c>
      <c r="X291" s="3544" t="s">
        <v>13096</v>
      </c>
      <c r="Y291" s="3545">
        <v>158</v>
      </c>
      <c r="Z291" s="3546">
        <v>79</v>
      </c>
      <c r="AA291" s="3547">
        <v>136</v>
      </c>
      <c r="AB291"/>
      <c r="AC291" s="5079"/>
      <c r="AD291" s="3550" t="s">
        <v>13097</v>
      </c>
      <c r="AE291" s="3536" t="s">
        <v>13098</v>
      </c>
      <c r="AF291" s="3537">
        <v>255</v>
      </c>
      <c r="AG291" s="3538">
        <v>200</v>
      </c>
      <c r="AH291" s="3539">
        <v>214</v>
      </c>
      <c r="AI291"/>
      <c r="AJ291" s="5080"/>
      <c r="AK291" s="3541" t="s">
        <v>13099</v>
      </c>
      <c r="AL291" s="3536" t="s">
        <v>13100</v>
      </c>
      <c r="AM291" s="3537">
        <v>238</v>
      </c>
      <c r="AN291" s="3538">
        <v>130</v>
      </c>
      <c r="AO291" s="3539">
        <v>98</v>
      </c>
      <c r="AQ291" s="3">
        <v>1</v>
      </c>
    </row>
    <row r="292" spans="22:43" ht="21" customHeight="1">
      <c r="V292" s="5081"/>
      <c r="W292" s="3558" t="s">
        <v>13101</v>
      </c>
      <c r="X292" s="3544" t="s">
        <v>13102</v>
      </c>
      <c r="Y292" s="3545">
        <v>131</v>
      </c>
      <c r="Z292" s="3546">
        <v>100</v>
      </c>
      <c r="AA292" s="3547">
        <v>121</v>
      </c>
      <c r="AB292"/>
      <c r="AC292" s="5082"/>
      <c r="AD292" s="3541" t="s">
        <v>13103</v>
      </c>
      <c r="AE292" s="3536" t="s">
        <v>13104</v>
      </c>
      <c r="AF292" s="3537">
        <v>255</v>
      </c>
      <c r="AG292" s="3538">
        <v>240</v>
      </c>
      <c r="AH292" s="3539">
        <v>245</v>
      </c>
      <c r="AI292"/>
      <c r="AJ292" s="5083"/>
      <c r="AK292" s="3541" t="s">
        <v>13105</v>
      </c>
      <c r="AL292" s="3536" t="s">
        <v>13106</v>
      </c>
      <c r="AM292" s="3537">
        <v>238</v>
      </c>
      <c r="AN292" s="3538">
        <v>106</v>
      </c>
      <c r="AO292" s="3539">
        <v>80</v>
      </c>
      <c r="AQ292" s="3">
        <v>1</v>
      </c>
    </row>
    <row r="293" spans="22:43" ht="21" customHeight="1">
      <c r="V293" s="5084"/>
      <c r="W293" s="3558" t="s">
        <v>13107</v>
      </c>
      <c r="X293" s="3544" t="s">
        <v>13108</v>
      </c>
      <c r="Y293" s="3545">
        <v>161</v>
      </c>
      <c r="Z293" s="3546">
        <v>6</v>
      </c>
      <c r="AA293" s="3547">
        <v>132</v>
      </c>
      <c r="AB293"/>
      <c r="AC293" s="5085"/>
      <c r="AD293" s="3550" t="s">
        <v>13109</v>
      </c>
      <c r="AE293" s="3536" t="s">
        <v>13110</v>
      </c>
      <c r="AF293" s="3537">
        <v>213</v>
      </c>
      <c r="AG293" s="3538">
        <v>151</v>
      </c>
      <c r="AH293" s="3539">
        <v>174</v>
      </c>
      <c r="AI293"/>
      <c r="AJ293" s="5086"/>
      <c r="AK293" s="3550" t="s">
        <v>13111</v>
      </c>
      <c r="AL293" s="3536" t="s">
        <v>13112</v>
      </c>
      <c r="AM293" s="3537">
        <v>244</v>
      </c>
      <c r="AN293" s="3538">
        <v>102</v>
      </c>
      <c r="AO293" s="3539">
        <v>27</v>
      </c>
      <c r="AQ293" s="3">
        <v>1</v>
      </c>
    </row>
    <row r="294" spans="22:43" ht="21" customHeight="1">
      <c r="V294" s="5087"/>
      <c r="W294" s="3558" t="s">
        <v>13113</v>
      </c>
      <c r="X294" s="3544" t="s">
        <v>13114</v>
      </c>
      <c r="Y294" s="3545">
        <v>114</v>
      </c>
      <c r="Z294" s="3546">
        <v>62</v>
      </c>
      <c r="AA294" s="3547">
        <v>100</v>
      </c>
      <c r="AB294"/>
      <c r="AC294" s="5088"/>
      <c r="AD294" s="3541" t="s">
        <v>13115</v>
      </c>
      <c r="AE294" s="3536" t="s">
        <v>13116</v>
      </c>
      <c r="AF294" s="3537">
        <v>238</v>
      </c>
      <c r="AG294" s="3538">
        <v>58</v>
      </c>
      <c r="AH294" s="3539">
        <v>140</v>
      </c>
      <c r="AI294"/>
      <c r="AJ294" s="5089"/>
      <c r="AK294" s="3541" t="s">
        <v>13117</v>
      </c>
      <c r="AL294" s="3536" t="s">
        <v>13118</v>
      </c>
      <c r="AM294" s="3537">
        <v>238</v>
      </c>
      <c r="AN294" s="3538">
        <v>121</v>
      </c>
      <c r="AO294" s="3539">
        <v>66</v>
      </c>
      <c r="AQ294" s="3">
        <v>1</v>
      </c>
    </row>
    <row r="295" spans="22:43" ht="21" customHeight="1">
      <c r="V295" s="5090"/>
      <c r="W295" s="3558" t="s">
        <v>13119</v>
      </c>
      <c r="X295" s="3544" t="s">
        <v>13120</v>
      </c>
      <c r="Y295" s="3545">
        <v>106</v>
      </c>
      <c r="Z295" s="3546">
        <v>69</v>
      </c>
      <c r="AA295" s="3547">
        <v>93</v>
      </c>
      <c r="AB295"/>
      <c r="AC295" s="5091"/>
      <c r="AD295" s="3541" t="s">
        <v>13121</v>
      </c>
      <c r="AE295" s="3536" t="s">
        <v>13122</v>
      </c>
      <c r="AF295" s="3537">
        <v>219</v>
      </c>
      <c r="AG295" s="3538">
        <v>112</v>
      </c>
      <c r="AH295" s="3539">
        <v>147</v>
      </c>
      <c r="AI295"/>
      <c r="AJ295" s="5092"/>
      <c r="AK295" s="3541" t="s">
        <v>13123</v>
      </c>
      <c r="AL295" s="3536" t="s">
        <v>13124</v>
      </c>
      <c r="AM295" s="3537">
        <v>238</v>
      </c>
      <c r="AN295" s="3538">
        <v>118</v>
      </c>
      <c r="AO295" s="3539">
        <v>33</v>
      </c>
      <c r="AQ295" s="3">
        <v>1</v>
      </c>
    </row>
    <row r="296" spans="22:43" ht="21" customHeight="1">
      <c r="V296" s="5093"/>
      <c r="W296" s="3558" t="s">
        <v>13125</v>
      </c>
      <c r="X296" s="3544" t="s">
        <v>13126</v>
      </c>
      <c r="Y296" s="3545">
        <v>249</v>
      </c>
      <c r="Z296" s="3546">
        <v>66</v>
      </c>
      <c r="AA296" s="3547">
        <v>158</v>
      </c>
      <c r="AB296"/>
      <c r="AC296" s="5094"/>
      <c r="AD296" s="3541" t="s">
        <v>13127</v>
      </c>
      <c r="AE296" s="3536" t="s">
        <v>13128</v>
      </c>
      <c r="AF296" s="3537">
        <v>238</v>
      </c>
      <c r="AG296" s="3538">
        <v>18</v>
      </c>
      <c r="AH296" s="3539">
        <v>137</v>
      </c>
      <c r="AI296"/>
      <c r="AJ296" s="5095"/>
      <c r="AK296" s="3550" t="s">
        <v>13129</v>
      </c>
      <c r="AL296" s="3536" t="s">
        <v>13130</v>
      </c>
      <c r="AM296" s="3537">
        <v>226</v>
      </c>
      <c r="AN296" s="3538">
        <v>88</v>
      </c>
      <c r="AO296" s="3539">
        <v>34</v>
      </c>
      <c r="AQ296" s="3">
        <v>1</v>
      </c>
    </row>
    <row r="297" spans="22:43" ht="21" customHeight="1">
      <c r="V297" s="5096"/>
      <c r="W297" s="3543" t="s">
        <v>13131</v>
      </c>
      <c r="X297" s="3544" t="s">
        <v>13132</v>
      </c>
      <c r="Y297" s="3545">
        <v>238</v>
      </c>
      <c r="Z297" s="3546">
        <v>106</v>
      </c>
      <c r="AA297" s="3547">
        <v>167</v>
      </c>
      <c r="AB297"/>
      <c r="AC297" s="5097"/>
      <c r="AD297" s="3541" t="s">
        <v>13133</v>
      </c>
      <c r="AE297" s="3536" t="s">
        <v>13134</v>
      </c>
      <c r="AF297" s="3537">
        <v>205</v>
      </c>
      <c r="AG297" s="3538">
        <v>104</v>
      </c>
      <c r="AH297" s="3539">
        <v>137</v>
      </c>
      <c r="AI297"/>
      <c r="AJ297" s="5098"/>
      <c r="AK297" s="3550" t="s">
        <v>13135</v>
      </c>
      <c r="AL297" s="3536" t="s">
        <v>13136</v>
      </c>
      <c r="AM297" s="3537">
        <v>196</v>
      </c>
      <c r="AN297" s="3538">
        <v>131</v>
      </c>
      <c r="AO297" s="3539">
        <v>121</v>
      </c>
      <c r="AQ297" s="3">
        <v>1</v>
      </c>
    </row>
    <row r="298" spans="22:43" ht="21" customHeight="1">
      <c r="V298" s="5099"/>
      <c r="W298" s="3543" t="s">
        <v>13137</v>
      </c>
      <c r="X298" s="3544" t="s">
        <v>13138</v>
      </c>
      <c r="Y298" s="3545">
        <v>255</v>
      </c>
      <c r="Z298" s="3546">
        <v>28</v>
      </c>
      <c r="AA298" s="3547">
        <v>174</v>
      </c>
      <c r="AB298"/>
      <c r="AC298" s="5100"/>
      <c r="AD298" s="3550" t="s">
        <v>13139</v>
      </c>
      <c r="AE298" s="3536" t="s">
        <v>13140</v>
      </c>
      <c r="AF298" s="3537">
        <v>193</v>
      </c>
      <c r="AG298" s="3538">
        <v>126</v>
      </c>
      <c r="AH298" s="3539">
        <v>145</v>
      </c>
      <c r="AI298"/>
      <c r="AJ298" s="5101"/>
      <c r="AK298" s="3550" t="s">
        <v>13141</v>
      </c>
      <c r="AL298" s="3536" t="s">
        <v>13142</v>
      </c>
      <c r="AM298" s="3537">
        <v>217</v>
      </c>
      <c r="AN298" s="3538">
        <v>96</v>
      </c>
      <c r="AO298" s="3539">
        <v>59</v>
      </c>
      <c r="AQ298" s="3">
        <v>1</v>
      </c>
    </row>
    <row r="299" spans="22:43" ht="21" customHeight="1">
      <c r="V299" s="5102"/>
      <c r="W299" s="3543" t="s">
        <v>13143</v>
      </c>
      <c r="X299" s="3544" t="s">
        <v>13144</v>
      </c>
      <c r="Y299" s="3545">
        <v>255</v>
      </c>
      <c r="Z299" s="3546">
        <v>52</v>
      </c>
      <c r="AA299" s="3547">
        <v>179</v>
      </c>
      <c r="AB299"/>
      <c r="AC299" s="5103"/>
      <c r="AD299" s="3550" t="s">
        <v>13145</v>
      </c>
      <c r="AE299" s="3536" t="s">
        <v>13146</v>
      </c>
      <c r="AF299" s="3537">
        <v>219</v>
      </c>
      <c r="AG299" s="3538">
        <v>0</v>
      </c>
      <c r="AH299" s="3539">
        <v>115</v>
      </c>
      <c r="AI299"/>
      <c r="AJ299" s="5104"/>
      <c r="AK299" s="3541" t="s">
        <v>13147</v>
      </c>
      <c r="AL299" s="3536" t="s">
        <v>13148</v>
      </c>
      <c r="AM299" s="3537">
        <v>205</v>
      </c>
      <c r="AN299" s="3538">
        <v>129</v>
      </c>
      <c r="AO299" s="3539">
        <v>98</v>
      </c>
      <c r="AQ299" s="3">
        <v>1</v>
      </c>
    </row>
    <row r="300" spans="22:43" ht="21" customHeight="1">
      <c r="V300" s="5105"/>
      <c r="W300" s="3558" t="s">
        <v>13149</v>
      </c>
      <c r="X300" s="3544" t="s">
        <v>13150</v>
      </c>
      <c r="Y300" s="3545">
        <v>255</v>
      </c>
      <c r="Z300" s="3546">
        <v>105</v>
      </c>
      <c r="AA300" s="3547">
        <v>180</v>
      </c>
      <c r="AB300"/>
      <c r="AC300" s="5106"/>
      <c r="AD300" s="3550" t="s">
        <v>13151</v>
      </c>
      <c r="AE300" s="3536" t="s">
        <v>13152</v>
      </c>
      <c r="AF300" s="3537">
        <v>206</v>
      </c>
      <c r="AG300" s="3538">
        <v>70</v>
      </c>
      <c r="AH300" s="3539">
        <v>118</v>
      </c>
      <c r="AI300"/>
      <c r="AJ300" s="5107"/>
      <c r="AK300" s="3541" t="s">
        <v>13153</v>
      </c>
      <c r="AL300" s="3536" t="s">
        <v>13154</v>
      </c>
      <c r="AM300" s="3537">
        <v>205</v>
      </c>
      <c r="AN300" s="3538">
        <v>112</v>
      </c>
      <c r="AO300" s="3539">
        <v>84</v>
      </c>
      <c r="AQ300" s="3">
        <v>1</v>
      </c>
    </row>
    <row r="301" spans="22:43" ht="21" customHeight="1">
      <c r="V301" s="5108"/>
      <c r="W301" s="3543" t="s">
        <v>13155</v>
      </c>
      <c r="X301" s="3544" t="s">
        <v>13156</v>
      </c>
      <c r="Y301" s="3545">
        <v>255</v>
      </c>
      <c r="Z301" s="3546">
        <v>110</v>
      </c>
      <c r="AA301" s="3547">
        <v>180</v>
      </c>
      <c r="AB301"/>
      <c r="AC301" s="5109"/>
      <c r="AD301" s="3541" t="s">
        <v>13157</v>
      </c>
      <c r="AE301" s="3536" t="s">
        <v>13158</v>
      </c>
      <c r="AF301" s="3537">
        <v>205</v>
      </c>
      <c r="AG301" s="3538">
        <v>50</v>
      </c>
      <c r="AH301" s="3539">
        <v>120</v>
      </c>
      <c r="AI301"/>
      <c r="AJ301" s="5110"/>
      <c r="AK301" s="3550" t="s">
        <v>13159</v>
      </c>
      <c r="AL301" s="3536" t="s">
        <v>13160</v>
      </c>
      <c r="AM301" s="3537">
        <v>203</v>
      </c>
      <c r="AN301" s="3538">
        <v>109</v>
      </c>
      <c r="AO301" s="3539">
        <v>81</v>
      </c>
      <c r="AQ301" s="3">
        <v>1</v>
      </c>
    </row>
    <row r="302" spans="22:43" ht="21" customHeight="1">
      <c r="V302" s="5111"/>
      <c r="W302" s="3558" t="s">
        <v>13161</v>
      </c>
      <c r="X302" s="3544" t="s">
        <v>13162</v>
      </c>
      <c r="Y302" s="3545">
        <v>232</v>
      </c>
      <c r="Z302" s="3546">
        <v>204</v>
      </c>
      <c r="AA302" s="3547">
        <v>215</v>
      </c>
      <c r="AB302"/>
      <c r="AC302" s="5112"/>
      <c r="AD302" s="3541" t="s">
        <v>13163</v>
      </c>
      <c r="AE302" s="3536" t="s">
        <v>13164</v>
      </c>
      <c r="AF302" s="3537">
        <v>205</v>
      </c>
      <c r="AG302" s="3538">
        <v>16</v>
      </c>
      <c r="AH302" s="3539">
        <v>118</v>
      </c>
      <c r="AI302"/>
      <c r="AJ302" s="5113"/>
      <c r="AK302" s="3541" t="s">
        <v>13165</v>
      </c>
      <c r="AL302" s="3536" t="s">
        <v>13166</v>
      </c>
      <c r="AM302" s="3537">
        <v>205</v>
      </c>
      <c r="AN302" s="3538">
        <v>91</v>
      </c>
      <c r="AO302" s="3539">
        <v>69</v>
      </c>
      <c r="AQ302" s="3">
        <v>1</v>
      </c>
    </row>
    <row r="303" spans="22:43" ht="21" customHeight="1">
      <c r="V303" s="5114"/>
      <c r="W303" s="3558" t="s">
        <v>13167</v>
      </c>
      <c r="X303" s="3544" t="s">
        <v>13168</v>
      </c>
      <c r="Y303" s="3545">
        <v>232</v>
      </c>
      <c r="Z303" s="3546">
        <v>227</v>
      </c>
      <c r="AA303" s="3547">
        <v>229</v>
      </c>
      <c r="AB303"/>
      <c r="AC303" s="5115"/>
      <c r="AD303" s="3550" t="s">
        <v>13169</v>
      </c>
      <c r="AE303" s="3536" t="s">
        <v>13170</v>
      </c>
      <c r="AF303" s="3537">
        <v>179</v>
      </c>
      <c r="AG303" s="3538">
        <v>68</v>
      </c>
      <c r="AH303" s="3539">
        <v>108</v>
      </c>
      <c r="AI303"/>
      <c r="AJ303" s="5116"/>
      <c r="AK303" s="3550" t="s">
        <v>13171</v>
      </c>
      <c r="AL303" s="3536" t="s">
        <v>13172</v>
      </c>
      <c r="AM303" s="3537">
        <v>173</v>
      </c>
      <c r="AN303" s="3538">
        <v>136</v>
      </c>
      <c r="AO303" s="3539">
        <v>132</v>
      </c>
      <c r="AQ303" s="3">
        <v>1</v>
      </c>
    </row>
    <row r="304" spans="22:43" ht="21" customHeight="1">
      <c r="V304" s="5117"/>
      <c r="W304" s="3543" t="s">
        <v>13173</v>
      </c>
      <c r="X304" s="3544" t="s">
        <v>13174</v>
      </c>
      <c r="Y304" s="3545">
        <v>238</v>
      </c>
      <c r="Z304" s="3546">
        <v>224</v>
      </c>
      <c r="AA304" s="3547">
        <v>229</v>
      </c>
      <c r="AB304"/>
      <c r="AC304" s="5118"/>
      <c r="AD304" s="3550" t="s">
        <v>13175</v>
      </c>
      <c r="AE304" s="3536" t="s">
        <v>13176</v>
      </c>
      <c r="AF304" s="3537">
        <v>168</v>
      </c>
      <c r="AG304" s="3538">
        <v>81</v>
      </c>
      <c r="AH304" s="3539">
        <v>110</v>
      </c>
      <c r="AI304"/>
      <c r="AJ304" s="5119"/>
      <c r="AK304" s="3541" t="s">
        <v>13177</v>
      </c>
      <c r="AL304" s="3536" t="s">
        <v>13178</v>
      </c>
      <c r="AM304" s="3537">
        <v>205</v>
      </c>
      <c r="AN304" s="3538">
        <v>104</v>
      </c>
      <c r="AO304" s="3539">
        <v>57</v>
      </c>
      <c r="AQ304" s="3">
        <v>1</v>
      </c>
    </row>
    <row r="305" spans="22:43" ht="21" customHeight="1">
      <c r="V305" s="5120"/>
      <c r="W305" s="3558" t="s">
        <v>13179</v>
      </c>
      <c r="X305" s="3544" t="s">
        <v>13180</v>
      </c>
      <c r="Y305" s="3545">
        <v>254</v>
      </c>
      <c r="Z305" s="3546">
        <v>231</v>
      </c>
      <c r="AA305" s="3547">
        <v>240</v>
      </c>
      <c r="AB305"/>
      <c r="AC305" s="5121"/>
      <c r="AD305" s="3541" t="s">
        <v>12824</v>
      </c>
      <c r="AE305" s="3536" t="s">
        <v>13181</v>
      </c>
      <c r="AF305" s="3537">
        <v>176</v>
      </c>
      <c r="AG305" s="3538">
        <v>48</v>
      </c>
      <c r="AH305" s="3539">
        <v>96</v>
      </c>
      <c r="AI305"/>
      <c r="AJ305" s="5122"/>
      <c r="AK305" s="3550" t="s">
        <v>13182</v>
      </c>
      <c r="AL305" s="3536" t="s">
        <v>13183</v>
      </c>
      <c r="AM305" s="3537">
        <v>204</v>
      </c>
      <c r="AN305" s="3538">
        <v>85</v>
      </c>
      <c r="AO305" s="3539">
        <v>0</v>
      </c>
      <c r="AQ305" s="3">
        <v>1</v>
      </c>
    </row>
    <row r="306" spans="22:43" ht="21" customHeight="1">
      <c r="V306" s="5123"/>
      <c r="W306" s="3558" t="s">
        <v>13184</v>
      </c>
      <c r="X306" s="3544" t="s">
        <v>13185</v>
      </c>
      <c r="Y306" s="3545">
        <v>195</v>
      </c>
      <c r="Z306" s="3546">
        <v>166</v>
      </c>
      <c r="AA306" s="3547">
        <v>177</v>
      </c>
      <c r="AB306"/>
      <c r="AC306" s="5124"/>
      <c r="AD306" s="3550" t="s">
        <v>13186</v>
      </c>
      <c r="AE306" s="3536" t="s">
        <v>13187</v>
      </c>
      <c r="AF306" s="3537">
        <v>145</v>
      </c>
      <c r="AG306" s="3538">
        <v>95</v>
      </c>
      <c r="AH306" s="3539">
        <v>109</v>
      </c>
      <c r="AI306"/>
      <c r="AJ306" s="5125"/>
      <c r="AK306" s="3550" t="s">
        <v>13188</v>
      </c>
      <c r="AL306" s="3536" t="s">
        <v>13189</v>
      </c>
      <c r="AM306" s="3537">
        <v>180</v>
      </c>
      <c r="AN306" s="3538">
        <v>116</v>
      </c>
      <c r="AO306" s="3539">
        <v>94</v>
      </c>
      <c r="AQ306" s="3">
        <v>1</v>
      </c>
    </row>
    <row r="307" spans="22:43" ht="21" customHeight="1">
      <c r="V307" s="5126"/>
      <c r="W307" s="3558" t="s">
        <v>13190</v>
      </c>
      <c r="X307" s="3544" t="s">
        <v>13191</v>
      </c>
      <c r="Y307" s="3545">
        <v>222</v>
      </c>
      <c r="Z307" s="3546">
        <v>111</v>
      </c>
      <c r="AA307" s="3547">
        <v>161</v>
      </c>
      <c r="AB307"/>
      <c r="AC307" s="5127"/>
      <c r="AD307" s="3541" t="s">
        <v>13192</v>
      </c>
      <c r="AE307" s="3536" t="s">
        <v>13193</v>
      </c>
      <c r="AF307" s="3537">
        <v>139</v>
      </c>
      <c r="AG307" s="3538">
        <v>71</v>
      </c>
      <c r="AH307" s="3539">
        <v>93</v>
      </c>
      <c r="AI307"/>
      <c r="AJ307" s="5128"/>
      <c r="AK307" s="3550" t="s">
        <v>13194</v>
      </c>
      <c r="AL307" s="3536" t="s">
        <v>13195</v>
      </c>
      <c r="AM307" s="3537">
        <v>168</v>
      </c>
      <c r="AN307" s="3538">
        <v>124</v>
      </c>
      <c r="AO307" s="3539">
        <v>109</v>
      </c>
      <c r="AQ307" s="3">
        <v>1</v>
      </c>
    </row>
    <row r="308" spans="22:43" ht="21" customHeight="1">
      <c r="V308" s="5129"/>
      <c r="W308" s="3543" t="s">
        <v>13196</v>
      </c>
      <c r="X308" s="3544" t="s">
        <v>13197</v>
      </c>
      <c r="Y308" s="3545">
        <v>238</v>
      </c>
      <c r="Z308" s="3546">
        <v>48</v>
      </c>
      <c r="AA308" s="3547">
        <v>167</v>
      </c>
      <c r="AB308"/>
      <c r="AC308" s="5130"/>
      <c r="AD308" s="3541" t="s">
        <v>13198</v>
      </c>
      <c r="AE308" s="3536" t="s">
        <v>13199</v>
      </c>
      <c r="AF308" s="3537">
        <v>139</v>
      </c>
      <c r="AG308" s="3538">
        <v>34</v>
      </c>
      <c r="AH308" s="3539">
        <v>82</v>
      </c>
      <c r="AI308"/>
      <c r="AJ308" s="5131"/>
      <c r="AK308" s="3550" t="s">
        <v>13200</v>
      </c>
      <c r="AL308" s="3536" t="s">
        <v>13201</v>
      </c>
      <c r="AM308" s="3537">
        <v>143</v>
      </c>
      <c r="AN308" s="3538">
        <v>129</v>
      </c>
      <c r="AO308" s="3539">
        <v>127</v>
      </c>
      <c r="AQ308" s="3">
        <v>1</v>
      </c>
    </row>
    <row r="309" spans="22:43" ht="21" customHeight="1">
      <c r="V309" s="5132"/>
      <c r="W309" s="3543" t="s">
        <v>13202</v>
      </c>
      <c r="X309" s="3544" t="s">
        <v>13203</v>
      </c>
      <c r="Y309" s="3545">
        <v>205</v>
      </c>
      <c r="Z309" s="3546">
        <v>96</v>
      </c>
      <c r="AA309" s="3547">
        <v>144</v>
      </c>
      <c r="AB309"/>
      <c r="AC309" s="5133"/>
      <c r="AD309" s="3541" t="s">
        <v>13204</v>
      </c>
      <c r="AE309" s="3536" t="s">
        <v>13205</v>
      </c>
      <c r="AF309" s="3537">
        <v>139</v>
      </c>
      <c r="AG309" s="3538">
        <v>10</v>
      </c>
      <c r="AH309" s="3539">
        <v>80</v>
      </c>
      <c r="AI309"/>
      <c r="AJ309" s="5134"/>
      <c r="AK309" s="3541" t="s">
        <v>13206</v>
      </c>
      <c r="AL309" s="3536" t="s">
        <v>13207</v>
      </c>
      <c r="AM309" s="3537">
        <v>139</v>
      </c>
      <c r="AN309" s="3538">
        <v>125</v>
      </c>
      <c r="AO309" s="3539">
        <v>123</v>
      </c>
      <c r="AQ309" s="3">
        <v>1</v>
      </c>
    </row>
    <row r="310" spans="22:43" ht="21" customHeight="1">
      <c r="V310" s="5135"/>
      <c r="W310" s="3558" t="s">
        <v>13208</v>
      </c>
      <c r="X310" s="3544" t="s">
        <v>13209</v>
      </c>
      <c r="Y310" s="3545">
        <v>196</v>
      </c>
      <c r="Z310" s="3546">
        <v>105</v>
      </c>
      <c r="AA310" s="3547">
        <v>143</v>
      </c>
      <c r="AB310"/>
      <c r="AC310" s="5136"/>
      <c r="AD310" s="3550" t="s">
        <v>13210</v>
      </c>
      <c r="AE310" s="3536" t="s">
        <v>13211</v>
      </c>
      <c r="AF310" s="3537">
        <v>103</v>
      </c>
      <c r="AG310" s="3538">
        <v>49</v>
      </c>
      <c r="AH310" s="3539">
        <v>71</v>
      </c>
      <c r="AI310"/>
      <c r="AJ310" s="5137"/>
      <c r="AK310" s="3550" t="s">
        <v>13212</v>
      </c>
      <c r="AL310" s="3536" t="s">
        <v>13213</v>
      </c>
      <c r="AM310" s="3537">
        <v>174</v>
      </c>
      <c r="AN310" s="3538">
        <v>74</v>
      </c>
      <c r="AO310" s="3539">
        <v>52</v>
      </c>
      <c r="AQ310" s="3">
        <v>1</v>
      </c>
    </row>
    <row r="311" spans="22:43" ht="21" customHeight="1">
      <c r="V311" s="5138"/>
      <c r="W311" s="3543" t="s">
        <v>13214</v>
      </c>
      <c r="X311" s="3544" t="s">
        <v>13215</v>
      </c>
      <c r="Y311" s="3545">
        <v>208</v>
      </c>
      <c r="Z311" s="3546">
        <v>32</v>
      </c>
      <c r="AA311" s="3547">
        <v>144</v>
      </c>
      <c r="AB311"/>
      <c r="AC311" s="5139"/>
      <c r="AD311" s="3550" t="s">
        <v>13216</v>
      </c>
      <c r="AE311" s="3536" t="s">
        <v>13217</v>
      </c>
      <c r="AF311" s="3537">
        <v>63</v>
      </c>
      <c r="AG311" s="3538">
        <v>23</v>
      </c>
      <c r="AH311" s="3539">
        <v>40</v>
      </c>
      <c r="AI311"/>
      <c r="AJ311" s="5140"/>
      <c r="AK311" s="3550" t="s">
        <v>13218</v>
      </c>
      <c r="AL311" s="3536" t="s">
        <v>13219</v>
      </c>
      <c r="AM311" s="3537">
        <v>173</v>
      </c>
      <c r="AN311" s="3538">
        <v>57</v>
      </c>
      <c r="AO311" s="3539">
        <v>14</v>
      </c>
      <c r="AQ311" s="3">
        <v>1</v>
      </c>
    </row>
    <row r="312" spans="22:43" ht="21" customHeight="1">
      <c r="V312" s="5141"/>
      <c r="W312" s="3558" t="s">
        <v>13220</v>
      </c>
      <c r="X312" s="3544" t="s">
        <v>13221</v>
      </c>
      <c r="Y312" s="3545">
        <v>199</v>
      </c>
      <c r="Z312" s="3546">
        <v>21</v>
      </c>
      <c r="AA312" s="3547">
        <v>133</v>
      </c>
      <c r="AB312"/>
      <c r="AC312" s="5142"/>
      <c r="AD312" s="3550" t="s">
        <v>13222</v>
      </c>
      <c r="AE312" s="3536" t="s">
        <v>13223</v>
      </c>
      <c r="AF312" s="3537">
        <v>40</v>
      </c>
      <c r="AG312" s="3538">
        <v>32</v>
      </c>
      <c r="AH312" s="3539">
        <v>34</v>
      </c>
      <c r="AI312"/>
      <c r="AJ312" s="5143"/>
      <c r="AK312" s="3550" t="s">
        <v>13224</v>
      </c>
      <c r="AL312" s="3536" t="s">
        <v>13225</v>
      </c>
      <c r="AM312" s="3537">
        <v>173</v>
      </c>
      <c r="AN312" s="3538">
        <v>79</v>
      </c>
      <c r="AO312" s="3539">
        <v>9</v>
      </c>
      <c r="AQ312" s="3">
        <v>1</v>
      </c>
    </row>
    <row r="313" spans="22:43" ht="21" customHeight="1">
      <c r="V313" s="5144"/>
      <c r="W313" s="3543" t="s">
        <v>13226</v>
      </c>
      <c r="X313" s="3544" t="s">
        <v>13227</v>
      </c>
      <c r="Y313" s="3545">
        <v>139</v>
      </c>
      <c r="Z313" s="3546">
        <v>131</v>
      </c>
      <c r="AA313" s="3547">
        <v>134</v>
      </c>
      <c r="AB313"/>
      <c r="AC313" s="5145"/>
      <c r="AD313" s="3541" t="s">
        <v>13039</v>
      </c>
      <c r="AE313" s="3536" t="s">
        <v>13228</v>
      </c>
      <c r="AF313" s="3537">
        <v>255</v>
      </c>
      <c r="AG313" s="3538">
        <v>127</v>
      </c>
      <c r="AH313" s="3539">
        <v>0</v>
      </c>
      <c r="AI313"/>
      <c r="AJ313" s="5146"/>
      <c r="AK313" s="3541" t="s">
        <v>11051</v>
      </c>
      <c r="AL313" s="3536" t="s">
        <v>13229</v>
      </c>
      <c r="AM313" s="3537">
        <v>160</v>
      </c>
      <c r="AN313" s="3538">
        <v>82</v>
      </c>
      <c r="AO313" s="3539">
        <v>45</v>
      </c>
      <c r="AQ313" s="3">
        <v>1</v>
      </c>
    </row>
    <row r="314" spans="22:43" ht="21" customHeight="1">
      <c r="V314" s="5147"/>
      <c r="W314" s="3543" t="s">
        <v>13230</v>
      </c>
      <c r="X314" s="3544" t="s">
        <v>13231</v>
      </c>
      <c r="Y314" s="3545">
        <v>139</v>
      </c>
      <c r="Z314" s="3546">
        <v>58</v>
      </c>
      <c r="AA314" s="3547">
        <v>98</v>
      </c>
      <c r="AB314"/>
      <c r="AC314" s="5148"/>
      <c r="AD314" s="3541" t="s">
        <v>13232</v>
      </c>
      <c r="AE314" s="3536" t="s">
        <v>13228</v>
      </c>
      <c r="AF314" s="3537">
        <v>255</v>
      </c>
      <c r="AG314" s="3538">
        <v>140</v>
      </c>
      <c r="AH314" s="3539">
        <v>0</v>
      </c>
      <c r="AI314"/>
      <c r="AJ314" s="5149"/>
      <c r="AK314" s="3550" t="s">
        <v>13233</v>
      </c>
      <c r="AL314" s="3536" t="s">
        <v>13234</v>
      </c>
      <c r="AM314" s="3537">
        <v>158</v>
      </c>
      <c r="AN314" s="3538">
        <v>71</v>
      </c>
      <c r="AO314" s="3539">
        <v>50</v>
      </c>
      <c r="AQ314" s="3">
        <v>1</v>
      </c>
    </row>
    <row r="315" spans="22:43" ht="21" customHeight="1">
      <c r="V315" s="5150"/>
      <c r="W315" s="3558" t="s">
        <v>13235</v>
      </c>
      <c r="X315" s="3544" t="s">
        <v>13236</v>
      </c>
      <c r="Y315" s="3545">
        <v>129</v>
      </c>
      <c r="Z315" s="3546">
        <v>20</v>
      </c>
      <c r="AA315" s="3547">
        <v>83</v>
      </c>
      <c r="AB315"/>
      <c r="AC315" s="5151"/>
      <c r="AD315" s="3550" t="s">
        <v>13237</v>
      </c>
      <c r="AE315" s="3536" t="s">
        <v>13238</v>
      </c>
      <c r="AF315" s="3537">
        <v>193</v>
      </c>
      <c r="AG315" s="3538">
        <v>182</v>
      </c>
      <c r="AH315" s="3539">
        <v>179</v>
      </c>
      <c r="AI315"/>
      <c r="AJ315" s="5152"/>
      <c r="AK315" s="3550" t="s">
        <v>13239</v>
      </c>
      <c r="AL315" s="3536" t="s">
        <v>13240</v>
      </c>
      <c r="AM315" s="3537">
        <v>153</v>
      </c>
      <c r="AN315" s="3538">
        <v>81</v>
      </c>
      <c r="AO315" s="3539">
        <v>43</v>
      </c>
      <c r="AQ315" s="3">
        <v>1</v>
      </c>
    </row>
    <row r="316" spans="22:43" ht="21" customHeight="1">
      <c r="V316" s="5153"/>
      <c r="W316" s="3558" t="s">
        <v>13241</v>
      </c>
      <c r="X316" s="3544" t="s">
        <v>13242</v>
      </c>
      <c r="Y316" s="3545">
        <v>120</v>
      </c>
      <c r="Z316" s="3546">
        <v>24</v>
      </c>
      <c r="AA316" s="3547">
        <v>74</v>
      </c>
      <c r="AB316"/>
      <c r="AC316" s="5154"/>
      <c r="AD316" s="3550" t="s">
        <v>13243</v>
      </c>
      <c r="AE316" s="3536" t="s">
        <v>13244</v>
      </c>
      <c r="AF316" s="3537">
        <v>253</v>
      </c>
      <c r="AG316" s="3538">
        <v>148</v>
      </c>
      <c r="AH316" s="3539">
        <v>63</v>
      </c>
      <c r="AI316"/>
      <c r="AJ316" s="5155"/>
      <c r="AK316" s="3550" t="s">
        <v>13245</v>
      </c>
      <c r="AL316" s="3536" t="s">
        <v>13246</v>
      </c>
      <c r="AM316" s="3537">
        <v>157</v>
      </c>
      <c r="AN316" s="3538">
        <v>62</v>
      </c>
      <c r="AO316" s="3539">
        <v>12</v>
      </c>
      <c r="AQ316" s="3">
        <v>1</v>
      </c>
    </row>
    <row r="317" spans="22:43" ht="21" customHeight="1">
      <c r="V317" s="5156"/>
      <c r="W317" s="3558" t="s">
        <v>13247</v>
      </c>
      <c r="X317" s="3544" t="s">
        <v>13248</v>
      </c>
      <c r="Y317" s="3545">
        <v>186</v>
      </c>
      <c r="Z317" s="3546">
        <v>186</v>
      </c>
      <c r="AA317" s="3547">
        <v>186</v>
      </c>
      <c r="AB317"/>
      <c r="AC317" s="5157"/>
      <c r="AD317" s="3550" t="s">
        <v>13249</v>
      </c>
      <c r="AE317" s="3536" t="s">
        <v>13250</v>
      </c>
      <c r="AF317" s="3537">
        <v>248</v>
      </c>
      <c r="AG317" s="3538">
        <v>142</v>
      </c>
      <c r="AH317" s="3539">
        <v>85</v>
      </c>
      <c r="AI317"/>
      <c r="AJ317" s="5158"/>
      <c r="AK317" s="3541" t="s">
        <v>13251</v>
      </c>
      <c r="AL317" s="3536" t="s">
        <v>13252</v>
      </c>
      <c r="AM317" s="3537">
        <v>139</v>
      </c>
      <c r="AN317" s="3538">
        <v>87</v>
      </c>
      <c r="AO317" s="3539">
        <v>66</v>
      </c>
      <c r="AQ317" s="3">
        <v>1</v>
      </c>
    </row>
    <row r="318" spans="22:43" ht="21" customHeight="1">
      <c r="V318" s="5159"/>
      <c r="W318" s="3543" t="s">
        <v>13253</v>
      </c>
      <c r="X318" s="3544" t="s">
        <v>13254</v>
      </c>
      <c r="Y318" s="3545">
        <v>187</v>
      </c>
      <c r="Z318" s="3546">
        <v>187</v>
      </c>
      <c r="AA318" s="3547">
        <v>187</v>
      </c>
      <c r="AB318"/>
      <c r="AC318" s="5160"/>
      <c r="AD318" s="3550" t="s">
        <v>13255</v>
      </c>
      <c r="AE318" s="3536" t="s">
        <v>13256</v>
      </c>
      <c r="AF318" s="3537">
        <v>254</v>
      </c>
      <c r="AG318" s="3538">
        <v>195</v>
      </c>
      <c r="AH318" s="3539">
        <v>172</v>
      </c>
      <c r="AI318"/>
      <c r="AJ318" s="5161"/>
      <c r="AK318" s="3541" t="s">
        <v>13257</v>
      </c>
      <c r="AL318" s="3536" t="s">
        <v>13258</v>
      </c>
      <c r="AM318" s="3537">
        <v>139</v>
      </c>
      <c r="AN318" s="3538">
        <v>76</v>
      </c>
      <c r="AO318" s="3539">
        <v>57</v>
      </c>
      <c r="AQ318" s="3">
        <v>1</v>
      </c>
    </row>
    <row r="319" spans="22:43" ht="21" customHeight="1">
      <c r="V319" s="5162"/>
      <c r="W319" s="3543" t="s">
        <v>13259</v>
      </c>
      <c r="X319" s="3544" t="s">
        <v>13260</v>
      </c>
      <c r="Y319" s="3545">
        <v>189</v>
      </c>
      <c r="Z319" s="3546">
        <v>189</v>
      </c>
      <c r="AA319" s="3547">
        <v>189</v>
      </c>
      <c r="AB319"/>
      <c r="AC319" s="5163"/>
      <c r="AD319" s="3550" t="s">
        <v>13261</v>
      </c>
      <c r="AE319" s="3536" t="s">
        <v>13262</v>
      </c>
      <c r="AF319" s="3537">
        <v>234</v>
      </c>
      <c r="AG319" s="3538">
        <v>227</v>
      </c>
      <c r="AH319" s="3539">
        <v>225</v>
      </c>
      <c r="AI319"/>
      <c r="AJ319" s="5164"/>
      <c r="AK319" s="3541" t="s">
        <v>13263</v>
      </c>
      <c r="AL319" s="3536" t="s">
        <v>13264</v>
      </c>
      <c r="AM319" s="3537">
        <v>139</v>
      </c>
      <c r="AN319" s="3538">
        <v>62</v>
      </c>
      <c r="AO319" s="3539">
        <v>47</v>
      </c>
      <c r="AQ319" s="3">
        <v>1</v>
      </c>
    </row>
    <row r="320" spans="22:43" ht="21" customHeight="1">
      <c r="V320" s="5165"/>
      <c r="W320" s="3543" t="s">
        <v>13265</v>
      </c>
      <c r="X320" s="3544" t="s">
        <v>13266</v>
      </c>
      <c r="Y320" s="3545">
        <v>190</v>
      </c>
      <c r="Z320" s="3546">
        <v>190</v>
      </c>
      <c r="AA320" s="3547">
        <v>190</v>
      </c>
      <c r="AB320"/>
      <c r="AC320" s="5166"/>
      <c r="AD320" s="3550" t="s">
        <v>13267</v>
      </c>
      <c r="AE320" s="3536" t="s">
        <v>13268</v>
      </c>
      <c r="AF320" s="3537">
        <v>253</v>
      </c>
      <c r="AG320" s="3538">
        <v>233</v>
      </c>
      <c r="AH320" s="3539">
        <v>224</v>
      </c>
      <c r="AI320"/>
      <c r="AJ320" s="5167"/>
      <c r="AK320" s="3550" t="s">
        <v>13269</v>
      </c>
      <c r="AL320" s="3536" t="s">
        <v>13270</v>
      </c>
      <c r="AM320" s="3537">
        <v>141</v>
      </c>
      <c r="AN320" s="3538">
        <v>64</v>
      </c>
      <c r="AO320" s="3539">
        <v>36</v>
      </c>
      <c r="AQ320" s="3">
        <v>1</v>
      </c>
    </row>
    <row r="321" spans="22:43" ht="21" customHeight="1">
      <c r="V321" s="5168"/>
      <c r="W321" s="3543" t="s">
        <v>13271</v>
      </c>
      <c r="X321" s="3544" t="s">
        <v>13272</v>
      </c>
      <c r="Y321" s="3545">
        <v>191</v>
      </c>
      <c r="Z321" s="3546">
        <v>191</v>
      </c>
      <c r="AA321" s="3547">
        <v>191</v>
      </c>
      <c r="AB321"/>
      <c r="AC321" s="5169"/>
      <c r="AD321" s="3550" t="s">
        <v>13273</v>
      </c>
      <c r="AE321" s="3536" t="s">
        <v>13274</v>
      </c>
      <c r="AF321" s="3537">
        <v>199</v>
      </c>
      <c r="AG321" s="3538">
        <v>173</v>
      </c>
      <c r="AH321" s="3539">
        <v>163</v>
      </c>
      <c r="AI321"/>
      <c r="AJ321" s="5170"/>
      <c r="AK321" s="3541" t="s">
        <v>13275</v>
      </c>
      <c r="AL321" s="3536" t="s">
        <v>13276</v>
      </c>
      <c r="AM321" s="3537">
        <v>139</v>
      </c>
      <c r="AN321" s="3538">
        <v>54</v>
      </c>
      <c r="AO321" s="3539">
        <v>38</v>
      </c>
      <c r="AQ321" s="3">
        <v>1</v>
      </c>
    </row>
    <row r="322" spans="22:43" ht="21" customHeight="1">
      <c r="V322" s="5171"/>
      <c r="W322" s="3543" t="s">
        <v>13277</v>
      </c>
      <c r="X322" s="3544" t="s">
        <v>13278</v>
      </c>
      <c r="Y322" s="3545">
        <v>192</v>
      </c>
      <c r="Z322" s="3546">
        <v>192</v>
      </c>
      <c r="AA322" s="3547">
        <v>192</v>
      </c>
      <c r="AB322"/>
      <c r="AC322" s="5172"/>
      <c r="AD322" s="3550" t="s">
        <v>13279</v>
      </c>
      <c r="AE322" s="3536" t="s">
        <v>13280</v>
      </c>
      <c r="AF322" s="3537">
        <v>243</v>
      </c>
      <c r="AG322" s="3538">
        <v>132</v>
      </c>
      <c r="AH322" s="3539">
        <v>0</v>
      </c>
      <c r="AI322"/>
      <c r="AJ322" s="5173"/>
      <c r="AK322" s="3541" t="s">
        <v>13281</v>
      </c>
      <c r="AL322" s="3536" t="s">
        <v>13276</v>
      </c>
      <c r="AM322" s="3537">
        <v>139</v>
      </c>
      <c r="AN322" s="3538">
        <v>71</v>
      </c>
      <c r="AO322" s="3539">
        <v>38</v>
      </c>
      <c r="AQ322" s="3">
        <v>1</v>
      </c>
    </row>
    <row r="323" spans="22:43" ht="21" customHeight="1">
      <c r="V323" s="5174"/>
      <c r="W323" s="3543" t="s">
        <v>13282</v>
      </c>
      <c r="X323" s="3544" t="s">
        <v>13283</v>
      </c>
      <c r="Y323" s="3545">
        <v>194</v>
      </c>
      <c r="Z323" s="3546">
        <v>194</v>
      </c>
      <c r="AA323" s="3547">
        <v>194</v>
      </c>
      <c r="AB323"/>
      <c r="AC323" s="5175"/>
      <c r="AD323" s="3541" t="s">
        <v>13284</v>
      </c>
      <c r="AE323" s="3536" t="s">
        <v>13285</v>
      </c>
      <c r="AF323" s="3537">
        <v>219</v>
      </c>
      <c r="AG323" s="3538">
        <v>147</v>
      </c>
      <c r="AH323" s="3539">
        <v>112</v>
      </c>
      <c r="AI323"/>
      <c r="AJ323" s="5176"/>
      <c r="AK323" s="3550" t="s">
        <v>13286</v>
      </c>
      <c r="AL323" s="3536" t="s">
        <v>13287</v>
      </c>
      <c r="AM323" s="3537">
        <v>136</v>
      </c>
      <c r="AN323" s="3538">
        <v>66</v>
      </c>
      <c r="AO323" s="3539">
        <v>29</v>
      </c>
      <c r="AQ323" s="3">
        <v>1</v>
      </c>
    </row>
    <row r="324" spans="22:43" ht="21" customHeight="1">
      <c r="V324" s="5177"/>
      <c r="W324" s="3543" t="s">
        <v>13288</v>
      </c>
      <c r="X324" s="3544" t="s">
        <v>13289</v>
      </c>
      <c r="Y324" s="3545">
        <v>196</v>
      </c>
      <c r="Z324" s="3546">
        <v>196</v>
      </c>
      <c r="AA324" s="3547">
        <v>196</v>
      </c>
      <c r="AB324"/>
      <c r="AC324" s="5178"/>
      <c r="AD324" s="3550" t="s">
        <v>13290</v>
      </c>
      <c r="AE324" s="3536" t="s">
        <v>13291</v>
      </c>
      <c r="AF324" s="3537">
        <v>237</v>
      </c>
      <c r="AG324" s="3538">
        <v>135</v>
      </c>
      <c r="AH324" s="3539">
        <v>45</v>
      </c>
      <c r="AI324"/>
      <c r="AJ324" s="5179"/>
      <c r="AK324" s="3550" t="s">
        <v>13292</v>
      </c>
      <c r="AL324" s="3536" t="s">
        <v>13293</v>
      </c>
      <c r="AM324" s="3537">
        <v>136</v>
      </c>
      <c r="AN324" s="3538">
        <v>45</v>
      </c>
      <c r="AO324" s="3539">
        <v>23</v>
      </c>
      <c r="AQ324" s="3">
        <v>1</v>
      </c>
    </row>
    <row r="325" spans="22:43" ht="21" customHeight="1">
      <c r="V325" s="5180"/>
      <c r="W325" s="3543" t="s">
        <v>13294</v>
      </c>
      <c r="X325" s="3544" t="s">
        <v>13295</v>
      </c>
      <c r="Y325" s="3545">
        <v>199</v>
      </c>
      <c r="Z325" s="3546">
        <v>199</v>
      </c>
      <c r="AA325" s="3547">
        <v>199</v>
      </c>
      <c r="AB325"/>
      <c r="AC325" s="5181"/>
      <c r="AD325" s="3541" t="s">
        <v>13296</v>
      </c>
      <c r="AE325" s="3536" t="s">
        <v>13297</v>
      </c>
      <c r="AF325" s="3537">
        <v>238</v>
      </c>
      <c r="AG325" s="3538">
        <v>118</v>
      </c>
      <c r="AH325" s="3539">
        <v>0</v>
      </c>
      <c r="AI325"/>
      <c r="AJ325" s="5182"/>
      <c r="AK325" s="3550" t="s">
        <v>13298</v>
      </c>
      <c r="AL325" s="3536" t="s">
        <v>13299</v>
      </c>
      <c r="AM325" s="3537">
        <v>132</v>
      </c>
      <c r="AN325" s="3538">
        <v>46</v>
      </c>
      <c r="AO325" s="3539">
        <v>27</v>
      </c>
      <c r="AQ325" s="3">
        <v>1</v>
      </c>
    </row>
    <row r="326" spans="22:43" ht="21" customHeight="1">
      <c r="V326" s="5183"/>
      <c r="W326" s="3543" t="s">
        <v>13300</v>
      </c>
      <c r="X326" s="3544" t="s">
        <v>13301</v>
      </c>
      <c r="Y326" s="3545">
        <v>201</v>
      </c>
      <c r="Z326" s="3546">
        <v>201</v>
      </c>
      <c r="AA326" s="3547">
        <v>201</v>
      </c>
      <c r="AB326"/>
      <c r="AC326" s="5184"/>
      <c r="AD326" s="3550" t="s">
        <v>13302</v>
      </c>
      <c r="AE326" s="3536" t="s">
        <v>13303</v>
      </c>
      <c r="AF326" s="3537">
        <v>237</v>
      </c>
      <c r="AG326" s="3538">
        <v>127</v>
      </c>
      <c r="AH326" s="3539">
        <v>16</v>
      </c>
      <c r="AI326"/>
      <c r="AJ326" s="5185"/>
      <c r="AK326" s="3550" t="s">
        <v>13304</v>
      </c>
      <c r="AL326" s="3536" t="s">
        <v>13305</v>
      </c>
      <c r="AM326" s="3537">
        <v>121</v>
      </c>
      <c r="AN326" s="3538">
        <v>68</v>
      </c>
      <c r="AO326" s="3539">
        <v>59</v>
      </c>
      <c r="AQ326" s="3">
        <v>1</v>
      </c>
    </row>
    <row r="327" spans="22:43" ht="21" customHeight="1">
      <c r="V327" s="5186"/>
      <c r="W327" s="3558" t="s">
        <v>13306</v>
      </c>
      <c r="X327" s="3544" t="s">
        <v>13307</v>
      </c>
      <c r="Y327" s="3545">
        <v>204</v>
      </c>
      <c r="Z327" s="3546">
        <v>204</v>
      </c>
      <c r="AA327" s="3547">
        <v>204</v>
      </c>
      <c r="AB327"/>
      <c r="AC327" s="5187"/>
      <c r="AD327" s="3541" t="s">
        <v>13308</v>
      </c>
      <c r="AE327" s="3536" t="s">
        <v>13309</v>
      </c>
      <c r="AF327" s="3537">
        <v>209</v>
      </c>
      <c r="AG327" s="3538">
        <v>146</v>
      </c>
      <c r="AH327" s="3539">
        <v>117</v>
      </c>
      <c r="AI327"/>
      <c r="AJ327" s="5188"/>
      <c r="AK327" s="3550" t="s">
        <v>13310</v>
      </c>
      <c r="AL327" s="3536" t="s">
        <v>13311</v>
      </c>
      <c r="AM327" s="3537">
        <v>126</v>
      </c>
      <c r="AN327" s="3538">
        <v>51</v>
      </c>
      <c r="AO327" s="3539">
        <v>0</v>
      </c>
      <c r="AQ327" s="3">
        <v>1</v>
      </c>
    </row>
    <row r="328" spans="22:43" ht="21" customHeight="1">
      <c r="V328" s="5189"/>
      <c r="W328" s="3543" t="s">
        <v>13312</v>
      </c>
      <c r="X328" s="3544" t="s">
        <v>13313</v>
      </c>
      <c r="Y328" s="3545">
        <v>205</v>
      </c>
      <c r="Z328" s="3546">
        <v>205</v>
      </c>
      <c r="AA328" s="3547">
        <v>205</v>
      </c>
      <c r="AB328"/>
      <c r="AC328" s="5190"/>
      <c r="AD328" s="3550" t="s">
        <v>13314</v>
      </c>
      <c r="AE328" s="3536" t="s">
        <v>13315</v>
      </c>
      <c r="AF328" s="3537">
        <v>230</v>
      </c>
      <c r="AG328" s="3538">
        <v>126</v>
      </c>
      <c r="AH328" s="3539">
        <v>48</v>
      </c>
      <c r="AI328"/>
      <c r="AJ328" s="5191"/>
      <c r="AK328" s="3550" t="s">
        <v>13316</v>
      </c>
      <c r="AL328" s="3536" t="s">
        <v>13317</v>
      </c>
      <c r="AM328" s="3537">
        <v>103</v>
      </c>
      <c r="AN328" s="3538">
        <v>76</v>
      </c>
      <c r="AO328" s="3539">
        <v>71</v>
      </c>
      <c r="AQ328" s="3">
        <v>1</v>
      </c>
    </row>
    <row r="329" spans="22:43" ht="21" customHeight="1">
      <c r="V329" s="5192"/>
      <c r="W329" s="3558" t="s">
        <v>13318</v>
      </c>
      <c r="X329" s="3544" t="s">
        <v>13319</v>
      </c>
      <c r="Y329" s="3545">
        <v>206</v>
      </c>
      <c r="Z329" s="3546">
        <v>206</v>
      </c>
      <c r="AA329" s="3547">
        <v>206</v>
      </c>
      <c r="AB329"/>
      <c r="AC329" s="5193"/>
      <c r="AD329" s="3550" t="s">
        <v>13320</v>
      </c>
      <c r="AE329" s="3536" t="s">
        <v>13321</v>
      </c>
      <c r="AF329" s="3537">
        <v>217</v>
      </c>
      <c r="AG329" s="3538">
        <v>144</v>
      </c>
      <c r="AH329" s="3539">
        <v>88</v>
      </c>
      <c r="AI329"/>
      <c r="AJ329" s="5194"/>
      <c r="AK329" s="3550" t="s">
        <v>13322</v>
      </c>
      <c r="AL329" s="3536" t="s">
        <v>13323</v>
      </c>
      <c r="AM329" s="3537">
        <v>91</v>
      </c>
      <c r="AN329" s="3538">
        <v>80</v>
      </c>
      <c r="AO329" s="3539">
        <v>79</v>
      </c>
      <c r="AQ329" s="3">
        <v>1</v>
      </c>
    </row>
    <row r="330" spans="22:43" ht="21" customHeight="1">
      <c r="V330" s="5195"/>
      <c r="W330" s="3543" t="s">
        <v>13324</v>
      </c>
      <c r="X330" s="3544" t="s">
        <v>13325</v>
      </c>
      <c r="Y330" s="3545">
        <v>207</v>
      </c>
      <c r="Z330" s="3546">
        <v>207</v>
      </c>
      <c r="AA330" s="3547">
        <v>207</v>
      </c>
      <c r="AB330"/>
      <c r="AC330" s="5196"/>
      <c r="AD330" s="3550" t="s">
        <v>13326</v>
      </c>
      <c r="AE330" s="3536" t="s">
        <v>13327</v>
      </c>
      <c r="AF330" s="3537">
        <v>223</v>
      </c>
      <c r="AG330" s="3538">
        <v>109</v>
      </c>
      <c r="AH330" s="3539">
        <v>20</v>
      </c>
      <c r="AI330"/>
      <c r="AJ330" s="5197"/>
      <c r="AK330" s="3550" t="s">
        <v>13328</v>
      </c>
      <c r="AL330" s="3536" t="s">
        <v>13329</v>
      </c>
      <c r="AM330" s="3537">
        <v>112</v>
      </c>
      <c r="AN330" s="3538">
        <v>53</v>
      </c>
      <c r="AO330" s="3539">
        <v>22</v>
      </c>
      <c r="AQ330" s="3">
        <v>1</v>
      </c>
    </row>
    <row r="331" spans="22:43" ht="21" customHeight="1">
      <c r="V331" s="5198"/>
      <c r="W331" s="3543" t="s">
        <v>13330</v>
      </c>
      <c r="X331" s="3544" t="s">
        <v>13331</v>
      </c>
      <c r="Y331" s="3545">
        <v>209</v>
      </c>
      <c r="Z331" s="3546">
        <v>209</v>
      </c>
      <c r="AA331" s="3547">
        <v>209</v>
      </c>
      <c r="AB331"/>
      <c r="AC331" s="5199"/>
      <c r="AD331" s="3541" t="s">
        <v>13332</v>
      </c>
      <c r="AE331" s="3536" t="s">
        <v>13333</v>
      </c>
      <c r="AF331" s="3537">
        <v>210</v>
      </c>
      <c r="AG331" s="3538">
        <v>105</v>
      </c>
      <c r="AH331" s="3539">
        <v>30</v>
      </c>
      <c r="AI331"/>
      <c r="AJ331" s="5200"/>
      <c r="AK331" s="3550" t="s">
        <v>13334</v>
      </c>
      <c r="AL331" s="3536" t="s">
        <v>13335</v>
      </c>
      <c r="AM331" s="3537">
        <v>67</v>
      </c>
      <c r="AN331" s="3538">
        <v>48</v>
      </c>
      <c r="AO331" s="3539">
        <v>46</v>
      </c>
      <c r="AQ331" s="3">
        <v>1</v>
      </c>
    </row>
    <row r="332" spans="22:43" ht="21" customHeight="1">
      <c r="V332" s="5201"/>
      <c r="W332" s="3543" t="s">
        <v>13336</v>
      </c>
      <c r="X332" s="3544" t="s">
        <v>13337</v>
      </c>
      <c r="Y332" s="3545">
        <v>211</v>
      </c>
      <c r="Z332" s="3546">
        <v>211</v>
      </c>
      <c r="AA332" s="3547">
        <v>211</v>
      </c>
      <c r="AB332"/>
      <c r="AC332" s="5202"/>
      <c r="AD332" s="3541" t="s">
        <v>12716</v>
      </c>
      <c r="AE332" s="3536" t="s">
        <v>13338</v>
      </c>
      <c r="AF332" s="3537">
        <v>205</v>
      </c>
      <c r="AG332" s="3538">
        <v>127</v>
      </c>
      <c r="AH332" s="3539">
        <v>50</v>
      </c>
      <c r="AI332"/>
      <c r="AJ332" s="5203"/>
      <c r="AK332" s="3550" t="s">
        <v>13339</v>
      </c>
      <c r="AL332" s="3536" t="s">
        <v>13340</v>
      </c>
      <c r="AM332" s="3537">
        <v>0</v>
      </c>
      <c r="AN332" s="3538">
        <v>255</v>
      </c>
      <c r="AO332" s="3539">
        <v>0</v>
      </c>
      <c r="AQ332" s="3">
        <v>1</v>
      </c>
    </row>
    <row r="333" spans="22:43" ht="21" customHeight="1">
      <c r="V333" s="5204"/>
      <c r="W333" s="3543" t="s">
        <v>13341</v>
      </c>
      <c r="X333" s="3544" t="s">
        <v>13342</v>
      </c>
      <c r="Y333" s="3545">
        <v>212</v>
      </c>
      <c r="Z333" s="3546">
        <v>212</v>
      </c>
      <c r="AA333" s="3547">
        <v>212</v>
      </c>
      <c r="AB333"/>
      <c r="AC333" s="5205"/>
      <c r="AD333" s="3541" t="s">
        <v>13343</v>
      </c>
      <c r="AE333" s="3536" t="s">
        <v>13344</v>
      </c>
      <c r="AF333" s="3537">
        <v>205</v>
      </c>
      <c r="AG333" s="3538">
        <v>102</v>
      </c>
      <c r="AH333" s="3539">
        <v>29</v>
      </c>
      <c r="AI333"/>
      <c r="AJ333" s="5206"/>
      <c r="AK333" s="3550" t="s">
        <v>13345</v>
      </c>
      <c r="AL333" s="3536" t="s">
        <v>13346</v>
      </c>
      <c r="AM333" s="3537">
        <v>135</v>
      </c>
      <c r="AN333" s="3538">
        <v>233</v>
      </c>
      <c r="AO333" s="3539">
        <v>144</v>
      </c>
      <c r="AQ333" s="3">
        <v>1</v>
      </c>
    </row>
    <row r="334" spans="22:43" ht="21" customHeight="1">
      <c r="V334" s="5207"/>
      <c r="W334" s="3543" t="s">
        <v>13347</v>
      </c>
      <c r="X334" s="3544" t="s">
        <v>13348</v>
      </c>
      <c r="Y334" s="3545">
        <v>214</v>
      </c>
      <c r="Z334" s="3546">
        <v>214</v>
      </c>
      <c r="AA334" s="3547">
        <v>214</v>
      </c>
      <c r="AB334"/>
      <c r="AC334" s="5208"/>
      <c r="AD334" s="3541" t="s">
        <v>13349</v>
      </c>
      <c r="AE334" s="3536" t="s">
        <v>13350</v>
      </c>
      <c r="AF334" s="3537">
        <v>205</v>
      </c>
      <c r="AG334" s="3538">
        <v>102</v>
      </c>
      <c r="AH334" s="3539">
        <v>0</v>
      </c>
      <c r="AI334"/>
      <c r="AJ334" s="5209"/>
      <c r="AK334" s="3541" t="s">
        <v>13351</v>
      </c>
      <c r="AL334" s="3536" t="s">
        <v>13352</v>
      </c>
      <c r="AM334" s="3537">
        <v>144</v>
      </c>
      <c r="AN334" s="3538">
        <v>238</v>
      </c>
      <c r="AO334" s="3539">
        <v>144</v>
      </c>
      <c r="AQ334" s="3">
        <v>1</v>
      </c>
    </row>
    <row r="335" spans="22:43" ht="21" customHeight="1">
      <c r="V335" s="5210"/>
      <c r="W335" s="3543" t="s">
        <v>13353</v>
      </c>
      <c r="X335" s="3544" t="s">
        <v>13354</v>
      </c>
      <c r="Y335" s="3545">
        <v>217</v>
      </c>
      <c r="Z335" s="3546">
        <v>217</v>
      </c>
      <c r="AA335" s="3547">
        <v>217</v>
      </c>
      <c r="AB335"/>
      <c r="AC335" s="5211"/>
      <c r="AD335" s="3550" t="s">
        <v>13355</v>
      </c>
      <c r="AE335" s="3536" t="s">
        <v>13356</v>
      </c>
      <c r="AF335" s="3537">
        <v>190</v>
      </c>
      <c r="AG335" s="3538">
        <v>101</v>
      </c>
      <c r="AH335" s="3539">
        <v>22</v>
      </c>
      <c r="AI335"/>
      <c r="AJ335" s="5212"/>
      <c r="AK335" s="3541" t="s">
        <v>13357</v>
      </c>
      <c r="AL335" s="3536" t="s">
        <v>13358</v>
      </c>
      <c r="AM335" s="3537">
        <v>193</v>
      </c>
      <c r="AN335" s="3538">
        <v>205</v>
      </c>
      <c r="AO335" s="3539">
        <v>193</v>
      </c>
      <c r="AQ335" s="3">
        <v>1</v>
      </c>
    </row>
    <row r="336" spans="22:43" ht="21" customHeight="1">
      <c r="V336" s="5213"/>
      <c r="W336" s="3543" t="s">
        <v>13359</v>
      </c>
      <c r="X336" s="3544" t="s">
        <v>13360</v>
      </c>
      <c r="Y336" s="3545">
        <v>219</v>
      </c>
      <c r="Z336" s="3546">
        <v>219</v>
      </c>
      <c r="AA336" s="3547">
        <v>219</v>
      </c>
      <c r="AB336"/>
      <c r="AC336" s="5214"/>
      <c r="AD336" s="3541" t="s">
        <v>13361</v>
      </c>
      <c r="AE336" s="3536" t="s">
        <v>13362</v>
      </c>
      <c r="AF336" s="3537">
        <v>184</v>
      </c>
      <c r="AG336" s="3538">
        <v>115</v>
      </c>
      <c r="AH336" s="3539">
        <v>51</v>
      </c>
      <c r="AI336"/>
      <c r="AJ336" s="5215"/>
      <c r="AK336" s="3541" t="s">
        <v>13363</v>
      </c>
      <c r="AL336" s="3536" t="s">
        <v>13364</v>
      </c>
      <c r="AM336" s="3537">
        <v>152</v>
      </c>
      <c r="AN336" s="3538">
        <v>251</v>
      </c>
      <c r="AO336" s="3539">
        <v>152</v>
      </c>
      <c r="AQ336" s="3">
        <v>1</v>
      </c>
    </row>
    <row r="337" spans="22:43" ht="21" customHeight="1">
      <c r="V337" s="5216"/>
      <c r="W337" s="3543" t="s">
        <v>13365</v>
      </c>
      <c r="X337" s="3544" t="s">
        <v>13366</v>
      </c>
      <c r="Y337" s="3545">
        <v>220</v>
      </c>
      <c r="Z337" s="3546">
        <v>220</v>
      </c>
      <c r="AA337" s="3547">
        <v>220</v>
      </c>
      <c r="AB337"/>
      <c r="AC337" s="5217"/>
      <c r="AD337" s="3550" t="s">
        <v>13367</v>
      </c>
      <c r="AE337" s="3536" t="s">
        <v>13368</v>
      </c>
      <c r="AF337" s="3537">
        <v>151</v>
      </c>
      <c r="AG337" s="3538">
        <v>127</v>
      </c>
      <c r="AH337" s="3539">
        <v>115</v>
      </c>
      <c r="AI337"/>
      <c r="AJ337" s="5218"/>
      <c r="AK337" s="3541" t="s">
        <v>13369</v>
      </c>
      <c r="AL337" s="3536" t="s">
        <v>13370</v>
      </c>
      <c r="AM337" s="3537">
        <v>180</v>
      </c>
      <c r="AN337" s="3538">
        <v>238</v>
      </c>
      <c r="AO337" s="3539">
        <v>180</v>
      </c>
      <c r="AQ337" s="3">
        <v>1</v>
      </c>
    </row>
    <row r="338" spans="22:43" ht="21" customHeight="1">
      <c r="V338" s="5219"/>
      <c r="W338" s="3543" t="s">
        <v>13371</v>
      </c>
      <c r="X338" s="3544" t="s">
        <v>13372</v>
      </c>
      <c r="Y338" s="3545">
        <v>221</v>
      </c>
      <c r="Z338" s="3546">
        <v>221</v>
      </c>
      <c r="AA338" s="3547">
        <v>221</v>
      </c>
      <c r="AB338"/>
      <c r="AC338" s="5220"/>
      <c r="AD338" s="3550" t="s">
        <v>13373</v>
      </c>
      <c r="AE338" s="3536" t="s">
        <v>13374</v>
      </c>
      <c r="AF338" s="3537">
        <v>174</v>
      </c>
      <c r="AG338" s="3538">
        <v>105</v>
      </c>
      <c r="AH338" s="3539">
        <v>56</v>
      </c>
      <c r="AI338"/>
      <c r="AJ338" s="5221"/>
      <c r="AK338" s="3541" t="s">
        <v>13375</v>
      </c>
      <c r="AL338" s="3536" t="s">
        <v>13376</v>
      </c>
      <c r="AM338" s="3537">
        <v>154</v>
      </c>
      <c r="AN338" s="3538">
        <v>255</v>
      </c>
      <c r="AO338" s="3539">
        <v>154</v>
      </c>
      <c r="AQ338" s="3">
        <v>1</v>
      </c>
    </row>
    <row r="339" spans="22:43" ht="21" customHeight="1">
      <c r="V339" s="5222"/>
      <c r="W339" s="3543" t="s">
        <v>13377</v>
      </c>
      <c r="X339" s="3544" t="s">
        <v>13378</v>
      </c>
      <c r="Y339" s="3545">
        <v>222</v>
      </c>
      <c r="Z339" s="3546">
        <v>222</v>
      </c>
      <c r="AA339" s="3547">
        <v>222</v>
      </c>
      <c r="AB339"/>
      <c r="AC339" s="5223"/>
      <c r="AD339" s="3550" t="s">
        <v>13379</v>
      </c>
      <c r="AE339" s="3536" t="s">
        <v>13380</v>
      </c>
      <c r="AF339" s="3537">
        <v>179</v>
      </c>
      <c r="AG339" s="3538">
        <v>103</v>
      </c>
      <c r="AH339" s="3539">
        <v>0</v>
      </c>
      <c r="AI339"/>
      <c r="AJ339" s="5224"/>
      <c r="AK339" s="3541" t="s">
        <v>13381</v>
      </c>
      <c r="AL339" s="3536" t="s">
        <v>13382</v>
      </c>
      <c r="AM339" s="3537">
        <v>193</v>
      </c>
      <c r="AN339" s="3538">
        <v>255</v>
      </c>
      <c r="AO339" s="3539">
        <v>193</v>
      </c>
      <c r="AQ339" s="3">
        <v>1</v>
      </c>
    </row>
    <row r="340" spans="22:43" ht="21" customHeight="1">
      <c r="V340" s="5225"/>
      <c r="W340" s="3543" t="s">
        <v>13383</v>
      </c>
      <c r="X340" s="3544" t="s">
        <v>13384</v>
      </c>
      <c r="Y340" s="3545">
        <v>224</v>
      </c>
      <c r="Z340" s="3546">
        <v>224</v>
      </c>
      <c r="AA340" s="3547">
        <v>224</v>
      </c>
      <c r="AB340"/>
      <c r="AC340" s="5226"/>
      <c r="AD340" s="3550" t="s">
        <v>13385</v>
      </c>
      <c r="AE340" s="3536" t="s">
        <v>13386</v>
      </c>
      <c r="AF340" s="3537">
        <v>174</v>
      </c>
      <c r="AG340" s="3538">
        <v>100</v>
      </c>
      <c r="AH340" s="3539">
        <v>45</v>
      </c>
      <c r="AI340"/>
      <c r="AJ340" s="5227"/>
      <c r="AK340" s="3541" t="s">
        <v>13387</v>
      </c>
      <c r="AL340" s="3536" t="s">
        <v>13388</v>
      </c>
      <c r="AM340" s="3537">
        <v>224</v>
      </c>
      <c r="AN340" s="3538">
        <v>238</v>
      </c>
      <c r="AO340" s="3539">
        <v>224</v>
      </c>
      <c r="AQ340" s="3">
        <v>1</v>
      </c>
    </row>
    <row r="341" spans="22:43" ht="21" customHeight="1">
      <c r="V341" s="5228"/>
      <c r="W341" s="3543" t="s">
        <v>13389</v>
      </c>
      <c r="X341" s="3544" t="s">
        <v>13390</v>
      </c>
      <c r="Y341" s="3545">
        <v>227</v>
      </c>
      <c r="Z341" s="3546">
        <v>227</v>
      </c>
      <c r="AA341" s="3547">
        <v>227</v>
      </c>
      <c r="AB341"/>
      <c r="AC341" s="5229"/>
      <c r="AD341" s="3550" t="s">
        <v>13391</v>
      </c>
      <c r="AE341" s="3536" t="s">
        <v>13392</v>
      </c>
      <c r="AF341" s="3537">
        <v>167</v>
      </c>
      <c r="AG341" s="3538">
        <v>103</v>
      </c>
      <c r="AH341" s="3539">
        <v>38</v>
      </c>
      <c r="AI341"/>
      <c r="AJ341" s="5230"/>
      <c r="AK341" s="3541" t="s">
        <v>13393</v>
      </c>
      <c r="AL341" s="3536" t="s">
        <v>13394</v>
      </c>
      <c r="AM341" s="3537">
        <v>240</v>
      </c>
      <c r="AN341" s="3538">
        <v>255</v>
      </c>
      <c r="AO341" s="3539">
        <v>240</v>
      </c>
      <c r="AQ341" s="3">
        <v>1</v>
      </c>
    </row>
    <row r="342" spans="22:43" ht="21" customHeight="1">
      <c r="V342" s="5231"/>
      <c r="W342" s="3543" t="s">
        <v>13395</v>
      </c>
      <c r="X342" s="3544" t="s">
        <v>13396</v>
      </c>
      <c r="Y342" s="3545">
        <v>229</v>
      </c>
      <c r="Z342" s="3546">
        <v>229</v>
      </c>
      <c r="AA342" s="3547">
        <v>229</v>
      </c>
      <c r="AB342"/>
      <c r="AC342" s="5232"/>
      <c r="AD342" s="3541" t="s">
        <v>13397</v>
      </c>
      <c r="AE342" s="3536" t="s">
        <v>13398</v>
      </c>
      <c r="AF342" s="3537">
        <v>151</v>
      </c>
      <c r="AG342" s="3538">
        <v>105</v>
      </c>
      <c r="AH342" s="3539">
        <v>79</v>
      </c>
      <c r="AI342"/>
      <c r="AJ342" s="5233"/>
      <c r="AK342" s="3541" t="s">
        <v>13399</v>
      </c>
      <c r="AL342" s="3536" t="s">
        <v>13400</v>
      </c>
      <c r="AM342" s="3537">
        <v>155</v>
      </c>
      <c r="AN342" s="3538">
        <v>205</v>
      </c>
      <c r="AO342" s="3539">
        <v>155</v>
      </c>
      <c r="AQ342" s="3">
        <v>1</v>
      </c>
    </row>
    <row r="343" spans="22:43" ht="21" customHeight="1">
      <c r="V343" s="5234"/>
      <c r="W343" s="3543" t="s">
        <v>13401</v>
      </c>
      <c r="X343" s="3544" t="s">
        <v>13402</v>
      </c>
      <c r="Y343" s="3545">
        <v>232</v>
      </c>
      <c r="Z343" s="3546">
        <v>232</v>
      </c>
      <c r="AA343" s="3547">
        <v>232</v>
      </c>
      <c r="AB343"/>
      <c r="AC343" s="5235"/>
      <c r="AD343" s="3550" t="s">
        <v>13403</v>
      </c>
      <c r="AE343" s="3536" t="s">
        <v>13404</v>
      </c>
      <c r="AF343" s="3537">
        <v>167</v>
      </c>
      <c r="AG343" s="3538">
        <v>85</v>
      </c>
      <c r="AH343" s="3539">
        <v>2</v>
      </c>
      <c r="AI343"/>
      <c r="AJ343" s="5236"/>
      <c r="AK343" s="3541" t="s">
        <v>13405</v>
      </c>
      <c r="AL343" s="3536" t="s">
        <v>13406</v>
      </c>
      <c r="AM343" s="3537">
        <v>9</v>
      </c>
      <c r="AN343" s="3538">
        <v>249</v>
      </c>
      <c r="AO343" s="3539">
        <v>17</v>
      </c>
      <c r="AQ343" s="3">
        <v>1</v>
      </c>
    </row>
    <row r="344" spans="22:43" ht="21" customHeight="1">
      <c r="V344" s="5237"/>
      <c r="W344" s="3543" t="s">
        <v>13407</v>
      </c>
      <c r="X344" s="3544" t="s">
        <v>13408</v>
      </c>
      <c r="Y344" s="3545">
        <v>235</v>
      </c>
      <c r="Z344" s="3546">
        <v>235</v>
      </c>
      <c r="AA344" s="3547">
        <v>235</v>
      </c>
      <c r="AB344"/>
      <c r="AC344" s="5238"/>
      <c r="AD344" s="3550" t="s">
        <v>13409</v>
      </c>
      <c r="AE344" s="3536" t="s">
        <v>13410</v>
      </c>
      <c r="AF344" s="3537">
        <v>159</v>
      </c>
      <c r="AG344" s="3538">
        <v>85</v>
      </c>
      <c r="AH344" s="3539">
        <v>30</v>
      </c>
      <c r="AI344"/>
      <c r="AJ344" s="5239"/>
      <c r="AK344" s="3550" t="s">
        <v>13411</v>
      </c>
      <c r="AL344" s="3536" t="s">
        <v>13412</v>
      </c>
      <c r="AM344" s="3537">
        <v>58</v>
      </c>
      <c r="AN344" s="3538">
        <v>242</v>
      </c>
      <c r="AO344" s="3539">
        <v>75</v>
      </c>
      <c r="AQ344" s="3">
        <v>1</v>
      </c>
    </row>
    <row r="345" spans="22:43" ht="21" customHeight="1">
      <c r="V345" s="5240"/>
      <c r="W345" s="3558" t="s">
        <v>13413</v>
      </c>
      <c r="X345" s="3544" t="s">
        <v>13414</v>
      </c>
      <c r="Y345" s="3545">
        <v>237</v>
      </c>
      <c r="Z345" s="3546">
        <v>237</v>
      </c>
      <c r="AA345" s="3547">
        <v>237</v>
      </c>
      <c r="AB345"/>
      <c r="AC345" s="5241"/>
      <c r="AD345" s="3550" t="s">
        <v>13415</v>
      </c>
      <c r="AE345" s="3536" t="s">
        <v>13416</v>
      </c>
      <c r="AF345" s="3537">
        <v>152</v>
      </c>
      <c r="AG345" s="3538">
        <v>87</v>
      </c>
      <c r="AH345" s="3539">
        <v>23</v>
      </c>
      <c r="AI345"/>
      <c r="AJ345" s="5242"/>
      <c r="AK345" s="3550" t="s">
        <v>13417</v>
      </c>
      <c r="AL345" s="3536" t="s">
        <v>13418</v>
      </c>
      <c r="AM345" s="3537">
        <v>131</v>
      </c>
      <c r="AN345" s="3538">
        <v>211</v>
      </c>
      <c r="AO345" s="3539">
        <v>125</v>
      </c>
      <c r="AQ345" s="3">
        <v>1</v>
      </c>
    </row>
    <row r="346" spans="22:43" ht="21" customHeight="1">
      <c r="V346" s="5243"/>
      <c r="W346" s="3543" t="s">
        <v>13419</v>
      </c>
      <c r="X346" s="3544" t="s">
        <v>13420</v>
      </c>
      <c r="Y346" s="3545">
        <v>238</v>
      </c>
      <c r="Z346" s="3546">
        <v>238</v>
      </c>
      <c r="AA346" s="3547">
        <v>238</v>
      </c>
      <c r="AB346"/>
      <c r="AC346" s="5244"/>
      <c r="AD346" s="3550" t="s">
        <v>13421</v>
      </c>
      <c r="AE346" s="3536" t="s">
        <v>13422</v>
      </c>
      <c r="AF346" s="3537">
        <v>149</v>
      </c>
      <c r="AG346" s="3538">
        <v>86</v>
      </c>
      <c r="AH346" s="3539">
        <v>40</v>
      </c>
      <c r="AI346"/>
      <c r="AJ346" s="5245"/>
      <c r="AK346" s="3550" t="s">
        <v>13423</v>
      </c>
      <c r="AL346" s="3536" t="s">
        <v>13424</v>
      </c>
      <c r="AM346" s="3537">
        <v>147</v>
      </c>
      <c r="AN346" s="3538">
        <v>197</v>
      </c>
      <c r="AO346" s="3539">
        <v>146</v>
      </c>
      <c r="AQ346" s="3">
        <v>1</v>
      </c>
    </row>
    <row r="347" spans="22:43" ht="21" customHeight="1">
      <c r="V347" s="5246"/>
      <c r="W347" s="3558" t="s">
        <v>13425</v>
      </c>
      <c r="X347" s="3544" t="s">
        <v>13426</v>
      </c>
      <c r="Y347" s="3545">
        <v>239</v>
      </c>
      <c r="Z347" s="3546">
        <v>239</v>
      </c>
      <c r="AA347" s="3547">
        <v>239</v>
      </c>
      <c r="AB347"/>
      <c r="AC347" s="5247"/>
      <c r="AD347" s="3550" t="s">
        <v>13427</v>
      </c>
      <c r="AE347" s="3536" t="s">
        <v>13428</v>
      </c>
      <c r="AF347" s="3537">
        <v>142</v>
      </c>
      <c r="AG347" s="3538">
        <v>84</v>
      </c>
      <c r="AH347" s="3539">
        <v>52</v>
      </c>
      <c r="AI347"/>
      <c r="AJ347" s="5248"/>
      <c r="AK347" s="3541" t="s">
        <v>13429</v>
      </c>
      <c r="AL347" s="3536" t="s">
        <v>13430</v>
      </c>
      <c r="AM347" s="3537">
        <v>0</v>
      </c>
      <c r="AN347" s="3538">
        <v>238</v>
      </c>
      <c r="AO347" s="3539">
        <v>0</v>
      </c>
      <c r="AQ347" s="3">
        <v>1</v>
      </c>
    </row>
    <row r="348" spans="22:43" ht="21" customHeight="1">
      <c r="V348" s="5249"/>
      <c r="W348" s="3543" t="s">
        <v>13431</v>
      </c>
      <c r="X348" s="3544" t="s">
        <v>13432</v>
      </c>
      <c r="Y348" s="3545">
        <v>240</v>
      </c>
      <c r="Z348" s="3546">
        <v>240</v>
      </c>
      <c r="AA348" s="3547">
        <v>240</v>
      </c>
      <c r="AB348"/>
      <c r="AC348" s="5250"/>
      <c r="AD348" s="3541" t="s">
        <v>13433</v>
      </c>
      <c r="AE348" s="3536" t="s">
        <v>13434</v>
      </c>
      <c r="AF348" s="3537">
        <v>133</v>
      </c>
      <c r="AG348" s="3538">
        <v>94</v>
      </c>
      <c r="AH348" s="3539">
        <v>66</v>
      </c>
      <c r="AI348"/>
      <c r="AJ348" s="5251"/>
      <c r="AK348" s="3541" t="s">
        <v>13435</v>
      </c>
      <c r="AL348" s="3536" t="s">
        <v>13436</v>
      </c>
      <c r="AM348" s="3537">
        <v>124</v>
      </c>
      <c r="AN348" s="3538">
        <v>205</v>
      </c>
      <c r="AO348" s="3539">
        <v>124</v>
      </c>
      <c r="AQ348" s="3">
        <v>1</v>
      </c>
    </row>
    <row r="349" spans="22:43" ht="21" customHeight="1">
      <c r="V349" s="5252"/>
      <c r="W349" s="3543" t="s">
        <v>13437</v>
      </c>
      <c r="X349" s="3544" t="s">
        <v>13438</v>
      </c>
      <c r="Y349" s="3545">
        <v>242</v>
      </c>
      <c r="Z349" s="3546">
        <v>242</v>
      </c>
      <c r="AA349" s="3547">
        <v>242</v>
      </c>
      <c r="AB349"/>
      <c r="AC349" s="5253"/>
      <c r="AD349" s="3550" t="s">
        <v>13439</v>
      </c>
      <c r="AE349" s="3536" t="s">
        <v>13440</v>
      </c>
      <c r="AF349" s="3537">
        <v>132</v>
      </c>
      <c r="AG349" s="3538">
        <v>90</v>
      </c>
      <c r="AH349" s="3539">
        <v>59</v>
      </c>
      <c r="AI349"/>
      <c r="AJ349" s="5254"/>
      <c r="AK349" s="3541" t="s">
        <v>13441</v>
      </c>
      <c r="AL349" s="3536" t="s">
        <v>13442</v>
      </c>
      <c r="AM349" s="3537">
        <v>143</v>
      </c>
      <c r="AN349" s="3538">
        <v>188</v>
      </c>
      <c r="AO349" s="3539">
        <v>143</v>
      </c>
      <c r="AQ349" s="3">
        <v>1</v>
      </c>
    </row>
    <row r="350" spans="22:43" ht="21" customHeight="1">
      <c r="V350" s="5255"/>
      <c r="W350" s="3543" t="s">
        <v>13443</v>
      </c>
      <c r="X350" s="3544" t="s">
        <v>13444</v>
      </c>
      <c r="Y350" s="3545">
        <v>245</v>
      </c>
      <c r="Z350" s="3546">
        <v>245</v>
      </c>
      <c r="AA350" s="3547">
        <v>245</v>
      </c>
      <c r="AB350"/>
      <c r="AC350" s="5256"/>
      <c r="AD350" s="3541" t="s">
        <v>13445</v>
      </c>
      <c r="AE350" s="3536" t="s">
        <v>13446</v>
      </c>
      <c r="AF350" s="3537">
        <v>139</v>
      </c>
      <c r="AG350" s="3538">
        <v>69</v>
      </c>
      <c r="AH350" s="3539">
        <v>19</v>
      </c>
      <c r="AI350"/>
      <c r="AJ350" s="5257"/>
      <c r="AK350" s="3550" t="s">
        <v>13447</v>
      </c>
      <c r="AL350" s="3536" t="s">
        <v>13448</v>
      </c>
      <c r="AM350" s="3537">
        <v>149</v>
      </c>
      <c r="AN350" s="3538">
        <v>165</v>
      </c>
      <c r="AO350" s="3539">
        <v>149</v>
      </c>
      <c r="AQ350" s="3">
        <v>1</v>
      </c>
    </row>
    <row r="351" spans="22:43" ht="21" customHeight="1">
      <c r="V351" s="5258"/>
      <c r="W351" s="3543" t="s">
        <v>13449</v>
      </c>
      <c r="X351" s="3544" t="s">
        <v>13450</v>
      </c>
      <c r="Y351" s="3545">
        <v>247</v>
      </c>
      <c r="Z351" s="3546">
        <v>247</v>
      </c>
      <c r="AA351" s="3547">
        <v>247</v>
      </c>
      <c r="AB351"/>
      <c r="AC351" s="5259"/>
      <c r="AD351" s="3541" t="s">
        <v>13451</v>
      </c>
      <c r="AE351" s="3536" t="s">
        <v>13452</v>
      </c>
      <c r="AF351" s="3537">
        <v>139</v>
      </c>
      <c r="AG351" s="3538">
        <v>69</v>
      </c>
      <c r="AH351" s="3539">
        <v>0</v>
      </c>
      <c r="AI351"/>
      <c r="AJ351" s="5260"/>
      <c r="AK351" s="3541" t="s">
        <v>13453</v>
      </c>
      <c r="AL351" s="3536" t="s">
        <v>13454</v>
      </c>
      <c r="AM351" s="3537">
        <v>50</v>
      </c>
      <c r="AN351" s="3538">
        <v>205</v>
      </c>
      <c r="AO351" s="3539">
        <v>50</v>
      </c>
      <c r="AQ351" s="3">
        <v>1</v>
      </c>
    </row>
    <row r="352" spans="22:43" ht="21" customHeight="1">
      <c r="V352" s="5261"/>
      <c r="W352" s="3543" t="s">
        <v>13455</v>
      </c>
      <c r="X352" s="3544" t="s">
        <v>13456</v>
      </c>
      <c r="Y352" s="3545">
        <v>250</v>
      </c>
      <c r="Z352" s="3546">
        <v>250</v>
      </c>
      <c r="AA352" s="3547">
        <v>250</v>
      </c>
      <c r="AB352"/>
      <c r="AC352" s="5262"/>
      <c r="AD352" s="3550" t="s">
        <v>13457</v>
      </c>
      <c r="AE352" s="3536" t="s">
        <v>13458</v>
      </c>
      <c r="AF352" s="3537">
        <v>128</v>
      </c>
      <c r="AG352" s="3538">
        <v>70</v>
      </c>
      <c r="AH352" s="3539">
        <v>27</v>
      </c>
      <c r="AI352"/>
      <c r="AJ352" s="5263"/>
      <c r="AK352" s="3541" t="s">
        <v>13459</v>
      </c>
      <c r="AL352" s="3536" t="s">
        <v>13460</v>
      </c>
      <c r="AM352" s="3537">
        <v>0</v>
      </c>
      <c r="AN352" s="3538">
        <v>205</v>
      </c>
      <c r="AO352" s="3539">
        <v>0</v>
      </c>
      <c r="AQ352" s="3">
        <v>1</v>
      </c>
    </row>
    <row r="353" spans="22:43" ht="21" customHeight="1">
      <c r="V353" s="5264"/>
      <c r="W353" s="3543" t="s">
        <v>13461</v>
      </c>
      <c r="X353" s="3544" t="s">
        <v>13462</v>
      </c>
      <c r="Y353" s="3545">
        <v>252</v>
      </c>
      <c r="Z353" s="3546">
        <v>252</v>
      </c>
      <c r="AA353" s="3547">
        <v>252</v>
      </c>
      <c r="AB353"/>
      <c r="AC353" s="5265"/>
      <c r="AD353" s="3550" t="s">
        <v>13463</v>
      </c>
      <c r="AE353" s="3536" t="s">
        <v>13464</v>
      </c>
      <c r="AF353" s="3537">
        <v>111</v>
      </c>
      <c r="AG353" s="3538">
        <v>78</v>
      </c>
      <c r="AH353" s="3539">
        <v>55</v>
      </c>
      <c r="AI353"/>
      <c r="AJ353" s="5266"/>
      <c r="AK353" s="3550" t="s">
        <v>13465</v>
      </c>
      <c r="AL353" s="3536" t="s">
        <v>13466</v>
      </c>
      <c r="AM353" s="3537">
        <v>52</v>
      </c>
      <c r="AN353" s="3538">
        <v>201</v>
      </c>
      <c r="AO353" s="3539">
        <v>36</v>
      </c>
      <c r="AQ353" s="3">
        <v>1</v>
      </c>
    </row>
    <row r="354" spans="22:43" ht="21" customHeight="1">
      <c r="V354" s="5267"/>
      <c r="W354" s="3558" t="s">
        <v>13467</v>
      </c>
      <c r="X354" s="3544" t="s">
        <v>13468</v>
      </c>
      <c r="Y354" s="3545">
        <v>254</v>
      </c>
      <c r="Z354" s="3546">
        <v>254</v>
      </c>
      <c r="AA354" s="3547">
        <v>254</v>
      </c>
      <c r="AB354"/>
      <c r="AC354" s="5268"/>
      <c r="AD354" s="3550" t="s">
        <v>13469</v>
      </c>
      <c r="AE354" s="3536" t="s">
        <v>13470</v>
      </c>
      <c r="AF354" s="3537">
        <v>99</v>
      </c>
      <c r="AG354" s="3538">
        <v>81</v>
      </c>
      <c r="AH354" s="3539">
        <v>71</v>
      </c>
      <c r="AI354"/>
      <c r="AJ354" s="5269"/>
      <c r="AK354" s="3541" t="s">
        <v>13471</v>
      </c>
      <c r="AL354" s="3536" t="s">
        <v>13472</v>
      </c>
      <c r="AM354" s="3537">
        <v>131</v>
      </c>
      <c r="AN354" s="3538">
        <v>139</v>
      </c>
      <c r="AO354" s="3539">
        <v>131</v>
      </c>
      <c r="AQ354" s="3">
        <v>1</v>
      </c>
    </row>
    <row r="355" spans="22:43" ht="21" customHeight="1">
      <c r="V355" s="5270"/>
      <c r="W355" s="3543" t="s">
        <v>13473</v>
      </c>
      <c r="X355" s="3544" t="s">
        <v>13474</v>
      </c>
      <c r="Y355" s="3545">
        <v>184</v>
      </c>
      <c r="Z355" s="3546">
        <v>184</v>
      </c>
      <c r="AA355" s="3547">
        <v>184</v>
      </c>
      <c r="AB355"/>
      <c r="AC355" s="5271"/>
      <c r="AD355" s="3541" t="s">
        <v>13475</v>
      </c>
      <c r="AE355" s="3536" t="s">
        <v>13476</v>
      </c>
      <c r="AF355" s="3537">
        <v>107</v>
      </c>
      <c r="AG355" s="3538">
        <v>66</v>
      </c>
      <c r="AH355" s="3539">
        <v>38</v>
      </c>
      <c r="AI355"/>
      <c r="AJ355" s="5272"/>
      <c r="AK355" s="3550" t="s">
        <v>13477</v>
      </c>
      <c r="AL355" s="3536" t="s">
        <v>13478</v>
      </c>
      <c r="AM355" s="3537">
        <v>103</v>
      </c>
      <c r="AN355" s="3538">
        <v>146</v>
      </c>
      <c r="AO355" s="3539">
        <v>103</v>
      </c>
      <c r="AQ355" s="3">
        <v>1</v>
      </c>
    </row>
    <row r="356" spans="22:43" ht="21" customHeight="1">
      <c r="V356" s="5273"/>
      <c r="W356" s="3543" t="s">
        <v>13479</v>
      </c>
      <c r="X356" s="3544" t="s">
        <v>13480</v>
      </c>
      <c r="Y356" s="3545">
        <v>181</v>
      </c>
      <c r="Z356" s="3546">
        <v>181</v>
      </c>
      <c r="AA356" s="3547">
        <v>181</v>
      </c>
      <c r="AB356"/>
      <c r="AC356" s="5274"/>
      <c r="AD356" s="3541" t="s">
        <v>13481</v>
      </c>
      <c r="AE356" s="3536" t="s">
        <v>13482</v>
      </c>
      <c r="AF356" s="3537">
        <v>92</v>
      </c>
      <c r="AG356" s="3538">
        <v>64</v>
      </c>
      <c r="AH356" s="3539">
        <v>51</v>
      </c>
      <c r="AI356"/>
      <c r="AJ356" s="5275"/>
      <c r="AK356" s="3541" t="s">
        <v>13483</v>
      </c>
      <c r="AL356" s="3536" t="s">
        <v>13484</v>
      </c>
      <c r="AM356" s="3537">
        <v>105</v>
      </c>
      <c r="AN356" s="3538">
        <v>139</v>
      </c>
      <c r="AO356" s="3539">
        <v>105</v>
      </c>
      <c r="AQ356" s="3">
        <v>1</v>
      </c>
    </row>
    <row r="357" spans="22:43" ht="21" customHeight="1">
      <c r="V357" s="5276"/>
      <c r="W357" s="3543" t="s">
        <v>13485</v>
      </c>
      <c r="X357" s="3544" t="s">
        <v>13486</v>
      </c>
      <c r="Y357" s="3545">
        <v>179</v>
      </c>
      <c r="Z357" s="3546">
        <v>179</v>
      </c>
      <c r="AA357" s="3547">
        <v>179</v>
      </c>
      <c r="AB357"/>
      <c r="AC357" s="5277"/>
      <c r="AD357" s="3550" t="s">
        <v>13487</v>
      </c>
      <c r="AE357" s="3536" t="s">
        <v>13488</v>
      </c>
      <c r="AF357" s="3537">
        <v>90</v>
      </c>
      <c r="AG357" s="3538">
        <v>58</v>
      </c>
      <c r="AH357" s="3539">
        <v>34</v>
      </c>
      <c r="AI357"/>
      <c r="AJ357" s="5278"/>
      <c r="AK357" s="3550" t="s">
        <v>13489</v>
      </c>
      <c r="AL357" s="3536" t="s">
        <v>13490</v>
      </c>
      <c r="AM357" s="3537">
        <v>68</v>
      </c>
      <c r="AN357" s="3538">
        <v>148</v>
      </c>
      <c r="AO357" s="3539">
        <v>74</v>
      </c>
      <c r="AQ357" s="3">
        <v>1</v>
      </c>
    </row>
    <row r="358" spans="22:43" ht="21" customHeight="1">
      <c r="V358" s="5279"/>
      <c r="W358" s="3543" t="s">
        <v>13491</v>
      </c>
      <c r="X358" s="3544" t="s">
        <v>13492</v>
      </c>
      <c r="Y358" s="3545">
        <v>176</v>
      </c>
      <c r="Z358" s="3546">
        <v>176</v>
      </c>
      <c r="AA358" s="3547">
        <v>176</v>
      </c>
      <c r="AB358"/>
      <c r="AC358" s="5280"/>
      <c r="AD358" s="3541" t="s">
        <v>13493</v>
      </c>
      <c r="AE358" s="3536" t="s">
        <v>13494</v>
      </c>
      <c r="AF358" s="3537">
        <v>92</v>
      </c>
      <c r="AG358" s="3538">
        <v>51</v>
      </c>
      <c r="AH358" s="3539">
        <v>23</v>
      </c>
      <c r="AI358"/>
      <c r="AJ358" s="5281"/>
      <c r="AK358" s="3541" t="s">
        <v>13495</v>
      </c>
      <c r="AL358" s="3536" t="s">
        <v>13496</v>
      </c>
      <c r="AM358" s="3537">
        <v>84</v>
      </c>
      <c r="AN358" s="3538">
        <v>139</v>
      </c>
      <c r="AO358" s="3539">
        <v>84</v>
      </c>
      <c r="AQ358" s="3">
        <v>1</v>
      </c>
    </row>
    <row r="359" spans="22:43" ht="21" customHeight="1">
      <c r="V359" s="5282"/>
      <c r="W359" s="3558" t="s">
        <v>13497</v>
      </c>
      <c r="X359" s="3544" t="s">
        <v>13498</v>
      </c>
      <c r="Y359" s="3545">
        <v>175</v>
      </c>
      <c r="Z359" s="3546">
        <v>175</v>
      </c>
      <c r="AA359" s="3547">
        <v>175</v>
      </c>
      <c r="AB359"/>
      <c r="AC359" s="5283"/>
      <c r="AD359" s="3550" t="s">
        <v>13499</v>
      </c>
      <c r="AE359" s="3536" t="s">
        <v>13500</v>
      </c>
      <c r="AF359" s="3537">
        <v>89</v>
      </c>
      <c r="AG359" s="3538">
        <v>51</v>
      </c>
      <c r="AH359" s="3539">
        <v>25</v>
      </c>
      <c r="AI359"/>
      <c r="AJ359" s="5284"/>
      <c r="AK359" s="3550" t="s">
        <v>13501</v>
      </c>
      <c r="AL359" s="3536" t="s">
        <v>13502</v>
      </c>
      <c r="AM359" s="3537">
        <v>20</v>
      </c>
      <c r="AN359" s="3538">
        <v>148</v>
      </c>
      <c r="AO359" s="3539">
        <v>20</v>
      </c>
      <c r="AQ359" s="3">
        <v>1</v>
      </c>
    </row>
    <row r="360" spans="22:43" ht="21" customHeight="1">
      <c r="V360" s="5285"/>
      <c r="W360" s="3543" t="s">
        <v>13503</v>
      </c>
      <c r="X360" s="3544" t="s">
        <v>13504</v>
      </c>
      <c r="Y360" s="3545">
        <v>173</v>
      </c>
      <c r="Z360" s="3546">
        <v>173</v>
      </c>
      <c r="AA360" s="3547">
        <v>173</v>
      </c>
      <c r="AB360"/>
      <c r="AC360" s="5286"/>
      <c r="AD360" s="3550" t="s">
        <v>13505</v>
      </c>
      <c r="AE360" s="3536" t="s">
        <v>13506</v>
      </c>
      <c r="AF360" s="3537">
        <v>88</v>
      </c>
      <c r="AG360" s="3538">
        <v>41</v>
      </c>
      <c r="AH360" s="3539">
        <v>0</v>
      </c>
      <c r="AI360"/>
      <c r="AJ360" s="5287"/>
      <c r="AK360" s="3550" t="s">
        <v>13507</v>
      </c>
      <c r="AL360" s="3536" t="s">
        <v>13508</v>
      </c>
      <c r="AM360" s="3537">
        <v>35</v>
      </c>
      <c r="AN360" s="3538">
        <v>142</v>
      </c>
      <c r="AO360" s="3539">
        <v>35</v>
      </c>
      <c r="AQ360" s="3">
        <v>1</v>
      </c>
    </row>
    <row r="361" spans="22:43" ht="21" customHeight="1">
      <c r="V361" s="5288"/>
      <c r="W361" s="3543" t="s">
        <v>13509</v>
      </c>
      <c r="X361" s="3544" t="s">
        <v>13510</v>
      </c>
      <c r="Y361" s="3545">
        <v>171</v>
      </c>
      <c r="Z361" s="3546">
        <v>171</v>
      </c>
      <c r="AA361" s="3547">
        <v>171</v>
      </c>
      <c r="AB361"/>
      <c r="AC361" s="5289"/>
      <c r="AD361" s="3550" t="s">
        <v>13511</v>
      </c>
      <c r="AE361" s="3536" t="s">
        <v>13512</v>
      </c>
      <c r="AF361" s="3537">
        <v>62</v>
      </c>
      <c r="AG361" s="3538">
        <v>50</v>
      </c>
      <c r="AH361" s="3539">
        <v>44</v>
      </c>
      <c r="AI361"/>
      <c r="AJ361" s="5290"/>
      <c r="AK361" s="3541" t="s">
        <v>13513</v>
      </c>
      <c r="AL361" s="3536" t="s">
        <v>13514</v>
      </c>
      <c r="AM361" s="3537">
        <v>34</v>
      </c>
      <c r="AN361" s="3538">
        <v>139</v>
      </c>
      <c r="AO361" s="3539">
        <v>34</v>
      </c>
      <c r="AQ361" s="3">
        <v>1</v>
      </c>
    </row>
    <row r="362" spans="22:43" ht="21" customHeight="1">
      <c r="V362" s="5291"/>
      <c r="W362" s="3543" t="s">
        <v>13515</v>
      </c>
      <c r="X362" s="3544" t="s">
        <v>13516</v>
      </c>
      <c r="Y362" s="3545">
        <v>168</v>
      </c>
      <c r="Z362" s="3546">
        <v>168</v>
      </c>
      <c r="AA362" s="3547">
        <v>168</v>
      </c>
      <c r="AB362"/>
      <c r="AC362" s="5292"/>
      <c r="AD362" s="3550" t="s">
        <v>13517</v>
      </c>
      <c r="AE362" s="3536" t="s">
        <v>13518</v>
      </c>
      <c r="AF362" s="3537">
        <v>66</v>
      </c>
      <c r="AG362" s="3538">
        <v>37</v>
      </c>
      <c r="AH362" s="3539">
        <v>24</v>
      </c>
      <c r="AI362"/>
      <c r="AJ362" s="5293"/>
      <c r="AK362" s="3541" t="s">
        <v>13519</v>
      </c>
      <c r="AL362" s="3536" t="s">
        <v>13520</v>
      </c>
      <c r="AM362" s="3537">
        <v>0</v>
      </c>
      <c r="AN362" s="3538">
        <v>139</v>
      </c>
      <c r="AO362" s="3539">
        <v>0</v>
      </c>
      <c r="AQ362" s="3">
        <v>1</v>
      </c>
    </row>
    <row r="363" spans="22:43" ht="21" customHeight="1">
      <c r="V363" s="5294"/>
      <c r="W363" s="3543" t="s">
        <v>13521</v>
      </c>
      <c r="X363" s="3544" t="s">
        <v>13522</v>
      </c>
      <c r="Y363" s="3545">
        <v>166</v>
      </c>
      <c r="Z363" s="3546">
        <v>166</v>
      </c>
      <c r="AA363" s="3547">
        <v>166</v>
      </c>
      <c r="AB363"/>
      <c r="AC363" s="5295"/>
      <c r="AD363" s="3550" t="s">
        <v>13523</v>
      </c>
      <c r="AE363" s="3536" t="s">
        <v>13524</v>
      </c>
      <c r="AF363" s="3537">
        <v>63</v>
      </c>
      <c r="AG363" s="3538">
        <v>34</v>
      </c>
      <c r="AH363" s="3539">
        <v>4</v>
      </c>
      <c r="AI363"/>
      <c r="AJ363" s="5296"/>
      <c r="AK363" s="3541" t="s">
        <v>13525</v>
      </c>
      <c r="AL363" s="3536" t="s">
        <v>13526</v>
      </c>
      <c r="AM363" s="3537">
        <v>0</v>
      </c>
      <c r="AN363" s="3538">
        <v>128</v>
      </c>
      <c r="AO363" s="3539">
        <v>0</v>
      </c>
      <c r="AQ363" s="3">
        <v>1</v>
      </c>
    </row>
    <row r="364" spans="22:43" ht="21" customHeight="1">
      <c r="V364" s="5297"/>
      <c r="W364" s="3543" t="s">
        <v>13527</v>
      </c>
      <c r="X364" s="3544" t="s">
        <v>13528</v>
      </c>
      <c r="Y364" s="3545">
        <v>163</v>
      </c>
      <c r="Z364" s="3546">
        <v>163</v>
      </c>
      <c r="AA364" s="3547">
        <v>163</v>
      </c>
      <c r="AB364"/>
      <c r="AC364" s="5298"/>
      <c r="AD364" s="3550" t="s">
        <v>13529</v>
      </c>
      <c r="AE364" s="3536" t="s">
        <v>13530</v>
      </c>
      <c r="AF364" s="3537">
        <v>40</v>
      </c>
      <c r="AG364" s="3538">
        <v>32</v>
      </c>
      <c r="AH364" s="3539">
        <v>28</v>
      </c>
      <c r="AI364"/>
      <c r="AJ364" s="5299"/>
      <c r="AK364" s="3541" t="s">
        <v>13531</v>
      </c>
      <c r="AL364" s="3536" t="s">
        <v>13532</v>
      </c>
      <c r="AM364" s="3537">
        <v>66</v>
      </c>
      <c r="AN364" s="3538">
        <v>111</v>
      </c>
      <c r="AO364" s="3539">
        <v>66</v>
      </c>
      <c r="AQ364" s="3">
        <v>1</v>
      </c>
    </row>
    <row r="365" spans="22:43" ht="21" customHeight="1">
      <c r="V365" s="5300"/>
      <c r="W365" s="3543" t="s">
        <v>13533</v>
      </c>
      <c r="X365" s="3544" t="s">
        <v>13534</v>
      </c>
      <c r="Y365" s="3545">
        <v>161</v>
      </c>
      <c r="Z365" s="3546">
        <v>161</v>
      </c>
      <c r="AA365" s="3547">
        <v>161</v>
      </c>
      <c r="AB365"/>
      <c r="AC365" s="5301"/>
      <c r="AD365" s="3550" t="s">
        <v>13535</v>
      </c>
      <c r="AE365" s="3536" t="s">
        <v>13536</v>
      </c>
      <c r="AF365" s="3537">
        <v>47</v>
      </c>
      <c r="AG365" s="3538">
        <v>27</v>
      </c>
      <c r="AH365" s="3539">
        <v>12</v>
      </c>
      <c r="AI365"/>
      <c r="AJ365" s="5302"/>
      <c r="AK365" s="3550" t="s">
        <v>13537</v>
      </c>
      <c r="AL365" s="3536" t="s">
        <v>13538</v>
      </c>
      <c r="AM365" s="3537">
        <v>34</v>
      </c>
      <c r="AN365" s="3538">
        <v>120</v>
      </c>
      <c r="AO365" s="3539">
        <v>15</v>
      </c>
      <c r="AQ365" s="3">
        <v>1</v>
      </c>
    </row>
    <row r="366" spans="22:43" ht="21" customHeight="1">
      <c r="V366" s="5303"/>
      <c r="W366" s="3558" t="s">
        <v>13539</v>
      </c>
      <c r="X366" s="3544" t="s">
        <v>13540</v>
      </c>
      <c r="Y366" s="3545">
        <v>158</v>
      </c>
      <c r="Z366" s="3546">
        <v>158</v>
      </c>
      <c r="AA366" s="3547">
        <v>158</v>
      </c>
      <c r="AB366"/>
      <c r="AC366" s="5304"/>
      <c r="AD366" s="3541" t="s">
        <v>13541</v>
      </c>
      <c r="AE366" s="3536" t="s">
        <v>13542</v>
      </c>
      <c r="AF366" s="3537">
        <v>127</v>
      </c>
      <c r="AG366" s="3538">
        <v>255</v>
      </c>
      <c r="AH366" s="3539">
        <v>0</v>
      </c>
      <c r="AI366"/>
      <c r="AJ366" s="5305"/>
      <c r="AK366" s="3550" t="s">
        <v>13543</v>
      </c>
      <c r="AL366" s="3536" t="s">
        <v>13544</v>
      </c>
      <c r="AM366" s="3537">
        <v>9</v>
      </c>
      <c r="AN366" s="3538">
        <v>106</v>
      </c>
      <c r="AO366" s="3539">
        <v>9</v>
      </c>
      <c r="AQ366" s="3">
        <v>1</v>
      </c>
    </row>
    <row r="367" spans="22:43" ht="21" customHeight="1">
      <c r="V367" s="5306"/>
      <c r="W367" s="3543" t="s">
        <v>13545</v>
      </c>
      <c r="X367" s="3544" t="s">
        <v>13546</v>
      </c>
      <c r="Y367" s="3545">
        <v>156</v>
      </c>
      <c r="Z367" s="3546">
        <v>156</v>
      </c>
      <c r="AA367" s="3547">
        <v>156</v>
      </c>
      <c r="AB367"/>
      <c r="AC367" s="5307"/>
      <c r="AD367" s="3541" t="s">
        <v>13547</v>
      </c>
      <c r="AE367" s="3536" t="s">
        <v>13548</v>
      </c>
      <c r="AF367" s="3537">
        <v>124</v>
      </c>
      <c r="AG367" s="3538">
        <v>252</v>
      </c>
      <c r="AH367" s="3539">
        <v>0</v>
      </c>
      <c r="AI367"/>
      <c r="AJ367" s="5308"/>
      <c r="AK367" s="3541" t="s">
        <v>13549</v>
      </c>
      <c r="AL367" s="3536" t="s">
        <v>13550</v>
      </c>
      <c r="AM367" s="3537">
        <v>0</v>
      </c>
      <c r="AN367" s="3538">
        <v>100</v>
      </c>
      <c r="AO367" s="3539">
        <v>0</v>
      </c>
      <c r="AQ367" s="3">
        <v>1</v>
      </c>
    </row>
    <row r="368" spans="22:43" ht="21" customHeight="1">
      <c r="V368" s="5309"/>
      <c r="W368" s="3543" t="s">
        <v>13551</v>
      </c>
      <c r="X368" s="3544" t="s">
        <v>13552</v>
      </c>
      <c r="Y368" s="3545">
        <v>153</v>
      </c>
      <c r="Z368" s="3546">
        <v>153</v>
      </c>
      <c r="AA368" s="3547">
        <v>153</v>
      </c>
      <c r="AB368"/>
      <c r="AC368" s="5310"/>
      <c r="AD368" s="3541" t="s">
        <v>13553</v>
      </c>
      <c r="AE368" s="3536" t="s">
        <v>13554</v>
      </c>
      <c r="AF368" s="3537">
        <v>118</v>
      </c>
      <c r="AG368" s="3538">
        <v>238</v>
      </c>
      <c r="AH368" s="3539">
        <v>0</v>
      </c>
      <c r="AI368"/>
      <c r="AJ368" s="5311"/>
      <c r="AK368" s="3541" t="s">
        <v>13549</v>
      </c>
      <c r="AL368" s="3536" t="s">
        <v>13555</v>
      </c>
      <c r="AM368" s="3537">
        <v>47</v>
      </c>
      <c r="AN368" s="3538">
        <v>79</v>
      </c>
      <c r="AO368" s="3539">
        <v>47</v>
      </c>
      <c r="AQ368" s="3">
        <v>1</v>
      </c>
    </row>
    <row r="369" spans="22:43" ht="21" customHeight="1">
      <c r="V369" s="5312"/>
      <c r="W369" s="3543" t="s">
        <v>13556</v>
      </c>
      <c r="X369" s="3544" t="s">
        <v>13557</v>
      </c>
      <c r="Y369" s="3545">
        <v>150</v>
      </c>
      <c r="Z369" s="3546">
        <v>150</v>
      </c>
      <c r="AA369" s="3547">
        <v>150</v>
      </c>
      <c r="AB369"/>
      <c r="AC369" s="5313"/>
      <c r="AD369" s="3550" t="s">
        <v>13558</v>
      </c>
      <c r="AE369" s="3536" t="s">
        <v>13559</v>
      </c>
      <c r="AF369" s="3537">
        <v>127</v>
      </c>
      <c r="AG369" s="3538">
        <v>221</v>
      </c>
      <c r="AH369" s="3539">
        <v>76</v>
      </c>
      <c r="AI369"/>
      <c r="AJ369" s="5314"/>
      <c r="AK369" s="3550" t="s">
        <v>13560</v>
      </c>
      <c r="AL369" s="3536" t="s">
        <v>13561</v>
      </c>
      <c r="AM369" s="3537">
        <v>182</v>
      </c>
      <c r="AN369" s="3538">
        <v>229</v>
      </c>
      <c r="AO369" s="3539">
        <v>175</v>
      </c>
      <c r="AQ369" s="3">
        <v>1</v>
      </c>
    </row>
    <row r="370" spans="22:43" ht="21" customHeight="1">
      <c r="V370" s="5315"/>
      <c r="W370" s="3543" t="s">
        <v>13562</v>
      </c>
      <c r="X370" s="3544" t="s">
        <v>13563</v>
      </c>
      <c r="Y370" s="3545">
        <v>148</v>
      </c>
      <c r="Z370" s="3546">
        <v>148</v>
      </c>
      <c r="AA370" s="3547">
        <v>148</v>
      </c>
      <c r="AB370"/>
      <c r="AC370" s="5316"/>
      <c r="AD370" s="3541" t="s">
        <v>13564</v>
      </c>
      <c r="AE370" s="3536" t="s">
        <v>13565</v>
      </c>
      <c r="AF370" s="3537">
        <v>102</v>
      </c>
      <c r="AG370" s="3538">
        <v>205</v>
      </c>
      <c r="AH370" s="3539">
        <v>0</v>
      </c>
      <c r="AI370"/>
      <c r="AJ370" s="5317"/>
      <c r="AK370" s="3550" t="s">
        <v>13566</v>
      </c>
      <c r="AL370" s="3536" t="s">
        <v>13567</v>
      </c>
      <c r="AM370" s="3537">
        <v>133</v>
      </c>
      <c r="AN370" s="3538">
        <v>193</v>
      </c>
      <c r="AO370" s="3539">
        <v>126</v>
      </c>
      <c r="AQ370" s="3">
        <v>1</v>
      </c>
    </row>
    <row r="371" spans="22:43" ht="21" customHeight="1">
      <c r="V371" s="5318"/>
      <c r="W371" s="3543" t="s">
        <v>13568</v>
      </c>
      <c r="X371" s="3544" t="s">
        <v>13569</v>
      </c>
      <c r="Y371" s="3545">
        <v>145</v>
      </c>
      <c r="Z371" s="3546">
        <v>145</v>
      </c>
      <c r="AA371" s="3547">
        <v>145</v>
      </c>
      <c r="AB371"/>
      <c r="AC371" s="5319"/>
      <c r="AD371" s="3541" t="s">
        <v>13570</v>
      </c>
      <c r="AE371" s="3536" t="s">
        <v>13571</v>
      </c>
      <c r="AF371" s="3537">
        <v>69</v>
      </c>
      <c r="AG371" s="3538">
        <v>139</v>
      </c>
      <c r="AH371" s="3539">
        <v>0</v>
      </c>
      <c r="AI371"/>
      <c r="AJ371" s="5320"/>
      <c r="AK371" s="3550" t="s">
        <v>13572</v>
      </c>
      <c r="AL371" s="3536" t="s">
        <v>13573</v>
      </c>
      <c r="AM371" s="3537">
        <v>87</v>
      </c>
      <c r="AN371" s="3538">
        <v>213</v>
      </c>
      <c r="AO371" s="3539">
        <v>59</v>
      </c>
      <c r="AQ371" s="3">
        <v>1</v>
      </c>
    </row>
    <row r="372" spans="22:43" ht="21" customHeight="1">
      <c r="V372" s="5321"/>
      <c r="W372" s="3543" t="s">
        <v>13574</v>
      </c>
      <c r="X372" s="3544" t="s">
        <v>13575</v>
      </c>
      <c r="Y372" s="3545">
        <v>143</v>
      </c>
      <c r="Z372" s="3546">
        <v>143</v>
      </c>
      <c r="AA372" s="3547">
        <v>143</v>
      </c>
      <c r="AB372"/>
      <c r="AC372" s="5322"/>
      <c r="AD372" s="3550" t="s">
        <v>13576</v>
      </c>
      <c r="AE372" s="3536" t="s">
        <v>13577</v>
      </c>
      <c r="AF372" s="3537">
        <v>70</v>
      </c>
      <c r="AG372" s="3538">
        <v>113</v>
      </c>
      <c r="AH372" s="3539">
        <v>41</v>
      </c>
      <c r="AI372"/>
      <c r="AJ372" s="5323"/>
      <c r="AK372" s="3550" t="s">
        <v>13578</v>
      </c>
      <c r="AL372" s="3536" t="s">
        <v>13579</v>
      </c>
      <c r="AM372" s="3537">
        <v>130</v>
      </c>
      <c r="AN372" s="3538">
        <v>196</v>
      </c>
      <c r="AO372" s="3539">
        <v>108</v>
      </c>
      <c r="AQ372" s="3">
        <v>1</v>
      </c>
    </row>
    <row r="373" spans="22:43" ht="21" customHeight="1">
      <c r="V373" s="5324"/>
      <c r="W373" s="3543" t="s">
        <v>13580</v>
      </c>
      <c r="X373" s="3544" t="s">
        <v>13581</v>
      </c>
      <c r="Y373" s="3545">
        <v>140</v>
      </c>
      <c r="Z373" s="3546">
        <v>140</v>
      </c>
      <c r="AA373" s="3547">
        <v>140</v>
      </c>
      <c r="AB373"/>
      <c r="AC373" s="5325"/>
      <c r="AD373" s="3541" t="s">
        <v>13582</v>
      </c>
      <c r="AE373" s="3536" t="s">
        <v>13583</v>
      </c>
      <c r="AF373" s="3537">
        <v>0</v>
      </c>
      <c r="AG373" s="3538">
        <v>255</v>
      </c>
      <c r="AH373" s="3539">
        <v>127</v>
      </c>
      <c r="AI373"/>
      <c r="AJ373" s="5326"/>
      <c r="AK373" s="3550" t="s">
        <v>13584</v>
      </c>
      <c r="AL373" s="3536" t="s">
        <v>13585</v>
      </c>
      <c r="AM373" s="3537">
        <v>103</v>
      </c>
      <c r="AN373" s="3538">
        <v>159</v>
      </c>
      <c r="AO373" s="3539">
        <v>90</v>
      </c>
      <c r="AQ373" s="3">
        <v>1</v>
      </c>
    </row>
    <row r="374" spans="22:43" ht="21" customHeight="1">
      <c r="V374" s="5327"/>
      <c r="W374" s="3543" t="s">
        <v>13586</v>
      </c>
      <c r="X374" s="3544" t="s">
        <v>13587</v>
      </c>
      <c r="Y374" s="3545">
        <v>138</v>
      </c>
      <c r="Z374" s="3546">
        <v>138</v>
      </c>
      <c r="AA374" s="3547">
        <v>138</v>
      </c>
      <c r="AB374"/>
      <c r="AC374" s="5328"/>
      <c r="AD374" s="3550" t="s">
        <v>13588</v>
      </c>
      <c r="AE374" s="3536" t="s">
        <v>13589</v>
      </c>
      <c r="AF374" s="3537">
        <v>84</v>
      </c>
      <c r="AG374" s="3538">
        <v>249</v>
      </c>
      <c r="AH374" s="3539">
        <v>141</v>
      </c>
      <c r="AI374"/>
      <c r="AJ374" s="5329"/>
      <c r="AK374" s="3550" t="s">
        <v>13590</v>
      </c>
      <c r="AL374" s="3536" t="s">
        <v>13591</v>
      </c>
      <c r="AM374" s="3537">
        <v>58</v>
      </c>
      <c r="AN374" s="3538">
        <v>157</v>
      </c>
      <c r="AO374" s="3539">
        <v>35</v>
      </c>
      <c r="AQ374" s="3">
        <v>1</v>
      </c>
    </row>
    <row r="375" spans="22:43" ht="21" customHeight="1">
      <c r="V375" s="5330"/>
      <c r="W375" s="3543"/>
      <c r="X375" s="3544" t="s">
        <v>13592</v>
      </c>
      <c r="Y375" s="3545">
        <v>136</v>
      </c>
      <c r="Z375" s="3546">
        <v>136</v>
      </c>
      <c r="AA375" s="3547">
        <v>136</v>
      </c>
      <c r="AB375"/>
      <c r="AC375" s="5331"/>
      <c r="AD375" s="3541" t="s">
        <v>13593</v>
      </c>
      <c r="AE375" s="3536" t="s">
        <v>13594</v>
      </c>
      <c r="AF375" s="3537">
        <v>84</v>
      </c>
      <c r="AG375" s="3538">
        <v>255</v>
      </c>
      <c r="AH375" s="3539">
        <v>159</v>
      </c>
      <c r="AI375"/>
      <c r="AJ375" s="5332"/>
      <c r="AK375" s="3550" t="s">
        <v>13595</v>
      </c>
      <c r="AL375" s="3536" t="s">
        <v>13596</v>
      </c>
      <c r="AM375" s="3537">
        <v>27</v>
      </c>
      <c r="AN375" s="3538">
        <v>79</v>
      </c>
      <c r="AO375" s="3539">
        <v>8</v>
      </c>
      <c r="AQ375" s="3">
        <v>1</v>
      </c>
    </row>
    <row r="376" spans="22:43" ht="21" customHeight="1">
      <c r="V376" s="5333"/>
      <c r="W376" s="3543" t="s">
        <v>13597</v>
      </c>
      <c r="X376" s="3544" t="s">
        <v>13598</v>
      </c>
      <c r="Y376" s="3545">
        <v>135</v>
      </c>
      <c r="Z376" s="3546">
        <v>135</v>
      </c>
      <c r="AA376" s="3547">
        <v>135</v>
      </c>
      <c r="AB376"/>
      <c r="AC376" s="5334"/>
      <c r="AD376" s="3550" t="s">
        <v>13582</v>
      </c>
      <c r="AE376" s="3536" t="s">
        <v>13599</v>
      </c>
      <c r="AF376" s="3537">
        <v>0</v>
      </c>
      <c r="AG376" s="3538">
        <v>254</v>
      </c>
      <c r="AH376" s="3539">
        <v>126</v>
      </c>
      <c r="AI376"/>
      <c r="AJ376" s="5335"/>
      <c r="AK376" s="3550" t="s">
        <v>13600</v>
      </c>
      <c r="AL376" s="3536" t="s">
        <v>13601</v>
      </c>
      <c r="AM376" s="3537">
        <v>43</v>
      </c>
      <c r="AN376" s="3538">
        <v>61</v>
      </c>
      <c r="AO376" s="3539">
        <v>38</v>
      </c>
      <c r="AQ376" s="3">
        <v>1</v>
      </c>
    </row>
    <row r="377" spans="22:43" ht="21" customHeight="1">
      <c r="V377" s="5336"/>
      <c r="W377" s="3543" t="s">
        <v>13602</v>
      </c>
      <c r="X377" s="3544" t="s">
        <v>13603</v>
      </c>
      <c r="Y377" s="3545">
        <v>133</v>
      </c>
      <c r="Z377" s="3546">
        <v>133</v>
      </c>
      <c r="AA377" s="3547">
        <v>133</v>
      </c>
      <c r="AB377"/>
      <c r="AC377" s="5337"/>
      <c r="AD377" s="3550" t="s">
        <v>13604</v>
      </c>
      <c r="AE377" s="3536" t="s">
        <v>13605</v>
      </c>
      <c r="AF377" s="3537">
        <v>178</v>
      </c>
      <c r="AG377" s="3538">
        <v>190</v>
      </c>
      <c r="AH377" s="3539">
        <v>181</v>
      </c>
      <c r="AI377"/>
      <c r="AJ377" s="5338"/>
      <c r="AK377" s="3550" t="s">
        <v>13606</v>
      </c>
      <c r="AL377" s="3536" t="s">
        <v>13607</v>
      </c>
      <c r="AM377" s="3537">
        <v>176</v>
      </c>
      <c r="AN377" s="3538">
        <v>242</v>
      </c>
      <c r="AO377" s="3539">
        <v>182</v>
      </c>
      <c r="AQ377" s="3">
        <v>1</v>
      </c>
    </row>
    <row r="378" spans="22:43" ht="21" customHeight="1">
      <c r="V378" s="5339"/>
      <c r="W378" s="3558" t="s">
        <v>13608</v>
      </c>
      <c r="X378" s="3544" t="s">
        <v>13609</v>
      </c>
      <c r="Y378" s="3545">
        <v>132</v>
      </c>
      <c r="Z378" s="3546">
        <v>132</v>
      </c>
      <c r="AA378" s="3547">
        <v>132</v>
      </c>
      <c r="AB378"/>
      <c r="AC378" s="5340"/>
      <c r="AD378" s="3541" t="s">
        <v>13610</v>
      </c>
      <c r="AE378" s="3536" t="s">
        <v>13611</v>
      </c>
      <c r="AF378" s="3537">
        <v>78</v>
      </c>
      <c r="AG378" s="3538">
        <v>238</v>
      </c>
      <c r="AH378" s="3539">
        <v>148</v>
      </c>
      <c r="AI378"/>
      <c r="AJ378" s="5341"/>
      <c r="AK378" s="3550" t="s">
        <v>13612</v>
      </c>
      <c r="AL378" s="3536" t="s">
        <v>13613</v>
      </c>
      <c r="AM378" s="3537">
        <v>1</v>
      </c>
      <c r="AN378" s="3538">
        <v>215</v>
      </c>
      <c r="AO378" s="3539">
        <v>88</v>
      </c>
      <c r="AQ378" s="3">
        <v>1</v>
      </c>
    </row>
    <row r="379" spans="22:43" ht="21" customHeight="1">
      <c r="V379" s="5342"/>
      <c r="W379" s="3543" t="s">
        <v>13614</v>
      </c>
      <c r="X379" s="3544" t="s">
        <v>13615</v>
      </c>
      <c r="Y379" s="3545">
        <v>130</v>
      </c>
      <c r="Z379" s="3546">
        <v>130</v>
      </c>
      <c r="AA379" s="3547">
        <v>130</v>
      </c>
      <c r="AB379"/>
      <c r="AC379" s="5343"/>
      <c r="AD379" s="3541" t="s">
        <v>13616</v>
      </c>
      <c r="AE379" s="3536" t="s">
        <v>13617</v>
      </c>
      <c r="AF379" s="3537">
        <v>112</v>
      </c>
      <c r="AG379" s="3538">
        <v>219</v>
      </c>
      <c r="AH379" s="3539">
        <v>147</v>
      </c>
      <c r="AI379"/>
      <c r="AJ379" s="5344"/>
      <c r="AK379" s="3550" t="s">
        <v>13618</v>
      </c>
      <c r="AL379" s="3536" t="s">
        <v>13619</v>
      </c>
      <c r="AM379" s="3537">
        <v>22</v>
      </c>
      <c r="AN379" s="3538">
        <v>184</v>
      </c>
      <c r="AO379" s="3539">
        <v>78</v>
      </c>
      <c r="AQ379" s="3">
        <v>1</v>
      </c>
    </row>
    <row r="380" spans="22:43" ht="21" customHeight="1">
      <c r="V380" s="5345"/>
      <c r="W380" s="3558" t="s">
        <v>13620</v>
      </c>
      <c r="X380" s="3544" t="s">
        <v>13621</v>
      </c>
      <c r="Y380" s="3545">
        <v>127</v>
      </c>
      <c r="Z380" s="3546">
        <v>127</v>
      </c>
      <c r="AA380" s="3547">
        <v>127</v>
      </c>
      <c r="AB380"/>
      <c r="AC380" s="5346"/>
      <c r="AD380" s="3541" t="s">
        <v>13622</v>
      </c>
      <c r="AE380" s="3536" t="s">
        <v>13623</v>
      </c>
      <c r="AF380" s="3537">
        <v>0</v>
      </c>
      <c r="AG380" s="3538">
        <v>238</v>
      </c>
      <c r="AH380" s="3539">
        <v>118</v>
      </c>
      <c r="AI380"/>
      <c r="AJ380" s="5347"/>
      <c r="AK380" s="3550" t="s">
        <v>13624</v>
      </c>
      <c r="AL380" s="3536" t="s">
        <v>13625</v>
      </c>
      <c r="AM380" s="3537">
        <v>104</v>
      </c>
      <c r="AN380" s="3538">
        <v>157</v>
      </c>
      <c r="AO380" s="3539">
        <v>113</v>
      </c>
      <c r="AQ380" s="3">
        <v>1</v>
      </c>
    </row>
    <row r="381" spans="22:43" ht="21" customHeight="1">
      <c r="V381" s="5348"/>
      <c r="W381" s="3543" t="s">
        <v>13626</v>
      </c>
      <c r="X381" s="3544" t="s">
        <v>13627</v>
      </c>
      <c r="Y381" s="3545">
        <v>125</v>
      </c>
      <c r="Z381" s="3546">
        <v>125</v>
      </c>
      <c r="AA381" s="3547">
        <v>125</v>
      </c>
      <c r="AB381"/>
      <c r="AC381" s="5349"/>
      <c r="AD381" s="3541" t="s">
        <v>13628</v>
      </c>
      <c r="AE381" s="3536" t="s">
        <v>13629</v>
      </c>
      <c r="AF381" s="3537">
        <v>67</v>
      </c>
      <c r="AG381" s="3538">
        <v>205</v>
      </c>
      <c r="AH381" s="3539">
        <v>128</v>
      </c>
      <c r="AI381"/>
      <c r="AJ381" s="5350"/>
      <c r="AK381" s="3550" t="s">
        <v>13630</v>
      </c>
      <c r="AL381" s="3536" t="s">
        <v>13631</v>
      </c>
      <c r="AM381" s="3537">
        <v>39</v>
      </c>
      <c r="AN381" s="3538">
        <v>166</v>
      </c>
      <c r="AO381" s="3539">
        <v>76</v>
      </c>
      <c r="AQ381" s="3">
        <v>1</v>
      </c>
    </row>
    <row r="382" spans="22:43" ht="21" customHeight="1">
      <c r="V382" s="5351"/>
      <c r="W382" s="3543" t="s">
        <v>13632</v>
      </c>
      <c r="X382" s="3544" t="s">
        <v>13633</v>
      </c>
      <c r="Y382" s="3545">
        <v>122</v>
      </c>
      <c r="Z382" s="3546">
        <v>122</v>
      </c>
      <c r="AA382" s="3547">
        <v>122</v>
      </c>
      <c r="AB382"/>
      <c r="AC382" s="5352"/>
      <c r="AD382" s="3541" t="s">
        <v>13634</v>
      </c>
      <c r="AE382" s="3536" t="s">
        <v>13635</v>
      </c>
      <c r="AF382" s="3537">
        <v>0</v>
      </c>
      <c r="AG382" s="3538">
        <v>205</v>
      </c>
      <c r="AH382" s="3539">
        <v>102</v>
      </c>
      <c r="AI382"/>
      <c r="AJ382" s="5353"/>
      <c r="AK382" s="3550" t="s">
        <v>13636</v>
      </c>
      <c r="AL382" s="3536" t="s">
        <v>13637</v>
      </c>
      <c r="AM382" s="3537">
        <v>53</v>
      </c>
      <c r="AN382" s="3538">
        <v>94</v>
      </c>
      <c r="AO382" s="3539">
        <v>59</v>
      </c>
      <c r="AQ382" s="3">
        <v>1</v>
      </c>
    </row>
    <row r="383" spans="22:43" ht="21" customHeight="1">
      <c r="V383" s="5354"/>
      <c r="W383" s="3543" t="s">
        <v>13638</v>
      </c>
      <c r="X383" s="3544" t="s">
        <v>13639</v>
      </c>
      <c r="Y383" s="3545">
        <v>120</v>
      </c>
      <c r="Z383" s="3546">
        <v>120</v>
      </c>
      <c r="AA383" s="3547">
        <v>120</v>
      </c>
      <c r="AB383"/>
      <c r="AC383" s="5355"/>
      <c r="AD383" s="3541" t="s">
        <v>13531</v>
      </c>
      <c r="AE383" s="3536" t="s">
        <v>13640</v>
      </c>
      <c r="AF383" s="3537">
        <v>60</v>
      </c>
      <c r="AG383" s="3538">
        <v>179</v>
      </c>
      <c r="AH383" s="3539">
        <v>113</v>
      </c>
      <c r="AI383"/>
      <c r="AJ383" s="5356"/>
      <c r="AK383" s="3550" t="s">
        <v>13641</v>
      </c>
      <c r="AL383" s="3536" t="s">
        <v>13642</v>
      </c>
      <c r="AM383" s="3537">
        <v>0</v>
      </c>
      <c r="AN383" s="3538">
        <v>86</v>
      </c>
      <c r="AO383" s="3539">
        <v>27</v>
      </c>
      <c r="AQ383" s="3">
        <v>1</v>
      </c>
    </row>
    <row r="384" spans="22:43" ht="21" customHeight="1">
      <c r="V384" s="5357"/>
      <c r="W384" s="3543"/>
      <c r="X384" s="3544" t="s">
        <v>13643</v>
      </c>
      <c r="Y384" s="3545">
        <v>119</v>
      </c>
      <c r="Z384" s="3546">
        <v>119</v>
      </c>
      <c r="AA384" s="3547">
        <v>119</v>
      </c>
      <c r="AB384"/>
      <c r="AC384" s="5358"/>
      <c r="AD384" s="3550" t="s">
        <v>13644</v>
      </c>
      <c r="AE384" s="3536" t="s">
        <v>13645</v>
      </c>
      <c r="AF384" s="3537">
        <v>76</v>
      </c>
      <c r="AG384" s="3538">
        <v>166</v>
      </c>
      <c r="AH384" s="3539">
        <v>107</v>
      </c>
      <c r="AI384"/>
      <c r="AJ384" s="5359"/>
      <c r="AK384" s="3550" t="s">
        <v>13646</v>
      </c>
      <c r="AL384" s="3536" t="s">
        <v>13647</v>
      </c>
      <c r="AM384" s="3537">
        <v>24</v>
      </c>
      <c r="AN384" s="3538">
        <v>57</v>
      </c>
      <c r="AO384" s="3539">
        <v>30</v>
      </c>
      <c r="AQ384" s="3">
        <v>1</v>
      </c>
    </row>
    <row r="385" spans="22:43" ht="21" customHeight="1">
      <c r="V385" s="5360"/>
      <c r="W385" s="3543" t="s">
        <v>13648</v>
      </c>
      <c r="X385" s="3544" t="s">
        <v>13649</v>
      </c>
      <c r="Y385" s="3545">
        <v>117</v>
      </c>
      <c r="Z385" s="3546">
        <v>117</v>
      </c>
      <c r="AA385" s="3547">
        <v>117</v>
      </c>
      <c r="AB385"/>
      <c r="AC385" s="5361"/>
      <c r="AD385" s="3550" t="s">
        <v>13650</v>
      </c>
      <c r="AE385" s="3536" t="s">
        <v>13651</v>
      </c>
      <c r="AF385" s="3537">
        <v>31</v>
      </c>
      <c r="AG385" s="3538">
        <v>160</v>
      </c>
      <c r="AH385" s="3539">
        <v>85</v>
      </c>
      <c r="AI385"/>
      <c r="AJ385" s="5362"/>
      <c r="AK385" s="3541" t="s">
        <v>13652</v>
      </c>
      <c r="AL385" s="3536" t="s">
        <v>13653</v>
      </c>
      <c r="AM385" s="3537">
        <v>191</v>
      </c>
      <c r="AN385" s="3538">
        <v>62</v>
      </c>
      <c r="AO385" s="3539">
        <v>255</v>
      </c>
      <c r="AQ385" s="3">
        <v>1</v>
      </c>
    </row>
    <row r="386" spans="22:43" ht="21" customHeight="1">
      <c r="V386" s="5363"/>
      <c r="W386" s="3543" t="s">
        <v>13654</v>
      </c>
      <c r="X386" s="3544" t="s">
        <v>13655</v>
      </c>
      <c r="Y386" s="3545">
        <v>115</v>
      </c>
      <c r="Z386" s="3546">
        <v>115</v>
      </c>
      <c r="AA386" s="3547">
        <v>115</v>
      </c>
      <c r="AB386"/>
      <c r="AC386" s="5364"/>
      <c r="AD386" s="3541" t="s">
        <v>13656</v>
      </c>
      <c r="AE386" s="3536" t="s">
        <v>13657</v>
      </c>
      <c r="AF386" s="3537">
        <v>46</v>
      </c>
      <c r="AG386" s="3538">
        <v>139</v>
      </c>
      <c r="AH386" s="3539">
        <v>87</v>
      </c>
      <c r="AI386"/>
      <c r="AJ386" s="5365"/>
      <c r="AK386" s="3541" t="s">
        <v>13658</v>
      </c>
      <c r="AL386" s="3536" t="s">
        <v>13659</v>
      </c>
      <c r="AM386" s="3537">
        <v>178</v>
      </c>
      <c r="AN386" s="3538">
        <v>58</v>
      </c>
      <c r="AO386" s="3539">
        <v>238</v>
      </c>
      <c r="AQ386" s="3">
        <v>1</v>
      </c>
    </row>
    <row r="387" spans="22:43" ht="21" customHeight="1">
      <c r="V387" s="5366"/>
      <c r="W387" s="3543" t="s">
        <v>13660</v>
      </c>
      <c r="X387" s="3544" t="s">
        <v>13661</v>
      </c>
      <c r="Y387" s="3545">
        <v>112</v>
      </c>
      <c r="Z387" s="3546">
        <v>112</v>
      </c>
      <c r="AA387" s="3547">
        <v>112</v>
      </c>
      <c r="AB387"/>
      <c r="AC387" s="5367"/>
      <c r="AD387" s="3541" t="s">
        <v>13662</v>
      </c>
      <c r="AE387" s="3536" t="s">
        <v>13663</v>
      </c>
      <c r="AF387" s="3537">
        <v>0</v>
      </c>
      <c r="AG387" s="3538">
        <v>139</v>
      </c>
      <c r="AH387" s="3539">
        <v>69</v>
      </c>
      <c r="AI387"/>
      <c r="AJ387" s="5368"/>
      <c r="AK387" s="3541" t="s">
        <v>13664</v>
      </c>
      <c r="AL387" s="3536" t="s">
        <v>13665</v>
      </c>
      <c r="AM387" s="3537">
        <v>148</v>
      </c>
      <c r="AN387" s="3538">
        <v>0</v>
      </c>
      <c r="AO387" s="3539">
        <v>211</v>
      </c>
      <c r="AQ387" s="3">
        <v>1</v>
      </c>
    </row>
    <row r="388" spans="22:43" ht="21" customHeight="1">
      <c r="V388" s="5369"/>
      <c r="W388" s="3543" t="s">
        <v>13666</v>
      </c>
      <c r="X388" s="3544" t="s">
        <v>13667</v>
      </c>
      <c r="Y388" s="3545">
        <v>110</v>
      </c>
      <c r="Z388" s="3546">
        <v>110</v>
      </c>
      <c r="AA388" s="3547">
        <v>110</v>
      </c>
      <c r="AB388"/>
      <c r="AC388" s="5370"/>
      <c r="AD388" s="3550" t="s">
        <v>13668</v>
      </c>
      <c r="AE388" s="3536" t="s">
        <v>13669</v>
      </c>
      <c r="AF388" s="3537">
        <v>56</v>
      </c>
      <c r="AG388" s="3538">
        <v>111</v>
      </c>
      <c r="AH388" s="3539">
        <v>72</v>
      </c>
      <c r="AI388"/>
      <c r="AJ388" s="5371"/>
      <c r="AK388" s="3541" t="s">
        <v>13670</v>
      </c>
      <c r="AL388" s="3536" t="s">
        <v>13671</v>
      </c>
      <c r="AM388" s="3537">
        <v>153</v>
      </c>
      <c r="AN388" s="3538">
        <v>50</v>
      </c>
      <c r="AO388" s="3539">
        <v>205</v>
      </c>
      <c r="AQ388" s="3">
        <v>1</v>
      </c>
    </row>
    <row r="389" spans="22:43" ht="21" customHeight="1">
      <c r="V389" s="5372"/>
      <c r="W389" s="3543" t="s">
        <v>13672</v>
      </c>
      <c r="X389" s="3544" t="s">
        <v>13673</v>
      </c>
      <c r="Y389" s="3545">
        <v>107</v>
      </c>
      <c r="Z389" s="3546">
        <v>107</v>
      </c>
      <c r="AA389" s="3547">
        <v>107</v>
      </c>
      <c r="AB389"/>
      <c r="AC389" s="5373"/>
      <c r="AD389" s="3550" t="s">
        <v>13674</v>
      </c>
      <c r="AE389" s="3536" t="s">
        <v>13675</v>
      </c>
      <c r="AF389" s="3537">
        <v>0</v>
      </c>
      <c r="AG389" s="3538">
        <v>98</v>
      </c>
      <c r="AH389" s="3539">
        <v>45</v>
      </c>
      <c r="AI389"/>
      <c r="AJ389" s="5374"/>
      <c r="AK389" s="3541" t="s">
        <v>13676</v>
      </c>
      <c r="AL389" s="3536" t="s">
        <v>13671</v>
      </c>
      <c r="AM389" s="3537">
        <v>154</v>
      </c>
      <c r="AN389" s="3538">
        <v>50</v>
      </c>
      <c r="AO389" s="3539">
        <v>205</v>
      </c>
      <c r="AQ389" s="3">
        <v>1</v>
      </c>
    </row>
    <row r="390" spans="22:43" ht="21" customHeight="1">
      <c r="V390" s="5375"/>
      <c r="W390" s="3543" t="s">
        <v>13677</v>
      </c>
      <c r="X390" s="3544" t="s">
        <v>13678</v>
      </c>
      <c r="Y390" s="3545">
        <v>105</v>
      </c>
      <c r="Z390" s="3546">
        <v>105</v>
      </c>
      <c r="AA390" s="3547">
        <v>105</v>
      </c>
      <c r="AB390"/>
      <c r="AC390" s="5376"/>
      <c r="AD390" s="3550" t="s">
        <v>13679</v>
      </c>
      <c r="AE390" s="3536" t="s">
        <v>13680</v>
      </c>
      <c r="AF390" s="3537">
        <v>23</v>
      </c>
      <c r="AG390" s="3538">
        <v>87</v>
      </c>
      <c r="AH390" s="3539">
        <v>50</v>
      </c>
      <c r="AI390"/>
      <c r="AJ390" s="5377"/>
      <c r="AK390" s="3541" t="s">
        <v>13681</v>
      </c>
      <c r="AL390" s="3536" t="s">
        <v>13682</v>
      </c>
      <c r="AM390" s="3537">
        <v>153</v>
      </c>
      <c r="AN390" s="3538">
        <v>50</v>
      </c>
      <c r="AO390" s="3539">
        <v>204</v>
      </c>
      <c r="AQ390" s="3">
        <v>1</v>
      </c>
    </row>
    <row r="391" spans="22:43" ht="21" customHeight="1">
      <c r="V391" s="5378"/>
      <c r="W391" s="3543" t="s">
        <v>13683</v>
      </c>
      <c r="X391" s="3544" t="s">
        <v>13684</v>
      </c>
      <c r="Y391" s="3545">
        <v>102</v>
      </c>
      <c r="Z391" s="3546">
        <v>102</v>
      </c>
      <c r="AA391" s="3547">
        <v>102</v>
      </c>
      <c r="AB391"/>
      <c r="AC391" s="5379"/>
      <c r="AD391" s="3550" t="s">
        <v>13685</v>
      </c>
      <c r="AE391" s="3536" t="s">
        <v>13686</v>
      </c>
      <c r="AF391" s="3537">
        <v>9</v>
      </c>
      <c r="AG391" s="3538">
        <v>82</v>
      </c>
      <c r="AH391" s="3539">
        <v>40</v>
      </c>
      <c r="AI391"/>
      <c r="AJ391" s="5380"/>
      <c r="AK391" s="3550" t="s">
        <v>13687</v>
      </c>
      <c r="AL391" s="3536" t="s">
        <v>13688</v>
      </c>
      <c r="AM391" s="3537">
        <v>136</v>
      </c>
      <c r="AN391" s="3538">
        <v>77</v>
      </c>
      <c r="AO391" s="3539">
        <v>167</v>
      </c>
      <c r="AQ391" s="3">
        <v>1</v>
      </c>
    </row>
    <row r="392" spans="22:43" ht="21" customHeight="1">
      <c r="V392" s="5381"/>
      <c r="W392" s="3543" t="s">
        <v>13689</v>
      </c>
      <c r="X392" s="3544" t="s">
        <v>13690</v>
      </c>
      <c r="Y392" s="3545">
        <v>99</v>
      </c>
      <c r="Z392" s="3546">
        <v>99</v>
      </c>
      <c r="AA392" s="3547">
        <v>99</v>
      </c>
      <c r="AB392"/>
      <c r="AC392" s="5382"/>
      <c r="AD392" s="3550" t="s">
        <v>13691</v>
      </c>
      <c r="AE392" s="3536" t="s">
        <v>13692</v>
      </c>
      <c r="AF392" s="3537">
        <v>23</v>
      </c>
      <c r="AG392" s="3538">
        <v>54</v>
      </c>
      <c r="AH392" s="3539">
        <v>32</v>
      </c>
      <c r="AI392"/>
      <c r="AJ392" s="5383"/>
      <c r="AK392" s="3541" t="s">
        <v>13693</v>
      </c>
      <c r="AL392" s="3536" t="s">
        <v>13694</v>
      </c>
      <c r="AM392" s="3537">
        <v>104</v>
      </c>
      <c r="AN392" s="3538">
        <v>34</v>
      </c>
      <c r="AO392" s="3539">
        <v>139</v>
      </c>
      <c r="AQ392" s="3">
        <v>1</v>
      </c>
    </row>
    <row r="393" spans="22:43" ht="21" customHeight="1">
      <c r="V393" s="5384"/>
      <c r="W393" s="3543" t="s">
        <v>13695</v>
      </c>
      <c r="X393" s="3544" t="s">
        <v>13696</v>
      </c>
      <c r="Y393" s="3545">
        <v>97</v>
      </c>
      <c r="Z393" s="3546">
        <v>97</v>
      </c>
      <c r="AA393" s="3547">
        <v>97</v>
      </c>
      <c r="AB393"/>
      <c r="AC393" s="5385"/>
      <c r="AD393" s="3550" t="s">
        <v>13697</v>
      </c>
      <c r="AE393" s="3536" t="s">
        <v>13698</v>
      </c>
      <c r="AF393" s="3537">
        <v>0</v>
      </c>
      <c r="AG393" s="3538">
        <v>49</v>
      </c>
      <c r="AH393" s="3539">
        <v>24</v>
      </c>
      <c r="AI393"/>
      <c r="AJ393" s="5386"/>
      <c r="AK393" s="3550" t="s">
        <v>13699</v>
      </c>
      <c r="AL393" s="3536" t="s">
        <v>13700</v>
      </c>
      <c r="AM393" s="3537">
        <v>18</v>
      </c>
      <c r="AN393" s="3538">
        <v>13</v>
      </c>
      <c r="AO393" s="3539">
        <v>22</v>
      </c>
      <c r="AQ393" s="3">
        <v>1</v>
      </c>
    </row>
    <row r="394" spans="22:43" ht="21" customHeight="1">
      <c r="V394" s="5387"/>
      <c r="W394" s="3558" t="s">
        <v>13248</v>
      </c>
      <c r="X394" s="3544" t="s">
        <v>13701</v>
      </c>
      <c r="Y394" s="3545">
        <v>96</v>
      </c>
      <c r="Z394" s="3546">
        <v>96</v>
      </c>
      <c r="AA394" s="3547">
        <v>96</v>
      </c>
      <c r="AB394"/>
      <c r="AC394" s="5388"/>
      <c r="AD394" s="3550" t="s">
        <v>13702</v>
      </c>
      <c r="AE394" s="3536" t="s">
        <v>13702</v>
      </c>
      <c r="AF394" s="3537">
        <v>0</v>
      </c>
      <c r="AG394" s="3538">
        <v>0</v>
      </c>
      <c r="AH394" s="3539">
        <v>0</v>
      </c>
      <c r="AI394"/>
      <c r="AJ394" s="5389"/>
      <c r="AK394" s="3541" t="s">
        <v>13703</v>
      </c>
      <c r="AL394" s="3536" t="s">
        <v>13704</v>
      </c>
      <c r="AM394" s="3537">
        <v>160</v>
      </c>
      <c r="AN394" s="3538">
        <v>32</v>
      </c>
      <c r="AO394" s="3539">
        <v>240</v>
      </c>
      <c r="AQ394" s="3">
        <v>1</v>
      </c>
    </row>
    <row r="395" spans="22:43" ht="21" customHeight="1">
      <c r="V395" s="5390"/>
      <c r="W395" s="3543" t="s">
        <v>13705</v>
      </c>
      <c r="X395" s="3544" t="s">
        <v>13706</v>
      </c>
      <c r="Y395" s="3545">
        <v>94</v>
      </c>
      <c r="Z395" s="3546">
        <v>94</v>
      </c>
      <c r="AA395" s="3547">
        <v>94</v>
      </c>
      <c r="AB395"/>
      <c r="AC395" s="5391"/>
      <c r="AD395" s="3541" t="s">
        <v>13707</v>
      </c>
      <c r="AE395" s="3536" t="s">
        <v>13708</v>
      </c>
      <c r="AF395" s="3537">
        <v>255</v>
      </c>
      <c r="AG395" s="3538">
        <v>185</v>
      </c>
      <c r="AH395" s="3539">
        <v>15</v>
      </c>
      <c r="AI395"/>
      <c r="AJ395" s="5392"/>
      <c r="AK395" s="3541"/>
      <c r="AL395" s="3536" t="s">
        <v>13709</v>
      </c>
      <c r="AM395" s="3537">
        <v>153</v>
      </c>
      <c r="AN395" s="3538">
        <v>102</v>
      </c>
      <c r="AO395" s="3539">
        <v>204</v>
      </c>
      <c r="AQ395" s="3">
        <v>1</v>
      </c>
    </row>
    <row r="396" spans="22:43" ht="21" customHeight="1">
      <c r="V396" s="5393"/>
      <c r="W396" s="3543" t="s">
        <v>13710</v>
      </c>
      <c r="X396" s="3544" t="s">
        <v>13711</v>
      </c>
      <c r="Y396" s="3545">
        <v>92</v>
      </c>
      <c r="Z396" s="3546">
        <v>92</v>
      </c>
      <c r="AA396" s="3547">
        <v>92</v>
      </c>
      <c r="AB396"/>
      <c r="AC396" s="5394"/>
      <c r="AD396" s="3541" t="s">
        <v>13712</v>
      </c>
      <c r="AE396" s="3536" t="s">
        <v>13713</v>
      </c>
      <c r="AF396" s="3537">
        <v>255</v>
      </c>
      <c r="AG396" s="3538">
        <v>193</v>
      </c>
      <c r="AH396" s="3539">
        <v>37</v>
      </c>
      <c r="AI396"/>
      <c r="AJ396" s="5395"/>
      <c r="AK396" s="3550" t="s">
        <v>12318</v>
      </c>
      <c r="AL396" s="3536" t="s">
        <v>13714</v>
      </c>
      <c r="AM396" s="3537">
        <v>136</v>
      </c>
      <c r="AN396" s="3538">
        <v>6</v>
      </c>
      <c r="AO396" s="3539">
        <v>206</v>
      </c>
      <c r="AQ396" s="3">
        <v>1</v>
      </c>
    </row>
    <row r="397" spans="22:43" ht="21" customHeight="1">
      <c r="V397" s="5396"/>
      <c r="W397" s="3543" t="s">
        <v>13715</v>
      </c>
      <c r="X397" s="3544" t="s">
        <v>13716</v>
      </c>
      <c r="Y397" s="3545">
        <v>89</v>
      </c>
      <c r="Z397" s="3546">
        <v>89</v>
      </c>
      <c r="AA397" s="3547">
        <v>89</v>
      </c>
      <c r="AB397"/>
      <c r="AC397" s="5397"/>
      <c r="AD397" s="3541" t="s">
        <v>13717</v>
      </c>
      <c r="AE397" s="3536" t="s">
        <v>13718</v>
      </c>
      <c r="AF397" s="3537">
        <v>205</v>
      </c>
      <c r="AG397" s="3538">
        <v>192</v>
      </c>
      <c r="AH397" s="3539">
        <v>176</v>
      </c>
      <c r="AI397"/>
      <c r="AJ397" s="5398"/>
      <c r="AK397" s="3541" t="s">
        <v>13719</v>
      </c>
      <c r="AL397" s="3536" t="s">
        <v>13720</v>
      </c>
      <c r="AM397" s="3537">
        <v>85</v>
      </c>
      <c r="AN397" s="3538">
        <v>26</v>
      </c>
      <c r="AO397" s="3539">
        <v>139</v>
      </c>
      <c r="AQ397" s="3">
        <v>1</v>
      </c>
    </row>
    <row r="398" spans="22:43" ht="21" customHeight="1">
      <c r="V398" s="5399"/>
      <c r="W398" s="3543" t="s">
        <v>13721</v>
      </c>
      <c r="X398" s="3544" t="s">
        <v>13722</v>
      </c>
      <c r="Y398" s="3545">
        <v>87</v>
      </c>
      <c r="Z398" s="3546">
        <v>87</v>
      </c>
      <c r="AA398" s="3547">
        <v>87</v>
      </c>
      <c r="AB398"/>
      <c r="AC398" s="5400"/>
      <c r="AD398" s="3550" t="s">
        <v>13723</v>
      </c>
      <c r="AE398" s="3536" t="s">
        <v>13724</v>
      </c>
      <c r="AF398" s="3537">
        <v>255</v>
      </c>
      <c r="AG398" s="3538">
        <v>193</v>
      </c>
      <c r="AH398" s="3539">
        <v>79</v>
      </c>
      <c r="AI398"/>
      <c r="AJ398" s="5401"/>
      <c r="AK398" s="3550" t="s">
        <v>13725</v>
      </c>
      <c r="AL398" s="3536" t="s">
        <v>13726</v>
      </c>
      <c r="AM398" s="3537">
        <v>50</v>
      </c>
      <c r="AN398" s="3538">
        <v>23</v>
      </c>
      <c r="AO398" s="3539">
        <v>77</v>
      </c>
      <c r="AQ398" s="3">
        <v>1</v>
      </c>
    </row>
    <row r="399" spans="22:43" ht="21" customHeight="1">
      <c r="V399" s="5402"/>
      <c r="W399" s="3558" t="s">
        <v>13727</v>
      </c>
      <c r="X399" s="3544" t="s">
        <v>13728</v>
      </c>
      <c r="Y399" s="3545">
        <v>85</v>
      </c>
      <c r="Z399" s="3546">
        <v>85</v>
      </c>
      <c r="AA399" s="3547">
        <v>85</v>
      </c>
      <c r="AB399"/>
      <c r="AC399" s="5403"/>
      <c r="AD399" s="3550" t="s">
        <v>13729</v>
      </c>
      <c r="AE399" s="3536" t="s">
        <v>13730</v>
      </c>
      <c r="AF399" s="3537">
        <v>255</v>
      </c>
      <c r="AG399" s="3538">
        <v>203</v>
      </c>
      <c r="AH399" s="3539">
        <v>96</v>
      </c>
      <c r="AI399"/>
      <c r="AJ399" s="5404"/>
      <c r="AK399" s="3550" t="s">
        <v>13731</v>
      </c>
      <c r="AL399" s="3536" t="s">
        <v>13732</v>
      </c>
      <c r="AM399" s="3537">
        <v>47</v>
      </c>
      <c r="AN399" s="3538">
        <v>33</v>
      </c>
      <c r="AO399" s="3539">
        <v>64</v>
      </c>
      <c r="AQ399" s="3">
        <v>1</v>
      </c>
    </row>
    <row r="400" spans="22:43" ht="21" customHeight="1">
      <c r="V400" s="5405"/>
      <c r="W400" s="3543" t="s">
        <v>11018</v>
      </c>
      <c r="X400" s="3544" t="s">
        <v>13733</v>
      </c>
      <c r="Y400" s="3545">
        <v>84</v>
      </c>
      <c r="Z400" s="3546">
        <v>84</v>
      </c>
      <c r="AA400" s="3547">
        <v>84</v>
      </c>
      <c r="AB400"/>
      <c r="AC400" s="5406"/>
      <c r="AD400" s="3541" t="s">
        <v>13734</v>
      </c>
      <c r="AE400" s="3536" t="s">
        <v>13735</v>
      </c>
      <c r="AF400" s="3537">
        <v>238</v>
      </c>
      <c r="AG400" s="3538">
        <v>197</v>
      </c>
      <c r="AH400" s="3539">
        <v>145</v>
      </c>
      <c r="AI400"/>
      <c r="AJ400" s="5407"/>
      <c r="AK400" s="3550" t="s">
        <v>13736</v>
      </c>
      <c r="AL400" s="3536" t="s">
        <v>13737</v>
      </c>
      <c r="AM400" s="3537">
        <v>201</v>
      </c>
      <c r="AN400" s="3538">
        <v>160</v>
      </c>
      <c r="AO400" s="3539">
        <v>220</v>
      </c>
      <c r="AQ400" s="3">
        <v>1</v>
      </c>
    </row>
    <row r="401" spans="1:45" ht="21" customHeight="1">
      <c r="V401" s="5408"/>
      <c r="W401" s="3543" t="s">
        <v>13738</v>
      </c>
      <c r="X401" s="3544" t="s">
        <v>13739</v>
      </c>
      <c r="Y401" s="3545">
        <v>82</v>
      </c>
      <c r="Z401" s="3546">
        <v>82</v>
      </c>
      <c r="AA401" s="3547">
        <v>82</v>
      </c>
      <c r="AB401"/>
      <c r="AC401" s="5409"/>
      <c r="AD401" s="3550" t="s">
        <v>13740</v>
      </c>
      <c r="AE401" s="3536" t="s">
        <v>13741</v>
      </c>
      <c r="AF401" s="3537">
        <v>251</v>
      </c>
      <c r="AG401" s="3538">
        <v>201</v>
      </c>
      <c r="AH401" s="3539">
        <v>127</v>
      </c>
      <c r="AI401"/>
      <c r="AJ401" s="5410"/>
      <c r="AK401" s="3550" t="s">
        <v>13742</v>
      </c>
      <c r="AL401" s="3536" t="s">
        <v>13743</v>
      </c>
      <c r="AM401" s="3537">
        <v>207</v>
      </c>
      <c r="AN401" s="3538">
        <v>160</v>
      </c>
      <c r="AO401" s="3539">
        <v>233</v>
      </c>
      <c r="AQ401" s="3">
        <v>1</v>
      </c>
    </row>
    <row r="402" spans="1:45" ht="21" customHeight="1">
      <c r="V402" s="5411"/>
      <c r="W402" s="3543" t="s">
        <v>13744</v>
      </c>
      <c r="X402" s="3544" t="s">
        <v>13745</v>
      </c>
      <c r="Y402" s="3545">
        <v>79</v>
      </c>
      <c r="Z402" s="3546">
        <v>79</v>
      </c>
      <c r="AA402" s="3547">
        <v>79</v>
      </c>
      <c r="AB402"/>
      <c r="AC402" s="5412"/>
      <c r="AD402" s="3541" t="s">
        <v>13746</v>
      </c>
      <c r="AE402" s="3536" t="s">
        <v>13747</v>
      </c>
      <c r="AF402" s="3537">
        <v>235</v>
      </c>
      <c r="AG402" s="3538">
        <v>199</v>
      </c>
      <c r="AH402" s="3539">
        <v>158</v>
      </c>
      <c r="AI402"/>
      <c r="AJ402" s="5413"/>
      <c r="AK402" s="3550" t="s">
        <v>13748</v>
      </c>
      <c r="AL402" s="3536" t="s">
        <v>13749</v>
      </c>
      <c r="AM402" s="3537">
        <v>214</v>
      </c>
      <c r="AN402" s="3538">
        <v>202</v>
      </c>
      <c r="AO402" s="3539">
        <v>221</v>
      </c>
      <c r="AQ402" s="3">
        <v>1</v>
      </c>
    </row>
    <row r="403" spans="1:45" ht="21" customHeight="1">
      <c r="V403" s="5414"/>
      <c r="W403" s="3543" t="s">
        <v>13750</v>
      </c>
      <c r="X403" s="3544" t="s">
        <v>13751</v>
      </c>
      <c r="Y403" s="3545">
        <v>77</v>
      </c>
      <c r="Z403" s="3546">
        <v>77</v>
      </c>
      <c r="AA403" s="3547">
        <v>77</v>
      </c>
      <c r="AB403"/>
      <c r="AC403" s="5415"/>
      <c r="AD403" s="3541" t="s">
        <v>13752</v>
      </c>
      <c r="AE403" s="3536" t="s">
        <v>13753</v>
      </c>
      <c r="AF403" s="3537">
        <v>238</v>
      </c>
      <c r="AG403" s="3538">
        <v>207</v>
      </c>
      <c r="AH403" s="3539">
        <v>161</v>
      </c>
      <c r="AI403"/>
      <c r="AJ403" s="5416"/>
      <c r="AK403" s="3550" t="s">
        <v>13754</v>
      </c>
      <c r="AL403" s="3536" t="s">
        <v>13755</v>
      </c>
      <c r="AM403" s="3537">
        <v>182</v>
      </c>
      <c r="AN403" s="3538">
        <v>102</v>
      </c>
      <c r="AO403" s="3539">
        <v>210</v>
      </c>
      <c r="AQ403" s="3">
        <v>1</v>
      </c>
    </row>
    <row r="404" spans="1:45" ht="21" customHeight="1">
      <c r="V404" s="5417"/>
      <c r="W404" s="5418"/>
      <c r="X404" s="5418"/>
      <c r="Y404" s="5419"/>
      <c r="Z404" s="5420"/>
      <c r="AA404" s="5420"/>
      <c r="AB404"/>
      <c r="AC404" s="5421"/>
      <c r="AD404" s="3541" t="s">
        <v>13756</v>
      </c>
      <c r="AE404" s="3536" t="s">
        <v>13757</v>
      </c>
      <c r="AF404" s="3537">
        <v>255</v>
      </c>
      <c r="AG404" s="3538">
        <v>211</v>
      </c>
      <c r="AH404" s="3539">
        <v>155</v>
      </c>
      <c r="AI404"/>
      <c r="AJ404" s="5422"/>
      <c r="AK404" s="5423" t="s">
        <v>13758</v>
      </c>
      <c r="AL404" s="5424" t="s">
        <v>13759</v>
      </c>
      <c r="AM404" s="5425">
        <v>64</v>
      </c>
      <c r="AN404" s="5426">
        <v>26</v>
      </c>
      <c r="AO404" s="5427">
        <v>76</v>
      </c>
      <c r="AQ404" s="3">
        <v>1</v>
      </c>
    </row>
    <row r="405" spans="1:45" ht="21" customHeight="1">
      <c r="V405" s="5428">
        <v>9</v>
      </c>
      <c r="W405" s="5428">
        <v>23</v>
      </c>
      <c r="X405" s="5428">
        <v>37</v>
      </c>
      <c r="Y405" s="5428">
        <v>8</v>
      </c>
      <c r="Z405" s="5428">
        <v>8</v>
      </c>
      <c r="AA405" s="5428">
        <v>8</v>
      </c>
      <c r="AB405"/>
      <c r="AC405" s="5428">
        <v>9</v>
      </c>
      <c r="AD405" s="5428">
        <v>23</v>
      </c>
      <c r="AE405" s="5428">
        <v>37</v>
      </c>
      <c r="AF405" s="5428">
        <v>8</v>
      </c>
      <c r="AG405" s="5428">
        <v>8</v>
      </c>
      <c r="AH405" s="5428">
        <v>8</v>
      </c>
      <c r="AI405"/>
      <c r="AJ405" s="5428">
        <v>9</v>
      </c>
      <c r="AK405" s="5428">
        <v>23</v>
      </c>
      <c r="AL405" s="5428">
        <v>37</v>
      </c>
      <c r="AM405" s="5428">
        <v>8</v>
      </c>
      <c r="AN405" s="5428">
        <v>8</v>
      </c>
      <c r="AO405" s="5428">
        <v>8</v>
      </c>
      <c r="AQ405" s="3">
        <v>1</v>
      </c>
    </row>
    <row r="406" spans="1:45" ht="21" customHeight="1">
      <c r="V406" s="5429">
        <f t="shared" ref="V406:AA406" ca="1" si="6">CELL("largeur",V406)</f>
        <v>9</v>
      </c>
      <c r="W406" s="5429">
        <f t="shared" ca="1" si="6"/>
        <v>23</v>
      </c>
      <c r="X406" s="5429">
        <f t="shared" ca="1" si="6"/>
        <v>37</v>
      </c>
      <c r="Y406" s="5429">
        <f t="shared" ca="1" si="6"/>
        <v>8</v>
      </c>
      <c r="Z406" s="5429">
        <f t="shared" ca="1" si="6"/>
        <v>8</v>
      </c>
      <c r="AA406" s="5429">
        <f t="shared" ca="1" si="6"/>
        <v>8</v>
      </c>
      <c r="AB406"/>
      <c r="AC406" s="5429">
        <f t="shared" ref="AC406:AH406" ca="1" si="7">CELL("largeur",AC406)</f>
        <v>9</v>
      </c>
      <c r="AD406" s="5429">
        <f t="shared" ca="1" si="7"/>
        <v>23</v>
      </c>
      <c r="AE406" s="5429">
        <f t="shared" ca="1" si="7"/>
        <v>37</v>
      </c>
      <c r="AF406" s="5429">
        <f t="shared" ca="1" si="7"/>
        <v>8</v>
      </c>
      <c r="AG406" s="5429">
        <f t="shared" ca="1" si="7"/>
        <v>8</v>
      </c>
      <c r="AH406" s="5429">
        <f t="shared" ca="1" si="7"/>
        <v>8</v>
      </c>
      <c r="AI406"/>
      <c r="AJ406" s="5429">
        <f t="shared" ref="AJ406:AO406" ca="1" si="8">CELL("largeur",AJ406)</f>
        <v>9</v>
      </c>
      <c r="AK406" s="5429">
        <f t="shared" ca="1" si="8"/>
        <v>23</v>
      </c>
      <c r="AL406" s="5429">
        <f t="shared" ca="1" si="8"/>
        <v>37</v>
      </c>
      <c r="AM406" s="5429">
        <f t="shared" ca="1" si="8"/>
        <v>8</v>
      </c>
      <c r="AN406" s="5429">
        <f t="shared" ca="1" si="8"/>
        <v>8</v>
      </c>
      <c r="AO406" s="5429">
        <f t="shared" ca="1" si="8"/>
        <v>8</v>
      </c>
      <c r="AQ406" s="3">
        <v>1</v>
      </c>
    </row>
    <row r="407" spans="1:45" ht="21" customHeight="1">
      <c r="AQ407" s="626" t="s">
        <v>793</v>
      </c>
      <c r="AR407" s="633"/>
      <c r="AS407" s="633"/>
    </row>
    <row r="408" spans="1:45" ht="21" customHeight="1">
      <c r="A408" s="3">
        <v>1</v>
      </c>
      <c r="B408" s="3">
        <v>1</v>
      </c>
      <c r="C408" s="3">
        <v>1</v>
      </c>
      <c r="D408" s="3">
        <v>1</v>
      </c>
      <c r="E408" s="3">
        <v>1</v>
      </c>
      <c r="F408" s="3">
        <v>1</v>
      </c>
      <c r="G408" s="3">
        <v>1</v>
      </c>
      <c r="H408" s="3">
        <v>1</v>
      </c>
      <c r="I408" s="3">
        <v>1</v>
      </c>
      <c r="J408" s="3">
        <v>1</v>
      </c>
      <c r="K408" s="3">
        <v>1</v>
      </c>
      <c r="L408" s="3">
        <v>1</v>
      </c>
      <c r="M408" s="3">
        <v>1</v>
      </c>
      <c r="N408" s="3">
        <v>1</v>
      </c>
      <c r="O408" s="3">
        <v>1</v>
      </c>
      <c r="P408" s="3">
        <v>1</v>
      </c>
      <c r="Q408" s="3">
        <v>1</v>
      </c>
      <c r="R408" s="3">
        <v>1</v>
      </c>
      <c r="S408" s="3">
        <v>1</v>
      </c>
      <c r="T408" s="3">
        <v>1</v>
      </c>
      <c r="U408" s="3">
        <v>1</v>
      </c>
      <c r="V408" s="3">
        <v>1</v>
      </c>
      <c r="W408" s="3">
        <v>1</v>
      </c>
      <c r="X408" s="3">
        <v>1</v>
      </c>
      <c r="Y408" s="3">
        <v>1</v>
      </c>
      <c r="Z408" s="3">
        <v>1</v>
      </c>
      <c r="AA408" s="3">
        <v>1</v>
      </c>
      <c r="AB408" s="3">
        <v>1</v>
      </c>
      <c r="AC408" s="3">
        <v>1</v>
      </c>
      <c r="AD408" s="3">
        <v>1</v>
      </c>
      <c r="AE408" s="3">
        <v>1</v>
      </c>
      <c r="AF408" s="3">
        <v>1</v>
      </c>
      <c r="AG408" s="3">
        <v>1</v>
      </c>
      <c r="AH408" s="3">
        <v>1</v>
      </c>
      <c r="AI408" s="3">
        <v>1</v>
      </c>
      <c r="AJ408" s="3">
        <v>1</v>
      </c>
      <c r="AK408" s="3">
        <v>1</v>
      </c>
      <c r="AL408" s="3">
        <v>1</v>
      </c>
      <c r="AM408" s="3">
        <v>1</v>
      </c>
      <c r="AN408" s="3">
        <v>1</v>
      </c>
      <c r="AO408" s="3">
        <v>1</v>
      </c>
      <c r="AP408" s="3">
        <v>1</v>
      </c>
      <c r="AQ408" s="1" t="str">
        <f>ADDRESS(ROW(),COLUMN(),4)</f>
        <v>AQ408</v>
      </c>
      <c r="AR408" s="628"/>
      <c r="AS408" s="629" t="str">
        <f>ADDRESS(ROW(),COLUMN(),4)</f>
        <v>AS408</v>
      </c>
    </row>
  </sheetData>
  <mergeCells count="35">
    <mergeCell ref="AD7:AF7"/>
    <mergeCell ref="B8:C9"/>
    <mergeCell ref="E8:F9"/>
    <mergeCell ref="AD9:AF9"/>
    <mergeCell ref="B10:C11"/>
    <mergeCell ref="K11:R11"/>
    <mergeCell ref="AD11:AF11"/>
    <mergeCell ref="B22:C23"/>
    <mergeCell ref="E22:F23"/>
    <mergeCell ref="H22:I22"/>
    <mergeCell ref="K22:T22"/>
    <mergeCell ref="B13:C14"/>
    <mergeCell ref="E13:F14"/>
    <mergeCell ref="H13:I13"/>
    <mergeCell ref="H14:I16"/>
    <mergeCell ref="B16:C17"/>
    <mergeCell ref="E16:F17"/>
    <mergeCell ref="H18:I19"/>
    <mergeCell ref="B19:C20"/>
    <mergeCell ref="E19:F20"/>
    <mergeCell ref="K20:R21"/>
    <mergeCell ref="H21:I21"/>
    <mergeCell ref="H24:I24"/>
    <mergeCell ref="B25:C26"/>
    <mergeCell ref="E25:F26"/>
    <mergeCell ref="H26:I26"/>
    <mergeCell ref="B28:C29"/>
    <mergeCell ref="E28:F29"/>
    <mergeCell ref="H29:I29"/>
    <mergeCell ref="B31:C32"/>
    <mergeCell ref="E31:F32"/>
    <mergeCell ref="H31:I31"/>
    <mergeCell ref="H32:I32"/>
    <mergeCell ref="B34:C35"/>
    <mergeCell ref="E34:F35"/>
  </mergeCells>
  <hyperlinks>
    <hyperlink ref="K20" r:id="rId1" xr:uid="{F25DC403-B3D8-4900-A8BB-30D7564AC72E}"/>
    <hyperlink ref="AD13" r:id="rId2" xr:uid="{7B658D61-8288-4E16-AA42-3E9B00070F04}"/>
    <hyperlink ref="AD15" r:id="rId3" xr:uid="{0FD99DF5-2D67-4D8A-96B2-E14C8AF8CBD4}"/>
    <hyperlink ref="AD17" r:id="rId4" xr:uid="{BFF1C67B-763D-42D0-AD19-2E01F4AB2C76}"/>
    <hyperlink ref="AD19" r:id="rId5" xr:uid="{A7B6815B-A0ED-4CBE-82CF-32FA5ACDB73E}"/>
    <hyperlink ref="AD9" r:id="rId6" xr:uid="{EF4102C5-A9EC-4066-AE92-94D8F257DF56}"/>
    <hyperlink ref="AD7" r:id="rId7" xr:uid="{5EC13C71-1367-45B4-9C09-E1CBC318A2B6}"/>
    <hyperlink ref="AD11" r:id="rId8" xr:uid="{89D5FA58-9242-417F-9B9B-6116B1EEA67E}"/>
    <hyperlink ref="AD21" r:id="rId9" xr:uid="{7EAF8CD3-75C6-475A-8B3D-7EB7CDB3EB7C}"/>
    <hyperlink ref="K54" r:id="rId10" xr:uid="{527BE916-D0A1-407F-873D-2860BC7B1AE6}"/>
    <hyperlink ref="V16" r:id="rId11" xr:uid="{18E48D6D-C911-48C3-9AC5-DA7A355294CC}"/>
    <hyperlink ref="V15" r:id="rId12" xr:uid="{D7F2AEB4-EC91-4443-8B4F-77491C42CE36}"/>
    <hyperlink ref="V19" r:id="rId13" xr:uid="{43D42307-8AF1-4A47-BAE6-DEB694FB2AE7}"/>
  </hyperlinks>
  <pageMargins left="0.7" right="0.7" top="0.75" bottom="0.75" header="0.3" footer="0.3"/>
  <pageSetup paperSize="9" orientation="portrait" r:id="rId1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1EAA4-D27D-46B8-BE21-4ED9FF3FBF47}">
  <dimension ref="A1:BF244"/>
  <sheetViews>
    <sheetView zoomScaleNormal="100" workbookViewId="0">
      <selection activeCell="L27" sqref="L27"/>
    </sheetView>
  </sheetViews>
  <sheetFormatPr baseColWidth="10" defaultRowHeight="15.75"/>
  <cols>
    <col min="1" max="1" width="3" style="2354" customWidth="1"/>
    <col min="2" max="2" width="4.140625" style="2354" customWidth="1"/>
    <col min="3" max="3" width="13.28515625" style="2354" customWidth="1"/>
    <col min="4" max="4" width="21.28515625" style="2354" customWidth="1"/>
    <col min="5" max="8" width="13.28515625" style="2354" customWidth="1"/>
    <col min="9" max="9" width="17.140625" style="2354" customWidth="1"/>
    <col min="10" max="10" width="19" style="2354" customWidth="1"/>
    <col min="11" max="12" width="16.7109375" style="2354" customWidth="1"/>
    <col min="13" max="13" width="18.28515625" style="2354" customWidth="1"/>
    <col min="14" max="16" width="16.7109375" style="2354" customWidth="1"/>
    <col min="17" max="21" width="11.42578125" style="2354"/>
    <col min="22" max="22" width="13.7109375" style="2354" customWidth="1"/>
    <col min="23" max="23" width="21.7109375" style="2354" customWidth="1"/>
    <col min="24" max="27" width="13.7109375" style="2354" customWidth="1"/>
    <col min="28" max="28" width="16.7109375" style="2354" customWidth="1"/>
    <col min="29" max="29" width="18.7109375" style="2354" customWidth="1"/>
    <col min="30" max="31" width="16.7109375" style="2354" customWidth="1"/>
    <col min="32" max="32" width="18.7109375" style="2354" customWidth="1"/>
    <col min="33" max="35" width="16.7109375" style="2354" customWidth="1"/>
    <col min="36" max="36" width="11.7109375" style="2354" customWidth="1"/>
    <col min="37" max="37" width="14.42578125" style="2354" customWidth="1"/>
    <col min="38" max="38" width="13.7109375" style="2354" customWidth="1"/>
    <col min="39" max="39" width="21.7109375" style="2354" customWidth="1"/>
    <col min="40" max="43" width="13.7109375" style="2354" customWidth="1"/>
    <col min="44" max="44" width="16.7109375" style="2354" customWidth="1"/>
    <col min="45" max="45" width="18.7109375" style="2354" customWidth="1"/>
    <col min="46" max="47" width="16.7109375" style="2354" customWidth="1"/>
    <col min="48" max="48" width="18.7109375" style="2354" customWidth="1"/>
    <col min="49" max="51" width="16.7109375" style="2354" customWidth="1"/>
    <col min="52" max="52" width="11.7109375" style="2354" customWidth="1"/>
    <col min="53" max="57" width="11.42578125" style="2354"/>
    <col min="58" max="58" width="80.28515625" style="2354" customWidth="1"/>
    <col min="59" max="16384" width="11.42578125" style="2354"/>
  </cols>
  <sheetData>
    <row r="1" spans="1:58" s="2341" customFormat="1" thickTop="1">
      <c r="A1" s="1" t="str">
        <f>ADDRESS(ROW(),COLUMN(),4)</f>
        <v>A1</v>
      </c>
      <c r="B1" s="2339"/>
      <c r="C1" s="2" t="str">
        <f t="shared" ref="C1:T1" si="0">SUBSTITUTE(ADDRESS(1,COLUMN(),4),"1","")</f>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343"/>
      <c r="V1" s="2" t="str">
        <f t="shared" ref="V1:AJ1" si="1">SUBSTITUTE(ADDRESS(1,COLUMN(),4),"1","")</f>
        <v>V</v>
      </c>
      <c r="W1" s="2" t="str">
        <f t="shared" si="1"/>
        <v>W</v>
      </c>
      <c r="X1" s="2" t="str">
        <f t="shared" si="1"/>
        <v>X</v>
      </c>
      <c r="Y1" s="2" t="str">
        <f t="shared" si="1"/>
        <v>Y</v>
      </c>
      <c r="Z1" s="2" t="str">
        <f t="shared" si="1"/>
        <v>Z</v>
      </c>
      <c r="AA1" s="2" t="str">
        <f t="shared" si="1"/>
        <v>AA</v>
      </c>
      <c r="AB1" s="2" t="str">
        <f t="shared" si="1"/>
        <v>AB</v>
      </c>
      <c r="AC1" s="2" t="str">
        <f t="shared" si="1"/>
        <v>AC</v>
      </c>
      <c r="AD1" s="2" t="str">
        <f t="shared" si="1"/>
        <v>AD</v>
      </c>
      <c r="AE1" s="2" t="str">
        <f t="shared" si="1"/>
        <v>AE</v>
      </c>
      <c r="AF1" s="2" t="str">
        <f t="shared" si="1"/>
        <v>AF</v>
      </c>
      <c r="AG1" s="2" t="str">
        <f t="shared" si="1"/>
        <v>AG</v>
      </c>
      <c r="AH1" s="2" t="str">
        <f t="shared" si="1"/>
        <v>AH</v>
      </c>
      <c r="AI1" s="2" t="str">
        <f t="shared" si="1"/>
        <v>AI</v>
      </c>
      <c r="AJ1" s="2" t="str">
        <f t="shared" si="1"/>
        <v>AJ</v>
      </c>
      <c r="AK1" s="1265"/>
      <c r="AL1" s="2" t="str">
        <f t="shared" ref="AL1:AZ1" si="2">SUBSTITUTE(ADDRESS(1,COLUMN(),4),"1","")</f>
        <v>AL</v>
      </c>
      <c r="AM1" s="2" t="str">
        <f t="shared" si="2"/>
        <v>AM</v>
      </c>
      <c r="AN1" s="2" t="str">
        <f t="shared" si="2"/>
        <v>AN</v>
      </c>
      <c r="AO1" s="2" t="str">
        <f t="shared" si="2"/>
        <v>AO</v>
      </c>
      <c r="AP1" s="2" t="str">
        <f t="shared" si="2"/>
        <v>AP</v>
      </c>
      <c r="AQ1" s="2" t="str">
        <f t="shared" si="2"/>
        <v>AQ</v>
      </c>
      <c r="AR1" s="2" t="str">
        <f t="shared" si="2"/>
        <v>AR</v>
      </c>
      <c r="AS1" s="2" t="str">
        <f t="shared" si="2"/>
        <v>AS</v>
      </c>
      <c r="AT1" s="2" t="str">
        <f t="shared" si="2"/>
        <v>AT</v>
      </c>
      <c r="AU1" s="2" t="str">
        <f t="shared" si="2"/>
        <v>AU</v>
      </c>
      <c r="AV1" s="2" t="str">
        <f t="shared" si="2"/>
        <v>AV</v>
      </c>
      <c r="AW1" s="2" t="str">
        <f t="shared" si="2"/>
        <v>AW</v>
      </c>
      <c r="AX1" s="2" t="str">
        <f t="shared" si="2"/>
        <v>AX</v>
      </c>
      <c r="AY1" s="2" t="str">
        <f t="shared" si="2"/>
        <v>AY</v>
      </c>
      <c r="AZ1" s="2" t="str">
        <f t="shared" si="2"/>
        <v>AZ</v>
      </c>
      <c r="BA1" s="1265"/>
      <c r="BB1" s="1265"/>
      <c r="BC1" s="1265"/>
      <c r="BD1" s="3">
        <v>1</v>
      </c>
      <c r="BE1" s="4" t="str">
        <f>SUBSTITUTE(ADDRESS(1,COLUMN(),4),"1","")</f>
        <v>BE</v>
      </c>
      <c r="BF1" s="5" t="str">
        <f>SUBSTITUTE(ADDRESS(1,COLUMN(),4),"1","")</f>
        <v>BF</v>
      </c>
    </row>
    <row r="2" spans="1:58" s="2341" customFormat="1" ht="15">
      <c r="A2" s="2339"/>
      <c r="B2" s="2339"/>
      <c r="C2" s="694">
        <f t="shared" ref="C2:T2" ca="1" si="3">CELL("largeur",C2)</f>
        <v>13</v>
      </c>
      <c r="D2" s="694">
        <f t="shared" ca="1" si="3"/>
        <v>21</v>
      </c>
      <c r="E2" s="694">
        <f t="shared" ca="1" si="3"/>
        <v>13</v>
      </c>
      <c r="F2" s="694">
        <f t="shared" ca="1" si="3"/>
        <v>13</v>
      </c>
      <c r="G2" s="694">
        <f t="shared" ca="1" si="3"/>
        <v>13</v>
      </c>
      <c r="H2" s="694">
        <f t="shared" ca="1" si="3"/>
        <v>13</v>
      </c>
      <c r="I2" s="694">
        <f t="shared" ca="1" si="3"/>
        <v>16</v>
      </c>
      <c r="J2" s="694">
        <f t="shared" ca="1" si="3"/>
        <v>18</v>
      </c>
      <c r="K2" s="694">
        <f t="shared" ca="1" si="3"/>
        <v>16</v>
      </c>
      <c r="L2" s="694">
        <f t="shared" ca="1" si="3"/>
        <v>16</v>
      </c>
      <c r="M2" s="694">
        <f t="shared" ca="1" si="3"/>
        <v>18</v>
      </c>
      <c r="N2" s="694">
        <f t="shared" ca="1" si="3"/>
        <v>16</v>
      </c>
      <c r="O2" s="694">
        <f t="shared" ca="1" si="3"/>
        <v>16</v>
      </c>
      <c r="P2" s="694">
        <f t="shared" ca="1" si="3"/>
        <v>16</v>
      </c>
      <c r="Q2" s="694">
        <f t="shared" ca="1" si="3"/>
        <v>11</v>
      </c>
      <c r="R2" s="694">
        <f t="shared" ca="1" si="3"/>
        <v>11</v>
      </c>
      <c r="S2" s="694">
        <f t="shared" ca="1" si="3"/>
        <v>11</v>
      </c>
      <c r="T2" s="694">
        <f t="shared" ca="1" si="3"/>
        <v>11</v>
      </c>
      <c r="U2" s="2343"/>
      <c r="V2" s="694">
        <f t="shared" ref="V2:AJ2" ca="1" si="4">CELL("largeur",V2)</f>
        <v>13</v>
      </c>
      <c r="W2" s="694">
        <f t="shared" ca="1" si="4"/>
        <v>21</v>
      </c>
      <c r="X2" s="694">
        <f t="shared" ca="1" si="4"/>
        <v>13</v>
      </c>
      <c r="Y2" s="694">
        <f t="shared" ca="1" si="4"/>
        <v>13</v>
      </c>
      <c r="Z2" s="694">
        <f t="shared" ca="1" si="4"/>
        <v>13</v>
      </c>
      <c r="AA2" s="694">
        <f t="shared" ca="1" si="4"/>
        <v>13</v>
      </c>
      <c r="AB2" s="694">
        <f t="shared" ca="1" si="4"/>
        <v>16</v>
      </c>
      <c r="AC2" s="694">
        <f t="shared" ca="1" si="4"/>
        <v>18</v>
      </c>
      <c r="AD2" s="694">
        <f t="shared" ca="1" si="4"/>
        <v>16</v>
      </c>
      <c r="AE2" s="694">
        <f t="shared" ca="1" si="4"/>
        <v>16</v>
      </c>
      <c r="AF2" s="694">
        <f t="shared" ca="1" si="4"/>
        <v>18</v>
      </c>
      <c r="AG2" s="694">
        <f t="shared" ca="1" si="4"/>
        <v>16</v>
      </c>
      <c r="AH2" s="694">
        <f t="shared" ca="1" si="4"/>
        <v>16</v>
      </c>
      <c r="AI2" s="694">
        <f t="shared" ca="1" si="4"/>
        <v>16</v>
      </c>
      <c r="AJ2" s="694">
        <f t="shared" ca="1" si="4"/>
        <v>11</v>
      </c>
      <c r="AK2" s="1265"/>
      <c r="AL2" s="694">
        <f t="shared" ref="AL2:AZ2" ca="1" si="5">CELL("largeur",AL2)</f>
        <v>13</v>
      </c>
      <c r="AM2" s="694">
        <f t="shared" ca="1" si="5"/>
        <v>21</v>
      </c>
      <c r="AN2" s="694">
        <f t="shared" ca="1" si="5"/>
        <v>13</v>
      </c>
      <c r="AO2" s="694">
        <f t="shared" ca="1" si="5"/>
        <v>13</v>
      </c>
      <c r="AP2" s="694">
        <f t="shared" ca="1" si="5"/>
        <v>13</v>
      </c>
      <c r="AQ2" s="694">
        <f t="shared" ca="1" si="5"/>
        <v>13</v>
      </c>
      <c r="AR2" s="694">
        <f t="shared" ca="1" si="5"/>
        <v>16</v>
      </c>
      <c r="AS2" s="694">
        <f t="shared" ca="1" si="5"/>
        <v>18</v>
      </c>
      <c r="AT2" s="694">
        <f t="shared" ca="1" si="5"/>
        <v>16</v>
      </c>
      <c r="AU2" s="694">
        <f t="shared" ca="1" si="5"/>
        <v>16</v>
      </c>
      <c r="AV2" s="694">
        <f t="shared" ca="1" si="5"/>
        <v>18</v>
      </c>
      <c r="AW2" s="694">
        <f t="shared" ca="1" si="5"/>
        <v>16</v>
      </c>
      <c r="AX2" s="694">
        <f t="shared" ca="1" si="5"/>
        <v>16</v>
      </c>
      <c r="AY2" s="694">
        <f t="shared" ca="1" si="5"/>
        <v>16</v>
      </c>
      <c r="AZ2" s="694">
        <f t="shared" ca="1" si="5"/>
        <v>11</v>
      </c>
      <c r="BA2" s="1265"/>
      <c r="BB2" s="1265"/>
      <c r="BC2" s="1265"/>
      <c r="BD2" s="3">
        <v>1</v>
      </c>
      <c r="BE2" s="7" t="s">
        <v>3</v>
      </c>
      <c r="BF2" s="8"/>
    </row>
    <row r="3" spans="1:58" s="2341" customFormat="1">
      <c r="A3" s="2339"/>
      <c r="B3" s="2339"/>
      <c r="C3" s="2069">
        <v>13</v>
      </c>
      <c r="D3" s="2069">
        <v>21</v>
      </c>
      <c r="E3" s="2069">
        <v>13</v>
      </c>
      <c r="F3" s="2069">
        <v>13</v>
      </c>
      <c r="G3" s="2069">
        <v>13</v>
      </c>
      <c r="H3" s="2069">
        <v>13</v>
      </c>
      <c r="I3" s="2069">
        <v>16</v>
      </c>
      <c r="J3" s="2069">
        <v>18</v>
      </c>
      <c r="K3" s="2069">
        <v>16</v>
      </c>
      <c r="L3" s="2069">
        <v>16</v>
      </c>
      <c r="M3" s="2069">
        <v>18</v>
      </c>
      <c r="N3" s="2069">
        <v>16</v>
      </c>
      <c r="O3" s="2069">
        <v>16</v>
      </c>
      <c r="P3" s="2069">
        <v>16</v>
      </c>
      <c r="Q3" s="2069">
        <v>11</v>
      </c>
      <c r="R3" s="2069">
        <v>11</v>
      </c>
      <c r="S3" s="2069">
        <v>11</v>
      </c>
      <c r="T3" s="2069">
        <v>11</v>
      </c>
      <c r="U3" s="2343"/>
      <c r="V3" s="2069">
        <v>13</v>
      </c>
      <c r="W3" s="2069">
        <v>21</v>
      </c>
      <c r="X3" s="2069">
        <v>13</v>
      </c>
      <c r="Y3" s="2069">
        <v>13</v>
      </c>
      <c r="Z3" s="2069">
        <v>13</v>
      </c>
      <c r="AA3" s="2069">
        <v>13</v>
      </c>
      <c r="AB3" s="2069">
        <v>16</v>
      </c>
      <c r="AC3" s="2069">
        <v>18</v>
      </c>
      <c r="AD3" s="2069">
        <v>16</v>
      </c>
      <c r="AE3" s="2069">
        <v>16</v>
      </c>
      <c r="AF3" s="2069">
        <v>18</v>
      </c>
      <c r="AG3" s="2069">
        <v>16</v>
      </c>
      <c r="AH3" s="2069">
        <v>16</v>
      </c>
      <c r="AI3" s="2069">
        <v>16</v>
      </c>
      <c r="AJ3" s="2069">
        <v>11</v>
      </c>
      <c r="AK3" s="1265"/>
      <c r="AL3" s="2069">
        <v>13</v>
      </c>
      <c r="AM3" s="2069">
        <v>21</v>
      </c>
      <c r="AN3" s="2069">
        <v>13</v>
      </c>
      <c r="AO3" s="2069">
        <v>13</v>
      </c>
      <c r="AP3" s="2069">
        <v>13</v>
      </c>
      <c r="AQ3" s="2069">
        <v>13</v>
      </c>
      <c r="AR3" s="2069">
        <v>16</v>
      </c>
      <c r="AS3" s="2069">
        <v>18</v>
      </c>
      <c r="AT3" s="2069">
        <v>16</v>
      </c>
      <c r="AU3" s="2069">
        <v>16</v>
      </c>
      <c r="AV3" s="2069">
        <v>18</v>
      </c>
      <c r="AW3" s="2069">
        <v>16</v>
      </c>
      <c r="AX3" s="2069">
        <v>16</v>
      </c>
      <c r="AY3" s="2069">
        <v>16</v>
      </c>
      <c r="AZ3" s="2069">
        <v>11</v>
      </c>
      <c r="BA3" s="1265"/>
      <c r="BB3" s="1265"/>
      <c r="BC3" s="1265"/>
      <c r="BD3" s="3">
        <v>1</v>
      </c>
      <c r="BE3" s="10">
        <f ca="1">COUNTA(A1:BD244) + COUNTBLANK(A1:BD244)</f>
        <v>13668</v>
      </c>
      <c r="BF3" s="11" t="str">
        <f>"cellules entre -cells -celdas  "&amp;" " &amp;A1&amp;" et  "&amp;BD244</f>
        <v>cellules entre -cells -celdas   A1 et  BD244</v>
      </c>
    </row>
    <row r="4" spans="1:58" s="2341" customFormat="1" ht="21" customHeight="1">
      <c r="A4" s="2339"/>
      <c r="B4" s="2339"/>
      <c r="C4" s="2339"/>
      <c r="D4" s="2339"/>
      <c r="E4" s="2339"/>
      <c r="F4" s="2339"/>
      <c r="G4" s="2339"/>
      <c r="H4" s="2339"/>
      <c r="I4" s="2339"/>
      <c r="J4" s="2339"/>
      <c r="K4" s="2339"/>
      <c r="L4" s="2339"/>
      <c r="M4" s="2339"/>
      <c r="N4" s="2339"/>
      <c r="O4" s="2339"/>
      <c r="P4" s="2339"/>
      <c r="Q4" s="2339"/>
      <c r="R4" s="2343"/>
      <c r="S4" s="2343"/>
      <c r="T4" s="2343"/>
      <c r="U4" s="2343"/>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65"/>
      <c r="BB4" s="1265"/>
      <c r="BC4" s="1265"/>
      <c r="BD4" s="3">
        <v>1</v>
      </c>
      <c r="BE4" s="10">
        <f ca="1">COUNTA(A1:BD244)</f>
        <v>1426</v>
      </c>
      <c r="BF4" s="11" t="s">
        <v>9</v>
      </c>
    </row>
    <row r="5" spans="1:58" s="2341" customFormat="1" ht="21" customHeight="1">
      <c r="A5" s="2339"/>
      <c r="B5" s="2339"/>
      <c r="C5" s="2339"/>
      <c r="D5" s="2339"/>
      <c r="E5" s="2339"/>
      <c r="F5" s="2339"/>
      <c r="G5" s="2339"/>
      <c r="H5" s="2339"/>
      <c r="I5" s="2339"/>
      <c r="J5" s="2339"/>
      <c r="K5" s="2339"/>
      <c r="L5" s="2339"/>
      <c r="M5" s="2339"/>
      <c r="N5" s="2339"/>
      <c r="O5" s="2339"/>
      <c r="P5" s="2339"/>
      <c r="Q5" s="2339"/>
      <c r="R5" s="2343"/>
      <c r="S5" s="2343"/>
      <c r="T5" s="2343"/>
      <c r="U5" s="2343"/>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c r="AS5" s="1265"/>
      <c r="AT5" s="1265"/>
      <c r="AU5" s="1265"/>
      <c r="AV5" s="1265"/>
      <c r="AW5" s="1265"/>
      <c r="AX5" s="1265"/>
      <c r="AY5" s="1265"/>
      <c r="AZ5" s="1265"/>
      <c r="BA5" s="1265"/>
      <c r="BB5" s="5546" t="s">
        <v>3120</v>
      </c>
      <c r="BC5" s="1" t="str">
        <f>BD244</f>
        <v>BD244</v>
      </c>
      <c r="BD5" s="3">
        <v>1</v>
      </c>
      <c r="BE5" s="10">
        <f ca="1">COUNTBLANK(A1:BD244)</f>
        <v>12242</v>
      </c>
      <c r="BF5" s="11" t="s">
        <v>12</v>
      </c>
    </row>
    <row r="6" spans="1:58" s="2341" customFormat="1" ht="30" customHeight="1">
      <c r="A6" s="2339"/>
      <c r="B6" s="2339"/>
      <c r="C6" s="2342" t="s">
        <v>14066</v>
      </c>
      <c r="D6" s="2339"/>
      <c r="E6" s="2339"/>
      <c r="F6" s="2339"/>
      <c r="G6" s="2339"/>
      <c r="H6" s="2339"/>
      <c r="I6" s="2339"/>
      <c r="J6" s="2339"/>
      <c r="K6" s="2339"/>
      <c r="L6" s="2339"/>
      <c r="M6" s="2339"/>
      <c r="N6" s="2339"/>
      <c r="O6" s="2339"/>
      <c r="P6" s="2339"/>
      <c r="Q6" s="2339"/>
      <c r="R6" s="2343"/>
      <c r="S6" s="2343"/>
      <c r="T6" s="2343"/>
      <c r="U6" s="2343"/>
      <c r="V6" s="2342" t="s">
        <v>14079</v>
      </c>
      <c r="W6" s="1265"/>
      <c r="X6" s="1265"/>
      <c r="Y6" s="1265"/>
      <c r="Z6" s="1265"/>
      <c r="AA6" s="1265"/>
      <c r="AB6" s="1265"/>
      <c r="AC6" s="1265"/>
      <c r="AD6" s="1265"/>
      <c r="AE6" s="1265"/>
      <c r="AF6" s="1265"/>
      <c r="AG6" s="1265"/>
      <c r="AH6" s="1265"/>
      <c r="AI6" s="1265"/>
      <c r="AJ6" s="1265"/>
      <c r="AK6" s="1265"/>
      <c r="AL6" s="2342" t="s">
        <v>14080</v>
      </c>
      <c r="AM6" s="1265"/>
      <c r="AN6" s="1265"/>
      <c r="AO6" s="1265"/>
      <c r="AP6" s="1265"/>
      <c r="AQ6" s="1265"/>
      <c r="AR6" s="1265"/>
      <c r="AS6" s="1265"/>
      <c r="AT6" s="1265"/>
      <c r="AU6" s="1265"/>
      <c r="AV6" s="1265"/>
      <c r="AW6" s="1265"/>
      <c r="AX6" s="1265"/>
      <c r="AY6" s="1265"/>
      <c r="AZ6" s="1265"/>
      <c r="BA6" s="1265"/>
      <c r="BB6" s="1265"/>
      <c r="BC6" s="1265"/>
      <c r="BD6" s="3">
        <v>1</v>
      </c>
      <c r="BE6" s="10">
        <f>SUM(BD1:BD242)+2</f>
        <v>238</v>
      </c>
      <c r="BF6" s="11" t="s">
        <v>14</v>
      </c>
    </row>
    <row r="7" spans="1:58" s="2341" customFormat="1" ht="30" customHeight="1">
      <c r="A7" s="2339"/>
      <c r="B7" s="2339"/>
      <c r="C7" s="2342" t="s">
        <v>9357</v>
      </c>
      <c r="D7" s="2343"/>
      <c r="E7" s="2343"/>
      <c r="F7" s="2343"/>
      <c r="G7" s="2343"/>
      <c r="H7" s="2343"/>
      <c r="I7" s="2343"/>
      <c r="J7" s="2343"/>
      <c r="K7" s="2343"/>
      <c r="L7" s="2343"/>
      <c r="M7" s="2343"/>
      <c r="N7" s="2343"/>
      <c r="O7" s="2343"/>
      <c r="P7" s="2343"/>
      <c r="Q7" s="2339"/>
      <c r="R7" s="2343"/>
      <c r="S7" s="2343"/>
      <c r="T7" s="2343"/>
      <c r="U7" s="2343"/>
      <c r="V7" s="2342" t="s">
        <v>14076</v>
      </c>
      <c r="W7" s="2343"/>
      <c r="X7" s="2343"/>
      <c r="Y7" s="2343"/>
      <c r="Z7" s="2343"/>
      <c r="AA7" s="2343"/>
      <c r="AB7" s="2343"/>
      <c r="AC7" s="2343"/>
      <c r="AD7" s="2343"/>
      <c r="AE7" s="2343"/>
      <c r="AF7" s="1265"/>
      <c r="AG7" s="2343"/>
      <c r="AH7" s="2343"/>
      <c r="AI7" s="2343"/>
      <c r="AJ7" s="2343"/>
      <c r="AK7" s="2343"/>
      <c r="AL7" s="2342" t="s">
        <v>9358</v>
      </c>
      <c r="AM7" s="2343"/>
      <c r="AN7" s="2343"/>
      <c r="AO7" s="2343"/>
      <c r="AP7" s="2343"/>
      <c r="AQ7" s="2343"/>
      <c r="AR7" s="2343"/>
      <c r="AS7" s="1265"/>
      <c r="AT7" s="1265"/>
      <c r="AU7" s="1265"/>
      <c r="AV7" s="1265"/>
      <c r="AW7" s="1265"/>
      <c r="AX7" s="1265"/>
      <c r="AY7" s="1265"/>
      <c r="AZ7" s="1265"/>
      <c r="BA7" s="1265"/>
      <c r="BB7" s="1265"/>
      <c r="BC7" s="1265"/>
      <c r="BD7" s="3">
        <v>1</v>
      </c>
      <c r="BE7" s="10">
        <f>SUM(A244:BC244)+1</f>
        <v>56</v>
      </c>
      <c r="BF7" s="11" t="s">
        <v>17</v>
      </c>
    </row>
    <row r="8" spans="1:58" s="2341" customFormat="1" ht="30" customHeight="1">
      <c r="A8" s="2339"/>
      <c r="B8" s="2339"/>
      <c r="C8" s="2342" t="s">
        <v>14067</v>
      </c>
      <c r="D8" s="2344"/>
      <c r="E8" s="2344"/>
      <c r="F8" s="2344"/>
      <c r="G8" s="2344"/>
      <c r="H8" s="2344"/>
      <c r="I8" s="2344"/>
      <c r="J8" s="2344"/>
      <c r="K8" s="2344"/>
      <c r="L8" s="2343"/>
      <c r="M8" s="2343"/>
      <c r="N8" s="2343"/>
      <c r="O8" s="2343"/>
      <c r="P8" s="2343"/>
      <c r="Q8" s="2339"/>
      <c r="R8" s="2343"/>
      <c r="S8" s="2343"/>
      <c r="T8" s="2343"/>
      <c r="U8" s="2343"/>
      <c r="V8" s="2342" t="s">
        <v>14083</v>
      </c>
      <c r="W8" s="2344"/>
      <c r="X8" s="2344"/>
      <c r="Y8" s="2344"/>
      <c r="Z8" s="2344"/>
      <c r="AA8" s="2344"/>
      <c r="AB8" s="2344"/>
      <c r="AC8" s="2344"/>
      <c r="AD8" s="2344"/>
      <c r="AE8" s="2343"/>
      <c r="AF8" s="1265"/>
      <c r="AG8" s="2343"/>
      <c r="AH8" s="2343"/>
      <c r="AI8" s="2343"/>
      <c r="AJ8" s="2343"/>
      <c r="AK8" s="2343"/>
      <c r="AL8" s="2342" t="s">
        <v>14090</v>
      </c>
      <c r="AM8" s="2344"/>
      <c r="AN8" s="2344"/>
      <c r="AO8" s="2344"/>
      <c r="AP8" s="2344"/>
      <c r="AQ8" s="2344"/>
      <c r="AR8" s="2344"/>
      <c r="AS8" s="1265"/>
      <c r="AT8" s="1265"/>
      <c r="AU8" s="1265"/>
      <c r="AV8" s="1265"/>
      <c r="AW8" s="1265"/>
      <c r="AX8" s="1265"/>
      <c r="AY8" s="1265"/>
      <c r="AZ8" s="1265"/>
      <c r="BA8" s="1265"/>
      <c r="BB8" s="1265"/>
      <c r="BC8" s="1265"/>
      <c r="BD8" s="3">
        <v>1</v>
      </c>
    </row>
    <row r="9" spans="1:58" s="2341" customFormat="1" ht="30" customHeight="1">
      <c r="A9" s="2339"/>
      <c r="B9" s="2339"/>
      <c r="C9" s="2342" t="s">
        <v>14068</v>
      </c>
      <c r="D9" s="2344"/>
      <c r="E9" s="2344"/>
      <c r="F9" s="2344"/>
      <c r="G9" s="2344"/>
      <c r="H9" s="2344"/>
      <c r="I9" s="2344"/>
      <c r="J9" s="2344"/>
      <c r="K9" s="2344"/>
      <c r="L9" s="2343"/>
      <c r="M9" s="2343"/>
      <c r="N9" s="2343"/>
      <c r="O9" s="2343"/>
      <c r="P9" s="2343"/>
      <c r="Q9" s="2343"/>
      <c r="R9" s="2343"/>
      <c r="S9" s="2343"/>
      <c r="T9" s="2343"/>
      <c r="U9" s="2343"/>
      <c r="V9" s="2342" t="s">
        <v>14084</v>
      </c>
      <c r="W9" s="2344"/>
      <c r="X9" s="2344"/>
      <c r="Y9" s="2344"/>
      <c r="Z9" s="2344"/>
      <c r="AA9" s="2344"/>
      <c r="AB9" s="2344"/>
      <c r="AC9" s="2344"/>
      <c r="AD9" s="2344"/>
      <c r="AE9" s="2343"/>
      <c r="AF9" s="1265"/>
      <c r="AG9" s="2343"/>
      <c r="AH9" s="2343"/>
      <c r="AI9" s="2343"/>
      <c r="AJ9" s="2343"/>
      <c r="AK9" s="2343"/>
      <c r="AL9" s="2342" t="s">
        <v>14091</v>
      </c>
      <c r="AM9" s="2344"/>
      <c r="AN9" s="2344"/>
      <c r="AO9" s="2344"/>
      <c r="AP9" s="2344"/>
      <c r="AQ9" s="2344"/>
      <c r="AR9" s="2344"/>
      <c r="AS9" s="1265"/>
      <c r="AT9" s="1265"/>
      <c r="AU9" s="1265"/>
      <c r="AV9" s="1265"/>
      <c r="AW9" s="1265"/>
      <c r="AX9" s="1265"/>
      <c r="AY9" s="1265"/>
      <c r="AZ9" s="1265"/>
      <c r="BA9" s="1265"/>
      <c r="BB9" s="1265"/>
      <c r="BC9" s="1265"/>
      <c r="BD9" s="3">
        <v>1</v>
      </c>
    </row>
    <row r="10" spans="1:58" s="2341" customFormat="1" ht="30" customHeight="1">
      <c r="A10" s="2339"/>
      <c r="B10" s="2339"/>
      <c r="C10" s="2342"/>
      <c r="D10" s="2345"/>
      <c r="E10" s="2345"/>
      <c r="F10" s="2345"/>
      <c r="G10" s="2345"/>
      <c r="H10" s="2345"/>
      <c r="I10" s="2345"/>
      <c r="J10" s="2345"/>
      <c r="K10" s="2345"/>
      <c r="L10" s="2345"/>
      <c r="M10" s="2345"/>
      <c r="N10" s="2345"/>
      <c r="O10" s="2345"/>
      <c r="P10" s="2345"/>
      <c r="Q10" s="2345"/>
      <c r="R10" s="2345"/>
      <c r="S10" s="2345"/>
      <c r="T10" s="2345"/>
      <c r="U10" s="2345"/>
      <c r="V10" s="2342"/>
      <c r="W10" s="2345"/>
      <c r="X10" s="2345"/>
      <c r="Y10" s="2345"/>
      <c r="Z10" s="2345"/>
      <c r="AA10" s="2345"/>
      <c r="AB10" s="2345"/>
      <c r="AC10" s="2345"/>
      <c r="AD10" s="2345"/>
      <c r="AE10" s="2345"/>
      <c r="AF10" s="1265"/>
      <c r="AG10" s="2345"/>
      <c r="AH10" s="2345"/>
      <c r="AI10" s="2345"/>
      <c r="AJ10" s="2345"/>
      <c r="AK10" s="2345"/>
      <c r="AL10" s="2342"/>
      <c r="AM10" s="2345"/>
      <c r="AN10" s="2345"/>
      <c r="AO10" s="2345"/>
      <c r="AP10" s="2345"/>
      <c r="AQ10" s="2345"/>
      <c r="AR10" s="2345"/>
      <c r="AS10" s="1265"/>
      <c r="AT10" s="1265"/>
      <c r="AU10" s="1265"/>
      <c r="AV10" s="1265"/>
      <c r="AW10" s="1265"/>
      <c r="AX10" s="1265"/>
      <c r="AY10" s="1265"/>
      <c r="AZ10" s="1265"/>
      <c r="BA10" s="1265"/>
      <c r="BB10" s="1265"/>
      <c r="BC10" s="1265"/>
      <c r="BD10" s="3">
        <v>1</v>
      </c>
    </row>
    <row r="11" spans="1:58" s="2341" customFormat="1" ht="30" customHeight="1">
      <c r="A11" s="2339"/>
      <c r="B11" s="2339"/>
      <c r="C11" s="2342" t="s">
        <v>14069</v>
      </c>
      <c r="D11" s="2345"/>
      <c r="E11" s="2345"/>
      <c r="F11" s="2345"/>
      <c r="G11" s="2345"/>
      <c r="H11" s="2345"/>
      <c r="I11" s="2345"/>
      <c r="J11" s="2345"/>
      <c r="K11" s="2345"/>
      <c r="L11" s="2345"/>
      <c r="M11" s="2345"/>
      <c r="N11" s="2345"/>
      <c r="O11" s="2345"/>
      <c r="P11" s="2345"/>
      <c r="Q11" s="2345"/>
      <c r="R11" s="2345"/>
      <c r="S11" s="2345"/>
      <c r="T11" s="2345"/>
      <c r="U11" s="2345"/>
      <c r="V11" s="2342" t="s">
        <v>14085</v>
      </c>
      <c r="W11" s="2345"/>
      <c r="X11" s="2345"/>
      <c r="Y11" s="2345"/>
      <c r="Z11" s="2345"/>
      <c r="AA11" s="2345"/>
      <c r="AB11" s="2345"/>
      <c r="AC11" s="2345"/>
      <c r="AD11" s="2345"/>
      <c r="AE11" s="2345"/>
      <c r="AF11" s="1265"/>
      <c r="AG11" s="2345"/>
      <c r="AH11" s="2345"/>
      <c r="AI11" s="2345"/>
      <c r="AJ11" s="2345"/>
      <c r="AK11" s="2345"/>
      <c r="AL11" s="2342" t="s">
        <v>14092</v>
      </c>
      <c r="AM11" s="2345"/>
      <c r="AN11" s="2345"/>
      <c r="AO11" s="2345"/>
      <c r="AP11" s="2345"/>
      <c r="AQ11" s="2345"/>
      <c r="AR11" s="2345"/>
      <c r="AS11" s="1265"/>
      <c r="AT11" s="1265"/>
      <c r="AU11" s="1265"/>
      <c r="AV11" s="1265"/>
      <c r="AW11" s="1265"/>
      <c r="AX11" s="1265"/>
      <c r="AY11" s="1265"/>
      <c r="AZ11" s="1265"/>
      <c r="BA11" s="1265"/>
      <c r="BB11" s="1265"/>
      <c r="BC11" s="1265"/>
      <c r="BD11" s="3">
        <v>1</v>
      </c>
    </row>
    <row r="12" spans="1:58" s="2341" customFormat="1" ht="30" customHeight="1">
      <c r="A12" s="2339"/>
      <c r="B12" s="2339"/>
      <c r="C12" s="2342" t="s">
        <v>14070</v>
      </c>
      <c r="D12" s="2345"/>
      <c r="E12" s="2345"/>
      <c r="F12" s="2345"/>
      <c r="G12" s="2345"/>
      <c r="H12" s="2345"/>
      <c r="I12" s="2345"/>
      <c r="J12" s="2345"/>
      <c r="K12" s="2345"/>
      <c r="L12" s="2345"/>
      <c r="M12" s="2345"/>
      <c r="N12" s="2345"/>
      <c r="O12" s="2345"/>
      <c r="P12" s="2345"/>
      <c r="Q12" s="2345"/>
      <c r="R12" s="2345"/>
      <c r="S12" s="2345"/>
      <c r="T12" s="2345"/>
      <c r="U12" s="2345"/>
      <c r="V12" s="2342" t="s">
        <v>14086</v>
      </c>
      <c r="W12" s="2345"/>
      <c r="X12" s="2345"/>
      <c r="Y12" s="2345"/>
      <c r="Z12" s="2345"/>
      <c r="AA12" s="2345"/>
      <c r="AB12" s="2345"/>
      <c r="AC12" s="2345"/>
      <c r="AD12" s="2345"/>
      <c r="AE12" s="2345"/>
      <c r="AF12" s="1265"/>
      <c r="AG12" s="2345"/>
      <c r="AH12" s="2345"/>
      <c r="AI12" s="2345"/>
      <c r="AJ12" s="2345"/>
      <c r="AK12" s="2345"/>
      <c r="AL12" s="2342" t="s">
        <v>14093</v>
      </c>
      <c r="AM12" s="2345"/>
      <c r="AN12" s="2345"/>
      <c r="AO12" s="2345"/>
      <c r="AP12" s="2345"/>
      <c r="AQ12" s="2345"/>
      <c r="AR12" s="2345"/>
      <c r="AS12" s="1265"/>
      <c r="AT12" s="1265"/>
      <c r="AU12" s="1265"/>
      <c r="AV12" s="1265"/>
      <c r="AW12" s="1265"/>
      <c r="AX12" s="1265"/>
      <c r="AY12" s="1265"/>
      <c r="AZ12" s="1265"/>
      <c r="BA12" s="1265"/>
      <c r="BB12" s="1265"/>
      <c r="BC12" s="1265"/>
      <c r="BD12" s="3">
        <v>1</v>
      </c>
    </row>
    <row r="13" spans="1:58" s="2341" customFormat="1" ht="30" customHeight="1">
      <c r="A13" s="2339"/>
      <c r="B13" s="2339"/>
      <c r="C13" s="2342"/>
      <c r="D13" s="2345"/>
      <c r="E13" s="2345"/>
      <c r="F13" s="2345"/>
      <c r="G13" s="2345"/>
      <c r="H13" s="2345"/>
      <c r="I13" s="2345"/>
      <c r="J13" s="2345"/>
      <c r="K13" s="2345"/>
      <c r="L13" s="2345"/>
      <c r="M13" s="2345"/>
      <c r="N13" s="2345"/>
      <c r="O13" s="2345"/>
      <c r="P13" s="2345"/>
      <c r="Q13" s="2345"/>
      <c r="R13" s="2345"/>
      <c r="S13" s="2345"/>
      <c r="T13" s="2345"/>
      <c r="U13" s="2345"/>
      <c r="V13" s="2342"/>
      <c r="W13" s="2345"/>
      <c r="X13" s="2345"/>
      <c r="Y13" s="2345"/>
      <c r="Z13" s="2345"/>
      <c r="AA13" s="2345"/>
      <c r="AB13" s="2345"/>
      <c r="AC13" s="2345"/>
      <c r="AD13" s="2345"/>
      <c r="AE13" s="2345"/>
      <c r="AF13" s="1265"/>
      <c r="AG13" s="2345"/>
      <c r="AH13" s="2345"/>
      <c r="AI13" s="2345"/>
      <c r="AJ13" s="2345"/>
      <c r="AK13" s="2345"/>
      <c r="AL13" s="2342"/>
      <c r="AM13" s="2345"/>
      <c r="AN13" s="2345"/>
      <c r="AO13" s="2345"/>
      <c r="AP13" s="2345"/>
      <c r="AQ13" s="2345"/>
      <c r="AR13" s="2345"/>
      <c r="AS13" s="1265"/>
      <c r="AT13" s="1265"/>
      <c r="AU13" s="1265"/>
      <c r="AV13" s="1265"/>
      <c r="AW13" s="1265"/>
      <c r="AX13" s="1265"/>
      <c r="AY13" s="1265"/>
      <c r="AZ13" s="1265"/>
      <c r="BA13" s="1265"/>
      <c r="BB13" s="1265"/>
      <c r="BC13" s="1265"/>
      <c r="BD13" s="3">
        <v>1</v>
      </c>
    </row>
    <row r="14" spans="1:58" s="2341" customFormat="1" ht="30" customHeight="1">
      <c r="A14" s="2339"/>
      <c r="B14" s="2339"/>
      <c r="C14" s="2342" t="s">
        <v>14074</v>
      </c>
      <c r="D14" s="2345"/>
      <c r="E14" s="2345"/>
      <c r="F14" s="2345"/>
      <c r="G14" s="2345"/>
      <c r="H14" s="2345"/>
      <c r="I14" s="2345"/>
      <c r="J14" s="2345"/>
      <c r="K14" s="2345"/>
      <c r="L14" s="2345"/>
      <c r="M14" s="2345"/>
      <c r="N14" s="2345"/>
      <c r="O14" s="2345"/>
      <c r="P14" s="2345"/>
      <c r="Q14" s="2345"/>
      <c r="R14" s="2345"/>
      <c r="S14" s="2345"/>
      <c r="T14" s="2345"/>
      <c r="U14" s="2345"/>
      <c r="V14" s="2342" t="s">
        <v>14077</v>
      </c>
      <c r="W14" s="2345"/>
      <c r="X14" s="2345"/>
      <c r="Y14" s="2345"/>
      <c r="Z14" s="2345"/>
      <c r="AA14" s="2345"/>
      <c r="AB14" s="2345"/>
      <c r="AC14" s="2345"/>
      <c r="AD14" s="2345"/>
      <c r="AE14" s="2345"/>
      <c r="AF14" s="1265"/>
      <c r="AG14" s="2345"/>
      <c r="AH14" s="2345"/>
      <c r="AI14" s="2345"/>
      <c r="AJ14" s="2345"/>
      <c r="AK14" s="2345"/>
      <c r="AL14" s="2342" t="s">
        <v>14081</v>
      </c>
      <c r="AM14" s="2345"/>
      <c r="AN14" s="2345"/>
      <c r="AO14" s="2345"/>
      <c r="AP14" s="2345"/>
      <c r="AQ14" s="2345"/>
      <c r="AR14" s="2345"/>
      <c r="AS14" s="1265"/>
      <c r="AT14" s="1265"/>
      <c r="AU14" s="1265"/>
      <c r="AV14" s="1265"/>
      <c r="AW14" s="1265"/>
      <c r="AX14" s="1265"/>
      <c r="AY14" s="1265"/>
      <c r="AZ14" s="1265"/>
      <c r="BA14" s="1265"/>
      <c r="BB14" s="1265"/>
      <c r="BC14" s="1265"/>
      <c r="BD14" s="3">
        <v>1</v>
      </c>
    </row>
    <row r="15" spans="1:58" s="2341" customFormat="1" ht="30" customHeight="1">
      <c r="A15" s="2339"/>
      <c r="B15" s="2339"/>
      <c r="C15" s="2342" t="s">
        <v>14071</v>
      </c>
      <c r="D15" s="2345"/>
      <c r="E15" s="2345"/>
      <c r="F15" s="2345"/>
      <c r="G15" s="2345"/>
      <c r="H15" s="2345"/>
      <c r="I15" s="2345"/>
      <c r="J15" s="2345"/>
      <c r="K15" s="2345"/>
      <c r="L15" s="2345"/>
      <c r="M15" s="2345"/>
      <c r="N15" s="2345"/>
      <c r="O15" s="2345"/>
      <c r="P15" s="2345"/>
      <c r="Q15" s="2345"/>
      <c r="R15" s="2345"/>
      <c r="S15" s="2345"/>
      <c r="T15" s="2345"/>
      <c r="U15" s="2345"/>
      <c r="V15" s="2342" t="s">
        <v>14078</v>
      </c>
      <c r="W15" s="2345"/>
      <c r="X15" s="2345"/>
      <c r="Y15" s="2345"/>
      <c r="Z15" s="2345"/>
      <c r="AA15" s="2345"/>
      <c r="AB15" s="2345"/>
      <c r="AC15" s="2345"/>
      <c r="AD15" s="2345"/>
      <c r="AE15" s="2345"/>
      <c r="AF15" s="1265"/>
      <c r="AG15" s="2345"/>
      <c r="AH15" s="2345"/>
      <c r="AI15" s="2345"/>
      <c r="AJ15" s="2345"/>
      <c r="AK15" s="2345"/>
      <c r="AL15" s="2342" t="s">
        <v>14082</v>
      </c>
      <c r="AM15" s="2345"/>
      <c r="AN15" s="2345"/>
      <c r="AO15" s="2345"/>
      <c r="AP15" s="2345"/>
      <c r="AQ15" s="2345"/>
      <c r="AR15" s="2345"/>
      <c r="AS15" s="1265"/>
      <c r="AT15" s="1265"/>
      <c r="AU15" s="1265"/>
      <c r="AV15" s="1265"/>
      <c r="AW15" s="1265"/>
      <c r="AX15" s="1265"/>
      <c r="AY15" s="1265"/>
      <c r="AZ15" s="1265"/>
      <c r="BA15" s="1265"/>
      <c r="BB15" s="1265"/>
      <c r="BC15" s="1265"/>
      <c r="BD15" s="3">
        <v>1</v>
      </c>
    </row>
    <row r="16" spans="1:58" s="2341" customFormat="1" ht="30" customHeight="1">
      <c r="A16" s="2339"/>
      <c r="B16" s="2339"/>
      <c r="C16" s="2342"/>
      <c r="D16" s="2345"/>
      <c r="E16" s="2345"/>
      <c r="F16" s="2345"/>
      <c r="G16" s="2345"/>
      <c r="H16" s="2345"/>
      <c r="I16" s="2345"/>
      <c r="J16" s="2345"/>
      <c r="K16" s="2345"/>
      <c r="L16" s="2345"/>
      <c r="M16" s="2345"/>
      <c r="N16" s="2345"/>
      <c r="O16" s="2345"/>
      <c r="P16" s="2345"/>
      <c r="Q16" s="2345"/>
      <c r="R16" s="2345"/>
      <c r="S16" s="2345"/>
      <c r="T16" s="2345"/>
      <c r="U16" s="2345"/>
      <c r="V16" s="2342"/>
      <c r="W16" s="2345"/>
      <c r="X16" s="2345"/>
      <c r="Y16" s="2345"/>
      <c r="Z16" s="2345"/>
      <c r="AA16" s="2345"/>
      <c r="AB16" s="2345"/>
      <c r="AC16" s="2345"/>
      <c r="AD16" s="2345"/>
      <c r="AE16" s="2345"/>
      <c r="AF16" s="1265"/>
      <c r="AG16" s="2345"/>
      <c r="AH16" s="2345"/>
      <c r="AI16" s="2345"/>
      <c r="AJ16" s="2345"/>
      <c r="AK16" s="2345"/>
      <c r="AL16" s="2342"/>
      <c r="AM16" s="2345"/>
      <c r="AN16" s="2345"/>
      <c r="AO16" s="2345"/>
      <c r="AP16" s="2345"/>
      <c r="AQ16" s="2345"/>
      <c r="AR16" s="2345"/>
      <c r="AS16" s="1265"/>
      <c r="AT16" s="1265"/>
      <c r="AU16" s="1265"/>
      <c r="AV16" s="1265"/>
      <c r="AW16" s="1265"/>
      <c r="AX16" s="1265"/>
      <c r="AY16" s="1265"/>
      <c r="AZ16" s="1265"/>
      <c r="BA16" s="1265"/>
      <c r="BB16" s="1265"/>
      <c r="BC16" s="1265"/>
      <c r="BD16" s="3">
        <v>1</v>
      </c>
    </row>
    <row r="17" spans="1:56" s="2341" customFormat="1" ht="30" customHeight="1">
      <c r="A17" s="2339"/>
      <c r="B17" s="2339"/>
      <c r="C17" s="2342" t="s">
        <v>14072</v>
      </c>
      <c r="D17" s="2345"/>
      <c r="E17" s="2345"/>
      <c r="F17" s="2345"/>
      <c r="G17" s="2345"/>
      <c r="H17" s="2345"/>
      <c r="I17" s="2345"/>
      <c r="J17" s="2345"/>
      <c r="K17" s="2345"/>
      <c r="L17" s="2345"/>
      <c r="M17" s="2345"/>
      <c r="N17" s="2345"/>
      <c r="O17" s="2345"/>
      <c r="P17" s="2345"/>
      <c r="Q17" s="2345"/>
      <c r="R17" s="2345"/>
      <c r="S17" s="2345"/>
      <c r="T17" s="2345"/>
      <c r="U17" s="2345"/>
      <c r="V17" s="2342" t="s">
        <v>14087</v>
      </c>
      <c r="W17" s="2345"/>
      <c r="X17" s="2345"/>
      <c r="Y17" s="2345"/>
      <c r="Z17" s="2345"/>
      <c r="AA17" s="2345"/>
      <c r="AB17" s="2345"/>
      <c r="AC17" s="2345"/>
      <c r="AD17" s="2345"/>
      <c r="AE17" s="2345"/>
      <c r="AF17" s="1265"/>
      <c r="AG17" s="2345"/>
      <c r="AH17" s="2345"/>
      <c r="AI17" s="2345"/>
      <c r="AJ17" s="2345"/>
      <c r="AK17" s="2345"/>
      <c r="AL17" s="2342" t="s">
        <v>14095</v>
      </c>
      <c r="AM17" s="2345"/>
      <c r="AN17" s="2345"/>
      <c r="AO17" s="2345"/>
      <c r="AP17" s="2345"/>
      <c r="AQ17" s="2345"/>
      <c r="AR17" s="2345"/>
      <c r="AS17" s="1265"/>
      <c r="AT17" s="1265"/>
      <c r="AU17" s="1265"/>
      <c r="AV17" s="1265"/>
      <c r="AW17" s="1265"/>
      <c r="AX17" s="1265"/>
      <c r="AY17" s="1265"/>
      <c r="AZ17" s="1265"/>
      <c r="BA17" s="1265"/>
      <c r="BB17" s="1265"/>
      <c r="BC17" s="1265"/>
      <c r="BD17" s="3">
        <v>1</v>
      </c>
    </row>
    <row r="18" spans="1:56" s="2341" customFormat="1" ht="30" customHeight="1">
      <c r="A18" s="2339"/>
      <c r="B18" s="2339"/>
      <c r="C18" s="2342" t="s">
        <v>14073</v>
      </c>
      <c r="D18" s="2345"/>
      <c r="E18" s="2345"/>
      <c r="F18" s="2345"/>
      <c r="G18" s="2345"/>
      <c r="H18" s="2345"/>
      <c r="I18" s="2345"/>
      <c r="J18" s="2345"/>
      <c r="K18" s="2345"/>
      <c r="L18" s="2345"/>
      <c r="M18" s="2345"/>
      <c r="N18" s="2345"/>
      <c r="O18" s="2345"/>
      <c r="P18" s="2345"/>
      <c r="Q18" s="2345"/>
      <c r="R18" s="2345"/>
      <c r="S18" s="2345"/>
      <c r="T18" s="2345"/>
      <c r="U18" s="2345"/>
      <c r="V18" s="2342" t="s">
        <v>14088</v>
      </c>
      <c r="W18" s="2345"/>
      <c r="X18" s="2345"/>
      <c r="Y18" s="2345"/>
      <c r="Z18" s="2345"/>
      <c r="AA18" s="2345"/>
      <c r="AB18" s="2345"/>
      <c r="AC18" s="2345"/>
      <c r="AD18" s="2345"/>
      <c r="AE18" s="2345"/>
      <c r="AF18" s="1265"/>
      <c r="AG18" s="2345"/>
      <c r="AH18" s="2345"/>
      <c r="AI18" s="2345"/>
      <c r="AJ18" s="2345"/>
      <c r="AK18" s="2345"/>
      <c r="AL18" s="2342" t="s">
        <v>14096</v>
      </c>
      <c r="AM18" s="2345"/>
      <c r="AN18" s="2345"/>
      <c r="AO18" s="2345"/>
      <c r="AP18" s="2345"/>
      <c r="AQ18" s="2345"/>
      <c r="AR18" s="2345"/>
      <c r="AS18" s="1265"/>
      <c r="AT18" s="1265"/>
      <c r="AU18" s="1265"/>
      <c r="AV18" s="1265"/>
      <c r="AW18" s="1265"/>
      <c r="AX18" s="1265"/>
      <c r="AY18" s="1265"/>
      <c r="AZ18" s="1265"/>
      <c r="BA18" s="1265"/>
      <c r="BB18" s="1265"/>
      <c r="BC18" s="1265"/>
      <c r="BD18" s="3">
        <v>1</v>
      </c>
    </row>
    <row r="19" spans="1:56" s="2341" customFormat="1" ht="30" customHeight="1">
      <c r="A19" s="2339"/>
      <c r="B19" s="2339"/>
      <c r="C19" s="2342"/>
      <c r="D19" s="2345"/>
      <c r="E19" s="2345"/>
      <c r="F19" s="2345"/>
      <c r="G19" s="2345"/>
      <c r="H19" s="2345"/>
      <c r="I19" s="2345"/>
      <c r="J19" s="2345"/>
      <c r="K19" s="2345"/>
      <c r="L19" s="2345"/>
      <c r="M19" s="2345"/>
      <c r="N19" s="2345"/>
      <c r="O19" s="2345"/>
      <c r="P19" s="2345"/>
      <c r="Q19" s="2345"/>
      <c r="R19" s="2345"/>
      <c r="S19" s="2345"/>
      <c r="T19" s="2345"/>
      <c r="U19" s="2345"/>
      <c r="V19" s="2342"/>
      <c r="W19" s="2345"/>
      <c r="X19" s="2345"/>
      <c r="Y19" s="2345"/>
      <c r="Z19" s="2345"/>
      <c r="AA19" s="2345"/>
      <c r="AB19" s="2345"/>
      <c r="AC19" s="2345"/>
      <c r="AD19" s="2345"/>
      <c r="AE19" s="2345"/>
      <c r="AF19" s="1265"/>
      <c r="AG19" s="2345"/>
      <c r="AH19" s="2345"/>
      <c r="AI19" s="2345"/>
      <c r="AJ19" s="2345"/>
      <c r="AK19" s="2345"/>
      <c r="AL19" s="2342"/>
      <c r="AM19" s="2345"/>
      <c r="AN19" s="2345"/>
      <c r="AO19" s="2345"/>
      <c r="AP19" s="2345"/>
      <c r="AQ19" s="2345"/>
      <c r="AR19" s="2345"/>
      <c r="AS19" s="1265"/>
      <c r="AT19" s="1265"/>
      <c r="AU19" s="1265"/>
      <c r="AV19" s="1265"/>
      <c r="AW19" s="1265"/>
      <c r="AX19" s="1265"/>
      <c r="AY19" s="1265"/>
      <c r="AZ19" s="1265"/>
      <c r="BA19" s="1265"/>
      <c r="BB19" s="1265"/>
      <c r="BC19" s="1265"/>
      <c r="BD19" s="3">
        <v>1</v>
      </c>
    </row>
    <row r="20" spans="1:56" s="2341" customFormat="1" ht="30" customHeight="1">
      <c r="A20" s="2339"/>
      <c r="B20" s="2339"/>
      <c r="C20" s="2348" t="s">
        <v>14223</v>
      </c>
      <c r="D20" s="2345"/>
      <c r="E20" s="2345"/>
      <c r="F20" s="2345"/>
      <c r="G20" s="2345"/>
      <c r="H20" s="2345"/>
      <c r="I20" s="2345"/>
      <c r="J20" s="2345"/>
      <c r="K20" s="2345"/>
      <c r="L20" s="2345"/>
      <c r="M20" s="2345"/>
      <c r="N20" s="2345"/>
      <c r="O20" s="2345"/>
      <c r="P20" s="2345"/>
      <c r="Q20" s="2345"/>
      <c r="R20" s="2345"/>
      <c r="S20" s="2345"/>
      <c r="T20" s="2345"/>
      <c r="U20" s="2345"/>
      <c r="V20" s="2348" t="s">
        <v>14224</v>
      </c>
      <c r="W20" s="2345"/>
      <c r="X20" s="2345"/>
      <c r="Y20" s="2345"/>
      <c r="Z20" s="2345"/>
      <c r="AA20" s="2345"/>
      <c r="AB20" s="2345"/>
      <c r="AC20" s="2345"/>
      <c r="AD20" s="2345"/>
      <c r="AE20" s="2345"/>
      <c r="AF20" s="1265"/>
      <c r="AG20" s="2345"/>
      <c r="AH20" s="2345"/>
      <c r="AI20" s="2345"/>
      <c r="AJ20" s="2345"/>
      <c r="AK20" s="2345"/>
      <c r="AL20" s="2348" t="s">
        <v>14225</v>
      </c>
      <c r="AM20" s="2345"/>
      <c r="AN20" s="2345"/>
      <c r="AO20" s="2345"/>
      <c r="AP20" s="2345"/>
      <c r="AQ20" s="2345"/>
      <c r="AR20" s="2345"/>
      <c r="AS20" s="1265"/>
      <c r="AT20" s="1265"/>
      <c r="AU20" s="1265"/>
      <c r="AV20" s="1265"/>
      <c r="AW20" s="1265"/>
      <c r="AX20" s="1265"/>
      <c r="AY20" s="1265"/>
      <c r="AZ20" s="1265"/>
      <c r="BA20" s="1265"/>
      <c r="BB20" s="1265"/>
      <c r="BC20" s="1265"/>
      <c r="BD20" s="3">
        <v>1</v>
      </c>
    </row>
    <row r="21" spans="1:56" s="2341" customFormat="1" ht="30" customHeight="1">
      <c r="A21" s="2339"/>
      <c r="B21" s="2339"/>
      <c r="C21" s="2348" t="s">
        <v>14226</v>
      </c>
      <c r="D21" s="2345"/>
      <c r="E21" s="2345"/>
      <c r="F21" s="2345"/>
      <c r="G21" s="2345"/>
      <c r="H21" s="2345"/>
      <c r="I21" s="2345"/>
      <c r="J21" s="2345"/>
      <c r="K21" s="2345"/>
      <c r="L21" s="2345"/>
      <c r="M21" s="2345"/>
      <c r="N21" s="2345"/>
      <c r="O21" s="2345"/>
      <c r="P21" s="2345"/>
      <c r="Q21" s="2345"/>
      <c r="R21" s="2345"/>
      <c r="S21" s="2345"/>
      <c r="T21" s="2345"/>
      <c r="U21" s="2345"/>
      <c r="V21" s="2348" t="s">
        <v>14227</v>
      </c>
      <c r="W21" s="2345"/>
      <c r="X21" s="2345"/>
      <c r="Y21" s="2345"/>
      <c r="Z21" s="2345"/>
      <c r="AA21" s="2345"/>
      <c r="AB21" s="2345"/>
      <c r="AC21" s="2345"/>
      <c r="AD21" s="2345"/>
      <c r="AE21" s="2345"/>
      <c r="AF21" s="1265"/>
      <c r="AG21" s="2345"/>
      <c r="AH21" s="2345"/>
      <c r="AI21" s="2345"/>
      <c r="AJ21" s="2345"/>
      <c r="AK21" s="2345"/>
      <c r="AL21" s="2348" t="s">
        <v>14228</v>
      </c>
      <c r="AM21" s="2345"/>
      <c r="AN21" s="2345"/>
      <c r="AO21" s="2345"/>
      <c r="AP21" s="2345"/>
      <c r="AQ21" s="2345"/>
      <c r="AR21" s="2345"/>
      <c r="AS21" s="1265"/>
      <c r="AT21" s="1265"/>
      <c r="AU21" s="1265"/>
      <c r="AV21" s="1265"/>
      <c r="AW21" s="1265"/>
      <c r="AX21" s="1265"/>
      <c r="AY21" s="1265"/>
      <c r="AZ21" s="1265"/>
      <c r="BA21" s="1265"/>
      <c r="BB21" s="1265"/>
      <c r="BC21" s="1265"/>
      <c r="BD21" s="3"/>
    </row>
    <row r="22" spans="1:56" s="2341" customFormat="1" ht="30" customHeight="1">
      <c r="A22" s="2339"/>
      <c r="B22" s="2339"/>
      <c r="C22" s="2348" t="s">
        <v>14229</v>
      </c>
      <c r="D22" s="2345"/>
      <c r="E22" s="2345"/>
      <c r="F22" s="2345"/>
      <c r="G22" s="2345"/>
      <c r="H22" s="2345"/>
      <c r="I22" s="2345"/>
      <c r="J22" s="2345"/>
      <c r="K22" s="2345"/>
      <c r="L22" s="2345"/>
      <c r="M22" s="2345"/>
      <c r="N22" s="2345"/>
      <c r="O22" s="2345"/>
      <c r="P22" s="2345"/>
      <c r="Q22" s="2345"/>
      <c r="R22" s="2345"/>
      <c r="S22" s="2345"/>
      <c r="T22" s="2345"/>
      <c r="U22" s="2345"/>
      <c r="V22" s="2348" t="s">
        <v>14230</v>
      </c>
      <c r="W22" s="2345"/>
      <c r="X22" s="2345"/>
      <c r="Y22" s="2345"/>
      <c r="Z22" s="2345"/>
      <c r="AA22" s="2345"/>
      <c r="AB22" s="2345"/>
      <c r="AC22" s="2345"/>
      <c r="AD22" s="2345"/>
      <c r="AE22" s="2345"/>
      <c r="AF22" s="1265"/>
      <c r="AG22" s="2345"/>
      <c r="AH22" s="2345"/>
      <c r="AI22" s="2345"/>
      <c r="AJ22" s="2345"/>
      <c r="AK22" s="2345"/>
      <c r="AL22" s="2348" t="s">
        <v>14231</v>
      </c>
      <c r="AM22" s="2345"/>
      <c r="AN22" s="2345"/>
      <c r="AO22" s="2345"/>
      <c r="AP22" s="2345"/>
      <c r="AQ22" s="2345"/>
      <c r="AR22" s="2345"/>
      <c r="AS22" s="1265"/>
      <c r="AT22" s="1265"/>
      <c r="AU22" s="1265"/>
      <c r="AV22" s="1265"/>
      <c r="AW22" s="1265"/>
      <c r="AX22" s="1265"/>
      <c r="AY22" s="1265"/>
      <c r="AZ22" s="1265"/>
      <c r="BA22" s="1265"/>
      <c r="BB22" s="1265"/>
      <c r="BC22" s="1265"/>
      <c r="BD22" s="3"/>
    </row>
    <row r="23" spans="1:56" s="2341" customFormat="1" ht="30" customHeight="1">
      <c r="A23" s="2339"/>
      <c r="B23" s="2339"/>
      <c r="C23" s="2348"/>
      <c r="D23" s="2345"/>
      <c r="E23" s="2345"/>
      <c r="F23" s="2345"/>
      <c r="G23" s="2345"/>
      <c r="H23" s="2345"/>
      <c r="I23" s="2345"/>
      <c r="J23" s="2345"/>
      <c r="K23" s="2345"/>
      <c r="L23" s="2345"/>
      <c r="M23" s="2345"/>
      <c r="N23" s="2345"/>
      <c r="O23" s="2345"/>
      <c r="P23" s="2345"/>
      <c r="Q23" s="2345"/>
      <c r="R23" s="2345"/>
      <c r="S23" s="2345"/>
      <c r="T23" s="2345"/>
      <c r="U23" s="2345"/>
      <c r="V23" s="2348"/>
      <c r="W23" s="2345"/>
      <c r="X23" s="2345"/>
      <c r="Y23" s="2345"/>
      <c r="Z23" s="2345"/>
      <c r="AA23" s="2345"/>
      <c r="AB23" s="2345"/>
      <c r="AC23" s="2345"/>
      <c r="AD23" s="2345"/>
      <c r="AE23" s="2345"/>
      <c r="AF23" s="1265"/>
      <c r="AG23" s="2345"/>
      <c r="AH23" s="2345"/>
      <c r="AI23" s="2345"/>
      <c r="AJ23" s="2345"/>
      <c r="AK23" s="2345"/>
      <c r="AL23" s="2348"/>
      <c r="AM23" s="2345"/>
      <c r="AN23" s="2345"/>
      <c r="AO23" s="2345"/>
      <c r="AP23" s="2345"/>
      <c r="AQ23" s="2345"/>
      <c r="AR23" s="2345"/>
      <c r="AS23" s="1265"/>
      <c r="AT23" s="1265"/>
      <c r="AU23" s="1265"/>
      <c r="AV23" s="1265"/>
      <c r="AW23" s="1265"/>
      <c r="AX23" s="1265"/>
      <c r="AY23" s="1265"/>
      <c r="AZ23" s="1265"/>
      <c r="BA23" s="1265"/>
      <c r="BB23" s="1265"/>
      <c r="BC23" s="1265"/>
      <c r="BD23" s="3"/>
    </row>
    <row r="24" spans="1:56" s="2341" customFormat="1" ht="30" customHeight="1">
      <c r="A24" s="2339"/>
      <c r="B24" s="2339"/>
      <c r="C24" s="2348" t="s">
        <v>14232</v>
      </c>
      <c r="D24" s="2345"/>
      <c r="E24" s="2345"/>
      <c r="F24" s="2345"/>
      <c r="G24" s="2345"/>
      <c r="H24" s="2345"/>
      <c r="I24" s="2345"/>
      <c r="J24" s="2345"/>
      <c r="K24" s="2345"/>
      <c r="L24" s="2345"/>
      <c r="M24" s="2345"/>
      <c r="N24" s="2345"/>
      <c r="O24" s="2345"/>
      <c r="P24" s="2345"/>
      <c r="Q24" s="2345"/>
      <c r="R24" s="2345"/>
      <c r="S24" s="2345"/>
      <c r="T24" s="2345"/>
      <c r="U24" s="2345"/>
      <c r="V24" s="2348" t="s">
        <v>14233</v>
      </c>
      <c r="W24" s="2345"/>
      <c r="X24" s="2345"/>
      <c r="Y24" s="2345"/>
      <c r="Z24" s="2345"/>
      <c r="AA24" s="2345"/>
      <c r="AB24" s="2345"/>
      <c r="AC24" s="2345"/>
      <c r="AD24" s="2345"/>
      <c r="AE24" s="2345"/>
      <c r="AF24" s="1265"/>
      <c r="AG24" s="2345"/>
      <c r="AH24" s="2345"/>
      <c r="AI24" s="2345"/>
      <c r="AJ24" s="2345"/>
      <c r="AK24" s="2345"/>
      <c r="AL24" s="2348" t="s">
        <v>14234</v>
      </c>
      <c r="AM24" s="2345"/>
      <c r="AN24" s="2345"/>
      <c r="AO24" s="2345"/>
      <c r="AP24" s="2345"/>
      <c r="AQ24" s="2345"/>
      <c r="AR24" s="2345"/>
      <c r="AS24" s="1265"/>
      <c r="AT24" s="1265"/>
      <c r="AU24" s="1265"/>
      <c r="AV24" s="1265"/>
      <c r="AW24" s="1265"/>
      <c r="AX24" s="1265"/>
      <c r="AY24" s="1265"/>
      <c r="AZ24" s="1265"/>
      <c r="BA24" s="1265"/>
      <c r="BB24" s="1265"/>
      <c r="BC24" s="1265"/>
      <c r="BD24" s="3"/>
    </row>
    <row r="25" spans="1:56" s="2341" customFormat="1" ht="30" customHeight="1">
      <c r="A25" s="2339"/>
      <c r="B25" s="2339"/>
      <c r="C25" s="2348" t="s">
        <v>14235</v>
      </c>
      <c r="D25" s="2345"/>
      <c r="E25" s="2345"/>
      <c r="F25" s="2345"/>
      <c r="G25" s="2345"/>
      <c r="H25" s="2345"/>
      <c r="I25" s="2345"/>
      <c r="J25" s="2345"/>
      <c r="K25" s="2345"/>
      <c r="L25" s="2345"/>
      <c r="M25" s="2345"/>
      <c r="N25" s="2345"/>
      <c r="O25" s="2345"/>
      <c r="P25" s="2345"/>
      <c r="Q25" s="2345"/>
      <c r="R25" s="2345"/>
      <c r="S25" s="2345"/>
      <c r="T25" s="2345"/>
      <c r="U25" s="2345"/>
      <c r="V25" s="2348" t="s">
        <v>14236</v>
      </c>
      <c r="W25" s="2345"/>
      <c r="X25" s="2345"/>
      <c r="Y25" s="2345"/>
      <c r="Z25" s="2345"/>
      <c r="AA25" s="2345"/>
      <c r="AB25" s="2345"/>
      <c r="AC25" s="2345"/>
      <c r="AD25" s="2345"/>
      <c r="AE25" s="2345"/>
      <c r="AF25" s="1265"/>
      <c r="AG25" s="2345"/>
      <c r="AH25" s="2345"/>
      <c r="AI25" s="2345"/>
      <c r="AJ25" s="2345"/>
      <c r="AK25" s="2345"/>
      <c r="AL25" s="2348" t="s">
        <v>14237</v>
      </c>
      <c r="AM25" s="2345"/>
      <c r="AN25" s="2345"/>
      <c r="AO25" s="2345"/>
      <c r="AP25" s="2345"/>
      <c r="AQ25" s="2345"/>
      <c r="AR25" s="2345"/>
      <c r="AS25" s="1265"/>
      <c r="AT25" s="1265"/>
      <c r="AU25" s="1265"/>
      <c r="AV25" s="1265"/>
      <c r="AW25" s="1265"/>
      <c r="AX25" s="1265"/>
      <c r="AY25" s="1265"/>
      <c r="AZ25" s="1265"/>
      <c r="BA25" s="1265"/>
      <c r="BB25" s="1265"/>
      <c r="BC25" s="1265"/>
      <c r="BD25" s="3"/>
    </row>
    <row r="26" spans="1:56" s="2341" customFormat="1" ht="30" customHeight="1">
      <c r="A26" s="2339"/>
      <c r="B26" s="2339"/>
      <c r="C26" s="2348"/>
      <c r="D26" s="2345"/>
      <c r="E26" s="2345"/>
      <c r="F26" s="2345"/>
      <c r="G26" s="2345"/>
      <c r="H26" s="2345"/>
      <c r="I26" s="2345"/>
      <c r="J26" s="2345"/>
      <c r="K26" s="2345"/>
      <c r="L26" s="2345"/>
      <c r="M26" s="2345"/>
      <c r="N26" s="2345"/>
      <c r="O26" s="2345"/>
      <c r="P26" s="2345"/>
      <c r="Q26" s="2345"/>
      <c r="R26" s="2345"/>
      <c r="S26" s="2345"/>
      <c r="T26" s="2345"/>
      <c r="U26" s="2345"/>
      <c r="V26" s="2342"/>
      <c r="W26" s="2345"/>
      <c r="X26" s="2345"/>
      <c r="Y26" s="2345"/>
      <c r="Z26" s="2345"/>
      <c r="AA26" s="2345"/>
      <c r="AB26" s="2345"/>
      <c r="AC26" s="2345"/>
      <c r="AD26" s="2345"/>
      <c r="AE26" s="2345"/>
      <c r="AF26" s="1265"/>
      <c r="AG26" s="2345"/>
      <c r="AH26" s="2345"/>
      <c r="AI26" s="2345"/>
      <c r="AJ26" s="2345"/>
      <c r="AK26" s="2345"/>
      <c r="AL26" s="2342"/>
      <c r="AM26" s="2345"/>
      <c r="AN26" s="2345"/>
      <c r="AO26" s="2345"/>
      <c r="AP26" s="2345"/>
      <c r="AQ26" s="2345"/>
      <c r="AR26" s="2345"/>
      <c r="AS26" s="1265"/>
      <c r="AT26" s="1265"/>
      <c r="AU26" s="1265"/>
      <c r="AV26" s="1265"/>
      <c r="AW26" s="1265"/>
      <c r="AX26" s="1265"/>
      <c r="AY26" s="1265"/>
      <c r="AZ26" s="1265"/>
      <c r="BA26" s="1265"/>
      <c r="BB26" s="1265"/>
      <c r="BC26" s="1265"/>
      <c r="BD26" s="3"/>
    </row>
    <row r="27" spans="1:56" s="2341" customFormat="1" ht="30" customHeight="1">
      <c r="A27" s="2339"/>
      <c r="B27" s="2339"/>
      <c r="C27" s="2342" t="s">
        <v>14075</v>
      </c>
      <c r="D27" s="2345"/>
      <c r="E27" s="2345"/>
      <c r="F27" s="2345"/>
      <c r="G27" s="2345"/>
      <c r="H27" s="2345"/>
      <c r="I27" s="2345"/>
      <c r="J27" s="2345"/>
      <c r="K27" s="2345"/>
      <c r="L27" s="2345"/>
      <c r="M27" s="2345"/>
      <c r="N27" s="2345"/>
      <c r="O27" s="2345"/>
      <c r="P27" s="2345"/>
      <c r="Q27" s="2345"/>
      <c r="R27" s="2345"/>
      <c r="S27" s="2345"/>
      <c r="T27" s="2345"/>
      <c r="U27" s="2345"/>
      <c r="V27" s="2342" t="s">
        <v>14089</v>
      </c>
      <c r="W27" s="2345"/>
      <c r="X27" s="2345"/>
      <c r="Y27" s="2345"/>
      <c r="Z27" s="2345"/>
      <c r="AA27" s="2345"/>
      <c r="AB27" s="2345"/>
      <c r="AC27" s="2345"/>
      <c r="AD27" s="2345"/>
      <c r="AE27" s="2345"/>
      <c r="AF27" s="1265"/>
      <c r="AG27" s="2345"/>
      <c r="AH27" s="2345"/>
      <c r="AI27" s="2345"/>
      <c r="AJ27" s="2345"/>
      <c r="AK27" s="2345"/>
      <c r="AL27" s="2342" t="s">
        <v>14094</v>
      </c>
      <c r="AM27" s="2345"/>
      <c r="AN27" s="2345"/>
      <c r="AO27" s="2345"/>
      <c r="AP27" s="2345"/>
      <c r="AQ27" s="2345"/>
      <c r="AR27" s="2345"/>
      <c r="AS27" s="1265"/>
      <c r="AT27" s="1265"/>
      <c r="AU27" s="1265"/>
      <c r="AV27" s="1265"/>
      <c r="AW27" s="1265"/>
      <c r="AX27" s="1265"/>
      <c r="AY27" s="1265"/>
      <c r="AZ27" s="1265"/>
      <c r="BA27" s="1265"/>
      <c r="BB27" s="1265"/>
      <c r="BC27" s="1265"/>
      <c r="BD27" s="3">
        <v>1</v>
      </c>
    </row>
    <row r="28" spans="1:56" s="2341" customFormat="1" ht="30" customHeight="1">
      <c r="A28" s="2339"/>
      <c r="B28" s="2339"/>
      <c r="C28" s="2342"/>
      <c r="D28" s="2345"/>
      <c r="E28" s="2345"/>
      <c r="F28" s="2345"/>
      <c r="G28" s="2345"/>
      <c r="H28" s="2345"/>
      <c r="I28" s="2345"/>
      <c r="J28" s="2345"/>
      <c r="K28" s="2345"/>
      <c r="L28" s="2345"/>
      <c r="M28" s="2345"/>
      <c r="N28" s="2345"/>
      <c r="O28" s="2345"/>
      <c r="P28" s="2345"/>
      <c r="Q28" s="2345"/>
      <c r="R28" s="2345"/>
      <c r="S28" s="2345"/>
      <c r="T28" s="2345"/>
      <c r="U28" s="2345"/>
      <c r="V28" s="2342"/>
      <c r="W28" s="2345"/>
      <c r="X28" s="2345"/>
      <c r="Y28" s="2345"/>
      <c r="Z28" s="2345"/>
      <c r="AA28" s="2345"/>
      <c r="AB28" s="2345"/>
      <c r="AC28" s="2345"/>
      <c r="AD28" s="2345"/>
      <c r="AE28" s="2345"/>
      <c r="AF28" s="1265"/>
      <c r="AG28" s="2345"/>
      <c r="AH28" s="2345"/>
      <c r="AI28" s="2345"/>
      <c r="AJ28" s="2345"/>
      <c r="AK28" s="2345"/>
      <c r="AL28" s="2342"/>
      <c r="AM28" s="2345"/>
      <c r="AN28" s="2345"/>
      <c r="AO28" s="2345"/>
      <c r="AP28" s="2345"/>
      <c r="AQ28" s="2345"/>
      <c r="AR28" s="2345"/>
      <c r="AS28" s="1265"/>
      <c r="AT28" s="1265"/>
      <c r="AU28" s="1265"/>
      <c r="AV28" s="1265"/>
      <c r="AW28" s="1265"/>
      <c r="AX28" s="1265"/>
      <c r="AY28" s="1265"/>
      <c r="AZ28" s="1265"/>
      <c r="BA28" s="1265"/>
      <c r="BB28" s="1265"/>
      <c r="BC28" s="1265"/>
      <c r="BD28" s="3">
        <v>1</v>
      </c>
    </row>
    <row r="29" spans="1:56" s="2341" customFormat="1" ht="21" customHeight="1">
      <c r="A29" s="2339"/>
      <c r="B29" s="2339"/>
      <c r="C29" s="2346" t="s">
        <v>207</v>
      </c>
      <c r="D29" s="2347" t="str">
        <f ca="1">CELL("nomfichier")</f>
        <v>D:\Données\1.UPRT\0-UPRT.fait\1-UPRT.FR-SITE-WEB\ff-fiches-fabrications\ff.fiches.fabrication.2023\ffr.restaurant.2023\[ff.FICHE.TRILINGUE.20.COLONNES.05.01.2026.xlsx]Couleurs.pour.vos.documents</v>
      </c>
      <c r="E29" s="2345"/>
      <c r="F29" s="2345"/>
      <c r="G29" s="2345"/>
      <c r="H29" s="2345"/>
      <c r="I29" s="2345"/>
      <c r="J29" s="2345"/>
      <c r="K29" s="2345"/>
      <c r="L29" s="2345"/>
      <c r="M29" s="2345"/>
      <c r="N29" s="2345"/>
      <c r="O29" s="2345"/>
      <c r="P29" s="2345"/>
      <c r="Q29" s="2345"/>
      <c r="R29" s="2345"/>
      <c r="S29" s="2345"/>
      <c r="T29" s="2345"/>
      <c r="U29" s="2345"/>
      <c r="V29" s="2342"/>
      <c r="W29" s="2345"/>
      <c r="X29" s="2345"/>
      <c r="Y29" s="2345"/>
      <c r="Z29" s="2345"/>
      <c r="AA29" s="2345"/>
      <c r="AB29" s="2345"/>
      <c r="AC29" s="2345"/>
      <c r="AD29" s="2345"/>
      <c r="AE29" s="2345"/>
      <c r="AF29" s="1265"/>
      <c r="AG29" s="2345"/>
      <c r="AH29" s="2345"/>
      <c r="AI29" s="2345"/>
      <c r="AJ29" s="2345"/>
      <c r="AK29" s="2345"/>
      <c r="AL29" s="2342"/>
      <c r="AM29" s="2345"/>
      <c r="AN29" s="2345"/>
      <c r="AO29" s="2345"/>
      <c r="AP29" s="2345"/>
      <c r="AQ29" s="2345"/>
      <c r="AR29" s="2345"/>
      <c r="AS29" s="1265"/>
      <c r="AT29" s="1265"/>
      <c r="AU29" s="1265"/>
      <c r="AV29" s="1265"/>
      <c r="AW29" s="1265"/>
      <c r="AX29" s="1265"/>
      <c r="AY29" s="1265"/>
      <c r="AZ29" s="1265"/>
      <c r="BA29" s="1265"/>
      <c r="BB29" s="1265"/>
      <c r="BC29" s="1265"/>
      <c r="BD29" s="3">
        <v>1</v>
      </c>
    </row>
    <row r="30" spans="1:56" s="2341" customFormat="1" ht="21" customHeight="1">
      <c r="A30" s="2339"/>
      <c r="B30" s="2339"/>
      <c r="C30" s="2347"/>
      <c r="D30" s="2347"/>
      <c r="E30" s="2345"/>
      <c r="F30" s="2345"/>
      <c r="G30" s="2345"/>
      <c r="H30" s="2345"/>
      <c r="I30" s="2345"/>
      <c r="J30" s="2345"/>
      <c r="K30" s="2345"/>
      <c r="L30" s="2345"/>
      <c r="M30" s="2345"/>
      <c r="N30" s="2345"/>
      <c r="O30" s="2345"/>
      <c r="P30" s="2345"/>
      <c r="Q30" s="2345"/>
      <c r="R30" s="2345"/>
      <c r="S30" s="2345"/>
      <c r="T30" s="2345"/>
      <c r="U30" s="2345"/>
      <c r="V30" s="2348"/>
      <c r="W30" s="2345"/>
      <c r="X30" s="2345"/>
      <c r="Y30" s="2345"/>
      <c r="Z30" s="2345"/>
      <c r="AA30" s="2345"/>
      <c r="AB30" s="2345"/>
      <c r="AC30" s="2345"/>
      <c r="AD30" s="2345"/>
      <c r="AE30" s="2345"/>
      <c r="AF30" s="1265"/>
      <c r="AG30" s="2345"/>
      <c r="AH30" s="2345"/>
      <c r="AI30" s="2345"/>
      <c r="AJ30" s="2345"/>
      <c r="AK30" s="2345"/>
      <c r="AL30" s="2348"/>
      <c r="AM30" s="2345"/>
      <c r="AN30" s="2345"/>
      <c r="AO30" s="2345"/>
      <c r="AP30" s="2345"/>
      <c r="AQ30" s="2345"/>
      <c r="AR30" s="2345"/>
      <c r="AS30" s="1265"/>
      <c r="AT30" s="1265"/>
      <c r="AU30" s="1265"/>
      <c r="AV30" s="1265"/>
      <c r="AW30" s="1265"/>
      <c r="AX30" s="1265"/>
      <c r="AY30" s="1265"/>
      <c r="AZ30" s="1265"/>
      <c r="BA30" s="1265"/>
      <c r="BB30" s="1265"/>
      <c r="BC30" s="1265"/>
      <c r="BD30" s="3">
        <v>1</v>
      </c>
    </row>
    <row r="31" spans="1:56" s="2341" customFormat="1" ht="21" customHeight="1">
      <c r="A31" s="2339"/>
      <c r="B31" s="2339"/>
      <c r="C31" s="2349"/>
      <c r="D31" s="2347"/>
      <c r="E31" s="2345"/>
      <c r="F31" s="2345"/>
      <c r="G31" s="2345"/>
      <c r="H31" s="2345"/>
      <c r="I31" s="2350" t="s">
        <v>9359</v>
      </c>
      <c r="J31" s="2351" t="s">
        <v>9360</v>
      </c>
      <c r="K31" s="2345"/>
      <c r="L31" s="2345"/>
      <c r="M31" s="2345"/>
      <c r="N31" s="2345"/>
      <c r="O31" s="2345"/>
      <c r="P31" s="2345"/>
      <c r="Q31" s="2345"/>
      <c r="R31" s="2345"/>
      <c r="S31" s="2345"/>
      <c r="T31" s="2345"/>
      <c r="U31" s="2345"/>
      <c r="V31" s="2342"/>
      <c r="W31" s="2345"/>
      <c r="X31" s="2345"/>
      <c r="Y31" s="2345"/>
      <c r="Z31" s="2345"/>
      <c r="AA31" s="2345"/>
      <c r="AB31" s="2345"/>
      <c r="AC31" s="2345"/>
      <c r="AD31" s="2345"/>
      <c r="AE31" s="2345"/>
      <c r="AF31" s="1265"/>
      <c r="AG31" s="2345"/>
      <c r="AH31" s="2345"/>
      <c r="AI31" s="2345"/>
      <c r="AJ31" s="2345"/>
      <c r="AK31" s="2345"/>
      <c r="AL31" s="2342"/>
      <c r="AM31" s="2345"/>
      <c r="AN31" s="2345"/>
      <c r="AO31" s="2345"/>
      <c r="AP31" s="2345"/>
      <c r="AQ31" s="2345"/>
      <c r="AR31" s="2345"/>
      <c r="AS31" s="1265"/>
      <c r="AT31" s="1265"/>
      <c r="AU31" s="1265"/>
      <c r="AV31" s="1265"/>
      <c r="AW31" s="1265"/>
      <c r="AX31" s="1265"/>
      <c r="AY31" s="1265"/>
      <c r="AZ31" s="1265"/>
      <c r="BA31" s="1265"/>
      <c r="BB31" s="1265"/>
      <c r="BC31" s="1265"/>
      <c r="BD31" s="3">
        <v>1</v>
      </c>
    </row>
    <row r="32" spans="1:56" s="2341" customFormat="1" ht="21" customHeight="1">
      <c r="A32" s="2339"/>
      <c r="B32" s="2339"/>
      <c r="C32" s="2347"/>
      <c r="D32" s="2347"/>
      <c r="E32" s="2345"/>
      <c r="F32" s="2345"/>
      <c r="G32" s="2345"/>
      <c r="H32" s="2345"/>
      <c r="I32" s="2345"/>
      <c r="J32" s="2345"/>
      <c r="K32" s="2345"/>
      <c r="L32" s="2345"/>
      <c r="M32" s="2345"/>
      <c r="N32" s="2345"/>
      <c r="O32" s="2345"/>
      <c r="P32" s="2345"/>
      <c r="Q32" s="2345"/>
      <c r="R32" s="2345"/>
      <c r="S32" s="2345"/>
      <c r="T32" s="2345"/>
      <c r="U32" s="2345"/>
      <c r="V32" s="2342"/>
      <c r="W32" s="2345"/>
      <c r="X32" s="2345"/>
      <c r="Y32" s="2345"/>
      <c r="Z32" s="2345"/>
      <c r="AA32" s="2345"/>
      <c r="AB32" s="2345"/>
      <c r="AC32" s="2345"/>
      <c r="AD32" s="2345"/>
      <c r="AE32" s="2345"/>
      <c r="AF32" s="1265"/>
      <c r="AG32" s="2345"/>
      <c r="AH32" s="2345"/>
      <c r="AI32" s="2345"/>
      <c r="AJ32" s="2345"/>
      <c r="AK32" s="2345"/>
      <c r="AL32" s="2342"/>
      <c r="AM32" s="2345"/>
      <c r="AN32" s="2345"/>
      <c r="AO32" s="2345"/>
      <c r="AP32" s="2345"/>
      <c r="AQ32" s="2345"/>
      <c r="AR32" s="2345"/>
      <c r="AS32" s="1265"/>
      <c r="AT32" s="1265"/>
      <c r="AU32" s="1265"/>
      <c r="AV32" s="1265"/>
      <c r="AW32" s="1265"/>
      <c r="AX32" s="1265"/>
      <c r="AY32" s="1265"/>
      <c r="AZ32" s="1265"/>
      <c r="BA32" s="1265"/>
      <c r="BB32" s="1265"/>
      <c r="BC32" s="1265"/>
      <c r="BD32" s="3">
        <v>1</v>
      </c>
    </row>
    <row r="33" spans="1:58" s="2341" customFormat="1" ht="21" customHeight="1">
      <c r="A33" s="2339">
        <v>1</v>
      </c>
      <c r="B33" s="2339"/>
      <c r="C33" s="2342" t="s">
        <v>9361</v>
      </c>
      <c r="D33" s="2345"/>
      <c r="E33" s="2345"/>
      <c r="F33" s="2345"/>
      <c r="G33" s="2345"/>
      <c r="H33" s="2345"/>
      <c r="I33" s="2345"/>
      <c r="J33" s="2345"/>
      <c r="K33" s="2345"/>
      <c r="L33" s="2345"/>
      <c r="M33" s="2345"/>
      <c r="N33" s="2345"/>
      <c r="O33" s="2345"/>
      <c r="P33" s="2345"/>
      <c r="Q33" s="2345"/>
      <c r="R33" s="2345"/>
      <c r="S33" s="2345"/>
      <c r="T33" s="2345"/>
      <c r="U33" s="2345"/>
      <c r="V33" s="2342"/>
      <c r="W33" s="2345"/>
      <c r="X33" s="2345"/>
      <c r="Y33" s="2345"/>
      <c r="Z33" s="2345"/>
      <c r="AA33" s="2345"/>
      <c r="AB33" s="2345"/>
      <c r="AC33" s="2345"/>
      <c r="AD33" s="2345"/>
      <c r="AE33" s="2345"/>
      <c r="AF33" s="1265"/>
      <c r="AG33" s="2345"/>
      <c r="AH33" s="2345"/>
      <c r="AI33" s="2345"/>
      <c r="AJ33" s="2345"/>
      <c r="AK33" s="2345"/>
      <c r="AL33" s="2342"/>
      <c r="AM33" s="2345"/>
      <c r="AN33" s="2345"/>
      <c r="AO33" s="2345"/>
      <c r="AP33" s="2345"/>
      <c r="AQ33" s="2345"/>
      <c r="AR33" s="2345"/>
      <c r="AS33" s="1265"/>
      <c r="AT33" s="1265"/>
      <c r="AU33" s="1265"/>
      <c r="AV33" s="1265"/>
      <c r="AW33" s="1265"/>
      <c r="AX33" s="1265"/>
      <c r="AY33" s="1265"/>
      <c r="AZ33" s="1265"/>
      <c r="BA33" s="1265"/>
      <c r="BB33" s="1265"/>
      <c r="BC33" s="1265"/>
      <c r="BD33" s="3">
        <v>1</v>
      </c>
    </row>
    <row r="34" spans="1:58" s="2341" customFormat="1" ht="21" customHeight="1">
      <c r="A34" s="2339"/>
      <c r="B34" s="2339"/>
      <c r="C34" s="2342"/>
      <c r="D34" s="2342" t="s">
        <v>9362</v>
      </c>
      <c r="E34" s="2345"/>
      <c r="F34" s="2345"/>
      <c r="G34" s="2345"/>
      <c r="H34" s="2345"/>
      <c r="I34" s="2345"/>
      <c r="J34" s="2345"/>
      <c r="K34" s="2345"/>
      <c r="L34" s="2345"/>
      <c r="M34" s="2345"/>
      <c r="N34" s="2345"/>
      <c r="O34" s="2345"/>
      <c r="P34" s="2345"/>
      <c r="Q34" s="2345"/>
      <c r="R34" s="2345"/>
      <c r="S34" s="2345"/>
      <c r="T34" s="2345"/>
      <c r="U34" s="2345"/>
      <c r="V34" s="2342"/>
      <c r="W34" s="2345"/>
      <c r="X34" s="2345"/>
      <c r="Y34" s="2345"/>
      <c r="Z34" s="2345"/>
      <c r="AA34" s="2345"/>
      <c r="AB34" s="2345"/>
      <c r="AC34" s="2345"/>
      <c r="AD34" s="2345"/>
      <c r="AE34" s="2345"/>
      <c r="AF34" s="1265"/>
      <c r="AG34" s="2345"/>
      <c r="AH34" s="2345"/>
      <c r="AI34" s="2345"/>
      <c r="AJ34" s="2345"/>
      <c r="AK34" s="2345"/>
      <c r="AL34" s="2342"/>
      <c r="AM34" s="2345"/>
      <c r="AN34" s="2345"/>
      <c r="AO34" s="2345"/>
      <c r="AP34" s="2345"/>
      <c r="AQ34" s="2345"/>
      <c r="AR34" s="2345"/>
      <c r="AS34" s="1265"/>
      <c r="AT34" s="1265"/>
      <c r="AU34" s="1265"/>
      <c r="AV34" s="1265"/>
      <c r="AW34" s="1265"/>
      <c r="AX34" s="1265"/>
      <c r="AY34" s="1265"/>
      <c r="AZ34" s="1265"/>
      <c r="BA34" s="1265"/>
      <c r="BB34" s="1265"/>
      <c r="BC34" s="1265"/>
      <c r="BD34" s="3">
        <v>1</v>
      </c>
    </row>
    <row r="35" spans="1:58" ht="21" customHeight="1">
      <c r="A35" s="2339">
        <v>1</v>
      </c>
      <c r="B35" s="2339">
        <v>1</v>
      </c>
      <c r="C35" s="5547" t="s">
        <v>9363</v>
      </c>
      <c r="D35" s="2339"/>
      <c r="E35" s="2339"/>
      <c r="F35" s="2339"/>
      <c r="G35" s="2339"/>
      <c r="H35" s="2339"/>
      <c r="I35" s="2339"/>
      <c r="J35" s="2339"/>
      <c r="K35" s="2339"/>
      <c r="L35" s="2339"/>
      <c r="M35" s="2339"/>
      <c r="N35" s="2339"/>
      <c r="O35" s="2339"/>
      <c r="P35" s="2339"/>
      <c r="Q35" s="2339"/>
      <c r="R35" s="2339">
        <v>1</v>
      </c>
      <c r="S35" s="2339">
        <v>1</v>
      </c>
      <c r="T35" s="2339"/>
      <c r="U35" s="2339"/>
      <c r="V35" s="7849"/>
      <c r="W35" s="7849"/>
      <c r="X35" s="7849"/>
      <c r="Y35" s="7849"/>
      <c r="Z35" s="2345"/>
      <c r="AA35" s="2345"/>
      <c r="AB35" s="2345"/>
      <c r="AC35" s="2345"/>
      <c r="AD35" s="2345"/>
      <c r="AE35" s="2345"/>
      <c r="AF35" s="1265"/>
      <c r="AG35" s="2345"/>
      <c r="AH35" s="2345"/>
      <c r="AI35" s="2345"/>
      <c r="AJ35" s="2345"/>
      <c r="AK35" s="2345"/>
      <c r="AL35" s="7849"/>
      <c r="AM35" s="7849"/>
      <c r="AN35" s="7849"/>
      <c r="AO35" s="7849"/>
      <c r="AP35" s="2345"/>
      <c r="AQ35" s="2345"/>
      <c r="AR35" s="2345"/>
      <c r="AS35" s="2353"/>
      <c r="AT35" s="2353"/>
      <c r="AU35" s="2353"/>
      <c r="AV35" s="2353"/>
      <c r="AW35" s="2353"/>
      <c r="AX35" s="2353"/>
      <c r="AY35" s="2353"/>
      <c r="AZ35" s="2353"/>
      <c r="BA35" s="2353"/>
      <c r="BB35" s="2353"/>
      <c r="BC35" s="2353"/>
      <c r="BD35" s="3">
        <v>1</v>
      </c>
      <c r="BE35" s="2341"/>
      <c r="BF35" s="2341"/>
    </row>
    <row r="36" spans="1:58" ht="21" customHeight="1">
      <c r="A36" s="2339"/>
      <c r="B36" s="2339"/>
      <c r="C36" s="5547" t="s">
        <v>9364</v>
      </c>
      <c r="D36" s="2339"/>
      <c r="E36" s="2339"/>
      <c r="F36" s="2339"/>
      <c r="G36" s="2339"/>
      <c r="H36" s="2339"/>
      <c r="I36" s="2339"/>
      <c r="J36" s="2339"/>
      <c r="K36" s="2339"/>
      <c r="L36" s="2339"/>
      <c r="M36" s="2339"/>
      <c r="N36" s="2339"/>
      <c r="O36" s="2339"/>
      <c r="P36" s="2339"/>
      <c r="Q36" s="2339"/>
      <c r="R36" s="2339"/>
      <c r="S36" s="2339"/>
      <c r="T36" s="2339"/>
      <c r="U36" s="2339"/>
      <c r="V36" s="2339"/>
      <c r="W36" s="2339"/>
      <c r="X36" s="2339"/>
      <c r="Y36" s="2339"/>
      <c r="Z36" s="2339"/>
      <c r="AA36" s="2339"/>
      <c r="AB36" s="2339"/>
      <c r="AC36" s="2339"/>
      <c r="AD36" s="2339"/>
      <c r="AE36" s="2339"/>
      <c r="AF36" s="2339"/>
      <c r="AG36" s="2339"/>
      <c r="AH36" s="2339"/>
      <c r="AI36" s="2339"/>
      <c r="AJ36" s="2339"/>
      <c r="AK36" s="2339"/>
      <c r="AL36" s="2339"/>
      <c r="AM36" s="2339"/>
      <c r="AN36" s="2339"/>
      <c r="AO36" s="2339"/>
      <c r="AP36" s="2339"/>
      <c r="AQ36" s="2339"/>
      <c r="AR36" s="2339"/>
      <c r="AS36" s="2339"/>
      <c r="AT36" s="2339"/>
      <c r="AU36" s="2339"/>
      <c r="AV36" s="2339"/>
      <c r="AW36" s="2339"/>
      <c r="AX36" s="2339"/>
      <c r="AY36" s="2339"/>
      <c r="AZ36" s="2339"/>
      <c r="BA36" s="2339"/>
      <c r="BB36" s="2339"/>
      <c r="BC36" s="2339"/>
      <c r="BD36" s="3">
        <v>1</v>
      </c>
      <c r="BE36" s="2341"/>
      <c r="BF36" s="2341"/>
    </row>
    <row r="37" spans="1:58" ht="21" customHeight="1">
      <c r="A37" s="2339"/>
      <c r="B37" s="2339"/>
      <c r="C37" s="5547" t="s">
        <v>9365</v>
      </c>
      <c r="D37" s="2339"/>
      <c r="E37" s="2339"/>
      <c r="F37" s="2339"/>
      <c r="G37" s="2339"/>
      <c r="H37" s="2339"/>
      <c r="I37" s="2339"/>
      <c r="J37" s="2339"/>
      <c r="K37" s="2339"/>
      <c r="L37" s="2339"/>
      <c r="M37" s="2339"/>
      <c r="N37" s="2339"/>
      <c r="O37" s="2339"/>
      <c r="P37" s="2339"/>
      <c r="Q37" s="2339"/>
      <c r="R37" s="2339"/>
      <c r="S37" s="2339"/>
      <c r="T37" s="2339"/>
      <c r="U37" s="2339"/>
      <c r="V37" s="2339"/>
      <c r="W37" s="2339"/>
      <c r="X37" s="2339"/>
      <c r="Y37" s="2339"/>
      <c r="Z37" s="2339"/>
      <c r="AA37" s="2339"/>
      <c r="AB37" s="2339"/>
      <c r="AC37" s="2339"/>
      <c r="AD37" s="2339"/>
      <c r="AE37" s="2339"/>
      <c r="AF37" s="2339"/>
      <c r="AG37" s="2339"/>
      <c r="AH37" s="2339"/>
      <c r="AI37" s="2339"/>
      <c r="AJ37" s="2339"/>
      <c r="AK37" s="2339"/>
      <c r="AL37" s="2339"/>
      <c r="AM37" s="2339"/>
      <c r="AN37" s="2339"/>
      <c r="AO37" s="2339"/>
      <c r="AP37" s="2339"/>
      <c r="AQ37" s="2339"/>
      <c r="AR37" s="2339"/>
      <c r="AS37" s="2339"/>
      <c r="AT37" s="2339"/>
      <c r="AU37" s="2339"/>
      <c r="AV37" s="2339"/>
      <c r="AW37" s="2339"/>
      <c r="AX37" s="2339"/>
      <c r="AY37" s="2339"/>
      <c r="AZ37" s="2339"/>
      <c r="BA37" s="2339"/>
      <c r="BB37" s="2339"/>
      <c r="BC37" s="2339"/>
      <c r="BD37" s="3">
        <v>1</v>
      </c>
      <c r="BE37" s="2341"/>
      <c r="BF37" s="2341"/>
    </row>
    <row r="38" spans="1:58" ht="21" customHeight="1">
      <c r="A38" s="2339"/>
      <c r="B38" s="2339"/>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39"/>
      <c r="Y38" s="2339"/>
      <c r="Z38" s="2339"/>
      <c r="AA38" s="2339"/>
      <c r="AB38" s="2339"/>
      <c r="AC38" s="2339"/>
      <c r="AD38" s="2339"/>
      <c r="AE38" s="2339"/>
      <c r="AF38" s="2339"/>
      <c r="AG38" s="2339"/>
      <c r="AH38" s="2339"/>
      <c r="AI38" s="2339"/>
      <c r="AJ38" s="2339"/>
      <c r="AK38" s="2339"/>
      <c r="AL38" s="2339"/>
      <c r="AM38" s="2339"/>
      <c r="AN38" s="2339"/>
      <c r="AO38" s="2339"/>
      <c r="AP38" s="2339"/>
      <c r="AQ38" s="2339"/>
      <c r="AR38" s="2339"/>
      <c r="AS38" s="2339"/>
      <c r="AT38" s="2339"/>
      <c r="AU38" s="2339"/>
      <c r="AV38" s="2339"/>
      <c r="AW38" s="2339"/>
      <c r="AX38" s="2339"/>
      <c r="AY38" s="2339"/>
      <c r="AZ38" s="2339"/>
      <c r="BA38" s="2339"/>
      <c r="BB38" s="2339"/>
      <c r="BC38" s="2339"/>
      <c r="BD38" s="3">
        <v>1</v>
      </c>
      <c r="BE38" s="2341"/>
      <c r="BF38" s="2341"/>
    </row>
    <row r="39" spans="1:58" ht="21" customHeight="1">
      <c r="B39" s="5617" t="s">
        <v>166</v>
      </c>
      <c r="C39" s="1298" t="s">
        <v>9366</v>
      </c>
      <c r="F39" s="1298"/>
      <c r="G39" s="1298"/>
      <c r="H39" s="1298"/>
      <c r="I39" s="2339"/>
      <c r="J39" s="2339"/>
      <c r="K39" s="2339"/>
      <c r="L39" s="2339"/>
      <c r="M39" s="2339"/>
      <c r="N39" s="2339"/>
      <c r="O39" s="2339"/>
      <c r="P39" s="2339"/>
      <c r="Q39" s="2339"/>
      <c r="R39" s="2339"/>
      <c r="S39" s="2339"/>
      <c r="T39" s="2339"/>
      <c r="U39" s="2339"/>
      <c r="V39" s="2339"/>
      <c r="W39" s="2339"/>
      <c r="X39" s="2339"/>
      <c r="Y39" s="2339"/>
      <c r="Z39" s="2339"/>
      <c r="AA39" s="2339"/>
      <c r="AB39" s="2339"/>
      <c r="AC39" s="2339"/>
      <c r="AD39" s="2339"/>
      <c r="AE39" s="2339"/>
      <c r="AF39" s="2339"/>
      <c r="AG39" s="2339"/>
      <c r="AH39" s="2339"/>
      <c r="AI39" s="2339"/>
      <c r="AJ39" s="2339"/>
      <c r="AK39" s="2339"/>
      <c r="AL39" s="2339"/>
      <c r="AM39" s="2339"/>
      <c r="AN39" s="2339"/>
      <c r="AO39" s="2339"/>
      <c r="AP39" s="2339"/>
      <c r="AQ39" s="2339"/>
      <c r="AR39" s="2339"/>
      <c r="AS39" s="2339"/>
      <c r="AT39" s="2339"/>
      <c r="AU39" s="2339"/>
      <c r="AV39" s="2339"/>
      <c r="AW39" s="2339"/>
      <c r="AX39" s="2339"/>
      <c r="AY39" s="2339"/>
      <c r="AZ39" s="2339"/>
      <c r="BA39" s="2339"/>
      <c r="BB39" s="2339"/>
      <c r="BC39" s="2339"/>
      <c r="BD39" s="3">
        <v>1</v>
      </c>
      <c r="BE39" s="2341"/>
      <c r="BF39" s="2341"/>
    </row>
    <row r="40" spans="1:58" ht="21" customHeight="1" thickBot="1">
      <c r="B40" s="2339">
        <v>1</v>
      </c>
      <c r="C40" s="2339">
        <v>1</v>
      </c>
      <c r="D40" s="2339">
        <v>1</v>
      </c>
      <c r="E40" s="2339">
        <v>1</v>
      </c>
      <c r="F40" s="2339">
        <v>1</v>
      </c>
      <c r="G40" s="2339">
        <v>1</v>
      </c>
      <c r="H40" s="2339">
        <v>1</v>
      </c>
      <c r="I40" s="2339"/>
      <c r="J40" s="2339"/>
      <c r="K40" s="2339"/>
      <c r="L40" s="2339"/>
      <c r="M40" s="2339"/>
      <c r="N40" s="2339"/>
      <c r="O40" s="2339"/>
      <c r="P40" s="2339"/>
      <c r="Q40" s="2339"/>
      <c r="R40" s="2339"/>
      <c r="S40" s="2339"/>
      <c r="T40" s="2339"/>
      <c r="U40" s="2339"/>
      <c r="V40" s="2339"/>
      <c r="W40" s="2339"/>
      <c r="X40" s="2339"/>
      <c r="Y40" s="2339"/>
      <c r="Z40" s="2339"/>
      <c r="AA40" s="2339"/>
      <c r="AB40" s="2339"/>
      <c r="AC40" s="2339"/>
      <c r="AD40" s="2339"/>
      <c r="AE40" s="2339"/>
      <c r="AF40" s="2339"/>
      <c r="AG40" s="2339"/>
      <c r="AH40" s="2339"/>
      <c r="AI40" s="2339"/>
      <c r="AJ40" s="2339"/>
      <c r="AK40" s="2339"/>
      <c r="AL40" s="2339"/>
      <c r="AM40" s="2339"/>
      <c r="AN40" s="2339"/>
      <c r="AO40" s="2339"/>
      <c r="AP40" s="2339"/>
      <c r="AQ40" s="2339"/>
      <c r="AR40" s="2339"/>
      <c r="AS40" s="2339"/>
      <c r="AT40" s="2339"/>
      <c r="AU40" s="2339"/>
      <c r="AV40" s="2339"/>
      <c r="AW40" s="2339"/>
      <c r="AX40" s="2339"/>
      <c r="AY40" s="2339"/>
      <c r="AZ40" s="2339"/>
      <c r="BA40" s="2339"/>
      <c r="BB40" s="2339"/>
      <c r="BC40" s="2339"/>
      <c r="BD40" s="3">
        <v>1</v>
      </c>
      <c r="BE40" s="2341"/>
      <c r="BF40" s="2341"/>
    </row>
    <row r="41" spans="1:58" ht="21" customHeight="1">
      <c r="B41" s="7820" t="s">
        <v>166</v>
      </c>
      <c r="C41" s="7850" t="s">
        <v>9367</v>
      </c>
      <c r="D41" s="7850"/>
      <c r="E41" s="7850"/>
      <c r="F41" s="7850"/>
      <c r="G41" s="7850"/>
      <c r="H41" s="7851"/>
      <c r="I41" s="2339"/>
      <c r="J41" s="2339"/>
      <c r="K41" s="2339"/>
      <c r="L41" s="2339"/>
      <c r="M41" s="2339"/>
      <c r="N41" s="2339"/>
      <c r="O41" s="2339"/>
      <c r="P41" s="2339"/>
      <c r="Q41" s="2339"/>
      <c r="R41" s="2339"/>
      <c r="S41" s="2339"/>
      <c r="T41" s="2339"/>
      <c r="U41" s="2339"/>
      <c r="V41" s="2339"/>
      <c r="W41" s="2339"/>
      <c r="X41" s="2339"/>
      <c r="Y41" s="2339"/>
      <c r="Z41" s="2339"/>
      <c r="AA41" s="2339"/>
      <c r="AB41" s="2339"/>
      <c r="AC41" s="2339"/>
      <c r="AD41" s="2339"/>
      <c r="AE41" s="2339"/>
      <c r="AF41" s="2339"/>
      <c r="AG41" s="2339"/>
      <c r="AH41" s="2339"/>
      <c r="AI41" s="2339"/>
      <c r="AJ41" s="2339"/>
      <c r="AK41" s="2339"/>
      <c r="AL41" s="2339"/>
      <c r="AM41" s="2339"/>
      <c r="AN41" s="2339"/>
      <c r="AO41" s="2339"/>
      <c r="AP41" s="2339"/>
      <c r="AQ41" s="2339"/>
      <c r="AR41" s="2339"/>
      <c r="AS41" s="2339"/>
      <c r="AT41" s="2339"/>
      <c r="AU41" s="2339"/>
      <c r="AV41" s="2339"/>
      <c r="AW41" s="2339"/>
      <c r="AX41" s="2339"/>
      <c r="AY41" s="2339"/>
      <c r="AZ41" s="2339"/>
      <c r="BA41" s="2339"/>
      <c r="BB41" s="2339"/>
      <c r="BC41" s="2339"/>
      <c r="BD41" s="3">
        <v>1</v>
      </c>
      <c r="BE41" s="2341"/>
      <c r="BF41" s="2341"/>
    </row>
    <row r="42" spans="1:58" ht="21" customHeight="1">
      <c r="B42" s="7821"/>
      <c r="D42" s="2353"/>
      <c r="E42" s="2353"/>
      <c r="F42" s="2353"/>
      <c r="G42" s="2353"/>
      <c r="H42" s="2356"/>
      <c r="I42" s="2339"/>
      <c r="J42" s="2339"/>
      <c r="K42" s="2339"/>
      <c r="L42" s="2339"/>
      <c r="M42" s="2339"/>
      <c r="N42" s="2357" t="s">
        <v>9368</v>
      </c>
      <c r="O42" s="2339"/>
      <c r="P42" s="2339"/>
      <c r="Q42" s="2339"/>
      <c r="R42" s="2339"/>
      <c r="S42" s="2339"/>
      <c r="T42" s="2339"/>
      <c r="U42" s="2339"/>
      <c r="V42" s="2339"/>
      <c r="W42" s="2339"/>
      <c r="X42" s="2339"/>
      <c r="Y42" s="2339"/>
      <c r="Z42" s="2339"/>
      <c r="AA42" s="2339"/>
      <c r="AB42" s="2339"/>
      <c r="AC42" s="2339"/>
      <c r="AD42" s="2339"/>
      <c r="AE42" s="2339"/>
      <c r="AF42" s="2339"/>
      <c r="AG42" s="2339"/>
      <c r="AH42" s="2339"/>
      <c r="AI42" s="2339"/>
      <c r="AJ42" s="2339"/>
      <c r="AK42" s="2339"/>
      <c r="AL42" s="2339"/>
      <c r="AM42" s="2339"/>
      <c r="AN42" s="2339"/>
      <c r="AO42" s="2339"/>
      <c r="AP42" s="2339"/>
      <c r="AQ42" s="2339"/>
      <c r="AR42" s="2339"/>
      <c r="AS42" s="2339"/>
      <c r="AT42" s="2339"/>
      <c r="AU42" s="2339"/>
      <c r="AV42" s="2339"/>
      <c r="AW42" s="2339"/>
      <c r="AX42" s="2339"/>
      <c r="AY42" s="2339"/>
      <c r="AZ42" s="2339"/>
      <c r="BA42" s="2339"/>
      <c r="BB42" s="2339"/>
      <c r="BC42" s="2339"/>
      <c r="BD42" s="3">
        <v>1</v>
      </c>
      <c r="BE42" s="2341"/>
      <c r="BF42" s="2341"/>
    </row>
    <row r="43" spans="1:58" ht="21" customHeight="1">
      <c r="B43" s="7852" t="str">
        <f>C41</f>
        <v>Quelques liens hypertexte internes exemple de formules</v>
      </c>
      <c r="C43" s="2358" t="str">
        <f>ADDRESS(ROW(),COLUMN(),4)</f>
        <v>C43</v>
      </c>
      <c r="D43" s="2359" t="str">
        <f>_xlfn.UNICHAR(128269)</f>
        <v>🔍</v>
      </c>
      <c r="E43" s="2353" t="str">
        <f ca="1">_xlfn.FORMULATEXT(D43)</f>
        <v>=UNICAR(128269)</v>
      </c>
      <c r="F43" s="2353"/>
      <c r="G43" s="2353"/>
      <c r="H43" s="2356"/>
      <c r="I43" s="2339"/>
      <c r="J43" s="2339">
        <v>1</v>
      </c>
      <c r="K43" s="2339"/>
      <c r="L43" s="2339"/>
      <c r="M43" s="2339"/>
      <c r="N43" s="2357" t="s">
        <v>9369</v>
      </c>
      <c r="O43" s="2339"/>
      <c r="P43" s="2339"/>
      <c r="Q43" s="2339"/>
      <c r="R43" s="2339"/>
      <c r="S43" s="2339"/>
      <c r="T43" s="2339"/>
      <c r="U43" s="2339"/>
      <c r="V43" s="2339"/>
      <c r="W43" s="2339"/>
      <c r="X43" s="2339"/>
      <c r="Y43" s="2339"/>
      <c r="Z43" s="2339"/>
      <c r="AA43" s="2339"/>
      <c r="AB43" s="2339"/>
      <c r="AC43" s="2339"/>
      <c r="AD43" s="2339"/>
      <c r="AE43" s="2339"/>
      <c r="AF43" s="2339"/>
      <c r="AG43" s="2339"/>
      <c r="AH43" s="2339"/>
      <c r="AI43" s="2339"/>
      <c r="AJ43" s="2339"/>
      <c r="AK43" s="2339"/>
      <c r="AL43" s="2339"/>
      <c r="AM43" s="2339"/>
      <c r="AN43" s="2339"/>
      <c r="AO43" s="2339"/>
      <c r="AP43" s="2339"/>
      <c r="AQ43" s="2339"/>
      <c r="AR43" s="2339"/>
      <c r="AS43" s="2339"/>
      <c r="AT43" s="2339"/>
      <c r="AU43" s="2339"/>
      <c r="AV43" s="2339"/>
      <c r="AW43" s="2339"/>
      <c r="AX43" s="2339"/>
      <c r="AY43" s="2339"/>
      <c r="AZ43" s="2339"/>
      <c r="BA43" s="2339"/>
      <c r="BB43" s="2339"/>
      <c r="BC43" s="2339"/>
      <c r="BD43" s="3">
        <v>1</v>
      </c>
      <c r="BE43" s="2341"/>
      <c r="BF43" s="2341"/>
    </row>
    <row r="44" spans="1:58" ht="21" customHeight="1">
      <c r="B44" s="7852"/>
      <c r="C44" s="2353" t="s">
        <v>9370</v>
      </c>
      <c r="D44" s="2359"/>
      <c r="E44" s="2353"/>
      <c r="F44" s="2353"/>
      <c r="G44" s="2353"/>
      <c r="H44" s="2356"/>
      <c r="I44" s="2339"/>
      <c r="J44" s="2339">
        <v>1</v>
      </c>
      <c r="K44" s="2339"/>
      <c r="L44" s="2339"/>
      <c r="M44" s="2339"/>
      <c r="N44" s="2357" t="s">
        <v>9371</v>
      </c>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3">
        <v>1</v>
      </c>
      <c r="BE44" s="2341"/>
      <c r="BF44" s="2341"/>
    </row>
    <row r="45" spans="1:58" ht="21" customHeight="1">
      <c r="B45" s="7852"/>
      <c r="C45" s="2353" t="s">
        <v>9372</v>
      </c>
      <c r="D45" s="2359"/>
      <c r="E45" s="2353"/>
      <c r="F45" s="2353"/>
      <c r="G45" s="2353"/>
      <c r="H45" s="2356"/>
      <c r="I45" s="2339"/>
      <c r="J45" s="2339">
        <v>1</v>
      </c>
      <c r="K45" s="2339"/>
      <c r="L45" s="2339"/>
      <c r="M45" s="2339"/>
      <c r="N45" s="2360" t="s">
        <v>9373</v>
      </c>
      <c r="O45" s="2339"/>
      <c r="P45" s="2339"/>
      <c r="Q45" s="2339"/>
      <c r="R45" s="2339"/>
      <c r="S45" s="2339"/>
      <c r="T45" s="2339"/>
      <c r="U45" s="2339"/>
      <c r="V45" s="2339"/>
      <c r="W45" s="2339"/>
      <c r="X45" s="2339"/>
      <c r="Y45" s="2339"/>
      <c r="Z45" s="2339"/>
      <c r="AA45" s="2339"/>
      <c r="AB45" s="2339"/>
      <c r="AC45" s="2339"/>
      <c r="AD45" s="2339"/>
      <c r="AE45" s="2339"/>
      <c r="AF45" s="2339"/>
      <c r="AG45" s="2339"/>
      <c r="AH45" s="2339"/>
      <c r="AI45" s="2339"/>
      <c r="AJ45" s="2339"/>
      <c r="AK45" s="2339"/>
      <c r="AL45" s="2339"/>
      <c r="AM45" s="2339"/>
      <c r="AN45" s="2339"/>
      <c r="AO45" s="2339"/>
      <c r="AP45" s="2339"/>
      <c r="AQ45" s="2339"/>
      <c r="AR45" s="2339"/>
      <c r="AS45" s="2339"/>
      <c r="AT45" s="2339"/>
      <c r="AU45" s="2339"/>
      <c r="AV45" s="2339"/>
      <c r="AW45" s="2339"/>
      <c r="AX45" s="2339"/>
      <c r="AY45" s="2339"/>
      <c r="AZ45" s="2339"/>
      <c r="BA45" s="2339"/>
      <c r="BB45" s="2339"/>
      <c r="BC45" s="2339"/>
      <c r="BD45" s="3">
        <v>1</v>
      </c>
      <c r="BE45" s="2341"/>
      <c r="BF45" s="2341"/>
    </row>
    <row r="46" spans="1:58" ht="21" customHeight="1">
      <c r="B46" s="7852"/>
      <c r="C46" s="2361" t="s">
        <v>9374</v>
      </c>
      <c r="D46" s="2359"/>
      <c r="E46" s="2353"/>
      <c r="F46" s="2353"/>
      <c r="G46" s="2353"/>
      <c r="H46" s="2356"/>
      <c r="I46" s="2339"/>
      <c r="J46" s="2339">
        <v>1</v>
      </c>
      <c r="K46" s="2339"/>
      <c r="L46" s="2339"/>
      <c r="M46" s="2339"/>
      <c r="N46" s="2357" t="s">
        <v>9375</v>
      </c>
      <c r="O46" s="2339"/>
      <c r="P46" s="2339"/>
      <c r="Q46" s="2339"/>
      <c r="R46" s="2339"/>
      <c r="S46" s="2339"/>
      <c r="T46" s="2339"/>
      <c r="U46" s="2339"/>
      <c r="V46" s="2339"/>
      <c r="W46" s="2339"/>
      <c r="X46" s="2339"/>
      <c r="Y46" s="2339"/>
      <c r="Z46" s="2339"/>
      <c r="AA46" s="2339"/>
      <c r="AB46" s="2339"/>
      <c r="AC46" s="2339"/>
      <c r="AD46" s="2339"/>
      <c r="AE46" s="2339"/>
      <c r="AF46" s="2339"/>
      <c r="AG46" s="2339"/>
      <c r="AH46" s="2339"/>
      <c r="AI46" s="2339"/>
      <c r="AJ46" s="2339"/>
      <c r="AK46" s="2339"/>
      <c r="AL46" s="2339"/>
      <c r="AM46" s="2339"/>
      <c r="AN46" s="2339"/>
      <c r="AO46" s="2339"/>
      <c r="AP46" s="2339"/>
      <c r="AQ46" s="2339"/>
      <c r="AR46" s="2339"/>
      <c r="AS46" s="2339"/>
      <c r="AT46" s="2339"/>
      <c r="AU46" s="2339"/>
      <c r="AV46" s="2339"/>
      <c r="AW46" s="2339"/>
      <c r="AX46" s="2339"/>
      <c r="AY46" s="2339"/>
      <c r="AZ46" s="2339"/>
      <c r="BA46" s="2339"/>
      <c r="BB46" s="2339"/>
      <c r="BC46" s="2339"/>
      <c r="BD46" s="3">
        <v>1</v>
      </c>
      <c r="BE46" s="2341"/>
      <c r="BF46" s="2341"/>
    </row>
    <row r="47" spans="1:58" ht="21" customHeight="1">
      <c r="B47" s="7852"/>
      <c r="C47" s="2361"/>
      <c r="D47" s="2359"/>
      <c r="E47" s="2353"/>
      <c r="F47" s="2353"/>
      <c r="G47" s="2353"/>
      <c r="H47" s="2356"/>
      <c r="I47" s="2339"/>
      <c r="J47" s="2339">
        <v>1</v>
      </c>
      <c r="K47" s="2339"/>
      <c r="L47" s="2339"/>
      <c r="M47" s="2339"/>
      <c r="N47" s="2357" t="s">
        <v>9376</v>
      </c>
      <c r="O47" s="2339"/>
      <c r="P47" s="2339"/>
      <c r="Q47" s="2339"/>
      <c r="R47" s="2339"/>
      <c r="S47" s="2339"/>
      <c r="T47" s="2339"/>
      <c r="U47" s="2339"/>
      <c r="V47" s="2339"/>
      <c r="W47" s="2339"/>
      <c r="X47" s="2339"/>
      <c r="Y47" s="2339"/>
      <c r="Z47" s="2339"/>
      <c r="AA47" s="2339"/>
      <c r="AB47" s="2339"/>
      <c r="AC47" s="2339"/>
      <c r="AD47" s="2339"/>
      <c r="AE47" s="2339"/>
      <c r="AF47" s="2339"/>
      <c r="AG47" s="2339"/>
      <c r="AH47" s="2339"/>
      <c r="AI47" s="2339"/>
      <c r="AJ47" s="2339"/>
      <c r="AK47" s="2339"/>
      <c r="AL47" s="2339"/>
      <c r="AM47" s="2339"/>
      <c r="AN47" s="2339"/>
      <c r="AO47" s="2339"/>
      <c r="AP47" s="2339"/>
      <c r="AQ47" s="2339"/>
      <c r="AR47" s="2339"/>
      <c r="AS47" s="2339"/>
      <c r="AT47" s="2339"/>
      <c r="AU47" s="2339"/>
      <c r="AV47" s="2339"/>
      <c r="AW47" s="2339"/>
      <c r="AX47" s="2339"/>
      <c r="AY47" s="2339"/>
      <c r="AZ47" s="2339"/>
      <c r="BA47" s="2339"/>
      <c r="BB47" s="2339"/>
      <c r="BC47" s="2339"/>
      <c r="BD47" s="3">
        <v>1</v>
      </c>
      <c r="BE47" s="2341"/>
      <c r="BF47" s="2341"/>
    </row>
    <row r="48" spans="1:58" ht="21" customHeight="1">
      <c r="B48" s="7852"/>
      <c r="C48" s="7854" t="s">
        <v>9377</v>
      </c>
      <c r="D48" s="7854"/>
      <c r="E48" s="7854"/>
      <c r="F48" s="7854"/>
      <c r="G48" s="7854"/>
      <c r="H48" s="7855"/>
      <c r="I48" s="2339"/>
      <c r="J48" s="2339">
        <v>1</v>
      </c>
      <c r="K48" s="2339">
        <v>1</v>
      </c>
      <c r="L48" s="2339">
        <v>1</v>
      </c>
      <c r="M48" s="2339"/>
      <c r="N48" s="2339"/>
      <c r="O48" s="2339"/>
      <c r="P48" s="2339"/>
      <c r="Q48" s="2339"/>
      <c r="R48" s="2339"/>
      <c r="S48" s="2339"/>
      <c r="T48" s="2339"/>
      <c r="U48" s="2339"/>
      <c r="V48" s="2339"/>
      <c r="W48" s="2339"/>
      <c r="X48" s="2339"/>
      <c r="Y48" s="2339"/>
      <c r="Z48" s="2339"/>
      <c r="AA48" s="2339"/>
      <c r="AB48" s="2339"/>
      <c r="AC48" s="2339"/>
      <c r="AD48" s="2339"/>
      <c r="AE48" s="2339"/>
      <c r="AF48" s="2339"/>
      <c r="AG48" s="2339"/>
      <c r="AH48" s="2339"/>
      <c r="AI48" s="2339"/>
      <c r="AJ48" s="2339"/>
      <c r="AK48" s="2339"/>
      <c r="AL48" s="2339"/>
      <c r="AM48" s="2339"/>
      <c r="AN48" s="2339"/>
      <c r="AO48" s="2339"/>
      <c r="AP48" s="2339"/>
      <c r="AQ48" s="2339"/>
      <c r="AR48" s="2339"/>
      <c r="AS48" s="2339"/>
      <c r="AT48" s="2339"/>
      <c r="AU48" s="2339"/>
      <c r="AV48" s="2339"/>
      <c r="AW48" s="2339"/>
      <c r="AX48" s="2339"/>
      <c r="AY48" s="2339"/>
      <c r="AZ48" s="2339"/>
      <c r="BA48" s="2339"/>
      <c r="BB48" s="2339"/>
      <c r="BC48" s="2339"/>
      <c r="BD48" s="3">
        <v>1</v>
      </c>
      <c r="BE48" s="2341"/>
      <c r="BF48" s="2341"/>
    </row>
    <row r="49" spans="2:58" ht="21" customHeight="1">
      <c r="B49" s="7852"/>
      <c r="C49" s="7854"/>
      <c r="D49" s="7854"/>
      <c r="E49" s="7854"/>
      <c r="F49" s="7854"/>
      <c r="G49" s="7854"/>
      <c r="H49" s="7855"/>
      <c r="I49" s="2339"/>
      <c r="J49" s="2339">
        <v>1</v>
      </c>
      <c r="K49" s="2339">
        <v>1</v>
      </c>
      <c r="L49" s="2339">
        <v>1</v>
      </c>
      <c r="M49" s="2339"/>
      <c r="N49" s="2362" t="s">
        <v>9378</v>
      </c>
      <c r="O49" s="2363"/>
      <c r="P49" s="2364" t="s">
        <v>9379</v>
      </c>
      <c r="Q49" s="2363"/>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2339"/>
      <c r="AM49" s="2339"/>
      <c r="AN49" s="2339"/>
      <c r="AO49" s="2339"/>
      <c r="AP49" s="2339"/>
      <c r="AQ49" s="2339"/>
      <c r="AR49" s="2339"/>
      <c r="AS49" s="2339"/>
      <c r="AT49" s="2339"/>
      <c r="AU49" s="2339"/>
      <c r="AV49" s="2339"/>
      <c r="AW49" s="2339"/>
      <c r="AX49" s="2339"/>
      <c r="AY49" s="2339"/>
      <c r="AZ49" s="2339"/>
      <c r="BA49" s="2339"/>
      <c r="BB49" s="2339"/>
      <c r="BC49" s="2339"/>
      <c r="BD49" s="3">
        <v>1</v>
      </c>
      <c r="BE49" s="2341"/>
      <c r="BF49" s="2341"/>
    </row>
    <row r="50" spans="2:58" ht="21" customHeight="1">
      <c r="B50" s="7852"/>
      <c r="C50" s="2365" t="s">
        <v>9380</v>
      </c>
      <c r="D50" s="2353"/>
      <c r="E50" s="2353" t="s">
        <v>9381</v>
      </c>
      <c r="F50" s="2353"/>
      <c r="G50" s="2353"/>
      <c r="H50" s="2356"/>
      <c r="I50" s="2339"/>
      <c r="J50" s="2339">
        <v>1</v>
      </c>
      <c r="K50" s="2339">
        <v>1</v>
      </c>
      <c r="L50" s="2339">
        <v>1</v>
      </c>
      <c r="M50" s="2339"/>
      <c r="N50" s="2366" t="s">
        <v>9382</v>
      </c>
      <c r="O50" s="2366" t="s">
        <v>9383</v>
      </c>
      <c r="P50" s="2366" t="s">
        <v>9384</v>
      </c>
      <c r="Q50" s="2363" t="s">
        <v>9385</v>
      </c>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2339"/>
      <c r="AM50" s="2339"/>
      <c r="AN50" s="2339"/>
      <c r="AO50" s="2339"/>
      <c r="AP50" s="2339"/>
      <c r="AQ50" s="2339"/>
      <c r="AR50" s="2339"/>
      <c r="AS50" s="2339"/>
      <c r="AT50" s="2339"/>
      <c r="AU50" s="2339"/>
      <c r="AV50" s="2339"/>
      <c r="AW50" s="2339"/>
      <c r="AX50" s="2339"/>
      <c r="AY50" s="2339"/>
      <c r="AZ50" s="2339"/>
      <c r="BA50" s="2339"/>
      <c r="BB50" s="2339"/>
      <c r="BC50" s="2339"/>
      <c r="BD50" s="3">
        <v>1</v>
      </c>
    </row>
    <row r="51" spans="2:58" ht="21" customHeight="1">
      <c r="B51" s="7852"/>
      <c r="C51" s="2367" t="str">
        <f>HYPERLINK("#"&amp;ADDRESS(ROW(C43),COLUMN(C43),4))</f>
        <v>#C43</v>
      </c>
      <c r="D51" s="2368" t="str">
        <f ca="1">_xlfn.FORMULATEXT(C51)</f>
        <v>=LIEN_HYPERTEXTE("#"&amp;ADRESSE(LIGNE(C43);COLONNE(C43);4))</v>
      </c>
      <c r="E51" s="2368"/>
      <c r="F51" s="2368"/>
      <c r="G51" s="2368"/>
      <c r="H51" s="2369"/>
      <c r="I51" s="2339"/>
      <c r="J51" s="2339">
        <v>1</v>
      </c>
      <c r="K51" s="2339">
        <v>1</v>
      </c>
      <c r="L51" s="2339">
        <v>1</v>
      </c>
      <c r="M51" s="2339"/>
      <c r="N51" s="2363" t="s">
        <v>9386</v>
      </c>
      <c r="O51" s="2363" t="s">
        <v>9387</v>
      </c>
      <c r="P51" s="2370" t="str">
        <f>N51 &amp; " " &amp; O51</f>
        <v>Robert Spière</v>
      </c>
      <c r="Q51" s="2371" t="str">
        <f ca="1">_xlfn.FORMULATEXT(P51)</f>
        <v>=N51 &amp; " " &amp; O51</v>
      </c>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2339"/>
      <c r="AM51" s="2339"/>
      <c r="AN51" s="2339"/>
      <c r="AO51" s="2339"/>
      <c r="AP51" s="2339"/>
      <c r="AQ51" s="2339"/>
      <c r="AR51" s="2339"/>
      <c r="AS51" s="2339"/>
      <c r="AT51" s="2339"/>
      <c r="AU51" s="2339"/>
      <c r="AV51" s="2339"/>
      <c r="AW51" s="2339"/>
      <c r="AX51" s="2339"/>
      <c r="AY51" s="2339"/>
      <c r="AZ51" s="2339"/>
      <c r="BA51" s="2339"/>
      <c r="BB51" s="2339"/>
      <c r="BC51" s="2339"/>
      <c r="BD51" s="3">
        <v>1</v>
      </c>
    </row>
    <row r="52" spans="2:58" ht="21" customHeight="1">
      <c r="B52" s="7852"/>
      <c r="C52" s="2372"/>
      <c r="D52" s="2368"/>
      <c r="E52" s="2368"/>
      <c r="F52" s="2368"/>
      <c r="G52" s="2368"/>
      <c r="H52" s="2369"/>
      <c r="I52" s="2339"/>
      <c r="J52" s="2339">
        <v>1</v>
      </c>
      <c r="K52" s="2339">
        <v>1</v>
      </c>
      <c r="L52" s="2339">
        <v>1</v>
      </c>
      <c r="M52" s="2339"/>
      <c r="N52" s="2363" t="s">
        <v>9388</v>
      </c>
      <c r="O52" s="2363" t="s">
        <v>9389</v>
      </c>
      <c r="P52" s="2370" t="str">
        <f>_xlfn.CONCAT(N52," ",O52)</f>
        <v>Guillaume Tell</v>
      </c>
      <c r="Q52" s="2371" t="str">
        <f ca="1">_xlfn.FORMULATEXT(P52)</f>
        <v>=CONCAT(N52;" ";O52)</v>
      </c>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2339"/>
      <c r="AM52" s="2339"/>
      <c r="AN52" s="2339"/>
      <c r="AO52" s="2339"/>
      <c r="AP52" s="2339"/>
      <c r="AQ52" s="2339"/>
      <c r="AR52" s="2339"/>
      <c r="AS52" s="2339"/>
      <c r="AT52" s="2339"/>
      <c r="AU52" s="2339"/>
      <c r="AV52" s="2339"/>
      <c r="AW52" s="2339"/>
      <c r="AX52" s="2339"/>
      <c r="AY52" s="2339"/>
      <c r="AZ52" s="2339"/>
      <c r="BA52" s="2339"/>
      <c r="BB52" s="2339"/>
      <c r="BC52" s="2339"/>
      <c r="BD52" s="3">
        <v>1</v>
      </c>
    </row>
    <row r="53" spans="2:58" ht="21" customHeight="1">
      <c r="B53" s="7852"/>
      <c r="C53" s="2372"/>
      <c r="D53" s="2353"/>
      <c r="E53" s="2353"/>
      <c r="F53" s="2353"/>
      <c r="G53" s="2353"/>
      <c r="H53" s="2356"/>
      <c r="I53" s="2339"/>
      <c r="J53" s="2339">
        <v>1</v>
      </c>
      <c r="K53" s="2339">
        <v>1</v>
      </c>
      <c r="L53" s="2339">
        <v>1</v>
      </c>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2339"/>
      <c r="AM53" s="2339"/>
      <c r="AN53" s="2339"/>
      <c r="AO53" s="2339"/>
      <c r="AP53" s="2339"/>
      <c r="AQ53" s="2339"/>
      <c r="AR53" s="2339"/>
      <c r="AS53" s="2339"/>
      <c r="AT53" s="2339"/>
      <c r="AU53" s="2339"/>
      <c r="AV53" s="2339"/>
      <c r="AW53" s="2339"/>
      <c r="AX53" s="2339"/>
      <c r="AY53" s="2339"/>
      <c r="AZ53" s="2339"/>
      <c r="BA53" s="2339"/>
      <c r="BB53" s="2339"/>
      <c r="BC53" s="2339"/>
      <c r="BD53" s="3">
        <v>1</v>
      </c>
    </row>
    <row r="54" spans="2:58" ht="21" customHeight="1">
      <c r="B54" s="7852"/>
      <c r="C54" s="2373" t="str">
        <f>HYPERLINK("#"&amp;ADDRESS(ROW(C43),COLUMN(C43),4)," 🔗 Lien")</f>
        <v xml:space="preserve"> 🔗 Lien</v>
      </c>
      <c r="D54" s="7856" t="str">
        <f ca="1">_xlfn.FORMULATEXT(C54)</f>
        <v>=LIEN_HYPERTEXTE("#"&amp;ADRESSE(LIGNE(C43);COLONNE(C43);4);" 🔗 Lien")</v>
      </c>
      <c r="E54" s="7856"/>
      <c r="F54" s="7856"/>
      <c r="G54" s="7856"/>
      <c r="H54" s="7857"/>
      <c r="I54" s="2339"/>
      <c r="J54" s="2339">
        <v>1</v>
      </c>
      <c r="K54" s="2339">
        <v>1</v>
      </c>
      <c r="L54" s="2339">
        <v>1</v>
      </c>
      <c r="M54" s="2339"/>
      <c r="N54" s="2366" t="s">
        <v>9390</v>
      </c>
      <c r="O54" s="2362" t="s">
        <v>9391</v>
      </c>
      <c r="P54" s="2374"/>
      <c r="Q54" s="2363" t="s">
        <v>9385</v>
      </c>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2339"/>
      <c r="AM54" s="2339"/>
      <c r="AN54" s="2339"/>
      <c r="AO54" s="2339"/>
      <c r="AP54" s="2339"/>
      <c r="AQ54" s="2339"/>
      <c r="AR54" s="2339"/>
      <c r="AS54" s="2339"/>
      <c r="AT54" s="2339"/>
      <c r="AU54" s="2339"/>
      <c r="AV54" s="2339"/>
      <c r="AW54" s="2339"/>
      <c r="AX54" s="2339"/>
      <c r="AY54" s="2339"/>
      <c r="AZ54" s="2339"/>
      <c r="BA54" s="2339"/>
      <c r="BB54" s="2339"/>
      <c r="BC54" s="2339"/>
      <c r="BD54" s="3">
        <v>1</v>
      </c>
    </row>
    <row r="55" spans="2:58" ht="21" customHeight="1">
      <c r="B55" s="7852"/>
      <c r="C55" s="2372"/>
      <c r="D55" s="7856"/>
      <c r="E55" s="7856"/>
      <c r="F55" s="7856"/>
      <c r="G55" s="7856"/>
      <c r="H55" s="7857"/>
      <c r="I55" s="2339"/>
      <c r="J55" s="2339">
        <v>1</v>
      </c>
      <c r="K55" s="2339">
        <v>1</v>
      </c>
      <c r="L55" s="2339">
        <v>1</v>
      </c>
      <c r="M55" s="2339"/>
      <c r="N55" s="2363" t="s">
        <v>9392</v>
      </c>
      <c r="O55" s="2375" t="str">
        <f>LEFT(N55,SEARCH(" ",N55)-1)</f>
        <v>Guillaume</v>
      </c>
      <c r="P55" s="2371" t="s">
        <v>9393</v>
      </c>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2339"/>
      <c r="AM55" s="2339"/>
      <c r="AN55" s="2339"/>
      <c r="AO55" s="2339"/>
      <c r="AP55" s="2339"/>
      <c r="AQ55" s="2339"/>
      <c r="AR55" s="2339"/>
      <c r="AS55" s="2339"/>
      <c r="AT55" s="2339"/>
      <c r="AU55" s="2339"/>
      <c r="AV55" s="2339"/>
      <c r="AW55" s="2339"/>
      <c r="AX55" s="2339"/>
      <c r="AY55" s="2339"/>
      <c r="AZ55" s="2339"/>
      <c r="BA55" s="2339"/>
      <c r="BB55" s="2339"/>
      <c r="BC55" s="2339"/>
      <c r="BD55" s="3">
        <v>1</v>
      </c>
    </row>
    <row r="56" spans="2:58" ht="21" customHeight="1">
      <c r="B56" s="7852"/>
      <c r="C56" s="2372"/>
      <c r="D56" s="2376"/>
      <c r="E56" s="2376"/>
      <c r="F56" s="2376"/>
      <c r="G56" s="2376"/>
      <c r="H56" s="2377"/>
      <c r="I56" s="2339"/>
      <c r="J56" s="2339">
        <v>1</v>
      </c>
      <c r="K56" s="2339">
        <v>1</v>
      </c>
      <c r="L56" s="2339">
        <v>1</v>
      </c>
      <c r="M56" s="2339"/>
      <c r="N56" s="2363" t="s">
        <v>9392</v>
      </c>
      <c r="O56" s="2375" t="str">
        <f>RIGHT(N56,LEN(N56)-SEARCH(" ",N56))</f>
        <v>Tell</v>
      </c>
      <c r="P56" s="2371" t="str">
        <f ca="1">_xlfn.FORMULATEXT(O56)</f>
        <v>=DROITE(N56;NBCAR(N56)-CHERCHE(" ";N56))</v>
      </c>
      <c r="Q56" s="2339"/>
      <c r="R56" s="2339"/>
      <c r="S56" s="2339"/>
      <c r="T56" s="2339"/>
      <c r="U56" s="2339"/>
      <c r="V56" s="2339"/>
      <c r="W56" s="2339"/>
      <c r="X56" s="2339"/>
      <c r="Y56" s="2339"/>
      <c r="Z56" s="2339"/>
      <c r="AA56" s="2339"/>
      <c r="AB56" s="2339"/>
      <c r="AC56" s="2339"/>
      <c r="AD56" s="2339"/>
      <c r="AE56" s="2339"/>
      <c r="AF56" s="2339"/>
      <c r="AG56" s="2339"/>
      <c r="AH56" s="2339"/>
      <c r="AI56" s="2339"/>
      <c r="AJ56" s="2339"/>
      <c r="AK56" s="2339"/>
      <c r="AL56" s="2339"/>
      <c r="AM56" s="2339"/>
      <c r="AN56" s="2339"/>
      <c r="AO56" s="2339"/>
      <c r="AP56" s="2339"/>
      <c r="AQ56" s="2339"/>
      <c r="AR56" s="2339"/>
      <c r="AS56" s="2339"/>
      <c r="AT56" s="2339"/>
      <c r="AU56" s="2339"/>
      <c r="AV56" s="2339"/>
      <c r="AW56" s="2339"/>
      <c r="AX56" s="2339"/>
      <c r="AY56" s="2339"/>
      <c r="AZ56" s="2339"/>
      <c r="BA56" s="2339"/>
      <c r="BB56" s="2339"/>
      <c r="BC56" s="2339"/>
      <c r="BD56" s="3">
        <v>1</v>
      </c>
    </row>
    <row r="57" spans="2:58" ht="21" customHeight="1">
      <c r="B57" s="7852"/>
      <c r="C57" s="2373" t="str">
        <f>HYPERLINK("#"&amp;ADDRESS(ROW(C43),COLUMN(C43),4)," 🔗 ICI")</f>
        <v xml:space="preserve"> 🔗 ICI</v>
      </c>
      <c r="D57" s="7858" t="str">
        <f ca="1">_xlfn.FORMULATEXT(C57)</f>
        <v>=LIEN_HYPERTEXTE("#"&amp;ADRESSE(LIGNE(C43);COLONNE(C43);4);" 🔗 ICI")</v>
      </c>
      <c r="E57" s="7858"/>
      <c r="F57" s="7858"/>
      <c r="G57" s="7858"/>
      <c r="H57" s="7859"/>
      <c r="I57" s="2339"/>
      <c r="J57" s="2339">
        <v>1</v>
      </c>
      <c r="K57" s="2339">
        <v>1</v>
      </c>
      <c r="L57" s="2339">
        <v>1</v>
      </c>
      <c r="M57" s="2339"/>
      <c r="N57" s="2378" t="s">
        <v>9394</v>
      </c>
      <c r="O57" s="2379" t="str">
        <f>LEFT(N57,SEARCH(",",N57)-1)</f>
        <v>Guillaume</v>
      </c>
      <c r="P57" s="2371" t="str">
        <f ca="1">_xlfn.FORMULATEXT(O57)</f>
        <v>=GAUCHE(N57;CHERCHE(",";N57)-1)</v>
      </c>
      <c r="Q57" s="2371"/>
      <c r="R57" s="2363"/>
      <c r="S57" s="2363"/>
      <c r="T57" s="2363"/>
      <c r="U57" s="2339"/>
      <c r="V57" s="2339"/>
      <c r="W57" s="2339"/>
      <c r="X57" s="2339"/>
      <c r="Y57" s="2339"/>
      <c r="Z57" s="2339"/>
      <c r="AA57" s="2339"/>
      <c r="AB57" s="2339"/>
      <c r="AC57" s="2339"/>
      <c r="AD57" s="2339"/>
      <c r="AE57" s="2339"/>
      <c r="AF57" s="2339"/>
      <c r="AG57" s="2339"/>
      <c r="AH57" s="2339"/>
      <c r="AI57" s="2339"/>
      <c r="AJ57" s="2339"/>
      <c r="AK57" s="2339"/>
      <c r="AL57" s="2339"/>
      <c r="AM57" s="2339"/>
      <c r="AN57" s="2339"/>
      <c r="AO57" s="2339"/>
      <c r="AP57" s="2339"/>
      <c r="AQ57" s="2339"/>
      <c r="AR57" s="2339"/>
      <c r="AS57" s="2339"/>
      <c r="AT57" s="2339"/>
      <c r="AU57" s="2339"/>
      <c r="AV57" s="2339"/>
      <c r="AW57" s="2339"/>
      <c r="AX57" s="2339"/>
      <c r="AY57" s="2339"/>
      <c r="AZ57" s="2339"/>
      <c r="BA57" s="2339"/>
      <c r="BB57" s="2339"/>
      <c r="BC57" s="2339"/>
      <c r="BD57" s="3">
        <v>1</v>
      </c>
    </row>
    <row r="58" spans="2:58" ht="21" customHeight="1">
      <c r="B58" s="7852"/>
      <c r="C58" s="2372"/>
      <c r="D58" s="7858"/>
      <c r="E58" s="7858"/>
      <c r="F58" s="7858"/>
      <c r="G58" s="7858"/>
      <c r="H58" s="7859"/>
      <c r="I58" s="2339"/>
      <c r="J58" s="2339">
        <v>1</v>
      </c>
      <c r="K58" s="2339">
        <v>1</v>
      </c>
      <c r="L58" s="2339">
        <v>1</v>
      </c>
      <c r="M58" s="2339"/>
      <c r="N58" s="2339">
        <v>1</v>
      </c>
      <c r="O58" s="2379" t="str">
        <f>RIGHT(N57,LEN(N57)-SEARCH(",",N57))</f>
        <v>Tell</v>
      </c>
      <c r="P58" s="2371" t="str">
        <f ca="1">_xlfn.FORMULATEXT(O58)</f>
        <v>=DROITE(N57;NBCAR(N57)-CHERCHE(",";N57))</v>
      </c>
      <c r="U58" s="2339"/>
      <c r="V58" s="2339"/>
      <c r="W58" s="2339"/>
      <c r="X58" s="2339"/>
      <c r="Y58" s="2339"/>
      <c r="Z58" s="2339"/>
      <c r="AA58" s="2339"/>
      <c r="AB58" s="2339"/>
      <c r="AC58" s="2339"/>
      <c r="AD58" s="2339"/>
      <c r="AE58" s="2339"/>
      <c r="AF58" s="2339"/>
      <c r="AG58" s="2339"/>
      <c r="AH58" s="2339"/>
      <c r="AI58" s="2339"/>
      <c r="AJ58" s="2339"/>
      <c r="AK58" s="2339"/>
      <c r="AL58" s="2339"/>
      <c r="AM58" s="2339"/>
      <c r="AN58" s="2339"/>
      <c r="AO58" s="2339"/>
      <c r="AP58" s="2339"/>
      <c r="AQ58" s="2339"/>
      <c r="AR58" s="2339"/>
      <c r="AS58" s="2339"/>
      <c r="AT58" s="2339"/>
      <c r="AU58" s="2339"/>
      <c r="AV58" s="2339"/>
      <c r="AW58" s="2339"/>
      <c r="AX58" s="2339"/>
      <c r="AY58" s="2339"/>
      <c r="AZ58" s="2339"/>
      <c r="BA58" s="2339"/>
      <c r="BB58" s="2339"/>
      <c r="BC58" s="2339"/>
      <c r="BD58" s="3">
        <v>1</v>
      </c>
    </row>
    <row r="59" spans="2:58" ht="21" customHeight="1">
      <c r="B59" s="7852"/>
      <c r="C59" s="2372"/>
      <c r="D59" s="2371"/>
      <c r="E59" s="2371"/>
      <c r="F59" s="2371"/>
      <c r="G59" s="2371"/>
      <c r="H59" s="2380"/>
      <c r="I59" s="2339"/>
      <c r="J59" s="2339"/>
      <c r="K59" s="2339"/>
      <c r="L59" s="2339"/>
      <c r="M59" s="2339"/>
      <c r="N59" s="2339">
        <v>1</v>
      </c>
      <c r="O59" s="2363" t="s">
        <v>9395</v>
      </c>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2339"/>
      <c r="AM59" s="2339"/>
      <c r="AN59" s="2339"/>
      <c r="AO59" s="2339"/>
      <c r="AP59" s="2339"/>
      <c r="AQ59" s="2339"/>
      <c r="AR59" s="2339"/>
      <c r="AS59" s="2339"/>
      <c r="AT59" s="2339"/>
      <c r="AU59" s="2339"/>
      <c r="AV59" s="2339"/>
      <c r="AW59" s="2339"/>
      <c r="AX59" s="2339"/>
      <c r="AY59" s="2339"/>
      <c r="AZ59" s="2339"/>
      <c r="BA59" s="2339"/>
      <c r="BB59" s="2339"/>
      <c r="BC59" s="2339"/>
      <c r="BD59" s="3">
        <v>1</v>
      </c>
    </row>
    <row r="60" spans="2:58" ht="21" customHeight="1">
      <c r="B60" s="7852"/>
      <c r="C60" s="2381" t="str">
        <f>HYPERLINK("#"&amp;ADDRESS(ROW(C43),COLUMN(C43),4)," 🔗 "&amp;ADDRESS(ROW(C43),COLUMN(C43),4))</f>
        <v xml:space="preserve"> 🔗 C43</v>
      </c>
      <c r="D60" s="7858" t="str">
        <f ca="1">_xlfn.FORMULATEXT(C60)</f>
        <v>=LIEN_HYPERTEXTE("#"&amp;ADRESSE(LIGNE(C43);COLONNE(C43);4);" 🔗 "&amp;ADRESSE(LIGNE(C43);COLONNE(C43);4))</v>
      </c>
      <c r="E60" s="7858"/>
      <c r="F60" s="7858"/>
      <c r="G60" s="7858"/>
      <c r="H60" s="7859"/>
      <c r="I60" s="2339"/>
      <c r="J60" s="2339"/>
      <c r="K60" s="2339"/>
      <c r="L60" s="2339"/>
      <c r="M60" s="2339"/>
      <c r="O60" s="2339"/>
      <c r="P60" s="2382"/>
      <c r="Q60" s="2383" t="s">
        <v>9396</v>
      </c>
      <c r="R60" s="2384" t="s">
        <v>9397</v>
      </c>
      <c r="S60" s="2382"/>
      <c r="T60" s="2382"/>
      <c r="U60" s="2339"/>
      <c r="V60" s="2339"/>
      <c r="W60" s="2339"/>
      <c r="X60" s="2339"/>
      <c r="Y60" s="2339"/>
      <c r="Z60" s="2339"/>
      <c r="AA60" s="2339"/>
      <c r="AB60" s="2339"/>
      <c r="AC60" s="2339"/>
      <c r="AD60" s="2339"/>
      <c r="AE60" s="2339"/>
      <c r="AF60" s="2339"/>
      <c r="AG60" s="2339"/>
      <c r="AH60" s="2339"/>
      <c r="AI60" s="2339"/>
      <c r="AJ60" s="2339"/>
      <c r="AK60" s="2339"/>
      <c r="AL60" s="2339"/>
      <c r="AM60" s="2339"/>
      <c r="AN60" s="2339"/>
      <c r="AO60" s="2339"/>
      <c r="AP60" s="2339"/>
      <c r="AQ60" s="2339"/>
      <c r="AR60" s="2339"/>
      <c r="AS60" s="2339"/>
      <c r="AT60" s="2339"/>
      <c r="AU60" s="2339"/>
      <c r="AV60" s="2339"/>
      <c r="AW60" s="2339"/>
      <c r="AX60" s="2339"/>
      <c r="AY60" s="2339"/>
      <c r="AZ60" s="2339"/>
      <c r="BA60" s="2339"/>
      <c r="BB60" s="2339"/>
      <c r="BC60" s="2339"/>
      <c r="BD60" s="3">
        <v>1</v>
      </c>
    </row>
    <row r="61" spans="2:58" ht="21" customHeight="1">
      <c r="B61" s="7852"/>
      <c r="C61" s="2372"/>
      <c r="D61" s="7858"/>
      <c r="E61" s="7858"/>
      <c r="F61" s="7858"/>
      <c r="G61" s="7858"/>
      <c r="H61" s="785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3">
        <v>1</v>
      </c>
    </row>
    <row r="62" spans="2:58" ht="21" customHeight="1" thickBot="1">
      <c r="B62" s="7852"/>
      <c r="C62" s="2372"/>
      <c r="D62" s="2353"/>
      <c r="E62" s="2353"/>
      <c r="F62" s="2353"/>
      <c r="G62" s="2353"/>
      <c r="H62" s="2356"/>
      <c r="I62" s="2339"/>
      <c r="J62" s="2339"/>
      <c r="K62" s="2339"/>
      <c r="L62" s="2339"/>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2339"/>
      <c r="AM62" s="2339"/>
      <c r="AN62" s="2339"/>
      <c r="AO62" s="2339"/>
      <c r="AP62" s="2339"/>
      <c r="AQ62" s="2339"/>
      <c r="AR62" s="2339"/>
      <c r="AS62" s="2339"/>
      <c r="AT62" s="2339"/>
      <c r="AU62" s="2339"/>
      <c r="AV62" s="2339"/>
      <c r="AW62" s="2339"/>
      <c r="AX62" s="2339"/>
      <c r="AY62" s="2339"/>
      <c r="AZ62" s="2339"/>
      <c r="BA62" s="2339"/>
      <c r="BB62" s="2339"/>
      <c r="BC62" s="2339"/>
      <c r="BD62" s="3">
        <v>1</v>
      </c>
    </row>
    <row r="63" spans="2:58" ht="21" customHeight="1">
      <c r="B63" s="7852"/>
      <c r="C63" s="2381" t="str">
        <f>HYPERLINK("#"&amp;ADDRESS(ROW(C43),COLUMN(C43),4),"◀"&amp;ADDRESS(ROW(C43),COLUMN(C43),4))</f>
        <v>◀C43</v>
      </c>
      <c r="D63" s="7860" t="str">
        <f ca="1">_xlfn.FORMULATEXT(C63)</f>
        <v>=LIEN_HYPERTEXTE("#"&amp;ADRESSE(LIGNE(C43);COLONNE(C43);4);"◀"&amp;ADRESSE(LIGNE(C43);COLONNE(C43);4))</v>
      </c>
      <c r="E63" s="7860"/>
      <c r="F63" s="7860"/>
      <c r="G63" s="7860"/>
      <c r="H63" s="7861"/>
      <c r="I63" s="2339"/>
      <c r="J63" s="2385" t="s">
        <v>9398</v>
      </c>
      <c r="K63" s="2386"/>
      <c r="L63" s="2386"/>
      <c r="M63" s="2386"/>
      <c r="N63" s="2386"/>
      <c r="O63" s="2386"/>
      <c r="P63" s="2387"/>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2339"/>
      <c r="AM63" s="2339"/>
      <c r="AN63" s="2339"/>
      <c r="AO63" s="2339"/>
      <c r="AP63" s="2339"/>
      <c r="AQ63" s="2339"/>
      <c r="AR63" s="2339"/>
      <c r="AS63" s="2339"/>
      <c r="AT63" s="2339"/>
      <c r="AU63" s="2339"/>
      <c r="AV63" s="2339"/>
      <c r="AW63" s="2339"/>
      <c r="AX63" s="2339"/>
      <c r="AY63" s="2339"/>
      <c r="AZ63" s="2339"/>
      <c r="BA63" s="2339"/>
      <c r="BB63" s="2339"/>
      <c r="BC63" s="2339"/>
      <c r="BD63" s="3">
        <v>1</v>
      </c>
    </row>
    <row r="64" spans="2:58" ht="21" customHeight="1">
      <c r="B64" s="7852"/>
      <c r="C64" s="2372"/>
      <c r="D64" s="7860"/>
      <c r="E64" s="7860"/>
      <c r="F64" s="7860"/>
      <c r="G64" s="7860"/>
      <c r="H64" s="7861"/>
      <c r="I64" s="2339"/>
      <c r="J64" s="2388" t="s">
        <v>9399</v>
      </c>
      <c r="K64" s="2389"/>
      <c r="L64" s="2389"/>
      <c r="M64" s="2389"/>
      <c r="N64" s="2389"/>
      <c r="O64" s="2389"/>
      <c r="P64" s="2390"/>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2339"/>
      <c r="AS64" s="2339"/>
      <c r="AT64" s="2339"/>
      <c r="AU64" s="2339"/>
      <c r="AV64" s="2339"/>
      <c r="AW64" s="2339"/>
      <c r="AX64" s="2339"/>
      <c r="AY64" s="2339"/>
      <c r="AZ64" s="2339"/>
      <c r="BA64" s="2339"/>
      <c r="BB64" s="2339"/>
      <c r="BC64" s="2339"/>
      <c r="BD64" s="3">
        <v>1</v>
      </c>
    </row>
    <row r="65" spans="2:56" ht="21" customHeight="1">
      <c r="B65" s="7852"/>
      <c r="C65" s="2372"/>
      <c r="D65" s="2376"/>
      <c r="E65" s="2376"/>
      <c r="F65" s="2376"/>
      <c r="G65" s="2376"/>
      <c r="H65" s="2377"/>
      <c r="I65" s="2339"/>
      <c r="J65" s="2388" t="s">
        <v>9400</v>
      </c>
      <c r="K65" s="2389"/>
      <c r="L65" s="2389"/>
      <c r="M65" s="2389"/>
      <c r="N65" s="2389"/>
      <c r="O65" s="2389"/>
      <c r="P65" s="2390"/>
      <c r="Q65" s="2339"/>
      <c r="R65" s="2339"/>
      <c r="S65" s="2339"/>
      <c r="T65" s="2339"/>
      <c r="U65" s="2339"/>
      <c r="V65" s="2339"/>
      <c r="W65" s="2339"/>
      <c r="X65" s="2339"/>
      <c r="Y65" s="2339"/>
      <c r="Z65" s="2339"/>
      <c r="AA65" s="2339"/>
      <c r="AB65" s="2339"/>
      <c r="AC65" s="2339"/>
      <c r="AD65" s="2339"/>
      <c r="AE65" s="2339"/>
      <c r="AF65" s="2339"/>
      <c r="AG65" s="2339"/>
      <c r="AH65" s="2339"/>
      <c r="AI65" s="2339"/>
      <c r="AJ65" s="2339"/>
      <c r="AK65" s="2339"/>
      <c r="AL65" s="2339"/>
      <c r="AM65" s="2339"/>
      <c r="AN65" s="2339"/>
      <c r="AO65" s="2339"/>
      <c r="AP65" s="2339"/>
      <c r="AQ65" s="2339"/>
      <c r="AR65" s="2339"/>
      <c r="AS65" s="2339"/>
      <c r="AT65" s="2339"/>
      <c r="AU65" s="2339"/>
      <c r="AV65" s="2339"/>
      <c r="AW65" s="2339"/>
      <c r="AX65" s="2339"/>
      <c r="AY65" s="2339"/>
      <c r="AZ65" s="2339"/>
      <c r="BA65" s="2339"/>
      <c r="BB65" s="2339"/>
      <c r="BC65" s="2339"/>
      <c r="BD65" s="3">
        <v>1</v>
      </c>
    </row>
    <row r="66" spans="2:56" ht="21" customHeight="1">
      <c r="B66" s="7852"/>
      <c r="C66" s="2381" t="str">
        <f>HYPERLINK("#"&amp;ADDRESS(ROW(C43),COLUMN(C43),4),_xlfn.UNICHAR(128269)&amp;ADDRESS(ROW(C43),COLUMN(C43),4))</f>
        <v>🔍C43</v>
      </c>
      <c r="D66" s="7837" t="str">
        <f ca="1">_xlfn.FORMULATEXT(C66)</f>
        <v>=LIEN_HYPERTEXTE("#"&amp;ADRESSE(LIGNE(C43);COLONNE(C43);4);UNICAR(128269)&amp;ADRESSE(LIGNE(C43);COLONNE(C43);4))</v>
      </c>
      <c r="E66" s="7837"/>
      <c r="F66" s="7837"/>
      <c r="G66" s="7837"/>
      <c r="H66" s="7838"/>
      <c r="I66" s="2339"/>
      <c r="J66" s="2388" t="s">
        <v>9401</v>
      </c>
      <c r="K66" s="2389"/>
      <c r="L66" s="2389"/>
      <c r="M66" s="2389"/>
      <c r="N66" s="2389"/>
      <c r="O66" s="2389"/>
      <c r="P66" s="2390"/>
      <c r="Q66" s="2339"/>
      <c r="R66" s="2339"/>
      <c r="S66" s="2339"/>
      <c r="T66" s="2339"/>
      <c r="U66" s="2339"/>
      <c r="V66" s="2339"/>
      <c r="W66" s="2339"/>
      <c r="X66" s="2339"/>
      <c r="Y66" s="2339"/>
      <c r="Z66" s="2339"/>
      <c r="AA66" s="2339"/>
      <c r="AB66" s="2339"/>
      <c r="AC66" s="2339"/>
      <c r="AD66" s="2339"/>
      <c r="AE66" s="2339"/>
      <c r="AF66" s="2339"/>
      <c r="AG66" s="2339"/>
      <c r="AH66" s="2339"/>
      <c r="AI66" s="2339"/>
      <c r="AJ66" s="2339"/>
      <c r="AK66" s="2339"/>
      <c r="AL66" s="2339"/>
      <c r="AM66" s="2339"/>
      <c r="AN66" s="2339"/>
      <c r="AO66" s="2339"/>
      <c r="AP66" s="2339"/>
      <c r="AQ66" s="2339"/>
      <c r="AR66" s="2339"/>
      <c r="AS66" s="2339"/>
      <c r="AT66" s="2339"/>
      <c r="AU66" s="2339"/>
      <c r="AV66" s="2339"/>
      <c r="AW66" s="2339"/>
      <c r="AX66" s="2339"/>
      <c r="AY66" s="2339"/>
      <c r="AZ66" s="2339"/>
      <c r="BA66" s="2339"/>
      <c r="BB66" s="2339"/>
      <c r="BC66" s="2339"/>
      <c r="BD66" s="3">
        <v>1</v>
      </c>
    </row>
    <row r="67" spans="2:56" ht="21" customHeight="1">
      <c r="B67" s="7852"/>
      <c r="C67" s="2372"/>
      <c r="D67" s="7837"/>
      <c r="E67" s="7837"/>
      <c r="F67" s="7837"/>
      <c r="G67" s="7837"/>
      <c r="H67" s="7838"/>
      <c r="I67" s="2339"/>
      <c r="J67" s="517" t="s">
        <v>9402</v>
      </c>
      <c r="K67" s="2067"/>
      <c r="L67" s="2067"/>
      <c r="M67" s="2067"/>
      <c r="N67" s="2067"/>
      <c r="O67" s="2067"/>
      <c r="P67" s="2068"/>
      <c r="Q67" s="2339"/>
      <c r="R67" s="2339"/>
      <c r="S67" s="2339"/>
      <c r="T67" s="2339"/>
      <c r="U67" s="2339"/>
      <c r="V67" s="2339"/>
      <c r="W67" s="2339"/>
      <c r="X67" s="2339"/>
      <c r="Y67" s="2339"/>
      <c r="Z67" s="2339"/>
      <c r="AA67" s="2339"/>
      <c r="AB67" s="2339"/>
      <c r="AC67" s="2339"/>
      <c r="AD67" s="2339"/>
      <c r="AE67" s="2339"/>
      <c r="AF67" s="2339"/>
      <c r="AG67" s="2339"/>
      <c r="AH67" s="2339"/>
      <c r="AI67" s="2339"/>
      <c r="AJ67" s="2339"/>
      <c r="AK67" s="2339"/>
      <c r="AL67" s="2339"/>
      <c r="AM67" s="2339"/>
      <c r="AN67" s="2339"/>
      <c r="AO67" s="2339"/>
      <c r="AP67" s="2339"/>
      <c r="AQ67" s="2339"/>
      <c r="AR67" s="2339"/>
      <c r="AS67" s="2339"/>
      <c r="AT67" s="2339"/>
      <c r="AU67" s="2339"/>
      <c r="AV67" s="2339"/>
      <c r="AW67" s="2339"/>
      <c r="AX67" s="2339"/>
      <c r="AY67" s="2339"/>
      <c r="AZ67" s="2339"/>
      <c r="BA67" s="2339"/>
      <c r="BB67" s="2339"/>
      <c r="BC67" s="2339"/>
      <c r="BD67" s="3">
        <v>1</v>
      </c>
    </row>
    <row r="68" spans="2:56" ht="21" customHeight="1">
      <c r="B68" s="7852"/>
      <c r="C68" s="2372"/>
      <c r="D68" s="2391"/>
      <c r="E68" s="2391"/>
      <c r="F68" s="2391"/>
      <c r="G68" s="2391"/>
      <c r="H68" s="2392"/>
      <c r="I68" s="2339"/>
      <c r="J68" s="2393">
        <v>14</v>
      </c>
      <c r="K68" s="2394">
        <v>14</v>
      </c>
      <c r="L68" s="2394">
        <v>14</v>
      </c>
      <c r="M68" s="2394">
        <v>14</v>
      </c>
      <c r="N68" s="2394">
        <v>14</v>
      </c>
      <c r="O68" s="2394">
        <v>14</v>
      </c>
      <c r="P68" s="2395">
        <v>14</v>
      </c>
      <c r="Q68" s="2396" t="s">
        <v>9403</v>
      </c>
      <c r="R68" s="2339"/>
      <c r="S68" s="2339"/>
      <c r="T68" s="2339"/>
      <c r="U68" s="2339"/>
      <c r="V68" s="2339"/>
      <c r="W68" s="2339"/>
      <c r="X68" s="2339"/>
      <c r="Y68" s="2339"/>
      <c r="Z68" s="2339"/>
      <c r="AA68" s="2339"/>
      <c r="AB68" s="2339"/>
      <c r="AC68" s="2339"/>
      <c r="AD68" s="2339"/>
      <c r="AE68" s="2339"/>
      <c r="AF68" s="2339"/>
      <c r="AG68" s="2339"/>
      <c r="AH68" s="2339"/>
      <c r="AI68" s="2339"/>
      <c r="AJ68" s="2339"/>
      <c r="AK68" s="2339"/>
      <c r="AL68" s="2339"/>
      <c r="AM68" s="2339"/>
      <c r="AN68" s="2339"/>
      <c r="AO68" s="2339"/>
      <c r="AP68" s="2339"/>
      <c r="AQ68" s="2339"/>
      <c r="AR68" s="2339"/>
      <c r="AS68" s="2339"/>
      <c r="AT68" s="2339"/>
      <c r="AU68" s="2339"/>
      <c r="AV68" s="2339"/>
      <c r="AW68" s="2339"/>
      <c r="AX68" s="2339"/>
      <c r="AY68" s="2339"/>
      <c r="AZ68" s="2339"/>
      <c r="BA68" s="2339"/>
      <c r="BB68" s="2339"/>
      <c r="BC68" s="2339"/>
      <c r="BD68" s="3">
        <v>1</v>
      </c>
    </row>
    <row r="69" spans="2:56" ht="21" customHeight="1" thickBot="1">
      <c r="B69" s="7852"/>
      <c r="C69" s="2397"/>
      <c r="D69" s="2398" t="s">
        <v>9404</v>
      </c>
      <c r="E69" s="2391" t="str">
        <f>C43</f>
        <v>C43</v>
      </c>
      <c r="F69" s="2399" t="s">
        <v>9405</v>
      </c>
      <c r="G69" s="2391"/>
      <c r="H69" s="2392"/>
      <c r="I69" s="2339"/>
      <c r="J69" s="862">
        <f t="shared" ref="J69:O69" ca="1" si="6">CELL("largeur",J69)</f>
        <v>18</v>
      </c>
      <c r="K69" s="863">
        <f t="shared" ca="1" si="6"/>
        <v>16</v>
      </c>
      <c r="L69" s="863">
        <f t="shared" ca="1" si="6"/>
        <v>16</v>
      </c>
      <c r="M69" s="863">
        <f t="shared" ca="1" si="6"/>
        <v>18</v>
      </c>
      <c r="N69" s="863">
        <f t="shared" ca="1" si="6"/>
        <v>16</v>
      </c>
      <c r="O69" s="863">
        <f t="shared" ca="1" si="6"/>
        <v>16</v>
      </c>
      <c r="P69" s="864">
        <f ca="1">CELL("largeur",P69)</f>
        <v>16</v>
      </c>
      <c r="Q69" s="2396" t="s">
        <v>9406</v>
      </c>
      <c r="R69" s="2339"/>
      <c r="S69" s="2339"/>
      <c r="T69" s="2339"/>
      <c r="U69" s="2339"/>
      <c r="V69" s="2339"/>
      <c r="W69" s="2339"/>
      <c r="X69" s="2339"/>
      <c r="Y69" s="2339"/>
      <c r="Z69" s="2339"/>
      <c r="AA69" s="2339"/>
      <c r="AB69" s="2339"/>
      <c r="AC69" s="2339"/>
      <c r="AD69" s="2339"/>
      <c r="AE69" s="2339"/>
      <c r="AF69" s="2339"/>
      <c r="AG69" s="2339"/>
      <c r="AH69" s="2339"/>
      <c r="AI69" s="2339"/>
      <c r="AJ69" s="2339"/>
      <c r="AK69" s="2339"/>
      <c r="AL69" s="2339"/>
      <c r="AM69" s="2339"/>
      <c r="AN69" s="2339"/>
      <c r="AO69" s="2339"/>
      <c r="AP69" s="2339"/>
      <c r="AQ69" s="2339"/>
      <c r="AR69" s="2339"/>
      <c r="AS69" s="2339"/>
      <c r="AT69" s="2339"/>
      <c r="AU69" s="2339"/>
      <c r="AV69" s="2339"/>
      <c r="AW69" s="2339"/>
      <c r="AX69" s="2339"/>
      <c r="AY69" s="2339"/>
      <c r="AZ69" s="2339"/>
      <c r="BA69" s="2339"/>
      <c r="BB69" s="2339"/>
      <c r="BC69" s="2339"/>
      <c r="BD69" s="3">
        <v>1</v>
      </c>
    </row>
    <row r="70" spans="2:56" ht="21" customHeight="1">
      <c r="B70" s="7852"/>
      <c r="C70" s="7442" t="s">
        <v>9407</v>
      </c>
      <c r="D70" s="7442"/>
      <c r="E70" s="7442"/>
      <c r="F70" s="7442"/>
      <c r="G70" s="7442"/>
      <c r="H70" s="7443"/>
      <c r="I70" s="2339"/>
      <c r="K70" s="2339"/>
      <c r="L70" s="2339"/>
      <c r="M70" s="2339"/>
      <c r="N70" s="2339"/>
      <c r="O70" s="2339"/>
      <c r="P70" s="2339"/>
      <c r="Q70" s="2339"/>
      <c r="R70" s="2339"/>
      <c r="S70" s="2339"/>
      <c r="T70" s="2339"/>
      <c r="U70" s="2339"/>
      <c r="V70" s="2339"/>
      <c r="W70" s="2339"/>
      <c r="X70" s="2339"/>
      <c r="Y70" s="2339"/>
      <c r="Z70" s="2339"/>
      <c r="AA70" s="2339"/>
      <c r="AB70" s="2339"/>
      <c r="AC70" s="2339"/>
      <c r="AD70" s="2339"/>
      <c r="AE70" s="2339"/>
      <c r="AF70" s="2339"/>
      <c r="AG70" s="2339"/>
      <c r="AH70" s="2339"/>
      <c r="AI70" s="2339"/>
      <c r="AJ70" s="2339"/>
      <c r="AK70" s="2339"/>
      <c r="AL70" s="2339"/>
      <c r="AM70" s="2339"/>
      <c r="AN70" s="2339"/>
      <c r="AO70" s="2339"/>
      <c r="AP70" s="2339"/>
      <c r="AQ70" s="2339"/>
      <c r="AR70" s="2339"/>
      <c r="AS70" s="2339"/>
      <c r="AT70" s="2339"/>
      <c r="AU70" s="2339"/>
      <c r="AV70" s="2339"/>
      <c r="AW70" s="2339"/>
      <c r="AX70" s="2339"/>
      <c r="AY70" s="2339"/>
      <c r="AZ70" s="2339"/>
      <c r="BA70" s="2339"/>
      <c r="BB70" s="2339"/>
      <c r="BC70" s="2339"/>
      <c r="BD70" s="3">
        <v>1</v>
      </c>
    </row>
    <row r="71" spans="2:56" ht="21" customHeight="1">
      <c r="B71" s="7852"/>
      <c r="C71" s="7442"/>
      <c r="D71" s="7442"/>
      <c r="E71" s="7442"/>
      <c r="F71" s="7442"/>
      <c r="G71" s="7442"/>
      <c r="H71" s="7443"/>
      <c r="I71" s="2339"/>
      <c r="J71" s="2400" t="s">
        <v>9408</v>
      </c>
      <c r="K71" s="2339"/>
      <c r="L71" s="2339"/>
      <c r="M71" s="2339"/>
      <c r="N71" s="2339"/>
      <c r="O71" s="2339"/>
      <c r="P71" s="2339"/>
      <c r="Q71" s="2339"/>
      <c r="R71" s="2339"/>
      <c r="S71" s="2339"/>
      <c r="T71" s="2339"/>
      <c r="U71" s="2339"/>
      <c r="V71" s="2339"/>
      <c r="W71" s="2339"/>
      <c r="X71" s="2339"/>
      <c r="Y71" s="2339"/>
      <c r="Z71" s="2339"/>
      <c r="AA71" s="2339"/>
      <c r="AB71" s="2339"/>
      <c r="AC71" s="2339"/>
      <c r="AD71" s="2339"/>
      <c r="AE71" s="2339"/>
      <c r="AF71" s="2339"/>
      <c r="AG71" s="2339"/>
      <c r="AH71" s="2339"/>
      <c r="AI71" s="2339"/>
      <c r="AJ71" s="2339"/>
      <c r="AK71" s="2339"/>
      <c r="AL71" s="2339"/>
      <c r="AM71" s="2339"/>
      <c r="AN71" s="2339"/>
      <c r="AO71" s="2339"/>
      <c r="AP71" s="2339"/>
      <c r="AQ71" s="2339"/>
      <c r="AR71" s="2339"/>
      <c r="AS71" s="2339"/>
      <c r="AT71" s="2339"/>
      <c r="AU71" s="2339"/>
      <c r="AV71" s="2339"/>
      <c r="AW71" s="2339"/>
      <c r="AX71" s="2339"/>
      <c r="AY71" s="2339"/>
      <c r="AZ71" s="2339"/>
      <c r="BA71" s="2339"/>
      <c r="BB71" s="2339"/>
      <c r="BC71" s="2339"/>
      <c r="BD71" s="3">
        <v>1</v>
      </c>
    </row>
    <row r="72" spans="2:56" ht="21" customHeight="1">
      <c r="B72" s="7852"/>
      <c r="C72" s="2372"/>
      <c r="D72" s="2401"/>
      <c r="E72" s="2401"/>
      <c r="F72" s="2401"/>
      <c r="G72" s="2401"/>
      <c r="H72" s="2402"/>
      <c r="I72" s="2339"/>
      <c r="J72" s="2403" t="s">
        <v>9409</v>
      </c>
      <c r="K72" s="2339"/>
      <c r="L72" s="2339"/>
      <c r="M72" s="2339"/>
      <c r="O72" s="2404"/>
      <c r="P72" s="2405" t="s">
        <v>9410</v>
      </c>
      <c r="Q72" s="2384" t="s">
        <v>9411</v>
      </c>
      <c r="R72" s="2404"/>
      <c r="S72" s="2404"/>
      <c r="T72" s="2404"/>
      <c r="U72" s="2339"/>
      <c r="V72" s="2339"/>
      <c r="W72" s="2339"/>
      <c r="X72" s="2339"/>
      <c r="Y72" s="2339"/>
      <c r="Z72" s="2339"/>
      <c r="AA72" s="2339"/>
      <c r="AB72" s="2339"/>
      <c r="AC72" s="2339"/>
      <c r="AD72" s="2339"/>
      <c r="AE72" s="2339"/>
      <c r="AF72" s="2339"/>
      <c r="AG72" s="2339"/>
      <c r="AH72" s="2339"/>
      <c r="AI72" s="2339"/>
      <c r="AJ72" s="2339"/>
      <c r="AK72" s="2339"/>
      <c r="AL72" s="2339"/>
      <c r="AM72" s="2339"/>
      <c r="AN72" s="2339"/>
      <c r="AO72" s="2339"/>
      <c r="AP72" s="2339"/>
      <c r="AQ72" s="2339"/>
      <c r="AR72" s="2339"/>
      <c r="AS72" s="2339"/>
      <c r="AT72" s="2339"/>
      <c r="AU72" s="2339"/>
      <c r="AV72" s="2339"/>
      <c r="AW72" s="2339"/>
      <c r="AX72" s="2339"/>
      <c r="AY72" s="2339"/>
      <c r="AZ72" s="2339"/>
      <c r="BA72" s="2339"/>
      <c r="BB72" s="2339"/>
      <c r="BC72" s="2339"/>
      <c r="BD72" s="3">
        <v>1</v>
      </c>
    </row>
    <row r="73" spans="2:56" ht="21" customHeight="1" thickBot="1">
      <c r="B73" s="7852"/>
      <c r="C73" s="2406" t="s">
        <v>9412</v>
      </c>
      <c r="D73" s="2401"/>
      <c r="E73" s="2401"/>
      <c r="F73" s="2401"/>
      <c r="G73" s="2401"/>
      <c r="H73" s="2402"/>
      <c r="I73" s="2339"/>
      <c r="J73" s="2407" t="s">
        <v>9413</v>
      </c>
      <c r="K73" s="2339"/>
      <c r="L73" s="2339"/>
      <c r="M73" s="2339"/>
      <c r="N73" s="2339"/>
      <c r="O73" s="2339"/>
      <c r="P73" s="2339"/>
      <c r="Q73" s="2339"/>
      <c r="R73" s="2339"/>
      <c r="S73" s="2339"/>
      <c r="T73" s="2339"/>
      <c r="U73" s="2339"/>
      <c r="V73" s="2339"/>
      <c r="W73" s="2339"/>
      <c r="X73" s="2339"/>
      <c r="Y73" s="2339"/>
      <c r="Z73" s="2339"/>
      <c r="AA73" s="2339"/>
      <c r="AB73" s="2339"/>
      <c r="AC73" s="2339"/>
      <c r="AD73" s="2339"/>
      <c r="AE73" s="2339"/>
      <c r="AF73" s="2339"/>
      <c r="AG73" s="2339"/>
      <c r="AH73" s="2339"/>
      <c r="AI73" s="2339"/>
      <c r="AJ73" s="2339"/>
      <c r="AK73" s="2339"/>
      <c r="AL73" s="2339"/>
      <c r="AM73" s="2339"/>
      <c r="AN73" s="2339"/>
      <c r="AO73" s="2339"/>
      <c r="AP73" s="2339"/>
      <c r="AQ73" s="2339"/>
      <c r="AR73" s="2339"/>
      <c r="AS73" s="2339"/>
      <c r="AT73" s="2339"/>
      <c r="AU73" s="2339"/>
      <c r="AV73" s="2339"/>
      <c r="AW73" s="2339"/>
      <c r="AX73" s="2339"/>
      <c r="AY73" s="2339"/>
      <c r="AZ73" s="2339"/>
      <c r="BA73" s="2339"/>
      <c r="BB73" s="2339"/>
      <c r="BC73" s="2339"/>
      <c r="BD73" s="3">
        <v>1</v>
      </c>
    </row>
    <row r="74" spans="2:56" ht="21" customHeight="1">
      <c r="B74" s="7852"/>
      <c r="C74" s="2408" t="s">
        <v>9414</v>
      </c>
      <c r="D74" s="2401"/>
      <c r="E74" s="2401"/>
      <c r="F74" s="2401"/>
      <c r="G74" s="2401"/>
      <c r="H74" s="2402"/>
      <c r="I74" s="2339"/>
      <c r="J74" s="2409" t="s">
        <v>9415</v>
      </c>
      <c r="K74" s="2339"/>
      <c r="L74" s="2339"/>
      <c r="M74" s="2339"/>
      <c r="N74" s="2410" t="s">
        <v>166</v>
      </c>
      <c r="O74" s="7839" t="s">
        <v>9416</v>
      </c>
      <c r="P74" s="7839"/>
      <c r="Q74" s="7839"/>
      <c r="R74" s="7839"/>
      <c r="S74" s="7840"/>
      <c r="T74" s="2339"/>
      <c r="U74" s="2339"/>
      <c r="V74" s="2339"/>
      <c r="W74" s="2339"/>
      <c r="X74" s="2339"/>
      <c r="Y74" s="2339"/>
      <c r="Z74" s="2339"/>
      <c r="AA74" s="2339"/>
      <c r="AB74" s="2339"/>
      <c r="AC74" s="2339"/>
      <c r="AD74" s="2339"/>
      <c r="AE74" s="2339"/>
      <c r="AF74" s="2339"/>
      <c r="AG74" s="2339"/>
      <c r="AH74" s="2339"/>
      <c r="AI74" s="2339"/>
      <c r="AJ74" s="2339"/>
      <c r="AK74" s="2339"/>
      <c r="AL74" s="2339"/>
      <c r="AM74" s="2339"/>
      <c r="AN74" s="2339"/>
      <c r="AO74" s="2339"/>
      <c r="AP74" s="2339"/>
      <c r="AQ74" s="2339"/>
      <c r="AR74" s="2339"/>
      <c r="AS74" s="2339"/>
      <c r="AT74" s="2339"/>
      <c r="AU74" s="2339"/>
      <c r="AV74" s="2339"/>
      <c r="AW74" s="2339"/>
      <c r="AX74" s="2339"/>
      <c r="AY74" s="2339"/>
      <c r="AZ74" s="2339"/>
      <c r="BA74" s="2339"/>
      <c r="BB74" s="2339"/>
      <c r="BC74" s="2339"/>
      <c r="BD74" s="3">
        <v>1</v>
      </c>
    </row>
    <row r="75" spans="2:56" ht="21" customHeight="1">
      <c r="B75" s="7852"/>
      <c r="C75" s="7491" t="s">
        <v>9417</v>
      </c>
      <c r="D75" s="7491"/>
      <c r="E75" s="7491"/>
      <c r="F75" s="7491"/>
      <c r="G75" s="7491"/>
      <c r="H75" s="7492"/>
      <c r="I75" s="2339"/>
      <c r="J75" s="2411" t="s">
        <v>9418</v>
      </c>
      <c r="K75" s="2339"/>
      <c r="L75" s="2339"/>
      <c r="M75" s="2339"/>
      <c r="N75" s="7841">
        <v>3</v>
      </c>
      <c r="O75"/>
      <c r="P75" s="2412" t="s">
        <v>9419</v>
      </c>
      <c r="Q75" s="2413" t="s">
        <v>9420</v>
      </c>
      <c r="R75" s="1920"/>
      <c r="S75" s="2414"/>
      <c r="T75" s="2339"/>
      <c r="U75" s="2339"/>
      <c r="V75" s="2339"/>
      <c r="W75" s="2339"/>
      <c r="X75" s="2339"/>
      <c r="Y75" s="2339"/>
      <c r="Z75" s="2339"/>
      <c r="AA75" s="2339"/>
      <c r="AB75" s="2339"/>
      <c r="AC75" s="2339"/>
      <c r="AD75" s="2339"/>
      <c r="AE75" s="2339"/>
      <c r="AF75" s="2339"/>
      <c r="AG75" s="2339"/>
      <c r="AH75" s="2339"/>
      <c r="AI75" s="2339"/>
      <c r="AJ75" s="2339"/>
      <c r="AK75" s="2339"/>
      <c r="AL75" s="2339"/>
      <c r="AM75" s="2339"/>
      <c r="AN75" s="2339"/>
      <c r="AO75" s="2339"/>
      <c r="AP75" s="2339"/>
      <c r="AQ75" s="2339"/>
      <c r="AR75" s="2339"/>
      <c r="AS75" s="2339"/>
      <c r="AT75" s="2339"/>
      <c r="AU75" s="2339"/>
      <c r="AV75" s="2339"/>
      <c r="AW75" s="2339"/>
      <c r="AX75" s="2339"/>
      <c r="AY75" s="2339"/>
      <c r="AZ75" s="2339"/>
      <c r="BA75" s="2339"/>
      <c r="BB75" s="2339"/>
      <c r="BC75" s="2339"/>
      <c r="BD75" s="3">
        <v>1</v>
      </c>
    </row>
    <row r="76" spans="2:56" ht="21" customHeight="1">
      <c r="B76" s="7852"/>
      <c r="C76" s="7491"/>
      <c r="D76" s="7491"/>
      <c r="E76" s="7491"/>
      <c r="F76" s="7491"/>
      <c r="G76" s="7491"/>
      <c r="H76" s="7492"/>
      <c r="I76" s="2339"/>
      <c r="J76" s="2415" t="s">
        <v>9421</v>
      </c>
      <c r="K76" s="2339"/>
      <c r="L76" s="2339"/>
      <c r="M76" s="2339"/>
      <c r="N76" s="7841"/>
      <c r="O76" s="186"/>
      <c r="P76" s="186"/>
      <c r="Q76" s="186"/>
      <c r="R76" s="186"/>
      <c r="S76" s="191"/>
      <c r="T76" s="2339"/>
      <c r="U76" s="2339"/>
      <c r="V76" s="2339"/>
      <c r="W76" s="2339"/>
      <c r="X76" s="2339"/>
      <c r="Y76" s="2339"/>
      <c r="Z76" s="2339"/>
      <c r="AA76" s="2339"/>
      <c r="AB76" s="2339"/>
      <c r="AC76" s="2339"/>
      <c r="AD76" s="2339"/>
      <c r="AE76" s="2339"/>
      <c r="AF76" s="2339"/>
      <c r="AG76" s="2339"/>
      <c r="AH76" s="2339"/>
      <c r="AI76" s="2339"/>
      <c r="AJ76" s="2339"/>
      <c r="AK76" s="2339"/>
      <c r="AL76" s="2339"/>
      <c r="AM76" s="2339"/>
      <c r="AN76" s="2339"/>
      <c r="AO76" s="2339"/>
      <c r="AP76" s="2339"/>
      <c r="AQ76" s="2339"/>
      <c r="AR76" s="2339"/>
      <c r="AS76" s="2339"/>
      <c r="AT76" s="2339"/>
      <c r="AU76" s="2339"/>
      <c r="AV76" s="2339"/>
      <c r="AW76" s="2339"/>
      <c r="AX76" s="2339"/>
      <c r="AY76" s="2339"/>
      <c r="AZ76" s="2339"/>
      <c r="BA76" s="2339"/>
      <c r="BB76" s="2339"/>
      <c r="BC76" s="2339"/>
      <c r="BD76" s="3">
        <v>1</v>
      </c>
    </row>
    <row r="77" spans="2:56" ht="21" customHeight="1">
      <c r="B77" s="7852"/>
      <c r="C77" s="2408"/>
      <c r="D77" s="2401"/>
      <c r="E77" s="2401"/>
      <c r="F77" s="2401"/>
      <c r="G77" s="2401"/>
      <c r="H77" s="2402"/>
      <c r="I77" s="2339"/>
      <c r="J77" s="2416" t="s">
        <v>881</v>
      </c>
      <c r="K77" s="2339"/>
      <c r="L77" s="2339"/>
      <c r="M77" s="2339"/>
      <c r="N77" s="7841"/>
      <c r="O77" s="9"/>
      <c r="P77" s="9"/>
      <c r="Q77" s="2417" t="s">
        <v>9422</v>
      </c>
      <c r="R77" s="2418">
        <v>6</v>
      </c>
      <c r="S77" s="38"/>
      <c r="T77" s="2339"/>
      <c r="U77" s="2339"/>
      <c r="V77" s="2339"/>
      <c r="W77" s="2339"/>
      <c r="X77" s="2339"/>
      <c r="Y77" s="2339"/>
      <c r="Z77" s="2339"/>
      <c r="AA77" s="2339"/>
      <c r="AB77" s="2339"/>
      <c r="AC77" s="2339"/>
      <c r="AD77" s="2339"/>
      <c r="AE77" s="2339"/>
      <c r="AF77" s="2339"/>
      <c r="AG77" s="2339"/>
      <c r="AH77" s="2339"/>
      <c r="AI77" s="2339"/>
      <c r="AJ77" s="2339"/>
      <c r="AK77" s="2339"/>
      <c r="AL77" s="2339"/>
      <c r="AM77" s="2339"/>
      <c r="AN77" s="2339"/>
      <c r="AO77" s="2339"/>
      <c r="AP77" s="2339"/>
      <c r="AQ77" s="2339"/>
      <c r="AR77" s="2339"/>
      <c r="AS77" s="2339"/>
      <c r="AT77" s="2339"/>
      <c r="AU77" s="2339"/>
      <c r="AV77" s="2339"/>
      <c r="AW77" s="2339"/>
      <c r="AX77" s="2339"/>
      <c r="AY77" s="2339"/>
      <c r="AZ77" s="2339"/>
      <c r="BA77" s="2339"/>
      <c r="BB77" s="2339"/>
      <c r="BC77" s="2339"/>
      <c r="BD77" s="3">
        <v>1</v>
      </c>
    </row>
    <row r="78" spans="2:56" ht="21" customHeight="1">
      <c r="B78" s="7852"/>
      <c r="C78" s="2419" t="str">
        <f>HYPERLINK("# c131",_xlfn.UNICHAR(128269)&amp;" 🔗 Lien")</f>
        <v>🔍 🔗 Lien</v>
      </c>
      <c r="D78" s="2420" t="str">
        <f ca="1">_xlfn.FORMULATEXT(C78)</f>
        <v>=LIEN_HYPERTEXTE("# c131";UNICAR(128269)&amp;" 🔗 Lien")</v>
      </c>
      <c r="E78" s="2353"/>
      <c r="F78" s="2353"/>
      <c r="G78" s="2353"/>
      <c r="H78" s="2356"/>
      <c r="I78" s="2339"/>
      <c r="J78" s="2421" t="s">
        <v>9423</v>
      </c>
      <c r="K78" s="2339"/>
      <c r="L78" s="2339"/>
      <c r="M78" s="2339"/>
      <c r="N78" s="7841"/>
      <c r="O78" s="9"/>
      <c r="P78" s="9"/>
      <c r="Q78" s="2417" t="s">
        <v>9424</v>
      </c>
      <c r="R78" s="2418">
        <v>4</v>
      </c>
      <c r="S78" s="38"/>
      <c r="T78" s="2339"/>
      <c r="U78" s="2339"/>
      <c r="V78" s="2339"/>
      <c r="W78" s="2339"/>
      <c r="X78" s="2339"/>
      <c r="Y78" s="2339"/>
      <c r="Z78" s="2339"/>
      <c r="AA78" s="2339"/>
      <c r="AB78" s="2339"/>
      <c r="AC78" s="2339"/>
      <c r="AD78" s="2339"/>
      <c r="AE78" s="2339"/>
      <c r="AF78" s="2339"/>
      <c r="AG78" s="2339"/>
      <c r="AH78" s="2339"/>
      <c r="AI78" s="2339"/>
      <c r="AJ78" s="2339"/>
      <c r="AK78" s="2339"/>
      <c r="AL78" s="2339"/>
      <c r="AM78" s="2339"/>
      <c r="AN78" s="2339"/>
      <c r="AO78" s="2339"/>
      <c r="AP78" s="2339"/>
      <c r="AQ78" s="2339"/>
      <c r="AR78" s="2339"/>
      <c r="AS78" s="2339"/>
      <c r="AT78" s="2339"/>
      <c r="AU78" s="2339"/>
      <c r="AV78" s="2339"/>
      <c r="AW78" s="2339"/>
      <c r="AX78" s="2339"/>
      <c r="AY78" s="2339"/>
      <c r="AZ78" s="2339"/>
      <c r="BA78" s="2339"/>
      <c r="BB78" s="2339"/>
      <c r="BC78" s="2339"/>
      <c r="BD78" s="3">
        <v>1</v>
      </c>
    </row>
    <row r="79" spans="2:56" ht="21" customHeight="1">
      <c r="B79" s="7852"/>
      <c r="C79" s="2422"/>
      <c r="D79" s="2420"/>
      <c r="E79" s="2353"/>
      <c r="F79" s="2353"/>
      <c r="G79" s="2353"/>
      <c r="H79" s="2356"/>
      <c r="I79" s="2339"/>
      <c r="J79" s="2423" t="s">
        <v>9425</v>
      </c>
      <c r="K79" s="2339"/>
      <c r="L79" s="2339"/>
      <c r="M79" s="2339"/>
      <c r="N79" s="7841"/>
      <c r="O79" s="9"/>
      <c r="P79" s="9"/>
      <c r="Q79" s="9" t="s">
        <v>9426</v>
      </c>
      <c r="R79" s="2300" t="str">
        <f>MID(Q75,R77,R78)</f>
        <v>4522</v>
      </c>
      <c r="S79" s="38"/>
      <c r="T79" s="2339"/>
      <c r="U79" s="2339"/>
      <c r="V79" s="2339"/>
      <c r="W79" s="2339"/>
      <c r="X79" s="2339"/>
      <c r="Y79" s="2339"/>
      <c r="Z79" s="2339"/>
      <c r="AA79" s="2339"/>
      <c r="AB79" s="2339"/>
      <c r="AC79" s="2339"/>
      <c r="AD79" s="2339"/>
      <c r="AE79" s="2339"/>
      <c r="AF79" s="2339"/>
      <c r="AG79" s="2339"/>
      <c r="AH79" s="2339"/>
      <c r="AI79" s="2339"/>
      <c r="AJ79" s="2339"/>
      <c r="AK79" s="2339"/>
      <c r="AL79" s="2339"/>
      <c r="AM79" s="2339"/>
      <c r="AN79" s="2339"/>
      <c r="AO79" s="2339"/>
      <c r="AP79" s="2339"/>
      <c r="AQ79" s="2339"/>
      <c r="AR79" s="2339"/>
      <c r="AS79" s="2339"/>
      <c r="AT79" s="2339"/>
      <c r="AU79" s="2339"/>
      <c r="AV79" s="2339"/>
      <c r="AW79" s="2339"/>
      <c r="AX79" s="2339"/>
      <c r="AY79" s="2339"/>
      <c r="AZ79" s="2339"/>
      <c r="BA79" s="2339"/>
      <c r="BB79" s="2339"/>
      <c r="BC79" s="2339"/>
      <c r="BD79" s="3">
        <v>1</v>
      </c>
    </row>
    <row r="80" spans="2:56" ht="21" customHeight="1">
      <c r="B80" s="7852"/>
      <c r="C80" s="2419" t="str">
        <f>HYPERLINK("#c131",_xlfn.UNICHAR(128269)&amp;"La bas")</f>
        <v>🔍La bas</v>
      </c>
      <c r="D80" s="2420" t="str">
        <f ca="1">_xlfn.FORMULATEXT(C80)</f>
        <v>=LIEN_HYPERTEXTE("#c131";UNICAR(128269)&amp;"La bas")</v>
      </c>
      <c r="E80" s="2353"/>
      <c r="F80" s="2353"/>
      <c r="G80" s="2353"/>
      <c r="H80" s="2356"/>
      <c r="I80" s="2339"/>
      <c r="J80" s="2424" t="s">
        <v>9427</v>
      </c>
      <c r="K80" s="2339"/>
      <c r="L80" s="2339"/>
      <c r="M80" s="2339"/>
      <c r="N80" s="7841"/>
      <c r="O80" s="9"/>
      <c r="P80" s="9"/>
      <c r="Q80" s="9"/>
      <c r="R80" s="9"/>
      <c r="S80" s="38"/>
      <c r="T80" s="2339"/>
      <c r="U80" s="2339"/>
      <c r="V80" s="2339"/>
      <c r="W80" s="2339"/>
      <c r="X80" s="2339"/>
      <c r="Y80" s="2339"/>
      <c r="Z80" s="2339"/>
      <c r="AA80" s="2339"/>
      <c r="AB80" s="2339"/>
      <c r="AC80" s="2339"/>
      <c r="AD80" s="2339"/>
      <c r="AE80" s="2339"/>
      <c r="AF80" s="2339"/>
      <c r="AG80" s="2339"/>
      <c r="AH80" s="2339"/>
      <c r="AI80" s="2339"/>
      <c r="AJ80" s="2339"/>
      <c r="AK80" s="2339"/>
      <c r="AL80" s="2339"/>
      <c r="AM80" s="2339"/>
      <c r="AN80" s="2339"/>
      <c r="AO80" s="2339"/>
      <c r="AP80" s="2339"/>
      <c r="AQ80" s="2339"/>
      <c r="AR80" s="2339"/>
      <c r="AS80" s="2339"/>
      <c r="AT80" s="2339"/>
      <c r="AU80" s="2339"/>
      <c r="AV80" s="2339"/>
      <c r="AW80" s="2339"/>
      <c r="AX80" s="2339"/>
      <c r="AY80" s="2339"/>
      <c r="AZ80" s="2339"/>
      <c r="BA80" s="2339"/>
      <c r="BB80" s="2339"/>
      <c r="BC80" s="2339"/>
      <c r="BD80" s="3">
        <v>1</v>
      </c>
    </row>
    <row r="81" spans="2:56" ht="21" customHeight="1">
      <c r="B81" s="7852"/>
      <c r="C81" s="2422"/>
      <c r="D81" s="2420"/>
      <c r="E81" s="2353"/>
      <c r="F81" s="2353"/>
      <c r="G81" s="2353"/>
      <c r="H81" s="2356"/>
      <c r="I81" s="2339"/>
      <c r="J81" s="2425" t="s">
        <v>9428</v>
      </c>
      <c r="K81" s="2339"/>
      <c r="L81" s="2339"/>
      <c r="M81" s="2339"/>
      <c r="N81" s="7841"/>
      <c r="O81" s="7843" t="s">
        <v>9429</v>
      </c>
      <c r="P81" s="7843"/>
      <c r="Q81" s="7843"/>
      <c r="R81" s="7843"/>
      <c r="S81" s="7844"/>
      <c r="T81" s="2339"/>
      <c r="U81" s="2339"/>
      <c r="V81" s="2339"/>
      <c r="W81" s="2339"/>
      <c r="X81" s="2339"/>
      <c r="Y81" s="2339"/>
      <c r="Z81" s="2339"/>
      <c r="AA81" s="2339"/>
      <c r="AB81" s="2339"/>
      <c r="AC81" s="2339"/>
      <c r="AD81" s="2339"/>
      <c r="AE81" s="2339"/>
      <c r="AF81" s="2339"/>
      <c r="AG81" s="2339"/>
      <c r="AH81" s="2339"/>
      <c r="AI81" s="2339"/>
      <c r="AJ81" s="2339"/>
      <c r="AK81" s="2339"/>
      <c r="AL81" s="2339"/>
      <c r="AM81" s="2339"/>
      <c r="AN81" s="2339"/>
      <c r="AO81" s="2339"/>
      <c r="AP81" s="2339"/>
      <c r="AQ81" s="2339"/>
      <c r="AR81" s="2339"/>
      <c r="AS81" s="2339"/>
      <c r="AT81" s="2339"/>
      <c r="AU81" s="2339"/>
      <c r="AV81" s="2339"/>
      <c r="AW81" s="2339"/>
      <c r="AX81" s="2339"/>
      <c r="AY81" s="2339"/>
      <c r="AZ81" s="2339"/>
      <c r="BA81" s="2339"/>
      <c r="BB81" s="2339"/>
      <c r="BC81" s="2339"/>
      <c r="BD81" s="3">
        <v>1</v>
      </c>
    </row>
    <row r="82" spans="2:56" ht="21" customHeight="1">
      <c r="B82" s="7852"/>
      <c r="C82" s="2426" t="str">
        <f>HYPERLINK("# c131"," 🔗 Cliquez")</f>
        <v xml:space="preserve"> 🔗 Cliquez</v>
      </c>
      <c r="D82" s="2420" t="str">
        <f ca="1">_xlfn.FORMULATEXT(C82)</f>
        <v>=LIEN_HYPERTEXTE("# c131";" 🔗 Cliquez")</v>
      </c>
      <c r="E82" s="2353"/>
      <c r="F82" s="2353"/>
      <c r="G82" s="2353"/>
      <c r="H82" s="2356"/>
      <c r="I82" s="2339"/>
      <c r="J82" s="2427" t="s">
        <v>9430</v>
      </c>
      <c r="K82" s="2339"/>
      <c r="L82" s="2339"/>
      <c r="M82" s="2339"/>
      <c r="N82" s="7841"/>
      <c r="O82" s="7843"/>
      <c r="P82" s="7843"/>
      <c r="Q82" s="7843"/>
      <c r="R82" s="7843"/>
      <c r="S82" s="7844"/>
      <c r="T82" s="2339"/>
      <c r="U82" s="2339"/>
      <c r="V82" s="2339"/>
      <c r="W82" s="2339"/>
      <c r="X82" s="2339"/>
      <c r="Y82" s="2339"/>
      <c r="Z82" s="2339"/>
      <c r="AA82" s="2339"/>
      <c r="AB82" s="2339"/>
      <c r="AC82" s="2339"/>
      <c r="AD82" s="2339"/>
      <c r="AE82" s="2339"/>
      <c r="AF82" s="2339"/>
      <c r="AG82" s="2339"/>
      <c r="AH82" s="2339"/>
      <c r="AI82" s="2339"/>
      <c r="AJ82" s="2339"/>
      <c r="AK82" s="2339"/>
      <c r="AL82" s="2339"/>
      <c r="AM82" s="2339"/>
      <c r="AN82" s="2339"/>
      <c r="AO82" s="2339"/>
      <c r="AP82" s="2339"/>
      <c r="AQ82" s="2339"/>
      <c r="AR82" s="2339"/>
      <c r="AS82" s="2339"/>
      <c r="AT82" s="2339"/>
      <c r="AU82" s="2339"/>
      <c r="AV82" s="2339"/>
      <c r="AW82" s="2339"/>
      <c r="AX82" s="2339"/>
      <c r="AY82" s="2339"/>
      <c r="AZ82" s="2339"/>
      <c r="BA82" s="2339"/>
      <c r="BB82" s="2339"/>
      <c r="BC82" s="2339"/>
      <c r="BD82" s="3">
        <v>1</v>
      </c>
    </row>
    <row r="83" spans="2:56" ht="21" customHeight="1">
      <c r="B83" s="7852"/>
      <c r="C83" s="2353"/>
      <c r="D83" s="2353"/>
      <c r="E83" s="2353"/>
      <c r="F83" s="2353"/>
      <c r="G83" s="2353"/>
      <c r="H83" s="2356"/>
      <c r="I83" s="2339"/>
      <c r="J83" s="2428" t="s">
        <v>9431</v>
      </c>
      <c r="K83" s="2339"/>
      <c r="L83" s="2339"/>
      <c r="M83" s="2339"/>
      <c r="N83" s="7841"/>
      <c r="O83" s="2429">
        <v>11</v>
      </c>
      <c r="P83" s="2429">
        <v>11</v>
      </c>
      <c r="Q83" s="2429">
        <v>11</v>
      </c>
      <c r="R83" s="2429">
        <v>11</v>
      </c>
      <c r="S83" s="2430">
        <v>11</v>
      </c>
      <c r="T83" s="2339"/>
      <c r="U83" s="2339"/>
      <c r="V83" s="2339"/>
      <c r="W83" s="2339"/>
      <c r="X83" s="2339"/>
      <c r="Y83" s="2339"/>
      <c r="Z83" s="2339"/>
      <c r="AA83" s="2339"/>
      <c r="AB83" s="2339"/>
      <c r="AC83" s="2339"/>
      <c r="AD83" s="2339"/>
      <c r="AE83" s="2339"/>
      <c r="AF83" s="2339"/>
      <c r="AG83" s="2339"/>
      <c r="AH83" s="2339"/>
      <c r="AI83" s="2339"/>
      <c r="AJ83" s="2339"/>
      <c r="AK83" s="2339"/>
      <c r="AL83" s="2339"/>
      <c r="AM83" s="2339"/>
      <c r="AN83" s="2339"/>
      <c r="AO83" s="2339"/>
      <c r="AP83" s="2339"/>
      <c r="AQ83" s="2339"/>
      <c r="AR83" s="2339"/>
      <c r="AS83" s="2339"/>
      <c r="AT83" s="2339"/>
      <c r="AU83" s="2339"/>
      <c r="AV83" s="2339"/>
      <c r="AW83" s="2339"/>
      <c r="AX83" s="2339"/>
      <c r="AY83" s="2339"/>
      <c r="AZ83" s="2339"/>
      <c r="BA83" s="2339"/>
      <c r="BB83" s="2339"/>
      <c r="BC83" s="2339"/>
      <c r="BD83" s="3">
        <v>1</v>
      </c>
    </row>
    <row r="84" spans="2:56" ht="21" customHeight="1" thickBot="1">
      <c r="B84" s="7852"/>
      <c r="C84" s="2361" t="s">
        <v>9432</v>
      </c>
      <c r="D84" s="2353"/>
      <c r="E84" s="2353"/>
      <c r="F84" s="2353"/>
      <c r="G84" s="2353"/>
      <c r="H84" s="2356"/>
      <c r="I84" s="2339"/>
      <c r="J84" s="2431" t="s">
        <v>9433</v>
      </c>
      <c r="K84" s="2339"/>
      <c r="L84" s="2339"/>
      <c r="M84" s="2339"/>
      <c r="N84" s="7842"/>
      <c r="O84" s="863">
        <f t="shared" ref="O84:S84" ca="1" si="7">CELL("largeur",O84)</f>
        <v>16</v>
      </c>
      <c r="P84" s="863">
        <f t="shared" ca="1" si="7"/>
        <v>16</v>
      </c>
      <c r="Q84" s="863">
        <f t="shared" ca="1" si="7"/>
        <v>11</v>
      </c>
      <c r="R84" s="863">
        <f t="shared" ca="1" si="7"/>
        <v>11</v>
      </c>
      <c r="S84" s="864">
        <f t="shared" ca="1" si="7"/>
        <v>11</v>
      </c>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3">
        <v>1</v>
      </c>
    </row>
    <row r="85" spans="2:56" ht="21" customHeight="1">
      <c r="B85" s="7852"/>
      <c r="C85" s="2432" t="s">
        <v>9434</v>
      </c>
      <c r="D85" s="2353"/>
      <c r="E85" s="2353"/>
      <c r="F85" s="2353"/>
      <c r="G85" s="2353"/>
      <c r="H85" s="2356"/>
      <c r="I85" s="2339"/>
      <c r="J85" s="2433" t="s">
        <v>9435</v>
      </c>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39"/>
      <c r="AK85" s="2339"/>
      <c r="AL85" s="2339"/>
      <c r="AM85" s="2339"/>
      <c r="AN85" s="2339"/>
      <c r="AO85" s="2339"/>
      <c r="AP85" s="2339"/>
      <c r="AQ85" s="2339"/>
      <c r="AR85" s="2339"/>
      <c r="AS85" s="2339"/>
      <c r="AT85" s="2339"/>
      <c r="AU85" s="2339"/>
      <c r="AV85" s="2339"/>
      <c r="AW85" s="2339"/>
      <c r="AX85" s="2339"/>
      <c r="AY85" s="2339"/>
      <c r="AZ85" s="2339"/>
      <c r="BA85" s="2339"/>
      <c r="BB85" s="2339"/>
      <c r="BC85" s="2339"/>
      <c r="BD85" s="3">
        <v>1</v>
      </c>
    </row>
    <row r="86" spans="2:56" ht="21" customHeight="1">
      <c r="B86" s="7852"/>
      <c r="C86" s="2434"/>
      <c r="D86" s="2353"/>
      <c r="E86" s="2353"/>
      <c r="F86" s="2353"/>
      <c r="G86" s="2353"/>
      <c r="H86" s="2356"/>
      <c r="I86" s="2339"/>
      <c r="J86" s="2435" t="s">
        <v>9436</v>
      </c>
      <c r="K86" s="2339"/>
      <c r="L86" s="2339"/>
      <c r="M86" s="2339"/>
      <c r="N86" s="2339"/>
      <c r="O86" s="2339"/>
      <c r="P86" s="2339"/>
      <c r="Q86" s="2339"/>
      <c r="R86" s="2339"/>
      <c r="S86" s="2339"/>
      <c r="T86" s="2339"/>
      <c r="U86" s="2339"/>
      <c r="V86" s="2339"/>
      <c r="W86" s="2339"/>
      <c r="X86" s="2339"/>
      <c r="Y86" s="2339"/>
      <c r="Z86" s="2339"/>
      <c r="AA86" s="2339"/>
      <c r="AB86" s="2339"/>
      <c r="AC86" s="2339"/>
      <c r="AD86" s="2339"/>
      <c r="AE86" s="2339"/>
      <c r="AF86" s="2339"/>
      <c r="AG86" s="2339"/>
      <c r="AH86" s="2339"/>
      <c r="AI86" s="2339"/>
      <c r="AJ86" s="2339"/>
      <c r="AK86" s="2339"/>
      <c r="AL86" s="2339"/>
      <c r="AM86" s="2339"/>
      <c r="AN86" s="2339"/>
      <c r="AO86" s="2339"/>
      <c r="AP86" s="2339"/>
      <c r="AQ86" s="2339"/>
      <c r="AR86" s="2339"/>
      <c r="AS86" s="2339"/>
      <c r="AT86" s="2339"/>
      <c r="AU86" s="2339"/>
      <c r="AV86" s="2339"/>
      <c r="AW86" s="2339"/>
      <c r="AX86" s="2339"/>
      <c r="AY86" s="2339"/>
      <c r="AZ86" s="2339"/>
      <c r="BA86" s="2339"/>
      <c r="BB86" s="2339"/>
      <c r="BC86" s="2339"/>
      <c r="BD86" s="3">
        <v>1</v>
      </c>
    </row>
    <row r="87" spans="2:56" ht="21" customHeight="1">
      <c r="B87" s="7852"/>
      <c r="C87" s="2436" t="s">
        <v>9437</v>
      </c>
      <c r="D87" s="2353"/>
      <c r="E87" s="2353"/>
      <c r="F87" s="2353"/>
      <c r="G87" s="2353"/>
      <c r="H87" s="2356"/>
      <c r="I87" s="2339"/>
      <c r="J87" s="926" t="s">
        <v>9438</v>
      </c>
      <c r="K87" s="2339"/>
      <c r="L87" s="2339"/>
      <c r="M87" s="2339"/>
      <c r="N87" s="2437" t="s">
        <v>1693</v>
      </c>
      <c r="O87" s="7845" t="s">
        <v>9439</v>
      </c>
      <c r="P87" s="7845"/>
      <c r="Q87" s="7845"/>
      <c r="R87" s="7845"/>
      <c r="S87" s="7845"/>
      <c r="T87" s="7845"/>
      <c r="U87" s="7845"/>
      <c r="V87" s="2339"/>
      <c r="W87" s="2339"/>
      <c r="X87" s="2339"/>
      <c r="Y87" s="2339"/>
      <c r="Z87" s="2339"/>
      <c r="AA87" s="2339"/>
      <c r="AB87" s="2339"/>
      <c r="AC87" s="2339"/>
      <c r="AD87" s="2339"/>
      <c r="AE87" s="2339"/>
      <c r="AF87" s="2339"/>
      <c r="AG87" s="2339"/>
      <c r="AH87" s="2339"/>
      <c r="AI87" s="2339"/>
      <c r="AJ87" s="2339"/>
      <c r="AK87" s="2339"/>
      <c r="AL87" s="2339"/>
      <c r="AM87" s="2339"/>
      <c r="AN87" s="2339"/>
      <c r="AO87" s="2339"/>
      <c r="AP87" s="2339"/>
      <c r="AQ87" s="2339"/>
      <c r="AR87" s="2339"/>
      <c r="AS87" s="2339"/>
      <c r="AT87" s="2339"/>
      <c r="AU87" s="2339"/>
      <c r="AV87" s="2339"/>
      <c r="AW87" s="2339"/>
      <c r="AX87" s="2339"/>
      <c r="AY87" s="2339"/>
      <c r="AZ87" s="2339"/>
      <c r="BA87" s="2339"/>
      <c r="BB87" s="2339"/>
      <c r="BC87" s="2339"/>
      <c r="BD87" s="3">
        <v>1</v>
      </c>
    </row>
    <row r="88" spans="2:56" ht="21" customHeight="1">
      <c r="B88" s="7852"/>
      <c r="C88" s="2353"/>
      <c r="D88" s="2353"/>
      <c r="E88" s="2353"/>
      <c r="F88" s="2353"/>
      <c r="G88" s="2353"/>
      <c r="H88" s="2356"/>
      <c r="I88" s="2339"/>
      <c r="J88" s="2438" t="s">
        <v>9440</v>
      </c>
      <c r="K88" s="2339"/>
      <c r="L88" s="2339"/>
      <c r="M88" s="2339"/>
      <c r="N88" s="2437" t="s">
        <v>1693</v>
      </c>
      <c r="O88" s="7845" t="s">
        <v>9441</v>
      </c>
      <c r="P88" s="7845"/>
      <c r="Q88" s="7845"/>
      <c r="R88" s="7845"/>
      <c r="S88" s="7845"/>
      <c r="T88" s="7845"/>
      <c r="U88" s="7845"/>
      <c r="V88" s="2339"/>
      <c r="W88" s="2339"/>
      <c r="X88" s="2339"/>
      <c r="Y88" s="2339"/>
      <c r="Z88" s="2339"/>
      <c r="AA88" s="2339"/>
      <c r="AB88" s="2339"/>
      <c r="AC88" s="2339"/>
      <c r="AD88" s="2339"/>
      <c r="AE88" s="2339"/>
      <c r="AF88" s="2339"/>
      <c r="AG88" s="2339"/>
      <c r="AH88" s="2339"/>
      <c r="AI88" s="2339"/>
      <c r="AJ88" s="2339"/>
      <c r="AK88" s="2339"/>
      <c r="AL88" s="2339"/>
      <c r="AM88" s="2339"/>
      <c r="AN88" s="2339"/>
      <c r="AO88" s="2339"/>
      <c r="AP88" s="2339"/>
      <c r="AQ88" s="2339"/>
      <c r="AR88" s="2339"/>
      <c r="AS88" s="2339"/>
      <c r="AT88" s="2339"/>
      <c r="AU88" s="2339"/>
      <c r="AV88" s="2339"/>
      <c r="AW88" s="2339"/>
      <c r="AX88" s="2339"/>
      <c r="AY88" s="2339"/>
      <c r="AZ88" s="2339"/>
      <c r="BA88" s="2339"/>
      <c r="BB88" s="2339"/>
      <c r="BC88" s="2339"/>
      <c r="BD88" s="3">
        <v>1</v>
      </c>
    </row>
    <row r="89" spans="2:56" ht="21" customHeight="1">
      <c r="B89" s="7852"/>
      <c r="C89" s="2353" t="s">
        <v>9442</v>
      </c>
      <c r="D89" s="2353" t="s">
        <v>9443</v>
      </c>
      <c r="E89" s="2353"/>
      <c r="F89" s="2353"/>
      <c r="G89" s="2353"/>
      <c r="H89" s="2356"/>
      <c r="I89" s="2339"/>
      <c r="J89" s="2439" t="s">
        <v>9444</v>
      </c>
      <c r="K89" s="2339"/>
      <c r="L89" s="2339"/>
      <c r="M89" s="2339"/>
      <c r="N89" s="2339"/>
      <c r="O89" s="2339"/>
      <c r="P89" s="2339"/>
      <c r="Q89" s="2339"/>
      <c r="R89" s="2339"/>
      <c r="S89" s="2339"/>
      <c r="T89" s="2339"/>
      <c r="U89" s="2339"/>
      <c r="V89" s="2339"/>
      <c r="W89" s="2339"/>
      <c r="X89" s="2339"/>
      <c r="Y89" s="2339"/>
      <c r="Z89" s="2339"/>
      <c r="AA89" s="2339"/>
      <c r="AB89" s="2339"/>
      <c r="AC89" s="2339"/>
      <c r="AD89" s="2339"/>
      <c r="AE89" s="2339"/>
      <c r="AF89" s="2339"/>
      <c r="AG89" s="2339"/>
      <c r="AH89" s="2339"/>
      <c r="AI89" s="2339"/>
      <c r="AJ89" s="2339"/>
      <c r="AK89" s="2339"/>
      <c r="AL89" s="2339"/>
      <c r="AM89" s="2339"/>
      <c r="AN89" s="2339"/>
      <c r="AO89" s="2339"/>
      <c r="AP89" s="2339"/>
      <c r="AQ89" s="2339"/>
      <c r="AR89" s="2339"/>
      <c r="AS89" s="2339"/>
      <c r="AT89" s="2339"/>
      <c r="AU89" s="2339"/>
      <c r="AV89" s="2339"/>
      <c r="AW89" s="2339"/>
      <c r="AX89" s="2339"/>
      <c r="AY89" s="2339"/>
      <c r="AZ89" s="2339"/>
      <c r="BA89" s="2339"/>
      <c r="BB89" s="2339"/>
      <c r="BC89" s="2339"/>
      <c r="BD89" s="3">
        <v>1</v>
      </c>
    </row>
    <row r="90" spans="2:56" ht="21" customHeight="1">
      <c r="B90" s="7852"/>
      <c r="C90" s="2353"/>
      <c r="D90" s="2353"/>
      <c r="E90" s="2353"/>
      <c r="F90" s="2353"/>
      <c r="G90" s="2353"/>
      <c r="H90" s="2356"/>
      <c r="I90" s="2339"/>
      <c r="J90" s="2440" t="s">
        <v>9445</v>
      </c>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39"/>
      <c r="AK90" s="2339"/>
      <c r="AL90" s="2339"/>
      <c r="AM90" s="2339"/>
      <c r="AN90" s="2339"/>
      <c r="AO90" s="2339"/>
      <c r="AP90" s="2339"/>
      <c r="AQ90" s="2339"/>
      <c r="AR90" s="2339"/>
      <c r="AS90" s="2339"/>
      <c r="AT90" s="2339"/>
      <c r="AU90" s="2339"/>
      <c r="AV90" s="2339"/>
      <c r="AW90" s="2339"/>
      <c r="AX90" s="2339"/>
      <c r="AY90" s="2339"/>
      <c r="AZ90" s="2339"/>
      <c r="BA90" s="2339"/>
      <c r="BB90" s="2339"/>
      <c r="BC90" s="2339"/>
      <c r="BD90" s="3">
        <v>1</v>
      </c>
    </row>
    <row r="91" spans="2:56" ht="21" customHeight="1">
      <c r="B91" s="7852"/>
      <c r="C91" s="2353" t="s">
        <v>9446</v>
      </c>
      <c r="D91" s="2353"/>
      <c r="E91" s="2353"/>
      <c r="F91" s="2353"/>
      <c r="G91" s="2353"/>
      <c r="H91" s="2356"/>
      <c r="I91" s="2339"/>
      <c r="J91" s="2441" t="s">
        <v>9447</v>
      </c>
      <c r="K91" s="2339"/>
      <c r="L91" s="2339"/>
      <c r="M91" s="2339"/>
      <c r="N91" s="2339"/>
      <c r="O91" s="2339"/>
      <c r="P91" s="2339"/>
      <c r="Q91" s="2339"/>
      <c r="R91" s="2339"/>
      <c r="S91" s="2339"/>
      <c r="T91" s="2339"/>
      <c r="U91" s="2339"/>
      <c r="V91" s="2339"/>
      <c r="W91" s="2339"/>
      <c r="X91" s="2339"/>
      <c r="Y91" s="2339"/>
      <c r="Z91" s="2339"/>
      <c r="AA91" s="2339"/>
      <c r="AB91" s="2339"/>
      <c r="AC91" s="2339"/>
      <c r="AD91" s="2339"/>
      <c r="AE91" s="2339"/>
      <c r="AF91" s="2339"/>
      <c r="AG91" s="2339"/>
      <c r="AH91" s="2339"/>
      <c r="AI91" s="2339"/>
      <c r="AJ91" s="2339"/>
      <c r="AK91" s="2339"/>
      <c r="AL91" s="2339"/>
      <c r="AM91" s="2339"/>
      <c r="AN91" s="2339"/>
      <c r="AO91" s="2339"/>
      <c r="AP91" s="2339"/>
      <c r="AQ91" s="2339"/>
      <c r="AR91" s="2339"/>
      <c r="AS91" s="2339"/>
      <c r="AT91" s="2339"/>
      <c r="AU91" s="2339"/>
      <c r="AV91" s="2339"/>
      <c r="AW91" s="2339"/>
      <c r="AX91" s="2339"/>
      <c r="AY91" s="2339"/>
      <c r="AZ91" s="2339"/>
      <c r="BA91" s="2339"/>
      <c r="BB91" s="2339"/>
      <c r="BC91" s="2339"/>
      <c r="BD91" s="3">
        <v>1</v>
      </c>
    </row>
    <row r="92" spans="2:56" ht="21" customHeight="1">
      <c r="B92" s="7852"/>
      <c r="C92" s="2353"/>
      <c r="D92" s="2442" t="s">
        <v>9448</v>
      </c>
      <c r="E92" s="2353"/>
      <c r="F92" s="2442" t="s">
        <v>9449</v>
      </c>
      <c r="G92" s="2353"/>
      <c r="H92" s="2356" t="s">
        <v>21</v>
      </c>
      <c r="I92" s="2339"/>
      <c r="J92" s="2443" t="s">
        <v>9450</v>
      </c>
      <c r="K92" s="2339"/>
      <c r="L92" s="2339"/>
      <c r="M92" s="2339"/>
      <c r="N92" s="2339"/>
      <c r="O92" s="2339"/>
      <c r="P92" s="2339"/>
      <c r="Q92" s="2339"/>
      <c r="R92" s="2339"/>
      <c r="S92" s="2339"/>
      <c r="T92" s="2339"/>
      <c r="U92" s="2339"/>
      <c r="V92" s="2339"/>
      <c r="W92" s="2339"/>
      <c r="X92" s="2339"/>
      <c r="Y92" s="2339"/>
      <c r="Z92" s="2339"/>
      <c r="AA92" s="2339"/>
      <c r="AB92" s="2339"/>
      <c r="AC92" s="2339"/>
      <c r="AD92" s="2339"/>
      <c r="AE92" s="2339"/>
      <c r="AF92" s="2339"/>
      <c r="AG92" s="2339"/>
      <c r="AH92" s="2339"/>
      <c r="AI92" s="2339"/>
      <c r="AJ92" s="2339"/>
      <c r="AK92" s="2339"/>
      <c r="AL92" s="2339"/>
      <c r="AM92" s="2339"/>
      <c r="AN92" s="2339"/>
      <c r="AO92" s="2339"/>
      <c r="AP92" s="2339"/>
      <c r="AQ92" s="2339"/>
      <c r="AR92" s="2339"/>
      <c r="AS92" s="2339"/>
      <c r="AT92" s="2339"/>
      <c r="AU92" s="2339"/>
      <c r="AV92" s="2339"/>
      <c r="AW92" s="2339"/>
      <c r="AX92" s="2339"/>
      <c r="AY92" s="2339"/>
      <c r="AZ92" s="2339"/>
      <c r="BA92" s="2339"/>
      <c r="BB92" s="2339"/>
      <c r="BC92" s="2339"/>
      <c r="BD92" s="3">
        <v>1</v>
      </c>
    </row>
    <row r="93" spans="2:56" ht="21" customHeight="1">
      <c r="B93" s="7852"/>
      <c r="C93" s="2353" t="s">
        <v>9451</v>
      </c>
      <c r="D93" s="2353"/>
      <c r="E93" s="2353"/>
      <c r="F93" s="2353"/>
      <c r="G93" s="2353"/>
      <c r="H93" s="2356"/>
      <c r="I93" s="2339"/>
      <c r="J93" s="2444" t="s">
        <v>9452</v>
      </c>
      <c r="K93" s="2339"/>
      <c r="L93" s="2339"/>
      <c r="M93" s="2339"/>
      <c r="N93" s="2339"/>
      <c r="O93" s="2339"/>
      <c r="P93" s="2339"/>
      <c r="Q93" s="2339"/>
      <c r="R93" s="2339"/>
      <c r="S93" s="2339"/>
      <c r="T93" s="2339"/>
      <c r="U93" s="2339"/>
      <c r="V93" s="2339"/>
      <c r="W93" s="2339"/>
      <c r="X93" s="2339"/>
      <c r="Y93" s="2339"/>
      <c r="Z93" s="2339"/>
      <c r="AA93" s="2339"/>
      <c r="AB93" s="2339"/>
      <c r="AC93" s="2339"/>
      <c r="AD93" s="2339"/>
      <c r="AE93" s="2339"/>
      <c r="AF93" s="2339"/>
      <c r="AG93" s="2339"/>
      <c r="AH93" s="2339"/>
      <c r="AI93" s="2339"/>
      <c r="AJ93" s="2339"/>
      <c r="AK93" s="2339"/>
      <c r="AL93" s="2339"/>
      <c r="AM93" s="2339"/>
      <c r="AN93" s="2339"/>
      <c r="AO93" s="2339"/>
      <c r="AP93" s="2339"/>
      <c r="AQ93" s="2339"/>
      <c r="AR93" s="2339"/>
      <c r="AS93" s="2339"/>
      <c r="AT93" s="2339"/>
      <c r="AU93" s="2339"/>
      <c r="AV93" s="2339"/>
      <c r="AW93" s="2339"/>
      <c r="AX93" s="2339"/>
      <c r="AY93" s="2339"/>
      <c r="AZ93" s="2339"/>
      <c r="BA93" s="2339"/>
      <c r="BB93" s="2339"/>
      <c r="BC93" s="2339"/>
      <c r="BD93" s="3">
        <v>1</v>
      </c>
    </row>
    <row r="94" spans="2:56" ht="21" customHeight="1">
      <c r="B94" s="7852"/>
      <c r="C94" s="2353"/>
      <c r="D94" s="2442" t="s">
        <v>9453</v>
      </c>
      <c r="E94" s="2353"/>
      <c r="F94" s="2442" t="s">
        <v>9454</v>
      </c>
      <c r="G94" s="2353"/>
      <c r="H94" s="2356"/>
      <c r="I94" s="2339"/>
      <c r="J94" s="2445" t="s">
        <v>9455</v>
      </c>
      <c r="K94" s="2339"/>
      <c r="L94" s="2339"/>
      <c r="M94" s="2339"/>
      <c r="N94" s="2339"/>
      <c r="O94" s="2339"/>
      <c r="P94" s="2339"/>
      <c r="Q94" s="2339"/>
      <c r="R94" s="2339"/>
      <c r="S94" s="2339"/>
      <c r="T94" s="2339"/>
      <c r="U94" s="2339"/>
      <c r="V94" s="2339"/>
      <c r="W94" s="2339"/>
      <c r="X94" s="2339"/>
      <c r="Y94" s="2339"/>
      <c r="Z94" s="2339"/>
      <c r="AA94" s="2339"/>
      <c r="AB94" s="2339"/>
      <c r="AC94" s="2339"/>
      <c r="AD94" s="2339"/>
      <c r="AE94" s="2339"/>
      <c r="AF94" s="2339"/>
      <c r="AG94" s="2339"/>
      <c r="AH94" s="2339"/>
      <c r="AI94" s="2339"/>
      <c r="AJ94" s="2339"/>
      <c r="AK94" s="2339"/>
      <c r="AL94" s="2339"/>
      <c r="AM94" s="2339"/>
      <c r="AN94" s="2339"/>
      <c r="AO94" s="2339"/>
      <c r="AP94" s="2339"/>
      <c r="AQ94" s="2339"/>
      <c r="AR94" s="2339"/>
      <c r="AS94" s="2339"/>
      <c r="AT94" s="2339"/>
      <c r="AU94" s="2339"/>
      <c r="AV94" s="2339"/>
      <c r="AW94" s="2339"/>
      <c r="AX94" s="2339"/>
      <c r="AY94" s="2339"/>
      <c r="AZ94" s="2339"/>
      <c r="BA94" s="2339"/>
      <c r="BB94" s="2339"/>
      <c r="BC94" s="2339"/>
      <c r="BD94" s="3">
        <v>1</v>
      </c>
    </row>
    <row r="95" spans="2:56" ht="21" customHeight="1">
      <c r="B95" s="7852"/>
      <c r="C95" s="2353"/>
      <c r="D95" s="2442"/>
      <c r="E95" s="2353"/>
      <c r="F95" s="2442"/>
      <c r="G95" s="2353"/>
      <c r="H95" s="2356"/>
      <c r="I95" s="2339"/>
      <c r="J95" s="2446" t="s">
        <v>9456</v>
      </c>
      <c r="K95" s="2339"/>
      <c r="L95" s="2339"/>
      <c r="M95" s="2339"/>
      <c r="N95" s="2339"/>
      <c r="O95" s="2339"/>
      <c r="P95" s="2339"/>
      <c r="Q95" s="2339"/>
      <c r="R95" s="2339"/>
      <c r="S95" s="2339"/>
      <c r="T95" s="2339"/>
      <c r="U95" s="2339"/>
      <c r="V95" s="2339"/>
      <c r="W95" s="2339"/>
      <c r="X95" s="2339"/>
      <c r="Y95" s="2339"/>
      <c r="Z95" s="2339"/>
      <c r="AA95" s="2339"/>
      <c r="AB95" s="2339"/>
      <c r="AC95" s="2339"/>
      <c r="AD95" s="2339"/>
      <c r="AE95" s="2339"/>
      <c r="AF95" s="2339"/>
      <c r="AG95" s="2339"/>
      <c r="AH95" s="2339"/>
      <c r="AI95" s="2339"/>
      <c r="AJ95" s="2339"/>
      <c r="AK95" s="2339"/>
      <c r="AL95" s="2339"/>
      <c r="AM95" s="2339"/>
      <c r="AN95" s="2339"/>
      <c r="AO95" s="2339"/>
      <c r="AP95" s="2339"/>
      <c r="AQ95" s="2339"/>
      <c r="AR95" s="2339"/>
      <c r="AS95" s="2339"/>
      <c r="AT95" s="2339"/>
      <c r="AU95" s="2339"/>
      <c r="AV95" s="2339"/>
      <c r="AW95" s="2339"/>
      <c r="AX95" s="2339"/>
      <c r="AY95" s="2339"/>
      <c r="AZ95" s="2339"/>
      <c r="BA95" s="2339"/>
      <c r="BB95" s="2339"/>
      <c r="BC95" s="2339"/>
      <c r="BD95" s="3">
        <v>1</v>
      </c>
    </row>
    <row r="96" spans="2:56" ht="21" customHeight="1">
      <c r="B96" s="7852"/>
      <c r="C96" s="2353"/>
      <c r="D96" s="2442"/>
      <c r="E96" s="2398" t="s">
        <v>9457</v>
      </c>
      <c r="F96" s="2442" t="s">
        <v>9458</v>
      </c>
      <c r="G96" s="2353"/>
      <c r="H96" s="2356"/>
      <c r="I96" s="2339"/>
      <c r="J96" s="2339"/>
      <c r="K96" s="2339"/>
      <c r="L96" s="2339"/>
      <c r="M96" s="2339"/>
      <c r="N96" s="2339"/>
      <c r="O96" s="2339"/>
      <c r="P96" s="2339"/>
      <c r="Q96" s="2339"/>
      <c r="R96" s="2339"/>
      <c r="S96" s="2339"/>
      <c r="T96" s="2339"/>
      <c r="U96" s="2339"/>
      <c r="V96" s="2339"/>
      <c r="W96" s="2339"/>
      <c r="X96" s="2339"/>
      <c r="Y96" s="2339"/>
      <c r="Z96" s="2339"/>
      <c r="AA96" s="2339"/>
      <c r="AB96" s="2339"/>
      <c r="AC96" s="2339"/>
      <c r="AD96" s="2339"/>
      <c r="AE96" s="2339"/>
      <c r="AF96" s="2339"/>
      <c r="AG96" s="2339"/>
      <c r="AH96" s="2339"/>
      <c r="AI96" s="2339"/>
      <c r="AJ96" s="2339"/>
      <c r="AK96" s="2339"/>
      <c r="AL96" s="2339"/>
      <c r="AM96" s="2339"/>
      <c r="AN96" s="2339"/>
      <c r="AO96" s="2339"/>
      <c r="AP96" s="2339"/>
      <c r="AQ96" s="2339"/>
      <c r="AR96" s="2339"/>
      <c r="AS96" s="2339"/>
      <c r="AT96" s="2339"/>
      <c r="AU96" s="2339"/>
      <c r="AV96" s="2339"/>
      <c r="AW96" s="2339"/>
      <c r="AX96" s="2339"/>
      <c r="AY96" s="2339"/>
      <c r="AZ96" s="2339"/>
      <c r="BA96" s="2339"/>
      <c r="BB96" s="2339"/>
      <c r="BC96" s="2339"/>
      <c r="BD96" s="3">
        <v>1</v>
      </c>
    </row>
    <row r="97" spans="1:56" ht="21" customHeight="1">
      <c r="B97" s="7852"/>
      <c r="C97" s="2353"/>
      <c r="D97" s="2442"/>
      <c r="E97" s="2353"/>
      <c r="F97" s="2442"/>
      <c r="G97" s="2353"/>
      <c r="H97" s="2356"/>
      <c r="I97" s="2339"/>
      <c r="J97" s="2339"/>
      <c r="K97" s="2339"/>
      <c r="L97" s="2339"/>
      <c r="M97" s="2339"/>
      <c r="N97" s="2339"/>
      <c r="O97" s="2339"/>
      <c r="P97" s="2339"/>
      <c r="Q97" s="2339"/>
      <c r="R97" s="2339"/>
      <c r="S97" s="2339"/>
      <c r="T97" s="2339"/>
      <c r="U97" s="2339"/>
      <c r="V97" s="2339"/>
      <c r="W97" s="2339"/>
      <c r="X97" s="2339"/>
      <c r="Y97" s="2339"/>
      <c r="Z97" s="2339"/>
      <c r="AA97" s="2339"/>
      <c r="AB97" s="2339"/>
      <c r="AC97" s="2339"/>
      <c r="AD97" s="2339"/>
      <c r="AE97" s="2339"/>
      <c r="AF97" s="2339"/>
      <c r="AG97" s="2339"/>
      <c r="AH97" s="2339"/>
      <c r="AI97" s="2339"/>
      <c r="AJ97" s="2339"/>
      <c r="AK97" s="2339"/>
      <c r="AL97" s="2339"/>
      <c r="AM97" s="2339"/>
      <c r="AN97" s="2339"/>
      <c r="AO97" s="2339"/>
      <c r="AP97" s="2339"/>
      <c r="AQ97" s="2339"/>
      <c r="AR97" s="2339"/>
      <c r="AS97" s="2339"/>
      <c r="AT97" s="2339"/>
      <c r="AU97" s="2339"/>
      <c r="AV97" s="2339"/>
      <c r="AW97" s="2339"/>
      <c r="AX97" s="2339"/>
      <c r="AY97" s="2339"/>
      <c r="AZ97" s="2339"/>
      <c r="BA97" s="2339"/>
      <c r="BB97" s="2339"/>
      <c r="BC97" s="2339"/>
      <c r="BD97" s="3">
        <v>1</v>
      </c>
    </row>
    <row r="98" spans="1:56" ht="21" customHeight="1">
      <c r="B98" s="7852"/>
      <c r="C98" s="2353" t="s">
        <v>9459</v>
      </c>
      <c r="D98" s="2442"/>
      <c r="E98" s="2353"/>
      <c r="F98" s="2442"/>
      <c r="G98" s="2353"/>
      <c r="H98" s="2356"/>
      <c r="I98" s="2339"/>
      <c r="J98" s="2339"/>
      <c r="K98" s="2339"/>
      <c r="L98" s="2339"/>
      <c r="M98" s="2339"/>
      <c r="N98" s="2339"/>
      <c r="O98" s="2339"/>
      <c r="P98" s="2339"/>
      <c r="Q98" s="2339"/>
      <c r="R98" s="2339"/>
      <c r="S98" s="2339"/>
      <c r="T98" s="2339"/>
      <c r="U98" s="2339"/>
      <c r="V98" s="2339"/>
      <c r="W98" s="2339"/>
      <c r="X98" s="2339"/>
      <c r="Y98" s="2339"/>
      <c r="Z98" s="2339"/>
      <c r="AA98" s="2339"/>
      <c r="AB98" s="2339"/>
      <c r="AC98" s="2339"/>
      <c r="AD98" s="2339"/>
      <c r="AE98" s="2339"/>
      <c r="AF98" s="2339"/>
      <c r="AG98" s="2339"/>
      <c r="AH98" s="2339"/>
      <c r="AI98" s="2339"/>
      <c r="AJ98" s="2339"/>
      <c r="AK98" s="2339"/>
      <c r="AL98" s="2339"/>
      <c r="AM98" s="2339"/>
      <c r="AN98" s="2339"/>
      <c r="AO98" s="2339"/>
      <c r="AP98" s="2339"/>
      <c r="AQ98" s="2339"/>
      <c r="AR98" s="2339"/>
      <c r="AS98" s="2339"/>
      <c r="AT98" s="2339"/>
      <c r="AU98" s="2339"/>
      <c r="AV98" s="2339"/>
      <c r="AW98" s="2339"/>
      <c r="AX98" s="2339"/>
      <c r="AY98" s="2339"/>
      <c r="AZ98" s="2339"/>
      <c r="BA98" s="2339"/>
      <c r="BB98" s="2339"/>
      <c r="BC98" s="2339"/>
      <c r="BD98" s="3">
        <v>1</v>
      </c>
    </row>
    <row r="99" spans="1:56" ht="21" customHeight="1">
      <c r="B99" s="7852"/>
      <c r="C99" s="2353"/>
      <c r="D99" s="2442" t="s">
        <v>9460</v>
      </c>
      <c r="E99" s="2353"/>
      <c r="F99" s="2442"/>
      <c r="G99" s="2353"/>
      <c r="H99" s="2356" t="s">
        <v>21</v>
      </c>
      <c r="I99" s="2339"/>
      <c r="J99" s="2339"/>
      <c r="K99" s="2339"/>
      <c r="L99" s="2339"/>
      <c r="M99" s="2339"/>
      <c r="N99" s="2339"/>
      <c r="O99" s="2339"/>
      <c r="P99" s="2339"/>
      <c r="Q99" s="2339"/>
      <c r="R99" s="2339"/>
      <c r="S99" s="2339"/>
      <c r="T99" s="2339"/>
      <c r="U99" s="2339"/>
      <c r="V99" s="2339"/>
      <c r="W99" s="2339"/>
      <c r="X99" s="2339"/>
      <c r="Y99" s="2339"/>
      <c r="Z99" s="2339"/>
      <c r="AA99" s="2339"/>
      <c r="AB99" s="2339"/>
      <c r="AC99" s="2339"/>
      <c r="AD99" s="2339"/>
      <c r="AE99" s="2339"/>
      <c r="AF99" s="2339"/>
      <c r="AG99" s="2339"/>
      <c r="AH99" s="2339"/>
      <c r="AI99" s="2339"/>
      <c r="AJ99" s="2339"/>
      <c r="AK99" s="2339"/>
      <c r="AL99" s="2339"/>
      <c r="AM99" s="2339"/>
      <c r="AN99" s="2339"/>
      <c r="AO99" s="2339"/>
      <c r="AP99" s="2339"/>
      <c r="AQ99" s="2339"/>
      <c r="AR99" s="2339"/>
      <c r="AS99" s="2339"/>
      <c r="AT99" s="2339"/>
      <c r="AU99" s="2339"/>
      <c r="AV99" s="2339"/>
      <c r="AW99" s="2339"/>
      <c r="AX99" s="2339"/>
      <c r="AY99" s="2339"/>
      <c r="AZ99" s="2339"/>
      <c r="BA99" s="2339"/>
      <c r="BB99" s="2339"/>
      <c r="BC99" s="2339"/>
      <c r="BD99" s="3">
        <v>1</v>
      </c>
    </row>
    <row r="100" spans="1:56" ht="21" customHeight="1" thickBot="1">
      <c r="B100" s="7853"/>
      <c r="C100" s="2447"/>
      <c r="D100" s="2447"/>
      <c r="E100" s="2447"/>
      <c r="F100" s="2447"/>
      <c r="G100" s="2447"/>
      <c r="H100" s="2448"/>
      <c r="I100" s="2339"/>
      <c r="J100" s="2339"/>
      <c r="K100" s="2339"/>
      <c r="L100" s="2339"/>
      <c r="M100" s="2339"/>
      <c r="N100" s="2339"/>
      <c r="O100" s="2339"/>
      <c r="P100" s="2339"/>
      <c r="Q100" s="2339"/>
      <c r="R100" s="2339"/>
      <c r="S100" s="2339"/>
      <c r="T100" s="2339"/>
      <c r="U100" s="2339"/>
      <c r="V100" s="2339"/>
      <c r="W100" s="2339"/>
      <c r="X100" s="2339"/>
      <c r="Y100" s="2339"/>
      <c r="Z100" s="2339"/>
      <c r="AA100" s="2339"/>
      <c r="AB100" s="2339"/>
      <c r="AC100" s="2339"/>
      <c r="AD100" s="2339"/>
      <c r="AE100" s="2339"/>
      <c r="AF100" s="2339"/>
      <c r="AG100" s="2339"/>
      <c r="AH100" s="2339"/>
      <c r="AI100" s="2339"/>
      <c r="AJ100" s="2339"/>
      <c r="AK100" s="2339"/>
      <c r="AL100" s="2339"/>
      <c r="AM100" s="2339"/>
      <c r="AN100" s="2339"/>
      <c r="AO100" s="2339"/>
      <c r="AP100" s="2339"/>
      <c r="AQ100" s="2339"/>
      <c r="AR100" s="2339"/>
      <c r="AS100" s="2339"/>
      <c r="AT100" s="2339"/>
      <c r="AU100" s="2339"/>
      <c r="AV100" s="2339"/>
      <c r="AW100" s="2339"/>
      <c r="AX100" s="2339"/>
      <c r="AY100" s="2339"/>
      <c r="AZ100" s="2339"/>
      <c r="BA100" s="2339"/>
      <c r="BB100" s="2339"/>
      <c r="BC100" s="2339"/>
      <c r="BD100" s="3">
        <v>1</v>
      </c>
    </row>
    <row r="101" spans="1:56" ht="21" customHeight="1">
      <c r="A101" s="2339">
        <v>1</v>
      </c>
      <c r="B101" s="2339"/>
      <c r="C101" s="2344"/>
      <c r="D101" s="2344"/>
      <c r="E101" s="2344"/>
      <c r="F101" s="2344"/>
      <c r="G101" s="2344"/>
      <c r="H101" s="2449"/>
      <c r="I101" s="2449"/>
      <c r="J101" s="2450" t="s">
        <v>9461</v>
      </c>
      <c r="K101" s="2339"/>
      <c r="L101" s="2339"/>
      <c r="M101" s="2339"/>
      <c r="N101" s="2339"/>
      <c r="O101" s="2451" t="s">
        <v>9462</v>
      </c>
      <c r="P101" s="2400"/>
      <c r="Q101" s="2400"/>
      <c r="R101" s="2339"/>
      <c r="S101" s="2339">
        <v>1</v>
      </c>
      <c r="T101" s="2339"/>
      <c r="U101" s="2339"/>
      <c r="V101" s="2339"/>
      <c r="W101" s="2339"/>
      <c r="X101" s="2339"/>
      <c r="Y101" s="2339"/>
      <c r="Z101" s="2339"/>
      <c r="AA101" s="2339"/>
      <c r="AB101" s="2339"/>
      <c r="AC101" s="2339"/>
      <c r="AD101" s="2339"/>
      <c r="AE101" s="2339"/>
      <c r="AF101" s="2339"/>
      <c r="AG101" s="2339"/>
      <c r="AH101" s="2339"/>
      <c r="AI101" s="2339"/>
      <c r="AJ101" s="2339"/>
      <c r="AK101" s="2339"/>
      <c r="AL101" s="2339"/>
      <c r="AM101" s="2339"/>
      <c r="AN101" s="2339"/>
      <c r="AO101" s="2339"/>
      <c r="AP101" s="2339"/>
      <c r="AQ101" s="2339"/>
      <c r="AR101" s="2339"/>
      <c r="AS101" s="2339"/>
      <c r="AT101" s="2339"/>
      <c r="AU101" s="2339"/>
      <c r="AV101" s="2339"/>
      <c r="AW101" s="2339"/>
      <c r="AX101" s="2339"/>
      <c r="AY101" s="2339"/>
      <c r="AZ101" s="2339"/>
      <c r="BA101" s="2339"/>
      <c r="BB101" s="2339"/>
      <c r="BC101" s="2339"/>
      <c r="BD101" s="3">
        <v>1</v>
      </c>
    </row>
    <row r="102" spans="1:56" ht="21" customHeight="1">
      <c r="A102" s="2339">
        <v>1</v>
      </c>
      <c r="B102" s="2339"/>
      <c r="C102" s="2452" t="s">
        <v>9463</v>
      </c>
      <c r="D102" s="2344"/>
      <c r="E102" s="2344"/>
      <c r="F102" s="2344"/>
      <c r="G102" s="2344"/>
      <c r="H102" s="2344"/>
      <c r="I102" s="2344"/>
      <c r="J102" s="2450" t="s">
        <v>9464</v>
      </c>
      <c r="K102" s="2339"/>
      <c r="L102" s="2339"/>
      <c r="M102" s="2339"/>
      <c r="N102" s="2339"/>
      <c r="O102" s="7846" t="s">
        <v>9465</v>
      </c>
      <c r="P102" s="7847" t="s">
        <v>9466</v>
      </c>
      <c r="Q102" s="2339"/>
      <c r="R102" s="2339"/>
      <c r="S102" s="2339"/>
      <c r="T102" s="2339"/>
      <c r="U102" s="2339"/>
      <c r="V102" s="2339"/>
      <c r="W102" s="2339"/>
      <c r="X102" s="2339"/>
      <c r="Y102" s="2339"/>
      <c r="Z102" s="2339"/>
      <c r="AA102" s="2339"/>
      <c r="AB102" s="2339"/>
      <c r="AC102" s="2339"/>
      <c r="AD102" s="2339"/>
      <c r="AE102" s="2339"/>
      <c r="AF102" s="2339"/>
      <c r="AG102" s="2339"/>
      <c r="AH102" s="2339"/>
      <c r="AI102" s="2339"/>
      <c r="AJ102" s="2339"/>
      <c r="AK102" s="2339"/>
      <c r="AL102" s="2339"/>
      <c r="AM102" s="2339"/>
      <c r="AN102" s="2339"/>
      <c r="AO102" s="2339"/>
      <c r="AP102" s="2339"/>
      <c r="AQ102" s="2339"/>
      <c r="AR102" s="2339"/>
      <c r="AS102" s="2339"/>
      <c r="AT102" s="2339"/>
      <c r="AU102" s="2339"/>
      <c r="AV102" s="2339"/>
      <c r="AW102" s="2339"/>
      <c r="AX102" s="2339"/>
      <c r="AY102" s="2339"/>
      <c r="AZ102" s="2339"/>
      <c r="BA102" s="2339"/>
      <c r="BB102" s="2339"/>
      <c r="BC102" s="2339"/>
      <c r="BD102" s="3">
        <v>1</v>
      </c>
    </row>
    <row r="103" spans="1:56" ht="21" customHeight="1">
      <c r="A103" s="2339">
        <v>1</v>
      </c>
      <c r="B103" s="2339"/>
      <c r="C103" s="2344" t="s">
        <v>9467</v>
      </c>
      <c r="D103" s="2344"/>
      <c r="E103" s="2344"/>
      <c r="F103" s="2344"/>
      <c r="G103" s="2344"/>
      <c r="H103" s="2453" t="s">
        <v>9468</v>
      </c>
      <c r="I103" s="2454">
        <f>IF(H104=D130,E113/(100-F114)*100)</f>
        <v>2.5</v>
      </c>
      <c r="J103" s="2420" t="str">
        <f ca="1">_xlfn.FORMULATEXT(I103)</f>
        <v>=SI(H104=D130;E113/(100-F114)*100)</v>
      </c>
      <c r="K103" s="2361"/>
      <c r="L103" s="2339">
        <v>1</v>
      </c>
      <c r="M103" s="2339">
        <v>1</v>
      </c>
      <c r="N103" s="2339"/>
      <c r="O103" s="7846"/>
      <c r="P103" s="7847"/>
      <c r="Q103" s="2339"/>
      <c r="R103" s="2339"/>
      <c r="S103" s="2339"/>
      <c r="T103" s="2339"/>
      <c r="U103" s="2339"/>
      <c r="V103" s="2339"/>
      <c r="W103" s="2339"/>
      <c r="X103" s="2339"/>
      <c r="Y103" s="2339"/>
      <c r="Z103" s="2339"/>
      <c r="AA103" s="2339"/>
      <c r="AB103" s="2339"/>
      <c r="AC103" s="2339"/>
      <c r="AD103" s="2339"/>
      <c r="AE103" s="2339"/>
      <c r="AF103" s="2339"/>
      <c r="AG103" s="2339"/>
      <c r="AH103" s="2339"/>
      <c r="AI103" s="2339"/>
      <c r="AJ103" s="2339"/>
      <c r="AK103" s="2339"/>
      <c r="AL103" s="2339"/>
      <c r="AM103" s="2339"/>
      <c r="AN103" s="2339"/>
      <c r="AO103" s="2339"/>
      <c r="AP103" s="2339"/>
      <c r="AQ103" s="2339"/>
      <c r="AR103" s="2339"/>
      <c r="AS103" s="2339"/>
      <c r="AT103" s="2339"/>
      <c r="AU103" s="2339"/>
      <c r="AV103" s="2339"/>
      <c r="AW103" s="2339"/>
      <c r="AX103" s="2339"/>
      <c r="AY103" s="2339"/>
      <c r="AZ103" s="2339"/>
      <c r="BA103" s="2339"/>
      <c r="BB103" s="2339"/>
      <c r="BC103" s="2339"/>
      <c r="BD103" s="3">
        <v>1</v>
      </c>
    </row>
    <row r="104" spans="1:56" ht="21" customHeight="1">
      <c r="A104" s="2339">
        <v>1</v>
      </c>
      <c r="B104" s="2339"/>
      <c r="C104" s="2344" t="s">
        <v>9469</v>
      </c>
      <c r="D104" s="2344"/>
      <c r="E104" s="2344"/>
      <c r="F104" s="2344"/>
      <c r="G104" s="2344"/>
      <c r="H104" s="2455" t="s">
        <v>9470</v>
      </c>
      <c r="I104" s="2454">
        <f>IF(H113=D130,E113-(E113*F114%))</f>
        <v>0.625</v>
      </c>
      <c r="J104" s="2420" t="str">
        <f ca="1">_xlfn.FORMULATEXT(I104)</f>
        <v>=SI(H113=D130;E113-(E113*F114%))</v>
      </c>
      <c r="K104" s="2361"/>
      <c r="L104" s="2339">
        <v>1</v>
      </c>
      <c r="M104" s="2339">
        <v>1</v>
      </c>
      <c r="N104" s="2339"/>
      <c r="O104" s="2339">
        <v>1</v>
      </c>
      <c r="P104" s="2339"/>
      <c r="Q104" s="2339"/>
      <c r="R104" s="2339"/>
      <c r="S104" s="2339"/>
      <c r="T104" s="2339"/>
      <c r="U104" s="2339"/>
      <c r="V104" s="2339"/>
      <c r="W104" s="2339"/>
      <c r="X104" s="2339"/>
      <c r="Y104" s="2339"/>
      <c r="Z104" s="2339"/>
      <c r="AA104" s="2339"/>
      <c r="AB104" s="2339"/>
      <c r="AC104" s="2339"/>
      <c r="AD104" s="2339"/>
      <c r="AE104" s="2339"/>
      <c r="AF104" s="2339"/>
      <c r="AG104" s="2339"/>
      <c r="AH104" s="2339"/>
      <c r="AI104" s="2339"/>
      <c r="AJ104" s="2339"/>
      <c r="AK104" s="2339"/>
      <c r="AL104" s="2339"/>
      <c r="AM104" s="2339"/>
      <c r="AN104" s="2339"/>
      <c r="AO104" s="2339"/>
      <c r="AP104" s="2339"/>
      <c r="AQ104" s="2339"/>
      <c r="AR104" s="2339"/>
      <c r="AS104" s="2339"/>
      <c r="AT104" s="2339"/>
      <c r="AU104" s="2339"/>
      <c r="AV104" s="2339"/>
      <c r="AW104" s="2339"/>
      <c r="AX104" s="2339"/>
      <c r="AY104" s="2339"/>
      <c r="AZ104" s="2339"/>
      <c r="BA104" s="2339"/>
      <c r="BB104" s="2339"/>
      <c r="BC104" s="2339"/>
      <c r="BD104" s="3">
        <v>1</v>
      </c>
    </row>
    <row r="105" spans="1:56" ht="21" customHeight="1" thickBot="1">
      <c r="A105" s="2339">
        <v>1</v>
      </c>
      <c r="B105" s="2339"/>
      <c r="C105" s="2339">
        <v>1</v>
      </c>
      <c r="D105" s="2339">
        <v>1</v>
      </c>
      <c r="E105" s="2339">
        <v>1</v>
      </c>
      <c r="F105" s="2339">
        <v>1</v>
      </c>
      <c r="G105" s="2339">
        <v>1</v>
      </c>
      <c r="H105" s="2339">
        <v>1</v>
      </c>
      <c r="I105" s="2339">
        <v>1</v>
      </c>
      <c r="J105" s="2456"/>
      <c r="K105" s="2339"/>
      <c r="L105" s="2339">
        <v>1</v>
      </c>
      <c r="M105" s="2339">
        <v>1</v>
      </c>
      <c r="N105" s="2339"/>
      <c r="O105" s="7848" t="s">
        <v>9471</v>
      </c>
      <c r="P105" s="2339"/>
      <c r="Q105" s="2339"/>
      <c r="R105" s="2339"/>
      <c r="S105" s="2339"/>
      <c r="T105" s="2339"/>
      <c r="U105" s="2339"/>
      <c r="V105" s="2339"/>
      <c r="W105" s="2339"/>
      <c r="X105" s="2339"/>
      <c r="Y105" s="2339"/>
      <c r="Z105" s="2339"/>
      <c r="AA105" s="2339"/>
      <c r="AB105" s="2339"/>
      <c r="AC105" s="2339"/>
      <c r="AD105" s="2339"/>
      <c r="AE105" s="2339"/>
      <c r="AF105" s="2339"/>
      <c r="AG105" s="2339"/>
      <c r="AH105" s="2339"/>
      <c r="AI105" s="2339"/>
      <c r="AJ105" s="2339"/>
      <c r="AK105" s="2339"/>
      <c r="AL105" s="2339"/>
      <c r="AM105" s="2339"/>
      <c r="AN105" s="2339"/>
      <c r="AO105" s="2339"/>
      <c r="AP105" s="2339"/>
      <c r="AQ105" s="2339"/>
      <c r="AR105" s="2339"/>
      <c r="AS105" s="2339"/>
      <c r="AT105" s="2339"/>
      <c r="AU105" s="2339"/>
      <c r="AV105" s="2339"/>
      <c r="AW105" s="2339"/>
      <c r="AX105" s="2339"/>
      <c r="AY105" s="2339"/>
      <c r="AZ105" s="2339"/>
      <c r="BA105" s="2339"/>
      <c r="BB105" s="2339"/>
      <c r="BC105" s="2339"/>
      <c r="BD105" s="3">
        <v>1</v>
      </c>
    </row>
    <row r="106" spans="1:56" ht="21" customHeight="1">
      <c r="A106" s="2339">
        <v>1</v>
      </c>
      <c r="B106" s="7820" t="s">
        <v>166</v>
      </c>
      <c r="C106" s="7836" t="s">
        <v>9472</v>
      </c>
      <c r="D106" s="7836"/>
      <c r="E106" s="7836"/>
      <c r="F106" s="7836"/>
      <c r="G106" s="2457"/>
      <c r="H106" s="2458" t="str">
        <f>E114</f>
        <v>❻ %  de PERTE &gt;</v>
      </c>
      <c r="I106" s="2459" t="str">
        <f>_xlfn.UNICHAR(128269)&amp;"Cliquez sur les loupes"</f>
        <v>🔍Cliquez sur les loupes</v>
      </c>
      <c r="J106" s="2400"/>
      <c r="K106" s="2460" t="s">
        <v>9385</v>
      </c>
      <c r="L106" s="2361"/>
      <c r="M106" s="2361"/>
      <c r="N106" s="2361"/>
      <c r="O106" s="7848"/>
      <c r="P106" s="2339"/>
      <c r="Q106" s="2339"/>
      <c r="R106" s="2339"/>
      <c r="S106" s="2339"/>
      <c r="T106" s="2339"/>
      <c r="U106" s="2339"/>
      <c r="V106" s="2339"/>
      <c r="W106" s="2339"/>
      <c r="X106" s="2339"/>
      <c r="Y106" s="2339"/>
      <c r="Z106" s="2339"/>
      <c r="AA106" s="2339"/>
      <c r="AB106" s="2339"/>
      <c r="AC106" s="2339"/>
      <c r="AD106" s="2339"/>
      <c r="AE106" s="2339"/>
      <c r="AF106" s="2339"/>
      <c r="AG106" s="2339"/>
      <c r="AH106" s="2339"/>
      <c r="AI106" s="2339"/>
      <c r="AJ106" s="2339"/>
      <c r="AK106" s="2339"/>
      <c r="AL106" s="2339"/>
      <c r="AM106" s="2339"/>
      <c r="AN106" s="2339"/>
      <c r="AO106" s="2339"/>
      <c r="AP106" s="2339"/>
      <c r="AQ106" s="2339"/>
      <c r="AR106" s="2339"/>
      <c r="AS106" s="2339"/>
      <c r="AT106" s="2339"/>
      <c r="AU106" s="2339"/>
      <c r="AV106" s="2339"/>
      <c r="AW106" s="2339"/>
      <c r="AX106" s="2339"/>
      <c r="AY106" s="2339"/>
      <c r="AZ106" s="2339"/>
      <c r="BA106" s="2339"/>
      <c r="BB106" s="2339"/>
      <c r="BC106" s="2339"/>
      <c r="BD106" s="3">
        <v>1</v>
      </c>
    </row>
    <row r="107" spans="1:56" ht="21" customHeight="1">
      <c r="A107" s="2339">
        <v>1</v>
      </c>
      <c r="B107" s="7821"/>
      <c r="C107" s="2461"/>
      <c r="D107" s="2461"/>
      <c r="E107" s="2462"/>
      <c r="F107" s="2463" t="s">
        <v>9473</v>
      </c>
      <c r="G107" s="2464" t="str">
        <f>IF(F113=D129,"CRU- Brut ou à cuire","CUIT - Net à servir")</f>
        <v>CRU- Brut ou à cuire</v>
      </c>
      <c r="H107" s="2465"/>
      <c r="I107" s="2466" t="str">
        <f>HYPERLINK("#"&amp;ADDRESS(ROW(G107),COLUMN(G107),4),_xlfn.UNICHAR(128269)&amp;"cellule "&amp;ADDRESS(ROW(G107),COLUMN(G107),4))</f>
        <v>🔍cellule G107</v>
      </c>
      <c r="J107" s="2467" t="str">
        <f>G107</f>
        <v>CRU- Brut ou à cuire</v>
      </c>
      <c r="K107" s="2420" t="str">
        <f ca="1">_xlfn.FORMULATEXT(G107)</f>
        <v>=SI(F113=D129;"CRU- Brut ou à cuire";"CUIT - Net à servir")</v>
      </c>
      <c r="L107" s="2361"/>
      <c r="M107" s="2361"/>
      <c r="N107" s="2361"/>
      <c r="O107" s="2339"/>
      <c r="P107" s="2339"/>
      <c r="Q107" s="2339"/>
      <c r="R107" s="2339"/>
      <c r="S107" s="2339"/>
      <c r="T107" s="2339"/>
      <c r="U107" s="2339"/>
      <c r="V107" s="2339"/>
      <c r="W107" s="2339"/>
      <c r="X107" s="2339"/>
      <c r="Y107" s="2339"/>
      <c r="Z107" s="2339"/>
      <c r="AA107" s="2339"/>
      <c r="AB107" s="2339"/>
      <c r="AC107" s="2339"/>
      <c r="AD107" s="2339"/>
      <c r="AE107" s="2339"/>
      <c r="AF107" s="2339"/>
      <c r="AG107" s="2339"/>
      <c r="AH107" s="2339"/>
      <c r="AI107" s="2339"/>
      <c r="AJ107" s="2339"/>
      <c r="AK107" s="2339"/>
      <c r="AL107" s="2339"/>
      <c r="AM107" s="2339"/>
      <c r="AN107" s="2339"/>
      <c r="AO107" s="2339"/>
      <c r="AP107" s="2339"/>
      <c r="AQ107" s="2339"/>
      <c r="AR107" s="2339"/>
      <c r="AS107" s="2339"/>
      <c r="AT107" s="2339"/>
      <c r="AU107" s="2339"/>
      <c r="AV107" s="2339"/>
      <c r="AW107" s="2339"/>
      <c r="AX107" s="2339"/>
      <c r="AY107" s="2339"/>
      <c r="AZ107" s="2339"/>
      <c r="BA107" s="2339"/>
      <c r="BB107" s="2339"/>
      <c r="BC107" s="2339"/>
      <c r="BD107" s="3">
        <v>1</v>
      </c>
    </row>
    <row r="108" spans="1:56" ht="21" customHeight="1">
      <c r="A108" s="2339">
        <v>1</v>
      </c>
      <c r="B108" s="7823">
        <v>3</v>
      </c>
      <c r="C108" s="7812" t="str">
        <f>D110</f>
        <v>Sautés en morceaux service au poids</v>
      </c>
      <c r="D108" s="7812"/>
      <c r="E108" s="7812"/>
      <c r="F108" s="7812"/>
      <c r="G108" s="7812"/>
      <c r="H108" s="7813"/>
      <c r="I108" s="2466" t="str">
        <f>HYPERLINK("#"&amp;ADDRESS(ROW(E109),COLUMN(E109),4),_xlfn.UNICHAR(128269)&amp;"cellule "&amp;ADDRESS(ROW(E109),COLUMN(E109),4))</f>
        <v>🔍cellule E109</v>
      </c>
      <c r="J108" s="2468">
        <f>E109</f>
        <v>46</v>
      </c>
      <c r="K108" s="2420" t="str">
        <f ca="1">_xlfn.FORMULATEXT(E109)</f>
        <v>=ENT(E119/E113)</v>
      </c>
      <c r="L108" s="2361"/>
      <c r="M108" s="2361"/>
      <c r="N108" s="2361"/>
      <c r="O108" s="2339"/>
      <c r="P108" s="2339"/>
      <c r="Q108" s="2339"/>
      <c r="R108" s="2339"/>
      <c r="S108" s="2339"/>
      <c r="T108" s="2339"/>
      <c r="U108" s="2339"/>
      <c r="V108" s="2339"/>
      <c r="W108" s="2339"/>
      <c r="X108" s="2339"/>
      <c r="Y108" s="2339"/>
      <c r="Z108" s="2339"/>
      <c r="AA108" s="2339"/>
      <c r="AB108" s="2339"/>
      <c r="AC108" s="2339"/>
      <c r="AD108" s="2339"/>
      <c r="AE108" s="2339"/>
      <c r="AF108" s="2339"/>
      <c r="AG108" s="2339"/>
      <c r="AH108" s="2339"/>
      <c r="AI108" s="2339"/>
      <c r="AJ108" s="2339"/>
      <c r="AK108" s="2339"/>
      <c r="AL108" s="2339"/>
      <c r="AM108" s="2339"/>
      <c r="AN108" s="2339"/>
      <c r="AO108" s="2339"/>
      <c r="AP108" s="2339"/>
      <c r="AQ108" s="2339"/>
      <c r="AR108" s="2339"/>
      <c r="AS108" s="2339"/>
      <c r="AT108" s="2339"/>
      <c r="AU108" s="2339"/>
      <c r="AV108" s="2339"/>
      <c r="AW108" s="2339"/>
      <c r="AX108" s="2339"/>
      <c r="AY108" s="2339"/>
      <c r="AZ108" s="2339"/>
      <c r="BA108" s="2339"/>
      <c r="BB108" s="2339"/>
      <c r="BC108" s="2339"/>
      <c r="BD108" s="3">
        <v>1</v>
      </c>
    </row>
    <row r="109" spans="1:56" ht="21" customHeight="1">
      <c r="A109" s="2339">
        <v>1</v>
      </c>
      <c r="B109" s="7823"/>
      <c r="C109" s="2469"/>
      <c r="D109" s="2470" t="s">
        <v>9474</v>
      </c>
      <c r="E109" s="2471">
        <f>INT(E119/E113)</f>
        <v>46</v>
      </c>
      <c r="F109" s="2472">
        <f>IF(E109=0,0,IF(E120=0,0,E113))</f>
        <v>1.25</v>
      </c>
      <c r="G109" s="2473" t="str">
        <f>IF(F109*E109=0,"1 de",IF(E119=0,0,IF(E113=0,0,IF(F109*E109=E119,"",IF(H109&gt;0,"Plus 1 de")))))</f>
        <v>Plus 1 de</v>
      </c>
      <c r="H109" s="2474">
        <f>IF(E113=0,0,IF(F109*E109=E119,"",MOD(E119,E113)))</f>
        <v>0.10000000000000142</v>
      </c>
      <c r="I109" s="2466" t="str">
        <f>HYPERLINK("#"&amp;ADDRESS(ROW(F109),COLUMN(F109),4),_xlfn.UNICHAR(128269)&amp;"cellule "&amp;ADDRESS(ROW(F109),COLUMN(F109),4))</f>
        <v>🔍cellule F109</v>
      </c>
      <c r="J109" s="2475">
        <f>F109</f>
        <v>1.25</v>
      </c>
      <c r="K109" s="2420" t="str">
        <f ca="1">_xlfn.FORMULATEXT(F109)</f>
        <v>=SI(E109=0;0;SI(E120=0;0;E113))</v>
      </c>
      <c r="L109" s="2361"/>
      <c r="M109" s="2361"/>
      <c r="N109" s="2361"/>
      <c r="O109" s="2361"/>
      <c r="P109" s="2361"/>
      <c r="Q109" s="2339"/>
      <c r="R109" s="2339"/>
      <c r="S109" s="2339"/>
      <c r="T109" s="2339"/>
      <c r="U109" s="2339"/>
      <c r="V109" s="2339"/>
      <c r="W109" s="2339"/>
      <c r="X109" s="2339"/>
      <c r="Y109" s="2339"/>
      <c r="Z109" s="2339"/>
      <c r="AA109" s="2339"/>
      <c r="AB109" s="2339"/>
      <c r="AC109" s="2339"/>
      <c r="AD109" s="2339"/>
      <c r="AE109" s="2339"/>
      <c r="AF109" s="2339"/>
      <c r="AG109" s="2339"/>
      <c r="AH109" s="2339"/>
      <c r="AI109" s="2339"/>
      <c r="AJ109" s="2339"/>
      <c r="AK109" s="2339"/>
      <c r="AL109" s="2339"/>
      <c r="AM109" s="2339"/>
      <c r="AN109" s="2339"/>
      <c r="AO109" s="2339"/>
      <c r="AP109" s="2339"/>
      <c r="AQ109" s="2339"/>
      <c r="AR109" s="2339"/>
      <c r="AS109" s="2339"/>
      <c r="AT109" s="2339"/>
      <c r="AU109" s="2339"/>
      <c r="AV109" s="2339"/>
      <c r="AW109" s="2339"/>
      <c r="AX109" s="2339"/>
      <c r="AY109" s="2339"/>
      <c r="AZ109" s="2339"/>
      <c r="BA109" s="2339"/>
      <c r="BB109" s="2339"/>
      <c r="BC109" s="2339"/>
      <c r="BD109" s="3">
        <v>1</v>
      </c>
    </row>
    <row r="110" spans="1:56" ht="21" customHeight="1">
      <c r="A110" s="2339">
        <v>1</v>
      </c>
      <c r="B110" s="7823"/>
      <c r="C110" s="2476" t="s">
        <v>9475</v>
      </c>
      <c r="D110" s="1781" t="s">
        <v>9476</v>
      </c>
      <c r="E110" s="2477"/>
      <c r="F110" s="2361"/>
      <c r="G110" s="2361"/>
      <c r="H110" s="2478"/>
      <c r="I110" s="2466" t="str">
        <f>HYPERLINK("#"&amp;ADDRESS(ROW(G109),COLUMN(G109),4),_xlfn.UNICHAR(128269)&amp;"cellule "&amp;ADDRESS(ROW(G109),COLUMN(G109),4))</f>
        <v>🔍cellule G109</v>
      </c>
      <c r="J110" s="2479" t="str">
        <f>HYPERLINK("# G31",G109)</f>
        <v>Plus 1 de</v>
      </c>
      <c r="K110" s="2420" t="str">
        <f ca="1">_xlfn.FORMULATEXT(G109)</f>
        <v>=SI(F109*E109=0;"1 de";SI(E119=0;0;SI(E113=0;0;SI(F109*E109=E119;"";SI(H109&gt;0;"Plus 1 de")))))</v>
      </c>
      <c r="L110" s="2361"/>
      <c r="M110" s="2361"/>
      <c r="N110" s="2361"/>
      <c r="O110" s="2361"/>
      <c r="P110" s="2361"/>
      <c r="Q110" s="2339"/>
      <c r="R110" s="2339"/>
      <c r="S110" s="2339"/>
      <c r="T110" s="2339"/>
      <c r="U110" s="2339"/>
      <c r="V110" s="2339"/>
      <c r="W110" s="2339"/>
      <c r="X110" s="2339"/>
      <c r="Y110" s="2339"/>
      <c r="Z110" s="2339"/>
      <c r="AA110" s="2339"/>
      <c r="AB110" s="2339"/>
      <c r="AC110" s="2339"/>
      <c r="AD110" s="2339"/>
      <c r="AE110" s="2339"/>
      <c r="AF110" s="2339"/>
      <c r="AG110" s="2339"/>
      <c r="AH110" s="2339"/>
      <c r="AI110" s="2339"/>
      <c r="AJ110" s="2339"/>
      <c r="AK110" s="2339"/>
      <c r="AL110" s="2339"/>
      <c r="AM110" s="2339"/>
      <c r="AN110" s="2339"/>
      <c r="AO110" s="2339"/>
      <c r="AP110" s="2339"/>
      <c r="AQ110" s="2339"/>
      <c r="AR110" s="2339"/>
      <c r="AS110" s="2339"/>
      <c r="AT110" s="2339"/>
      <c r="AU110" s="2339"/>
      <c r="AV110" s="2339"/>
      <c r="AW110" s="2339"/>
      <c r="AX110" s="2339"/>
      <c r="AY110" s="2339"/>
      <c r="AZ110" s="2339"/>
      <c r="BA110" s="2339"/>
      <c r="BB110" s="2339"/>
      <c r="BC110" s="2339"/>
      <c r="BD110" s="3">
        <v>1</v>
      </c>
    </row>
    <row r="111" spans="1:56" ht="21" customHeight="1">
      <c r="A111" s="2339">
        <v>1</v>
      </c>
      <c r="B111" s="7823"/>
      <c r="C111" s="2361"/>
      <c r="D111" s="2361"/>
      <c r="E111" s="2480" t="s">
        <v>9477</v>
      </c>
      <c r="F111" s="7825" t="s">
        <v>9478</v>
      </c>
      <c r="G111" s="7825"/>
      <c r="H111" s="7826"/>
      <c r="I111" s="2466" t="str">
        <f>HYPERLINK("#"&amp;ADDRESS(ROW(H109),COLUMN(H109),4),_xlfn.UNICHAR(128269)&amp;"cellule "&amp;ADDRESS(ROW(H109),COLUMN(H109),4))</f>
        <v>🔍cellule H109</v>
      </c>
      <c r="J111" s="2481">
        <f>H109</f>
        <v>0.10000000000000142</v>
      </c>
      <c r="K111" s="2420" t="str">
        <f ca="1">_xlfn.FORMULATEXT(H109)</f>
        <v>=SI(E113=0;0;SI(F109*E109=E119;"";MOD(E119;E113)))</v>
      </c>
      <c r="L111" s="2361"/>
      <c r="M111" s="2361"/>
      <c r="N111" s="2361"/>
      <c r="O111" s="2361"/>
      <c r="P111" s="2361"/>
      <c r="Q111" s="2339"/>
      <c r="R111" s="2339"/>
      <c r="S111" s="2339"/>
      <c r="T111" s="2339"/>
      <c r="U111" s="2339"/>
      <c r="V111" s="2339"/>
      <c r="W111" s="2339"/>
      <c r="X111" s="2339"/>
      <c r="Y111" s="2339"/>
      <c r="Z111" s="2339"/>
      <c r="AA111" s="2339"/>
      <c r="AB111" s="2339"/>
      <c r="AC111" s="2339"/>
      <c r="AD111" s="2339"/>
      <c r="AE111" s="2339"/>
      <c r="AF111" s="2339"/>
      <c r="AG111" s="2339"/>
      <c r="AH111" s="2339"/>
      <c r="AI111" s="2339"/>
      <c r="AJ111" s="2339"/>
      <c r="AK111" s="2339"/>
      <c r="AL111" s="2339"/>
      <c r="AM111" s="2339"/>
      <c r="AN111" s="2339"/>
      <c r="AO111" s="2339"/>
      <c r="AP111" s="2339"/>
      <c r="AQ111" s="2339"/>
      <c r="AR111" s="2339"/>
      <c r="AS111" s="2339"/>
      <c r="AT111" s="2339"/>
      <c r="AU111" s="2339"/>
      <c r="AV111" s="2339"/>
      <c r="AW111" s="2339"/>
      <c r="AX111" s="2339"/>
      <c r="AY111" s="2339"/>
      <c r="AZ111" s="2339"/>
      <c r="BA111" s="2339"/>
      <c r="BB111" s="2339"/>
      <c r="BC111" s="2339"/>
      <c r="BD111" s="3">
        <v>1</v>
      </c>
    </row>
    <row r="112" spans="1:56" ht="21" customHeight="1">
      <c r="A112" s="2339">
        <v>1</v>
      </c>
      <c r="B112" s="7823"/>
      <c r="C112" s="2361"/>
      <c r="D112" s="2482"/>
      <c r="E112" s="2483"/>
      <c r="F112" s="2484" t="s">
        <v>9479</v>
      </c>
      <c r="G112" s="2482"/>
      <c r="H112" s="2478"/>
      <c r="I112" s="2353"/>
      <c r="J112" s="2485"/>
      <c r="K112" s="2361"/>
      <c r="L112" s="2361"/>
      <c r="M112" s="2361"/>
      <c r="N112" s="2361"/>
      <c r="O112" s="2361"/>
      <c r="P112" s="2361"/>
      <c r="Q112" s="2339"/>
      <c r="R112" s="2339"/>
      <c r="S112" s="2339"/>
      <c r="T112" s="2339"/>
      <c r="U112" s="2339"/>
      <c r="V112" s="2339"/>
      <c r="W112" s="2339"/>
      <c r="X112" s="2339"/>
      <c r="Y112" s="2339"/>
      <c r="Z112" s="2339"/>
      <c r="AA112" s="2339"/>
      <c r="AB112" s="2339"/>
      <c r="AC112" s="2339"/>
      <c r="AD112" s="2339"/>
      <c r="AE112" s="2339"/>
      <c r="AF112" s="2339"/>
      <c r="AG112" s="2339"/>
      <c r="AH112" s="2339"/>
      <c r="AI112" s="2339"/>
      <c r="AJ112" s="2339"/>
      <c r="AK112" s="2339"/>
      <c r="AL112" s="2339"/>
      <c r="AM112" s="2339"/>
      <c r="AN112" s="2339"/>
      <c r="AO112" s="2339"/>
      <c r="AP112" s="2339"/>
      <c r="AQ112" s="2339"/>
      <c r="AR112" s="2339"/>
      <c r="AS112" s="2339"/>
      <c r="AT112" s="2339"/>
      <c r="AU112" s="2339"/>
      <c r="AV112" s="2339"/>
      <c r="AW112" s="2339"/>
      <c r="AX112" s="2339"/>
      <c r="AY112" s="2339"/>
      <c r="AZ112" s="2339"/>
      <c r="BA112" s="2339"/>
      <c r="BB112" s="2339"/>
      <c r="BC112" s="2339"/>
      <c r="BD112" s="3">
        <v>1</v>
      </c>
    </row>
    <row r="113" spans="1:56" ht="21" customHeight="1">
      <c r="A113" s="2339">
        <v>1</v>
      </c>
      <c r="B113" s="7823"/>
      <c r="C113" s="2486"/>
      <c r="D113" s="2487" t="s">
        <v>9480</v>
      </c>
      <c r="E113" s="2488">
        <v>1.25</v>
      </c>
      <c r="F113" s="2489" t="s">
        <v>9468</v>
      </c>
      <c r="G113" s="2490">
        <f>IF(F113=D129,E113-(E113*F114%),IF(F113=D130,E113/(100-F114)*100))</f>
        <v>0.625</v>
      </c>
      <c r="H113" s="2491" t="str">
        <f>H116</f>
        <v>❺ Kg cuit</v>
      </c>
      <c r="I113" s="2466" t="str">
        <f>HYPERLINK("#"&amp;ADDRESS(ROW(G113),COLUMN(G113),4),_xlfn.UNICHAR(128269)&amp;"cellule "&amp;ADDRESS(ROW(G113),COLUMN(G113),4))</f>
        <v>🔍cellule G113</v>
      </c>
      <c r="J113" s="2454">
        <f>G113</f>
        <v>0.625</v>
      </c>
      <c r="K113" s="2420" t="str">
        <f ca="1">_xlfn.FORMULATEXT(G113)</f>
        <v>=SI(F113=D129;E113-(E113*F114%);SI(F113=D130;E113/(100-F114)*100))</v>
      </c>
      <c r="L113" s="2361"/>
      <c r="M113" s="2361"/>
      <c r="N113" s="2361"/>
      <c r="O113" s="2361"/>
      <c r="P113" s="2361"/>
      <c r="Q113" s="2339"/>
      <c r="R113" s="2339"/>
      <c r="S113" s="2339"/>
      <c r="T113" s="2339"/>
      <c r="U113" s="2339"/>
      <c r="V113" s="2339"/>
      <c r="W113" s="2339"/>
      <c r="X113" s="2339"/>
      <c r="Y113" s="2339"/>
      <c r="Z113" s="2339"/>
      <c r="AA113" s="2339"/>
      <c r="AB113" s="2339"/>
      <c r="AC113" s="2339"/>
      <c r="AD113" s="2339"/>
      <c r="AE113" s="2339"/>
      <c r="AF113" s="2339"/>
      <c r="AG113" s="2339"/>
      <c r="AH113" s="2339"/>
      <c r="AI113" s="2339"/>
      <c r="AJ113" s="2339"/>
      <c r="AK113" s="2339"/>
      <c r="AL113" s="2339"/>
      <c r="AM113" s="2339"/>
      <c r="AN113" s="2339"/>
      <c r="AO113" s="2339"/>
      <c r="AP113" s="2339"/>
      <c r="AQ113" s="2339"/>
      <c r="AR113" s="2339"/>
      <c r="AS113" s="2339"/>
      <c r="AT113" s="2339"/>
      <c r="AU113" s="2339"/>
      <c r="AV113" s="2339"/>
      <c r="AW113" s="2339"/>
      <c r="AX113" s="2339"/>
      <c r="AY113" s="2339"/>
      <c r="AZ113" s="2339"/>
      <c r="BA113" s="2339"/>
      <c r="BB113" s="2339"/>
      <c r="BC113" s="2339"/>
      <c r="BD113" s="3">
        <v>1</v>
      </c>
    </row>
    <row r="114" spans="1:56" ht="21" customHeight="1">
      <c r="A114" s="2339">
        <v>1</v>
      </c>
      <c r="B114" s="7823"/>
      <c r="C114" s="2361"/>
      <c r="D114" s="2400"/>
      <c r="E114" s="2492" t="str">
        <f>IF(F116=D130,"❻ % de BONI &gt;",IF(F116=D129,"❻ %  de PERTE &gt;",IF(ISBLANK(F114),0)))</f>
        <v>❻ %  de PERTE &gt;</v>
      </c>
      <c r="F114" s="2493">
        <v>50</v>
      </c>
      <c r="G114" s="2361"/>
      <c r="H114" s="2478"/>
      <c r="I114" s="2466" t="str">
        <f>HYPERLINK("#"&amp;ADDRESS(ROW(E114),COLUMN(E114),4),_xlfn.UNICHAR(128269)&amp;"cellule "&amp;ADDRESS(ROW(E114),COLUMN(E114),4))</f>
        <v>🔍cellule E114</v>
      </c>
      <c r="J114" s="2494" t="str">
        <f>E114</f>
        <v>❻ %  de PERTE &gt;</v>
      </c>
      <c r="K114" s="2420" t="str">
        <f ca="1">_xlfn.FORMULATEXT(E114)</f>
        <v>=SI(F116=D130;"❻ % de BONI &gt;";SI(F116=D129;"❻ %  de PERTE &gt;";SI(ESTVIDE(F114);0)))</v>
      </c>
      <c r="L114" s="2361"/>
      <c r="M114" s="2361"/>
      <c r="N114" s="2361"/>
      <c r="O114" s="2361"/>
      <c r="P114" s="2361"/>
      <c r="Q114" s="2339"/>
      <c r="R114" s="2339"/>
      <c r="S114" s="2339"/>
      <c r="T114" s="2339"/>
      <c r="U114" s="2339"/>
      <c r="V114" s="2339"/>
      <c r="W114" s="2339"/>
      <c r="X114" s="2339"/>
      <c r="Y114" s="2339"/>
      <c r="Z114" s="2339"/>
      <c r="AA114" s="2339"/>
      <c r="AB114" s="2339"/>
      <c r="AC114" s="2339"/>
      <c r="AD114" s="2339"/>
      <c r="AE114" s="2339"/>
      <c r="AF114" s="2339"/>
      <c r="AG114" s="2339"/>
      <c r="AH114" s="2339"/>
      <c r="AI114" s="2339"/>
      <c r="AJ114" s="2339"/>
      <c r="AK114" s="2339"/>
      <c r="AL114" s="2339"/>
      <c r="AM114" s="2339"/>
      <c r="AN114" s="2339"/>
      <c r="AO114" s="2339"/>
      <c r="AP114" s="2339"/>
      <c r="AQ114" s="2339"/>
      <c r="AR114" s="2339"/>
      <c r="AS114" s="2339"/>
      <c r="AT114" s="2339"/>
      <c r="AU114" s="2339"/>
      <c r="AV114" s="2339"/>
      <c r="AW114" s="2339"/>
      <c r="AX114" s="2339"/>
      <c r="AY114" s="2339"/>
      <c r="AZ114" s="2339"/>
      <c r="BA114" s="2339"/>
      <c r="BB114" s="2339"/>
      <c r="BC114" s="2339"/>
      <c r="BD114" s="3">
        <v>1</v>
      </c>
    </row>
    <row r="115" spans="1:56" ht="21" customHeight="1">
      <c r="A115" s="2339">
        <v>1</v>
      </c>
      <c r="B115" s="7823"/>
      <c r="C115" s="2361"/>
      <c r="D115" s="2361"/>
      <c r="E115" s="2361"/>
      <c r="F115" s="2361"/>
      <c r="G115" s="2361"/>
      <c r="H115" s="2478"/>
      <c r="I115" s="2353"/>
      <c r="J115" s="2485"/>
      <c r="K115" s="2361"/>
      <c r="L115" s="2361"/>
      <c r="M115" s="2361"/>
      <c r="N115" s="2361"/>
      <c r="O115" s="2361"/>
      <c r="P115" s="2361"/>
      <c r="Q115" s="2339"/>
      <c r="R115" s="2339"/>
      <c r="S115" s="2339"/>
      <c r="T115" s="2339"/>
      <c r="U115" s="2339"/>
      <c r="V115" s="2339"/>
      <c r="W115" s="2339"/>
      <c r="X115" s="2339"/>
      <c r="Y115" s="2339"/>
      <c r="Z115" s="2339"/>
      <c r="AA115" s="2339"/>
      <c r="AB115" s="2339"/>
      <c r="AC115" s="2339"/>
      <c r="AD115" s="2339"/>
      <c r="AE115" s="2339"/>
      <c r="AF115" s="2339"/>
      <c r="AG115" s="2339"/>
      <c r="AH115" s="2339"/>
      <c r="AI115" s="2339"/>
      <c r="AJ115" s="2339"/>
      <c r="AK115" s="2339"/>
      <c r="AL115" s="2339"/>
      <c r="AM115" s="2339"/>
      <c r="AN115" s="2339"/>
      <c r="AO115" s="2339"/>
      <c r="AP115" s="2339"/>
      <c r="AQ115" s="2339"/>
      <c r="AR115" s="2339"/>
      <c r="AS115" s="2339"/>
      <c r="AT115" s="2339"/>
      <c r="AU115" s="2339"/>
      <c r="AV115" s="2339"/>
      <c r="AW115" s="2339"/>
      <c r="AX115" s="2339"/>
      <c r="AY115" s="2339"/>
      <c r="AZ115" s="2339"/>
      <c r="BA115" s="2339"/>
      <c r="BB115" s="2339"/>
      <c r="BC115" s="2339"/>
      <c r="BD115" s="3">
        <v>1</v>
      </c>
    </row>
    <row r="116" spans="1:56" ht="21" customHeight="1">
      <c r="A116" s="2339">
        <v>1</v>
      </c>
      <c r="B116" s="7823"/>
      <c r="C116" s="2361"/>
      <c r="D116" s="2495" t="s">
        <v>9481</v>
      </c>
      <c r="E116" s="2496">
        <v>4.8000000000000001E-2</v>
      </c>
      <c r="F116" s="2497" t="str">
        <f>F113</f>
        <v>❹ Kg cru</v>
      </c>
      <c r="G116" s="2490">
        <f>IF(F116=D129,E116-(E116*F114%),IF(F116=D130,E116/(100-F114)*100))</f>
        <v>2.4E-2</v>
      </c>
      <c r="H116" s="2498" t="str">
        <f>IF(F116=D129,D130,D129)</f>
        <v>❺ Kg cuit</v>
      </c>
      <c r="I116" s="2466" t="str">
        <f>HYPERLINK("#"&amp;ADDRESS(ROW(G116),COLUMN(G116),4),_xlfn.UNICHAR(128269)&amp;"cellule "&amp;ADDRESS(ROW(G116),COLUMN(G116),4))</f>
        <v>🔍cellule G116</v>
      </c>
      <c r="J116" s="2454">
        <f>G116</f>
        <v>2.4E-2</v>
      </c>
      <c r="K116" s="2420" t="str">
        <f ca="1">_xlfn.FORMULATEXT(G116)</f>
        <v>=SI(F116=D129;E116-(E116*F114%);SI(F116=D130;E116/(100-F114)*100))</v>
      </c>
      <c r="L116" s="2361"/>
      <c r="M116" s="2361"/>
      <c r="N116" s="2361"/>
      <c r="O116" s="2361"/>
      <c r="P116" s="2361"/>
      <c r="Q116" s="2339"/>
      <c r="R116" s="2339"/>
      <c r="S116" s="2339"/>
      <c r="T116" s="2339"/>
      <c r="U116" s="2339"/>
      <c r="V116" s="2339"/>
      <c r="W116" s="2339"/>
      <c r="X116" s="2339"/>
      <c r="Y116" s="2339"/>
      <c r="Z116" s="2339"/>
      <c r="AA116" s="2339"/>
      <c r="AB116" s="2339"/>
      <c r="AC116" s="2339"/>
      <c r="AD116" s="2339"/>
      <c r="AE116" s="2339"/>
      <c r="AF116" s="2339"/>
      <c r="AG116" s="2339"/>
      <c r="AH116" s="2339"/>
      <c r="AI116" s="2339"/>
      <c r="AJ116" s="2339"/>
      <c r="AK116" s="2339"/>
      <c r="AL116" s="2339"/>
      <c r="AM116" s="2339"/>
      <c r="AN116" s="2339"/>
      <c r="AO116" s="2339"/>
      <c r="AP116" s="2339"/>
      <c r="AQ116" s="2339"/>
      <c r="AR116" s="2339"/>
      <c r="AS116" s="2339"/>
      <c r="AT116" s="2339"/>
      <c r="AU116" s="2339"/>
      <c r="AV116" s="2339"/>
      <c r="AW116" s="2339"/>
      <c r="AX116" s="2339"/>
      <c r="AY116" s="2339"/>
      <c r="AZ116" s="2339"/>
      <c r="BA116" s="2339"/>
      <c r="BB116" s="2339"/>
      <c r="BC116" s="2339"/>
      <c r="BD116" s="3">
        <v>1</v>
      </c>
    </row>
    <row r="117" spans="1:56" ht="21" customHeight="1">
      <c r="A117" s="2339">
        <v>1</v>
      </c>
      <c r="B117" s="7823"/>
      <c r="C117" s="2361"/>
      <c r="D117" s="2499" t="s">
        <v>9482</v>
      </c>
      <c r="E117" s="2500">
        <v>1200</v>
      </c>
      <c r="F117" s="2501" t="s">
        <v>36</v>
      </c>
      <c r="G117" s="2361"/>
      <c r="H117" s="2502"/>
      <c r="I117" s="2353"/>
      <c r="J117" s="2485"/>
      <c r="K117" s="2361"/>
      <c r="L117" s="2361"/>
      <c r="M117" s="2361"/>
      <c r="N117" s="2361"/>
      <c r="O117" s="2361"/>
      <c r="P117" s="2361"/>
      <c r="Q117" s="2339"/>
      <c r="R117" s="2339"/>
      <c r="S117" s="2339"/>
      <c r="T117" s="2339"/>
      <c r="U117" s="2339"/>
      <c r="V117" s="2339"/>
      <c r="W117" s="2339"/>
      <c r="X117" s="2339"/>
      <c r="Y117" s="2339"/>
      <c r="Z117" s="2339"/>
      <c r="AA117" s="2339"/>
      <c r="AB117" s="2339"/>
      <c r="AC117" s="2339"/>
      <c r="AD117" s="2339"/>
      <c r="AE117" s="2339"/>
      <c r="AF117" s="2339"/>
      <c r="AG117" s="2339"/>
      <c r="AH117" s="2339"/>
      <c r="AI117" s="2339"/>
      <c r="AJ117" s="2339"/>
      <c r="AK117" s="2339"/>
      <c r="AL117" s="2339"/>
      <c r="AM117" s="2339"/>
      <c r="AN117" s="2339"/>
      <c r="AO117" s="2339"/>
      <c r="AP117" s="2339"/>
      <c r="AQ117" s="2339"/>
      <c r="AR117" s="2339"/>
      <c r="AS117" s="2339"/>
      <c r="AT117" s="2339"/>
      <c r="AU117" s="2339"/>
      <c r="AV117" s="2339"/>
      <c r="AW117" s="2339"/>
      <c r="AX117" s="2339"/>
      <c r="AY117" s="2339"/>
      <c r="AZ117" s="2339"/>
      <c r="BA117" s="2339"/>
      <c r="BB117" s="2339"/>
      <c r="BC117" s="2339"/>
      <c r="BD117" s="3">
        <v>1</v>
      </c>
    </row>
    <row r="118" spans="1:56" ht="21" customHeight="1">
      <c r="A118" s="2339">
        <v>1</v>
      </c>
      <c r="B118" s="7823"/>
      <c r="C118" s="2361"/>
      <c r="D118" s="2361"/>
      <c r="E118" s="2361"/>
      <c r="F118" s="2361"/>
      <c r="G118" s="2361"/>
      <c r="H118" s="2478"/>
      <c r="I118" s="2353"/>
      <c r="J118" s="2485"/>
      <c r="K118" s="2361"/>
      <c r="L118" s="2361"/>
      <c r="M118" s="2361"/>
      <c r="N118" s="2361"/>
      <c r="O118" s="2361"/>
      <c r="P118" s="2361"/>
      <c r="Q118" s="2339"/>
      <c r="R118" s="2339"/>
      <c r="S118" s="2339"/>
      <c r="T118" s="2339"/>
      <c r="U118" s="2339"/>
      <c r="V118" s="2339"/>
      <c r="W118" s="2339"/>
      <c r="X118" s="2339"/>
      <c r="Y118" s="2339"/>
      <c r="Z118" s="2339"/>
      <c r="AA118" s="2339"/>
      <c r="AB118" s="2339"/>
      <c r="AC118" s="2339"/>
      <c r="AD118" s="2339"/>
      <c r="AE118" s="2339"/>
      <c r="AF118" s="2339"/>
      <c r="AG118" s="2339"/>
      <c r="AH118" s="2339"/>
      <c r="AI118" s="2339"/>
      <c r="AJ118" s="2339"/>
      <c r="AK118" s="2339"/>
      <c r="AL118" s="2339"/>
      <c r="AM118" s="2339"/>
      <c r="AN118" s="2339"/>
      <c r="AO118" s="2339"/>
      <c r="AP118" s="2339"/>
      <c r="AQ118" s="2339"/>
      <c r="AR118" s="2339"/>
      <c r="AS118" s="2339"/>
      <c r="AT118" s="2339"/>
      <c r="AU118" s="2339"/>
      <c r="AV118" s="2339"/>
      <c r="AW118" s="2339"/>
      <c r="AX118" s="2339"/>
      <c r="AY118" s="2339"/>
      <c r="AZ118" s="2339"/>
      <c r="BA118" s="2339"/>
      <c r="BB118" s="2339"/>
      <c r="BC118" s="2339"/>
      <c r="BD118" s="3">
        <v>1</v>
      </c>
    </row>
    <row r="119" spans="1:56" ht="21" customHeight="1">
      <c r="A119" s="2339">
        <v>1</v>
      </c>
      <c r="B119" s="7823"/>
      <c r="C119" s="2361"/>
      <c r="D119" s="2503" t="s">
        <v>9483</v>
      </c>
      <c r="E119" s="2504">
        <f>IF(E113=0,0,E116*E117)</f>
        <v>57.6</v>
      </c>
      <c r="F119" s="2505" t="str">
        <f>F113</f>
        <v>❹ Kg cru</v>
      </c>
      <c r="G119" s="2506">
        <f>IF(E113=0,0,G116*E117)</f>
        <v>28.8</v>
      </c>
      <c r="H119" s="2507" t="str">
        <f>H116</f>
        <v>❺ Kg cuit</v>
      </c>
      <c r="I119" s="2466" t="str">
        <f>HYPERLINK("#"&amp;ADDRESS(ROW(E119),COLUMN(E119),4),_xlfn.UNICHAR(128269)&amp;"cellule "&amp;ADDRESS(ROW(E119),COLUMN(E119),4))</f>
        <v>🔍cellule E119</v>
      </c>
      <c r="J119" s="2504">
        <f>E119</f>
        <v>57.6</v>
      </c>
      <c r="K119" s="2420" t="str">
        <f ca="1">_xlfn.FORMULATEXT(E119)</f>
        <v>=SI(E113=0;0;E116*E117)</v>
      </c>
      <c r="L119" s="2361"/>
      <c r="M119" s="2361"/>
      <c r="N119" s="2361"/>
      <c r="O119" s="2361"/>
      <c r="P119" s="2361"/>
      <c r="Q119" s="2339"/>
      <c r="R119" s="2339"/>
      <c r="S119" s="2339"/>
      <c r="T119" s="2339"/>
      <c r="U119" s="2339"/>
      <c r="V119" s="2339"/>
      <c r="W119" s="2339"/>
      <c r="X119" s="2339"/>
      <c r="Y119" s="2339"/>
      <c r="Z119" s="2339"/>
      <c r="AA119" s="2339"/>
      <c r="AB119" s="2339"/>
      <c r="AC119" s="2339"/>
      <c r="AD119" s="2339"/>
      <c r="AE119" s="2339"/>
      <c r="AF119" s="2339"/>
      <c r="AG119" s="2339"/>
      <c r="AH119" s="2339"/>
      <c r="AI119" s="2339"/>
      <c r="AJ119" s="2339"/>
      <c r="AK119" s="2339"/>
      <c r="AL119" s="2339"/>
      <c r="AM119" s="2339"/>
      <c r="AN119" s="2339"/>
      <c r="AO119" s="2339"/>
      <c r="AP119" s="2339"/>
      <c r="AQ119" s="2339"/>
      <c r="AR119" s="2339"/>
      <c r="AS119" s="2339"/>
      <c r="AT119" s="2339"/>
      <c r="AU119" s="2339"/>
      <c r="AV119" s="2339"/>
      <c r="AW119" s="2339"/>
      <c r="AX119" s="2339"/>
      <c r="AY119" s="2339"/>
      <c r="AZ119" s="2339"/>
      <c r="BA119" s="2339"/>
      <c r="BB119" s="2339"/>
      <c r="BC119" s="2339"/>
      <c r="BD119" s="3">
        <v>1</v>
      </c>
    </row>
    <row r="120" spans="1:56" ht="21" customHeight="1">
      <c r="A120" s="2339">
        <v>1</v>
      </c>
      <c r="B120" s="7823"/>
      <c r="C120" s="2400"/>
      <c r="D120" s="2508" t="s">
        <v>9484</v>
      </c>
      <c r="E120" s="2509">
        <f>IF(E113=0,0,IF(MOD(E119,E113)&gt;MOD(E119,E113)/2,INT(E119/E113)+1,INT(E119/E113)))</f>
        <v>47</v>
      </c>
      <c r="F120" s="2510" t="s">
        <v>9485</v>
      </c>
      <c r="G120" s="2511">
        <f>IF(ISBLANK(E116),0,E113/E116)</f>
        <v>26.041666666666668</v>
      </c>
      <c r="H120" s="2478"/>
      <c r="I120" s="2466" t="str">
        <f>HYPERLINK("#"&amp;ADDRESS(ROW(E120),COLUMN(E120),4),_xlfn.UNICHAR(128269)&amp;"cellule "&amp;ADDRESS(ROW(E120),COLUMN(E120),4))</f>
        <v>🔍cellule E120</v>
      </c>
      <c r="J120" s="2509">
        <f>E120</f>
        <v>47</v>
      </c>
      <c r="K120" s="2420" t="str">
        <f ca="1">_xlfn.FORMULATEXT(E120)</f>
        <v>=SI(E113=0;0;SI(MOD(E119;E113)&gt;MOD(E119;E113)/2;ENT(E119/E113)+1;ENT(E119/E113)))</v>
      </c>
      <c r="L120" s="2361"/>
      <c r="M120" s="2361"/>
      <c r="N120" s="2361"/>
      <c r="O120" s="2361"/>
      <c r="P120" s="2361"/>
      <c r="Q120" s="2339"/>
      <c r="R120" s="2339"/>
      <c r="S120" s="2339"/>
      <c r="T120" s="2339"/>
      <c r="U120" s="2339"/>
      <c r="V120" s="2339"/>
      <c r="W120" s="2339"/>
      <c r="X120" s="2339"/>
      <c r="Y120" s="2339"/>
      <c r="Z120" s="2339"/>
      <c r="AA120" s="2339"/>
      <c r="AB120" s="2339"/>
      <c r="AC120" s="2339"/>
      <c r="AD120" s="2339"/>
      <c r="AE120" s="2339"/>
      <c r="AF120" s="2339"/>
      <c r="AG120" s="2339"/>
      <c r="AH120" s="2339"/>
      <c r="AI120" s="2339"/>
      <c r="AJ120" s="2339"/>
      <c r="AK120" s="2339"/>
      <c r="AL120" s="2339"/>
      <c r="AM120" s="2339"/>
      <c r="AN120" s="2339"/>
      <c r="AO120" s="2339"/>
      <c r="AP120" s="2339"/>
      <c r="AQ120" s="2339"/>
      <c r="AR120" s="2339"/>
      <c r="AS120" s="2339"/>
      <c r="AT120" s="2339"/>
      <c r="AU120" s="2339"/>
      <c r="AV120" s="2339"/>
      <c r="AW120" s="2339"/>
      <c r="AX120" s="2339"/>
      <c r="AY120" s="2339"/>
      <c r="AZ120" s="2339"/>
      <c r="BA120" s="2339"/>
      <c r="BB120" s="2339"/>
      <c r="BC120" s="2339"/>
      <c r="BD120" s="3">
        <v>1</v>
      </c>
    </row>
    <row r="121" spans="1:56" ht="21" customHeight="1">
      <c r="A121" s="2339">
        <v>1</v>
      </c>
      <c r="B121" s="7823"/>
      <c r="C121" s="2361"/>
      <c r="D121" s="2508"/>
      <c r="E121" s="2509"/>
      <c r="F121" s="2512"/>
      <c r="G121" s="2511"/>
      <c r="H121" s="2478"/>
      <c r="I121" s="2466" t="str">
        <f>HYPERLINK("#"&amp;ADDRESS(ROW(G120),COLUMN(G120),4),_xlfn.UNICHAR(128269)&amp;"cellule "&amp;ADDRESS(ROW(G120),COLUMN(G120),4))</f>
        <v>🔍cellule G120</v>
      </c>
      <c r="J121" s="2511">
        <f>G120</f>
        <v>26.041666666666668</v>
      </c>
      <c r="K121" s="2420" t="str">
        <f ca="1">_xlfn.FORMULATEXT(G120)</f>
        <v>=SI(ESTVIDE(E116);0;E113/E116)</v>
      </c>
      <c r="L121" s="2361"/>
      <c r="M121" s="2361"/>
      <c r="N121" s="2361"/>
      <c r="O121" s="2361"/>
      <c r="P121" s="2361"/>
      <c r="Q121" s="2339"/>
      <c r="R121" s="2339"/>
      <c r="S121" s="2339"/>
      <c r="T121" s="2339"/>
      <c r="U121" s="2339"/>
      <c r="V121" s="2339"/>
      <c r="W121" s="2339"/>
      <c r="X121" s="2339"/>
      <c r="Y121" s="2339"/>
      <c r="Z121" s="2339"/>
      <c r="AA121" s="2339"/>
      <c r="AB121" s="2339"/>
      <c r="AC121" s="2339"/>
      <c r="AD121" s="2339"/>
      <c r="AE121" s="2339"/>
      <c r="AF121" s="2339"/>
      <c r="AG121" s="2339"/>
      <c r="AH121" s="2339"/>
      <c r="AI121" s="2339"/>
      <c r="AJ121" s="2339"/>
      <c r="AK121" s="2339"/>
      <c r="AL121" s="2339"/>
      <c r="AM121" s="2339"/>
      <c r="AN121" s="2339"/>
      <c r="AO121" s="2339"/>
      <c r="AP121" s="2339"/>
      <c r="AQ121" s="2339"/>
      <c r="AR121" s="2339"/>
      <c r="AS121" s="2339"/>
      <c r="AT121" s="2339"/>
      <c r="AU121" s="2339"/>
      <c r="AV121" s="2339"/>
      <c r="AW121" s="2339"/>
      <c r="AX121" s="2339"/>
      <c r="AY121" s="2339"/>
      <c r="AZ121" s="2339"/>
      <c r="BA121" s="2339"/>
      <c r="BB121" s="2339"/>
      <c r="BC121" s="2339"/>
      <c r="BD121" s="3">
        <v>1</v>
      </c>
    </row>
    <row r="122" spans="1:56" ht="21" customHeight="1">
      <c r="A122" s="2339">
        <v>1</v>
      </c>
      <c r="B122" s="7823"/>
      <c r="C122" s="7814" t="s">
        <v>9486</v>
      </c>
      <c r="D122" s="7814"/>
      <c r="E122" s="7814"/>
      <c r="F122" s="7814"/>
      <c r="G122" s="7814"/>
      <c r="H122" s="7815"/>
      <c r="I122" s="2339"/>
      <c r="J122" s="2339"/>
      <c r="K122" s="2339"/>
      <c r="L122" s="2339"/>
      <c r="M122" s="2339"/>
      <c r="N122" s="2339"/>
      <c r="O122" s="2339"/>
      <c r="P122" s="2339"/>
      <c r="Q122" s="2339"/>
      <c r="R122" s="2339"/>
      <c r="S122" s="2339"/>
      <c r="T122" s="2339"/>
      <c r="U122" s="2339"/>
      <c r="V122" s="2339"/>
      <c r="W122" s="2339"/>
      <c r="X122" s="2339"/>
      <c r="Y122" s="2339"/>
      <c r="Z122" s="2339"/>
      <c r="AA122" s="2339"/>
      <c r="AB122" s="2339"/>
      <c r="AC122" s="2339"/>
      <c r="AD122" s="2339"/>
      <c r="AE122" s="2339"/>
      <c r="AF122" s="2339"/>
      <c r="AG122" s="2339"/>
      <c r="AH122" s="2339"/>
      <c r="AI122" s="2339"/>
      <c r="AJ122" s="2339"/>
      <c r="AK122" s="2339"/>
      <c r="AL122" s="2339"/>
      <c r="AM122" s="2339"/>
      <c r="AN122" s="2339"/>
      <c r="AO122" s="2339"/>
      <c r="AP122" s="2339"/>
      <c r="AQ122" s="2339"/>
      <c r="AR122" s="2339"/>
      <c r="AS122" s="2339"/>
      <c r="AT122" s="2339"/>
      <c r="AU122" s="2339"/>
      <c r="AV122" s="2339"/>
      <c r="AW122" s="2339"/>
      <c r="AX122" s="2339"/>
      <c r="AY122" s="2339"/>
      <c r="AZ122" s="2339"/>
      <c r="BA122" s="2339"/>
      <c r="BB122" s="2339"/>
      <c r="BC122" s="2339"/>
      <c r="BD122" s="3">
        <v>1</v>
      </c>
    </row>
    <row r="123" spans="1:56" ht="21" customHeight="1">
      <c r="A123" s="2339">
        <v>1</v>
      </c>
      <c r="B123" s="7823"/>
      <c r="C123" s="7814"/>
      <c r="D123" s="7814"/>
      <c r="E123" s="7814"/>
      <c r="F123" s="7814"/>
      <c r="G123" s="7814"/>
      <c r="H123" s="7815"/>
      <c r="I123" s="2339"/>
      <c r="J123" s="2339"/>
      <c r="K123" s="2339"/>
      <c r="L123" s="2339"/>
      <c r="M123" s="2339"/>
      <c r="N123" s="2339"/>
      <c r="O123" s="2339"/>
      <c r="P123" s="2339"/>
      <c r="Q123" s="2339"/>
      <c r="R123" s="2339"/>
      <c r="S123" s="2339"/>
      <c r="T123" s="2339"/>
      <c r="U123" s="2339"/>
      <c r="V123" s="2339"/>
      <c r="W123" s="2339"/>
      <c r="X123" s="2339"/>
      <c r="Y123" s="2339"/>
      <c r="Z123" s="2339"/>
      <c r="AA123" s="2339"/>
      <c r="AB123" s="2339"/>
      <c r="AC123" s="2339"/>
      <c r="AD123" s="2339"/>
      <c r="AE123" s="2339"/>
      <c r="AF123" s="2339"/>
      <c r="AG123" s="2339"/>
      <c r="AH123" s="2339"/>
      <c r="AI123" s="2339"/>
      <c r="AJ123" s="2339"/>
      <c r="AK123" s="2339"/>
      <c r="AL123" s="2339"/>
      <c r="AM123" s="2339"/>
      <c r="AN123" s="2339"/>
      <c r="AO123" s="2339"/>
      <c r="AP123" s="2339"/>
      <c r="AQ123" s="2339"/>
      <c r="AR123" s="2339"/>
      <c r="AS123" s="2339"/>
      <c r="AT123" s="2339"/>
      <c r="AU123" s="2339"/>
      <c r="AV123" s="2339"/>
      <c r="AW123" s="2339"/>
      <c r="AX123" s="2339"/>
      <c r="AY123" s="2339"/>
      <c r="AZ123" s="2339"/>
      <c r="BA123" s="2339"/>
      <c r="BB123" s="2339"/>
      <c r="BC123" s="2339"/>
      <c r="BD123" s="3">
        <v>1</v>
      </c>
    </row>
    <row r="124" spans="1:56" ht="21" customHeight="1">
      <c r="A124" s="2339">
        <v>1</v>
      </c>
      <c r="B124" s="7823"/>
      <c r="C124" s="2513" t="s">
        <v>9487</v>
      </c>
      <c r="D124" s="2514"/>
      <c r="E124" s="2514"/>
      <c r="F124" s="2514"/>
      <c r="G124" s="2514"/>
      <c r="H124" s="2515"/>
      <c r="I124" s="2339"/>
      <c r="J124" s="2339"/>
      <c r="K124" s="2339"/>
      <c r="L124" s="2339"/>
      <c r="M124" s="2339"/>
      <c r="N124" s="2339"/>
      <c r="O124" s="2339"/>
      <c r="P124" s="2339"/>
      <c r="Q124" s="2339"/>
      <c r="R124" s="2339"/>
      <c r="S124" s="2339"/>
      <c r="T124" s="2339"/>
      <c r="U124" s="2339"/>
      <c r="V124" s="2339"/>
      <c r="W124" s="2339"/>
      <c r="X124" s="2339"/>
      <c r="Y124" s="2339"/>
      <c r="Z124" s="2339"/>
      <c r="AA124" s="2339"/>
      <c r="AB124" s="2339"/>
      <c r="AC124" s="2339"/>
      <c r="AD124" s="2339"/>
      <c r="AE124" s="2339"/>
      <c r="AF124" s="2339"/>
      <c r="AG124" s="2339"/>
      <c r="AH124" s="2339"/>
      <c r="AI124" s="2339"/>
      <c r="AJ124" s="2339"/>
      <c r="AK124" s="2339"/>
      <c r="AL124" s="2339"/>
      <c r="AM124" s="2339"/>
      <c r="AN124" s="2339"/>
      <c r="AO124" s="2339"/>
      <c r="AP124" s="2339"/>
      <c r="AQ124" s="2339"/>
      <c r="AR124" s="2339"/>
      <c r="AS124" s="2339"/>
      <c r="AT124" s="2339"/>
      <c r="AU124" s="2339"/>
      <c r="AV124" s="2339"/>
      <c r="AW124" s="2339"/>
      <c r="AX124" s="2339"/>
      <c r="AY124" s="2339"/>
      <c r="AZ124" s="2339"/>
      <c r="BA124" s="2339"/>
      <c r="BB124" s="2339"/>
      <c r="BC124" s="2339"/>
      <c r="BD124" s="3">
        <v>1</v>
      </c>
    </row>
    <row r="125" spans="1:56" ht="21" customHeight="1">
      <c r="A125" s="2339">
        <v>1</v>
      </c>
      <c r="B125" s="7823"/>
      <c r="C125" s="7827" t="s">
        <v>9488</v>
      </c>
      <c r="D125" s="7827"/>
      <c r="E125" s="7827"/>
      <c r="F125" s="7827"/>
      <c r="G125" s="7827"/>
      <c r="H125" s="7828"/>
      <c r="I125" s="2339"/>
      <c r="J125" s="2339"/>
      <c r="K125" s="2339"/>
      <c r="L125" s="2339"/>
      <c r="M125" s="2339"/>
      <c r="N125" s="2339"/>
      <c r="O125" s="2339"/>
      <c r="P125" s="2339"/>
      <c r="Q125" s="2339"/>
      <c r="R125" s="2339"/>
      <c r="S125" s="2339"/>
      <c r="T125" s="2339"/>
      <c r="U125" s="2339"/>
      <c r="V125" s="2339"/>
      <c r="W125" s="2339"/>
      <c r="X125" s="2339"/>
      <c r="Y125" s="2339"/>
      <c r="Z125" s="2339"/>
      <c r="AA125" s="2339"/>
      <c r="AB125" s="2339"/>
      <c r="AC125" s="2339"/>
      <c r="AD125" s="2339"/>
      <c r="AE125" s="2339"/>
      <c r="AF125" s="2339"/>
      <c r="AG125" s="2339"/>
      <c r="AH125" s="2339"/>
      <c r="AI125" s="2339"/>
      <c r="AJ125" s="2339"/>
      <c r="AK125" s="2339"/>
      <c r="AL125" s="2339"/>
      <c r="AM125" s="2339"/>
      <c r="AN125" s="2339"/>
      <c r="AO125" s="2339"/>
      <c r="AP125" s="2339"/>
      <c r="AQ125" s="2339"/>
      <c r="AR125" s="2339"/>
      <c r="AS125" s="2339"/>
      <c r="AT125" s="2339"/>
      <c r="AU125" s="2339"/>
      <c r="AV125" s="2339"/>
      <c r="AW125" s="2339"/>
      <c r="AX125" s="2339"/>
      <c r="AY125" s="2339"/>
      <c r="AZ125" s="2339"/>
      <c r="BA125" s="2339"/>
      <c r="BB125" s="2339"/>
      <c r="BC125" s="2339"/>
      <c r="BD125" s="3">
        <v>1</v>
      </c>
    </row>
    <row r="126" spans="1:56" ht="21" customHeight="1">
      <c r="A126" s="2339">
        <v>1</v>
      </c>
      <c r="B126" s="7823"/>
      <c r="C126" s="2516" t="s">
        <v>9489</v>
      </c>
      <c r="D126" s="2361"/>
      <c r="E126" s="2361"/>
      <c r="F126" s="2453" t="s">
        <v>9490</v>
      </c>
      <c r="G126" s="2361"/>
      <c r="H126" s="2478"/>
      <c r="I126" s="2339"/>
      <c r="J126" s="2339"/>
      <c r="K126" s="2339"/>
      <c r="L126" s="2339"/>
      <c r="M126" s="2339"/>
      <c r="N126" s="2339"/>
      <c r="O126" s="2339"/>
      <c r="P126" s="2339"/>
      <c r="Q126" s="2339"/>
      <c r="R126" s="2339"/>
      <c r="S126" s="2339"/>
      <c r="T126" s="2339"/>
      <c r="U126" s="2339"/>
      <c r="V126" s="2339"/>
      <c r="W126" s="2339"/>
      <c r="X126" s="2339"/>
      <c r="Y126" s="2339"/>
      <c r="Z126" s="2339"/>
      <c r="AA126" s="2339"/>
      <c r="AB126" s="2339"/>
      <c r="AC126" s="2339"/>
      <c r="AD126" s="2339"/>
      <c r="AE126" s="2339"/>
      <c r="AF126" s="2339"/>
      <c r="AG126" s="2339"/>
      <c r="AH126" s="2339"/>
      <c r="AI126" s="2339"/>
      <c r="AJ126" s="2339"/>
      <c r="AK126" s="2339"/>
      <c r="AL126" s="2339"/>
      <c r="AM126" s="2339"/>
      <c r="AN126" s="2339"/>
      <c r="AO126" s="2339"/>
      <c r="AP126" s="2339"/>
      <c r="AQ126" s="2339"/>
      <c r="AR126" s="2339"/>
      <c r="AS126" s="2339"/>
      <c r="AT126" s="2339"/>
      <c r="AU126" s="2339"/>
      <c r="AV126" s="2339"/>
      <c r="AW126" s="2339"/>
      <c r="AX126" s="2339"/>
      <c r="AY126" s="2339"/>
      <c r="AZ126" s="2339"/>
      <c r="BA126" s="2339"/>
      <c r="BB126" s="2339"/>
      <c r="BC126" s="2339"/>
      <c r="BD126" s="3">
        <v>1</v>
      </c>
    </row>
    <row r="127" spans="1:56" ht="21" customHeight="1">
      <c r="A127" s="2339">
        <v>1</v>
      </c>
      <c r="B127" s="7823"/>
      <c r="C127" s="2517" t="s">
        <v>9477</v>
      </c>
      <c r="D127" s="2361"/>
      <c r="E127" s="2361"/>
      <c r="F127" s="2518" t="s">
        <v>9491</v>
      </c>
      <c r="G127" s="2361"/>
      <c r="H127" s="2478"/>
      <c r="I127" s="2339"/>
      <c r="J127" s="2339"/>
      <c r="K127" s="2339"/>
      <c r="L127" s="2339"/>
      <c r="M127" s="2339"/>
      <c r="N127" s="2339"/>
      <c r="O127" s="2339"/>
      <c r="P127" s="2339"/>
      <c r="Q127" s="2339"/>
      <c r="R127" s="2339"/>
      <c r="S127" s="2339"/>
      <c r="T127" s="2339"/>
      <c r="U127" s="2339"/>
      <c r="V127" s="2339"/>
      <c r="W127" s="2339"/>
      <c r="X127" s="2339"/>
      <c r="Y127" s="2339"/>
      <c r="Z127" s="2339"/>
      <c r="AA127" s="2339"/>
      <c r="AB127" s="2339"/>
      <c r="AC127" s="2339"/>
      <c r="AD127" s="2339"/>
      <c r="AE127" s="2339"/>
      <c r="AF127" s="2339"/>
      <c r="AG127" s="2339"/>
      <c r="AH127" s="2339"/>
      <c r="AI127" s="2339"/>
      <c r="AJ127" s="2339"/>
      <c r="AK127" s="2339"/>
      <c r="AL127" s="2339"/>
      <c r="AM127" s="2339"/>
      <c r="AN127" s="2339"/>
      <c r="AO127" s="2339"/>
      <c r="AP127" s="2339"/>
      <c r="AQ127" s="2339"/>
      <c r="AR127" s="2339"/>
      <c r="AS127" s="2339"/>
      <c r="AT127" s="2339"/>
      <c r="AU127" s="2339"/>
      <c r="AV127" s="2339"/>
      <c r="AW127" s="2339"/>
      <c r="AX127" s="2339"/>
      <c r="AY127" s="2339"/>
      <c r="AZ127" s="2339"/>
      <c r="BA127" s="2339"/>
      <c r="BB127" s="2339"/>
      <c r="BC127" s="2339"/>
      <c r="BD127" s="3">
        <v>1</v>
      </c>
    </row>
    <row r="128" spans="1:56" ht="21" customHeight="1">
      <c r="A128" s="2339">
        <v>1</v>
      </c>
      <c r="B128" s="7823"/>
      <c r="C128" s="2519" t="s">
        <v>9492</v>
      </c>
      <c r="D128" s="2361"/>
      <c r="E128" s="2361"/>
      <c r="F128" s="2520" t="s">
        <v>9493</v>
      </c>
      <c r="G128" s="2361"/>
      <c r="H128" s="2478"/>
      <c r="I128" s="2339"/>
      <c r="J128" s="2339"/>
      <c r="K128" s="2339"/>
      <c r="L128" s="2339"/>
      <c r="M128" s="2339"/>
      <c r="N128" s="2339"/>
      <c r="O128" s="2339"/>
      <c r="P128" s="2339"/>
      <c r="Q128" s="2339"/>
      <c r="R128" s="2339"/>
      <c r="S128" s="2339"/>
      <c r="T128" s="2339"/>
      <c r="U128" s="2339"/>
      <c r="V128" s="2339"/>
      <c r="W128" s="2339"/>
      <c r="X128" s="2339"/>
      <c r="Y128" s="2339"/>
      <c r="Z128" s="2339"/>
      <c r="AA128" s="2339"/>
      <c r="AB128" s="2339"/>
      <c r="AC128" s="2339"/>
      <c r="AD128" s="2339"/>
      <c r="AE128" s="2339"/>
      <c r="AF128" s="2339"/>
      <c r="AG128" s="2339"/>
      <c r="AH128" s="2339"/>
      <c r="AI128" s="2339"/>
      <c r="AJ128" s="2339"/>
      <c r="AK128" s="2339"/>
      <c r="AL128" s="2339"/>
      <c r="AM128" s="2339"/>
      <c r="AN128" s="2339"/>
      <c r="AO128" s="2339"/>
      <c r="AP128" s="2339"/>
      <c r="AQ128" s="2339"/>
      <c r="AR128" s="2339"/>
      <c r="AS128" s="2339"/>
      <c r="AT128" s="2339"/>
      <c r="AU128" s="2339"/>
      <c r="AV128" s="2339"/>
      <c r="AW128" s="2339"/>
      <c r="AX128" s="2339"/>
      <c r="AY128" s="2339"/>
      <c r="AZ128" s="2339"/>
      <c r="BA128" s="2339"/>
      <c r="BB128" s="2339"/>
      <c r="BC128" s="2339"/>
      <c r="BD128" s="3">
        <v>1</v>
      </c>
    </row>
    <row r="129" spans="1:56" ht="21" customHeight="1">
      <c r="A129" s="2339">
        <v>1</v>
      </c>
      <c r="B129" s="7823"/>
      <c r="C129" s="2453"/>
      <c r="D129" s="2489" t="s">
        <v>9468</v>
      </c>
      <c r="E129" s="2361"/>
      <c r="F129" s="2521" t="s">
        <v>9494</v>
      </c>
      <c r="G129" s="2361"/>
      <c r="H129" s="2478"/>
      <c r="I129" s="2339"/>
      <c r="J129" s="2339"/>
      <c r="K129" s="2339"/>
      <c r="L129" s="2339"/>
      <c r="M129" s="2339"/>
      <c r="N129" s="2339"/>
      <c r="O129" s="2339"/>
      <c r="P129" s="2339"/>
      <c r="Q129" s="2339"/>
      <c r="R129" s="2339"/>
      <c r="S129" s="2339"/>
      <c r="T129" s="2340"/>
      <c r="U129" s="2339"/>
      <c r="V129" s="2339"/>
      <c r="W129" s="2339"/>
      <c r="X129" s="2339"/>
      <c r="Y129" s="2339"/>
      <c r="Z129" s="2339"/>
      <c r="AA129" s="2339"/>
      <c r="AB129" s="2339"/>
      <c r="AC129" s="2339"/>
      <c r="AD129" s="2339"/>
      <c r="AE129" s="2339"/>
      <c r="AF129" s="2339"/>
      <c r="AG129" s="2339"/>
      <c r="AH129" s="2339"/>
      <c r="AI129" s="2339"/>
      <c r="AJ129" s="2339"/>
      <c r="AK129" s="2339"/>
      <c r="AL129" s="2339"/>
      <c r="AM129" s="2339"/>
      <c r="AN129" s="2339"/>
      <c r="AO129" s="2339"/>
      <c r="AP129" s="2339"/>
      <c r="AQ129" s="2339"/>
      <c r="AR129" s="2339"/>
      <c r="AS129" s="2339"/>
      <c r="AT129" s="2339"/>
      <c r="AU129" s="2339"/>
      <c r="AV129" s="2339"/>
      <c r="AW129" s="2339"/>
      <c r="AX129" s="2339"/>
      <c r="AY129" s="2339"/>
      <c r="AZ129" s="2339"/>
      <c r="BA129" s="2339"/>
      <c r="BB129" s="2339"/>
      <c r="BC129" s="2339"/>
      <c r="BD129" s="3">
        <v>1</v>
      </c>
    </row>
    <row r="130" spans="1:56" ht="21" customHeight="1">
      <c r="A130" s="2339">
        <v>1</v>
      </c>
      <c r="B130" s="7823"/>
      <c r="C130" s="2455"/>
      <c r="D130" s="2522" t="s">
        <v>9470</v>
      </c>
      <c r="E130" s="2361"/>
      <c r="F130" s="2523" t="s">
        <v>9495</v>
      </c>
      <c r="G130" s="2361"/>
      <c r="H130" s="2478"/>
      <c r="I130" s="2339"/>
      <c r="J130" s="2339"/>
      <c r="K130" s="2339"/>
      <c r="L130" s="2339"/>
      <c r="M130" s="2339"/>
      <c r="N130" s="2339"/>
      <c r="O130" s="2339"/>
      <c r="P130" s="2339"/>
      <c r="Q130" s="2339"/>
      <c r="R130" s="2339"/>
      <c r="S130" s="2339"/>
      <c r="T130" s="2339"/>
      <c r="U130" s="2339"/>
      <c r="V130" s="2339"/>
      <c r="W130" s="2339"/>
      <c r="X130" s="2339"/>
      <c r="Y130" s="2339"/>
      <c r="Z130" s="2339"/>
      <c r="AA130" s="2339"/>
      <c r="AB130" s="2339"/>
      <c r="AC130" s="2339"/>
      <c r="AD130" s="2339"/>
      <c r="AE130" s="2339"/>
      <c r="AF130" s="2339"/>
      <c r="AG130" s="2339"/>
      <c r="AH130" s="2339"/>
      <c r="AI130" s="2339"/>
      <c r="AJ130" s="2339"/>
      <c r="AK130" s="2339"/>
      <c r="AL130" s="2339"/>
      <c r="AM130" s="2339"/>
      <c r="AN130" s="2339"/>
      <c r="AO130" s="2339"/>
      <c r="AP130" s="2339"/>
      <c r="AQ130" s="2339"/>
      <c r="AR130" s="2339"/>
      <c r="AS130" s="2339"/>
      <c r="AT130" s="2339"/>
      <c r="AU130" s="2339"/>
      <c r="AV130" s="2339"/>
      <c r="AW130" s="2339"/>
      <c r="AX130" s="2339"/>
      <c r="AY130" s="2339"/>
      <c r="AZ130" s="2339"/>
      <c r="BA130" s="2339"/>
      <c r="BB130" s="2339"/>
      <c r="BC130" s="2339"/>
      <c r="BD130" s="3">
        <v>1</v>
      </c>
    </row>
    <row r="131" spans="1:56" ht="21" customHeight="1">
      <c r="A131" s="2339">
        <v>1</v>
      </c>
      <c r="B131" s="7823"/>
      <c r="C131" s="2524"/>
      <c r="D131" s="2361"/>
      <c r="E131" s="2525" t="s">
        <v>9496</v>
      </c>
      <c r="F131" s="2523"/>
      <c r="G131" s="2524" t="s">
        <v>9497</v>
      </c>
      <c r="H131" s="2526" t="str">
        <f>ADDRESS(ROW(F113),COLUMN(F113),4)</f>
        <v>F113</v>
      </c>
      <c r="I131" s="2339"/>
      <c r="J131" s="2339"/>
      <c r="K131" s="2339"/>
      <c r="L131" s="2339"/>
      <c r="M131" s="2339"/>
      <c r="N131" s="2339"/>
      <c r="O131" s="2339"/>
      <c r="P131" s="2339"/>
      <c r="Q131" s="2339"/>
      <c r="R131" s="2339"/>
      <c r="S131" s="2339"/>
      <c r="T131" s="2339"/>
      <c r="U131" s="2339"/>
      <c r="V131" s="2339"/>
      <c r="W131" s="2339"/>
      <c r="X131" s="2339"/>
      <c r="Y131" s="2339"/>
      <c r="Z131" s="2339"/>
      <c r="AA131" s="2339"/>
      <c r="AB131" s="2339"/>
      <c r="AC131" s="2339"/>
      <c r="AD131" s="2339"/>
      <c r="AE131" s="2339"/>
      <c r="AF131" s="2339"/>
      <c r="AG131" s="2339"/>
      <c r="AH131" s="2339"/>
      <c r="AI131" s="2339"/>
      <c r="AJ131" s="2339"/>
      <c r="AK131" s="2339"/>
      <c r="AL131" s="2339"/>
      <c r="AM131" s="2339"/>
      <c r="AN131" s="2339"/>
      <c r="AO131" s="2339"/>
      <c r="AP131" s="2339"/>
      <c r="AQ131" s="2339"/>
      <c r="AR131" s="2339"/>
      <c r="AS131" s="2339"/>
      <c r="AT131" s="2339"/>
      <c r="AU131" s="2339"/>
      <c r="AV131" s="2339"/>
      <c r="AW131" s="2339"/>
      <c r="AX131" s="2339"/>
      <c r="AY131" s="2339"/>
      <c r="AZ131" s="2339"/>
      <c r="BA131" s="2339"/>
      <c r="BB131" s="2339"/>
      <c r="BC131" s="2339"/>
      <c r="BD131" s="3">
        <v>1</v>
      </c>
    </row>
    <row r="132" spans="1:56" ht="21" customHeight="1">
      <c r="A132" s="2339">
        <v>1</v>
      </c>
      <c r="B132" s="7823"/>
      <c r="C132" s="2067" t="s">
        <v>9498</v>
      </c>
      <c r="D132" s="2527"/>
      <c r="E132" s="2525"/>
      <c r="F132" s="2067" t="s">
        <v>9499</v>
      </c>
      <c r="G132" s="2361"/>
      <c r="H132" s="2478"/>
      <c r="I132" s="2339"/>
      <c r="J132" s="2339"/>
      <c r="K132" s="2339"/>
      <c r="L132" s="2339"/>
      <c r="M132" s="2339"/>
      <c r="N132" s="2339"/>
      <c r="O132" s="2339"/>
      <c r="U132" s="2339"/>
      <c r="V132" s="2339"/>
      <c r="W132" s="2339"/>
      <c r="X132" s="2339"/>
      <c r="Y132" s="2339"/>
      <c r="Z132" s="2339"/>
      <c r="AA132" s="2339"/>
      <c r="AB132" s="2339"/>
      <c r="AC132" s="2339"/>
      <c r="AD132" s="2339"/>
      <c r="AE132" s="2339"/>
      <c r="AF132" s="2339"/>
      <c r="AG132" s="2339"/>
      <c r="AH132" s="2339"/>
      <c r="AI132" s="2339"/>
      <c r="AJ132" s="2339"/>
      <c r="AK132" s="2339"/>
      <c r="AL132" s="2339"/>
      <c r="AM132" s="2339"/>
      <c r="AN132" s="2339"/>
      <c r="AO132" s="2339"/>
      <c r="AP132" s="2339"/>
      <c r="AQ132" s="2339"/>
      <c r="AR132" s="2339"/>
      <c r="AS132" s="2339"/>
      <c r="AT132" s="2339"/>
      <c r="AU132" s="2339"/>
      <c r="AV132" s="2339"/>
      <c r="AW132" s="2339"/>
      <c r="AX132" s="2339"/>
      <c r="AY132" s="2339"/>
      <c r="AZ132" s="2339"/>
      <c r="BA132" s="2339"/>
      <c r="BB132" s="2339"/>
      <c r="BC132" s="2339"/>
      <c r="BD132" s="3">
        <v>1</v>
      </c>
    </row>
    <row r="133" spans="1:56" ht="21" customHeight="1">
      <c r="A133" s="2339">
        <v>1</v>
      </c>
      <c r="B133" s="7823"/>
      <c r="C133" s="2394">
        <v>11</v>
      </c>
      <c r="D133" s="2394">
        <v>11</v>
      </c>
      <c r="E133" s="2394">
        <v>11</v>
      </c>
      <c r="F133" s="2394">
        <v>11</v>
      </c>
      <c r="G133" s="2394">
        <v>11</v>
      </c>
      <c r="H133" s="2395">
        <v>11</v>
      </c>
      <c r="I133" s="2396" t="s">
        <v>9403</v>
      </c>
      <c r="J133" s="2400"/>
      <c r="K133" s="2400"/>
      <c r="L133" s="2339"/>
      <c r="M133" s="2339"/>
      <c r="N133" s="2339"/>
      <c r="O133" s="2339"/>
      <c r="P133" s="2339"/>
      <c r="Q133" s="2339"/>
      <c r="R133" s="2339"/>
      <c r="S133" s="2339"/>
      <c r="T133" s="2339"/>
      <c r="U133" s="2339"/>
      <c r="V133" s="2339"/>
      <c r="W133" s="2339"/>
      <c r="X133" s="2339"/>
      <c r="Y133" s="2339"/>
      <c r="Z133" s="2339"/>
      <c r="AA133" s="2339"/>
      <c r="AB133" s="2339"/>
      <c r="AC133" s="2339"/>
      <c r="AD133" s="2339"/>
      <c r="AE133" s="2339"/>
      <c r="AF133" s="2339"/>
      <c r="AG133" s="2339"/>
      <c r="AH133" s="2339"/>
      <c r="AI133" s="2339"/>
      <c r="AJ133" s="2339"/>
      <c r="AK133" s="2339"/>
      <c r="AL133" s="2339"/>
      <c r="AM133" s="2339"/>
      <c r="AN133" s="2339"/>
      <c r="AO133" s="2339"/>
      <c r="AP133" s="2339"/>
      <c r="AQ133" s="2339"/>
      <c r="AR133" s="2339"/>
      <c r="AS133" s="2339"/>
      <c r="AT133" s="2339"/>
      <c r="AU133" s="2339"/>
      <c r="AV133" s="2339"/>
      <c r="AW133" s="2339"/>
      <c r="AX133" s="2339"/>
      <c r="AY133" s="2339"/>
      <c r="AZ133" s="2339"/>
      <c r="BA133" s="2339"/>
      <c r="BB133" s="2339"/>
      <c r="BC133" s="2339"/>
      <c r="BD133" s="3">
        <v>1</v>
      </c>
    </row>
    <row r="134" spans="1:56" ht="21" customHeight="1" thickBot="1">
      <c r="A134" s="2339">
        <v>1</v>
      </c>
      <c r="B134" s="7824"/>
      <c r="C134" s="863">
        <f ca="1">CELL("largeur",C134)</f>
        <v>13</v>
      </c>
      <c r="D134" s="863">
        <f t="shared" ref="D134:H134" ca="1" si="8">CELL("largeur",D134)</f>
        <v>21</v>
      </c>
      <c r="E134" s="863">
        <f t="shared" ca="1" si="8"/>
        <v>13</v>
      </c>
      <c r="F134" s="863">
        <f t="shared" ca="1" si="8"/>
        <v>13</v>
      </c>
      <c r="G134" s="863">
        <f t="shared" ca="1" si="8"/>
        <v>13</v>
      </c>
      <c r="H134" s="864">
        <f t="shared" ca="1" si="8"/>
        <v>13</v>
      </c>
      <c r="I134" s="2396" t="s">
        <v>9406</v>
      </c>
      <c r="J134" s="2400"/>
      <c r="K134" s="2339"/>
      <c r="L134" s="2339"/>
      <c r="M134" s="2339"/>
      <c r="N134" s="2339"/>
      <c r="O134" s="2339"/>
      <c r="P134" s="2339"/>
      <c r="Q134" s="2339"/>
      <c r="R134" s="2339"/>
      <c r="S134" s="2339"/>
      <c r="T134" s="2339"/>
      <c r="U134" s="2339"/>
      <c r="V134" s="2339"/>
      <c r="W134" s="2339"/>
      <c r="X134" s="2339"/>
      <c r="Y134" s="2339"/>
      <c r="Z134" s="2339"/>
      <c r="AA134" s="2339"/>
      <c r="AB134" s="2339"/>
      <c r="AC134" s="2339"/>
      <c r="AD134" s="2339"/>
      <c r="AE134" s="2339"/>
      <c r="AF134" s="2339"/>
      <c r="AG134" s="2339"/>
      <c r="AH134" s="2339"/>
      <c r="AI134" s="2339"/>
      <c r="AJ134" s="2339"/>
      <c r="AK134" s="2339"/>
      <c r="AL134" s="2339"/>
      <c r="AM134" s="2339"/>
      <c r="AN134" s="2339"/>
      <c r="AO134" s="2339"/>
      <c r="AP134" s="2339"/>
      <c r="AQ134" s="2339"/>
      <c r="AR134" s="2339"/>
      <c r="AS134" s="2339"/>
      <c r="AT134" s="2339"/>
      <c r="AU134" s="2339"/>
      <c r="AV134" s="2339"/>
      <c r="AW134" s="2339"/>
      <c r="AX134" s="2339"/>
      <c r="AY134" s="2339"/>
      <c r="AZ134" s="2339"/>
      <c r="BA134" s="2339"/>
      <c r="BB134" s="2339"/>
      <c r="BC134" s="2339"/>
      <c r="BD134" s="3">
        <v>1</v>
      </c>
    </row>
    <row r="135" spans="1:56" ht="21" customHeight="1">
      <c r="A135" s="2339"/>
      <c r="B135" s="2339"/>
      <c r="C135" s="2339"/>
      <c r="D135" s="2339"/>
      <c r="E135" s="2339"/>
      <c r="F135" s="2339"/>
      <c r="G135" s="2339"/>
      <c r="H135" s="2339"/>
      <c r="I135" s="2339"/>
      <c r="J135" s="2339">
        <v>1</v>
      </c>
      <c r="K135" s="2528" t="s">
        <v>9461</v>
      </c>
      <c r="L135" s="2339"/>
      <c r="M135" s="2339"/>
      <c r="N135" s="2339"/>
      <c r="O135" s="2339"/>
      <c r="P135" s="2339"/>
      <c r="Q135" s="2339"/>
      <c r="R135" s="2339"/>
      <c r="S135" s="2339"/>
      <c r="T135" s="2339"/>
      <c r="U135" s="2339"/>
      <c r="V135" s="2339"/>
      <c r="W135" s="2339"/>
      <c r="X135" s="2339"/>
      <c r="Y135" s="2339"/>
      <c r="Z135" s="2339"/>
      <c r="AA135" s="2339"/>
      <c r="AB135" s="2339"/>
      <c r="AC135" s="2339"/>
      <c r="AD135" s="2339"/>
      <c r="AE135" s="2339"/>
      <c r="AF135" s="2339"/>
      <c r="AG135" s="2339"/>
      <c r="AH135" s="2339"/>
      <c r="AI135" s="2339"/>
      <c r="AJ135" s="2339"/>
      <c r="AK135" s="2339"/>
      <c r="AL135" s="2339"/>
      <c r="AM135" s="2339"/>
      <c r="AN135" s="2339"/>
      <c r="AO135" s="2339"/>
      <c r="AP135" s="2339"/>
      <c r="AQ135" s="2339"/>
      <c r="AR135" s="2339"/>
      <c r="AS135" s="2339"/>
      <c r="AT135" s="2339"/>
      <c r="AU135" s="2339"/>
      <c r="AV135" s="2339"/>
      <c r="AW135" s="2339"/>
      <c r="AX135" s="2339"/>
      <c r="AY135" s="2339"/>
      <c r="AZ135" s="2339"/>
      <c r="BA135" s="2339"/>
      <c r="BB135" s="2339"/>
      <c r="BC135" s="2339"/>
      <c r="BD135" s="3">
        <v>1</v>
      </c>
    </row>
    <row r="136" spans="1:56" ht="21" customHeight="1" thickBot="1">
      <c r="A136" s="2339"/>
      <c r="B136" s="1298" t="s">
        <v>9500</v>
      </c>
      <c r="C136" s="1298"/>
      <c r="D136" s="2339"/>
      <c r="E136" s="2339"/>
      <c r="F136" s="2339"/>
      <c r="G136" s="2339"/>
      <c r="H136" s="2339"/>
      <c r="I136" s="2529" t="s">
        <v>9501</v>
      </c>
      <c r="J136" s="2339"/>
      <c r="K136" s="2528" t="s">
        <v>9464</v>
      </c>
      <c r="L136" s="2339"/>
      <c r="M136" s="2339"/>
      <c r="N136" s="2339"/>
      <c r="O136" s="2339"/>
      <c r="P136" s="2339"/>
      <c r="Q136" s="2339"/>
      <c r="R136" s="2339"/>
      <c r="S136" s="2339"/>
      <c r="T136" s="2339"/>
      <c r="U136" s="2339"/>
      <c r="V136" s="2339"/>
      <c r="W136" s="2339"/>
      <c r="X136" s="2339"/>
      <c r="Y136" s="2339"/>
      <c r="Z136" s="2339"/>
      <c r="AA136" s="2339"/>
      <c r="AB136" s="2339"/>
      <c r="AC136" s="2339"/>
      <c r="AD136" s="2339"/>
      <c r="AE136" s="2339"/>
      <c r="AF136" s="2339"/>
      <c r="AG136" s="2339"/>
      <c r="AH136" s="2339"/>
      <c r="AI136" s="2339"/>
      <c r="AJ136" s="2339"/>
      <c r="AK136" s="2339"/>
      <c r="AL136" s="2339"/>
      <c r="AM136" s="2339"/>
      <c r="AN136" s="2339"/>
      <c r="AO136" s="2339"/>
      <c r="AP136" s="2339"/>
      <c r="AQ136" s="2339"/>
      <c r="AR136" s="2339"/>
      <c r="AS136" s="2339"/>
      <c r="AT136" s="2339"/>
      <c r="AU136" s="2339"/>
      <c r="AV136" s="2339"/>
      <c r="AW136" s="2339"/>
      <c r="AX136" s="2339"/>
      <c r="AY136" s="2339"/>
      <c r="AZ136" s="2339"/>
      <c r="BA136" s="2339"/>
      <c r="BB136" s="2339"/>
      <c r="BC136" s="2339"/>
      <c r="BD136" s="3">
        <v>1</v>
      </c>
    </row>
    <row r="137" spans="1:56" ht="21" customHeight="1">
      <c r="A137" s="2339">
        <v>1</v>
      </c>
      <c r="B137" s="7820" t="s">
        <v>166</v>
      </c>
      <c r="C137" s="7829" t="s">
        <v>9472</v>
      </c>
      <c r="D137" s="7829"/>
      <c r="E137" s="7829"/>
      <c r="F137" s="7829"/>
      <c r="G137" s="2530"/>
      <c r="H137" s="2531" t="str">
        <f>E145</f>
        <v>❻ Foisonnement</v>
      </c>
      <c r="I137" s="2532" t="s">
        <v>9502</v>
      </c>
      <c r="J137" s="2400"/>
      <c r="K137" s="2400"/>
      <c r="L137" s="2460" t="s">
        <v>9385</v>
      </c>
      <c r="M137" s="2339"/>
      <c r="N137" s="2339"/>
      <c r="O137" s="2339"/>
      <c r="P137" s="2339"/>
      <c r="Q137" s="2339"/>
      <c r="R137" s="2339"/>
      <c r="S137" s="2339"/>
      <c r="T137" s="2339"/>
      <c r="U137" s="2339"/>
      <c r="V137" s="2339"/>
      <c r="W137" s="2339"/>
      <c r="X137" s="2339"/>
      <c r="Y137" s="2339"/>
      <c r="Z137" s="2339"/>
      <c r="AA137" s="2339"/>
      <c r="AB137" s="2339"/>
      <c r="AC137" s="2339"/>
      <c r="AD137" s="2339"/>
      <c r="AE137" s="2339"/>
      <c r="AF137" s="2339"/>
      <c r="AG137" s="2339"/>
      <c r="AH137" s="2339"/>
      <c r="AI137" s="2339"/>
      <c r="AJ137" s="2339"/>
      <c r="AK137" s="2339"/>
      <c r="AL137" s="2339"/>
      <c r="AM137" s="2339"/>
      <c r="AN137" s="2339"/>
      <c r="AO137" s="2339"/>
      <c r="AP137" s="2339"/>
      <c r="AQ137" s="2339"/>
      <c r="AR137" s="2339"/>
      <c r="AS137" s="2339"/>
      <c r="AT137" s="2339"/>
      <c r="AU137" s="2339"/>
      <c r="AV137" s="2339"/>
      <c r="AW137" s="2339"/>
      <c r="AX137" s="2339"/>
      <c r="AY137" s="2339"/>
      <c r="AZ137" s="2339"/>
      <c r="BA137" s="2339"/>
      <c r="BB137" s="2339"/>
      <c r="BC137" s="2339"/>
      <c r="BD137" s="3">
        <v>1</v>
      </c>
    </row>
    <row r="138" spans="1:56" ht="21" customHeight="1">
      <c r="A138" s="2339"/>
      <c r="B138" s="7821"/>
      <c r="C138" s="2533"/>
      <c r="D138" s="2533"/>
      <c r="E138" s="2534"/>
      <c r="F138" s="2535" t="s">
        <v>9503</v>
      </c>
      <c r="G138" s="2536" t="str">
        <f>IF(F144=D160,"CRU- Brut ou à cuire","CUIT - Net à servir")</f>
        <v>CUIT - Net à servir</v>
      </c>
      <c r="H138" s="2537"/>
      <c r="I138" s="2538" t="str">
        <f>HYPERLINK("#"&amp;ADDRESS(ROW(G138),COLUMN(G138),4),"◀"&amp;ADDRESS(ROW(G138),COLUMN(G138),4))</f>
        <v>◀G138</v>
      </c>
      <c r="J138" s="2539" t="str">
        <f>G138</f>
        <v>CUIT - Net à servir</v>
      </c>
      <c r="K138" s="2420" t="str">
        <f ca="1">_xlfn.FORMULATEXT(G138)</f>
        <v>=SI(F144=D160;"CRU- Brut ou à cuire";"CUIT - Net à servir")</v>
      </c>
      <c r="L138" s="2339"/>
      <c r="M138" s="2339"/>
      <c r="N138" s="2339"/>
      <c r="O138" s="2339"/>
      <c r="P138" s="2339"/>
      <c r="Q138" s="2339"/>
      <c r="R138" s="2339"/>
      <c r="S138" s="2339"/>
      <c r="T138" s="2339"/>
      <c r="U138" s="2339"/>
      <c r="V138" s="2339"/>
      <c r="W138" s="2339"/>
      <c r="X138" s="2339"/>
      <c r="Y138" s="2339"/>
      <c r="Z138" s="2339"/>
      <c r="AA138" s="2339"/>
      <c r="AB138" s="2339"/>
      <c r="AC138" s="2339"/>
      <c r="AD138" s="2339"/>
      <c r="AE138" s="2339"/>
      <c r="AF138" s="2339"/>
      <c r="AG138" s="2339"/>
      <c r="AH138" s="2339"/>
      <c r="AI138" s="2339"/>
      <c r="AJ138" s="2339"/>
      <c r="AK138" s="2339"/>
      <c r="AL138" s="2339"/>
      <c r="AM138" s="2339"/>
      <c r="AN138" s="2339"/>
      <c r="AO138" s="2339"/>
      <c r="AP138" s="2339"/>
      <c r="AQ138" s="2339"/>
      <c r="AR138" s="2339"/>
      <c r="AS138" s="2339"/>
      <c r="AT138" s="2339"/>
      <c r="AU138" s="2339"/>
      <c r="AV138" s="2339"/>
      <c r="AW138" s="2339"/>
      <c r="AX138" s="2339"/>
      <c r="AY138" s="2339"/>
      <c r="AZ138" s="2339"/>
      <c r="BA138" s="2339"/>
      <c r="BB138" s="2339"/>
      <c r="BC138" s="2339"/>
      <c r="BD138" s="3">
        <v>1</v>
      </c>
    </row>
    <row r="139" spans="1:56" ht="21" customHeight="1">
      <c r="A139" s="2339"/>
      <c r="B139" s="7830">
        <v>3</v>
      </c>
      <c r="C139" s="7832" t="str">
        <f>D141</f>
        <v>Semoule (poids cru)</v>
      </c>
      <c r="D139" s="7832"/>
      <c r="E139" s="7832"/>
      <c r="F139" s="7832"/>
      <c r="G139" s="7832"/>
      <c r="H139" s="7833"/>
      <c r="I139" s="2538" t="str">
        <f>HYPERLINK("#"&amp;ADDRESS(ROW(E140),COLUMN(E140),4),"◀"&amp;ADDRESS(ROW(E140),COLUMN(E140),4))</f>
        <v>◀E140</v>
      </c>
      <c r="J139" s="2540">
        <f>E140</f>
        <v>5</v>
      </c>
      <c r="K139" s="2420" t="str">
        <f ca="1">_xlfn.FORMULATEXT(E140)</f>
        <v>=ENT(E150/E144)</v>
      </c>
      <c r="L139" s="2339"/>
      <c r="M139" s="2339"/>
      <c r="N139" s="2339"/>
      <c r="O139" s="2339"/>
      <c r="P139" s="2339"/>
      <c r="Q139" s="2339"/>
      <c r="R139" s="2339"/>
      <c r="S139" s="2339"/>
      <c r="T139" s="2339"/>
      <c r="U139" s="2339"/>
      <c r="V139" s="2339"/>
      <c r="W139" s="2339"/>
      <c r="X139" s="2339"/>
      <c r="Y139" s="2339"/>
      <c r="Z139" s="2339"/>
      <c r="AA139" s="2339"/>
      <c r="AB139" s="2339"/>
      <c r="AC139" s="2339"/>
      <c r="AD139" s="2339"/>
      <c r="AE139" s="2339"/>
      <c r="AF139" s="2339"/>
      <c r="AG139" s="2339"/>
      <c r="AH139" s="2339"/>
      <c r="AI139" s="2339"/>
      <c r="AJ139" s="2339"/>
      <c r="AK139" s="2339"/>
      <c r="AL139" s="2339"/>
      <c r="AM139" s="2339"/>
      <c r="AN139" s="2339"/>
      <c r="AO139" s="2339"/>
      <c r="AP139" s="2339"/>
      <c r="AQ139" s="2339"/>
      <c r="AR139" s="2339"/>
      <c r="AS139" s="2339"/>
      <c r="AT139" s="2339"/>
      <c r="AU139" s="2339"/>
      <c r="AV139" s="2339"/>
      <c r="AW139" s="2339"/>
      <c r="AX139" s="2339"/>
      <c r="AY139" s="2339"/>
      <c r="AZ139" s="2339"/>
      <c r="BA139" s="2339"/>
      <c r="BB139" s="2339"/>
      <c r="BC139" s="2339"/>
      <c r="BD139" s="3">
        <v>1</v>
      </c>
    </row>
    <row r="140" spans="1:56" ht="21" customHeight="1">
      <c r="A140" s="2339"/>
      <c r="B140" s="7830"/>
      <c r="C140" s="2541"/>
      <c r="D140" s="2542" t="s">
        <v>9474</v>
      </c>
      <c r="E140" s="2543">
        <f>INT(E150/E144)</f>
        <v>5</v>
      </c>
      <c r="F140" s="2544">
        <f>IF(E140=0,0,IF(E151=0,0,E144))</f>
        <v>1</v>
      </c>
      <c r="G140" s="2545" t="str">
        <f>IF(F140*E140=0,"1 de",IF(E150=0,0,IF(E144=0,0,IF(F140*E140=E150,"",IF(H140&gt;0,"Plus 1 de")))))</f>
        <v/>
      </c>
      <c r="H140" s="2546" t="str">
        <f>IF(E144=0,0,IF(F140*E140=E150,"",MOD(E150,E144)))</f>
        <v/>
      </c>
      <c r="I140" s="2538" t="str">
        <f>HYPERLINK("#"&amp;ADDRESS(ROW(F140),COLUMN(F140),4),"◀"&amp;ADDRESS(ROW(F140),COLUMN(F140),4))</f>
        <v>◀F140</v>
      </c>
      <c r="J140" s="2547">
        <f>F140</f>
        <v>1</v>
      </c>
      <c r="K140" s="2420" t="str">
        <f ca="1">_xlfn.FORMULATEXT(F140)</f>
        <v>=SI(E140=0;0;SI(E151=0;0;E144))</v>
      </c>
      <c r="L140" s="2339"/>
      <c r="M140" s="2339"/>
      <c r="N140" s="2339"/>
      <c r="O140" s="2339"/>
      <c r="P140" s="2339"/>
      <c r="Q140" s="2339"/>
      <c r="R140" s="2339"/>
      <c r="S140" s="2339"/>
      <c r="T140" s="2339"/>
      <c r="U140" s="2339"/>
      <c r="V140" s="2339"/>
      <c r="W140" s="2339"/>
      <c r="X140" s="2339"/>
      <c r="Y140" s="2339"/>
      <c r="Z140" s="2339"/>
      <c r="AA140" s="2339"/>
      <c r="AB140" s="2339"/>
      <c r="AC140" s="2339"/>
      <c r="AD140" s="2339"/>
      <c r="AE140" s="2339"/>
      <c r="AF140" s="2339"/>
      <c r="AG140" s="2339"/>
      <c r="AH140" s="2339"/>
      <c r="AI140" s="2339"/>
      <c r="AJ140" s="2339"/>
      <c r="AK140" s="2339"/>
      <c r="AL140" s="2339"/>
      <c r="AM140" s="2339"/>
      <c r="AN140" s="2339"/>
      <c r="AO140" s="2339"/>
      <c r="AP140" s="2339"/>
      <c r="AQ140" s="2339"/>
      <c r="AR140" s="2339"/>
      <c r="AS140" s="2339"/>
      <c r="AT140" s="2339"/>
      <c r="AU140" s="2339"/>
      <c r="AV140" s="2339"/>
      <c r="AW140" s="2339"/>
      <c r="AX140" s="2339"/>
      <c r="AY140" s="2339"/>
      <c r="AZ140" s="2339"/>
      <c r="BA140" s="2339"/>
      <c r="BB140" s="2339"/>
      <c r="BC140" s="2339"/>
      <c r="BD140" s="3">
        <v>1</v>
      </c>
    </row>
    <row r="141" spans="1:56" ht="21" customHeight="1">
      <c r="A141" s="2339"/>
      <c r="B141" s="7830"/>
      <c r="C141" s="5618" t="s">
        <v>9504</v>
      </c>
      <c r="D141" s="2548" t="s">
        <v>9505</v>
      </c>
      <c r="E141" s="2477"/>
      <c r="F141" s="2361"/>
      <c r="G141" s="2361"/>
      <c r="H141" s="2478"/>
      <c r="I141" s="2538" t="str">
        <f>HYPERLINK("#"&amp;ADDRESS(ROW(G140),COLUMN(G140),4),"◀"&amp;ADDRESS(ROW(G140),COLUMN(G140),4))</f>
        <v>◀G140</v>
      </c>
      <c r="J141" s="2549" t="str">
        <f>G140</f>
        <v/>
      </c>
      <c r="K141" s="2420" t="str">
        <f ca="1">_xlfn.FORMULATEXT(G140)</f>
        <v>=SI(F140*E140=0;"1 de";SI(E150=0;0;SI(E144=0;0;SI(F140*E140=E150;"";SI(H140&gt;0;"Plus 1 de")))))</v>
      </c>
      <c r="L141" s="2339"/>
      <c r="M141" s="2339"/>
      <c r="N141" s="2339"/>
      <c r="O141" s="2339"/>
      <c r="P141" s="2339"/>
      <c r="Q141" s="2339"/>
      <c r="R141" s="2339"/>
      <c r="S141" s="2339"/>
      <c r="T141" s="2339"/>
      <c r="U141" s="2339"/>
      <c r="V141" s="2339"/>
      <c r="W141" s="2339"/>
      <c r="X141" s="2339"/>
      <c r="Y141" s="2339"/>
      <c r="Z141" s="2339"/>
      <c r="AA141" s="2339"/>
      <c r="AB141" s="2339"/>
      <c r="AC141" s="2339"/>
      <c r="AD141" s="2339"/>
      <c r="AE141" s="2339"/>
      <c r="AF141" s="2339"/>
      <c r="AG141" s="2339"/>
      <c r="AH141" s="2339"/>
      <c r="AI141" s="2339"/>
      <c r="AJ141" s="2339"/>
      <c r="AK141" s="2339"/>
      <c r="AL141" s="2339"/>
      <c r="AM141" s="2339"/>
      <c r="AN141" s="2339"/>
      <c r="AO141" s="2339"/>
      <c r="AP141" s="2339"/>
      <c r="AQ141" s="2339"/>
      <c r="AR141" s="2339"/>
      <c r="AS141" s="2339"/>
      <c r="AT141" s="2339"/>
      <c r="AU141" s="2339"/>
      <c r="AV141" s="2339"/>
      <c r="AW141" s="2339"/>
      <c r="AX141" s="2339"/>
      <c r="AY141" s="2339"/>
      <c r="AZ141" s="2339"/>
      <c r="BA141" s="2339"/>
      <c r="BB141" s="2339"/>
      <c r="BC141" s="2339"/>
      <c r="BD141" s="3">
        <v>1</v>
      </c>
    </row>
    <row r="142" spans="1:56" ht="21" customHeight="1">
      <c r="A142" s="2339"/>
      <c r="B142" s="7830"/>
      <c r="C142" s="2361"/>
      <c r="D142" s="2361"/>
      <c r="E142" s="2480" t="s">
        <v>9477</v>
      </c>
      <c r="F142" s="7825" t="s">
        <v>9478</v>
      </c>
      <c r="G142" s="7825"/>
      <c r="H142" s="7826"/>
      <c r="I142" s="2538" t="str">
        <f>HYPERLINK("#"&amp;ADDRESS(ROW(H140),COLUMN(H140),4),"◀"&amp;ADDRESS(ROW(H140),COLUMN(H140),4))</f>
        <v>◀H140</v>
      </c>
      <c r="J142" s="2550" t="str">
        <f>H140</f>
        <v/>
      </c>
      <c r="K142" s="2420" t="str">
        <f ca="1">_xlfn.FORMULATEXT(H140)</f>
        <v>=SI(E144=0;0;SI(F140*E140=E150;"";MOD(E150;E144)))</v>
      </c>
      <c r="L142" s="2339"/>
      <c r="M142" s="2339"/>
      <c r="N142" s="2339"/>
      <c r="O142" s="2339"/>
      <c r="P142" s="2339"/>
      <c r="Q142" s="2339"/>
      <c r="R142" s="2339"/>
      <c r="S142" s="2339"/>
      <c r="T142" s="2339"/>
      <c r="U142" s="2339"/>
      <c r="V142" s="2339"/>
      <c r="W142" s="2339"/>
      <c r="X142" s="2339"/>
      <c r="Y142" s="2339"/>
      <c r="Z142" s="2339"/>
      <c r="AA142" s="2339"/>
      <c r="AB142" s="2339"/>
      <c r="AC142" s="2339"/>
      <c r="AD142" s="2339"/>
      <c r="AE142" s="2339"/>
      <c r="AF142" s="2339"/>
      <c r="AG142" s="2339"/>
      <c r="AH142" s="2339"/>
      <c r="AI142" s="2339"/>
      <c r="AJ142" s="2339"/>
      <c r="AK142" s="2339"/>
      <c r="AL142" s="2339"/>
      <c r="AM142" s="2339"/>
      <c r="AN142" s="2339"/>
      <c r="AO142" s="2339"/>
      <c r="AP142" s="2339"/>
      <c r="AQ142" s="2339"/>
      <c r="AR142" s="2339"/>
      <c r="AS142" s="2339"/>
      <c r="AT142" s="2339"/>
      <c r="AU142" s="2339"/>
      <c r="AV142" s="2339"/>
      <c r="AW142" s="2339"/>
      <c r="AX142" s="2339"/>
      <c r="AY142" s="2339"/>
      <c r="AZ142" s="2339"/>
      <c r="BA142" s="2339"/>
      <c r="BB142" s="2339"/>
      <c r="BC142" s="2339"/>
      <c r="BD142" s="3">
        <v>1</v>
      </c>
    </row>
    <row r="143" spans="1:56" ht="21" customHeight="1">
      <c r="A143" s="2339"/>
      <c r="B143" s="7830"/>
      <c r="C143" s="2361"/>
      <c r="D143" s="2482"/>
      <c r="E143" s="2483"/>
      <c r="F143" s="2484" t="s">
        <v>9479</v>
      </c>
      <c r="G143" s="2482"/>
      <c r="H143" s="2478"/>
      <c r="I143" s="2538"/>
      <c r="J143" s="2551"/>
      <c r="K143" s="2361"/>
      <c r="L143" s="2339"/>
      <c r="M143" s="2339"/>
      <c r="N143" s="2339"/>
      <c r="O143" s="2339"/>
      <c r="P143" s="2339"/>
      <c r="Q143" s="2339"/>
      <c r="R143" s="2339"/>
      <c r="S143" s="2339"/>
      <c r="T143" s="2339"/>
      <c r="U143" s="2339"/>
      <c r="V143" s="2339"/>
      <c r="W143" s="2339"/>
      <c r="X143" s="2339"/>
      <c r="Y143" s="2339"/>
      <c r="Z143" s="2339"/>
      <c r="AA143" s="2339"/>
      <c r="AB143" s="2339"/>
      <c r="AC143" s="2339"/>
      <c r="AD143" s="2339"/>
      <c r="AE143" s="2339"/>
      <c r="AF143" s="2339"/>
      <c r="AG143" s="2339"/>
      <c r="AH143" s="2339"/>
      <c r="AI143" s="2339"/>
      <c r="AJ143" s="2339"/>
      <c r="AK143" s="2339"/>
      <c r="AL143" s="2339"/>
      <c r="AM143" s="2339"/>
      <c r="AN143" s="2339"/>
      <c r="AO143" s="2339"/>
      <c r="AP143" s="2339"/>
      <c r="AQ143" s="2339"/>
      <c r="AR143" s="2339"/>
      <c r="AS143" s="2339"/>
      <c r="AT143" s="2339"/>
      <c r="AU143" s="2339"/>
      <c r="AV143" s="2339"/>
      <c r="AW143" s="2339"/>
      <c r="AX143" s="2339"/>
      <c r="AY143" s="2339"/>
      <c r="AZ143" s="2339"/>
      <c r="BA143" s="2339"/>
      <c r="BB143" s="2339"/>
      <c r="BC143" s="2339"/>
      <c r="BD143" s="3">
        <v>1</v>
      </c>
    </row>
    <row r="144" spans="1:56" ht="21" customHeight="1">
      <c r="A144" s="2339"/>
      <c r="B144" s="7830"/>
      <c r="C144" s="2486"/>
      <c r="D144" s="2487" t="s">
        <v>9480</v>
      </c>
      <c r="E144" s="2552">
        <v>1</v>
      </c>
      <c r="F144" s="2522" t="s">
        <v>9470</v>
      </c>
      <c r="G144" s="2490">
        <f>IF(F144=D160,E144*F145,IF(F144=D161,E144/F145))</f>
        <v>0.5</v>
      </c>
      <c r="H144" s="2491" t="str">
        <f>H147</f>
        <v>❹ Kg cru</v>
      </c>
      <c r="I144" s="2553" t="str">
        <f>HYPERLINK("#"&amp;ADDRESS(ROW(G146),COLUMN(G146),4),"◀"&amp;ADDRESS(ROW(G146),COLUMN(G146),4))</f>
        <v>◀G146</v>
      </c>
      <c r="J144" s="2454">
        <f>G144</f>
        <v>0.5</v>
      </c>
      <c r="K144" s="2420" t="str">
        <f ca="1">_xlfn.FORMULATEXT(G144)</f>
        <v>=SI(F144=D160;E144*F145;SI(F144=D161;E144/F145))</v>
      </c>
      <c r="L144" s="2339"/>
      <c r="M144" s="2339"/>
      <c r="N144" s="2339"/>
      <c r="O144" s="2339"/>
      <c r="P144" s="2339"/>
      <c r="Q144" s="2339"/>
      <c r="R144" s="2339"/>
      <c r="S144" s="2339"/>
      <c r="T144" s="2339"/>
      <c r="U144" s="2339"/>
      <c r="V144" s="2339"/>
      <c r="W144" s="2339"/>
      <c r="X144" s="2339"/>
      <c r="Y144" s="2339"/>
      <c r="Z144" s="2339"/>
      <c r="AA144" s="2339"/>
      <c r="AB144" s="2339"/>
      <c r="AC144" s="2339"/>
      <c r="AD144" s="2339"/>
      <c r="AE144" s="2339"/>
      <c r="AF144" s="2339"/>
      <c r="AG144" s="2339"/>
      <c r="AH144" s="2339"/>
      <c r="AI144" s="2339"/>
      <c r="AJ144" s="2339"/>
      <c r="AK144" s="2339"/>
      <c r="AL144" s="2339"/>
      <c r="AM144" s="2339"/>
      <c r="AN144" s="2339"/>
      <c r="AO144" s="2339"/>
      <c r="AP144" s="2339"/>
      <c r="AQ144" s="2339"/>
      <c r="AR144" s="2339"/>
      <c r="AS144" s="2339"/>
      <c r="AT144" s="2339"/>
      <c r="AU144" s="2339"/>
      <c r="AV144" s="2339"/>
      <c r="AW144" s="2339"/>
      <c r="AX144" s="2339"/>
      <c r="AY144" s="2339"/>
      <c r="AZ144" s="2339"/>
      <c r="BA144" s="2339"/>
      <c r="BB144" s="2339"/>
      <c r="BC144" s="2339"/>
      <c r="BD144" s="3">
        <v>1</v>
      </c>
    </row>
    <row r="145" spans="1:56" ht="21" customHeight="1">
      <c r="A145" s="2339"/>
      <c r="B145" s="7830"/>
      <c r="C145" s="2361"/>
      <c r="D145" s="2400"/>
      <c r="E145" s="2554" t="s">
        <v>9493</v>
      </c>
      <c r="F145" s="2555">
        <v>2</v>
      </c>
      <c r="G145" s="2556" t="str">
        <f>IF(F144=D160,"cru X par","cuit / par")</f>
        <v>cuit / par</v>
      </c>
      <c r="H145" s="2557">
        <f>F145</f>
        <v>2</v>
      </c>
      <c r="I145" s="2538" t="str">
        <f>HYPERLINK("#"&amp;ADDRESS(ROW(G145),COLUMN(G145),4),"◀"&amp;ADDRESS(ROW(G145),COLUMN(G145),4))</f>
        <v>◀G145</v>
      </c>
      <c r="J145" s="2558" t="str">
        <f>G145</f>
        <v>cuit / par</v>
      </c>
      <c r="K145" s="2420" t="str">
        <f ca="1">_xlfn.FORMULATEXT(G145)</f>
        <v>=SI(F144=D160;"cru X par";"cuit / par")</v>
      </c>
      <c r="L145" s="2339"/>
      <c r="M145" s="2339"/>
      <c r="N145" s="2339"/>
      <c r="O145" s="2339"/>
      <c r="P145" s="2339"/>
      <c r="Q145" s="2339"/>
      <c r="R145" s="2339"/>
      <c r="S145" s="2339"/>
      <c r="T145" s="2339"/>
      <c r="U145" s="2339"/>
      <c r="V145" s="2339"/>
      <c r="W145" s="2339"/>
      <c r="X145" s="2339"/>
      <c r="Y145" s="2339"/>
      <c r="Z145" s="2339"/>
      <c r="AA145" s="2339"/>
      <c r="AB145" s="2339"/>
      <c r="AC145" s="2339"/>
      <c r="AD145" s="2339"/>
      <c r="AE145" s="2339"/>
      <c r="AF145" s="2339"/>
      <c r="AG145" s="2339"/>
      <c r="AH145" s="2339"/>
      <c r="AI145" s="2339"/>
      <c r="AJ145" s="2339"/>
      <c r="AK145" s="2339"/>
      <c r="AL145" s="2339"/>
      <c r="AM145" s="2339"/>
      <c r="AN145" s="2339"/>
      <c r="AO145" s="2339"/>
      <c r="AP145" s="2339"/>
      <c r="AQ145" s="2339"/>
      <c r="AR145" s="2339"/>
      <c r="AS145" s="2339"/>
      <c r="AT145" s="2339"/>
      <c r="AU145" s="2339"/>
      <c r="AV145" s="2339"/>
      <c r="AW145" s="2339"/>
      <c r="AX145" s="2339"/>
      <c r="AY145" s="2339"/>
      <c r="AZ145" s="2339"/>
      <c r="BA145" s="2339"/>
      <c r="BB145" s="2339"/>
      <c r="BC145" s="2339"/>
      <c r="BD145" s="3">
        <v>1</v>
      </c>
    </row>
    <row r="146" spans="1:56" ht="21" customHeight="1">
      <c r="A146" s="2339"/>
      <c r="B146" s="7830"/>
      <c r="C146" s="2361"/>
      <c r="D146" s="2361"/>
      <c r="E146" s="2361"/>
      <c r="F146" s="2361"/>
      <c r="G146" s="2361"/>
      <c r="H146" s="2478"/>
      <c r="I146" s="2538"/>
      <c r="J146" s="2551"/>
      <c r="K146" s="2361"/>
      <c r="L146" s="2339"/>
      <c r="M146" s="2339"/>
      <c r="N146" s="2339"/>
      <c r="O146" s="2339"/>
      <c r="P146" s="2339"/>
      <c r="Q146" s="2339"/>
      <c r="R146" s="2339"/>
      <c r="S146" s="2339"/>
      <c r="T146" s="2339"/>
      <c r="U146" s="2339"/>
      <c r="V146" s="2339"/>
      <c r="W146" s="2339"/>
      <c r="X146" s="2339"/>
      <c r="Y146" s="2339"/>
      <c r="Z146" s="2339"/>
      <c r="AA146" s="2339"/>
      <c r="AB146" s="2339"/>
      <c r="AC146" s="2339"/>
      <c r="AD146" s="2339"/>
      <c r="AE146" s="2339"/>
      <c r="AF146" s="2339"/>
      <c r="AG146" s="2339"/>
      <c r="AH146" s="2339"/>
      <c r="AI146" s="2339"/>
      <c r="AJ146" s="2339"/>
      <c r="AK146" s="2339"/>
      <c r="AL146" s="2339"/>
      <c r="AM146" s="2339"/>
      <c r="AN146" s="2339"/>
      <c r="AO146" s="2339"/>
      <c r="AP146" s="2339"/>
      <c r="AQ146" s="2339"/>
      <c r="AR146" s="2339"/>
      <c r="AS146" s="2339"/>
      <c r="AT146" s="2339"/>
      <c r="AU146" s="2339"/>
      <c r="AV146" s="2339"/>
      <c r="AW146" s="2339"/>
      <c r="AX146" s="2339"/>
      <c r="AY146" s="2339"/>
      <c r="AZ146" s="2339"/>
      <c r="BA146" s="2339"/>
      <c r="BB146" s="2339"/>
      <c r="BC146" s="2339"/>
      <c r="BD146" s="3">
        <v>1</v>
      </c>
    </row>
    <row r="147" spans="1:56" ht="21" customHeight="1">
      <c r="A147" s="2339"/>
      <c r="B147" s="7830"/>
      <c r="C147" s="2361"/>
      <c r="D147" s="2495" t="s">
        <v>9481</v>
      </c>
      <c r="E147" s="2559">
        <v>0.05</v>
      </c>
      <c r="F147" s="2497" t="str">
        <f>F144</f>
        <v>❺ Kg cuit</v>
      </c>
      <c r="G147" s="2490">
        <f>IF(F144=D160,E147*F145,IF(F144=D161,E147/F145))</f>
        <v>2.5000000000000001E-2</v>
      </c>
      <c r="H147" s="2498" t="str">
        <f>IF(F147=D160,D161,D160)</f>
        <v>❹ Kg cru</v>
      </c>
      <c r="I147" s="2538" t="str">
        <f>HYPERLINK("#"&amp;ADDRESS(ROW(G147),COLUMN(G147),4),"◀"&amp;ADDRESS(ROW(G147),COLUMN(G147),4))</f>
        <v>◀G147</v>
      </c>
      <c r="J147" s="2454">
        <f>G147</f>
        <v>2.5000000000000001E-2</v>
      </c>
      <c r="K147" s="2560" t="str">
        <f ca="1">_xlfn.FORMULATEXT(G147)</f>
        <v>=SI(F144=D160;E147*F145;SI(F144=D161;E147/F145))</v>
      </c>
      <c r="L147" s="2339"/>
      <c r="M147" s="2339"/>
      <c r="N147" s="2339"/>
      <c r="O147" s="2339"/>
      <c r="P147" s="2339"/>
      <c r="Q147" s="2339"/>
      <c r="R147" s="2339"/>
      <c r="S147" s="2339"/>
      <c r="T147" s="2339"/>
      <c r="U147" s="2339"/>
      <c r="V147" s="2339"/>
      <c r="W147" s="2339"/>
      <c r="X147" s="2339"/>
      <c r="Y147" s="2339"/>
      <c r="Z147" s="2339"/>
      <c r="AA147" s="2339"/>
      <c r="AB147" s="2339"/>
      <c r="AC147" s="2339"/>
      <c r="AD147" s="2339"/>
      <c r="AE147" s="2339"/>
      <c r="AF147" s="2339"/>
      <c r="AG147" s="2339"/>
      <c r="AH147" s="2339"/>
      <c r="AI147" s="2339"/>
      <c r="AJ147" s="2339"/>
      <c r="AK147" s="2339"/>
      <c r="AL147" s="2339"/>
      <c r="AM147" s="2339"/>
      <c r="AN147" s="2339"/>
      <c r="AO147" s="2339"/>
      <c r="AP147" s="2339"/>
      <c r="AQ147" s="2339"/>
      <c r="AR147" s="2339"/>
      <c r="AS147" s="2339"/>
      <c r="AT147" s="2339"/>
      <c r="AU147" s="2339"/>
      <c r="AV147" s="2339"/>
      <c r="AW147" s="2339"/>
      <c r="AX147" s="2339"/>
      <c r="AY147" s="2339"/>
      <c r="AZ147" s="2339"/>
      <c r="BA147" s="2339"/>
      <c r="BB147" s="2339"/>
      <c r="BC147" s="2339"/>
      <c r="BD147" s="3">
        <v>1</v>
      </c>
    </row>
    <row r="148" spans="1:56" ht="21" customHeight="1">
      <c r="A148" s="2339"/>
      <c r="B148" s="7830"/>
      <c r="C148" s="2361"/>
      <c r="D148" s="2499" t="s">
        <v>9482</v>
      </c>
      <c r="E148" s="2561">
        <v>100</v>
      </c>
      <c r="F148" s="2562" t="s">
        <v>36</v>
      </c>
      <c r="G148" s="2361"/>
      <c r="H148" s="2502"/>
      <c r="I148" s="2538" t="str">
        <f>HYPERLINK("#"&amp;ADDRESS(ROW(H147),COLUMN(H147),4),"◀"&amp;ADDRESS(ROW(H147),COLUMN(H147),4))</f>
        <v>◀H147</v>
      </c>
      <c r="J148" s="2563" t="str">
        <f>H147</f>
        <v>❹ Kg cru</v>
      </c>
      <c r="K148" s="2420" t="str">
        <f ca="1">_xlfn.FORMULATEXT(H147)</f>
        <v>=SI(F147=D160;D161;D160)</v>
      </c>
      <c r="L148" s="2339"/>
      <c r="M148" s="2339"/>
      <c r="N148" s="2339"/>
      <c r="O148" s="2339"/>
      <c r="P148" s="2339"/>
      <c r="Q148" s="2339"/>
      <c r="R148" s="2339"/>
      <c r="S148" s="2339"/>
      <c r="T148" s="2339"/>
      <c r="U148" s="2339"/>
      <c r="V148" s="2339"/>
      <c r="W148" s="2339"/>
      <c r="X148" s="2339"/>
      <c r="Y148" s="2339"/>
      <c r="Z148" s="2339"/>
      <c r="AA148" s="2339"/>
      <c r="AB148" s="2339"/>
      <c r="AC148" s="2339"/>
      <c r="AD148" s="2339"/>
      <c r="AE148" s="2339"/>
      <c r="AF148" s="2339"/>
      <c r="AG148" s="2339"/>
      <c r="AH148" s="2339"/>
      <c r="AI148" s="2339"/>
      <c r="AJ148" s="2339"/>
      <c r="AK148" s="2339"/>
      <c r="AL148" s="2339"/>
      <c r="AM148" s="2339"/>
      <c r="AN148" s="2339"/>
      <c r="AO148" s="2339"/>
      <c r="AP148" s="2339"/>
      <c r="AQ148" s="2339"/>
      <c r="AR148" s="2339"/>
      <c r="AS148" s="2339"/>
      <c r="AT148" s="2339"/>
      <c r="AU148" s="2339"/>
      <c r="AV148" s="2339"/>
      <c r="AW148" s="2339"/>
      <c r="AX148" s="2339"/>
      <c r="AY148" s="2339"/>
      <c r="AZ148" s="2339"/>
      <c r="BA148" s="2339"/>
      <c r="BB148" s="2339"/>
      <c r="BC148" s="2339"/>
      <c r="BD148" s="3">
        <v>1</v>
      </c>
    </row>
    <row r="149" spans="1:56" ht="21" customHeight="1">
      <c r="A149" s="2339"/>
      <c r="B149" s="7830"/>
      <c r="C149" s="2361"/>
      <c r="D149" s="2361"/>
      <c r="E149" s="2361"/>
      <c r="F149" s="2361"/>
      <c r="G149" s="2361"/>
      <c r="H149" s="2478"/>
      <c r="I149" s="2538"/>
      <c r="J149" s="2551"/>
      <c r="K149" s="2361"/>
      <c r="L149" s="2339"/>
      <c r="M149" s="2339"/>
      <c r="N149" s="2339"/>
      <c r="O149" s="2339"/>
      <c r="P149" s="2339"/>
      <c r="Q149" s="2339"/>
      <c r="R149" s="2339"/>
      <c r="S149" s="2339"/>
      <c r="T149" s="2339"/>
      <c r="U149" s="2339"/>
      <c r="V149" s="2339"/>
      <c r="W149" s="2339"/>
      <c r="X149" s="2339"/>
      <c r="Y149" s="2339"/>
      <c r="Z149" s="2339"/>
      <c r="AA149" s="2339"/>
      <c r="AB149" s="2339"/>
      <c r="AC149" s="2339"/>
      <c r="AD149" s="2339"/>
      <c r="AE149" s="2339"/>
      <c r="AF149" s="2339"/>
      <c r="AG149" s="2339"/>
      <c r="AH149" s="2339"/>
      <c r="AI149" s="2339"/>
      <c r="AJ149" s="2339"/>
      <c r="AK149" s="2339"/>
      <c r="AL149" s="2339"/>
      <c r="AM149" s="2339"/>
      <c r="AN149" s="2339"/>
      <c r="AO149" s="2339"/>
      <c r="AP149" s="2339"/>
      <c r="AQ149" s="2339"/>
      <c r="AR149" s="2339"/>
      <c r="AS149" s="2339"/>
      <c r="AT149" s="2339"/>
      <c r="AU149" s="2339"/>
      <c r="AV149" s="2339"/>
      <c r="AW149" s="2339"/>
      <c r="AX149" s="2339"/>
      <c r="AY149" s="2339"/>
      <c r="AZ149" s="2339"/>
      <c r="BA149" s="2339"/>
      <c r="BB149" s="2339"/>
      <c r="BC149" s="2339"/>
      <c r="BD149" s="3">
        <v>1</v>
      </c>
    </row>
    <row r="150" spans="1:56" ht="21" customHeight="1">
      <c r="A150" s="2339"/>
      <c r="B150" s="7830"/>
      <c r="C150" s="2361"/>
      <c r="D150" s="2503" t="s">
        <v>9483</v>
      </c>
      <c r="E150" s="2504">
        <f>IF(E144=0,0,E147*E148)</f>
        <v>5</v>
      </c>
      <c r="F150" s="2505" t="str">
        <f>F144</f>
        <v>❺ Kg cuit</v>
      </c>
      <c r="G150" s="2506">
        <f>IF(E144=0,0,G147*E148)</f>
        <v>2.5</v>
      </c>
      <c r="H150" s="2507" t="str">
        <f>H147</f>
        <v>❹ Kg cru</v>
      </c>
      <c r="I150" s="2538" t="str">
        <f>HYPERLINK("#"&amp;ADDRESS(ROW(E150),COLUMN(E150),4),"◀"&amp;ADDRESS(ROW(E150),COLUMN(E150),4))</f>
        <v>◀E150</v>
      </c>
      <c r="J150" s="2504">
        <f>E150</f>
        <v>5</v>
      </c>
      <c r="K150" s="2420" t="str">
        <f ca="1">_xlfn.FORMULATEXT(E150)</f>
        <v>=SI(E144=0;0;E147*E148)</v>
      </c>
      <c r="L150" s="2339"/>
      <c r="M150" s="2564" t="str">
        <f>ADDRESS(ROW(G150),COLUMN(G150),4)</f>
        <v>G150</v>
      </c>
      <c r="N150" s="2420" t="str">
        <f ca="1">_xlfn.FORMULATEXT(G150)</f>
        <v>=SI(E144=0;0;G147*E148)</v>
      </c>
      <c r="O150" s="2339"/>
      <c r="P150" s="2339"/>
      <c r="Q150" s="2339"/>
      <c r="R150" s="2339"/>
      <c r="S150" s="2339"/>
      <c r="T150" s="2339"/>
      <c r="U150" s="2339"/>
      <c r="V150" s="2339"/>
      <c r="W150" s="2339"/>
      <c r="X150" s="2339"/>
      <c r="Y150" s="2339"/>
      <c r="Z150" s="2339"/>
      <c r="AA150" s="2339"/>
      <c r="AB150" s="2339"/>
      <c r="AC150" s="2339"/>
      <c r="AD150" s="2339"/>
      <c r="AE150" s="2339"/>
      <c r="AF150" s="2339"/>
      <c r="AG150" s="2339"/>
      <c r="AH150" s="2339"/>
      <c r="AI150" s="2339"/>
      <c r="AJ150" s="2339"/>
      <c r="AK150" s="2339"/>
      <c r="AL150" s="2339"/>
      <c r="AM150" s="2339"/>
      <c r="AN150" s="2339"/>
      <c r="AO150" s="2339"/>
      <c r="AP150" s="2339"/>
      <c r="AQ150" s="2339"/>
      <c r="AR150" s="2339"/>
      <c r="AS150" s="2339"/>
      <c r="AT150" s="2339"/>
      <c r="AU150" s="2339"/>
      <c r="AV150" s="2339"/>
      <c r="AW150" s="2339"/>
      <c r="AX150" s="2339"/>
      <c r="AY150" s="2339"/>
      <c r="AZ150" s="2339"/>
      <c r="BA150" s="2339"/>
      <c r="BB150" s="2339"/>
      <c r="BC150" s="2339"/>
      <c r="BD150" s="3">
        <v>1</v>
      </c>
    </row>
    <row r="151" spans="1:56" ht="21" customHeight="1">
      <c r="A151" s="2339"/>
      <c r="B151" s="7830"/>
      <c r="C151" s="2361"/>
      <c r="D151" s="2508" t="s">
        <v>9484</v>
      </c>
      <c r="E151" s="2509">
        <f>IF(E144=0,0,IF(MOD(E150,E144)&gt;MOD(E150,E144)/2,INT(E150/E144)+1,INT(E150/E144)))</f>
        <v>5</v>
      </c>
      <c r="F151" s="2512" t="s">
        <v>9485</v>
      </c>
      <c r="G151" s="2511">
        <f>IF(ISBLANK(E147),0,E144/E147)</f>
        <v>20</v>
      </c>
      <c r="H151" s="2478"/>
      <c r="I151" s="2538" t="str">
        <f>HYPERLINK("#"&amp;ADDRESS(ROW(E151),COLUMN(E151),4),"◀"&amp;ADDRESS(ROW(E151),COLUMN(E151),4))</f>
        <v>◀E151</v>
      </c>
      <c r="J151" s="2509">
        <f>E151</f>
        <v>5</v>
      </c>
      <c r="K151" s="2420" t="str">
        <f ca="1">_xlfn.FORMULATEXT(E151)</f>
        <v>=SI(E144=0;0;SI(MOD(E150;E144)&gt;MOD(E150;E144)/2;ENT(E150/E144)+1;ENT(E150/E144)))</v>
      </c>
      <c r="L151" s="2339"/>
      <c r="M151" s="2339"/>
      <c r="N151" s="2339"/>
      <c r="O151" s="2339"/>
      <c r="P151" s="2339"/>
      <c r="Q151" s="2360"/>
      <c r="R151" s="2360"/>
      <c r="S151" s="2360"/>
      <c r="T151" s="2360"/>
      <c r="U151" s="2339"/>
      <c r="V151" s="2339"/>
      <c r="W151" s="2339"/>
      <c r="X151" s="2339"/>
      <c r="Y151" s="2339"/>
      <c r="Z151" s="2339"/>
      <c r="AA151" s="2339"/>
      <c r="AB151" s="2339"/>
      <c r="AC151" s="2339"/>
      <c r="AD151" s="2339"/>
      <c r="AE151" s="2339"/>
      <c r="AF151" s="2339"/>
      <c r="AG151" s="2339"/>
      <c r="AH151" s="2339"/>
      <c r="AI151" s="2339"/>
      <c r="AJ151" s="2339"/>
      <c r="AK151" s="2339"/>
      <c r="AL151" s="2339"/>
      <c r="AM151" s="2339"/>
      <c r="AN151" s="2339"/>
      <c r="AO151" s="2339"/>
      <c r="AP151" s="2339"/>
      <c r="AQ151" s="2339"/>
      <c r="AR151" s="2339"/>
      <c r="AS151" s="2339"/>
      <c r="AT151" s="2339"/>
      <c r="AU151" s="2339"/>
      <c r="AV151" s="2339"/>
      <c r="AW151" s="2339"/>
      <c r="AX151" s="2339"/>
      <c r="AY151" s="2339"/>
      <c r="AZ151" s="2339"/>
      <c r="BA151" s="2339"/>
      <c r="BB151" s="2339"/>
      <c r="BC151" s="2339"/>
      <c r="BD151" s="3">
        <v>1</v>
      </c>
    </row>
    <row r="152" spans="1:56" ht="21" customHeight="1">
      <c r="A152" s="2339"/>
      <c r="B152" s="7830"/>
      <c r="C152" s="2361"/>
      <c r="D152" s="2508"/>
      <c r="E152" s="2509"/>
      <c r="F152" s="2512"/>
      <c r="G152" s="2511"/>
      <c r="H152" s="2478"/>
      <c r="I152" s="2538" t="str">
        <f>HYPERLINK("#"&amp;ADDRESS(ROW(G151),COLUMN(G151),4),"◀"&amp;ADDRESS(ROW(G151),COLUMN(G151),4))</f>
        <v>◀G151</v>
      </c>
      <c r="J152" s="2511">
        <f>G151</f>
        <v>20</v>
      </c>
      <c r="K152" s="2420" t="str">
        <f ca="1">_xlfn.FORMULATEXT(G151)</f>
        <v>=SI(ESTVIDE(E147);0;E144/E147)</v>
      </c>
      <c r="L152" s="2339"/>
      <c r="M152" s="2339"/>
      <c r="N152" s="2339"/>
      <c r="O152" s="2339"/>
      <c r="P152" s="2339"/>
      <c r="Q152" s="2360"/>
      <c r="R152" s="2360"/>
      <c r="S152" s="2360"/>
      <c r="T152" s="2360"/>
      <c r="U152" s="2339"/>
      <c r="V152" s="2339"/>
      <c r="W152" s="2339"/>
      <c r="X152" s="2339"/>
      <c r="Y152" s="2339"/>
      <c r="Z152" s="2339"/>
      <c r="AA152" s="2339"/>
      <c r="AB152" s="2339"/>
      <c r="AC152" s="2339"/>
      <c r="AD152" s="2339"/>
      <c r="AE152" s="2339"/>
      <c r="AF152" s="2339"/>
      <c r="AG152" s="2339"/>
      <c r="AH152" s="2339"/>
      <c r="AI152" s="2339"/>
      <c r="AJ152" s="2339"/>
      <c r="AK152" s="2339"/>
      <c r="AL152" s="2339"/>
      <c r="AM152" s="2339"/>
      <c r="AN152" s="2339"/>
      <c r="AO152" s="2339"/>
      <c r="AP152" s="2339"/>
      <c r="AQ152" s="2339"/>
      <c r="AR152" s="2339"/>
      <c r="AS152" s="2339"/>
      <c r="AT152" s="2339"/>
      <c r="AU152" s="2339"/>
      <c r="AV152" s="2339"/>
      <c r="AW152" s="2339"/>
      <c r="AX152" s="2339"/>
      <c r="AY152" s="2339"/>
      <c r="AZ152" s="2339"/>
      <c r="BA152" s="2339"/>
      <c r="BB152" s="2339"/>
      <c r="BC152" s="2339"/>
      <c r="BD152" s="3">
        <v>1</v>
      </c>
    </row>
    <row r="153" spans="1:56" ht="21" customHeight="1">
      <c r="A153" s="2339"/>
      <c r="B153" s="7830"/>
      <c r="C153" s="7814" t="s">
        <v>9486</v>
      </c>
      <c r="D153" s="7814"/>
      <c r="E153" s="7814"/>
      <c r="F153" s="7814"/>
      <c r="G153" s="7814"/>
      <c r="H153" s="7815"/>
      <c r="I153" s="2339"/>
      <c r="J153" s="2339"/>
      <c r="K153" s="2339"/>
      <c r="L153" s="2339"/>
      <c r="M153" s="2339"/>
      <c r="N153" s="2339"/>
      <c r="O153" s="2339"/>
      <c r="P153" s="2339"/>
      <c r="Q153" s="2360"/>
      <c r="R153" s="2360"/>
      <c r="S153" s="2360"/>
      <c r="T153" s="2360"/>
      <c r="U153" s="2339"/>
      <c r="V153" s="2339"/>
      <c r="W153" s="2339"/>
      <c r="X153" s="2339"/>
      <c r="Y153" s="2339"/>
      <c r="Z153" s="2339"/>
      <c r="AA153" s="2339"/>
      <c r="AB153" s="2339"/>
      <c r="AC153" s="2339"/>
      <c r="AD153" s="2339"/>
      <c r="AE153" s="2339"/>
      <c r="AF153" s="2339"/>
      <c r="AG153" s="2339"/>
      <c r="AH153" s="2339"/>
      <c r="AI153" s="2339"/>
      <c r="AJ153" s="2339"/>
      <c r="AK153" s="2339"/>
      <c r="AL153" s="2339"/>
      <c r="AM153" s="2339"/>
      <c r="AN153" s="2339"/>
      <c r="AO153" s="2339"/>
      <c r="AP153" s="2339"/>
      <c r="AQ153" s="2339"/>
      <c r="AR153" s="2339"/>
      <c r="AS153" s="2339"/>
      <c r="AT153" s="2339"/>
      <c r="AU153" s="2339"/>
      <c r="AV153" s="2339"/>
      <c r="AW153" s="2339"/>
      <c r="AX153" s="2339"/>
      <c r="AY153" s="2339"/>
      <c r="AZ153" s="2339"/>
      <c r="BA153" s="2339"/>
      <c r="BB153" s="2339"/>
      <c r="BC153" s="2339"/>
      <c r="BD153" s="3">
        <v>1</v>
      </c>
    </row>
    <row r="154" spans="1:56" ht="21" customHeight="1">
      <c r="A154" s="2339"/>
      <c r="B154" s="7830"/>
      <c r="C154" s="7814"/>
      <c r="D154" s="7814"/>
      <c r="E154" s="7814"/>
      <c r="F154" s="7814"/>
      <c r="G154" s="7814"/>
      <c r="H154" s="7815"/>
      <c r="I154" s="2339"/>
      <c r="J154" s="2339"/>
      <c r="K154" s="2339"/>
      <c r="L154" s="2339"/>
      <c r="M154" s="2339"/>
      <c r="N154" s="2339"/>
      <c r="O154" s="2339"/>
      <c r="P154" s="2339"/>
      <c r="Q154" s="2360"/>
      <c r="R154" s="2360"/>
      <c r="S154" s="2360"/>
      <c r="T154" s="2360"/>
      <c r="U154" s="2339"/>
      <c r="V154" s="2339"/>
      <c r="W154" s="2339"/>
      <c r="X154" s="2339"/>
      <c r="Y154" s="2339"/>
      <c r="Z154" s="2339"/>
      <c r="AA154" s="2339"/>
      <c r="AB154" s="2339"/>
      <c r="AC154" s="2339"/>
      <c r="AD154" s="2339"/>
      <c r="AE154" s="2339"/>
      <c r="AF154" s="2339"/>
      <c r="AG154" s="2339"/>
      <c r="AH154" s="2339"/>
      <c r="AI154" s="2339"/>
      <c r="AJ154" s="2339"/>
      <c r="AK154" s="2339"/>
      <c r="AL154" s="2339"/>
      <c r="AM154" s="2339"/>
      <c r="AN154" s="2339"/>
      <c r="AO154" s="2339"/>
      <c r="AP154" s="2339"/>
      <c r="AQ154" s="2339"/>
      <c r="AR154" s="2339"/>
      <c r="AS154" s="2339"/>
      <c r="AT154" s="2339"/>
      <c r="AU154" s="2339"/>
      <c r="AV154" s="2339"/>
      <c r="AW154" s="2339"/>
      <c r="AX154" s="2339"/>
      <c r="AY154" s="2339"/>
      <c r="AZ154" s="2339"/>
      <c r="BA154" s="2339"/>
      <c r="BB154" s="2339"/>
      <c r="BC154" s="2339"/>
      <c r="BD154" s="3">
        <v>1</v>
      </c>
    </row>
    <row r="155" spans="1:56" ht="21" customHeight="1">
      <c r="A155" s="2339"/>
      <c r="B155" s="7830"/>
      <c r="C155" s="2513" t="s">
        <v>9487</v>
      </c>
      <c r="D155" s="2514"/>
      <c r="E155" s="2514"/>
      <c r="F155" s="2514"/>
      <c r="G155" s="2514"/>
      <c r="H155" s="2515"/>
      <c r="I155" s="2339"/>
      <c r="J155" s="2339"/>
      <c r="K155" s="2339"/>
      <c r="L155" s="2339"/>
      <c r="M155" s="2339"/>
      <c r="N155" s="2339"/>
      <c r="O155" s="2339"/>
      <c r="P155" s="2339"/>
      <c r="Q155" s="2360"/>
      <c r="R155" s="2360"/>
      <c r="S155" s="2360"/>
      <c r="T155" s="2360"/>
      <c r="U155" s="2339"/>
      <c r="V155" s="2339"/>
      <c r="W155" s="2339"/>
      <c r="X155" s="2339"/>
      <c r="Y155" s="2339"/>
      <c r="Z155" s="2339"/>
      <c r="AA155" s="2339"/>
      <c r="AB155" s="2339"/>
      <c r="AC155" s="2339"/>
      <c r="AD155" s="2339"/>
      <c r="AE155" s="2339"/>
      <c r="AF155" s="2339"/>
      <c r="AG155" s="2339"/>
      <c r="AH155" s="2339"/>
      <c r="AI155" s="2339"/>
      <c r="AJ155" s="2339"/>
      <c r="AK155" s="2339"/>
      <c r="AL155" s="2339"/>
      <c r="AM155" s="2339"/>
      <c r="AN155" s="2339"/>
      <c r="AO155" s="2339"/>
      <c r="AP155" s="2339"/>
      <c r="AQ155" s="2339"/>
      <c r="AR155" s="2339"/>
      <c r="AS155" s="2339"/>
      <c r="AT155" s="2339"/>
      <c r="AU155" s="2339"/>
      <c r="AV155" s="2339"/>
      <c r="AW155" s="2339"/>
      <c r="AX155" s="2339"/>
      <c r="AY155" s="2339"/>
      <c r="AZ155" s="2339"/>
      <c r="BA155" s="2339"/>
      <c r="BB155" s="2339"/>
      <c r="BC155" s="2339"/>
      <c r="BD155" s="3">
        <v>1</v>
      </c>
    </row>
    <row r="156" spans="1:56" ht="21" customHeight="1">
      <c r="A156" s="2339"/>
      <c r="B156" s="7830"/>
      <c r="C156" s="7834" t="s">
        <v>9488</v>
      </c>
      <c r="D156" s="7834"/>
      <c r="E156" s="7834"/>
      <c r="F156" s="7834"/>
      <c r="G156" s="7834"/>
      <c r="H156" s="7835"/>
      <c r="I156" s="2339"/>
      <c r="J156" s="2339"/>
      <c r="K156" s="2339"/>
      <c r="L156" s="2339"/>
      <c r="M156" s="2339"/>
      <c r="N156" s="2339"/>
      <c r="O156" s="2339"/>
      <c r="Q156" s="2339"/>
      <c r="R156" s="2339"/>
      <c r="S156" s="2339"/>
      <c r="T156" s="2339"/>
      <c r="U156" s="2339"/>
      <c r="V156" s="2339"/>
      <c r="W156" s="2339"/>
      <c r="X156" s="2339"/>
      <c r="Y156" s="2339"/>
      <c r="Z156" s="2339"/>
      <c r="AA156" s="2339"/>
      <c r="AB156" s="2339"/>
      <c r="AC156" s="2339"/>
      <c r="AD156" s="2339"/>
      <c r="AE156" s="2339"/>
      <c r="AF156" s="2339"/>
      <c r="AG156" s="2339"/>
      <c r="AH156" s="2339"/>
      <c r="AI156" s="2339"/>
      <c r="AJ156" s="2339"/>
      <c r="AK156" s="2339"/>
      <c r="AL156" s="2339"/>
      <c r="AM156" s="2339"/>
      <c r="AN156" s="2339"/>
      <c r="AO156" s="2339"/>
      <c r="AP156" s="2339"/>
      <c r="AQ156" s="2339"/>
      <c r="AR156" s="2339"/>
      <c r="AS156" s="2339"/>
      <c r="AT156" s="2339"/>
      <c r="AU156" s="2339"/>
      <c r="AV156" s="2339"/>
      <c r="AW156" s="2339"/>
      <c r="AX156" s="2339"/>
      <c r="AY156" s="2339"/>
      <c r="AZ156" s="2339"/>
      <c r="BA156" s="2339"/>
      <c r="BB156" s="2339"/>
      <c r="BC156" s="2339"/>
      <c r="BD156" s="3">
        <v>1</v>
      </c>
    </row>
    <row r="157" spans="1:56" ht="21" customHeight="1">
      <c r="A157" s="2339"/>
      <c r="B157" s="7830"/>
      <c r="C157" s="2516" t="s">
        <v>9489</v>
      </c>
      <c r="D157" s="2361"/>
      <c r="E157" s="2361"/>
      <c r="F157" s="2520" t="s">
        <v>9493</v>
      </c>
      <c r="G157" s="2361"/>
      <c r="H157" s="2478"/>
      <c r="I157" s="2339"/>
      <c r="J157" s="2339"/>
      <c r="K157" s="2339"/>
      <c r="L157" s="2339"/>
      <c r="M157" s="2339"/>
      <c r="N157" s="2339"/>
      <c r="O157" s="2339"/>
      <c r="P157" s="2339"/>
      <c r="Q157" s="2339"/>
      <c r="R157" s="2339"/>
      <c r="S157" s="2339"/>
      <c r="T157" s="2339"/>
      <c r="U157" s="2339"/>
      <c r="V157" s="2339"/>
      <c r="W157" s="2339"/>
      <c r="X157" s="2339"/>
      <c r="Y157" s="2339"/>
      <c r="Z157" s="2339"/>
      <c r="AA157" s="2339"/>
      <c r="AB157" s="2339"/>
      <c r="AC157" s="2339"/>
      <c r="AD157" s="2339"/>
      <c r="AE157" s="2339"/>
      <c r="AF157" s="2339"/>
      <c r="AG157" s="2339"/>
      <c r="AH157" s="2339"/>
      <c r="AI157" s="2339"/>
      <c r="AJ157" s="2339"/>
      <c r="AK157" s="2339"/>
      <c r="AL157" s="2339"/>
      <c r="AM157" s="2339"/>
      <c r="AN157" s="2339"/>
      <c r="AO157" s="2339"/>
      <c r="AP157" s="2339"/>
      <c r="AQ157" s="2339"/>
      <c r="AR157" s="2339"/>
      <c r="AS157" s="2339"/>
      <c r="AT157" s="2339"/>
      <c r="AU157" s="2339"/>
      <c r="AV157" s="2339"/>
      <c r="AW157" s="2339"/>
      <c r="AX157" s="2339"/>
      <c r="AY157" s="2339"/>
      <c r="AZ157" s="2339"/>
      <c r="BA157" s="2339"/>
      <c r="BB157" s="2339"/>
      <c r="BC157" s="2339"/>
      <c r="BD157" s="3">
        <v>1</v>
      </c>
    </row>
    <row r="158" spans="1:56" ht="21" customHeight="1">
      <c r="A158" s="2339"/>
      <c r="B158" s="7830"/>
      <c r="C158" s="2517" t="s">
        <v>9477</v>
      </c>
      <c r="D158" s="2361"/>
      <c r="E158" s="2361"/>
      <c r="F158" s="2521" t="s">
        <v>9494</v>
      </c>
      <c r="G158" s="2361"/>
      <c r="H158" s="2478"/>
      <c r="I158" s="2339"/>
      <c r="J158" s="2339"/>
      <c r="K158" s="2339"/>
      <c r="L158" s="2339"/>
      <c r="M158" s="2339"/>
      <c r="N158" s="2339"/>
      <c r="O158" s="2339"/>
      <c r="P158" s="2339"/>
      <c r="Q158" s="2339"/>
      <c r="R158" s="2339"/>
      <c r="S158" s="2339"/>
      <c r="T158" s="2339"/>
      <c r="U158" s="2339"/>
      <c r="V158" s="2339"/>
      <c r="W158" s="2339"/>
      <c r="X158" s="2339"/>
      <c r="Y158" s="2339"/>
      <c r="Z158" s="2339"/>
      <c r="AA158" s="2339"/>
      <c r="AB158" s="2339"/>
      <c r="AC158" s="2339"/>
      <c r="AD158" s="2339"/>
      <c r="AE158" s="2339"/>
      <c r="AF158" s="2339"/>
      <c r="AG158" s="2339"/>
      <c r="AH158" s="2339"/>
      <c r="AI158" s="2339"/>
      <c r="AJ158" s="2339"/>
      <c r="AK158" s="2339"/>
      <c r="AL158" s="2339"/>
      <c r="AM158" s="2339"/>
      <c r="AN158" s="2339"/>
      <c r="AO158" s="2339"/>
      <c r="AP158" s="2339"/>
      <c r="AQ158" s="2339"/>
      <c r="AR158" s="2339"/>
      <c r="AS158" s="2339"/>
      <c r="AT158" s="2339"/>
      <c r="AU158" s="2339"/>
      <c r="AV158" s="2339"/>
      <c r="AW158" s="2339"/>
      <c r="AX158" s="2339"/>
      <c r="AY158" s="2339"/>
      <c r="AZ158" s="2339"/>
      <c r="BA158" s="2339"/>
      <c r="BB158" s="2339"/>
      <c r="BC158" s="2339"/>
      <c r="BD158" s="3">
        <v>1</v>
      </c>
    </row>
    <row r="159" spans="1:56" ht="21" customHeight="1">
      <c r="A159" s="2339"/>
      <c r="B159" s="7830"/>
      <c r="C159" s="2519" t="s">
        <v>9492</v>
      </c>
      <c r="D159" s="2361"/>
      <c r="E159" s="2361"/>
      <c r="F159" s="2523" t="s">
        <v>9495</v>
      </c>
      <c r="G159" s="2361"/>
      <c r="H159" s="2478"/>
      <c r="I159" s="2339"/>
      <c r="J159" s="2339"/>
      <c r="K159" s="2339"/>
      <c r="L159" s="2339"/>
      <c r="M159" s="2339"/>
      <c r="N159" s="2339"/>
      <c r="O159" s="2339"/>
      <c r="P159" s="2339"/>
      <c r="Q159" s="2339"/>
      <c r="R159" s="2339"/>
      <c r="S159" s="2339"/>
      <c r="T159" s="2339"/>
      <c r="U159" s="2339"/>
      <c r="V159" s="2339"/>
      <c r="W159" s="2339"/>
      <c r="X159" s="2339"/>
      <c r="Y159" s="2339"/>
      <c r="Z159" s="2339"/>
      <c r="AA159" s="2339"/>
      <c r="AB159" s="2339"/>
      <c r="AC159" s="2339"/>
      <c r="AD159" s="2339"/>
      <c r="AE159" s="2339"/>
      <c r="AF159" s="2339"/>
      <c r="AG159" s="2339"/>
      <c r="AH159" s="2339"/>
      <c r="AI159" s="2339"/>
      <c r="AJ159" s="2339"/>
      <c r="AK159" s="2339"/>
      <c r="AL159" s="2339"/>
      <c r="AM159" s="2339"/>
      <c r="AN159" s="2339"/>
      <c r="AO159" s="2339"/>
      <c r="AP159" s="2339"/>
      <c r="AQ159" s="2339"/>
      <c r="AR159" s="2339"/>
      <c r="AS159" s="2339"/>
      <c r="AT159" s="2339"/>
      <c r="AU159" s="2339"/>
      <c r="AV159" s="2339"/>
      <c r="AW159" s="2339"/>
      <c r="AX159" s="2339"/>
      <c r="AY159" s="2339"/>
      <c r="AZ159" s="2339"/>
      <c r="BA159" s="2339"/>
      <c r="BB159" s="2339"/>
      <c r="BC159" s="2339"/>
      <c r="BD159" s="3">
        <v>1</v>
      </c>
    </row>
    <row r="160" spans="1:56" ht="21" customHeight="1">
      <c r="A160" s="2339"/>
      <c r="B160" s="7830"/>
      <c r="C160" s="2453"/>
      <c r="D160" s="2489" t="s">
        <v>9468</v>
      </c>
      <c r="E160" s="2361"/>
      <c r="F160" s="2521"/>
      <c r="G160" s="2361"/>
      <c r="H160" s="2478"/>
      <c r="I160" s="2339"/>
      <c r="J160" s="2339"/>
      <c r="K160" s="2339"/>
      <c r="L160" s="2339"/>
      <c r="M160" s="2339"/>
      <c r="N160" s="2339"/>
      <c r="O160" s="2339"/>
      <c r="P160" s="2339"/>
      <c r="Q160" s="2339"/>
      <c r="R160" s="2339"/>
      <c r="S160" s="2339"/>
      <c r="T160" s="2339"/>
      <c r="U160" s="2339"/>
      <c r="V160" s="2339"/>
      <c r="W160" s="2339"/>
      <c r="X160" s="2339"/>
      <c r="Y160" s="2339"/>
      <c r="Z160" s="2339"/>
      <c r="AA160" s="2339"/>
      <c r="AB160" s="2339"/>
      <c r="AC160" s="2339"/>
      <c r="AD160" s="2339"/>
      <c r="AE160" s="2339"/>
      <c r="AF160" s="2339"/>
      <c r="AG160" s="2339"/>
      <c r="AH160" s="2339"/>
      <c r="AI160" s="2339"/>
      <c r="AJ160" s="2339"/>
      <c r="AK160" s="2339"/>
      <c r="AL160" s="2339"/>
      <c r="AM160" s="2339"/>
      <c r="AN160" s="2339"/>
      <c r="AO160" s="2339"/>
      <c r="AP160" s="2339"/>
      <c r="AQ160" s="2339"/>
      <c r="AR160" s="2339"/>
      <c r="AS160" s="2339"/>
      <c r="AT160" s="2339"/>
      <c r="AU160" s="2339"/>
      <c r="AV160" s="2339"/>
      <c r="AW160" s="2339"/>
      <c r="AX160" s="2339"/>
      <c r="AY160" s="2339"/>
      <c r="AZ160" s="2339"/>
      <c r="BA160" s="2339"/>
      <c r="BB160" s="2339"/>
      <c r="BC160" s="2339"/>
      <c r="BD160" s="3">
        <v>1</v>
      </c>
    </row>
    <row r="161" spans="1:56" ht="21" customHeight="1">
      <c r="A161" s="2339"/>
      <c r="B161" s="7830"/>
      <c r="C161" s="2455"/>
      <c r="D161" s="2522" t="s">
        <v>9470</v>
      </c>
      <c r="E161" s="2361"/>
      <c r="F161" s="2523"/>
      <c r="G161" s="2361"/>
      <c r="H161" s="2478"/>
      <c r="I161" s="2339"/>
      <c r="J161" s="2339"/>
      <c r="K161" s="2339"/>
      <c r="L161" s="2339"/>
      <c r="M161" s="2339"/>
      <c r="N161" s="2339"/>
      <c r="O161" s="2339"/>
      <c r="P161" s="2339"/>
      <c r="Q161" s="2339"/>
      <c r="R161" s="2339"/>
      <c r="S161" s="2339"/>
      <c r="T161" s="2339"/>
      <c r="U161" s="2339"/>
      <c r="V161" s="2339"/>
      <c r="W161" s="2339"/>
      <c r="X161" s="2339"/>
      <c r="Y161" s="2339"/>
      <c r="Z161" s="2339"/>
      <c r="AA161" s="2339"/>
      <c r="AB161" s="2339"/>
      <c r="AC161" s="2339"/>
      <c r="AD161" s="2339"/>
      <c r="AE161" s="2339"/>
      <c r="AF161" s="2339"/>
      <c r="AG161" s="2339"/>
      <c r="AH161" s="2339"/>
      <c r="AI161" s="2339"/>
      <c r="AJ161" s="2339"/>
      <c r="AK161" s="2339"/>
      <c r="AL161" s="2339"/>
      <c r="AM161" s="2339"/>
      <c r="AN161" s="2339"/>
      <c r="AO161" s="2339"/>
      <c r="AP161" s="2339"/>
      <c r="AQ161" s="2339"/>
      <c r="AR161" s="2339"/>
      <c r="AS161" s="2339"/>
      <c r="AT161" s="2339"/>
      <c r="AU161" s="2339"/>
      <c r="AV161" s="2339"/>
      <c r="AW161" s="2339"/>
      <c r="AX161" s="2339"/>
      <c r="AY161" s="2339"/>
      <c r="AZ161" s="2339"/>
      <c r="BA161" s="2339"/>
      <c r="BB161" s="2339"/>
      <c r="BC161" s="2339"/>
      <c r="BD161" s="3">
        <v>1</v>
      </c>
    </row>
    <row r="162" spans="1:56" ht="21" customHeight="1">
      <c r="A162" s="2339"/>
      <c r="B162" s="7830"/>
      <c r="C162" s="2524"/>
      <c r="D162" s="2361"/>
      <c r="E162" s="2525" t="s">
        <v>9496</v>
      </c>
      <c r="F162" s="2523"/>
      <c r="G162" s="2524" t="s">
        <v>9497</v>
      </c>
      <c r="H162" s="2526" t="str">
        <f>ADDRESS(ROW(F144),COLUMN(F144),4)</f>
        <v>F144</v>
      </c>
      <c r="I162" s="2339"/>
      <c r="J162" s="2339"/>
      <c r="K162" s="2339"/>
      <c r="L162" s="2339"/>
      <c r="M162" s="2339"/>
      <c r="N162" s="2339"/>
      <c r="O162" s="2339"/>
      <c r="P162" s="2339"/>
      <c r="Q162" s="2339"/>
      <c r="R162" s="2339"/>
      <c r="S162" s="2339"/>
      <c r="T162" s="2339"/>
      <c r="U162" s="2339"/>
      <c r="V162" s="2339"/>
      <c r="W162" s="2339"/>
      <c r="X162" s="2339"/>
      <c r="Y162" s="2339"/>
      <c r="Z162" s="2339"/>
      <c r="AA162" s="2339"/>
      <c r="AB162" s="2339"/>
      <c r="AC162" s="2339"/>
      <c r="AD162" s="2339"/>
      <c r="AE162" s="2339"/>
      <c r="AF162" s="2339"/>
      <c r="AG162" s="2339"/>
      <c r="AH162" s="2339"/>
      <c r="AI162" s="2339"/>
      <c r="AJ162" s="2339"/>
      <c r="AK162" s="2339"/>
      <c r="AL162" s="2339"/>
      <c r="AM162" s="2339"/>
      <c r="AN162" s="2339"/>
      <c r="AO162" s="2339"/>
      <c r="AP162" s="2339"/>
      <c r="AQ162" s="2339"/>
      <c r="AR162" s="2339"/>
      <c r="AS162" s="2339"/>
      <c r="AT162" s="2339"/>
      <c r="AU162" s="2339"/>
      <c r="AV162" s="2339"/>
      <c r="AW162" s="2339"/>
      <c r="AX162" s="2339"/>
      <c r="AY162" s="2339"/>
      <c r="AZ162" s="2339"/>
      <c r="BA162" s="2339"/>
      <c r="BB162" s="2339"/>
      <c r="BC162" s="2339"/>
      <c r="BD162" s="3">
        <v>1</v>
      </c>
    </row>
    <row r="163" spans="1:56" ht="21" customHeight="1">
      <c r="A163" s="2339"/>
      <c r="B163" s="7830"/>
      <c r="C163" s="2067" t="s">
        <v>9506</v>
      </c>
      <c r="D163" s="2527"/>
      <c r="E163" s="2525"/>
      <c r="F163" s="2067" t="s">
        <v>9507</v>
      </c>
      <c r="G163" s="2361"/>
      <c r="H163" s="2478"/>
      <c r="I163" s="2339"/>
      <c r="J163" s="2339"/>
      <c r="K163" s="2339"/>
      <c r="L163" s="2339"/>
      <c r="M163" s="2339"/>
      <c r="N163" s="2339"/>
      <c r="O163" s="2339"/>
      <c r="P163" s="2339"/>
      <c r="Q163" s="2339"/>
      <c r="R163" s="2339"/>
      <c r="S163" s="2339"/>
      <c r="T163" s="2339"/>
      <c r="U163" s="2339"/>
      <c r="V163" s="2339"/>
      <c r="W163" s="2339"/>
      <c r="X163" s="2339"/>
      <c r="Y163" s="2339"/>
      <c r="Z163" s="2339"/>
      <c r="AA163" s="2339"/>
      <c r="AB163" s="2339"/>
      <c r="AC163" s="2339"/>
      <c r="AD163" s="2339"/>
      <c r="AE163" s="2339"/>
      <c r="AF163" s="2339"/>
      <c r="AG163" s="2339"/>
      <c r="AH163" s="2339"/>
      <c r="AI163" s="2339"/>
      <c r="AJ163" s="2339"/>
      <c r="AK163" s="2339"/>
      <c r="AL163" s="2339"/>
      <c r="AM163" s="2339"/>
      <c r="AN163" s="2339"/>
      <c r="AO163" s="2339"/>
      <c r="AP163" s="2339"/>
      <c r="AQ163" s="2339"/>
      <c r="AR163" s="2339"/>
      <c r="AS163" s="2339"/>
      <c r="AT163" s="2339"/>
      <c r="AU163" s="2339"/>
      <c r="AV163" s="2339"/>
      <c r="AW163" s="2339"/>
      <c r="AX163" s="2339"/>
      <c r="AY163" s="2339"/>
      <c r="AZ163" s="2339"/>
      <c r="BA163" s="2339"/>
      <c r="BB163" s="2339"/>
      <c r="BC163" s="2339"/>
      <c r="BD163" s="3">
        <v>1</v>
      </c>
    </row>
    <row r="164" spans="1:56" ht="21" customHeight="1">
      <c r="A164" s="2339"/>
      <c r="B164" s="7830"/>
      <c r="C164" s="2394">
        <v>12</v>
      </c>
      <c r="D164" s="2394">
        <v>11</v>
      </c>
      <c r="E164" s="2394">
        <v>11</v>
      </c>
      <c r="F164" s="2394">
        <v>11</v>
      </c>
      <c r="G164" s="2394">
        <v>11</v>
      </c>
      <c r="H164" s="2395">
        <v>11</v>
      </c>
      <c r="I164" s="2396" t="s">
        <v>9403</v>
      </c>
      <c r="J164" s="2339"/>
      <c r="K164" s="2339"/>
      <c r="L164" s="2339"/>
      <c r="M164" s="2339"/>
      <c r="N164" s="2339"/>
      <c r="O164" s="2339"/>
      <c r="P164" s="2339"/>
      <c r="Q164" s="2339"/>
      <c r="R164" s="2339"/>
      <c r="S164" s="2339"/>
      <c r="T164" s="2339"/>
      <c r="U164" s="2339"/>
      <c r="V164" s="2339"/>
      <c r="W164" s="2339"/>
      <c r="X164" s="2339"/>
      <c r="Y164" s="2339"/>
      <c r="Z164" s="2339"/>
      <c r="AA164" s="2339"/>
      <c r="AB164" s="2339"/>
      <c r="AC164" s="2339"/>
      <c r="AD164" s="2339"/>
      <c r="AE164" s="2339"/>
      <c r="AF164" s="2339"/>
      <c r="AG164" s="2339"/>
      <c r="AH164" s="2339"/>
      <c r="AI164" s="2339"/>
      <c r="AJ164" s="2339"/>
      <c r="AK164" s="2339"/>
      <c r="AL164" s="2339"/>
      <c r="AM164" s="2339"/>
      <c r="AN164" s="2339"/>
      <c r="AO164" s="2339"/>
      <c r="AP164" s="2339"/>
      <c r="AQ164" s="2339"/>
      <c r="AR164" s="2339"/>
      <c r="AS164" s="2339"/>
      <c r="AT164" s="2339"/>
      <c r="AU164" s="2339"/>
      <c r="AV164" s="2339"/>
      <c r="AW164" s="2339"/>
      <c r="AX164" s="2339"/>
      <c r="AY164" s="2339"/>
      <c r="AZ164" s="2339"/>
      <c r="BA164" s="2339"/>
      <c r="BB164" s="2339"/>
      <c r="BC164" s="2339"/>
      <c r="BD164" s="3">
        <v>1</v>
      </c>
    </row>
    <row r="165" spans="1:56" ht="21" customHeight="1" thickBot="1">
      <c r="A165" s="2339"/>
      <c r="B165" s="7831"/>
      <c r="C165" s="863">
        <f ca="1">CELL("largeur",C165)</f>
        <v>13</v>
      </c>
      <c r="D165" s="863">
        <f t="shared" ref="D165:H165" ca="1" si="9">CELL("largeur",D165)</f>
        <v>21</v>
      </c>
      <c r="E165" s="863">
        <f t="shared" ca="1" si="9"/>
        <v>13</v>
      </c>
      <c r="F165" s="863">
        <f t="shared" ca="1" si="9"/>
        <v>13</v>
      </c>
      <c r="G165" s="863">
        <f t="shared" ca="1" si="9"/>
        <v>13</v>
      </c>
      <c r="H165" s="864">
        <f t="shared" ca="1" si="9"/>
        <v>13</v>
      </c>
      <c r="I165" s="2396" t="s">
        <v>9406</v>
      </c>
      <c r="J165" s="2339"/>
      <c r="K165" s="2339"/>
      <c r="L165" s="2339"/>
      <c r="M165" s="2339"/>
      <c r="N165" s="2339"/>
      <c r="O165" s="2339"/>
      <c r="P165" s="2339"/>
      <c r="Q165" s="2339"/>
      <c r="R165" s="2339"/>
      <c r="S165" s="2339"/>
      <c r="T165" s="2339"/>
      <c r="U165" s="2339"/>
      <c r="V165" s="2339"/>
      <c r="W165" s="2339"/>
      <c r="X165" s="2339"/>
      <c r="Y165" s="2339"/>
      <c r="Z165" s="2339"/>
      <c r="AA165" s="2339"/>
      <c r="AB165" s="2339"/>
      <c r="AC165" s="2339"/>
      <c r="AD165" s="2339"/>
      <c r="AE165" s="2339"/>
      <c r="AF165" s="2339"/>
      <c r="AG165" s="2339"/>
      <c r="AH165" s="2339"/>
      <c r="AI165" s="2339"/>
      <c r="AJ165" s="2339"/>
      <c r="AK165" s="2339"/>
      <c r="AL165" s="2339"/>
      <c r="AM165" s="2339"/>
      <c r="AN165" s="2339"/>
      <c r="AO165" s="2339"/>
      <c r="AP165" s="2339"/>
      <c r="AQ165" s="2339"/>
      <c r="AR165" s="2339"/>
      <c r="AS165" s="2339"/>
      <c r="AT165" s="2339"/>
      <c r="AU165" s="2339"/>
      <c r="AV165" s="2339"/>
      <c r="AW165" s="2339"/>
      <c r="AX165" s="2339"/>
      <c r="AY165" s="2339"/>
      <c r="AZ165" s="2339"/>
      <c r="BA165" s="2339"/>
      <c r="BB165" s="2339"/>
      <c r="BC165" s="2339"/>
      <c r="BD165" s="3">
        <v>1</v>
      </c>
    </row>
    <row r="166" spans="1:56" ht="21" customHeight="1" thickBot="1">
      <c r="A166" s="2339"/>
      <c r="B166" s="2339"/>
      <c r="C166" s="2339"/>
      <c r="D166" s="2339"/>
      <c r="E166" s="2339"/>
      <c r="F166" s="2339"/>
      <c r="G166" s="2339"/>
      <c r="H166" s="2339"/>
      <c r="I166" s="2339"/>
      <c r="J166" s="2339"/>
      <c r="K166" s="2339"/>
      <c r="L166" s="2339"/>
      <c r="M166" s="2339"/>
      <c r="N166" s="2339"/>
      <c r="O166" s="2339"/>
      <c r="P166" s="2339"/>
      <c r="Q166" s="2339"/>
      <c r="R166" s="2339"/>
      <c r="S166" s="2339"/>
      <c r="T166" s="2339"/>
      <c r="U166" s="2339"/>
      <c r="V166" s="2339"/>
      <c r="W166" s="2339"/>
      <c r="X166" s="2339"/>
      <c r="Y166" s="2339"/>
      <c r="Z166" s="2339"/>
      <c r="AA166" s="2339"/>
      <c r="AB166" s="2339"/>
      <c r="AC166" s="2339"/>
      <c r="AD166" s="2339"/>
      <c r="AE166" s="2339"/>
      <c r="AF166" s="2339"/>
      <c r="AG166" s="2339"/>
      <c r="AH166" s="2339"/>
      <c r="AI166" s="2339"/>
      <c r="AJ166" s="2339"/>
      <c r="AK166" s="2339"/>
      <c r="AL166" s="2339"/>
      <c r="AM166" s="2339"/>
      <c r="AN166" s="2339"/>
      <c r="AO166" s="2339"/>
      <c r="AP166" s="2339"/>
      <c r="AQ166" s="2339"/>
      <c r="AR166" s="2339"/>
      <c r="AS166" s="2339"/>
      <c r="AT166" s="2339"/>
      <c r="AU166" s="2339"/>
      <c r="AV166" s="2339"/>
      <c r="AW166" s="2339"/>
      <c r="AX166" s="2339"/>
      <c r="AY166" s="2339"/>
      <c r="AZ166" s="2339"/>
      <c r="BA166" s="2339"/>
      <c r="BB166" s="2339"/>
      <c r="BC166" s="2339"/>
      <c r="BD166" s="3">
        <v>1</v>
      </c>
    </row>
    <row r="167" spans="1:56" ht="21" customHeight="1">
      <c r="A167" s="2339"/>
      <c r="B167" s="7820" t="s">
        <v>166</v>
      </c>
      <c r="C167" s="7822" t="s">
        <v>9472</v>
      </c>
      <c r="D167" s="7822"/>
      <c r="E167" s="7822"/>
      <c r="F167" s="7822"/>
      <c r="G167" s="2565"/>
      <c r="H167" s="2566" t="str">
        <f>F175</f>
        <v>Morceaux</v>
      </c>
      <c r="I167" s="2339"/>
      <c r="J167" s="2339"/>
      <c r="K167" s="2339"/>
      <c r="L167" s="2339"/>
      <c r="M167" s="2339"/>
      <c r="N167" s="2339"/>
      <c r="O167" s="2339"/>
      <c r="P167" s="2339"/>
      <c r="Q167" s="2339"/>
      <c r="R167" s="2339"/>
      <c r="S167" s="2339"/>
      <c r="T167" s="2339"/>
      <c r="U167" s="2339"/>
      <c r="V167" s="2339"/>
      <c r="W167" s="2339"/>
      <c r="X167" s="2339"/>
      <c r="Y167" s="2339"/>
      <c r="Z167" s="2339"/>
      <c r="AA167" s="2339"/>
      <c r="AB167" s="2339"/>
      <c r="AC167" s="2339"/>
      <c r="AD167" s="2339"/>
      <c r="AE167" s="2339"/>
      <c r="AF167" s="2339"/>
      <c r="AG167" s="2339"/>
      <c r="AH167" s="2339"/>
      <c r="AI167" s="2339"/>
      <c r="AJ167" s="2339"/>
      <c r="AK167" s="2339"/>
      <c r="AL167" s="2339"/>
      <c r="AM167" s="2339"/>
      <c r="AN167" s="2339"/>
      <c r="AO167" s="2339"/>
      <c r="AP167" s="2339"/>
      <c r="AQ167" s="2339"/>
      <c r="AR167" s="2339"/>
      <c r="AS167" s="2339"/>
      <c r="AT167" s="2339"/>
      <c r="AU167" s="2339"/>
      <c r="AV167" s="2339"/>
      <c r="AW167" s="2339"/>
      <c r="AX167" s="2339"/>
      <c r="AY167" s="2339"/>
      <c r="AZ167" s="2339"/>
      <c r="BA167" s="2339"/>
      <c r="BB167" s="2339"/>
      <c r="BC167" s="2339"/>
      <c r="BD167" s="3">
        <v>1</v>
      </c>
    </row>
    <row r="168" spans="1:56" ht="21" customHeight="1">
      <c r="A168" s="2339"/>
      <c r="B168" s="7821"/>
      <c r="C168" s="2567"/>
      <c r="D168" s="2567"/>
      <c r="E168" s="2568"/>
      <c r="F168" s="2569" t="s">
        <v>9473</v>
      </c>
      <c r="G168" s="2570" t="str">
        <f>G177</f>
        <v>❹ Cru</v>
      </c>
      <c r="H168" s="2571"/>
      <c r="I168" s="2339"/>
      <c r="J168" s="2339"/>
      <c r="K168" s="2339"/>
      <c r="L168" s="2339"/>
      <c r="M168" s="2339"/>
      <c r="N168" s="2339"/>
      <c r="O168" s="2339"/>
      <c r="P168" s="2339"/>
      <c r="Q168" s="2339"/>
      <c r="R168" s="2339"/>
      <c r="S168" s="2339"/>
      <c r="T168" s="2339"/>
      <c r="U168" s="2339"/>
      <c r="V168" s="2339"/>
      <c r="W168" s="2339"/>
      <c r="X168" s="2339"/>
      <c r="Y168" s="2339"/>
      <c r="Z168" s="2339"/>
      <c r="AA168" s="2339"/>
      <c r="AB168" s="2339"/>
      <c r="AC168" s="2339"/>
      <c r="AD168" s="2339"/>
      <c r="AE168" s="2339"/>
      <c r="AF168" s="2339"/>
      <c r="AG168" s="2339"/>
      <c r="AH168" s="2339"/>
      <c r="AI168" s="2339"/>
      <c r="AJ168" s="2339"/>
      <c r="AK168" s="2339"/>
      <c r="AL168" s="2339"/>
      <c r="AM168" s="2339"/>
      <c r="AN168" s="2339"/>
      <c r="AO168" s="2339"/>
      <c r="AP168" s="2339"/>
      <c r="AQ168" s="2339"/>
      <c r="AR168" s="2339"/>
      <c r="AS168" s="2339"/>
      <c r="AT168" s="2339"/>
      <c r="AU168" s="2339"/>
      <c r="AV168" s="2339"/>
      <c r="AW168" s="2339"/>
      <c r="AX168" s="2339"/>
      <c r="AY168" s="2339"/>
      <c r="AZ168" s="2339"/>
      <c r="BA168" s="2339"/>
      <c r="BB168" s="2339"/>
      <c r="BC168" s="2339"/>
      <c r="BD168" s="3">
        <v>1</v>
      </c>
    </row>
    <row r="169" spans="1:56" ht="21" customHeight="1">
      <c r="A169" s="2339"/>
      <c r="B169" s="7810">
        <v>3</v>
      </c>
      <c r="C169" s="7812" t="str">
        <f>D173</f>
        <v>Sautés en morceaux service au poids</v>
      </c>
      <c r="D169" s="7812"/>
      <c r="E169" s="7812"/>
      <c r="F169" s="7812"/>
      <c r="G169" s="7812"/>
      <c r="H169" s="7813"/>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D169" s="2339"/>
      <c r="AE169" s="2339"/>
      <c r="AF169" s="2339"/>
      <c r="AG169" s="2339"/>
      <c r="AH169" s="2339"/>
      <c r="AI169" s="2339"/>
      <c r="AJ169" s="2339"/>
      <c r="AK169" s="2339"/>
      <c r="AL169" s="2339"/>
      <c r="AM169" s="2339"/>
      <c r="AN169" s="2339"/>
      <c r="AO169" s="2339"/>
      <c r="AP169" s="2339"/>
      <c r="AQ169" s="2339"/>
      <c r="AR169" s="2339"/>
      <c r="AS169" s="2339"/>
      <c r="AT169" s="2339"/>
      <c r="AU169" s="2339"/>
      <c r="AV169" s="2339"/>
      <c r="AW169" s="2339"/>
      <c r="AX169" s="2339"/>
      <c r="AY169" s="2339"/>
      <c r="AZ169" s="2339"/>
      <c r="BA169" s="2339"/>
      <c r="BB169" s="2339"/>
      <c r="BC169" s="2339"/>
      <c r="BD169" s="3">
        <v>1</v>
      </c>
    </row>
    <row r="170" spans="1:56" ht="21" customHeight="1">
      <c r="A170" s="2339"/>
      <c r="B170" s="7810"/>
      <c r="C170" s="2572"/>
      <c r="D170" s="2573" t="s">
        <v>9474</v>
      </c>
      <c r="E170" s="2574">
        <f>IF(E177=0,0,IF(MOD(E184,E177)&gt;MOD(E184,E177)/2,INT(E184/E177)+1,INT(E184/E177)))</f>
        <v>86</v>
      </c>
      <c r="F170" s="2575" t="str">
        <f>F174</f>
        <v xml:space="preserve"> GN 1/ 1 = 35 morceaux</v>
      </c>
      <c r="G170" s="2576"/>
      <c r="H170" s="2577"/>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D170" s="2339"/>
      <c r="AE170" s="2339"/>
      <c r="AF170" s="2339"/>
      <c r="AG170" s="2339"/>
      <c r="AH170" s="2339"/>
      <c r="AI170" s="2339"/>
      <c r="AJ170" s="2339"/>
      <c r="AK170" s="2339"/>
      <c r="AL170" s="2339"/>
      <c r="AM170" s="2339"/>
      <c r="AN170" s="2339"/>
      <c r="AO170" s="2339"/>
      <c r="AP170" s="2339"/>
      <c r="AQ170" s="2339"/>
      <c r="AR170" s="2339"/>
      <c r="AS170" s="2339"/>
      <c r="AT170" s="2339"/>
      <c r="AU170" s="2339"/>
      <c r="AV170" s="2339"/>
      <c r="AW170" s="2339"/>
      <c r="AX170" s="2339"/>
      <c r="AY170" s="2339"/>
      <c r="AZ170" s="2339"/>
      <c r="BA170" s="2339"/>
      <c r="BB170" s="2339"/>
      <c r="BC170" s="2339"/>
      <c r="BD170" s="3">
        <v>1</v>
      </c>
    </row>
    <row r="171" spans="1:56" ht="21" customHeight="1">
      <c r="A171" s="2339"/>
      <c r="B171" s="7810"/>
      <c r="C171" s="2578">
        <f>INT(E184/E177)</f>
        <v>85</v>
      </c>
      <c r="D171" s="2579">
        <f>IF(C171=0,0,IF(E170=0,0,E177))</f>
        <v>21</v>
      </c>
      <c r="E171" s="2580" t="str">
        <f>F177</f>
        <v>Morceaux</v>
      </c>
      <c r="F171" s="2578" t="str">
        <f>IF(D171*C171=0,"1 de",IF(E184=0,0,IF(E177=0,0,IF(D171*C171=E184,"",IF(G171&gt;0,"Plus 1 de")))))</f>
        <v>Plus 1 de</v>
      </c>
      <c r="G171" s="2574">
        <f>IF(E177=0,0,IF(D171*C171=E184,"",MOD(E184,E177)))</f>
        <v>15</v>
      </c>
      <c r="H171" s="2581" t="str">
        <f>E171</f>
        <v>Morceaux</v>
      </c>
      <c r="I171" s="2339"/>
      <c r="J171" s="2339"/>
      <c r="K171" s="2339"/>
      <c r="L171" s="2339"/>
      <c r="M171" s="2339"/>
      <c r="N171" s="2339"/>
      <c r="O171" s="2339"/>
      <c r="P171" s="2339"/>
      <c r="Q171" s="2339"/>
      <c r="R171" s="2339"/>
      <c r="S171" s="2339"/>
      <c r="T171" s="2339"/>
      <c r="U171" s="2339"/>
      <c r="V171" s="2339"/>
      <c r="W171" s="2339"/>
      <c r="X171" s="2339"/>
      <c r="Y171" s="2339"/>
      <c r="Z171" s="2339"/>
      <c r="AA171" s="2339"/>
      <c r="AB171" s="2339"/>
      <c r="AC171" s="2339"/>
      <c r="AD171" s="2339"/>
      <c r="AE171" s="2339"/>
      <c r="AF171" s="2339"/>
      <c r="AG171" s="2339"/>
      <c r="AH171" s="2339"/>
      <c r="AI171" s="2339"/>
      <c r="AJ171" s="2339"/>
      <c r="AK171" s="2339"/>
      <c r="AL171" s="2339"/>
      <c r="AM171" s="2339"/>
      <c r="AN171" s="2339"/>
      <c r="AO171" s="2339"/>
      <c r="AP171" s="2339"/>
      <c r="AQ171" s="2339"/>
      <c r="AR171" s="2339"/>
      <c r="AS171" s="2339"/>
      <c r="AT171" s="2339"/>
      <c r="AU171" s="2339"/>
      <c r="AV171" s="2339"/>
      <c r="AW171" s="2339"/>
      <c r="AX171" s="2339"/>
      <c r="AY171" s="2339"/>
      <c r="AZ171" s="2339"/>
      <c r="BA171" s="2339"/>
      <c r="BB171" s="2339"/>
      <c r="BC171" s="2339"/>
      <c r="BD171" s="3">
        <v>1</v>
      </c>
    </row>
    <row r="172" spans="1:56" ht="21" customHeight="1">
      <c r="A172" s="2339"/>
      <c r="B172" s="7810"/>
      <c r="C172" s="2582" t="str">
        <f>F184</f>
        <v>Morceaux</v>
      </c>
      <c r="D172" s="2583">
        <f>E184</f>
        <v>1800</v>
      </c>
      <c r="E172" s="2584" t="str">
        <f>H182</f>
        <v>❹ Cru</v>
      </c>
      <c r="F172" s="2585">
        <f>E185</f>
        <v>86.4</v>
      </c>
      <c r="G172" s="2584" t="str">
        <f>H183</f>
        <v>❺ Cuit</v>
      </c>
      <c r="H172" s="2586">
        <f>E186</f>
        <v>43.2</v>
      </c>
      <c r="I172" s="2339"/>
      <c r="J172" s="2339"/>
      <c r="K172" s="2339"/>
      <c r="L172" s="2339"/>
      <c r="M172" s="2339"/>
      <c r="N172" s="2339"/>
      <c r="O172" s="2339"/>
      <c r="P172" s="2339"/>
      <c r="Q172" s="2339"/>
      <c r="R172" s="2339"/>
      <c r="S172" s="2339"/>
      <c r="T172" s="2339"/>
      <c r="U172" s="2339"/>
      <c r="V172" s="2339"/>
      <c r="W172" s="2339"/>
      <c r="X172" s="2339"/>
      <c r="Y172" s="2339"/>
      <c r="Z172" s="2339"/>
      <c r="AA172" s="2339"/>
      <c r="AB172" s="2339"/>
      <c r="AC172" s="2339"/>
      <c r="AD172" s="2339"/>
      <c r="AE172" s="2339"/>
      <c r="AF172" s="2339"/>
      <c r="AG172" s="2339"/>
      <c r="AH172" s="2339"/>
      <c r="AI172" s="2339"/>
      <c r="AJ172" s="2339"/>
      <c r="AK172" s="2339"/>
      <c r="AL172" s="2339"/>
      <c r="AM172" s="2339"/>
      <c r="AN172" s="2339"/>
      <c r="AO172" s="2339"/>
      <c r="AP172" s="2339"/>
      <c r="AQ172" s="2339"/>
      <c r="AR172" s="2339"/>
      <c r="AS172" s="2339"/>
      <c r="AT172" s="2339"/>
      <c r="AU172" s="2339"/>
      <c r="AV172" s="2339"/>
      <c r="AW172" s="2339"/>
      <c r="AX172" s="2339"/>
      <c r="AY172" s="2339"/>
      <c r="AZ172" s="2339"/>
      <c r="BA172" s="2339"/>
      <c r="BB172" s="2339"/>
      <c r="BC172" s="2339"/>
      <c r="BD172" s="3">
        <v>1</v>
      </c>
    </row>
    <row r="173" spans="1:56" ht="21" customHeight="1">
      <c r="A173" s="2339"/>
      <c r="B173" s="7810"/>
      <c r="C173" s="2476" t="s">
        <v>9475</v>
      </c>
      <c r="D173" s="1781" t="s">
        <v>9476</v>
      </c>
      <c r="E173" s="2477"/>
      <c r="F173" s="2361"/>
      <c r="G173" s="2361"/>
      <c r="H173" s="2478"/>
      <c r="I173" s="2339"/>
      <c r="J173" s="2339"/>
      <c r="K173" s="2339"/>
      <c r="L173" s="2339"/>
      <c r="M173" s="2339"/>
      <c r="N173" s="2339"/>
      <c r="O173" s="2339"/>
      <c r="P173" s="2339"/>
      <c r="Q173" s="2339"/>
      <c r="R173" s="2339"/>
      <c r="S173" s="2339"/>
      <c r="T173" s="2339"/>
      <c r="U173" s="2339"/>
      <c r="V173" s="2339"/>
      <c r="W173" s="2339"/>
      <c r="X173" s="2339"/>
      <c r="Y173" s="2339"/>
      <c r="Z173" s="2339"/>
      <c r="AA173" s="2339"/>
      <c r="AB173" s="2339"/>
      <c r="AC173" s="2339"/>
      <c r="AD173" s="2339"/>
      <c r="AE173" s="2339"/>
      <c r="AF173" s="2339"/>
      <c r="AG173" s="2339"/>
      <c r="AH173" s="2339"/>
      <c r="AI173" s="2339"/>
      <c r="AJ173" s="2339"/>
      <c r="AK173" s="2339"/>
      <c r="AL173" s="2339"/>
      <c r="AM173" s="2339"/>
      <c r="AN173" s="2339"/>
      <c r="AO173" s="2339"/>
      <c r="AP173" s="2339"/>
      <c r="AQ173" s="2339"/>
      <c r="AR173" s="2339"/>
      <c r="AS173" s="2339"/>
      <c r="AT173" s="2339"/>
      <c r="AU173" s="2339"/>
      <c r="AV173" s="2339"/>
      <c r="AW173" s="2339"/>
      <c r="AX173" s="2339"/>
      <c r="AY173" s="2339"/>
      <c r="AZ173" s="2339"/>
      <c r="BA173" s="2339"/>
      <c r="BB173" s="2339"/>
      <c r="BC173" s="2339"/>
      <c r="BD173" s="3">
        <v>1</v>
      </c>
    </row>
    <row r="174" spans="1:56" ht="21" customHeight="1">
      <c r="A174" s="2339"/>
      <c r="B174" s="7810"/>
      <c r="C174" s="2361"/>
      <c r="D174" s="2361"/>
      <c r="E174" s="2480" t="s">
        <v>9477</v>
      </c>
      <c r="F174" s="2587" t="s">
        <v>9508</v>
      </c>
      <c r="G174" s="2587"/>
      <c r="H174" s="2588"/>
      <c r="I174" s="2339"/>
      <c r="J174" s="2339"/>
      <c r="K174" s="2339"/>
      <c r="L174" s="2339"/>
      <c r="M174" s="2339"/>
      <c r="N174" s="2339"/>
      <c r="O174" s="2339"/>
      <c r="P174" s="2339"/>
      <c r="Q174" s="2339"/>
      <c r="R174" s="2339"/>
      <c r="S174" s="2339"/>
      <c r="T174" s="2339"/>
      <c r="U174" s="2339"/>
      <c r="V174" s="2339"/>
      <c r="W174" s="2339"/>
      <c r="X174" s="2339"/>
      <c r="Y174" s="2339"/>
      <c r="Z174" s="2339"/>
      <c r="AA174" s="2339"/>
      <c r="AB174" s="2339"/>
      <c r="AC174" s="2339"/>
      <c r="AD174" s="2339"/>
      <c r="AE174" s="2339"/>
      <c r="AF174" s="2339"/>
      <c r="AG174" s="2339"/>
      <c r="AH174" s="2339"/>
      <c r="AI174" s="2339"/>
      <c r="AJ174" s="2339"/>
      <c r="AK174" s="2339"/>
      <c r="AL174" s="2339"/>
      <c r="AM174" s="2339"/>
      <c r="AN174" s="2339"/>
      <c r="AO174" s="2339"/>
      <c r="AP174" s="2339"/>
      <c r="AQ174" s="2339"/>
      <c r="AR174" s="2339"/>
      <c r="AS174" s="2339"/>
      <c r="AT174" s="2339"/>
      <c r="AU174" s="2339"/>
      <c r="AV174" s="2339"/>
      <c r="AW174" s="2339"/>
      <c r="AX174" s="2339"/>
      <c r="AY174" s="2339"/>
      <c r="AZ174" s="2339"/>
      <c r="BA174" s="2339"/>
      <c r="BB174" s="2339"/>
      <c r="BC174" s="2339"/>
      <c r="BD174" s="3">
        <v>1</v>
      </c>
    </row>
    <row r="175" spans="1:56" ht="21" customHeight="1">
      <c r="A175" s="2339"/>
      <c r="B175" s="7810"/>
      <c r="C175" s="2361"/>
      <c r="D175" s="2361"/>
      <c r="E175" s="2589" t="s">
        <v>9509</v>
      </c>
      <c r="F175" s="2590" t="s">
        <v>9510</v>
      </c>
      <c r="G175" s="2591" t="s">
        <v>9511</v>
      </c>
      <c r="H175" s="2592"/>
      <c r="I175" s="2339"/>
      <c r="J175" s="2339"/>
      <c r="K175" s="2339"/>
      <c r="L175" s="2339"/>
      <c r="M175" s="2339"/>
      <c r="N175" s="2339"/>
      <c r="O175" s="2339"/>
      <c r="P175" s="2339"/>
      <c r="Q175" s="2339"/>
      <c r="R175" s="2339"/>
      <c r="S175" s="2339"/>
      <c r="T175" s="2339"/>
      <c r="U175" s="2339"/>
      <c r="V175" s="2339"/>
      <c r="W175" s="2339"/>
      <c r="X175" s="2339"/>
      <c r="Y175" s="2339"/>
      <c r="Z175" s="2339"/>
      <c r="AA175" s="2339"/>
      <c r="AB175" s="2339"/>
      <c r="AC175" s="2339"/>
      <c r="AD175" s="2339"/>
      <c r="AE175" s="2339"/>
      <c r="AF175" s="2339"/>
      <c r="AG175" s="2339"/>
      <c r="AH175" s="2339"/>
      <c r="AI175" s="2339"/>
      <c r="AJ175" s="2339"/>
      <c r="AK175" s="2339"/>
      <c r="AL175" s="2339"/>
      <c r="AM175" s="2339"/>
      <c r="AN175" s="2339"/>
      <c r="AO175" s="2339"/>
      <c r="AP175" s="2339"/>
      <c r="AQ175" s="2339"/>
      <c r="AR175" s="2339"/>
      <c r="AS175" s="2339"/>
      <c r="AT175" s="2339"/>
      <c r="AU175" s="2339"/>
      <c r="AV175" s="2339"/>
      <c r="AW175" s="2339"/>
      <c r="AX175" s="2339"/>
      <c r="AY175" s="2339"/>
      <c r="AZ175" s="2339"/>
      <c r="BA175" s="2339"/>
      <c r="BB175" s="2339"/>
      <c r="BC175" s="2339"/>
      <c r="BD175" s="3">
        <v>1</v>
      </c>
    </row>
    <row r="176" spans="1:56" ht="21" customHeight="1">
      <c r="A176" s="2339"/>
      <c r="B176" s="7810"/>
      <c r="C176" s="2361"/>
      <c r="D176" s="2482"/>
      <c r="E176" s="2483"/>
      <c r="F176" s="2484"/>
      <c r="G176" s="2484" t="s">
        <v>9479</v>
      </c>
      <c r="H176" s="2478"/>
      <c r="I176" s="2339"/>
      <c r="J176" s="2339"/>
      <c r="K176" s="2339"/>
      <c r="L176" s="2339"/>
      <c r="M176" s="2339"/>
      <c r="N176" s="2339"/>
      <c r="O176" s="2339"/>
      <c r="P176" s="2339"/>
      <c r="Q176" s="2339"/>
      <c r="R176" s="2339"/>
      <c r="S176" s="2339"/>
      <c r="T176" s="2339"/>
      <c r="U176" s="2339"/>
      <c r="V176" s="2339"/>
      <c r="W176" s="2339"/>
      <c r="X176" s="2339"/>
      <c r="Y176" s="2339"/>
      <c r="Z176" s="2339"/>
      <c r="AA176" s="2339"/>
      <c r="AB176" s="2339"/>
      <c r="AC176" s="2339"/>
      <c r="AD176" s="2339"/>
      <c r="AE176" s="2339"/>
      <c r="AF176" s="2339"/>
      <c r="AG176" s="2339"/>
      <c r="AH176" s="2339"/>
      <c r="AI176" s="2339"/>
      <c r="AJ176" s="2339"/>
      <c r="AK176" s="2339"/>
      <c r="AL176" s="2339"/>
      <c r="AM176" s="2339"/>
      <c r="AN176" s="2339"/>
      <c r="AO176" s="2339"/>
      <c r="AP176" s="2339"/>
      <c r="AQ176" s="2339"/>
      <c r="AR176" s="2339"/>
      <c r="AS176" s="2339"/>
      <c r="AT176" s="2339"/>
      <c r="AU176" s="2339"/>
      <c r="AV176" s="2339"/>
      <c r="AW176" s="2339"/>
      <c r="AX176" s="2339"/>
      <c r="AY176" s="2339"/>
      <c r="AZ176" s="2339"/>
      <c r="BA176" s="2339"/>
      <c r="BB176" s="2339"/>
      <c r="BC176" s="2339"/>
      <c r="BD176" s="3">
        <v>1</v>
      </c>
    </row>
    <row r="177" spans="1:56" ht="21" customHeight="1">
      <c r="A177" s="2339"/>
      <c r="B177" s="7810"/>
      <c r="C177" s="2486"/>
      <c r="D177" s="2487" t="s">
        <v>9480</v>
      </c>
      <c r="E177" s="2593">
        <v>21</v>
      </c>
      <c r="F177" s="186" t="str">
        <f>F175</f>
        <v>Morceaux</v>
      </c>
      <c r="G177" s="2489" t="s">
        <v>9512</v>
      </c>
      <c r="H177" s="592"/>
      <c r="I177" s="2339"/>
      <c r="J177" s="2339"/>
      <c r="K177" s="2339"/>
      <c r="L177" s="2339"/>
      <c r="M177" s="2339"/>
      <c r="N177" s="2339"/>
      <c r="O177" s="2339"/>
      <c r="P177" s="2339"/>
      <c r="Q177" s="2339"/>
      <c r="R177" s="2339"/>
      <c r="S177" s="2339"/>
      <c r="T177" s="2339"/>
      <c r="U177" s="2339"/>
      <c r="V177" s="2339"/>
      <c r="W177" s="2339"/>
      <c r="X177" s="2339"/>
      <c r="Y177" s="2339"/>
      <c r="Z177" s="2339"/>
      <c r="AA177" s="2339"/>
      <c r="AB177" s="2339"/>
      <c r="AC177" s="2339"/>
      <c r="AD177" s="2339"/>
      <c r="AE177" s="2339"/>
      <c r="AF177" s="2339"/>
      <c r="AG177" s="2339"/>
      <c r="AH177" s="2339"/>
      <c r="AI177" s="2339"/>
      <c r="AJ177" s="2339"/>
      <c r="AK177" s="2339"/>
      <c r="AL177" s="2339"/>
      <c r="AM177" s="2339"/>
      <c r="AN177" s="2339"/>
      <c r="AO177" s="2339"/>
      <c r="AP177" s="2339"/>
      <c r="AQ177" s="2339"/>
      <c r="AR177" s="2339"/>
      <c r="AS177" s="2339"/>
      <c r="AT177" s="2339"/>
      <c r="AU177" s="2339"/>
      <c r="AV177" s="2339"/>
      <c r="AW177" s="2339"/>
      <c r="AX177" s="2339"/>
      <c r="AY177" s="2339"/>
      <c r="AZ177" s="2339"/>
      <c r="BA177" s="2339"/>
      <c r="BB177" s="2339"/>
      <c r="BC177" s="2339"/>
      <c r="BD177" s="3">
        <v>1</v>
      </c>
    </row>
    <row r="178" spans="1:56" ht="21" customHeight="1">
      <c r="A178" s="2339"/>
      <c r="B178" s="7810"/>
      <c r="C178" s="2486"/>
      <c r="D178" s="2594" t="s">
        <v>9513</v>
      </c>
      <c r="E178" s="2496">
        <v>4.8000000000000001E-2</v>
      </c>
      <c r="F178" s="2595" t="str">
        <f>G177</f>
        <v>❹ Cru</v>
      </c>
      <c r="G178" s="2454">
        <f>IF(F178=E196,E178-(E178*E179%),IF(F178=E197,E178/(100-E179)*100))</f>
        <v>2.4E-2</v>
      </c>
      <c r="H178" s="2498" t="str">
        <f>IF(F178=E196,E197,E196)</f>
        <v>❺ Cuit</v>
      </c>
      <c r="I178" s="2339"/>
      <c r="J178" s="2339"/>
      <c r="K178" s="2339"/>
      <c r="L178" s="2339"/>
      <c r="M178" s="2339"/>
      <c r="N178" s="2339"/>
      <c r="O178" s="2339"/>
      <c r="P178" s="2339"/>
      <c r="Q178" s="2339"/>
      <c r="R178" s="2339"/>
      <c r="S178" s="2339"/>
      <c r="T178" s="2339"/>
      <c r="U178" s="2339"/>
      <c r="V178" s="2339"/>
      <c r="W178" s="2339"/>
      <c r="X178" s="2339"/>
      <c r="Y178" s="2339"/>
      <c r="Z178" s="2339"/>
      <c r="AA178" s="2339"/>
      <c r="AB178" s="2339"/>
      <c r="AC178" s="2339"/>
      <c r="AD178" s="2339"/>
      <c r="AE178" s="2339"/>
      <c r="AF178" s="2339"/>
      <c r="AG178" s="2339"/>
      <c r="AH178" s="2339"/>
      <c r="AI178" s="2339"/>
      <c r="AJ178" s="2339"/>
      <c r="AK178" s="2339"/>
      <c r="AL178" s="2339"/>
      <c r="AM178" s="2339"/>
      <c r="AN178" s="2339"/>
      <c r="AO178" s="2339"/>
      <c r="AP178" s="2339"/>
      <c r="AQ178" s="2339"/>
      <c r="AR178" s="2339"/>
      <c r="AS178" s="2339"/>
      <c r="AT178" s="2339"/>
      <c r="AU178" s="2339"/>
      <c r="AV178" s="2339"/>
      <c r="AW178" s="2339"/>
      <c r="AX178" s="2339"/>
      <c r="AY178" s="2339"/>
      <c r="AZ178" s="2339"/>
      <c r="BA178" s="2339"/>
      <c r="BB178" s="2339"/>
      <c r="BC178" s="2339"/>
      <c r="BD178" s="3">
        <v>1</v>
      </c>
    </row>
    <row r="179" spans="1:56" ht="21" customHeight="1">
      <c r="A179" s="2339"/>
      <c r="B179" s="7810"/>
      <c r="C179" s="2361"/>
      <c r="D179" s="2596" t="str">
        <f>IF(G177=E197,"❻ % de BONI &gt;",IF(G177=E196,"❻ %  de PERTE &gt;",IF(ISBLANK(E179),0)))</f>
        <v>❻ %  de PERTE &gt;</v>
      </c>
      <c r="E179" s="2493">
        <v>50</v>
      </c>
      <c r="F179"/>
      <c r="G179" s="2490"/>
      <c r="H179" s="2491"/>
      <c r="I179" s="2339"/>
      <c r="J179" s="2339"/>
      <c r="K179" s="2339"/>
      <c r="L179" s="2339"/>
      <c r="M179" s="2339"/>
      <c r="N179" s="2339"/>
      <c r="O179" s="2339"/>
      <c r="P179" s="2339"/>
      <c r="Q179" s="2339"/>
      <c r="R179" s="2339"/>
      <c r="S179" s="2339"/>
      <c r="T179" s="2339"/>
      <c r="U179" s="2339"/>
      <c r="V179" s="2339"/>
      <c r="W179" s="2339"/>
      <c r="X179" s="2339"/>
      <c r="Y179" s="2339"/>
      <c r="Z179" s="2339"/>
      <c r="AA179" s="2339"/>
      <c r="AB179" s="2339"/>
      <c r="AC179" s="2339"/>
      <c r="AD179" s="2339"/>
      <c r="AE179" s="2339"/>
      <c r="AF179" s="2339"/>
      <c r="AG179" s="2339"/>
      <c r="AH179" s="2339"/>
      <c r="AI179" s="2339"/>
      <c r="AJ179" s="2339"/>
      <c r="AK179" s="2339"/>
      <c r="AL179" s="2339"/>
      <c r="AM179" s="2339"/>
      <c r="AN179" s="2339"/>
      <c r="AO179" s="2339"/>
      <c r="AP179" s="2339"/>
      <c r="AQ179" s="2339"/>
      <c r="AR179" s="2339"/>
      <c r="AS179" s="2339"/>
      <c r="AT179" s="2339"/>
      <c r="AU179" s="2339"/>
      <c r="AV179" s="2339"/>
      <c r="AW179" s="2339"/>
      <c r="AX179" s="2339"/>
      <c r="AY179" s="2339"/>
      <c r="AZ179" s="2339"/>
      <c r="BA179" s="2339"/>
      <c r="BB179" s="2339"/>
      <c r="BC179" s="2339"/>
      <c r="BD179" s="3">
        <v>1</v>
      </c>
    </row>
    <row r="180" spans="1:56" ht="21" customHeight="1">
      <c r="A180" s="2339"/>
      <c r="B180" s="7810"/>
      <c r="C180" s="2361"/>
      <c r="D180" s="9"/>
      <c r="E180" s="9"/>
      <c r="F180" s="9"/>
      <c r="G180" s="9"/>
      <c r="H180" s="38"/>
      <c r="I180" s="2339"/>
      <c r="J180" s="2339"/>
      <c r="K180" s="2339"/>
      <c r="L180" s="2339"/>
      <c r="M180" s="2339"/>
      <c r="N180" s="2339"/>
      <c r="O180" s="2339"/>
      <c r="P180" s="2339"/>
      <c r="Q180" s="2339"/>
      <c r="R180" s="2339"/>
      <c r="S180" s="2339"/>
      <c r="T180" s="2339"/>
      <c r="U180" s="2339"/>
      <c r="V180" s="2339"/>
      <c r="W180" s="2339"/>
      <c r="X180" s="2339"/>
      <c r="Y180" s="2339"/>
      <c r="Z180" s="2339"/>
      <c r="AA180" s="2339"/>
      <c r="AB180" s="2339"/>
      <c r="AC180" s="2339"/>
      <c r="AD180" s="2339"/>
      <c r="AE180" s="2339"/>
      <c r="AF180" s="2339"/>
      <c r="AG180" s="2339"/>
      <c r="AH180" s="2339"/>
      <c r="AI180" s="2339"/>
      <c r="AJ180" s="2339"/>
      <c r="AK180" s="2339"/>
      <c r="AL180" s="2339"/>
      <c r="AM180" s="2339"/>
      <c r="AN180" s="2339"/>
      <c r="AO180" s="2339"/>
      <c r="AP180" s="2339"/>
      <c r="AQ180" s="2339"/>
      <c r="AR180" s="2339"/>
      <c r="AS180" s="2339"/>
      <c r="AT180" s="2339"/>
      <c r="AU180" s="2339"/>
      <c r="AV180" s="2339"/>
      <c r="AW180" s="2339"/>
      <c r="AX180" s="2339"/>
      <c r="AY180" s="2339"/>
      <c r="AZ180" s="2339"/>
      <c r="BA180" s="2339"/>
      <c r="BB180" s="2339"/>
      <c r="BC180" s="2339"/>
      <c r="BD180" s="3">
        <v>1</v>
      </c>
    </row>
    <row r="181" spans="1:56" ht="21" customHeight="1">
      <c r="A181" s="2339"/>
      <c r="B181" s="7810"/>
      <c r="C181" s="2361"/>
      <c r="D181" s="2597" t="s">
        <v>9482</v>
      </c>
      <c r="E181" s="2598">
        <v>1200</v>
      </c>
      <c r="F181" s="2599" t="s">
        <v>36</v>
      </c>
      <c r="G181" s="2361"/>
      <c r="H181" s="2502"/>
      <c r="I181" s="2339"/>
      <c r="J181" s="2339"/>
      <c r="K181" s="2339"/>
      <c r="L181" s="2339"/>
      <c r="M181" s="2339"/>
      <c r="N181" s="2339"/>
      <c r="O181" s="2339"/>
      <c r="P181" s="2339"/>
      <c r="Q181" s="2339"/>
      <c r="R181" s="2339"/>
      <c r="S181" s="2339"/>
      <c r="T181" s="2339"/>
      <c r="U181" s="2339"/>
      <c r="V181" s="2339"/>
      <c r="W181" s="2339"/>
      <c r="X181" s="2339"/>
      <c r="Y181" s="2339"/>
      <c r="Z181" s="2339"/>
      <c r="AA181" s="2339"/>
      <c r="AB181" s="2339"/>
      <c r="AC181" s="2339"/>
      <c r="AD181" s="2339"/>
      <c r="AE181" s="2339"/>
      <c r="AF181" s="2339"/>
      <c r="AG181" s="2339"/>
      <c r="AH181" s="2339"/>
      <c r="AI181" s="2339"/>
      <c r="AJ181" s="2339"/>
      <c r="AK181" s="2339"/>
      <c r="AL181" s="2339"/>
      <c r="AM181" s="2339"/>
      <c r="AN181" s="2339"/>
      <c r="AO181" s="2339"/>
      <c r="AP181" s="2339"/>
      <c r="AQ181" s="2339"/>
      <c r="AR181" s="2339"/>
      <c r="AS181" s="2339"/>
      <c r="AT181" s="2339"/>
      <c r="AU181" s="2339"/>
      <c r="AV181" s="2339"/>
      <c r="AW181" s="2339"/>
      <c r="AX181" s="2339"/>
      <c r="AY181" s="2339"/>
      <c r="AZ181" s="2339"/>
      <c r="BA181" s="2339"/>
      <c r="BB181" s="2339"/>
      <c r="BC181" s="2339"/>
      <c r="BD181" s="3">
        <v>1</v>
      </c>
    </row>
    <row r="182" spans="1:56" ht="21" customHeight="1">
      <c r="A182" s="2339"/>
      <c r="B182" s="7810"/>
      <c r="C182" s="2361"/>
      <c r="D182" s="2495" t="s">
        <v>9514</v>
      </c>
      <c r="E182" s="2600">
        <v>1.5</v>
      </c>
      <c r="F182" t="str">
        <f>F175</f>
        <v>Morceaux</v>
      </c>
      <c r="G182" s="2601">
        <f>E178*E182</f>
        <v>7.2000000000000008E-2</v>
      </c>
      <c r="H182" s="2498" t="str">
        <f>F178</f>
        <v>❹ Cru</v>
      </c>
      <c r="I182" s="2339"/>
      <c r="J182" s="2339"/>
      <c r="K182" s="2339"/>
      <c r="L182" s="2339"/>
      <c r="M182" s="2339"/>
      <c r="N182" s="2339"/>
      <c r="O182" s="2339"/>
      <c r="P182" s="2339"/>
      <c r="Q182" s="2339"/>
      <c r="R182" s="2339"/>
      <c r="S182" s="2339"/>
      <c r="T182" s="2339"/>
      <c r="U182" s="2339"/>
      <c r="V182" s="2339"/>
      <c r="W182" s="2339"/>
      <c r="X182" s="2339"/>
      <c r="Y182" s="2339"/>
      <c r="Z182" s="2339"/>
      <c r="AA182" s="2339"/>
      <c r="AB182" s="2339"/>
      <c r="AC182" s="2339"/>
      <c r="AD182" s="2339"/>
      <c r="AE182" s="2339"/>
      <c r="AF182" s="2339"/>
      <c r="AG182" s="2339"/>
      <c r="AH182" s="2339"/>
      <c r="AI182" s="2339"/>
      <c r="AJ182" s="2339"/>
      <c r="AK182" s="2339"/>
      <c r="AL182" s="2339"/>
      <c r="AM182" s="2339"/>
      <c r="AN182" s="2339"/>
      <c r="AO182" s="2339"/>
      <c r="AP182" s="2339"/>
      <c r="AQ182" s="2339"/>
      <c r="AR182" s="2339"/>
      <c r="AS182" s="2339"/>
      <c r="AT182" s="2339"/>
      <c r="AU182" s="2339"/>
      <c r="AV182" s="2339"/>
      <c r="AW182" s="2339"/>
      <c r="AX182" s="2339"/>
      <c r="AY182" s="2339"/>
      <c r="AZ182" s="2339"/>
      <c r="BA182" s="2339"/>
      <c r="BB182" s="2339"/>
      <c r="BC182" s="2339"/>
      <c r="BD182" s="3">
        <v>1</v>
      </c>
    </row>
    <row r="183" spans="1:56" ht="21" customHeight="1">
      <c r="A183" s="2339"/>
      <c r="B183" s="7810"/>
      <c r="C183" s="2361"/>
      <c r="D183" s="2495"/>
      <c r="E183" s="2602"/>
      <c r="F183" s="9"/>
      <c r="G183" s="2601">
        <f>G178*E182</f>
        <v>3.6000000000000004E-2</v>
      </c>
      <c r="H183" s="2498" t="str">
        <f>H178</f>
        <v>❺ Cuit</v>
      </c>
      <c r="I183" s="2339"/>
      <c r="J183" s="2339"/>
      <c r="K183" s="2339"/>
      <c r="L183" s="2339"/>
      <c r="M183" s="2339"/>
      <c r="N183" s="2339"/>
      <c r="O183" s="2339"/>
      <c r="P183" s="2339"/>
      <c r="Q183" s="2339"/>
      <c r="R183" s="2339"/>
      <c r="S183" s="2339"/>
      <c r="T183" s="2339"/>
      <c r="U183" s="2339"/>
      <c r="V183" s="2339"/>
      <c r="W183" s="2339"/>
      <c r="X183" s="2339"/>
      <c r="Y183" s="2339"/>
      <c r="Z183" s="2339"/>
      <c r="AA183" s="2339"/>
      <c r="AB183" s="2339"/>
      <c r="AC183" s="2339"/>
      <c r="AD183" s="2339"/>
      <c r="AE183" s="2339"/>
      <c r="AF183" s="2339"/>
      <c r="AG183" s="2339"/>
      <c r="AH183" s="2339"/>
      <c r="AI183" s="2339"/>
      <c r="AJ183" s="2339"/>
      <c r="AK183" s="2339"/>
      <c r="AL183" s="2339"/>
      <c r="AM183" s="2339"/>
      <c r="AN183" s="2339"/>
      <c r="AO183" s="2339"/>
      <c r="AP183" s="2339"/>
      <c r="AQ183" s="2339"/>
      <c r="AR183" s="2339"/>
      <c r="AS183" s="2339"/>
      <c r="AT183" s="2339"/>
      <c r="AU183" s="2339"/>
      <c r="AV183" s="2339"/>
      <c r="AW183" s="2339"/>
      <c r="AX183" s="2339"/>
      <c r="AY183" s="2339"/>
      <c r="AZ183" s="2339"/>
      <c r="BA183" s="2339"/>
      <c r="BB183" s="2339"/>
      <c r="BC183" s="2339"/>
      <c r="BD183" s="3">
        <v>1</v>
      </c>
    </row>
    <row r="184" spans="1:56" ht="21" customHeight="1">
      <c r="A184" s="2339"/>
      <c r="B184" s="7810"/>
      <c r="C184" s="2361"/>
      <c r="D184" s="2503" t="s">
        <v>9483</v>
      </c>
      <c r="E184" s="2300">
        <f>E182*E181</f>
        <v>1800</v>
      </c>
      <c r="F184" s="2603" t="str">
        <f>F175</f>
        <v>Morceaux</v>
      </c>
      <c r="G184" s="2506"/>
      <c r="H184" s="2507"/>
      <c r="I184" s="2339"/>
      <c r="J184" s="2339"/>
      <c r="K184" s="2339"/>
      <c r="L184" s="2339"/>
      <c r="M184" s="2339"/>
      <c r="N184" s="2339"/>
      <c r="O184" s="2339"/>
      <c r="P184" s="2339"/>
      <c r="Q184" s="2339"/>
      <c r="R184" s="2339"/>
      <c r="S184" s="2339"/>
      <c r="T184" s="2339"/>
      <c r="U184" s="2339"/>
      <c r="V184" s="2339"/>
      <c r="W184" s="2339"/>
      <c r="X184" s="2339"/>
      <c r="Y184" s="2339"/>
      <c r="Z184" s="2339"/>
      <c r="AA184" s="2339"/>
      <c r="AB184" s="2339"/>
      <c r="AC184" s="2339"/>
      <c r="AD184" s="2339"/>
      <c r="AE184" s="2339"/>
      <c r="AF184" s="2339"/>
      <c r="AG184" s="2339"/>
      <c r="AH184" s="2339"/>
      <c r="AI184" s="2339"/>
      <c r="AJ184" s="2339"/>
      <c r="AK184" s="2339"/>
      <c r="AL184" s="2339"/>
      <c r="AM184" s="2339"/>
      <c r="AN184" s="2339"/>
      <c r="AO184" s="2339"/>
      <c r="AP184" s="2339"/>
      <c r="AQ184" s="2339"/>
      <c r="AR184" s="2339"/>
      <c r="AS184" s="2339"/>
      <c r="AT184" s="2339"/>
      <c r="AU184" s="2339"/>
      <c r="AV184" s="2339"/>
      <c r="AW184" s="2339"/>
      <c r="AX184" s="2339"/>
      <c r="AY184" s="2339"/>
      <c r="AZ184" s="2339"/>
      <c r="BA184" s="2339"/>
      <c r="BB184" s="2339"/>
      <c r="BC184" s="2339"/>
      <c r="BD184" s="3">
        <v>1</v>
      </c>
    </row>
    <row r="185" spans="1:56" ht="21" customHeight="1">
      <c r="A185" s="2339"/>
      <c r="B185" s="7810"/>
      <c r="C185" s="2361"/>
      <c r="D185" s="2503"/>
      <c r="E185" s="2604">
        <f>G182*E181</f>
        <v>86.4</v>
      </c>
      <c r="F185" s="2605" t="str">
        <f>F178</f>
        <v>❹ Cru</v>
      </c>
      <c r="G185" s="2506"/>
      <c r="H185" s="2507"/>
      <c r="I185" s="2339"/>
      <c r="J185" s="2339"/>
      <c r="K185" s="2339"/>
      <c r="L185" s="2339"/>
      <c r="M185" s="2339"/>
      <c r="N185" s="2339"/>
      <c r="O185" s="2339"/>
      <c r="P185" s="2339"/>
      <c r="Q185" s="2339"/>
      <c r="R185" s="2339"/>
      <c r="S185" s="2339"/>
      <c r="T185" s="2339"/>
      <c r="U185" s="2339"/>
      <c r="V185" s="2339"/>
      <c r="W185" s="2339"/>
      <c r="X185" s="2339"/>
      <c r="Y185" s="2339"/>
      <c r="Z185" s="2339"/>
      <c r="AA185" s="2339"/>
      <c r="AB185" s="2339"/>
      <c r="AC185" s="2339"/>
      <c r="AD185" s="2339"/>
      <c r="AE185" s="2339"/>
      <c r="AF185" s="2339"/>
      <c r="AG185" s="2339"/>
      <c r="AH185" s="2339"/>
      <c r="AI185" s="2339"/>
      <c r="AJ185" s="2339"/>
      <c r="AK185" s="2339"/>
      <c r="AL185" s="2339"/>
      <c r="AM185" s="2339"/>
      <c r="AN185" s="2339"/>
      <c r="AO185" s="2339"/>
      <c r="AP185" s="2339"/>
      <c r="AQ185" s="2339"/>
      <c r="AR185" s="2339"/>
      <c r="AS185" s="2339"/>
      <c r="AT185" s="2339"/>
      <c r="AU185" s="2339"/>
      <c r="AV185" s="2339"/>
      <c r="AW185" s="2339"/>
      <c r="AX185" s="2339"/>
      <c r="AY185" s="2339"/>
      <c r="AZ185" s="2339"/>
      <c r="BA185" s="2339"/>
      <c r="BB185" s="2339"/>
      <c r="BC185" s="2339"/>
      <c r="BD185" s="3">
        <v>1</v>
      </c>
    </row>
    <row r="186" spans="1:56" ht="21" customHeight="1">
      <c r="A186" s="2339"/>
      <c r="B186" s="7810"/>
      <c r="C186" s="2361"/>
      <c r="D186" s="2503"/>
      <c r="E186" s="2604">
        <f>G183*E181</f>
        <v>43.2</v>
      </c>
      <c r="F186" s="2595" t="str">
        <f>H178</f>
        <v>❺ Cuit</v>
      </c>
      <c r="G186" s="2506"/>
      <c r="H186" s="2507"/>
      <c r="I186" s="2339"/>
      <c r="J186" s="2339"/>
      <c r="K186" s="2339"/>
      <c r="L186" s="2339"/>
      <c r="M186" s="2339"/>
      <c r="N186" s="2339"/>
      <c r="O186" s="2339"/>
      <c r="P186" s="2339"/>
      <c r="Q186" s="2339"/>
      <c r="R186" s="2339"/>
      <c r="S186" s="2339"/>
      <c r="T186" s="2339"/>
      <c r="U186" s="2339"/>
      <c r="V186" s="2339"/>
      <c r="W186" s="2339"/>
      <c r="X186" s="2339"/>
      <c r="Y186" s="2339"/>
      <c r="Z186" s="2339"/>
      <c r="AA186" s="2339"/>
      <c r="AB186" s="2339"/>
      <c r="AC186" s="2339"/>
      <c r="AD186" s="2339"/>
      <c r="AE186" s="2339"/>
      <c r="AF186" s="2339"/>
      <c r="AG186" s="2339"/>
      <c r="AH186" s="2339"/>
      <c r="AI186" s="2339"/>
      <c r="AJ186" s="2339"/>
      <c r="AK186" s="2339"/>
      <c r="AL186" s="2339"/>
      <c r="AM186" s="2339"/>
      <c r="AN186" s="2339"/>
      <c r="AO186" s="2339"/>
      <c r="AP186" s="2339"/>
      <c r="AQ186" s="2339"/>
      <c r="AR186" s="2339"/>
      <c r="AS186" s="2339"/>
      <c r="AT186" s="2339"/>
      <c r="AU186" s="2339"/>
      <c r="AV186" s="2339"/>
      <c r="AW186" s="2339"/>
      <c r="AX186" s="2339"/>
      <c r="AY186" s="2339"/>
      <c r="AZ186" s="2339"/>
      <c r="BA186" s="2339"/>
      <c r="BB186" s="2339"/>
      <c r="BC186" s="2339"/>
      <c r="BD186" s="3">
        <v>1</v>
      </c>
    </row>
    <row r="187" spans="1:56" ht="21" customHeight="1">
      <c r="A187" s="2339"/>
      <c r="B187" s="7810"/>
      <c r="C187" s="2400"/>
      <c r="D187" s="2508" t="s">
        <v>9484</v>
      </c>
      <c r="E187" s="2509">
        <f>E170</f>
        <v>86</v>
      </c>
      <c r="F187" s="2510" t="s">
        <v>9485</v>
      </c>
      <c r="G187" s="2511">
        <f>IF(ISBLANK(E182),0,E177/E182)</f>
        <v>14</v>
      </c>
      <c r="H187" s="2478"/>
      <c r="I187" s="2339"/>
      <c r="J187" s="2339"/>
      <c r="K187" s="2339"/>
      <c r="L187" s="2339"/>
      <c r="M187" s="2339"/>
      <c r="N187" s="2339"/>
      <c r="O187" s="2339"/>
      <c r="P187" s="2339"/>
      <c r="Q187" s="2339"/>
      <c r="R187" s="2339"/>
      <c r="S187" s="2339"/>
      <c r="T187" s="2339"/>
      <c r="U187" s="2339"/>
      <c r="V187" s="2339"/>
      <c r="W187" s="2339"/>
      <c r="X187" s="2339"/>
      <c r="Y187" s="2339"/>
      <c r="Z187" s="2339"/>
      <c r="AA187" s="2339"/>
      <c r="AB187" s="2339"/>
      <c r="AC187" s="2339"/>
      <c r="AD187" s="2339"/>
      <c r="AE187" s="2339"/>
      <c r="AF187" s="2339"/>
      <c r="AG187" s="2339"/>
      <c r="AH187" s="2339"/>
      <c r="AI187" s="2339"/>
      <c r="AJ187" s="2339"/>
      <c r="AK187" s="2339"/>
      <c r="AL187" s="2339"/>
      <c r="AM187" s="2339"/>
      <c r="AN187" s="2339"/>
      <c r="AO187" s="2339"/>
      <c r="AP187" s="2339"/>
      <c r="AQ187" s="2339"/>
      <c r="AR187" s="2339"/>
      <c r="AS187" s="2339"/>
      <c r="AT187" s="2339"/>
      <c r="AU187" s="2339"/>
      <c r="AV187" s="2339"/>
      <c r="AW187" s="2339"/>
      <c r="AX187" s="2339"/>
      <c r="AY187" s="2339"/>
      <c r="AZ187" s="2339"/>
      <c r="BA187" s="2339"/>
      <c r="BB187" s="2339"/>
      <c r="BC187" s="2339"/>
      <c r="BD187" s="3">
        <v>1</v>
      </c>
    </row>
    <row r="188" spans="1:56" ht="21" customHeight="1">
      <c r="A188" s="2339"/>
      <c r="B188" s="7810"/>
      <c r="C188" s="2361"/>
      <c r="D188" s="2508"/>
      <c r="E188" s="2509"/>
      <c r="F188" s="2512"/>
      <c r="G188" s="2511"/>
      <c r="H188" s="2478"/>
      <c r="I188" s="2339"/>
      <c r="J188" s="2339"/>
      <c r="K188" s="2339"/>
      <c r="L188" s="2339"/>
      <c r="M188" s="2339"/>
      <c r="N188" s="2339"/>
      <c r="O188" s="2339"/>
      <c r="P188" s="2339"/>
      <c r="Q188" s="2339"/>
      <c r="R188" s="2339"/>
      <c r="S188" s="2339"/>
      <c r="T188" s="2339"/>
      <c r="U188" s="2339"/>
      <c r="V188" s="2339"/>
      <c r="W188" s="2339"/>
      <c r="X188" s="2339"/>
      <c r="Y188" s="2339"/>
      <c r="Z188" s="2339"/>
      <c r="AA188" s="2339"/>
      <c r="AB188" s="2339"/>
      <c r="AC188" s="2339"/>
      <c r="AD188" s="2339"/>
      <c r="AE188" s="2339"/>
      <c r="AF188" s="2339"/>
      <c r="AG188" s="2339"/>
      <c r="AH188" s="2339"/>
      <c r="AI188" s="2339"/>
      <c r="AJ188" s="2339"/>
      <c r="AK188" s="2339"/>
      <c r="AL188" s="2339"/>
      <c r="AM188" s="2339"/>
      <c r="AN188" s="2339"/>
      <c r="AO188" s="2339"/>
      <c r="AP188" s="2339"/>
      <c r="AQ188" s="2339"/>
      <c r="AR188" s="2339"/>
      <c r="AS188" s="2339"/>
      <c r="AT188" s="2339"/>
      <c r="AU188" s="2339"/>
      <c r="AV188" s="2339"/>
      <c r="AW188" s="2339"/>
      <c r="AX188" s="2339"/>
      <c r="AY188" s="2339"/>
      <c r="AZ188" s="2339"/>
      <c r="BA188" s="2339"/>
      <c r="BB188" s="2339"/>
      <c r="BC188" s="2339"/>
      <c r="BD188" s="3">
        <v>1</v>
      </c>
    </row>
    <row r="189" spans="1:56" ht="21" customHeight="1">
      <c r="A189" s="2339"/>
      <c r="B189" s="7810"/>
      <c r="C189" s="7814" t="s">
        <v>9486</v>
      </c>
      <c r="D189" s="7814"/>
      <c r="E189" s="7814"/>
      <c r="F189" s="7814"/>
      <c r="G189" s="7814"/>
      <c r="H189" s="7815"/>
      <c r="I189" s="2339"/>
      <c r="J189" s="2339"/>
      <c r="K189" s="2339"/>
      <c r="L189" s="2339"/>
      <c r="M189" s="2339"/>
      <c r="N189" s="2339"/>
      <c r="O189" s="2339"/>
      <c r="P189" s="2339"/>
      <c r="Q189" s="2339"/>
      <c r="R189" s="2339"/>
      <c r="S189" s="2339"/>
      <c r="T189" s="2339"/>
      <c r="U189" s="2339"/>
      <c r="V189" s="2339"/>
      <c r="W189" s="2339"/>
      <c r="X189" s="2339"/>
      <c r="Y189" s="2339"/>
      <c r="Z189" s="2339"/>
      <c r="AA189" s="2339"/>
      <c r="AB189" s="2339"/>
      <c r="AC189" s="2339"/>
      <c r="AD189" s="2339"/>
      <c r="AE189" s="2339"/>
      <c r="AF189" s="2339"/>
      <c r="AG189" s="2339"/>
      <c r="AH189" s="2339"/>
      <c r="AI189" s="2339"/>
      <c r="AJ189" s="2339"/>
      <c r="AK189" s="2339"/>
      <c r="AL189" s="2339"/>
      <c r="AM189" s="2339"/>
      <c r="AN189" s="2339"/>
      <c r="AO189" s="2339"/>
      <c r="AP189" s="2339"/>
      <c r="AQ189" s="2339"/>
      <c r="AR189" s="2339"/>
      <c r="AS189" s="2339"/>
      <c r="AT189" s="2339"/>
      <c r="AU189" s="2339"/>
      <c r="AV189" s="2339"/>
      <c r="AW189" s="2339"/>
      <c r="AX189" s="2339"/>
      <c r="AY189" s="2339"/>
      <c r="AZ189" s="2339"/>
      <c r="BA189" s="2339"/>
      <c r="BB189" s="2339"/>
      <c r="BC189" s="2339"/>
      <c r="BD189" s="3">
        <v>1</v>
      </c>
    </row>
    <row r="190" spans="1:56" ht="21" customHeight="1">
      <c r="A190" s="2339"/>
      <c r="B190" s="7810"/>
      <c r="C190" s="7814"/>
      <c r="D190" s="7814"/>
      <c r="E190" s="7814"/>
      <c r="F190" s="7814"/>
      <c r="G190" s="7814"/>
      <c r="H190" s="7815"/>
      <c r="I190" s="2339"/>
      <c r="J190" s="2339"/>
      <c r="K190" s="2339"/>
      <c r="L190" s="2339"/>
      <c r="M190" s="2339"/>
      <c r="N190" s="2339"/>
      <c r="O190" s="2339"/>
      <c r="P190" s="2339"/>
      <c r="Q190" s="2339"/>
      <c r="R190" s="2339"/>
      <c r="S190" s="2339"/>
      <c r="T190" s="2339"/>
      <c r="U190" s="2339"/>
      <c r="V190" s="2339"/>
      <c r="W190" s="2339"/>
      <c r="X190" s="2339"/>
      <c r="Y190" s="2339"/>
      <c r="Z190" s="2339"/>
      <c r="AA190" s="2339"/>
      <c r="AB190" s="2339"/>
      <c r="AC190" s="2339"/>
      <c r="AD190" s="2339"/>
      <c r="AE190" s="2339"/>
      <c r="AF190" s="2339"/>
      <c r="AG190" s="2339"/>
      <c r="AH190" s="2339"/>
      <c r="AI190" s="2339"/>
      <c r="AJ190" s="2339"/>
      <c r="AK190" s="2339"/>
      <c r="AL190" s="2339"/>
      <c r="AM190" s="2339"/>
      <c r="AN190" s="2339"/>
      <c r="AO190" s="2339"/>
      <c r="AP190" s="2339"/>
      <c r="AQ190" s="2339"/>
      <c r="AR190" s="2339"/>
      <c r="AS190" s="2339"/>
      <c r="AT190" s="2339"/>
      <c r="AU190" s="2339"/>
      <c r="AV190" s="2339"/>
      <c r="AW190" s="2339"/>
      <c r="AX190" s="2339"/>
      <c r="AY190" s="2339"/>
      <c r="AZ190" s="2339"/>
      <c r="BA190" s="2339"/>
      <c r="BB190" s="2339"/>
      <c r="BC190" s="2339"/>
      <c r="BD190" s="3">
        <v>1</v>
      </c>
    </row>
    <row r="191" spans="1:56" ht="21" customHeight="1">
      <c r="A191" s="2339"/>
      <c r="B191" s="7810"/>
      <c r="C191" s="2513" t="s">
        <v>9515</v>
      </c>
      <c r="D191" s="2514"/>
      <c r="E191" s="2514"/>
      <c r="F191" s="2514"/>
      <c r="G191" s="2514"/>
      <c r="H191" s="2515"/>
      <c r="I191" s="2339"/>
      <c r="J191" s="2339"/>
      <c r="K191" s="2339"/>
      <c r="L191" s="2339"/>
      <c r="M191" s="2339"/>
      <c r="N191" s="2339"/>
      <c r="O191" s="2339"/>
      <c r="P191" s="2339"/>
      <c r="Q191" s="2339"/>
      <c r="R191" s="2339"/>
      <c r="S191" s="2339"/>
      <c r="T191" s="2339"/>
      <c r="U191" s="2339"/>
      <c r="V191" s="2339"/>
      <c r="W191" s="2339"/>
      <c r="X191" s="2339"/>
      <c r="Y191" s="2339"/>
      <c r="Z191" s="2339"/>
      <c r="AA191" s="2339"/>
      <c r="AB191" s="2339"/>
      <c r="AC191" s="2339"/>
      <c r="AD191" s="2339"/>
      <c r="AE191" s="2339"/>
      <c r="AF191" s="2339"/>
      <c r="AG191" s="2339"/>
      <c r="AH191" s="2339"/>
      <c r="AI191" s="2339"/>
      <c r="AJ191" s="2339"/>
      <c r="AK191" s="2339"/>
      <c r="AL191" s="2339"/>
      <c r="AM191" s="2339"/>
      <c r="AN191" s="2339"/>
      <c r="AO191" s="2339"/>
      <c r="AP191" s="2339"/>
      <c r="AQ191" s="2339"/>
      <c r="AR191" s="2339"/>
      <c r="AS191" s="2339"/>
      <c r="AT191" s="2339"/>
      <c r="AU191" s="2339"/>
      <c r="AV191" s="2339"/>
      <c r="AW191" s="2339"/>
      <c r="AX191" s="2339"/>
      <c r="AY191" s="2339"/>
      <c r="AZ191" s="2339"/>
      <c r="BA191" s="2339"/>
      <c r="BB191" s="2339"/>
      <c r="BC191" s="2339"/>
      <c r="BD191" s="3">
        <v>1</v>
      </c>
    </row>
    <row r="192" spans="1:56" ht="21" customHeight="1">
      <c r="A192" s="2339"/>
      <c r="B192" s="7810"/>
      <c r="C192" s="7816" t="s">
        <v>9488</v>
      </c>
      <c r="D192" s="7816"/>
      <c r="E192" s="7816"/>
      <c r="F192" s="7816"/>
      <c r="G192" s="7816"/>
      <c r="H192" s="7817"/>
      <c r="I192" s="2339"/>
      <c r="J192" s="2339"/>
      <c r="K192" s="2339"/>
      <c r="L192" s="2339"/>
      <c r="M192" s="2339"/>
      <c r="N192" s="2339"/>
      <c r="O192" s="2339"/>
      <c r="P192" s="2339"/>
      <c r="Q192" s="2339"/>
      <c r="R192" s="2339"/>
      <c r="S192" s="2339"/>
      <c r="T192" s="2339"/>
      <c r="U192" s="2339"/>
      <c r="V192" s="2339"/>
      <c r="W192" s="2339"/>
      <c r="X192" s="2339"/>
      <c r="Y192" s="2339"/>
      <c r="Z192" s="2339"/>
      <c r="AA192" s="2339"/>
      <c r="AB192" s="2339"/>
      <c r="AC192" s="2339"/>
      <c r="AD192" s="2339"/>
      <c r="AE192" s="2339"/>
      <c r="AF192" s="2339"/>
      <c r="AG192" s="2339"/>
      <c r="AH192" s="2339"/>
      <c r="AI192" s="2339"/>
      <c r="AJ192" s="2339"/>
      <c r="AK192" s="2339"/>
      <c r="AL192" s="2339"/>
      <c r="AM192" s="2339"/>
      <c r="AN192" s="2339"/>
      <c r="AO192" s="2339"/>
      <c r="AP192" s="2339"/>
      <c r="AQ192" s="2339"/>
      <c r="AR192" s="2339"/>
      <c r="AS192" s="2339"/>
      <c r="AT192" s="2339"/>
      <c r="AU192" s="2339"/>
      <c r="AV192" s="2339"/>
      <c r="AW192" s="2339"/>
      <c r="AX192" s="2339"/>
      <c r="AY192" s="2339"/>
      <c r="AZ192" s="2339"/>
      <c r="BA192" s="2339"/>
      <c r="BB192" s="2339"/>
      <c r="BC192" s="2339"/>
      <c r="BD192" s="3">
        <v>1</v>
      </c>
    </row>
    <row r="193" spans="1:58" ht="21" customHeight="1">
      <c r="A193" s="2339"/>
      <c r="B193" s="7810"/>
      <c r="C193" s="2516" t="s">
        <v>9489</v>
      </c>
      <c r="D193" s="2361"/>
      <c r="E193" s="2361"/>
      <c r="F193" s="2453" t="s">
        <v>9490</v>
      </c>
      <c r="G193" s="2361"/>
      <c r="H193" s="2478"/>
      <c r="I193" s="2339"/>
      <c r="J193" s="2339"/>
      <c r="K193" s="2339"/>
      <c r="L193" s="2339"/>
      <c r="M193" s="2339"/>
      <c r="N193" s="2339"/>
      <c r="O193" s="2339"/>
      <c r="P193" s="2339"/>
      <c r="Q193" s="2339"/>
      <c r="R193" s="2339"/>
      <c r="S193" s="2339"/>
      <c r="T193" s="2339"/>
      <c r="U193" s="2339"/>
      <c r="V193" s="2339"/>
      <c r="W193" s="2339"/>
      <c r="X193" s="2339"/>
      <c r="Y193" s="2339"/>
      <c r="Z193" s="2339"/>
      <c r="AA193" s="2339"/>
      <c r="AB193" s="2339"/>
      <c r="AC193" s="2339"/>
      <c r="AD193" s="2339"/>
      <c r="AE193" s="2339"/>
      <c r="AF193" s="2339"/>
      <c r="AG193" s="2339"/>
      <c r="AH193" s="2339"/>
      <c r="AI193" s="2339"/>
      <c r="AJ193" s="2339"/>
      <c r="AK193" s="2339"/>
      <c r="AL193" s="2339"/>
      <c r="AM193" s="2339"/>
      <c r="AN193" s="2339"/>
      <c r="AO193" s="2339"/>
      <c r="AP193" s="2339"/>
      <c r="AQ193" s="2339"/>
      <c r="AR193" s="2339"/>
      <c r="AS193" s="2339"/>
      <c r="AT193" s="2339"/>
      <c r="AU193" s="2339"/>
      <c r="AV193" s="2339"/>
      <c r="AW193" s="2339"/>
      <c r="AX193" s="2339"/>
      <c r="AY193" s="2339"/>
      <c r="AZ193" s="2339"/>
      <c r="BA193" s="2339"/>
      <c r="BB193" s="2339"/>
      <c r="BC193" s="2339"/>
      <c r="BD193" s="3">
        <v>1</v>
      </c>
    </row>
    <row r="194" spans="1:58" ht="21" customHeight="1">
      <c r="A194" s="2339"/>
      <c r="B194" s="7810"/>
      <c r="C194" s="2517" t="s">
        <v>9477</v>
      </c>
      <c r="D194" s="2361"/>
      <c r="E194" s="2361"/>
      <c r="F194" s="2518" t="s">
        <v>9491</v>
      </c>
      <c r="G194" s="2361"/>
      <c r="H194" s="2478"/>
      <c r="I194" s="2339"/>
      <c r="J194" s="2339"/>
      <c r="K194" s="2339"/>
      <c r="L194" s="2339"/>
      <c r="M194" s="2339"/>
      <c r="N194" s="2339"/>
      <c r="O194" s="2339"/>
      <c r="P194" s="2339"/>
      <c r="Q194" s="2339"/>
      <c r="R194" s="2339"/>
      <c r="S194" s="2339"/>
      <c r="T194" s="2339"/>
      <c r="U194" s="2339"/>
      <c r="V194" s="2339"/>
      <c r="W194" s="2339"/>
      <c r="X194" s="2339"/>
      <c r="Y194" s="2339"/>
      <c r="Z194" s="2339"/>
      <c r="AA194" s="2339"/>
      <c r="AB194" s="2339"/>
      <c r="AC194" s="2339"/>
      <c r="AD194" s="2339"/>
      <c r="AE194" s="2339"/>
      <c r="AF194" s="2339"/>
      <c r="AG194" s="2339"/>
      <c r="AH194" s="2339"/>
      <c r="AI194" s="2339"/>
      <c r="AJ194" s="2339"/>
      <c r="AK194" s="2339"/>
      <c r="AL194" s="2339"/>
      <c r="AM194" s="2339"/>
      <c r="AN194" s="2339"/>
      <c r="AO194" s="2339"/>
      <c r="AP194" s="2339"/>
      <c r="AQ194" s="2339"/>
      <c r="AR194" s="2339"/>
      <c r="AS194" s="2339"/>
      <c r="AT194" s="2339"/>
      <c r="AU194" s="2339"/>
      <c r="AV194" s="2339"/>
      <c r="AW194" s="2339"/>
      <c r="AX194" s="2339"/>
      <c r="AY194" s="2339"/>
      <c r="AZ194" s="2339"/>
      <c r="BA194" s="2339"/>
      <c r="BB194" s="2339"/>
      <c r="BC194" s="2339"/>
      <c r="BD194" s="3">
        <v>1</v>
      </c>
    </row>
    <row r="195" spans="1:58" ht="21" customHeight="1">
      <c r="A195" s="2339"/>
      <c r="B195" s="7810"/>
      <c r="C195" s="2519" t="s">
        <v>9492</v>
      </c>
      <c r="D195" s="2361"/>
      <c r="E195" s="2361"/>
      <c r="F195" s="2520" t="s">
        <v>9493</v>
      </c>
      <c r="G195" s="2361"/>
      <c r="H195" s="2478"/>
      <c r="I195" s="2339"/>
      <c r="J195" s="2339"/>
      <c r="K195" s="2339"/>
      <c r="L195" s="2339"/>
      <c r="M195" s="2339"/>
      <c r="N195" s="2339"/>
      <c r="O195" s="2339"/>
      <c r="P195" s="2339"/>
      <c r="Q195" s="2339"/>
      <c r="R195" s="2339"/>
      <c r="S195" s="2339"/>
      <c r="T195" s="2339"/>
      <c r="U195" s="2339"/>
      <c r="V195" s="2339"/>
      <c r="W195" s="2339"/>
      <c r="X195" s="2339"/>
      <c r="Y195" s="2339"/>
      <c r="Z195" s="2339"/>
      <c r="AA195" s="2339"/>
      <c r="AB195" s="2339"/>
      <c r="AC195" s="2339"/>
      <c r="AD195" s="2339"/>
      <c r="AE195" s="2339"/>
      <c r="AF195" s="2339"/>
      <c r="AG195" s="2339"/>
      <c r="AH195" s="2339"/>
      <c r="AI195" s="2339"/>
      <c r="AJ195" s="2339"/>
      <c r="AK195" s="2339"/>
      <c r="AL195" s="2339"/>
      <c r="AM195" s="2339"/>
      <c r="AN195" s="2339"/>
      <c r="AO195" s="2339"/>
      <c r="AP195" s="2339"/>
      <c r="AQ195" s="2339"/>
      <c r="AR195" s="2339"/>
      <c r="AS195" s="2339"/>
      <c r="AT195" s="2339"/>
      <c r="AU195" s="2339"/>
      <c r="AV195" s="2339"/>
      <c r="AW195" s="2339"/>
      <c r="AX195" s="2339"/>
      <c r="AY195" s="2339"/>
      <c r="AZ195" s="2339"/>
      <c r="BA195" s="2339"/>
      <c r="BB195" s="2339"/>
      <c r="BC195" s="2339"/>
      <c r="BD195" s="3">
        <v>1</v>
      </c>
    </row>
    <row r="196" spans="1:58" ht="21" customHeight="1">
      <c r="A196" s="2339"/>
      <c r="B196" s="7810"/>
      <c r="C196" s="2453"/>
      <c r="D196" s="2353"/>
      <c r="E196" s="2489" t="s">
        <v>9512</v>
      </c>
      <c r="F196" s="2521" t="s">
        <v>9516</v>
      </c>
      <c r="G196" s="2361"/>
      <c r="H196" s="2478"/>
      <c r="I196" s="2339"/>
      <c r="J196" s="2339"/>
      <c r="K196" s="2339"/>
      <c r="L196" s="2339"/>
      <c r="M196" s="2339"/>
      <c r="N196" s="2339"/>
      <c r="O196" s="2339"/>
      <c r="P196" s="2339"/>
      <c r="Q196" s="2339"/>
      <c r="R196" s="2339"/>
      <c r="S196" s="2339"/>
      <c r="T196" s="2339"/>
      <c r="U196" s="2339"/>
      <c r="V196" s="2339"/>
      <c r="W196" s="2339"/>
      <c r="X196" s="2339"/>
      <c r="Y196" s="2339"/>
      <c r="Z196" s="2339"/>
      <c r="AA196" s="2339"/>
      <c r="AB196" s="2339"/>
      <c r="AC196" s="2339"/>
      <c r="AD196" s="2339"/>
      <c r="AE196" s="2339"/>
      <c r="AF196" s="2339"/>
      <c r="AG196" s="2339"/>
      <c r="AH196" s="2339"/>
      <c r="AI196" s="2339"/>
      <c r="AJ196" s="2339"/>
      <c r="AK196" s="2339"/>
      <c r="AL196" s="2339"/>
      <c r="AM196" s="2339"/>
      <c r="AN196" s="2339"/>
      <c r="AO196" s="2339"/>
      <c r="AP196" s="2339"/>
      <c r="AQ196" s="2339"/>
      <c r="AR196" s="2339"/>
      <c r="AS196" s="2339"/>
      <c r="AT196" s="2339"/>
      <c r="AU196" s="2339"/>
      <c r="AV196" s="2339"/>
      <c r="AW196" s="2339"/>
      <c r="AX196" s="2339"/>
      <c r="AY196" s="2339"/>
      <c r="AZ196" s="2339"/>
      <c r="BA196" s="2339"/>
      <c r="BB196" s="2339"/>
      <c r="BC196" s="2339"/>
      <c r="BD196" s="3">
        <v>1</v>
      </c>
    </row>
    <row r="197" spans="1:58" ht="21" customHeight="1">
      <c r="A197" s="2339"/>
      <c r="B197" s="7810"/>
      <c r="C197" s="2455"/>
      <c r="D197" s="2353"/>
      <c r="E197" s="2522" t="s">
        <v>9517</v>
      </c>
      <c r="F197" s="2606" t="s">
        <v>9495</v>
      </c>
      <c r="G197" s="2361"/>
      <c r="H197" s="2478"/>
      <c r="I197" s="2339"/>
      <c r="J197" s="2339"/>
      <c r="K197" s="2339"/>
      <c r="L197" s="2339"/>
      <c r="M197" s="2339"/>
      <c r="N197" s="2339"/>
      <c r="O197" s="2339"/>
      <c r="P197" s="2339"/>
      <c r="Q197" s="2339"/>
      <c r="R197" s="2339"/>
      <c r="S197" s="2339"/>
      <c r="T197" s="2339"/>
      <c r="U197" s="2339"/>
      <c r="V197" s="2339"/>
      <c r="W197" s="2339"/>
      <c r="X197" s="2339"/>
      <c r="Y197" s="2339"/>
      <c r="Z197" s="2339"/>
      <c r="AA197" s="2339"/>
      <c r="AB197" s="2339"/>
      <c r="AC197" s="2339"/>
      <c r="AD197" s="2339"/>
      <c r="AE197" s="2339"/>
      <c r="AF197" s="2339"/>
      <c r="AG197" s="2339"/>
      <c r="AH197" s="2339"/>
      <c r="AI197" s="2339"/>
      <c r="AJ197" s="2339"/>
      <c r="AK197" s="2339"/>
      <c r="AL197" s="2339"/>
      <c r="AM197" s="2339"/>
      <c r="AN197" s="2339"/>
      <c r="AO197" s="2339"/>
      <c r="AP197" s="2339"/>
      <c r="AQ197" s="2339"/>
      <c r="AR197" s="2339"/>
      <c r="AS197" s="2339"/>
      <c r="AT197" s="2339"/>
      <c r="AU197" s="2339"/>
      <c r="AV197" s="2339"/>
      <c r="AW197" s="2339"/>
      <c r="AX197" s="2339"/>
      <c r="AY197" s="2339"/>
      <c r="AZ197" s="2339"/>
      <c r="BA197" s="2339"/>
      <c r="BB197" s="2339"/>
      <c r="BC197" s="2339"/>
      <c r="BD197" s="3">
        <v>1</v>
      </c>
    </row>
    <row r="198" spans="1:58" ht="21" customHeight="1">
      <c r="A198" s="2339"/>
      <c r="B198" s="7810"/>
      <c r="C198" s="2455"/>
      <c r="D198" s="2607" t="s">
        <v>9518</v>
      </c>
      <c r="E198" s="2608" t="str">
        <f>ADDRESS(ROW(G177),COLUMN(G177),4)</f>
        <v>G177</v>
      </c>
      <c r="G198" s="2361"/>
      <c r="H198" s="2478"/>
      <c r="I198" s="2339"/>
      <c r="J198" s="2339"/>
      <c r="K198" s="2339"/>
      <c r="L198" s="2339"/>
      <c r="M198" s="2339"/>
      <c r="N198" s="2339"/>
      <c r="O198" s="2339"/>
      <c r="P198" s="2339"/>
      <c r="Q198" s="2339"/>
      <c r="R198" s="2339"/>
      <c r="S198" s="2339"/>
      <c r="T198" s="2339"/>
      <c r="U198" s="2339"/>
      <c r="V198" s="2339"/>
      <c r="W198" s="2339"/>
      <c r="X198" s="2339"/>
      <c r="Y198" s="2339"/>
      <c r="Z198" s="2339"/>
      <c r="AA198" s="2339"/>
      <c r="AB198" s="2339"/>
      <c r="AC198" s="2339"/>
      <c r="AD198" s="2339"/>
      <c r="AE198" s="2339"/>
      <c r="AF198" s="2339"/>
      <c r="AG198" s="2339"/>
      <c r="AH198" s="2339"/>
      <c r="AI198" s="2339"/>
      <c r="AJ198" s="2339"/>
      <c r="AK198" s="2339"/>
      <c r="AL198" s="2339"/>
      <c r="AM198" s="2339"/>
      <c r="AN198" s="2339"/>
      <c r="AO198" s="2339"/>
      <c r="AP198" s="2339"/>
      <c r="AQ198" s="2339"/>
      <c r="AR198" s="2339"/>
      <c r="AS198" s="2339"/>
      <c r="AT198" s="2339"/>
      <c r="AU198" s="2339"/>
      <c r="AV198" s="2339"/>
      <c r="AW198" s="2339"/>
      <c r="AX198" s="2339"/>
      <c r="AY198" s="2339"/>
      <c r="AZ198" s="2339"/>
      <c r="BA198" s="2339"/>
      <c r="BB198" s="2339"/>
      <c r="BC198" s="2339"/>
      <c r="BD198" s="3">
        <v>1</v>
      </c>
    </row>
    <row r="199" spans="1:58" ht="21" customHeight="1">
      <c r="A199" s="2339"/>
      <c r="B199" s="7810"/>
      <c r="C199" s="2067" t="s">
        <v>9498</v>
      </c>
      <c r="D199" s="2527"/>
      <c r="E199" s="2525"/>
      <c r="F199" s="2067" t="s">
        <v>9499</v>
      </c>
      <c r="G199" s="2361"/>
      <c r="H199" s="2478"/>
      <c r="I199" s="2339"/>
      <c r="J199" s="2339"/>
      <c r="K199" s="2339"/>
      <c r="L199" s="2339"/>
      <c r="M199" s="2339"/>
      <c r="N199" s="2339"/>
      <c r="O199" s="2339"/>
      <c r="P199" s="2339"/>
      <c r="Q199" s="2339"/>
      <c r="R199" s="2339"/>
      <c r="S199" s="2339"/>
      <c r="T199" s="2339"/>
      <c r="U199" s="2339"/>
      <c r="V199" s="2339"/>
      <c r="W199" s="2339"/>
      <c r="X199" s="2339"/>
      <c r="Y199" s="2339"/>
      <c r="Z199" s="2339"/>
      <c r="AA199" s="2339"/>
      <c r="AB199" s="2339"/>
      <c r="AC199" s="2339"/>
      <c r="AD199" s="2339"/>
      <c r="AE199" s="2339"/>
      <c r="AF199" s="2339"/>
      <c r="AG199" s="2339"/>
      <c r="AH199" s="2339"/>
      <c r="AI199" s="2339"/>
      <c r="AJ199" s="2339"/>
      <c r="AK199" s="2339"/>
      <c r="AL199" s="2339"/>
      <c r="AM199" s="2339"/>
      <c r="AN199" s="2339"/>
      <c r="AO199" s="2339"/>
      <c r="AP199" s="2339"/>
      <c r="AQ199" s="2339"/>
      <c r="AR199" s="2339"/>
      <c r="AS199" s="2339"/>
      <c r="AT199" s="2339"/>
      <c r="AU199" s="2339"/>
      <c r="AV199" s="2339"/>
      <c r="AW199" s="2339"/>
      <c r="AX199" s="2339"/>
      <c r="AY199" s="2339"/>
      <c r="AZ199" s="2339"/>
      <c r="BA199" s="2339"/>
      <c r="BB199" s="2339"/>
      <c r="BC199" s="2339"/>
      <c r="BD199" s="3">
        <v>1</v>
      </c>
    </row>
    <row r="200" spans="1:58" ht="21" customHeight="1">
      <c r="A200" s="2339"/>
      <c r="B200" s="7810"/>
      <c r="C200" s="2394">
        <v>12</v>
      </c>
      <c r="D200" s="2394">
        <v>11</v>
      </c>
      <c r="E200" s="2394">
        <v>11</v>
      </c>
      <c r="F200" s="2394">
        <v>11</v>
      </c>
      <c r="G200" s="2394">
        <v>11</v>
      </c>
      <c r="H200" s="2395">
        <v>11</v>
      </c>
      <c r="I200" s="2396" t="s">
        <v>9403</v>
      </c>
      <c r="J200" s="2339"/>
      <c r="K200" s="2339"/>
      <c r="L200" s="2339"/>
      <c r="M200" s="2339"/>
      <c r="N200" s="2339"/>
      <c r="O200" s="2339"/>
      <c r="P200" s="2339"/>
      <c r="Q200" s="2339"/>
      <c r="R200" s="2339"/>
      <c r="S200" s="2339"/>
      <c r="T200" s="2339"/>
      <c r="U200" s="2339"/>
      <c r="V200" s="2339"/>
      <c r="W200" s="2339"/>
      <c r="X200" s="2339"/>
      <c r="Y200" s="2339"/>
      <c r="Z200" s="2339"/>
      <c r="AA200" s="2339"/>
      <c r="AB200" s="2339"/>
      <c r="AC200" s="2339"/>
      <c r="AD200" s="2339"/>
      <c r="AE200" s="2339"/>
      <c r="AF200" s="2339"/>
      <c r="AG200" s="2339"/>
      <c r="AH200" s="2339"/>
      <c r="AI200" s="2339"/>
      <c r="AJ200" s="2339"/>
      <c r="AK200" s="2339"/>
      <c r="AL200" s="2339"/>
      <c r="AM200" s="2339"/>
      <c r="AN200" s="2339"/>
      <c r="AO200" s="2339"/>
      <c r="AP200" s="2339"/>
      <c r="AQ200" s="2339"/>
      <c r="AR200" s="2339"/>
      <c r="AS200" s="2339"/>
      <c r="AT200" s="2339"/>
      <c r="AU200" s="2339"/>
      <c r="AV200" s="2339"/>
      <c r="AW200" s="2339"/>
      <c r="AX200" s="2339"/>
      <c r="AY200" s="2339"/>
      <c r="AZ200" s="2339"/>
      <c r="BA200" s="2339"/>
      <c r="BB200" s="2339"/>
      <c r="BC200" s="2339"/>
      <c r="BD200" s="3">
        <v>1</v>
      </c>
    </row>
    <row r="201" spans="1:58" ht="21" customHeight="1" thickBot="1">
      <c r="A201" s="2339"/>
      <c r="B201" s="7811"/>
      <c r="C201" s="863">
        <f ca="1">CELL("largeur",C201)</f>
        <v>13</v>
      </c>
      <c r="D201" s="863">
        <f t="shared" ref="D201:H201" ca="1" si="10">CELL("largeur",D201)</f>
        <v>21</v>
      </c>
      <c r="E201" s="863">
        <f t="shared" ca="1" si="10"/>
        <v>13</v>
      </c>
      <c r="F201" s="863">
        <f t="shared" ca="1" si="10"/>
        <v>13</v>
      </c>
      <c r="G201" s="863">
        <f t="shared" ca="1" si="10"/>
        <v>13</v>
      </c>
      <c r="H201" s="864">
        <f t="shared" ca="1" si="10"/>
        <v>13</v>
      </c>
      <c r="I201" s="2396" t="s">
        <v>9406</v>
      </c>
      <c r="J201" s="2339"/>
      <c r="K201" s="2339"/>
      <c r="L201" s="2339"/>
      <c r="M201" s="2339"/>
      <c r="N201" s="2339"/>
      <c r="O201" s="2339"/>
      <c r="P201" s="2339"/>
      <c r="Q201" s="2339"/>
      <c r="R201" s="2339"/>
      <c r="S201" s="2339"/>
      <c r="T201" s="2339"/>
      <c r="U201" s="2339"/>
      <c r="V201" s="2339"/>
      <c r="W201" s="2339"/>
      <c r="X201" s="2339"/>
      <c r="Y201" s="2339"/>
      <c r="Z201" s="2339"/>
      <c r="AA201" s="2339"/>
      <c r="AB201" s="2339"/>
      <c r="AC201" s="2339"/>
      <c r="AD201" s="2339"/>
      <c r="AE201" s="2339"/>
      <c r="AF201" s="2339"/>
      <c r="AG201" s="2339"/>
      <c r="AH201" s="2339"/>
      <c r="AI201" s="2339"/>
      <c r="AJ201" s="2339"/>
      <c r="AK201" s="2339"/>
      <c r="AL201" s="2339"/>
      <c r="AM201" s="2339"/>
      <c r="AN201" s="2339"/>
      <c r="AO201" s="2339"/>
      <c r="AP201" s="2339"/>
      <c r="AQ201" s="2339"/>
      <c r="AR201" s="2339"/>
      <c r="AS201" s="2339"/>
      <c r="AT201" s="2339"/>
      <c r="AU201" s="2339"/>
      <c r="AV201" s="2339"/>
      <c r="AW201" s="2339"/>
      <c r="AX201" s="2339"/>
      <c r="AY201" s="2339"/>
      <c r="AZ201" s="2339"/>
      <c r="BA201" s="2339"/>
      <c r="BB201" s="2339"/>
      <c r="BC201" s="2339"/>
      <c r="BD201" s="3">
        <v>1</v>
      </c>
    </row>
    <row r="202" spans="1:58" ht="21" customHeight="1" thickBot="1">
      <c r="A202" s="2339"/>
      <c r="B202" s="2339"/>
      <c r="C202" s="2339"/>
      <c r="D202" s="2339"/>
      <c r="E202" s="2339"/>
      <c r="F202" s="2339"/>
      <c r="G202" s="2339"/>
      <c r="H202" s="2339"/>
      <c r="I202" s="2339"/>
      <c r="J202" s="2339"/>
      <c r="K202" s="2339"/>
      <c r="L202" s="2339"/>
      <c r="M202" s="2339"/>
      <c r="N202" s="2339"/>
      <c r="O202" s="2339"/>
      <c r="P202" s="2339"/>
      <c r="Q202" s="2339"/>
      <c r="R202" s="2339"/>
      <c r="S202" s="2339"/>
      <c r="T202" s="2339"/>
      <c r="U202" s="2339"/>
      <c r="V202" s="2339"/>
      <c r="W202" s="2339"/>
      <c r="X202" s="2339"/>
      <c r="Y202" s="2339"/>
      <c r="Z202" s="2339"/>
      <c r="AA202" s="2339"/>
      <c r="AB202" s="2339"/>
      <c r="AC202" s="2339"/>
      <c r="AD202" s="2339"/>
      <c r="AE202" s="2339"/>
      <c r="AF202" s="2339"/>
      <c r="AG202" s="2339"/>
      <c r="AH202" s="2339"/>
      <c r="AI202" s="2339"/>
      <c r="AJ202" s="2339"/>
      <c r="AK202" s="2339"/>
      <c r="AL202" s="2339"/>
      <c r="AM202" s="2339"/>
      <c r="AN202" s="2339"/>
      <c r="AO202" s="2339"/>
      <c r="AP202" s="2339"/>
      <c r="AQ202" s="2339"/>
      <c r="AR202" s="2339"/>
      <c r="AS202" s="2339"/>
      <c r="AT202" s="2339"/>
      <c r="AU202" s="2339"/>
      <c r="AV202" s="2339"/>
      <c r="AW202" s="2339"/>
      <c r="AX202" s="2339"/>
      <c r="AY202" s="2339"/>
      <c r="AZ202" s="2339"/>
      <c r="BA202" s="2339"/>
      <c r="BB202" s="2339"/>
      <c r="BC202" s="2339"/>
      <c r="BD202" s="3">
        <v>1</v>
      </c>
    </row>
    <row r="203" spans="1:58" s="2341" customFormat="1" ht="21" customHeight="1">
      <c r="A203" s="2339">
        <v>1</v>
      </c>
      <c r="B203" s="2355" t="s">
        <v>166</v>
      </c>
      <c r="C203" s="2609"/>
      <c r="D203" s="2610"/>
      <c r="E203" s="2610"/>
      <c r="F203" s="2610"/>
      <c r="G203" s="2610"/>
      <c r="H203" s="2611"/>
      <c r="I203" s="2610"/>
      <c r="J203" s="2610"/>
      <c r="K203" s="2612" t="s">
        <v>9519</v>
      </c>
      <c r="L203" s="2613" t="s">
        <v>9520</v>
      </c>
      <c r="M203" s="2339"/>
      <c r="N203" s="2339"/>
      <c r="O203" s="2339"/>
      <c r="P203" s="2339"/>
      <c r="Q203" s="2339"/>
      <c r="R203" s="2339"/>
      <c r="S203" s="2339"/>
      <c r="T203" s="2339"/>
      <c r="U203" s="2339"/>
      <c r="V203" s="2339"/>
      <c r="W203" s="2339"/>
      <c r="X203" s="2339"/>
      <c r="Y203" s="2339"/>
      <c r="Z203" s="2339"/>
      <c r="AA203" s="2339"/>
      <c r="AB203" s="2339"/>
      <c r="AC203" s="2339"/>
      <c r="AD203" s="2339"/>
      <c r="AE203" s="2339"/>
      <c r="AF203" s="2339"/>
      <c r="AG203" s="2339"/>
      <c r="AH203" s="2339"/>
      <c r="AI203" s="2339"/>
      <c r="AJ203" s="2339"/>
      <c r="AK203" s="2339"/>
      <c r="AL203" s="2339"/>
      <c r="AM203" s="2339"/>
      <c r="AN203" s="2339"/>
      <c r="AO203" s="2339"/>
      <c r="AP203" s="2339"/>
      <c r="AQ203" s="2339"/>
      <c r="AR203" s="2339"/>
      <c r="AS203" s="2339"/>
      <c r="AT203" s="2339"/>
      <c r="AU203" s="2339"/>
      <c r="AV203" s="2339"/>
      <c r="AW203" s="2339"/>
      <c r="AX203" s="2339"/>
      <c r="AY203" s="2339"/>
      <c r="AZ203" s="2339"/>
      <c r="BA203" s="2339"/>
      <c r="BB203" s="2339"/>
      <c r="BC203" s="2339"/>
      <c r="BD203" s="3">
        <v>1</v>
      </c>
      <c r="BE203" s="2354"/>
      <c r="BF203" s="2354"/>
    </row>
    <row r="204" spans="1:58" s="2341" customFormat="1" ht="21" customHeight="1">
      <c r="A204" s="2339">
        <v>1</v>
      </c>
      <c r="B204" s="7786">
        <v>3</v>
      </c>
      <c r="C204" s="2614" t="str">
        <f>ADDRESS(ROW(),COLUMN(),4)</f>
        <v>C204</v>
      </c>
      <c r="D204" s="2615" t="s">
        <v>9521</v>
      </c>
      <c r="E204" s="5619"/>
      <c r="F204" s="5619"/>
      <c r="G204" s="5619"/>
      <c r="H204" s="5619"/>
      <c r="I204" s="5619"/>
      <c r="J204" s="5619"/>
      <c r="K204" s="5620"/>
      <c r="L204" s="2339">
        <v>1</v>
      </c>
      <c r="M204" s="2339">
        <v>1</v>
      </c>
      <c r="N204" s="2339"/>
      <c r="O204" s="2339"/>
      <c r="P204" s="2339"/>
      <c r="Q204" s="2339"/>
      <c r="R204" s="2339"/>
      <c r="S204" s="2339"/>
      <c r="T204" s="2339"/>
      <c r="U204" s="2339"/>
      <c r="V204" s="2339"/>
      <c r="W204" s="2339"/>
      <c r="X204" s="2339"/>
      <c r="Y204" s="2339"/>
      <c r="Z204" s="2339"/>
      <c r="AA204" s="2339"/>
      <c r="AB204" s="2339"/>
      <c r="AC204" s="2339"/>
      <c r="AD204" s="2339"/>
      <c r="AE204" s="2339"/>
      <c r="AF204" s="2339"/>
      <c r="AG204" s="2339"/>
      <c r="AH204" s="2339"/>
      <c r="AI204" s="2339"/>
      <c r="AJ204" s="2339"/>
      <c r="AK204" s="2339"/>
      <c r="AL204" s="2339"/>
      <c r="AM204" s="2339"/>
      <c r="AN204" s="2339"/>
      <c r="AO204" s="2339"/>
      <c r="AP204" s="2339"/>
      <c r="AQ204" s="2339"/>
      <c r="AR204" s="2339"/>
      <c r="AS204" s="2339"/>
      <c r="AT204" s="2339"/>
      <c r="AU204" s="2339"/>
      <c r="AV204" s="2339"/>
      <c r="AW204" s="2339"/>
      <c r="AX204" s="2339"/>
      <c r="AY204" s="2339"/>
      <c r="AZ204" s="2339"/>
      <c r="BA204" s="2339"/>
      <c r="BB204" s="2339"/>
      <c r="BC204" s="2339"/>
      <c r="BD204" s="3">
        <v>1</v>
      </c>
      <c r="BE204" s="2354"/>
      <c r="BF204" s="2354"/>
    </row>
    <row r="205" spans="1:58" s="2341" customFormat="1" ht="21" customHeight="1">
      <c r="A205" s="2339">
        <v>1</v>
      </c>
      <c r="B205" s="7786"/>
      <c r="C205" s="2616"/>
      <c r="D205" s="2617" t="s">
        <v>722</v>
      </c>
      <c r="E205" s="5621">
        <v>0.44</v>
      </c>
      <c r="F205" s="2618"/>
      <c r="G205" s="2619" t="s">
        <v>722</v>
      </c>
      <c r="H205" s="5621">
        <v>100</v>
      </c>
      <c r="I205" s="2618"/>
      <c r="J205" s="2620" t="s">
        <v>724</v>
      </c>
      <c r="K205" s="2621">
        <v>115</v>
      </c>
      <c r="L205" s="2357" t="s">
        <v>9461</v>
      </c>
      <c r="M205" s="2339"/>
      <c r="N205" s="2339"/>
      <c r="O205" s="2339"/>
      <c r="P205" s="2339"/>
      <c r="Q205" s="2339"/>
      <c r="R205" s="2339"/>
      <c r="S205" s="2339"/>
      <c r="T205" s="2339"/>
      <c r="U205" s="2339"/>
      <c r="V205" s="2339"/>
      <c r="W205" s="2339"/>
      <c r="X205" s="2339"/>
      <c r="Y205" s="2339"/>
      <c r="Z205" s="2339"/>
      <c r="AA205" s="2339"/>
      <c r="AB205" s="2339"/>
      <c r="AC205" s="2339"/>
      <c r="AD205" s="2339"/>
      <c r="AE205" s="2339"/>
      <c r="AF205" s="2339"/>
      <c r="AG205" s="2339"/>
      <c r="AH205" s="2339"/>
      <c r="AI205" s="2339"/>
      <c r="AJ205" s="2339"/>
      <c r="AK205" s="2339"/>
      <c r="AL205" s="2339"/>
      <c r="AM205" s="2339"/>
      <c r="AN205" s="2339"/>
      <c r="AO205" s="2339"/>
      <c r="AP205" s="2339"/>
      <c r="AQ205" s="2339"/>
      <c r="AR205" s="2339"/>
      <c r="AS205" s="2339"/>
      <c r="AT205" s="2339"/>
      <c r="AU205" s="2339"/>
      <c r="AV205" s="2339"/>
      <c r="AW205" s="2339"/>
      <c r="AX205" s="2339"/>
      <c r="AY205" s="2339"/>
      <c r="AZ205" s="2339"/>
      <c r="BA205" s="2339"/>
      <c r="BB205" s="2339"/>
      <c r="BC205" s="2339"/>
      <c r="BD205" s="3">
        <v>1</v>
      </c>
      <c r="BE205" s="2354"/>
      <c r="BF205" s="2354"/>
    </row>
    <row r="206" spans="1:58" s="2341" customFormat="1" ht="21" customHeight="1">
      <c r="A206" s="2339">
        <v>1</v>
      </c>
      <c r="B206" s="7786"/>
      <c r="C206" s="2622"/>
      <c r="D206" s="2623" t="s">
        <v>732</v>
      </c>
      <c r="E206" s="5622">
        <v>60</v>
      </c>
      <c r="F206" s="2618"/>
      <c r="G206" s="2623" t="s">
        <v>728</v>
      </c>
      <c r="H206" s="5623">
        <v>10</v>
      </c>
      <c r="I206" s="2618"/>
      <c r="J206" s="2619" t="s">
        <v>722</v>
      </c>
      <c r="K206" s="2624">
        <v>133</v>
      </c>
      <c r="L206" s="2357" t="s">
        <v>9464</v>
      </c>
      <c r="M206" s="2339"/>
      <c r="N206" s="2339"/>
      <c r="O206" s="2339"/>
      <c r="P206" s="2339"/>
      <c r="Q206" s="2339"/>
      <c r="R206" s="2339"/>
      <c r="S206" s="2339"/>
      <c r="T206" s="2339"/>
      <c r="U206" s="2339"/>
      <c r="V206" s="2339"/>
      <c r="W206" s="2339"/>
      <c r="X206" s="2339"/>
      <c r="Y206" s="2339"/>
      <c r="Z206" s="2339"/>
      <c r="AA206" s="2339"/>
      <c r="AB206" s="2339"/>
      <c r="AC206" s="2339"/>
      <c r="AD206" s="2339"/>
      <c r="AE206" s="2339"/>
      <c r="AF206" s="2339"/>
      <c r="AG206" s="2339"/>
      <c r="AH206" s="2339"/>
      <c r="AI206" s="2339"/>
      <c r="AJ206" s="2339"/>
      <c r="AK206" s="2339"/>
      <c r="AL206" s="2339"/>
      <c r="AM206" s="2339"/>
      <c r="AN206" s="2339"/>
      <c r="AO206" s="2339"/>
      <c r="AP206" s="2339"/>
      <c r="AQ206" s="2339"/>
      <c r="AR206" s="2339"/>
      <c r="AS206" s="2339"/>
      <c r="AT206" s="2339"/>
      <c r="AU206" s="2339"/>
      <c r="AV206" s="2339"/>
      <c r="AW206" s="2339"/>
      <c r="AX206" s="2339"/>
      <c r="AY206" s="2339"/>
      <c r="AZ206" s="2339"/>
      <c r="BA206" s="2339"/>
      <c r="BB206" s="2339"/>
      <c r="BC206" s="2339"/>
      <c r="BD206" s="3">
        <v>1</v>
      </c>
      <c r="BE206" s="2354"/>
      <c r="BF206" s="2354"/>
    </row>
    <row r="207" spans="1:58" s="2341" customFormat="1" ht="21" customHeight="1">
      <c r="A207" s="2339">
        <v>1</v>
      </c>
      <c r="B207" s="7786"/>
      <c r="C207" s="2625"/>
      <c r="D207" s="2626" t="s">
        <v>728</v>
      </c>
      <c r="E207" s="5624">
        <f>E205*E206%</f>
        <v>0.26400000000000001</v>
      </c>
      <c r="F207" s="2618"/>
      <c r="G207" s="2627" t="s">
        <v>724</v>
      </c>
      <c r="H207" s="5624">
        <f>IF(H205=0,0,H205+H206)</f>
        <v>110</v>
      </c>
      <c r="I207" s="2618"/>
      <c r="J207" s="2626" t="s">
        <v>728</v>
      </c>
      <c r="K207" s="2628">
        <f>IF(K205=0,0,IF(K206=0,0,K205-K206))</f>
        <v>-18</v>
      </c>
      <c r="L207" s="2553" t="str">
        <f>HYPERLINK("#"&amp;ADDRESS(ROW(K207),COLUMN(K207),4),"◀"&amp;ADDRESS(ROW(K207),COLUMN(K207),4))</f>
        <v>◀K207</v>
      </c>
      <c r="M207" s="2629" t="str">
        <f ca="1">_xlfn.FORMULATEXT(K207)</f>
        <v>=SI(K205=0;0;SI(K206=0;0;K205-K206))</v>
      </c>
      <c r="N207" s="2339"/>
      <c r="O207" s="2339"/>
      <c r="P207" s="2339"/>
      <c r="Q207" s="2339"/>
      <c r="R207" s="2339"/>
      <c r="S207" s="2339"/>
      <c r="T207" s="2339"/>
      <c r="U207" s="2339"/>
      <c r="V207" s="2339"/>
      <c r="W207" s="2339"/>
      <c r="X207" s="2339"/>
      <c r="Y207" s="2339"/>
      <c r="Z207" s="2339"/>
      <c r="AA207" s="2339"/>
      <c r="AB207" s="2339"/>
      <c r="AC207" s="2339"/>
      <c r="AD207" s="2339"/>
      <c r="AE207" s="2339"/>
      <c r="AF207" s="2339"/>
      <c r="AG207" s="2339"/>
      <c r="AH207" s="2339"/>
      <c r="AI207" s="2339"/>
      <c r="AJ207" s="2339"/>
      <c r="AK207" s="2339"/>
      <c r="AL207" s="2339"/>
      <c r="AM207" s="2339"/>
      <c r="AN207" s="2339"/>
      <c r="AO207" s="2339"/>
      <c r="AP207" s="2339"/>
      <c r="AQ207" s="2339"/>
      <c r="AR207" s="2339"/>
      <c r="AS207" s="2339"/>
      <c r="AT207" s="2339"/>
      <c r="AU207" s="2339"/>
      <c r="AV207" s="2339"/>
      <c r="AW207" s="2339"/>
      <c r="AX207" s="2339"/>
      <c r="AY207" s="2339"/>
      <c r="AZ207" s="2339"/>
      <c r="BA207" s="2339"/>
      <c r="BB207" s="2339"/>
      <c r="BC207" s="2339"/>
      <c r="BD207" s="3">
        <v>1</v>
      </c>
      <c r="BE207" s="2354"/>
      <c r="BF207" s="2354"/>
    </row>
    <row r="208" spans="1:58" s="2341" customFormat="1" ht="21" customHeight="1">
      <c r="A208" s="2339">
        <v>1</v>
      </c>
      <c r="B208" s="7786"/>
      <c r="C208" s="2630"/>
      <c r="D208" s="2627" t="s">
        <v>724</v>
      </c>
      <c r="E208" s="5624">
        <f>((E205*E206)/100)+E205</f>
        <v>0.70399999999999996</v>
      </c>
      <c r="F208" s="2618"/>
      <c r="G208" s="2631" t="s">
        <v>732</v>
      </c>
      <c r="H208" s="5625">
        <f>IF(H205=0,0,IF(ISBLANK(H205),0,(H206/H205)*100))</f>
        <v>10</v>
      </c>
      <c r="I208" s="2618"/>
      <c r="J208" s="2631" t="s">
        <v>732</v>
      </c>
      <c r="K208" s="2632">
        <f>IF(K206=0,0,IF(ISBLANK(K206),0,(K207/K206)*100))</f>
        <v>-13.533834586466165</v>
      </c>
      <c r="L208" s="2553" t="str">
        <f>HYPERLINK("#"&amp;ADDRESS(ROW(K208),COLUMN(K208),4),"◀"&amp;ADDRESS(ROW(K208),COLUMN(K208),4))</f>
        <v>◀K208</v>
      </c>
      <c r="M208" s="2629" t="str">
        <f ca="1">_xlfn.FORMULATEXT(K208)</f>
        <v>=SI(K206=0;0;SI(ESTVIDE(K206);0;(K207/K206)*100))</v>
      </c>
      <c r="N208" s="2339"/>
      <c r="O208" s="2339"/>
      <c r="P208" s="2339"/>
      <c r="Q208" s="2339"/>
      <c r="R208" s="2339"/>
      <c r="S208" s="2339"/>
      <c r="T208" s="2339"/>
      <c r="U208" s="2339"/>
      <c r="V208" s="2339"/>
      <c r="W208" s="2339"/>
      <c r="X208" s="2339"/>
      <c r="Y208" s="2339"/>
      <c r="Z208" s="2339"/>
      <c r="AA208" s="2339"/>
      <c r="AB208" s="2339"/>
      <c r="AC208" s="2339"/>
      <c r="AD208" s="2339"/>
      <c r="AE208" s="2339"/>
      <c r="AF208" s="2339"/>
      <c r="AG208" s="2339"/>
      <c r="AH208" s="2339"/>
      <c r="AI208" s="2339"/>
      <c r="AJ208" s="2339"/>
      <c r="AK208" s="2339"/>
      <c r="AL208" s="2339"/>
      <c r="AM208" s="2339"/>
      <c r="AN208" s="2339"/>
      <c r="AO208" s="2339"/>
      <c r="AP208" s="2339"/>
      <c r="AQ208" s="2339"/>
      <c r="AR208" s="2339"/>
      <c r="AS208" s="2339"/>
      <c r="AT208" s="2339"/>
      <c r="AU208" s="2339"/>
      <c r="AV208" s="2339"/>
      <c r="AW208" s="2339"/>
      <c r="AX208" s="2339"/>
      <c r="AY208" s="2339"/>
      <c r="AZ208" s="2339"/>
      <c r="BA208" s="2339"/>
      <c r="BB208" s="2339"/>
      <c r="BC208" s="2339"/>
      <c r="BD208" s="3">
        <v>1</v>
      </c>
      <c r="BE208" s="2354"/>
      <c r="BF208" s="2354"/>
    </row>
    <row r="209" spans="1:58" s="2341" customFormat="1" ht="21" customHeight="1">
      <c r="A209" s="2339">
        <v>1</v>
      </c>
      <c r="B209" s="7786"/>
      <c r="C209" s="5626"/>
      <c r="D209" s="5627"/>
      <c r="E209" s="5628"/>
      <c r="F209" s="5629"/>
      <c r="G209" s="5630"/>
      <c r="H209" s="5631"/>
      <c r="I209" s="5629"/>
      <c r="J209" s="5630"/>
      <c r="K209" s="5632"/>
      <c r="L209" s="2339">
        <v>1</v>
      </c>
      <c r="M209" s="2339">
        <v>1</v>
      </c>
      <c r="N209" s="2339"/>
      <c r="O209" s="2339"/>
      <c r="P209" s="2339"/>
      <c r="Q209" s="2339"/>
      <c r="R209" s="2339"/>
      <c r="S209" s="2339"/>
      <c r="T209" s="2339"/>
      <c r="U209" s="2339"/>
      <c r="V209" s="2339"/>
      <c r="W209" s="2339"/>
      <c r="X209" s="2339"/>
      <c r="Y209" s="2339"/>
      <c r="Z209" s="2339"/>
      <c r="AA209" s="2339"/>
      <c r="AB209" s="2339"/>
      <c r="AC209" s="2339"/>
      <c r="AD209" s="2339"/>
      <c r="AE209" s="2339"/>
      <c r="AF209" s="2339"/>
      <c r="AG209" s="2339"/>
      <c r="AH209" s="2339"/>
      <c r="AI209" s="2339"/>
      <c r="AJ209" s="2339"/>
      <c r="AK209" s="2339"/>
      <c r="AL209" s="2339"/>
      <c r="AM209" s="2339"/>
      <c r="AN209" s="2339"/>
      <c r="AO209" s="2339"/>
      <c r="AP209" s="2339"/>
      <c r="AQ209" s="2339"/>
      <c r="AR209" s="2339"/>
      <c r="AS209" s="2339"/>
      <c r="AT209" s="2339"/>
      <c r="AU209" s="2339"/>
      <c r="AV209" s="2339"/>
      <c r="AW209" s="2339"/>
      <c r="AX209" s="2339"/>
      <c r="AY209" s="2339"/>
      <c r="AZ209" s="2339"/>
      <c r="BA209" s="2339"/>
      <c r="BB209" s="2339"/>
      <c r="BC209" s="2339"/>
      <c r="BD209" s="3">
        <v>1</v>
      </c>
      <c r="BE209" s="2354"/>
      <c r="BF209" s="2354"/>
    </row>
    <row r="210" spans="1:58" s="2341" customFormat="1" ht="21" customHeight="1">
      <c r="A210" s="2339">
        <v>1</v>
      </c>
      <c r="B210" s="7786"/>
      <c r="C210" s="2616"/>
      <c r="D210" s="2619" t="s">
        <v>722</v>
      </c>
      <c r="E210" s="5621">
        <v>5.8970000000000002</v>
      </c>
      <c r="F210" s="2618"/>
      <c r="G210" s="2620" t="s">
        <v>724</v>
      </c>
      <c r="H210" s="5623">
        <v>9.64</v>
      </c>
      <c r="I210" s="2618"/>
      <c r="J210" s="2620" t="s">
        <v>724</v>
      </c>
      <c r="K210" s="2621">
        <v>100</v>
      </c>
      <c r="L210" s="2339">
        <v>1</v>
      </c>
      <c r="M210" s="2339">
        <v>1</v>
      </c>
      <c r="N210" s="2339"/>
      <c r="O210" s="2339"/>
      <c r="P210" s="2339"/>
      <c r="Q210" s="2339"/>
      <c r="R210" s="2339"/>
      <c r="S210" s="2339"/>
      <c r="T210" s="2339"/>
      <c r="U210" s="2339"/>
      <c r="V210" s="2339"/>
      <c r="W210" s="2339"/>
      <c r="X210" s="2339"/>
      <c r="Y210" s="2339"/>
      <c r="Z210" s="2339"/>
      <c r="AA210" s="2339"/>
      <c r="AB210" s="2339"/>
      <c r="AC210" s="2339"/>
      <c r="AD210" s="2339"/>
      <c r="AE210" s="2339"/>
      <c r="AF210" s="2339"/>
      <c r="AG210" s="2339"/>
      <c r="AH210" s="2339"/>
      <c r="AI210" s="2339"/>
      <c r="AJ210" s="2339"/>
      <c r="AK210" s="2339"/>
      <c r="AL210" s="2339"/>
      <c r="AM210" s="2339"/>
      <c r="AN210" s="2339"/>
      <c r="AO210" s="2339"/>
      <c r="AP210" s="2339"/>
      <c r="AQ210" s="2339"/>
      <c r="AR210" s="2339"/>
      <c r="AS210" s="2339"/>
      <c r="AT210" s="2339"/>
      <c r="AU210" s="2339"/>
      <c r="AV210" s="2339"/>
      <c r="AW210" s="2339"/>
      <c r="AX210" s="2339"/>
      <c r="AY210" s="2339"/>
      <c r="AZ210" s="2339"/>
      <c r="BA210" s="2339"/>
      <c r="BB210" s="2339"/>
      <c r="BC210" s="2339"/>
      <c r="BD210" s="3">
        <v>1</v>
      </c>
      <c r="BE210" s="2354"/>
      <c r="BF210" s="2354"/>
    </row>
    <row r="211" spans="1:58" s="2341" customFormat="1" ht="21" customHeight="1">
      <c r="A211" s="2339">
        <v>1</v>
      </c>
      <c r="B211" s="7786"/>
      <c r="C211" s="2633"/>
      <c r="D211" s="2620" t="s">
        <v>724</v>
      </c>
      <c r="E211" s="5623">
        <v>9.64</v>
      </c>
      <c r="F211" s="2618"/>
      <c r="G211" s="2623" t="s">
        <v>732</v>
      </c>
      <c r="H211" s="5633">
        <v>63.5</v>
      </c>
      <c r="I211" s="2618"/>
      <c r="J211" s="2623" t="s">
        <v>728</v>
      </c>
      <c r="K211" s="2621">
        <v>50</v>
      </c>
      <c r="L211" s="2339">
        <v>1</v>
      </c>
      <c r="M211" s="2339">
        <v>1</v>
      </c>
      <c r="N211" s="2339"/>
      <c r="O211" s="2339"/>
      <c r="P211" s="2339"/>
      <c r="Q211" s="2339"/>
      <c r="R211" s="2339"/>
      <c r="S211" s="2339"/>
      <c r="T211" s="2339"/>
      <c r="U211" s="2339"/>
      <c r="V211" s="2339"/>
      <c r="W211" s="2339"/>
      <c r="X211" s="2339"/>
      <c r="Y211" s="2339"/>
      <c r="Z211" s="2339"/>
      <c r="AA211" s="2339"/>
      <c r="AB211" s="2339"/>
      <c r="AC211" s="2339"/>
      <c r="AD211" s="2339"/>
      <c r="AE211" s="2339"/>
      <c r="AF211" s="2339"/>
      <c r="AG211" s="2339"/>
      <c r="AH211" s="2339"/>
      <c r="AI211" s="2339"/>
      <c r="AJ211" s="2339"/>
      <c r="AK211" s="2339"/>
      <c r="AL211" s="2339"/>
      <c r="AM211" s="2339"/>
      <c r="AN211" s="2339"/>
      <c r="AO211" s="2339"/>
      <c r="AP211" s="2339"/>
      <c r="AQ211" s="2339"/>
      <c r="AR211" s="2339"/>
      <c r="AS211" s="2339"/>
      <c r="AT211" s="2339"/>
      <c r="AU211" s="2339"/>
      <c r="AV211" s="2339"/>
      <c r="AW211" s="2339"/>
      <c r="AX211" s="2339"/>
      <c r="AY211" s="2339"/>
      <c r="AZ211" s="2339"/>
      <c r="BA211" s="2339"/>
      <c r="BB211" s="2339"/>
      <c r="BC211" s="2339"/>
      <c r="BD211" s="3">
        <v>1</v>
      </c>
      <c r="BE211" s="2354"/>
      <c r="BF211" s="2354"/>
    </row>
    <row r="212" spans="1:58" s="2341" customFormat="1" ht="21" customHeight="1">
      <c r="A212" s="2339">
        <v>1</v>
      </c>
      <c r="B212" s="7786"/>
      <c r="C212" s="2625"/>
      <c r="D212" s="2626" t="s">
        <v>728</v>
      </c>
      <c r="E212" s="5624">
        <f>IF(E210=0,0,IF(E211=0,0,E211-E210))</f>
        <v>3.7430000000000003</v>
      </c>
      <c r="F212" s="2618"/>
      <c r="G212" s="2626" t="s">
        <v>728</v>
      </c>
      <c r="H212" s="5624">
        <f>H210-H213</f>
        <v>3.7439755351681958</v>
      </c>
      <c r="I212" s="2618"/>
      <c r="J212" s="2627" t="s">
        <v>722</v>
      </c>
      <c r="K212" s="2628">
        <f>IF(K210=0,0,IF(ISBLANK(K210),0,K210-K211))</f>
        <v>50</v>
      </c>
      <c r="L212" s="2553" t="str">
        <f>HYPERLINK("#"&amp;ADDRESS(ROW(E212),COLUMN(E212),4),"◀"&amp;ADDRESS(ROW(E212),COLUMN(E212),4))</f>
        <v>◀E212</v>
      </c>
      <c r="M212" s="2629" t="str">
        <f ca="1">_xlfn.FORMULATEXT(E212)</f>
        <v>=SI(E210=0;0;SI(E211=0;0;E211-E210))</v>
      </c>
      <c r="N212" s="2339"/>
      <c r="O212" s="2339"/>
      <c r="P212" s="2339"/>
      <c r="Q212" s="2339"/>
      <c r="R212" s="2339"/>
      <c r="S212" s="2339"/>
      <c r="T212" s="2339"/>
      <c r="U212" s="2339"/>
      <c r="V212" s="2339"/>
      <c r="W212" s="2339"/>
      <c r="X212" s="2339"/>
      <c r="Y212" s="2339"/>
      <c r="Z212" s="2339"/>
      <c r="AA212" s="2339"/>
      <c r="AB212" s="2339"/>
      <c r="AC212" s="2339"/>
      <c r="AD212" s="2339"/>
      <c r="AE212" s="2339"/>
      <c r="AF212" s="2339"/>
      <c r="AG212" s="2339"/>
      <c r="AH212" s="2339"/>
      <c r="AI212" s="2339"/>
      <c r="AJ212" s="2339"/>
      <c r="AK212" s="2339"/>
      <c r="AL212" s="2339"/>
      <c r="AM212" s="2339"/>
      <c r="AN212" s="2339"/>
      <c r="AO212" s="2339"/>
      <c r="AP212" s="2339"/>
      <c r="AQ212" s="2339"/>
      <c r="AR212" s="2339"/>
      <c r="AS212" s="2339"/>
      <c r="AT212" s="2339"/>
      <c r="AU212" s="2339"/>
      <c r="AV212" s="2339"/>
      <c r="AW212" s="2339"/>
      <c r="AX212" s="2339"/>
      <c r="AY212" s="2339"/>
      <c r="AZ212" s="2339"/>
      <c r="BA212" s="2339"/>
      <c r="BB212" s="2339"/>
      <c r="BC212" s="2339"/>
      <c r="BD212" s="3">
        <v>1</v>
      </c>
      <c r="BE212" s="2354"/>
      <c r="BF212" s="2354"/>
    </row>
    <row r="213" spans="1:58" s="2341" customFormat="1" ht="21" customHeight="1">
      <c r="A213" s="2339">
        <v>1</v>
      </c>
      <c r="B213" s="7786"/>
      <c r="C213" s="5634"/>
      <c r="D213" s="5635" t="s">
        <v>732</v>
      </c>
      <c r="E213" s="5636">
        <f>IF(E210=0,0,IF(ISBLANK(E210),0,(E212/E210)*100))</f>
        <v>63.472952348651859</v>
      </c>
      <c r="F213" s="2618"/>
      <c r="G213" s="5637" t="s">
        <v>722</v>
      </c>
      <c r="H213" s="5638">
        <f>(H210/(100+H211)*100)</f>
        <v>5.8960244648318048</v>
      </c>
      <c r="I213" s="2618"/>
      <c r="J213" s="5635" t="s">
        <v>732</v>
      </c>
      <c r="K213" s="5639">
        <f>IF(K212=0,0,IF(ISBLANK(K211),0,(K211/K212)*100))</f>
        <v>100</v>
      </c>
      <c r="L213" s="2553" t="str">
        <f>HYPERLINK("#"&amp;ADDRESS(ROW(E213),COLUMN(E213),4),"◀"&amp;ADDRESS(ROW(E213),COLUMN(E213),4))</f>
        <v>◀E213</v>
      </c>
      <c r="M213" s="2629" t="str">
        <f ca="1">_xlfn.FORMULATEXT(E213)</f>
        <v>=SI(E210=0;0;SI(ESTVIDE(E210);0;(E212/E210)*100))</v>
      </c>
      <c r="N213" s="2339"/>
      <c r="O213" s="2339"/>
      <c r="P213" s="2339"/>
      <c r="Q213" s="2339"/>
      <c r="R213" s="2339"/>
      <c r="S213" s="2339"/>
      <c r="T213" s="2339"/>
      <c r="U213" s="2339"/>
      <c r="V213" s="2339"/>
      <c r="W213" s="2339"/>
      <c r="X213" s="2339"/>
      <c r="Y213" s="2339"/>
      <c r="Z213" s="2339"/>
      <c r="AA213" s="2339"/>
      <c r="AB213" s="2339"/>
      <c r="AC213" s="2339"/>
      <c r="AD213" s="2339"/>
      <c r="AE213" s="2339"/>
      <c r="AF213" s="2339"/>
      <c r="AG213" s="2339"/>
      <c r="AH213" s="2339"/>
      <c r="AI213" s="2339"/>
      <c r="AJ213" s="2339"/>
      <c r="AK213" s="2339"/>
      <c r="AL213" s="2339"/>
      <c r="AM213" s="2339"/>
      <c r="AN213" s="2339"/>
      <c r="AO213" s="2339"/>
      <c r="AP213" s="2339"/>
      <c r="AQ213" s="2339"/>
      <c r="AR213" s="2339"/>
      <c r="AS213" s="2339"/>
      <c r="AT213" s="2339"/>
      <c r="AU213" s="2339"/>
      <c r="AV213" s="2339"/>
      <c r="AW213" s="2339"/>
      <c r="AX213" s="2339"/>
      <c r="AY213" s="2339"/>
      <c r="AZ213" s="2339"/>
      <c r="BA213" s="2339"/>
      <c r="BB213" s="2339"/>
      <c r="BC213" s="2339"/>
      <c r="BD213" s="3">
        <v>1</v>
      </c>
    </row>
    <row r="214" spans="1:58" s="2341" customFormat="1" ht="21" customHeight="1">
      <c r="A214" s="2339">
        <v>1</v>
      </c>
      <c r="B214" s="7786"/>
      <c r="C214" s="7818" t="s">
        <v>9522</v>
      </c>
      <c r="D214" s="7818"/>
      <c r="E214" s="7818"/>
      <c r="F214" s="7818"/>
      <c r="G214" s="7818"/>
      <c r="H214" s="7818"/>
      <c r="I214" s="7818"/>
      <c r="J214" s="7818"/>
      <c r="K214" s="7819"/>
      <c r="L214" s="2339">
        <v>1</v>
      </c>
      <c r="M214" s="2339">
        <v>1</v>
      </c>
      <c r="N214" s="2339"/>
      <c r="O214" s="2339"/>
      <c r="P214" s="2339"/>
      <c r="Q214" s="2339"/>
      <c r="R214" s="2339"/>
      <c r="S214" s="2339"/>
      <c r="T214" s="2339"/>
      <c r="U214" s="2339"/>
      <c r="V214" s="2339"/>
      <c r="W214" s="2339"/>
      <c r="X214" s="2339"/>
      <c r="Y214" s="2339"/>
      <c r="Z214" s="2339"/>
      <c r="AA214" s="2339"/>
      <c r="AB214" s="2339"/>
      <c r="AC214" s="2339"/>
      <c r="AD214" s="2339"/>
      <c r="AE214" s="2339"/>
      <c r="AF214" s="2339"/>
      <c r="AG214" s="2339"/>
      <c r="AH214" s="2339"/>
      <c r="AI214" s="2339"/>
      <c r="AJ214" s="2339"/>
      <c r="AK214" s="2339"/>
      <c r="AL214" s="2339"/>
      <c r="AM214" s="2339"/>
      <c r="AN214" s="2339"/>
      <c r="AO214" s="2339"/>
      <c r="AP214" s="2339"/>
      <c r="AQ214" s="2339"/>
      <c r="AR214" s="2339"/>
      <c r="AS214" s="2339"/>
      <c r="AT214" s="2339"/>
      <c r="AU214" s="2339"/>
      <c r="AV214" s="2339"/>
      <c r="AW214" s="2339"/>
      <c r="AX214" s="2339"/>
      <c r="AY214" s="2339"/>
      <c r="AZ214" s="2339"/>
      <c r="BA214" s="2339"/>
      <c r="BB214" s="2339"/>
      <c r="BC214" s="2339"/>
      <c r="BD214" s="3">
        <v>1</v>
      </c>
    </row>
    <row r="215" spans="1:58" s="2341" customFormat="1" ht="21" customHeight="1">
      <c r="A215" s="2339"/>
      <c r="B215" s="7786"/>
      <c r="C215" s="2394">
        <v>12</v>
      </c>
      <c r="D215" s="2394">
        <v>11</v>
      </c>
      <c r="E215" s="2394">
        <v>11</v>
      </c>
      <c r="F215" s="2394">
        <v>11</v>
      </c>
      <c r="G215" s="2394">
        <v>11</v>
      </c>
      <c r="H215" s="2394">
        <v>11</v>
      </c>
      <c r="I215" s="2394">
        <v>11</v>
      </c>
      <c r="J215" s="2394">
        <v>11</v>
      </c>
      <c r="K215" s="2395">
        <v>11</v>
      </c>
      <c r="L215" s="2396" t="s">
        <v>9403</v>
      </c>
      <c r="M215" s="2339"/>
      <c r="N215" s="2339"/>
      <c r="O215" s="2339"/>
      <c r="P215" s="2339"/>
      <c r="Q215" s="2339"/>
      <c r="R215" s="2339"/>
      <c r="S215" s="2339"/>
      <c r="T215" s="2339"/>
      <c r="U215" s="2339"/>
      <c r="V215" s="2339"/>
      <c r="W215" s="2339"/>
      <c r="X215" s="2339"/>
      <c r="Y215" s="2339"/>
      <c r="Z215" s="2339"/>
      <c r="AA215" s="2339"/>
      <c r="AB215" s="2339"/>
      <c r="AC215" s="2339"/>
      <c r="AD215" s="2339"/>
      <c r="AE215" s="2339"/>
      <c r="AF215" s="2339"/>
      <c r="AG215" s="2339"/>
      <c r="AH215" s="2339"/>
      <c r="AI215" s="2339"/>
      <c r="AJ215" s="2339"/>
      <c r="AK215" s="2339"/>
      <c r="AL215" s="2339"/>
      <c r="AM215" s="2339"/>
      <c r="AN215" s="2339"/>
      <c r="AO215" s="2339"/>
      <c r="AP215" s="2339"/>
      <c r="AQ215" s="2339"/>
      <c r="AR215" s="2339"/>
      <c r="AS215" s="2339"/>
      <c r="AT215" s="2339"/>
      <c r="AU215" s="2339"/>
      <c r="AV215" s="2339"/>
      <c r="AW215" s="2339"/>
      <c r="AX215" s="2339"/>
      <c r="AY215" s="2339"/>
      <c r="AZ215" s="2339"/>
      <c r="BA215" s="2339"/>
      <c r="BB215" s="2339"/>
      <c r="BC215" s="2339"/>
      <c r="BD215" s="3">
        <v>1</v>
      </c>
    </row>
    <row r="216" spans="1:58" s="2341" customFormat="1" ht="21" customHeight="1" thickBot="1">
      <c r="A216" s="2339"/>
      <c r="B216" s="7787"/>
      <c r="C216" s="863">
        <f ca="1">CELL("largeur",C216)</f>
        <v>13</v>
      </c>
      <c r="D216" s="863">
        <f t="shared" ref="D216:K216" ca="1" si="11">CELL("largeur",D216)</f>
        <v>21</v>
      </c>
      <c r="E216" s="863">
        <f t="shared" ca="1" si="11"/>
        <v>13</v>
      </c>
      <c r="F216" s="863">
        <f ca="1">CELL("largeur",F216)</f>
        <v>13</v>
      </c>
      <c r="G216" s="863">
        <f t="shared" ca="1" si="11"/>
        <v>13</v>
      </c>
      <c r="H216" s="863">
        <f t="shared" ca="1" si="11"/>
        <v>13</v>
      </c>
      <c r="I216" s="863">
        <f t="shared" ca="1" si="11"/>
        <v>16</v>
      </c>
      <c r="J216" s="863">
        <f t="shared" ca="1" si="11"/>
        <v>18</v>
      </c>
      <c r="K216" s="864">
        <f t="shared" ca="1" si="11"/>
        <v>16</v>
      </c>
      <c r="L216" s="2396" t="s">
        <v>9406</v>
      </c>
      <c r="M216" s="2339"/>
      <c r="N216" s="2339"/>
      <c r="O216" s="2339"/>
      <c r="P216" s="2339"/>
      <c r="Q216" s="2339"/>
      <c r="R216" s="2339"/>
      <c r="S216" s="2339"/>
      <c r="T216" s="2339"/>
      <c r="U216" s="2339"/>
      <c r="V216" s="2339"/>
      <c r="W216" s="2339"/>
      <c r="X216" s="2339"/>
      <c r="Y216" s="2339"/>
      <c r="Z216" s="2339"/>
      <c r="AA216" s="2339"/>
      <c r="AB216" s="2339"/>
      <c r="AC216" s="2339"/>
      <c r="AD216" s="2339"/>
      <c r="AE216" s="2339"/>
      <c r="AF216" s="2339"/>
      <c r="AG216" s="2339"/>
      <c r="AH216" s="2339"/>
      <c r="AI216" s="2339"/>
      <c r="AJ216" s="2339"/>
      <c r="AK216" s="2339"/>
      <c r="AL216" s="2339"/>
      <c r="AM216" s="2339"/>
      <c r="AN216" s="2339"/>
      <c r="AO216" s="2339"/>
      <c r="AP216" s="2339"/>
      <c r="AQ216" s="2339"/>
      <c r="AR216" s="2339"/>
      <c r="AS216" s="2339"/>
      <c r="AT216" s="2339"/>
      <c r="AU216" s="2339"/>
      <c r="AV216" s="2339"/>
      <c r="AW216" s="2339"/>
      <c r="AX216" s="2339"/>
      <c r="AY216" s="2339"/>
      <c r="AZ216" s="2339"/>
      <c r="BA216" s="2339"/>
      <c r="BB216" s="2339"/>
      <c r="BC216" s="2339"/>
      <c r="BD216" s="3">
        <v>1</v>
      </c>
    </row>
    <row r="217" spans="1:58" s="2341" customFormat="1" ht="21" customHeight="1" thickBot="1">
      <c r="A217" s="2396"/>
      <c r="B217" s="2396"/>
      <c r="C217" s="2396"/>
      <c r="D217" s="2396"/>
      <c r="E217" s="2396"/>
      <c r="F217" s="2396"/>
      <c r="G217" s="2396"/>
      <c r="H217" s="2396"/>
      <c r="I217" s="2396"/>
      <c r="J217" s="2396"/>
      <c r="K217" s="2396"/>
      <c r="L217" s="2339"/>
      <c r="M217" s="2339">
        <v>1</v>
      </c>
      <c r="N217" s="2339"/>
      <c r="O217" s="2339"/>
      <c r="P217" s="2339"/>
      <c r="Q217" s="2339"/>
      <c r="R217" s="2339"/>
      <c r="S217" s="2339"/>
      <c r="T217" s="2339"/>
      <c r="U217" s="2339"/>
      <c r="V217" s="2339"/>
      <c r="W217" s="2339"/>
      <c r="X217" s="2339"/>
      <c r="Y217" s="2339"/>
      <c r="Z217" s="2339"/>
      <c r="AA217" s="2339"/>
      <c r="AB217" s="2339"/>
      <c r="AC217" s="2339"/>
      <c r="AD217" s="2339"/>
      <c r="AE217" s="2339"/>
      <c r="AF217" s="2339"/>
      <c r="AG217" s="2339"/>
      <c r="AH217" s="2339"/>
      <c r="AI217" s="2339"/>
      <c r="AJ217" s="2339"/>
      <c r="AK217" s="2339"/>
      <c r="AL217" s="2339"/>
      <c r="AM217" s="2339"/>
      <c r="AN217" s="2339"/>
      <c r="AO217" s="2339"/>
      <c r="AP217" s="2339"/>
      <c r="AQ217" s="2339"/>
      <c r="AR217" s="2339"/>
      <c r="AS217" s="2339"/>
      <c r="AT217" s="2339"/>
      <c r="AU217" s="2339"/>
      <c r="AV217" s="2339"/>
      <c r="AW217" s="2339"/>
      <c r="AX217" s="2339"/>
      <c r="AY217" s="2339"/>
      <c r="AZ217" s="2339"/>
      <c r="BA217" s="2339"/>
      <c r="BB217" s="2339"/>
      <c r="BC217" s="2339"/>
      <c r="BD217" s="3">
        <v>1</v>
      </c>
    </row>
    <row r="218" spans="1:58" s="2341" customFormat="1" ht="21" customHeight="1">
      <c r="A218" s="2339"/>
      <c r="B218" s="2355" t="s">
        <v>166</v>
      </c>
      <c r="C218" s="2634" t="s">
        <v>9523</v>
      </c>
      <c r="D218" s="2635"/>
      <c r="E218" s="2635"/>
      <c r="F218" s="2635"/>
      <c r="G218" s="2635"/>
      <c r="H218" s="2635"/>
      <c r="I218" s="2635"/>
      <c r="J218" s="2635"/>
      <c r="K218" s="2636" t="s">
        <v>9524</v>
      </c>
      <c r="L218" s="2339"/>
      <c r="M218" s="2355" t="s">
        <v>166</v>
      </c>
      <c r="N218" s="7706" t="s">
        <v>9525</v>
      </c>
      <c r="O218" s="7706"/>
      <c r="P218" s="7706"/>
      <c r="Q218" s="7706"/>
      <c r="R218" s="7706"/>
      <c r="S218" s="7706"/>
      <c r="T218" s="7707"/>
      <c r="U218" s="2339"/>
      <c r="V218" s="2339"/>
      <c r="W218" s="2339"/>
      <c r="X218" s="2339"/>
      <c r="Y218" s="2339"/>
      <c r="Z218" s="2339"/>
      <c r="AA218" s="2339"/>
      <c r="AB218" s="2339"/>
      <c r="AC218" s="2339"/>
      <c r="AD218" s="2339"/>
      <c r="AE218" s="2339"/>
      <c r="AF218" s="2339"/>
      <c r="AG218" s="2339"/>
      <c r="AH218" s="2339"/>
      <c r="AI218" s="2339"/>
      <c r="AJ218" s="2339"/>
      <c r="AK218" s="2339"/>
      <c r="AL218" s="2339"/>
      <c r="AM218" s="2339"/>
      <c r="AN218" s="2339"/>
      <c r="AO218" s="2339"/>
      <c r="AP218" s="2339"/>
      <c r="AQ218" s="2339"/>
      <c r="AR218" s="2339"/>
      <c r="AS218" s="2339"/>
      <c r="AT218" s="2339"/>
      <c r="AU218" s="2339"/>
      <c r="AV218" s="2339"/>
      <c r="AW218" s="2339"/>
      <c r="AX218" s="2339"/>
      <c r="AY218" s="2339"/>
      <c r="AZ218" s="2339"/>
      <c r="BA218" s="2339"/>
      <c r="BB218" s="2339"/>
      <c r="BC218" s="2339"/>
      <c r="BD218" s="3">
        <v>1</v>
      </c>
    </row>
    <row r="219" spans="1:58" s="2341" customFormat="1" ht="21" customHeight="1">
      <c r="A219" s="2339"/>
      <c r="B219" s="7786">
        <v>3</v>
      </c>
      <c r="C219" s="2637" t="str">
        <f>ADDRESS(ROW(),COLUMN(),4)</f>
        <v>C219</v>
      </c>
      <c r="D219" s="2638"/>
      <c r="E219" s="2638"/>
      <c r="F219" s="2639"/>
      <c r="G219" s="2638"/>
      <c r="H219" s="2638"/>
      <c r="I219" s="2640"/>
      <c r="J219" s="2640"/>
      <c r="K219" s="2641"/>
      <c r="L219" s="2339"/>
      <c r="M219" s="7786">
        <v>3</v>
      </c>
      <c r="N219" s="2642" t="str">
        <f>ADDRESS(ROW(),COLUMN(),4)</f>
        <v>N219</v>
      </c>
      <c r="O219" s="2615" t="s">
        <v>9521</v>
      </c>
      <c r="P219" s="5619"/>
      <c r="Q219" s="5619"/>
      <c r="R219" s="5619"/>
      <c r="S219" s="5619"/>
      <c r="T219" s="5620"/>
      <c r="U219" s="2339"/>
      <c r="V219" s="2339"/>
      <c r="W219" s="2339"/>
      <c r="X219" s="2339"/>
      <c r="Y219" s="2339"/>
      <c r="Z219" s="2339"/>
      <c r="AA219" s="2339"/>
      <c r="AB219" s="2339"/>
      <c r="AC219" s="2339"/>
      <c r="AD219" s="2339"/>
      <c r="AE219" s="2339"/>
      <c r="AF219" s="2339"/>
      <c r="AG219" s="2339"/>
      <c r="AH219" s="2339"/>
      <c r="AI219" s="2339"/>
      <c r="AJ219" s="2339"/>
      <c r="AK219" s="2339"/>
      <c r="AL219" s="2339"/>
      <c r="AM219" s="2339"/>
      <c r="AN219" s="2339"/>
      <c r="AO219" s="2339"/>
      <c r="AP219" s="2339"/>
      <c r="AQ219" s="2339"/>
      <c r="AR219" s="2339"/>
      <c r="AS219" s="2339"/>
      <c r="AT219" s="2339"/>
      <c r="AU219" s="2339"/>
      <c r="AV219" s="2339"/>
      <c r="AW219" s="2339"/>
      <c r="AX219" s="2339"/>
      <c r="AY219" s="2339"/>
      <c r="AZ219" s="2339"/>
      <c r="BA219" s="2339"/>
      <c r="BB219" s="2339"/>
      <c r="BC219" s="2339"/>
      <c r="BD219" s="3">
        <v>1</v>
      </c>
    </row>
    <row r="220" spans="1:58" s="2341" customFormat="1" ht="21" customHeight="1">
      <c r="A220" s="2339"/>
      <c r="B220" s="7786"/>
      <c r="C220" s="2639"/>
      <c r="D220" s="2643" t="s">
        <v>723</v>
      </c>
      <c r="E220" s="2644">
        <v>1</v>
      </c>
      <c r="F220" s="5640"/>
      <c r="G220" s="2645" t="s">
        <v>723</v>
      </c>
      <c r="H220" s="2644">
        <v>1</v>
      </c>
      <c r="I220" s="5641"/>
      <c r="J220" s="2643" t="s">
        <v>723</v>
      </c>
      <c r="K220" s="2646">
        <v>1</v>
      </c>
      <c r="L220" s="2339"/>
      <c r="M220" s="7786"/>
      <c r="N220" s="7788" t="s">
        <v>9526</v>
      </c>
      <c r="O220" s="7788"/>
      <c r="P220" s="7790" t="s">
        <v>9527</v>
      </c>
      <c r="Q220" s="7790"/>
      <c r="R220" s="7790"/>
      <c r="S220" s="7790"/>
      <c r="T220" s="7791"/>
      <c r="U220" s="2339"/>
      <c r="V220" s="2339"/>
      <c r="W220" s="2339"/>
      <c r="X220" s="2339"/>
      <c r="Y220" s="2339"/>
      <c r="Z220" s="2339"/>
      <c r="AA220" s="2339"/>
      <c r="AB220" s="2339"/>
      <c r="AC220" s="2339"/>
      <c r="AD220" s="2339"/>
      <c r="AE220" s="2339"/>
      <c r="AF220" s="2339"/>
      <c r="AG220" s="2339"/>
      <c r="AH220" s="2339"/>
      <c r="AI220" s="2339"/>
      <c r="AJ220" s="2339"/>
      <c r="AK220" s="2339"/>
      <c r="AL220" s="2339"/>
      <c r="AM220" s="2339"/>
      <c r="AN220" s="2339"/>
      <c r="AO220" s="2339"/>
      <c r="AP220" s="2339"/>
      <c r="AQ220" s="2339"/>
      <c r="AR220" s="2339"/>
      <c r="AS220" s="2339"/>
      <c r="AT220" s="2339"/>
      <c r="AU220" s="2339"/>
      <c r="AV220" s="2339"/>
      <c r="AW220" s="2339"/>
      <c r="AX220" s="2339"/>
      <c r="AY220" s="2339"/>
      <c r="AZ220" s="2339"/>
      <c r="BA220" s="2339"/>
      <c r="BB220" s="2339"/>
      <c r="BC220" s="2339"/>
      <c r="BD220" s="3">
        <v>1</v>
      </c>
    </row>
    <row r="221" spans="1:58" s="2341" customFormat="1" ht="21" customHeight="1">
      <c r="A221" s="2339"/>
      <c r="B221" s="7786"/>
      <c r="C221" s="1265"/>
      <c r="D221" s="2647" t="s">
        <v>721</v>
      </c>
      <c r="E221" s="5642">
        <v>2</v>
      </c>
      <c r="F221" s="5643"/>
      <c r="G221" s="2648" t="s">
        <v>9528</v>
      </c>
      <c r="H221" s="5642">
        <v>2</v>
      </c>
      <c r="I221" s="5644"/>
      <c r="J221" s="2647" t="s">
        <v>735</v>
      </c>
      <c r="K221" s="2649">
        <v>50</v>
      </c>
      <c r="L221" s="2339"/>
      <c r="M221" s="7786"/>
      <c r="N221" s="7789"/>
      <c r="O221" s="7789"/>
      <c r="P221" s="7792"/>
      <c r="Q221" s="7792"/>
      <c r="R221" s="7792"/>
      <c r="S221" s="7792"/>
      <c r="T221" s="7793"/>
      <c r="U221" s="2339"/>
      <c r="V221" s="2339"/>
      <c r="W221" s="2339"/>
      <c r="X221" s="2339"/>
      <c r="Y221" s="2339"/>
      <c r="Z221" s="2339"/>
      <c r="AA221" s="2339"/>
      <c r="AB221" s="2339"/>
      <c r="AC221" s="2339"/>
      <c r="AD221" s="2339"/>
      <c r="AE221" s="2339"/>
      <c r="AF221" s="2339"/>
      <c r="AG221" s="2339"/>
      <c r="AH221" s="2339"/>
      <c r="AI221" s="2339"/>
      <c r="AJ221" s="2339"/>
      <c r="AK221" s="2339"/>
      <c r="AL221" s="2339"/>
      <c r="AM221" s="2339"/>
      <c r="AN221" s="2339"/>
      <c r="AO221" s="2339"/>
      <c r="AP221" s="2339"/>
      <c r="AQ221" s="2339"/>
      <c r="AR221" s="2339"/>
      <c r="AS221" s="2339"/>
      <c r="AT221" s="2339"/>
      <c r="AU221" s="2339"/>
      <c r="AV221" s="2339"/>
      <c r="AW221" s="2339"/>
      <c r="AX221" s="2339"/>
      <c r="AY221" s="2339"/>
      <c r="AZ221" s="2339"/>
      <c r="BA221" s="2339"/>
      <c r="BB221" s="2339"/>
      <c r="BC221" s="2339"/>
      <c r="BD221" s="3">
        <v>1</v>
      </c>
    </row>
    <row r="222" spans="1:58" s="2341" customFormat="1" ht="21" customHeight="1">
      <c r="A222" s="2339"/>
      <c r="B222" s="7786"/>
      <c r="C222" s="1265"/>
      <c r="D222" s="2650" t="s">
        <v>727</v>
      </c>
      <c r="E222" s="5645">
        <f>IF(E220=0,0,IF(E221=0,0,E221-E220))</f>
        <v>1</v>
      </c>
      <c r="F222" s="5643"/>
      <c r="G222" s="2650" t="s">
        <v>9529</v>
      </c>
      <c r="H222" s="5645">
        <f>IF(H220=0,0,H220+H221)</f>
        <v>3</v>
      </c>
      <c r="I222" s="5644"/>
      <c r="J222" s="2650" t="s">
        <v>727</v>
      </c>
      <c r="K222" s="2651">
        <f>K223*K221%</f>
        <v>1</v>
      </c>
      <c r="L222" s="2339"/>
      <c r="M222" s="7786"/>
      <c r="N222" s="7794" t="s">
        <v>9530</v>
      </c>
      <c r="O222" s="7695">
        <f>SUM(N226:N235)</f>
        <v>0.97000000000000008</v>
      </c>
      <c r="P222" s="7697" t="str">
        <f>IF(N225&lt;S225,"Recette incomplète, il manque",IF(N225&gt;S225,"Trop de produits dans la recette",IF(N225=S225,"OK")))</f>
        <v>Recette incomplète, il manque</v>
      </c>
      <c r="Q222" s="7697"/>
      <c r="R222" s="7697"/>
      <c r="S222" s="7697"/>
      <c r="T222" s="7796">
        <f>IF(N225=S225,"",IF(N225&lt;S225,S225-N225,IF(N225&gt;S225,N225-S225)))</f>
        <v>2.9999999999999916E-2</v>
      </c>
      <c r="U222" s="2339"/>
      <c r="V222" s="2339"/>
      <c r="W222" s="2339"/>
      <c r="X222" s="2339"/>
      <c r="Y222" s="2339"/>
      <c r="Z222" s="2339"/>
      <c r="AA222" s="2339"/>
      <c r="AB222" s="2339"/>
      <c r="AC222" s="2339"/>
      <c r="AD222" s="2339"/>
      <c r="AE222" s="2339"/>
      <c r="AF222" s="2339"/>
      <c r="AG222" s="2339"/>
      <c r="AH222" s="2339"/>
      <c r="AI222" s="2339"/>
      <c r="AJ222" s="2339"/>
      <c r="AK222" s="2339"/>
      <c r="AL222" s="2339"/>
      <c r="AM222" s="2339"/>
      <c r="AN222" s="2339"/>
      <c r="AO222" s="2339"/>
      <c r="AP222" s="2339"/>
      <c r="AQ222" s="2339"/>
      <c r="AR222" s="2339"/>
      <c r="AS222" s="2339"/>
      <c r="AT222" s="2339"/>
      <c r="AU222" s="2339"/>
      <c r="AV222" s="2339"/>
      <c r="AW222" s="2339"/>
      <c r="AX222" s="2339"/>
      <c r="AY222" s="2339"/>
      <c r="AZ222" s="2339"/>
      <c r="BA222" s="2339"/>
      <c r="BB222" s="2339"/>
      <c r="BC222" s="2339"/>
      <c r="BD222" s="3">
        <v>1</v>
      </c>
    </row>
    <row r="223" spans="1:58" s="2341" customFormat="1" ht="21" customHeight="1">
      <c r="A223" s="2339"/>
      <c r="B223" s="7786"/>
      <c r="C223" s="5646"/>
      <c r="D223" s="5647" t="s">
        <v>731</v>
      </c>
      <c r="E223" s="5648">
        <f>IF(E220=0,0,IF(E221=0,0,E222/E221))</f>
        <v>0.5</v>
      </c>
      <c r="F223" s="5649"/>
      <c r="G223" s="5647" t="s">
        <v>731</v>
      </c>
      <c r="H223" s="5648">
        <f>IF(H220=0,0,H221/H222)</f>
        <v>0.66666666666666663</v>
      </c>
      <c r="I223" s="5650"/>
      <c r="J223" s="5647" t="s">
        <v>9529</v>
      </c>
      <c r="K223" s="5651">
        <f>K220/(100-K221)*100</f>
        <v>2</v>
      </c>
      <c r="L223" s="2339"/>
      <c r="M223" s="7786"/>
      <c r="N223" s="7795"/>
      <c r="O223" s="7696"/>
      <c r="P223" s="7698"/>
      <c r="Q223" s="7698"/>
      <c r="R223" s="7698"/>
      <c r="S223" s="7698"/>
      <c r="T223" s="7797"/>
      <c r="U223" s="2339"/>
      <c r="V223" s="2339"/>
      <c r="W223" s="2339"/>
      <c r="X223" s="2339"/>
      <c r="Y223" s="2339"/>
      <c r="Z223" s="2339"/>
      <c r="AA223" s="2339"/>
      <c r="AB223" s="2339"/>
      <c r="AC223" s="2339"/>
      <c r="AD223" s="2339"/>
      <c r="AE223" s="2339"/>
      <c r="AF223" s="2339"/>
      <c r="AG223" s="2339"/>
      <c r="AH223" s="2339"/>
      <c r="AI223" s="2339"/>
      <c r="AJ223" s="2339"/>
      <c r="AK223" s="2339"/>
      <c r="AL223" s="2339"/>
      <c r="AM223" s="2339"/>
      <c r="AN223" s="2339"/>
      <c r="AO223" s="2339"/>
      <c r="AP223" s="2339"/>
      <c r="AQ223" s="2339"/>
      <c r="AR223" s="2339"/>
      <c r="AS223" s="2339"/>
      <c r="AT223" s="2339"/>
      <c r="AU223" s="2339"/>
      <c r="AV223" s="2339"/>
      <c r="AW223" s="2339"/>
      <c r="AX223" s="2339"/>
      <c r="AY223" s="2339"/>
      <c r="AZ223" s="2339"/>
      <c r="BA223" s="2339"/>
      <c r="BB223" s="2339"/>
      <c r="BC223" s="2339"/>
      <c r="BD223" s="3">
        <v>1</v>
      </c>
    </row>
    <row r="224" spans="1:58" s="2341" customFormat="1" ht="21" customHeight="1">
      <c r="A224" s="2339"/>
      <c r="B224" s="7786"/>
      <c r="C224" s="2639"/>
      <c r="D224" s="2652" t="s">
        <v>721</v>
      </c>
      <c r="E224" s="2653">
        <v>2</v>
      </c>
      <c r="F224" s="5640"/>
      <c r="G224" s="2652" t="s">
        <v>721</v>
      </c>
      <c r="H224" s="2653">
        <v>2</v>
      </c>
      <c r="I224" s="5641"/>
      <c r="J224" s="2652" t="s">
        <v>721</v>
      </c>
      <c r="K224" s="2654">
        <v>1</v>
      </c>
      <c r="L224" s="2339"/>
      <c r="M224" s="7786"/>
      <c r="N224" s="5652" t="s">
        <v>9531</v>
      </c>
      <c r="O224" s="2655"/>
      <c r="P224" s="2655"/>
      <c r="Q224" s="2655"/>
      <c r="R224" s="5653" t="s">
        <v>1554</v>
      </c>
      <c r="S224" s="5654" t="s">
        <v>9532</v>
      </c>
      <c r="T224" s="5655" t="s">
        <v>9533</v>
      </c>
      <c r="U224" s="2339"/>
      <c r="V224" s="2339"/>
      <c r="W224" s="2339"/>
      <c r="X224" s="2339"/>
      <c r="Y224" s="2339"/>
      <c r="Z224" s="2339"/>
      <c r="AA224" s="2339"/>
      <c r="AB224" s="2339"/>
      <c r="AC224" s="2339"/>
      <c r="AD224" s="2339"/>
      <c r="AE224" s="2339"/>
      <c r="AF224" s="2339"/>
      <c r="AG224" s="2339"/>
      <c r="AH224" s="2339"/>
      <c r="AI224" s="2339"/>
      <c r="AJ224" s="2339"/>
      <c r="AK224" s="2339"/>
      <c r="AL224" s="2339"/>
      <c r="AM224" s="2339"/>
      <c r="AN224" s="2339"/>
      <c r="AO224" s="2339"/>
      <c r="AP224" s="2339"/>
      <c r="AQ224" s="2339"/>
      <c r="AR224" s="2339"/>
      <c r="AS224" s="2339"/>
      <c r="AT224" s="2339"/>
      <c r="AU224" s="2339"/>
      <c r="AV224" s="2339"/>
      <c r="AW224" s="2339"/>
      <c r="AX224" s="2339"/>
      <c r="AY224" s="2339"/>
      <c r="AZ224" s="2339"/>
      <c r="BA224" s="2339"/>
      <c r="BB224" s="2339"/>
      <c r="BC224" s="2339"/>
      <c r="BD224" s="3">
        <v>1</v>
      </c>
    </row>
    <row r="225" spans="1:58" s="2341" customFormat="1" ht="21" customHeight="1">
      <c r="A225" s="2339"/>
      <c r="B225" s="7786"/>
      <c r="C225" s="1265"/>
      <c r="D225" s="2656" t="s">
        <v>723</v>
      </c>
      <c r="E225" s="5656">
        <v>1</v>
      </c>
      <c r="F225" s="5643"/>
      <c r="G225" s="2656" t="s">
        <v>9528</v>
      </c>
      <c r="H225" s="5656">
        <v>1</v>
      </c>
      <c r="I225" s="5644"/>
      <c r="J225" s="2656" t="s">
        <v>735</v>
      </c>
      <c r="K225" s="2657">
        <v>50</v>
      </c>
      <c r="L225" s="2339"/>
      <c r="M225" s="7786"/>
      <c r="N225" s="5657">
        <f>SUM(N226:N235)</f>
        <v>0.97000000000000008</v>
      </c>
      <c r="O225" s="2658"/>
      <c r="P225" s="2659"/>
      <c r="Q225" s="2660" t="s">
        <v>9534</v>
      </c>
      <c r="R225" s="5658">
        <v>7</v>
      </c>
      <c r="S225" s="5659">
        <v>1</v>
      </c>
      <c r="T225" s="2661">
        <f>SUM(T226:T235)</f>
        <v>6.9300000000000006</v>
      </c>
      <c r="U225" s="2339"/>
      <c r="V225" s="2339"/>
      <c r="W225" s="2339"/>
      <c r="X225" s="2339"/>
      <c r="Y225" s="2339"/>
      <c r="Z225" s="2339"/>
      <c r="AA225" s="2339"/>
      <c r="AB225" s="2339"/>
      <c r="AC225" s="2339"/>
      <c r="AD225" s="2339"/>
      <c r="AE225" s="2339"/>
      <c r="AF225" s="2339"/>
      <c r="AG225" s="2339"/>
      <c r="AH225" s="2339"/>
      <c r="AI225" s="2339"/>
      <c r="AJ225" s="2339"/>
      <c r="AK225" s="2339"/>
      <c r="AL225" s="2339"/>
      <c r="AM225" s="2339"/>
      <c r="AN225" s="2339"/>
      <c r="AO225" s="2339"/>
      <c r="AP225" s="2339"/>
      <c r="AQ225" s="2339"/>
      <c r="AR225" s="2339"/>
      <c r="AS225" s="2339"/>
      <c r="AT225" s="2339"/>
      <c r="AU225" s="2339"/>
      <c r="AV225" s="2339"/>
      <c r="AW225" s="2339"/>
      <c r="AX225" s="2339"/>
      <c r="AY225" s="2339"/>
      <c r="AZ225" s="2339"/>
      <c r="BA225" s="2339"/>
      <c r="BB225" s="2339"/>
      <c r="BC225" s="2339"/>
      <c r="BD225" s="3">
        <v>1</v>
      </c>
    </row>
    <row r="226" spans="1:58" s="2341" customFormat="1" ht="21" customHeight="1">
      <c r="A226" s="2339"/>
      <c r="B226" s="7786"/>
      <c r="C226" s="1265"/>
      <c r="D226" s="2650" t="s">
        <v>727</v>
      </c>
      <c r="E226" s="5645">
        <f>IF(E224=0,0,IF(E225=0,0,E224-E225))</f>
        <v>1</v>
      </c>
      <c r="F226" s="5643"/>
      <c r="G226" s="2650" t="s">
        <v>738</v>
      </c>
      <c r="H226" s="5645">
        <f>IF(H224=0,0,IF(H225=0,0,H224-H225))</f>
        <v>1</v>
      </c>
      <c r="I226" s="5644"/>
      <c r="J226" s="2650" t="s">
        <v>727</v>
      </c>
      <c r="K226" s="2651">
        <f>K224*K225%</f>
        <v>0.5</v>
      </c>
      <c r="L226" s="2339"/>
      <c r="M226" s="7786"/>
      <c r="N226" s="5660">
        <v>0.12</v>
      </c>
      <c r="O226" s="2662" t="s">
        <v>9535</v>
      </c>
      <c r="P226" s="2662"/>
      <c r="Q226" s="2662"/>
      <c r="R226" s="5661">
        <f>R225*N226</f>
        <v>0.84</v>
      </c>
      <c r="S226" s="2663">
        <v>0</v>
      </c>
      <c r="T226" s="2664">
        <f t="shared" ref="T226:T235" si="12">IF(S226=0,R226,IF(R226="","",R226/(100-S226)*100))</f>
        <v>0.84</v>
      </c>
      <c r="U226" s="2339"/>
      <c r="V226" s="2339"/>
      <c r="W226" s="2339"/>
      <c r="X226" s="2339"/>
      <c r="Y226" s="2339"/>
      <c r="Z226" s="2339"/>
      <c r="AA226" s="2339"/>
      <c r="AB226" s="2339"/>
      <c r="AC226" s="2339"/>
      <c r="AD226" s="2339"/>
      <c r="AE226" s="2339"/>
      <c r="AF226" s="2339"/>
      <c r="AG226" s="2339"/>
      <c r="AH226" s="2339"/>
      <c r="AI226" s="2339"/>
      <c r="AJ226" s="2339"/>
      <c r="AK226" s="2339"/>
      <c r="AL226" s="2339"/>
      <c r="AM226" s="2339"/>
      <c r="AN226" s="2339"/>
      <c r="AO226" s="2339"/>
      <c r="AP226" s="2339"/>
      <c r="AQ226" s="2339"/>
      <c r="AR226" s="2339"/>
      <c r="AS226" s="2339"/>
      <c r="AT226" s="2339"/>
      <c r="AU226" s="2339"/>
      <c r="AV226" s="2339"/>
      <c r="AW226" s="2339"/>
      <c r="AX226" s="2339"/>
      <c r="AY226" s="2339"/>
      <c r="AZ226" s="2339"/>
      <c r="BA226" s="2339"/>
      <c r="BB226" s="2339"/>
      <c r="BC226" s="2339"/>
      <c r="BD226" s="3">
        <v>1</v>
      </c>
    </row>
    <row r="227" spans="1:58" s="2341" customFormat="1" ht="21" customHeight="1">
      <c r="A227" s="2339"/>
      <c r="B227" s="7786"/>
      <c r="C227" s="5646"/>
      <c r="D227" s="5647" t="s">
        <v>731</v>
      </c>
      <c r="E227" s="5648">
        <f>IF(E224=0,0,E226/E224)</f>
        <v>0.5</v>
      </c>
      <c r="F227" s="5649"/>
      <c r="G227" s="5647" t="s">
        <v>731</v>
      </c>
      <c r="H227" s="5648">
        <f>IF(H224=0,0,IF(H225=0,0,H225/H224))</f>
        <v>0.5</v>
      </c>
      <c r="I227" s="5650"/>
      <c r="J227" s="5647" t="s">
        <v>738</v>
      </c>
      <c r="K227" s="5662">
        <f>K224-K226</f>
        <v>0.5</v>
      </c>
      <c r="L227" s="2339"/>
      <c r="M227" s="7786"/>
      <c r="N227" s="5660">
        <v>0.08</v>
      </c>
      <c r="O227" s="2662" t="s">
        <v>9536</v>
      </c>
      <c r="P227" s="2662"/>
      <c r="Q227" s="2662"/>
      <c r="R227" s="2665">
        <f>R225*N227</f>
        <v>0.56000000000000005</v>
      </c>
      <c r="S227" s="2666">
        <v>0</v>
      </c>
      <c r="T227" s="2664">
        <f t="shared" si="12"/>
        <v>0.56000000000000005</v>
      </c>
      <c r="U227" s="2339"/>
      <c r="V227" s="2339"/>
      <c r="W227" s="2339"/>
      <c r="X227" s="2339"/>
      <c r="Y227" s="2339"/>
      <c r="Z227" s="2339"/>
      <c r="AA227" s="2339"/>
      <c r="AB227" s="2339"/>
      <c r="AC227" s="2339"/>
      <c r="AD227" s="2339"/>
      <c r="AE227" s="2339"/>
      <c r="AF227" s="2339"/>
      <c r="AG227" s="2339"/>
      <c r="AH227" s="2339"/>
      <c r="AI227" s="2339"/>
      <c r="AJ227" s="2339"/>
      <c r="AK227" s="2339"/>
      <c r="AL227" s="2339"/>
      <c r="AM227" s="2339"/>
      <c r="AN227" s="2339"/>
      <c r="AO227" s="2339"/>
      <c r="AP227" s="2339"/>
      <c r="AQ227" s="2339"/>
      <c r="AR227" s="2339"/>
      <c r="AS227" s="2339"/>
      <c r="AT227" s="2339"/>
      <c r="AU227" s="2339"/>
      <c r="AV227" s="2339"/>
      <c r="AW227" s="2339"/>
      <c r="AX227" s="2339"/>
      <c r="AY227" s="2339"/>
      <c r="AZ227" s="2339"/>
      <c r="BA227" s="2339"/>
      <c r="BB227" s="2339"/>
      <c r="BC227" s="2339"/>
      <c r="BD227" s="3">
        <v>1</v>
      </c>
    </row>
    <row r="228" spans="1:58" s="2341" customFormat="1" ht="21" customHeight="1">
      <c r="A228" s="2339"/>
      <c r="B228" s="7786"/>
      <c r="C228" s="7798" t="s">
        <v>9522</v>
      </c>
      <c r="D228" s="7798"/>
      <c r="E228" s="7798"/>
      <c r="F228" s="7798"/>
      <c r="G228" s="7798"/>
      <c r="H228" s="7798"/>
      <c r="I228" s="7798"/>
      <c r="J228" s="7798"/>
      <c r="K228" s="7799"/>
      <c r="L228" s="2339"/>
      <c r="M228" s="7786"/>
      <c r="N228" s="5660">
        <v>0.2</v>
      </c>
      <c r="O228" s="2662" t="s">
        <v>9537</v>
      </c>
      <c r="P228" s="2662"/>
      <c r="Q228" s="2662"/>
      <c r="R228" s="2665">
        <f>R225*N228</f>
        <v>1.4000000000000001</v>
      </c>
      <c r="S228" s="2666">
        <v>0</v>
      </c>
      <c r="T228" s="2664">
        <f t="shared" si="12"/>
        <v>1.4000000000000001</v>
      </c>
      <c r="U228" s="2339"/>
      <c r="V228" s="2339"/>
      <c r="W228" s="2339"/>
      <c r="X228" s="2339"/>
      <c r="Y228" s="2339"/>
      <c r="Z228" s="2339"/>
      <c r="AA228" s="2339"/>
      <c r="AB228" s="2339"/>
      <c r="AC228" s="2339"/>
      <c r="AD228" s="2339"/>
      <c r="AE228" s="2339"/>
      <c r="AF228" s="2339"/>
      <c r="AG228" s="2339"/>
      <c r="AH228" s="2339"/>
      <c r="AI228" s="2339"/>
      <c r="AJ228" s="2339"/>
      <c r="AK228" s="2339"/>
      <c r="AL228" s="2339"/>
      <c r="AM228" s="2339"/>
      <c r="AN228" s="2339"/>
      <c r="AO228" s="2339"/>
      <c r="AP228" s="2339"/>
      <c r="AQ228" s="2339"/>
      <c r="AR228" s="2339"/>
      <c r="AS228" s="2339"/>
      <c r="AT228" s="2339"/>
      <c r="AU228" s="2339"/>
      <c r="AV228" s="2339"/>
      <c r="AW228" s="2339"/>
      <c r="AX228" s="2339"/>
      <c r="AY228" s="2339"/>
      <c r="AZ228" s="2339"/>
      <c r="BA228" s="2339"/>
      <c r="BB228" s="2339"/>
      <c r="BC228" s="2339"/>
      <c r="BD228" s="3">
        <v>1</v>
      </c>
    </row>
    <row r="229" spans="1:58" s="2341" customFormat="1" ht="21" customHeight="1">
      <c r="A229" s="2339"/>
      <c r="B229" s="7786"/>
      <c r="C229" s="2394">
        <v>8</v>
      </c>
      <c r="D229" s="2394">
        <v>8</v>
      </c>
      <c r="E229" s="2394">
        <v>11</v>
      </c>
      <c r="F229" s="2394">
        <v>8</v>
      </c>
      <c r="G229" s="2394">
        <v>8</v>
      </c>
      <c r="H229" s="2394">
        <v>11</v>
      </c>
      <c r="I229" s="2394">
        <v>8</v>
      </c>
      <c r="J229" s="2394">
        <v>8</v>
      </c>
      <c r="K229" s="2395">
        <v>11</v>
      </c>
      <c r="L229" s="2339"/>
      <c r="M229" s="7786"/>
      <c r="N229" s="5660">
        <v>0.55000000000000004</v>
      </c>
      <c r="O229" s="2662" t="s">
        <v>9538</v>
      </c>
      <c r="P229" s="2662"/>
      <c r="Q229" s="2662"/>
      <c r="R229" s="2665">
        <f>R225*N229</f>
        <v>3.8500000000000005</v>
      </c>
      <c r="S229" s="2666">
        <v>0</v>
      </c>
      <c r="T229" s="2664">
        <f t="shared" si="12"/>
        <v>3.8500000000000005</v>
      </c>
      <c r="U229" s="2339"/>
      <c r="V229" s="2339"/>
      <c r="W229" s="2339"/>
      <c r="X229" s="2339"/>
      <c r="Y229" s="2339"/>
      <c r="Z229" s="2339"/>
      <c r="AA229" s="2339"/>
      <c r="AB229" s="2339"/>
      <c r="AC229" s="2339"/>
      <c r="AD229" s="2339"/>
      <c r="AE229" s="2339"/>
      <c r="AF229" s="2339"/>
      <c r="AG229" s="2339"/>
      <c r="AH229" s="2339"/>
      <c r="AI229" s="2339"/>
      <c r="AJ229" s="2339"/>
      <c r="AK229" s="2339"/>
      <c r="AL229" s="2339"/>
      <c r="AM229" s="2339"/>
      <c r="AN229" s="2339"/>
      <c r="AO229" s="2339"/>
      <c r="AP229" s="2339"/>
      <c r="AQ229" s="2339"/>
      <c r="AR229" s="2339"/>
      <c r="AS229" s="2339"/>
      <c r="AT229" s="2339"/>
      <c r="AU229" s="2339"/>
      <c r="AV229" s="2339"/>
      <c r="AW229" s="2339"/>
      <c r="AX229" s="2339"/>
      <c r="AY229" s="2339"/>
      <c r="AZ229" s="2339"/>
      <c r="BA229" s="2339"/>
      <c r="BB229" s="2339"/>
      <c r="BC229" s="2339"/>
      <c r="BD229" s="3">
        <v>1</v>
      </c>
    </row>
    <row r="230" spans="1:58" s="2341" customFormat="1" ht="21" customHeight="1" thickBot="1">
      <c r="A230" s="2339"/>
      <c r="B230" s="7787"/>
      <c r="C230" s="863">
        <f t="shared" ref="C230:K230" ca="1" si="13">CELL("largeur",C230)</f>
        <v>13</v>
      </c>
      <c r="D230" s="863">
        <f t="shared" ca="1" si="13"/>
        <v>21</v>
      </c>
      <c r="E230" s="863">
        <f t="shared" ca="1" si="13"/>
        <v>13</v>
      </c>
      <c r="F230" s="863">
        <f t="shared" ca="1" si="13"/>
        <v>13</v>
      </c>
      <c r="G230" s="863">
        <f t="shared" ca="1" si="13"/>
        <v>13</v>
      </c>
      <c r="H230" s="863">
        <f t="shared" ca="1" si="13"/>
        <v>13</v>
      </c>
      <c r="I230" s="863">
        <f t="shared" ca="1" si="13"/>
        <v>16</v>
      </c>
      <c r="J230" s="863">
        <f t="shared" ca="1" si="13"/>
        <v>18</v>
      </c>
      <c r="K230" s="864">
        <f t="shared" ca="1" si="13"/>
        <v>16</v>
      </c>
      <c r="L230" s="2339"/>
      <c r="M230" s="7786"/>
      <c r="N230" s="5660">
        <v>0.02</v>
      </c>
      <c r="O230" s="2662" t="s">
        <v>9539</v>
      </c>
      <c r="P230" s="2662"/>
      <c r="Q230" s="2662"/>
      <c r="R230" s="2665">
        <f>R225*N230</f>
        <v>0.14000000000000001</v>
      </c>
      <c r="S230" s="2666">
        <v>50</v>
      </c>
      <c r="T230" s="2664">
        <f t="shared" si="12"/>
        <v>0.28000000000000003</v>
      </c>
      <c r="U230" s="2339"/>
      <c r="V230" s="2339"/>
      <c r="W230" s="2339"/>
      <c r="X230" s="2339"/>
      <c r="Y230" s="2339"/>
      <c r="Z230" s="2339"/>
      <c r="AA230" s="2339"/>
      <c r="AB230" s="2339"/>
      <c r="AC230" s="2339"/>
      <c r="AD230" s="2339"/>
      <c r="AE230" s="2339"/>
      <c r="AF230" s="2339"/>
      <c r="AG230" s="2339"/>
      <c r="AH230" s="2339"/>
      <c r="AI230" s="2339"/>
      <c r="AJ230" s="2339"/>
      <c r="AK230" s="2339"/>
      <c r="AL230" s="2339"/>
      <c r="AM230" s="2339"/>
      <c r="AN230" s="2339"/>
      <c r="AO230" s="2339"/>
      <c r="AP230" s="2339"/>
      <c r="AQ230" s="2339"/>
      <c r="AR230" s="2339"/>
      <c r="AS230" s="2339"/>
      <c r="AT230" s="2339"/>
      <c r="AU230" s="2339"/>
      <c r="AV230" s="2339"/>
      <c r="AW230" s="2339"/>
      <c r="AX230" s="2339"/>
      <c r="AY230" s="2339"/>
      <c r="AZ230" s="2339"/>
      <c r="BA230" s="2339"/>
      <c r="BB230" s="2339"/>
      <c r="BC230" s="2339"/>
      <c r="BD230" s="3">
        <v>1</v>
      </c>
    </row>
    <row r="231" spans="1:58" s="2341" customFormat="1" ht="21" customHeight="1" thickBot="1">
      <c r="A231" s="2339">
        <v>1</v>
      </c>
      <c r="B231" s="2339">
        <v>1</v>
      </c>
      <c r="C231" s="2339">
        <v>1</v>
      </c>
      <c r="D231" s="2339">
        <v>1</v>
      </c>
      <c r="E231" s="2339">
        <v>1</v>
      </c>
      <c r="F231" s="2339">
        <v>1</v>
      </c>
      <c r="G231" s="2339">
        <v>1</v>
      </c>
      <c r="H231" s="2339">
        <v>1</v>
      </c>
      <c r="I231" s="2339"/>
      <c r="J231" s="2339"/>
      <c r="K231" s="2339"/>
      <c r="L231" s="2339"/>
      <c r="M231" s="7786"/>
      <c r="N231" s="5660"/>
      <c r="O231" s="2662"/>
      <c r="P231" s="2662"/>
      <c r="Q231" s="2662"/>
      <c r="R231" s="2665">
        <f>R225*N231</f>
        <v>0</v>
      </c>
      <c r="S231" s="2666"/>
      <c r="T231" s="2664">
        <f t="shared" si="12"/>
        <v>0</v>
      </c>
      <c r="U231" s="2339"/>
      <c r="V231" s="2339"/>
      <c r="W231" s="2339"/>
      <c r="X231" s="2339"/>
      <c r="Y231" s="2339"/>
      <c r="Z231" s="2339"/>
      <c r="AA231" s="2339"/>
      <c r="AB231" s="2339"/>
      <c r="AC231" s="2339"/>
      <c r="AD231" s="2339"/>
      <c r="AE231" s="2339"/>
      <c r="AF231" s="2339"/>
      <c r="AG231" s="2339"/>
      <c r="AH231" s="2339"/>
      <c r="AI231" s="2339"/>
      <c r="AJ231" s="2339"/>
      <c r="AK231" s="2339"/>
      <c r="AL231" s="2339"/>
      <c r="AM231" s="2339"/>
      <c r="AN231" s="2339"/>
      <c r="AO231" s="2339"/>
      <c r="AP231" s="2339"/>
      <c r="AQ231" s="2339"/>
      <c r="AR231" s="2339"/>
      <c r="AS231" s="2339"/>
      <c r="AT231" s="2339"/>
      <c r="AU231" s="2339"/>
      <c r="AV231" s="2339"/>
      <c r="AW231" s="2339"/>
      <c r="AX231" s="2339"/>
      <c r="AY231" s="2339"/>
      <c r="AZ231" s="2339"/>
      <c r="BA231" s="2339"/>
      <c r="BB231" s="2339"/>
      <c r="BC231" s="2339"/>
      <c r="BD231" s="3">
        <v>1</v>
      </c>
    </row>
    <row r="232" spans="1:58" s="2341" customFormat="1" ht="21" customHeight="1">
      <c r="A232" s="2339">
        <v>1</v>
      </c>
      <c r="B232" s="2355" t="s">
        <v>166</v>
      </c>
      <c r="C232" s="7803" t="s">
        <v>9540</v>
      </c>
      <c r="D232" s="7803"/>
      <c r="E232" s="7803"/>
      <c r="F232" s="7803"/>
      <c r="G232" s="7803"/>
      <c r="H232" s="7804"/>
      <c r="I232" s="2339"/>
      <c r="J232" s="2339"/>
      <c r="K232" s="2339"/>
      <c r="L232" s="2339"/>
      <c r="M232" s="7786"/>
      <c r="N232" s="5660"/>
      <c r="O232" s="2662"/>
      <c r="P232" s="2662"/>
      <c r="Q232" s="2662"/>
      <c r="R232" s="2665">
        <f>R225*N232</f>
        <v>0</v>
      </c>
      <c r="S232" s="2666"/>
      <c r="T232" s="2664">
        <f t="shared" si="12"/>
        <v>0</v>
      </c>
      <c r="U232" s="2339"/>
      <c r="V232" s="2339"/>
      <c r="W232" s="2339"/>
      <c r="X232" s="2339"/>
      <c r="Y232" s="2339"/>
      <c r="Z232" s="2339"/>
      <c r="AA232" s="2339"/>
      <c r="AB232" s="2339"/>
      <c r="AC232" s="2339"/>
      <c r="AD232" s="2339"/>
      <c r="AE232" s="2339"/>
      <c r="AF232" s="2339"/>
      <c r="AG232" s="2339"/>
      <c r="AH232" s="2339"/>
      <c r="AI232" s="2339"/>
      <c r="AJ232" s="2339"/>
      <c r="AK232" s="2339"/>
      <c r="AL232" s="2339"/>
      <c r="AM232" s="2339"/>
      <c r="AN232" s="2339"/>
      <c r="AO232" s="2339"/>
      <c r="AP232" s="2339"/>
      <c r="AQ232" s="2339"/>
      <c r="AR232" s="2339"/>
      <c r="AS232" s="2339"/>
      <c r="AT232" s="2339"/>
      <c r="AU232" s="2339"/>
      <c r="AV232" s="2339"/>
      <c r="AW232" s="2339"/>
      <c r="AX232" s="2339"/>
      <c r="AY232" s="2339"/>
      <c r="AZ232" s="2339"/>
      <c r="BA232" s="2339"/>
      <c r="BB232" s="2339"/>
      <c r="BC232" s="2339"/>
      <c r="BD232" s="3">
        <v>1</v>
      </c>
    </row>
    <row r="233" spans="1:58" s="2341" customFormat="1" ht="21" customHeight="1">
      <c r="A233" s="2339">
        <v>1</v>
      </c>
      <c r="B233" s="7805">
        <v>3</v>
      </c>
      <c r="C233" s="2642" t="str">
        <f>ADDRESS(ROW(),COLUMN(),4)</f>
        <v>C233</v>
      </c>
      <c r="D233" s="2615" t="s">
        <v>9521</v>
      </c>
      <c r="E233" s="2667"/>
      <c r="F233" s="2668"/>
      <c r="G233" s="2669"/>
      <c r="H233" s="2670"/>
      <c r="I233" s="2339"/>
      <c r="J233" s="2339"/>
      <c r="K233" s="2339"/>
      <c r="L233" s="2339"/>
      <c r="M233" s="7786"/>
      <c r="N233" s="5660"/>
      <c r="O233" s="2662"/>
      <c r="P233" s="2662"/>
      <c r="Q233" s="2662"/>
      <c r="R233" s="2665">
        <f>R225*N233</f>
        <v>0</v>
      </c>
      <c r="S233" s="2666"/>
      <c r="T233" s="2664">
        <f t="shared" si="12"/>
        <v>0</v>
      </c>
      <c r="U233" s="2339"/>
      <c r="V233" s="2339"/>
      <c r="W233" s="2339"/>
      <c r="X233" s="2339"/>
      <c r="Y233" s="2339"/>
      <c r="Z233" s="2339"/>
      <c r="AA233" s="2339"/>
      <c r="AB233" s="2339"/>
      <c r="AC233" s="2339"/>
      <c r="AD233" s="2339"/>
      <c r="AE233" s="2339"/>
      <c r="AF233" s="2339"/>
      <c r="AG233" s="2339"/>
      <c r="AH233" s="2339"/>
      <c r="AI233" s="2339"/>
      <c r="AJ233" s="2339"/>
      <c r="AK233" s="2339"/>
      <c r="AL233" s="2339"/>
      <c r="AM233" s="2339"/>
      <c r="AN233" s="2339"/>
      <c r="AO233" s="2339"/>
      <c r="AP233" s="2339"/>
      <c r="AQ233" s="2339"/>
      <c r="AR233" s="2339"/>
      <c r="AS233" s="2339"/>
      <c r="AT233" s="2339"/>
      <c r="AU233" s="2339"/>
      <c r="AV233" s="2339"/>
      <c r="AW233" s="2339"/>
      <c r="AX233" s="2339"/>
      <c r="AY233" s="2339"/>
      <c r="AZ233" s="2339"/>
      <c r="BA233" s="2339"/>
      <c r="BB233" s="2339"/>
      <c r="BC233" s="2339"/>
      <c r="BD233" s="3">
        <v>1</v>
      </c>
    </row>
    <row r="234" spans="1:58" s="2341" customFormat="1" ht="21" customHeight="1">
      <c r="A234" s="2339">
        <v>1</v>
      </c>
      <c r="B234" s="7805"/>
      <c r="C234" s="7807" t="s">
        <v>9541</v>
      </c>
      <c r="D234" s="7807"/>
      <c r="E234" s="2672" t="s">
        <v>9542</v>
      </c>
      <c r="F234" s="2671" t="s">
        <v>9543</v>
      </c>
      <c r="G234" s="7808" t="s">
        <v>49</v>
      </c>
      <c r="H234" s="7809"/>
      <c r="I234" s="2339"/>
      <c r="J234" s="2339"/>
      <c r="K234" s="2339"/>
      <c r="L234" s="2339"/>
      <c r="M234" s="7786"/>
      <c r="N234" s="5660"/>
      <c r="O234" s="2662"/>
      <c r="P234" s="2662"/>
      <c r="Q234" s="2662"/>
      <c r="R234" s="2665">
        <f>R225*N234</f>
        <v>0</v>
      </c>
      <c r="S234" s="2666"/>
      <c r="T234" s="2664">
        <f t="shared" si="12"/>
        <v>0</v>
      </c>
      <c r="U234" s="2339"/>
      <c r="V234" s="2339"/>
      <c r="W234" s="2339"/>
      <c r="X234" s="2339"/>
      <c r="Y234" s="2339"/>
      <c r="Z234" s="2339"/>
      <c r="AA234" s="2339"/>
      <c r="AB234" s="2339"/>
      <c r="AC234" s="2339"/>
      <c r="AD234" s="2339"/>
      <c r="AE234" s="2339"/>
      <c r="AF234" s="2339"/>
      <c r="AG234" s="2339"/>
      <c r="AH234" s="2339"/>
      <c r="AI234" s="2339"/>
      <c r="AJ234" s="2339"/>
      <c r="AK234" s="2339"/>
      <c r="AL234" s="2339"/>
      <c r="AM234" s="2339"/>
      <c r="AN234" s="2339"/>
      <c r="AO234" s="2339"/>
      <c r="AP234" s="2339"/>
      <c r="AQ234" s="2339"/>
      <c r="AR234" s="2339"/>
      <c r="AS234" s="2339"/>
      <c r="AT234" s="2339"/>
      <c r="AU234" s="2339"/>
      <c r="AV234" s="2339"/>
      <c r="AW234" s="2339"/>
      <c r="AX234" s="2339"/>
      <c r="AY234" s="2339"/>
      <c r="AZ234" s="2339"/>
      <c r="BA234" s="2339"/>
      <c r="BB234" s="2339"/>
      <c r="BC234" s="2339"/>
      <c r="BD234" s="3">
        <v>1</v>
      </c>
    </row>
    <row r="235" spans="1:58" s="2341" customFormat="1" ht="21" customHeight="1">
      <c r="A235" s="2339">
        <v>1</v>
      </c>
      <c r="B235" s="7805"/>
      <c r="C235" s="7784">
        <v>20</v>
      </c>
      <c r="D235" s="7785">
        <f>C235/100</f>
        <v>0.2</v>
      </c>
      <c r="E235" s="2673" t="s">
        <v>9544</v>
      </c>
      <c r="F235" s="2674">
        <v>1</v>
      </c>
      <c r="G235" s="2675">
        <f>(C235*F235)*10</f>
        <v>200</v>
      </c>
      <c r="H235" s="2676">
        <f>G235/1000</f>
        <v>0.2</v>
      </c>
      <c r="I235" s="2339"/>
      <c r="J235" s="2339"/>
      <c r="K235" s="2339"/>
      <c r="L235" s="2339"/>
      <c r="M235" s="7786"/>
      <c r="N235" s="5663"/>
      <c r="O235" s="5664"/>
      <c r="P235" s="5664"/>
      <c r="Q235" s="5664"/>
      <c r="R235" s="5665">
        <f>R225*N235</f>
        <v>0</v>
      </c>
      <c r="S235" s="5666"/>
      <c r="T235" s="5667">
        <f t="shared" si="12"/>
        <v>0</v>
      </c>
      <c r="U235" s="2339"/>
      <c r="V235" s="2339"/>
      <c r="W235" s="2339"/>
      <c r="X235" s="2339"/>
      <c r="Y235" s="2339"/>
      <c r="Z235" s="2339"/>
      <c r="AA235" s="2339"/>
      <c r="AB235" s="2339"/>
      <c r="AC235" s="2339"/>
      <c r="AD235" s="2339"/>
      <c r="AE235" s="2339"/>
      <c r="AF235" s="2339"/>
      <c r="AG235" s="2339"/>
      <c r="AH235" s="2339"/>
      <c r="AI235" s="2339"/>
      <c r="AJ235" s="2339"/>
      <c r="AK235" s="2339"/>
      <c r="AL235" s="2339"/>
      <c r="AM235" s="2339"/>
      <c r="AN235" s="2339"/>
      <c r="AO235" s="2339"/>
      <c r="AP235" s="2339"/>
      <c r="AQ235" s="2339"/>
      <c r="AR235" s="2339"/>
      <c r="AS235" s="2339"/>
      <c r="AT235" s="2339"/>
      <c r="AU235" s="2339"/>
      <c r="AV235" s="2339"/>
      <c r="AW235" s="2339"/>
      <c r="AX235" s="2339"/>
      <c r="AY235" s="2339"/>
      <c r="AZ235" s="2339"/>
      <c r="BA235" s="2339"/>
      <c r="BB235" s="2339"/>
      <c r="BC235" s="2339"/>
      <c r="BD235" s="3">
        <v>1</v>
      </c>
    </row>
    <row r="236" spans="1:58" s="2341" customFormat="1" ht="21" customHeight="1">
      <c r="A236" s="2339">
        <v>1</v>
      </c>
      <c r="B236" s="7805"/>
      <c r="C236" s="7784"/>
      <c r="D236" s="7785"/>
      <c r="E236" s="2673" t="s">
        <v>9545</v>
      </c>
      <c r="F236" s="2674">
        <v>1.03</v>
      </c>
      <c r="G236" s="2675">
        <f>(C235*F236)*10</f>
        <v>206</v>
      </c>
      <c r="H236" s="2676">
        <f>G236/1000</f>
        <v>0.20599999999999999</v>
      </c>
      <c r="I236" s="2339"/>
      <c r="J236" s="2339"/>
      <c r="K236" s="2339"/>
      <c r="L236" s="2339"/>
      <c r="M236" s="7786"/>
      <c r="N236" s="7800" t="s">
        <v>9546</v>
      </c>
      <c r="O236" s="7800"/>
      <c r="P236" s="7800"/>
      <c r="Q236" s="7800"/>
      <c r="R236" s="7800"/>
      <c r="S236" s="7800"/>
      <c r="T236" s="7673"/>
      <c r="U236" s="2339"/>
      <c r="V236" s="2339"/>
      <c r="W236" s="2339"/>
      <c r="X236" s="2339"/>
      <c r="Y236" s="2339"/>
      <c r="Z236" s="2339"/>
      <c r="AA236" s="2339"/>
      <c r="AB236" s="2339"/>
      <c r="AC236" s="2339"/>
      <c r="AD236" s="2339"/>
      <c r="AE236" s="2339"/>
      <c r="AF236" s="2339"/>
      <c r="AG236" s="2339"/>
      <c r="AH236" s="2339"/>
      <c r="AI236" s="2339"/>
      <c r="AJ236" s="2339"/>
      <c r="AK236" s="2339"/>
      <c r="AL236" s="2339"/>
      <c r="AM236" s="2339"/>
      <c r="AN236" s="2339"/>
      <c r="AO236" s="2339"/>
      <c r="AP236" s="2339"/>
      <c r="AQ236" s="2339"/>
      <c r="AR236" s="2339"/>
      <c r="AS236" s="2339"/>
      <c r="AT236" s="2339"/>
      <c r="AU236" s="2339"/>
      <c r="AV236" s="2339"/>
      <c r="AW236" s="2339"/>
      <c r="AX236" s="2339"/>
      <c r="AY236" s="2339"/>
      <c r="AZ236" s="2339"/>
      <c r="BA236" s="2339"/>
      <c r="BB236" s="2339"/>
      <c r="BC236" s="2339"/>
      <c r="BD236" s="3">
        <v>1</v>
      </c>
    </row>
    <row r="237" spans="1:58" s="2341" customFormat="1" ht="21" customHeight="1">
      <c r="A237" s="2339">
        <v>1</v>
      </c>
      <c r="B237" s="7805"/>
      <c r="C237" s="7784"/>
      <c r="D237" s="7785"/>
      <c r="E237" s="2673" t="s">
        <v>9547</v>
      </c>
      <c r="F237" s="2674">
        <v>1.0149999999999999</v>
      </c>
      <c r="G237" s="2675">
        <f>(F237*C235)*10</f>
        <v>202.99999999999997</v>
      </c>
      <c r="H237" s="2676">
        <f>G237/1000</f>
        <v>0.20299999999999996</v>
      </c>
      <c r="I237" s="2339"/>
      <c r="J237" s="2339"/>
      <c r="K237" s="2339"/>
      <c r="L237" s="2339"/>
      <c r="M237" s="7786"/>
      <c r="N237" s="193"/>
      <c r="O237" s="193" t="s">
        <v>9548</v>
      </c>
      <c r="P237" s="2677"/>
      <c r="Q237" s="2678" t="s">
        <v>9549</v>
      </c>
      <c r="R237" s="2679"/>
      <c r="S237" s="2679"/>
      <c r="T237" s="2680"/>
      <c r="U237" s="2339"/>
      <c r="V237" s="2339"/>
      <c r="W237" s="2339"/>
      <c r="X237" s="2339"/>
      <c r="Y237" s="2339"/>
      <c r="Z237" s="2339"/>
      <c r="AA237" s="2339"/>
      <c r="AB237" s="2339"/>
      <c r="AC237" s="2339"/>
      <c r="AD237" s="2339"/>
      <c r="AE237" s="2339"/>
      <c r="AF237" s="2339"/>
      <c r="AG237" s="2339"/>
      <c r="AH237" s="2339"/>
      <c r="AI237" s="2339"/>
      <c r="AJ237" s="2339"/>
      <c r="AK237" s="2339"/>
      <c r="AL237" s="2339"/>
      <c r="AM237" s="2339"/>
      <c r="AN237" s="2339"/>
      <c r="AO237" s="2339"/>
      <c r="AP237" s="2339"/>
      <c r="AQ237" s="2339"/>
      <c r="AR237" s="2339"/>
      <c r="AS237" s="2339"/>
      <c r="AT237" s="2339"/>
      <c r="AU237" s="2339"/>
      <c r="AV237" s="2339"/>
      <c r="AW237" s="2339"/>
      <c r="AX237" s="2339"/>
      <c r="AY237" s="2339"/>
      <c r="AZ237" s="2339"/>
      <c r="BA237" s="2339"/>
      <c r="BB237" s="2339"/>
      <c r="BC237" s="2339"/>
      <c r="BD237" s="3">
        <v>1</v>
      </c>
    </row>
    <row r="238" spans="1:58" s="2341" customFormat="1" ht="21" customHeight="1">
      <c r="A238" s="2339">
        <v>1</v>
      </c>
      <c r="B238" s="7805"/>
      <c r="C238" s="7784"/>
      <c r="D238" s="7785"/>
      <c r="E238" s="2673" t="s">
        <v>9550</v>
      </c>
      <c r="F238" s="2674">
        <v>0.92</v>
      </c>
      <c r="G238" s="2675">
        <f>(F238*C235)*10</f>
        <v>184.00000000000003</v>
      </c>
      <c r="H238" s="2676">
        <f>G238/1000</f>
        <v>0.18400000000000002</v>
      </c>
      <c r="I238" s="2339"/>
      <c r="J238" s="2339"/>
      <c r="K238" s="2339"/>
      <c r="L238" s="2339"/>
      <c r="M238" s="7786"/>
      <c r="N238" s="2677"/>
      <c r="O238" s="2677" t="s">
        <v>9551</v>
      </c>
      <c r="P238" s="2677"/>
      <c r="Q238" s="2677" t="s">
        <v>9552</v>
      </c>
      <c r="R238" s="2679"/>
      <c r="S238" s="2677" t="s">
        <v>9532</v>
      </c>
      <c r="T238" s="2680"/>
      <c r="U238" s="2339"/>
      <c r="V238" s="2339"/>
      <c r="W238" s="2339"/>
      <c r="X238" s="2339"/>
      <c r="Y238" s="2339"/>
      <c r="Z238" s="2339"/>
      <c r="AA238" s="2339"/>
      <c r="AB238" s="2339"/>
      <c r="AC238" s="2339"/>
      <c r="AD238" s="2339"/>
      <c r="AE238" s="2339"/>
      <c r="AF238" s="2339"/>
      <c r="AG238" s="2339"/>
      <c r="AH238" s="2339"/>
      <c r="AI238" s="2339"/>
      <c r="AJ238" s="2339"/>
      <c r="AK238" s="2339"/>
      <c r="AL238" s="2339"/>
      <c r="AM238" s="2339"/>
      <c r="AN238" s="2339"/>
      <c r="AO238" s="2339"/>
      <c r="AP238" s="2339"/>
      <c r="AQ238" s="2339"/>
      <c r="AR238" s="2339"/>
      <c r="AS238" s="2339"/>
      <c r="AT238" s="2339"/>
      <c r="AU238" s="2339"/>
      <c r="AV238" s="2339"/>
      <c r="AW238" s="2339"/>
      <c r="AX238" s="2339"/>
      <c r="AY238" s="2339"/>
      <c r="AZ238" s="2339"/>
      <c r="BA238" s="2339"/>
      <c r="BB238" s="2339"/>
      <c r="BC238" s="2339"/>
      <c r="BD238" s="3">
        <v>1</v>
      </c>
    </row>
    <row r="239" spans="1:58" ht="21" customHeight="1">
      <c r="A239" s="2339">
        <v>1</v>
      </c>
      <c r="B239" s="7805"/>
      <c r="C239" s="7784"/>
      <c r="D239" s="7785"/>
      <c r="E239" s="2673" t="s">
        <v>9553</v>
      </c>
      <c r="F239" s="2674">
        <v>0.8</v>
      </c>
      <c r="G239" s="2675">
        <f>(F239*C235)*10</f>
        <v>160</v>
      </c>
      <c r="H239" s="2676">
        <f>G239/1000</f>
        <v>0.16</v>
      </c>
      <c r="I239" s="2339"/>
      <c r="J239" s="2339"/>
      <c r="K239" s="2339"/>
      <c r="L239" s="2339"/>
      <c r="M239" s="7786"/>
      <c r="N239" s="2394">
        <v>10</v>
      </c>
      <c r="O239" s="2394">
        <v>10</v>
      </c>
      <c r="P239" s="2394">
        <v>10</v>
      </c>
      <c r="Q239" s="2394">
        <v>10</v>
      </c>
      <c r="R239" s="2394">
        <v>13</v>
      </c>
      <c r="S239" s="2394">
        <v>8</v>
      </c>
      <c r="T239" s="2395">
        <v>13</v>
      </c>
      <c r="U239" s="2339"/>
      <c r="V239" s="2339"/>
      <c r="W239" s="2339"/>
      <c r="X239" s="2339"/>
      <c r="Y239" s="2339"/>
      <c r="Z239" s="2339"/>
      <c r="AA239" s="2339"/>
      <c r="AB239" s="2339"/>
      <c r="AC239" s="2339"/>
      <c r="AD239" s="2339"/>
      <c r="AE239" s="2339"/>
      <c r="AF239" s="2339"/>
      <c r="AG239" s="2339"/>
      <c r="AH239" s="2339"/>
      <c r="AI239" s="2339"/>
      <c r="AJ239" s="2339"/>
      <c r="AK239" s="2339"/>
      <c r="AL239" s="2339"/>
      <c r="AM239" s="2339"/>
      <c r="AN239" s="2339"/>
      <c r="AO239" s="2339"/>
      <c r="AP239" s="2339"/>
      <c r="AQ239" s="2339"/>
      <c r="AR239" s="2339"/>
      <c r="AS239" s="2339"/>
      <c r="AT239" s="2339"/>
      <c r="AU239" s="2339"/>
      <c r="AV239" s="2339"/>
      <c r="AW239" s="2339"/>
      <c r="AX239" s="2339"/>
      <c r="AY239" s="2339"/>
      <c r="AZ239" s="2339"/>
      <c r="BA239" s="2339"/>
      <c r="BB239" s="2339"/>
      <c r="BC239" s="2339"/>
      <c r="BD239" s="3">
        <v>1</v>
      </c>
      <c r="BE239" s="2341"/>
      <c r="BF239" s="2341"/>
    </row>
    <row r="240" spans="1:58" ht="21" customHeight="1" thickBot="1">
      <c r="A240" s="2339">
        <v>1</v>
      </c>
      <c r="B240" s="7805"/>
      <c r="C240" s="7801" t="s">
        <v>9554</v>
      </c>
      <c r="D240" s="7801"/>
      <c r="E240" s="7801"/>
      <c r="F240" s="7801"/>
      <c r="G240" s="7801"/>
      <c r="H240" s="7802"/>
      <c r="I240" s="2339"/>
      <c r="J240" s="2339"/>
      <c r="K240" s="2339"/>
      <c r="L240" s="2339"/>
      <c r="M240" s="7787"/>
      <c r="N240" s="863">
        <f ca="1">CELL("largeur",N240)</f>
        <v>16</v>
      </c>
      <c r="O240" s="863">
        <f t="shared" ref="O240:T240" ca="1" si="14">CELL("largeur",O240)</f>
        <v>16</v>
      </c>
      <c r="P240" s="863">
        <f t="shared" ca="1" si="14"/>
        <v>16</v>
      </c>
      <c r="Q240" s="863">
        <f t="shared" ca="1" si="14"/>
        <v>11</v>
      </c>
      <c r="R240" s="863">
        <f t="shared" ca="1" si="14"/>
        <v>11</v>
      </c>
      <c r="S240" s="863">
        <f ca="1">CELL("largeur",S240)</f>
        <v>11</v>
      </c>
      <c r="T240" s="864">
        <f t="shared" ca="1" si="14"/>
        <v>11</v>
      </c>
      <c r="U240" s="2339"/>
      <c r="V240" s="2339"/>
      <c r="W240" s="2339"/>
      <c r="X240" s="2339"/>
      <c r="Y240" s="2339"/>
      <c r="Z240" s="2339"/>
      <c r="AA240" s="2339"/>
      <c r="AB240" s="2339"/>
      <c r="AC240" s="2339"/>
      <c r="AD240" s="2339"/>
      <c r="AE240" s="2339"/>
      <c r="AF240" s="2339"/>
      <c r="AG240" s="2339"/>
      <c r="AH240" s="2339"/>
      <c r="AI240" s="2339"/>
      <c r="AJ240" s="2339"/>
      <c r="AK240" s="2339"/>
      <c r="AL240" s="2339"/>
      <c r="AM240" s="2339"/>
      <c r="AN240" s="2339"/>
      <c r="AO240" s="2339"/>
      <c r="AP240" s="2339"/>
      <c r="AQ240" s="2339"/>
      <c r="AR240" s="2339"/>
      <c r="AS240" s="2339"/>
      <c r="AT240" s="2339"/>
      <c r="AU240" s="2339"/>
      <c r="AV240" s="2339"/>
      <c r="AW240" s="2339"/>
      <c r="AX240" s="2339"/>
      <c r="AY240" s="2339"/>
      <c r="AZ240" s="2339"/>
      <c r="BA240" s="2339"/>
      <c r="BB240" s="2339"/>
      <c r="BC240" s="2339"/>
      <c r="BD240" s="3">
        <v>1</v>
      </c>
      <c r="BE240" s="2341"/>
      <c r="BF240" s="2341"/>
    </row>
    <row r="241" spans="1:58" ht="21" customHeight="1">
      <c r="A241" s="2339">
        <v>1</v>
      </c>
      <c r="B241" s="7805"/>
      <c r="C241" s="2394">
        <v>8</v>
      </c>
      <c r="D241" s="2394">
        <v>9</v>
      </c>
      <c r="E241" s="2394">
        <v>11</v>
      </c>
      <c r="F241" s="2394">
        <v>11</v>
      </c>
      <c r="G241" s="2394">
        <v>11</v>
      </c>
      <c r="H241" s="5668">
        <v>11</v>
      </c>
      <c r="I241" s="2339"/>
      <c r="J241" s="2339"/>
      <c r="K241" s="2339"/>
      <c r="L241" s="2339"/>
      <c r="M241" s="2339"/>
      <c r="N241" s="2339"/>
      <c r="O241" s="2339"/>
      <c r="P241" s="2339"/>
      <c r="Q241" s="2339"/>
      <c r="R241" s="2339"/>
      <c r="S241" s="2339"/>
      <c r="T241" s="2339"/>
      <c r="U241" s="2339"/>
      <c r="V241" s="2339"/>
      <c r="W241" s="2339"/>
      <c r="X241" s="2339"/>
      <c r="Y241" s="2339"/>
      <c r="Z241" s="2339"/>
      <c r="AA241" s="2339"/>
      <c r="AB241" s="2339"/>
      <c r="AC241" s="2339"/>
      <c r="AD241" s="2339"/>
      <c r="AE241" s="2339"/>
      <c r="AF241" s="2339"/>
      <c r="AG241" s="2339"/>
      <c r="AH241" s="2339"/>
      <c r="AI241" s="2339"/>
      <c r="AJ241" s="2339"/>
      <c r="AK241" s="2339"/>
      <c r="AL241" s="2339"/>
      <c r="AM241" s="2339"/>
      <c r="AN241" s="2339"/>
      <c r="AO241" s="2339"/>
      <c r="AP241" s="2339"/>
      <c r="AQ241" s="2339"/>
      <c r="AR241" s="2339"/>
      <c r="AS241" s="2339"/>
      <c r="AT241" s="2339"/>
      <c r="AU241" s="2339"/>
      <c r="AV241" s="2339"/>
      <c r="AW241" s="2339"/>
      <c r="AX241" s="2339"/>
      <c r="AY241" s="2339"/>
      <c r="AZ241" s="2339"/>
      <c r="BA241" s="2339"/>
      <c r="BB241" s="2339"/>
      <c r="BC241" s="2339"/>
      <c r="BD241" s="3">
        <v>1</v>
      </c>
      <c r="BE241" s="2341"/>
      <c r="BF241" s="2341"/>
    </row>
    <row r="242" spans="1:58" ht="21" customHeight="1" thickBot="1">
      <c r="A242" s="2339">
        <v>1</v>
      </c>
      <c r="B242" s="7806"/>
      <c r="C242" s="863">
        <f t="shared" ref="C242:H242" ca="1" si="15">CELL("largeur",C242)</f>
        <v>13</v>
      </c>
      <c r="D242" s="863">
        <f t="shared" ca="1" si="15"/>
        <v>21</v>
      </c>
      <c r="E242" s="863">
        <f t="shared" ca="1" si="15"/>
        <v>13</v>
      </c>
      <c r="F242" s="863">
        <f t="shared" ca="1" si="15"/>
        <v>13</v>
      </c>
      <c r="G242" s="863">
        <f t="shared" ca="1" si="15"/>
        <v>13</v>
      </c>
      <c r="H242" s="2681">
        <f t="shared" ca="1" si="15"/>
        <v>13</v>
      </c>
      <c r="I242" s="2339"/>
      <c r="J242" s="2339"/>
      <c r="K242" s="2339"/>
      <c r="L242" s="2339"/>
      <c r="M242" s="2339"/>
      <c r="N242" s="2339"/>
      <c r="O242" s="2339"/>
      <c r="P242" s="2339"/>
      <c r="Q242" s="2339"/>
      <c r="R242" s="2339"/>
      <c r="S242" s="2339"/>
      <c r="T242" s="2339"/>
      <c r="U242" s="2339"/>
      <c r="BC242" s="2339"/>
      <c r="BD242" s="3">
        <v>1</v>
      </c>
      <c r="BE242" s="2341"/>
      <c r="BF242" s="2341"/>
    </row>
    <row r="243" spans="1:58" ht="21" customHeight="1">
      <c r="A243" s="2339">
        <v>1</v>
      </c>
      <c r="B243" s="2339">
        <v>1</v>
      </c>
      <c r="C243" s="2339">
        <v>1</v>
      </c>
      <c r="D243" s="2339">
        <v>1</v>
      </c>
      <c r="E243" s="2339">
        <v>1</v>
      </c>
      <c r="F243" s="2339">
        <v>1</v>
      </c>
      <c r="G243" s="2339">
        <v>1</v>
      </c>
      <c r="H243" s="2339">
        <v>1</v>
      </c>
      <c r="I243" s="2339"/>
      <c r="J243" s="2339"/>
      <c r="K243" s="2339"/>
      <c r="L243" s="2339"/>
      <c r="M243" s="2339"/>
      <c r="N243" s="2339"/>
      <c r="O243" s="2339"/>
      <c r="P243" s="2339"/>
      <c r="Q243" s="2339"/>
      <c r="R243" s="2339"/>
      <c r="S243" s="2339"/>
      <c r="T243" s="2339"/>
      <c r="U243" s="2339"/>
      <c r="BC243" s="2339"/>
      <c r="BD243" s="5669" t="s">
        <v>793</v>
      </c>
      <c r="BE243" s="2341"/>
      <c r="BF243" s="2341"/>
    </row>
    <row r="244" spans="1:58">
      <c r="A244" s="3">
        <v>1</v>
      </c>
      <c r="B244" s="3">
        <v>1</v>
      </c>
      <c r="C244" s="3">
        <v>1</v>
      </c>
      <c r="D244" s="3">
        <v>1</v>
      </c>
      <c r="E244" s="3">
        <v>1</v>
      </c>
      <c r="F244" s="3">
        <v>1</v>
      </c>
      <c r="G244" s="3">
        <v>1</v>
      </c>
      <c r="H244" s="3">
        <v>1</v>
      </c>
      <c r="I244" s="3">
        <v>1</v>
      </c>
      <c r="J244" s="3">
        <v>1</v>
      </c>
      <c r="K244" s="3">
        <v>1</v>
      </c>
      <c r="L244" s="3">
        <v>1</v>
      </c>
      <c r="M244" s="3">
        <v>1</v>
      </c>
      <c r="N244" s="3">
        <v>1</v>
      </c>
      <c r="O244" s="3">
        <v>1</v>
      </c>
      <c r="P244" s="3">
        <v>1</v>
      </c>
      <c r="Q244" s="3">
        <v>1</v>
      </c>
      <c r="R244" s="3">
        <v>1</v>
      </c>
      <c r="S244" s="3">
        <v>1</v>
      </c>
      <c r="T244" s="3">
        <v>1</v>
      </c>
      <c r="U244" s="3">
        <v>1</v>
      </c>
      <c r="V244" s="3">
        <v>1</v>
      </c>
      <c r="W244" s="3">
        <v>1</v>
      </c>
      <c r="X244" s="3">
        <v>1</v>
      </c>
      <c r="Y244" s="3">
        <v>1</v>
      </c>
      <c r="Z244" s="3">
        <v>1</v>
      </c>
      <c r="AA244" s="3">
        <v>1</v>
      </c>
      <c r="AB244" s="3">
        <v>1</v>
      </c>
      <c r="AC244" s="3">
        <v>1</v>
      </c>
      <c r="AD244" s="3">
        <v>1</v>
      </c>
      <c r="AE244" s="3">
        <v>1</v>
      </c>
      <c r="AF244" s="3">
        <v>1</v>
      </c>
      <c r="AG244" s="3">
        <v>1</v>
      </c>
      <c r="AH244" s="3">
        <v>1</v>
      </c>
      <c r="AI244" s="3">
        <v>1</v>
      </c>
      <c r="AJ244" s="3">
        <v>1</v>
      </c>
      <c r="AK244" s="3">
        <v>1</v>
      </c>
      <c r="AL244" s="3">
        <v>1</v>
      </c>
      <c r="AM244" s="3">
        <v>1</v>
      </c>
      <c r="AN244" s="3">
        <v>1</v>
      </c>
      <c r="AO244" s="3">
        <v>1</v>
      </c>
      <c r="AP244" s="3">
        <v>1</v>
      </c>
      <c r="AQ244" s="3">
        <v>1</v>
      </c>
      <c r="AR244" s="3">
        <v>1</v>
      </c>
      <c r="AS244" s="3">
        <v>1</v>
      </c>
      <c r="AT244" s="3">
        <v>1</v>
      </c>
      <c r="AU244" s="3">
        <v>1</v>
      </c>
      <c r="AV244" s="3">
        <v>1</v>
      </c>
      <c r="AW244" s="3">
        <v>1</v>
      </c>
      <c r="AX244" s="3">
        <v>1</v>
      </c>
      <c r="AY244" s="3">
        <v>1</v>
      </c>
      <c r="AZ244" s="3">
        <v>1</v>
      </c>
      <c r="BA244" s="3">
        <v>1</v>
      </c>
      <c r="BB244" s="3">
        <v>1</v>
      </c>
      <c r="BC244" s="3">
        <v>1</v>
      </c>
      <c r="BD244" s="5670" t="str">
        <f>ADDRESS(ROW(),COLUMN(),4)</f>
        <v>BD244</v>
      </c>
      <c r="BE244" s="2341"/>
      <c r="BF244" s="2341"/>
    </row>
  </sheetData>
  <mergeCells count="61">
    <mergeCell ref="V35:Y35"/>
    <mergeCell ref="AL35:AO35"/>
    <mergeCell ref="B41:B42"/>
    <mergeCell ref="C41:H41"/>
    <mergeCell ref="B43:B100"/>
    <mergeCell ref="C48:H49"/>
    <mergeCell ref="D54:H55"/>
    <mergeCell ref="D57:H58"/>
    <mergeCell ref="D60:H61"/>
    <mergeCell ref="D63:H64"/>
    <mergeCell ref="B106:B107"/>
    <mergeCell ref="C106:F106"/>
    <mergeCell ref="D66:H67"/>
    <mergeCell ref="C70:H71"/>
    <mergeCell ref="O74:S74"/>
    <mergeCell ref="C75:H76"/>
    <mergeCell ref="N75:N84"/>
    <mergeCell ref="O81:S82"/>
    <mergeCell ref="O87:U87"/>
    <mergeCell ref="O88:U88"/>
    <mergeCell ref="O102:O103"/>
    <mergeCell ref="P102:P103"/>
    <mergeCell ref="O105:O106"/>
    <mergeCell ref="B167:B168"/>
    <mergeCell ref="C167:F167"/>
    <mergeCell ref="B108:B134"/>
    <mergeCell ref="C108:H108"/>
    <mergeCell ref="F111:H111"/>
    <mergeCell ref="C122:H123"/>
    <mergeCell ref="C125:H125"/>
    <mergeCell ref="B137:B138"/>
    <mergeCell ref="C137:F137"/>
    <mergeCell ref="B139:B165"/>
    <mergeCell ref="C139:H139"/>
    <mergeCell ref="F142:H142"/>
    <mergeCell ref="C153:H154"/>
    <mergeCell ref="C156:H156"/>
    <mergeCell ref="C234:D234"/>
    <mergeCell ref="G234:H234"/>
    <mergeCell ref="B169:B201"/>
    <mergeCell ref="C169:H169"/>
    <mergeCell ref="C189:H190"/>
    <mergeCell ref="C192:H192"/>
    <mergeCell ref="B204:B216"/>
    <mergeCell ref="C214:K214"/>
    <mergeCell ref="C235:C239"/>
    <mergeCell ref="D235:D239"/>
    <mergeCell ref="N218:T218"/>
    <mergeCell ref="B219:B230"/>
    <mergeCell ref="M219:M240"/>
    <mergeCell ref="N220:O221"/>
    <mergeCell ref="P220:T221"/>
    <mergeCell ref="N222:N223"/>
    <mergeCell ref="O222:O223"/>
    <mergeCell ref="P222:S223"/>
    <mergeCell ref="T222:T223"/>
    <mergeCell ref="C228:K228"/>
    <mergeCell ref="N236:T236"/>
    <mergeCell ref="C240:H240"/>
    <mergeCell ref="C232:H232"/>
    <mergeCell ref="B233:B242"/>
  </mergeCells>
  <conditionalFormatting sqref="B232">
    <cfRule type="expression" dxfId="20" priority="1" stopIfTrue="1">
      <formula>OR(ROW()=CELL("ligne"),COLUMN()=CELL("colonne"))</formula>
    </cfRule>
  </conditionalFormatting>
  <conditionalFormatting sqref="E113 E119">
    <cfRule type="cellIs" dxfId="19" priority="20" operator="equal">
      <formula>#REF!</formula>
    </cfRule>
    <cfRule type="cellIs" dxfId="18" priority="21" operator="equal">
      <formula>#REF!</formula>
    </cfRule>
  </conditionalFormatting>
  <conditionalFormatting sqref="E113">
    <cfRule type="cellIs" dxfId="17" priority="18" operator="equal">
      <formula>#REF!</formula>
    </cfRule>
    <cfRule type="cellIs" dxfId="16" priority="19" operator="equal">
      <formula>#REF!</formula>
    </cfRule>
  </conditionalFormatting>
  <conditionalFormatting sqref="E144 E150">
    <cfRule type="cellIs" dxfId="15" priority="12" operator="equal">
      <formula>#REF!</formula>
    </cfRule>
    <cfRule type="cellIs" dxfId="14" priority="13" operator="equal">
      <formula>#REF!</formula>
    </cfRule>
  </conditionalFormatting>
  <conditionalFormatting sqref="E144">
    <cfRule type="cellIs" dxfId="13" priority="10" operator="equal">
      <formula>#REF!</formula>
    </cfRule>
    <cfRule type="cellIs" dxfId="12" priority="11" operator="equal">
      <formula>#REF!</formula>
    </cfRule>
  </conditionalFormatting>
  <conditionalFormatting sqref="G113">
    <cfRule type="cellIs" dxfId="11" priority="16" operator="equal">
      <formula>#REF!</formula>
    </cfRule>
    <cfRule type="cellIs" dxfId="10" priority="17" operator="equal">
      <formula>#REF!</formula>
    </cfRule>
  </conditionalFormatting>
  <conditionalFormatting sqref="G179">
    <cfRule type="cellIs" dxfId="9" priority="2" operator="equal">
      <formula>#REF!</formula>
    </cfRule>
    <cfRule type="cellIs" dxfId="8" priority="3" operator="equal">
      <formula>#REF!</formula>
    </cfRule>
  </conditionalFormatting>
  <conditionalFormatting sqref="I103:I104">
    <cfRule type="cellIs" dxfId="7" priority="14" operator="equal">
      <formula>#REF!</formula>
    </cfRule>
    <cfRule type="cellIs" dxfId="6" priority="15" operator="equal">
      <formula>#REF!</formula>
    </cfRule>
  </conditionalFormatting>
  <conditionalFormatting sqref="J113">
    <cfRule type="cellIs" dxfId="5" priority="8" operator="equal">
      <formula>#REF!</formula>
    </cfRule>
    <cfRule type="cellIs" dxfId="4" priority="9" operator="equal">
      <formula>#REF!</formula>
    </cfRule>
  </conditionalFormatting>
  <conditionalFormatting sqref="J119">
    <cfRule type="cellIs" dxfId="3" priority="6" operator="equal">
      <formula>#REF!</formula>
    </cfRule>
    <cfRule type="cellIs" dxfId="2" priority="7" operator="equal">
      <formula>#REF!</formula>
    </cfRule>
  </conditionalFormatting>
  <conditionalFormatting sqref="J150">
    <cfRule type="cellIs" dxfId="1" priority="4" operator="equal">
      <formula>#REF!</formula>
    </cfRule>
    <cfRule type="cellIs" dxfId="0" priority="5" operator="equal">
      <formula>#REF!</formula>
    </cfRule>
  </conditionalFormatting>
  <hyperlinks>
    <hyperlink ref="D92" r:id="rId1" xr:uid="{324D5C5F-B7CD-4E30-9B60-0F8D3E9605B6}"/>
    <hyperlink ref="D94" r:id="rId2" xr:uid="{81832972-9AE0-44FE-BCCA-0F71DF3B1AEA}"/>
    <hyperlink ref="F94" r:id="rId3" xr:uid="{FF79DB6C-B49E-4B7F-B912-E623FD102F7D}"/>
    <hyperlink ref="F92" r:id="rId4" xr:uid="{B7ED1275-E9C8-40F2-A180-F6D17570D768}"/>
    <hyperlink ref="D99" r:id="rId5" xr:uid="{5972F963-744C-4BB9-B5C5-F7F1208EC207}"/>
    <hyperlink ref="Q72" r:id="rId6" xr:uid="{095A60F4-7DA8-41A8-BC46-79C0DE8B8148}"/>
    <hyperlink ref="J31" r:id="rId7" xr:uid="{0218AF65-C682-4E92-B455-E01D05910827}"/>
    <hyperlink ref="O87" r:id="rId8" xr:uid="{9A66D145-3459-4D95-9863-6E27695F044B}"/>
    <hyperlink ref="O88" r:id="rId9" xr:uid="{D4122FE8-BDA8-4F84-8FB7-0EBEC40C7830}"/>
    <hyperlink ref="R60" r:id="rId10" xr:uid="{F2E499A4-C55E-4D9B-9D1D-F0F5F91E7F85}"/>
  </hyperlinks>
  <pageMargins left="0.7" right="0.7" top="0.75" bottom="0.75" header="0.3" footer="0.3"/>
  <pageSetup paperSize="9" orientation="portrait" r:id="rId11"/>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E42DF-4CAB-46F9-A7AC-F10E8C61B1C7}">
  <dimension ref="A1:AN283"/>
  <sheetViews>
    <sheetView zoomScale="75" zoomScaleNormal="75" workbookViewId="0">
      <selection activeCell="AF16" sqref="AF16"/>
    </sheetView>
  </sheetViews>
  <sheetFormatPr baseColWidth="10" defaultColWidth="11.42578125" defaultRowHeight="15"/>
  <cols>
    <col min="1" max="1" width="11.42578125" style="926"/>
    <col min="2" max="2" width="18.7109375" style="926" customWidth="1"/>
    <col min="3" max="3" width="28.7109375" style="926" customWidth="1"/>
    <col min="4" max="4" width="16" style="926" customWidth="1"/>
    <col min="5" max="5" width="11.42578125" style="926"/>
    <col min="6" max="6" width="14.7109375" style="926" customWidth="1"/>
    <col min="7" max="7" width="41" style="926" customWidth="1"/>
    <col min="8" max="8" width="17.140625" style="926" customWidth="1"/>
    <col min="9" max="12" width="11.42578125" style="926"/>
    <col min="13" max="13" width="18.5703125" style="926" customWidth="1"/>
    <col min="14" max="14" width="11.42578125" style="926"/>
    <col min="15" max="15" width="19.5703125" style="926" customWidth="1"/>
    <col min="16" max="16" width="14.140625" style="926" bestFit="1" customWidth="1"/>
    <col min="17" max="19" width="11.42578125" style="926"/>
    <col min="20" max="21" width="11.7109375" style="926" bestFit="1" customWidth="1"/>
    <col min="22" max="22" width="18.140625" style="926" customWidth="1"/>
    <col min="23" max="25" width="16" style="926" customWidth="1"/>
    <col min="26" max="26" width="14.28515625" style="926" customWidth="1"/>
    <col min="27" max="27" width="15.28515625" style="926" customWidth="1"/>
    <col min="28" max="28" width="16" style="926" customWidth="1"/>
    <col min="29" max="29" width="14.140625" style="926" customWidth="1"/>
    <col min="30" max="37" width="11.42578125" style="926"/>
    <col min="38" max="38" width="7.5703125" style="630" customWidth="1"/>
    <col min="39" max="39" width="11.42578125" style="627"/>
    <col min="40" max="40" width="48.85546875" style="627" customWidth="1"/>
    <col min="41" max="16384" width="11.42578125" style="926"/>
  </cols>
  <sheetData>
    <row r="1" spans="1:40" ht="30" customHeight="1">
      <c r="A1" s="1" t="str">
        <f>ADDRESS(ROW(),COLUMN(),4)</f>
        <v>A1</v>
      </c>
      <c r="B1" s="921"/>
      <c r="C1" s="921"/>
      <c r="D1" s="921"/>
      <c r="E1" s="921"/>
      <c r="F1" s="921"/>
      <c r="G1" s="921"/>
      <c r="H1" s="921"/>
      <c r="I1" s="921"/>
      <c r="J1" s="921"/>
      <c r="K1" s="921"/>
      <c r="L1" s="921"/>
      <c r="M1" s="921"/>
      <c r="N1" s="921"/>
      <c r="O1" s="921"/>
      <c r="P1" s="922"/>
      <c r="Q1" s="922"/>
      <c r="R1" s="922"/>
      <c r="S1" s="922"/>
      <c r="T1" s="922"/>
      <c r="U1" s="923"/>
      <c r="V1" s="923"/>
      <c r="W1" s="923"/>
      <c r="X1" s="923"/>
      <c r="Y1" s="923"/>
      <c r="Z1" s="923"/>
      <c r="AA1" s="923"/>
      <c r="AB1" s="923"/>
      <c r="AC1" s="923"/>
      <c r="AD1" s="923"/>
      <c r="AE1" s="923"/>
      <c r="AF1" s="923"/>
      <c r="AG1" s="923"/>
      <c r="AH1" s="923"/>
      <c r="AI1" s="923"/>
      <c r="AJ1" s="924"/>
      <c r="AK1" s="924"/>
      <c r="AL1" s="925">
        <v>1</v>
      </c>
      <c r="AM1" s="657" t="str">
        <f>SUBSTITUTE(ADDRESS(1,COLUMN(),4),"1","")</f>
        <v>AM</v>
      </c>
      <c r="AN1" s="658" t="str">
        <f>SUBSTITUTE(ADDRESS(1,COLUMN(),4),"1","")</f>
        <v>AN</v>
      </c>
    </row>
    <row r="2" spans="1:40" ht="30" customHeight="1">
      <c r="A2" s="921"/>
      <c r="B2" s="949" t="s">
        <v>3090</v>
      </c>
      <c r="C2" s="921"/>
      <c r="D2" s="921"/>
      <c r="E2" s="921"/>
      <c r="F2" s="921"/>
      <c r="G2" s="921"/>
      <c r="H2" s="921"/>
      <c r="I2" s="921"/>
      <c r="J2" s="921"/>
      <c r="K2" s="921"/>
      <c r="L2" s="921"/>
      <c r="M2" s="921"/>
      <c r="N2" s="921"/>
      <c r="O2" s="921"/>
      <c r="P2" s="922"/>
      <c r="Q2" s="922"/>
      <c r="R2" s="922"/>
      <c r="S2" s="922"/>
      <c r="T2" s="922"/>
      <c r="U2" s="923"/>
      <c r="V2" s="923"/>
      <c r="W2" s="923"/>
      <c r="X2" s="923"/>
      <c r="Y2" s="923"/>
      <c r="Z2" s="923"/>
      <c r="AA2" s="923"/>
      <c r="AB2" s="923"/>
      <c r="AC2" s="923"/>
      <c r="AD2" s="923"/>
      <c r="AE2" s="923"/>
      <c r="AF2" s="923"/>
      <c r="AG2" s="923"/>
      <c r="AH2" s="923"/>
      <c r="AI2" s="923"/>
      <c r="AJ2" s="924"/>
      <c r="AK2" s="924"/>
      <c r="AL2" s="925">
        <v>1</v>
      </c>
      <c r="AM2" s="928"/>
      <c r="AN2" s="928" t="s">
        <v>3045</v>
      </c>
    </row>
    <row r="3" spans="1:40" ht="30" customHeight="1">
      <c r="A3" s="921"/>
      <c r="B3" s="949" t="s">
        <v>3091</v>
      </c>
      <c r="C3" s="921"/>
      <c r="D3" s="921"/>
      <c r="E3" s="921"/>
      <c r="F3" s="921"/>
      <c r="G3" s="921"/>
      <c r="H3" s="921"/>
      <c r="I3" s="921"/>
      <c r="J3" s="921"/>
      <c r="K3" s="921"/>
      <c r="L3" s="921"/>
      <c r="M3" s="921"/>
      <c r="N3" s="921"/>
      <c r="O3" s="921"/>
      <c r="P3" s="922"/>
      <c r="Q3" s="922"/>
      <c r="R3" s="922"/>
      <c r="S3" s="922"/>
      <c r="T3" s="922"/>
      <c r="U3" s="923"/>
      <c r="V3" s="923"/>
      <c r="W3" s="923"/>
      <c r="X3" s="923"/>
      <c r="Y3" s="923"/>
      <c r="Z3" s="923"/>
      <c r="AA3" s="923"/>
      <c r="AB3" s="923"/>
      <c r="AC3" s="923"/>
      <c r="AD3" s="923"/>
      <c r="AE3" s="923"/>
      <c r="AF3" s="923"/>
      <c r="AG3" s="923"/>
      <c r="AH3" s="923"/>
      <c r="AI3" s="923"/>
      <c r="AJ3" s="924"/>
      <c r="AK3" s="924"/>
      <c r="AL3" s="925">
        <v>1</v>
      </c>
      <c r="AM3" s="932">
        <f ca="1">COUNTA(A1:AL283) + COUNTBLANK(A1:AL283)</f>
        <v>10755</v>
      </c>
      <c r="AN3" s="928" t="str">
        <f>"cells between"&amp;" " &amp;A1&amp;" et  "&amp;AL283</f>
        <v>cells between A1 et  AL283</v>
      </c>
    </row>
    <row r="4" spans="1:40" ht="30" customHeight="1">
      <c r="A4" s="921"/>
      <c r="B4" s="949" t="s">
        <v>3092</v>
      </c>
      <c r="C4" s="921"/>
      <c r="D4" s="921"/>
      <c r="E4" s="921"/>
      <c r="F4" s="921"/>
      <c r="G4" s="921"/>
      <c r="H4" s="921"/>
      <c r="I4" s="921"/>
      <c r="J4" s="921"/>
      <c r="K4" s="921"/>
      <c r="L4" s="921"/>
      <c r="M4" s="921"/>
      <c r="N4" s="921"/>
      <c r="O4" s="921"/>
      <c r="P4" s="922"/>
      <c r="Q4" s="922"/>
      <c r="R4" s="922"/>
      <c r="S4" s="922"/>
      <c r="T4" s="922"/>
      <c r="U4" s="923"/>
      <c r="V4" s="923"/>
      <c r="W4" s="923"/>
      <c r="X4" s="923"/>
      <c r="Y4" s="923"/>
      <c r="Z4" s="923"/>
      <c r="AA4" s="923"/>
      <c r="AB4" s="923"/>
      <c r="AC4" s="923"/>
      <c r="AD4" s="923"/>
      <c r="AE4" s="923"/>
      <c r="AF4" s="923"/>
      <c r="AG4" s="923"/>
      <c r="AH4" s="923"/>
      <c r="AI4" s="923"/>
      <c r="AJ4" s="924"/>
      <c r="AK4" s="924"/>
      <c r="AL4" s="925">
        <v>1</v>
      </c>
      <c r="AM4" s="932">
        <f ca="1">COUNTA(A1:AL283)</f>
        <v>964</v>
      </c>
      <c r="AN4" s="928" t="s">
        <v>3046</v>
      </c>
    </row>
    <row r="5" spans="1:40" ht="30" customHeight="1">
      <c r="A5" s="921"/>
      <c r="B5" s="949" t="s">
        <v>3093</v>
      </c>
      <c r="C5" s="921"/>
      <c r="D5" s="921"/>
      <c r="E5" s="921"/>
      <c r="F5" s="921"/>
      <c r="G5" s="921"/>
      <c r="H5" s="921"/>
      <c r="I5" s="921"/>
      <c r="J5" s="921"/>
      <c r="K5" s="921"/>
      <c r="L5" s="921"/>
      <c r="M5" s="921"/>
      <c r="N5" s="921"/>
      <c r="O5" s="921"/>
      <c r="P5" s="922"/>
      <c r="Q5" s="922"/>
      <c r="R5" s="922"/>
      <c r="S5" s="922"/>
      <c r="T5" s="922"/>
      <c r="U5" s="923"/>
      <c r="V5" s="923"/>
      <c r="W5" s="923"/>
      <c r="X5" s="923"/>
      <c r="Y5" s="923"/>
      <c r="Z5" s="923"/>
      <c r="AA5" s="923"/>
      <c r="AB5" s="923"/>
      <c r="AC5" s="923"/>
      <c r="AD5" s="923"/>
      <c r="AE5" s="923"/>
      <c r="AF5" s="923"/>
      <c r="AG5" s="923"/>
      <c r="AH5" s="923"/>
      <c r="AI5" s="923"/>
      <c r="AJ5" s="924"/>
      <c r="AK5" s="924"/>
      <c r="AL5" s="925">
        <v>1</v>
      </c>
      <c r="AM5" s="932">
        <f ca="1">COUNTBLANK(A1:AL283)</f>
        <v>9791</v>
      </c>
      <c r="AN5" s="928" t="s">
        <v>3047</v>
      </c>
    </row>
    <row r="6" spans="1:40" ht="30" customHeight="1">
      <c r="A6" s="921"/>
      <c r="B6" s="949" t="s">
        <v>3094</v>
      </c>
      <c r="C6" s="921"/>
      <c r="D6" s="921"/>
      <c r="E6" s="921"/>
      <c r="F6" s="921"/>
      <c r="G6" s="921"/>
      <c r="H6" s="921"/>
      <c r="I6" s="921"/>
      <c r="J6" s="921"/>
      <c r="K6" s="921"/>
      <c r="L6" s="921"/>
      <c r="M6" s="921"/>
      <c r="N6" s="921"/>
      <c r="O6" s="921"/>
      <c r="P6" s="922"/>
      <c r="Q6" s="922"/>
      <c r="R6" s="922"/>
      <c r="S6" s="922"/>
      <c r="T6" s="922"/>
      <c r="U6" s="923"/>
      <c r="V6" s="923"/>
      <c r="W6" s="923"/>
      <c r="X6" s="923"/>
      <c r="Y6" s="923"/>
      <c r="Z6" s="923"/>
      <c r="AA6" s="923"/>
      <c r="AB6" s="923"/>
      <c r="AC6" s="923"/>
      <c r="AD6" s="923"/>
      <c r="AE6" s="923"/>
      <c r="AF6" s="923"/>
      <c r="AG6" s="923"/>
      <c r="AH6" s="923"/>
      <c r="AI6" s="923"/>
      <c r="AJ6" s="924"/>
      <c r="AK6" s="924"/>
      <c r="AL6" s="925">
        <v>1</v>
      </c>
      <c r="AM6" s="932">
        <f>SUM(AL1:AL281)+2</f>
        <v>283</v>
      </c>
      <c r="AN6" s="928" t="s">
        <v>3048</v>
      </c>
    </row>
    <row r="7" spans="1:40" ht="30" customHeight="1">
      <c r="A7" s="921"/>
      <c r="B7" s="949"/>
      <c r="C7" s="921"/>
      <c r="D7" s="921"/>
      <c r="E7" s="921"/>
      <c r="F7" s="921"/>
      <c r="G7" s="921"/>
      <c r="H7" s="921"/>
      <c r="I7" s="921"/>
      <c r="J7" s="921"/>
      <c r="K7" s="921"/>
      <c r="L7" s="921"/>
      <c r="M7" s="921"/>
      <c r="N7" s="921"/>
      <c r="O7" s="921"/>
      <c r="P7" s="922"/>
      <c r="Q7" s="922"/>
      <c r="R7" s="922"/>
      <c r="S7" s="922"/>
      <c r="T7" s="922"/>
      <c r="U7" s="923"/>
      <c r="V7" s="923"/>
      <c r="W7" s="923"/>
      <c r="X7" s="923"/>
      <c r="Y7" s="923"/>
      <c r="Z7" s="923"/>
      <c r="AA7" s="923"/>
      <c r="AB7" s="923"/>
      <c r="AC7" s="923"/>
      <c r="AD7" s="923"/>
      <c r="AE7" s="923"/>
      <c r="AF7" s="923"/>
      <c r="AG7" s="923"/>
      <c r="AH7" s="923"/>
      <c r="AI7" s="923"/>
      <c r="AJ7" s="924"/>
      <c r="AK7" s="924"/>
      <c r="AL7" s="925">
        <v>1</v>
      </c>
      <c r="AM7" s="932"/>
      <c r="AN7" s="928"/>
    </row>
    <row r="8" spans="1:40" ht="30" customHeight="1">
      <c r="A8" s="921"/>
      <c r="B8" s="949" t="s">
        <v>14242</v>
      </c>
      <c r="C8" s="930"/>
      <c r="D8" s="921"/>
      <c r="E8" s="921"/>
      <c r="F8" s="921"/>
      <c r="G8" s="921"/>
      <c r="H8" s="921"/>
      <c r="I8" s="922"/>
      <c r="J8" s="921"/>
      <c r="K8" s="921"/>
      <c r="L8" s="921"/>
      <c r="M8" s="921"/>
      <c r="N8" s="921"/>
      <c r="O8" s="922"/>
      <c r="P8" s="922"/>
      <c r="Q8" s="922"/>
      <c r="R8" s="922"/>
      <c r="S8" s="922"/>
      <c r="T8" s="923"/>
      <c r="U8" s="923"/>
      <c r="V8" s="931"/>
      <c r="W8" s="931"/>
      <c r="X8" s="5614"/>
      <c r="Y8" s="5614"/>
      <c r="Z8" s="5614"/>
      <c r="AA8" s="5614"/>
      <c r="AB8" s="5614"/>
      <c r="AC8" s="5614"/>
      <c r="AD8" s="923"/>
      <c r="AE8" s="923"/>
      <c r="AF8" s="923"/>
      <c r="AG8" s="923"/>
      <c r="AH8" s="923"/>
      <c r="AI8" s="923"/>
      <c r="AJ8" s="924"/>
      <c r="AK8" s="924"/>
      <c r="AL8" s="925">
        <v>1</v>
      </c>
    </row>
    <row r="9" spans="1:40" ht="30" customHeight="1">
      <c r="A9" s="921"/>
      <c r="B9" s="949" t="s">
        <v>14230</v>
      </c>
      <c r="C9" s="930"/>
      <c r="D9" s="921"/>
      <c r="E9" s="921"/>
      <c r="F9" s="921"/>
      <c r="G9" s="921"/>
      <c r="H9" s="921"/>
      <c r="I9" s="922"/>
      <c r="J9" s="921"/>
      <c r="K9" s="921"/>
      <c r="L9" s="921"/>
      <c r="M9" s="921"/>
      <c r="N9" s="921"/>
      <c r="O9" s="922"/>
      <c r="P9" s="922"/>
      <c r="Q9" s="922"/>
      <c r="R9" s="922"/>
      <c r="S9" s="922"/>
      <c r="T9" s="923"/>
      <c r="U9" s="923"/>
      <c r="V9" s="931"/>
      <c r="W9" s="931"/>
      <c r="X9" s="933"/>
      <c r="Y9" s="934" t="s">
        <v>2857</v>
      </c>
      <c r="Z9" s="923"/>
      <c r="AA9" s="923"/>
      <c r="AB9" s="923"/>
      <c r="AC9" s="923"/>
      <c r="AD9" s="923"/>
      <c r="AE9" s="923"/>
      <c r="AF9" s="923"/>
      <c r="AG9" s="923"/>
      <c r="AH9" s="923"/>
      <c r="AI9" s="923"/>
      <c r="AJ9" s="924"/>
      <c r="AK9" s="924"/>
      <c r="AL9" s="925">
        <v>1</v>
      </c>
    </row>
    <row r="10" spans="1:40" ht="30" customHeight="1">
      <c r="A10" s="921"/>
      <c r="B10" s="949"/>
      <c r="C10" s="930"/>
      <c r="D10" s="921"/>
      <c r="E10" s="921"/>
      <c r="F10" s="921"/>
      <c r="G10" s="921"/>
      <c r="H10" s="921"/>
      <c r="I10" s="922"/>
      <c r="J10" s="921"/>
      <c r="K10" s="921"/>
      <c r="L10" s="921"/>
      <c r="M10" s="921"/>
      <c r="N10" s="921"/>
      <c r="O10" s="922"/>
      <c r="P10" s="922"/>
      <c r="Q10" s="922"/>
      <c r="R10" s="922"/>
      <c r="S10" s="922"/>
      <c r="T10" s="923"/>
      <c r="U10" s="923"/>
      <c r="V10" s="931"/>
      <c r="W10" s="931"/>
      <c r="X10" s="933"/>
      <c r="Y10" s="923"/>
      <c r="Z10" s="923"/>
      <c r="AA10" s="923"/>
      <c r="AB10" s="923"/>
      <c r="AC10" s="923"/>
      <c r="AD10" s="923"/>
      <c r="AE10" s="923"/>
      <c r="AF10" s="923"/>
      <c r="AG10" s="923"/>
      <c r="AH10" s="923"/>
      <c r="AI10" s="923"/>
      <c r="AJ10" s="924"/>
      <c r="AK10" s="924"/>
      <c r="AL10" s="925">
        <v>1</v>
      </c>
    </row>
    <row r="11" spans="1:40" ht="30" customHeight="1">
      <c r="A11" s="921"/>
      <c r="B11" s="949" t="s">
        <v>14233</v>
      </c>
      <c r="C11" s="930"/>
      <c r="D11" s="921"/>
      <c r="E11" s="921"/>
      <c r="F11" s="921"/>
      <c r="G11" s="921"/>
      <c r="H11" s="921"/>
      <c r="I11" s="922"/>
      <c r="J11" s="921"/>
      <c r="K11" s="921"/>
      <c r="L11" s="921"/>
      <c r="M11" s="921"/>
      <c r="N11" s="921"/>
      <c r="O11" s="922"/>
      <c r="P11" s="922"/>
      <c r="Q11" s="922"/>
      <c r="R11" s="922"/>
      <c r="S11" s="922"/>
      <c r="T11" s="923"/>
      <c r="U11" s="923"/>
      <c r="V11" s="933"/>
      <c r="W11" s="933"/>
      <c r="X11" s="933"/>
      <c r="Y11" s="934" t="s">
        <v>14257</v>
      </c>
      <c r="Z11" s="923"/>
      <c r="AA11" s="923"/>
      <c r="AB11" s="923"/>
      <c r="AC11" s="923"/>
      <c r="AD11" s="923"/>
      <c r="AE11" s="923"/>
      <c r="AF11" s="923"/>
      <c r="AG11" s="923"/>
      <c r="AH11" s="923"/>
      <c r="AI11" s="923"/>
      <c r="AJ11" s="924"/>
      <c r="AK11" s="924"/>
      <c r="AL11" s="925">
        <v>1</v>
      </c>
    </row>
    <row r="12" spans="1:40" ht="30" customHeight="1">
      <c r="A12" s="921"/>
      <c r="B12" s="949" t="s">
        <v>14236</v>
      </c>
      <c r="C12" s="930"/>
      <c r="D12" s="921"/>
      <c r="E12" s="921"/>
      <c r="F12" s="921"/>
      <c r="G12" s="921"/>
      <c r="H12" s="921"/>
      <c r="I12" s="922"/>
      <c r="J12" s="921"/>
      <c r="K12" s="921"/>
      <c r="L12" s="921"/>
      <c r="M12" s="921"/>
      <c r="N12" s="921"/>
      <c r="O12" s="922"/>
      <c r="P12" s="922"/>
      <c r="Q12" s="922"/>
      <c r="R12" s="922"/>
      <c r="S12" s="922"/>
      <c r="T12" s="923"/>
      <c r="U12" s="923"/>
      <c r="V12" s="933"/>
      <c r="W12" s="933"/>
      <c r="X12" s="933"/>
      <c r="Y12" s="934"/>
      <c r="Z12" s="923"/>
      <c r="AA12" s="923"/>
      <c r="AB12" s="923"/>
      <c r="AC12" s="923"/>
      <c r="AD12" s="923"/>
      <c r="AE12" s="923"/>
      <c r="AF12" s="923"/>
      <c r="AG12" s="923"/>
      <c r="AH12" s="923"/>
      <c r="AI12" s="923"/>
      <c r="AJ12" s="924"/>
      <c r="AK12" s="924"/>
      <c r="AL12" s="925">
        <v>1</v>
      </c>
    </row>
    <row r="13" spans="1:40" ht="30" customHeight="1">
      <c r="A13" s="921"/>
      <c r="B13" s="921"/>
      <c r="C13" s="921"/>
      <c r="D13" s="921"/>
      <c r="E13" s="921"/>
      <c r="F13" s="921"/>
      <c r="G13" s="921"/>
      <c r="H13" s="921"/>
      <c r="I13" s="921"/>
      <c r="J13" s="921"/>
      <c r="K13" s="921"/>
      <c r="L13" s="921"/>
      <c r="M13" s="921"/>
      <c r="N13" s="921"/>
      <c r="O13" s="921"/>
      <c r="P13" s="922"/>
      <c r="Q13" s="922"/>
      <c r="R13" s="922"/>
      <c r="S13" s="922"/>
      <c r="T13" s="922"/>
      <c r="U13" s="923"/>
      <c r="V13" s="923"/>
      <c r="W13" s="923"/>
      <c r="X13" s="923"/>
      <c r="Y13" s="933" t="str">
        <f ca="1">"Page "&amp;_xlfn.SHEET()&amp;" sur "&amp;_xlfn.SHEETS()</f>
        <v>Page 3 sur 27</v>
      </c>
      <c r="Z13" s="923"/>
      <c r="AA13" s="923"/>
      <c r="AB13" s="923"/>
      <c r="AC13" s="923"/>
      <c r="AD13" s="923"/>
      <c r="AE13" s="923"/>
      <c r="AF13" s="923"/>
      <c r="AG13" s="923"/>
      <c r="AH13" s="923"/>
      <c r="AI13" s="923"/>
      <c r="AJ13" s="924"/>
      <c r="AK13" s="924"/>
      <c r="AL13" s="925">
        <v>1</v>
      </c>
    </row>
    <row r="14" spans="1:40" ht="30" customHeight="1">
      <c r="A14" s="921"/>
      <c r="B14" s="927" t="s">
        <v>2838</v>
      </c>
      <c r="C14" s="921"/>
      <c r="D14" s="921"/>
      <c r="E14" s="921"/>
      <c r="F14" s="921"/>
      <c r="G14" s="921"/>
      <c r="H14" s="921"/>
      <c r="I14" s="922"/>
      <c r="J14" s="921"/>
      <c r="K14" s="921"/>
      <c r="L14" s="921"/>
      <c r="M14" s="921"/>
      <c r="N14" s="921"/>
      <c r="O14" s="922"/>
      <c r="P14" s="922"/>
      <c r="Q14" s="922"/>
      <c r="R14" s="922"/>
      <c r="S14" s="922"/>
      <c r="T14" s="923"/>
      <c r="U14" s="923"/>
      <c r="V14" s="923"/>
      <c r="W14" s="923"/>
      <c r="X14" s="5988"/>
      <c r="Y14" s="923"/>
      <c r="Z14" s="5988"/>
      <c r="AA14" s="5988"/>
      <c r="AB14" s="5988"/>
      <c r="AC14" s="5988"/>
      <c r="AD14" s="923"/>
      <c r="AE14" s="923"/>
      <c r="AF14" s="923"/>
      <c r="AG14" s="923"/>
      <c r="AH14" s="923"/>
      <c r="AI14" s="923"/>
      <c r="AJ14" s="924"/>
      <c r="AK14" s="924"/>
      <c r="AL14" s="925">
        <v>1</v>
      </c>
    </row>
    <row r="15" spans="1:40" ht="30" customHeight="1">
      <c r="A15" s="921"/>
      <c r="B15" s="929" t="s">
        <v>2839</v>
      </c>
      <c r="C15" s="930"/>
      <c r="D15" s="921"/>
      <c r="E15" s="921"/>
      <c r="F15" s="921"/>
      <c r="G15" s="921"/>
      <c r="H15" s="921"/>
      <c r="I15" s="922"/>
      <c r="J15" s="921"/>
      <c r="K15" s="921"/>
      <c r="L15" s="921"/>
      <c r="M15" s="921"/>
      <c r="N15" s="921"/>
      <c r="O15" s="922"/>
      <c r="P15" s="922"/>
      <c r="Q15" s="922"/>
      <c r="R15" s="922"/>
      <c r="S15" s="922"/>
      <c r="T15" s="923"/>
      <c r="U15" s="923"/>
      <c r="V15" s="931"/>
      <c r="W15" s="931"/>
      <c r="X15" s="5988"/>
      <c r="Y15" s="935" t="s">
        <v>2858</v>
      </c>
      <c r="Z15" s="5988"/>
      <c r="AA15" s="5988"/>
      <c r="AB15" s="5988"/>
      <c r="AC15" s="5988"/>
      <c r="AD15" s="923"/>
      <c r="AE15" s="923"/>
      <c r="AF15" s="923"/>
      <c r="AG15" s="923"/>
      <c r="AH15" s="923"/>
      <c r="AI15" s="923"/>
      <c r="AJ15" s="924"/>
      <c r="AK15" s="924"/>
      <c r="AL15" s="925">
        <v>1</v>
      </c>
    </row>
    <row r="16" spans="1:40" ht="30" customHeight="1">
      <c r="A16" s="921"/>
      <c r="B16" s="929"/>
      <c r="C16" s="930"/>
      <c r="D16" s="921"/>
      <c r="E16" s="921"/>
      <c r="F16" s="921"/>
      <c r="G16" s="921"/>
      <c r="H16" s="921"/>
      <c r="I16" s="922"/>
      <c r="J16" s="921"/>
      <c r="K16" s="921"/>
      <c r="L16" s="921"/>
      <c r="M16" s="921"/>
      <c r="N16" s="921"/>
      <c r="O16" s="922"/>
      <c r="P16" s="922"/>
      <c r="Q16" s="922"/>
      <c r="R16" s="922"/>
      <c r="S16" s="922"/>
      <c r="T16" s="923"/>
      <c r="U16" s="923"/>
      <c r="V16" s="933"/>
      <c r="W16" s="933"/>
      <c r="X16" s="933"/>
      <c r="Y16" s="934"/>
      <c r="Z16" s="923"/>
      <c r="AA16" s="923"/>
      <c r="AB16" s="923"/>
      <c r="AC16" s="923"/>
      <c r="AD16" s="923"/>
      <c r="AE16" s="923"/>
      <c r="AF16" s="923"/>
      <c r="AG16" s="923"/>
      <c r="AH16" s="923"/>
      <c r="AI16" s="923"/>
      <c r="AJ16" s="924"/>
      <c r="AK16" s="924"/>
      <c r="AL16" s="925">
        <v>1</v>
      </c>
    </row>
    <row r="17" spans="1:38" ht="30" customHeight="1">
      <c r="A17" s="921"/>
      <c r="B17" s="929" t="s">
        <v>2783</v>
      </c>
      <c r="C17" s="930"/>
      <c r="D17" s="921"/>
      <c r="E17" s="921"/>
      <c r="F17" s="921"/>
      <c r="G17" s="921"/>
      <c r="H17" s="921"/>
      <c r="I17" s="922"/>
      <c r="J17" s="921"/>
      <c r="K17" s="921"/>
      <c r="L17" s="921"/>
      <c r="M17" s="921"/>
      <c r="N17" s="921"/>
      <c r="O17" s="922"/>
      <c r="P17" s="922"/>
      <c r="Q17" s="922"/>
      <c r="R17" s="922"/>
      <c r="S17" s="922"/>
      <c r="T17" s="923"/>
      <c r="U17" s="923"/>
      <c r="V17" s="933"/>
      <c r="W17" s="933"/>
      <c r="X17" s="933"/>
      <c r="Y17" s="923"/>
      <c r="Z17" s="923"/>
      <c r="AA17" s="923"/>
      <c r="AB17" s="923"/>
      <c r="AC17" s="923"/>
      <c r="AD17" s="923"/>
      <c r="AE17" s="923"/>
      <c r="AF17" s="923"/>
      <c r="AG17" s="923"/>
      <c r="AH17" s="923"/>
      <c r="AI17" s="923"/>
      <c r="AJ17" s="924"/>
      <c r="AK17" s="924"/>
      <c r="AL17" s="925">
        <v>1</v>
      </c>
    </row>
    <row r="18" spans="1:38" ht="30" customHeight="1">
      <c r="A18" s="921"/>
      <c r="B18" s="929" t="s">
        <v>2784</v>
      </c>
      <c r="C18" s="930"/>
      <c r="D18" s="921"/>
      <c r="E18" s="921"/>
      <c r="F18" s="921"/>
      <c r="G18" s="921"/>
      <c r="H18" s="921"/>
      <c r="I18" s="922"/>
      <c r="J18" s="921"/>
      <c r="K18" s="921"/>
      <c r="L18" s="921"/>
      <c r="M18" s="921"/>
      <c r="N18" s="921"/>
      <c r="O18" s="922"/>
      <c r="P18" s="922"/>
      <c r="Q18" s="922"/>
      <c r="R18" s="922"/>
      <c r="S18" s="922"/>
      <c r="T18" s="923"/>
      <c r="U18" s="923"/>
      <c r="V18" s="933"/>
      <c r="W18" s="933"/>
      <c r="X18" s="933"/>
      <c r="Y18" s="934"/>
      <c r="Z18" s="923"/>
      <c r="AA18" s="923"/>
      <c r="AB18" s="923"/>
      <c r="AC18" s="923"/>
      <c r="AD18" s="923"/>
      <c r="AE18" s="923"/>
      <c r="AF18" s="923"/>
      <c r="AG18" s="923"/>
      <c r="AH18" s="923"/>
      <c r="AI18" s="923"/>
      <c r="AJ18" s="924"/>
      <c r="AK18" s="924"/>
      <c r="AL18" s="925">
        <v>1</v>
      </c>
    </row>
    <row r="19" spans="1:38" ht="30" customHeight="1">
      <c r="A19" s="921"/>
      <c r="B19" s="929"/>
      <c r="C19" s="930"/>
      <c r="D19" s="921"/>
      <c r="E19" s="921"/>
      <c r="F19" s="921"/>
      <c r="G19" s="921"/>
      <c r="H19" s="921"/>
      <c r="I19" s="922"/>
      <c r="J19" s="921"/>
      <c r="K19" s="921"/>
      <c r="L19" s="921"/>
      <c r="M19" s="921"/>
      <c r="N19" s="921"/>
      <c r="O19" s="922"/>
      <c r="P19" s="922"/>
      <c r="Q19" s="922"/>
      <c r="R19" s="922"/>
      <c r="S19" s="922"/>
      <c r="T19" s="923"/>
      <c r="U19" s="923"/>
      <c r="V19" s="933"/>
      <c r="W19" s="933"/>
      <c r="X19" s="933"/>
      <c r="Y19" s="934"/>
      <c r="Z19" s="923"/>
      <c r="AA19" s="923"/>
      <c r="AB19" s="923"/>
      <c r="AC19" s="923"/>
      <c r="AD19" s="923"/>
      <c r="AE19" s="923"/>
      <c r="AF19" s="923"/>
      <c r="AG19" s="923"/>
      <c r="AH19" s="923"/>
      <c r="AI19" s="923"/>
      <c r="AJ19" s="924"/>
      <c r="AK19" s="924"/>
      <c r="AL19" s="925">
        <v>1</v>
      </c>
    </row>
    <row r="20" spans="1:38" ht="30" customHeight="1">
      <c r="A20" s="921"/>
      <c r="B20" s="929" t="s">
        <v>2785</v>
      </c>
      <c r="C20" s="930"/>
      <c r="D20" s="921"/>
      <c r="E20" s="921"/>
      <c r="F20" s="921"/>
      <c r="G20" s="921"/>
      <c r="H20" s="921"/>
      <c r="I20" s="922"/>
      <c r="J20" s="921"/>
      <c r="K20" s="921"/>
      <c r="L20" s="921"/>
      <c r="M20" s="921"/>
      <c r="N20" s="921"/>
      <c r="O20" s="922"/>
      <c r="P20" s="922"/>
      <c r="Q20" s="922"/>
      <c r="R20" s="922"/>
      <c r="S20" s="922"/>
      <c r="T20" s="923"/>
      <c r="U20" s="923"/>
      <c r="V20" s="933"/>
      <c r="W20" s="933"/>
      <c r="X20" s="933"/>
      <c r="Y20" s="933"/>
      <c r="Z20" s="923"/>
      <c r="AA20" s="923"/>
      <c r="AB20" s="923"/>
      <c r="AC20" s="923"/>
      <c r="AD20" s="923"/>
      <c r="AE20" s="923"/>
      <c r="AF20" s="923"/>
      <c r="AG20" s="923"/>
      <c r="AH20" s="923"/>
      <c r="AI20" s="923"/>
      <c r="AJ20" s="924"/>
      <c r="AK20" s="924"/>
      <c r="AL20" s="925">
        <v>1</v>
      </c>
    </row>
    <row r="21" spans="1:38" ht="30" customHeight="1">
      <c r="A21" s="921"/>
      <c r="B21" s="929" t="s">
        <v>2786</v>
      </c>
      <c r="C21" s="930"/>
      <c r="D21" s="921"/>
      <c r="E21" s="921"/>
      <c r="F21" s="921"/>
      <c r="G21" s="921"/>
      <c r="H21" s="921"/>
      <c r="I21" s="922"/>
      <c r="J21" s="921"/>
      <c r="K21" s="921"/>
      <c r="L21" s="921"/>
      <c r="M21" s="921"/>
      <c r="N21" s="921"/>
      <c r="O21" s="922"/>
      <c r="P21" s="922"/>
      <c r="Q21" s="922"/>
      <c r="R21" s="922"/>
      <c r="S21" s="922"/>
      <c r="T21" s="923"/>
      <c r="U21" s="923"/>
      <c r="V21" s="933"/>
      <c r="W21" s="933"/>
      <c r="X21" s="933"/>
      <c r="Y21" s="923"/>
      <c r="Z21" s="934"/>
      <c r="AA21" s="923"/>
      <c r="AB21" s="923"/>
      <c r="AC21" s="923"/>
      <c r="AD21" s="923"/>
      <c r="AE21" s="923"/>
      <c r="AF21" s="923"/>
      <c r="AG21" s="923"/>
      <c r="AH21" s="923"/>
      <c r="AI21" s="923"/>
      <c r="AJ21" s="924"/>
      <c r="AK21" s="924"/>
      <c r="AL21" s="925">
        <v>1</v>
      </c>
    </row>
    <row r="22" spans="1:38" ht="30" customHeight="1">
      <c r="A22" s="921"/>
      <c r="B22" s="929" t="s">
        <v>2787</v>
      </c>
      <c r="C22" s="930"/>
      <c r="D22" s="921"/>
      <c r="E22" s="921"/>
      <c r="F22" s="921"/>
      <c r="G22" s="921"/>
      <c r="H22" s="921"/>
      <c r="I22" s="922"/>
      <c r="J22" s="921"/>
      <c r="K22" s="921"/>
      <c r="L22" s="921"/>
      <c r="M22" s="921"/>
      <c r="N22" s="921"/>
      <c r="O22" s="922"/>
      <c r="P22" s="922"/>
      <c r="Q22" s="922"/>
      <c r="R22" s="922"/>
      <c r="S22" s="922"/>
      <c r="T22" s="923"/>
      <c r="U22" s="923"/>
      <c r="V22" s="933"/>
      <c r="W22" s="933"/>
      <c r="X22" s="933"/>
      <c r="Y22" s="935"/>
      <c r="Z22" s="934"/>
      <c r="AA22" s="923"/>
      <c r="AB22" s="923"/>
      <c r="AC22" s="923"/>
      <c r="AD22" s="923"/>
      <c r="AE22" s="923"/>
      <c r="AF22" s="923"/>
      <c r="AG22" s="923"/>
      <c r="AH22" s="923"/>
      <c r="AI22" s="923"/>
      <c r="AJ22" s="924"/>
      <c r="AK22" s="924"/>
      <c r="AL22" s="925">
        <v>1</v>
      </c>
    </row>
    <row r="23" spans="1:38" ht="30" customHeight="1">
      <c r="A23" s="921"/>
      <c r="B23" s="929" t="s">
        <v>2788</v>
      </c>
      <c r="C23" s="930"/>
      <c r="D23" s="921"/>
      <c r="E23" s="921"/>
      <c r="F23" s="921"/>
      <c r="G23" s="921"/>
      <c r="H23" s="921"/>
      <c r="I23" s="922"/>
      <c r="J23" s="921"/>
      <c r="K23" s="921"/>
      <c r="L23" s="921"/>
      <c r="M23" s="921"/>
      <c r="N23" s="921"/>
      <c r="O23" s="922"/>
      <c r="P23" s="922"/>
      <c r="Q23" s="922"/>
      <c r="R23" s="922"/>
      <c r="S23" s="922"/>
      <c r="T23" s="923"/>
      <c r="U23" s="923"/>
      <c r="V23" s="933"/>
      <c r="W23" s="933"/>
      <c r="X23" s="933"/>
      <c r="Y23" s="923"/>
      <c r="Z23" s="934"/>
      <c r="AA23" s="923"/>
      <c r="AB23" s="923"/>
      <c r="AC23" s="923"/>
      <c r="AD23" s="923"/>
      <c r="AE23" s="923"/>
      <c r="AF23" s="923"/>
      <c r="AG23" s="923"/>
      <c r="AH23" s="923"/>
      <c r="AI23" s="923"/>
      <c r="AJ23" s="924"/>
      <c r="AK23" s="924"/>
      <c r="AL23" s="925">
        <v>1</v>
      </c>
    </row>
    <row r="24" spans="1:38" ht="30" customHeight="1">
      <c r="A24" s="921"/>
      <c r="B24" s="929"/>
      <c r="C24" s="930"/>
      <c r="D24" s="921"/>
      <c r="E24" s="921"/>
      <c r="F24" s="921"/>
      <c r="G24" s="921"/>
      <c r="H24" s="921"/>
      <c r="I24" s="922"/>
      <c r="J24" s="921"/>
      <c r="K24" s="921"/>
      <c r="L24" s="921"/>
      <c r="M24" s="921"/>
      <c r="N24" s="921"/>
      <c r="O24" s="922"/>
      <c r="P24" s="929"/>
      <c r="Q24" s="922"/>
      <c r="R24" s="922"/>
      <c r="S24" s="922"/>
      <c r="T24" s="923"/>
      <c r="U24" s="923"/>
      <c r="V24" s="933"/>
      <c r="W24" s="933"/>
      <c r="X24" s="933"/>
      <c r="Y24" s="923"/>
      <c r="Z24" s="934"/>
      <c r="AA24" s="923"/>
      <c r="AB24" s="923"/>
      <c r="AC24" s="923"/>
      <c r="AD24" s="923"/>
      <c r="AE24" s="923"/>
      <c r="AF24" s="923"/>
      <c r="AG24" s="923"/>
      <c r="AH24" s="923"/>
      <c r="AI24" s="923"/>
      <c r="AJ24" s="924"/>
      <c r="AK24" s="924"/>
      <c r="AL24" s="925">
        <v>1</v>
      </c>
    </row>
    <row r="25" spans="1:38" ht="30" customHeight="1">
      <c r="A25" s="921"/>
      <c r="B25" s="929" t="s">
        <v>2789</v>
      </c>
      <c r="C25" s="930"/>
      <c r="D25" s="921"/>
      <c r="E25" s="921"/>
      <c r="F25" s="921"/>
      <c r="G25" s="921"/>
      <c r="H25" s="921"/>
      <c r="I25" s="922"/>
      <c r="J25" s="921"/>
      <c r="K25" s="921"/>
      <c r="L25" s="921"/>
      <c r="M25" s="921"/>
      <c r="N25" s="921"/>
      <c r="O25" s="922"/>
      <c r="P25" s="929"/>
      <c r="Q25" s="922"/>
      <c r="R25" s="922"/>
      <c r="S25" s="922"/>
      <c r="T25" s="923"/>
      <c r="U25" s="923"/>
      <c r="V25" s="933"/>
      <c r="W25" s="933"/>
      <c r="X25" s="933"/>
      <c r="Y25" s="923"/>
      <c r="Z25" s="934"/>
      <c r="AA25" s="923"/>
      <c r="AB25" s="923"/>
      <c r="AC25" s="923"/>
      <c r="AD25" s="923"/>
      <c r="AE25" s="923"/>
      <c r="AF25" s="923"/>
      <c r="AG25" s="923"/>
      <c r="AH25" s="923"/>
      <c r="AI25" s="923"/>
      <c r="AJ25" s="924"/>
      <c r="AK25" s="924"/>
      <c r="AL25" s="925">
        <v>1</v>
      </c>
    </row>
    <row r="26" spans="1:38" ht="30" customHeight="1">
      <c r="A26" s="921"/>
      <c r="B26" s="929" t="s">
        <v>2790</v>
      </c>
      <c r="C26" s="930"/>
      <c r="D26" s="921"/>
      <c r="E26" s="921"/>
      <c r="F26" s="921"/>
      <c r="G26" s="921"/>
      <c r="H26" s="921"/>
      <c r="I26" s="922"/>
      <c r="J26" s="921"/>
      <c r="K26" s="921"/>
      <c r="L26" s="921"/>
      <c r="M26" s="921"/>
      <c r="N26" s="921"/>
      <c r="O26" s="922"/>
      <c r="P26" s="929"/>
      <c r="Q26" s="922"/>
      <c r="R26" s="922"/>
      <c r="S26" s="922"/>
      <c r="T26" s="923"/>
      <c r="U26" s="923"/>
      <c r="V26" s="933"/>
      <c r="W26" s="933"/>
      <c r="X26" s="933"/>
      <c r="Y26" s="923"/>
      <c r="Z26" s="934"/>
      <c r="AA26" s="923"/>
      <c r="AB26" s="923"/>
      <c r="AC26" s="923"/>
      <c r="AD26" s="923"/>
      <c r="AE26" s="923"/>
      <c r="AF26" s="923"/>
      <c r="AG26" s="923"/>
      <c r="AH26" s="923"/>
      <c r="AI26" s="923"/>
      <c r="AJ26" s="924"/>
      <c r="AK26" s="924"/>
      <c r="AL26" s="925">
        <v>1</v>
      </c>
    </row>
    <row r="27" spans="1:38" ht="30" customHeight="1">
      <c r="A27" s="921"/>
      <c r="B27" s="929" t="s">
        <v>2791</v>
      </c>
      <c r="C27" s="930"/>
      <c r="D27" s="921"/>
      <c r="E27" s="921"/>
      <c r="F27" s="921"/>
      <c r="G27" s="921"/>
      <c r="H27" s="921"/>
      <c r="I27" s="922"/>
      <c r="J27" s="921"/>
      <c r="K27" s="921"/>
      <c r="L27" s="921"/>
      <c r="M27" s="921"/>
      <c r="N27" s="921"/>
      <c r="O27" s="922"/>
      <c r="P27" s="929"/>
      <c r="Q27" s="922"/>
      <c r="R27" s="922"/>
      <c r="S27" s="922"/>
      <c r="T27" s="923"/>
      <c r="U27" s="923"/>
      <c r="V27" s="933"/>
      <c r="W27" s="933"/>
      <c r="X27" s="933"/>
      <c r="Y27" s="923"/>
      <c r="Z27" s="934"/>
      <c r="AA27" s="923"/>
      <c r="AB27" s="923"/>
      <c r="AC27" s="923"/>
      <c r="AD27" s="923"/>
      <c r="AE27" s="923"/>
      <c r="AF27" s="923"/>
      <c r="AG27" s="923"/>
      <c r="AH27" s="923"/>
      <c r="AI27" s="923"/>
      <c r="AJ27" s="924"/>
      <c r="AK27" s="924"/>
      <c r="AL27" s="925">
        <v>1</v>
      </c>
    </row>
    <row r="28" spans="1:38" s="627" customFormat="1" ht="30" customHeight="1">
      <c r="A28" s="921"/>
      <c r="B28" s="929"/>
      <c r="C28" s="930"/>
      <c r="D28" s="921"/>
      <c r="E28" s="921"/>
      <c r="F28" s="921"/>
      <c r="G28" s="921"/>
      <c r="H28" s="921"/>
      <c r="I28" s="922"/>
      <c r="J28" s="921"/>
      <c r="K28" s="921"/>
      <c r="L28" s="921"/>
      <c r="M28" s="921"/>
      <c r="N28" s="921"/>
      <c r="O28" s="922"/>
      <c r="P28" s="929"/>
      <c r="Q28" s="922"/>
      <c r="R28" s="922"/>
      <c r="S28" s="922"/>
      <c r="T28" s="923"/>
      <c r="U28" s="923"/>
      <c r="V28" s="933"/>
      <c r="W28" s="933"/>
      <c r="X28" s="933"/>
      <c r="Y28" s="923"/>
      <c r="Z28" s="934"/>
      <c r="AA28" s="923"/>
      <c r="AB28" s="923"/>
      <c r="AC28" s="923"/>
      <c r="AD28" s="923"/>
      <c r="AE28" s="923"/>
      <c r="AF28" s="923"/>
      <c r="AG28" s="923"/>
      <c r="AH28" s="923"/>
      <c r="AI28" s="923"/>
      <c r="AJ28" s="924"/>
      <c r="AK28" s="924"/>
      <c r="AL28" s="925">
        <v>1</v>
      </c>
    </row>
    <row r="29" spans="1:38" s="627" customFormat="1" ht="30" customHeight="1">
      <c r="A29" s="921"/>
      <c r="B29" s="929" t="s">
        <v>2792</v>
      </c>
      <c r="C29" s="930"/>
      <c r="D29" s="921"/>
      <c r="E29" s="921"/>
      <c r="F29" s="921"/>
      <c r="G29" s="921"/>
      <c r="H29" s="921"/>
      <c r="I29" s="922"/>
      <c r="J29" s="921"/>
      <c r="K29" s="921"/>
      <c r="L29" s="921"/>
      <c r="M29" s="921"/>
      <c r="N29" s="921"/>
      <c r="O29" s="922"/>
      <c r="P29" s="929"/>
      <c r="Q29" s="922"/>
      <c r="R29" s="922"/>
      <c r="S29" s="922"/>
      <c r="T29" s="923"/>
      <c r="U29" s="923"/>
      <c r="V29" s="933"/>
      <c r="W29" s="933"/>
      <c r="X29" s="933"/>
      <c r="Y29" s="923"/>
      <c r="Z29" s="934"/>
      <c r="AA29" s="923"/>
      <c r="AB29" s="923"/>
      <c r="AC29" s="923"/>
      <c r="AD29" s="923"/>
      <c r="AE29" s="923"/>
      <c r="AF29" s="923"/>
      <c r="AG29" s="923"/>
      <c r="AH29" s="923"/>
      <c r="AI29" s="923"/>
      <c r="AJ29" s="924"/>
      <c r="AK29" s="924"/>
      <c r="AL29" s="925">
        <v>1</v>
      </c>
    </row>
    <row r="30" spans="1:38" s="627" customFormat="1" ht="30" customHeight="1">
      <c r="A30" s="921"/>
      <c r="B30" s="929" t="s">
        <v>2793</v>
      </c>
      <c r="C30" s="930"/>
      <c r="D30" s="921"/>
      <c r="E30" s="921"/>
      <c r="F30" s="921"/>
      <c r="G30" s="921"/>
      <c r="H30" s="921"/>
      <c r="I30" s="922"/>
      <c r="J30" s="921"/>
      <c r="K30" s="921"/>
      <c r="L30" s="921"/>
      <c r="M30" s="921"/>
      <c r="N30" s="921"/>
      <c r="O30" s="922"/>
      <c r="P30" s="929"/>
      <c r="Q30" s="922"/>
      <c r="R30" s="922"/>
      <c r="S30" s="922"/>
      <c r="T30" s="923"/>
      <c r="U30" s="923"/>
      <c r="V30" s="933"/>
      <c r="W30" s="933"/>
      <c r="X30" s="933"/>
      <c r="Y30" s="923"/>
      <c r="Z30" s="934"/>
      <c r="AA30" s="923"/>
      <c r="AB30" s="923"/>
      <c r="AC30" s="923"/>
      <c r="AD30" s="923"/>
      <c r="AE30" s="923"/>
      <c r="AF30" s="923"/>
      <c r="AG30" s="923"/>
      <c r="AH30" s="923"/>
      <c r="AI30" s="923"/>
      <c r="AJ30" s="924"/>
      <c r="AK30" s="924"/>
      <c r="AL30" s="925">
        <v>1</v>
      </c>
    </row>
    <row r="31" spans="1:38" s="627" customFormat="1" ht="30" customHeight="1">
      <c r="A31" s="921"/>
      <c r="B31" s="929"/>
      <c r="C31" s="930"/>
      <c r="D31" s="921"/>
      <c r="E31" s="921"/>
      <c r="F31" s="921"/>
      <c r="G31" s="921"/>
      <c r="H31" s="921"/>
      <c r="I31" s="922"/>
      <c r="J31" s="921"/>
      <c r="K31" s="921"/>
      <c r="L31" s="921"/>
      <c r="M31" s="921"/>
      <c r="N31" s="921"/>
      <c r="O31" s="922"/>
      <c r="P31" s="929"/>
      <c r="Q31" s="922"/>
      <c r="R31" s="922"/>
      <c r="S31" s="922"/>
      <c r="T31" s="923"/>
      <c r="U31" s="923"/>
      <c r="V31" s="933"/>
      <c r="W31" s="933"/>
      <c r="X31" s="933"/>
      <c r="Y31" s="923"/>
      <c r="Z31" s="934"/>
      <c r="AA31" s="923"/>
      <c r="AB31" s="923"/>
      <c r="AC31" s="923"/>
      <c r="AD31" s="923"/>
      <c r="AE31" s="923"/>
      <c r="AF31" s="923"/>
      <c r="AG31" s="923"/>
      <c r="AH31" s="923"/>
      <c r="AI31" s="923"/>
      <c r="AJ31" s="924"/>
      <c r="AK31" s="924"/>
      <c r="AL31" s="925">
        <v>1</v>
      </c>
    </row>
    <row r="32" spans="1:38" s="627" customFormat="1" ht="30" customHeight="1">
      <c r="A32" s="921"/>
      <c r="B32" s="929" t="s">
        <v>2794</v>
      </c>
      <c r="C32" s="930"/>
      <c r="D32" s="921"/>
      <c r="E32" s="921"/>
      <c r="F32" s="921"/>
      <c r="G32" s="921"/>
      <c r="H32" s="921"/>
      <c r="I32" s="922"/>
      <c r="J32" s="921"/>
      <c r="K32" s="921"/>
      <c r="L32" s="921"/>
      <c r="M32" s="921"/>
      <c r="N32" s="921"/>
      <c r="O32" s="922"/>
      <c r="P32" s="929"/>
      <c r="Q32" s="922"/>
      <c r="R32" s="922"/>
      <c r="S32" s="922"/>
      <c r="T32" s="923"/>
      <c r="U32" s="923"/>
      <c r="V32" s="933"/>
      <c r="W32" s="933"/>
      <c r="X32" s="933"/>
      <c r="Y32" s="923"/>
      <c r="Z32" s="934"/>
      <c r="AA32" s="923"/>
      <c r="AB32" s="923"/>
      <c r="AC32" s="923"/>
      <c r="AD32" s="923"/>
      <c r="AE32" s="923"/>
      <c r="AF32" s="923"/>
      <c r="AG32" s="923"/>
      <c r="AH32" s="923"/>
      <c r="AI32" s="923"/>
      <c r="AJ32" s="924"/>
      <c r="AK32" s="924"/>
      <c r="AL32" s="925">
        <v>1</v>
      </c>
    </row>
    <row r="33" spans="1:38" s="627" customFormat="1" ht="30" customHeight="1">
      <c r="A33" s="921"/>
      <c r="B33" s="929" t="s">
        <v>2860</v>
      </c>
      <c r="C33" s="930"/>
      <c r="D33" s="921"/>
      <c r="E33" s="921"/>
      <c r="F33" s="921"/>
      <c r="G33" s="921"/>
      <c r="H33" s="921"/>
      <c r="I33" s="922"/>
      <c r="J33" s="921"/>
      <c r="K33" s="921"/>
      <c r="L33" s="921"/>
      <c r="M33" s="921"/>
      <c r="N33" s="921"/>
      <c r="O33" s="922"/>
      <c r="P33" s="929"/>
      <c r="Q33" s="922"/>
      <c r="R33" s="922"/>
      <c r="S33" s="922"/>
      <c r="T33" s="923"/>
      <c r="U33" s="923"/>
      <c r="V33" s="933"/>
      <c r="W33" s="933"/>
      <c r="X33" s="933"/>
      <c r="Y33" s="923"/>
      <c r="Z33" s="934"/>
      <c r="AA33" s="923"/>
      <c r="AB33" s="923"/>
      <c r="AC33" s="923"/>
      <c r="AD33" s="923"/>
      <c r="AE33" s="923"/>
      <c r="AF33" s="923"/>
      <c r="AG33" s="923"/>
      <c r="AH33" s="923"/>
      <c r="AI33" s="923"/>
      <c r="AJ33" s="924"/>
      <c r="AK33" s="924"/>
      <c r="AL33" s="925">
        <v>1</v>
      </c>
    </row>
    <row r="34" spans="1:38" s="627" customFormat="1" ht="30" customHeight="1">
      <c r="A34" s="921"/>
      <c r="B34" s="929" t="s">
        <v>2795</v>
      </c>
      <c r="C34" s="930"/>
      <c r="D34" s="921"/>
      <c r="E34" s="921"/>
      <c r="F34" s="921"/>
      <c r="G34" s="921"/>
      <c r="H34" s="921"/>
      <c r="I34" s="922"/>
      <c r="J34" s="921"/>
      <c r="K34" s="921"/>
      <c r="L34" s="921"/>
      <c r="M34" s="921"/>
      <c r="N34" s="921"/>
      <c r="O34" s="922"/>
      <c r="P34" s="929"/>
      <c r="Q34" s="922"/>
      <c r="R34" s="922"/>
      <c r="S34" s="922"/>
      <c r="T34" s="923"/>
      <c r="U34" s="923"/>
      <c r="V34" s="933"/>
      <c r="W34" s="933"/>
      <c r="X34" s="933"/>
      <c r="Y34" s="923"/>
      <c r="Z34" s="934"/>
      <c r="AA34" s="923"/>
      <c r="AB34" s="923"/>
      <c r="AC34" s="923"/>
      <c r="AD34" s="923"/>
      <c r="AE34" s="923"/>
      <c r="AF34" s="923"/>
      <c r="AG34" s="923"/>
      <c r="AH34" s="923"/>
      <c r="AI34" s="923"/>
      <c r="AJ34" s="924"/>
      <c r="AK34" s="924"/>
      <c r="AL34" s="925">
        <v>1</v>
      </c>
    </row>
    <row r="35" spans="1:38" s="627" customFormat="1" ht="30" customHeight="1">
      <c r="A35" s="921"/>
      <c r="B35" s="929" t="s">
        <v>2859</v>
      </c>
      <c r="C35" s="930"/>
      <c r="D35" s="921"/>
      <c r="E35" s="921"/>
      <c r="F35" s="921"/>
      <c r="G35" s="921"/>
      <c r="H35" s="921"/>
      <c r="I35" s="922"/>
      <c r="J35" s="921"/>
      <c r="K35" s="921"/>
      <c r="L35" s="921"/>
      <c r="M35" s="921"/>
      <c r="N35" s="921"/>
      <c r="O35" s="922"/>
      <c r="P35" s="929"/>
      <c r="Q35" s="922"/>
      <c r="R35" s="922"/>
      <c r="S35" s="922"/>
      <c r="T35" s="923"/>
      <c r="U35" s="923"/>
      <c r="V35" s="933"/>
      <c r="W35" s="933"/>
      <c r="X35" s="933"/>
      <c r="Y35" s="923"/>
      <c r="Z35" s="934"/>
      <c r="AA35" s="923"/>
      <c r="AB35" s="923"/>
      <c r="AC35" s="923"/>
      <c r="AD35" s="923"/>
      <c r="AE35" s="923"/>
      <c r="AF35" s="923"/>
      <c r="AG35" s="923"/>
      <c r="AH35" s="923"/>
      <c r="AI35" s="923"/>
      <c r="AJ35" s="924"/>
      <c r="AK35" s="924"/>
      <c r="AL35" s="925">
        <v>1</v>
      </c>
    </row>
    <row r="36" spans="1:38" s="627" customFormat="1" ht="30" customHeight="1">
      <c r="A36" s="921"/>
      <c r="B36" s="929" t="s">
        <v>2796</v>
      </c>
      <c r="C36" s="930"/>
      <c r="D36" s="921"/>
      <c r="E36" s="921"/>
      <c r="F36" s="921"/>
      <c r="G36" s="921"/>
      <c r="H36" s="921"/>
      <c r="I36" s="922"/>
      <c r="J36" s="921"/>
      <c r="K36" s="921"/>
      <c r="L36" s="921"/>
      <c r="M36" s="921"/>
      <c r="N36" s="921"/>
      <c r="O36" s="922"/>
      <c r="P36" s="929"/>
      <c r="Q36" s="922"/>
      <c r="R36" s="922"/>
      <c r="S36" s="922"/>
      <c r="T36" s="923"/>
      <c r="U36" s="923"/>
      <c r="V36" s="933"/>
      <c r="W36" s="933"/>
      <c r="X36" s="933"/>
      <c r="Y36" s="923"/>
      <c r="Z36" s="934"/>
      <c r="AA36" s="923"/>
      <c r="AB36" s="923"/>
      <c r="AC36" s="923"/>
      <c r="AD36" s="923"/>
      <c r="AE36" s="923"/>
      <c r="AF36" s="923"/>
      <c r="AG36" s="923"/>
      <c r="AH36" s="923"/>
      <c r="AI36" s="923"/>
      <c r="AJ36" s="924"/>
      <c r="AK36" s="924"/>
      <c r="AL36" s="925">
        <v>1</v>
      </c>
    </row>
    <row r="37" spans="1:38" s="627" customFormat="1" ht="30" customHeight="1">
      <c r="A37" s="921"/>
      <c r="B37" s="929"/>
      <c r="C37" s="930"/>
      <c r="D37" s="921"/>
      <c r="E37" s="921"/>
      <c r="F37" s="921"/>
      <c r="G37" s="921"/>
      <c r="H37" s="921"/>
      <c r="I37" s="922"/>
      <c r="J37" s="921"/>
      <c r="K37" s="921"/>
      <c r="L37" s="921"/>
      <c r="M37" s="921"/>
      <c r="N37" s="921"/>
      <c r="O37" s="922"/>
      <c r="P37" s="929"/>
      <c r="Q37" s="922"/>
      <c r="R37" s="922"/>
      <c r="S37" s="922"/>
      <c r="T37" s="923"/>
      <c r="U37" s="923"/>
      <c r="V37" s="933"/>
      <c r="W37" s="933"/>
      <c r="X37" s="933"/>
      <c r="Y37" s="923"/>
      <c r="Z37" s="934"/>
      <c r="AA37" s="923"/>
      <c r="AB37" s="923"/>
      <c r="AC37" s="923"/>
      <c r="AD37" s="923"/>
      <c r="AE37" s="923"/>
      <c r="AF37" s="923"/>
      <c r="AG37" s="923"/>
      <c r="AH37" s="923"/>
      <c r="AI37" s="923"/>
      <c r="AJ37" s="924"/>
      <c r="AK37" s="924"/>
      <c r="AL37" s="925">
        <v>1</v>
      </c>
    </row>
    <row r="38" spans="1:38" s="627" customFormat="1" ht="30" customHeight="1">
      <c r="A38" s="921"/>
      <c r="B38" s="929" t="s">
        <v>2797</v>
      </c>
      <c r="C38" s="930"/>
      <c r="D38" s="921"/>
      <c r="E38" s="921"/>
      <c r="F38" s="921"/>
      <c r="G38" s="921"/>
      <c r="H38" s="921"/>
      <c r="I38" s="922"/>
      <c r="J38" s="921"/>
      <c r="K38" s="921"/>
      <c r="L38" s="921"/>
      <c r="M38" s="921"/>
      <c r="N38" s="921"/>
      <c r="O38" s="922"/>
      <c r="P38" s="929"/>
      <c r="Q38" s="922"/>
      <c r="R38" s="922"/>
      <c r="S38" s="922"/>
      <c r="T38" s="923"/>
      <c r="U38" s="923"/>
      <c r="V38" s="933"/>
      <c r="W38" s="933"/>
      <c r="X38" s="933"/>
      <c r="Y38" s="923"/>
      <c r="Z38" s="934"/>
      <c r="AA38" s="923"/>
      <c r="AB38" s="923"/>
      <c r="AC38" s="923"/>
      <c r="AD38" s="923"/>
      <c r="AE38" s="923"/>
      <c r="AF38" s="923"/>
      <c r="AG38" s="923"/>
      <c r="AH38" s="923"/>
      <c r="AI38" s="923"/>
      <c r="AJ38" s="924"/>
      <c r="AK38" s="924"/>
      <c r="AL38" s="925">
        <v>1</v>
      </c>
    </row>
    <row r="39" spans="1:38" s="627" customFormat="1" ht="30" customHeight="1">
      <c r="A39" s="921"/>
      <c r="B39" s="929" t="s">
        <v>2798</v>
      </c>
      <c r="C39" s="930"/>
      <c r="D39" s="921"/>
      <c r="E39" s="921"/>
      <c r="F39" s="921"/>
      <c r="G39" s="921"/>
      <c r="H39" s="921"/>
      <c r="I39" s="922"/>
      <c r="J39" s="921"/>
      <c r="K39" s="921"/>
      <c r="L39" s="921"/>
      <c r="M39" s="921"/>
      <c r="N39" s="921"/>
      <c r="O39" s="922"/>
      <c r="P39" s="929"/>
      <c r="Q39" s="922"/>
      <c r="R39" s="922"/>
      <c r="S39" s="922"/>
      <c r="T39" s="923"/>
      <c r="U39" s="923"/>
      <c r="V39" s="933"/>
      <c r="W39" s="933"/>
      <c r="X39" s="933"/>
      <c r="Y39" s="923"/>
      <c r="Z39" s="934"/>
      <c r="AA39" s="923"/>
      <c r="AB39" s="923"/>
      <c r="AC39" s="923"/>
      <c r="AD39" s="923"/>
      <c r="AE39" s="923"/>
      <c r="AF39" s="923"/>
      <c r="AG39" s="923"/>
      <c r="AH39" s="923"/>
      <c r="AI39" s="923"/>
      <c r="AJ39" s="924"/>
      <c r="AK39" s="924"/>
      <c r="AL39" s="925">
        <v>1</v>
      </c>
    </row>
    <row r="40" spans="1:38" s="627" customFormat="1" ht="30" customHeight="1">
      <c r="A40" s="921"/>
      <c r="B40" s="929"/>
      <c r="C40" s="930"/>
      <c r="D40" s="921"/>
      <c r="E40" s="921"/>
      <c r="F40" s="921"/>
      <c r="G40" s="921"/>
      <c r="H40" s="921"/>
      <c r="I40" s="922"/>
      <c r="J40" s="921"/>
      <c r="K40" s="921"/>
      <c r="L40" s="921"/>
      <c r="M40" s="921"/>
      <c r="N40" s="921"/>
      <c r="O40" s="922"/>
      <c r="P40" s="929"/>
      <c r="Q40" s="922"/>
      <c r="R40" s="922"/>
      <c r="S40" s="922"/>
      <c r="T40" s="923"/>
      <c r="U40" s="923"/>
      <c r="V40" s="933"/>
      <c r="W40" s="933"/>
      <c r="X40" s="933"/>
      <c r="Y40" s="923"/>
      <c r="Z40" s="934"/>
      <c r="AA40" s="923"/>
      <c r="AB40" s="923"/>
      <c r="AC40" s="923"/>
      <c r="AD40" s="923"/>
      <c r="AE40" s="923"/>
      <c r="AF40" s="923"/>
      <c r="AG40" s="923"/>
      <c r="AH40" s="923"/>
      <c r="AI40" s="923"/>
      <c r="AJ40" s="924"/>
      <c r="AK40" s="924"/>
      <c r="AL40" s="925">
        <v>1</v>
      </c>
    </row>
    <row r="41" spans="1:38" s="627" customFormat="1" ht="30" customHeight="1">
      <c r="A41" s="921"/>
      <c r="B41" s="929" t="s">
        <v>2799</v>
      </c>
      <c r="C41" s="930"/>
      <c r="D41" s="921"/>
      <c r="E41" s="921"/>
      <c r="F41" s="921"/>
      <c r="G41" s="921"/>
      <c r="H41" s="921"/>
      <c r="I41" s="922"/>
      <c r="J41" s="921"/>
      <c r="K41" s="921"/>
      <c r="L41" s="921"/>
      <c r="M41" s="921"/>
      <c r="N41" s="921"/>
      <c r="O41" s="922"/>
      <c r="P41" s="929"/>
      <c r="Q41" s="922"/>
      <c r="R41" s="922"/>
      <c r="S41" s="922"/>
      <c r="T41" s="923"/>
      <c r="U41" s="923"/>
      <c r="V41" s="933"/>
      <c r="W41" s="933"/>
      <c r="X41" s="933"/>
      <c r="Y41" s="923"/>
      <c r="Z41" s="934"/>
      <c r="AA41" s="923"/>
      <c r="AB41" s="923"/>
      <c r="AC41" s="923"/>
      <c r="AD41" s="923"/>
      <c r="AE41" s="923"/>
      <c r="AF41" s="923"/>
      <c r="AG41" s="923"/>
      <c r="AH41" s="923"/>
      <c r="AI41" s="923"/>
      <c r="AJ41" s="924"/>
      <c r="AK41" s="924"/>
      <c r="AL41" s="925">
        <v>1</v>
      </c>
    </row>
    <row r="42" spans="1:38" s="627" customFormat="1" ht="30" customHeight="1">
      <c r="A42" s="921"/>
      <c r="B42" s="929" t="s">
        <v>2800</v>
      </c>
      <c r="C42" s="930"/>
      <c r="D42" s="921"/>
      <c r="E42" s="921"/>
      <c r="F42" s="921"/>
      <c r="G42" s="921"/>
      <c r="H42" s="921"/>
      <c r="I42" s="922"/>
      <c r="J42" s="921"/>
      <c r="K42" s="921"/>
      <c r="L42" s="921"/>
      <c r="M42" s="921"/>
      <c r="N42" s="921"/>
      <c r="O42" s="922"/>
      <c r="P42" s="929"/>
      <c r="Q42" s="922"/>
      <c r="R42" s="922"/>
      <c r="S42" s="922"/>
      <c r="T42" s="923"/>
      <c r="U42" s="923"/>
      <c r="V42" s="933"/>
      <c r="W42" s="933"/>
      <c r="X42" s="933"/>
      <c r="Y42" s="923"/>
      <c r="Z42" s="934"/>
      <c r="AA42" s="923"/>
      <c r="AB42" s="923"/>
      <c r="AC42" s="923"/>
      <c r="AD42" s="923"/>
      <c r="AE42" s="923"/>
      <c r="AF42" s="923"/>
      <c r="AG42" s="923"/>
      <c r="AH42" s="923"/>
      <c r="AI42" s="923"/>
      <c r="AJ42" s="924"/>
      <c r="AK42" s="924"/>
      <c r="AL42" s="925">
        <v>1</v>
      </c>
    </row>
    <row r="43" spans="1:38" s="627" customFormat="1" ht="30" customHeight="1">
      <c r="A43" s="921"/>
      <c r="B43" s="929" t="s">
        <v>2801</v>
      </c>
      <c r="C43" s="930"/>
      <c r="D43" s="921"/>
      <c r="E43" s="921"/>
      <c r="F43" s="921"/>
      <c r="G43" s="921"/>
      <c r="H43" s="921"/>
      <c r="I43" s="922"/>
      <c r="J43" s="921"/>
      <c r="K43" s="921"/>
      <c r="L43" s="921"/>
      <c r="M43" s="921"/>
      <c r="N43" s="921"/>
      <c r="O43" s="922"/>
      <c r="P43" s="929"/>
      <c r="Q43" s="922"/>
      <c r="R43" s="922"/>
      <c r="S43" s="922"/>
      <c r="T43" s="923"/>
      <c r="U43" s="923"/>
      <c r="V43" s="933"/>
      <c r="W43" s="933"/>
      <c r="X43" s="933"/>
      <c r="Y43" s="923"/>
      <c r="Z43" s="934"/>
      <c r="AA43" s="923"/>
      <c r="AB43" s="923"/>
      <c r="AC43" s="923"/>
      <c r="AD43" s="923"/>
      <c r="AE43" s="923"/>
      <c r="AF43" s="923"/>
      <c r="AG43" s="923"/>
      <c r="AH43" s="923"/>
      <c r="AI43" s="923"/>
      <c r="AJ43" s="924"/>
      <c r="AK43" s="924"/>
      <c r="AL43" s="925">
        <v>1</v>
      </c>
    </row>
    <row r="44" spans="1:38" s="627" customFormat="1" ht="30" customHeight="1">
      <c r="A44" s="921"/>
      <c r="B44" s="929" t="s">
        <v>2802</v>
      </c>
      <c r="C44" s="930"/>
      <c r="D44" s="921"/>
      <c r="E44" s="921"/>
      <c r="F44" s="921"/>
      <c r="G44" s="921"/>
      <c r="H44" s="921"/>
      <c r="I44" s="922"/>
      <c r="J44" s="921"/>
      <c r="K44" s="921"/>
      <c r="L44" s="921"/>
      <c r="M44" s="921"/>
      <c r="N44" s="921"/>
      <c r="O44" s="922"/>
      <c r="P44" s="929"/>
      <c r="Q44" s="922"/>
      <c r="R44" s="922"/>
      <c r="S44" s="922"/>
      <c r="T44" s="923"/>
      <c r="U44" s="923"/>
      <c r="V44" s="933"/>
      <c r="W44" s="933"/>
      <c r="X44" s="933"/>
      <c r="Y44" s="923"/>
      <c r="Z44" s="934"/>
      <c r="AA44" s="923"/>
      <c r="AB44" s="923"/>
      <c r="AC44" s="923"/>
      <c r="AD44" s="923"/>
      <c r="AE44" s="923"/>
      <c r="AF44" s="923"/>
      <c r="AG44" s="923"/>
      <c r="AH44" s="923"/>
      <c r="AI44" s="923"/>
      <c r="AJ44" s="924"/>
      <c r="AK44" s="924"/>
      <c r="AL44" s="925">
        <v>1</v>
      </c>
    </row>
    <row r="45" spans="1:38" s="627" customFormat="1" ht="30" customHeight="1">
      <c r="A45" s="921"/>
      <c r="B45" s="929"/>
      <c r="C45" s="930"/>
      <c r="D45" s="921"/>
      <c r="E45" s="921"/>
      <c r="F45" s="921"/>
      <c r="G45" s="921"/>
      <c r="H45" s="921"/>
      <c r="I45" s="922"/>
      <c r="J45" s="921"/>
      <c r="K45" s="921"/>
      <c r="L45" s="921"/>
      <c r="M45" s="921"/>
      <c r="N45" s="921"/>
      <c r="O45" s="922"/>
      <c r="P45" s="929"/>
      <c r="Q45" s="922"/>
      <c r="R45" s="922"/>
      <c r="S45" s="922"/>
      <c r="T45" s="923"/>
      <c r="U45" s="923"/>
      <c r="V45" s="933"/>
      <c r="W45" s="933"/>
      <c r="X45" s="933"/>
      <c r="Y45" s="923"/>
      <c r="Z45" s="934"/>
      <c r="AA45" s="923"/>
      <c r="AB45" s="923"/>
      <c r="AC45" s="923"/>
      <c r="AD45" s="923"/>
      <c r="AE45" s="923"/>
      <c r="AF45" s="923"/>
      <c r="AG45" s="923"/>
      <c r="AH45" s="923"/>
      <c r="AI45" s="923"/>
      <c r="AJ45" s="924"/>
      <c r="AK45" s="924"/>
      <c r="AL45" s="925">
        <v>1</v>
      </c>
    </row>
    <row r="46" spans="1:38" s="627" customFormat="1" ht="30" customHeight="1">
      <c r="A46" s="921"/>
      <c r="B46" s="929" t="s">
        <v>2803</v>
      </c>
      <c r="C46" s="930"/>
      <c r="D46" s="921"/>
      <c r="E46" s="921"/>
      <c r="F46" s="921"/>
      <c r="G46" s="921"/>
      <c r="H46" s="921"/>
      <c r="I46" s="922"/>
      <c r="J46" s="921"/>
      <c r="K46" s="921"/>
      <c r="L46" s="921"/>
      <c r="M46" s="921"/>
      <c r="N46" s="921"/>
      <c r="O46" s="922"/>
      <c r="P46" s="929"/>
      <c r="Q46" s="922"/>
      <c r="R46" s="922"/>
      <c r="S46" s="922"/>
      <c r="T46" s="923"/>
      <c r="U46" s="923"/>
      <c r="V46" s="933"/>
      <c r="W46" s="933"/>
      <c r="X46" s="933"/>
      <c r="Y46" s="923"/>
      <c r="Z46" s="934"/>
      <c r="AA46" s="923"/>
      <c r="AB46" s="923"/>
      <c r="AC46" s="923"/>
      <c r="AD46" s="923"/>
      <c r="AE46" s="923"/>
      <c r="AF46" s="923"/>
      <c r="AG46" s="923"/>
      <c r="AH46" s="923"/>
      <c r="AI46" s="923"/>
      <c r="AJ46" s="924"/>
      <c r="AK46" s="924"/>
      <c r="AL46" s="925">
        <v>1</v>
      </c>
    </row>
    <row r="47" spans="1:38" s="627" customFormat="1" ht="30" customHeight="1">
      <c r="A47" s="921"/>
      <c r="B47" s="929" t="s">
        <v>2804</v>
      </c>
      <c r="C47" s="930"/>
      <c r="D47" s="921"/>
      <c r="E47" s="921"/>
      <c r="F47" s="921"/>
      <c r="G47" s="921"/>
      <c r="H47" s="921"/>
      <c r="I47" s="922"/>
      <c r="J47" s="921"/>
      <c r="K47" s="921"/>
      <c r="L47" s="921"/>
      <c r="M47" s="921"/>
      <c r="N47" s="921"/>
      <c r="O47" s="922"/>
      <c r="P47" s="929"/>
      <c r="Q47" s="922"/>
      <c r="R47" s="922"/>
      <c r="S47" s="922"/>
      <c r="T47" s="923"/>
      <c r="U47" s="923"/>
      <c r="V47" s="933"/>
      <c r="W47" s="933"/>
      <c r="X47" s="933"/>
      <c r="Y47" s="923"/>
      <c r="Z47" s="934"/>
      <c r="AA47" s="923"/>
      <c r="AB47" s="923"/>
      <c r="AC47" s="923"/>
      <c r="AD47" s="923"/>
      <c r="AE47" s="923"/>
      <c r="AF47" s="923"/>
      <c r="AG47" s="923"/>
      <c r="AH47" s="923"/>
      <c r="AI47" s="923"/>
      <c r="AJ47" s="924"/>
      <c r="AK47" s="924"/>
      <c r="AL47" s="925">
        <v>1</v>
      </c>
    </row>
    <row r="48" spans="1:38" s="627" customFormat="1" ht="30" customHeight="1">
      <c r="A48" s="921"/>
      <c r="B48" s="929" t="s">
        <v>2805</v>
      </c>
      <c r="C48" s="930"/>
      <c r="D48" s="921"/>
      <c r="E48" s="921"/>
      <c r="F48" s="921"/>
      <c r="G48" s="921"/>
      <c r="H48" s="921"/>
      <c r="I48" s="922"/>
      <c r="J48" s="921"/>
      <c r="K48" s="921"/>
      <c r="L48" s="921"/>
      <c r="M48" s="921"/>
      <c r="N48" s="921"/>
      <c r="O48" s="922"/>
      <c r="P48" s="929"/>
      <c r="Q48" s="922"/>
      <c r="R48" s="922"/>
      <c r="S48" s="922"/>
      <c r="T48" s="923"/>
      <c r="U48" s="923"/>
      <c r="V48" s="933"/>
      <c r="W48" s="933"/>
      <c r="X48" s="933"/>
      <c r="Y48" s="923"/>
      <c r="Z48" s="934"/>
      <c r="AA48" s="923"/>
      <c r="AB48" s="923"/>
      <c r="AC48" s="923"/>
      <c r="AD48" s="923"/>
      <c r="AE48" s="923"/>
      <c r="AF48" s="923"/>
      <c r="AG48" s="923"/>
      <c r="AH48" s="923"/>
      <c r="AI48" s="923"/>
      <c r="AJ48" s="924"/>
      <c r="AK48" s="924"/>
      <c r="AL48" s="925">
        <v>1</v>
      </c>
    </row>
    <row r="49" spans="1:38" s="627" customFormat="1" ht="30" customHeight="1">
      <c r="A49" s="921"/>
      <c r="B49" s="929" t="s">
        <v>2806</v>
      </c>
      <c r="C49" s="930"/>
      <c r="D49" s="921"/>
      <c r="E49" s="921"/>
      <c r="F49" s="921"/>
      <c r="G49" s="921"/>
      <c r="H49" s="921"/>
      <c r="I49" s="922"/>
      <c r="J49" s="921"/>
      <c r="K49" s="921"/>
      <c r="L49" s="921"/>
      <c r="M49" s="921"/>
      <c r="N49" s="921"/>
      <c r="O49" s="922"/>
      <c r="P49" s="929"/>
      <c r="Q49" s="922"/>
      <c r="R49" s="922"/>
      <c r="S49" s="922"/>
      <c r="T49" s="923"/>
      <c r="U49" s="923"/>
      <c r="V49" s="933"/>
      <c r="W49" s="933"/>
      <c r="X49" s="933"/>
      <c r="Y49" s="923"/>
      <c r="Z49" s="934"/>
      <c r="AA49" s="923"/>
      <c r="AB49" s="923"/>
      <c r="AC49" s="923"/>
      <c r="AD49" s="923"/>
      <c r="AE49" s="923"/>
      <c r="AF49" s="923"/>
      <c r="AG49" s="923"/>
      <c r="AH49" s="923"/>
      <c r="AI49" s="923"/>
      <c r="AJ49" s="924"/>
      <c r="AK49" s="924"/>
      <c r="AL49" s="925">
        <v>1</v>
      </c>
    </row>
    <row r="50" spans="1:38" s="627" customFormat="1" ht="30" customHeight="1">
      <c r="A50" s="921"/>
      <c r="B50" s="929" t="s">
        <v>2807</v>
      </c>
      <c r="C50" s="930"/>
      <c r="D50" s="921"/>
      <c r="E50" s="921"/>
      <c r="F50" s="921"/>
      <c r="G50" s="921"/>
      <c r="H50" s="921"/>
      <c r="I50" s="922"/>
      <c r="J50" s="921"/>
      <c r="K50" s="921"/>
      <c r="L50" s="921"/>
      <c r="M50" s="921"/>
      <c r="N50" s="921"/>
      <c r="O50" s="922"/>
      <c r="P50" s="929"/>
      <c r="Q50" s="922"/>
      <c r="R50" s="922"/>
      <c r="S50" s="922"/>
      <c r="T50" s="923"/>
      <c r="U50" s="923"/>
      <c r="V50" s="933"/>
      <c r="W50" s="933"/>
      <c r="X50" s="933"/>
      <c r="Y50" s="923"/>
      <c r="Z50" s="934"/>
      <c r="AA50" s="923"/>
      <c r="AB50" s="923"/>
      <c r="AC50" s="923"/>
      <c r="AD50" s="923"/>
      <c r="AE50" s="923"/>
      <c r="AF50" s="923"/>
      <c r="AG50" s="923"/>
      <c r="AH50" s="923"/>
      <c r="AI50" s="923"/>
      <c r="AJ50" s="924"/>
      <c r="AK50" s="924"/>
      <c r="AL50" s="925">
        <v>1</v>
      </c>
    </row>
    <row r="51" spans="1:38" s="627" customFormat="1" ht="30" customHeight="1">
      <c r="A51" s="921"/>
      <c r="B51" s="929" t="s">
        <v>2883</v>
      </c>
      <c r="C51" s="930"/>
      <c r="D51" s="921"/>
      <c r="E51" s="921"/>
      <c r="F51" s="921"/>
      <c r="G51" s="921"/>
      <c r="H51" s="921"/>
      <c r="I51" s="922"/>
      <c r="J51" s="921"/>
      <c r="K51" s="921"/>
      <c r="L51" s="921"/>
      <c r="M51" s="921"/>
      <c r="N51" s="921"/>
      <c r="O51" s="922"/>
      <c r="P51" s="929"/>
      <c r="Q51" s="922"/>
      <c r="R51" s="922"/>
      <c r="S51" s="922"/>
      <c r="T51" s="923"/>
      <c r="U51" s="923"/>
      <c r="V51" s="933"/>
      <c r="W51" s="933"/>
      <c r="X51" s="933"/>
      <c r="Y51" s="923"/>
      <c r="Z51" s="934"/>
      <c r="AA51" s="923"/>
      <c r="AB51" s="923"/>
      <c r="AC51" s="923"/>
      <c r="AD51" s="923"/>
      <c r="AE51" s="923"/>
      <c r="AF51" s="923"/>
      <c r="AG51" s="923"/>
      <c r="AH51" s="923"/>
      <c r="AI51" s="923"/>
      <c r="AJ51" s="924"/>
      <c r="AK51" s="924"/>
      <c r="AL51" s="925">
        <v>1</v>
      </c>
    </row>
    <row r="52" spans="1:38" s="627" customFormat="1" ht="30" customHeight="1">
      <c r="A52" s="921"/>
      <c r="B52" s="929"/>
      <c r="C52" s="930"/>
      <c r="D52" s="921"/>
      <c r="E52" s="921"/>
      <c r="F52" s="921"/>
      <c r="G52" s="921"/>
      <c r="H52" s="921"/>
      <c r="I52" s="922"/>
      <c r="J52" s="921"/>
      <c r="K52" s="921"/>
      <c r="L52" s="921"/>
      <c r="M52" s="921"/>
      <c r="N52" s="921"/>
      <c r="O52" s="922"/>
      <c r="P52" s="929"/>
      <c r="Q52" s="922"/>
      <c r="R52" s="922"/>
      <c r="S52" s="922"/>
      <c r="T52" s="923"/>
      <c r="U52" s="923"/>
      <c r="V52" s="933"/>
      <c r="W52" s="933"/>
      <c r="X52" s="933"/>
      <c r="Y52" s="923"/>
      <c r="Z52" s="934"/>
      <c r="AA52" s="923"/>
      <c r="AB52" s="923"/>
      <c r="AC52" s="923"/>
      <c r="AD52" s="923"/>
      <c r="AE52" s="923"/>
      <c r="AF52" s="923"/>
      <c r="AG52" s="923"/>
      <c r="AH52" s="923"/>
      <c r="AI52" s="923"/>
      <c r="AJ52" s="924"/>
      <c r="AK52" s="924"/>
      <c r="AL52" s="925">
        <v>1</v>
      </c>
    </row>
    <row r="53" spans="1:38" s="627" customFormat="1" ht="30" customHeight="1">
      <c r="A53" s="921"/>
      <c r="B53" s="929" t="s">
        <v>2808</v>
      </c>
      <c r="C53" s="930"/>
      <c r="D53" s="921"/>
      <c r="E53" s="921"/>
      <c r="F53" s="921"/>
      <c r="G53" s="921"/>
      <c r="H53" s="921"/>
      <c r="I53" s="922"/>
      <c r="J53" s="921"/>
      <c r="K53" s="921"/>
      <c r="L53" s="921"/>
      <c r="M53" s="921"/>
      <c r="N53" s="921"/>
      <c r="O53" s="922"/>
      <c r="P53" s="929"/>
      <c r="Q53" s="922"/>
      <c r="R53" s="922"/>
      <c r="S53" s="922"/>
      <c r="T53" s="923"/>
      <c r="U53" s="923"/>
      <c r="V53" s="933"/>
      <c r="W53" s="933"/>
      <c r="X53" s="933"/>
      <c r="Y53" s="923"/>
      <c r="Z53" s="934"/>
      <c r="AA53" s="923"/>
      <c r="AB53" s="923"/>
      <c r="AC53" s="923"/>
      <c r="AD53" s="923"/>
      <c r="AE53" s="923"/>
      <c r="AF53" s="923"/>
      <c r="AG53" s="923"/>
      <c r="AH53" s="923"/>
      <c r="AI53" s="923"/>
      <c r="AJ53" s="924"/>
      <c r="AK53" s="924"/>
      <c r="AL53" s="925">
        <v>1</v>
      </c>
    </row>
    <row r="54" spans="1:38" s="627" customFormat="1" ht="30" customHeight="1">
      <c r="A54" s="921"/>
      <c r="B54" s="929" t="s">
        <v>2809</v>
      </c>
      <c r="C54" s="930"/>
      <c r="D54" s="921"/>
      <c r="E54" s="921"/>
      <c r="F54" s="921"/>
      <c r="G54" s="921"/>
      <c r="H54" s="921"/>
      <c r="I54" s="922"/>
      <c r="J54" s="921"/>
      <c r="K54" s="921"/>
      <c r="L54" s="921"/>
      <c r="M54" s="921"/>
      <c r="N54" s="921"/>
      <c r="O54" s="922"/>
      <c r="P54" s="929"/>
      <c r="Q54" s="922"/>
      <c r="R54" s="922"/>
      <c r="S54" s="922"/>
      <c r="T54" s="923"/>
      <c r="U54" s="923"/>
      <c r="V54" s="933"/>
      <c r="W54" s="933"/>
      <c r="X54" s="933"/>
      <c r="Y54" s="923"/>
      <c r="Z54" s="934"/>
      <c r="AA54" s="923"/>
      <c r="AB54" s="923"/>
      <c r="AC54" s="923"/>
      <c r="AD54" s="923"/>
      <c r="AE54" s="923"/>
      <c r="AF54" s="923"/>
      <c r="AG54" s="923"/>
      <c r="AH54" s="923"/>
      <c r="AI54" s="923"/>
      <c r="AJ54" s="924"/>
      <c r="AK54" s="924"/>
      <c r="AL54" s="925">
        <v>1</v>
      </c>
    </row>
    <row r="55" spans="1:38" s="627" customFormat="1" ht="30" customHeight="1">
      <c r="A55" s="921"/>
      <c r="B55" s="929"/>
      <c r="C55" s="930"/>
      <c r="D55" s="921"/>
      <c r="E55" s="921"/>
      <c r="F55" s="921"/>
      <c r="G55" s="921"/>
      <c r="H55" s="921"/>
      <c r="I55" s="922"/>
      <c r="J55" s="921"/>
      <c r="K55" s="921"/>
      <c r="L55" s="921"/>
      <c r="M55" s="921"/>
      <c r="N55" s="921"/>
      <c r="O55" s="922"/>
      <c r="P55" s="929"/>
      <c r="Q55" s="922"/>
      <c r="R55" s="922"/>
      <c r="S55" s="922"/>
      <c r="T55" s="923"/>
      <c r="U55" s="923"/>
      <c r="V55" s="933"/>
      <c r="W55" s="933"/>
      <c r="X55" s="933"/>
      <c r="Y55" s="923"/>
      <c r="Z55" s="934"/>
      <c r="AA55" s="923"/>
      <c r="AB55" s="923"/>
      <c r="AC55" s="923"/>
      <c r="AD55" s="923"/>
      <c r="AE55" s="923"/>
      <c r="AF55" s="923"/>
      <c r="AG55" s="923"/>
      <c r="AH55" s="923"/>
      <c r="AI55" s="923"/>
      <c r="AJ55" s="924"/>
      <c r="AK55" s="924"/>
      <c r="AL55" s="925">
        <v>1</v>
      </c>
    </row>
    <row r="56" spans="1:38" s="627" customFormat="1" ht="30" customHeight="1">
      <c r="A56" s="921"/>
      <c r="B56" s="929" t="s">
        <v>2845</v>
      </c>
      <c r="C56" s="930"/>
      <c r="D56" s="921"/>
      <c r="E56" s="921"/>
      <c r="F56" s="921"/>
      <c r="G56" s="921"/>
      <c r="H56" s="921"/>
      <c r="I56" s="922"/>
      <c r="J56" s="921"/>
      <c r="K56" s="921"/>
      <c r="L56" s="921"/>
      <c r="M56" s="921"/>
      <c r="N56" s="921"/>
      <c r="O56" s="922"/>
      <c r="P56" s="929"/>
      <c r="Q56" s="922"/>
      <c r="R56" s="922"/>
      <c r="S56" s="922"/>
      <c r="T56" s="923"/>
      <c r="U56" s="923"/>
      <c r="V56" s="933"/>
      <c r="W56" s="933"/>
      <c r="X56" s="933"/>
      <c r="Y56" s="923"/>
      <c r="Z56" s="934"/>
      <c r="AA56" s="923"/>
      <c r="AB56" s="923"/>
      <c r="AC56" s="923"/>
      <c r="AD56" s="923"/>
      <c r="AE56" s="923"/>
      <c r="AF56" s="923"/>
      <c r="AG56" s="923"/>
      <c r="AH56" s="923"/>
      <c r="AI56" s="923"/>
      <c r="AJ56" s="924"/>
      <c r="AK56" s="924"/>
      <c r="AL56" s="925">
        <v>1</v>
      </c>
    </row>
    <row r="57" spans="1:38" s="627" customFormat="1" ht="30" customHeight="1">
      <c r="A57" s="921"/>
      <c r="B57" s="929" t="s">
        <v>2846</v>
      </c>
      <c r="C57" s="930"/>
      <c r="D57" s="921"/>
      <c r="E57" s="921"/>
      <c r="F57" s="921"/>
      <c r="G57" s="921"/>
      <c r="H57" s="921"/>
      <c r="I57" s="922"/>
      <c r="J57" s="921"/>
      <c r="K57" s="921"/>
      <c r="L57" s="921"/>
      <c r="M57" s="921"/>
      <c r="N57" s="921"/>
      <c r="O57" s="922"/>
      <c r="P57" s="929"/>
      <c r="Q57" s="922"/>
      <c r="R57" s="922"/>
      <c r="S57" s="922"/>
      <c r="T57" s="923"/>
      <c r="U57" s="923"/>
      <c r="V57" s="933"/>
      <c r="W57" s="933"/>
      <c r="X57" s="933"/>
      <c r="Y57" s="923"/>
      <c r="Z57" s="934"/>
      <c r="AA57" s="923"/>
      <c r="AB57" s="923"/>
      <c r="AC57" s="923"/>
      <c r="AD57" s="923"/>
      <c r="AE57" s="923"/>
      <c r="AF57" s="923"/>
      <c r="AG57" s="923"/>
      <c r="AH57" s="923"/>
      <c r="AI57" s="923"/>
      <c r="AJ57" s="924"/>
      <c r="AK57" s="924"/>
      <c r="AL57" s="925">
        <v>1</v>
      </c>
    </row>
    <row r="58" spans="1:38" s="627" customFormat="1" ht="30" customHeight="1">
      <c r="A58" s="921"/>
      <c r="B58" s="929" t="s">
        <v>2847</v>
      </c>
      <c r="C58" s="930"/>
      <c r="D58" s="921"/>
      <c r="E58" s="921"/>
      <c r="F58" s="921"/>
      <c r="G58" s="921"/>
      <c r="H58" s="921"/>
      <c r="I58" s="922"/>
      <c r="J58" s="921"/>
      <c r="K58" s="921"/>
      <c r="L58" s="921"/>
      <c r="M58" s="921"/>
      <c r="N58" s="921"/>
      <c r="O58" s="922"/>
      <c r="P58" s="929"/>
      <c r="Q58" s="922"/>
      <c r="R58" s="922"/>
      <c r="S58" s="922"/>
      <c r="T58" s="923"/>
      <c r="U58" s="923"/>
      <c r="V58" s="933"/>
      <c r="W58" s="933"/>
      <c r="X58" s="933"/>
      <c r="Y58" s="923"/>
      <c r="Z58" s="934"/>
      <c r="AA58" s="923"/>
      <c r="AB58" s="923"/>
      <c r="AC58" s="923"/>
      <c r="AD58" s="923"/>
      <c r="AE58" s="923"/>
      <c r="AF58" s="923"/>
      <c r="AG58" s="923"/>
      <c r="AH58" s="923"/>
      <c r="AI58" s="923"/>
      <c r="AJ58" s="924"/>
      <c r="AK58" s="924"/>
      <c r="AL58" s="925">
        <v>1</v>
      </c>
    </row>
    <row r="59" spans="1:38" s="627" customFormat="1" ht="30" customHeight="1">
      <c r="A59" s="921"/>
      <c r="B59" s="929"/>
      <c r="C59" s="930"/>
      <c r="D59" s="921"/>
      <c r="E59" s="921"/>
      <c r="F59" s="921"/>
      <c r="G59" s="921"/>
      <c r="H59" s="921"/>
      <c r="I59" s="922"/>
      <c r="J59" s="921"/>
      <c r="K59" s="921"/>
      <c r="L59" s="921"/>
      <c r="M59" s="921"/>
      <c r="N59" s="921"/>
      <c r="O59" s="922"/>
      <c r="P59" s="929"/>
      <c r="Q59" s="922"/>
      <c r="R59" s="922"/>
      <c r="S59" s="922"/>
      <c r="T59" s="923"/>
      <c r="U59" s="923"/>
      <c r="V59" s="933"/>
      <c r="W59" s="933"/>
      <c r="X59" s="933"/>
      <c r="Y59" s="923"/>
      <c r="Z59" s="934"/>
      <c r="AA59" s="923"/>
      <c r="AB59" s="923"/>
      <c r="AC59" s="923"/>
      <c r="AD59" s="923"/>
      <c r="AE59" s="923"/>
      <c r="AF59" s="923"/>
      <c r="AG59" s="923"/>
      <c r="AH59" s="923"/>
      <c r="AI59" s="923"/>
      <c r="AJ59" s="924"/>
      <c r="AK59" s="924"/>
      <c r="AL59" s="925">
        <v>1</v>
      </c>
    </row>
    <row r="60" spans="1:38" s="627" customFormat="1" ht="30" customHeight="1">
      <c r="A60" s="921"/>
      <c r="B60" s="936" t="s">
        <v>2851</v>
      </c>
      <c r="C60" s="930"/>
      <c r="D60" s="921"/>
      <c r="E60" s="921"/>
      <c r="F60" s="921"/>
      <c r="G60" s="921"/>
      <c r="H60" s="921"/>
      <c r="I60" s="922"/>
      <c r="J60" s="921"/>
      <c r="K60" s="921"/>
      <c r="L60" s="921"/>
      <c r="M60" s="921"/>
      <c r="N60" s="921"/>
      <c r="O60" s="922"/>
      <c r="P60" s="929"/>
      <c r="Q60" s="922"/>
      <c r="R60" s="922"/>
      <c r="S60" s="922"/>
      <c r="T60" s="923"/>
      <c r="U60" s="923"/>
      <c r="V60" s="933"/>
      <c r="W60" s="933"/>
      <c r="X60" s="933"/>
      <c r="Y60" s="923"/>
      <c r="Z60" s="934"/>
      <c r="AA60" s="923"/>
      <c r="AB60" s="923"/>
      <c r="AC60" s="923"/>
      <c r="AD60" s="923"/>
      <c r="AE60" s="923"/>
      <c r="AF60" s="923"/>
      <c r="AG60" s="923"/>
      <c r="AH60" s="923"/>
      <c r="AI60" s="923"/>
      <c r="AJ60" s="924"/>
      <c r="AK60" s="924"/>
      <c r="AL60" s="925">
        <v>1</v>
      </c>
    </row>
    <row r="61" spans="1:38" s="627" customFormat="1" ht="30" customHeight="1">
      <c r="A61" s="921"/>
      <c r="B61" s="936" t="s">
        <v>2852</v>
      </c>
      <c r="C61" s="930"/>
      <c r="D61" s="921"/>
      <c r="E61" s="921"/>
      <c r="F61" s="921"/>
      <c r="G61" s="921"/>
      <c r="H61" s="921"/>
      <c r="I61" s="922"/>
      <c r="J61" s="921"/>
      <c r="K61" s="921"/>
      <c r="L61" s="921"/>
      <c r="M61" s="921"/>
      <c r="N61" s="921"/>
      <c r="O61" s="922"/>
      <c r="P61" s="929"/>
      <c r="Q61" s="922"/>
      <c r="R61" s="922"/>
      <c r="S61" s="922"/>
      <c r="T61" s="923"/>
      <c r="U61" s="923"/>
      <c r="V61" s="933"/>
      <c r="W61" s="933"/>
      <c r="X61" s="933"/>
      <c r="Y61" s="923"/>
      <c r="Z61" s="934"/>
      <c r="AA61" s="923"/>
      <c r="AB61" s="923"/>
      <c r="AC61" s="923"/>
      <c r="AD61" s="923"/>
      <c r="AE61" s="923"/>
      <c r="AF61" s="923"/>
      <c r="AG61" s="923"/>
      <c r="AH61" s="923"/>
      <c r="AI61" s="923"/>
      <c r="AJ61" s="924"/>
      <c r="AK61" s="924"/>
      <c r="AL61" s="925">
        <v>1</v>
      </c>
    </row>
    <row r="62" spans="1:38" s="627" customFormat="1" ht="30" customHeight="1">
      <c r="A62" s="921"/>
      <c r="B62" s="929"/>
      <c r="C62" s="930"/>
      <c r="D62" s="921"/>
      <c r="E62" s="921"/>
      <c r="F62" s="921"/>
      <c r="G62" s="921"/>
      <c r="H62" s="921"/>
      <c r="I62" s="922"/>
      <c r="J62" s="921"/>
      <c r="K62" s="921"/>
      <c r="L62" s="921"/>
      <c r="M62" s="921"/>
      <c r="N62" s="921"/>
      <c r="O62" s="922"/>
      <c r="P62" s="929"/>
      <c r="Q62" s="922"/>
      <c r="R62" s="922"/>
      <c r="S62" s="922"/>
      <c r="T62" s="923"/>
      <c r="U62" s="923"/>
      <c r="V62" s="933"/>
      <c r="W62" s="933"/>
      <c r="X62" s="933"/>
      <c r="Y62" s="923"/>
      <c r="Z62" s="934"/>
      <c r="AA62" s="923"/>
      <c r="AB62" s="923"/>
      <c r="AC62" s="923"/>
      <c r="AD62" s="923"/>
      <c r="AE62" s="923"/>
      <c r="AF62" s="923"/>
      <c r="AG62" s="923"/>
      <c r="AH62" s="923"/>
      <c r="AI62" s="923"/>
      <c r="AJ62" s="924"/>
      <c r="AK62" s="924"/>
      <c r="AL62" s="925">
        <v>1</v>
      </c>
    </row>
    <row r="63" spans="1:38" s="627" customFormat="1" ht="30" customHeight="1">
      <c r="A63" s="921"/>
      <c r="B63" s="954" t="s">
        <v>2862</v>
      </c>
      <c r="C63" s="955"/>
      <c r="D63" s="921"/>
      <c r="E63" s="921"/>
      <c r="F63" s="921"/>
      <c r="G63" s="921"/>
      <c r="H63" s="921"/>
      <c r="I63" s="922"/>
      <c r="J63" s="921"/>
      <c r="K63" s="921"/>
      <c r="L63" s="921"/>
      <c r="M63" s="921"/>
      <c r="N63" s="921"/>
      <c r="O63" s="922"/>
      <c r="P63" s="929"/>
      <c r="Q63" s="922"/>
      <c r="R63" s="922"/>
      <c r="S63" s="922"/>
      <c r="T63" s="923"/>
      <c r="U63" s="923"/>
      <c r="V63" s="933"/>
      <c r="W63" s="933"/>
      <c r="X63" s="933"/>
      <c r="Y63" s="923"/>
      <c r="Z63" s="934"/>
      <c r="AA63" s="923"/>
      <c r="AB63" s="923"/>
      <c r="AC63" s="923"/>
      <c r="AD63" s="923"/>
      <c r="AE63" s="923"/>
      <c r="AF63" s="923"/>
      <c r="AG63" s="923"/>
      <c r="AH63" s="923"/>
      <c r="AI63" s="923"/>
      <c r="AJ63" s="924"/>
      <c r="AK63" s="924"/>
      <c r="AL63" s="925">
        <v>1</v>
      </c>
    </row>
    <row r="64" spans="1:38" s="627" customFormat="1" ht="30" customHeight="1">
      <c r="A64" s="921"/>
      <c r="B64" s="953"/>
      <c r="C64" s="954" t="s">
        <v>2863</v>
      </c>
      <c r="D64" s="921"/>
      <c r="E64" s="921"/>
      <c r="F64" s="921"/>
      <c r="G64" s="921"/>
      <c r="H64" s="921"/>
      <c r="I64" s="922"/>
      <c r="J64" s="921"/>
      <c r="K64" s="921"/>
      <c r="L64" s="921"/>
      <c r="M64" s="921"/>
      <c r="N64" s="921"/>
      <c r="O64" s="922"/>
      <c r="P64" s="929"/>
      <c r="Q64" s="922"/>
      <c r="R64" s="922"/>
      <c r="S64" s="922"/>
      <c r="T64" s="923"/>
      <c r="U64" s="923"/>
      <c r="V64" s="933"/>
      <c r="W64" s="933"/>
      <c r="X64" s="933"/>
      <c r="Y64" s="923"/>
      <c r="Z64" s="934"/>
      <c r="AA64" s="923"/>
      <c r="AB64" s="923"/>
      <c r="AC64" s="923"/>
      <c r="AD64" s="923"/>
      <c r="AE64" s="923"/>
      <c r="AF64" s="923"/>
      <c r="AG64" s="923"/>
      <c r="AH64" s="923"/>
      <c r="AI64" s="923"/>
      <c r="AJ64" s="924"/>
      <c r="AK64" s="924"/>
      <c r="AL64" s="925">
        <v>1</v>
      </c>
    </row>
    <row r="65" spans="1:38" s="627" customFormat="1" ht="30" customHeight="1">
      <c r="A65" s="921"/>
      <c r="B65" s="953"/>
      <c r="C65" s="954" t="s">
        <v>2864</v>
      </c>
      <c r="D65" s="921"/>
      <c r="E65" s="921"/>
      <c r="F65" s="921"/>
      <c r="G65" s="921"/>
      <c r="H65" s="921"/>
      <c r="I65" s="922"/>
      <c r="J65" s="921"/>
      <c r="K65" s="921"/>
      <c r="L65" s="921"/>
      <c r="M65" s="921"/>
      <c r="N65" s="921"/>
      <c r="O65" s="922"/>
      <c r="P65" s="929"/>
      <c r="Q65" s="922"/>
      <c r="R65" s="922"/>
      <c r="S65" s="922"/>
      <c r="T65" s="923"/>
      <c r="U65" s="923"/>
      <c r="V65" s="933"/>
      <c r="W65" s="933"/>
      <c r="X65" s="933"/>
      <c r="Y65" s="923"/>
      <c r="Z65" s="934"/>
      <c r="AA65" s="923"/>
      <c r="AB65" s="923"/>
      <c r="AC65" s="923"/>
      <c r="AD65" s="923"/>
      <c r="AE65" s="923"/>
      <c r="AF65" s="923"/>
      <c r="AG65" s="923"/>
      <c r="AH65" s="923"/>
      <c r="AI65" s="923"/>
      <c r="AJ65" s="924"/>
      <c r="AK65" s="924"/>
      <c r="AL65" s="925">
        <v>1</v>
      </c>
    </row>
    <row r="66" spans="1:38" s="627" customFormat="1" ht="30" customHeight="1">
      <c r="A66" s="921"/>
      <c r="B66" s="929"/>
      <c r="C66" s="930"/>
      <c r="D66" s="921"/>
      <c r="E66" s="921"/>
      <c r="F66" s="921"/>
      <c r="G66" s="921"/>
      <c r="H66" s="921"/>
      <c r="I66" s="922"/>
      <c r="J66" s="921"/>
      <c r="K66" s="921"/>
      <c r="L66" s="921"/>
      <c r="M66" s="921"/>
      <c r="N66" s="921"/>
      <c r="O66" s="922"/>
      <c r="P66" s="929"/>
      <c r="Q66" s="922"/>
      <c r="R66" s="922"/>
      <c r="S66" s="922"/>
      <c r="T66" s="923"/>
      <c r="U66" s="923"/>
      <c r="V66" s="933"/>
      <c r="W66" s="933"/>
      <c r="X66" s="933"/>
      <c r="Y66" s="923"/>
      <c r="Z66" s="934"/>
      <c r="AA66" s="923"/>
      <c r="AB66" s="923"/>
      <c r="AC66" s="923"/>
      <c r="AD66" s="923"/>
      <c r="AE66" s="923"/>
      <c r="AF66" s="923"/>
      <c r="AG66" s="923"/>
      <c r="AH66" s="923"/>
      <c r="AI66" s="923"/>
      <c r="AJ66" s="924"/>
      <c r="AK66" s="924"/>
      <c r="AL66" s="925">
        <v>1</v>
      </c>
    </row>
    <row r="67" spans="1:38" s="627" customFormat="1" ht="30" customHeight="1">
      <c r="A67" s="921"/>
      <c r="B67" s="929" t="s">
        <v>2868</v>
      </c>
      <c r="C67" s="930"/>
      <c r="D67" s="921"/>
      <c r="E67" s="921"/>
      <c r="F67" s="921"/>
      <c r="G67" s="921"/>
      <c r="H67" s="921"/>
      <c r="I67" s="922"/>
      <c r="J67" s="921"/>
      <c r="K67" s="921"/>
      <c r="L67" s="921"/>
      <c r="M67" s="921"/>
      <c r="N67" s="921"/>
      <c r="O67" s="922"/>
      <c r="P67" s="929"/>
      <c r="Q67" s="922"/>
      <c r="R67" s="922"/>
      <c r="S67" s="922"/>
      <c r="T67" s="923"/>
      <c r="U67" s="923"/>
      <c r="V67" s="933"/>
      <c r="W67" s="933"/>
      <c r="X67" s="933"/>
      <c r="Y67" s="923"/>
      <c r="Z67" s="934"/>
      <c r="AA67" s="923"/>
      <c r="AB67" s="923"/>
      <c r="AC67" s="923"/>
      <c r="AD67" s="923"/>
      <c r="AE67" s="923"/>
      <c r="AF67" s="923"/>
      <c r="AG67" s="923"/>
      <c r="AH67" s="923"/>
      <c r="AI67" s="923"/>
      <c r="AJ67" s="924"/>
      <c r="AK67" s="924"/>
      <c r="AL67" s="925">
        <v>1</v>
      </c>
    </row>
    <row r="68" spans="1:38" s="627" customFormat="1" ht="30" customHeight="1">
      <c r="A68" s="921"/>
      <c r="B68" s="929" t="s">
        <v>2869</v>
      </c>
      <c r="C68" s="930"/>
      <c r="D68" s="921"/>
      <c r="E68" s="921"/>
      <c r="F68" s="921"/>
      <c r="G68" s="921"/>
      <c r="H68" s="921"/>
      <c r="I68" s="922"/>
      <c r="J68" s="921"/>
      <c r="K68" s="921"/>
      <c r="L68" s="921"/>
      <c r="M68" s="921"/>
      <c r="N68" s="921"/>
      <c r="O68" s="922"/>
      <c r="P68" s="929"/>
      <c r="Q68" s="922"/>
      <c r="R68" s="922"/>
      <c r="S68" s="922"/>
      <c r="T68" s="923"/>
      <c r="U68" s="923"/>
      <c r="V68" s="933"/>
      <c r="W68" s="933"/>
      <c r="X68" s="933"/>
      <c r="Y68" s="923"/>
      <c r="Z68" s="934"/>
      <c r="AA68" s="923"/>
      <c r="AB68" s="923"/>
      <c r="AC68" s="923"/>
      <c r="AD68" s="923"/>
      <c r="AE68" s="923"/>
      <c r="AF68" s="923"/>
      <c r="AG68" s="923"/>
      <c r="AH68" s="923"/>
      <c r="AI68" s="923"/>
      <c r="AJ68" s="924"/>
      <c r="AK68" s="924"/>
      <c r="AL68" s="925">
        <v>1</v>
      </c>
    </row>
    <row r="69" spans="1:38" s="627" customFormat="1" ht="30" customHeight="1">
      <c r="A69" s="921"/>
      <c r="B69" s="929" t="s">
        <v>2870</v>
      </c>
      <c r="C69" s="930"/>
      <c r="D69" s="921"/>
      <c r="E69" s="921"/>
      <c r="F69" s="921"/>
      <c r="G69" s="921"/>
      <c r="H69" s="921"/>
      <c r="I69" s="922"/>
      <c r="J69" s="921"/>
      <c r="K69" s="921"/>
      <c r="L69" s="921"/>
      <c r="M69" s="921"/>
      <c r="N69" s="921"/>
      <c r="O69" s="922"/>
      <c r="P69" s="929"/>
      <c r="Q69" s="922"/>
      <c r="R69" s="922"/>
      <c r="S69" s="922"/>
      <c r="T69" s="923"/>
      <c r="U69" s="923"/>
      <c r="V69" s="933"/>
      <c r="W69" s="933"/>
      <c r="X69" s="933"/>
      <c r="Y69" s="923"/>
      <c r="Z69" s="934"/>
      <c r="AA69" s="923"/>
      <c r="AB69" s="923"/>
      <c r="AC69" s="923"/>
      <c r="AD69" s="923"/>
      <c r="AE69" s="923"/>
      <c r="AF69" s="923"/>
      <c r="AG69" s="923"/>
      <c r="AH69" s="923"/>
      <c r="AI69" s="923"/>
      <c r="AJ69" s="924"/>
      <c r="AK69" s="924"/>
      <c r="AL69" s="925">
        <v>1</v>
      </c>
    </row>
    <row r="70" spans="1:38" s="627" customFormat="1" ht="30" customHeight="1">
      <c r="A70" s="921"/>
      <c r="B70" s="929" t="s">
        <v>2419</v>
      </c>
      <c r="C70" s="930"/>
      <c r="D70" s="921"/>
      <c r="E70" s="921"/>
      <c r="F70" s="921"/>
      <c r="G70" s="921"/>
      <c r="H70" s="921"/>
      <c r="I70" s="922"/>
      <c r="J70" s="921"/>
      <c r="K70" s="921"/>
      <c r="L70" s="921"/>
      <c r="M70" s="921"/>
      <c r="N70" s="921"/>
      <c r="O70" s="922"/>
      <c r="P70" s="929"/>
      <c r="Q70" s="922"/>
      <c r="R70" s="922"/>
      <c r="S70" s="922"/>
      <c r="T70" s="923"/>
      <c r="U70" s="923"/>
      <c r="V70" s="933"/>
      <c r="W70" s="933"/>
      <c r="X70" s="933"/>
      <c r="Y70" s="923"/>
      <c r="Z70" s="934"/>
      <c r="AA70" s="923"/>
      <c r="AB70" s="923"/>
      <c r="AC70" s="923"/>
      <c r="AD70" s="923"/>
      <c r="AE70" s="923"/>
      <c r="AF70" s="923"/>
      <c r="AG70" s="923"/>
      <c r="AH70" s="923"/>
      <c r="AI70" s="923"/>
      <c r="AJ70" s="924"/>
      <c r="AK70" s="924"/>
      <c r="AL70" s="925">
        <v>1</v>
      </c>
    </row>
    <row r="71" spans="1:38" s="627" customFormat="1" ht="30" customHeight="1">
      <c r="A71" s="921"/>
      <c r="B71" s="929" t="s">
        <v>2871</v>
      </c>
      <c r="C71" s="930"/>
      <c r="D71" s="921"/>
      <c r="E71" s="921"/>
      <c r="F71" s="921"/>
      <c r="G71" s="921"/>
      <c r="H71" s="921"/>
      <c r="I71" s="922"/>
      <c r="J71" s="921"/>
      <c r="K71" s="921"/>
      <c r="L71" s="921"/>
      <c r="M71" s="921"/>
      <c r="N71" s="921"/>
      <c r="O71" s="922"/>
      <c r="P71" s="929"/>
      <c r="Q71" s="922"/>
      <c r="R71" s="922"/>
      <c r="S71" s="922"/>
      <c r="T71" s="923"/>
      <c r="U71" s="923"/>
      <c r="V71" s="933"/>
      <c r="W71" s="933"/>
      <c r="X71" s="933"/>
      <c r="Y71" s="923"/>
      <c r="Z71" s="934"/>
      <c r="AA71" s="923"/>
      <c r="AB71" s="923"/>
      <c r="AC71" s="923"/>
      <c r="AD71" s="923"/>
      <c r="AE71" s="923"/>
      <c r="AF71" s="923"/>
      <c r="AG71" s="923"/>
      <c r="AH71" s="923"/>
      <c r="AI71" s="923"/>
      <c r="AJ71" s="924"/>
      <c r="AK71" s="924"/>
      <c r="AL71" s="925">
        <v>1</v>
      </c>
    </row>
    <row r="72" spans="1:38" s="627" customFormat="1" ht="30" customHeight="1">
      <c r="A72" s="921"/>
      <c r="B72" s="929" t="s">
        <v>2872</v>
      </c>
      <c r="C72" s="930"/>
      <c r="D72" s="921"/>
      <c r="E72" s="921"/>
      <c r="F72" s="921"/>
      <c r="G72" s="921"/>
      <c r="H72" s="921"/>
      <c r="I72" s="922"/>
      <c r="J72" s="921"/>
      <c r="K72" s="921"/>
      <c r="L72" s="921"/>
      <c r="M72" s="921"/>
      <c r="N72" s="921"/>
      <c r="O72" s="922"/>
      <c r="P72" s="929"/>
      <c r="Q72" s="922"/>
      <c r="R72" s="922"/>
      <c r="S72" s="922"/>
      <c r="T72" s="923"/>
      <c r="U72" s="923"/>
      <c r="V72" s="933"/>
      <c r="W72" s="933"/>
      <c r="X72" s="933"/>
      <c r="Y72" s="923"/>
      <c r="Z72" s="934"/>
      <c r="AA72" s="923"/>
      <c r="AB72" s="923"/>
      <c r="AC72" s="923"/>
      <c r="AD72" s="923"/>
      <c r="AE72" s="923"/>
      <c r="AF72" s="923"/>
      <c r="AG72" s="923"/>
      <c r="AH72" s="923"/>
      <c r="AI72" s="923"/>
      <c r="AJ72" s="924"/>
      <c r="AK72" s="924"/>
      <c r="AL72" s="925">
        <v>1</v>
      </c>
    </row>
    <row r="73" spans="1:38" s="627" customFormat="1" ht="30" customHeight="1" thickBot="1">
      <c r="A73" s="921"/>
      <c r="B73" s="929"/>
      <c r="C73" s="930"/>
      <c r="D73" s="921"/>
      <c r="E73" s="921"/>
      <c r="F73" s="921"/>
      <c r="G73" s="921"/>
      <c r="H73" s="921"/>
      <c r="I73" s="922"/>
      <c r="J73" s="921"/>
      <c r="K73" s="921"/>
      <c r="L73" s="921"/>
      <c r="M73" s="921"/>
      <c r="N73" s="921"/>
      <c r="O73" s="922"/>
      <c r="P73" s="929"/>
      <c r="Q73" s="922"/>
      <c r="R73" s="922"/>
      <c r="S73" s="922"/>
      <c r="T73" s="923"/>
      <c r="U73" s="923"/>
      <c r="V73" s="933"/>
      <c r="W73" s="933"/>
      <c r="X73" s="933"/>
      <c r="Y73" s="923"/>
      <c r="Z73" s="934"/>
      <c r="AA73" s="923"/>
      <c r="AB73" s="923"/>
      <c r="AC73" s="923"/>
      <c r="AD73" s="923"/>
      <c r="AE73" s="923"/>
      <c r="AF73" s="923"/>
      <c r="AG73" s="923"/>
      <c r="AH73" s="923"/>
      <c r="AI73" s="923"/>
      <c r="AJ73" s="924"/>
      <c r="AK73" s="924"/>
      <c r="AL73" s="925">
        <v>1</v>
      </c>
    </row>
    <row r="74" spans="1:38" s="627" customFormat="1" ht="30" customHeight="1">
      <c r="A74" s="921"/>
      <c r="B74" s="929"/>
      <c r="C74" s="930"/>
      <c r="D74" s="715" t="s">
        <v>10</v>
      </c>
      <c r="E74" s="716" t="s">
        <v>1496</v>
      </c>
      <c r="F74" s="717"/>
      <c r="G74" s="717">
        <f>U70</f>
        <v>0</v>
      </c>
      <c r="H74" s="718"/>
      <c r="I74" s="718"/>
      <c r="J74" s="718"/>
      <c r="K74" s="718"/>
      <c r="L74" s="718"/>
      <c r="M74" s="718"/>
      <c r="N74" s="921"/>
      <c r="O74" s="922"/>
      <c r="P74" s="929"/>
      <c r="Q74" s="922"/>
      <c r="R74" s="922"/>
      <c r="S74" s="961" t="s">
        <v>3025</v>
      </c>
      <c r="T74" s="962"/>
      <c r="U74" s="963"/>
      <c r="V74" s="963"/>
      <c r="W74" s="963"/>
      <c r="X74" s="963"/>
      <c r="Y74" s="963"/>
      <c r="Z74" s="963"/>
      <c r="AA74" s="963"/>
      <c r="AB74" s="963"/>
      <c r="AC74" s="963"/>
      <c r="AD74" s="963"/>
      <c r="AE74" s="963"/>
      <c r="AF74" s="963"/>
      <c r="AG74" s="963"/>
      <c r="AH74" s="963"/>
      <c r="AI74" s="964"/>
      <c r="AJ74" s="924"/>
      <c r="AK74" s="924"/>
      <c r="AL74" s="925">
        <v>1</v>
      </c>
    </row>
    <row r="75" spans="1:38" s="627" customFormat="1" ht="30" customHeight="1">
      <c r="A75" s="921"/>
      <c r="B75" s="929"/>
      <c r="C75" s="930"/>
      <c r="D75" s="721" t="s">
        <v>10</v>
      </c>
      <c r="E75" s="6439" t="s">
        <v>1502</v>
      </c>
      <c r="F75" s="6439"/>
      <c r="G75" s="6439"/>
      <c r="H75" s="6439"/>
      <c r="I75" s="6439"/>
      <c r="J75" s="6439"/>
      <c r="K75" s="6439"/>
      <c r="L75" s="6439"/>
      <c r="M75" s="6439"/>
      <c r="N75" s="921"/>
      <c r="O75" s="922"/>
      <c r="P75" s="929"/>
      <c r="Q75" s="922"/>
      <c r="R75" s="922"/>
      <c r="S75" s="965"/>
      <c r="T75" s="966" t="s">
        <v>3026</v>
      </c>
      <c r="U75" s="967"/>
      <c r="V75" s="968"/>
      <c r="W75" s="968"/>
      <c r="X75" s="968"/>
      <c r="Y75" s="968"/>
      <c r="Z75" s="968"/>
      <c r="AA75" s="968"/>
      <c r="AB75" s="968"/>
      <c r="AC75" s="968"/>
      <c r="AD75" s="968"/>
      <c r="AE75" s="968"/>
      <c r="AF75" s="968"/>
      <c r="AG75" s="968"/>
      <c r="AH75" s="968"/>
      <c r="AI75" s="969"/>
      <c r="AJ75" s="924"/>
      <c r="AK75" s="924"/>
      <c r="AL75" s="925">
        <v>1</v>
      </c>
    </row>
    <row r="76" spans="1:38" s="627" customFormat="1" ht="30" customHeight="1">
      <c r="A76" s="921"/>
      <c r="B76" s="929"/>
      <c r="C76" s="930"/>
      <c r="D76" s="721" t="s">
        <v>10</v>
      </c>
      <c r="E76" s="6439"/>
      <c r="F76" s="6439"/>
      <c r="G76" s="6439"/>
      <c r="H76" s="6439"/>
      <c r="I76" s="6439"/>
      <c r="J76" s="6439"/>
      <c r="K76" s="6439"/>
      <c r="L76" s="6439"/>
      <c r="M76" s="6439"/>
      <c r="N76" s="921"/>
      <c r="O76" s="922"/>
      <c r="P76" s="929"/>
      <c r="Q76" s="922"/>
      <c r="R76" s="922"/>
      <c r="S76" s="922"/>
      <c r="T76" s="923"/>
      <c r="U76" s="923"/>
      <c r="V76" s="933"/>
      <c r="W76" s="933"/>
      <c r="X76" s="933"/>
      <c r="Y76" s="923"/>
      <c r="Z76" s="934"/>
      <c r="AA76" s="923"/>
      <c r="AB76" s="923"/>
      <c r="AC76" s="923"/>
      <c r="AD76" s="923"/>
      <c r="AE76" s="923"/>
      <c r="AF76" s="923"/>
      <c r="AG76" s="923"/>
      <c r="AH76" s="923"/>
      <c r="AI76" s="923"/>
      <c r="AJ76" s="924"/>
      <c r="AK76" s="924"/>
      <c r="AL76" s="925">
        <v>1</v>
      </c>
    </row>
    <row r="77" spans="1:38" s="627" customFormat="1" ht="30" customHeight="1">
      <c r="A77" s="921"/>
      <c r="B77" s="929"/>
      <c r="C77" s="930"/>
      <c r="D77" s="721" t="s">
        <v>10</v>
      </c>
      <c r="E77" s="1206" t="s">
        <v>1510</v>
      </c>
      <c r="F77" s="1206"/>
      <c r="G77" s="1207"/>
      <c r="H77" s="1208"/>
      <c r="I77" s="1208"/>
      <c r="J77" s="1209"/>
      <c r="K77" s="1209"/>
      <c r="L77" s="1209"/>
      <c r="M77" s="1209"/>
      <c r="N77" s="921"/>
      <c r="O77" s="922"/>
      <c r="P77" s="929"/>
      <c r="Q77" s="922"/>
      <c r="R77" s="922"/>
      <c r="S77" s="922"/>
      <c r="T77" s="923"/>
      <c r="U77" s="923"/>
      <c r="V77" s="933"/>
      <c r="W77" s="933"/>
      <c r="X77" s="933"/>
      <c r="Y77" s="923"/>
      <c r="Z77" s="934"/>
      <c r="AA77" s="923"/>
      <c r="AB77" s="923"/>
      <c r="AC77" s="923"/>
      <c r="AD77" s="923"/>
      <c r="AE77" s="923"/>
      <c r="AF77" s="923"/>
      <c r="AG77" s="923"/>
      <c r="AH77" s="923"/>
      <c r="AI77" s="923"/>
      <c r="AJ77" s="924"/>
      <c r="AK77" s="924"/>
      <c r="AL77" s="925">
        <v>1</v>
      </c>
    </row>
    <row r="78" spans="1:38" s="627" customFormat="1" ht="30" customHeight="1">
      <c r="A78" s="921"/>
      <c r="B78" s="929"/>
      <c r="C78" s="930"/>
      <c r="D78" s="721" t="s">
        <v>10</v>
      </c>
      <c r="E78" s="1206" t="s">
        <v>1512</v>
      </c>
      <c r="F78" s="1207"/>
      <c r="G78" s="1207"/>
      <c r="H78" s="1208"/>
      <c r="I78" s="1208"/>
      <c r="J78" s="1209"/>
      <c r="K78" s="1209"/>
      <c r="L78" s="1209"/>
      <c r="M78" s="1209"/>
      <c r="N78" s="921"/>
      <c r="O78" s="922"/>
      <c r="P78" s="929"/>
      <c r="Q78" s="922"/>
      <c r="R78" s="922"/>
      <c r="S78" s="922"/>
      <c r="T78" s="923"/>
      <c r="U78" s="923"/>
      <c r="V78" s="933"/>
      <c r="W78" s="933"/>
      <c r="X78" s="933"/>
      <c r="Y78" s="923"/>
      <c r="Z78" s="934"/>
      <c r="AA78" s="923"/>
      <c r="AB78" s="923"/>
      <c r="AC78" s="923"/>
      <c r="AD78" s="923"/>
      <c r="AE78" s="923"/>
      <c r="AF78" s="923"/>
      <c r="AG78" s="923"/>
      <c r="AH78" s="923"/>
      <c r="AI78" s="923"/>
      <c r="AJ78" s="924"/>
      <c r="AK78" s="924"/>
      <c r="AL78" s="925">
        <v>1</v>
      </c>
    </row>
    <row r="79" spans="1:38" s="627" customFormat="1" ht="30" customHeight="1">
      <c r="A79" s="921"/>
      <c r="B79" s="929"/>
      <c r="C79" s="930"/>
      <c r="D79" s="721" t="s">
        <v>10</v>
      </c>
      <c r="E79" s="1211" t="s">
        <v>1523</v>
      </c>
      <c r="F79" s="1207"/>
      <c r="G79" s="1207"/>
      <c r="H79" s="1208"/>
      <c r="I79" s="1208"/>
      <c r="J79" s="1209"/>
      <c r="K79" s="1209"/>
      <c r="L79" s="1209"/>
      <c r="M79" s="1209"/>
      <c r="N79" s="921"/>
      <c r="O79" s="922"/>
      <c r="P79" s="929"/>
      <c r="Q79" s="922"/>
      <c r="R79" s="922"/>
      <c r="S79" s="922"/>
      <c r="T79" s="923"/>
      <c r="U79" s="923"/>
      <c r="V79" s="933"/>
      <c r="W79" s="933"/>
      <c r="X79" s="933"/>
      <c r="Y79" s="923"/>
      <c r="Z79" s="934"/>
      <c r="AA79" s="923"/>
      <c r="AB79" s="923"/>
      <c r="AC79" s="923"/>
      <c r="AD79" s="923"/>
      <c r="AE79" s="923"/>
      <c r="AF79" s="923"/>
      <c r="AG79" s="923"/>
      <c r="AH79" s="923"/>
      <c r="AI79" s="923"/>
      <c r="AJ79" s="924"/>
      <c r="AK79" s="924"/>
      <c r="AL79" s="925">
        <v>1</v>
      </c>
    </row>
    <row r="80" spans="1:38" s="627" customFormat="1" ht="30" customHeight="1">
      <c r="A80" s="921"/>
      <c r="B80" s="929"/>
      <c r="C80" s="930"/>
      <c r="D80" s="721" t="s">
        <v>10</v>
      </c>
      <c r="E80" s="1211" t="s">
        <v>1545</v>
      </c>
      <c r="F80" s="1207"/>
      <c r="G80" s="1207"/>
      <c r="H80" s="1208"/>
      <c r="I80" s="1208"/>
      <c r="J80" s="1209"/>
      <c r="K80" s="1209"/>
      <c r="L80" s="1209"/>
      <c r="M80" s="1209"/>
      <c r="N80" s="921"/>
      <c r="O80" s="922"/>
      <c r="P80" s="929"/>
      <c r="Q80" s="922"/>
      <c r="R80" s="922"/>
      <c r="S80" s="922"/>
      <c r="T80" s="923"/>
      <c r="U80" s="923"/>
      <c r="V80" s="933"/>
      <c r="W80" s="933"/>
      <c r="X80" s="933"/>
      <c r="Y80" s="923"/>
      <c r="Z80" s="934"/>
      <c r="AA80" s="923"/>
      <c r="AB80" s="923"/>
      <c r="AC80" s="923"/>
      <c r="AD80" s="923"/>
      <c r="AE80" s="923"/>
      <c r="AF80" s="923"/>
      <c r="AG80" s="923"/>
      <c r="AH80" s="923"/>
      <c r="AI80" s="923"/>
      <c r="AJ80" s="924"/>
      <c r="AK80" s="924"/>
      <c r="AL80" s="925">
        <v>1</v>
      </c>
    </row>
    <row r="81" spans="1:38" s="627" customFormat="1" ht="30" customHeight="1">
      <c r="A81" s="921"/>
      <c r="B81" s="929"/>
      <c r="C81" s="930"/>
      <c r="D81" s="721" t="s">
        <v>10</v>
      </c>
      <c r="E81" s="1211" t="s">
        <v>1563</v>
      </c>
      <c r="F81" s="1207"/>
      <c r="G81" s="1207"/>
      <c r="H81" s="1208"/>
      <c r="I81" s="1208"/>
      <c r="J81" s="1209"/>
      <c r="K81" s="1209"/>
      <c r="L81" s="1209"/>
      <c r="M81" s="1209"/>
      <c r="N81" s="921"/>
      <c r="O81" s="922"/>
      <c r="P81" s="929"/>
      <c r="Q81" s="922"/>
      <c r="R81" s="922"/>
      <c r="S81" s="922"/>
      <c r="T81" s="923"/>
      <c r="U81" s="923"/>
      <c r="V81" s="933"/>
      <c r="W81" s="933"/>
      <c r="X81" s="933"/>
      <c r="Y81" s="923"/>
      <c r="Z81" s="934"/>
      <c r="AA81" s="923"/>
      <c r="AB81" s="923"/>
      <c r="AC81" s="923"/>
      <c r="AD81" s="923"/>
      <c r="AE81" s="923"/>
      <c r="AF81" s="923"/>
      <c r="AG81" s="923"/>
      <c r="AH81" s="923"/>
      <c r="AI81" s="923"/>
      <c r="AJ81" s="924"/>
      <c r="AK81" s="924"/>
      <c r="AL81" s="925">
        <v>1</v>
      </c>
    </row>
    <row r="82" spans="1:38" s="627" customFormat="1" ht="30" customHeight="1">
      <c r="A82" s="921"/>
      <c r="B82" s="929"/>
      <c r="C82" s="930"/>
      <c r="D82" s="721" t="s">
        <v>10</v>
      </c>
      <c r="E82" s="1213" t="s">
        <v>1580</v>
      </c>
      <c r="F82" s="1212"/>
      <c r="G82" s="1212"/>
      <c r="H82" s="1212"/>
      <c r="I82" s="1212"/>
      <c r="J82" s="1209"/>
      <c r="K82" s="1209"/>
      <c r="L82" s="1209"/>
      <c r="M82" s="1209"/>
      <c r="N82" s="921"/>
      <c r="O82" s="922"/>
      <c r="P82" s="929"/>
      <c r="Q82" s="922"/>
      <c r="R82" s="922"/>
      <c r="S82" s="922"/>
      <c r="T82" s="923"/>
      <c r="U82" s="923"/>
      <c r="V82" s="933"/>
      <c r="W82" s="933"/>
      <c r="X82" s="933"/>
      <c r="Y82" s="923"/>
      <c r="Z82" s="934"/>
      <c r="AA82" s="923"/>
      <c r="AB82" s="923"/>
      <c r="AC82" s="923"/>
      <c r="AD82" s="923"/>
      <c r="AE82" s="923"/>
      <c r="AF82" s="923"/>
      <c r="AG82" s="923"/>
      <c r="AH82" s="923"/>
      <c r="AI82" s="923"/>
      <c r="AJ82" s="924"/>
      <c r="AK82" s="924"/>
      <c r="AL82" s="925">
        <v>1</v>
      </c>
    </row>
    <row r="83" spans="1:38" s="627" customFormat="1" ht="30" customHeight="1">
      <c r="A83" s="921"/>
      <c r="B83" s="929"/>
      <c r="C83" s="930"/>
      <c r="D83" s="721" t="s">
        <v>10</v>
      </c>
      <c r="E83" s="1213" t="s">
        <v>1606</v>
      </c>
      <c r="F83" s="1212"/>
      <c r="G83" s="1212"/>
      <c r="H83" s="1212"/>
      <c r="I83" s="1212"/>
      <c r="J83" s="1209"/>
      <c r="K83" s="1209"/>
      <c r="L83" s="1209"/>
      <c r="M83" s="1209"/>
      <c r="N83" s="921"/>
      <c r="O83" s="922"/>
      <c r="P83" s="929"/>
      <c r="Q83" s="922"/>
      <c r="R83" s="922"/>
      <c r="S83" s="922"/>
      <c r="T83" s="923"/>
      <c r="U83" s="923"/>
      <c r="V83" s="933"/>
      <c r="W83" s="933"/>
      <c r="X83" s="933"/>
      <c r="Y83" s="923"/>
      <c r="Z83" s="934"/>
      <c r="AA83" s="923"/>
      <c r="AB83" s="923"/>
      <c r="AC83" s="923"/>
      <c r="AD83" s="923"/>
      <c r="AE83" s="923"/>
      <c r="AF83" s="923"/>
      <c r="AG83" s="923"/>
      <c r="AH83" s="923"/>
      <c r="AI83" s="923"/>
      <c r="AJ83" s="924"/>
      <c r="AK83" s="924"/>
      <c r="AL83" s="925">
        <v>1</v>
      </c>
    </row>
    <row r="84" spans="1:38" s="627" customFormat="1" ht="30" customHeight="1">
      <c r="A84" s="921"/>
      <c r="B84" s="929"/>
      <c r="C84" s="930"/>
      <c r="D84" s="721" t="s">
        <v>10</v>
      </c>
      <c r="E84" s="1213" t="s">
        <v>1615</v>
      </c>
      <c r="F84" s="1207"/>
      <c r="G84" s="1207"/>
      <c r="H84" s="1208"/>
      <c r="I84" s="1208"/>
      <c r="J84" s="1209"/>
      <c r="K84" s="1209"/>
      <c r="L84" s="1209"/>
      <c r="M84" s="1209"/>
      <c r="N84" s="921"/>
      <c r="O84" s="922"/>
      <c r="P84" s="929"/>
      <c r="Q84" s="922"/>
      <c r="R84" s="922"/>
      <c r="S84" s="922"/>
      <c r="T84" s="923"/>
      <c r="U84" s="923"/>
      <c r="V84" s="933"/>
      <c r="W84" s="933"/>
      <c r="X84" s="933"/>
      <c r="Y84" s="923"/>
      <c r="Z84" s="934"/>
      <c r="AA84" s="923"/>
      <c r="AB84" s="923"/>
      <c r="AC84" s="923"/>
      <c r="AD84" s="923"/>
      <c r="AE84" s="923"/>
      <c r="AF84" s="923"/>
      <c r="AG84" s="923"/>
      <c r="AH84" s="923"/>
      <c r="AI84" s="923"/>
      <c r="AJ84" s="924"/>
      <c r="AK84" s="924"/>
      <c r="AL84" s="925">
        <v>1</v>
      </c>
    </row>
    <row r="85" spans="1:38" s="627" customFormat="1" ht="30" customHeight="1">
      <c r="A85" s="921"/>
      <c r="B85" s="929"/>
      <c r="C85" s="930"/>
      <c r="D85" s="721" t="s">
        <v>10</v>
      </c>
      <c r="E85" s="1210"/>
      <c r="F85" s="1207"/>
      <c r="G85" s="1207"/>
      <c r="H85" s="1208"/>
      <c r="I85" s="1208"/>
      <c r="J85" s="1209"/>
      <c r="K85" s="1209"/>
      <c r="L85" s="1209"/>
      <c r="M85" s="1209"/>
      <c r="N85" s="921"/>
      <c r="O85" s="922"/>
      <c r="P85" s="929"/>
      <c r="Q85" s="922"/>
      <c r="R85" s="922"/>
      <c r="S85" s="922"/>
      <c r="T85" s="923"/>
      <c r="U85" s="923"/>
      <c r="V85" s="933"/>
      <c r="W85" s="933"/>
      <c r="X85" s="933"/>
      <c r="Y85" s="923"/>
      <c r="Z85" s="934"/>
      <c r="AA85" s="923"/>
      <c r="AB85" s="923"/>
      <c r="AC85" s="923"/>
      <c r="AD85" s="923"/>
      <c r="AE85" s="923"/>
      <c r="AF85" s="923"/>
      <c r="AG85" s="923"/>
      <c r="AH85" s="923"/>
      <c r="AI85" s="923"/>
      <c r="AJ85" s="924"/>
      <c r="AK85" s="924"/>
      <c r="AL85" s="925">
        <v>1</v>
      </c>
    </row>
    <row r="86" spans="1:38" s="627" customFormat="1" ht="30" customHeight="1">
      <c r="A86" s="921"/>
      <c r="B86" s="929"/>
      <c r="C86" s="930"/>
      <c r="D86" s="721" t="s">
        <v>10</v>
      </c>
      <c r="E86" s="1212"/>
      <c r="F86" s="1212"/>
      <c r="G86" s="1212"/>
      <c r="H86" s="1212"/>
      <c r="I86" s="1212"/>
      <c r="J86" s="1209"/>
      <c r="K86" s="1209"/>
      <c r="L86" s="1209"/>
      <c r="M86" s="1209"/>
      <c r="N86" s="921"/>
      <c r="O86" s="922"/>
      <c r="P86" s="929"/>
      <c r="Q86" s="922"/>
      <c r="R86" s="922"/>
      <c r="S86" s="922"/>
      <c r="T86" s="923"/>
      <c r="U86" s="923"/>
      <c r="V86" s="933"/>
      <c r="W86" s="933"/>
      <c r="X86" s="933"/>
      <c r="Y86" s="923"/>
      <c r="Z86" s="934"/>
      <c r="AA86" s="923"/>
      <c r="AB86" s="923"/>
      <c r="AC86" s="923"/>
      <c r="AD86" s="923"/>
      <c r="AE86" s="923"/>
      <c r="AF86" s="923"/>
      <c r="AG86" s="923"/>
      <c r="AH86" s="923"/>
      <c r="AI86" s="923"/>
      <c r="AJ86" s="924"/>
      <c r="AK86" s="924"/>
      <c r="AL86" s="925">
        <v>1</v>
      </c>
    </row>
    <row r="87" spans="1:38" s="627" customFormat="1" ht="30" customHeight="1">
      <c r="A87" s="921"/>
      <c r="B87" s="929"/>
      <c r="C87" s="930"/>
      <c r="D87" s="721" t="s">
        <v>10</v>
      </c>
      <c r="E87" s="1212"/>
      <c r="F87" s="1212"/>
      <c r="G87" s="1212"/>
      <c r="H87" s="1212"/>
      <c r="I87" s="1212"/>
      <c r="J87" s="1209"/>
      <c r="K87" s="1209"/>
      <c r="L87" s="1209"/>
      <c r="M87" s="1209"/>
      <c r="N87" s="921"/>
      <c r="O87" s="922"/>
      <c r="P87" s="929"/>
      <c r="Q87" s="922"/>
      <c r="R87" s="922"/>
      <c r="S87" s="922"/>
      <c r="T87" s="923"/>
      <c r="U87" s="923"/>
      <c r="V87" s="933"/>
      <c r="W87" s="933"/>
      <c r="X87" s="933"/>
      <c r="Y87" s="923"/>
      <c r="Z87" s="934"/>
      <c r="AA87" s="923"/>
      <c r="AB87" s="923"/>
      <c r="AC87" s="923"/>
      <c r="AD87" s="923"/>
      <c r="AE87" s="923"/>
      <c r="AF87" s="923"/>
      <c r="AG87" s="923"/>
      <c r="AH87" s="923"/>
      <c r="AI87" s="923"/>
      <c r="AJ87" s="924"/>
      <c r="AK87" s="924"/>
      <c r="AL87" s="925">
        <v>1</v>
      </c>
    </row>
    <row r="88" spans="1:38" s="627" customFormat="1" ht="30" customHeight="1">
      <c r="A88" s="921"/>
      <c r="B88" s="929"/>
      <c r="C88" s="930"/>
      <c r="D88" s="721" t="s">
        <v>10</v>
      </c>
      <c r="E88" s="1212"/>
      <c r="F88" s="1212"/>
      <c r="G88" s="1212"/>
      <c r="H88" s="1212"/>
      <c r="I88" s="1212"/>
      <c r="J88" s="1209"/>
      <c r="K88" s="1209"/>
      <c r="L88" s="1209"/>
      <c r="M88" s="1209"/>
      <c r="N88" s="921"/>
      <c r="O88" s="922"/>
      <c r="P88" s="929"/>
      <c r="Q88" s="922"/>
      <c r="R88" s="922"/>
      <c r="S88" s="922"/>
      <c r="T88" s="923"/>
      <c r="U88" s="923"/>
      <c r="V88" s="933"/>
      <c r="W88" s="933"/>
      <c r="X88" s="933"/>
      <c r="Y88" s="923"/>
      <c r="Z88" s="934"/>
      <c r="AA88" s="923"/>
      <c r="AB88" s="923"/>
      <c r="AC88" s="923"/>
      <c r="AD88" s="923"/>
      <c r="AE88" s="923"/>
      <c r="AF88" s="923"/>
      <c r="AG88" s="923"/>
      <c r="AH88" s="923"/>
      <c r="AI88" s="923"/>
      <c r="AJ88" s="924"/>
      <c r="AK88" s="924"/>
      <c r="AL88" s="925">
        <v>1</v>
      </c>
    </row>
    <row r="89" spans="1:38" s="627" customFormat="1" ht="30" customHeight="1">
      <c r="A89" s="921"/>
      <c r="B89" s="929"/>
      <c r="C89" s="930"/>
      <c r="D89" s="721" t="s">
        <v>10</v>
      </c>
      <c r="E89" s="1213" t="s">
        <v>1626</v>
      </c>
      <c r="F89" s="1207"/>
      <c r="G89" s="1207"/>
      <c r="H89" s="1208"/>
      <c r="I89" s="1208"/>
      <c r="J89" s="1209"/>
      <c r="K89" s="1209"/>
      <c r="L89" s="1209"/>
      <c r="M89" s="1209"/>
      <c r="N89" s="921"/>
      <c r="O89" s="922"/>
      <c r="P89" s="929"/>
      <c r="Q89" s="922"/>
      <c r="R89" s="922"/>
      <c r="S89" s="922"/>
      <c r="T89" s="923"/>
      <c r="U89" s="923"/>
      <c r="V89" s="933"/>
      <c r="W89" s="933"/>
      <c r="X89" s="933"/>
      <c r="Y89" s="923"/>
      <c r="Z89" s="934"/>
      <c r="AA89" s="923"/>
      <c r="AB89" s="923"/>
      <c r="AC89" s="923"/>
      <c r="AD89" s="923"/>
      <c r="AE89" s="923"/>
      <c r="AF89" s="923"/>
      <c r="AG89" s="923"/>
      <c r="AH89" s="923"/>
      <c r="AI89" s="923"/>
      <c r="AJ89" s="924"/>
      <c r="AK89" s="924"/>
      <c r="AL89" s="925">
        <v>1</v>
      </c>
    </row>
    <row r="90" spans="1:38" s="627" customFormat="1" ht="30" customHeight="1">
      <c r="A90" s="921"/>
      <c r="B90" s="929"/>
      <c r="C90" s="930"/>
      <c r="D90" s="721" t="s">
        <v>15</v>
      </c>
      <c r="E90" s="6436" t="s">
        <v>1627</v>
      </c>
      <c r="F90" s="6436"/>
      <c r="G90" s="6436"/>
      <c r="H90" s="6436"/>
      <c r="I90" s="6436"/>
      <c r="J90" s="1209"/>
      <c r="K90" s="1209"/>
      <c r="L90" s="1209"/>
      <c r="M90" s="1209"/>
      <c r="N90" s="921"/>
      <c r="O90" s="922"/>
      <c r="P90" s="929"/>
      <c r="Q90" s="922"/>
      <c r="R90" s="922"/>
      <c r="S90" s="922"/>
      <c r="T90" s="923"/>
      <c r="U90" s="923"/>
      <c r="V90" s="933"/>
      <c r="W90" s="933"/>
      <c r="X90" s="933"/>
      <c r="Y90" s="923"/>
      <c r="Z90" s="934"/>
      <c r="AA90" s="923"/>
      <c r="AB90" s="923"/>
      <c r="AC90" s="923"/>
      <c r="AD90" s="923"/>
      <c r="AE90" s="923"/>
      <c r="AF90" s="923"/>
      <c r="AG90" s="923"/>
      <c r="AH90" s="923"/>
      <c r="AI90" s="923"/>
      <c r="AJ90" s="924"/>
      <c r="AK90" s="924"/>
      <c r="AL90" s="925">
        <v>1</v>
      </c>
    </row>
    <row r="91" spans="1:38" s="627" customFormat="1" ht="30" customHeight="1">
      <c r="A91" s="921"/>
      <c r="B91" s="929"/>
      <c r="C91" s="930"/>
      <c r="D91" s="721" t="s">
        <v>15</v>
      </c>
      <c r="E91" s="6436"/>
      <c r="F91" s="6436"/>
      <c r="G91" s="6436"/>
      <c r="H91" s="6436"/>
      <c r="I91" s="6436"/>
      <c r="J91" s="1209"/>
      <c r="K91" s="1209"/>
      <c r="L91" s="1209"/>
      <c r="M91" s="1209"/>
      <c r="N91" s="921"/>
      <c r="O91" s="922"/>
      <c r="P91" s="929"/>
      <c r="Q91" s="922"/>
      <c r="R91" s="922"/>
      <c r="S91" s="922"/>
      <c r="T91" s="923"/>
      <c r="U91" s="923"/>
      <c r="V91" s="933"/>
      <c r="W91" s="933"/>
      <c r="X91" s="933"/>
      <c r="Y91" s="923"/>
      <c r="Z91" s="934"/>
      <c r="AA91" s="923"/>
      <c r="AB91" s="923"/>
      <c r="AC91" s="923"/>
      <c r="AD91" s="923"/>
      <c r="AE91" s="923"/>
      <c r="AF91" s="923"/>
      <c r="AG91" s="923"/>
      <c r="AH91" s="923"/>
      <c r="AI91" s="923"/>
      <c r="AJ91" s="924"/>
      <c r="AK91" s="924"/>
      <c r="AL91" s="925">
        <v>1</v>
      </c>
    </row>
    <row r="92" spans="1:38" s="627" customFormat="1" ht="30" customHeight="1">
      <c r="A92" s="921"/>
      <c r="B92" s="929"/>
      <c r="C92" s="930"/>
      <c r="D92" s="721" t="s">
        <v>15</v>
      </c>
      <c r="E92" s="6437" t="s">
        <v>1629</v>
      </c>
      <c r="F92" s="6437"/>
      <c r="G92" s="6437"/>
      <c r="H92" s="6437"/>
      <c r="I92" s="6437"/>
      <c r="J92" s="1209"/>
      <c r="K92" s="1209"/>
      <c r="L92" s="1209"/>
      <c r="M92" s="1209"/>
      <c r="N92" s="921"/>
      <c r="O92" s="922"/>
      <c r="P92" s="929"/>
      <c r="Q92" s="922"/>
      <c r="R92" s="922"/>
      <c r="S92" s="922"/>
      <c r="T92" s="923"/>
      <c r="U92" s="923"/>
      <c r="V92" s="933"/>
      <c r="W92" s="933"/>
      <c r="X92" s="933"/>
      <c r="Y92" s="923"/>
      <c r="Z92" s="934"/>
      <c r="AA92" s="923"/>
      <c r="AB92" s="923"/>
      <c r="AC92" s="923"/>
      <c r="AD92" s="923"/>
      <c r="AE92" s="923"/>
      <c r="AF92" s="923"/>
      <c r="AG92" s="923"/>
      <c r="AH92" s="923"/>
      <c r="AI92" s="923"/>
      <c r="AJ92" s="924"/>
      <c r="AK92" s="924"/>
      <c r="AL92" s="925">
        <v>1</v>
      </c>
    </row>
    <row r="93" spans="1:38" s="627" customFormat="1" ht="30" customHeight="1">
      <c r="A93" s="921"/>
      <c r="B93" s="929"/>
      <c r="C93" s="930"/>
      <c r="D93" s="721" t="s">
        <v>15</v>
      </c>
      <c r="E93" s="6437"/>
      <c r="F93" s="6437"/>
      <c r="G93" s="6437"/>
      <c r="H93" s="6437"/>
      <c r="I93" s="6437"/>
      <c r="J93" s="1209"/>
      <c r="K93" s="1209"/>
      <c r="L93" s="1209"/>
      <c r="M93" s="1209"/>
      <c r="N93" s="921"/>
      <c r="O93" s="922"/>
      <c r="P93" s="929"/>
      <c r="Q93" s="922"/>
      <c r="R93" s="922"/>
      <c r="S93" s="922"/>
      <c r="T93" s="923"/>
      <c r="U93" s="923"/>
      <c r="V93" s="933"/>
      <c r="W93" s="933"/>
      <c r="X93" s="933"/>
      <c r="Y93" s="923"/>
      <c r="Z93" s="934"/>
      <c r="AA93" s="923"/>
      <c r="AB93" s="923"/>
      <c r="AC93" s="923"/>
      <c r="AD93" s="923"/>
      <c r="AE93" s="923"/>
      <c r="AF93" s="923"/>
      <c r="AG93" s="923"/>
      <c r="AH93" s="923"/>
      <c r="AI93" s="923"/>
      <c r="AJ93" s="924"/>
      <c r="AK93" s="924"/>
      <c r="AL93" s="925">
        <v>1</v>
      </c>
    </row>
    <row r="94" spans="1:38" s="627" customFormat="1" ht="30" customHeight="1">
      <c r="A94" s="921"/>
      <c r="B94" s="929"/>
      <c r="C94" s="930"/>
      <c r="D94" s="721" t="s">
        <v>15</v>
      </c>
      <c r="E94" s="1213"/>
      <c r="F94" s="1207"/>
      <c r="G94" s="1207"/>
      <c r="H94" s="1208"/>
      <c r="I94" s="1208"/>
      <c r="J94" s="1209"/>
      <c r="K94" s="1209"/>
      <c r="L94" s="1209"/>
      <c r="M94" s="1209"/>
      <c r="N94" s="921"/>
      <c r="O94" s="922"/>
      <c r="P94" s="929"/>
      <c r="Q94" s="922"/>
      <c r="R94" s="922"/>
      <c r="S94" s="922"/>
      <c r="T94" s="923"/>
      <c r="U94" s="923"/>
      <c r="V94" s="933"/>
      <c r="W94" s="933"/>
      <c r="X94" s="933"/>
      <c r="Y94" s="923"/>
      <c r="Z94" s="934"/>
      <c r="AA94" s="923"/>
      <c r="AB94" s="923"/>
      <c r="AC94" s="923"/>
      <c r="AD94" s="923"/>
      <c r="AE94" s="923"/>
      <c r="AF94" s="923"/>
      <c r="AG94" s="923"/>
      <c r="AH94" s="923"/>
      <c r="AI94" s="923"/>
      <c r="AJ94" s="924"/>
      <c r="AK94" s="924"/>
      <c r="AL94" s="925">
        <v>1</v>
      </c>
    </row>
    <row r="95" spans="1:38" s="627" customFormat="1" ht="30" customHeight="1">
      <c r="A95" s="921"/>
      <c r="B95" s="929"/>
      <c r="C95" s="930"/>
      <c r="D95" s="721" t="s">
        <v>15</v>
      </c>
      <c r="E95" s="6438" t="s">
        <v>1647</v>
      </c>
      <c r="F95" s="6438"/>
      <c r="G95" s="6438"/>
      <c r="H95" s="6438"/>
      <c r="I95" s="6438"/>
      <c r="J95" s="1209"/>
      <c r="K95" s="1209"/>
      <c r="L95" s="1209"/>
      <c r="M95" s="1209"/>
      <c r="N95" s="921"/>
      <c r="O95" s="922"/>
      <c r="P95" s="929"/>
      <c r="Q95" s="922"/>
      <c r="R95" s="922"/>
      <c r="S95" s="922"/>
      <c r="T95" s="923"/>
      <c r="U95" s="923"/>
      <c r="V95" s="933"/>
      <c r="W95" s="933"/>
      <c r="X95" s="933"/>
      <c r="Y95" s="923"/>
      <c r="Z95" s="934"/>
      <c r="AA95" s="923"/>
      <c r="AB95" s="923"/>
      <c r="AC95" s="923"/>
      <c r="AD95" s="923"/>
      <c r="AE95" s="923"/>
      <c r="AF95" s="923"/>
      <c r="AG95" s="923"/>
      <c r="AH95" s="923"/>
      <c r="AI95" s="923"/>
      <c r="AJ95" s="924"/>
      <c r="AK95" s="924"/>
      <c r="AL95" s="925">
        <v>1</v>
      </c>
    </row>
    <row r="96" spans="1:38" s="627" customFormat="1" ht="30" customHeight="1">
      <c r="A96" s="921"/>
      <c r="B96" s="929"/>
      <c r="C96" s="930"/>
      <c r="D96" s="721" t="s">
        <v>15</v>
      </c>
      <c r="E96" s="6438"/>
      <c r="F96" s="6438"/>
      <c r="G96" s="6438"/>
      <c r="H96" s="6438"/>
      <c r="I96" s="6438"/>
      <c r="J96" s="1209"/>
      <c r="K96" s="1209"/>
      <c r="L96" s="1209"/>
      <c r="M96" s="1209"/>
      <c r="N96" s="921"/>
      <c r="O96" s="922"/>
      <c r="P96" s="929"/>
      <c r="Q96" s="922"/>
      <c r="R96" s="922"/>
      <c r="S96" s="922"/>
      <c r="T96" s="923"/>
      <c r="U96" s="923"/>
      <c r="V96" s="933"/>
      <c r="W96" s="933"/>
      <c r="X96" s="933"/>
      <c r="Y96" s="923"/>
      <c r="Z96" s="934"/>
      <c r="AA96" s="923"/>
      <c r="AB96" s="923"/>
      <c r="AC96" s="923"/>
      <c r="AD96" s="923"/>
      <c r="AE96" s="923"/>
      <c r="AF96" s="923"/>
      <c r="AG96" s="923"/>
      <c r="AH96" s="923"/>
      <c r="AI96" s="923"/>
      <c r="AJ96" s="924"/>
      <c r="AK96" s="924"/>
      <c r="AL96" s="925">
        <v>1</v>
      </c>
    </row>
    <row r="97" spans="1:38" s="627" customFormat="1" ht="30" customHeight="1">
      <c r="A97" s="921"/>
      <c r="B97" s="929"/>
      <c r="C97" s="930"/>
      <c r="D97" s="721" t="s">
        <v>15</v>
      </c>
      <c r="E97" s="1215"/>
      <c r="F97" s="1207"/>
      <c r="G97" s="1207"/>
      <c r="H97" s="1208"/>
      <c r="I97" s="1208"/>
      <c r="J97" s="1209"/>
      <c r="K97" s="1209"/>
      <c r="L97" s="1209"/>
      <c r="M97" s="1209"/>
      <c r="N97" s="921"/>
      <c r="O97" s="922"/>
      <c r="P97" s="929"/>
      <c r="Q97" s="922"/>
      <c r="R97" s="922"/>
      <c r="S97" s="922"/>
      <c r="T97" s="923"/>
      <c r="U97" s="923"/>
      <c r="V97" s="933"/>
      <c r="W97" s="933"/>
      <c r="X97" s="933"/>
      <c r="Y97" s="923"/>
      <c r="Z97" s="934"/>
      <c r="AA97" s="923"/>
      <c r="AB97" s="923"/>
      <c r="AC97" s="923"/>
      <c r="AD97" s="923"/>
      <c r="AE97" s="923"/>
      <c r="AF97" s="923"/>
      <c r="AG97" s="923"/>
      <c r="AH97" s="923"/>
      <c r="AI97" s="923"/>
      <c r="AJ97" s="924"/>
      <c r="AK97" s="924"/>
      <c r="AL97" s="925">
        <v>1</v>
      </c>
    </row>
    <row r="98" spans="1:38" s="627" customFormat="1" ht="30" customHeight="1">
      <c r="A98" s="921"/>
      <c r="B98" s="929"/>
      <c r="C98" s="930"/>
      <c r="D98" s="721" t="s">
        <v>15</v>
      </c>
      <c r="E98" s="1215"/>
      <c r="F98" s="1207"/>
      <c r="G98" s="1207"/>
      <c r="H98" s="1208"/>
      <c r="I98" s="1208"/>
      <c r="J98" s="1209"/>
      <c r="K98" s="1209"/>
      <c r="L98" s="1209"/>
      <c r="M98" s="1209"/>
      <c r="N98" s="921"/>
      <c r="O98" s="922"/>
      <c r="P98" s="929"/>
      <c r="Q98" s="922"/>
      <c r="R98" s="922"/>
      <c r="S98" s="922"/>
      <c r="T98" s="923"/>
      <c r="U98" s="923"/>
      <c r="V98" s="933"/>
      <c r="W98" s="933"/>
      <c r="X98" s="933"/>
      <c r="Y98" s="923"/>
      <c r="Z98" s="934"/>
      <c r="AA98" s="923"/>
      <c r="AB98" s="923"/>
      <c r="AC98" s="923"/>
      <c r="AD98" s="923"/>
      <c r="AE98" s="923"/>
      <c r="AF98" s="923"/>
      <c r="AG98" s="923"/>
      <c r="AH98" s="923"/>
      <c r="AI98" s="923"/>
      <c r="AJ98" s="924"/>
      <c r="AK98" s="924"/>
      <c r="AL98" s="925">
        <v>1</v>
      </c>
    </row>
    <row r="99" spans="1:38" s="627" customFormat="1" ht="30" customHeight="1">
      <c r="A99" s="921"/>
      <c r="B99" s="929"/>
      <c r="C99" s="930"/>
      <c r="D99" s="721" t="s">
        <v>15</v>
      </c>
      <c r="E99" s="1215"/>
      <c r="F99" s="1207"/>
      <c r="G99" s="1207"/>
      <c r="H99" s="1208"/>
      <c r="I99" s="1208"/>
      <c r="J99" s="1209"/>
      <c r="K99" s="1209"/>
      <c r="L99" s="1209"/>
      <c r="M99" s="1209"/>
      <c r="N99" s="921"/>
      <c r="O99" s="922"/>
      <c r="P99" s="929"/>
      <c r="Q99" s="922"/>
      <c r="R99" s="922"/>
      <c r="S99" s="922"/>
      <c r="T99" s="923"/>
      <c r="U99" s="923"/>
      <c r="V99" s="933"/>
      <c r="W99" s="933"/>
      <c r="X99" s="933"/>
      <c r="Y99" s="923"/>
      <c r="Z99" s="934"/>
      <c r="AA99" s="923"/>
      <c r="AB99" s="923"/>
      <c r="AC99" s="923"/>
      <c r="AD99" s="923"/>
      <c r="AE99" s="923"/>
      <c r="AF99" s="923"/>
      <c r="AG99" s="923"/>
      <c r="AH99" s="923"/>
      <c r="AI99" s="923"/>
      <c r="AJ99" s="924"/>
      <c r="AK99" s="924"/>
      <c r="AL99" s="925">
        <v>1</v>
      </c>
    </row>
    <row r="100" spans="1:38" s="627" customFormat="1" ht="30" customHeight="1">
      <c r="A100" s="921"/>
      <c r="B100" s="929"/>
      <c r="C100" s="930"/>
      <c r="D100" s="721" t="s">
        <v>15</v>
      </c>
      <c r="E100" s="1215"/>
      <c r="F100" s="1207"/>
      <c r="G100" s="1207"/>
      <c r="H100" s="1208"/>
      <c r="I100" s="1208"/>
      <c r="J100" s="1209"/>
      <c r="K100" s="1209"/>
      <c r="L100" s="1209"/>
      <c r="M100" s="1209"/>
      <c r="N100" s="921"/>
      <c r="O100" s="922"/>
      <c r="P100" s="929"/>
      <c r="Q100" s="922"/>
      <c r="R100" s="922"/>
      <c r="S100" s="922"/>
      <c r="T100" s="923"/>
      <c r="U100" s="923"/>
      <c r="V100" s="933"/>
      <c r="W100" s="933"/>
      <c r="X100" s="933"/>
      <c r="Y100" s="923"/>
      <c r="Z100" s="934"/>
      <c r="AA100" s="923"/>
      <c r="AB100" s="923"/>
      <c r="AC100" s="923"/>
      <c r="AD100" s="923"/>
      <c r="AE100" s="923"/>
      <c r="AF100" s="923"/>
      <c r="AG100" s="923"/>
      <c r="AH100" s="923"/>
      <c r="AI100" s="923"/>
      <c r="AJ100" s="924"/>
      <c r="AK100" s="924"/>
      <c r="AL100" s="925">
        <v>1</v>
      </c>
    </row>
    <row r="101" spans="1:38" s="627" customFormat="1" ht="30" customHeight="1">
      <c r="A101" s="921"/>
      <c r="B101" s="929"/>
      <c r="C101" s="930"/>
      <c r="D101" s="721" t="s">
        <v>15</v>
      </c>
      <c r="E101" s="1215"/>
      <c r="F101" s="1207"/>
      <c r="G101" s="1207"/>
      <c r="H101" s="1208"/>
      <c r="I101" s="1208"/>
      <c r="J101" s="1209"/>
      <c r="K101" s="1209"/>
      <c r="L101" s="1209"/>
      <c r="M101" s="1209"/>
      <c r="N101" s="921"/>
      <c r="O101" s="922"/>
      <c r="P101" s="929"/>
      <c r="Q101" s="922"/>
      <c r="R101" s="922"/>
      <c r="S101" s="922"/>
      <c r="T101" s="923"/>
      <c r="U101" s="923"/>
      <c r="V101" s="933"/>
      <c r="W101" s="933"/>
      <c r="X101" s="933"/>
      <c r="Y101" s="923"/>
      <c r="Z101" s="934"/>
      <c r="AA101" s="923"/>
      <c r="AB101" s="923"/>
      <c r="AC101" s="923"/>
      <c r="AD101" s="923"/>
      <c r="AE101" s="923"/>
      <c r="AF101" s="923"/>
      <c r="AG101" s="923"/>
      <c r="AH101" s="923"/>
      <c r="AI101" s="923"/>
      <c r="AJ101" s="924"/>
      <c r="AK101" s="924"/>
      <c r="AL101" s="925">
        <v>1</v>
      </c>
    </row>
    <row r="102" spans="1:38" s="627" customFormat="1" ht="30" customHeight="1">
      <c r="A102" s="921"/>
      <c r="B102" s="929"/>
      <c r="C102" s="930"/>
      <c r="D102" s="721" t="s">
        <v>15</v>
      </c>
      <c r="E102" s="6436" t="s">
        <v>1668</v>
      </c>
      <c r="F102" s="6436"/>
      <c r="G102" s="6436"/>
      <c r="H102" s="6436"/>
      <c r="I102" s="6436"/>
      <c r="J102" s="1209"/>
      <c r="K102" s="1209"/>
      <c r="L102" s="1209"/>
      <c r="M102" s="1209"/>
      <c r="N102" s="921"/>
      <c r="O102" s="922"/>
      <c r="P102" s="929"/>
      <c r="Q102" s="922"/>
      <c r="R102" s="922"/>
      <c r="S102" s="922"/>
      <c r="T102" s="923"/>
      <c r="U102" s="923"/>
      <c r="V102" s="933"/>
      <c r="W102" s="933"/>
      <c r="X102" s="933"/>
      <c r="Y102" s="923"/>
      <c r="Z102" s="934"/>
      <c r="AA102" s="923"/>
      <c r="AB102" s="923"/>
      <c r="AC102" s="923"/>
      <c r="AD102" s="923"/>
      <c r="AE102" s="923"/>
      <c r="AF102" s="923"/>
      <c r="AG102" s="923"/>
      <c r="AH102" s="923"/>
      <c r="AI102" s="923"/>
      <c r="AJ102" s="924"/>
      <c r="AK102" s="924"/>
      <c r="AL102" s="925">
        <v>1</v>
      </c>
    </row>
    <row r="103" spans="1:38" s="627" customFormat="1" ht="30" customHeight="1">
      <c r="A103" s="921"/>
      <c r="B103" s="929"/>
      <c r="C103" s="930"/>
      <c r="D103" s="721" t="s">
        <v>15</v>
      </c>
      <c r="E103" s="6436"/>
      <c r="F103" s="6436"/>
      <c r="G103" s="6436"/>
      <c r="H103" s="6436"/>
      <c r="I103" s="6436"/>
      <c r="J103" s="1209"/>
      <c r="K103" s="1209"/>
      <c r="L103" s="1209"/>
      <c r="M103" s="1209"/>
      <c r="N103" s="921"/>
      <c r="O103" s="922"/>
      <c r="P103" s="929"/>
      <c r="Q103" s="922"/>
      <c r="R103" s="922"/>
      <c r="S103" s="922"/>
      <c r="T103" s="923"/>
      <c r="U103" s="923"/>
      <c r="V103" s="933"/>
      <c r="W103" s="933"/>
      <c r="X103" s="933"/>
      <c r="Y103" s="923"/>
      <c r="Z103" s="934"/>
      <c r="AA103" s="923"/>
      <c r="AB103" s="923"/>
      <c r="AC103" s="923"/>
      <c r="AD103" s="923"/>
      <c r="AE103" s="923"/>
      <c r="AF103" s="923"/>
      <c r="AG103" s="923"/>
      <c r="AH103" s="923"/>
      <c r="AI103" s="923"/>
      <c r="AJ103" s="924"/>
      <c r="AK103" s="924"/>
      <c r="AL103" s="925">
        <v>1</v>
      </c>
    </row>
    <row r="104" spans="1:38" s="627" customFormat="1" ht="30" customHeight="1">
      <c r="A104" s="921"/>
      <c r="B104" s="929"/>
      <c r="C104" s="930"/>
      <c r="D104" s="721" t="s">
        <v>15</v>
      </c>
      <c r="E104" s="1215"/>
      <c r="F104" s="1207"/>
      <c r="G104" s="1207"/>
      <c r="H104" s="1208"/>
      <c r="I104" s="1208"/>
      <c r="J104" s="1209"/>
      <c r="K104" s="1209"/>
      <c r="L104" s="1209"/>
      <c r="M104" s="1209"/>
      <c r="N104" s="921"/>
      <c r="O104" s="922"/>
      <c r="P104" s="929"/>
      <c r="Q104" s="922"/>
      <c r="R104" s="922"/>
      <c r="S104" s="922"/>
      <c r="T104" s="923"/>
      <c r="U104" s="923"/>
      <c r="V104" s="933"/>
      <c r="W104" s="933"/>
      <c r="X104" s="933"/>
      <c r="Y104" s="923"/>
      <c r="Z104" s="934"/>
      <c r="AA104" s="923"/>
      <c r="AB104" s="923"/>
      <c r="AC104" s="923"/>
      <c r="AD104" s="923"/>
      <c r="AE104" s="923"/>
      <c r="AF104" s="923"/>
      <c r="AG104" s="923"/>
      <c r="AH104" s="923"/>
      <c r="AI104" s="923"/>
      <c r="AJ104" s="924"/>
      <c r="AK104" s="924"/>
      <c r="AL104" s="925">
        <v>1</v>
      </c>
    </row>
    <row r="105" spans="1:38" s="627" customFormat="1" ht="30" customHeight="1">
      <c r="A105" s="921"/>
      <c r="B105" s="929"/>
      <c r="C105" s="930"/>
      <c r="D105" s="721" t="s">
        <v>15</v>
      </c>
      <c r="E105" s="6436" t="s">
        <v>1678</v>
      </c>
      <c r="F105" s="6436"/>
      <c r="G105" s="6436"/>
      <c r="H105" s="6436"/>
      <c r="I105" s="6436"/>
      <c r="J105" s="1209"/>
      <c r="K105" s="1209"/>
      <c r="L105" s="1209"/>
      <c r="M105" s="1209"/>
      <c r="N105" s="921"/>
      <c r="O105" s="922"/>
      <c r="P105" s="929"/>
      <c r="Q105" s="922"/>
      <c r="R105" s="922"/>
      <c r="S105" s="922"/>
      <c r="T105" s="923"/>
      <c r="U105" s="923"/>
      <c r="V105" s="933"/>
      <c r="W105" s="933"/>
      <c r="X105" s="933"/>
      <c r="Y105" s="923"/>
      <c r="Z105" s="934"/>
      <c r="AA105" s="923"/>
      <c r="AB105" s="923"/>
      <c r="AC105" s="923"/>
      <c r="AD105" s="923"/>
      <c r="AE105" s="923"/>
      <c r="AF105" s="923"/>
      <c r="AG105" s="923"/>
      <c r="AH105" s="923"/>
      <c r="AI105" s="923"/>
      <c r="AJ105" s="924"/>
      <c r="AK105" s="924"/>
      <c r="AL105" s="925">
        <v>1</v>
      </c>
    </row>
    <row r="106" spans="1:38" s="627" customFormat="1" ht="30" customHeight="1">
      <c r="A106" s="921"/>
      <c r="B106" s="929"/>
      <c r="C106" s="930"/>
      <c r="D106" s="721" t="s">
        <v>15</v>
      </c>
      <c r="E106" s="6436"/>
      <c r="F106" s="6436"/>
      <c r="G106" s="6436"/>
      <c r="H106" s="6436"/>
      <c r="I106" s="6436"/>
      <c r="J106" s="1209"/>
      <c r="K106" s="1209"/>
      <c r="L106" s="1209"/>
      <c r="M106" s="1209"/>
      <c r="N106" s="921"/>
      <c r="O106" s="922"/>
      <c r="P106" s="929"/>
      <c r="Q106" s="922"/>
      <c r="R106" s="922"/>
      <c r="S106" s="922"/>
      <c r="T106" s="923"/>
      <c r="U106" s="923"/>
      <c r="V106" s="933"/>
      <c r="W106" s="933"/>
      <c r="X106" s="933"/>
      <c r="Y106" s="923"/>
      <c r="Z106" s="934"/>
      <c r="AA106" s="923"/>
      <c r="AB106" s="923"/>
      <c r="AC106" s="923"/>
      <c r="AD106" s="923"/>
      <c r="AE106" s="923"/>
      <c r="AF106" s="923"/>
      <c r="AG106" s="923"/>
      <c r="AH106" s="923"/>
      <c r="AI106" s="923"/>
      <c r="AJ106" s="924"/>
      <c r="AK106" s="924"/>
      <c r="AL106" s="925">
        <v>1</v>
      </c>
    </row>
    <row r="107" spans="1:38" s="627" customFormat="1" ht="30" customHeight="1">
      <c r="A107" s="921"/>
      <c r="B107" s="929"/>
      <c r="C107" s="930"/>
      <c r="D107" s="721" t="s">
        <v>15</v>
      </c>
      <c r="E107" s="1215"/>
      <c r="F107" s="1207"/>
      <c r="G107" s="1207"/>
      <c r="H107" s="1208"/>
      <c r="I107" s="1208"/>
      <c r="J107" s="1209"/>
      <c r="K107" s="1209"/>
      <c r="L107" s="1209"/>
      <c r="M107" s="1209"/>
      <c r="N107" s="921"/>
      <c r="O107" s="922"/>
      <c r="P107" s="929"/>
      <c r="Q107" s="922"/>
      <c r="R107" s="922"/>
      <c r="S107" s="922"/>
      <c r="T107" s="923"/>
      <c r="U107" s="923"/>
      <c r="V107" s="933"/>
      <c r="W107" s="933"/>
      <c r="X107" s="933"/>
      <c r="Y107" s="923"/>
      <c r="Z107" s="934"/>
      <c r="AA107" s="923"/>
      <c r="AB107" s="923"/>
      <c r="AC107" s="923"/>
      <c r="AD107" s="923"/>
      <c r="AE107" s="923"/>
      <c r="AF107" s="923"/>
      <c r="AG107" s="923"/>
      <c r="AH107" s="923"/>
      <c r="AI107" s="923"/>
      <c r="AJ107" s="924"/>
      <c r="AK107" s="924"/>
      <c r="AL107" s="925">
        <v>1</v>
      </c>
    </row>
    <row r="108" spans="1:38" s="627" customFormat="1" ht="30" customHeight="1">
      <c r="A108" s="921"/>
      <c r="B108" s="929"/>
      <c r="C108" s="930"/>
      <c r="D108" s="721" t="s">
        <v>15</v>
      </c>
      <c r="E108" s="1213" t="s">
        <v>1692</v>
      </c>
      <c r="F108" s="1207"/>
      <c r="G108" s="1207"/>
      <c r="H108" s="1208"/>
      <c r="I108" s="1208"/>
      <c r="J108" s="1209"/>
      <c r="K108" s="1209"/>
      <c r="L108" s="1209"/>
      <c r="M108" s="1209"/>
      <c r="N108" s="921"/>
      <c r="O108" s="922"/>
      <c r="P108" s="929"/>
      <c r="Q108" s="922"/>
      <c r="R108" s="922"/>
      <c r="S108" s="922"/>
      <c r="T108" s="923"/>
      <c r="U108" s="923"/>
      <c r="V108" s="933"/>
      <c r="W108" s="933"/>
      <c r="X108" s="933"/>
      <c r="Y108" s="923"/>
      <c r="Z108" s="934"/>
      <c r="AA108" s="923"/>
      <c r="AB108" s="923"/>
      <c r="AC108" s="923"/>
      <c r="AD108" s="923"/>
      <c r="AE108" s="923"/>
      <c r="AF108" s="923"/>
      <c r="AG108" s="923"/>
      <c r="AH108" s="923"/>
      <c r="AI108" s="923"/>
      <c r="AJ108" s="924"/>
      <c r="AK108" s="924"/>
      <c r="AL108" s="925">
        <v>1</v>
      </c>
    </row>
    <row r="109" spans="1:38" s="627" customFormat="1" ht="30" customHeight="1">
      <c r="A109" s="921"/>
      <c r="B109" s="929"/>
      <c r="C109" s="930"/>
      <c r="D109" s="721" t="s">
        <v>15</v>
      </c>
      <c r="E109" s="1215"/>
      <c r="F109" s="1207"/>
      <c r="G109" s="1207"/>
      <c r="H109" s="1208"/>
      <c r="I109" s="1208"/>
      <c r="J109" s="1209"/>
      <c r="K109" s="1209"/>
      <c r="L109" s="1209"/>
      <c r="M109" s="1209"/>
      <c r="N109" s="921"/>
      <c r="O109" s="922"/>
      <c r="P109" s="929"/>
      <c r="Q109" s="922"/>
      <c r="R109" s="922"/>
      <c r="S109" s="922"/>
      <c r="T109" s="923"/>
      <c r="U109" s="923"/>
      <c r="V109" s="933"/>
      <c r="W109" s="933"/>
      <c r="X109" s="933"/>
      <c r="Y109" s="923"/>
      <c r="Z109" s="934"/>
      <c r="AA109" s="923"/>
      <c r="AB109" s="923"/>
      <c r="AC109" s="923"/>
      <c r="AD109" s="923"/>
      <c r="AE109" s="923"/>
      <c r="AF109" s="923"/>
      <c r="AG109" s="923"/>
      <c r="AH109" s="923"/>
      <c r="AI109" s="923"/>
      <c r="AJ109" s="924"/>
      <c r="AK109" s="924"/>
      <c r="AL109" s="925">
        <v>1</v>
      </c>
    </row>
    <row r="110" spans="1:38" s="627" customFormat="1" ht="30" customHeight="1">
      <c r="A110" s="921"/>
      <c r="B110" s="929"/>
      <c r="C110" s="930"/>
      <c r="D110" s="721" t="s">
        <v>15</v>
      </c>
      <c r="E110" s="1215"/>
      <c r="F110" s="1207"/>
      <c r="G110" s="1207"/>
      <c r="H110" s="1208"/>
      <c r="I110" s="1208"/>
      <c r="J110" s="1209"/>
      <c r="K110" s="1209"/>
      <c r="L110" s="1209"/>
      <c r="M110" s="1209"/>
      <c r="N110" s="921"/>
      <c r="O110" s="922"/>
      <c r="P110" s="929"/>
      <c r="Q110" s="922"/>
      <c r="R110" s="922"/>
      <c r="S110" s="922"/>
      <c r="T110" s="923"/>
      <c r="U110" s="923"/>
      <c r="V110" s="933"/>
      <c r="W110" s="933"/>
      <c r="X110" s="933"/>
      <c r="Y110" s="923"/>
      <c r="Z110" s="934"/>
      <c r="AA110" s="923"/>
      <c r="AB110" s="923"/>
      <c r="AC110" s="923"/>
      <c r="AD110" s="923"/>
      <c r="AE110" s="923"/>
      <c r="AF110" s="923"/>
      <c r="AG110" s="923"/>
      <c r="AH110" s="923"/>
      <c r="AI110" s="923"/>
      <c r="AJ110" s="924"/>
      <c r="AK110" s="924"/>
      <c r="AL110" s="925">
        <v>1</v>
      </c>
    </row>
    <row r="111" spans="1:38" s="627" customFormat="1" ht="30" customHeight="1">
      <c r="A111" s="921"/>
      <c r="B111" s="929"/>
      <c r="C111" s="930"/>
      <c r="D111" s="721" t="s">
        <v>15</v>
      </c>
      <c r="E111" s="1215"/>
      <c r="F111" s="1207"/>
      <c r="G111" s="1207"/>
      <c r="H111" s="1208"/>
      <c r="I111" s="1208"/>
      <c r="J111" s="1209"/>
      <c r="K111" s="1209"/>
      <c r="L111" s="1209"/>
      <c r="M111" s="1209"/>
      <c r="N111" s="921"/>
      <c r="O111" s="922"/>
      <c r="P111" s="929"/>
      <c r="Q111" s="922"/>
      <c r="R111" s="922"/>
      <c r="S111" s="922"/>
      <c r="T111" s="923"/>
      <c r="U111" s="923"/>
      <c r="V111" s="933"/>
      <c r="W111" s="933"/>
      <c r="X111" s="933"/>
      <c r="Y111" s="923"/>
      <c r="Z111" s="934"/>
      <c r="AA111" s="923"/>
      <c r="AB111" s="923"/>
      <c r="AC111" s="923"/>
      <c r="AD111" s="923"/>
      <c r="AE111" s="923"/>
      <c r="AF111" s="923"/>
      <c r="AG111" s="923"/>
      <c r="AH111" s="923"/>
      <c r="AI111" s="923"/>
      <c r="AJ111" s="924"/>
      <c r="AK111" s="924"/>
      <c r="AL111" s="925">
        <v>1</v>
      </c>
    </row>
    <row r="112" spans="1:38" s="627" customFormat="1" ht="30" customHeight="1">
      <c r="A112" s="921"/>
      <c r="B112" s="929"/>
      <c r="C112" s="930"/>
      <c r="D112" s="721" t="s">
        <v>15</v>
      </c>
      <c r="E112" s="1215"/>
      <c r="F112" s="1207"/>
      <c r="G112" s="1207"/>
      <c r="H112" s="1208"/>
      <c r="I112" s="1208"/>
      <c r="J112" s="1209"/>
      <c r="K112" s="1209"/>
      <c r="L112" s="1209"/>
      <c r="M112" s="1209"/>
      <c r="N112" s="921"/>
      <c r="O112" s="922"/>
      <c r="P112" s="929"/>
      <c r="Q112" s="922"/>
      <c r="R112" s="922"/>
      <c r="S112" s="922"/>
      <c r="T112" s="923"/>
      <c r="U112" s="923"/>
      <c r="V112" s="933"/>
      <c r="W112" s="933"/>
      <c r="X112" s="933"/>
      <c r="Y112" s="923"/>
      <c r="Z112" s="934"/>
      <c r="AA112" s="923"/>
      <c r="AB112" s="923"/>
      <c r="AC112" s="923"/>
      <c r="AD112" s="923"/>
      <c r="AE112" s="923"/>
      <c r="AF112" s="923"/>
      <c r="AG112" s="923"/>
      <c r="AH112" s="923"/>
      <c r="AI112" s="923"/>
      <c r="AJ112" s="924"/>
      <c r="AK112" s="924"/>
      <c r="AL112" s="925">
        <v>1</v>
      </c>
    </row>
    <row r="113" spans="1:38" s="627" customFormat="1" ht="30" customHeight="1">
      <c r="A113" s="921"/>
      <c r="B113" s="929"/>
      <c r="C113" s="930"/>
      <c r="D113" s="921"/>
      <c r="E113" s="921"/>
      <c r="F113" s="921"/>
      <c r="G113" s="921"/>
      <c r="H113" s="921"/>
      <c r="I113" s="922"/>
      <c r="J113" s="921"/>
      <c r="K113" s="921"/>
      <c r="L113" s="921"/>
      <c r="M113" s="921"/>
      <c r="N113" s="921"/>
      <c r="O113" s="922"/>
      <c r="P113" s="929"/>
      <c r="Q113" s="922"/>
      <c r="R113" s="922"/>
      <c r="S113" s="922"/>
      <c r="T113" s="923"/>
      <c r="U113" s="923"/>
      <c r="V113" s="933"/>
      <c r="W113" s="933"/>
      <c r="X113" s="933"/>
      <c r="Y113" s="923"/>
      <c r="Z113" s="934"/>
      <c r="AA113" s="923"/>
      <c r="AB113" s="923"/>
      <c r="AC113" s="923"/>
      <c r="AD113" s="923"/>
      <c r="AE113" s="923"/>
      <c r="AF113" s="923"/>
      <c r="AG113" s="923"/>
      <c r="AH113" s="923"/>
      <c r="AI113" s="923"/>
      <c r="AJ113" s="924"/>
      <c r="AK113" s="924"/>
      <c r="AL113" s="925">
        <v>1</v>
      </c>
    </row>
    <row r="114" spans="1:38" s="627" customFormat="1" ht="30" customHeight="1">
      <c r="A114" s="921"/>
      <c r="B114" s="921"/>
      <c r="C114" s="949"/>
      <c r="D114" s="949" t="s">
        <v>3016</v>
      </c>
      <c r="E114" s="951"/>
      <c r="F114" s="929"/>
      <c r="G114" s="951"/>
      <c r="H114" s="951"/>
      <c r="I114" s="951"/>
      <c r="J114" s="951"/>
      <c r="K114" s="951"/>
      <c r="L114" s="951"/>
      <c r="M114" s="951"/>
      <c r="N114" s="951"/>
      <c r="O114" s="951"/>
      <c r="P114" s="948"/>
      <c r="Q114" s="948"/>
      <c r="R114" s="948"/>
      <c r="S114" s="948"/>
      <c r="T114" s="923"/>
      <c r="U114" s="923"/>
      <c r="V114" s="923"/>
      <c r="W114" s="923"/>
      <c r="X114" s="923"/>
      <c r="Y114" s="933"/>
      <c r="Z114" s="923"/>
      <c r="AA114" s="923"/>
      <c r="AB114" s="923"/>
      <c r="AC114" s="923"/>
      <c r="AD114" s="924"/>
      <c r="AE114" s="924"/>
      <c r="AF114" s="924"/>
      <c r="AG114" s="924"/>
      <c r="AH114" s="924"/>
      <c r="AI114" s="924"/>
      <c r="AJ114" s="924"/>
      <c r="AK114" s="924"/>
      <c r="AL114" s="925">
        <v>1</v>
      </c>
    </row>
    <row r="115" spans="1:38" s="627" customFormat="1" ht="30" customHeight="1">
      <c r="A115" s="921"/>
      <c r="B115" s="921"/>
      <c r="C115" s="949"/>
      <c r="D115" s="960" t="s">
        <v>1769</v>
      </c>
      <c r="E115" s="951"/>
      <c r="F115" s="929"/>
      <c r="G115" s="951"/>
      <c r="H115" s="951"/>
      <c r="I115" s="951"/>
      <c r="J115" s="951"/>
      <c r="K115" s="951"/>
      <c r="L115" s="951"/>
      <c r="M115" s="122" t="s">
        <v>112</v>
      </c>
      <c r="N115" s="123"/>
      <c r="O115" s="124"/>
      <c r="P115" s="923"/>
      <c r="Q115" s="923"/>
      <c r="R115" s="923"/>
      <c r="S115" s="923"/>
      <c r="T115" s="923"/>
      <c r="U115" s="923"/>
      <c r="V115" s="923"/>
      <c r="W115" s="923"/>
      <c r="X115" s="923"/>
      <c r="Y115" s="933"/>
      <c r="Z115" s="923"/>
      <c r="AA115" s="923"/>
      <c r="AB115" s="923"/>
      <c r="AC115" s="923"/>
      <c r="AD115" s="924"/>
      <c r="AE115" s="924"/>
      <c r="AF115" s="924"/>
      <c r="AG115" s="924"/>
      <c r="AH115" s="924"/>
      <c r="AI115" s="924"/>
      <c r="AJ115" s="924"/>
      <c r="AK115" s="924"/>
      <c r="AL115" s="925">
        <v>1</v>
      </c>
    </row>
    <row r="116" spans="1:38" s="627" customFormat="1" ht="30" customHeight="1">
      <c r="A116" s="921"/>
      <c r="B116" s="970" t="s">
        <v>3017</v>
      </c>
      <c r="C116" s="950"/>
      <c r="D116" s="951"/>
      <c r="E116" s="951"/>
      <c r="F116" s="951"/>
      <c r="G116" s="951"/>
      <c r="H116" s="951"/>
      <c r="I116" s="951"/>
      <c r="J116" s="951"/>
      <c r="K116" s="951"/>
      <c r="L116" s="951"/>
      <c r="M116" s="6443" t="s">
        <v>118</v>
      </c>
      <c r="N116" s="126" t="s">
        <v>119</v>
      </c>
      <c r="O116" s="127"/>
      <c r="P116" s="948"/>
      <c r="Q116" s="948"/>
      <c r="R116" s="948"/>
      <c r="S116" s="923"/>
      <c r="T116" s="923"/>
      <c r="U116" s="923"/>
      <c r="V116" s="923"/>
      <c r="W116" s="923"/>
      <c r="X116" s="923"/>
      <c r="Y116" s="933"/>
      <c r="Z116" s="923"/>
      <c r="AA116" s="923"/>
      <c r="AB116" s="923"/>
      <c r="AC116" s="923"/>
      <c r="AD116" s="924"/>
      <c r="AE116" s="924"/>
      <c r="AF116" s="924"/>
      <c r="AG116" s="924"/>
      <c r="AH116" s="924"/>
      <c r="AI116" s="924"/>
      <c r="AJ116" s="924"/>
      <c r="AK116" s="924"/>
      <c r="AL116" s="925">
        <v>1</v>
      </c>
    </row>
    <row r="117" spans="1:38" s="627" customFormat="1" ht="30" customHeight="1">
      <c r="A117" s="921"/>
      <c r="B117" s="972" t="s">
        <v>3018</v>
      </c>
      <c r="C117" s="923"/>
      <c r="D117" s="923"/>
      <c r="E117" s="923"/>
      <c r="F117" s="923"/>
      <c r="G117" s="923"/>
      <c r="H117" s="923"/>
      <c r="I117" s="923"/>
      <c r="J117" s="923"/>
      <c r="K117" s="951"/>
      <c r="L117" s="951"/>
      <c r="M117" s="6443"/>
      <c r="N117" s="126" t="s">
        <v>122</v>
      </c>
      <c r="O117" s="127"/>
      <c r="P117" s="948"/>
      <c r="Q117" s="948"/>
      <c r="R117" s="948"/>
      <c r="S117" s="923"/>
      <c r="T117" s="923"/>
      <c r="U117" s="923"/>
      <c r="V117" s="923"/>
      <c r="W117" s="923"/>
      <c r="X117" s="923"/>
      <c r="Y117" s="933"/>
      <c r="Z117" s="923"/>
      <c r="AA117" s="923"/>
      <c r="AB117" s="948"/>
      <c r="AC117" s="948"/>
      <c r="AD117" s="948"/>
      <c r="AE117" s="948"/>
      <c r="AF117" s="948"/>
      <c r="AG117" s="948"/>
      <c r="AH117" s="948"/>
      <c r="AI117" s="948"/>
      <c r="AJ117" s="948"/>
      <c r="AK117" s="948"/>
      <c r="AL117" s="925">
        <v>1</v>
      </c>
    </row>
    <row r="118" spans="1:38" s="627" customFormat="1" ht="30" customHeight="1">
      <c r="A118" s="921"/>
      <c r="B118" s="972" t="s">
        <v>3019</v>
      </c>
      <c r="C118" s="923"/>
      <c r="D118" s="923"/>
      <c r="E118" s="923"/>
      <c r="F118" s="923"/>
      <c r="G118" s="923"/>
      <c r="H118" s="923"/>
      <c r="I118" s="923"/>
      <c r="J118" s="923"/>
      <c r="K118" s="951"/>
      <c r="L118" s="951"/>
      <c r="M118" s="6443"/>
      <c r="N118" s="126" t="s">
        <v>124</v>
      </c>
      <c r="O118" s="127"/>
      <c r="P118" s="948"/>
      <c r="Q118" s="948"/>
      <c r="R118" s="948"/>
      <c r="S118" s="923"/>
      <c r="T118" s="923"/>
      <c r="U118" s="923"/>
      <c r="V118" s="923"/>
      <c r="W118" s="923"/>
      <c r="X118" s="923"/>
      <c r="Y118" s="933"/>
      <c r="Z118" s="923"/>
      <c r="AA118" s="923"/>
      <c r="AB118" s="948"/>
      <c r="AC118" s="948"/>
      <c r="AD118" s="948"/>
      <c r="AE118" s="948"/>
      <c r="AF118" s="948"/>
      <c r="AG118" s="948"/>
      <c r="AH118" s="948"/>
      <c r="AI118" s="948"/>
      <c r="AJ118" s="948"/>
      <c r="AK118" s="948"/>
      <c r="AL118" s="925">
        <v>1</v>
      </c>
    </row>
    <row r="119" spans="1:38" s="627" customFormat="1" ht="30" customHeight="1">
      <c r="A119" s="921"/>
      <c r="B119" s="974" t="s">
        <v>2430</v>
      </c>
      <c r="C119" s="923"/>
      <c r="D119" s="974" t="s">
        <v>10</v>
      </c>
      <c r="E119" s="923"/>
      <c r="F119" s="923"/>
      <c r="G119" s="923"/>
      <c r="H119" s="923"/>
      <c r="I119" s="923"/>
      <c r="J119" s="923"/>
      <c r="K119" s="951"/>
      <c r="L119" s="951"/>
      <c r="M119" s="6443"/>
      <c r="N119" s="126" t="s">
        <v>127</v>
      </c>
      <c r="O119" s="127"/>
      <c r="P119" s="948"/>
      <c r="Q119" s="948"/>
      <c r="R119" s="948"/>
      <c r="S119" s="923"/>
      <c r="T119" s="923"/>
      <c r="U119" s="923"/>
      <c r="V119" s="923"/>
      <c r="W119" s="923"/>
      <c r="X119" s="923"/>
      <c r="Y119" s="933"/>
      <c r="Z119" s="923"/>
      <c r="AA119" s="923"/>
      <c r="AB119" s="948"/>
      <c r="AC119" s="948"/>
      <c r="AD119" s="948"/>
      <c r="AE119" s="948"/>
      <c r="AF119" s="948"/>
      <c r="AG119" s="948"/>
      <c r="AH119" s="948"/>
      <c r="AI119" s="948"/>
      <c r="AJ119" s="948"/>
      <c r="AK119" s="948"/>
      <c r="AL119" s="925">
        <v>1</v>
      </c>
    </row>
    <row r="120" spans="1:38" s="627" customFormat="1" ht="30" customHeight="1">
      <c r="A120" s="921"/>
      <c r="B120" s="972" t="s">
        <v>3020</v>
      </c>
      <c r="C120" s="923"/>
      <c r="D120" s="923"/>
      <c r="E120" s="923"/>
      <c r="F120" s="923"/>
      <c r="G120" s="923"/>
      <c r="H120" s="923"/>
      <c r="I120" s="923"/>
      <c r="J120" s="923"/>
      <c r="K120" s="951"/>
      <c r="L120" s="951"/>
      <c r="M120" s="6443"/>
      <c r="N120" s="126" t="s">
        <v>129</v>
      </c>
      <c r="O120" s="127"/>
      <c r="P120" s="948"/>
      <c r="Q120" s="948"/>
      <c r="R120" s="948"/>
      <c r="S120" s="923"/>
      <c r="T120" s="923"/>
      <c r="U120" s="923"/>
      <c r="V120" s="923"/>
      <c r="W120" s="923"/>
      <c r="X120" s="923"/>
      <c r="Y120" s="933"/>
      <c r="Z120" s="923"/>
      <c r="AA120" s="923"/>
      <c r="AB120" s="948"/>
      <c r="AC120" s="948"/>
      <c r="AD120" s="948"/>
      <c r="AE120" s="948"/>
      <c r="AF120" s="948"/>
      <c r="AG120" s="948"/>
      <c r="AH120" s="948"/>
      <c r="AI120" s="948"/>
      <c r="AJ120" s="948"/>
      <c r="AK120" s="948"/>
      <c r="AL120" s="925">
        <v>1</v>
      </c>
    </row>
    <row r="121" spans="1:38" s="627" customFormat="1" ht="30" customHeight="1">
      <c r="A121" s="921"/>
      <c r="B121" s="972" t="s">
        <v>3021</v>
      </c>
      <c r="C121" s="923"/>
      <c r="D121" s="923"/>
      <c r="E121" s="923"/>
      <c r="F121" s="923"/>
      <c r="G121" s="923"/>
      <c r="H121" s="923"/>
      <c r="I121" s="923"/>
      <c r="J121" s="923"/>
      <c r="K121" s="951"/>
      <c r="L121" s="951"/>
      <c r="M121" s="6444"/>
      <c r="N121" s="131" t="s">
        <v>132</v>
      </c>
      <c r="O121" s="132"/>
      <c r="P121" s="948"/>
      <c r="Q121" s="948"/>
      <c r="R121" s="948"/>
      <c r="S121" s="923"/>
      <c r="T121" s="923"/>
      <c r="U121" s="923"/>
      <c r="V121" s="923"/>
      <c r="W121" s="923"/>
      <c r="X121" s="923"/>
      <c r="Y121" s="933"/>
      <c r="Z121" s="923"/>
      <c r="AA121" s="923"/>
      <c r="AB121" s="948"/>
      <c r="AC121" s="948"/>
      <c r="AD121" s="948"/>
      <c r="AE121" s="948"/>
      <c r="AF121" s="948"/>
      <c r="AG121" s="948"/>
      <c r="AH121" s="948"/>
      <c r="AI121" s="948"/>
      <c r="AJ121" s="948"/>
      <c r="AK121" s="948"/>
      <c r="AL121" s="925">
        <v>1</v>
      </c>
    </row>
    <row r="122" spans="1:38" s="627" customFormat="1" ht="30" customHeight="1">
      <c r="A122" s="921"/>
      <c r="B122" s="972" t="s">
        <v>3022</v>
      </c>
      <c r="C122" s="923"/>
      <c r="D122" s="923"/>
      <c r="E122" s="923"/>
      <c r="F122" s="923"/>
      <c r="G122" s="923"/>
      <c r="H122" s="923"/>
      <c r="I122" s="923"/>
      <c r="J122" s="923"/>
      <c r="K122" s="951"/>
      <c r="L122" s="951"/>
      <c r="M122" s="951"/>
      <c r="N122" s="951"/>
      <c r="O122" s="951"/>
      <c r="P122" s="951"/>
      <c r="Q122" s="948"/>
      <c r="R122" s="948"/>
      <c r="S122" s="923"/>
      <c r="T122" s="923"/>
      <c r="U122" s="923"/>
      <c r="V122" s="923"/>
      <c r="W122" s="923"/>
      <c r="X122" s="923"/>
      <c r="Y122" s="933"/>
      <c r="Z122" s="923"/>
      <c r="AA122" s="923"/>
      <c r="AB122" s="948"/>
      <c r="AC122" s="948"/>
      <c r="AD122" s="948"/>
      <c r="AE122" s="948"/>
      <c r="AF122" s="948"/>
      <c r="AG122" s="948"/>
      <c r="AH122" s="948"/>
      <c r="AI122" s="948"/>
      <c r="AJ122" s="948"/>
      <c r="AK122" s="948"/>
      <c r="AL122" s="925">
        <v>1</v>
      </c>
    </row>
    <row r="123" spans="1:38" s="627" customFormat="1" ht="30" customHeight="1">
      <c r="A123" s="921"/>
      <c r="B123" s="923"/>
      <c r="C123" s="923"/>
      <c r="D123" s="923"/>
      <c r="E123" s="923"/>
      <c r="F123" s="923"/>
      <c r="G123" s="923"/>
      <c r="H123" s="923"/>
      <c r="I123" s="923"/>
      <c r="J123" s="923"/>
      <c r="K123" s="951"/>
      <c r="L123" s="951"/>
      <c r="M123" s="951"/>
      <c r="N123" s="951"/>
      <c r="O123" s="951"/>
      <c r="P123" s="951"/>
      <c r="Q123" s="948"/>
      <c r="R123" s="948"/>
      <c r="S123" s="923"/>
      <c r="T123" s="923"/>
      <c r="U123" s="923"/>
      <c r="V123" s="923"/>
      <c r="W123" s="923"/>
      <c r="X123" s="923"/>
      <c r="Y123" s="933"/>
      <c r="Z123" s="923"/>
      <c r="AA123" s="923"/>
      <c r="AB123" s="948"/>
      <c r="AC123" s="948"/>
      <c r="AD123" s="948"/>
      <c r="AE123" s="948"/>
      <c r="AF123" s="948"/>
      <c r="AG123" s="948"/>
      <c r="AH123" s="948"/>
      <c r="AI123" s="948"/>
      <c r="AJ123" s="948"/>
      <c r="AK123" s="948"/>
      <c r="AL123" s="925">
        <v>1</v>
      </c>
    </row>
    <row r="124" spans="1:38" s="627" customFormat="1" ht="30" customHeight="1">
      <c r="A124" s="921"/>
      <c r="B124" s="977"/>
      <c r="C124" s="978" t="s">
        <v>2441</v>
      </c>
      <c r="D124" s="978"/>
      <c r="E124" s="978"/>
      <c r="F124" s="979"/>
      <c r="G124" s="979"/>
      <c r="H124" s="979"/>
      <c r="I124" s="979"/>
      <c r="J124" s="979"/>
      <c r="K124" s="979"/>
      <c r="L124" s="979"/>
      <c r="M124" s="979"/>
      <c r="N124" s="977"/>
      <c r="O124" s="977"/>
      <c r="P124" s="977"/>
      <c r="Q124" s="948"/>
      <c r="R124" s="948"/>
      <c r="S124" s="948"/>
      <c r="T124" s="948"/>
      <c r="U124" s="948"/>
      <c r="V124" s="948"/>
      <c r="W124" s="948"/>
      <c r="X124" s="948"/>
      <c r="Y124" s="948"/>
      <c r="Z124" s="948"/>
      <c r="AA124" s="948"/>
      <c r="AB124" s="948"/>
      <c r="AC124" s="948"/>
      <c r="AD124" s="948"/>
      <c r="AE124" s="948"/>
      <c r="AF124" s="948"/>
      <c r="AG124" s="948"/>
      <c r="AH124" s="948"/>
      <c r="AI124" s="924"/>
      <c r="AJ124" s="924"/>
      <c r="AK124" s="924"/>
      <c r="AL124" s="925">
        <v>1</v>
      </c>
    </row>
    <row r="125" spans="1:38" s="627" customFormat="1" ht="30" customHeight="1">
      <c r="A125" s="921"/>
      <c r="B125" s="980" t="s">
        <v>2442</v>
      </c>
      <c r="C125" s="981"/>
      <c r="D125" s="979"/>
      <c r="E125" s="979"/>
      <c r="F125" s="979"/>
      <c r="G125" s="979"/>
      <c r="H125" s="982" t="s">
        <v>2443</v>
      </c>
      <c r="I125" s="979"/>
      <c r="J125" s="979"/>
      <c r="K125" s="979"/>
      <c r="L125" s="979"/>
      <c r="M125" s="979"/>
      <c r="N125" s="977"/>
      <c r="O125" s="977"/>
      <c r="P125" s="977"/>
      <c r="Q125" s="948"/>
      <c r="R125" s="948"/>
      <c r="S125" s="948"/>
      <c r="T125" s="948"/>
      <c r="U125" s="948"/>
      <c r="V125" s="948"/>
      <c r="W125" s="948"/>
      <c r="X125" s="948"/>
      <c r="Y125" s="948"/>
      <c r="Z125" s="948"/>
      <c r="AA125" s="948"/>
      <c r="AB125" s="948"/>
      <c r="AC125" s="948"/>
      <c r="AD125" s="948"/>
      <c r="AE125" s="948"/>
      <c r="AF125" s="948"/>
      <c r="AG125" s="948"/>
      <c r="AH125" s="948"/>
      <c r="AI125" s="924"/>
      <c r="AJ125" s="924"/>
      <c r="AK125" s="924"/>
      <c r="AL125" s="925">
        <v>1</v>
      </c>
    </row>
    <row r="126" spans="1:38" s="627" customFormat="1" ht="30" customHeight="1">
      <c r="A126" s="921"/>
      <c r="B126" s="980"/>
      <c r="C126" s="983" t="s">
        <v>2444</v>
      </c>
      <c r="D126" s="983"/>
      <c r="E126" s="983"/>
      <c r="F126" s="983"/>
      <c r="G126" s="983"/>
      <c r="H126" s="983"/>
      <c r="I126" s="983"/>
      <c r="J126" s="983"/>
      <c r="K126" s="983"/>
      <c r="L126" s="983"/>
      <c r="M126" s="983"/>
      <c r="N126" s="983"/>
      <c r="O126" s="983"/>
      <c r="P126" s="983"/>
      <c r="Q126" s="948"/>
      <c r="R126" s="948"/>
      <c r="S126" s="948"/>
      <c r="T126" s="948"/>
      <c r="U126" s="948"/>
      <c r="V126" s="948"/>
      <c r="W126" s="948"/>
      <c r="X126" s="948"/>
      <c r="Y126" s="948"/>
      <c r="Z126" s="948"/>
      <c r="AA126" s="948"/>
      <c r="AB126" s="948"/>
      <c r="AC126" s="948"/>
      <c r="AD126" s="948"/>
      <c r="AE126" s="948"/>
      <c r="AF126" s="948"/>
      <c r="AG126" s="948"/>
      <c r="AH126" s="948"/>
      <c r="AI126" s="924"/>
      <c r="AJ126" s="924"/>
      <c r="AK126" s="924"/>
      <c r="AL126" s="925">
        <v>1</v>
      </c>
    </row>
    <row r="127" spans="1:38" s="627" customFormat="1" ht="30" customHeight="1">
      <c r="A127" s="921"/>
      <c r="B127" s="980"/>
      <c r="C127" s="981"/>
      <c r="D127" s="981"/>
      <c r="E127" s="981"/>
      <c r="F127" s="981"/>
      <c r="G127" s="981"/>
      <c r="H127" s="981"/>
      <c r="I127" s="981"/>
      <c r="J127" s="981"/>
      <c r="K127" s="981"/>
      <c r="L127" s="981"/>
      <c r="M127" s="981"/>
      <c r="N127" s="981"/>
      <c r="O127" s="981"/>
      <c r="P127" s="981"/>
      <c r="Q127" s="948"/>
      <c r="R127" s="948"/>
      <c r="S127" s="948"/>
      <c r="T127" s="948"/>
      <c r="U127" s="948"/>
      <c r="V127" s="948"/>
      <c r="W127" s="948"/>
      <c r="X127" s="948"/>
      <c r="Y127" s="948"/>
      <c r="Z127" s="948"/>
      <c r="AA127" s="948"/>
      <c r="AB127" s="948"/>
      <c r="AC127" s="948"/>
      <c r="AD127" s="948"/>
      <c r="AE127" s="948"/>
      <c r="AF127" s="948"/>
      <c r="AG127" s="948"/>
      <c r="AH127" s="948"/>
      <c r="AI127" s="924"/>
      <c r="AJ127" s="924"/>
      <c r="AK127" s="924"/>
      <c r="AL127" s="925">
        <v>1</v>
      </c>
    </row>
    <row r="128" spans="1:38" s="627" customFormat="1" ht="30" customHeight="1">
      <c r="A128" s="921"/>
      <c r="B128" s="949"/>
      <c r="C128" s="950"/>
      <c r="D128" s="951"/>
      <c r="E128" s="951"/>
      <c r="F128" s="951"/>
      <c r="G128" s="951"/>
      <c r="H128" s="951"/>
      <c r="I128" s="951"/>
      <c r="J128" s="951"/>
      <c r="K128" s="951"/>
      <c r="L128" s="951"/>
      <c r="M128" s="951"/>
      <c r="N128" s="951"/>
      <c r="O128" s="951"/>
      <c r="P128" s="948"/>
      <c r="Q128" s="948"/>
      <c r="R128" s="948"/>
      <c r="S128" s="948"/>
      <c r="T128" s="948"/>
      <c r="U128" s="948"/>
      <c r="V128" s="948"/>
      <c r="W128" s="948"/>
      <c r="X128" s="948"/>
      <c r="Y128" s="948"/>
      <c r="Z128" s="948"/>
      <c r="AA128" s="948"/>
      <c r="AB128" s="948"/>
      <c r="AC128" s="948"/>
      <c r="AD128" s="948"/>
      <c r="AE128" s="948"/>
      <c r="AF128" s="948"/>
      <c r="AG128" s="948"/>
      <c r="AH128" s="948"/>
      <c r="AI128" s="924"/>
      <c r="AJ128" s="924"/>
      <c r="AK128" s="924"/>
      <c r="AL128" s="925">
        <v>1</v>
      </c>
    </row>
    <row r="129" spans="1:40" s="984" customFormat="1" ht="39.950000000000003" customHeight="1">
      <c r="A129" s="921"/>
      <c r="B129" s="985"/>
      <c r="C129" s="949" t="s">
        <v>2972</v>
      </c>
      <c r="D129" s="949"/>
      <c r="E129" s="923"/>
      <c r="F129" s="923"/>
      <c r="G129" s="923"/>
      <c r="H129" s="923"/>
      <c r="I129" s="923"/>
      <c r="J129" s="923"/>
      <c r="K129" s="923"/>
      <c r="L129" s="923"/>
      <c r="M129" s="923"/>
      <c r="N129" s="923"/>
      <c r="O129" s="923"/>
      <c r="P129" s="923"/>
      <c r="Q129" s="923"/>
      <c r="R129" s="923"/>
      <c r="S129" s="923"/>
      <c r="T129" s="923"/>
      <c r="U129" s="923"/>
      <c r="V129" s="923"/>
      <c r="W129" s="948"/>
      <c r="X129" s="948"/>
      <c r="Y129" s="948"/>
      <c r="Z129" s="948"/>
      <c r="AA129" s="948"/>
      <c r="AB129" s="948"/>
      <c r="AC129" s="948"/>
      <c r="AD129" s="948"/>
      <c r="AE129" s="948"/>
      <c r="AF129" s="923"/>
      <c r="AG129" s="923"/>
      <c r="AH129" s="923"/>
      <c r="AI129" s="924"/>
      <c r="AJ129" s="924"/>
      <c r="AK129" s="924"/>
      <c r="AL129" s="925">
        <v>1</v>
      </c>
      <c r="AM129" s="627"/>
      <c r="AN129" s="627"/>
    </row>
    <row r="130" spans="1:40" s="984" customFormat="1" ht="39.950000000000003" customHeight="1">
      <c r="A130" s="921"/>
      <c r="B130" s="936" t="s">
        <v>2973</v>
      </c>
      <c r="C130" s="930"/>
      <c r="D130" s="921"/>
      <c r="E130" s="921"/>
      <c r="F130" s="921"/>
      <c r="G130" s="921"/>
      <c r="H130" s="921"/>
      <c r="I130" s="986"/>
      <c r="J130" s="921"/>
      <c r="K130" s="921"/>
      <c r="L130" s="921"/>
      <c r="M130" s="921"/>
      <c r="N130" s="921"/>
      <c r="O130" s="986"/>
      <c r="P130" s="986"/>
      <c r="Q130" s="986"/>
      <c r="R130" s="986"/>
      <c r="S130" s="986"/>
      <c r="T130" s="923"/>
      <c r="U130" s="923"/>
      <c r="V130" s="923"/>
      <c r="W130" s="948"/>
      <c r="X130" s="948"/>
      <c r="Y130" s="948"/>
      <c r="Z130" s="948"/>
      <c r="AA130" s="948"/>
      <c r="AB130" s="948"/>
      <c r="AC130" s="948"/>
      <c r="AD130" s="948"/>
      <c r="AE130" s="948"/>
      <c r="AF130" s="923"/>
      <c r="AG130" s="923"/>
      <c r="AH130" s="923"/>
      <c r="AI130" s="924"/>
      <c r="AJ130" s="924"/>
      <c r="AK130" s="924"/>
      <c r="AL130" s="925">
        <v>1</v>
      </c>
      <c r="AM130" s="627"/>
      <c r="AN130" s="627"/>
    </row>
    <row r="131" spans="1:40" ht="25.5">
      <c r="A131" s="921"/>
      <c r="B131" s="987"/>
      <c r="C131" s="988"/>
      <c r="D131" s="988"/>
      <c r="E131" s="988"/>
      <c r="F131" s="989"/>
      <c r="G131" s="989"/>
      <c r="H131" s="989"/>
      <c r="I131" s="989"/>
      <c r="J131" s="923"/>
      <c r="K131" s="923"/>
      <c r="L131" s="923"/>
      <c r="M131" s="923"/>
      <c r="N131" s="923"/>
      <c r="O131" s="923"/>
      <c r="P131" s="924"/>
      <c r="Q131" s="986"/>
      <c r="R131" s="986"/>
      <c r="S131" s="986"/>
      <c r="T131" s="923"/>
      <c r="U131" s="923"/>
      <c r="V131" s="923"/>
      <c r="W131" s="948"/>
      <c r="X131" s="948"/>
      <c r="Y131" s="948"/>
      <c r="Z131" s="948"/>
      <c r="AA131" s="948"/>
      <c r="AB131" s="948"/>
      <c r="AC131" s="948"/>
      <c r="AD131" s="948"/>
      <c r="AE131" s="948"/>
      <c r="AF131" s="923"/>
      <c r="AG131" s="923"/>
      <c r="AH131" s="923"/>
      <c r="AI131" s="924"/>
      <c r="AJ131" s="924"/>
      <c r="AK131" s="924"/>
      <c r="AL131" s="925">
        <v>1</v>
      </c>
    </row>
    <row r="132" spans="1:40">
      <c r="A132" s="921"/>
      <c r="B132" s="694">
        <v>18</v>
      </c>
      <c r="C132" s="694">
        <v>19</v>
      </c>
      <c r="D132" s="694">
        <v>15</v>
      </c>
      <c r="E132" s="694">
        <v>11</v>
      </c>
      <c r="F132" s="694">
        <v>16</v>
      </c>
      <c r="G132" s="694">
        <v>11</v>
      </c>
      <c r="H132" s="694">
        <v>21</v>
      </c>
      <c r="I132" s="694">
        <v>17</v>
      </c>
      <c r="J132" s="694">
        <v>11</v>
      </c>
      <c r="K132" s="694">
        <v>11</v>
      </c>
      <c r="L132" s="694">
        <v>11</v>
      </c>
      <c r="M132" s="694">
        <v>18</v>
      </c>
      <c r="N132" s="694">
        <v>11</v>
      </c>
      <c r="O132" s="694">
        <v>19</v>
      </c>
      <c r="P132" s="694">
        <v>13</v>
      </c>
      <c r="Q132" s="986"/>
      <c r="R132" s="986"/>
      <c r="S132" s="986"/>
      <c r="T132" s="923"/>
      <c r="U132" s="923"/>
      <c r="V132" s="923"/>
      <c r="W132" s="948"/>
      <c r="X132" s="948"/>
      <c r="Y132" s="948"/>
      <c r="Z132" s="948"/>
      <c r="AA132" s="948"/>
      <c r="AB132" s="948"/>
      <c r="AC132" s="948"/>
      <c r="AD132" s="948"/>
      <c r="AE132" s="948"/>
      <c r="AF132" s="923"/>
      <c r="AG132" s="923"/>
      <c r="AH132" s="923"/>
      <c r="AI132" s="924"/>
      <c r="AJ132" s="924"/>
      <c r="AK132" s="924"/>
      <c r="AL132" s="925">
        <v>1</v>
      </c>
    </row>
    <row r="133" spans="1:40" ht="26.25">
      <c r="A133" s="921"/>
      <c r="B133" s="6440" t="s">
        <v>659</v>
      </c>
      <c r="C133" s="6441"/>
      <c r="D133" s="6441"/>
      <c r="E133" s="6441"/>
      <c r="F133" s="6441"/>
      <c r="G133" s="6441"/>
      <c r="H133" s="6441"/>
      <c r="I133" s="6441"/>
      <c r="J133" s="6441"/>
      <c r="K133" s="6441"/>
      <c r="L133" s="6441"/>
      <c r="M133" s="6441"/>
      <c r="N133" s="6441"/>
      <c r="O133" s="6441"/>
      <c r="P133" s="6442"/>
      <c r="Q133" s="986"/>
      <c r="R133" s="986"/>
      <c r="S133" s="986"/>
      <c r="T133" s="923"/>
      <c r="U133" s="923"/>
      <c r="V133" s="923"/>
      <c r="W133" s="948"/>
      <c r="X133" s="948"/>
      <c r="Y133" s="948"/>
      <c r="Z133" s="948"/>
      <c r="AA133" s="948"/>
      <c r="AB133" s="948"/>
      <c r="AC133" s="948"/>
      <c r="AD133" s="948"/>
      <c r="AE133" s="948"/>
      <c r="AF133" s="923"/>
      <c r="AG133" s="923"/>
      <c r="AH133" s="923"/>
      <c r="AI133" s="924"/>
      <c r="AJ133" s="924"/>
      <c r="AK133" s="924"/>
      <c r="AL133" s="925">
        <v>1</v>
      </c>
    </row>
    <row r="134" spans="1:40" ht="21">
      <c r="A134" s="921"/>
      <c r="B134" s="559" t="s">
        <v>1467</v>
      </c>
      <c r="C134" s="1189" t="s">
        <v>3001</v>
      </c>
      <c r="D134" s="9"/>
      <c r="E134" s="1159"/>
      <c r="F134" s="990"/>
      <c r="G134" s="1150" t="s">
        <v>3000</v>
      </c>
      <c r="H134" s="1168" t="s">
        <v>3002</v>
      </c>
      <c r="I134"/>
      <c r="J134" s="6435" t="s">
        <v>862</v>
      </c>
      <c r="K134" s="6435"/>
      <c r="L134" s="1168" t="s">
        <v>3003</v>
      </c>
      <c r="M134" s="991"/>
      <c r="N134" s="1164">
        <f>C135*B135</f>
        <v>1250</v>
      </c>
      <c r="O134" s="1165">
        <f>(C136*B135)/1000</f>
        <v>162.5</v>
      </c>
      <c r="P134" s="1172"/>
      <c r="Q134" s="986"/>
      <c r="R134" s="986"/>
      <c r="S134" s="986"/>
      <c r="T134" s="923"/>
      <c r="U134" s="923"/>
      <c r="V134" s="923"/>
      <c r="W134" s="948"/>
      <c r="X134" s="948"/>
      <c r="Y134" s="948"/>
      <c r="Z134" s="948"/>
      <c r="AA134" s="948"/>
      <c r="AB134" s="948"/>
      <c r="AC134" s="948"/>
      <c r="AD134" s="948"/>
      <c r="AE134" s="948"/>
      <c r="AF134" s="923"/>
      <c r="AG134" s="923"/>
      <c r="AH134" s="923"/>
      <c r="AI134" s="924"/>
      <c r="AJ134" s="924"/>
      <c r="AK134" s="924"/>
      <c r="AL134" s="925">
        <v>1</v>
      </c>
    </row>
    <row r="135" spans="1:40" ht="21">
      <c r="A135" s="921"/>
      <c r="B135" s="6445">
        <v>1250</v>
      </c>
      <c r="C135" s="564">
        <v>1</v>
      </c>
      <c r="D135" s="1169" t="str">
        <f>"&lt; Nb of "&amp;J134&amp;" per person "</f>
        <v xml:space="preserve">&lt; Nb of slices per person </v>
      </c>
      <c r="E135" s="1163"/>
      <c r="F135" s="9"/>
      <c r="G135" s="565">
        <v>7</v>
      </c>
      <c r="H135" s="1169" t="str">
        <f>"&lt; Nb "&amp;J134&amp;" in 1 " &amp;G134</f>
        <v>&lt; Nb slices in 1 Tray(s)</v>
      </c>
      <c r="I135" s="992"/>
      <c r="J135" s="1170" t="str">
        <f>IF(OR(G135="",N134=0),"",INT(N134/G135) &amp; " " &amp; G134 &amp; " de " &amp; G135 &amp; " " &amp; J134 &amp; IF(MOD(N134,G135)&gt;0," + 1 " &amp; G134 &amp; " de " &amp; TEXT(MOD(N134,G135),"0.00") &amp; " " &amp; J134,""))</f>
        <v>178 Tray(s) de 7 slices + 1 Tray(s) de 4.00 slices</v>
      </c>
      <c r="K135" s="1160"/>
      <c r="L135" s="1160"/>
      <c r="M135" s="1160"/>
      <c r="N135" s="1160"/>
      <c r="O135" s="1160"/>
      <c r="P135" s="1173"/>
      <c r="Q135" s="986"/>
      <c r="R135" s="986"/>
      <c r="S135" s="986"/>
      <c r="T135" s="923"/>
      <c r="U135" s="923"/>
      <c r="V135" s="923"/>
      <c r="W135" s="948"/>
      <c r="X135" s="948"/>
      <c r="Y135" s="948"/>
      <c r="Z135" s="948"/>
      <c r="AA135" s="948"/>
      <c r="AB135" s="948"/>
      <c r="AC135" s="948"/>
      <c r="AD135" s="948"/>
      <c r="AE135" s="948"/>
      <c r="AF135" s="923"/>
      <c r="AG135" s="923"/>
      <c r="AH135" s="923"/>
      <c r="AI135" s="924"/>
      <c r="AJ135" s="924"/>
      <c r="AK135" s="924"/>
      <c r="AL135" s="925">
        <v>1</v>
      </c>
    </row>
    <row r="136" spans="1:40" ht="21">
      <c r="A136" s="921"/>
      <c r="B136" s="6445"/>
      <c r="C136" s="1167">
        <v>130</v>
      </c>
      <c r="D136" s="1188" t="s">
        <v>865</v>
      </c>
      <c r="E136" s="993"/>
      <c r="F136" s="9"/>
      <c r="G136" s="1166">
        <v>1.3</v>
      </c>
      <c r="H136" s="1149" t="str">
        <f>"&lt; weight per "&amp; G134</f>
        <v>&lt; weight per Tray(s)</v>
      </c>
      <c r="I136" s="991"/>
      <c r="J136" s="1171" t="str">
        <f>IF(OR(O134&lt;=0,G136&lt;=0),"",_xlfn.LET(_xlpm.n,ROUND(O134/G136,9),_xlpm.q,INT(_xlpm.n),_xlpm.r,ROUND(O134-_xlpm.q*G136,9),_xlpm.base,_xlpm.q&amp;" "&amp;G134&amp;" de "&amp;TEXT(G136,"0.000")&amp;" kg",IF(_xlpm.r&lt;=0.000000001,_xlpm.base,_xlpm.base&amp;" + 1 "&amp;G134&amp;" de "&amp;TEXT(_xlpm.r,"0.000")&amp;" kg")))</f>
        <v>125 Tray(s) de 1.300 kg</v>
      </c>
      <c r="K136" s="1161"/>
      <c r="L136" s="1161"/>
      <c r="M136" s="1161"/>
      <c r="N136" s="1161"/>
      <c r="O136" s="1161"/>
      <c r="P136" s="1174"/>
      <c r="Q136" s="986"/>
      <c r="R136" s="986"/>
      <c r="S136" s="986"/>
      <c r="T136" s="923"/>
      <c r="U136" s="923"/>
      <c r="V136" s="923"/>
      <c r="W136" s="948"/>
      <c r="X136" s="948"/>
      <c r="Y136" s="948"/>
      <c r="Z136" s="948"/>
      <c r="AA136" s="948"/>
      <c r="AB136" s="948"/>
      <c r="AC136" s="948"/>
      <c r="AD136" s="948"/>
      <c r="AE136" s="948"/>
      <c r="AF136" s="923"/>
      <c r="AG136" s="923"/>
      <c r="AH136" s="923"/>
      <c r="AI136" s="924"/>
      <c r="AJ136" s="924"/>
      <c r="AK136" s="924"/>
      <c r="AL136" s="925">
        <v>1</v>
      </c>
    </row>
    <row r="137" spans="1:40" ht="21">
      <c r="A137" s="921"/>
      <c r="B137" s="1175" t="s">
        <v>2999</v>
      </c>
      <c r="C137" s="994"/>
      <c r="D137" s="1044"/>
      <c r="E137" s="1044"/>
      <c r="F137" s="1044"/>
      <c r="G137" s="994"/>
      <c r="H137" s="994"/>
      <c r="I137" s="994"/>
      <c r="J137" s="994"/>
      <c r="K137" s="994"/>
      <c r="L137" s="994"/>
      <c r="M137" s="994"/>
      <c r="N137" s="995"/>
      <c r="O137" s="1162"/>
      <c r="P137" s="1176"/>
      <c r="Q137" s="986"/>
      <c r="R137" s="986"/>
      <c r="S137" s="986"/>
      <c r="T137" s="923"/>
      <c r="U137" s="923"/>
      <c r="V137" s="923"/>
      <c r="W137" s="948"/>
      <c r="X137" s="948"/>
      <c r="Y137" s="948"/>
      <c r="Z137" s="948"/>
      <c r="AA137" s="948"/>
      <c r="AB137" s="948"/>
      <c r="AC137" s="948"/>
      <c r="AD137" s="948"/>
      <c r="AE137" s="948"/>
      <c r="AF137" s="923"/>
      <c r="AG137" s="923"/>
      <c r="AH137" s="923"/>
      <c r="AI137" s="924"/>
      <c r="AJ137" s="924"/>
      <c r="AK137" s="924"/>
      <c r="AL137" s="925">
        <v>1</v>
      </c>
    </row>
    <row r="138" spans="1:40" s="627" customFormat="1" ht="21">
      <c r="A138" s="921"/>
      <c r="B138" s="1177"/>
      <c r="C138" s="1178"/>
      <c r="D138" s="1179"/>
      <c r="E138" s="1179"/>
      <c r="F138" s="1180"/>
      <c r="G138" s="1181"/>
      <c r="H138" s="1182"/>
      <c r="I138" s="1183"/>
      <c r="J138" s="1184"/>
      <c r="K138" s="1184"/>
      <c r="L138" s="1184"/>
      <c r="M138" s="1184"/>
      <c r="N138" s="1185"/>
      <c r="O138" s="1186"/>
      <c r="P138" s="1187"/>
      <c r="Q138" s="986"/>
      <c r="R138" s="986"/>
      <c r="S138" s="986"/>
      <c r="T138" s="923"/>
      <c r="U138" s="923"/>
      <c r="V138" s="923"/>
      <c r="W138" s="948"/>
      <c r="X138" s="948"/>
      <c r="Y138" s="948"/>
      <c r="Z138" s="948"/>
      <c r="AA138" s="948"/>
      <c r="AB138" s="948"/>
      <c r="AC138" s="948"/>
      <c r="AD138" s="948"/>
      <c r="AE138" s="948"/>
      <c r="AF138" s="923"/>
      <c r="AG138" s="923"/>
      <c r="AH138" s="923"/>
      <c r="AI138" s="924"/>
      <c r="AJ138" s="924"/>
      <c r="AK138" s="924"/>
      <c r="AL138" s="925">
        <v>1</v>
      </c>
    </row>
    <row r="139" spans="1:40" s="627" customFormat="1" ht="27">
      <c r="A139" s="921"/>
      <c r="B139" s="996"/>
      <c r="C139" s="921"/>
      <c r="D139" s="921"/>
      <c r="E139" s="921"/>
      <c r="F139" s="921"/>
      <c r="G139" s="921"/>
      <c r="H139" s="921"/>
      <c r="I139" s="986"/>
      <c r="J139" s="921"/>
      <c r="K139" s="921"/>
      <c r="L139" s="921"/>
      <c r="M139" s="921"/>
      <c r="N139" s="921"/>
      <c r="O139" s="986"/>
      <c r="P139" s="986"/>
      <c r="Q139" s="986"/>
      <c r="R139" s="986"/>
      <c r="S139" s="986"/>
      <c r="T139" s="923"/>
      <c r="U139" s="923"/>
      <c r="V139" s="923"/>
      <c r="W139" s="948"/>
      <c r="X139" s="948"/>
      <c r="Y139" s="948"/>
      <c r="Z139" s="948"/>
      <c r="AA139" s="948"/>
      <c r="AB139" s="948"/>
      <c r="AC139" s="948"/>
      <c r="AD139" s="948"/>
      <c r="AE139" s="948"/>
      <c r="AF139" s="923"/>
      <c r="AG139" s="923"/>
      <c r="AH139" s="923"/>
      <c r="AI139" s="924"/>
      <c r="AJ139" s="924"/>
      <c r="AK139" s="924"/>
      <c r="AL139" s="925">
        <v>1</v>
      </c>
    </row>
    <row r="140" spans="1:40" s="627" customFormat="1" ht="30" customHeight="1">
      <c r="A140" s="921"/>
      <c r="B140" s="997" t="s">
        <v>2974</v>
      </c>
      <c r="C140" s="998"/>
      <c r="D140" s="998"/>
      <c r="E140" s="998"/>
      <c r="F140" s="998"/>
      <c r="G140" s="998"/>
      <c r="H140" s="998"/>
      <c r="I140" s="998"/>
      <c r="J140" s="998"/>
      <c r="K140" s="951" t="s">
        <v>21</v>
      </c>
      <c r="L140" s="951"/>
      <c r="M140" s="951"/>
      <c r="N140" s="951"/>
      <c r="O140" s="951"/>
      <c r="P140" s="948"/>
      <c r="Q140" s="948"/>
      <c r="R140" s="948"/>
      <c r="S140" s="986"/>
      <c r="T140" s="948"/>
      <c r="U140" s="923"/>
      <c r="V140" s="948"/>
      <c r="W140" s="948"/>
      <c r="X140" s="948"/>
      <c r="Y140" s="948"/>
      <c r="Z140" s="948"/>
      <c r="AA140" s="948"/>
      <c r="AB140" s="948"/>
      <c r="AC140" s="948"/>
      <c r="AD140" s="948"/>
      <c r="AE140" s="948"/>
      <c r="AF140" s="924"/>
      <c r="AG140" s="924"/>
      <c r="AH140" s="924"/>
      <c r="AI140" s="924"/>
      <c r="AJ140" s="924"/>
      <c r="AK140" s="924"/>
      <c r="AL140" s="925">
        <v>1</v>
      </c>
    </row>
    <row r="141" spans="1:40" s="627" customFormat="1" ht="30" customHeight="1">
      <c r="A141" s="921"/>
      <c r="B141" s="999" t="s">
        <v>2975</v>
      </c>
      <c r="C141" s="998"/>
      <c r="D141" s="998"/>
      <c r="E141" s="998"/>
      <c r="F141" s="998"/>
      <c r="G141" s="998"/>
      <c r="H141" s="998"/>
      <c r="I141" s="998"/>
      <c r="J141" s="998"/>
      <c r="K141" s="951" t="s">
        <v>21</v>
      </c>
      <c r="L141" s="951"/>
      <c r="M141" s="951"/>
      <c r="N141" s="951"/>
      <c r="O141" s="951"/>
      <c r="P141" s="948"/>
      <c r="Q141" s="948"/>
      <c r="R141" s="948"/>
      <c r="S141" s="986"/>
      <c r="T141" s="948"/>
      <c r="U141" s="923"/>
      <c r="V141" s="948"/>
      <c r="W141" s="948"/>
      <c r="X141" s="948"/>
      <c r="Y141" s="948"/>
      <c r="Z141" s="948"/>
      <c r="AA141" s="948"/>
      <c r="AB141" s="948"/>
      <c r="AC141" s="948"/>
      <c r="AD141" s="948"/>
      <c r="AE141" s="948"/>
      <c r="AF141" s="924"/>
      <c r="AG141" s="924"/>
      <c r="AH141" s="924"/>
      <c r="AI141" s="924"/>
      <c r="AJ141" s="924"/>
      <c r="AK141" s="924"/>
      <c r="AL141" s="925">
        <v>1</v>
      </c>
    </row>
    <row r="142" spans="1:40" s="627" customFormat="1" ht="30" customHeight="1">
      <c r="A142" s="921"/>
      <c r="B142" s="999" t="s">
        <v>2976</v>
      </c>
      <c r="C142" s="998"/>
      <c r="D142" s="998"/>
      <c r="E142" s="998"/>
      <c r="F142" s="998"/>
      <c r="G142" s="998"/>
      <c r="H142" s="998"/>
      <c r="I142" s="998"/>
      <c r="J142" s="998"/>
      <c r="K142" s="951" t="s">
        <v>21</v>
      </c>
      <c r="L142" s="951"/>
      <c r="M142" s="951"/>
      <c r="N142" s="951"/>
      <c r="O142" s="951"/>
      <c r="P142" s="948"/>
      <c r="Q142" s="948"/>
      <c r="R142" s="948"/>
      <c r="S142" s="986"/>
      <c r="T142" s="948"/>
      <c r="U142" s="923"/>
      <c r="V142" s="948"/>
      <c r="W142" s="948"/>
      <c r="X142" s="948"/>
      <c r="Y142" s="948"/>
      <c r="Z142" s="948"/>
      <c r="AA142" s="948"/>
      <c r="AB142" s="948"/>
      <c r="AC142" s="948"/>
      <c r="AD142" s="948"/>
      <c r="AE142" s="948"/>
      <c r="AF142" s="924"/>
      <c r="AG142" s="924"/>
      <c r="AH142" s="924"/>
      <c r="AI142" s="924"/>
      <c r="AJ142" s="924"/>
      <c r="AK142" s="924"/>
      <c r="AL142" s="925">
        <v>1</v>
      </c>
    </row>
    <row r="143" spans="1:40" s="627" customFormat="1" ht="30" customHeight="1">
      <c r="A143" s="921"/>
      <c r="B143" s="999" t="s">
        <v>2977</v>
      </c>
      <c r="C143" s="998"/>
      <c r="D143" s="998"/>
      <c r="E143" s="998"/>
      <c r="F143" s="998"/>
      <c r="G143" s="998"/>
      <c r="H143" s="998"/>
      <c r="I143" s="998"/>
      <c r="J143" s="998"/>
      <c r="K143" s="951" t="s">
        <v>21</v>
      </c>
      <c r="L143" s="951"/>
      <c r="M143" s="951"/>
      <c r="N143" s="951"/>
      <c r="O143" s="951"/>
      <c r="P143" s="948"/>
      <c r="Q143" s="948"/>
      <c r="R143" s="948"/>
      <c r="S143" s="986"/>
      <c r="T143" s="948"/>
      <c r="U143" s="948"/>
      <c r="V143" s="948"/>
      <c r="W143" s="948"/>
      <c r="X143" s="948"/>
      <c r="Y143" s="948"/>
      <c r="Z143" s="948"/>
      <c r="AA143" s="923"/>
      <c r="AB143" s="948"/>
      <c r="AC143" s="948"/>
      <c r="AD143" s="948"/>
      <c r="AE143" s="948"/>
      <c r="AF143" s="924"/>
      <c r="AG143" s="924"/>
      <c r="AH143" s="924"/>
      <c r="AI143" s="924"/>
      <c r="AJ143" s="924"/>
      <c r="AK143" s="924"/>
      <c r="AL143" s="925">
        <v>1</v>
      </c>
    </row>
    <row r="144" spans="1:40" s="627" customFormat="1" ht="30" customHeight="1">
      <c r="A144" s="921"/>
      <c r="B144" s="1000" t="s">
        <v>2453</v>
      </c>
      <c r="C144" s="998"/>
      <c r="D144" s="998"/>
      <c r="E144" s="998"/>
      <c r="F144" s="998"/>
      <c r="G144" s="998"/>
      <c r="H144" s="998"/>
      <c r="I144" s="998"/>
      <c r="J144" s="998"/>
      <c r="K144" s="951" t="s">
        <v>21</v>
      </c>
      <c r="L144" s="951"/>
      <c r="M144" s="951"/>
      <c r="N144" s="951"/>
      <c r="O144" s="951"/>
      <c r="P144" s="948"/>
      <c r="Q144" s="948"/>
      <c r="R144" s="948"/>
      <c r="S144" s="986"/>
      <c r="T144" s="948"/>
      <c r="U144" s="948"/>
      <c r="V144" s="948"/>
      <c r="W144" s="948"/>
      <c r="X144" s="948"/>
      <c r="Y144" s="948"/>
      <c r="Z144" s="948"/>
      <c r="AA144" s="923"/>
      <c r="AB144" s="948"/>
      <c r="AC144" s="948"/>
      <c r="AD144" s="948"/>
      <c r="AE144" s="948"/>
      <c r="AF144" s="924"/>
      <c r="AG144" s="924"/>
      <c r="AH144" s="924"/>
      <c r="AI144" s="924"/>
      <c r="AJ144" s="924"/>
      <c r="AK144" s="924"/>
      <c r="AL144" s="925">
        <v>1</v>
      </c>
    </row>
    <row r="145" spans="1:38" s="627" customFormat="1" ht="30" customHeight="1">
      <c r="A145" s="921"/>
      <c r="B145" s="999" t="s">
        <v>2978</v>
      </c>
      <c r="C145" s="998"/>
      <c r="D145" s="998"/>
      <c r="E145" s="998"/>
      <c r="F145" s="998"/>
      <c r="G145" s="998"/>
      <c r="H145" s="998"/>
      <c r="I145" s="998"/>
      <c r="J145" s="998"/>
      <c r="K145" s="951" t="s">
        <v>21</v>
      </c>
      <c r="L145" s="951"/>
      <c r="M145" s="951"/>
      <c r="N145" s="951"/>
      <c r="O145" s="951"/>
      <c r="P145" s="948"/>
      <c r="Q145" s="948"/>
      <c r="R145" s="948"/>
      <c r="S145" s="986"/>
      <c r="T145" s="948"/>
      <c r="U145" s="948"/>
      <c r="V145" s="948"/>
      <c r="W145" s="948"/>
      <c r="X145" s="948"/>
      <c r="Y145" s="948"/>
      <c r="Z145" s="948"/>
      <c r="AA145" s="923"/>
      <c r="AB145" s="948"/>
      <c r="AC145" s="948"/>
      <c r="AD145" s="948"/>
      <c r="AE145" s="948"/>
      <c r="AF145" s="924"/>
      <c r="AG145" s="924"/>
      <c r="AH145" s="924"/>
      <c r="AI145" s="924"/>
      <c r="AJ145" s="924"/>
      <c r="AK145" s="924"/>
      <c r="AL145" s="925">
        <v>1</v>
      </c>
    </row>
    <row r="146" spans="1:38" s="627" customFormat="1" ht="30" customHeight="1">
      <c r="A146" s="921"/>
      <c r="B146" s="1001" t="s">
        <v>2455</v>
      </c>
      <c r="C146" s="998"/>
      <c r="D146" s="998"/>
      <c r="E146" s="998"/>
      <c r="F146" s="998"/>
      <c r="G146" s="998"/>
      <c r="H146" s="998"/>
      <c r="I146" s="998"/>
      <c r="J146" s="998"/>
      <c r="K146" s="951" t="s">
        <v>21</v>
      </c>
      <c r="L146" s="951"/>
      <c r="M146" s="951"/>
      <c r="N146" s="951"/>
      <c r="O146" s="951"/>
      <c r="P146" s="948"/>
      <c r="Q146" s="948"/>
      <c r="R146" s="948"/>
      <c r="S146" s="986"/>
      <c r="T146" s="948"/>
      <c r="U146" s="948"/>
      <c r="V146" s="948"/>
      <c r="W146" s="948"/>
      <c r="X146" s="948"/>
      <c r="Y146" s="948"/>
      <c r="Z146" s="948"/>
      <c r="AA146" s="923"/>
      <c r="AB146" s="948"/>
      <c r="AC146" s="948"/>
      <c r="AD146" s="948"/>
      <c r="AE146" s="948"/>
      <c r="AF146" s="924"/>
      <c r="AG146" s="924"/>
      <c r="AH146" s="924"/>
      <c r="AI146" s="924"/>
      <c r="AJ146" s="924"/>
      <c r="AK146" s="924"/>
      <c r="AL146" s="925">
        <v>1</v>
      </c>
    </row>
    <row r="147" spans="1:38" s="627" customFormat="1" ht="30" customHeight="1">
      <c r="A147" s="921"/>
      <c r="B147" s="999" t="s">
        <v>2979</v>
      </c>
      <c r="C147" s="998"/>
      <c r="D147" s="998"/>
      <c r="E147" s="998"/>
      <c r="F147" s="998"/>
      <c r="G147" s="998"/>
      <c r="H147" s="998"/>
      <c r="I147" s="998"/>
      <c r="J147" s="998"/>
      <c r="K147" s="951" t="s">
        <v>21</v>
      </c>
      <c r="L147" s="951"/>
      <c r="M147" s="951"/>
      <c r="N147" s="951"/>
      <c r="O147" s="951"/>
      <c r="P147" s="948"/>
      <c r="Q147" s="948"/>
      <c r="R147" s="948"/>
      <c r="S147" s="986"/>
      <c r="T147" s="948"/>
      <c r="U147" s="948"/>
      <c r="V147" s="948"/>
      <c r="W147" s="948"/>
      <c r="X147" s="948"/>
      <c r="Y147" s="948"/>
      <c r="Z147" s="948"/>
      <c r="AA147" s="923"/>
      <c r="AB147" s="948"/>
      <c r="AC147" s="948"/>
      <c r="AD147" s="948"/>
      <c r="AE147" s="948"/>
      <c r="AF147" s="924"/>
      <c r="AG147" s="924"/>
      <c r="AH147" s="924"/>
      <c r="AI147" s="924"/>
      <c r="AJ147" s="924"/>
      <c r="AK147" s="924"/>
      <c r="AL147" s="925">
        <v>1</v>
      </c>
    </row>
    <row r="148" spans="1:38" s="627" customFormat="1" ht="30" customHeight="1">
      <c r="A148" s="921"/>
      <c r="B148" s="998"/>
      <c r="C148" s="998"/>
      <c r="D148" s="998"/>
      <c r="E148" s="998"/>
      <c r="F148" s="998"/>
      <c r="G148" s="998"/>
      <c r="H148" s="998"/>
      <c r="I148" s="998"/>
      <c r="J148" s="998"/>
      <c r="K148" s="951" t="s">
        <v>21</v>
      </c>
      <c r="L148" s="951"/>
      <c r="M148" s="951"/>
      <c r="N148" s="951"/>
      <c r="O148" s="951"/>
      <c r="P148" s="948"/>
      <c r="Q148" s="948"/>
      <c r="R148" s="948"/>
      <c r="S148" s="986"/>
      <c r="T148" s="948"/>
      <c r="U148" s="948"/>
      <c r="V148" s="948"/>
      <c r="W148" s="948"/>
      <c r="X148" s="948"/>
      <c r="Y148" s="948"/>
      <c r="Z148" s="948"/>
      <c r="AA148" s="923"/>
      <c r="AB148" s="948"/>
      <c r="AC148" s="948"/>
      <c r="AD148" s="948"/>
      <c r="AE148" s="948"/>
      <c r="AF148" s="924"/>
      <c r="AG148" s="924"/>
      <c r="AH148" s="924"/>
      <c r="AI148" s="924"/>
      <c r="AJ148" s="924"/>
      <c r="AK148" s="924"/>
      <c r="AL148" s="925">
        <v>1</v>
      </c>
    </row>
    <row r="149" spans="1:38" s="627" customFormat="1" ht="30" customHeight="1">
      <c r="A149" s="921"/>
      <c r="B149" s="999" t="s">
        <v>2980</v>
      </c>
      <c r="C149" s="998"/>
      <c r="D149" s="998"/>
      <c r="E149" s="998"/>
      <c r="F149" s="998"/>
      <c r="G149" s="998"/>
      <c r="H149" s="998"/>
      <c r="I149" s="998"/>
      <c r="J149" s="998"/>
      <c r="K149" s="951" t="s">
        <v>21</v>
      </c>
      <c r="L149" s="951"/>
      <c r="M149" s="951"/>
      <c r="N149" s="951"/>
      <c r="O149" s="951"/>
      <c r="P149" s="948"/>
      <c r="Q149" s="948"/>
      <c r="R149" s="948"/>
      <c r="S149" s="986"/>
      <c r="T149" s="948"/>
      <c r="U149" s="948"/>
      <c r="V149" s="948"/>
      <c r="W149" s="948"/>
      <c r="X149" s="948"/>
      <c r="Y149" s="948"/>
      <c r="Z149" s="948"/>
      <c r="AA149" s="923"/>
      <c r="AB149" s="948"/>
      <c r="AC149" s="948"/>
      <c r="AD149" s="948"/>
      <c r="AE149" s="948"/>
      <c r="AF149" s="924"/>
      <c r="AG149" s="924"/>
      <c r="AH149" s="924"/>
      <c r="AI149" s="924"/>
      <c r="AJ149" s="924"/>
      <c r="AK149" s="924"/>
      <c r="AL149" s="925">
        <v>1</v>
      </c>
    </row>
    <row r="150" spans="1:38" s="627" customFormat="1" ht="30" customHeight="1">
      <c r="A150" s="921"/>
      <c r="B150" s="1000" t="s">
        <v>2458</v>
      </c>
      <c r="C150" s="998"/>
      <c r="D150" s="998"/>
      <c r="E150" s="998"/>
      <c r="F150" s="998"/>
      <c r="G150" s="998"/>
      <c r="H150" s="998"/>
      <c r="I150" s="998"/>
      <c r="J150" s="998"/>
      <c r="K150" s="951" t="s">
        <v>21</v>
      </c>
      <c r="L150" s="951"/>
      <c r="M150" s="951"/>
      <c r="N150" s="951"/>
      <c r="O150" s="951"/>
      <c r="P150" s="948"/>
      <c r="Q150" s="948"/>
      <c r="R150" s="948"/>
      <c r="S150" s="986"/>
      <c r="T150" s="948"/>
      <c r="U150" s="948"/>
      <c r="V150" s="948"/>
      <c r="W150" s="948"/>
      <c r="X150" s="948"/>
      <c r="Y150" s="948"/>
      <c r="Z150" s="948"/>
      <c r="AA150" s="923"/>
      <c r="AB150" s="948"/>
      <c r="AC150" s="948"/>
      <c r="AD150" s="948"/>
      <c r="AE150" s="948"/>
      <c r="AF150" s="924"/>
      <c r="AG150" s="924"/>
      <c r="AH150" s="924"/>
      <c r="AI150" s="924"/>
      <c r="AJ150" s="924"/>
      <c r="AK150" s="924"/>
      <c r="AL150" s="925">
        <v>1</v>
      </c>
    </row>
    <row r="151" spans="1:38" s="627" customFormat="1" ht="30" customHeight="1">
      <c r="A151" s="921"/>
      <c r="B151" s="999"/>
      <c r="C151" s="998"/>
      <c r="D151" s="998"/>
      <c r="E151" s="998"/>
      <c r="F151" s="998"/>
      <c r="G151" s="998"/>
      <c r="H151" s="998"/>
      <c r="I151" s="998"/>
      <c r="J151" s="998"/>
      <c r="K151" s="951" t="s">
        <v>21</v>
      </c>
      <c r="L151" s="951"/>
      <c r="M151" s="951"/>
      <c r="N151" s="951"/>
      <c r="O151" s="951"/>
      <c r="P151" s="948"/>
      <c r="Q151" s="948"/>
      <c r="R151" s="948"/>
      <c r="S151" s="986"/>
      <c r="T151" s="948"/>
      <c r="U151" s="948"/>
      <c r="V151" s="948"/>
      <c r="W151" s="948"/>
      <c r="X151" s="948"/>
      <c r="Y151" s="948"/>
      <c r="Z151" s="948"/>
      <c r="AA151" s="923"/>
      <c r="AB151" s="948"/>
      <c r="AC151" s="948"/>
      <c r="AD151" s="948"/>
      <c r="AE151" s="948"/>
      <c r="AF151" s="924"/>
      <c r="AG151" s="924"/>
      <c r="AH151" s="924"/>
      <c r="AI151" s="924"/>
      <c r="AJ151" s="924"/>
      <c r="AK151" s="924"/>
      <c r="AL151" s="925">
        <v>1</v>
      </c>
    </row>
    <row r="152" spans="1:38" s="627" customFormat="1" ht="30" customHeight="1">
      <c r="A152" s="921"/>
      <c r="B152" s="999" t="s">
        <v>2981</v>
      </c>
      <c r="C152" s="998"/>
      <c r="D152" s="998"/>
      <c r="E152" s="998"/>
      <c r="F152" s="998"/>
      <c r="G152" s="998"/>
      <c r="H152" s="998"/>
      <c r="I152" s="998"/>
      <c r="J152" s="998"/>
      <c r="K152" s="951" t="s">
        <v>21</v>
      </c>
      <c r="L152" s="951"/>
      <c r="M152" s="951"/>
      <c r="N152" s="951"/>
      <c r="O152" s="951"/>
      <c r="P152" s="948"/>
      <c r="Q152" s="948"/>
      <c r="R152" s="948"/>
      <c r="S152" s="986"/>
      <c r="T152" s="948"/>
      <c r="U152" s="948"/>
      <c r="V152" s="948"/>
      <c r="W152" s="948"/>
      <c r="X152" s="948"/>
      <c r="Y152" s="948"/>
      <c r="Z152" s="948"/>
      <c r="AA152" s="923"/>
      <c r="AB152" s="948"/>
      <c r="AC152" s="948"/>
      <c r="AD152" s="948"/>
      <c r="AE152" s="948"/>
      <c r="AF152" s="924"/>
      <c r="AG152" s="924"/>
      <c r="AH152" s="924"/>
      <c r="AI152" s="924"/>
      <c r="AJ152" s="924"/>
      <c r="AK152" s="924"/>
      <c r="AL152" s="925">
        <v>1</v>
      </c>
    </row>
    <row r="153" spans="1:38" s="627" customFormat="1" ht="30" customHeight="1">
      <c r="A153" s="921"/>
      <c r="B153" s="1000" t="s">
        <v>2460</v>
      </c>
      <c r="C153" s="998"/>
      <c r="D153" s="998"/>
      <c r="E153" s="998"/>
      <c r="F153" s="998"/>
      <c r="G153" s="998"/>
      <c r="H153" s="998"/>
      <c r="I153" s="998"/>
      <c r="J153" s="998"/>
      <c r="K153" s="951" t="s">
        <v>21</v>
      </c>
      <c r="L153" s="951"/>
      <c r="M153" s="951"/>
      <c r="N153" s="951"/>
      <c r="O153" s="951"/>
      <c r="P153" s="948"/>
      <c r="Q153" s="948"/>
      <c r="R153" s="948"/>
      <c r="S153" s="986"/>
      <c r="T153" s="948"/>
      <c r="U153" s="948"/>
      <c r="V153" s="948"/>
      <c r="W153" s="948"/>
      <c r="X153" s="948"/>
      <c r="Y153" s="948"/>
      <c r="Z153" s="948"/>
      <c r="AA153" s="923"/>
      <c r="AB153" s="948"/>
      <c r="AC153" s="948"/>
      <c r="AD153" s="948"/>
      <c r="AE153" s="948"/>
      <c r="AF153" s="924"/>
      <c r="AG153" s="924"/>
      <c r="AH153" s="924"/>
      <c r="AI153" s="924"/>
      <c r="AJ153" s="924"/>
      <c r="AK153" s="924"/>
      <c r="AL153" s="925">
        <v>1</v>
      </c>
    </row>
    <row r="154" spans="1:38" s="627" customFormat="1" ht="30" customHeight="1">
      <c r="A154" s="921"/>
      <c r="B154" s="1000" t="s">
        <v>2461</v>
      </c>
      <c r="C154" s="998"/>
      <c r="D154" s="998"/>
      <c r="E154" s="998"/>
      <c r="F154" s="998"/>
      <c r="G154" s="998"/>
      <c r="H154" s="998"/>
      <c r="I154" s="998"/>
      <c r="J154" s="998"/>
      <c r="K154" s="951" t="s">
        <v>21</v>
      </c>
      <c r="L154" s="951"/>
      <c r="M154" s="951"/>
      <c r="N154" s="923"/>
      <c r="O154" s="923"/>
      <c r="P154" s="948"/>
      <c r="Q154" s="948"/>
      <c r="R154" s="948"/>
      <c r="S154" s="986"/>
      <c r="T154" s="948"/>
      <c r="U154" s="948"/>
      <c r="V154" s="948"/>
      <c r="W154" s="948"/>
      <c r="X154" s="948"/>
      <c r="Y154" s="948"/>
      <c r="Z154" s="948"/>
      <c r="AA154" s="923"/>
      <c r="AB154" s="948"/>
      <c r="AC154" s="948"/>
      <c r="AD154" s="948"/>
      <c r="AE154" s="948"/>
      <c r="AF154" s="924"/>
      <c r="AG154" s="924"/>
      <c r="AH154" s="924"/>
      <c r="AI154" s="924"/>
      <c r="AJ154" s="924"/>
      <c r="AK154" s="924"/>
      <c r="AL154" s="925">
        <v>1</v>
      </c>
    </row>
    <row r="155" spans="1:38" s="627" customFormat="1" ht="30" customHeight="1">
      <c r="A155" s="921"/>
      <c r="B155" s="999" t="s">
        <v>2982</v>
      </c>
      <c r="C155" s="998"/>
      <c r="D155" s="998"/>
      <c r="E155" s="998"/>
      <c r="F155" s="998"/>
      <c r="G155" s="998"/>
      <c r="H155" s="998"/>
      <c r="I155" s="998"/>
      <c r="J155" s="998"/>
      <c r="K155" s="951"/>
      <c r="L155" s="951"/>
      <c r="M155" s="951"/>
      <c r="N155" s="923"/>
      <c r="O155" s="923"/>
      <c r="P155" s="948"/>
      <c r="Q155" s="948"/>
      <c r="R155" s="948"/>
      <c r="S155" s="986"/>
      <c r="T155" s="948"/>
      <c r="U155" s="948"/>
      <c r="V155" s="948"/>
      <c r="W155" s="948"/>
      <c r="X155" s="948"/>
      <c r="Y155" s="948"/>
      <c r="Z155" s="948"/>
      <c r="AA155" s="923"/>
      <c r="AB155" s="948"/>
      <c r="AC155" s="948"/>
      <c r="AD155" s="948"/>
      <c r="AE155" s="948"/>
      <c r="AF155" s="924"/>
      <c r="AG155" s="924"/>
      <c r="AH155" s="924"/>
      <c r="AI155" s="924"/>
      <c r="AJ155" s="924"/>
      <c r="AK155" s="924"/>
      <c r="AL155" s="925">
        <v>1</v>
      </c>
    </row>
    <row r="156" spans="1:38" s="627" customFormat="1" ht="30" customHeight="1">
      <c r="A156" s="921"/>
      <c r="B156" s="1000" t="s">
        <v>2463</v>
      </c>
      <c r="C156" s="998"/>
      <c r="D156" s="998"/>
      <c r="E156" s="998"/>
      <c r="F156" s="998"/>
      <c r="G156" s="998"/>
      <c r="H156" s="998"/>
      <c r="I156" s="998"/>
      <c r="J156" s="998"/>
      <c r="K156" s="951"/>
      <c r="L156" s="951"/>
      <c r="M156" s="951"/>
      <c r="N156" s="923"/>
      <c r="O156" s="923"/>
      <c r="P156" s="948"/>
      <c r="Q156" s="948"/>
      <c r="R156" s="948"/>
      <c r="S156" s="986"/>
      <c r="T156" s="948"/>
      <c r="U156" s="948"/>
      <c r="V156" s="948"/>
      <c r="W156" s="948"/>
      <c r="X156" s="948"/>
      <c r="Y156" s="948"/>
      <c r="Z156" s="948"/>
      <c r="AA156" s="923"/>
      <c r="AB156" s="948"/>
      <c r="AC156" s="948"/>
      <c r="AD156" s="948"/>
      <c r="AE156" s="948"/>
      <c r="AF156" s="924"/>
      <c r="AG156" s="924"/>
      <c r="AH156" s="924"/>
      <c r="AI156" s="924"/>
      <c r="AJ156" s="924"/>
      <c r="AK156" s="924"/>
      <c r="AL156" s="925">
        <v>1</v>
      </c>
    </row>
    <row r="157" spans="1:38" s="627" customFormat="1" ht="27">
      <c r="A157" s="921"/>
      <c r="B157" s="996"/>
      <c r="C157" s="921"/>
      <c r="D157" s="921"/>
      <c r="E157" s="921"/>
      <c r="F157" s="921"/>
      <c r="G157" s="921"/>
      <c r="H157" s="921"/>
      <c r="I157" s="986"/>
      <c r="J157" s="921"/>
      <c r="K157" s="921"/>
      <c r="L157" s="921"/>
      <c r="M157" s="921"/>
      <c r="N157" s="921"/>
      <c r="O157" s="986"/>
      <c r="P157" s="986"/>
      <c r="Q157" s="986"/>
      <c r="R157" s="986"/>
      <c r="S157" s="986"/>
      <c r="T157" s="923"/>
      <c r="U157" s="923"/>
      <c r="V157" s="923"/>
      <c r="W157" s="923"/>
      <c r="X157" s="923"/>
      <c r="Y157" s="923"/>
      <c r="Z157" s="923"/>
      <c r="AA157" s="923"/>
      <c r="AB157" s="923"/>
      <c r="AC157" s="923"/>
      <c r="AD157" s="923"/>
      <c r="AE157" s="923"/>
      <c r="AF157" s="923"/>
      <c r="AG157" s="923"/>
      <c r="AH157" s="923"/>
      <c r="AI157" s="924"/>
      <c r="AJ157" s="924"/>
      <c r="AK157" s="924"/>
      <c r="AL157" s="925">
        <v>1</v>
      </c>
    </row>
    <row r="158" spans="1:38" s="627" customFormat="1" ht="26.25">
      <c r="A158" s="921"/>
      <c r="B158" s="1002" t="s">
        <v>2994</v>
      </c>
      <c r="C158" s="1003"/>
      <c r="D158" s="1004"/>
      <c r="E158" s="987"/>
      <c r="F158" s="1005"/>
      <c r="G158" s="1005"/>
      <c r="H158" s="1005"/>
      <c r="I158" s="1005"/>
      <c r="J158" s="1006"/>
      <c r="K158" s="1006"/>
      <c r="L158" s="923"/>
      <c r="M158" s="923"/>
      <c r="N158" s="923"/>
      <c r="O158" s="923"/>
      <c r="P158" s="924"/>
      <c r="Q158" s="986"/>
      <c r="R158" s="986"/>
      <c r="S158" s="986"/>
      <c r="T158" s="923"/>
      <c r="U158" s="923"/>
      <c r="V158" s="923"/>
      <c r="W158" s="923"/>
      <c r="X158" s="923"/>
      <c r="Y158" s="923"/>
      <c r="Z158" s="923"/>
      <c r="AA158" s="923"/>
      <c r="AB158" s="923"/>
      <c r="AC158" s="923"/>
      <c r="AD158" s="923"/>
      <c r="AE158" s="923"/>
      <c r="AF158" s="923"/>
      <c r="AG158" s="923"/>
      <c r="AH158" s="923"/>
      <c r="AI158" s="924"/>
      <c r="AJ158" s="924"/>
      <c r="AK158" s="924"/>
      <c r="AL158" s="925">
        <v>1</v>
      </c>
    </row>
    <row r="159" spans="1:38" s="627" customFormat="1" ht="26.25">
      <c r="A159" s="921"/>
      <c r="B159" s="1007" t="s">
        <v>2465</v>
      </c>
      <c r="C159" s="1008"/>
      <c r="D159" s="1009"/>
      <c r="E159" s="1010"/>
      <c r="F159" s="1010"/>
      <c r="G159" s="1010"/>
      <c r="H159" s="1010"/>
      <c r="I159" s="1010"/>
      <c r="J159" s="1010"/>
      <c r="K159" s="1006">
        <v>1</v>
      </c>
      <c r="L159" s="923"/>
      <c r="M159" s="923"/>
      <c r="N159" s="923"/>
      <c r="O159" s="923"/>
      <c r="P159" s="924"/>
      <c r="Q159" s="986"/>
      <c r="R159" s="986"/>
      <c r="S159" s="986"/>
      <c r="T159" s="923"/>
      <c r="U159" s="923"/>
      <c r="V159" s="923"/>
      <c r="W159" s="923"/>
      <c r="X159" s="923"/>
      <c r="Y159" s="923"/>
      <c r="Z159" s="923"/>
      <c r="AA159" s="923"/>
      <c r="AB159" s="923"/>
      <c r="AC159" s="923"/>
      <c r="AD159" s="923"/>
      <c r="AE159" s="923"/>
      <c r="AF159" s="923"/>
      <c r="AG159" s="923"/>
      <c r="AH159" s="923"/>
      <c r="AI159" s="924"/>
      <c r="AJ159" s="924"/>
      <c r="AK159" s="924"/>
      <c r="AL159" s="925">
        <v>1</v>
      </c>
    </row>
    <row r="160" spans="1:38" s="627" customFormat="1" ht="26.25">
      <c r="A160" s="921"/>
      <c r="B160" s="1011" t="s">
        <v>2983</v>
      </c>
      <c r="C160" s="1008"/>
      <c r="D160" s="1009"/>
      <c r="E160" s="1010"/>
      <c r="F160" s="1010"/>
      <c r="G160" s="1010"/>
      <c r="H160" s="1010"/>
      <c r="I160" s="1010"/>
      <c r="J160" s="1010"/>
      <c r="K160" s="1006">
        <v>1</v>
      </c>
      <c r="L160" s="923"/>
      <c r="M160" s="923"/>
      <c r="N160" s="923"/>
      <c r="O160" s="923"/>
      <c r="P160" s="924"/>
      <c r="Q160" s="986"/>
      <c r="R160" s="986"/>
      <c r="S160" s="986"/>
      <c r="T160" s="923"/>
      <c r="U160" s="923"/>
      <c r="V160" s="923"/>
      <c r="W160" s="923"/>
      <c r="X160" s="923"/>
      <c r="Y160" s="923"/>
      <c r="Z160" s="923"/>
      <c r="AA160" s="923"/>
      <c r="AB160" s="923"/>
      <c r="AC160" s="923"/>
      <c r="AD160" s="923"/>
      <c r="AE160" s="923"/>
      <c r="AF160" s="923"/>
      <c r="AG160" s="923"/>
      <c r="AH160" s="923"/>
      <c r="AI160" s="924"/>
      <c r="AJ160" s="924"/>
      <c r="AK160" s="924"/>
      <c r="AL160" s="925">
        <v>1</v>
      </c>
    </row>
    <row r="161" spans="1:40" s="627" customFormat="1" ht="26.25">
      <c r="A161" s="921"/>
      <c r="B161" s="1012" t="s">
        <v>2984</v>
      </c>
      <c r="C161" s="1003"/>
      <c r="D161" s="1013"/>
      <c r="E161" s="987"/>
      <c r="F161" s="1014" t="s">
        <v>2468</v>
      </c>
      <c r="G161" s="1005"/>
      <c r="H161" s="1005"/>
      <c r="I161" s="1005"/>
      <c r="J161" s="1006"/>
      <c r="K161" s="1006"/>
      <c r="L161" s="923"/>
      <c r="M161" s="923"/>
      <c r="N161" s="923"/>
      <c r="O161" s="923"/>
      <c r="P161" s="924"/>
      <c r="Q161" s="986"/>
      <c r="R161" s="986"/>
      <c r="S161" s="986"/>
      <c r="T161" s="923"/>
      <c r="U161" s="923"/>
      <c r="V161" s="923"/>
      <c r="W161" s="923"/>
      <c r="X161" s="923"/>
      <c r="Y161" s="923"/>
      <c r="Z161" s="923"/>
      <c r="AA161" s="923"/>
      <c r="AB161" s="923"/>
      <c r="AC161" s="923"/>
      <c r="AD161" s="923"/>
      <c r="AE161" s="923"/>
      <c r="AF161" s="923"/>
      <c r="AG161" s="923"/>
      <c r="AH161" s="923"/>
      <c r="AI161" s="924"/>
      <c r="AJ161" s="924"/>
      <c r="AK161" s="924"/>
      <c r="AL161" s="925">
        <v>1</v>
      </c>
    </row>
    <row r="162" spans="1:40" s="627" customFormat="1" ht="26.25">
      <c r="A162" s="921"/>
      <c r="B162" s="1015"/>
      <c r="C162" s="1016" t="s">
        <v>2985</v>
      </c>
      <c r="D162" s="1013"/>
      <c r="E162" s="987"/>
      <c r="F162" s="1005"/>
      <c r="G162" s="1005"/>
      <c r="H162" s="1005"/>
      <c r="I162" s="1005"/>
      <c r="J162" s="1006">
        <v>1</v>
      </c>
      <c r="K162" s="1006">
        <v>1</v>
      </c>
      <c r="L162" s="923"/>
      <c r="M162" s="923"/>
      <c r="N162" s="923"/>
      <c r="O162" s="923"/>
      <c r="P162" s="924"/>
      <c r="Q162" s="986"/>
      <c r="R162" s="986"/>
      <c r="S162" s="986"/>
      <c r="T162" s="923"/>
      <c r="U162" s="923"/>
      <c r="V162" s="923"/>
      <c r="W162" s="923"/>
      <c r="X162" s="923"/>
      <c r="Y162" s="923"/>
      <c r="Z162" s="923"/>
      <c r="AA162" s="923"/>
      <c r="AB162" s="923"/>
      <c r="AC162" s="923"/>
      <c r="AD162" s="923"/>
      <c r="AE162" s="923"/>
      <c r="AF162" s="923"/>
      <c r="AG162" s="923"/>
      <c r="AH162" s="923"/>
      <c r="AI162" s="924"/>
      <c r="AJ162" s="924"/>
      <c r="AK162" s="924"/>
      <c r="AL162" s="925">
        <v>1</v>
      </c>
    </row>
    <row r="163" spans="1:40" s="627" customFormat="1" ht="26.25">
      <c r="A163" s="921"/>
      <c r="B163" s="1017" t="str">
        <f>IF(B162="","",IF(AND(CODE(LEFT(B162,1))=66,CODE(RIGHT(B162,1))=90),"",CHOOSE(MATCH((LEN(B162)&amp;CODE(RIGHT(B162,1)))*1,{165;190;265;290},1),CHAR(CODE(B162)+1),"AA",LEFT(B162,1)&amp;CHAR(CODE(RIGHT(B162,1))+1),"BA",LEFT(B162,2)&amp;CHAR(CODE(RIGHT(B162,1))+1))))</f>
        <v/>
      </c>
      <c r="C163" s="1018" t="str">
        <f ca="1">_xlfn.FORMULATEXT(B163)</f>
        <v>=SI(B162="";"";SI(ET(CODE(GAUCHE(B162;1))=66;CODE(DROITE(B162;1))=90);"";CHOISIR(EQUIV((NBCAR(B162)&amp;CODE(DROITE(B162;1)))*1;{165;190;265;290};1);CAR(CODE(B162)+1);"AA";GAUCHE(B162;1)&amp;CAR(CODE(DROITE(B162;1))+1);"BA";GAUCHE(B162;2)&amp;CAR(CODE(DROITE(B162;1))+1))))</v>
      </c>
      <c r="D163" s="1013"/>
      <c r="E163" s="987"/>
      <c r="F163" s="1005"/>
      <c r="G163" s="1005"/>
      <c r="H163" s="1005"/>
      <c r="I163" s="1005"/>
      <c r="J163" s="1006"/>
      <c r="K163" s="1006"/>
      <c r="L163" s="923"/>
      <c r="M163" s="923"/>
      <c r="N163" s="923"/>
      <c r="O163" s="923"/>
      <c r="P163" s="924"/>
      <c r="Q163" s="986"/>
      <c r="R163" s="986"/>
      <c r="S163" s="986"/>
      <c r="T163" s="923"/>
      <c r="U163" s="923"/>
      <c r="V163" s="923"/>
      <c r="W163" s="923"/>
      <c r="X163" s="923"/>
      <c r="Y163" s="923"/>
      <c r="Z163" s="923"/>
      <c r="AA163" s="923"/>
      <c r="AB163" s="923"/>
      <c r="AC163" s="923"/>
      <c r="AD163" s="923"/>
      <c r="AE163" s="923"/>
      <c r="AF163" s="923"/>
      <c r="AG163" s="923"/>
      <c r="AH163" s="923"/>
      <c r="AI163" s="924"/>
      <c r="AJ163" s="924"/>
      <c r="AK163" s="924"/>
      <c r="AL163" s="925">
        <v>1</v>
      </c>
    </row>
    <row r="164" spans="1:40" s="627" customFormat="1" ht="26.25">
      <c r="A164" s="921"/>
      <c r="B164" s="1017"/>
      <c r="C164" s="1018"/>
      <c r="D164" s="1013"/>
      <c r="E164" s="987"/>
      <c r="F164" s="1005"/>
      <c r="G164" s="1005"/>
      <c r="H164" s="1005"/>
      <c r="I164" s="1005"/>
      <c r="J164" s="1006"/>
      <c r="K164" s="1006"/>
      <c r="L164" s="923"/>
      <c r="M164" s="923"/>
      <c r="N164" s="923"/>
      <c r="O164" s="923"/>
      <c r="P164" s="924"/>
      <c r="Q164" s="986"/>
      <c r="R164" s="986"/>
      <c r="S164" s="986"/>
      <c r="T164" s="923"/>
      <c r="U164" s="923"/>
      <c r="V164" s="923"/>
      <c r="W164" s="923"/>
      <c r="X164" s="923"/>
      <c r="Y164" s="923"/>
      <c r="Z164" s="923"/>
      <c r="AA164" s="923"/>
      <c r="AB164" s="923"/>
      <c r="AC164" s="923"/>
      <c r="AD164" s="923"/>
      <c r="AE164" s="923"/>
      <c r="AF164" s="923"/>
      <c r="AG164" s="923"/>
      <c r="AH164" s="923"/>
      <c r="AI164" s="924"/>
      <c r="AJ164" s="924"/>
      <c r="AK164" s="924"/>
      <c r="AL164" s="925">
        <v>1</v>
      </c>
    </row>
    <row r="165" spans="1:40" s="627" customFormat="1" ht="26.25">
      <c r="A165" s="921"/>
      <c r="B165" s="1002" t="s">
        <v>2986</v>
      </c>
      <c r="C165" s="1002"/>
      <c r="D165" s="1002"/>
      <c r="E165" s="1002"/>
      <c r="F165" s="1002"/>
      <c r="G165" s="1002"/>
      <c r="H165" s="923"/>
      <c r="I165" s="989"/>
      <c r="J165" s="923"/>
      <c r="K165" s="923"/>
      <c r="L165" s="923"/>
      <c r="M165" s="923"/>
      <c r="N165" s="923"/>
      <c r="O165" s="923"/>
      <c r="P165" s="924"/>
      <c r="Q165" s="986"/>
      <c r="R165" s="986"/>
      <c r="S165" s="986"/>
      <c r="T165" s="923"/>
      <c r="U165" s="923"/>
      <c r="V165" s="923"/>
      <c r="W165" s="923"/>
      <c r="X165" s="923"/>
      <c r="Y165" s="923"/>
      <c r="Z165" s="923"/>
      <c r="AA165" s="923"/>
      <c r="AB165" s="923"/>
      <c r="AC165" s="923"/>
      <c r="AD165" s="923"/>
      <c r="AE165" s="923"/>
      <c r="AF165" s="923"/>
      <c r="AG165" s="923"/>
      <c r="AH165" s="923"/>
      <c r="AI165" s="924"/>
      <c r="AJ165" s="924"/>
      <c r="AK165" s="924"/>
      <c r="AL165" s="925">
        <v>1</v>
      </c>
    </row>
    <row r="166" spans="1:40" s="627" customFormat="1" ht="26.25">
      <c r="A166" s="921"/>
      <c r="B166" s="1002" t="s">
        <v>2987</v>
      </c>
      <c r="C166" s="1002"/>
      <c r="D166" s="1002"/>
      <c r="E166" s="1002"/>
      <c r="F166" s="1002"/>
      <c r="G166" s="1002"/>
      <c r="H166" s="923"/>
      <c r="I166" s="989"/>
      <c r="J166" s="923"/>
      <c r="K166" s="923"/>
      <c r="L166" s="923"/>
      <c r="M166" s="923"/>
      <c r="N166" s="923"/>
      <c r="O166" s="923"/>
      <c r="P166" s="924"/>
      <c r="Q166" s="986"/>
      <c r="R166" s="986"/>
      <c r="S166" s="986"/>
      <c r="T166" s="923"/>
      <c r="U166" s="923"/>
      <c r="V166" s="923"/>
      <c r="W166" s="923"/>
      <c r="X166" s="923"/>
      <c r="Y166" s="923"/>
      <c r="Z166" s="923"/>
      <c r="AA166" s="923"/>
      <c r="AB166" s="923"/>
      <c r="AC166" s="923"/>
      <c r="AD166" s="923"/>
      <c r="AE166" s="923"/>
      <c r="AF166" s="923"/>
      <c r="AG166" s="923"/>
      <c r="AH166" s="923"/>
      <c r="AI166" s="924"/>
      <c r="AJ166" s="924"/>
      <c r="AK166" s="924"/>
      <c r="AL166" s="925">
        <v>1</v>
      </c>
    </row>
    <row r="167" spans="1:40" s="627" customFormat="1" ht="26.25">
      <c r="A167" s="921"/>
      <c r="B167" s="1019" t="s">
        <v>829</v>
      </c>
      <c r="C167" s="1002" t="s">
        <v>2988</v>
      </c>
      <c r="D167" s="989"/>
      <c r="E167" s="989"/>
      <c r="F167" s="989"/>
      <c r="G167" s="989"/>
      <c r="H167" s="923"/>
      <c r="I167" s="989"/>
      <c r="J167" s="923"/>
      <c r="K167" s="923"/>
      <c r="L167" s="923"/>
      <c r="M167" s="923"/>
      <c r="N167" s="923"/>
      <c r="O167" s="923"/>
      <c r="P167" s="924"/>
      <c r="Q167" s="986"/>
      <c r="R167" s="986"/>
      <c r="S167" s="986"/>
      <c r="T167" s="923"/>
      <c r="U167" s="923"/>
      <c r="V167" s="923"/>
      <c r="W167" s="923"/>
      <c r="X167" s="923"/>
      <c r="Y167" s="923"/>
      <c r="Z167" s="923"/>
      <c r="AA167" s="923"/>
      <c r="AB167" s="923"/>
      <c r="AC167" s="923"/>
      <c r="AD167" s="923"/>
      <c r="AE167" s="923"/>
      <c r="AF167" s="923"/>
      <c r="AG167" s="923"/>
      <c r="AH167" s="923"/>
      <c r="AI167" s="924"/>
      <c r="AJ167" s="924"/>
      <c r="AK167" s="924"/>
      <c r="AL167" s="925">
        <v>1</v>
      </c>
    </row>
    <row r="168" spans="1:40" s="627" customFormat="1" ht="26.25">
      <c r="A168" s="921"/>
      <c r="B168" s="1020" t="str">
        <f>IF(COLUMN()-COLUMN(B168)+1&lt;=26, CHAR(64+COLUMN()-COLUMN(B168)+1), CHAR(64+INT((COLUMN()-COLUMN(B168))/26))&amp;CHAR(64+MOD(COLUMN()-COLUMN(B168)-1,26)+1))</f>
        <v>A</v>
      </c>
      <c r="C168" s="1015" t="s">
        <v>1484</v>
      </c>
      <c r="D168" s="1015" t="s">
        <v>1485</v>
      </c>
      <c r="E168" s="1015" t="s">
        <v>1486</v>
      </c>
      <c r="F168" s="1015" t="s">
        <v>2472</v>
      </c>
      <c r="G168" s="989"/>
      <c r="H168" s="923"/>
      <c r="I168" s="989"/>
      <c r="J168" s="923"/>
      <c r="K168" s="923"/>
      <c r="L168" s="923"/>
      <c r="M168" s="923"/>
      <c r="N168" s="923"/>
      <c r="O168" s="923"/>
      <c r="P168" s="924"/>
      <c r="Q168" s="986"/>
      <c r="R168" s="986"/>
      <c r="S168" s="986"/>
      <c r="T168" s="923"/>
      <c r="U168" s="923"/>
      <c r="V168" s="923"/>
      <c r="W168" s="923"/>
      <c r="X168" s="923"/>
      <c r="Y168" s="923"/>
      <c r="Z168" s="923"/>
      <c r="AA168" s="923"/>
      <c r="AB168" s="923"/>
      <c r="AC168" s="923"/>
      <c r="AD168" s="923"/>
      <c r="AE168" s="923"/>
      <c r="AF168" s="923"/>
      <c r="AG168" s="923"/>
      <c r="AH168" s="923"/>
      <c r="AI168" s="924"/>
      <c r="AJ168" s="924"/>
      <c r="AK168" s="924"/>
      <c r="AL168" s="925">
        <v>1</v>
      </c>
    </row>
    <row r="169" spans="1:40" s="627" customFormat="1" ht="26.25">
      <c r="A169" s="921"/>
      <c r="B169" s="1002" t="s">
        <v>2989</v>
      </c>
      <c r="C169" s="1004"/>
      <c r="D169" s="988"/>
      <c r="E169" s="988"/>
      <c r="F169" s="988"/>
      <c r="G169" s="988"/>
      <c r="H169" s="988"/>
      <c r="I169" s="988"/>
      <c r="J169" s="923"/>
      <c r="K169" s="923"/>
      <c r="L169" s="923"/>
      <c r="M169" s="923"/>
      <c r="N169" s="923"/>
      <c r="O169" s="923"/>
      <c r="P169" s="924"/>
      <c r="Q169" s="986"/>
      <c r="R169" s="986"/>
      <c r="S169" s="986"/>
      <c r="T169" s="923"/>
      <c r="U169" s="923"/>
      <c r="V169" s="923"/>
      <c r="W169" s="923"/>
      <c r="X169" s="923"/>
      <c r="Y169" s="923"/>
      <c r="Z169" s="923"/>
      <c r="AA169" s="923"/>
      <c r="AB169" s="923"/>
      <c r="AC169" s="923"/>
      <c r="AD169" s="923"/>
      <c r="AE169" s="923"/>
      <c r="AF169" s="923"/>
      <c r="AG169" s="923"/>
      <c r="AH169" s="923"/>
      <c r="AI169" s="924"/>
      <c r="AJ169" s="924"/>
      <c r="AK169" s="924"/>
      <c r="AL169" s="925">
        <v>1</v>
      </c>
    </row>
    <row r="170" spans="1:40" s="627" customFormat="1" ht="26.25">
      <c r="A170" s="921"/>
      <c r="B170" s="1017"/>
      <c r="C170" s="1018"/>
      <c r="D170" s="1013"/>
      <c r="E170" s="987"/>
      <c r="F170" s="1005"/>
      <c r="G170" s="1005"/>
      <c r="H170" s="1005"/>
      <c r="I170" s="1005"/>
      <c r="J170" s="1006"/>
      <c r="K170" s="1006"/>
      <c r="L170" s="923"/>
      <c r="M170" s="923"/>
      <c r="N170" s="923"/>
      <c r="O170" s="923"/>
      <c r="P170" s="924"/>
      <c r="Q170" s="986"/>
      <c r="R170" s="986"/>
      <c r="S170" s="986"/>
      <c r="T170" s="923"/>
      <c r="U170" s="923"/>
      <c r="V170" s="923"/>
      <c r="W170" s="923"/>
      <c r="X170" s="923"/>
      <c r="Y170" s="923"/>
      <c r="Z170" s="923"/>
      <c r="AA170" s="923"/>
      <c r="AB170" s="923"/>
      <c r="AC170" s="923"/>
      <c r="AD170" s="923"/>
      <c r="AE170" s="923"/>
      <c r="AF170" s="923"/>
      <c r="AG170" s="923"/>
      <c r="AH170" s="923"/>
      <c r="AI170" s="924"/>
      <c r="AJ170" s="924"/>
      <c r="AK170" s="924"/>
      <c r="AL170" s="925">
        <v>1</v>
      </c>
    </row>
    <row r="171" spans="1:40" s="627" customFormat="1" ht="26.25">
      <c r="A171" s="921"/>
      <c r="B171" s="1017"/>
      <c r="C171" s="1018"/>
      <c r="D171" s="1013"/>
      <c r="E171" s="987"/>
      <c r="F171" s="1005"/>
      <c r="G171" s="1005"/>
      <c r="H171" s="1005"/>
      <c r="I171" s="1005"/>
      <c r="J171" s="1006"/>
      <c r="K171" s="1006"/>
      <c r="L171" s="923"/>
      <c r="M171" s="923"/>
      <c r="N171" s="923"/>
      <c r="O171" s="923"/>
      <c r="P171" s="924"/>
      <c r="Q171" s="986"/>
      <c r="R171" s="986"/>
      <c r="S171" s="986"/>
      <c r="T171" s="923"/>
      <c r="U171" s="923"/>
      <c r="V171" s="923"/>
      <c r="W171" s="923"/>
      <c r="X171" s="923"/>
      <c r="Y171" s="923"/>
      <c r="Z171" s="923"/>
      <c r="AA171" s="923"/>
      <c r="AB171" s="923"/>
      <c r="AC171" s="923"/>
      <c r="AD171" s="923"/>
      <c r="AE171" s="923"/>
      <c r="AF171" s="923"/>
      <c r="AG171" s="923"/>
      <c r="AH171" s="923"/>
      <c r="AI171" s="924"/>
      <c r="AJ171" s="924"/>
      <c r="AK171" s="924"/>
      <c r="AL171" s="925">
        <v>1</v>
      </c>
    </row>
    <row r="172" spans="1:40" s="984" customFormat="1" ht="40.5" customHeight="1">
      <c r="A172" s="921"/>
      <c r="B172" s="1021" t="s">
        <v>2990</v>
      </c>
      <c r="C172" s="921"/>
      <c r="D172" s="921"/>
      <c r="E172" s="921"/>
      <c r="F172" s="921"/>
      <c r="G172" s="921"/>
      <c r="H172" s="921"/>
      <c r="I172" s="948"/>
      <c r="J172" s="921"/>
      <c r="K172" s="921"/>
      <c r="L172" s="921"/>
      <c r="M172" s="921"/>
      <c r="N172" s="921"/>
      <c r="O172" s="923"/>
      <c r="P172" s="948"/>
      <c r="Q172" s="948"/>
      <c r="R172" s="948"/>
      <c r="S172" s="948"/>
      <c r="T172" s="1021" t="s">
        <v>2991</v>
      </c>
      <c r="U172" s="923"/>
      <c r="V172" s="923"/>
      <c r="W172" s="923"/>
      <c r="X172" s="923"/>
      <c r="Y172" s="923"/>
      <c r="Z172" s="1022"/>
      <c r="AA172" s="1022"/>
      <c r="AB172" s="1022"/>
      <c r="AC172" s="1022"/>
      <c r="AD172" s="1022"/>
      <c r="AE172" s="1022"/>
      <c r="AF172" s="1022"/>
      <c r="AG172" s="1022"/>
      <c r="AH172" s="1023"/>
      <c r="AI172" s="1023"/>
      <c r="AJ172" s="923"/>
      <c r="AK172" s="923"/>
      <c r="AL172" s="925">
        <v>1</v>
      </c>
      <c r="AM172" s="627"/>
      <c r="AN172" s="627"/>
    </row>
    <row r="173" spans="1:40" s="984" customFormat="1" ht="40.5" customHeight="1">
      <c r="A173" s="921"/>
      <c r="B173" s="996"/>
      <c r="C173" s="971" t="s">
        <v>2476</v>
      </c>
      <c r="D173" s="921"/>
      <c r="E173" s="1024" t="s">
        <v>2477</v>
      </c>
      <c r="F173" s="948"/>
      <c r="G173" s="1025" t="s">
        <v>2478</v>
      </c>
      <c r="H173" s="921"/>
      <c r="I173" s="948"/>
      <c r="J173" s="929" t="s">
        <v>2479</v>
      </c>
      <c r="K173" s="921"/>
      <c r="L173" s="921"/>
      <c r="M173" s="921"/>
      <c r="N173" s="921"/>
      <c r="O173" s="923"/>
      <c r="P173" s="948"/>
      <c r="Q173" s="948"/>
      <c r="R173" s="948"/>
      <c r="S173" s="948"/>
      <c r="T173" s="1026" t="s">
        <v>2480</v>
      </c>
      <c r="U173" s="1027"/>
      <c r="V173" s="1028">
        <v>15.5</v>
      </c>
      <c r="W173" s="923"/>
      <c r="X173" s="1029">
        <v>15.5</v>
      </c>
      <c r="Y173" s="923"/>
      <c r="Z173" s="1022"/>
      <c r="AA173" s="1022"/>
      <c r="AB173" s="1022"/>
      <c r="AC173" s="1022"/>
      <c r="AD173" s="1022"/>
      <c r="AE173" s="1022"/>
      <c r="AF173" s="1022"/>
      <c r="AG173" s="1022"/>
      <c r="AH173" s="1023"/>
      <c r="AI173" s="1023"/>
      <c r="AJ173" s="923"/>
      <c r="AK173" s="923"/>
      <c r="AL173" s="925">
        <v>1</v>
      </c>
      <c r="AM173" s="627"/>
      <c r="AN173" s="627"/>
    </row>
    <row r="174" spans="1:40" s="984" customFormat="1" ht="40.5" customHeight="1">
      <c r="A174" s="921"/>
      <c r="B174" s="996"/>
      <c r="C174" s="971" t="s">
        <v>2481</v>
      </c>
      <c r="D174" s="921"/>
      <c r="E174" s="1024" t="s">
        <v>2482</v>
      </c>
      <c r="F174" s="948"/>
      <c r="G174" s="1025" t="s">
        <v>2483</v>
      </c>
      <c r="H174" s="921"/>
      <c r="I174" s="948"/>
      <c r="J174" s="929" t="s">
        <v>2484</v>
      </c>
      <c r="K174" s="921"/>
      <c r="L174" s="921"/>
      <c r="M174" s="921"/>
      <c r="N174" s="921"/>
      <c r="O174" s="923"/>
      <c r="P174" s="948"/>
      <c r="Q174" s="948"/>
      <c r="R174" s="948"/>
      <c r="S174" s="948"/>
      <c r="T174" s="1030" t="s">
        <v>2992</v>
      </c>
      <c r="U174" s="1027"/>
      <c r="V174" s="1024" t="s">
        <v>881</v>
      </c>
      <c r="W174" s="923"/>
      <c r="X174" s="1031" t="s">
        <v>882</v>
      </c>
      <c r="Y174" s="923"/>
      <c r="Z174" s="1022"/>
      <c r="AA174" s="1022"/>
      <c r="AB174" s="1022"/>
      <c r="AC174" s="1022"/>
      <c r="AD174" s="1022"/>
      <c r="AE174" s="1022"/>
      <c r="AF174" s="1022"/>
      <c r="AG174" s="1022"/>
      <c r="AH174" s="1023"/>
      <c r="AI174" s="1023"/>
      <c r="AJ174" s="923"/>
      <c r="AK174" s="923"/>
      <c r="AL174" s="925">
        <v>1</v>
      </c>
      <c r="AM174" s="627"/>
      <c r="AN174" s="627"/>
    </row>
    <row r="175" spans="1:40" s="984" customFormat="1" ht="40.5" customHeight="1">
      <c r="A175" s="921"/>
      <c r="B175" s="996"/>
      <c r="C175" s="921"/>
      <c r="D175" s="921"/>
      <c r="E175" s="921"/>
      <c r="F175" s="921"/>
      <c r="G175" s="921"/>
      <c r="H175" s="921"/>
      <c r="I175" s="948"/>
      <c r="J175" s="921"/>
      <c r="K175" s="921"/>
      <c r="L175" s="921"/>
      <c r="M175" s="921"/>
      <c r="N175" s="921"/>
      <c r="O175" s="948"/>
      <c r="P175" s="948"/>
      <c r="Q175" s="948"/>
      <c r="R175" s="948"/>
      <c r="S175" s="948"/>
      <c r="T175" s="923"/>
      <c r="U175" s="923"/>
      <c r="V175" s="923"/>
      <c r="W175" s="923"/>
      <c r="X175" s="923"/>
      <c r="Y175" s="923"/>
      <c r="Z175" s="1022"/>
      <c r="AA175" s="1022"/>
      <c r="AB175" s="1022"/>
      <c r="AC175" s="1022"/>
      <c r="AD175" s="1022"/>
      <c r="AE175" s="1022"/>
      <c r="AF175" s="1022"/>
      <c r="AG175" s="1022"/>
      <c r="AH175" s="1023"/>
      <c r="AI175" s="1023"/>
      <c r="AJ175" s="923"/>
      <c r="AK175" s="923"/>
      <c r="AL175" s="925">
        <v>1</v>
      </c>
      <c r="AM175" s="627"/>
      <c r="AN175" s="627"/>
    </row>
    <row r="176" spans="1:40" s="984" customFormat="1" ht="40.5" customHeight="1">
      <c r="A176" s="921"/>
      <c r="B176" s="1021" t="s">
        <v>2993</v>
      </c>
      <c r="C176" s="921"/>
      <c r="D176" s="921"/>
      <c r="E176" s="921"/>
      <c r="F176" s="921"/>
      <c r="G176" s="921"/>
      <c r="H176" s="921"/>
      <c r="I176" s="948"/>
      <c r="J176" s="921"/>
      <c r="K176" s="921"/>
      <c r="L176" s="921"/>
      <c r="M176" s="921"/>
      <c r="N176" s="921"/>
      <c r="O176" s="948"/>
      <c r="P176" s="948"/>
      <c r="Q176" s="948"/>
      <c r="R176" s="948"/>
      <c r="S176" s="948"/>
      <c r="T176" s="923"/>
      <c r="U176" s="923"/>
      <c r="V176" s="923"/>
      <c r="W176" s="923"/>
      <c r="X176" s="923"/>
      <c r="Y176" s="923"/>
      <c r="Z176" s="923"/>
      <c r="AA176" s="923"/>
      <c r="AB176" s="923"/>
      <c r="AC176" s="923"/>
      <c r="AD176" s="923"/>
      <c r="AE176" s="923"/>
      <c r="AF176" s="923"/>
      <c r="AG176" s="923"/>
      <c r="AH176" s="923"/>
      <c r="AI176" s="923"/>
      <c r="AJ176" s="923"/>
      <c r="AK176" s="923"/>
      <c r="AL176" s="925">
        <v>1</v>
      </c>
      <c r="AM176" s="627"/>
      <c r="AN176" s="627"/>
    </row>
    <row r="177" spans="1:40" s="984" customFormat="1" ht="40.5" customHeight="1">
      <c r="A177" s="921"/>
      <c r="B177" s="996"/>
      <c r="C177" s="1032" t="s">
        <v>2487</v>
      </c>
      <c r="D177" s="921"/>
      <c r="E177" s="921"/>
      <c r="F177" s="921"/>
      <c r="G177" s="921"/>
      <c r="H177" s="1033" t="s">
        <v>2488</v>
      </c>
      <c r="I177" s="1033"/>
      <c r="J177" s="921"/>
      <c r="K177" s="921"/>
      <c r="L177" s="921"/>
      <c r="M177" s="921"/>
      <c r="N177" s="921"/>
      <c r="O177" s="948"/>
      <c r="P177" s="948"/>
      <c r="Q177" s="948"/>
      <c r="R177" s="948"/>
      <c r="S177" s="1034" t="s">
        <v>2489</v>
      </c>
      <c r="T177" s="1034"/>
      <c r="U177" s="923"/>
      <c r="V177" s="923"/>
      <c r="W177" s="923"/>
      <c r="X177" s="923"/>
      <c r="Y177" s="1035" t="s">
        <v>2490</v>
      </c>
      <c r="Z177" s="923"/>
      <c r="AA177" s="923"/>
      <c r="AB177" s="923"/>
      <c r="AC177" s="923"/>
      <c r="AD177" s="923"/>
      <c r="AE177" s="923"/>
      <c r="AF177" s="923"/>
      <c r="AG177" s="923"/>
      <c r="AH177" s="923"/>
      <c r="AI177" s="923"/>
      <c r="AJ177" s="923"/>
      <c r="AK177" s="923"/>
      <c r="AL177" s="925">
        <v>1</v>
      </c>
      <c r="AM177" s="627"/>
      <c r="AN177" s="627"/>
    </row>
    <row r="178" spans="1:40" s="984" customFormat="1" ht="40.5" customHeight="1">
      <c r="A178" s="921"/>
      <c r="B178" s="996"/>
      <c r="C178" s="1036" t="s">
        <v>2491</v>
      </c>
      <c r="D178" s="921"/>
      <c r="E178" s="921"/>
      <c r="F178" s="921"/>
      <c r="G178" s="921"/>
      <c r="H178" s="1037" t="s">
        <v>2492</v>
      </c>
      <c r="I178" s="1037"/>
      <c r="J178" s="921"/>
      <c r="K178" s="921"/>
      <c r="L178" s="921"/>
      <c r="M178" s="921"/>
      <c r="N178" s="921"/>
      <c r="O178" s="948"/>
      <c r="P178" s="948"/>
      <c r="Q178" s="948"/>
      <c r="R178" s="948"/>
      <c r="S178" s="1038" t="s">
        <v>2493</v>
      </c>
      <c r="T178" s="1038"/>
      <c r="U178" s="923"/>
      <c r="V178" s="923"/>
      <c r="W178" s="923"/>
      <c r="X178" s="923"/>
      <c r="Y178" s="1039" t="s">
        <v>2494</v>
      </c>
      <c r="Z178" s="923"/>
      <c r="AA178" s="923"/>
      <c r="AB178" s="923"/>
      <c r="AC178" s="923"/>
      <c r="AD178" s="923"/>
      <c r="AE178" s="923"/>
      <c r="AF178" s="923"/>
      <c r="AG178" s="923"/>
      <c r="AH178" s="923"/>
      <c r="AI178" s="923"/>
      <c r="AJ178" s="923"/>
      <c r="AK178" s="923"/>
      <c r="AL178" s="925">
        <v>1</v>
      </c>
      <c r="AM178" s="627"/>
      <c r="AN178" s="627"/>
    </row>
    <row r="179" spans="1:40" s="984" customFormat="1" ht="40.5" customHeight="1">
      <c r="A179" s="921"/>
      <c r="B179" s="996"/>
      <c r="C179" s="1040" t="s">
        <v>2495</v>
      </c>
      <c r="D179" s="921"/>
      <c r="E179" s="921"/>
      <c r="F179" s="921"/>
      <c r="G179" s="921"/>
      <c r="H179" s="921"/>
      <c r="I179" s="948"/>
      <c r="J179" s="921"/>
      <c r="K179" s="921"/>
      <c r="L179" s="921"/>
      <c r="M179" s="921"/>
      <c r="N179" s="921"/>
      <c r="O179" s="948"/>
      <c r="P179" s="948"/>
      <c r="Q179" s="948"/>
      <c r="R179" s="948"/>
      <c r="S179" s="948"/>
      <c r="T179" s="923"/>
      <c r="U179" s="923"/>
      <c r="V179" s="923"/>
      <c r="W179" s="923"/>
      <c r="X179" s="923"/>
      <c r="Y179" s="923"/>
      <c r="Z179" s="923"/>
      <c r="AA179" s="923"/>
      <c r="AB179" s="923"/>
      <c r="AC179" s="923"/>
      <c r="AD179" s="923"/>
      <c r="AE179" s="923"/>
      <c r="AF179" s="923"/>
      <c r="AG179" s="923"/>
      <c r="AH179" s="923"/>
      <c r="AI179" s="923"/>
      <c r="AJ179" s="923"/>
      <c r="AK179" s="923"/>
      <c r="AL179" s="925">
        <v>1</v>
      </c>
      <c r="AM179" s="627"/>
      <c r="AN179" s="627"/>
    </row>
    <row r="180" spans="1:40" ht="27">
      <c r="A180" s="921"/>
      <c r="B180" s="996"/>
      <c r="C180" s="921"/>
      <c r="D180" s="921"/>
      <c r="E180" s="921"/>
      <c r="F180" s="921"/>
      <c r="G180" s="921"/>
      <c r="H180" s="921"/>
      <c r="I180" s="986"/>
      <c r="J180" s="921"/>
      <c r="K180" s="921"/>
      <c r="L180" s="921"/>
      <c r="M180" s="921"/>
      <c r="N180" s="921"/>
      <c r="O180" s="986"/>
      <c r="P180" s="986"/>
      <c r="Q180" s="986"/>
      <c r="R180" s="986"/>
      <c r="S180" s="986"/>
      <c r="T180" s="923"/>
      <c r="U180" s="923"/>
      <c r="V180" s="923"/>
      <c r="W180" s="923"/>
      <c r="X180" s="923"/>
      <c r="Y180" s="923"/>
      <c r="Z180" s="923"/>
      <c r="AA180" s="923"/>
      <c r="AB180" s="923"/>
      <c r="AC180" s="923"/>
      <c r="AD180" s="923"/>
      <c r="AE180" s="923"/>
      <c r="AF180" s="923"/>
      <c r="AG180" s="923"/>
      <c r="AH180" s="923"/>
      <c r="AI180" s="924"/>
      <c r="AJ180" s="924"/>
      <c r="AK180" s="924"/>
      <c r="AL180" s="925">
        <v>1</v>
      </c>
    </row>
    <row r="181" spans="1:40" customFormat="1" ht="30" customHeight="1">
      <c r="A181" s="1006"/>
      <c r="B181" s="1006"/>
      <c r="C181" s="1006"/>
      <c r="D181" s="1041" t="s">
        <v>2902</v>
      </c>
      <c r="E181" s="1041"/>
      <c r="F181" s="1041"/>
      <c r="G181" s="1041"/>
      <c r="H181" s="1041"/>
      <c r="I181" s="1041"/>
      <c r="J181" s="1041"/>
      <c r="K181" s="1041"/>
      <c r="L181" s="1041"/>
      <c r="M181" s="1041"/>
      <c r="N181" s="1041"/>
      <c r="O181" s="1041"/>
      <c r="P181" s="1006"/>
      <c r="Q181" s="1006"/>
      <c r="R181" s="1006"/>
      <c r="S181" s="1006"/>
      <c r="T181" s="1006"/>
      <c r="U181" s="1006"/>
      <c r="V181" s="1006"/>
      <c r="W181" s="1006"/>
      <c r="X181" s="1006"/>
      <c r="Y181" s="948"/>
      <c r="Z181" s="948"/>
      <c r="AA181" s="948"/>
      <c r="AB181" s="948"/>
      <c r="AC181" s="948"/>
      <c r="AD181" s="948"/>
      <c r="AE181" s="948"/>
      <c r="AF181" s="948"/>
      <c r="AG181" s="948"/>
      <c r="AH181" s="948"/>
      <c r="AI181" s="948"/>
      <c r="AJ181" s="924"/>
      <c r="AK181" s="924"/>
      <c r="AL181" s="925">
        <v>1</v>
      </c>
      <c r="AM181" s="627"/>
      <c r="AN181" s="627"/>
    </row>
    <row r="182" spans="1:40" customFormat="1" ht="30" customHeight="1">
      <c r="A182" s="1006"/>
      <c r="B182" s="1006"/>
      <c r="C182" s="1006"/>
      <c r="D182" s="1041" t="s">
        <v>2903</v>
      </c>
      <c r="E182" s="1041"/>
      <c r="F182" s="1041"/>
      <c r="G182" s="1041"/>
      <c r="H182" s="1041"/>
      <c r="I182" s="1041"/>
      <c r="J182" s="1041"/>
      <c r="K182" s="1041"/>
      <c r="L182" s="1041"/>
      <c r="M182" s="1041"/>
      <c r="N182" s="1041"/>
      <c r="O182" s="1041"/>
      <c r="P182" s="1006"/>
      <c r="Q182" s="1006"/>
      <c r="R182" s="1006"/>
      <c r="S182" s="1006"/>
      <c r="T182" s="1006"/>
      <c r="U182" s="1006"/>
      <c r="V182" s="1006"/>
      <c r="W182" s="1006"/>
      <c r="X182" s="1006"/>
      <c r="Y182" s="948"/>
      <c r="Z182" s="948"/>
      <c r="AA182" s="948"/>
      <c r="AB182" s="948"/>
      <c r="AC182" s="948"/>
      <c r="AD182" s="948"/>
      <c r="AE182" s="948"/>
      <c r="AF182" s="948"/>
      <c r="AG182" s="948"/>
      <c r="AH182" s="948"/>
      <c r="AI182" s="948"/>
      <c r="AJ182" s="924"/>
      <c r="AK182" s="924"/>
      <c r="AL182" s="925">
        <v>1</v>
      </c>
      <c r="AM182" s="627"/>
      <c r="AN182" s="627"/>
    </row>
    <row r="183" spans="1:40" customFormat="1" ht="30" customHeight="1">
      <c r="A183" s="1006"/>
      <c r="B183" s="1006"/>
      <c r="C183" s="1006"/>
      <c r="D183" s="1041" t="s">
        <v>2904</v>
      </c>
      <c r="E183" s="1041"/>
      <c r="F183" s="1041"/>
      <c r="G183" s="1041"/>
      <c r="H183" s="1041"/>
      <c r="I183" s="1041"/>
      <c r="J183" s="1041"/>
      <c r="K183" s="1041"/>
      <c r="L183" s="1041"/>
      <c r="M183" s="1041"/>
      <c r="N183" s="1041"/>
      <c r="O183" s="1041"/>
      <c r="P183" s="1006"/>
      <c r="Q183" s="1006"/>
      <c r="R183" s="1006"/>
      <c r="S183" s="1006"/>
      <c r="T183" s="1006"/>
      <c r="U183" s="1006"/>
      <c r="V183" s="1006"/>
      <c r="W183" s="1006"/>
      <c r="X183" s="1006"/>
      <c r="Y183" s="948"/>
      <c r="Z183" s="948"/>
      <c r="AA183" s="948"/>
      <c r="AB183" s="948"/>
      <c r="AC183" s="948"/>
      <c r="AD183" s="948"/>
      <c r="AE183" s="948"/>
      <c r="AF183" s="948"/>
      <c r="AG183" s="948"/>
      <c r="AH183" s="948"/>
      <c r="AI183" s="948"/>
      <c r="AJ183" s="924"/>
      <c r="AK183" s="924"/>
      <c r="AL183" s="925">
        <v>1</v>
      </c>
      <c r="AM183" s="627"/>
      <c r="AN183" s="627"/>
    </row>
    <row r="184" spans="1:40" customFormat="1" ht="30" customHeight="1">
      <c r="A184" s="1006"/>
      <c r="B184" s="1006"/>
      <c r="C184" s="1006"/>
      <c r="D184" s="1041" t="s">
        <v>2905</v>
      </c>
      <c r="E184" s="1041"/>
      <c r="F184" s="1041"/>
      <c r="G184" s="1041"/>
      <c r="H184" s="1041"/>
      <c r="I184" s="1041"/>
      <c r="J184" s="1041"/>
      <c r="K184" s="1041"/>
      <c r="L184" s="1041"/>
      <c r="M184" s="1041"/>
      <c r="N184" s="1041"/>
      <c r="O184" s="1041"/>
      <c r="P184" s="1006"/>
      <c r="Q184" s="1006"/>
      <c r="R184" s="1006"/>
      <c r="S184" s="1006"/>
      <c r="T184" s="1006"/>
      <c r="U184" s="1006"/>
      <c r="V184" s="1006"/>
      <c r="W184" s="1006"/>
      <c r="X184" s="1006"/>
      <c r="Y184" s="948"/>
      <c r="Z184" s="948"/>
      <c r="AA184" s="948"/>
      <c r="AB184" s="948"/>
      <c r="AC184" s="948"/>
      <c r="AD184" s="948"/>
      <c r="AE184" s="948"/>
      <c r="AF184" s="948"/>
      <c r="AG184" s="948"/>
      <c r="AH184" s="948"/>
      <c r="AI184" s="948"/>
      <c r="AJ184" s="924"/>
      <c r="AK184" s="924"/>
      <c r="AL184" s="925">
        <v>1</v>
      </c>
      <c r="AM184" s="627"/>
      <c r="AN184" s="627"/>
    </row>
    <row r="185" spans="1:40" customFormat="1" ht="30" customHeight="1">
      <c r="A185" s="1006"/>
      <c r="B185" s="1006"/>
      <c r="C185" s="1006"/>
      <c r="D185" s="1042" t="s">
        <v>2500</v>
      </c>
      <c r="E185" s="1041"/>
      <c r="F185" s="1043"/>
      <c r="G185" s="1041"/>
      <c r="H185" s="1041"/>
      <c r="I185" s="1041"/>
      <c r="J185" s="1041"/>
      <c r="K185" s="1043"/>
      <c r="L185" s="1043"/>
      <c r="M185" s="1043"/>
      <c r="N185" s="1043"/>
      <c r="O185" s="1043"/>
      <c r="P185" s="1006"/>
      <c r="Q185" s="1006"/>
      <c r="R185" s="1006"/>
      <c r="S185" s="1006"/>
      <c r="T185" s="1006"/>
      <c r="U185" s="1006"/>
      <c r="V185" s="1006"/>
      <c r="W185" s="1006"/>
      <c r="X185" s="1006"/>
      <c r="Y185" s="948"/>
      <c r="Z185" s="948"/>
      <c r="AA185" s="948"/>
      <c r="AB185" s="948"/>
      <c r="AC185" s="948"/>
      <c r="AD185" s="948"/>
      <c r="AE185" s="948"/>
      <c r="AF185" s="948"/>
      <c r="AG185" s="948"/>
      <c r="AH185" s="948"/>
      <c r="AI185" s="948"/>
      <c r="AJ185" s="924"/>
      <c r="AK185" s="924"/>
      <c r="AL185" s="925">
        <v>1</v>
      </c>
      <c r="AM185" s="627"/>
      <c r="AN185" s="627"/>
    </row>
    <row r="186" spans="1:40" customFormat="1" ht="30" customHeight="1">
      <c r="A186" s="1006"/>
      <c r="B186" s="1006"/>
      <c r="C186" s="1006"/>
      <c r="D186" s="1006"/>
      <c r="E186" s="1006"/>
      <c r="F186" s="1006"/>
      <c r="G186" s="1006"/>
      <c r="H186" s="1006"/>
      <c r="I186" s="1006"/>
      <c r="J186" s="1006"/>
      <c r="K186" s="1006"/>
      <c r="L186" s="1006"/>
      <c r="M186" s="1006"/>
      <c r="N186" s="1006"/>
      <c r="O186" s="1006"/>
      <c r="P186" s="1006"/>
      <c r="Q186" s="1006"/>
      <c r="R186" s="1006"/>
      <c r="S186" s="1006"/>
      <c r="T186" s="1006"/>
      <c r="U186" s="1006"/>
      <c r="V186" s="1006"/>
      <c r="W186" s="1006"/>
      <c r="X186" s="1006"/>
      <c r="Y186" s="948"/>
      <c r="Z186" s="948"/>
      <c r="AA186" s="948"/>
      <c r="AB186" s="948"/>
      <c r="AC186" s="948"/>
      <c r="AD186" s="948"/>
      <c r="AE186" s="948"/>
      <c r="AF186" s="948"/>
      <c r="AG186" s="948"/>
      <c r="AH186" s="948"/>
      <c r="AI186" s="948"/>
      <c r="AJ186" s="924"/>
      <c r="AK186" s="924"/>
      <c r="AL186" s="925">
        <v>1</v>
      </c>
      <c r="AM186" s="627"/>
      <c r="AN186" s="627"/>
    </row>
    <row r="187" spans="1:40" customFormat="1" ht="30" customHeight="1">
      <c r="A187" s="1006"/>
      <c r="B187" s="1006"/>
      <c r="C187" s="1006"/>
      <c r="D187" s="1041" t="s">
        <v>2898</v>
      </c>
      <c r="E187" s="1044"/>
      <c r="F187" s="1044"/>
      <c r="G187" s="1044"/>
      <c r="H187" s="1045"/>
      <c r="I187" s="1045"/>
      <c r="J187" s="1045"/>
      <c r="K187" s="1045"/>
      <c r="L187" s="1044"/>
      <c r="M187" s="1044"/>
      <c r="N187" s="1044"/>
      <c r="O187" s="1044"/>
      <c r="P187" s="1006"/>
      <c r="Q187" s="1006"/>
      <c r="R187" s="1006"/>
      <c r="S187" s="1006"/>
      <c r="T187" s="1006"/>
      <c r="U187" s="1006"/>
      <c r="V187" s="1006"/>
      <c r="W187" s="1006"/>
      <c r="X187" s="1046"/>
      <c r="Y187" s="948"/>
      <c r="Z187" s="948"/>
      <c r="AA187" s="948"/>
      <c r="AB187" s="948"/>
      <c r="AC187" s="948"/>
      <c r="AD187" s="948"/>
      <c r="AE187" s="948"/>
      <c r="AF187" s="948"/>
      <c r="AG187" s="948"/>
      <c r="AH187" s="948"/>
      <c r="AI187" s="948"/>
      <c r="AJ187" s="924"/>
      <c r="AK187" s="924"/>
      <c r="AL187" s="925">
        <v>1</v>
      </c>
      <c r="AM187" s="627"/>
      <c r="AN187" s="627"/>
    </row>
    <row r="188" spans="1:40" customFormat="1" ht="30" customHeight="1">
      <c r="A188" s="1006"/>
      <c r="B188" s="1006"/>
      <c r="C188" s="1006"/>
      <c r="D188" s="1156" t="s">
        <v>2899</v>
      </c>
      <c r="E188" s="1044"/>
      <c r="F188" s="1044"/>
      <c r="G188" s="1044"/>
      <c r="H188" s="1044"/>
      <c r="I188" s="1044"/>
      <c r="J188" s="1044"/>
      <c r="K188" s="1044"/>
      <c r="L188" s="1044"/>
      <c r="M188" s="1044"/>
      <c r="N188" s="1044"/>
      <c r="O188" s="1044"/>
      <c r="P188" s="1006"/>
      <c r="Q188" s="1006"/>
      <c r="R188" s="1006"/>
      <c r="S188" s="1006"/>
      <c r="T188" s="1006"/>
      <c r="U188" s="1006"/>
      <c r="V188" s="1006"/>
      <c r="W188" s="1006"/>
      <c r="X188" s="1046"/>
      <c r="Y188" s="948"/>
      <c r="Z188" s="948"/>
      <c r="AA188" s="948"/>
      <c r="AB188" s="948"/>
      <c r="AC188" s="948"/>
      <c r="AD188" s="948"/>
      <c r="AE188" s="948"/>
      <c r="AF188" s="948"/>
      <c r="AG188" s="948"/>
      <c r="AH188" s="948"/>
      <c r="AI188" s="948"/>
      <c r="AJ188" s="1006"/>
      <c r="AK188" s="1006"/>
      <c r="AL188" s="925">
        <v>1</v>
      </c>
      <c r="AM188" s="627"/>
      <c r="AN188" s="627"/>
    </row>
    <row r="189" spans="1:40" customFormat="1" ht="30" customHeight="1">
      <c r="A189" s="1006"/>
      <c r="B189" s="1006"/>
      <c r="C189" s="1006"/>
      <c r="D189" s="1041" t="s">
        <v>2900</v>
      </c>
      <c r="E189" s="1044"/>
      <c r="F189" s="1044"/>
      <c r="G189" s="1044"/>
      <c r="H189" s="1044"/>
      <c r="I189" s="1044"/>
      <c r="J189" s="1044"/>
      <c r="K189" s="1044"/>
      <c r="L189" s="1044"/>
      <c r="M189" s="1044"/>
      <c r="N189" s="1044"/>
      <c r="O189" s="1044"/>
      <c r="P189" s="1006"/>
      <c r="Q189" s="1006"/>
      <c r="R189" s="1006"/>
      <c r="S189" s="1006"/>
      <c r="T189" s="1006"/>
      <c r="U189" s="1006"/>
      <c r="V189" s="1006"/>
      <c r="W189" s="1006"/>
      <c r="X189" s="1006"/>
      <c r="Y189" s="948"/>
      <c r="Z189" s="948"/>
      <c r="AA189" s="948"/>
      <c r="AB189" s="948"/>
      <c r="AC189" s="948"/>
      <c r="AD189" s="948"/>
      <c r="AE189" s="948"/>
      <c r="AF189" s="948"/>
      <c r="AG189" s="948"/>
      <c r="AH189" s="948"/>
      <c r="AI189" s="948"/>
      <c r="AJ189" s="1006"/>
      <c r="AK189" s="1006"/>
      <c r="AL189" s="925">
        <v>1</v>
      </c>
      <c r="AM189" s="627"/>
      <c r="AN189" s="627"/>
    </row>
    <row r="190" spans="1:40" customFormat="1" ht="30" customHeight="1">
      <c r="A190" s="1006"/>
      <c r="B190" s="1006"/>
      <c r="C190" s="1006"/>
      <c r="D190" s="1048" t="s">
        <v>2503</v>
      </c>
      <c r="E190" s="1044"/>
      <c r="F190" s="1044"/>
      <c r="G190" s="1044"/>
      <c r="H190" s="1044"/>
      <c r="I190" s="1044"/>
      <c r="J190" s="1044"/>
      <c r="K190" s="1044"/>
      <c r="L190" s="1044"/>
      <c r="M190" s="1044"/>
      <c r="N190" s="1044"/>
      <c r="O190" s="1044"/>
      <c r="P190" s="1006"/>
      <c r="Q190" s="1006"/>
      <c r="R190" s="1006"/>
      <c r="S190" s="1006"/>
      <c r="T190" s="1006"/>
      <c r="U190" s="1006"/>
      <c r="V190" s="1006"/>
      <c r="W190" s="1006"/>
      <c r="X190" s="1006"/>
      <c r="Y190" s="948"/>
      <c r="Z190" s="948"/>
      <c r="AA190" s="948"/>
      <c r="AB190" s="948"/>
      <c r="AC190" s="948"/>
      <c r="AD190" s="948"/>
      <c r="AE190" s="948"/>
      <c r="AF190" s="948"/>
      <c r="AG190" s="948"/>
      <c r="AH190" s="948"/>
      <c r="AI190" s="948"/>
      <c r="AJ190" s="1006"/>
      <c r="AK190" s="1006"/>
      <c r="AL190" s="925">
        <v>1</v>
      </c>
      <c r="AM190" s="627"/>
      <c r="AN190" s="627"/>
    </row>
    <row r="191" spans="1:40" customFormat="1" ht="30" customHeight="1">
      <c r="A191" s="1006"/>
      <c r="B191" s="1006"/>
      <c r="C191" s="1006"/>
      <c r="D191" s="1049" t="s">
        <v>2504</v>
      </c>
      <c r="E191" s="1044"/>
      <c r="F191" s="1044"/>
      <c r="G191" s="1044"/>
      <c r="H191" s="1044"/>
      <c r="I191" s="1044"/>
      <c r="J191" s="1044"/>
      <c r="K191" s="1044"/>
      <c r="L191" s="1044"/>
      <c r="M191" s="1044"/>
      <c r="N191" s="1044"/>
      <c r="O191" s="1044"/>
      <c r="P191" s="1006"/>
      <c r="Q191" s="1006"/>
      <c r="R191" s="1006"/>
      <c r="S191" s="1006"/>
      <c r="T191" s="1006"/>
      <c r="U191" s="1006"/>
      <c r="V191" s="1006"/>
      <c r="W191" s="1006"/>
      <c r="X191" s="1006"/>
      <c r="Y191" s="948"/>
      <c r="Z191" s="948"/>
      <c r="AA191" s="948"/>
      <c r="AB191" s="948"/>
      <c r="AC191" s="948"/>
      <c r="AD191" s="948"/>
      <c r="AE191" s="948"/>
      <c r="AF191" s="948"/>
      <c r="AG191" s="948"/>
      <c r="AH191" s="948"/>
      <c r="AI191" s="948"/>
      <c r="AJ191" s="1006"/>
      <c r="AK191" s="1006"/>
      <c r="AL191" s="925">
        <v>1</v>
      </c>
      <c r="AM191" s="627"/>
      <c r="AN191" s="627"/>
    </row>
    <row r="192" spans="1:40" customFormat="1" ht="30" customHeight="1">
      <c r="A192" s="1006"/>
      <c r="B192" s="1006"/>
      <c r="C192" s="1006"/>
      <c r="D192" s="1006"/>
      <c r="E192" s="1006"/>
      <c r="F192" s="1006"/>
      <c r="G192" s="1006"/>
      <c r="H192" s="1006"/>
      <c r="I192" s="1006"/>
      <c r="J192" s="1006"/>
      <c r="K192" s="1006"/>
      <c r="L192" s="1006"/>
      <c r="M192" s="1006"/>
      <c r="N192" s="1006"/>
      <c r="O192" s="1006"/>
      <c r="P192" s="1006"/>
      <c r="Q192" s="1006"/>
      <c r="R192" s="1006"/>
      <c r="S192" s="1006"/>
      <c r="T192" s="1006"/>
      <c r="U192" s="1006"/>
      <c r="V192" s="1006"/>
      <c r="W192" s="1006"/>
      <c r="X192" s="1006"/>
      <c r="Y192" s="948"/>
      <c r="Z192" s="948"/>
      <c r="AA192" s="948"/>
      <c r="AB192" s="948"/>
      <c r="AC192" s="948"/>
      <c r="AD192" s="948"/>
      <c r="AE192" s="948"/>
      <c r="AF192" s="948"/>
      <c r="AG192" s="948"/>
      <c r="AH192" s="948"/>
      <c r="AI192" s="948"/>
      <c r="AJ192" s="1006"/>
      <c r="AK192" s="1006"/>
      <c r="AL192" s="925">
        <v>1</v>
      </c>
      <c r="AM192" s="627"/>
      <c r="AN192" s="627"/>
    </row>
    <row r="193" spans="1:40" customFormat="1" ht="30" customHeight="1">
      <c r="A193" s="1006"/>
      <c r="B193" s="1006"/>
      <c r="C193" s="1006"/>
      <c r="D193" s="1047" t="s">
        <v>2884</v>
      </c>
      <c r="E193" s="1044"/>
      <c r="F193" s="1044"/>
      <c r="G193" s="1044"/>
      <c r="H193" s="1044"/>
      <c r="I193" s="1044"/>
      <c r="J193" s="1044"/>
      <c r="K193" s="1044"/>
      <c r="L193" s="1044"/>
      <c r="M193" s="1044"/>
      <c r="N193" s="1006"/>
      <c r="O193" s="1006"/>
      <c r="P193" s="1006"/>
      <c r="Q193" s="1006"/>
      <c r="R193" s="1006"/>
      <c r="S193" s="1006"/>
      <c r="T193" s="1006"/>
      <c r="U193" s="1006"/>
      <c r="V193" s="1006"/>
      <c r="W193" s="1006"/>
      <c r="X193" s="1006"/>
      <c r="Y193" s="948"/>
      <c r="Z193" s="948"/>
      <c r="AA193" s="948"/>
      <c r="AB193" s="948"/>
      <c r="AC193" s="948"/>
      <c r="AD193" s="948"/>
      <c r="AE193" s="948"/>
      <c r="AF193" s="948"/>
      <c r="AG193" s="948"/>
      <c r="AH193" s="948"/>
      <c r="AI193" s="948"/>
      <c r="AJ193" s="1006"/>
      <c r="AK193" s="1006"/>
      <c r="AL193" s="925">
        <v>1</v>
      </c>
      <c r="AM193" s="627"/>
      <c r="AN193" s="627"/>
    </row>
    <row r="194" spans="1:40" customFormat="1" ht="30" customHeight="1">
      <c r="A194" s="1006"/>
      <c r="B194" s="1006"/>
      <c r="C194" s="1006"/>
      <c r="D194" s="1044" t="s">
        <v>2886</v>
      </c>
      <c r="E194" s="1044"/>
      <c r="F194" s="1044"/>
      <c r="G194" s="1044"/>
      <c r="H194" s="1044"/>
      <c r="I194" s="1044"/>
      <c r="J194" s="1044"/>
      <c r="K194" s="1044"/>
      <c r="L194" s="1044"/>
      <c r="M194" s="1044"/>
      <c r="N194" s="1006"/>
      <c r="O194" s="1006"/>
      <c r="P194" s="1006"/>
      <c r="Q194" s="1006"/>
      <c r="R194" s="1006"/>
      <c r="S194" s="1006"/>
      <c r="T194" s="1006"/>
      <c r="U194" s="1006"/>
      <c r="V194" s="1006"/>
      <c r="W194" s="1006"/>
      <c r="X194" s="1006"/>
      <c r="Y194" s="948"/>
      <c r="Z194" s="948"/>
      <c r="AA194" s="948"/>
      <c r="AB194" s="948"/>
      <c r="AC194" s="948"/>
      <c r="AD194" s="948"/>
      <c r="AE194" s="948"/>
      <c r="AF194" s="948"/>
      <c r="AG194" s="948"/>
      <c r="AH194" s="948"/>
      <c r="AI194" s="948"/>
      <c r="AJ194" s="1006"/>
      <c r="AK194" s="1006"/>
      <c r="AL194" s="925">
        <v>1</v>
      </c>
      <c r="AM194" s="627"/>
      <c r="AN194" s="627"/>
    </row>
    <row r="195" spans="1:40" customFormat="1" ht="30" customHeight="1">
      <c r="A195" s="1006"/>
      <c r="B195" s="1006"/>
      <c r="C195" s="1006"/>
      <c r="D195" s="1044" t="s">
        <v>2887</v>
      </c>
      <c r="E195" s="1044"/>
      <c r="F195" s="1044"/>
      <c r="G195" s="1044"/>
      <c r="H195" s="1044"/>
      <c r="I195" s="1044"/>
      <c r="J195" s="1044"/>
      <c r="K195" s="1044"/>
      <c r="L195" s="1044"/>
      <c r="M195" s="1044"/>
      <c r="N195" s="1006"/>
      <c r="O195" s="1006"/>
      <c r="P195" s="1006"/>
      <c r="Q195" s="1006"/>
      <c r="R195" s="1006"/>
      <c r="S195" s="1006"/>
      <c r="T195" s="1006"/>
      <c r="U195" s="1006"/>
      <c r="V195" s="1006"/>
      <c r="W195" s="1006"/>
      <c r="X195" s="1006"/>
      <c r="Y195" s="948"/>
      <c r="Z195" s="948"/>
      <c r="AA195" s="948"/>
      <c r="AB195" s="948"/>
      <c r="AC195" s="948"/>
      <c r="AD195" s="948"/>
      <c r="AE195" s="948"/>
      <c r="AF195" s="948"/>
      <c r="AG195" s="948"/>
      <c r="AH195" s="948"/>
      <c r="AI195" s="948"/>
      <c r="AJ195" s="1006"/>
      <c r="AK195" s="1006"/>
      <c r="AL195" s="925">
        <v>1</v>
      </c>
      <c r="AM195" s="627"/>
      <c r="AN195" s="627"/>
    </row>
    <row r="196" spans="1:40" customFormat="1" ht="30" customHeight="1">
      <c r="A196" s="1006"/>
      <c r="B196" s="1006"/>
      <c r="C196" s="1006"/>
      <c r="D196" s="1044" t="s">
        <v>2888</v>
      </c>
      <c r="E196" s="1044"/>
      <c r="F196" s="1044"/>
      <c r="G196" s="1044"/>
      <c r="H196" s="1044"/>
      <c r="I196" s="1044"/>
      <c r="J196" s="1044"/>
      <c r="K196" s="1044"/>
      <c r="L196" s="1044"/>
      <c r="M196" s="1044"/>
      <c r="N196" s="1006"/>
      <c r="O196" s="1006"/>
      <c r="P196" s="1006"/>
      <c r="Q196" s="1006"/>
      <c r="R196" s="1006"/>
      <c r="S196" s="1006"/>
      <c r="T196" s="1006"/>
      <c r="U196" s="1006"/>
      <c r="V196" s="1006"/>
      <c r="W196" s="1006"/>
      <c r="X196" s="1006"/>
      <c r="Y196" s="948"/>
      <c r="Z196" s="948"/>
      <c r="AA196" s="948"/>
      <c r="AB196" s="948"/>
      <c r="AC196" s="948"/>
      <c r="AD196" s="948"/>
      <c r="AE196" s="948"/>
      <c r="AF196" s="948"/>
      <c r="AG196" s="948"/>
      <c r="AH196" s="948"/>
      <c r="AI196" s="948"/>
      <c r="AJ196" s="1006"/>
      <c r="AK196" s="1006"/>
      <c r="AL196" s="925">
        <v>1</v>
      </c>
      <c r="AM196" s="627"/>
      <c r="AN196" s="627"/>
    </row>
    <row r="197" spans="1:40" customFormat="1" ht="30" customHeight="1">
      <c r="A197" s="1006"/>
      <c r="B197" s="1006"/>
      <c r="C197" s="1006"/>
      <c r="D197" s="1044" t="s">
        <v>2885</v>
      </c>
      <c r="E197" s="1044"/>
      <c r="F197" s="1044"/>
      <c r="G197" s="1044"/>
      <c r="H197" s="1044"/>
      <c r="I197" s="1044"/>
      <c r="J197" s="1044"/>
      <c r="K197" s="1044"/>
      <c r="L197" s="1044"/>
      <c r="M197" s="1044"/>
      <c r="N197" s="1006"/>
      <c r="O197" s="1006"/>
      <c r="P197" s="1006"/>
      <c r="Q197" s="1006"/>
      <c r="R197" s="1006"/>
      <c r="S197" s="1006"/>
      <c r="T197" s="1006"/>
      <c r="U197" s="1006"/>
      <c r="V197" s="1006"/>
      <c r="W197" s="1006"/>
      <c r="X197" s="1006"/>
      <c r="Y197" s="948"/>
      <c r="Z197" s="948"/>
      <c r="AA197" s="948"/>
      <c r="AB197" s="948"/>
      <c r="AC197" s="948"/>
      <c r="AD197" s="948"/>
      <c r="AE197" s="948"/>
      <c r="AF197" s="948"/>
      <c r="AG197" s="948"/>
      <c r="AH197" s="948"/>
      <c r="AI197" s="948"/>
      <c r="AJ197" s="1006"/>
      <c r="AK197" s="1006"/>
      <c r="AL197" s="925">
        <v>1</v>
      </c>
      <c r="AM197" s="627"/>
      <c r="AN197" s="627"/>
    </row>
    <row r="198" spans="1:40" customFormat="1" ht="30" customHeight="1">
      <c r="A198" s="1006"/>
      <c r="B198" s="1006"/>
      <c r="C198" s="1006"/>
      <c r="D198" s="1044" t="s">
        <v>2885</v>
      </c>
      <c r="E198" s="1044"/>
      <c r="F198" s="1044"/>
      <c r="G198" s="1044"/>
      <c r="H198" s="1044"/>
      <c r="I198" s="1044"/>
      <c r="J198" s="1044"/>
      <c r="K198" s="1044"/>
      <c r="L198" s="1044"/>
      <c r="M198" s="1044"/>
      <c r="N198" s="1006"/>
      <c r="O198" s="1006"/>
      <c r="P198" s="1006"/>
      <c r="Q198" s="1006"/>
      <c r="R198" s="1006"/>
      <c r="S198" s="1006"/>
      <c r="T198" s="1006"/>
      <c r="U198" s="1006"/>
      <c r="V198" s="1006"/>
      <c r="W198" s="1006"/>
      <c r="X198" s="1006"/>
      <c r="Y198" s="1006"/>
      <c r="Z198" s="1006"/>
      <c r="AA198" s="1006"/>
      <c r="AB198" s="1006"/>
      <c r="AC198" s="1006"/>
      <c r="AD198" s="1006"/>
      <c r="AE198" s="1006"/>
      <c r="AF198" s="1006"/>
      <c r="AG198" s="1006"/>
      <c r="AH198" s="1006"/>
      <c r="AI198" s="1006"/>
      <c r="AJ198" s="1006"/>
      <c r="AK198" s="1006"/>
      <c r="AL198" s="925">
        <v>1</v>
      </c>
      <c r="AM198" s="627"/>
      <c r="AN198" s="627"/>
    </row>
    <row r="199" spans="1:40" customFormat="1" ht="30" customHeight="1">
      <c r="A199" s="1006"/>
      <c r="B199" s="1006"/>
      <c r="C199" s="1006"/>
      <c r="D199" s="1049" t="s">
        <v>2511</v>
      </c>
      <c r="E199" s="1044"/>
      <c r="F199" s="1044"/>
      <c r="G199" s="1044"/>
      <c r="H199" s="1044"/>
      <c r="I199" s="1044"/>
      <c r="J199" s="1044"/>
      <c r="K199" s="1044"/>
      <c r="L199" s="1044"/>
      <c r="M199" s="1044"/>
      <c r="N199" s="1006"/>
      <c r="O199" s="1006"/>
      <c r="P199" s="1006"/>
      <c r="Q199" s="1006"/>
      <c r="R199" s="1006"/>
      <c r="S199" s="1006"/>
      <c r="T199" s="1006"/>
      <c r="U199" s="1006"/>
      <c r="V199" s="1006"/>
      <c r="W199" s="1006"/>
      <c r="X199" s="1006"/>
      <c r="Y199" s="1006"/>
      <c r="Z199" s="1006"/>
      <c r="AA199" s="1006"/>
      <c r="AB199" s="1006"/>
      <c r="AC199" s="1006"/>
      <c r="AD199" s="1006"/>
      <c r="AE199" s="1006"/>
      <c r="AF199" s="1006"/>
      <c r="AG199" s="1006"/>
      <c r="AH199" s="1006"/>
      <c r="AI199" s="1006"/>
      <c r="AJ199" s="1006"/>
      <c r="AK199" s="1006"/>
      <c r="AL199" s="925">
        <v>1</v>
      </c>
      <c r="AM199" s="627"/>
      <c r="AN199" s="627"/>
    </row>
    <row r="200" spans="1:40" customFormat="1" ht="30" customHeight="1">
      <c r="A200" s="1006"/>
      <c r="B200" s="1006"/>
      <c r="C200" s="1006"/>
      <c r="D200" s="1049" t="s">
        <v>2512</v>
      </c>
      <c r="E200" s="1044"/>
      <c r="F200" s="1044"/>
      <c r="G200" s="1044"/>
      <c r="H200" s="1044"/>
      <c r="I200" s="1044"/>
      <c r="J200" s="1044"/>
      <c r="K200" s="1044"/>
      <c r="L200" s="1044"/>
      <c r="M200" s="1044"/>
      <c r="N200" s="1006"/>
      <c r="O200" s="1006"/>
      <c r="P200" s="1006"/>
      <c r="Q200" s="1006"/>
      <c r="R200" s="1006"/>
      <c r="S200" s="1006"/>
      <c r="T200" s="1006"/>
      <c r="U200" s="1006"/>
      <c r="V200" s="1006"/>
      <c r="W200" s="1006"/>
      <c r="X200" s="1006"/>
      <c r="Y200" s="1006"/>
      <c r="Z200" s="1006"/>
      <c r="AA200" s="1006"/>
      <c r="AB200" s="1006"/>
      <c r="AC200" s="1006"/>
      <c r="AD200" s="1006"/>
      <c r="AE200" s="1006"/>
      <c r="AF200" s="1006"/>
      <c r="AG200" s="1006"/>
      <c r="AH200" s="1006"/>
      <c r="AI200" s="1006"/>
      <c r="AJ200" s="1006"/>
      <c r="AK200" s="1006"/>
      <c r="AL200" s="925">
        <v>1</v>
      </c>
      <c r="AM200" s="627"/>
      <c r="AN200" s="627"/>
    </row>
    <row r="201" spans="1:40" customFormat="1" ht="30" customHeight="1">
      <c r="A201" s="1006"/>
      <c r="B201" s="1006"/>
      <c r="C201" s="1006"/>
      <c r="D201" s="1006"/>
      <c r="E201" s="1006"/>
      <c r="F201" s="1006"/>
      <c r="G201" s="1006"/>
      <c r="H201" s="1006"/>
      <c r="I201" s="1006"/>
      <c r="J201" s="1006"/>
      <c r="K201" s="1006"/>
      <c r="L201" s="1006"/>
      <c r="M201" s="1006"/>
      <c r="N201" s="1006"/>
      <c r="O201" s="1006"/>
      <c r="P201" s="1006"/>
      <c r="Q201" s="1006"/>
      <c r="R201" s="1006"/>
      <c r="S201" s="1006"/>
      <c r="T201" s="1006"/>
      <c r="U201" s="1006"/>
      <c r="V201" s="1006"/>
      <c r="W201" s="1006"/>
      <c r="X201" s="1006"/>
      <c r="Y201" s="1006"/>
      <c r="Z201" s="1006"/>
      <c r="AA201" s="1006"/>
      <c r="AB201" s="1006"/>
      <c r="AC201" s="1006"/>
      <c r="AD201" s="1006"/>
      <c r="AE201" s="1006"/>
      <c r="AF201" s="1006"/>
      <c r="AG201" s="1006"/>
      <c r="AH201" s="1006"/>
      <c r="AI201" s="1006"/>
      <c r="AJ201" s="1006"/>
      <c r="AK201" s="1006"/>
      <c r="AL201" s="925">
        <v>1</v>
      </c>
      <c r="AM201" s="627"/>
      <c r="AN201" s="627"/>
    </row>
    <row r="202" spans="1:40" customFormat="1" ht="30" customHeight="1">
      <c r="A202" s="1006"/>
      <c r="B202" s="1006"/>
      <c r="C202" s="1006"/>
      <c r="D202" s="1050" t="s">
        <v>2914</v>
      </c>
      <c r="E202" s="1051"/>
      <c r="F202" s="1051"/>
      <c r="G202" s="1051"/>
      <c r="H202" s="1051"/>
      <c r="I202" s="1051"/>
      <c r="J202" s="1051"/>
      <c r="K202" s="1051"/>
      <c r="L202" s="1051"/>
      <c r="M202" s="1051"/>
      <c r="N202" s="1006"/>
      <c r="O202" s="1006"/>
      <c r="P202" s="1006"/>
      <c r="Q202" s="1006"/>
      <c r="R202" s="1006"/>
      <c r="S202" s="1006"/>
      <c r="T202" s="1006"/>
      <c r="U202" s="1006"/>
      <c r="V202" s="1006"/>
      <c r="W202" s="1006"/>
      <c r="X202" s="1006"/>
      <c r="Y202" s="1006"/>
      <c r="Z202" s="1006"/>
      <c r="AA202" s="1006"/>
      <c r="AB202" s="1006"/>
      <c r="AC202" s="1006"/>
      <c r="AD202" s="1006"/>
      <c r="AE202" s="1006"/>
      <c r="AF202" s="1006"/>
      <c r="AG202" s="1006"/>
      <c r="AH202" s="1006"/>
      <c r="AI202" s="1006"/>
      <c r="AJ202" s="1006"/>
      <c r="AK202" s="1006"/>
      <c r="AL202" s="925">
        <v>1</v>
      </c>
      <c r="AM202" s="627"/>
      <c r="AN202" s="627"/>
    </row>
    <row r="203" spans="1:40" customFormat="1" ht="30" customHeight="1">
      <c r="A203" s="1006"/>
      <c r="B203" s="1006"/>
      <c r="C203" s="1006"/>
      <c r="D203" s="1052" t="s">
        <v>2915</v>
      </c>
      <c r="E203" s="1051"/>
      <c r="F203" s="1051"/>
      <c r="G203" s="1051"/>
      <c r="H203" s="1051"/>
      <c r="I203" s="1051"/>
      <c r="J203" s="1051"/>
      <c r="K203" s="1051"/>
      <c r="L203" s="1051"/>
      <c r="M203" s="1051"/>
      <c r="N203" s="1006"/>
      <c r="O203" s="1006"/>
      <c r="P203" s="1006"/>
      <c r="Q203" s="1006"/>
      <c r="R203" s="1006"/>
      <c r="S203" s="1006"/>
      <c r="T203" s="1006"/>
      <c r="U203" s="1006"/>
      <c r="V203" s="1006"/>
      <c r="W203" s="1006"/>
      <c r="X203" s="1006"/>
      <c r="Y203" s="1006"/>
      <c r="Z203" s="1006"/>
      <c r="AA203" s="1006"/>
      <c r="AB203" s="1006"/>
      <c r="AC203" s="1006"/>
      <c r="AD203" s="1006"/>
      <c r="AE203" s="1006"/>
      <c r="AF203" s="1006"/>
      <c r="AG203" s="1006"/>
      <c r="AH203" s="1006"/>
      <c r="AI203" s="1006"/>
      <c r="AJ203" s="1006"/>
      <c r="AK203" s="1006"/>
      <c r="AL203" s="925">
        <v>1</v>
      </c>
      <c r="AM203" s="627"/>
      <c r="AN203" s="627"/>
    </row>
    <row r="204" spans="1:40" customFormat="1" ht="30" customHeight="1">
      <c r="A204" s="1006"/>
      <c r="B204" s="1006"/>
      <c r="C204" s="1006"/>
      <c r="D204" s="1052" t="s">
        <v>2916</v>
      </c>
      <c r="E204" s="1051"/>
      <c r="F204" s="1051"/>
      <c r="G204" s="1051"/>
      <c r="H204" s="1051"/>
      <c r="I204" s="1051"/>
      <c r="J204" s="1051"/>
      <c r="K204" s="1051"/>
      <c r="L204" s="1051"/>
      <c r="M204" s="1051"/>
      <c r="N204" s="1006"/>
      <c r="O204" s="1006"/>
      <c r="P204" s="1006"/>
      <c r="Q204" s="1006"/>
      <c r="R204" s="1006"/>
      <c r="S204" s="1006"/>
      <c r="T204" s="1006"/>
      <c r="U204" s="1006"/>
      <c r="V204" s="1006"/>
      <c r="W204" s="1006"/>
      <c r="X204" s="1006"/>
      <c r="Y204" s="1006"/>
      <c r="Z204" s="1006"/>
      <c r="AA204" s="1006"/>
      <c r="AB204" s="1006"/>
      <c r="AC204" s="1006"/>
      <c r="AD204" s="1006"/>
      <c r="AE204" s="1006"/>
      <c r="AF204" s="1006"/>
      <c r="AG204" s="1006"/>
      <c r="AH204" s="1006"/>
      <c r="AI204" s="1006"/>
      <c r="AJ204" s="1006"/>
      <c r="AK204" s="1006"/>
      <c r="AL204" s="925">
        <v>1</v>
      </c>
      <c r="AM204" s="627"/>
      <c r="AN204" s="627"/>
    </row>
    <row r="205" spans="1:40" customFormat="1" ht="30" customHeight="1">
      <c r="A205" s="1006"/>
      <c r="B205" s="1006"/>
      <c r="C205" s="1006"/>
      <c r="D205" s="1053" t="s">
        <v>2517</v>
      </c>
      <c r="E205" s="1051"/>
      <c r="F205" s="1051"/>
      <c r="G205" s="1051"/>
      <c r="H205" s="1051"/>
      <c r="I205" s="1051"/>
      <c r="J205" s="1051"/>
      <c r="K205" s="1051"/>
      <c r="L205" s="1051"/>
      <c r="M205" s="1051"/>
      <c r="N205" s="1006"/>
      <c r="O205" s="1006"/>
      <c r="P205" s="1006"/>
      <c r="Q205" s="1006"/>
      <c r="R205" s="1006"/>
      <c r="S205" s="1006"/>
      <c r="T205" s="1006"/>
      <c r="U205" s="1006"/>
      <c r="V205" s="1006"/>
      <c r="W205" s="1006"/>
      <c r="X205" s="1006"/>
      <c r="Y205" s="1006"/>
      <c r="Z205" s="1006"/>
      <c r="AA205" s="1006"/>
      <c r="AB205" s="1006"/>
      <c r="AC205" s="1006"/>
      <c r="AD205" s="1006"/>
      <c r="AE205" s="1006"/>
      <c r="AF205" s="1006"/>
      <c r="AG205" s="1006"/>
      <c r="AH205" s="1006"/>
      <c r="AI205" s="1006"/>
      <c r="AJ205" s="1006"/>
      <c r="AK205" s="1006"/>
      <c r="AL205" s="925">
        <v>1</v>
      </c>
      <c r="AM205" s="627"/>
      <c r="AN205" s="627"/>
    </row>
    <row r="206" spans="1:40" customFormat="1" ht="30" customHeight="1">
      <c r="A206" s="1006"/>
      <c r="B206" s="1006"/>
      <c r="C206" s="1006"/>
      <c r="D206" s="1054" t="s">
        <v>2518</v>
      </c>
      <c r="E206" s="1051"/>
      <c r="F206" s="1051"/>
      <c r="G206" s="1051"/>
      <c r="H206" s="1051"/>
      <c r="I206" s="1051"/>
      <c r="J206" s="1051"/>
      <c r="K206" s="1051"/>
      <c r="L206" s="1051"/>
      <c r="M206" s="1051"/>
      <c r="N206" s="1006"/>
      <c r="O206" s="1006"/>
      <c r="P206" s="1006"/>
      <c r="Q206" s="1006"/>
      <c r="R206" s="1006"/>
      <c r="S206" s="1006"/>
      <c r="T206" s="1006"/>
      <c r="U206" s="1006"/>
      <c r="V206" s="1006"/>
      <c r="W206" s="1006"/>
      <c r="X206" s="1006"/>
      <c r="Y206" s="1006"/>
      <c r="Z206" s="1006"/>
      <c r="AA206" s="1006"/>
      <c r="AB206" s="1006"/>
      <c r="AC206" s="1006"/>
      <c r="AD206" s="1006"/>
      <c r="AE206" s="1006"/>
      <c r="AF206" s="1006"/>
      <c r="AG206" s="1006"/>
      <c r="AH206" s="1006"/>
      <c r="AI206" s="1006"/>
      <c r="AJ206" s="1006"/>
      <c r="AK206" s="1006"/>
      <c r="AL206" s="925">
        <v>1</v>
      </c>
      <c r="AM206" s="627"/>
      <c r="AN206" s="627"/>
    </row>
    <row r="207" spans="1:40" customFormat="1" ht="30" customHeight="1">
      <c r="A207" s="1006"/>
      <c r="B207" s="1006"/>
      <c r="C207" s="1006"/>
      <c r="D207" s="1054" t="s">
        <v>2519</v>
      </c>
      <c r="E207" s="1051"/>
      <c r="F207" s="1051"/>
      <c r="G207" s="1051"/>
      <c r="H207" s="1051"/>
      <c r="I207" s="1051"/>
      <c r="J207" s="1051"/>
      <c r="K207" s="1051"/>
      <c r="L207" s="1051"/>
      <c r="M207" s="1051"/>
      <c r="N207" s="1006"/>
      <c r="O207" s="1006"/>
      <c r="P207" s="1006"/>
      <c r="Q207" s="1006"/>
      <c r="R207" s="1006"/>
      <c r="S207" s="1006"/>
      <c r="T207" s="1006"/>
      <c r="U207" s="1006"/>
      <c r="V207" s="1006"/>
      <c r="W207" s="1006"/>
      <c r="X207" s="1006"/>
      <c r="Y207" s="1006"/>
      <c r="Z207" s="1006"/>
      <c r="AA207" s="1006"/>
      <c r="AB207" s="1006"/>
      <c r="AC207" s="1006"/>
      <c r="AD207" s="1006"/>
      <c r="AE207" s="1006"/>
      <c r="AF207" s="1006"/>
      <c r="AG207" s="1006"/>
      <c r="AH207" s="1006"/>
      <c r="AI207" s="1006"/>
      <c r="AJ207" s="1006"/>
      <c r="AK207" s="1006"/>
      <c r="AL207" s="925">
        <v>1</v>
      </c>
      <c r="AM207" s="627"/>
      <c r="AN207" s="627"/>
    </row>
    <row r="208" spans="1:40" customFormat="1" ht="30" customHeight="1">
      <c r="A208" s="1006"/>
      <c r="B208" s="1006"/>
      <c r="C208" s="1006"/>
      <c r="D208" s="1006"/>
      <c r="E208" s="1006"/>
      <c r="F208" s="1006"/>
      <c r="G208" s="1006"/>
      <c r="H208" s="1006"/>
      <c r="I208" s="1006"/>
      <c r="J208" s="1006"/>
      <c r="K208" s="1006"/>
      <c r="L208" s="1006"/>
      <c r="M208" s="1006"/>
      <c r="N208" s="1006"/>
      <c r="O208" s="1006"/>
      <c r="P208" s="1006"/>
      <c r="Q208" s="1006"/>
      <c r="R208" s="1006"/>
      <c r="S208" s="1006"/>
      <c r="T208" s="1006"/>
      <c r="U208" s="1006"/>
      <c r="V208" s="1006"/>
      <c r="W208" s="1006"/>
      <c r="X208" s="1006"/>
      <c r="Y208" s="1006"/>
      <c r="Z208" s="1006"/>
      <c r="AA208" s="1006"/>
      <c r="AB208" s="1006"/>
      <c r="AC208" s="1006"/>
      <c r="AD208" s="1006"/>
      <c r="AE208" s="1006"/>
      <c r="AF208" s="1006"/>
      <c r="AG208" s="1006"/>
      <c r="AH208" s="1006"/>
      <c r="AI208" s="1006"/>
      <c r="AJ208" s="1006"/>
      <c r="AK208" s="1006"/>
      <c r="AL208" s="925">
        <v>1</v>
      </c>
      <c r="AM208" s="627"/>
      <c r="AN208" s="627"/>
    </row>
    <row r="209" spans="1:40" customFormat="1" ht="30" customHeight="1">
      <c r="A209" s="1006"/>
      <c r="B209" s="1006"/>
      <c r="C209" s="1006"/>
      <c r="D209" s="1055" t="s">
        <v>2917</v>
      </c>
      <c r="E209" s="1055"/>
      <c r="F209" s="1055"/>
      <c r="G209" s="1055"/>
      <c r="H209" s="1055"/>
      <c r="I209" s="1055"/>
      <c r="J209" s="1055"/>
      <c r="K209" s="1055"/>
      <c r="L209" s="1055"/>
      <c r="M209" s="1055"/>
      <c r="N209" s="1006"/>
      <c r="O209" s="1006"/>
      <c r="P209" s="1006"/>
      <c r="Q209" s="1006"/>
      <c r="R209" s="1006"/>
      <c r="S209" s="1006"/>
      <c r="T209" s="1006"/>
      <c r="U209" s="1006"/>
      <c r="V209" s="1006"/>
      <c r="W209" s="1006"/>
      <c r="X209" s="1006"/>
      <c r="Y209" s="1006"/>
      <c r="Z209" s="1006"/>
      <c r="AA209" s="1006"/>
      <c r="AB209" s="1006"/>
      <c r="AC209" s="1006"/>
      <c r="AD209" s="1006"/>
      <c r="AE209" s="1006"/>
      <c r="AF209" s="1006"/>
      <c r="AG209" s="1006"/>
      <c r="AH209" s="1006"/>
      <c r="AI209" s="1006"/>
      <c r="AJ209" s="1006"/>
      <c r="AK209" s="1006"/>
      <c r="AL209" s="925">
        <v>1</v>
      </c>
      <c r="AM209" s="627"/>
      <c r="AN209" s="627"/>
    </row>
    <row r="210" spans="1:40" customFormat="1" ht="30" customHeight="1">
      <c r="A210" s="1006"/>
      <c r="B210" s="1006"/>
      <c r="C210" s="1006"/>
      <c r="D210" s="1055" t="s">
        <v>2918</v>
      </c>
      <c r="E210" s="1055"/>
      <c r="F210" s="1055"/>
      <c r="G210" s="1055"/>
      <c r="H210" s="1055"/>
      <c r="I210" s="1055"/>
      <c r="J210" s="1055"/>
      <c r="K210" s="1055"/>
      <c r="L210" s="1055"/>
      <c r="M210" s="1055"/>
      <c r="N210" s="1006"/>
      <c r="O210" s="1006"/>
      <c r="P210" s="1006"/>
      <c r="Q210" s="1006"/>
      <c r="R210" s="1006"/>
      <c r="S210" s="1006"/>
      <c r="T210" s="1006"/>
      <c r="U210" s="1006"/>
      <c r="V210" s="1006"/>
      <c r="W210" s="1006"/>
      <c r="X210" s="1006"/>
      <c r="Y210" s="1006"/>
      <c r="Z210" s="1006"/>
      <c r="AA210" s="1006"/>
      <c r="AB210" s="1006"/>
      <c r="AC210" s="1006"/>
      <c r="AD210" s="1006"/>
      <c r="AE210" s="1006"/>
      <c r="AF210" s="1006"/>
      <c r="AG210" s="1006"/>
      <c r="AH210" s="1006"/>
      <c r="AI210" s="1006"/>
      <c r="AJ210" s="1006"/>
      <c r="AK210" s="1006"/>
      <c r="AL210" s="925">
        <v>1</v>
      </c>
      <c r="AM210" s="627"/>
      <c r="AN210" s="627"/>
    </row>
    <row r="211" spans="1:40" customFormat="1" ht="30" customHeight="1">
      <c r="A211" s="1006"/>
      <c r="B211" s="1006"/>
      <c r="C211" s="1006"/>
      <c r="D211" s="1055" t="s">
        <v>2919</v>
      </c>
      <c r="E211" s="1055"/>
      <c r="F211" s="1055"/>
      <c r="G211" s="1055"/>
      <c r="H211" s="1055"/>
      <c r="I211" s="1055"/>
      <c r="J211" s="1055"/>
      <c r="K211" s="1055"/>
      <c r="L211" s="1055"/>
      <c r="M211" s="1055"/>
      <c r="N211" s="1006"/>
      <c r="O211" s="1006"/>
      <c r="P211" s="1006"/>
      <c r="Q211" s="1006"/>
      <c r="R211" s="1006"/>
      <c r="S211" s="1006"/>
      <c r="T211" s="1006"/>
      <c r="U211" s="1006"/>
      <c r="V211" s="1006"/>
      <c r="W211" s="1006"/>
      <c r="X211" s="1006"/>
      <c r="Y211" s="1006"/>
      <c r="Z211" s="1006"/>
      <c r="AA211" s="1006"/>
      <c r="AB211" s="1006"/>
      <c r="AC211" s="1006"/>
      <c r="AD211" s="1006"/>
      <c r="AE211" s="1006"/>
      <c r="AF211" s="1006"/>
      <c r="AG211" s="1006"/>
      <c r="AH211" s="1006"/>
      <c r="AI211" s="1006"/>
      <c r="AJ211" s="1006"/>
      <c r="AK211" s="1006"/>
      <c r="AL211" s="925">
        <v>1</v>
      </c>
      <c r="AM211" s="627"/>
      <c r="AN211" s="627"/>
    </row>
    <row r="212" spans="1:40" customFormat="1" ht="30" customHeight="1">
      <c r="A212" s="1006"/>
      <c r="B212" s="1006"/>
      <c r="C212" s="1006"/>
      <c r="D212" s="1055" t="s">
        <v>2920</v>
      </c>
      <c r="E212" s="1055"/>
      <c r="F212" s="1055"/>
      <c r="G212" s="1055"/>
      <c r="H212" s="1055"/>
      <c r="I212" s="1055"/>
      <c r="J212" s="1055"/>
      <c r="K212" s="1055"/>
      <c r="L212" s="1055"/>
      <c r="M212" s="1055"/>
      <c r="N212" s="1006"/>
      <c r="O212" s="1006"/>
      <c r="P212" s="1006"/>
      <c r="Q212" s="1006"/>
      <c r="R212" s="1006"/>
      <c r="S212" s="1006"/>
      <c r="T212" s="1006"/>
      <c r="U212" s="1006"/>
      <c r="V212" s="1006"/>
      <c r="W212" s="1006"/>
      <c r="X212" s="1006"/>
      <c r="Y212" s="1006"/>
      <c r="Z212" s="1006"/>
      <c r="AA212" s="1006"/>
      <c r="AB212" s="1006"/>
      <c r="AC212" s="1006"/>
      <c r="AD212" s="1006"/>
      <c r="AE212" s="1006"/>
      <c r="AF212" s="1006"/>
      <c r="AG212" s="1006"/>
      <c r="AH212" s="1006"/>
      <c r="AI212" s="1006"/>
      <c r="AJ212" s="1006"/>
      <c r="AK212" s="1006"/>
      <c r="AL212" s="925">
        <v>1</v>
      </c>
      <c r="AM212" s="627"/>
      <c r="AN212" s="627"/>
    </row>
    <row r="213" spans="1:40" customFormat="1" ht="30" customHeight="1">
      <c r="A213" s="1006"/>
      <c r="B213" s="1006"/>
      <c r="C213" s="1006"/>
      <c r="D213" s="1055"/>
      <c r="E213" s="1055"/>
      <c r="F213" s="1055"/>
      <c r="G213" s="1055"/>
      <c r="H213" s="1055"/>
      <c r="I213" s="1055"/>
      <c r="J213" s="1055"/>
      <c r="K213" s="1055"/>
      <c r="L213" s="1055"/>
      <c r="M213" s="1055"/>
      <c r="N213" s="1006"/>
      <c r="O213" s="1006"/>
      <c r="P213" s="1006"/>
      <c r="Q213" s="1006"/>
      <c r="R213" s="1006"/>
      <c r="S213" s="1006"/>
      <c r="T213" s="1006"/>
      <c r="U213" s="1006"/>
      <c r="V213" s="1006"/>
      <c r="W213" s="1006"/>
      <c r="X213" s="1006"/>
      <c r="Y213" s="1006"/>
      <c r="Z213" s="1006"/>
      <c r="AA213" s="1006"/>
      <c r="AB213" s="1006"/>
      <c r="AC213" s="1006"/>
      <c r="AD213" s="1006"/>
      <c r="AE213" s="1006"/>
      <c r="AF213" s="1006"/>
      <c r="AG213" s="1006"/>
      <c r="AH213" s="1006"/>
      <c r="AI213" s="1006"/>
      <c r="AJ213" s="1006"/>
      <c r="AK213" s="1006"/>
      <c r="AL213" s="925">
        <v>1</v>
      </c>
      <c r="AM213" s="627"/>
      <c r="AN213" s="627"/>
    </row>
    <row r="214" spans="1:40" customFormat="1" ht="30" customHeight="1" thickBot="1">
      <c r="A214" s="1006"/>
      <c r="B214" s="1006"/>
      <c r="C214" s="1006"/>
      <c r="D214" s="1006"/>
      <c r="E214" s="1006"/>
      <c r="F214" s="1006"/>
      <c r="G214" s="1006"/>
      <c r="H214" s="1006"/>
      <c r="I214" s="1006"/>
      <c r="J214" s="1006"/>
      <c r="K214" s="1006"/>
      <c r="L214" s="1006"/>
      <c r="M214" s="1006"/>
      <c r="N214" s="1006"/>
      <c r="O214" s="1006"/>
      <c r="P214" s="1006"/>
      <c r="Q214" s="957"/>
      <c r="R214" s="957"/>
      <c r="S214" s="957"/>
      <c r="T214" s="957"/>
      <c r="U214" s="957"/>
      <c r="V214" s="957"/>
      <c r="W214" s="1006"/>
      <c r="X214" s="1006"/>
      <c r="Y214" s="1006"/>
      <c r="Z214" s="1006"/>
      <c r="AA214" s="1006"/>
      <c r="AB214" s="1006"/>
      <c r="AC214" s="1006"/>
      <c r="AD214" s="1006"/>
      <c r="AE214" s="1006"/>
      <c r="AF214" s="1006"/>
      <c r="AG214" s="1006"/>
      <c r="AH214" s="1006"/>
      <c r="AI214" s="1006"/>
      <c r="AJ214" s="1006"/>
      <c r="AK214" s="1006"/>
      <c r="AL214" s="925">
        <v>1</v>
      </c>
      <c r="AM214" s="627"/>
      <c r="AN214" s="627"/>
    </row>
    <row r="215" spans="1:40" s="1061" customFormat="1" ht="30" customHeight="1">
      <c r="A215" s="1056"/>
      <c r="B215" s="1006"/>
      <c r="C215" s="1006"/>
      <c r="D215" s="6446" t="s">
        <v>2926</v>
      </c>
      <c r="E215" s="6447"/>
      <c r="F215" s="6447"/>
      <c r="G215" s="6447"/>
      <c r="H215" s="6447"/>
      <c r="I215" s="6447"/>
      <c r="J215" s="6447"/>
      <c r="K215" s="1191"/>
      <c r="L215" s="1057"/>
      <c r="M215" s="1006"/>
      <c r="N215" s="1006"/>
      <c r="O215" s="1006"/>
      <c r="P215" s="1058" t="s">
        <v>2928</v>
      </c>
      <c r="Q215" s="1059"/>
      <c r="R215" s="1059"/>
      <c r="S215" s="1059"/>
      <c r="T215" s="1059"/>
      <c r="U215" s="1059"/>
      <c r="V215" s="1059"/>
      <c r="W215" s="1060"/>
      <c r="X215" s="1006"/>
      <c r="Y215" s="1006"/>
      <c r="Z215" s="1006"/>
      <c r="AA215" s="1006"/>
      <c r="AB215" s="1006"/>
      <c r="AC215" s="1006"/>
      <c r="AD215" s="1006"/>
      <c r="AE215" s="1006"/>
      <c r="AF215" s="1006"/>
      <c r="AG215" s="1006"/>
      <c r="AH215" s="1006"/>
      <c r="AI215" s="1006"/>
      <c r="AJ215" s="1006"/>
      <c r="AK215" s="1006"/>
      <c r="AL215" s="925">
        <v>1</v>
      </c>
      <c r="AM215" s="627"/>
      <c r="AN215" s="627"/>
    </row>
    <row r="216" spans="1:40" s="1061" customFormat="1" ht="30" customHeight="1">
      <c r="A216" s="1056"/>
      <c r="B216" s="1006"/>
      <c r="C216" s="1006"/>
      <c r="D216" s="1062" t="s">
        <v>3030</v>
      </c>
      <c r="E216" s="1063"/>
      <c r="F216" s="1063"/>
      <c r="G216" s="1063"/>
      <c r="H216" s="1063"/>
      <c r="I216" s="1063"/>
      <c r="J216" s="1063"/>
      <c r="K216" s="9"/>
      <c r="L216" s="38"/>
      <c r="M216" s="1006"/>
      <c r="N216" s="1006"/>
      <c r="O216" s="1006"/>
      <c r="P216" s="1064" t="s">
        <v>2927</v>
      </c>
      <c r="Q216" s="1065"/>
      <c r="R216" s="1065"/>
      <c r="S216" s="1065"/>
      <c r="T216" s="1065"/>
      <c r="U216" s="1065"/>
      <c r="V216" s="1065"/>
      <c r="W216" s="1066"/>
      <c r="X216" s="1006"/>
      <c r="Y216" s="1006"/>
      <c r="Z216" s="1006"/>
      <c r="AA216" s="1006"/>
      <c r="AB216" s="1006"/>
      <c r="AC216" s="1006"/>
      <c r="AD216" s="1006"/>
      <c r="AE216" s="1006"/>
      <c r="AF216" s="1006"/>
      <c r="AG216" s="1006"/>
      <c r="AH216" s="1006"/>
      <c r="AI216" s="1006"/>
      <c r="AJ216" s="1006"/>
      <c r="AK216" s="1006"/>
      <c r="AL216" s="925">
        <v>1</v>
      </c>
      <c r="AM216" s="627"/>
      <c r="AN216" s="627"/>
    </row>
    <row r="217" spans="1:40" s="1061" customFormat="1" ht="30" customHeight="1">
      <c r="A217" s="1056"/>
      <c r="B217" s="1006"/>
      <c r="C217" s="1006"/>
      <c r="D217" s="1062"/>
      <c r="E217" s="1067"/>
      <c r="F217" s="1067"/>
      <c r="G217" s="1067"/>
      <c r="H217" s="1067"/>
      <c r="I217" s="1067"/>
      <c r="J217" s="1067"/>
      <c r="K217" s="1067"/>
      <c r="L217" s="1068"/>
      <c r="M217" s="1006"/>
      <c r="N217" s="1006"/>
      <c r="O217" s="1006"/>
      <c r="P217" s="1069"/>
      <c r="Q217" s="1070"/>
      <c r="R217" s="1070"/>
      <c r="S217" s="1070"/>
      <c r="T217" s="1070"/>
      <c r="U217" s="1070"/>
      <c r="V217" s="1070"/>
      <c r="W217" s="1071"/>
      <c r="X217" s="1006"/>
      <c r="Y217" s="1006"/>
      <c r="Z217" s="1006"/>
      <c r="AA217" s="1006"/>
      <c r="AB217" s="1006"/>
      <c r="AC217" s="1006"/>
      <c r="AD217" s="1006"/>
      <c r="AE217" s="1006"/>
      <c r="AF217" s="1006"/>
      <c r="AG217" s="1006"/>
      <c r="AH217" s="1006"/>
      <c r="AI217" s="1006"/>
      <c r="AJ217" s="1006"/>
      <c r="AK217" s="1006"/>
      <c r="AL217" s="925">
        <v>1</v>
      </c>
      <c r="AM217" s="627"/>
      <c r="AN217" s="627"/>
    </row>
    <row r="218" spans="1:40" s="1061" customFormat="1" ht="30" customHeight="1">
      <c r="A218" s="1056"/>
      <c r="B218" s="1006"/>
      <c r="C218" s="1006"/>
      <c r="D218" s="1062"/>
      <c r="E218" s="1193" t="s">
        <v>3033</v>
      </c>
      <c r="F218" s="1067"/>
      <c r="G218" s="1067"/>
      <c r="H218" s="1067"/>
      <c r="I218" s="1067"/>
      <c r="J218" s="1067"/>
      <c r="K218" s="1067"/>
      <c r="L218" s="1068"/>
      <c r="M218" s="1006"/>
      <c r="N218" s="1006"/>
      <c r="O218" s="1006"/>
      <c r="P218" s="1069"/>
      <c r="Q218" s="1070"/>
      <c r="R218" s="1070"/>
      <c r="S218" s="1070"/>
      <c r="T218" s="1070"/>
      <c r="U218" s="1070"/>
      <c r="V218" s="1070"/>
      <c r="W218" s="1071"/>
      <c r="X218" s="1006"/>
      <c r="Y218" s="1006"/>
      <c r="Z218" s="1006"/>
      <c r="AA218" s="1006"/>
      <c r="AB218" s="1006"/>
      <c r="AC218" s="1006"/>
      <c r="AD218" s="1006"/>
      <c r="AE218" s="1006"/>
      <c r="AF218" s="1006"/>
      <c r="AG218" s="1006"/>
      <c r="AH218" s="1006"/>
      <c r="AI218" s="1006"/>
      <c r="AJ218" s="1006"/>
      <c r="AK218" s="1006"/>
      <c r="AL218" s="925">
        <v>1</v>
      </c>
      <c r="AM218" s="627"/>
      <c r="AN218" s="627"/>
    </row>
    <row r="219" spans="1:40" s="1061" customFormat="1" ht="30" customHeight="1">
      <c r="A219" s="1056"/>
      <c r="B219" s="1006"/>
      <c r="C219" s="1006"/>
      <c r="D219" s="1062" t="s">
        <v>3031</v>
      </c>
      <c r="E219" s="1067"/>
      <c r="F219" s="1067"/>
      <c r="G219" s="1067"/>
      <c r="H219" s="1067"/>
      <c r="I219" s="1067"/>
      <c r="J219" s="1067"/>
      <c r="K219" s="1067"/>
      <c r="L219" s="1068"/>
      <c r="M219" s="1006"/>
      <c r="N219" s="1006"/>
      <c r="O219" s="1006"/>
      <c r="P219" s="459"/>
      <c r="Q219" s="9"/>
      <c r="R219" s="9"/>
      <c r="S219" s="9"/>
      <c r="T219" s="9"/>
      <c r="U219" s="9"/>
      <c r="V219" s="9"/>
      <c r="W219" s="38"/>
      <c r="X219" s="1006"/>
      <c r="Y219" s="1006"/>
      <c r="Z219" s="1006"/>
      <c r="AA219" s="1006"/>
      <c r="AB219" s="1006"/>
      <c r="AC219" s="1006"/>
      <c r="AD219" s="1006"/>
      <c r="AE219" s="1006"/>
      <c r="AF219" s="1006"/>
      <c r="AG219" s="1006"/>
      <c r="AH219" s="1006"/>
      <c r="AI219" s="1006"/>
      <c r="AJ219" s="1006"/>
      <c r="AK219" s="1006"/>
      <c r="AL219" s="925">
        <v>1</v>
      </c>
      <c r="AM219" s="627"/>
      <c r="AN219" s="627"/>
    </row>
    <row r="220" spans="1:40" s="1061" customFormat="1" ht="30" customHeight="1">
      <c r="A220" s="1056"/>
      <c r="B220" s="1006"/>
      <c r="C220" s="1006"/>
      <c r="D220" s="1062"/>
      <c r="E220" s="1072"/>
      <c r="F220" s="1072"/>
      <c r="G220" s="1072"/>
      <c r="H220" s="1192" t="s">
        <v>3034</v>
      </c>
      <c r="I220" s="1072"/>
      <c r="J220" s="1073"/>
      <c r="K220" s="9"/>
      <c r="L220" s="38"/>
      <c r="M220" s="1006"/>
      <c r="N220" s="1006"/>
      <c r="O220" s="1006"/>
      <c r="P220" s="459"/>
      <c r="Q220" s="9"/>
      <c r="R220" s="9"/>
      <c r="S220" s="9"/>
      <c r="T220" s="9"/>
      <c r="U220" s="9"/>
      <c r="V220" s="9"/>
      <c r="W220" s="38"/>
      <c r="X220" s="1006"/>
      <c r="Y220" s="1006"/>
      <c r="Z220" s="1006"/>
      <c r="AA220" s="1006"/>
      <c r="AB220" s="1006"/>
      <c r="AC220" s="1006"/>
      <c r="AD220" s="1006"/>
      <c r="AE220" s="1006"/>
      <c r="AF220" s="1006"/>
      <c r="AG220" s="1006"/>
      <c r="AH220" s="1006"/>
      <c r="AI220" s="1006"/>
      <c r="AJ220" s="1006"/>
      <c r="AK220" s="1006"/>
      <c r="AL220" s="925">
        <v>1</v>
      </c>
      <c r="AM220" s="627"/>
      <c r="AN220" s="627"/>
    </row>
    <row r="221" spans="1:40" s="1061" customFormat="1" ht="30" customHeight="1">
      <c r="A221" s="1056"/>
      <c r="B221" s="1006"/>
      <c r="C221" s="1006"/>
      <c r="D221" s="1062"/>
      <c r="E221" s="1072"/>
      <c r="F221" s="1072"/>
      <c r="G221" s="1072"/>
      <c r="H221" s="1192" t="s">
        <v>3035</v>
      </c>
      <c r="I221" s="1072"/>
      <c r="J221" s="1073"/>
      <c r="K221" s="9"/>
      <c r="L221" s="38"/>
      <c r="M221" s="1006"/>
      <c r="N221" s="1006"/>
      <c r="O221" s="1006"/>
      <c r="P221" s="459"/>
      <c r="Q221" s="9"/>
      <c r="R221" s="9"/>
      <c r="S221" s="9"/>
      <c r="T221" s="9"/>
      <c r="U221" s="9"/>
      <c r="V221" s="9"/>
      <c r="W221" s="38"/>
      <c r="X221" s="1006"/>
      <c r="Y221" s="1006"/>
      <c r="Z221" s="1006"/>
      <c r="AA221" s="1006"/>
      <c r="AB221" s="1006"/>
      <c r="AC221" s="1006"/>
      <c r="AD221" s="1006"/>
      <c r="AE221" s="1006"/>
      <c r="AF221" s="1006"/>
      <c r="AG221" s="1006"/>
      <c r="AH221" s="1006"/>
      <c r="AI221" s="1006"/>
      <c r="AJ221" s="1006"/>
      <c r="AK221" s="1006"/>
      <c r="AL221" s="925">
        <v>1</v>
      </c>
      <c r="AM221" s="627"/>
      <c r="AN221" s="627"/>
    </row>
    <row r="222" spans="1:40" s="1061" customFormat="1" ht="30" customHeight="1">
      <c r="A222" s="1056"/>
      <c r="B222" s="1006"/>
      <c r="C222" s="1006"/>
      <c r="D222" s="1062"/>
      <c r="E222" s="1072"/>
      <c r="F222" s="1072"/>
      <c r="G222" s="1072"/>
      <c r="H222" s="1192" t="s">
        <v>3036</v>
      </c>
      <c r="I222" s="1072"/>
      <c r="J222" s="1073"/>
      <c r="K222" s="9"/>
      <c r="L222" s="38"/>
      <c r="M222" s="1006"/>
      <c r="N222" s="1006"/>
      <c r="O222" s="1006"/>
      <c r="P222" s="459"/>
      <c r="Q222" s="9"/>
      <c r="R222" s="9"/>
      <c r="S222" s="9"/>
      <c r="T222" s="9"/>
      <c r="U222" s="9"/>
      <c r="V222" s="9"/>
      <c r="W222" s="38"/>
      <c r="X222" s="1006"/>
      <c r="Y222" s="1006"/>
      <c r="Z222" s="1006"/>
      <c r="AA222" s="1006"/>
      <c r="AB222" s="1006"/>
      <c r="AC222" s="1006"/>
      <c r="AD222" s="1006"/>
      <c r="AE222" s="1006"/>
      <c r="AF222" s="1006"/>
      <c r="AG222" s="1006"/>
      <c r="AH222" s="1006"/>
      <c r="AI222" s="1006"/>
      <c r="AJ222" s="1006"/>
      <c r="AK222" s="1006"/>
      <c r="AL222" s="925">
        <v>1</v>
      </c>
      <c r="AM222" s="627"/>
      <c r="AN222" s="627"/>
    </row>
    <row r="223" spans="1:40" s="1061" customFormat="1" ht="30" customHeight="1">
      <c r="A223" s="1056"/>
      <c r="B223" s="1006"/>
      <c r="C223" s="1006"/>
      <c r="D223" s="6428" t="s">
        <v>3032</v>
      </c>
      <c r="E223" s="6429"/>
      <c r="F223" s="6429"/>
      <c r="G223" s="6429"/>
      <c r="H223" s="6429"/>
      <c r="I223" s="6429"/>
      <c r="J223" s="6429"/>
      <c r="K223" s="6429"/>
      <c r="L223" s="38"/>
      <c r="M223" s="1006"/>
      <c r="N223" s="1006"/>
      <c r="O223" s="1006"/>
      <c r="P223" s="459"/>
      <c r="Q223" s="9"/>
      <c r="R223" s="9"/>
      <c r="S223" s="9"/>
      <c r="T223" s="9"/>
      <c r="U223" s="9"/>
      <c r="V223" s="9"/>
      <c r="W223" s="38"/>
      <c r="X223" s="1006"/>
      <c r="Y223" s="1006"/>
      <c r="Z223" s="923"/>
      <c r="AA223" s="923"/>
      <c r="AB223" s="923"/>
      <c r="AC223" s="923"/>
      <c r="AD223" s="923"/>
      <c r="AE223" s="923"/>
      <c r="AF223" s="923"/>
      <c r="AG223" s="923"/>
      <c r="AH223" s="923"/>
      <c r="AI223" s="923"/>
      <c r="AJ223" s="923"/>
      <c r="AK223" s="923"/>
      <c r="AL223" s="925">
        <v>1</v>
      </c>
      <c r="AM223" s="627"/>
      <c r="AN223" s="627"/>
    </row>
    <row r="224" spans="1:40" s="1061" customFormat="1" ht="30" customHeight="1" thickBot="1">
      <c r="A224" s="1056"/>
      <c r="B224" s="1006"/>
      <c r="C224" s="1006"/>
      <c r="D224" s="6431"/>
      <c r="E224" s="6432"/>
      <c r="F224" s="6432"/>
      <c r="G224" s="6432"/>
      <c r="H224" s="6432"/>
      <c r="I224" s="6432"/>
      <c r="J224" s="6432"/>
      <c r="K224" s="6432"/>
      <c r="L224" s="1076"/>
      <c r="M224" s="1006"/>
      <c r="N224" s="1006"/>
      <c r="O224" s="1006"/>
      <c r="P224" s="1074"/>
      <c r="Q224" s="1075"/>
      <c r="R224" s="1075"/>
      <c r="S224" s="1075"/>
      <c r="T224" s="1075"/>
      <c r="U224" s="1075"/>
      <c r="V224" s="1075"/>
      <c r="W224" s="1076"/>
      <c r="X224" s="1006"/>
      <c r="Y224" s="1006"/>
      <c r="Z224" s="1022"/>
      <c r="AA224" s="1022"/>
      <c r="AB224" s="1022"/>
      <c r="AC224" s="1022"/>
      <c r="AD224" s="1022"/>
      <c r="AE224" s="1022"/>
      <c r="AF224" s="1022"/>
      <c r="AG224" s="1022"/>
      <c r="AH224" s="1023"/>
      <c r="AI224" s="1023"/>
      <c r="AJ224" s="923"/>
      <c r="AK224" s="923"/>
      <c r="AL224" s="925">
        <v>1</v>
      </c>
      <c r="AM224" s="627"/>
      <c r="AN224" s="627"/>
    </row>
    <row r="225" spans="1:40">
      <c r="A225" s="921"/>
      <c r="B225" s="1006"/>
      <c r="C225" s="1006"/>
      <c r="D225" s="1006"/>
      <c r="E225" s="1006"/>
      <c r="F225" s="1006"/>
      <c r="G225" s="1006"/>
      <c r="H225" s="1006"/>
      <c r="I225" s="1006"/>
      <c r="J225" s="1006"/>
      <c r="K225" s="1006"/>
      <c r="L225" s="1006"/>
      <c r="M225" s="1006"/>
      <c r="N225" s="1006"/>
      <c r="O225" s="1006"/>
      <c r="P225" s="1006"/>
      <c r="Q225" s="1006"/>
      <c r="R225" s="1006"/>
      <c r="S225" s="1006"/>
      <c r="T225" s="1006"/>
      <c r="U225" s="1006"/>
      <c r="V225" s="1006"/>
      <c r="W225" s="1006"/>
      <c r="X225" s="1006"/>
      <c r="Y225" s="1006"/>
      <c r="Z225" s="1022"/>
      <c r="AA225" s="1022"/>
      <c r="AB225" s="1022"/>
      <c r="AC225" s="1022"/>
      <c r="AD225" s="1022"/>
      <c r="AE225" s="1022"/>
      <c r="AF225" s="1022"/>
      <c r="AG225" s="1022"/>
      <c r="AH225" s="1023"/>
      <c r="AI225" s="1023"/>
      <c r="AJ225" s="923"/>
      <c r="AK225" s="923"/>
      <c r="AL225" s="925">
        <v>1</v>
      </c>
    </row>
    <row r="226" spans="1:40">
      <c r="A226" s="921"/>
      <c r="B226" s="1006"/>
      <c r="C226" s="921"/>
      <c r="D226" s="921"/>
      <c r="E226" s="921"/>
      <c r="F226" s="921"/>
      <c r="G226" s="921"/>
      <c r="H226" s="921"/>
      <c r="I226" s="921"/>
      <c r="J226" s="921"/>
      <c r="K226" s="921"/>
      <c r="L226" s="921"/>
      <c r="M226" s="921"/>
      <c r="N226" s="921"/>
      <c r="O226" s="921"/>
      <c r="P226" s="921"/>
      <c r="Q226" s="921"/>
      <c r="R226" s="921"/>
      <c r="S226" s="921"/>
      <c r="T226" s="921"/>
      <c r="U226" s="921"/>
      <c r="V226" s="921"/>
      <c r="W226" s="921"/>
      <c r="X226" s="1006"/>
      <c r="Y226" s="1006"/>
      <c r="Z226" s="1022"/>
      <c r="AA226" s="1022"/>
      <c r="AB226" s="1022"/>
      <c r="AC226" s="1022"/>
      <c r="AD226" s="1022"/>
      <c r="AE226" s="1022"/>
      <c r="AF226" s="1022"/>
      <c r="AG226" s="1022"/>
      <c r="AH226" s="1023"/>
      <c r="AI226" s="1023"/>
      <c r="AJ226" s="923"/>
      <c r="AK226" s="923"/>
      <c r="AL226" s="925">
        <v>1</v>
      </c>
    </row>
    <row r="227" spans="1:40" customFormat="1" ht="30" customHeight="1">
      <c r="A227" s="1006">
        <v>1</v>
      </c>
      <c r="B227" s="1006">
        <v>1</v>
      </c>
      <c r="C227" s="6434" t="s">
        <v>207</v>
      </c>
      <c r="D227" s="6434"/>
      <c r="E227" s="1077" t="str">
        <f ca="1">CELL("nomfichier")</f>
        <v>D:\Données\1.UPRT\0-UPRT.fait\1-UPRT.FR-SITE-WEB\ff-fiches-fabrications\ff.fiches.fabrication.2023\ffr.restaurant.2023\[ff.FICHE.TRILINGUE.20.COLONNES.05.01.2026.xlsx]Couleurs.pour.vos.documents</v>
      </c>
      <c r="F227" s="1078"/>
      <c r="G227" s="1078"/>
      <c r="H227" s="1078"/>
      <c r="I227" s="1078"/>
      <c r="J227" s="1079"/>
      <c r="K227" s="1078"/>
      <c r="L227" s="1078"/>
      <c r="M227" s="1078"/>
      <c r="N227" s="1078"/>
      <c r="O227" s="1078"/>
      <c r="P227" s="1078"/>
      <c r="Q227" s="1078"/>
      <c r="R227" s="1078"/>
      <c r="S227" s="1078"/>
      <c r="T227" s="1078"/>
      <c r="U227" s="1078"/>
      <c r="V227" s="1078"/>
      <c r="W227" s="1078"/>
      <c r="X227" s="1078"/>
      <c r="Y227" s="1006"/>
      <c r="Z227" s="1022"/>
      <c r="AA227" s="1022"/>
      <c r="AB227" s="1022"/>
      <c r="AC227" s="1022"/>
      <c r="AD227" s="1022"/>
      <c r="AE227" s="1022"/>
      <c r="AF227" s="1022"/>
      <c r="AG227" s="1022"/>
      <c r="AH227" s="1023"/>
      <c r="AI227" s="1023"/>
      <c r="AJ227" s="923"/>
      <c r="AK227" s="923"/>
      <c r="AL227" s="925">
        <v>1</v>
      </c>
      <c r="AM227" s="627"/>
      <c r="AN227" s="627"/>
    </row>
    <row r="228" spans="1:40">
      <c r="A228" s="921"/>
      <c r="B228" s="921"/>
      <c r="C228" s="921"/>
      <c r="D228" s="921"/>
      <c r="E228" s="921"/>
      <c r="F228" s="921"/>
      <c r="G228" s="921"/>
      <c r="H228" s="921"/>
      <c r="I228" s="921"/>
      <c r="J228" s="921"/>
      <c r="K228" s="921"/>
      <c r="L228" s="921"/>
      <c r="M228" s="921"/>
      <c r="N228" s="921"/>
      <c r="O228" s="921"/>
      <c r="P228" s="921"/>
      <c r="Q228" s="921"/>
      <c r="R228" s="921"/>
      <c r="S228" s="921"/>
      <c r="T228" s="921"/>
      <c r="U228" s="921"/>
      <c r="V228" s="921"/>
      <c r="W228" s="921"/>
      <c r="X228" s="921"/>
      <c r="Y228" s="921"/>
      <c r="Z228" s="1022"/>
      <c r="AA228" s="1022"/>
      <c r="AB228" s="1022"/>
      <c r="AC228" s="1022"/>
      <c r="AD228" s="1022"/>
      <c r="AE228" s="1022"/>
      <c r="AF228" s="1022"/>
      <c r="AG228" s="1022"/>
      <c r="AH228" s="1023"/>
      <c r="AI228" s="1023"/>
      <c r="AJ228" s="923"/>
      <c r="AK228" s="923"/>
      <c r="AL228" s="925">
        <v>1</v>
      </c>
    </row>
    <row r="229" spans="1:40" s="984" customFormat="1" ht="40.5" customHeight="1">
      <c r="A229" s="921"/>
      <c r="B229" s="996"/>
      <c r="C229" s="1157" t="s">
        <v>2932</v>
      </c>
      <c r="D229" s="1157"/>
      <c r="E229" s="1157"/>
      <c r="F229" s="1157"/>
      <c r="G229" s="1157"/>
      <c r="H229" s="1157"/>
      <c r="I229" s="1157"/>
      <c r="J229" s="1157"/>
      <c r="K229" s="1157"/>
      <c r="L229" s="1157"/>
      <c r="M229" s="921"/>
      <c r="N229" s="921"/>
      <c r="O229" s="986"/>
      <c r="P229" s="986"/>
      <c r="Q229" s="986"/>
      <c r="R229" s="986"/>
      <c r="S229" s="986"/>
      <c r="T229" s="923"/>
      <c r="U229" s="923"/>
      <c r="V229" s="923"/>
      <c r="W229" s="923"/>
      <c r="X229" s="923"/>
      <c r="Y229" s="923"/>
      <c r="Z229" s="923"/>
      <c r="AA229" s="923"/>
      <c r="AB229" s="923"/>
      <c r="AC229" s="923"/>
      <c r="AD229" s="923"/>
      <c r="AE229" s="923"/>
      <c r="AF229" s="923"/>
      <c r="AG229" s="1022"/>
      <c r="AH229" s="1023"/>
      <c r="AI229" s="1023"/>
      <c r="AJ229" s="923"/>
      <c r="AK229" s="923"/>
      <c r="AL229" s="925">
        <v>1</v>
      </c>
      <c r="AM229" s="627"/>
      <c r="AN229" s="627"/>
    </row>
    <row r="230" spans="1:40" s="984" customFormat="1" ht="40.5" customHeight="1">
      <c r="A230" s="921"/>
      <c r="B230" s="996"/>
      <c r="C230" s="921"/>
      <c r="D230" s="921"/>
      <c r="E230" s="921"/>
      <c r="F230" s="921"/>
      <c r="G230" s="921"/>
      <c r="H230" s="921"/>
      <c r="I230" s="986"/>
      <c r="J230" s="921"/>
      <c r="K230" s="921"/>
      <c r="L230" s="921"/>
      <c r="M230" s="921"/>
      <c r="N230" s="921"/>
      <c r="O230" s="986"/>
      <c r="P230" s="986"/>
      <c r="Q230" s="986"/>
      <c r="R230" s="986"/>
      <c r="S230" s="986"/>
      <c r="T230" s="923"/>
      <c r="U230" s="923"/>
      <c r="V230" s="923"/>
      <c r="W230" s="923"/>
      <c r="X230" s="923"/>
      <c r="Y230" s="923"/>
      <c r="Z230" s="923"/>
      <c r="AA230" s="923"/>
      <c r="AB230" s="923"/>
      <c r="AC230" s="923"/>
      <c r="AD230" s="923"/>
      <c r="AE230" s="923"/>
      <c r="AF230" s="923"/>
      <c r="AG230" s="1022"/>
      <c r="AH230" s="1023"/>
      <c r="AI230" s="1023"/>
      <c r="AJ230" s="923"/>
      <c r="AK230" s="923"/>
      <c r="AL230" s="925">
        <v>1</v>
      </c>
      <c r="AM230" s="627"/>
      <c r="AN230" s="627"/>
    </row>
    <row r="231" spans="1:40" s="984" customFormat="1" ht="40.5" customHeight="1">
      <c r="A231" s="921"/>
      <c r="B231" s="996"/>
      <c r="C231" s="1080" t="s">
        <v>838</v>
      </c>
      <c r="D231" s="1081"/>
      <c r="E231" s="1081"/>
      <c r="F231" s="1081"/>
      <c r="G231" s="986"/>
      <c r="H231" s="986"/>
      <c r="I231" s="986"/>
      <c r="J231" s="986"/>
      <c r="K231" s="986"/>
      <c r="L231" s="986"/>
      <c r="M231" s="986"/>
      <c r="N231" s="986"/>
      <c r="O231" s="1082" t="s">
        <v>2936</v>
      </c>
      <c r="P231" s="986"/>
      <c r="Q231" s="986"/>
      <c r="R231" s="986"/>
      <c r="S231" s="986"/>
      <c r="T231" s="923"/>
      <c r="U231" s="1083"/>
      <c r="V231" s="923"/>
      <c r="W231" s="923"/>
      <c r="X231" s="923"/>
      <c r="Y231" s="923"/>
      <c r="Z231" s="1035"/>
      <c r="AA231" s="923"/>
      <c r="AB231" s="923"/>
      <c r="AC231" s="923"/>
      <c r="AD231" s="923"/>
      <c r="AE231" s="923"/>
      <c r="AF231" s="923"/>
      <c r="AG231" s="1022"/>
      <c r="AH231" s="1023"/>
      <c r="AI231" s="1023"/>
      <c r="AJ231" s="923"/>
      <c r="AK231" s="923"/>
      <c r="AL231" s="925">
        <v>1</v>
      </c>
      <c r="AM231" s="627"/>
      <c r="AN231" s="627"/>
    </row>
    <row r="232" spans="1:40" s="984" customFormat="1" ht="40.5" customHeight="1">
      <c r="A232" s="921"/>
      <c r="B232" s="996"/>
      <c r="C232" s="1084" t="s">
        <v>2937</v>
      </c>
      <c r="D232" s="1081"/>
      <c r="E232" s="1081"/>
      <c r="F232" s="1081"/>
      <c r="G232" s="1083"/>
      <c r="H232" s="1085"/>
      <c r="I232" s="1081"/>
      <c r="J232" s="1081"/>
      <c r="K232" s="921"/>
      <c r="L232" s="921"/>
      <c r="M232" s="921"/>
      <c r="N232" s="921"/>
      <c r="O232" s="986"/>
      <c r="P232" s="986"/>
      <c r="Q232" s="986"/>
      <c r="R232" s="986"/>
      <c r="S232" s="986"/>
      <c r="T232" s="923"/>
      <c r="U232" s="923"/>
      <c r="V232" s="923"/>
      <c r="W232" s="923"/>
      <c r="X232" s="923"/>
      <c r="Y232" s="923"/>
      <c r="Z232" s="1039"/>
      <c r="AA232" s="923"/>
      <c r="AB232" s="923"/>
      <c r="AC232" s="923"/>
      <c r="AD232" s="923"/>
      <c r="AE232" s="923"/>
      <c r="AF232" s="923"/>
      <c r="AG232" s="1022"/>
      <c r="AH232" s="1023"/>
      <c r="AI232" s="1023"/>
      <c r="AJ232" s="923"/>
      <c r="AK232" s="923"/>
      <c r="AL232" s="925">
        <v>1</v>
      </c>
      <c r="AM232" s="627"/>
      <c r="AN232" s="627"/>
    </row>
    <row r="233" spans="1:40" s="984" customFormat="1" ht="40.5" customHeight="1">
      <c r="A233" s="921"/>
      <c r="B233" s="996"/>
      <c r="C233" s="1086" t="s">
        <v>839</v>
      </c>
      <c r="D233" s="1081"/>
      <c r="E233" s="1081"/>
      <c r="F233" s="1081"/>
      <c r="G233" s="1083"/>
      <c r="H233" s="1085"/>
      <c r="I233" s="1081"/>
      <c r="J233" s="1081"/>
      <c r="K233" s="921"/>
      <c r="L233" s="921"/>
      <c r="M233" s="921"/>
      <c r="N233" s="921"/>
      <c r="O233" s="986"/>
      <c r="P233" s="986"/>
      <c r="Q233" s="986"/>
      <c r="R233" s="986"/>
      <c r="S233" s="986"/>
      <c r="T233" s="923"/>
      <c r="U233" s="923"/>
      <c r="V233" s="923"/>
      <c r="W233" s="923"/>
      <c r="X233" s="923"/>
      <c r="Y233" s="923"/>
      <c r="Z233" s="923"/>
      <c r="AA233" s="923"/>
      <c r="AB233" s="923"/>
      <c r="AC233" s="923"/>
      <c r="AD233" s="923"/>
      <c r="AE233" s="923"/>
      <c r="AF233" s="923"/>
      <c r="AG233" s="1022"/>
      <c r="AH233" s="1023"/>
      <c r="AI233" s="1023"/>
      <c r="AJ233" s="923"/>
      <c r="AK233" s="923"/>
      <c r="AL233" s="925">
        <v>1</v>
      </c>
      <c r="AM233" s="627"/>
      <c r="AN233" s="627"/>
    </row>
    <row r="234" spans="1:40" s="984" customFormat="1" ht="40.5" customHeight="1">
      <c r="A234" s="921"/>
      <c r="B234" s="996"/>
      <c r="C234" s="1087" t="s">
        <v>2939</v>
      </c>
      <c r="D234" s="921"/>
      <c r="E234" s="921"/>
      <c r="F234" s="921"/>
      <c r="G234" s="921"/>
      <c r="H234" s="921"/>
      <c r="I234" s="986"/>
      <c r="J234" s="921"/>
      <c r="K234" s="921"/>
      <c r="L234" s="921"/>
      <c r="M234" s="921"/>
      <c r="N234" s="921"/>
      <c r="O234" s="986"/>
      <c r="P234" s="986"/>
      <c r="Q234" s="986"/>
      <c r="R234" s="986"/>
      <c r="S234" s="986"/>
      <c r="T234" s="923"/>
      <c r="U234" s="923"/>
      <c r="V234" s="1016" t="s">
        <v>2938</v>
      </c>
      <c r="W234" s="1027"/>
      <c r="X234" s="1027"/>
      <c r="Y234" s="1027"/>
      <c r="Z234" s="1027"/>
      <c r="AA234" s="1027"/>
      <c r="AB234" s="1027"/>
      <c r="AC234" s="923"/>
      <c r="AD234" s="923"/>
      <c r="AE234" s="923"/>
      <c r="AF234" s="923"/>
      <c r="AG234" s="1022"/>
      <c r="AH234" s="1023"/>
      <c r="AI234" s="1023"/>
      <c r="AJ234" s="923"/>
      <c r="AK234" s="923"/>
      <c r="AL234" s="925">
        <v>1</v>
      </c>
      <c r="AM234" s="627"/>
      <c r="AN234" s="627"/>
    </row>
    <row r="235" spans="1:40" s="984" customFormat="1" ht="40.5" customHeight="1">
      <c r="A235" s="921"/>
      <c r="B235" s="996"/>
      <c r="C235" s="1087" t="s">
        <v>2940</v>
      </c>
      <c r="D235" s="921"/>
      <c r="E235" s="921"/>
      <c r="F235" s="921"/>
      <c r="G235" s="921"/>
      <c r="H235" s="921"/>
      <c r="I235" s="986"/>
      <c r="J235" s="921"/>
      <c r="K235" s="921"/>
      <c r="L235" s="921"/>
      <c r="M235" s="921"/>
      <c r="N235" s="921"/>
      <c r="O235" s="986"/>
      <c r="P235" s="986"/>
      <c r="Q235" s="986"/>
      <c r="R235" s="986"/>
      <c r="S235" s="986"/>
      <c r="T235" s="923"/>
      <c r="U235" s="923"/>
      <c r="V235" s="1088" t="s">
        <v>2535</v>
      </c>
      <c r="W235" s="998"/>
      <c r="X235" s="998"/>
      <c r="Y235" s="998"/>
      <c r="Z235" s="998"/>
      <c r="AA235" s="998"/>
      <c r="AB235" s="998"/>
      <c r="AC235" s="923" t="s">
        <v>21</v>
      </c>
      <c r="AD235" s="923"/>
      <c r="AE235" s="923"/>
      <c r="AF235" s="923"/>
      <c r="AG235" s="1022"/>
      <c r="AH235" s="1023"/>
      <c r="AI235" s="1023"/>
      <c r="AJ235" s="923"/>
      <c r="AK235" s="923"/>
      <c r="AL235" s="925">
        <v>1</v>
      </c>
      <c r="AM235" s="627"/>
      <c r="AN235" s="627"/>
    </row>
    <row r="236" spans="1:40" s="984" customFormat="1" ht="40.5" customHeight="1">
      <c r="A236" s="921"/>
      <c r="B236" s="996"/>
      <c r="C236" s="1089" t="s">
        <v>2536</v>
      </c>
      <c r="D236" s="921"/>
      <c r="E236" s="921"/>
      <c r="F236" s="921"/>
      <c r="G236" s="921"/>
      <c r="H236" s="921"/>
      <c r="I236" s="986"/>
      <c r="J236" s="921"/>
      <c r="K236" s="921"/>
      <c r="L236" s="921"/>
      <c r="M236" s="921"/>
      <c r="N236" s="921"/>
      <c r="O236" s="986"/>
      <c r="P236" s="986"/>
      <c r="Q236" s="986"/>
      <c r="R236" s="986"/>
      <c r="S236" s="986"/>
      <c r="T236" s="923"/>
      <c r="U236" s="923"/>
      <c r="V236" s="923"/>
      <c r="W236" s="923"/>
      <c r="X236" s="923"/>
      <c r="Y236" s="923"/>
      <c r="Z236" s="923"/>
      <c r="AA236" s="923"/>
      <c r="AB236" s="923"/>
      <c r="AC236" s="923"/>
      <c r="AD236" s="923"/>
      <c r="AE236" s="923"/>
      <c r="AF236" s="923"/>
      <c r="AG236" s="1022"/>
      <c r="AH236" s="1023"/>
      <c r="AI236" s="1023"/>
      <c r="AJ236" s="923"/>
      <c r="AK236" s="923"/>
      <c r="AL236" s="925">
        <v>1</v>
      </c>
      <c r="AM236" s="627"/>
      <c r="AN236" s="627"/>
    </row>
    <row r="237" spans="1:40" s="984" customFormat="1" ht="40.5" customHeight="1">
      <c r="A237" s="921"/>
      <c r="B237" s="996"/>
      <c r="C237" s="1089" t="s">
        <v>2537</v>
      </c>
      <c r="D237" s="921"/>
      <c r="E237" s="921"/>
      <c r="F237" s="921"/>
      <c r="G237" s="921"/>
      <c r="H237" s="921"/>
      <c r="I237" s="986"/>
      <c r="J237" s="921"/>
      <c r="K237" s="921"/>
      <c r="L237" s="921"/>
      <c r="M237" s="921"/>
      <c r="N237" s="921"/>
      <c r="O237" s="986"/>
      <c r="P237" s="986"/>
      <c r="Q237" s="986"/>
      <c r="R237" s="986"/>
      <c r="S237" s="986"/>
      <c r="T237" s="923"/>
      <c r="U237" s="923"/>
      <c r="V237" s="923"/>
      <c r="W237" s="923"/>
      <c r="X237" s="923"/>
      <c r="Y237" s="923"/>
      <c r="Z237" s="923"/>
      <c r="AA237" s="923"/>
      <c r="AB237" s="923"/>
      <c r="AC237" s="923"/>
      <c r="AD237" s="923"/>
      <c r="AE237" s="923"/>
      <c r="AF237" s="923"/>
      <c r="AG237" s="1022"/>
      <c r="AH237" s="1023"/>
      <c r="AI237" s="1023"/>
      <c r="AJ237" s="923"/>
      <c r="AK237" s="923"/>
      <c r="AL237" s="925">
        <v>1</v>
      </c>
      <c r="AM237" s="627"/>
      <c r="AN237" s="627"/>
    </row>
    <row r="238" spans="1:40" s="984" customFormat="1" ht="40.5" customHeight="1">
      <c r="A238" s="921"/>
      <c r="B238" s="996"/>
      <c r="C238" s="1090" t="s">
        <v>2538</v>
      </c>
      <c r="D238" s="1090" t="s">
        <v>2539</v>
      </c>
      <c r="E238" s="1090" t="s">
        <v>2540</v>
      </c>
      <c r="F238" s="1090" t="s">
        <v>2541</v>
      </c>
      <c r="G238" s="1090" t="s">
        <v>2542</v>
      </c>
      <c r="H238" s="1090" t="s">
        <v>2543</v>
      </c>
      <c r="I238" s="1090" t="s">
        <v>2544</v>
      </c>
      <c r="J238" s="1090" t="s">
        <v>2545</v>
      </c>
      <c r="K238" s="1090" t="s">
        <v>2546</v>
      </c>
      <c r="L238" s="1090" t="s">
        <v>2547</v>
      </c>
      <c r="M238" s="1090" t="s">
        <v>2548</v>
      </c>
      <c r="N238" s="1090" t="s">
        <v>2549</v>
      </c>
      <c r="O238" s="1090" t="s">
        <v>2550</v>
      </c>
      <c r="P238" s="986"/>
      <c r="Q238" s="1090" t="s">
        <v>2551</v>
      </c>
      <c r="R238" s="1090" t="s">
        <v>2552</v>
      </c>
      <c r="S238" s="1090" t="s">
        <v>2553</v>
      </c>
      <c r="T238" s="1090" t="s">
        <v>2554</v>
      </c>
      <c r="U238" s="1090" t="s">
        <v>2555</v>
      </c>
      <c r="V238" s="1090" t="s">
        <v>2556</v>
      </c>
      <c r="W238" s="1090" t="s">
        <v>2557</v>
      </c>
      <c r="X238" s="1090" t="s">
        <v>2558</v>
      </c>
      <c r="Y238" s="1090" t="s">
        <v>2559</v>
      </c>
      <c r="Z238" s="1090" t="s">
        <v>2560</v>
      </c>
      <c r="AA238" s="1090" t="s">
        <v>2561</v>
      </c>
      <c r="AB238" s="1090" t="s">
        <v>2562</v>
      </c>
      <c r="AC238" s="1090" t="s">
        <v>2563</v>
      </c>
      <c r="AD238" s="923"/>
      <c r="AE238" s="923"/>
      <c r="AF238" s="923"/>
      <c r="AG238" s="1022"/>
      <c r="AH238" s="1023"/>
      <c r="AI238" s="1023"/>
      <c r="AJ238" s="923"/>
      <c r="AK238" s="923"/>
      <c r="AL238" s="925">
        <v>1</v>
      </c>
      <c r="AM238" s="627"/>
      <c r="AN238" s="627"/>
    </row>
    <row r="239" spans="1:40" s="984" customFormat="1" ht="40.5" customHeight="1">
      <c r="A239" s="921"/>
      <c r="B239" s="996"/>
      <c r="C239" s="1090" t="s">
        <v>2564</v>
      </c>
      <c r="D239" s="1090" t="s">
        <v>2565</v>
      </c>
      <c r="E239" s="1090" t="s">
        <v>2566</v>
      </c>
      <c r="F239" s="1090" t="s">
        <v>2567</v>
      </c>
      <c r="G239" s="1090" t="s">
        <v>2568</v>
      </c>
      <c r="H239" s="1090" t="s">
        <v>2569</v>
      </c>
      <c r="I239" s="1090" t="s">
        <v>2570</v>
      </c>
      <c r="J239" s="1090" t="s">
        <v>2571</v>
      </c>
      <c r="K239" s="1090" t="s">
        <v>2572</v>
      </c>
      <c r="L239" s="1090" t="s">
        <v>2573</v>
      </c>
      <c r="M239" s="1090" t="s">
        <v>2574</v>
      </c>
      <c r="N239" s="1090" t="s">
        <v>2575</v>
      </c>
      <c r="O239" s="1090" t="s">
        <v>2576</v>
      </c>
      <c r="P239" s="1091"/>
      <c r="Q239" s="1090" t="s">
        <v>2577</v>
      </c>
      <c r="R239" s="1090" t="s">
        <v>2578</v>
      </c>
      <c r="S239" s="1090" t="s">
        <v>2579</v>
      </c>
      <c r="T239" s="1090" t="s">
        <v>2580</v>
      </c>
      <c r="U239" s="1090" t="s">
        <v>2581</v>
      </c>
      <c r="V239" s="1090" t="s">
        <v>2582</v>
      </c>
      <c r="W239" s="1090" t="s">
        <v>2583</v>
      </c>
      <c r="X239" s="1090" t="s">
        <v>2584</v>
      </c>
      <c r="Y239" s="1090" t="s">
        <v>2585</v>
      </c>
      <c r="Z239" s="1090" t="s">
        <v>2586</v>
      </c>
      <c r="AA239" s="1090" t="s">
        <v>2587</v>
      </c>
      <c r="AB239" s="1090" t="s">
        <v>2588</v>
      </c>
      <c r="AC239" s="1090" t="s">
        <v>2589</v>
      </c>
      <c r="AD239" s="923"/>
      <c r="AE239" s="923"/>
      <c r="AF239" s="923"/>
      <c r="AG239" s="1022"/>
      <c r="AH239" s="1023"/>
      <c r="AI239" s="1023"/>
      <c r="AJ239" s="923"/>
      <c r="AK239" s="923"/>
      <c r="AL239" s="925">
        <v>1</v>
      </c>
      <c r="AM239" s="627"/>
      <c r="AN239" s="627"/>
    </row>
    <row r="240" spans="1:40" s="984" customFormat="1" ht="40.5" customHeight="1">
      <c r="A240" s="921"/>
      <c r="B240" s="996"/>
      <c r="C240" s="1091"/>
      <c r="D240" s="1091"/>
      <c r="E240" s="1091"/>
      <c r="F240" s="1091"/>
      <c r="G240" s="1091"/>
      <c r="H240" s="1091"/>
      <c r="I240" s="1091"/>
      <c r="J240" s="1091"/>
      <c r="K240" s="1091"/>
      <c r="L240" s="1091"/>
      <c r="M240" s="921"/>
      <c r="N240" s="921"/>
      <c r="O240" s="921"/>
      <c r="P240" s="921"/>
      <c r="Q240" s="921"/>
      <c r="R240" s="921"/>
      <c r="S240" s="921"/>
      <c r="T240" s="921"/>
      <c r="U240" s="921"/>
      <c r="V240" s="921"/>
      <c r="W240" s="921"/>
      <c r="X240" s="921"/>
      <c r="Y240" s="921"/>
      <c r="Z240" s="923"/>
      <c r="AA240" s="923"/>
      <c r="AB240" s="923"/>
      <c r="AC240" s="923"/>
      <c r="AD240" s="923"/>
      <c r="AE240" s="923"/>
      <c r="AF240" s="923"/>
      <c r="AG240" s="1022"/>
      <c r="AH240" s="1023"/>
      <c r="AI240" s="1023"/>
      <c r="AJ240" s="923"/>
      <c r="AK240" s="923"/>
      <c r="AL240" s="925">
        <v>1</v>
      </c>
      <c r="AM240" s="627"/>
      <c r="AN240" s="627"/>
    </row>
    <row r="241" spans="1:40" s="984" customFormat="1" ht="40.5" customHeight="1">
      <c r="A241" s="921"/>
      <c r="B241" s="996"/>
      <c r="C241" s="1090" t="s">
        <v>2551</v>
      </c>
      <c r="D241" s="1090" t="s">
        <v>2552</v>
      </c>
      <c r="E241" s="1090" t="s">
        <v>2553</v>
      </c>
      <c r="F241" s="1090" t="s">
        <v>2554</v>
      </c>
      <c r="G241" s="1090" t="s">
        <v>2555</v>
      </c>
      <c r="H241" s="1090" t="s">
        <v>2556</v>
      </c>
      <c r="I241" s="1090" t="s">
        <v>2557</v>
      </c>
      <c r="J241" s="1090" t="s">
        <v>2558</v>
      </c>
      <c r="K241" s="1090" t="s">
        <v>2559</v>
      </c>
      <c r="L241" s="1090" t="s">
        <v>2560</v>
      </c>
      <c r="M241" s="1090" t="s">
        <v>2561</v>
      </c>
      <c r="N241" s="1090" t="s">
        <v>2562</v>
      </c>
      <c r="O241" s="1090" t="s">
        <v>2563</v>
      </c>
      <c r="P241" s="921"/>
      <c r="Q241" s="1090" t="s">
        <v>2590</v>
      </c>
      <c r="R241" s="1090" t="s">
        <v>2591</v>
      </c>
      <c r="S241" s="1090" t="s">
        <v>2592</v>
      </c>
      <c r="T241" s="1090" t="s">
        <v>2593</v>
      </c>
      <c r="U241" s="1090" t="s">
        <v>2594</v>
      </c>
      <c r="V241" s="1090" t="s">
        <v>2595</v>
      </c>
      <c r="W241" s="1090" t="s">
        <v>2596</v>
      </c>
      <c r="X241" s="1090" t="s">
        <v>2597</v>
      </c>
      <c r="Y241" s="1090" t="s">
        <v>2597</v>
      </c>
      <c r="Z241" s="1090" t="s">
        <v>2598</v>
      </c>
      <c r="AA241" s="1090" t="s">
        <v>2599</v>
      </c>
      <c r="AB241" s="1090" t="s">
        <v>2600</v>
      </c>
      <c r="AC241" s="1090" t="s">
        <v>2601</v>
      </c>
      <c r="AD241" s="1090" t="s">
        <v>2602</v>
      </c>
      <c r="AE241" s="923"/>
      <c r="AF241" s="923"/>
      <c r="AG241" s="1022"/>
      <c r="AH241" s="1023"/>
      <c r="AI241" s="1023"/>
      <c r="AJ241" s="923"/>
      <c r="AK241" s="923"/>
      <c r="AL241" s="925">
        <v>1</v>
      </c>
      <c r="AM241" s="627"/>
      <c r="AN241" s="627"/>
    </row>
    <row r="242" spans="1:40" s="984" customFormat="1" ht="40.5" customHeight="1">
      <c r="A242" s="921"/>
      <c r="B242" s="996"/>
      <c r="C242" s="1090" t="s">
        <v>2577</v>
      </c>
      <c r="D242" s="1090" t="s">
        <v>2578</v>
      </c>
      <c r="E242" s="1090" t="s">
        <v>2579</v>
      </c>
      <c r="F242" s="1090" t="s">
        <v>2580</v>
      </c>
      <c r="G242" s="1090" t="s">
        <v>2581</v>
      </c>
      <c r="H242" s="1090" t="s">
        <v>2582</v>
      </c>
      <c r="I242" s="1090" t="s">
        <v>2583</v>
      </c>
      <c r="J242" s="1090" t="s">
        <v>2584</v>
      </c>
      <c r="K242" s="1090" t="s">
        <v>2585</v>
      </c>
      <c r="L242" s="1090" t="s">
        <v>2586</v>
      </c>
      <c r="M242" s="1090" t="s">
        <v>2587</v>
      </c>
      <c r="N242" s="1090" t="s">
        <v>2588</v>
      </c>
      <c r="O242" s="1090" t="s">
        <v>2589</v>
      </c>
      <c r="P242" s="921"/>
      <c r="Q242" s="1090" t="s">
        <v>2603</v>
      </c>
      <c r="R242" s="1090" t="s">
        <v>2604</v>
      </c>
      <c r="S242" s="1090" t="s">
        <v>2605</v>
      </c>
      <c r="T242" s="1090" t="s">
        <v>2606</v>
      </c>
      <c r="U242" s="1090" t="s">
        <v>2607</v>
      </c>
      <c r="V242" s="1090" t="s">
        <v>2607</v>
      </c>
      <c r="W242" s="1090" t="s">
        <v>2608</v>
      </c>
      <c r="X242" s="1090" t="s">
        <v>2609</v>
      </c>
      <c r="Y242" s="1090" t="s">
        <v>2610</v>
      </c>
      <c r="Z242" s="1090" t="s">
        <v>2611</v>
      </c>
      <c r="AA242" s="1090" t="s">
        <v>2612</v>
      </c>
      <c r="AB242" s="1090" t="s">
        <v>2613</v>
      </c>
      <c r="AC242" s="1090" t="s">
        <v>2614</v>
      </c>
      <c r="AD242" s="1090"/>
      <c r="AE242" s="923"/>
      <c r="AF242" s="923"/>
      <c r="AG242" s="1022"/>
      <c r="AH242" s="1023"/>
      <c r="AI242" s="1023"/>
      <c r="AJ242" s="923"/>
      <c r="AK242" s="923"/>
      <c r="AL242" s="925">
        <v>1</v>
      </c>
      <c r="AM242" s="627"/>
      <c r="AN242" s="627"/>
    </row>
    <row r="243" spans="1:40" s="984" customFormat="1" ht="40.5" customHeight="1">
      <c r="A243" s="921"/>
      <c r="B243" s="996"/>
      <c r="C243" s="1091"/>
      <c r="D243" s="1091"/>
      <c r="E243" s="1091"/>
      <c r="F243" s="1091"/>
      <c r="G243" s="1091"/>
      <c r="H243" s="1091"/>
      <c r="I243" s="1091"/>
      <c r="J243" s="1091"/>
      <c r="K243" s="1091"/>
      <c r="L243" s="1091"/>
      <c r="M243" s="921"/>
      <c r="N243" s="921"/>
      <c r="O243" s="921"/>
      <c r="P243" s="921"/>
      <c r="Q243" s="921"/>
      <c r="R243" s="921"/>
      <c r="S243" s="921"/>
      <c r="T243" s="921"/>
      <c r="U243" s="921"/>
      <c r="V243" s="921"/>
      <c r="W243" s="921"/>
      <c r="X243" s="921"/>
      <c r="Y243" s="921"/>
      <c r="Z243" s="923"/>
      <c r="AA243" s="923"/>
      <c r="AB243" s="923"/>
      <c r="AC243" s="923"/>
      <c r="AD243" s="923"/>
      <c r="AE243" s="923"/>
      <c r="AF243" s="923"/>
      <c r="AG243" s="1022"/>
      <c r="AH243" s="1023"/>
      <c r="AI243" s="1023"/>
      <c r="AJ243" s="923"/>
      <c r="AK243" s="923"/>
      <c r="AL243" s="925">
        <v>1</v>
      </c>
      <c r="AM243" s="627"/>
      <c r="AN243" s="627"/>
    </row>
    <row r="244" spans="1:40" s="984" customFormat="1" ht="40.5" customHeight="1">
      <c r="A244" s="921"/>
      <c r="B244" s="996"/>
      <c r="C244" s="1092" t="s">
        <v>2615</v>
      </c>
      <c r="D244" s="1092" t="s">
        <v>2616</v>
      </c>
      <c r="E244" s="1092" t="s">
        <v>2617</v>
      </c>
      <c r="F244" s="1092" t="s">
        <v>2618</v>
      </c>
      <c r="G244" s="1092" t="s">
        <v>2619</v>
      </c>
      <c r="H244" s="1092" t="s">
        <v>2620</v>
      </c>
      <c r="I244" s="1092" t="s">
        <v>2621</v>
      </c>
      <c r="J244" s="1092" t="s">
        <v>2622</v>
      </c>
      <c r="K244" s="1092" t="s">
        <v>2623</v>
      </c>
      <c r="L244" s="1092" t="s">
        <v>2624</v>
      </c>
      <c r="M244" s="1092" t="s">
        <v>2625</v>
      </c>
      <c r="N244" s="1092" t="s">
        <v>2626</v>
      </c>
      <c r="O244" s="1092" t="s">
        <v>2627</v>
      </c>
      <c r="P244" s="921"/>
      <c r="Q244" s="1093" t="s">
        <v>2628</v>
      </c>
      <c r="R244" s="1093" t="s">
        <v>2629</v>
      </c>
      <c r="S244" s="1093" t="s">
        <v>16</v>
      </c>
      <c r="T244" s="1093" t="s">
        <v>2630</v>
      </c>
      <c r="U244" s="1093" t="s">
        <v>2631</v>
      </c>
      <c r="V244" s="1093" t="s">
        <v>2632</v>
      </c>
      <c r="W244" s="1093" t="s">
        <v>2633</v>
      </c>
      <c r="X244" s="1093" t="s">
        <v>2634</v>
      </c>
      <c r="Y244" s="1093" t="s">
        <v>2635</v>
      </c>
      <c r="Z244" s="1093" t="s">
        <v>453</v>
      </c>
      <c r="AA244" s="1093" t="s">
        <v>2636</v>
      </c>
      <c r="AB244" s="923"/>
      <c r="AC244" s="923"/>
      <c r="AD244" s="923"/>
      <c r="AE244" s="923"/>
      <c r="AF244" s="923"/>
      <c r="AG244" s="1022"/>
      <c r="AH244" s="1023"/>
      <c r="AI244" s="1023"/>
      <c r="AJ244" s="923"/>
      <c r="AK244" s="923"/>
      <c r="AL244" s="925">
        <v>1</v>
      </c>
      <c r="AM244" s="627"/>
      <c r="AN244" s="627"/>
    </row>
    <row r="245" spans="1:40" s="984" customFormat="1" ht="40.5" customHeight="1">
      <c r="A245" s="921"/>
      <c r="B245" s="996"/>
      <c r="C245" s="1092" t="s">
        <v>2637</v>
      </c>
      <c r="D245" s="1092" t="s">
        <v>2638</v>
      </c>
      <c r="E245" s="1092" t="s">
        <v>2639</v>
      </c>
      <c r="F245" s="1092" t="s">
        <v>2640</v>
      </c>
      <c r="G245" s="1092" t="s">
        <v>2641</v>
      </c>
      <c r="H245" s="1092" t="s">
        <v>2642</v>
      </c>
      <c r="I245" s="1092" t="s">
        <v>2643</v>
      </c>
      <c r="J245" s="1092" t="s">
        <v>2644</v>
      </c>
      <c r="K245" s="1092" t="s">
        <v>2645</v>
      </c>
      <c r="L245" s="1092" t="s">
        <v>2646</v>
      </c>
      <c r="M245" s="1092" t="s">
        <v>2647</v>
      </c>
      <c r="N245" s="1092" t="s">
        <v>2647</v>
      </c>
      <c r="O245" s="1092" t="s">
        <v>2648</v>
      </c>
      <c r="P245" s="921"/>
      <c r="Q245" s="1093" t="s">
        <v>509</v>
      </c>
      <c r="R245" s="1093" t="s">
        <v>2649</v>
      </c>
      <c r="S245" s="1093" t="s">
        <v>2650</v>
      </c>
      <c r="T245" s="1093" t="s">
        <v>2651</v>
      </c>
      <c r="U245" s="1093" t="s">
        <v>2652</v>
      </c>
      <c r="V245" s="1093" t="s">
        <v>2653</v>
      </c>
      <c r="W245" s="1093" t="s">
        <v>2654</v>
      </c>
      <c r="X245" s="1093" t="s">
        <v>2655</v>
      </c>
      <c r="Y245" s="1093" t="s">
        <v>2656</v>
      </c>
      <c r="Z245" s="1093" t="s">
        <v>2657</v>
      </c>
      <c r="AA245" s="1093"/>
      <c r="AB245" s="923"/>
      <c r="AC245" s="923"/>
      <c r="AD245" s="923"/>
      <c r="AE245" s="923"/>
      <c r="AF245" s="923"/>
      <c r="AG245" s="1022"/>
      <c r="AH245" s="1023"/>
      <c r="AI245" s="1023"/>
      <c r="AJ245" s="923"/>
      <c r="AK245" s="923"/>
      <c r="AL245" s="925">
        <v>1</v>
      </c>
      <c r="AM245" s="627"/>
      <c r="AN245" s="627"/>
    </row>
    <row r="246" spans="1:40" s="984" customFormat="1" ht="40.5" customHeight="1">
      <c r="A246" s="921"/>
      <c r="B246" s="996"/>
      <c r="C246" s="1091"/>
      <c r="D246" s="1091"/>
      <c r="E246" s="1091"/>
      <c r="F246" s="1091"/>
      <c r="G246" s="1091"/>
      <c r="H246" s="1091"/>
      <c r="I246" s="1091"/>
      <c r="J246" s="1091"/>
      <c r="K246" s="1091"/>
      <c r="L246" s="1091"/>
      <c r="M246" s="921"/>
      <c r="N246" s="921"/>
      <c r="O246" s="921"/>
      <c r="P246" s="921"/>
      <c r="Q246" s="921"/>
      <c r="R246" s="921"/>
      <c r="S246" s="921"/>
      <c r="T246" s="921"/>
      <c r="U246" s="921"/>
      <c r="V246" s="921"/>
      <c r="W246" s="921"/>
      <c r="X246" s="921"/>
      <c r="Y246" s="921"/>
      <c r="Z246" s="923"/>
      <c r="AA246" s="923"/>
      <c r="AB246" s="923"/>
      <c r="AC246" s="923"/>
      <c r="AD246" s="923"/>
      <c r="AE246" s="923"/>
      <c r="AF246" s="923"/>
      <c r="AG246" s="1022"/>
      <c r="AH246" s="1023"/>
      <c r="AI246" s="1023"/>
      <c r="AJ246" s="923"/>
      <c r="AK246" s="923"/>
      <c r="AL246" s="925">
        <v>1</v>
      </c>
      <c r="AM246" s="627"/>
      <c r="AN246" s="627"/>
    </row>
    <row r="247" spans="1:40" s="984" customFormat="1" ht="40.5" customHeight="1">
      <c r="A247" s="921"/>
      <c r="B247" s="996"/>
      <c r="C247" s="1093" t="s">
        <v>2658</v>
      </c>
      <c r="D247" s="1093" t="s">
        <v>2659</v>
      </c>
      <c r="E247" s="1093" t="s">
        <v>2660</v>
      </c>
      <c r="F247" s="1093" t="s">
        <v>83</v>
      </c>
      <c r="G247" s="1093" t="s">
        <v>78</v>
      </c>
      <c r="H247" s="1093" t="s">
        <v>79</v>
      </c>
      <c r="I247" s="1093" t="s">
        <v>2661</v>
      </c>
      <c r="J247" s="1093" t="s">
        <v>2662</v>
      </c>
      <c r="K247" s="1093" t="s">
        <v>876</v>
      </c>
      <c r="L247" s="1093" t="s">
        <v>2663</v>
      </c>
      <c r="M247" s="1093" t="s">
        <v>2664</v>
      </c>
      <c r="N247" s="921"/>
      <c r="O247" s="921"/>
      <c r="P247" s="921"/>
      <c r="Q247" s="1093" t="s">
        <v>2665</v>
      </c>
      <c r="R247" s="1093" t="s">
        <v>2666</v>
      </c>
      <c r="S247" s="1093" t="s">
        <v>2667</v>
      </c>
      <c r="T247" s="1093" t="s">
        <v>2668</v>
      </c>
      <c r="U247" s="1093" t="s">
        <v>2669</v>
      </c>
      <c r="V247" s="1093" t="s">
        <v>2670</v>
      </c>
      <c r="W247" s="1093" t="s">
        <v>2671</v>
      </c>
      <c r="X247" s="1093" t="s">
        <v>2672</v>
      </c>
      <c r="Y247" s="1093" t="s">
        <v>2673</v>
      </c>
      <c r="Z247" s="1093" t="s">
        <v>2674</v>
      </c>
      <c r="AA247" s="923"/>
      <c r="AB247" s="923"/>
      <c r="AC247" s="923"/>
      <c r="AD247" s="923"/>
      <c r="AE247" s="923"/>
      <c r="AF247" s="923"/>
      <c r="AG247" s="1022"/>
      <c r="AH247" s="1023"/>
      <c r="AI247" s="1023"/>
      <c r="AJ247" s="923"/>
      <c r="AK247" s="923"/>
      <c r="AL247" s="925">
        <v>1</v>
      </c>
      <c r="AM247" s="627"/>
      <c r="AN247" s="627"/>
    </row>
    <row r="248" spans="1:40" s="984" customFormat="1" ht="40.5" customHeight="1">
      <c r="A248" s="921"/>
      <c r="B248" s="996"/>
      <c r="C248" s="1091"/>
      <c r="D248" s="1091"/>
      <c r="E248" s="1091"/>
      <c r="F248" s="1091"/>
      <c r="G248" s="1091"/>
      <c r="H248" s="1091"/>
      <c r="I248" s="1091"/>
      <c r="J248" s="1091"/>
      <c r="K248" s="1091"/>
      <c r="L248" s="1091"/>
      <c r="M248" s="921"/>
      <c r="N248" s="921"/>
      <c r="O248" s="1091"/>
      <c r="P248" s="1091"/>
      <c r="Q248" s="1091"/>
      <c r="R248" s="1091"/>
      <c r="S248" s="1091"/>
      <c r="T248" s="1091"/>
      <c r="U248" s="1091"/>
      <c r="V248" s="1091"/>
      <c r="W248" s="1091"/>
      <c r="X248" s="1091"/>
      <c r="Y248" s="923"/>
      <c r="Z248" s="923"/>
      <c r="AA248" s="923"/>
      <c r="AB248" s="923"/>
      <c r="AC248" s="923"/>
      <c r="AD248" s="923"/>
      <c r="AE248" s="923"/>
      <c r="AF248" s="923"/>
      <c r="AG248" s="1022"/>
      <c r="AH248" s="1023"/>
      <c r="AI248" s="1023"/>
      <c r="AJ248" s="923"/>
      <c r="AK248" s="923"/>
      <c r="AL248" s="925">
        <v>1</v>
      </c>
      <c r="AM248" s="627"/>
      <c r="AN248" s="627"/>
    </row>
    <row r="249" spans="1:40" s="984" customFormat="1" ht="40.5" customHeight="1">
      <c r="A249" s="921"/>
      <c r="B249" s="996"/>
      <c r="C249" s="957" t="s">
        <v>2950</v>
      </c>
      <c r="D249" s="921"/>
      <c r="E249" s="921"/>
      <c r="F249" s="921"/>
      <c r="G249" s="921"/>
      <c r="H249" s="921"/>
      <c r="I249" s="986"/>
      <c r="J249" s="921"/>
      <c r="K249" s="921"/>
      <c r="L249" s="921"/>
      <c r="M249" s="921"/>
      <c r="N249" s="921"/>
      <c r="O249" s="986"/>
      <c r="P249" s="986"/>
      <c r="Q249" s="986"/>
      <c r="R249" s="986"/>
      <c r="S249" s="986"/>
      <c r="T249" s="923"/>
      <c r="U249" s="923"/>
      <c r="V249" s="923"/>
      <c r="W249" s="923"/>
      <c r="X249" s="923"/>
      <c r="Y249" s="923"/>
      <c r="Z249" s="923"/>
      <c r="AA249" s="923"/>
      <c r="AB249" s="923"/>
      <c r="AC249" s="923"/>
      <c r="AD249" s="923"/>
      <c r="AE249" s="923"/>
      <c r="AF249" s="923"/>
      <c r="AG249" s="1022"/>
      <c r="AH249" s="1023"/>
      <c r="AI249" s="1023"/>
      <c r="AJ249" s="923"/>
      <c r="AK249" s="923"/>
      <c r="AL249" s="925">
        <v>1</v>
      </c>
      <c r="AM249" s="627"/>
      <c r="AN249" s="627"/>
    </row>
    <row r="250" spans="1:40" s="984" customFormat="1" ht="40.5" customHeight="1">
      <c r="A250" s="921"/>
      <c r="B250" s="996"/>
      <c r="C250" s="957" t="s">
        <v>2951</v>
      </c>
      <c r="D250" s="921"/>
      <c r="E250" s="921"/>
      <c r="F250" s="921"/>
      <c r="G250" s="921"/>
      <c r="H250" s="921"/>
      <c r="I250" s="986"/>
      <c r="J250" s="921"/>
      <c r="K250" s="921"/>
      <c r="L250" s="921"/>
      <c r="M250" s="921"/>
      <c r="N250" s="921"/>
      <c r="O250" s="986"/>
      <c r="P250" s="986"/>
      <c r="Q250" s="986"/>
      <c r="R250" s="986"/>
      <c r="S250" s="986"/>
      <c r="T250" s="923"/>
      <c r="U250" s="923"/>
      <c r="V250" s="923"/>
      <c r="W250" s="923"/>
      <c r="X250" s="923"/>
      <c r="Y250" s="923"/>
      <c r="Z250" s="923"/>
      <c r="AA250" s="923"/>
      <c r="AB250" s="923"/>
      <c r="AC250" s="923"/>
      <c r="AD250" s="923"/>
      <c r="AE250" s="923"/>
      <c r="AF250" s="923"/>
      <c r="AG250" s="1022"/>
      <c r="AH250" s="1023"/>
      <c r="AI250" s="1023"/>
      <c r="AJ250" s="923"/>
      <c r="AK250" s="923"/>
      <c r="AL250" s="925">
        <v>1</v>
      </c>
      <c r="AM250" s="627"/>
      <c r="AN250" s="627"/>
    </row>
    <row r="251" spans="1:40" s="984" customFormat="1" ht="40.5" customHeight="1">
      <c r="A251" s="921"/>
      <c r="B251" s="996"/>
      <c r="C251" s="957" t="s">
        <v>2677</v>
      </c>
      <c r="D251" s="921"/>
      <c r="E251" s="921"/>
      <c r="F251" s="921"/>
      <c r="G251" s="921"/>
      <c r="H251" s="921"/>
      <c r="I251" s="986"/>
      <c r="J251" s="921"/>
      <c r="K251" s="921"/>
      <c r="L251" s="921"/>
      <c r="M251" s="921"/>
      <c r="N251" s="921"/>
      <c r="O251" s="986"/>
      <c r="P251" s="986"/>
      <c r="Q251" s="986"/>
      <c r="R251" s="986"/>
      <c r="S251" s="986"/>
      <c r="T251" s="923"/>
      <c r="U251" s="923"/>
      <c r="V251" s="923"/>
      <c r="W251" s="923"/>
      <c r="X251" s="923"/>
      <c r="Y251" s="923"/>
      <c r="Z251" s="923"/>
      <c r="AA251" s="923"/>
      <c r="AB251" s="923"/>
      <c r="AC251" s="923"/>
      <c r="AD251" s="923"/>
      <c r="AE251" s="923"/>
      <c r="AF251" s="923"/>
      <c r="AG251" s="1022"/>
      <c r="AH251" s="1023"/>
      <c r="AI251" s="1023"/>
      <c r="AJ251" s="923"/>
      <c r="AK251" s="923"/>
      <c r="AL251" s="925">
        <v>1</v>
      </c>
      <c r="AM251" s="627"/>
      <c r="AN251" s="627"/>
    </row>
    <row r="252" spans="1:40" s="984" customFormat="1" ht="40.5" customHeight="1">
      <c r="A252" s="921"/>
      <c r="B252" s="996"/>
      <c r="C252" s="1094" t="s">
        <v>2678</v>
      </c>
      <c r="D252" s="1094" t="s">
        <v>2679</v>
      </c>
      <c r="E252" s="1094" t="s">
        <v>2680</v>
      </c>
      <c r="F252" s="1094" t="s">
        <v>2681</v>
      </c>
      <c r="G252" s="1094" t="s">
        <v>2682</v>
      </c>
      <c r="H252" s="1094" t="s">
        <v>2683</v>
      </c>
      <c r="I252" s="1094" t="s">
        <v>2684</v>
      </c>
      <c r="J252" s="1094" t="s">
        <v>2685</v>
      </c>
      <c r="K252" s="1094" t="s">
        <v>2686</v>
      </c>
      <c r="L252" s="1094" t="s">
        <v>2687</v>
      </c>
      <c r="M252" s="1094" t="s">
        <v>2688</v>
      </c>
      <c r="N252" s="1094"/>
      <c r="O252" s="1094"/>
      <c r="P252" s="1095"/>
      <c r="Q252" s="1095"/>
      <c r="R252" s="1095"/>
      <c r="S252" s="986"/>
      <c r="T252" s="923"/>
      <c r="U252" s="923"/>
      <c r="V252" s="923"/>
      <c r="W252" s="923"/>
      <c r="X252" s="923"/>
      <c r="Y252" s="923"/>
      <c r="Z252" s="923"/>
      <c r="AA252" s="923"/>
      <c r="AB252" s="923"/>
      <c r="AC252" s="923"/>
      <c r="AD252" s="923"/>
      <c r="AE252" s="923"/>
      <c r="AF252" s="923"/>
      <c r="AG252" s="1022"/>
      <c r="AH252" s="1023"/>
      <c r="AI252" s="1023"/>
      <c r="AJ252" s="923"/>
      <c r="AK252" s="923"/>
      <c r="AL252" s="925">
        <v>1</v>
      </c>
      <c r="AM252" s="627"/>
      <c r="AN252" s="627"/>
    </row>
    <row r="253" spans="1:40" s="984" customFormat="1" ht="40.5" customHeight="1">
      <c r="A253" s="921"/>
      <c r="B253" s="996"/>
      <c r="C253" s="1096" t="s">
        <v>2689</v>
      </c>
      <c r="D253" s="1096" t="s">
        <v>2690</v>
      </c>
      <c r="E253" s="1096" t="s">
        <v>2691</v>
      </c>
      <c r="F253" s="1096"/>
      <c r="G253" s="1096" t="s">
        <v>2692</v>
      </c>
      <c r="H253" s="1096"/>
      <c r="I253" s="1096" t="s">
        <v>2693</v>
      </c>
      <c r="J253" s="1096"/>
      <c r="K253" s="1096" t="s">
        <v>2694</v>
      </c>
      <c r="L253" s="1096"/>
      <c r="M253" s="1096" t="s">
        <v>2695</v>
      </c>
      <c r="N253" s="1096" t="s">
        <v>2696</v>
      </c>
      <c r="O253" s="1096"/>
      <c r="P253" s="1096" t="s">
        <v>2697</v>
      </c>
      <c r="Q253" s="1096"/>
      <c r="R253" s="1096" t="s">
        <v>2698</v>
      </c>
      <c r="S253" s="986"/>
      <c r="T253" s="923"/>
      <c r="U253" s="923"/>
      <c r="V253" s="923"/>
      <c r="W253" s="923"/>
      <c r="X253" s="923"/>
      <c r="Y253" s="923"/>
      <c r="Z253" s="923"/>
      <c r="AA253" s="923"/>
      <c r="AB253" s="923"/>
      <c r="AC253" s="923"/>
      <c r="AD253" s="923"/>
      <c r="AE253" s="923"/>
      <c r="AF253" s="923"/>
      <c r="AG253" s="1022"/>
      <c r="AH253" s="1023"/>
      <c r="AI253" s="1023"/>
      <c r="AJ253" s="923"/>
      <c r="AK253" s="923"/>
      <c r="AL253" s="925">
        <v>1</v>
      </c>
      <c r="AM253" s="627"/>
      <c r="AN253" s="627"/>
    </row>
    <row r="254" spans="1:40" s="984" customFormat="1" ht="40.5" customHeight="1">
      <c r="A254" s="921"/>
      <c r="B254" s="996"/>
      <c r="C254" s="957" t="s">
        <v>2952</v>
      </c>
      <c r="D254" s="921"/>
      <c r="E254" s="921"/>
      <c r="F254" s="921"/>
      <c r="G254" s="921"/>
      <c r="H254" s="921"/>
      <c r="I254" s="986"/>
      <c r="J254" s="921"/>
      <c r="K254" s="921"/>
      <c r="L254" s="921"/>
      <c r="M254" s="921"/>
      <c r="N254" s="921"/>
      <c r="O254" s="986"/>
      <c r="P254" s="986"/>
      <c r="Q254" s="986"/>
      <c r="R254" s="986"/>
      <c r="S254" s="986"/>
      <c r="T254" s="923"/>
      <c r="U254" s="923"/>
      <c r="V254" s="923"/>
      <c r="W254" s="923"/>
      <c r="X254" s="923"/>
      <c r="Y254" s="923"/>
      <c r="Z254" s="923"/>
      <c r="AA254" s="923"/>
      <c r="AB254" s="923"/>
      <c r="AC254" s="923"/>
      <c r="AD254" s="923"/>
      <c r="AE254" s="923"/>
      <c r="AF254" s="923"/>
      <c r="AG254" s="1022"/>
      <c r="AH254" s="1023"/>
      <c r="AI254" s="1023"/>
      <c r="AJ254" s="923"/>
      <c r="AK254" s="923"/>
      <c r="AL254" s="925">
        <v>1</v>
      </c>
      <c r="AM254" s="627"/>
      <c r="AN254" s="627"/>
    </row>
    <row r="255" spans="1:40" s="984" customFormat="1" ht="40.5" customHeight="1">
      <c r="A255" s="921"/>
      <c r="B255" s="996"/>
      <c r="C255" s="1089"/>
      <c r="D255" s="921"/>
      <c r="E255" s="921"/>
      <c r="F255" s="921"/>
      <c r="G255" s="921"/>
      <c r="H255" s="921"/>
      <c r="I255" s="986"/>
      <c r="J255" s="921"/>
      <c r="K255" s="921"/>
      <c r="L255" s="921"/>
      <c r="M255" s="921"/>
      <c r="N255" s="921"/>
      <c r="O255" s="986"/>
      <c r="P255" s="986"/>
      <c r="Q255" s="986"/>
      <c r="R255" s="986"/>
      <c r="S255" s="986"/>
      <c r="T255" s="923"/>
      <c r="U255" s="923"/>
      <c r="V255" s="923"/>
      <c r="W255" s="923"/>
      <c r="X255" s="923"/>
      <c r="Y255" s="923"/>
      <c r="Z255" s="923"/>
      <c r="AA255" s="923"/>
      <c r="AB255" s="923"/>
      <c r="AC255" s="923"/>
      <c r="AD255" s="923"/>
      <c r="AE255" s="923"/>
      <c r="AF255" s="923"/>
      <c r="AG255" s="1022"/>
      <c r="AH255" s="1023"/>
      <c r="AI255" s="1023"/>
      <c r="AJ255" s="923"/>
      <c r="AK255" s="923"/>
      <c r="AL255" s="925">
        <v>1</v>
      </c>
      <c r="AM255" s="627"/>
      <c r="AN255" s="627"/>
    </row>
    <row r="256" spans="1:40" s="1101" customFormat="1" ht="40.5" customHeight="1">
      <c r="A256" s="1056"/>
      <c r="B256" s="1021" t="s">
        <v>2953</v>
      </c>
      <c r="C256" s="1056"/>
      <c r="D256" s="1056"/>
      <c r="E256" s="1056"/>
      <c r="F256" s="1056"/>
      <c r="G256" s="1097"/>
      <c r="H256" s="1056"/>
      <c r="I256" s="986"/>
      <c r="J256" s="1056"/>
      <c r="K256" s="1056"/>
      <c r="L256" s="1056"/>
      <c r="M256" s="1056"/>
      <c r="N256" s="1056"/>
      <c r="O256" s="986"/>
      <c r="P256" s="986"/>
      <c r="Q256" s="1158" t="s">
        <v>2954</v>
      </c>
      <c r="R256" s="1098" t="s">
        <v>2702</v>
      </c>
      <c r="S256" s="1099"/>
      <c r="T256" s="1099"/>
      <c r="U256" s="1099"/>
      <c r="V256" s="1099"/>
      <c r="W256" s="1099"/>
      <c r="X256" s="1099"/>
      <c r="Y256" s="1099"/>
      <c r="Z256" s="1100"/>
      <c r="AA256" s="1100"/>
      <c r="AB256" s="1100"/>
      <c r="AC256" s="1100"/>
      <c r="AD256" s="1100"/>
      <c r="AE256" s="1100"/>
      <c r="AF256" s="1100"/>
      <c r="AG256" s="1100"/>
      <c r="AH256" s="1100"/>
      <c r="AI256" s="1023"/>
      <c r="AJ256" s="923"/>
      <c r="AK256" s="923"/>
      <c r="AL256" s="925">
        <v>1</v>
      </c>
      <c r="AM256" s="627"/>
      <c r="AN256" s="627"/>
    </row>
    <row r="257" spans="1:40" s="1101" customFormat="1" ht="40.5" customHeight="1">
      <c r="A257" s="1056"/>
      <c r="B257" s="1102" t="s">
        <v>2703</v>
      </c>
      <c r="C257" s="1102" t="s">
        <v>2704</v>
      </c>
      <c r="D257" s="1102" t="s">
        <v>2705</v>
      </c>
      <c r="E257" s="1102"/>
      <c r="F257" s="1102" t="s">
        <v>1744</v>
      </c>
      <c r="G257" s="1102" t="s">
        <v>1745</v>
      </c>
      <c r="H257" s="1103" t="s">
        <v>1746</v>
      </c>
      <c r="I257" s="1102" t="s">
        <v>1747</v>
      </c>
      <c r="J257" s="1102" t="s">
        <v>1748</v>
      </c>
      <c r="K257" s="1102" t="s">
        <v>1749</v>
      </c>
      <c r="L257" s="1102"/>
      <c r="M257" s="1102"/>
      <c r="N257" s="1102"/>
      <c r="O257" s="1102" t="s">
        <v>2706</v>
      </c>
      <c r="P257" s="1102" t="s">
        <v>1752</v>
      </c>
      <c r="Q257" s="1102" t="s">
        <v>1753</v>
      </c>
      <c r="R257" s="1102" t="s">
        <v>1754</v>
      </c>
      <c r="S257" s="1102" t="s">
        <v>2707</v>
      </c>
      <c r="T257" s="1102" t="s">
        <v>15</v>
      </c>
      <c r="U257" s="1102" t="s">
        <v>1755</v>
      </c>
      <c r="V257" s="1102" t="s">
        <v>1756</v>
      </c>
      <c r="W257" s="1102" t="s">
        <v>829</v>
      </c>
      <c r="X257" s="1102" t="s">
        <v>1750</v>
      </c>
      <c r="Y257" s="1102"/>
      <c r="Z257" s="923"/>
      <c r="AA257" s="923"/>
      <c r="AB257" s="923"/>
      <c r="AC257" s="923"/>
      <c r="AD257" s="923"/>
      <c r="AE257" s="923"/>
      <c r="AF257" s="923"/>
      <c r="AG257" s="1022"/>
      <c r="AH257" s="1023"/>
      <c r="AI257" s="1023"/>
      <c r="AJ257" s="923"/>
      <c r="AK257" s="923"/>
      <c r="AL257" s="925">
        <v>1</v>
      </c>
      <c r="AM257" s="627"/>
      <c r="AN257" s="627"/>
    </row>
    <row r="258" spans="1:40" s="1101" customFormat="1" ht="40.5" customHeight="1">
      <c r="A258" s="1056"/>
      <c r="B258" s="1056"/>
      <c r="C258" s="1104" t="s">
        <v>2708</v>
      </c>
      <c r="D258" s="1105" t="s">
        <v>2709</v>
      </c>
      <c r="E258" s="1102"/>
      <c r="F258" s="1102"/>
      <c r="G258" s="1102"/>
      <c r="H258" s="1102"/>
      <c r="I258" s="1102"/>
      <c r="J258" s="1102"/>
      <c r="K258" s="1102"/>
      <c r="L258" s="1102"/>
      <c r="M258" s="1102"/>
      <c r="N258" s="1102"/>
      <c r="O258" s="1102"/>
      <c r="P258" s="1102"/>
      <c r="Q258" s="1102"/>
      <c r="R258" s="1102"/>
      <c r="S258" s="1102"/>
      <c r="T258" s="1102"/>
      <c r="U258" s="1102"/>
      <c r="V258" s="1102"/>
      <c r="W258" s="1102"/>
      <c r="X258" s="1102"/>
      <c r="Y258" s="1102"/>
      <c r="Z258" s="923"/>
      <c r="AA258" s="923"/>
      <c r="AB258" s="923"/>
      <c r="AC258" s="923"/>
      <c r="AD258" s="923"/>
      <c r="AE258" s="923"/>
      <c r="AF258" s="923"/>
      <c r="AG258" s="1022"/>
      <c r="AH258" s="1023"/>
      <c r="AI258" s="1023"/>
      <c r="AJ258" s="923"/>
      <c r="AK258" s="923"/>
      <c r="AL258" s="925">
        <v>1</v>
      </c>
      <c r="AM258" s="627"/>
      <c r="AN258" s="627"/>
    </row>
    <row r="259" spans="1:40" s="1101" customFormat="1" ht="40.5" customHeight="1">
      <c r="A259" s="1056"/>
      <c r="B259" s="1056"/>
      <c r="C259" s="1104"/>
      <c r="D259" s="1105" t="s">
        <v>2710</v>
      </c>
      <c r="E259" s="1102"/>
      <c r="F259" s="1102"/>
      <c r="G259" s="1102"/>
      <c r="H259" s="1102"/>
      <c r="I259" s="1102"/>
      <c r="J259" s="1102"/>
      <c r="K259" s="1102"/>
      <c r="L259" s="1102"/>
      <c r="M259" s="1102"/>
      <c r="N259" s="1102"/>
      <c r="O259" s="1102"/>
      <c r="P259" s="1102"/>
      <c r="Q259" s="1102"/>
      <c r="R259" s="1102"/>
      <c r="S259" s="1102"/>
      <c r="T259" s="1102"/>
      <c r="U259" s="1102"/>
      <c r="V259" s="1102"/>
      <c r="W259" s="1102"/>
      <c r="X259" s="1102"/>
      <c r="Y259" s="1102"/>
      <c r="Z259" s="923"/>
      <c r="AA259" s="923"/>
      <c r="AB259" s="923"/>
      <c r="AC259" s="923"/>
      <c r="AD259" s="923"/>
      <c r="AE259" s="923"/>
      <c r="AF259" s="923"/>
      <c r="AG259" s="1022"/>
      <c r="AH259" s="1023"/>
      <c r="AI259" s="1023"/>
      <c r="AJ259" s="923"/>
      <c r="AK259" s="923"/>
      <c r="AL259" s="925">
        <v>1</v>
      </c>
      <c r="AM259" s="627"/>
      <c r="AN259" s="627"/>
    </row>
    <row r="260" spans="1:40" s="1101" customFormat="1" ht="40.5" customHeight="1">
      <c r="A260" s="1056"/>
      <c r="B260" s="1056"/>
      <c r="C260" s="1104"/>
      <c r="D260" s="1105" t="s">
        <v>2711</v>
      </c>
      <c r="E260" s="1102"/>
      <c r="F260" s="1102"/>
      <c r="G260" s="1102"/>
      <c r="H260" s="1102"/>
      <c r="I260" s="1102"/>
      <c r="J260" s="1102"/>
      <c r="K260" s="1102"/>
      <c r="L260" s="1102"/>
      <c r="M260" s="1102"/>
      <c r="N260" s="1102"/>
      <c r="O260" s="1102"/>
      <c r="P260" s="1102"/>
      <c r="Q260" s="1102"/>
      <c r="R260" s="1102"/>
      <c r="S260" s="1102"/>
      <c r="T260" s="1102"/>
      <c r="U260" s="1102"/>
      <c r="V260" s="1102"/>
      <c r="W260" s="1102"/>
      <c r="X260" s="1102"/>
      <c r="Y260" s="1102"/>
      <c r="Z260" s="923"/>
      <c r="AA260" s="923"/>
      <c r="AB260" s="923"/>
      <c r="AC260" s="923"/>
      <c r="AD260" s="923"/>
      <c r="AE260" s="923"/>
      <c r="AF260" s="923"/>
      <c r="AG260" s="1022"/>
      <c r="AH260" s="1023"/>
      <c r="AI260" s="1023"/>
      <c r="AJ260" s="923"/>
      <c r="AK260" s="923"/>
      <c r="AL260" s="925">
        <v>1</v>
      </c>
      <c r="AM260" s="627"/>
      <c r="AN260" s="627"/>
    </row>
    <row r="261" spans="1:40" s="1101" customFormat="1" ht="40.5" customHeight="1">
      <c r="A261" s="1056"/>
      <c r="B261" s="1056"/>
      <c r="C261" s="1106"/>
      <c r="D261" s="1107" t="s">
        <v>2955</v>
      </c>
      <c r="E261" s="1102"/>
      <c r="F261" s="1102"/>
      <c r="G261" s="1102"/>
      <c r="H261" s="1102"/>
      <c r="I261" s="1102"/>
      <c r="J261" s="1102"/>
      <c r="K261" s="1102"/>
      <c r="L261" s="1102"/>
      <c r="M261" s="1102"/>
      <c r="N261" s="1102"/>
      <c r="O261" s="1102"/>
      <c r="P261" s="1102"/>
      <c r="Q261" s="1102"/>
      <c r="R261" s="1102"/>
      <c r="S261" s="1102"/>
      <c r="T261" s="1102"/>
      <c r="U261" s="1102"/>
      <c r="V261" s="1102"/>
      <c r="W261" s="1102"/>
      <c r="X261" s="1102"/>
      <c r="Y261" s="1102"/>
      <c r="Z261" s="923"/>
      <c r="AA261" s="923"/>
      <c r="AB261" s="923"/>
      <c r="AC261" s="923"/>
      <c r="AD261" s="923"/>
      <c r="AE261" s="923"/>
      <c r="AF261" s="923"/>
      <c r="AG261" s="1022"/>
      <c r="AH261" s="1023"/>
      <c r="AI261" s="1023"/>
      <c r="AJ261" s="923"/>
      <c r="AK261" s="923"/>
      <c r="AL261" s="925">
        <v>1</v>
      </c>
      <c r="AM261" s="627"/>
      <c r="AN261" s="627"/>
    </row>
    <row r="262" spans="1:40" s="1101" customFormat="1" ht="40.5" customHeight="1">
      <c r="A262" s="1056"/>
      <c r="B262" s="1056"/>
      <c r="C262" s="1104"/>
      <c r="D262" s="1105" t="s">
        <v>2713</v>
      </c>
      <c r="E262" s="1102"/>
      <c r="F262" s="1102"/>
      <c r="G262" s="1102"/>
      <c r="H262" s="1102"/>
      <c r="I262" s="1102"/>
      <c r="J262" s="1102"/>
      <c r="K262" s="1102"/>
      <c r="L262" s="1102"/>
      <c r="M262" s="1102"/>
      <c r="N262" s="1102"/>
      <c r="O262" s="1102"/>
      <c r="P262" s="1102"/>
      <c r="Q262" s="1102"/>
      <c r="R262" s="1102"/>
      <c r="S262" s="1102"/>
      <c r="T262" s="1102"/>
      <c r="U262" s="1102"/>
      <c r="V262" s="1102"/>
      <c r="W262" s="1102"/>
      <c r="X262" s="1102"/>
      <c r="Y262" s="1102"/>
      <c r="Z262" s="923"/>
      <c r="AA262" s="923"/>
      <c r="AB262" s="923"/>
      <c r="AC262" s="923"/>
      <c r="AD262" s="923"/>
      <c r="AE262" s="923"/>
      <c r="AF262" s="923"/>
      <c r="AG262" s="1022"/>
      <c r="AH262" s="1023"/>
      <c r="AI262" s="1023"/>
      <c r="AJ262" s="923"/>
      <c r="AK262" s="923"/>
      <c r="AL262" s="925">
        <v>1</v>
      </c>
      <c r="AM262" s="627"/>
      <c r="AN262" s="627"/>
    </row>
    <row r="263" spans="1:40" s="1101" customFormat="1" ht="40.5" customHeight="1">
      <c r="A263" s="1056"/>
      <c r="B263" s="1056"/>
      <c r="C263" s="1104"/>
      <c r="D263" s="1105" t="s">
        <v>2714</v>
      </c>
      <c r="E263" s="1102"/>
      <c r="F263" s="1102"/>
      <c r="G263" s="1102"/>
      <c r="H263" s="1102"/>
      <c r="I263" s="1102"/>
      <c r="J263" s="1102"/>
      <c r="K263" s="1102"/>
      <c r="L263" s="1102"/>
      <c r="M263" s="1102"/>
      <c r="N263" s="1102"/>
      <c r="O263" s="1102"/>
      <c r="P263" s="1102"/>
      <c r="Q263" s="1102"/>
      <c r="R263" s="1102"/>
      <c r="S263" s="1102"/>
      <c r="T263" s="1102"/>
      <c r="U263" s="1102"/>
      <c r="V263" s="1102"/>
      <c r="W263" s="1102"/>
      <c r="X263" s="1102"/>
      <c r="Y263" s="1102"/>
      <c r="Z263" s="923"/>
      <c r="AA263" s="923"/>
      <c r="AB263" s="923"/>
      <c r="AC263" s="923"/>
      <c r="AD263" s="923"/>
      <c r="AE263" s="923"/>
      <c r="AF263" s="923"/>
      <c r="AG263" s="1022"/>
      <c r="AH263" s="1023"/>
      <c r="AI263" s="1023"/>
      <c r="AJ263" s="923"/>
      <c r="AK263" s="923"/>
      <c r="AL263" s="925">
        <v>1</v>
      </c>
      <c r="AM263" s="627"/>
      <c r="AN263" s="627"/>
    </row>
    <row r="264" spans="1:40" s="1101" customFormat="1" ht="40.5" customHeight="1">
      <c r="A264" s="1056"/>
      <c r="B264" s="1021"/>
      <c r="C264" s="1056"/>
      <c r="D264" s="1021" t="s">
        <v>2956</v>
      </c>
      <c r="E264" s="1056"/>
      <c r="F264" s="1056"/>
      <c r="G264" s="1056"/>
      <c r="H264" s="1056"/>
      <c r="I264" s="986"/>
      <c r="J264" s="1056"/>
      <c r="K264" s="1056"/>
      <c r="L264" s="1056"/>
      <c r="M264" s="1056"/>
      <c r="N264" s="1056"/>
      <c r="O264" s="986"/>
      <c r="P264" s="986"/>
      <c r="Q264" s="986"/>
      <c r="R264" s="986"/>
      <c r="S264" s="986"/>
      <c r="T264" s="1022"/>
      <c r="U264" s="1021"/>
      <c r="V264" s="1108"/>
      <c r="W264" s="1102"/>
      <c r="X264" s="1102"/>
      <c r="Y264" s="1102"/>
      <c r="Z264" s="923"/>
      <c r="AA264" s="923"/>
      <c r="AB264" s="923"/>
      <c r="AC264" s="923"/>
      <c r="AD264" s="923"/>
      <c r="AE264" s="923"/>
      <c r="AF264" s="923"/>
      <c r="AG264" s="1022"/>
      <c r="AH264" s="1023"/>
      <c r="AI264" s="1023"/>
      <c r="AJ264" s="923"/>
      <c r="AK264" s="923"/>
      <c r="AL264" s="925">
        <v>1</v>
      </c>
      <c r="AM264" s="627"/>
      <c r="AN264" s="627"/>
    </row>
    <row r="265" spans="1:40" s="1101" customFormat="1" ht="40.5" customHeight="1">
      <c r="A265" s="1056"/>
      <c r="B265" s="1021"/>
      <c r="C265" s="1056"/>
      <c r="D265" s="1056"/>
      <c r="E265" s="1056"/>
      <c r="F265" s="1056"/>
      <c r="G265" s="1056"/>
      <c r="H265" s="1056"/>
      <c r="I265" s="986"/>
      <c r="J265" s="1056"/>
      <c r="K265" s="1056"/>
      <c r="L265" s="1056"/>
      <c r="M265" s="1056"/>
      <c r="N265" s="1056"/>
      <c r="O265" s="986"/>
      <c r="P265" s="986"/>
      <c r="Q265" s="986"/>
      <c r="R265" s="986"/>
      <c r="S265" s="986"/>
      <c r="T265" s="1022"/>
      <c r="U265" s="1021"/>
      <c r="V265" s="1108"/>
      <c r="W265" s="1102"/>
      <c r="X265" s="1102"/>
      <c r="Y265" s="1102"/>
      <c r="Z265" s="923"/>
      <c r="AA265" s="923"/>
      <c r="AB265" s="923"/>
      <c r="AC265" s="923"/>
      <c r="AD265" s="923"/>
      <c r="AE265" s="923"/>
      <c r="AF265" s="923"/>
      <c r="AG265" s="1022"/>
      <c r="AH265" s="1023"/>
      <c r="AI265" s="1023"/>
      <c r="AJ265" s="923"/>
      <c r="AK265" s="923"/>
      <c r="AL265" s="925">
        <v>1</v>
      </c>
      <c r="AM265" s="627"/>
      <c r="AN265" s="627"/>
    </row>
    <row r="266" spans="1:40" s="1101" customFormat="1" ht="40.5" customHeight="1">
      <c r="A266" s="1056"/>
      <c r="B266" s="1021"/>
      <c r="C266" s="1056"/>
      <c r="D266" s="1056"/>
      <c r="E266" s="1056"/>
      <c r="F266" s="1056"/>
      <c r="G266" s="1056"/>
      <c r="H266" s="1056"/>
      <c r="I266" s="986"/>
      <c r="J266" s="1056"/>
      <c r="K266" s="1056"/>
      <c r="L266" s="1056"/>
      <c r="M266" s="1056"/>
      <c r="N266" s="1056"/>
      <c r="O266" s="986"/>
      <c r="P266" s="986"/>
      <c r="Q266" s="986"/>
      <c r="R266" s="986"/>
      <c r="S266" s="986"/>
      <c r="T266" s="1022"/>
      <c r="U266" s="1021"/>
      <c r="V266" s="1108"/>
      <c r="W266" s="1102"/>
      <c r="X266" s="1102"/>
      <c r="Y266" s="1102"/>
      <c r="Z266" s="923"/>
      <c r="AA266" s="923"/>
      <c r="AB266" s="923"/>
      <c r="AC266" s="923"/>
      <c r="AD266" s="923"/>
      <c r="AE266" s="923"/>
      <c r="AF266" s="923"/>
      <c r="AG266" s="1022"/>
      <c r="AH266" s="1023"/>
      <c r="AI266" s="1023"/>
      <c r="AJ266" s="923"/>
      <c r="AK266" s="923"/>
      <c r="AL266" s="925">
        <v>1</v>
      </c>
      <c r="AM266" s="627"/>
      <c r="AN266" s="627"/>
    </row>
    <row r="267" spans="1:40" s="984" customFormat="1" ht="40.5" customHeight="1">
      <c r="A267" s="921"/>
      <c r="B267" s="1021" t="s">
        <v>2957</v>
      </c>
      <c r="C267" s="921"/>
      <c r="D267" s="921"/>
      <c r="E267" s="921"/>
      <c r="F267" s="921"/>
      <c r="G267" s="921"/>
      <c r="H267" s="921"/>
      <c r="I267" s="986"/>
      <c r="J267" s="921"/>
      <c r="K267" s="921"/>
      <c r="L267" s="921"/>
      <c r="M267" s="921"/>
      <c r="N267" s="921"/>
      <c r="O267" s="986"/>
      <c r="P267" s="986"/>
      <c r="Q267" s="986"/>
      <c r="R267" s="986"/>
      <c r="S267" s="986"/>
      <c r="T267" s="923"/>
      <c r="U267" s="923"/>
      <c r="V267" s="923"/>
      <c r="W267" s="923"/>
      <c r="X267" s="923"/>
      <c r="Y267" s="923"/>
      <c r="Z267" s="923"/>
      <c r="AA267" s="923"/>
      <c r="AB267" s="923"/>
      <c r="AC267" s="923"/>
      <c r="AD267" s="923"/>
      <c r="AE267" s="923"/>
      <c r="AF267" s="923"/>
      <c r="AG267" s="923"/>
      <c r="AH267" s="923"/>
      <c r="AI267" s="923"/>
      <c r="AJ267" s="923"/>
      <c r="AK267" s="923"/>
      <c r="AL267" s="925">
        <v>1</v>
      </c>
      <c r="AM267" s="627"/>
      <c r="AN267" s="627"/>
    </row>
    <row r="268" spans="1:40" s="984" customFormat="1" ht="40.5" customHeight="1">
      <c r="A268" s="921"/>
      <c r="B268" s="996"/>
      <c r="C268" s="1109" t="s">
        <v>2629</v>
      </c>
      <c r="D268" s="1110" t="s">
        <v>16</v>
      </c>
      <c r="E268" s="1111" t="s">
        <v>2630</v>
      </c>
      <c r="F268" s="1112" t="s">
        <v>2631</v>
      </c>
      <c r="G268" s="1113" t="s">
        <v>2632</v>
      </c>
      <c r="H268" s="1114" t="s">
        <v>2633</v>
      </c>
      <c r="I268" s="1115" t="s">
        <v>2634</v>
      </c>
      <c r="J268" s="1116" t="s">
        <v>2635</v>
      </c>
      <c r="K268" s="1117" t="s">
        <v>453</v>
      </c>
      <c r="L268" s="921"/>
      <c r="M268" s="921"/>
      <c r="N268" s="921"/>
      <c r="O268" s="1118" t="s">
        <v>2636</v>
      </c>
      <c r="P268" s="1119" t="s">
        <v>509</v>
      </c>
      <c r="Q268" s="1120" t="s">
        <v>2649</v>
      </c>
      <c r="R268" s="1121" t="s">
        <v>2650</v>
      </c>
      <c r="S268" s="1112" t="s">
        <v>2651</v>
      </c>
      <c r="T268" s="1122" t="s">
        <v>2652</v>
      </c>
      <c r="U268" s="1123" t="s">
        <v>2653</v>
      </c>
      <c r="V268" s="1124" t="s">
        <v>2654</v>
      </c>
      <c r="W268" s="1125" t="s">
        <v>2655</v>
      </c>
      <c r="X268" s="1126" t="s">
        <v>2656</v>
      </c>
      <c r="Y268" s="1111" t="s">
        <v>2657</v>
      </c>
      <c r="Z268" s="923"/>
      <c r="AA268" s="923"/>
      <c r="AB268" s="923"/>
      <c r="AC268" s="923"/>
      <c r="AD268" s="923"/>
      <c r="AE268" s="923"/>
      <c r="AF268" s="923"/>
      <c r="AG268" s="923"/>
      <c r="AH268" s="923"/>
      <c r="AI268" s="923"/>
      <c r="AJ268" s="923"/>
      <c r="AK268" s="923"/>
      <c r="AL268" s="925">
        <v>1</v>
      </c>
      <c r="AM268" s="627"/>
      <c r="AN268" s="627"/>
    </row>
    <row r="269" spans="1:40" s="984" customFormat="1" ht="40.5" customHeight="1">
      <c r="A269" s="921"/>
      <c r="B269" s="996"/>
      <c r="C269" s="921"/>
      <c r="D269" s="921"/>
      <c r="E269" s="921"/>
      <c r="F269" s="921"/>
      <c r="G269" s="921"/>
      <c r="H269" s="921"/>
      <c r="I269" s="986"/>
      <c r="J269" s="921"/>
      <c r="K269" s="921"/>
      <c r="L269" s="921"/>
      <c r="M269" s="921"/>
      <c r="N269" s="921"/>
      <c r="O269" s="986"/>
      <c r="P269" s="986"/>
      <c r="Q269" s="986"/>
      <c r="R269" s="986"/>
      <c r="S269" s="986"/>
      <c r="T269" s="923"/>
      <c r="U269" s="923"/>
      <c r="V269" s="923"/>
      <c r="W269" s="923"/>
      <c r="X269" s="923"/>
      <c r="Y269" s="923"/>
      <c r="Z269" s="923"/>
      <c r="AA269" s="923"/>
      <c r="AB269" s="923"/>
      <c r="AC269" s="923"/>
      <c r="AD269" s="923"/>
      <c r="AE269" s="923"/>
      <c r="AF269" s="923"/>
      <c r="AG269" s="923"/>
      <c r="AH269" s="923"/>
      <c r="AI269" s="923"/>
      <c r="AJ269" s="923"/>
      <c r="AK269" s="923"/>
      <c r="AL269" s="925">
        <v>1</v>
      </c>
      <c r="AM269" s="627"/>
      <c r="AN269" s="627"/>
    </row>
    <row r="270" spans="1:40" s="984" customFormat="1" ht="40.5" customHeight="1">
      <c r="A270" s="921"/>
      <c r="B270" s="996"/>
      <c r="C270" s="1127" t="s">
        <v>2629</v>
      </c>
      <c r="D270" s="1127" t="s">
        <v>16</v>
      </c>
      <c r="E270" s="1127" t="s">
        <v>2630</v>
      </c>
      <c r="F270" s="1127" t="s">
        <v>2631</v>
      </c>
      <c r="G270" s="1127" t="s">
        <v>2632</v>
      </c>
      <c r="H270" s="1127" t="s">
        <v>2633</v>
      </c>
      <c r="I270" s="1127" t="s">
        <v>2634</v>
      </c>
      <c r="J270" s="1127" t="s">
        <v>2635</v>
      </c>
      <c r="K270" s="1127" t="s">
        <v>453</v>
      </c>
      <c r="L270" s="921"/>
      <c r="M270" s="921"/>
      <c r="N270" s="921"/>
      <c r="O270" s="1127" t="s">
        <v>2636</v>
      </c>
      <c r="P270" s="1127" t="s">
        <v>509</v>
      </c>
      <c r="Q270" s="1127" t="s">
        <v>2649</v>
      </c>
      <c r="R270" s="1127" t="s">
        <v>2650</v>
      </c>
      <c r="S270" s="1127" t="s">
        <v>2651</v>
      </c>
      <c r="T270" s="1127" t="s">
        <v>2652</v>
      </c>
      <c r="U270" s="1127" t="s">
        <v>2653</v>
      </c>
      <c r="V270" s="1127" t="s">
        <v>2654</v>
      </c>
      <c r="W270" s="1127" t="s">
        <v>2655</v>
      </c>
      <c r="X270" s="1127" t="s">
        <v>2656</v>
      </c>
      <c r="Y270" s="1127" t="s">
        <v>2657</v>
      </c>
      <c r="Z270" s="921"/>
      <c r="AA270" s="921"/>
      <c r="AB270" s="921"/>
      <c r="AC270" s="921"/>
      <c r="AD270" s="921"/>
      <c r="AE270" s="921"/>
      <c r="AF270" s="921"/>
      <c r="AG270" s="921"/>
      <c r="AH270" s="921"/>
      <c r="AI270" s="921"/>
      <c r="AJ270" s="921"/>
      <c r="AK270" s="921"/>
      <c r="AL270" s="925">
        <v>1</v>
      </c>
      <c r="AM270" s="627"/>
      <c r="AN270" s="627"/>
    </row>
    <row r="271" spans="1:40" s="984" customFormat="1" ht="40.5" customHeight="1">
      <c r="A271" s="921"/>
      <c r="B271" s="996"/>
      <c r="C271" s="921"/>
      <c r="D271" s="921"/>
      <c r="E271" s="921"/>
      <c r="F271" s="921"/>
      <c r="G271" s="921"/>
      <c r="H271" s="921"/>
      <c r="I271" s="986"/>
      <c r="J271" s="921"/>
      <c r="K271" s="921"/>
      <c r="L271" s="921"/>
      <c r="M271" s="921"/>
      <c r="N271" s="921"/>
      <c r="O271" s="986"/>
      <c r="P271" s="986"/>
      <c r="Q271" s="986"/>
      <c r="R271" s="986"/>
      <c r="S271" s="986"/>
      <c r="T271" s="923"/>
      <c r="U271" s="923"/>
      <c r="V271" s="923"/>
      <c r="W271" s="923"/>
      <c r="X271" s="923"/>
      <c r="Y271" s="923"/>
      <c r="Z271" s="923"/>
      <c r="AA271" s="923"/>
      <c r="AB271" s="923"/>
      <c r="AC271" s="923"/>
      <c r="AD271" s="923"/>
      <c r="AE271" s="923"/>
      <c r="AF271" s="923"/>
      <c r="AG271" s="1022"/>
      <c r="AH271" s="1023"/>
      <c r="AI271" s="1023"/>
      <c r="AJ271" s="923"/>
      <c r="AK271" s="923"/>
      <c r="AL271" s="925">
        <v>1</v>
      </c>
      <c r="AM271" s="627"/>
      <c r="AN271" s="627"/>
    </row>
    <row r="272" spans="1:40" s="984" customFormat="1" ht="40.5" customHeight="1">
      <c r="A272" s="921"/>
      <c r="B272" s="996"/>
      <c r="C272" s="1128">
        <v>1</v>
      </c>
      <c r="D272" s="1128" t="s">
        <v>2716</v>
      </c>
      <c r="E272" s="1128" t="s">
        <v>2717</v>
      </c>
      <c r="F272" s="1128" t="s">
        <v>2718</v>
      </c>
      <c r="G272" s="1128" t="s">
        <v>2719</v>
      </c>
      <c r="H272" s="1128" t="s">
        <v>2720</v>
      </c>
      <c r="I272" s="1128" t="s">
        <v>2721</v>
      </c>
      <c r="J272" s="1128" t="s">
        <v>2722</v>
      </c>
      <c r="K272" s="1128" t="s">
        <v>2723</v>
      </c>
      <c r="L272" s="921"/>
      <c r="M272" s="921"/>
      <c r="N272" s="921"/>
      <c r="O272" s="1128" t="s">
        <v>2724</v>
      </c>
      <c r="P272" s="1128" t="s">
        <v>2725</v>
      </c>
      <c r="Q272" s="1128" t="s">
        <v>2726</v>
      </c>
      <c r="R272" s="1128" t="s">
        <v>2727</v>
      </c>
      <c r="S272" s="1128" t="s">
        <v>2728</v>
      </c>
      <c r="T272" s="1128" t="s">
        <v>2729</v>
      </c>
      <c r="U272" s="1128" t="s">
        <v>2730</v>
      </c>
      <c r="V272" s="1128" t="s">
        <v>2731</v>
      </c>
      <c r="W272" s="1128" t="s">
        <v>2732</v>
      </c>
      <c r="X272" s="1128" t="s">
        <v>2733</v>
      </c>
      <c r="Y272" s="1128" t="s">
        <v>2734</v>
      </c>
      <c r="Z272" s="1129">
        <v>15.5</v>
      </c>
      <c r="AA272" s="923"/>
      <c r="AB272" s="923"/>
      <c r="AC272" s="923"/>
      <c r="AD272" s="923"/>
      <c r="AE272" s="923"/>
      <c r="AF272" s="923"/>
      <c r="AG272" s="1022"/>
      <c r="AH272" s="1023"/>
      <c r="AI272" s="1023"/>
      <c r="AJ272" s="923"/>
      <c r="AK272" s="923"/>
      <c r="AL272" s="925">
        <v>1</v>
      </c>
      <c r="AM272" s="627"/>
      <c r="AN272" s="627"/>
    </row>
    <row r="273" spans="1:40" s="984" customFormat="1" ht="40.5" customHeight="1">
      <c r="A273" s="921"/>
      <c r="B273" s="996"/>
      <c r="C273" s="921"/>
      <c r="D273" s="921"/>
      <c r="E273" s="921"/>
      <c r="F273" s="921"/>
      <c r="G273" s="921"/>
      <c r="H273" s="921"/>
      <c r="I273" s="986"/>
      <c r="J273" s="921"/>
      <c r="K273" s="921"/>
      <c r="L273" s="921"/>
      <c r="M273" s="921"/>
      <c r="N273" s="921"/>
      <c r="O273" s="986"/>
      <c r="P273" s="986"/>
      <c r="Q273" s="986"/>
      <c r="R273" s="986"/>
      <c r="S273" s="986"/>
      <c r="T273" s="923"/>
      <c r="U273" s="923"/>
      <c r="V273" s="923"/>
      <c r="W273" s="923"/>
      <c r="X273" s="923"/>
      <c r="Y273" s="923"/>
      <c r="Z273" s="1024" t="s">
        <v>2958</v>
      </c>
      <c r="AA273" s="923"/>
      <c r="AB273" s="923"/>
      <c r="AC273" s="923"/>
      <c r="AD273" s="923"/>
      <c r="AE273" s="923"/>
      <c r="AF273" s="923"/>
      <c r="AG273" s="1022"/>
      <c r="AH273" s="1023"/>
      <c r="AI273" s="1023"/>
      <c r="AJ273" s="923"/>
      <c r="AK273" s="923"/>
      <c r="AL273" s="925">
        <v>1</v>
      </c>
      <c r="AM273" s="627"/>
      <c r="AN273" s="627"/>
    </row>
    <row r="274" spans="1:40" s="984" customFormat="1" ht="40.5" customHeight="1">
      <c r="A274" s="921"/>
      <c r="B274" s="996"/>
      <c r="C274" s="1130">
        <v>1</v>
      </c>
      <c r="D274" s="1131">
        <v>2</v>
      </c>
      <c r="E274" s="1130">
        <v>3</v>
      </c>
      <c r="F274" s="1131">
        <v>4</v>
      </c>
      <c r="G274" s="1130">
        <v>5</v>
      </c>
      <c r="H274" s="1131">
        <v>6</v>
      </c>
      <c r="I274" s="1130">
        <v>7</v>
      </c>
      <c r="J274" s="1131">
        <v>8</v>
      </c>
      <c r="K274" s="1130">
        <v>9</v>
      </c>
      <c r="L274" s="921"/>
      <c r="M274" s="921"/>
      <c r="N274" s="921"/>
      <c r="O274" s="1131">
        <v>10</v>
      </c>
      <c r="P274" s="1130">
        <v>11</v>
      </c>
      <c r="Q274" s="1131">
        <v>12</v>
      </c>
      <c r="R274" s="1130">
        <v>13</v>
      </c>
      <c r="S274" s="1131">
        <v>14</v>
      </c>
      <c r="T274" s="1130">
        <v>15</v>
      </c>
      <c r="U274" s="1131">
        <v>16</v>
      </c>
      <c r="V274" s="1130">
        <v>17</v>
      </c>
      <c r="W274" s="1131">
        <v>18</v>
      </c>
      <c r="X274" s="1130">
        <v>19</v>
      </c>
      <c r="Y274" s="1131">
        <v>20</v>
      </c>
      <c r="Z274" s="923"/>
      <c r="AA274" s="923"/>
      <c r="AB274" s="923"/>
      <c r="AC274" s="923"/>
      <c r="AD274" s="923"/>
      <c r="AE274" s="923"/>
      <c r="AF274" s="923"/>
      <c r="AG274" s="1022"/>
      <c r="AH274" s="1023"/>
      <c r="AI274" s="1023"/>
      <c r="AJ274" s="923"/>
      <c r="AK274" s="923"/>
      <c r="AL274" s="925">
        <v>1</v>
      </c>
      <c r="AM274" s="627"/>
      <c r="AN274" s="627"/>
    </row>
    <row r="275" spans="1:40" s="1101" customFormat="1" ht="40.5" customHeight="1">
      <c r="A275" s="1056"/>
      <c r="B275" s="1021"/>
      <c r="C275" s="1056"/>
      <c r="D275" s="1056"/>
      <c r="E275" s="1056"/>
      <c r="F275" s="1056"/>
      <c r="G275" s="1056"/>
      <c r="H275" s="1056"/>
      <c r="I275" s="986"/>
      <c r="J275" s="1056"/>
      <c r="K275" s="1056"/>
      <c r="L275" s="1056"/>
      <c r="M275" s="1056"/>
      <c r="N275" s="1056"/>
      <c r="O275" s="986"/>
      <c r="P275" s="986"/>
      <c r="Q275" s="986"/>
      <c r="R275" s="986"/>
      <c r="S275" s="986"/>
      <c r="T275" s="1022"/>
      <c r="U275" s="1021"/>
      <c r="V275" s="1108"/>
      <c r="W275" s="1102"/>
      <c r="X275" s="1102"/>
      <c r="Y275" s="1102"/>
      <c r="Z275" s="923"/>
      <c r="AA275" s="923"/>
      <c r="AB275" s="923"/>
      <c r="AC275" s="923"/>
      <c r="AD275" s="923"/>
      <c r="AE275" s="923"/>
      <c r="AF275" s="923"/>
      <c r="AG275" s="1022"/>
      <c r="AH275" s="1023"/>
      <c r="AI275" s="1023"/>
      <c r="AJ275" s="923"/>
      <c r="AK275" s="923"/>
      <c r="AL275" s="925">
        <v>1</v>
      </c>
      <c r="AM275" s="627"/>
      <c r="AN275" s="627"/>
    </row>
    <row r="276" spans="1:40" s="1101" customFormat="1" ht="40.5" customHeight="1">
      <c r="A276" s="1056"/>
      <c r="B276" s="1132"/>
      <c r="C276" s="1133" t="s">
        <v>2736</v>
      </c>
      <c r="D276" s="1134"/>
      <c r="E276" s="1022"/>
      <c r="F276" s="1135" t="s">
        <v>2967</v>
      </c>
      <c r="G276" s="1136"/>
      <c r="H276" s="1136"/>
      <c r="I276" s="1136"/>
      <c r="J276" s="1136"/>
      <c r="K276" s="1136"/>
      <c r="L276" s="986"/>
      <c r="M276" s="986"/>
      <c r="N276" s="986"/>
      <c r="O276" s="986"/>
      <c r="P276" s="1022"/>
      <c r="Q276" s="1022"/>
      <c r="R276" s="986"/>
      <c r="S276" s="986"/>
      <c r="T276" s="1022"/>
      <c r="U276" s="1022"/>
      <c r="V276" s="1108"/>
      <c r="W276" s="1102"/>
      <c r="X276" s="1102"/>
      <c r="Y276" s="1102"/>
      <c r="Z276" s="1137" t="s">
        <v>348</v>
      </c>
      <c r="AA276" s="923"/>
      <c r="AB276" s="923"/>
      <c r="AC276" s="923"/>
      <c r="AD276" s="923"/>
      <c r="AE276" s="923"/>
      <c r="AF276" s="923"/>
      <c r="AG276" s="1022"/>
      <c r="AH276" s="1023"/>
      <c r="AI276" s="1023"/>
      <c r="AJ276" s="923"/>
      <c r="AK276" s="923"/>
      <c r="AL276" s="925">
        <v>1</v>
      </c>
      <c r="AM276" s="627"/>
      <c r="AN276" s="627"/>
    </row>
    <row r="277" spans="1:40" s="1101" customFormat="1" ht="40.5" customHeight="1">
      <c r="A277" s="1056"/>
      <c r="B277" s="1132"/>
      <c r="C277" s="1138">
        <v>3</v>
      </c>
      <c r="D277" s="1134"/>
      <c r="E277" s="1056"/>
      <c r="F277" s="1056"/>
      <c r="G277" s="1056"/>
      <c r="H277" s="986"/>
      <c r="I277" s="986"/>
      <c r="J277" s="986"/>
      <c r="K277" s="986"/>
      <c r="L277" s="986"/>
      <c r="M277" s="986"/>
      <c r="N277" s="986"/>
      <c r="O277" s="986"/>
      <c r="P277" s="986"/>
      <c r="Q277" s="986"/>
      <c r="R277" s="986"/>
      <c r="S277" s="986"/>
      <c r="T277" s="1022"/>
      <c r="U277" s="1022"/>
      <c r="V277" s="1108"/>
      <c r="W277" s="1102"/>
      <c r="X277" s="1102"/>
      <c r="Y277" s="1102"/>
      <c r="Z277" s="923"/>
      <c r="AA277" s="923"/>
      <c r="AB277" s="923"/>
      <c r="AC277" s="923"/>
      <c r="AD277" s="923"/>
      <c r="AE277" s="923"/>
      <c r="AF277" s="923"/>
      <c r="AG277" s="1022"/>
      <c r="AH277" s="1023"/>
      <c r="AI277" s="1023"/>
      <c r="AJ277" s="923"/>
      <c r="AK277" s="923"/>
      <c r="AL277" s="925">
        <v>1</v>
      </c>
      <c r="AM277" s="627"/>
      <c r="AN277" s="627"/>
    </row>
    <row r="278" spans="1:40" s="1101" customFormat="1" ht="40.5" customHeight="1">
      <c r="A278" s="1056"/>
      <c r="B278" s="1132"/>
      <c r="C278" s="1056"/>
      <c r="D278" s="1056"/>
      <c r="E278" s="1056"/>
      <c r="F278" s="1056"/>
      <c r="G278" s="1056"/>
      <c r="H278" s="1139" t="s">
        <v>2968</v>
      </c>
      <c r="I278" s="1140"/>
      <c r="J278" s="1140"/>
      <c r="K278" s="1056"/>
      <c r="L278" s="1056"/>
      <c r="M278" s="1056"/>
      <c r="N278" s="1056"/>
      <c r="O278" s="986"/>
      <c r="P278" s="986"/>
      <c r="Q278" s="1141" t="s">
        <v>1487</v>
      </c>
      <c r="R278" s="1142" t="s">
        <v>2739</v>
      </c>
      <c r="S278" s="1143" t="s">
        <v>2740</v>
      </c>
      <c r="T278" s="1022"/>
      <c r="U278" s="1022"/>
      <c r="V278" s="1108"/>
      <c r="W278" s="1102"/>
      <c r="X278" s="1102"/>
      <c r="Y278" s="1102"/>
      <c r="Z278" s="923"/>
      <c r="AA278" s="923"/>
      <c r="AB278" s="923"/>
      <c r="AC278" s="923"/>
      <c r="AD278" s="923"/>
      <c r="AE278" s="923"/>
      <c r="AF278" s="923"/>
      <c r="AG278" s="1022"/>
      <c r="AH278" s="1023"/>
      <c r="AI278" s="1023"/>
      <c r="AJ278" s="923"/>
      <c r="AK278" s="923"/>
      <c r="AL278" s="925">
        <v>1</v>
      </c>
      <c r="AM278" s="627"/>
      <c r="AN278" s="627"/>
    </row>
    <row r="279" spans="1:40" s="1101" customFormat="1" ht="40.5" customHeight="1">
      <c r="A279" s="1056"/>
      <c r="B279" s="1132"/>
      <c r="C279" s="1144" t="s">
        <v>2969</v>
      </c>
      <c r="D279" s="1056"/>
      <c r="E279" s="1145"/>
      <c r="F279" s="1056"/>
      <c r="G279" s="1056"/>
      <c r="H279" s="1146" t="s">
        <v>2742</v>
      </c>
      <c r="I279" s="1146" t="s">
        <v>2743</v>
      </c>
      <c r="J279" s="1146" t="s">
        <v>2744</v>
      </c>
      <c r="K279" s="1102" t="s">
        <v>2745</v>
      </c>
      <c r="L279" s="1102"/>
      <c r="M279" s="1102"/>
      <c r="N279" s="1102"/>
      <c r="O279" s="1022"/>
      <c r="P279" s="1022"/>
      <c r="Q279" s="1144" t="s">
        <v>2971</v>
      </c>
      <c r="R279" s="1022"/>
      <c r="S279" s="1022"/>
      <c r="T279" s="1022"/>
      <c r="U279" s="1022"/>
      <c r="V279" s="1108"/>
      <c r="W279" s="1102"/>
      <c r="X279" s="1102"/>
      <c r="Y279" s="1102"/>
      <c r="Z279" s="1022"/>
      <c r="AA279" s="1022"/>
      <c r="AB279" s="1022"/>
      <c r="AC279" s="1022"/>
      <c r="AD279" s="1022"/>
      <c r="AE279" s="1022"/>
      <c r="AF279" s="1022"/>
      <c r="AG279" s="1022"/>
      <c r="AH279" s="1023"/>
      <c r="AI279" s="1023"/>
      <c r="AJ279" s="923"/>
      <c r="AK279" s="923"/>
      <c r="AL279" s="925">
        <v>1</v>
      </c>
      <c r="AM279" s="627"/>
      <c r="AN279" s="627"/>
    </row>
    <row r="280" spans="1:40" s="1101" customFormat="1" ht="40.5" customHeight="1">
      <c r="A280" s="1056"/>
      <c r="B280" s="1132"/>
      <c r="C280" s="1144" t="s">
        <v>2970</v>
      </c>
      <c r="D280" s="1056"/>
      <c r="E280" s="1145"/>
      <c r="F280" s="1056"/>
      <c r="G280" s="1056"/>
      <c r="H280" s="1146" t="s">
        <v>2748</v>
      </c>
      <c r="I280" s="1146" t="s">
        <v>2749</v>
      </c>
      <c r="J280" s="1146" t="s">
        <v>2750</v>
      </c>
      <c r="K280" s="1102" t="s">
        <v>2751</v>
      </c>
      <c r="L280" s="1102"/>
      <c r="M280" s="1102"/>
      <c r="N280" s="1102"/>
      <c r="O280" s="986"/>
      <c r="P280" s="986"/>
      <c r="Q280" s="1141" t="s">
        <v>1488</v>
      </c>
      <c r="R280" s="1142" t="s">
        <v>2752</v>
      </c>
      <c r="S280" s="1142" t="s">
        <v>2753</v>
      </c>
      <c r="T280" s="1022"/>
      <c r="U280" s="1022"/>
      <c r="V280" s="1108"/>
      <c r="W280" s="1102"/>
      <c r="X280" s="1102"/>
      <c r="Y280" s="1102"/>
      <c r="Z280" s="1102"/>
      <c r="AA280" s="1102"/>
      <c r="AB280" s="1102"/>
      <c r="AC280" s="1102"/>
      <c r="AD280" s="1102"/>
      <c r="AE280" s="1102"/>
      <c r="AF280" s="1022"/>
      <c r="AG280" s="1022"/>
      <c r="AH280" s="1023"/>
      <c r="AI280" s="1023"/>
      <c r="AJ280" s="923"/>
      <c r="AK280" s="923"/>
      <c r="AL280" s="925">
        <v>1</v>
      </c>
      <c r="AM280" s="627"/>
      <c r="AN280" s="627"/>
    </row>
    <row r="281" spans="1:40" s="1101" customFormat="1" ht="40.5" customHeight="1">
      <c r="A281" s="1056"/>
      <c r="B281" s="1132"/>
      <c r="C281" s="1144"/>
      <c r="D281" s="1056"/>
      <c r="E281" s="1144"/>
      <c r="F281" s="1147"/>
      <c r="G281" s="1144"/>
      <c r="H281" s="1144"/>
      <c r="I281" s="1056"/>
      <c r="J281" s="1056"/>
      <c r="K281" s="1056"/>
      <c r="L281" s="1056"/>
      <c r="M281" s="1056"/>
      <c r="N281" s="1056"/>
      <c r="O281" s="1056"/>
      <c r="P281" s="1056"/>
      <c r="Q281" s="1056"/>
      <c r="R281" s="1056"/>
      <c r="S281" s="1022"/>
      <c r="T281" s="1022"/>
      <c r="U281" s="1022"/>
      <c r="V281" s="1108"/>
      <c r="W281" s="1102"/>
      <c r="X281" s="1102"/>
      <c r="Y281" s="1102"/>
      <c r="Z281" s="1102"/>
      <c r="AA281" s="1102"/>
      <c r="AB281" s="1102"/>
      <c r="AC281" s="1102"/>
      <c r="AD281" s="1102"/>
      <c r="AE281" s="1102"/>
      <c r="AF281" s="1022"/>
      <c r="AG281" s="1022"/>
      <c r="AH281" s="1023"/>
      <c r="AI281" s="1023"/>
      <c r="AJ281" s="923"/>
      <c r="AK281" s="923"/>
      <c r="AL281" s="925">
        <v>1</v>
      </c>
      <c r="AM281" s="627"/>
      <c r="AN281" s="627"/>
    </row>
    <row r="282" spans="1:40">
      <c r="AL282" s="1148" t="s">
        <v>793</v>
      </c>
      <c r="AM282" s="630"/>
      <c r="AN282" s="630"/>
    </row>
    <row r="283" spans="1:40">
      <c r="A283" s="925">
        <v>1</v>
      </c>
      <c r="B283" s="925">
        <v>1</v>
      </c>
      <c r="C283" s="925">
        <v>1</v>
      </c>
      <c r="D283" s="925">
        <v>1</v>
      </c>
      <c r="E283" s="925">
        <v>1</v>
      </c>
      <c r="F283" s="925">
        <v>1</v>
      </c>
      <c r="G283" s="925">
        <v>1</v>
      </c>
      <c r="H283" s="925">
        <v>1</v>
      </c>
      <c r="I283" s="925">
        <v>1</v>
      </c>
      <c r="J283" s="925">
        <v>1</v>
      </c>
      <c r="K283" s="925">
        <v>1</v>
      </c>
      <c r="L283" s="925">
        <v>1</v>
      </c>
      <c r="M283" s="925">
        <v>1</v>
      </c>
      <c r="N283" s="925">
        <v>1</v>
      </c>
      <c r="O283" s="925">
        <v>1</v>
      </c>
      <c r="P283" s="925">
        <v>1</v>
      </c>
      <c r="Q283" s="925">
        <v>1</v>
      </c>
      <c r="R283" s="925">
        <v>1</v>
      </c>
      <c r="S283" s="925">
        <v>1</v>
      </c>
      <c r="T283" s="925">
        <v>1</v>
      </c>
      <c r="U283" s="925">
        <v>1</v>
      </c>
      <c r="V283" s="925">
        <v>1</v>
      </c>
      <c r="W283" s="925">
        <v>1</v>
      </c>
      <c r="X283" s="925">
        <v>1</v>
      </c>
      <c r="Y283" s="925">
        <v>1</v>
      </c>
      <c r="Z283" s="925">
        <v>1</v>
      </c>
      <c r="AA283" s="925">
        <v>1</v>
      </c>
      <c r="AB283" s="925">
        <v>1</v>
      </c>
      <c r="AC283" s="925">
        <v>1</v>
      </c>
      <c r="AD283" s="925">
        <v>1</v>
      </c>
      <c r="AE283" s="925">
        <v>1</v>
      </c>
      <c r="AF283" s="925">
        <v>1</v>
      </c>
      <c r="AG283" s="925">
        <v>1</v>
      </c>
      <c r="AH283" s="925">
        <v>1</v>
      </c>
      <c r="AI283" s="925">
        <v>1</v>
      </c>
      <c r="AJ283" s="925">
        <v>1</v>
      </c>
      <c r="AK283" s="925">
        <v>1</v>
      </c>
      <c r="AL283" s="1" t="str">
        <f>ADDRESS(ROW(),COLUMN(),4)</f>
        <v>AL283</v>
      </c>
      <c r="AM283" s="628"/>
      <c r="AN283" s="629" t="str">
        <f>ADDRESS(ROW(),COLUMN(),4)</f>
        <v>AN283</v>
      </c>
    </row>
  </sheetData>
  <mergeCells count="13">
    <mergeCell ref="E105:I106"/>
    <mergeCell ref="E75:M76"/>
    <mergeCell ref="E90:I91"/>
    <mergeCell ref="E92:I93"/>
    <mergeCell ref="E95:I96"/>
    <mergeCell ref="E102:I103"/>
    <mergeCell ref="C227:D227"/>
    <mergeCell ref="M116:M121"/>
    <mergeCell ref="J134:K134"/>
    <mergeCell ref="B133:P133"/>
    <mergeCell ref="B135:B136"/>
    <mergeCell ref="D215:J215"/>
    <mergeCell ref="D223:K224"/>
  </mergeCells>
  <hyperlinks>
    <hyperlink ref="D191" r:id="rId1" display="https://www.extensis.com/fr-fr/blog/les-10-polices-alternatives-%C3%A0-helvetica" xr:uid="{B4CAA96E-C295-4D4C-9092-225DB8E96ADF}"/>
    <hyperlink ref="D199" r:id="rId2" display="https://fr.wikipedia.org/wiki/Calibri" xr:uid="{71CCD913-4F38-47E2-87A0-4EA91317B1E5}"/>
    <hyperlink ref="D200" r:id="rId3" display="https://kulturegeek.fr/news-224456/microsoft-police-voudriez-remplacer-calibri" xr:uid="{62FEEA84-328F-41E0-B07F-F2C870EAC7C6}"/>
    <hyperlink ref="D185" r:id="rId4" display="https://fr.wikipedia.org/wiki/Helvetica" xr:uid="{7F069A47-F027-4F84-91FD-A957D0FB9753}"/>
    <hyperlink ref="D205" r:id="rId5" display="https://laruche.wizbii.com/17703-meilleure-police-ecriture-cv" xr:uid="{56891386-50A4-4A28-B038-E51F4097698F}"/>
    <hyperlink ref="D206" r:id="rId6" display="https://laruche.wizbii.com/17703-meilleure-police-ecriture-cv" xr:uid="{502EF63B-E358-40F8-997B-6CE03195F23E}"/>
    <hyperlink ref="D207" r:id="rId7" display="https://www.google.com/search?client=firefox-b-d&amp;cs=1&amp;sxsrf=AJOqlzWtAThXL_uLX0Izw5bcGDDqWJW1UA:1673858052794&amp;q=Quelle+est+la+police+d%27%C3%A9criture+la+plus+classe+%3F&amp;sa=X&amp;ved=2ahUKEwjYj4iV18v8AhXtTaQEHYpNBZ0Qzmd6BAgBEAU" xr:uid="{E116CE14-48DF-4CA6-9C79-45FB1DD138DF}"/>
    <hyperlink ref="D190" r:id="rId8" xr:uid="{6CDE7648-F6A2-4B98-8204-E063E4ACF91A}"/>
    <hyperlink ref="C126" r:id="rId9" xr:uid="{0302D2C1-C302-4D0A-9F74-9EE337847FF6}"/>
    <hyperlink ref="B144" r:id="rId10" xr:uid="{DEEC87E5-FC83-4A02-B1D5-E75EA964E063}"/>
    <hyperlink ref="B150" r:id="rId11" xr:uid="{9F78570D-61A3-40F8-A1AA-58312BE6C3FC}"/>
    <hyperlink ref="B153" r:id="rId12" xr:uid="{53BCC466-D281-485D-AE8F-CB3838463F60}"/>
    <hyperlink ref="B154" r:id="rId13" xr:uid="{7B9CBEFE-7162-479D-8423-6618129670E8}"/>
    <hyperlink ref="B156" r:id="rId14" xr:uid="{78EC218D-2050-49E9-99D5-901F48446C63}"/>
    <hyperlink ref="V235" r:id="rId15" xr:uid="{EB755629-9B06-481B-882C-8D7CF5B800C5}"/>
    <hyperlink ref="B159" r:id="rId16" xr:uid="{98C38AC5-A1DC-4C21-80BF-33796E21098C}"/>
    <hyperlink ref="R256" r:id="rId17" xr:uid="{2F32FF4D-D61D-4568-9C69-1E02B2E11DC2}"/>
  </hyperlinks>
  <pageMargins left="0.7" right="0.7" top="0.75" bottom="0.75" header="0.3" footer="0.3"/>
  <pageSetup paperSize="9" orientation="portrait" r:id="rId18"/>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88B4F-02F1-4A02-BDD7-F9D1D5E5B6A0}">
  <dimension ref="A1:AN288"/>
  <sheetViews>
    <sheetView zoomScale="75" zoomScaleNormal="75" workbookViewId="0">
      <selection activeCell="W18" sqref="W18"/>
    </sheetView>
  </sheetViews>
  <sheetFormatPr baseColWidth="10" defaultColWidth="11.42578125" defaultRowHeight="15"/>
  <cols>
    <col min="1" max="1" width="11.42578125" style="926"/>
    <col min="2" max="2" width="18.7109375" style="926" customWidth="1"/>
    <col min="3" max="3" width="19.5703125" style="926" customWidth="1"/>
    <col min="4" max="4" width="16" style="926" customWidth="1"/>
    <col min="5" max="5" width="11.42578125" style="926"/>
    <col min="6" max="6" width="15.42578125" style="926" customWidth="1"/>
    <col min="7" max="7" width="12" style="926" bestFit="1" customWidth="1"/>
    <col min="8" max="8" width="17.140625" style="926" customWidth="1"/>
    <col min="9" max="12" width="11.42578125" style="926"/>
    <col min="13" max="13" width="18.5703125" style="926" customWidth="1"/>
    <col min="14" max="14" width="11.42578125" style="926"/>
    <col min="15" max="15" width="19.5703125" style="926" customWidth="1"/>
    <col min="16" max="16" width="14.140625" style="926" bestFit="1" customWidth="1"/>
    <col min="17" max="19" width="11.42578125" style="926"/>
    <col min="20" max="21" width="11.7109375" style="926" bestFit="1" customWidth="1"/>
    <col min="22" max="22" width="18.140625" style="926" customWidth="1"/>
    <col min="23" max="25" width="16" style="926" customWidth="1"/>
    <col min="26" max="26" width="14.28515625" style="926" customWidth="1"/>
    <col min="27" max="27" width="15.28515625" style="926" customWidth="1"/>
    <col min="28" max="28" width="16" style="926" customWidth="1"/>
    <col min="29" max="29" width="14.140625" style="926" customWidth="1"/>
    <col min="30" max="37" width="11.42578125" style="926"/>
    <col min="38" max="38" width="7.5703125" style="630" customWidth="1"/>
    <col min="39" max="39" width="11.42578125" style="627"/>
    <col min="40" max="40" width="56.42578125" style="627" customWidth="1"/>
    <col min="41" max="16384" width="11.42578125" style="926"/>
  </cols>
  <sheetData>
    <row r="1" spans="1:40" ht="30" customHeight="1">
      <c r="A1" s="1" t="str">
        <f>ADDRESS(ROW(),COLUMN(),4)</f>
        <v>A1</v>
      </c>
      <c r="B1" s="921"/>
      <c r="C1" s="921"/>
      <c r="D1" s="921"/>
      <c r="E1" s="921"/>
      <c r="F1" s="921"/>
      <c r="G1" s="921"/>
      <c r="H1" s="921"/>
      <c r="I1" s="921"/>
      <c r="J1" s="921"/>
      <c r="K1" s="921"/>
      <c r="L1" s="921"/>
      <c r="M1" s="921"/>
      <c r="N1" s="921"/>
      <c r="O1" s="921"/>
      <c r="P1" s="922"/>
      <c r="Q1" s="922"/>
      <c r="R1" s="922"/>
      <c r="S1" s="922"/>
      <c r="T1" s="922"/>
      <c r="U1" s="923"/>
      <c r="V1" s="923"/>
      <c r="W1" s="923"/>
      <c r="X1" s="923"/>
      <c r="Y1" s="923"/>
      <c r="Z1" s="923"/>
      <c r="AA1" s="923"/>
      <c r="AB1" s="923"/>
      <c r="AC1" s="923"/>
      <c r="AD1" s="923"/>
      <c r="AE1" s="923"/>
      <c r="AF1" s="923"/>
      <c r="AG1" s="923"/>
      <c r="AH1" s="923"/>
      <c r="AI1" s="923"/>
      <c r="AJ1" s="924"/>
      <c r="AK1" s="924"/>
      <c r="AL1" s="925">
        <v>1</v>
      </c>
      <c r="AM1" s="657" t="str">
        <f>SUBSTITUTE(ADDRESS(1,COLUMN(),4),"1","")</f>
        <v>AM</v>
      </c>
      <c r="AN1" s="658" t="str">
        <f>SUBSTITUTE(ADDRESS(1,COLUMN(),4),"1","")</f>
        <v>AN</v>
      </c>
    </row>
    <row r="2" spans="1:40" ht="30" customHeight="1">
      <c r="A2" s="921"/>
      <c r="B2" s="949" t="s">
        <v>3095</v>
      </c>
      <c r="C2" s="921"/>
      <c r="D2" s="921"/>
      <c r="E2" s="921"/>
      <c r="F2" s="921"/>
      <c r="G2" s="921"/>
      <c r="H2" s="921"/>
      <c r="I2" s="921"/>
      <c r="J2" s="921"/>
      <c r="K2" s="921"/>
      <c r="L2" s="921"/>
      <c r="M2" s="921"/>
      <c r="N2" s="921"/>
      <c r="O2" s="921"/>
      <c r="P2" s="922"/>
      <c r="Q2" s="922"/>
      <c r="R2" s="922"/>
      <c r="S2" s="922"/>
      <c r="T2" s="922"/>
      <c r="U2" s="923"/>
      <c r="V2" s="923"/>
      <c r="W2" s="923"/>
      <c r="X2" s="923"/>
      <c r="Y2" s="923"/>
      <c r="Z2" s="923"/>
      <c r="AA2" s="923"/>
      <c r="AB2" s="923"/>
      <c r="AC2" s="923"/>
      <c r="AD2" s="923"/>
      <c r="AE2" s="923"/>
      <c r="AF2" s="923"/>
      <c r="AG2" s="923"/>
      <c r="AH2" s="923"/>
      <c r="AI2" s="923"/>
      <c r="AJ2" s="924"/>
      <c r="AK2" s="924"/>
      <c r="AL2" s="925">
        <v>1</v>
      </c>
      <c r="AM2" s="928"/>
      <c r="AN2" s="928" t="s">
        <v>3041</v>
      </c>
    </row>
    <row r="3" spans="1:40" ht="30" customHeight="1">
      <c r="A3" s="921"/>
      <c r="B3" s="949" t="s">
        <v>3096</v>
      </c>
      <c r="C3" s="921"/>
      <c r="D3" s="921"/>
      <c r="E3" s="921"/>
      <c r="F3" s="921"/>
      <c r="G3" s="921"/>
      <c r="H3" s="921"/>
      <c r="I3" s="921"/>
      <c r="J3" s="921"/>
      <c r="K3" s="921"/>
      <c r="L3" s="921"/>
      <c r="M3" s="921"/>
      <c r="N3" s="921"/>
      <c r="O3" s="921"/>
      <c r="P3" s="922"/>
      <c r="Q3" s="922"/>
      <c r="R3" s="922"/>
      <c r="S3" s="922"/>
      <c r="T3" s="922"/>
      <c r="U3" s="923"/>
      <c r="V3" s="923"/>
      <c r="W3" s="923"/>
      <c r="X3" s="923"/>
      <c r="Y3" s="923"/>
      <c r="Z3" s="923"/>
      <c r="AA3" s="923"/>
      <c r="AB3" s="923"/>
      <c r="AC3" s="923"/>
      <c r="AD3" s="923"/>
      <c r="AE3" s="923"/>
      <c r="AF3" s="923"/>
      <c r="AG3" s="923"/>
      <c r="AH3" s="923"/>
      <c r="AI3" s="923"/>
      <c r="AJ3" s="924"/>
      <c r="AK3" s="924"/>
      <c r="AL3" s="925">
        <v>1</v>
      </c>
      <c r="AM3" s="932">
        <f ca="1">COUNTA(A1:AL288) + COUNTBLANK(A1:AL288)</f>
        <v>10945</v>
      </c>
      <c r="AN3" s="928" t="str">
        <f>"celdas entre"&amp;" " &amp;A1&amp;" et  "&amp;AL288</f>
        <v>celdas entre A1 et  AL288</v>
      </c>
    </row>
    <row r="4" spans="1:40" ht="30" customHeight="1">
      <c r="A4" s="921"/>
      <c r="B4" s="949" t="s">
        <v>3097</v>
      </c>
      <c r="C4" s="921"/>
      <c r="D4" s="921"/>
      <c r="E4" s="921"/>
      <c r="F4" s="921"/>
      <c r="G4" s="921"/>
      <c r="H4" s="921"/>
      <c r="I4" s="921"/>
      <c r="J4" s="921"/>
      <c r="K4" s="921"/>
      <c r="L4" s="921"/>
      <c r="M4" s="921"/>
      <c r="N4" s="921"/>
      <c r="O4" s="921"/>
      <c r="P4" s="922"/>
      <c r="Q4" s="922"/>
      <c r="R4" s="922"/>
      <c r="S4" s="922"/>
      <c r="T4" s="922"/>
      <c r="U4" s="923"/>
      <c r="V4" s="923"/>
      <c r="W4" s="923"/>
      <c r="X4" s="923"/>
      <c r="Y4" s="923"/>
      <c r="Z4" s="923"/>
      <c r="AA4" s="923"/>
      <c r="AB4" s="923"/>
      <c r="AC4" s="923"/>
      <c r="AD4" s="923"/>
      <c r="AE4" s="923"/>
      <c r="AF4" s="923"/>
      <c r="AG4" s="923"/>
      <c r="AH4" s="923"/>
      <c r="AI4" s="923"/>
      <c r="AJ4" s="924"/>
      <c r="AK4" s="924"/>
      <c r="AL4" s="925">
        <v>1</v>
      </c>
      <c r="AM4" s="932">
        <f ca="1">COUNTA(A1:AL288)</f>
        <v>969</v>
      </c>
      <c r="AN4" s="928" t="s">
        <v>3042</v>
      </c>
    </row>
    <row r="5" spans="1:40" ht="30" customHeight="1">
      <c r="A5" s="921"/>
      <c r="B5" s="949" t="s">
        <v>3098</v>
      </c>
      <c r="C5" s="921"/>
      <c r="D5" s="921"/>
      <c r="E5" s="921"/>
      <c r="F5" s="921"/>
      <c r="G5" s="921"/>
      <c r="H5" s="921"/>
      <c r="I5" s="921"/>
      <c r="J5" s="921"/>
      <c r="K5" s="921"/>
      <c r="L5" s="921"/>
      <c r="M5" s="921"/>
      <c r="N5" s="921"/>
      <c r="O5" s="921"/>
      <c r="P5" s="922"/>
      <c r="Q5" s="922"/>
      <c r="R5" s="922"/>
      <c r="S5" s="922"/>
      <c r="T5" s="922"/>
      <c r="U5" s="923"/>
      <c r="V5" s="923"/>
      <c r="W5" s="923"/>
      <c r="X5" s="923"/>
      <c r="Y5" s="923"/>
      <c r="Z5" s="923"/>
      <c r="AA5" s="923"/>
      <c r="AB5" s="923"/>
      <c r="AC5" s="923"/>
      <c r="AD5" s="923"/>
      <c r="AE5" s="923"/>
      <c r="AF5" s="923"/>
      <c r="AG5" s="923"/>
      <c r="AH5" s="923"/>
      <c r="AI5" s="923"/>
      <c r="AJ5" s="924"/>
      <c r="AK5" s="924"/>
      <c r="AL5" s="925">
        <v>1</v>
      </c>
      <c r="AM5" s="932">
        <f ca="1">COUNTBLANK(A1:AL288)</f>
        <v>9976</v>
      </c>
      <c r="AN5" s="928" t="s">
        <v>3043</v>
      </c>
    </row>
    <row r="6" spans="1:40" ht="30" customHeight="1">
      <c r="A6" s="921"/>
      <c r="B6" s="949" t="s">
        <v>3099</v>
      </c>
      <c r="C6" s="921"/>
      <c r="D6" s="921"/>
      <c r="E6" s="921"/>
      <c r="F6" s="921"/>
      <c r="G6" s="921"/>
      <c r="H6" s="921"/>
      <c r="I6" s="921"/>
      <c r="J6" s="921"/>
      <c r="K6" s="921"/>
      <c r="L6" s="921"/>
      <c r="M6" s="921"/>
      <c r="N6" s="921"/>
      <c r="O6" s="921"/>
      <c r="P6" s="922"/>
      <c r="Q6" s="922"/>
      <c r="R6" s="922"/>
      <c r="S6" s="922"/>
      <c r="T6" s="922"/>
      <c r="U6" s="923"/>
      <c r="V6" s="923"/>
      <c r="W6" s="923"/>
      <c r="X6" s="923"/>
      <c r="Y6" s="923"/>
      <c r="Z6" s="923"/>
      <c r="AA6" s="923"/>
      <c r="AB6" s="923"/>
      <c r="AC6" s="923"/>
      <c r="AD6" s="923"/>
      <c r="AE6" s="923"/>
      <c r="AF6" s="923"/>
      <c r="AG6" s="923"/>
      <c r="AH6" s="923"/>
      <c r="AI6" s="923"/>
      <c r="AJ6" s="924"/>
      <c r="AK6" s="924"/>
      <c r="AL6" s="925">
        <v>1</v>
      </c>
      <c r="AM6" s="932">
        <f>SUM(AL1:AL286)+2</f>
        <v>288</v>
      </c>
      <c r="AN6" s="928" t="s">
        <v>3044</v>
      </c>
    </row>
    <row r="7" spans="1:40" ht="30" customHeight="1">
      <c r="A7" s="921"/>
      <c r="B7" s="949"/>
      <c r="C7" s="921"/>
      <c r="D7" s="921"/>
      <c r="E7" s="921"/>
      <c r="F7" s="921"/>
      <c r="G7" s="921"/>
      <c r="H7" s="921"/>
      <c r="I7" s="921"/>
      <c r="J7" s="921"/>
      <c r="K7" s="921"/>
      <c r="L7" s="921"/>
      <c r="M7" s="921"/>
      <c r="N7" s="921"/>
      <c r="O7" s="921"/>
      <c r="P7" s="922"/>
      <c r="Q7" s="922"/>
      <c r="R7" s="922"/>
      <c r="S7" s="922"/>
      <c r="T7" s="922"/>
      <c r="U7" s="923"/>
      <c r="V7" s="923"/>
      <c r="W7" s="923"/>
      <c r="X7" s="923"/>
      <c r="Y7" s="923"/>
      <c r="Z7" s="923"/>
      <c r="AA7" s="923"/>
      <c r="AB7" s="923"/>
      <c r="AC7" s="923"/>
      <c r="AD7" s="923"/>
      <c r="AE7" s="923"/>
      <c r="AF7" s="923"/>
      <c r="AG7" s="923"/>
      <c r="AH7" s="923"/>
      <c r="AI7" s="923"/>
      <c r="AJ7" s="924"/>
      <c r="AK7" s="924"/>
      <c r="AL7" s="925">
        <v>1</v>
      </c>
      <c r="AM7" s="932"/>
      <c r="AN7" s="928"/>
    </row>
    <row r="8" spans="1:40" ht="30" customHeight="1">
      <c r="A8" s="921"/>
      <c r="B8" s="949" t="s">
        <v>14243</v>
      </c>
      <c r="C8" s="930"/>
      <c r="D8" s="921"/>
      <c r="E8" s="921"/>
      <c r="F8" s="921"/>
      <c r="G8" s="921"/>
      <c r="H8" s="921"/>
      <c r="I8" s="922"/>
      <c r="J8" s="921"/>
      <c r="K8" s="921"/>
      <c r="L8" s="921"/>
      <c r="M8" s="921"/>
      <c r="N8" s="921"/>
      <c r="O8" s="922"/>
      <c r="P8" s="922"/>
      <c r="Q8" s="922"/>
      <c r="R8" s="922"/>
      <c r="S8" s="922"/>
      <c r="T8" s="923"/>
      <c r="U8" s="923"/>
      <c r="V8" s="931"/>
      <c r="W8" s="931"/>
      <c r="X8" s="5614"/>
      <c r="Y8" s="5614"/>
      <c r="Z8" s="923"/>
      <c r="AA8" s="5614"/>
      <c r="AB8" s="5614"/>
      <c r="AC8" s="5614"/>
      <c r="AD8" s="923"/>
      <c r="AE8" s="923"/>
      <c r="AF8" s="923"/>
      <c r="AG8" s="923"/>
      <c r="AH8" s="923"/>
      <c r="AI8" s="923"/>
      <c r="AJ8" s="924"/>
      <c r="AK8" s="924"/>
      <c r="AL8" s="925">
        <v>1</v>
      </c>
    </row>
    <row r="9" spans="1:40" ht="30" customHeight="1">
      <c r="A9" s="921"/>
      <c r="B9" s="949" t="s">
        <v>14231</v>
      </c>
      <c r="C9" s="930"/>
      <c r="D9" s="921"/>
      <c r="E9" s="921"/>
      <c r="F9" s="921"/>
      <c r="G9" s="921"/>
      <c r="H9" s="921"/>
      <c r="I9" s="922"/>
      <c r="J9" s="921"/>
      <c r="K9" s="921"/>
      <c r="L9" s="921"/>
      <c r="M9" s="921"/>
      <c r="N9" s="921"/>
      <c r="O9" s="922"/>
      <c r="P9" s="922"/>
      <c r="Q9" s="922"/>
      <c r="R9" s="922"/>
      <c r="S9" s="922"/>
      <c r="T9" s="923"/>
      <c r="U9" s="923"/>
      <c r="V9" s="931"/>
      <c r="W9" s="931"/>
      <c r="X9" s="5614"/>
      <c r="Y9" s="5614"/>
      <c r="Z9" s="934" t="s">
        <v>14258</v>
      </c>
      <c r="AA9" s="5614"/>
      <c r="AB9" s="5614"/>
      <c r="AC9" s="5614"/>
      <c r="AD9" s="923"/>
      <c r="AE9" s="923"/>
      <c r="AF9" s="923"/>
      <c r="AG9" s="923"/>
      <c r="AH9" s="923"/>
      <c r="AI9" s="923"/>
      <c r="AJ9" s="924"/>
      <c r="AK9" s="924"/>
      <c r="AL9" s="925">
        <v>1</v>
      </c>
    </row>
    <row r="10" spans="1:40" ht="30" customHeight="1">
      <c r="A10" s="921"/>
      <c r="B10" s="949"/>
      <c r="C10" s="930"/>
      <c r="D10" s="921"/>
      <c r="E10" s="921"/>
      <c r="F10" s="921"/>
      <c r="G10" s="921"/>
      <c r="H10" s="921"/>
      <c r="I10" s="922"/>
      <c r="J10" s="921"/>
      <c r="K10" s="921"/>
      <c r="L10" s="921"/>
      <c r="M10" s="921"/>
      <c r="N10" s="921"/>
      <c r="O10" s="922"/>
      <c r="P10" s="922"/>
      <c r="Q10" s="922"/>
      <c r="R10" s="922"/>
      <c r="S10" s="922"/>
      <c r="T10" s="923"/>
      <c r="U10" s="923"/>
      <c r="V10" s="931"/>
      <c r="W10" s="931"/>
      <c r="X10" s="5614"/>
      <c r="Y10" s="5614"/>
      <c r="Z10" s="934"/>
      <c r="AA10" s="5614"/>
      <c r="AB10" s="5614"/>
      <c r="AC10" s="5614"/>
      <c r="AD10" s="923"/>
      <c r="AE10" s="923"/>
      <c r="AF10" s="923"/>
      <c r="AG10" s="923"/>
      <c r="AH10" s="923"/>
      <c r="AI10" s="923"/>
      <c r="AJ10" s="924"/>
      <c r="AK10" s="924"/>
      <c r="AL10" s="925">
        <v>1</v>
      </c>
    </row>
    <row r="11" spans="1:40" ht="30" customHeight="1">
      <c r="A11" s="921"/>
      <c r="B11" s="949" t="s">
        <v>14234</v>
      </c>
      <c r="C11" s="930"/>
      <c r="D11" s="921"/>
      <c r="E11" s="921"/>
      <c r="F11" s="921"/>
      <c r="G11" s="921"/>
      <c r="H11" s="921"/>
      <c r="I11" s="922"/>
      <c r="J11" s="921"/>
      <c r="K11" s="921"/>
      <c r="L11" s="921"/>
      <c r="M11" s="921"/>
      <c r="N11" s="921"/>
      <c r="O11" s="922"/>
      <c r="P11" s="922"/>
      <c r="Q11" s="922"/>
      <c r="R11" s="922"/>
      <c r="S11" s="922"/>
      <c r="T11" s="923"/>
      <c r="U11" s="923"/>
      <c r="V11" s="933"/>
      <c r="W11" s="933"/>
      <c r="X11" s="933"/>
      <c r="Y11" s="934"/>
      <c r="Z11" s="933" t="str">
        <f ca="1">"Página "&amp;_xlfn.SHEET()&amp;" sur "&amp;_xlfn.SHEETS()</f>
        <v>Página 4 sur 27</v>
      </c>
      <c r="AA11" s="923"/>
      <c r="AB11" s="923"/>
      <c r="AC11" s="923"/>
      <c r="AD11" s="923"/>
      <c r="AE11" s="923"/>
      <c r="AF11" s="923"/>
      <c r="AG11" s="923"/>
      <c r="AH11" s="923"/>
      <c r="AI11" s="923"/>
      <c r="AJ11" s="924"/>
      <c r="AK11" s="924"/>
      <c r="AL11" s="925">
        <v>1</v>
      </c>
    </row>
    <row r="12" spans="1:40" ht="30" customHeight="1">
      <c r="A12" s="921"/>
      <c r="B12" s="949" t="s">
        <v>14237</v>
      </c>
      <c r="C12" s="930"/>
      <c r="D12" s="921"/>
      <c r="E12" s="921"/>
      <c r="F12" s="921"/>
      <c r="G12" s="921"/>
      <c r="H12" s="921"/>
      <c r="I12" s="922"/>
      <c r="J12" s="921"/>
      <c r="K12" s="921"/>
      <c r="L12" s="921"/>
      <c r="M12" s="921"/>
      <c r="N12" s="921"/>
      <c r="O12" s="922"/>
      <c r="P12" s="922"/>
      <c r="Q12" s="922"/>
      <c r="R12" s="922"/>
      <c r="S12" s="922"/>
      <c r="T12" s="923"/>
      <c r="U12" s="923"/>
      <c r="V12" s="933"/>
      <c r="W12" s="933"/>
      <c r="X12" s="933"/>
      <c r="Y12" s="934"/>
      <c r="Z12" s="923"/>
      <c r="AA12" s="923"/>
      <c r="AB12" s="923"/>
      <c r="AC12" s="923"/>
      <c r="AD12" s="923"/>
      <c r="AE12" s="923"/>
      <c r="AF12" s="923"/>
      <c r="AG12" s="923"/>
      <c r="AH12" s="923"/>
      <c r="AI12" s="923"/>
      <c r="AJ12" s="924"/>
      <c r="AK12" s="924"/>
      <c r="AL12" s="925">
        <v>1</v>
      </c>
    </row>
    <row r="13" spans="1:40" ht="30" customHeight="1">
      <c r="A13" s="921"/>
      <c r="B13" s="921"/>
      <c r="C13" s="921"/>
      <c r="D13" s="921"/>
      <c r="E13" s="921"/>
      <c r="F13" s="921"/>
      <c r="G13" s="921"/>
      <c r="H13" s="921"/>
      <c r="I13" s="921"/>
      <c r="J13" s="921"/>
      <c r="K13" s="921"/>
      <c r="L13" s="921"/>
      <c r="M13" s="921"/>
      <c r="N13" s="921"/>
      <c r="O13" s="921"/>
      <c r="P13" s="922"/>
      <c r="Q13" s="922"/>
      <c r="R13" s="922"/>
      <c r="S13" s="922"/>
      <c r="T13" s="922"/>
      <c r="U13" s="923"/>
      <c r="V13" s="923"/>
      <c r="W13" s="923"/>
      <c r="X13" s="923"/>
      <c r="Y13" s="923"/>
      <c r="Z13" s="935" t="s">
        <v>2856</v>
      </c>
      <c r="AA13" s="923"/>
      <c r="AB13" s="923"/>
      <c r="AC13" s="923"/>
      <c r="AD13" s="923"/>
      <c r="AE13" s="923"/>
      <c r="AF13" s="923"/>
      <c r="AG13" s="923"/>
      <c r="AH13" s="923"/>
      <c r="AI13" s="923"/>
      <c r="AJ13" s="924"/>
      <c r="AK13" s="924"/>
      <c r="AL13" s="925">
        <v>1</v>
      </c>
    </row>
    <row r="14" spans="1:40" ht="30" customHeight="1">
      <c r="A14" s="921"/>
      <c r="B14" s="927" t="s">
        <v>2840</v>
      </c>
      <c r="C14" s="921"/>
      <c r="D14" s="921"/>
      <c r="E14" s="921"/>
      <c r="F14" s="921"/>
      <c r="G14" s="921"/>
      <c r="H14" s="921"/>
      <c r="I14" s="922"/>
      <c r="J14" s="921"/>
      <c r="K14" s="921"/>
      <c r="L14" s="921"/>
      <c r="M14" s="921"/>
      <c r="N14" s="921"/>
      <c r="O14" s="922"/>
      <c r="P14" s="922"/>
      <c r="Q14" s="922"/>
      <c r="R14" s="922"/>
      <c r="S14" s="922"/>
      <c r="T14" s="923"/>
      <c r="U14" s="923"/>
      <c r="V14" s="923"/>
      <c r="W14" s="923"/>
      <c r="X14" s="5988"/>
      <c r="Y14" s="5988"/>
      <c r="Z14" s="5988"/>
      <c r="AA14" s="5988"/>
      <c r="AB14" s="5988"/>
      <c r="AC14" s="5988"/>
      <c r="AD14" s="923"/>
      <c r="AE14" s="923"/>
      <c r="AF14" s="923"/>
      <c r="AG14" s="923"/>
      <c r="AH14" s="923"/>
      <c r="AI14" s="923"/>
      <c r="AJ14" s="924"/>
      <c r="AK14" s="924"/>
      <c r="AL14" s="925">
        <v>1</v>
      </c>
    </row>
    <row r="15" spans="1:40" ht="30" customHeight="1">
      <c r="A15" s="921"/>
      <c r="B15" s="929" t="s">
        <v>2841</v>
      </c>
      <c r="C15" s="930"/>
      <c r="D15" s="921"/>
      <c r="E15" s="921"/>
      <c r="F15" s="921"/>
      <c r="G15" s="921"/>
      <c r="H15" s="921"/>
      <c r="I15" s="922"/>
      <c r="J15" s="921"/>
      <c r="K15" s="921"/>
      <c r="L15" s="921"/>
      <c r="M15" s="921"/>
      <c r="N15" s="921"/>
      <c r="O15" s="922"/>
      <c r="P15" s="922"/>
      <c r="Q15" s="922"/>
      <c r="R15" s="922"/>
      <c r="S15" s="922"/>
      <c r="T15" s="923"/>
      <c r="U15" s="923"/>
      <c r="V15" s="931"/>
      <c r="W15" s="931"/>
      <c r="X15" s="5988"/>
      <c r="Y15" s="5988"/>
      <c r="Z15" s="5988"/>
      <c r="AA15" s="5988"/>
      <c r="AB15" s="5988"/>
      <c r="AC15" s="5988"/>
      <c r="AD15" s="923"/>
      <c r="AE15" s="923"/>
      <c r="AF15" s="923"/>
      <c r="AG15" s="923"/>
      <c r="AH15" s="923"/>
      <c r="AI15" s="923"/>
      <c r="AJ15" s="924"/>
      <c r="AK15" s="924"/>
      <c r="AL15" s="925">
        <v>1</v>
      </c>
    </row>
    <row r="16" spans="1:40" ht="30" customHeight="1">
      <c r="A16" s="921"/>
      <c r="B16" s="929"/>
      <c r="C16" s="930"/>
      <c r="D16" s="921"/>
      <c r="E16" s="921"/>
      <c r="F16" s="921"/>
      <c r="G16" s="921"/>
      <c r="H16" s="921"/>
      <c r="I16" s="922"/>
      <c r="J16" s="921"/>
      <c r="K16" s="921"/>
      <c r="L16" s="921"/>
      <c r="M16" s="921"/>
      <c r="N16" s="921"/>
      <c r="O16" s="922"/>
      <c r="P16" s="922"/>
      <c r="Q16" s="922"/>
      <c r="R16" s="922"/>
      <c r="S16" s="922"/>
      <c r="T16" s="923"/>
      <c r="U16" s="923"/>
      <c r="V16" s="933"/>
      <c r="W16" s="933"/>
      <c r="X16" s="933"/>
      <c r="Y16" s="934"/>
      <c r="Z16" s="923"/>
      <c r="AA16" s="923"/>
      <c r="AB16" s="923"/>
      <c r="AC16" s="923"/>
      <c r="AD16" s="923"/>
      <c r="AE16" s="923"/>
      <c r="AF16" s="923"/>
      <c r="AG16" s="923"/>
      <c r="AH16" s="923"/>
      <c r="AI16" s="923"/>
      <c r="AJ16" s="924"/>
      <c r="AK16" s="924"/>
      <c r="AL16" s="925">
        <v>1</v>
      </c>
    </row>
    <row r="17" spans="1:38" ht="30" customHeight="1">
      <c r="A17" s="921"/>
      <c r="B17" s="929" t="s">
        <v>2810</v>
      </c>
      <c r="C17" s="930"/>
      <c r="D17" s="921"/>
      <c r="E17" s="921"/>
      <c r="F17" s="921"/>
      <c r="G17" s="921"/>
      <c r="H17" s="921"/>
      <c r="I17" s="922"/>
      <c r="J17" s="921"/>
      <c r="K17" s="921"/>
      <c r="L17" s="921"/>
      <c r="M17" s="921"/>
      <c r="N17" s="921"/>
      <c r="O17" s="922"/>
      <c r="P17" s="922"/>
      <c r="Q17" s="922"/>
      <c r="R17" s="922"/>
      <c r="S17" s="922"/>
      <c r="T17" s="923"/>
      <c r="U17" s="923"/>
      <c r="V17" s="933"/>
      <c r="W17" s="933"/>
      <c r="X17" s="933"/>
      <c r="Y17" s="923"/>
      <c r="Z17" s="923"/>
      <c r="AA17" s="923"/>
      <c r="AB17" s="923"/>
      <c r="AC17" s="923"/>
      <c r="AD17" s="923"/>
      <c r="AE17" s="923"/>
      <c r="AF17" s="923"/>
      <c r="AG17" s="923"/>
      <c r="AH17" s="923"/>
      <c r="AI17" s="923"/>
      <c r="AJ17" s="924"/>
      <c r="AK17" s="924"/>
      <c r="AL17" s="925">
        <v>1</v>
      </c>
    </row>
    <row r="18" spans="1:38" ht="30" customHeight="1">
      <c r="A18" s="921"/>
      <c r="B18" s="929" t="s">
        <v>2811</v>
      </c>
      <c r="C18" s="930"/>
      <c r="D18" s="921"/>
      <c r="E18" s="921"/>
      <c r="F18" s="921"/>
      <c r="G18" s="921"/>
      <c r="H18" s="921"/>
      <c r="I18" s="922"/>
      <c r="J18" s="921"/>
      <c r="K18" s="921"/>
      <c r="L18" s="921"/>
      <c r="M18" s="921"/>
      <c r="N18" s="921"/>
      <c r="O18" s="922"/>
      <c r="P18" s="922"/>
      <c r="Q18" s="922"/>
      <c r="R18" s="922"/>
      <c r="S18" s="922"/>
      <c r="T18" s="923"/>
      <c r="U18" s="923"/>
      <c r="V18" s="933"/>
      <c r="W18" s="933"/>
      <c r="X18" s="933"/>
      <c r="Y18" s="934"/>
      <c r="Z18" s="923"/>
      <c r="AA18" s="923"/>
      <c r="AB18" s="923"/>
      <c r="AC18" s="923"/>
      <c r="AD18" s="923"/>
      <c r="AE18" s="923"/>
      <c r="AF18" s="923"/>
      <c r="AG18" s="923"/>
      <c r="AH18" s="923"/>
      <c r="AI18" s="923"/>
      <c r="AJ18" s="924"/>
      <c r="AK18" s="924"/>
      <c r="AL18" s="925">
        <v>1</v>
      </c>
    </row>
    <row r="19" spans="1:38" ht="30" customHeight="1">
      <c r="A19" s="921"/>
      <c r="B19" s="929"/>
      <c r="C19" s="930"/>
      <c r="D19" s="921"/>
      <c r="E19" s="921"/>
      <c r="F19" s="921"/>
      <c r="G19" s="921"/>
      <c r="H19" s="921"/>
      <c r="I19" s="922"/>
      <c r="J19" s="921"/>
      <c r="K19" s="921"/>
      <c r="L19" s="921"/>
      <c r="M19" s="921"/>
      <c r="N19" s="921"/>
      <c r="O19" s="922"/>
      <c r="P19" s="922"/>
      <c r="Q19" s="922"/>
      <c r="R19" s="922"/>
      <c r="S19" s="922"/>
      <c r="T19" s="923"/>
      <c r="U19" s="923"/>
      <c r="V19" s="933"/>
      <c r="W19" s="933"/>
      <c r="X19" s="933"/>
      <c r="Y19" s="934"/>
      <c r="Z19" s="923"/>
      <c r="AA19" s="923"/>
      <c r="AB19" s="923"/>
      <c r="AC19" s="923"/>
      <c r="AD19" s="923"/>
      <c r="AE19" s="923"/>
      <c r="AF19" s="923"/>
      <c r="AG19" s="923"/>
      <c r="AH19" s="923"/>
      <c r="AI19" s="923"/>
      <c r="AJ19" s="924"/>
      <c r="AK19" s="924"/>
      <c r="AL19" s="925">
        <v>1</v>
      </c>
    </row>
    <row r="20" spans="1:38" ht="30" customHeight="1">
      <c r="A20" s="921"/>
      <c r="B20" s="929" t="s">
        <v>2812</v>
      </c>
      <c r="C20" s="930"/>
      <c r="D20" s="921"/>
      <c r="E20" s="921"/>
      <c r="F20" s="921"/>
      <c r="G20" s="921"/>
      <c r="H20" s="921"/>
      <c r="I20" s="922"/>
      <c r="J20" s="921"/>
      <c r="K20" s="921"/>
      <c r="L20" s="921"/>
      <c r="M20" s="921"/>
      <c r="N20" s="921"/>
      <c r="O20" s="922"/>
      <c r="P20" s="922"/>
      <c r="Q20" s="922"/>
      <c r="R20" s="922"/>
      <c r="S20" s="922"/>
      <c r="T20" s="923"/>
      <c r="U20" s="923"/>
      <c r="V20" s="933"/>
      <c r="W20" s="933"/>
      <c r="X20" s="933"/>
      <c r="Y20" s="933"/>
      <c r="Z20" s="923"/>
      <c r="AA20" s="923"/>
      <c r="AB20" s="923"/>
      <c r="AC20" s="923"/>
      <c r="AD20" s="923"/>
      <c r="AE20" s="923"/>
      <c r="AF20" s="923"/>
      <c r="AG20" s="923"/>
      <c r="AH20" s="923"/>
      <c r="AI20" s="923"/>
      <c r="AJ20" s="924"/>
      <c r="AK20" s="924"/>
      <c r="AL20" s="925">
        <v>1</v>
      </c>
    </row>
    <row r="21" spans="1:38" ht="30" customHeight="1">
      <c r="A21" s="921"/>
      <c r="B21" s="929" t="s">
        <v>2813</v>
      </c>
      <c r="C21" s="930"/>
      <c r="D21" s="921"/>
      <c r="E21" s="921"/>
      <c r="F21" s="921"/>
      <c r="G21" s="921"/>
      <c r="H21" s="921"/>
      <c r="I21" s="922"/>
      <c r="J21" s="921"/>
      <c r="K21" s="921"/>
      <c r="L21" s="921"/>
      <c r="M21" s="921"/>
      <c r="N21" s="921"/>
      <c r="O21" s="922"/>
      <c r="P21" s="922"/>
      <c r="Q21" s="922"/>
      <c r="R21" s="922"/>
      <c r="S21" s="922"/>
      <c r="T21" s="923"/>
      <c r="U21" s="923"/>
      <c r="V21" s="933"/>
      <c r="W21" s="933"/>
      <c r="X21" s="933"/>
      <c r="Y21" s="923"/>
      <c r="Z21" s="934"/>
      <c r="AA21" s="923"/>
      <c r="AB21" s="923"/>
      <c r="AC21" s="923"/>
      <c r="AD21" s="923"/>
      <c r="AE21" s="923"/>
      <c r="AF21" s="923"/>
      <c r="AG21" s="923"/>
      <c r="AH21" s="923"/>
      <c r="AI21" s="923"/>
      <c r="AJ21" s="924"/>
      <c r="AK21" s="924"/>
      <c r="AL21" s="925">
        <v>1</v>
      </c>
    </row>
    <row r="22" spans="1:38" ht="30" customHeight="1">
      <c r="A22" s="921"/>
      <c r="B22" s="929" t="s">
        <v>2814</v>
      </c>
      <c r="C22" s="930"/>
      <c r="D22" s="921"/>
      <c r="E22" s="921"/>
      <c r="F22" s="921"/>
      <c r="G22" s="921"/>
      <c r="H22" s="921"/>
      <c r="I22" s="922"/>
      <c r="J22" s="921"/>
      <c r="K22" s="921"/>
      <c r="L22" s="921"/>
      <c r="M22" s="921"/>
      <c r="N22" s="921"/>
      <c r="O22" s="922"/>
      <c r="P22" s="922"/>
      <c r="Q22" s="922"/>
      <c r="R22" s="922"/>
      <c r="S22" s="922"/>
      <c r="T22" s="923"/>
      <c r="U22" s="923"/>
      <c r="V22" s="933"/>
      <c r="W22" s="933"/>
      <c r="X22" s="933"/>
      <c r="Y22" s="935"/>
      <c r="Z22" s="934"/>
      <c r="AA22" s="923"/>
      <c r="AB22" s="923"/>
      <c r="AC22" s="923"/>
      <c r="AD22" s="923"/>
      <c r="AE22" s="923"/>
      <c r="AF22" s="923"/>
      <c r="AG22" s="923"/>
      <c r="AH22" s="923"/>
      <c r="AI22" s="923"/>
      <c r="AJ22" s="924"/>
      <c r="AK22" s="924"/>
      <c r="AL22" s="925">
        <v>1</v>
      </c>
    </row>
    <row r="23" spans="1:38" ht="30" customHeight="1">
      <c r="A23" s="921"/>
      <c r="B23" s="929" t="s">
        <v>2815</v>
      </c>
      <c r="C23" s="930"/>
      <c r="D23" s="921"/>
      <c r="E23" s="921"/>
      <c r="F23" s="921"/>
      <c r="G23" s="921"/>
      <c r="H23" s="921"/>
      <c r="I23" s="922"/>
      <c r="J23" s="921"/>
      <c r="K23" s="921"/>
      <c r="L23" s="921"/>
      <c r="M23" s="921"/>
      <c r="N23" s="921"/>
      <c r="O23" s="922"/>
      <c r="P23" s="922"/>
      <c r="Q23" s="922"/>
      <c r="R23" s="922"/>
      <c r="S23" s="922"/>
      <c r="T23" s="923"/>
      <c r="U23" s="923"/>
      <c r="V23" s="933"/>
      <c r="W23" s="933"/>
      <c r="X23" s="933"/>
      <c r="Y23" s="923"/>
      <c r="Z23" s="934"/>
      <c r="AA23" s="923"/>
      <c r="AB23" s="923"/>
      <c r="AC23" s="923"/>
      <c r="AD23" s="923"/>
      <c r="AE23" s="923"/>
      <c r="AF23" s="923"/>
      <c r="AG23" s="923"/>
      <c r="AH23" s="923"/>
      <c r="AI23" s="923"/>
      <c r="AJ23" s="924"/>
      <c r="AK23" s="924"/>
      <c r="AL23" s="925">
        <v>1</v>
      </c>
    </row>
    <row r="24" spans="1:38" ht="30" customHeight="1">
      <c r="A24" s="921"/>
      <c r="B24" s="929"/>
      <c r="C24" s="930"/>
      <c r="D24" s="921"/>
      <c r="E24" s="921"/>
      <c r="F24" s="921"/>
      <c r="G24" s="921"/>
      <c r="H24" s="921"/>
      <c r="I24" s="922"/>
      <c r="J24" s="921"/>
      <c r="K24" s="921"/>
      <c r="L24" s="921"/>
      <c r="M24" s="921"/>
      <c r="N24" s="921"/>
      <c r="O24" s="922"/>
      <c r="P24" s="929"/>
      <c r="Q24" s="922"/>
      <c r="R24" s="922"/>
      <c r="S24" s="922"/>
      <c r="T24" s="923"/>
      <c r="U24" s="923"/>
      <c r="V24" s="933"/>
      <c r="W24" s="933"/>
      <c r="X24" s="933"/>
      <c r="Y24" s="923"/>
      <c r="Z24" s="934"/>
      <c r="AA24" s="923"/>
      <c r="AB24" s="923"/>
      <c r="AC24" s="923"/>
      <c r="AD24" s="923"/>
      <c r="AE24" s="923"/>
      <c r="AF24" s="923"/>
      <c r="AG24" s="923"/>
      <c r="AH24" s="923"/>
      <c r="AI24" s="923"/>
      <c r="AJ24" s="924"/>
      <c r="AK24" s="924"/>
      <c r="AL24" s="925">
        <v>1</v>
      </c>
    </row>
    <row r="25" spans="1:38" ht="30" customHeight="1">
      <c r="A25" s="921"/>
      <c r="B25" s="929" t="s">
        <v>2816</v>
      </c>
      <c r="C25" s="930"/>
      <c r="D25" s="921"/>
      <c r="E25" s="921"/>
      <c r="F25" s="921"/>
      <c r="G25" s="921"/>
      <c r="H25" s="921"/>
      <c r="I25" s="922"/>
      <c r="J25" s="921"/>
      <c r="K25" s="921"/>
      <c r="L25" s="921"/>
      <c r="M25" s="921"/>
      <c r="N25" s="921"/>
      <c r="O25" s="922"/>
      <c r="P25" s="929"/>
      <c r="Q25" s="922"/>
      <c r="R25" s="922"/>
      <c r="S25" s="922"/>
      <c r="T25" s="923"/>
      <c r="U25" s="923"/>
      <c r="V25" s="933"/>
      <c r="W25" s="933"/>
      <c r="X25" s="933"/>
      <c r="Y25" s="923"/>
      <c r="Z25" s="934"/>
      <c r="AA25" s="923"/>
      <c r="AB25" s="923"/>
      <c r="AC25" s="923"/>
      <c r="AD25" s="923"/>
      <c r="AE25" s="923"/>
      <c r="AF25" s="923"/>
      <c r="AG25" s="923"/>
      <c r="AH25" s="923"/>
      <c r="AI25" s="923"/>
      <c r="AJ25" s="924"/>
      <c r="AK25" s="924"/>
      <c r="AL25" s="925">
        <v>1</v>
      </c>
    </row>
    <row r="26" spans="1:38" ht="30" customHeight="1">
      <c r="A26" s="921"/>
      <c r="B26" s="929" t="s">
        <v>2817</v>
      </c>
      <c r="C26" s="930"/>
      <c r="D26" s="921"/>
      <c r="E26" s="921"/>
      <c r="F26" s="921"/>
      <c r="G26" s="921"/>
      <c r="H26" s="921"/>
      <c r="I26" s="922"/>
      <c r="J26" s="921"/>
      <c r="K26" s="921"/>
      <c r="L26" s="921"/>
      <c r="M26" s="921"/>
      <c r="N26" s="921"/>
      <c r="O26" s="922"/>
      <c r="P26" s="929"/>
      <c r="Q26" s="922"/>
      <c r="R26" s="922"/>
      <c r="S26" s="922"/>
      <c r="T26" s="923"/>
      <c r="U26" s="923"/>
      <c r="V26" s="933"/>
      <c r="W26" s="933"/>
      <c r="X26" s="933"/>
      <c r="Y26" s="923"/>
      <c r="Z26" s="934"/>
      <c r="AA26" s="923"/>
      <c r="AB26" s="923"/>
      <c r="AC26" s="923"/>
      <c r="AD26" s="923"/>
      <c r="AE26" s="923"/>
      <c r="AF26" s="923"/>
      <c r="AG26" s="923"/>
      <c r="AH26" s="923"/>
      <c r="AI26" s="923"/>
      <c r="AJ26" s="924"/>
      <c r="AK26" s="924"/>
      <c r="AL26" s="925">
        <v>1</v>
      </c>
    </row>
    <row r="27" spans="1:38" ht="30" customHeight="1">
      <c r="A27" s="921"/>
      <c r="B27" s="929" t="s">
        <v>2818</v>
      </c>
      <c r="C27" s="930"/>
      <c r="D27" s="921"/>
      <c r="E27" s="921"/>
      <c r="F27" s="921"/>
      <c r="G27" s="921"/>
      <c r="H27" s="921"/>
      <c r="I27" s="922"/>
      <c r="J27" s="921"/>
      <c r="K27" s="921"/>
      <c r="L27" s="921"/>
      <c r="M27" s="921"/>
      <c r="N27" s="921"/>
      <c r="O27" s="922"/>
      <c r="P27" s="929"/>
      <c r="Q27" s="922"/>
      <c r="R27" s="922"/>
      <c r="S27" s="922"/>
      <c r="T27" s="923"/>
      <c r="U27" s="923"/>
      <c r="V27" s="933"/>
      <c r="W27" s="933"/>
      <c r="X27" s="933"/>
      <c r="Y27" s="923"/>
      <c r="Z27" s="934"/>
      <c r="AA27" s="923"/>
      <c r="AB27" s="923"/>
      <c r="AC27" s="923"/>
      <c r="AD27" s="923"/>
      <c r="AE27" s="923"/>
      <c r="AF27" s="923"/>
      <c r="AG27" s="923"/>
      <c r="AH27" s="923"/>
      <c r="AI27" s="923"/>
      <c r="AJ27" s="924"/>
      <c r="AK27" s="924"/>
      <c r="AL27" s="925">
        <v>1</v>
      </c>
    </row>
    <row r="28" spans="1:38" s="627" customFormat="1" ht="30" customHeight="1">
      <c r="A28" s="921"/>
      <c r="B28" s="929"/>
      <c r="C28" s="930"/>
      <c r="D28" s="921"/>
      <c r="E28" s="921"/>
      <c r="F28" s="921"/>
      <c r="G28" s="921"/>
      <c r="H28" s="921"/>
      <c r="I28" s="922"/>
      <c r="J28" s="921"/>
      <c r="K28" s="921"/>
      <c r="L28" s="921"/>
      <c r="M28" s="921"/>
      <c r="N28" s="921"/>
      <c r="O28" s="922"/>
      <c r="P28" s="929"/>
      <c r="Q28" s="922"/>
      <c r="R28" s="922"/>
      <c r="S28" s="922"/>
      <c r="T28" s="923"/>
      <c r="U28" s="923"/>
      <c r="V28" s="933"/>
      <c r="W28" s="933"/>
      <c r="X28" s="933"/>
      <c r="Y28" s="923"/>
      <c r="Z28" s="934"/>
      <c r="AA28" s="923"/>
      <c r="AB28" s="923"/>
      <c r="AC28" s="923"/>
      <c r="AD28" s="923"/>
      <c r="AE28" s="923"/>
      <c r="AF28" s="923"/>
      <c r="AG28" s="923"/>
      <c r="AH28" s="923"/>
      <c r="AI28" s="923"/>
      <c r="AJ28" s="924"/>
      <c r="AK28" s="924"/>
      <c r="AL28" s="925">
        <v>1</v>
      </c>
    </row>
    <row r="29" spans="1:38" s="627" customFormat="1" ht="30" customHeight="1">
      <c r="A29" s="921"/>
      <c r="B29" s="929" t="s">
        <v>2819</v>
      </c>
      <c r="C29" s="930"/>
      <c r="D29" s="921"/>
      <c r="E29" s="921"/>
      <c r="F29" s="921"/>
      <c r="G29" s="921"/>
      <c r="H29" s="921"/>
      <c r="I29" s="922"/>
      <c r="J29" s="921"/>
      <c r="K29" s="921"/>
      <c r="L29" s="921"/>
      <c r="M29" s="921"/>
      <c r="N29" s="921"/>
      <c r="O29" s="922"/>
      <c r="P29" s="929"/>
      <c r="Q29" s="922"/>
      <c r="R29" s="922"/>
      <c r="S29" s="922"/>
      <c r="T29" s="923"/>
      <c r="U29" s="923"/>
      <c r="V29" s="933"/>
      <c r="W29" s="933"/>
      <c r="X29" s="933"/>
      <c r="Y29" s="923"/>
      <c r="Z29" s="934"/>
      <c r="AA29" s="923"/>
      <c r="AB29" s="923"/>
      <c r="AC29" s="923"/>
      <c r="AD29" s="923"/>
      <c r="AE29" s="923"/>
      <c r="AF29" s="923"/>
      <c r="AG29" s="923"/>
      <c r="AH29" s="923"/>
      <c r="AI29" s="923"/>
      <c r="AJ29" s="924"/>
      <c r="AK29" s="924"/>
      <c r="AL29" s="925">
        <v>1</v>
      </c>
    </row>
    <row r="30" spans="1:38" s="627" customFormat="1" ht="30" customHeight="1">
      <c r="A30" s="921"/>
      <c r="B30" s="929" t="s">
        <v>2820</v>
      </c>
      <c r="C30" s="930"/>
      <c r="D30" s="921"/>
      <c r="E30" s="921"/>
      <c r="F30" s="921"/>
      <c r="G30" s="921"/>
      <c r="H30" s="921"/>
      <c r="I30" s="922"/>
      <c r="J30" s="921"/>
      <c r="K30" s="921"/>
      <c r="L30" s="921"/>
      <c r="M30" s="921"/>
      <c r="N30" s="921"/>
      <c r="O30" s="922"/>
      <c r="P30" s="929"/>
      <c r="Q30" s="922"/>
      <c r="R30" s="922"/>
      <c r="S30" s="922"/>
      <c r="T30" s="923"/>
      <c r="U30" s="923"/>
      <c r="V30" s="933"/>
      <c r="W30" s="933"/>
      <c r="X30" s="933"/>
      <c r="Y30" s="923"/>
      <c r="Z30" s="934"/>
      <c r="AA30" s="923"/>
      <c r="AB30" s="923"/>
      <c r="AC30" s="923"/>
      <c r="AD30" s="923"/>
      <c r="AE30" s="923"/>
      <c r="AF30" s="923"/>
      <c r="AG30" s="923"/>
      <c r="AH30" s="923"/>
      <c r="AI30" s="923"/>
      <c r="AJ30" s="924"/>
      <c r="AK30" s="924"/>
      <c r="AL30" s="925">
        <v>1</v>
      </c>
    </row>
    <row r="31" spans="1:38" s="627" customFormat="1" ht="30" customHeight="1">
      <c r="A31" s="921"/>
      <c r="B31" s="929"/>
      <c r="C31" s="930"/>
      <c r="D31" s="921"/>
      <c r="E31" s="921"/>
      <c r="F31" s="921"/>
      <c r="G31" s="921"/>
      <c r="H31" s="921"/>
      <c r="I31" s="922"/>
      <c r="J31" s="921"/>
      <c r="K31" s="921"/>
      <c r="L31" s="921"/>
      <c r="M31" s="921"/>
      <c r="N31" s="921"/>
      <c r="O31" s="922"/>
      <c r="P31" s="929"/>
      <c r="Q31" s="922"/>
      <c r="R31" s="922"/>
      <c r="S31" s="922"/>
      <c r="T31" s="923"/>
      <c r="U31" s="923"/>
      <c r="V31" s="933"/>
      <c r="W31" s="933"/>
      <c r="X31" s="933"/>
      <c r="Y31" s="923"/>
      <c r="Z31" s="934"/>
      <c r="AA31" s="923"/>
      <c r="AB31" s="923"/>
      <c r="AC31" s="923"/>
      <c r="AD31" s="923"/>
      <c r="AE31" s="923"/>
      <c r="AF31" s="923"/>
      <c r="AG31" s="923"/>
      <c r="AH31" s="923"/>
      <c r="AI31" s="923"/>
      <c r="AJ31" s="924"/>
      <c r="AK31" s="924"/>
      <c r="AL31" s="925">
        <v>1</v>
      </c>
    </row>
    <row r="32" spans="1:38" s="627" customFormat="1" ht="30" customHeight="1">
      <c r="A32" s="921"/>
      <c r="B32" s="929" t="s">
        <v>2821</v>
      </c>
      <c r="C32" s="930"/>
      <c r="D32" s="921"/>
      <c r="E32" s="921"/>
      <c r="F32" s="921"/>
      <c r="G32" s="921"/>
      <c r="H32" s="921"/>
      <c r="I32" s="922"/>
      <c r="J32" s="921"/>
      <c r="K32" s="921"/>
      <c r="L32" s="921"/>
      <c r="M32" s="921"/>
      <c r="N32" s="921"/>
      <c r="O32" s="922"/>
      <c r="P32" s="929"/>
      <c r="Q32" s="922"/>
      <c r="R32" s="922"/>
      <c r="S32" s="922"/>
      <c r="T32" s="923"/>
      <c r="U32" s="923"/>
      <c r="V32" s="933"/>
      <c r="W32" s="933"/>
      <c r="X32" s="933"/>
      <c r="Y32" s="923"/>
      <c r="Z32" s="934"/>
      <c r="AA32" s="923"/>
      <c r="AB32" s="923"/>
      <c r="AC32" s="923"/>
      <c r="AD32" s="923"/>
      <c r="AE32" s="923"/>
      <c r="AF32" s="923"/>
      <c r="AG32" s="923"/>
      <c r="AH32" s="923"/>
      <c r="AI32" s="923"/>
      <c r="AJ32" s="924"/>
      <c r="AK32" s="924"/>
      <c r="AL32" s="925">
        <v>1</v>
      </c>
    </row>
    <row r="33" spans="1:38" s="627" customFormat="1" ht="30" customHeight="1">
      <c r="A33" s="921"/>
      <c r="B33" s="929" t="s">
        <v>2861</v>
      </c>
      <c r="C33" s="930"/>
      <c r="D33" s="921"/>
      <c r="E33" s="921"/>
      <c r="F33" s="921"/>
      <c r="G33" s="921"/>
      <c r="H33" s="921"/>
      <c r="I33" s="922"/>
      <c r="J33" s="921"/>
      <c r="K33" s="921"/>
      <c r="L33" s="921"/>
      <c r="M33" s="921"/>
      <c r="N33" s="921"/>
      <c r="O33" s="922"/>
      <c r="P33" s="929"/>
      <c r="Q33" s="922"/>
      <c r="R33" s="922"/>
      <c r="S33" s="922"/>
      <c r="T33" s="923"/>
      <c r="U33" s="923"/>
      <c r="V33" s="933"/>
      <c r="W33" s="933"/>
      <c r="X33" s="933"/>
      <c r="Y33" s="923"/>
      <c r="Z33" s="934"/>
      <c r="AA33" s="923"/>
      <c r="AB33" s="923"/>
      <c r="AC33" s="923"/>
      <c r="AD33" s="923"/>
      <c r="AE33" s="923"/>
      <c r="AF33" s="923"/>
      <c r="AG33" s="923"/>
      <c r="AH33" s="923"/>
      <c r="AI33" s="923"/>
      <c r="AJ33" s="924"/>
      <c r="AK33" s="924"/>
      <c r="AL33" s="925">
        <v>1</v>
      </c>
    </row>
    <row r="34" spans="1:38" s="627" customFormat="1" ht="30" customHeight="1">
      <c r="A34" s="921"/>
      <c r="B34" s="929" t="s">
        <v>2822</v>
      </c>
      <c r="C34" s="930"/>
      <c r="D34" s="921"/>
      <c r="E34" s="921"/>
      <c r="F34" s="921"/>
      <c r="G34" s="921"/>
      <c r="H34" s="921"/>
      <c r="I34" s="922"/>
      <c r="J34" s="921"/>
      <c r="K34" s="921"/>
      <c r="L34" s="921"/>
      <c r="M34" s="921"/>
      <c r="N34" s="921"/>
      <c r="O34" s="922"/>
      <c r="P34" s="929"/>
      <c r="Q34" s="922"/>
      <c r="R34" s="922"/>
      <c r="S34" s="922"/>
      <c r="T34" s="923"/>
      <c r="U34" s="923"/>
      <c r="V34" s="933"/>
      <c r="W34" s="933"/>
      <c r="X34" s="933"/>
      <c r="Y34" s="923"/>
      <c r="Z34" s="934"/>
      <c r="AA34" s="923"/>
      <c r="AB34" s="923"/>
      <c r="AC34" s="923"/>
      <c r="AD34" s="923"/>
      <c r="AE34" s="923"/>
      <c r="AF34" s="923"/>
      <c r="AG34" s="923"/>
      <c r="AH34" s="923"/>
      <c r="AI34" s="923"/>
      <c r="AJ34" s="924"/>
      <c r="AK34" s="924"/>
      <c r="AL34" s="925">
        <v>1</v>
      </c>
    </row>
    <row r="35" spans="1:38" s="627" customFormat="1" ht="30" customHeight="1">
      <c r="A35" s="921"/>
      <c r="B35" s="929" t="s">
        <v>2823</v>
      </c>
      <c r="C35" s="930"/>
      <c r="D35" s="921"/>
      <c r="E35" s="921"/>
      <c r="F35" s="921"/>
      <c r="G35" s="921"/>
      <c r="H35" s="921"/>
      <c r="I35" s="922"/>
      <c r="J35" s="921"/>
      <c r="K35" s="921"/>
      <c r="L35" s="921"/>
      <c r="M35" s="921"/>
      <c r="N35" s="921"/>
      <c r="O35" s="922"/>
      <c r="P35" s="929"/>
      <c r="Q35" s="922"/>
      <c r="R35" s="922"/>
      <c r="S35" s="922"/>
      <c r="T35" s="923"/>
      <c r="U35" s="923"/>
      <c r="V35" s="933"/>
      <c r="W35" s="933"/>
      <c r="X35" s="933"/>
      <c r="Y35" s="923"/>
      <c r="Z35" s="934"/>
      <c r="AA35" s="923"/>
      <c r="AB35" s="923"/>
      <c r="AC35" s="923"/>
      <c r="AD35" s="923"/>
      <c r="AE35" s="923"/>
      <c r="AF35" s="923"/>
      <c r="AG35" s="923"/>
      <c r="AH35" s="923"/>
      <c r="AI35" s="923"/>
      <c r="AJ35" s="924"/>
      <c r="AK35" s="924"/>
      <c r="AL35" s="925">
        <v>1</v>
      </c>
    </row>
    <row r="36" spans="1:38" s="627" customFormat="1" ht="30" customHeight="1">
      <c r="A36" s="921"/>
      <c r="B36" s="929" t="s">
        <v>2824</v>
      </c>
      <c r="C36" s="930"/>
      <c r="D36" s="921"/>
      <c r="E36" s="921"/>
      <c r="F36" s="921"/>
      <c r="G36" s="921"/>
      <c r="H36" s="921"/>
      <c r="I36" s="922"/>
      <c r="J36" s="921"/>
      <c r="K36" s="921"/>
      <c r="L36" s="921"/>
      <c r="M36" s="921"/>
      <c r="N36" s="921"/>
      <c r="O36" s="922"/>
      <c r="P36" s="929"/>
      <c r="Q36" s="922"/>
      <c r="R36" s="922"/>
      <c r="S36" s="922"/>
      <c r="T36" s="923"/>
      <c r="U36" s="923"/>
      <c r="V36" s="933"/>
      <c r="W36" s="933"/>
      <c r="X36" s="933"/>
      <c r="Y36" s="923"/>
      <c r="Z36" s="934"/>
      <c r="AA36" s="923"/>
      <c r="AB36" s="923"/>
      <c r="AC36" s="923"/>
      <c r="AD36" s="923"/>
      <c r="AE36" s="923"/>
      <c r="AF36" s="923"/>
      <c r="AG36" s="923"/>
      <c r="AH36" s="923"/>
      <c r="AI36" s="923"/>
      <c r="AJ36" s="924"/>
      <c r="AK36" s="924"/>
      <c r="AL36" s="925">
        <v>1</v>
      </c>
    </row>
    <row r="37" spans="1:38" s="627" customFormat="1" ht="30" customHeight="1">
      <c r="A37" s="921"/>
      <c r="B37" s="929"/>
      <c r="C37" s="930"/>
      <c r="D37" s="921"/>
      <c r="E37" s="921"/>
      <c r="F37" s="921"/>
      <c r="G37" s="921"/>
      <c r="H37" s="921"/>
      <c r="I37" s="922"/>
      <c r="J37" s="921"/>
      <c r="K37" s="921"/>
      <c r="L37" s="921"/>
      <c r="M37" s="921"/>
      <c r="N37" s="921"/>
      <c r="O37" s="922"/>
      <c r="P37" s="929"/>
      <c r="Q37" s="922"/>
      <c r="R37" s="922"/>
      <c r="S37" s="922"/>
      <c r="T37" s="923"/>
      <c r="U37" s="923"/>
      <c r="V37" s="933"/>
      <c r="W37" s="933"/>
      <c r="X37" s="933"/>
      <c r="Y37" s="923"/>
      <c r="Z37" s="934"/>
      <c r="AA37" s="923"/>
      <c r="AB37" s="923"/>
      <c r="AC37" s="923"/>
      <c r="AD37" s="923"/>
      <c r="AE37" s="923"/>
      <c r="AF37" s="923"/>
      <c r="AG37" s="923"/>
      <c r="AH37" s="923"/>
      <c r="AI37" s="923"/>
      <c r="AJ37" s="924"/>
      <c r="AK37" s="924"/>
      <c r="AL37" s="925">
        <v>1</v>
      </c>
    </row>
    <row r="38" spans="1:38" s="627" customFormat="1" ht="30" customHeight="1">
      <c r="A38" s="921"/>
      <c r="B38" s="929" t="s">
        <v>2825</v>
      </c>
      <c r="C38" s="930"/>
      <c r="D38" s="921"/>
      <c r="E38" s="921"/>
      <c r="F38" s="921"/>
      <c r="G38" s="921"/>
      <c r="H38" s="921"/>
      <c r="I38" s="922"/>
      <c r="J38" s="921"/>
      <c r="K38" s="921"/>
      <c r="L38" s="921"/>
      <c r="M38" s="921"/>
      <c r="N38" s="921"/>
      <c r="O38" s="922"/>
      <c r="P38" s="929"/>
      <c r="Q38" s="922"/>
      <c r="R38" s="922"/>
      <c r="S38" s="922"/>
      <c r="T38" s="923"/>
      <c r="U38" s="923"/>
      <c r="V38" s="933"/>
      <c r="W38" s="933"/>
      <c r="X38" s="933"/>
      <c r="Y38" s="923"/>
      <c r="Z38" s="934"/>
      <c r="AA38" s="923"/>
      <c r="AB38" s="923"/>
      <c r="AC38" s="923"/>
      <c r="AD38" s="923"/>
      <c r="AE38" s="923"/>
      <c r="AF38" s="923"/>
      <c r="AG38" s="923"/>
      <c r="AH38" s="923"/>
      <c r="AI38" s="923"/>
      <c r="AJ38" s="924"/>
      <c r="AK38" s="924"/>
      <c r="AL38" s="925">
        <v>1</v>
      </c>
    </row>
    <row r="39" spans="1:38" s="627" customFormat="1" ht="30" customHeight="1">
      <c r="A39" s="921"/>
      <c r="B39" s="929" t="s">
        <v>2826</v>
      </c>
      <c r="C39" s="930"/>
      <c r="D39" s="921"/>
      <c r="E39" s="921"/>
      <c r="F39" s="921"/>
      <c r="G39" s="921"/>
      <c r="H39" s="921"/>
      <c r="I39" s="922"/>
      <c r="J39" s="921"/>
      <c r="K39" s="921"/>
      <c r="L39" s="921"/>
      <c r="M39" s="921"/>
      <c r="N39" s="921"/>
      <c r="O39" s="922"/>
      <c r="P39" s="929"/>
      <c r="Q39" s="922"/>
      <c r="R39" s="922"/>
      <c r="S39" s="922"/>
      <c r="T39" s="923"/>
      <c r="U39" s="923"/>
      <c r="V39" s="933"/>
      <c r="W39" s="933"/>
      <c r="X39" s="933"/>
      <c r="Y39" s="923"/>
      <c r="Z39" s="934"/>
      <c r="AA39" s="923"/>
      <c r="AB39" s="923"/>
      <c r="AC39" s="923"/>
      <c r="AD39" s="923"/>
      <c r="AE39" s="923"/>
      <c r="AF39" s="923"/>
      <c r="AG39" s="923"/>
      <c r="AH39" s="923"/>
      <c r="AI39" s="923"/>
      <c r="AJ39" s="924"/>
      <c r="AK39" s="924"/>
      <c r="AL39" s="925">
        <v>1</v>
      </c>
    </row>
    <row r="40" spans="1:38" s="627" customFormat="1" ht="30" customHeight="1">
      <c r="A40" s="921"/>
      <c r="B40" s="929"/>
      <c r="C40" s="930"/>
      <c r="D40" s="921"/>
      <c r="E40" s="921"/>
      <c r="F40" s="921"/>
      <c r="G40" s="921"/>
      <c r="H40" s="921"/>
      <c r="I40" s="922"/>
      <c r="J40" s="921"/>
      <c r="K40" s="921"/>
      <c r="L40" s="921"/>
      <c r="M40" s="921"/>
      <c r="N40" s="921"/>
      <c r="O40" s="922"/>
      <c r="P40" s="929"/>
      <c r="Q40" s="922"/>
      <c r="R40" s="922"/>
      <c r="S40" s="922"/>
      <c r="T40" s="923"/>
      <c r="U40" s="923"/>
      <c r="V40" s="933"/>
      <c r="W40" s="933"/>
      <c r="X40" s="933"/>
      <c r="Y40" s="923"/>
      <c r="Z40" s="934"/>
      <c r="AA40" s="923"/>
      <c r="AB40" s="923"/>
      <c r="AC40" s="923"/>
      <c r="AD40" s="923"/>
      <c r="AE40" s="923"/>
      <c r="AF40" s="923"/>
      <c r="AG40" s="923"/>
      <c r="AH40" s="923"/>
      <c r="AI40" s="923"/>
      <c r="AJ40" s="924"/>
      <c r="AK40" s="924"/>
      <c r="AL40" s="925">
        <v>1</v>
      </c>
    </row>
    <row r="41" spans="1:38" s="627" customFormat="1" ht="30" customHeight="1">
      <c r="A41" s="921"/>
      <c r="B41" s="929" t="s">
        <v>2827</v>
      </c>
      <c r="C41" s="930"/>
      <c r="D41" s="921"/>
      <c r="E41" s="921"/>
      <c r="F41" s="921"/>
      <c r="G41" s="921"/>
      <c r="H41" s="921"/>
      <c r="I41" s="922"/>
      <c r="J41" s="921"/>
      <c r="K41" s="921"/>
      <c r="L41" s="921"/>
      <c r="M41" s="921"/>
      <c r="N41" s="921"/>
      <c r="O41" s="922"/>
      <c r="P41" s="929"/>
      <c r="Q41" s="922"/>
      <c r="R41" s="922"/>
      <c r="S41" s="922"/>
      <c r="T41" s="923"/>
      <c r="U41" s="923"/>
      <c r="V41" s="933"/>
      <c r="W41" s="933"/>
      <c r="X41" s="933"/>
      <c r="Y41" s="923"/>
      <c r="Z41" s="934"/>
      <c r="AA41" s="923"/>
      <c r="AB41" s="923"/>
      <c r="AC41" s="923"/>
      <c r="AD41" s="923"/>
      <c r="AE41" s="923"/>
      <c r="AF41" s="923"/>
      <c r="AG41" s="923"/>
      <c r="AH41" s="923"/>
      <c r="AI41" s="923"/>
      <c r="AJ41" s="924"/>
      <c r="AK41" s="924"/>
      <c r="AL41" s="925">
        <v>1</v>
      </c>
    </row>
    <row r="42" spans="1:38" s="627" customFormat="1" ht="30" customHeight="1">
      <c r="A42" s="921"/>
      <c r="B42" s="929" t="s">
        <v>2828</v>
      </c>
      <c r="C42" s="930"/>
      <c r="D42" s="921"/>
      <c r="E42" s="921"/>
      <c r="F42" s="921"/>
      <c r="G42" s="921"/>
      <c r="H42" s="921"/>
      <c r="I42" s="922"/>
      <c r="J42" s="921"/>
      <c r="K42" s="921"/>
      <c r="L42" s="921"/>
      <c r="M42" s="921"/>
      <c r="N42" s="921"/>
      <c r="O42" s="922"/>
      <c r="P42" s="929"/>
      <c r="Q42" s="922"/>
      <c r="R42" s="922"/>
      <c r="S42" s="922"/>
      <c r="T42" s="923"/>
      <c r="U42" s="923"/>
      <c r="V42" s="933"/>
      <c r="W42" s="933"/>
      <c r="X42" s="933"/>
      <c r="Y42" s="923"/>
      <c r="Z42" s="934"/>
      <c r="AA42" s="923"/>
      <c r="AB42" s="923"/>
      <c r="AC42" s="923"/>
      <c r="AD42" s="923"/>
      <c r="AE42" s="923"/>
      <c r="AF42" s="923"/>
      <c r="AG42" s="923"/>
      <c r="AH42" s="923"/>
      <c r="AI42" s="923"/>
      <c r="AJ42" s="924"/>
      <c r="AK42" s="924"/>
      <c r="AL42" s="925">
        <v>1</v>
      </c>
    </row>
    <row r="43" spans="1:38" s="627" customFormat="1" ht="30" customHeight="1">
      <c r="A43" s="921"/>
      <c r="B43" s="929" t="s">
        <v>2829</v>
      </c>
      <c r="C43" s="930"/>
      <c r="D43" s="921"/>
      <c r="E43" s="921"/>
      <c r="F43" s="921"/>
      <c r="G43" s="921"/>
      <c r="H43" s="921"/>
      <c r="I43" s="922"/>
      <c r="J43" s="921"/>
      <c r="K43" s="921"/>
      <c r="L43" s="921"/>
      <c r="M43" s="921"/>
      <c r="N43" s="921"/>
      <c r="O43" s="922"/>
      <c r="P43" s="929"/>
      <c r="Q43" s="922"/>
      <c r="R43" s="922"/>
      <c r="S43" s="922"/>
      <c r="T43" s="923"/>
      <c r="U43" s="923"/>
      <c r="V43" s="933"/>
      <c r="W43" s="933"/>
      <c r="X43" s="933"/>
      <c r="Y43" s="923"/>
      <c r="Z43" s="934"/>
      <c r="AA43" s="923"/>
      <c r="AB43" s="923"/>
      <c r="AC43" s="923"/>
      <c r="AD43" s="923"/>
      <c r="AE43" s="923"/>
      <c r="AF43" s="923"/>
      <c r="AG43" s="923"/>
      <c r="AH43" s="923"/>
      <c r="AI43" s="923"/>
      <c r="AJ43" s="924"/>
      <c r="AK43" s="924"/>
      <c r="AL43" s="925">
        <v>1</v>
      </c>
    </row>
    <row r="44" spans="1:38" s="627" customFormat="1" ht="30" customHeight="1">
      <c r="A44" s="921"/>
      <c r="B44" s="929" t="s">
        <v>2830</v>
      </c>
      <c r="C44" s="930"/>
      <c r="D44" s="921"/>
      <c r="E44" s="921"/>
      <c r="F44" s="921"/>
      <c r="G44" s="921"/>
      <c r="H44" s="921"/>
      <c r="I44" s="922"/>
      <c r="J44" s="921"/>
      <c r="K44" s="921"/>
      <c r="L44" s="921"/>
      <c r="M44" s="921"/>
      <c r="N44" s="921"/>
      <c r="O44" s="922"/>
      <c r="P44" s="929"/>
      <c r="Q44" s="922"/>
      <c r="R44" s="922"/>
      <c r="S44" s="922"/>
      <c r="T44" s="923"/>
      <c r="U44" s="923"/>
      <c r="V44" s="933"/>
      <c r="W44" s="933"/>
      <c r="X44" s="933"/>
      <c r="Y44" s="923"/>
      <c r="Z44" s="934"/>
      <c r="AA44" s="923"/>
      <c r="AB44" s="923"/>
      <c r="AC44" s="923"/>
      <c r="AD44" s="923"/>
      <c r="AE44" s="923"/>
      <c r="AF44" s="923"/>
      <c r="AG44" s="923"/>
      <c r="AH44" s="923"/>
      <c r="AI44" s="923"/>
      <c r="AJ44" s="924"/>
      <c r="AK44" s="924"/>
      <c r="AL44" s="925">
        <v>1</v>
      </c>
    </row>
    <row r="45" spans="1:38" s="627" customFormat="1" ht="30" customHeight="1">
      <c r="A45" s="921"/>
      <c r="B45" s="929"/>
      <c r="C45" s="930"/>
      <c r="D45" s="921"/>
      <c r="E45" s="921"/>
      <c r="F45" s="921"/>
      <c r="G45" s="921"/>
      <c r="H45" s="921"/>
      <c r="I45" s="922"/>
      <c r="J45" s="921"/>
      <c r="K45" s="921"/>
      <c r="L45" s="921"/>
      <c r="M45" s="921"/>
      <c r="N45" s="921"/>
      <c r="O45" s="922"/>
      <c r="P45" s="929"/>
      <c r="Q45" s="922"/>
      <c r="R45" s="922"/>
      <c r="S45" s="922"/>
      <c r="T45" s="923"/>
      <c r="U45" s="923"/>
      <c r="V45" s="933"/>
      <c r="W45" s="933"/>
      <c r="X45" s="933"/>
      <c r="Y45" s="923"/>
      <c r="Z45" s="934"/>
      <c r="AA45" s="923"/>
      <c r="AB45" s="923"/>
      <c r="AC45" s="923"/>
      <c r="AD45" s="923"/>
      <c r="AE45" s="923"/>
      <c r="AF45" s="923"/>
      <c r="AG45" s="923"/>
      <c r="AH45" s="923"/>
      <c r="AI45" s="923"/>
      <c r="AJ45" s="924"/>
      <c r="AK45" s="924"/>
      <c r="AL45" s="925">
        <v>1</v>
      </c>
    </row>
    <row r="46" spans="1:38" s="627" customFormat="1" ht="30" customHeight="1">
      <c r="A46" s="921"/>
      <c r="B46" s="929" t="s">
        <v>2831</v>
      </c>
      <c r="C46" s="930"/>
      <c r="D46" s="921"/>
      <c r="E46" s="921"/>
      <c r="F46" s="921"/>
      <c r="G46" s="921"/>
      <c r="H46" s="921"/>
      <c r="I46" s="922"/>
      <c r="J46" s="921"/>
      <c r="K46" s="921"/>
      <c r="L46" s="921"/>
      <c r="M46" s="921"/>
      <c r="N46" s="921"/>
      <c r="O46" s="922"/>
      <c r="P46" s="929"/>
      <c r="Q46" s="922"/>
      <c r="R46" s="922"/>
      <c r="S46" s="922"/>
      <c r="T46" s="923"/>
      <c r="U46" s="923"/>
      <c r="V46" s="933"/>
      <c r="W46" s="933"/>
      <c r="X46" s="933"/>
      <c r="Y46" s="923"/>
      <c r="Z46" s="934"/>
      <c r="AA46" s="923"/>
      <c r="AB46" s="923"/>
      <c r="AC46" s="923"/>
      <c r="AD46" s="923"/>
      <c r="AE46" s="923"/>
      <c r="AF46" s="923"/>
      <c r="AG46" s="923"/>
      <c r="AH46" s="923"/>
      <c r="AI46" s="923"/>
      <c r="AJ46" s="924"/>
      <c r="AK46" s="924"/>
      <c r="AL46" s="925">
        <v>1</v>
      </c>
    </row>
    <row r="47" spans="1:38" s="627" customFormat="1" ht="30" customHeight="1">
      <c r="A47" s="921"/>
      <c r="B47" s="929" t="s">
        <v>2832</v>
      </c>
      <c r="C47" s="930"/>
      <c r="D47" s="921"/>
      <c r="E47" s="921"/>
      <c r="F47" s="921"/>
      <c r="G47" s="921"/>
      <c r="H47" s="921"/>
      <c r="I47" s="922"/>
      <c r="J47" s="921"/>
      <c r="K47" s="921"/>
      <c r="L47" s="921"/>
      <c r="M47" s="921"/>
      <c r="N47" s="921"/>
      <c r="O47" s="922"/>
      <c r="P47" s="929"/>
      <c r="Q47" s="922"/>
      <c r="R47" s="922"/>
      <c r="S47" s="922"/>
      <c r="T47" s="923"/>
      <c r="U47" s="923"/>
      <c r="V47" s="933"/>
      <c r="W47" s="933"/>
      <c r="X47" s="933"/>
      <c r="Y47" s="923"/>
      <c r="Z47" s="934"/>
      <c r="AA47" s="923"/>
      <c r="AB47" s="923"/>
      <c r="AC47" s="923"/>
      <c r="AD47" s="923"/>
      <c r="AE47" s="923"/>
      <c r="AF47" s="923"/>
      <c r="AG47" s="923"/>
      <c r="AH47" s="923"/>
      <c r="AI47" s="923"/>
      <c r="AJ47" s="924"/>
      <c r="AK47" s="924"/>
      <c r="AL47" s="925">
        <v>1</v>
      </c>
    </row>
    <row r="48" spans="1:38" s="627" customFormat="1" ht="30" customHeight="1">
      <c r="A48" s="921"/>
      <c r="B48" s="929" t="s">
        <v>2833</v>
      </c>
      <c r="C48" s="930"/>
      <c r="D48" s="921"/>
      <c r="E48" s="921"/>
      <c r="F48" s="921"/>
      <c r="G48" s="921"/>
      <c r="H48" s="921"/>
      <c r="I48" s="922"/>
      <c r="J48" s="921"/>
      <c r="K48" s="921"/>
      <c r="L48" s="921"/>
      <c r="M48" s="921"/>
      <c r="N48" s="921"/>
      <c r="O48" s="922"/>
      <c r="P48" s="929"/>
      <c r="Q48" s="922"/>
      <c r="R48" s="922"/>
      <c r="S48" s="922"/>
      <c r="T48" s="923"/>
      <c r="U48" s="923"/>
      <c r="V48" s="933"/>
      <c r="W48" s="933"/>
      <c r="X48" s="933"/>
      <c r="Y48" s="923"/>
      <c r="Z48" s="934"/>
      <c r="AA48" s="923"/>
      <c r="AB48" s="923"/>
      <c r="AC48" s="923"/>
      <c r="AD48" s="923"/>
      <c r="AE48" s="923"/>
      <c r="AF48" s="923"/>
      <c r="AG48" s="923"/>
      <c r="AH48" s="923"/>
      <c r="AI48" s="923"/>
      <c r="AJ48" s="924"/>
      <c r="AK48" s="924"/>
      <c r="AL48" s="925">
        <v>1</v>
      </c>
    </row>
    <row r="49" spans="1:38" s="627" customFormat="1" ht="30" customHeight="1">
      <c r="A49" s="921"/>
      <c r="B49" s="929" t="s">
        <v>2834</v>
      </c>
      <c r="C49" s="930"/>
      <c r="D49" s="921"/>
      <c r="E49" s="921"/>
      <c r="F49" s="921"/>
      <c r="G49" s="921"/>
      <c r="H49" s="921"/>
      <c r="I49" s="922"/>
      <c r="J49" s="921"/>
      <c r="K49" s="921"/>
      <c r="L49" s="921"/>
      <c r="M49" s="921"/>
      <c r="N49" s="921"/>
      <c r="O49" s="922"/>
      <c r="P49" s="929"/>
      <c r="Q49" s="922"/>
      <c r="R49" s="922"/>
      <c r="S49" s="922"/>
      <c r="T49" s="923"/>
      <c r="U49" s="923"/>
      <c r="V49" s="933"/>
      <c r="W49" s="933"/>
      <c r="X49" s="933"/>
      <c r="Y49" s="923"/>
      <c r="Z49" s="934"/>
      <c r="AA49" s="923"/>
      <c r="AB49" s="923"/>
      <c r="AC49" s="923"/>
      <c r="AD49" s="923"/>
      <c r="AE49" s="923"/>
      <c r="AF49" s="923"/>
      <c r="AG49" s="923"/>
      <c r="AH49" s="923"/>
      <c r="AI49" s="923"/>
      <c r="AJ49" s="924"/>
      <c r="AK49" s="924"/>
      <c r="AL49" s="925">
        <v>1</v>
      </c>
    </row>
    <row r="50" spans="1:38" s="627" customFormat="1" ht="30" customHeight="1">
      <c r="A50" s="921"/>
      <c r="B50" s="929" t="s">
        <v>2835</v>
      </c>
      <c r="C50" s="930"/>
      <c r="D50" s="921"/>
      <c r="E50" s="921"/>
      <c r="F50" s="921"/>
      <c r="G50" s="921"/>
      <c r="H50" s="921"/>
      <c r="I50" s="922"/>
      <c r="J50" s="921"/>
      <c r="K50" s="921"/>
      <c r="L50" s="921"/>
      <c r="M50" s="921"/>
      <c r="N50" s="921"/>
      <c r="O50" s="922"/>
      <c r="P50" s="929"/>
      <c r="Q50" s="922"/>
      <c r="R50" s="922"/>
      <c r="S50" s="922"/>
      <c r="T50" s="923"/>
      <c r="U50" s="923"/>
      <c r="V50" s="933"/>
      <c r="W50" s="933"/>
      <c r="X50" s="933"/>
      <c r="Y50" s="923"/>
      <c r="Z50" s="934"/>
      <c r="AA50" s="923"/>
      <c r="AB50" s="923"/>
      <c r="AC50" s="923"/>
      <c r="AD50" s="923"/>
      <c r="AE50" s="923"/>
      <c r="AF50" s="923"/>
      <c r="AG50" s="923"/>
      <c r="AH50" s="923"/>
      <c r="AI50" s="923"/>
      <c r="AJ50" s="924"/>
      <c r="AK50" s="924"/>
      <c r="AL50" s="925">
        <v>1</v>
      </c>
    </row>
    <row r="51" spans="1:38" s="627" customFormat="1" ht="30" customHeight="1">
      <c r="A51" s="921"/>
      <c r="B51" s="929" t="s">
        <v>2882</v>
      </c>
      <c r="C51" s="930"/>
      <c r="D51" s="921"/>
      <c r="E51" s="921"/>
      <c r="F51" s="921"/>
      <c r="G51" s="921"/>
      <c r="H51" s="921"/>
      <c r="I51" s="922"/>
      <c r="J51" s="921"/>
      <c r="K51" s="921"/>
      <c r="L51" s="921"/>
      <c r="M51" s="921"/>
      <c r="N51" s="921"/>
      <c r="O51" s="922"/>
      <c r="P51" s="929"/>
      <c r="Q51" s="922"/>
      <c r="R51" s="922"/>
      <c r="S51" s="922"/>
      <c r="T51" s="923"/>
      <c r="U51" s="923"/>
      <c r="V51" s="933"/>
      <c r="W51" s="933"/>
      <c r="X51" s="933"/>
      <c r="Y51" s="923"/>
      <c r="Z51" s="934"/>
      <c r="AA51" s="923"/>
      <c r="AB51" s="923"/>
      <c r="AC51" s="923"/>
      <c r="AD51" s="923"/>
      <c r="AE51" s="923"/>
      <c r="AF51" s="923"/>
      <c r="AG51" s="923"/>
      <c r="AH51" s="923"/>
      <c r="AI51" s="923"/>
      <c r="AJ51" s="924"/>
      <c r="AK51" s="924"/>
      <c r="AL51" s="925">
        <v>1</v>
      </c>
    </row>
    <row r="52" spans="1:38" s="627" customFormat="1" ht="30" customHeight="1">
      <c r="A52" s="921"/>
      <c r="B52" s="929"/>
      <c r="C52" s="930"/>
      <c r="D52" s="921"/>
      <c r="E52" s="921"/>
      <c r="F52" s="921"/>
      <c r="G52" s="921"/>
      <c r="H52" s="921"/>
      <c r="I52" s="922"/>
      <c r="J52" s="921"/>
      <c r="K52" s="921"/>
      <c r="L52" s="921"/>
      <c r="M52" s="921"/>
      <c r="N52" s="921"/>
      <c r="O52" s="922"/>
      <c r="P52" s="929"/>
      <c r="Q52" s="922"/>
      <c r="R52" s="922"/>
      <c r="S52" s="922"/>
      <c r="T52" s="923"/>
      <c r="U52" s="923"/>
      <c r="V52" s="933"/>
      <c r="W52" s="933"/>
      <c r="X52" s="933"/>
      <c r="Y52" s="923"/>
      <c r="Z52" s="934"/>
      <c r="AA52" s="923"/>
      <c r="AB52" s="923"/>
      <c r="AC52" s="923"/>
      <c r="AD52" s="923"/>
      <c r="AE52" s="923"/>
      <c r="AF52" s="923"/>
      <c r="AG52" s="923"/>
      <c r="AH52" s="923"/>
      <c r="AI52" s="923"/>
      <c r="AJ52" s="924"/>
      <c r="AK52" s="924"/>
      <c r="AL52" s="925">
        <v>1</v>
      </c>
    </row>
    <row r="53" spans="1:38" s="627" customFormat="1" ht="30" customHeight="1">
      <c r="A53" s="921"/>
      <c r="B53" s="929" t="s">
        <v>2836</v>
      </c>
      <c r="C53" s="930"/>
      <c r="D53" s="921"/>
      <c r="E53" s="921"/>
      <c r="F53" s="921"/>
      <c r="G53" s="921"/>
      <c r="H53" s="921"/>
      <c r="I53" s="922"/>
      <c r="J53" s="921"/>
      <c r="K53" s="921"/>
      <c r="L53" s="921"/>
      <c r="M53" s="921"/>
      <c r="N53" s="921"/>
      <c r="O53" s="922"/>
      <c r="P53" s="929"/>
      <c r="Q53" s="922"/>
      <c r="R53" s="922"/>
      <c r="S53" s="922"/>
      <c r="T53" s="923"/>
      <c r="U53" s="923"/>
      <c r="V53" s="933"/>
      <c r="W53" s="933"/>
      <c r="X53" s="933"/>
      <c r="Y53" s="923"/>
      <c r="Z53" s="934"/>
      <c r="AA53" s="923"/>
      <c r="AB53" s="923"/>
      <c r="AC53" s="923"/>
      <c r="AD53" s="923"/>
      <c r="AE53" s="923"/>
      <c r="AF53" s="923"/>
      <c r="AG53" s="923"/>
      <c r="AH53" s="923"/>
      <c r="AI53" s="923"/>
      <c r="AJ53" s="924"/>
      <c r="AK53" s="924"/>
      <c r="AL53" s="925">
        <v>1</v>
      </c>
    </row>
    <row r="54" spans="1:38" s="627" customFormat="1" ht="30" customHeight="1">
      <c r="A54" s="921"/>
      <c r="B54" s="929" t="s">
        <v>2837</v>
      </c>
      <c r="C54" s="930"/>
      <c r="D54" s="921"/>
      <c r="E54" s="921"/>
      <c r="F54" s="921"/>
      <c r="G54" s="921"/>
      <c r="H54" s="921"/>
      <c r="I54" s="922"/>
      <c r="J54" s="921"/>
      <c r="K54" s="921"/>
      <c r="L54" s="921"/>
      <c r="M54" s="921"/>
      <c r="N54" s="921"/>
      <c r="O54" s="922"/>
      <c r="P54" s="929"/>
      <c r="Q54" s="922"/>
      <c r="R54" s="922"/>
      <c r="S54" s="922"/>
      <c r="T54" s="923"/>
      <c r="U54" s="923"/>
      <c r="V54" s="933"/>
      <c r="W54" s="933"/>
      <c r="X54" s="933"/>
      <c r="Y54" s="923"/>
      <c r="Z54" s="934"/>
      <c r="AA54" s="923"/>
      <c r="AB54" s="923"/>
      <c r="AC54" s="923"/>
      <c r="AD54" s="923"/>
      <c r="AE54" s="923"/>
      <c r="AF54" s="923"/>
      <c r="AG54" s="923"/>
      <c r="AH54" s="923"/>
      <c r="AI54" s="923"/>
      <c r="AJ54" s="924"/>
      <c r="AK54" s="924"/>
      <c r="AL54" s="925">
        <v>1</v>
      </c>
    </row>
    <row r="55" spans="1:38" s="627" customFormat="1" ht="30" customHeight="1">
      <c r="A55" s="921"/>
      <c r="B55" s="929"/>
      <c r="C55" s="930"/>
      <c r="D55" s="921"/>
      <c r="E55" s="921"/>
      <c r="F55" s="921"/>
      <c r="G55" s="921"/>
      <c r="H55" s="921"/>
      <c r="I55" s="922"/>
      <c r="J55" s="921"/>
      <c r="K55" s="921"/>
      <c r="L55" s="921"/>
      <c r="M55" s="921"/>
      <c r="N55" s="921"/>
      <c r="O55" s="922"/>
      <c r="P55" s="929"/>
      <c r="Q55" s="922"/>
      <c r="R55" s="922"/>
      <c r="S55" s="922"/>
      <c r="T55" s="923"/>
      <c r="U55" s="923"/>
      <c r="V55" s="933"/>
      <c r="W55" s="933"/>
      <c r="X55" s="933"/>
      <c r="Y55" s="923"/>
      <c r="Z55" s="934"/>
      <c r="AA55" s="923"/>
      <c r="AB55" s="923"/>
      <c r="AC55" s="923"/>
      <c r="AD55" s="923"/>
      <c r="AE55" s="923"/>
      <c r="AF55" s="923"/>
      <c r="AG55" s="923"/>
      <c r="AH55" s="923"/>
      <c r="AI55" s="923"/>
      <c r="AJ55" s="924"/>
      <c r="AK55" s="924"/>
      <c r="AL55" s="925">
        <v>1</v>
      </c>
    </row>
    <row r="56" spans="1:38" s="627" customFormat="1" ht="30" customHeight="1">
      <c r="A56" s="921"/>
      <c r="B56" s="929"/>
      <c r="C56" s="930"/>
      <c r="D56" s="921"/>
      <c r="E56" s="921"/>
      <c r="F56" s="921"/>
      <c r="G56" s="921"/>
      <c r="H56" s="921"/>
      <c r="I56" s="922"/>
      <c r="J56" s="921"/>
      <c r="K56" s="921"/>
      <c r="L56" s="921"/>
      <c r="M56" s="921"/>
      <c r="N56" s="921"/>
      <c r="O56" s="922"/>
      <c r="P56" s="929"/>
      <c r="Q56" s="922"/>
      <c r="R56" s="922"/>
      <c r="S56" s="922"/>
      <c r="T56" s="923"/>
      <c r="U56" s="923"/>
      <c r="V56" s="933"/>
      <c r="W56" s="933"/>
      <c r="X56" s="933"/>
      <c r="Y56" s="923"/>
      <c r="Z56" s="934"/>
      <c r="AA56" s="923"/>
      <c r="AB56" s="923"/>
      <c r="AC56" s="923"/>
      <c r="AD56" s="923"/>
      <c r="AE56" s="923"/>
      <c r="AF56" s="923"/>
      <c r="AG56" s="923"/>
      <c r="AH56" s="923"/>
      <c r="AI56" s="923"/>
      <c r="AJ56" s="924"/>
      <c r="AK56" s="924"/>
      <c r="AL56" s="925">
        <v>1</v>
      </c>
    </row>
    <row r="57" spans="1:38" s="627" customFormat="1" ht="30" customHeight="1">
      <c r="A57" s="921"/>
      <c r="B57" s="929" t="s">
        <v>2848</v>
      </c>
      <c r="C57" s="930"/>
      <c r="D57" s="921"/>
      <c r="E57" s="921"/>
      <c r="F57" s="921"/>
      <c r="G57" s="921"/>
      <c r="H57" s="921"/>
      <c r="I57" s="922"/>
      <c r="J57" s="921"/>
      <c r="K57" s="921"/>
      <c r="L57" s="921"/>
      <c r="M57" s="921"/>
      <c r="N57" s="921"/>
      <c r="O57" s="922"/>
      <c r="P57" s="929"/>
      <c r="Q57" s="922"/>
      <c r="R57" s="922"/>
      <c r="S57" s="922"/>
      <c r="T57" s="923"/>
      <c r="U57" s="923"/>
      <c r="V57" s="933"/>
      <c r="W57" s="933"/>
      <c r="X57" s="933"/>
      <c r="Y57" s="923"/>
      <c r="Z57" s="934"/>
      <c r="AA57" s="923"/>
      <c r="AB57" s="923"/>
      <c r="AC57" s="923"/>
      <c r="AD57" s="923"/>
      <c r="AE57" s="923"/>
      <c r="AF57" s="923"/>
      <c r="AG57" s="923"/>
      <c r="AH57" s="923"/>
      <c r="AI57" s="923"/>
      <c r="AJ57" s="924"/>
      <c r="AK57" s="924"/>
      <c r="AL57" s="925">
        <v>1</v>
      </c>
    </row>
    <row r="58" spans="1:38" s="627" customFormat="1" ht="30" customHeight="1">
      <c r="A58" s="921"/>
      <c r="B58" s="929" t="s">
        <v>2849</v>
      </c>
      <c r="C58" s="930"/>
      <c r="D58" s="921"/>
      <c r="E58" s="921"/>
      <c r="F58" s="921"/>
      <c r="G58" s="921"/>
      <c r="H58" s="921"/>
      <c r="I58" s="922"/>
      <c r="J58" s="921"/>
      <c r="K58" s="921"/>
      <c r="L58" s="921"/>
      <c r="M58" s="921"/>
      <c r="N58" s="921"/>
      <c r="O58" s="922"/>
      <c r="P58" s="929"/>
      <c r="Q58" s="922"/>
      <c r="R58" s="922"/>
      <c r="S58" s="922"/>
      <c r="T58" s="923"/>
      <c r="U58" s="923"/>
      <c r="V58" s="933"/>
      <c r="W58" s="933"/>
      <c r="X58" s="933"/>
      <c r="Y58" s="923"/>
      <c r="Z58" s="934"/>
      <c r="AA58" s="923"/>
      <c r="AB58" s="923"/>
      <c r="AC58" s="923"/>
      <c r="AD58" s="923"/>
      <c r="AE58" s="923"/>
      <c r="AF58" s="923"/>
      <c r="AG58" s="923"/>
      <c r="AH58" s="923"/>
      <c r="AI58" s="923"/>
      <c r="AJ58" s="924"/>
      <c r="AK58" s="924"/>
      <c r="AL58" s="925">
        <v>1</v>
      </c>
    </row>
    <row r="59" spans="1:38" s="627" customFormat="1" ht="30" customHeight="1">
      <c r="A59" s="921"/>
      <c r="B59" s="929" t="s">
        <v>2850</v>
      </c>
      <c r="C59" s="930"/>
      <c r="D59" s="921"/>
      <c r="E59" s="921"/>
      <c r="F59" s="921"/>
      <c r="G59" s="921"/>
      <c r="H59" s="921"/>
      <c r="I59" s="922"/>
      <c r="J59" s="921"/>
      <c r="K59" s="921"/>
      <c r="L59" s="921"/>
      <c r="M59" s="921"/>
      <c r="N59" s="921"/>
      <c r="O59" s="922"/>
      <c r="P59" s="929"/>
      <c r="Q59" s="922"/>
      <c r="R59" s="922"/>
      <c r="S59" s="922"/>
      <c r="T59" s="923"/>
      <c r="U59" s="923"/>
      <c r="V59" s="933"/>
      <c r="W59" s="933"/>
      <c r="X59" s="933"/>
      <c r="Y59" s="923"/>
      <c r="Z59" s="934"/>
      <c r="AA59" s="923"/>
      <c r="AB59" s="923"/>
      <c r="AC59" s="923"/>
      <c r="AD59" s="923"/>
      <c r="AE59" s="923"/>
      <c r="AF59" s="923"/>
      <c r="AG59" s="923"/>
      <c r="AH59" s="923"/>
      <c r="AI59" s="923"/>
      <c r="AJ59" s="924"/>
      <c r="AK59" s="924"/>
      <c r="AL59" s="925">
        <v>1</v>
      </c>
    </row>
    <row r="60" spans="1:38" s="627" customFormat="1" ht="30" customHeight="1">
      <c r="A60" s="921"/>
      <c r="B60" s="929"/>
      <c r="C60" s="930"/>
      <c r="D60" s="921"/>
      <c r="E60" s="921"/>
      <c r="F60" s="921"/>
      <c r="G60" s="921"/>
      <c r="H60" s="921"/>
      <c r="I60" s="922"/>
      <c r="J60" s="921"/>
      <c r="K60" s="921"/>
      <c r="L60" s="921"/>
      <c r="M60" s="921"/>
      <c r="N60" s="921"/>
      <c r="O60" s="922"/>
      <c r="P60" s="929"/>
      <c r="Q60" s="922"/>
      <c r="R60" s="922"/>
      <c r="S60" s="922"/>
      <c r="T60" s="923"/>
      <c r="U60" s="923"/>
      <c r="V60" s="933"/>
      <c r="W60" s="933"/>
      <c r="X60" s="933"/>
      <c r="Y60" s="923"/>
      <c r="Z60" s="934"/>
      <c r="AA60" s="923"/>
      <c r="AB60" s="923"/>
      <c r="AC60" s="923"/>
      <c r="AD60" s="923"/>
      <c r="AE60" s="923"/>
      <c r="AF60" s="923"/>
      <c r="AG60" s="923"/>
      <c r="AH60" s="923"/>
      <c r="AI60" s="923"/>
      <c r="AJ60" s="924"/>
      <c r="AK60" s="924"/>
      <c r="AL60" s="925">
        <v>1</v>
      </c>
    </row>
    <row r="61" spans="1:38" s="627" customFormat="1" ht="30" customHeight="1">
      <c r="A61" s="921"/>
      <c r="B61" s="936" t="s">
        <v>2853</v>
      </c>
      <c r="C61" s="930"/>
      <c r="D61" s="921"/>
      <c r="E61" s="921"/>
      <c r="F61" s="921"/>
      <c r="G61" s="921"/>
      <c r="H61" s="921"/>
      <c r="I61" s="922"/>
      <c r="J61" s="921"/>
      <c r="K61" s="921"/>
      <c r="L61" s="921"/>
      <c r="M61" s="921"/>
      <c r="N61" s="921"/>
      <c r="O61" s="922"/>
      <c r="P61" s="929"/>
      <c r="Q61" s="922"/>
      <c r="R61" s="922"/>
      <c r="S61" s="922"/>
      <c r="T61" s="923"/>
      <c r="U61" s="923"/>
      <c r="V61" s="933"/>
      <c r="W61" s="933"/>
      <c r="X61" s="933"/>
      <c r="Y61" s="923"/>
      <c r="Z61" s="934"/>
      <c r="AA61" s="923"/>
      <c r="AB61" s="923"/>
      <c r="AC61" s="923"/>
      <c r="AD61" s="923"/>
      <c r="AE61" s="923"/>
      <c r="AF61" s="923"/>
      <c r="AG61" s="923"/>
      <c r="AH61" s="923"/>
      <c r="AI61" s="923"/>
      <c r="AJ61" s="924"/>
      <c r="AK61" s="924"/>
      <c r="AL61" s="925">
        <v>1</v>
      </c>
    </row>
    <row r="62" spans="1:38" s="627" customFormat="1" ht="30" customHeight="1">
      <c r="A62" s="921"/>
      <c r="B62" s="936" t="s">
        <v>2854</v>
      </c>
      <c r="C62" s="930"/>
      <c r="D62" s="921"/>
      <c r="E62" s="921"/>
      <c r="F62" s="921"/>
      <c r="G62" s="921"/>
      <c r="H62" s="921"/>
      <c r="I62" s="922"/>
      <c r="J62" s="921"/>
      <c r="K62" s="921"/>
      <c r="L62" s="921"/>
      <c r="M62" s="921"/>
      <c r="N62" s="921"/>
      <c r="O62" s="922"/>
      <c r="P62" s="929"/>
      <c r="Q62" s="922"/>
      <c r="R62" s="922"/>
      <c r="S62" s="922"/>
      <c r="T62" s="923"/>
      <c r="U62" s="923"/>
      <c r="V62" s="933"/>
      <c r="W62" s="933"/>
      <c r="X62" s="933"/>
      <c r="Y62" s="923"/>
      <c r="Z62" s="934"/>
      <c r="AA62" s="923"/>
      <c r="AB62" s="923"/>
      <c r="AC62" s="923"/>
      <c r="AD62" s="923"/>
      <c r="AE62" s="923"/>
      <c r="AF62" s="923"/>
      <c r="AG62" s="923"/>
      <c r="AH62" s="923"/>
      <c r="AI62" s="923"/>
      <c r="AJ62" s="924"/>
      <c r="AK62" s="924"/>
      <c r="AL62" s="925">
        <v>1</v>
      </c>
    </row>
    <row r="63" spans="1:38" s="627" customFormat="1" ht="30" customHeight="1">
      <c r="A63" s="921"/>
      <c r="B63" s="929"/>
      <c r="C63" s="930"/>
      <c r="D63" s="921"/>
      <c r="E63" s="921"/>
      <c r="F63" s="921"/>
      <c r="G63" s="921"/>
      <c r="H63" s="921"/>
      <c r="I63" s="922"/>
      <c r="J63" s="921"/>
      <c r="K63" s="921"/>
      <c r="L63" s="921"/>
      <c r="M63" s="921"/>
      <c r="N63" s="921"/>
      <c r="O63" s="922"/>
      <c r="P63" s="929"/>
      <c r="Q63" s="922"/>
      <c r="R63" s="922"/>
      <c r="S63" s="922"/>
      <c r="T63" s="923"/>
      <c r="U63" s="923"/>
      <c r="V63" s="933"/>
      <c r="W63" s="933"/>
      <c r="X63" s="933"/>
      <c r="Y63" s="923"/>
      <c r="Z63" s="934"/>
      <c r="AA63" s="923"/>
      <c r="AB63" s="923"/>
      <c r="AC63" s="923"/>
      <c r="AD63" s="923"/>
      <c r="AE63" s="923"/>
      <c r="AF63" s="923"/>
      <c r="AG63" s="923"/>
      <c r="AH63" s="923"/>
      <c r="AI63" s="923"/>
      <c r="AJ63" s="924"/>
      <c r="AK63" s="924"/>
      <c r="AL63" s="925">
        <v>1</v>
      </c>
    </row>
    <row r="64" spans="1:38" s="627" customFormat="1" ht="30" customHeight="1">
      <c r="A64" s="921"/>
      <c r="B64" s="954" t="s">
        <v>2865</v>
      </c>
      <c r="C64" s="955"/>
      <c r="D64" s="921"/>
      <c r="E64" s="921"/>
      <c r="F64" s="921"/>
      <c r="G64" s="921"/>
      <c r="H64" s="921"/>
      <c r="I64" s="922"/>
      <c r="J64" s="921"/>
      <c r="K64" s="921"/>
      <c r="L64" s="921"/>
      <c r="M64" s="921"/>
      <c r="N64" s="921"/>
      <c r="O64" s="922"/>
      <c r="P64" s="929"/>
      <c r="Q64" s="922"/>
      <c r="R64" s="922"/>
      <c r="S64" s="922"/>
      <c r="T64" s="923"/>
      <c r="U64" s="923"/>
      <c r="V64" s="933"/>
      <c r="W64" s="933"/>
      <c r="X64" s="933"/>
      <c r="Y64" s="923"/>
      <c r="Z64" s="934"/>
      <c r="AA64" s="923"/>
      <c r="AB64" s="923"/>
      <c r="AC64" s="923"/>
      <c r="AD64" s="923"/>
      <c r="AE64" s="923"/>
      <c r="AF64" s="923"/>
      <c r="AG64" s="923"/>
      <c r="AH64" s="923"/>
      <c r="AI64" s="923"/>
      <c r="AJ64" s="924"/>
      <c r="AK64" s="924"/>
      <c r="AL64" s="925">
        <v>1</v>
      </c>
    </row>
    <row r="65" spans="1:38" s="627" customFormat="1" ht="30" customHeight="1">
      <c r="A65" s="921"/>
      <c r="B65" s="953"/>
      <c r="C65" s="954" t="s">
        <v>2866</v>
      </c>
      <c r="D65" s="921"/>
      <c r="E65" s="921"/>
      <c r="F65" s="921"/>
      <c r="G65" s="921"/>
      <c r="H65" s="921"/>
      <c r="I65" s="922"/>
      <c r="J65" s="921"/>
      <c r="K65" s="921"/>
      <c r="L65" s="921"/>
      <c r="M65" s="921"/>
      <c r="N65" s="921"/>
      <c r="O65" s="922"/>
      <c r="P65" s="929"/>
      <c r="Q65" s="922"/>
      <c r="R65" s="922"/>
      <c r="S65" s="922"/>
      <c r="T65" s="923"/>
      <c r="U65" s="923"/>
      <c r="V65" s="933"/>
      <c r="W65" s="933"/>
      <c r="X65" s="933"/>
      <c r="Y65" s="923"/>
      <c r="Z65" s="934"/>
      <c r="AA65" s="923"/>
      <c r="AB65" s="923"/>
      <c r="AC65" s="923"/>
      <c r="AD65" s="923"/>
      <c r="AE65" s="923"/>
      <c r="AF65" s="923"/>
      <c r="AG65" s="923"/>
      <c r="AH65" s="923"/>
      <c r="AI65" s="923"/>
      <c r="AJ65" s="924"/>
      <c r="AK65" s="924"/>
      <c r="AL65" s="925">
        <v>1</v>
      </c>
    </row>
    <row r="66" spans="1:38" s="627" customFormat="1" ht="30" customHeight="1">
      <c r="A66" s="921"/>
      <c r="B66" s="953"/>
      <c r="C66" s="954" t="s">
        <v>2867</v>
      </c>
      <c r="D66" s="921"/>
      <c r="E66" s="921"/>
      <c r="F66" s="921"/>
      <c r="G66" s="921"/>
      <c r="H66" s="921"/>
      <c r="I66" s="922"/>
      <c r="J66" s="921"/>
      <c r="K66" s="921"/>
      <c r="L66" s="921"/>
      <c r="M66" s="921"/>
      <c r="N66" s="921"/>
      <c r="O66" s="922"/>
      <c r="P66" s="929"/>
      <c r="Q66" s="922"/>
      <c r="R66" s="922"/>
      <c r="S66" s="922"/>
      <c r="T66" s="923"/>
      <c r="U66" s="923"/>
      <c r="V66" s="933"/>
      <c r="W66" s="933"/>
      <c r="X66" s="933"/>
      <c r="Y66" s="923"/>
      <c r="Z66" s="934"/>
      <c r="AA66" s="923"/>
      <c r="AB66" s="923"/>
      <c r="AC66" s="923"/>
      <c r="AD66" s="923"/>
      <c r="AE66" s="923"/>
      <c r="AF66" s="923"/>
      <c r="AG66" s="923"/>
      <c r="AH66" s="923"/>
      <c r="AI66" s="923"/>
      <c r="AJ66" s="924"/>
      <c r="AK66" s="924"/>
      <c r="AL66" s="925">
        <v>1</v>
      </c>
    </row>
    <row r="67" spans="1:38" s="627" customFormat="1" ht="30" customHeight="1">
      <c r="A67" s="921"/>
      <c r="B67" s="929"/>
      <c r="C67" s="930"/>
      <c r="D67" s="921"/>
      <c r="E67" s="921"/>
      <c r="F67" s="921"/>
      <c r="G67" s="921"/>
      <c r="H67" s="921"/>
      <c r="I67" s="922"/>
      <c r="J67" s="921"/>
      <c r="K67" s="921"/>
      <c r="L67" s="921"/>
      <c r="M67" s="921"/>
      <c r="N67" s="921"/>
      <c r="O67" s="922"/>
      <c r="P67" s="929"/>
      <c r="Q67" s="922"/>
      <c r="R67" s="922"/>
      <c r="S67" s="922"/>
      <c r="T67" s="923"/>
      <c r="U67" s="923"/>
      <c r="V67" s="933"/>
      <c r="W67" s="933"/>
      <c r="X67" s="933"/>
      <c r="Y67" s="923"/>
      <c r="Z67" s="934"/>
      <c r="AA67" s="923"/>
      <c r="AB67" s="923"/>
      <c r="AC67" s="923"/>
      <c r="AD67" s="923"/>
      <c r="AE67" s="923"/>
      <c r="AF67" s="923"/>
      <c r="AG67" s="923"/>
      <c r="AH67" s="923"/>
      <c r="AI67" s="923"/>
      <c r="AJ67" s="924"/>
      <c r="AK67" s="924"/>
      <c r="AL67" s="925">
        <v>1</v>
      </c>
    </row>
    <row r="68" spans="1:38" s="627" customFormat="1" ht="30" customHeight="1">
      <c r="A68" s="921"/>
      <c r="B68" s="929" t="s">
        <v>2873</v>
      </c>
      <c r="C68" s="930"/>
      <c r="D68" s="921"/>
      <c r="E68" s="921"/>
      <c r="F68" s="921"/>
      <c r="G68" s="921"/>
      <c r="H68" s="921"/>
      <c r="I68" s="922"/>
      <c r="J68" s="921"/>
      <c r="K68" s="921"/>
      <c r="L68" s="921"/>
      <c r="M68" s="921"/>
      <c r="N68" s="921"/>
      <c r="O68" s="922"/>
      <c r="P68" s="929"/>
      <c r="Q68" s="922"/>
      <c r="R68" s="922"/>
      <c r="S68" s="922"/>
      <c r="T68" s="923"/>
      <c r="U68" s="923"/>
      <c r="V68" s="933"/>
      <c r="W68" s="933"/>
      <c r="X68" s="933"/>
      <c r="Y68" s="923"/>
      <c r="Z68" s="934"/>
      <c r="AA68" s="923"/>
      <c r="AB68" s="923"/>
      <c r="AC68" s="923"/>
      <c r="AD68" s="923"/>
      <c r="AE68" s="923"/>
      <c r="AF68" s="923"/>
      <c r="AG68" s="923"/>
      <c r="AH68" s="923"/>
      <c r="AI68" s="923"/>
      <c r="AJ68" s="924"/>
      <c r="AK68" s="924"/>
      <c r="AL68" s="925">
        <v>1</v>
      </c>
    </row>
    <row r="69" spans="1:38" s="627" customFormat="1" ht="30" customHeight="1">
      <c r="A69" s="921"/>
      <c r="B69" s="929" t="s">
        <v>2874</v>
      </c>
      <c r="C69" s="930"/>
      <c r="D69" s="921"/>
      <c r="E69" s="921"/>
      <c r="F69" s="921"/>
      <c r="G69" s="921"/>
      <c r="H69" s="921"/>
      <c r="I69" s="922"/>
      <c r="J69" s="921"/>
      <c r="K69" s="921"/>
      <c r="L69" s="921"/>
      <c r="M69" s="921"/>
      <c r="N69" s="921"/>
      <c r="O69" s="922"/>
      <c r="P69" s="929"/>
      <c r="Q69" s="922"/>
      <c r="R69" s="922"/>
      <c r="S69" s="922"/>
      <c r="T69" s="923"/>
      <c r="U69" s="923"/>
      <c r="V69" s="933"/>
      <c r="W69" s="933"/>
      <c r="X69" s="933"/>
      <c r="Y69" s="923"/>
      <c r="Z69" s="934"/>
      <c r="AA69" s="923"/>
      <c r="AB69" s="923"/>
      <c r="AC69" s="923"/>
      <c r="AD69" s="923"/>
      <c r="AE69" s="923"/>
      <c r="AF69" s="923"/>
      <c r="AG69" s="923"/>
      <c r="AH69" s="923"/>
      <c r="AI69" s="923"/>
      <c r="AJ69" s="924"/>
      <c r="AK69" s="924"/>
      <c r="AL69" s="925">
        <v>1</v>
      </c>
    </row>
    <row r="70" spans="1:38" s="627" customFormat="1" ht="30" customHeight="1">
      <c r="A70" s="921"/>
      <c r="B70" s="929" t="s">
        <v>2875</v>
      </c>
      <c r="C70" s="930"/>
      <c r="D70" s="921"/>
      <c r="E70" s="921"/>
      <c r="F70" s="921"/>
      <c r="G70" s="921"/>
      <c r="H70" s="921"/>
      <c r="I70" s="922"/>
      <c r="J70" s="921"/>
      <c r="K70" s="921"/>
      <c r="L70" s="921"/>
      <c r="M70" s="921"/>
      <c r="N70" s="921"/>
      <c r="O70" s="922"/>
      <c r="P70" s="929"/>
      <c r="Q70" s="922"/>
      <c r="R70" s="922"/>
      <c r="S70" s="922"/>
      <c r="T70" s="923"/>
      <c r="U70" s="923"/>
      <c r="V70" s="933"/>
      <c r="W70" s="933"/>
      <c r="X70" s="933"/>
      <c r="Y70" s="923"/>
      <c r="Z70" s="934"/>
      <c r="AA70" s="923"/>
      <c r="AB70" s="923"/>
      <c r="AC70" s="923"/>
      <c r="AD70" s="923"/>
      <c r="AE70" s="923"/>
      <c r="AF70" s="923"/>
      <c r="AG70" s="923"/>
      <c r="AH70" s="923"/>
      <c r="AI70" s="923"/>
      <c r="AJ70" s="924"/>
      <c r="AK70" s="924"/>
      <c r="AL70" s="925">
        <v>1</v>
      </c>
    </row>
    <row r="71" spans="1:38" s="627" customFormat="1" ht="30" customHeight="1">
      <c r="A71" s="921"/>
      <c r="B71" s="929" t="s">
        <v>2876</v>
      </c>
      <c r="C71" s="930"/>
      <c r="D71" s="921"/>
      <c r="E71" s="921"/>
      <c r="F71" s="921"/>
      <c r="G71" s="921"/>
      <c r="H71" s="921"/>
      <c r="I71" s="922"/>
      <c r="J71" s="921"/>
      <c r="K71" s="921"/>
      <c r="L71" s="921"/>
      <c r="M71" s="921"/>
      <c r="N71" s="921"/>
      <c r="O71" s="922"/>
      <c r="P71" s="929"/>
      <c r="Q71" s="922"/>
      <c r="R71" s="922"/>
      <c r="S71" s="922"/>
      <c r="T71" s="923"/>
      <c r="U71" s="923"/>
      <c r="V71" s="933"/>
      <c r="W71" s="933"/>
      <c r="X71" s="933"/>
      <c r="Y71" s="923"/>
      <c r="Z71" s="934"/>
      <c r="AA71" s="923"/>
      <c r="AB71" s="923"/>
      <c r="AC71" s="923"/>
      <c r="AD71" s="923"/>
      <c r="AE71" s="923"/>
      <c r="AF71" s="923"/>
      <c r="AG71" s="923"/>
      <c r="AH71" s="923"/>
      <c r="AI71" s="923"/>
      <c r="AJ71" s="924"/>
      <c r="AK71" s="924"/>
      <c r="AL71" s="925">
        <v>1</v>
      </c>
    </row>
    <row r="72" spans="1:38" s="627" customFormat="1" ht="30" customHeight="1">
      <c r="A72" s="921"/>
      <c r="B72" s="929" t="s">
        <v>2877</v>
      </c>
      <c r="C72" s="930"/>
      <c r="D72" s="921"/>
      <c r="E72" s="921"/>
      <c r="F72" s="921"/>
      <c r="G72" s="921"/>
      <c r="H72" s="921"/>
      <c r="I72" s="922"/>
      <c r="J72" s="921"/>
      <c r="K72" s="921"/>
      <c r="L72" s="921"/>
      <c r="M72" s="921"/>
      <c r="N72" s="921"/>
      <c r="O72" s="922"/>
      <c r="P72" s="929"/>
      <c r="Q72" s="922"/>
      <c r="R72" s="922"/>
      <c r="S72" s="922"/>
      <c r="T72" s="923"/>
      <c r="U72" s="923"/>
      <c r="V72" s="933"/>
      <c r="W72" s="933"/>
      <c r="X72" s="933"/>
      <c r="Y72" s="923"/>
      <c r="Z72" s="934"/>
      <c r="AA72" s="923"/>
      <c r="AB72" s="923"/>
      <c r="AC72" s="923"/>
      <c r="AD72" s="923"/>
      <c r="AE72" s="923"/>
      <c r="AF72" s="923"/>
      <c r="AG72" s="923"/>
      <c r="AH72" s="923"/>
      <c r="AI72" s="923"/>
      <c r="AJ72" s="924"/>
      <c r="AK72" s="924"/>
      <c r="AL72" s="925">
        <v>1</v>
      </c>
    </row>
    <row r="73" spans="1:38" s="627" customFormat="1" ht="30" customHeight="1">
      <c r="A73" s="921"/>
      <c r="B73" s="929" t="s">
        <v>2878</v>
      </c>
      <c r="C73" s="930"/>
      <c r="D73" s="921"/>
      <c r="E73" s="921"/>
      <c r="F73" s="921"/>
      <c r="G73" s="921"/>
      <c r="H73" s="921"/>
      <c r="I73" s="922"/>
      <c r="J73" s="921"/>
      <c r="K73" s="921"/>
      <c r="L73" s="921"/>
      <c r="M73" s="921"/>
      <c r="N73" s="921"/>
      <c r="O73" s="922"/>
      <c r="P73" s="929"/>
      <c r="Q73" s="922"/>
      <c r="R73" s="922"/>
      <c r="S73" s="922"/>
      <c r="T73" s="923"/>
      <c r="U73" s="923"/>
      <c r="V73" s="933"/>
      <c r="W73" s="933"/>
      <c r="X73" s="933"/>
      <c r="Y73" s="923"/>
      <c r="Z73" s="934"/>
      <c r="AA73" s="923"/>
      <c r="AB73" s="923"/>
      <c r="AC73" s="923"/>
      <c r="AD73" s="923"/>
      <c r="AE73" s="923"/>
      <c r="AF73" s="923"/>
      <c r="AG73" s="923"/>
      <c r="AH73" s="923"/>
      <c r="AI73" s="923"/>
      <c r="AJ73" s="924"/>
      <c r="AK73" s="924"/>
      <c r="AL73" s="925">
        <v>1</v>
      </c>
    </row>
    <row r="74" spans="1:38" s="627" customFormat="1" ht="30" customHeight="1" thickBot="1">
      <c r="A74" s="921"/>
      <c r="B74" s="929"/>
      <c r="C74" s="930"/>
      <c r="D74" s="921"/>
      <c r="E74" s="921"/>
      <c r="F74" s="921"/>
      <c r="G74" s="921"/>
      <c r="H74" s="921"/>
      <c r="I74" s="922"/>
      <c r="J74" s="921"/>
      <c r="K74" s="921"/>
      <c r="L74" s="921"/>
      <c r="M74" s="921"/>
      <c r="N74" s="921"/>
      <c r="O74" s="922"/>
      <c r="P74" s="929"/>
      <c r="Q74" s="922"/>
      <c r="R74" s="922"/>
      <c r="S74" s="922"/>
      <c r="T74" s="923"/>
      <c r="U74" s="923"/>
      <c r="V74" s="933"/>
      <c r="W74" s="933"/>
      <c r="X74" s="933"/>
      <c r="Y74" s="923"/>
      <c r="Z74" s="934"/>
      <c r="AA74" s="923"/>
      <c r="AB74" s="923"/>
      <c r="AC74" s="923"/>
      <c r="AD74" s="923"/>
      <c r="AE74" s="923"/>
      <c r="AF74" s="923"/>
      <c r="AG74" s="923"/>
      <c r="AH74" s="923"/>
      <c r="AI74" s="923"/>
      <c r="AJ74" s="924"/>
      <c r="AK74" s="924"/>
      <c r="AL74" s="925">
        <v>1</v>
      </c>
    </row>
    <row r="75" spans="1:38" s="627" customFormat="1" ht="30" customHeight="1">
      <c r="A75" s="921"/>
      <c r="B75" s="929"/>
      <c r="C75" s="930"/>
      <c r="D75" s="715" t="s">
        <v>10</v>
      </c>
      <c r="E75" s="716" t="s">
        <v>1496</v>
      </c>
      <c r="F75" s="717"/>
      <c r="G75" s="717">
        <f>U71</f>
        <v>0</v>
      </c>
      <c r="H75" s="718"/>
      <c r="I75" s="718"/>
      <c r="J75" s="718"/>
      <c r="K75" s="718"/>
      <c r="L75" s="718"/>
      <c r="M75" s="718"/>
      <c r="N75" s="921"/>
      <c r="O75" s="922"/>
      <c r="P75" s="929"/>
      <c r="Q75" s="922"/>
      <c r="R75" s="922"/>
      <c r="S75" s="961" t="s">
        <v>3023</v>
      </c>
      <c r="T75" s="962"/>
      <c r="U75" s="963"/>
      <c r="V75" s="963"/>
      <c r="W75" s="963"/>
      <c r="X75" s="963"/>
      <c r="Y75" s="963"/>
      <c r="Z75" s="963"/>
      <c r="AA75" s="963"/>
      <c r="AB75" s="963"/>
      <c r="AC75" s="963"/>
      <c r="AD75" s="963"/>
      <c r="AE75" s="963"/>
      <c r="AF75" s="963"/>
      <c r="AG75" s="963"/>
      <c r="AH75" s="963"/>
      <c r="AI75" s="964"/>
      <c r="AJ75" s="924"/>
      <c r="AK75" s="924"/>
      <c r="AL75" s="925">
        <v>1</v>
      </c>
    </row>
    <row r="76" spans="1:38" s="627" customFormat="1" ht="30" customHeight="1">
      <c r="A76" s="921"/>
      <c r="B76" s="929"/>
      <c r="C76" s="930"/>
      <c r="D76" s="721" t="s">
        <v>10</v>
      </c>
      <c r="E76" s="6439" t="s">
        <v>1502</v>
      </c>
      <c r="F76" s="6439"/>
      <c r="G76" s="6439"/>
      <c r="H76" s="6439"/>
      <c r="I76" s="6439"/>
      <c r="J76" s="6439"/>
      <c r="K76" s="6439"/>
      <c r="L76" s="6439"/>
      <c r="M76" s="6439"/>
      <c r="N76" s="921"/>
      <c r="O76" s="922"/>
      <c r="P76" s="929"/>
      <c r="Q76" s="922"/>
      <c r="R76" s="922"/>
      <c r="S76" s="965"/>
      <c r="T76" s="966" t="s">
        <v>3024</v>
      </c>
      <c r="U76" s="967"/>
      <c r="V76" s="968"/>
      <c r="W76" s="968"/>
      <c r="X76" s="968"/>
      <c r="Y76" s="968"/>
      <c r="Z76" s="968"/>
      <c r="AA76" s="968"/>
      <c r="AB76" s="968"/>
      <c r="AC76" s="968"/>
      <c r="AD76" s="968"/>
      <c r="AE76" s="968"/>
      <c r="AF76" s="968"/>
      <c r="AG76" s="968"/>
      <c r="AH76" s="968"/>
      <c r="AI76" s="969"/>
      <c r="AJ76" s="924"/>
      <c r="AK76" s="924"/>
      <c r="AL76" s="925">
        <v>1</v>
      </c>
    </row>
    <row r="77" spans="1:38" s="627" customFormat="1" ht="30" customHeight="1">
      <c r="A77" s="921"/>
      <c r="B77" s="929"/>
      <c r="C77" s="930"/>
      <c r="D77" s="721" t="s">
        <v>10</v>
      </c>
      <c r="E77" s="6439"/>
      <c r="F77" s="6439"/>
      <c r="G77" s="6439"/>
      <c r="H77" s="6439"/>
      <c r="I77" s="6439"/>
      <c r="J77" s="6439"/>
      <c r="K77" s="6439"/>
      <c r="L77" s="6439"/>
      <c r="M77" s="6439"/>
      <c r="N77" s="921"/>
      <c r="O77" s="922"/>
      <c r="P77" s="929"/>
      <c r="Q77" s="922"/>
      <c r="R77" s="922"/>
      <c r="S77" s="922"/>
      <c r="T77" s="923"/>
      <c r="U77" s="923"/>
      <c r="V77" s="933"/>
      <c r="W77" s="933"/>
      <c r="X77" s="933"/>
      <c r="Y77" s="923"/>
      <c r="Z77" s="934"/>
      <c r="AA77" s="923"/>
      <c r="AB77" s="923"/>
      <c r="AC77" s="923"/>
      <c r="AD77" s="923"/>
      <c r="AE77" s="923"/>
      <c r="AF77" s="923"/>
      <c r="AG77" s="923"/>
      <c r="AH77" s="923"/>
      <c r="AI77" s="923"/>
      <c r="AJ77" s="924"/>
      <c r="AK77" s="924"/>
      <c r="AL77" s="925">
        <v>1</v>
      </c>
    </row>
    <row r="78" spans="1:38" s="627" customFormat="1" ht="30" customHeight="1">
      <c r="A78" s="921"/>
      <c r="B78" s="929"/>
      <c r="C78" s="930"/>
      <c r="D78" s="721" t="s">
        <v>10</v>
      </c>
      <c r="E78" s="1206" t="s">
        <v>1510</v>
      </c>
      <c r="F78" s="1206"/>
      <c r="G78" s="1207"/>
      <c r="H78" s="1208"/>
      <c r="I78" s="1208"/>
      <c r="J78" s="1209"/>
      <c r="K78" s="1209"/>
      <c r="L78" s="1209"/>
      <c r="M78" s="1209"/>
      <c r="N78" s="921"/>
      <c r="O78" s="922"/>
      <c r="P78" s="929"/>
      <c r="Q78" s="922"/>
      <c r="R78" s="922"/>
      <c r="S78" s="922"/>
      <c r="T78" s="923"/>
      <c r="U78" s="923"/>
      <c r="V78" s="933"/>
      <c r="W78" s="933"/>
      <c r="X78" s="933"/>
      <c r="Y78" s="923"/>
      <c r="Z78" s="934"/>
      <c r="AA78" s="923"/>
      <c r="AB78" s="923"/>
      <c r="AC78" s="923"/>
      <c r="AD78" s="923"/>
      <c r="AE78" s="923"/>
      <c r="AF78" s="923"/>
      <c r="AG78" s="923"/>
      <c r="AH78" s="923"/>
      <c r="AI78" s="923"/>
      <c r="AJ78" s="924"/>
      <c r="AK78" s="924"/>
      <c r="AL78" s="925">
        <v>1</v>
      </c>
    </row>
    <row r="79" spans="1:38" s="627" customFormat="1" ht="30" customHeight="1">
      <c r="A79" s="921"/>
      <c r="B79" s="929"/>
      <c r="C79" s="930"/>
      <c r="D79" s="721" t="s">
        <v>10</v>
      </c>
      <c r="E79" s="1206" t="s">
        <v>1512</v>
      </c>
      <c r="F79" s="1207"/>
      <c r="G79" s="1207"/>
      <c r="H79" s="1208"/>
      <c r="I79" s="1208"/>
      <c r="J79" s="1209"/>
      <c r="K79" s="1209"/>
      <c r="L79" s="1209"/>
      <c r="M79" s="1209"/>
      <c r="N79" s="921"/>
      <c r="O79" s="922"/>
      <c r="P79" s="929"/>
      <c r="Q79" s="922"/>
      <c r="R79" s="922"/>
      <c r="S79" s="922"/>
      <c r="T79" s="923"/>
      <c r="U79" s="923"/>
      <c r="V79" s="933"/>
      <c r="W79" s="933"/>
      <c r="X79" s="933"/>
      <c r="Y79" s="923"/>
      <c r="Z79" s="934"/>
      <c r="AA79" s="923"/>
      <c r="AB79" s="923"/>
      <c r="AC79" s="923"/>
      <c r="AD79" s="923"/>
      <c r="AE79" s="923"/>
      <c r="AF79" s="923"/>
      <c r="AG79" s="923"/>
      <c r="AH79" s="923"/>
      <c r="AI79" s="923"/>
      <c r="AJ79" s="924"/>
      <c r="AK79" s="924"/>
      <c r="AL79" s="925">
        <v>1</v>
      </c>
    </row>
    <row r="80" spans="1:38" s="627" customFormat="1" ht="30" customHeight="1">
      <c r="A80" s="921"/>
      <c r="B80" s="929"/>
      <c r="C80" s="930"/>
      <c r="D80" s="721" t="s">
        <v>10</v>
      </c>
      <c r="E80" s="1211" t="s">
        <v>1523</v>
      </c>
      <c r="F80" s="1207"/>
      <c r="G80" s="1207"/>
      <c r="H80" s="1208"/>
      <c r="I80" s="1208"/>
      <c r="J80" s="1209"/>
      <c r="K80" s="1209"/>
      <c r="L80" s="1209"/>
      <c r="M80" s="1209"/>
      <c r="N80" s="921"/>
      <c r="O80" s="922"/>
      <c r="P80" s="929"/>
      <c r="Q80" s="922"/>
      <c r="R80" s="922"/>
      <c r="S80" s="922"/>
      <c r="T80" s="923"/>
      <c r="U80" s="923"/>
      <c r="V80" s="933"/>
      <c r="W80" s="933"/>
      <c r="X80" s="933"/>
      <c r="Y80" s="923"/>
      <c r="Z80" s="934"/>
      <c r="AA80" s="923"/>
      <c r="AB80" s="923"/>
      <c r="AC80" s="923"/>
      <c r="AD80" s="923"/>
      <c r="AE80" s="923"/>
      <c r="AF80" s="923"/>
      <c r="AG80" s="923"/>
      <c r="AH80" s="923"/>
      <c r="AI80" s="923"/>
      <c r="AJ80" s="924"/>
      <c r="AK80" s="924"/>
      <c r="AL80" s="925">
        <v>1</v>
      </c>
    </row>
    <row r="81" spans="1:38" s="627" customFormat="1" ht="30" customHeight="1">
      <c r="A81" s="921"/>
      <c r="B81" s="929"/>
      <c r="C81" s="930"/>
      <c r="D81" s="721" t="s">
        <v>10</v>
      </c>
      <c r="E81" s="1211" t="s">
        <v>1545</v>
      </c>
      <c r="F81" s="1207"/>
      <c r="G81" s="1207"/>
      <c r="H81" s="1208"/>
      <c r="I81" s="1208"/>
      <c r="J81" s="1209"/>
      <c r="K81" s="1209"/>
      <c r="L81" s="1209"/>
      <c r="M81" s="1209"/>
      <c r="N81" s="921"/>
      <c r="O81" s="922"/>
      <c r="P81" s="929"/>
      <c r="Q81" s="922"/>
      <c r="R81" s="922"/>
      <c r="S81" s="922"/>
      <c r="T81" s="923"/>
      <c r="U81" s="923"/>
      <c r="V81" s="933"/>
      <c r="W81" s="933"/>
      <c r="X81" s="933"/>
      <c r="Y81" s="923"/>
      <c r="Z81" s="934"/>
      <c r="AA81" s="923"/>
      <c r="AB81" s="923"/>
      <c r="AC81" s="923"/>
      <c r="AD81" s="923"/>
      <c r="AE81" s="923"/>
      <c r="AF81" s="923"/>
      <c r="AG81" s="923"/>
      <c r="AH81" s="923"/>
      <c r="AI81" s="923"/>
      <c r="AJ81" s="924"/>
      <c r="AK81" s="924"/>
      <c r="AL81" s="925">
        <v>1</v>
      </c>
    </row>
    <row r="82" spans="1:38" s="627" customFormat="1" ht="30" customHeight="1">
      <c r="A82" s="921"/>
      <c r="B82" s="929"/>
      <c r="C82" s="930"/>
      <c r="D82" s="721" t="s">
        <v>10</v>
      </c>
      <c r="E82" s="1211" t="s">
        <v>1563</v>
      </c>
      <c r="F82" s="1207"/>
      <c r="G82" s="1207"/>
      <c r="H82" s="1208"/>
      <c r="I82" s="1208"/>
      <c r="J82" s="1209"/>
      <c r="K82" s="1209"/>
      <c r="L82" s="1209"/>
      <c r="M82" s="1209"/>
      <c r="N82" s="921"/>
      <c r="O82" s="922"/>
      <c r="P82" s="929"/>
      <c r="Q82" s="922"/>
      <c r="R82" s="922"/>
      <c r="S82" s="922"/>
      <c r="T82" s="923"/>
      <c r="U82" s="923"/>
      <c r="V82" s="933"/>
      <c r="W82" s="933"/>
      <c r="X82" s="933"/>
      <c r="Y82" s="923"/>
      <c r="Z82" s="934"/>
      <c r="AA82" s="923"/>
      <c r="AB82" s="923"/>
      <c r="AC82" s="923"/>
      <c r="AD82" s="923"/>
      <c r="AE82" s="923"/>
      <c r="AF82" s="923"/>
      <c r="AG82" s="923"/>
      <c r="AH82" s="923"/>
      <c r="AI82" s="923"/>
      <c r="AJ82" s="924"/>
      <c r="AK82" s="924"/>
      <c r="AL82" s="925">
        <v>1</v>
      </c>
    </row>
    <row r="83" spans="1:38" s="627" customFormat="1" ht="30" customHeight="1">
      <c r="A83" s="921"/>
      <c r="B83" s="929"/>
      <c r="C83" s="930"/>
      <c r="D83" s="721" t="s">
        <v>10</v>
      </c>
      <c r="E83" s="1213" t="s">
        <v>1580</v>
      </c>
      <c r="F83" s="1212"/>
      <c r="G83" s="1212"/>
      <c r="H83" s="1212"/>
      <c r="I83" s="1212"/>
      <c r="J83" s="1209"/>
      <c r="K83" s="1209"/>
      <c r="L83" s="1209"/>
      <c r="M83" s="1209"/>
      <c r="N83" s="921"/>
      <c r="O83" s="922"/>
      <c r="P83" s="929"/>
      <c r="Q83" s="922"/>
      <c r="R83" s="922"/>
      <c r="S83" s="922"/>
      <c r="T83" s="923"/>
      <c r="U83" s="923"/>
      <c r="V83" s="933"/>
      <c r="W83" s="933"/>
      <c r="X83" s="933"/>
      <c r="Y83" s="923"/>
      <c r="Z83" s="934"/>
      <c r="AA83" s="923"/>
      <c r="AB83" s="923"/>
      <c r="AC83" s="923"/>
      <c r="AD83" s="923"/>
      <c r="AE83" s="923"/>
      <c r="AF83" s="923"/>
      <c r="AG83" s="923"/>
      <c r="AH83" s="923"/>
      <c r="AI83" s="923"/>
      <c r="AJ83" s="924"/>
      <c r="AK83" s="924"/>
      <c r="AL83" s="925">
        <v>1</v>
      </c>
    </row>
    <row r="84" spans="1:38" s="627" customFormat="1" ht="30" customHeight="1">
      <c r="A84" s="921"/>
      <c r="B84" s="929"/>
      <c r="C84" s="930"/>
      <c r="D84" s="721" t="s">
        <v>10</v>
      </c>
      <c r="E84" s="1213" t="s">
        <v>1606</v>
      </c>
      <c r="F84" s="1212"/>
      <c r="G84" s="1212"/>
      <c r="H84" s="1212"/>
      <c r="I84" s="1212"/>
      <c r="J84" s="1209"/>
      <c r="K84" s="1209"/>
      <c r="L84" s="1209"/>
      <c r="M84" s="1209"/>
      <c r="N84" s="921"/>
      <c r="O84" s="922"/>
      <c r="P84" s="929"/>
      <c r="Q84" s="922"/>
      <c r="R84" s="922"/>
      <c r="S84" s="922"/>
      <c r="T84" s="923"/>
      <c r="U84" s="923"/>
      <c r="V84" s="933"/>
      <c r="W84" s="933"/>
      <c r="X84" s="933"/>
      <c r="Y84" s="923"/>
      <c r="Z84" s="934"/>
      <c r="AA84" s="923"/>
      <c r="AB84" s="923"/>
      <c r="AC84" s="923"/>
      <c r="AD84" s="923"/>
      <c r="AE84" s="923"/>
      <c r="AF84" s="923"/>
      <c r="AG84" s="923"/>
      <c r="AH84" s="923"/>
      <c r="AI84" s="923"/>
      <c r="AJ84" s="924"/>
      <c r="AK84" s="924"/>
      <c r="AL84" s="925">
        <v>1</v>
      </c>
    </row>
    <row r="85" spans="1:38" s="627" customFormat="1" ht="30" customHeight="1">
      <c r="A85" s="921"/>
      <c r="B85" s="929"/>
      <c r="C85" s="930"/>
      <c r="D85" s="721" t="s">
        <v>10</v>
      </c>
      <c r="E85" s="1213" t="s">
        <v>1615</v>
      </c>
      <c r="F85" s="1207"/>
      <c r="G85" s="1207"/>
      <c r="H85" s="1208"/>
      <c r="I85" s="1208"/>
      <c r="J85" s="1209"/>
      <c r="K85" s="1209"/>
      <c r="L85" s="1209"/>
      <c r="M85" s="1209"/>
      <c r="N85" s="921"/>
      <c r="O85" s="922"/>
      <c r="P85" s="929"/>
      <c r="Q85" s="922"/>
      <c r="R85" s="922"/>
      <c r="S85" s="922"/>
      <c r="T85" s="923"/>
      <c r="U85" s="923"/>
      <c r="V85" s="933"/>
      <c r="W85" s="933"/>
      <c r="X85" s="933"/>
      <c r="Y85" s="923"/>
      <c r="Z85" s="934"/>
      <c r="AA85" s="923"/>
      <c r="AB85" s="923"/>
      <c r="AC85" s="923"/>
      <c r="AD85" s="923"/>
      <c r="AE85" s="923"/>
      <c r="AF85" s="923"/>
      <c r="AG85" s="923"/>
      <c r="AH85" s="923"/>
      <c r="AI85" s="923"/>
      <c r="AJ85" s="924"/>
      <c r="AK85" s="924"/>
      <c r="AL85" s="925">
        <v>1</v>
      </c>
    </row>
    <row r="86" spans="1:38" s="627" customFormat="1" ht="30" customHeight="1">
      <c r="A86" s="921"/>
      <c r="B86" s="929"/>
      <c r="C86" s="930"/>
      <c r="D86" s="721" t="s">
        <v>10</v>
      </c>
      <c r="E86" s="1210"/>
      <c r="F86" s="1207"/>
      <c r="G86" s="1207"/>
      <c r="H86" s="1208"/>
      <c r="I86" s="1208"/>
      <c r="J86" s="1209"/>
      <c r="K86" s="1209"/>
      <c r="L86" s="1209"/>
      <c r="M86" s="1209"/>
      <c r="N86" s="921"/>
      <c r="O86" s="922"/>
      <c r="P86" s="929"/>
      <c r="Q86" s="922"/>
      <c r="R86" s="922"/>
      <c r="S86" s="922"/>
      <c r="T86" s="923"/>
      <c r="U86" s="923"/>
      <c r="V86" s="933"/>
      <c r="W86" s="933"/>
      <c r="X86" s="933"/>
      <c r="Y86" s="923"/>
      <c r="Z86" s="934"/>
      <c r="AA86" s="923"/>
      <c r="AB86" s="923"/>
      <c r="AC86" s="923"/>
      <c r="AD86" s="923"/>
      <c r="AE86" s="923"/>
      <c r="AF86" s="923"/>
      <c r="AG86" s="923"/>
      <c r="AH86" s="923"/>
      <c r="AI86" s="923"/>
      <c r="AJ86" s="924"/>
      <c r="AK86" s="924"/>
      <c r="AL86" s="925">
        <v>1</v>
      </c>
    </row>
    <row r="87" spans="1:38" s="627" customFormat="1" ht="30" customHeight="1">
      <c r="A87" s="921"/>
      <c r="B87" s="929"/>
      <c r="C87" s="930"/>
      <c r="D87" s="721" t="s">
        <v>10</v>
      </c>
      <c r="E87" s="1212"/>
      <c r="F87" s="1212"/>
      <c r="G87" s="1212"/>
      <c r="H87" s="1212"/>
      <c r="I87" s="1212"/>
      <c r="J87" s="1209"/>
      <c r="K87" s="1209"/>
      <c r="L87" s="1209"/>
      <c r="M87" s="1209"/>
      <c r="N87" s="921"/>
      <c r="O87" s="922"/>
      <c r="P87" s="929"/>
      <c r="Q87" s="922"/>
      <c r="R87" s="922"/>
      <c r="S87" s="922"/>
      <c r="T87" s="923"/>
      <c r="U87" s="923"/>
      <c r="V87" s="933"/>
      <c r="W87" s="933"/>
      <c r="X87" s="933"/>
      <c r="Y87" s="923"/>
      <c r="Z87" s="934"/>
      <c r="AA87" s="923"/>
      <c r="AB87" s="923"/>
      <c r="AC87" s="923"/>
      <c r="AD87" s="923"/>
      <c r="AE87" s="923"/>
      <c r="AF87" s="923"/>
      <c r="AG87" s="923"/>
      <c r="AH87" s="923"/>
      <c r="AI87" s="923"/>
      <c r="AJ87" s="924"/>
      <c r="AK87" s="924"/>
      <c r="AL87" s="925">
        <v>1</v>
      </c>
    </row>
    <row r="88" spans="1:38" s="627" customFormat="1" ht="30" customHeight="1">
      <c r="A88" s="921"/>
      <c r="B88" s="929"/>
      <c r="C88" s="930"/>
      <c r="D88" s="721" t="s">
        <v>10</v>
      </c>
      <c r="E88" s="1212"/>
      <c r="F88" s="1212"/>
      <c r="G88" s="1212"/>
      <c r="H88" s="1212"/>
      <c r="I88" s="1212"/>
      <c r="J88" s="1209"/>
      <c r="K88" s="1209"/>
      <c r="L88" s="1209"/>
      <c r="M88" s="1209"/>
      <c r="N88" s="921"/>
      <c r="O88" s="922"/>
      <c r="P88" s="929"/>
      <c r="Q88" s="922"/>
      <c r="R88" s="922"/>
      <c r="S88" s="922"/>
      <c r="T88" s="923"/>
      <c r="U88" s="923"/>
      <c r="V88" s="933"/>
      <c r="W88" s="933"/>
      <c r="X88" s="933"/>
      <c r="Y88" s="923"/>
      <c r="Z88" s="934"/>
      <c r="AA88" s="923"/>
      <c r="AB88" s="923"/>
      <c r="AC88" s="923"/>
      <c r="AD88" s="923"/>
      <c r="AE88" s="923"/>
      <c r="AF88" s="923"/>
      <c r="AG88" s="923"/>
      <c r="AH88" s="923"/>
      <c r="AI88" s="923"/>
      <c r="AJ88" s="924"/>
      <c r="AK88" s="924"/>
      <c r="AL88" s="925">
        <v>1</v>
      </c>
    </row>
    <row r="89" spans="1:38" s="627" customFormat="1" ht="30" customHeight="1">
      <c r="A89" s="921"/>
      <c r="B89" s="929"/>
      <c r="C89" s="930"/>
      <c r="D89" s="721" t="s">
        <v>10</v>
      </c>
      <c r="E89" s="1212"/>
      <c r="F89" s="1212"/>
      <c r="G89" s="1212"/>
      <c r="H89" s="1212"/>
      <c r="I89" s="1212"/>
      <c r="J89" s="1209"/>
      <c r="K89" s="1209"/>
      <c r="L89" s="1209"/>
      <c r="M89" s="1209"/>
      <c r="N89" s="921"/>
      <c r="O89" s="922"/>
      <c r="P89" s="929"/>
      <c r="Q89" s="922"/>
      <c r="R89" s="922"/>
      <c r="S89" s="922"/>
      <c r="T89" s="923"/>
      <c r="U89" s="923"/>
      <c r="V89" s="933"/>
      <c r="W89" s="933"/>
      <c r="X89" s="933"/>
      <c r="Y89" s="923"/>
      <c r="Z89" s="934"/>
      <c r="AA89" s="923"/>
      <c r="AB89" s="923"/>
      <c r="AC89" s="923"/>
      <c r="AD89" s="923"/>
      <c r="AE89" s="923"/>
      <c r="AF89" s="923"/>
      <c r="AG89" s="923"/>
      <c r="AH89" s="923"/>
      <c r="AI89" s="923"/>
      <c r="AJ89" s="924"/>
      <c r="AK89" s="924"/>
      <c r="AL89" s="925">
        <v>1</v>
      </c>
    </row>
    <row r="90" spans="1:38" s="627" customFormat="1" ht="30" customHeight="1">
      <c r="A90" s="921"/>
      <c r="B90" s="929"/>
      <c r="C90" s="930"/>
      <c r="D90" s="721" t="s">
        <v>10</v>
      </c>
      <c r="E90" s="1213" t="s">
        <v>1626</v>
      </c>
      <c r="F90" s="1207"/>
      <c r="G90" s="1207"/>
      <c r="H90" s="1208"/>
      <c r="I90" s="1208"/>
      <c r="J90" s="1209"/>
      <c r="K90" s="1209"/>
      <c r="L90" s="1209"/>
      <c r="M90" s="1209"/>
      <c r="N90" s="921"/>
      <c r="O90" s="922"/>
      <c r="P90" s="929"/>
      <c r="Q90" s="922"/>
      <c r="R90" s="922"/>
      <c r="S90" s="922"/>
      <c r="T90" s="923"/>
      <c r="U90" s="923"/>
      <c r="V90" s="933"/>
      <c r="W90" s="933"/>
      <c r="X90" s="933"/>
      <c r="Y90" s="923"/>
      <c r="Z90" s="934"/>
      <c r="AA90" s="923"/>
      <c r="AB90" s="923"/>
      <c r="AC90" s="923"/>
      <c r="AD90" s="923"/>
      <c r="AE90" s="923"/>
      <c r="AF90" s="923"/>
      <c r="AG90" s="923"/>
      <c r="AH90" s="923"/>
      <c r="AI90" s="923"/>
      <c r="AJ90" s="924"/>
      <c r="AK90" s="924"/>
      <c r="AL90" s="925">
        <v>1</v>
      </c>
    </row>
    <row r="91" spans="1:38" s="627" customFormat="1" ht="30" customHeight="1">
      <c r="A91" s="921"/>
      <c r="B91" s="929"/>
      <c r="C91" s="930"/>
      <c r="D91" s="721" t="s">
        <v>15</v>
      </c>
      <c r="E91" s="6436" t="s">
        <v>1627</v>
      </c>
      <c r="F91" s="6436"/>
      <c r="G91" s="6436"/>
      <c r="H91" s="6436"/>
      <c r="I91" s="6436"/>
      <c r="J91" s="1209"/>
      <c r="K91" s="1209"/>
      <c r="L91" s="1209"/>
      <c r="M91" s="1209"/>
      <c r="N91" s="921"/>
      <c r="O91" s="922"/>
      <c r="P91" s="929"/>
      <c r="Q91" s="922"/>
      <c r="R91" s="922"/>
      <c r="S91" s="922"/>
      <c r="T91" s="923"/>
      <c r="U91" s="923"/>
      <c r="V91" s="933"/>
      <c r="W91" s="933"/>
      <c r="X91" s="933"/>
      <c r="Y91" s="923"/>
      <c r="Z91" s="934"/>
      <c r="AA91" s="923"/>
      <c r="AB91" s="923"/>
      <c r="AC91" s="923"/>
      <c r="AD91" s="923"/>
      <c r="AE91" s="923"/>
      <c r="AF91" s="923"/>
      <c r="AG91" s="923"/>
      <c r="AH91" s="923"/>
      <c r="AI91" s="923"/>
      <c r="AJ91" s="924"/>
      <c r="AK91" s="924"/>
      <c r="AL91" s="925">
        <v>1</v>
      </c>
    </row>
    <row r="92" spans="1:38" s="627" customFormat="1" ht="30" customHeight="1">
      <c r="A92" s="921"/>
      <c r="B92" s="929"/>
      <c r="C92" s="930"/>
      <c r="D92" s="721" t="s">
        <v>15</v>
      </c>
      <c r="E92" s="6436"/>
      <c r="F92" s="6436"/>
      <c r="G92" s="6436"/>
      <c r="H92" s="6436"/>
      <c r="I92" s="6436"/>
      <c r="J92" s="1209"/>
      <c r="K92" s="1209"/>
      <c r="L92" s="1209"/>
      <c r="M92" s="1209"/>
      <c r="N92" s="921"/>
      <c r="O92" s="922"/>
      <c r="P92" s="929"/>
      <c r="Q92" s="922"/>
      <c r="R92" s="922"/>
      <c r="S92" s="922"/>
      <c r="T92" s="923"/>
      <c r="U92" s="923"/>
      <c r="V92" s="933"/>
      <c r="W92" s="933"/>
      <c r="X92" s="933"/>
      <c r="Y92" s="923"/>
      <c r="Z92" s="934"/>
      <c r="AA92" s="923"/>
      <c r="AB92" s="923"/>
      <c r="AC92" s="923"/>
      <c r="AD92" s="923"/>
      <c r="AE92" s="923"/>
      <c r="AF92" s="923"/>
      <c r="AG92" s="923"/>
      <c r="AH92" s="923"/>
      <c r="AI92" s="923"/>
      <c r="AJ92" s="924"/>
      <c r="AK92" s="924"/>
      <c r="AL92" s="925">
        <v>1</v>
      </c>
    </row>
    <row r="93" spans="1:38" s="627" customFormat="1" ht="30" customHeight="1">
      <c r="A93" s="921"/>
      <c r="B93" s="929"/>
      <c r="C93" s="930"/>
      <c r="D93" s="721" t="s">
        <v>15</v>
      </c>
      <c r="E93" s="1214"/>
      <c r="F93" s="1214"/>
      <c r="G93" s="1214"/>
      <c r="H93" s="1214"/>
      <c r="I93" s="1214"/>
      <c r="J93" s="1209"/>
      <c r="K93" s="1209"/>
      <c r="L93" s="1209"/>
      <c r="M93" s="1209"/>
      <c r="N93" s="921"/>
      <c r="O93" s="922"/>
      <c r="P93" s="929"/>
      <c r="Q93" s="922"/>
      <c r="R93" s="922"/>
      <c r="S93" s="922"/>
      <c r="T93" s="923"/>
      <c r="U93" s="923"/>
      <c r="V93" s="933"/>
      <c r="W93" s="933"/>
      <c r="X93" s="933"/>
      <c r="Y93" s="923"/>
      <c r="Z93" s="934"/>
      <c r="AA93" s="923"/>
      <c r="AB93" s="923"/>
      <c r="AC93" s="923"/>
      <c r="AD93" s="923"/>
      <c r="AE93" s="923"/>
      <c r="AF93" s="923"/>
      <c r="AG93" s="923"/>
      <c r="AH93" s="923"/>
      <c r="AI93" s="923"/>
      <c r="AJ93" s="924"/>
      <c r="AK93" s="924"/>
      <c r="AL93" s="925">
        <v>1</v>
      </c>
    </row>
    <row r="94" spans="1:38" s="627" customFormat="1" ht="30" customHeight="1">
      <c r="A94" s="921"/>
      <c r="B94" s="929"/>
      <c r="C94" s="930"/>
      <c r="D94" s="721" t="s">
        <v>15</v>
      </c>
      <c r="E94" s="6437" t="s">
        <v>1629</v>
      </c>
      <c r="F94" s="6437"/>
      <c r="G94" s="6437"/>
      <c r="H94" s="6437"/>
      <c r="I94" s="6437"/>
      <c r="J94" s="1209"/>
      <c r="K94" s="1209"/>
      <c r="L94" s="1209"/>
      <c r="M94" s="1209"/>
      <c r="N94" s="921"/>
      <c r="O94" s="922"/>
      <c r="P94" s="929"/>
      <c r="Q94" s="922"/>
      <c r="R94" s="922"/>
      <c r="S94" s="922"/>
      <c r="T94" s="923"/>
      <c r="U94" s="923"/>
      <c r="V94" s="933"/>
      <c r="W94" s="933"/>
      <c r="X94" s="933"/>
      <c r="Y94" s="923"/>
      <c r="Z94" s="934"/>
      <c r="AA94" s="923"/>
      <c r="AB94" s="923"/>
      <c r="AC94" s="923"/>
      <c r="AD94" s="923"/>
      <c r="AE94" s="923"/>
      <c r="AF94" s="923"/>
      <c r="AG94" s="923"/>
      <c r="AH94" s="923"/>
      <c r="AI94" s="923"/>
      <c r="AJ94" s="924"/>
      <c r="AK94" s="924"/>
      <c r="AL94" s="925">
        <v>1</v>
      </c>
    </row>
    <row r="95" spans="1:38" s="627" customFormat="1" ht="30" customHeight="1">
      <c r="A95" s="921"/>
      <c r="B95" s="929"/>
      <c r="C95" s="930"/>
      <c r="D95" s="721" t="s">
        <v>15</v>
      </c>
      <c r="E95" s="6437"/>
      <c r="F95" s="6437"/>
      <c r="G95" s="6437"/>
      <c r="H95" s="6437"/>
      <c r="I95" s="6437"/>
      <c r="J95" s="1209"/>
      <c r="K95" s="1209"/>
      <c r="L95" s="1209"/>
      <c r="M95" s="1209"/>
      <c r="N95" s="921"/>
      <c r="O95" s="922"/>
      <c r="P95" s="929"/>
      <c r="Q95" s="922"/>
      <c r="R95" s="922"/>
      <c r="S95" s="922"/>
      <c r="T95" s="923"/>
      <c r="U95" s="923"/>
      <c r="V95" s="933"/>
      <c r="W95" s="933"/>
      <c r="X95" s="933"/>
      <c r="Y95" s="923"/>
      <c r="Z95" s="934"/>
      <c r="AA95" s="923"/>
      <c r="AB95" s="923"/>
      <c r="AC95" s="923"/>
      <c r="AD95" s="923"/>
      <c r="AE95" s="923"/>
      <c r="AF95" s="923"/>
      <c r="AG95" s="923"/>
      <c r="AH95" s="923"/>
      <c r="AI95" s="923"/>
      <c r="AJ95" s="924"/>
      <c r="AK95" s="924"/>
      <c r="AL95" s="925">
        <v>1</v>
      </c>
    </row>
    <row r="96" spans="1:38" s="627" customFormat="1" ht="30" customHeight="1">
      <c r="A96" s="921"/>
      <c r="B96" s="929"/>
      <c r="C96" s="930"/>
      <c r="D96" s="721" t="s">
        <v>15</v>
      </c>
      <c r="E96" s="1213"/>
      <c r="F96" s="1207"/>
      <c r="G96" s="1207"/>
      <c r="H96" s="1208"/>
      <c r="I96" s="1208"/>
      <c r="J96" s="1209"/>
      <c r="K96" s="1209"/>
      <c r="L96" s="1209"/>
      <c r="M96" s="1209"/>
      <c r="N96" s="921"/>
      <c r="O96" s="922"/>
      <c r="P96" s="929"/>
      <c r="Q96" s="922"/>
      <c r="R96" s="922"/>
      <c r="S96" s="922"/>
      <c r="T96" s="923"/>
      <c r="U96" s="923"/>
      <c r="V96" s="933"/>
      <c r="W96" s="933"/>
      <c r="X96" s="933"/>
      <c r="Y96" s="923"/>
      <c r="Z96" s="934"/>
      <c r="AA96" s="923"/>
      <c r="AB96" s="923"/>
      <c r="AC96" s="923"/>
      <c r="AD96" s="923"/>
      <c r="AE96" s="923"/>
      <c r="AF96" s="923"/>
      <c r="AG96" s="923"/>
      <c r="AH96" s="923"/>
      <c r="AI96" s="923"/>
      <c r="AJ96" s="924"/>
      <c r="AK96" s="924"/>
      <c r="AL96" s="925">
        <v>1</v>
      </c>
    </row>
    <row r="97" spans="1:38" s="627" customFormat="1" ht="30" customHeight="1">
      <c r="A97" s="921"/>
      <c r="B97" s="929"/>
      <c r="C97" s="930"/>
      <c r="D97" s="721" t="s">
        <v>15</v>
      </c>
      <c r="E97" s="6438" t="s">
        <v>1647</v>
      </c>
      <c r="F97" s="6438"/>
      <c r="G97" s="6438"/>
      <c r="H97" s="6438"/>
      <c r="I97" s="6438"/>
      <c r="J97" s="1209"/>
      <c r="K97" s="1209"/>
      <c r="L97" s="1209"/>
      <c r="M97" s="1209"/>
      <c r="N97" s="921"/>
      <c r="O97" s="922"/>
      <c r="P97" s="929"/>
      <c r="Q97" s="922"/>
      <c r="R97" s="922"/>
      <c r="S97" s="922"/>
      <c r="T97" s="923"/>
      <c r="U97" s="923"/>
      <c r="V97" s="933"/>
      <c r="W97" s="933"/>
      <c r="X97" s="933"/>
      <c r="Y97" s="923"/>
      <c r="Z97" s="934"/>
      <c r="AA97" s="923"/>
      <c r="AB97" s="923"/>
      <c r="AC97" s="923"/>
      <c r="AD97" s="923"/>
      <c r="AE97" s="923"/>
      <c r="AF97" s="923"/>
      <c r="AG97" s="923"/>
      <c r="AH97" s="923"/>
      <c r="AI97" s="923"/>
      <c r="AJ97" s="924"/>
      <c r="AK97" s="924"/>
      <c r="AL97" s="925">
        <v>1</v>
      </c>
    </row>
    <row r="98" spans="1:38" s="627" customFormat="1" ht="30" customHeight="1">
      <c r="A98" s="921"/>
      <c r="B98" s="929"/>
      <c r="C98" s="930"/>
      <c r="D98" s="721" t="s">
        <v>15</v>
      </c>
      <c r="E98" s="6438"/>
      <c r="F98" s="6438"/>
      <c r="G98" s="6438"/>
      <c r="H98" s="6438"/>
      <c r="I98" s="6438"/>
      <c r="J98" s="1209"/>
      <c r="K98" s="1209"/>
      <c r="L98" s="1209"/>
      <c r="M98" s="1209"/>
      <c r="N98" s="921"/>
      <c r="O98" s="922"/>
      <c r="P98" s="929"/>
      <c r="Q98" s="922"/>
      <c r="R98" s="922"/>
      <c r="S98" s="922"/>
      <c r="T98" s="923"/>
      <c r="U98" s="923"/>
      <c r="V98" s="933"/>
      <c r="W98" s="933"/>
      <c r="X98" s="933"/>
      <c r="Y98" s="923"/>
      <c r="Z98" s="934"/>
      <c r="AA98" s="923"/>
      <c r="AB98" s="923"/>
      <c r="AC98" s="923"/>
      <c r="AD98" s="923"/>
      <c r="AE98" s="923"/>
      <c r="AF98" s="923"/>
      <c r="AG98" s="923"/>
      <c r="AH98" s="923"/>
      <c r="AI98" s="923"/>
      <c r="AJ98" s="924"/>
      <c r="AK98" s="924"/>
      <c r="AL98" s="925">
        <v>1</v>
      </c>
    </row>
    <row r="99" spans="1:38" s="627" customFormat="1" ht="30" customHeight="1">
      <c r="A99" s="921"/>
      <c r="B99" s="929"/>
      <c r="C99" s="930"/>
      <c r="D99" s="721" t="s">
        <v>15</v>
      </c>
      <c r="E99" s="1215"/>
      <c r="F99" s="1207"/>
      <c r="G99" s="1207"/>
      <c r="H99" s="1208"/>
      <c r="I99" s="1208"/>
      <c r="J99" s="1209"/>
      <c r="K99" s="1209"/>
      <c r="L99" s="1209"/>
      <c r="M99" s="1209"/>
      <c r="N99" s="921"/>
      <c r="O99" s="922"/>
      <c r="P99" s="929"/>
      <c r="Q99" s="922"/>
      <c r="R99" s="922"/>
      <c r="S99" s="922"/>
      <c r="T99" s="923"/>
      <c r="U99" s="923"/>
      <c r="V99" s="933"/>
      <c r="W99" s="933"/>
      <c r="X99" s="933"/>
      <c r="Y99" s="923"/>
      <c r="Z99" s="934"/>
      <c r="AA99" s="923"/>
      <c r="AB99" s="923"/>
      <c r="AC99" s="923"/>
      <c r="AD99" s="923"/>
      <c r="AE99" s="923"/>
      <c r="AF99" s="923"/>
      <c r="AG99" s="923"/>
      <c r="AH99" s="923"/>
      <c r="AI99" s="923"/>
      <c r="AJ99" s="924"/>
      <c r="AK99" s="924"/>
      <c r="AL99" s="925">
        <v>1</v>
      </c>
    </row>
    <row r="100" spans="1:38" s="627" customFormat="1" ht="30" customHeight="1">
      <c r="A100" s="921"/>
      <c r="B100" s="929"/>
      <c r="C100" s="930"/>
      <c r="D100" s="721" t="s">
        <v>15</v>
      </c>
      <c r="E100" s="1215"/>
      <c r="F100" s="1207"/>
      <c r="G100" s="1207"/>
      <c r="H100" s="1208"/>
      <c r="I100" s="1208"/>
      <c r="J100" s="1209"/>
      <c r="K100" s="1209"/>
      <c r="L100" s="1209"/>
      <c r="M100" s="1209"/>
      <c r="N100" s="921"/>
      <c r="O100" s="922"/>
      <c r="P100" s="929"/>
      <c r="Q100" s="922"/>
      <c r="R100" s="922"/>
      <c r="S100" s="922"/>
      <c r="T100" s="923"/>
      <c r="U100" s="923"/>
      <c r="V100" s="933"/>
      <c r="W100" s="933"/>
      <c r="X100" s="933"/>
      <c r="Y100" s="923"/>
      <c r="Z100" s="934"/>
      <c r="AA100" s="923"/>
      <c r="AB100" s="923"/>
      <c r="AC100" s="923"/>
      <c r="AD100" s="923"/>
      <c r="AE100" s="923"/>
      <c r="AF100" s="923"/>
      <c r="AG100" s="923"/>
      <c r="AH100" s="923"/>
      <c r="AI100" s="923"/>
      <c r="AJ100" s="924"/>
      <c r="AK100" s="924"/>
      <c r="AL100" s="925">
        <v>1</v>
      </c>
    </row>
    <row r="101" spans="1:38" s="627" customFormat="1" ht="30" customHeight="1">
      <c r="A101" s="921"/>
      <c r="B101" s="929"/>
      <c r="C101" s="930"/>
      <c r="D101" s="721" t="s">
        <v>15</v>
      </c>
      <c r="E101" s="1215"/>
      <c r="F101" s="1207"/>
      <c r="G101" s="1207"/>
      <c r="H101" s="1208"/>
      <c r="I101" s="1208"/>
      <c r="J101" s="1209"/>
      <c r="K101" s="1209"/>
      <c r="L101" s="1209"/>
      <c r="M101" s="1209"/>
      <c r="N101" s="921"/>
      <c r="O101" s="922"/>
      <c r="P101" s="929"/>
      <c r="Q101" s="922"/>
      <c r="R101" s="922"/>
      <c r="S101" s="922"/>
      <c r="T101" s="923"/>
      <c r="U101" s="923"/>
      <c r="V101" s="933"/>
      <c r="W101" s="933"/>
      <c r="X101" s="933"/>
      <c r="Y101" s="923"/>
      <c r="Z101" s="934"/>
      <c r="AA101" s="923"/>
      <c r="AB101" s="923"/>
      <c r="AC101" s="923"/>
      <c r="AD101" s="923"/>
      <c r="AE101" s="923"/>
      <c r="AF101" s="923"/>
      <c r="AG101" s="923"/>
      <c r="AH101" s="923"/>
      <c r="AI101" s="923"/>
      <c r="AJ101" s="924"/>
      <c r="AK101" s="924"/>
      <c r="AL101" s="925">
        <v>1</v>
      </c>
    </row>
    <row r="102" spans="1:38" s="627" customFormat="1" ht="30" customHeight="1">
      <c r="A102" s="921"/>
      <c r="B102" s="929"/>
      <c r="C102" s="930"/>
      <c r="D102" s="721" t="s">
        <v>15</v>
      </c>
      <c r="E102" s="1215"/>
      <c r="F102" s="1207"/>
      <c r="G102" s="1207"/>
      <c r="H102" s="1208"/>
      <c r="I102" s="1208"/>
      <c r="J102" s="1209"/>
      <c r="K102" s="1209"/>
      <c r="L102" s="1209"/>
      <c r="M102" s="1209"/>
      <c r="N102" s="921"/>
      <c r="O102" s="922"/>
      <c r="P102" s="929"/>
      <c r="Q102" s="922"/>
      <c r="R102" s="922"/>
      <c r="S102" s="922"/>
      <c r="T102" s="923"/>
      <c r="U102" s="923"/>
      <c r="V102" s="933"/>
      <c r="W102" s="933"/>
      <c r="X102" s="933"/>
      <c r="Y102" s="923"/>
      <c r="Z102" s="934"/>
      <c r="AA102" s="923"/>
      <c r="AB102" s="923"/>
      <c r="AC102" s="923"/>
      <c r="AD102" s="923"/>
      <c r="AE102" s="923"/>
      <c r="AF102" s="923"/>
      <c r="AG102" s="923"/>
      <c r="AH102" s="923"/>
      <c r="AI102" s="923"/>
      <c r="AJ102" s="924"/>
      <c r="AK102" s="924"/>
      <c r="AL102" s="925">
        <v>1</v>
      </c>
    </row>
    <row r="103" spans="1:38" s="627" customFormat="1" ht="30" customHeight="1">
      <c r="A103" s="921"/>
      <c r="B103" s="929"/>
      <c r="C103" s="930"/>
      <c r="D103" s="721" t="s">
        <v>15</v>
      </c>
      <c r="E103" s="1215"/>
      <c r="F103" s="1207"/>
      <c r="G103" s="1207"/>
      <c r="H103" s="1208"/>
      <c r="I103" s="1208"/>
      <c r="J103" s="1209"/>
      <c r="K103" s="1209"/>
      <c r="L103" s="1209"/>
      <c r="M103" s="1209"/>
      <c r="N103" s="921"/>
      <c r="O103" s="922"/>
      <c r="P103" s="929"/>
      <c r="Q103" s="922"/>
      <c r="R103" s="922"/>
      <c r="S103" s="922"/>
      <c r="T103" s="923"/>
      <c r="U103" s="923"/>
      <c r="V103" s="933"/>
      <c r="W103" s="933"/>
      <c r="X103" s="933"/>
      <c r="Y103" s="923"/>
      <c r="Z103" s="934"/>
      <c r="AA103" s="923"/>
      <c r="AB103" s="923"/>
      <c r="AC103" s="923"/>
      <c r="AD103" s="923"/>
      <c r="AE103" s="923"/>
      <c r="AF103" s="923"/>
      <c r="AG103" s="923"/>
      <c r="AH103" s="923"/>
      <c r="AI103" s="923"/>
      <c r="AJ103" s="924"/>
      <c r="AK103" s="924"/>
      <c r="AL103" s="925">
        <v>1</v>
      </c>
    </row>
    <row r="104" spans="1:38" s="627" customFormat="1" ht="30" customHeight="1">
      <c r="A104" s="921"/>
      <c r="B104" s="929"/>
      <c r="C104" s="930"/>
      <c r="D104" s="721" t="s">
        <v>15</v>
      </c>
      <c r="E104" s="6436" t="s">
        <v>1668</v>
      </c>
      <c r="F104" s="6436"/>
      <c r="G104" s="6436"/>
      <c r="H104" s="6436"/>
      <c r="I104" s="6436"/>
      <c r="J104" s="1209"/>
      <c r="K104" s="1209"/>
      <c r="L104" s="1209"/>
      <c r="M104" s="1209"/>
      <c r="N104" s="921"/>
      <c r="O104" s="922"/>
      <c r="P104" s="929"/>
      <c r="Q104" s="922"/>
      <c r="R104" s="922"/>
      <c r="S104" s="922"/>
      <c r="T104" s="923"/>
      <c r="U104" s="923"/>
      <c r="V104" s="933"/>
      <c r="W104" s="933"/>
      <c r="X104" s="933"/>
      <c r="Y104" s="923"/>
      <c r="Z104" s="934"/>
      <c r="AA104" s="923"/>
      <c r="AB104" s="923"/>
      <c r="AC104" s="923"/>
      <c r="AD104" s="923"/>
      <c r="AE104" s="923"/>
      <c r="AF104" s="923"/>
      <c r="AG104" s="923"/>
      <c r="AH104" s="923"/>
      <c r="AI104" s="923"/>
      <c r="AJ104" s="924"/>
      <c r="AK104" s="924"/>
      <c r="AL104" s="925">
        <v>1</v>
      </c>
    </row>
    <row r="105" spans="1:38" s="627" customFormat="1" ht="30" customHeight="1">
      <c r="A105" s="921"/>
      <c r="B105" s="929"/>
      <c r="C105" s="930"/>
      <c r="D105" s="721" t="s">
        <v>15</v>
      </c>
      <c r="E105" s="6436"/>
      <c r="F105" s="6436"/>
      <c r="G105" s="6436"/>
      <c r="H105" s="6436"/>
      <c r="I105" s="6436"/>
      <c r="J105" s="1209"/>
      <c r="K105" s="1209"/>
      <c r="L105" s="1209"/>
      <c r="M105" s="1209"/>
      <c r="N105" s="921"/>
      <c r="O105" s="922"/>
      <c r="P105" s="929"/>
      <c r="Q105" s="922"/>
      <c r="R105" s="922"/>
      <c r="S105" s="922"/>
      <c r="T105" s="923"/>
      <c r="U105" s="923"/>
      <c r="V105" s="933"/>
      <c r="W105" s="933"/>
      <c r="X105" s="933"/>
      <c r="Y105" s="923"/>
      <c r="Z105" s="934"/>
      <c r="AA105" s="923"/>
      <c r="AB105" s="923"/>
      <c r="AC105" s="923"/>
      <c r="AD105" s="923"/>
      <c r="AE105" s="923"/>
      <c r="AF105" s="923"/>
      <c r="AG105" s="923"/>
      <c r="AH105" s="923"/>
      <c r="AI105" s="923"/>
      <c r="AJ105" s="924"/>
      <c r="AK105" s="924"/>
      <c r="AL105" s="925">
        <v>1</v>
      </c>
    </row>
    <row r="106" spans="1:38" s="627" customFormat="1" ht="30" customHeight="1">
      <c r="A106" s="921"/>
      <c r="B106" s="929"/>
      <c r="C106" s="930"/>
      <c r="D106" s="721" t="s">
        <v>15</v>
      </c>
      <c r="E106" s="1215"/>
      <c r="F106" s="1207"/>
      <c r="G106" s="1207"/>
      <c r="H106" s="1208"/>
      <c r="I106" s="1208"/>
      <c r="J106" s="1209"/>
      <c r="K106" s="1209"/>
      <c r="L106" s="1209"/>
      <c r="M106" s="1209"/>
      <c r="N106" s="921"/>
      <c r="O106" s="922"/>
      <c r="P106" s="929"/>
      <c r="Q106" s="922"/>
      <c r="R106" s="922"/>
      <c r="S106" s="922"/>
      <c r="T106" s="923"/>
      <c r="U106" s="923"/>
      <c r="V106" s="933"/>
      <c r="W106" s="933"/>
      <c r="X106" s="933"/>
      <c r="Y106" s="923"/>
      <c r="Z106" s="934"/>
      <c r="AA106" s="923"/>
      <c r="AB106" s="923"/>
      <c r="AC106" s="923"/>
      <c r="AD106" s="923"/>
      <c r="AE106" s="923"/>
      <c r="AF106" s="923"/>
      <c r="AG106" s="923"/>
      <c r="AH106" s="923"/>
      <c r="AI106" s="923"/>
      <c r="AJ106" s="924"/>
      <c r="AK106" s="924"/>
      <c r="AL106" s="925">
        <v>1</v>
      </c>
    </row>
    <row r="107" spans="1:38" s="627" customFormat="1" ht="30" customHeight="1">
      <c r="A107" s="921"/>
      <c r="B107" s="929"/>
      <c r="C107" s="930"/>
      <c r="D107" s="721" t="s">
        <v>15</v>
      </c>
      <c r="E107" s="6436" t="s">
        <v>1678</v>
      </c>
      <c r="F107" s="6436"/>
      <c r="G107" s="6436"/>
      <c r="H107" s="6436"/>
      <c r="I107" s="6436"/>
      <c r="J107" s="1209"/>
      <c r="K107" s="1209"/>
      <c r="L107" s="1209"/>
      <c r="M107" s="1209"/>
      <c r="N107" s="921"/>
      <c r="O107" s="922"/>
      <c r="P107" s="929"/>
      <c r="Q107" s="922"/>
      <c r="R107" s="922"/>
      <c r="S107" s="922"/>
      <c r="T107" s="923"/>
      <c r="U107" s="923"/>
      <c r="V107" s="933"/>
      <c r="W107" s="933"/>
      <c r="X107" s="933"/>
      <c r="Y107" s="923"/>
      <c r="Z107" s="934"/>
      <c r="AA107" s="923"/>
      <c r="AB107" s="923"/>
      <c r="AC107" s="923"/>
      <c r="AD107" s="923"/>
      <c r="AE107" s="923"/>
      <c r="AF107" s="923"/>
      <c r="AG107" s="923"/>
      <c r="AH107" s="923"/>
      <c r="AI107" s="923"/>
      <c r="AJ107" s="924"/>
      <c r="AK107" s="924"/>
      <c r="AL107" s="925">
        <v>1</v>
      </c>
    </row>
    <row r="108" spans="1:38" s="627" customFormat="1" ht="30" customHeight="1">
      <c r="A108" s="921"/>
      <c r="B108" s="929"/>
      <c r="C108" s="930"/>
      <c r="D108" s="721" t="s">
        <v>15</v>
      </c>
      <c r="E108" s="6436"/>
      <c r="F108" s="6436"/>
      <c r="G108" s="6436"/>
      <c r="H108" s="6436"/>
      <c r="I108" s="6436"/>
      <c r="J108" s="1209"/>
      <c r="K108" s="1209"/>
      <c r="L108" s="1209"/>
      <c r="M108" s="1209"/>
      <c r="N108" s="921"/>
      <c r="O108" s="922"/>
      <c r="P108" s="929"/>
      <c r="Q108" s="922"/>
      <c r="R108" s="922"/>
      <c r="S108" s="922"/>
      <c r="T108" s="923"/>
      <c r="U108" s="923"/>
      <c r="V108" s="933"/>
      <c r="W108" s="933"/>
      <c r="X108" s="933"/>
      <c r="Y108" s="923"/>
      <c r="Z108" s="934"/>
      <c r="AA108" s="923"/>
      <c r="AB108" s="923"/>
      <c r="AC108" s="923"/>
      <c r="AD108" s="923"/>
      <c r="AE108" s="923"/>
      <c r="AF108" s="923"/>
      <c r="AG108" s="923"/>
      <c r="AH108" s="923"/>
      <c r="AI108" s="923"/>
      <c r="AJ108" s="924"/>
      <c r="AK108" s="924"/>
      <c r="AL108" s="925">
        <v>1</v>
      </c>
    </row>
    <row r="109" spans="1:38" s="627" customFormat="1" ht="30" customHeight="1">
      <c r="A109" s="921"/>
      <c r="B109" s="929"/>
      <c r="C109" s="930"/>
      <c r="D109" s="721" t="s">
        <v>15</v>
      </c>
      <c r="E109" s="1215"/>
      <c r="F109" s="1207"/>
      <c r="G109" s="1207"/>
      <c r="H109" s="1208"/>
      <c r="I109" s="1208"/>
      <c r="J109" s="1209"/>
      <c r="K109" s="1209"/>
      <c r="L109" s="1209"/>
      <c r="M109" s="1209"/>
      <c r="N109" s="921"/>
      <c r="O109" s="922"/>
      <c r="P109" s="929"/>
      <c r="Q109" s="922"/>
      <c r="R109" s="922"/>
      <c r="S109" s="922"/>
      <c r="T109" s="923"/>
      <c r="U109" s="923"/>
      <c r="V109" s="933"/>
      <c r="W109" s="933"/>
      <c r="X109" s="933"/>
      <c r="Y109" s="923"/>
      <c r="Z109" s="934"/>
      <c r="AA109" s="923"/>
      <c r="AB109" s="923"/>
      <c r="AC109" s="923"/>
      <c r="AD109" s="923"/>
      <c r="AE109" s="923"/>
      <c r="AF109" s="923"/>
      <c r="AG109" s="923"/>
      <c r="AH109" s="923"/>
      <c r="AI109" s="923"/>
      <c r="AJ109" s="924"/>
      <c r="AK109" s="924"/>
      <c r="AL109" s="925">
        <v>1</v>
      </c>
    </row>
    <row r="110" spans="1:38" s="627" customFormat="1" ht="30" customHeight="1">
      <c r="A110" s="921"/>
      <c r="B110" s="929"/>
      <c r="C110" s="930"/>
      <c r="D110" s="721" t="s">
        <v>15</v>
      </c>
      <c r="E110" s="1213" t="s">
        <v>1692</v>
      </c>
      <c r="F110" s="1207"/>
      <c r="G110" s="1207"/>
      <c r="H110" s="1208"/>
      <c r="I110" s="1208"/>
      <c r="J110" s="1209"/>
      <c r="K110" s="1209"/>
      <c r="L110" s="1209"/>
      <c r="M110" s="1209"/>
      <c r="N110" s="921"/>
      <c r="O110" s="922"/>
      <c r="P110" s="929"/>
      <c r="Q110" s="922"/>
      <c r="R110" s="922"/>
      <c r="S110" s="922"/>
      <c r="T110" s="923"/>
      <c r="U110" s="923"/>
      <c r="V110" s="933"/>
      <c r="W110" s="933"/>
      <c r="X110" s="933"/>
      <c r="Y110" s="923"/>
      <c r="Z110" s="934"/>
      <c r="AA110" s="923"/>
      <c r="AB110" s="923"/>
      <c r="AC110" s="923"/>
      <c r="AD110" s="923"/>
      <c r="AE110" s="923"/>
      <c r="AF110" s="923"/>
      <c r="AG110" s="923"/>
      <c r="AH110" s="923"/>
      <c r="AI110" s="923"/>
      <c r="AJ110" s="924"/>
      <c r="AK110" s="924"/>
      <c r="AL110" s="925">
        <v>1</v>
      </c>
    </row>
    <row r="111" spans="1:38" s="627" customFormat="1" ht="30" customHeight="1">
      <c r="A111" s="921"/>
      <c r="B111" s="929"/>
      <c r="C111" s="930"/>
      <c r="D111" s="721" t="s">
        <v>15</v>
      </c>
      <c r="E111" s="1215"/>
      <c r="F111" s="1207"/>
      <c r="G111" s="1207"/>
      <c r="H111" s="1208"/>
      <c r="I111" s="1208"/>
      <c r="J111" s="1209"/>
      <c r="K111" s="1209"/>
      <c r="L111" s="1209"/>
      <c r="M111" s="1209"/>
      <c r="N111" s="921"/>
      <c r="O111" s="922"/>
      <c r="P111" s="929"/>
      <c r="Q111" s="922"/>
      <c r="R111" s="922"/>
      <c r="S111" s="922"/>
      <c r="T111" s="923"/>
      <c r="U111" s="923"/>
      <c r="V111" s="933"/>
      <c r="W111" s="933"/>
      <c r="X111" s="933"/>
      <c r="Y111" s="923"/>
      <c r="Z111" s="934"/>
      <c r="AA111" s="923"/>
      <c r="AB111" s="923"/>
      <c r="AC111" s="923"/>
      <c r="AD111" s="923"/>
      <c r="AE111" s="923"/>
      <c r="AF111" s="923"/>
      <c r="AG111" s="923"/>
      <c r="AH111" s="923"/>
      <c r="AI111" s="923"/>
      <c r="AJ111" s="924"/>
      <c r="AK111" s="924"/>
      <c r="AL111" s="925">
        <v>1</v>
      </c>
    </row>
    <row r="112" spans="1:38" s="627" customFormat="1" ht="30" customHeight="1">
      <c r="A112" s="921"/>
      <c r="B112" s="929"/>
      <c r="C112" s="930"/>
      <c r="D112" s="721" t="s">
        <v>15</v>
      </c>
      <c r="E112" s="1215"/>
      <c r="F112" s="1207"/>
      <c r="G112" s="1207"/>
      <c r="H112" s="1208"/>
      <c r="I112" s="1208"/>
      <c r="J112" s="1209"/>
      <c r="K112" s="1209"/>
      <c r="L112" s="1209"/>
      <c r="M112" s="1209"/>
      <c r="N112" s="921"/>
      <c r="O112" s="922"/>
      <c r="P112" s="929"/>
      <c r="Q112" s="922"/>
      <c r="R112" s="922"/>
      <c r="S112" s="922"/>
      <c r="T112" s="923"/>
      <c r="U112" s="923"/>
      <c r="V112" s="933"/>
      <c r="W112" s="933"/>
      <c r="X112" s="933"/>
      <c r="Y112" s="923"/>
      <c r="Z112" s="934"/>
      <c r="AA112" s="923"/>
      <c r="AB112" s="923"/>
      <c r="AC112" s="923"/>
      <c r="AD112" s="923"/>
      <c r="AE112" s="923"/>
      <c r="AF112" s="923"/>
      <c r="AG112" s="923"/>
      <c r="AH112" s="923"/>
      <c r="AI112" s="923"/>
      <c r="AJ112" s="924"/>
      <c r="AK112" s="924"/>
      <c r="AL112" s="925">
        <v>1</v>
      </c>
    </row>
    <row r="113" spans="1:38" s="627" customFormat="1" ht="30" customHeight="1">
      <c r="A113" s="921"/>
      <c r="B113" s="929"/>
      <c r="C113" s="930"/>
      <c r="D113" s="721" t="s">
        <v>15</v>
      </c>
      <c r="E113" s="1215"/>
      <c r="F113" s="1207"/>
      <c r="G113" s="1207"/>
      <c r="H113" s="1208"/>
      <c r="I113" s="1208"/>
      <c r="J113" s="1209"/>
      <c r="K113" s="1209"/>
      <c r="L113" s="1209"/>
      <c r="M113" s="1209"/>
      <c r="N113" s="921"/>
      <c r="O113" s="922"/>
      <c r="P113" s="929"/>
      <c r="Q113" s="922"/>
      <c r="R113" s="922"/>
      <c r="S113" s="922"/>
      <c r="T113" s="923"/>
      <c r="U113" s="923"/>
      <c r="V113" s="933"/>
      <c r="W113" s="933"/>
      <c r="X113" s="933"/>
      <c r="Y113" s="923"/>
      <c r="Z113" s="934"/>
      <c r="AA113" s="923"/>
      <c r="AB113" s="923"/>
      <c r="AC113" s="923"/>
      <c r="AD113" s="923"/>
      <c r="AE113" s="923"/>
      <c r="AF113" s="923"/>
      <c r="AG113" s="923"/>
      <c r="AH113" s="923"/>
      <c r="AI113" s="923"/>
      <c r="AJ113" s="924"/>
      <c r="AK113" s="924"/>
      <c r="AL113" s="925">
        <v>1</v>
      </c>
    </row>
    <row r="114" spans="1:38" s="627" customFormat="1" ht="30" customHeight="1">
      <c r="A114" s="921"/>
      <c r="B114" s="929"/>
      <c r="C114" s="930"/>
      <c r="D114" s="721" t="s">
        <v>15</v>
      </c>
      <c r="E114" s="1215"/>
      <c r="F114" s="1207"/>
      <c r="G114" s="1207"/>
      <c r="H114" s="1208"/>
      <c r="I114" s="1208"/>
      <c r="J114" s="1209"/>
      <c r="K114" s="1209"/>
      <c r="L114" s="1209"/>
      <c r="M114" s="1209"/>
      <c r="N114" s="921"/>
      <c r="O114" s="922"/>
      <c r="P114" s="929"/>
      <c r="Q114" s="922"/>
      <c r="R114" s="922"/>
      <c r="S114" s="922"/>
      <c r="T114" s="923"/>
      <c r="U114" s="923"/>
      <c r="V114" s="933"/>
      <c r="W114" s="933"/>
      <c r="X114" s="933"/>
      <c r="Y114" s="923"/>
      <c r="Z114" s="934"/>
      <c r="AA114" s="923"/>
      <c r="AB114" s="923"/>
      <c r="AC114" s="923"/>
      <c r="AD114" s="923"/>
      <c r="AE114" s="923"/>
      <c r="AF114" s="923"/>
      <c r="AG114" s="923"/>
      <c r="AH114" s="923"/>
      <c r="AI114" s="923"/>
      <c r="AJ114" s="924"/>
      <c r="AK114" s="924"/>
      <c r="AL114" s="925">
        <v>1</v>
      </c>
    </row>
    <row r="115" spans="1:38" s="627" customFormat="1" ht="30" customHeight="1">
      <c r="A115" s="921"/>
      <c r="B115" s="929"/>
      <c r="C115" s="930"/>
      <c r="D115" s="921"/>
      <c r="E115" s="921"/>
      <c r="F115" s="921"/>
      <c r="G115" s="921"/>
      <c r="H115" s="921"/>
      <c r="I115" s="922"/>
      <c r="J115" s="921"/>
      <c r="K115" s="921"/>
      <c r="L115" s="921"/>
      <c r="M115" s="921"/>
      <c r="N115" s="921"/>
      <c r="O115" s="922"/>
      <c r="P115" s="929"/>
      <c r="Q115" s="922"/>
      <c r="R115" s="922"/>
      <c r="S115" s="922"/>
      <c r="T115" s="923"/>
      <c r="U115" s="923"/>
      <c r="V115" s="933"/>
      <c r="W115" s="933"/>
      <c r="X115" s="933"/>
      <c r="Y115" s="923"/>
      <c r="Z115" s="934"/>
      <c r="AA115" s="923"/>
      <c r="AB115" s="923"/>
      <c r="AC115" s="923"/>
      <c r="AD115" s="923"/>
      <c r="AE115" s="923"/>
      <c r="AF115" s="923"/>
      <c r="AG115" s="923"/>
      <c r="AH115" s="923"/>
      <c r="AI115" s="923"/>
      <c r="AJ115" s="924"/>
      <c r="AK115" s="924"/>
      <c r="AL115" s="925">
        <v>1</v>
      </c>
    </row>
    <row r="116" spans="1:38" s="627" customFormat="1" ht="30" customHeight="1">
      <c r="A116" s="921"/>
      <c r="B116" s="921"/>
      <c r="C116" s="949"/>
      <c r="D116" s="949" t="s">
        <v>3009</v>
      </c>
      <c r="E116" s="951"/>
      <c r="F116" s="929"/>
      <c r="G116" s="951"/>
      <c r="H116" s="951"/>
      <c r="I116" s="951"/>
      <c r="J116" s="951"/>
      <c r="K116" s="951"/>
      <c r="L116" s="951"/>
      <c r="M116" s="951"/>
      <c r="N116" s="951"/>
      <c r="O116" s="951"/>
      <c r="P116" s="948"/>
      <c r="Q116" s="948"/>
      <c r="R116" s="948"/>
      <c r="S116" s="948"/>
      <c r="T116" s="923"/>
      <c r="U116" s="923"/>
      <c r="V116" s="923"/>
      <c r="W116" s="923"/>
      <c r="X116" s="923"/>
      <c r="Y116" s="933"/>
      <c r="Z116" s="923"/>
      <c r="AA116" s="923"/>
      <c r="AB116" s="923"/>
      <c r="AC116" s="923"/>
      <c r="AD116" s="924"/>
      <c r="AE116" s="924"/>
      <c r="AF116" s="924"/>
      <c r="AG116" s="924"/>
      <c r="AH116" s="924"/>
      <c r="AI116" s="924"/>
      <c r="AJ116" s="924"/>
      <c r="AK116" s="924"/>
      <c r="AL116" s="925">
        <v>1</v>
      </c>
    </row>
    <row r="117" spans="1:38" s="627" customFormat="1" ht="30" customHeight="1">
      <c r="A117" s="921"/>
      <c r="B117" s="921"/>
      <c r="C117" s="949"/>
      <c r="D117" s="960" t="s">
        <v>1769</v>
      </c>
      <c r="E117" s="951"/>
      <c r="F117" s="929"/>
      <c r="G117" s="951"/>
      <c r="H117" s="951"/>
      <c r="I117" s="951"/>
      <c r="J117" s="951"/>
      <c r="K117" s="951"/>
      <c r="L117" s="951"/>
      <c r="M117" s="122" t="s">
        <v>113</v>
      </c>
      <c r="N117" s="123"/>
      <c r="O117" s="124"/>
      <c r="P117" s="923"/>
      <c r="Q117" s="923"/>
      <c r="R117" s="923"/>
      <c r="S117" s="923"/>
      <c r="T117" s="923"/>
      <c r="U117" s="923"/>
      <c r="V117" s="923"/>
      <c r="W117" s="923"/>
      <c r="X117" s="923"/>
      <c r="Y117" s="933"/>
      <c r="Z117" s="923"/>
      <c r="AA117" s="923"/>
      <c r="AB117" s="923"/>
      <c r="AC117" s="923"/>
      <c r="AD117" s="924"/>
      <c r="AE117" s="924"/>
      <c r="AF117" s="924"/>
      <c r="AG117" s="924"/>
      <c r="AH117" s="924"/>
      <c r="AI117" s="924"/>
      <c r="AJ117" s="924"/>
      <c r="AK117" s="924"/>
      <c r="AL117" s="925">
        <v>1</v>
      </c>
    </row>
    <row r="118" spans="1:38" s="627" customFormat="1" ht="30" customHeight="1">
      <c r="A118" s="921"/>
      <c r="B118" s="970" t="s">
        <v>3010</v>
      </c>
      <c r="C118" s="950"/>
      <c r="D118" s="951"/>
      <c r="E118" s="951"/>
      <c r="F118" s="951"/>
      <c r="G118" s="951"/>
      <c r="H118" s="951"/>
      <c r="I118" s="951"/>
      <c r="J118" s="951"/>
      <c r="K118" s="951"/>
      <c r="L118" s="951"/>
      <c r="M118" s="6443" t="s">
        <v>120</v>
      </c>
      <c r="N118" s="126" t="s">
        <v>121</v>
      </c>
      <c r="O118" s="127"/>
      <c r="P118" s="948"/>
      <c r="Q118" s="948"/>
      <c r="R118" s="948"/>
      <c r="S118" s="923"/>
      <c r="T118" s="923"/>
      <c r="U118" s="923"/>
      <c r="V118" s="923"/>
      <c r="W118" s="923"/>
      <c r="X118" s="923"/>
      <c r="Y118" s="933"/>
      <c r="Z118" s="923"/>
      <c r="AA118" s="923"/>
      <c r="AB118" s="923"/>
      <c r="AC118" s="923"/>
      <c r="AD118" s="924"/>
      <c r="AE118" s="924"/>
      <c r="AF118" s="924"/>
      <c r="AG118" s="924"/>
      <c r="AH118" s="924"/>
      <c r="AI118" s="924"/>
      <c r="AJ118" s="924"/>
      <c r="AK118" s="924"/>
      <c r="AL118" s="925">
        <v>1</v>
      </c>
    </row>
    <row r="119" spans="1:38" s="627" customFormat="1" ht="30" customHeight="1">
      <c r="A119" s="921"/>
      <c r="B119" s="972" t="s">
        <v>3011</v>
      </c>
      <c r="C119" s="923"/>
      <c r="D119" s="923"/>
      <c r="E119" s="923"/>
      <c r="F119" s="923"/>
      <c r="G119" s="923"/>
      <c r="H119" s="923"/>
      <c r="I119" s="923"/>
      <c r="J119" s="923"/>
      <c r="K119" s="951"/>
      <c r="L119" s="951"/>
      <c r="M119" s="6443"/>
      <c r="N119" s="126" t="s">
        <v>122</v>
      </c>
      <c r="O119" s="127"/>
      <c r="P119" s="948"/>
      <c r="Q119" s="948"/>
      <c r="R119" s="948"/>
      <c r="S119" s="923"/>
      <c r="T119" s="923"/>
      <c r="U119" s="923"/>
      <c r="V119" s="923"/>
      <c r="W119" s="923"/>
      <c r="X119" s="923"/>
      <c r="Y119" s="933"/>
      <c r="Z119" s="923"/>
      <c r="AA119" s="923"/>
      <c r="AB119" s="948"/>
      <c r="AC119" s="948"/>
      <c r="AD119" s="948"/>
      <c r="AE119" s="948"/>
      <c r="AF119" s="948"/>
      <c r="AG119" s="948"/>
      <c r="AH119" s="948"/>
      <c r="AI119" s="948"/>
      <c r="AJ119" s="948"/>
      <c r="AK119" s="948"/>
      <c r="AL119" s="925">
        <v>1</v>
      </c>
    </row>
    <row r="120" spans="1:38" s="627" customFormat="1" ht="30" customHeight="1">
      <c r="A120" s="921"/>
      <c r="B120" s="972" t="s">
        <v>3012</v>
      </c>
      <c r="C120" s="923"/>
      <c r="D120" s="923"/>
      <c r="E120" s="923"/>
      <c r="F120" s="923"/>
      <c r="G120" s="923"/>
      <c r="H120" s="923"/>
      <c r="I120" s="923"/>
      <c r="J120" s="923"/>
      <c r="K120" s="951"/>
      <c r="L120" s="951"/>
      <c r="M120" s="6443"/>
      <c r="N120" s="126" t="s">
        <v>125</v>
      </c>
      <c r="O120" s="127"/>
      <c r="P120" s="948"/>
      <c r="Q120" s="948"/>
      <c r="R120" s="948"/>
      <c r="S120" s="923"/>
      <c r="T120" s="923"/>
      <c r="U120" s="923"/>
      <c r="V120" s="923"/>
      <c r="W120" s="923"/>
      <c r="X120" s="923"/>
      <c r="Y120" s="933"/>
      <c r="Z120" s="923"/>
      <c r="AA120" s="923"/>
      <c r="AB120" s="948"/>
      <c r="AC120" s="948"/>
      <c r="AD120" s="948"/>
      <c r="AE120" s="948"/>
      <c r="AF120" s="948"/>
      <c r="AG120" s="948"/>
      <c r="AH120" s="948"/>
      <c r="AI120" s="948"/>
      <c r="AJ120" s="948"/>
      <c r="AK120" s="948"/>
      <c r="AL120" s="925">
        <v>1</v>
      </c>
    </row>
    <row r="121" spans="1:38" s="627" customFormat="1" ht="30" customHeight="1">
      <c r="A121" s="921"/>
      <c r="B121" s="974" t="s">
        <v>2430</v>
      </c>
      <c r="C121" s="923"/>
      <c r="D121" s="974" t="s">
        <v>10</v>
      </c>
      <c r="E121" s="923"/>
      <c r="F121" s="923"/>
      <c r="G121" s="923"/>
      <c r="H121" s="923"/>
      <c r="I121" s="923"/>
      <c r="J121" s="923"/>
      <c r="K121" s="951"/>
      <c r="L121" s="951"/>
      <c r="M121" s="6443"/>
      <c r="N121" s="126" t="s">
        <v>127</v>
      </c>
      <c r="O121" s="127"/>
      <c r="P121" s="948"/>
      <c r="Q121" s="948"/>
      <c r="R121" s="948"/>
      <c r="S121" s="923"/>
      <c r="T121" s="923"/>
      <c r="U121" s="923"/>
      <c r="V121" s="923"/>
      <c r="W121" s="923"/>
      <c r="X121" s="923"/>
      <c r="Y121" s="933"/>
      <c r="Z121" s="923"/>
      <c r="AA121" s="923"/>
      <c r="AB121" s="948"/>
      <c r="AC121" s="948"/>
      <c r="AD121" s="948"/>
      <c r="AE121" s="948"/>
      <c r="AF121" s="948"/>
      <c r="AG121" s="948"/>
      <c r="AH121" s="948"/>
      <c r="AI121" s="948"/>
      <c r="AJ121" s="948"/>
      <c r="AK121" s="948"/>
      <c r="AL121" s="925">
        <v>1</v>
      </c>
    </row>
    <row r="122" spans="1:38" s="627" customFormat="1" ht="30" customHeight="1">
      <c r="A122" s="921"/>
      <c r="B122" s="972" t="s">
        <v>3013</v>
      </c>
      <c r="C122" s="923"/>
      <c r="D122" s="923"/>
      <c r="E122" s="923"/>
      <c r="F122" s="923"/>
      <c r="G122" s="923"/>
      <c r="H122" s="923"/>
      <c r="I122" s="923"/>
      <c r="J122" s="923"/>
      <c r="K122" s="951"/>
      <c r="L122" s="951"/>
      <c r="M122" s="6443"/>
      <c r="N122" s="126" t="s">
        <v>130</v>
      </c>
      <c r="O122" s="127"/>
      <c r="P122" s="948"/>
      <c r="Q122" s="948"/>
      <c r="R122" s="948"/>
      <c r="S122" s="923"/>
      <c r="T122" s="923"/>
      <c r="U122" s="923"/>
      <c r="V122" s="923"/>
      <c r="W122" s="923"/>
      <c r="X122" s="923"/>
      <c r="Y122" s="933"/>
      <c r="Z122" s="923"/>
      <c r="AA122" s="923"/>
      <c r="AB122" s="948"/>
      <c r="AC122" s="948"/>
      <c r="AD122" s="948"/>
      <c r="AE122" s="948"/>
      <c r="AF122" s="948"/>
      <c r="AG122" s="948"/>
      <c r="AH122" s="948"/>
      <c r="AI122" s="948"/>
      <c r="AJ122" s="948"/>
      <c r="AK122" s="948"/>
      <c r="AL122" s="925">
        <v>1</v>
      </c>
    </row>
    <row r="123" spans="1:38" s="627" customFormat="1" ht="30" customHeight="1">
      <c r="A123" s="921"/>
      <c r="B123" s="972" t="s">
        <v>3014</v>
      </c>
      <c r="C123" s="923"/>
      <c r="D123" s="923"/>
      <c r="E123" s="923"/>
      <c r="F123" s="923"/>
      <c r="G123" s="923"/>
      <c r="H123" s="923"/>
      <c r="I123" s="923"/>
      <c r="J123" s="923"/>
      <c r="K123" s="951"/>
      <c r="L123" s="951"/>
      <c r="M123" s="6444"/>
      <c r="N123" s="131" t="s">
        <v>133</v>
      </c>
      <c r="O123" s="132"/>
      <c r="P123" s="948"/>
      <c r="Q123" s="948"/>
      <c r="R123" s="948"/>
      <c r="S123" s="923"/>
      <c r="T123" s="923"/>
      <c r="U123" s="923"/>
      <c r="V123" s="923"/>
      <c r="W123" s="923"/>
      <c r="X123" s="923"/>
      <c r="Y123" s="933"/>
      <c r="Z123" s="923"/>
      <c r="AA123" s="923"/>
      <c r="AB123" s="948"/>
      <c r="AC123" s="948"/>
      <c r="AD123" s="948"/>
      <c r="AE123" s="948"/>
      <c r="AF123" s="948"/>
      <c r="AG123" s="948"/>
      <c r="AH123" s="948"/>
      <c r="AI123" s="948"/>
      <c r="AJ123" s="948"/>
      <c r="AK123" s="948"/>
      <c r="AL123" s="925">
        <v>1</v>
      </c>
    </row>
    <row r="124" spans="1:38" s="627" customFormat="1" ht="30" customHeight="1">
      <c r="A124" s="921"/>
      <c r="B124" s="972" t="s">
        <v>3015</v>
      </c>
      <c r="C124" s="923"/>
      <c r="D124" s="923"/>
      <c r="E124" s="923"/>
      <c r="F124" s="923"/>
      <c r="G124" s="923"/>
      <c r="H124" s="923"/>
      <c r="I124" s="923"/>
      <c r="J124" s="923"/>
      <c r="K124" s="951"/>
      <c r="L124" s="951"/>
      <c r="M124" s="951"/>
      <c r="N124" s="951"/>
      <c r="O124" s="951"/>
      <c r="P124" s="951"/>
      <c r="Q124" s="948"/>
      <c r="R124" s="948"/>
      <c r="S124" s="923"/>
      <c r="T124" s="923"/>
      <c r="U124" s="923"/>
      <c r="V124" s="923"/>
      <c r="W124" s="923"/>
      <c r="X124" s="923"/>
      <c r="Y124" s="933"/>
      <c r="Z124" s="923"/>
      <c r="AA124" s="923"/>
      <c r="AB124" s="948"/>
      <c r="AC124" s="948"/>
      <c r="AD124" s="948"/>
      <c r="AE124" s="948"/>
      <c r="AF124" s="948"/>
      <c r="AG124" s="948"/>
      <c r="AH124" s="948"/>
      <c r="AI124" s="948"/>
      <c r="AJ124" s="948"/>
      <c r="AK124" s="948"/>
      <c r="AL124" s="925">
        <v>1</v>
      </c>
    </row>
    <row r="125" spans="1:38" s="627" customFormat="1" ht="30" customHeight="1">
      <c r="A125" s="921"/>
      <c r="B125" s="923"/>
      <c r="C125" s="923"/>
      <c r="D125" s="923"/>
      <c r="E125" s="923"/>
      <c r="F125" s="923"/>
      <c r="G125" s="923"/>
      <c r="H125" s="923"/>
      <c r="I125" s="923"/>
      <c r="J125" s="923"/>
      <c r="K125" s="951"/>
      <c r="L125" s="951"/>
      <c r="M125" s="951"/>
      <c r="N125" s="951"/>
      <c r="O125" s="951"/>
      <c r="P125" s="951"/>
      <c r="Q125" s="948"/>
      <c r="R125" s="948"/>
      <c r="S125" s="923"/>
      <c r="T125" s="923"/>
      <c r="U125" s="923"/>
      <c r="V125" s="923"/>
      <c r="W125" s="923"/>
      <c r="X125" s="923"/>
      <c r="Y125" s="933"/>
      <c r="Z125" s="923"/>
      <c r="AA125" s="923"/>
      <c r="AB125" s="948"/>
      <c r="AC125" s="948"/>
      <c r="AD125" s="948"/>
      <c r="AE125" s="948"/>
      <c r="AF125" s="948"/>
      <c r="AG125" s="948"/>
      <c r="AH125" s="948"/>
      <c r="AI125" s="948"/>
      <c r="AJ125" s="948"/>
      <c r="AK125" s="948"/>
      <c r="AL125" s="925">
        <v>1</v>
      </c>
    </row>
    <row r="126" spans="1:38" s="627" customFormat="1" ht="30" customHeight="1">
      <c r="A126" s="921"/>
      <c r="B126" s="949"/>
      <c r="C126" s="950"/>
      <c r="D126" s="951"/>
      <c r="E126" s="951"/>
      <c r="F126" s="951"/>
      <c r="G126" s="951"/>
      <c r="H126" s="951"/>
      <c r="I126" s="951"/>
      <c r="J126" s="951"/>
      <c r="K126" s="951"/>
      <c r="L126" s="951"/>
      <c r="M126" s="951"/>
      <c r="N126" s="951"/>
      <c r="O126" s="951"/>
      <c r="P126" s="948"/>
      <c r="Q126" s="948"/>
      <c r="R126" s="948"/>
      <c r="S126" s="948"/>
      <c r="T126" s="948"/>
      <c r="U126" s="948"/>
      <c r="V126" s="948"/>
      <c r="W126" s="948"/>
      <c r="X126" s="948"/>
      <c r="Y126" s="948"/>
      <c r="Z126" s="948"/>
      <c r="AA126" s="948"/>
      <c r="AB126" s="948"/>
      <c r="AC126" s="948"/>
      <c r="AD126" s="948"/>
      <c r="AE126" s="948"/>
      <c r="AF126" s="948"/>
      <c r="AG126" s="948"/>
      <c r="AH126" s="948"/>
      <c r="AI126" s="948"/>
      <c r="AJ126" s="948"/>
      <c r="AK126" s="948"/>
      <c r="AL126" s="925">
        <v>1</v>
      </c>
    </row>
    <row r="127" spans="1:38" s="627" customFormat="1" ht="30" customHeight="1">
      <c r="A127" s="921"/>
      <c r="B127" s="977"/>
      <c r="C127" s="978" t="s">
        <v>2441</v>
      </c>
      <c r="D127" s="978"/>
      <c r="E127" s="978"/>
      <c r="F127" s="979"/>
      <c r="G127" s="979"/>
      <c r="H127" s="979"/>
      <c r="I127" s="979"/>
      <c r="J127" s="979"/>
      <c r="K127" s="979"/>
      <c r="L127" s="979"/>
      <c r="M127" s="979"/>
      <c r="N127" s="977"/>
      <c r="O127" s="977"/>
      <c r="P127" s="977"/>
      <c r="Q127" s="948"/>
      <c r="R127" s="948"/>
      <c r="S127" s="948"/>
      <c r="T127" s="948"/>
      <c r="U127" s="948"/>
      <c r="V127" s="948"/>
      <c r="W127" s="948"/>
      <c r="X127" s="948"/>
      <c r="Y127" s="948"/>
      <c r="Z127" s="948"/>
      <c r="AA127" s="948"/>
      <c r="AB127" s="948"/>
      <c r="AC127" s="948"/>
      <c r="AD127" s="948"/>
      <c r="AE127" s="948"/>
      <c r="AF127" s="948"/>
      <c r="AG127" s="948"/>
      <c r="AH127" s="948"/>
      <c r="AI127" s="924"/>
      <c r="AJ127" s="924"/>
      <c r="AK127" s="924"/>
      <c r="AL127" s="925">
        <v>1</v>
      </c>
    </row>
    <row r="128" spans="1:38" s="627" customFormat="1" ht="30" customHeight="1">
      <c r="A128" s="921"/>
      <c r="B128" s="980" t="s">
        <v>2442</v>
      </c>
      <c r="C128" s="981"/>
      <c r="D128" s="979"/>
      <c r="E128" s="979"/>
      <c r="F128" s="979"/>
      <c r="G128" s="979"/>
      <c r="H128" s="982" t="s">
        <v>2443</v>
      </c>
      <c r="I128" s="979"/>
      <c r="J128" s="979"/>
      <c r="K128" s="979"/>
      <c r="L128" s="979"/>
      <c r="M128" s="979"/>
      <c r="N128" s="977"/>
      <c r="O128" s="977"/>
      <c r="P128" s="977"/>
      <c r="Q128" s="948"/>
      <c r="R128" s="948"/>
      <c r="S128" s="948"/>
      <c r="T128" s="948"/>
      <c r="U128" s="948"/>
      <c r="V128" s="948"/>
      <c r="W128" s="948"/>
      <c r="X128" s="948"/>
      <c r="Y128" s="948"/>
      <c r="Z128" s="948"/>
      <c r="AA128" s="948"/>
      <c r="AB128" s="948"/>
      <c r="AC128" s="948"/>
      <c r="AD128" s="948"/>
      <c r="AE128" s="948"/>
      <c r="AF128" s="948"/>
      <c r="AG128" s="948"/>
      <c r="AH128" s="948"/>
      <c r="AI128" s="924"/>
      <c r="AJ128" s="924"/>
      <c r="AK128" s="924"/>
      <c r="AL128" s="925">
        <v>1</v>
      </c>
    </row>
    <row r="129" spans="1:40" s="627" customFormat="1" ht="30" customHeight="1">
      <c r="A129" s="921"/>
      <c r="B129" s="980"/>
      <c r="C129" s="983" t="s">
        <v>2444</v>
      </c>
      <c r="D129" s="983"/>
      <c r="E129" s="983"/>
      <c r="F129" s="983"/>
      <c r="G129" s="983"/>
      <c r="H129" s="983"/>
      <c r="I129" s="983"/>
      <c r="J129" s="983"/>
      <c r="K129" s="983"/>
      <c r="L129" s="983"/>
      <c r="M129" s="983"/>
      <c r="N129" s="983"/>
      <c r="O129" s="983"/>
      <c r="P129" s="983"/>
      <c r="Q129" s="948"/>
      <c r="R129" s="948"/>
      <c r="S129" s="948"/>
      <c r="T129" s="948"/>
      <c r="U129" s="948"/>
      <c r="V129" s="948"/>
      <c r="W129" s="948"/>
      <c r="X129" s="948"/>
      <c r="Y129" s="948"/>
      <c r="Z129" s="948"/>
      <c r="AA129" s="948"/>
      <c r="AB129" s="948"/>
      <c r="AC129" s="948"/>
      <c r="AD129" s="948"/>
      <c r="AE129" s="948"/>
      <c r="AF129" s="948"/>
      <c r="AG129" s="948"/>
      <c r="AH129" s="948"/>
      <c r="AI129" s="924"/>
      <c r="AJ129" s="924"/>
      <c r="AK129" s="924"/>
      <c r="AL129" s="925">
        <v>1</v>
      </c>
    </row>
    <row r="130" spans="1:40" s="627" customFormat="1" ht="30" customHeight="1">
      <c r="A130" s="921"/>
      <c r="B130" s="980"/>
      <c r="C130" s="981"/>
      <c r="D130" s="981"/>
      <c r="E130" s="981"/>
      <c r="F130" s="981"/>
      <c r="G130" s="981"/>
      <c r="H130" s="981"/>
      <c r="I130" s="981"/>
      <c r="J130" s="981"/>
      <c r="K130" s="981"/>
      <c r="L130" s="981"/>
      <c r="M130" s="981"/>
      <c r="N130" s="981"/>
      <c r="O130" s="981"/>
      <c r="P130" s="981"/>
      <c r="Q130" s="948"/>
      <c r="R130" s="948"/>
      <c r="S130" s="948"/>
      <c r="T130" s="948"/>
      <c r="U130" s="948"/>
      <c r="V130" s="948"/>
      <c r="W130" s="948"/>
      <c r="X130" s="948"/>
      <c r="Y130" s="948"/>
      <c r="Z130" s="948"/>
      <c r="AA130" s="948"/>
      <c r="AB130" s="948"/>
      <c r="AC130" s="948"/>
      <c r="AD130" s="948"/>
      <c r="AE130" s="948"/>
      <c r="AF130" s="948"/>
      <c r="AG130" s="948"/>
      <c r="AH130" s="948"/>
      <c r="AI130" s="924"/>
      <c r="AJ130" s="924"/>
      <c r="AK130" s="924"/>
      <c r="AL130" s="925">
        <v>1</v>
      </c>
    </row>
    <row r="131" spans="1:40" s="627" customFormat="1" ht="30" customHeight="1">
      <c r="A131" s="921"/>
      <c r="B131" s="949"/>
      <c r="C131" s="950"/>
      <c r="D131" s="951"/>
      <c r="E131" s="951"/>
      <c r="F131" s="951"/>
      <c r="G131" s="951"/>
      <c r="H131" s="951"/>
      <c r="I131" s="951"/>
      <c r="J131" s="951"/>
      <c r="K131" s="951"/>
      <c r="L131" s="951"/>
      <c r="M131" s="951"/>
      <c r="N131" s="951"/>
      <c r="O131" s="951"/>
      <c r="P131" s="948"/>
      <c r="Q131" s="948"/>
      <c r="R131" s="948"/>
      <c r="S131" s="948"/>
      <c r="T131" s="948"/>
      <c r="U131" s="948"/>
      <c r="V131" s="948"/>
      <c r="W131" s="948"/>
      <c r="X131" s="948"/>
      <c r="Y131" s="948"/>
      <c r="Z131" s="948"/>
      <c r="AA131" s="948"/>
      <c r="AB131" s="948"/>
      <c r="AC131" s="948"/>
      <c r="AD131" s="948"/>
      <c r="AE131" s="948"/>
      <c r="AF131" s="948"/>
      <c r="AG131" s="948"/>
      <c r="AH131" s="948"/>
      <c r="AI131" s="924"/>
      <c r="AJ131" s="924"/>
      <c r="AK131" s="924"/>
      <c r="AL131" s="925">
        <v>1</v>
      </c>
    </row>
    <row r="132" spans="1:40" ht="30" customHeight="1">
      <c r="A132" s="923"/>
      <c r="B132" s="923"/>
      <c r="C132" s="923"/>
      <c r="D132" s="923"/>
      <c r="E132" s="923"/>
      <c r="F132" s="923"/>
      <c r="G132" s="923"/>
      <c r="H132" s="923"/>
      <c r="I132" s="923"/>
      <c r="J132" s="923"/>
      <c r="K132" s="923"/>
      <c r="L132" s="923"/>
      <c r="M132" s="923"/>
      <c r="N132" s="923"/>
      <c r="O132" s="923"/>
      <c r="P132" s="923"/>
      <c r="Q132" s="948"/>
      <c r="R132" s="948"/>
      <c r="S132" s="948"/>
      <c r="T132" s="923"/>
      <c r="U132" s="923"/>
      <c r="V132" s="923"/>
      <c r="W132" s="923"/>
      <c r="X132" s="923"/>
      <c r="Y132" s="933"/>
      <c r="Z132" s="923"/>
      <c r="AA132" s="923"/>
      <c r="AB132" s="923"/>
      <c r="AC132" s="923"/>
      <c r="AD132" s="924"/>
      <c r="AE132" s="924"/>
      <c r="AF132" s="924"/>
      <c r="AG132" s="924"/>
      <c r="AH132" s="924"/>
      <c r="AI132" s="924"/>
      <c r="AJ132" s="924"/>
      <c r="AK132" s="924"/>
      <c r="AL132" s="925">
        <v>1</v>
      </c>
    </row>
    <row r="133" spans="1:40" s="984" customFormat="1" ht="39.950000000000003" customHeight="1">
      <c r="A133" s="921"/>
      <c r="B133" s="985"/>
      <c r="C133" s="949" t="s">
        <v>2972</v>
      </c>
      <c r="D133" s="949"/>
      <c r="E133" s="923"/>
      <c r="F133" s="923"/>
      <c r="G133" s="923"/>
      <c r="H133" s="923"/>
      <c r="I133" s="923"/>
      <c r="J133" s="923"/>
      <c r="K133" s="923"/>
      <c r="L133" s="923"/>
      <c r="M133" s="923"/>
      <c r="N133" s="923"/>
      <c r="O133" s="923"/>
      <c r="P133" s="923"/>
      <c r="Q133" s="923"/>
      <c r="R133" s="923"/>
      <c r="S133" s="923"/>
      <c r="T133" s="923"/>
      <c r="U133" s="923"/>
      <c r="V133" s="923"/>
      <c r="W133" s="923"/>
      <c r="X133" s="923"/>
      <c r="Y133" s="923"/>
      <c r="Z133" s="923"/>
      <c r="AA133" s="923"/>
      <c r="AB133" s="923"/>
      <c r="AC133" s="923"/>
      <c r="AD133" s="923"/>
      <c r="AE133" s="923"/>
      <c r="AF133" s="923"/>
      <c r="AG133" s="923"/>
      <c r="AH133" s="923"/>
      <c r="AI133" s="924"/>
      <c r="AJ133" s="924"/>
      <c r="AK133" s="924"/>
      <c r="AL133" s="925">
        <v>1</v>
      </c>
      <c r="AM133" s="627"/>
      <c r="AN133" s="627"/>
    </row>
    <row r="134" spans="1:40" s="984" customFormat="1" ht="39.950000000000003" customHeight="1">
      <c r="A134" s="921"/>
      <c r="B134" s="936" t="s">
        <v>2973</v>
      </c>
      <c r="C134" s="930"/>
      <c r="D134" s="921"/>
      <c r="E134" s="921"/>
      <c r="F134" s="921"/>
      <c r="G134" s="921"/>
      <c r="H134" s="921"/>
      <c r="I134" s="986"/>
      <c r="J134" s="921"/>
      <c r="K134" s="921"/>
      <c r="L134" s="921"/>
      <c r="M134" s="921"/>
      <c r="N134" s="921"/>
      <c r="O134" s="986"/>
      <c r="P134" s="986"/>
      <c r="Q134" s="986"/>
      <c r="R134" s="986"/>
      <c r="S134" s="986"/>
      <c r="T134" s="923"/>
      <c r="U134" s="923"/>
      <c r="V134" s="923"/>
      <c r="W134" s="923"/>
      <c r="X134" s="923"/>
      <c r="Y134" s="923"/>
      <c r="Z134" s="923"/>
      <c r="AA134" s="923"/>
      <c r="AB134" s="923"/>
      <c r="AC134" s="923"/>
      <c r="AD134" s="923"/>
      <c r="AE134" s="923"/>
      <c r="AF134" s="923"/>
      <c r="AG134" s="923"/>
      <c r="AH134" s="923"/>
      <c r="AI134" s="924"/>
      <c r="AJ134" s="924"/>
      <c r="AK134" s="924"/>
      <c r="AL134" s="925">
        <v>1</v>
      </c>
      <c r="AM134" s="627"/>
      <c r="AN134" s="627"/>
    </row>
    <row r="135" spans="1:40" s="984" customFormat="1" ht="39.950000000000003" customHeight="1">
      <c r="A135" s="921"/>
      <c r="B135" s="936"/>
      <c r="C135" s="930"/>
      <c r="D135" s="921"/>
      <c r="E135" s="921"/>
      <c r="F135" s="921"/>
      <c r="G135" s="921"/>
      <c r="H135" s="921"/>
      <c r="I135" s="986"/>
      <c r="J135" s="921"/>
      <c r="K135" s="921"/>
      <c r="L135" s="921"/>
      <c r="M135" s="921"/>
      <c r="N135" s="921"/>
      <c r="O135" s="986"/>
      <c r="P135" s="986"/>
      <c r="Q135" s="986"/>
      <c r="R135" s="986"/>
      <c r="S135" s="986"/>
      <c r="T135" s="923"/>
      <c r="U135" s="923"/>
      <c r="V135" s="923"/>
      <c r="W135" s="923"/>
      <c r="X135" s="923"/>
      <c r="Y135" s="923"/>
      <c r="Z135" s="923"/>
      <c r="AA135" s="923"/>
      <c r="AB135" s="923"/>
      <c r="AC135" s="923"/>
      <c r="AD135" s="923"/>
      <c r="AE135" s="923"/>
      <c r="AF135" s="923"/>
      <c r="AG135" s="923"/>
      <c r="AH135" s="923"/>
      <c r="AI135" s="924"/>
      <c r="AJ135" s="924"/>
      <c r="AK135" s="924"/>
      <c r="AL135" s="925">
        <v>1</v>
      </c>
      <c r="AM135" s="627"/>
      <c r="AN135" s="627"/>
    </row>
    <row r="136" spans="1:40" ht="25.5">
      <c r="A136" s="921"/>
      <c r="B136" s="987"/>
      <c r="C136" s="988"/>
      <c r="D136" s="988"/>
      <c r="E136" s="988"/>
      <c r="F136" s="989"/>
      <c r="G136" s="989"/>
      <c r="H136" s="989"/>
      <c r="I136" s="989"/>
      <c r="J136" s="923"/>
      <c r="K136" s="923"/>
      <c r="L136" s="923"/>
      <c r="M136" s="923"/>
      <c r="N136" s="923"/>
      <c r="O136" s="923"/>
      <c r="P136" s="924"/>
      <c r="Q136" s="986"/>
      <c r="R136" s="986"/>
      <c r="S136" s="986"/>
      <c r="T136" s="923"/>
      <c r="U136" s="923"/>
      <c r="V136" s="923"/>
      <c r="W136" s="923"/>
      <c r="X136" s="923"/>
      <c r="Y136" s="923"/>
      <c r="Z136" s="923"/>
      <c r="AA136" s="923"/>
      <c r="AB136" s="923"/>
      <c r="AC136" s="923"/>
      <c r="AD136" s="923"/>
      <c r="AE136" s="923"/>
      <c r="AF136" s="923"/>
      <c r="AG136" s="923"/>
      <c r="AH136" s="923"/>
      <c r="AI136" s="924"/>
      <c r="AJ136" s="924"/>
      <c r="AK136" s="924"/>
      <c r="AL136" s="925">
        <v>1</v>
      </c>
    </row>
    <row r="137" spans="1:40">
      <c r="A137" s="921"/>
      <c r="B137" s="694">
        <v>18</v>
      </c>
      <c r="C137" s="694">
        <v>19</v>
      </c>
      <c r="D137" s="694">
        <v>15</v>
      </c>
      <c r="E137" s="694">
        <v>11</v>
      </c>
      <c r="F137" s="694">
        <v>16</v>
      </c>
      <c r="G137" s="694">
        <v>11</v>
      </c>
      <c r="H137" s="694">
        <v>21</v>
      </c>
      <c r="I137" s="694">
        <v>17</v>
      </c>
      <c r="J137" s="694">
        <v>11</v>
      </c>
      <c r="K137" s="694">
        <v>11</v>
      </c>
      <c r="L137" s="694">
        <v>11</v>
      </c>
      <c r="M137" s="694">
        <v>18</v>
      </c>
      <c r="N137" s="694">
        <v>11</v>
      </c>
      <c r="O137" s="694">
        <v>19</v>
      </c>
      <c r="P137" s="694">
        <v>13</v>
      </c>
      <c r="Q137" s="986"/>
      <c r="R137" s="986"/>
      <c r="S137" s="986"/>
      <c r="T137" s="923"/>
      <c r="U137" s="923"/>
      <c r="V137" s="923"/>
      <c r="W137" s="923"/>
      <c r="X137" s="923"/>
      <c r="Y137" s="923"/>
      <c r="Z137" s="923"/>
      <c r="AA137" s="923"/>
      <c r="AB137" s="923"/>
      <c r="AC137" s="923"/>
      <c r="AD137" s="923"/>
      <c r="AE137" s="923"/>
      <c r="AF137" s="923"/>
      <c r="AG137" s="923"/>
      <c r="AH137" s="923"/>
      <c r="AI137" s="924"/>
      <c r="AJ137" s="924"/>
      <c r="AK137" s="924"/>
      <c r="AL137" s="925">
        <v>1</v>
      </c>
    </row>
    <row r="138" spans="1:40" ht="26.25">
      <c r="A138" s="921"/>
      <c r="B138" s="6440" t="s">
        <v>660</v>
      </c>
      <c r="C138" s="6441"/>
      <c r="D138" s="6441"/>
      <c r="E138" s="6441"/>
      <c r="F138" s="6441"/>
      <c r="G138" s="6441"/>
      <c r="H138" s="6441"/>
      <c r="I138" s="6441"/>
      <c r="J138" s="6441"/>
      <c r="K138" s="6441"/>
      <c r="L138" s="6441"/>
      <c r="M138" s="6441"/>
      <c r="N138" s="6441"/>
      <c r="O138" s="6441"/>
      <c r="P138" s="6442"/>
      <c r="Q138" s="986"/>
      <c r="R138" s="986"/>
      <c r="S138" s="986"/>
      <c r="T138" s="923"/>
      <c r="U138" s="923"/>
      <c r="V138" s="923"/>
      <c r="W138" s="923"/>
      <c r="X138" s="923"/>
      <c r="Y138" s="923"/>
      <c r="Z138" s="923"/>
      <c r="AA138" s="923"/>
      <c r="AB138" s="923"/>
      <c r="AC138" s="923"/>
      <c r="AD138" s="923"/>
      <c r="AE138" s="923"/>
      <c r="AF138" s="923"/>
      <c r="AG138" s="923"/>
      <c r="AH138" s="923"/>
      <c r="AI138" s="924"/>
      <c r="AJ138" s="924"/>
      <c r="AK138" s="924"/>
      <c r="AL138" s="925">
        <v>1</v>
      </c>
    </row>
    <row r="139" spans="1:40" ht="25.5">
      <c r="A139" s="921"/>
      <c r="B139" s="559" t="s">
        <v>1468</v>
      </c>
      <c r="C139" s="1190" t="s">
        <v>2995</v>
      </c>
      <c r="D139" s="9"/>
      <c r="E139" s="1159"/>
      <c r="F139" s="990"/>
      <c r="G139" s="1150" t="s">
        <v>2996</v>
      </c>
      <c r="H139" s="1168" t="s">
        <v>3002</v>
      </c>
      <c r="I139"/>
      <c r="J139" s="6435" t="s">
        <v>2997</v>
      </c>
      <c r="K139" s="6435"/>
      <c r="L139" s="1168" t="s">
        <v>3007</v>
      </c>
      <c r="M139" s="991"/>
      <c r="N139" s="1164">
        <f>C140*B140</f>
        <v>1250</v>
      </c>
      <c r="O139" s="1165">
        <f>(C141*B140)/1000</f>
        <v>162.5</v>
      </c>
      <c r="P139" s="1172"/>
      <c r="Q139" s="986"/>
      <c r="R139" s="986"/>
      <c r="S139" s="986"/>
      <c r="T139" s="923"/>
      <c r="U139" s="923"/>
      <c r="V139" s="923"/>
      <c r="W139" s="923"/>
      <c r="X139" s="923"/>
      <c r="Y139" s="923"/>
      <c r="Z139" s="923"/>
      <c r="AA139" s="923"/>
      <c r="AB139" s="923"/>
      <c r="AC139" s="923"/>
      <c r="AD139" s="923"/>
      <c r="AE139" s="923"/>
      <c r="AF139" s="923"/>
      <c r="AG139" s="923"/>
      <c r="AH139" s="923"/>
      <c r="AI139" s="924"/>
      <c r="AJ139" s="924"/>
      <c r="AK139" s="924"/>
      <c r="AL139" s="925">
        <v>1</v>
      </c>
    </row>
    <row r="140" spans="1:40" ht="21">
      <c r="A140" s="921"/>
      <c r="B140" s="6445">
        <v>1250</v>
      </c>
      <c r="C140" s="564">
        <v>1</v>
      </c>
      <c r="D140" s="1169" t="str">
        <f>"&lt; Nb of "&amp;J139&amp;" por persona "</f>
        <v xml:space="preserve">&lt; Nb of rebanadas por persona </v>
      </c>
      <c r="E140" s="1163"/>
      <c r="F140" s="9"/>
      <c r="G140" s="565">
        <v>7</v>
      </c>
      <c r="H140" s="1169" t="str">
        <f>"&lt; Nb "&amp;J139&amp;" in 1 " &amp;G139</f>
        <v>&lt; Nb rebanadas in 1 Barqueta(s)</v>
      </c>
      <c r="I140" s="992"/>
      <c r="J140" s="1170" t="str">
        <f>IF(OR(G140="",N139=0),"",INT(N139/G140) &amp; " " &amp; G139 &amp; " de " &amp; G140 &amp; " " &amp; J139 &amp; IF(MOD(N139,G140)&gt;0," + 1 " &amp; G139 &amp; " de " &amp; TEXT(MOD(N139,G140),"0.00") &amp; " " &amp; J139,""))</f>
        <v>178 Barqueta(s) de 7 rebanadas + 1 Barqueta(s) de 4.00 rebanadas</v>
      </c>
      <c r="K140" s="1160"/>
      <c r="L140" s="1160"/>
      <c r="M140" s="1160"/>
      <c r="N140" s="1160"/>
      <c r="O140" s="1160"/>
      <c r="P140" s="1173"/>
      <c r="Q140" s="986"/>
      <c r="R140" s="986"/>
      <c r="S140" s="986"/>
      <c r="T140" s="923"/>
      <c r="U140" s="923"/>
      <c r="V140" s="923"/>
      <c r="W140" s="923"/>
      <c r="X140" s="923"/>
      <c r="Y140" s="923"/>
      <c r="Z140" s="923"/>
      <c r="AA140" s="923"/>
      <c r="AB140" s="923"/>
      <c r="AC140" s="923"/>
      <c r="AD140" s="923"/>
      <c r="AE140" s="923"/>
      <c r="AF140" s="923"/>
      <c r="AG140" s="923"/>
      <c r="AH140" s="923"/>
      <c r="AI140" s="924"/>
      <c r="AJ140" s="924"/>
      <c r="AK140" s="924"/>
      <c r="AL140" s="925">
        <v>1</v>
      </c>
    </row>
    <row r="141" spans="1:40" ht="21">
      <c r="A141" s="921"/>
      <c r="B141" s="6445"/>
      <c r="C141" s="1167">
        <v>130</v>
      </c>
      <c r="D141" s="1188" t="s">
        <v>3008</v>
      </c>
      <c r="E141" s="993"/>
      <c r="F141" s="9"/>
      <c r="G141" s="1166">
        <v>1.3</v>
      </c>
      <c r="H141" s="1149" t="str">
        <f>"&lt; weight per "&amp; G139</f>
        <v>&lt; weight per Barqueta(s)</v>
      </c>
      <c r="I141" s="991"/>
      <c r="J141" s="1171" t="str">
        <f>IF(OR(O139&lt;=0,G141&lt;=0),"",_xlfn.LET(_xlpm.n,ROUND(O139/G141,9),_xlpm.q,INT(_xlpm.n),_xlpm.r,ROUND(O139-_xlpm.q*G141,9),_xlpm.base,_xlpm.q&amp;" "&amp;G139&amp;" de "&amp;TEXT(G141,"0.000")&amp;" kg",IF(_xlpm.r&lt;=0.000000001,_xlpm.base,_xlpm.base&amp;" + 1 "&amp;G139&amp;" de "&amp;TEXT(_xlpm.r,"0.000")&amp;" kg")))</f>
        <v>125 Barqueta(s) de 1.300 kg</v>
      </c>
      <c r="K141" s="1161"/>
      <c r="L141" s="1161"/>
      <c r="M141" s="1161"/>
      <c r="N141" s="1161"/>
      <c r="O141" s="1161"/>
      <c r="P141" s="1174"/>
      <c r="Q141" s="986"/>
      <c r="R141" s="986"/>
      <c r="S141" s="986"/>
      <c r="T141" s="923"/>
      <c r="U141" s="923"/>
      <c r="V141" s="923"/>
      <c r="W141" s="923"/>
      <c r="X141" s="923"/>
      <c r="Y141" s="923"/>
      <c r="Z141" s="923"/>
      <c r="AA141" s="923"/>
      <c r="AB141" s="923"/>
      <c r="AC141" s="923"/>
      <c r="AD141" s="948"/>
      <c r="AE141" s="923"/>
      <c r="AF141" s="923"/>
      <c r="AG141" s="923"/>
      <c r="AH141" s="923"/>
      <c r="AI141" s="924"/>
      <c r="AJ141" s="924"/>
      <c r="AK141" s="924"/>
      <c r="AL141" s="925">
        <v>1</v>
      </c>
    </row>
    <row r="142" spans="1:40" ht="21">
      <c r="A142" s="921"/>
      <c r="B142" s="1175" t="s">
        <v>2998</v>
      </c>
      <c r="C142" s="994"/>
      <c r="D142" s="1044"/>
      <c r="E142" s="1044"/>
      <c r="F142" s="1044"/>
      <c r="G142" s="994"/>
      <c r="H142" s="994"/>
      <c r="I142" s="994"/>
      <c r="J142" s="994"/>
      <c r="K142" s="994"/>
      <c r="L142" s="994"/>
      <c r="M142" s="994"/>
      <c r="N142" s="995"/>
      <c r="O142" s="1162"/>
      <c r="P142" s="1176"/>
      <c r="Q142" s="986"/>
      <c r="R142" s="986"/>
      <c r="S142" s="986"/>
      <c r="T142" s="923"/>
      <c r="U142" s="923"/>
      <c r="V142" s="923"/>
      <c r="W142" s="923"/>
      <c r="X142" s="923"/>
      <c r="Y142" s="923"/>
      <c r="Z142" s="923"/>
      <c r="AA142" s="923"/>
      <c r="AB142" s="923"/>
      <c r="AC142" s="923"/>
      <c r="AD142" s="948"/>
      <c r="AE142" s="923"/>
      <c r="AF142" s="923"/>
      <c r="AG142" s="923"/>
      <c r="AH142" s="923"/>
      <c r="AI142" s="924"/>
      <c r="AJ142" s="924"/>
      <c r="AK142" s="924"/>
      <c r="AL142" s="925">
        <v>1</v>
      </c>
    </row>
    <row r="143" spans="1:40" s="627" customFormat="1" ht="21">
      <c r="A143" s="921"/>
      <c r="B143" s="1177"/>
      <c r="C143" s="1178"/>
      <c r="D143" s="1179"/>
      <c r="E143" s="1179"/>
      <c r="F143" s="1180"/>
      <c r="G143" s="1181"/>
      <c r="H143" s="1182"/>
      <c r="I143" s="1183"/>
      <c r="J143" s="1184"/>
      <c r="K143" s="1184"/>
      <c r="L143" s="1184"/>
      <c r="M143" s="1184"/>
      <c r="N143" s="1185"/>
      <c r="O143" s="1186"/>
      <c r="P143" s="1187"/>
      <c r="Q143" s="986"/>
      <c r="R143" s="986"/>
      <c r="S143" s="986"/>
      <c r="T143" s="923"/>
      <c r="U143" s="923"/>
      <c r="V143" s="923"/>
      <c r="W143" s="923"/>
      <c r="X143" s="923"/>
      <c r="Y143" s="923"/>
      <c r="Z143" s="923"/>
      <c r="AA143" s="923"/>
      <c r="AB143" s="923"/>
      <c r="AC143" s="923"/>
      <c r="AD143" s="948"/>
      <c r="AE143" s="923"/>
      <c r="AF143" s="923"/>
      <c r="AG143" s="923"/>
      <c r="AH143" s="923"/>
      <c r="AI143" s="924"/>
      <c r="AJ143" s="924"/>
      <c r="AK143" s="924"/>
      <c r="AL143" s="925">
        <v>1</v>
      </c>
    </row>
    <row r="144" spans="1:40" s="627" customFormat="1" ht="27">
      <c r="A144" s="921"/>
      <c r="B144" s="996"/>
      <c r="C144" s="921"/>
      <c r="D144" s="921"/>
      <c r="E144" s="921"/>
      <c r="F144" s="921"/>
      <c r="G144" s="921"/>
      <c r="H144" s="921"/>
      <c r="I144" s="986"/>
      <c r="J144" s="921"/>
      <c r="K144" s="921"/>
      <c r="L144" s="921"/>
      <c r="M144" s="921"/>
      <c r="N144" s="921"/>
      <c r="O144" s="986"/>
      <c r="P144" s="986"/>
      <c r="Q144" s="986"/>
      <c r="R144" s="986"/>
      <c r="S144" s="986"/>
      <c r="T144" s="923"/>
      <c r="U144" s="923"/>
      <c r="V144" s="923"/>
      <c r="W144" s="923"/>
      <c r="X144" s="923"/>
      <c r="Y144" s="923"/>
      <c r="Z144" s="923"/>
      <c r="AA144" s="923"/>
      <c r="AB144" s="923"/>
      <c r="AC144" s="923"/>
      <c r="AD144" s="948"/>
      <c r="AE144" s="923"/>
      <c r="AF144" s="923"/>
      <c r="AG144" s="923"/>
      <c r="AH144" s="923"/>
      <c r="AI144" s="924"/>
      <c r="AJ144" s="924"/>
      <c r="AK144" s="924"/>
      <c r="AL144" s="925">
        <v>1</v>
      </c>
    </row>
    <row r="145" spans="1:38" s="627" customFormat="1" ht="30" customHeight="1">
      <c r="A145" s="921"/>
      <c r="B145" s="997" t="s">
        <v>2974</v>
      </c>
      <c r="C145" s="998"/>
      <c r="D145" s="998"/>
      <c r="E145" s="998"/>
      <c r="F145" s="998"/>
      <c r="G145" s="998"/>
      <c r="H145" s="998"/>
      <c r="I145" s="998"/>
      <c r="J145" s="998"/>
      <c r="K145" s="951" t="s">
        <v>21</v>
      </c>
      <c r="L145" s="951"/>
      <c r="M145" s="951"/>
      <c r="N145" s="951"/>
      <c r="O145" s="951"/>
      <c r="P145" s="948"/>
      <c r="Q145" s="948"/>
      <c r="R145" s="948"/>
      <c r="S145" s="986"/>
      <c r="T145" s="923"/>
      <c r="U145" s="923"/>
      <c r="V145" s="923"/>
      <c r="W145" s="948"/>
      <c r="X145" s="948"/>
      <c r="Y145" s="948"/>
      <c r="Z145" s="948"/>
      <c r="AA145" s="948"/>
      <c r="AB145" s="948"/>
      <c r="AC145" s="948"/>
      <c r="AD145" s="948"/>
      <c r="AE145" s="948"/>
      <c r="AF145" s="924"/>
      <c r="AG145" s="924"/>
      <c r="AH145" s="924"/>
      <c r="AI145" s="924"/>
      <c r="AJ145" s="924"/>
      <c r="AK145" s="924"/>
      <c r="AL145" s="925">
        <v>1</v>
      </c>
    </row>
    <row r="146" spans="1:38" s="627" customFormat="1" ht="30" customHeight="1">
      <c r="A146" s="921"/>
      <c r="B146" s="999" t="s">
        <v>2975</v>
      </c>
      <c r="C146" s="998"/>
      <c r="D146" s="998"/>
      <c r="E146" s="998"/>
      <c r="F146" s="998"/>
      <c r="G146" s="998"/>
      <c r="H146" s="998"/>
      <c r="I146" s="998"/>
      <c r="J146" s="998"/>
      <c r="K146" s="951" t="s">
        <v>21</v>
      </c>
      <c r="L146" s="951"/>
      <c r="M146" s="951"/>
      <c r="N146" s="951"/>
      <c r="O146" s="951"/>
      <c r="P146" s="948"/>
      <c r="Q146" s="948"/>
      <c r="R146" s="948"/>
      <c r="S146" s="986"/>
      <c r="T146" s="923"/>
      <c r="U146" s="923"/>
      <c r="V146" s="923"/>
      <c r="W146" s="948"/>
      <c r="X146" s="948"/>
      <c r="Y146" s="948"/>
      <c r="Z146" s="948"/>
      <c r="AA146" s="948"/>
      <c r="AB146" s="948"/>
      <c r="AC146" s="948"/>
      <c r="AD146" s="948"/>
      <c r="AE146" s="948"/>
      <c r="AF146" s="924"/>
      <c r="AG146" s="924"/>
      <c r="AH146" s="924"/>
      <c r="AI146" s="924"/>
      <c r="AJ146" s="924"/>
      <c r="AK146" s="924"/>
      <c r="AL146" s="925">
        <v>1</v>
      </c>
    </row>
    <row r="147" spans="1:38" s="627" customFormat="1" ht="30" customHeight="1">
      <c r="A147" s="921"/>
      <c r="B147" s="999" t="s">
        <v>2976</v>
      </c>
      <c r="C147" s="998"/>
      <c r="D147" s="998"/>
      <c r="E147" s="998"/>
      <c r="F147" s="998"/>
      <c r="G147" s="998"/>
      <c r="H147" s="998"/>
      <c r="I147" s="998"/>
      <c r="J147" s="998"/>
      <c r="K147" s="951" t="s">
        <v>21</v>
      </c>
      <c r="L147" s="951"/>
      <c r="M147" s="951"/>
      <c r="N147" s="951"/>
      <c r="O147" s="951"/>
      <c r="P147" s="948"/>
      <c r="Q147" s="948"/>
      <c r="R147" s="948"/>
      <c r="S147" s="948"/>
      <c r="T147" s="948"/>
      <c r="U147" s="948"/>
      <c r="V147" s="948"/>
      <c r="W147" s="948"/>
      <c r="X147" s="948"/>
      <c r="Y147" s="948"/>
      <c r="Z147" s="948"/>
      <c r="AA147" s="948"/>
      <c r="AB147" s="948"/>
      <c r="AC147" s="948"/>
      <c r="AD147" s="948"/>
      <c r="AE147" s="948"/>
      <c r="AF147" s="924"/>
      <c r="AG147" s="924"/>
      <c r="AH147" s="924"/>
      <c r="AI147" s="924"/>
      <c r="AJ147" s="924"/>
      <c r="AK147" s="924"/>
      <c r="AL147" s="925">
        <v>1</v>
      </c>
    </row>
    <row r="148" spans="1:38" s="627" customFormat="1" ht="30" customHeight="1">
      <c r="A148" s="921"/>
      <c r="B148" s="999" t="s">
        <v>2977</v>
      </c>
      <c r="C148" s="998"/>
      <c r="D148" s="998"/>
      <c r="E148" s="998"/>
      <c r="F148" s="998"/>
      <c r="G148" s="998"/>
      <c r="H148" s="998"/>
      <c r="I148" s="998"/>
      <c r="J148" s="998"/>
      <c r="K148" s="951" t="s">
        <v>21</v>
      </c>
      <c r="L148" s="951"/>
      <c r="M148" s="951"/>
      <c r="N148" s="951"/>
      <c r="O148" s="951"/>
      <c r="P148" s="948"/>
      <c r="Q148" s="948"/>
      <c r="R148" s="948"/>
      <c r="S148" s="948"/>
      <c r="T148" s="948"/>
      <c r="U148" s="948"/>
      <c r="V148" s="948"/>
      <c r="W148" s="948"/>
      <c r="X148" s="948"/>
      <c r="Y148" s="948"/>
      <c r="Z148" s="948"/>
      <c r="AA148" s="948"/>
      <c r="AB148" s="948"/>
      <c r="AC148" s="948"/>
      <c r="AD148" s="948"/>
      <c r="AE148" s="948"/>
      <c r="AF148" s="924"/>
      <c r="AG148" s="924"/>
      <c r="AH148" s="924"/>
      <c r="AI148" s="924"/>
      <c r="AJ148" s="924"/>
      <c r="AK148" s="924"/>
      <c r="AL148" s="925">
        <v>1</v>
      </c>
    </row>
    <row r="149" spans="1:38" s="627" customFormat="1" ht="30" customHeight="1">
      <c r="A149" s="921"/>
      <c r="B149" s="1000" t="s">
        <v>2453</v>
      </c>
      <c r="C149" s="998"/>
      <c r="D149" s="998"/>
      <c r="E149" s="998"/>
      <c r="F149" s="998"/>
      <c r="G149" s="998"/>
      <c r="H149" s="998"/>
      <c r="I149" s="998"/>
      <c r="J149" s="998"/>
      <c r="K149" s="951" t="s">
        <v>21</v>
      </c>
      <c r="L149" s="951"/>
      <c r="M149" s="951"/>
      <c r="N149" s="951"/>
      <c r="O149" s="951"/>
      <c r="P149" s="948"/>
      <c r="Q149" s="948"/>
      <c r="R149" s="948"/>
      <c r="S149" s="948"/>
      <c r="T149" s="948"/>
      <c r="U149" s="948"/>
      <c r="V149" s="948"/>
      <c r="W149" s="948"/>
      <c r="X149" s="948"/>
      <c r="Y149" s="948"/>
      <c r="Z149" s="948"/>
      <c r="AA149" s="948"/>
      <c r="AB149" s="948"/>
      <c r="AC149" s="948"/>
      <c r="AD149" s="948"/>
      <c r="AE149" s="948"/>
      <c r="AF149" s="924"/>
      <c r="AG149" s="924"/>
      <c r="AH149" s="924"/>
      <c r="AI149" s="924"/>
      <c r="AJ149" s="924"/>
      <c r="AK149" s="924"/>
      <c r="AL149" s="925">
        <v>1</v>
      </c>
    </row>
    <row r="150" spans="1:38" s="627" customFormat="1" ht="30" customHeight="1">
      <c r="A150" s="921"/>
      <c r="B150" s="999" t="s">
        <v>2978</v>
      </c>
      <c r="C150" s="998"/>
      <c r="D150" s="998"/>
      <c r="E150" s="998"/>
      <c r="F150" s="998"/>
      <c r="G150" s="998"/>
      <c r="H150" s="998"/>
      <c r="I150" s="998"/>
      <c r="J150" s="998"/>
      <c r="K150" s="951" t="s">
        <v>21</v>
      </c>
      <c r="L150" s="951"/>
      <c r="M150" s="951"/>
      <c r="N150" s="951"/>
      <c r="O150" s="951"/>
      <c r="P150" s="948"/>
      <c r="Q150" s="948"/>
      <c r="R150" s="948"/>
      <c r="S150" s="948"/>
      <c r="T150" s="948"/>
      <c r="U150" s="948"/>
      <c r="V150" s="948"/>
      <c r="W150" s="948"/>
      <c r="X150" s="948"/>
      <c r="Y150" s="948"/>
      <c r="Z150" s="948"/>
      <c r="AA150" s="948"/>
      <c r="AB150" s="948"/>
      <c r="AC150" s="948"/>
      <c r="AD150" s="948"/>
      <c r="AE150" s="948"/>
      <c r="AF150" s="924"/>
      <c r="AG150" s="924"/>
      <c r="AH150" s="924"/>
      <c r="AI150" s="924"/>
      <c r="AJ150" s="924"/>
      <c r="AK150" s="924"/>
      <c r="AL150" s="925">
        <v>1</v>
      </c>
    </row>
    <row r="151" spans="1:38" s="627" customFormat="1" ht="30" customHeight="1">
      <c r="A151" s="921"/>
      <c r="B151" s="1001" t="s">
        <v>2455</v>
      </c>
      <c r="C151" s="998"/>
      <c r="D151" s="998"/>
      <c r="E151" s="998"/>
      <c r="F151" s="998"/>
      <c r="G151" s="998"/>
      <c r="H151" s="998"/>
      <c r="I151" s="998"/>
      <c r="J151" s="998"/>
      <c r="K151" s="951" t="s">
        <v>21</v>
      </c>
      <c r="L151" s="951"/>
      <c r="M151" s="951"/>
      <c r="N151" s="951"/>
      <c r="O151" s="951"/>
      <c r="P151" s="948"/>
      <c r="Q151" s="948"/>
      <c r="R151" s="948"/>
      <c r="S151" s="948"/>
      <c r="T151" s="948"/>
      <c r="U151" s="948"/>
      <c r="V151" s="948"/>
      <c r="W151" s="948"/>
      <c r="X151" s="948"/>
      <c r="Y151" s="948"/>
      <c r="Z151" s="948"/>
      <c r="AA151" s="948"/>
      <c r="AB151" s="948"/>
      <c r="AC151" s="948"/>
      <c r="AD151" s="948"/>
      <c r="AE151" s="948"/>
      <c r="AF151" s="924"/>
      <c r="AG151" s="924"/>
      <c r="AH151" s="924"/>
      <c r="AI151" s="924"/>
      <c r="AJ151" s="924"/>
      <c r="AK151" s="924"/>
      <c r="AL151" s="925">
        <v>1</v>
      </c>
    </row>
    <row r="152" spans="1:38" s="627" customFormat="1" ht="30" customHeight="1">
      <c r="A152" s="921"/>
      <c r="B152" s="999" t="s">
        <v>2979</v>
      </c>
      <c r="C152" s="998"/>
      <c r="D152" s="998"/>
      <c r="E152" s="998"/>
      <c r="F152" s="998"/>
      <c r="G152" s="998"/>
      <c r="H152" s="998"/>
      <c r="I152" s="998"/>
      <c r="J152" s="998"/>
      <c r="K152" s="951" t="s">
        <v>21</v>
      </c>
      <c r="L152" s="951"/>
      <c r="M152" s="951"/>
      <c r="N152" s="951"/>
      <c r="O152" s="951"/>
      <c r="P152" s="948"/>
      <c r="Q152" s="948"/>
      <c r="R152" s="948"/>
      <c r="S152" s="948"/>
      <c r="T152" s="948"/>
      <c r="U152" s="948"/>
      <c r="V152" s="948"/>
      <c r="W152" s="948"/>
      <c r="X152" s="948"/>
      <c r="Y152" s="948"/>
      <c r="Z152" s="948"/>
      <c r="AA152" s="948"/>
      <c r="AB152" s="948"/>
      <c r="AC152" s="948"/>
      <c r="AD152" s="948"/>
      <c r="AE152" s="948"/>
      <c r="AF152" s="924"/>
      <c r="AG152" s="924"/>
      <c r="AH152" s="924"/>
      <c r="AI152" s="924"/>
      <c r="AJ152" s="924"/>
      <c r="AK152" s="924"/>
      <c r="AL152" s="925">
        <v>1</v>
      </c>
    </row>
    <row r="153" spans="1:38" s="627" customFormat="1" ht="30" customHeight="1">
      <c r="A153" s="921"/>
      <c r="B153" s="998"/>
      <c r="C153" s="998"/>
      <c r="D153" s="998"/>
      <c r="E153" s="998"/>
      <c r="F153" s="998"/>
      <c r="G153" s="998"/>
      <c r="H153" s="998"/>
      <c r="I153" s="998"/>
      <c r="J153" s="998"/>
      <c r="K153" s="951" t="s">
        <v>21</v>
      </c>
      <c r="L153" s="951"/>
      <c r="M153" s="951"/>
      <c r="N153" s="951"/>
      <c r="O153" s="951"/>
      <c r="P153" s="948"/>
      <c r="Q153" s="948"/>
      <c r="R153" s="948"/>
      <c r="S153" s="948"/>
      <c r="T153" s="948"/>
      <c r="U153" s="948"/>
      <c r="V153" s="948"/>
      <c r="W153" s="948"/>
      <c r="X153" s="948"/>
      <c r="Y153" s="948"/>
      <c r="Z153" s="948"/>
      <c r="AA153" s="948"/>
      <c r="AB153" s="948"/>
      <c r="AC153" s="948"/>
      <c r="AD153" s="948"/>
      <c r="AE153" s="948"/>
      <c r="AF153" s="924"/>
      <c r="AG153" s="924"/>
      <c r="AH153" s="924"/>
      <c r="AI153" s="924"/>
      <c r="AJ153" s="924"/>
      <c r="AK153" s="924"/>
      <c r="AL153" s="925">
        <v>1</v>
      </c>
    </row>
    <row r="154" spans="1:38" s="627" customFormat="1" ht="30" customHeight="1">
      <c r="A154" s="921"/>
      <c r="B154" s="999" t="s">
        <v>2980</v>
      </c>
      <c r="C154" s="998"/>
      <c r="D154" s="998"/>
      <c r="E154" s="998"/>
      <c r="F154" s="998"/>
      <c r="G154" s="998"/>
      <c r="H154" s="998"/>
      <c r="I154" s="998"/>
      <c r="J154" s="998"/>
      <c r="K154" s="951" t="s">
        <v>21</v>
      </c>
      <c r="L154" s="951"/>
      <c r="M154" s="951"/>
      <c r="N154" s="951"/>
      <c r="O154" s="951"/>
      <c r="P154" s="948"/>
      <c r="Q154" s="948"/>
      <c r="R154" s="948"/>
      <c r="S154" s="948"/>
      <c r="T154" s="948"/>
      <c r="U154" s="948"/>
      <c r="V154" s="948"/>
      <c r="W154" s="948"/>
      <c r="X154" s="948"/>
      <c r="Y154" s="948"/>
      <c r="Z154" s="948"/>
      <c r="AA154" s="948"/>
      <c r="AB154" s="948"/>
      <c r="AC154" s="948"/>
      <c r="AD154" s="948"/>
      <c r="AE154" s="948"/>
      <c r="AF154" s="924"/>
      <c r="AG154" s="924"/>
      <c r="AH154" s="924"/>
      <c r="AI154" s="924"/>
      <c r="AJ154" s="924"/>
      <c r="AK154" s="924"/>
      <c r="AL154" s="925">
        <v>1</v>
      </c>
    </row>
    <row r="155" spans="1:38" s="627" customFormat="1" ht="30" customHeight="1">
      <c r="A155" s="921"/>
      <c r="B155" s="1000" t="s">
        <v>2458</v>
      </c>
      <c r="C155" s="998"/>
      <c r="D155" s="998"/>
      <c r="E155" s="998"/>
      <c r="F155" s="998"/>
      <c r="G155" s="998"/>
      <c r="H155" s="998"/>
      <c r="I155" s="998"/>
      <c r="J155" s="998"/>
      <c r="K155" s="951" t="s">
        <v>21</v>
      </c>
      <c r="L155" s="951"/>
      <c r="M155" s="951"/>
      <c r="N155" s="951"/>
      <c r="O155" s="951"/>
      <c r="P155" s="948"/>
      <c r="Q155" s="948"/>
      <c r="R155" s="948"/>
      <c r="S155" s="948"/>
      <c r="T155" s="948"/>
      <c r="U155" s="948"/>
      <c r="V155" s="948"/>
      <c r="W155" s="948"/>
      <c r="X155" s="948"/>
      <c r="Y155" s="948"/>
      <c r="Z155" s="948"/>
      <c r="AA155" s="948"/>
      <c r="AB155" s="948"/>
      <c r="AC155" s="948"/>
      <c r="AD155" s="948"/>
      <c r="AE155" s="948"/>
      <c r="AF155" s="924"/>
      <c r="AG155" s="924"/>
      <c r="AH155" s="924"/>
      <c r="AI155" s="924"/>
      <c r="AJ155" s="924"/>
      <c r="AK155" s="924"/>
      <c r="AL155" s="925">
        <v>1</v>
      </c>
    </row>
    <row r="156" spans="1:38" s="627" customFormat="1" ht="30" customHeight="1">
      <c r="A156" s="921"/>
      <c r="B156" s="999"/>
      <c r="C156" s="998"/>
      <c r="D156" s="998"/>
      <c r="E156" s="998"/>
      <c r="F156" s="998"/>
      <c r="G156" s="998"/>
      <c r="H156" s="998"/>
      <c r="I156" s="998"/>
      <c r="J156" s="998"/>
      <c r="K156" s="951" t="s">
        <v>21</v>
      </c>
      <c r="L156" s="951"/>
      <c r="M156" s="951"/>
      <c r="N156" s="951"/>
      <c r="O156" s="951"/>
      <c r="P156" s="948"/>
      <c r="Q156" s="948"/>
      <c r="R156" s="948"/>
      <c r="S156" s="948"/>
      <c r="T156" s="948"/>
      <c r="U156" s="948"/>
      <c r="V156" s="948"/>
      <c r="W156" s="948"/>
      <c r="X156" s="948"/>
      <c r="Y156" s="948"/>
      <c r="Z156" s="948"/>
      <c r="AA156" s="948"/>
      <c r="AB156" s="948"/>
      <c r="AC156" s="948"/>
      <c r="AD156" s="948"/>
      <c r="AE156" s="948"/>
      <c r="AF156" s="924"/>
      <c r="AG156" s="924"/>
      <c r="AH156" s="924"/>
      <c r="AI156" s="924"/>
      <c r="AJ156" s="924"/>
      <c r="AK156" s="924"/>
      <c r="AL156" s="925">
        <v>1</v>
      </c>
    </row>
    <row r="157" spans="1:38" s="627" customFormat="1" ht="30" customHeight="1">
      <c r="A157" s="921"/>
      <c r="B157" s="999" t="s">
        <v>2981</v>
      </c>
      <c r="C157" s="998"/>
      <c r="D157" s="998"/>
      <c r="E157" s="998"/>
      <c r="F157" s="998"/>
      <c r="G157" s="998"/>
      <c r="H157" s="998"/>
      <c r="I157" s="998"/>
      <c r="J157" s="998"/>
      <c r="K157" s="951" t="s">
        <v>21</v>
      </c>
      <c r="L157" s="951"/>
      <c r="M157" s="951"/>
      <c r="N157" s="951"/>
      <c r="O157" s="951"/>
      <c r="P157" s="948"/>
      <c r="Q157" s="948"/>
      <c r="R157" s="948"/>
      <c r="S157" s="948"/>
      <c r="T157" s="948"/>
      <c r="U157" s="948"/>
      <c r="V157" s="948"/>
      <c r="W157" s="948"/>
      <c r="X157" s="948"/>
      <c r="Y157" s="948"/>
      <c r="Z157" s="948"/>
      <c r="AA157" s="948"/>
      <c r="AB157" s="948"/>
      <c r="AC157" s="948"/>
      <c r="AD157" s="948"/>
      <c r="AE157" s="948"/>
      <c r="AF157" s="924"/>
      <c r="AG157" s="924"/>
      <c r="AH157" s="924"/>
      <c r="AI157" s="924"/>
      <c r="AJ157" s="924"/>
      <c r="AK157" s="924"/>
      <c r="AL157" s="925">
        <v>1</v>
      </c>
    </row>
    <row r="158" spans="1:38" s="627" customFormat="1" ht="30" customHeight="1">
      <c r="A158" s="921"/>
      <c r="B158" s="1000" t="s">
        <v>2460</v>
      </c>
      <c r="C158" s="998"/>
      <c r="D158" s="998"/>
      <c r="E158" s="998"/>
      <c r="F158" s="998"/>
      <c r="G158" s="998"/>
      <c r="H158" s="998"/>
      <c r="I158" s="998"/>
      <c r="J158" s="998"/>
      <c r="K158" s="951" t="s">
        <v>21</v>
      </c>
      <c r="L158" s="951"/>
      <c r="M158" s="951"/>
      <c r="N158" s="951"/>
      <c r="O158" s="951"/>
      <c r="P158" s="948"/>
      <c r="Q158" s="948"/>
      <c r="R158" s="948"/>
      <c r="S158" s="948"/>
      <c r="T158" s="948"/>
      <c r="U158" s="948"/>
      <c r="V158" s="948"/>
      <c r="W158" s="948"/>
      <c r="X158" s="948"/>
      <c r="Y158" s="948"/>
      <c r="Z158" s="948"/>
      <c r="AA158" s="948"/>
      <c r="AB158" s="948"/>
      <c r="AC158" s="948"/>
      <c r="AD158" s="948"/>
      <c r="AE158" s="948"/>
      <c r="AF158" s="924"/>
      <c r="AG158" s="924"/>
      <c r="AH158" s="924"/>
      <c r="AI158" s="924"/>
      <c r="AJ158" s="924"/>
      <c r="AK158" s="924"/>
      <c r="AL158" s="925">
        <v>1</v>
      </c>
    </row>
    <row r="159" spans="1:38" s="627" customFormat="1" ht="30" customHeight="1">
      <c r="A159" s="921"/>
      <c r="B159" s="1000" t="s">
        <v>2461</v>
      </c>
      <c r="C159" s="998"/>
      <c r="D159" s="998"/>
      <c r="E159" s="998"/>
      <c r="F159" s="998"/>
      <c r="G159" s="998"/>
      <c r="H159" s="998"/>
      <c r="I159" s="998"/>
      <c r="J159" s="998"/>
      <c r="K159" s="951" t="s">
        <v>21</v>
      </c>
      <c r="L159" s="951"/>
      <c r="M159" s="951"/>
      <c r="N159" s="923"/>
      <c r="O159" s="923"/>
      <c r="P159" s="948"/>
      <c r="Q159" s="948"/>
      <c r="R159" s="948"/>
      <c r="S159" s="948"/>
      <c r="T159" s="948"/>
      <c r="U159" s="948"/>
      <c r="V159" s="948"/>
      <c r="W159" s="948"/>
      <c r="X159" s="948"/>
      <c r="Y159" s="948"/>
      <c r="Z159" s="948"/>
      <c r="AA159" s="948"/>
      <c r="AB159" s="948"/>
      <c r="AC159" s="948"/>
      <c r="AD159" s="948"/>
      <c r="AE159" s="948"/>
      <c r="AF159" s="924"/>
      <c r="AG159" s="924"/>
      <c r="AH159" s="924"/>
      <c r="AI159" s="924"/>
      <c r="AJ159" s="924"/>
      <c r="AK159" s="924"/>
      <c r="AL159" s="925">
        <v>1</v>
      </c>
    </row>
    <row r="160" spans="1:38" s="627" customFormat="1" ht="30" customHeight="1">
      <c r="A160" s="921"/>
      <c r="B160" s="999" t="s">
        <v>2982</v>
      </c>
      <c r="C160" s="998"/>
      <c r="D160" s="998"/>
      <c r="E160" s="998"/>
      <c r="F160" s="998"/>
      <c r="G160" s="998"/>
      <c r="H160" s="998"/>
      <c r="I160" s="998"/>
      <c r="J160" s="998"/>
      <c r="K160" s="951"/>
      <c r="L160" s="951"/>
      <c r="M160" s="951"/>
      <c r="N160" s="923"/>
      <c r="O160" s="923"/>
      <c r="P160" s="948"/>
      <c r="Q160" s="948"/>
      <c r="R160" s="948"/>
      <c r="S160" s="948"/>
      <c r="T160" s="948"/>
      <c r="U160" s="948"/>
      <c r="V160" s="948"/>
      <c r="W160" s="948"/>
      <c r="X160" s="948"/>
      <c r="Y160" s="948"/>
      <c r="Z160" s="948"/>
      <c r="AA160" s="948"/>
      <c r="AB160" s="948"/>
      <c r="AC160" s="948"/>
      <c r="AD160" s="948"/>
      <c r="AE160" s="948"/>
      <c r="AF160" s="924"/>
      <c r="AG160" s="924"/>
      <c r="AH160" s="924"/>
      <c r="AI160" s="924"/>
      <c r="AJ160" s="924"/>
      <c r="AK160" s="924"/>
      <c r="AL160" s="925">
        <v>1</v>
      </c>
    </row>
    <row r="161" spans="1:38" s="627" customFormat="1" ht="30" customHeight="1">
      <c r="A161" s="921"/>
      <c r="B161" s="1000" t="s">
        <v>2463</v>
      </c>
      <c r="C161" s="998"/>
      <c r="D161" s="998"/>
      <c r="E161" s="998"/>
      <c r="F161" s="998"/>
      <c r="G161" s="998"/>
      <c r="H161" s="998"/>
      <c r="I161" s="998"/>
      <c r="J161" s="998"/>
      <c r="K161" s="951"/>
      <c r="L161" s="951"/>
      <c r="M161" s="951"/>
      <c r="N161" s="923"/>
      <c r="O161" s="923"/>
      <c r="P161" s="948"/>
      <c r="Q161" s="948"/>
      <c r="R161" s="948"/>
      <c r="S161" s="948"/>
      <c r="T161" s="948"/>
      <c r="U161" s="948"/>
      <c r="V161" s="948"/>
      <c r="W161" s="948"/>
      <c r="X161" s="948"/>
      <c r="Y161" s="948"/>
      <c r="Z161" s="948"/>
      <c r="AA161" s="948"/>
      <c r="AB161" s="948"/>
      <c r="AC161" s="948"/>
      <c r="AD161" s="948"/>
      <c r="AE161" s="948"/>
      <c r="AF161" s="924"/>
      <c r="AG161" s="924"/>
      <c r="AH161" s="924"/>
      <c r="AI161" s="924"/>
      <c r="AJ161" s="924"/>
      <c r="AK161" s="924"/>
      <c r="AL161" s="925">
        <v>1</v>
      </c>
    </row>
    <row r="162" spans="1:38" s="627" customFormat="1" ht="27">
      <c r="A162" s="921"/>
      <c r="B162" s="996"/>
      <c r="C162" s="921"/>
      <c r="D162" s="921"/>
      <c r="E162" s="921"/>
      <c r="F162" s="921"/>
      <c r="G162" s="921"/>
      <c r="H162" s="921"/>
      <c r="I162" s="986"/>
      <c r="J162" s="921"/>
      <c r="K162" s="921"/>
      <c r="L162" s="921"/>
      <c r="M162" s="921"/>
      <c r="N162" s="921"/>
      <c r="O162" s="923"/>
      <c r="P162" s="986"/>
      <c r="Q162" s="986"/>
      <c r="R162" s="986"/>
      <c r="S162" s="986"/>
      <c r="T162" s="923"/>
      <c r="U162" s="923"/>
      <c r="V162" s="923"/>
      <c r="W162" s="923"/>
      <c r="X162" s="923"/>
      <c r="Y162" s="923"/>
      <c r="Z162" s="923"/>
      <c r="AA162" s="923"/>
      <c r="AB162" s="923"/>
      <c r="AC162" s="923"/>
      <c r="AD162" s="923"/>
      <c r="AE162" s="923"/>
      <c r="AF162" s="923"/>
      <c r="AG162" s="923"/>
      <c r="AH162" s="923"/>
      <c r="AI162" s="924"/>
      <c r="AJ162" s="924"/>
      <c r="AK162" s="924"/>
      <c r="AL162" s="925">
        <v>1</v>
      </c>
    </row>
    <row r="163" spans="1:38" s="627" customFormat="1" ht="26.25">
      <c r="A163" s="921"/>
      <c r="B163" s="1002" t="s">
        <v>2994</v>
      </c>
      <c r="C163" s="1003"/>
      <c r="D163" s="1004"/>
      <c r="E163" s="987"/>
      <c r="F163" s="1005"/>
      <c r="G163" s="1005"/>
      <c r="H163" s="1005"/>
      <c r="I163" s="1005"/>
      <c r="J163" s="1006"/>
      <c r="K163" s="1006"/>
      <c r="L163" s="923"/>
      <c r="M163" s="923"/>
      <c r="N163" s="923"/>
      <c r="O163" s="923"/>
      <c r="P163" s="924"/>
      <c r="Q163" s="986"/>
      <c r="R163" s="986"/>
      <c r="S163" s="986"/>
      <c r="T163" s="923"/>
      <c r="U163" s="923"/>
      <c r="V163" s="923"/>
      <c r="W163" s="923"/>
      <c r="X163" s="923"/>
      <c r="Y163" s="923"/>
      <c r="Z163" s="923"/>
      <c r="AA163" s="923"/>
      <c r="AB163" s="923"/>
      <c r="AC163" s="923"/>
      <c r="AD163" s="923"/>
      <c r="AE163" s="923"/>
      <c r="AF163" s="923"/>
      <c r="AG163" s="923"/>
      <c r="AH163" s="923"/>
      <c r="AI163" s="924"/>
      <c r="AJ163" s="924"/>
      <c r="AK163" s="924"/>
      <c r="AL163" s="925">
        <v>1</v>
      </c>
    </row>
    <row r="164" spans="1:38" s="627" customFormat="1" ht="26.25">
      <c r="A164" s="921"/>
      <c r="B164" s="1007" t="s">
        <v>2465</v>
      </c>
      <c r="C164" s="1008"/>
      <c r="D164" s="1009"/>
      <c r="E164" s="1010"/>
      <c r="F164" s="1010"/>
      <c r="G164" s="1010"/>
      <c r="H164" s="1010"/>
      <c r="I164" s="1010"/>
      <c r="J164" s="1010"/>
      <c r="K164" s="1006">
        <v>1</v>
      </c>
      <c r="L164" s="923"/>
      <c r="M164" s="923"/>
      <c r="N164" s="923"/>
      <c r="O164" s="923"/>
      <c r="P164" s="924"/>
      <c r="Q164" s="986"/>
      <c r="R164" s="986"/>
      <c r="S164" s="986"/>
      <c r="T164" s="923"/>
      <c r="U164" s="923"/>
      <c r="V164" s="923"/>
      <c r="W164" s="923"/>
      <c r="X164" s="923"/>
      <c r="Y164" s="923"/>
      <c r="Z164" s="923"/>
      <c r="AA164" s="923"/>
      <c r="AB164" s="923"/>
      <c r="AC164" s="923"/>
      <c r="AD164" s="923"/>
      <c r="AE164" s="923"/>
      <c r="AF164" s="923"/>
      <c r="AG164" s="923"/>
      <c r="AH164" s="923"/>
      <c r="AI164" s="924"/>
      <c r="AJ164" s="924"/>
      <c r="AK164" s="924"/>
      <c r="AL164" s="925">
        <v>1</v>
      </c>
    </row>
    <row r="165" spans="1:38" s="627" customFormat="1" ht="26.25">
      <c r="A165" s="921"/>
      <c r="B165" s="1011" t="s">
        <v>2983</v>
      </c>
      <c r="C165" s="1008"/>
      <c r="D165" s="1009"/>
      <c r="E165" s="1010"/>
      <c r="F165" s="1010"/>
      <c r="G165" s="1010"/>
      <c r="H165" s="1010"/>
      <c r="I165" s="1010"/>
      <c r="J165" s="1010"/>
      <c r="K165" s="1006">
        <v>1</v>
      </c>
      <c r="L165" s="923"/>
      <c r="M165" s="923"/>
      <c r="N165" s="923"/>
      <c r="O165" s="923"/>
      <c r="P165" s="924"/>
      <c r="Q165" s="986"/>
      <c r="R165" s="986"/>
      <c r="S165" s="986"/>
      <c r="T165" s="923"/>
      <c r="U165" s="923"/>
      <c r="V165" s="923"/>
      <c r="W165" s="923"/>
      <c r="X165" s="923"/>
      <c r="Y165" s="923"/>
      <c r="Z165" s="923"/>
      <c r="AA165" s="923"/>
      <c r="AB165" s="923"/>
      <c r="AC165" s="923"/>
      <c r="AD165" s="923"/>
      <c r="AE165" s="923"/>
      <c r="AF165" s="923"/>
      <c r="AG165" s="923"/>
      <c r="AH165" s="923"/>
      <c r="AI165" s="924"/>
      <c r="AJ165" s="924"/>
      <c r="AK165" s="924"/>
      <c r="AL165" s="925">
        <v>1</v>
      </c>
    </row>
    <row r="166" spans="1:38" s="627" customFormat="1" ht="26.25">
      <c r="A166" s="921"/>
      <c r="B166" s="1012" t="s">
        <v>2984</v>
      </c>
      <c r="C166" s="1003"/>
      <c r="D166" s="1013"/>
      <c r="E166" s="987"/>
      <c r="F166" s="1014" t="s">
        <v>2468</v>
      </c>
      <c r="G166" s="1005"/>
      <c r="H166" s="1005"/>
      <c r="I166" s="1005"/>
      <c r="J166" s="1006"/>
      <c r="K166" s="1006"/>
      <c r="L166" s="923"/>
      <c r="M166" s="923"/>
      <c r="N166" s="923"/>
      <c r="O166" s="923"/>
      <c r="P166" s="924"/>
      <c r="Q166" s="986"/>
      <c r="R166" s="986"/>
      <c r="S166" s="986"/>
      <c r="T166" s="923"/>
      <c r="U166" s="923"/>
      <c r="V166" s="923"/>
      <c r="W166" s="923"/>
      <c r="X166" s="923"/>
      <c r="Y166" s="923"/>
      <c r="Z166" s="923"/>
      <c r="AA166" s="923"/>
      <c r="AB166" s="923"/>
      <c r="AC166" s="923"/>
      <c r="AD166" s="923"/>
      <c r="AE166" s="923"/>
      <c r="AF166" s="923"/>
      <c r="AG166" s="923"/>
      <c r="AH166" s="923"/>
      <c r="AI166" s="924"/>
      <c r="AJ166" s="924"/>
      <c r="AK166" s="924"/>
      <c r="AL166" s="925">
        <v>1</v>
      </c>
    </row>
    <row r="167" spans="1:38" s="627" customFormat="1" ht="26.25">
      <c r="A167" s="921"/>
      <c r="B167" s="1015"/>
      <c r="C167" s="1016" t="s">
        <v>2985</v>
      </c>
      <c r="D167" s="1013"/>
      <c r="E167" s="987"/>
      <c r="F167" s="1005"/>
      <c r="G167" s="1005"/>
      <c r="H167" s="1005"/>
      <c r="I167" s="1005"/>
      <c r="J167" s="1006">
        <v>1</v>
      </c>
      <c r="K167" s="1006">
        <v>1</v>
      </c>
      <c r="L167" s="923"/>
      <c r="M167" s="923"/>
      <c r="N167" s="923"/>
      <c r="O167" s="923"/>
      <c r="P167" s="924"/>
      <c r="Q167" s="986"/>
      <c r="R167" s="986"/>
      <c r="S167" s="986"/>
      <c r="T167" s="923"/>
      <c r="U167" s="923"/>
      <c r="V167" s="923"/>
      <c r="W167" s="923"/>
      <c r="X167" s="923"/>
      <c r="Y167" s="923"/>
      <c r="Z167" s="923"/>
      <c r="AA167" s="923"/>
      <c r="AB167" s="923"/>
      <c r="AC167" s="923"/>
      <c r="AD167" s="923"/>
      <c r="AE167" s="923"/>
      <c r="AF167" s="923"/>
      <c r="AG167" s="923"/>
      <c r="AH167" s="923"/>
      <c r="AI167" s="924"/>
      <c r="AJ167" s="924"/>
      <c r="AK167" s="924"/>
      <c r="AL167" s="925">
        <v>1</v>
      </c>
    </row>
    <row r="168" spans="1:38" s="627" customFormat="1" ht="26.25">
      <c r="A168" s="921"/>
      <c r="B168" s="1017" t="str">
        <f>IF(B167="","",IF(AND(CODE(LEFT(B167,1))=66,CODE(RIGHT(B167,1))=90),"",CHOOSE(MATCH((LEN(B167)&amp;CODE(RIGHT(B167,1)))*1,{165;190;265;290},1),CHAR(CODE(B167)+1),"AA",LEFT(B167,1)&amp;CHAR(CODE(RIGHT(B167,1))+1),"BA",LEFT(B167,2)&amp;CHAR(CODE(RIGHT(B167,1))+1))))</f>
        <v/>
      </c>
      <c r="C168" s="1018" t="str">
        <f ca="1">_xlfn.FORMULATEXT(B168)</f>
        <v>=SI(B167="";"";SI(ET(CODE(GAUCHE(B167;1))=66;CODE(DROITE(B167;1))=90);"";CHOISIR(EQUIV((NBCAR(B167)&amp;CODE(DROITE(B167;1)))*1;{165;190;265;290};1);CAR(CODE(B167)+1);"AA";GAUCHE(B167;1)&amp;CAR(CODE(DROITE(B167;1))+1);"BA";GAUCHE(B167;2)&amp;CAR(CODE(DROITE(B167;1))+1))))</v>
      </c>
      <c r="D168" s="1013"/>
      <c r="E168" s="987"/>
      <c r="F168" s="1005"/>
      <c r="G168" s="1005"/>
      <c r="H168" s="1005"/>
      <c r="I168" s="1005"/>
      <c r="J168" s="1006"/>
      <c r="K168" s="1006"/>
      <c r="L168" s="923"/>
      <c r="M168" s="923"/>
      <c r="N168" s="923"/>
      <c r="O168" s="923"/>
      <c r="P168" s="924"/>
      <c r="Q168" s="986"/>
      <c r="R168" s="986"/>
      <c r="S168" s="986"/>
      <c r="T168" s="923"/>
      <c r="U168" s="923"/>
      <c r="V168" s="923"/>
      <c r="W168" s="923"/>
      <c r="X168" s="923"/>
      <c r="Y168" s="923"/>
      <c r="Z168" s="923"/>
      <c r="AA168" s="923"/>
      <c r="AB168" s="923"/>
      <c r="AC168" s="923"/>
      <c r="AD168" s="923"/>
      <c r="AE168" s="923"/>
      <c r="AF168" s="923"/>
      <c r="AG168" s="923"/>
      <c r="AH168" s="923"/>
      <c r="AI168" s="924"/>
      <c r="AJ168" s="924"/>
      <c r="AK168" s="924"/>
      <c r="AL168" s="925">
        <v>1</v>
      </c>
    </row>
    <row r="169" spans="1:38" s="627" customFormat="1" ht="26.25">
      <c r="A169" s="921"/>
      <c r="B169" s="1017"/>
      <c r="C169" s="1018"/>
      <c r="D169" s="1013"/>
      <c r="E169" s="987"/>
      <c r="F169" s="1005"/>
      <c r="G169" s="1005"/>
      <c r="H169" s="1005"/>
      <c r="I169" s="1005"/>
      <c r="J169" s="1006"/>
      <c r="K169" s="1006"/>
      <c r="L169" s="923"/>
      <c r="M169" s="923"/>
      <c r="N169" s="923"/>
      <c r="O169" s="923"/>
      <c r="P169" s="924"/>
      <c r="Q169" s="986"/>
      <c r="R169" s="986"/>
      <c r="S169" s="986"/>
      <c r="T169" s="923"/>
      <c r="U169" s="923"/>
      <c r="V169" s="923"/>
      <c r="W169" s="923"/>
      <c r="X169" s="923"/>
      <c r="Y169" s="923"/>
      <c r="Z169" s="923"/>
      <c r="AA169" s="923"/>
      <c r="AB169" s="923"/>
      <c r="AC169" s="923"/>
      <c r="AD169" s="923"/>
      <c r="AE169" s="923"/>
      <c r="AF169" s="923"/>
      <c r="AG169" s="923"/>
      <c r="AH169" s="923"/>
      <c r="AI169" s="924"/>
      <c r="AJ169" s="924"/>
      <c r="AK169" s="924"/>
      <c r="AL169" s="925">
        <v>1</v>
      </c>
    </row>
    <row r="170" spans="1:38" s="627" customFormat="1" ht="26.25">
      <c r="A170" s="921"/>
      <c r="B170" s="1002" t="s">
        <v>2986</v>
      </c>
      <c r="C170" s="1002"/>
      <c r="D170" s="1002"/>
      <c r="E170" s="1002"/>
      <c r="F170" s="1002"/>
      <c r="G170" s="1002"/>
      <c r="H170" s="923"/>
      <c r="I170" s="989"/>
      <c r="J170" s="923"/>
      <c r="K170" s="923"/>
      <c r="L170" s="923"/>
      <c r="M170" s="923"/>
      <c r="N170" s="923"/>
      <c r="O170" s="923"/>
      <c r="P170" s="924"/>
      <c r="Q170" s="986"/>
      <c r="R170" s="986"/>
      <c r="S170" s="986"/>
      <c r="T170" s="923"/>
      <c r="U170" s="923"/>
      <c r="V170" s="923"/>
      <c r="W170" s="923"/>
      <c r="X170" s="923"/>
      <c r="Y170" s="923"/>
      <c r="Z170" s="923"/>
      <c r="AA170" s="923"/>
      <c r="AB170" s="923"/>
      <c r="AC170" s="923"/>
      <c r="AD170" s="923"/>
      <c r="AE170" s="923"/>
      <c r="AF170" s="923"/>
      <c r="AG170" s="923"/>
      <c r="AH170" s="923"/>
      <c r="AI170" s="924"/>
      <c r="AJ170" s="924"/>
      <c r="AK170" s="924"/>
      <c r="AL170" s="925">
        <v>1</v>
      </c>
    </row>
    <row r="171" spans="1:38" s="627" customFormat="1" ht="26.25">
      <c r="A171" s="921"/>
      <c r="B171" s="1002" t="s">
        <v>2987</v>
      </c>
      <c r="C171" s="1002"/>
      <c r="D171" s="1002"/>
      <c r="E171" s="1002"/>
      <c r="F171" s="1002"/>
      <c r="G171" s="1002"/>
      <c r="H171" s="923"/>
      <c r="I171" s="989"/>
      <c r="J171" s="923"/>
      <c r="K171" s="923"/>
      <c r="L171" s="923"/>
      <c r="M171" s="923"/>
      <c r="N171" s="923"/>
      <c r="O171" s="923"/>
      <c r="P171" s="924"/>
      <c r="Q171" s="986"/>
      <c r="R171" s="986"/>
      <c r="S171" s="986"/>
      <c r="T171" s="923"/>
      <c r="U171" s="923"/>
      <c r="V171" s="923"/>
      <c r="W171" s="923"/>
      <c r="X171" s="923"/>
      <c r="Y171" s="923"/>
      <c r="Z171" s="923"/>
      <c r="AA171" s="923"/>
      <c r="AB171" s="923"/>
      <c r="AC171" s="923"/>
      <c r="AD171" s="923"/>
      <c r="AE171" s="923"/>
      <c r="AF171" s="923"/>
      <c r="AG171" s="923"/>
      <c r="AH171" s="923"/>
      <c r="AI171" s="924"/>
      <c r="AJ171" s="924"/>
      <c r="AK171" s="924"/>
      <c r="AL171" s="925">
        <v>1</v>
      </c>
    </row>
    <row r="172" spans="1:38" s="627" customFormat="1" ht="26.25">
      <c r="A172" s="921"/>
      <c r="B172" s="1019" t="s">
        <v>829</v>
      </c>
      <c r="C172" s="1002" t="s">
        <v>2988</v>
      </c>
      <c r="D172" s="989"/>
      <c r="E172" s="989"/>
      <c r="F172" s="989"/>
      <c r="G172" s="989"/>
      <c r="H172" s="923"/>
      <c r="I172" s="989"/>
      <c r="J172" s="923"/>
      <c r="K172" s="923"/>
      <c r="L172" s="923"/>
      <c r="M172" s="923"/>
      <c r="N172" s="923"/>
      <c r="O172" s="923"/>
      <c r="P172" s="924"/>
      <c r="Q172" s="986"/>
      <c r="R172" s="986"/>
      <c r="S172" s="986"/>
      <c r="T172" s="923"/>
      <c r="U172" s="923"/>
      <c r="V172" s="923"/>
      <c r="W172" s="923"/>
      <c r="X172" s="923"/>
      <c r="Y172" s="923"/>
      <c r="Z172" s="923"/>
      <c r="AA172" s="923"/>
      <c r="AB172" s="923"/>
      <c r="AC172" s="923"/>
      <c r="AD172" s="923"/>
      <c r="AE172" s="923"/>
      <c r="AF172" s="923"/>
      <c r="AG172" s="923"/>
      <c r="AH172" s="923"/>
      <c r="AI172" s="924"/>
      <c r="AJ172" s="924"/>
      <c r="AK172" s="924"/>
      <c r="AL172" s="925">
        <v>1</v>
      </c>
    </row>
    <row r="173" spans="1:38" s="627" customFormat="1" ht="26.25">
      <c r="A173" s="921"/>
      <c r="B173" s="1020" t="str">
        <f>IF(COLUMN()-COLUMN(B173)+1&lt;=26, CHAR(64+COLUMN()-COLUMN(B173)+1), CHAR(64+INT((COLUMN()-COLUMN(B173))/26))&amp;CHAR(64+MOD(COLUMN()-COLUMN(B173)-1,26)+1))</f>
        <v>A</v>
      </c>
      <c r="C173" s="1015" t="s">
        <v>1484</v>
      </c>
      <c r="D173" s="1015" t="s">
        <v>1485</v>
      </c>
      <c r="E173" s="1015" t="s">
        <v>1486</v>
      </c>
      <c r="F173" s="1015" t="s">
        <v>2472</v>
      </c>
      <c r="G173" s="989"/>
      <c r="H173" s="923"/>
      <c r="I173" s="989"/>
      <c r="J173" s="923"/>
      <c r="K173" s="923"/>
      <c r="L173" s="923"/>
      <c r="M173" s="923"/>
      <c r="N173" s="923"/>
      <c r="O173" s="923"/>
      <c r="P173" s="924"/>
      <c r="Q173" s="986"/>
      <c r="R173" s="986"/>
      <c r="S173" s="986"/>
      <c r="T173" s="923"/>
      <c r="U173" s="923"/>
      <c r="V173" s="923"/>
      <c r="W173" s="923"/>
      <c r="X173" s="923"/>
      <c r="Y173" s="923"/>
      <c r="Z173" s="923"/>
      <c r="AA173" s="923"/>
      <c r="AB173" s="923"/>
      <c r="AC173" s="923"/>
      <c r="AD173" s="923"/>
      <c r="AE173" s="923"/>
      <c r="AF173" s="923"/>
      <c r="AG173" s="923"/>
      <c r="AH173" s="923"/>
      <c r="AI173" s="924"/>
      <c r="AJ173" s="924"/>
      <c r="AK173" s="924"/>
      <c r="AL173" s="925">
        <v>1</v>
      </c>
    </row>
    <row r="174" spans="1:38" s="627" customFormat="1" ht="26.25">
      <c r="A174" s="921"/>
      <c r="B174" s="1002" t="s">
        <v>2989</v>
      </c>
      <c r="C174" s="1004"/>
      <c r="D174" s="988"/>
      <c r="E174" s="988"/>
      <c r="F174" s="988"/>
      <c r="G174" s="988"/>
      <c r="H174" s="988"/>
      <c r="I174" s="988"/>
      <c r="J174" s="923"/>
      <c r="K174" s="923"/>
      <c r="L174" s="923"/>
      <c r="M174" s="923"/>
      <c r="N174" s="923"/>
      <c r="O174" s="923"/>
      <c r="P174" s="924"/>
      <c r="Q174" s="986"/>
      <c r="R174" s="986"/>
      <c r="S174" s="986"/>
      <c r="T174" s="923"/>
      <c r="U174" s="923"/>
      <c r="V174" s="923"/>
      <c r="W174" s="923"/>
      <c r="X174" s="923"/>
      <c r="Y174" s="923"/>
      <c r="Z174" s="923"/>
      <c r="AA174" s="923"/>
      <c r="AB174" s="923"/>
      <c r="AC174" s="923"/>
      <c r="AD174" s="923"/>
      <c r="AE174" s="923"/>
      <c r="AF174" s="923"/>
      <c r="AG174" s="923"/>
      <c r="AH174" s="923"/>
      <c r="AI174" s="924"/>
      <c r="AJ174" s="924"/>
      <c r="AK174" s="924"/>
      <c r="AL174" s="925">
        <v>1</v>
      </c>
    </row>
    <row r="175" spans="1:38" s="627" customFormat="1" ht="26.25">
      <c r="A175" s="921"/>
      <c r="B175" s="1017"/>
      <c r="C175" s="1018"/>
      <c r="D175" s="1013"/>
      <c r="E175" s="987"/>
      <c r="F175" s="1005"/>
      <c r="G175" s="1005"/>
      <c r="H175" s="1005"/>
      <c r="I175" s="1005"/>
      <c r="J175" s="1006"/>
      <c r="K175" s="1006"/>
      <c r="L175" s="923"/>
      <c r="M175" s="923"/>
      <c r="N175" s="923"/>
      <c r="O175" s="923"/>
      <c r="P175" s="924"/>
      <c r="Q175" s="986"/>
      <c r="R175" s="986"/>
      <c r="S175" s="986"/>
      <c r="T175" s="923"/>
      <c r="U175" s="923"/>
      <c r="V175" s="923"/>
      <c r="W175" s="923"/>
      <c r="X175" s="923"/>
      <c r="Y175" s="923"/>
      <c r="Z175" s="923"/>
      <c r="AA175" s="923"/>
      <c r="AB175" s="923"/>
      <c r="AC175" s="923"/>
      <c r="AD175" s="923"/>
      <c r="AE175" s="923"/>
      <c r="AF175" s="923"/>
      <c r="AG175" s="923"/>
      <c r="AH175" s="923"/>
      <c r="AI175" s="924"/>
      <c r="AJ175" s="924"/>
      <c r="AK175" s="924"/>
      <c r="AL175" s="925">
        <v>1</v>
      </c>
    </row>
    <row r="176" spans="1:38" s="627" customFormat="1" ht="26.25">
      <c r="A176" s="921"/>
      <c r="B176" s="1017"/>
      <c r="C176" s="1018"/>
      <c r="D176" s="1013"/>
      <c r="E176" s="987"/>
      <c r="F176" s="1005"/>
      <c r="G176" s="1005"/>
      <c r="H176" s="1005"/>
      <c r="I176" s="1005"/>
      <c r="J176" s="1006"/>
      <c r="K176" s="1006"/>
      <c r="L176" s="923"/>
      <c r="M176" s="923"/>
      <c r="N176" s="923"/>
      <c r="O176" s="923"/>
      <c r="P176" s="924"/>
      <c r="Q176" s="986"/>
      <c r="R176" s="986"/>
      <c r="S176" s="986"/>
      <c r="T176" s="923"/>
      <c r="U176" s="923"/>
      <c r="V176" s="923"/>
      <c r="W176" s="923"/>
      <c r="X176" s="923"/>
      <c r="Y176" s="923"/>
      <c r="Z176" s="923"/>
      <c r="AA176" s="923"/>
      <c r="AB176" s="923"/>
      <c r="AC176" s="923"/>
      <c r="AD176" s="923"/>
      <c r="AE176" s="923"/>
      <c r="AF176" s="923"/>
      <c r="AG176" s="923"/>
      <c r="AH176" s="923"/>
      <c r="AI176" s="924"/>
      <c r="AJ176" s="924"/>
      <c r="AK176" s="924"/>
      <c r="AL176" s="925">
        <v>1</v>
      </c>
    </row>
    <row r="177" spans="1:40" s="984" customFormat="1" ht="40.5" customHeight="1">
      <c r="A177" s="921"/>
      <c r="B177" s="1021" t="s">
        <v>2990</v>
      </c>
      <c r="C177" s="921"/>
      <c r="D177" s="921"/>
      <c r="E177" s="921"/>
      <c r="F177" s="921"/>
      <c r="G177" s="921"/>
      <c r="H177" s="921"/>
      <c r="I177" s="948"/>
      <c r="J177" s="921"/>
      <c r="K177" s="921"/>
      <c r="L177" s="921"/>
      <c r="M177" s="921"/>
      <c r="N177" s="921"/>
      <c r="O177" s="948"/>
      <c r="P177" s="948"/>
      <c r="Q177" s="948"/>
      <c r="R177" s="948"/>
      <c r="S177" s="948"/>
      <c r="T177" s="1021" t="s">
        <v>2991</v>
      </c>
      <c r="U177" s="923"/>
      <c r="V177" s="923"/>
      <c r="W177" s="923"/>
      <c r="X177" s="923"/>
      <c r="Y177" s="923"/>
      <c r="Z177" s="1022"/>
      <c r="AA177" s="1022"/>
      <c r="AB177" s="1022"/>
      <c r="AC177" s="1022"/>
      <c r="AD177" s="1022"/>
      <c r="AE177" s="1022"/>
      <c r="AF177" s="1022"/>
      <c r="AG177" s="1022"/>
      <c r="AH177" s="1023"/>
      <c r="AI177" s="1023"/>
      <c r="AJ177" s="923"/>
      <c r="AK177" s="923"/>
      <c r="AL177" s="925">
        <v>1</v>
      </c>
      <c r="AM177" s="627"/>
      <c r="AN177" s="627"/>
    </row>
    <row r="178" spans="1:40" s="984" customFormat="1" ht="40.5" customHeight="1">
      <c r="A178" s="921"/>
      <c r="B178" s="996"/>
      <c r="C178" s="971" t="s">
        <v>2476</v>
      </c>
      <c r="D178" s="921"/>
      <c r="E178" s="1024" t="s">
        <v>2477</v>
      </c>
      <c r="F178" s="948"/>
      <c r="G178" s="1025" t="s">
        <v>2478</v>
      </c>
      <c r="H178" s="921"/>
      <c r="I178" s="948"/>
      <c r="J178" s="929" t="s">
        <v>2479</v>
      </c>
      <c r="K178" s="921"/>
      <c r="L178" s="921"/>
      <c r="M178" s="921"/>
      <c r="N178" s="921"/>
      <c r="O178" s="948"/>
      <c r="P178" s="948"/>
      <c r="Q178" s="948"/>
      <c r="R178" s="948"/>
      <c r="S178" s="948"/>
      <c r="T178" s="1026" t="s">
        <v>2480</v>
      </c>
      <c r="U178" s="1027"/>
      <c r="V178" s="1028">
        <v>15.5</v>
      </c>
      <c r="W178" s="923"/>
      <c r="X178" s="1029">
        <v>15.5</v>
      </c>
      <c r="Y178" s="923"/>
      <c r="Z178" s="1022"/>
      <c r="AA178" s="1022"/>
      <c r="AB178" s="1022"/>
      <c r="AC178" s="1022"/>
      <c r="AD178" s="1022"/>
      <c r="AE178" s="1022"/>
      <c r="AF178" s="1022"/>
      <c r="AG178" s="1022"/>
      <c r="AH178" s="1023"/>
      <c r="AI178" s="1023"/>
      <c r="AJ178" s="923"/>
      <c r="AK178" s="923"/>
      <c r="AL178" s="925">
        <v>1</v>
      </c>
      <c r="AM178" s="627"/>
      <c r="AN178" s="627"/>
    </row>
    <row r="179" spans="1:40" s="984" customFormat="1" ht="40.5" customHeight="1">
      <c r="A179" s="921"/>
      <c r="B179" s="996"/>
      <c r="C179" s="971" t="s">
        <v>2481</v>
      </c>
      <c r="D179" s="921"/>
      <c r="E179" s="1024" t="s">
        <v>2482</v>
      </c>
      <c r="F179" s="948"/>
      <c r="G179" s="1025" t="s">
        <v>2483</v>
      </c>
      <c r="H179" s="921"/>
      <c r="I179" s="948"/>
      <c r="J179" s="929" t="s">
        <v>2484</v>
      </c>
      <c r="K179" s="921"/>
      <c r="L179" s="921"/>
      <c r="M179" s="921"/>
      <c r="N179" s="921"/>
      <c r="O179" s="948"/>
      <c r="P179" s="948"/>
      <c r="Q179" s="948"/>
      <c r="R179" s="948"/>
      <c r="S179" s="948"/>
      <c r="T179" s="1030" t="s">
        <v>2992</v>
      </c>
      <c r="U179" s="1027"/>
      <c r="V179" s="1024" t="s">
        <v>881</v>
      </c>
      <c r="W179" s="923"/>
      <c r="X179" s="1031" t="s">
        <v>882</v>
      </c>
      <c r="Y179" s="923"/>
      <c r="Z179" s="1022"/>
      <c r="AA179" s="1022"/>
      <c r="AB179" s="1022"/>
      <c r="AC179" s="1022"/>
      <c r="AD179" s="1022"/>
      <c r="AE179" s="1022"/>
      <c r="AF179" s="1022"/>
      <c r="AG179" s="1022"/>
      <c r="AH179" s="1023"/>
      <c r="AI179" s="1023"/>
      <c r="AJ179" s="923"/>
      <c r="AK179" s="923"/>
      <c r="AL179" s="925">
        <v>1</v>
      </c>
      <c r="AM179" s="627"/>
      <c r="AN179" s="627"/>
    </row>
    <row r="180" spans="1:40" s="984" customFormat="1" ht="40.5" customHeight="1">
      <c r="A180" s="921"/>
      <c r="B180" s="996"/>
      <c r="C180" s="921"/>
      <c r="D180" s="921"/>
      <c r="E180" s="921"/>
      <c r="F180" s="921"/>
      <c r="G180" s="921"/>
      <c r="H180" s="921"/>
      <c r="I180" s="948"/>
      <c r="J180" s="921"/>
      <c r="K180" s="921"/>
      <c r="L180" s="921"/>
      <c r="M180" s="921"/>
      <c r="N180" s="921"/>
      <c r="O180" s="948"/>
      <c r="P180" s="948"/>
      <c r="Q180" s="948"/>
      <c r="R180" s="948"/>
      <c r="S180" s="948"/>
      <c r="T180" s="923"/>
      <c r="U180" s="923"/>
      <c r="V180" s="923"/>
      <c r="W180" s="923"/>
      <c r="X180" s="923"/>
      <c r="Y180" s="923"/>
      <c r="Z180" s="1022"/>
      <c r="AA180" s="1022"/>
      <c r="AB180" s="1022"/>
      <c r="AC180" s="1022"/>
      <c r="AD180" s="1022"/>
      <c r="AE180" s="1022"/>
      <c r="AF180" s="1022"/>
      <c r="AG180" s="1022"/>
      <c r="AH180" s="1023"/>
      <c r="AI180" s="1023"/>
      <c r="AJ180" s="923"/>
      <c r="AK180" s="923"/>
      <c r="AL180" s="925">
        <v>1</v>
      </c>
      <c r="AM180" s="627"/>
      <c r="AN180" s="627"/>
    </row>
    <row r="181" spans="1:40" s="984" customFormat="1" ht="40.5" customHeight="1">
      <c r="A181" s="921"/>
      <c r="B181" s="1021" t="s">
        <v>2993</v>
      </c>
      <c r="C181" s="921"/>
      <c r="D181" s="921"/>
      <c r="E181" s="921"/>
      <c r="F181" s="921"/>
      <c r="G181" s="921"/>
      <c r="H181" s="921"/>
      <c r="I181" s="948"/>
      <c r="J181" s="921"/>
      <c r="K181" s="921"/>
      <c r="L181" s="921"/>
      <c r="M181" s="921"/>
      <c r="N181" s="921"/>
      <c r="O181" s="948"/>
      <c r="P181" s="948"/>
      <c r="Q181" s="948"/>
      <c r="R181" s="948"/>
      <c r="S181" s="948"/>
      <c r="T181" s="923"/>
      <c r="U181" s="923"/>
      <c r="V181" s="923"/>
      <c r="W181" s="923"/>
      <c r="X181" s="923"/>
      <c r="Y181" s="923"/>
      <c r="Z181" s="923"/>
      <c r="AA181" s="923"/>
      <c r="AB181" s="923"/>
      <c r="AC181" s="923"/>
      <c r="AD181" s="923"/>
      <c r="AE181" s="923"/>
      <c r="AF181" s="923"/>
      <c r="AG181" s="923"/>
      <c r="AH181" s="923"/>
      <c r="AI181" s="923"/>
      <c r="AJ181" s="923"/>
      <c r="AK181" s="923"/>
      <c r="AL181" s="925">
        <v>1</v>
      </c>
      <c r="AM181" s="627"/>
      <c r="AN181" s="627"/>
    </row>
    <row r="182" spans="1:40" s="984" customFormat="1" ht="40.5" customHeight="1">
      <c r="A182" s="921"/>
      <c r="B182" s="996"/>
      <c r="C182" s="1032" t="s">
        <v>2487</v>
      </c>
      <c r="D182" s="921"/>
      <c r="E182" s="921"/>
      <c r="F182" s="921"/>
      <c r="G182" s="921"/>
      <c r="H182" s="1033" t="s">
        <v>2488</v>
      </c>
      <c r="I182" s="1033"/>
      <c r="J182" s="921"/>
      <c r="K182" s="921"/>
      <c r="L182" s="921"/>
      <c r="M182" s="921"/>
      <c r="N182" s="921"/>
      <c r="O182" s="948"/>
      <c r="P182" s="948"/>
      <c r="Q182" s="948"/>
      <c r="R182" s="948"/>
      <c r="S182" s="1034" t="s">
        <v>2489</v>
      </c>
      <c r="T182" s="1034"/>
      <c r="U182" s="923"/>
      <c r="V182" s="923"/>
      <c r="W182" s="923"/>
      <c r="X182" s="923"/>
      <c r="Y182" s="1035" t="s">
        <v>2490</v>
      </c>
      <c r="Z182" s="923"/>
      <c r="AA182" s="923"/>
      <c r="AB182" s="923"/>
      <c r="AC182" s="923"/>
      <c r="AD182" s="923"/>
      <c r="AE182" s="923"/>
      <c r="AF182" s="923"/>
      <c r="AG182" s="923"/>
      <c r="AH182" s="923"/>
      <c r="AI182" s="923"/>
      <c r="AJ182" s="923"/>
      <c r="AK182" s="923"/>
      <c r="AL182" s="925">
        <v>1</v>
      </c>
      <c r="AM182" s="627"/>
      <c r="AN182" s="627"/>
    </row>
    <row r="183" spans="1:40" s="984" customFormat="1" ht="40.5" customHeight="1">
      <c r="A183" s="921"/>
      <c r="B183" s="996"/>
      <c r="C183" s="1036" t="s">
        <v>2491</v>
      </c>
      <c r="D183" s="921"/>
      <c r="E183" s="921"/>
      <c r="F183" s="921"/>
      <c r="G183" s="921"/>
      <c r="H183" s="1037" t="s">
        <v>2492</v>
      </c>
      <c r="I183" s="1037"/>
      <c r="J183" s="921"/>
      <c r="K183" s="921"/>
      <c r="L183" s="921"/>
      <c r="M183" s="921"/>
      <c r="N183" s="921"/>
      <c r="O183" s="948"/>
      <c r="P183" s="948"/>
      <c r="Q183" s="948"/>
      <c r="R183" s="948"/>
      <c r="S183" s="1038" t="s">
        <v>2493</v>
      </c>
      <c r="T183" s="1038"/>
      <c r="U183" s="923"/>
      <c r="V183" s="923"/>
      <c r="W183" s="923"/>
      <c r="X183" s="923"/>
      <c r="Y183" s="1039" t="s">
        <v>2494</v>
      </c>
      <c r="Z183" s="923"/>
      <c r="AA183" s="923"/>
      <c r="AB183" s="923"/>
      <c r="AC183" s="923"/>
      <c r="AD183" s="923"/>
      <c r="AE183" s="923"/>
      <c r="AF183" s="923"/>
      <c r="AG183" s="923"/>
      <c r="AH183" s="923"/>
      <c r="AI183" s="923"/>
      <c r="AJ183" s="923"/>
      <c r="AK183" s="923"/>
      <c r="AL183" s="925">
        <v>1</v>
      </c>
      <c r="AM183" s="627"/>
      <c r="AN183" s="627"/>
    </row>
    <row r="184" spans="1:40" s="984" customFormat="1" ht="40.5" customHeight="1">
      <c r="A184" s="921"/>
      <c r="B184" s="996"/>
      <c r="C184" s="1040" t="s">
        <v>2495</v>
      </c>
      <c r="D184" s="921"/>
      <c r="E184" s="921"/>
      <c r="F184" s="921"/>
      <c r="G184" s="921"/>
      <c r="H184" s="921"/>
      <c r="I184" s="948"/>
      <c r="J184" s="921"/>
      <c r="K184" s="921"/>
      <c r="L184" s="921"/>
      <c r="M184" s="921"/>
      <c r="N184" s="921"/>
      <c r="O184" s="948"/>
      <c r="P184" s="948"/>
      <c r="Q184" s="948"/>
      <c r="R184" s="948"/>
      <c r="S184" s="948"/>
      <c r="T184" s="923"/>
      <c r="U184" s="923"/>
      <c r="V184" s="923"/>
      <c r="W184" s="923"/>
      <c r="X184" s="923"/>
      <c r="Y184" s="923"/>
      <c r="Z184" s="923"/>
      <c r="AA184" s="923"/>
      <c r="AB184" s="923"/>
      <c r="AC184" s="923"/>
      <c r="AD184" s="923"/>
      <c r="AE184" s="923"/>
      <c r="AF184" s="923"/>
      <c r="AG184" s="923"/>
      <c r="AH184" s="923"/>
      <c r="AI184" s="923"/>
      <c r="AJ184" s="923"/>
      <c r="AK184" s="923"/>
      <c r="AL184" s="925">
        <v>1</v>
      </c>
      <c r="AM184" s="627"/>
      <c r="AN184" s="627"/>
    </row>
    <row r="185" spans="1:40" ht="27">
      <c r="A185" s="921"/>
      <c r="B185" s="996"/>
      <c r="C185" s="921"/>
      <c r="D185" s="921"/>
      <c r="E185" s="921"/>
      <c r="F185" s="921"/>
      <c r="G185" s="921"/>
      <c r="H185" s="921"/>
      <c r="I185" s="986"/>
      <c r="J185" s="921"/>
      <c r="K185" s="921"/>
      <c r="L185" s="921"/>
      <c r="M185" s="921"/>
      <c r="N185" s="921"/>
      <c r="O185" s="986"/>
      <c r="P185" s="986"/>
      <c r="Q185" s="986"/>
      <c r="R185" s="986"/>
      <c r="S185" s="986"/>
      <c r="T185" s="923"/>
      <c r="U185" s="923"/>
      <c r="V185" s="923"/>
      <c r="W185" s="923"/>
      <c r="X185" s="923"/>
      <c r="Y185" s="923"/>
      <c r="Z185" s="923"/>
      <c r="AA185" s="923"/>
      <c r="AB185" s="923"/>
      <c r="AC185" s="923"/>
      <c r="AD185" s="923"/>
      <c r="AE185" s="923"/>
      <c r="AF185" s="923"/>
      <c r="AG185" s="923"/>
      <c r="AH185" s="923"/>
      <c r="AI185" s="924"/>
      <c r="AJ185" s="924"/>
      <c r="AK185" s="924"/>
      <c r="AL185" s="925">
        <v>1</v>
      </c>
    </row>
    <row r="186" spans="1:40" customFormat="1" ht="30" customHeight="1">
      <c r="A186" s="1006"/>
      <c r="B186" s="1006"/>
      <c r="C186" s="1006"/>
      <c r="D186" s="1041" t="s">
        <v>2906</v>
      </c>
      <c r="E186" s="1041"/>
      <c r="F186" s="1041"/>
      <c r="G186" s="1041"/>
      <c r="H186" s="1041"/>
      <c r="I186" s="1041"/>
      <c r="J186" s="1041"/>
      <c r="K186" s="1041"/>
      <c r="L186" s="1041"/>
      <c r="M186" s="1041"/>
      <c r="N186" s="1041"/>
      <c r="O186" s="1041"/>
      <c r="P186" s="1006"/>
      <c r="Q186" s="1006"/>
      <c r="R186" s="1006"/>
      <c r="S186" s="1006"/>
      <c r="T186" s="1006"/>
      <c r="U186" s="1006"/>
      <c r="V186" s="1006"/>
      <c r="W186" s="1006"/>
      <c r="X186" s="1006"/>
      <c r="Y186" s="948"/>
      <c r="Z186" s="948"/>
      <c r="AA186" s="948"/>
      <c r="AB186" s="948"/>
      <c r="AC186" s="948"/>
      <c r="AD186" s="948"/>
      <c r="AE186" s="948"/>
      <c r="AF186" s="948"/>
      <c r="AG186" s="948"/>
      <c r="AH186" s="948"/>
      <c r="AI186" s="948"/>
      <c r="AJ186" s="924"/>
      <c r="AK186" s="924"/>
      <c r="AL186" s="925">
        <v>1</v>
      </c>
      <c r="AM186" s="627"/>
      <c r="AN186" s="627"/>
    </row>
    <row r="187" spans="1:40" customFormat="1" ht="30" customHeight="1">
      <c r="A187" s="1006"/>
      <c r="B187" s="1006"/>
      <c r="C187" s="1006"/>
      <c r="D187" s="1041" t="s">
        <v>2907</v>
      </c>
      <c r="E187" s="1041"/>
      <c r="F187" s="1041"/>
      <c r="G187" s="1041"/>
      <c r="H187" s="1041"/>
      <c r="I187" s="1041"/>
      <c r="J187" s="1041"/>
      <c r="K187" s="1041"/>
      <c r="L187" s="1041"/>
      <c r="M187" s="1041"/>
      <c r="N187" s="1041"/>
      <c r="O187" s="1041"/>
      <c r="P187" s="1006"/>
      <c r="Q187" s="1006"/>
      <c r="R187" s="1006"/>
      <c r="S187" s="1006"/>
      <c r="T187" s="1006"/>
      <c r="U187" s="1006"/>
      <c r="V187" s="1006"/>
      <c r="W187" s="1006"/>
      <c r="X187" s="1006"/>
      <c r="Y187" s="948"/>
      <c r="Z187" s="948"/>
      <c r="AA187" s="948"/>
      <c r="AB187" s="948"/>
      <c r="AC187" s="948"/>
      <c r="AD187" s="948"/>
      <c r="AE187" s="948"/>
      <c r="AF187" s="948"/>
      <c r="AG187" s="948"/>
      <c r="AH187" s="948"/>
      <c r="AI187" s="948"/>
      <c r="AJ187" s="924"/>
      <c r="AK187" s="924"/>
      <c r="AL187" s="925">
        <v>1</v>
      </c>
      <c r="AM187" s="627"/>
      <c r="AN187" s="627"/>
    </row>
    <row r="188" spans="1:40" customFormat="1" ht="30" customHeight="1">
      <c r="A188" s="1006"/>
      <c r="B188" s="1006"/>
      <c r="C188" s="1006"/>
      <c r="D188" s="1041" t="s">
        <v>2908</v>
      </c>
      <c r="E188" s="1041"/>
      <c r="F188" s="1041"/>
      <c r="G188" s="1041"/>
      <c r="H188" s="1041"/>
      <c r="I188" s="1041"/>
      <c r="J188" s="1041"/>
      <c r="K188" s="1041"/>
      <c r="L188" s="1041"/>
      <c r="M188" s="1041"/>
      <c r="N188" s="1041"/>
      <c r="O188" s="1041"/>
      <c r="P188" s="1006"/>
      <c r="Q188" s="1006"/>
      <c r="R188" s="1006"/>
      <c r="S188" s="1006"/>
      <c r="T188" s="1006"/>
      <c r="U188" s="1006"/>
      <c r="V188" s="1006"/>
      <c r="W188" s="1006"/>
      <c r="X188" s="1006"/>
      <c r="Y188" s="948"/>
      <c r="Z188" s="948"/>
      <c r="AA188" s="948"/>
      <c r="AB188" s="948"/>
      <c r="AC188" s="948"/>
      <c r="AD188" s="948"/>
      <c r="AE188" s="948"/>
      <c r="AF188" s="948"/>
      <c r="AG188" s="948"/>
      <c r="AH188" s="948"/>
      <c r="AI188" s="948"/>
      <c r="AJ188" s="924"/>
      <c r="AK188" s="924"/>
      <c r="AL188" s="925">
        <v>1</v>
      </c>
      <c r="AM188" s="627"/>
      <c r="AN188" s="627"/>
    </row>
    <row r="189" spans="1:40" customFormat="1" ht="30" customHeight="1">
      <c r="A189" s="1006"/>
      <c r="B189" s="1006"/>
      <c r="C189" s="1006"/>
      <c r="D189" s="1041" t="s">
        <v>2909</v>
      </c>
      <c r="E189" s="1041"/>
      <c r="F189" s="1041"/>
      <c r="G189" s="1041"/>
      <c r="H189" s="1041"/>
      <c r="I189" s="1041"/>
      <c r="J189" s="1041"/>
      <c r="K189" s="1041"/>
      <c r="L189" s="1041"/>
      <c r="M189" s="1041"/>
      <c r="N189" s="1041"/>
      <c r="O189" s="1041"/>
      <c r="P189" s="1006"/>
      <c r="Q189" s="1006"/>
      <c r="R189" s="1006"/>
      <c r="S189" s="1006"/>
      <c r="T189" s="1006"/>
      <c r="U189" s="1006"/>
      <c r="V189" s="1006"/>
      <c r="W189" s="1006"/>
      <c r="X189" s="1006"/>
      <c r="Y189" s="948"/>
      <c r="Z189" s="948"/>
      <c r="AA189" s="948"/>
      <c r="AB189" s="948"/>
      <c r="AC189" s="948"/>
      <c r="AD189" s="948"/>
      <c r="AE189" s="948"/>
      <c r="AF189" s="948"/>
      <c r="AG189" s="948"/>
      <c r="AH189" s="948"/>
      <c r="AI189" s="948"/>
      <c r="AJ189" s="924"/>
      <c r="AK189" s="924"/>
      <c r="AL189" s="925">
        <v>1</v>
      </c>
      <c r="AM189" s="627"/>
      <c r="AN189" s="627"/>
    </row>
    <row r="190" spans="1:40" customFormat="1" ht="30" customHeight="1">
      <c r="A190" s="1006"/>
      <c r="B190" s="1006"/>
      <c r="C190" s="1006"/>
      <c r="D190" s="1042" t="s">
        <v>2500</v>
      </c>
      <c r="E190" s="1041"/>
      <c r="F190" s="1043"/>
      <c r="G190" s="1041"/>
      <c r="H190" s="1041"/>
      <c r="I190" s="1041"/>
      <c r="J190" s="1041"/>
      <c r="K190" s="1043"/>
      <c r="L190" s="1043"/>
      <c r="M190" s="1043"/>
      <c r="N190" s="1043"/>
      <c r="O190" s="1043"/>
      <c r="P190" s="1006"/>
      <c r="Q190" s="1006"/>
      <c r="R190" s="1006"/>
      <c r="S190" s="1006"/>
      <c r="T190" s="1006"/>
      <c r="U190" s="1006"/>
      <c r="V190" s="1006"/>
      <c r="W190" s="1006"/>
      <c r="X190" s="1006"/>
      <c r="Y190" s="948"/>
      <c r="Z190" s="948"/>
      <c r="AA190" s="948"/>
      <c r="AB190" s="948"/>
      <c r="AC190" s="948"/>
      <c r="AD190" s="948"/>
      <c r="AE190" s="948"/>
      <c r="AF190" s="948"/>
      <c r="AG190" s="948"/>
      <c r="AH190" s="948"/>
      <c r="AI190" s="948"/>
      <c r="AJ190" s="924"/>
      <c r="AK190" s="924"/>
      <c r="AL190" s="925">
        <v>1</v>
      </c>
      <c r="AM190" s="627"/>
      <c r="AN190" s="627"/>
    </row>
    <row r="191" spans="1:40" customFormat="1" ht="30" customHeight="1">
      <c r="A191" s="1006"/>
      <c r="B191" s="1006"/>
      <c r="C191" s="1006"/>
      <c r="D191" s="1006"/>
      <c r="E191" s="1006"/>
      <c r="F191" s="1006"/>
      <c r="G191" s="1006"/>
      <c r="H191" s="1006"/>
      <c r="I191" s="1006"/>
      <c r="J191" s="1006"/>
      <c r="K191" s="1006"/>
      <c r="L191" s="1006"/>
      <c r="M191" s="1006"/>
      <c r="N191" s="1006"/>
      <c r="O191" s="1006"/>
      <c r="P191" s="1006"/>
      <c r="Q191" s="1006"/>
      <c r="R191" s="1006"/>
      <c r="S191" s="1006"/>
      <c r="T191" s="1006"/>
      <c r="U191" s="1006"/>
      <c r="V191" s="1006"/>
      <c r="W191" s="1006"/>
      <c r="X191" s="1006"/>
      <c r="Y191" s="948"/>
      <c r="Z191" s="948"/>
      <c r="AA191" s="948"/>
      <c r="AB191" s="948"/>
      <c r="AC191" s="948"/>
      <c r="AD191" s="948"/>
      <c r="AE191" s="948"/>
      <c r="AF191" s="948"/>
      <c r="AG191" s="948"/>
      <c r="AH191" s="948"/>
      <c r="AI191" s="948"/>
      <c r="AJ191" s="924"/>
      <c r="AK191" s="924"/>
      <c r="AL191" s="925">
        <v>1</v>
      </c>
      <c r="AM191" s="627"/>
      <c r="AN191" s="627"/>
    </row>
    <row r="192" spans="1:40" customFormat="1" ht="30" customHeight="1">
      <c r="A192" s="1006"/>
      <c r="B192" s="1006"/>
      <c r="C192" s="1006"/>
      <c r="D192" s="1041" t="s">
        <v>2895</v>
      </c>
      <c r="E192" s="1044"/>
      <c r="F192" s="1044"/>
      <c r="G192" s="1044"/>
      <c r="H192" s="1045"/>
      <c r="I192" s="1045"/>
      <c r="J192" s="1045"/>
      <c r="K192" s="1045"/>
      <c r="L192" s="1044"/>
      <c r="M192" s="1044"/>
      <c r="N192" s="1044"/>
      <c r="O192" s="1044"/>
      <c r="P192" s="1006"/>
      <c r="Q192" s="1006"/>
      <c r="R192" s="1006"/>
      <c r="S192" s="1006"/>
      <c r="T192" s="1006"/>
      <c r="U192" s="1006"/>
      <c r="V192" s="1006"/>
      <c r="W192" s="1006"/>
      <c r="X192" s="1046"/>
      <c r="Y192" s="948"/>
      <c r="Z192" s="948"/>
      <c r="AA192" s="948"/>
      <c r="AB192" s="948"/>
      <c r="AC192" s="948"/>
      <c r="AD192" s="948"/>
      <c r="AE192" s="948"/>
      <c r="AF192" s="948"/>
      <c r="AG192" s="948"/>
      <c r="AH192" s="948"/>
      <c r="AI192" s="948"/>
      <c r="AJ192" s="924"/>
      <c r="AK192" s="924"/>
      <c r="AL192" s="925">
        <v>1</v>
      </c>
      <c r="AM192" s="627"/>
      <c r="AN192" s="627"/>
    </row>
    <row r="193" spans="1:40" customFormat="1" ht="30" customHeight="1">
      <c r="A193" s="1006"/>
      <c r="B193" s="1006"/>
      <c r="C193" s="1006"/>
      <c r="D193" s="1156" t="s">
        <v>2896</v>
      </c>
      <c r="E193" s="1044"/>
      <c r="F193" s="1044"/>
      <c r="G193" s="1044"/>
      <c r="H193" s="1044"/>
      <c r="I193" s="1044"/>
      <c r="J193" s="1044"/>
      <c r="K193" s="1044"/>
      <c r="L193" s="1044"/>
      <c r="M193" s="1044"/>
      <c r="N193" s="1044"/>
      <c r="O193" s="1044"/>
      <c r="P193" s="1006"/>
      <c r="Q193" s="1006"/>
      <c r="R193" s="1006"/>
      <c r="S193" s="1006"/>
      <c r="T193" s="1006"/>
      <c r="U193" s="1006"/>
      <c r="V193" s="1006"/>
      <c r="W193" s="1006"/>
      <c r="X193" s="1046"/>
      <c r="Y193" s="948"/>
      <c r="Z193" s="948"/>
      <c r="AA193" s="948"/>
      <c r="AB193" s="948"/>
      <c r="AC193" s="948"/>
      <c r="AD193" s="948"/>
      <c r="AE193" s="948"/>
      <c r="AF193" s="948"/>
      <c r="AG193" s="948"/>
      <c r="AH193" s="948"/>
      <c r="AI193" s="948"/>
      <c r="AJ193" s="1006"/>
      <c r="AK193" s="1006"/>
      <c r="AL193" s="925">
        <v>1</v>
      </c>
      <c r="AM193" s="627"/>
      <c r="AN193" s="627"/>
    </row>
    <row r="194" spans="1:40" customFormat="1" ht="30" customHeight="1">
      <c r="A194" s="1006"/>
      <c r="B194" s="1006"/>
      <c r="C194" s="1006"/>
      <c r="D194" s="1041" t="s">
        <v>2897</v>
      </c>
      <c r="E194" s="1044"/>
      <c r="F194" s="1044"/>
      <c r="G194" s="1044"/>
      <c r="H194" s="1044"/>
      <c r="I194" s="1044"/>
      <c r="J194" s="1044"/>
      <c r="K194" s="1044"/>
      <c r="L194" s="1044"/>
      <c r="M194" s="1044"/>
      <c r="N194" s="1044"/>
      <c r="O194" s="1044"/>
      <c r="P194" s="1006"/>
      <c r="Q194" s="1006"/>
      <c r="R194" s="1006"/>
      <c r="S194" s="1006"/>
      <c r="T194" s="1006"/>
      <c r="U194" s="1006"/>
      <c r="V194" s="1006"/>
      <c r="W194" s="1006"/>
      <c r="X194" s="1006"/>
      <c r="Y194" s="948"/>
      <c r="Z194" s="948"/>
      <c r="AA194" s="948"/>
      <c r="AB194" s="948"/>
      <c r="AC194" s="948"/>
      <c r="AD194" s="948"/>
      <c r="AE194" s="948"/>
      <c r="AF194" s="948"/>
      <c r="AG194" s="948"/>
      <c r="AH194" s="948"/>
      <c r="AI194" s="948"/>
      <c r="AJ194" s="1006"/>
      <c r="AK194" s="1006"/>
      <c r="AL194" s="925">
        <v>1</v>
      </c>
      <c r="AM194" s="627"/>
      <c r="AN194" s="627"/>
    </row>
    <row r="195" spans="1:40" customFormat="1" ht="30" customHeight="1">
      <c r="A195" s="1006"/>
      <c r="B195" s="1006"/>
      <c r="C195" s="1006"/>
      <c r="D195" s="1048" t="s">
        <v>2503</v>
      </c>
      <c r="E195" s="1044"/>
      <c r="F195" s="1044"/>
      <c r="G195" s="1044"/>
      <c r="H195" s="1044"/>
      <c r="I195" s="1044"/>
      <c r="J195" s="1044"/>
      <c r="K195" s="1044"/>
      <c r="L195" s="1044"/>
      <c r="M195" s="1044"/>
      <c r="N195" s="1044"/>
      <c r="O195" s="1044"/>
      <c r="P195" s="1006"/>
      <c r="Q195" s="1006"/>
      <c r="R195" s="1006"/>
      <c r="S195" s="1006"/>
      <c r="T195" s="1006"/>
      <c r="U195" s="1006"/>
      <c r="V195" s="1006"/>
      <c r="W195" s="1006"/>
      <c r="X195" s="1006"/>
      <c r="Y195" s="948"/>
      <c r="Z195" s="948"/>
      <c r="AA195" s="948"/>
      <c r="AB195" s="948"/>
      <c r="AC195" s="948"/>
      <c r="AD195" s="948"/>
      <c r="AE195" s="948"/>
      <c r="AF195" s="948"/>
      <c r="AG195" s="948"/>
      <c r="AH195" s="948"/>
      <c r="AI195" s="948"/>
      <c r="AJ195" s="1006"/>
      <c r="AK195" s="1006"/>
      <c r="AL195" s="925">
        <v>1</v>
      </c>
      <c r="AM195" s="627"/>
      <c r="AN195" s="627"/>
    </row>
    <row r="196" spans="1:40" customFormat="1" ht="30" customHeight="1">
      <c r="A196" s="1006"/>
      <c r="B196" s="1006"/>
      <c r="C196" s="1006"/>
      <c r="D196" s="1049" t="s">
        <v>2504</v>
      </c>
      <c r="E196" s="1044"/>
      <c r="F196" s="1044"/>
      <c r="G196" s="1044"/>
      <c r="H196" s="1044"/>
      <c r="I196" s="1044"/>
      <c r="J196" s="1044"/>
      <c r="K196" s="1044"/>
      <c r="L196" s="1044"/>
      <c r="M196" s="1044"/>
      <c r="N196" s="1044"/>
      <c r="O196" s="1044"/>
      <c r="P196" s="1006"/>
      <c r="Q196" s="1006"/>
      <c r="R196" s="1006"/>
      <c r="S196" s="1006"/>
      <c r="T196" s="1006"/>
      <c r="U196" s="1006"/>
      <c r="V196" s="1006"/>
      <c r="W196" s="1006"/>
      <c r="X196" s="1006"/>
      <c r="Y196" s="948"/>
      <c r="Z196" s="948"/>
      <c r="AA196" s="948"/>
      <c r="AB196" s="948"/>
      <c r="AC196" s="948"/>
      <c r="AD196" s="948"/>
      <c r="AE196" s="948"/>
      <c r="AF196" s="948"/>
      <c r="AG196" s="948"/>
      <c r="AH196" s="948"/>
      <c r="AI196" s="948"/>
      <c r="AJ196" s="1006"/>
      <c r="AK196" s="1006"/>
      <c r="AL196" s="925">
        <v>1</v>
      </c>
      <c r="AM196" s="627"/>
      <c r="AN196" s="627"/>
    </row>
    <row r="197" spans="1:40" customFormat="1" ht="30" customHeight="1">
      <c r="A197" s="1006"/>
      <c r="B197" s="1006"/>
      <c r="C197" s="1006"/>
      <c r="D197" s="1006"/>
      <c r="E197" s="1006"/>
      <c r="F197" s="1006"/>
      <c r="G197" s="1006"/>
      <c r="H197" s="1006"/>
      <c r="I197" s="1006"/>
      <c r="J197" s="1006"/>
      <c r="K197" s="1006"/>
      <c r="L197" s="1006"/>
      <c r="M197" s="1006"/>
      <c r="N197" s="1006"/>
      <c r="O197" s="1006"/>
      <c r="P197" s="1006"/>
      <c r="Q197" s="1006"/>
      <c r="R197" s="1006"/>
      <c r="S197" s="1006"/>
      <c r="T197" s="1006"/>
      <c r="U197" s="1006"/>
      <c r="V197" s="1006"/>
      <c r="W197" s="1006"/>
      <c r="X197" s="1006"/>
      <c r="Y197" s="948"/>
      <c r="Z197" s="948"/>
      <c r="AA197" s="948"/>
      <c r="AB197" s="948"/>
      <c r="AC197" s="948"/>
      <c r="AD197" s="948"/>
      <c r="AE197" s="948"/>
      <c r="AF197" s="948"/>
      <c r="AG197" s="948"/>
      <c r="AH197" s="948"/>
      <c r="AI197" s="948"/>
      <c r="AJ197" s="1006"/>
      <c r="AK197" s="1006"/>
      <c r="AL197" s="925">
        <v>1</v>
      </c>
      <c r="AM197" s="627"/>
      <c r="AN197" s="627"/>
    </row>
    <row r="198" spans="1:40" customFormat="1" ht="30" customHeight="1">
      <c r="A198" s="1006"/>
      <c r="B198" s="1006"/>
      <c r="C198" s="1006"/>
      <c r="D198" s="1047" t="s">
        <v>2889</v>
      </c>
      <c r="E198" s="1044"/>
      <c r="F198" s="1044"/>
      <c r="G198" s="1044"/>
      <c r="H198" s="1044"/>
      <c r="I198" s="1044"/>
      <c r="J198" s="1044"/>
      <c r="K198" s="1044"/>
      <c r="L198" s="1044"/>
      <c r="M198" s="1044"/>
      <c r="N198" s="1044"/>
      <c r="O198" s="1006"/>
      <c r="P198" s="1006"/>
      <c r="Q198" s="1006"/>
      <c r="R198" s="1006"/>
      <c r="S198" s="1006"/>
      <c r="T198" s="1006"/>
      <c r="U198" s="1006"/>
      <c r="V198" s="1006"/>
      <c r="W198" s="1006"/>
      <c r="X198" s="1006"/>
      <c r="Y198" s="948"/>
      <c r="Z198" s="948"/>
      <c r="AA198" s="948"/>
      <c r="AB198" s="948"/>
      <c r="AC198" s="948"/>
      <c r="AD198" s="948"/>
      <c r="AE198" s="948"/>
      <c r="AF198" s="948"/>
      <c r="AG198" s="948"/>
      <c r="AH198" s="948"/>
      <c r="AI198" s="948"/>
      <c r="AJ198" s="1006"/>
      <c r="AK198" s="1006"/>
      <c r="AL198" s="925">
        <v>1</v>
      </c>
      <c r="AM198" s="627"/>
      <c r="AN198" s="627"/>
    </row>
    <row r="199" spans="1:40" customFormat="1" ht="30" customHeight="1">
      <c r="A199" s="1006"/>
      <c r="B199" s="1006"/>
      <c r="C199" s="1006"/>
      <c r="D199" s="1044" t="s">
        <v>2890</v>
      </c>
      <c r="E199" s="1044"/>
      <c r="F199" s="1044"/>
      <c r="G199" s="1044"/>
      <c r="H199" s="1044"/>
      <c r="I199" s="1044"/>
      <c r="J199" s="1044"/>
      <c r="K199" s="1044"/>
      <c r="L199" s="1044"/>
      <c r="M199" s="1044"/>
      <c r="N199" s="1044"/>
      <c r="O199" s="1006"/>
      <c r="P199" s="1006"/>
      <c r="Q199" s="1006"/>
      <c r="R199" s="1006"/>
      <c r="S199" s="1006"/>
      <c r="T199" s="1006"/>
      <c r="U199" s="1006"/>
      <c r="V199" s="1006"/>
      <c r="W199" s="1006"/>
      <c r="X199" s="1006"/>
      <c r="Y199" s="948"/>
      <c r="Z199" s="948"/>
      <c r="AA199" s="948"/>
      <c r="AB199" s="948"/>
      <c r="AC199" s="948"/>
      <c r="AD199" s="948"/>
      <c r="AE199" s="948"/>
      <c r="AF199" s="948"/>
      <c r="AG199" s="948"/>
      <c r="AH199" s="948"/>
      <c r="AI199" s="948"/>
      <c r="AJ199" s="1006"/>
      <c r="AK199" s="1006"/>
      <c r="AL199" s="925">
        <v>1</v>
      </c>
      <c r="AM199" s="627"/>
      <c r="AN199" s="627"/>
    </row>
    <row r="200" spans="1:40" customFormat="1" ht="30" customHeight="1">
      <c r="A200" s="1006"/>
      <c r="B200" s="1006"/>
      <c r="C200" s="1006"/>
      <c r="D200" s="1044" t="s">
        <v>2891</v>
      </c>
      <c r="E200" s="1044"/>
      <c r="F200" s="1044"/>
      <c r="G200" s="1044"/>
      <c r="H200" s="1044"/>
      <c r="I200" s="1044"/>
      <c r="J200" s="1044"/>
      <c r="K200" s="1044"/>
      <c r="L200" s="1044"/>
      <c r="M200" s="1044"/>
      <c r="N200" s="1044"/>
      <c r="O200" s="1006"/>
      <c r="P200" s="1006"/>
      <c r="Q200" s="1006"/>
      <c r="R200" s="1006"/>
      <c r="S200" s="1006"/>
      <c r="T200" s="1006"/>
      <c r="U200" s="1006"/>
      <c r="V200" s="1006"/>
      <c r="W200" s="1006"/>
      <c r="X200" s="1006"/>
      <c r="Y200" s="948"/>
      <c r="Z200" s="948"/>
      <c r="AA200" s="948"/>
      <c r="AB200" s="948"/>
      <c r="AC200" s="948"/>
      <c r="AD200" s="948"/>
      <c r="AE200" s="948"/>
      <c r="AF200" s="948"/>
      <c r="AG200" s="948"/>
      <c r="AH200" s="948"/>
      <c r="AI200" s="948"/>
      <c r="AJ200" s="1006"/>
      <c r="AK200" s="1006"/>
      <c r="AL200" s="925">
        <v>1</v>
      </c>
      <c r="AM200" s="627"/>
      <c r="AN200" s="627"/>
    </row>
    <row r="201" spans="1:40" customFormat="1" ht="30" customHeight="1">
      <c r="A201" s="1006"/>
      <c r="B201" s="1006"/>
      <c r="C201" s="1006"/>
      <c r="D201" s="1044" t="s">
        <v>2892</v>
      </c>
      <c r="E201" s="1044"/>
      <c r="F201" s="1044"/>
      <c r="G201" s="1044"/>
      <c r="H201" s="1044"/>
      <c r="I201" s="1044"/>
      <c r="J201" s="1044"/>
      <c r="K201" s="1044"/>
      <c r="L201" s="1044"/>
      <c r="M201" s="1044"/>
      <c r="N201" s="1044"/>
      <c r="O201" s="1006"/>
      <c r="P201" s="1006"/>
      <c r="Q201" s="1006"/>
      <c r="R201" s="1006"/>
      <c r="S201" s="1006"/>
      <c r="T201" s="1006"/>
      <c r="U201" s="1006"/>
      <c r="V201" s="1006"/>
      <c r="W201" s="1006"/>
      <c r="X201" s="1006"/>
      <c r="Y201" s="948"/>
      <c r="Z201" s="948"/>
      <c r="AA201" s="948"/>
      <c r="AB201" s="948"/>
      <c r="AC201" s="948"/>
      <c r="AD201" s="948"/>
      <c r="AE201" s="948"/>
      <c r="AF201" s="948"/>
      <c r="AG201" s="948"/>
      <c r="AH201" s="948"/>
      <c r="AI201" s="948"/>
      <c r="AJ201" s="1006"/>
      <c r="AK201" s="1006"/>
      <c r="AL201" s="925">
        <v>1</v>
      </c>
      <c r="AM201" s="627"/>
      <c r="AN201" s="627"/>
    </row>
    <row r="202" spans="1:40" customFormat="1" ht="30" customHeight="1">
      <c r="A202" s="1006"/>
      <c r="B202" s="1006"/>
      <c r="C202" s="1006"/>
      <c r="D202" s="1044" t="s">
        <v>2893</v>
      </c>
      <c r="E202" s="1044"/>
      <c r="F202" s="1044"/>
      <c r="G202" s="1044"/>
      <c r="H202" s="1044"/>
      <c r="I202" s="1044"/>
      <c r="J202" s="1044"/>
      <c r="K202" s="1044"/>
      <c r="L202" s="1044"/>
      <c r="M202" s="1044"/>
      <c r="N202" s="1044"/>
      <c r="O202" s="1006"/>
      <c r="P202" s="1006"/>
      <c r="Q202" s="1006"/>
      <c r="R202" s="1006"/>
      <c r="S202" s="1006"/>
      <c r="T202" s="1006"/>
      <c r="U202" s="1006"/>
      <c r="V202" s="1006"/>
      <c r="W202" s="1006"/>
      <c r="X202" s="1006"/>
      <c r="Y202" s="948"/>
      <c r="Z202" s="948"/>
      <c r="AA202" s="948"/>
      <c r="AB202" s="948"/>
      <c r="AC202" s="948"/>
      <c r="AD202" s="948"/>
      <c r="AE202" s="948"/>
      <c r="AF202" s="948"/>
      <c r="AG202" s="948"/>
      <c r="AH202" s="948"/>
      <c r="AI202" s="948"/>
      <c r="AJ202" s="1006"/>
      <c r="AK202" s="1006"/>
      <c r="AL202" s="925">
        <v>1</v>
      </c>
      <c r="AM202" s="627"/>
      <c r="AN202" s="627"/>
    </row>
    <row r="203" spans="1:40" customFormat="1" ht="30" customHeight="1">
      <c r="A203" s="1006"/>
      <c r="B203" s="1006"/>
      <c r="C203" s="1006"/>
      <c r="D203" s="1044" t="s">
        <v>2894</v>
      </c>
      <c r="E203" s="1044"/>
      <c r="F203" s="1044"/>
      <c r="G203" s="1044"/>
      <c r="H203" s="1044"/>
      <c r="I203" s="1044"/>
      <c r="J203" s="1044"/>
      <c r="K203" s="1044"/>
      <c r="L203" s="1044"/>
      <c r="M203" s="1044"/>
      <c r="N203" s="1044"/>
      <c r="O203" s="1006"/>
      <c r="P203" s="1006"/>
      <c r="Q203" s="1006"/>
      <c r="R203" s="1006"/>
      <c r="S203" s="1006"/>
      <c r="T203" s="1006"/>
      <c r="U203" s="1006"/>
      <c r="V203" s="1006"/>
      <c r="W203" s="1006"/>
      <c r="X203" s="1006"/>
      <c r="Y203" s="1006"/>
      <c r="Z203" s="1006"/>
      <c r="AA203" s="1006"/>
      <c r="AB203" s="1006"/>
      <c r="AC203" s="1006"/>
      <c r="AD203" s="1006"/>
      <c r="AE203" s="1006"/>
      <c r="AF203" s="1006"/>
      <c r="AG203" s="1006"/>
      <c r="AH203" s="1006"/>
      <c r="AI203" s="1006"/>
      <c r="AJ203" s="1006"/>
      <c r="AK203" s="1006"/>
      <c r="AL203" s="925">
        <v>1</v>
      </c>
      <c r="AM203" s="627"/>
      <c r="AN203" s="627"/>
    </row>
    <row r="204" spans="1:40" customFormat="1" ht="30" customHeight="1">
      <c r="A204" s="1006"/>
      <c r="B204" s="1006"/>
      <c r="C204" s="1006"/>
      <c r="D204" s="1049" t="s">
        <v>2511</v>
      </c>
      <c r="E204" s="1044"/>
      <c r="F204" s="1044"/>
      <c r="G204" s="1044"/>
      <c r="H204" s="1044"/>
      <c r="I204" s="1044"/>
      <c r="J204" s="1044"/>
      <c r="K204" s="1044"/>
      <c r="L204" s="1044"/>
      <c r="M204" s="1044"/>
      <c r="N204" s="1044"/>
      <c r="O204" s="1006"/>
      <c r="P204" s="1006"/>
      <c r="Q204" s="1006"/>
      <c r="R204" s="1006"/>
      <c r="S204" s="1006"/>
      <c r="T204" s="1006"/>
      <c r="U204" s="1006"/>
      <c r="V204" s="1006"/>
      <c r="W204" s="1006"/>
      <c r="X204" s="1006"/>
      <c r="Y204" s="1006"/>
      <c r="Z204" s="1006"/>
      <c r="AA204" s="1006"/>
      <c r="AB204" s="1006"/>
      <c r="AC204" s="1006"/>
      <c r="AD204" s="1006"/>
      <c r="AE204" s="1006"/>
      <c r="AF204" s="1006"/>
      <c r="AG204" s="1006"/>
      <c r="AH204" s="1006"/>
      <c r="AI204" s="1006"/>
      <c r="AJ204" s="1006"/>
      <c r="AK204" s="1006"/>
      <c r="AL204" s="925">
        <v>1</v>
      </c>
      <c r="AM204" s="627"/>
      <c r="AN204" s="627"/>
    </row>
    <row r="205" spans="1:40" customFormat="1" ht="30" customHeight="1">
      <c r="A205" s="1006"/>
      <c r="B205" s="1006"/>
      <c r="C205" s="1006"/>
      <c r="D205" s="1049" t="s">
        <v>2512</v>
      </c>
      <c r="E205" s="1044"/>
      <c r="F205" s="1044"/>
      <c r="G205" s="1044"/>
      <c r="H205" s="1044"/>
      <c r="I205" s="1044"/>
      <c r="J205" s="1044"/>
      <c r="K205" s="1044"/>
      <c r="L205" s="1044"/>
      <c r="M205" s="1044"/>
      <c r="N205" s="1044"/>
      <c r="O205" s="1006"/>
      <c r="P205" s="1006"/>
      <c r="Q205" s="1006"/>
      <c r="R205" s="1006"/>
      <c r="S205" s="1006"/>
      <c r="T205" s="1006"/>
      <c r="U205" s="1006"/>
      <c r="V205" s="1006"/>
      <c r="W205" s="1006"/>
      <c r="X205" s="1006"/>
      <c r="Y205" s="1006"/>
      <c r="Z205" s="1006"/>
      <c r="AA205" s="1006"/>
      <c r="AB205" s="1006"/>
      <c r="AC205" s="1006"/>
      <c r="AD205" s="1006"/>
      <c r="AE205" s="1006"/>
      <c r="AF205" s="1006"/>
      <c r="AG205" s="1006"/>
      <c r="AH205" s="1006"/>
      <c r="AI205" s="1006"/>
      <c r="AJ205" s="1006"/>
      <c r="AK205" s="1006"/>
      <c r="AL205" s="925">
        <v>1</v>
      </c>
      <c r="AM205" s="627"/>
      <c r="AN205" s="627"/>
    </row>
    <row r="206" spans="1:40" customFormat="1" ht="30" customHeight="1">
      <c r="A206" s="1006"/>
      <c r="B206" s="1006"/>
      <c r="C206" s="1006"/>
      <c r="D206" s="1006"/>
      <c r="E206" s="1006"/>
      <c r="F206" s="1006"/>
      <c r="G206" s="1006"/>
      <c r="H206" s="1006"/>
      <c r="I206" s="1006"/>
      <c r="J206" s="1006"/>
      <c r="K206" s="1006"/>
      <c r="L206" s="1006"/>
      <c r="M206" s="1006"/>
      <c r="N206" s="1006"/>
      <c r="O206" s="1006"/>
      <c r="P206" s="1006"/>
      <c r="Q206" s="1006"/>
      <c r="R206" s="1006"/>
      <c r="S206" s="1006"/>
      <c r="T206" s="1006"/>
      <c r="U206" s="1006"/>
      <c r="V206" s="1006"/>
      <c r="W206" s="1006"/>
      <c r="X206" s="1006"/>
      <c r="Y206" s="1006"/>
      <c r="Z206" s="1006"/>
      <c r="AA206" s="1006"/>
      <c r="AB206" s="1006"/>
      <c r="AC206" s="1006"/>
      <c r="AD206" s="1006"/>
      <c r="AE206" s="1006"/>
      <c r="AF206" s="1006"/>
      <c r="AG206" s="1006"/>
      <c r="AH206" s="1006"/>
      <c r="AI206" s="1006"/>
      <c r="AJ206" s="1006"/>
      <c r="AK206" s="1006"/>
      <c r="AL206" s="925">
        <v>1</v>
      </c>
      <c r="AM206" s="627"/>
      <c r="AN206" s="627"/>
    </row>
    <row r="207" spans="1:40" customFormat="1" ht="30" customHeight="1">
      <c r="A207" s="1006"/>
      <c r="B207" s="1006"/>
      <c r="C207" s="1006"/>
      <c r="D207" s="1050" t="s">
        <v>2910</v>
      </c>
      <c r="E207" s="1051"/>
      <c r="F207" s="1051"/>
      <c r="G207" s="1051"/>
      <c r="H207" s="1051"/>
      <c r="I207" s="1051"/>
      <c r="J207" s="1051"/>
      <c r="K207" s="1051"/>
      <c r="L207" s="1051"/>
      <c r="M207" s="1051"/>
      <c r="N207" s="1051"/>
      <c r="O207" s="1006"/>
      <c r="P207" s="1006"/>
      <c r="Q207" s="1006"/>
      <c r="R207" s="1006"/>
      <c r="S207" s="1006"/>
      <c r="T207" s="1006"/>
      <c r="U207" s="1006"/>
      <c r="V207" s="1006"/>
      <c r="W207" s="1006"/>
      <c r="X207" s="1006"/>
      <c r="Y207" s="1006"/>
      <c r="Z207" s="1006"/>
      <c r="AA207" s="1006"/>
      <c r="AB207" s="1006"/>
      <c r="AC207" s="1006"/>
      <c r="AD207" s="1006"/>
      <c r="AE207" s="1006"/>
      <c r="AF207" s="1006"/>
      <c r="AG207" s="1006"/>
      <c r="AH207" s="1006"/>
      <c r="AI207" s="1006"/>
      <c r="AJ207" s="1006"/>
      <c r="AK207" s="1006"/>
      <c r="AL207" s="925">
        <v>1</v>
      </c>
      <c r="AM207" s="627"/>
      <c r="AN207" s="627"/>
    </row>
    <row r="208" spans="1:40" customFormat="1" ht="30" customHeight="1">
      <c r="A208" s="1006"/>
      <c r="B208" s="1006"/>
      <c r="C208" s="1006"/>
      <c r="D208" s="1052" t="s">
        <v>2911</v>
      </c>
      <c r="E208" s="1051"/>
      <c r="F208" s="1051"/>
      <c r="G208" s="1051"/>
      <c r="H208" s="1051"/>
      <c r="I208" s="1051"/>
      <c r="J208" s="1051"/>
      <c r="K208" s="1051"/>
      <c r="L208" s="1051"/>
      <c r="M208" s="1051"/>
      <c r="N208" s="1051"/>
      <c r="O208" s="1006"/>
      <c r="P208" s="1006"/>
      <c r="Q208" s="1006"/>
      <c r="R208" s="1006"/>
      <c r="S208" s="1006"/>
      <c r="T208" s="1006"/>
      <c r="U208" s="1006"/>
      <c r="V208" s="1006"/>
      <c r="W208" s="1006"/>
      <c r="X208" s="1006"/>
      <c r="Y208" s="1006"/>
      <c r="Z208" s="1006"/>
      <c r="AA208" s="1006"/>
      <c r="AB208" s="1006"/>
      <c r="AC208" s="1006"/>
      <c r="AD208" s="1006"/>
      <c r="AE208" s="1006"/>
      <c r="AF208" s="1006"/>
      <c r="AG208" s="1006"/>
      <c r="AH208" s="1006"/>
      <c r="AI208" s="1006"/>
      <c r="AJ208" s="1006"/>
      <c r="AK208" s="1006"/>
      <c r="AL208" s="925">
        <v>1</v>
      </c>
      <c r="AM208" s="627"/>
      <c r="AN208" s="627"/>
    </row>
    <row r="209" spans="1:40" customFormat="1" ht="30" customHeight="1">
      <c r="A209" s="1006"/>
      <c r="B209" s="1006"/>
      <c r="C209" s="1006"/>
      <c r="D209" s="1052" t="s">
        <v>2912</v>
      </c>
      <c r="E209" s="1051"/>
      <c r="F209" s="1051"/>
      <c r="G209" s="1051"/>
      <c r="H209" s="1051"/>
      <c r="I209" s="1051"/>
      <c r="J209" s="1051"/>
      <c r="K209" s="1051"/>
      <c r="L209" s="1051"/>
      <c r="M209" s="1051"/>
      <c r="N209" s="1051"/>
      <c r="O209" s="1006"/>
      <c r="P209" s="1006"/>
      <c r="Q209" s="1006"/>
      <c r="R209" s="1006"/>
      <c r="S209" s="1006"/>
      <c r="T209" s="1006"/>
      <c r="U209" s="1006"/>
      <c r="V209" s="1006"/>
      <c r="W209" s="1006"/>
      <c r="X209" s="1006"/>
      <c r="Y209" s="1006"/>
      <c r="Z209" s="1006"/>
      <c r="AA209" s="1006"/>
      <c r="AB209" s="1006"/>
      <c r="AC209" s="1006"/>
      <c r="AD209" s="1006"/>
      <c r="AE209" s="1006"/>
      <c r="AF209" s="1006"/>
      <c r="AG209" s="1006"/>
      <c r="AH209" s="1006"/>
      <c r="AI209" s="1006"/>
      <c r="AJ209" s="1006"/>
      <c r="AK209" s="1006"/>
      <c r="AL209" s="925">
        <v>1</v>
      </c>
      <c r="AM209" s="627"/>
      <c r="AN209" s="627"/>
    </row>
    <row r="210" spans="1:40" customFormat="1" ht="30" customHeight="1">
      <c r="A210" s="1006"/>
      <c r="B210" s="1006"/>
      <c r="C210" s="1006"/>
      <c r="D210" s="1052" t="s">
        <v>2913</v>
      </c>
      <c r="E210" s="1051"/>
      <c r="F210" s="1051"/>
      <c r="G210" s="1051"/>
      <c r="H210" s="1051"/>
      <c r="I210" s="1051"/>
      <c r="J210" s="1051"/>
      <c r="K210" s="1051"/>
      <c r="L210" s="1051"/>
      <c r="M210" s="1051"/>
      <c r="N210" s="1051"/>
      <c r="O210" s="1006"/>
      <c r="P210" s="1006"/>
      <c r="Q210" s="1006"/>
      <c r="R210" s="1006"/>
      <c r="S210" s="1006"/>
      <c r="T210" s="1006"/>
      <c r="U210" s="1006"/>
      <c r="V210" s="1006"/>
      <c r="W210" s="1006"/>
      <c r="X210" s="1006"/>
      <c r="Y210" s="1006"/>
      <c r="Z210" s="1006"/>
      <c r="AA210" s="1006"/>
      <c r="AB210" s="1006"/>
      <c r="AC210" s="1006"/>
      <c r="AD210" s="1006"/>
      <c r="AE210" s="1006"/>
      <c r="AF210" s="1006"/>
      <c r="AG210" s="1006"/>
      <c r="AH210" s="1006"/>
      <c r="AI210" s="1006"/>
      <c r="AJ210" s="1006"/>
      <c r="AK210" s="1006"/>
      <c r="AL210" s="925">
        <v>1</v>
      </c>
      <c r="AM210" s="627"/>
      <c r="AN210" s="627"/>
    </row>
    <row r="211" spans="1:40" customFormat="1" ht="30" customHeight="1">
      <c r="A211" s="1006"/>
      <c r="B211" s="1006"/>
      <c r="C211" s="1006"/>
      <c r="D211" s="1053" t="s">
        <v>2517</v>
      </c>
      <c r="E211" s="1051"/>
      <c r="F211" s="1051"/>
      <c r="G211" s="1051"/>
      <c r="H211" s="1051"/>
      <c r="I211" s="1051"/>
      <c r="J211" s="1051"/>
      <c r="K211" s="1051"/>
      <c r="L211" s="1051"/>
      <c r="M211" s="1051"/>
      <c r="N211" s="1051"/>
      <c r="O211" s="1006"/>
      <c r="P211" s="1006"/>
      <c r="Q211" s="1006"/>
      <c r="R211" s="1006"/>
      <c r="S211" s="1006"/>
      <c r="T211" s="1006"/>
      <c r="U211" s="1006"/>
      <c r="V211" s="1006"/>
      <c r="W211" s="1006"/>
      <c r="X211" s="1006"/>
      <c r="Y211" s="1006"/>
      <c r="Z211" s="1006"/>
      <c r="AA211" s="1006"/>
      <c r="AB211" s="1006"/>
      <c r="AC211" s="1006"/>
      <c r="AD211" s="1006"/>
      <c r="AE211" s="1006"/>
      <c r="AF211" s="1006"/>
      <c r="AG211" s="1006"/>
      <c r="AH211" s="1006"/>
      <c r="AI211" s="1006"/>
      <c r="AJ211" s="1006"/>
      <c r="AK211" s="1006"/>
      <c r="AL211" s="925">
        <v>1</v>
      </c>
      <c r="AM211" s="627"/>
      <c r="AN211" s="627"/>
    </row>
    <row r="212" spans="1:40" customFormat="1" ht="30" customHeight="1">
      <c r="A212" s="1006"/>
      <c r="B212" s="1006"/>
      <c r="C212" s="1006"/>
      <c r="D212" s="1054" t="s">
        <v>2518</v>
      </c>
      <c r="E212" s="1051"/>
      <c r="F212" s="1051"/>
      <c r="G212" s="1051"/>
      <c r="H212" s="1051"/>
      <c r="I212" s="1051"/>
      <c r="J212" s="1051"/>
      <c r="K212" s="1051"/>
      <c r="L212" s="1051"/>
      <c r="M212" s="1051"/>
      <c r="N212" s="1051"/>
      <c r="O212" s="1006"/>
      <c r="P212" s="1006"/>
      <c r="Q212" s="1006"/>
      <c r="R212" s="1006"/>
      <c r="S212" s="1006"/>
      <c r="T212" s="1006"/>
      <c r="U212" s="1006"/>
      <c r="V212" s="1006"/>
      <c r="W212" s="1006"/>
      <c r="X212" s="1006"/>
      <c r="Y212" s="1006"/>
      <c r="Z212" s="1006"/>
      <c r="AA212" s="1006"/>
      <c r="AB212" s="1006"/>
      <c r="AC212" s="1006"/>
      <c r="AD212" s="1006"/>
      <c r="AE212" s="1006"/>
      <c r="AF212" s="1006"/>
      <c r="AG212" s="1006"/>
      <c r="AH212" s="1006"/>
      <c r="AI212" s="1006"/>
      <c r="AJ212" s="1006"/>
      <c r="AK212" s="1006"/>
      <c r="AL212" s="925">
        <v>1</v>
      </c>
      <c r="AM212" s="627"/>
      <c r="AN212" s="627"/>
    </row>
    <row r="213" spans="1:40" customFormat="1" ht="30" customHeight="1">
      <c r="A213" s="1006"/>
      <c r="B213" s="1006"/>
      <c r="C213" s="1006"/>
      <c r="D213" s="1054" t="s">
        <v>2519</v>
      </c>
      <c r="E213" s="1051"/>
      <c r="F213" s="1051"/>
      <c r="G213" s="1051"/>
      <c r="H213" s="1051"/>
      <c r="I213" s="1051"/>
      <c r="J213" s="1051"/>
      <c r="K213" s="1051"/>
      <c r="L213" s="1051"/>
      <c r="M213" s="1051"/>
      <c r="N213" s="1051"/>
      <c r="O213" s="1006"/>
      <c r="P213" s="1006"/>
      <c r="Q213" s="1006"/>
      <c r="R213" s="1006"/>
      <c r="S213" s="1006"/>
      <c r="T213" s="1006"/>
      <c r="U213" s="1006"/>
      <c r="V213" s="1006"/>
      <c r="W213" s="1006"/>
      <c r="X213" s="1006"/>
      <c r="Y213" s="1006"/>
      <c r="Z213" s="1006"/>
      <c r="AA213" s="1006"/>
      <c r="AB213" s="1006"/>
      <c r="AC213" s="1006"/>
      <c r="AD213" s="1006"/>
      <c r="AE213" s="1006"/>
      <c r="AF213" s="1006"/>
      <c r="AG213" s="1006"/>
      <c r="AH213" s="1006"/>
      <c r="AI213" s="1006"/>
      <c r="AJ213" s="1006"/>
      <c r="AK213" s="1006"/>
      <c r="AL213" s="925">
        <v>1</v>
      </c>
      <c r="AM213" s="627"/>
      <c r="AN213" s="627"/>
    </row>
    <row r="214" spans="1:40" customFormat="1" ht="30" customHeight="1">
      <c r="A214" s="1006"/>
      <c r="B214" s="1006"/>
      <c r="C214" s="1006"/>
      <c r="D214" s="1006"/>
      <c r="E214" s="1006"/>
      <c r="F214" s="1006"/>
      <c r="G214" s="1006"/>
      <c r="H214" s="1006"/>
      <c r="I214" s="1006"/>
      <c r="J214" s="1006"/>
      <c r="K214" s="1006"/>
      <c r="L214" s="1006"/>
      <c r="M214" s="1006"/>
      <c r="N214" s="1006"/>
      <c r="O214" s="1006"/>
      <c r="P214" s="1006"/>
      <c r="Q214" s="1006"/>
      <c r="R214" s="1006"/>
      <c r="S214" s="1006"/>
      <c r="T214" s="1006"/>
      <c r="U214" s="1006"/>
      <c r="V214" s="1006"/>
      <c r="W214" s="1006"/>
      <c r="X214" s="1006"/>
      <c r="Y214" s="1006"/>
      <c r="Z214" s="1006"/>
      <c r="AA214" s="1006"/>
      <c r="AB214" s="1006"/>
      <c r="AC214" s="1006"/>
      <c r="AD214" s="1006"/>
      <c r="AE214" s="1006"/>
      <c r="AF214" s="1006"/>
      <c r="AG214" s="1006"/>
      <c r="AH214" s="1006"/>
      <c r="AI214" s="1006"/>
      <c r="AJ214" s="1006"/>
      <c r="AK214" s="1006"/>
      <c r="AL214" s="925">
        <v>1</v>
      </c>
      <c r="AM214" s="627"/>
      <c r="AN214" s="627"/>
    </row>
    <row r="215" spans="1:40" customFormat="1" ht="30" customHeight="1">
      <c r="A215" s="1006"/>
      <c r="B215" s="1006"/>
      <c r="C215" s="1006"/>
      <c r="D215" s="1055" t="s">
        <v>2921</v>
      </c>
      <c r="E215" s="1055"/>
      <c r="F215" s="1055"/>
      <c r="G215" s="1055"/>
      <c r="H215" s="1055"/>
      <c r="I215" s="1055"/>
      <c r="J215" s="1055"/>
      <c r="K215" s="1055"/>
      <c r="L215" s="1055"/>
      <c r="M215" s="1055"/>
      <c r="N215" s="1055"/>
      <c r="O215" s="1006"/>
      <c r="P215" s="1006"/>
      <c r="Q215" s="1006"/>
      <c r="R215" s="1006"/>
      <c r="S215" s="1006"/>
      <c r="T215" s="1006"/>
      <c r="U215" s="1006"/>
      <c r="V215" s="1006"/>
      <c r="W215" s="1006"/>
      <c r="X215" s="1006"/>
      <c r="Y215" s="1006"/>
      <c r="Z215" s="1006"/>
      <c r="AA215" s="1006"/>
      <c r="AB215" s="1006"/>
      <c r="AC215" s="1006"/>
      <c r="AD215" s="1006"/>
      <c r="AE215" s="1006"/>
      <c r="AF215" s="1006"/>
      <c r="AG215" s="1006"/>
      <c r="AH215" s="1006"/>
      <c r="AI215" s="1006"/>
      <c r="AJ215" s="1006"/>
      <c r="AK215" s="1006"/>
      <c r="AL215" s="925">
        <v>1</v>
      </c>
      <c r="AM215" s="627"/>
      <c r="AN215" s="627"/>
    </row>
    <row r="216" spans="1:40" customFormat="1" ht="30" customHeight="1">
      <c r="A216" s="1006"/>
      <c r="B216" s="1006"/>
      <c r="C216" s="1006"/>
      <c r="D216" s="1055" t="s">
        <v>2922</v>
      </c>
      <c r="E216" s="1055"/>
      <c r="F216" s="1055"/>
      <c r="G216" s="1055"/>
      <c r="H216" s="1055"/>
      <c r="I216" s="1055"/>
      <c r="J216" s="1055"/>
      <c r="K216" s="1055"/>
      <c r="L216" s="1055"/>
      <c r="M216" s="1055"/>
      <c r="N216" s="1055"/>
      <c r="O216" s="1006"/>
      <c r="P216" s="1006"/>
      <c r="Q216" s="1006"/>
      <c r="R216" s="1006"/>
      <c r="S216" s="1006"/>
      <c r="T216" s="1006"/>
      <c r="U216" s="1006"/>
      <c r="V216" s="1006"/>
      <c r="W216" s="1006"/>
      <c r="X216" s="1006"/>
      <c r="Y216" s="1006"/>
      <c r="Z216" s="1006"/>
      <c r="AA216" s="1006"/>
      <c r="AB216" s="1006"/>
      <c r="AC216" s="1006"/>
      <c r="AD216" s="1006"/>
      <c r="AE216" s="1006"/>
      <c r="AF216" s="1006"/>
      <c r="AG216" s="1006"/>
      <c r="AH216" s="1006"/>
      <c r="AI216" s="1006"/>
      <c r="AJ216" s="1006"/>
      <c r="AK216" s="1006"/>
      <c r="AL216" s="925">
        <v>1</v>
      </c>
      <c r="AM216" s="627"/>
      <c r="AN216" s="627"/>
    </row>
    <row r="217" spans="1:40" customFormat="1" ht="30" customHeight="1">
      <c r="A217" s="1006"/>
      <c r="B217" s="1006"/>
      <c r="C217" s="1006"/>
      <c r="D217" s="1055" t="s">
        <v>2923</v>
      </c>
      <c r="E217" s="1055"/>
      <c r="F217" s="1055"/>
      <c r="G217" s="1055"/>
      <c r="H217" s="1055"/>
      <c r="I217" s="1055"/>
      <c r="J217" s="1055"/>
      <c r="K217" s="1055"/>
      <c r="L217" s="1055"/>
      <c r="M217" s="1055"/>
      <c r="N217" s="1055"/>
      <c r="O217" s="1006"/>
      <c r="P217" s="1006"/>
      <c r="Q217" s="1006"/>
      <c r="R217" s="1006"/>
      <c r="S217" s="1006"/>
      <c r="T217" s="1006"/>
      <c r="U217" s="1006"/>
      <c r="V217" s="1006"/>
      <c r="W217" s="1006"/>
      <c r="X217" s="1006"/>
      <c r="Y217" s="1006"/>
      <c r="Z217" s="1006"/>
      <c r="AA217" s="1006"/>
      <c r="AB217" s="1006"/>
      <c r="AC217" s="1006"/>
      <c r="AD217" s="1006"/>
      <c r="AE217" s="1006"/>
      <c r="AF217" s="1006"/>
      <c r="AG217" s="1006"/>
      <c r="AH217" s="1006"/>
      <c r="AI217" s="1006"/>
      <c r="AJ217" s="1006"/>
      <c r="AK217" s="1006"/>
      <c r="AL217" s="925">
        <v>1</v>
      </c>
      <c r="AM217" s="627"/>
      <c r="AN217" s="627"/>
    </row>
    <row r="218" spans="1:40" customFormat="1" ht="30" customHeight="1">
      <c r="A218" s="1006"/>
      <c r="B218" s="1006"/>
      <c r="C218" s="1006"/>
      <c r="D218" s="1055" t="s">
        <v>2924</v>
      </c>
      <c r="E218" s="1055"/>
      <c r="F218" s="1055"/>
      <c r="G218" s="1055"/>
      <c r="H218" s="1055"/>
      <c r="I218" s="1055"/>
      <c r="J218" s="1055"/>
      <c r="K218" s="1055"/>
      <c r="L218" s="1055"/>
      <c r="M218" s="1055"/>
      <c r="N218" s="1055"/>
      <c r="O218" s="1006"/>
      <c r="P218" s="1006"/>
      <c r="Q218" s="1006"/>
      <c r="R218" s="1006"/>
      <c r="S218" s="1006"/>
      <c r="T218" s="1006"/>
      <c r="U218" s="1006"/>
      <c r="V218" s="1006"/>
      <c r="W218" s="1006"/>
      <c r="X218" s="1006"/>
      <c r="Y218" s="1006"/>
      <c r="Z218" s="1006"/>
      <c r="AA218" s="1006"/>
      <c r="AB218" s="1006"/>
      <c r="AC218" s="1006"/>
      <c r="AD218" s="1006"/>
      <c r="AE218" s="1006"/>
      <c r="AF218" s="1006"/>
      <c r="AG218" s="1006"/>
      <c r="AH218" s="1006"/>
      <c r="AI218" s="1006"/>
      <c r="AJ218" s="1006"/>
      <c r="AK218" s="1006"/>
      <c r="AL218" s="925">
        <v>1</v>
      </c>
      <c r="AM218" s="627"/>
      <c r="AN218" s="627"/>
    </row>
    <row r="219" spans="1:40" customFormat="1" ht="30" customHeight="1">
      <c r="A219" s="1006"/>
      <c r="B219" s="1006"/>
      <c r="C219" s="1006"/>
      <c r="D219" s="1055"/>
      <c r="E219" s="1055"/>
      <c r="F219" s="1055"/>
      <c r="G219" s="1055"/>
      <c r="H219" s="1055"/>
      <c r="I219" s="1055"/>
      <c r="J219" s="1055"/>
      <c r="K219" s="1055"/>
      <c r="L219" s="1055"/>
      <c r="M219" s="1055"/>
      <c r="N219" s="1055"/>
      <c r="O219" s="1006"/>
      <c r="P219" s="1006"/>
      <c r="Q219" s="1006"/>
      <c r="R219" s="1006"/>
      <c r="S219" s="1006"/>
      <c r="T219" s="1006"/>
      <c r="U219" s="1006"/>
      <c r="V219" s="1006"/>
      <c r="W219" s="1006"/>
      <c r="X219" s="1006"/>
      <c r="Y219" s="1006"/>
      <c r="Z219" s="1006"/>
      <c r="AA219" s="1006"/>
      <c r="AB219" s="1006"/>
      <c r="AC219" s="1006"/>
      <c r="AD219" s="1006"/>
      <c r="AE219" s="1006"/>
      <c r="AF219" s="1006"/>
      <c r="AG219" s="1006"/>
      <c r="AH219" s="1006"/>
      <c r="AI219" s="1006"/>
      <c r="AJ219" s="1006"/>
      <c r="AK219" s="1006"/>
      <c r="AL219" s="925">
        <v>1</v>
      </c>
      <c r="AM219" s="627"/>
      <c r="AN219" s="627"/>
    </row>
    <row r="220" spans="1:40" customFormat="1" ht="30" customHeight="1" thickBot="1">
      <c r="A220" s="1006"/>
      <c r="B220" s="1006"/>
      <c r="C220" s="1006"/>
      <c r="D220" s="1006"/>
      <c r="E220" s="1006"/>
      <c r="F220" s="1006"/>
      <c r="G220" s="1006"/>
      <c r="H220" s="1006"/>
      <c r="I220" s="1006"/>
      <c r="J220" s="1006"/>
      <c r="K220" s="1006"/>
      <c r="L220" s="1006"/>
      <c r="M220" s="1006"/>
      <c r="N220" s="1006"/>
      <c r="O220" s="1006"/>
      <c r="P220" s="1006"/>
      <c r="Q220" s="1006"/>
      <c r="R220" s="1006"/>
      <c r="S220" s="1006"/>
      <c r="T220" s="1006"/>
      <c r="U220" s="1006"/>
      <c r="V220" s="1006"/>
      <c r="W220" s="1006"/>
      <c r="X220" s="1006"/>
      <c r="Y220" s="1006"/>
      <c r="Z220" s="1006"/>
      <c r="AA220" s="1006"/>
      <c r="AB220" s="1006"/>
      <c r="AC220" s="1006"/>
      <c r="AD220" s="1006"/>
      <c r="AE220" s="1006"/>
      <c r="AF220" s="1006"/>
      <c r="AG220" s="1006"/>
      <c r="AH220" s="1006"/>
      <c r="AI220" s="1006"/>
      <c r="AJ220" s="1006"/>
      <c r="AK220" s="1006"/>
      <c r="AL220" s="925">
        <v>1</v>
      </c>
      <c r="AM220" s="627"/>
      <c r="AN220" s="627"/>
    </row>
    <row r="221" spans="1:40" s="1061" customFormat="1" ht="30" customHeight="1">
      <c r="A221" s="1056"/>
      <c r="B221" s="1006"/>
      <c r="C221" s="1006"/>
      <c r="D221" s="6446" t="s">
        <v>2925</v>
      </c>
      <c r="E221" s="6447"/>
      <c r="F221" s="6447"/>
      <c r="G221" s="6447"/>
      <c r="H221" s="6447"/>
      <c r="I221" s="6447"/>
      <c r="J221" s="6447"/>
      <c r="K221" s="1191"/>
      <c r="L221" s="1057"/>
      <c r="M221" s="1006"/>
      <c r="N221" s="1006"/>
      <c r="O221" s="1006"/>
      <c r="P221" s="1058" t="s">
        <v>2929</v>
      </c>
      <c r="Q221" s="1059"/>
      <c r="R221" s="1059"/>
      <c r="S221" s="1059"/>
      <c r="T221" s="1059"/>
      <c r="U221" s="1059"/>
      <c r="V221" s="1059"/>
      <c r="W221" s="1060"/>
      <c r="X221" s="1006"/>
      <c r="Y221" s="1006"/>
      <c r="Z221" s="1006"/>
      <c r="AA221" s="1006"/>
      <c r="AB221" s="1006"/>
      <c r="AC221" s="1006"/>
      <c r="AD221" s="1006"/>
      <c r="AE221" s="1006"/>
      <c r="AF221" s="1006"/>
      <c r="AG221" s="1006"/>
      <c r="AH221" s="1006"/>
      <c r="AI221" s="1006"/>
      <c r="AJ221" s="1006"/>
      <c r="AK221" s="1006"/>
      <c r="AL221" s="925">
        <v>1</v>
      </c>
      <c r="AM221" s="627"/>
      <c r="AN221" s="627"/>
    </row>
    <row r="222" spans="1:40" s="1061" customFormat="1" ht="30" customHeight="1">
      <c r="A222" s="1056"/>
      <c r="B222" s="1006"/>
      <c r="C222" s="1006"/>
      <c r="D222" s="1062" t="s">
        <v>3027</v>
      </c>
      <c r="E222" s="1063"/>
      <c r="F222" s="1063"/>
      <c r="G222" s="1063"/>
      <c r="H222" s="1063"/>
      <c r="I222" s="1063"/>
      <c r="J222" s="1063"/>
      <c r="K222" s="9"/>
      <c r="L222" s="38"/>
      <c r="M222" s="1006"/>
      <c r="N222" s="1006"/>
      <c r="O222" s="1006"/>
      <c r="P222" s="1064" t="s">
        <v>2930</v>
      </c>
      <c r="Q222" s="1065"/>
      <c r="R222" s="1065"/>
      <c r="S222" s="1065"/>
      <c r="T222" s="1065"/>
      <c r="U222" s="1065"/>
      <c r="V222" s="1065"/>
      <c r="W222" s="1066"/>
      <c r="X222" s="1006"/>
      <c r="Y222" s="1006"/>
      <c r="Z222" s="1006"/>
      <c r="AA222" s="1006"/>
      <c r="AB222" s="1006"/>
      <c r="AC222" s="1006"/>
      <c r="AD222" s="1006"/>
      <c r="AE222" s="1006"/>
      <c r="AF222" s="1006"/>
      <c r="AG222" s="1006"/>
      <c r="AH222" s="1006"/>
      <c r="AI222" s="1006"/>
      <c r="AJ222" s="1006"/>
      <c r="AK222" s="1006"/>
      <c r="AL222" s="925">
        <v>1</v>
      </c>
      <c r="AM222" s="627"/>
      <c r="AN222" s="627"/>
    </row>
    <row r="223" spans="1:40" s="1061" customFormat="1" ht="30" customHeight="1">
      <c r="A223" s="1056"/>
      <c r="B223" s="1006"/>
      <c r="C223" s="1006"/>
      <c r="D223" s="1062"/>
      <c r="E223" s="1067"/>
      <c r="F223" s="1067"/>
      <c r="G223" s="1067"/>
      <c r="H223" s="1067"/>
      <c r="I223" s="1067"/>
      <c r="J223" s="1067"/>
      <c r="K223" s="1067"/>
      <c r="L223" s="1068"/>
      <c r="M223" s="1006"/>
      <c r="N223" s="1006"/>
      <c r="O223" s="1006"/>
      <c r="P223" s="1069"/>
      <c r="Q223" s="1070"/>
      <c r="R223" s="1070"/>
      <c r="S223" s="1070"/>
      <c r="T223" s="1070"/>
      <c r="U223" s="1070"/>
      <c r="V223" s="1070"/>
      <c r="W223" s="1071"/>
      <c r="X223" s="1006"/>
      <c r="Y223" s="1006"/>
      <c r="Z223" s="1006"/>
      <c r="AA223" s="1006"/>
      <c r="AB223" s="1006"/>
      <c r="AC223" s="1006"/>
      <c r="AD223" s="1006"/>
      <c r="AE223" s="1006"/>
      <c r="AF223" s="1006"/>
      <c r="AG223" s="1006"/>
      <c r="AH223" s="1006"/>
      <c r="AI223" s="1006"/>
      <c r="AJ223" s="1006"/>
      <c r="AK223" s="1006"/>
      <c r="AL223" s="925">
        <v>1</v>
      </c>
      <c r="AM223" s="627"/>
      <c r="AN223" s="627"/>
    </row>
    <row r="224" spans="1:40" s="1061" customFormat="1" ht="30" customHeight="1">
      <c r="A224" s="1056"/>
      <c r="B224" s="1006"/>
      <c r="C224" s="1006"/>
      <c r="D224" s="1062"/>
      <c r="E224" s="1192" t="s">
        <v>3037</v>
      </c>
      <c r="F224" s="1067"/>
      <c r="G224" s="1067"/>
      <c r="H224" s="1067"/>
      <c r="I224" s="1067"/>
      <c r="J224" s="1067"/>
      <c r="K224" s="1067"/>
      <c r="L224" s="1068"/>
      <c r="M224" s="1006"/>
      <c r="N224" s="1006"/>
      <c r="O224" s="1006"/>
      <c r="P224" s="1069"/>
      <c r="Q224" s="1070"/>
      <c r="R224" s="1070"/>
      <c r="S224" s="1070"/>
      <c r="T224" s="1070"/>
      <c r="U224" s="1070"/>
      <c r="V224" s="1070"/>
      <c r="W224" s="1071"/>
      <c r="X224" s="1006"/>
      <c r="Y224" s="1006"/>
      <c r="Z224" s="1006"/>
      <c r="AA224" s="1006"/>
      <c r="AB224" s="1006"/>
      <c r="AC224" s="1006"/>
      <c r="AD224" s="1006"/>
      <c r="AE224" s="1006"/>
      <c r="AF224" s="1006"/>
      <c r="AG224" s="1006"/>
      <c r="AH224" s="1006"/>
      <c r="AI224" s="1006"/>
      <c r="AJ224" s="1006"/>
      <c r="AK224" s="1006"/>
      <c r="AL224" s="925">
        <v>1</v>
      </c>
      <c r="AM224" s="627"/>
      <c r="AN224" s="627"/>
    </row>
    <row r="225" spans="1:40" s="1061" customFormat="1" ht="30" customHeight="1">
      <c r="A225" s="1056"/>
      <c r="B225" s="1006"/>
      <c r="C225" s="1006"/>
      <c r="D225" s="1062" t="s">
        <v>3028</v>
      </c>
      <c r="E225" s="1067"/>
      <c r="F225" s="1067"/>
      <c r="G225" s="1067"/>
      <c r="H225" s="1067"/>
      <c r="I225" s="1067"/>
      <c r="J225" s="1067"/>
      <c r="K225" s="1067"/>
      <c r="L225" s="1068"/>
      <c r="M225" s="1006"/>
      <c r="N225" s="1006"/>
      <c r="O225" s="1006"/>
      <c r="P225" s="459"/>
      <c r="Q225" s="9"/>
      <c r="R225" s="9"/>
      <c r="S225" s="9"/>
      <c r="T225" s="9"/>
      <c r="U225" s="9"/>
      <c r="V225" s="9"/>
      <c r="W225" s="38"/>
      <c r="X225" s="1006"/>
      <c r="Y225" s="1006"/>
      <c r="Z225" s="1006"/>
      <c r="AA225" s="1006"/>
      <c r="AB225" s="1006"/>
      <c r="AC225" s="1006"/>
      <c r="AD225" s="1006"/>
      <c r="AE225" s="1006"/>
      <c r="AF225" s="1006"/>
      <c r="AG225" s="1006"/>
      <c r="AH225" s="1006"/>
      <c r="AI225" s="1006"/>
      <c r="AJ225" s="1006"/>
      <c r="AK225" s="1006"/>
      <c r="AL225" s="925">
        <v>1</v>
      </c>
      <c r="AM225" s="627"/>
      <c r="AN225" s="627"/>
    </row>
    <row r="226" spans="1:40" s="1061" customFormat="1" ht="30" customHeight="1">
      <c r="A226" s="1056"/>
      <c r="B226" s="1006"/>
      <c r="C226" s="1006"/>
      <c r="D226" s="1062"/>
      <c r="E226" s="1072"/>
      <c r="F226" s="1072"/>
      <c r="G226" s="1072"/>
      <c r="H226" s="1072"/>
      <c r="I226" s="1192" t="s">
        <v>3038</v>
      </c>
      <c r="J226" s="1073"/>
      <c r="K226" s="9"/>
      <c r="L226" s="38"/>
      <c r="M226" s="1006"/>
      <c r="N226" s="1006"/>
      <c r="O226" s="1006"/>
      <c r="P226" s="459"/>
      <c r="Q226" s="9"/>
      <c r="R226" s="9"/>
      <c r="S226" s="9"/>
      <c r="T226" s="9"/>
      <c r="U226" s="9"/>
      <c r="V226" s="9"/>
      <c r="W226" s="38"/>
      <c r="X226" s="1006"/>
      <c r="Y226" s="1006"/>
      <c r="Z226" s="1006"/>
      <c r="AA226" s="1006"/>
      <c r="AB226" s="1006"/>
      <c r="AC226" s="1006"/>
      <c r="AD226" s="1006"/>
      <c r="AE226" s="1006"/>
      <c r="AF226" s="1006"/>
      <c r="AG226" s="1006"/>
      <c r="AH226" s="1006"/>
      <c r="AI226" s="1006"/>
      <c r="AJ226" s="1006"/>
      <c r="AK226" s="1006"/>
      <c r="AL226" s="925">
        <v>1</v>
      </c>
      <c r="AM226" s="627"/>
      <c r="AN226" s="627"/>
    </row>
    <row r="227" spans="1:40" s="1061" customFormat="1" ht="30" customHeight="1">
      <c r="A227" s="1056"/>
      <c r="B227" s="1006"/>
      <c r="C227" s="1006"/>
      <c r="D227" s="1062"/>
      <c r="E227" s="1072"/>
      <c r="F227" s="1072"/>
      <c r="G227" s="1072"/>
      <c r="H227" s="1072"/>
      <c r="I227" s="1192" t="s">
        <v>3039</v>
      </c>
      <c r="J227" s="1073"/>
      <c r="K227" s="9"/>
      <c r="L227" s="38"/>
      <c r="M227" s="1006"/>
      <c r="N227" s="1006"/>
      <c r="O227" s="1006"/>
      <c r="P227" s="459"/>
      <c r="Q227" s="9"/>
      <c r="R227" s="9"/>
      <c r="S227" s="9"/>
      <c r="T227" s="9"/>
      <c r="U227" s="9"/>
      <c r="V227" s="9"/>
      <c r="W227" s="38"/>
      <c r="X227" s="1006"/>
      <c r="Y227" s="1006"/>
      <c r="Z227" s="1006"/>
      <c r="AA227" s="1006"/>
      <c r="AB227" s="1006"/>
      <c r="AC227" s="1006"/>
      <c r="AD227" s="1006"/>
      <c r="AE227" s="1006"/>
      <c r="AF227" s="1006"/>
      <c r="AG227" s="1006"/>
      <c r="AH227" s="1006"/>
      <c r="AI227" s="1006"/>
      <c r="AJ227" s="1006"/>
      <c r="AK227" s="1006"/>
      <c r="AL227" s="925">
        <v>1</v>
      </c>
      <c r="AM227" s="627"/>
      <c r="AN227" s="627"/>
    </row>
    <row r="228" spans="1:40" s="1061" customFormat="1" ht="30" customHeight="1">
      <c r="A228" s="1056"/>
      <c r="B228" s="1006"/>
      <c r="C228" s="1006"/>
      <c r="D228" s="1062"/>
      <c r="E228" s="1072"/>
      <c r="F228" s="1072"/>
      <c r="G228" s="1072"/>
      <c r="H228" s="1072"/>
      <c r="I228" s="1192" t="s">
        <v>3040</v>
      </c>
      <c r="J228" s="1073"/>
      <c r="K228" s="9"/>
      <c r="L228" s="38"/>
      <c r="M228" s="1006"/>
      <c r="N228" s="1006"/>
      <c r="O228" s="1006"/>
      <c r="P228" s="459"/>
      <c r="Q228" s="9"/>
      <c r="R228" s="9"/>
      <c r="S228" s="9"/>
      <c r="T228" s="9"/>
      <c r="U228" s="9"/>
      <c r="V228" s="9"/>
      <c r="W228" s="38"/>
      <c r="X228" s="1006"/>
      <c r="Y228" s="1006"/>
      <c r="Z228" s="1006"/>
      <c r="AA228" s="1006"/>
      <c r="AB228" s="1006"/>
      <c r="AC228" s="1006"/>
      <c r="AD228" s="1006"/>
      <c r="AE228" s="1006"/>
      <c r="AF228" s="1006"/>
      <c r="AG228" s="1006"/>
      <c r="AH228" s="1006"/>
      <c r="AI228" s="1006"/>
      <c r="AJ228" s="1006"/>
      <c r="AK228" s="1006"/>
      <c r="AL228" s="925">
        <v>1</v>
      </c>
      <c r="AM228" s="627"/>
      <c r="AN228" s="627"/>
    </row>
    <row r="229" spans="1:40" s="1061" customFormat="1" ht="30" customHeight="1">
      <c r="A229" s="1056"/>
      <c r="B229" s="1006"/>
      <c r="C229" s="1006"/>
      <c r="D229" s="6428" t="s">
        <v>3029</v>
      </c>
      <c r="E229" s="6429"/>
      <c r="F229" s="6429"/>
      <c r="G229" s="6429"/>
      <c r="H229" s="6429"/>
      <c r="I229" s="6429"/>
      <c r="J229" s="6429"/>
      <c r="K229" s="6429"/>
      <c r="L229" s="38"/>
      <c r="M229" s="1006"/>
      <c r="N229" s="1006"/>
      <c r="O229" s="1006"/>
      <c r="P229" s="459"/>
      <c r="Q229" s="9"/>
      <c r="R229" s="9"/>
      <c r="S229" s="9"/>
      <c r="T229" s="9"/>
      <c r="U229" s="9"/>
      <c r="V229" s="9"/>
      <c r="W229" s="38"/>
      <c r="X229" s="1006"/>
      <c r="Y229" s="1006"/>
      <c r="Z229" s="923"/>
      <c r="AA229" s="923"/>
      <c r="AB229" s="923"/>
      <c r="AC229" s="923"/>
      <c r="AD229" s="923"/>
      <c r="AE229" s="923"/>
      <c r="AF229" s="923"/>
      <c r="AG229" s="923"/>
      <c r="AH229" s="923"/>
      <c r="AI229" s="923"/>
      <c r="AJ229" s="923"/>
      <c r="AK229" s="923"/>
      <c r="AL229" s="925">
        <v>1</v>
      </c>
      <c r="AM229" s="627"/>
      <c r="AN229" s="627"/>
    </row>
    <row r="230" spans="1:40" s="1061" customFormat="1" ht="30" customHeight="1" thickBot="1">
      <c r="A230" s="1056"/>
      <c r="B230" s="1006"/>
      <c r="C230" s="1006"/>
      <c r="D230" s="6431"/>
      <c r="E230" s="6432"/>
      <c r="F230" s="6432"/>
      <c r="G230" s="6432"/>
      <c r="H230" s="6432"/>
      <c r="I230" s="6432"/>
      <c r="J230" s="6432"/>
      <c r="K230" s="6432"/>
      <c r="L230" s="1076"/>
      <c r="M230" s="1006"/>
      <c r="N230" s="1006"/>
      <c r="O230" s="1006"/>
      <c r="P230" s="1074"/>
      <c r="Q230" s="1075"/>
      <c r="R230" s="1075"/>
      <c r="S230" s="1075"/>
      <c r="T230" s="1075"/>
      <c r="U230" s="1075"/>
      <c r="V230" s="1075"/>
      <c r="W230" s="1076"/>
      <c r="X230" s="1006"/>
      <c r="Y230" s="1006"/>
      <c r="Z230" s="1022"/>
      <c r="AA230" s="1022"/>
      <c r="AB230" s="1022"/>
      <c r="AC230" s="1022"/>
      <c r="AD230" s="1022"/>
      <c r="AE230" s="1022"/>
      <c r="AF230" s="1022"/>
      <c r="AG230" s="1022"/>
      <c r="AH230" s="1023"/>
      <c r="AI230" s="1023"/>
      <c r="AJ230" s="923"/>
      <c r="AK230" s="923"/>
      <c r="AL230" s="925">
        <v>1</v>
      </c>
      <c r="AM230" s="627"/>
      <c r="AN230" s="627"/>
    </row>
    <row r="231" spans="1:40">
      <c r="A231" s="921"/>
      <c r="B231" s="1006"/>
      <c r="C231" s="1006"/>
      <c r="D231" s="1006"/>
      <c r="E231" s="1006"/>
      <c r="F231" s="1006"/>
      <c r="G231" s="1006"/>
      <c r="H231" s="1006"/>
      <c r="I231" s="1006"/>
      <c r="J231" s="1006"/>
      <c r="K231" s="1006"/>
      <c r="L231" s="1006"/>
      <c r="M231" s="1006"/>
      <c r="N231" s="1006"/>
      <c r="O231" s="1006"/>
      <c r="P231" s="1006"/>
      <c r="Q231" s="1006"/>
      <c r="R231" s="1006"/>
      <c r="S231" s="1006"/>
      <c r="T231" s="1006"/>
      <c r="U231" s="1006"/>
      <c r="V231" s="1006"/>
      <c r="W231" s="1006"/>
      <c r="X231" s="1006"/>
      <c r="Y231" s="1006"/>
      <c r="Z231" s="1022"/>
      <c r="AA231" s="1022"/>
      <c r="AB231" s="1022"/>
      <c r="AC231" s="1022"/>
      <c r="AD231" s="1022"/>
      <c r="AE231" s="1022"/>
      <c r="AF231" s="1022"/>
      <c r="AG231" s="1022"/>
      <c r="AH231" s="1023"/>
      <c r="AI231" s="1023"/>
      <c r="AJ231" s="923"/>
      <c r="AK231" s="923"/>
      <c r="AL231" s="925">
        <v>1</v>
      </c>
    </row>
    <row r="232" spans="1:40">
      <c r="A232" s="921"/>
      <c r="B232" s="1006"/>
      <c r="C232" s="921"/>
      <c r="D232" s="921"/>
      <c r="E232" s="921"/>
      <c r="F232" s="921"/>
      <c r="G232" s="921"/>
      <c r="H232" s="921"/>
      <c r="I232" s="921"/>
      <c r="J232" s="921"/>
      <c r="K232" s="921"/>
      <c r="L232" s="921"/>
      <c r="M232" s="921"/>
      <c r="N232" s="921"/>
      <c r="O232" s="921"/>
      <c r="P232" s="921"/>
      <c r="Q232" s="921"/>
      <c r="R232" s="921"/>
      <c r="S232" s="921"/>
      <c r="T232" s="921"/>
      <c r="U232" s="921"/>
      <c r="V232" s="921"/>
      <c r="W232" s="921"/>
      <c r="X232" s="1006"/>
      <c r="Y232" s="1006"/>
      <c r="Z232" s="1022"/>
      <c r="AA232" s="1022"/>
      <c r="AB232" s="1022"/>
      <c r="AC232" s="1022"/>
      <c r="AD232" s="1022"/>
      <c r="AE232" s="1022"/>
      <c r="AF232" s="1022"/>
      <c r="AG232" s="1022"/>
      <c r="AH232" s="1023"/>
      <c r="AI232" s="1023"/>
      <c r="AJ232" s="923"/>
      <c r="AK232" s="923"/>
      <c r="AL232" s="925">
        <v>1</v>
      </c>
    </row>
    <row r="233" spans="1:40" customFormat="1" ht="30" customHeight="1">
      <c r="A233" s="1006">
        <v>1</v>
      </c>
      <c r="B233" s="1006">
        <v>1</v>
      </c>
      <c r="C233" s="6434" t="s">
        <v>207</v>
      </c>
      <c r="D233" s="6434"/>
      <c r="E233" s="1077" t="str">
        <f ca="1">CELL("nomfichier")</f>
        <v>D:\Données\1.UPRT\0-UPRT.fait\1-UPRT.FR-SITE-WEB\ff-fiches-fabrications\ff.fiches.fabrication.2023\ffr.restaurant.2023\[ff.FICHE.TRILINGUE.20.COLONNES.05.01.2026.xlsx]Couleurs.pour.vos.documents</v>
      </c>
      <c r="F233" s="1078"/>
      <c r="G233" s="1078"/>
      <c r="H233" s="1078"/>
      <c r="I233" s="1078"/>
      <c r="J233" s="1079"/>
      <c r="K233" s="1078"/>
      <c r="L233" s="1078"/>
      <c r="M233" s="1078"/>
      <c r="N233" s="1078"/>
      <c r="O233" s="1078"/>
      <c r="P233" s="1078"/>
      <c r="Q233" s="1078"/>
      <c r="R233" s="1078"/>
      <c r="S233" s="1078"/>
      <c r="T233" s="1078"/>
      <c r="U233" s="1078"/>
      <c r="V233" s="1078"/>
      <c r="W233" s="1078"/>
      <c r="X233" s="1078"/>
      <c r="Y233" s="1006"/>
      <c r="Z233" s="1022"/>
      <c r="AA233" s="1022"/>
      <c r="AB233" s="1022"/>
      <c r="AC233" s="1022"/>
      <c r="AD233" s="1022"/>
      <c r="AE233" s="1022"/>
      <c r="AF233" s="1022"/>
      <c r="AG233" s="1022"/>
      <c r="AH233" s="1023"/>
      <c r="AI233" s="1023"/>
      <c r="AJ233" s="923"/>
      <c r="AK233" s="923"/>
      <c r="AL233" s="925">
        <v>1</v>
      </c>
      <c r="AM233" s="627"/>
      <c r="AN233" s="627"/>
    </row>
    <row r="234" spans="1:40">
      <c r="A234" s="921"/>
      <c r="B234" s="921"/>
      <c r="C234" s="921"/>
      <c r="D234" s="921"/>
      <c r="E234" s="921"/>
      <c r="F234" s="921"/>
      <c r="G234" s="921"/>
      <c r="H234" s="921"/>
      <c r="I234" s="921"/>
      <c r="J234" s="921"/>
      <c r="K234" s="921"/>
      <c r="L234" s="921"/>
      <c r="M234" s="921"/>
      <c r="N234" s="921"/>
      <c r="O234" s="921"/>
      <c r="P234" s="921"/>
      <c r="Q234" s="921"/>
      <c r="R234" s="921"/>
      <c r="S234" s="921"/>
      <c r="T234" s="921"/>
      <c r="U234" s="921"/>
      <c r="V234" s="921"/>
      <c r="W234" s="921"/>
      <c r="X234" s="921"/>
      <c r="Y234" s="921"/>
      <c r="Z234" s="1022"/>
      <c r="AA234" s="1022"/>
      <c r="AB234" s="1022"/>
      <c r="AC234" s="1022"/>
      <c r="AD234" s="1022"/>
      <c r="AE234" s="1022"/>
      <c r="AF234" s="1022"/>
      <c r="AG234" s="1022"/>
      <c r="AH234" s="1023"/>
      <c r="AI234" s="1023"/>
      <c r="AJ234" s="923"/>
      <c r="AK234" s="923"/>
      <c r="AL234" s="925">
        <v>1</v>
      </c>
    </row>
    <row r="235" spans="1:40" s="984" customFormat="1" ht="40.5" customHeight="1">
      <c r="A235" s="921"/>
      <c r="B235" s="996"/>
      <c r="C235" s="1157" t="s">
        <v>2933</v>
      </c>
      <c r="D235" s="1157"/>
      <c r="E235" s="1157"/>
      <c r="F235" s="1157"/>
      <c r="G235" s="1157"/>
      <c r="H235" s="1157"/>
      <c r="I235" s="1157"/>
      <c r="J235" s="1157"/>
      <c r="K235" s="1157"/>
      <c r="L235" s="1157"/>
      <c r="M235" s="921"/>
      <c r="N235" s="921"/>
      <c r="O235" s="986"/>
      <c r="P235" s="986"/>
      <c r="Q235" s="986"/>
      <c r="R235" s="986"/>
      <c r="S235" s="986"/>
      <c r="T235" s="923"/>
      <c r="U235" s="923"/>
      <c r="V235" s="923"/>
      <c r="W235" s="923"/>
      <c r="X235" s="923"/>
      <c r="Y235" s="923"/>
      <c r="Z235" s="923"/>
      <c r="AA235" s="923"/>
      <c r="AB235" s="923"/>
      <c r="AC235" s="923"/>
      <c r="AD235" s="923"/>
      <c r="AE235" s="923"/>
      <c r="AF235" s="923"/>
      <c r="AG235" s="1022"/>
      <c r="AH235" s="1023"/>
      <c r="AI235" s="1023"/>
      <c r="AJ235" s="923"/>
      <c r="AK235" s="923"/>
      <c r="AL235" s="925">
        <v>1</v>
      </c>
      <c r="AM235" s="627"/>
      <c r="AN235" s="627"/>
    </row>
    <row r="236" spans="1:40" s="984" customFormat="1" ht="40.5" customHeight="1">
      <c r="A236" s="921"/>
      <c r="B236" s="996"/>
      <c r="C236" s="1080" t="s">
        <v>838</v>
      </c>
      <c r="D236" s="1081"/>
      <c r="E236" s="1081"/>
      <c r="F236" s="1081"/>
      <c r="G236" s="986"/>
      <c r="H236" s="986"/>
      <c r="I236" s="986"/>
      <c r="J236" s="986"/>
      <c r="K236" s="986"/>
      <c r="L236" s="986"/>
      <c r="M236" s="986"/>
      <c r="N236" s="986"/>
      <c r="O236" s="1082" t="s">
        <v>2934</v>
      </c>
      <c r="P236" s="986"/>
      <c r="Q236" s="986"/>
      <c r="R236" s="986"/>
      <c r="S236" s="986"/>
      <c r="T236" s="923"/>
      <c r="U236" s="1083"/>
      <c r="V236" s="923"/>
      <c r="W236" s="923"/>
      <c r="X236" s="923"/>
      <c r="Y236" s="923"/>
      <c r="Z236" s="1035"/>
      <c r="AA236" s="923"/>
      <c r="AB236" s="923"/>
      <c r="AC236" s="923"/>
      <c r="AD236" s="923"/>
      <c r="AE236" s="923"/>
      <c r="AF236" s="923"/>
      <c r="AG236" s="1022"/>
      <c r="AH236" s="1023"/>
      <c r="AI236" s="1023"/>
      <c r="AJ236" s="923"/>
      <c r="AK236" s="923"/>
      <c r="AL236" s="925">
        <v>1</v>
      </c>
      <c r="AM236" s="627"/>
      <c r="AN236" s="627"/>
    </row>
    <row r="237" spans="1:40" s="984" customFormat="1" ht="40.5" customHeight="1">
      <c r="A237" s="921"/>
      <c r="B237" s="996"/>
      <c r="C237" s="1084" t="s">
        <v>2935</v>
      </c>
      <c r="D237" s="1081"/>
      <c r="E237" s="1081"/>
      <c r="F237" s="1081"/>
      <c r="G237" s="1083"/>
      <c r="H237" s="1085"/>
      <c r="I237" s="1081"/>
      <c r="J237" s="1081"/>
      <c r="K237" s="921"/>
      <c r="L237" s="921"/>
      <c r="M237" s="921"/>
      <c r="N237" s="921"/>
      <c r="O237" s="1084"/>
      <c r="P237" s="986"/>
      <c r="Q237" s="986"/>
      <c r="R237" s="986"/>
      <c r="S237" s="986"/>
      <c r="T237" s="923"/>
      <c r="U237" s="923"/>
      <c r="V237" s="923"/>
      <c r="W237" s="923"/>
      <c r="X237" s="923"/>
      <c r="Y237" s="923"/>
      <c r="Z237" s="1039"/>
      <c r="AA237" s="923"/>
      <c r="AB237" s="923"/>
      <c r="AC237" s="923"/>
      <c r="AD237" s="923"/>
      <c r="AE237" s="923"/>
      <c r="AF237" s="923"/>
      <c r="AG237" s="1022"/>
      <c r="AH237" s="1023"/>
      <c r="AI237" s="1023"/>
      <c r="AJ237" s="923"/>
      <c r="AK237" s="923"/>
      <c r="AL237" s="925">
        <v>1</v>
      </c>
      <c r="AM237" s="627"/>
      <c r="AN237" s="627"/>
    </row>
    <row r="238" spans="1:40" s="984" customFormat="1" ht="40.5" customHeight="1">
      <c r="A238" s="921"/>
      <c r="B238" s="996"/>
      <c r="C238" s="1086" t="s">
        <v>839</v>
      </c>
      <c r="D238" s="1081"/>
      <c r="E238" s="1081"/>
      <c r="F238" s="1081"/>
      <c r="G238" s="1083"/>
      <c r="H238" s="1085"/>
      <c r="I238" s="1081"/>
      <c r="J238" s="1081"/>
      <c r="K238" s="921"/>
      <c r="L238" s="921"/>
      <c r="M238" s="921"/>
      <c r="N238" s="921"/>
      <c r="O238" s="986"/>
      <c r="P238" s="986"/>
      <c r="Q238" s="986"/>
      <c r="R238" s="986"/>
      <c r="S238" s="986"/>
      <c r="T238" s="923"/>
      <c r="U238" s="923"/>
      <c r="V238" s="923"/>
      <c r="W238" s="923"/>
      <c r="X238" s="923"/>
      <c r="Y238" s="923"/>
      <c r="Z238" s="923"/>
      <c r="AA238" s="923"/>
      <c r="AB238" s="923"/>
      <c r="AC238" s="923"/>
      <c r="AD238" s="923"/>
      <c r="AE238" s="923"/>
      <c r="AF238" s="923"/>
      <c r="AG238" s="1022"/>
      <c r="AH238" s="1023"/>
      <c r="AI238" s="1023"/>
      <c r="AJ238" s="923"/>
      <c r="AK238" s="923"/>
      <c r="AL238" s="925">
        <v>1</v>
      </c>
      <c r="AM238" s="627"/>
      <c r="AN238" s="627"/>
    </row>
    <row r="239" spans="1:40" s="984" customFormat="1" ht="40.5" customHeight="1">
      <c r="A239" s="921"/>
      <c r="B239" s="996"/>
      <c r="C239" s="1087" t="s">
        <v>2942</v>
      </c>
      <c r="D239" s="921"/>
      <c r="E239" s="921"/>
      <c r="F239" s="921"/>
      <c r="G239" s="921"/>
      <c r="H239" s="921"/>
      <c r="I239" s="986"/>
      <c r="J239" s="921"/>
      <c r="K239" s="921"/>
      <c r="L239" s="921"/>
      <c r="M239" s="921"/>
      <c r="N239" s="921"/>
      <c r="O239" s="986"/>
      <c r="P239" s="986"/>
      <c r="Q239" s="986"/>
      <c r="R239" s="986"/>
      <c r="S239" s="986"/>
      <c r="T239" s="923"/>
      <c r="U239" s="923"/>
      <c r="V239" s="1016" t="s">
        <v>2941</v>
      </c>
      <c r="W239" s="1027"/>
      <c r="X239" s="1027"/>
      <c r="Y239" s="1027"/>
      <c r="Z239" s="1027"/>
      <c r="AA239" s="1027"/>
      <c r="AB239" s="1027"/>
      <c r="AC239" s="923"/>
      <c r="AD239" s="923"/>
      <c r="AE239" s="923"/>
      <c r="AF239" s="923"/>
      <c r="AG239" s="1022"/>
      <c r="AH239" s="1023"/>
      <c r="AI239" s="1023"/>
      <c r="AJ239" s="923"/>
      <c r="AK239" s="923"/>
      <c r="AL239" s="925">
        <v>1</v>
      </c>
      <c r="AM239" s="627"/>
      <c r="AN239" s="627"/>
    </row>
    <row r="240" spans="1:40" s="984" customFormat="1" ht="40.5" customHeight="1">
      <c r="A240" s="921"/>
      <c r="B240" s="996"/>
      <c r="C240" s="1087" t="s">
        <v>2943</v>
      </c>
      <c r="D240" s="921"/>
      <c r="E240" s="921"/>
      <c r="F240" s="921"/>
      <c r="G240" s="921"/>
      <c r="H240" s="921"/>
      <c r="I240" s="986"/>
      <c r="J240" s="921"/>
      <c r="K240" s="921"/>
      <c r="L240" s="921"/>
      <c r="M240" s="921"/>
      <c r="N240" s="921"/>
      <c r="O240" s="986"/>
      <c r="P240" s="986"/>
      <c r="Q240" s="986"/>
      <c r="R240" s="986"/>
      <c r="S240" s="986"/>
      <c r="T240" s="923"/>
      <c r="U240" s="923"/>
      <c r="V240" s="1088" t="s">
        <v>2535</v>
      </c>
      <c r="W240" s="998"/>
      <c r="X240" s="998"/>
      <c r="Y240" s="998"/>
      <c r="Z240" s="998"/>
      <c r="AA240" s="998"/>
      <c r="AB240" s="998"/>
      <c r="AC240" s="923" t="s">
        <v>21</v>
      </c>
      <c r="AD240" s="923"/>
      <c r="AE240" s="923"/>
      <c r="AF240" s="923"/>
      <c r="AG240" s="1022"/>
      <c r="AH240" s="1023"/>
      <c r="AI240" s="1023"/>
      <c r="AJ240" s="923"/>
      <c r="AK240" s="923"/>
      <c r="AL240" s="925">
        <v>1</v>
      </c>
      <c r="AM240" s="627"/>
      <c r="AN240" s="627"/>
    </row>
    <row r="241" spans="1:40" s="984" customFormat="1" ht="40.5" customHeight="1">
      <c r="A241" s="921"/>
      <c r="B241" s="996"/>
      <c r="C241" s="1089" t="s">
        <v>2536</v>
      </c>
      <c r="D241" s="921"/>
      <c r="E241" s="921"/>
      <c r="F241" s="921"/>
      <c r="G241" s="921"/>
      <c r="H241" s="921"/>
      <c r="I241" s="986"/>
      <c r="J241" s="921"/>
      <c r="K241" s="921"/>
      <c r="L241" s="921"/>
      <c r="M241" s="921"/>
      <c r="N241" s="921"/>
      <c r="O241" s="986"/>
      <c r="P241" s="986"/>
      <c r="Q241" s="986"/>
      <c r="R241" s="986"/>
      <c r="S241" s="986"/>
      <c r="T241" s="923"/>
      <c r="U241" s="923"/>
      <c r="V241" s="923"/>
      <c r="W241" s="923"/>
      <c r="X241" s="923"/>
      <c r="Y241" s="923"/>
      <c r="Z241" s="923"/>
      <c r="AA241" s="923"/>
      <c r="AB241" s="923"/>
      <c r="AC241" s="923"/>
      <c r="AD241" s="923"/>
      <c r="AE241" s="923"/>
      <c r="AF241" s="923"/>
      <c r="AG241" s="1022"/>
      <c r="AH241" s="1023"/>
      <c r="AI241" s="1023"/>
      <c r="AJ241" s="923"/>
      <c r="AK241" s="923"/>
      <c r="AL241" s="925">
        <v>1</v>
      </c>
      <c r="AM241" s="627"/>
      <c r="AN241" s="627"/>
    </row>
    <row r="242" spans="1:40" s="984" customFormat="1" ht="40.5" customHeight="1">
      <c r="A242" s="921"/>
      <c r="B242" s="996"/>
      <c r="C242" s="1089" t="s">
        <v>2537</v>
      </c>
      <c r="D242" s="921"/>
      <c r="E242" s="921"/>
      <c r="F242" s="921"/>
      <c r="G242" s="921"/>
      <c r="H242" s="921"/>
      <c r="I242" s="986"/>
      <c r="J242" s="921"/>
      <c r="K242" s="921"/>
      <c r="L242" s="921"/>
      <c r="M242" s="921"/>
      <c r="N242" s="921"/>
      <c r="O242" s="986"/>
      <c r="P242" s="986"/>
      <c r="Q242" s="986"/>
      <c r="R242" s="986"/>
      <c r="S242" s="986"/>
      <c r="T242" s="923"/>
      <c r="U242" s="923"/>
      <c r="V242" s="923"/>
      <c r="W242" s="923"/>
      <c r="X242" s="923"/>
      <c r="Y242" s="923"/>
      <c r="Z242" s="923"/>
      <c r="AA242" s="923"/>
      <c r="AB242" s="923"/>
      <c r="AC242" s="923"/>
      <c r="AD242" s="923"/>
      <c r="AE242" s="923"/>
      <c r="AF242" s="923"/>
      <c r="AG242" s="1022"/>
      <c r="AH242" s="1023"/>
      <c r="AI242" s="1023"/>
      <c r="AJ242" s="923"/>
      <c r="AK242" s="923"/>
      <c r="AL242" s="925">
        <v>1</v>
      </c>
      <c r="AM242" s="627"/>
      <c r="AN242" s="627"/>
    </row>
    <row r="243" spans="1:40" s="984" customFormat="1" ht="40.5" customHeight="1">
      <c r="A243" s="921"/>
      <c r="B243" s="996"/>
      <c r="C243" s="1090" t="s">
        <v>2538</v>
      </c>
      <c r="D243" s="1090" t="s">
        <v>2539</v>
      </c>
      <c r="E243" s="1090" t="s">
        <v>2540</v>
      </c>
      <c r="F243" s="1090" t="s">
        <v>2541</v>
      </c>
      <c r="G243" s="1090" t="s">
        <v>2542</v>
      </c>
      <c r="H243" s="1090" t="s">
        <v>2543</v>
      </c>
      <c r="I243" s="1090" t="s">
        <v>2544</v>
      </c>
      <c r="J243" s="1090" t="s">
        <v>2545</v>
      </c>
      <c r="K243" s="1090" t="s">
        <v>2546</v>
      </c>
      <c r="L243" s="1090" t="s">
        <v>2547</v>
      </c>
      <c r="M243" s="1090" t="s">
        <v>2548</v>
      </c>
      <c r="N243" s="1090" t="s">
        <v>2549</v>
      </c>
      <c r="O243" s="1090" t="s">
        <v>2550</v>
      </c>
      <c r="P243" s="986"/>
      <c r="Q243" s="1090" t="s">
        <v>2551</v>
      </c>
      <c r="R243" s="1090" t="s">
        <v>2552</v>
      </c>
      <c r="S243" s="1090" t="s">
        <v>2553</v>
      </c>
      <c r="T243" s="1090" t="s">
        <v>2554</v>
      </c>
      <c r="U243" s="1090" t="s">
        <v>2555</v>
      </c>
      <c r="V243" s="1090" t="s">
        <v>2556</v>
      </c>
      <c r="W243" s="1090" t="s">
        <v>2557</v>
      </c>
      <c r="X243" s="1090" t="s">
        <v>2558</v>
      </c>
      <c r="Y243" s="1090" t="s">
        <v>2559</v>
      </c>
      <c r="Z243" s="1090" t="s">
        <v>2560</v>
      </c>
      <c r="AA243" s="1090" t="s">
        <v>2561</v>
      </c>
      <c r="AB243" s="1090" t="s">
        <v>2562</v>
      </c>
      <c r="AC243" s="1090" t="s">
        <v>2563</v>
      </c>
      <c r="AD243" s="923"/>
      <c r="AE243" s="923"/>
      <c r="AF243" s="923"/>
      <c r="AG243" s="1022"/>
      <c r="AH243" s="1023"/>
      <c r="AI243" s="1023"/>
      <c r="AJ243" s="923"/>
      <c r="AK243" s="923"/>
      <c r="AL243" s="925">
        <v>1</v>
      </c>
      <c r="AM243" s="627"/>
      <c r="AN243" s="627"/>
    </row>
    <row r="244" spans="1:40" s="984" customFormat="1" ht="40.5" customHeight="1">
      <c r="A244" s="921"/>
      <c r="B244" s="996"/>
      <c r="C244" s="1090" t="s">
        <v>2564</v>
      </c>
      <c r="D244" s="1090" t="s">
        <v>2565</v>
      </c>
      <c r="E244" s="1090" t="s">
        <v>2566</v>
      </c>
      <c r="F244" s="1090" t="s">
        <v>2567</v>
      </c>
      <c r="G244" s="1090" t="s">
        <v>2568</v>
      </c>
      <c r="H244" s="1090" t="s">
        <v>2569</v>
      </c>
      <c r="I244" s="1090" t="s">
        <v>2570</v>
      </c>
      <c r="J244" s="1090" t="s">
        <v>2571</v>
      </c>
      <c r="K244" s="1090" t="s">
        <v>2572</v>
      </c>
      <c r="L244" s="1090" t="s">
        <v>2573</v>
      </c>
      <c r="M244" s="1090" t="s">
        <v>2574</v>
      </c>
      <c r="N244" s="1090" t="s">
        <v>2575</v>
      </c>
      <c r="O244" s="1090" t="s">
        <v>2576</v>
      </c>
      <c r="P244" s="1091"/>
      <c r="Q244" s="1090" t="s">
        <v>2577</v>
      </c>
      <c r="R244" s="1090" t="s">
        <v>2578</v>
      </c>
      <c r="S244" s="1090" t="s">
        <v>2579</v>
      </c>
      <c r="T244" s="1090" t="s">
        <v>2580</v>
      </c>
      <c r="U244" s="1090" t="s">
        <v>2581</v>
      </c>
      <c r="V244" s="1090" t="s">
        <v>2582</v>
      </c>
      <c r="W244" s="1090" t="s">
        <v>2583</v>
      </c>
      <c r="X244" s="1090" t="s">
        <v>2584</v>
      </c>
      <c r="Y244" s="1090" t="s">
        <v>2585</v>
      </c>
      <c r="Z244" s="1090" t="s">
        <v>2586</v>
      </c>
      <c r="AA244" s="1090" t="s">
        <v>2587</v>
      </c>
      <c r="AB244" s="1090" t="s">
        <v>2588</v>
      </c>
      <c r="AC244" s="1090" t="s">
        <v>2589</v>
      </c>
      <c r="AD244" s="923"/>
      <c r="AE244" s="923"/>
      <c r="AF244" s="923"/>
      <c r="AG244" s="1022"/>
      <c r="AH244" s="1023"/>
      <c r="AI244" s="1023"/>
      <c r="AJ244" s="923"/>
      <c r="AK244" s="923"/>
      <c r="AL244" s="925">
        <v>1</v>
      </c>
      <c r="AM244" s="627"/>
      <c r="AN244" s="627"/>
    </row>
    <row r="245" spans="1:40" s="984" customFormat="1" ht="40.5" customHeight="1">
      <c r="A245" s="921"/>
      <c r="B245" s="996"/>
      <c r="C245" s="1091"/>
      <c r="D245" s="1091"/>
      <c r="E245" s="1091"/>
      <c r="F245" s="1091"/>
      <c r="G245" s="1091"/>
      <c r="H245" s="1091"/>
      <c r="I245" s="1091"/>
      <c r="J245" s="1091"/>
      <c r="K245" s="1091"/>
      <c r="L245" s="1091"/>
      <c r="M245" s="921"/>
      <c r="N245" s="921"/>
      <c r="O245" s="921"/>
      <c r="P245" s="921"/>
      <c r="Q245" s="921"/>
      <c r="R245" s="921"/>
      <c r="S245" s="921"/>
      <c r="T245" s="921"/>
      <c r="U245" s="921"/>
      <c r="V245" s="921"/>
      <c r="W245" s="921"/>
      <c r="X245" s="921"/>
      <c r="Y245" s="921"/>
      <c r="Z245" s="923"/>
      <c r="AA245" s="923"/>
      <c r="AB245" s="923"/>
      <c r="AC245" s="923"/>
      <c r="AD245" s="923"/>
      <c r="AE245" s="923"/>
      <c r="AF245" s="923"/>
      <c r="AG245" s="1022"/>
      <c r="AH245" s="1023"/>
      <c r="AI245" s="1023"/>
      <c r="AJ245" s="923"/>
      <c r="AK245" s="923"/>
      <c r="AL245" s="925">
        <v>1</v>
      </c>
      <c r="AM245" s="627"/>
      <c r="AN245" s="627"/>
    </row>
    <row r="246" spans="1:40" s="984" customFormat="1" ht="40.5" customHeight="1">
      <c r="A246" s="921"/>
      <c r="B246" s="996"/>
      <c r="C246" s="1090" t="s">
        <v>2551</v>
      </c>
      <c r="D246" s="1090" t="s">
        <v>2552</v>
      </c>
      <c r="E246" s="1090" t="s">
        <v>2553</v>
      </c>
      <c r="F246" s="1090" t="s">
        <v>2554</v>
      </c>
      <c r="G246" s="1090" t="s">
        <v>2555</v>
      </c>
      <c r="H246" s="1090" t="s">
        <v>2556</v>
      </c>
      <c r="I246" s="1090" t="s">
        <v>2557</v>
      </c>
      <c r="J246" s="1090" t="s">
        <v>2558</v>
      </c>
      <c r="K246" s="1090" t="s">
        <v>2559</v>
      </c>
      <c r="L246" s="1090" t="s">
        <v>2560</v>
      </c>
      <c r="M246" s="1090" t="s">
        <v>2561</v>
      </c>
      <c r="N246" s="1090" t="s">
        <v>2562</v>
      </c>
      <c r="O246" s="1090" t="s">
        <v>2563</v>
      </c>
      <c r="P246" s="921"/>
      <c r="Q246" s="1090" t="s">
        <v>2590</v>
      </c>
      <c r="R246" s="1090" t="s">
        <v>2591</v>
      </c>
      <c r="S246" s="1090" t="s">
        <v>2592</v>
      </c>
      <c r="T246" s="1090" t="s">
        <v>2593</v>
      </c>
      <c r="U246" s="1090" t="s">
        <v>2594</v>
      </c>
      <c r="V246" s="1090" t="s">
        <v>2595</v>
      </c>
      <c r="W246" s="1090" t="s">
        <v>2596</v>
      </c>
      <c r="X246" s="1090" t="s">
        <v>2597</v>
      </c>
      <c r="Y246" s="1090" t="s">
        <v>2597</v>
      </c>
      <c r="Z246" s="1090" t="s">
        <v>2598</v>
      </c>
      <c r="AA246" s="1090" t="s">
        <v>2599</v>
      </c>
      <c r="AB246" s="1090" t="s">
        <v>2600</v>
      </c>
      <c r="AC246" s="1090" t="s">
        <v>2601</v>
      </c>
      <c r="AD246" s="1090" t="s">
        <v>2602</v>
      </c>
      <c r="AE246" s="923"/>
      <c r="AF246" s="923"/>
      <c r="AG246" s="1022"/>
      <c r="AH246" s="1023"/>
      <c r="AI246" s="1023"/>
      <c r="AJ246" s="923"/>
      <c r="AK246" s="923"/>
      <c r="AL246" s="925">
        <v>1</v>
      </c>
      <c r="AM246" s="627"/>
      <c r="AN246" s="627"/>
    </row>
    <row r="247" spans="1:40" s="984" customFormat="1" ht="40.5" customHeight="1">
      <c r="A247" s="921"/>
      <c r="B247" s="996"/>
      <c r="C247" s="1090" t="s">
        <v>2577</v>
      </c>
      <c r="D247" s="1090" t="s">
        <v>2578</v>
      </c>
      <c r="E247" s="1090" t="s">
        <v>2579</v>
      </c>
      <c r="F247" s="1090" t="s">
        <v>2580</v>
      </c>
      <c r="G247" s="1090" t="s">
        <v>2581</v>
      </c>
      <c r="H247" s="1090" t="s">
        <v>2582</v>
      </c>
      <c r="I247" s="1090" t="s">
        <v>2583</v>
      </c>
      <c r="J247" s="1090" t="s">
        <v>2584</v>
      </c>
      <c r="K247" s="1090" t="s">
        <v>2585</v>
      </c>
      <c r="L247" s="1090" t="s">
        <v>2586</v>
      </c>
      <c r="M247" s="1090" t="s">
        <v>2587</v>
      </c>
      <c r="N247" s="1090" t="s">
        <v>2588</v>
      </c>
      <c r="O247" s="1090" t="s">
        <v>2589</v>
      </c>
      <c r="P247" s="921"/>
      <c r="Q247" s="1090" t="s">
        <v>2603</v>
      </c>
      <c r="R247" s="1090" t="s">
        <v>2604</v>
      </c>
      <c r="S247" s="1090" t="s">
        <v>2605</v>
      </c>
      <c r="T247" s="1090" t="s">
        <v>2606</v>
      </c>
      <c r="U247" s="1090" t="s">
        <v>2607</v>
      </c>
      <c r="V247" s="1090" t="s">
        <v>2607</v>
      </c>
      <c r="W247" s="1090" t="s">
        <v>2608</v>
      </c>
      <c r="X247" s="1090" t="s">
        <v>2609</v>
      </c>
      <c r="Y247" s="1090" t="s">
        <v>2610</v>
      </c>
      <c r="Z247" s="1090" t="s">
        <v>2611</v>
      </c>
      <c r="AA247" s="1090" t="s">
        <v>2612</v>
      </c>
      <c r="AB247" s="1090" t="s">
        <v>2613</v>
      </c>
      <c r="AC247" s="1090" t="s">
        <v>2614</v>
      </c>
      <c r="AD247" s="1090"/>
      <c r="AE247" s="923"/>
      <c r="AF247" s="923"/>
      <c r="AG247" s="1022"/>
      <c r="AH247" s="1023"/>
      <c r="AI247" s="1023"/>
      <c r="AJ247" s="923"/>
      <c r="AK247" s="923"/>
      <c r="AL247" s="925">
        <v>1</v>
      </c>
      <c r="AM247" s="627"/>
      <c r="AN247" s="627"/>
    </row>
    <row r="248" spans="1:40" s="984" customFormat="1" ht="40.5" customHeight="1">
      <c r="A248" s="921"/>
      <c r="B248" s="996"/>
      <c r="C248" s="1091"/>
      <c r="D248" s="1091"/>
      <c r="E248" s="1091"/>
      <c r="F248" s="1091"/>
      <c r="G248" s="1091"/>
      <c r="H248" s="1091"/>
      <c r="I248" s="1091"/>
      <c r="J248" s="1091"/>
      <c r="K248" s="1091"/>
      <c r="L248" s="1091"/>
      <c r="M248" s="921"/>
      <c r="N248" s="921"/>
      <c r="O248" s="921"/>
      <c r="P248" s="921"/>
      <c r="Q248" s="921"/>
      <c r="R248" s="921"/>
      <c r="S248" s="921"/>
      <c r="T248" s="921"/>
      <c r="U248" s="921"/>
      <c r="V248" s="921"/>
      <c r="W248" s="921"/>
      <c r="X248" s="921"/>
      <c r="Y248" s="921"/>
      <c r="Z248" s="923"/>
      <c r="AA248" s="923"/>
      <c r="AB248" s="923"/>
      <c r="AC248" s="923"/>
      <c r="AD248" s="923"/>
      <c r="AE248" s="923"/>
      <c r="AF248" s="923"/>
      <c r="AG248" s="1022"/>
      <c r="AH248" s="1023"/>
      <c r="AI248" s="1023"/>
      <c r="AJ248" s="923"/>
      <c r="AK248" s="923"/>
      <c r="AL248" s="925">
        <v>1</v>
      </c>
      <c r="AM248" s="627"/>
      <c r="AN248" s="627"/>
    </row>
    <row r="249" spans="1:40" s="984" customFormat="1" ht="40.5" customHeight="1">
      <c r="A249" s="921"/>
      <c r="B249" s="996"/>
      <c r="C249" s="1092" t="s">
        <v>2615</v>
      </c>
      <c r="D249" s="1092" t="s">
        <v>2616</v>
      </c>
      <c r="E249" s="1092" t="s">
        <v>2617</v>
      </c>
      <c r="F249" s="1092" t="s">
        <v>2618</v>
      </c>
      <c r="G249" s="1092" t="s">
        <v>2619</v>
      </c>
      <c r="H249" s="1092" t="s">
        <v>2620</v>
      </c>
      <c r="I249" s="1092" t="s">
        <v>2621</v>
      </c>
      <c r="J249" s="1092" t="s">
        <v>2622</v>
      </c>
      <c r="K249" s="1092" t="s">
        <v>2623</v>
      </c>
      <c r="L249" s="1092" t="s">
        <v>2624</v>
      </c>
      <c r="M249" s="1092" t="s">
        <v>2625</v>
      </c>
      <c r="N249" s="1092" t="s">
        <v>2626</v>
      </c>
      <c r="O249" s="1092" t="s">
        <v>2627</v>
      </c>
      <c r="P249" s="921"/>
      <c r="Q249" s="1093" t="s">
        <v>2628</v>
      </c>
      <c r="R249" s="1093" t="s">
        <v>2629</v>
      </c>
      <c r="S249" s="1093" t="s">
        <v>16</v>
      </c>
      <c r="T249" s="1093" t="s">
        <v>2630</v>
      </c>
      <c r="U249" s="1093" t="s">
        <v>2631</v>
      </c>
      <c r="V249" s="1093" t="s">
        <v>2632</v>
      </c>
      <c r="W249" s="1093" t="s">
        <v>2633</v>
      </c>
      <c r="X249" s="1093" t="s">
        <v>2634</v>
      </c>
      <c r="Y249" s="1093" t="s">
        <v>2635</v>
      </c>
      <c r="Z249" s="1093" t="s">
        <v>453</v>
      </c>
      <c r="AA249" s="1093" t="s">
        <v>2636</v>
      </c>
      <c r="AB249" s="923"/>
      <c r="AC249" s="923"/>
      <c r="AD249" s="923"/>
      <c r="AE249" s="923"/>
      <c r="AF249" s="923"/>
      <c r="AG249" s="1022"/>
      <c r="AH249" s="1023"/>
      <c r="AI249" s="1023"/>
      <c r="AJ249" s="923"/>
      <c r="AK249" s="923"/>
      <c r="AL249" s="925">
        <v>1</v>
      </c>
      <c r="AM249" s="627"/>
      <c r="AN249" s="627"/>
    </row>
    <row r="250" spans="1:40" s="984" customFormat="1" ht="40.5" customHeight="1">
      <c r="A250" s="921"/>
      <c r="B250" s="996"/>
      <c r="C250" s="1092" t="s">
        <v>2637</v>
      </c>
      <c r="D250" s="1092" t="s">
        <v>2638</v>
      </c>
      <c r="E250" s="1092" t="s">
        <v>2639</v>
      </c>
      <c r="F250" s="1092" t="s">
        <v>2640</v>
      </c>
      <c r="G250" s="1092" t="s">
        <v>2641</v>
      </c>
      <c r="H250" s="1092" t="s">
        <v>2642</v>
      </c>
      <c r="I250" s="1092" t="s">
        <v>2643</v>
      </c>
      <c r="J250" s="1092" t="s">
        <v>2644</v>
      </c>
      <c r="K250" s="1092" t="s">
        <v>2645</v>
      </c>
      <c r="L250" s="1092" t="s">
        <v>2646</v>
      </c>
      <c r="M250" s="1092" t="s">
        <v>2647</v>
      </c>
      <c r="N250" s="1092" t="s">
        <v>2647</v>
      </c>
      <c r="O250" s="1092" t="s">
        <v>2648</v>
      </c>
      <c r="P250" s="921"/>
      <c r="Q250" s="1093" t="s">
        <v>509</v>
      </c>
      <c r="R250" s="1093" t="s">
        <v>2649</v>
      </c>
      <c r="S250" s="1093" t="s">
        <v>2650</v>
      </c>
      <c r="T250" s="1093" t="s">
        <v>2651</v>
      </c>
      <c r="U250" s="1093" t="s">
        <v>2652</v>
      </c>
      <c r="V250" s="1093" t="s">
        <v>2653</v>
      </c>
      <c r="W250" s="1093" t="s">
        <v>2654</v>
      </c>
      <c r="X250" s="1093" t="s">
        <v>2655</v>
      </c>
      <c r="Y250" s="1093" t="s">
        <v>2656</v>
      </c>
      <c r="Z250" s="1093" t="s">
        <v>2657</v>
      </c>
      <c r="AA250" s="1093"/>
      <c r="AB250" s="923"/>
      <c r="AC250" s="923"/>
      <c r="AD250" s="923"/>
      <c r="AE250" s="923"/>
      <c r="AF250" s="923"/>
      <c r="AG250" s="1022"/>
      <c r="AH250" s="1023"/>
      <c r="AI250" s="1023"/>
      <c r="AJ250" s="923"/>
      <c r="AK250" s="923"/>
      <c r="AL250" s="925">
        <v>1</v>
      </c>
      <c r="AM250" s="627"/>
      <c r="AN250" s="627"/>
    </row>
    <row r="251" spans="1:40" s="984" customFormat="1" ht="40.5" customHeight="1">
      <c r="A251" s="921"/>
      <c r="B251" s="996"/>
      <c r="C251" s="1091"/>
      <c r="D251" s="1091"/>
      <c r="E251" s="1091"/>
      <c r="F251" s="1091"/>
      <c r="G251" s="1091"/>
      <c r="H251" s="1091"/>
      <c r="I251" s="1091"/>
      <c r="J251" s="1091"/>
      <c r="K251" s="1091"/>
      <c r="L251" s="1091"/>
      <c r="M251" s="921"/>
      <c r="N251" s="921"/>
      <c r="O251" s="921"/>
      <c r="P251" s="921"/>
      <c r="Q251" s="921"/>
      <c r="R251" s="921"/>
      <c r="S251" s="921"/>
      <c r="T251" s="921"/>
      <c r="U251" s="921"/>
      <c r="V251" s="921"/>
      <c r="W251" s="921"/>
      <c r="X251" s="921"/>
      <c r="Y251" s="921"/>
      <c r="Z251" s="923"/>
      <c r="AA251" s="923"/>
      <c r="AB251" s="923"/>
      <c r="AC251" s="923"/>
      <c r="AD251" s="923"/>
      <c r="AE251" s="923"/>
      <c r="AF251" s="923"/>
      <c r="AG251" s="1022"/>
      <c r="AH251" s="1023"/>
      <c r="AI251" s="1023"/>
      <c r="AJ251" s="923"/>
      <c r="AK251" s="923"/>
      <c r="AL251" s="925">
        <v>1</v>
      </c>
      <c r="AM251" s="627"/>
      <c r="AN251" s="627"/>
    </row>
    <row r="252" spans="1:40" s="984" customFormat="1" ht="40.5" customHeight="1">
      <c r="A252" s="921"/>
      <c r="B252" s="996"/>
      <c r="C252" s="1093" t="s">
        <v>2658</v>
      </c>
      <c r="D252" s="1093" t="s">
        <v>2659</v>
      </c>
      <c r="E252" s="1093" t="s">
        <v>2660</v>
      </c>
      <c r="F252" s="1093" t="s">
        <v>83</v>
      </c>
      <c r="G252" s="1093" t="s">
        <v>78</v>
      </c>
      <c r="H252" s="1093" t="s">
        <v>79</v>
      </c>
      <c r="I252" s="1093" t="s">
        <v>2661</v>
      </c>
      <c r="J252" s="1093" t="s">
        <v>2662</v>
      </c>
      <c r="K252" s="1093" t="s">
        <v>876</v>
      </c>
      <c r="L252" s="1093" t="s">
        <v>2663</v>
      </c>
      <c r="M252" s="1093" t="s">
        <v>2664</v>
      </c>
      <c r="N252" s="921"/>
      <c r="O252" s="921"/>
      <c r="P252" s="921"/>
      <c r="Q252" s="1093" t="s">
        <v>2665</v>
      </c>
      <c r="R252" s="1093" t="s">
        <v>2666</v>
      </c>
      <c r="S252" s="1093" t="s">
        <v>2667</v>
      </c>
      <c r="T252" s="1093" t="s">
        <v>2668</v>
      </c>
      <c r="U252" s="1093" t="s">
        <v>2669</v>
      </c>
      <c r="V252" s="1093" t="s">
        <v>2670</v>
      </c>
      <c r="W252" s="1093" t="s">
        <v>2671</v>
      </c>
      <c r="X252" s="1093" t="s">
        <v>2672</v>
      </c>
      <c r="Y252" s="1093" t="s">
        <v>2673</v>
      </c>
      <c r="Z252" s="1093" t="s">
        <v>2674</v>
      </c>
      <c r="AA252" s="923"/>
      <c r="AB252" s="923"/>
      <c r="AC252" s="923"/>
      <c r="AD252" s="923"/>
      <c r="AE252" s="923"/>
      <c r="AF252" s="923"/>
      <c r="AG252" s="1022"/>
      <c r="AH252" s="1023"/>
      <c r="AI252" s="1023"/>
      <c r="AJ252" s="923"/>
      <c r="AK252" s="923"/>
      <c r="AL252" s="925">
        <v>1</v>
      </c>
      <c r="AM252" s="627"/>
      <c r="AN252" s="627"/>
    </row>
    <row r="253" spans="1:40" s="984" customFormat="1" ht="40.5" customHeight="1">
      <c r="A253" s="921"/>
      <c r="B253" s="996"/>
      <c r="C253" s="1091"/>
      <c r="D253" s="1091"/>
      <c r="E253" s="1091"/>
      <c r="F253" s="1091"/>
      <c r="G253" s="1091"/>
      <c r="H253" s="1091"/>
      <c r="I253" s="1091"/>
      <c r="J253" s="1091"/>
      <c r="K253" s="1091"/>
      <c r="L253" s="1091"/>
      <c r="M253" s="921"/>
      <c r="N253" s="921"/>
      <c r="O253" s="1091"/>
      <c r="P253" s="1091"/>
      <c r="Q253" s="1091"/>
      <c r="R253" s="1091"/>
      <c r="S253" s="1091"/>
      <c r="T253" s="1091"/>
      <c r="U253" s="1091"/>
      <c r="V253" s="1091"/>
      <c r="W253" s="1091"/>
      <c r="X253" s="1091"/>
      <c r="Y253" s="923"/>
      <c r="Z253" s="923"/>
      <c r="AA253" s="923"/>
      <c r="AB253" s="923"/>
      <c r="AC253" s="923"/>
      <c r="AD253" s="923"/>
      <c r="AE253" s="923"/>
      <c r="AF253" s="923"/>
      <c r="AG253" s="1022"/>
      <c r="AH253" s="1023"/>
      <c r="AI253" s="1023"/>
      <c r="AJ253" s="923"/>
      <c r="AK253" s="923"/>
      <c r="AL253" s="925">
        <v>1</v>
      </c>
      <c r="AM253" s="627"/>
      <c r="AN253" s="627"/>
    </row>
    <row r="254" spans="1:40" s="984" customFormat="1" ht="40.5" customHeight="1">
      <c r="A254" s="921"/>
      <c r="B254" s="996"/>
      <c r="C254" s="957" t="s">
        <v>2944</v>
      </c>
      <c r="D254" s="921"/>
      <c r="E254" s="921"/>
      <c r="F254" s="921"/>
      <c r="G254" s="921"/>
      <c r="H254" s="921"/>
      <c r="I254" s="986"/>
      <c r="J254" s="921"/>
      <c r="K254" s="921"/>
      <c r="L254" s="921"/>
      <c r="M254" s="921"/>
      <c r="N254" s="921"/>
      <c r="O254" s="986"/>
      <c r="P254" s="986"/>
      <c r="Q254" s="986"/>
      <c r="R254" s="986"/>
      <c r="S254" s="986"/>
      <c r="T254" s="923"/>
      <c r="U254" s="923"/>
      <c r="V254" s="1091"/>
      <c r="W254" s="923"/>
      <c r="X254" s="923"/>
      <c r="Y254" s="923"/>
      <c r="Z254" s="923"/>
      <c r="AA254" s="923"/>
      <c r="AB254" s="923"/>
      <c r="AC254" s="923"/>
      <c r="AD254" s="923"/>
      <c r="AE254" s="923"/>
      <c r="AF254" s="923"/>
      <c r="AG254" s="1022"/>
      <c r="AH254" s="1023"/>
      <c r="AI254" s="1023"/>
      <c r="AJ254" s="923"/>
      <c r="AK254" s="923"/>
      <c r="AL254" s="925">
        <v>1</v>
      </c>
      <c r="AM254" s="627"/>
      <c r="AN254" s="627"/>
    </row>
    <row r="255" spans="1:40" s="984" customFormat="1" ht="40.5" customHeight="1">
      <c r="A255" s="921"/>
      <c r="B255" s="996"/>
      <c r="C255" s="957" t="s">
        <v>2945</v>
      </c>
      <c r="D255" s="921"/>
      <c r="E255" s="921"/>
      <c r="F255" s="921"/>
      <c r="G255" s="921"/>
      <c r="H255" s="921"/>
      <c r="I255" s="986"/>
      <c r="J255" s="921"/>
      <c r="K255" s="921"/>
      <c r="L255" s="921"/>
      <c r="M255" s="921"/>
      <c r="N255" s="921"/>
      <c r="O255" s="986"/>
      <c r="P255" s="986"/>
      <c r="Q255" s="986"/>
      <c r="R255" s="986"/>
      <c r="S255" s="986"/>
      <c r="T255" s="923"/>
      <c r="U255" s="923"/>
      <c r="V255" s="1091"/>
      <c r="W255" s="923"/>
      <c r="X255" s="923"/>
      <c r="Y255" s="923"/>
      <c r="Z255" s="923"/>
      <c r="AA255" s="923"/>
      <c r="AB255" s="923"/>
      <c r="AC255" s="923"/>
      <c r="AD255" s="923"/>
      <c r="AE255" s="923"/>
      <c r="AF255" s="923"/>
      <c r="AG255" s="1022"/>
      <c r="AH255" s="1023"/>
      <c r="AI255" s="1023"/>
      <c r="AJ255" s="923"/>
      <c r="AK255" s="923"/>
      <c r="AL255" s="925">
        <v>1</v>
      </c>
      <c r="AM255" s="627"/>
      <c r="AN255" s="627"/>
    </row>
    <row r="256" spans="1:40" s="984" customFormat="1" ht="40.5" customHeight="1">
      <c r="A256" s="921"/>
      <c r="B256" s="996"/>
      <c r="C256" s="957" t="s">
        <v>2677</v>
      </c>
      <c r="D256" s="921"/>
      <c r="E256" s="921"/>
      <c r="F256" s="921"/>
      <c r="G256" s="921"/>
      <c r="H256" s="921"/>
      <c r="I256" s="986"/>
      <c r="J256" s="921"/>
      <c r="K256" s="921"/>
      <c r="L256" s="921"/>
      <c r="M256" s="921"/>
      <c r="N256" s="921"/>
      <c r="O256" s="986"/>
      <c r="P256" s="986"/>
      <c r="Q256" s="986"/>
      <c r="R256" s="986"/>
      <c r="S256" s="986"/>
      <c r="T256" s="923"/>
      <c r="U256" s="923"/>
      <c r="V256" s="1091"/>
      <c r="W256" s="923"/>
      <c r="X256" s="923"/>
      <c r="Y256" s="923"/>
      <c r="Z256" s="923"/>
      <c r="AA256" s="923"/>
      <c r="AB256" s="923"/>
      <c r="AC256" s="923"/>
      <c r="AD256" s="923"/>
      <c r="AE256" s="923"/>
      <c r="AF256" s="923"/>
      <c r="AG256" s="1022"/>
      <c r="AH256" s="1023"/>
      <c r="AI256" s="1023"/>
      <c r="AJ256" s="923"/>
      <c r="AK256" s="923"/>
      <c r="AL256" s="925">
        <v>1</v>
      </c>
      <c r="AM256" s="627"/>
      <c r="AN256" s="627"/>
    </row>
    <row r="257" spans="1:40" s="984" customFormat="1" ht="40.5" customHeight="1">
      <c r="A257" s="921"/>
      <c r="B257" s="996"/>
      <c r="C257" s="1094" t="s">
        <v>2678</v>
      </c>
      <c r="D257" s="1094" t="s">
        <v>2679</v>
      </c>
      <c r="E257" s="1094" t="s">
        <v>2680</v>
      </c>
      <c r="F257" s="1094" t="s">
        <v>2681</v>
      </c>
      <c r="G257" s="1094" t="s">
        <v>2682</v>
      </c>
      <c r="H257" s="1094" t="s">
        <v>2683</v>
      </c>
      <c r="I257" s="1094" t="s">
        <v>2684</v>
      </c>
      <c r="J257" s="1094" t="s">
        <v>2685</v>
      </c>
      <c r="K257" s="1094" t="s">
        <v>2686</v>
      </c>
      <c r="L257" s="1094" t="s">
        <v>2687</v>
      </c>
      <c r="M257" s="1094" t="s">
        <v>2688</v>
      </c>
      <c r="N257" s="1094"/>
      <c r="O257" s="1094"/>
      <c r="P257" s="1095"/>
      <c r="Q257" s="1095"/>
      <c r="R257" s="1095"/>
      <c r="S257" s="986"/>
      <c r="T257" s="923"/>
      <c r="U257" s="923"/>
      <c r="V257" s="1091"/>
      <c r="W257" s="923"/>
      <c r="X257" s="923"/>
      <c r="Y257" s="923"/>
      <c r="Z257" s="923"/>
      <c r="AA257" s="923"/>
      <c r="AB257" s="923"/>
      <c r="AC257" s="923"/>
      <c r="AD257" s="923"/>
      <c r="AE257" s="923"/>
      <c r="AF257" s="923"/>
      <c r="AG257" s="1022"/>
      <c r="AH257" s="1023"/>
      <c r="AI257" s="1023"/>
      <c r="AJ257" s="923"/>
      <c r="AK257" s="923"/>
      <c r="AL257" s="925">
        <v>1</v>
      </c>
      <c r="AM257" s="627"/>
      <c r="AN257" s="627"/>
    </row>
    <row r="258" spans="1:40" s="984" customFormat="1" ht="40.5" customHeight="1">
      <c r="A258" s="921"/>
      <c r="B258" s="996"/>
      <c r="C258" s="1096" t="s">
        <v>2689</v>
      </c>
      <c r="D258" s="1096" t="s">
        <v>2690</v>
      </c>
      <c r="E258" s="1096" t="s">
        <v>2691</v>
      </c>
      <c r="F258" s="1096"/>
      <c r="G258" s="1096" t="s">
        <v>2692</v>
      </c>
      <c r="H258" s="1096"/>
      <c r="I258" s="1096" t="s">
        <v>2693</v>
      </c>
      <c r="J258" s="1096"/>
      <c r="K258" s="1096" t="s">
        <v>2694</v>
      </c>
      <c r="L258" s="1096"/>
      <c r="M258" s="1096" t="s">
        <v>2695</v>
      </c>
      <c r="N258" s="1096" t="s">
        <v>2696</v>
      </c>
      <c r="O258" s="1096"/>
      <c r="P258" s="1096" t="s">
        <v>2697</v>
      </c>
      <c r="Q258" s="1096"/>
      <c r="R258" s="1096" t="s">
        <v>2698</v>
      </c>
      <c r="S258" s="986"/>
      <c r="T258" s="923"/>
      <c r="U258" s="923"/>
      <c r="V258" s="1091"/>
      <c r="W258" s="923"/>
      <c r="X258" s="923"/>
      <c r="Y258" s="923"/>
      <c r="Z258" s="923"/>
      <c r="AA258" s="923"/>
      <c r="AB258" s="923"/>
      <c r="AC258" s="923"/>
      <c r="AD258" s="923"/>
      <c r="AE258" s="923"/>
      <c r="AF258" s="923"/>
      <c r="AG258" s="1022"/>
      <c r="AH258" s="1023"/>
      <c r="AI258" s="1023"/>
      <c r="AJ258" s="923"/>
      <c r="AK258" s="923"/>
      <c r="AL258" s="925">
        <v>1</v>
      </c>
      <c r="AM258" s="627"/>
      <c r="AN258" s="627"/>
    </row>
    <row r="259" spans="1:40" s="984" customFormat="1" ht="40.5" customHeight="1">
      <c r="A259" s="921"/>
      <c r="B259" s="996"/>
      <c r="C259" s="957" t="s">
        <v>2946</v>
      </c>
      <c r="D259" s="921"/>
      <c r="E259" s="921"/>
      <c r="F259" s="921"/>
      <c r="G259" s="921"/>
      <c r="H259" s="921"/>
      <c r="I259" s="986"/>
      <c r="J259" s="921"/>
      <c r="K259" s="921"/>
      <c r="L259" s="921"/>
      <c r="M259" s="921"/>
      <c r="N259" s="921"/>
      <c r="O259" s="986"/>
      <c r="P259" s="986"/>
      <c r="Q259" s="986"/>
      <c r="R259" s="986"/>
      <c r="S259" s="986"/>
      <c r="T259" s="923"/>
      <c r="U259" s="923"/>
      <c r="V259" s="1091"/>
      <c r="W259" s="923"/>
      <c r="X259" s="923"/>
      <c r="Y259" s="923"/>
      <c r="Z259" s="923"/>
      <c r="AA259" s="923"/>
      <c r="AB259" s="923"/>
      <c r="AC259" s="923"/>
      <c r="AD259" s="923"/>
      <c r="AE259" s="923"/>
      <c r="AF259" s="923"/>
      <c r="AG259" s="1022"/>
      <c r="AH259" s="1023"/>
      <c r="AI259" s="1023"/>
      <c r="AJ259" s="923"/>
      <c r="AK259" s="923"/>
      <c r="AL259" s="925">
        <v>1</v>
      </c>
      <c r="AM259" s="627"/>
      <c r="AN259" s="627"/>
    </row>
    <row r="260" spans="1:40" s="984" customFormat="1" ht="40.5" customHeight="1">
      <c r="A260" s="921"/>
      <c r="B260" s="996"/>
      <c r="C260" s="1089"/>
      <c r="D260" s="921"/>
      <c r="E260" s="921"/>
      <c r="F260" s="921"/>
      <c r="G260" s="921"/>
      <c r="H260" s="921"/>
      <c r="I260" s="986"/>
      <c r="J260" s="921"/>
      <c r="K260" s="921"/>
      <c r="L260" s="921"/>
      <c r="M260" s="921"/>
      <c r="N260" s="921"/>
      <c r="O260" s="986"/>
      <c r="P260" s="986"/>
      <c r="Q260" s="986"/>
      <c r="R260" s="986"/>
      <c r="S260" s="986"/>
      <c r="T260" s="923"/>
      <c r="U260" s="923"/>
      <c r="V260" s="923"/>
      <c r="W260" s="923"/>
      <c r="X260" s="923"/>
      <c r="Y260" s="923"/>
      <c r="Z260" s="923"/>
      <c r="AA260" s="923"/>
      <c r="AB260" s="923"/>
      <c r="AC260" s="923"/>
      <c r="AD260" s="923"/>
      <c r="AE260" s="923"/>
      <c r="AF260" s="923"/>
      <c r="AG260" s="1022"/>
      <c r="AH260" s="1023"/>
      <c r="AI260" s="1023"/>
      <c r="AJ260" s="923"/>
      <c r="AK260" s="923"/>
      <c r="AL260" s="925">
        <v>1</v>
      </c>
      <c r="AM260" s="627"/>
      <c r="AN260" s="627"/>
    </row>
    <row r="261" spans="1:40" s="1101" customFormat="1" ht="40.5" customHeight="1">
      <c r="A261" s="1056"/>
      <c r="B261" s="1021" t="s">
        <v>2947</v>
      </c>
      <c r="C261" s="1056"/>
      <c r="D261" s="1056"/>
      <c r="E261" s="1056"/>
      <c r="F261" s="1056"/>
      <c r="G261" s="1097"/>
      <c r="H261" s="1056"/>
      <c r="I261" s="986"/>
      <c r="J261" s="1056"/>
      <c r="K261" s="1056"/>
      <c r="L261" s="1056"/>
      <c r="M261" s="1056"/>
      <c r="N261" s="1056"/>
      <c r="O261" s="986"/>
      <c r="P261" s="986"/>
      <c r="Q261" s="1158" t="s">
        <v>2948</v>
      </c>
      <c r="R261" s="1098" t="s">
        <v>2702</v>
      </c>
      <c r="S261" s="1099"/>
      <c r="T261" s="1099"/>
      <c r="U261" s="1099"/>
      <c r="V261" s="1099"/>
      <c r="W261" s="1099"/>
      <c r="X261" s="1099"/>
      <c r="Y261" s="1099"/>
      <c r="Z261" s="1100"/>
      <c r="AA261" s="1100"/>
      <c r="AB261" s="1100"/>
      <c r="AC261" s="1100"/>
      <c r="AD261" s="1100"/>
      <c r="AE261" s="1100"/>
      <c r="AF261" s="1100"/>
      <c r="AG261" s="1100"/>
      <c r="AH261" s="1100"/>
      <c r="AI261" s="1023"/>
      <c r="AJ261" s="923"/>
      <c r="AK261" s="923"/>
      <c r="AL261" s="925">
        <v>1</v>
      </c>
      <c r="AM261" s="627"/>
      <c r="AN261" s="627"/>
    </row>
    <row r="262" spans="1:40" s="1101" customFormat="1" ht="40.5" customHeight="1">
      <c r="A262" s="1056"/>
      <c r="B262" s="1102" t="s">
        <v>2703</v>
      </c>
      <c r="C262" s="1102" t="s">
        <v>2704</v>
      </c>
      <c r="D262" s="1102" t="s">
        <v>2705</v>
      </c>
      <c r="E262" s="1102"/>
      <c r="F262" s="1102" t="s">
        <v>1744</v>
      </c>
      <c r="G262" s="1102" t="s">
        <v>1745</v>
      </c>
      <c r="H262" s="1103" t="s">
        <v>1746</v>
      </c>
      <c r="I262" s="1102" t="s">
        <v>1747</v>
      </c>
      <c r="J262" s="1102" t="s">
        <v>1748</v>
      </c>
      <c r="K262" s="1102" t="s">
        <v>1749</v>
      </c>
      <c r="L262" s="1102"/>
      <c r="M262" s="1102"/>
      <c r="N262" s="1102"/>
      <c r="O262" s="1102" t="s">
        <v>2706</v>
      </c>
      <c r="P262" s="1102" t="s">
        <v>1752</v>
      </c>
      <c r="Q262" s="1102" t="s">
        <v>1753</v>
      </c>
      <c r="R262" s="1102" t="s">
        <v>1754</v>
      </c>
      <c r="S262" s="1102" t="s">
        <v>2707</v>
      </c>
      <c r="T262" s="1102" t="s">
        <v>15</v>
      </c>
      <c r="U262" s="1102" t="s">
        <v>1755</v>
      </c>
      <c r="V262" s="1102" t="s">
        <v>1756</v>
      </c>
      <c r="W262" s="1102" t="s">
        <v>829</v>
      </c>
      <c r="X262" s="1102" t="s">
        <v>1750</v>
      </c>
      <c r="Y262" s="1102"/>
      <c r="Z262" s="923"/>
      <c r="AA262" s="923"/>
      <c r="AB262" s="923"/>
      <c r="AC262" s="923"/>
      <c r="AD262" s="923"/>
      <c r="AE262" s="923"/>
      <c r="AF262" s="923"/>
      <c r="AG262" s="1022"/>
      <c r="AH262" s="1023"/>
      <c r="AI262" s="1023"/>
      <c r="AJ262" s="923"/>
      <c r="AK262" s="923"/>
      <c r="AL262" s="925">
        <v>1</v>
      </c>
      <c r="AM262" s="627"/>
      <c r="AN262" s="627"/>
    </row>
    <row r="263" spans="1:40" s="1101" customFormat="1" ht="40.5" customHeight="1">
      <c r="A263" s="1056"/>
      <c r="B263" s="1056"/>
      <c r="C263" s="1104" t="s">
        <v>2959</v>
      </c>
      <c r="D263" s="1105" t="s">
        <v>2709</v>
      </c>
      <c r="E263" s="1102"/>
      <c r="F263" s="1102"/>
      <c r="G263" s="1102"/>
      <c r="H263" s="1102"/>
      <c r="I263" s="1102"/>
      <c r="J263" s="1102"/>
      <c r="K263" s="1102"/>
      <c r="L263" s="1102"/>
      <c r="M263" s="1102"/>
      <c r="N263" s="1102"/>
      <c r="O263" s="1102"/>
      <c r="P263" s="1102"/>
      <c r="Q263" s="1102"/>
      <c r="R263" s="1102"/>
      <c r="S263" s="1102"/>
      <c r="T263" s="1102"/>
      <c r="U263" s="1102"/>
      <c r="V263" s="1102"/>
      <c r="W263" s="1102"/>
      <c r="X263" s="1102"/>
      <c r="Y263" s="1102"/>
      <c r="Z263" s="923"/>
      <c r="AA263" s="923"/>
      <c r="AB263" s="923"/>
      <c r="AC263" s="923"/>
      <c r="AD263" s="923"/>
      <c r="AE263" s="923"/>
      <c r="AF263" s="923"/>
      <c r="AG263" s="1022"/>
      <c r="AH263" s="1023"/>
      <c r="AI263" s="1023"/>
      <c r="AJ263" s="923"/>
      <c r="AK263" s="923"/>
      <c r="AL263" s="925">
        <v>1</v>
      </c>
      <c r="AM263" s="627"/>
      <c r="AN263" s="627"/>
    </row>
    <row r="264" spans="1:40" s="1101" customFormat="1" ht="40.5" customHeight="1">
      <c r="A264" s="1056"/>
      <c r="B264" s="1056"/>
      <c r="C264" s="1104"/>
      <c r="D264" s="1105" t="s">
        <v>2710</v>
      </c>
      <c r="E264" s="1102"/>
      <c r="F264" s="1102"/>
      <c r="G264" s="1102"/>
      <c r="H264" s="1102"/>
      <c r="I264" s="1102"/>
      <c r="J264" s="1102"/>
      <c r="K264" s="1102"/>
      <c r="L264" s="1102"/>
      <c r="M264" s="1102"/>
      <c r="N264" s="1102"/>
      <c r="O264" s="1102"/>
      <c r="P264" s="1102"/>
      <c r="Q264" s="1102"/>
      <c r="R264" s="1102"/>
      <c r="S264" s="1102"/>
      <c r="T264" s="1102"/>
      <c r="U264" s="1102"/>
      <c r="V264" s="1102"/>
      <c r="W264" s="1102"/>
      <c r="X264" s="1102"/>
      <c r="Y264" s="1102"/>
      <c r="Z264" s="923"/>
      <c r="AA264" s="923"/>
      <c r="AB264" s="923"/>
      <c r="AC264" s="923"/>
      <c r="AD264" s="923"/>
      <c r="AE264" s="923"/>
      <c r="AF264" s="923"/>
      <c r="AG264" s="1022"/>
      <c r="AH264" s="1023"/>
      <c r="AI264" s="1023"/>
      <c r="AJ264" s="923"/>
      <c r="AK264" s="923"/>
      <c r="AL264" s="925">
        <v>1</v>
      </c>
      <c r="AM264" s="627"/>
      <c r="AN264" s="627"/>
    </row>
    <row r="265" spans="1:40" s="1101" customFormat="1" ht="40.5" customHeight="1">
      <c r="A265" s="1056"/>
      <c r="B265" s="1056"/>
      <c r="C265" s="1104"/>
      <c r="D265" s="1105" t="s">
        <v>2711</v>
      </c>
      <c r="E265" s="1102"/>
      <c r="F265" s="1102"/>
      <c r="G265" s="1102"/>
      <c r="H265" s="1102"/>
      <c r="I265" s="1102"/>
      <c r="J265" s="1102"/>
      <c r="K265" s="1102"/>
      <c r="L265" s="1102"/>
      <c r="M265" s="1102"/>
      <c r="N265" s="1102"/>
      <c r="O265" s="1102"/>
      <c r="P265" s="1102"/>
      <c r="Q265" s="1102"/>
      <c r="R265" s="1102"/>
      <c r="S265" s="1102"/>
      <c r="T265" s="1102"/>
      <c r="U265" s="1102"/>
      <c r="V265" s="1102"/>
      <c r="W265" s="1102"/>
      <c r="X265" s="1102"/>
      <c r="Y265" s="1102"/>
      <c r="Z265" s="923"/>
      <c r="AA265" s="923"/>
      <c r="AB265" s="923"/>
      <c r="AC265" s="923"/>
      <c r="AD265" s="923"/>
      <c r="AE265" s="923"/>
      <c r="AF265" s="923"/>
      <c r="AG265" s="1022"/>
      <c r="AH265" s="1023"/>
      <c r="AI265" s="1023"/>
      <c r="AJ265" s="923"/>
      <c r="AK265" s="923"/>
      <c r="AL265" s="925">
        <v>1</v>
      </c>
      <c r="AM265" s="627"/>
      <c r="AN265" s="627"/>
    </row>
    <row r="266" spans="1:40" s="1101" customFormat="1" ht="40.5" customHeight="1">
      <c r="A266" s="1056"/>
      <c r="B266" s="1056"/>
      <c r="C266" s="1106"/>
      <c r="D266" s="1107" t="s">
        <v>2949</v>
      </c>
      <c r="E266" s="1102"/>
      <c r="F266" s="1102"/>
      <c r="G266" s="1102"/>
      <c r="H266" s="1102"/>
      <c r="I266" s="1102"/>
      <c r="J266" s="1102"/>
      <c r="K266" s="1102"/>
      <c r="L266" s="1102"/>
      <c r="M266" s="1102"/>
      <c r="N266" s="1102"/>
      <c r="O266" s="1102"/>
      <c r="P266" s="1102"/>
      <c r="Q266" s="1102"/>
      <c r="R266" s="1102"/>
      <c r="S266" s="1102"/>
      <c r="T266" s="1102"/>
      <c r="U266" s="1102"/>
      <c r="V266" s="1102"/>
      <c r="W266" s="1102"/>
      <c r="X266" s="1102"/>
      <c r="Y266" s="1102"/>
      <c r="Z266" s="923"/>
      <c r="AA266" s="923"/>
      <c r="AB266" s="923"/>
      <c r="AC266" s="923"/>
      <c r="AD266" s="923"/>
      <c r="AE266" s="923"/>
      <c r="AF266" s="923"/>
      <c r="AG266" s="1022"/>
      <c r="AH266" s="1023"/>
      <c r="AI266" s="1023"/>
      <c r="AJ266" s="923"/>
      <c r="AK266" s="923"/>
      <c r="AL266" s="925">
        <v>1</v>
      </c>
      <c r="AM266" s="627"/>
      <c r="AN266" s="627"/>
    </row>
    <row r="267" spans="1:40" s="1101" customFormat="1" ht="40.5" customHeight="1">
      <c r="A267" s="1056"/>
      <c r="B267" s="1056"/>
      <c r="C267" s="1104"/>
      <c r="D267" s="1105" t="s">
        <v>2713</v>
      </c>
      <c r="E267" s="1102"/>
      <c r="F267" s="1102"/>
      <c r="G267" s="1102"/>
      <c r="H267" s="1102"/>
      <c r="I267" s="1102"/>
      <c r="J267" s="1102"/>
      <c r="K267" s="1102"/>
      <c r="L267" s="1102"/>
      <c r="M267" s="1102"/>
      <c r="N267" s="1102"/>
      <c r="O267" s="1102"/>
      <c r="P267" s="1102"/>
      <c r="Q267" s="1102"/>
      <c r="R267" s="1102"/>
      <c r="S267" s="1102"/>
      <c r="T267" s="1102"/>
      <c r="U267" s="1102"/>
      <c r="V267" s="1102"/>
      <c r="W267" s="1102"/>
      <c r="X267" s="1102"/>
      <c r="Y267" s="1102"/>
      <c r="Z267" s="923"/>
      <c r="AA267" s="923"/>
      <c r="AB267" s="923"/>
      <c r="AC267" s="923"/>
      <c r="AD267" s="923"/>
      <c r="AE267" s="923"/>
      <c r="AF267" s="923"/>
      <c r="AG267" s="1022"/>
      <c r="AH267" s="1023"/>
      <c r="AI267" s="1023"/>
      <c r="AJ267" s="923"/>
      <c r="AK267" s="923"/>
      <c r="AL267" s="925">
        <v>1</v>
      </c>
      <c r="AM267" s="627"/>
      <c r="AN267" s="627"/>
    </row>
    <row r="268" spans="1:40" s="1101" customFormat="1" ht="40.5" customHeight="1">
      <c r="A268" s="1056"/>
      <c r="B268" s="1056"/>
      <c r="C268" s="1104"/>
      <c r="D268" s="1105" t="s">
        <v>2714</v>
      </c>
      <c r="E268" s="1102"/>
      <c r="F268" s="1102"/>
      <c r="G268" s="1102"/>
      <c r="H268" s="1102"/>
      <c r="I268" s="1102"/>
      <c r="J268" s="1102"/>
      <c r="K268" s="1102"/>
      <c r="L268" s="1102"/>
      <c r="M268" s="1102"/>
      <c r="N268" s="1102"/>
      <c r="O268" s="1102"/>
      <c r="P268" s="1102"/>
      <c r="Q268" s="1102"/>
      <c r="R268" s="1102"/>
      <c r="S268" s="1102"/>
      <c r="T268" s="1102"/>
      <c r="U268" s="1102"/>
      <c r="V268" s="1102"/>
      <c r="W268" s="1102"/>
      <c r="X268" s="1102"/>
      <c r="Y268" s="1102"/>
      <c r="Z268" s="923"/>
      <c r="AA268" s="923"/>
      <c r="AB268" s="923"/>
      <c r="AC268" s="923"/>
      <c r="AD268" s="923"/>
      <c r="AE268" s="923"/>
      <c r="AF268" s="923"/>
      <c r="AG268" s="1022"/>
      <c r="AH268" s="1023"/>
      <c r="AI268" s="1023"/>
      <c r="AJ268" s="923"/>
      <c r="AK268" s="923"/>
      <c r="AL268" s="925">
        <v>1</v>
      </c>
      <c r="AM268" s="627"/>
      <c r="AN268" s="627"/>
    </row>
    <row r="269" spans="1:40" s="1101" customFormat="1" ht="40.5" customHeight="1">
      <c r="A269" s="1056"/>
      <c r="B269" s="1021"/>
      <c r="C269" s="1056"/>
      <c r="D269" s="1056"/>
      <c r="E269" s="1056"/>
      <c r="F269" s="1056"/>
      <c r="G269" s="1056"/>
      <c r="H269" s="1056"/>
      <c r="I269" s="986"/>
      <c r="J269" s="1056"/>
      <c r="K269" s="1056"/>
      <c r="L269" s="1056"/>
      <c r="M269" s="1056"/>
      <c r="N269" s="1056"/>
      <c r="O269" s="986"/>
      <c r="P269" s="986"/>
      <c r="Q269" s="986"/>
      <c r="R269" s="986"/>
      <c r="S269" s="986"/>
      <c r="T269" s="1022"/>
      <c r="U269" s="1021"/>
      <c r="V269" s="1108"/>
      <c r="W269" s="1102"/>
      <c r="X269" s="1102"/>
      <c r="Y269" s="1102"/>
      <c r="Z269" s="923"/>
      <c r="AA269" s="923"/>
      <c r="AB269" s="923"/>
      <c r="AC269" s="923"/>
      <c r="AD269" s="923"/>
      <c r="AE269" s="923"/>
      <c r="AF269" s="923"/>
      <c r="AG269" s="1022"/>
      <c r="AH269" s="1023"/>
      <c r="AI269" s="1023"/>
      <c r="AJ269" s="923"/>
      <c r="AK269" s="923"/>
      <c r="AL269" s="925">
        <v>1</v>
      </c>
      <c r="AM269" s="627"/>
      <c r="AN269" s="627"/>
    </row>
    <row r="270" spans="1:40" s="1101" customFormat="1" ht="40.5" customHeight="1">
      <c r="A270" s="1056"/>
      <c r="B270" s="1021"/>
      <c r="C270" s="1056"/>
      <c r="D270" s="1056"/>
      <c r="E270" s="1056"/>
      <c r="F270" s="1056"/>
      <c r="G270" s="1056"/>
      <c r="H270" s="1056"/>
      <c r="I270" s="986"/>
      <c r="J270" s="1056"/>
      <c r="K270" s="1056"/>
      <c r="L270" s="1056"/>
      <c r="M270" s="1056"/>
      <c r="N270" s="1056"/>
      <c r="O270" s="986"/>
      <c r="P270" s="986"/>
      <c r="Q270" s="986"/>
      <c r="R270" s="986"/>
      <c r="S270" s="986"/>
      <c r="T270" s="1022"/>
      <c r="U270" s="1021"/>
      <c r="V270" s="1108"/>
      <c r="W270" s="1102"/>
      <c r="X270" s="1102"/>
      <c r="Y270" s="1102"/>
      <c r="Z270" s="923"/>
      <c r="AA270" s="923"/>
      <c r="AB270" s="923"/>
      <c r="AC270" s="923"/>
      <c r="AD270" s="923"/>
      <c r="AE270" s="923"/>
      <c r="AF270" s="923"/>
      <c r="AG270" s="1022"/>
      <c r="AH270" s="1023"/>
      <c r="AI270" s="1023"/>
      <c r="AJ270" s="923"/>
      <c r="AK270" s="923"/>
      <c r="AL270" s="925">
        <v>1</v>
      </c>
      <c r="AM270" s="627"/>
      <c r="AN270" s="627"/>
    </row>
    <row r="271" spans="1:40" s="1101" customFormat="1" ht="40.5" customHeight="1">
      <c r="A271" s="1056"/>
      <c r="B271" s="1021"/>
      <c r="C271" s="1056"/>
      <c r="D271" s="1056"/>
      <c r="E271" s="1056"/>
      <c r="F271" s="1056"/>
      <c r="G271" s="1056"/>
      <c r="H271" s="1056"/>
      <c r="I271" s="986"/>
      <c r="J271" s="1056"/>
      <c r="K271" s="1056"/>
      <c r="L271" s="1056"/>
      <c r="M271" s="1056"/>
      <c r="N271" s="1056"/>
      <c r="O271" s="986"/>
      <c r="P271" s="986"/>
      <c r="Q271" s="986"/>
      <c r="R271" s="986"/>
      <c r="S271" s="986"/>
      <c r="T271" s="1022"/>
      <c r="U271" s="1021"/>
      <c r="V271" s="1108"/>
      <c r="W271" s="1102"/>
      <c r="X271" s="1102"/>
      <c r="Y271" s="1102"/>
      <c r="Z271" s="923"/>
      <c r="AA271" s="923"/>
      <c r="AB271" s="923"/>
      <c r="AC271" s="923"/>
      <c r="AD271" s="923"/>
      <c r="AE271" s="923"/>
      <c r="AF271" s="923"/>
      <c r="AG271" s="1022"/>
      <c r="AH271" s="1023"/>
      <c r="AI271" s="1023"/>
      <c r="AJ271" s="923"/>
      <c r="AK271" s="923"/>
      <c r="AL271" s="925">
        <v>1</v>
      </c>
      <c r="AM271" s="627"/>
      <c r="AN271" s="627"/>
    </row>
    <row r="272" spans="1:40" s="984" customFormat="1" ht="40.5" customHeight="1">
      <c r="A272" s="921"/>
      <c r="B272" s="1021" t="s">
        <v>2960</v>
      </c>
      <c r="C272" s="921"/>
      <c r="D272" s="921"/>
      <c r="E272" s="921"/>
      <c r="F272" s="921"/>
      <c r="G272" s="921"/>
      <c r="H272" s="921"/>
      <c r="I272" s="986"/>
      <c r="J272" s="921"/>
      <c r="K272" s="921"/>
      <c r="L272" s="921"/>
      <c r="M272" s="921"/>
      <c r="N272" s="921"/>
      <c r="O272" s="986"/>
      <c r="P272" s="986"/>
      <c r="Q272" s="986"/>
      <c r="R272" s="986"/>
      <c r="S272" s="986"/>
      <c r="T272" s="923"/>
      <c r="U272" s="923"/>
      <c r="V272" s="923"/>
      <c r="W272" s="923"/>
      <c r="X272" s="923"/>
      <c r="Y272" s="923"/>
      <c r="Z272" s="923"/>
      <c r="AA272" s="923"/>
      <c r="AB272" s="923"/>
      <c r="AC272" s="923"/>
      <c r="AD272" s="923"/>
      <c r="AE272" s="923"/>
      <c r="AF272" s="923"/>
      <c r="AG272" s="923"/>
      <c r="AH272" s="923"/>
      <c r="AI272" s="923"/>
      <c r="AJ272" s="923"/>
      <c r="AK272" s="923"/>
      <c r="AL272" s="925">
        <v>1</v>
      </c>
      <c r="AM272" s="627"/>
      <c r="AN272" s="627"/>
    </row>
    <row r="273" spans="1:40" s="984" customFormat="1" ht="40.5" customHeight="1">
      <c r="A273" s="921"/>
      <c r="B273" s="996"/>
      <c r="C273" s="1109" t="s">
        <v>2629</v>
      </c>
      <c r="D273" s="1110" t="s">
        <v>16</v>
      </c>
      <c r="E273" s="1111" t="s">
        <v>2630</v>
      </c>
      <c r="F273" s="1112" t="s">
        <v>2631</v>
      </c>
      <c r="G273" s="1113" t="s">
        <v>2632</v>
      </c>
      <c r="H273" s="1114" t="s">
        <v>2633</v>
      </c>
      <c r="I273" s="1115" t="s">
        <v>2634</v>
      </c>
      <c r="J273" s="1116" t="s">
        <v>2635</v>
      </c>
      <c r="K273" s="1117" t="s">
        <v>453</v>
      </c>
      <c r="L273" s="921"/>
      <c r="M273" s="921"/>
      <c r="N273" s="921"/>
      <c r="O273" s="1118" t="s">
        <v>2636</v>
      </c>
      <c r="P273" s="1119" t="s">
        <v>509</v>
      </c>
      <c r="Q273" s="1120" t="s">
        <v>2649</v>
      </c>
      <c r="R273" s="1121" t="s">
        <v>2650</v>
      </c>
      <c r="S273" s="1112" t="s">
        <v>2651</v>
      </c>
      <c r="T273" s="1122" t="s">
        <v>2652</v>
      </c>
      <c r="U273" s="1123" t="s">
        <v>2653</v>
      </c>
      <c r="V273" s="1124" t="s">
        <v>2654</v>
      </c>
      <c r="W273" s="1125" t="s">
        <v>2655</v>
      </c>
      <c r="X273" s="1126" t="s">
        <v>2656</v>
      </c>
      <c r="Y273" s="1111" t="s">
        <v>2657</v>
      </c>
      <c r="Z273" s="923"/>
      <c r="AA273" s="923"/>
      <c r="AB273" s="923"/>
      <c r="AC273" s="923"/>
      <c r="AD273" s="923"/>
      <c r="AE273" s="923"/>
      <c r="AF273" s="923"/>
      <c r="AG273" s="923"/>
      <c r="AH273" s="923"/>
      <c r="AI273" s="923"/>
      <c r="AJ273" s="923"/>
      <c r="AK273" s="923"/>
      <c r="AL273" s="925">
        <v>1</v>
      </c>
      <c r="AM273" s="627"/>
      <c r="AN273" s="627"/>
    </row>
    <row r="274" spans="1:40" s="984" customFormat="1" ht="40.5" customHeight="1">
      <c r="A274" s="921"/>
      <c r="B274" s="996"/>
      <c r="C274" s="921"/>
      <c r="D274" s="921"/>
      <c r="E274" s="921"/>
      <c r="F274" s="921"/>
      <c r="G274" s="921"/>
      <c r="H274" s="921"/>
      <c r="I274" s="986"/>
      <c r="J274" s="921"/>
      <c r="K274" s="921"/>
      <c r="L274" s="921"/>
      <c r="M274" s="921"/>
      <c r="N274" s="921"/>
      <c r="O274" s="986"/>
      <c r="P274" s="986"/>
      <c r="Q274" s="986"/>
      <c r="R274" s="986"/>
      <c r="S274" s="986"/>
      <c r="T274" s="923"/>
      <c r="U274" s="923"/>
      <c r="V274" s="923"/>
      <c r="W274" s="923"/>
      <c r="X274" s="923"/>
      <c r="Y274" s="923"/>
      <c r="Z274" s="923"/>
      <c r="AA274" s="923"/>
      <c r="AB274" s="923"/>
      <c r="AC274" s="923"/>
      <c r="AD274" s="923"/>
      <c r="AE274" s="923"/>
      <c r="AF274" s="923"/>
      <c r="AG274" s="923"/>
      <c r="AH274" s="923"/>
      <c r="AI274" s="923"/>
      <c r="AJ274" s="923"/>
      <c r="AK274" s="923"/>
      <c r="AL274" s="925">
        <v>1</v>
      </c>
      <c r="AM274" s="627"/>
      <c r="AN274" s="627"/>
    </row>
    <row r="275" spans="1:40" s="984" customFormat="1" ht="40.5" customHeight="1">
      <c r="A275" s="921"/>
      <c r="B275" s="996"/>
      <c r="C275" s="1127" t="s">
        <v>2629</v>
      </c>
      <c r="D275" s="1127" t="s">
        <v>16</v>
      </c>
      <c r="E275" s="1127" t="s">
        <v>2630</v>
      </c>
      <c r="F275" s="1127" t="s">
        <v>2631</v>
      </c>
      <c r="G275" s="1127" t="s">
        <v>2632</v>
      </c>
      <c r="H275" s="1127" t="s">
        <v>2633</v>
      </c>
      <c r="I275" s="1127" t="s">
        <v>2634</v>
      </c>
      <c r="J275" s="1127" t="s">
        <v>2635</v>
      </c>
      <c r="K275" s="1127" t="s">
        <v>453</v>
      </c>
      <c r="L275" s="921"/>
      <c r="M275" s="921"/>
      <c r="N275" s="921"/>
      <c r="O275" s="1127" t="s">
        <v>2636</v>
      </c>
      <c r="P275" s="1127" t="s">
        <v>509</v>
      </c>
      <c r="Q275" s="1127" t="s">
        <v>2649</v>
      </c>
      <c r="R275" s="1127" t="s">
        <v>2650</v>
      </c>
      <c r="S275" s="1127" t="s">
        <v>2651</v>
      </c>
      <c r="T275" s="1127" t="s">
        <v>2652</v>
      </c>
      <c r="U275" s="1127" t="s">
        <v>2653</v>
      </c>
      <c r="V275" s="1127" t="s">
        <v>2654</v>
      </c>
      <c r="W275" s="1127" t="s">
        <v>2655</v>
      </c>
      <c r="X275" s="1127" t="s">
        <v>2656</v>
      </c>
      <c r="Y275" s="1127" t="s">
        <v>2657</v>
      </c>
      <c r="Z275" s="921"/>
      <c r="AA275" s="921"/>
      <c r="AB275" s="921"/>
      <c r="AC275" s="921"/>
      <c r="AD275" s="921"/>
      <c r="AE275" s="921"/>
      <c r="AF275" s="921"/>
      <c r="AG275" s="921"/>
      <c r="AH275" s="921"/>
      <c r="AI275" s="921"/>
      <c r="AJ275" s="921"/>
      <c r="AK275" s="921"/>
      <c r="AL275" s="925">
        <v>1</v>
      </c>
      <c r="AM275" s="627"/>
      <c r="AN275" s="627"/>
    </row>
    <row r="276" spans="1:40" s="984" customFormat="1" ht="40.5" customHeight="1">
      <c r="A276" s="921"/>
      <c r="B276" s="996"/>
      <c r="C276" s="921"/>
      <c r="D276" s="921"/>
      <c r="E276" s="921"/>
      <c r="F276" s="921"/>
      <c r="G276" s="921"/>
      <c r="H276" s="921"/>
      <c r="I276" s="986"/>
      <c r="J276" s="921"/>
      <c r="K276" s="921"/>
      <c r="L276" s="921"/>
      <c r="M276" s="921"/>
      <c r="N276" s="921"/>
      <c r="O276" s="986"/>
      <c r="P276" s="986"/>
      <c r="Q276" s="986"/>
      <c r="R276" s="986"/>
      <c r="S276" s="986"/>
      <c r="T276" s="923"/>
      <c r="U276" s="923"/>
      <c r="V276" s="923"/>
      <c r="W276" s="923"/>
      <c r="X276" s="923"/>
      <c r="Y276" s="923"/>
      <c r="Z276" s="923"/>
      <c r="AA276" s="923"/>
      <c r="AB276" s="923"/>
      <c r="AC276" s="923"/>
      <c r="AD276" s="923"/>
      <c r="AE276" s="923"/>
      <c r="AF276" s="923"/>
      <c r="AG276" s="1022"/>
      <c r="AH276" s="1023"/>
      <c r="AI276" s="1023"/>
      <c r="AJ276" s="923"/>
      <c r="AK276" s="923"/>
      <c r="AL276" s="925">
        <v>1</v>
      </c>
      <c r="AM276" s="627"/>
      <c r="AN276" s="627"/>
    </row>
    <row r="277" spans="1:40" s="984" customFormat="1" ht="40.5" customHeight="1">
      <c r="A277" s="921"/>
      <c r="B277" s="996"/>
      <c r="C277" s="1128">
        <v>1</v>
      </c>
      <c r="D277" s="1128" t="s">
        <v>2716</v>
      </c>
      <c r="E277" s="1128" t="s">
        <v>2717</v>
      </c>
      <c r="F277" s="1128" t="s">
        <v>2718</v>
      </c>
      <c r="G277" s="1128" t="s">
        <v>2719</v>
      </c>
      <c r="H277" s="1128" t="s">
        <v>2720</v>
      </c>
      <c r="I277" s="1128" t="s">
        <v>2721</v>
      </c>
      <c r="J277" s="1128" t="s">
        <v>2722</v>
      </c>
      <c r="K277" s="1128" t="s">
        <v>2723</v>
      </c>
      <c r="L277" s="921"/>
      <c r="M277" s="921"/>
      <c r="N277" s="921"/>
      <c r="O277" s="1128" t="s">
        <v>2724</v>
      </c>
      <c r="P277" s="1128" t="s">
        <v>2725</v>
      </c>
      <c r="Q277" s="1128" t="s">
        <v>2726</v>
      </c>
      <c r="R277" s="1128" t="s">
        <v>2727</v>
      </c>
      <c r="S277" s="1128" t="s">
        <v>2728</v>
      </c>
      <c r="T277" s="1128" t="s">
        <v>2729</v>
      </c>
      <c r="U277" s="1128" t="s">
        <v>2730</v>
      </c>
      <c r="V277" s="1128" t="s">
        <v>2731</v>
      </c>
      <c r="W277" s="1128" t="s">
        <v>2732</v>
      </c>
      <c r="X277" s="1128" t="s">
        <v>2733</v>
      </c>
      <c r="Y277" s="1128" t="s">
        <v>2734</v>
      </c>
      <c r="Z277" s="1129">
        <v>15.5</v>
      </c>
      <c r="AA277" s="923"/>
      <c r="AB277" s="923"/>
      <c r="AC277" s="923"/>
      <c r="AD277" s="923"/>
      <c r="AE277" s="923"/>
      <c r="AF277" s="923"/>
      <c r="AG277" s="1022"/>
      <c r="AH277" s="1023"/>
      <c r="AI277" s="1023"/>
      <c r="AJ277" s="923"/>
      <c r="AK277" s="923"/>
      <c r="AL277" s="925">
        <v>1</v>
      </c>
      <c r="AM277" s="627"/>
      <c r="AN277" s="627"/>
    </row>
    <row r="278" spans="1:40" s="984" customFormat="1" ht="40.5" customHeight="1">
      <c r="A278" s="921"/>
      <c r="B278" s="996"/>
      <c r="C278" s="921"/>
      <c r="D278" s="921"/>
      <c r="E278" s="921"/>
      <c r="F278" s="921"/>
      <c r="G278" s="921"/>
      <c r="H278" s="921"/>
      <c r="I278" s="986"/>
      <c r="J278" s="921"/>
      <c r="K278" s="921"/>
      <c r="L278" s="921"/>
      <c r="M278" s="921"/>
      <c r="N278" s="921"/>
      <c r="O278" s="986"/>
      <c r="P278" s="986"/>
      <c r="Q278" s="986"/>
      <c r="R278" s="986"/>
      <c r="S278" s="986"/>
      <c r="T278" s="923"/>
      <c r="U278" s="923"/>
      <c r="V278" s="923"/>
      <c r="W278" s="923"/>
      <c r="X278" s="923"/>
      <c r="Y278" s="923"/>
      <c r="Z278" s="1024" t="s">
        <v>2961</v>
      </c>
      <c r="AA278" s="923"/>
      <c r="AB278" s="923"/>
      <c r="AC278" s="923"/>
      <c r="AD278" s="923"/>
      <c r="AE278" s="923"/>
      <c r="AF278" s="923"/>
      <c r="AG278" s="1022"/>
      <c r="AH278" s="1023"/>
      <c r="AI278" s="1023"/>
      <c r="AJ278" s="923"/>
      <c r="AK278" s="923"/>
      <c r="AL278" s="925">
        <v>1</v>
      </c>
      <c r="AM278" s="627"/>
      <c r="AN278" s="627"/>
    </row>
    <row r="279" spans="1:40" s="984" customFormat="1" ht="40.5" customHeight="1">
      <c r="A279" s="921"/>
      <c r="B279" s="996"/>
      <c r="C279" s="1130">
        <v>1</v>
      </c>
      <c r="D279" s="1131">
        <v>2</v>
      </c>
      <c r="E279" s="1130">
        <v>3</v>
      </c>
      <c r="F279" s="1131">
        <v>4</v>
      </c>
      <c r="G279" s="1130">
        <v>5</v>
      </c>
      <c r="H279" s="1131">
        <v>6</v>
      </c>
      <c r="I279" s="1130">
        <v>7</v>
      </c>
      <c r="J279" s="1131">
        <v>8</v>
      </c>
      <c r="K279" s="1130">
        <v>9</v>
      </c>
      <c r="L279" s="921"/>
      <c r="M279" s="921"/>
      <c r="N279" s="921"/>
      <c r="O279" s="1131">
        <v>10</v>
      </c>
      <c r="P279" s="1130">
        <v>11</v>
      </c>
      <c r="Q279" s="1131">
        <v>12</v>
      </c>
      <c r="R279" s="1130">
        <v>13</v>
      </c>
      <c r="S279" s="1131">
        <v>14</v>
      </c>
      <c r="T279" s="1130">
        <v>15</v>
      </c>
      <c r="U279" s="1131">
        <v>16</v>
      </c>
      <c r="V279" s="1130">
        <v>17</v>
      </c>
      <c r="W279" s="1131">
        <v>18</v>
      </c>
      <c r="X279" s="1130">
        <v>19</v>
      </c>
      <c r="Y279" s="1131">
        <v>20</v>
      </c>
      <c r="Z279" s="923"/>
      <c r="AA279" s="923"/>
      <c r="AB279" s="923"/>
      <c r="AC279" s="923"/>
      <c r="AD279" s="923"/>
      <c r="AE279" s="923"/>
      <c r="AF279" s="923"/>
      <c r="AG279" s="1022"/>
      <c r="AH279" s="1023"/>
      <c r="AI279" s="1023"/>
      <c r="AJ279" s="923"/>
      <c r="AK279" s="923"/>
      <c r="AL279" s="925">
        <v>1</v>
      </c>
      <c r="AM279" s="627"/>
      <c r="AN279" s="627"/>
    </row>
    <row r="280" spans="1:40" s="1101" customFormat="1" ht="40.5" customHeight="1">
      <c r="A280" s="1056"/>
      <c r="B280" s="1021"/>
      <c r="C280" s="1056"/>
      <c r="D280" s="1056"/>
      <c r="E280" s="1056"/>
      <c r="F280" s="1056"/>
      <c r="G280" s="1056"/>
      <c r="H280" s="1056"/>
      <c r="I280" s="986"/>
      <c r="J280" s="1056"/>
      <c r="K280" s="1056"/>
      <c r="L280" s="1056"/>
      <c r="M280" s="1056"/>
      <c r="N280" s="1056"/>
      <c r="O280" s="986"/>
      <c r="P280" s="986"/>
      <c r="Q280" s="986"/>
      <c r="R280" s="986"/>
      <c r="S280" s="986"/>
      <c r="T280" s="1022"/>
      <c r="U280" s="1021"/>
      <c r="V280" s="1108"/>
      <c r="W280" s="1102"/>
      <c r="X280" s="1102"/>
      <c r="Y280" s="1102"/>
      <c r="Z280" s="923"/>
      <c r="AA280" s="923"/>
      <c r="AB280" s="923"/>
      <c r="AC280" s="923"/>
      <c r="AD280" s="923"/>
      <c r="AE280" s="923"/>
      <c r="AF280" s="923"/>
      <c r="AG280" s="1022"/>
      <c r="AH280" s="1023"/>
      <c r="AI280" s="1023"/>
      <c r="AJ280" s="923"/>
      <c r="AK280" s="923"/>
      <c r="AL280" s="925">
        <v>1</v>
      </c>
      <c r="AM280" s="627"/>
      <c r="AN280" s="627"/>
    </row>
    <row r="281" spans="1:40" s="1101" customFormat="1" ht="40.5" customHeight="1">
      <c r="A281" s="1056"/>
      <c r="B281" s="1132"/>
      <c r="C281" s="1133" t="s">
        <v>2736</v>
      </c>
      <c r="D281" s="1134"/>
      <c r="E281" s="1022"/>
      <c r="F281" s="1135" t="s">
        <v>2962</v>
      </c>
      <c r="G281" s="1136"/>
      <c r="H281" s="1136"/>
      <c r="I281" s="1136"/>
      <c r="J281" s="1136"/>
      <c r="K281" s="1136"/>
      <c r="L281" s="986"/>
      <c r="M281" s="986"/>
      <c r="N281" s="1056"/>
      <c r="O281" s="986"/>
      <c r="P281" s="1022"/>
      <c r="Q281" s="1022"/>
      <c r="R281" s="986"/>
      <c r="S281" s="986"/>
      <c r="T281" s="1022"/>
      <c r="U281" s="1022"/>
      <c r="V281" s="1108"/>
      <c r="W281" s="1102"/>
      <c r="X281" s="1102"/>
      <c r="Y281" s="1102"/>
      <c r="Z281" s="1137" t="s">
        <v>348</v>
      </c>
      <c r="AA281" s="923"/>
      <c r="AB281" s="923"/>
      <c r="AC281" s="923"/>
      <c r="AD281" s="923"/>
      <c r="AE281" s="923"/>
      <c r="AF281" s="923"/>
      <c r="AG281" s="1022"/>
      <c r="AH281" s="1023"/>
      <c r="AI281" s="1023"/>
      <c r="AJ281" s="923"/>
      <c r="AK281" s="923"/>
      <c r="AL281" s="925">
        <v>1</v>
      </c>
      <c r="AM281" s="627"/>
      <c r="AN281" s="627"/>
    </row>
    <row r="282" spans="1:40" s="1101" customFormat="1" ht="40.5" customHeight="1">
      <c r="A282" s="1056"/>
      <c r="B282" s="1132"/>
      <c r="C282" s="1138">
        <v>3</v>
      </c>
      <c r="D282" s="1134"/>
      <c r="E282" s="1056"/>
      <c r="F282" s="1056"/>
      <c r="G282" s="1056"/>
      <c r="H282" s="986"/>
      <c r="I282" s="986"/>
      <c r="J282" s="986"/>
      <c r="K282" s="986"/>
      <c r="L282" s="986"/>
      <c r="M282" s="986"/>
      <c r="N282" s="1056"/>
      <c r="O282" s="986"/>
      <c r="P282" s="986"/>
      <c r="Q282" s="986"/>
      <c r="R282" s="986"/>
      <c r="S282" s="986"/>
      <c r="T282" s="1022"/>
      <c r="U282" s="1022"/>
      <c r="V282" s="1108"/>
      <c r="W282" s="1102"/>
      <c r="X282" s="1102"/>
      <c r="Y282" s="1102"/>
      <c r="Z282" s="923"/>
      <c r="AA282" s="923"/>
      <c r="AB282" s="923"/>
      <c r="AC282" s="923"/>
      <c r="AD282" s="923"/>
      <c r="AE282" s="923"/>
      <c r="AF282" s="923"/>
      <c r="AG282" s="1022"/>
      <c r="AH282" s="1023"/>
      <c r="AI282" s="1023"/>
      <c r="AJ282" s="923"/>
      <c r="AK282" s="923"/>
      <c r="AL282" s="925">
        <v>1</v>
      </c>
      <c r="AM282" s="627"/>
      <c r="AN282" s="627"/>
    </row>
    <row r="283" spans="1:40" s="1101" customFormat="1" ht="40.5" customHeight="1">
      <c r="A283" s="1056"/>
      <c r="B283" s="1132"/>
      <c r="C283" s="1056"/>
      <c r="D283" s="1056"/>
      <c r="E283" s="1056"/>
      <c r="F283" s="1056"/>
      <c r="G283" s="1056"/>
      <c r="H283" s="1139" t="s">
        <v>2963</v>
      </c>
      <c r="I283" s="1140"/>
      <c r="J283" s="1140"/>
      <c r="K283" s="1056"/>
      <c r="L283" s="1056"/>
      <c r="M283" s="1056"/>
      <c r="N283" s="1056"/>
      <c r="O283" s="986"/>
      <c r="P283" s="986"/>
      <c r="Q283" s="1141" t="s">
        <v>1487</v>
      </c>
      <c r="R283" s="1142" t="s">
        <v>2739</v>
      </c>
      <c r="S283" s="1143" t="s">
        <v>2740</v>
      </c>
      <c r="T283" s="1022"/>
      <c r="U283" s="1022"/>
      <c r="V283" s="1108"/>
      <c r="W283" s="1102"/>
      <c r="X283" s="1102"/>
      <c r="Y283" s="1102"/>
      <c r="Z283" s="923"/>
      <c r="AA283" s="923"/>
      <c r="AB283" s="923"/>
      <c r="AC283" s="923"/>
      <c r="AD283" s="923"/>
      <c r="AE283" s="923"/>
      <c r="AF283" s="923"/>
      <c r="AG283" s="1022"/>
      <c r="AH283" s="1023"/>
      <c r="AI283" s="1023"/>
      <c r="AJ283" s="923"/>
      <c r="AK283" s="923"/>
      <c r="AL283" s="925">
        <v>1</v>
      </c>
      <c r="AM283" s="627"/>
      <c r="AN283" s="627"/>
    </row>
    <row r="284" spans="1:40" s="1101" customFormat="1" ht="40.5" customHeight="1">
      <c r="A284" s="1056"/>
      <c r="B284" s="1132"/>
      <c r="C284" s="1144" t="s">
        <v>2964</v>
      </c>
      <c r="D284" s="1056"/>
      <c r="E284" s="1145"/>
      <c r="F284" s="1056"/>
      <c r="G284" s="1056"/>
      <c r="H284" s="1146" t="s">
        <v>2742</v>
      </c>
      <c r="I284" s="1146" t="s">
        <v>2743</v>
      </c>
      <c r="J284" s="1146" t="s">
        <v>2744</v>
      </c>
      <c r="K284" s="1102" t="s">
        <v>2745</v>
      </c>
      <c r="L284" s="1102"/>
      <c r="M284" s="1102"/>
      <c r="N284" s="1056"/>
      <c r="O284" s="1022"/>
      <c r="P284" s="1022"/>
      <c r="Q284" s="1144" t="s">
        <v>2966</v>
      </c>
      <c r="R284" s="1022"/>
      <c r="S284" s="1022"/>
      <c r="T284" s="1022"/>
      <c r="U284" s="1022"/>
      <c r="V284" s="1108"/>
      <c r="W284" s="1102"/>
      <c r="X284" s="1102"/>
      <c r="Y284" s="1102"/>
      <c r="Z284" s="1022"/>
      <c r="AA284" s="1022"/>
      <c r="AB284" s="1022"/>
      <c r="AC284" s="1022"/>
      <c r="AD284" s="1022"/>
      <c r="AE284" s="1022"/>
      <c r="AF284" s="1022"/>
      <c r="AG284" s="1022"/>
      <c r="AH284" s="1023"/>
      <c r="AI284" s="1023"/>
      <c r="AJ284" s="923"/>
      <c r="AK284" s="923"/>
      <c r="AL284" s="925">
        <v>1</v>
      </c>
      <c r="AM284" s="627"/>
      <c r="AN284" s="627"/>
    </row>
    <row r="285" spans="1:40" s="1101" customFormat="1" ht="40.5" customHeight="1">
      <c r="A285" s="1056"/>
      <c r="B285" s="1132"/>
      <c r="C285" s="1144" t="s">
        <v>2965</v>
      </c>
      <c r="D285" s="1056"/>
      <c r="E285" s="1145"/>
      <c r="F285" s="1056"/>
      <c r="G285" s="1056"/>
      <c r="H285" s="1146" t="s">
        <v>2748</v>
      </c>
      <c r="I285" s="1146" t="s">
        <v>2749</v>
      </c>
      <c r="J285" s="1146" t="s">
        <v>2750</v>
      </c>
      <c r="K285" s="1102" t="s">
        <v>2751</v>
      </c>
      <c r="L285" s="1102"/>
      <c r="M285" s="1102"/>
      <c r="N285" s="1056"/>
      <c r="O285" s="986"/>
      <c r="P285" s="986"/>
      <c r="Q285" s="1141" t="s">
        <v>1488</v>
      </c>
      <c r="R285" s="1142" t="s">
        <v>2752</v>
      </c>
      <c r="S285" s="1142" t="s">
        <v>2753</v>
      </c>
      <c r="T285" s="1022"/>
      <c r="U285" s="1022"/>
      <c r="V285" s="1108"/>
      <c r="W285" s="1102"/>
      <c r="X285" s="1102"/>
      <c r="Y285" s="1102"/>
      <c r="Z285" s="1102"/>
      <c r="AA285" s="1102"/>
      <c r="AB285" s="1102"/>
      <c r="AC285" s="1102"/>
      <c r="AD285" s="1102"/>
      <c r="AE285" s="1102"/>
      <c r="AF285" s="1022"/>
      <c r="AG285" s="1022"/>
      <c r="AH285" s="1023"/>
      <c r="AI285" s="1023"/>
      <c r="AJ285" s="923"/>
      <c r="AK285" s="923"/>
      <c r="AL285" s="925">
        <v>1</v>
      </c>
      <c r="AM285" s="627"/>
      <c r="AN285" s="627"/>
    </row>
    <row r="286" spans="1:40" s="1101" customFormat="1" ht="40.5" customHeight="1">
      <c r="A286" s="1056"/>
      <c r="B286" s="1132"/>
      <c r="C286" s="1144"/>
      <c r="D286" s="1056"/>
      <c r="E286" s="1144"/>
      <c r="F286" s="1147"/>
      <c r="G286" s="1144"/>
      <c r="H286" s="1144"/>
      <c r="I286" s="1056"/>
      <c r="J286" s="1056"/>
      <c r="K286" s="1056"/>
      <c r="L286" s="1056"/>
      <c r="M286" s="1056"/>
      <c r="N286" s="1056"/>
      <c r="O286" s="1056"/>
      <c r="P286" s="1056"/>
      <c r="Q286" s="1056"/>
      <c r="R286" s="1056"/>
      <c r="S286" s="1022"/>
      <c r="T286" s="1022"/>
      <c r="U286" s="1022"/>
      <c r="V286" s="1108"/>
      <c r="W286" s="1102"/>
      <c r="X286" s="1102"/>
      <c r="Y286" s="1102"/>
      <c r="Z286" s="1102"/>
      <c r="AA286" s="1102"/>
      <c r="AB286" s="1102"/>
      <c r="AC286" s="1102"/>
      <c r="AD286" s="1102"/>
      <c r="AE286" s="1102"/>
      <c r="AF286" s="1022"/>
      <c r="AG286" s="1022"/>
      <c r="AH286" s="1023"/>
      <c r="AI286" s="1023"/>
      <c r="AJ286" s="923"/>
      <c r="AK286" s="923"/>
      <c r="AL286" s="925">
        <v>1</v>
      </c>
      <c r="AM286" s="627"/>
      <c r="AN286" s="627"/>
    </row>
    <row r="287" spans="1:40">
      <c r="AL287" s="1148" t="s">
        <v>793</v>
      </c>
      <c r="AM287" s="630"/>
      <c r="AN287" s="630"/>
    </row>
    <row r="288" spans="1:40">
      <c r="A288" s="925">
        <v>1</v>
      </c>
      <c r="B288" s="925">
        <v>1</v>
      </c>
      <c r="C288" s="925">
        <v>1</v>
      </c>
      <c r="D288" s="925">
        <v>1</v>
      </c>
      <c r="E288" s="925">
        <v>1</v>
      </c>
      <c r="F288" s="925">
        <v>1</v>
      </c>
      <c r="G288" s="925">
        <v>1</v>
      </c>
      <c r="H288" s="925">
        <v>1</v>
      </c>
      <c r="I288" s="925">
        <v>1</v>
      </c>
      <c r="J288" s="925">
        <v>1</v>
      </c>
      <c r="K288" s="925">
        <v>1</v>
      </c>
      <c r="L288" s="925">
        <v>1</v>
      </c>
      <c r="M288" s="925">
        <v>1</v>
      </c>
      <c r="N288" s="925">
        <v>1</v>
      </c>
      <c r="O288" s="925">
        <v>1</v>
      </c>
      <c r="P288" s="925">
        <v>1</v>
      </c>
      <c r="Q288" s="925">
        <v>1</v>
      </c>
      <c r="R288" s="925">
        <v>1</v>
      </c>
      <c r="S288" s="925">
        <v>1</v>
      </c>
      <c r="T288" s="925">
        <v>1</v>
      </c>
      <c r="U288" s="925">
        <v>1</v>
      </c>
      <c r="V288" s="925">
        <v>1</v>
      </c>
      <c r="W288" s="925">
        <v>1</v>
      </c>
      <c r="X288" s="925">
        <v>1</v>
      </c>
      <c r="Y288" s="925">
        <v>1</v>
      </c>
      <c r="Z288" s="925">
        <v>1</v>
      </c>
      <c r="AA288" s="925">
        <v>1</v>
      </c>
      <c r="AB288" s="925">
        <v>1</v>
      </c>
      <c r="AC288" s="925">
        <v>1</v>
      </c>
      <c r="AD288" s="925">
        <v>1</v>
      </c>
      <c r="AE288" s="925">
        <v>1</v>
      </c>
      <c r="AF288" s="925">
        <v>1</v>
      </c>
      <c r="AG288" s="925">
        <v>1</v>
      </c>
      <c r="AH288" s="925">
        <v>1</v>
      </c>
      <c r="AI288" s="925">
        <v>1</v>
      </c>
      <c r="AJ288" s="925">
        <v>1</v>
      </c>
      <c r="AK288" s="925">
        <v>1</v>
      </c>
      <c r="AL288" s="1" t="str">
        <f>ADDRESS(ROW(),COLUMN(),4)</f>
        <v>AL288</v>
      </c>
      <c r="AM288" s="628"/>
      <c r="AN288" s="629" t="str">
        <f>ADDRESS(ROW(),COLUMN(),4)</f>
        <v>AN288</v>
      </c>
    </row>
  </sheetData>
  <mergeCells count="13">
    <mergeCell ref="E107:I108"/>
    <mergeCell ref="E76:M77"/>
    <mergeCell ref="E91:I92"/>
    <mergeCell ref="E94:I95"/>
    <mergeCell ref="E97:I98"/>
    <mergeCell ref="E104:I105"/>
    <mergeCell ref="C233:D233"/>
    <mergeCell ref="B138:P138"/>
    <mergeCell ref="J139:K139"/>
    <mergeCell ref="M118:M123"/>
    <mergeCell ref="B140:B141"/>
    <mergeCell ref="D221:J221"/>
    <mergeCell ref="D229:K230"/>
  </mergeCells>
  <hyperlinks>
    <hyperlink ref="D196" r:id="rId1" display="https://www.extensis.com/fr-fr/blog/les-10-polices-alternatives-%C3%A0-helvetica" xr:uid="{2F42FA4F-14B8-400C-9DA2-0102C957C8E4}"/>
    <hyperlink ref="D204" r:id="rId2" display="https://fr.wikipedia.org/wiki/Calibri" xr:uid="{3E1CA4C4-D018-4784-AF7F-9B7FF97B750F}"/>
    <hyperlink ref="D205" r:id="rId3" display="https://kulturegeek.fr/news-224456/microsoft-police-voudriez-remplacer-calibri" xr:uid="{1B76A15E-F3F2-4ABE-BD70-E3464A325D07}"/>
    <hyperlink ref="D190" r:id="rId4" display="https://fr.wikipedia.org/wiki/Helvetica" xr:uid="{A2824499-BFF2-4291-BBDC-C3DE31C40374}"/>
    <hyperlink ref="D211" r:id="rId5" display="https://laruche.wizbii.com/17703-meilleure-police-ecriture-cv" xr:uid="{7D665D83-17A8-4682-B9A6-032DC0118D0F}"/>
    <hyperlink ref="D212" r:id="rId6" display="https://laruche.wizbii.com/17703-meilleure-police-ecriture-cv" xr:uid="{CE5AF6CA-60A9-45B0-9FFB-311735C70A14}"/>
    <hyperlink ref="D213" r:id="rId7" display="https://www.google.com/search?client=firefox-b-d&amp;cs=1&amp;sxsrf=AJOqlzWtAThXL_uLX0Izw5bcGDDqWJW1UA:1673858052794&amp;q=Quelle+est+la+police+d%27%C3%A9criture+la+plus+classe+%3F&amp;sa=X&amp;ved=2ahUKEwjYj4iV18v8AhXtTaQEHYpNBZ0Qzmd6BAgBEAU" xr:uid="{4A57819F-FC83-41EA-B806-48D30F944FA7}"/>
    <hyperlink ref="D195" r:id="rId8" xr:uid="{BF75F415-91CD-4A61-9DBA-21A606F64341}"/>
    <hyperlink ref="C129" r:id="rId9" xr:uid="{9798BE4E-7714-4A49-8BDB-BE9E34D9578B}"/>
    <hyperlink ref="R261" r:id="rId10" xr:uid="{E4BDBDB6-7974-4107-9C92-1280FD14386A}"/>
    <hyperlink ref="B149" r:id="rId11" xr:uid="{8662D8DE-321F-4641-9174-06762FA423CE}"/>
    <hyperlink ref="B155" r:id="rId12" xr:uid="{69F542D9-FA20-4E96-AC26-12C77CB470E8}"/>
    <hyperlink ref="B158" r:id="rId13" xr:uid="{EB35B670-2B19-46C6-A68F-1A207EBB2A2E}"/>
    <hyperlink ref="B159" r:id="rId14" xr:uid="{259D30BA-5FC8-40A7-88AA-3D1393CDFC34}"/>
    <hyperlink ref="B161" r:id="rId15" xr:uid="{4FCBFAEC-0216-41D2-A401-A8E86EA698BC}"/>
    <hyperlink ref="V240" r:id="rId16" xr:uid="{42166E63-9DC1-43E4-AFAE-CBDE8337D6FD}"/>
    <hyperlink ref="B164" r:id="rId17" xr:uid="{68D841C4-E720-4C3F-88E5-7FB0F8CB5A08}"/>
  </hyperlinks>
  <pageMargins left="0.7" right="0.7" top="0.75" bottom="0.75" header="0.3" footer="0.3"/>
  <pageSetup paperSize="9" orientation="portrait" r:id="rId18"/>
  <drawing r:id="rId1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A72E2-C92C-4241-866A-0DF033C82EDC}">
  <dimension ref="A1:AB431"/>
  <sheetViews>
    <sheetView zoomScaleNormal="100" workbookViewId="0">
      <selection activeCell="N11" sqref="N11"/>
    </sheetView>
  </sheetViews>
  <sheetFormatPr baseColWidth="10" defaultRowHeight="15"/>
  <cols>
    <col min="1" max="1" width="11.42578125" style="630"/>
    <col min="2" max="2" width="18" style="630" customWidth="1"/>
    <col min="3" max="5" width="11.42578125" style="630"/>
    <col min="6" max="6" width="4.140625" style="630" customWidth="1"/>
    <col min="7" max="7" width="19.85546875" style="630" customWidth="1"/>
    <col min="8" max="8" width="5" style="630" customWidth="1"/>
    <col min="9" max="16384" width="11.42578125" style="630"/>
  </cols>
  <sheetData>
    <row r="1" spans="1:28">
      <c r="A1" s="186"/>
      <c r="B1" s="186"/>
      <c r="C1" s="186"/>
      <c r="D1" s="186"/>
      <c r="E1" s="186"/>
      <c r="F1" s="186"/>
      <c r="G1" s="186"/>
      <c r="H1" s="186"/>
      <c r="I1" s="186"/>
      <c r="J1" s="186"/>
      <c r="K1" s="186"/>
      <c r="L1" s="186"/>
      <c r="M1" s="186"/>
      <c r="N1" s="186"/>
      <c r="O1" s="186"/>
      <c r="P1" s="186"/>
      <c r="R1" s="186"/>
      <c r="S1" s="186"/>
      <c r="T1" s="186"/>
      <c r="U1" s="186"/>
      <c r="V1" s="186"/>
      <c r="W1" s="186"/>
      <c r="X1" s="186"/>
      <c r="Y1" s="186"/>
      <c r="Z1" s="186"/>
      <c r="AA1" s="186"/>
      <c r="AB1" s="186"/>
    </row>
    <row r="2" spans="1:28" ht="23.25">
      <c r="A2" s="186"/>
      <c r="B2" s="1314" t="s">
        <v>14434</v>
      </c>
      <c r="C2" s="186"/>
      <c r="D2" s="186"/>
      <c r="E2" s="186"/>
      <c r="F2" s="186"/>
      <c r="G2" s="186"/>
      <c r="H2" s="186"/>
      <c r="I2" s="186"/>
      <c r="J2" s="186"/>
      <c r="K2" s="570" t="s">
        <v>14435</v>
      </c>
      <c r="L2" s="186"/>
      <c r="M2" s="186"/>
      <c r="N2" s="186"/>
      <c r="O2" s="186"/>
      <c r="P2" s="186"/>
      <c r="R2" s="1314" t="s">
        <v>14621</v>
      </c>
      <c r="S2" s="186"/>
      <c r="T2" s="186"/>
      <c r="U2" s="186"/>
      <c r="V2" s="186"/>
      <c r="W2" s="186"/>
      <c r="X2" s="186"/>
      <c r="Y2" s="186"/>
      <c r="Z2" s="186"/>
      <c r="AA2" s="186"/>
      <c r="AB2" s="186"/>
    </row>
    <row r="3" spans="1:28" ht="15.75">
      <c r="A3" s="186"/>
      <c r="B3" s="656" t="s">
        <v>10670</v>
      </c>
      <c r="C3" s="186"/>
      <c r="D3" s="186"/>
      <c r="E3" s="186"/>
      <c r="F3" s="186"/>
      <c r="G3" s="186"/>
      <c r="H3" s="186"/>
      <c r="I3" s="186"/>
      <c r="J3" s="186"/>
      <c r="K3" s="186"/>
      <c r="L3" s="186"/>
      <c r="M3" s="186"/>
      <c r="N3" s="186"/>
      <c r="O3" s="186"/>
      <c r="P3" s="186"/>
      <c r="R3" s="1994" t="s">
        <v>14599</v>
      </c>
      <c r="S3" s="186"/>
      <c r="T3" s="186"/>
      <c r="U3" s="186"/>
      <c r="V3" s="186"/>
      <c r="W3" s="186"/>
      <c r="X3" s="186"/>
      <c r="Y3" s="186"/>
      <c r="Z3" s="186"/>
      <c r="AA3" s="186"/>
      <c r="AB3" s="186"/>
    </row>
    <row r="4" spans="1:28" ht="18.75">
      <c r="A4" s="186"/>
      <c r="B4" s="656"/>
      <c r="C4" s="186"/>
      <c r="D4" s="186"/>
      <c r="E4" s="186"/>
      <c r="F4" s="186"/>
      <c r="G4" s="186"/>
      <c r="H4" s="186"/>
      <c r="I4" s="186"/>
      <c r="J4" s="186"/>
      <c r="K4" s="2002" t="s">
        <v>14672</v>
      </c>
      <c r="L4" s="186"/>
      <c r="M4" s="186"/>
      <c r="N4" s="186"/>
      <c r="O4" s="186"/>
      <c r="P4" s="186"/>
      <c r="R4" s="1994" t="s">
        <v>14598</v>
      </c>
      <c r="S4" s="186"/>
      <c r="T4" s="186"/>
      <c r="U4" s="186"/>
      <c r="V4" s="186"/>
      <c r="W4" s="186"/>
      <c r="X4" s="186"/>
      <c r="Y4" s="186"/>
      <c r="Z4" s="186"/>
      <c r="AA4" s="186"/>
      <c r="AB4" s="186"/>
    </row>
    <row r="5" spans="1:28" ht="26.25">
      <c r="A5" s="186"/>
      <c r="B5" s="7862" t="s">
        <v>14436</v>
      </c>
      <c r="C5" s="186"/>
      <c r="D5" s="186"/>
      <c r="E5" s="186"/>
      <c r="F5" s="186"/>
      <c r="G5" s="186"/>
      <c r="H5" s="186"/>
      <c r="I5" s="186"/>
      <c r="J5" s="186"/>
      <c r="K5" s="186"/>
      <c r="L5" s="186"/>
      <c r="M5" s="186"/>
      <c r="N5" s="186"/>
      <c r="O5" s="186"/>
      <c r="P5" s="186"/>
      <c r="R5" s="186"/>
      <c r="S5" s="186"/>
      <c r="T5" s="186"/>
      <c r="U5" s="186"/>
      <c r="V5" s="186"/>
      <c r="W5" s="186"/>
      <c r="X5" s="186"/>
      <c r="Y5" s="186"/>
      <c r="Z5" s="186"/>
      <c r="AA5" s="186"/>
      <c r="AB5" s="186"/>
    </row>
    <row r="6" spans="1:28" ht="18.75">
      <c r="A6" s="186"/>
      <c r="B6" s="656" t="s">
        <v>14437</v>
      </c>
      <c r="C6" s="186"/>
      <c r="D6" s="186"/>
      <c r="E6" s="186"/>
      <c r="F6" s="186"/>
      <c r="G6" s="186"/>
      <c r="H6" s="186"/>
      <c r="I6" s="186"/>
      <c r="J6" s="186"/>
      <c r="K6" s="186"/>
      <c r="L6" s="186"/>
      <c r="M6" s="186"/>
      <c r="N6" s="186"/>
      <c r="O6" s="186"/>
      <c r="P6" s="186"/>
      <c r="R6" s="570" t="s">
        <v>14569</v>
      </c>
      <c r="S6" s="186"/>
      <c r="T6" s="186"/>
      <c r="U6" s="186"/>
      <c r="V6" s="186"/>
      <c r="W6" s="186"/>
      <c r="X6" s="186"/>
      <c r="Y6" s="186"/>
      <c r="Z6" s="186"/>
      <c r="AA6" s="186"/>
      <c r="AB6" s="186"/>
    </row>
    <row r="7" spans="1:28" ht="15.75">
      <c r="A7" s="186"/>
      <c r="B7" s="656"/>
      <c r="C7" s="186"/>
      <c r="D7" s="186"/>
      <c r="E7" s="186"/>
      <c r="F7" s="186"/>
      <c r="G7" s="186"/>
      <c r="H7" s="186"/>
      <c r="I7" s="186"/>
      <c r="J7" s="186"/>
      <c r="K7" s="186"/>
      <c r="L7" s="186"/>
      <c r="M7" s="186"/>
      <c r="N7" s="186"/>
      <c r="O7" s="186"/>
      <c r="P7" s="186"/>
      <c r="R7" s="1994" t="s">
        <v>14600</v>
      </c>
      <c r="S7" s="186"/>
      <c r="T7" s="186"/>
      <c r="U7" s="186"/>
      <c r="V7" s="186"/>
      <c r="W7" s="186"/>
      <c r="X7" s="186"/>
      <c r="Y7" s="186"/>
      <c r="Z7" s="186"/>
      <c r="AA7" s="186"/>
      <c r="AB7" s="186"/>
    </row>
    <row r="8" spans="1:28" ht="15.75">
      <c r="A8" s="186"/>
      <c r="B8" s="1994" t="s">
        <v>14438</v>
      </c>
      <c r="C8" s="186"/>
      <c r="D8" s="186"/>
      <c r="E8" s="186"/>
      <c r="F8" s="186"/>
      <c r="G8" s="186"/>
      <c r="H8" s="186"/>
      <c r="I8" s="186"/>
      <c r="J8" s="186"/>
      <c r="K8" s="186"/>
      <c r="L8" s="186"/>
      <c r="M8" s="186"/>
      <c r="N8" s="186"/>
      <c r="O8" s="186"/>
      <c r="P8" s="186"/>
      <c r="R8" s="186"/>
      <c r="S8" s="186"/>
      <c r="T8" s="186"/>
      <c r="U8" s="186"/>
      <c r="V8" s="186"/>
      <c r="W8" s="186"/>
      <c r="X8" s="186"/>
      <c r="Y8" s="186"/>
      <c r="Z8" s="186"/>
      <c r="AA8" s="186"/>
      <c r="AB8" s="186"/>
    </row>
    <row r="9" spans="1:28" ht="18">
      <c r="A9" s="186"/>
      <c r="B9" s="1994" t="s">
        <v>14439</v>
      </c>
      <c r="C9" s="186"/>
      <c r="D9" s="186"/>
      <c r="E9" s="186"/>
      <c r="F9" s="186"/>
      <c r="G9" s="186"/>
      <c r="H9" s="186"/>
      <c r="I9" s="186"/>
      <c r="J9" s="186"/>
      <c r="K9" s="186"/>
      <c r="L9" s="186"/>
      <c r="M9" s="186"/>
      <c r="N9" s="186"/>
      <c r="O9" s="186"/>
      <c r="P9" s="186"/>
      <c r="R9" s="1302" t="s">
        <v>14570</v>
      </c>
      <c r="S9" s="186"/>
      <c r="T9" s="186"/>
      <c r="U9" s="186"/>
      <c r="V9" s="186"/>
      <c r="W9" s="186"/>
      <c r="X9" s="186"/>
      <c r="Y9" s="186"/>
      <c r="Z9" s="186"/>
      <c r="AA9" s="186"/>
      <c r="AB9" s="186"/>
    </row>
    <row r="10" spans="1:28" ht="15.75">
      <c r="A10" s="186"/>
      <c r="B10" s="1994" t="s">
        <v>14440</v>
      </c>
      <c r="C10" s="186"/>
      <c r="D10" s="186"/>
      <c r="E10" s="186"/>
      <c r="F10" s="186"/>
      <c r="G10" s="186"/>
      <c r="H10" s="186"/>
      <c r="I10" s="186"/>
      <c r="J10" s="186"/>
      <c r="K10" s="186"/>
      <c r="L10" s="186"/>
      <c r="M10" s="186"/>
      <c r="N10" s="186"/>
      <c r="O10" s="186"/>
      <c r="P10" s="186"/>
      <c r="R10" s="7894" t="s">
        <v>14601</v>
      </c>
      <c r="S10" s="186"/>
      <c r="T10" s="186"/>
      <c r="U10" s="186"/>
      <c r="V10" s="186"/>
      <c r="W10" s="186"/>
      <c r="X10" s="186"/>
      <c r="Y10" s="186"/>
      <c r="Z10" s="186"/>
      <c r="AA10" s="186"/>
      <c r="AB10" s="186"/>
    </row>
    <row r="11" spans="1:28" ht="15.75">
      <c r="A11" s="186"/>
      <c r="B11" s="1994" t="s">
        <v>14441</v>
      </c>
      <c r="C11" s="186"/>
      <c r="D11" s="186"/>
      <c r="E11" s="186"/>
      <c r="F11" s="186"/>
      <c r="G11" s="186"/>
      <c r="H11" s="186"/>
      <c r="I11" s="186"/>
      <c r="J11" s="186"/>
      <c r="K11" s="186"/>
      <c r="L11" s="186"/>
      <c r="M11" s="186"/>
      <c r="N11" s="186"/>
      <c r="O11" s="186"/>
      <c r="P11" s="186"/>
      <c r="R11" s="7894" t="s">
        <v>14602</v>
      </c>
      <c r="S11" s="186"/>
      <c r="T11" s="186"/>
      <c r="U11" s="186"/>
      <c r="V11" s="186"/>
      <c r="W11" s="186"/>
      <c r="X11" s="186"/>
      <c r="Y11" s="186"/>
      <c r="Z11" s="186"/>
      <c r="AA11" s="186"/>
      <c r="AB11" s="186"/>
    </row>
    <row r="12" spans="1:28" ht="15.75">
      <c r="A12" s="186"/>
      <c r="B12" s="1994" t="s">
        <v>14442</v>
      </c>
      <c r="C12" s="186"/>
      <c r="D12" s="186"/>
      <c r="E12" s="186"/>
      <c r="F12" s="186"/>
      <c r="G12" s="186"/>
      <c r="H12" s="186"/>
      <c r="I12" s="186"/>
      <c r="J12" s="186"/>
      <c r="K12" s="186"/>
      <c r="L12" s="7875"/>
      <c r="M12" s="186"/>
      <c r="N12" s="186"/>
      <c r="O12" s="186"/>
      <c r="P12" s="186"/>
      <c r="R12" s="188" t="s">
        <v>8596</v>
      </c>
      <c r="S12" s="186"/>
      <c r="T12" s="186"/>
      <c r="U12" s="186"/>
      <c r="V12" s="186"/>
      <c r="W12" s="186"/>
      <c r="X12" s="186"/>
      <c r="Y12" s="186"/>
      <c r="Z12" s="186"/>
      <c r="AA12" s="186"/>
      <c r="AB12" s="186"/>
    </row>
    <row r="13" spans="1:28" ht="15.75">
      <c r="A13" s="186"/>
      <c r="B13" s="1994"/>
      <c r="C13" s="186"/>
      <c r="D13" s="186"/>
      <c r="E13" s="186"/>
      <c r="F13" s="186"/>
      <c r="G13" s="186"/>
      <c r="H13" s="186"/>
      <c r="I13" s="186"/>
      <c r="J13" s="186"/>
      <c r="K13" s="186"/>
      <c r="L13" s="186"/>
      <c r="M13" s="186"/>
      <c r="N13" s="186"/>
      <c r="O13" s="186"/>
      <c r="P13" s="186"/>
      <c r="R13" s="203" t="s">
        <v>14571</v>
      </c>
      <c r="S13" s="186"/>
      <c r="T13" s="186"/>
      <c r="U13" s="186"/>
      <c r="V13" s="186"/>
      <c r="W13" s="186"/>
      <c r="X13" s="186"/>
      <c r="Y13" s="186"/>
      <c r="Z13" s="186"/>
      <c r="AA13" s="186"/>
      <c r="AB13" s="186"/>
    </row>
    <row r="14" spans="1:28" ht="15.75">
      <c r="A14" s="186"/>
      <c r="B14" s="1994" t="s">
        <v>14443</v>
      </c>
      <c r="C14" s="186"/>
      <c r="D14" s="186"/>
      <c r="E14" s="186"/>
      <c r="F14" s="186"/>
      <c r="G14" s="186"/>
      <c r="H14" s="186"/>
      <c r="I14" s="186"/>
      <c r="J14" s="186"/>
      <c r="K14" s="186"/>
      <c r="L14" s="186"/>
      <c r="M14" s="186"/>
      <c r="N14" s="186"/>
      <c r="O14" s="186"/>
      <c r="P14" s="186"/>
      <c r="R14" s="203" t="s">
        <v>14603</v>
      </c>
      <c r="S14" s="186"/>
      <c r="T14" s="186"/>
      <c r="U14" s="186"/>
      <c r="V14" s="186"/>
      <c r="W14" s="186"/>
      <c r="X14" s="186"/>
      <c r="Y14" s="186"/>
      <c r="Z14" s="186"/>
      <c r="AA14" s="186"/>
      <c r="AB14" s="186"/>
    </row>
    <row r="15" spans="1:28" ht="15.75">
      <c r="A15" s="186"/>
      <c r="B15" s="1994" t="s">
        <v>14444</v>
      </c>
      <c r="C15" s="186"/>
      <c r="D15" s="186"/>
      <c r="E15" s="186"/>
      <c r="F15" s="186"/>
      <c r="G15" s="186"/>
      <c r="H15" s="186"/>
      <c r="I15" s="186"/>
      <c r="J15" s="186"/>
      <c r="K15" s="186"/>
      <c r="L15" s="186"/>
      <c r="M15" s="186"/>
      <c r="N15" s="186"/>
      <c r="O15" s="186"/>
      <c r="P15" s="186"/>
      <c r="R15" s="203" t="s">
        <v>14572</v>
      </c>
      <c r="S15" s="186"/>
      <c r="T15" s="186"/>
      <c r="U15" s="186"/>
      <c r="V15" s="186"/>
      <c r="W15" s="186"/>
      <c r="X15" s="186"/>
      <c r="Y15" s="186"/>
      <c r="Z15" s="186"/>
      <c r="AA15" s="186"/>
      <c r="AB15" s="186"/>
    </row>
    <row r="16" spans="1:28" ht="15.75">
      <c r="A16" s="186"/>
      <c r="B16" s="1994" t="s">
        <v>14445</v>
      </c>
      <c r="C16" s="186"/>
      <c r="D16" s="186"/>
      <c r="E16" s="186"/>
      <c r="F16" s="186"/>
      <c r="G16" s="186"/>
      <c r="H16" s="186"/>
      <c r="I16" s="186"/>
      <c r="J16" s="186"/>
      <c r="K16" s="186"/>
      <c r="L16" s="186"/>
      <c r="M16" s="186"/>
      <c r="N16" s="186"/>
      <c r="O16" s="186"/>
      <c r="P16" s="186"/>
      <c r="R16" s="203" t="s">
        <v>14604</v>
      </c>
      <c r="S16" s="186"/>
      <c r="T16" s="186"/>
      <c r="U16" s="186"/>
      <c r="V16" s="186"/>
      <c r="W16" s="186"/>
      <c r="X16" s="186"/>
      <c r="Y16" s="186"/>
      <c r="Z16" s="186"/>
      <c r="AA16" s="186"/>
      <c r="AB16" s="186"/>
    </row>
    <row r="17" spans="1:28" ht="15.75">
      <c r="A17" s="186"/>
      <c r="B17" s="1994" t="s">
        <v>14446</v>
      </c>
      <c r="C17" s="186"/>
      <c r="D17" s="186"/>
      <c r="E17" s="186"/>
      <c r="F17" s="186"/>
      <c r="G17" s="186"/>
      <c r="H17" s="186"/>
      <c r="I17" s="186"/>
      <c r="J17" s="186"/>
      <c r="K17" s="186"/>
      <c r="L17" s="186"/>
      <c r="M17" s="186"/>
      <c r="N17" s="186"/>
      <c r="O17" s="186"/>
      <c r="P17" s="186"/>
      <c r="R17" s="1994" t="s">
        <v>14573</v>
      </c>
      <c r="S17" s="186"/>
      <c r="T17" s="186"/>
      <c r="U17" s="186"/>
      <c r="V17" s="186"/>
      <c r="W17" s="186"/>
      <c r="X17" s="186"/>
      <c r="Y17" s="186"/>
      <c r="Z17" s="186"/>
      <c r="AA17" s="186"/>
      <c r="AB17" s="186"/>
    </row>
    <row r="18" spans="1:28" ht="15.75">
      <c r="A18" s="186"/>
      <c r="B18" s="1994" t="s">
        <v>14447</v>
      </c>
      <c r="C18" s="186"/>
      <c r="D18" s="186"/>
      <c r="E18" s="186"/>
      <c r="F18" s="186"/>
      <c r="G18" s="186"/>
      <c r="H18" s="186"/>
      <c r="I18" s="186"/>
      <c r="J18" s="186"/>
      <c r="K18" s="186"/>
      <c r="L18" s="186"/>
      <c r="M18" s="186"/>
      <c r="N18" s="186"/>
      <c r="O18" s="186"/>
      <c r="P18" s="186"/>
      <c r="R18" s="186"/>
      <c r="S18" s="186"/>
      <c r="T18" s="186"/>
      <c r="U18" s="186"/>
      <c r="V18" s="186"/>
      <c r="W18" s="186"/>
      <c r="X18" s="186"/>
      <c r="Y18" s="186"/>
      <c r="Z18" s="186"/>
      <c r="AA18" s="186"/>
      <c r="AB18" s="186"/>
    </row>
    <row r="19" spans="1:28">
      <c r="A19" s="186"/>
      <c r="B19" s="656" t="s">
        <v>14448</v>
      </c>
      <c r="C19" s="186"/>
      <c r="D19" s="186"/>
      <c r="E19" s="186"/>
      <c r="F19" s="186"/>
      <c r="G19" s="186"/>
      <c r="H19" s="186"/>
      <c r="I19" s="186"/>
      <c r="J19" s="186"/>
      <c r="K19" s="186"/>
      <c r="L19" s="186"/>
      <c r="M19" s="186"/>
      <c r="N19" s="186"/>
      <c r="O19" s="186"/>
      <c r="P19" s="186"/>
      <c r="R19" s="54"/>
      <c r="S19" s="186"/>
      <c r="T19" s="186"/>
      <c r="U19" s="186"/>
      <c r="V19" s="186"/>
      <c r="W19" s="186"/>
      <c r="X19" s="186"/>
      <c r="Y19" s="186"/>
      <c r="Z19" s="186"/>
      <c r="AA19" s="186"/>
      <c r="AB19" s="186"/>
    </row>
    <row r="20" spans="1:28" ht="18.75">
      <c r="A20" s="186"/>
      <c r="B20" s="186"/>
      <c r="C20" s="186"/>
      <c r="D20" s="186"/>
      <c r="E20" s="186"/>
      <c r="F20" s="186"/>
      <c r="G20" s="186"/>
      <c r="H20" s="186"/>
      <c r="I20" s="186"/>
      <c r="J20" s="186"/>
      <c r="K20" s="186"/>
      <c r="L20" s="186"/>
      <c r="M20" s="186"/>
      <c r="N20" s="186"/>
      <c r="O20" s="186"/>
      <c r="P20" s="186"/>
      <c r="R20" s="570" t="s">
        <v>14574</v>
      </c>
      <c r="S20" s="186"/>
      <c r="T20" s="186"/>
      <c r="U20" s="186"/>
      <c r="V20" s="186"/>
      <c r="W20" s="186"/>
      <c r="X20" s="186"/>
      <c r="Y20" s="186"/>
      <c r="Z20" s="186"/>
      <c r="AA20" s="186"/>
      <c r="AB20" s="186"/>
    </row>
    <row r="21" spans="1:28" ht="15.75">
      <c r="A21" s="186"/>
      <c r="B21" s="656" t="s">
        <v>14449</v>
      </c>
      <c r="C21" s="186"/>
      <c r="D21" s="186"/>
      <c r="E21" s="186"/>
      <c r="F21" s="186"/>
      <c r="G21" s="186"/>
      <c r="H21" s="186"/>
      <c r="I21" s="186"/>
      <c r="J21" s="186"/>
      <c r="K21" s="186"/>
      <c r="L21" s="186"/>
      <c r="M21" s="186"/>
      <c r="N21" s="186"/>
      <c r="O21" s="186"/>
      <c r="P21" s="186"/>
      <c r="R21" s="1994" t="s">
        <v>14575</v>
      </c>
      <c r="S21" s="186"/>
      <c r="T21" s="186"/>
      <c r="U21" s="186"/>
      <c r="V21" s="186"/>
      <c r="W21" s="186"/>
      <c r="X21" s="186"/>
      <c r="Y21" s="186"/>
      <c r="Z21" s="186"/>
      <c r="AA21" s="186"/>
      <c r="AB21" s="186"/>
    </row>
    <row r="22" spans="1:28" ht="18">
      <c r="A22" s="186"/>
      <c r="B22" s="186"/>
      <c r="C22" s="186"/>
      <c r="D22" s="186"/>
      <c r="E22" s="186"/>
      <c r="F22" s="186"/>
      <c r="G22" s="186"/>
      <c r="H22" s="186"/>
      <c r="I22" s="186"/>
      <c r="J22" s="186"/>
      <c r="K22" s="186"/>
      <c r="L22" s="186"/>
      <c r="M22" s="186"/>
      <c r="N22" s="186"/>
      <c r="O22" s="186"/>
      <c r="P22" s="186"/>
      <c r="R22" s="1302" t="s">
        <v>14576</v>
      </c>
      <c r="S22" s="186"/>
      <c r="T22" s="186"/>
      <c r="U22" s="186"/>
      <c r="V22" s="186"/>
      <c r="W22" s="186"/>
      <c r="X22" s="186"/>
      <c r="Y22" s="186"/>
      <c r="Z22" s="186"/>
      <c r="AA22" s="186"/>
      <c r="AB22" s="186"/>
    </row>
    <row r="23" spans="1:28" ht="15.75">
      <c r="A23" s="186"/>
      <c r="B23" s="1994" t="s">
        <v>14450</v>
      </c>
      <c r="C23" s="186"/>
      <c r="D23" s="186"/>
      <c r="E23" s="186"/>
      <c r="F23" s="186"/>
      <c r="G23" s="186"/>
      <c r="H23" s="186"/>
      <c r="I23" s="186"/>
      <c r="J23" s="186"/>
      <c r="K23" s="186"/>
      <c r="L23" s="186"/>
      <c r="M23" s="186"/>
      <c r="N23" s="186"/>
      <c r="O23" s="186"/>
      <c r="P23" s="186"/>
      <c r="R23" s="188" t="s">
        <v>14605</v>
      </c>
      <c r="S23" s="186"/>
      <c r="T23" s="186"/>
      <c r="U23" s="186"/>
      <c r="V23" s="186"/>
      <c r="W23" s="186"/>
      <c r="X23" s="186"/>
      <c r="Y23" s="186"/>
      <c r="Z23" s="186"/>
      <c r="AA23" s="186"/>
      <c r="AB23" s="186"/>
    </row>
    <row r="24" spans="1:28" ht="15.75">
      <c r="A24" s="186"/>
      <c r="B24" s="186"/>
      <c r="C24" s="186"/>
      <c r="D24" s="186"/>
      <c r="E24" s="186"/>
      <c r="F24" s="186"/>
      <c r="G24" s="186"/>
      <c r="H24" s="186"/>
      <c r="I24" s="186"/>
      <c r="J24" s="186"/>
      <c r="K24" s="186"/>
      <c r="L24" s="186"/>
      <c r="M24" s="186"/>
      <c r="N24" s="186"/>
      <c r="O24" s="186"/>
      <c r="P24" s="186"/>
      <c r="R24" s="1994" t="s">
        <v>14606</v>
      </c>
      <c r="S24" s="186"/>
      <c r="T24" s="186"/>
      <c r="U24" s="186"/>
      <c r="V24" s="186"/>
      <c r="W24" s="186"/>
      <c r="X24" s="186"/>
      <c r="Y24" s="186"/>
      <c r="Z24" s="186"/>
      <c r="AA24" s="186"/>
      <c r="AB24" s="186"/>
    </row>
    <row r="25" spans="1:28">
      <c r="A25" s="186"/>
      <c r="B25" s="656" t="s">
        <v>14451</v>
      </c>
      <c r="C25" s="186"/>
      <c r="D25" s="186"/>
      <c r="E25" s="186"/>
      <c r="F25" s="186"/>
      <c r="G25" s="186"/>
      <c r="H25" s="186"/>
      <c r="I25" s="186"/>
      <c r="J25" s="186"/>
      <c r="K25" s="186" t="s">
        <v>21</v>
      </c>
      <c r="L25" s="186"/>
      <c r="M25" s="186"/>
      <c r="N25" s="186"/>
      <c r="O25" s="186"/>
      <c r="P25" s="186"/>
      <c r="R25" s="186"/>
      <c r="S25" s="186"/>
      <c r="T25" s="186"/>
      <c r="U25" s="186"/>
      <c r="V25" s="186"/>
      <c r="W25" s="186"/>
      <c r="X25" s="186"/>
      <c r="Y25" s="186"/>
      <c r="Z25" s="186"/>
      <c r="AA25" s="186"/>
      <c r="AB25" s="186"/>
    </row>
    <row r="26" spans="1:28" ht="18">
      <c r="A26" s="186"/>
      <c r="B26" s="186"/>
      <c r="C26" s="186"/>
      <c r="D26" s="186"/>
      <c r="E26" s="186"/>
      <c r="F26" s="186"/>
      <c r="G26" s="186"/>
      <c r="H26" s="186"/>
      <c r="I26" s="186"/>
      <c r="J26" s="186"/>
      <c r="K26" s="186"/>
      <c r="L26" s="186"/>
      <c r="M26" s="186"/>
      <c r="N26" s="186"/>
      <c r="O26" s="186"/>
      <c r="P26" s="186"/>
      <c r="R26" s="1302" t="s">
        <v>14577</v>
      </c>
      <c r="S26" s="186"/>
      <c r="T26" s="186"/>
      <c r="U26" s="186"/>
      <c r="V26" s="186"/>
      <c r="W26" s="186"/>
      <c r="X26" s="186"/>
      <c r="Y26" s="186"/>
      <c r="Z26" s="186"/>
      <c r="AA26" s="186"/>
      <c r="AB26" s="186"/>
    </row>
    <row r="27" spans="1:28" ht="15.75">
      <c r="A27" s="186"/>
      <c r="B27" s="1994" t="s">
        <v>14452</v>
      </c>
      <c r="C27" s="186"/>
      <c r="D27" s="186"/>
      <c r="E27" s="186"/>
      <c r="F27" s="186"/>
      <c r="G27" s="186"/>
      <c r="H27" s="186"/>
      <c r="I27" s="186"/>
      <c r="J27" s="186"/>
      <c r="K27" s="186"/>
      <c r="L27" s="186"/>
      <c r="M27" s="186"/>
      <c r="N27" s="186"/>
      <c r="O27" s="186"/>
      <c r="P27" s="186"/>
      <c r="R27" s="1994" t="s">
        <v>14607</v>
      </c>
      <c r="S27" s="186"/>
      <c r="T27" s="186"/>
      <c r="U27" s="186"/>
      <c r="V27" s="186"/>
      <c r="W27" s="186"/>
      <c r="X27" s="186"/>
      <c r="Y27" s="186"/>
      <c r="Z27" s="186"/>
      <c r="AA27" s="186"/>
      <c r="AB27" s="186"/>
    </row>
    <row r="28" spans="1:28" ht="15.75">
      <c r="A28" s="186"/>
      <c r="B28" s="186"/>
      <c r="C28" s="186"/>
      <c r="D28" s="186"/>
      <c r="E28" s="186"/>
      <c r="F28" s="186"/>
      <c r="G28" s="186"/>
      <c r="H28" s="186"/>
      <c r="I28" s="186"/>
      <c r="J28" s="186"/>
      <c r="K28" s="186"/>
      <c r="L28" s="186"/>
      <c r="M28" s="186"/>
      <c r="N28" s="186"/>
      <c r="O28" s="186"/>
      <c r="P28" s="186"/>
      <c r="R28" s="1994" t="s">
        <v>14578</v>
      </c>
      <c r="S28" s="186"/>
      <c r="T28" s="186"/>
      <c r="U28" s="186"/>
      <c r="V28" s="186"/>
      <c r="W28" s="186"/>
      <c r="X28" s="186"/>
      <c r="Y28" s="186"/>
      <c r="Z28" s="186"/>
      <c r="AA28" s="186"/>
      <c r="AB28" s="186"/>
    </row>
    <row r="29" spans="1:28" ht="23.25">
      <c r="A29" s="186"/>
      <c r="B29" s="1314" t="s">
        <v>14453</v>
      </c>
      <c r="C29" s="186"/>
      <c r="D29" s="186"/>
      <c r="E29" s="186"/>
      <c r="F29" s="186"/>
      <c r="G29" s="186"/>
      <c r="H29" s="186"/>
      <c r="I29" s="186"/>
      <c r="J29" s="186"/>
      <c r="K29" s="186"/>
      <c r="L29" s="186"/>
      <c r="M29" s="186"/>
      <c r="N29" s="186"/>
      <c r="O29" s="186"/>
      <c r="P29" s="186"/>
      <c r="R29" s="186"/>
      <c r="S29" s="186"/>
      <c r="T29" s="186"/>
      <c r="U29" s="186"/>
      <c r="V29" s="186"/>
      <c r="W29" s="186"/>
      <c r="X29" s="186"/>
      <c r="Y29" s="186"/>
      <c r="Z29" s="186"/>
      <c r="AA29" s="186"/>
      <c r="AB29" s="186"/>
    </row>
    <row r="30" spans="1:28" ht="18.75">
      <c r="A30" s="186"/>
      <c r="B30" s="1994" t="s">
        <v>14454</v>
      </c>
      <c r="C30" s="186"/>
      <c r="D30" s="186"/>
      <c r="E30" s="186"/>
      <c r="F30" s="186"/>
      <c r="G30" s="186"/>
      <c r="H30" s="186"/>
      <c r="I30" s="186"/>
      <c r="J30" s="186"/>
      <c r="K30" s="186"/>
      <c r="L30" s="186"/>
      <c r="M30" s="186"/>
      <c r="N30" s="186"/>
      <c r="O30" s="186"/>
      <c r="P30" s="186"/>
      <c r="R30" s="570" t="s">
        <v>14579</v>
      </c>
      <c r="S30" s="186"/>
      <c r="T30" s="186"/>
      <c r="U30" s="186"/>
      <c r="V30" s="186"/>
      <c r="W30" s="186"/>
      <c r="X30" s="186"/>
      <c r="Y30" s="186"/>
      <c r="Z30" s="186"/>
      <c r="AA30" s="186"/>
      <c r="AB30" s="186"/>
    </row>
    <row r="31" spans="1:28" ht="15.75">
      <c r="A31" s="186"/>
      <c r="B31" s="186"/>
      <c r="C31" s="186"/>
      <c r="D31" s="186"/>
      <c r="E31" s="186"/>
      <c r="F31" s="186"/>
      <c r="G31" s="186"/>
      <c r="H31" s="186"/>
      <c r="I31" s="186"/>
      <c r="J31" s="186"/>
      <c r="K31" s="186"/>
      <c r="L31" s="186"/>
      <c r="M31" s="186"/>
      <c r="N31" s="186"/>
      <c r="O31" s="186"/>
      <c r="P31" s="186"/>
      <c r="R31" s="1994" t="s">
        <v>14580</v>
      </c>
      <c r="S31" s="186"/>
      <c r="T31" s="186"/>
      <c r="U31" s="186"/>
      <c r="V31" s="186"/>
      <c r="W31" s="186"/>
      <c r="X31" s="186"/>
      <c r="Y31" s="186"/>
      <c r="Z31" s="186"/>
      <c r="AA31" s="186"/>
      <c r="AB31" s="186"/>
    </row>
    <row r="32" spans="1:28" ht="18">
      <c r="A32" s="186"/>
      <c r="B32" s="1302" t="s">
        <v>14455</v>
      </c>
      <c r="C32" s="186"/>
      <c r="D32" s="186"/>
      <c r="E32" s="186"/>
      <c r="F32" s="186"/>
      <c r="G32" s="186"/>
      <c r="H32" s="186"/>
      <c r="I32" s="186"/>
      <c r="J32" s="186"/>
      <c r="K32" s="186"/>
      <c r="L32" s="186"/>
      <c r="M32" s="186"/>
      <c r="N32" s="186"/>
      <c r="O32" s="186"/>
      <c r="P32" s="186"/>
      <c r="R32" s="203" t="s">
        <v>14581</v>
      </c>
      <c r="S32" s="186"/>
      <c r="T32" s="186"/>
      <c r="U32" s="186"/>
      <c r="V32" s="186"/>
      <c r="W32" s="186"/>
      <c r="X32" s="186"/>
      <c r="Y32" s="186"/>
      <c r="Z32" s="186"/>
      <c r="AA32" s="186"/>
      <c r="AB32" s="186"/>
    </row>
    <row r="33" spans="1:28" ht="15.75">
      <c r="A33" s="186"/>
      <c r="B33" s="1994" t="s">
        <v>14456</v>
      </c>
      <c r="C33" s="186"/>
      <c r="D33" s="186"/>
      <c r="E33" s="186"/>
      <c r="F33" s="186"/>
      <c r="G33" s="186"/>
      <c r="H33" s="186"/>
      <c r="I33" s="186"/>
      <c r="J33" s="186"/>
      <c r="K33" s="186"/>
      <c r="L33" s="186"/>
      <c r="M33" s="186"/>
      <c r="N33" s="186"/>
      <c r="O33" s="186"/>
      <c r="P33" s="186"/>
      <c r="R33" s="203"/>
      <c r="S33" s="186"/>
      <c r="T33" s="186"/>
      <c r="U33" s="186"/>
      <c r="V33" s="186"/>
      <c r="W33" s="186"/>
      <c r="X33" s="186"/>
      <c r="Y33" s="186"/>
      <c r="Z33" s="186"/>
      <c r="AA33" s="186"/>
      <c r="AB33" s="186"/>
    </row>
    <row r="34" spans="1:28" ht="15.75">
      <c r="A34" s="186"/>
      <c r="B34" s="1994" t="s">
        <v>14457</v>
      </c>
      <c r="C34" s="186"/>
      <c r="D34" s="186"/>
      <c r="E34" s="186"/>
      <c r="F34" s="186"/>
      <c r="G34" s="186"/>
      <c r="H34" s="186"/>
      <c r="I34" s="186"/>
      <c r="J34" s="186"/>
      <c r="K34" s="186"/>
      <c r="L34" s="186"/>
      <c r="M34" s="186"/>
      <c r="N34" s="186"/>
      <c r="O34" s="186"/>
      <c r="P34" s="186"/>
      <c r="R34" s="7894" t="s">
        <v>14582</v>
      </c>
      <c r="S34" s="186"/>
      <c r="T34" s="186"/>
      <c r="U34" s="186"/>
      <c r="V34" s="186"/>
      <c r="W34" s="186"/>
      <c r="X34" s="186"/>
      <c r="Y34" s="186"/>
      <c r="Z34" s="186"/>
      <c r="AA34" s="186"/>
      <c r="AB34" s="186"/>
    </row>
    <row r="35" spans="1:28" ht="15.75">
      <c r="A35" s="186"/>
      <c r="B35" s="1994" t="s">
        <v>14458</v>
      </c>
      <c r="C35" s="186"/>
      <c r="D35" s="186"/>
      <c r="E35" s="186"/>
      <c r="F35" s="186"/>
      <c r="G35" s="186"/>
      <c r="H35" s="186"/>
      <c r="I35" s="186"/>
      <c r="J35" s="186"/>
      <c r="K35" s="186"/>
      <c r="L35" s="186"/>
      <c r="M35" s="186"/>
      <c r="N35" s="186"/>
      <c r="O35" s="186"/>
      <c r="P35" s="186"/>
      <c r="R35" s="203" t="s">
        <v>14608</v>
      </c>
      <c r="S35" s="186"/>
      <c r="T35" s="186"/>
      <c r="U35" s="186"/>
      <c r="V35" s="186"/>
      <c r="W35" s="186"/>
      <c r="X35" s="186"/>
      <c r="Y35" s="186"/>
      <c r="Z35" s="186"/>
      <c r="AA35" s="186"/>
      <c r="AB35" s="186"/>
    </row>
    <row r="36" spans="1:28" ht="15.75">
      <c r="A36" s="186"/>
      <c r="B36" s="1994" t="s">
        <v>14459</v>
      </c>
      <c r="C36" s="186"/>
      <c r="D36" s="186"/>
      <c r="E36" s="186"/>
      <c r="F36" s="186"/>
      <c r="G36" s="186"/>
      <c r="H36" s="186"/>
      <c r="I36" s="186"/>
      <c r="J36" s="186"/>
      <c r="K36" s="186"/>
      <c r="L36" s="186"/>
      <c r="M36" s="186"/>
      <c r="N36" s="186"/>
      <c r="O36" s="186"/>
      <c r="P36" s="186"/>
      <c r="R36" s="7894" t="s">
        <v>14609</v>
      </c>
      <c r="S36" s="186"/>
      <c r="T36" s="186"/>
      <c r="U36" s="186"/>
      <c r="V36" s="186"/>
      <c r="W36" s="186"/>
      <c r="X36" s="186"/>
      <c r="Y36" s="186"/>
      <c r="Z36" s="186"/>
      <c r="AA36" s="186"/>
      <c r="AB36" s="186"/>
    </row>
    <row r="37" spans="1:28" ht="15.75">
      <c r="A37" s="186"/>
      <c r="B37" s="186"/>
      <c r="C37" s="186"/>
      <c r="D37" s="186"/>
      <c r="E37" s="186"/>
      <c r="F37" s="186"/>
      <c r="G37" s="186"/>
      <c r="H37" s="186"/>
      <c r="I37" s="186"/>
      <c r="J37" s="186"/>
      <c r="K37" s="186"/>
      <c r="L37" s="186"/>
      <c r="M37" s="186"/>
      <c r="N37" s="186"/>
      <c r="O37" s="186"/>
      <c r="P37" s="186"/>
      <c r="R37" s="1994" t="s">
        <v>14583</v>
      </c>
      <c r="S37" s="186"/>
      <c r="T37" s="186"/>
      <c r="U37" s="186"/>
      <c r="V37" s="186"/>
      <c r="W37" s="186"/>
      <c r="X37" s="186"/>
      <c r="Y37" s="186"/>
      <c r="Z37" s="186"/>
      <c r="AA37" s="186"/>
      <c r="AB37" s="186"/>
    </row>
    <row r="38" spans="1:28" ht="18">
      <c r="A38" s="186"/>
      <c r="B38" s="1302" t="s">
        <v>14460</v>
      </c>
      <c r="C38" s="186"/>
      <c r="D38" s="186"/>
      <c r="E38" s="186"/>
      <c r="F38" s="186"/>
      <c r="G38" s="186"/>
      <c r="H38" s="186"/>
      <c r="I38" s="186"/>
      <c r="J38" s="186"/>
      <c r="K38" s="186"/>
      <c r="L38" s="186"/>
      <c r="M38" s="186"/>
      <c r="N38" s="186"/>
      <c r="O38" s="186"/>
      <c r="P38" s="186"/>
      <c r="R38" s="186"/>
      <c r="S38" s="186"/>
      <c r="T38" s="186"/>
      <c r="U38" s="186"/>
      <c r="V38" s="186"/>
      <c r="W38" s="186"/>
      <c r="X38" s="186"/>
      <c r="Y38" s="186"/>
      <c r="Z38" s="186"/>
      <c r="AA38" s="186"/>
      <c r="AB38" s="186"/>
    </row>
    <row r="39" spans="1:28" ht="18.75">
      <c r="A39" s="186"/>
      <c r="B39" s="1994" t="s">
        <v>14461</v>
      </c>
      <c r="C39" s="186"/>
      <c r="D39" s="186"/>
      <c r="E39" s="186"/>
      <c r="F39" s="186"/>
      <c r="G39" s="186"/>
      <c r="H39" s="186"/>
      <c r="I39" s="186"/>
      <c r="J39" s="186"/>
      <c r="K39" s="186"/>
      <c r="L39" s="186"/>
      <c r="M39" s="186"/>
      <c r="N39" s="186"/>
      <c r="O39" s="186"/>
      <c r="P39" s="186"/>
      <c r="R39" s="570" t="s">
        <v>14584</v>
      </c>
      <c r="S39" s="186"/>
      <c r="T39" s="186"/>
      <c r="U39" s="186"/>
      <c r="V39" s="186"/>
      <c r="W39" s="186"/>
      <c r="X39" s="186"/>
      <c r="Y39" s="186"/>
      <c r="Z39" s="186"/>
      <c r="AA39" s="186"/>
      <c r="AB39" s="186"/>
    </row>
    <row r="40" spans="1:28" ht="15.75">
      <c r="A40" s="186"/>
      <c r="B40" s="1994" t="s">
        <v>14462</v>
      </c>
      <c r="C40" s="186"/>
      <c r="D40" s="186"/>
      <c r="E40" s="186"/>
      <c r="F40" s="186"/>
      <c r="G40" s="186"/>
      <c r="H40" s="186"/>
      <c r="I40" s="186"/>
      <c r="J40" s="186"/>
      <c r="K40" s="186"/>
      <c r="L40" s="186"/>
      <c r="M40" s="186"/>
      <c r="N40" s="186"/>
      <c r="O40" s="186"/>
      <c r="P40" s="186"/>
      <c r="R40" s="203" t="s">
        <v>14610</v>
      </c>
      <c r="S40" s="186"/>
      <c r="T40" s="186"/>
      <c r="U40" s="186"/>
      <c r="V40" s="186"/>
      <c r="W40" s="186"/>
      <c r="X40" s="186"/>
      <c r="Y40" s="186"/>
      <c r="Z40" s="186"/>
      <c r="AA40" s="186"/>
      <c r="AB40" s="186"/>
    </row>
    <row r="41" spans="1:28" ht="15.75">
      <c r="A41" s="186"/>
      <c r="B41" s="1994" t="s">
        <v>14463</v>
      </c>
      <c r="C41" s="186"/>
      <c r="D41" s="186"/>
      <c r="E41" s="186"/>
      <c r="F41" s="186"/>
      <c r="G41" s="186"/>
      <c r="H41" s="186"/>
      <c r="I41" s="186"/>
      <c r="J41" s="186"/>
      <c r="K41" s="186"/>
      <c r="L41" s="186"/>
      <c r="M41" s="186"/>
      <c r="N41" s="186"/>
      <c r="O41" s="186"/>
      <c r="P41" s="186"/>
      <c r="R41" s="203" t="s">
        <v>14611</v>
      </c>
      <c r="S41" s="186"/>
      <c r="T41" s="186"/>
      <c r="U41" s="186"/>
      <c r="V41" s="186"/>
      <c r="W41" s="186"/>
      <c r="X41" s="186"/>
      <c r="Y41" s="186"/>
      <c r="Z41" s="186"/>
      <c r="AA41" s="186"/>
      <c r="AB41" s="186"/>
    </row>
    <row r="42" spans="1:28" ht="15.75">
      <c r="A42" s="186"/>
      <c r="B42" s="1994" t="s">
        <v>14464</v>
      </c>
      <c r="C42" s="186"/>
      <c r="D42" s="186"/>
      <c r="E42" s="186"/>
      <c r="F42" s="186"/>
      <c r="G42" s="186"/>
      <c r="H42" s="186"/>
      <c r="I42" s="186"/>
      <c r="J42" s="186"/>
      <c r="K42" s="186"/>
      <c r="L42" s="186"/>
      <c r="M42" s="186"/>
      <c r="N42" s="186"/>
      <c r="O42" s="186"/>
      <c r="P42" s="186"/>
      <c r="R42" s="203" t="s">
        <v>14612</v>
      </c>
      <c r="S42" s="186"/>
      <c r="T42" s="186"/>
      <c r="U42" s="186"/>
      <c r="V42" s="186"/>
      <c r="W42" s="186"/>
      <c r="X42" s="186"/>
      <c r="Y42" s="186"/>
      <c r="Z42" s="186"/>
      <c r="AA42" s="186"/>
      <c r="AB42" s="186"/>
    </row>
    <row r="43" spans="1:28" ht="15.75">
      <c r="A43" s="186"/>
      <c r="B43" s="1994" t="s">
        <v>14465</v>
      </c>
      <c r="C43" s="186"/>
      <c r="D43" s="186"/>
      <c r="E43" s="186"/>
      <c r="F43" s="186"/>
      <c r="G43" s="186"/>
      <c r="H43" s="186"/>
      <c r="I43" s="186"/>
      <c r="J43" s="186"/>
      <c r="K43" s="186"/>
      <c r="L43" s="186"/>
      <c r="M43" s="186"/>
      <c r="N43" s="186"/>
      <c r="O43" s="186"/>
      <c r="P43" s="186"/>
      <c r="R43" s="1994" t="s">
        <v>14585</v>
      </c>
      <c r="S43" s="186"/>
      <c r="T43" s="186"/>
      <c r="U43" s="186"/>
      <c r="V43" s="186"/>
      <c r="W43" s="186"/>
      <c r="X43" s="186"/>
      <c r="Y43" s="186"/>
      <c r="Z43" s="186"/>
      <c r="AA43" s="186"/>
      <c r="AB43" s="186"/>
    </row>
    <row r="44" spans="1:28" ht="15.75">
      <c r="A44" s="186"/>
      <c r="B44" s="1994" t="s">
        <v>14466</v>
      </c>
      <c r="C44" s="186"/>
      <c r="D44" s="186"/>
      <c r="E44" s="186"/>
      <c r="F44" s="186"/>
      <c r="G44" s="186"/>
      <c r="H44" s="186"/>
      <c r="I44" s="186"/>
      <c r="J44" s="186"/>
      <c r="K44" s="186"/>
      <c r="L44" s="186"/>
      <c r="M44" s="186"/>
      <c r="N44" s="186"/>
      <c r="O44" s="186"/>
      <c r="P44" s="186"/>
      <c r="R44" s="1994" t="s">
        <v>14613</v>
      </c>
      <c r="S44" s="186"/>
      <c r="T44" s="186"/>
      <c r="U44" s="186"/>
      <c r="V44" s="186"/>
      <c r="W44" s="186"/>
      <c r="X44" s="186"/>
      <c r="Y44" s="186"/>
      <c r="Z44" s="186"/>
      <c r="AA44" s="186"/>
      <c r="AB44" s="186"/>
    </row>
    <row r="45" spans="1:28" ht="15.75">
      <c r="A45" s="186"/>
      <c r="B45" s="1994" t="s">
        <v>14467</v>
      </c>
      <c r="C45" s="186"/>
      <c r="D45" s="186"/>
      <c r="E45" s="186"/>
      <c r="F45" s="186"/>
      <c r="G45" s="186"/>
      <c r="H45" s="186"/>
      <c r="I45" s="186"/>
      <c r="J45" s="186"/>
      <c r="K45" s="186"/>
      <c r="L45" s="186"/>
      <c r="M45" s="186"/>
      <c r="N45" s="186"/>
      <c r="O45" s="186"/>
      <c r="P45" s="186"/>
      <c r="R45" s="186"/>
      <c r="S45" s="186"/>
      <c r="T45" s="186"/>
      <c r="U45" s="186"/>
      <c r="V45" s="186"/>
      <c r="W45" s="186"/>
      <c r="X45" s="186"/>
      <c r="Y45" s="186"/>
      <c r="Z45" s="186"/>
      <c r="AA45" s="186"/>
      <c r="AB45" s="186"/>
    </row>
    <row r="46" spans="1:28" ht="18.75">
      <c r="A46" s="186"/>
      <c r="B46" s="186"/>
      <c r="C46" s="186"/>
      <c r="D46" s="186"/>
      <c r="E46" s="186"/>
      <c r="F46" s="186"/>
      <c r="G46" s="186"/>
      <c r="H46" s="186"/>
      <c r="I46" s="186"/>
      <c r="J46" s="186"/>
      <c r="K46" s="186"/>
      <c r="L46" s="186"/>
      <c r="M46" s="186"/>
      <c r="N46" s="186"/>
      <c r="O46" s="186"/>
      <c r="P46" s="186"/>
      <c r="R46" s="570" t="s">
        <v>14586</v>
      </c>
      <c r="S46" s="186"/>
      <c r="T46" s="186"/>
      <c r="U46" s="186"/>
      <c r="V46" s="186"/>
      <c r="W46" s="186"/>
      <c r="X46" s="186"/>
      <c r="Y46" s="186"/>
      <c r="Z46" s="186"/>
      <c r="AA46" s="186"/>
      <c r="AB46" s="186"/>
    </row>
    <row r="47" spans="1:28" ht="18">
      <c r="A47" s="186"/>
      <c r="B47" s="1302" t="s">
        <v>14468</v>
      </c>
      <c r="C47" s="186"/>
      <c r="D47" s="186"/>
      <c r="E47" s="186"/>
      <c r="F47" s="186"/>
      <c r="G47" s="186"/>
      <c r="H47" s="186"/>
      <c r="I47" s="186"/>
      <c r="J47" s="186"/>
      <c r="K47" s="186"/>
      <c r="L47" s="186"/>
      <c r="M47" s="186"/>
      <c r="N47" s="186"/>
      <c r="O47" s="186"/>
      <c r="P47" s="186"/>
      <c r="R47" s="1994" t="s">
        <v>14587</v>
      </c>
      <c r="S47" s="186"/>
      <c r="T47" s="186"/>
      <c r="U47" s="186"/>
      <c r="V47" s="186"/>
      <c r="W47" s="186"/>
      <c r="X47" s="186"/>
      <c r="Y47" s="186"/>
      <c r="Z47" s="186"/>
      <c r="AA47" s="186"/>
      <c r="AB47" s="186"/>
    </row>
    <row r="48" spans="1:28" ht="15.75">
      <c r="A48" s="186"/>
      <c r="B48" s="1994" t="s">
        <v>14469</v>
      </c>
      <c r="C48" s="186"/>
      <c r="D48" s="186"/>
      <c r="E48" s="186"/>
      <c r="F48" s="186"/>
      <c r="G48" s="186"/>
      <c r="H48" s="186"/>
      <c r="I48" s="186"/>
      <c r="J48" s="186"/>
      <c r="K48" s="186"/>
      <c r="L48" s="186"/>
      <c r="M48" s="186"/>
      <c r="N48" s="186"/>
      <c r="O48" s="186"/>
      <c r="P48" s="186"/>
      <c r="R48" s="1994" t="s">
        <v>14614</v>
      </c>
      <c r="S48" s="186"/>
      <c r="T48" s="186"/>
      <c r="U48" s="186"/>
      <c r="V48" s="186"/>
      <c r="W48" s="186"/>
      <c r="X48" s="186"/>
      <c r="Y48" s="186"/>
      <c r="Z48" s="186"/>
      <c r="AA48" s="186"/>
      <c r="AB48" s="186"/>
    </row>
    <row r="49" spans="1:28" ht="15.75">
      <c r="A49" s="186"/>
      <c r="B49" s="1994" t="s">
        <v>14470</v>
      </c>
      <c r="C49" s="186"/>
      <c r="D49" s="186"/>
      <c r="E49" s="186"/>
      <c r="F49" s="186"/>
      <c r="G49" s="186"/>
      <c r="H49" s="186"/>
      <c r="I49" s="186"/>
      <c r="J49" s="186"/>
      <c r="K49" s="186"/>
      <c r="L49" s="186"/>
      <c r="M49" s="186"/>
      <c r="N49" s="186"/>
      <c r="O49" s="186"/>
      <c r="P49" s="186"/>
      <c r="R49" s="7894" t="s">
        <v>14588</v>
      </c>
      <c r="S49" s="186"/>
      <c r="T49" s="186"/>
      <c r="U49" s="186"/>
      <c r="V49" s="186"/>
      <c r="W49" s="186"/>
      <c r="X49" s="186"/>
      <c r="Y49" s="186"/>
      <c r="Z49" s="186"/>
      <c r="AA49" s="186"/>
      <c r="AB49" s="186"/>
    </row>
    <row r="50" spans="1:28" ht="15.75">
      <c r="A50" s="186"/>
      <c r="B50" s="1994" t="s">
        <v>14471</v>
      </c>
      <c r="C50" s="186"/>
      <c r="D50" s="186"/>
      <c r="E50" s="186"/>
      <c r="F50" s="186"/>
      <c r="G50" s="186"/>
      <c r="H50" s="186"/>
      <c r="I50" s="186"/>
      <c r="J50" s="186"/>
      <c r="K50" s="186"/>
      <c r="L50" s="186"/>
      <c r="M50" s="186"/>
      <c r="N50" s="186"/>
      <c r="O50" s="186"/>
      <c r="P50" s="186"/>
      <c r="R50" s="7894" t="s">
        <v>14589</v>
      </c>
      <c r="S50" s="186"/>
      <c r="T50" s="186"/>
      <c r="U50" s="186"/>
      <c r="V50" s="186"/>
      <c r="W50" s="186"/>
      <c r="X50" s="186"/>
      <c r="Y50" s="186"/>
      <c r="Z50" s="186"/>
      <c r="AA50" s="186"/>
      <c r="AB50" s="186"/>
    </row>
    <row r="51" spans="1:28" ht="15.75">
      <c r="A51" s="186"/>
      <c r="B51" s="1994" t="s">
        <v>14472</v>
      </c>
      <c r="C51" s="186"/>
      <c r="D51" s="186"/>
      <c r="E51" s="186"/>
      <c r="F51" s="186"/>
      <c r="G51" s="186"/>
      <c r="H51" s="186"/>
      <c r="I51" s="186"/>
      <c r="J51" s="186"/>
      <c r="K51" s="186"/>
      <c r="L51" s="186"/>
      <c r="M51" s="186"/>
      <c r="N51" s="186"/>
      <c r="O51" s="186"/>
      <c r="P51" s="186"/>
      <c r="R51" s="7894" t="s">
        <v>14590</v>
      </c>
      <c r="S51" s="186"/>
      <c r="T51" s="186"/>
      <c r="U51" s="186"/>
      <c r="V51" s="186"/>
      <c r="W51" s="186"/>
      <c r="X51" s="186"/>
      <c r="Y51" s="186"/>
      <c r="Z51" s="186"/>
      <c r="AA51" s="186"/>
      <c r="AB51" s="186"/>
    </row>
    <row r="52" spans="1:28" ht="15.75">
      <c r="A52" s="186"/>
      <c r="B52" s="186"/>
      <c r="C52" s="186"/>
      <c r="D52" s="186"/>
      <c r="E52" s="186"/>
      <c r="F52" s="186"/>
      <c r="G52" s="186"/>
      <c r="H52" s="186"/>
      <c r="I52" s="186"/>
      <c r="J52" s="186"/>
      <c r="K52" s="186"/>
      <c r="L52" s="186"/>
      <c r="M52" s="186"/>
      <c r="N52" s="186"/>
      <c r="O52" s="186"/>
      <c r="P52" s="186"/>
      <c r="R52" s="7894" t="s">
        <v>14591</v>
      </c>
      <c r="S52" s="186"/>
      <c r="T52" s="186"/>
      <c r="U52" s="186"/>
      <c r="V52" s="186"/>
      <c r="W52" s="186"/>
      <c r="X52" s="186"/>
      <c r="Y52" s="186"/>
      <c r="Z52" s="186"/>
      <c r="AA52" s="186"/>
      <c r="AB52" s="186"/>
    </row>
    <row r="53" spans="1:28" ht="18">
      <c r="A53" s="186"/>
      <c r="B53" s="1302" t="s">
        <v>14473</v>
      </c>
      <c r="C53" s="186"/>
      <c r="D53" s="186"/>
      <c r="E53" s="186"/>
      <c r="F53" s="186"/>
      <c r="G53" s="186"/>
      <c r="H53" s="186"/>
      <c r="I53" s="186"/>
      <c r="J53" s="186"/>
      <c r="K53" s="186"/>
      <c r="L53" s="186"/>
      <c r="M53" s="186"/>
      <c r="N53" s="186"/>
      <c r="O53" s="186"/>
      <c r="P53" s="186"/>
      <c r="R53" s="1994" t="s">
        <v>14592</v>
      </c>
      <c r="S53" s="186"/>
      <c r="T53" s="186"/>
      <c r="U53" s="186"/>
      <c r="V53" s="186"/>
      <c r="W53" s="186"/>
      <c r="X53" s="186"/>
      <c r="Y53" s="186"/>
      <c r="Z53" s="186"/>
      <c r="AA53" s="186"/>
      <c r="AB53" s="186"/>
    </row>
    <row r="54" spans="1:28" ht="15.75">
      <c r="A54" s="186"/>
      <c r="B54" s="1994" t="s">
        <v>14474</v>
      </c>
      <c r="C54" s="186"/>
      <c r="D54" s="186"/>
      <c r="E54" s="186"/>
      <c r="F54" s="186"/>
      <c r="G54" s="186"/>
      <c r="H54" s="186"/>
      <c r="I54" s="186"/>
      <c r="J54" s="186"/>
      <c r="K54" s="186"/>
      <c r="L54" s="186"/>
      <c r="M54" s="186"/>
      <c r="N54" s="186"/>
      <c r="O54" s="186"/>
      <c r="P54" s="186"/>
      <c r="R54" s="186"/>
      <c r="S54" s="186"/>
      <c r="T54" s="186"/>
      <c r="U54" s="186"/>
      <c r="V54" s="186"/>
      <c r="W54" s="186"/>
      <c r="X54" s="186"/>
      <c r="Y54" s="186"/>
      <c r="Z54" s="186"/>
      <c r="AA54" s="186"/>
      <c r="AB54" s="186"/>
    </row>
    <row r="55" spans="1:28" ht="18.75">
      <c r="A55" s="186"/>
      <c r="B55" s="1994" t="s">
        <v>14475</v>
      </c>
      <c r="C55" s="186"/>
      <c r="D55" s="186"/>
      <c r="E55" s="186"/>
      <c r="F55" s="186"/>
      <c r="G55" s="186"/>
      <c r="H55" s="186"/>
      <c r="I55" s="186"/>
      <c r="J55" s="186"/>
      <c r="K55" s="186"/>
      <c r="L55" s="186"/>
      <c r="M55" s="186"/>
      <c r="N55" s="186"/>
      <c r="O55" s="186"/>
      <c r="P55" s="186"/>
      <c r="R55" s="570" t="s">
        <v>14593</v>
      </c>
      <c r="S55" s="186"/>
      <c r="T55" s="186"/>
      <c r="U55" s="186"/>
      <c r="V55" s="186"/>
      <c r="W55" s="186"/>
      <c r="X55" s="186"/>
      <c r="Y55" s="186"/>
      <c r="Z55" s="186"/>
      <c r="AA55" s="186"/>
      <c r="AB55" s="186"/>
    </row>
    <row r="56" spans="1:28" ht="15.75">
      <c r="A56" s="186"/>
      <c r="B56" s="656" t="s">
        <v>14476</v>
      </c>
      <c r="C56" s="186"/>
      <c r="D56" s="186"/>
      <c r="E56" s="186"/>
      <c r="F56" s="186"/>
      <c r="G56" s="186"/>
      <c r="H56" s="186"/>
      <c r="I56" s="186"/>
      <c r="J56" s="186"/>
      <c r="K56" s="186" t="s">
        <v>21</v>
      </c>
      <c r="L56" s="186"/>
      <c r="M56" s="186"/>
      <c r="N56" s="186"/>
      <c r="O56" s="186"/>
      <c r="P56" s="186"/>
      <c r="R56" s="1994" t="s">
        <v>14594</v>
      </c>
      <c r="S56" s="186"/>
      <c r="T56" s="186"/>
      <c r="U56" s="186"/>
      <c r="V56" s="186"/>
      <c r="W56" s="186"/>
      <c r="X56" s="186"/>
      <c r="Y56" s="186"/>
      <c r="Z56" s="186"/>
      <c r="AA56" s="186"/>
      <c r="AB56" s="186"/>
    </row>
    <row r="57" spans="1:28" ht="15.75">
      <c r="A57" s="186"/>
      <c r="B57" s="186"/>
      <c r="C57" s="186"/>
      <c r="D57" s="186"/>
      <c r="E57" s="186"/>
      <c r="F57" s="186"/>
      <c r="G57" s="186"/>
      <c r="H57" s="186"/>
      <c r="I57" s="186"/>
      <c r="J57" s="186"/>
      <c r="K57" s="186"/>
      <c r="L57" s="186"/>
      <c r="M57" s="186"/>
      <c r="N57" s="186"/>
      <c r="O57" s="186"/>
      <c r="P57" s="186"/>
      <c r="R57" s="203" t="s">
        <v>14595</v>
      </c>
      <c r="S57" s="186"/>
      <c r="T57" s="186"/>
      <c r="U57" s="186"/>
      <c r="V57" s="186"/>
      <c r="W57" s="186"/>
      <c r="X57" s="186"/>
      <c r="Y57" s="186"/>
      <c r="Z57" s="186"/>
      <c r="AA57" s="186"/>
      <c r="AB57" s="186"/>
    </row>
    <row r="58" spans="1:28" ht="18">
      <c r="A58" s="186"/>
      <c r="B58" s="1302" t="s">
        <v>14477</v>
      </c>
      <c r="C58" s="186"/>
      <c r="D58" s="186"/>
      <c r="E58" s="186"/>
      <c r="F58" s="186"/>
      <c r="G58" s="186"/>
      <c r="H58" s="186"/>
      <c r="I58" s="186"/>
      <c r="J58" s="186"/>
      <c r="K58" s="186"/>
      <c r="L58" s="186"/>
      <c r="M58" s="186"/>
      <c r="N58" s="186"/>
      <c r="O58" s="186"/>
      <c r="P58" s="186"/>
      <c r="R58" s="203" t="s">
        <v>14615</v>
      </c>
      <c r="S58" s="186"/>
      <c r="T58" s="186"/>
      <c r="U58" s="186"/>
      <c r="V58" s="186"/>
      <c r="W58" s="186"/>
      <c r="X58" s="186"/>
      <c r="Y58" s="186"/>
      <c r="Z58" s="186"/>
      <c r="AA58" s="186"/>
      <c r="AB58" s="186"/>
    </row>
    <row r="59" spans="1:28" ht="15.75">
      <c r="A59" s="186"/>
      <c r="B59" s="1994" t="s">
        <v>14478</v>
      </c>
      <c r="C59" s="186"/>
      <c r="D59" s="186"/>
      <c r="E59" s="186"/>
      <c r="F59" s="186"/>
      <c r="G59" s="186"/>
      <c r="H59" s="186"/>
      <c r="I59" s="186"/>
      <c r="J59" s="186"/>
      <c r="K59" s="186"/>
      <c r="L59" s="186"/>
      <c r="M59" s="186"/>
      <c r="N59" s="186"/>
      <c r="O59" s="186"/>
      <c r="P59" s="186"/>
      <c r="R59" s="186"/>
      <c r="S59" s="186"/>
      <c r="T59" s="186"/>
      <c r="U59" s="186"/>
      <c r="V59" s="186"/>
      <c r="W59" s="186"/>
      <c r="X59" s="186"/>
      <c r="Y59" s="186"/>
      <c r="Z59" s="186"/>
      <c r="AA59" s="186"/>
      <c r="AB59" s="186"/>
    </row>
    <row r="60" spans="1:28" ht="15.75">
      <c r="A60" s="186"/>
      <c r="B60" s="1994" t="s">
        <v>14479</v>
      </c>
      <c r="C60" s="186"/>
      <c r="D60" s="186"/>
      <c r="E60" s="186"/>
      <c r="F60" s="186"/>
      <c r="G60" s="186"/>
      <c r="H60" s="186"/>
      <c r="I60" s="186"/>
      <c r="J60" s="186"/>
      <c r="K60" s="186"/>
      <c r="L60" s="186"/>
      <c r="M60" s="186"/>
      <c r="N60" s="186"/>
      <c r="O60" s="186"/>
      <c r="P60" s="186"/>
      <c r="R60" s="7894" t="s">
        <v>14616</v>
      </c>
      <c r="S60" s="186"/>
      <c r="T60" s="186"/>
      <c r="U60" s="186"/>
      <c r="V60" s="186"/>
      <c r="W60" s="186"/>
      <c r="X60" s="186"/>
      <c r="Y60" s="186"/>
      <c r="Z60" s="186"/>
      <c r="AA60" s="186"/>
      <c r="AB60" s="186"/>
    </row>
    <row r="61" spans="1:28" ht="15.75">
      <c r="A61" s="186"/>
      <c r="B61" s="186"/>
      <c r="C61" s="186"/>
      <c r="D61" s="186"/>
      <c r="E61" s="186"/>
      <c r="F61" s="186"/>
      <c r="G61" s="186"/>
      <c r="H61" s="186"/>
      <c r="I61" s="186"/>
      <c r="J61" s="186"/>
      <c r="K61" s="186"/>
      <c r="L61" s="186"/>
      <c r="M61" s="186"/>
      <c r="N61" s="186"/>
      <c r="O61" s="186"/>
      <c r="P61" s="186"/>
      <c r="R61" s="203" t="s">
        <v>14617</v>
      </c>
      <c r="S61" s="186"/>
      <c r="T61" s="186"/>
      <c r="U61" s="186"/>
      <c r="V61" s="186"/>
      <c r="W61" s="186"/>
      <c r="X61" s="186"/>
      <c r="Y61" s="186"/>
      <c r="Z61" s="186"/>
      <c r="AA61" s="186"/>
      <c r="AB61" s="186"/>
    </row>
    <row r="62" spans="1:28" ht="18">
      <c r="A62" s="186"/>
      <c r="B62" s="1302" t="s">
        <v>14480</v>
      </c>
      <c r="C62" s="186"/>
      <c r="D62" s="186"/>
      <c r="E62" s="186"/>
      <c r="F62" s="186"/>
      <c r="G62" s="186"/>
      <c r="H62" s="186"/>
      <c r="I62" s="186"/>
      <c r="J62" s="186"/>
      <c r="K62" s="186"/>
      <c r="L62" s="186"/>
      <c r="M62" s="186"/>
      <c r="N62" s="186"/>
      <c r="O62" s="186"/>
      <c r="P62" s="186"/>
      <c r="R62" s="203" t="s">
        <v>14618</v>
      </c>
      <c r="S62" s="186"/>
      <c r="T62" s="186"/>
      <c r="U62" s="186"/>
      <c r="V62" s="186"/>
      <c r="W62" s="186"/>
      <c r="X62" s="186"/>
      <c r="Y62" s="186"/>
      <c r="Z62" s="186"/>
      <c r="AA62" s="186"/>
      <c r="AB62" s="186"/>
    </row>
    <row r="63" spans="1:28">
      <c r="A63" s="186"/>
      <c r="B63" s="186" t="s">
        <v>14481</v>
      </c>
      <c r="C63" s="186"/>
      <c r="D63" s="186"/>
      <c r="E63" s="186"/>
      <c r="F63" s="186"/>
      <c r="G63" s="186"/>
      <c r="H63" s="186"/>
      <c r="I63" s="186"/>
      <c r="J63" s="186"/>
      <c r="K63" s="186"/>
      <c r="L63" s="186"/>
      <c r="M63" s="186"/>
      <c r="N63" s="186"/>
      <c r="O63" s="186"/>
      <c r="P63" s="186"/>
      <c r="R63" s="186"/>
      <c r="S63" s="186"/>
      <c r="T63" s="186"/>
      <c r="U63" s="186"/>
      <c r="V63" s="186"/>
      <c r="W63" s="186"/>
      <c r="X63" s="186"/>
      <c r="Y63" s="186"/>
      <c r="Z63" s="186"/>
      <c r="AA63" s="186"/>
      <c r="AB63" s="186"/>
    </row>
    <row r="64" spans="1:28" ht="18.75">
      <c r="A64" s="186"/>
      <c r="B64" s="186" t="s">
        <v>14482</v>
      </c>
      <c r="C64" s="186"/>
      <c r="D64" s="186"/>
      <c r="E64" s="186"/>
      <c r="F64" s="186"/>
      <c r="G64" s="186"/>
      <c r="H64" s="186"/>
      <c r="I64" s="186"/>
      <c r="J64" s="186"/>
      <c r="K64" s="186"/>
      <c r="L64" s="186"/>
      <c r="M64" s="186"/>
      <c r="N64" s="186"/>
      <c r="O64" s="186"/>
      <c r="P64" s="186"/>
      <c r="R64" s="570" t="s">
        <v>14596</v>
      </c>
      <c r="S64" s="186"/>
      <c r="T64" s="186"/>
      <c r="U64" s="186"/>
      <c r="V64" s="186"/>
      <c r="W64" s="186"/>
      <c r="X64" s="186"/>
      <c r="Y64" s="186"/>
      <c r="Z64" s="186"/>
      <c r="AA64" s="186"/>
      <c r="AB64" s="186"/>
    </row>
    <row r="65" spans="1:28" ht="15.75">
      <c r="A65" s="186"/>
      <c r="B65" s="186" t="s">
        <v>14483</v>
      </c>
      <c r="C65" s="186"/>
      <c r="D65" s="186"/>
      <c r="E65" s="186"/>
      <c r="F65" s="186"/>
      <c r="G65" s="186"/>
      <c r="H65" s="186"/>
      <c r="I65" s="186"/>
      <c r="J65" s="186"/>
      <c r="K65" s="186"/>
      <c r="L65" s="186"/>
      <c r="M65" s="186"/>
      <c r="N65" s="186"/>
      <c r="O65" s="186"/>
      <c r="P65" s="186"/>
      <c r="R65" s="1994" t="s">
        <v>14619</v>
      </c>
      <c r="S65" s="186"/>
      <c r="T65" s="186"/>
      <c r="U65" s="186"/>
      <c r="V65" s="186"/>
      <c r="W65" s="186"/>
      <c r="X65" s="186"/>
      <c r="Y65" s="186"/>
      <c r="Z65" s="186"/>
      <c r="AA65" s="186"/>
      <c r="AB65" s="186"/>
    </row>
    <row r="66" spans="1:28" ht="15.75">
      <c r="A66" s="186"/>
      <c r="B66" s="186" t="s">
        <v>14484</v>
      </c>
      <c r="C66" s="186"/>
      <c r="D66" s="186"/>
      <c r="E66" s="186"/>
      <c r="F66" s="186"/>
      <c r="G66" s="186"/>
      <c r="H66" s="186"/>
      <c r="I66" s="186"/>
      <c r="J66" s="186"/>
      <c r="K66" s="186"/>
      <c r="L66" s="186"/>
      <c r="M66" s="186"/>
      <c r="N66" s="186"/>
      <c r="O66" s="186"/>
      <c r="P66" s="186"/>
      <c r="R66" s="1994" t="s">
        <v>14620</v>
      </c>
      <c r="S66" s="186"/>
      <c r="T66" s="186"/>
      <c r="U66" s="186"/>
      <c r="V66" s="186"/>
      <c r="W66" s="186"/>
      <c r="X66" s="186"/>
      <c r="Y66" s="186"/>
      <c r="Z66" s="186"/>
      <c r="AA66" s="186"/>
      <c r="AB66" s="186"/>
    </row>
    <row r="67" spans="1:28" ht="15.75">
      <c r="A67" s="186"/>
      <c r="B67" s="186" t="s">
        <v>14485</v>
      </c>
      <c r="C67" s="186"/>
      <c r="D67" s="186"/>
      <c r="E67" s="186"/>
      <c r="F67" s="186"/>
      <c r="G67" s="186"/>
      <c r="H67" s="186"/>
      <c r="I67" s="186"/>
      <c r="J67" s="186"/>
      <c r="K67" s="186"/>
      <c r="L67" s="186"/>
      <c r="M67" s="186"/>
      <c r="N67" s="186"/>
      <c r="O67" s="186"/>
      <c r="P67" s="186"/>
      <c r="R67" s="1994" t="s">
        <v>14597</v>
      </c>
      <c r="S67" s="186"/>
      <c r="T67" s="186"/>
      <c r="U67" s="186"/>
      <c r="V67" s="186"/>
      <c r="W67" s="186"/>
      <c r="X67" s="186"/>
      <c r="Y67" s="186"/>
      <c r="Z67" s="186"/>
      <c r="AA67" s="186"/>
      <c r="AB67" s="186"/>
    </row>
    <row r="68" spans="1:28">
      <c r="A68" s="186"/>
      <c r="B68" s="186"/>
      <c r="C68" s="186"/>
      <c r="D68" s="186"/>
      <c r="E68" s="186"/>
      <c r="F68" s="186"/>
      <c r="G68" s="186"/>
      <c r="H68" s="186"/>
      <c r="I68" s="186"/>
      <c r="J68" s="186"/>
      <c r="K68" s="186"/>
      <c r="L68" s="186"/>
      <c r="M68" s="186"/>
      <c r="N68" s="186"/>
      <c r="O68" s="186"/>
      <c r="P68" s="186"/>
      <c r="R68" s="186"/>
      <c r="S68" s="186"/>
      <c r="T68" s="186"/>
      <c r="U68" s="186"/>
      <c r="V68" s="186"/>
      <c r="W68" s="186"/>
      <c r="X68" s="186"/>
      <c r="Y68" s="186"/>
      <c r="Z68" s="186"/>
      <c r="AA68" s="186"/>
      <c r="AB68" s="186"/>
    </row>
    <row r="69" spans="1:28" ht="23.25">
      <c r="A69" s="186"/>
      <c r="B69" s="1314" t="s">
        <v>14486</v>
      </c>
      <c r="C69" s="186"/>
      <c r="D69" s="186"/>
      <c r="E69" s="186"/>
      <c r="F69" s="186"/>
      <c r="G69" s="186"/>
      <c r="H69" s="186"/>
      <c r="I69" s="186"/>
      <c r="J69" s="186"/>
      <c r="K69" s="186"/>
      <c r="L69" s="186"/>
      <c r="M69" s="186"/>
      <c r="N69" s="186"/>
      <c r="O69" s="186"/>
      <c r="P69" s="186"/>
      <c r="R69" s="186"/>
      <c r="S69" s="186"/>
      <c r="T69" s="186"/>
      <c r="U69" s="186"/>
      <c r="V69" s="186"/>
      <c r="W69" s="186"/>
      <c r="X69" s="186"/>
      <c r="Y69" s="186"/>
      <c r="Z69" s="186"/>
      <c r="AA69" s="186"/>
      <c r="AB69" s="186"/>
    </row>
    <row r="70" spans="1:28" ht="18">
      <c r="A70" s="186"/>
      <c r="B70" s="1302" t="s">
        <v>14487</v>
      </c>
      <c r="C70" s="186"/>
      <c r="D70" s="186"/>
      <c r="E70" s="186"/>
      <c r="F70" s="186"/>
      <c r="G70" s="186"/>
      <c r="H70" s="186"/>
      <c r="I70" s="186"/>
      <c r="J70" s="186"/>
      <c r="K70" s="186"/>
      <c r="L70" s="186"/>
      <c r="M70" s="186"/>
      <c r="N70" s="186"/>
      <c r="O70" s="186"/>
      <c r="P70" s="186"/>
      <c r="R70" s="186"/>
      <c r="S70" s="186"/>
      <c r="T70" s="186"/>
      <c r="U70" s="186"/>
      <c r="V70" s="186"/>
      <c r="W70" s="186"/>
      <c r="X70" s="186"/>
      <c r="Y70" s="186"/>
      <c r="Z70" s="186"/>
      <c r="AA70" s="186"/>
      <c r="AB70" s="186"/>
    </row>
    <row r="71" spans="1:28" ht="15.75">
      <c r="A71" s="186"/>
      <c r="B71" s="1994" t="s">
        <v>14488</v>
      </c>
      <c r="C71" s="186"/>
      <c r="D71" s="186"/>
      <c r="E71" s="186"/>
      <c r="F71" s="186"/>
      <c r="G71" s="186"/>
      <c r="H71" s="186"/>
      <c r="I71" s="186"/>
      <c r="J71" s="186"/>
      <c r="K71" s="186"/>
      <c r="L71" s="186"/>
      <c r="M71" s="186"/>
      <c r="N71" s="186"/>
      <c r="O71" s="186"/>
      <c r="P71" s="186"/>
    </row>
    <row r="72" spans="1:28" ht="15.75">
      <c r="A72" s="186"/>
      <c r="B72" s="1994" t="s">
        <v>14489</v>
      </c>
      <c r="C72" s="186"/>
      <c r="D72" s="186"/>
      <c r="E72" s="186"/>
      <c r="F72" s="186"/>
      <c r="G72" s="186"/>
      <c r="H72" s="186"/>
      <c r="I72" s="186"/>
      <c r="J72" s="186"/>
      <c r="K72" s="186"/>
      <c r="L72" s="186"/>
      <c r="M72" s="186"/>
      <c r="N72" s="186"/>
      <c r="O72" s="186"/>
      <c r="P72" s="186"/>
    </row>
    <row r="73" spans="1:28" ht="15.75">
      <c r="A73" s="186"/>
      <c r="B73" s="1994" t="s">
        <v>14490</v>
      </c>
      <c r="C73" s="186"/>
      <c r="D73" s="186"/>
      <c r="E73" s="186"/>
      <c r="F73" s="186"/>
      <c r="G73" s="186"/>
      <c r="H73" s="186"/>
      <c r="I73" s="186"/>
      <c r="J73" s="186"/>
      <c r="K73" s="186"/>
      <c r="L73" s="186"/>
      <c r="M73" s="186"/>
      <c r="N73" s="186"/>
      <c r="O73" s="186"/>
      <c r="P73" s="186"/>
    </row>
    <row r="74" spans="1:28" ht="15.75">
      <c r="A74" s="186"/>
      <c r="B74" s="1994" t="s">
        <v>14491</v>
      </c>
      <c r="C74" s="186"/>
      <c r="D74" s="186"/>
      <c r="E74" s="186"/>
      <c r="F74" s="186"/>
      <c r="G74" s="186"/>
      <c r="H74" s="186"/>
      <c r="I74" s="186"/>
      <c r="J74" s="186"/>
      <c r="K74" s="186"/>
      <c r="L74" s="186"/>
      <c r="M74" s="186"/>
      <c r="N74" s="186"/>
      <c r="O74" s="186"/>
      <c r="P74" s="186"/>
    </row>
    <row r="75" spans="1:28" ht="15.75">
      <c r="A75" s="186"/>
      <c r="B75" s="1994" t="s">
        <v>14492</v>
      </c>
      <c r="C75" s="186"/>
      <c r="D75" s="186"/>
      <c r="E75" s="186"/>
      <c r="F75" s="186"/>
      <c r="G75" s="186"/>
      <c r="H75" s="186"/>
      <c r="I75" s="186"/>
      <c r="J75" s="186"/>
      <c r="K75" s="186"/>
      <c r="L75" s="186"/>
      <c r="M75" s="186"/>
      <c r="N75" s="186"/>
      <c r="O75" s="186"/>
      <c r="P75" s="186"/>
    </row>
    <row r="76" spans="1:28">
      <c r="A76" s="186"/>
      <c r="B76" s="186"/>
      <c r="C76" s="186"/>
      <c r="D76" s="186"/>
      <c r="E76" s="186"/>
      <c r="F76" s="186"/>
      <c r="G76" s="186"/>
      <c r="H76" s="186"/>
      <c r="I76" s="186"/>
      <c r="J76" s="186"/>
      <c r="K76" s="186"/>
      <c r="L76" s="186"/>
      <c r="M76" s="186"/>
      <c r="N76" s="186"/>
      <c r="O76" s="186"/>
      <c r="P76" s="186"/>
    </row>
    <row r="77" spans="1:28" ht="18">
      <c r="A77" s="186"/>
      <c r="B77" s="1302" t="s">
        <v>14493</v>
      </c>
      <c r="C77" s="186"/>
      <c r="D77" s="186"/>
      <c r="E77" s="186"/>
      <c r="F77" s="186"/>
      <c r="G77" s="186"/>
      <c r="H77" s="186"/>
      <c r="I77" s="186"/>
      <c r="J77" s="186"/>
      <c r="K77" s="186"/>
      <c r="L77" s="186"/>
      <c r="M77" s="186"/>
      <c r="N77" s="186"/>
      <c r="O77" s="186"/>
      <c r="P77" s="186"/>
    </row>
    <row r="78" spans="1:28">
      <c r="A78" s="186"/>
      <c r="B78" s="656" t="s">
        <v>14494</v>
      </c>
      <c r="C78" s="186"/>
      <c r="D78" s="186"/>
      <c r="E78" s="186"/>
      <c r="F78" s="186"/>
      <c r="G78" s="186"/>
      <c r="H78" s="186"/>
      <c r="I78" s="186"/>
      <c r="J78" s="186"/>
      <c r="K78" s="186" t="s">
        <v>21</v>
      </c>
      <c r="L78" s="186"/>
      <c r="M78" s="186"/>
      <c r="N78" s="186"/>
      <c r="O78" s="186"/>
      <c r="P78" s="186"/>
    </row>
    <row r="79" spans="1:28">
      <c r="A79" s="186"/>
      <c r="B79" s="186"/>
      <c r="C79" s="186"/>
      <c r="D79" s="186"/>
      <c r="E79" s="186"/>
      <c r="F79" s="186"/>
      <c r="G79" s="186"/>
      <c r="H79" s="186"/>
      <c r="I79" s="186"/>
      <c r="J79" s="186"/>
      <c r="K79" s="186"/>
      <c r="L79" s="186"/>
      <c r="M79" s="186"/>
      <c r="N79" s="186"/>
      <c r="O79" s="186"/>
      <c r="P79" s="186"/>
    </row>
    <row r="80" spans="1:28" ht="18">
      <c r="A80" s="186"/>
      <c r="B80" s="1302" t="s">
        <v>14495</v>
      </c>
      <c r="C80" s="186"/>
      <c r="D80" s="186"/>
      <c r="E80" s="186"/>
      <c r="F80" s="186"/>
      <c r="G80" s="186"/>
      <c r="H80" s="186"/>
      <c r="I80" s="186"/>
      <c r="J80" s="186"/>
      <c r="K80" s="186"/>
      <c r="L80" s="186"/>
      <c r="M80" s="186"/>
      <c r="N80" s="186"/>
      <c r="O80" s="186"/>
      <c r="P80" s="186"/>
    </row>
    <row r="81" spans="1:18">
      <c r="A81" s="186"/>
      <c r="B81" s="656" t="s">
        <v>14496</v>
      </c>
      <c r="C81" s="186"/>
      <c r="D81" s="186"/>
      <c r="E81" s="186"/>
      <c r="F81" s="186"/>
      <c r="G81" s="186"/>
      <c r="H81" s="186"/>
      <c r="I81" s="186"/>
      <c r="J81" s="186"/>
      <c r="K81" s="186" t="s">
        <v>21</v>
      </c>
      <c r="L81" s="186"/>
      <c r="M81" s="186"/>
      <c r="N81" s="186"/>
      <c r="O81" s="186"/>
      <c r="P81" s="186"/>
    </row>
    <row r="82" spans="1:18">
      <c r="A82" s="186"/>
      <c r="B82" s="186"/>
      <c r="C82" s="186"/>
      <c r="D82" s="186"/>
      <c r="E82" s="186"/>
      <c r="F82" s="186"/>
      <c r="G82" s="186"/>
      <c r="H82" s="186"/>
      <c r="I82" s="186"/>
      <c r="J82" s="186"/>
      <c r="K82" s="186"/>
      <c r="L82" s="186"/>
      <c r="M82" s="186"/>
      <c r="N82" s="186"/>
      <c r="O82" s="186"/>
      <c r="P82" s="186"/>
    </row>
    <row r="83" spans="1:18" ht="18">
      <c r="A83" s="186"/>
      <c r="B83" s="1302" t="s">
        <v>14497</v>
      </c>
      <c r="C83" s="186"/>
      <c r="D83" s="186"/>
      <c r="E83" s="186"/>
      <c r="F83" s="186"/>
      <c r="G83" s="186"/>
      <c r="H83" s="186"/>
      <c r="I83" s="186"/>
      <c r="J83" s="186"/>
      <c r="K83" s="186"/>
      <c r="L83" s="186"/>
      <c r="M83" s="186"/>
      <c r="N83" s="186"/>
      <c r="O83" s="186"/>
      <c r="P83" s="186"/>
    </row>
    <row r="84" spans="1:18" ht="18.75" customHeight="1">
      <c r="A84" s="186"/>
      <c r="B84" s="1994" t="s">
        <v>14498</v>
      </c>
      <c r="C84" s="186"/>
      <c r="D84" s="186"/>
      <c r="E84" s="186"/>
      <c r="F84" s="186"/>
      <c r="G84" s="186"/>
      <c r="H84" s="186"/>
      <c r="I84" s="186"/>
      <c r="J84" s="186"/>
      <c r="K84" s="186"/>
      <c r="L84" s="186"/>
      <c r="M84" s="186"/>
      <c r="N84" s="186"/>
      <c r="O84" s="186"/>
      <c r="P84" s="186"/>
      <c r="R84" s="7874"/>
    </row>
    <row r="85" spans="1:18" ht="18.75" customHeight="1">
      <c r="A85" s="186"/>
      <c r="B85" s="186"/>
      <c r="C85" s="186"/>
      <c r="D85" s="186"/>
      <c r="E85" s="186"/>
      <c r="F85" s="186"/>
      <c r="G85" s="186"/>
      <c r="H85" s="186"/>
      <c r="I85" s="186"/>
      <c r="J85" s="186"/>
      <c r="K85" s="186"/>
      <c r="L85" s="186"/>
      <c r="M85" s="186"/>
      <c r="N85" s="186"/>
      <c r="O85" s="186"/>
      <c r="P85" s="186"/>
    </row>
    <row r="86" spans="1:18" ht="18.75" customHeight="1">
      <c r="A86" s="186"/>
      <c r="B86" s="1302" t="s">
        <v>14499</v>
      </c>
      <c r="C86" s="186"/>
      <c r="D86" s="186"/>
      <c r="E86" s="186"/>
      <c r="F86" s="186"/>
      <c r="G86" s="186"/>
      <c r="H86" s="186"/>
      <c r="I86" s="186"/>
      <c r="J86" s="186"/>
      <c r="K86" s="186"/>
      <c r="L86" s="186"/>
      <c r="M86" s="186"/>
      <c r="N86" s="186"/>
      <c r="O86" s="186"/>
      <c r="P86" s="186"/>
      <c r="R86" s="7874"/>
    </row>
    <row r="87" spans="1:18" ht="15.75">
      <c r="A87" s="186"/>
      <c r="B87" s="1994" t="s">
        <v>14500</v>
      </c>
      <c r="C87" s="186"/>
      <c r="D87" s="186"/>
      <c r="E87" s="186"/>
      <c r="F87" s="186"/>
      <c r="G87" s="186"/>
      <c r="H87" s="186"/>
      <c r="I87" s="186"/>
      <c r="J87" s="186"/>
      <c r="K87" s="186"/>
      <c r="L87" s="186"/>
      <c r="M87" s="186"/>
      <c r="N87" s="186"/>
      <c r="O87" s="186"/>
      <c r="P87" s="186"/>
    </row>
    <row r="88" spans="1:18" ht="15.75">
      <c r="A88" s="186"/>
      <c r="B88" s="1994" t="s">
        <v>14501</v>
      </c>
      <c r="C88" s="186"/>
      <c r="D88" s="186"/>
      <c r="E88" s="186"/>
      <c r="F88" s="186"/>
      <c r="G88" s="186"/>
      <c r="H88" s="186"/>
      <c r="I88" s="186"/>
      <c r="J88" s="186"/>
      <c r="K88" s="186"/>
      <c r="L88" s="186"/>
      <c r="M88" s="186"/>
      <c r="N88" s="186"/>
      <c r="O88" s="186"/>
      <c r="P88" s="186"/>
    </row>
    <row r="89" spans="1:18">
      <c r="A89" s="186"/>
      <c r="B89" s="186"/>
      <c r="C89" s="186"/>
      <c r="D89" s="186"/>
      <c r="E89" s="186"/>
      <c r="F89" s="186"/>
      <c r="G89" s="186"/>
      <c r="H89" s="186"/>
      <c r="I89" s="186"/>
      <c r="J89" s="186"/>
      <c r="K89" s="186"/>
      <c r="L89" s="186"/>
      <c r="M89" s="186"/>
      <c r="N89" s="186"/>
      <c r="O89" s="186"/>
      <c r="P89" s="186"/>
    </row>
    <row r="90" spans="1:18" ht="23.25">
      <c r="A90" s="186"/>
      <c r="B90" s="1314" t="s">
        <v>14502</v>
      </c>
      <c r="C90" s="186"/>
      <c r="D90" s="186"/>
      <c r="E90" s="186"/>
      <c r="F90" s="186"/>
      <c r="G90" s="186"/>
      <c r="H90" s="186"/>
      <c r="I90" s="186"/>
      <c r="J90" s="186"/>
      <c r="K90" s="186"/>
      <c r="L90" s="186"/>
      <c r="M90" s="186"/>
      <c r="N90" s="186"/>
      <c r="O90" s="186"/>
      <c r="P90" s="186"/>
    </row>
    <row r="91" spans="1:18" ht="18">
      <c r="A91" s="186"/>
      <c r="B91" s="1302" t="s">
        <v>14503</v>
      </c>
      <c r="C91" s="186"/>
      <c r="D91" s="186"/>
      <c r="E91" s="186"/>
      <c r="F91" s="186"/>
      <c r="G91" s="186"/>
      <c r="H91" s="186"/>
      <c r="I91" s="186"/>
      <c r="J91" s="186"/>
      <c r="K91" s="186"/>
      <c r="L91" s="186"/>
      <c r="M91" s="186"/>
      <c r="N91" s="186"/>
      <c r="O91" s="186"/>
      <c r="P91" s="186"/>
    </row>
    <row r="92" spans="1:18" ht="15.75">
      <c r="A92" s="186"/>
      <c r="B92" s="1994" t="s">
        <v>14504</v>
      </c>
      <c r="C92" s="186"/>
      <c r="D92" s="186"/>
      <c r="E92" s="186"/>
      <c r="F92" s="186"/>
      <c r="G92" s="186"/>
      <c r="H92" s="186"/>
      <c r="I92" s="186"/>
      <c r="J92" s="186"/>
      <c r="K92" s="186"/>
      <c r="L92" s="186"/>
      <c r="M92" s="186"/>
      <c r="N92" s="186"/>
      <c r="O92" s="186"/>
      <c r="P92" s="186"/>
    </row>
    <row r="93" spans="1:18" ht="15.75">
      <c r="A93" s="186"/>
      <c r="B93" s="1994" t="s">
        <v>14505</v>
      </c>
      <c r="C93" s="186"/>
      <c r="D93" s="186"/>
      <c r="E93" s="186"/>
      <c r="F93" s="186"/>
      <c r="G93" s="186"/>
      <c r="H93" s="186"/>
      <c r="I93" s="186"/>
      <c r="J93" s="186"/>
      <c r="K93" s="186"/>
      <c r="L93" s="186"/>
      <c r="M93" s="186"/>
      <c r="N93" s="186"/>
      <c r="O93" s="186"/>
      <c r="P93" s="186"/>
    </row>
    <row r="94" spans="1:18">
      <c r="A94" s="186"/>
      <c r="B94" s="186"/>
      <c r="C94" s="186"/>
      <c r="D94" s="186"/>
      <c r="E94" s="186"/>
      <c r="F94" s="186"/>
      <c r="G94" s="186"/>
      <c r="H94" s="186"/>
      <c r="I94" s="186"/>
      <c r="J94" s="186"/>
      <c r="K94" s="186"/>
      <c r="L94" s="186"/>
      <c r="M94" s="186"/>
      <c r="N94" s="186"/>
      <c r="O94" s="186"/>
      <c r="P94" s="186"/>
    </row>
    <row r="95" spans="1:18" ht="18">
      <c r="A95" s="186"/>
      <c r="B95" s="1302" t="s">
        <v>14506</v>
      </c>
      <c r="C95" s="186"/>
      <c r="D95" s="186"/>
      <c r="E95" s="186"/>
      <c r="F95" s="186"/>
      <c r="G95" s="186"/>
      <c r="H95" s="186"/>
      <c r="I95" s="186"/>
      <c r="J95" s="186"/>
      <c r="K95" s="186"/>
      <c r="L95" s="186"/>
      <c r="M95" s="186"/>
      <c r="N95" s="186"/>
      <c r="O95" s="186"/>
      <c r="P95" s="186"/>
    </row>
    <row r="96" spans="1:18" ht="15.75">
      <c r="A96" s="186"/>
      <c r="B96" s="1994" t="s">
        <v>14507</v>
      </c>
      <c r="C96" s="186"/>
      <c r="D96" s="186"/>
      <c r="E96" s="186"/>
      <c r="F96" s="186"/>
      <c r="G96" s="186"/>
      <c r="H96" s="186"/>
      <c r="I96" s="186"/>
      <c r="J96" s="186"/>
      <c r="K96" s="186"/>
      <c r="L96" s="186"/>
      <c r="M96" s="186"/>
      <c r="N96" s="186"/>
      <c r="O96" s="186"/>
      <c r="P96" s="186"/>
    </row>
    <row r="97" spans="1:16" ht="15.75">
      <c r="A97" s="186"/>
      <c r="B97" s="1994" t="s">
        <v>14508</v>
      </c>
      <c r="C97" s="186"/>
      <c r="D97" s="186"/>
      <c r="E97" s="186"/>
      <c r="F97" s="186"/>
      <c r="G97" s="186"/>
      <c r="H97" s="186"/>
      <c r="I97" s="186"/>
      <c r="J97" s="186"/>
      <c r="K97" s="186"/>
      <c r="L97" s="186"/>
      <c r="M97" s="186"/>
      <c r="N97" s="186"/>
      <c r="O97" s="186"/>
      <c r="P97" s="186"/>
    </row>
    <row r="98" spans="1:16" ht="15.75">
      <c r="A98" s="186"/>
      <c r="B98" s="1994" t="s">
        <v>14509</v>
      </c>
      <c r="C98" s="186"/>
      <c r="D98" s="186"/>
      <c r="E98" s="186"/>
      <c r="F98" s="186"/>
      <c r="G98" s="186"/>
      <c r="H98" s="186"/>
      <c r="I98" s="186"/>
      <c r="J98" s="186"/>
      <c r="K98" s="186"/>
      <c r="L98" s="186"/>
      <c r="M98" s="186"/>
      <c r="N98" s="186"/>
      <c r="O98" s="186"/>
      <c r="P98" s="186"/>
    </row>
    <row r="99" spans="1:16">
      <c r="A99" s="186"/>
      <c r="B99" s="186"/>
      <c r="C99" s="186"/>
      <c r="D99" s="186"/>
      <c r="E99" s="186"/>
      <c r="F99" s="186"/>
      <c r="G99" s="186"/>
      <c r="H99" s="186"/>
      <c r="I99" s="186"/>
      <c r="J99" s="186"/>
      <c r="K99" s="186"/>
      <c r="L99" s="186"/>
      <c r="M99" s="186"/>
      <c r="N99" s="186"/>
      <c r="O99" s="186"/>
      <c r="P99" s="186"/>
    </row>
    <row r="100" spans="1:16">
      <c r="A100" s="186"/>
      <c r="B100" s="186"/>
      <c r="C100" s="186"/>
      <c r="D100" s="186"/>
      <c r="E100" s="186"/>
      <c r="F100" s="186"/>
      <c r="G100" s="186"/>
      <c r="H100" s="186"/>
      <c r="I100" s="186"/>
      <c r="J100" s="186"/>
      <c r="K100" s="186"/>
      <c r="L100" s="186"/>
      <c r="M100" s="186"/>
      <c r="N100" s="186"/>
      <c r="O100" s="186"/>
      <c r="P100" s="186"/>
    </row>
    <row r="101" spans="1:16" ht="18">
      <c r="A101" s="186"/>
      <c r="B101" s="1302" t="s">
        <v>14510</v>
      </c>
      <c r="C101" s="186"/>
      <c r="D101" s="186"/>
      <c r="E101" s="186"/>
      <c r="F101" s="186"/>
      <c r="G101" s="186"/>
      <c r="H101" s="186"/>
      <c r="I101" s="186"/>
      <c r="J101" s="186"/>
      <c r="K101" s="186"/>
      <c r="L101" s="186"/>
      <c r="M101" s="186"/>
      <c r="N101" s="186"/>
      <c r="O101" s="186"/>
      <c r="P101" s="186"/>
    </row>
    <row r="102" spans="1:16">
      <c r="A102" s="186"/>
      <c r="B102" s="656" t="s">
        <v>14511</v>
      </c>
      <c r="C102" s="186"/>
      <c r="D102" s="186"/>
      <c r="E102" s="186"/>
      <c r="F102" s="186"/>
      <c r="G102" s="186"/>
      <c r="H102" s="186"/>
      <c r="I102" s="186"/>
      <c r="J102" s="186"/>
      <c r="K102" s="186" t="s">
        <v>21</v>
      </c>
      <c r="L102" s="186"/>
      <c r="M102" s="186"/>
      <c r="N102" s="186"/>
      <c r="O102" s="186"/>
      <c r="P102" s="186"/>
    </row>
    <row r="103" spans="1:16" ht="15.75">
      <c r="A103" s="186"/>
      <c r="B103" s="1994" t="s">
        <v>14512</v>
      </c>
      <c r="C103" s="186"/>
      <c r="D103" s="186"/>
      <c r="E103" s="186"/>
      <c r="F103" s="186"/>
      <c r="G103" s="186"/>
      <c r="H103" s="186"/>
      <c r="I103" s="186"/>
      <c r="J103" s="186"/>
      <c r="K103" s="186"/>
      <c r="L103" s="186"/>
      <c r="M103" s="186"/>
      <c r="N103" s="186"/>
      <c r="O103" s="186"/>
      <c r="P103" s="186"/>
    </row>
    <row r="104" spans="1:16">
      <c r="A104" s="186"/>
      <c r="B104" s="186"/>
      <c r="C104" s="186"/>
      <c r="D104" s="186"/>
      <c r="E104" s="186"/>
      <c r="F104" s="186"/>
      <c r="G104" s="186"/>
      <c r="H104" s="186"/>
      <c r="I104" s="186"/>
      <c r="J104" s="186"/>
      <c r="K104" s="186"/>
      <c r="L104" s="186"/>
      <c r="M104" s="186"/>
      <c r="N104" s="186"/>
      <c r="O104" s="186"/>
      <c r="P104" s="186"/>
    </row>
    <row r="105" spans="1:16">
      <c r="A105" s="186"/>
      <c r="B105" s="186"/>
      <c r="C105" s="186"/>
      <c r="D105" s="186"/>
      <c r="E105" s="186"/>
      <c r="F105" s="186"/>
      <c r="G105" s="186"/>
      <c r="H105" s="186"/>
      <c r="I105" s="186"/>
      <c r="J105" s="186"/>
      <c r="K105" s="186"/>
      <c r="L105" s="186"/>
      <c r="M105" s="186"/>
      <c r="N105" s="186"/>
      <c r="O105" s="186"/>
      <c r="P105" s="186"/>
    </row>
    <row r="106" spans="1:16" ht="18">
      <c r="A106" s="186"/>
      <c r="B106" s="1302" t="s">
        <v>14513</v>
      </c>
      <c r="C106" s="186"/>
      <c r="D106" s="186"/>
      <c r="E106" s="186"/>
      <c r="F106" s="186"/>
      <c r="G106" s="186"/>
      <c r="H106" s="186"/>
      <c r="I106" s="186"/>
      <c r="J106" s="186"/>
      <c r="K106" s="186"/>
      <c r="L106" s="186"/>
      <c r="M106" s="186"/>
      <c r="N106" s="186"/>
      <c r="O106" s="186"/>
      <c r="P106" s="186"/>
    </row>
    <row r="107" spans="1:16" ht="15.75">
      <c r="A107" s="186"/>
      <c r="B107" s="1994" t="s">
        <v>14514</v>
      </c>
      <c r="C107" s="186"/>
      <c r="D107" s="186"/>
      <c r="E107" s="186"/>
      <c r="F107" s="186"/>
      <c r="G107" s="186"/>
      <c r="H107" s="186"/>
      <c r="I107" s="186"/>
      <c r="J107" s="186"/>
      <c r="K107" s="186"/>
      <c r="L107" s="186"/>
      <c r="M107" s="186"/>
      <c r="N107" s="186"/>
      <c r="O107" s="186"/>
      <c r="P107" s="186"/>
    </row>
    <row r="108" spans="1:16" ht="15.75">
      <c r="A108" s="186"/>
      <c r="B108" s="1994" t="s">
        <v>14515</v>
      </c>
      <c r="C108" s="186"/>
      <c r="D108" s="186"/>
      <c r="E108" s="186"/>
      <c r="F108" s="186"/>
      <c r="G108" s="186"/>
      <c r="H108" s="186"/>
      <c r="I108" s="186"/>
      <c r="J108" s="186"/>
      <c r="K108" s="186"/>
      <c r="L108" s="186"/>
      <c r="M108" s="186"/>
      <c r="N108" s="186"/>
      <c r="O108" s="186"/>
      <c r="P108" s="186"/>
    </row>
    <row r="109" spans="1:16" ht="15.75">
      <c r="A109" s="186"/>
      <c r="B109" s="1994" t="s">
        <v>14516</v>
      </c>
      <c r="C109" s="186"/>
      <c r="D109" s="186"/>
      <c r="E109" s="186"/>
      <c r="F109" s="186"/>
      <c r="G109" s="186"/>
      <c r="H109" s="186"/>
      <c r="I109" s="186"/>
      <c r="J109" s="186"/>
      <c r="K109" s="186"/>
      <c r="L109" s="186"/>
      <c r="M109" s="186"/>
      <c r="N109" s="186"/>
      <c r="O109" s="186"/>
      <c r="P109" s="186"/>
    </row>
    <row r="110" spans="1:16" ht="15.75">
      <c r="A110" s="186"/>
      <c r="B110" s="1994" t="s">
        <v>14517</v>
      </c>
      <c r="C110" s="186"/>
      <c r="D110" s="186"/>
      <c r="E110" s="186"/>
      <c r="F110" s="186"/>
      <c r="G110" s="186"/>
      <c r="H110" s="186"/>
      <c r="I110" s="186"/>
      <c r="J110" s="186"/>
      <c r="K110" s="186"/>
      <c r="L110" s="186"/>
      <c r="M110" s="186"/>
      <c r="N110" s="186"/>
      <c r="O110" s="186"/>
      <c r="P110" s="186"/>
    </row>
    <row r="111" spans="1:16">
      <c r="A111" s="186"/>
      <c r="B111" s="186"/>
      <c r="C111" s="186"/>
      <c r="D111" s="186"/>
      <c r="E111" s="186"/>
      <c r="F111" s="186"/>
      <c r="G111" s="186"/>
      <c r="H111" s="186"/>
      <c r="I111" s="186"/>
      <c r="J111" s="186"/>
      <c r="K111" s="186"/>
      <c r="L111" s="186"/>
      <c r="M111" s="186"/>
      <c r="N111" s="186"/>
      <c r="O111" s="186"/>
      <c r="P111" s="186"/>
    </row>
    <row r="112" spans="1:16" ht="18">
      <c r="A112" s="186"/>
      <c r="B112" s="1302" t="s">
        <v>14518</v>
      </c>
      <c r="C112" s="186"/>
      <c r="D112" s="186"/>
      <c r="E112" s="186"/>
      <c r="F112" s="186"/>
      <c r="G112" s="186"/>
      <c r="H112" s="186"/>
      <c r="I112" s="186"/>
      <c r="J112" s="186"/>
      <c r="K112" s="186"/>
      <c r="L112" s="186"/>
      <c r="M112" s="186"/>
      <c r="N112" s="186"/>
      <c r="O112" s="186"/>
      <c r="P112" s="186"/>
    </row>
    <row r="113" spans="1:16" ht="15.75">
      <c r="A113" s="186"/>
      <c r="B113" s="1994" t="s">
        <v>14519</v>
      </c>
      <c r="C113" s="186"/>
      <c r="D113" s="186"/>
      <c r="E113" s="186"/>
      <c r="F113" s="186"/>
      <c r="G113" s="186"/>
      <c r="H113" s="186"/>
      <c r="I113" s="186"/>
      <c r="J113" s="186"/>
      <c r="K113" s="186"/>
      <c r="L113" s="186"/>
      <c r="M113" s="186"/>
      <c r="N113" s="186"/>
      <c r="O113" s="186"/>
      <c r="P113" s="186"/>
    </row>
    <row r="114" spans="1:16" ht="15.75">
      <c r="A114" s="186"/>
      <c r="B114" s="1994" t="s">
        <v>14520</v>
      </c>
      <c r="C114" s="186"/>
      <c r="D114" s="186"/>
      <c r="E114" s="186"/>
      <c r="F114" s="186"/>
      <c r="G114" s="186"/>
      <c r="H114" s="186"/>
      <c r="I114" s="186"/>
      <c r="J114" s="186"/>
      <c r="K114" s="186"/>
      <c r="L114" s="186"/>
      <c r="M114" s="186"/>
      <c r="N114" s="186"/>
      <c r="O114" s="186"/>
      <c r="P114" s="186"/>
    </row>
    <row r="115" spans="1:16">
      <c r="A115" s="186"/>
      <c r="B115" s="186"/>
      <c r="C115" s="186"/>
      <c r="D115" s="186"/>
      <c r="E115" s="186"/>
      <c r="F115" s="186"/>
      <c r="G115" s="186"/>
      <c r="H115" s="186"/>
      <c r="I115" s="186"/>
      <c r="J115" s="186"/>
      <c r="K115" s="186"/>
      <c r="L115" s="186"/>
      <c r="M115" s="186"/>
      <c r="N115" s="186"/>
      <c r="O115" s="186"/>
      <c r="P115" s="186"/>
    </row>
    <row r="116" spans="1:16" ht="23.25">
      <c r="A116" s="186"/>
      <c r="B116" s="1314" t="s">
        <v>14521</v>
      </c>
      <c r="C116" s="186"/>
      <c r="D116" s="186"/>
      <c r="E116" s="186"/>
      <c r="F116" s="186"/>
      <c r="G116" s="186"/>
      <c r="H116" s="186"/>
      <c r="I116" s="186"/>
      <c r="J116" s="186"/>
      <c r="K116" s="186"/>
      <c r="L116" s="186"/>
      <c r="M116" s="186"/>
      <c r="N116" s="186"/>
      <c r="O116" s="186"/>
      <c r="P116" s="186"/>
    </row>
    <row r="117" spans="1:16" ht="18">
      <c r="A117" s="186"/>
      <c r="B117" s="1302" t="s">
        <v>14522</v>
      </c>
      <c r="C117" s="186"/>
      <c r="D117" s="186"/>
      <c r="E117" s="186"/>
      <c r="F117" s="186"/>
      <c r="G117" s="186"/>
      <c r="H117" s="186"/>
      <c r="I117" s="186"/>
      <c r="J117" s="186"/>
      <c r="K117" s="186"/>
      <c r="L117" s="186"/>
      <c r="M117" s="186"/>
      <c r="N117" s="186"/>
      <c r="O117" s="186"/>
      <c r="P117" s="186"/>
    </row>
    <row r="118" spans="1:16" ht="15.75">
      <c r="A118" s="186"/>
      <c r="B118" s="1994" t="s">
        <v>14523</v>
      </c>
      <c r="C118" s="186"/>
      <c r="D118" s="186"/>
      <c r="E118" s="186"/>
      <c r="F118" s="186"/>
      <c r="G118" s="186"/>
      <c r="H118" s="186"/>
      <c r="I118" s="186"/>
      <c r="J118" s="186"/>
      <c r="K118" s="186"/>
      <c r="L118" s="186"/>
      <c r="M118" s="186"/>
      <c r="N118" s="186"/>
      <c r="O118" s="186"/>
      <c r="P118" s="186"/>
    </row>
    <row r="119" spans="1:16" ht="15.75">
      <c r="A119" s="186"/>
      <c r="B119" s="1994" t="s">
        <v>14524</v>
      </c>
      <c r="C119" s="186"/>
      <c r="D119" s="186"/>
      <c r="E119" s="186"/>
      <c r="F119" s="186"/>
      <c r="G119" s="186"/>
      <c r="H119" s="186"/>
      <c r="I119" s="186"/>
      <c r="J119" s="186"/>
      <c r="K119" s="186"/>
      <c r="L119" s="186"/>
      <c r="M119" s="186"/>
      <c r="N119" s="186"/>
      <c r="O119" s="186"/>
      <c r="P119" s="186"/>
    </row>
    <row r="120" spans="1:16" ht="15.75">
      <c r="A120" s="186"/>
      <c r="B120" s="1994" t="s">
        <v>14525</v>
      </c>
      <c r="C120" s="186"/>
      <c r="D120" s="186"/>
      <c r="E120" s="186"/>
      <c r="F120" s="186"/>
      <c r="G120" s="186"/>
      <c r="H120" s="186"/>
      <c r="I120" s="186"/>
      <c r="J120" s="186"/>
      <c r="K120" s="186"/>
      <c r="L120" s="186"/>
      <c r="M120" s="186"/>
      <c r="N120" s="186"/>
      <c r="O120" s="186"/>
      <c r="P120" s="186"/>
    </row>
    <row r="121" spans="1:16" ht="15.75">
      <c r="A121" s="186"/>
      <c r="B121" s="1994" t="s">
        <v>14526</v>
      </c>
      <c r="C121" s="186"/>
      <c r="D121" s="186"/>
      <c r="E121" s="186"/>
      <c r="F121" s="186"/>
      <c r="G121" s="186"/>
      <c r="H121" s="186"/>
      <c r="I121" s="186"/>
      <c r="J121" s="186"/>
      <c r="K121" s="186"/>
      <c r="L121" s="186"/>
      <c r="M121" s="186"/>
      <c r="N121" s="186"/>
      <c r="O121" s="186"/>
      <c r="P121" s="186"/>
    </row>
    <row r="122" spans="1:16">
      <c r="A122" s="186"/>
      <c r="B122" s="186"/>
      <c r="C122" s="186"/>
      <c r="D122" s="186"/>
      <c r="E122" s="186"/>
      <c r="F122" s="186"/>
      <c r="G122" s="186"/>
      <c r="H122" s="186"/>
      <c r="I122" s="186"/>
      <c r="J122" s="186"/>
      <c r="K122" s="186"/>
      <c r="L122" s="186"/>
      <c r="M122" s="186"/>
      <c r="N122" s="186"/>
      <c r="O122" s="186"/>
      <c r="P122" s="186"/>
    </row>
    <row r="123" spans="1:16" ht="18">
      <c r="A123" s="186"/>
      <c r="B123" s="1302" t="s">
        <v>14527</v>
      </c>
      <c r="C123" s="186"/>
      <c r="D123" s="186"/>
      <c r="E123" s="186"/>
      <c r="F123" s="186"/>
      <c r="G123" s="186"/>
      <c r="H123" s="186"/>
      <c r="I123" s="186"/>
      <c r="J123" s="186"/>
      <c r="K123" s="186"/>
      <c r="L123" s="186"/>
      <c r="M123" s="186"/>
      <c r="N123" s="186"/>
      <c r="O123" s="186"/>
      <c r="P123" s="186"/>
    </row>
    <row r="124" spans="1:16" ht="15.75">
      <c r="A124" s="186"/>
      <c r="B124" s="1994" t="s">
        <v>14528</v>
      </c>
      <c r="C124" s="186"/>
      <c r="D124" s="186"/>
      <c r="E124" s="186"/>
      <c r="F124" s="186"/>
      <c r="G124" s="186"/>
      <c r="H124" s="186"/>
      <c r="I124" s="186"/>
      <c r="J124" s="186"/>
      <c r="K124" s="186"/>
      <c r="L124" s="186"/>
      <c r="M124" s="186"/>
      <c r="N124" s="186"/>
      <c r="O124" s="186"/>
      <c r="P124" s="186"/>
    </row>
    <row r="125" spans="1:16" ht="15.75">
      <c r="A125" s="186"/>
      <c r="B125" s="1994" t="s">
        <v>14529</v>
      </c>
      <c r="C125" s="186"/>
      <c r="D125" s="186"/>
      <c r="E125" s="186"/>
      <c r="F125" s="186"/>
      <c r="G125" s="186"/>
      <c r="H125" s="186"/>
      <c r="I125" s="186"/>
      <c r="J125" s="186"/>
      <c r="K125" s="186"/>
      <c r="L125" s="186"/>
      <c r="M125" s="186"/>
      <c r="N125" s="186"/>
      <c r="O125" s="186"/>
      <c r="P125" s="186"/>
    </row>
    <row r="126" spans="1:16">
      <c r="A126" s="186"/>
      <c r="B126" s="186"/>
      <c r="C126" s="186"/>
      <c r="D126" s="186"/>
      <c r="E126" s="186"/>
      <c r="F126" s="186"/>
      <c r="G126" s="186"/>
      <c r="H126" s="186"/>
      <c r="I126" s="186"/>
      <c r="J126" s="186"/>
      <c r="K126" s="186"/>
      <c r="L126" s="186"/>
      <c r="M126" s="186"/>
      <c r="N126" s="186"/>
      <c r="O126" s="186"/>
      <c r="P126" s="186"/>
    </row>
    <row r="127" spans="1:16" ht="18">
      <c r="A127" s="186"/>
      <c r="B127" s="1302" t="s">
        <v>14530</v>
      </c>
      <c r="C127" s="186"/>
      <c r="D127" s="186"/>
      <c r="E127" s="186"/>
      <c r="F127" s="186"/>
      <c r="G127" s="186"/>
      <c r="H127" s="186"/>
      <c r="I127" s="186"/>
      <c r="J127" s="186"/>
      <c r="K127" s="186"/>
      <c r="L127" s="186"/>
      <c r="M127" s="186"/>
      <c r="N127" s="186"/>
      <c r="O127" s="186"/>
      <c r="P127" s="186"/>
    </row>
    <row r="128" spans="1:16" ht="15.75">
      <c r="A128" s="186"/>
      <c r="B128" s="1994" t="s">
        <v>14531</v>
      </c>
      <c r="C128" s="186"/>
      <c r="D128" s="186"/>
      <c r="E128" s="186"/>
      <c r="F128" s="186"/>
      <c r="G128" s="186"/>
      <c r="H128" s="186"/>
      <c r="I128" s="186"/>
      <c r="J128" s="186"/>
      <c r="K128" s="186"/>
      <c r="L128" s="186"/>
      <c r="M128" s="186"/>
      <c r="N128" s="186"/>
      <c r="O128" s="186"/>
      <c r="P128" s="186"/>
    </row>
    <row r="129" spans="1:16" ht="15.75">
      <c r="A129" s="186"/>
      <c r="B129" s="1994" t="s">
        <v>14532</v>
      </c>
      <c r="C129" s="186"/>
      <c r="D129" s="186"/>
      <c r="E129" s="186"/>
      <c r="F129" s="186"/>
      <c r="G129" s="186"/>
      <c r="H129" s="186"/>
      <c r="I129" s="186"/>
      <c r="J129" s="186"/>
      <c r="K129" s="186"/>
      <c r="L129" s="186"/>
      <c r="M129" s="186"/>
      <c r="N129" s="186"/>
      <c r="O129" s="186"/>
      <c r="P129" s="186"/>
    </row>
    <row r="130" spans="1:16" ht="15.75">
      <c r="A130" s="186"/>
      <c r="B130" s="1994" t="s">
        <v>14533</v>
      </c>
      <c r="C130" s="186"/>
      <c r="D130" s="186"/>
      <c r="E130" s="186"/>
      <c r="F130" s="186"/>
      <c r="G130" s="186"/>
      <c r="H130" s="186"/>
      <c r="I130" s="186"/>
      <c r="J130" s="186"/>
      <c r="K130" s="186"/>
      <c r="L130" s="186"/>
      <c r="M130" s="186"/>
      <c r="N130" s="186"/>
      <c r="O130" s="186"/>
      <c r="P130" s="186"/>
    </row>
    <row r="131" spans="1:16">
      <c r="A131" s="186"/>
      <c r="B131" s="186"/>
      <c r="C131" s="186"/>
      <c r="D131" s="186"/>
      <c r="E131" s="186"/>
      <c r="F131" s="186"/>
      <c r="G131" s="186"/>
      <c r="H131" s="186"/>
      <c r="I131" s="186"/>
      <c r="J131" s="186"/>
      <c r="K131" s="186"/>
      <c r="L131" s="186"/>
      <c r="M131" s="186"/>
      <c r="N131" s="186"/>
      <c r="O131" s="186"/>
      <c r="P131" s="186"/>
    </row>
    <row r="132" spans="1:16" ht="15.75">
      <c r="A132" s="186"/>
      <c r="B132" s="1994" t="s">
        <v>14534</v>
      </c>
      <c r="C132" s="186"/>
      <c r="D132" s="186"/>
      <c r="E132" s="186"/>
      <c r="F132" s="186"/>
      <c r="G132" s="186"/>
      <c r="H132" s="186"/>
      <c r="I132" s="186"/>
      <c r="J132" s="186"/>
      <c r="K132" s="186"/>
      <c r="L132" s="186"/>
      <c r="M132" s="186"/>
      <c r="N132" s="186"/>
      <c r="O132" s="186"/>
      <c r="P132" s="186"/>
    </row>
    <row r="133" spans="1:16" ht="15.75">
      <c r="A133" s="186"/>
      <c r="B133" s="1994" t="s">
        <v>14535</v>
      </c>
      <c r="C133" s="186"/>
      <c r="D133" s="186"/>
      <c r="E133" s="186"/>
      <c r="F133" s="186"/>
      <c r="G133" s="186"/>
      <c r="H133" s="186"/>
      <c r="I133" s="186"/>
      <c r="J133" s="186"/>
      <c r="K133" s="186"/>
      <c r="L133" s="186"/>
      <c r="M133" s="186"/>
      <c r="N133" s="186"/>
      <c r="O133" s="186"/>
      <c r="P133" s="186"/>
    </row>
    <row r="134" spans="1:16" ht="15.75">
      <c r="A134" s="186"/>
      <c r="B134" s="1994" t="s">
        <v>14536</v>
      </c>
      <c r="C134" s="186"/>
      <c r="D134" s="186"/>
      <c r="E134" s="186"/>
      <c r="F134" s="186"/>
      <c r="G134" s="186"/>
      <c r="H134" s="186"/>
      <c r="I134" s="186"/>
      <c r="J134" s="186"/>
      <c r="K134" s="186"/>
      <c r="L134" s="186"/>
      <c r="M134" s="186"/>
      <c r="N134" s="186"/>
      <c r="O134" s="186"/>
      <c r="P134" s="186"/>
    </row>
    <row r="135" spans="1:16">
      <c r="A135" s="186"/>
      <c r="B135" s="186"/>
      <c r="C135" s="186"/>
      <c r="D135" s="186"/>
      <c r="E135" s="186"/>
      <c r="F135" s="186"/>
      <c r="G135" s="186"/>
      <c r="H135" s="186"/>
      <c r="I135" s="186"/>
      <c r="J135" s="186"/>
      <c r="K135" s="186"/>
      <c r="L135" s="186"/>
      <c r="M135" s="186"/>
      <c r="N135" s="186"/>
      <c r="O135" s="186"/>
      <c r="P135" s="186"/>
    </row>
    <row r="136" spans="1:16" ht="18">
      <c r="A136" s="186"/>
      <c r="B136" s="1302" t="s">
        <v>14537</v>
      </c>
      <c r="C136" s="186"/>
      <c r="D136" s="186"/>
      <c r="E136" s="186"/>
      <c r="F136" s="186"/>
      <c r="G136" s="186"/>
      <c r="H136" s="186"/>
      <c r="I136" s="186"/>
      <c r="J136" s="186"/>
      <c r="K136" s="186"/>
      <c r="L136" s="186"/>
      <c r="M136" s="186"/>
      <c r="N136" s="186"/>
      <c r="O136" s="186"/>
      <c r="P136" s="186"/>
    </row>
    <row r="137" spans="1:16" ht="15.75">
      <c r="A137" s="186"/>
      <c r="B137" s="1994" t="s">
        <v>14538</v>
      </c>
      <c r="C137" s="186"/>
      <c r="D137" s="186"/>
      <c r="E137" s="186"/>
      <c r="F137" s="186"/>
      <c r="G137" s="186"/>
      <c r="H137" s="186"/>
      <c r="I137" s="186"/>
      <c r="J137" s="186"/>
      <c r="K137" s="186"/>
      <c r="L137" s="186"/>
      <c r="M137" s="186"/>
      <c r="N137" s="186"/>
      <c r="O137" s="186"/>
      <c r="P137" s="186"/>
    </row>
    <row r="138" spans="1:16" ht="15.75">
      <c r="A138" s="186"/>
      <c r="B138" s="1994" t="s">
        <v>14539</v>
      </c>
      <c r="C138" s="186"/>
      <c r="D138" s="186"/>
      <c r="E138" s="186"/>
      <c r="F138" s="186"/>
      <c r="G138" s="186"/>
      <c r="H138" s="186"/>
      <c r="I138" s="186"/>
      <c r="J138" s="186"/>
      <c r="K138" s="186"/>
      <c r="L138" s="186"/>
      <c r="M138" s="186"/>
      <c r="N138" s="186"/>
      <c r="O138" s="186"/>
      <c r="P138" s="186"/>
    </row>
    <row r="139" spans="1:16" ht="15.75">
      <c r="A139" s="186"/>
      <c r="B139" s="1994" t="s">
        <v>14540</v>
      </c>
      <c r="C139" s="186"/>
      <c r="D139" s="186"/>
      <c r="E139" s="186"/>
      <c r="F139" s="186"/>
      <c r="G139" s="186"/>
      <c r="H139" s="186"/>
      <c r="I139" s="186"/>
      <c r="J139" s="186"/>
      <c r="K139" s="186"/>
      <c r="L139" s="186"/>
      <c r="M139" s="186"/>
      <c r="N139" s="186"/>
      <c r="O139" s="186"/>
      <c r="P139" s="186"/>
    </row>
    <row r="140" spans="1:16" ht="15.75">
      <c r="A140" s="186"/>
      <c r="B140" s="186"/>
      <c r="C140" s="186"/>
      <c r="D140" s="186"/>
      <c r="E140" s="186"/>
      <c r="F140" s="186"/>
      <c r="G140" s="186"/>
      <c r="H140" s="186"/>
      <c r="I140" s="186"/>
      <c r="J140" s="186"/>
      <c r="K140" s="186"/>
      <c r="L140" s="188" t="s">
        <v>14541</v>
      </c>
      <c r="M140" s="186"/>
      <c r="N140" s="186"/>
      <c r="O140" s="186"/>
      <c r="P140" s="7917" t="str">
        <f>"Ligne "&amp;ROW()</f>
        <v>Ligne 140</v>
      </c>
    </row>
    <row r="141" spans="1:16">
      <c r="B141" s="7876"/>
      <c r="C141" s="7877"/>
      <c r="D141" s="7877"/>
      <c r="E141" s="7877"/>
      <c r="F141" s="7878"/>
      <c r="G141" s="7878"/>
      <c r="H141" s="7878"/>
      <c r="I141" s="7878"/>
      <c r="J141" s="7879"/>
      <c r="K141" s="186"/>
      <c r="L141" s="186" t="s">
        <v>14542</v>
      </c>
      <c r="M141" s="186"/>
      <c r="N141" s="186"/>
      <c r="O141" s="186"/>
      <c r="P141" s="186"/>
    </row>
    <row r="142" spans="1:16">
      <c r="B142" s="7880"/>
      <c r="C142" s="186"/>
      <c r="D142" s="186"/>
      <c r="E142" s="186"/>
      <c r="G142" s="7881" t="s">
        <v>10670</v>
      </c>
      <c r="J142" s="7882" t="s">
        <v>21</v>
      </c>
      <c r="K142" s="186"/>
      <c r="L142" s="186" t="s">
        <v>14543</v>
      </c>
      <c r="M142" s="186"/>
      <c r="N142" s="186"/>
      <c r="O142" s="186"/>
      <c r="P142" s="186"/>
    </row>
    <row r="143" spans="1:16">
      <c r="B143" s="7880"/>
      <c r="C143" s="186"/>
      <c r="D143" s="186"/>
      <c r="E143" s="186"/>
      <c r="J143" s="7882"/>
      <c r="K143" s="186"/>
      <c r="L143" s="186" t="s">
        <v>14668</v>
      </c>
      <c r="M143" s="186"/>
      <c r="N143" s="186"/>
      <c r="O143" s="186"/>
      <c r="P143" s="186"/>
    </row>
    <row r="144" spans="1:16">
      <c r="B144" s="7880"/>
      <c r="C144" s="186"/>
      <c r="D144" s="186"/>
      <c r="E144" s="186"/>
      <c r="G144" s="7881" t="s">
        <v>14437</v>
      </c>
      <c r="J144" s="7882" t="s">
        <v>21</v>
      </c>
      <c r="K144" s="186"/>
      <c r="L144" s="186" t="s">
        <v>14669</v>
      </c>
      <c r="M144" s="186"/>
      <c r="N144" s="186"/>
      <c r="O144" s="186"/>
      <c r="P144" s="186"/>
    </row>
    <row r="145" spans="2:17">
      <c r="B145" s="7880"/>
      <c r="C145" s="186"/>
      <c r="D145" s="186"/>
      <c r="E145" s="186"/>
      <c r="J145" s="7882"/>
      <c r="K145" s="186"/>
      <c r="L145" s="186" t="s">
        <v>14670</v>
      </c>
      <c r="M145" s="186"/>
      <c r="N145" s="186"/>
      <c r="O145" s="186"/>
      <c r="P145" s="186"/>
    </row>
    <row r="146" spans="2:17">
      <c r="B146" s="7880"/>
      <c r="C146" s="186"/>
      <c r="D146" s="186"/>
      <c r="E146" s="186"/>
      <c r="G146" s="7881" t="s">
        <v>14544</v>
      </c>
      <c r="J146" s="7882" t="s">
        <v>21</v>
      </c>
      <c r="K146" s="186"/>
      <c r="L146" s="186" t="s">
        <v>14671</v>
      </c>
      <c r="M146" s="186"/>
      <c r="N146" s="186"/>
      <c r="O146" s="186"/>
      <c r="P146" s="186"/>
    </row>
    <row r="147" spans="2:17">
      <c r="B147" s="7880"/>
      <c r="C147" s="186"/>
      <c r="D147" s="186"/>
      <c r="E147" s="186"/>
      <c r="J147" s="7882"/>
      <c r="K147" s="186"/>
      <c r="L147" s="186" t="s">
        <v>14545</v>
      </c>
      <c r="M147" s="186"/>
      <c r="N147" s="186"/>
      <c r="O147" s="186"/>
      <c r="P147" s="186"/>
    </row>
    <row r="148" spans="2:17">
      <c r="B148" s="7880"/>
      <c r="C148" s="186"/>
      <c r="D148" s="186"/>
      <c r="E148" s="186"/>
      <c r="J148" s="7882"/>
      <c r="K148" s="186"/>
      <c r="L148" s="7863" t="s">
        <v>14546</v>
      </c>
      <c r="M148" s="186" t="s">
        <v>14547</v>
      </c>
      <c r="N148" s="186"/>
      <c r="O148" s="186"/>
      <c r="P148" s="186"/>
    </row>
    <row r="149" spans="2:17">
      <c r="B149" s="7880"/>
      <c r="C149" s="186"/>
      <c r="D149" s="186"/>
      <c r="E149" s="186"/>
      <c r="J149" s="7882"/>
      <c r="K149" s="186"/>
      <c r="L149" s="186"/>
      <c r="M149" s="186"/>
      <c r="N149" s="186"/>
      <c r="O149" s="186"/>
      <c r="P149" s="186"/>
    </row>
    <row r="150" spans="2:17">
      <c r="B150" s="7883"/>
      <c r="C150" s="7884"/>
      <c r="D150" s="7884"/>
      <c r="E150" s="7884"/>
      <c r="F150" s="7885"/>
      <c r="G150" s="7885"/>
      <c r="H150" s="7885"/>
      <c r="I150" s="7885"/>
      <c r="J150" s="7886"/>
      <c r="K150" s="186"/>
      <c r="L150" s="7863"/>
      <c r="M150" s="7863"/>
      <c r="N150" s="7863"/>
      <c r="O150" s="7863"/>
      <c r="P150" s="186"/>
      <c r="Q150" s="7910" t="s">
        <v>14562</v>
      </c>
    </row>
    <row r="151" spans="2:17">
      <c r="B151" s="186"/>
      <c r="C151" s="186"/>
      <c r="D151" s="186"/>
      <c r="E151" s="186"/>
      <c r="F151" s="186"/>
      <c r="G151" s="186"/>
      <c r="H151" s="186"/>
      <c r="I151" s="186"/>
      <c r="J151" s="186"/>
      <c r="K151" s="186"/>
      <c r="L151" s="7863"/>
      <c r="M151" s="7863"/>
      <c r="N151" s="7863"/>
      <c r="O151" s="7863"/>
      <c r="P151" s="186"/>
      <c r="Q151" s="7911" t="s">
        <v>14563</v>
      </c>
    </row>
    <row r="152" spans="2:17" ht="18.75">
      <c r="B152" s="570" t="s">
        <v>14568</v>
      </c>
      <c r="C152" s="186"/>
      <c r="D152" s="186"/>
      <c r="E152" s="186"/>
      <c r="F152" s="186"/>
      <c r="G152" s="186"/>
      <c r="H152" s="186"/>
      <c r="I152" s="186"/>
      <c r="J152" s="186"/>
      <c r="K152" s="186"/>
      <c r="L152" s="7863"/>
      <c r="M152" s="7863"/>
      <c r="N152" s="7863"/>
      <c r="O152" s="7863"/>
      <c r="P152" s="186"/>
      <c r="Q152" s="7912" t="s">
        <v>14564</v>
      </c>
    </row>
    <row r="153" spans="2:17" ht="18.75">
      <c r="B153" s="2002" t="s">
        <v>14627</v>
      </c>
      <c r="C153" s="186"/>
      <c r="D153" s="186"/>
      <c r="E153" s="186"/>
      <c r="F153" s="186"/>
      <c r="G153" s="186"/>
      <c r="H153" s="186"/>
      <c r="I153" s="186"/>
      <c r="J153" s="186"/>
      <c r="K153" s="186"/>
      <c r="L153" s="7863"/>
      <c r="M153" s="7863"/>
      <c r="N153" s="7863"/>
      <c r="O153" s="7863"/>
      <c r="P153" s="186"/>
      <c r="Q153" s="7913"/>
    </row>
    <row r="154" spans="2:17" ht="18.75">
      <c r="B154" s="2002"/>
      <c r="C154" s="186"/>
      <c r="D154" s="186"/>
      <c r="E154" s="186"/>
      <c r="F154" s="186"/>
      <c r="G154" s="186"/>
      <c r="H154" s="186"/>
      <c r="I154" s="186"/>
      <c r="J154" s="186"/>
      <c r="K154" s="186"/>
      <c r="L154" s="7863"/>
      <c r="M154" s="7863"/>
      <c r="N154" s="7863"/>
      <c r="O154" s="7863"/>
      <c r="P154" s="186"/>
      <c r="Q154" s="7914" t="s">
        <v>14565</v>
      </c>
    </row>
    <row r="155" spans="2:17">
      <c r="B155" s="186"/>
      <c r="C155" s="186"/>
      <c r="D155" s="186"/>
      <c r="E155" s="186"/>
      <c r="F155" s="186"/>
      <c r="G155" s="186"/>
      <c r="H155" s="186"/>
      <c r="I155" s="186"/>
      <c r="J155" s="186"/>
      <c r="K155" s="186"/>
      <c r="L155" s="186"/>
      <c r="M155" s="186"/>
      <c r="N155" s="186"/>
      <c r="O155" s="186"/>
      <c r="P155" s="186"/>
      <c r="Q155" s="7915" t="s">
        <v>14566</v>
      </c>
    </row>
    <row r="156" spans="2:17">
      <c r="B156" s="7876"/>
      <c r="C156" s="7877"/>
      <c r="D156" s="7877"/>
      <c r="E156" s="7877"/>
      <c r="F156" s="7878"/>
      <c r="G156" s="7896"/>
      <c r="H156" s="7879"/>
      <c r="I156" s="186"/>
      <c r="J156" s="186"/>
      <c r="K156" s="186"/>
      <c r="L156" s="186"/>
      <c r="M156" s="186"/>
      <c r="N156" s="186"/>
      <c r="O156" s="186"/>
      <c r="P156" s="186"/>
      <c r="Q156" s="7916" t="s">
        <v>14567</v>
      </c>
    </row>
    <row r="157" spans="2:17">
      <c r="B157" s="7880"/>
      <c r="C157" s="186"/>
      <c r="D157" s="186"/>
      <c r="E157" s="186"/>
      <c r="G157" s="7895"/>
      <c r="H157" s="7882"/>
      <c r="I157" s="186"/>
      <c r="J157" s="186"/>
      <c r="K157" s="186"/>
      <c r="L157" s="186"/>
      <c r="M157" s="186"/>
      <c r="N157" s="186"/>
      <c r="O157" s="186"/>
      <c r="P157" s="186"/>
    </row>
    <row r="158" spans="2:17">
      <c r="B158" s="7880"/>
      <c r="C158" s="186"/>
      <c r="D158" s="186"/>
      <c r="E158" s="186"/>
      <c r="G158" s="7895"/>
      <c r="H158" s="7882"/>
      <c r="I158" s="186"/>
      <c r="J158" s="186"/>
      <c r="K158" s="186"/>
      <c r="L158" s="186"/>
      <c r="M158" s="186"/>
      <c r="N158" s="186"/>
      <c r="O158" s="186"/>
      <c r="P158" s="186"/>
    </row>
    <row r="159" spans="2:17">
      <c r="B159" s="7880"/>
      <c r="C159" s="186"/>
      <c r="D159" s="186"/>
      <c r="E159" s="186"/>
      <c r="G159" s="7898" t="s">
        <v>14650</v>
      </c>
      <c r="H159" s="7882"/>
      <c r="I159" s="186"/>
      <c r="J159" s="186"/>
      <c r="K159" s="186"/>
      <c r="L159" s="186"/>
      <c r="M159" s="186"/>
      <c r="N159" s="186"/>
      <c r="O159" s="186"/>
      <c r="P159" s="186"/>
    </row>
    <row r="160" spans="2:17">
      <c r="B160" s="7880"/>
      <c r="C160" s="186"/>
      <c r="D160" s="186"/>
      <c r="E160" s="186"/>
      <c r="G160" s="7899" t="s">
        <v>14649</v>
      </c>
      <c r="H160" s="7882"/>
      <c r="I160" s="186"/>
      <c r="J160" s="186"/>
      <c r="K160" s="186"/>
      <c r="L160" s="186"/>
      <c r="M160" s="186"/>
      <c r="N160" s="186"/>
      <c r="O160" s="186"/>
      <c r="P160" s="186"/>
    </row>
    <row r="161" spans="2:16">
      <c r="B161" s="7880"/>
      <c r="C161" s="186"/>
      <c r="D161" s="186"/>
      <c r="E161" s="186"/>
      <c r="G161" s="7900" t="s">
        <v>14648</v>
      </c>
      <c r="H161" s="7882"/>
      <c r="I161" s="186"/>
      <c r="J161" s="186"/>
      <c r="K161" s="186"/>
      <c r="L161" s="186"/>
      <c r="M161" s="186"/>
      <c r="N161" s="186"/>
      <c r="O161" s="186"/>
      <c r="P161" s="186"/>
    </row>
    <row r="162" spans="2:16">
      <c r="B162" s="7880"/>
      <c r="C162" s="186"/>
      <c r="D162" s="186"/>
      <c r="E162" s="186"/>
      <c r="G162" s="7901" t="s">
        <v>14647</v>
      </c>
      <c r="H162" s="7882"/>
      <c r="I162" s="186"/>
      <c r="J162" s="186"/>
      <c r="K162" s="186"/>
      <c r="L162" s="186"/>
      <c r="M162" s="186"/>
      <c r="N162" s="186"/>
      <c r="O162" s="186"/>
      <c r="P162" s="186"/>
    </row>
    <row r="163" spans="2:16">
      <c r="B163" s="7880"/>
      <c r="C163" s="186"/>
      <c r="D163" s="186"/>
      <c r="E163" s="186"/>
      <c r="G163" s="7895"/>
      <c r="H163" s="7882"/>
      <c r="I163" s="186"/>
      <c r="J163" s="186"/>
      <c r="K163" s="186"/>
      <c r="L163" s="186"/>
      <c r="M163" s="186"/>
      <c r="N163" s="186"/>
      <c r="O163" s="186"/>
      <c r="P163" s="186"/>
    </row>
    <row r="164" spans="2:16">
      <c r="B164" s="7880"/>
      <c r="C164" s="186"/>
      <c r="D164" s="186"/>
      <c r="E164" s="186"/>
      <c r="G164" s="2688" t="s">
        <v>14622</v>
      </c>
      <c r="H164" s="7882" t="s">
        <v>21</v>
      </c>
      <c r="I164" s="186"/>
      <c r="J164" s="186"/>
      <c r="K164" s="186"/>
      <c r="L164" s="186"/>
      <c r="M164" s="186"/>
      <c r="N164" s="186"/>
      <c r="O164" s="186"/>
      <c r="P164" s="186"/>
    </row>
    <row r="165" spans="2:16">
      <c r="B165" s="7883"/>
      <c r="C165" s="7884"/>
      <c r="D165" s="7884"/>
      <c r="E165" s="7884"/>
      <c r="F165" s="7885"/>
      <c r="G165" s="7885"/>
      <c r="H165" s="7886"/>
      <c r="I165" s="186"/>
      <c r="J165" s="186"/>
      <c r="K165" s="186"/>
      <c r="L165" s="186"/>
      <c r="M165" s="186"/>
      <c r="N165" s="186"/>
      <c r="O165" s="186"/>
      <c r="P165" s="186"/>
    </row>
    <row r="166" spans="2:16">
      <c r="I166" s="186"/>
      <c r="J166" s="186"/>
      <c r="K166" s="186"/>
      <c r="L166" s="186"/>
      <c r="M166" s="186"/>
      <c r="N166" s="186"/>
      <c r="O166" s="186"/>
      <c r="P166" s="186"/>
    </row>
    <row r="167" spans="2:16">
      <c r="B167" s="7876"/>
      <c r="C167" s="7877"/>
      <c r="D167" s="7877"/>
      <c r="E167" s="7877"/>
      <c r="F167" s="7878"/>
      <c r="G167" s="7896"/>
      <c r="H167" s="7879"/>
      <c r="I167" s="186"/>
      <c r="J167" s="186"/>
      <c r="K167" s="186"/>
      <c r="L167" s="186"/>
      <c r="M167" s="186"/>
      <c r="N167" s="186"/>
      <c r="O167" s="186"/>
      <c r="P167" s="186"/>
    </row>
    <row r="168" spans="2:16">
      <c r="B168" s="7880"/>
      <c r="C168" s="186"/>
      <c r="D168" s="186"/>
      <c r="E168" s="186"/>
      <c r="G168" s="7895"/>
      <c r="H168" s="7882"/>
      <c r="I168" s="186"/>
      <c r="J168" s="186"/>
      <c r="K168" s="186"/>
      <c r="L168" s="186"/>
      <c r="M168" s="186"/>
      <c r="N168" s="186"/>
      <c r="O168" s="186"/>
      <c r="P168" s="186"/>
    </row>
    <row r="169" spans="2:16">
      <c r="B169" s="7880"/>
      <c r="C169" s="186"/>
      <c r="D169" s="186"/>
      <c r="E169" s="186"/>
      <c r="G169" s="7895"/>
      <c r="H169" s="7882"/>
      <c r="I169" s="186"/>
      <c r="J169" s="186"/>
      <c r="K169" s="186"/>
      <c r="L169" s="186"/>
      <c r="M169" s="186"/>
      <c r="N169" s="186"/>
      <c r="O169" s="186"/>
      <c r="P169" s="186"/>
    </row>
    <row r="170" spans="2:16">
      <c r="B170" s="7880"/>
      <c r="C170" s="186"/>
      <c r="D170" s="186"/>
      <c r="E170" s="186"/>
      <c r="G170" s="7902" t="s">
        <v>14646</v>
      </c>
      <c r="H170" s="7882"/>
      <c r="I170" s="186"/>
      <c r="J170" s="186"/>
      <c r="K170" s="186"/>
      <c r="L170" s="186"/>
      <c r="M170" s="186"/>
      <c r="N170" s="186"/>
      <c r="O170" s="186"/>
      <c r="P170" s="186"/>
    </row>
    <row r="171" spans="2:16">
      <c r="B171" s="7880"/>
      <c r="C171" s="186"/>
      <c r="D171" s="186"/>
      <c r="E171" s="186"/>
      <c r="G171" s="7903" t="s">
        <v>14645</v>
      </c>
      <c r="H171" s="7882"/>
      <c r="I171" s="186"/>
      <c r="J171" s="186"/>
      <c r="K171" s="186"/>
      <c r="L171" s="186"/>
      <c r="M171" s="186"/>
      <c r="N171" s="186"/>
      <c r="O171" s="186"/>
      <c r="P171" s="186"/>
    </row>
    <row r="172" spans="2:16">
      <c r="B172" s="7880"/>
      <c r="C172" s="186"/>
      <c r="D172" s="186"/>
      <c r="E172" s="186"/>
      <c r="G172" s="7905" t="s">
        <v>14644</v>
      </c>
      <c r="H172" s="7882"/>
      <c r="I172" s="186"/>
      <c r="J172" s="186"/>
      <c r="K172" s="186"/>
      <c r="L172" s="186"/>
      <c r="M172" s="186"/>
      <c r="N172" s="186"/>
      <c r="O172" s="186"/>
      <c r="P172" s="186"/>
    </row>
    <row r="173" spans="2:16">
      <c r="B173" s="7880"/>
      <c r="C173" s="186"/>
      <c r="D173" s="186"/>
      <c r="E173" s="186"/>
      <c r="G173" s="7904" t="s">
        <v>14643</v>
      </c>
      <c r="H173" s="7882"/>
      <c r="I173" s="186"/>
      <c r="J173" s="186"/>
      <c r="K173" s="186"/>
      <c r="L173" s="186"/>
      <c r="M173" s="186"/>
      <c r="N173" s="186"/>
      <c r="O173" s="186"/>
      <c r="P173" s="186"/>
    </row>
    <row r="174" spans="2:16">
      <c r="B174" s="7880"/>
      <c r="C174" s="186"/>
      <c r="D174" s="186"/>
      <c r="E174" s="186"/>
      <c r="G174" s="7895"/>
      <c r="H174" s="7882"/>
      <c r="I174" s="186"/>
      <c r="J174" s="186"/>
      <c r="K174" s="186"/>
      <c r="L174" s="186"/>
      <c r="M174" s="186"/>
      <c r="N174" s="186"/>
      <c r="O174" s="186"/>
      <c r="P174" s="186"/>
    </row>
    <row r="175" spans="2:16">
      <c r="B175" s="7880"/>
      <c r="C175" s="186"/>
      <c r="D175" s="186"/>
      <c r="E175" s="186"/>
      <c r="G175" s="2688" t="s">
        <v>14623</v>
      </c>
      <c r="H175" s="7882" t="s">
        <v>21</v>
      </c>
      <c r="I175" s="186"/>
      <c r="J175" s="186"/>
      <c r="K175" s="186"/>
      <c r="L175" s="186"/>
      <c r="M175" s="186"/>
      <c r="N175" s="186"/>
      <c r="O175" s="186"/>
      <c r="P175" s="186"/>
    </row>
    <row r="176" spans="2:16">
      <c r="B176" s="7883"/>
      <c r="C176" s="7884"/>
      <c r="D176" s="7884"/>
      <c r="E176" s="7884"/>
      <c r="F176" s="7885"/>
      <c r="G176" s="7885"/>
      <c r="H176" s="7886"/>
      <c r="I176" s="186"/>
      <c r="J176" s="186"/>
      <c r="K176" s="186"/>
      <c r="L176" s="186"/>
      <c r="M176" s="186"/>
      <c r="N176" s="186"/>
      <c r="O176" s="186"/>
      <c r="P176" s="186"/>
    </row>
    <row r="177" spans="2:16">
      <c r="I177" s="186"/>
      <c r="J177" s="186"/>
      <c r="K177" s="186"/>
      <c r="L177" s="186"/>
      <c r="M177" s="186"/>
      <c r="N177" s="186"/>
      <c r="O177" s="186"/>
      <c r="P177" s="186"/>
    </row>
    <row r="178" spans="2:16">
      <c r="B178" s="7876"/>
      <c r="C178" s="7877"/>
      <c r="D178" s="7877"/>
      <c r="E178" s="7877"/>
      <c r="F178" s="7878"/>
      <c r="G178" s="7896"/>
      <c r="H178" s="7879"/>
      <c r="I178" s="186"/>
      <c r="J178" s="186"/>
      <c r="K178" s="186"/>
      <c r="L178" s="186"/>
      <c r="M178" s="186"/>
      <c r="N178" s="186"/>
      <c r="O178" s="186"/>
      <c r="P178" s="186"/>
    </row>
    <row r="179" spans="2:16" ht="15.75">
      <c r="B179" s="7880"/>
      <c r="C179" s="186"/>
      <c r="D179" s="186"/>
      <c r="E179" s="186"/>
      <c r="G179" s="7895"/>
      <c r="H179" s="7882"/>
      <c r="I179" s="186"/>
      <c r="J179" s="186"/>
      <c r="K179" s="186"/>
      <c r="L179" s="7894" t="s">
        <v>14582</v>
      </c>
      <c r="M179" s="186"/>
      <c r="N179" s="186"/>
      <c r="O179" s="186"/>
      <c r="P179" s="186"/>
    </row>
    <row r="180" spans="2:16" ht="15.75">
      <c r="B180" s="7880"/>
      <c r="C180" s="186"/>
      <c r="D180" s="186"/>
      <c r="E180" s="186"/>
      <c r="G180" s="7895"/>
      <c r="H180" s="7882"/>
      <c r="I180" s="186"/>
      <c r="J180" s="186"/>
      <c r="K180" s="186"/>
      <c r="L180" s="203" t="s">
        <v>14608</v>
      </c>
      <c r="M180" s="186"/>
      <c r="N180" s="186"/>
      <c r="O180" s="186"/>
      <c r="P180" s="186"/>
    </row>
    <row r="181" spans="2:16" ht="15.75">
      <c r="B181" s="7880"/>
      <c r="C181" s="186"/>
      <c r="D181" s="186"/>
      <c r="E181" s="186"/>
      <c r="G181" s="7906" t="s">
        <v>14642</v>
      </c>
      <c r="H181" s="7882"/>
      <c r="I181" s="186"/>
      <c r="J181" s="186"/>
      <c r="K181" s="186"/>
      <c r="L181" s="7894" t="s">
        <v>14609</v>
      </c>
      <c r="M181" s="186"/>
      <c r="N181" s="186"/>
      <c r="O181" s="186"/>
      <c r="P181" s="186"/>
    </row>
    <row r="182" spans="2:16" ht="15.75">
      <c r="B182" s="7880"/>
      <c r="C182" s="186"/>
      <c r="D182" s="186"/>
      <c r="E182" s="186"/>
      <c r="G182" s="7907" t="s">
        <v>14641</v>
      </c>
      <c r="H182" s="7882"/>
      <c r="I182" s="186"/>
      <c r="J182" s="186"/>
      <c r="K182" s="186"/>
      <c r="L182" s="1994" t="s">
        <v>14583</v>
      </c>
      <c r="M182" s="186"/>
      <c r="N182" s="186"/>
      <c r="O182" s="186"/>
      <c r="P182" s="186"/>
    </row>
    <row r="183" spans="2:16">
      <c r="B183" s="7880"/>
      <c r="C183" s="186"/>
      <c r="D183" s="186"/>
      <c r="E183" s="186"/>
      <c r="G183" s="7908" t="s">
        <v>14640</v>
      </c>
      <c r="H183" s="7882"/>
      <c r="I183" s="186"/>
      <c r="J183" s="186"/>
      <c r="K183" s="186"/>
      <c r="L183" s="186"/>
      <c r="M183" s="186"/>
      <c r="N183" s="186"/>
      <c r="O183" s="186"/>
      <c r="P183" s="186"/>
    </row>
    <row r="184" spans="2:16">
      <c r="B184" s="7880"/>
      <c r="C184" s="186"/>
      <c r="D184" s="186"/>
      <c r="E184" s="186"/>
      <c r="G184" s="7909" t="s">
        <v>14639</v>
      </c>
      <c r="H184" s="7882"/>
      <c r="I184" s="186"/>
      <c r="J184" s="186"/>
      <c r="K184" s="186"/>
      <c r="L184" s="186"/>
      <c r="M184" s="186"/>
      <c r="N184" s="186"/>
      <c r="O184" s="186"/>
      <c r="P184" s="186"/>
    </row>
    <row r="185" spans="2:16">
      <c r="B185" s="7880"/>
      <c r="C185" s="186"/>
      <c r="D185" s="186"/>
      <c r="E185" s="186"/>
      <c r="G185" s="7895"/>
      <c r="H185" s="7882"/>
      <c r="I185" s="186"/>
      <c r="J185" s="186"/>
      <c r="K185" s="186"/>
      <c r="L185" s="186"/>
      <c r="M185" s="186"/>
      <c r="N185" s="186"/>
      <c r="O185" s="186"/>
      <c r="P185" s="186"/>
    </row>
    <row r="186" spans="2:16">
      <c r="B186" s="7880"/>
      <c r="C186" s="186"/>
      <c r="D186" s="186"/>
      <c r="E186" s="186"/>
      <c r="H186" s="7882"/>
      <c r="I186" s="186"/>
      <c r="J186" s="186"/>
      <c r="K186" s="186"/>
      <c r="L186" s="186"/>
      <c r="M186" s="186"/>
      <c r="N186" s="186"/>
      <c r="O186" s="186"/>
      <c r="P186" s="186"/>
    </row>
    <row r="187" spans="2:16">
      <c r="B187" s="7883"/>
      <c r="C187" s="7884"/>
      <c r="D187" s="7884"/>
      <c r="E187" s="7884"/>
      <c r="F187" s="7885"/>
      <c r="G187" s="7885"/>
      <c r="H187" s="7886"/>
      <c r="I187" s="186"/>
      <c r="J187" s="186"/>
      <c r="K187" s="186"/>
      <c r="L187" s="186"/>
      <c r="M187" s="186"/>
      <c r="N187" s="186"/>
      <c r="O187" s="186"/>
      <c r="P187" s="186"/>
    </row>
    <row r="188" spans="2:16">
      <c r="I188" s="186"/>
      <c r="J188" s="186"/>
      <c r="K188" s="186"/>
      <c r="L188" s="186"/>
      <c r="M188" s="186"/>
      <c r="N188" s="186"/>
      <c r="O188" s="186"/>
      <c r="P188" s="186"/>
    </row>
    <row r="189" spans="2:16">
      <c r="B189" s="7876"/>
      <c r="C189" s="7877"/>
      <c r="D189" s="7877"/>
      <c r="E189" s="7877"/>
      <c r="F189" s="7878"/>
      <c r="G189" s="7896"/>
      <c r="H189" s="7879"/>
      <c r="I189" s="186"/>
      <c r="J189" s="186"/>
      <c r="K189" s="186"/>
      <c r="L189" s="186"/>
      <c r="M189" s="186"/>
      <c r="N189" s="186"/>
      <c r="O189" s="186"/>
      <c r="P189" s="186"/>
    </row>
    <row r="190" spans="2:16">
      <c r="B190" s="7880"/>
      <c r="C190" s="186"/>
      <c r="D190" s="186"/>
      <c r="E190" s="186"/>
      <c r="G190" s="7895"/>
      <c r="H190" s="7882"/>
      <c r="I190" s="186"/>
      <c r="J190" s="186"/>
      <c r="K190" s="186"/>
      <c r="L190" s="186"/>
      <c r="M190" s="186"/>
      <c r="N190" s="186"/>
      <c r="O190" s="186"/>
      <c r="P190" s="186"/>
    </row>
    <row r="191" spans="2:16">
      <c r="B191" s="7880"/>
      <c r="C191" s="186"/>
      <c r="D191" s="186"/>
      <c r="E191" s="186"/>
      <c r="G191" s="7895"/>
      <c r="H191" s="7882"/>
      <c r="I191" s="186"/>
      <c r="J191" s="186"/>
      <c r="K191" s="186"/>
      <c r="L191" s="186"/>
      <c r="M191" s="186"/>
      <c r="N191" s="186"/>
      <c r="O191" s="186"/>
      <c r="P191" s="186"/>
    </row>
    <row r="192" spans="2:16">
      <c r="B192" s="7880"/>
      <c r="C192" s="186"/>
      <c r="D192" s="186"/>
      <c r="E192" s="186"/>
      <c r="G192" s="7895" t="s">
        <v>14638</v>
      </c>
      <c r="H192" s="7882"/>
      <c r="I192" s="186"/>
      <c r="J192" s="186"/>
      <c r="K192" s="186"/>
      <c r="L192" s="186"/>
      <c r="M192" s="186"/>
      <c r="N192" s="186"/>
      <c r="O192" s="186"/>
      <c r="P192" s="186"/>
    </row>
    <row r="193" spans="2:16">
      <c r="B193" s="7880"/>
      <c r="C193" s="186"/>
      <c r="D193" s="186"/>
      <c r="E193" s="186"/>
      <c r="G193" s="7895" t="s">
        <v>14637</v>
      </c>
      <c r="H193" s="7882"/>
      <c r="I193" s="186"/>
      <c r="J193" s="186"/>
      <c r="K193" s="186"/>
      <c r="L193" s="186"/>
      <c r="M193" s="186"/>
      <c r="N193" s="186"/>
      <c r="O193" s="186"/>
      <c r="P193" s="186"/>
    </row>
    <row r="194" spans="2:16">
      <c r="B194" s="7880"/>
      <c r="C194" s="186"/>
      <c r="D194" s="186"/>
      <c r="E194" s="186"/>
      <c r="G194" s="7895" t="s">
        <v>14636</v>
      </c>
      <c r="H194" s="7882"/>
      <c r="I194" s="186"/>
      <c r="J194" s="186"/>
      <c r="K194" s="186"/>
      <c r="L194" s="186"/>
      <c r="M194" s="186"/>
      <c r="N194" s="186"/>
      <c r="O194" s="186"/>
      <c r="P194" s="186"/>
    </row>
    <row r="195" spans="2:16">
      <c r="B195" s="7880"/>
      <c r="C195" s="186"/>
      <c r="D195" s="186"/>
      <c r="E195" s="186"/>
      <c r="G195" s="7895" t="s">
        <v>14635</v>
      </c>
      <c r="H195" s="7882"/>
      <c r="I195" s="186"/>
      <c r="J195" s="186"/>
      <c r="K195" s="186"/>
      <c r="L195" s="186"/>
      <c r="M195" s="186"/>
      <c r="N195" s="186"/>
      <c r="O195" s="186"/>
      <c r="P195" s="186"/>
    </row>
    <row r="196" spans="2:16">
      <c r="B196" s="7880"/>
      <c r="C196" s="186"/>
      <c r="D196" s="186"/>
      <c r="E196" s="186"/>
      <c r="G196" s="7895"/>
      <c r="H196" s="7882"/>
      <c r="I196" s="186"/>
      <c r="J196" s="186"/>
      <c r="K196" s="186"/>
      <c r="L196" s="186"/>
      <c r="M196" s="186"/>
      <c r="N196" s="186"/>
      <c r="O196" s="186"/>
      <c r="P196" s="186"/>
    </row>
    <row r="197" spans="2:16">
      <c r="B197" s="7880"/>
      <c r="C197" s="186"/>
      <c r="D197" s="186"/>
      <c r="E197" s="186"/>
      <c r="G197" s="2688" t="s">
        <v>14624</v>
      </c>
      <c r="H197" s="7882" t="s">
        <v>21</v>
      </c>
      <c r="I197" s="186"/>
      <c r="J197" s="186"/>
      <c r="K197" s="186"/>
      <c r="L197" s="186"/>
      <c r="M197" s="186"/>
      <c r="N197" s="186"/>
      <c r="O197" s="186"/>
      <c r="P197" s="186"/>
    </row>
    <row r="198" spans="2:16">
      <c r="B198" s="7883"/>
      <c r="C198" s="7884"/>
      <c r="D198" s="7884"/>
      <c r="E198" s="7884"/>
      <c r="F198" s="7885"/>
      <c r="G198" s="7885"/>
      <c r="H198" s="7886"/>
      <c r="I198" s="186"/>
      <c r="J198" s="186"/>
      <c r="K198" s="186"/>
      <c r="L198" s="186"/>
      <c r="M198" s="186"/>
      <c r="N198" s="186"/>
      <c r="O198" s="186"/>
      <c r="P198" s="186"/>
    </row>
    <row r="199" spans="2:16">
      <c r="I199" s="186"/>
      <c r="J199" s="186"/>
      <c r="K199" s="186"/>
      <c r="L199" s="186"/>
      <c r="M199" s="186"/>
      <c r="N199" s="186"/>
      <c r="O199" s="186"/>
      <c r="P199" s="186"/>
    </row>
    <row r="200" spans="2:16">
      <c r="B200" s="7876"/>
      <c r="C200" s="7877"/>
      <c r="D200" s="7877"/>
      <c r="E200" s="7877"/>
      <c r="F200" s="7878"/>
      <c r="G200" s="7896"/>
      <c r="H200" s="7879"/>
      <c r="I200" s="186"/>
      <c r="J200" s="186"/>
      <c r="K200" s="186"/>
      <c r="L200" s="186"/>
      <c r="M200" s="186"/>
      <c r="N200" s="186"/>
      <c r="O200" s="186"/>
      <c r="P200" s="186"/>
    </row>
    <row r="201" spans="2:16">
      <c r="B201" s="7880"/>
      <c r="C201" s="186"/>
      <c r="D201" s="186"/>
      <c r="E201" s="186"/>
      <c r="G201" s="7895"/>
      <c r="H201" s="7882"/>
      <c r="I201" s="186"/>
      <c r="J201" s="186"/>
      <c r="K201" s="186"/>
      <c r="L201" s="186"/>
      <c r="M201" s="186"/>
      <c r="N201" s="186"/>
      <c r="O201" s="186"/>
      <c r="P201" s="186"/>
    </row>
    <row r="202" spans="2:16">
      <c r="B202" s="7880"/>
      <c r="C202" s="186"/>
      <c r="D202" s="186"/>
      <c r="E202" s="186"/>
      <c r="G202" s="7895"/>
      <c r="H202" s="7882"/>
      <c r="I202" s="186"/>
      <c r="J202" s="186"/>
      <c r="K202" s="186"/>
      <c r="L202" s="186"/>
      <c r="M202" s="186"/>
      <c r="N202" s="186"/>
      <c r="O202" s="186"/>
      <c r="P202" s="186"/>
    </row>
    <row r="203" spans="2:16">
      <c r="B203" s="7880"/>
      <c r="C203" s="186"/>
      <c r="D203" s="186"/>
      <c r="E203" s="186"/>
      <c r="G203" s="7895" t="s">
        <v>14634</v>
      </c>
      <c r="H203" s="7882"/>
      <c r="I203" s="186"/>
      <c r="J203" s="186"/>
      <c r="K203" s="186"/>
      <c r="L203" s="186"/>
      <c r="M203" s="186"/>
      <c r="N203" s="186"/>
      <c r="O203" s="186"/>
      <c r="P203" s="186"/>
    </row>
    <row r="204" spans="2:16">
      <c r="B204" s="7880"/>
      <c r="C204" s="186"/>
      <c r="D204" s="186"/>
      <c r="E204" s="186"/>
      <c r="G204" s="7895" t="s">
        <v>14633</v>
      </c>
      <c r="H204" s="7882"/>
      <c r="I204" s="186"/>
      <c r="J204" s="186"/>
      <c r="K204" s="186"/>
      <c r="L204" s="186"/>
      <c r="M204" s="186"/>
      <c r="N204" s="186"/>
      <c r="O204" s="186"/>
      <c r="P204" s="186"/>
    </row>
    <row r="205" spans="2:16">
      <c r="B205" s="7880"/>
      <c r="C205" s="186"/>
      <c r="D205" s="186"/>
      <c r="E205" s="186"/>
      <c r="G205" s="7895" t="s">
        <v>14632</v>
      </c>
      <c r="H205" s="7882"/>
      <c r="I205" s="186"/>
      <c r="J205" s="186"/>
      <c r="K205" s="186"/>
      <c r="L205" s="186"/>
      <c r="M205" s="186"/>
      <c r="N205" s="186"/>
      <c r="O205" s="186"/>
      <c r="P205" s="186"/>
    </row>
    <row r="206" spans="2:16">
      <c r="B206" s="7880"/>
      <c r="C206" s="186"/>
      <c r="D206" s="186"/>
      <c r="E206" s="186"/>
      <c r="G206" s="7895" t="s">
        <v>14631</v>
      </c>
      <c r="H206" s="7882"/>
      <c r="I206" s="186"/>
      <c r="J206" s="186"/>
      <c r="K206" s="186"/>
      <c r="L206" s="186"/>
      <c r="M206" s="186"/>
      <c r="N206" s="186"/>
      <c r="O206" s="186"/>
      <c r="P206" s="186"/>
    </row>
    <row r="207" spans="2:16">
      <c r="B207" s="7880"/>
      <c r="C207" s="186"/>
      <c r="D207" s="186"/>
      <c r="E207" s="186"/>
      <c r="G207" s="7895"/>
      <c r="H207" s="7882"/>
      <c r="I207" s="186"/>
      <c r="J207" s="186"/>
      <c r="K207" s="186"/>
      <c r="L207" s="186"/>
      <c r="M207" s="186"/>
      <c r="N207" s="186"/>
      <c r="O207" s="186"/>
      <c r="P207" s="186"/>
    </row>
    <row r="208" spans="2:16">
      <c r="B208" s="7880"/>
      <c r="C208" s="186"/>
      <c r="D208" s="186"/>
      <c r="E208" s="186"/>
      <c r="G208" s="2688" t="s">
        <v>14625</v>
      </c>
      <c r="H208" s="7882" t="s">
        <v>21</v>
      </c>
      <c r="I208" s="186"/>
      <c r="J208" s="186"/>
      <c r="K208" s="186"/>
      <c r="L208" s="186"/>
      <c r="M208" s="186"/>
      <c r="N208" s="186"/>
      <c r="O208" s="186"/>
      <c r="P208" s="186"/>
    </row>
    <row r="209" spans="2:16">
      <c r="B209" s="7883"/>
      <c r="C209" s="7884"/>
      <c r="D209" s="7884"/>
      <c r="E209" s="7884"/>
      <c r="F209" s="7885"/>
      <c r="G209" s="7885"/>
      <c r="H209" s="7886"/>
      <c r="I209" s="186"/>
      <c r="J209" s="186"/>
      <c r="K209" s="186"/>
      <c r="L209" s="186"/>
      <c r="M209" s="186"/>
      <c r="N209" s="186"/>
      <c r="O209" s="186"/>
      <c r="P209" s="186"/>
    </row>
    <row r="210" spans="2:16">
      <c r="I210" s="186"/>
      <c r="J210" s="186"/>
      <c r="K210" s="186"/>
      <c r="L210" s="186"/>
      <c r="M210" s="186"/>
      <c r="N210" s="186"/>
      <c r="O210" s="186"/>
      <c r="P210" s="186"/>
    </row>
    <row r="211" spans="2:16">
      <c r="B211" s="7876"/>
      <c r="C211" s="7877"/>
      <c r="D211" s="7877"/>
      <c r="E211" s="7877"/>
      <c r="F211" s="7878"/>
      <c r="G211" s="7896"/>
      <c r="H211" s="7879"/>
      <c r="I211" s="186"/>
      <c r="J211" s="186"/>
      <c r="K211" s="186"/>
      <c r="L211" s="186"/>
      <c r="M211" s="186"/>
      <c r="N211" s="186"/>
      <c r="O211" s="186"/>
      <c r="P211" s="186"/>
    </row>
    <row r="212" spans="2:16">
      <c r="B212" s="7880"/>
      <c r="C212" s="186"/>
      <c r="D212" s="186"/>
      <c r="E212" s="186"/>
      <c r="G212" s="7895"/>
      <c r="H212" s="7882"/>
      <c r="I212" s="186"/>
      <c r="J212" s="186"/>
      <c r="K212" s="186"/>
      <c r="L212" s="186"/>
      <c r="M212" s="186"/>
      <c r="N212" s="186"/>
      <c r="O212" s="186"/>
      <c r="P212" s="186"/>
    </row>
    <row r="213" spans="2:16">
      <c r="B213" s="7880"/>
      <c r="C213" s="186"/>
      <c r="D213" s="186"/>
      <c r="E213" s="186"/>
      <c r="G213" s="7895"/>
      <c r="H213" s="7882"/>
      <c r="I213" s="186"/>
      <c r="J213" s="186"/>
      <c r="K213" s="186"/>
      <c r="L213" s="186"/>
      <c r="M213" s="186"/>
      <c r="N213" s="186"/>
      <c r="O213" s="186"/>
      <c r="P213" s="186"/>
    </row>
    <row r="214" spans="2:16">
      <c r="B214" s="7880"/>
      <c r="C214" s="186"/>
      <c r="D214" s="186"/>
      <c r="E214" s="186"/>
      <c r="G214" s="7895" t="s">
        <v>14651</v>
      </c>
      <c r="H214" s="7882"/>
      <c r="I214" s="186"/>
      <c r="J214" s="186"/>
      <c r="K214" s="186"/>
      <c r="L214" s="186"/>
      <c r="M214" s="186"/>
      <c r="N214" s="186"/>
      <c r="O214" s="186"/>
      <c r="P214" s="186"/>
    </row>
    <row r="215" spans="2:16">
      <c r="B215" s="7880"/>
      <c r="C215" s="186"/>
      <c r="D215" s="186"/>
      <c r="E215" s="186"/>
      <c r="G215" s="7895" t="s">
        <v>14628</v>
      </c>
      <c r="H215" s="7882"/>
      <c r="I215" s="186"/>
      <c r="J215" s="186"/>
      <c r="K215" s="186"/>
      <c r="L215" s="186"/>
      <c r="M215" s="186"/>
      <c r="N215" s="186"/>
      <c r="O215" s="186"/>
      <c r="P215" s="186"/>
    </row>
    <row r="216" spans="2:16">
      <c r="B216" s="7880"/>
      <c r="C216" s="186"/>
      <c r="D216" s="186"/>
      <c r="E216" s="186"/>
      <c r="G216" s="7895" t="s">
        <v>14629</v>
      </c>
      <c r="H216" s="7882"/>
      <c r="I216" s="186"/>
      <c r="J216" s="186"/>
      <c r="K216" s="186"/>
      <c r="L216" s="186"/>
      <c r="M216" s="186"/>
      <c r="N216" s="186"/>
      <c r="O216" s="186"/>
      <c r="P216" s="186"/>
    </row>
    <row r="217" spans="2:16">
      <c r="B217" s="7880"/>
      <c r="C217" s="186"/>
      <c r="D217" s="186"/>
      <c r="E217" s="186"/>
      <c r="G217" s="7895" t="s">
        <v>14630</v>
      </c>
      <c r="H217" s="7882"/>
      <c r="J217" s="186"/>
      <c r="K217" s="186"/>
      <c r="L217" s="186"/>
      <c r="M217" s="186"/>
      <c r="N217" s="186"/>
      <c r="O217" s="186"/>
      <c r="P217" s="186"/>
    </row>
    <row r="218" spans="2:16">
      <c r="B218" s="7880"/>
      <c r="C218" s="186"/>
      <c r="D218" s="186"/>
      <c r="E218" s="186"/>
      <c r="G218" s="7895"/>
      <c r="H218" s="7882"/>
      <c r="J218" s="186"/>
      <c r="K218" s="186"/>
      <c r="L218" s="186"/>
      <c r="M218" s="186"/>
      <c r="N218" s="186"/>
      <c r="O218" s="186"/>
      <c r="P218" s="186"/>
    </row>
    <row r="219" spans="2:16">
      <c r="B219" s="7880"/>
      <c r="C219" s="186"/>
      <c r="D219" s="186"/>
      <c r="E219" s="186"/>
      <c r="H219" s="7882"/>
      <c r="J219" s="186"/>
      <c r="K219" s="186"/>
      <c r="L219" s="186"/>
      <c r="M219" s="186"/>
      <c r="N219" s="186"/>
      <c r="O219" s="186"/>
      <c r="P219" s="186"/>
    </row>
    <row r="220" spans="2:16">
      <c r="B220" s="7883"/>
      <c r="C220" s="7884"/>
      <c r="D220" s="7884"/>
      <c r="E220" s="7884"/>
      <c r="F220" s="7885"/>
      <c r="G220" s="7885"/>
      <c r="H220" s="7886"/>
      <c r="J220" s="186"/>
      <c r="K220" s="186"/>
      <c r="L220" s="186"/>
      <c r="M220" s="186"/>
      <c r="N220" s="186"/>
      <c r="O220" s="186"/>
      <c r="P220" s="186"/>
    </row>
    <row r="221" spans="2:16">
      <c r="J221" s="186"/>
      <c r="K221" s="186"/>
      <c r="L221" s="186"/>
      <c r="M221" s="186"/>
      <c r="N221" s="186"/>
      <c r="O221" s="186"/>
      <c r="P221" s="186"/>
    </row>
    <row r="222" spans="2:16">
      <c r="B222" s="7876"/>
      <c r="C222" s="7877"/>
      <c r="D222" s="7877"/>
      <c r="E222" s="7877"/>
      <c r="F222" s="7878"/>
      <c r="G222" s="7878"/>
      <c r="H222" s="7879"/>
      <c r="J222" s="186"/>
      <c r="K222" s="186"/>
      <c r="L222" s="186"/>
      <c r="M222" s="186"/>
      <c r="N222" s="186"/>
      <c r="O222" s="186"/>
      <c r="P222" s="186"/>
    </row>
    <row r="223" spans="2:16">
      <c r="B223" s="7880"/>
      <c r="C223" s="186"/>
      <c r="D223" s="186"/>
      <c r="E223" s="186"/>
      <c r="H223" s="7882"/>
      <c r="J223" s="186"/>
      <c r="K223" s="186"/>
      <c r="L223" s="186"/>
      <c r="M223" s="186"/>
      <c r="N223" s="186"/>
      <c r="O223" s="186"/>
      <c r="P223" s="186"/>
    </row>
    <row r="224" spans="2:16">
      <c r="B224" s="7880"/>
      <c r="C224" s="186"/>
      <c r="D224" s="186"/>
      <c r="E224" s="186"/>
      <c r="H224" s="7882"/>
      <c r="K224" s="186"/>
      <c r="L224" s="186"/>
      <c r="M224" s="186"/>
      <c r="N224" s="186"/>
      <c r="O224" s="186"/>
      <c r="P224" s="186"/>
    </row>
    <row r="225" spans="2:16">
      <c r="B225" s="7880"/>
      <c r="C225" s="186"/>
      <c r="D225" s="186"/>
      <c r="E225" s="186"/>
      <c r="G225" s="7887" t="s">
        <v>14554</v>
      </c>
      <c r="H225" s="7882"/>
      <c r="K225" s="186"/>
      <c r="L225" s="186"/>
      <c r="M225" s="186"/>
      <c r="N225" s="186"/>
      <c r="O225" s="186"/>
      <c r="P225" s="186"/>
    </row>
    <row r="226" spans="2:16">
      <c r="B226" s="7880"/>
      <c r="C226" s="186"/>
      <c r="D226" s="186"/>
      <c r="E226" s="186"/>
      <c r="G226" s="7864" t="s">
        <v>14556</v>
      </c>
      <c r="H226" s="7882"/>
      <c r="K226" s="186"/>
      <c r="L226" s="186"/>
      <c r="M226" s="186"/>
      <c r="N226" s="186"/>
      <c r="O226" s="186"/>
      <c r="P226" s="186"/>
    </row>
    <row r="227" spans="2:16">
      <c r="B227" s="7880"/>
      <c r="C227" s="186"/>
      <c r="D227" s="186"/>
      <c r="E227" s="186"/>
      <c r="G227" s="7865" t="s">
        <v>14558</v>
      </c>
      <c r="H227" s="7882"/>
      <c r="K227" s="186"/>
      <c r="L227" s="186"/>
      <c r="M227" s="186"/>
      <c r="N227" s="186"/>
      <c r="O227" s="186"/>
      <c r="P227" s="186"/>
    </row>
    <row r="228" spans="2:16">
      <c r="B228" s="7880"/>
      <c r="C228" s="186"/>
      <c r="D228" s="186"/>
      <c r="E228" s="186"/>
      <c r="G228" s="7866" t="s">
        <v>14560</v>
      </c>
      <c r="H228" s="7882"/>
      <c r="K228" s="186"/>
      <c r="L228" s="186"/>
      <c r="M228" s="186"/>
      <c r="N228" s="186"/>
      <c r="O228" s="186"/>
      <c r="P228" s="186"/>
    </row>
    <row r="229" spans="2:16">
      <c r="B229" s="7880"/>
      <c r="C229" s="186"/>
      <c r="D229" s="186"/>
      <c r="E229" s="186"/>
      <c r="G229" s="7867" t="s">
        <v>14561</v>
      </c>
      <c r="H229" s="7882"/>
      <c r="K229" s="186"/>
      <c r="L229" s="186"/>
      <c r="M229" s="186"/>
      <c r="N229" s="186"/>
      <c r="O229" s="186"/>
      <c r="P229" s="186"/>
    </row>
    <row r="230" spans="2:16">
      <c r="B230" s="7880"/>
      <c r="C230" s="186"/>
      <c r="D230" s="186"/>
      <c r="E230" s="186"/>
      <c r="H230" s="7882"/>
      <c r="K230" s="186"/>
      <c r="L230" s="186"/>
      <c r="M230" s="186"/>
      <c r="N230" s="186"/>
      <c r="O230" s="186"/>
      <c r="P230" s="186"/>
    </row>
    <row r="231" spans="2:16">
      <c r="B231" s="7883"/>
      <c r="C231" s="7884"/>
      <c r="D231" s="7884"/>
      <c r="E231" s="7884"/>
      <c r="F231" s="7885"/>
      <c r="G231" s="7885"/>
      <c r="H231" s="7886"/>
      <c r="K231" s="186"/>
      <c r="L231" s="186"/>
      <c r="M231" s="186"/>
      <c r="N231" s="186"/>
      <c r="O231" s="186"/>
      <c r="P231" s="186"/>
    </row>
    <row r="232" spans="2:16">
      <c r="K232" s="186"/>
      <c r="L232" s="186"/>
      <c r="M232" s="186"/>
      <c r="N232" s="186"/>
      <c r="O232" s="186"/>
      <c r="P232" s="186"/>
    </row>
    <row r="233" spans="2:16">
      <c r="B233" s="7876"/>
      <c r="C233" s="7877"/>
      <c r="D233" s="7877"/>
      <c r="E233" s="7877"/>
      <c r="F233" s="7878"/>
      <c r="G233" s="7896"/>
      <c r="H233" s="7879"/>
      <c r="K233" s="186"/>
      <c r="L233" s="186"/>
      <c r="M233" s="186"/>
      <c r="N233" s="186"/>
      <c r="O233" s="186"/>
      <c r="P233" s="186"/>
    </row>
    <row r="234" spans="2:16">
      <c r="B234" s="7880"/>
      <c r="C234" s="186"/>
      <c r="D234" s="186"/>
      <c r="E234" s="186"/>
      <c r="G234" s="7895"/>
      <c r="H234" s="7882"/>
      <c r="K234" s="186"/>
      <c r="L234" s="186"/>
      <c r="M234" s="186"/>
      <c r="N234" s="186"/>
      <c r="O234" s="186"/>
      <c r="P234" s="186"/>
    </row>
    <row r="235" spans="2:16">
      <c r="B235" s="7880"/>
      <c r="C235" s="186"/>
      <c r="D235" s="186"/>
      <c r="E235" s="186"/>
      <c r="G235" s="7895"/>
      <c r="H235" s="7882"/>
      <c r="K235" s="186"/>
      <c r="L235" s="186"/>
      <c r="M235" s="186"/>
      <c r="N235" s="186"/>
      <c r="O235" s="186"/>
      <c r="P235" s="186"/>
    </row>
    <row r="236" spans="2:16">
      <c r="B236" s="7880"/>
      <c r="C236" s="186"/>
      <c r="D236" s="186"/>
      <c r="E236" s="186"/>
      <c r="G236" s="7895" t="s">
        <v>14655</v>
      </c>
      <c r="H236" s="7882"/>
      <c r="K236" s="186"/>
      <c r="L236" s="186"/>
      <c r="M236" s="186"/>
      <c r="N236" s="186"/>
      <c r="O236" s="186"/>
      <c r="P236" s="186"/>
    </row>
    <row r="237" spans="2:16">
      <c r="B237" s="7880"/>
      <c r="C237" s="186"/>
      <c r="D237" s="186"/>
      <c r="E237" s="186"/>
      <c r="G237" s="7895" t="s">
        <v>14654</v>
      </c>
      <c r="H237" s="7882"/>
      <c r="K237" s="186"/>
      <c r="L237" s="186"/>
      <c r="M237" s="186"/>
      <c r="N237" s="186"/>
      <c r="O237" s="186"/>
      <c r="P237" s="186"/>
    </row>
    <row r="238" spans="2:16">
      <c r="B238" s="7880"/>
      <c r="C238" s="186"/>
      <c r="D238" s="186"/>
      <c r="E238" s="186"/>
      <c r="G238" s="7895" t="s">
        <v>14653</v>
      </c>
      <c r="H238" s="7882"/>
      <c r="K238" s="186"/>
      <c r="L238" s="186"/>
      <c r="M238" s="186"/>
      <c r="N238" s="186"/>
      <c r="O238" s="186"/>
      <c r="P238" s="186"/>
    </row>
    <row r="239" spans="2:16">
      <c r="B239" s="7880"/>
      <c r="C239" s="186"/>
      <c r="D239" s="186"/>
      <c r="E239" s="186"/>
      <c r="G239" s="7895" t="s">
        <v>14652</v>
      </c>
      <c r="H239" s="7882"/>
      <c r="K239" s="186"/>
      <c r="L239" s="186"/>
      <c r="M239" s="186"/>
      <c r="N239" s="186"/>
      <c r="O239" s="186"/>
      <c r="P239" s="186"/>
    </row>
    <row r="240" spans="2:16">
      <c r="B240" s="7880"/>
      <c r="C240" s="186"/>
      <c r="D240" s="186"/>
      <c r="E240" s="186"/>
      <c r="G240" s="7895"/>
      <c r="H240" s="7882"/>
      <c r="K240" s="186"/>
      <c r="L240" s="186"/>
      <c r="M240" s="186"/>
      <c r="N240" s="186"/>
      <c r="O240" s="186"/>
      <c r="P240" s="186"/>
    </row>
    <row r="241" spans="2:16">
      <c r="B241" s="7880"/>
      <c r="C241" s="186"/>
      <c r="D241" s="186"/>
      <c r="E241" s="186"/>
      <c r="H241" s="7882"/>
      <c r="K241" s="186"/>
      <c r="L241" s="186"/>
      <c r="M241" s="186"/>
      <c r="N241" s="186"/>
      <c r="O241" s="186"/>
      <c r="P241" s="186"/>
    </row>
    <row r="242" spans="2:16">
      <c r="B242" s="7883"/>
      <c r="C242" s="7884"/>
      <c r="D242" s="7884"/>
      <c r="E242" s="7884"/>
      <c r="F242" s="7885"/>
      <c r="G242" s="7885"/>
      <c r="H242" s="7886"/>
      <c r="K242" s="186"/>
      <c r="L242" s="186"/>
      <c r="M242" s="186"/>
      <c r="N242" s="186"/>
      <c r="O242" s="186"/>
      <c r="P242" s="186"/>
    </row>
    <row r="243" spans="2:16">
      <c r="K243" s="186"/>
      <c r="L243" s="186"/>
      <c r="M243" s="186"/>
      <c r="N243" s="186"/>
      <c r="O243" s="186"/>
      <c r="P243" s="186"/>
    </row>
    <row r="244" spans="2:16">
      <c r="B244" s="7876"/>
      <c r="C244" s="7877"/>
      <c r="D244" s="7877"/>
      <c r="E244" s="7877"/>
      <c r="F244" s="7878"/>
      <c r="G244" s="7896"/>
      <c r="H244" s="7879"/>
      <c r="K244" s="186"/>
      <c r="L244" s="186"/>
      <c r="M244" s="186"/>
      <c r="N244" s="186"/>
      <c r="O244" s="186"/>
      <c r="P244" s="186"/>
    </row>
    <row r="245" spans="2:16">
      <c r="B245" s="7880"/>
      <c r="C245" s="186"/>
      <c r="D245" s="186"/>
      <c r="E245" s="186"/>
      <c r="G245" s="7895"/>
      <c r="H245" s="7882"/>
      <c r="K245" s="186"/>
      <c r="L245" s="186"/>
      <c r="M245" s="186"/>
      <c r="N245" s="186"/>
      <c r="O245" s="186"/>
      <c r="P245" s="186"/>
    </row>
    <row r="246" spans="2:16">
      <c r="B246" s="7880"/>
      <c r="C246" s="186"/>
      <c r="D246" s="186"/>
      <c r="E246" s="186"/>
      <c r="G246" s="7895"/>
      <c r="H246" s="7882"/>
      <c r="K246" s="186"/>
      <c r="L246" s="186"/>
      <c r="M246" s="186"/>
      <c r="N246" s="186"/>
      <c r="O246" s="186"/>
      <c r="P246" s="186"/>
    </row>
    <row r="247" spans="2:16">
      <c r="B247" s="7880"/>
      <c r="C247" s="186"/>
      <c r="D247" s="186"/>
      <c r="E247" s="186"/>
      <c r="G247" s="7895" t="s">
        <v>14658</v>
      </c>
      <c r="H247" s="7882"/>
      <c r="K247" s="186"/>
      <c r="L247" s="186"/>
      <c r="M247" s="186"/>
      <c r="N247" s="186"/>
      <c r="O247" s="186"/>
      <c r="P247" s="186"/>
    </row>
    <row r="248" spans="2:16">
      <c r="B248" s="7880"/>
      <c r="C248" s="186"/>
      <c r="D248" s="186"/>
      <c r="E248" s="186"/>
      <c r="G248" s="7895" t="s">
        <v>14659</v>
      </c>
      <c r="H248" s="7882"/>
      <c r="K248" s="186"/>
      <c r="L248" s="186"/>
      <c r="M248" s="186"/>
      <c r="N248" s="186"/>
      <c r="O248" s="186"/>
      <c r="P248" s="186"/>
    </row>
    <row r="249" spans="2:16">
      <c r="B249" s="7880"/>
      <c r="C249" s="186"/>
      <c r="D249" s="186"/>
      <c r="E249" s="186"/>
      <c r="G249" s="7895" t="s">
        <v>14657</v>
      </c>
      <c r="H249" s="7882"/>
      <c r="K249" s="186"/>
      <c r="L249" s="186"/>
      <c r="M249" s="186"/>
      <c r="N249" s="186"/>
      <c r="O249" s="186"/>
      <c r="P249" s="186"/>
    </row>
    <row r="250" spans="2:16">
      <c r="B250" s="7880"/>
      <c r="C250" s="186"/>
      <c r="D250" s="186"/>
      <c r="E250" s="186"/>
      <c r="G250" s="7895" t="s">
        <v>14656</v>
      </c>
      <c r="H250" s="7882"/>
      <c r="K250" s="186"/>
      <c r="L250" s="186"/>
      <c r="M250" s="186"/>
      <c r="N250" s="186"/>
      <c r="O250" s="186"/>
      <c r="P250" s="186"/>
    </row>
    <row r="251" spans="2:16">
      <c r="B251" s="7880"/>
      <c r="C251" s="186"/>
      <c r="D251" s="186"/>
      <c r="E251" s="186"/>
      <c r="G251" s="7897" t="s">
        <v>14626</v>
      </c>
      <c r="H251" s="7882" t="s">
        <v>21</v>
      </c>
      <c r="K251" s="186"/>
      <c r="L251" s="186"/>
      <c r="M251" s="186"/>
      <c r="N251" s="186"/>
      <c r="O251" s="186"/>
      <c r="P251" s="186"/>
    </row>
    <row r="252" spans="2:16">
      <c r="B252" s="7880"/>
      <c r="C252" s="186"/>
      <c r="D252" s="186"/>
      <c r="E252" s="186"/>
      <c r="H252" s="7882"/>
      <c r="K252" s="186"/>
      <c r="L252" s="186"/>
      <c r="M252" s="186"/>
      <c r="N252" s="186"/>
      <c r="O252" s="186"/>
      <c r="P252" s="186"/>
    </row>
    <row r="253" spans="2:16">
      <c r="B253" s="7883"/>
      <c r="C253" s="7884"/>
      <c r="D253" s="7884"/>
      <c r="E253" s="7884"/>
      <c r="F253" s="7885"/>
      <c r="G253" s="7885"/>
      <c r="H253" s="7886"/>
      <c r="K253" s="186"/>
      <c r="L253" s="186"/>
      <c r="M253" s="186"/>
      <c r="N253" s="186"/>
      <c r="O253" s="186"/>
      <c r="P253" s="186"/>
    </row>
    <row r="254" spans="2:16">
      <c r="K254" s="186"/>
      <c r="L254" s="186"/>
      <c r="M254" s="186"/>
      <c r="N254" s="186"/>
      <c r="O254" s="186"/>
      <c r="P254" s="186"/>
    </row>
    <row r="255" spans="2:16">
      <c r="B255" s="7876"/>
      <c r="C255" s="7877"/>
      <c r="D255" s="7877"/>
      <c r="E255" s="7877"/>
      <c r="F255" s="7878"/>
      <c r="G255" s="7896"/>
      <c r="H255" s="7879"/>
      <c r="K255" s="186"/>
      <c r="L255" s="186"/>
      <c r="M255" s="186"/>
      <c r="N255" s="186"/>
      <c r="O255" s="186"/>
      <c r="P255" s="186"/>
    </row>
    <row r="256" spans="2:16">
      <c r="B256" s="7880"/>
      <c r="C256" s="186"/>
      <c r="D256" s="186"/>
      <c r="E256" s="186"/>
      <c r="G256" s="7895"/>
      <c r="H256" s="7882"/>
      <c r="K256" s="186"/>
      <c r="L256" s="186"/>
      <c r="M256" s="186"/>
      <c r="N256" s="186"/>
      <c r="O256" s="186"/>
      <c r="P256" s="186"/>
    </row>
    <row r="257" spans="2:16">
      <c r="B257" s="7880"/>
      <c r="C257" s="186"/>
      <c r="D257" s="186"/>
      <c r="E257" s="186"/>
      <c r="G257" s="7895"/>
      <c r="H257" s="7882"/>
      <c r="K257" s="186"/>
      <c r="L257" s="186"/>
      <c r="M257" s="186"/>
      <c r="N257" s="186"/>
      <c r="O257" s="186"/>
      <c r="P257" s="186"/>
    </row>
    <row r="258" spans="2:16">
      <c r="B258" s="7880"/>
      <c r="C258" s="186"/>
      <c r="D258" s="186"/>
      <c r="E258" s="186"/>
      <c r="G258" s="7895" t="s">
        <v>14663</v>
      </c>
      <c r="H258" s="7882"/>
      <c r="K258" s="186"/>
      <c r="L258" s="186"/>
      <c r="M258" s="186"/>
      <c r="N258" s="186"/>
      <c r="O258" s="186"/>
      <c r="P258" s="186"/>
    </row>
    <row r="259" spans="2:16">
      <c r="B259" s="7880"/>
      <c r="C259" s="186"/>
      <c r="D259" s="186"/>
      <c r="E259" s="186"/>
      <c r="G259" s="7895" t="s">
        <v>14662</v>
      </c>
      <c r="H259" s="7882"/>
      <c r="K259" s="186"/>
      <c r="L259" s="186"/>
      <c r="M259" s="186"/>
      <c r="N259" s="186"/>
      <c r="O259" s="186"/>
      <c r="P259" s="186"/>
    </row>
    <row r="260" spans="2:16">
      <c r="B260" s="7880"/>
      <c r="C260" s="186"/>
      <c r="D260" s="186"/>
      <c r="E260" s="186"/>
      <c r="G260" s="7895" t="s">
        <v>14661</v>
      </c>
      <c r="H260" s="7882"/>
      <c r="K260" s="186"/>
      <c r="L260" s="186"/>
      <c r="M260" s="186"/>
      <c r="N260" s="186"/>
      <c r="O260" s="186"/>
      <c r="P260" s="186"/>
    </row>
    <row r="261" spans="2:16">
      <c r="B261" s="7880"/>
      <c r="C261" s="186"/>
      <c r="D261" s="186"/>
      <c r="E261" s="186"/>
      <c r="G261" s="7895" t="s">
        <v>14660</v>
      </c>
      <c r="H261" s="7882"/>
      <c r="K261" s="186"/>
      <c r="L261" s="186"/>
      <c r="M261" s="186"/>
      <c r="N261" s="186"/>
      <c r="O261" s="186"/>
      <c r="P261" s="186"/>
    </row>
    <row r="262" spans="2:16">
      <c r="B262" s="7880"/>
      <c r="C262" s="186"/>
      <c r="D262" s="186"/>
      <c r="E262" s="186"/>
      <c r="G262" s="7895"/>
      <c r="H262" s="7882"/>
      <c r="K262" s="186"/>
      <c r="L262" s="186"/>
      <c r="M262" s="186"/>
      <c r="N262" s="186"/>
      <c r="O262" s="186"/>
      <c r="P262" s="186"/>
    </row>
    <row r="263" spans="2:16">
      <c r="B263" s="7880"/>
      <c r="C263" s="186"/>
      <c r="D263" s="186"/>
      <c r="E263" s="186"/>
      <c r="H263" s="7882"/>
      <c r="K263" s="186"/>
      <c r="L263" s="186"/>
      <c r="M263" s="186"/>
      <c r="N263" s="186"/>
      <c r="O263" s="186"/>
      <c r="P263" s="186"/>
    </row>
    <row r="264" spans="2:16">
      <c r="B264" s="7883"/>
      <c r="C264" s="7884"/>
      <c r="D264" s="7884"/>
      <c r="E264" s="7884"/>
      <c r="F264" s="7885"/>
      <c r="G264" s="7885"/>
      <c r="H264" s="7886"/>
      <c r="K264" s="186"/>
      <c r="L264" s="186"/>
      <c r="M264" s="186"/>
      <c r="N264" s="186"/>
      <c r="O264" s="186"/>
      <c r="P264" s="186"/>
    </row>
    <row r="265" spans="2:16">
      <c r="K265" s="186"/>
      <c r="L265" s="186"/>
      <c r="M265" s="186"/>
      <c r="N265" s="186"/>
      <c r="O265" s="186"/>
      <c r="P265" s="186"/>
    </row>
    <row r="266" spans="2:16">
      <c r="B266" s="7876"/>
      <c r="C266" s="7877"/>
      <c r="D266" s="7877"/>
      <c r="E266" s="7877"/>
      <c r="F266" s="7878"/>
      <c r="G266" s="7896"/>
      <c r="H266" s="7879"/>
      <c r="K266" s="186"/>
      <c r="L266" s="186"/>
      <c r="M266" s="186"/>
      <c r="N266" s="186"/>
      <c r="O266" s="186"/>
      <c r="P266" s="186"/>
    </row>
    <row r="267" spans="2:16">
      <c r="B267" s="7880"/>
      <c r="C267" s="186"/>
      <c r="D267" s="186"/>
      <c r="E267" s="186"/>
      <c r="G267" s="7895"/>
      <c r="H267" s="7882"/>
      <c r="K267" s="186"/>
      <c r="L267" s="186"/>
      <c r="M267" s="186"/>
      <c r="N267" s="186"/>
      <c r="O267" s="186"/>
      <c r="P267" s="186"/>
    </row>
    <row r="268" spans="2:16">
      <c r="B268" s="7880"/>
      <c r="C268" s="186"/>
      <c r="D268" s="186"/>
      <c r="E268" s="186"/>
      <c r="G268" s="7895"/>
      <c r="H268" s="7882"/>
      <c r="K268" s="186"/>
      <c r="L268" s="186"/>
      <c r="M268" s="186"/>
      <c r="N268" s="186"/>
      <c r="O268" s="186"/>
      <c r="P268" s="186"/>
    </row>
    <row r="269" spans="2:16">
      <c r="B269" s="7880"/>
      <c r="C269" s="186"/>
      <c r="D269" s="186"/>
      <c r="E269" s="186"/>
      <c r="G269" s="7895" t="s">
        <v>14667</v>
      </c>
      <c r="H269" s="7882"/>
      <c r="K269" s="186"/>
      <c r="L269" s="186"/>
      <c r="M269" s="186"/>
      <c r="N269" s="186"/>
      <c r="O269" s="186"/>
      <c r="P269" s="186"/>
    </row>
    <row r="270" spans="2:16">
      <c r="B270" s="7880"/>
      <c r="C270" s="186"/>
      <c r="D270" s="186"/>
      <c r="E270" s="186"/>
      <c r="G270" s="7895" t="s">
        <v>14666</v>
      </c>
      <c r="H270" s="7882"/>
      <c r="K270" s="186"/>
      <c r="L270" s="186"/>
      <c r="M270" s="186"/>
      <c r="N270" s="186"/>
      <c r="O270" s="186"/>
      <c r="P270" s="186"/>
    </row>
    <row r="271" spans="2:16">
      <c r="B271" s="7880"/>
      <c r="C271" s="186"/>
      <c r="D271" s="186"/>
      <c r="E271" s="186"/>
      <c r="G271" s="7895" t="s">
        <v>14665</v>
      </c>
      <c r="H271" s="7882"/>
      <c r="K271" s="186"/>
      <c r="L271" s="186"/>
      <c r="M271" s="186"/>
      <c r="N271" s="186"/>
      <c r="O271" s="186"/>
      <c r="P271" s="186"/>
    </row>
    <row r="272" spans="2:16">
      <c r="B272" s="7880"/>
      <c r="C272" s="186"/>
      <c r="D272" s="186"/>
      <c r="E272" s="186"/>
      <c r="G272" s="7895" t="s">
        <v>14664</v>
      </c>
      <c r="H272" s="7882"/>
      <c r="K272" s="186"/>
      <c r="L272" s="186"/>
      <c r="M272" s="186"/>
      <c r="N272" s="186"/>
      <c r="O272" s="186"/>
      <c r="P272" s="186"/>
    </row>
    <row r="273" spans="2:16">
      <c r="B273" s="7880"/>
      <c r="C273" s="186"/>
      <c r="D273" s="186"/>
      <c r="E273" s="186"/>
      <c r="G273" s="7895"/>
      <c r="H273" s="7882"/>
      <c r="K273" s="186"/>
      <c r="L273" s="186"/>
      <c r="M273" s="186"/>
      <c r="N273" s="186"/>
      <c r="O273" s="186"/>
      <c r="P273" s="186"/>
    </row>
    <row r="274" spans="2:16">
      <c r="B274" s="7880"/>
      <c r="C274" s="186"/>
      <c r="D274" s="186"/>
      <c r="E274" s="186"/>
      <c r="H274" s="7882"/>
      <c r="K274" s="186"/>
      <c r="L274" s="186"/>
      <c r="M274" s="186"/>
      <c r="N274" s="186"/>
      <c r="O274" s="186"/>
      <c r="P274" s="186"/>
    </row>
    <row r="275" spans="2:16">
      <c r="B275" s="7883"/>
      <c r="C275" s="7884"/>
      <c r="D275" s="7884"/>
      <c r="E275" s="7884"/>
      <c r="F275" s="7885"/>
      <c r="G275" s="7885"/>
      <c r="H275" s="7886"/>
      <c r="K275" s="186"/>
      <c r="L275" s="186"/>
      <c r="M275" s="186"/>
      <c r="N275" s="186"/>
      <c r="O275" s="186"/>
      <c r="P275" s="186"/>
    </row>
    <row r="276" spans="2:16">
      <c r="K276" s="186"/>
      <c r="L276" s="186"/>
      <c r="M276" s="186"/>
      <c r="N276" s="186"/>
      <c r="O276" s="186"/>
      <c r="P276" s="186"/>
    </row>
    <row r="277" spans="2:16">
      <c r="B277" s="7876"/>
      <c r="C277" s="7877"/>
      <c r="D277" s="7877"/>
      <c r="E277" s="7877"/>
      <c r="F277" s="7878"/>
      <c r="G277" s="7896"/>
      <c r="H277" s="7879"/>
      <c r="K277" s="186"/>
      <c r="L277" s="186"/>
      <c r="M277" s="186"/>
      <c r="N277" s="186"/>
      <c r="O277" s="186"/>
      <c r="P277" s="186"/>
    </row>
    <row r="278" spans="2:16">
      <c r="B278" s="7880"/>
      <c r="C278" s="186"/>
      <c r="D278" s="186"/>
      <c r="E278" s="186"/>
      <c r="G278" s="7895"/>
      <c r="H278" s="7882"/>
      <c r="K278" s="186"/>
      <c r="L278" s="186"/>
      <c r="M278" s="186"/>
      <c r="N278" s="186"/>
      <c r="O278" s="186"/>
      <c r="P278" s="186"/>
    </row>
    <row r="279" spans="2:16">
      <c r="B279" s="7880"/>
      <c r="C279" s="186"/>
      <c r="D279" s="186"/>
      <c r="E279" s="186"/>
      <c r="G279" s="7895"/>
      <c r="H279" s="7882"/>
      <c r="K279" s="186"/>
      <c r="L279" s="186"/>
      <c r="M279" s="186"/>
      <c r="N279" s="186"/>
      <c r="O279" s="186"/>
      <c r="P279" s="186"/>
    </row>
    <row r="280" spans="2:16">
      <c r="B280" s="7880"/>
      <c r="C280" s="186"/>
      <c r="D280" s="186"/>
      <c r="E280" s="186"/>
      <c r="G280" s="7895" t="s">
        <v>2705</v>
      </c>
      <c r="H280" s="7882"/>
      <c r="K280" s="186"/>
      <c r="L280" s="186"/>
      <c r="M280" s="186"/>
      <c r="N280" s="186"/>
      <c r="O280" s="186"/>
      <c r="P280" s="186"/>
    </row>
    <row r="281" spans="2:16">
      <c r="B281" s="7880"/>
      <c r="C281" s="186"/>
      <c r="D281" s="186"/>
      <c r="E281" s="186"/>
      <c r="G281" s="7895" t="s">
        <v>2705</v>
      </c>
      <c r="H281" s="7882"/>
      <c r="K281" s="186"/>
      <c r="L281" s="186"/>
      <c r="M281" s="186"/>
      <c r="N281" s="186"/>
      <c r="O281" s="186"/>
      <c r="P281" s="186"/>
    </row>
    <row r="282" spans="2:16">
      <c r="B282" s="7880"/>
      <c r="C282" s="186"/>
      <c r="D282" s="186"/>
      <c r="E282" s="186"/>
      <c r="G282" s="7895" t="s">
        <v>2705</v>
      </c>
      <c r="H282" s="7882"/>
      <c r="K282" s="186"/>
      <c r="L282" s="186"/>
      <c r="M282" s="186"/>
      <c r="N282" s="186"/>
      <c r="O282" s="186"/>
      <c r="P282" s="186"/>
    </row>
    <row r="283" spans="2:16">
      <c r="B283" s="7880"/>
      <c r="C283" s="186"/>
      <c r="D283" s="186"/>
      <c r="E283" s="186"/>
      <c r="G283" s="7895" t="s">
        <v>2705</v>
      </c>
      <c r="H283" s="7882"/>
      <c r="K283" s="186"/>
      <c r="L283" s="186"/>
      <c r="M283" s="186"/>
      <c r="N283" s="186"/>
      <c r="O283" s="186"/>
      <c r="P283" s="186"/>
    </row>
    <row r="284" spans="2:16">
      <c r="B284" s="7880"/>
      <c r="C284" s="186"/>
      <c r="D284" s="186"/>
      <c r="E284" s="186"/>
      <c r="G284" s="7895"/>
      <c r="H284" s="7882"/>
      <c r="K284" s="186"/>
      <c r="L284" s="186"/>
      <c r="M284" s="186"/>
      <c r="N284" s="186"/>
      <c r="O284" s="186"/>
      <c r="P284" s="186"/>
    </row>
    <row r="285" spans="2:16">
      <c r="B285" s="7880"/>
      <c r="C285" s="186"/>
      <c r="D285" s="186"/>
      <c r="E285" s="186"/>
      <c r="H285" s="7882"/>
      <c r="K285" s="186"/>
      <c r="L285" s="186"/>
      <c r="M285" s="186"/>
      <c r="N285" s="186"/>
      <c r="O285" s="186"/>
      <c r="P285" s="186"/>
    </row>
    <row r="286" spans="2:16">
      <c r="B286" s="7883"/>
      <c r="C286" s="7884"/>
      <c r="D286" s="7884"/>
      <c r="E286" s="7884"/>
      <c r="F286" s="7885"/>
      <c r="G286" s="7885"/>
      <c r="H286" s="7886"/>
      <c r="K286" s="186"/>
      <c r="L286" s="186"/>
      <c r="M286" s="186"/>
      <c r="N286" s="186"/>
      <c r="O286" s="186"/>
      <c r="P286" s="186"/>
    </row>
    <row r="287" spans="2:16">
      <c r="K287" s="186"/>
      <c r="L287" s="186"/>
      <c r="M287" s="186"/>
      <c r="N287" s="186"/>
      <c r="O287" s="186"/>
      <c r="P287" s="186"/>
    </row>
    <row r="288" spans="2:16">
      <c r="B288" s="7876"/>
      <c r="C288" s="7877"/>
      <c r="D288" s="7877"/>
      <c r="E288" s="7877"/>
      <c r="F288" s="7878"/>
      <c r="G288" s="7896"/>
      <c r="H288" s="7879"/>
      <c r="K288" s="186"/>
      <c r="L288" s="186"/>
      <c r="M288" s="186"/>
      <c r="N288" s="186"/>
      <c r="O288" s="186"/>
      <c r="P288" s="186"/>
    </row>
    <row r="289" spans="2:16">
      <c r="B289" s="7880"/>
      <c r="C289" s="186"/>
      <c r="D289" s="186"/>
      <c r="E289" s="186"/>
      <c r="G289" s="7895"/>
      <c r="H289" s="7882"/>
      <c r="K289" s="186"/>
      <c r="L289" s="186"/>
      <c r="M289" s="186"/>
      <c r="N289" s="186"/>
      <c r="O289" s="186"/>
      <c r="P289" s="186"/>
    </row>
    <row r="290" spans="2:16">
      <c r="B290" s="7880"/>
      <c r="C290" s="186"/>
      <c r="D290" s="186"/>
      <c r="E290" s="186"/>
      <c r="G290" s="7895"/>
      <c r="H290" s="7882"/>
      <c r="K290" s="186"/>
      <c r="L290" s="186"/>
      <c r="M290" s="186"/>
      <c r="N290" s="186"/>
      <c r="O290" s="186"/>
      <c r="P290" s="186"/>
    </row>
    <row r="291" spans="2:16">
      <c r="B291" s="7880"/>
      <c r="C291" s="186"/>
      <c r="D291" s="186"/>
      <c r="E291" s="186"/>
      <c r="G291" s="7895" t="s">
        <v>2705</v>
      </c>
      <c r="H291" s="7882"/>
      <c r="K291" s="186"/>
      <c r="L291" s="186"/>
      <c r="M291" s="186"/>
      <c r="N291" s="186"/>
      <c r="O291" s="186"/>
      <c r="P291" s="186"/>
    </row>
    <row r="292" spans="2:16">
      <c r="B292" s="7880"/>
      <c r="C292" s="186"/>
      <c r="D292" s="186"/>
      <c r="E292" s="186"/>
      <c r="G292" s="7895" t="s">
        <v>2705</v>
      </c>
      <c r="H292" s="7882"/>
      <c r="K292" s="186"/>
      <c r="L292" s="186"/>
      <c r="M292" s="186"/>
      <c r="N292" s="186"/>
      <c r="O292" s="186"/>
      <c r="P292" s="186"/>
    </row>
    <row r="293" spans="2:16">
      <c r="B293" s="7880"/>
      <c r="C293" s="186"/>
      <c r="D293" s="186"/>
      <c r="E293" s="186"/>
      <c r="G293" s="7895" t="s">
        <v>2705</v>
      </c>
      <c r="H293" s="7882"/>
      <c r="K293" s="186"/>
      <c r="L293" s="186"/>
      <c r="M293" s="186"/>
      <c r="N293" s="186"/>
      <c r="O293" s="186"/>
      <c r="P293" s="186"/>
    </row>
    <row r="294" spans="2:16">
      <c r="B294" s="7880"/>
      <c r="C294" s="186"/>
      <c r="D294" s="186"/>
      <c r="E294" s="186"/>
      <c r="G294" s="7895" t="s">
        <v>2705</v>
      </c>
      <c r="H294" s="7882"/>
      <c r="K294" s="186"/>
      <c r="L294" s="186"/>
      <c r="M294" s="186"/>
      <c r="N294" s="186"/>
      <c r="O294" s="186"/>
      <c r="P294" s="186"/>
    </row>
    <row r="295" spans="2:16">
      <c r="B295" s="7880"/>
      <c r="C295" s="186"/>
      <c r="D295" s="186"/>
      <c r="E295" s="186"/>
      <c r="G295" s="7895"/>
      <c r="H295" s="7882"/>
      <c r="K295" s="186"/>
      <c r="L295" s="186"/>
      <c r="M295" s="186"/>
      <c r="N295" s="186"/>
      <c r="O295" s="186"/>
      <c r="P295" s="186"/>
    </row>
    <row r="296" spans="2:16">
      <c r="B296" s="7880"/>
      <c r="C296" s="186"/>
      <c r="D296" s="186"/>
      <c r="E296" s="186"/>
      <c r="H296" s="7882"/>
      <c r="K296" s="186"/>
      <c r="L296" s="186"/>
      <c r="M296" s="186"/>
      <c r="N296" s="186"/>
      <c r="O296" s="186"/>
      <c r="P296" s="186"/>
    </row>
    <row r="297" spans="2:16">
      <c r="B297" s="7883"/>
      <c r="C297" s="7884"/>
      <c r="D297" s="7884"/>
      <c r="E297" s="7884"/>
      <c r="F297" s="7885"/>
      <c r="G297" s="7885"/>
      <c r="H297" s="7886"/>
      <c r="K297" s="186"/>
      <c r="L297" s="186"/>
      <c r="M297" s="186"/>
      <c r="N297" s="186"/>
      <c r="O297" s="186"/>
      <c r="P297" s="186"/>
    </row>
    <row r="298" spans="2:16">
      <c r="K298" s="186"/>
      <c r="L298" s="186"/>
      <c r="M298" s="186"/>
      <c r="N298" s="186"/>
      <c r="O298" s="186"/>
      <c r="P298" s="186"/>
    </row>
    <row r="299" spans="2:16">
      <c r="B299" s="7876"/>
      <c r="C299" s="7877"/>
      <c r="D299" s="7877"/>
      <c r="E299" s="7877"/>
      <c r="F299" s="7878"/>
      <c r="G299" s="7896"/>
      <c r="H299" s="7879"/>
      <c r="K299" s="186"/>
      <c r="L299" s="186"/>
      <c r="M299" s="186"/>
      <c r="N299" s="186"/>
      <c r="O299" s="186"/>
      <c r="P299" s="186"/>
    </row>
    <row r="300" spans="2:16">
      <c r="B300" s="7880"/>
      <c r="C300" s="186"/>
      <c r="D300" s="186"/>
      <c r="E300" s="186"/>
      <c r="G300" s="7895"/>
      <c r="H300" s="7882"/>
      <c r="K300" s="186"/>
      <c r="L300" s="186"/>
      <c r="M300" s="186"/>
      <c r="N300" s="186"/>
      <c r="O300" s="186"/>
      <c r="P300" s="186"/>
    </row>
    <row r="301" spans="2:16">
      <c r="B301" s="7880"/>
      <c r="C301" s="186"/>
      <c r="D301" s="186"/>
      <c r="E301" s="186"/>
      <c r="G301" s="7895"/>
      <c r="H301" s="7882"/>
      <c r="K301" s="186"/>
      <c r="L301" s="186"/>
      <c r="M301" s="186"/>
      <c r="N301" s="186"/>
      <c r="O301" s="186"/>
      <c r="P301" s="186"/>
    </row>
    <row r="302" spans="2:16">
      <c r="B302" s="7880"/>
      <c r="C302" s="186"/>
      <c r="D302" s="186"/>
      <c r="E302" s="186"/>
      <c r="G302" s="7895" t="s">
        <v>2705</v>
      </c>
      <c r="H302" s="7882"/>
      <c r="K302" s="186"/>
      <c r="L302" s="186"/>
      <c r="M302" s="186"/>
      <c r="N302" s="186"/>
      <c r="O302" s="186"/>
      <c r="P302" s="186"/>
    </row>
    <row r="303" spans="2:16">
      <c r="B303" s="7880"/>
      <c r="C303" s="186"/>
      <c r="D303" s="186"/>
      <c r="E303" s="186"/>
      <c r="G303" s="7895" t="s">
        <v>2705</v>
      </c>
      <c r="H303" s="7882"/>
      <c r="K303" s="186"/>
      <c r="L303" s="186"/>
      <c r="M303" s="186"/>
      <c r="N303" s="186"/>
      <c r="O303" s="186"/>
      <c r="P303" s="186"/>
    </row>
    <row r="304" spans="2:16">
      <c r="B304" s="7880"/>
      <c r="C304" s="186"/>
      <c r="D304" s="186"/>
      <c r="E304" s="186"/>
      <c r="G304" s="7895" t="s">
        <v>2705</v>
      </c>
      <c r="H304" s="7882"/>
      <c r="K304" s="186"/>
      <c r="L304" s="186"/>
      <c r="M304" s="186"/>
      <c r="N304" s="186"/>
      <c r="O304" s="186"/>
      <c r="P304" s="186"/>
    </row>
    <row r="305" spans="2:16">
      <c r="B305" s="7880"/>
      <c r="C305" s="186"/>
      <c r="D305" s="186"/>
      <c r="E305" s="186"/>
      <c r="G305" s="7895" t="s">
        <v>2705</v>
      </c>
      <c r="H305" s="7882"/>
      <c r="K305" s="186"/>
      <c r="L305" s="186"/>
      <c r="M305" s="186"/>
      <c r="N305" s="186"/>
      <c r="O305" s="186"/>
      <c r="P305" s="186"/>
    </row>
    <row r="306" spans="2:16">
      <c r="B306" s="7880"/>
      <c r="C306" s="186"/>
      <c r="D306" s="186"/>
      <c r="E306" s="186"/>
      <c r="G306" s="7895"/>
      <c r="H306" s="7882"/>
      <c r="K306" s="186"/>
      <c r="L306" s="186"/>
      <c r="M306" s="186"/>
      <c r="N306" s="186"/>
      <c r="O306" s="186"/>
      <c r="P306" s="186"/>
    </row>
    <row r="307" spans="2:16">
      <c r="B307" s="7880"/>
      <c r="C307" s="186"/>
      <c r="D307" s="186"/>
      <c r="E307" s="186"/>
      <c r="H307" s="7882"/>
      <c r="K307" s="186"/>
      <c r="L307" s="186"/>
      <c r="M307" s="186"/>
      <c r="N307" s="186"/>
      <c r="O307" s="186"/>
      <c r="P307" s="186"/>
    </row>
    <row r="308" spans="2:16">
      <c r="B308" s="7883"/>
      <c r="C308" s="7884"/>
      <c r="D308" s="7884"/>
      <c r="E308" s="7884"/>
      <c r="F308" s="7885"/>
      <c r="G308" s="7885"/>
      <c r="H308" s="7886"/>
      <c r="K308" s="186"/>
      <c r="L308" s="186"/>
      <c r="M308" s="186"/>
      <c r="N308" s="186"/>
      <c r="O308" s="186"/>
      <c r="P308" s="186"/>
    </row>
    <row r="309" spans="2:16">
      <c r="K309" s="186"/>
      <c r="L309" s="186"/>
      <c r="M309" s="186"/>
      <c r="N309" s="186"/>
      <c r="O309" s="186"/>
      <c r="P309" s="186"/>
    </row>
    <row r="310" spans="2:16">
      <c r="B310" s="7876"/>
      <c r="C310" s="7877"/>
      <c r="D310" s="7877"/>
      <c r="E310" s="7877"/>
      <c r="F310" s="7878"/>
      <c r="G310" s="7896"/>
      <c r="H310" s="7879"/>
      <c r="K310" s="186"/>
      <c r="L310" s="186"/>
      <c r="M310" s="186"/>
      <c r="N310" s="186"/>
      <c r="O310" s="186"/>
      <c r="P310" s="186"/>
    </row>
    <row r="311" spans="2:16">
      <c r="B311" s="7880"/>
      <c r="C311" s="186"/>
      <c r="D311" s="186"/>
      <c r="E311" s="186"/>
      <c r="G311" s="7895"/>
      <c r="H311" s="7882"/>
      <c r="K311" s="186"/>
      <c r="L311" s="186"/>
      <c r="M311" s="186"/>
      <c r="N311" s="186"/>
      <c r="O311" s="186"/>
      <c r="P311" s="186"/>
    </row>
    <row r="312" spans="2:16">
      <c r="B312" s="7880"/>
      <c r="C312" s="186"/>
      <c r="D312" s="186"/>
      <c r="E312" s="186"/>
      <c r="G312" s="7895"/>
      <c r="H312" s="7882"/>
      <c r="K312" s="186"/>
      <c r="L312" s="186"/>
      <c r="M312" s="186"/>
      <c r="N312" s="186"/>
      <c r="O312" s="186"/>
      <c r="P312" s="186"/>
    </row>
    <row r="313" spans="2:16">
      <c r="B313" s="7880"/>
      <c r="C313" s="186"/>
      <c r="D313" s="186"/>
      <c r="E313" s="186"/>
      <c r="G313" s="7895" t="s">
        <v>2705</v>
      </c>
      <c r="H313" s="7882"/>
      <c r="K313" s="186"/>
      <c r="L313" s="186"/>
      <c r="M313" s="186"/>
      <c r="N313" s="186"/>
      <c r="O313" s="186"/>
      <c r="P313" s="186"/>
    </row>
    <row r="314" spans="2:16">
      <c r="B314" s="7880"/>
      <c r="C314" s="186"/>
      <c r="D314" s="186"/>
      <c r="E314" s="186"/>
      <c r="G314" s="7895" t="s">
        <v>2705</v>
      </c>
      <c r="H314" s="7882"/>
      <c r="K314" s="186"/>
      <c r="L314" s="186"/>
      <c r="M314" s="186"/>
      <c r="N314" s="186"/>
      <c r="O314" s="186"/>
      <c r="P314" s="186"/>
    </row>
    <row r="315" spans="2:16">
      <c r="B315" s="7880"/>
      <c r="C315" s="186"/>
      <c r="D315" s="186"/>
      <c r="E315" s="186"/>
      <c r="G315" s="7895" t="s">
        <v>2705</v>
      </c>
      <c r="H315" s="7882"/>
      <c r="K315" s="186"/>
      <c r="L315" s="186"/>
      <c r="M315" s="186"/>
      <c r="N315" s="186"/>
      <c r="O315" s="186"/>
      <c r="P315" s="186"/>
    </row>
    <row r="316" spans="2:16">
      <c r="B316" s="7880"/>
      <c r="C316" s="186"/>
      <c r="D316" s="186"/>
      <c r="E316" s="186"/>
      <c r="G316" s="7895" t="s">
        <v>2705</v>
      </c>
      <c r="H316" s="7882"/>
      <c r="K316" s="186"/>
      <c r="L316" s="186"/>
      <c r="M316" s="186"/>
      <c r="N316" s="186"/>
      <c r="O316" s="186"/>
      <c r="P316" s="186"/>
    </row>
    <row r="317" spans="2:16">
      <c r="B317" s="7880"/>
      <c r="C317" s="186"/>
      <c r="D317" s="186"/>
      <c r="E317" s="186"/>
      <c r="G317" s="7895"/>
      <c r="H317" s="7882"/>
      <c r="K317" s="186"/>
      <c r="L317" s="186"/>
      <c r="M317" s="186"/>
      <c r="N317" s="186"/>
      <c r="O317" s="186"/>
      <c r="P317" s="186"/>
    </row>
    <row r="318" spans="2:16">
      <c r="B318" s="7880"/>
      <c r="C318" s="186"/>
      <c r="D318" s="186"/>
      <c r="E318" s="186"/>
      <c r="H318" s="7882"/>
      <c r="K318" s="186"/>
      <c r="L318" s="186"/>
      <c r="M318" s="186"/>
      <c r="N318" s="186"/>
      <c r="O318" s="186"/>
      <c r="P318" s="186"/>
    </row>
    <row r="319" spans="2:16">
      <c r="B319" s="7883"/>
      <c r="C319" s="7884"/>
      <c r="D319" s="7884"/>
      <c r="E319" s="7884"/>
      <c r="F319" s="7885"/>
      <c r="G319" s="7885"/>
      <c r="H319" s="7886"/>
      <c r="K319" s="186"/>
      <c r="L319" s="186"/>
      <c r="M319" s="186"/>
      <c r="N319" s="186"/>
      <c r="O319" s="186"/>
      <c r="P319" s="186"/>
    </row>
    <row r="320" spans="2:16">
      <c r="K320" s="186"/>
      <c r="L320" s="186"/>
      <c r="M320" s="186"/>
      <c r="N320" s="186"/>
      <c r="O320" s="186"/>
      <c r="P320" s="186"/>
    </row>
    <row r="321" spans="2:16">
      <c r="B321" s="7876"/>
      <c r="C321" s="7877"/>
      <c r="D321" s="7877"/>
      <c r="E321" s="7877"/>
      <c r="F321" s="7878"/>
      <c r="G321" s="7896"/>
      <c r="H321" s="7879"/>
      <c r="K321" s="186"/>
      <c r="L321" s="186"/>
      <c r="M321" s="186"/>
      <c r="N321" s="186"/>
      <c r="O321" s="186"/>
      <c r="P321" s="186"/>
    </row>
    <row r="322" spans="2:16">
      <c r="B322" s="7880"/>
      <c r="C322" s="186"/>
      <c r="D322" s="186"/>
      <c r="E322" s="186"/>
      <c r="G322" s="7895"/>
      <c r="H322" s="7882"/>
      <c r="K322" s="186"/>
      <c r="L322" s="186"/>
      <c r="M322" s="186"/>
      <c r="N322" s="186"/>
      <c r="O322" s="186"/>
      <c r="P322" s="186"/>
    </row>
    <row r="323" spans="2:16">
      <c r="B323" s="7880"/>
      <c r="C323" s="186"/>
      <c r="D323" s="186"/>
      <c r="E323" s="186"/>
      <c r="G323" s="7895"/>
      <c r="H323" s="7882"/>
      <c r="K323" s="186"/>
      <c r="L323" s="186"/>
      <c r="M323" s="186"/>
      <c r="N323" s="186"/>
      <c r="O323" s="186"/>
      <c r="P323" s="186"/>
    </row>
    <row r="324" spans="2:16">
      <c r="B324" s="7880"/>
      <c r="C324" s="186"/>
      <c r="D324" s="186"/>
      <c r="E324" s="186"/>
      <c r="G324" s="7895" t="s">
        <v>2705</v>
      </c>
      <c r="H324" s="7882"/>
      <c r="K324" s="186"/>
      <c r="L324" s="186"/>
      <c r="M324" s="186"/>
      <c r="N324" s="186"/>
      <c r="O324" s="186"/>
      <c r="P324" s="186"/>
    </row>
    <row r="325" spans="2:16">
      <c r="B325" s="7880"/>
      <c r="C325" s="186"/>
      <c r="D325" s="186"/>
      <c r="E325" s="186"/>
      <c r="G325" s="7895" t="s">
        <v>2705</v>
      </c>
      <c r="H325" s="7882"/>
      <c r="K325" s="186"/>
      <c r="L325" s="186"/>
      <c r="M325" s="186"/>
      <c r="N325" s="186"/>
      <c r="O325" s="186"/>
      <c r="P325" s="186"/>
    </row>
    <row r="326" spans="2:16">
      <c r="B326" s="7880"/>
      <c r="C326" s="186"/>
      <c r="D326" s="186"/>
      <c r="E326" s="186"/>
      <c r="G326" s="7895" t="s">
        <v>2705</v>
      </c>
      <c r="H326" s="7882"/>
      <c r="K326" s="186"/>
      <c r="L326" s="186"/>
      <c r="M326" s="186"/>
      <c r="N326" s="186"/>
      <c r="O326" s="186"/>
      <c r="P326" s="186"/>
    </row>
    <row r="327" spans="2:16">
      <c r="B327" s="7880"/>
      <c r="C327" s="186"/>
      <c r="D327" s="186"/>
      <c r="E327" s="186"/>
      <c r="G327" s="7895" t="s">
        <v>2705</v>
      </c>
      <c r="H327" s="7882"/>
      <c r="K327" s="186"/>
      <c r="L327" s="186"/>
      <c r="M327" s="186"/>
      <c r="N327" s="186"/>
      <c r="O327" s="186"/>
      <c r="P327" s="186"/>
    </row>
    <row r="328" spans="2:16">
      <c r="B328" s="7880"/>
      <c r="C328" s="186"/>
      <c r="D328" s="186"/>
      <c r="E328" s="186"/>
      <c r="G328" s="7895"/>
      <c r="H328" s="7882"/>
      <c r="K328" s="186"/>
      <c r="L328" s="186"/>
      <c r="M328" s="186"/>
      <c r="N328" s="186"/>
      <c r="O328" s="186"/>
      <c r="P328" s="186"/>
    </row>
    <row r="329" spans="2:16">
      <c r="B329" s="7880"/>
      <c r="C329" s="186"/>
      <c r="D329" s="186"/>
      <c r="E329" s="186"/>
      <c r="H329" s="7882"/>
      <c r="K329" s="186"/>
      <c r="L329" s="186"/>
      <c r="M329" s="186"/>
      <c r="N329" s="186"/>
      <c r="O329" s="186"/>
      <c r="P329" s="186"/>
    </row>
    <row r="330" spans="2:16">
      <c r="B330" s="7883"/>
      <c r="C330" s="7884"/>
      <c r="D330" s="7884"/>
      <c r="E330" s="7884"/>
      <c r="F330" s="7885"/>
      <c r="G330" s="7885"/>
      <c r="H330" s="7886"/>
      <c r="K330" s="186"/>
      <c r="L330" s="186"/>
      <c r="M330" s="186"/>
      <c r="N330" s="186"/>
      <c r="O330" s="186"/>
      <c r="P330" s="186"/>
    </row>
    <row r="331" spans="2:16">
      <c r="K331" s="186"/>
      <c r="L331" s="186"/>
      <c r="M331" s="186"/>
      <c r="N331" s="186"/>
      <c r="O331" s="186"/>
      <c r="P331" s="186"/>
    </row>
    <row r="332" spans="2:16">
      <c r="B332" s="7876"/>
      <c r="C332" s="7877"/>
      <c r="D332" s="7877"/>
      <c r="E332" s="7877"/>
      <c r="F332" s="7878"/>
      <c r="G332" s="7896"/>
      <c r="H332" s="7879"/>
      <c r="K332" s="186"/>
      <c r="L332" s="186"/>
      <c r="M332" s="186"/>
      <c r="N332" s="186"/>
      <c r="O332" s="186"/>
      <c r="P332" s="186"/>
    </row>
    <row r="333" spans="2:16">
      <c r="B333" s="7880"/>
      <c r="C333" s="186"/>
      <c r="D333" s="186"/>
      <c r="E333" s="186"/>
      <c r="G333" s="7895"/>
      <c r="H333" s="7882"/>
      <c r="K333" s="186"/>
      <c r="L333" s="186"/>
      <c r="M333" s="186"/>
      <c r="N333" s="186"/>
      <c r="O333" s="186"/>
      <c r="P333" s="186"/>
    </row>
    <row r="334" spans="2:16">
      <c r="B334" s="7880"/>
      <c r="C334" s="186"/>
      <c r="D334" s="186"/>
      <c r="E334" s="186"/>
      <c r="G334" s="7895"/>
      <c r="H334" s="7882"/>
      <c r="K334" s="186"/>
      <c r="L334" s="186"/>
      <c r="M334" s="186"/>
      <c r="N334" s="186"/>
      <c r="O334" s="186"/>
      <c r="P334" s="186"/>
    </row>
    <row r="335" spans="2:16">
      <c r="B335" s="7880"/>
      <c r="C335" s="186"/>
      <c r="D335" s="186"/>
      <c r="E335" s="186"/>
      <c r="G335" s="7895" t="s">
        <v>2705</v>
      </c>
      <c r="H335" s="7882"/>
      <c r="K335" s="186"/>
      <c r="L335" s="186"/>
      <c r="M335" s="186"/>
      <c r="N335" s="186"/>
      <c r="O335" s="186"/>
      <c r="P335" s="186"/>
    </row>
    <row r="336" spans="2:16">
      <c r="B336" s="7880"/>
      <c r="C336" s="186"/>
      <c r="D336" s="186"/>
      <c r="E336" s="186"/>
      <c r="G336" s="7895" t="s">
        <v>2705</v>
      </c>
      <c r="H336" s="7882"/>
      <c r="K336" s="186"/>
      <c r="L336" s="186"/>
      <c r="M336" s="186"/>
      <c r="N336" s="186"/>
      <c r="O336" s="186"/>
      <c r="P336" s="186"/>
    </row>
    <row r="337" spans="2:16">
      <c r="B337" s="7880"/>
      <c r="C337" s="186"/>
      <c r="D337" s="186"/>
      <c r="E337" s="186"/>
      <c r="G337" s="7895" t="s">
        <v>2705</v>
      </c>
      <c r="H337" s="7882"/>
      <c r="K337" s="186"/>
      <c r="L337" s="186"/>
      <c r="M337" s="186"/>
      <c r="N337" s="186"/>
      <c r="O337" s="186"/>
      <c r="P337" s="186"/>
    </row>
    <row r="338" spans="2:16">
      <c r="B338" s="7880"/>
      <c r="C338" s="186"/>
      <c r="D338" s="186"/>
      <c r="E338" s="186"/>
      <c r="G338" s="7895" t="s">
        <v>2705</v>
      </c>
      <c r="H338" s="7882"/>
      <c r="K338" s="186"/>
      <c r="L338" s="186"/>
      <c r="M338" s="186"/>
      <c r="N338" s="186"/>
      <c r="O338" s="186"/>
      <c r="P338" s="186"/>
    </row>
    <row r="339" spans="2:16">
      <c r="B339" s="7880"/>
      <c r="C339" s="186"/>
      <c r="D339" s="186"/>
      <c r="E339" s="186"/>
      <c r="G339" s="7895"/>
      <c r="H339" s="7882"/>
      <c r="K339" s="186"/>
      <c r="L339" s="186"/>
      <c r="M339" s="186"/>
      <c r="N339" s="186"/>
      <c r="O339" s="186"/>
      <c r="P339" s="186"/>
    </row>
    <row r="340" spans="2:16">
      <c r="B340" s="7880"/>
      <c r="C340" s="186"/>
      <c r="D340" s="186"/>
      <c r="E340" s="186"/>
      <c r="H340" s="7882"/>
      <c r="K340" s="186"/>
      <c r="L340" s="186"/>
      <c r="M340" s="186"/>
      <c r="N340" s="186"/>
      <c r="O340" s="186"/>
      <c r="P340" s="186"/>
    </row>
    <row r="341" spans="2:16">
      <c r="B341" s="7883"/>
      <c r="C341" s="7884"/>
      <c r="D341" s="7884"/>
      <c r="E341" s="7884"/>
      <c r="F341" s="7885"/>
      <c r="G341" s="7885"/>
      <c r="H341" s="7886"/>
      <c r="K341" s="186"/>
      <c r="L341" s="186"/>
      <c r="M341" s="186"/>
      <c r="N341" s="186"/>
      <c r="O341" s="186"/>
      <c r="P341" s="186"/>
    </row>
    <row r="342" spans="2:16">
      <c r="K342" s="186"/>
      <c r="L342" s="186"/>
      <c r="M342" s="186"/>
      <c r="N342" s="186"/>
      <c r="O342" s="186"/>
      <c r="P342" s="186"/>
    </row>
    <row r="343" spans="2:16">
      <c r="B343" s="7876"/>
      <c r="C343" s="7877"/>
      <c r="D343" s="7877"/>
      <c r="E343" s="7877"/>
      <c r="F343" s="7878"/>
      <c r="G343" s="7896"/>
      <c r="H343" s="7879"/>
      <c r="K343" s="186"/>
      <c r="L343" s="186"/>
      <c r="M343" s="186"/>
      <c r="N343" s="186"/>
      <c r="O343" s="186"/>
      <c r="P343" s="186"/>
    </row>
    <row r="344" spans="2:16">
      <c r="B344" s="7880"/>
      <c r="C344" s="186"/>
      <c r="D344" s="186"/>
      <c r="E344" s="186"/>
      <c r="G344" s="7895"/>
      <c r="H344" s="7882"/>
      <c r="K344" s="186"/>
      <c r="L344" s="186"/>
      <c r="M344" s="186"/>
      <c r="N344" s="186"/>
      <c r="O344" s="186"/>
      <c r="P344" s="186"/>
    </row>
    <row r="345" spans="2:16">
      <c r="B345" s="7880"/>
      <c r="C345" s="186"/>
      <c r="D345" s="186"/>
      <c r="E345" s="186"/>
      <c r="G345" s="7895"/>
      <c r="H345" s="7882"/>
      <c r="K345" s="186"/>
      <c r="L345" s="186"/>
      <c r="M345" s="186"/>
      <c r="N345" s="186"/>
      <c r="O345" s="186"/>
      <c r="P345" s="186"/>
    </row>
    <row r="346" spans="2:16">
      <c r="B346" s="7880"/>
      <c r="C346" s="186"/>
      <c r="D346" s="186"/>
      <c r="E346" s="186"/>
      <c r="G346" s="7895" t="s">
        <v>2705</v>
      </c>
      <c r="H346" s="7882"/>
      <c r="K346" s="186"/>
      <c r="L346" s="186"/>
      <c r="M346" s="186"/>
      <c r="N346" s="186"/>
      <c r="O346" s="186"/>
      <c r="P346" s="186"/>
    </row>
    <row r="347" spans="2:16">
      <c r="B347" s="7880"/>
      <c r="C347" s="186"/>
      <c r="D347" s="186"/>
      <c r="E347" s="186"/>
      <c r="G347" s="7895" t="s">
        <v>2705</v>
      </c>
      <c r="H347" s="7882"/>
      <c r="K347" s="186"/>
      <c r="L347" s="186"/>
      <c r="M347" s="186"/>
      <c r="N347" s="186"/>
      <c r="O347" s="186"/>
      <c r="P347" s="186"/>
    </row>
    <row r="348" spans="2:16">
      <c r="B348" s="7880"/>
      <c r="C348" s="186"/>
      <c r="D348" s="186"/>
      <c r="E348" s="186"/>
      <c r="G348" s="7895" t="s">
        <v>2705</v>
      </c>
      <c r="H348" s="7882"/>
      <c r="K348" s="186"/>
      <c r="L348" s="186"/>
      <c r="M348" s="186"/>
      <c r="N348" s="186"/>
      <c r="O348" s="186"/>
      <c r="P348" s="186"/>
    </row>
    <row r="349" spans="2:16">
      <c r="B349" s="7880"/>
      <c r="C349" s="186"/>
      <c r="D349" s="186"/>
      <c r="E349" s="186"/>
      <c r="G349" s="7895" t="s">
        <v>2705</v>
      </c>
      <c r="H349" s="7882"/>
      <c r="K349" s="186"/>
      <c r="L349" s="186"/>
      <c r="M349" s="186"/>
      <c r="N349" s="186"/>
      <c r="O349" s="186"/>
      <c r="P349" s="186"/>
    </row>
    <row r="350" spans="2:16">
      <c r="B350" s="7880"/>
      <c r="C350" s="186"/>
      <c r="D350" s="186"/>
      <c r="E350" s="186"/>
      <c r="G350" s="7895"/>
      <c r="H350" s="7882"/>
      <c r="K350" s="186"/>
      <c r="L350" s="186"/>
      <c r="M350" s="186"/>
      <c r="N350" s="186"/>
      <c r="O350" s="186"/>
      <c r="P350" s="186"/>
    </row>
    <row r="351" spans="2:16">
      <c r="B351" s="7880"/>
      <c r="C351" s="186"/>
      <c r="D351" s="186"/>
      <c r="E351" s="186"/>
      <c r="H351" s="7882"/>
      <c r="K351" s="186"/>
      <c r="L351" s="186"/>
      <c r="M351" s="186"/>
      <c r="N351" s="186"/>
      <c r="O351" s="186"/>
      <c r="P351" s="186"/>
    </row>
    <row r="352" spans="2:16">
      <c r="B352" s="7883"/>
      <c r="C352" s="7884"/>
      <c r="D352" s="7884"/>
      <c r="E352" s="7884"/>
      <c r="F352" s="7885"/>
      <c r="G352" s="7885"/>
      <c r="H352" s="7886"/>
      <c r="K352" s="186"/>
      <c r="L352" s="186"/>
      <c r="M352" s="186"/>
      <c r="N352" s="186"/>
      <c r="O352" s="186"/>
      <c r="P352" s="186"/>
    </row>
    <row r="353" spans="2:16">
      <c r="K353" s="186"/>
      <c r="L353" s="186"/>
      <c r="M353" s="186"/>
      <c r="N353" s="186"/>
      <c r="O353" s="186"/>
      <c r="P353" s="186"/>
    </row>
    <row r="354" spans="2:16">
      <c r="B354" s="7876"/>
      <c r="C354" s="7877"/>
      <c r="D354" s="7877"/>
      <c r="E354" s="7877"/>
      <c r="F354" s="7878"/>
      <c r="G354" s="7896"/>
      <c r="H354" s="7879"/>
      <c r="K354" s="186"/>
      <c r="L354" s="186"/>
      <c r="M354" s="186"/>
      <c r="N354" s="186"/>
      <c r="O354" s="186"/>
      <c r="P354" s="186"/>
    </row>
    <row r="355" spans="2:16">
      <c r="B355" s="7880"/>
      <c r="C355" s="186"/>
      <c r="D355" s="186"/>
      <c r="E355" s="186"/>
      <c r="G355" s="7895"/>
      <c r="H355" s="7882"/>
      <c r="K355" s="186"/>
      <c r="L355" s="186"/>
      <c r="M355" s="186"/>
      <c r="N355" s="186"/>
      <c r="O355" s="186"/>
      <c r="P355" s="186"/>
    </row>
    <row r="356" spans="2:16">
      <c r="B356" s="7880"/>
      <c r="C356" s="186"/>
      <c r="D356" s="186"/>
      <c r="E356" s="186"/>
      <c r="G356" s="7895"/>
      <c r="H356" s="7882"/>
      <c r="K356" s="186"/>
      <c r="L356" s="186"/>
      <c r="M356" s="186"/>
      <c r="N356" s="186"/>
      <c r="O356" s="186"/>
      <c r="P356" s="186"/>
    </row>
    <row r="357" spans="2:16">
      <c r="B357" s="7880"/>
      <c r="C357" s="186"/>
      <c r="D357" s="186"/>
      <c r="E357" s="186"/>
      <c r="G357" s="7895" t="s">
        <v>2705</v>
      </c>
      <c r="H357" s="7882"/>
      <c r="K357" s="186"/>
      <c r="L357" s="186"/>
      <c r="M357" s="186"/>
      <c r="N357" s="186"/>
      <c r="O357" s="186"/>
      <c r="P357" s="186"/>
    </row>
    <row r="358" spans="2:16">
      <c r="B358" s="7880"/>
      <c r="C358" s="186"/>
      <c r="D358" s="186"/>
      <c r="E358" s="186"/>
      <c r="G358" s="7895" t="s">
        <v>2705</v>
      </c>
      <c r="H358" s="7882"/>
      <c r="K358" s="186"/>
      <c r="L358" s="186"/>
      <c r="M358" s="186"/>
      <c r="N358" s="186"/>
      <c r="O358" s="186"/>
      <c r="P358" s="186"/>
    </row>
    <row r="359" spans="2:16">
      <c r="B359" s="7880"/>
      <c r="C359" s="186"/>
      <c r="D359" s="186"/>
      <c r="E359" s="186"/>
      <c r="G359" s="7895" t="s">
        <v>2705</v>
      </c>
      <c r="H359" s="7882"/>
      <c r="K359" s="186"/>
      <c r="L359" s="186"/>
      <c r="M359" s="186"/>
      <c r="N359" s="186"/>
      <c r="O359" s="186"/>
      <c r="P359" s="186"/>
    </row>
    <row r="360" spans="2:16">
      <c r="B360" s="7880"/>
      <c r="C360" s="186"/>
      <c r="D360" s="186"/>
      <c r="E360" s="186"/>
      <c r="G360" s="7895" t="s">
        <v>2705</v>
      </c>
      <c r="H360" s="7882"/>
      <c r="K360" s="186"/>
      <c r="L360" s="186"/>
      <c r="M360" s="186"/>
      <c r="N360" s="186"/>
      <c r="O360" s="186"/>
      <c r="P360" s="186"/>
    </row>
    <row r="361" spans="2:16">
      <c r="B361" s="7880"/>
      <c r="C361" s="186"/>
      <c r="D361" s="186"/>
      <c r="E361" s="186"/>
      <c r="G361" s="7895"/>
      <c r="H361" s="7882"/>
      <c r="K361" s="186"/>
      <c r="L361" s="186"/>
      <c r="M361" s="186"/>
      <c r="N361" s="186"/>
      <c r="O361" s="186"/>
      <c r="P361" s="186"/>
    </row>
    <row r="362" spans="2:16">
      <c r="B362" s="7880"/>
      <c r="C362" s="186"/>
      <c r="D362" s="186"/>
      <c r="E362" s="186"/>
      <c r="H362" s="7882"/>
      <c r="K362" s="186"/>
      <c r="L362" s="186"/>
      <c r="M362" s="186"/>
      <c r="N362" s="186"/>
      <c r="O362" s="186"/>
      <c r="P362" s="186"/>
    </row>
    <row r="363" spans="2:16">
      <c r="B363" s="7883"/>
      <c r="C363" s="7884"/>
      <c r="D363" s="7884"/>
      <c r="E363" s="7884"/>
      <c r="F363" s="7885"/>
      <c r="G363" s="7885"/>
      <c r="H363" s="7886"/>
      <c r="K363" s="186"/>
      <c r="L363" s="186"/>
      <c r="M363" s="186"/>
      <c r="N363" s="186"/>
      <c r="O363" s="186"/>
      <c r="P363" s="186"/>
    </row>
    <row r="364" spans="2:16">
      <c r="K364" s="186"/>
      <c r="L364" s="186"/>
      <c r="M364" s="186"/>
      <c r="N364" s="186"/>
      <c r="O364" s="186"/>
      <c r="P364" s="186"/>
    </row>
    <row r="365" spans="2:16">
      <c r="B365" s="7876"/>
      <c r="C365" s="7877"/>
      <c r="D365" s="7877"/>
      <c r="E365" s="7877"/>
      <c r="F365" s="7878"/>
      <c r="G365" s="7896"/>
      <c r="H365" s="7879"/>
      <c r="K365" s="186"/>
      <c r="L365" s="186"/>
      <c r="M365" s="186"/>
      <c r="N365" s="186"/>
      <c r="O365" s="186"/>
      <c r="P365" s="186"/>
    </row>
    <row r="366" spans="2:16">
      <c r="B366" s="7880"/>
      <c r="C366" s="186"/>
      <c r="D366" s="186"/>
      <c r="E366" s="186"/>
      <c r="G366" s="7895"/>
      <c r="H366" s="7882"/>
      <c r="K366" s="186"/>
      <c r="L366" s="186"/>
      <c r="M366" s="186"/>
      <c r="N366" s="186"/>
      <c r="O366" s="186"/>
      <c r="P366" s="186"/>
    </row>
    <row r="367" spans="2:16">
      <c r="B367" s="7880"/>
      <c r="C367" s="186"/>
      <c r="D367" s="186"/>
      <c r="E367" s="186"/>
      <c r="G367" s="7895"/>
      <c r="H367" s="7882"/>
      <c r="K367" s="186"/>
      <c r="L367" s="186"/>
      <c r="M367" s="186"/>
      <c r="N367" s="186"/>
      <c r="O367" s="186"/>
      <c r="P367" s="186"/>
    </row>
    <row r="368" spans="2:16">
      <c r="B368" s="7880"/>
      <c r="C368" s="186"/>
      <c r="D368" s="186"/>
      <c r="E368" s="186"/>
      <c r="G368" s="7895" t="s">
        <v>2705</v>
      </c>
      <c r="H368" s="7882"/>
      <c r="K368" s="186"/>
      <c r="L368" s="186"/>
      <c r="M368" s="186"/>
      <c r="N368" s="186"/>
      <c r="O368" s="186"/>
      <c r="P368" s="186"/>
    </row>
    <row r="369" spans="2:16">
      <c r="B369" s="7880"/>
      <c r="C369" s="186"/>
      <c r="D369" s="186"/>
      <c r="E369" s="186"/>
      <c r="G369" s="7895" t="s">
        <v>2705</v>
      </c>
      <c r="H369" s="7882"/>
      <c r="K369" s="186"/>
      <c r="L369" s="186"/>
      <c r="M369" s="186"/>
      <c r="N369" s="186"/>
      <c r="O369" s="186"/>
      <c r="P369" s="186"/>
    </row>
    <row r="370" spans="2:16">
      <c r="B370" s="7880"/>
      <c r="C370" s="186"/>
      <c r="D370" s="186"/>
      <c r="E370" s="186"/>
      <c r="G370" s="7895" t="s">
        <v>2705</v>
      </c>
      <c r="H370" s="7882"/>
      <c r="K370" s="186"/>
      <c r="L370" s="186"/>
      <c r="M370" s="186"/>
      <c r="N370" s="186"/>
      <c r="O370" s="186"/>
      <c r="P370" s="186"/>
    </row>
    <row r="371" spans="2:16">
      <c r="B371" s="7880"/>
      <c r="C371" s="186"/>
      <c r="D371" s="186"/>
      <c r="E371" s="186"/>
      <c r="G371" s="7895" t="s">
        <v>2705</v>
      </c>
      <c r="H371" s="7882"/>
      <c r="K371" s="186"/>
      <c r="L371" s="186"/>
      <c r="M371" s="186"/>
      <c r="N371" s="186"/>
      <c r="O371" s="186"/>
      <c r="P371" s="186"/>
    </row>
    <row r="372" spans="2:16">
      <c r="B372" s="7880"/>
      <c r="C372" s="186"/>
      <c r="D372" s="186"/>
      <c r="E372" s="186"/>
      <c r="G372" s="7895"/>
      <c r="H372" s="7882"/>
      <c r="K372" s="186"/>
      <c r="L372" s="186"/>
      <c r="M372" s="186"/>
      <c r="N372" s="186"/>
      <c r="O372" s="186"/>
      <c r="P372" s="186"/>
    </row>
    <row r="373" spans="2:16">
      <c r="B373" s="7880"/>
      <c r="C373" s="186"/>
      <c r="D373" s="186"/>
      <c r="E373" s="186"/>
      <c r="H373" s="7882"/>
      <c r="K373" s="186"/>
      <c r="L373" s="186"/>
      <c r="M373" s="186"/>
      <c r="N373" s="186"/>
      <c r="O373" s="186"/>
      <c r="P373" s="186"/>
    </row>
    <row r="374" spans="2:16">
      <c r="B374" s="7883"/>
      <c r="C374" s="7884"/>
      <c r="D374" s="7884"/>
      <c r="E374" s="7884"/>
      <c r="F374" s="7885"/>
      <c r="G374" s="7885"/>
      <c r="H374" s="7886"/>
      <c r="K374" s="186"/>
      <c r="L374" s="186"/>
      <c r="M374" s="186"/>
      <c r="N374" s="186"/>
      <c r="O374" s="186"/>
      <c r="P374" s="186"/>
    </row>
    <row r="375" spans="2:16">
      <c r="K375" s="186"/>
      <c r="L375" s="186"/>
      <c r="M375" s="186"/>
      <c r="N375" s="186"/>
      <c r="O375" s="186"/>
      <c r="P375" s="186"/>
    </row>
    <row r="376" spans="2:16">
      <c r="B376" s="2688" t="s">
        <v>14430</v>
      </c>
      <c r="K376" s="186"/>
      <c r="L376" s="186"/>
      <c r="M376" s="186"/>
      <c r="N376" s="186"/>
      <c r="O376" s="186"/>
      <c r="P376" s="186"/>
    </row>
    <row r="377" spans="2:16">
      <c r="K377" s="186"/>
      <c r="L377" s="186"/>
      <c r="M377" s="186"/>
      <c r="N377" s="186"/>
      <c r="O377" s="186"/>
      <c r="P377" s="186"/>
    </row>
    <row r="378" spans="2:16">
      <c r="B378" s="7876"/>
      <c r="C378" s="7877"/>
      <c r="D378" s="7877"/>
      <c r="E378" s="7877"/>
      <c r="F378" s="7878"/>
      <c r="G378" s="7878"/>
      <c r="H378" s="7879"/>
      <c r="K378" s="186"/>
      <c r="L378" s="186"/>
      <c r="M378" s="186"/>
      <c r="N378" s="186"/>
      <c r="O378" s="186"/>
      <c r="P378" s="186"/>
    </row>
    <row r="379" spans="2:16">
      <c r="B379" s="7880"/>
      <c r="C379" s="186"/>
      <c r="D379" s="186"/>
      <c r="E379" s="186"/>
      <c r="H379" s="7882"/>
      <c r="K379" s="186"/>
      <c r="L379" s="186"/>
      <c r="M379" s="186"/>
      <c r="N379" s="186"/>
      <c r="O379" s="186"/>
      <c r="P379" s="186"/>
    </row>
    <row r="380" spans="2:16">
      <c r="B380" s="7880"/>
      <c r="C380" s="186"/>
      <c r="D380" s="186"/>
      <c r="E380" s="186"/>
      <c r="H380" s="7882"/>
      <c r="K380" s="186"/>
      <c r="L380" s="186"/>
      <c r="M380" s="186"/>
      <c r="N380" s="186"/>
      <c r="O380" s="186"/>
      <c r="P380" s="186"/>
    </row>
    <row r="381" spans="2:16">
      <c r="B381" s="7880"/>
      <c r="C381" s="186"/>
      <c r="D381" s="186"/>
      <c r="E381" s="186"/>
      <c r="G381" s="7888" t="s">
        <v>14548</v>
      </c>
      <c r="H381" s="7882"/>
      <c r="K381" s="186"/>
      <c r="L381" s="186"/>
      <c r="M381" s="186"/>
      <c r="N381" s="186"/>
      <c r="O381" s="186"/>
      <c r="P381" s="186"/>
    </row>
    <row r="382" spans="2:16">
      <c r="B382" s="7880"/>
      <c r="C382" s="186"/>
      <c r="D382" s="186"/>
      <c r="E382" s="186"/>
      <c r="G382" s="7889" t="s">
        <v>14549</v>
      </c>
      <c r="H382" s="7882"/>
      <c r="K382" s="186"/>
      <c r="L382" s="186"/>
      <c r="M382" s="186"/>
      <c r="N382" s="186"/>
      <c r="O382" s="186"/>
      <c r="P382" s="186"/>
    </row>
    <row r="383" spans="2:16">
      <c r="B383" s="7880"/>
      <c r="C383" s="186"/>
      <c r="D383" s="186"/>
      <c r="E383" s="186"/>
      <c r="G383" s="7890" t="s">
        <v>14550</v>
      </c>
      <c r="H383" s="7882"/>
      <c r="K383" s="186"/>
      <c r="L383" s="186"/>
      <c r="M383" s="186"/>
      <c r="N383" s="186"/>
      <c r="O383" s="186"/>
      <c r="P383" s="186"/>
    </row>
    <row r="384" spans="2:16">
      <c r="B384" s="7880"/>
      <c r="C384" s="186"/>
      <c r="D384" s="186"/>
      <c r="E384" s="186"/>
      <c r="H384" s="7882"/>
      <c r="K384" s="186"/>
      <c r="L384" s="186"/>
      <c r="M384" s="186"/>
      <c r="N384" s="186"/>
      <c r="O384" s="186"/>
      <c r="P384" s="186"/>
    </row>
    <row r="385" spans="2:16">
      <c r="B385" s="7880"/>
      <c r="C385" s="186"/>
      <c r="D385" s="186"/>
      <c r="E385" s="186"/>
      <c r="H385" s="7882"/>
      <c r="K385" s="186"/>
      <c r="L385" s="186"/>
      <c r="M385" s="186"/>
      <c r="N385" s="186"/>
      <c r="O385" s="186"/>
      <c r="P385" s="186"/>
    </row>
    <row r="386" spans="2:16">
      <c r="B386" s="7880"/>
      <c r="C386" s="186"/>
      <c r="D386" s="186"/>
      <c r="E386" s="186"/>
      <c r="H386" s="7882"/>
      <c r="K386" s="186"/>
      <c r="L386" s="186"/>
      <c r="M386" s="186"/>
      <c r="N386" s="186"/>
      <c r="O386" s="186"/>
      <c r="P386" s="186"/>
    </row>
    <row r="387" spans="2:16">
      <c r="B387" s="7883"/>
      <c r="C387" s="7884"/>
      <c r="D387" s="7884"/>
      <c r="E387" s="7884"/>
      <c r="F387" s="7885"/>
      <c r="G387" s="7885"/>
      <c r="H387" s="7886"/>
      <c r="K387" s="186"/>
      <c r="L387" s="186"/>
      <c r="M387" s="186"/>
      <c r="N387" s="186"/>
      <c r="O387" s="186"/>
      <c r="P387" s="186"/>
    </row>
    <row r="388" spans="2:16">
      <c r="K388" s="186"/>
      <c r="L388" s="186"/>
      <c r="M388" s="186"/>
      <c r="N388" s="186"/>
      <c r="O388" s="186"/>
      <c r="P388" s="186"/>
    </row>
    <row r="389" spans="2:16">
      <c r="B389" s="7876"/>
      <c r="C389" s="7877"/>
      <c r="D389" s="7877"/>
      <c r="E389" s="7877"/>
      <c r="F389" s="7878"/>
      <c r="G389" s="7878"/>
      <c r="H389" s="7879"/>
      <c r="K389" s="186"/>
      <c r="L389" s="186"/>
      <c r="M389" s="186"/>
      <c r="N389" s="186"/>
      <c r="O389" s="186"/>
      <c r="P389" s="186"/>
    </row>
    <row r="390" spans="2:16">
      <c r="B390" s="7880"/>
      <c r="C390" s="186"/>
      <c r="D390" s="186"/>
      <c r="E390" s="186"/>
      <c r="H390" s="7882"/>
      <c r="K390" s="186"/>
      <c r="L390" s="186"/>
      <c r="M390" s="186"/>
      <c r="N390" s="186"/>
      <c r="O390" s="186"/>
      <c r="P390" s="186"/>
    </row>
    <row r="391" spans="2:16">
      <c r="B391" s="7880"/>
      <c r="C391" s="186"/>
      <c r="D391" s="186"/>
      <c r="E391" s="186"/>
      <c r="H391" s="7882"/>
      <c r="K391" s="186"/>
      <c r="L391" s="186"/>
      <c r="M391" s="186"/>
      <c r="N391" s="186"/>
      <c r="O391" s="186"/>
      <c r="P391" s="186"/>
    </row>
    <row r="392" spans="2:16">
      <c r="B392" s="7880"/>
      <c r="C392" s="186"/>
      <c r="D392" s="186"/>
      <c r="E392" s="186"/>
      <c r="G392" s="7868" t="s">
        <v>14551</v>
      </c>
      <c r="H392" s="7882"/>
      <c r="K392" s="186"/>
      <c r="L392" s="186"/>
      <c r="M392" s="186"/>
      <c r="N392" s="186"/>
      <c r="O392" s="186"/>
      <c r="P392" s="186"/>
    </row>
    <row r="393" spans="2:16">
      <c r="B393" s="7880"/>
      <c r="C393" s="186"/>
      <c r="D393" s="186"/>
      <c r="E393" s="186"/>
      <c r="G393" s="7869" t="s">
        <v>14552</v>
      </c>
      <c r="H393" s="7882"/>
      <c r="K393" s="186"/>
      <c r="L393" s="186"/>
      <c r="M393" s="186"/>
      <c r="N393" s="186"/>
      <c r="O393" s="186"/>
      <c r="P393" s="186"/>
    </row>
    <row r="394" spans="2:16">
      <c r="B394" s="7880"/>
      <c r="C394" s="186"/>
      <c r="D394" s="186"/>
      <c r="E394" s="186"/>
      <c r="G394" s="7870" t="s">
        <v>14553</v>
      </c>
      <c r="H394" s="7882"/>
      <c r="K394" s="186"/>
      <c r="L394" s="186"/>
      <c r="M394" s="186"/>
      <c r="N394" s="186"/>
      <c r="O394" s="186"/>
      <c r="P394" s="186"/>
    </row>
    <row r="395" spans="2:16">
      <c r="B395" s="7880"/>
      <c r="C395" s="186"/>
      <c r="D395" s="186"/>
      <c r="E395" s="186"/>
      <c r="H395" s="7882"/>
      <c r="K395" s="186"/>
      <c r="L395" s="186"/>
      <c r="M395" s="186"/>
      <c r="N395" s="186"/>
      <c r="O395" s="186"/>
      <c r="P395" s="186"/>
    </row>
    <row r="396" spans="2:16">
      <c r="B396" s="7880"/>
      <c r="C396" s="186"/>
      <c r="D396" s="186"/>
      <c r="E396" s="186"/>
      <c r="H396" s="7882"/>
      <c r="K396" s="186"/>
      <c r="L396" s="186"/>
      <c r="M396" s="186"/>
      <c r="N396" s="186"/>
      <c r="O396" s="186"/>
      <c r="P396" s="186"/>
    </row>
    <row r="397" spans="2:16">
      <c r="B397" s="7880"/>
      <c r="C397" s="186"/>
      <c r="D397" s="186"/>
      <c r="E397" s="186"/>
      <c r="H397" s="7882"/>
      <c r="K397" s="186"/>
      <c r="L397" s="186"/>
      <c r="M397" s="186"/>
      <c r="N397" s="186"/>
      <c r="O397" s="186"/>
      <c r="P397" s="186"/>
    </row>
    <row r="398" spans="2:16">
      <c r="B398" s="7883"/>
      <c r="C398" s="7884"/>
      <c r="D398" s="7884"/>
      <c r="E398" s="7884"/>
      <c r="F398" s="7885"/>
      <c r="G398" s="7885"/>
      <c r="H398" s="7886"/>
      <c r="K398" s="186"/>
      <c r="L398" s="186"/>
      <c r="M398" s="186"/>
      <c r="N398" s="186"/>
      <c r="O398" s="186"/>
      <c r="P398" s="186"/>
    </row>
    <row r="399" spans="2:16">
      <c r="K399" s="186"/>
      <c r="L399" s="186"/>
      <c r="M399" s="186"/>
      <c r="N399" s="186"/>
      <c r="O399" s="186"/>
      <c r="P399" s="186"/>
    </row>
    <row r="400" spans="2:16">
      <c r="B400" s="7876"/>
      <c r="C400" s="7877"/>
      <c r="D400" s="7877"/>
      <c r="E400" s="7877"/>
      <c r="F400" s="7878"/>
      <c r="G400" s="7878"/>
      <c r="H400" s="7879"/>
      <c r="K400" s="186"/>
      <c r="L400" s="186"/>
      <c r="M400" s="186"/>
      <c r="N400" s="186"/>
      <c r="O400" s="186"/>
      <c r="P400" s="186"/>
    </row>
    <row r="401" spans="2:16">
      <c r="B401" s="7880"/>
      <c r="C401" s="186"/>
      <c r="D401" s="186"/>
      <c r="E401" s="186"/>
      <c r="H401" s="7882"/>
      <c r="K401" s="186"/>
      <c r="L401" s="186"/>
      <c r="M401" s="186"/>
      <c r="N401" s="186"/>
      <c r="O401" s="186"/>
      <c r="P401" s="186"/>
    </row>
    <row r="402" spans="2:16">
      <c r="B402" s="7880"/>
      <c r="C402" s="186"/>
      <c r="D402" s="186"/>
      <c r="E402" s="186"/>
      <c r="H402" s="7882"/>
      <c r="K402" s="186"/>
      <c r="L402" s="186"/>
      <c r="M402" s="186"/>
      <c r="N402" s="186"/>
      <c r="O402" s="186"/>
      <c r="P402" s="186"/>
    </row>
    <row r="403" spans="2:16">
      <c r="B403" s="7880"/>
      <c r="C403" s="186"/>
      <c r="D403" s="186"/>
      <c r="E403" s="186"/>
      <c r="G403" s="7871" t="s">
        <v>14555</v>
      </c>
      <c r="H403" s="7882"/>
      <c r="K403" s="186"/>
      <c r="L403" s="186"/>
      <c r="M403" s="186"/>
      <c r="N403" s="186"/>
      <c r="O403" s="186"/>
      <c r="P403" s="186"/>
    </row>
    <row r="404" spans="2:16">
      <c r="B404" s="7880"/>
      <c r="C404" s="186"/>
      <c r="D404" s="186"/>
      <c r="E404" s="186"/>
      <c r="G404" s="7872" t="s">
        <v>14557</v>
      </c>
      <c r="H404" s="7882"/>
      <c r="K404" s="186"/>
      <c r="L404" s="186"/>
      <c r="M404" s="186"/>
      <c r="N404" s="186"/>
      <c r="O404" s="186"/>
      <c r="P404" s="186"/>
    </row>
    <row r="405" spans="2:16">
      <c r="B405" s="7880"/>
      <c r="C405" s="186"/>
      <c r="D405" s="186"/>
      <c r="E405" s="186"/>
      <c r="G405" s="7873" t="s">
        <v>14559</v>
      </c>
      <c r="H405" s="7882"/>
      <c r="K405" s="186"/>
      <c r="L405" s="186"/>
      <c r="M405" s="186"/>
      <c r="N405" s="186"/>
      <c r="O405" s="186"/>
      <c r="P405" s="186"/>
    </row>
    <row r="406" spans="2:16">
      <c r="B406" s="7880"/>
      <c r="C406" s="186"/>
      <c r="D406" s="186"/>
      <c r="E406" s="186"/>
      <c r="H406" s="7882"/>
      <c r="K406" s="186"/>
      <c r="L406" s="186"/>
      <c r="M406" s="186"/>
      <c r="N406" s="186"/>
      <c r="O406" s="186"/>
      <c r="P406" s="186"/>
    </row>
    <row r="407" spans="2:16">
      <c r="B407" s="7880"/>
      <c r="C407" s="186"/>
      <c r="D407" s="186"/>
      <c r="E407" s="186"/>
      <c r="H407" s="7882"/>
      <c r="K407" s="186"/>
      <c r="L407" s="186"/>
      <c r="M407" s="186"/>
      <c r="N407" s="186"/>
      <c r="O407" s="186"/>
      <c r="P407" s="186"/>
    </row>
    <row r="408" spans="2:16">
      <c r="B408" s="7880"/>
      <c r="C408" s="186"/>
      <c r="D408" s="186"/>
      <c r="E408" s="186"/>
      <c r="H408" s="7882"/>
      <c r="K408" s="186"/>
      <c r="L408" s="186"/>
      <c r="M408" s="186"/>
      <c r="N408" s="186"/>
      <c r="O408" s="186"/>
      <c r="P408" s="186"/>
    </row>
    <row r="409" spans="2:16">
      <c r="B409" s="7883"/>
      <c r="C409" s="7884"/>
      <c r="D409" s="7884"/>
      <c r="E409" s="7884"/>
      <c r="F409" s="7885"/>
      <c r="G409" s="7885"/>
      <c r="H409" s="7886"/>
      <c r="K409" s="186"/>
      <c r="L409" s="186"/>
      <c r="M409" s="186"/>
      <c r="N409" s="186"/>
      <c r="O409" s="186"/>
      <c r="P409" s="186"/>
    </row>
    <row r="410" spans="2:16">
      <c r="K410" s="186"/>
      <c r="L410" s="186"/>
      <c r="M410" s="186"/>
      <c r="N410" s="186"/>
      <c r="O410" s="186"/>
      <c r="P410" s="186"/>
    </row>
    <row r="411" spans="2:16">
      <c r="B411" s="7876"/>
      <c r="C411" s="7877"/>
      <c r="D411" s="7877"/>
      <c r="E411" s="7877"/>
      <c r="F411" s="7878"/>
      <c r="G411" s="7878"/>
      <c r="H411" s="7879"/>
      <c r="K411" s="186"/>
      <c r="L411" s="186"/>
      <c r="M411" s="186"/>
      <c r="N411" s="186"/>
      <c r="O411" s="186"/>
      <c r="P411" s="186"/>
    </row>
    <row r="412" spans="2:16">
      <c r="B412" s="7880"/>
      <c r="C412" s="186"/>
      <c r="D412" s="186"/>
      <c r="E412" s="186"/>
      <c r="H412" s="7882"/>
      <c r="K412" s="186"/>
      <c r="L412" s="186"/>
      <c r="M412" s="186"/>
      <c r="N412" s="186"/>
      <c r="O412" s="186"/>
      <c r="P412" s="186"/>
    </row>
    <row r="413" spans="2:16">
      <c r="B413" s="7880"/>
      <c r="C413" s="186"/>
      <c r="D413" s="186"/>
      <c r="E413" s="186"/>
      <c r="H413" s="7882"/>
      <c r="K413" s="186"/>
      <c r="L413" s="186"/>
      <c r="M413" s="186"/>
      <c r="N413" s="186"/>
      <c r="O413" s="186"/>
      <c r="P413" s="186"/>
    </row>
    <row r="414" spans="2:16">
      <c r="B414" s="7880"/>
      <c r="C414" s="186"/>
      <c r="D414" s="186"/>
      <c r="E414" s="186"/>
      <c r="G414" s="7891" t="s">
        <v>14562</v>
      </c>
      <c r="H414" s="7882"/>
      <c r="K414" s="186"/>
      <c r="L414" s="186"/>
      <c r="M414" s="186"/>
      <c r="N414" s="186"/>
      <c r="O414" s="186"/>
      <c r="P414" s="186"/>
    </row>
    <row r="415" spans="2:16">
      <c r="B415" s="7880"/>
      <c r="C415" s="186"/>
      <c r="D415" s="186"/>
      <c r="E415" s="186"/>
      <c r="G415" s="7892" t="s">
        <v>14563</v>
      </c>
      <c r="H415" s="7882"/>
      <c r="K415" s="186"/>
      <c r="L415" s="186"/>
      <c r="M415" s="186"/>
      <c r="N415" s="186"/>
      <c r="O415" s="186"/>
      <c r="P415" s="186"/>
    </row>
    <row r="416" spans="2:16">
      <c r="B416" s="7880"/>
      <c r="C416" s="186"/>
      <c r="D416" s="186"/>
      <c r="E416" s="186"/>
      <c r="G416" s="7893" t="s">
        <v>14564</v>
      </c>
      <c r="H416" s="7882"/>
      <c r="K416" s="186"/>
      <c r="L416" s="186"/>
      <c r="M416" s="186"/>
      <c r="N416" s="186"/>
      <c r="O416" s="186"/>
      <c r="P416" s="186"/>
    </row>
    <row r="417" spans="2:16">
      <c r="B417" s="7880"/>
      <c r="C417" s="186"/>
      <c r="D417" s="186"/>
      <c r="E417" s="186"/>
      <c r="H417" s="7882"/>
      <c r="K417" s="186"/>
      <c r="L417" s="186"/>
      <c r="M417" s="186"/>
      <c r="N417" s="186"/>
      <c r="O417" s="186"/>
      <c r="P417" s="186"/>
    </row>
    <row r="418" spans="2:16">
      <c r="B418" s="7880"/>
      <c r="C418" s="186"/>
      <c r="D418" s="186"/>
      <c r="E418" s="186"/>
      <c r="H418" s="7882"/>
      <c r="K418" s="186"/>
      <c r="L418" s="186"/>
      <c r="M418" s="186"/>
      <c r="N418" s="186"/>
      <c r="O418" s="186"/>
      <c r="P418" s="186"/>
    </row>
    <row r="419" spans="2:16">
      <c r="B419" s="7880"/>
      <c r="C419" s="186"/>
      <c r="D419" s="186"/>
      <c r="E419" s="186"/>
      <c r="H419" s="7882"/>
      <c r="K419" s="186"/>
      <c r="L419" s="186"/>
      <c r="M419" s="186"/>
      <c r="N419" s="186"/>
      <c r="O419" s="186"/>
      <c r="P419" s="186"/>
    </row>
    <row r="420" spans="2:16">
      <c r="B420" s="7883"/>
      <c r="C420" s="7884"/>
      <c r="D420" s="7884"/>
      <c r="E420" s="7884"/>
      <c r="F420" s="7885"/>
      <c r="G420" s="7885"/>
      <c r="H420" s="7886"/>
      <c r="K420" s="186"/>
      <c r="L420" s="186"/>
      <c r="M420" s="186"/>
      <c r="N420" s="186"/>
      <c r="O420" s="186"/>
      <c r="P420" s="186"/>
    </row>
    <row r="421" spans="2:16">
      <c r="K421" s="186"/>
      <c r="L421" s="186"/>
      <c r="M421" s="186"/>
      <c r="N421" s="186"/>
      <c r="O421" s="186"/>
      <c r="P421" s="186"/>
    </row>
    <row r="422" spans="2:16">
      <c r="B422" s="7876"/>
      <c r="C422" s="7877"/>
      <c r="D422" s="7877"/>
      <c r="E422" s="7877"/>
      <c r="F422" s="7878"/>
      <c r="G422" s="7896"/>
      <c r="H422" s="7879"/>
      <c r="K422" s="186"/>
      <c r="L422" s="186"/>
      <c r="M422" s="186"/>
      <c r="N422" s="186"/>
      <c r="O422" s="186"/>
      <c r="P422" s="186"/>
    </row>
    <row r="423" spans="2:16">
      <c r="B423" s="7880"/>
      <c r="C423" s="186"/>
      <c r="D423" s="186"/>
      <c r="E423" s="186"/>
      <c r="G423" s="7895"/>
      <c r="H423" s="7882"/>
      <c r="K423" s="186"/>
      <c r="L423" s="186"/>
      <c r="M423" s="186"/>
      <c r="N423" s="186"/>
      <c r="O423" s="186"/>
      <c r="P423" s="186"/>
    </row>
    <row r="424" spans="2:16">
      <c r="B424" s="7880"/>
      <c r="C424" s="186"/>
      <c r="D424" s="186"/>
      <c r="E424" s="186"/>
      <c r="G424" s="7895"/>
      <c r="H424" s="7882"/>
      <c r="K424" s="186"/>
      <c r="L424" s="186"/>
      <c r="M424" s="186"/>
      <c r="N424" s="186"/>
      <c r="O424" s="186"/>
      <c r="P424" s="186"/>
    </row>
    <row r="425" spans="2:16">
      <c r="B425" s="7880"/>
      <c r="C425" s="186"/>
      <c r="D425" s="186"/>
      <c r="E425" s="186"/>
      <c r="G425" s="7895" t="s">
        <v>2705</v>
      </c>
      <c r="H425" s="7882"/>
      <c r="K425" s="186"/>
      <c r="L425" s="186"/>
      <c r="M425" s="186"/>
      <c r="N425" s="186"/>
      <c r="O425" s="186"/>
      <c r="P425" s="186"/>
    </row>
    <row r="426" spans="2:16">
      <c r="B426" s="7880"/>
      <c r="C426" s="186"/>
      <c r="D426" s="186"/>
      <c r="E426" s="186"/>
      <c r="G426" s="7895" t="s">
        <v>2705</v>
      </c>
      <c r="H426" s="7882"/>
      <c r="K426" s="186"/>
      <c r="L426" s="186"/>
      <c r="M426" s="186"/>
      <c r="N426" s="186"/>
      <c r="O426" s="186"/>
      <c r="P426" s="186"/>
    </row>
    <row r="427" spans="2:16">
      <c r="B427" s="7880"/>
      <c r="C427" s="186"/>
      <c r="D427" s="186"/>
      <c r="E427" s="186"/>
      <c r="G427" s="7895" t="s">
        <v>2705</v>
      </c>
      <c r="H427" s="7882"/>
      <c r="K427" s="186"/>
      <c r="L427" s="186"/>
      <c r="M427" s="186"/>
      <c r="N427" s="186"/>
      <c r="O427" s="186"/>
      <c r="P427" s="186"/>
    </row>
    <row r="428" spans="2:16">
      <c r="B428" s="7880"/>
      <c r="C428" s="186"/>
      <c r="D428" s="186"/>
      <c r="E428" s="186"/>
      <c r="G428" s="7895" t="s">
        <v>2705</v>
      </c>
      <c r="H428" s="7882"/>
      <c r="K428" s="186"/>
      <c r="L428" s="186"/>
      <c r="M428" s="186"/>
      <c r="N428" s="186"/>
      <c r="O428" s="186"/>
      <c r="P428" s="186"/>
    </row>
    <row r="429" spans="2:16">
      <c r="B429" s="7880"/>
      <c r="C429" s="186"/>
      <c r="D429" s="186"/>
      <c r="E429" s="186"/>
      <c r="G429" s="7895"/>
      <c r="H429" s="7882"/>
      <c r="K429" s="186"/>
      <c r="L429" s="186"/>
      <c r="M429" s="186"/>
      <c r="N429" s="186"/>
      <c r="O429" s="186"/>
      <c r="P429" s="186"/>
    </row>
    <row r="430" spans="2:16">
      <c r="B430" s="7880"/>
      <c r="C430" s="186"/>
      <c r="D430" s="186"/>
      <c r="E430" s="186"/>
      <c r="H430" s="7882"/>
      <c r="K430" s="186"/>
      <c r="L430" s="186"/>
      <c r="M430" s="186"/>
      <c r="N430" s="186"/>
      <c r="O430" s="186"/>
      <c r="P430" s="186"/>
    </row>
    <row r="431" spans="2:16">
      <c r="B431" s="7883"/>
      <c r="C431" s="7884"/>
      <c r="D431" s="7884"/>
      <c r="E431" s="7884"/>
      <c r="F431" s="7885"/>
      <c r="G431" s="7885"/>
      <c r="H431" s="7886"/>
      <c r="K431" s="186"/>
      <c r="L431" s="186"/>
      <c r="M431" s="186"/>
      <c r="N431" s="186"/>
      <c r="O431" s="186"/>
      <c r="P431" s="186"/>
    </row>
  </sheetData>
  <hyperlinks>
    <hyperlink ref="B102" r:id="rId1" display="http://www.wolfandson.net/" xr:uid="{18CE89F8-2239-4FC5-BDD6-78A5F0BDBE9D}"/>
    <hyperlink ref="B81" r:id="rId2" display="http://www.aquatonic-saint-malo.com/" xr:uid="{EE86413F-6677-474C-AA4F-581385780F22}"/>
    <hyperlink ref="B78" r:id="rId3" display="https://www.laduree.fr/" xr:uid="{6F456809-7F49-40DB-A8E2-2C6ABC4C4B16}"/>
    <hyperlink ref="B56" r:id="rId4" display="https://www.cinabre-paris.com/fr/" xr:uid="{F5CD8E8B-8245-490E-91CB-8D15EAD54855}"/>
    <hyperlink ref="B25" r:id="rId5" display="https://www.canva.com/fr_fr/" xr:uid="{DD1637EB-02E5-49D7-9226-DD3F9BF0EB7F}"/>
    <hyperlink ref="B21" r:id="rId6" display="https://www.canva.com/fr_fr/decouvrir/comment-creer-la-palette-de-couleurs-de-votre-marque/" xr:uid="{0DCFC0E8-DDAC-4682-AB66-7A91DA09F94D}"/>
    <hyperlink ref="B19" r:id="rId7" display="https://www.canva.com/fr_fr/decouvrir/code-couleur-usage-signification/" xr:uid="{A1B73955-C2F6-441D-8F21-31F0D2D2DD9C}"/>
    <hyperlink ref="B3" r:id="rId8" xr:uid="{A726B3D6-AFF5-4D96-A56C-3322CF15D68B}"/>
    <hyperlink ref="G142" r:id="rId9" xr:uid="{BC40A1BE-84B6-4615-B43B-B15393B5501F}"/>
    <hyperlink ref="G144" r:id="rId10" xr:uid="{E8A02BBE-A73F-4F2B-94EB-908DAD2FD7F2}"/>
    <hyperlink ref="G146" r:id="rId11" xr:uid="{5FDFE0E1-8A0A-47F1-9C8C-57A37D85F219}"/>
    <hyperlink ref="B376" r:id="rId12" xr:uid="{FCE0331E-6F10-4917-A602-B6BD69BDE563}"/>
    <hyperlink ref="G164" r:id="rId13" xr:uid="{15C35FE4-E841-424F-B0AB-7732076F36A3}"/>
    <hyperlink ref="G175" r:id="rId14" xr:uid="{A616B628-D764-4EF7-9CD6-3FE9ACA0D53A}"/>
    <hyperlink ref="G251" r:id="rId15" xr:uid="{58CCB5DC-D276-49A3-AA9C-9EC88CF2B7EA}"/>
    <hyperlink ref="G197" r:id="rId16" xr:uid="{79474DFD-BA63-49F7-AC27-770E9D4AFA0B}"/>
    <hyperlink ref="G208" r:id="rId17" xr:uid="{DA7E37C9-0A18-4375-925B-BC95A2187C9A}"/>
  </hyperlinks>
  <pageMargins left="0.7" right="0.7" top="0.75" bottom="0.75" header="0.3" footer="0.3"/>
  <drawing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7560-2AF0-4EEC-A15F-B9E65731889F}">
  <dimension ref="A1:Q294"/>
  <sheetViews>
    <sheetView workbookViewId="0">
      <selection activeCell="A22" sqref="A22"/>
    </sheetView>
  </sheetViews>
  <sheetFormatPr baseColWidth="10" defaultRowHeight="15"/>
  <cols>
    <col min="1" max="1" width="11.42578125" style="630"/>
    <col min="2" max="2" width="21.5703125" style="630" customWidth="1"/>
    <col min="3" max="3" width="13.28515625" style="630" customWidth="1"/>
    <col min="4" max="4" width="57.7109375" style="630" customWidth="1"/>
    <col min="5" max="5" width="40" style="630" customWidth="1"/>
    <col min="6" max="15" width="11.42578125" style="630"/>
    <col min="16" max="16" width="12.28515625" style="630" customWidth="1"/>
    <col min="17" max="17" width="69" style="630" customWidth="1"/>
    <col min="18" max="16384" width="11.42578125" style="630"/>
  </cols>
  <sheetData>
    <row r="1" spans="1:17" ht="15.75" thickTop="1">
      <c r="A1" s="1" t="str">
        <f>ADDRESS(ROW(),COLUMN(),4)</f>
        <v>A1</v>
      </c>
      <c r="B1" s="2" t="str">
        <f t="shared" ref="B1:N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3">
        <v>1</v>
      </c>
      <c r="P1" s="7" t="s">
        <v>3</v>
      </c>
      <c r="Q1" s="8"/>
    </row>
    <row r="2" spans="1:17" ht="15.75">
      <c r="A2" s="186"/>
      <c r="B2" s="694">
        <f t="shared" ref="B2:N2" ca="1" si="1">CELL("largeur",B2)</f>
        <v>21</v>
      </c>
      <c r="C2" s="694">
        <f t="shared" ca="1" si="1"/>
        <v>13</v>
      </c>
      <c r="D2" s="694">
        <f t="shared" ca="1" si="1"/>
        <v>57</v>
      </c>
      <c r="E2" s="694">
        <f t="shared" ca="1" si="1"/>
        <v>39</v>
      </c>
      <c r="F2" s="694">
        <f t="shared" ca="1" si="1"/>
        <v>11</v>
      </c>
      <c r="G2" s="694">
        <f t="shared" ca="1" si="1"/>
        <v>11</v>
      </c>
      <c r="H2" s="694">
        <f t="shared" ca="1" si="1"/>
        <v>11</v>
      </c>
      <c r="I2" s="694">
        <f t="shared" ca="1" si="1"/>
        <v>11</v>
      </c>
      <c r="J2" s="694">
        <f t="shared" ca="1" si="1"/>
        <v>11</v>
      </c>
      <c r="K2" s="694">
        <f t="shared" ca="1" si="1"/>
        <v>11</v>
      </c>
      <c r="L2" s="694">
        <f t="shared" ca="1" si="1"/>
        <v>11</v>
      </c>
      <c r="M2" s="694">
        <f t="shared" ca="1" si="1"/>
        <v>11</v>
      </c>
      <c r="N2" s="694">
        <f t="shared" ca="1" si="1"/>
        <v>11</v>
      </c>
      <c r="O2" s="3">
        <v>1</v>
      </c>
      <c r="P2" s="10">
        <f ca="1">COUNTA(A1:O294) + COUNTBLANK(A1:O294)</f>
        <v>4410</v>
      </c>
      <c r="Q2" s="11" t="e">
        <f>"cellules entre -cells -celdas  "&amp;" " &amp;#REF!&amp;" et  "&amp;O316</f>
        <v>#REF!</v>
      </c>
    </row>
    <row r="3" spans="1:17" ht="16.5" thickBot="1">
      <c r="A3" s="186"/>
      <c r="B3" s="695">
        <v>21</v>
      </c>
      <c r="C3" s="695">
        <v>13</v>
      </c>
      <c r="D3" s="695">
        <v>57</v>
      </c>
      <c r="E3" s="695">
        <v>39</v>
      </c>
      <c r="F3" s="695">
        <v>11</v>
      </c>
      <c r="G3" s="695">
        <v>11</v>
      </c>
      <c r="H3" s="695">
        <v>11</v>
      </c>
      <c r="I3" s="695">
        <v>11</v>
      </c>
      <c r="J3" s="695">
        <v>11</v>
      </c>
      <c r="K3" s="695">
        <v>11</v>
      </c>
      <c r="L3" s="695">
        <v>11</v>
      </c>
      <c r="M3" s="695">
        <v>11</v>
      </c>
      <c r="N3" s="695">
        <v>11</v>
      </c>
      <c r="O3" s="3">
        <v>1</v>
      </c>
      <c r="P3" s="10">
        <f ca="1">COUNTA(A1:O294)</f>
        <v>589</v>
      </c>
      <c r="Q3" s="11" t="s">
        <v>9</v>
      </c>
    </row>
    <row r="4" spans="1:17" ht="21" customHeight="1">
      <c r="A4" s="186"/>
      <c r="B4" s="186"/>
      <c r="C4" s="186"/>
      <c r="D4" s="186"/>
      <c r="E4" s="186"/>
      <c r="F4" s="186"/>
      <c r="G4" s="186"/>
      <c r="H4" s="186"/>
      <c r="I4" s="186"/>
      <c r="J4" s="186"/>
      <c r="O4" s="3">
        <v>1</v>
      </c>
      <c r="P4" s="10">
        <f ca="1">COUNTBLANK(A1:O294)</f>
        <v>3821</v>
      </c>
      <c r="Q4" s="11" t="s">
        <v>12</v>
      </c>
    </row>
    <row r="5" spans="1:17" ht="21" customHeight="1">
      <c r="A5" s="186"/>
      <c r="B5" s="1246" t="s">
        <v>8414</v>
      </c>
      <c r="C5" s="1830"/>
      <c r="D5" s="1830"/>
      <c r="E5" s="1830"/>
      <c r="F5" s="1830"/>
      <c r="G5" s="1830"/>
      <c r="H5" s="1830"/>
      <c r="I5" s="1830"/>
      <c r="J5" s="1830"/>
      <c r="K5" s="186"/>
      <c r="L5" s="186"/>
      <c r="M5" s="186"/>
      <c r="N5" s="186"/>
      <c r="O5" s="3">
        <v>1</v>
      </c>
      <c r="P5" s="10">
        <f>SUM(O1:O291)+2</f>
        <v>293</v>
      </c>
      <c r="Q5" s="11" t="s">
        <v>14</v>
      </c>
    </row>
    <row r="6" spans="1:17" ht="21" customHeight="1">
      <c r="A6" s="186"/>
      <c r="B6" s="6448" t="s">
        <v>8415</v>
      </c>
      <c r="C6" s="6448"/>
      <c r="D6" s="6448"/>
      <c r="E6" s="6448"/>
      <c r="F6" s="6448"/>
      <c r="G6" s="6448"/>
      <c r="H6" s="6448"/>
      <c r="I6" s="6448"/>
      <c r="J6" s="6448"/>
      <c r="K6" s="186"/>
      <c r="L6" s="186"/>
      <c r="M6" s="186"/>
      <c r="N6" s="186"/>
      <c r="O6" s="3">
        <v>1</v>
      </c>
      <c r="P6" s="10">
        <f>SUM(A294:N294)+1</f>
        <v>15</v>
      </c>
      <c r="Q6" s="11" t="s">
        <v>17</v>
      </c>
    </row>
    <row r="7" spans="1:17" ht="21" customHeight="1">
      <c r="A7" s="186"/>
      <c r="B7" s="6448"/>
      <c r="C7" s="6448"/>
      <c r="D7" s="6448"/>
      <c r="E7" s="6448"/>
      <c r="F7" s="6448"/>
      <c r="G7" s="6448"/>
      <c r="H7" s="6448"/>
      <c r="I7" s="6448"/>
      <c r="J7" s="6448"/>
      <c r="K7" s="186"/>
      <c r="N7" s="186"/>
      <c r="O7" s="3">
        <v>1</v>
      </c>
    </row>
    <row r="8" spans="1:17" ht="21" customHeight="1">
      <c r="A8" s="186"/>
      <c r="B8" s="6449" t="s">
        <v>8416</v>
      </c>
      <c r="C8" s="6449"/>
      <c r="D8" s="6449"/>
      <c r="E8" s="6449"/>
      <c r="F8" s="6449"/>
      <c r="G8" s="6449"/>
      <c r="H8" s="6449"/>
      <c r="I8" s="6449"/>
      <c r="J8" s="6449"/>
      <c r="K8" s="186"/>
      <c r="L8" s="186"/>
      <c r="M8" s="186"/>
      <c r="N8" s="186"/>
      <c r="O8" s="3">
        <v>1</v>
      </c>
    </row>
    <row r="9" spans="1:17" ht="21" customHeight="1">
      <c r="A9" s="186"/>
      <c r="B9" s="6449"/>
      <c r="C9" s="6449"/>
      <c r="D9" s="6449"/>
      <c r="E9" s="6449"/>
      <c r="F9" s="6449"/>
      <c r="G9" s="6449"/>
      <c r="H9" s="6449"/>
      <c r="I9" s="6449"/>
      <c r="J9" s="6449"/>
      <c r="K9" s="186"/>
      <c r="L9" s="186"/>
      <c r="M9" s="186"/>
      <c r="N9" s="186"/>
      <c r="O9" s="3">
        <v>1</v>
      </c>
    </row>
    <row r="10" spans="1:17" ht="21" customHeight="1">
      <c r="A10" s="186"/>
      <c r="B10" s="1830" t="s">
        <v>8417</v>
      </c>
      <c r="C10" s="1830"/>
      <c r="D10" s="1830"/>
      <c r="E10" s="1830"/>
      <c r="F10" s="1830"/>
      <c r="G10" s="1830"/>
      <c r="H10" s="1830"/>
      <c r="I10" s="1830"/>
      <c r="J10" s="1830"/>
      <c r="K10" s="186"/>
      <c r="L10" s="1351" t="s">
        <v>1491</v>
      </c>
      <c r="M10" s="1" t="str">
        <f>O294</f>
        <v>O294</v>
      </c>
      <c r="N10" s="186"/>
      <c r="O10" s="3">
        <v>1</v>
      </c>
    </row>
    <row r="11" spans="1:17" ht="21" customHeight="1">
      <c r="A11" s="186"/>
      <c r="B11" s="1830" t="s">
        <v>8418</v>
      </c>
      <c r="C11" s="1830"/>
      <c r="D11" s="1830"/>
      <c r="E11" s="1830"/>
      <c r="F11" s="1830"/>
      <c r="G11" s="1830"/>
      <c r="H11" s="1830"/>
      <c r="I11" s="1830"/>
      <c r="J11" s="1830"/>
      <c r="K11" s="186"/>
      <c r="L11" s="186"/>
      <c r="M11" s="186"/>
      <c r="N11" s="186"/>
      <c r="O11" s="3">
        <v>1</v>
      </c>
    </row>
    <row r="12" spans="1:17" ht="21" customHeight="1">
      <c r="A12" s="186"/>
      <c r="B12" s="570" t="s">
        <v>8419</v>
      </c>
      <c r="C12" s="1830"/>
      <c r="D12" s="1830"/>
      <c r="E12" s="1830"/>
      <c r="F12" s="1830"/>
      <c r="G12" s="1830"/>
      <c r="H12" s="1830"/>
      <c r="I12" s="1830"/>
      <c r="J12" s="1830"/>
      <c r="K12" s="186"/>
      <c r="L12" s="186"/>
      <c r="M12" s="186"/>
      <c r="N12" s="186"/>
      <c r="O12" s="3">
        <v>1</v>
      </c>
    </row>
    <row r="13" spans="1:17" ht="21" customHeight="1">
      <c r="A13" s="186"/>
      <c r="B13" s="1830" t="s">
        <v>8420</v>
      </c>
      <c r="C13" s="1830"/>
      <c r="D13" s="1830"/>
      <c r="E13" s="1830"/>
      <c r="F13" s="1830"/>
      <c r="G13" s="1830"/>
      <c r="H13" s="1830"/>
      <c r="I13" s="1830"/>
      <c r="J13" s="1830"/>
      <c r="K13" s="186"/>
      <c r="L13" s="186"/>
      <c r="M13" s="186"/>
      <c r="N13" s="186"/>
      <c r="O13" s="3">
        <v>1</v>
      </c>
    </row>
    <row r="14" spans="1:17" ht="21" customHeight="1">
      <c r="A14" s="186"/>
      <c r="B14" s="1830" t="s">
        <v>8421</v>
      </c>
      <c r="C14" s="1830"/>
      <c r="D14" s="1830"/>
      <c r="E14" s="1830"/>
      <c r="F14" s="1830"/>
      <c r="G14" s="1830"/>
      <c r="H14" s="1830"/>
      <c r="I14" s="1830"/>
      <c r="J14" s="1830"/>
      <c r="K14" s="186"/>
      <c r="L14" s="186"/>
      <c r="M14" s="186"/>
      <c r="N14" s="186"/>
      <c r="O14" s="3">
        <v>1</v>
      </c>
    </row>
    <row r="15" spans="1:17" ht="21" customHeight="1">
      <c r="A15" s="186"/>
      <c r="B15" s="1830"/>
      <c r="C15" s="1830"/>
      <c r="D15" s="1830"/>
      <c r="E15" s="1830"/>
      <c r="F15" s="1830"/>
      <c r="G15" s="1830"/>
      <c r="H15" s="1830"/>
      <c r="I15" s="1830"/>
      <c r="J15" s="1830"/>
      <c r="K15" s="186"/>
      <c r="L15" s="186"/>
      <c r="M15" s="186"/>
      <c r="N15" s="186"/>
      <c r="O15" s="3">
        <v>1</v>
      </c>
    </row>
    <row r="16" spans="1:17" ht="21" customHeight="1">
      <c r="A16" s="186"/>
      <c r="B16" s="1995" t="s">
        <v>8422</v>
      </c>
      <c r="C16" s="1830"/>
      <c r="D16" s="1830"/>
      <c r="E16" s="1830"/>
      <c r="F16" s="1830"/>
      <c r="G16" s="1830"/>
      <c r="H16" s="1830"/>
      <c r="I16" s="1830"/>
      <c r="J16" s="1830"/>
      <c r="K16" s="186"/>
      <c r="L16" s="186"/>
      <c r="M16" s="2007"/>
      <c r="N16" s="186"/>
      <c r="O16" s="3">
        <v>1</v>
      </c>
    </row>
    <row r="17" spans="1:15" ht="21" customHeight="1">
      <c r="A17" s="186"/>
      <c r="B17" s="1149" t="s">
        <v>8565</v>
      </c>
      <c r="C17" s="1830"/>
      <c r="D17" s="1830"/>
      <c r="E17" s="1830"/>
      <c r="F17" s="1830"/>
      <c r="G17" s="1830"/>
      <c r="H17" s="1830"/>
      <c r="I17" s="1830"/>
      <c r="J17" s="1830"/>
      <c r="K17" s="186"/>
      <c r="L17" s="186"/>
      <c r="M17" s="186"/>
      <c r="N17" s="186"/>
      <c r="O17" s="3">
        <v>1</v>
      </c>
    </row>
    <row r="18" spans="1:15" ht="21" customHeight="1">
      <c r="A18" s="186"/>
      <c r="B18" s="1149" t="s">
        <v>8566</v>
      </c>
      <c r="C18" s="1830"/>
      <c r="D18" s="1830"/>
      <c r="E18" s="1830"/>
      <c r="F18" s="1830"/>
      <c r="G18" s="1830"/>
      <c r="H18" s="1830"/>
      <c r="I18" s="1830"/>
      <c r="J18" s="1830"/>
      <c r="K18" s="186"/>
      <c r="L18" s="186"/>
      <c r="M18" s="186"/>
      <c r="N18" s="186"/>
      <c r="O18" s="3">
        <v>1</v>
      </c>
    </row>
    <row r="19" spans="1:15" ht="21" customHeight="1">
      <c r="A19" s="186"/>
      <c r="B19" s="1995" t="s">
        <v>8423</v>
      </c>
      <c r="C19" s="1830"/>
      <c r="D19" s="1830"/>
      <c r="E19" s="1830"/>
      <c r="F19" s="1830"/>
      <c r="G19" s="1830"/>
      <c r="H19" s="1830"/>
      <c r="I19" s="1830"/>
      <c r="J19" s="1830"/>
      <c r="K19" s="186"/>
      <c r="L19" s="186"/>
      <c r="M19" s="186"/>
      <c r="N19" s="186"/>
      <c r="O19" s="3">
        <v>1</v>
      </c>
    </row>
    <row r="20" spans="1:15" ht="21" customHeight="1">
      <c r="A20" s="186"/>
      <c r="B20" s="1149" t="s">
        <v>8424</v>
      </c>
      <c r="C20" s="1830"/>
      <c r="D20" s="1830"/>
      <c r="E20" s="1830"/>
      <c r="F20" s="1830"/>
      <c r="G20" s="1830"/>
      <c r="H20" s="1830"/>
      <c r="I20" s="1830"/>
      <c r="J20" s="1830"/>
      <c r="K20" s="186"/>
      <c r="L20" s="186"/>
      <c r="M20" s="186"/>
      <c r="N20" s="186"/>
      <c r="O20" s="3">
        <v>1</v>
      </c>
    </row>
    <row r="21" spans="1:15" ht="21" customHeight="1">
      <c r="A21" s="186"/>
      <c r="B21" s="1149" t="s">
        <v>8567</v>
      </c>
      <c r="C21" s="1830"/>
      <c r="D21" s="1830"/>
      <c r="E21" s="1830"/>
      <c r="F21" s="1830"/>
      <c r="G21" s="1830"/>
      <c r="H21" s="1830"/>
      <c r="I21" s="1830"/>
      <c r="J21" s="1830"/>
      <c r="K21" s="186"/>
      <c r="L21" s="186"/>
      <c r="M21" s="186"/>
      <c r="N21" s="186"/>
      <c r="O21" s="3">
        <v>1</v>
      </c>
    </row>
    <row r="22" spans="1:15" ht="21" customHeight="1">
      <c r="A22" s="186"/>
      <c r="B22" s="1995" t="s">
        <v>8425</v>
      </c>
      <c r="C22" s="1830"/>
      <c r="D22" s="1830"/>
      <c r="E22" s="1830"/>
      <c r="F22" s="1830"/>
      <c r="G22" s="1830"/>
      <c r="H22" s="1830"/>
      <c r="I22" s="1830"/>
      <c r="J22" s="1830"/>
      <c r="K22" s="186"/>
      <c r="L22" s="186"/>
      <c r="M22" s="186"/>
      <c r="N22" s="186"/>
      <c r="O22" s="3">
        <v>1</v>
      </c>
    </row>
    <row r="23" spans="1:15" ht="21" customHeight="1">
      <c r="A23" s="186"/>
      <c r="B23" s="1149" t="s">
        <v>8426</v>
      </c>
      <c r="C23" s="1830"/>
      <c r="D23" s="1830"/>
      <c r="E23" s="1830"/>
      <c r="F23" s="1830"/>
      <c r="G23" s="1830"/>
      <c r="H23" s="1830"/>
      <c r="I23" s="1830"/>
      <c r="J23" s="1830"/>
      <c r="K23" s="186"/>
      <c r="L23" s="186"/>
      <c r="M23" s="186"/>
      <c r="N23" s="186"/>
      <c r="O23" s="3">
        <v>1</v>
      </c>
    </row>
    <row r="24" spans="1:15" ht="21" customHeight="1">
      <c r="A24" s="186"/>
      <c r="B24" s="1149" t="s">
        <v>8427</v>
      </c>
      <c r="C24" s="1830"/>
      <c r="D24" s="1830"/>
      <c r="E24" s="1830"/>
      <c r="F24" s="1830"/>
      <c r="G24" s="1830"/>
      <c r="H24" s="1830"/>
      <c r="I24" s="1830"/>
      <c r="J24" s="1830"/>
      <c r="K24" s="186"/>
      <c r="L24" s="186"/>
      <c r="M24" s="186"/>
      <c r="N24" s="186"/>
      <c r="O24" s="3">
        <v>1</v>
      </c>
    </row>
    <row r="25" spans="1:15" ht="21" customHeight="1">
      <c r="A25" s="186"/>
      <c r="B25" s="1830"/>
      <c r="C25" s="1830"/>
      <c r="D25" s="1830"/>
      <c r="E25" s="1830"/>
      <c r="F25" s="1830"/>
      <c r="G25" s="1830"/>
      <c r="H25" s="1830"/>
      <c r="I25" s="1830"/>
      <c r="J25" s="1830"/>
      <c r="K25" s="186"/>
      <c r="L25" s="186"/>
      <c r="M25" s="186"/>
      <c r="N25" s="186"/>
      <c r="O25" s="3">
        <v>1</v>
      </c>
    </row>
    <row r="26" spans="1:15" ht="21" customHeight="1">
      <c r="A26" s="186"/>
      <c r="B26" s="1830" t="s">
        <v>8428</v>
      </c>
      <c r="C26" s="1830"/>
      <c r="D26" s="1830"/>
      <c r="E26" s="1830"/>
      <c r="F26" s="1830"/>
      <c r="G26" s="1830"/>
      <c r="H26" s="1830"/>
      <c r="I26" s="1830"/>
      <c r="J26" s="1830"/>
      <c r="K26" s="186"/>
      <c r="L26" s="186"/>
      <c r="M26" s="186"/>
      <c r="N26" s="186"/>
      <c r="O26" s="3">
        <v>1</v>
      </c>
    </row>
    <row r="27" spans="1:15" ht="21" customHeight="1">
      <c r="A27" s="186"/>
      <c r="B27" s="1830" t="s">
        <v>8568</v>
      </c>
      <c r="C27" s="1830"/>
      <c r="D27" s="1830"/>
      <c r="E27" s="1830"/>
      <c r="F27" s="1830"/>
      <c r="G27" s="1830"/>
      <c r="H27" s="1830"/>
      <c r="I27" s="1830"/>
      <c r="J27" s="1830"/>
      <c r="K27" s="186"/>
      <c r="L27" s="186"/>
      <c r="M27" s="186"/>
      <c r="N27" s="186"/>
      <c r="O27" s="3">
        <v>1</v>
      </c>
    </row>
    <row r="28" spans="1:15" ht="21" customHeight="1">
      <c r="A28" s="186"/>
      <c r="B28" s="1830"/>
      <c r="C28" s="1830"/>
      <c r="D28" s="1830"/>
      <c r="E28" s="1830"/>
      <c r="F28" s="1830"/>
      <c r="G28" s="1830"/>
      <c r="H28" s="1830"/>
      <c r="I28" s="1830"/>
      <c r="J28" s="1830"/>
      <c r="K28" s="186"/>
      <c r="L28" s="186"/>
      <c r="M28" s="186"/>
      <c r="N28" s="186"/>
      <c r="O28" s="3">
        <v>1</v>
      </c>
    </row>
    <row r="29" spans="1:15" ht="21" customHeight="1">
      <c r="A29" s="186"/>
      <c r="B29" s="570" t="s">
        <v>8429</v>
      </c>
      <c r="C29" s="1830"/>
      <c r="D29" s="1830"/>
      <c r="E29" s="1830"/>
      <c r="F29" s="1830"/>
      <c r="G29" s="1830"/>
      <c r="H29" s="1830"/>
      <c r="I29" s="1830"/>
      <c r="J29" s="1830"/>
      <c r="K29" s="186"/>
      <c r="L29" s="186"/>
      <c r="M29" s="186"/>
      <c r="N29" s="186"/>
      <c r="O29" s="3">
        <v>1</v>
      </c>
    </row>
    <row r="30" spans="1:15" ht="21" customHeight="1">
      <c r="A30" s="186"/>
      <c r="B30" s="1830" t="s">
        <v>8430</v>
      </c>
      <c r="C30" s="1830"/>
      <c r="D30" s="1830"/>
      <c r="E30" s="1830"/>
      <c r="F30" s="1830"/>
      <c r="G30" s="1830"/>
      <c r="H30" s="1830"/>
      <c r="I30" s="1830"/>
      <c r="J30" s="1830"/>
      <c r="K30" s="186"/>
      <c r="L30" s="186"/>
      <c r="M30" s="186"/>
      <c r="N30" s="186"/>
      <c r="O30" s="3">
        <v>1</v>
      </c>
    </row>
    <row r="31" spans="1:15" ht="21" customHeight="1">
      <c r="A31" s="186"/>
      <c r="B31" s="1149" t="s">
        <v>8569</v>
      </c>
      <c r="C31" s="1830"/>
      <c r="D31" s="1830"/>
      <c r="E31" s="1830"/>
      <c r="F31" s="1830"/>
      <c r="G31" s="1830"/>
      <c r="H31" s="1830"/>
      <c r="I31" s="1830"/>
      <c r="J31" s="1830"/>
      <c r="K31" s="186"/>
      <c r="L31" s="186"/>
      <c r="M31" s="186"/>
      <c r="N31" s="186"/>
      <c r="O31" s="3">
        <v>1</v>
      </c>
    </row>
    <row r="32" spans="1:15" ht="21" customHeight="1">
      <c r="A32" s="186"/>
      <c r="B32" s="1830" t="s">
        <v>8431</v>
      </c>
      <c r="C32" s="1830"/>
      <c r="D32" s="1830"/>
      <c r="E32" s="1830"/>
      <c r="F32" s="1830"/>
      <c r="G32" s="1830"/>
      <c r="H32" s="1830"/>
      <c r="I32" s="1830"/>
      <c r="J32" s="1830"/>
      <c r="K32" s="186"/>
      <c r="L32" s="186"/>
      <c r="M32" s="186"/>
      <c r="N32" s="186"/>
      <c r="O32" s="3">
        <v>1</v>
      </c>
    </row>
    <row r="33" spans="1:15" ht="21" customHeight="1">
      <c r="A33" s="186"/>
      <c r="B33" s="1149"/>
      <c r="C33" s="1830"/>
      <c r="D33" s="1830"/>
      <c r="E33" s="1830"/>
      <c r="F33" s="1830"/>
      <c r="G33" s="1830"/>
      <c r="H33" s="1830"/>
      <c r="I33" s="1830"/>
      <c r="J33" s="1830"/>
      <c r="K33" s="186"/>
      <c r="L33" s="186"/>
      <c r="M33" s="186"/>
      <c r="N33" s="186"/>
      <c r="O33" s="3">
        <v>1</v>
      </c>
    </row>
    <row r="34" spans="1:15" ht="21" customHeight="1">
      <c r="A34" s="186"/>
      <c r="B34" s="1996" t="s">
        <v>8432</v>
      </c>
      <c r="C34" s="1830"/>
      <c r="D34" s="1830"/>
      <c r="E34" s="1830"/>
      <c r="F34" s="1830"/>
      <c r="G34" s="1830"/>
      <c r="H34" s="1830"/>
      <c r="I34" s="1830"/>
      <c r="J34" s="1830"/>
      <c r="K34" s="186"/>
      <c r="L34" s="186"/>
      <c r="M34" s="186"/>
      <c r="N34" s="186"/>
      <c r="O34" s="3">
        <v>1</v>
      </c>
    </row>
    <row r="35" spans="1:15" ht="21" customHeight="1">
      <c r="A35" s="186"/>
      <c r="B35" s="1149" t="s">
        <v>8570</v>
      </c>
      <c r="C35" s="1830"/>
      <c r="D35" s="1830"/>
      <c r="E35" s="1830"/>
      <c r="F35" s="1830"/>
      <c r="G35" s="1830"/>
      <c r="H35" s="1830"/>
      <c r="I35" s="1830"/>
      <c r="J35" s="1830"/>
      <c r="K35" s="186"/>
      <c r="L35" s="186"/>
      <c r="M35" s="186"/>
      <c r="N35" s="186"/>
      <c r="O35" s="3">
        <v>1</v>
      </c>
    </row>
    <row r="36" spans="1:15" ht="21" customHeight="1">
      <c r="A36" s="186"/>
      <c r="B36" s="1149" t="s">
        <v>8433</v>
      </c>
      <c r="C36" s="1830"/>
      <c r="D36" s="1830"/>
      <c r="E36" s="1830"/>
      <c r="F36" s="1830"/>
      <c r="G36" s="1830"/>
      <c r="H36" s="1830"/>
      <c r="I36" s="1830"/>
      <c r="J36" s="1830"/>
      <c r="K36" s="186"/>
      <c r="L36" s="186"/>
      <c r="M36" s="186"/>
      <c r="N36" s="186"/>
      <c r="O36" s="3">
        <v>1</v>
      </c>
    </row>
    <row r="37" spans="1:15" ht="21" customHeight="1">
      <c r="A37" s="186"/>
      <c r="B37" s="1149"/>
      <c r="C37" s="1830"/>
      <c r="D37" s="1830"/>
      <c r="E37" s="1830"/>
      <c r="F37" s="1830"/>
      <c r="G37" s="1830"/>
      <c r="H37" s="1830"/>
      <c r="I37" s="1830"/>
      <c r="J37" s="1830"/>
      <c r="K37" s="186"/>
      <c r="L37" s="186"/>
      <c r="M37" s="186"/>
      <c r="N37" s="186"/>
      <c r="O37" s="3">
        <v>1</v>
      </c>
    </row>
    <row r="38" spans="1:15" ht="21" customHeight="1">
      <c r="A38" s="186"/>
      <c r="B38" s="1996" t="s">
        <v>8434</v>
      </c>
      <c r="C38" s="1830"/>
      <c r="D38" s="1830"/>
      <c r="E38" s="1830"/>
      <c r="F38" s="1830"/>
      <c r="G38" s="1830"/>
      <c r="H38" s="1830"/>
      <c r="I38" s="1830"/>
      <c r="J38" s="1830"/>
      <c r="K38" s="186"/>
      <c r="L38" s="186"/>
      <c r="M38" s="186"/>
      <c r="N38" s="186"/>
      <c r="O38" s="3">
        <v>1</v>
      </c>
    </row>
    <row r="39" spans="1:15" ht="21" customHeight="1">
      <c r="A39" s="186"/>
      <c r="B39" s="1149" t="s">
        <v>8571</v>
      </c>
      <c r="C39" s="1830"/>
      <c r="D39" s="1830"/>
      <c r="E39" s="1830"/>
      <c r="F39" s="1830"/>
      <c r="G39" s="1830"/>
      <c r="H39" s="1830"/>
      <c r="I39" s="1830"/>
      <c r="J39" s="1830"/>
      <c r="K39" s="186"/>
      <c r="L39" s="186"/>
      <c r="M39" s="186"/>
      <c r="N39" s="186"/>
      <c r="O39" s="3">
        <v>1</v>
      </c>
    </row>
    <row r="40" spans="1:15" ht="21" customHeight="1">
      <c r="A40" s="186"/>
      <c r="B40" s="1149" t="s">
        <v>8572</v>
      </c>
      <c r="C40" s="1830"/>
      <c r="D40" s="1830"/>
      <c r="E40" s="1830"/>
      <c r="F40" s="1830"/>
      <c r="G40" s="1830"/>
      <c r="H40" s="1830"/>
      <c r="I40" s="1830"/>
      <c r="J40" s="1830"/>
      <c r="K40" s="186"/>
      <c r="L40" s="186"/>
      <c r="M40" s="186"/>
      <c r="N40" s="186"/>
      <c r="O40" s="3">
        <v>1</v>
      </c>
    </row>
    <row r="41" spans="1:15" ht="21" customHeight="1">
      <c r="A41" s="186"/>
      <c r="B41" s="1830"/>
      <c r="C41" s="1830"/>
      <c r="D41" s="1830"/>
      <c r="E41" s="1830"/>
      <c r="F41" s="1830"/>
      <c r="G41" s="1830"/>
      <c r="H41" s="1830"/>
      <c r="I41" s="1830"/>
      <c r="J41" s="1830"/>
      <c r="K41" s="186"/>
      <c r="L41" s="186"/>
      <c r="M41" s="186"/>
      <c r="N41" s="186"/>
      <c r="O41" s="3">
        <v>1</v>
      </c>
    </row>
    <row r="42" spans="1:15" ht="21" customHeight="1">
      <c r="A42" s="186"/>
      <c r="B42" s="1830" t="s">
        <v>8435</v>
      </c>
      <c r="C42" s="1830"/>
      <c r="D42" s="1830"/>
      <c r="E42" s="1830"/>
      <c r="F42" s="1830"/>
      <c r="G42" s="1830"/>
      <c r="H42" s="1830"/>
      <c r="I42" s="1830"/>
      <c r="J42" s="1830"/>
      <c r="K42" s="186"/>
      <c r="L42" s="186"/>
      <c r="M42" s="186"/>
      <c r="N42" s="186"/>
      <c r="O42" s="3">
        <v>1</v>
      </c>
    </row>
    <row r="43" spans="1:15" ht="21" customHeight="1">
      <c r="A43" s="186"/>
      <c r="B43" s="1149" t="s">
        <v>8436</v>
      </c>
      <c r="C43" s="1830"/>
      <c r="D43" s="1830"/>
      <c r="E43" s="1830"/>
      <c r="F43" s="1830"/>
      <c r="G43" s="1830"/>
      <c r="H43" s="1830"/>
      <c r="I43" s="1830"/>
      <c r="J43" s="1830"/>
      <c r="K43" s="186"/>
      <c r="L43" s="186"/>
      <c r="M43" s="186"/>
      <c r="N43" s="186"/>
      <c r="O43" s="3">
        <v>1</v>
      </c>
    </row>
    <row r="44" spans="1:15" ht="21" customHeight="1">
      <c r="A44" s="186"/>
      <c r="B44" s="1149" t="s">
        <v>8437</v>
      </c>
      <c r="C44" s="1830"/>
      <c r="D44" s="1830"/>
      <c r="E44" s="1830"/>
      <c r="F44" s="1830"/>
      <c r="G44" s="1830"/>
      <c r="H44" s="1830"/>
      <c r="I44" s="1830"/>
      <c r="J44" s="1830"/>
      <c r="K44" s="186"/>
      <c r="L44" s="186"/>
      <c r="M44" s="186"/>
      <c r="N44" s="186"/>
      <c r="O44" s="3">
        <v>1</v>
      </c>
    </row>
    <row r="45" spans="1:15" ht="21" customHeight="1">
      <c r="A45" s="186"/>
      <c r="B45" s="1149" t="s">
        <v>8438</v>
      </c>
      <c r="C45" s="1830"/>
      <c r="D45" s="1830"/>
      <c r="E45" s="1830"/>
      <c r="F45" s="1830"/>
      <c r="G45" s="1830"/>
      <c r="H45" s="1830"/>
      <c r="I45" s="1830"/>
      <c r="J45" s="1830"/>
      <c r="K45" s="186"/>
      <c r="L45" s="186"/>
      <c r="M45" s="186"/>
      <c r="N45" s="186"/>
      <c r="O45" s="3">
        <v>1</v>
      </c>
    </row>
    <row r="46" spans="1:15" ht="21" customHeight="1">
      <c r="A46" s="186"/>
      <c r="B46" s="186"/>
      <c r="C46" s="186"/>
      <c r="D46" s="186"/>
      <c r="E46" s="186"/>
      <c r="F46" s="186"/>
      <c r="G46" s="186"/>
      <c r="H46" s="186"/>
      <c r="I46" s="186"/>
      <c r="J46" s="186"/>
      <c r="K46" s="186"/>
      <c r="L46" s="186"/>
      <c r="M46" s="186"/>
      <c r="N46" s="186"/>
      <c r="O46" s="3">
        <v>1</v>
      </c>
    </row>
    <row r="47" spans="1:15" ht="21" customHeight="1">
      <c r="A47" s="186"/>
      <c r="B47" s="1246" t="s">
        <v>8537</v>
      </c>
      <c r="C47" s="1994"/>
      <c r="D47" s="1994"/>
      <c r="E47" s="1994"/>
      <c r="F47" s="1994"/>
      <c r="G47" s="1994"/>
      <c r="H47" s="186"/>
      <c r="I47" s="186"/>
      <c r="J47" s="186"/>
      <c r="K47" s="186"/>
      <c r="L47" s="186"/>
      <c r="M47" s="186"/>
      <c r="N47" s="186"/>
      <c r="O47" s="3">
        <v>1</v>
      </c>
    </row>
    <row r="48" spans="1:15" ht="21" customHeight="1">
      <c r="A48" s="186"/>
      <c r="B48" s="1830" t="s">
        <v>8499</v>
      </c>
      <c r="C48" s="1994"/>
      <c r="D48" s="1994"/>
      <c r="E48" s="1994"/>
      <c r="F48" s="1994"/>
      <c r="G48" s="1994"/>
      <c r="H48" s="186"/>
      <c r="I48" s="186"/>
      <c r="J48" s="186"/>
      <c r="K48" s="186"/>
      <c r="L48" s="186"/>
      <c r="M48" s="186"/>
      <c r="N48" s="186"/>
      <c r="O48" s="3">
        <v>1</v>
      </c>
    </row>
    <row r="49" spans="1:15" ht="21" customHeight="1">
      <c r="A49" s="186"/>
      <c r="B49" s="1830" t="s">
        <v>8500</v>
      </c>
      <c r="C49" s="1994"/>
      <c r="D49" s="1994"/>
      <c r="E49" s="1994"/>
      <c r="F49" s="1994"/>
      <c r="G49" s="1994"/>
      <c r="H49" s="186"/>
      <c r="I49" s="186"/>
      <c r="J49" s="186"/>
      <c r="K49" s="186"/>
      <c r="L49" s="186"/>
      <c r="M49" s="186"/>
      <c r="N49" s="186"/>
      <c r="O49" s="3">
        <v>1</v>
      </c>
    </row>
    <row r="50" spans="1:15" ht="21" customHeight="1">
      <c r="A50" s="186"/>
      <c r="B50" s="1830" t="s">
        <v>8501</v>
      </c>
      <c r="C50" s="1994"/>
      <c r="D50" s="1994"/>
      <c r="E50" s="1994"/>
      <c r="F50" s="1994"/>
      <c r="G50" s="1994"/>
      <c r="H50" s="186"/>
      <c r="I50" s="186"/>
      <c r="J50" s="186"/>
      <c r="K50" s="186"/>
      <c r="L50" s="186"/>
      <c r="M50" s="186"/>
      <c r="N50" s="186"/>
      <c r="O50" s="3">
        <v>1</v>
      </c>
    </row>
    <row r="51" spans="1:15" ht="21" customHeight="1">
      <c r="A51" s="186"/>
      <c r="B51" s="1830" t="s">
        <v>8502</v>
      </c>
      <c r="C51" s="1994"/>
      <c r="D51" s="1994"/>
      <c r="E51" s="1994"/>
      <c r="F51" s="1994"/>
      <c r="G51" s="1994"/>
      <c r="H51" s="186"/>
      <c r="I51" s="186"/>
      <c r="J51" s="186"/>
      <c r="K51" s="186"/>
      <c r="L51" s="186"/>
      <c r="M51" s="186"/>
      <c r="N51" s="186"/>
      <c r="O51" s="3">
        <v>1</v>
      </c>
    </row>
    <row r="52" spans="1:15" ht="21" customHeight="1">
      <c r="A52" s="186"/>
      <c r="B52" s="1830" t="s">
        <v>8503</v>
      </c>
      <c r="C52" s="1994"/>
      <c r="D52" s="1994"/>
      <c r="E52" s="1994"/>
      <c r="F52" s="1994"/>
      <c r="G52" s="1994"/>
      <c r="H52" s="186"/>
      <c r="I52" s="186"/>
      <c r="J52" s="186"/>
      <c r="K52" s="186"/>
      <c r="L52" s="186"/>
      <c r="M52" s="186"/>
      <c r="N52" s="186"/>
      <c r="O52" s="3">
        <v>1</v>
      </c>
    </row>
    <row r="53" spans="1:15" ht="21" customHeight="1">
      <c r="A53" s="186"/>
      <c r="B53" s="1994"/>
      <c r="C53" s="186"/>
      <c r="D53" s="1994"/>
      <c r="E53" s="1994"/>
      <c r="F53" s="1994"/>
      <c r="G53" s="1994"/>
      <c r="H53" s="186"/>
      <c r="I53" s="186"/>
      <c r="J53" s="186"/>
      <c r="K53" s="186"/>
      <c r="L53" s="186"/>
      <c r="M53" s="186"/>
      <c r="N53" s="186"/>
      <c r="O53" s="3">
        <v>1</v>
      </c>
    </row>
    <row r="54" spans="1:15" ht="21" customHeight="1">
      <c r="A54" s="186"/>
      <c r="B54" s="1246" t="s">
        <v>8507</v>
      </c>
      <c r="C54" s="1994"/>
      <c r="D54" s="1994"/>
      <c r="E54" s="1994"/>
      <c r="F54" s="1994"/>
      <c r="G54" s="1994"/>
      <c r="H54" s="186"/>
      <c r="I54" s="186"/>
      <c r="J54" s="186"/>
      <c r="K54" s="186"/>
      <c r="L54" s="186"/>
      <c r="M54" s="186"/>
      <c r="N54" s="186"/>
      <c r="O54" s="3">
        <v>1</v>
      </c>
    </row>
    <row r="55" spans="1:15" ht="21" customHeight="1">
      <c r="A55" s="186"/>
      <c r="B55" s="1830" t="s">
        <v>8504</v>
      </c>
      <c r="C55" s="1994"/>
      <c r="D55" s="1994"/>
      <c r="E55" s="1994"/>
      <c r="F55" s="1994"/>
      <c r="G55" s="1994"/>
      <c r="H55" s="186"/>
      <c r="I55" s="186"/>
      <c r="J55" s="186"/>
      <c r="K55" s="186"/>
      <c r="L55" s="186"/>
      <c r="M55" s="186"/>
      <c r="N55" s="186"/>
      <c r="O55" s="3">
        <v>1</v>
      </c>
    </row>
    <row r="56" spans="1:15" ht="21" customHeight="1">
      <c r="A56" s="186"/>
      <c r="B56" s="1830" t="s">
        <v>8505</v>
      </c>
      <c r="C56" s="1994"/>
      <c r="D56" s="1994"/>
      <c r="E56" s="1994"/>
      <c r="F56" s="1994"/>
      <c r="G56" s="1994"/>
      <c r="H56" s="186"/>
      <c r="I56" s="186"/>
      <c r="J56" s="186"/>
      <c r="K56" s="186"/>
      <c r="L56" s="186"/>
      <c r="M56" s="186"/>
      <c r="N56" s="186"/>
      <c r="O56" s="3">
        <v>1</v>
      </c>
    </row>
    <row r="57" spans="1:15" ht="21" customHeight="1">
      <c r="A57" s="186"/>
      <c r="B57" s="1830" t="s">
        <v>8506</v>
      </c>
      <c r="C57" s="1994"/>
      <c r="D57" s="186"/>
      <c r="E57" s="1994"/>
      <c r="F57" s="1994"/>
      <c r="G57" s="1994"/>
      <c r="H57" s="186"/>
      <c r="I57" s="186"/>
      <c r="J57" s="186"/>
      <c r="K57" s="186"/>
      <c r="L57" s="186"/>
      <c r="M57" s="186"/>
      <c r="N57" s="186"/>
      <c r="O57" s="3">
        <v>1</v>
      </c>
    </row>
    <row r="58" spans="1:15" ht="21" customHeight="1">
      <c r="A58" s="1828">
        <f>_xlfn.LET(_xlpm.k,1,_xlpm.r,_xlfn.XLOOKUP(_xlpm.k,{1},{1}),1)</f>
        <v>1</v>
      </c>
      <c r="B58" s="1992" t="str">
        <f>IF(ISERROR(A58),"Votre version d'Excel est trop ancienne : elle ne reconnaît pas les fonctions LET et RECHERCHEX. Copiez la formule qui affiche #NOM? dans ChatGPT et demandez une version compatible sans LET ni RECHERCHEX.","OK, votre version d'Excel reconnaît LET et RECHERCHEX.")</f>
        <v>OK, votre version d'Excel reconnaît LET et RECHERCHEX.</v>
      </c>
      <c r="C58" s="1994"/>
      <c r="D58" s="1994"/>
      <c r="E58" s="1994"/>
      <c r="F58" s="1994"/>
      <c r="G58" s="1994"/>
      <c r="H58" s="186"/>
      <c r="I58" s="186"/>
      <c r="J58" s="186"/>
      <c r="K58" s="186"/>
      <c r="L58" s="186"/>
      <c r="M58" s="186"/>
      <c r="N58" s="186"/>
      <c r="O58" s="3">
        <v>1</v>
      </c>
    </row>
    <row r="59" spans="1:15" ht="21" customHeight="1">
      <c r="A59" s="186"/>
      <c r="B59" s="1994"/>
      <c r="C59" s="1994"/>
      <c r="D59" s="1994"/>
      <c r="E59" s="1994"/>
      <c r="F59" s="1994"/>
      <c r="G59" s="1994"/>
      <c r="H59" s="186"/>
      <c r="I59" s="186"/>
      <c r="J59" s="186"/>
      <c r="K59" s="186"/>
      <c r="L59" s="186"/>
      <c r="M59" s="186"/>
      <c r="N59" s="186"/>
      <c r="O59" s="3">
        <v>1</v>
      </c>
    </row>
    <row r="60" spans="1:15" ht="21" customHeight="1">
      <c r="A60" s="186"/>
      <c r="B60" s="1246" t="s">
        <v>8512</v>
      </c>
      <c r="C60" s="1994"/>
      <c r="D60" s="1994"/>
      <c r="E60" s="1994"/>
      <c r="F60" s="1994"/>
      <c r="G60" s="1994"/>
      <c r="H60" s="186"/>
      <c r="I60" s="186"/>
      <c r="J60" s="186"/>
      <c r="K60" s="186"/>
      <c r="L60" s="186"/>
      <c r="M60" s="186"/>
      <c r="N60" s="186"/>
      <c r="O60" s="3">
        <v>1</v>
      </c>
    </row>
    <row r="61" spans="1:15" ht="21" customHeight="1">
      <c r="A61" s="186"/>
      <c r="B61" s="1997" t="s">
        <v>8411</v>
      </c>
      <c r="C61" s="1994"/>
      <c r="D61" s="1994"/>
      <c r="E61" s="1994"/>
      <c r="F61" s="1994"/>
      <c r="G61" s="1994"/>
      <c r="H61" s="186"/>
      <c r="I61" s="186"/>
      <c r="J61" s="186"/>
      <c r="K61" s="186"/>
      <c r="L61" s="186"/>
      <c r="M61" s="186"/>
      <c r="N61" s="186"/>
      <c r="O61" s="3">
        <v>1</v>
      </c>
    </row>
    <row r="62" spans="1:15" ht="21" customHeight="1">
      <c r="A62" s="186"/>
      <c r="B62" s="1992" t="str">
        <f>IF(ISNUMBER(IFERROR(VALUE("0,5"),"")),"sur cet ordinateur, Excel attend une VIRGULE comme séparateur décimal",IF(ISNUMBER(IFERROR(VALUE("0.5"),"")),"Ce fichier est prévu pour fonctionner avec un POINT « . » comme séparateur décimal.","Impossible de déterminer le séparateur décimal"))</f>
        <v>Ce fichier est prévu pour fonctionner avec un POINT « . » comme séparateur décimal.</v>
      </c>
      <c r="C62" s="1994"/>
      <c r="D62" s="1994"/>
      <c r="E62" s="1994"/>
      <c r="F62" s="1994"/>
      <c r="G62" s="1994"/>
      <c r="H62" s="186"/>
      <c r="I62" s="186"/>
      <c r="J62" s="186"/>
      <c r="K62" s="186"/>
      <c r="L62" s="186"/>
      <c r="M62" s="186"/>
      <c r="N62" s="186"/>
      <c r="O62" s="3">
        <v>1</v>
      </c>
    </row>
    <row r="63" spans="1:15" ht="21" customHeight="1">
      <c r="A63" s="186"/>
      <c r="B63" s="1830" t="s">
        <v>8521</v>
      </c>
      <c r="C63" s="1994"/>
      <c r="D63" s="1994"/>
      <c r="E63" s="1994"/>
      <c r="F63" s="1994"/>
      <c r="G63" s="1994"/>
      <c r="H63" s="186"/>
      <c r="I63" s="186"/>
      <c r="J63" s="186"/>
      <c r="K63" s="186"/>
      <c r="L63" s="186"/>
      <c r="M63" s="186"/>
      <c r="N63" s="186"/>
      <c r="O63" s="3">
        <v>1</v>
      </c>
    </row>
    <row r="64" spans="1:15" ht="21" customHeight="1">
      <c r="A64" s="186"/>
      <c r="B64" s="1998" t="str">
        <f>"sinon voir procédure ligne "&amp;A103</f>
        <v>sinon voir procédure ligne 103</v>
      </c>
      <c r="C64" s="1994"/>
      <c r="D64" s="1994"/>
      <c r="E64" s="1994"/>
      <c r="F64" s="1994"/>
      <c r="G64" s="1994"/>
      <c r="H64" s="186"/>
      <c r="I64" s="186"/>
      <c r="J64" s="186"/>
      <c r="K64" s="186"/>
      <c r="L64" s="186"/>
      <c r="M64" s="186"/>
      <c r="N64" s="186"/>
      <c r="O64" s="3">
        <v>1</v>
      </c>
    </row>
    <row r="65" spans="1:15" ht="21" customHeight="1">
      <c r="A65" s="186"/>
      <c r="B65" s="1994"/>
      <c r="C65" s="1994"/>
      <c r="D65" s="1994"/>
      <c r="E65" s="1994"/>
      <c r="F65" s="1994"/>
      <c r="G65" s="1994"/>
      <c r="H65" s="186"/>
      <c r="I65" s="186"/>
      <c r="J65" s="186"/>
      <c r="K65" s="186"/>
      <c r="L65" s="186"/>
      <c r="M65" s="186"/>
      <c r="N65" s="186"/>
      <c r="O65" s="3">
        <v>1</v>
      </c>
    </row>
    <row r="66" spans="1:15" ht="21" customHeight="1">
      <c r="A66" s="186"/>
      <c r="B66" s="570" t="s">
        <v>8439</v>
      </c>
      <c r="C66" s="186"/>
      <c r="D66" s="186"/>
      <c r="E66" s="1994"/>
      <c r="F66" s="1994"/>
      <c r="G66" s="1994"/>
      <c r="H66" s="186"/>
      <c r="I66" s="186"/>
      <c r="J66" s="186"/>
      <c r="K66" s="186"/>
      <c r="L66" s="186"/>
      <c r="M66" s="186"/>
      <c r="N66" s="186"/>
      <c r="O66" s="3">
        <v>1</v>
      </c>
    </row>
    <row r="67" spans="1:15" ht="21" customHeight="1">
      <c r="A67" s="186"/>
      <c r="B67" s="1246" t="s">
        <v>8641</v>
      </c>
      <c r="C67" s="186"/>
      <c r="D67" s="186"/>
      <c r="E67" s="1994"/>
      <c r="F67" s="1994"/>
      <c r="G67" s="1994"/>
      <c r="H67" s="186"/>
      <c r="I67" s="186"/>
      <c r="J67" s="186"/>
      <c r="K67" s="186"/>
      <c r="L67" s="186"/>
      <c r="M67" s="186"/>
      <c r="N67" s="186"/>
      <c r="O67" s="3">
        <v>1</v>
      </c>
    </row>
    <row r="68" spans="1:15" ht="21" customHeight="1">
      <c r="A68" s="186"/>
      <c r="B68" s="570" t="s">
        <v>8440</v>
      </c>
      <c r="C68" s="186"/>
      <c r="D68" s="186"/>
      <c r="E68" s="1994"/>
      <c r="F68" s="1994"/>
      <c r="G68" s="1994"/>
      <c r="H68" s="186"/>
      <c r="I68" s="186"/>
      <c r="J68" s="186"/>
      <c r="K68" s="186"/>
      <c r="L68" s="186"/>
      <c r="M68" s="186"/>
      <c r="N68" s="186"/>
      <c r="O68" s="3">
        <v>1</v>
      </c>
    </row>
    <row r="69" spans="1:15" ht="21" customHeight="1">
      <c r="A69" s="186"/>
      <c r="B69" s="570"/>
      <c r="C69" s="186"/>
      <c r="D69" s="186"/>
      <c r="E69" s="1994"/>
      <c r="F69" s="1994"/>
      <c r="G69" s="1994"/>
      <c r="H69" s="186"/>
      <c r="I69" s="186"/>
      <c r="J69" s="186"/>
      <c r="K69" s="186"/>
      <c r="L69" s="186"/>
      <c r="M69" s="186"/>
      <c r="N69" s="186"/>
      <c r="O69" s="3">
        <v>1</v>
      </c>
    </row>
    <row r="70" spans="1:15" ht="21" customHeight="1" thickBot="1">
      <c r="A70" s="186"/>
      <c r="B70" s="570" t="str">
        <f>"▼ "&amp;ADDRESS(ROW(B71),COLUMN(B71),4)&amp;"  Test de la touche décimale du pavé numérique"</f>
        <v>▼ B71  Test de la touche décimale du pavé numérique</v>
      </c>
      <c r="C70" s="1993"/>
      <c r="D70" s="186"/>
      <c r="E70" s="1994"/>
      <c r="F70" s="1994"/>
      <c r="G70" s="1994"/>
      <c r="H70" s="186"/>
      <c r="I70" s="186"/>
      <c r="J70" s="186"/>
      <c r="K70" s="186"/>
      <c r="L70" s="186"/>
      <c r="M70" s="186"/>
      <c r="N70" s="186"/>
      <c r="O70" s="3">
        <v>1</v>
      </c>
    </row>
    <row r="71" spans="1:15" ht="21" customHeight="1" thickBot="1">
      <c r="A71" s="2005" t="str">
        <f>ADDRESS(ROW(B71),COLUMN(B71),4)&amp;" ►"</f>
        <v>B71 ►</v>
      </c>
      <c r="B71" s="1999" t="s">
        <v>21</v>
      </c>
      <c r="C71" s="570" t="s">
        <v>8661</v>
      </c>
      <c r="D71" s="186"/>
      <c r="E71" s="1994"/>
      <c r="F71" s="1994"/>
      <c r="G71" s="1994"/>
      <c r="H71" s="186"/>
      <c r="I71" s="186"/>
      <c r="J71" s="186"/>
      <c r="K71" s="186"/>
      <c r="L71" s="186"/>
      <c r="M71" s="186"/>
      <c r="N71" s="186"/>
      <c r="O71" s="3">
        <v>1</v>
      </c>
    </row>
    <row r="72" spans="1:15" ht="21" customHeight="1">
      <c r="A72" s="186"/>
      <c r="B72" s="570" t="s">
        <v>8655</v>
      </c>
      <c r="C72" s="186"/>
      <c r="D72" s="186"/>
      <c r="E72" s="1994"/>
      <c r="F72" s="1994"/>
      <c r="G72" s="1994"/>
      <c r="H72" s="186"/>
      <c r="I72" s="186"/>
      <c r="J72" s="186"/>
      <c r="K72" s="186"/>
      <c r="L72" s="186"/>
      <c r="M72" s="186"/>
      <c r="N72" s="186"/>
      <c r="O72" s="3">
        <v>1</v>
      </c>
    </row>
    <row r="73" spans="1:15" ht="21" customHeight="1">
      <c r="A73" s="186"/>
      <c r="B73" s="1992" t="str">
        <f>IF(B71=".","OK : la touche décimale de votre clavier envoie un POINT « . ». Ce fichier est prévu pour fonctionner correctement avec ce réglage.",IF(B71=",","ATTENTION : la touche décimale de votre clavier envoie une VIRGULE « , ». Pour éviter des erreurs dans ce fichier, changez le séparateur décimal dans Excel en POINT « . » en suivant la procédure ci-dessous.","Veuillez cliquer dans la ce'llule puis appuyer sur la touche décimale du pavé numérique."))</f>
        <v>OK : la touche décimale de votre clavier envoie un POINT « . ». Ce fichier est prévu pour fonctionner correctement avec ce réglage.</v>
      </c>
      <c r="C73" s="186"/>
      <c r="D73" s="186"/>
      <c r="E73" s="1994"/>
      <c r="F73" s="1994"/>
      <c r="G73" s="1994"/>
      <c r="H73" s="186"/>
      <c r="I73" s="186"/>
      <c r="J73" s="186"/>
      <c r="K73" s="186"/>
      <c r="L73" s="186"/>
      <c r="M73" s="186"/>
      <c r="N73" s="186"/>
      <c r="O73" s="3">
        <v>1</v>
      </c>
    </row>
    <row r="74" spans="1:15" ht="21" customHeight="1">
      <c r="A74" s="186"/>
      <c r="B74" s="570" t="s">
        <v>8649</v>
      </c>
      <c r="C74" s="186"/>
      <c r="D74" s="186"/>
      <c r="E74" s="1994"/>
      <c r="F74" s="1994"/>
      <c r="G74" s="1994"/>
      <c r="H74" s="186"/>
      <c r="I74" s="186"/>
      <c r="J74" s="186"/>
      <c r="K74" s="186"/>
      <c r="L74" s="186"/>
      <c r="M74" s="186"/>
      <c r="N74" s="186"/>
      <c r="O74" s="3">
        <v>1</v>
      </c>
    </row>
    <row r="75" spans="1:15" ht="21" customHeight="1">
      <c r="A75" s="186"/>
      <c r="B75" s="1149" t="s">
        <v>8672</v>
      </c>
      <c r="C75" s="186"/>
      <c r="D75" s="186"/>
      <c r="E75" s="1994"/>
      <c r="F75" s="1994"/>
      <c r="G75" s="1994"/>
      <c r="H75" s="186"/>
      <c r="I75" s="186"/>
      <c r="J75" s="186"/>
      <c r="K75" s="186"/>
      <c r="L75" s="186"/>
      <c r="M75" s="186"/>
      <c r="N75" s="186"/>
      <c r="O75" s="3">
        <v>1</v>
      </c>
    </row>
    <row r="76" spans="1:15" ht="21" customHeight="1">
      <c r="A76" s="186"/>
      <c r="B76" s="1149" t="s">
        <v>8673</v>
      </c>
      <c r="C76" s="186"/>
      <c r="D76" s="186"/>
      <c r="E76" s="1994"/>
      <c r="F76" s="1994"/>
      <c r="G76" s="1994"/>
      <c r="H76" s="186"/>
      <c r="I76" s="186"/>
      <c r="J76" s="186"/>
      <c r="K76" s="186"/>
      <c r="L76" s="186"/>
      <c r="M76" s="186"/>
      <c r="N76" s="186"/>
      <c r="O76" s="3">
        <v>1</v>
      </c>
    </row>
    <row r="77" spans="1:15" ht="21" customHeight="1">
      <c r="A77" s="186"/>
      <c r="B77" s="1149"/>
      <c r="C77" s="186"/>
      <c r="D77" s="186"/>
      <c r="E77" s="1994"/>
      <c r="F77" s="1994"/>
      <c r="G77" s="1994"/>
      <c r="H77" s="186"/>
      <c r="I77" s="186"/>
      <c r="J77" s="186"/>
      <c r="K77" s="186"/>
      <c r="L77" s="186"/>
      <c r="M77" s="186"/>
      <c r="N77" s="186"/>
      <c r="O77" s="3">
        <v>1</v>
      </c>
    </row>
    <row r="78" spans="1:15" ht="21" customHeight="1">
      <c r="A78" s="186"/>
      <c r="B78" s="1246" t="s">
        <v>8642</v>
      </c>
      <c r="C78" s="186"/>
      <c r="D78" s="186"/>
      <c r="E78" s="1994"/>
      <c r="F78" s="1994"/>
      <c r="G78" s="1994"/>
      <c r="H78" s="186"/>
      <c r="I78" s="186"/>
      <c r="J78" s="186"/>
      <c r="K78" s="186"/>
      <c r="L78" s="186"/>
      <c r="M78" s="186"/>
      <c r="N78" s="186"/>
      <c r="O78" s="3">
        <v>1</v>
      </c>
    </row>
    <row r="79" spans="1:15" ht="21" customHeight="1">
      <c r="A79" s="186"/>
      <c r="B79" s="186"/>
      <c r="C79" s="186"/>
      <c r="D79" s="186"/>
      <c r="E79" s="1994"/>
      <c r="F79" s="1994"/>
      <c r="G79" s="1994"/>
      <c r="H79" s="186"/>
      <c r="I79" s="186"/>
      <c r="J79" s="186"/>
      <c r="K79" s="186"/>
      <c r="L79" s="186"/>
      <c r="M79" s="186"/>
      <c r="N79" s="186"/>
      <c r="O79" s="3">
        <v>1</v>
      </c>
    </row>
    <row r="80" spans="1:15" ht="21" customHeight="1">
      <c r="A80" s="186"/>
      <c r="B80" s="1246" t="s">
        <v>8643</v>
      </c>
      <c r="C80" s="186"/>
      <c r="D80" s="186"/>
      <c r="E80" s="1994"/>
      <c r="F80" s="1994"/>
      <c r="G80" s="1994"/>
      <c r="H80" s="186"/>
      <c r="I80" s="186"/>
      <c r="J80" s="186"/>
      <c r="K80" s="186"/>
      <c r="L80" s="186"/>
      <c r="M80" s="186"/>
      <c r="N80" s="186"/>
      <c r="O80" s="3">
        <v>1</v>
      </c>
    </row>
    <row r="81" spans="1:15" ht="21" customHeight="1">
      <c r="A81" s="186"/>
      <c r="B81" s="1830" t="s">
        <v>8644</v>
      </c>
      <c r="C81" s="186"/>
      <c r="D81" s="186"/>
      <c r="E81" s="1994"/>
      <c r="F81" s="1994"/>
      <c r="G81" s="1994"/>
      <c r="H81" s="186"/>
      <c r="I81" s="186"/>
      <c r="J81" s="186"/>
      <c r="K81" s="186"/>
      <c r="L81" s="186"/>
      <c r="M81" s="186"/>
      <c r="N81" s="186"/>
      <c r="O81" s="3">
        <v>1</v>
      </c>
    </row>
    <row r="82" spans="1:15" ht="21" customHeight="1">
      <c r="A82" s="186"/>
      <c r="B82" s="1830" t="s">
        <v>8674</v>
      </c>
      <c r="C82" s="186"/>
      <c r="D82" s="186"/>
      <c r="E82" s="1994"/>
      <c r="F82" s="1994"/>
      <c r="G82" s="1994"/>
      <c r="H82" s="186"/>
      <c r="I82" s="186"/>
      <c r="J82" s="186"/>
      <c r="K82" s="186"/>
      <c r="L82" s="186"/>
      <c r="M82" s="186"/>
      <c r="N82" s="186"/>
      <c r="O82" s="3">
        <v>1</v>
      </c>
    </row>
    <row r="83" spans="1:15" ht="21" customHeight="1">
      <c r="A83" s="186"/>
      <c r="B83" s="1830" t="s">
        <v>8675</v>
      </c>
      <c r="C83" s="186"/>
      <c r="D83" s="186"/>
      <c r="E83" s="1994"/>
      <c r="F83" s="1994"/>
      <c r="G83" s="1994"/>
      <c r="H83" s="186"/>
      <c r="I83" s="186"/>
      <c r="J83" s="186"/>
      <c r="K83" s="186"/>
      <c r="L83" s="186"/>
      <c r="M83" s="186"/>
      <c r="N83" s="186"/>
      <c r="O83" s="3">
        <v>1</v>
      </c>
    </row>
    <row r="84" spans="1:15" ht="21" customHeight="1">
      <c r="A84" s="186"/>
      <c r="B84" s="1830" t="s">
        <v>8645</v>
      </c>
      <c r="C84" s="186"/>
      <c r="D84" s="186"/>
      <c r="E84" s="1994"/>
      <c r="F84" s="1994"/>
      <c r="G84" s="1994"/>
      <c r="H84" s="186"/>
      <c r="I84" s="186"/>
      <c r="J84" s="186"/>
      <c r="K84" s="186"/>
      <c r="L84" s="186"/>
      <c r="M84" s="186"/>
      <c r="N84" s="186"/>
      <c r="O84" s="3">
        <v>1</v>
      </c>
    </row>
    <row r="85" spans="1:15" ht="21" customHeight="1">
      <c r="A85" s="186"/>
      <c r="B85" s="1830" t="s">
        <v>8646</v>
      </c>
      <c r="C85" s="186"/>
      <c r="D85" s="186"/>
      <c r="E85" s="1994"/>
      <c r="F85" s="1994"/>
      <c r="G85" s="1994"/>
      <c r="H85" s="186"/>
      <c r="I85" s="186"/>
      <c r="J85" s="186"/>
      <c r="K85" s="186"/>
      <c r="L85" s="186"/>
      <c r="M85" s="186"/>
      <c r="N85" s="186"/>
      <c r="O85" s="3">
        <v>1</v>
      </c>
    </row>
    <row r="86" spans="1:15" ht="21" customHeight="1">
      <c r="A86" s="186"/>
      <c r="B86" s="186"/>
      <c r="C86" s="186"/>
      <c r="D86" s="186"/>
      <c r="E86" s="1994" t="s">
        <v>2680</v>
      </c>
      <c r="F86" s="1994"/>
      <c r="G86" s="1994"/>
      <c r="H86" s="186"/>
      <c r="I86" s="186"/>
      <c r="J86" s="186"/>
      <c r="K86" s="186"/>
      <c r="L86" s="186"/>
      <c r="M86" s="186"/>
      <c r="N86" s="186"/>
      <c r="O86" s="3">
        <v>1</v>
      </c>
    </row>
    <row r="87" spans="1:15" ht="21" customHeight="1">
      <c r="A87" s="186"/>
      <c r="B87" s="1246" t="s">
        <v>8516</v>
      </c>
      <c r="C87" s="186"/>
      <c r="D87" s="186"/>
      <c r="E87" s="1994"/>
      <c r="F87" s="1994"/>
      <c r="G87" s="1994"/>
      <c r="H87" s="186"/>
      <c r="I87" s="186"/>
      <c r="J87" s="186"/>
      <c r="K87" s="186"/>
      <c r="L87" s="186"/>
      <c r="M87" s="186"/>
      <c r="N87" s="186"/>
      <c r="O87" s="3">
        <v>1</v>
      </c>
    </row>
    <row r="88" spans="1:15" ht="21" customHeight="1">
      <c r="A88" s="186"/>
      <c r="B88" s="1830" t="s">
        <v>8526</v>
      </c>
      <c r="C88" s="186"/>
      <c r="D88" s="186"/>
      <c r="E88" s="1994"/>
      <c r="F88" s="1994"/>
      <c r="G88" s="1994"/>
      <c r="H88" s="186"/>
      <c r="I88" s="186"/>
      <c r="J88" s="186"/>
      <c r="K88" s="186"/>
      <c r="L88" s="186"/>
      <c r="M88" s="186"/>
      <c r="N88" s="186"/>
      <c r="O88" s="3">
        <v>1</v>
      </c>
    </row>
    <row r="89" spans="1:15" ht="21" customHeight="1">
      <c r="A89" s="186"/>
      <c r="B89" s="1830" t="s">
        <v>8676</v>
      </c>
      <c r="C89" s="186"/>
      <c r="D89" s="186"/>
      <c r="E89" s="1994"/>
      <c r="F89" s="1994"/>
      <c r="G89" s="1994"/>
      <c r="H89" s="186"/>
      <c r="I89" s="186"/>
      <c r="J89" s="186"/>
      <c r="K89" s="186"/>
      <c r="L89" s="186"/>
      <c r="M89" s="186"/>
      <c r="N89" s="186"/>
      <c r="O89" s="3">
        <v>1</v>
      </c>
    </row>
    <row r="90" spans="1:15" ht="21" customHeight="1">
      <c r="A90" s="186"/>
      <c r="B90" s="1830" t="s">
        <v>8677</v>
      </c>
      <c r="C90" s="186"/>
      <c r="D90" s="186"/>
      <c r="E90" s="1994"/>
      <c r="F90" s="1994"/>
      <c r="G90" s="1994"/>
      <c r="H90" s="186"/>
      <c r="I90" s="186"/>
      <c r="J90" s="186"/>
      <c r="K90" s="186"/>
      <c r="L90" s="186"/>
      <c r="M90" s="186"/>
      <c r="N90" s="186"/>
      <c r="O90" s="3">
        <v>1</v>
      </c>
    </row>
    <row r="91" spans="1:15" ht="21" customHeight="1">
      <c r="A91" s="186"/>
      <c r="B91" s="1830" t="s">
        <v>8678</v>
      </c>
      <c r="C91" s="186"/>
      <c r="E91" s="1994"/>
      <c r="F91" s="1994"/>
      <c r="G91" s="1994"/>
      <c r="H91" s="186"/>
      <c r="I91" s="186"/>
      <c r="J91" s="186"/>
      <c r="K91" s="186"/>
      <c r="L91" s="186"/>
      <c r="M91" s="186"/>
      <c r="N91" s="186"/>
      <c r="O91" s="3">
        <v>1</v>
      </c>
    </row>
    <row r="92" spans="1:15" ht="21" customHeight="1">
      <c r="A92" s="186"/>
      <c r="B92" s="186"/>
      <c r="C92" s="186"/>
      <c r="D92" s="186"/>
      <c r="E92" s="1994"/>
      <c r="F92" s="1994"/>
      <c r="G92" s="1994"/>
      <c r="H92" s="186"/>
      <c r="I92" s="186"/>
      <c r="J92" s="186"/>
      <c r="K92" s="186"/>
      <c r="L92" s="186"/>
      <c r="M92" s="186"/>
      <c r="N92" s="186"/>
      <c r="O92" s="3">
        <v>1</v>
      </c>
    </row>
    <row r="93" spans="1:15" ht="21" customHeight="1">
      <c r="A93" s="186"/>
      <c r="B93" s="1246" t="s">
        <v>8517</v>
      </c>
      <c r="C93" s="186"/>
      <c r="D93" s="1994"/>
      <c r="E93" s="1994"/>
      <c r="F93" s="1994"/>
      <c r="G93" s="1994"/>
      <c r="H93" s="186"/>
      <c r="I93" s="186"/>
      <c r="J93" s="186"/>
      <c r="K93" s="186"/>
      <c r="L93" s="186"/>
      <c r="M93" s="186"/>
      <c r="N93" s="186"/>
      <c r="O93" s="3">
        <v>1</v>
      </c>
    </row>
    <row r="94" spans="1:15" ht="21" customHeight="1">
      <c r="A94" s="186"/>
      <c r="B94" s="1830" t="s">
        <v>8667</v>
      </c>
      <c r="C94" s="186"/>
      <c r="D94" s="1994"/>
      <c r="E94" s="1994"/>
      <c r="F94" s="1994"/>
      <c r="G94" s="1994"/>
      <c r="H94" s="186"/>
      <c r="I94" s="186"/>
      <c r="J94" s="186"/>
      <c r="K94" s="186"/>
      <c r="L94" s="186"/>
      <c r="M94" s="186"/>
      <c r="N94" s="186"/>
      <c r="O94" s="3">
        <v>1</v>
      </c>
    </row>
    <row r="95" spans="1:15" ht="21" customHeight="1">
      <c r="A95" s="186"/>
      <c r="B95" s="1830" t="s">
        <v>8668</v>
      </c>
      <c r="C95" s="186"/>
      <c r="D95" s="1994"/>
      <c r="E95" s="1994"/>
      <c r="F95" s="1994"/>
      <c r="G95" s="1994"/>
      <c r="H95" s="186"/>
      <c r="I95" s="186"/>
      <c r="J95" s="186"/>
      <c r="K95" s="186"/>
      <c r="L95" s="186"/>
      <c r="M95" s="186"/>
      <c r="N95" s="186"/>
      <c r="O95" s="3">
        <v>1</v>
      </c>
    </row>
    <row r="96" spans="1:15" ht="21" customHeight="1">
      <c r="A96" s="186"/>
      <c r="B96" s="1830" t="s">
        <v>8669</v>
      </c>
      <c r="C96" s="186"/>
      <c r="D96" s="1994"/>
      <c r="E96" s="1994"/>
      <c r="F96" s="186"/>
      <c r="G96" s="186"/>
      <c r="H96" s="186"/>
      <c r="I96" s="186"/>
      <c r="J96" s="186"/>
      <c r="K96" s="186"/>
      <c r="L96" s="186"/>
      <c r="M96" s="186"/>
      <c r="N96" s="186"/>
      <c r="O96" s="3">
        <v>1</v>
      </c>
    </row>
    <row r="97" spans="1:15" ht="21" customHeight="1">
      <c r="A97" s="186"/>
      <c r="B97" s="1830" t="s">
        <v>8670</v>
      </c>
      <c r="C97" s="186"/>
      <c r="D97" s="1994"/>
      <c r="E97" s="1994"/>
      <c r="F97" s="1994"/>
      <c r="G97" s="1994"/>
      <c r="H97" s="186"/>
      <c r="I97" s="186"/>
      <c r="J97" s="186"/>
      <c r="K97" s="186"/>
      <c r="L97" s="186"/>
      <c r="M97" s="186"/>
      <c r="N97" s="186"/>
      <c r="O97" s="3">
        <v>1</v>
      </c>
    </row>
    <row r="98" spans="1:15" ht="21" customHeight="1">
      <c r="A98" s="186"/>
      <c r="B98" s="54"/>
      <c r="C98" s="186"/>
      <c r="D98" s="1994"/>
      <c r="E98" s="1994"/>
      <c r="F98" s="1994"/>
      <c r="G98" s="1994"/>
      <c r="H98" s="186"/>
      <c r="I98" s="186"/>
      <c r="J98" s="186"/>
      <c r="K98" s="186"/>
      <c r="L98" s="186"/>
      <c r="M98" s="186"/>
      <c r="N98" s="186"/>
      <c r="O98" s="3">
        <v>1</v>
      </c>
    </row>
    <row r="99" spans="1:15" ht="21" customHeight="1">
      <c r="A99" s="186"/>
      <c r="B99" s="1246" t="s">
        <v>8657</v>
      </c>
      <c r="C99" s="186"/>
      <c r="D99" s="1994"/>
      <c r="E99" s="1994"/>
      <c r="F99" s="1994"/>
      <c r="G99" s="1994"/>
      <c r="H99" s="186"/>
      <c r="I99" s="186"/>
      <c r="J99" s="186"/>
      <c r="K99" s="186"/>
      <c r="L99" s="186"/>
      <c r="M99" s="186"/>
      <c r="N99" s="186"/>
      <c r="O99" s="3">
        <v>1</v>
      </c>
    </row>
    <row r="100" spans="1:15" ht="21" customHeight="1">
      <c r="A100" s="186"/>
      <c r="B100" s="1830" t="s">
        <v>8665</v>
      </c>
      <c r="C100" s="186"/>
      <c r="D100" s="1994"/>
      <c r="E100" s="1994"/>
      <c r="F100" s="1994"/>
      <c r="G100" s="1994"/>
      <c r="H100" s="186"/>
      <c r="I100" s="186"/>
      <c r="J100" s="186"/>
      <c r="K100" s="186"/>
      <c r="L100" s="186"/>
      <c r="M100" s="186"/>
      <c r="N100" s="186"/>
      <c r="O100" s="3">
        <v>1</v>
      </c>
    </row>
    <row r="101" spans="1:15" ht="21" customHeight="1">
      <c r="A101" s="186"/>
      <c r="B101" s="1830" t="s">
        <v>8666</v>
      </c>
      <c r="C101" s="186"/>
      <c r="D101" s="1994"/>
      <c r="E101" s="1994"/>
      <c r="F101" s="1994"/>
      <c r="G101" s="1994"/>
      <c r="H101" s="186"/>
      <c r="I101" s="186"/>
      <c r="J101" s="186"/>
      <c r="K101" s="186"/>
      <c r="L101" s="186"/>
      <c r="M101" s="186"/>
      <c r="N101" s="186"/>
      <c r="O101" s="3">
        <v>1</v>
      </c>
    </row>
    <row r="102" spans="1:15" ht="21" customHeight="1">
      <c r="A102" s="186"/>
      <c r="B102" s="570" t="s">
        <v>8660</v>
      </c>
      <c r="C102" s="186"/>
      <c r="D102" s="186"/>
      <c r="E102" s="186"/>
      <c r="F102" s="186"/>
      <c r="G102" s="186"/>
      <c r="H102" s="186"/>
      <c r="I102" s="186"/>
      <c r="J102" s="186"/>
      <c r="K102" s="186"/>
      <c r="L102" s="186"/>
      <c r="M102" s="186"/>
      <c r="N102" s="186"/>
      <c r="O102" s="3">
        <v>1</v>
      </c>
    </row>
    <row r="103" spans="1:15" ht="21" customHeight="1">
      <c r="A103" s="186">
        <f>ROW()</f>
        <v>103</v>
      </c>
      <c r="B103" s="1994"/>
      <c r="C103" s="186"/>
      <c r="D103" s="186"/>
      <c r="E103" s="186"/>
      <c r="F103" s="186"/>
      <c r="G103" s="186"/>
      <c r="H103" s="186"/>
      <c r="I103" s="186"/>
      <c r="J103" s="186"/>
      <c r="K103" s="186"/>
      <c r="L103" s="186"/>
      <c r="M103" s="186"/>
      <c r="N103" s="186"/>
      <c r="O103" s="3">
        <v>1</v>
      </c>
    </row>
    <row r="104" spans="1:15" ht="21" customHeight="1">
      <c r="A104" s="186"/>
      <c r="B104" s="1246" t="s">
        <v>8656</v>
      </c>
      <c r="C104" s="186"/>
      <c r="D104" s="186"/>
      <c r="E104" s="186"/>
      <c r="F104" s="186"/>
      <c r="G104" s="186"/>
      <c r="H104" s="186"/>
      <c r="I104" s="186"/>
      <c r="J104" s="186"/>
      <c r="K104" s="186"/>
      <c r="L104" s="186"/>
      <c r="M104" s="186"/>
      <c r="N104" s="186"/>
      <c r="O104" s="3">
        <v>1</v>
      </c>
    </row>
    <row r="105" spans="1:15" ht="21" customHeight="1">
      <c r="A105" s="186"/>
      <c r="B105" s="1149" t="s">
        <v>8671</v>
      </c>
      <c r="C105" s="186"/>
      <c r="D105" s="186"/>
      <c r="E105" s="186"/>
      <c r="F105" s="186"/>
      <c r="G105" s="186"/>
      <c r="H105" s="186"/>
      <c r="I105" s="186"/>
      <c r="J105" s="186"/>
      <c r="K105" s="186"/>
      <c r="L105" s="186"/>
      <c r="M105" s="186"/>
      <c r="N105" s="186"/>
      <c r="O105" s="3">
        <v>1</v>
      </c>
    </row>
    <row r="106" spans="1:15" ht="21" customHeight="1" thickBot="1">
      <c r="A106" s="186"/>
      <c r="B106" s="1149" t="s">
        <v>8647</v>
      </c>
      <c r="C106" s="186"/>
      <c r="D106" s="186"/>
      <c r="E106" s="186"/>
      <c r="F106" s="186"/>
      <c r="G106" s="186"/>
      <c r="H106" s="186"/>
      <c r="I106" s="186"/>
      <c r="J106" s="186"/>
      <c r="K106" s="186"/>
      <c r="L106" s="186"/>
      <c r="M106" s="186"/>
      <c r="N106" s="186"/>
      <c r="O106" s="3">
        <v>1</v>
      </c>
    </row>
    <row r="107" spans="1:15" ht="21" customHeight="1" thickBot="1">
      <c r="A107" s="186"/>
      <c r="B107" s="1829" t="s">
        <v>8441</v>
      </c>
      <c r="C107" s="2006">
        <f>1/2</f>
        <v>0.5</v>
      </c>
      <c r="D107" s="186" t="str">
        <f ca="1">"◄ "&amp; _xlfn.FORMULATEXT(C107)</f>
        <v>◄ =1/2</v>
      </c>
      <c r="E107" s="186"/>
      <c r="F107" s="186"/>
      <c r="G107" s="186"/>
      <c r="H107" s="186"/>
      <c r="I107" s="186"/>
      <c r="J107" s="186"/>
      <c r="K107" s="186"/>
      <c r="L107" s="186"/>
      <c r="M107" s="186"/>
      <c r="N107" s="186"/>
      <c r="O107" s="3">
        <v>1</v>
      </c>
    </row>
    <row r="108" spans="1:15" ht="21" customHeight="1">
      <c r="A108" s="186"/>
      <c r="B108" s="570" t="s">
        <v>8659</v>
      </c>
      <c r="C108" s="186"/>
      <c r="D108" s="186"/>
      <c r="E108" s="186"/>
      <c r="F108" s="186"/>
      <c r="G108" s="186"/>
      <c r="H108" s="186"/>
      <c r="I108" s="186"/>
      <c r="J108" s="186"/>
      <c r="K108" s="186"/>
      <c r="L108" s="186"/>
      <c r="M108" s="186"/>
      <c r="N108" s="186"/>
      <c r="O108" s="3">
        <v>1</v>
      </c>
    </row>
    <row r="109" spans="1:15" ht="21" customHeight="1">
      <c r="A109" s="186"/>
      <c r="B109" s="570" t="s">
        <v>8658</v>
      </c>
      <c r="C109" s="1994"/>
      <c r="D109" s="186"/>
      <c r="E109" s="186"/>
      <c r="F109" s="186"/>
      <c r="G109" s="186"/>
      <c r="H109" s="186"/>
      <c r="I109" s="186"/>
      <c r="J109" s="186"/>
      <c r="K109" s="186"/>
      <c r="L109" s="186"/>
      <c r="M109" s="186"/>
      <c r="N109" s="186"/>
      <c r="O109" s="3">
        <v>1</v>
      </c>
    </row>
    <row r="110" spans="1:15" ht="21" customHeight="1">
      <c r="A110" s="186"/>
      <c r="B110" s="570" t="s">
        <v>8648</v>
      </c>
      <c r="C110" s="186"/>
      <c r="D110" s="186"/>
      <c r="E110" s="186"/>
      <c r="F110" s="186"/>
      <c r="G110" s="186"/>
      <c r="H110" s="186"/>
      <c r="I110" s="186"/>
      <c r="J110" s="186"/>
      <c r="K110" s="186"/>
      <c r="L110" s="186"/>
      <c r="M110" s="186"/>
      <c r="N110" s="186"/>
      <c r="O110" s="3">
        <v>1</v>
      </c>
    </row>
    <row r="111" spans="1:15" ht="21" customHeight="1">
      <c r="A111" s="186"/>
      <c r="B111" s="1830" t="s">
        <v>8663</v>
      </c>
      <c r="C111" s="186"/>
      <c r="D111" s="186"/>
      <c r="E111" s="186"/>
      <c r="F111" s="186"/>
      <c r="G111" s="186"/>
      <c r="H111" s="186"/>
      <c r="I111" s="186"/>
      <c r="J111" s="186"/>
      <c r="K111" s="186"/>
      <c r="L111" s="186"/>
      <c r="M111" s="186"/>
      <c r="N111" s="186"/>
      <c r="O111" s="3">
        <v>1</v>
      </c>
    </row>
    <row r="112" spans="1:15" ht="21" customHeight="1">
      <c r="A112" s="186"/>
      <c r="B112" s="1830" t="s">
        <v>8664</v>
      </c>
      <c r="C112" s="186"/>
      <c r="D112" s="186"/>
      <c r="E112" s="186"/>
      <c r="F112" s="186"/>
      <c r="G112" s="186"/>
      <c r="H112" s="186"/>
      <c r="I112" s="186"/>
      <c r="J112" s="186"/>
      <c r="K112" s="186"/>
      <c r="L112" s="186"/>
      <c r="M112" s="186"/>
      <c r="N112" s="186"/>
      <c r="O112" s="3">
        <v>1</v>
      </c>
    </row>
    <row r="113" spans="1:15" ht="21" customHeight="1">
      <c r="A113" s="186"/>
      <c r="B113" s="1994"/>
      <c r="C113" s="1994"/>
      <c r="D113" s="186"/>
      <c r="E113" s="186"/>
      <c r="F113" s="186"/>
      <c r="G113" s="186"/>
      <c r="H113" s="186"/>
      <c r="I113" s="186"/>
      <c r="J113" s="186"/>
      <c r="K113" s="186"/>
      <c r="L113" s="186"/>
      <c r="M113" s="186"/>
      <c r="N113" s="186"/>
      <c r="O113" s="3">
        <v>1</v>
      </c>
    </row>
    <row r="114" spans="1:15" ht="21" customHeight="1">
      <c r="A114" s="186"/>
      <c r="B114" s="1246" t="s">
        <v>8508</v>
      </c>
      <c r="C114" s="1994"/>
      <c r="D114" s="186"/>
      <c r="E114" s="186"/>
      <c r="F114" s="186"/>
      <c r="G114" s="186"/>
      <c r="H114" s="186"/>
      <c r="I114" s="186"/>
      <c r="J114" s="186"/>
      <c r="K114" s="186"/>
      <c r="L114" s="186"/>
      <c r="M114" s="186"/>
      <c r="N114" s="186"/>
      <c r="O114" s="3">
        <v>1</v>
      </c>
    </row>
    <row r="115" spans="1:15" ht="21" customHeight="1">
      <c r="A115" s="186"/>
      <c r="B115" s="1830" t="s">
        <v>8509</v>
      </c>
      <c r="C115" s="1994"/>
      <c r="D115" s="186"/>
      <c r="E115" s="186"/>
      <c r="F115" s="186"/>
      <c r="G115" s="186"/>
      <c r="H115" s="186"/>
      <c r="I115" s="186"/>
      <c r="J115" s="186"/>
      <c r="K115" s="186"/>
      <c r="L115" s="186"/>
      <c r="M115" s="186"/>
      <c r="N115" s="186"/>
      <c r="O115" s="3">
        <v>1</v>
      </c>
    </row>
    <row r="116" spans="1:15" ht="21" customHeight="1">
      <c r="A116" s="186"/>
      <c r="B116" s="1830" t="s">
        <v>8510</v>
      </c>
      <c r="C116" s="1994"/>
      <c r="D116" s="186"/>
      <c r="E116" s="186"/>
      <c r="F116" s="186"/>
      <c r="G116" s="186"/>
      <c r="H116" s="186"/>
      <c r="I116" s="186"/>
      <c r="J116" s="186"/>
      <c r="K116" s="186"/>
      <c r="L116" s="186"/>
      <c r="M116" s="186"/>
      <c r="N116" s="186"/>
      <c r="O116" s="3">
        <v>1</v>
      </c>
    </row>
    <row r="117" spans="1:15" ht="21" customHeight="1">
      <c r="A117" s="2004" t="str">
        <f>ADDRESS(ROW(B117),COLUMN(B117),4)&amp;" ►"</f>
        <v>B117 ►</v>
      </c>
      <c r="B117" s="1992" t="str">
        <f ca="1">"sur cet ordinateur, version Excel interne : "&amp;INFO("version")</f>
        <v>sur cet ordinateur, version Excel interne : 16.0</v>
      </c>
      <c r="C117" s="1994"/>
      <c r="D117" s="186"/>
      <c r="E117" s="186"/>
      <c r="F117" s="186"/>
      <c r="G117" s="186"/>
      <c r="H117" s="186"/>
      <c r="I117" s="186"/>
      <c r="J117" s="186"/>
      <c r="K117" s="186"/>
      <c r="L117" s="186"/>
      <c r="M117" s="186"/>
      <c r="N117" s="186"/>
      <c r="O117" s="3">
        <v>1</v>
      </c>
    </row>
    <row r="118" spans="1:15" ht="21" customHeight="1">
      <c r="A118" s="186"/>
      <c r="B118" s="1830" t="str">
        <f>"Si la cellule "&amp;ADDRESS(ROW(B117),COLUMN(B117),4)&amp;" affiche le long message ""version trop ancienne"" ou si "&amp;ADDRESS(ROW(B117),COLUMN(B117),4)&amp;" = #NOM? → Excel trop ancien."</f>
        <v>Si la cellule B117 affiche le long message "version trop ancienne" ou si B117 = #NOM? → Excel trop ancien.</v>
      </c>
      <c r="C118" s="186"/>
      <c r="D118" s="186"/>
      <c r="E118" s="186"/>
      <c r="F118" s="186"/>
      <c r="G118" s="186"/>
      <c r="H118" s="186"/>
      <c r="I118" s="186"/>
      <c r="J118" s="186"/>
      <c r="K118" s="186"/>
      <c r="L118" s="186"/>
      <c r="M118" s="186"/>
      <c r="N118" s="186"/>
      <c r="O118" s="3">
        <v>1</v>
      </c>
    </row>
    <row r="119" spans="1:15" ht="21" customHeight="1">
      <c r="A119" s="186"/>
      <c r="B119" s="188" t="str">
        <f>"1 ◄ Cliquez dans la cellule "&amp;ADDRESS(ROW(B71),COLUMN(B71),4)</f>
        <v>1 ◄ Cliquez dans la cellule B71</v>
      </c>
      <c r="C119" s="186"/>
      <c r="D119" s="186"/>
      <c r="E119" s="186"/>
      <c r="F119" s="186"/>
      <c r="G119" s="186"/>
      <c r="H119" s="186"/>
      <c r="I119" s="186"/>
      <c r="J119" s="186"/>
      <c r="K119" s="186"/>
      <c r="L119" s="186"/>
      <c r="M119" s="186"/>
      <c r="N119" s="186"/>
      <c r="O119" s="3">
        <v>1</v>
      </c>
    </row>
    <row r="120" spans="1:15" ht="21" customHeight="1">
      <c r="A120" s="186"/>
      <c r="B120" s="188"/>
      <c r="C120" s="186"/>
      <c r="D120" s="186"/>
      <c r="E120" s="186"/>
      <c r="F120" s="186"/>
      <c r="G120" s="186"/>
      <c r="H120" s="186"/>
      <c r="I120" s="186"/>
      <c r="J120" s="186"/>
      <c r="K120" s="186"/>
      <c r="L120" s="186"/>
      <c r="M120" s="186"/>
      <c r="N120" s="186"/>
      <c r="O120" s="3">
        <v>1</v>
      </c>
    </row>
    <row r="121" spans="1:15" ht="21" customHeight="1">
      <c r="A121" s="186"/>
      <c r="B121" s="1246" t="s">
        <v>8511</v>
      </c>
      <c r="C121" s="1994"/>
      <c r="D121" s="186"/>
      <c r="E121" s="186"/>
      <c r="F121" s="186"/>
      <c r="G121" s="186"/>
      <c r="H121" s="186"/>
      <c r="I121" s="186"/>
      <c r="J121" s="186"/>
      <c r="K121" s="186"/>
      <c r="L121" s="186"/>
      <c r="M121" s="186"/>
      <c r="N121" s="186"/>
      <c r="O121" s="3">
        <v>1</v>
      </c>
    </row>
    <row r="122" spans="1:15" ht="21" customHeight="1">
      <c r="A122" s="186"/>
      <c r="B122" s="570" t="s">
        <v>8520</v>
      </c>
      <c r="C122" s="186"/>
      <c r="D122" s="186"/>
      <c r="E122" s="186"/>
      <c r="F122" s="186"/>
      <c r="G122" s="186"/>
      <c r="H122" s="186"/>
      <c r="I122" s="186"/>
      <c r="J122" s="186"/>
      <c r="K122" s="186"/>
      <c r="L122" s="186"/>
      <c r="M122" s="186"/>
      <c r="N122" s="186"/>
      <c r="O122" s="3">
        <v>1</v>
      </c>
    </row>
    <row r="123" spans="1:15" ht="21" customHeight="1">
      <c r="A123" s="186"/>
      <c r="B123" s="1830" t="s">
        <v>8513</v>
      </c>
      <c r="C123" s="186"/>
      <c r="D123" s="186"/>
      <c r="E123" s="186"/>
      <c r="F123" s="186"/>
      <c r="G123" s="186"/>
      <c r="H123" s="186"/>
      <c r="I123" s="186"/>
      <c r="J123" s="186"/>
      <c r="K123" s="186"/>
      <c r="L123" s="186"/>
      <c r="M123" s="186"/>
      <c r="N123" s="186"/>
      <c r="O123" s="3">
        <v>1</v>
      </c>
    </row>
    <row r="124" spans="1:15" ht="21" customHeight="1">
      <c r="A124" s="186"/>
      <c r="B124" s="1830"/>
      <c r="C124" s="186"/>
      <c r="D124" s="186"/>
      <c r="E124" s="186"/>
      <c r="F124" s="186"/>
      <c r="G124" s="186"/>
      <c r="H124" s="186"/>
      <c r="I124" s="186"/>
      <c r="J124" s="186"/>
      <c r="K124" s="186"/>
      <c r="L124" s="186"/>
      <c r="M124" s="186"/>
      <c r="N124" s="186"/>
      <c r="O124" s="3">
        <v>1</v>
      </c>
    </row>
    <row r="125" spans="1:15" ht="21" customHeight="1">
      <c r="A125" s="186"/>
      <c r="B125" s="1830" t="s">
        <v>8522</v>
      </c>
      <c r="C125" s="186"/>
      <c r="D125" s="186"/>
      <c r="E125" s="186"/>
      <c r="F125" s="186"/>
      <c r="G125" s="186"/>
      <c r="H125" s="186"/>
      <c r="I125" s="186"/>
      <c r="J125" s="186"/>
      <c r="K125" s="186"/>
      <c r="L125" s="186"/>
      <c r="M125" s="186"/>
      <c r="N125" s="186"/>
      <c r="O125" s="3">
        <v>1</v>
      </c>
    </row>
    <row r="126" spans="1:15" ht="21" customHeight="1">
      <c r="A126" s="186"/>
      <c r="B126" s="1830" t="s">
        <v>8523</v>
      </c>
      <c r="C126" s="186"/>
      <c r="D126" s="186"/>
      <c r="E126" s="186"/>
      <c r="F126" s="186"/>
      <c r="G126" s="186"/>
      <c r="H126" s="186"/>
      <c r="I126" s="186"/>
      <c r="J126" s="186"/>
      <c r="K126" s="186"/>
      <c r="L126" s="186"/>
      <c r="M126" s="186"/>
      <c r="N126" s="186"/>
      <c r="O126" s="3">
        <v>1</v>
      </c>
    </row>
    <row r="127" spans="1:15" ht="21" customHeight="1">
      <c r="A127" s="186"/>
      <c r="B127" s="1830"/>
      <c r="C127" s="186"/>
      <c r="D127" s="186"/>
      <c r="E127" s="186"/>
      <c r="F127" s="186"/>
      <c r="G127" s="186"/>
      <c r="H127" s="186"/>
      <c r="I127" s="186"/>
      <c r="J127" s="186"/>
      <c r="K127" s="186"/>
      <c r="L127" s="186"/>
      <c r="M127" s="186"/>
      <c r="N127" s="186"/>
      <c r="O127" s="3">
        <v>1</v>
      </c>
    </row>
    <row r="128" spans="1:15" ht="21" customHeight="1">
      <c r="A128" s="186"/>
      <c r="B128" s="1830" t="s">
        <v>8524</v>
      </c>
      <c r="C128" s="186"/>
      <c r="D128" s="186"/>
      <c r="E128" s="186"/>
      <c r="F128" s="186"/>
      <c r="G128" s="186"/>
      <c r="H128" s="186"/>
      <c r="I128" s="186"/>
      <c r="J128" s="186"/>
      <c r="K128" s="186"/>
      <c r="L128" s="186"/>
      <c r="M128" s="186"/>
      <c r="N128" s="186"/>
      <c r="O128" s="3">
        <v>1</v>
      </c>
    </row>
    <row r="129" spans="1:15" ht="21" customHeight="1">
      <c r="A129" s="186"/>
      <c r="B129" s="1830" t="s">
        <v>8525</v>
      </c>
      <c r="C129" s="186"/>
      <c r="D129" s="186"/>
      <c r="E129" s="186"/>
      <c r="F129" s="186"/>
      <c r="G129" s="186"/>
      <c r="H129" s="186"/>
      <c r="I129" s="186"/>
      <c r="J129" s="186"/>
      <c r="K129" s="186"/>
      <c r="L129" s="186"/>
      <c r="M129" s="186"/>
      <c r="N129" s="186"/>
      <c r="O129" s="3">
        <v>1</v>
      </c>
    </row>
    <row r="130" spans="1:15" ht="21" customHeight="1">
      <c r="A130" s="186"/>
      <c r="B130" s="1830" t="s">
        <v>8514</v>
      </c>
      <c r="C130" s="186"/>
      <c r="D130" s="186"/>
      <c r="E130" s="186"/>
      <c r="F130" s="186"/>
      <c r="G130" s="186"/>
      <c r="H130" s="186"/>
      <c r="I130" s="186"/>
      <c r="J130" s="186"/>
      <c r="K130" s="186"/>
      <c r="L130" s="186"/>
      <c r="M130" s="186"/>
      <c r="N130" s="186"/>
      <c r="O130" s="3">
        <v>1</v>
      </c>
    </row>
    <row r="131" spans="1:15" ht="21" customHeight="1">
      <c r="A131" s="186"/>
      <c r="B131" s="1830" t="s">
        <v>8515</v>
      </c>
      <c r="C131" s="186"/>
      <c r="D131" s="186"/>
      <c r="E131" s="186"/>
      <c r="F131" s="186"/>
      <c r="G131" s="186"/>
      <c r="H131" s="186"/>
      <c r="I131" s="186"/>
      <c r="J131" s="186"/>
      <c r="K131" s="186"/>
      <c r="L131" s="186"/>
      <c r="M131" s="186"/>
      <c r="N131" s="186"/>
      <c r="O131" s="3">
        <v>1</v>
      </c>
    </row>
    <row r="132" spans="1:15" ht="21" customHeight="1">
      <c r="A132" s="186"/>
      <c r="B132" s="1830"/>
      <c r="C132" s="186"/>
      <c r="D132" s="186"/>
      <c r="E132" s="186"/>
      <c r="F132" s="186"/>
      <c r="G132" s="186"/>
      <c r="H132" s="186"/>
      <c r="I132" s="186"/>
      <c r="J132" s="186"/>
      <c r="K132" s="186"/>
      <c r="L132" s="186"/>
      <c r="M132" s="186"/>
      <c r="N132" s="186"/>
      <c r="O132" s="3">
        <v>1</v>
      </c>
    </row>
    <row r="133" spans="1:15" ht="21" customHeight="1">
      <c r="A133" s="186"/>
      <c r="B133" s="1246" t="s">
        <v>8516</v>
      </c>
      <c r="C133" s="186"/>
      <c r="D133" s="1993"/>
      <c r="E133" s="186"/>
      <c r="F133" s="186"/>
      <c r="G133" s="186"/>
      <c r="H133" s="186"/>
      <c r="I133" s="186"/>
      <c r="J133" s="186"/>
      <c r="K133" s="186"/>
      <c r="L133" s="186"/>
      <c r="M133" s="186"/>
      <c r="N133" s="186"/>
      <c r="O133" s="3">
        <v>1</v>
      </c>
    </row>
    <row r="134" spans="1:15" ht="21" customHeight="1">
      <c r="A134" s="186"/>
      <c r="B134" s="1149" t="s">
        <v>8526</v>
      </c>
      <c r="C134" s="186"/>
      <c r="D134" s="186"/>
      <c r="E134" s="186"/>
      <c r="F134" s="186"/>
      <c r="G134" s="186"/>
      <c r="H134" s="186"/>
      <c r="I134" s="186"/>
      <c r="J134" s="186"/>
      <c r="K134" s="186"/>
      <c r="L134" s="186"/>
      <c r="M134" s="186"/>
      <c r="N134" s="186"/>
      <c r="O134" s="3">
        <v>1</v>
      </c>
    </row>
    <row r="135" spans="1:15" ht="21" customHeight="1">
      <c r="A135" s="186"/>
      <c r="B135" s="1149" t="s">
        <v>8527</v>
      </c>
      <c r="C135" s="186"/>
      <c r="D135" s="186"/>
      <c r="E135" s="186"/>
      <c r="F135" s="186"/>
      <c r="G135" s="186"/>
      <c r="H135" s="186"/>
      <c r="I135" s="186"/>
      <c r="J135" s="186"/>
      <c r="K135" s="186"/>
      <c r="L135" s="186"/>
      <c r="M135" s="186"/>
      <c r="N135" s="186"/>
      <c r="O135" s="3">
        <v>1</v>
      </c>
    </row>
    <row r="136" spans="1:15" ht="21" customHeight="1">
      <c r="A136" s="186"/>
      <c r="B136" s="1149" t="s">
        <v>8528</v>
      </c>
      <c r="C136" s="186"/>
      <c r="D136" s="186"/>
      <c r="E136" s="186"/>
      <c r="F136" s="186"/>
      <c r="G136" s="186"/>
      <c r="H136" s="186"/>
      <c r="I136" s="186"/>
      <c r="J136" s="186"/>
      <c r="K136" s="186"/>
      <c r="L136" s="186"/>
      <c r="M136" s="186"/>
      <c r="N136" s="186"/>
      <c r="O136" s="3">
        <v>1</v>
      </c>
    </row>
    <row r="137" spans="1:15" ht="21" customHeight="1">
      <c r="A137" s="186"/>
      <c r="B137" s="1149" t="s">
        <v>8529</v>
      </c>
      <c r="C137" s="186"/>
      <c r="D137" s="186"/>
      <c r="E137" s="186"/>
      <c r="F137" s="186"/>
      <c r="G137" s="186"/>
      <c r="H137" s="186"/>
      <c r="I137" s="186"/>
      <c r="J137" s="186"/>
      <c r="K137" s="186"/>
      <c r="L137" s="186"/>
      <c r="M137" s="186"/>
      <c r="N137" s="186"/>
      <c r="O137" s="3">
        <v>1</v>
      </c>
    </row>
    <row r="138" spans="1:15" ht="21" customHeight="1">
      <c r="A138" s="186"/>
      <c r="B138" s="1830"/>
      <c r="C138" s="186"/>
      <c r="D138" s="186"/>
      <c r="E138" s="186"/>
      <c r="F138" s="186"/>
      <c r="G138" s="186"/>
      <c r="H138" s="186"/>
      <c r="I138" s="186"/>
      <c r="J138" s="186"/>
      <c r="K138" s="186"/>
      <c r="L138" s="186"/>
      <c r="M138" s="186"/>
      <c r="N138" s="186"/>
      <c r="O138" s="3">
        <v>1</v>
      </c>
    </row>
    <row r="139" spans="1:15" ht="21" customHeight="1">
      <c r="A139" s="186"/>
      <c r="B139" s="1246" t="s">
        <v>8517</v>
      </c>
      <c r="C139" s="186"/>
      <c r="D139" s="186"/>
      <c r="E139" s="186"/>
      <c r="F139" s="186"/>
      <c r="G139" s="186"/>
      <c r="H139" s="186"/>
      <c r="I139" s="186"/>
      <c r="J139" s="186"/>
      <c r="K139" s="186"/>
      <c r="L139" s="186"/>
      <c r="M139" s="186"/>
      <c r="N139" s="186"/>
      <c r="O139" s="3">
        <v>1</v>
      </c>
    </row>
    <row r="140" spans="1:15" ht="21" customHeight="1">
      <c r="A140" s="186"/>
      <c r="B140" s="1149" t="s">
        <v>8530</v>
      </c>
      <c r="C140" s="186"/>
      <c r="D140" s="186"/>
      <c r="E140" s="186"/>
      <c r="F140" s="186"/>
      <c r="G140" s="186"/>
      <c r="H140" s="186"/>
      <c r="I140" s="186"/>
      <c r="J140" s="186"/>
      <c r="K140" s="186"/>
      <c r="L140" s="186"/>
      <c r="M140" s="186"/>
      <c r="N140" s="186"/>
      <c r="O140" s="3">
        <v>1</v>
      </c>
    </row>
    <row r="141" spans="1:15" ht="21" customHeight="1">
      <c r="A141" s="186"/>
      <c r="B141" s="1149" t="s">
        <v>8531</v>
      </c>
      <c r="C141" s="186"/>
      <c r="D141" s="186"/>
      <c r="E141" s="186"/>
      <c r="F141" s="186"/>
      <c r="G141" s="186"/>
      <c r="H141" s="186"/>
      <c r="I141" s="186"/>
      <c r="J141" s="186"/>
      <c r="K141" s="186"/>
      <c r="L141" s="186"/>
      <c r="M141" s="186"/>
      <c r="N141" s="186"/>
      <c r="O141" s="3">
        <v>1</v>
      </c>
    </row>
    <row r="142" spans="1:15" ht="21" customHeight="1">
      <c r="A142" s="186"/>
      <c r="B142" s="1149" t="s">
        <v>8532</v>
      </c>
      <c r="C142" s="186"/>
      <c r="D142" s="186"/>
      <c r="E142" s="186"/>
      <c r="F142" s="186"/>
      <c r="G142" s="186"/>
      <c r="H142" s="186"/>
      <c r="I142" s="186"/>
      <c r="J142" s="186"/>
      <c r="K142" s="186"/>
      <c r="L142" s="186"/>
      <c r="M142" s="186"/>
      <c r="N142" s="186"/>
      <c r="O142" s="3">
        <v>1</v>
      </c>
    </row>
    <row r="143" spans="1:15" ht="21" customHeight="1">
      <c r="A143" s="186"/>
      <c r="B143" s="1996" t="s">
        <v>8533</v>
      </c>
      <c r="C143" s="186"/>
      <c r="D143" s="186"/>
      <c r="E143" s="186"/>
      <c r="F143" s="186"/>
      <c r="G143" s="186"/>
      <c r="H143" s="186"/>
      <c r="I143" s="186"/>
      <c r="J143" s="186"/>
      <c r="K143" s="186"/>
      <c r="L143" s="186"/>
      <c r="M143" s="186"/>
      <c r="N143" s="186"/>
      <c r="O143" s="3">
        <v>1</v>
      </c>
    </row>
    <row r="144" spans="1:15" ht="21" customHeight="1">
      <c r="A144" s="186"/>
      <c r="B144" s="1149"/>
      <c r="C144" s="186"/>
      <c r="D144" s="186"/>
      <c r="E144" s="186"/>
      <c r="F144" s="186"/>
      <c r="G144" s="186"/>
      <c r="H144" s="186"/>
      <c r="I144" s="186"/>
      <c r="J144" s="186"/>
      <c r="K144" s="186"/>
      <c r="L144" s="186"/>
      <c r="M144" s="186"/>
      <c r="N144" s="186"/>
      <c r="O144" s="3">
        <v>1</v>
      </c>
    </row>
    <row r="145" spans="1:15" ht="21" customHeight="1">
      <c r="A145" s="186"/>
      <c r="B145" s="1246" t="s">
        <v>8662</v>
      </c>
      <c r="C145" s="186"/>
      <c r="D145" s="186"/>
      <c r="E145" s="186"/>
      <c r="F145" s="186"/>
      <c r="G145" s="186"/>
      <c r="H145" s="186"/>
      <c r="I145" s="186"/>
      <c r="J145" s="186"/>
      <c r="K145" s="186"/>
      <c r="L145" s="186"/>
      <c r="M145" s="186"/>
      <c r="N145" s="186"/>
      <c r="O145" s="3">
        <v>1</v>
      </c>
    </row>
    <row r="146" spans="1:15" ht="21" customHeight="1">
      <c r="A146" s="186"/>
      <c r="B146" s="1996" t="s">
        <v>8534</v>
      </c>
      <c r="C146" s="186"/>
      <c r="D146" s="186"/>
      <c r="E146" s="186"/>
      <c r="F146" s="186"/>
      <c r="G146" s="186"/>
      <c r="H146" s="186"/>
      <c r="I146" s="186"/>
      <c r="J146" s="186"/>
      <c r="K146" s="186"/>
      <c r="L146" s="186"/>
      <c r="M146" s="186"/>
      <c r="N146" s="186"/>
      <c r="O146" s="3">
        <v>1</v>
      </c>
    </row>
    <row r="147" spans="1:15" ht="21" customHeight="1">
      <c r="A147" s="186"/>
      <c r="B147" s="1996" t="s">
        <v>8535</v>
      </c>
      <c r="C147" s="186"/>
      <c r="D147" s="186"/>
      <c r="E147" s="186"/>
      <c r="F147" s="186"/>
      <c r="G147" s="186"/>
      <c r="H147" s="186"/>
      <c r="I147" s="186"/>
      <c r="J147" s="186"/>
      <c r="K147" s="186"/>
      <c r="L147" s="186"/>
      <c r="M147" s="186"/>
      <c r="N147" s="186"/>
      <c r="O147" s="3">
        <v>1</v>
      </c>
    </row>
    <row r="148" spans="1:15" ht="21" customHeight="1">
      <c r="A148" s="186"/>
      <c r="B148" s="1149" t="s">
        <v>8536</v>
      </c>
      <c r="C148" s="186"/>
      <c r="D148" s="186"/>
      <c r="E148" s="186"/>
      <c r="F148" s="186"/>
      <c r="G148" s="186"/>
      <c r="H148" s="186"/>
      <c r="I148" s="186"/>
      <c r="J148" s="186"/>
      <c r="K148" s="186"/>
      <c r="L148" s="186"/>
      <c r="M148" s="186"/>
      <c r="N148" s="186"/>
      <c r="O148" s="3">
        <v>1</v>
      </c>
    </row>
    <row r="149" spans="1:15" ht="21" customHeight="1">
      <c r="A149" s="186"/>
      <c r="B149" s="1830"/>
      <c r="C149" s="186"/>
      <c r="D149" s="186"/>
      <c r="E149" s="186"/>
      <c r="F149" s="186"/>
      <c r="G149" s="186"/>
      <c r="H149" s="186"/>
      <c r="I149" s="186"/>
      <c r="J149" s="186"/>
      <c r="K149" s="186"/>
      <c r="L149" s="186"/>
      <c r="M149" s="186"/>
      <c r="N149" s="186"/>
      <c r="O149" s="3">
        <v>1</v>
      </c>
    </row>
    <row r="150" spans="1:15" ht="21" customHeight="1">
      <c r="A150" s="186"/>
      <c r="B150" s="2000" t="s">
        <v>8518</v>
      </c>
      <c r="C150" s="186"/>
      <c r="D150" s="186"/>
      <c r="E150" s="186"/>
      <c r="F150" s="186"/>
      <c r="G150" s="186"/>
      <c r="H150" s="186"/>
      <c r="I150" s="186"/>
      <c r="J150" s="186"/>
      <c r="K150" s="186"/>
      <c r="L150" s="186"/>
      <c r="M150" s="186"/>
      <c r="N150" s="186"/>
      <c r="O150" s="3">
        <v>1</v>
      </c>
    </row>
    <row r="151" spans="1:15" ht="21" customHeight="1">
      <c r="A151" s="186"/>
      <c r="B151" s="2000" t="s">
        <v>8519</v>
      </c>
      <c r="C151" s="186"/>
      <c r="D151" s="186"/>
      <c r="E151" s="186"/>
      <c r="F151" s="186"/>
      <c r="G151" s="186"/>
      <c r="H151" s="186"/>
      <c r="I151" s="186"/>
      <c r="J151" s="186"/>
      <c r="K151" s="186"/>
      <c r="L151" s="186"/>
      <c r="M151" s="186"/>
      <c r="N151" s="186"/>
      <c r="O151" s="3">
        <v>1</v>
      </c>
    </row>
    <row r="152" spans="1:15" ht="21" customHeight="1">
      <c r="A152" s="681"/>
      <c r="B152" s="681"/>
      <c r="C152" s="681"/>
      <c r="D152" s="681"/>
      <c r="E152" s="681"/>
      <c r="F152" s="681"/>
      <c r="G152" s="681"/>
      <c r="H152" s="681"/>
      <c r="I152" s="681"/>
      <c r="J152" s="681"/>
      <c r="K152" s="681"/>
      <c r="L152" s="681"/>
      <c r="M152" s="681"/>
      <c r="N152" s="681"/>
      <c r="O152" s="3">
        <v>1</v>
      </c>
    </row>
    <row r="153" spans="1:15" ht="21" customHeight="1">
      <c r="A153" s="186"/>
      <c r="B153" s="1246" t="s">
        <v>8538</v>
      </c>
      <c r="C153" s="186"/>
      <c r="D153" s="186"/>
      <c r="E153" s="186"/>
      <c r="F153" s="186"/>
      <c r="G153" s="186"/>
      <c r="H153" s="186"/>
      <c r="I153" s="186"/>
      <c r="J153" s="186"/>
      <c r="K153" s="186"/>
      <c r="L153" s="186"/>
      <c r="M153" s="186"/>
      <c r="N153" s="186"/>
      <c r="O153" s="3">
        <v>1</v>
      </c>
    </row>
    <row r="154" spans="1:15" ht="21" customHeight="1">
      <c r="A154" s="186"/>
      <c r="B154" s="1830" t="s">
        <v>8551</v>
      </c>
      <c r="C154" s="186"/>
      <c r="D154" s="186"/>
      <c r="E154" s="186"/>
      <c r="F154" s="186"/>
      <c r="G154" s="186"/>
      <c r="H154" s="186"/>
      <c r="I154" s="186"/>
      <c r="J154" s="186"/>
      <c r="K154" s="186"/>
      <c r="L154" s="186"/>
      <c r="M154" s="186"/>
      <c r="N154" s="186"/>
      <c r="O154" s="3">
        <v>1</v>
      </c>
    </row>
    <row r="155" spans="1:15" ht="21" customHeight="1">
      <c r="A155" s="186"/>
      <c r="B155" s="1830"/>
      <c r="C155" s="186"/>
      <c r="D155" s="186"/>
      <c r="E155" s="186"/>
      <c r="F155" s="186"/>
      <c r="G155" s="186"/>
      <c r="H155" s="186"/>
      <c r="I155" s="186"/>
      <c r="J155" s="186"/>
      <c r="K155" s="186"/>
      <c r="L155" s="186"/>
      <c r="M155" s="186"/>
      <c r="N155" s="186"/>
      <c r="O155" s="3">
        <v>1</v>
      </c>
    </row>
    <row r="156" spans="1:15" ht="21" customHeight="1">
      <c r="A156" s="186"/>
      <c r="B156" s="1830" t="s">
        <v>8539</v>
      </c>
      <c r="C156" s="186"/>
      <c r="D156" s="186"/>
      <c r="E156" s="186"/>
      <c r="F156" s="186"/>
      <c r="G156" s="186"/>
      <c r="H156" s="186"/>
      <c r="I156" s="186"/>
      <c r="J156" s="186"/>
      <c r="K156" s="186"/>
      <c r="L156" s="186"/>
      <c r="M156" s="186"/>
      <c r="N156" s="186"/>
      <c r="O156" s="3">
        <v>1</v>
      </c>
    </row>
    <row r="157" spans="1:15" ht="21" customHeight="1">
      <c r="A157" s="186"/>
      <c r="B157" s="1830" t="s">
        <v>8540</v>
      </c>
      <c r="C157" s="186"/>
      <c r="D157" s="186"/>
      <c r="E157" s="186"/>
      <c r="F157" s="186"/>
      <c r="G157" s="186"/>
      <c r="H157" s="186"/>
      <c r="I157" s="186"/>
      <c r="J157" s="186"/>
      <c r="K157" s="186"/>
      <c r="L157" s="186"/>
      <c r="M157" s="186"/>
      <c r="N157" s="186"/>
      <c r="O157" s="3">
        <v>1</v>
      </c>
    </row>
    <row r="158" spans="1:15" ht="21" customHeight="1">
      <c r="A158" s="186"/>
      <c r="B158" s="1830"/>
      <c r="C158" s="186"/>
      <c r="D158" s="186"/>
      <c r="E158" s="186"/>
      <c r="F158" s="186"/>
      <c r="G158" s="186"/>
      <c r="H158" s="186"/>
      <c r="I158" s="186"/>
      <c r="J158" s="186"/>
      <c r="K158" s="186"/>
      <c r="L158" s="186"/>
      <c r="M158" s="186"/>
      <c r="N158" s="186"/>
      <c r="O158" s="3">
        <v>1</v>
      </c>
    </row>
    <row r="159" spans="1:15" ht="21" customHeight="1">
      <c r="A159" s="186"/>
      <c r="B159" s="1246" t="s">
        <v>8541</v>
      </c>
      <c r="C159" s="186"/>
      <c r="D159" s="186"/>
      <c r="E159" s="186"/>
      <c r="F159" s="186"/>
      <c r="G159" s="186"/>
      <c r="H159" s="186"/>
      <c r="I159" s="186"/>
      <c r="J159" s="186"/>
      <c r="K159" s="186"/>
      <c r="L159" s="186"/>
      <c r="M159" s="186"/>
      <c r="N159" s="186"/>
      <c r="O159" s="3">
        <v>1</v>
      </c>
    </row>
    <row r="160" spans="1:15" ht="21" customHeight="1">
      <c r="A160" s="186"/>
      <c r="B160" s="1149" t="s">
        <v>8542</v>
      </c>
      <c r="C160" s="186"/>
      <c r="D160" s="186"/>
      <c r="E160" s="186"/>
      <c r="F160" s="186"/>
      <c r="G160" s="186"/>
      <c r="H160" s="186"/>
      <c r="I160" s="186"/>
      <c r="J160" s="186"/>
      <c r="K160" s="186"/>
      <c r="L160" s="186"/>
      <c r="M160" s="186"/>
      <c r="N160" s="186"/>
      <c r="O160" s="3">
        <v>1</v>
      </c>
    </row>
    <row r="161" spans="1:15" ht="21" customHeight="1">
      <c r="A161" s="186"/>
      <c r="B161" s="1149" t="s">
        <v>8543</v>
      </c>
      <c r="C161" s="186"/>
      <c r="D161" s="186"/>
      <c r="E161" s="186"/>
      <c r="F161" s="186"/>
      <c r="G161" s="186"/>
      <c r="H161" s="186"/>
      <c r="I161" s="186"/>
      <c r="J161" s="186"/>
      <c r="K161" s="186"/>
      <c r="L161" s="186"/>
      <c r="M161" s="186"/>
      <c r="N161" s="186"/>
      <c r="O161" s="3">
        <v>1</v>
      </c>
    </row>
    <row r="162" spans="1:15" ht="21" customHeight="1">
      <c r="A162" s="186"/>
      <c r="B162" s="1149" t="s">
        <v>8544</v>
      </c>
      <c r="C162" s="186"/>
      <c r="D162" s="186"/>
      <c r="E162" s="186"/>
      <c r="F162" s="186"/>
      <c r="G162" s="186"/>
      <c r="H162" s="186"/>
      <c r="I162" s="186"/>
      <c r="J162" s="186"/>
      <c r="K162" s="186"/>
      <c r="L162" s="186"/>
      <c r="M162" s="186"/>
      <c r="N162" s="186"/>
      <c r="O162" s="3">
        <v>1</v>
      </c>
    </row>
    <row r="163" spans="1:15" ht="21" customHeight="1">
      <c r="A163" s="186"/>
      <c r="B163" s="1149" t="s">
        <v>8552</v>
      </c>
      <c r="C163" s="186"/>
      <c r="D163" s="186"/>
      <c r="E163" s="186"/>
      <c r="F163" s="186"/>
      <c r="G163" s="186"/>
      <c r="H163" s="186"/>
      <c r="I163" s="186"/>
      <c r="J163" s="186"/>
      <c r="K163" s="186"/>
      <c r="L163" s="186"/>
      <c r="M163" s="186"/>
      <c r="N163" s="186"/>
      <c r="O163" s="3">
        <v>1</v>
      </c>
    </row>
    <row r="164" spans="1:15" ht="21" customHeight="1">
      <c r="A164" s="186"/>
      <c r="B164" s="1830"/>
      <c r="C164" s="186"/>
      <c r="D164" s="186"/>
      <c r="E164" s="186"/>
      <c r="F164" s="186"/>
      <c r="G164" s="186"/>
      <c r="H164" s="186"/>
      <c r="I164" s="186"/>
      <c r="J164" s="186"/>
      <c r="K164" s="186"/>
      <c r="L164" s="186"/>
      <c r="M164" s="186"/>
      <c r="N164" s="186"/>
      <c r="O164" s="3">
        <v>1</v>
      </c>
    </row>
    <row r="165" spans="1:15" ht="21" customHeight="1">
      <c r="A165" s="186"/>
      <c r="B165" s="1246" t="s">
        <v>8545</v>
      </c>
      <c r="C165" s="186"/>
      <c r="D165" s="186"/>
      <c r="E165" s="186"/>
      <c r="F165" s="186"/>
      <c r="G165" s="186"/>
      <c r="H165" s="186"/>
      <c r="I165" s="186"/>
      <c r="J165" s="186"/>
      <c r="K165" s="186"/>
      <c r="L165" s="186"/>
      <c r="M165" s="186"/>
      <c r="N165" s="186"/>
      <c r="O165" s="3">
        <v>1</v>
      </c>
    </row>
    <row r="166" spans="1:15" ht="21" customHeight="1">
      <c r="A166" s="186"/>
      <c r="B166" s="1149" t="s">
        <v>8553</v>
      </c>
      <c r="C166" s="186"/>
      <c r="D166" s="186"/>
      <c r="E166" s="186"/>
      <c r="F166" s="186"/>
      <c r="G166" s="186"/>
      <c r="H166" s="186"/>
      <c r="I166" s="186"/>
      <c r="J166" s="186"/>
      <c r="K166" s="186"/>
      <c r="L166" s="186"/>
      <c r="M166" s="186"/>
      <c r="N166" s="186"/>
      <c r="O166" s="3">
        <v>1</v>
      </c>
    </row>
    <row r="167" spans="1:15" ht="21" customHeight="1">
      <c r="A167" s="186"/>
      <c r="B167" s="1149" t="s">
        <v>8554</v>
      </c>
      <c r="C167" s="186"/>
      <c r="D167" s="186"/>
      <c r="E167" s="186"/>
      <c r="F167" s="186"/>
      <c r="G167" s="186"/>
      <c r="H167" s="186"/>
      <c r="I167" s="186"/>
      <c r="J167" s="186"/>
      <c r="K167" s="186"/>
      <c r="L167" s="186"/>
      <c r="M167" s="186"/>
      <c r="N167" s="186"/>
      <c r="O167" s="3">
        <v>1</v>
      </c>
    </row>
    <row r="168" spans="1:15" ht="21" customHeight="1">
      <c r="A168" s="186"/>
      <c r="B168" s="1149" t="s">
        <v>8555</v>
      </c>
      <c r="C168" s="186"/>
      <c r="D168" s="186"/>
      <c r="E168" s="186"/>
      <c r="F168" s="186"/>
      <c r="G168" s="186"/>
      <c r="H168" s="186"/>
      <c r="I168" s="186"/>
      <c r="J168" s="186"/>
      <c r="K168" s="186"/>
      <c r="L168" s="186"/>
      <c r="M168" s="186"/>
      <c r="N168" s="186"/>
      <c r="O168" s="3">
        <v>1</v>
      </c>
    </row>
    <row r="169" spans="1:15" ht="21" customHeight="1">
      <c r="A169" s="186"/>
      <c r="B169" s="1149" t="s">
        <v>8556</v>
      </c>
      <c r="C169" s="186"/>
      <c r="D169" s="186"/>
      <c r="E169" s="186"/>
      <c r="F169" s="186"/>
      <c r="G169" s="186"/>
      <c r="H169" s="186"/>
      <c r="I169" s="186"/>
      <c r="J169" s="186"/>
      <c r="K169" s="186"/>
      <c r="L169" s="186"/>
      <c r="M169" s="186"/>
      <c r="N169" s="186"/>
      <c r="O169" s="3">
        <v>1</v>
      </c>
    </row>
    <row r="170" spans="1:15" ht="21" customHeight="1">
      <c r="A170" s="186"/>
      <c r="B170" s="1830"/>
      <c r="C170" s="186"/>
      <c r="D170" s="186"/>
      <c r="E170" s="186"/>
      <c r="F170" s="186"/>
      <c r="G170" s="186"/>
      <c r="H170" s="186"/>
      <c r="I170" s="186"/>
      <c r="J170" s="186"/>
      <c r="K170" s="186"/>
      <c r="L170" s="186"/>
      <c r="M170" s="186"/>
      <c r="N170" s="186"/>
      <c r="O170" s="3">
        <v>1</v>
      </c>
    </row>
    <row r="171" spans="1:15" ht="21" customHeight="1">
      <c r="A171" s="186"/>
      <c r="B171" s="1246" t="s">
        <v>8546</v>
      </c>
      <c r="C171" s="186"/>
      <c r="D171" s="186"/>
      <c r="E171" s="186"/>
      <c r="F171" s="186"/>
      <c r="G171" s="186"/>
      <c r="H171" s="186"/>
      <c r="I171" s="186"/>
      <c r="J171" s="186"/>
      <c r="K171" s="186"/>
      <c r="L171" s="186"/>
      <c r="M171" s="186"/>
      <c r="N171" s="186"/>
      <c r="O171" s="3">
        <v>1</v>
      </c>
    </row>
    <row r="172" spans="1:15" ht="21" customHeight="1">
      <c r="A172" s="186"/>
      <c r="B172" s="1149" t="s">
        <v>8557</v>
      </c>
      <c r="C172" s="186"/>
      <c r="D172" s="186"/>
      <c r="E172" s="186"/>
      <c r="F172" s="186"/>
      <c r="G172" s="186"/>
      <c r="H172" s="186"/>
      <c r="I172" s="186"/>
      <c r="J172" s="186"/>
      <c r="K172" s="186"/>
      <c r="L172" s="186"/>
      <c r="M172" s="186"/>
      <c r="N172" s="186"/>
      <c r="O172" s="3">
        <v>1</v>
      </c>
    </row>
    <row r="173" spans="1:15" ht="21" customHeight="1">
      <c r="A173" s="186"/>
      <c r="B173" s="1149" t="s">
        <v>8558</v>
      </c>
      <c r="C173" s="186"/>
      <c r="D173" s="186"/>
      <c r="E173" s="186"/>
      <c r="F173" s="186"/>
      <c r="G173" s="186"/>
      <c r="H173" s="186"/>
      <c r="I173" s="186"/>
      <c r="J173" s="186"/>
      <c r="K173" s="186"/>
      <c r="L173" s="186"/>
      <c r="M173" s="186"/>
      <c r="N173" s="186"/>
      <c r="O173" s="3">
        <v>1</v>
      </c>
    </row>
    <row r="174" spans="1:15" ht="21" customHeight="1">
      <c r="A174" s="186"/>
      <c r="B174" s="1149" t="s">
        <v>8547</v>
      </c>
      <c r="C174" s="186"/>
      <c r="D174" s="186"/>
      <c r="E174" s="186"/>
      <c r="F174" s="186"/>
      <c r="G174" s="186"/>
      <c r="H174" s="186"/>
      <c r="I174" s="186"/>
      <c r="J174" s="186"/>
      <c r="K174" s="186"/>
      <c r="L174" s="186"/>
      <c r="M174" s="186"/>
      <c r="N174" s="186"/>
      <c r="O174" s="3">
        <v>1</v>
      </c>
    </row>
    <row r="175" spans="1:15" ht="21" customHeight="1">
      <c r="A175" s="186"/>
      <c r="B175" s="1149"/>
      <c r="C175" s="186"/>
      <c r="D175" s="186"/>
      <c r="E175" s="186"/>
      <c r="F175" s="186"/>
      <c r="G175" s="186"/>
      <c r="H175" s="186"/>
      <c r="I175" s="186"/>
      <c r="J175" s="186"/>
      <c r="K175" s="186"/>
      <c r="L175" s="186"/>
      <c r="M175" s="186"/>
      <c r="N175" s="186"/>
      <c r="O175" s="3">
        <v>1</v>
      </c>
    </row>
    <row r="176" spans="1:15" ht="21" customHeight="1">
      <c r="A176" s="186"/>
      <c r="B176" s="2001" t="s">
        <v>8563</v>
      </c>
      <c r="C176" s="186"/>
      <c r="D176" s="186"/>
      <c r="E176" s="186"/>
      <c r="F176" s="186"/>
      <c r="G176" s="186"/>
      <c r="H176" s="186"/>
      <c r="I176" s="186"/>
      <c r="J176" s="186"/>
      <c r="K176" s="186"/>
      <c r="L176" s="186"/>
      <c r="M176" s="186"/>
      <c r="N176" s="186"/>
      <c r="O176" s="3">
        <v>1</v>
      </c>
    </row>
    <row r="177" spans="1:15" ht="21" customHeight="1">
      <c r="A177" s="186"/>
      <c r="B177" s="1830" t="s">
        <v>8548</v>
      </c>
      <c r="C177" s="186"/>
      <c r="D177" s="186"/>
      <c r="E177" s="186"/>
      <c r="F177" s="186"/>
      <c r="G177" s="186"/>
      <c r="H177" s="186"/>
      <c r="I177" s="186"/>
      <c r="J177" s="186"/>
      <c r="K177" s="186"/>
      <c r="L177" s="186"/>
      <c r="M177" s="186"/>
      <c r="N177" s="186"/>
      <c r="O177" s="3">
        <v>1</v>
      </c>
    </row>
    <row r="178" spans="1:15" ht="21" customHeight="1">
      <c r="A178" s="186"/>
      <c r="B178" s="1995" t="s">
        <v>8559</v>
      </c>
      <c r="C178" s="186"/>
      <c r="D178" s="186"/>
      <c r="E178" s="186"/>
      <c r="F178" s="186"/>
      <c r="G178" s="186"/>
      <c r="H178" s="186"/>
      <c r="I178" s="186"/>
      <c r="J178" s="186"/>
      <c r="K178" s="186"/>
      <c r="L178" s="186"/>
      <c r="M178" s="186"/>
      <c r="N178" s="186"/>
      <c r="O178" s="3">
        <v>1</v>
      </c>
    </row>
    <row r="179" spans="1:15" ht="21" customHeight="1">
      <c r="A179" s="186"/>
      <c r="B179" s="1995" t="s">
        <v>8560</v>
      </c>
      <c r="C179" s="186"/>
      <c r="D179" s="186"/>
      <c r="E179" s="186"/>
      <c r="F179" s="186"/>
      <c r="G179" s="186"/>
      <c r="H179" s="186"/>
      <c r="I179" s="186"/>
      <c r="J179" s="186"/>
      <c r="K179" s="186"/>
      <c r="L179" s="186"/>
      <c r="M179" s="186"/>
      <c r="N179" s="186"/>
      <c r="O179" s="3">
        <v>1</v>
      </c>
    </row>
    <row r="180" spans="1:15" ht="21" customHeight="1">
      <c r="A180" s="186"/>
      <c r="B180" s="1830" t="s">
        <v>8549</v>
      </c>
      <c r="C180" s="186"/>
      <c r="D180" s="186"/>
      <c r="E180" s="186"/>
      <c r="F180" s="186"/>
      <c r="G180" s="186"/>
      <c r="H180" s="186"/>
      <c r="I180" s="186"/>
      <c r="J180" s="186"/>
      <c r="K180" s="186"/>
      <c r="L180" s="186"/>
      <c r="M180" s="186"/>
      <c r="N180" s="186"/>
      <c r="O180" s="3">
        <v>1</v>
      </c>
    </row>
    <row r="181" spans="1:15" ht="21" customHeight="1">
      <c r="A181" s="186"/>
      <c r="B181" s="1830"/>
      <c r="C181" s="186"/>
      <c r="D181" s="186"/>
      <c r="E181" s="186"/>
      <c r="F181" s="186"/>
      <c r="G181" s="186"/>
      <c r="H181" s="186"/>
      <c r="I181" s="186"/>
      <c r="J181" s="186"/>
      <c r="K181" s="186"/>
      <c r="L181" s="186"/>
      <c r="M181" s="186"/>
      <c r="N181" s="186"/>
      <c r="O181" s="3">
        <v>1</v>
      </c>
    </row>
    <row r="182" spans="1:15" ht="21" customHeight="1">
      <c r="A182" s="186"/>
      <c r="B182" s="1246" t="s">
        <v>8550</v>
      </c>
      <c r="C182" s="186"/>
      <c r="D182" s="186"/>
      <c r="E182" s="186"/>
      <c r="F182" s="186"/>
      <c r="G182" s="186"/>
      <c r="H182" s="186"/>
      <c r="I182" s="186"/>
      <c r="J182" s="186"/>
      <c r="K182" s="186"/>
      <c r="L182" s="186"/>
      <c r="M182" s="186"/>
      <c r="N182" s="186"/>
      <c r="O182" s="3">
        <v>1</v>
      </c>
    </row>
    <row r="183" spans="1:15" ht="21" customHeight="1">
      <c r="A183" s="186"/>
      <c r="B183" s="1149" t="s">
        <v>8561</v>
      </c>
      <c r="C183" s="186"/>
      <c r="D183" s="186"/>
      <c r="E183" s="186"/>
      <c r="F183" s="186"/>
      <c r="G183" s="186"/>
      <c r="H183" s="186"/>
      <c r="I183" s="186"/>
      <c r="J183" s="186"/>
      <c r="K183" s="186"/>
      <c r="L183" s="186"/>
      <c r="M183" s="186"/>
      <c r="N183" s="186"/>
      <c r="O183" s="3">
        <v>1</v>
      </c>
    </row>
    <row r="184" spans="1:15" ht="21" customHeight="1">
      <c r="A184" s="186"/>
      <c r="B184" s="1149" t="s">
        <v>8562</v>
      </c>
      <c r="C184" s="186"/>
      <c r="D184" s="186"/>
      <c r="E184" s="186"/>
      <c r="F184" s="186"/>
      <c r="G184" s="186"/>
      <c r="H184" s="186"/>
      <c r="I184" s="186"/>
      <c r="J184" s="186"/>
      <c r="K184" s="186"/>
      <c r="L184" s="186"/>
      <c r="M184" s="186"/>
      <c r="N184" s="186"/>
      <c r="O184" s="3">
        <v>1</v>
      </c>
    </row>
    <row r="185" spans="1:15" ht="21" customHeight="1">
      <c r="A185" s="186"/>
      <c r="B185" s="1830"/>
      <c r="C185" s="186"/>
      <c r="D185" s="186"/>
      <c r="E185" s="186"/>
      <c r="F185" s="186"/>
      <c r="G185" s="186"/>
      <c r="H185" s="186"/>
      <c r="I185" s="186"/>
      <c r="J185" s="186"/>
      <c r="K185" s="186"/>
      <c r="L185" s="186"/>
      <c r="M185" s="186"/>
      <c r="N185" s="186"/>
      <c r="O185" s="3">
        <v>1</v>
      </c>
    </row>
    <row r="186" spans="1:15" ht="21" customHeight="1">
      <c r="A186" s="186"/>
      <c r="B186" s="1830" t="s">
        <v>8564</v>
      </c>
      <c r="C186" s="186"/>
      <c r="D186" s="186"/>
      <c r="E186" s="186"/>
      <c r="F186" s="186"/>
      <c r="G186" s="186"/>
      <c r="H186" s="186"/>
      <c r="I186" s="186"/>
      <c r="J186" s="186"/>
      <c r="K186" s="186"/>
      <c r="L186" s="186"/>
      <c r="M186" s="186"/>
      <c r="N186" s="186"/>
      <c r="O186" s="3">
        <v>1</v>
      </c>
    </row>
    <row r="187" spans="1:15" ht="21" customHeight="1">
      <c r="A187" s="186"/>
      <c r="B187" s="186"/>
      <c r="C187" s="186"/>
      <c r="D187" s="186"/>
      <c r="E187" s="186"/>
      <c r="F187" s="186"/>
      <c r="G187" s="186"/>
      <c r="H187" s="186"/>
      <c r="I187" s="186"/>
      <c r="J187" s="186"/>
      <c r="K187" s="186"/>
      <c r="L187" s="186"/>
      <c r="M187" s="186"/>
      <c r="N187" s="186"/>
      <c r="O187" s="3">
        <v>1</v>
      </c>
    </row>
    <row r="188" spans="1:15" ht="21" customHeight="1">
      <c r="A188" s="681"/>
      <c r="B188" s="681"/>
      <c r="C188" s="681"/>
      <c r="D188" s="681"/>
      <c r="E188" s="681"/>
      <c r="F188" s="681"/>
      <c r="G188" s="681"/>
      <c r="H188" s="681"/>
      <c r="I188" s="681"/>
      <c r="J188" s="681"/>
      <c r="K188" s="681"/>
      <c r="L188" s="681"/>
      <c r="M188" s="681"/>
      <c r="N188" s="681"/>
      <c r="O188" s="3">
        <v>1</v>
      </c>
    </row>
    <row r="189" spans="1:15" ht="21" customHeight="1">
      <c r="A189" s="186"/>
      <c r="B189" s="1246" t="s">
        <v>8442</v>
      </c>
      <c r="C189" s="186"/>
      <c r="D189" s="186"/>
      <c r="E189" s="186"/>
      <c r="F189" s="186"/>
      <c r="G189" s="186"/>
      <c r="H189" s="186"/>
      <c r="I189" s="186"/>
      <c r="J189" s="186"/>
      <c r="K189" s="186"/>
      <c r="L189" s="186"/>
      <c r="M189" s="186"/>
      <c r="N189" s="186"/>
      <c r="O189" s="3">
        <v>1</v>
      </c>
    </row>
    <row r="190" spans="1:15" ht="21" customHeight="1">
      <c r="A190" s="186"/>
      <c r="B190" s="1246"/>
      <c r="C190" s="186"/>
      <c r="D190" s="186"/>
      <c r="E190" s="186"/>
      <c r="F190" s="186"/>
      <c r="G190" s="186"/>
      <c r="H190" s="186"/>
      <c r="I190" s="186"/>
      <c r="J190" s="186"/>
      <c r="K190" s="186"/>
      <c r="L190" s="186"/>
      <c r="M190" s="186"/>
      <c r="N190" s="186"/>
      <c r="O190" s="3">
        <v>1</v>
      </c>
    </row>
    <row r="191" spans="1:15" ht="21" customHeight="1">
      <c r="A191" s="186"/>
      <c r="B191" s="1830" t="s">
        <v>8443</v>
      </c>
      <c r="C191" s="186"/>
      <c r="D191" s="186"/>
      <c r="E191" s="186"/>
      <c r="F191" s="186"/>
      <c r="G191" s="186"/>
      <c r="H191" s="186"/>
      <c r="I191" s="186"/>
      <c r="J191" s="186"/>
      <c r="K191" s="186"/>
      <c r="L191" s="186"/>
      <c r="M191" s="186"/>
      <c r="N191" s="186"/>
      <c r="O191" s="3">
        <v>1</v>
      </c>
    </row>
    <row r="192" spans="1:15" ht="21" customHeight="1">
      <c r="A192" s="186"/>
      <c r="B192" s="1830" t="s">
        <v>8444</v>
      </c>
      <c r="C192" s="186"/>
      <c r="D192" s="186"/>
      <c r="E192" s="186"/>
      <c r="F192" s="186"/>
      <c r="G192" s="186"/>
      <c r="H192" s="186"/>
      <c r="I192" s="186"/>
      <c r="J192" s="186"/>
      <c r="K192" s="186"/>
      <c r="L192" s="186"/>
      <c r="M192" s="186"/>
      <c r="N192" s="186"/>
      <c r="O192" s="3">
        <v>1</v>
      </c>
    </row>
    <row r="193" spans="1:15" ht="21" customHeight="1">
      <c r="A193" s="186"/>
      <c r="B193" s="1996" t="s">
        <v>8445</v>
      </c>
      <c r="C193" s="186"/>
      <c r="D193" s="186"/>
      <c r="E193" s="186"/>
      <c r="F193" s="186"/>
      <c r="G193" s="186"/>
      <c r="H193" s="186"/>
      <c r="I193" s="186"/>
      <c r="J193" s="186"/>
      <c r="K193" s="186"/>
      <c r="L193" s="186"/>
      <c r="M193" s="186"/>
      <c r="N193" s="186"/>
      <c r="O193" s="3">
        <v>1</v>
      </c>
    </row>
    <row r="194" spans="1:15" ht="21" customHeight="1">
      <c r="A194" s="186"/>
      <c r="B194" s="1996" t="s">
        <v>8446</v>
      </c>
      <c r="C194" s="186"/>
      <c r="D194" s="186"/>
      <c r="E194" s="186"/>
      <c r="F194" s="186"/>
      <c r="G194" s="186"/>
      <c r="H194" s="186"/>
      <c r="I194" s="186"/>
      <c r="J194" s="186"/>
      <c r="K194" s="186"/>
      <c r="L194" s="186"/>
      <c r="M194" s="186"/>
      <c r="N194" s="186"/>
      <c r="O194" s="3">
        <v>1</v>
      </c>
    </row>
    <row r="195" spans="1:15" ht="21" customHeight="1">
      <c r="A195" s="186"/>
      <c r="B195" s="1996" t="s">
        <v>8447</v>
      </c>
      <c r="C195" s="186"/>
      <c r="D195" s="186"/>
      <c r="E195" s="186"/>
      <c r="F195" s="186"/>
      <c r="G195" s="186"/>
      <c r="H195" s="186"/>
      <c r="I195" s="186"/>
      <c r="J195" s="186"/>
      <c r="K195" s="186"/>
      <c r="L195" s="186"/>
      <c r="M195" s="186"/>
      <c r="N195" s="186"/>
      <c r="O195" s="3">
        <v>1</v>
      </c>
    </row>
    <row r="196" spans="1:15" ht="21" customHeight="1">
      <c r="A196" s="186"/>
      <c r="B196" s="1830" t="s">
        <v>8448</v>
      </c>
      <c r="C196" s="186"/>
      <c r="D196" s="186"/>
      <c r="E196" s="186"/>
      <c r="F196" s="186"/>
      <c r="G196" s="186"/>
      <c r="H196" s="186"/>
      <c r="I196" s="186"/>
      <c r="J196" s="186"/>
      <c r="K196" s="186"/>
      <c r="L196" s="186"/>
      <c r="M196" s="186"/>
      <c r="N196" s="186"/>
      <c r="O196" s="3">
        <v>1</v>
      </c>
    </row>
    <row r="197" spans="1:15" ht="21" customHeight="1">
      <c r="A197" s="186"/>
      <c r="B197" s="1830" t="s">
        <v>8449</v>
      </c>
      <c r="C197" s="186"/>
      <c r="D197" s="186"/>
      <c r="E197" s="186"/>
      <c r="F197" s="186"/>
      <c r="G197" s="186"/>
      <c r="H197" s="186"/>
      <c r="I197" s="186"/>
      <c r="J197" s="186"/>
      <c r="K197" s="186"/>
      <c r="L197" s="186"/>
      <c r="M197" s="186"/>
      <c r="N197" s="186"/>
      <c r="O197" s="3">
        <v>1</v>
      </c>
    </row>
    <row r="198" spans="1:15" ht="21" customHeight="1">
      <c r="A198" s="186"/>
      <c r="B198" s="186"/>
      <c r="C198" s="186"/>
      <c r="D198" s="186"/>
      <c r="E198" s="186"/>
      <c r="F198" s="186"/>
      <c r="G198" s="186"/>
      <c r="H198" s="186"/>
      <c r="I198" s="186"/>
      <c r="J198" s="186"/>
      <c r="K198" s="186"/>
      <c r="L198" s="186"/>
      <c r="M198" s="186"/>
      <c r="N198" s="186"/>
      <c r="O198" s="3">
        <v>1</v>
      </c>
    </row>
    <row r="199" spans="1:15" ht="21" customHeight="1">
      <c r="A199" s="186"/>
      <c r="B199" s="2009" t="s">
        <v>8450</v>
      </c>
      <c r="C199" s="186"/>
      <c r="D199" s="186"/>
      <c r="E199" s="186"/>
      <c r="F199" s="186"/>
      <c r="G199" s="186"/>
      <c r="H199" s="186"/>
      <c r="I199" s="186"/>
      <c r="J199" s="186"/>
      <c r="K199" s="186"/>
      <c r="L199" s="186"/>
      <c r="M199" s="186"/>
      <c r="N199" s="186"/>
      <c r="O199" s="3">
        <v>1</v>
      </c>
    </row>
    <row r="200" spans="1:15" ht="21" customHeight="1">
      <c r="A200" s="186"/>
      <c r="B200" s="1830" t="s">
        <v>8451</v>
      </c>
      <c r="C200" s="186"/>
      <c r="D200" s="186"/>
      <c r="E200" s="186"/>
      <c r="F200" s="186"/>
      <c r="G200" s="186"/>
      <c r="H200" s="186"/>
      <c r="I200" s="186"/>
      <c r="J200" s="186"/>
      <c r="K200" s="186"/>
      <c r="L200" s="186"/>
      <c r="M200" s="186"/>
      <c r="N200" s="186"/>
      <c r="O200" s="3">
        <v>1</v>
      </c>
    </row>
    <row r="201" spans="1:15" ht="21" customHeight="1">
      <c r="A201" s="186"/>
      <c r="B201" s="1830" t="s">
        <v>8452</v>
      </c>
      <c r="C201" s="186"/>
      <c r="D201" s="186"/>
      <c r="E201" s="186"/>
      <c r="F201" s="186"/>
      <c r="G201" s="186"/>
      <c r="H201" s="186"/>
      <c r="I201" s="186"/>
      <c r="J201" s="186"/>
      <c r="K201" s="186"/>
      <c r="L201" s="186"/>
      <c r="M201" s="186"/>
      <c r="N201" s="186"/>
      <c r="O201" s="3">
        <v>1</v>
      </c>
    </row>
    <row r="202" spans="1:15" ht="21" customHeight="1">
      <c r="A202" s="186"/>
      <c r="B202" s="1996" t="s">
        <v>8693</v>
      </c>
      <c r="C202" s="186"/>
      <c r="D202" s="186"/>
      <c r="E202" s="186"/>
      <c r="F202" s="186"/>
      <c r="G202" s="186"/>
      <c r="H202" s="186"/>
      <c r="I202" s="186"/>
      <c r="J202" s="186"/>
      <c r="K202" s="186"/>
      <c r="L202" s="186"/>
      <c r="M202" s="186"/>
      <c r="N202" s="186"/>
      <c r="O202" s="3">
        <v>1</v>
      </c>
    </row>
    <row r="203" spans="1:15" ht="21" customHeight="1">
      <c r="A203" s="186"/>
      <c r="B203" s="1996" t="s">
        <v>8694</v>
      </c>
      <c r="C203" s="186"/>
      <c r="D203" s="186"/>
      <c r="E203" s="186"/>
      <c r="F203" s="186"/>
      <c r="G203" s="186"/>
      <c r="H203" s="186"/>
      <c r="I203" s="186"/>
      <c r="J203" s="186"/>
      <c r="K203" s="186"/>
      <c r="L203" s="186"/>
      <c r="M203" s="186"/>
      <c r="N203" s="186"/>
      <c r="O203" s="3">
        <v>1</v>
      </c>
    </row>
    <row r="204" spans="1:15" ht="21" customHeight="1">
      <c r="A204" s="186"/>
      <c r="B204" s="1830" t="s">
        <v>8695</v>
      </c>
      <c r="C204" s="186"/>
      <c r="D204" s="186"/>
      <c r="E204" s="186"/>
      <c r="F204" s="186"/>
      <c r="G204" s="186"/>
      <c r="H204" s="186"/>
      <c r="I204" s="186"/>
      <c r="J204" s="186"/>
      <c r="K204" s="186"/>
      <c r="L204" s="186"/>
      <c r="M204" s="186"/>
      <c r="N204" s="186"/>
      <c r="O204" s="3">
        <v>1</v>
      </c>
    </row>
    <row r="205" spans="1:15" ht="21" customHeight="1">
      <c r="A205" s="186"/>
      <c r="B205" s="1830"/>
      <c r="C205" s="186"/>
      <c r="D205" s="186"/>
      <c r="E205" s="186"/>
      <c r="F205" s="186"/>
      <c r="G205" s="186"/>
      <c r="H205" s="186"/>
      <c r="I205" s="186"/>
      <c r="J205" s="186"/>
      <c r="K205" s="186"/>
      <c r="L205" s="186"/>
      <c r="M205" s="186"/>
      <c r="N205" s="186"/>
      <c r="O205" s="3">
        <v>1</v>
      </c>
    </row>
    <row r="206" spans="1:15" ht="21" customHeight="1">
      <c r="A206" s="186"/>
      <c r="B206" s="1246" t="s">
        <v>8453</v>
      </c>
      <c r="C206" s="186"/>
      <c r="D206" s="186"/>
      <c r="E206" s="186"/>
      <c r="F206" s="186"/>
      <c r="G206" s="186"/>
      <c r="H206" s="186"/>
      <c r="I206" s="186"/>
      <c r="J206" s="186"/>
      <c r="K206" s="186"/>
      <c r="L206" s="186"/>
      <c r="M206" s="186"/>
      <c r="N206" s="186"/>
      <c r="O206" s="3">
        <v>1</v>
      </c>
    </row>
    <row r="207" spans="1:15" ht="21" customHeight="1">
      <c r="A207" s="186"/>
      <c r="B207" s="1994" t="s">
        <v>8454</v>
      </c>
      <c r="C207" s="186"/>
      <c r="D207" s="186"/>
      <c r="E207" s="186"/>
      <c r="F207" s="186"/>
      <c r="G207" s="186"/>
      <c r="H207" s="186"/>
      <c r="I207" s="186"/>
      <c r="J207" s="186"/>
      <c r="K207" s="186"/>
      <c r="L207" s="186"/>
      <c r="M207" s="186"/>
      <c r="N207" s="186"/>
      <c r="O207" s="3">
        <v>1</v>
      </c>
    </row>
    <row r="208" spans="1:15" ht="21" customHeight="1">
      <c r="A208" s="186"/>
      <c r="B208" s="2010" t="s">
        <v>8696</v>
      </c>
      <c r="C208" s="186"/>
      <c r="D208" s="186"/>
      <c r="E208" s="186"/>
      <c r="F208" s="186"/>
      <c r="G208" s="186"/>
      <c r="H208" s="186"/>
      <c r="I208" s="186"/>
      <c r="J208" s="186"/>
      <c r="K208" s="186"/>
      <c r="L208" s="186"/>
      <c r="M208" s="186"/>
      <c r="N208" s="186"/>
      <c r="O208" s="3">
        <v>1</v>
      </c>
    </row>
    <row r="209" spans="1:15" ht="21" customHeight="1">
      <c r="A209" s="186"/>
      <c r="B209" s="2010" t="s">
        <v>8697</v>
      </c>
      <c r="C209" s="186"/>
      <c r="D209" s="186"/>
      <c r="E209" s="186"/>
      <c r="F209" s="186"/>
      <c r="G209" s="186"/>
      <c r="H209" s="186"/>
      <c r="I209" s="186"/>
      <c r="J209" s="186"/>
      <c r="K209" s="186"/>
      <c r="L209" s="186"/>
      <c r="M209" s="186"/>
      <c r="N209" s="186"/>
      <c r="O209" s="3">
        <v>1</v>
      </c>
    </row>
    <row r="210" spans="1:15" ht="21" customHeight="1">
      <c r="A210" s="186"/>
      <c r="B210" s="2010" t="s">
        <v>8698</v>
      </c>
      <c r="C210" s="186"/>
      <c r="D210" s="186"/>
      <c r="E210" s="186"/>
      <c r="F210" s="186"/>
      <c r="G210" s="186"/>
      <c r="H210" s="186"/>
      <c r="I210" s="186"/>
      <c r="J210" s="186"/>
      <c r="K210" s="186"/>
      <c r="L210" s="186"/>
      <c r="M210" s="186"/>
      <c r="N210" s="186"/>
      <c r="O210" s="3">
        <v>1</v>
      </c>
    </row>
    <row r="211" spans="1:15" ht="21" customHeight="1">
      <c r="A211" s="186"/>
      <c r="B211" s="2010" t="s">
        <v>8699</v>
      </c>
      <c r="C211" s="186"/>
      <c r="D211" s="186"/>
      <c r="E211" s="186"/>
      <c r="F211" s="186"/>
      <c r="G211" s="186"/>
      <c r="H211" s="186"/>
      <c r="I211" s="186"/>
      <c r="J211" s="186"/>
      <c r="K211" s="186"/>
      <c r="L211" s="186"/>
      <c r="M211" s="186"/>
      <c r="N211" s="186"/>
      <c r="O211" s="3">
        <v>1</v>
      </c>
    </row>
    <row r="212" spans="1:15" ht="21" customHeight="1">
      <c r="A212" s="186"/>
      <c r="B212" s="2010" t="s">
        <v>8700</v>
      </c>
      <c r="C212" s="186"/>
      <c r="D212" s="186"/>
      <c r="E212" s="186"/>
      <c r="F212" s="186"/>
      <c r="G212" s="186"/>
      <c r="H212" s="186"/>
      <c r="I212" s="186"/>
      <c r="J212" s="186"/>
      <c r="K212" s="186"/>
      <c r="L212" s="186"/>
      <c r="M212" s="186"/>
      <c r="N212" s="186"/>
      <c r="O212" s="3">
        <v>1</v>
      </c>
    </row>
    <row r="213" spans="1:15" ht="21" customHeight="1">
      <c r="A213" s="186"/>
      <c r="B213" s="2010" t="s">
        <v>8701</v>
      </c>
      <c r="C213" s="186"/>
      <c r="D213" s="186"/>
      <c r="E213" s="186"/>
      <c r="F213" s="186"/>
      <c r="G213" s="186"/>
      <c r="H213" s="186"/>
      <c r="I213" s="186"/>
      <c r="J213" s="186"/>
      <c r="K213" s="186"/>
      <c r="L213" s="186"/>
      <c r="M213" s="186"/>
      <c r="N213" s="186"/>
      <c r="O213" s="3">
        <v>1</v>
      </c>
    </row>
    <row r="214" spans="1:15" ht="21" customHeight="1">
      <c r="A214" s="186"/>
      <c r="B214" s="186"/>
      <c r="C214" s="186"/>
      <c r="D214" s="186"/>
      <c r="E214" s="186"/>
      <c r="F214" s="186"/>
      <c r="G214" s="186"/>
      <c r="H214" s="186"/>
      <c r="I214" s="186"/>
      <c r="J214" s="186"/>
      <c r="K214" s="186"/>
      <c r="L214" s="186"/>
      <c r="M214" s="186"/>
      <c r="N214" s="186"/>
      <c r="O214" s="3">
        <v>1</v>
      </c>
    </row>
    <row r="215" spans="1:15" ht="21" customHeight="1">
      <c r="A215" s="186"/>
      <c r="B215" s="2009" t="s">
        <v>8455</v>
      </c>
      <c r="C215" s="186"/>
      <c r="D215" s="186"/>
      <c r="E215" s="186"/>
      <c r="F215" s="186"/>
      <c r="G215" s="186"/>
      <c r="H215" s="186"/>
      <c r="I215" s="186"/>
      <c r="J215" s="186"/>
      <c r="K215" s="186"/>
      <c r="L215" s="186"/>
      <c r="M215" s="186"/>
      <c r="N215" s="186"/>
      <c r="O215" s="3">
        <v>1</v>
      </c>
    </row>
    <row r="216" spans="1:15" ht="21" customHeight="1">
      <c r="A216" s="186"/>
      <c r="B216" s="186"/>
      <c r="C216" s="186"/>
      <c r="D216" s="186"/>
      <c r="E216" s="186"/>
      <c r="F216" s="186"/>
      <c r="G216" s="186"/>
      <c r="H216" s="186"/>
      <c r="I216" s="186"/>
      <c r="J216" s="186"/>
      <c r="K216" s="186"/>
      <c r="L216" s="186"/>
      <c r="M216" s="186"/>
      <c r="N216" s="186"/>
      <c r="O216" s="3">
        <v>1</v>
      </c>
    </row>
    <row r="217" spans="1:15" ht="21" customHeight="1">
      <c r="A217" s="186"/>
      <c r="B217" s="570" t="s">
        <v>8456</v>
      </c>
      <c r="C217" s="186"/>
      <c r="D217" s="186"/>
      <c r="E217" s="186"/>
      <c r="F217" s="186"/>
      <c r="G217" s="186"/>
      <c r="H217" s="186"/>
      <c r="I217" s="186"/>
      <c r="J217" s="186"/>
      <c r="K217" s="186"/>
      <c r="L217" s="186"/>
      <c r="M217" s="186"/>
      <c r="N217" s="186"/>
      <c r="O217" s="3">
        <v>1</v>
      </c>
    </row>
    <row r="218" spans="1:15" ht="21" customHeight="1">
      <c r="A218" s="186"/>
      <c r="B218" s="1994" t="s">
        <v>8702</v>
      </c>
      <c r="C218" s="186"/>
      <c r="D218" s="186"/>
      <c r="E218" s="186"/>
      <c r="F218" s="186"/>
      <c r="G218" s="186"/>
      <c r="H218" s="186"/>
      <c r="I218" s="186"/>
      <c r="J218" s="186"/>
      <c r="K218" s="186"/>
      <c r="L218" s="186"/>
      <c r="M218" s="186"/>
      <c r="N218" s="186"/>
      <c r="O218" s="3">
        <v>1</v>
      </c>
    </row>
    <row r="219" spans="1:15" ht="21" customHeight="1">
      <c r="A219" s="186"/>
      <c r="B219" s="2010" t="s">
        <v>8703</v>
      </c>
      <c r="C219" s="186"/>
      <c r="D219" s="186"/>
      <c r="E219" s="186"/>
      <c r="F219" s="186"/>
      <c r="G219" s="186"/>
      <c r="H219" s="186"/>
      <c r="I219" s="186"/>
      <c r="J219" s="186"/>
      <c r="K219" s="186"/>
      <c r="L219" s="186"/>
      <c r="M219" s="186"/>
      <c r="N219" s="186"/>
      <c r="O219" s="3">
        <v>1</v>
      </c>
    </row>
    <row r="220" spans="1:15" ht="21" customHeight="1">
      <c r="A220" s="186"/>
      <c r="B220" s="2010" t="s">
        <v>8704</v>
      </c>
      <c r="C220" s="186"/>
      <c r="D220" s="186"/>
      <c r="E220" s="186"/>
      <c r="F220" s="186"/>
      <c r="G220" s="186"/>
      <c r="H220" s="186"/>
      <c r="I220" s="186"/>
      <c r="J220" s="186"/>
      <c r="K220" s="186"/>
      <c r="L220" s="186"/>
      <c r="M220" s="186"/>
      <c r="N220" s="186"/>
      <c r="O220" s="3">
        <v>1</v>
      </c>
    </row>
    <row r="221" spans="1:15" ht="21" customHeight="1">
      <c r="A221" s="186"/>
      <c r="B221" s="2010" t="s">
        <v>8705</v>
      </c>
      <c r="C221" s="186"/>
      <c r="D221" s="186"/>
      <c r="E221" s="186"/>
      <c r="F221" s="186"/>
      <c r="G221" s="186"/>
      <c r="H221" s="186"/>
      <c r="I221" s="186"/>
      <c r="J221" s="186"/>
      <c r="K221" s="186"/>
      <c r="L221" s="186"/>
      <c r="M221" s="186"/>
      <c r="N221" s="186"/>
      <c r="O221" s="3">
        <v>1</v>
      </c>
    </row>
    <row r="222" spans="1:15" ht="21" customHeight="1">
      <c r="A222" s="186"/>
      <c r="B222" s="1994" t="s">
        <v>8457</v>
      </c>
      <c r="C222" s="186"/>
      <c r="D222" s="186"/>
      <c r="E222" s="186"/>
      <c r="F222" s="186"/>
      <c r="G222" s="186"/>
      <c r="H222" s="186"/>
      <c r="I222" s="186"/>
      <c r="J222" s="186"/>
      <c r="K222" s="186"/>
      <c r="L222" s="186"/>
      <c r="M222" s="186"/>
      <c r="N222" s="186"/>
      <c r="O222" s="3">
        <v>1</v>
      </c>
    </row>
    <row r="223" spans="1:15" ht="21" customHeight="1">
      <c r="A223" s="186"/>
      <c r="B223" s="186"/>
      <c r="C223" s="186"/>
      <c r="D223" s="186"/>
      <c r="E223" s="186"/>
      <c r="F223" s="186"/>
      <c r="G223" s="186"/>
      <c r="H223" s="186"/>
      <c r="I223" s="186"/>
      <c r="J223" s="186"/>
      <c r="K223" s="186"/>
      <c r="L223" s="186"/>
      <c r="M223" s="186"/>
      <c r="N223" s="186"/>
      <c r="O223" s="3">
        <v>1</v>
      </c>
    </row>
    <row r="224" spans="1:15" ht="21" customHeight="1">
      <c r="A224" s="186"/>
      <c r="B224" s="570" t="s">
        <v>8458</v>
      </c>
      <c r="C224" s="186"/>
      <c r="D224" s="186"/>
      <c r="E224" s="186"/>
      <c r="F224" s="186"/>
      <c r="G224" s="186"/>
      <c r="H224" s="186"/>
      <c r="I224" s="186"/>
      <c r="J224" s="186"/>
      <c r="K224" s="186"/>
      <c r="L224" s="186"/>
      <c r="M224" s="186"/>
      <c r="N224" s="186"/>
      <c r="O224" s="3">
        <v>1</v>
      </c>
    </row>
    <row r="225" spans="1:15" ht="21" customHeight="1">
      <c r="A225" s="186"/>
      <c r="B225" s="1994" t="s">
        <v>8459</v>
      </c>
      <c r="C225" s="186"/>
      <c r="D225" s="186"/>
      <c r="E225" s="186"/>
      <c r="F225" s="186"/>
      <c r="G225" s="186"/>
      <c r="H225" s="186"/>
      <c r="I225" s="186"/>
      <c r="J225" s="186"/>
      <c r="K225" s="186"/>
      <c r="L225" s="186"/>
      <c r="M225" s="186"/>
      <c r="N225" s="186"/>
      <c r="O225" s="3">
        <v>1</v>
      </c>
    </row>
    <row r="226" spans="1:15" ht="21" customHeight="1">
      <c r="A226" s="186"/>
      <c r="B226" s="2010" t="s">
        <v>8706</v>
      </c>
      <c r="C226" s="186"/>
      <c r="D226" s="186"/>
      <c r="E226" s="186"/>
      <c r="F226" s="186"/>
      <c r="G226" s="186"/>
      <c r="H226" s="186"/>
      <c r="I226" s="186"/>
      <c r="J226" s="186"/>
      <c r="K226" s="186"/>
      <c r="L226" s="186"/>
      <c r="M226" s="186"/>
      <c r="N226" s="186"/>
      <c r="O226" s="3">
        <v>1</v>
      </c>
    </row>
    <row r="227" spans="1:15" ht="21" customHeight="1">
      <c r="A227" s="186"/>
      <c r="B227" s="2010" t="s">
        <v>8707</v>
      </c>
      <c r="C227" s="186"/>
      <c r="D227" s="186"/>
      <c r="E227" s="186"/>
      <c r="F227" s="186"/>
      <c r="G227" s="186"/>
      <c r="H227" s="186"/>
      <c r="I227" s="186"/>
      <c r="J227" s="186"/>
      <c r="K227" s="186"/>
      <c r="L227" s="186"/>
      <c r="M227" s="186"/>
      <c r="N227" s="186"/>
      <c r="O227" s="3">
        <v>1</v>
      </c>
    </row>
    <row r="228" spans="1:15" ht="21" customHeight="1">
      <c r="A228" s="186"/>
      <c r="B228" s="2010" t="s">
        <v>8708</v>
      </c>
      <c r="C228" s="186"/>
      <c r="D228" s="186"/>
      <c r="E228" s="186"/>
      <c r="F228" s="186"/>
      <c r="G228" s="186"/>
      <c r="H228" s="186"/>
      <c r="I228" s="186"/>
      <c r="J228" s="186"/>
      <c r="K228" s="186"/>
      <c r="L228" s="186"/>
      <c r="M228" s="186"/>
      <c r="N228" s="186"/>
      <c r="O228" s="3">
        <v>1</v>
      </c>
    </row>
    <row r="229" spans="1:15" ht="21" customHeight="1">
      <c r="A229" s="186"/>
      <c r="B229" s="2010" t="s">
        <v>8709</v>
      </c>
      <c r="C229" s="186"/>
      <c r="D229" s="186"/>
      <c r="E229" s="186"/>
      <c r="F229" s="186"/>
      <c r="G229" s="186"/>
      <c r="H229" s="186"/>
      <c r="I229" s="186"/>
      <c r="J229" s="186"/>
      <c r="K229" s="186"/>
      <c r="L229" s="186"/>
      <c r="M229" s="186"/>
      <c r="N229" s="186"/>
      <c r="O229" s="3">
        <v>1</v>
      </c>
    </row>
    <row r="230" spans="1:15" ht="21" customHeight="1">
      <c r="A230" s="186"/>
      <c r="B230" s="2010" t="s">
        <v>8710</v>
      </c>
      <c r="C230" s="186"/>
      <c r="D230" s="186"/>
      <c r="E230" s="186"/>
      <c r="F230" s="186"/>
      <c r="G230" s="186"/>
      <c r="H230" s="186"/>
      <c r="I230" s="186"/>
      <c r="J230" s="186"/>
      <c r="K230" s="186"/>
      <c r="L230" s="186"/>
      <c r="M230" s="186"/>
      <c r="N230" s="186"/>
      <c r="O230" s="3">
        <v>1</v>
      </c>
    </row>
    <row r="231" spans="1:15" ht="21" customHeight="1">
      <c r="A231" s="186"/>
      <c r="B231" s="2010" t="s">
        <v>8711</v>
      </c>
      <c r="C231" s="186"/>
      <c r="D231" s="186"/>
      <c r="E231" s="186"/>
      <c r="F231" s="186"/>
      <c r="G231" s="186"/>
      <c r="H231" s="186"/>
      <c r="I231" s="186"/>
      <c r="J231" s="186"/>
      <c r="K231" s="186"/>
      <c r="L231" s="186"/>
      <c r="M231" s="186"/>
      <c r="N231" s="186"/>
      <c r="O231" s="3">
        <v>1</v>
      </c>
    </row>
    <row r="232" spans="1:15" ht="21" customHeight="1">
      <c r="A232" s="186"/>
      <c r="B232" s="2010" t="s">
        <v>8712</v>
      </c>
      <c r="C232" s="186"/>
      <c r="D232" s="186"/>
      <c r="E232" s="186"/>
      <c r="F232" s="186"/>
      <c r="G232" s="186"/>
      <c r="H232" s="186"/>
      <c r="I232" s="186"/>
      <c r="J232" s="186"/>
      <c r="K232" s="186"/>
      <c r="L232" s="186"/>
      <c r="M232" s="186"/>
      <c r="N232" s="186"/>
      <c r="O232" s="3">
        <v>1</v>
      </c>
    </row>
    <row r="233" spans="1:15" ht="21" customHeight="1">
      <c r="A233" s="186"/>
      <c r="B233" s="2010" t="s">
        <v>8713</v>
      </c>
      <c r="C233" s="186"/>
      <c r="D233" s="186"/>
      <c r="E233" s="186"/>
      <c r="F233" s="186"/>
      <c r="G233" s="186"/>
      <c r="H233" s="186"/>
      <c r="I233" s="186"/>
      <c r="J233" s="186"/>
      <c r="K233" s="186"/>
      <c r="L233" s="186"/>
      <c r="M233" s="186"/>
      <c r="N233" s="186"/>
      <c r="O233" s="3">
        <v>1</v>
      </c>
    </row>
    <row r="234" spans="1:15" ht="21" customHeight="1">
      <c r="A234" s="186"/>
      <c r="B234" s="2010" t="s">
        <v>8714</v>
      </c>
      <c r="C234" s="186"/>
      <c r="D234" s="186"/>
      <c r="E234" s="186"/>
      <c r="F234" s="186"/>
      <c r="G234" s="186"/>
      <c r="H234" s="186"/>
      <c r="I234" s="186"/>
      <c r="J234" s="186"/>
      <c r="K234" s="186"/>
      <c r="L234" s="186"/>
      <c r="M234" s="186"/>
      <c r="N234" s="186"/>
      <c r="O234" s="3">
        <v>1</v>
      </c>
    </row>
    <row r="235" spans="1:15" ht="21" customHeight="1">
      <c r="A235" s="186"/>
      <c r="B235" s="2010" t="s">
        <v>8715</v>
      </c>
      <c r="C235" s="186"/>
      <c r="D235" s="186"/>
      <c r="E235" s="186"/>
      <c r="F235" s="186"/>
      <c r="G235" s="186"/>
      <c r="H235" s="186"/>
      <c r="I235" s="186"/>
      <c r="J235" s="186"/>
      <c r="K235" s="186"/>
      <c r="L235" s="186"/>
      <c r="M235" s="186"/>
      <c r="N235" s="186"/>
      <c r="O235" s="3">
        <v>1</v>
      </c>
    </row>
    <row r="236" spans="1:15" ht="21" customHeight="1">
      <c r="A236" s="186"/>
      <c r="B236" s="2003" t="s">
        <v>8460</v>
      </c>
      <c r="C236" s="186"/>
      <c r="D236" s="186"/>
      <c r="E236" s="186"/>
      <c r="F236" s="186"/>
      <c r="G236" s="186"/>
      <c r="H236" s="186"/>
      <c r="I236" s="186"/>
      <c r="J236" s="186"/>
      <c r="K236" s="186"/>
      <c r="L236" s="186"/>
      <c r="M236" s="186"/>
      <c r="N236" s="186"/>
      <c r="O236" s="3">
        <v>1</v>
      </c>
    </row>
    <row r="237" spans="1:15" ht="21" customHeight="1">
      <c r="A237" s="186"/>
      <c r="B237" s="186"/>
      <c r="C237" s="186"/>
      <c r="D237" s="186"/>
      <c r="E237" s="186"/>
      <c r="F237" s="186"/>
      <c r="G237" s="186"/>
      <c r="H237" s="186"/>
      <c r="I237" s="186"/>
      <c r="J237" s="186"/>
      <c r="K237" s="186"/>
      <c r="L237" s="186"/>
      <c r="M237" s="186"/>
      <c r="N237" s="186"/>
      <c r="O237" s="3">
        <v>1</v>
      </c>
    </row>
    <row r="238" spans="1:15" ht="21" customHeight="1">
      <c r="A238" s="186"/>
      <c r="B238" s="1246" t="s">
        <v>8461</v>
      </c>
      <c r="C238" s="186"/>
      <c r="D238" s="186"/>
      <c r="E238" s="186"/>
      <c r="F238" s="186"/>
      <c r="G238" s="186"/>
      <c r="H238" s="186"/>
      <c r="I238" s="186"/>
      <c r="J238" s="186"/>
      <c r="K238" s="186"/>
      <c r="L238" s="186"/>
      <c r="M238" s="186"/>
      <c r="N238" s="186"/>
      <c r="O238" s="3">
        <v>1</v>
      </c>
    </row>
    <row r="239" spans="1:15" ht="21" customHeight="1">
      <c r="A239" s="186"/>
      <c r="B239" s="1994" t="s">
        <v>8462</v>
      </c>
      <c r="C239" s="186"/>
      <c r="D239" s="186"/>
      <c r="E239" s="186"/>
      <c r="F239" s="186"/>
      <c r="G239" s="186"/>
      <c r="H239" s="186"/>
      <c r="I239" s="186"/>
      <c r="J239" s="186"/>
      <c r="K239" s="186"/>
      <c r="L239" s="186"/>
      <c r="M239" s="186"/>
      <c r="N239" s="186"/>
      <c r="O239" s="3">
        <v>1</v>
      </c>
    </row>
    <row r="240" spans="1:15" ht="21" customHeight="1">
      <c r="A240" s="186"/>
      <c r="B240" s="2010" t="s">
        <v>8716</v>
      </c>
      <c r="C240" s="186"/>
      <c r="D240" s="186"/>
      <c r="E240" s="186"/>
      <c r="F240" s="186"/>
      <c r="G240" s="186"/>
      <c r="H240" s="186"/>
      <c r="I240" s="186"/>
      <c r="J240" s="186"/>
      <c r="K240" s="186"/>
      <c r="L240" s="186"/>
      <c r="M240" s="186"/>
      <c r="N240" s="186"/>
      <c r="O240" s="3">
        <v>1</v>
      </c>
    </row>
    <row r="241" spans="1:15" ht="21" customHeight="1">
      <c r="A241" s="186"/>
      <c r="B241" s="2010" t="s">
        <v>8717</v>
      </c>
      <c r="C241" s="186"/>
      <c r="D241" s="186"/>
      <c r="E241" s="186"/>
      <c r="F241" s="186"/>
      <c r="G241" s="186"/>
      <c r="H241" s="186"/>
      <c r="I241" s="186"/>
      <c r="J241" s="186"/>
      <c r="K241" s="186"/>
      <c r="L241" s="186"/>
      <c r="M241" s="186"/>
      <c r="N241" s="186"/>
      <c r="O241" s="3">
        <v>1</v>
      </c>
    </row>
    <row r="242" spans="1:15" ht="21" customHeight="1">
      <c r="A242" s="186"/>
      <c r="B242" s="2010" t="s">
        <v>8718</v>
      </c>
      <c r="C242" s="186"/>
      <c r="D242" s="186"/>
      <c r="E242" s="186"/>
      <c r="F242" s="186"/>
      <c r="G242" s="186"/>
      <c r="H242" s="186"/>
      <c r="I242" s="186"/>
      <c r="J242" s="186"/>
      <c r="K242" s="186"/>
      <c r="L242" s="186"/>
      <c r="M242" s="186"/>
      <c r="N242" s="186"/>
      <c r="O242" s="3">
        <v>1</v>
      </c>
    </row>
    <row r="243" spans="1:15" ht="21" customHeight="1">
      <c r="A243" s="186"/>
      <c r="B243" s="1994"/>
      <c r="C243" s="186"/>
      <c r="D243" s="186"/>
      <c r="E243" s="186"/>
      <c r="F243" s="186"/>
      <c r="G243" s="186"/>
      <c r="H243" s="186"/>
      <c r="I243" s="186"/>
      <c r="J243" s="186"/>
      <c r="K243" s="186"/>
      <c r="L243" s="186"/>
      <c r="M243" s="186"/>
      <c r="N243" s="186"/>
      <c r="O243" s="3">
        <v>1</v>
      </c>
    </row>
    <row r="244" spans="1:15" ht="21" customHeight="1">
      <c r="A244" s="186"/>
      <c r="B244" s="2003" t="s">
        <v>8719</v>
      </c>
      <c r="C244" s="186"/>
      <c r="D244" s="186"/>
      <c r="E244" s="186"/>
      <c r="F244" s="186"/>
      <c r="G244" s="186"/>
      <c r="H244" s="186"/>
      <c r="I244" s="186"/>
      <c r="J244" s="186"/>
      <c r="K244" s="186"/>
      <c r="L244" s="186"/>
      <c r="M244" s="186"/>
      <c r="N244" s="186"/>
      <c r="O244" s="3">
        <v>1</v>
      </c>
    </row>
    <row r="245" spans="1:15" ht="21" customHeight="1">
      <c r="A245" s="186"/>
      <c r="B245" s="186"/>
      <c r="C245" s="186"/>
      <c r="D245" s="186"/>
      <c r="E245" s="186"/>
      <c r="F245" s="186"/>
      <c r="G245" s="186"/>
      <c r="H245" s="186"/>
      <c r="I245" s="186"/>
      <c r="J245" s="186"/>
      <c r="K245" s="186"/>
      <c r="L245" s="186"/>
      <c r="M245" s="186"/>
      <c r="N245" s="186"/>
      <c r="O245" s="3">
        <v>1</v>
      </c>
    </row>
    <row r="246" spans="1:15" ht="21" customHeight="1">
      <c r="A246" s="186"/>
      <c r="B246" s="1246" t="s">
        <v>8463</v>
      </c>
      <c r="C246" s="186"/>
      <c r="D246" s="186"/>
      <c r="E246" s="186"/>
      <c r="F246" s="186"/>
      <c r="G246" s="186"/>
      <c r="H246" s="186"/>
      <c r="I246" s="186"/>
      <c r="J246" s="186"/>
      <c r="K246" s="186"/>
      <c r="L246" s="186"/>
      <c r="M246" s="186"/>
      <c r="N246" s="186"/>
      <c r="O246" s="3">
        <v>1</v>
      </c>
    </row>
    <row r="247" spans="1:15" ht="21" customHeight="1">
      <c r="A247" s="186"/>
      <c r="B247" s="203" t="s">
        <v>8720</v>
      </c>
      <c r="C247" s="186"/>
      <c r="D247" s="186"/>
      <c r="E247" s="186"/>
      <c r="F247" s="186"/>
      <c r="G247" s="186"/>
      <c r="H247" s="186"/>
      <c r="I247" s="186"/>
      <c r="J247" s="186"/>
      <c r="K247" s="186"/>
      <c r="L247" s="186"/>
      <c r="M247" s="186"/>
      <c r="N247" s="186"/>
      <c r="O247" s="3">
        <v>1</v>
      </c>
    </row>
    <row r="248" spans="1:15" ht="21" customHeight="1">
      <c r="A248" s="186"/>
      <c r="B248" s="203" t="s">
        <v>8721</v>
      </c>
      <c r="C248" s="186"/>
      <c r="D248" s="186"/>
      <c r="E248" s="186"/>
      <c r="F248" s="186"/>
      <c r="G248" s="186"/>
      <c r="H248" s="186"/>
      <c r="I248" s="186"/>
      <c r="J248" s="186"/>
      <c r="K248" s="186"/>
      <c r="L248" s="186"/>
      <c r="M248" s="186"/>
      <c r="N248" s="186"/>
      <c r="O248" s="3">
        <v>1</v>
      </c>
    </row>
    <row r="249" spans="1:15" ht="21" customHeight="1">
      <c r="A249" s="186"/>
      <c r="B249" s="1994"/>
      <c r="C249" s="186"/>
      <c r="D249" s="186"/>
      <c r="E249" s="186"/>
      <c r="F249" s="186"/>
      <c r="G249" s="186"/>
      <c r="H249" s="186"/>
      <c r="I249" s="186"/>
      <c r="J249" s="186"/>
      <c r="K249" s="186"/>
      <c r="L249" s="186"/>
      <c r="M249" s="186"/>
      <c r="N249" s="186"/>
      <c r="O249" s="3">
        <v>1</v>
      </c>
    </row>
    <row r="250" spans="1:15" ht="21" customHeight="1">
      <c r="A250" s="186"/>
      <c r="B250" s="1994" t="s">
        <v>8722</v>
      </c>
      <c r="C250" s="186"/>
      <c r="D250" s="186"/>
      <c r="E250" s="186"/>
      <c r="F250" s="186"/>
      <c r="G250" s="186"/>
      <c r="H250" s="186"/>
      <c r="I250" s="186"/>
      <c r="J250" s="186"/>
      <c r="K250" s="186"/>
      <c r="L250" s="186"/>
      <c r="M250" s="186"/>
      <c r="N250" s="186"/>
      <c r="O250" s="3">
        <v>1</v>
      </c>
    </row>
    <row r="251" spans="1:15" ht="21" customHeight="1">
      <c r="A251" s="186"/>
      <c r="B251" s="1994" t="s">
        <v>8723</v>
      </c>
      <c r="C251" s="186"/>
      <c r="D251" s="186"/>
      <c r="E251" s="186"/>
      <c r="F251" s="186"/>
      <c r="G251" s="186"/>
      <c r="H251" s="186"/>
      <c r="I251" s="186"/>
      <c r="J251" s="186"/>
      <c r="K251" s="186"/>
      <c r="L251" s="186"/>
      <c r="M251" s="186"/>
      <c r="N251" s="186"/>
      <c r="O251" s="3">
        <v>1</v>
      </c>
    </row>
    <row r="252" spans="1:15" ht="21" customHeight="1">
      <c r="A252" s="186"/>
      <c r="B252" s="1994"/>
      <c r="C252" s="186"/>
      <c r="D252" s="186"/>
      <c r="E252" s="186"/>
      <c r="F252" s="186"/>
      <c r="G252" s="186"/>
      <c r="H252" s="186"/>
      <c r="I252" s="186"/>
      <c r="J252" s="186"/>
      <c r="K252" s="186"/>
      <c r="L252" s="186"/>
      <c r="M252" s="186"/>
      <c r="N252" s="186"/>
      <c r="O252" s="3">
        <v>1</v>
      </c>
    </row>
    <row r="253" spans="1:15" ht="21" customHeight="1">
      <c r="A253" s="186"/>
      <c r="B253" s="2009" t="s">
        <v>8464</v>
      </c>
      <c r="C253" s="186"/>
      <c r="D253" s="186"/>
      <c r="E253" s="186"/>
      <c r="F253" s="186"/>
      <c r="G253" s="186"/>
      <c r="H253" s="186"/>
      <c r="I253" s="186"/>
      <c r="J253" s="186"/>
      <c r="K253" s="186"/>
      <c r="L253" s="186"/>
      <c r="M253" s="186"/>
      <c r="N253" s="186"/>
      <c r="O253" s="3">
        <v>1</v>
      </c>
    </row>
    <row r="254" spans="1:15" ht="21" customHeight="1">
      <c r="A254" s="186"/>
      <c r="B254" s="1994" t="s">
        <v>8465</v>
      </c>
      <c r="C254" s="186"/>
      <c r="D254" s="186"/>
      <c r="E254" s="186"/>
      <c r="F254" s="186"/>
      <c r="G254" s="186"/>
      <c r="H254" s="186"/>
      <c r="I254" s="186"/>
      <c r="J254" s="186"/>
      <c r="K254" s="186"/>
      <c r="L254" s="186"/>
      <c r="M254" s="186"/>
      <c r="N254" s="186"/>
      <c r="O254" s="3">
        <v>1</v>
      </c>
    </row>
    <row r="255" spans="1:15" ht="21" customHeight="1">
      <c r="A255" s="186"/>
      <c r="B255" s="203" t="s">
        <v>8724</v>
      </c>
      <c r="C255" s="186"/>
      <c r="D255" s="186"/>
      <c r="E255" s="186"/>
      <c r="F255" s="186"/>
      <c r="G255" s="186"/>
      <c r="H255" s="186"/>
      <c r="I255" s="186"/>
      <c r="J255" s="186"/>
      <c r="K255" s="186"/>
      <c r="L255" s="186"/>
      <c r="M255" s="186"/>
      <c r="N255" s="186"/>
      <c r="O255" s="3">
        <v>1</v>
      </c>
    </row>
    <row r="256" spans="1:15" ht="21" customHeight="1">
      <c r="A256" s="186"/>
      <c r="B256" s="2010" t="s">
        <v>8466</v>
      </c>
      <c r="C256" s="186"/>
      <c r="D256" s="186"/>
      <c r="E256" s="186"/>
      <c r="F256" s="186"/>
      <c r="G256" s="186"/>
      <c r="H256" s="186"/>
      <c r="I256" s="186"/>
      <c r="J256" s="186"/>
      <c r="K256" s="186"/>
      <c r="L256" s="186"/>
      <c r="M256" s="186"/>
      <c r="N256" s="186"/>
      <c r="O256" s="3">
        <v>1</v>
      </c>
    </row>
    <row r="257" spans="1:15" ht="21" customHeight="1">
      <c r="A257" s="186"/>
      <c r="B257" s="2010" t="s">
        <v>8467</v>
      </c>
      <c r="C257" s="186"/>
      <c r="D257" s="186"/>
      <c r="E257" s="186"/>
      <c r="F257" s="186"/>
      <c r="G257" s="186"/>
      <c r="H257" s="186"/>
      <c r="I257" s="186"/>
      <c r="J257" s="186"/>
      <c r="K257" s="186"/>
      <c r="L257" s="186"/>
      <c r="M257" s="186"/>
      <c r="N257" s="186"/>
      <c r="O257" s="3">
        <v>1</v>
      </c>
    </row>
    <row r="258" spans="1:15" ht="21" customHeight="1">
      <c r="A258" s="186"/>
      <c r="B258" s="203" t="s">
        <v>8468</v>
      </c>
      <c r="C258" s="186"/>
      <c r="D258" s="186"/>
      <c r="E258" s="186"/>
      <c r="F258" s="186"/>
      <c r="G258" s="186"/>
      <c r="H258" s="186"/>
      <c r="I258" s="186"/>
      <c r="J258" s="186"/>
      <c r="K258" s="186"/>
      <c r="L258" s="186"/>
      <c r="M258" s="186"/>
      <c r="N258" s="186"/>
      <c r="O258" s="3">
        <v>1</v>
      </c>
    </row>
    <row r="259" spans="1:15" ht="21" customHeight="1">
      <c r="A259" s="186"/>
      <c r="B259" s="203" t="s">
        <v>8725</v>
      </c>
      <c r="C259" s="186"/>
      <c r="D259" s="186"/>
      <c r="E259" s="186"/>
      <c r="F259" s="186"/>
      <c r="G259" s="186"/>
      <c r="H259" s="186"/>
      <c r="I259" s="186"/>
      <c r="J259" s="186"/>
      <c r="K259" s="186"/>
      <c r="L259" s="186"/>
      <c r="M259" s="186"/>
      <c r="N259" s="186"/>
      <c r="O259" s="3">
        <v>1</v>
      </c>
    </row>
    <row r="260" spans="1:15" ht="21" customHeight="1">
      <c r="A260" s="186"/>
      <c r="B260" s="2010" t="s">
        <v>8726</v>
      </c>
      <c r="C260" s="186"/>
      <c r="D260" s="186"/>
      <c r="E260" s="186"/>
      <c r="F260" s="186"/>
      <c r="G260" s="186"/>
      <c r="H260" s="186"/>
      <c r="I260" s="186"/>
      <c r="J260" s="186"/>
      <c r="K260" s="186"/>
      <c r="L260" s="186"/>
      <c r="M260" s="186"/>
      <c r="N260" s="186"/>
      <c r="O260" s="3">
        <v>1</v>
      </c>
    </row>
    <row r="261" spans="1:15" ht="21" customHeight="1">
      <c r="A261" s="186"/>
      <c r="B261" s="54"/>
      <c r="C261" s="186"/>
      <c r="D261" s="186"/>
      <c r="E261" s="186"/>
      <c r="F261" s="186"/>
      <c r="G261" s="186"/>
      <c r="H261" s="186"/>
      <c r="I261" s="186"/>
      <c r="J261" s="186"/>
      <c r="K261" s="186"/>
      <c r="L261" s="186"/>
      <c r="M261" s="186"/>
      <c r="N261" s="186"/>
      <c r="O261" s="3">
        <v>1</v>
      </c>
    </row>
    <row r="262" spans="1:15" ht="21" customHeight="1">
      <c r="A262" s="186"/>
      <c r="B262" s="203" t="s">
        <v>8727</v>
      </c>
      <c r="C262" s="186"/>
      <c r="D262" s="186"/>
      <c r="E262" s="186"/>
      <c r="F262" s="186"/>
      <c r="G262" s="186"/>
      <c r="H262" s="186"/>
      <c r="I262" s="186"/>
      <c r="J262" s="186"/>
      <c r="K262" s="186"/>
      <c r="L262" s="186"/>
      <c r="M262" s="186"/>
      <c r="N262" s="186"/>
      <c r="O262" s="3">
        <v>1</v>
      </c>
    </row>
    <row r="263" spans="1:15" ht="21" customHeight="1">
      <c r="A263" s="186"/>
      <c r="B263" s="203" t="s">
        <v>8728</v>
      </c>
      <c r="C263" s="186"/>
      <c r="D263" s="186"/>
      <c r="E263" s="186"/>
      <c r="F263" s="186"/>
      <c r="G263" s="186"/>
      <c r="H263" s="186"/>
      <c r="I263" s="186"/>
      <c r="J263" s="186"/>
      <c r="K263" s="186"/>
      <c r="L263" s="186"/>
      <c r="M263" s="186"/>
      <c r="N263" s="186"/>
      <c r="O263" s="3">
        <v>1</v>
      </c>
    </row>
    <row r="264" spans="1:15" ht="21" customHeight="1">
      <c r="A264" s="186"/>
      <c r="B264" s="2010" t="s">
        <v>8466</v>
      </c>
      <c r="C264" s="186"/>
      <c r="D264" s="186"/>
      <c r="E264" s="186"/>
      <c r="F264" s="186"/>
      <c r="G264" s="186"/>
      <c r="H264" s="186"/>
      <c r="I264" s="186"/>
      <c r="J264" s="186"/>
      <c r="K264" s="186"/>
      <c r="L264" s="186"/>
      <c r="M264" s="186"/>
      <c r="N264" s="186"/>
      <c r="O264" s="3">
        <v>1</v>
      </c>
    </row>
    <row r="265" spans="1:15" ht="21" customHeight="1">
      <c r="A265" s="186"/>
      <c r="B265" s="2010" t="s">
        <v>8467</v>
      </c>
      <c r="C265" s="186"/>
      <c r="D265" s="186"/>
      <c r="E265" s="186"/>
      <c r="F265" s="186"/>
      <c r="G265" s="186"/>
      <c r="H265" s="186"/>
      <c r="I265" s="186"/>
      <c r="J265" s="186"/>
      <c r="K265" s="186"/>
      <c r="L265" s="186"/>
      <c r="M265" s="186"/>
      <c r="N265" s="186"/>
      <c r="O265" s="3">
        <v>1</v>
      </c>
    </row>
    <row r="266" spans="1:15" ht="21" customHeight="1">
      <c r="A266" s="186"/>
      <c r="B266" s="2010" t="s">
        <v>8729</v>
      </c>
      <c r="C266" s="186"/>
      <c r="D266" s="186"/>
      <c r="E266" s="186"/>
      <c r="F266" s="186"/>
      <c r="G266" s="186"/>
      <c r="H266" s="186"/>
      <c r="I266" s="186"/>
      <c r="J266" s="186"/>
      <c r="K266" s="186"/>
      <c r="L266" s="186"/>
      <c r="M266" s="186"/>
      <c r="N266" s="186"/>
      <c r="O266" s="3">
        <v>1</v>
      </c>
    </row>
    <row r="267" spans="1:15" ht="21" customHeight="1">
      <c r="A267" s="186"/>
      <c r="B267" s="186"/>
      <c r="C267" s="186"/>
      <c r="D267" s="186"/>
      <c r="E267" s="186"/>
      <c r="F267" s="186"/>
      <c r="G267" s="186"/>
      <c r="H267" s="186"/>
      <c r="I267" s="186"/>
      <c r="J267" s="186"/>
      <c r="K267" s="186"/>
      <c r="L267" s="186"/>
      <c r="M267" s="186"/>
      <c r="N267" s="186"/>
      <c r="O267" s="3">
        <v>1</v>
      </c>
    </row>
    <row r="268" spans="1:15" ht="21" customHeight="1">
      <c r="A268" s="186"/>
      <c r="B268" s="2002" t="s">
        <v>8469</v>
      </c>
      <c r="C268" s="186"/>
      <c r="D268" s="186"/>
      <c r="E268" s="186"/>
      <c r="F268" s="186"/>
      <c r="G268" s="186"/>
      <c r="H268" s="186"/>
      <c r="I268" s="186"/>
      <c r="J268" s="186"/>
      <c r="K268" s="186"/>
      <c r="L268" s="186"/>
      <c r="M268" s="186"/>
      <c r="N268" s="186"/>
      <c r="O268" s="3">
        <v>1</v>
      </c>
    </row>
    <row r="269" spans="1:15" ht="21" customHeight="1">
      <c r="A269" s="186"/>
      <c r="B269" s="2002" t="s">
        <v>8470</v>
      </c>
      <c r="C269" s="186"/>
      <c r="D269" s="186"/>
      <c r="E269" s="186"/>
      <c r="F269" s="186"/>
      <c r="G269" s="186"/>
      <c r="H269" s="186"/>
      <c r="I269" s="186"/>
      <c r="J269" s="186"/>
      <c r="K269" s="186"/>
      <c r="L269" s="186"/>
      <c r="M269" s="186"/>
      <c r="N269" s="186"/>
      <c r="O269" s="3">
        <v>1</v>
      </c>
    </row>
    <row r="270" spans="1:15" ht="21" customHeight="1">
      <c r="A270" s="186"/>
      <c r="B270" s="2002" t="s">
        <v>8471</v>
      </c>
      <c r="C270" s="186"/>
      <c r="D270" s="186"/>
      <c r="E270" s="186"/>
      <c r="F270" s="186"/>
      <c r="G270" s="186"/>
      <c r="H270" s="186"/>
      <c r="I270" s="186"/>
      <c r="J270" s="186"/>
      <c r="K270" s="186"/>
      <c r="L270" s="186"/>
      <c r="M270" s="186"/>
      <c r="N270" s="186"/>
      <c r="O270" s="3">
        <v>1</v>
      </c>
    </row>
    <row r="271" spans="1:15" ht="21" customHeight="1">
      <c r="A271" s="186"/>
      <c r="B271" s="186"/>
      <c r="C271" s="186"/>
      <c r="D271" s="186"/>
      <c r="E271" s="186"/>
      <c r="F271" s="186"/>
      <c r="G271" s="186"/>
      <c r="H271" s="186"/>
      <c r="I271" s="186"/>
      <c r="J271" s="186"/>
      <c r="K271" s="186"/>
      <c r="L271" s="186"/>
      <c r="M271" s="186"/>
      <c r="N271" s="186"/>
      <c r="O271" s="3">
        <v>1</v>
      </c>
    </row>
    <row r="272" spans="1:15" ht="21" customHeight="1">
      <c r="A272" s="186"/>
      <c r="B272" s="1994" t="s">
        <v>8730</v>
      </c>
      <c r="C272" s="186"/>
      <c r="D272" s="186"/>
      <c r="E272" s="186"/>
      <c r="F272" s="186"/>
      <c r="G272" s="186"/>
      <c r="H272" s="186"/>
      <c r="I272" s="186"/>
      <c r="J272" s="186"/>
      <c r="K272" s="186"/>
      <c r="L272" s="186"/>
      <c r="M272" s="186"/>
      <c r="N272" s="186"/>
      <c r="O272" s="3">
        <v>1</v>
      </c>
    </row>
    <row r="273" spans="1:15" ht="21" customHeight="1">
      <c r="A273" s="186"/>
      <c r="B273" s="1994" t="s">
        <v>8472</v>
      </c>
      <c r="C273" s="186"/>
      <c r="D273" s="186"/>
      <c r="E273" s="186"/>
      <c r="F273" s="186"/>
      <c r="G273" s="186"/>
      <c r="H273" s="186"/>
      <c r="I273" s="186"/>
      <c r="J273" s="186"/>
      <c r="K273" s="186"/>
      <c r="L273" s="186"/>
      <c r="M273" s="186"/>
      <c r="N273" s="186"/>
      <c r="O273" s="3">
        <v>1</v>
      </c>
    </row>
    <row r="274" spans="1:15" ht="21" customHeight="1">
      <c r="A274" s="186"/>
      <c r="B274" s="186"/>
      <c r="C274" s="186"/>
      <c r="D274" s="186"/>
      <c r="E274" s="186"/>
      <c r="F274" s="186"/>
      <c r="G274" s="186"/>
      <c r="H274" s="186"/>
      <c r="I274" s="186"/>
      <c r="J274" s="186"/>
      <c r="K274" s="186"/>
      <c r="L274" s="186"/>
      <c r="M274" s="186"/>
      <c r="N274" s="186"/>
      <c r="O274" s="3">
        <v>1</v>
      </c>
    </row>
    <row r="275" spans="1:15" ht="21" customHeight="1">
      <c r="A275" s="681"/>
      <c r="B275" s="681"/>
      <c r="C275" s="681"/>
      <c r="D275" s="681"/>
      <c r="E275" s="681"/>
      <c r="F275" s="681"/>
      <c r="G275" s="681"/>
      <c r="H275" s="681"/>
      <c r="I275" s="681"/>
      <c r="J275" s="681"/>
      <c r="K275" s="681"/>
      <c r="L275" s="681"/>
      <c r="M275" s="681"/>
      <c r="N275" s="681"/>
      <c r="O275" s="3">
        <v>1</v>
      </c>
    </row>
    <row r="276" spans="1:15" ht="21" customHeight="1">
      <c r="A276" s="186"/>
      <c r="B276" s="186"/>
      <c r="C276" s="186"/>
      <c r="D276" s="186"/>
      <c r="E276" s="186"/>
      <c r="F276" s="186"/>
      <c r="G276" s="186"/>
      <c r="H276" s="186"/>
      <c r="I276" s="186"/>
      <c r="J276" s="186"/>
      <c r="K276" s="186"/>
      <c r="L276" s="186"/>
      <c r="M276" s="186"/>
      <c r="N276" s="186"/>
      <c r="O276" s="3">
        <v>1</v>
      </c>
    </row>
    <row r="277" spans="1:15" ht="21" customHeight="1">
      <c r="A277" s="186"/>
      <c r="B277" s="414" t="s">
        <v>8680</v>
      </c>
      <c r="C277" s="186"/>
      <c r="D277" s="186"/>
      <c r="E277" s="186"/>
      <c r="F277" s="186"/>
      <c r="G277" s="186"/>
      <c r="H277" s="186"/>
      <c r="I277" s="186"/>
      <c r="J277" s="186"/>
      <c r="K277" s="186"/>
      <c r="L277" s="186"/>
      <c r="M277" s="186"/>
      <c r="N277" s="186"/>
      <c r="O277" s="3">
        <v>1</v>
      </c>
    </row>
    <row r="278" spans="1:15" ht="21" customHeight="1">
      <c r="A278" s="186"/>
      <c r="B278" s="1831" t="s">
        <v>8686</v>
      </c>
      <c r="C278" s="186"/>
      <c r="D278" s="186"/>
      <c r="E278" s="186"/>
      <c r="F278" s="186"/>
      <c r="G278" s="186"/>
      <c r="H278" s="186"/>
      <c r="I278" s="186"/>
      <c r="J278" s="186"/>
      <c r="K278" s="186"/>
      <c r="L278" s="186"/>
      <c r="M278" s="186"/>
      <c r="N278" s="186"/>
      <c r="O278" s="3">
        <v>1</v>
      </c>
    </row>
    <row r="279" spans="1:15" ht="21" customHeight="1">
      <c r="A279" s="186"/>
      <c r="B279" s="1832" t="s">
        <v>8681</v>
      </c>
      <c r="C279" s="186"/>
      <c r="D279" s="186"/>
      <c r="E279" s="186"/>
      <c r="F279" s="186"/>
      <c r="G279" s="186"/>
      <c r="H279" s="186"/>
      <c r="I279" s="186"/>
      <c r="J279" s="186"/>
      <c r="K279" s="186"/>
      <c r="L279" s="186"/>
      <c r="M279" s="186"/>
      <c r="N279" s="186"/>
      <c r="O279" s="3">
        <v>1</v>
      </c>
    </row>
    <row r="280" spans="1:15" ht="21" customHeight="1">
      <c r="A280" s="186"/>
      <c r="B280" s="1831"/>
      <c r="C280" s="186"/>
      <c r="D280" s="186"/>
      <c r="E280" s="186"/>
      <c r="F280" s="186"/>
      <c r="G280" s="186"/>
      <c r="H280" s="186"/>
      <c r="I280" s="186"/>
      <c r="J280" s="186"/>
      <c r="K280" s="186"/>
      <c r="L280" s="186"/>
      <c r="M280" s="186"/>
      <c r="N280" s="186"/>
      <c r="O280" s="3">
        <v>1</v>
      </c>
    </row>
    <row r="281" spans="1:15" ht="21" customHeight="1">
      <c r="A281" s="186"/>
      <c r="B281" s="1831" t="s">
        <v>8687</v>
      </c>
      <c r="C281" s="186"/>
      <c r="D281" s="186"/>
      <c r="E281" s="186"/>
      <c r="F281" s="186"/>
      <c r="G281" s="186"/>
      <c r="H281" s="186"/>
      <c r="I281" s="186"/>
      <c r="J281" s="186"/>
      <c r="K281" s="186"/>
      <c r="L281" s="186"/>
      <c r="M281" s="186"/>
      <c r="N281" s="186"/>
      <c r="O281" s="3">
        <v>1</v>
      </c>
    </row>
    <row r="282" spans="1:15" ht="21" customHeight="1">
      <c r="A282" s="186"/>
      <c r="B282" s="1832" t="s">
        <v>8688</v>
      </c>
      <c r="C282" s="186"/>
      <c r="D282" s="186"/>
      <c r="E282" s="186"/>
      <c r="F282" s="186"/>
      <c r="G282" s="186"/>
      <c r="H282" s="186"/>
      <c r="I282" s="186"/>
      <c r="J282" s="186"/>
      <c r="K282" s="186"/>
      <c r="L282" s="186"/>
      <c r="M282" s="186"/>
      <c r="N282" s="186"/>
      <c r="O282" s="3">
        <v>1</v>
      </c>
    </row>
    <row r="283" spans="1:15" ht="21" customHeight="1">
      <c r="A283" s="186"/>
      <c r="B283" s="1831"/>
      <c r="C283" s="186"/>
      <c r="D283" s="186"/>
      <c r="E283" s="186"/>
      <c r="F283" s="186"/>
      <c r="G283" s="186"/>
      <c r="H283" s="186"/>
      <c r="I283" s="186"/>
      <c r="J283" s="186"/>
      <c r="K283" s="186"/>
      <c r="L283" s="186"/>
      <c r="M283" s="186"/>
      <c r="N283" s="186"/>
      <c r="O283" s="3">
        <v>1</v>
      </c>
    </row>
    <row r="284" spans="1:15" ht="21" customHeight="1">
      <c r="A284" s="186"/>
      <c r="B284" s="1831" t="s">
        <v>8689</v>
      </c>
      <c r="C284" s="186"/>
      <c r="D284" s="186"/>
      <c r="E284" s="186"/>
      <c r="F284" s="186"/>
      <c r="G284" s="186"/>
      <c r="H284" s="186"/>
      <c r="I284" s="186"/>
      <c r="J284" s="186"/>
      <c r="K284" s="186"/>
      <c r="L284" s="186"/>
      <c r="M284" s="186"/>
      <c r="N284" s="186"/>
      <c r="O284" s="3">
        <v>1</v>
      </c>
    </row>
    <row r="285" spans="1:15" ht="21" customHeight="1">
      <c r="A285" s="186"/>
      <c r="B285" s="2008" t="s">
        <v>8690</v>
      </c>
      <c r="C285" s="186"/>
      <c r="D285" s="186"/>
      <c r="E285" s="186"/>
      <c r="F285" s="186"/>
      <c r="G285" s="186"/>
      <c r="H285" s="186"/>
      <c r="I285" s="186"/>
      <c r="J285" s="186"/>
      <c r="K285" s="186"/>
      <c r="L285" s="186"/>
      <c r="M285" s="186"/>
      <c r="N285" s="186"/>
      <c r="O285" s="3">
        <v>1</v>
      </c>
    </row>
    <row r="286" spans="1:15" ht="21" customHeight="1">
      <c r="A286" s="186"/>
      <c r="B286" s="1831" t="s">
        <v>8691</v>
      </c>
      <c r="C286" s="186"/>
      <c r="D286" s="186"/>
      <c r="E286" s="186"/>
      <c r="F286" s="186"/>
      <c r="G286" s="186"/>
      <c r="H286" s="186"/>
      <c r="I286" s="186"/>
      <c r="J286" s="186"/>
      <c r="K286" s="186"/>
      <c r="L286" s="186"/>
      <c r="M286" s="186"/>
      <c r="N286" s="186"/>
      <c r="O286" s="3">
        <v>1</v>
      </c>
    </row>
    <row r="287" spans="1:15" ht="21" customHeight="1">
      <c r="A287" s="186"/>
      <c r="B287" s="414"/>
      <c r="C287" s="186"/>
      <c r="D287" s="186"/>
      <c r="E287" s="186"/>
      <c r="F287" s="186"/>
      <c r="G287" s="186"/>
      <c r="H287" s="186"/>
      <c r="I287" s="186"/>
      <c r="J287" s="186"/>
      <c r="K287" s="186"/>
      <c r="L287" s="186"/>
      <c r="M287" s="186"/>
      <c r="N287" s="186"/>
      <c r="O287" s="3">
        <v>1</v>
      </c>
    </row>
    <row r="288" spans="1:15" ht="21" customHeight="1">
      <c r="A288" s="186"/>
      <c r="B288" s="414" t="s">
        <v>8682</v>
      </c>
      <c r="C288" s="186"/>
      <c r="D288" s="186"/>
      <c r="E288" s="186"/>
      <c r="F288" s="186"/>
      <c r="G288" s="186"/>
      <c r="H288" s="186"/>
      <c r="I288" s="186"/>
      <c r="J288" s="186"/>
      <c r="K288" s="186"/>
      <c r="L288" s="186"/>
      <c r="M288" s="186"/>
      <c r="N288" s="186"/>
      <c r="O288" s="3">
        <v>1</v>
      </c>
    </row>
    <row r="289" spans="1:17" ht="21" customHeight="1">
      <c r="A289" s="186"/>
      <c r="B289" s="1831" t="s">
        <v>8692</v>
      </c>
      <c r="C289" s="186"/>
      <c r="D289" s="186"/>
      <c r="E289" s="186"/>
      <c r="F289" s="186"/>
      <c r="G289" s="186"/>
      <c r="H289" s="186"/>
      <c r="I289" s="186"/>
      <c r="J289" s="186"/>
      <c r="K289" s="186"/>
      <c r="L289" s="186"/>
      <c r="M289" s="186"/>
      <c r="N289" s="186"/>
      <c r="O289" s="3">
        <v>1</v>
      </c>
    </row>
    <row r="290" spans="1:17" ht="21" customHeight="1">
      <c r="A290" s="186"/>
      <c r="B290" s="1831" t="s">
        <v>8683</v>
      </c>
      <c r="C290" s="186"/>
      <c r="D290" s="186"/>
      <c r="E290" s="186"/>
      <c r="F290" s="186"/>
      <c r="G290" s="186"/>
      <c r="H290" s="186"/>
      <c r="I290" s="186"/>
      <c r="J290" s="186"/>
      <c r="K290" s="186"/>
      <c r="L290" s="186"/>
      <c r="M290" s="186"/>
      <c r="N290" s="186"/>
      <c r="O290" s="3">
        <v>1</v>
      </c>
    </row>
    <row r="291" spans="1:17" ht="21" customHeight="1">
      <c r="A291" s="186"/>
      <c r="B291" s="1831" t="s">
        <v>8684</v>
      </c>
      <c r="C291" s="186"/>
      <c r="D291" s="186"/>
      <c r="E291" s="186"/>
      <c r="F291" s="186"/>
      <c r="G291" s="186"/>
      <c r="H291" s="186"/>
      <c r="I291" s="186"/>
      <c r="J291" s="186"/>
      <c r="K291" s="186"/>
      <c r="L291" s="186"/>
      <c r="M291" s="186"/>
      <c r="N291" s="186"/>
      <c r="O291" s="3">
        <v>1</v>
      </c>
    </row>
    <row r="292" spans="1:17" ht="21" customHeight="1">
      <c r="A292" s="186"/>
      <c r="B292" s="414" t="s">
        <v>8685</v>
      </c>
      <c r="C292" s="186"/>
      <c r="D292" s="186"/>
      <c r="E292" s="186"/>
      <c r="F292" s="186"/>
      <c r="G292" s="186"/>
      <c r="H292" s="186"/>
      <c r="I292" s="186"/>
      <c r="J292" s="186"/>
      <c r="K292" s="186"/>
      <c r="L292" s="186"/>
      <c r="M292" s="186"/>
      <c r="N292" s="186"/>
      <c r="O292" s="3">
        <v>1</v>
      </c>
    </row>
    <row r="293" spans="1:17" ht="21" customHeight="1">
      <c r="A293" s="186"/>
      <c r="B293" s="414"/>
      <c r="C293" s="186"/>
      <c r="D293" s="186"/>
      <c r="E293" s="186"/>
      <c r="F293" s="186"/>
      <c r="G293" s="186"/>
      <c r="H293" s="186"/>
      <c r="I293" s="186"/>
      <c r="J293" s="186"/>
      <c r="K293" s="186"/>
      <c r="L293" s="186"/>
      <c r="M293" s="186"/>
      <c r="N293" s="186"/>
      <c r="O293" s="1148" t="s">
        <v>793</v>
      </c>
    </row>
    <row r="294" spans="1:17">
      <c r="A294" s="3">
        <v>1</v>
      </c>
      <c r="B294" s="3">
        <v>1</v>
      </c>
      <c r="C294" s="3">
        <v>1</v>
      </c>
      <c r="D294" s="3">
        <v>1</v>
      </c>
      <c r="E294" s="3">
        <v>1</v>
      </c>
      <c r="F294" s="3">
        <v>1</v>
      </c>
      <c r="G294" s="3">
        <v>1</v>
      </c>
      <c r="H294" s="3">
        <v>1</v>
      </c>
      <c r="I294" s="3">
        <v>1</v>
      </c>
      <c r="J294" s="3">
        <v>1</v>
      </c>
      <c r="K294" s="3">
        <v>1</v>
      </c>
      <c r="L294" s="3">
        <v>1</v>
      </c>
      <c r="M294" s="3">
        <v>1</v>
      </c>
      <c r="N294" s="3">
        <v>1</v>
      </c>
      <c r="O294" s="1" t="str">
        <f>ADDRESS(ROW(),COLUMN(),4)</f>
        <v>O294</v>
      </c>
      <c r="P294" s="628"/>
      <c r="Q294" s="629" t="str">
        <f>ADDRESS(ROW(),COLUMN(),4)</f>
        <v>Q294</v>
      </c>
    </row>
  </sheetData>
  <mergeCells count="2">
    <mergeCell ref="B6:J7"/>
    <mergeCell ref="B8:J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DC212-D8A7-402D-9944-2FEDE429132E}">
  <dimension ref="A1:AG179"/>
  <sheetViews>
    <sheetView showZeros="0" zoomScaleNormal="100" workbookViewId="0">
      <selection activeCell="AC1" sqref="AC1:AG7"/>
    </sheetView>
  </sheetViews>
  <sheetFormatPr baseColWidth="10" defaultColWidth="11.42578125" defaultRowHeight="15"/>
  <cols>
    <col min="1" max="1" width="9.28515625" style="633" customWidth="1"/>
    <col min="2" max="2" width="15.7109375" style="633" customWidth="1"/>
    <col min="3" max="4" width="32.7109375" style="633" customWidth="1"/>
    <col min="5" max="5" width="12.85546875" style="633" customWidth="1"/>
    <col min="6" max="6" width="15.7109375" style="633" customWidth="1"/>
    <col min="7" max="8" width="32.7109375" style="633" customWidth="1"/>
    <col min="9" max="9" width="8.5703125" style="633" customWidth="1"/>
    <col min="10" max="10" width="15.7109375" style="633" customWidth="1"/>
    <col min="11" max="11" width="32.7109375" style="633" customWidth="1"/>
    <col min="12" max="12" width="32.7109375" style="627" customWidth="1"/>
    <col min="13" max="13" width="14.5703125" style="627" customWidth="1"/>
    <col min="14" max="32" width="11.42578125" style="633"/>
    <col min="33" max="33" width="61.7109375" style="633" customWidth="1"/>
    <col min="34" max="16384" width="11.42578125" style="633"/>
  </cols>
  <sheetData>
    <row r="1" spans="1:33" ht="15.75" thickTop="1">
      <c r="A1" s="1" t="str">
        <f>ADDRESS(ROW(),COLUMN(),4)</f>
        <v>A1</v>
      </c>
      <c r="B1" s="2" t="str">
        <f t="shared" ref="B1:AD1" si="0">SUBSTITUTE(ADDRESS(1,COLUMN(),4),"1","")</f>
        <v>B</v>
      </c>
      <c r="C1" s="2" t="str">
        <f t="shared" si="0"/>
        <v>C</v>
      </c>
      <c r="D1" s="2" t="str">
        <f t="shared" si="0"/>
        <v>D</v>
      </c>
      <c r="F1" s="2" t="str">
        <f t="shared" si="0"/>
        <v>F</v>
      </c>
      <c r="G1" s="2" t="str">
        <f t="shared" si="0"/>
        <v>G</v>
      </c>
      <c r="H1" s="2" t="str">
        <f t="shared" si="0"/>
        <v>H</v>
      </c>
      <c r="J1" s="2" t="str">
        <f t="shared" si="0"/>
        <v>J</v>
      </c>
      <c r="K1" s="2" t="str">
        <f t="shared" si="0"/>
        <v>K</v>
      </c>
      <c r="L1" s="2" t="str">
        <f t="shared" si="0"/>
        <v>L</v>
      </c>
      <c r="M1" s="229"/>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3">
        <v>1</v>
      </c>
      <c r="AF1" s="4" t="str">
        <f>SUBSTITUTE(ADDRESS(1,COLUMN(),4),"1","")</f>
        <v>AF</v>
      </c>
      <c r="AG1" s="5" t="str">
        <f>SUBSTITUTE(ADDRESS(1,COLUMN(),4),"1","")</f>
        <v>AG</v>
      </c>
    </row>
    <row r="2" spans="1:33">
      <c r="B2" s="694">
        <f t="shared" ref="B2:V2" ca="1" si="1">CELL("largeur",B2)</f>
        <v>15</v>
      </c>
      <c r="C2" s="694">
        <f t="shared" ca="1" si="1"/>
        <v>32</v>
      </c>
      <c r="D2" s="694">
        <f t="shared" ca="1" si="1"/>
        <v>32</v>
      </c>
      <c r="F2" s="694">
        <f t="shared" ca="1" si="1"/>
        <v>15</v>
      </c>
      <c r="G2" s="694">
        <f t="shared" ca="1" si="1"/>
        <v>32</v>
      </c>
      <c r="H2" s="694">
        <f t="shared" ca="1" si="1"/>
        <v>32</v>
      </c>
      <c r="J2" s="694">
        <f t="shared" ca="1" si="1"/>
        <v>15</v>
      </c>
      <c r="K2" s="694">
        <f t="shared" ca="1" si="1"/>
        <v>32</v>
      </c>
      <c r="L2" s="694">
        <f t="shared" ca="1" si="1"/>
        <v>32</v>
      </c>
      <c r="M2" s="229"/>
      <c r="N2" s="694">
        <f t="shared" ca="1" si="1"/>
        <v>11</v>
      </c>
      <c r="O2" s="694">
        <f t="shared" ca="1" si="1"/>
        <v>11</v>
      </c>
      <c r="P2" s="694">
        <f t="shared" ca="1" si="1"/>
        <v>11</v>
      </c>
      <c r="Q2" s="694">
        <f t="shared" ca="1" si="1"/>
        <v>11</v>
      </c>
      <c r="R2" s="694">
        <f t="shared" ca="1" si="1"/>
        <v>11</v>
      </c>
      <c r="S2" s="694">
        <f t="shared" ca="1" si="1"/>
        <v>11</v>
      </c>
      <c r="T2" s="694">
        <f t="shared" ca="1" si="1"/>
        <v>11</v>
      </c>
      <c r="U2" s="694">
        <f t="shared" ca="1" si="1"/>
        <v>11</v>
      </c>
      <c r="V2" s="694">
        <f t="shared" ca="1" si="1"/>
        <v>11</v>
      </c>
      <c r="W2" s="694">
        <f ca="1">CELL("largeur",W2)</f>
        <v>11</v>
      </c>
      <c r="X2" s="694">
        <f t="shared" ref="X2:AD2" ca="1" si="2">CELL("largeur",X2)</f>
        <v>11</v>
      </c>
      <c r="Y2" s="694">
        <f t="shared" ca="1" si="2"/>
        <v>11</v>
      </c>
      <c r="Z2" s="694">
        <f t="shared" ca="1" si="2"/>
        <v>11</v>
      </c>
      <c r="AA2" s="694">
        <f t="shared" ca="1" si="2"/>
        <v>11</v>
      </c>
      <c r="AB2" s="694">
        <f t="shared" ca="1" si="2"/>
        <v>11</v>
      </c>
      <c r="AC2" s="694">
        <f t="shared" ca="1" si="2"/>
        <v>11</v>
      </c>
      <c r="AD2" s="694">
        <f t="shared" ca="1" si="2"/>
        <v>11</v>
      </c>
      <c r="AE2" s="3">
        <v>1</v>
      </c>
      <c r="AF2" s="7" t="s">
        <v>3</v>
      </c>
      <c r="AG2" s="8"/>
    </row>
    <row r="3" spans="1:33" ht="19.5" thickBot="1">
      <c r="B3" s="1295">
        <v>15</v>
      </c>
      <c r="C3" s="1295">
        <v>32</v>
      </c>
      <c r="D3" s="1295">
        <v>32</v>
      </c>
      <c r="F3" s="1295">
        <v>15</v>
      </c>
      <c r="G3" s="1295">
        <v>32</v>
      </c>
      <c r="H3" s="1295">
        <v>32</v>
      </c>
      <c r="J3" s="1295">
        <v>15</v>
      </c>
      <c r="K3" s="1295">
        <v>32</v>
      </c>
      <c r="L3" s="1295">
        <v>32</v>
      </c>
      <c r="M3" s="229"/>
      <c r="N3" s="472"/>
      <c r="O3" s="472"/>
      <c r="P3" s="6453" t="str">
        <f ca="1">"Page "&amp;_xlfn.SHEET()&amp;" sur "&amp;_xlfn.SHEETS()</f>
        <v>Page 7 sur 27</v>
      </c>
      <c r="Q3" s="6453"/>
      <c r="R3" s="6453"/>
      <c r="S3" s="472"/>
      <c r="T3" s="472"/>
      <c r="U3" s="472"/>
      <c r="V3" s="472"/>
      <c r="W3" s="472"/>
      <c r="X3" s="472"/>
      <c r="Y3" s="472"/>
      <c r="Z3" s="472"/>
      <c r="AA3" s="472"/>
      <c r="AB3" s="705" t="s">
        <v>7756</v>
      </c>
      <c r="AC3" s="706" t="str">
        <f>$AE$179</f>
        <v>AE179</v>
      </c>
      <c r="AD3" s="472"/>
      <c r="AE3" s="3">
        <v>1</v>
      </c>
      <c r="AF3" s="10">
        <f ca="1">COUNTA(A1:AE179) + COUNTBLANK(A1:AE179)</f>
        <v>5549</v>
      </c>
      <c r="AG3" s="11" t="str">
        <f>"cellules entre -cells -celdas  "&amp;" " &amp;A1&amp;" et  "&amp;AE173</f>
        <v>cellules entre -cells -celdas   A1 et  1</v>
      </c>
    </row>
    <row r="4" spans="1:33" ht="16.5" thickBot="1">
      <c r="A4" s="472"/>
      <c r="M4" s="229"/>
      <c r="N4" s="472"/>
      <c r="O4" s="472"/>
      <c r="P4" s="472"/>
      <c r="Q4" s="472"/>
      <c r="R4" s="472"/>
      <c r="S4" s="472"/>
      <c r="T4" s="472"/>
      <c r="U4" s="472"/>
      <c r="V4" s="472"/>
      <c r="W4" s="472"/>
      <c r="X4" s="472"/>
      <c r="Y4" s="472"/>
      <c r="Z4" s="472"/>
      <c r="AA4" s="472"/>
      <c r="AB4" s="472"/>
      <c r="AC4" s="472"/>
      <c r="AD4" s="472"/>
      <c r="AE4" s="3">
        <v>1</v>
      </c>
      <c r="AF4" s="10">
        <f ca="1">COUNTA(A1:AE179)</f>
        <v>651</v>
      </c>
      <c r="AG4" s="11" t="s">
        <v>9</v>
      </c>
    </row>
    <row r="5" spans="1:33" ht="15" customHeight="1">
      <c r="A5" s="472"/>
      <c r="B5" s="6454" t="s">
        <v>7757</v>
      </c>
      <c r="C5" s="6455"/>
      <c r="D5" s="6456"/>
      <c r="E5"/>
      <c r="F5" s="6454" t="s">
        <v>7758</v>
      </c>
      <c r="G5" s="6455"/>
      <c r="H5" s="6456"/>
      <c r="I5"/>
      <c r="J5" s="6454" t="s">
        <v>7759</v>
      </c>
      <c r="K5" s="6455"/>
      <c r="L5" s="6456"/>
      <c r="M5" s="229"/>
      <c r="N5" s="6460" t="s">
        <v>7760</v>
      </c>
      <c r="O5" s="6460"/>
      <c r="P5" s="6460"/>
      <c r="Q5" s="6460"/>
      <c r="R5" s="6460"/>
      <c r="S5" s="472"/>
      <c r="T5" s="472"/>
      <c r="U5" s="472"/>
      <c r="V5" s="472"/>
      <c r="W5" s="472"/>
      <c r="X5" s="472"/>
      <c r="Y5" s="472"/>
      <c r="Z5" s="472"/>
      <c r="AA5" s="472"/>
      <c r="AB5" s="472"/>
      <c r="AC5" s="472"/>
      <c r="AD5" s="472"/>
      <c r="AE5" s="3">
        <v>1</v>
      </c>
      <c r="AF5" s="10">
        <f ca="1">COUNTBLANK(A1:AE179)</f>
        <v>4898</v>
      </c>
      <c r="AG5" s="11" t="s">
        <v>12</v>
      </c>
    </row>
    <row r="6" spans="1:33" ht="15" customHeight="1">
      <c r="A6" s="472"/>
      <c r="B6" s="6457"/>
      <c r="C6" s="6458"/>
      <c r="D6" s="6459"/>
      <c r="E6"/>
      <c r="F6" s="6457"/>
      <c r="G6" s="6458"/>
      <c r="H6" s="6459"/>
      <c r="I6"/>
      <c r="J6" s="6457"/>
      <c r="K6" s="6458"/>
      <c r="L6" s="6459"/>
      <c r="M6" s="229"/>
      <c r="N6" s="6460"/>
      <c r="O6" s="6460"/>
      <c r="P6" s="6460"/>
      <c r="Q6" s="6460"/>
      <c r="R6" s="6460"/>
      <c r="S6" s="472"/>
      <c r="T6" s="472"/>
      <c r="U6" s="472"/>
      <c r="V6" s="472"/>
      <c r="W6" s="472"/>
      <c r="X6" s="472"/>
      <c r="Y6" s="472"/>
      <c r="Z6" s="472"/>
      <c r="AA6" s="472"/>
      <c r="AB6" s="472"/>
      <c r="AC6" s="472"/>
      <c r="AD6" s="472"/>
      <c r="AE6" s="3">
        <v>1</v>
      </c>
      <c r="AF6" s="10">
        <f>SUM(AE1:AE177)+2</f>
        <v>179</v>
      </c>
      <c r="AG6" s="11" t="s">
        <v>14</v>
      </c>
    </row>
    <row r="7" spans="1:33" ht="15.75">
      <c r="A7" s="472"/>
      <c r="B7" s="1340"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7"/>
      <c r="D7"/>
      <c r="E7"/>
      <c r="F7" s="1343" t="str">
        <f>IF(ISNUMBER(IFERROR(VALUE("0,5"),"")),"On this computer, type a COMMA as the decimal separator",IF(ISNUMBER(IFERROR(VALUE("0.5"),"")),"On this computer, type a POINT as the decimal separator","Unable to determine the decimal separator"))</f>
        <v>On this computer, type a POINT as the decimal separator</v>
      </c>
      <c r="G7"/>
      <c r="H7"/>
      <c r="I7"/>
      <c r="J7" s="134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K7"/>
      <c r="L7"/>
      <c r="M7" s="229"/>
      <c r="N7" s="472"/>
      <c r="O7" s="472"/>
      <c r="P7" s="472"/>
      <c r="Q7" s="472"/>
      <c r="R7" s="472"/>
      <c r="S7" s="472"/>
      <c r="T7" s="472"/>
      <c r="U7" s="472"/>
      <c r="V7" s="472"/>
      <c r="W7" s="472"/>
      <c r="X7" s="472"/>
      <c r="Y7" s="472"/>
      <c r="Z7" s="472"/>
      <c r="AA7" s="472"/>
      <c r="AB7" s="472"/>
      <c r="AC7" s="472"/>
      <c r="AD7" s="472"/>
      <c r="AE7" s="3">
        <v>1</v>
      </c>
      <c r="AF7" s="10">
        <f>SUM(A179:AD179)+1</f>
        <v>31</v>
      </c>
      <c r="AG7" s="11" t="s">
        <v>17</v>
      </c>
    </row>
    <row r="8" spans="1:33">
      <c r="A8" s="472"/>
      <c r="B8"/>
      <c r="C8"/>
      <c r="D8"/>
      <c r="E8"/>
      <c r="F8"/>
      <c r="G8"/>
      <c r="H8"/>
      <c r="I8"/>
      <c r="J8"/>
      <c r="K8"/>
      <c r="L8"/>
      <c r="M8" s="229"/>
      <c r="N8" s="472"/>
      <c r="O8" s="472"/>
      <c r="P8" s="472"/>
      <c r="Q8" s="472"/>
      <c r="R8" s="472"/>
      <c r="S8" s="472"/>
      <c r="T8" s="472"/>
      <c r="U8" s="472"/>
      <c r="V8" s="472"/>
      <c r="W8" s="472"/>
      <c r="X8" s="472"/>
      <c r="Y8" s="472"/>
      <c r="Z8" s="472"/>
      <c r="AA8" s="472"/>
      <c r="AB8" s="472"/>
      <c r="AC8" s="472"/>
      <c r="AD8" s="472"/>
      <c r="AE8" s="3">
        <v>1</v>
      </c>
      <c r="AF8" s="627"/>
      <c r="AG8" s="627"/>
    </row>
    <row r="9" spans="1:33" ht="60.75" customHeight="1">
      <c r="A9" s="472"/>
      <c r="B9" s="6450" t="s">
        <v>7761</v>
      </c>
      <c r="C9" s="6451"/>
      <c r="D9" s="6452"/>
      <c r="E9" s="1296"/>
      <c r="F9" s="6450" t="s">
        <v>7762</v>
      </c>
      <c r="G9" s="6451"/>
      <c r="H9" s="6452"/>
      <c r="I9" s="1296"/>
      <c r="J9" s="6450" t="s">
        <v>1771</v>
      </c>
      <c r="K9" s="6451"/>
      <c r="L9" s="6452"/>
      <c r="M9" s="229"/>
      <c r="N9" s="1297" t="s">
        <v>7763</v>
      </c>
      <c r="O9" s="472"/>
      <c r="P9" s="472"/>
      <c r="Q9" s="472"/>
      <c r="R9" s="472"/>
      <c r="S9" s="472"/>
      <c r="T9" s="472"/>
      <c r="U9" s="472"/>
      <c r="V9" s="472"/>
      <c r="W9" s="472"/>
      <c r="X9" s="472"/>
      <c r="Y9" s="472"/>
      <c r="Z9" s="472"/>
      <c r="AA9" s="472"/>
      <c r="AB9" s="472"/>
      <c r="AC9" s="472"/>
      <c r="AD9" s="472"/>
      <c r="AE9" s="3">
        <v>1</v>
      </c>
      <c r="AF9" s="627"/>
      <c r="AG9" s="627"/>
    </row>
    <row r="10" spans="1:33" ht="21" customHeight="1">
      <c r="A10" s="472"/>
      <c r="B10" s="9"/>
      <c r="C10" s="9"/>
      <c r="D10" s="9"/>
      <c r="E10" s="9"/>
      <c r="F10" s="9"/>
      <c r="G10" s="9"/>
      <c r="H10" s="9"/>
      <c r="I10" s="9"/>
      <c r="J10" s="9"/>
      <c r="K10" s="9"/>
      <c r="L10" s="9"/>
      <c r="M10" s="229"/>
      <c r="N10" s="1298" t="s">
        <v>7764</v>
      </c>
      <c r="O10" s="472"/>
      <c r="P10" s="472"/>
      <c r="Q10" s="472"/>
      <c r="R10" s="472"/>
      <c r="S10" s="472"/>
      <c r="T10" s="472"/>
      <c r="U10" s="472"/>
      <c r="V10" s="472"/>
      <c r="W10" s="472"/>
      <c r="X10" s="472"/>
      <c r="Y10" s="472"/>
      <c r="Z10" s="472"/>
      <c r="AA10" s="472"/>
      <c r="AB10" s="472"/>
      <c r="AC10" s="472"/>
      <c r="AD10" s="472"/>
      <c r="AE10" s="3">
        <v>1</v>
      </c>
      <c r="AF10" s="627"/>
      <c r="AG10" s="627"/>
    </row>
    <row r="11" spans="1:33" ht="21" customHeight="1">
      <c r="A11" s="472"/>
      <c r="B11" s="5556" t="s">
        <v>14146</v>
      </c>
      <c r="C11" s="472"/>
      <c r="D11" s="472"/>
      <c r="E11" s="472"/>
      <c r="F11" s="5557" t="s">
        <v>14152</v>
      </c>
      <c r="G11" s="472"/>
      <c r="H11" s="472"/>
      <c r="I11" s="472"/>
      <c r="J11" s="5557" t="s">
        <v>14157</v>
      </c>
      <c r="K11" s="472"/>
      <c r="L11" s="229"/>
      <c r="M11" s="229"/>
      <c r="N11" s="472"/>
      <c r="O11" s="472"/>
      <c r="P11" s="472"/>
      <c r="Q11" s="472"/>
      <c r="R11" s="472"/>
      <c r="S11" s="472"/>
      <c r="T11" s="472"/>
      <c r="U11" s="472"/>
      <c r="V11" s="472"/>
      <c r="W11" s="472"/>
      <c r="X11" s="472"/>
      <c r="Y11" s="472"/>
      <c r="Z11" s="472"/>
      <c r="AA11" s="472"/>
      <c r="AB11" s="472"/>
      <c r="AC11" s="472"/>
      <c r="AD11" s="472"/>
      <c r="AE11" s="3">
        <v>1</v>
      </c>
    </row>
    <row r="12" spans="1:33" ht="21" customHeight="1">
      <c r="A12" s="472"/>
      <c r="B12" s="5557" t="s">
        <v>14147</v>
      </c>
      <c r="C12" s="472"/>
      <c r="D12" s="472"/>
      <c r="E12" s="472"/>
      <c r="F12" s="5557" t="s">
        <v>14153</v>
      </c>
      <c r="G12" s="472"/>
      <c r="H12" s="472"/>
      <c r="I12" s="472"/>
      <c r="J12" s="5557" t="s">
        <v>14158</v>
      </c>
      <c r="K12" s="472"/>
      <c r="L12" s="229"/>
      <c r="M12" s="229"/>
      <c r="N12" s="472"/>
      <c r="O12" s="472"/>
      <c r="P12" s="472"/>
      <c r="Q12" s="472"/>
      <c r="R12" s="472"/>
      <c r="S12" s="472"/>
      <c r="T12" s="472"/>
      <c r="U12" s="472"/>
      <c r="V12" s="472"/>
      <c r="W12" s="472"/>
      <c r="X12" s="472"/>
      <c r="Y12" s="472"/>
      <c r="Z12" s="472"/>
      <c r="AA12" s="472"/>
      <c r="AB12" s="472"/>
      <c r="AC12" s="472"/>
      <c r="AD12" s="472"/>
      <c r="AE12" s="3">
        <v>1</v>
      </c>
    </row>
    <row r="13" spans="1:33" ht="21" customHeight="1">
      <c r="A13" s="472"/>
      <c r="B13" s="5557" t="s">
        <v>14148</v>
      </c>
      <c r="C13" s="472"/>
      <c r="D13" s="472"/>
      <c r="E13" s="472"/>
      <c r="F13" s="5557" t="s">
        <v>14154</v>
      </c>
      <c r="G13" s="472"/>
      <c r="H13" s="472"/>
      <c r="I13" s="472"/>
      <c r="J13" s="5557" t="s">
        <v>14159</v>
      </c>
      <c r="K13" s="472"/>
      <c r="L13" s="229"/>
      <c r="M13" s="229"/>
      <c r="N13" s="472"/>
      <c r="O13" s="472"/>
      <c r="P13" s="472"/>
      <c r="Q13" s="472"/>
      <c r="R13" s="472"/>
      <c r="S13" s="472"/>
      <c r="T13" s="472"/>
      <c r="U13" s="472"/>
      <c r="V13" s="472"/>
      <c r="W13" s="472"/>
      <c r="X13" s="472"/>
      <c r="Y13" s="472"/>
      <c r="Z13" s="472"/>
      <c r="AA13" s="472"/>
      <c r="AB13" s="472"/>
      <c r="AC13" s="472"/>
      <c r="AD13" s="472"/>
      <c r="AE13" s="3">
        <v>1</v>
      </c>
    </row>
    <row r="14" spans="1:33" ht="21" customHeight="1">
      <c r="A14" s="472"/>
      <c r="B14" s="5557" t="s">
        <v>14149</v>
      </c>
      <c r="C14" s="472"/>
      <c r="D14" s="472"/>
      <c r="E14" s="472"/>
      <c r="F14" s="5557" t="s">
        <v>14155</v>
      </c>
      <c r="G14" s="472"/>
      <c r="H14" s="472"/>
      <c r="I14" s="472"/>
      <c r="J14" s="5557" t="s">
        <v>14160</v>
      </c>
      <c r="K14" s="472"/>
      <c r="L14" s="229"/>
      <c r="M14" s="229"/>
      <c r="N14" s="472"/>
      <c r="O14" s="472"/>
      <c r="P14" s="472"/>
      <c r="Q14" s="472"/>
      <c r="R14" s="472"/>
      <c r="S14" s="472"/>
      <c r="T14" s="472"/>
      <c r="U14" s="472"/>
      <c r="V14" s="472"/>
      <c r="W14" s="472"/>
      <c r="X14" s="472"/>
      <c r="Y14" s="472"/>
      <c r="Z14" s="472"/>
      <c r="AA14" s="472"/>
      <c r="AB14" s="472"/>
      <c r="AC14" s="472"/>
      <c r="AD14" s="472"/>
      <c r="AE14" s="3">
        <v>1</v>
      </c>
    </row>
    <row r="15" spans="1:33" ht="21" customHeight="1">
      <c r="A15" s="472"/>
      <c r="B15" s="5557" t="s">
        <v>14150</v>
      </c>
      <c r="C15" s="472"/>
      <c r="D15" s="472"/>
      <c r="E15" s="472"/>
      <c r="F15" s="5557" t="s">
        <v>14156</v>
      </c>
      <c r="G15" s="472"/>
      <c r="H15" s="472"/>
      <c r="I15" s="472"/>
      <c r="J15" s="5557" t="s">
        <v>14161</v>
      </c>
      <c r="K15" s="472"/>
      <c r="L15" s="229"/>
      <c r="M15" s="229"/>
      <c r="N15" s="472"/>
      <c r="O15" s="472"/>
      <c r="P15" s="472"/>
      <c r="Q15" s="472"/>
      <c r="R15" s="472"/>
      <c r="S15" s="472"/>
      <c r="T15" s="472"/>
      <c r="U15" s="472"/>
      <c r="V15" s="472"/>
      <c r="W15" s="472"/>
      <c r="X15" s="472"/>
      <c r="Y15" s="472"/>
      <c r="Z15" s="472"/>
      <c r="AA15" s="472"/>
      <c r="AB15" s="472"/>
      <c r="AC15" s="472"/>
      <c r="AD15" s="472"/>
      <c r="AE15" s="3">
        <v>1</v>
      </c>
    </row>
    <row r="16" spans="1:33" ht="21" customHeight="1">
      <c r="A16" s="472"/>
      <c r="B16" s="5557" t="s">
        <v>14151</v>
      </c>
      <c r="C16" s="472"/>
      <c r="D16" s="472"/>
      <c r="E16" s="472"/>
      <c r="F16" s="472"/>
      <c r="G16" s="472"/>
      <c r="H16" s="472"/>
      <c r="I16" s="472"/>
      <c r="J16" s="5557" t="s">
        <v>14162</v>
      </c>
      <c r="K16" s="472"/>
      <c r="L16" s="229"/>
      <c r="M16" s="229"/>
      <c r="N16" s="472"/>
      <c r="O16" s="472"/>
      <c r="P16" s="472"/>
      <c r="Q16" s="472"/>
      <c r="R16" s="472"/>
      <c r="S16" s="472"/>
      <c r="T16" s="472"/>
      <c r="U16" s="472"/>
      <c r="V16" s="472"/>
      <c r="W16" s="472"/>
      <c r="X16" s="472"/>
      <c r="Y16" s="472"/>
      <c r="Z16" s="472"/>
      <c r="AA16" s="472"/>
      <c r="AB16" s="472"/>
      <c r="AC16" s="472"/>
      <c r="AD16" s="472"/>
      <c r="AE16" s="3">
        <v>1</v>
      </c>
    </row>
    <row r="17" spans="1:33" ht="21" customHeight="1">
      <c r="A17" s="472"/>
      <c r="B17" s="9"/>
      <c r="C17" s="9"/>
      <c r="D17" s="9"/>
      <c r="E17" s="9"/>
      <c r="F17" s="9"/>
      <c r="G17" s="9"/>
      <c r="H17" s="9"/>
      <c r="I17" s="9"/>
      <c r="J17" s="9"/>
      <c r="K17" s="9"/>
      <c r="L17" s="9"/>
      <c r="M17" s="229"/>
      <c r="N17" s="1298"/>
      <c r="O17" s="472"/>
      <c r="P17" s="472"/>
      <c r="Q17" s="472"/>
      <c r="R17" s="472"/>
      <c r="S17" s="472"/>
      <c r="T17" s="472"/>
      <c r="U17" s="472"/>
      <c r="V17" s="472"/>
      <c r="W17" s="472"/>
      <c r="X17" s="472"/>
      <c r="Y17" s="472"/>
      <c r="Z17" s="472"/>
      <c r="AA17" s="472"/>
      <c r="AB17" s="472"/>
      <c r="AC17" s="472"/>
      <c r="AD17" s="472"/>
      <c r="AE17" s="3">
        <v>1</v>
      </c>
      <c r="AF17" s="627"/>
      <c r="AG17" s="627"/>
    </row>
    <row r="18" spans="1:33" ht="21" customHeight="1">
      <c r="A18" s="472"/>
      <c r="B18" s="1299" t="s">
        <v>7765</v>
      </c>
      <c r="C18" s="9"/>
      <c r="D18" s="9"/>
      <c r="E18" s="9"/>
      <c r="F18" s="1299" t="s">
        <v>7766</v>
      </c>
      <c r="G18" s="9"/>
      <c r="H18" s="9"/>
      <c r="I18" s="9"/>
      <c r="J18" s="1299" t="s">
        <v>7767</v>
      </c>
      <c r="K18" s="9"/>
      <c r="L18" s="9"/>
      <c r="M18" s="229"/>
      <c r="N18" s="472"/>
      <c r="O18" s="472"/>
      <c r="P18" s="472"/>
      <c r="Q18" s="472"/>
      <c r="R18" s="472"/>
      <c r="S18" s="472"/>
      <c r="T18" s="472"/>
      <c r="U18" s="472"/>
      <c r="V18" s="472"/>
      <c r="W18" s="472"/>
      <c r="X18" s="472"/>
      <c r="Y18" s="472"/>
      <c r="Z18" s="472"/>
      <c r="AA18" s="472"/>
      <c r="AB18" s="472"/>
      <c r="AC18" s="472"/>
      <c r="AD18" s="472"/>
      <c r="AE18" s="3">
        <v>1</v>
      </c>
      <c r="AF18" s="627"/>
      <c r="AG18" s="627"/>
    </row>
    <row r="19" spans="1:33" ht="21" customHeight="1">
      <c r="A19" s="472"/>
      <c r="B19" s="9"/>
      <c r="C19" s="9"/>
      <c r="D19" s="9"/>
      <c r="E19" s="9"/>
      <c r="F19" s="9"/>
      <c r="G19" s="9"/>
      <c r="H19" s="9"/>
      <c r="I19" s="9"/>
      <c r="J19" s="9"/>
      <c r="K19" s="9"/>
      <c r="L19" s="9"/>
      <c r="M19" s="229"/>
      <c r="N19" s="472"/>
      <c r="O19" s="472"/>
      <c r="P19" s="472"/>
      <c r="Q19" s="472"/>
      <c r="R19" s="472"/>
      <c r="S19" s="472"/>
      <c r="T19" s="472"/>
      <c r="U19" s="472"/>
      <c r="V19" s="472"/>
      <c r="W19" s="472"/>
      <c r="X19" s="472"/>
      <c r="Y19" s="472"/>
      <c r="Z19" s="472"/>
      <c r="AA19" s="472"/>
      <c r="AB19" s="472"/>
      <c r="AC19" s="472"/>
      <c r="AD19" s="472"/>
      <c r="AE19" s="3">
        <v>1</v>
      </c>
      <c r="AF19" s="627"/>
      <c r="AG19" s="627"/>
    </row>
    <row r="20" spans="1:33" ht="18.75">
      <c r="A20" s="472"/>
      <c r="B20" s="1300" t="s">
        <v>7768</v>
      </c>
      <c r="C20" s="9"/>
      <c r="D20" s="9"/>
      <c r="E20" s="9"/>
      <c r="F20" s="1300" t="s">
        <v>7769</v>
      </c>
      <c r="G20" s="9"/>
      <c r="H20" s="9"/>
      <c r="I20" s="9"/>
      <c r="J20" s="1300" t="s">
        <v>7770</v>
      </c>
      <c r="K20" s="9"/>
      <c r="L20" s="9"/>
      <c r="M20" s="229"/>
      <c r="N20" s="472"/>
      <c r="O20" s="472"/>
      <c r="P20" s="472"/>
      <c r="Q20" s="472"/>
      <c r="R20" s="472"/>
      <c r="S20" s="472"/>
      <c r="T20" s="472"/>
      <c r="U20" s="472"/>
      <c r="V20" s="472"/>
      <c r="W20" s="472"/>
      <c r="X20" s="472"/>
      <c r="Y20" s="472"/>
      <c r="Z20" s="472"/>
      <c r="AA20" s="472"/>
      <c r="AB20" s="472"/>
      <c r="AC20" s="472"/>
      <c r="AD20" s="472"/>
      <c r="AE20" s="3">
        <v>1</v>
      </c>
      <c r="AF20" s="627"/>
      <c r="AG20" s="627"/>
    </row>
    <row r="21" spans="1:33">
      <c r="A21" s="472"/>
      <c r="B21" s="9"/>
      <c r="C21" s="9"/>
      <c r="D21" s="9"/>
      <c r="E21" s="9"/>
      <c r="F21" s="9"/>
      <c r="G21" s="9"/>
      <c r="H21" s="9"/>
      <c r="I21" s="9"/>
      <c r="J21" s="9"/>
      <c r="K21" s="9"/>
      <c r="L21" s="9"/>
      <c r="M21" s="229"/>
      <c r="N21" s="472"/>
      <c r="O21" s="472"/>
      <c r="P21" s="472"/>
      <c r="Q21" s="472"/>
      <c r="R21" s="472"/>
      <c r="S21" s="472"/>
      <c r="T21" s="472"/>
      <c r="U21" s="472"/>
      <c r="V21" s="472"/>
      <c r="W21" s="472"/>
      <c r="X21" s="472"/>
      <c r="Y21" s="472"/>
      <c r="Z21" s="472"/>
      <c r="AA21" s="472"/>
      <c r="AB21" s="472"/>
      <c r="AC21" s="472"/>
      <c r="AD21" s="472"/>
      <c r="AE21" s="3">
        <v>1</v>
      </c>
    </row>
    <row r="22" spans="1:33">
      <c r="A22" s="472"/>
      <c r="B22" s="9" t="s">
        <v>7771</v>
      </c>
      <c r="C22" s="9"/>
      <c r="D22" s="9"/>
      <c r="E22" s="9"/>
      <c r="F22" s="9" t="s">
        <v>7772</v>
      </c>
      <c r="G22" s="9"/>
      <c r="H22" s="9"/>
      <c r="I22" s="9"/>
      <c r="J22" s="9" t="s">
        <v>7773</v>
      </c>
      <c r="K22" s="9"/>
      <c r="L22" s="9"/>
      <c r="M22" s="229"/>
      <c r="N22" s="472"/>
      <c r="O22" s="472"/>
      <c r="P22" s="472"/>
      <c r="Q22" s="472"/>
      <c r="R22" s="472"/>
      <c r="S22" s="472"/>
      <c r="T22" s="472"/>
      <c r="U22" s="472"/>
      <c r="V22" s="472"/>
      <c r="W22" s="472"/>
      <c r="X22" s="472"/>
      <c r="Y22" s="472"/>
      <c r="Z22" s="472"/>
      <c r="AA22" s="472"/>
      <c r="AB22" s="472"/>
      <c r="AC22" s="472"/>
      <c r="AD22" s="472"/>
      <c r="AE22" s="3">
        <v>1</v>
      </c>
    </row>
    <row r="23" spans="1:33">
      <c r="A23" s="472"/>
      <c r="B23" s="1301" t="s">
        <v>7774</v>
      </c>
      <c r="C23" s="9"/>
      <c r="D23" s="9"/>
      <c r="E23" s="9"/>
      <c r="F23" s="1301" t="s">
        <v>7775</v>
      </c>
      <c r="G23" s="9"/>
      <c r="H23" s="9"/>
      <c r="I23" s="9"/>
      <c r="J23" s="1301" t="s">
        <v>7776</v>
      </c>
      <c r="K23" s="9"/>
      <c r="L23" s="9"/>
      <c r="M23" s="229"/>
      <c r="N23" s="472"/>
      <c r="O23" s="472"/>
      <c r="P23" s="472"/>
      <c r="Q23" s="472"/>
      <c r="R23" s="472"/>
      <c r="S23" s="472"/>
      <c r="T23" s="472"/>
      <c r="U23" s="472"/>
      <c r="V23" s="472"/>
      <c r="W23" s="472"/>
      <c r="X23" s="472"/>
      <c r="Y23" s="472"/>
      <c r="Z23" s="472"/>
      <c r="AA23" s="472"/>
      <c r="AB23" s="472"/>
      <c r="AC23" s="472"/>
      <c r="AD23" s="472"/>
      <c r="AE23" s="3">
        <v>1</v>
      </c>
    </row>
    <row r="24" spans="1:33">
      <c r="A24" s="472"/>
      <c r="B24" s="1301"/>
      <c r="C24" s="9"/>
      <c r="D24" s="9"/>
      <c r="E24" s="9"/>
      <c r="F24" s="1301"/>
      <c r="G24" s="9"/>
      <c r="H24" s="9"/>
      <c r="I24" s="9"/>
      <c r="J24" s="1301"/>
      <c r="K24" s="9"/>
      <c r="L24" s="9"/>
      <c r="M24" s="229"/>
      <c r="N24" s="472"/>
      <c r="O24" s="472"/>
      <c r="P24" s="472"/>
      <c r="Q24" s="472"/>
      <c r="R24" s="472"/>
      <c r="S24" s="472"/>
      <c r="T24" s="472"/>
      <c r="U24" s="472"/>
      <c r="V24" s="472"/>
      <c r="W24" s="472"/>
      <c r="X24" s="472"/>
      <c r="Y24" s="472"/>
      <c r="Z24" s="472"/>
      <c r="AA24" s="472"/>
      <c r="AB24" s="472"/>
      <c r="AC24" s="472"/>
      <c r="AD24" s="472"/>
      <c r="AE24" s="3">
        <v>1</v>
      </c>
    </row>
    <row r="25" spans="1:33">
      <c r="A25" s="472"/>
      <c r="B25" s="1301" t="s">
        <v>7777</v>
      </c>
      <c r="C25" s="9"/>
      <c r="D25" s="9"/>
      <c r="E25" s="9"/>
      <c r="F25" s="1301" t="s">
        <v>7778</v>
      </c>
      <c r="G25" s="9"/>
      <c r="H25" s="9"/>
      <c r="I25" s="9"/>
      <c r="J25" s="1301" t="s">
        <v>7779</v>
      </c>
      <c r="K25" s="9"/>
      <c r="L25" s="9"/>
      <c r="M25" s="229"/>
      <c r="N25" s="472"/>
      <c r="O25" s="472"/>
      <c r="P25" s="472"/>
      <c r="Q25" s="472"/>
      <c r="R25" s="472"/>
      <c r="S25" s="472"/>
      <c r="T25" s="472"/>
      <c r="U25" s="472"/>
      <c r="V25" s="472"/>
      <c r="W25" s="472"/>
      <c r="X25" s="472"/>
      <c r="Y25" s="472"/>
      <c r="Z25" s="472"/>
      <c r="AA25" s="472"/>
      <c r="AB25" s="472"/>
      <c r="AC25" s="472"/>
      <c r="AD25" s="472"/>
      <c r="AE25" s="3">
        <v>1</v>
      </c>
    </row>
    <row r="26" spans="1:33">
      <c r="A26" s="472"/>
      <c r="B26" s="9" t="s">
        <v>7780</v>
      </c>
      <c r="C26" s="9"/>
      <c r="D26" s="9"/>
      <c r="E26" s="9"/>
      <c r="F26" s="9" t="s">
        <v>7781</v>
      </c>
      <c r="G26" s="9"/>
      <c r="H26" s="9"/>
      <c r="I26" s="9"/>
      <c r="J26" s="9" t="s">
        <v>7782</v>
      </c>
      <c r="K26" s="9"/>
      <c r="L26" s="9"/>
      <c r="M26" s="229"/>
      <c r="N26" s="472"/>
      <c r="O26" s="472"/>
      <c r="P26" s="472"/>
      <c r="Q26" s="472"/>
      <c r="R26" s="472"/>
      <c r="S26" s="472"/>
      <c r="T26" s="472"/>
      <c r="U26" s="472"/>
      <c r="V26" s="472"/>
      <c r="W26" s="472"/>
      <c r="X26" s="472"/>
      <c r="Y26" s="472"/>
      <c r="Z26" s="472"/>
      <c r="AA26" s="472"/>
      <c r="AB26" s="472"/>
      <c r="AC26" s="472"/>
      <c r="AD26" s="472"/>
      <c r="AE26" s="3">
        <v>1</v>
      </c>
    </row>
    <row r="27" spans="1:33">
      <c r="A27" s="472"/>
      <c r="B27" s="9"/>
      <c r="C27" s="9"/>
      <c r="D27" s="9"/>
      <c r="E27" s="9"/>
      <c r="F27" s="9"/>
      <c r="G27" s="9"/>
      <c r="H27" s="9"/>
      <c r="I27" s="9"/>
      <c r="J27" s="9"/>
      <c r="K27" s="9"/>
      <c r="L27" s="9"/>
      <c r="M27" s="229"/>
      <c r="N27" s="472"/>
      <c r="O27" s="472"/>
      <c r="P27" s="472"/>
      <c r="Q27" s="472"/>
      <c r="R27" s="472"/>
      <c r="S27" s="472"/>
      <c r="T27" s="472"/>
      <c r="U27" s="472"/>
      <c r="V27" s="472"/>
      <c r="W27" s="472"/>
      <c r="X27" s="472"/>
      <c r="Y27" s="472"/>
      <c r="Z27" s="472"/>
      <c r="AA27" s="472"/>
      <c r="AB27" s="472"/>
      <c r="AC27" s="472"/>
      <c r="AD27" s="472"/>
      <c r="AE27" s="3">
        <v>1</v>
      </c>
    </row>
    <row r="28" spans="1:33" ht="18.75">
      <c r="A28" s="472"/>
      <c r="B28" s="1300" t="s">
        <v>7783</v>
      </c>
      <c r="C28" s="9"/>
      <c r="D28" s="9"/>
      <c r="E28" s="9"/>
      <c r="F28" s="1300" t="s">
        <v>7784</v>
      </c>
      <c r="G28" s="9"/>
      <c r="H28" s="9"/>
      <c r="I28" s="9"/>
      <c r="J28" s="1300" t="s">
        <v>7785</v>
      </c>
      <c r="K28" s="9"/>
      <c r="L28" s="9"/>
      <c r="M28" s="229"/>
      <c r="N28" s="472"/>
      <c r="O28" s="472"/>
      <c r="P28" s="472"/>
      <c r="Q28" s="472"/>
      <c r="R28" s="472"/>
      <c r="S28" s="472"/>
      <c r="T28" s="472"/>
      <c r="U28" s="472"/>
      <c r="V28" s="472"/>
      <c r="W28" s="472"/>
      <c r="X28" s="472"/>
      <c r="Y28" s="472"/>
      <c r="Z28" s="472"/>
      <c r="AA28" s="472"/>
      <c r="AB28" s="472"/>
      <c r="AC28" s="472"/>
      <c r="AD28" s="472"/>
      <c r="AE28" s="3">
        <v>1</v>
      </c>
    </row>
    <row r="29" spans="1:33">
      <c r="A29" s="472"/>
      <c r="B29" s="9"/>
      <c r="C29" s="9"/>
      <c r="D29" s="9"/>
      <c r="E29" s="9"/>
      <c r="F29" s="9"/>
      <c r="G29" s="9"/>
      <c r="H29" s="9"/>
      <c r="I29" s="9"/>
      <c r="J29" s="9"/>
      <c r="K29" s="9"/>
      <c r="L29" s="9"/>
      <c r="M29" s="229"/>
      <c r="N29" s="9" t="s">
        <v>7786</v>
      </c>
      <c r="O29" s="472"/>
      <c r="P29" s="472"/>
      <c r="Q29" s="472"/>
      <c r="R29" s="472"/>
      <c r="S29" s="472"/>
      <c r="T29" s="472"/>
      <c r="U29" s="472"/>
      <c r="V29" s="472"/>
      <c r="W29" s="472"/>
      <c r="X29" s="472"/>
      <c r="Y29" s="472"/>
      <c r="Z29" s="472"/>
      <c r="AA29" s="472"/>
      <c r="AB29" s="472"/>
      <c r="AC29" s="472"/>
      <c r="AD29" s="472"/>
      <c r="AE29" s="3">
        <v>1</v>
      </c>
    </row>
    <row r="30" spans="1:33" ht="18">
      <c r="A30" s="472"/>
      <c r="B30" s="1302" t="s">
        <v>7787</v>
      </c>
      <c r="C30" s="9"/>
      <c r="D30" s="9"/>
      <c r="E30" s="9"/>
      <c r="F30" s="1302" t="s">
        <v>7788</v>
      </c>
      <c r="G30" s="9"/>
      <c r="H30" s="9"/>
      <c r="I30" s="9"/>
      <c r="J30" s="1302" t="s">
        <v>7789</v>
      </c>
      <c r="K30" s="9"/>
      <c r="L30" s="9"/>
      <c r="M30" s="229"/>
      <c r="N30" s="9" t="s">
        <v>7790</v>
      </c>
      <c r="O30" s="472"/>
      <c r="P30" s="472"/>
      <c r="Q30" s="472"/>
      <c r="R30" s="472"/>
      <c r="S30" s="472"/>
      <c r="T30" s="472"/>
      <c r="U30" s="472"/>
      <c r="V30" s="472"/>
      <c r="W30" s="472"/>
      <c r="X30" s="472"/>
      <c r="Y30" s="472"/>
      <c r="Z30" s="472"/>
      <c r="AA30" s="472"/>
      <c r="AB30" s="472"/>
      <c r="AC30" s="472"/>
      <c r="AD30" s="472"/>
      <c r="AE30" s="3">
        <v>1</v>
      </c>
    </row>
    <row r="31" spans="1:33">
      <c r="A31" s="472"/>
      <c r="B31" s="1301" t="s">
        <v>7791</v>
      </c>
      <c r="C31" s="9"/>
      <c r="D31" s="9"/>
      <c r="E31" s="9"/>
      <c r="F31" s="878" t="s">
        <v>7792</v>
      </c>
      <c r="G31" s="9"/>
      <c r="H31" s="9"/>
      <c r="I31" s="9"/>
      <c r="J31" s="878" t="s">
        <v>7793</v>
      </c>
      <c r="K31" s="9"/>
      <c r="L31" s="9"/>
      <c r="M31" s="229"/>
      <c r="N31" s="472"/>
      <c r="O31" s="472"/>
      <c r="P31" s="472"/>
      <c r="Q31" s="472"/>
      <c r="R31" s="472"/>
      <c r="S31" s="472"/>
      <c r="T31" s="472"/>
      <c r="U31" s="472"/>
      <c r="V31" s="472"/>
      <c r="W31" s="472"/>
      <c r="X31" s="472"/>
      <c r="Y31" s="472"/>
      <c r="Z31" s="472"/>
      <c r="AA31" s="472"/>
      <c r="AB31" s="472"/>
      <c r="AC31" s="472"/>
      <c r="AD31" s="472"/>
      <c r="AE31" s="3">
        <v>1</v>
      </c>
    </row>
    <row r="32" spans="1:33">
      <c r="A32" s="472"/>
      <c r="B32" s="1301" t="s">
        <v>7794</v>
      </c>
      <c r="C32" s="9"/>
      <c r="D32" s="9"/>
      <c r="E32" s="9"/>
      <c r="F32" s="878" t="s">
        <v>7795</v>
      </c>
      <c r="G32" s="9"/>
      <c r="H32" s="9"/>
      <c r="I32" s="9"/>
      <c r="J32" s="878" t="s">
        <v>7796</v>
      </c>
      <c r="K32" s="9"/>
      <c r="L32" s="9"/>
      <c r="M32" s="229"/>
      <c r="N32" s="472"/>
      <c r="O32" s="472"/>
      <c r="P32" s="472"/>
      <c r="Q32" s="472"/>
      <c r="R32" s="472"/>
      <c r="S32" s="472"/>
      <c r="T32" s="472"/>
      <c r="U32" s="472"/>
      <c r="V32" s="472"/>
      <c r="W32" s="472"/>
      <c r="X32" s="472"/>
      <c r="Y32" s="472"/>
      <c r="Z32" s="472"/>
      <c r="AA32" s="472"/>
      <c r="AB32" s="472"/>
      <c r="AC32" s="472"/>
      <c r="AD32" s="472"/>
      <c r="AE32" s="3">
        <v>1</v>
      </c>
    </row>
    <row r="33" spans="1:31">
      <c r="A33" s="472"/>
      <c r="B33" s="1301" t="s">
        <v>7797</v>
      </c>
      <c r="C33" s="9"/>
      <c r="D33" s="9"/>
      <c r="E33" s="9"/>
      <c r="F33" s="878" t="s">
        <v>7798</v>
      </c>
      <c r="G33" s="9"/>
      <c r="H33" s="9"/>
      <c r="I33" s="9"/>
      <c r="J33" s="878" t="s">
        <v>7799</v>
      </c>
      <c r="K33" s="9"/>
      <c r="L33" s="9"/>
      <c r="M33" s="229"/>
      <c r="N33" s="472"/>
      <c r="O33" s="472"/>
      <c r="P33" s="472"/>
      <c r="Q33" s="472"/>
      <c r="R33" s="472"/>
      <c r="S33" s="472"/>
      <c r="T33" s="472"/>
      <c r="U33" s="472"/>
      <c r="V33" s="472"/>
      <c r="W33" s="472"/>
      <c r="X33" s="472"/>
      <c r="Y33" s="472"/>
      <c r="Z33" s="472"/>
      <c r="AA33" s="472"/>
      <c r="AB33" s="472"/>
      <c r="AC33" s="472"/>
      <c r="AD33" s="472"/>
      <c r="AE33" s="3">
        <v>1</v>
      </c>
    </row>
    <row r="34" spans="1:31">
      <c r="A34" s="472"/>
      <c r="B34" s="1301" t="s">
        <v>7800</v>
      </c>
      <c r="C34" s="9"/>
      <c r="D34" s="9"/>
      <c r="E34" s="9"/>
      <c r="F34" s="9" t="s">
        <v>7801</v>
      </c>
      <c r="G34" s="9"/>
      <c r="H34" s="9"/>
      <c r="I34" s="9"/>
      <c r="J34" s="9" t="s">
        <v>7802</v>
      </c>
      <c r="K34" s="9"/>
      <c r="L34" s="9"/>
      <c r="M34" s="229"/>
      <c r="N34" s="472"/>
      <c r="O34" s="472"/>
      <c r="P34" s="472"/>
      <c r="Q34" s="472"/>
      <c r="R34" s="472"/>
      <c r="S34" s="472"/>
      <c r="T34" s="472"/>
      <c r="U34" s="472"/>
      <c r="V34" s="472"/>
      <c r="W34" s="472"/>
      <c r="X34" s="472"/>
      <c r="Y34" s="472"/>
      <c r="Z34" s="472"/>
      <c r="AA34" s="472"/>
      <c r="AB34" s="472"/>
      <c r="AC34" s="472"/>
      <c r="AD34" s="472"/>
      <c r="AE34" s="3">
        <v>1</v>
      </c>
    </row>
    <row r="35" spans="1:31">
      <c r="A35" s="472"/>
      <c r="B35" s="9"/>
      <c r="C35" s="9"/>
      <c r="D35" s="9"/>
      <c r="E35" s="9"/>
      <c r="F35" s="9"/>
      <c r="G35" s="9"/>
      <c r="H35" s="9"/>
      <c r="I35" s="9"/>
      <c r="J35" s="9"/>
      <c r="K35" s="9"/>
      <c r="L35" s="9"/>
      <c r="M35" s="229"/>
      <c r="N35" s="472"/>
      <c r="O35" s="472"/>
      <c r="P35" s="472"/>
      <c r="Q35" s="472"/>
      <c r="R35" s="472"/>
      <c r="S35" s="472"/>
      <c r="T35" s="472"/>
      <c r="U35" s="472"/>
      <c r="V35" s="472"/>
      <c r="W35" s="472"/>
      <c r="X35" s="472"/>
      <c r="Y35" s="472"/>
      <c r="Z35" s="472"/>
      <c r="AA35" s="472"/>
      <c r="AB35" s="472"/>
      <c r="AC35" s="472"/>
      <c r="AD35" s="472"/>
      <c r="AE35" s="3">
        <v>1</v>
      </c>
    </row>
    <row r="36" spans="1:31" ht="18">
      <c r="A36" s="472"/>
      <c r="B36" s="1302" t="s">
        <v>7803</v>
      </c>
      <c r="C36" s="9"/>
      <c r="D36" s="9"/>
      <c r="E36" s="9"/>
      <c r="F36" s="1302" t="s">
        <v>7804</v>
      </c>
      <c r="G36" s="9"/>
      <c r="H36" s="9"/>
      <c r="I36" s="9"/>
      <c r="J36" s="1302" t="s">
        <v>7805</v>
      </c>
      <c r="K36" s="9"/>
      <c r="L36" s="9"/>
      <c r="M36" s="229"/>
      <c r="N36" s="1303" t="s">
        <v>838</v>
      </c>
      <c r="O36" s="1303"/>
      <c r="P36" s="1303"/>
      <c r="Q36" s="1303"/>
      <c r="R36" s="1303"/>
      <c r="S36" s="1303"/>
      <c r="T36" s="1303"/>
      <c r="U36" s="1304"/>
      <c r="V36" s="472"/>
      <c r="W36" s="472"/>
      <c r="X36" s="472"/>
      <c r="Y36" s="472"/>
      <c r="Z36" s="472"/>
      <c r="AA36" s="472"/>
      <c r="AB36" s="472"/>
      <c r="AC36" s="472"/>
      <c r="AD36" s="472"/>
      <c r="AE36" s="3">
        <v>1</v>
      </c>
    </row>
    <row r="37" spans="1:31">
      <c r="A37" s="472"/>
      <c r="B37" s="1301"/>
      <c r="C37" s="9"/>
      <c r="D37" s="9"/>
      <c r="E37" s="9"/>
      <c r="F37" s="9"/>
      <c r="G37" s="9"/>
      <c r="H37" s="9"/>
      <c r="I37" s="9"/>
      <c r="J37" s="9"/>
      <c r="K37" s="9"/>
      <c r="L37" s="9"/>
      <c r="M37" s="229"/>
      <c r="N37" s="1305" t="s">
        <v>7806</v>
      </c>
      <c r="O37" s="1305"/>
      <c r="P37" s="1305"/>
      <c r="Q37" s="1305"/>
      <c r="R37" s="1305"/>
      <c r="S37" s="1305"/>
      <c r="T37" s="1305"/>
      <c r="U37" s="9" t="s">
        <v>7807</v>
      </c>
      <c r="V37" s="472"/>
      <c r="W37" s="472"/>
      <c r="X37" s="472"/>
      <c r="Y37" s="472"/>
      <c r="Z37" s="472"/>
      <c r="AA37" s="472"/>
      <c r="AB37" s="472"/>
      <c r="AC37" s="472"/>
      <c r="AD37" s="472"/>
      <c r="AE37" s="3">
        <v>1</v>
      </c>
    </row>
    <row r="38" spans="1:31">
      <c r="A38" s="472"/>
      <c r="B38" s="1301" t="s">
        <v>7808</v>
      </c>
      <c r="C38" s="9"/>
      <c r="D38" s="9"/>
      <c r="E38" s="9"/>
      <c r="F38" s="878" t="s">
        <v>7809</v>
      </c>
      <c r="G38" s="9"/>
      <c r="H38" s="9"/>
      <c r="I38" s="9"/>
      <c r="J38" s="878" t="s">
        <v>7810</v>
      </c>
      <c r="K38" s="9"/>
      <c r="L38" s="9"/>
      <c r="M38" s="229"/>
      <c r="N38" s="1305" t="s">
        <v>7811</v>
      </c>
      <c r="O38" s="1305"/>
      <c r="P38" s="1305"/>
      <c r="Q38" s="1305"/>
      <c r="R38" s="1305"/>
      <c r="S38" s="1305"/>
      <c r="T38" s="1305"/>
      <c r="U38" s="9" t="s">
        <v>7812</v>
      </c>
      <c r="V38" s="472"/>
      <c r="W38" s="472"/>
      <c r="X38" s="472"/>
      <c r="Y38" s="472"/>
      <c r="Z38" s="472"/>
      <c r="AA38" s="472"/>
      <c r="AB38" s="472"/>
      <c r="AC38" s="472"/>
      <c r="AD38" s="472"/>
      <c r="AE38" s="3">
        <v>1</v>
      </c>
    </row>
    <row r="39" spans="1:31">
      <c r="A39" s="472"/>
      <c r="B39" s="1306" t="s">
        <v>7813</v>
      </c>
      <c r="C39" s="9"/>
      <c r="D39" s="9"/>
      <c r="E39" s="9"/>
      <c r="F39" s="1301" t="s">
        <v>7814</v>
      </c>
      <c r="G39" s="9"/>
      <c r="H39" s="9"/>
      <c r="I39" s="9"/>
      <c r="J39" s="1301" t="s">
        <v>7815</v>
      </c>
      <c r="K39" s="9"/>
      <c r="L39" s="9"/>
      <c r="M39" s="229"/>
      <c r="N39" s="1307" t="s">
        <v>839</v>
      </c>
      <c r="O39" s="1307"/>
      <c r="P39" s="1307"/>
      <c r="Q39" s="1307"/>
      <c r="R39" s="1307"/>
      <c r="S39" s="1307"/>
      <c r="T39" s="1307"/>
      <c r="U39" s="472"/>
      <c r="V39" s="472"/>
      <c r="W39" s="472"/>
      <c r="X39" s="472"/>
      <c r="Y39" s="472"/>
      <c r="Z39" s="472"/>
      <c r="AA39" s="472"/>
      <c r="AB39" s="472"/>
      <c r="AC39" s="472"/>
      <c r="AD39" s="472"/>
      <c r="AE39" s="3">
        <v>1</v>
      </c>
    </row>
    <row r="40" spans="1:31">
      <c r="A40" s="472"/>
      <c r="B40" s="1306" t="s">
        <v>7816</v>
      </c>
      <c r="C40" s="9"/>
      <c r="D40" s="9"/>
      <c r="E40" s="9"/>
      <c r="F40" s="1301" t="s">
        <v>7817</v>
      </c>
      <c r="G40" s="9"/>
      <c r="H40" s="9"/>
      <c r="I40" s="9"/>
      <c r="J40" s="1301" t="s">
        <v>7818</v>
      </c>
      <c r="K40" s="9"/>
      <c r="L40" s="9"/>
      <c r="M40" s="229"/>
      <c r="N40" s="1308" t="s">
        <v>7819</v>
      </c>
      <c r="O40" s="1308"/>
      <c r="P40" s="1308"/>
      <c r="Q40" s="1308"/>
      <c r="R40" s="1308"/>
      <c r="S40" s="1308"/>
      <c r="T40" s="1308"/>
      <c r="U40" s="472"/>
      <c r="V40" s="472"/>
      <c r="W40" s="472"/>
      <c r="X40" s="472"/>
      <c r="Y40" s="472"/>
      <c r="Z40" s="472"/>
      <c r="AA40" s="472"/>
      <c r="AB40" s="472"/>
      <c r="AC40" s="472"/>
      <c r="AD40" s="472"/>
      <c r="AE40" s="3">
        <v>1</v>
      </c>
    </row>
    <row r="41" spans="1:31">
      <c r="A41" s="472"/>
      <c r="B41" s="1301" t="s">
        <v>7820</v>
      </c>
      <c r="C41" s="9"/>
      <c r="D41" s="9"/>
      <c r="E41" s="9"/>
      <c r="F41" s="1301" t="s">
        <v>7821</v>
      </c>
      <c r="G41" s="9"/>
      <c r="H41" s="9"/>
      <c r="I41" s="9"/>
      <c r="J41" s="1301" t="s">
        <v>7822</v>
      </c>
      <c r="K41" s="9"/>
      <c r="L41" s="9"/>
      <c r="M41" s="229"/>
      <c r="N41" s="472"/>
      <c r="O41" s="472"/>
      <c r="P41" s="472"/>
      <c r="Q41" s="472"/>
      <c r="R41" s="472"/>
      <c r="S41" s="472"/>
      <c r="T41" s="472"/>
      <c r="U41" s="472"/>
      <c r="V41" s="472"/>
      <c r="W41" s="472"/>
      <c r="X41" s="472"/>
      <c r="Y41" s="472"/>
      <c r="Z41" s="472"/>
      <c r="AA41" s="472"/>
      <c r="AB41" s="472"/>
      <c r="AC41" s="472"/>
      <c r="AD41" s="472"/>
      <c r="AE41" s="3">
        <v>1</v>
      </c>
    </row>
    <row r="42" spans="1:31">
      <c r="A42" s="472"/>
      <c r="B42" s="1301" t="s">
        <v>7823</v>
      </c>
      <c r="C42" s="9"/>
      <c r="D42" s="9"/>
      <c r="E42" s="9"/>
      <c r="F42" s="1309" t="s">
        <v>7824</v>
      </c>
      <c r="G42" s="9"/>
      <c r="H42" s="9"/>
      <c r="I42" s="9"/>
      <c r="J42" s="1309" t="s">
        <v>7825</v>
      </c>
      <c r="K42" s="9"/>
      <c r="L42" s="9"/>
      <c r="M42" s="229"/>
      <c r="N42" s="472"/>
      <c r="O42" s="472"/>
      <c r="P42" s="472"/>
      <c r="Q42" s="472"/>
      <c r="R42" s="472"/>
      <c r="S42" s="472"/>
      <c r="T42" s="472"/>
      <c r="U42" s="472"/>
      <c r="V42" s="472"/>
      <c r="W42" s="472"/>
      <c r="X42" s="472"/>
      <c r="Y42" s="472"/>
      <c r="Z42" s="472"/>
      <c r="AA42" s="472"/>
      <c r="AB42" s="472"/>
      <c r="AC42" s="472"/>
      <c r="AD42" s="472"/>
      <c r="AE42" s="3">
        <v>1</v>
      </c>
    </row>
    <row r="43" spans="1:31" ht="15.75">
      <c r="A43" s="472"/>
      <c r="B43" s="9"/>
      <c r="C43" s="9"/>
      <c r="D43" s="9"/>
      <c r="E43" s="9"/>
      <c r="F43" s="9"/>
      <c r="G43" s="9"/>
      <c r="H43" s="9"/>
      <c r="I43" s="9"/>
      <c r="J43" s="9"/>
      <c r="K43" s="9"/>
      <c r="L43" s="9"/>
      <c r="M43" s="229"/>
      <c r="N43" s="1310" t="s">
        <v>7826</v>
      </c>
      <c r="O43" s="472"/>
      <c r="P43" s="472"/>
      <c r="Q43" s="472"/>
      <c r="R43" s="472"/>
      <c r="S43" s="472"/>
      <c r="T43" s="472"/>
      <c r="U43" s="472"/>
      <c r="V43" s="472"/>
      <c r="W43" s="472"/>
      <c r="X43" s="472"/>
      <c r="Y43" s="472"/>
      <c r="Z43" s="472"/>
      <c r="AA43" s="472"/>
      <c r="AB43" s="472"/>
      <c r="AC43" s="472"/>
      <c r="AD43" s="472"/>
      <c r="AE43" s="3">
        <v>1</v>
      </c>
    </row>
    <row r="44" spans="1:31" ht="18.75">
      <c r="A44" s="472"/>
      <c r="B44" s="1300" t="s">
        <v>7827</v>
      </c>
      <c r="C44" s="9"/>
      <c r="D44" s="9"/>
      <c r="E44" s="9"/>
      <c r="F44" s="1300" t="s">
        <v>7828</v>
      </c>
      <c r="G44" s="9"/>
      <c r="H44" s="9"/>
      <c r="I44" s="9"/>
      <c r="J44" s="1300" t="s">
        <v>7829</v>
      </c>
      <c r="K44" s="9"/>
      <c r="L44" s="9"/>
      <c r="M44" s="229"/>
      <c r="N44" s="1310" t="s">
        <v>7830</v>
      </c>
      <c r="O44" s="472"/>
      <c r="P44" s="472"/>
      <c r="Q44" s="472"/>
      <c r="R44" s="472"/>
      <c r="S44" s="472"/>
      <c r="T44" s="472"/>
      <c r="U44" s="472"/>
      <c r="V44" s="472"/>
      <c r="W44" s="472"/>
      <c r="X44" s="472"/>
      <c r="Y44" s="472"/>
      <c r="Z44" s="472"/>
      <c r="AA44" s="472"/>
      <c r="AB44" s="472"/>
      <c r="AC44" s="472"/>
      <c r="AD44" s="472"/>
      <c r="AE44" s="3">
        <v>1</v>
      </c>
    </row>
    <row r="45" spans="1:31" ht="15.75">
      <c r="A45" s="472"/>
      <c r="B45" s="1301"/>
      <c r="C45" s="9"/>
      <c r="D45" s="9"/>
      <c r="E45" s="9"/>
      <c r="F45" s="9"/>
      <c r="G45" s="9"/>
      <c r="H45" s="9"/>
      <c r="I45" s="9"/>
      <c r="J45" s="9"/>
      <c r="K45" s="9"/>
      <c r="L45" s="9"/>
      <c r="M45" s="229"/>
      <c r="N45" s="696" t="s">
        <v>7831</v>
      </c>
      <c r="O45" s="472"/>
      <c r="P45" s="472"/>
      <c r="Q45" s="472"/>
      <c r="R45" s="472"/>
      <c r="S45" s="472"/>
      <c r="T45" s="472"/>
      <c r="U45" s="472"/>
      <c r="V45" s="472"/>
      <c r="W45" s="472"/>
      <c r="X45" s="472"/>
      <c r="Y45" s="472"/>
      <c r="Z45" s="472"/>
      <c r="AA45" s="472"/>
      <c r="AB45" s="472"/>
      <c r="AC45" s="472"/>
      <c r="AD45" s="472"/>
      <c r="AE45" s="3">
        <v>1</v>
      </c>
    </row>
    <row r="46" spans="1:31" ht="15.75">
      <c r="A46" s="472"/>
      <c r="B46" s="1309" t="s">
        <v>7832</v>
      </c>
      <c r="C46" s="9"/>
      <c r="D46" s="9"/>
      <c r="E46" s="9"/>
      <c r="F46" s="878" t="s">
        <v>7833</v>
      </c>
      <c r="G46" s="9"/>
      <c r="H46" s="9"/>
      <c r="I46" s="9"/>
      <c r="J46" s="878" t="s">
        <v>7834</v>
      </c>
      <c r="K46" s="9"/>
      <c r="L46" s="9"/>
      <c r="M46" s="229"/>
      <c r="N46" s="696" t="s">
        <v>7835</v>
      </c>
      <c r="O46" s="472"/>
      <c r="P46" s="472"/>
      <c r="Q46" s="472"/>
      <c r="R46" s="472"/>
      <c r="S46" s="472"/>
      <c r="T46" s="472"/>
      <c r="U46" s="472"/>
      <c r="V46" s="472"/>
      <c r="W46" s="472"/>
      <c r="X46" s="472"/>
      <c r="Y46" s="472"/>
      <c r="Z46" s="472"/>
      <c r="AA46" s="472"/>
      <c r="AB46" s="472"/>
      <c r="AC46" s="472"/>
      <c r="AD46" s="472"/>
      <c r="AE46" s="3">
        <v>1</v>
      </c>
    </row>
    <row r="47" spans="1:31" ht="15.75">
      <c r="A47" s="472"/>
      <c r="B47" s="1311" t="s">
        <v>7836</v>
      </c>
      <c r="C47" s="9"/>
      <c r="D47" s="9"/>
      <c r="E47" s="9"/>
      <c r="F47" s="9" t="s">
        <v>8068</v>
      </c>
      <c r="G47" s="9"/>
      <c r="H47" s="9"/>
      <c r="I47" s="9"/>
      <c r="J47" s="9" t="s">
        <v>8069</v>
      </c>
      <c r="K47" s="9"/>
      <c r="L47" s="9"/>
      <c r="M47" s="229"/>
      <c r="N47" s="696" t="s">
        <v>7837</v>
      </c>
      <c r="O47" s="472"/>
      <c r="P47" s="472"/>
      <c r="Q47" s="472"/>
      <c r="R47" s="472"/>
      <c r="S47" s="472"/>
      <c r="T47" s="472"/>
      <c r="U47" s="472"/>
      <c r="V47" s="472"/>
      <c r="W47" s="472"/>
      <c r="X47" s="472"/>
      <c r="Y47" s="472"/>
      <c r="Z47" s="472"/>
      <c r="AA47" s="472"/>
      <c r="AB47" s="472"/>
      <c r="AC47" s="472"/>
      <c r="AD47" s="472"/>
      <c r="AE47" s="3">
        <v>1</v>
      </c>
    </row>
    <row r="48" spans="1:31">
      <c r="A48" s="472"/>
      <c r="B48" s="1311" t="s">
        <v>8072</v>
      </c>
      <c r="C48" s="9"/>
      <c r="D48" s="9"/>
      <c r="E48" s="9"/>
      <c r="F48" s="9" t="s">
        <v>8070</v>
      </c>
      <c r="G48" s="9"/>
      <c r="H48" s="9"/>
      <c r="I48" s="9"/>
      <c r="J48" s="9" t="s">
        <v>8071</v>
      </c>
      <c r="K48" s="9"/>
      <c r="L48" s="9"/>
      <c r="M48" s="229"/>
      <c r="N48" s="472"/>
      <c r="O48" s="472"/>
      <c r="P48" s="472"/>
      <c r="Q48" s="472"/>
      <c r="R48" s="472"/>
      <c r="S48" s="472"/>
      <c r="T48" s="472"/>
      <c r="U48" s="472"/>
      <c r="V48" s="472"/>
      <c r="W48" s="472"/>
      <c r="X48" s="472"/>
      <c r="Y48" s="472"/>
      <c r="Z48" s="472"/>
      <c r="AA48" s="472"/>
      <c r="AB48" s="472"/>
      <c r="AC48" s="472"/>
      <c r="AD48" s="472"/>
      <c r="AE48" s="3">
        <v>1</v>
      </c>
    </row>
    <row r="49" spans="1:31">
      <c r="A49" s="472"/>
      <c r="B49" s="1311"/>
      <c r="C49" s="9"/>
      <c r="D49" s="9"/>
      <c r="E49" s="9"/>
      <c r="F49" s="9"/>
      <c r="G49" s="9"/>
      <c r="H49" s="9"/>
      <c r="I49" s="9"/>
      <c r="J49" s="9"/>
      <c r="K49" s="9"/>
      <c r="L49" s="9"/>
      <c r="M49" s="229"/>
      <c r="N49" s="878" t="s">
        <v>7838</v>
      </c>
      <c r="O49" s="472"/>
      <c r="P49" s="472"/>
      <c r="Q49" s="472"/>
      <c r="R49" s="472"/>
      <c r="S49" s="472"/>
      <c r="T49" s="472"/>
      <c r="U49" s="472"/>
      <c r="V49" s="472"/>
      <c r="W49" s="472"/>
      <c r="X49" s="472"/>
      <c r="Y49" s="472"/>
      <c r="Z49" s="472"/>
      <c r="AA49" s="472"/>
      <c r="AB49" s="472"/>
      <c r="AC49" s="472"/>
      <c r="AD49" s="472"/>
      <c r="AE49" s="3">
        <v>1</v>
      </c>
    </row>
    <row r="50" spans="1:31">
      <c r="A50" s="472"/>
      <c r="B50" s="1309" t="s">
        <v>7839</v>
      </c>
      <c r="C50" s="9"/>
      <c r="D50" s="9"/>
      <c r="E50" s="9"/>
      <c r="F50" s="878" t="s">
        <v>7840</v>
      </c>
      <c r="G50" s="9"/>
      <c r="H50" s="9"/>
      <c r="I50" s="9"/>
      <c r="J50" s="878" t="s">
        <v>7841</v>
      </c>
      <c r="K50" s="9"/>
      <c r="L50" s="9"/>
      <c r="M50" s="229"/>
      <c r="N50" s="9" t="s">
        <v>7842</v>
      </c>
      <c r="O50" s="472"/>
      <c r="P50" s="472"/>
      <c r="Q50" s="472"/>
      <c r="R50" s="472"/>
      <c r="S50" s="472"/>
      <c r="T50" s="472"/>
      <c r="U50" s="472"/>
      <c r="V50" s="472"/>
      <c r="W50" s="472"/>
      <c r="X50" s="472"/>
      <c r="Y50" s="472"/>
      <c r="Z50" s="472"/>
      <c r="AA50" s="472"/>
      <c r="AB50" s="472"/>
      <c r="AC50" s="472"/>
      <c r="AD50" s="472"/>
      <c r="AE50" s="3">
        <v>1</v>
      </c>
    </row>
    <row r="51" spans="1:31">
      <c r="A51" s="472"/>
      <c r="B51" s="1311" t="s">
        <v>7843</v>
      </c>
      <c r="C51" s="9"/>
      <c r="D51" s="9"/>
      <c r="E51" s="9"/>
      <c r="F51" s="9" t="s">
        <v>7844</v>
      </c>
      <c r="G51" s="9"/>
      <c r="H51" s="9"/>
      <c r="I51" s="9"/>
      <c r="J51" s="9" t="s">
        <v>7845</v>
      </c>
      <c r="K51" s="9"/>
      <c r="L51" s="9"/>
      <c r="M51" s="229"/>
      <c r="N51" s="1309" t="s">
        <v>7846</v>
      </c>
      <c r="O51" s="472"/>
      <c r="P51" s="472"/>
      <c r="Q51" s="472"/>
      <c r="R51" s="472"/>
      <c r="S51" s="472"/>
      <c r="T51" s="472"/>
      <c r="U51" s="472"/>
      <c r="V51" s="472"/>
      <c r="W51" s="472"/>
      <c r="X51" s="472"/>
      <c r="Y51" s="472"/>
      <c r="Z51" s="472"/>
      <c r="AA51" s="472"/>
      <c r="AB51" s="472"/>
      <c r="AC51" s="472"/>
      <c r="AD51" s="472"/>
      <c r="AE51" s="3">
        <v>1</v>
      </c>
    </row>
    <row r="52" spans="1:31">
      <c r="A52" s="472"/>
      <c r="B52" s="1311" t="s">
        <v>7847</v>
      </c>
      <c r="C52" s="9"/>
      <c r="D52" s="9"/>
      <c r="E52" s="9"/>
      <c r="F52" s="9" t="s">
        <v>7848</v>
      </c>
      <c r="G52" s="9"/>
      <c r="H52" s="9"/>
      <c r="I52" s="9"/>
      <c r="J52" s="9" t="s">
        <v>7849</v>
      </c>
      <c r="K52" s="9"/>
      <c r="L52" s="9"/>
      <c r="M52" s="229"/>
      <c r="N52" s="1301" t="s">
        <v>7850</v>
      </c>
      <c r="O52" s="472"/>
      <c r="P52" s="472"/>
      <c r="Q52" s="472"/>
      <c r="R52" s="472"/>
      <c r="S52" s="472"/>
      <c r="T52" s="472"/>
      <c r="U52" s="472"/>
      <c r="V52" s="472"/>
      <c r="W52" s="472"/>
      <c r="X52" s="472"/>
      <c r="Y52" s="472"/>
      <c r="Z52" s="472"/>
      <c r="AA52" s="472"/>
      <c r="AB52" s="472"/>
      <c r="AC52" s="472"/>
      <c r="AD52" s="472"/>
      <c r="AE52" s="3">
        <v>1</v>
      </c>
    </row>
    <row r="53" spans="1:31">
      <c r="A53" s="472"/>
      <c r="B53" s="1301"/>
      <c r="C53" s="9"/>
      <c r="D53" s="9"/>
      <c r="E53" s="9"/>
      <c r="F53" s="9"/>
      <c r="G53" s="9"/>
      <c r="H53" s="9"/>
      <c r="I53" s="9"/>
      <c r="J53" s="9"/>
      <c r="K53" s="9"/>
      <c r="L53" s="9"/>
      <c r="M53" s="229"/>
      <c r="N53" s="1301" t="s">
        <v>7851</v>
      </c>
      <c r="O53" s="472"/>
      <c r="P53" s="472"/>
      <c r="Q53" s="472"/>
      <c r="R53" s="472"/>
      <c r="S53" s="472"/>
      <c r="T53" s="472"/>
      <c r="U53" s="472"/>
      <c r="V53" s="472"/>
      <c r="W53" s="472"/>
      <c r="X53" s="472"/>
      <c r="Y53" s="472"/>
      <c r="Z53" s="472"/>
      <c r="AA53" s="472"/>
      <c r="AB53" s="472"/>
      <c r="AC53" s="472"/>
      <c r="AD53" s="472"/>
      <c r="AE53" s="3">
        <v>1</v>
      </c>
    </row>
    <row r="54" spans="1:31">
      <c r="A54" s="472"/>
      <c r="B54" s="1309" t="s">
        <v>7852</v>
      </c>
      <c r="C54" s="9"/>
      <c r="D54" s="9"/>
      <c r="E54" s="9"/>
      <c r="F54" s="878" t="s">
        <v>7853</v>
      </c>
      <c r="G54" s="9"/>
      <c r="H54" s="9"/>
      <c r="I54" s="9"/>
      <c r="J54" s="878" t="s">
        <v>7854</v>
      </c>
      <c r="K54" s="9"/>
      <c r="L54" s="9"/>
      <c r="M54" s="229"/>
      <c r="N54" s="472"/>
      <c r="O54" s="472"/>
      <c r="P54" s="472"/>
      <c r="Q54" s="472"/>
      <c r="R54" s="472"/>
      <c r="S54" s="472"/>
      <c r="T54" s="472"/>
      <c r="U54" s="472"/>
      <c r="V54" s="472"/>
      <c r="W54" s="472"/>
      <c r="X54" s="472"/>
      <c r="Y54" s="472"/>
      <c r="Z54" s="472"/>
      <c r="AA54" s="472"/>
      <c r="AB54" s="472"/>
      <c r="AC54" s="472"/>
      <c r="AD54" s="472"/>
      <c r="AE54" s="3">
        <v>1</v>
      </c>
    </row>
    <row r="55" spans="1:31">
      <c r="A55" s="472"/>
      <c r="B55" s="1311" t="s">
        <v>7855</v>
      </c>
      <c r="C55" s="9"/>
      <c r="D55" s="9"/>
      <c r="E55" s="9"/>
      <c r="F55" s="9" t="s">
        <v>7856</v>
      </c>
      <c r="G55" s="9"/>
      <c r="H55" s="9"/>
      <c r="I55" s="9"/>
      <c r="J55" s="9" t="s">
        <v>7857</v>
      </c>
      <c r="K55" s="9"/>
      <c r="L55" s="9"/>
      <c r="M55" s="229"/>
      <c r="N55" s="878" t="s">
        <v>7858</v>
      </c>
      <c r="O55" s="472"/>
      <c r="P55" s="472"/>
      <c r="Q55" s="472"/>
      <c r="R55" s="472"/>
      <c r="S55" s="472"/>
      <c r="T55" s="472"/>
      <c r="U55" s="472"/>
      <c r="V55" s="472"/>
      <c r="W55" s="472"/>
      <c r="X55" s="472"/>
      <c r="Y55" s="472"/>
      <c r="Z55" s="472"/>
      <c r="AA55" s="472"/>
      <c r="AB55" s="472"/>
      <c r="AC55" s="472"/>
      <c r="AD55" s="472"/>
      <c r="AE55" s="3">
        <v>1</v>
      </c>
    </row>
    <row r="56" spans="1:31">
      <c r="A56" s="472"/>
      <c r="B56" s="1301"/>
      <c r="C56" s="9"/>
      <c r="D56" s="9"/>
      <c r="E56" s="9"/>
      <c r="F56" s="9"/>
      <c r="G56" s="9"/>
      <c r="H56" s="9"/>
      <c r="I56" s="9"/>
      <c r="J56" s="9"/>
      <c r="K56" s="9"/>
      <c r="L56" s="9"/>
      <c r="M56" s="229"/>
      <c r="N56" s="9" t="s">
        <v>7859</v>
      </c>
      <c r="O56" s="472"/>
      <c r="P56" s="472"/>
      <c r="Q56" s="472"/>
      <c r="R56" s="472"/>
      <c r="S56" s="472"/>
      <c r="T56" s="472"/>
      <c r="U56" s="472"/>
      <c r="V56" s="472"/>
      <c r="W56" s="472"/>
      <c r="X56" s="472"/>
      <c r="Y56" s="472"/>
      <c r="Z56" s="472"/>
      <c r="AA56" s="472"/>
      <c r="AB56" s="472"/>
      <c r="AC56" s="472"/>
      <c r="AD56" s="472"/>
      <c r="AE56" s="3">
        <v>1</v>
      </c>
    </row>
    <row r="57" spans="1:31">
      <c r="A57" s="472"/>
      <c r="B57" s="1309" t="s">
        <v>7860</v>
      </c>
      <c r="C57" s="9"/>
      <c r="D57" s="9"/>
      <c r="E57" s="9"/>
      <c r="F57" s="878" t="s">
        <v>7861</v>
      </c>
      <c r="G57" s="9"/>
      <c r="H57" s="9"/>
      <c r="I57" s="9"/>
      <c r="J57" s="878" t="s">
        <v>7862</v>
      </c>
      <c r="K57" s="9"/>
      <c r="L57" s="9"/>
      <c r="M57" s="229"/>
      <c r="N57" s="1309" t="s">
        <v>7863</v>
      </c>
      <c r="O57" s="472"/>
      <c r="P57" s="472"/>
      <c r="Q57" s="472"/>
      <c r="R57" s="472"/>
      <c r="S57" s="472"/>
      <c r="T57" s="472"/>
      <c r="U57" s="472"/>
      <c r="V57" s="472"/>
      <c r="W57" s="472"/>
      <c r="X57" s="472"/>
      <c r="Y57" s="472"/>
      <c r="Z57" s="472"/>
      <c r="AA57" s="472"/>
      <c r="AB57" s="472"/>
      <c r="AC57" s="472"/>
      <c r="AD57" s="472"/>
      <c r="AE57" s="3">
        <v>1</v>
      </c>
    </row>
    <row r="58" spans="1:31">
      <c r="A58" s="472"/>
      <c r="B58" s="1311" t="s">
        <v>7864</v>
      </c>
      <c r="C58" s="9"/>
      <c r="D58" s="9"/>
      <c r="E58" s="9"/>
      <c r="F58" s="9" t="s">
        <v>7865</v>
      </c>
      <c r="G58" s="9"/>
      <c r="H58" s="9"/>
      <c r="I58" s="9"/>
      <c r="J58" s="9" t="s">
        <v>7866</v>
      </c>
      <c r="K58" s="9"/>
      <c r="L58" s="9"/>
      <c r="M58" s="229"/>
      <c r="N58" s="1301" t="s">
        <v>7867</v>
      </c>
      <c r="O58" s="472"/>
      <c r="P58" s="472"/>
      <c r="Q58" s="472"/>
      <c r="R58" s="472"/>
      <c r="S58" s="472"/>
      <c r="T58" s="472"/>
      <c r="U58" s="472"/>
      <c r="V58" s="472"/>
      <c r="W58" s="472"/>
      <c r="X58" s="472"/>
      <c r="Y58" s="472"/>
      <c r="Z58" s="472"/>
      <c r="AA58" s="472"/>
      <c r="AB58" s="472"/>
      <c r="AC58" s="472"/>
      <c r="AD58" s="472"/>
      <c r="AE58" s="3">
        <v>1</v>
      </c>
    </row>
    <row r="59" spans="1:31">
      <c r="A59" s="472"/>
      <c r="B59" s="1311" t="s">
        <v>7868</v>
      </c>
      <c r="C59" s="9"/>
      <c r="D59" s="9"/>
      <c r="E59" s="9"/>
      <c r="F59" s="9" t="s">
        <v>7869</v>
      </c>
      <c r="G59" s="9"/>
      <c r="H59" s="9"/>
      <c r="I59" s="9"/>
      <c r="J59" s="9" t="s">
        <v>7870</v>
      </c>
      <c r="K59" s="9"/>
      <c r="L59" s="9"/>
      <c r="M59" s="229"/>
      <c r="N59" s="1301" t="s">
        <v>7871</v>
      </c>
      <c r="O59" s="472"/>
      <c r="P59" s="472"/>
      <c r="Q59" s="472"/>
      <c r="R59" s="472"/>
      <c r="S59" s="472"/>
      <c r="T59" s="472"/>
      <c r="U59" s="472"/>
      <c r="V59" s="472"/>
      <c r="W59" s="472"/>
      <c r="X59" s="472"/>
      <c r="Y59" s="472"/>
      <c r="Z59" s="472"/>
      <c r="AA59" s="472"/>
      <c r="AB59" s="472"/>
      <c r="AC59" s="472"/>
      <c r="AD59" s="472"/>
      <c r="AE59" s="3">
        <v>1</v>
      </c>
    </row>
    <row r="60" spans="1:31">
      <c r="A60" s="472"/>
      <c r="B60" s="1301" t="s">
        <v>7872</v>
      </c>
      <c r="C60" s="9"/>
      <c r="D60" s="9"/>
      <c r="E60" s="9"/>
      <c r="F60" s="9" t="s">
        <v>7873</v>
      </c>
      <c r="G60" s="9"/>
      <c r="H60" s="9"/>
      <c r="I60" s="9"/>
      <c r="J60" s="9" t="s">
        <v>7874</v>
      </c>
      <c r="K60" s="9"/>
      <c r="L60" s="9"/>
      <c r="M60" s="229"/>
      <c r="N60" s="472"/>
      <c r="O60" s="472"/>
      <c r="P60" s="472"/>
      <c r="Q60" s="472"/>
      <c r="R60" s="472"/>
      <c r="S60" s="472"/>
      <c r="T60" s="472"/>
      <c r="U60" s="472"/>
      <c r="V60" s="472"/>
      <c r="W60" s="472"/>
      <c r="X60" s="472"/>
      <c r="Y60" s="472"/>
      <c r="Z60" s="472"/>
      <c r="AA60" s="472"/>
      <c r="AB60" s="472"/>
      <c r="AC60" s="472"/>
      <c r="AD60" s="472"/>
      <c r="AE60" s="3">
        <v>1</v>
      </c>
    </row>
    <row r="61" spans="1:31">
      <c r="A61" s="472"/>
      <c r="B61" s="9" t="s">
        <v>7875</v>
      </c>
      <c r="C61" s="9"/>
      <c r="D61" s="9"/>
      <c r="E61" s="9"/>
      <c r="F61" s="9" t="s">
        <v>7876</v>
      </c>
      <c r="G61" s="9"/>
      <c r="H61" s="9"/>
      <c r="I61" s="9"/>
      <c r="J61" s="9" t="s">
        <v>7877</v>
      </c>
      <c r="K61" s="9"/>
      <c r="L61" s="9"/>
      <c r="M61" s="229"/>
      <c r="N61" s="1301"/>
      <c r="O61" s="472"/>
      <c r="P61" s="472"/>
      <c r="Q61" s="472"/>
      <c r="R61" s="472"/>
      <c r="S61" s="472"/>
      <c r="T61" s="472"/>
      <c r="U61" s="472"/>
      <c r="V61" s="472"/>
      <c r="W61" s="472"/>
      <c r="X61" s="472"/>
      <c r="Y61" s="472"/>
      <c r="Z61" s="472"/>
      <c r="AA61" s="472"/>
      <c r="AB61" s="472"/>
      <c r="AC61" s="472"/>
      <c r="AD61" s="472"/>
      <c r="AE61" s="3">
        <v>1</v>
      </c>
    </row>
    <row r="62" spans="1:31">
      <c r="A62" s="472"/>
      <c r="B62" s="9"/>
      <c r="C62" s="9"/>
      <c r="D62" s="9"/>
      <c r="E62" s="9"/>
      <c r="F62" s="9"/>
      <c r="G62" s="9"/>
      <c r="H62" s="9"/>
      <c r="I62" s="9"/>
      <c r="J62" s="9"/>
      <c r="K62" s="9"/>
      <c r="L62" s="9"/>
      <c r="M62" s="229"/>
      <c r="N62" s="472"/>
      <c r="O62" s="472"/>
      <c r="P62" s="472"/>
      <c r="Q62" s="472"/>
      <c r="R62" s="472"/>
      <c r="S62" s="472"/>
      <c r="T62" s="472"/>
      <c r="U62" s="472"/>
      <c r="V62" s="472"/>
      <c r="W62" s="472"/>
      <c r="X62" s="472"/>
      <c r="Y62" s="472"/>
      <c r="Z62" s="472"/>
      <c r="AA62" s="472"/>
      <c r="AB62" s="472"/>
      <c r="AC62" s="472"/>
      <c r="AD62" s="472"/>
      <c r="AE62" s="3">
        <v>1</v>
      </c>
    </row>
    <row r="63" spans="1:31" ht="18.75">
      <c r="A63" s="472"/>
      <c r="B63" s="1300" t="s">
        <v>7878</v>
      </c>
      <c r="C63" s="9"/>
      <c r="D63" s="9"/>
      <c r="E63" s="9"/>
      <c r="F63" s="1300" t="s">
        <v>7879</v>
      </c>
      <c r="G63" s="9"/>
      <c r="H63" s="9"/>
      <c r="I63" s="9"/>
      <c r="J63" s="1300" t="s">
        <v>7880</v>
      </c>
      <c r="K63" s="9"/>
      <c r="L63" s="9"/>
      <c r="M63" s="229"/>
      <c r="N63" s="472"/>
      <c r="O63" s="472"/>
      <c r="P63" s="472"/>
      <c r="Q63" s="472"/>
      <c r="R63" s="472"/>
      <c r="S63" s="472"/>
      <c r="T63" s="472"/>
      <c r="U63" s="472"/>
      <c r="V63" s="472"/>
      <c r="W63" s="472"/>
      <c r="X63" s="472"/>
      <c r="Y63" s="472"/>
      <c r="Z63" s="472"/>
      <c r="AA63" s="472"/>
      <c r="AB63" s="472"/>
      <c r="AC63" s="472"/>
      <c r="AD63" s="472"/>
      <c r="AE63" s="3">
        <v>1</v>
      </c>
    </row>
    <row r="64" spans="1:31">
      <c r="A64" s="472"/>
      <c r="B64" s="1309" t="s">
        <v>7881</v>
      </c>
      <c r="C64" s="9"/>
      <c r="D64" s="9"/>
      <c r="E64" s="9"/>
      <c r="F64" s="1309" t="s">
        <v>7882</v>
      </c>
      <c r="G64" s="9"/>
      <c r="H64" s="9"/>
      <c r="I64" s="9"/>
      <c r="J64" s="1309" t="s">
        <v>7883</v>
      </c>
      <c r="K64" s="9"/>
      <c r="L64" s="9"/>
      <c r="M64" s="229"/>
      <c r="N64" s="472"/>
      <c r="O64" s="472"/>
      <c r="P64" s="472"/>
      <c r="Q64" s="472"/>
      <c r="R64" s="472"/>
      <c r="S64" s="472"/>
      <c r="T64" s="472"/>
      <c r="U64" s="472"/>
      <c r="V64" s="472"/>
      <c r="W64" s="472"/>
      <c r="X64" s="472"/>
      <c r="Y64" s="472"/>
      <c r="Z64" s="472"/>
      <c r="AA64" s="472"/>
      <c r="AB64" s="472"/>
      <c r="AC64" s="472"/>
      <c r="AD64" s="472"/>
      <c r="AE64" s="3">
        <v>1</v>
      </c>
    </row>
    <row r="65" spans="1:31">
      <c r="A65" s="472"/>
      <c r="B65" s="1309" t="s">
        <v>7884</v>
      </c>
      <c r="C65" s="9"/>
      <c r="D65" s="9"/>
      <c r="E65" s="9"/>
      <c r="F65" s="1309" t="s">
        <v>7885</v>
      </c>
      <c r="G65" s="9"/>
      <c r="H65" s="9"/>
      <c r="I65" s="9"/>
      <c r="J65" s="1309" t="s">
        <v>7886</v>
      </c>
      <c r="K65" s="9"/>
      <c r="L65" s="9"/>
      <c r="M65" s="229"/>
      <c r="N65" s="472"/>
      <c r="O65" s="472"/>
      <c r="P65" s="472"/>
      <c r="Q65" s="472"/>
      <c r="R65" s="472"/>
      <c r="S65" s="472"/>
      <c r="T65" s="472"/>
      <c r="U65" s="472"/>
      <c r="V65" s="472"/>
      <c r="W65" s="472"/>
      <c r="X65" s="472"/>
      <c r="Y65" s="472"/>
      <c r="Z65" s="472"/>
      <c r="AA65" s="472"/>
      <c r="AB65" s="472"/>
      <c r="AC65" s="472"/>
      <c r="AD65" s="472"/>
      <c r="AE65" s="3">
        <v>1</v>
      </c>
    </row>
    <row r="66" spans="1:31">
      <c r="A66" s="472"/>
      <c r="B66" s="1309" t="s">
        <v>7887</v>
      </c>
      <c r="C66" s="9"/>
      <c r="D66" s="9"/>
      <c r="E66" s="9"/>
      <c r="F66" s="1309" t="s">
        <v>7888</v>
      </c>
      <c r="G66" s="9"/>
      <c r="H66" s="9"/>
      <c r="I66" s="9"/>
      <c r="J66" s="1309" t="s">
        <v>7889</v>
      </c>
      <c r="K66" s="9"/>
      <c r="L66" s="9"/>
      <c r="M66" s="229"/>
      <c r="N66" s="472"/>
      <c r="O66" s="472"/>
      <c r="P66" s="472"/>
      <c r="Q66" s="472"/>
      <c r="R66" s="472"/>
      <c r="S66" s="472"/>
      <c r="T66" s="472"/>
      <c r="U66" s="472"/>
      <c r="V66" s="472"/>
      <c r="W66" s="472"/>
      <c r="X66" s="472"/>
      <c r="Y66" s="472"/>
      <c r="Z66" s="472"/>
      <c r="AA66" s="472"/>
      <c r="AB66" s="472"/>
      <c r="AC66" s="472"/>
      <c r="AD66" s="472"/>
      <c r="AE66" s="3">
        <v>1</v>
      </c>
    </row>
    <row r="67" spans="1:31">
      <c r="A67" s="472"/>
      <c r="B67" s="1301" t="s">
        <v>7890</v>
      </c>
      <c r="C67" s="9"/>
      <c r="D67" s="9"/>
      <c r="E67" s="9"/>
      <c r="F67" s="1309" t="s">
        <v>7891</v>
      </c>
      <c r="G67" s="9"/>
      <c r="H67" s="9"/>
      <c r="I67" s="9"/>
      <c r="J67" s="1309" t="s">
        <v>7892</v>
      </c>
      <c r="K67" s="9"/>
      <c r="L67" s="9"/>
      <c r="M67" s="229"/>
      <c r="N67" s="472"/>
      <c r="O67" s="472"/>
      <c r="P67" s="472"/>
      <c r="Q67" s="472"/>
      <c r="R67" s="472"/>
      <c r="S67" s="472"/>
      <c r="T67" s="472"/>
      <c r="U67" s="472"/>
      <c r="V67" s="472"/>
      <c r="W67" s="472"/>
      <c r="X67" s="472"/>
      <c r="Y67" s="472"/>
      <c r="Z67" s="472"/>
      <c r="AA67" s="472"/>
      <c r="AB67" s="472"/>
      <c r="AC67" s="472"/>
      <c r="AD67" s="472"/>
      <c r="AE67" s="3">
        <v>1</v>
      </c>
    </row>
    <row r="68" spans="1:31">
      <c r="A68" s="472"/>
      <c r="B68" s="1301" t="s">
        <v>7893</v>
      </c>
      <c r="C68" s="9"/>
      <c r="D68" s="9"/>
      <c r="E68" s="9"/>
      <c r="F68" s="1301" t="s">
        <v>7894</v>
      </c>
      <c r="G68" s="9"/>
      <c r="H68" s="9"/>
      <c r="I68" s="9"/>
      <c r="J68" s="1301" t="s">
        <v>7895</v>
      </c>
      <c r="K68" s="9"/>
      <c r="L68" s="9"/>
      <c r="M68" s="229"/>
      <c r="N68" s="472"/>
      <c r="O68" s="472"/>
      <c r="P68" s="472"/>
      <c r="Q68" s="472"/>
      <c r="R68" s="472"/>
      <c r="S68" s="472"/>
      <c r="T68" s="472"/>
      <c r="U68" s="472"/>
      <c r="V68" s="472"/>
      <c r="W68" s="472"/>
      <c r="X68" s="472"/>
      <c r="Y68" s="472"/>
      <c r="Z68" s="472"/>
      <c r="AA68" s="472"/>
      <c r="AB68" s="472"/>
      <c r="AC68" s="472"/>
      <c r="AD68" s="472"/>
      <c r="AE68" s="3">
        <v>1</v>
      </c>
    </row>
    <row r="69" spans="1:31">
      <c r="A69" s="472"/>
      <c r="B69" s="1301"/>
      <c r="C69" s="9"/>
      <c r="D69" s="9"/>
      <c r="E69" s="9"/>
      <c r="F69" s="9"/>
      <c r="G69" s="9"/>
      <c r="H69" s="9"/>
      <c r="I69" s="9"/>
      <c r="J69" s="9"/>
      <c r="K69" s="9"/>
      <c r="L69" s="9"/>
      <c r="M69" s="229"/>
      <c r="N69" s="472"/>
      <c r="O69" s="472"/>
      <c r="P69" s="472"/>
      <c r="Q69" s="472"/>
      <c r="R69" s="472"/>
      <c r="S69" s="472"/>
      <c r="T69" s="472"/>
      <c r="U69" s="472"/>
      <c r="V69" s="472"/>
      <c r="W69" s="472"/>
      <c r="X69" s="472"/>
      <c r="Y69" s="472"/>
      <c r="Z69" s="472"/>
      <c r="AA69" s="472"/>
      <c r="AB69" s="472"/>
      <c r="AC69" s="472"/>
      <c r="AD69" s="472"/>
      <c r="AE69" s="3">
        <v>1</v>
      </c>
    </row>
    <row r="70" spans="1:31" ht="18.75">
      <c r="A70" s="472"/>
      <c r="B70" s="1300" t="s">
        <v>7896</v>
      </c>
      <c r="C70" s="9"/>
      <c r="D70" s="9"/>
      <c r="E70" s="9"/>
      <c r="F70" s="1300" t="s">
        <v>7897</v>
      </c>
      <c r="G70" s="9"/>
      <c r="H70" s="9"/>
      <c r="I70" s="9"/>
      <c r="J70" s="1300" t="s">
        <v>7898</v>
      </c>
      <c r="K70" s="9"/>
      <c r="L70" s="9"/>
      <c r="M70" s="229"/>
      <c r="N70" s="472"/>
      <c r="O70" s="472"/>
      <c r="P70" s="472"/>
      <c r="Q70" s="472"/>
      <c r="R70" s="472"/>
      <c r="S70" s="472"/>
      <c r="T70" s="472"/>
      <c r="U70" s="472"/>
      <c r="V70" s="472"/>
      <c r="W70" s="472"/>
      <c r="X70" s="472"/>
      <c r="Y70" s="472"/>
      <c r="Z70" s="472"/>
      <c r="AA70" s="472"/>
      <c r="AB70" s="472"/>
      <c r="AC70" s="472"/>
      <c r="AD70" s="472"/>
      <c r="AE70" s="3">
        <v>1</v>
      </c>
    </row>
    <row r="71" spans="1:31">
      <c r="A71" s="472"/>
      <c r="B71" s="1301"/>
      <c r="C71" s="9"/>
      <c r="D71" s="9"/>
      <c r="E71" s="9"/>
      <c r="F71" s="9"/>
      <c r="G71" s="9"/>
      <c r="H71" s="9"/>
      <c r="I71" s="9"/>
      <c r="J71" s="9"/>
      <c r="K71" s="9"/>
      <c r="L71" s="9"/>
      <c r="M71" s="229"/>
      <c r="N71" s="472"/>
      <c r="O71" s="472"/>
      <c r="P71" s="472"/>
      <c r="Q71" s="472"/>
      <c r="R71" s="472"/>
      <c r="S71" s="472"/>
      <c r="T71" s="472"/>
      <c r="U71" s="472"/>
      <c r="V71" s="472"/>
      <c r="W71" s="472"/>
      <c r="X71" s="472"/>
      <c r="Y71" s="472"/>
      <c r="Z71" s="472"/>
      <c r="AA71" s="472"/>
      <c r="AB71" s="472"/>
      <c r="AC71" s="472"/>
      <c r="AD71" s="472"/>
      <c r="AE71" s="3">
        <v>1</v>
      </c>
    </row>
    <row r="72" spans="1:31">
      <c r="A72" s="472"/>
      <c r="B72" s="1309" t="s">
        <v>7899</v>
      </c>
      <c r="C72" s="9"/>
      <c r="D72" s="9"/>
      <c r="E72" s="9"/>
      <c r="F72" s="1301" t="s">
        <v>7900</v>
      </c>
      <c r="G72" s="9"/>
      <c r="H72" s="9"/>
      <c r="I72" s="9"/>
      <c r="J72" s="1301" t="s">
        <v>7901</v>
      </c>
      <c r="K72" s="9"/>
      <c r="L72" s="9"/>
      <c r="M72" s="229"/>
      <c r="N72" s="472"/>
      <c r="O72" s="472"/>
      <c r="P72" s="472"/>
      <c r="Q72" s="472"/>
      <c r="R72" s="472"/>
      <c r="S72" s="472"/>
      <c r="T72" s="472"/>
      <c r="U72" s="472"/>
      <c r="V72" s="472"/>
      <c r="W72" s="472"/>
      <c r="X72" s="472"/>
      <c r="Y72" s="472"/>
      <c r="Z72" s="472"/>
      <c r="AA72" s="472"/>
      <c r="AB72" s="472"/>
      <c r="AC72" s="472"/>
      <c r="AD72" s="472"/>
      <c r="AE72" s="3">
        <v>1</v>
      </c>
    </row>
    <row r="73" spans="1:31">
      <c r="A73" s="472"/>
      <c r="B73" s="1309" t="s">
        <v>7902</v>
      </c>
      <c r="C73" s="9"/>
      <c r="D73" s="9"/>
      <c r="E73" s="9"/>
      <c r="F73" s="1301" t="s">
        <v>7903</v>
      </c>
      <c r="G73" s="9"/>
      <c r="H73" s="9"/>
      <c r="I73" s="9"/>
      <c r="J73" s="1301" t="s">
        <v>7904</v>
      </c>
      <c r="K73" s="9"/>
      <c r="L73" s="9"/>
      <c r="M73" s="229"/>
      <c r="N73" s="472"/>
      <c r="O73" s="472"/>
      <c r="P73" s="472"/>
      <c r="Q73" s="472"/>
      <c r="R73" s="472"/>
      <c r="S73" s="472"/>
      <c r="T73" s="472"/>
      <c r="U73" s="472"/>
      <c r="V73" s="472"/>
      <c r="W73" s="472"/>
      <c r="X73" s="472"/>
      <c r="Y73" s="472"/>
      <c r="Z73" s="472"/>
      <c r="AA73" s="472"/>
      <c r="AB73" s="472"/>
      <c r="AC73" s="472"/>
      <c r="AD73" s="472"/>
      <c r="AE73" s="3">
        <v>1</v>
      </c>
    </row>
    <row r="74" spans="1:31">
      <c r="A74" s="472"/>
      <c r="B74" s="1309" t="s">
        <v>7905</v>
      </c>
      <c r="C74" s="9"/>
      <c r="D74" s="9"/>
      <c r="E74" s="9"/>
      <c r="F74" s="1301" t="s">
        <v>7906</v>
      </c>
      <c r="G74" s="9"/>
      <c r="H74" s="9"/>
      <c r="I74" s="9"/>
      <c r="J74" s="1301" t="s">
        <v>7907</v>
      </c>
      <c r="K74" s="9"/>
      <c r="L74" s="9"/>
      <c r="M74" s="229"/>
      <c r="N74" s="472"/>
      <c r="O74" s="472"/>
      <c r="P74" s="472"/>
      <c r="Q74" s="472"/>
      <c r="R74" s="472"/>
      <c r="S74" s="472"/>
      <c r="T74" s="472"/>
      <c r="U74" s="472"/>
      <c r="V74" s="472"/>
      <c r="W74" s="472"/>
      <c r="X74" s="472"/>
      <c r="Y74" s="472"/>
      <c r="Z74" s="472"/>
      <c r="AA74" s="472"/>
      <c r="AB74" s="472"/>
      <c r="AC74" s="472"/>
      <c r="AD74" s="472"/>
      <c r="AE74" s="3">
        <v>1</v>
      </c>
    </row>
    <row r="75" spans="1:31">
      <c r="A75" s="472"/>
      <c r="B75" s="1309" t="s">
        <v>7908</v>
      </c>
      <c r="C75" s="9"/>
      <c r="D75" s="9"/>
      <c r="E75" s="9"/>
      <c r="F75" s="1301" t="s">
        <v>7909</v>
      </c>
      <c r="G75" s="9"/>
      <c r="H75" s="9"/>
      <c r="I75" s="9"/>
      <c r="J75" s="1301" t="s">
        <v>7910</v>
      </c>
      <c r="K75" s="9"/>
      <c r="L75" s="9"/>
      <c r="M75" s="229"/>
      <c r="N75" s="472"/>
      <c r="O75" s="472"/>
      <c r="P75" s="472"/>
      <c r="Q75" s="472"/>
      <c r="R75" s="472"/>
      <c r="S75" s="472"/>
      <c r="T75" s="472"/>
      <c r="U75" s="472"/>
      <c r="V75" s="472"/>
      <c r="W75" s="472"/>
      <c r="X75" s="472"/>
      <c r="Y75" s="472"/>
      <c r="Z75" s="472"/>
      <c r="AA75" s="472"/>
      <c r="AB75" s="472"/>
      <c r="AC75" s="472"/>
      <c r="AD75" s="472"/>
      <c r="AE75" s="3">
        <v>1</v>
      </c>
    </row>
    <row r="76" spans="1:31">
      <c r="A76" s="472"/>
      <c r="B76" s="1309" t="s">
        <v>7911</v>
      </c>
      <c r="C76" s="9"/>
      <c r="D76" s="9"/>
      <c r="E76" s="9"/>
      <c r="F76" s="1301" t="s">
        <v>7912</v>
      </c>
      <c r="G76" s="9"/>
      <c r="H76" s="9"/>
      <c r="I76" s="9"/>
      <c r="J76" s="1301" t="s">
        <v>7913</v>
      </c>
      <c r="K76" s="9"/>
      <c r="L76" s="9"/>
      <c r="M76" s="229"/>
      <c r="N76" s="472"/>
      <c r="O76" s="472"/>
      <c r="P76" s="472"/>
      <c r="Q76" s="472"/>
      <c r="R76" s="472"/>
      <c r="S76" s="472"/>
      <c r="T76" s="472"/>
      <c r="U76" s="472"/>
      <c r="V76" s="472"/>
      <c r="W76" s="472"/>
      <c r="X76" s="472"/>
      <c r="Y76" s="472"/>
      <c r="Z76" s="472"/>
      <c r="AA76" s="472"/>
      <c r="AB76" s="472"/>
      <c r="AC76" s="472"/>
      <c r="AD76" s="472"/>
      <c r="AE76" s="3">
        <v>1</v>
      </c>
    </row>
    <row r="77" spans="1:31">
      <c r="A77" s="472"/>
      <c r="B77" s="1309" t="s">
        <v>7914</v>
      </c>
      <c r="C77" s="9"/>
      <c r="D77" s="9"/>
      <c r="E77" s="9"/>
      <c r="F77" s="1301" t="s">
        <v>7915</v>
      </c>
      <c r="G77" s="9"/>
      <c r="H77" s="9"/>
      <c r="I77" s="9"/>
      <c r="J77" s="1301" t="s">
        <v>7916</v>
      </c>
      <c r="K77" s="9"/>
      <c r="L77" s="9"/>
      <c r="M77" s="229"/>
      <c r="N77" s="472"/>
      <c r="O77" s="472"/>
      <c r="P77" s="472"/>
      <c r="Q77" s="472"/>
      <c r="R77" s="472"/>
      <c r="S77" s="472"/>
      <c r="T77" s="472"/>
      <c r="U77" s="472"/>
      <c r="V77" s="472"/>
      <c r="W77" s="472"/>
      <c r="X77" s="472"/>
      <c r="Y77" s="472"/>
      <c r="Z77" s="472"/>
      <c r="AA77" s="472"/>
      <c r="AB77" s="472"/>
      <c r="AC77" s="472"/>
      <c r="AD77" s="472"/>
      <c r="AE77" s="3">
        <v>1</v>
      </c>
    </row>
    <row r="78" spans="1:31">
      <c r="A78" s="472"/>
      <c r="B78" s="1309" t="s">
        <v>7917</v>
      </c>
      <c r="C78" s="9"/>
      <c r="D78" s="9"/>
      <c r="E78" s="9"/>
      <c r="F78" s="1301" t="s">
        <v>7918</v>
      </c>
      <c r="G78" s="9"/>
      <c r="H78" s="9"/>
      <c r="I78" s="9"/>
      <c r="J78" s="1301" t="s">
        <v>7919</v>
      </c>
      <c r="K78" s="9"/>
      <c r="L78" s="9"/>
      <c r="M78" s="229"/>
      <c r="N78" s="472"/>
      <c r="O78" s="472"/>
      <c r="P78" s="472"/>
      <c r="Q78" s="472"/>
      <c r="R78" s="472"/>
      <c r="S78" s="472"/>
      <c r="T78" s="472"/>
      <c r="U78" s="472"/>
      <c r="V78" s="472"/>
      <c r="W78" s="472"/>
      <c r="X78" s="472"/>
      <c r="Y78" s="472"/>
      <c r="Z78" s="472"/>
      <c r="AA78" s="472"/>
      <c r="AB78" s="472"/>
      <c r="AC78" s="472"/>
      <c r="AD78" s="472"/>
      <c r="AE78" s="3">
        <v>1</v>
      </c>
    </row>
    <row r="79" spans="1:31">
      <c r="A79" s="472"/>
      <c r="B79" s="9"/>
      <c r="C79" s="9"/>
      <c r="D79" s="9"/>
      <c r="E79" s="9"/>
      <c r="F79" s="9"/>
      <c r="G79" s="9"/>
      <c r="H79" s="9"/>
      <c r="I79" s="9"/>
      <c r="J79" s="9"/>
      <c r="K79" s="9"/>
      <c r="L79" s="9"/>
      <c r="M79" s="229"/>
      <c r="N79" s="472"/>
      <c r="O79" s="472"/>
      <c r="P79" s="472"/>
      <c r="Q79" s="472"/>
      <c r="R79" s="472"/>
      <c r="S79" s="472"/>
      <c r="T79" s="472"/>
      <c r="U79" s="472"/>
      <c r="V79" s="472"/>
      <c r="W79" s="472"/>
      <c r="X79" s="472"/>
      <c r="Y79" s="472"/>
      <c r="Z79" s="472"/>
      <c r="AA79" s="472"/>
      <c r="AB79" s="472"/>
      <c r="AC79" s="472"/>
      <c r="AD79" s="472"/>
      <c r="AE79" s="3">
        <v>1</v>
      </c>
    </row>
    <row r="80" spans="1:31" ht="18.75">
      <c r="A80" s="472"/>
      <c r="B80" s="1300" t="s">
        <v>7920</v>
      </c>
      <c r="C80" s="9"/>
      <c r="D80" s="9"/>
      <c r="E80" s="9"/>
      <c r="F80" s="1300" t="s">
        <v>7921</v>
      </c>
      <c r="G80" s="9"/>
      <c r="H80" s="9"/>
      <c r="I80" s="9"/>
      <c r="J80" s="1300" t="s">
        <v>7922</v>
      </c>
      <c r="K80" s="9"/>
      <c r="L80" s="9"/>
      <c r="M80" s="229"/>
      <c r="N80" s="472"/>
      <c r="O80" s="472"/>
      <c r="P80" s="472"/>
      <c r="Q80" s="472"/>
      <c r="R80" s="472"/>
      <c r="S80" s="472"/>
      <c r="T80" s="472"/>
      <c r="U80" s="472"/>
      <c r="V80" s="472"/>
      <c r="W80" s="472"/>
      <c r="X80" s="472"/>
      <c r="Y80" s="472"/>
      <c r="Z80" s="472"/>
      <c r="AA80" s="472"/>
      <c r="AB80" s="472"/>
      <c r="AC80" s="472"/>
      <c r="AD80" s="472"/>
      <c r="AE80" s="3">
        <v>1</v>
      </c>
    </row>
    <row r="81" spans="1:31">
      <c r="A81" s="472"/>
      <c r="B81" s="1301"/>
      <c r="C81" s="9"/>
      <c r="D81" s="9"/>
      <c r="E81" s="9"/>
      <c r="F81" s="1301"/>
      <c r="G81" s="9"/>
      <c r="H81" s="9"/>
      <c r="I81" s="9"/>
      <c r="J81" s="1301"/>
      <c r="K81" s="9"/>
      <c r="L81" s="9"/>
      <c r="M81" s="229"/>
      <c r="N81" s="472"/>
      <c r="O81" s="472"/>
      <c r="P81" s="472"/>
      <c r="Q81" s="472"/>
      <c r="R81" s="472"/>
      <c r="S81" s="472"/>
      <c r="T81" s="472"/>
      <c r="U81" s="472"/>
      <c r="V81" s="472"/>
      <c r="W81" s="472"/>
      <c r="X81" s="472"/>
      <c r="Y81" s="472"/>
      <c r="Z81" s="472"/>
      <c r="AA81" s="472"/>
      <c r="AB81" s="472"/>
      <c r="AC81" s="472"/>
      <c r="AD81" s="472"/>
      <c r="AE81" s="3">
        <v>1</v>
      </c>
    </row>
    <row r="82" spans="1:31">
      <c r="A82" s="472"/>
      <c r="B82" s="1309" t="s">
        <v>7923</v>
      </c>
      <c r="C82" s="9"/>
      <c r="D82" s="9"/>
      <c r="E82" s="9"/>
      <c r="F82" s="1309" t="s">
        <v>7924</v>
      </c>
      <c r="G82" s="9"/>
      <c r="H82" s="9"/>
      <c r="I82" s="9"/>
      <c r="J82" s="1309" t="s">
        <v>7925</v>
      </c>
      <c r="K82" s="9"/>
      <c r="L82" s="9"/>
      <c r="M82" s="229"/>
      <c r="N82" s="472"/>
      <c r="O82" s="472"/>
      <c r="P82" s="472"/>
      <c r="Q82" s="472"/>
      <c r="R82" s="472"/>
      <c r="S82" s="472"/>
      <c r="T82" s="472"/>
      <c r="U82" s="472"/>
      <c r="V82" s="472"/>
      <c r="W82" s="472"/>
      <c r="X82" s="472"/>
      <c r="Y82" s="472"/>
      <c r="Z82" s="472"/>
      <c r="AA82" s="472"/>
      <c r="AB82" s="472"/>
      <c r="AC82" s="472"/>
      <c r="AD82" s="472"/>
      <c r="AE82" s="3">
        <v>1</v>
      </c>
    </row>
    <row r="83" spans="1:31">
      <c r="A83" s="472"/>
      <c r="B83" s="1309" t="s">
        <v>7926</v>
      </c>
      <c r="C83" s="9"/>
      <c r="D83" s="9"/>
      <c r="E83" s="9"/>
      <c r="F83" s="1309" t="s">
        <v>7927</v>
      </c>
      <c r="G83" s="9"/>
      <c r="H83" s="9"/>
      <c r="I83" s="9"/>
      <c r="J83" s="1309" t="s">
        <v>7928</v>
      </c>
      <c r="K83" s="9"/>
      <c r="L83" s="9"/>
      <c r="M83" s="229"/>
      <c r="N83" s="472"/>
      <c r="O83" s="472"/>
      <c r="P83" s="472"/>
      <c r="Q83" s="472"/>
      <c r="R83" s="472"/>
      <c r="S83" s="472"/>
      <c r="T83" s="472"/>
      <c r="U83" s="472"/>
      <c r="V83" s="472"/>
      <c r="W83" s="472"/>
      <c r="X83" s="472"/>
      <c r="Y83" s="472"/>
      <c r="Z83" s="472"/>
      <c r="AA83" s="472"/>
      <c r="AB83" s="472"/>
      <c r="AC83" s="472"/>
      <c r="AD83" s="472"/>
      <c r="AE83" s="3">
        <v>1</v>
      </c>
    </row>
    <row r="84" spans="1:31">
      <c r="A84" s="472"/>
      <c r="B84" s="1309" t="s">
        <v>7929</v>
      </c>
      <c r="C84" s="9"/>
      <c r="D84" s="9"/>
      <c r="E84" s="9"/>
      <c r="F84" s="1309" t="s">
        <v>7930</v>
      </c>
      <c r="G84" s="9"/>
      <c r="H84" s="9"/>
      <c r="I84" s="9"/>
      <c r="J84" s="1309" t="s">
        <v>7931</v>
      </c>
      <c r="K84" s="9"/>
      <c r="L84" s="9"/>
      <c r="M84" s="229"/>
      <c r="N84" s="472"/>
      <c r="O84" s="472"/>
      <c r="P84" s="472"/>
      <c r="Q84" s="472"/>
      <c r="R84" s="472"/>
      <c r="S84" s="472"/>
      <c r="T84" s="472"/>
      <c r="U84" s="472"/>
      <c r="V84" s="472"/>
      <c r="W84" s="472"/>
      <c r="X84" s="472"/>
      <c r="Y84" s="472"/>
      <c r="Z84" s="472"/>
      <c r="AA84" s="472"/>
      <c r="AB84" s="472"/>
      <c r="AC84" s="472"/>
      <c r="AD84" s="472"/>
      <c r="AE84" s="3">
        <v>1</v>
      </c>
    </row>
    <row r="85" spans="1:31">
      <c r="A85" s="472"/>
      <c r="B85" s="1309" t="s">
        <v>7932</v>
      </c>
      <c r="C85" s="9"/>
      <c r="D85" s="9"/>
      <c r="E85" s="9"/>
      <c r="F85" s="1309" t="s">
        <v>7933</v>
      </c>
      <c r="G85" s="9"/>
      <c r="H85" s="9"/>
      <c r="I85" s="9"/>
      <c r="J85" s="1309" t="s">
        <v>7934</v>
      </c>
      <c r="K85" s="9"/>
      <c r="L85" s="9"/>
      <c r="M85" s="229"/>
      <c r="N85" s="472"/>
      <c r="O85" s="472"/>
      <c r="P85" s="472"/>
      <c r="Q85" s="472"/>
      <c r="R85" s="472"/>
      <c r="S85" s="472"/>
      <c r="T85" s="472"/>
      <c r="U85" s="472"/>
      <c r="V85" s="472"/>
      <c r="W85" s="472"/>
      <c r="X85" s="472"/>
      <c r="Y85" s="472"/>
      <c r="Z85" s="472"/>
      <c r="AA85" s="472"/>
      <c r="AB85" s="472"/>
      <c r="AC85" s="472"/>
      <c r="AD85" s="472"/>
      <c r="AE85" s="3">
        <v>1</v>
      </c>
    </row>
    <row r="86" spans="1:31">
      <c r="A86" s="472"/>
      <c r="B86" s="1309" t="s">
        <v>7935</v>
      </c>
      <c r="C86" s="9"/>
      <c r="D86" s="9"/>
      <c r="E86" s="9"/>
      <c r="F86" s="1309" t="s">
        <v>7936</v>
      </c>
      <c r="G86" s="9"/>
      <c r="H86" s="9"/>
      <c r="I86" s="9"/>
      <c r="J86" s="1309" t="s">
        <v>7937</v>
      </c>
      <c r="K86" s="9"/>
      <c r="L86" s="9"/>
      <c r="M86" s="229"/>
      <c r="N86" s="472"/>
      <c r="O86" s="472"/>
      <c r="P86" s="472"/>
      <c r="Q86" s="472"/>
      <c r="R86" s="472"/>
      <c r="S86" s="472"/>
      <c r="T86" s="472"/>
      <c r="U86" s="472"/>
      <c r="V86" s="472"/>
      <c r="W86" s="472"/>
      <c r="X86" s="472"/>
      <c r="Y86" s="472"/>
      <c r="Z86" s="472"/>
      <c r="AA86" s="472"/>
      <c r="AB86" s="472"/>
      <c r="AC86" s="472"/>
      <c r="AD86" s="472"/>
      <c r="AE86" s="3">
        <v>1</v>
      </c>
    </row>
    <row r="87" spans="1:31">
      <c r="A87" s="472"/>
      <c r="B87" s="9"/>
      <c r="C87" s="9"/>
      <c r="D87" s="9"/>
      <c r="E87" s="9"/>
      <c r="F87" s="1301"/>
      <c r="G87" s="9"/>
      <c r="H87" s="9"/>
      <c r="I87" s="9"/>
      <c r="J87" s="1301"/>
      <c r="K87" s="9"/>
      <c r="L87" s="9"/>
      <c r="M87" s="229"/>
      <c r="N87" s="472"/>
      <c r="O87" s="472"/>
      <c r="P87" s="472"/>
      <c r="Q87" s="472"/>
      <c r="R87" s="472"/>
      <c r="S87" s="472"/>
      <c r="T87" s="472"/>
      <c r="U87" s="472"/>
      <c r="V87" s="472"/>
      <c r="W87" s="472"/>
      <c r="X87" s="472"/>
      <c r="Y87" s="472"/>
      <c r="Z87" s="472"/>
      <c r="AA87" s="472"/>
      <c r="AB87" s="472"/>
      <c r="AC87" s="472"/>
      <c r="AD87" s="472"/>
      <c r="AE87" s="3">
        <v>1</v>
      </c>
    </row>
    <row r="88" spans="1:31" ht="18.75">
      <c r="A88" s="472"/>
      <c r="B88" s="1300" t="s">
        <v>7938</v>
      </c>
      <c r="C88" s="9"/>
      <c r="D88" s="9"/>
      <c r="E88" s="9"/>
      <c r="F88" s="1300" t="s">
        <v>7939</v>
      </c>
      <c r="G88" s="9"/>
      <c r="H88" s="9"/>
      <c r="I88" s="9"/>
      <c r="J88" s="1300" t="s">
        <v>7940</v>
      </c>
      <c r="K88" s="9"/>
      <c r="L88" s="9"/>
      <c r="M88" s="229"/>
      <c r="N88" s="472"/>
      <c r="O88" s="472"/>
      <c r="P88" s="472"/>
      <c r="Q88" s="472"/>
      <c r="R88" s="472"/>
      <c r="S88" s="472"/>
      <c r="T88" s="472"/>
      <c r="U88" s="472"/>
      <c r="V88" s="472"/>
      <c r="W88" s="472"/>
      <c r="X88" s="472"/>
      <c r="Y88" s="472"/>
      <c r="Z88" s="472"/>
      <c r="AA88" s="472"/>
      <c r="AB88" s="472"/>
      <c r="AC88" s="472"/>
      <c r="AD88" s="472"/>
      <c r="AE88" s="3">
        <v>1</v>
      </c>
    </row>
    <row r="89" spans="1:31">
      <c r="A89" s="472"/>
      <c r="B89" s="1301"/>
      <c r="C89" s="9"/>
      <c r="D89" s="9"/>
      <c r="E89" s="9"/>
      <c r="F89" s="9"/>
      <c r="G89" s="9"/>
      <c r="H89" s="9"/>
      <c r="I89" s="9"/>
      <c r="J89" s="9"/>
      <c r="K89" s="9"/>
      <c r="L89" s="9"/>
      <c r="M89" s="229"/>
      <c r="N89" s="472"/>
      <c r="O89" s="472"/>
      <c r="P89" s="472"/>
      <c r="Q89" s="472"/>
      <c r="R89" s="472"/>
      <c r="S89" s="472"/>
      <c r="T89" s="472"/>
      <c r="U89" s="472"/>
      <c r="V89" s="472"/>
      <c r="W89" s="472"/>
      <c r="X89" s="472"/>
      <c r="Y89" s="472"/>
      <c r="Z89" s="472"/>
      <c r="AA89" s="472"/>
      <c r="AB89" s="472"/>
      <c r="AC89" s="472"/>
      <c r="AD89" s="472"/>
      <c r="AE89" s="3">
        <v>1</v>
      </c>
    </row>
    <row r="90" spans="1:31">
      <c r="A90" s="472"/>
      <c r="B90" s="1309" t="s">
        <v>7941</v>
      </c>
      <c r="C90" s="9"/>
      <c r="D90" s="9"/>
      <c r="E90" s="9"/>
      <c r="F90" s="878" t="s">
        <v>7942</v>
      </c>
      <c r="G90" s="9"/>
      <c r="H90" s="9"/>
      <c r="I90" s="9"/>
      <c r="J90" s="878" t="s">
        <v>7943</v>
      </c>
      <c r="K90" s="9"/>
      <c r="L90" s="9"/>
      <c r="M90" s="229"/>
      <c r="N90" s="472"/>
      <c r="O90" s="472"/>
      <c r="P90" s="472"/>
      <c r="Q90" s="472"/>
      <c r="R90" s="472"/>
      <c r="S90" s="472"/>
      <c r="T90" s="472"/>
      <c r="U90" s="472"/>
      <c r="V90" s="472"/>
      <c r="W90" s="472"/>
      <c r="X90" s="472"/>
      <c r="Y90" s="472"/>
      <c r="Z90" s="472"/>
      <c r="AA90" s="472"/>
      <c r="AB90" s="472"/>
      <c r="AC90" s="472"/>
      <c r="AD90" s="472"/>
      <c r="AE90" s="3">
        <v>1</v>
      </c>
    </row>
    <row r="91" spans="1:31">
      <c r="A91" s="472"/>
      <c r="B91" s="1309" t="s">
        <v>7944</v>
      </c>
      <c r="C91" s="9"/>
      <c r="D91" s="9"/>
      <c r="E91" s="9"/>
      <c r="F91" s="878" t="s">
        <v>7945</v>
      </c>
      <c r="G91" s="9"/>
      <c r="H91" s="9"/>
      <c r="I91" s="9"/>
      <c r="J91" s="878" t="s">
        <v>7946</v>
      </c>
      <c r="K91" s="9"/>
      <c r="L91" s="9"/>
      <c r="M91" s="229"/>
      <c r="N91" s="472"/>
      <c r="O91" s="472"/>
      <c r="P91" s="472"/>
      <c r="Q91" s="472"/>
      <c r="R91" s="472"/>
      <c r="S91" s="472"/>
      <c r="T91" s="472"/>
      <c r="U91" s="472"/>
      <c r="V91" s="472"/>
      <c r="W91" s="472"/>
      <c r="X91" s="472"/>
      <c r="Y91" s="472"/>
      <c r="Z91" s="472"/>
      <c r="AA91" s="472"/>
      <c r="AB91" s="472"/>
      <c r="AC91" s="472"/>
      <c r="AD91" s="472"/>
      <c r="AE91" s="3">
        <v>1</v>
      </c>
    </row>
    <row r="92" spans="1:31">
      <c r="A92" s="472"/>
      <c r="B92" s="1301"/>
      <c r="C92" s="9"/>
      <c r="D92" s="9"/>
      <c r="E92" s="9"/>
      <c r="F92" s="9"/>
      <c r="G92" s="9"/>
      <c r="H92" s="9"/>
      <c r="I92" s="9"/>
      <c r="J92" s="9"/>
      <c r="K92" s="9"/>
      <c r="L92" s="9"/>
      <c r="M92" s="229"/>
      <c r="N92" s="472"/>
      <c r="O92" s="472"/>
      <c r="P92" s="472"/>
      <c r="Q92" s="472"/>
      <c r="R92" s="472"/>
      <c r="S92" s="472"/>
      <c r="T92" s="472"/>
      <c r="U92" s="472"/>
      <c r="V92" s="472"/>
      <c r="W92" s="472"/>
      <c r="X92" s="472"/>
      <c r="Y92" s="472"/>
      <c r="Z92" s="472"/>
      <c r="AA92" s="472"/>
      <c r="AB92" s="472"/>
      <c r="AC92" s="472"/>
      <c r="AD92" s="472"/>
      <c r="AE92" s="3">
        <v>1</v>
      </c>
    </row>
    <row r="93" spans="1:31">
      <c r="A93" s="472"/>
      <c r="B93" s="1309" t="s">
        <v>7947</v>
      </c>
      <c r="C93" s="9"/>
      <c r="D93" s="9"/>
      <c r="E93" s="9"/>
      <c r="F93" s="878" t="s">
        <v>7948</v>
      </c>
      <c r="G93" s="9"/>
      <c r="H93" s="9"/>
      <c r="I93" s="9"/>
      <c r="J93" s="878" t="s">
        <v>7949</v>
      </c>
      <c r="K93" s="9"/>
      <c r="L93" s="9"/>
      <c r="M93" s="229"/>
      <c r="N93" s="472"/>
      <c r="O93" s="472"/>
      <c r="P93" s="472"/>
      <c r="Q93" s="472"/>
      <c r="R93" s="472"/>
      <c r="S93" s="472"/>
      <c r="T93" s="472"/>
      <c r="U93" s="472"/>
      <c r="V93" s="472"/>
      <c r="W93" s="472"/>
      <c r="X93" s="472"/>
      <c r="Y93" s="472"/>
      <c r="Z93" s="472"/>
      <c r="AA93" s="472"/>
      <c r="AB93" s="472"/>
      <c r="AC93" s="472"/>
      <c r="AD93" s="472"/>
      <c r="AE93" s="3">
        <v>1</v>
      </c>
    </row>
    <row r="94" spans="1:31">
      <c r="A94" s="472"/>
      <c r="B94" s="1309" t="s">
        <v>7950</v>
      </c>
      <c r="C94" s="9"/>
      <c r="D94" s="9"/>
      <c r="E94" s="9"/>
      <c r="F94" s="878" t="s">
        <v>7951</v>
      </c>
      <c r="G94" s="9"/>
      <c r="H94" s="9"/>
      <c r="I94" s="9"/>
      <c r="J94" s="878" t="s">
        <v>7952</v>
      </c>
      <c r="K94" s="9"/>
      <c r="L94" s="9"/>
      <c r="M94" s="229"/>
      <c r="N94" s="472"/>
      <c r="O94" s="472"/>
      <c r="P94" s="472"/>
      <c r="Q94" s="472"/>
      <c r="R94" s="472"/>
      <c r="S94" s="472"/>
      <c r="T94" s="472"/>
      <c r="U94" s="472"/>
      <c r="V94" s="472"/>
      <c r="W94" s="472"/>
      <c r="X94" s="472"/>
      <c r="Y94" s="472"/>
      <c r="Z94" s="472"/>
      <c r="AA94" s="472"/>
      <c r="AB94" s="472"/>
      <c r="AC94" s="472"/>
      <c r="AD94" s="472"/>
      <c r="AE94" s="3">
        <v>1</v>
      </c>
    </row>
    <row r="95" spans="1:31">
      <c r="A95" s="472"/>
      <c r="B95" s="1301"/>
      <c r="C95" s="9"/>
      <c r="D95" s="9"/>
      <c r="E95" s="9"/>
      <c r="F95" s="9"/>
      <c r="G95" s="9"/>
      <c r="H95" s="9"/>
      <c r="I95" s="9"/>
      <c r="J95" s="9"/>
      <c r="K95" s="9"/>
      <c r="L95" s="9"/>
      <c r="M95" s="229"/>
      <c r="N95" s="472"/>
      <c r="O95" s="472"/>
      <c r="P95" s="472"/>
      <c r="Q95" s="472"/>
      <c r="R95" s="472"/>
      <c r="S95" s="472"/>
      <c r="T95" s="472"/>
      <c r="U95" s="472"/>
      <c r="V95" s="472"/>
      <c r="W95" s="472"/>
      <c r="X95" s="472"/>
      <c r="Y95" s="472"/>
      <c r="Z95" s="472"/>
      <c r="AA95" s="472"/>
      <c r="AB95" s="472"/>
      <c r="AC95" s="472"/>
      <c r="AD95" s="472"/>
      <c r="AE95" s="3">
        <v>1</v>
      </c>
    </row>
    <row r="96" spans="1:31">
      <c r="A96" s="472"/>
      <c r="B96" s="1309" t="s">
        <v>7953</v>
      </c>
      <c r="C96" s="9"/>
      <c r="D96" s="9"/>
      <c r="E96" s="9"/>
      <c r="F96" s="878" t="s">
        <v>7954</v>
      </c>
      <c r="G96" s="9"/>
      <c r="H96" s="9"/>
      <c r="I96" s="9"/>
      <c r="J96" s="878" t="s">
        <v>7955</v>
      </c>
      <c r="K96" s="9"/>
      <c r="L96" s="9"/>
      <c r="M96" s="229"/>
      <c r="N96" s="472"/>
      <c r="O96" s="472"/>
      <c r="P96" s="472"/>
      <c r="Q96" s="472"/>
      <c r="R96" s="472"/>
      <c r="S96" s="472"/>
      <c r="T96" s="472"/>
      <c r="U96" s="472"/>
      <c r="V96" s="472"/>
      <c r="W96" s="472"/>
      <c r="X96" s="472"/>
      <c r="Y96" s="472"/>
      <c r="Z96" s="472"/>
      <c r="AA96" s="472"/>
      <c r="AB96" s="472"/>
      <c r="AC96" s="472"/>
      <c r="AD96" s="472"/>
      <c r="AE96" s="3">
        <v>1</v>
      </c>
    </row>
    <row r="97" spans="1:31">
      <c r="A97" s="472"/>
      <c r="B97" s="1309" t="s">
        <v>7956</v>
      </c>
      <c r="C97" s="9"/>
      <c r="D97" s="9"/>
      <c r="E97" s="9"/>
      <c r="F97" s="878" t="s">
        <v>7957</v>
      </c>
      <c r="G97" s="9"/>
      <c r="H97" s="9"/>
      <c r="I97" s="9"/>
      <c r="J97" s="878" t="s">
        <v>7958</v>
      </c>
      <c r="K97" s="9"/>
      <c r="L97" s="9"/>
      <c r="M97" s="229"/>
      <c r="N97" s="472"/>
      <c r="O97" s="472"/>
      <c r="P97" s="472"/>
      <c r="Q97" s="472"/>
      <c r="R97" s="472"/>
      <c r="S97" s="472"/>
      <c r="T97" s="472"/>
      <c r="U97" s="472"/>
      <c r="V97" s="472"/>
      <c r="W97" s="472"/>
      <c r="X97" s="472"/>
      <c r="Y97" s="472"/>
      <c r="Z97" s="472"/>
      <c r="AA97" s="472"/>
      <c r="AB97" s="472"/>
      <c r="AC97" s="472"/>
      <c r="AD97" s="472"/>
      <c r="AE97" s="3">
        <v>1</v>
      </c>
    </row>
    <row r="98" spans="1:31">
      <c r="A98" s="472"/>
      <c r="B98" s="9"/>
      <c r="C98" s="9"/>
      <c r="D98" s="9"/>
      <c r="E98" s="9"/>
      <c r="F98" s="9"/>
      <c r="G98" s="9"/>
      <c r="H98" s="9"/>
      <c r="I98" s="9"/>
      <c r="J98" s="9"/>
      <c r="K98" s="9"/>
      <c r="L98" s="9"/>
      <c r="M98" s="229"/>
      <c r="N98" s="472"/>
      <c r="O98" s="472"/>
      <c r="P98" s="472"/>
      <c r="Q98" s="472"/>
      <c r="R98" s="472"/>
      <c r="S98" s="472"/>
      <c r="T98" s="472"/>
      <c r="U98" s="472"/>
      <c r="V98" s="472"/>
      <c r="W98" s="472"/>
      <c r="X98" s="472"/>
      <c r="Y98" s="472"/>
      <c r="Z98" s="472"/>
      <c r="AA98" s="472"/>
      <c r="AB98" s="472"/>
      <c r="AC98" s="472"/>
      <c r="AD98" s="472"/>
      <c r="AE98" s="3">
        <v>1</v>
      </c>
    </row>
    <row r="99" spans="1:31" ht="18.75">
      <c r="A99" s="472"/>
      <c r="B99" s="1300" t="s">
        <v>7959</v>
      </c>
      <c r="C99" s="9"/>
      <c r="D99" s="9"/>
      <c r="E99" s="9"/>
      <c r="F99" s="1300" t="s">
        <v>7960</v>
      </c>
      <c r="G99" s="9"/>
      <c r="H99" s="9"/>
      <c r="I99" s="9"/>
      <c r="J99" s="1300" t="s">
        <v>7961</v>
      </c>
      <c r="K99" s="9"/>
      <c r="L99" s="9"/>
      <c r="M99" s="229"/>
      <c r="N99" s="472"/>
      <c r="O99" s="472"/>
      <c r="P99" s="472"/>
      <c r="Q99" s="472"/>
      <c r="R99" s="472"/>
      <c r="S99" s="472"/>
      <c r="T99" s="472"/>
      <c r="U99" s="472"/>
      <c r="V99" s="472"/>
      <c r="W99" s="472"/>
      <c r="X99" s="472"/>
      <c r="Y99" s="472"/>
      <c r="Z99" s="472"/>
      <c r="AA99" s="472"/>
      <c r="AB99" s="472"/>
      <c r="AC99" s="472"/>
      <c r="AD99" s="472"/>
      <c r="AE99" s="3">
        <v>1</v>
      </c>
    </row>
    <row r="100" spans="1:31">
      <c r="A100" s="472"/>
      <c r="B100" s="9"/>
      <c r="C100" s="9"/>
      <c r="D100" s="9"/>
      <c r="E100" s="9"/>
      <c r="F100" s="9"/>
      <c r="G100" s="9"/>
      <c r="H100" s="9"/>
      <c r="I100" s="9"/>
      <c r="J100" s="9"/>
      <c r="K100" s="9"/>
      <c r="L100" s="9"/>
      <c r="M100" s="229"/>
      <c r="N100" s="472"/>
      <c r="O100" s="472"/>
      <c r="P100" s="472"/>
      <c r="Q100" s="472"/>
      <c r="R100" s="472"/>
      <c r="S100" s="472"/>
      <c r="T100" s="472"/>
      <c r="U100" s="472"/>
      <c r="V100" s="472"/>
      <c r="W100" s="472"/>
      <c r="X100" s="472"/>
      <c r="Y100" s="472"/>
      <c r="Z100" s="472"/>
      <c r="AA100" s="472"/>
      <c r="AB100" s="472"/>
      <c r="AC100" s="472"/>
      <c r="AD100" s="472"/>
      <c r="AE100" s="3">
        <v>1</v>
      </c>
    </row>
    <row r="101" spans="1:31">
      <c r="A101" s="472"/>
      <c r="B101" s="878" t="s">
        <v>7962</v>
      </c>
      <c r="C101" s="9"/>
      <c r="D101" s="9"/>
      <c r="E101" s="9"/>
      <c r="F101" s="9" t="s">
        <v>7963</v>
      </c>
      <c r="G101" s="9"/>
      <c r="H101" s="9"/>
      <c r="I101" s="9"/>
      <c r="J101" s="9" t="s">
        <v>7964</v>
      </c>
      <c r="K101" s="9"/>
      <c r="L101" s="9"/>
      <c r="M101" s="229"/>
      <c r="N101" s="472"/>
      <c r="O101" s="472"/>
      <c r="P101" s="472"/>
      <c r="Q101" s="472"/>
      <c r="R101" s="472"/>
      <c r="S101" s="472"/>
      <c r="T101" s="472"/>
      <c r="U101" s="472"/>
      <c r="V101" s="472"/>
      <c r="W101" s="472"/>
      <c r="X101" s="472"/>
      <c r="Y101" s="472"/>
      <c r="Z101" s="472"/>
      <c r="AA101" s="472"/>
      <c r="AB101" s="472"/>
      <c r="AC101" s="472"/>
      <c r="AD101" s="472"/>
      <c r="AE101" s="3">
        <v>1</v>
      </c>
    </row>
    <row r="102" spans="1:31">
      <c r="A102" s="472"/>
      <c r="B102" s="878" t="s">
        <v>7965</v>
      </c>
      <c r="C102" s="9"/>
      <c r="D102" s="9"/>
      <c r="E102" s="9"/>
      <c r="F102" s="9" t="s">
        <v>7966</v>
      </c>
      <c r="G102" s="9"/>
      <c r="H102" s="9"/>
      <c r="I102" s="9"/>
      <c r="J102" s="9" t="s">
        <v>7967</v>
      </c>
      <c r="K102" s="9"/>
      <c r="L102" s="9"/>
      <c r="M102" s="229"/>
      <c r="N102" s="472"/>
      <c r="O102" s="472"/>
      <c r="P102" s="472"/>
      <c r="Q102" s="472"/>
      <c r="R102" s="472"/>
      <c r="S102" s="472"/>
      <c r="T102" s="472"/>
      <c r="U102" s="472"/>
      <c r="V102" s="472"/>
      <c r="W102" s="472"/>
      <c r="X102" s="472"/>
      <c r="Y102" s="472"/>
      <c r="Z102" s="472"/>
      <c r="AA102" s="472"/>
      <c r="AB102" s="472"/>
      <c r="AC102" s="472"/>
      <c r="AD102" s="472"/>
      <c r="AE102" s="3">
        <v>1</v>
      </c>
    </row>
    <row r="103" spans="1:31">
      <c r="A103" s="472"/>
      <c r="B103" s="9"/>
      <c r="C103" s="9"/>
      <c r="D103" s="9"/>
      <c r="E103" s="9"/>
      <c r="F103" s="9"/>
      <c r="G103" s="9"/>
      <c r="H103" s="9"/>
      <c r="I103" s="9"/>
      <c r="J103" s="9"/>
      <c r="K103" s="9"/>
      <c r="L103" s="9"/>
      <c r="M103" s="229"/>
      <c r="N103" s="472"/>
      <c r="O103" s="472"/>
      <c r="P103" s="472"/>
      <c r="Q103" s="472"/>
      <c r="R103" s="472"/>
      <c r="S103" s="472"/>
      <c r="T103" s="472"/>
      <c r="U103" s="472"/>
      <c r="V103" s="472"/>
      <c r="W103" s="472"/>
      <c r="X103" s="472"/>
      <c r="Y103" s="472"/>
      <c r="Z103" s="472"/>
      <c r="AA103" s="472"/>
      <c r="AB103" s="472"/>
      <c r="AC103" s="472"/>
      <c r="AD103" s="472"/>
      <c r="AE103" s="3">
        <v>1</v>
      </c>
    </row>
    <row r="104" spans="1:31">
      <c r="A104" s="472"/>
      <c r="B104" s="1312" t="s">
        <v>7968</v>
      </c>
      <c r="C104" s="9"/>
      <c r="D104" s="9"/>
      <c r="E104" s="9"/>
      <c r="F104" s="9" t="s">
        <v>7969</v>
      </c>
      <c r="G104" s="9"/>
      <c r="H104" s="9"/>
      <c r="I104" s="9"/>
      <c r="J104" s="9" t="s">
        <v>7970</v>
      </c>
      <c r="K104" s="9"/>
      <c r="L104" s="9"/>
      <c r="M104" s="229"/>
      <c r="N104" s="472"/>
      <c r="O104" s="472"/>
      <c r="P104" s="472"/>
      <c r="Q104" s="472"/>
      <c r="R104" s="472"/>
      <c r="S104" s="472"/>
      <c r="T104" s="472"/>
      <c r="U104" s="472"/>
      <c r="V104" s="472"/>
      <c r="W104" s="472"/>
      <c r="X104" s="472"/>
      <c r="Y104" s="472"/>
      <c r="Z104" s="472"/>
      <c r="AA104" s="472"/>
      <c r="AB104" s="472"/>
      <c r="AC104" s="472"/>
      <c r="AD104" s="472"/>
      <c r="AE104" s="3">
        <v>1</v>
      </c>
    </row>
    <row r="105" spans="1:31">
      <c r="A105" s="472"/>
      <c r="B105" s="9"/>
      <c r="C105" s="9"/>
      <c r="D105" s="9"/>
      <c r="E105" s="9"/>
      <c r="F105" s="9"/>
      <c r="G105" s="9"/>
      <c r="H105" s="9"/>
      <c r="I105" s="9"/>
      <c r="J105" s="9"/>
      <c r="K105" s="9"/>
      <c r="L105" s="9"/>
      <c r="M105" s="229"/>
      <c r="N105" s="472"/>
      <c r="O105" s="472"/>
      <c r="P105" s="472"/>
      <c r="Q105" s="472"/>
      <c r="R105" s="472"/>
      <c r="S105" s="472"/>
      <c r="T105" s="472"/>
      <c r="U105" s="472"/>
      <c r="V105" s="472"/>
      <c r="W105" s="472"/>
      <c r="X105" s="472"/>
      <c r="Y105" s="472"/>
      <c r="Z105" s="472"/>
      <c r="AA105" s="472"/>
      <c r="AB105" s="472"/>
      <c r="AC105" s="472"/>
      <c r="AD105" s="472"/>
      <c r="AE105" s="3">
        <v>1</v>
      </c>
    </row>
    <row r="106" spans="1:31" ht="18.75">
      <c r="A106" s="472"/>
      <c r="B106" s="1300" t="s">
        <v>7971</v>
      </c>
      <c r="C106" s="9"/>
      <c r="D106" s="9"/>
      <c r="E106" s="9"/>
      <c r="F106" s="1300" t="s">
        <v>7972</v>
      </c>
      <c r="G106" s="9"/>
      <c r="H106" s="9"/>
      <c r="I106" s="9"/>
      <c r="J106" s="1300" t="s">
        <v>7973</v>
      </c>
      <c r="K106" s="9"/>
      <c r="L106" s="9"/>
      <c r="M106" s="229"/>
      <c r="N106" s="472"/>
      <c r="O106" s="472"/>
      <c r="P106" s="472"/>
      <c r="Q106" s="472"/>
      <c r="R106" s="472"/>
      <c r="S106" s="472"/>
      <c r="T106" s="472"/>
      <c r="U106" s="472"/>
      <c r="V106" s="472"/>
      <c r="W106" s="472"/>
      <c r="X106" s="472"/>
      <c r="Y106" s="472"/>
      <c r="Z106" s="472"/>
      <c r="AA106" s="472"/>
      <c r="AB106" s="472"/>
      <c r="AC106" s="472"/>
      <c r="AD106" s="472"/>
      <c r="AE106" s="3">
        <v>1</v>
      </c>
    </row>
    <row r="107" spans="1:31">
      <c r="A107" s="472"/>
      <c r="B107" s="9"/>
      <c r="C107" s="9"/>
      <c r="D107" s="9"/>
      <c r="E107" s="9"/>
      <c r="F107" s="9"/>
      <c r="G107" s="9"/>
      <c r="H107" s="9"/>
      <c r="I107" s="9"/>
      <c r="J107" s="9"/>
      <c r="K107" s="9"/>
      <c r="L107" s="9"/>
      <c r="M107" s="229"/>
      <c r="N107" s="472"/>
      <c r="O107" s="472"/>
      <c r="P107" s="472"/>
      <c r="Q107" s="472"/>
      <c r="R107" s="472"/>
      <c r="S107" s="472"/>
      <c r="T107" s="472"/>
      <c r="U107" s="472"/>
      <c r="V107" s="472"/>
      <c r="W107" s="472"/>
      <c r="X107" s="472"/>
      <c r="Y107" s="472"/>
      <c r="Z107" s="472"/>
      <c r="AA107" s="472"/>
      <c r="AB107" s="472"/>
      <c r="AC107" s="472"/>
      <c r="AD107" s="472"/>
      <c r="AE107" s="3">
        <v>1</v>
      </c>
    </row>
    <row r="108" spans="1:31" ht="18.75">
      <c r="A108" s="472"/>
      <c r="B108" s="1300" t="s">
        <v>7974</v>
      </c>
      <c r="C108" s="9"/>
      <c r="D108" s="9"/>
      <c r="E108" s="9"/>
      <c r="F108" s="1300" t="s">
        <v>7975</v>
      </c>
      <c r="G108" s="9"/>
      <c r="H108" s="9"/>
      <c r="I108" s="9"/>
      <c r="J108" s="1300" t="s">
        <v>7976</v>
      </c>
      <c r="K108" s="9"/>
      <c r="L108" s="9"/>
      <c r="M108" s="229"/>
      <c r="N108" s="472"/>
      <c r="O108" s="472"/>
      <c r="P108" s="472"/>
      <c r="Q108" s="472"/>
      <c r="R108" s="472"/>
      <c r="S108" s="472"/>
      <c r="T108" s="472"/>
      <c r="U108" s="472"/>
      <c r="V108" s="472"/>
      <c r="W108" s="472"/>
      <c r="X108" s="472"/>
      <c r="Y108" s="472"/>
      <c r="Z108" s="472"/>
      <c r="AA108" s="472"/>
      <c r="AB108" s="472"/>
      <c r="AC108" s="472"/>
      <c r="AD108" s="472"/>
      <c r="AE108" s="3">
        <v>1</v>
      </c>
    </row>
    <row r="109" spans="1:31">
      <c r="A109" s="472"/>
      <c r="B109" s="1301"/>
      <c r="C109" s="9"/>
      <c r="D109" s="9"/>
      <c r="E109" s="9"/>
      <c r="F109" s="9"/>
      <c r="G109" s="9"/>
      <c r="H109" s="9"/>
      <c r="I109" s="9"/>
      <c r="J109" s="9"/>
      <c r="K109" s="9"/>
      <c r="L109" s="9"/>
      <c r="M109" s="229"/>
      <c r="N109" s="472"/>
      <c r="O109" s="472"/>
      <c r="P109" s="472"/>
      <c r="Q109" s="472"/>
      <c r="R109" s="472"/>
      <c r="S109" s="472"/>
      <c r="T109" s="472"/>
      <c r="U109" s="472"/>
      <c r="V109" s="472"/>
      <c r="W109" s="472"/>
      <c r="X109" s="472"/>
      <c r="Y109" s="472"/>
      <c r="Z109" s="472"/>
      <c r="AA109" s="472"/>
      <c r="AB109" s="472"/>
      <c r="AC109" s="472"/>
      <c r="AD109" s="472"/>
      <c r="AE109" s="3">
        <v>1</v>
      </c>
    </row>
    <row r="110" spans="1:31">
      <c r="A110" s="472"/>
      <c r="B110" s="1309" t="s">
        <v>7977</v>
      </c>
      <c r="C110" s="9"/>
      <c r="D110" s="9"/>
      <c r="E110" s="9"/>
      <c r="F110" s="878" t="s">
        <v>7978</v>
      </c>
      <c r="G110" s="9"/>
      <c r="H110" s="9"/>
      <c r="I110" s="9"/>
      <c r="J110" s="878" t="s">
        <v>7979</v>
      </c>
      <c r="K110" s="9"/>
      <c r="L110" s="9"/>
      <c r="M110" s="229"/>
      <c r="N110" s="472"/>
      <c r="O110" s="472"/>
      <c r="P110" s="472"/>
      <c r="Q110" s="472"/>
      <c r="R110" s="472"/>
      <c r="S110" s="472"/>
      <c r="T110" s="472"/>
      <c r="U110" s="472"/>
      <c r="V110" s="472"/>
      <c r="W110" s="472"/>
      <c r="X110" s="472"/>
      <c r="Y110" s="472"/>
      <c r="Z110" s="472"/>
      <c r="AA110" s="472"/>
      <c r="AB110" s="472"/>
      <c r="AC110" s="472"/>
      <c r="AD110" s="472"/>
      <c r="AE110" s="3">
        <v>1</v>
      </c>
    </row>
    <row r="111" spans="1:31">
      <c r="A111" s="472"/>
      <c r="B111" s="1301" t="s">
        <v>7980</v>
      </c>
      <c r="C111" s="9"/>
      <c r="D111" s="9"/>
      <c r="E111" s="9"/>
      <c r="F111" s="9" t="s">
        <v>7981</v>
      </c>
      <c r="G111" s="9"/>
      <c r="H111" s="9"/>
      <c r="I111" s="9"/>
      <c r="J111" s="9" t="s">
        <v>7982</v>
      </c>
      <c r="K111" s="9"/>
      <c r="L111" s="9"/>
      <c r="M111" s="229"/>
      <c r="N111" s="472"/>
      <c r="O111" s="472"/>
      <c r="P111" s="472"/>
      <c r="Q111" s="472"/>
      <c r="R111" s="472"/>
      <c r="S111" s="472"/>
      <c r="T111" s="472"/>
      <c r="U111" s="472"/>
      <c r="V111" s="472"/>
      <c r="W111" s="472"/>
      <c r="X111" s="472"/>
      <c r="Y111" s="472"/>
      <c r="Z111" s="472"/>
      <c r="AA111" s="472"/>
      <c r="AB111" s="472"/>
      <c r="AC111" s="472"/>
      <c r="AD111" s="472"/>
      <c r="AE111" s="3">
        <v>1</v>
      </c>
    </row>
    <row r="112" spans="1:31">
      <c r="A112" s="472"/>
      <c r="B112" s="1301"/>
      <c r="C112" s="9"/>
      <c r="D112" s="9"/>
      <c r="E112" s="9"/>
      <c r="F112" s="9"/>
      <c r="G112" s="9"/>
      <c r="H112" s="9"/>
      <c r="I112" s="9"/>
      <c r="J112" s="9"/>
      <c r="K112" s="9"/>
      <c r="L112" s="9"/>
      <c r="M112" s="229"/>
      <c r="N112" s="472"/>
      <c r="O112" s="472"/>
      <c r="P112" s="472"/>
      <c r="Q112" s="472"/>
      <c r="R112" s="472"/>
      <c r="S112" s="472"/>
      <c r="T112" s="472"/>
      <c r="U112" s="472"/>
      <c r="V112" s="472"/>
      <c r="W112" s="472"/>
      <c r="X112" s="472"/>
      <c r="Y112" s="472"/>
      <c r="Z112" s="472"/>
      <c r="AA112" s="472"/>
      <c r="AB112" s="472"/>
      <c r="AC112" s="472"/>
      <c r="AD112" s="472"/>
      <c r="AE112" s="3">
        <v>1</v>
      </c>
    </row>
    <row r="113" spans="1:31">
      <c r="A113" s="472"/>
      <c r="B113" s="1309" t="s">
        <v>7983</v>
      </c>
      <c r="C113" s="9"/>
      <c r="D113" s="9"/>
      <c r="E113" s="9"/>
      <c r="F113" s="878" t="s">
        <v>7984</v>
      </c>
      <c r="G113" s="9"/>
      <c r="H113" s="9"/>
      <c r="I113" s="9"/>
      <c r="J113" s="878" t="s">
        <v>7985</v>
      </c>
      <c r="K113" s="9"/>
      <c r="L113" s="9"/>
      <c r="M113" s="229"/>
      <c r="N113" s="472"/>
      <c r="O113" s="472"/>
      <c r="P113" s="472"/>
      <c r="Q113" s="472"/>
      <c r="R113" s="472"/>
      <c r="S113" s="472"/>
      <c r="T113" s="472"/>
      <c r="U113" s="472"/>
      <c r="V113" s="472"/>
      <c r="W113" s="472"/>
      <c r="X113" s="472"/>
      <c r="Y113" s="472"/>
      <c r="Z113" s="472"/>
      <c r="AA113" s="472"/>
      <c r="AB113" s="472"/>
      <c r="AC113" s="472"/>
      <c r="AD113" s="472"/>
      <c r="AE113" s="3">
        <v>1</v>
      </c>
    </row>
    <row r="114" spans="1:31">
      <c r="A114" s="472"/>
      <c r="B114" s="1306" t="s">
        <v>7986</v>
      </c>
      <c r="C114" s="9"/>
      <c r="D114" s="9"/>
      <c r="E114" s="9"/>
      <c r="F114" s="9" t="s">
        <v>7987</v>
      </c>
      <c r="G114" s="9"/>
      <c r="H114" s="9"/>
      <c r="I114" s="9"/>
      <c r="J114" s="9" t="s">
        <v>7988</v>
      </c>
      <c r="K114" s="9"/>
      <c r="L114" s="9"/>
      <c r="M114" s="229"/>
      <c r="N114" s="472"/>
      <c r="O114" s="472"/>
      <c r="P114" s="472"/>
      <c r="Q114" s="472"/>
      <c r="R114" s="472"/>
      <c r="S114" s="472"/>
      <c r="T114" s="472"/>
      <c r="U114" s="472"/>
      <c r="V114" s="472"/>
      <c r="W114" s="472"/>
      <c r="X114" s="472"/>
      <c r="Y114" s="472"/>
      <c r="Z114" s="472"/>
      <c r="AA114" s="472"/>
      <c r="AB114" s="472"/>
      <c r="AC114" s="472"/>
      <c r="AD114" s="472"/>
      <c r="AE114" s="3">
        <v>1</v>
      </c>
    </row>
    <row r="115" spans="1:31">
      <c r="A115" s="472"/>
      <c r="B115" s="1306" t="s">
        <v>7989</v>
      </c>
      <c r="C115" s="9"/>
      <c r="D115" s="9"/>
      <c r="E115" s="9"/>
      <c r="F115" s="9" t="s">
        <v>7990</v>
      </c>
      <c r="G115" s="9"/>
      <c r="H115" s="9"/>
      <c r="I115" s="9"/>
      <c r="J115" s="9" t="s">
        <v>7991</v>
      </c>
      <c r="K115" s="9"/>
      <c r="L115" s="9"/>
      <c r="M115" s="229"/>
      <c r="N115" s="472"/>
      <c r="O115" s="472"/>
      <c r="P115" s="472"/>
      <c r="Q115" s="472"/>
      <c r="R115" s="472"/>
      <c r="S115" s="472"/>
      <c r="T115" s="472"/>
      <c r="U115" s="472"/>
      <c r="V115" s="472"/>
      <c r="W115" s="472"/>
      <c r="X115" s="472"/>
      <c r="Y115" s="472"/>
      <c r="Z115" s="472"/>
      <c r="AA115" s="472"/>
      <c r="AB115" s="472"/>
      <c r="AC115" s="472"/>
      <c r="AD115" s="472"/>
      <c r="AE115" s="3">
        <v>1</v>
      </c>
    </row>
    <row r="116" spans="1:31">
      <c r="A116" s="472"/>
      <c r="B116" s="1311"/>
      <c r="C116" s="9"/>
      <c r="D116" s="9"/>
      <c r="E116" s="9"/>
      <c r="F116" s="9"/>
      <c r="G116" s="9"/>
      <c r="H116" s="9"/>
      <c r="I116" s="9"/>
      <c r="J116" s="9"/>
      <c r="K116" s="9"/>
      <c r="L116" s="9"/>
      <c r="M116" s="229"/>
      <c r="N116" s="472"/>
      <c r="O116" s="472"/>
      <c r="P116" s="472"/>
      <c r="Q116" s="472"/>
      <c r="R116" s="472"/>
      <c r="S116" s="472"/>
      <c r="T116" s="472"/>
      <c r="U116" s="472"/>
      <c r="V116" s="472"/>
      <c r="W116" s="472"/>
      <c r="X116" s="472"/>
      <c r="Y116" s="472"/>
      <c r="Z116" s="472"/>
      <c r="AA116" s="472"/>
      <c r="AB116" s="472"/>
      <c r="AC116" s="472"/>
      <c r="AD116" s="472"/>
      <c r="AE116" s="3">
        <v>1</v>
      </c>
    </row>
    <row r="117" spans="1:31">
      <c r="A117" s="472"/>
      <c r="B117" s="1306" t="s">
        <v>7992</v>
      </c>
      <c r="C117" s="9"/>
      <c r="D117" s="9"/>
      <c r="E117" s="9"/>
      <c r="F117" s="878" t="s">
        <v>7993</v>
      </c>
      <c r="G117" s="9"/>
      <c r="H117" s="9"/>
      <c r="I117" s="9"/>
      <c r="J117" s="878" t="s">
        <v>7994</v>
      </c>
      <c r="K117" s="9"/>
      <c r="L117" s="9"/>
      <c r="M117" s="229"/>
      <c r="N117" s="472"/>
      <c r="O117" s="472"/>
      <c r="P117" s="472"/>
      <c r="Q117" s="472"/>
      <c r="R117" s="472"/>
      <c r="S117" s="472"/>
      <c r="T117" s="472"/>
      <c r="U117" s="472"/>
      <c r="V117" s="472"/>
      <c r="W117" s="472"/>
      <c r="X117" s="472"/>
      <c r="Y117" s="472"/>
      <c r="Z117" s="472"/>
      <c r="AA117" s="472"/>
      <c r="AB117" s="472"/>
      <c r="AC117" s="472"/>
      <c r="AD117" s="472"/>
      <c r="AE117" s="3">
        <v>1</v>
      </c>
    </row>
    <row r="118" spans="1:31">
      <c r="A118" s="472"/>
      <c r="B118" s="1301"/>
      <c r="C118" s="9"/>
      <c r="D118" s="9"/>
      <c r="E118" s="9"/>
      <c r="F118" s="9"/>
      <c r="G118" s="9"/>
      <c r="H118" s="9"/>
      <c r="I118" s="9"/>
      <c r="J118" s="9"/>
      <c r="K118" s="9"/>
      <c r="L118" s="9"/>
      <c r="M118" s="229"/>
      <c r="N118" s="472"/>
      <c r="O118" s="472"/>
      <c r="P118" s="472"/>
      <c r="Q118" s="472"/>
      <c r="R118" s="472"/>
      <c r="S118" s="472"/>
      <c r="T118" s="472"/>
      <c r="U118" s="472"/>
      <c r="V118" s="472"/>
      <c r="W118" s="472"/>
      <c r="X118" s="472"/>
      <c r="Y118" s="472"/>
      <c r="Z118" s="472"/>
      <c r="AA118" s="472"/>
      <c r="AB118" s="472"/>
      <c r="AC118" s="472"/>
      <c r="AD118" s="472"/>
      <c r="AE118" s="3">
        <v>1</v>
      </c>
    </row>
    <row r="119" spans="1:31">
      <c r="A119" s="472"/>
      <c r="B119" s="1309" t="s">
        <v>7995</v>
      </c>
      <c r="C119" s="9"/>
      <c r="D119" s="9"/>
      <c r="E119" s="9"/>
      <c r="F119" s="878" t="s">
        <v>7996</v>
      </c>
      <c r="G119" s="9"/>
      <c r="H119" s="9"/>
      <c r="I119" s="9"/>
      <c r="J119" s="878" t="s">
        <v>7997</v>
      </c>
      <c r="K119" s="9"/>
      <c r="L119" s="9"/>
      <c r="M119" s="229"/>
      <c r="N119" s="472"/>
      <c r="O119" s="472"/>
      <c r="P119" s="472"/>
      <c r="Q119" s="472"/>
      <c r="R119" s="472"/>
      <c r="S119" s="472"/>
      <c r="T119" s="472"/>
      <c r="U119" s="472"/>
      <c r="V119" s="472"/>
      <c r="W119" s="472"/>
      <c r="X119" s="472"/>
      <c r="Y119" s="472"/>
      <c r="Z119" s="472"/>
      <c r="AA119" s="472"/>
      <c r="AB119" s="472"/>
      <c r="AC119" s="472"/>
      <c r="AD119" s="472"/>
      <c r="AE119" s="3">
        <v>1</v>
      </c>
    </row>
    <row r="120" spans="1:31">
      <c r="A120" s="472"/>
      <c r="B120" s="1301" t="s">
        <v>7998</v>
      </c>
      <c r="C120" s="9"/>
      <c r="D120" s="9"/>
      <c r="E120" s="9"/>
      <c r="F120" s="9" t="s">
        <v>7999</v>
      </c>
      <c r="G120" s="9"/>
      <c r="H120" s="9"/>
      <c r="I120" s="9"/>
      <c r="J120" s="9" t="s">
        <v>8000</v>
      </c>
      <c r="K120" s="9"/>
      <c r="L120" s="9"/>
      <c r="M120" s="229"/>
      <c r="N120" s="472"/>
      <c r="O120" s="472"/>
      <c r="P120" s="472"/>
      <c r="Q120" s="472"/>
      <c r="R120" s="472"/>
      <c r="S120" s="472"/>
      <c r="T120" s="472"/>
      <c r="U120" s="472"/>
      <c r="V120" s="472"/>
      <c r="W120" s="472"/>
      <c r="X120" s="472"/>
      <c r="Y120" s="472"/>
      <c r="Z120" s="472"/>
      <c r="AA120" s="472"/>
      <c r="AB120" s="472"/>
      <c r="AC120" s="472"/>
      <c r="AD120" s="472"/>
      <c r="AE120" s="3">
        <v>1</v>
      </c>
    </row>
    <row r="121" spans="1:31">
      <c r="A121" s="472"/>
      <c r="B121" s="1301"/>
      <c r="C121" s="9"/>
      <c r="D121" s="9"/>
      <c r="E121" s="9"/>
      <c r="F121" s="9"/>
      <c r="G121" s="9"/>
      <c r="H121" s="9"/>
      <c r="I121" s="9"/>
      <c r="J121" s="9"/>
      <c r="K121" s="9"/>
      <c r="L121" s="9"/>
      <c r="M121" s="229"/>
      <c r="N121" s="472"/>
      <c r="O121" s="472"/>
      <c r="P121" s="472"/>
      <c r="Q121" s="472"/>
      <c r="R121" s="472"/>
      <c r="S121" s="472"/>
      <c r="T121" s="472"/>
      <c r="U121" s="472"/>
      <c r="V121" s="472"/>
      <c r="W121" s="472"/>
      <c r="X121" s="472"/>
      <c r="Y121" s="472"/>
      <c r="Z121" s="472"/>
      <c r="AA121" s="472"/>
      <c r="AB121" s="472"/>
      <c r="AC121" s="472"/>
      <c r="AD121" s="472"/>
      <c r="AE121" s="3">
        <v>1</v>
      </c>
    </row>
    <row r="122" spans="1:31">
      <c r="A122" s="472"/>
      <c r="B122" s="1309" t="s">
        <v>8001</v>
      </c>
      <c r="C122" s="9"/>
      <c r="D122" s="9"/>
      <c r="E122" s="9"/>
      <c r="F122" s="878" t="s">
        <v>8002</v>
      </c>
      <c r="G122" s="9"/>
      <c r="H122" s="9"/>
      <c r="I122" s="9"/>
      <c r="J122" s="878" t="s">
        <v>8003</v>
      </c>
      <c r="K122" s="9"/>
      <c r="L122" s="9"/>
      <c r="M122" s="229"/>
      <c r="N122" s="472"/>
      <c r="O122" s="472"/>
      <c r="P122" s="472"/>
      <c r="Q122" s="472"/>
      <c r="R122" s="472"/>
      <c r="S122" s="472"/>
      <c r="T122" s="472"/>
      <c r="U122" s="472"/>
      <c r="V122" s="472"/>
      <c r="W122" s="472"/>
      <c r="X122" s="472"/>
      <c r="Y122" s="472"/>
      <c r="Z122" s="472"/>
      <c r="AA122" s="472"/>
      <c r="AB122" s="472"/>
      <c r="AC122" s="472"/>
      <c r="AD122" s="472"/>
      <c r="AE122" s="3">
        <v>1</v>
      </c>
    </row>
    <row r="123" spans="1:31">
      <c r="A123" s="472"/>
      <c r="B123" s="1301" t="s">
        <v>8004</v>
      </c>
      <c r="C123" s="9"/>
      <c r="D123" s="9"/>
      <c r="E123" s="9"/>
      <c r="F123" s="9" t="s">
        <v>8005</v>
      </c>
      <c r="G123" s="9"/>
      <c r="H123" s="9"/>
      <c r="I123" s="9"/>
      <c r="J123" s="9" t="s">
        <v>8006</v>
      </c>
      <c r="K123" s="9"/>
      <c r="L123" s="9"/>
      <c r="M123" s="229"/>
      <c r="N123" s="472"/>
      <c r="O123" s="472"/>
      <c r="P123" s="472"/>
      <c r="Q123" s="472"/>
      <c r="R123" s="472"/>
      <c r="S123" s="472"/>
      <c r="T123" s="472"/>
      <c r="U123" s="472"/>
      <c r="V123" s="472"/>
      <c r="W123" s="472"/>
      <c r="X123" s="472"/>
      <c r="Y123" s="472"/>
      <c r="Z123" s="472"/>
      <c r="AA123" s="472"/>
      <c r="AB123" s="472"/>
      <c r="AC123" s="472"/>
      <c r="AD123" s="472"/>
      <c r="AE123" s="3">
        <v>1</v>
      </c>
    </row>
    <row r="124" spans="1:31">
      <c r="A124" s="472"/>
      <c r="B124" s="1301" t="s">
        <v>8007</v>
      </c>
      <c r="C124" s="9"/>
      <c r="D124" s="9"/>
      <c r="E124" s="9"/>
      <c r="F124" s="9" t="s">
        <v>8008</v>
      </c>
      <c r="G124" s="9"/>
      <c r="H124" s="9"/>
      <c r="I124" s="9"/>
      <c r="J124" s="9" t="s">
        <v>8009</v>
      </c>
      <c r="K124" s="9"/>
      <c r="L124" s="9"/>
      <c r="M124" s="229"/>
      <c r="N124" s="472"/>
      <c r="O124" s="472"/>
      <c r="P124" s="472"/>
      <c r="Q124" s="472"/>
      <c r="R124" s="472"/>
      <c r="S124" s="472"/>
      <c r="T124" s="472"/>
      <c r="U124" s="472"/>
      <c r="V124" s="472"/>
      <c r="W124" s="472"/>
      <c r="X124" s="472"/>
      <c r="Y124" s="472"/>
      <c r="Z124" s="472"/>
      <c r="AA124" s="472"/>
      <c r="AB124" s="472"/>
      <c r="AC124" s="472"/>
      <c r="AD124" s="472"/>
      <c r="AE124" s="3">
        <v>1</v>
      </c>
    </row>
    <row r="125" spans="1:31">
      <c r="A125" s="472"/>
      <c r="B125" s="1301"/>
      <c r="C125" s="9"/>
      <c r="D125" s="9"/>
      <c r="E125" s="9"/>
      <c r="F125" s="9"/>
      <c r="G125" s="9"/>
      <c r="H125" s="9"/>
      <c r="I125" s="9"/>
      <c r="J125" s="9"/>
      <c r="K125" s="9"/>
      <c r="L125" s="9"/>
      <c r="M125" s="229"/>
      <c r="N125" s="472"/>
      <c r="O125" s="472"/>
      <c r="P125" s="472"/>
      <c r="Q125" s="472"/>
      <c r="R125" s="472"/>
      <c r="S125" s="472"/>
      <c r="T125" s="472"/>
      <c r="U125" s="472"/>
      <c r="V125" s="472"/>
      <c r="W125" s="472"/>
      <c r="X125" s="472"/>
      <c r="Y125" s="472"/>
      <c r="Z125" s="472"/>
      <c r="AA125" s="472"/>
      <c r="AB125" s="472"/>
      <c r="AC125" s="472"/>
      <c r="AD125" s="472"/>
      <c r="AE125" s="3">
        <v>1</v>
      </c>
    </row>
    <row r="126" spans="1:31">
      <c r="A126" s="472"/>
      <c r="B126" s="1311" t="s">
        <v>8010</v>
      </c>
      <c r="C126" s="9"/>
      <c r="D126" s="9"/>
      <c r="E126" s="9"/>
      <c r="F126" s="9" t="s">
        <v>8011</v>
      </c>
      <c r="G126" s="9"/>
      <c r="H126" s="9"/>
      <c r="I126" s="9"/>
      <c r="J126" s="9" t="s">
        <v>8012</v>
      </c>
      <c r="K126" s="9"/>
      <c r="L126" s="9"/>
      <c r="M126" s="229"/>
      <c r="N126" s="472"/>
      <c r="O126" s="472"/>
      <c r="P126" s="472"/>
      <c r="Q126" s="472"/>
      <c r="R126" s="472"/>
      <c r="S126" s="472"/>
      <c r="T126" s="472"/>
      <c r="U126" s="472"/>
      <c r="V126" s="472"/>
      <c r="W126" s="472"/>
      <c r="X126" s="472"/>
      <c r="Y126" s="472"/>
      <c r="Z126" s="472"/>
      <c r="AA126" s="472"/>
      <c r="AB126" s="472"/>
      <c r="AC126" s="472"/>
      <c r="AD126" s="472"/>
      <c r="AE126" s="3">
        <v>1</v>
      </c>
    </row>
    <row r="127" spans="1:31">
      <c r="A127" s="472"/>
      <c r="B127" s="1311" t="s">
        <v>8013</v>
      </c>
      <c r="C127" s="9"/>
      <c r="D127" s="9"/>
      <c r="E127" s="9"/>
      <c r="F127" s="9" t="s">
        <v>8014</v>
      </c>
      <c r="G127" s="9"/>
      <c r="H127" s="9"/>
      <c r="I127" s="9"/>
      <c r="J127" s="9" t="s">
        <v>8015</v>
      </c>
      <c r="K127" s="9"/>
      <c r="L127" s="9"/>
      <c r="M127" s="229"/>
      <c r="N127" s="472"/>
      <c r="O127" s="472"/>
      <c r="P127" s="472"/>
      <c r="Q127" s="472"/>
      <c r="R127" s="472"/>
      <c r="S127" s="472"/>
      <c r="T127" s="472"/>
      <c r="U127" s="472"/>
      <c r="V127" s="472"/>
      <c r="W127" s="472"/>
      <c r="X127" s="472"/>
      <c r="Y127" s="472"/>
      <c r="Z127" s="472"/>
      <c r="AA127" s="472"/>
      <c r="AB127" s="472"/>
      <c r="AC127" s="472"/>
      <c r="AD127" s="472"/>
      <c r="AE127" s="3">
        <v>1</v>
      </c>
    </row>
    <row r="128" spans="1:31">
      <c r="A128" s="472"/>
      <c r="B128" s="1309" t="s">
        <v>8016</v>
      </c>
      <c r="C128" s="9"/>
      <c r="D128" s="9"/>
      <c r="E128" s="9"/>
      <c r="F128" s="878" t="s">
        <v>8017</v>
      </c>
      <c r="G128" s="9"/>
      <c r="H128" s="9"/>
      <c r="I128" s="9"/>
      <c r="J128" s="878" t="s">
        <v>8018</v>
      </c>
      <c r="K128" s="9"/>
      <c r="L128" s="9"/>
      <c r="M128" s="229"/>
      <c r="N128" s="472"/>
      <c r="O128" s="472"/>
      <c r="P128" s="472"/>
      <c r="Q128" s="472"/>
      <c r="R128" s="472"/>
      <c r="S128" s="472"/>
      <c r="T128" s="472"/>
      <c r="U128" s="472"/>
      <c r="V128" s="472"/>
      <c r="W128" s="472"/>
      <c r="X128" s="472"/>
      <c r="Y128" s="472"/>
      <c r="Z128" s="472"/>
      <c r="AA128" s="472"/>
      <c r="AB128" s="472"/>
      <c r="AC128" s="472"/>
      <c r="AD128" s="472"/>
      <c r="AE128" s="3">
        <v>1</v>
      </c>
    </row>
    <row r="129" spans="1:31">
      <c r="A129" s="472"/>
      <c r="B129" s="9"/>
      <c r="C129" s="9"/>
      <c r="D129" s="9"/>
      <c r="E129" s="9"/>
      <c r="F129" s="9"/>
      <c r="G129" s="9"/>
      <c r="H129" s="9"/>
      <c r="I129" s="9"/>
      <c r="J129" s="9"/>
      <c r="K129" s="9"/>
      <c r="L129" s="9"/>
      <c r="M129" s="229"/>
      <c r="N129" s="472"/>
      <c r="O129" s="472"/>
      <c r="P129" s="472"/>
      <c r="Q129" s="472"/>
      <c r="R129" s="472"/>
      <c r="S129" s="472"/>
      <c r="T129" s="472"/>
      <c r="U129" s="472"/>
      <c r="V129" s="472"/>
      <c r="W129" s="472"/>
      <c r="X129" s="472"/>
      <c r="Y129" s="472"/>
      <c r="Z129" s="472"/>
      <c r="AA129" s="472"/>
      <c r="AB129" s="472"/>
      <c r="AC129" s="472"/>
      <c r="AD129" s="472"/>
      <c r="AE129" s="3">
        <v>1</v>
      </c>
    </row>
    <row r="130" spans="1:31" ht="18.75">
      <c r="A130" s="472"/>
      <c r="B130" s="1300" t="s">
        <v>8019</v>
      </c>
      <c r="C130" s="9"/>
      <c r="D130" s="9"/>
      <c r="E130" s="9"/>
      <c r="F130" s="1300" t="s">
        <v>8020</v>
      </c>
      <c r="G130" s="9"/>
      <c r="H130" s="9"/>
      <c r="I130" s="9"/>
      <c r="J130" s="1300" t="s">
        <v>8021</v>
      </c>
      <c r="K130" s="9"/>
      <c r="L130" s="9"/>
      <c r="M130" s="229"/>
      <c r="N130" s="472"/>
      <c r="O130" s="472"/>
      <c r="P130" s="472"/>
      <c r="Q130" s="472"/>
      <c r="R130" s="472"/>
      <c r="S130" s="472"/>
      <c r="T130" s="472"/>
      <c r="U130" s="472"/>
      <c r="V130" s="472"/>
      <c r="W130" s="472"/>
      <c r="X130" s="472"/>
      <c r="Y130" s="472"/>
      <c r="Z130" s="472"/>
      <c r="AA130" s="472"/>
      <c r="AB130" s="472"/>
      <c r="AC130" s="472"/>
      <c r="AD130" s="472"/>
      <c r="AE130" s="3">
        <v>1</v>
      </c>
    </row>
    <row r="131" spans="1:31">
      <c r="A131" s="472"/>
      <c r="B131" s="9"/>
      <c r="C131" s="9"/>
      <c r="D131" s="9"/>
      <c r="E131" s="9"/>
      <c r="F131" s="9"/>
      <c r="G131" s="9"/>
      <c r="H131" s="9"/>
      <c r="I131" s="9"/>
      <c r="J131" s="9"/>
      <c r="K131" s="9"/>
      <c r="L131" s="9"/>
      <c r="M131" s="229"/>
      <c r="N131" s="472"/>
      <c r="O131" s="472"/>
      <c r="P131" s="472"/>
      <c r="Q131" s="472"/>
      <c r="R131" s="472"/>
      <c r="S131" s="472"/>
      <c r="T131" s="472"/>
      <c r="U131" s="472"/>
      <c r="V131" s="472"/>
      <c r="W131" s="472"/>
      <c r="X131" s="472"/>
      <c r="Y131" s="472"/>
      <c r="Z131" s="472"/>
      <c r="AA131" s="472"/>
      <c r="AB131" s="472"/>
      <c r="AC131" s="472"/>
      <c r="AD131" s="472"/>
      <c r="AE131" s="3">
        <v>1</v>
      </c>
    </row>
    <row r="132" spans="1:31">
      <c r="A132" s="472"/>
      <c r="B132" s="1309" t="s">
        <v>8022</v>
      </c>
      <c r="C132" s="9"/>
      <c r="D132" s="9"/>
      <c r="E132" s="9"/>
      <c r="F132" s="878" t="s">
        <v>8023</v>
      </c>
      <c r="G132" s="9"/>
      <c r="H132" s="9"/>
      <c r="I132" s="9"/>
      <c r="J132" s="878" t="s">
        <v>8024</v>
      </c>
      <c r="K132" s="9"/>
      <c r="L132" s="9"/>
      <c r="M132" s="229"/>
      <c r="N132" s="472"/>
      <c r="O132" s="472"/>
      <c r="P132" s="472"/>
      <c r="Q132" s="472"/>
      <c r="R132" s="472"/>
      <c r="S132" s="472"/>
      <c r="T132" s="472"/>
      <c r="U132" s="472"/>
      <c r="V132" s="472"/>
      <c r="W132" s="472"/>
      <c r="X132" s="472"/>
      <c r="Y132" s="472"/>
      <c r="Z132" s="472"/>
      <c r="AA132" s="472"/>
      <c r="AB132" s="472"/>
      <c r="AC132" s="472"/>
      <c r="AD132" s="472"/>
      <c r="AE132" s="3">
        <v>1</v>
      </c>
    </row>
    <row r="133" spans="1:31">
      <c r="A133" s="472"/>
      <c r="B133" s="1313" t="s">
        <v>8025</v>
      </c>
      <c r="C133" s="9"/>
      <c r="D133" s="9"/>
      <c r="E133" s="9"/>
      <c r="F133" s="878" t="s">
        <v>8026</v>
      </c>
      <c r="G133" s="9"/>
      <c r="H133" s="9"/>
      <c r="I133" s="9"/>
      <c r="J133" s="878" t="s">
        <v>8027</v>
      </c>
      <c r="K133" s="9"/>
      <c r="L133" s="9"/>
      <c r="M133" s="229"/>
      <c r="N133" s="472"/>
      <c r="O133" s="472"/>
      <c r="P133" s="472"/>
      <c r="Q133" s="472"/>
      <c r="R133" s="472"/>
      <c r="S133" s="472"/>
      <c r="T133" s="472"/>
      <c r="U133" s="472"/>
      <c r="V133" s="472"/>
      <c r="W133" s="472"/>
      <c r="X133" s="472"/>
      <c r="Y133" s="472"/>
      <c r="Z133" s="472"/>
      <c r="AA133" s="472"/>
      <c r="AB133" s="472"/>
      <c r="AC133" s="472"/>
      <c r="AD133" s="472"/>
      <c r="AE133" s="3">
        <v>1</v>
      </c>
    </row>
    <row r="134" spans="1:31">
      <c r="A134" s="472"/>
      <c r="B134" s="1301"/>
      <c r="C134" s="9"/>
      <c r="D134" s="9"/>
      <c r="E134" s="9"/>
      <c r="F134" s="9"/>
      <c r="G134" s="9"/>
      <c r="H134" s="9"/>
      <c r="I134" s="9"/>
      <c r="J134" s="9"/>
      <c r="K134" s="9"/>
      <c r="L134" s="9"/>
      <c r="M134" s="229"/>
      <c r="N134" s="472"/>
      <c r="O134" s="472"/>
      <c r="P134" s="472"/>
      <c r="Q134" s="472"/>
      <c r="R134" s="472"/>
      <c r="S134" s="472"/>
      <c r="T134" s="472"/>
      <c r="U134" s="472"/>
      <c r="V134" s="472"/>
      <c r="W134" s="472"/>
      <c r="X134" s="472"/>
      <c r="Y134" s="472"/>
      <c r="Z134" s="472"/>
      <c r="AA134" s="472"/>
      <c r="AB134" s="472"/>
      <c r="AC134" s="472"/>
      <c r="AD134" s="472"/>
      <c r="AE134" s="3">
        <v>1</v>
      </c>
    </row>
    <row r="135" spans="1:31">
      <c r="A135" s="472"/>
      <c r="B135" s="1309" t="s">
        <v>8028</v>
      </c>
      <c r="C135" s="9"/>
      <c r="D135" s="9"/>
      <c r="E135" s="9"/>
      <c r="F135" s="878" t="s">
        <v>8029</v>
      </c>
      <c r="G135" s="9"/>
      <c r="H135" s="9"/>
      <c r="I135" s="9"/>
      <c r="J135" s="878" t="s">
        <v>8030</v>
      </c>
      <c r="K135" s="9"/>
      <c r="L135" s="9"/>
      <c r="M135" s="229"/>
      <c r="N135" s="472"/>
      <c r="O135" s="472"/>
      <c r="P135" s="472"/>
      <c r="Q135" s="472"/>
      <c r="R135" s="472"/>
      <c r="S135" s="472"/>
      <c r="T135" s="472"/>
      <c r="U135" s="472"/>
      <c r="V135" s="472"/>
      <c r="W135" s="472"/>
      <c r="X135" s="472"/>
      <c r="Y135" s="472"/>
      <c r="Z135" s="472"/>
      <c r="AA135" s="472"/>
      <c r="AB135" s="472"/>
      <c r="AC135" s="472"/>
      <c r="AD135" s="472"/>
      <c r="AE135" s="3">
        <v>1</v>
      </c>
    </row>
    <row r="136" spans="1:31">
      <c r="A136" s="472"/>
      <c r="B136" s="1301"/>
      <c r="C136" s="9"/>
      <c r="D136" s="9"/>
      <c r="E136" s="9"/>
      <c r="F136" s="9"/>
      <c r="G136" s="9"/>
      <c r="H136" s="9"/>
      <c r="I136" s="9"/>
      <c r="J136" s="9"/>
      <c r="K136" s="9"/>
      <c r="L136" s="9"/>
      <c r="M136" s="229"/>
      <c r="N136" s="472"/>
      <c r="O136" s="472"/>
      <c r="P136" s="472"/>
      <c r="Q136" s="472"/>
      <c r="R136" s="472"/>
      <c r="S136" s="472"/>
      <c r="T136" s="472"/>
      <c r="U136" s="472"/>
      <c r="V136" s="472"/>
      <c r="W136" s="472"/>
      <c r="X136" s="472"/>
      <c r="Y136" s="472"/>
      <c r="Z136" s="472"/>
      <c r="AA136" s="472"/>
      <c r="AB136" s="472"/>
      <c r="AC136" s="472"/>
      <c r="AD136" s="472"/>
      <c r="AE136" s="3">
        <v>1</v>
      </c>
    </row>
    <row r="137" spans="1:31">
      <c r="A137" s="472"/>
      <c r="B137" s="1309" t="s">
        <v>8031</v>
      </c>
      <c r="C137" s="9"/>
      <c r="D137" s="9"/>
      <c r="E137" s="9"/>
      <c r="F137" s="878" t="s">
        <v>8032</v>
      </c>
      <c r="G137" s="9"/>
      <c r="H137" s="9"/>
      <c r="I137" s="9"/>
      <c r="J137" s="878" t="s">
        <v>8033</v>
      </c>
      <c r="K137" s="9"/>
      <c r="L137" s="9"/>
      <c r="M137" s="229"/>
      <c r="N137" s="472"/>
      <c r="O137" s="472"/>
      <c r="P137" s="472"/>
      <c r="Q137" s="472"/>
      <c r="R137" s="472"/>
      <c r="S137" s="472"/>
      <c r="T137" s="472"/>
      <c r="U137" s="472"/>
      <c r="V137" s="472"/>
      <c r="W137" s="472"/>
      <c r="X137" s="472"/>
      <c r="Y137" s="472"/>
      <c r="Z137" s="472"/>
      <c r="AA137" s="472"/>
      <c r="AB137" s="472"/>
      <c r="AC137" s="472"/>
      <c r="AD137" s="472"/>
      <c r="AE137" s="3">
        <v>1</v>
      </c>
    </row>
    <row r="138" spans="1:31">
      <c r="A138" s="472"/>
      <c r="B138" s="1301"/>
      <c r="C138" s="9"/>
      <c r="D138" s="9"/>
      <c r="E138" s="9"/>
      <c r="F138" s="9"/>
      <c r="G138" s="9"/>
      <c r="H138" s="9"/>
      <c r="I138" s="9"/>
      <c r="J138" s="9"/>
      <c r="K138" s="9"/>
      <c r="L138" s="9"/>
      <c r="M138" s="229"/>
      <c r="N138" s="472"/>
      <c r="O138" s="472"/>
      <c r="P138" s="472"/>
      <c r="Q138" s="472"/>
      <c r="R138" s="472"/>
      <c r="S138" s="472"/>
      <c r="T138" s="472"/>
      <c r="U138" s="472"/>
      <c r="V138" s="472"/>
      <c r="W138" s="472"/>
      <c r="X138" s="472"/>
      <c r="Y138" s="472"/>
      <c r="Z138" s="472"/>
      <c r="AA138" s="472"/>
      <c r="AB138" s="472"/>
      <c r="AC138" s="472"/>
      <c r="AD138" s="472"/>
      <c r="AE138" s="3">
        <v>1</v>
      </c>
    </row>
    <row r="139" spans="1:31">
      <c r="A139" s="472"/>
      <c r="B139" s="1309" t="s">
        <v>8034</v>
      </c>
      <c r="C139" s="9"/>
      <c r="D139" s="9"/>
      <c r="E139" s="9"/>
      <c r="F139" s="878" t="s">
        <v>8035</v>
      </c>
      <c r="G139" s="9"/>
      <c r="H139" s="9"/>
      <c r="I139" s="9"/>
      <c r="J139" s="878" t="s">
        <v>8036</v>
      </c>
      <c r="K139" s="9"/>
      <c r="L139" s="9"/>
      <c r="M139" s="229"/>
      <c r="N139" s="472"/>
      <c r="O139" s="472"/>
      <c r="P139" s="472"/>
      <c r="Q139" s="472"/>
      <c r="R139" s="472"/>
      <c r="S139" s="472"/>
      <c r="T139" s="472"/>
      <c r="U139" s="472"/>
      <c r="V139" s="472"/>
      <c r="W139" s="472"/>
      <c r="X139" s="472"/>
      <c r="Y139" s="472"/>
      <c r="Z139" s="472"/>
      <c r="AA139" s="472"/>
      <c r="AB139" s="472"/>
      <c r="AC139" s="472"/>
      <c r="AD139" s="472"/>
      <c r="AE139" s="3">
        <v>1</v>
      </c>
    </row>
    <row r="140" spans="1:31">
      <c r="A140" s="472"/>
      <c r="B140" s="1301"/>
      <c r="C140" s="9"/>
      <c r="D140" s="9"/>
      <c r="E140" s="9"/>
      <c r="F140" s="9"/>
      <c r="G140" s="9"/>
      <c r="H140" s="9"/>
      <c r="I140" s="9"/>
      <c r="J140" s="9"/>
      <c r="K140" s="9"/>
      <c r="L140" s="9"/>
      <c r="M140" s="229"/>
      <c r="N140" s="472"/>
      <c r="O140" s="472"/>
      <c r="P140" s="472"/>
      <c r="Q140" s="472"/>
      <c r="R140" s="472"/>
      <c r="S140" s="472"/>
      <c r="T140" s="472"/>
      <c r="U140" s="472"/>
      <c r="V140" s="472"/>
      <c r="W140" s="472"/>
      <c r="X140" s="472"/>
      <c r="Y140" s="472"/>
      <c r="Z140" s="472"/>
      <c r="AA140" s="472"/>
      <c r="AB140" s="472"/>
      <c r="AC140" s="472"/>
      <c r="AD140" s="472"/>
      <c r="AE140" s="3">
        <v>1</v>
      </c>
    </row>
    <row r="141" spans="1:31">
      <c r="A141" s="472"/>
      <c r="B141" s="1309" t="s">
        <v>8037</v>
      </c>
      <c r="C141" s="9"/>
      <c r="D141" s="9"/>
      <c r="E141" s="9"/>
      <c r="F141" s="878" t="s">
        <v>8038</v>
      </c>
      <c r="G141" s="9"/>
      <c r="H141" s="9"/>
      <c r="I141" s="9"/>
      <c r="J141" s="878" t="s">
        <v>8039</v>
      </c>
      <c r="K141" s="9"/>
      <c r="L141" s="9"/>
      <c r="M141" s="229"/>
      <c r="N141" s="472"/>
      <c r="O141" s="472"/>
      <c r="P141" s="472"/>
      <c r="Q141" s="472"/>
      <c r="R141" s="472"/>
      <c r="S141" s="472"/>
      <c r="T141" s="472"/>
      <c r="U141" s="472"/>
      <c r="V141" s="472"/>
      <c r="W141" s="472"/>
      <c r="X141" s="472"/>
      <c r="Y141" s="472"/>
      <c r="Z141" s="472"/>
      <c r="AA141" s="472"/>
      <c r="AB141" s="472"/>
      <c r="AC141" s="472"/>
      <c r="AD141" s="472"/>
      <c r="AE141" s="3">
        <v>1</v>
      </c>
    </row>
    <row r="142" spans="1:31">
      <c r="A142" s="472"/>
      <c r="B142" s="1301"/>
      <c r="C142" s="9"/>
      <c r="D142" s="9"/>
      <c r="E142" s="9"/>
      <c r="F142" s="9"/>
      <c r="G142" s="9"/>
      <c r="H142" s="9"/>
      <c r="I142" s="9"/>
      <c r="J142" s="9"/>
      <c r="K142" s="9"/>
      <c r="L142" s="9"/>
      <c r="M142" s="229"/>
      <c r="N142" s="472"/>
      <c r="O142" s="472"/>
      <c r="P142" s="472"/>
      <c r="Q142" s="472"/>
      <c r="R142" s="472"/>
      <c r="S142" s="472"/>
      <c r="T142" s="472"/>
      <c r="U142" s="472"/>
      <c r="V142" s="472"/>
      <c r="W142" s="472"/>
      <c r="X142" s="472"/>
      <c r="Y142" s="472"/>
      <c r="Z142" s="472"/>
      <c r="AA142" s="472"/>
      <c r="AB142" s="472"/>
      <c r="AC142" s="472"/>
      <c r="AD142" s="472"/>
      <c r="AE142" s="3">
        <v>1</v>
      </c>
    </row>
    <row r="143" spans="1:31">
      <c r="A143" s="472"/>
      <c r="B143" s="1309" t="s">
        <v>8040</v>
      </c>
      <c r="C143" s="9"/>
      <c r="D143" s="9"/>
      <c r="E143" s="9"/>
      <c r="F143" s="878" t="s">
        <v>8041</v>
      </c>
      <c r="G143" s="9"/>
      <c r="H143" s="9"/>
      <c r="I143" s="9"/>
      <c r="J143" s="878" t="s">
        <v>8042</v>
      </c>
      <c r="K143" s="9"/>
      <c r="L143" s="9"/>
      <c r="M143" s="229"/>
      <c r="N143" s="472"/>
      <c r="O143" s="472"/>
      <c r="P143" s="472"/>
      <c r="Q143" s="472"/>
      <c r="R143" s="472"/>
      <c r="S143" s="472"/>
      <c r="T143" s="472"/>
      <c r="U143" s="472"/>
      <c r="V143" s="472"/>
      <c r="W143" s="472"/>
      <c r="X143" s="472"/>
      <c r="Y143" s="472"/>
      <c r="Z143" s="472"/>
      <c r="AA143" s="472"/>
      <c r="AB143" s="472"/>
      <c r="AC143" s="472"/>
      <c r="AD143" s="472"/>
      <c r="AE143" s="3">
        <v>1</v>
      </c>
    </row>
    <row r="144" spans="1:31">
      <c r="A144" s="472"/>
      <c r="B144" s="1313" t="s">
        <v>8043</v>
      </c>
      <c r="C144" s="9"/>
      <c r="D144" s="9"/>
      <c r="E144" s="9"/>
      <c r="F144" s="878" t="s">
        <v>8044</v>
      </c>
      <c r="G144" s="9"/>
      <c r="H144" s="9"/>
      <c r="I144" s="9"/>
      <c r="J144" s="878" t="s">
        <v>8045</v>
      </c>
      <c r="K144" s="9"/>
      <c r="L144" s="9"/>
      <c r="M144" s="229"/>
      <c r="N144" s="472"/>
      <c r="O144" s="472"/>
      <c r="P144" s="472"/>
      <c r="Q144" s="472"/>
      <c r="R144" s="472"/>
      <c r="S144" s="472"/>
      <c r="T144" s="472"/>
      <c r="U144" s="472"/>
      <c r="V144" s="472"/>
      <c r="W144" s="472"/>
      <c r="X144" s="472"/>
      <c r="Y144" s="472"/>
      <c r="Z144" s="472"/>
      <c r="AA144" s="472"/>
      <c r="AB144" s="472"/>
      <c r="AC144" s="472"/>
      <c r="AD144" s="472"/>
      <c r="AE144" s="3">
        <v>1</v>
      </c>
    </row>
    <row r="145" spans="1:31">
      <c r="A145" s="472"/>
      <c r="B145" s="1313" t="s">
        <v>8046</v>
      </c>
      <c r="C145" s="9"/>
      <c r="D145" s="9"/>
      <c r="E145" s="9"/>
      <c r="F145" s="878" t="s">
        <v>8047</v>
      </c>
      <c r="G145" s="9"/>
      <c r="H145" s="9"/>
      <c r="I145" s="9"/>
      <c r="J145" s="878" t="s">
        <v>8048</v>
      </c>
      <c r="K145" s="9"/>
      <c r="L145" s="9"/>
      <c r="M145" s="229"/>
      <c r="N145" s="472"/>
      <c r="O145" s="472"/>
      <c r="P145" s="472"/>
      <c r="Q145" s="472"/>
      <c r="R145" s="472"/>
      <c r="S145" s="472"/>
      <c r="T145" s="472"/>
      <c r="U145" s="472"/>
      <c r="V145" s="472"/>
      <c r="W145" s="472"/>
      <c r="X145" s="472"/>
      <c r="Y145" s="472"/>
      <c r="Z145" s="472"/>
      <c r="AA145" s="472"/>
      <c r="AB145" s="472"/>
      <c r="AC145" s="472"/>
      <c r="AD145" s="472"/>
      <c r="AE145" s="3">
        <v>1</v>
      </c>
    </row>
    <row r="146" spans="1:31">
      <c r="A146" s="472"/>
      <c r="B146" s="9"/>
      <c r="C146" s="9"/>
      <c r="D146" s="9"/>
      <c r="E146" s="9"/>
      <c r="F146" s="9"/>
      <c r="G146" s="9"/>
      <c r="H146" s="9"/>
      <c r="I146" s="9"/>
      <c r="J146" s="9"/>
      <c r="K146" s="9"/>
      <c r="L146" s="9"/>
      <c r="M146" s="229"/>
      <c r="N146" s="472"/>
      <c r="O146" s="472"/>
      <c r="P146" s="472"/>
      <c r="Q146" s="472"/>
      <c r="R146" s="472"/>
      <c r="S146" s="472"/>
      <c r="T146" s="472"/>
      <c r="U146" s="472"/>
      <c r="V146" s="472"/>
      <c r="W146" s="472"/>
      <c r="X146" s="472"/>
      <c r="Y146" s="472"/>
      <c r="Z146" s="472"/>
      <c r="AA146" s="472"/>
      <c r="AB146" s="472"/>
      <c r="AC146" s="472"/>
      <c r="AD146" s="472"/>
      <c r="AE146" s="3">
        <v>1</v>
      </c>
    </row>
    <row r="147" spans="1:31" ht="23.25">
      <c r="A147" s="472"/>
      <c r="B147" s="1314" t="s">
        <v>8049</v>
      </c>
      <c r="C147" s="9"/>
      <c r="D147" s="9"/>
      <c r="E147" s="9"/>
      <c r="F147" s="1314" t="s">
        <v>8050</v>
      </c>
      <c r="G147" s="9"/>
      <c r="H147" s="9"/>
      <c r="I147" s="9"/>
      <c r="J147" s="1314" t="s">
        <v>8051</v>
      </c>
      <c r="K147" s="9"/>
      <c r="L147" s="9"/>
      <c r="M147" s="229"/>
      <c r="N147" s="472"/>
      <c r="O147" s="472"/>
      <c r="P147" s="472"/>
      <c r="Q147" s="472"/>
      <c r="R147" s="472"/>
      <c r="S147" s="472"/>
      <c r="T147" s="472"/>
      <c r="U147" s="472"/>
      <c r="V147" s="472"/>
      <c r="W147" s="472"/>
      <c r="X147" s="472"/>
      <c r="Y147" s="472"/>
      <c r="Z147" s="472"/>
      <c r="AA147" s="472"/>
      <c r="AB147" s="472"/>
      <c r="AC147" s="472"/>
      <c r="AD147" s="472"/>
      <c r="AE147" s="3">
        <v>1</v>
      </c>
    </row>
    <row r="148" spans="1:31">
      <c r="A148" s="472"/>
      <c r="B148" s="1301"/>
      <c r="C148" s="9"/>
      <c r="D148" s="9"/>
      <c r="E148" s="9"/>
      <c r="F148" s="9"/>
      <c r="G148" s="9"/>
      <c r="H148" s="9"/>
      <c r="I148" s="9"/>
      <c r="J148" s="9"/>
      <c r="K148" s="9"/>
      <c r="L148" s="9"/>
      <c r="M148" s="229"/>
      <c r="N148" s="472"/>
      <c r="O148" s="472"/>
      <c r="P148" s="472"/>
      <c r="Q148" s="472"/>
      <c r="R148" s="472"/>
      <c r="S148" s="472"/>
      <c r="T148" s="472"/>
      <c r="U148" s="472"/>
      <c r="V148" s="472"/>
      <c r="W148" s="472"/>
      <c r="X148" s="472"/>
      <c r="Y148" s="472"/>
      <c r="Z148" s="472"/>
      <c r="AA148" s="472"/>
      <c r="AB148" s="472"/>
      <c r="AC148" s="472"/>
      <c r="AD148" s="472"/>
      <c r="AE148" s="3">
        <v>1</v>
      </c>
    </row>
    <row r="149" spans="1:31">
      <c r="A149" s="472"/>
      <c r="B149" s="1301" t="s">
        <v>8052</v>
      </c>
      <c r="C149" s="9"/>
      <c r="D149" s="9"/>
      <c r="E149" s="9"/>
      <c r="F149" s="9" t="s">
        <v>8053</v>
      </c>
      <c r="G149" s="9"/>
      <c r="H149" s="9"/>
      <c r="I149" s="9"/>
      <c r="J149" s="9" t="s">
        <v>8053</v>
      </c>
      <c r="K149" s="9"/>
      <c r="L149" s="9"/>
      <c r="M149" s="229"/>
      <c r="N149" s="472"/>
      <c r="O149" s="472"/>
      <c r="P149" s="472"/>
      <c r="Q149" s="472"/>
      <c r="R149" s="472"/>
      <c r="S149" s="472"/>
      <c r="T149" s="472"/>
      <c r="U149" s="472"/>
      <c r="V149" s="472"/>
      <c r="W149" s="472"/>
      <c r="X149" s="472"/>
      <c r="Y149" s="472"/>
      <c r="Z149" s="472"/>
      <c r="AA149" s="472"/>
      <c r="AB149" s="472"/>
      <c r="AC149" s="472"/>
      <c r="AD149" s="472"/>
      <c r="AE149" s="3">
        <v>1</v>
      </c>
    </row>
    <row r="150" spans="1:31">
      <c r="A150" s="472"/>
      <c r="B150" s="1301" t="s">
        <v>8054</v>
      </c>
      <c r="C150" s="9"/>
      <c r="D150" s="9"/>
      <c r="E150" s="9"/>
      <c r="F150" s="9" t="s">
        <v>8055</v>
      </c>
      <c r="G150" s="9"/>
      <c r="H150" s="9"/>
      <c r="I150" s="9"/>
      <c r="J150" s="9" t="s">
        <v>8056</v>
      </c>
      <c r="K150" s="9"/>
      <c r="L150" s="9"/>
      <c r="M150" s="229"/>
      <c r="N150" s="472"/>
      <c r="O150" s="472"/>
      <c r="P150" s="472"/>
      <c r="Q150" s="472"/>
      <c r="R150" s="472"/>
      <c r="S150" s="472"/>
      <c r="T150" s="472"/>
      <c r="U150" s="472"/>
      <c r="V150" s="472"/>
      <c r="W150" s="472"/>
      <c r="X150" s="472"/>
      <c r="Y150" s="472"/>
      <c r="Z150" s="472"/>
      <c r="AA150" s="472"/>
      <c r="AB150" s="472"/>
      <c r="AC150" s="472"/>
      <c r="AD150" s="472"/>
      <c r="AE150" s="3">
        <v>1</v>
      </c>
    </row>
    <row r="151" spans="1:31">
      <c r="A151" s="472"/>
      <c r="B151" s="1301" t="s">
        <v>8057</v>
      </c>
      <c r="C151" s="9"/>
      <c r="D151" s="9"/>
      <c r="E151" s="9"/>
      <c r="F151" s="9" t="s">
        <v>8058</v>
      </c>
      <c r="G151" s="9"/>
      <c r="H151" s="9"/>
      <c r="I151" s="9"/>
      <c r="J151" s="9" t="s">
        <v>8059</v>
      </c>
      <c r="K151" s="9"/>
      <c r="L151" s="9"/>
      <c r="M151" s="229"/>
      <c r="N151" s="472"/>
      <c r="O151" s="472"/>
      <c r="P151" s="472"/>
      <c r="Q151" s="472"/>
      <c r="R151" s="472"/>
      <c r="S151" s="472"/>
      <c r="T151" s="472"/>
      <c r="U151" s="472"/>
      <c r="V151" s="472"/>
      <c r="W151" s="472"/>
      <c r="X151" s="472"/>
      <c r="Y151" s="472"/>
      <c r="Z151" s="472"/>
      <c r="AA151" s="472"/>
      <c r="AB151" s="472"/>
      <c r="AC151" s="472"/>
      <c r="AD151" s="472"/>
      <c r="AE151" s="3">
        <v>1</v>
      </c>
    </row>
    <row r="152" spans="1:31">
      <c r="A152" s="472"/>
      <c r="B152" s="1301" t="s">
        <v>8060</v>
      </c>
      <c r="C152" s="9"/>
      <c r="D152" s="9"/>
      <c r="E152" s="9"/>
      <c r="F152" s="9" t="s">
        <v>8061</v>
      </c>
      <c r="G152" s="9"/>
      <c r="H152" s="9"/>
      <c r="I152" s="9"/>
      <c r="J152" s="9" t="s">
        <v>8062</v>
      </c>
      <c r="K152" s="9"/>
      <c r="L152" s="9"/>
      <c r="M152" s="229"/>
      <c r="N152" s="472"/>
      <c r="O152" s="472"/>
      <c r="P152" s="472"/>
      <c r="Q152" s="472"/>
      <c r="R152" s="472"/>
      <c r="S152" s="472"/>
      <c r="T152" s="472"/>
      <c r="U152" s="472"/>
      <c r="V152" s="472"/>
      <c r="W152" s="472"/>
      <c r="X152" s="472"/>
      <c r="Y152" s="472"/>
      <c r="Z152" s="472"/>
      <c r="AA152" s="472"/>
      <c r="AB152" s="472"/>
      <c r="AC152" s="472"/>
      <c r="AD152" s="472"/>
      <c r="AE152" s="3">
        <v>1</v>
      </c>
    </row>
    <row r="153" spans="1:31">
      <c r="A153" s="472"/>
      <c r="B153" s="1301" t="s">
        <v>8063</v>
      </c>
      <c r="C153" s="9"/>
      <c r="D153" s="9"/>
      <c r="E153" s="9"/>
      <c r="F153" s="9" t="s">
        <v>8064</v>
      </c>
      <c r="G153" s="9"/>
      <c r="H153" s="9"/>
      <c r="I153" s="9"/>
      <c r="J153" s="9" t="s">
        <v>8065</v>
      </c>
      <c r="K153" s="9"/>
      <c r="L153" s="9"/>
      <c r="M153" s="229"/>
      <c r="N153" s="472"/>
      <c r="O153" s="472"/>
      <c r="P153" s="472"/>
      <c r="Q153" s="472"/>
      <c r="R153" s="472"/>
      <c r="S153" s="472"/>
      <c r="T153" s="472"/>
      <c r="U153" s="472"/>
      <c r="V153" s="472"/>
      <c r="W153" s="472"/>
      <c r="X153" s="472"/>
      <c r="Y153" s="472"/>
      <c r="Z153" s="472"/>
      <c r="AA153" s="472"/>
      <c r="AB153" s="472"/>
      <c r="AC153" s="472"/>
      <c r="AD153" s="472"/>
      <c r="AE153" s="3">
        <v>1</v>
      </c>
    </row>
    <row r="154" spans="1:31">
      <c r="A154" s="472"/>
      <c r="B154" s="1301" t="s">
        <v>8066</v>
      </c>
      <c r="C154" s="9"/>
      <c r="D154" s="9"/>
      <c r="E154" s="9"/>
      <c r="F154" s="9" t="s">
        <v>8067</v>
      </c>
      <c r="G154" s="9"/>
      <c r="H154" s="9"/>
      <c r="I154" s="9"/>
      <c r="J154" s="9" t="s">
        <v>8067</v>
      </c>
      <c r="K154" s="9"/>
      <c r="L154" s="9"/>
      <c r="M154" s="229"/>
      <c r="N154" s="472"/>
      <c r="O154" s="472"/>
      <c r="P154" s="472"/>
      <c r="Q154" s="472"/>
      <c r="R154" s="472"/>
      <c r="S154" s="472"/>
      <c r="T154" s="472"/>
      <c r="U154" s="472"/>
      <c r="V154" s="472"/>
      <c r="W154" s="472"/>
      <c r="X154" s="472"/>
      <c r="Y154" s="472"/>
      <c r="Z154" s="472"/>
      <c r="AA154" s="472"/>
      <c r="AB154" s="472"/>
      <c r="AC154" s="472"/>
      <c r="AD154" s="472"/>
      <c r="AE154" s="3">
        <v>1</v>
      </c>
    </row>
    <row r="155" spans="1:31">
      <c r="A155" s="472"/>
      <c r="B155" s="1301"/>
      <c r="C155" s="9"/>
      <c r="D155" s="9"/>
      <c r="E155" s="9"/>
      <c r="F155" s="9"/>
      <c r="G155" s="9"/>
      <c r="H155" s="9"/>
      <c r="I155" s="9"/>
      <c r="J155" s="9"/>
      <c r="K155" s="9"/>
      <c r="L155" s="9"/>
      <c r="M155" s="229"/>
      <c r="N155" s="472"/>
      <c r="O155" s="472"/>
      <c r="P155" s="472"/>
      <c r="Q155" s="472"/>
      <c r="R155" s="472"/>
      <c r="S155" s="472"/>
      <c r="T155" s="472"/>
      <c r="U155" s="472"/>
      <c r="V155" s="472"/>
      <c r="W155" s="472"/>
      <c r="X155" s="472"/>
      <c r="Y155" s="472"/>
      <c r="Z155" s="472"/>
      <c r="AA155" s="472"/>
      <c r="AB155" s="472"/>
      <c r="AC155" s="472"/>
      <c r="AD155" s="472"/>
      <c r="AE155" s="3">
        <v>1</v>
      </c>
    </row>
    <row r="156" spans="1:31">
      <c r="A156" s="472"/>
      <c r="B156" s="472"/>
      <c r="C156" s="472"/>
      <c r="D156" s="472"/>
      <c r="E156" s="472"/>
      <c r="F156" s="472"/>
      <c r="G156" s="472"/>
      <c r="H156" s="472"/>
      <c r="I156" s="472"/>
      <c r="J156" s="472"/>
      <c r="K156" s="472"/>
      <c r="L156" s="229"/>
      <c r="M156" s="229"/>
      <c r="N156" s="472"/>
      <c r="O156" s="472"/>
      <c r="P156" s="472"/>
      <c r="Q156" s="472"/>
      <c r="R156" s="472"/>
      <c r="S156" s="472"/>
      <c r="T156" s="472"/>
      <c r="U156" s="472"/>
      <c r="V156" s="472"/>
      <c r="W156" s="472"/>
      <c r="X156" s="472"/>
      <c r="Y156" s="472"/>
      <c r="Z156" s="472"/>
      <c r="AA156" s="472"/>
      <c r="AB156" s="472"/>
      <c r="AC156" s="472"/>
      <c r="AD156" s="472"/>
      <c r="AE156" s="3">
        <v>1</v>
      </c>
    </row>
    <row r="157" spans="1:31" ht="23.25">
      <c r="A157" s="472"/>
      <c r="B157" s="1314" t="s">
        <v>14422</v>
      </c>
      <c r="C157" s="472"/>
      <c r="D157" s="472"/>
      <c r="E157" s="472"/>
      <c r="F157" s="472"/>
      <c r="G157" s="472"/>
      <c r="H157" s="472"/>
      <c r="I157" s="472"/>
      <c r="J157" s="472"/>
      <c r="K157" s="472"/>
      <c r="L157" s="229"/>
      <c r="M157" s="229"/>
      <c r="N157" s="472"/>
      <c r="O157" s="472"/>
      <c r="P157" s="472"/>
      <c r="Q157" s="472"/>
      <c r="R157" s="472"/>
      <c r="S157" s="472"/>
      <c r="T157" s="472"/>
      <c r="U157" s="472"/>
      <c r="V157" s="472"/>
      <c r="W157" s="472"/>
      <c r="X157" s="472"/>
      <c r="Y157" s="472"/>
      <c r="Z157" s="472"/>
      <c r="AA157" s="472"/>
      <c r="AB157" s="472"/>
      <c r="AC157" s="472"/>
      <c r="AD157" s="472"/>
      <c r="AE157" s="3">
        <v>1</v>
      </c>
    </row>
    <row r="158" spans="1:31" ht="15.75">
      <c r="A158" s="472"/>
      <c r="B158" s="886" t="s">
        <v>200</v>
      </c>
      <c r="C158" s="3460" t="s">
        <v>14423</v>
      </c>
      <c r="D158" s="472"/>
      <c r="E158" s="472"/>
      <c r="F158" s="472"/>
      <c r="G158" s="472"/>
      <c r="H158" s="472"/>
      <c r="I158" s="472"/>
      <c r="J158" s="472"/>
      <c r="K158" s="472"/>
      <c r="L158" s="229"/>
      <c r="M158" s="229"/>
      <c r="N158" s="472"/>
      <c r="O158" s="472"/>
      <c r="P158" s="472"/>
      <c r="Q158" s="472"/>
      <c r="R158" s="472"/>
      <c r="S158" s="472"/>
      <c r="T158" s="472"/>
      <c r="U158" s="472"/>
      <c r="V158" s="472"/>
      <c r="W158" s="472"/>
      <c r="X158" s="472"/>
      <c r="Y158" s="472"/>
      <c r="Z158" s="472"/>
      <c r="AA158" s="472"/>
      <c r="AB158" s="472"/>
      <c r="AC158" s="472"/>
      <c r="AD158" s="472"/>
      <c r="AE158" s="3">
        <v>1</v>
      </c>
    </row>
    <row r="159" spans="1:31" ht="15.75">
      <c r="A159" s="472"/>
      <c r="B159" s="886" t="s">
        <v>200</v>
      </c>
      <c r="C159" s="3460" t="s">
        <v>14424</v>
      </c>
      <c r="D159" s="472"/>
      <c r="E159" s="472"/>
      <c r="F159" s="472"/>
      <c r="G159" s="472"/>
      <c r="H159" s="472"/>
      <c r="I159" s="472"/>
      <c r="J159" s="472"/>
      <c r="K159" s="472"/>
      <c r="L159" s="229"/>
      <c r="M159" s="229"/>
      <c r="N159" s="472"/>
      <c r="O159" s="472"/>
      <c r="P159" s="472"/>
      <c r="Q159" s="472"/>
      <c r="R159" s="472"/>
      <c r="S159" s="472"/>
      <c r="T159" s="472"/>
      <c r="U159" s="472"/>
      <c r="V159" s="472"/>
      <c r="W159" s="472"/>
      <c r="X159" s="472"/>
      <c r="Y159" s="472"/>
      <c r="Z159" s="472"/>
      <c r="AA159" s="472"/>
      <c r="AB159" s="472"/>
      <c r="AC159" s="472"/>
      <c r="AD159" s="472"/>
      <c r="AE159" s="3">
        <v>1</v>
      </c>
    </row>
    <row r="160" spans="1:31" ht="15.75">
      <c r="A160" s="472"/>
      <c r="B160" s="886" t="s">
        <v>200</v>
      </c>
      <c r="C160" s="3460" t="s">
        <v>14425</v>
      </c>
      <c r="D160" s="472"/>
      <c r="E160" s="472"/>
      <c r="F160" s="472"/>
      <c r="G160" s="472"/>
      <c r="H160" s="472"/>
      <c r="I160" s="472"/>
      <c r="J160" s="472"/>
      <c r="K160" s="472"/>
      <c r="L160" s="229"/>
      <c r="M160" s="229"/>
      <c r="N160" s="472"/>
      <c r="O160" s="472"/>
      <c r="P160" s="472"/>
      <c r="Q160" s="472"/>
      <c r="R160" s="472"/>
      <c r="S160" s="472"/>
      <c r="T160" s="472"/>
      <c r="U160" s="472"/>
      <c r="V160" s="472"/>
      <c r="W160" s="472"/>
      <c r="X160" s="472"/>
      <c r="Y160" s="472"/>
      <c r="Z160" s="472"/>
      <c r="AA160" s="472"/>
      <c r="AB160" s="472"/>
      <c r="AC160" s="472"/>
      <c r="AD160" s="472"/>
      <c r="AE160" s="3">
        <v>1</v>
      </c>
    </row>
    <row r="161" spans="1:31" ht="15.75">
      <c r="A161" s="472"/>
      <c r="B161" s="886" t="s">
        <v>200</v>
      </c>
      <c r="C161" s="3460" t="s">
        <v>14426</v>
      </c>
      <c r="D161" s="472"/>
      <c r="E161" s="472"/>
      <c r="F161" s="472"/>
      <c r="G161" s="472"/>
      <c r="H161" s="472"/>
      <c r="I161" s="472"/>
      <c r="J161" s="472"/>
      <c r="K161" s="472"/>
      <c r="L161" s="229"/>
      <c r="M161" s="229"/>
      <c r="N161" s="472"/>
      <c r="O161" s="472"/>
      <c r="P161" s="472"/>
      <c r="Q161" s="472"/>
      <c r="R161" s="472"/>
      <c r="S161" s="472"/>
      <c r="T161" s="472"/>
      <c r="U161" s="472"/>
      <c r="V161" s="472"/>
      <c r="W161" s="472"/>
      <c r="X161" s="472"/>
      <c r="Y161" s="472"/>
      <c r="Z161" s="472"/>
      <c r="AA161" s="472"/>
      <c r="AB161" s="472"/>
      <c r="AC161" s="472"/>
      <c r="AD161" s="472"/>
      <c r="AE161" s="3">
        <v>1</v>
      </c>
    </row>
    <row r="162" spans="1:31" ht="15.75">
      <c r="A162" s="472"/>
      <c r="B162" s="886" t="s">
        <v>200</v>
      </c>
      <c r="C162" s="3460" t="s">
        <v>14427</v>
      </c>
      <c r="D162" s="472"/>
      <c r="E162" s="472"/>
      <c r="F162" s="472"/>
      <c r="G162" s="472"/>
      <c r="H162" s="472"/>
      <c r="I162" s="472"/>
      <c r="J162" s="472"/>
      <c r="K162" s="472"/>
      <c r="L162" s="229"/>
      <c r="M162" s="229"/>
      <c r="N162" s="472"/>
      <c r="O162" s="472"/>
      <c r="P162" s="472"/>
      <c r="Q162" s="472"/>
      <c r="R162" s="472"/>
      <c r="S162" s="472"/>
      <c r="T162" s="472"/>
      <c r="U162" s="472"/>
      <c r="V162" s="472"/>
      <c r="W162" s="472"/>
      <c r="X162" s="472"/>
      <c r="Y162" s="472"/>
      <c r="Z162" s="472"/>
      <c r="AA162" s="472"/>
      <c r="AB162" s="472"/>
      <c r="AC162" s="472"/>
      <c r="AD162" s="472"/>
      <c r="AE162" s="3">
        <v>1</v>
      </c>
    </row>
    <row r="163" spans="1:31" ht="15.75">
      <c r="A163" s="472"/>
      <c r="B163" s="886" t="s">
        <v>200</v>
      </c>
      <c r="C163" s="3460" t="s">
        <v>14428</v>
      </c>
      <c r="D163" s="472"/>
      <c r="E163" s="472"/>
      <c r="F163" s="472"/>
      <c r="G163" s="472"/>
      <c r="H163" s="472"/>
      <c r="I163" s="472"/>
      <c r="J163" s="472"/>
      <c r="K163" s="472"/>
      <c r="L163" s="229"/>
      <c r="M163" s="229"/>
      <c r="N163" s="472"/>
      <c r="O163" s="472"/>
      <c r="P163" s="472"/>
      <c r="Q163" s="472"/>
      <c r="R163" s="472"/>
      <c r="S163" s="472"/>
      <c r="T163" s="472"/>
      <c r="U163" s="472"/>
      <c r="V163" s="472"/>
      <c r="W163" s="472"/>
      <c r="X163" s="472"/>
      <c r="Y163" s="472"/>
      <c r="Z163" s="472"/>
      <c r="AA163" s="472"/>
      <c r="AB163" s="472"/>
      <c r="AC163" s="472"/>
      <c r="AD163" s="472"/>
      <c r="AE163" s="3">
        <v>1</v>
      </c>
    </row>
    <row r="164" spans="1:31" ht="15.75">
      <c r="A164" s="472"/>
      <c r="B164" s="886" t="s">
        <v>200</v>
      </c>
      <c r="C164" s="3460" t="s">
        <v>10670</v>
      </c>
      <c r="D164" s="472"/>
      <c r="E164" s="472"/>
      <c r="F164" s="472"/>
      <c r="G164" s="472"/>
      <c r="H164" s="472"/>
      <c r="I164" s="472"/>
      <c r="J164" s="472"/>
      <c r="K164" s="472"/>
      <c r="L164" s="229"/>
      <c r="M164" s="229"/>
      <c r="N164" s="472"/>
      <c r="O164" s="472"/>
      <c r="P164" s="472"/>
      <c r="Q164" s="472"/>
      <c r="R164" s="472"/>
      <c r="S164" s="472"/>
      <c r="T164" s="472"/>
      <c r="U164" s="472"/>
      <c r="V164" s="472"/>
      <c r="W164" s="472"/>
      <c r="X164" s="472"/>
      <c r="Y164" s="472"/>
      <c r="Z164" s="472"/>
      <c r="AA164" s="472"/>
      <c r="AB164" s="472"/>
      <c r="AC164" s="472"/>
      <c r="AD164" s="472"/>
      <c r="AE164" s="3">
        <v>1</v>
      </c>
    </row>
    <row r="165" spans="1:31" ht="15.75" customHeight="1">
      <c r="A165" s="472"/>
      <c r="B165" s="886" t="s">
        <v>200</v>
      </c>
      <c r="C165" s="3460" t="s">
        <v>14429</v>
      </c>
      <c r="D165" s="472"/>
      <c r="E165" s="472"/>
      <c r="F165" s="472"/>
      <c r="G165" s="472"/>
      <c r="H165" s="472"/>
      <c r="I165" s="472"/>
      <c r="J165" s="472"/>
      <c r="K165" s="472"/>
      <c r="L165" s="229"/>
      <c r="M165" s="229"/>
      <c r="N165" s="472"/>
      <c r="O165" s="472"/>
      <c r="P165" s="472"/>
      <c r="Q165" s="472"/>
      <c r="R165" s="472"/>
      <c r="S165" s="472"/>
      <c r="T165" s="472"/>
      <c r="U165" s="472"/>
      <c r="V165" s="472"/>
      <c r="W165" s="472"/>
      <c r="X165" s="472"/>
      <c r="Y165" s="472"/>
      <c r="Z165" s="472"/>
      <c r="AA165" s="472"/>
      <c r="AB165" s="472"/>
      <c r="AC165" s="472"/>
      <c r="AD165" s="472"/>
      <c r="AE165" s="3">
        <v>1</v>
      </c>
    </row>
    <row r="166" spans="1:31" ht="15.75" customHeight="1">
      <c r="A166" s="472"/>
      <c r="B166" s="886" t="s">
        <v>200</v>
      </c>
      <c r="C166" s="3460" t="s">
        <v>14430</v>
      </c>
      <c r="D166" s="472"/>
      <c r="E166" s="472"/>
      <c r="F166" s="472"/>
      <c r="G166" s="472"/>
      <c r="H166" s="472"/>
      <c r="I166" s="472"/>
      <c r="J166" s="472"/>
      <c r="K166" s="472"/>
      <c r="L166" s="229"/>
      <c r="M166" s="229"/>
      <c r="N166" s="472"/>
      <c r="O166" s="472"/>
      <c r="P166" s="472"/>
      <c r="Q166" s="472"/>
      <c r="R166" s="472"/>
      <c r="S166" s="472"/>
      <c r="T166" s="472"/>
      <c r="U166" s="472"/>
      <c r="V166" s="472"/>
      <c r="W166" s="472"/>
      <c r="X166" s="472"/>
      <c r="Y166" s="472"/>
      <c r="Z166" s="472"/>
      <c r="AA166" s="472"/>
      <c r="AB166" s="472"/>
      <c r="AC166" s="472"/>
      <c r="AD166" s="472"/>
      <c r="AE166" s="3">
        <v>1</v>
      </c>
    </row>
    <row r="167" spans="1:31" ht="15.75" customHeight="1">
      <c r="A167" s="472"/>
      <c r="B167" s="472"/>
      <c r="C167" s="472"/>
      <c r="D167" s="472"/>
      <c r="E167" s="472"/>
      <c r="F167" s="472"/>
      <c r="G167" s="472"/>
      <c r="H167" s="472"/>
      <c r="I167" s="472"/>
      <c r="J167" s="472"/>
      <c r="K167" s="472"/>
      <c r="L167" s="229"/>
      <c r="M167" s="229"/>
      <c r="N167" s="472"/>
      <c r="O167" s="472"/>
      <c r="P167" s="472"/>
      <c r="Q167" s="472"/>
      <c r="R167" s="472"/>
      <c r="S167" s="472"/>
      <c r="T167" s="472"/>
      <c r="U167" s="472"/>
      <c r="V167" s="472"/>
      <c r="W167" s="472"/>
      <c r="X167" s="472"/>
      <c r="Y167" s="472"/>
      <c r="Z167" s="472"/>
      <c r="AA167" s="472"/>
      <c r="AB167" s="472"/>
      <c r="AC167" s="472"/>
      <c r="AD167" s="472"/>
      <c r="AE167" s="3">
        <v>1</v>
      </c>
    </row>
    <row r="168" spans="1:31" ht="21">
      <c r="A168" s="472"/>
      <c r="B168" s="9"/>
      <c r="C168" s="2086" t="s">
        <v>14136</v>
      </c>
      <c r="D168" s="5551"/>
      <c r="E168" s="472"/>
      <c r="F168" s="472"/>
      <c r="G168" s="472"/>
      <c r="H168" s="472"/>
      <c r="I168" s="472"/>
      <c r="J168" s="472"/>
      <c r="K168" s="472"/>
      <c r="L168" s="229"/>
      <c r="M168" s="229"/>
      <c r="N168" s="472"/>
      <c r="O168" s="472"/>
      <c r="P168" s="472"/>
      <c r="Q168" s="472"/>
      <c r="R168" s="472"/>
      <c r="S168" s="472"/>
      <c r="T168" s="472"/>
      <c r="U168" s="472"/>
      <c r="V168" s="472"/>
      <c r="W168" s="472"/>
      <c r="X168" s="472"/>
      <c r="Y168" s="472"/>
      <c r="Z168" s="472"/>
      <c r="AA168" s="472"/>
      <c r="AB168" s="472"/>
      <c r="AC168" s="472"/>
      <c r="AD168" s="472"/>
      <c r="AE168" s="3">
        <v>1</v>
      </c>
    </row>
    <row r="169" spans="1:31" ht="21">
      <c r="A169" s="472"/>
      <c r="B169" s="886" t="s">
        <v>200</v>
      </c>
      <c r="C169" s="5552" t="s">
        <v>14137</v>
      </c>
      <c r="D169" s="1044"/>
      <c r="E169" s="472"/>
      <c r="F169" s="472"/>
      <c r="G169" s="472"/>
      <c r="H169" s="472"/>
      <c r="I169" s="472"/>
      <c r="J169" s="472"/>
      <c r="K169" s="472"/>
      <c r="L169" s="229"/>
      <c r="M169" s="229"/>
      <c r="N169" s="472"/>
      <c r="O169" s="472"/>
      <c r="P169" s="472"/>
      <c r="Q169" s="472"/>
      <c r="R169" s="472"/>
      <c r="S169" s="472"/>
      <c r="T169" s="472"/>
      <c r="U169" s="472"/>
      <c r="V169" s="472"/>
      <c r="W169" s="472"/>
      <c r="X169" s="472"/>
      <c r="Y169" s="472"/>
      <c r="Z169" s="472"/>
      <c r="AA169" s="472"/>
      <c r="AB169" s="472"/>
      <c r="AC169" s="472"/>
      <c r="AD169" s="472"/>
      <c r="AE169" s="3">
        <v>1</v>
      </c>
    </row>
    <row r="170" spans="1:31" ht="15.75">
      <c r="A170" s="472"/>
      <c r="B170" s="886" t="s">
        <v>200</v>
      </c>
      <c r="C170" s="5552" t="s">
        <v>14138</v>
      </c>
      <c r="D170" s="14"/>
      <c r="E170" s="472"/>
      <c r="F170" s="472"/>
      <c r="G170" s="472"/>
      <c r="H170" s="472"/>
      <c r="I170" s="472"/>
      <c r="J170" s="472"/>
      <c r="K170" s="472"/>
      <c r="L170" s="229"/>
      <c r="M170" s="229"/>
      <c r="N170" s="472"/>
      <c r="O170" s="472"/>
      <c r="P170" s="472"/>
      <c r="Q170" s="472"/>
      <c r="R170" s="472"/>
      <c r="S170" s="472"/>
      <c r="T170" s="472"/>
      <c r="U170" s="472"/>
      <c r="V170" s="472"/>
      <c r="W170" s="472"/>
      <c r="X170" s="472"/>
      <c r="Y170" s="472"/>
      <c r="Z170" s="472"/>
      <c r="AA170" s="472"/>
      <c r="AB170" s="472"/>
      <c r="AC170" s="472"/>
      <c r="AD170" s="472"/>
      <c r="AE170" s="3">
        <v>1</v>
      </c>
    </row>
    <row r="171" spans="1:31" ht="15.75">
      <c r="A171" s="472"/>
      <c r="B171" s="886" t="s">
        <v>200</v>
      </c>
      <c r="C171" s="5552" t="s">
        <v>14139</v>
      </c>
      <c r="D171" s="696"/>
      <c r="E171" s="472"/>
      <c r="F171" s="472"/>
      <c r="G171" s="472"/>
      <c r="H171" s="472"/>
      <c r="I171" s="472"/>
      <c r="J171" s="472"/>
      <c r="K171" s="472"/>
      <c r="L171" s="229"/>
      <c r="M171" s="229"/>
      <c r="N171" s="472"/>
      <c r="O171" s="472"/>
      <c r="P171" s="472"/>
      <c r="Q171" s="472"/>
      <c r="R171" s="472"/>
      <c r="S171" s="472"/>
      <c r="T171" s="472"/>
      <c r="U171" s="472"/>
      <c r="V171" s="472"/>
      <c r="W171" s="472"/>
      <c r="X171" s="472"/>
      <c r="Y171" s="472"/>
      <c r="Z171" s="472"/>
      <c r="AA171" s="472"/>
      <c r="AB171" s="472"/>
      <c r="AC171" s="472"/>
      <c r="AD171" s="472"/>
      <c r="AE171" s="3">
        <v>1</v>
      </c>
    </row>
    <row r="172" spans="1:31" ht="15.75">
      <c r="A172" s="472"/>
      <c r="B172" s="886" t="s">
        <v>200</v>
      </c>
      <c r="C172" s="5552" t="s">
        <v>14140</v>
      </c>
      <c r="D172" s="2086"/>
      <c r="E172" s="472"/>
      <c r="F172" s="472"/>
      <c r="G172" s="472"/>
      <c r="H172" s="472"/>
      <c r="I172" s="472"/>
      <c r="J172" s="472"/>
      <c r="K172" s="472"/>
      <c r="L172" s="229"/>
      <c r="M172" s="229"/>
      <c r="N172" s="472"/>
      <c r="O172" s="472"/>
      <c r="P172" s="472"/>
      <c r="Q172" s="472"/>
      <c r="R172" s="472"/>
      <c r="S172" s="472"/>
      <c r="T172" s="472"/>
      <c r="U172" s="472"/>
      <c r="V172" s="472"/>
      <c r="W172" s="472"/>
      <c r="X172" s="472"/>
      <c r="Y172" s="472"/>
      <c r="Z172" s="472"/>
      <c r="AA172" s="472"/>
      <c r="AB172" s="472"/>
      <c r="AC172" s="472"/>
      <c r="AD172" s="472"/>
      <c r="AE172" s="3">
        <v>1</v>
      </c>
    </row>
    <row r="173" spans="1:31" ht="15.75">
      <c r="A173" s="472"/>
      <c r="B173" s="886" t="s">
        <v>200</v>
      </c>
      <c r="C173" s="5552" t="s">
        <v>14141</v>
      </c>
      <c r="D173" s="14"/>
      <c r="E173" s="472"/>
      <c r="F173" s="472"/>
      <c r="G173" s="472"/>
      <c r="H173" s="472"/>
      <c r="I173" s="472"/>
      <c r="J173" s="472"/>
      <c r="K173" s="472"/>
      <c r="L173" s="229"/>
      <c r="M173" s="229"/>
      <c r="N173" s="472"/>
      <c r="O173" s="472"/>
      <c r="P173" s="472"/>
      <c r="Q173" s="472"/>
      <c r="R173" s="472"/>
      <c r="S173" s="472"/>
      <c r="T173" s="472"/>
      <c r="U173" s="472"/>
      <c r="V173" s="472"/>
      <c r="W173" s="472"/>
      <c r="X173" s="472"/>
      <c r="Y173" s="472"/>
      <c r="Z173" s="472"/>
      <c r="AA173" s="472"/>
      <c r="AB173" s="472"/>
      <c r="AC173" s="472"/>
      <c r="AD173" s="472"/>
      <c r="AE173" s="3">
        <v>1</v>
      </c>
    </row>
    <row r="174" spans="1:31" ht="15.75">
      <c r="A174" s="472"/>
      <c r="B174" s="696"/>
      <c r="C174" s="5553"/>
      <c r="D174" s="5554"/>
      <c r="E174" s="472"/>
      <c r="F174" s="472"/>
      <c r="G174" s="472"/>
      <c r="H174" s="472"/>
      <c r="I174" s="472"/>
      <c r="J174" s="472"/>
      <c r="K174" s="472"/>
      <c r="L174" s="229"/>
      <c r="M174" s="229"/>
      <c r="N174" s="472"/>
      <c r="O174" s="472"/>
      <c r="P174" s="472"/>
      <c r="Q174" s="472"/>
      <c r="R174" s="472"/>
      <c r="S174" s="472"/>
      <c r="T174" s="472"/>
      <c r="U174" s="472"/>
      <c r="V174" s="472"/>
      <c r="W174" s="472"/>
      <c r="X174" s="472"/>
      <c r="Y174" s="472"/>
      <c r="Z174" s="472"/>
      <c r="AA174" s="472"/>
      <c r="AB174" s="472"/>
      <c r="AC174" s="472"/>
      <c r="AD174" s="472"/>
      <c r="AE174" s="3">
        <v>1</v>
      </c>
    </row>
    <row r="175" spans="1:31" ht="15.75">
      <c r="A175" s="472"/>
      <c r="B175" s="886" t="s">
        <v>200</v>
      </c>
      <c r="C175" s="666" t="s">
        <v>14142</v>
      </c>
      <c r="D175" s="5555" t="s">
        <v>14143</v>
      </c>
      <c r="E175" s="472"/>
      <c r="F175" s="472"/>
      <c r="G175" s="472"/>
      <c r="H175" s="472"/>
      <c r="I175" s="472"/>
      <c r="J175" s="472"/>
      <c r="K175" s="472"/>
      <c r="L175" s="229"/>
      <c r="M175" s="229"/>
      <c r="N175" s="472"/>
      <c r="O175" s="472"/>
      <c r="P175" s="472"/>
      <c r="Q175" s="472"/>
      <c r="R175" s="472"/>
      <c r="S175" s="472"/>
      <c r="T175" s="472"/>
      <c r="U175" s="472"/>
      <c r="V175" s="472"/>
      <c r="W175" s="472"/>
      <c r="X175" s="472"/>
      <c r="Y175" s="472"/>
      <c r="Z175" s="472"/>
      <c r="AA175" s="472"/>
      <c r="AB175" s="472"/>
      <c r="AC175" s="472"/>
      <c r="AD175" s="472"/>
      <c r="AE175" s="3">
        <v>1</v>
      </c>
    </row>
    <row r="176" spans="1:31" ht="15.75">
      <c r="A176" s="472"/>
      <c r="B176" s="886" t="s">
        <v>200</v>
      </c>
      <c r="C176" s="666" t="s">
        <v>14144</v>
      </c>
      <c r="D176" s="5555" t="s">
        <v>14145</v>
      </c>
      <c r="E176" s="472"/>
      <c r="F176" s="472"/>
      <c r="G176" s="472"/>
      <c r="H176" s="472"/>
      <c r="I176" s="472"/>
      <c r="J176" s="472"/>
      <c r="K176" s="472"/>
      <c r="L176" s="229"/>
      <c r="M176" s="229"/>
      <c r="N176" s="472"/>
      <c r="O176" s="472"/>
      <c r="P176" s="472"/>
      <c r="Q176" s="472"/>
      <c r="R176" s="472"/>
      <c r="S176" s="472"/>
      <c r="T176" s="472"/>
      <c r="U176" s="472"/>
      <c r="V176" s="472"/>
      <c r="W176" s="472"/>
      <c r="X176" s="472"/>
      <c r="Y176" s="472"/>
      <c r="Z176" s="472"/>
      <c r="AA176" s="472"/>
      <c r="AB176" s="472"/>
      <c r="AC176" s="472"/>
      <c r="AD176" s="472"/>
      <c r="AE176" s="3">
        <v>1</v>
      </c>
    </row>
    <row r="177" spans="1:33">
      <c r="A177" s="472"/>
      <c r="B177" s="1301"/>
      <c r="C177" s="9"/>
      <c r="D177" s="9"/>
      <c r="E177" s="9"/>
      <c r="F177" s="9"/>
      <c r="G177" s="9"/>
      <c r="H177" s="9"/>
      <c r="I177" s="9"/>
      <c r="J177" s="9"/>
      <c r="K177" s="9"/>
      <c r="L177" s="9"/>
      <c r="M177" s="229"/>
      <c r="N177" s="472"/>
      <c r="O177" s="472"/>
      <c r="P177" s="472"/>
      <c r="Q177" s="472"/>
      <c r="R177" s="472"/>
      <c r="S177" s="472"/>
      <c r="T177" s="472"/>
      <c r="U177" s="472"/>
      <c r="V177" s="472"/>
      <c r="W177" s="472"/>
      <c r="X177" s="472"/>
      <c r="Y177" s="472"/>
      <c r="Z177" s="472"/>
      <c r="AA177" s="472"/>
      <c r="AB177" s="472"/>
      <c r="AC177" s="472"/>
      <c r="AD177" s="472"/>
      <c r="AE177" s="3">
        <v>1</v>
      </c>
    </row>
    <row r="178" spans="1:33">
      <c r="A178" s="472"/>
      <c r="B178" s="472"/>
      <c r="C178" s="472"/>
      <c r="D178" s="472"/>
      <c r="E178" s="472"/>
      <c r="F178" s="472"/>
      <c r="G178" s="472"/>
      <c r="H178" s="472"/>
      <c r="I178" s="472"/>
      <c r="J178" s="472"/>
      <c r="K178" s="472"/>
      <c r="L178" s="229"/>
      <c r="M178" s="229"/>
      <c r="N178" s="472"/>
      <c r="O178" s="472"/>
      <c r="P178" s="472"/>
      <c r="Q178" s="472"/>
      <c r="R178" s="472"/>
      <c r="S178" s="472"/>
      <c r="T178" s="472"/>
      <c r="U178" s="472"/>
      <c r="V178" s="472"/>
      <c r="W178" s="472"/>
      <c r="X178" s="472"/>
      <c r="Y178" s="472"/>
      <c r="Z178" s="472"/>
      <c r="AA178" s="472"/>
      <c r="AB178" s="472"/>
      <c r="AC178" s="472"/>
      <c r="AD178" s="472"/>
      <c r="AE178" s="626" t="s">
        <v>793</v>
      </c>
      <c r="AF178"/>
      <c r="AG178"/>
    </row>
    <row r="179" spans="1:33">
      <c r="A179" s="3">
        <v>1</v>
      </c>
      <c r="B179" s="3">
        <v>1</v>
      </c>
      <c r="C179" s="3">
        <v>1</v>
      </c>
      <c r="D179" s="3">
        <v>1</v>
      </c>
      <c r="E179" s="3">
        <v>1</v>
      </c>
      <c r="F179" s="3">
        <v>1</v>
      </c>
      <c r="G179" s="3">
        <v>1</v>
      </c>
      <c r="H179" s="3">
        <v>1</v>
      </c>
      <c r="I179" s="3">
        <v>1</v>
      </c>
      <c r="J179" s="3">
        <v>1</v>
      </c>
      <c r="K179" s="3">
        <v>1</v>
      </c>
      <c r="L179" s="3">
        <v>1</v>
      </c>
      <c r="M179" s="3">
        <v>1</v>
      </c>
      <c r="N179" s="3">
        <v>1</v>
      </c>
      <c r="O179" s="3">
        <v>1</v>
      </c>
      <c r="P179" s="3">
        <v>1</v>
      </c>
      <c r="Q179" s="3">
        <v>1</v>
      </c>
      <c r="R179" s="3">
        <v>1</v>
      </c>
      <c r="S179" s="3">
        <v>1</v>
      </c>
      <c r="T179" s="3">
        <v>1</v>
      </c>
      <c r="U179" s="3">
        <v>1</v>
      </c>
      <c r="V179" s="3">
        <v>1</v>
      </c>
      <c r="W179" s="3">
        <v>1</v>
      </c>
      <c r="X179" s="3">
        <v>1</v>
      </c>
      <c r="Y179" s="3">
        <v>1</v>
      </c>
      <c r="Z179" s="3">
        <v>1</v>
      </c>
      <c r="AA179" s="3">
        <v>1</v>
      </c>
      <c r="AB179" s="3">
        <v>1</v>
      </c>
      <c r="AC179" s="3">
        <v>1</v>
      </c>
      <c r="AD179" s="3">
        <v>1</v>
      </c>
      <c r="AE179" s="1" t="str">
        <f>ADDRESS(ROW(),COLUMN(),4)</f>
        <v>AE179</v>
      </c>
      <c r="AF179" s="628"/>
      <c r="AG179" s="629" t="str">
        <f>ADDRESS(ROW(),COLUMN(),4)</f>
        <v>AG179</v>
      </c>
    </row>
  </sheetData>
  <mergeCells count="8">
    <mergeCell ref="B9:D9"/>
    <mergeCell ref="F9:H9"/>
    <mergeCell ref="J9:L9"/>
    <mergeCell ref="P3:R3"/>
    <mergeCell ref="B5:D6"/>
    <mergeCell ref="F5:H6"/>
    <mergeCell ref="J5:L6"/>
    <mergeCell ref="N5:R6"/>
  </mergeCells>
  <hyperlinks>
    <hyperlink ref="C173" r:id="rId1" xr:uid="{9F4F219D-EAB6-42D5-866B-71878EEFC768}"/>
    <hyperlink ref="D175" r:id="rId2" xr:uid="{6A51B96B-0904-4F05-B5F5-89D1AC5FBA93}"/>
    <hyperlink ref="C169" r:id="rId3" xr:uid="{E207105C-CCEF-429C-A124-C09E29515843}"/>
    <hyperlink ref="C170" r:id="rId4" xr:uid="{D2F47387-361C-417A-A2F2-38CEC38CFAA9}"/>
    <hyperlink ref="C171" r:id="rId5" xr:uid="{0C637514-6446-4969-919B-FB697EE4F6E6}"/>
    <hyperlink ref="C172" r:id="rId6" xr:uid="{21E1CECB-CBA6-49FF-8BAD-1442145E019B}"/>
    <hyperlink ref="D176" r:id="rId7" xr:uid="{99C2CBCC-B49A-462C-A3D1-A4179120C421}"/>
    <hyperlink ref="C158" r:id="rId8" xr:uid="{F027B728-6878-4FB9-BB41-A0D7146BD2EF}"/>
    <hyperlink ref="C159" r:id="rId9" xr:uid="{ECEE8162-2CBF-4FA1-8841-1538B8F4472C}"/>
    <hyperlink ref="C160" r:id="rId10" xr:uid="{AB4D87AA-89F6-462B-A792-F9A6F9D04C91}"/>
    <hyperlink ref="C161" r:id="rId11" xr:uid="{7969F4BC-90E7-43E9-B48E-2EBFC37B3090}"/>
    <hyperlink ref="C162" r:id="rId12" xr:uid="{7AD3B68B-492A-4D9F-A487-3430C21AC79D}"/>
    <hyperlink ref="C163" r:id="rId13" xr:uid="{9650C171-BB9E-420E-BAF6-CD1F2EC3DC4C}"/>
    <hyperlink ref="C164" r:id="rId14" xr:uid="{B3C8FD56-2039-4500-AE46-22F52A99E157}"/>
    <hyperlink ref="C165" r:id="rId15" xr:uid="{DD851F87-413D-48F1-816E-CAA76AA5DFE8}"/>
    <hyperlink ref="C166" r:id="rId16" xr:uid="{4DD513B6-5CD5-4612-83B6-F791A47BC6D2}"/>
  </hyperlinks>
  <pageMargins left="0.7" right="0.7" top="0.75" bottom="0.75" header="0.3" footer="0.3"/>
  <pageSetup paperSize="9" orientation="portrait" r:id="rId17"/>
  <drawing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6ED6C-E87E-415B-B634-DD87010389E2}">
  <dimension ref="A1:AZ442"/>
  <sheetViews>
    <sheetView showZeros="0" tabSelected="1" zoomScaleNormal="100" workbookViewId="0">
      <selection activeCell="E5" sqref="E5"/>
    </sheetView>
  </sheetViews>
  <sheetFormatPr baseColWidth="10" defaultRowHeight="15"/>
  <cols>
    <col min="1" max="1" width="5" customWidth="1"/>
    <col min="2" max="2" width="3.28515625" customWidth="1"/>
    <col min="3" max="3" width="19.7109375" customWidth="1"/>
    <col min="4" max="4" width="18.7109375" customWidth="1"/>
    <col min="5" max="5" width="25.7109375" customWidth="1"/>
    <col min="6" max="6" width="18.28515625" customWidth="1"/>
    <col min="7" max="7" width="16.7109375" customWidth="1"/>
    <col min="8" max="8" width="31.7109375" customWidth="1"/>
    <col min="9" max="9" width="47.140625" customWidth="1"/>
    <col min="10" max="10" width="7.85546875" customWidth="1"/>
    <col min="11" max="11" width="19.7109375" customWidth="1"/>
    <col min="12" max="12" width="18.7109375" customWidth="1"/>
    <col min="13" max="13" width="25.7109375" customWidth="1"/>
    <col min="14" max="14" width="18.28515625" customWidth="1"/>
    <col min="15" max="15" width="16.7109375" customWidth="1"/>
    <col min="16" max="16" width="31.7109375" customWidth="1"/>
    <col min="17" max="17" width="47.140625" customWidth="1"/>
    <col min="18" max="18" width="7.85546875" customWidth="1"/>
    <col min="19" max="19" width="19.7109375" customWidth="1"/>
    <col min="20" max="20" width="18.7109375" customWidth="1"/>
    <col min="21" max="21" width="25.7109375" customWidth="1"/>
    <col min="22" max="22" width="18.28515625" customWidth="1"/>
    <col min="23" max="23" width="16.7109375" customWidth="1"/>
    <col min="24" max="24" width="31.7109375" customWidth="1"/>
    <col min="25" max="25" width="47.140625" customWidth="1"/>
    <col min="26" max="26" width="4.85546875" customWidth="1"/>
    <col min="27" max="27" width="19.7109375" customWidth="1"/>
    <col min="28" max="28" width="18.7109375" customWidth="1"/>
    <col min="29" max="29" width="10.7109375" customWidth="1"/>
    <col min="30" max="30" width="16.7109375" customWidth="1"/>
    <col min="31" max="31" width="17" bestFit="1" customWidth="1"/>
    <col min="32" max="32" width="11.7109375" customWidth="1"/>
    <col min="33" max="33" width="46.7109375" customWidth="1"/>
    <col min="34" max="34" width="4.85546875" style="227" customWidth="1"/>
    <col min="35" max="35" width="19.7109375" customWidth="1"/>
    <col min="36" max="36" width="18.7109375" customWidth="1"/>
    <col min="37" max="37" width="10.7109375" customWidth="1"/>
    <col min="38" max="38" width="16.7109375" customWidth="1"/>
    <col min="39" max="39" width="17" bestFit="1" customWidth="1"/>
    <col min="40" max="40" width="11.7109375" customWidth="1"/>
    <col min="41" max="41" width="46.7109375" customWidth="1"/>
    <col min="42" max="42" width="4.85546875" style="227" customWidth="1"/>
    <col min="43" max="43" width="19.7109375" customWidth="1"/>
    <col min="44" max="44" width="18.7109375" customWidth="1"/>
    <col min="45" max="45" width="10.7109375" customWidth="1"/>
    <col min="46" max="46" width="16.7109375" customWidth="1"/>
    <col min="47" max="47" width="17" bestFit="1" customWidth="1"/>
    <col min="48" max="48" width="11.7109375" customWidth="1"/>
    <col min="49" max="49" width="46.7109375" customWidth="1"/>
    <col min="50" max="50" width="16.7109375" style="227" customWidth="1"/>
    <col min="51" max="51" width="5.140625" style="633" customWidth="1"/>
    <col min="52" max="52" width="8.7109375" customWidth="1"/>
  </cols>
  <sheetData>
    <row r="1" spans="1:52" ht="15.75" customHeight="1" thickTop="1">
      <c r="A1" s="1" t="str">
        <f>ADDRESS(ROW(),COLUMN(),4)</f>
        <v>A1</v>
      </c>
      <c r="C1" s="2" t="str">
        <f t="shared" ref="C1:Y1" si="0">SUBSTITUTE(ADDRESS(1,COLUMN(),4),"1","")</f>
        <v>C</v>
      </c>
      <c r="D1" s="2" t="str">
        <f t="shared" si="0"/>
        <v>D</v>
      </c>
      <c r="E1" s="2" t="str">
        <f t="shared" si="0"/>
        <v>E</v>
      </c>
      <c r="F1" s="2" t="str">
        <f t="shared" si="0"/>
        <v>F</v>
      </c>
      <c r="G1" s="2" t="str">
        <f t="shared" si="0"/>
        <v>G</v>
      </c>
      <c r="H1" s="2" t="str">
        <f t="shared" si="0"/>
        <v>H</v>
      </c>
      <c r="I1" s="2" t="str">
        <f t="shared" si="0"/>
        <v>I</v>
      </c>
      <c r="K1" s="2" t="str">
        <f t="shared" si="0"/>
        <v>K</v>
      </c>
      <c r="L1" s="2" t="str">
        <f t="shared" si="0"/>
        <v>L</v>
      </c>
      <c r="M1" s="2" t="str">
        <f t="shared" si="0"/>
        <v>M</v>
      </c>
      <c r="N1" s="2" t="str">
        <f t="shared" si="0"/>
        <v>N</v>
      </c>
      <c r="O1" s="2" t="str">
        <f t="shared" si="0"/>
        <v>O</v>
      </c>
      <c r="P1" s="2" t="str">
        <f t="shared" si="0"/>
        <v>P</v>
      </c>
      <c r="Q1" s="2" t="str">
        <f t="shared" si="0"/>
        <v>Q</v>
      </c>
      <c r="S1" s="2" t="str">
        <f t="shared" si="0"/>
        <v>S</v>
      </c>
      <c r="T1" s="2" t="str">
        <f t="shared" si="0"/>
        <v>T</v>
      </c>
      <c r="U1" s="2" t="str">
        <f t="shared" si="0"/>
        <v>U</v>
      </c>
      <c r="V1" s="2" t="str">
        <f t="shared" si="0"/>
        <v>V</v>
      </c>
      <c r="W1" s="2" t="str">
        <f t="shared" si="0"/>
        <v>W</v>
      </c>
      <c r="X1" s="2" t="str">
        <f t="shared" si="0"/>
        <v>X</v>
      </c>
      <c r="Y1" s="2" t="str">
        <f t="shared" si="0"/>
        <v>Y</v>
      </c>
      <c r="AA1" s="5494" t="str">
        <f t="shared" ref="AA1:AW1" si="1">SUBSTITUTE(ADDRESS(1,COLUMN(),4),"1","")</f>
        <v>AA</v>
      </c>
      <c r="AB1" s="5494" t="str">
        <f t="shared" si="1"/>
        <v>AB</v>
      </c>
      <c r="AC1" s="5494" t="str">
        <f t="shared" si="1"/>
        <v>AC</v>
      </c>
      <c r="AD1" s="5494" t="str">
        <f t="shared" si="1"/>
        <v>AD</v>
      </c>
      <c r="AE1" s="5494" t="str">
        <f t="shared" si="1"/>
        <v>AE</v>
      </c>
      <c r="AF1" s="5494" t="str">
        <f t="shared" si="1"/>
        <v>AF</v>
      </c>
      <c r="AG1" s="5494" t="str">
        <f t="shared" si="1"/>
        <v>AG</v>
      </c>
      <c r="AI1" s="5494" t="str">
        <f t="shared" si="1"/>
        <v>AI</v>
      </c>
      <c r="AJ1" s="5494" t="str">
        <f t="shared" si="1"/>
        <v>AJ</v>
      </c>
      <c r="AK1" s="5494" t="str">
        <f t="shared" si="1"/>
        <v>AK</v>
      </c>
      <c r="AL1" s="5494" t="str">
        <f t="shared" si="1"/>
        <v>AL</v>
      </c>
      <c r="AM1" s="5494" t="str">
        <f t="shared" si="1"/>
        <v>AM</v>
      </c>
      <c r="AN1" s="5494" t="str">
        <f t="shared" si="1"/>
        <v>AN</v>
      </c>
      <c r="AO1" s="5494" t="str">
        <f t="shared" si="1"/>
        <v>AO</v>
      </c>
      <c r="AQ1" s="5494" t="str">
        <f t="shared" si="1"/>
        <v>AQ</v>
      </c>
      <c r="AR1" s="5494" t="str">
        <f t="shared" si="1"/>
        <v>AR</v>
      </c>
      <c r="AS1" s="5494" t="str">
        <f t="shared" si="1"/>
        <v>AS</v>
      </c>
      <c r="AT1" s="5494" t="str">
        <f t="shared" si="1"/>
        <v>AT</v>
      </c>
      <c r="AU1" s="5494" t="str">
        <f t="shared" si="1"/>
        <v>AU</v>
      </c>
      <c r="AV1" s="5494" t="str">
        <f t="shared" si="1"/>
        <v>AV</v>
      </c>
      <c r="AW1" s="5494" t="str">
        <f t="shared" si="1"/>
        <v>AW</v>
      </c>
      <c r="AX1" s="2"/>
      <c r="AY1"/>
      <c r="AZ1" s="3">
        <v>1</v>
      </c>
    </row>
    <row r="2" spans="1:52" ht="22.5">
      <c r="C2" s="694">
        <f t="shared" ref="C2:Y2" ca="1" si="2">CELL("largeur",C2)</f>
        <v>19</v>
      </c>
      <c r="D2" s="694">
        <f t="shared" ca="1" si="2"/>
        <v>18</v>
      </c>
      <c r="E2" s="694">
        <f t="shared" ca="1" si="2"/>
        <v>25</v>
      </c>
      <c r="F2" s="694">
        <f t="shared" ca="1" si="2"/>
        <v>18</v>
      </c>
      <c r="G2" s="694">
        <f t="shared" ca="1" si="2"/>
        <v>16</v>
      </c>
      <c r="H2" s="694">
        <f t="shared" ca="1" si="2"/>
        <v>31</v>
      </c>
      <c r="I2" s="694">
        <f t="shared" ca="1" si="2"/>
        <v>46</v>
      </c>
      <c r="K2" s="694">
        <f t="shared" ca="1" si="2"/>
        <v>19</v>
      </c>
      <c r="L2" s="694">
        <f t="shared" ca="1" si="2"/>
        <v>18</v>
      </c>
      <c r="M2" s="694">
        <f t="shared" ca="1" si="2"/>
        <v>25</v>
      </c>
      <c r="N2" s="694">
        <f t="shared" ca="1" si="2"/>
        <v>18</v>
      </c>
      <c r="O2" s="694">
        <f t="shared" ca="1" si="2"/>
        <v>16</v>
      </c>
      <c r="P2" s="694">
        <f t="shared" ca="1" si="2"/>
        <v>31</v>
      </c>
      <c r="Q2" s="694">
        <f t="shared" ca="1" si="2"/>
        <v>46</v>
      </c>
      <c r="S2" s="694">
        <f t="shared" ca="1" si="2"/>
        <v>19</v>
      </c>
      <c r="T2" s="694">
        <f t="shared" ca="1" si="2"/>
        <v>18</v>
      </c>
      <c r="U2" s="694">
        <f t="shared" ca="1" si="2"/>
        <v>25</v>
      </c>
      <c r="V2" s="694">
        <f t="shared" ca="1" si="2"/>
        <v>18</v>
      </c>
      <c r="W2" s="694">
        <f t="shared" ca="1" si="2"/>
        <v>16</v>
      </c>
      <c r="X2" s="694">
        <f t="shared" ca="1" si="2"/>
        <v>31</v>
      </c>
      <c r="Y2" s="694">
        <f t="shared" ca="1" si="2"/>
        <v>46</v>
      </c>
      <c r="AA2" s="694">
        <f t="shared" ref="AA2:AW2" ca="1" si="3">CELL("largeur",AA2)</f>
        <v>19</v>
      </c>
      <c r="AB2" s="694">
        <f t="shared" ca="1" si="3"/>
        <v>18</v>
      </c>
      <c r="AC2" s="694">
        <f t="shared" ca="1" si="3"/>
        <v>10</v>
      </c>
      <c r="AD2" s="694">
        <f t="shared" ca="1" si="3"/>
        <v>16</v>
      </c>
      <c r="AE2" s="694">
        <f t="shared" ca="1" si="3"/>
        <v>16</v>
      </c>
      <c r="AF2" s="694">
        <f t="shared" ca="1" si="3"/>
        <v>11</v>
      </c>
      <c r="AG2" s="694">
        <f t="shared" ca="1" si="3"/>
        <v>46</v>
      </c>
      <c r="AI2" s="694">
        <f t="shared" ca="1" si="3"/>
        <v>19</v>
      </c>
      <c r="AJ2" s="694">
        <f t="shared" ca="1" si="3"/>
        <v>18</v>
      </c>
      <c r="AK2" s="694">
        <f t="shared" ca="1" si="3"/>
        <v>10</v>
      </c>
      <c r="AL2" s="694">
        <f t="shared" ca="1" si="3"/>
        <v>16</v>
      </c>
      <c r="AM2" s="694">
        <f t="shared" ca="1" si="3"/>
        <v>16</v>
      </c>
      <c r="AN2" s="694">
        <f t="shared" ca="1" si="3"/>
        <v>11</v>
      </c>
      <c r="AO2" s="694">
        <f t="shared" ca="1" si="3"/>
        <v>46</v>
      </c>
      <c r="AQ2" s="694">
        <f t="shared" ca="1" si="3"/>
        <v>19</v>
      </c>
      <c r="AR2" s="694">
        <f t="shared" ca="1" si="3"/>
        <v>18</v>
      </c>
      <c r="AS2" s="694">
        <f t="shared" ca="1" si="3"/>
        <v>10</v>
      </c>
      <c r="AT2" s="694">
        <f t="shared" ca="1" si="3"/>
        <v>16</v>
      </c>
      <c r="AU2" s="694">
        <f t="shared" ca="1" si="3"/>
        <v>16</v>
      </c>
      <c r="AV2" s="694">
        <f t="shared" ca="1" si="3"/>
        <v>11</v>
      </c>
      <c r="AW2" s="694">
        <f t="shared" ca="1" si="3"/>
        <v>46</v>
      </c>
      <c r="AX2" s="2313" t="s">
        <v>8774</v>
      </c>
      <c r="AY2"/>
      <c r="AZ2" s="3">
        <v>1</v>
      </c>
    </row>
    <row r="3" spans="1:52" ht="21" customHeight="1">
      <c r="C3" s="2069">
        <v>19</v>
      </c>
      <c r="D3" s="2069">
        <v>18</v>
      </c>
      <c r="E3" s="2069">
        <v>25</v>
      </c>
      <c r="F3" s="2069">
        <v>18</v>
      </c>
      <c r="G3" s="2069">
        <v>16</v>
      </c>
      <c r="H3" s="2069">
        <v>31</v>
      </c>
      <c r="I3" s="2069">
        <v>46</v>
      </c>
      <c r="K3" s="2069">
        <v>19</v>
      </c>
      <c r="L3" s="2069">
        <v>18</v>
      </c>
      <c r="M3" s="2069">
        <v>25</v>
      </c>
      <c r="N3" s="2069">
        <v>18</v>
      </c>
      <c r="O3" s="2069">
        <v>16</v>
      </c>
      <c r="P3" s="2069">
        <v>31</v>
      </c>
      <c r="Q3" s="2069">
        <v>46</v>
      </c>
      <c r="S3" s="2069">
        <v>19</v>
      </c>
      <c r="T3" s="2069">
        <v>18</v>
      </c>
      <c r="U3" s="2069">
        <v>25</v>
      </c>
      <c r="V3" s="2069">
        <v>18</v>
      </c>
      <c r="W3" s="2069">
        <v>16</v>
      </c>
      <c r="X3" s="2069">
        <v>31</v>
      </c>
      <c r="Y3" s="2069">
        <v>46</v>
      </c>
      <c r="AA3" s="2069">
        <v>11</v>
      </c>
      <c r="AB3" s="2069">
        <v>12</v>
      </c>
      <c r="AC3" s="2069">
        <v>13</v>
      </c>
      <c r="AD3" s="2069">
        <v>14</v>
      </c>
      <c r="AE3" s="2069">
        <v>15</v>
      </c>
      <c r="AF3" s="2069">
        <v>16</v>
      </c>
      <c r="AG3" s="2069">
        <v>17</v>
      </c>
      <c r="AI3" s="2069">
        <v>11</v>
      </c>
      <c r="AJ3" s="2069">
        <v>12</v>
      </c>
      <c r="AK3" s="2069">
        <v>13</v>
      </c>
      <c r="AL3" s="2069">
        <v>14</v>
      </c>
      <c r="AM3" s="2069">
        <v>15</v>
      </c>
      <c r="AN3" s="2069">
        <v>16</v>
      </c>
      <c r="AO3" s="2069">
        <v>17</v>
      </c>
      <c r="AQ3" s="2069">
        <v>11</v>
      </c>
      <c r="AR3" s="2069">
        <v>12</v>
      </c>
      <c r="AS3" s="2069">
        <v>13</v>
      </c>
      <c r="AT3" s="2069">
        <v>14</v>
      </c>
      <c r="AU3" s="2069">
        <v>15</v>
      </c>
      <c r="AV3" s="2069">
        <v>16</v>
      </c>
      <c r="AW3" s="2069">
        <v>17</v>
      </c>
      <c r="AX3" s="2312" t="s">
        <v>8779</v>
      </c>
      <c r="AY3" s="9"/>
      <c r="AZ3" s="3">
        <v>1</v>
      </c>
    </row>
    <row r="4" spans="1:52" ht="21" customHeight="1">
      <c r="AH4"/>
      <c r="AI4" s="700"/>
      <c r="AT4" s="705" t="s">
        <v>1491</v>
      </c>
      <c r="AU4" s="706" t="str">
        <f>AZ442</f>
        <v>AZ442</v>
      </c>
      <c r="AW4" s="707" t="str">
        <f ca="1">"Page "&amp;_xlfn.SHEET()&amp;" sur "&amp;_xlfn.SHEETS()</f>
        <v>Page 8 sur 27</v>
      </c>
      <c r="AY4" s="472"/>
      <c r="AZ4" s="3">
        <v>1</v>
      </c>
    </row>
    <row r="5" spans="1:52" ht="21" customHeight="1" thickBot="1">
      <c r="A5" s="1585" t="s">
        <v>8224</v>
      </c>
      <c r="AH5" s="700"/>
      <c r="AP5" s="700"/>
      <c r="AT5" s="714" t="s">
        <v>1495</v>
      </c>
      <c r="AX5" s="700"/>
      <c r="AY5" s="472"/>
      <c r="AZ5" s="3">
        <v>1</v>
      </c>
    </row>
    <row r="6" spans="1:52" ht="21" customHeight="1" thickBot="1">
      <c r="A6" s="1585"/>
      <c r="AA6" s="6499" t="s">
        <v>1498</v>
      </c>
      <c r="AB6" s="6500"/>
      <c r="AC6" s="6500"/>
      <c r="AD6" s="6500"/>
      <c r="AE6" s="6500"/>
      <c r="AF6" s="6500"/>
      <c r="AG6" s="6501"/>
      <c r="AI6" s="6499" t="s">
        <v>1499</v>
      </c>
      <c r="AJ6" s="6500"/>
      <c r="AK6" s="6500"/>
      <c r="AL6" s="6500"/>
      <c r="AM6" s="6500"/>
      <c r="AN6" s="6500"/>
      <c r="AO6" s="6501"/>
      <c r="AQ6" s="6499" t="s">
        <v>1500</v>
      </c>
      <c r="AR6" s="6500"/>
      <c r="AS6" s="6500"/>
      <c r="AT6" s="6500"/>
      <c r="AU6" s="6500"/>
      <c r="AV6" s="6500"/>
      <c r="AW6" s="6501"/>
      <c r="AY6" s="472"/>
      <c r="AZ6" s="3">
        <v>1</v>
      </c>
    </row>
    <row r="7" spans="1:52" ht="21" customHeight="1">
      <c r="A7" s="1585"/>
      <c r="C7" s="6562" t="s">
        <v>25</v>
      </c>
      <c r="D7" s="6563"/>
      <c r="E7" s="6563"/>
      <c r="F7" s="6563"/>
      <c r="G7" s="6563"/>
      <c r="H7" s="6563"/>
      <c r="I7" s="6564"/>
      <c r="K7" s="6562" t="s">
        <v>26</v>
      </c>
      <c r="L7" s="6563"/>
      <c r="M7" s="6563"/>
      <c r="N7" s="6563"/>
      <c r="O7" s="6563"/>
      <c r="P7" s="6563"/>
      <c r="Q7" s="6564"/>
      <c r="S7" s="6562" t="s">
        <v>27</v>
      </c>
      <c r="T7" s="6563"/>
      <c r="U7" s="6563"/>
      <c r="V7" s="6563"/>
      <c r="W7" s="6563"/>
      <c r="X7" s="6563"/>
      <c r="Y7" s="6564"/>
      <c r="AA7" s="6502"/>
      <c r="AB7" s="6503"/>
      <c r="AC7" s="6503"/>
      <c r="AD7" s="6503"/>
      <c r="AE7" s="6503"/>
      <c r="AF7" s="6503"/>
      <c r="AG7" s="6504"/>
      <c r="AI7" s="6502"/>
      <c r="AJ7" s="6503"/>
      <c r="AK7" s="6503"/>
      <c r="AL7" s="6503"/>
      <c r="AM7" s="6503"/>
      <c r="AN7" s="6503"/>
      <c r="AO7" s="6504"/>
      <c r="AQ7" s="6502"/>
      <c r="AR7" s="6503"/>
      <c r="AS7" s="6503"/>
      <c r="AT7" s="6503"/>
      <c r="AU7" s="6503"/>
      <c r="AV7" s="6503"/>
      <c r="AW7" s="6504"/>
      <c r="AY7" s="472"/>
      <c r="AZ7" s="3">
        <v>1</v>
      </c>
    </row>
    <row r="8" spans="1:52" ht="21" customHeight="1" thickBot="1">
      <c r="A8" s="1585"/>
      <c r="C8" s="6565"/>
      <c r="D8" s="6566"/>
      <c r="E8" s="6566"/>
      <c r="F8" s="6566"/>
      <c r="G8" s="6566"/>
      <c r="H8" s="6566"/>
      <c r="I8" s="6567"/>
      <c r="K8" s="6565"/>
      <c r="L8" s="6566"/>
      <c r="M8" s="6566"/>
      <c r="N8" s="6566"/>
      <c r="O8" s="6566"/>
      <c r="P8" s="6566"/>
      <c r="Q8" s="6567"/>
      <c r="S8" s="6565"/>
      <c r="T8" s="6566"/>
      <c r="U8" s="6566"/>
      <c r="V8" s="6566"/>
      <c r="W8" s="6566"/>
      <c r="X8" s="6566"/>
      <c r="Y8" s="6567"/>
      <c r="AA8" s="6505"/>
      <c r="AB8" s="6506"/>
      <c r="AC8" s="6506"/>
      <c r="AD8" s="6506"/>
      <c r="AE8" s="6506"/>
      <c r="AF8" s="6506"/>
      <c r="AG8" s="6507"/>
      <c r="AI8" s="6505"/>
      <c r="AJ8" s="6506"/>
      <c r="AK8" s="6506"/>
      <c r="AL8" s="6506"/>
      <c r="AM8" s="6506"/>
      <c r="AN8" s="6506"/>
      <c r="AO8" s="6507"/>
      <c r="AQ8" s="6505"/>
      <c r="AR8" s="6506"/>
      <c r="AS8" s="6506"/>
      <c r="AT8" s="6506"/>
      <c r="AU8" s="6506"/>
      <c r="AV8" s="6506"/>
      <c r="AW8" s="6507"/>
      <c r="AY8" s="472"/>
      <c r="AZ8" s="3">
        <v>1</v>
      </c>
    </row>
    <row r="9" spans="1:52" ht="21" customHeight="1" thickTop="1">
      <c r="A9" s="1585"/>
      <c r="C9" s="6565"/>
      <c r="D9" s="6566"/>
      <c r="E9" s="6566"/>
      <c r="F9" s="6566"/>
      <c r="G9" s="6566"/>
      <c r="H9" s="6566"/>
      <c r="I9" s="6567"/>
      <c r="K9" s="6565"/>
      <c r="L9" s="6566"/>
      <c r="M9" s="6566"/>
      <c r="N9" s="6566"/>
      <c r="O9" s="6566"/>
      <c r="P9" s="6566"/>
      <c r="Q9" s="6567"/>
      <c r="S9" s="6565"/>
      <c r="T9" s="6566"/>
      <c r="U9" s="6566"/>
      <c r="V9" s="6566"/>
      <c r="W9" s="6566"/>
      <c r="X9" s="6566"/>
      <c r="Y9" s="6567"/>
      <c r="AA9" s="6508"/>
      <c r="AB9" s="6509"/>
      <c r="AC9" s="6509"/>
      <c r="AD9" s="6509"/>
      <c r="AE9" s="6509"/>
      <c r="AF9" s="6509"/>
      <c r="AG9" s="6510"/>
      <c r="AI9" s="6508"/>
      <c r="AJ9" s="6509"/>
      <c r="AK9" s="6509"/>
      <c r="AL9" s="6509"/>
      <c r="AM9" s="6509"/>
      <c r="AN9" s="6509"/>
      <c r="AO9" s="6510"/>
      <c r="AQ9" s="6508"/>
      <c r="AR9" s="6509"/>
      <c r="AS9" s="6509"/>
      <c r="AT9" s="6509"/>
      <c r="AU9" s="6509"/>
      <c r="AV9" s="6509"/>
      <c r="AW9" s="6510"/>
      <c r="AY9" s="472"/>
      <c r="AZ9" s="3">
        <v>1</v>
      </c>
    </row>
    <row r="10" spans="1:52" ht="21" customHeight="1">
      <c r="C10" s="44" t="s">
        <v>37</v>
      </c>
      <c r="D10" s="45"/>
      <c r="E10" s="45"/>
      <c r="F10" s="45"/>
      <c r="G10" s="45"/>
      <c r="H10" s="45"/>
      <c r="I10" s="46"/>
      <c r="K10" s="44" t="s">
        <v>37</v>
      </c>
      <c r="L10" s="45"/>
      <c r="M10" s="45"/>
      <c r="N10" s="45"/>
      <c r="O10" s="45"/>
      <c r="P10" s="45"/>
      <c r="Q10" s="46"/>
      <c r="S10" s="44" t="s">
        <v>39</v>
      </c>
      <c r="T10" s="45"/>
      <c r="U10" s="45"/>
      <c r="V10" s="45"/>
      <c r="W10" s="45"/>
      <c r="X10" s="45"/>
      <c r="Y10" s="46"/>
      <c r="AA10" s="6514" t="s">
        <v>1513</v>
      </c>
      <c r="AB10" s="6515"/>
      <c r="AC10" s="6515"/>
      <c r="AD10" s="6515"/>
      <c r="AE10" s="6515"/>
      <c r="AF10" s="6515"/>
      <c r="AG10" s="6516"/>
      <c r="AI10" s="6514" t="s">
        <v>1514</v>
      </c>
      <c r="AJ10" s="6515"/>
      <c r="AK10" s="6515"/>
      <c r="AL10" s="6515"/>
      <c r="AM10" s="6515"/>
      <c r="AN10" s="6515"/>
      <c r="AO10" s="6516"/>
      <c r="AQ10" s="6514" t="s">
        <v>1515</v>
      </c>
      <c r="AR10" s="6515"/>
      <c r="AS10" s="6515"/>
      <c r="AT10" s="6515"/>
      <c r="AU10" s="6515"/>
      <c r="AV10" s="6515"/>
      <c r="AW10" s="6516"/>
      <c r="AY10" s="472"/>
      <c r="AZ10" s="3">
        <v>1</v>
      </c>
    </row>
    <row r="11" spans="1:52" ht="21" customHeight="1">
      <c r="B11" s="1333" t="s">
        <v>21</v>
      </c>
      <c r="C11" s="5513"/>
      <c r="D11" s="5514"/>
      <c r="E11" s="161"/>
      <c r="F11" s="161"/>
      <c r="G11" s="161"/>
      <c r="H11" s="161"/>
      <c r="I11" s="5515"/>
      <c r="K11" s="5513"/>
      <c r="L11" s="5514"/>
      <c r="M11" s="161"/>
      <c r="N11" s="161"/>
      <c r="O11" s="161"/>
      <c r="P11" s="161"/>
      <c r="Q11" s="5515"/>
      <c r="S11" s="5513"/>
      <c r="T11" s="5514"/>
      <c r="U11" s="161"/>
      <c r="V11" s="161"/>
      <c r="W11" s="161"/>
      <c r="X11" s="161"/>
      <c r="Y11" s="5515"/>
      <c r="AA11" s="6517"/>
      <c r="AB11" s="6518"/>
      <c r="AC11" s="6518"/>
      <c r="AD11" s="6518"/>
      <c r="AE11" s="6518"/>
      <c r="AF11" s="6518"/>
      <c r="AG11" s="6519"/>
      <c r="AI11" s="6517"/>
      <c r="AJ11" s="6518"/>
      <c r="AK11" s="6518"/>
      <c r="AL11" s="6518"/>
      <c r="AM11" s="6518"/>
      <c r="AN11" s="6518"/>
      <c r="AO11" s="6519"/>
      <c r="AQ11" s="6517"/>
      <c r="AR11" s="6518"/>
      <c r="AS11" s="6518"/>
      <c r="AT11" s="6518"/>
      <c r="AU11" s="6518"/>
      <c r="AV11" s="6518"/>
      <c r="AW11" s="6519"/>
      <c r="AY11" s="472"/>
      <c r="AZ11" s="3">
        <v>1</v>
      </c>
    </row>
    <row r="12" spans="1:52" ht="21" customHeight="1">
      <c r="B12" s="1333" t="s">
        <v>21</v>
      </c>
      <c r="C12" s="5516" t="s">
        <v>13974</v>
      </c>
      <c r="D12" s="5517"/>
      <c r="E12" s="1312"/>
      <c r="F12" s="9"/>
      <c r="G12" s="9"/>
      <c r="H12" s="5518" t="s">
        <v>13975</v>
      </c>
      <c r="I12" s="191"/>
      <c r="K12" s="5516" t="s">
        <v>14001</v>
      </c>
      <c r="L12" s="5517"/>
      <c r="M12" s="1312"/>
      <c r="N12" s="9"/>
      <c r="O12" s="9"/>
      <c r="P12" s="5518" t="s">
        <v>14039</v>
      </c>
      <c r="Q12" s="191"/>
      <c r="S12" s="5516" t="s">
        <v>14019</v>
      </c>
      <c r="T12" s="5517"/>
      <c r="U12" s="1312"/>
      <c r="V12" s="9"/>
      <c r="W12" s="9"/>
      <c r="X12" s="5518" t="s">
        <v>14040</v>
      </c>
      <c r="Y12" s="191"/>
      <c r="AA12" s="6520" t="s">
        <v>1524</v>
      </c>
      <c r="AB12" s="6521"/>
      <c r="AC12" s="6521"/>
      <c r="AD12" s="6521"/>
      <c r="AE12" s="6521"/>
      <c r="AF12" s="6521"/>
      <c r="AG12" s="6522"/>
      <c r="AI12" s="6520" t="s">
        <v>1525</v>
      </c>
      <c r="AJ12" s="6521"/>
      <c r="AK12" s="6521"/>
      <c r="AL12" s="6521"/>
      <c r="AM12" s="6521"/>
      <c r="AN12" s="6521"/>
      <c r="AO12" s="6522"/>
      <c r="AQ12" s="6520" t="s">
        <v>1526</v>
      </c>
      <c r="AR12" s="6521"/>
      <c r="AS12" s="6521"/>
      <c r="AT12" s="6521"/>
      <c r="AU12" s="6521"/>
      <c r="AV12" s="6521"/>
      <c r="AW12" s="6522"/>
      <c r="AY12" s="472"/>
      <c r="AZ12" s="3">
        <v>1</v>
      </c>
    </row>
    <row r="13" spans="1:52" ht="21" customHeight="1">
      <c r="B13" s="1333" t="s">
        <v>21</v>
      </c>
      <c r="C13" s="5519" t="s">
        <v>13976</v>
      </c>
      <c r="D13" s="5517"/>
      <c r="E13" s="1312"/>
      <c r="F13" s="9"/>
      <c r="G13" s="9"/>
      <c r="H13" s="2694" t="s">
        <v>13977</v>
      </c>
      <c r="I13" s="191"/>
      <c r="K13" s="5519" t="s">
        <v>14002</v>
      </c>
      <c r="L13" s="5517"/>
      <c r="M13" s="1312"/>
      <c r="N13" s="9"/>
      <c r="O13" s="9"/>
      <c r="P13" s="2694" t="s">
        <v>14026</v>
      </c>
      <c r="Q13" s="191"/>
      <c r="S13" s="5519" t="s">
        <v>14013</v>
      </c>
      <c r="T13" s="5517"/>
      <c r="U13" s="1312"/>
      <c r="V13" s="9"/>
      <c r="W13" s="9"/>
      <c r="X13" s="2694" t="s">
        <v>14041</v>
      </c>
      <c r="Y13" s="191"/>
      <c r="AA13" s="737" t="s">
        <v>1534</v>
      </c>
      <c r="AB13" s="738"/>
      <c r="AC13" s="738"/>
      <c r="AD13" s="738"/>
      <c r="AE13" s="738"/>
      <c r="AF13" s="738"/>
      <c r="AG13" s="739"/>
      <c r="AI13" s="737" t="s">
        <v>1535</v>
      </c>
      <c r="AJ13" s="738"/>
      <c r="AK13" s="738"/>
      <c r="AL13" s="738"/>
      <c r="AM13" s="738"/>
      <c r="AN13" s="738"/>
      <c r="AO13" s="739"/>
      <c r="AQ13" s="737" t="s">
        <v>1536</v>
      </c>
      <c r="AR13" s="738"/>
      <c r="AS13" s="738"/>
      <c r="AT13" s="738"/>
      <c r="AU13" s="738"/>
      <c r="AV13" s="738"/>
      <c r="AW13" s="739"/>
      <c r="AY13" s="472"/>
      <c r="AZ13" s="3">
        <v>1</v>
      </c>
    </row>
    <row r="14" spans="1:52" ht="21" customHeight="1">
      <c r="B14" s="1333" t="s">
        <v>21</v>
      </c>
      <c r="C14" s="5519"/>
      <c r="D14" s="5520" t="s">
        <v>13978</v>
      </c>
      <c r="E14" s="1312"/>
      <c r="F14" s="9"/>
      <c r="G14" s="9"/>
      <c r="H14" s="54" t="s">
        <v>13979</v>
      </c>
      <c r="I14" s="38"/>
      <c r="K14" s="5519"/>
      <c r="L14" s="5520" t="s">
        <v>14003</v>
      </c>
      <c r="M14" s="1312"/>
      <c r="N14" s="9"/>
      <c r="O14" s="9"/>
      <c r="P14" s="54" t="s">
        <v>14027</v>
      </c>
      <c r="Q14" s="38"/>
      <c r="S14" s="5519"/>
      <c r="T14" s="5520" t="s">
        <v>14014</v>
      </c>
      <c r="U14" s="1312"/>
      <c r="V14" s="9"/>
      <c r="W14" s="9"/>
      <c r="X14" s="54" t="s">
        <v>14050</v>
      </c>
      <c r="Y14" s="38"/>
      <c r="AA14" s="743" t="s">
        <v>1546</v>
      </c>
      <c r="AB14" s="744"/>
      <c r="AC14" s="744"/>
      <c r="AD14" s="744"/>
      <c r="AE14" s="744"/>
      <c r="AF14" s="744"/>
      <c r="AG14" s="745"/>
      <c r="AI14" s="743" t="s">
        <v>1547</v>
      </c>
      <c r="AJ14" s="744"/>
      <c r="AK14" s="744"/>
      <c r="AL14" s="744"/>
      <c r="AM14" s="744"/>
      <c r="AN14" s="744"/>
      <c r="AO14" s="745"/>
      <c r="AQ14" s="743" t="s">
        <v>1548</v>
      </c>
      <c r="AR14" s="744"/>
      <c r="AS14" s="744"/>
      <c r="AT14" s="744"/>
      <c r="AU14" s="744"/>
      <c r="AV14" s="744"/>
      <c r="AW14" s="745"/>
      <c r="AY14" s="472"/>
      <c r="AZ14" s="3">
        <v>1</v>
      </c>
    </row>
    <row r="15" spans="1:52" ht="21" customHeight="1">
      <c r="B15" s="1333" t="s">
        <v>21</v>
      </c>
      <c r="C15" s="5519" t="s">
        <v>13980</v>
      </c>
      <c r="D15" s="5517"/>
      <c r="E15" s="1312"/>
      <c r="F15" s="9"/>
      <c r="G15" s="9"/>
      <c r="H15" s="677" t="s">
        <v>13981</v>
      </c>
      <c r="I15" s="38"/>
      <c r="K15" s="5519" t="s">
        <v>14004</v>
      </c>
      <c r="L15" s="5517"/>
      <c r="M15" s="1312"/>
      <c r="N15" s="9"/>
      <c r="O15" s="9"/>
      <c r="P15" s="677" t="s">
        <v>14028</v>
      </c>
      <c r="Q15" s="38"/>
      <c r="S15" s="5519" t="s">
        <v>14020</v>
      </c>
      <c r="T15" s="5517"/>
      <c r="U15" s="1312"/>
      <c r="V15" s="9"/>
      <c r="W15" s="9"/>
      <c r="X15" s="677" t="s">
        <v>14042</v>
      </c>
      <c r="Y15" s="38"/>
      <c r="AA15" s="639"/>
      <c r="AB15" s="638"/>
      <c r="AC15" s="638"/>
      <c r="AD15" s="638"/>
      <c r="AE15" s="638"/>
      <c r="AF15" s="638"/>
      <c r="AG15" s="748"/>
      <c r="AI15" s="639"/>
      <c r="AJ15" s="638"/>
      <c r="AK15" s="638"/>
      <c r="AL15" s="638"/>
      <c r="AM15" s="638"/>
      <c r="AN15" s="638"/>
      <c r="AO15" s="748"/>
      <c r="AQ15" s="639"/>
      <c r="AR15" s="638"/>
      <c r="AS15" s="638"/>
      <c r="AT15" s="638"/>
      <c r="AU15" s="638"/>
      <c r="AV15" s="638"/>
      <c r="AW15" s="748"/>
      <c r="AY15" s="472"/>
      <c r="AZ15" s="3">
        <v>1</v>
      </c>
    </row>
    <row r="16" spans="1:52" ht="21" customHeight="1">
      <c r="B16" s="1333" t="s">
        <v>21</v>
      </c>
      <c r="C16" s="5521"/>
      <c r="D16" s="5522" t="s">
        <v>15</v>
      </c>
      <c r="E16" s="5520" t="s">
        <v>13982</v>
      </c>
      <c r="F16" s="9"/>
      <c r="G16" s="9"/>
      <c r="H16" s="677" t="s">
        <v>13983</v>
      </c>
      <c r="I16" s="38"/>
      <c r="K16" s="5521"/>
      <c r="L16" s="5522" t="s">
        <v>15</v>
      </c>
      <c r="M16" s="5520" t="s">
        <v>14005</v>
      </c>
      <c r="N16" s="9"/>
      <c r="O16" s="9"/>
      <c r="P16" s="677" t="s">
        <v>14029</v>
      </c>
      <c r="Q16" s="38"/>
      <c r="S16" s="5521"/>
      <c r="T16" s="5522" t="s">
        <v>15</v>
      </c>
      <c r="U16" s="5520" t="s">
        <v>14021</v>
      </c>
      <c r="V16" s="9"/>
      <c r="W16" s="9"/>
      <c r="X16" s="677" t="s">
        <v>14043</v>
      </c>
      <c r="Y16" s="38"/>
      <c r="AA16" s="2309" t="s">
        <v>8975</v>
      </c>
      <c r="AB16" s="2305"/>
      <c r="AC16" s="350"/>
      <c r="AD16" s="350"/>
      <c r="AE16" s="2305" t="s">
        <v>8958</v>
      </c>
      <c r="AF16" s="2308"/>
      <c r="AG16" s="780"/>
      <c r="AH16" s="627"/>
      <c r="AI16" s="2309" t="s">
        <v>8983</v>
      </c>
      <c r="AJ16" s="2305"/>
      <c r="AK16" s="350"/>
      <c r="AL16" s="350"/>
      <c r="AM16" s="2305" t="s">
        <v>9002</v>
      </c>
      <c r="AN16" s="2308"/>
      <c r="AO16" s="780"/>
      <c r="AP16" s="627"/>
      <c r="AQ16" s="2309" t="s">
        <v>8984</v>
      </c>
      <c r="AR16" s="2305"/>
      <c r="AS16" s="350"/>
      <c r="AT16" s="350"/>
      <c r="AU16" s="2305" t="s">
        <v>9008</v>
      </c>
      <c r="AV16" s="2308"/>
      <c r="AW16" s="780"/>
      <c r="AY16" s="472"/>
      <c r="AZ16" s="3">
        <v>1</v>
      </c>
    </row>
    <row r="17" spans="2:52" ht="21" customHeight="1">
      <c r="B17" s="1333" t="s">
        <v>21</v>
      </c>
      <c r="C17" s="5521"/>
      <c r="D17" s="5523" t="s">
        <v>15</v>
      </c>
      <c r="E17" s="5520" t="s">
        <v>13984</v>
      </c>
      <c r="F17" s="9"/>
      <c r="G17" s="9"/>
      <c r="H17" s="9"/>
      <c r="I17" s="191"/>
      <c r="K17" s="5521"/>
      <c r="L17" s="5523" t="s">
        <v>15</v>
      </c>
      <c r="M17" s="5520" t="s">
        <v>14006</v>
      </c>
      <c r="N17" s="9"/>
      <c r="O17" s="9"/>
      <c r="P17" s="9"/>
      <c r="Q17" s="191"/>
      <c r="S17" s="5521"/>
      <c r="T17" s="5523" t="s">
        <v>15</v>
      </c>
      <c r="U17" s="5520" t="s">
        <v>14022</v>
      </c>
      <c r="V17" s="9"/>
      <c r="W17" s="9"/>
      <c r="X17" s="9"/>
      <c r="Y17" s="191"/>
      <c r="AA17" s="2310" t="s">
        <v>8976</v>
      </c>
      <c r="AB17" s="2306"/>
      <c r="AC17" s="350"/>
      <c r="AD17" s="350"/>
      <c r="AE17" s="388" t="s">
        <v>8949</v>
      </c>
      <c r="AF17" s="266"/>
      <c r="AG17" s="780"/>
      <c r="AH17" s="627"/>
      <c r="AI17" s="2310" t="s">
        <v>13798</v>
      </c>
      <c r="AJ17" s="2306"/>
      <c r="AK17" s="350"/>
      <c r="AL17" s="350"/>
      <c r="AM17" s="388" t="s">
        <v>9003</v>
      </c>
      <c r="AN17" s="266"/>
      <c r="AO17" s="780"/>
      <c r="AP17" s="627"/>
      <c r="AQ17" s="2310" t="s">
        <v>8985</v>
      </c>
      <c r="AR17" s="2306"/>
      <c r="AS17" s="350"/>
      <c r="AT17" s="350"/>
      <c r="AU17" s="388" t="s">
        <v>9009</v>
      </c>
      <c r="AV17" s="266"/>
      <c r="AW17" s="780"/>
      <c r="AZ17" s="3">
        <v>1</v>
      </c>
    </row>
    <row r="18" spans="2:52" ht="21" customHeight="1">
      <c r="B18" s="1333" t="s">
        <v>21</v>
      </c>
      <c r="C18" s="5519"/>
      <c r="D18" s="1955" t="s">
        <v>13985</v>
      </c>
      <c r="E18" s="5520"/>
      <c r="F18" s="9"/>
      <c r="G18" s="9"/>
      <c r="H18" s="2694" t="s">
        <v>13986</v>
      </c>
      <c r="I18" s="38"/>
      <c r="K18" s="5519"/>
      <c r="L18" s="1955" t="s">
        <v>14007</v>
      </c>
      <c r="M18" s="5520"/>
      <c r="N18" s="9"/>
      <c r="O18" s="9"/>
      <c r="P18" s="2694" t="s">
        <v>14030</v>
      </c>
      <c r="Q18" s="38"/>
      <c r="S18" s="5519"/>
      <c r="T18" s="1955" t="s">
        <v>14023</v>
      </c>
      <c r="U18" s="5520"/>
      <c r="V18" s="9"/>
      <c r="W18" s="9"/>
      <c r="X18" s="2694" t="s">
        <v>14044</v>
      </c>
      <c r="Y18" s="38"/>
      <c r="AA18" s="2311" t="s">
        <v>8991</v>
      </c>
      <c r="AB18" s="2307"/>
      <c r="AC18" s="350"/>
      <c r="AD18" s="350"/>
      <c r="AE18" s="2307" t="s">
        <v>8945</v>
      </c>
      <c r="AF18" s="266"/>
      <c r="AG18" s="780"/>
      <c r="AH18" s="627"/>
      <c r="AI18" s="2311" t="s">
        <v>13799</v>
      </c>
      <c r="AJ18" s="2307"/>
      <c r="AK18" s="350"/>
      <c r="AL18" s="350"/>
      <c r="AM18" s="2307" t="s">
        <v>9004</v>
      </c>
      <c r="AN18" s="266"/>
      <c r="AO18" s="780"/>
      <c r="AP18" s="627"/>
      <c r="AQ18" s="2311" t="s">
        <v>8998</v>
      </c>
      <c r="AR18" s="2307"/>
      <c r="AS18" s="350"/>
      <c r="AT18" s="350"/>
      <c r="AU18" s="2307" t="s">
        <v>9010</v>
      </c>
      <c r="AV18" s="266"/>
      <c r="AW18" s="780"/>
      <c r="AZ18" s="3">
        <v>1</v>
      </c>
    </row>
    <row r="19" spans="2:52" ht="21" customHeight="1">
      <c r="B19" s="1333" t="s">
        <v>21</v>
      </c>
      <c r="C19" s="5524"/>
      <c r="D19" s="5525" t="s">
        <v>10</v>
      </c>
      <c r="E19" s="5520" t="s">
        <v>13987</v>
      </c>
      <c r="F19" s="9"/>
      <c r="G19" s="9"/>
      <c r="H19" s="54" t="s">
        <v>13988</v>
      </c>
      <c r="I19" s="38"/>
      <c r="K19" s="5524"/>
      <c r="L19" s="5525" t="s">
        <v>10</v>
      </c>
      <c r="M19" s="5520" t="s">
        <v>14008</v>
      </c>
      <c r="N19" s="9"/>
      <c r="O19" s="9"/>
      <c r="P19" s="54" t="s">
        <v>14031</v>
      </c>
      <c r="Q19" s="38"/>
      <c r="S19" s="5524"/>
      <c r="T19" s="5525" t="s">
        <v>10</v>
      </c>
      <c r="U19" s="5520" t="s">
        <v>14015</v>
      </c>
      <c r="V19" s="9"/>
      <c r="W19" s="9"/>
      <c r="X19" s="54" t="s">
        <v>14045</v>
      </c>
      <c r="Y19" s="38"/>
      <c r="AA19" s="2311" t="s">
        <v>8982</v>
      </c>
      <c r="AB19" s="2307"/>
      <c r="AC19" s="350"/>
      <c r="AD19" s="350"/>
      <c r="AE19" s="2307" t="s">
        <v>8946</v>
      </c>
      <c r="AF19" s="266"/>
      <c r="AG19" s="780"/>
      <c r="AH19" s="627"/>
      <c r="AI19" s="2311" t="s">
        <v>9000</v>
      </c>
      <c r="AJ19" s="2307"/>
      <c r="AK19" s="350"/>
      <c r="AL19" s="350"/>
      <c r="AM19" s="2307" t="s">
        <v>9005</v>
      </c>
      <c r="AN19" s="266"/>
      <c r="AO19" s="780"/>
      <c r="AP19" s="627"/>
      <c r="AQ19" s="2311" t="s">
        <v>8986</v>
      </c>
      <c r="AR19" s="2307"/>
      <c r="AS19" s="350"/>
      <c r="AT19" s="350"/>
      <c r="AU19" s="2307" t="s">
        <v>9011</v>
      </c>
      <c r="AV19" s="266"/>
      <c r="AW19" s="780"/>
      <c r="AX19" s="627"/>
      <c r="AZ19" s="3">
        <v>1</v>
      </c>
    </row>
    <row r="20" spans="2:52" ht="21" customHeight="1">
      <c r="B20" s="1333" t="s">
        <v>21</v>
      </c>
      <c r="C20" s="5524"/>
      <c r="D20" s="5525" t="s">
        <v>10</v>
      </c>
      <c r="E20" s="5520" t="s">
        <v>13989</v>
      </c>
      <c r="F20" s="9"/>
      <c r="G20" s="9"/>
      <c r="H20" s="186" t="s">
        <v>13990</v>
      </c>
      <c r="I20" s="38"/>
      <c r="K20" s="5524"/>
      <c r="L20" s="5525" t="s">
        <v>10</v>
      </c>
      <c r="M20" s="5520" t="s">
        <v>14009</v>
      </c>
      <c r="N20" s="9"/>
      <c r="O20" s="9"/>
      <c r="P20" s="186" t="s">
        <v>14032</v>
      </c>
      <c r="Q20" s="38"/>
      <c r="S20" s="5524"/>
      <c r="T20" s="5525" t="s">
        <v>10</v>
      </c>
      <c r="U20" s="5520" t="s">
        <v>14024</v>
      </c>
      <c r="V20" s="9"/>
      <c r="W20" s="9"/>
      <c r="X20" s="186" t="s">
        <v>14046</v>
      </c>
      <c r="Y20" s="38"/>
      <c r="AA20" s="2311" t="s">
        <v>8977</v>
      </c>
      <c r="AB20" s="2307"/>
      <c r="AC20" s="350"/>
      <c r="AD20" s="350"/>
      <c r="AE20" s="2307" t="s">
        <v>8950</v>
      </c>
      <c r="AF20" s="266"/>
      <c r="AG20" s="780"/>
      <c r="AH20" s="627"/>
      <c r="AI20" s="2311" t="s">
        <v>13800</v>
      </c>
      <c r="AJ20" s="2307"/>
      <c r="AK20" s="350"/>
      <c r="AL20" s="350"/>
      <c r="AM20" s="2307" t="s">
        <v>9006</v>
      </c>
      <c r="AN20" s="266"/>
      <c r="AO20" s="780"/>
      <c r="AP20" s="627"/>
      <c r="AQ20" s="2311" t="s">
        <v>8999</v>
      </c>
      <c r="AR20" s="2307"/>
      <c r="AS20" s="350"/>
      <c r="AT20" s="350"/>
      <c r="AU20" s="2307" t="s">
        <v>9012</v>
      </c>
      <c r="AV20" s="266"/>
      <c r="AW20" s="780"/>
      <c r="AX20" s="627"/>
      <c r="AZ20" s="3">
        <v>1</v>
      </c>
    </row>
    <row r="21" spans="2:52" ht="21" customHeight="1">
      <c r="B21" s="1333" t="s">
        <v>21</v>
      </c>
      <c r="C21" s="5521"/>
      <c r="D21" s="5525" t="s">
        <v>10</v>
      </c>
      <c r="E21" s="5520" t="s">
        <v>13991</v>
      </c>
      <c r="F21" s="9"/>
      <c r="G21" s="9"/>
      <c r="H21" s="677" t="s">
        <v>13992</v>
      </c>
      <c r="I21" s="38"/>
      <c r="K21" s="5521"/>
      <c r="L21" s="5525" t="s">
        <v>10</v>
      </c>
      <c r="M21" s="5520" t="s">
        <v>14010</v>
      </c>
      <c r="N21" s="9"/>
      <c r="O21" s="9"/>
      <c r="P21" s="677" t="s">
        <v>14033</v>
      </c>
      <c r="Q21" s="38"/>
      <c r="S21" s="5521"/>
      <c r="T21" s="5525" t="s">
        <v>10</v>
      </c>
      <c r="U21" s="5520" t="s">
        <v>14016</v>
      </c>
      <c r="V21" s="9"/>
      <c r="W21" s="9"/>
      <c r="X21" s="677" t="s">
        <v>14051</v>
      </c>
      <c r="Y21" s="38"/>
      <c r="AA21" s="2311" t="s">
        <v>8978</v>
      </c>
      <c r="AB21" s="2307"/>
      <c r="AC21" s="350"/>
      <c r="AD21" s="350"/>
      <c r="AE21" s="2307" t="s">
        <v>8947</v>
      </c>
      <c r="AF21" s="266"/>
      <c r="AG21" s="780"/>
      <c r="AH21" s="627"/>
      <c r="AI21" s="2311" t="s">
        <v>13801</v>
      </c>
      <c r="AJ21" s="2307"/>
      <c r="AK21" s="350"/>
      <c r="AL21" s="350"/>
      <c r="AM21" s="2307" t="s">
        <v>9007</v>
      </c>
      <c r="AN21" s="266"/>
      <c r="AO21" s="780"/>
      <c r="AP21" s="627"/>
      <c r="AQ21" s="2311" t="s">
        <v>8987</v>
      </c>
      <c r="AR21" s="2307"/>
      <c r="AS21" s="350"/>
      <c r="AT21" s="350"/>
      <c r="AU21" s="2307" t="s">
        <v>9013</v>
      </c>
      <c r="AV21" s="266"/>
      <c r="AW21" s="780"/>
      <c r="AX21" s="627"/>
      <c r="AZ21" s="3">
        <v>1</v>
      </c>
    </row>
    <row r="22" spans="2:52" ht="21" customHeight="1">
      <c r="B22" s="1333" t="s">
        <v>21</v>
      </c>
      <c r="C22" s="5526" t="s">
        <v>13993</v>
      </c>
      <c r="D22" s="5527"/>
      <c r="E22" s="5528"/>
      <c r="F22" s="9"/>
      <c r="G22" s="9"/>
      <c r="H22" s="677" t="s">
        <v>13994</v>
      </c>
      <c r="I22" s="191"/>
      <c r="K22" s="5526" t="s">
        <v>14010</v>
      </c>
      <c r="L22" s="5527"/>
      <c r="M22" s="5528"/>
      <c r="N22" s="9"/>
      <c r="O22" s="9"/>
      <c r="P22" s="677" t="s">
        <v>14034</v>
      </c>
      <c r="Q22" s="191"/>
      <c r="S22" s="5526" t="s">
        <v>14025</v>
      </c>
      <c r="T22" s="5527"/>
      <c r="U22" s="5528"/>
      <c r="V22" s="9"/>
      <c r="W22" s="9"/>
      <c r="X22" s="677" t="s">
        <v>14052</v>
      </c>
      <c r="Y22" s="191"/>
      <c r="AA22" s="2311" t="s">
        <v>8979</v>
      </c>
      <c r="AB22" s="2307"/>
      <c r="AC22" s="350"/>
      <c r="AD22" s="350"/>
      <c r="AE22" s="2307"/>
      <c r="AF22" s="350"/>
      <c r="AG22" s="780"/>
      <c r="AH22" s="627"/>
      <c r="AI22" s="2311" t="s">
        <v>13802</v>
      </c>
      <c r="AJ22" s="2307"/>
      <c r="AK22" s="350"/>
      <c r="AL22" s="350"/>
      <c r="AM22" s="2307"/>
      <c r="AN22" s="350"/>
      <c r="AO22" s="780"/>
      <c r="AP22" s="627"/>
      <c r="AQ22" s="2311" t="s">
        <v>8988</v>
      </c>
      <c r="AR22" s="2307"/>
      <c r="AS22" s="350"/>
      <c r="AT22" s="350"/>
      <c r="AU22" s="2307"/>
      <c r="AV22" s="350"/>
      <c r="AW22" s="780"/>
      <c r="AX22" s="627"/>
      <c r="AZ22" s="3">
        <v>1</v>
      </c>
    </row>
    <row r="23" spans="2:52" ht="21" customHeight="1">
      <c r="B23" s="1333" t="s">
        <v>21</v>
      </c>
      <c r="C23" s="5516"/>
      <c r="D23" s="5529" t="s">
        <v>10</v>
      </c>
      <c r="E23" s="5528" t="s">
        <v>13995</v>
      </c>
      <c r="F23" s="9"/>
      <c r="G23" s="9"/>
      <c r="H23" s="9"/>
      <c r="I23" s="38"/>
      <c r="K23" s="5516"/>
      <c r="L23" s="5529" t="s">
        <v>10</v>
      </c>
      <c r="M23" s="5528" t="s">
        <v>14011</v>
      </c>
      <c r="N23" s="9"/>
      <c r="O23" s="9"/>
      <c r="P23" s="9"/>
      <c r="Q23" s="38"/>
      <c r="S23" s="5516"/>
      <c r="T23" s="5529" t="s">
        <v>10</v>
      </c>
      <c r="U23" s="5528" t="s">
        <v>14017</v>
      </c>
      <c r="V23" s="9"/>
      <c r="W23" s="9"/>
      <c r="X23" s="9"/>
      <c r="Y23" s="38"/>
      <c r="AA23" s="2311" t="s">
        <v>8980</v>
      </c>
      <c r="AB23" s="2307"/>
      <c r="AC23" s="350"/>
      <c r="AD23" s="350"/>
      <c r="AE23" s="2307"/>
      <c r="AF23" s="350"/>
      <c r="AG23" s="780"/>
      <c r="AH23" s="627"/>
      <c r="AI23" s="2311" t="s">
        <v>13803</v>
      </c>
      <c r="AJ23" s="2307"/>
      <c r="AK23" s="350"/>
      <c r="AL23" s="350"/>
      <c r="AM23" s="2307"/>
      <c r="AN23" s="350"/>
      <c r="AO23" s="780"/>
      <c r="AP23" s="627"/>
      <c r="AQ23" s="2311" t="s">
        <v>8989</v>
      </c>
      <c r="AR23" s="2307"/>
      <c r="AS23" s="350"/>
      <c r="AT23" s="350"/>
      <c r="AU23" s="2307"/>
      <c r="AV23" s="350"/>
      <c r="AW23" s="780"/>
      <c r="AX23" s="627"/>
      <c r="AZ23" s="3">
        <v>1</v>
      </c>
    </row>
    <row r="24" spans="2:52" ht="21" customHeight="1">
      <c r="B24" s="1333" t="s">
        <v>21</v>
      </c>
      <c r="C24" s="5530"/>
      <c r="D24" s="5529" t="s">
        <v>10</v>
      </c>
      <c r="E24" s="5528" t="s">
        <v>13996</v>
      </c>
      <c r="F24" s="9"/>
      <c r="G24" s="9"/>
      <c r="H24" s="2694" t="s">
        <v>13997</v>
      </c>
      <c r="I24" s="38"/>
      <c r="K24" s="5530"/>
      <c r="L24" s="5529" t="s">
        <v>10</v>
      </c>
      <c r="M24" s="5528" t="s">
        <v>14012</v>
      </c>
      <c r="N24" s="9"/>
      <c r="O24" s="9"/>
      <c r="P24" s="2694" t="s">
        <v>14035</v>
      </c>
      <c r="Q24" s="38"/>
      <c r="S24" s="5530"/>
      <c r="T24" s="5529" t="s">
        <v>10</v>
      </c>
      <c r="U24" s="5528" t="s">
        <v>14018</v>
      </c>
      <c r="V24" s="9"/>
      <c r="W24" s="9"/>
      <c r="X24" s="2694" t="s">
        <v>14047</v>
      </c>
      <c r="Y24" s="38"/>
      <c r="AA24" s="2311" t="s">
        <v>8981</v>
      </c>
      <c r="AB24" s="2307"/>
      <c r="AC24" s="350"/>
      <c r="AD24" s="350"/>
      <c r="AE24" s="350"/>
      <c r="AF24" s="350"/>
      <c r="AG24" s="780"/>
      <c r="AH24" s="627"/>
      <c r="AI24" s="2311" t="s">
        <v>13804</v>
      </c>
      <c r="AJ24" s="2307"/>
      <c r="AK24" s="350"/>
      <c r="AL24" s="350"/>
      <c r="AM24" s="350"/>
      <c r="AN24" s="350"/>
      <c r="AO24" s="780"/>
      <c r="AP24" s="627"/>
      <c r="AQ24" s="2311" t="s">
        <v>8990</v>
      </c>
      <c r="AR24" s="2307"/>
      <c r="AS24" s="350"/>
      <c r="AT24" s="350"/>
      <c r="AU24" s="350"/>
      <c r="AV24" s="350"/>
      <c r="AW24" s="780"/>
      <c r="AX24" s="627"/>
      <c r="AZ24" s="3">
        <v>1</v>
      </c>
    </row>
    <row r="25" spans="2:52" ht="21" customHeight="1">
      <c r="B25" s="1333" t="s">
        <v>21</v>
      </c>
      <c r="C25" s="459"/>
      <c r="D25" s="5501"/>
      <c r="E25" s="9"/>
      <c r="F25" s="9"/>
      <c r="G25" s="9"/>
      <c r="H25" s="54" t="s">
        <v>13998</v>
      </c>
      <c r="I25" s="38"/>
      <c r="K25" s="459"/>
      <c r="L25" s="5501"/>
      <c r="M25" s="9"/>
      <c r="N25" s="9"/>
      <c r="O25" s="9"/>
      <c r="P25" s="54" t="s">
        <v>14036</v>
      </c>
      <c r="Q25" s="38"/>
      <c r="S25" s="459"/>
      <c r="T25" s="5501"/>
      <c r="U25" s="9"/>
      <c r="V25" s="9"/>
      <c r="W25" s="9"/>
      <c r="X25" s="54" t="s">
        <v>14053</v>
      </c>
      <c r="Y25" s="38"/>
      <c r="AA25" s="795"/>
      <c r="AB25" s="350"/>
      <c r="AC25" s="350"/>
      <c r="AD25" s="350"/>
      <c r="AE25" s="350"/>
      <c r="AF25" s="350"/>
      <c r="AG25" s="780"/>
      <c r="AH25" s="627"/>
      <c r="AI25" s="795"/>
      <c r="AJ25" s="350"/>
      <c r="AK25" s="350"/>
      <c r="AL25" s="350"/>
      <c r="AM25" s="350"/>
      <c r="AN25" s="350"/>
      <c r="AO25" s="780"/>
      <c r="AP25" s="627"/>
      <c r="AQ25" s="795"/>
      <c r="AR25" s="350"/>
      <c r="AS25" s="350"/>
      <c r="AT25" s="350"/>
      <c r="AU25" s="350"/>
      <c r="AV25" s="350"/>
      <c r="AW25" s="780"/>
      <c r="AX25" s="627"/>
      <c r="AZ25" s="3">
        <v>1</v>
      </c>
    </row>
    <row r="26" spans="2:52" ht="21" customHeight="1">
      <c r="B26" s="1333" t="s">
        <v>21</v>
      </c>
      <c r="C26" s="459"/>
      <c r="D26" s="5501"/>
      <c r="E26" s="9"/>
      <c r="F26" s="9"/>
      <c r="G26" s="9"/>
      <c r="H26" s="54" t="s">
        <v>13999</v>
      </c>
      <c r="I26" s="38"/>
      <c r="K26" s="459"/>
      <c r="L26" s="5501"/>
      <c r="M26" s="9"/>
      <c r="N26" s="9"/>
      <c r="O26" s="9"/>
      <c r="P26" s="54" t="s">
        <v>14037</v>
      </c>
      <c r="Q26" s="38"/>
      <c r="S26" s="459"/>
      <c r="T26" s="5501"/>
      <c r="U26" s="9"/>
      <c r="V26" s="9"/>
      <c r="W26" s="9"/>
      <c r="X26" s="54" t="s">
        <v>14048</v>
      </c>
      <c r="Y26" s="38"/>
      <c r="AA26" s="639" t="s">
        <v>1564</v>
      </c>
      <c r="AB26" s="754"/>
      <c r="AC26" s="754"/>
      <c r="AD26" s="754"/>
      <c r="AE26" s="754"/>
      <c r="AF26" s="754"/>
      <c r="AG26" s="755"/>
      <c r="AI26" s="639" t="s">
        <v>1565</v>
      </c>
      <c r="AJ26" s="754"/>
      <c r="AK26" s="754"/>
      <c r="AL26" s="754"/>
      <c r="AM26" s="754"/>
      <c r="AN26" s="754"/>
      <c r="AO26" s="755"/>
      <c r="AQ26" s="639" t="s">
        <v>1566</v>
      </c>
      <c r="AR26" s="754"/>
      <c r="AS26" s="754"/>
      <c r="AT26" s="754"/>
      <c r="AU26" s="754"/>
      <c r="AV26" s="754"/>
      <c r="AW26" s="755"/>
      <c r="AX26" s="627"/>
      <c r="AZ26" s="3">
        <v>1</v>
      </c>
    </row>
    <row r="27" spans="2:52" ht="21" customHeight="1">
      <c r="B27" s="1333" t="s">
        <v>21</v>
      </c>
      <c r="C27" s="459"/>
      <c r="D27" s="5501"/>
      <c r="E27" s="9"/>
      <c r="F27" s="9"/>
      <c r="G27" s="9"/>
      <c r="H27" s="677" t="s">
        <v>14000</v>
      </c>
      <c r="I27" s="38"/>
      <c r="K27" s="459"/>
      <c r="L27" s="5501"/>
      <c r="M27" s="9"/>
      <c r="N27" s="9"/>
      <c r="O27" s="9"/>
      <c r="P27" s="677" t="s">
        <v>14038</v>
      </c>
      <c r="Q27" s="38"/>
      <c r="S27" s="459"/>
      <c r="T27" s="5501"/>
      <c r="U27" s="9"/>
      <c r="V27" s="9"/>
      <c r="W27" s="9"/>
      <c r="X27" s="677" t="s">
        <v>14049</v>
      </c>
      <c r="Y27" s="38"/>
      <c r="AA27" s="639"/>
      <c r="AB27" s="754"/>
      <c r="AC27" s="754"/>
      <c r="AD27" s="754"/>
      <c r="AE27" s="754"/>
      <c r="AF27" s="754"/>
      <c r="AG27" s="755"/>
      <c r="AI27" s="639"/>
      <c r="AJ27" s="754"/>
      <c r="AK27" s="754"/>
      <c r="AL27" s="754"/>
      <c r="AM27" s="754"/>
      <c r="AN27" s="754"/>
      <c r="AO27" s="755"/>
      <c r="AQ27" s="639"/>
      <c r="AR27" s="754"/>
      <c r="AS27" s="754"/>
      <c r="AT27" s="754"/>
      <c r="AU27" s="754"/>
      <c r="AV27" s="754"/>
      <c r="AW27" s="755"/>
      <c r="AX27" s="627"/>
      <c r="AZ27" s="3">
        <v>1</v>
      </c>
    </row>
    <row r="28" spans="2:52" ht="21" customHeight="1">
      <c r="B28" s="1333" t="s">
        <v>21</v>
      </c>
      <c r="C28" s="459"/>
      <c r="D28" s="5501"/>
      <c r="E28" s="9"/>
      <c r="F28" s="9"/>
      <c r="G28" s="9"/>
      <c r="H28" s="677"/>
      <c r="I28" s="38"/>
      <c r="K28" s="459"/>
      <c r="L28" s="5501"/>
      <c r="M28" s="9"/>
      <c r="N28" s="9"/>
      <c r="O28" s="9"/>
      <c r="P28" s="677"/>
      <c r="Q28" s="38"/>
      <c r="S28" s="459"/>
      <c r="T28" s="5501"/>
      <c r="U28" s="9"/>
      <c r="V28" s="9"/>
      <c r="W28" s="9"/>
      <c r="X28" s="677"/>
      <c r="Y28" s="38"/>
      <c r="AA28" s="762" t="s">
        <v>1581</v>
      </c>
      <c r="AB28" s="763"/>
      <c r="AC28" s="754"/>
      <c r="AD28" s="754"/>
      <c r="AE28" s="754"/>
      <c r="AF28" s="754"/>
      <c r="AG28" s="755"/>
      <c r="AI28" s="762" t="s">
        <v>1582</v>
      </c>
      <c r="AJ28" s="763"/>
      <c r="AK28" s="754"/>
      <c r="AL28" s="754"/>
      <c r="AM28" s="754"/>
      <c r="AN28" s="754"/>
      <c r="AO28" s="755"/>
      <c r="AQ28" s="762" t="s">
        <v>1583</v>
      </c>
      <c r="AR28" s="763"/>
      <c r="AS28" s="754"/>
      <c r="AT28" s="754"/>
      <c r="AU28" s="754"/>
      <c r="AV28" s="754"/>
      <c r="AW28" s="755"/>
      <c r="AX28" s="627"/>
      <c r="AZ28" s="3">
        <v>1</v>
      </c>
    </row>
    <row r="29" spans="2:52" ht="21" customHeight="1">
      <c r="B29" s="1333" t="s">
        <v>21</v>
      </c>
      <c r="C29" s="157"/>
      <c r="D29" s="158"/>
      <c r="E29" s="159"/>
      <c r="F29" s="158"/>
      <c r="G29" s="158"/>
      <c r="H29" s="158"/>
      <c r="I29" s="160"/>
      <c r="K29" s="157"/>
      <c r="L29" s="158"/>
      <c r="M29" s="159"/>
      <c r="N29" s="158"/>
      <c r="O29" s="158"/>
      <c r="P29" s="158"/>
      <c r="Q29" s="160"/>
      <c r="S29" s="157"/>
      <c r="T29" s="158"/>
      <c r="U29" s="159"/>
      <c r="V29" s="158"/>
      <c r="W29" s="158"/>
      <c r="X29" s="158"/>
      <c r="Y29" s="160"/>
      <c r="AA29" s="762"/>
      <c r="AB29" s="763"/>
      <c r="AC29" s="754"/>
      <c r="AD29" s="754"/>
      <c r="AE29" s="754"/>
      <c r="AF29" s="754"/>
      <c r="AG29" s="755"/>
      <c r="AH29" s="627"/>
      <c r="AI29" s="762"/>
      <c r="AJ29" s="763"/>
      <c r="AK29" s="754"/>
      <c r="AL29" s="754"/>
      <c r="AM29" s="754"/>
      <c r="AN29" s="754"/>
      <c r="AO29" s="755"/>
      <c r="AP29" s="627"/>
      <c r="AQ29" s="762"/>
      <c r="AR29" s="763"/>
      <c r="AS29" s="754"/>
      <c r="AT29" s="754"/>
      <c r="AU29" s="754"/>
      <c r="AV29" s="754"/>
      <c r="AW29" s="755"/>
      <c r="AX29" s="627"/>
      <c r="AZ29" s="3">
        <v>1</v>
      </c>
    </row>
    <row r="30" spans="2:52" ht="21" customHeight="1">
      <c r="B30" s="1333" t="s">
        <v>21</v>
      </c>
      <c r="C30" s="459"/>
      <c r="D30" s="5501"/>
      <c r="E30" s="9"/>
      <c r="F30" s="9"/>
      <c r="G30" s="9"/>
      <c r="H30" s="677"/>
      <c r="I30" s="38"/>
      <c r="K30" s="459"/>
      <c r="L30" s="5501"/>
      <c r="M30" s="9"/>
      <c r="N30" s="9"/>
      <c r="O30" s="9"/>
      <c r="P30" s="677"/>
      <c r="Q30" s="38"/>
      <c r="S30" s="459"/>
      <c r="T30" s="5501"/>
      <c r="U30" s="9"/>
      <c r="V30" s="9"/>
      <c r="W30" s="9"/>
      <c r="X30" s="677"/>
      <c r="Y30" s="38"/>
      <c r="AA30" s="775" t="s">
        <v>8960</v>
      </c>
      <c r="AB30" s="763"/>
      <c r="AC30" s="754"/>
      <c r="AD30" s="754"/>
      <c r="AE30" s="754"/>
      <c r="AF30" s="754"/>
      <c r="AG30" s="755"/>
      <c r="AH30" s="627"/>
      <c r="AI30" s="775" t="s">
        <v>8959</v>
      </c>
      <c r="AJ30" s="763"/>
      <c r="AK30" s="754"/>
      <c r="AL30" s="754"/>
      <c r="AM30" s="754"/>
      <c r="AN30" s="754"/>
      <c r="AO30" s="755"/>
      <c r="AP30" s="627"/>
      <c r="AQ30" s="775" t="s">
        <v>8961</v>
      </c>
      <c r="AR30" s="763"/>
      <c r="AS30" s="754"/>
      <c r="AT30" s="754"/>
      <c r="AU30" s="754"/>
      <c r="AV30" s="754"/>
      <c r="AW30" s="755"/>
      <c r="AX30" s="627"/>
      <c r="AZ30" s="3">
        <v>1</v>
      </c>
    </row>
    <row r="31" spans="2:52" ht="21" customHeight="1">
      <c r="B31" s="1333" t="s">
        <v>21</v>
      </c>
      <c r="C31" s="5506"/>
      <c r="D31" s="2225" t="s">
        <v>8948</v>
      </c>
      <c r="E31" s="9"/>
      <c r="F31" s="9"/>
      <c r="G31" s="9"/>
      <c r="H31" s="2225" t="s">
        <v>14097</v>
      </c>
      <c r="I31" s="38"/>
      <c r="K31" s="5506"/>
      <c r="L31" s="2225" t="s">
        <v>14108</v>
      </c>
      <c r="M31" s="9"/>
      <c r="N31" s="9"/>
      <c r="O31" s="9"/>
      <c r="P31" s="2225" t="s">
        <v>14124</v>
      </c>
      <c r="Q31" s="38"/>
      <c r="S31" s="5506"/>
      <c r="T31" s="2225" t="s">
        <v>14116</v>
      </c>
      <c r="U31" s="9"/>
      <c r="V31" s="9"/>
      <c r="W31" s="9"/>
      <c r="X31" s="2225" t="s">
        <v>14129</v>
      </c>
      <c r="Y31" s="38"/>
      <c r="AA31" s="775"/>
      <c r="AB31" s="763"/>
      <c r="AC31" s="754"/>
      <c r="AD31" s="754"/>
      <c r="AE31" s="754"/>
      <c r="AF31" s="754"/>
      <c r="AG31" s="755"/>
      <c r="AH31" s="627"/>
      <c r="AI31" s="775"/>
      <c r="AJ31" s="763"/>
      <c r="AK31" s="754"/>
      <c r="AL31" s="754"/>
      <c r="AM31" s="754"/>
      <c r="AN31" s="754"/>
      <c r="AO31" s="755"/>
      <c r="AP31" s="627"/>
      <c r="AQ31" s="775"/>
      <c r="AR31" s="763"/>
      <c r="AS31" s="754"/>
      <c r="AT31" s="754"/>
      <c r="AU31" s="754"/>
      <c r="AV31" s="754"/>
      <c r="AW31" s="755"/>
      <c r="AX31" s="627"/>
      <c r="AZ31" s="3">
        <v>1</v>
      </c>
    </row>
    <row r="32" spans="2:52" ht="21" customHeight="1">
      <c r="B32" s="1333" t="s">
        <v>21</v>
      </c>
      <c r="C32" s="5507"/>
      <c r="D32" s="2226" t="s">
        <v>14098</v>
      </c>
      <c r="E32" s="9"/>
      <c r="F32" s="9"/>
      <c r="G32" s="9"/>
      <c r="H32" s="6461" t="s">
        <v>14099</v>
      </c>
      <c r="I32" s="6462"/>
      <c r="K32" s="5507"/>
      <c r="L32" s="2226" t="s">
        <v>14109</v>
      </c>
      <c r="M32" s="9"/>
      <c r="N32" s="9"/>
      <c r="O32" s="9"/>
      <c r="P32" s="6461" t="s">
        <v>14125</v>
      </c>
      <c r="Q32" s="6462"/>
      <c r="S32" s="5507"/>
      <c r="T32" s="2226" t="s">
        <v>14117</v>
      </c>
      <c r="U32" s="9"/>
      <c r="V32" s="9"/>
      <c r="W32" s="9"/>
      <c r="X32" s="6461" t="s">
        <v>14130</v>
      </c>
      <c r="Y32" s="6462"/>
      <c r="AA32" s="777" t="s">
        <v>1511</v>
      </c>
      <c r="AB32" s="754"/>
      <c r="AC32" s="754"/>
      <c r="AD32" s="778">
        <v>45</v>
      </c>
      <c r="AE32" s="779" t="s">
        <v>19</v>
      </c>
      <c r="AF32" s="350"/>
      <c r="AG32" s="780"/>
      <c r="AH32" s="627"/>
      <c r="AI32" s="777" t="s">
        <v>1616</v>
      </c>
      <c r="AJ32" s="754"/>
      <c r="AK32" s="754"/>
      <c r="AL32" s="778">
        <v>45</v>
      </c>
      <c r="AM32" s="779" t="s">
        <v>136</v>
      </c>
      <c r="AN32" s="350"/>
      <c r="AO32" s="780"/>
      <c r="AP32" s="627"/>
      <c r="AQ32" s="777" t="s">
        <v>1617</v>
      </c>
      <c r="AR32" s="754"/>
      <c r="AS32" s="754"/>
      <c r="AT32" s="778">
        <v>45</v>
      </c>
      <c r="AU32" s="779" t="s">
        <v>139</v>
      </c>
      <c r="AV32" s="350"/>
      <c r="AW32" s="780"/>
      <c r="AX32" s="627"/>
      <c r="AZ32" s="3">
        <v>1</v>
      </c>
    </row>
    <row r="33" spans="2:52" ht="21" customHeight="1">
      <c r="B33" s="1333" t="s">
        <v>21</v>
      </c>
      <c r="C33" s="5508"/>
      <c r="D33" s="1994" t="s">
        <v>14100</v>
      </c>
      <c r="E33" s="9"/>
      <c r="F33" s="9"/>
      <c r="G33" s="9"/>
      <c r="H33" s="6461"/>
      <c r="I33" s="6462"/>
      <c r="K33" s="5508"/>
      <c r="L33" s="1994" t="s">
        <v>14110</v>
      </c>
      <c r="M33" s="9"/>
      <c r="N33" s="9"/>
      <c r="O33" s="9"/>
      <c r="P33" s="6461"/>
      <c r="Q33" s="6462"/>
      <c r="S33" s="5508"/>
      <c r="T33" s="1994" t="s">
        <v>14118</v>
      </c>
      <c r="U33" s="9"/>
      <c r="V33" s="9"/>
      <c r="W33" s="9"/>
      <c r="X33" s="6461"/>
      <c r="Y33" s="6462"/>
      <c r="AA33" s="795"/>
      <c r="AB33" s="350"/>
      <c r="AC33" s="350"/>
      <c r="AD33" s="350"/>
      <c r="AE33" s="796" t="s">
        <v>1618</v>
      </c>
      <c r="AF33" s="350"/>
      <c r="AG33" s="780"/>
      <c r="AH33" s="627"/>
      <c r="AI33" s="795"/>
      <c r="AJ33" s="350"/>
      <c r="AK33" s="350"/>
      <c r="AL33" s="350"/>
      <c r="AM33" s="796" t="s">
        <v>1619</v>
      </c>
      <c r="AN33" s="350"/>
      <c r="AO33" s="780"/>
      <c r="AP33" s="627"/>
      <c r="AQ33" s="795"/>
      <c r="AR33" s="350"/>
      <c r="AS33" s="350"/>
      <c r="AT33" s="350"/>
      <c r="AU33" s="796" t="s">
        <v>1620</v>
      </c>
      <c r="AV33" s="350"/>
      <c r="AW33" s="780"/>
      <c r="AX33" s="627"/>
      <c r="AZ33" s="3">
        <v>1</v>
      </c>
    </row>
    <row r="34" spans="2:52" ht="21" customHeight="1">
      <c r="B34" s="1333" t="s">
        <v>21</v>
      </c>
      <c r="C34" s="5508"/>
      <c r="D34" s="1994" t="s">
        <v>14101</v>
      </c>
      <c r="E34" s="9"/>
      <c r="F34" s="9"/>
      <c r="G34" s="9"/>
      <c r="H34" s="6463" t="s">
        <v>14102</v>
      </c>
      <c r="I34" s="6464"/>
      <c r="K34" s="5508"/>
      <c r="L34" s="1994" t="s">
        <v>14111</v>
      </c>
      <c r="M34" s="9"/>
      <c r="N34" s="9"/>
      <c r="O34" s="9"/>
      <c r="P34" s="6463" t="s">
        <v>14126</v>
      </c>
      <c r="Q34" s="6464"/>
      <c r="S34" s="5508"/>
      <c r="T34" s="1994" t="s">
        <v>14119</v>
      </c>
      <c r="U34" s="9"/>
      <c r="V34" s="9"/>
      <c r="W34" s="9"/>
      <c r="X34" s="6463" t="s">
        <v>14131</v>
      </c>
      <c r="Y34" s="6464"/>
      <c r="AA34" s="795"/>
      <c r="AB34" s="350"/>
      <c r="AC34" s="350"/>
      <c r="AD34" s="350"/>
      <c r="AE34" s="807" t="s">
        <v>1623</v>
      </c>
      <c r="AF34" s="350"/>
      <c r="AG34" s="780"/>
      <c r="AH34" s="627"/>
      <c r="AI34" s="795"/>
      <c r="AJ34" s="350"/>
      <c r="AK34" s="350"/>
      <c r="AL34" s="350"/>
      <c r="AM34" s="796" t="s">
        <v>1624</v>
      </c>
      <c r="AN34" s="350"/>
      <c r="AO34" s="780"/>
      <c r="AP34" s="627"/>
      <c r="AQ34" s="795"/>
      <c r="AR34" s="350"/>
      <c r="AS34" s="350"/>
      <c r="AT34" s="350"/>
      <c r="AU34" s="807" t="s">
        <v>1625</v>
      </c>
      <c r="AV34" s="350"/>
      <c r="AW34" s="780"/>
      <c r="AX34" s="627"/>
      <c r="AZ34" s="3">
        <v>1</v>
      </c>
    </row>
    <row r="35" spans="2:52" ht="21" customHeight="1">
      <c r="B35" s="1333" t="s">
        <v>21</v>
      </c>
      <c r="C35" s="5508"/>
      <c r="D35" s="1994" t="s">
        <v>14103</v>
      </c>
      <c r="E35" s="9"/>
      <c r="F35" s="9"/>
      <c r="G35" s="9"/>
      <c r="H35" s="6463"/>
      <c r="I35" s="6464"/>
      <c r="K35" s="5508"/>
      <c r="L35" s="1994" t="s">
        <v>14112</v>
      </c>
      <c r="M35" s="9"/>
      <c r="N35" s="9"/>
      <c r="O35" s="9"/>
      <c r="P35" s="6463"/>
      <c r="Q35" s="6464"/>
      <c r="S35" s="5508"/>
      <c r="T35" s="1994" t="s">
        <v>14120</v>
      </c>
      <c r="U35" s="9"/>
      <c r="V35" s="9"/>
      <c r="W35" s="9"/>
      <c r="X35" s="6463"/>
      <c r="Y35" s="6464"/>
      <c r="AA35" s="762"/>
      <c r="AB35" s="808"/>
      <c r="AC35" s="754"/>
      <c r="AD35" s="809" t="s">
        <v>8962</v>
      </c>
      <c r="AE35" s="754"/>
      <c r="AF35" s="754"/>
      <c r="AG35" s="755"/>
      <c r="AH35" s="627"/>
      <c r="AI35" s="762"/>
      <c r="AJ35" s="808"/>
      <c r="AK35" s="754"/>
      <c r="AL35" s="809" t="s">
        <v>8963</v>
      </c>
      <c r="AM35" s="754"/>
      <c r="AN35" s="754"/>
      <c r="AO35" s="755"/>
      <c r="AP35" s="627"/>
      <c r="AQ35" s="762"/>
      <c r="AR35" s="808"/>
      <c r="AS35" s="754"/>
      <c r="AT35" s="809" t="s">
        <v>8964</v>
      </c>
      <c r="AU35" s="754"/>
      <c r="AV35" s="754"/>
      <c r="AW35" s="755"/>
      <c r="AX35" s="627"/>
      <c r="AZ35" s="3">
        <v>1</v>
      </c>
    </row>
    <row r="36" spans="2:52" ht="21" customHeight="1">
      <c r="B36" s="1333" t="s">
        <v>21</v>
      </c>
      <c r="C36" s="5508"/>
      <c r="D36" s="1994" t="s">
        <v>14104</v>
      </c>
      <c r="E36" s="9"/>
      <c r="F36" s="9"/>
      <c r="G36" s="9"/>
      <c r="H36" s="1994" t="s">
        <v>14105</v>
      </c>
      <c r="I36" s="592"/>
      <c r="K36" s="5508"/>
      <c r="L36" s="1994" t="s">
        <v>14113</v>
      </c>
      <c r="M36" s="9"/>
      <c r="N36" s="9"/>
      <c r="O36" s="9"/>
      <c r="P36" s="1994" t="s">
        <v>14127</v>
      </c>
      <c r="Q36" s="592"/>
      <c r="S36" s="5508"/>
      <c r="T36" s="1994" t="s">
        <v>14121</v>
      </c>
      <c r="U36" s="9"/>
      <c r="V36" s="9"/>
      <c r="W36" s="9"/>
      <c r="X36" s="1994" t="s">
        <v>14132</v>
      </c>
      <c r="Y36" s="592"/>
      <c r="AA36" s="775"/>
      <c r="AB36" s="763"/>
      <c r="AC36" s="754"/>
      <c r="AD36" s="754"/>
      <c r="AE36" s="754"/>
      <c r="AF36" s="754"/>
      <c r="AG36" s="755"/>
      <c r="AH36" s="627"/>
      <c r="AI36" s="775"/>
      <c r="AJ36" s="763"/>
      <c r="AK36" s="754"/>
      <c r="AL36" s="754"/>
      <c r="AM36" s="754"/>
      <c r="AN36" s="754"/>
      <c r="AO36" s="755"/>
      <c r="AP36" s="627"/>
      <c r="AQ36" s="775"/>
      <c r="AR36" s="763"/>
      <c r="AS36" s="754"/>
      <c r="AT36" s="754"/>
      <c r="AU36" s="754"/>
      <c r="AV36" s="754"/>
      <c r="AW36" s="755"/>
      <c r="AX36" s="627"/>
      <c r="AZ36" s="3">
        <v>1</v>
      </c>
    </row>
    <row r="37" spans="2:52" ht="21" customHeight="1">
      <c r="B37" s="1333" t="s">
        <v>21</v>
      </c>
      <c r="C37" s="5508"/>
      <c r="D37" s="1994" t="s">
        <v>14106</v>
      </c>
      <c r="E37" s="9"/>
      <c r="F37" s="9"/>
      <c r="G37" s="9"/>
      <c r="H37" s="1994" t="s">
        <v>14107</v>
      </c>
      <c r="I37" s="38"/>
      <c r="K37" s="5508"/>
      <c r="L37" s="1994" t="s">
        <v>14114</v>
      </c>
      <c r="M37" s="9"/>
      <c r="N37" s="9"/>
      <c r="O37" s="9"/>
      <c r="P37" s="1994" t="s">
        <v>14128</v>
      </c>
      <c r="Q37" s="38"/>
      <c r="S37" s="5508"/>
      <c r="T37" s="1994" t="s">
        <v>14122</v>
      </c>
      <c r="U37" s="9"/>
      <c r="V37" s="9"/>
      <c r="W37" s="9"/>
      <c r="X37" s="1994" t="s">
        <v>14133</v>
      </c>
      <c r="Y37" s="38"/>
      <c r="AA37" s="6511" t="s">
        <v>8965</v>
      </c>
      <c r="AB37" s="6512"/>
      <c r="AC37" s="6512"/>
      <c r="AD37" s="6512"/>
      <c r="AE37" s="6512"/>
      <c r="AF37" s="6512"/>
      <c r="AG37" s="6513"/>
      <c r="AH37" s="627"/>
      <c r="AI37" s="6511" t="s">
        <v>8966</v>
      </c>
      <c r="AJ37" s="6512"/>
      <c r="AK37" s="6512"/>
      <c r="AL37" s="6512"/>
      <c r="AM37" s="6512"/>
      <c r="AN37" s="6512"/>
      <c r="AO37" s="6513"/>
      <c r="AP37" s="627"/>
      <c r="AQ37" s="6511" t="s">
        <v>8967</v>
      </c>
      <c r="AR37" s="6512"/>
      <c r="AS37" s="6512"/>
      <c r="AT37" s="6512"/>
      <c r="AU37" s="6512"/>
      <c r="AV37" s="6512"/>
      <c r="AW37" s="6513"/>
      <c r="AX37" s="627"/>
      <c r="AZ37" s="3">
        <v>1</v>
      </c>
    </row>
    <row r="38" spans="2:52" ht="21" customHeight="1">
      <c r="B38" s="1333" t="s">
        <v>21</v>
      </c>
      <c r="C38" s="5508"/>
      <c r="D38" s="904" t="s">
        <v>8951</v>
      </c>
      <c r="E38" s="9"/>
      <c r="F38" s="9"/>
      <c r="G38" s="9"/>
      <c r="H38" s="1340" t="s">
        <v>8230</v>
      </c>
      <c r="I38" s="38"/>
      <c r="K38" s="5508"/>
      <c r="L38" s="904" t="s">
        <v>14115</v>
      </c>
      <c r="M38" s="9"/>
      <c r="N38" s="9"/>
      <c r="O38" s="9"/>
      <c r="P38" s="1340" t="s">
        <v>14134</v>
      </c>
      <c r="Q38" s="38"/>
      <c r="S38" s="5508"/>
      <c r="T38" s="904" t="s">
        <v>14123</v>
      </c>
      <c r="U38" s="9"/>
      <c r="V38" s="9"/>
      <c r="W38" s="9"/>
      <c r="X38" s="1340" t="s">
        <v>14135</v>
      </c>
      <c r="Y38" s="5548"/>
      <c r="AA38" s="6511"/>
      <c r="AB38" s="6512"/>
      <c r="AC38" s="6512"/>
      <c r="AD38" s="6512"/>
      <c r="AE38" s="6512"/>
      <c r="AF38" s="6512"/>
      <c r="AG38" s="6513"/>
      <c r="AH38" s="627"/>
      <c r="AI38" s="6511"/>
      <c r="AJ38" s="6512"/>
      <c r="AK38" s="6512"/>
      <c r="AL38" s="6512"/>
      <c r="AM38" s="6512"/>
      <c r="AN38" s="6512"/>
      <c r="AO38" s="6513"/>
      <c r="AP38" s="627"/>
      <c r="AQ38" s="6511"/>
      <c r="AR38" s="6512"/>
      <c r="AS38" s="6512"/>
      <c r="AT38" s="6512"/>
      <c r="AU38" s="6512"/>
      <c r="AV38" s="6512"/>
      <c r="AW38" s="6513"/>
      <c r="AX38" s="627"/>
      <c r="AZ38" s="3">
        <v>1</v>
      </c>
    </row>
    <row r="39" spans="2:52" ht="21" customHeight="1">
      <c r="B39" s="1333" t="s">
        <v>21</v>
      </c>
      <c r="C39" s="5509"/>
      <c r="D39" s="5510"/>
      <c r="E39" s="168"/>
      <c r="F39" s="168"/>
      <c r="G39" s="168"/>
      <c r="H39" s="5511"/>
      <c r="I39" s="5505"/>
      <c r="K39" s="5509"/>
      <c r="L39" s="5512"/>
      <c r="M39" s="168"/>
      <c r="N39" s="168"/>
      <c r="O39" s="168"/>
      <c r="P39" s="5511"/>
      <c r="Q39" s="5505"/>
      <c r="S39" s="5509"/>
      <c r="T39" s="5512"/>
      <c r="U39" s="168"/>
      <c r="V39" s="168"/>
      <c r="W39" s="168"/>
      <c r="X39" s="5511"/>
      <c r="Y39" s="5505"/>
      <c r="AA39" s="6511"/>
      <c r="AB39" s="6512"/>
      <c r="AC39" s="6512"/>
      <c r="AD39" s="6512"/>
      <c r="AE39" s="6512"/>
      <c r="AF39" s="6512"/>
      <c r="AG39" s="6513"/>
      <c r="AH39" s="627"/>
      <c r="AI39" s="6511"/>
      <c r="AJ39" s="6512"/>
      <c r="AK39" s="6512"/>
      <c r="AL39" s="6512"/>
      <c r="AM39" s="6512"/>
      <c r="AN39" s="6512"/>
      <c r="AO39" s="6513"/>
      <c r="AP39" s="627"/>
      <c r="AQ39" s="6511"/>
      <c r="AR39" s="6512"/>
      <c r="AS39" s="6512"/>
      <c r="AT39" s="6512"/>
      <c r="AU39" s="6512"/>
      <c r="AV39" s="6512"/>
      <c r="AW39" s="6513"/>
      <c r="AX39" s="627"/>
      <c r="AZ39" s="3">
        <v>1</v>
      </c>
    </row>
    <row r="40" spans="2:52" ht="21" customHeight="1">
      <c r="B40" s="1333" t="s">
        <v>21</v>
      </c>
      <c r="C40" s="5513"/>
      <c r="D40" s="161"/>
      <c r="E40" s="161"/>
      <c r="F40" s="161"/>
      <c r="G40" s="161"/>
      <c r="H40" s="161"/>
      <c r="I40" s="5515"/>
      <c r="K40" s="5513"/>
      <c r="L40" s="161"/>
      <c r="M40" s="161"/>
      <c r="N40" s="161"/>
      <c r="O40" s="161"/>
      <c r="P40" s="161"/>
      <c r="Q40" s="5515"/>
      <c r="S40" s="5513"/>
      <c r="T40" s="9"/>
      <c r="U40" s="9"/>
      <c r="V40" s="9"/>
      <c r="W40" s="9"/>
      <c r="X40" s="9"/>
      <c r="Y40" s="38"/>
      <c r="AA40" s="762"/>
      <c r="AB40" s="808" t="s">
        <v>8968</v>
      </c>
      <c r="AC40" s="754"/>
      <c r="AD40" s="754"/>
      <c r="AE40" s="754"/>
      <c r="AF40" s="754"/>
      <c r="AG40" s="755"/>
      <c r="AH40" s="627"/>
      <c r="AI40" s="762"/>
      <c r="AJ40" s="808" t="s">
        <v>8969</v>
      </c>
      <c r="AK40" s="754"/>
      <c r="AL40" s="754"/>
      <c r="AM40" s="754"/>
      <c r="AN40" s="754"/>
      <c r="AO40" s="755"/>
      <c r="AP40" s="627"/>
      <c r="AQ40" s="762"/>
      <c r="AR40" s="808" t="s">
        <v>8970</v>
      </c>
      <c r="AS40" s="754"/>
      <c r="AT40" s="754"/>
      <c r="AU40" s="754"/>
      <c r="AV40" s="754"/>
      <c r="AW40" s="755"/>
      <c r="AX40" s="627"/>
      <c r="AZ40" s="3">
        <v>1</v>
      </c>
    </row>
    <row r="41" spans="2:52" ht="21" customHeight="1">
      <c r="B41" s="1333" t="s">
        <v>21</v>
      </c>
      <c r="C41" s="459"/>
      <c r="D41" s="2226" t="s">
        <v>13818</v>
      </c>
      <c r="E41" s="9"/>
      <c r="F41" s="9"/>
      <c r="G41" s="9"/>
      <c r="H41" s="9"/>
      <c r="I41" s="38"/>
      <c r="K41" s="459"/>
      <c r="L41" s="2693" t="s">
        <v>13959</v>
      </c>
      <c r="M41" s="9"/>
      <c r="N41" s="9"/>
      <c r="O41" s="9"/>
      <c r="P41" s="9"/>
      <c r="Q41" s="38"/>
      <c r="S41" s="459"/>
      <c r="T41" s="2693" t="s">
        <v>13964</v>
      </c>
      <c r="U41" s="9"/>
      <c r="V41" s="9"/>
      <c r="W41" s="9"/>
      <c r="X41" s="9"/>
      <c r="Y41" s="38"/>
      <c r="AA41" s="762"/>
      <c r="AB41" s="808" t="s">
        <v>8083</v>
      </c>
      <c r="AC41" s="754"/>
      <c r="AD41" s="754"/>
      <c r="AE41" s="754"/>
      <c r="AF41" s="754"/>
      <c r="AG41" s="755"/>
      <c r="AH41" s="627"/>
      <c r="AI41" s="762"/>
      <c r="AJ41" s="808" t="s">
        <v>1628</v>
      </c>
      <c r="AK41" s="754"/>
      <c r="AL41" s="754"/>
      <c r="AM41" s="754"/>
      <c r="AN41" s="754"/>
      <c r="AO41" s="755"/>
      <c r="AP41" s="627"/>
      <c r="AQ41" s="762"/>
      <c r="AR41" s="808" t="s">
        <v>8082</v>
      </c>
      <c r="AS41" s="754"/>
      <c r="AT41" s="754"/>
      <c r="AU41" s="754"/>
      <c r="AV41" s="754"/>
      <c r="AW41" s="755"/>
      <c r="AX41" s="627"/>
      <c r="AZ41" s="3">
        <v>1</v>
      </c>
    </row>
    <row r="42" spans="2:52" ht="21" customHeight="1">
      <c r="B42" s="1333" t="s">
        <v>21</v>
      </c>
      <c r="C42" s="459"/>
      <c r="D42" s="5501" t="s">
        <v>13819</v>
      </c>
      <c r="E42" s="9"/>
      <c r="F42" s="9"/>
      <c r="G42" s="9"/>
      <c r="H42" s="5501" t="s">
        <v>13820</v>
      </c>
      <c r="I42" s="38"/>
      <c r="K42" s="459"/>
      <c r="L42" s="5501" t="s">
        <v>13960</v>
      </c>
      <c r="M42" s="9"/>
      <c r="N42" s="9"/>
      <c r="O42" s="9"/>
      <c r="P42" s="5501" t="s">
        <v>13970</v>
      </c>
      <c r="Q42" s="38"/>
      <c r="S42" s="459"/>
      <c r="T42" s="5501" t="s">
        <v>13965</v>
      </c>
      <c r="U42" s="9"/>
      <c r="V42" s="9"/>
      <c r="W42" s="9"/>
      <c r="X42" s="5501" t="s">
        <v>13820</v>
      </c>
      <c r="Y42" s="38"/>
      <c r="AA42" s="762"/>
      <c r="AB42" s="808" t="s">
        <v>8081</v>
      </c>
      <c r="AC42" s="754"/>
      <c r="AD42" s="754"/>
      <c r="AE42" s="754"/>
      <c r="AF42" s="754"/>
      <c r="AG42" s="755"/>
      <c r="AH42" s="627"/>
      <c r="AI42" s="762"/>
      <c r="AJ42" s="808" t="s">
        <v>8080</v>
      </c>
      <c r="AK42" s="754"/>
      <c r="AL42" s="754"/>
      <c r="AM42" s="754"/>
      <c r="AN42" s="754"/>
      <c r="AO42" s="755"/>
      <c r="AP42" s="627"/>
      <c r="AQ42" s="762"/>
      <c r="AR42" s="808" t="s">
        <v>8079</v>
      </c>
      <c r="AS42" s="754"/>
      <c r="AT42" s="754"/>
      <c r="AU42" s="754"/>
      <c r="AV42" s="754"/>
      <c r="AW42" s="755"/>
      <c r="AX42" s="627"/>
      <c r="AZ42" s="3">
        <v>1</v>
      </c>
    </row>
    <row r="43" spans="2:52" ht="21" customHeight="1">
      <c r="B43" s="1333" t="s">
        <v>21</v>
      </c>
      <c r="C43" s="459"/>
      <c r="D43" s="5501" t="s">
        <v>13821</v>
      </c>
      <c r="E43" s="9"/>
      <c r="F43" s="9"/>
      <c r="G43" s="9"/>
      <c r="H43" s="5502" t="s">
        <v>13822</v>
      </c>
      <c r="I43" s="38"/>
      <c r="K43" s="459"/>
      <c r="L43" s="5501" t="s">
        <v>13962</v>
      </c>
      <c r="M43" s="9"/>
      <c r="N43" s="9"/>
      <c r="O43" s="9"/>
      <c r="P43" s="5502" t="s">
        <v>13971</v>
      </c>
      <c r="Q43" s="38"/>
      <c r="S43" s="459"/>
      <c r="T43" s="5501" t="s">
        <v>13968</v>
      </c>
      <c r="U43" s="9"/>
      <c r="V43" s="9"/>
      <c r="W43" s="9"/>
      <c r="X43" s="5502" t="s">
        <v>13915</v>
      </c>
      <c r="Y43" s="38"/>
      <c r="AA43" s="762"/>
      <c r="AB43" s="808" t="s">
        <v>8078</v>
      </c>
      <c r="AC43" s="754"/>
      <c r="AD43" s="754"/>
      <c r="AE43" s="754"/>
      <c r="AF43" s="754"/>
      <c r="AG43" s="755"/>
      <c r="AH43" s="627"/>
      <c r="AI43" s="762"/>
      <c r="AJ43" s="808" t="s">
        <v>8077</v>
      </c>
      <c r="AK43" s="754"/>
      <c r="AL43" s="754"/>
      <c r="AM43" s="754"/>
      <c r="AN43" s="754"/>
      <c r="AO43" s="755"/>
      <c r="AP43" s="627"/>
      <c r="AQ43" s="762"/>
      <c r="AR43" s="754" t="s">
        <v>8076</v>
      </c>
      <c r="AS43" s="754"/>
      <c r="AT43" s="754"/>
      <c r="AU43" s="754"/>
      <c r="AV43" s="754"/>
      <c r="AW43" s="755"/>
      <c r="AX43" s="627"/>
      <c r="AZ43" s="3">
        <v>1</v>
      </c>
    </row>
    <row r="44" spans="2:52" ht="21" customHeight="1">
      <c r="B44" s="1333" t="s">
        <v>21</v>
      </c>
      <c r="C44" s="459"/>
      <c r="D44" s="5502" t="s">
        <v>13823</v>
      </c>
      <c r="E44" s="9"/>
      <c r="F44" s="9"/>
      <c r="G44" s="9"/>
      <c r="H44" s="5502" t="s">
        <v>13824</v>
      </c>
      <c r="I44" s="38"/>
      <c r="K44" s="459"/>
      <c r="L44" s="5502" t="s">
        <v>13963</v>
      </c>
      <c r="M44" s="9"/>
      <c r="N44" s="9"/>
      <c r="O44" s="9"/>
      <c r="P44" s="5502" t="s">
        <v>13972</v>
      </c>
      <c r="Q44" s="38"/>
      <c r="S44" s="459"/>
      <c r="T44" s="5502" t="s">
        <v>13969</v>
      </c>
      <c r="U44" s="9"/>
      <c r="V44" s="9"/>
      <c r="W44" s="9"/>
      <c r="X44" s="5502" t="s">
        <v>13973</v>
      </c>
      <c r="Y44" s="38"/>
      <c r="AA44" s="762" t="s">
        <v>1611</v>
      </c>
      <c r="AB44" s="808" t="s">
        <v>1630</v>
      </c>
      <c r="AC44" s="754"/>
      <c r="AD44" s="754"/>
      <c r="AE44" s="754"/>
      <c r="AF44" s="754"/>
      <c r="AG44" s="755"/>
      <c r="AH44" s="627"/>
      <c r="AI44" s="762" t="s">
        <v>1631</v>
      </c>
      <c r="AJ44" s="808" t="s">
        <v>1632</v>
      </c>
      <c r="AK44" s="754"/>
      <c r="AL44" s="754"/>
      <c r="AM44" s="754"/>
      <c r="AN44" s="754"/>
      <c r="AO44" s="755"/>
      <c r="AP44" s="627"/>
      <c r="AQ44" s="762" t="s">
        <v>1633</v>
      </c>
      <c r="AR44" s="808" t="s">
        <v>1634</v>
      </c>
      <c r="AS44" s="754"/>
      <c r="AT44" s="754"/>
      <c r="AU44" s="754"/>
      <c r="AV44" s="754"/>
      <c r="AW44" s="755"/>
      <c r="AX44" s="627"/>
      <c r="AZ44" s="3">
        <v>1</v>
      </c>
    </row>
    <row r="45" spans="2:52" ht="21" customHeight="1">
      <c r="B45" s="1333" t="s">
        <v>21</v>
      </c>
      <c r="C45" s="459"/>
      <c r="D45" s="5501" t="s">
        <v>13825</v>
      </c>
      <c r="E45" s="9"/>
      <c r="F45" s="9"/>
      <c r="G45" s="9"/>
      <c r="H45" s="9"/>
      <c r="I45" s="38"/>
      <c r="K45" s="459"/>
      <c r="L45" s="5502" t="s">
        <v>13899</v>
      </c>
      <c r="M45" s="9"/>
      <c r="N45" s="9"/>
      <c r="O45" s="9"/>
      <c r="P45" s="9"/>
      <c r="Q45" s="38"/>
      <c r="S45" s="459"/>
      <c r="T45" s="5502" t="s">
        <v>13966</v>
      </c>
      <c r="U45" s="9"/>
      <c r="V45" s="9"/>
      <c r="W45" s="9"/>
      <c r="X45" s="9"/>
      <c r="Y45" s="38"/>
      <c r="AA45" s="762"/>
      <c r="AB45" s="808"/>
      <c r="AC45" s="754"/>
      <c r="AD45" s="754"/>
      <c r="AE45" s="754"/>
      <c r="AF45" s="754"/>
      <c r="AG45" s="755"/>
      <c r="AH45" s="627"/>
      <c r="AI45" s="762"/>
      <c r="AJ45" s="808"/>
      <c r="AK45" s="754"/>
      <c r="AL45" s="754"/>
      <c r="AM45" s="754"/>
      <c r="AN45" s="754"/>
      <c r="AO45" s="755"/>
      <c r="AP45" s="627"/>
      <c r="AQ45" s="762"/>
      <c r="AR45" s="808"/>
      <c r="AS45" s="754"/>
      <c r="AT45" s="754"/>
      <c r="AU45" s="754"/>
      <c r="AV45" s="754"/>
      <c r="AW45" s="755"/>
      <c r="AX45" s="627"/>
      <c r="AZ45" s="3">
        <v>1</v>
      </c>
    </row>
    <row r="46" spans="2:52" ht="21" customHeight="1">
      <c r="B46" s="1333" t="s">
        <v>21</v>
      </c>
      <c r="C46" s="459"/>
      <c r="D46" s="5502" t="s">
        <v>13826</v>
      </c>
      <c r="E46" s="9"/>
      <c r="F46" s="9"/>
      <c r="G46" s="9"/>
      <c r="H46" s="9"/>
      <c r="I46" s="38"/>
      <c r="K46" s="459"/>
      <c r="L46" s="5501" t="s">
        <v>13961</v>
      </c>
      <c r="M46" s="9"/>
      <c r="N46" s="9"/>
      <c r="O46" s="9"/>
      <c r="P46" s="9"/>
      <c r="Q46" s="38"/>
      <c r="S46" s="459"/>
      <c r="T46" s="5502" t="s">
        <v>13967</v>
      </c>
      <c r="U46" s="9"/>
      <c r="V46" s="9"/>
      <c r="W46" s="9"/>
      <c r="X46" s="9"/>
      <c r="Y46" s="38"/>
      <c r="AA46" s="777" t="s">
        <v>1613</v>
      </c>
      <c r="AB46" s="808" t="s">
        <v>1641</v>
      </c>
      <c r="AC46" s="754"/>
      <c r="AD46" s="754"/>
      <c r="AE46" s="754"/>
      <c r="AF46" s="754"/>
      <c r="AG46" s="755"/>
      <c r="AH46" s="627"/>
      <c r="AI46" s="777" t="s">
        <v>1556</v>
      </c>
      <c r="AJ46" s="808" t="s">
        <v>1642</v>
      </c>
      <c r="AK46" s="754"/>
      <c r="AL46" s="754"/>
      <c r="AM46" s="754"/>
      <c r="AN46" s="754"/>
      <c r="AO46" s="755"/>
      <c r="AP46" s="627"/>
      <c r="AQ46" s="777" t="s">
        <v>1574</v>
      </c>
      <c r="AR46" s="808" t="s">
        <v>1643</v>
      </c>
      <c r="AS46" s="754"/>
      <c r="AT46" s="754"/>
      <c r="AU46" s="754"/>
      <c r="AV46" s="754"/>
      <c r="AW46" s="755"/>
      <c r="AX46" s="627"/>
      <c r="AZ46" s="3">
        <v>1</v>
      </c>
    </row>
    <row r="47" spans="2:52" ht="21" customHeight="1" thickBot="1">
      <c r="B47" s="1333" t="s">
        <v>21</v>
      </c>
      <c r="C47" s="5503"/>
      <c r="D47" s="5504"/>
      <c r="E47" s="168"/>
      <c r="F47" s="168"/>
      <c r="G47" s="168"/>
      <c r="H47" s="168"/>
      <c r="I47" s="5505"/>
      <c r="K47" s="5503"/>
      <c r="L47" s="5504"/>
      <c r="M47" s="168"/>
      <c r="N47" s="168"/>
      <c r="O47" s="168"/>
      <c r="P47" s="168"/>
      <c r="Q47" s="5505"/>
      <c r="S47" s="5503"/>
      <c r="T47" s="5504"/>
      <c r="U47" s="168"/>
      <c r="V47" s="168"/>
      <c r="W47" s="168"/>
      <c r="X47" s="168"/>
      <c r="Y47" s="5505"/>
      <c r="AA47" s="762"/>
      <c r="AB47" s="808"/>
      <c r="AC47" s="754"/>
      <c r="AD47" s="754"/>
      <c r="AE47" s="754"/>
      <c r="AF47" s="754"/>
      <c r="AG47" s="755"/>
      <c r="AH47" s="627"/>
      <c r="AI47" s="762"/>
      <c r="AJ47" s="808"/>
      <c r="AK47" s="754"/>
      <c r="AL47" s="754"/>
      <c r="AM47" s="754"/>
      <c r="AN47" s="754"/>
      <c r="AO47" s="755"/>
      <c r="AP47" s="627"/>
      <c r="AQ47" s="762"/>
      <c r="AR47" s="808"/>
      <c r="AS47" s="754"/>
      <c r="AT47" s="754"/>
      <c r="AU47" s="754"/>
      <c r="AV47" s="754"/>
      <c r="AW47" s="755"/>
      <c r="AX47" s="627"/>
      <c r="AZ47" s="3">
        <v>1</v>
      </c>
    </row>
    <row r="48" spans="2:52" ht="21" customHeight="1">
      <c r="B48" s="1333" t="s">
        <v>21</v>
      </c>
      <c r="C48" s="49" t="s">
        <v>42</v>
      </c>
      <c r="D48" s="50" t="s">
        <v>43</v>
      </c>
      <c r="E48" s="51"/>
      <c r="F48" s="51"/>
      <c r="G48" s="51"/>
      <c r="H48" s="51"/>
      <c r="I48" s="52" t="s">
        <v>44</v>
      </c>
      <c r="K48" s="49" t="s">
        <v>9026</v>
      </c>
      <c r="L48" s="50" t="s">
        <v>45</v>
      </c>
      <c r="M48" s="51"/>
      <c r="N48" s="51"/>
      <c r="O48" s="51"/>
      <c r="P48" s="51"/>
      <c r="Q48" s="52" t="s">
        <v>46</v>
      </c>
      <c r="S48" s="49" t="s">
        <v>42</v>
      </c>
      <c r="T48" s="50" t="s">
        <v>47</v>
      </c>
      <c r="U48" s="51"/>
      <c r="V48" s="51"/>
      <c r="W48" s="51"/>
      <c r="X48" s="51"/>
      <c r="Y48" s="52" t="s">
        <v>48</v>
      </c>
      <c r="AA48" s="816" t="s">
        <v>1648</v>
      </c>
      <c r="AB48" s="817"/>
      <c r="AC48" s="817"/>
      <c r="AD48" s="117"/>
      <c r="AE48" s="117"/>
      <c r="AF48" s="117"/>
      <c r="AG48" s="644"/>
      <c r="AH48" s="627"/>
      <c r="AI48" s="816" t="s">
        <v>1649</v>
      </c>
      <c r="AJ48" s="817"/>
      <c r="AK48" s="817"/>
      <c r="AL48" s="117"/>
      <c r="AM48" s="117"/>
      <c r="AN48" s="117"/>
      <c r="AO48" s="644"/>
      <c r="AP48" s="627"/>
      <c r="AQ48" s="816" t="s">
        <v>1650</v>
      </c>
      <c r="AR48" s="817"/>
      <c r="AS48" s="817"/>
      <c r="AT48" s="117"/>
      <c r="AU48" s="117"/>
      <c r="AV48" s="117"/>
      <c r="AW48" s="644"/>
      <c r="AX48" s="627"/>
      <c r="AZ48" s="3">
        <v>1</v>
      </c>
    </row>
    <row r="49" spans="2:52" ht="21" customHeight="1">
      <c r="B49" s="1333" t="s">
        <v>21</v>
      </c>
      <c r="C49" s="57"/>
      <c r="D49" s="58"/>
      <c r="E49" s="59"/>
      <c r="F49" s="59"/>
      <c r="G49" s="59"/>
      <c r="H49" s="59"/>
      <c r="I49" s="60" t="s">
        <v>24</v>
      </c>
      <c r="K49" s="57"/>
      <c r="L49" s="58"/>
      <c r="M49" s="59"/>
      <c r="N49" s="59"/>
      <c r="O49" s="59"/>
      <c r="P49" s="59"/>
      <c r="Q49" s="60" t="s">
        <v>51</v>
      </c>
      <c r="S49" s="57"/>
      <c r="T49" s="58"/>
      <c r="U49" s="59"/>
      <c r="V49" s="59"/>
      <c r="W49" s="59"/>
      <c r="X49" s="59"/>
      <c r="Y49" s="60" t="s">
        <v>52</v>
      </c>
      <c r="AA49" s="6465" t="s">
        <v>8972</v>
      </c>
      <c r="AB49" s="6466"/>
      <c r="AC49" s="6466"/>
      <c r="AD49" s="6466"/>
      <c r="AE49" s="6466"/>
      <c r="AF49" s="6466"/>
      <c r="AG49" s="6467"/>
      <c r="AH49" s="627"/>
      <c r="AI49" s="6465" t="s">
        <v>8973</v>
      </c>
      <c r="AJ49" s="6466"/>
      <c r="AK49" s="6466"/>
      <c r="AL49" s="6466"/>
      <c r="AM49" s="6466"/>
      <c r="AN49" s="6466"/>
      <c r="AO49" s="6467"/>
      <c r="AP49" s="627"/>
      <c r="AQ49" s="6465" t="s">
        <v>8974</v>
      </c>
      <c r="AR49" s="6466"/>
      <c r="AS49" s="6466"/>
      <c r="AT49" s="6466"/>
      <c r="AU49" s="6466"/>
      <c r="AV49" s="6466"/>
      <c r="AW49" s="6467"/>
      <c r="AX49" s="627"/>
      <c r="AZ49" s="3">
        <v>1</v>
      </c>
    </row>
    <row r="50" spans="2:52" ht="21" customHeight="1">
      <c r="B50" s="1333" t="s">
        <v>21</v>
      </c>
      <c r="C50" s="69" t="s">
        <v>56</v>
      </c>
      <c r="D50" s="36" t="s">
        <v>57</v>
      </c>
      <c r="E50" s="45"/>
      <c r="F50" s="45"/>
      <c r="G50" s="45"/>
      <c r="H50" s="45"/>
      <c r="I50" s="6568" t="s">
        <v>58</v>
      </c>
      <c r="K50" s="69" t="s">
        <v>59</v>
      </c>
      <c r="L50" s="36" t="s">
        <v>60</v>
      </c>
      <c r="M50" s="45"/>
      <c r="N50" s="45"/>
      <c r="O50" s="45"/>
      <c r="P50" s="45"/>
      <c r="Q50" s="6568" t="s">
        <v>61</v>
      </c>
      <c r="S50" s="69" t="s">
        <v>62</v>
      </c>
      <c r="T50" s="36" t="s">
        <v>63</v>
      </c>
      <c r="U50" s="45"/>
      <c r="V50" s="45"/>
      <c r="W50" s="45"/>
      <c r="X50" s="45"/>
      <c r="Y50" s="6568" t="s">
        <v>64</v>
      </c>
      <c r="AA50" s="6465"/>
      <c r="AB50" s="6466"/>
      <c r="AC50" s="6466"/>
      <c r="AD50" s="6466"/>
      <c r="AE50" s="6466"/>
      <c r="AF50" s="6466"/>
      <c r="AG50" s="6467"/>
      <c r="AH50" s="627"/>
      <c r="AI50" s="6465"/>
      <c r="AJ50" s="6466"/>
      <c r="AK50" s="6466"/>
      <c r="AL50" s="6466"/>
      <c r="AM50" s="6466"/>
      <c r="AN50" s="6466"/>
      <c r="AO50" s="6467"/>
      <c r="AP50" s="627"/>
      <c r="AQ50" s="6465"/>
      <c r="AR50" s="6466"/>
      <c r="AS50" s="6466"/>
      <c r="AT50" s="6466"/>
      <c r="AU50" s="6466"/>
      <c r="AV50" s="6466"/>
      <c r="AW50" s="6467"/>
      <c r="AX50" s="627"/>
      <c r="AZ50" s="3">
        <v>1</v>
      </c>
    </row>
    <row r="51" spans="2:52" ht="21" customHeight="1">
      <c r="B51" s="1333" t="s">
        <v>21</v>
      </c>
      <c r="C51" s="69"/>
      <c r="D51" s="75"/>
      <c r="E51" s="45"/>
      <c r="F51" s="45"/>
      <c r="G51" s="45"/>
      <c r="H51" s="45"/>
      <c r="I51" s="6568"/>
      <c r="K51" s="69"/>
      <c r="L51" s="75"/>
      <c r="M51" s="45"/>
      <c r="N51" s="45"/>
      <c r="O51" s="45"/>
      <c r="P51" s="45"/>
      <c r="Q51" s="6568"/>
      <c r="S51" s="69"/>
      <c r="T51" s="75"/>
      <c r="U51" s="45"/>
      <c r="V51" s="45"/>
      <c r="W51" s="45"/>
      <c r="X51" s="45"/>
      <c r="Y51" s="6568"/>
      <c r="AA51" s="459"/>
      <c r="AB51" s="9"/>
      <c r="AC51" s="9"/>
      <c r="AD51" s="9"/>
      <c r="AE51" s="9"/>
      <c r="AF51" s="9"/>
      <c r="AG51" s="38"/>
      <c r="AH51" s="627"/>
      <c r="AI51" s="459"/>
      <c r="AJ51" s="9"/>
      <c r="AK51" s="9"/>
      <c r="AL51" s="9"/>
      <c r="AM51" s="9"/>
      <c r="AN51" s="9"/>
      <c r="AO51" s="38"/>
      <c r="AP51" s="627"/>
      <c r="AQ51" s="459"/>
      <c r="AR51" s="9"/>
      <c r="AS51" s="9"/>
      <c r="AT51" s="9"/>
      <c r="AU51" s="9"/>
      <c r="AV51" s="9"/>
      <c r="AW51" s="38"/>
      <c r="AX51" s="627"/>
      <c r="AZ51" s="3">
        <v>1</v>
      </c>
    </row>
    <row r="52" spans="2:52" ht="21" customHeight="1">
      <c r="B52" s="1333" t="s">
        <v>21</v>
      </c>
      <c r="C52" s="82" t="s">
        <v>33</v>
      </c>
      <c r="D52" s="6569" t="s">
        <v>34</v>
      </c>
      <c r="E52" s="6569"/>
      <c r="F52" s="6569"/>
      <c r="G52" s="6569"/>
      <c r="H52" s="45"/>
      <c r="I52" s="6568"/>
      <c r="K52" s="82" t="s">
        <v>88</v>
      </c>
      <c r="L52" s="6569" t="s">
        <v>9027</v>
      </c>
      <c r="M52" s="6569"/>
      <c r="N52" s="6569"/>
      <c r="O52" s="6569"/>
      <c r="P52" s="45"/>
      <c r="Q52" s="6568"/>
      <c r="S52" s="82" t="s">
        <v>90</v>
      </c>
      <c r="T52" s="6569" t="s">
        <v>9028</v>
      </c>
      <c r="U52" s="6569"/>
      <c r="V52" s="6569"/>
      <c r="W52" s="6569"/>
      <c r="X52" s="45"/>
      <c r="Y52" s="6568"/>
      <c r="AA52" s="823" t="s">
        <v>1656</v>
      </c>
      <c r="AB52" s="9"/>
      <c r="AC52" s="9"/>
      <c r="AD52" s="9"/>
      <c r="AE52" s="9"/>
      <c r="AF52" s="9"/>
      <c r="AG52" s="38"/>
      <c r="AH52" s="627"/>
      <c r="AI52" s="823" t="s">
        <v>1657</v>
      </c>
      <c r="AJ52" s="9"/>
      <c r="AK52" s="9"/>
      <c r="AL52" s="9"/>
      <c r="AM52" s="9"/>
      <c r="AN52" s="9"/>
      <c r="AO52" s="38"/>
      <c r="AP52" s="627"/>
      <c r="AQ52" s="823" t="s">
        <v>1658</v>
      </c>
      <c r="AR52" s="9"/>
      <c r="AS52" s="9"/>
      <c r="AT52" s="9"/>
      <c r="AU52" s="9"/>
      <c r="AV52" s="9"/>
      <c r="AW52" s="38"/>
      <c r="AX52" s="627"/>
      <c r="AZ52" s="3">
        <v>1</v>
      </c>
    </row>
    <row r="53" spans="2:52" ht="21" customHeight="1">
      <c r="B53" s="1333" t="s">
        <v>21</v>
      </c>
      <c r="C53" s="69"/>
      <c r="D53" s="6569"/>
      <c r="E53" s="6569"/>
      <c r="F53" s="6569"/>
      <c r="G53" s="6569"/>
      <c r="H53" s="45"/>
      <c r="I53" s="46"/>
      <c r="K53" s="69"/>
      <c r="L53" s="6569"/>
      <c r="M53" s="6569"/>
      <c r="N53" s="6569"/>
      <c r="O53" s="6569"/>
      <c r="P53" s="45"/>
      <c r="Q53" s="46"/>
      <c r="S53" s="69"/>
      <c r="T53" s="6569"/>
      <c r="U53" s="6569"/>
      <c r="V53" s="6569"/>
      <c r="W53" s="6569"/>
      <c r="X53" s="45"/>
      <c r="Y53" s="46"/>
      <c r="AA53" s="824" t="s">
        <v>1493</v>
      </c>
      <c r="AB53" s="9"/>
      <c r="AC53" s="9"/>
      <c r="AD53" s="9"/>
      <c r="AE53" s="9"/>
      <c r="AF53" s="9"/>
      <c r="AG53" s="38"/>
      <c r="AH53" s="627"/>
      <c r="AI53" s="824" t="s">
        <v>1659</v>
      </c>
      <c r="AJ53" s="9"/>
      <c r="AK53" s="9"/>
      <c r="AL53" s="9"/>
      <c r="AM53" s="9"/>
      <c r="AN53" s="9"/>
      <c r="AO53" s="38"/>
      <c r="AP53" s="627"/>
      <c r="AQ53" s="824" t="s">
        <v>1660</v>
      </c>
      <c r="AR53" s="9"/>
      <c r="AS53" s="9"/>
      <c r="AT53" s="9"/>
      <c r="AU53" s="9"/>
      <c r="AV53" s="9"/>
      <c r="AW53" s="38"/>
      <c r="AX53" s="627"/>
      <c r="AZ53" s="3">
        <v>1</v>
      </c>
    </row>
    <row r="54" spans="2:52" ht="21" customHeight="1">
      <c r="B54" s="1333" t="s">
        <v>21</v>
      </c>
      <c r="C54" s="69"/>
      <c r="D54" s="101"/>
      <c r="E54" s="102"/>
      <c r="F54" s="102"/>
      <c r="G54" s="102"/>
      <c r="H54" s="45"/>
      <c r="I54" s="46"/>
      <c r="K54" s="69"/>
      <c r="L54" s="101"/>
      <c r="M54" s="102"/>
      <c r="N54" s="102"/>
      <c r="O54" s="102"/>
      <c r="P54" s="45"/>
      <c r="Q54" s="46"/>
      <c r="S54" s="69"/>
      <c r="T54" s="101"/>
      <c r="U54" s="102"/>
      <c r="V54" s="102"/>
      <c r="W54" s="102"/>
      <c r="X54" s="45"/>
      <c r="Y54" s="46"/>
      <c r="AA54" s="459"/>
      <c r="AB54" s="9"/>
      <c r="AC54" s="9"/>
      <c r="AD54" s="9"/>
      <c r="AE54" s="9"/>
      <c r="AF54" s="9"/>
      <c r="AG54" s="38"/>
      <c r="AH54" s="627"/>
      <c r="AI54" s="459"/>
      <c r="AJ54" s="9"/>
      <c r="AK54" s="9"/>
      <c r="AL54" s="9"/>
      <c r="AM54" s="9"/>
      <c r="AN54" s="9"/>
      <c r="AO54" s="38"/>
      <c r="AP54" s="627"/>
      <c r="AQ54" s="459"/>
      <c r="AR54" s="9"/>
      <c r="AS54" s="9"/>
      <c r="AT54" s="9"/>
      <c r="AU54" s="9"/>
      <c r="AV54" s="9"/>
      <c r="AW54" s="38"/>
      <c r="AX54" s="627"/>
      <c r="AZ54" s="3">
        <v>1</v>
      </c>
    </row>
    <row r="55" spans="2:52" ht="21" customHeight="1">
      <c r="B55" s="1333" t="s">
        <v>21</v>
      </c>
      <c r="C55" s="69"/>
      <c r="D55" s="101" t="s">
        <v>103</v>
      </c>
      <c r="E55" s="102"/>
      <c r="F55" s="102"/>
      <c r="G55" s="102"/>
      <c r="H55" s="45"/>
      <c r="I55" s="46"/>
      <c r="K55" s="69"/>
      <c r="L55" s="101" t="s">
        <v>9029</v>
      </c>
      <c r="M55" s="102"/>
      <c r="N55" s="102"/>
      <c r="O55" s="102"/>
      <c r="P55" s="45"/>
      <c r="Q55" s="46"/>
      <c r="S55" s="69"/>
      <c r="T55" s="101" t="s">
        <v>9030</v>
      </c>
      <c r="U55" s="102"/>
      <c r="V55" s="102"/>
      <c r="W55" s="102"/>
      <c r="X55" s="45"/>
      <c r="Y55" s="46"/>
      <c r="AA55" s="825" t="s">
        <v>1665</v>
      </c>
      <c r="AB55" s="9"/>
      <c r="AC55" s="9"/>
      <c r="AD55" s="9"/>
      <c r="AE55" s="9"/>
      <c r="AF55" s="9"/>
      <c r="AG55" s="38"/>
      <c r="AH55" s="627"/>
      <c r="AI55" s="825" t="s">
        <v>1666</v>
      </c>
      <c r="AJ55" s="9"/>
      <c r="AK55" s="9"/>
      <c r="AL55" s="9"/>
      <c r="AM55" s="9"/>
      <c r="AN55" s="9"/>
      <c r="AO55" s="38"/>
      <c r="AP55" s="627"/>
      <c r="AQ55" s="825" t="s">
        <v>1667</v>
      </c>
      <c r="AR55" s="9"/>
      <c r="AS55" s="9"/>
      <c r="AT55" s="9"/>
      <c r="AU55" s="9"/>
      <c r="AV55" s="9"/>
      <c r="AW55" s="38"/>
      <c r="AX55" s="627"/>
      <c r="AZ55" s="3">
        <v>1</v>
      </c>
    </row>
    <row r="56" spans="2:52" ht="21" customHeight="1">
      <c r="B56" s="1333" t="s">
        <v>21</v>
      </c>
      <c r="C56" s="112"/>
      <c r="D56" s="113"/>
      <c r="E56" s="45"/>
      <c r="F56" s="45"/>
      <c r="G56" s="45"/>
      <c r="H56" s="45"/>
      <c r="I56" s="46"/>
      <c r="K56" s="112"/>
      <c r="L56" s="113"/>
      <c r="M56" s="45"/>
      <c r="N56" s="45"/>
      <c r="O56" s="45"/>
      <c r="P56" s="45"/>
      <c r="Q56" s="46"/>
      <c r="S56" s="112"/>
      <c r="T56" s="113"/>
      <c r="U56" s="45"/>
      <c r="V56" s="45"/>
      <c r="W56" s="45"/>
      <c r="X56" s="45"/>
      <c r="Y56" s="46"/>
      <c r="AA56" s="826" t="s">
        <v>1669</v>
      </c>
      <c r="AB56" s="9"/>
      <c r="AC56" s="9"/>
      <c r="AD56" s="9"/>
      <c r="AE56" s="9"/>
      <c r="AF56" s="9"/>
      <c r="AG56" s="38"/>
      <c r="AH56" s="627"/>
      <c r="AI56" s="826" t="s">
        <v>1670</v>
      </c>
      <c r="AJ56" s="9"/>
      <c r="AK56" s="9"/>
      <c r="AL56" s="9"/>
      <c r="AM56" s="9"/>
      <c r="AN56" s="9"/>
      <c r="AO56" s="38"/>
      <c r="AP56" s="627"/>
      <c r="AQ56" s="826" t="s">
        <v>1671</v>
      </c>
      <c r="AR56" s="9"/>
      <c r="AS56" s="9"/>
      <c r="AT56" s="9"/>
      <c r="AU56" s="9"/>
      <c r="AV56" s="9"/>
      <c r="AW56" s="38"/>
      <c r="AX56" s="627"/>
      <c r="AZ56" s="3">
        <v>1</v>
      </c>
    </row>
    <row r="57" spans="2:52" ht="21" customHeight="1">
      <c r="B57" s="1333" t="s">
        <v>21</v>
      </c>
      <c r="C57" s="114" t="s">
        <v>106</v>
      </c>
      <c r="D57" s="115"/>
      <c r="E57" s="116"/>
      <c r="F57" s="117"/>
      <c r="G57" s="45"/>
      <c r="H57" s="45"/>
      <c r="I57" s="46"/>
      <c r="K57" s="114" t="s">
        <v>107</v>
      </c>
      <c r="L57" s="115"/>
      <c r="M57" s="116"/>
      <c r="N57" s="117"/>
      <c r="O57" s="45"/>
      <c r="P57" s="45"/>
      <c r="Q57" s="46"/>
      <c r="S57" s="114" t="s">
        <v>108</v>
      </c>
      <c r="T57" s="115"/>
      <c r="U57" s="116"/>
      <c r="V57" s="117"/>
      <c r="W57" s="45"/>
      <c r="X57" s="45"/>
      <c r="Y57" s="46"/>
      <c r="AA57" s="826" t="s">
        <v>1672</v>
      </c>
      <c r="AB57" s="9"/>
      <c r="AC57" s="9"/>
      <c r="AD57" s="9"/>
      <c r="AE57" s="9"/>
      <c r="AF57" s="9"/>
      <c r="AG57" s="38"/>
      <c r="AH57" s="627"/>
      <c r="AI57" s="826" t="s">
        <v>1673</v>
      </c>
      <c r="AJ57" s="9"/>
      <c r="AK57" s="9"/>
      <c r="AL57" s="9"/>
      <c r="AM57" s="9"/>
      <c r="AN57" s="9"/>
      <c r="AO57" s="38"/>
      <c r="AP57" s="627"/>
      <c r="AQ57" s="826" t="s">
        <v>1674</v>
      </c>
      <c r="AR57" s="9"/>
      <c r="AS57" s="9"/>
      <c r="AT57" s="9"/>
      <c r="AU57" s="9"/>
      <c r="AV57" s="9"/>
      <c r="AW57" s="38"/>
      <c r="AX57" s="627"/>
      <c r="AZ57" s="3">
        <v>1</v>
      </c>
    </row>
    <row r="58" spans="2:52" ht="21" customHeight="1">
      <c r="B58" s="1333" t="s">
        <v>21</v>
      </c>
      <c r="C58" s="44"/>
      <c r="D58" s="45"/>
      <c r="E58" s="119" t="str">
        <f>IF(ISTEXT(F58),"Recette mère ►",#REF!)</f>
        <v>Recette mère ►</v>
      </c>
      <c r="F58" s="120" t="s">
        <v>55</v>
      </c>
      <c r="G58" s="45"/>
      <c r="H58" s="45"/>
      <c r="I58" s="46"/>
      <c r="K58" s="44"/>
      <c r="L58" s="45"/>
      <c r="M58" s="119" t="s">
        <v>9031</v>
      </c>
      <c r="N58" s="120" t="s">
        <v>9032</v>
      </c>
      <c r="O58" s="45"/>
      <c r="P58" s="45"/>
      <c r="Q58" s="46"/>
      <c r="S58" s="44"/>
      <c r="T58" s="45"/>
      <c r="U58" s="119" t="s">
        <v>9033</v>
      </c>
      <c r="V58" s="120" t="s">
        <v>9034</v>
      </c>
      <c r="W58" s="45"/>
      <c r="X58" s="45"/>
      <c r="Y58" s="46"/>
      <c r="AA58" s="828" t="s">
        <v>1675</v>
      </c>
      <c r="AB58" s="9"/>
      <c r="AC58" s="9"/>
      <c r="AD58" s="9"/>
      <c r="AE58" s="9"/>
      <c r="AF58" s="9"/>
      <c r="AG58" s="38"/>
      <c r="AH58" s="627"/>
      <c r="AI58" s="828" t="s">
        <v>1676</v>
      </c>
      <c r="AJ58" s="9"/>
      <c r="AK58" s="9"/>
      <c r="AL58" s="9"/>
      <c r="AM58" s="9"/>
      <c r="AN58" s="9"/>
      <c r="AO58" s="38"/>
      <c r="AP58" s="627"/>
      <c r="AQ58" s="828" t="s">
        <v>1677</v>
      </c>
      <c r="AR58" s="9"/>
      <c r="AS58" s="9"/>
      <c r="AT58" s="9"/>
      <c r="AU58" s="9"/>
      <c r="AV58" s="9"/>
      <c r="AW58" s="38"/>
      <c r="AX58" s="627"/>
      <c r="AZ58" s="3">
        <v>1</v>
      </c>
    </row>
    <row r="59" spans="2:52" ht="21" customHeight="1">
      <c r="B59" s="1333" t="s">
        <v>21</v>
      </c>
      <c r="C59" s="44"/>
      <c r="D59" s="45"/>
      <c r="E59" s="45"/>
      <c r="F59" s="45"/>
      <c r="G59" s="45"/>
      <c r="H59" s="45"/>
      <c r="I59" s="46"/>
      <c r="K59" s="44"/>
      <c r="L59" s="45"/>
      <c r="M59" s="45"/>
      <c r="N59" s="45"/>
      <c r="O59" s="45"/>
      <c r="P59" s="45"/>
      <c r="Q59" s="46"/>
      <c r="S59" s="44"/>
      <c r="T59" s="45"/>
      <c r="U59" s="45"/>
      <c r="V59" s="45"/>
      <c r="W59" s="45"/>
      <c r="X59" s="45"/>
      <c r="Y59" s="46"/>
      <c r="AA59" s="828" t="s">
        <v>1679</v>
      </c>
      <c r="AB59" s="9"/>
      <c r="AC59" s="9"/>
      <c r="AD59" s="9"/>
      <c r="AE59" s="9"/>
      <c r="AF59" s="9"/>
      <c r="AG59" s="38"/>
      <c r="AH59" s="627"/>
      <c r="AI59" s="828" t="s">
        <v>1680</v>
      </c>
      <c r="AJ59" s="9"/>
      <c r="AK59" s="9"/>
      <c r="AL59" s="9"/>
      <c r="AM59" s="9"/>
      <c r="AN59" s="9"/>
      <c r="AO59" s="38"/>
      <c r="AP59" s="627"/>
      <c r="AQ59" s="828" t="s">
        <v>1681</v>
      </c>
      <c r="AR59" s="9"/>
      <c r="AS59" s="9"/>
      <c r="AT59" s="9"/>
      <c r="AU59" s="9"/>
      <c r="AV59" s="9"/>
      <c r="AW59" s="38"/>
      <c r="AX59" s="627"/>
      <c r="AZ59" s="3">
        <v>1</v>
      </c>
    </row>
    <row r="60" spans="2:52" ht="21" customHeight="1">
      <c r="B60" s="1333" t="s">
        <v>21</v>
      </c>
      <c r="C60" s="44"/>
      <c r="D60" s="122" t="s">
        <v>111</v>
      </c>
      <c r="E60" s="123"/>
      <c r="F60" s="124"/>
      <c r="G60" s="45"/>
      <c r="H60" s="45"/>
      <c r="I60" s="46"/>
      <c r="K60" s="44"/>
      <c r="L60" s="122" t="s">
        <v>112</v>
      </c>
      <c r="M60" s="123"/>
      <c r="N60" s="124"/>
      <c r="O60" s="45"/>
      <c r="P60" s="45"/>
      <c r="Q60" s="46"/>
      <c r="S60" s="44"/>
      <c r="T60" s="122" t="s">
        <v>113</v>
      </c>
      <c r="U60" s="123"/>
      <c r="V60" s="124"/>
      <c r="W60" s="45"/>
      <c r="X60" s="45"/>
      <c r="Y60" s="46"/>
      <c r="AA60" s="830"/>
      <c r="AB60" s="9"/>
      <c r="AC60" s="9"/>
      <c r="AD60" s="9"/>
      <c r="AE60" s="9"/>
      <c r="AF60" s="9"/>
      <c r="AG60" s="38"/>
      <c r="AH60" s="627"/>
      <c r="AI60" s="830"/>
      <c r="AJ60" s="9"/>
      <c r="AK60" s="9"/>
      <c r="AL60" s="9"/>
      <c r="AM60" s="9"/>
      <c r="AN60" s="9"/>
      <c r="AO60" s="38"/>
      <c r="AP60" s="627"/>
      <c r="AQ60" s="830"/>
      <c r="AR60" s="9"/>
      <c r="AS60" s="9"/>
      <c r="AT60" s="9"/>
      <c r="AU60" s="9"/>
      <c r="AV60" s="9"/>
      <c r="AW60" s="38"/>
      <c r="AX60" s="627"/>
      <c r="AZ60" s="3">
        <v>1</v>
      </c>
    </row>
    <row r="61" spans="2:52" ht="21" customHeight="1">
      <c r="B61" s="1333" t="s">
        <v>21</v>
      </c>
      <c r="C61" s="44"/>
      <c r="D61" s="6570" t="s">
        <v>116</v>
      </c>
      <c r="E61" s="126" t="s">
        <v>117</v>
      </c>
      <c r="F61" s="5531"/>
      <c r="G61" s="45"/>
      <c r="H61" s="45"/>
      <c r="I61" s="46"/>
      <c r="K61" s="44"/>
      <c r="L61" s="6443" t="s">
        <v>118</v>
      </c>
      <c r="M61" s="126" t="s">
        <v>119</v>
      </c>
      <c r="N61" s="127"/>
      <c r="O61" s="45"/>
      <c r="P61" s="45"/>
      <c r="Q61" s="46"/>
      <c r="S61" s="44"/>
      <c r="T61" s="6570" t="s">
        <v>120</v>
      </c>
      <c r="U61" s="126" t="s">
        <v>121</v>
      </c>
      <c r="V61" s="127"/>
      <c r="W61" s="45"/>
      <c r="X61" s="45"/>
      <c r="Y61" s="46"/>
      <c r="AA61" s="825" t="s">
        <v>1686</v>
      </c>
      <c r="AB61" s="9"/>
      <c r="AC61" s="9"/>
      <c r="AD61" s="9"/>
      <c r="AE61" s="9"/>
      <c r="AF61" s="9"/>
      <c r="AG61" s="38"/>
      <c r="AH61" s="627"/>
      <c r="AI61" s="825" t="s">
        <v>1687</v>
      </c>
      <c r="AJ61" s="9"/>
      <c r="AK61" s="9"/>
      <c r="AL61" s="9"/>
      <c r="AM61" s="9"/>
      <c r="AN61" s="9"/>
      <c r="AO61" s="38"/>
      <c r="AP61" s="627"/>
      <c r="AQ61" s="825" t="s">
        <v>1688</v>
      </c>
      <c r="AR61" s="9"/>
      <c r="AS61" s="9"/>
      <c r="AT61" s="9"/>
      <c r="AU61" s="9"/>
      <c r="AV61" s="9"/>
      <c r="AW61" s="38"/>
      <c r="AX61" s="627"/>
      <c r="AZ61" s="3">
        <v>1</v>
      </c>
    </row>
    <row r="62" spans="2:52" ht="21" customHeight="1">
      <c r="B62" s="1333" t="s">
        <v>21</v>
      </c>
      <c r="C62" s="44"/>
      <c r="D62" s="6571"/>
      <c r="E62" s="126" t="s">
        <v>122</v>
      </c>
      <c r="F62" s="5531"/>
      <c r="G62" s="45"/>
      <c r="H62" s="45"/>
      <c r="I62" s="46"/>
      <c r="K62" s="44"/>
      <c r="L62" s="6443"/>
      <c r="M62" s="126" t="s">
        <v>122</v>
      </c>
      <c r="N62" s="127"/>
      <c r="O62" s="45"/>
      <c r="P62" s="45"/>
      <c r="Q62" s="46"/>
      <c r="S62" s="44"/>
      <c r="T62" s="6571"/>
      <c r="U62" s="126" t="s">
        <v>122</v>
      </c>
      <c r="V62" s="127"/>
      <c r="W62" s="45"/>
      <c r="X62" s="45"/>
      <c r="Y62" s="46"/>
      <c r="AA62" s="832" t="s">
        <v>1693</v>
      </c>
      <c r="AB62" s="833" t="s">
        <v>1694</v>
      </c>
      <c r="AC62" s="834"/>
      <c r="AD62" s="834"/>
      <c r="AE62" s="834"/>
      <c r="AG62" s="592"/>
      <c r="AH62" s="627"/>
      <c r="AI62" s="832" t="s">
        <v>1695</v>
      </c>
      <c r="AJ62" s="833" t="s">
        <v>1694</v>
      </c>
      <c r="AK62" s="834"/>
      <c r="AL62" s="834"/>
      <c r="AM62" s="834"/>
      <c r="AO62" s="592"/>
      <c r="AP62" s="627"/>
      <c r="AQ62" s="832" t="s">
        <v>1696</v>
      </c>
      <c r="AR62" s="833" t="s">
        <v>1694</v>
      </c>
      <c r="AS62" s="834"/>
      <c r="AT62" s="834"/>
      <c r="AU62" s="834"/>
      <c r="AW62" s="592"/>
      <c r="AX62" s="627"/>
      <c r="AZ62" s="3">
        <v>1</v>
      </c>
    </row>
    <row r="63" spans="2:52" ht="21" customHeight="1">
      <c r="B63" s="1333" t="s">
        <v>21</v>
      </c>
      <c r="C63" s="44"/>
      <c r="D63" s="6571"/>
      <c r="E63" s="126" t="s">
        <v>123</v>
      </c>
      <c r="F63" s="5531"/>
      <c r="G63" s="45"/>
      <c r="H63" s="45"/>
      <c r="I63" s="46"/>
      <c r="K63" s="44"/>
      <c r="L63" s="6443"/>
      <c r="M63" s="126" t="s">
        <v>124</v>
      </c>
      <c r="N63" s="127"/>
      <c r="O63" s="45"/>
      <c r="P63" s="45"/>
      <c r="Q63" s="46"/>
      <c r="S63" s="44"/>
      <c r="T63" s="6571"/>
      <c r="U63" s="126" t="s">
        <v>125</v>
      </c>
      <c r="V63" s="127"/>
      <c r="W63" s="45"/>
      <c r="X63" s="45"/>
      <c r="Y63" s="46"/>
      <c r="AA63" s="645"/>
      <c r="AB63" s="117"/>
      <c r="AC63" s="117"/>
      <c r="AD63" s="117"/>
      <c r="AE63" s="117"/>
      <c r="AF63" s="117"/>
      <c r="AG63" s="644"/>
      <c r="AH63" s="627"/>
      <c r="AI63" s="645"/>
      <c r="AJ63" s="117"/>
      <c r="AK63" s="117"/>
      <c r="AL63" s="117"/>
      <c r="AM63" s="117"/>
      <c r="AN63" s="117"/>
      <c r="AO63" s="644"/>
      <c r="AP63" s="627"/>
      <c r="AQ63" s="645"/>
      <c r="AR63" s="117"/>
      <c r="AS63" s="117"/>
      <c r="AT63" s="117"/>
      <c r="AU63" s="117"/>
      <c r="AV63" s="117"/>
      <c r="AW63" s="644"/>
      <c r="AX63" s="627"/>
      <c r="AZ63" s="3">
        <v>1</v>
      </c>
    </row>
    <row r="64" spans="2:52" ht="21" customHeight="1">
      <c r="B64" s="1333" t="s">
        <v>21</v>
      </c>
      <c r="C64" s="44"/>
      <c r="D64" s="6571"/>
      <c r="E64" s="126" t="s">
        <v>126</v>
      </c>
      <c r="F64" s="5531"/>
      <c r="G64" s="45"/>
      <c r="H64" s="45"/>
      <c r="I64" s="46"/>
      <c r="K64" s="44"/>
      <c r="L64" s="6443"/>
      <c r="M64" s="126" t="s">
        <v>127</v>
      </c>
      <c r="N64" s="127"/>
      <c r="O64" s="45"/>
      <c r="P64" s="45"/>
      <c r="Q64" s="46"/>
      <c r="S64" s="44"/>
      <c r="T64" s="6571"/>
      <c r="U64" s="126" t="s">
        <v>127</v>
      </c>
      <c r="V64" s="127"/>
      <c r="W64" s="45"/>
      <c r="X64" s="45"/>
      <c r="Y64" s="46"/>
      <c r="AA64" s="835" t="s">
        <v>1700</v>
      </c>
      <c r="AB64" s="836"/>
      <c r="AC64" s="836"/>
      <c r="AD64" s="836"/>
      <c r="AE64" s="836"/>
      <c r="AF64" s="836"/>
      <c r="AG64" s="837"/>
      <c r="AH64" s="627"/>
      <c r="AI64" s="835" t="s">
        <v>1701</v>
      </c>
      <c r="AJ64" s="836"/>
      <c r="AK64" s="836"/>
      <c r="AL64" s="836"/>
      <c r="AM64" s="836"/>
      <c r="AN64" s="836"/>
      <c r="AO64" s="837"/>
      <c r="AP64" s="627"/>
      <c r="AQ64" s="835" t="s">
        <v>1702</v>
      </c>
      <c r="AR64" s="836"/>
      <c r="AS64" s="836"/>
      <c r="AT64" s="836"/>
      <c r="AU64" s="836"/>
      <c r="AV64" s="836"/>
      <c r="AW64" s="837"/>
      <c r="AX64" s="627"/>
      <c r="AZ64" s="3">
        <v>1</v>
      </c>
    </row>
    <row r="65" spans="2:52" ht="21" customHeight="1">
      <c r="B65" s="1333" t="s">
        <v>21</v>
      </c>
      <c r="C65" s="44"/>
      <c r="D65" s="6571"/>
      <c r="E65" s="126" t="s">
        <v>128</v>
      </c>
      <c r="F65" s="5531"/>
      <c r="G65" s="45"/>
      <c r="H65" s="45"/>
      <c r="I65" s="46"/>
      <c r="K65" s="44"/>
      <c r="L65" s="6443"/>
      <c r="M65" s="126" t="s">
        <v>129</v>
      </c>
      <c r="N65" s="127"/>
      <c r="O65" s="45"/>
      <c r="P65" s="45"/>
      <c r="Q65" s="46"/>
      <c r="S65" s="44"/>
      <c r="T65" s="6571"/>
      <c r="U65" s="126" t="s">
        <v>130</v>
      </c>
      <c r="V65" s="127"/>
      <c r="W65" s="45"/>
      <c r="X65" s="45"/>
      <c r="Y65" s="46"/>
      <c r="AA65" s="838" t="s">
        <v>1704</v>
      </c>
      <c r="AB65" s="836"/>
      <c r="AC65" s="836"/>
      <c r="AD65" s="836"/>
      <c r="AE65" s="836"/>
      <c r="AF65" s="836"/>
      <c r="AG65" s="839" t="s">
        <v>1705</v>
      </c>
      <c r="AH65" s="627"/>
      <c r="AI65" s="838" t="s">
        <v>1706</v>
      </c>
      <c r="AJ65" s="836"/>
      <c r="AK65" s="836"/>
      <c r="AL65" s="836"/>
      <c r="AM65" s="836"/>
      <c r="AN65" s="836"/>
      <c r="AO65" s="839" t="s">
        <v>1707</v>
      </c>
      <c r="AP65" s="627"/>
      <c r="AQ65" s="838" t="s">
        <v>1708</v>
      </c>
      <c r="AR65" s="836"/>
      <c r="AS65" s="836"/>
      <c r="AT65" s="836"/>
      <c r="AU65" s="836"/>
      <c r="AV65" s="836"/>
      <c r="AW65" s="839" t="s">
        <v>1709</v>
      </c>
      <c r="AX65" s="627"/>
      <c r="AZ65" s="3">
        <v>1</v>
      </c>
    </row>
    <row r="66" spans="2:52" ht="21" customHeight="1">
      <c r="B66" s="1333" t="s">
        <v>21</v>
      </c>
      <c r="C66" s="44"/>
      <c r="D66" s="6572"/>
      <c r="E66" s="131" t="s">
        <v>131</v>
      </c>
      <c r="F66" s="5457"/>
      <c r="G66" s="45"/>
      <c r="H66" s="45"/>
      <c r="I66" s="46"/>
      <c r="K66" s="44"/>
      <c r="L66" s="6444"/>
      <c r="M66" s="131" t="s">
        <v>132</v>
      </c>
      <c r="N66" s="132"/>
      <c r="O66" s="45"/>
      <c r="P66" s="45"/>
      <c r="Q66" s="46"/>
      <c r="S66" s="44"/>
      <c r="T66" s="6572"/>
      <c r="U66" s="131" t="s">
        <v>133</v>
      </c>
      <c r="V66" s="5457"/>
      <c r="W66" s="45"/>
      <c r="X66" s="45"/>
      <c r="Y66" s="46"/>
      <c r="AA66" s="838" t="s">
        <v>1712</v>
      </c>
      <c r="AB66" s="836"/>
      <c r="AC66" s="836"/>
      <c r="AD66" s="836"/>
      <c r="AE66" s="836"/>
      <c r="AF66" s="836"/>
      <c r="AG66" s="839" t="s">
        <v>1713</v>
      </c>
      <c r="AH66" s="627"/>
      <c r="AI66" s="838" t="s">
        <v>1714</v>
      </c>
      <c r="AJ66" s="836"/>
      <c r="AK66" s="836"/>
      <c r="AL66" s="836"/>
      <c r="AM66" s="836"/>
      <c r="AN66" s="836"/>
      <c r="AO66" s="839" t="s">
        <v>1715</v>
      </c>
      <c r="AP66" s="627"/>
      <c r="AQ66" s="838" t="s">
        <v>1716</v>
      </c>
      <c r="AR66" s="836"/>
      <c r="AS66" s="836"/>
      <c r="AT66" s="836"/>
      <c r="AU66" s="836"/>
      <c r="AV66" s="836"/>
      <c r="AW66" s="839" t="s">
        <v>1717</v>
      </c>
      <c r="AX66" s="627"/>
      <c r="AZ66" s="3">
        <v>1</v>
      </c>
    </row>
    <row r="67" spans="2:52" ht="21" customHeight="1">
      <c r="B67" s="1333" t="s">
        <v>21</v>
      </c>
      <c r="C67" s="133"/>
      <c r="D67" s="134"/>
      <c r="E67" s="135"/>
      <c r="F67" s="45"/>
      <c r="G67" s="45"/>
      <c r="H67" s="45"/>
      <c r="I67" s="46"/>
      <c r="K67" s="133"/>
      <c r="L67" s="134"/>
      <c r="M67" s="135"/>
      <c r="N67" s="45"/>
      <c r="O67" s="45"/>
      <c r="P67" s="45"/>
      <c r="Q67" s="46"/>
      <c r="S67" s="133"/>
      <c r="T67" s="134"/>
      <c r="U67" s="135"/>
      <c r="V67" s="45"/>
      <c r="W67" s="45"/>
      <c r="X67" s="45"/>
      <c r="Y67" s="46"/>
      <c r="AA67" s="838" t="s">
        <v>1721</v>
      </c>
      <c r="AB67" s="836"/>
      <c r="AC67" s="836"/>
      <c r="AD67" s="836"/>
      <c r="AE67" s="836"/>
      <c r="AF67" s="836"/>
      <c r="AG67" s="837"/>
      <c r="AH67" s="627"/>
      <c r="AI67" s="838" t="s">
        <v>1722</v>
      </c>
      <c r="AJ67" s="836"/>
      <c r="AK67" s="836"/>
      <c r="AL67" s="836"/>
      <c r="AM67" s="836"/>
      <c r="AN67" s="836"/>
      <c r="AO67" s="839" t="s">
        <v>1723</v>
      </c>
      <c r="AP67" s="627"/>
      <c r="AQ67" s="838" t="s">
        <v>1724</v>
      </c>
      <c r="AR67" s="836"/>
      <c r="AS67" s="836"/>
      <c r="AT67" s="836"/>
      <c r="AU67" s="836"/>
      <c r="AV67" s="836"/>
      <c r="AW67" s="839"/>
      <c r="AX67" s="627"/>
      <c r="AZ67" s="3">
        <v>1</v>
      </c>
    </row>
    <row r="68" spans="2:52" ht="21" customHeight="1">
      <c r="B68" s="1333" t="s">
        <v>21</v>
      </c>
      <c r="C68" s="136" t="s">
        <v>32</v>
      </c>
      <c r="D68" s="137"/>
      <c r="E68" s="138"/>
      <c r="F68" s="138"/>
      <c r="G68" s="139" t="s">
        <v>35</v>
      </c>
      <c r="H68" s="140">
        <v>20</v>
      </c>
      <c r="I68" s="141" t="s">
        <v>36</v>
      </c>
      <c r="K68" s="136" t="s">
        <v>32</v>
      </c>
      <c r="L68" s="137"/>
      <c r="M68" s="138"/>
      <c r="N68" s="138"/>
      <c r="O68" s="139" t="s">
        <v>35</v>
      </c>
      <c r="P68" s="140">
        <v>20</v>
      </c>
      <c r="Q68" s="141" t="s">
        <v>36</v>
      </c>
      <c r="S68" s="136" t="s">
        <v>137</v>
      </c>
      <c r="T68" s="137"/>
      <c r="U68" s="138"/>
      <c r="V68" s="138"/>
      <c r="W68" s="139" t="s">
        <v>9035</v>
      </c>
      <c r="X68" s="140">
        <v>20</v>
      </c>
      <c r="Y68" s="141" t="s">
        <v>139</v>
      </c>
      <c r="AA68" s="645"/>
      <c r="AB68" s="117"/>
      <c r="AC68" s="117"/>
      <c r="AD68" s="117"/>
      <c r="AE68" s="117"/>
      <c r="AF68" s="117"/>
      <c r="AG68" s="644"/>
      <c r="AH68" s="627"/>
      <c r="AI68" s="645"/>
      <c r="AJ68" s="117"/>
      <c r="AK68" s="117"/>
      <c r="AL68" s="117"/>
      <c r="AM68" s="117"/>
      <c r="AN68" s="117"/>
      <c r="AO68" s="644"/>
      <c r="AP68" s="627"/>
      <c r="AQ68" s="645"/>
      <c r="AR68" s="117"/>
      <c r="AS68" s="117"/>
      <c r="AT68" s="117"/>
      <c r="AU68" s="117"/>
      <c r="AV68" s="117"/>
      <c r="AW68" s="840" t="s">
        <v>1727</v>
      </c>
      <c r="AX68" s="627"/>
      <c r="AZ68" s="3">
        <v>1</v>
      </c>
    </row>
    <row r="69" spans="2:52" ht="21" customHeight="1">
      <c r="B69" s="1333" t="s">
        <v>21</v>
      </c>
      <c r="C69" s="146">
        <v>10</v>
      </c>
      <c r="D69" s="147" t="s">
        <v>19</v>
      </c>
      <c r="E69" s="138"/>
      <c r="F69" s="138"/>
      <c r="G69" s="148"/>
      <c r="H69" s="149" t="s">
        <v>40</v>
      </c>
      <c r="I69" s="150" t="s">
        <v>41</v>
      </c>
      <c r="K69" s="146">
        <v>10</v>
      </c>
      <c r="L69" s="147" t="s">
        <v>19</v>
      </c>
      <c r="M69" s="138"/>
      <c r="N69" s="138"/>
      <c r="O69" s="148"/>
      <c r="P69" s="149" t="s">
        <v>40</v>
      </c>
      <c r="Q69" s="150" t="s">
        <v>41</v>
      </c>
      <c r="S69" s="146">
        <v>10</v>
      </c>
      <c r="T69" s="147" t="s">
        <v>139</v>
      </c>
      <c r="U69" s="138"/>
      <c r="V69" s="138"/>
      <c r="W69" s="148"/>
      <c r="X69" s="149" t="s">
        <v>40</v>
      </c>
      <c r="Y69" s="150" t="s">
        <v>41</v>
      </c>
      <c r="AA69" s="841" t="s">
        <v>838</v>
      </c>
      <c r="AB69" s="842"/>
      <c r="AC69" s="842"/>
      <c r="AD69" s="842"/>
      <c r="AE69" s="842"/>
      <c r="AF69" s="842"/>
      <c r="AG69" s="843"/>
      <c r="AH69" s="627"/>
      <c r="AI69" s="841" t="s">
        <v>838</v>
      </c>
      <c r="AJ69" s="842"/>
      <c r="AK69" s="842"/>
      <c r="AL69" s="842"/>
      <c r="AM69" s="842"/>
      <c r="AN69" s="842"/>
      <c r="AO69" s="843"/>
      <c r="AP69" s="627"/>
      <c r="AQ69" s="841" t="s">
        <v>838</v>
      </c>
      <c r="AR69" s="842"/>
      <c r="AS69" s="842"/>
      <c r="AT69" s="842"/>
      <c r="AU69" s="842"/>
      <c r="AV69" s="842"/>
      <c r="AW69" s="843"/>
      <c r="AX69" s="627"/>
      <c r="AZ69" s="3">
        <v>1</v>
      </c>
    </row>
    <row r="70" spans="2:52" ht="21" customHeight="1">
      <c r="B70" s="1333" t="s">
        <v>21</v>
      </c>
      <c r="C70" s="151" t="s">
        <v>49</v>
      </c>
      <c r="D70" s="152">
        <v>3.4219999999999997</v>
      </c>
      <c r="E70" s="138"/>
      <c r="F70" s="138"/>
      <c r="G70" s="153" t="s">
        <v>50</v>
      </c>
      <c r="H70" s="154">
        <v>10</v>
      </c>
      <c r="I70" s="56" t="s">
        <v>36</v>
      </c>
      <c r="K70" s="151" t="s">
        <v>49</v>
      </c>
      <c r="L70" s="152">
        <v>3.4219999999999997</v>
      </c>
      <c r="M70" s="138"/>
      <c r="N70" s="138"/>
      <c r="O70" s="153" t="s">
        <v>50</v>
      </c>
      <c r="P70" s="154">
        <v>10</v>
      </c>
      <c r="Q70" s="56" t="s">
        <v>36</v>
      </c>
      <c r="S70" s="151" t="s">
        <v>49</v>
      </c>
      <c r="T70" s="152">
        <v>3.4219999999999997</v>
      </c>
      <c r="U70" s="138"/>
      <c r="V70" s="138"/>
      <c r="W70" s="153" t="s">
        <v>50</v>
      </c>
      <c r="X70" s="154">
        <v>10</v>
      </c>
      <c r="Y70" s="56" t="s">
        <v>139</v>
      </c>
      <c r="AA70" s="6472" t="s">
        <v>1735</v>
      </c>
      <c r="AB70" s="6473"/>
      <c r="AC70" s="6473"/>
      <c r="AD70" s="6473"/>
      <c r="AE70" s="6473"/>
      <c r="AF70" s="6473"/>
      <c r="AG70" s="6474"/>
      <c r="AH70" s="627"/>
      <c r="AI70" s="6472" t="s">
        <v>1736</v>
      </c>
      <c r="AJ70" s="6473"/>
      <c r="AK70" s="6473"/>
      <c r="AL70" s="6473"/>
      <c r="AM70" s="6473"/>
      <c r="AN70" s="6473"/>
      <c r="AO70" s="6474"/>
      <c r="AP70" s="627"/>
      <c r="AQ70" s="6472" t="s">
        <v>1737</v>
      </c>
      <c r="AR70" s="6473"/>
      <c r="AS70" s="6473"/>
      <c r="AT70" s="6473"/>
      <c r="AU70" s="6473"/>
      <c r="AV70" s="6473"/>
      <c r="AW70" s="6474"/>
      <c r="AX70" s="627"/>
      <c r="AZ70" s="3">
        <v>1</v>
      </c>
    </row>
    <row r="71" spans="2:52" ht="21" customHeight="1">
      <c r="B71" s="1333" t="s">
        <v>21</v>
      </c>
      <c r="C71" s="44"/>
      <c r="D71" s="45"/>
      <c r="E71" s="45"/>
      <c r="F71" s="45"/>
      <c r="G71" s="45"/>
      <c r="H71" s="45"/>
      <c r="I71" s="46"/>
      <c r="K71" s="44"/>
      <c r="L71" s="45"/>
      <c r="M71" s="45"/>
      <c r="N71" s="45"/>
      <c r="O71" s="45"/>
      <c r="P71" s="45"/>
      <c r="Q71" s="46"/>
      <c r="S71" s="44"/>
      <c r="T71" s="45"/>
      <c r="U71" s="45"/>
      <c r="V71" s="45"/>
      <c r="W71" s="45"/>
      <c r="X71" s="45"/>
      <c r="Y71" s="46"/>
      <c r="Z71" t="s">
        <v>21</v>
      </c>
      <c r="AA71" s="6472"/>
      <c r="AB71" s="6473"/>
      <c r="AC71" s="6473"/>
      <c r="AD71" s="6473"/>
      <c r="AE71" s="6473"/>
      <c r="AF71" s="6473"/>
      <c r="AG71" s="6474"/>
      <c r="AH71" s="627"/>
      <c r="AI71" s="6472"/>
      <c r="AJ71" s="6473"/>
      <c r="AK71" s="6473"/>
      <c r="AL71" s="6473"/>
      <c r="AM71" s="6473"/>
      <c r="AN71" s="6473"/>
      <c r="AO71" s="6474"/>
      <c r="AP71" s="627"/>
      <c r="AQ71" s="6472"/>
      <c r="AR71" s="6473"/>
      <c r="AS71" s="6473"/>
      <c r="AT71" s="6473"/>
      <c r="AU71" s="6473"/>
      <c r="AV71" s="6473"/>
      <c r="AW71" s="6474"/>
      <c r="AX71" s="627"/>
      <c r="AZ71" s="3">
        <v>1</v>
      </c>
    </row>
    <row r="72" spans="2:52" ht="21" customHeight="1">
      <c r="B72" s="1333" t="s">
        <v>21</v>
      </c>
      <c r="C72" s="157"/>
      <c r="D72" s="158"/>
      <c r="E72" s="159"/>
      <c r="F72" s="158"/>
      <c r="G72" s="158"/>
      <c r="H72" s="158"/>
      <c r="I72" s="160"/>
      <c r="K72" s="157"/>
      <c r="L72" s="158"/>
      <c r="M72" s="159"/>
      <c r="N72" s="158"/>
      <c r="O72" s="158"/>
      <c r="P72" s="158"/>
      <c r="Q72" s="160"/>
      <c r="S72" s="157"/>
      <c r="T72" s="158"/>
      <c r="U72" s="159"/>
      <c r="V72" s="158"/>
      <c r="W72" s="158"/>
      <c r="X72" s="158"/>
      <c r="Y72" s="160"/>
      <c r="AA72" s="844" t="s">
        <v>839</v>
      </c>
      <c r="AB72" s="845"/>
      <c r="AC72" s="845"/>
      <c r="AD72" s="845"/>
      <c r="AE72" s="845"/>
      <c r="AF72" s="845"/>
      <c r="AG72" s="846"/>
      <c r="AH72" s="627"/>
      <c r="AI72" s="844" t="s">
        <v>839</v>
      </c>
      <c r="AJ72" s="845"/>
      <c r="AK72" s="845"/>
      <c r="AL72" s="845"/>
      <c r="AM72" s="845"/>
      <c r="AN72" s="845"/>
      <c r="AO72" s="846"/>
      <c r="AP72" s="627"/>
      <c r="AQ72" s="844" t="s">
        <v>839</v>
      </c>
      <c r="AR72" s="845"/>
      <c r="AS72" s="845"/>
      <c r="AT72" s="845"/>
      <c r="AU72" s="845"/>
      <c r="AV72" s="845"/>
      <c r="AW72" s="899" t="s">
        <v>2398</v>
      </c>
      <c r="AX72" s="627"/>
      <c r="AZ72" s="3">
        <v>1</v>
      </c>
    </row>
    <row r="73" spans="2:52" ht="21" customHeight="1">
      <c r="B73" s="1333" t="s">
        <v>21</v>
      </c>
      <c r="C73" s="44"/>
      <c r="D73" s="45"/>
      <c r="E73" s="45"/>
      <c r="F73" s="45"/>
      <c r="G73" s="45"/>
      <c r="H73" s="45"/>
      <c r="I73" s="46"/>
      <c r="K73" s="44"/>
      <c r="L73" s="45"/>
      <c r="M73" s="45"/>
      <c r="N73" s="45"/>
      <c r="O73" s="45"/>
      <c r="P73" s="45"/>
      <c r="Q73" s="46"/>
      <c r="S73" s="44"/>
      <c r="T73" s="45"/>
      <c r="U73" s="45"/>
      <c r="V73" s="45"/>
      <c r="W73" s="45"/>
      <c r="X73" s="45"/>
      <c r="Y73" s="46"/>
      <c r="AA73" s="851" t="s">
        <v>1744</v>
      </c>
      <c r="AB73" s="852" t="s">
        <v>1745</v>
      </c>
      <c r="AC73" s="853" t="s">
        <v>1746</v>
      </c>
      <c r="AD73" s="852" t="s">
        <v>1747</v>
      </c>
      <c r="AE73" s="852" t="s">
        <v>1748</v>
      </c>
      <c r="AF73" s="852" t="s">
        <v>1749</v>
      </c>
      <c r="AG73" s="854" t="s">
        <v>1750</v>
      </c>
      <c r="AH73" s="627"/>
      <c r="AI73" s="851" t="s">
        <v>1744</v>
      </c>
      <c r="AJ73" s="852" t="s">
        <v>1745</v>
      </c>
      <c r="AK73" s="853" t="s">
        <v>1746</v>
      </c>
      <c r="AL73" s="852" t="s">
        <v>1747</v>
      </c>
      <c r="AM73" s="852" t="s">
        <v>1748</v>
      </c>
      <c r="AN73" s="852" t="s">
        <v>1749</v>
      </c>
      <c r="AO73" s="854" t="s">
        <v>1750</v>
      </c>
      <c r="AP73" s="627"/>
      <c r="AQ73" s="851" t="s">
        <v>1744</v>
      </c>
      <c r="AR73" s="852" t="s">
        <v>1745</v>
      </c>
      <c r="AS73" s="853" t="s">
        <v>1746</v>
      </c>
      <c r="AT73" s="852" t="s">
        <v>1747</v>
      </c>
      <c r="AU73" s="852" t="s">
        <v>1748</v>
      </c>
      <c r="AV73" s="852" t="s">
        <v>1749</v>
      </c>
      <c r="AW73" s="854" t="s">
        <v>1750</v>
      </c>
      <c r="AX73" s="627"/>
      <c r="AZ73" s="3">
        <v>1</v>
      </c>
    </row>
    <row r="74" spans="2:52" ht="21" customHeight="1">
      <c r="B74" s="1333" t="s">
        <v>21</v>
      </c>
      <c r="C74" s="171" t="s">
        <v>168</v>
      </c>
      <c r="D74" s="45"/>
      <c r="E74" s="45"/>
      <c r="F74" s="45"/>
      <c r="G74" s="45"/>
      <c r="H74" s="45"/>
      <c r="I74" s="46"/>
      <c r="K74" s="171" t="s">
        <v>169</v>
      </c>
      <c r="L74" s="45"/>
      <c r="M74" s="45"/>
      <c r="N74" s="45"/>
      <c r="O74" s="45"/>
      <c r="P74" s="45"/>
      <c r="Q74" s="46"/>
      <c r="S74" s="171" t="s">
        <v>170</v>
      </c>
      <c r="T74" s="45"/>
      <c r="U74" s="45"/>
      <c r="V74" s="45"/>
      <c r="W74" s="45"/>
      <c r="X74" s="45"/>
      <c r="Y74" s="46"/>
      <c r="AA74" s="851" t="s">
        <v>1752</v>
      </c>
      <c r="AB74" s="852" t="s">
        <v>1753</v>
      </c>
      <c r="AC74" s="852" t="s">
        <v>1754</v>
      </c>
      <c r="AD74" s="852" t="s">
        <v>15</v>
      </c>
      <c r="AE74" s="852" t="s">
        <v>1755</v>
      </c>
      <c r="AF74" s="852" t="s">
        <v>829</v>
      </c>
      <c r="AG74" s="854" t="s">
        <v>1756</v>
      </c>
      <c r="AH74" s="627"/>
      <c r="AI74" s="851" t="s">
        <v>1752</v>
      </c>
      <c r="AJ74" s="852" t="s">
        <v>1753</v>
      </c>
      <c r="AK74" s="852" t="s">
        <v>1754</v>
      </c>
      <c r="AL74" s="852" t="s">
        <v>15</v>
      </c>
      <c r="AM74" s="852" t="s">
        <v>1755</v>
      </c>
      <c r="AN74" s="852" t="s">
        <v>829</v>
      </c>
      <c r="AO74" s="854" t="s">
        <v>1756</v>
      </c>
      <c r="AP74" s="627"/>
      <c r="AQ74" s="851" t="s">
        <v>1752</v>
      </c>
      <c r="AR74" s="852" t="s">
        <v>1753</v>
      </c>
      <c r="AS74" s="852" t="s">
        <v>1754</v>
      </c>
      <c r="AT74" s="852" t="s">
        <v>15</v>
      </c>
      <c r="AU74" s="852" t="s">
        <v>1755</v>
      </c>
      <c r="AV74" s="852" t="s">
        <v>829</v>
      </c>
      <c r="AW74" s="854" t="s">
        <v>1756</v>
      </c>
      <c r="AX74" s="627"/>
      <c r="AZ74" s="3">
        <v>1</v>
      </c>
    </row>
    <row r="75" spans="2:52" ht="21" customHeight="1">
      <c r="B75" s="1333" t="s">
        <v>21</v>
      </c>
      <c r="C75" s="171"/>
      <c r="D75" s="45"/>
      <c r="E75" s="45"/>
      <c r="F75" s="45"/>
      <c r="G75" s="45"/>
      <c r="H75" s="45"/>
      <c r="I75" s="46"/>
      <c r="K75" s="171"/>
      <c r="L75" s="45"/>
      <c r="M75" s="45"/>
      <c r="N75" s="45"/>
      <c r="O75" s="45"/>
      <c r="P75" s="45"/>
      <c r="Q75" s="46"/>
      <c r="S75" s="171"/>
      <c r="T75" s="45"/>
      <c r="U75" s="45"/>
      <c r="V75" s="45"/>
      <c r="W75" s="45"/>
      <c r="X75" s="45"/>
      <c r="Y75" s="46"/>
      <c r="AA75" s="645"/>
      <c r="AB75" s="117"/>
      <c r="AC75" s="117"/>
      <c r="AD75" s="117"/>
      <c r="AE75" s="117"/>
      <c r="AF75" s="117"/>
      <c r="AG75" s="840" t="s">
        <v>2398</v>
      </c>
      <c r="AH75" s="627"/>
      <c r="AI75" s="645"/>
      <c r="AJ75" s="117"/>
      <c r="AK75" s="117"/>
      <c r="AL75" s="117"/>
      <c r="AM75" s="117"/>
      <c r="AN75" s="117"/>
      <c r="AO75" s="840" t="s">
        <v>2398</v>
      </c>
      <c r="AP75" s="627"/>
      <c r="AQ75" s="6475" t="s">
        <v>1757</v>
      </c>
      <c r="AR75" s="6476"/>
      <c r="AS75" s="6476"/>
      <c r="AT75" s="6476"/>
      <c r="AU75" s="6476"/>
      <c r="AV75" s="6476"/>
      <c r="AW75" s="6477"/>
      <c r="AX75" s="627"/>
      <c r="AZ75" s="3">
        <v>1</v>
      </c>
    </row>
    <row r="76" spans="2:52" ht="21" customHeight="1">
      <c r="B76" s="1333" t="s">
        <v>21</v>
      </c>
      <c r="C76" s="6573" t="s">
        <v>174</v>
      </c>
      <c r="D76" s="6574" t="s">
        <v>175</v>
      </c>
      <c r="E76" s="6574"/>
      <c r="F76" s="6574"/>
      <c r="G76" s="6574"/>
      <c r="H76" s="6574"/>
      <c r="I76" s="6575"/>
      <c r="K76" s="6573" t="s">
        <v>176</v>
      </c>
      <c r="L76" s="6574" t="s">
        <v>177</v>
      </c>
      <c r="M76" s="6574"/>
      <c r="N76" s="6574"/>
      <c r="O76" s="6574"/>
      <c r="P76" s="6574"/>
      <c r="Q76" s="6575"/>
      <c r="S76" s="6615" t="s">
        <v>178</v>
      </c>
      <c r="T76" s="6574" t="s">
        <v>179</v>
      </c>
      <c r="U76" s="6574"/>
      <c r="V76" s="6574"/>
      <c r="W76" s="6574"/>
      <c r="X76" s="6574"/>
      <c r="Y76" s="6575"/>
      <c r="AA76" s="859">
        <v>19</v>
      </c>
      <c r="AB76" s="860">
        <v>18</v>
      </c>
      <c r="AC76" s="860">
        <v>10</v>
      </c>
      <c r="AD76" s="860">
        <v>16</v>
      </c>
      <c r="AE76" s="860">
        <v>16</v>
      </c>
      <c r="AF76" s="860">
        <v>11</v>
      </c>
      <c r="AG76" s="861">
        <v>40</v>
      </c>
      <c r="AH76" s="627"/>
      <c r="AI76" s="859">
        <v>19</v>
      </c>
      <c r="AJ76" s="860">
        <v>18</v>
      </c>
      <c r="AK76" s="860">
        <v>10</v>
      </c>
      <c r="AL76" s="860">
        <v>16</v>
      </c>
      <c r="AM76" s="860">
        <v>16</v>
      </c>
      <c r="AN76" s="860">
        <v>11</v>
      </c>
      <c r="AO76" s="861">
        <v>40</v>
      </c>
      <c r="AP76" s="627"/>
      <c r="AQ76" s="6475"/>
      <c r="AR76" s="6476"/>
      <c r="AS76" s="6476"/>
      <c r="AT76" s="6476"/>
      <c r="AU76" s="6476"/>
      <c r="AV76" s="6476"/>
      <c r="AW76" s="6477"/>
      <c r="AX76" s="627"/>
      <c r="AZ76" s="3">
        <v>1</v>
      </c>
    </row>
    <row r="77" spans="2:52" ht="21" customHeight="1" thickBot="1">
      <c r="B77" s="1333" t="s">
        <v>21</v>
      </c>
      <c r="C77" s="6573"/>
      <c r="D77" s="6574"/>
      <c r="E77" s="6574"/>
      <c r="F77" s="6574"/>
      <c r="G77" s="6574"/>
      <c r="H77" s="6574"/>
      <c r="I77" s="6575"/>
      <c r="K77" s="6573"/>
      <c r="L77" s="6574"/>
      <c r="M77" s="6574"/>
      <c r="N77" s="6574"/>
      <c r="O77" s="6574"/>
      <c r="P77" s="6574"/>
      <c r="Q77" s="6575"/>
      <c r="S77" s="6615"/>
      <c r="T77" s="6574"/>
      <c r="U77" s="6574"/>
      <c r="V77" s="6574"/>
      <c r="W77" s="6574"/>
      <c r="X77" s="6574"/>
      <c r="Y77" s="6575"/>
      <c r="AA77" s="862">
        <f t="shared" ref="AA77:AG77" ca="1" si="4">CELL("largeur",AA77)</f>
        <v>19</v>
      </c>
      <c r="AB77" s="863">
        <f t="shared" ca="1" si="4"/>
        <v>18</v>
      </c>
      <c r="AC77" s="863">
        <f t="shared" ca="1" si="4"/>
        <v>10</v>
      </c>
      <c r="AD77" s="863">
        <f t="shared" ca="1" si="4"/>
        <v>16</v>
      </c>
      <c r="AE77" s="863">
        <f t="shared" ca="1" si="4"/>
        <v>16</v>
      </c>
      <c r="AF77" s="863">
        <f t="shared" ca="1" si="4"/>
        <v>11</v>
      </c>
      <c r="AG77" s="864">
        <f t="shared" ca="1" si="4"/>
        <v>46</v>
      </c>
      <c r="AH77" s="627"/>
      <c r="AI77" s="862">
        <f t="shared" ref="AI77:AO77" ca="1" si="5">CELL("largeur",AI77)</f>
        <v>19</v>
      </c>
      <c r="AJ77" s="863">
        <f t="shared" ca="1" si="5"/>
        <v>18</v>
      </c>
      <c r="AK77" s="863">
        <f t="shared" ca="1" si="5"/>
        <v>10</v>
      </c>
      <c r="AL77" s="863">
        <f t="shared" ca="1" si="5"/>
        <v>16</v>
      </c>
      <c r="AM77" s="863">
        <f t="shared" ca="1" si="5"/>
        <v>16</v>
      </c>
      <c r="AN77" s="863">
        <f t="shared" ca="1" si="5"/>
        <v>11</v>
      </c>
      <c r="AO77" s="864">
        <f t="shared" ca="1" si="5"/>
        <v>46</v>
      </c>
      <c r="AP77" s="627"/>
      <c r="AQ77" s="859">
        <v>19</v>
      </c>
      <c r="AR77" s="860">
        <v>18</v>
      </c>
      <c r="AS77" s="860">
        <v>10</v>
      </c>
      <c r="AT77" s="860">
        <v>16</v>
      </c>
      <c r="AU77" s="860">
        <v>16</v>
      </c>
      <c r="AV77" s="860">
        <v>11</v>
      </c>
      <c r="AW77" s="861">
        <v>40</v>
      </c>
      <c r="AX77" s="627"/>
      <c r="AZ77" s="3">
        <v>1</v>
      </c>
    </row>
    <row r="78" spans="2:52" ht="21" customHeight="1" thickBot="1">
      <c r="B78" s="1333" t="s">
        <v>21</v>
      </c>
      <c r="C78" s="6573"/>
      <c r="D78" s="181" t="s">
        <v>183</v>
      </c>
      <c r="E78" s="181"/>
      <c r="F78" s="181"/>
      <c r="G78" s="181"/>
      <c r="H78" s="182"/>
      <c r="I78" s="183"/>
      <c r="K78" s="6573"/>
      <c r="L78" s="181" t="s">
        <v>184</v>
      </c>
      <c r="M78" s="181"/>
      <c r="N78" s="181"/>
      <c r="O78" s="181"/>
      <c r="P78" s="182"/>
      <c r="Q78" s="183"/>
      <c r="S78" s="6615"/>
      <c r="T78" s="181" t="s">
        <v>185</v>
      </c>
      <c r="U78" s="181"/>
      <c r="V78" s="181"/>
      <c r="W78" s="181"/>
      <c r="X78" s="182"/>
      <c r="Y78" s="183"/>
      <c r="AA78" s="627"/>
      <c r="AB78" s="627"/>
      <c r="AC78" s="627"/>
      <c r="AD78" s="627"/>
      <c r="AE78" s="627"/>
      <c r="AF78" s="627"/>
      <c r="AG78" s="627"/>
      <c r="AH78" s="627"/>
      <c r="AI78" s="627"/>
      <c r="AJ78" s="627"/>
      <c r="AK78" s="627"/>
      <c r="AL78" s="627"/>
      <c r="AM78" s="627"/>
      <c r="AN78" s="627"/>
      <c r="AO78" s="627"/>
      <c r="AP78" s="627"/>
      <c r="AQ78" s="862">
        <f t="shared" ref="AQ78:AW78" ca="1" si="6">CELL("largeur",AQ78)</f>
        <v>19</v>
      </c>
      <c r="AR78" s="863">
        <f t="shared" ca="1" si="6"/>
        <v>18</v>
      </c>
      <c r="AS78" s="863">
        <f t="shared" ca="1" si="6"/>
        <v>10</v>
      </c>
      <c r="AT78" s="863">
        <f t="shared" ca="1" si="6"/>
        <v>16</v>
      </c>
      <c r="AU78" s="863">
        <f t="shared" ca="1" si="6"/>
        <v>16</v>
      </c>
      <c r="AV78" s="863">
        <f t="shared" ca="1" si="6"/>
        <v>11</v>
      </c>
      <c r="AW78" s="864">
        <f t="shared" ca="1" si="6"/>
        <v>46</v>
      </c>
      <c r="AX78" s="627"/>
      <c r="AZ78" s="3">
        <v>1</v>
      </c>
    </row>
    <row r="79" spans="2:52" ht="21" customHeight="1">
      <c r="B79" s="1333" t="s">
        <v>21</v>
      </c>
      <c r="C79" s="6573"/>
      <c r="D79" s="181" t="s">
        <v>187</v>
      </c>
      <c r="E79" s="184"/>
      <c r="F79" s="184"/>
      <c r="G79" s="184"/>
      <c r="H79" s="182"/>
      <c r="I79" s="183"/>
      <c r="K79" s="6573"/>
      <c r="L79" s="181" t="s">
        <v>188</v>
      </c>
      <c r="M79" s="184"/>
      <c r="N79" s="184"/>
      <c r="O79" s="184"/>
      <c r="P79" s="182"/>
      <c r="Q79" s="183"/>
      <c r="S79" s="6615"/>
      <c r="T79" s="181" t="s">
        <v>189</v>
      </c>
      <c r="U79" s="184"/>
      <c r="V79" s="184"/>
      <c r="W79" s="184"/>
      <c r="X79" s="182"/>
      <c r="Y79" s="183"/>
      <c r="AA79" s="627"/>
      <c r="AB79" s="627"/>
      <c r="AC79" s="627"/>
      <c r="AD79" s="627"/>
      <c r="AE79" s="627"/>
      <c r="AF79" s="627"/>
      <c r="AG79" s="627"/>
      <c r="AH79" s="627"/>
      <c r="AI79" s="627"/>
      <c r="AJ79" s="627"/>
      <c r="AK79" s="627"/>
      <c r="AL79" s="627"/>
      <c r="AM79" s="627"/>
      <c r="AN79" s="627"/>
      <c r="AO79" s="627"/>
      <c r="AP79" s="627"/>
      <c r="AQ79" s="627"/>
      <c r="AR79" s="627"/>
      <c r="AS79" s="627"/>
      <c r="AT79" s="627"/>
      <c r="AU79" s="627"/>
      <c r="AV79" s="627"/>
      <c r="AW79" s="627"/>
      <c r="AX79" s="627"/>
      <c r="AZ79" s="3">
        <v>1</v>
      </c>
    </row>
    <row r="80" spans="2:52" ht="21" customHeight="1">
      <c r="B80" s="1333" t="s">
        <v>21</v>
      </c>
      <c r="C80" s="171"/>
      <c r="D80" s="181"/>
      <c r="E80" s="184"/>
      <c r="F80" s="184"/>
      <c r="G80" s="184"/>
      <c r="H80" s="182"/>
      <c r="I80" s="183"/>
      <c r="K80" s="171"/>
      <c r="L80" s="181"/>
      <c r="M80" s="184"/>
      <c r="N80" s="184"/>
      <c r="O80" s="184"/>
      <c r="P80" s="182"/>
      <c r="Q80" s="183"/>
      <c r="S80" s="171"/>
      <c r="T80" s="181"/>
      <c r="U80" s="184"/>
      <c r="V80" s="184"/>
      <c r="W80" s="184"/>
      <c r="X80" s="182"/>
      <c r="Y80" s="183"/>
      <c r="AA80" s="198" t="s">
        <v>14241</v>
      </c>
      <c r="AH80" s="627"/>
      <c r="AI80" s="198" t="s">
        <v>14242</v>
      </c>
      <c r="AP80" s="627"/>
      <c r="AQ80" s="198" t="s">
        <v>14243</v>
      </c>
      <c r="AX80" s="627"/>
      <c r="AZ80" s="3">
        <v>1</v>
      </c>
    </row>
    <row r="81" spans="2:52" ht="21" customHeight="1">
      <c r="B81" s="1333" t="s">
        <v>21</v>
      </c>
      <c r="C81" s="190" t="s">
        <v>193</v>
      </c>
      <c r="D81" s="45"/>
      <c r="E81" s="45"/>
      <c r="F81" s="45"/>
      <c r="G81" s="45"/>
      <c r="H81" s="45"/>
      <c r="I81" s="46"/>
      <c r="K81" s="190" t="s">
        <v>13785</v>
      </c>
      <c r="L81" s="45"/>
      <c r="M81" s="45"/>
      <c r="N81" s="45"/>
      <c r="O81" s="45"/>
      <c r="P81" s="45"/>
      <c r="Q81" s="46"/>
      <c r="S81" s="190" t="s">
        <v>195</v>
      </c>
      <c r="T81" s="45"/>
      <c r="U81" s="45"/>
      <c r="V81" s="45"/>
      <c r="W81" s="45"/>
      <c r="X81" s="45"/>
      <c r="Y81" s="46"/>
      <c r="AA81" s="198" t="s">
        <v>14229</v>
      </c>
      <c r="AH81" s="627"/>
      <c r="AI81" s="198" t="s">
        <v>14230</v>
      </c>
      <c r="AP81" s="627"/>
      <c r="AQ81" s="198" t="s">
        <v>14231</v>
      </c>
      <c r="AX81" s="627"/>
      <c r="AZ81" s="3">
        <v>1</v>
      </c>
    </row>
    <row r="82" spans="2:52" ht="21" customHeight="1">
      <c r="B82" s="1333" t="s">
        <v>21</v>
      </c>
      <c r="C82" s="44"/>
      <c r="D82" s="45"/>
      <c r="E82" s="45"/>
      <c r="F82" s="45"/>
      <c r="G82" s="45"/>
      <c r="H82" s="45"/>
      <c r="I82" s="46"/>
      <c r="K82" s="44"/>
      <c r="L82" s="45"/>
      <c r="M82" s="45"/>
      <c r="N82" s="45"/>
      <c r="O82" s="45"/>
      <c r="P82" s="45"/>
      <c r="Q82" s="46"/>
      <c r="S82" s="44"/>
      <c r="T82" s="45"/>
      <c r="U82" s="45"/>
      <c r="V82" s="45"/>
      <c r="W82" s="45"/>
      <c r="X82" s="45"/>
      <c r="Y82" s="46"/>
      <c r="AA82" s="198"/>
      <c r="AH82" s="627"/>
      <c r="AI82" s="198"/>
      <c r="AP82" s="627"/>
      <c r="AQ82" s="198"/>
      <c r="AX82" s="627"/>
      <c r="AZ82" s="3">
        <v>1</v>
      </c>
    </row>
    <row r="83" spans="2:52" ht="21" customHeight="1">
      <c r="B83" s="1333" t="s">
        <v>21</v>
      </c>
      <c r="C83" s="44"/>
      <c r="D83" s="45"/>
      <c r="E83" s="45"/>
      <c r="F83" s="45"/>
      <c r="G83" s="45"/>
      <c r="H83" s="45"/>
      <c r="I83" s="46"/>
      <c r="K83" s="44"/>
      <c r="L83" s="45"/>
      <c r="M83" s="45"/>
      <c r="N83" s="45"/>
      <c r="O83" s="45"/>
      <c r="P83" s="45"/>
      <c r="Q83" s="46"/>
      <c r="S83" s="44"/>
      <c r="T83" s="45"/>
      <c r="U83" s="45"/>
      <c r="V83" s="45"/>
      <c r="W83" s="45"/>
      <c r="X83" s="45"/>
      <c r="Y83" s="46"/>
      <c r="AA83" s="198" t="s">
        <v>14232</v>
      </c>
      <c r="AH83" s="627"/>
      <c r="AI83" s="198" t="s">
        <v>14233</v>
      </c>
      <c r="AP83" s="627"/>
      <c r="AQ83" s="198" t="s">
        <v>14234</v>
      </c>
      <c r="AX83" s="627"/>
      <c r="AZ83" s="3">
        <v>1</v>
      </c>
    </row>
    <row r="84" spans="2:52" ht="21" customHeight="1">
      <c r="B84" s="1333" t="s">
        <v>21</v>
      </c>
      <c r="C84" s="44"/>
      <c r="D84" s="45"/>
      <c r="E84" s="45"/>
      <c r="F84" s="45"/>
      <c r="G84" s="45"/>
      <c r="H84" s="45"/>
      <c r="I84" s="46"/>
      <c r="K84" s="44"/>
      <c r="L84" s="45"/>
      <c r="M84" s="45"/>
      <c r="N84" s="45"/>
      <c r="O84" s="45"/>
      <c r="P84" s="45"/>
      <c r="Q84" s="46"/>
      <c r="S84" s="44"/>
      <c r="T84" s="45"/>
      <c r="U84" s="45"/>
      <c r="V84" s="45"/>
      <c r="W84" s="45"/>
      <c r="X84" s="45"/>
      <c r="Y84" s="46"/>
      <c r="AA84" s="198" t="s">
        <v>14235</v>
      </c>
      <c r="AH84" s="627"/>
      <c r="AI84" s="198" t="s">
        <v>14236</v>
      </c>
      <c r="AP84" s="627"/>
      <c r="AQ84" s="198" t="s">
        <v>14237</v>
      </c>
      <c r="AX84" s="627"/>
      <c r="AZ84" s="3">
        <v>1</v>
      </c>
    </row>
    <row r="85" spans="2:52" ht="21" customHeight="1">
      <c r="B85" s="1333" t="s">
        <v>21</v>
      </c>
      <c r="C85" s="44"/>
      <c r="D85" s="45"/>
      <c r="E85" s="45"/>
      <c r="F85" s="45"/>
      <c r="G85" s="45"/>
      <c r="H85" s="45"/>
      <c r="I85" s="46"/>
      <c r="K85" s="44"/>
      <c r="L85" s="45"/>
      <c r="M85" s="45"/>
      <c r="N85" s="45"/>
      <c r="O85" s="45"/>
      <c r="P85" s="45"/>
      <c r="Q85" s="46"/>
      <c r="S85" s="44"/>
      <c r="T85" s="45"/>
      <c r="U85" s="45"/>
      <c r="V85" s="45"/>
      <c r="W85" s="45"/>
      <c r="X85" s="45"/>
      <c r="Y85" s="46"/>
      <c r="AH85" s="627"/>
      <c r="AP85" s="627"/>
      <c r="AX85" s="627"/>
      <c r="AZ85" s="3">
        <v>1</v>
      </c>
    </row>
    <row r="86" spans="2:52" ht="21" customHeight="1">
      <c r="B86" s="1333" t="s">
        <v>21</v>
      </c>
      <c r="C86" s="44"/>
      <c r="D86" s="45"/>
      <c r="E86" s="45"/>
      <c r="F86" s="45"/>
      <c r="G86" s="45"/>
      <c r="H86" s="45"/>
      <c r="I86" s="46"/>
      <c r="K86" s="44"/>
      <c r="L86" s="45"/>
      <c r="M86" s="45"/>
      <c r="N86" s="45"/>
      <c r="O86" s="45"/>
      <c r="P86" s="45"/>
      <c r="Q86" s="46"/>
      <c r="S86" s="44"/>
      <c r="T86" s="45"/>
      <c r="U86" s="45"/>
      <c r="V86" s="45"/>
      <c r="W86" s="45"/>
      <c r="X86" s="45"/>
      <c r="Y86" s="46"/>
      <c r="AH86" s="627"/>
      <c r="AP86" s="627"/>
      <c r="AX86" s="627"/>
      <c r="AZ86" s="3">
        <v>1</v>
      </c>
    </row>
    <row r="87" spans="2:52" ht="21" customHeight="1">
      <c r="B87" s="1333" t="s">
        <v>21</v>
      </c>
      <c r="C87" s="44"/>
      <c r="D87" s="45"/>
      <c r="E87" s="45"/>
      <c r="F87" s="45"/>
      <c r="G87" s="45"/>
      <c r="H87" s="45"/>
      <c r="I87" s="46"/>
      <c r="K87" s="44"/>
      <c r="L87" s="45"/>
      <c r="M87" s="45"/>
      <c r="N87" s="45"/>
      <c r="O87" s="45"/>
      <c r="P87" s="45"/>
      <c r="Q87" s="46"/>
      <c r="S87" s="44"/>
      <c r="T87" s="45"/>
      <c r="U87" s="45"/>
      <c r="V87" s="45"/>
      <c r="W87" s="45"/>
      <c r="X87" s="45"/>
      <c r="Y87" s="46"/>
      <c r="AH87" s="627"/>
      <c r="AP87" s="627"/>
      <c r="AX87" s="627"/>
      <c r="AZ87" s="3">
        <v>1</v>
      </c>
    </row>
    <row r="88" spans="2:52" ht="21" customHeight="1">
      <c r="B88" s="1333" t="s">
        <v>21</v>
      </c>
      <c r="C88" s="44"/>
      <c r="D88" s="45"/>
      <c r="E88" s="45"/>
      <c r="F88" s="45"/>
      <c r="G88" s="45"/>
      <c r="H88" s="45"/>
      <c r="I88" s="46"/>
      <c r="K88" s="44"/>
      <c r="L88" s="45"/>
      <c r="M88" s="45"/>
      <c r="N88" s="45"/>
      <c r="O88" s="45"/>
      <c r="P88" s="45"/>
      <c r="Q88" s="46"/>
      <c r="S88" s="44"/>
      <c r="T88" s="45"/>
      <c r="U88" s="45"/>
      <c r="V88" s="45"/>
      <c r="W88" s="45"/>
      <c r="X88" s="45"/>
      <c r="Y88" s="46"/>
      <c r="AH88" s="627"/>
      <c r="AP88" s="627"/>
      <c r="AX88" s="627"/>
      <c r="AZ88" s="3">
        <v>1</v>
      </c>
    </row>
    <row r="89" spans="2:52" ht="21" customHeight="1">
      <c r="B89" s="1333" t="s">
        <v>21</v>
      </c>
      <c r="C89" s="207"/>
      <c r="D89" s="208" t="s">
        <v>201</v>
      </c>
      <c r="E89" s="45"/>
      <c r="F89" s="45"/>
      <c r="G89" s="45"/>
      <c r="H89" s="45"/>
      <c r="I89" s="46"/>
      <c r="K89" s="207"/>
      <c r="L89" s="208" t="s">
        <v>202</v>
      </c>
      <c r="M89" s="45"/>
      <c r="N89" s="45"/>
      <c r="O89" s="45"/>
      <c r="P89" s="45"/>
      <c r="Q89" s="46"/>
      <c r="S89" s="207"/>
      <c r="T89" s="208" t="s">
        <v>203</v>
      </c>
      <c r="U89" s="45"/>
      <c r="V89" s="45"/>
      <c r="W89" s="45"/>
      <c r="X89" s="45"/>
      <c r="Y89" s="46"/>
      <c r="AH89" s="627"/>
      <c r="AP89" s="627"/>
      <c r="AX89" s="627"/>
      <c r="AZ89" s="3">
        <v>1</v>
      </c>
    </row>
    <row r="90" spans="2:52" ht="21" customHeight="1">
      <c r="B90" s="1333" t="s">
        <v>21</v>
      </c>
      <c r="C90" s="207"/>
      <c r="D90" s="208" t="s">
        <v>204</v>
      </c>
      <c r="E90" s="45"/>
      <c r="F90" s="45"/>
      <c r="G90" s="45"/>
      <c r="H90" s="45"/>
      <c r="I90" s="46"/>
      <c r="K90" s="207"/>
      <c r="L90" s="208" t="s">
        <v>205</v>
      </c>
      <c r="M90" s="45"/>
      <c r="N90" s="45"/>
      <c r="O90" s="45"/>
      <c r="P90" s="45"/>
      <c r="Q90" s="46"/>
      <c r="S90" s="207"/>
      <c r="T90" s="208" t="s">
        <v>206</v>
      </c>
      <c r="U90" s="45"/>
      <c r="V90" s="45"/>
      <c r="W90" s="45"/>
      <c r="X90" s="45"/>
      <c r="Y90" s="46"/>
      <c r="AH90" s="627"/>
      <c r="AP90" s="627"/>
      <c r="AX90" s="627"/>
      <c r="AZ90" s="3">
        <v>1</v>
      </c>
    </row>
    <row r="91" spans="2:52" ht="21" customHeight="1">
      <c r="B91" s="1333" t="s">
        <v>21</v>
      </c>
      <c r="C91" s="222"/>
      <c r="D91" s="223" t="s">
        <v>208</v>
      </c>
      <c r="E91" s="45"/>
      <c r="F91" s="45"/>
      <c r="G91" s="45"/>
      <c r="H91" s="45"/>
      <c r="I91" s="46"/>
      <c r="K91" s="222"/>
      <c r="L91" s="223" t="s">
        <v>209</v>
      </c>
      <c r="M91" s="45"/>
      <c r="N91" s="45"/>
      <c r="O91" s="45"/>
      <c r="P91" s="45"/>
      <c r="Q91" s="46"/>
      <c r="S91" s="222"/>
      <c r="T91" s="223" t="s">
        <v>210</v>
      </c>
      <c r="U91" s="45"/>
      <c r="V91" s="45"/>
      <c r="W91" s="45"/>
      <c r="X91" s="45"/>
      <c r="Y91" s="46"/>
      <c r="AH91" s="627"/>
      <c r="AP91" s="627"/>
      <c r="AX91" s="627"/>
      <c r="AZ91" s="3">
        <v>1</v>
      </c>
    </row>
    <row r="92" spans="2:52" ht="21" customHeight="1">
      <c r="B92" s="1333" t="s">
        <v>21</v>
      </c>
      <c r="C92" s="226"/>
      <c r="D92" s="181" t="s">
        <v>211</v>
      </c>
      <c r="E92" s="45"/>
      <c r="F92" s="45"/>
      <c r="G92" s="45"/>
      <c r="H92" s="45"/>
      <c r="I92" s="46"/>
      <c r="K92" s="226"/>
      <c r="L92" s="181" t="s">
        <v>212</v>
      </c>
      <c r="M92" s="45"/>
      <c r="N92" s="45"/>
      <c r="O92" s="45"/>
      <c r="P92" s="45"/>
      <c r="Q92" s="46"/>
      <c r="S92" s="226"/>
      <c r="T92" s="181" t="s">
        <v>213</v>
      </c>
      <c r="U92" s="45"/>
      <c r="V92" s="45"/>
      <c r="W92" s="45"/>
      <c r="X92" s="45"/>
      <c r="Y92" s="46"/>
      <c r="AH92" s="627"/>
      <c r="AP92" s="627"/>
      <c r="AX92" s="627"/>
      <c r="AZ92" s="3">
        <v>1</v>
      </c>
    </row>
    <row r="93" spans="2:52" ht="21" customHeight="1">
      <c r="B93" s="1333" t="s">
        <v>21</v>
      </c>
      <c r="C93" s="226"/>
      <c r="D93" s="181" t="s">
        <v>215</v>
      </c>
      <c r="E93" s="45"/>
      <c r="F93" s="45"/>
      <c r="G93" s="45"/>
      <c r="H93" s="45"/>
      <c r="I93" s="46"/>
      <c r="K93" s="226"/>
      <c r="L93" s="181" t="s">
        <v>216</v>
      </c>
      <c r="M93" s="45"/>
      <c r="N93" s="45"/>
      <c r="O93" s="45"/>
      <c r="P93" s="45"/>
      <c r="Q93" s="46"/>
      <c r="S93" s="226"/>
      <c r="T93" s="181" t="s">
        <v>217</v>
      </c>
      <c r="U93" s="45"/>
      <c r="V93" s="45"/>
      <c r="W93" s="45"/>
      <c r="X93" s="45"/>
      <c r="Y93" s="46"/>
      <c r="AH93" s="627"/>
      <c r="AP93" s="627"/>
      <c r="AX93" s="627"/>
      <c r="AZ93" s="3">
        <v>1</v>
      </c>
    </row>
    <row r="94" spans="2:52" ht="21" customHeight="1">
      <c r="B94" s="1333" t="s">
        <v>21</v>
      </c>
      <c r="C94" s="226"/>
      <c r="D94" s="181"/>
      <c r="E94" s="45"/>
      <c r="F94" s="45"/>
      <c r="G94" s="45"/>
      <c r="H94" s="45"/>
      <c r="I94" s="46"/>
      <c r="K94" s="226"/>
      <c r="L94" s="181"/>
      <c r="M94" s="45"/>
      <c r="N94" s="45"/>
      <c r="O94" s="45"/>
      <c r="P94" s="45"/>
      <c r="Q94" s="46"/>
      <c r="S94" s="226"/>
      <c r="T94" s="181"/>
      <c r="U94" s="45"/>
      <c r="V94" s="45"/>
      <c r="W94" s="45"/>
      <c r="X94" s="45"/>
      <c r="Y94" s="46"/>
      <c r="AH94" s="627"/>
      <c r="AP94" s="627"/>
      <c r="AX94" s="627"/>
      <c r="AZ94" s="3">
        <v>1</v>
      </c>
    </row>
    <row r="95" spans="2:52" ht="21" customHeight="1">
      <c r="B95" s="1333" t="s">
        <v>21</v>
      </c>
      <c r="C95" s="234"/>
      <c r="D95" s="235" t="s">
        <v>221</v>
      </c>
      <c r="E95" s="45"/>
      <c r="F95" s="45"/>
      <c r="G95" s="45"/>
      <c r="H95" s="45"/>
      <c r="I95" s="46"/>
      <c r="K95" s="234"/>
      <c r="L95" s="235" t="s">
        <v>221</v>
      </c>
      <c r="M95" s="45"/>
      <c r="N95" s="45"/>
      <c r="O95" s="45"/>
      <c r="P95" s="45"/>
      <c r="Q95" s="46"/>
      <c r="S95" s="234"/>
      <c r="T95" s="5458" t="s">
        <v>223</v>
      </c>
      <c r="U95" s="45"/>
      <c r="V95" s="45"/>
      <c r="W95" s="45"/>
      <c r="X95" s="45"/>
      <c r="Y95" s="46"/>
      <c r="AH95"/>
      <c r="AP95"/>
      <c r="AX95" s="627"/>
      <c r="AZ95" s="3">
        <v>1</v>
      </c>
    </row>
    <row r="96" spans="2:52" ht="21" customHeight="1">
      <c r="B96" s="1333" t="s">
        <v>21</v>
      </c>
      <c r="C96" s="226"/>
      <c r="D96" s="181"/>
      <c r="E96" s="45"/>
      <c r="F96" s="45"/>
      <c r="G96" s="45"/>
      <c r="H96" s="45"/>
      <c r="I96" s="46"/>
      <c r="K96" s="226"/>
      <c r="L96" s="181"/>
      <c r="M96" s="45"/>
      <c r="N96" s="45"/>
      <c r="O96" s="45"/>
      <c r="P96" s="45"/>
      <c r="Q96" s="46"/>
      <c r="S96" s="226"/>
      <c r="T96" s="181"/>
      <c r="U96" s="45"/>
      <c r="V96" s="45"/>
      <c r="W96" s="45"/>
      <c r="X96" s="45"/>
      <c r="Y96" s="46"/>
      <c r="AH96"/>
      <c r="AP96"/>
      <c r="AX96" s="627"/>
      <c r="AZ96" s="3">
        <v>1</v>
      </c>
    </row>
    <row r="97" spans="2:52" ht="21" customHeight="1">
      <c r="B97" s="1333" t="s">
        <v>21</v>
      </c>
      <c r="C97" s="5459" t="s">
        <v>78</v>
      </c>
      <c r="D97" s="238" t="s">
        <v>79</v>
      </c>
      <c r="E97" s="239"/>
      <c r="F97" s="6576" t="s">
        <v>80</v>
      </c>
      <c r="G97" s="6470" t="s">
        <v>81</v>
      </c>
      <c r="H97" s="6578" t="s">
        <v>82</v>
      </c>
      <c r="I97" s="240" t="s">
        <v>83</v>
      </c>
      <c r="K97" s="237" t="s">
        <v>78</v>
      </c>
      <c r="L97" s="238" t="s">
        <v>79</v>
      </c>
      <c r="M97" s="239"/>
      <c r="N97" s="6576" t="s">
        <v>80</v>
      </c>
      <c r="O97" s="6604" t="s">
        <v>81</v>
      </c>
      <c r="P97" s="6605" t="s">
        <v>82</v>
      </c>
      <c r="Q97" s="240" t="s">
        <v>83</v>
      </c>
      <c r="S97" s="5459" t="s">
        <v>78</v>
      </c>
      <c r="T97" s="238" t="s">
        <v>79</v>
      </c>
      <c r="U97" s="239"/>
      <c r="V97" s="6470" t="s">
        <v>227</v>
      </c>
      <c r="W97" s="6470" t="s">
        <v>81</v>
      </c>
      <c r="X97" s="6578" t="s">
        <v>82</v>
      </c>
      <c r="Y97" s="5460" t="s">
        <v>83</v>
      </c>
      <c r="AB97" s="627"/>
      <c r="AC97" s="627"/>
      <c r="AD97" s="627"/>
      <c r="AE97" s="627"/>
      <c r="AF97" s="627"/>
      <c r="AG97" s="627"/>
      <c r="AH97" s="627"/>
      <c r="AI97" s="627"/>
      <c r="AJ97" s="627"/>
      <c r="AK97" s="627"/>
      <c r="AL97" s="627"/>
      <c r="AM97" s="627"/>
      <c r="AN97" s="627"/>
      <c r="AO97" s="627"/>
      <c r="AP97" s="627"/>
      <c r="AQ97" s="627"/>
      <c r="AR97" s="627"/>
      <c r="AS97" s="627"/>
      <c r="AT97" s="627"/>
      <c r="AU97" s="627"/>
      <c r="AV97" s="627"/>
      <c r="AW97" s="627"/>
      <c r="AX97" s="627"/>
      <c r="AZ97" s="3">
        <v>1</v>
      </c>
    </row>
    <row r="98" spans="2:52" ht="21" customHeight="1">
      <c r="B98" s="1333" t="s">
        <v>21</v>
      </c>
      <c r="C98" s="5532" t="s">
        <v>92</v>
      </c>
      <c r="D98" s="84" t="s">
        <v>93</v>
      </c>
      <c r="E98" s="85" t="s">
        <v>94</v>
      </c>
      <c r="F98" s="6577"/>
      <c r="G98" s="6471"/>
      <c r="H98" s="6579"/>
      <c r="I98" s="242" t="s">
        <v>95</v>
      </c>
      <c r="K98" s="241" t="s">
        <v>92</v>
      </c>
      <c r="L98" s="84" t="s">
        <v>93</v>
      </c>
      <c r="M98" s="85" t="s">
        <v>94</v>
      </c>
      <c r="N98" s="6577"/>
      <c r="O98" s="6471"/>
      <c r="P98" s="6606"/>
      <c r="Q98" s="242" t="s">
        <v>95</v>
      </c>
      <c r="S98" s="2314" t="s">
        <v>232</v>
      </c>
      <c r="T98" s="243" t="s">
        <v>233</v>
      </c>
      <c r="U98" s="85" t="s">
        <v>94</v>
      </c>
      <c r="V98" s="6471"/>
      <c r="W98" s="6471"/>
      <c r="X98" s="6579"/>
      <c r="Y98" s="242" t="s">
        <v>95</v>
      </c>
      <c r="AB98" s="627"/>
      <c r="AC98" s="627"/>
      <c r="AD98" s="627"/>
      <c r="AE98" s="627"/>
      <c r="AF98" s="627"/>
      <c r="AG98" s="627"/>
      <c r="AH98" s="627"/>
      <c r="AI98" s="627"/>
      <c r="AJ98" s="627"/>
      <c r="AK98" s="627"/>
      <c r="AL98" s="627"/>
      <c r="AM98" s="627"/>
      <c r="AN98" s="627"/>
      <c r="AO98" s="627"/>
      <c r="AP98" s="627"/>
      <c r="AQ98" s="627"/>
      <c r="AR98" s="627"/>
      <c r="AS98" s="627"/>
      <c r="AT98" s="627"/>
      <c r="AU98" s="627"/>
      <c r="AV98" s="627"/>
      <c r="AW98" s="627"/>
      <c r="AX98" s="627"/>
      <c r="AZ98" s="3">
        <v>1</v>
      </c>
    </row>
    <row r="99" spans="2:52" ht="21" customHeight="1">
      <c r="B99" s="1333" t="s">
        <v>21</v>
      </c>
      <c r="C99" s="244">
        <v>2</v>
      </c>
      <c r="D99" s="90"/>
      <c r="E99" s="91" t="s">
        <v>94</v>
      </c>
      <c r="F99" s="92">
        <v>1</v>
      </c>
      <c r="G99" s="5439" t="s">
        <v>97</v>
      </c>
      <c r="H99" s="94">
        <v>1</v>
      </c>
      <c r="I99" s="245" t="s">
        <v>98</v>
      </c>
      <c r="K99" s="244">
        <v>2</v>
      </c>
      <c r="L99" s="90"/>
      <c r="M99" s="91" t="s">
        <v>94</v>
      </c>
      <c r="N99" s="92">
        <v>1</v>
      </c>
      <c r="O99" s="93" t="s">
        <v>97</v>
      </c>
      <c r="P99" s="94">
        <v>1</v>
      </c>
      <c r="Q99" s="245" t="s">
        <v>98</v>
      </c>
      <c r="S99" s="244">
        <v>2</v>
      </c>
      <c r="T99" s="90"/>
      <c r="U99" s="91" t="s">
        <v>94</v>
      </c>
      <c r="V99" s="92">
        <v>1</v>
      </c>
      <c r="W99" s="5439" t="s">
        <v>97</v>
      </c>
      <c r="X99" s="94">
        <v>1</v>
      </c>
      <c r="Y99" s="245" t="s">
        <v>236</v>
      </c>
      <c r="AA99" s="627"/>
      <c r="AB99" s="627"/>
      <c r="AC99" s="627"/>
      <c r="AD99" s="627"/>
      <c r="AE99" s="627"/>
      <c r="AF99" s="627"/>
      <c r="AG99" s="627"/>
      <c r="AH99" s="627"/>
      <c r="AI99" s="627"/>
      <c r="AJ99" s="627"/>
      <c r="AK99" s="627"/>
      <c r="AL99" s="627"/>
      <c r="AM99" s="627"/>
      <c r="AN99" s="627"/>
      <c r="AO99" s="627"/>
      <c r="AP99" s="627"/>
      <c r="AQ99" s="627"/>
      <c r="AR99" s="627"/>
      <c r="AS99" s="627"/>
      <c r="AT99" s="627"/>
      <c r="AU99" s="627"/>
      <c r="AV99" s="627"/>
      <c r="AW99" s="627"/>
      <c r="AX99" s="627"/>
      <c r="AZ99" s="3">
        <v>1</v>
      </c>
    </row>
    <row r="100" spans="2:52" ht="21" customHeight="1">
      <c r="B100" s="1333" t="s">
        <v>21</v>
      </c>
      <c r="C100" s="244">
        <v>2</v>
      </c>
      <c r="D100" s="90"/>
      <c r="E100" s="91" t="s">
        <v>94</v>
      </c>
      <c r="F100" s="92">
        <v>10</v>
      </c>
      <c r="G100" s="5440" t="s">
        <v>100</v>
      </c>
      <c r="H100" s="94">
        <v>1</v>
      </c>
      <c r="I100" s="245" t="s">
        <v>101</v>
      </c>
      <c r="K100" s="244">
        <v>2</v>
      </c>
      <c r="L100" s="90"/>
      <c r="M100" s="91" t="s">
        <v>94</v>
      </c>
      <c r="N100" s="92">
        <v>10</v>
      </c>
      <c r="O100" s="104" t="s">
        <v>100</v>
      </c>
      <c r="P100" s="94">
        <v>1</v>
      </c>
      <c r="Q100" s="245" t="s">
        <v>101</v>
      </c>
      <c r="S100" s="244">
        <v>2</v>
      </c>
      <c r="T100" s="90"/>
      <c r="U100" s="91" t="s">
        <v>94</v>
      </c>
      <c r="V100" s="92">
        <v>10</v>
      </c>
      <c r="W100" s="5440" t="s">
        <v>100</v>
      </c>
      <c r="X100" s="94">
        <v>1</v>
      </c>
      <c r="Y100" s="245" t="s">
        <v>239</v>
      </c>
      <c r="AA100" s="627"/>
      <c r="AB100" s="627"/>
      <c r="AC100" s="627"/>
      <c r="AD100" s="627"/>
      <c r="AE100" s="627"/>
      <c r="AF100" s="627"/>
      <c r="AG100" s="627"/>
      <c r="AH100" s="627"/>
      <c r="AI100" s="627"/>
      <c r="AJ100" s="627"/>
      <c r="AK100" s="627"/>
      <c r="AL100" s="627"/>
      <c r="AM100" s="627"/>
      <c r="AN100" s="627"/>
      <c r="AO100" s="627"/>
      <c r="AP100" s="627"/>
      <c r="AQ100" s="627"/>
      <c r="AR100" s="627"/>
      <c r="AS100" s="627"/>
      <c r="AT100" s="627"/>
      <c r="AU100" s="627"/>
      <c r="AV100" s="627"/>
      <c r="AW100" s="627"/>
      <c r="AX100" s="627"/>
      <c r="AZ100" s="3">
        <v>1</v>
      </c>
    </row>
    <row r="101" spans="2:52" ht="21" customHeight="1">
      <c r="B101" s="1333" t="s">
        <v>21</v>
      </c>
      <c r="C101" s="44"/>
      <c r="D101" s="45"/>
      <c r="E101" s="45"/>
      <c r="F101" s="45"/>
      <c r="G101" s="45"/>
      <c r="H101" s="45"/>
      <c r="I101" s="46"/>
      <c r="K101" s="44"/>
      <c r="L101" s="45"/>
      <c r="M101" s="45"/>
      <c r="N101" s="45"/>
      <c r="O101" s="45"/>
      <c r="P101" s="45"/>
      <c r="Q101" s="46"/>
      <c r="S101" s="44"/>
      <c r="T101" s="45"/>
      <c r="U101" s="45"/>
      <c r="V101" s="45"/>
      <c r="W101" s="45"/>
      <c r="X101" s="45"/>
      <c r="Y101" s="46"/>
      <c r="AA101" s="627"/>
      <c r="AB101" s="627"/>
      <c r="AC101" s="627"/>
      <c r="AD101" s="627"/>
      <c r="AE101" s="627"/>
      <c r="AF101" s="627"/>
      <c r="AG101" s="627"/>
      <c r="AH101" s="627"/>
      <c r="AI101" s="627"/>
      <c r="AJ101" s="627"/>
      <c r="AK101" s="627"/>
      <c r="AL101" s="627"/>
      <c r="AM101" s="627"/>
      <c r="AN101" s="627"/>
      <c r="AO101" s="627"/>
      <c r="AP101" s="627"/>
      <c r="AQ101" s="627"/>
      <c r="AR101" s="627"/>
      <c r="AS101" s="627"/>
      <c r="AT101" s="627"/>
      <c r="AU101" s="627"/>
      <c r="AV101" s="627"/>
      <c r="AW101" s="627"/>
      <c r="AX101" s="627"/>
      <c r="AZ101" s="3">
        <v>1</v>
      </c>
    </row>
    <row r="102" spans="2:52" ht="21" customHeight="1">
      <c r="B102" s="1333" t="s">
        <v>21</v>
      </c>
      <c r="C102" s="246" t="s">
        <v>49</v>
      </c>
      <c r="D102" s="5533" t="s">
        <v>84</v>
      </c>
      <c r="E102" s="6580" t="s">
        <v>85</v>
      </c>
      <c r="F102" s="6582" t="s">
        <v>84</v>
      </c>
      <c r="G102" s="6584" t="s">
        <v>86</v>
      </c>
      <c r="H102" s="6586" t="s">
        <v>87</v>
      </c>
      <c r="I102" s="247"/>
      <c r="K102" s="246" t="s">
        <v>49</v>
      </c>
      <c r="L102" s="81" t="s">
        <v>84</v>
      </c>
      <c r="M102" s="6607" t="s">
        <v>85</v>
      </c>
      <c r="N102" s="6582" t="s">
        <v>84</v>
      </c>
      <c r="O102" s="6584" t="s">
        <v>86</v>
      </c>
      <c r="P102" s="6609" t="s">
        <v>87</v>
      </c>
      <c r="Q102" s="247"/>
      <c r="S102" s="2315" t="s">
        <v>246</v>
      </c>
      <c r="T102" s="2316" t="s">
        <v>247</v>
      </c>
      <c r="U102" s="6607" t="s">
        <v>248</v>
      </c>
      <c r="V102" s="6582" t="s">
        <v>247</v>
      </c>
      <c r="W102" s="6584" t="s">
        <v>249</v>
      </c>
      <c r="X102" s="6609" t="s">
        <v>250</v>
      </c>
      <c r="Y102" s="247"/>
      <c r="AA102" s="627"/>
      <c r="AB102" s="627"/>
      <c r="AC102" s="627"/>
      <c r="AD102" s="627"/>
      <c r="AE102" s="627"/>
      <c r="AF102" s="627"/>
      <c r="AG102" s="627"/>
      <c r="AH102" s="627"/>
      <c r="AI102" s="627"/>
      <c r="AJ102" s="627"/>
      <c r="AK102" s="627"/>
      <c r="AL102" s="627"/>
      <c r="AM102" s="627"/>
      <c r="AN102" s="627"/>
      <c r="AO102" s="627"/>
      <c r="AP102" s="627"/>
      <c r="AQ102" s="627"/>
      <c r="AR102" s="627"/>
      <c r="AS102" s="627"/>
      <c r="AT102" s="627"/>
      <c r="AU102" s="627"/>
      <c r="AV102" s="627"/>
      <c r="AW102" s="627"/>
      <c r="AX102" s="627"/>
      <c r="AZ102" s="3">
        <v>1</v>
      </c>
    </row>
    <row r="103" spans="2:52" ht="21" customHeight="1">
      <c r="B103" s="1333" t="s">
        <v>21</v>
      </c>
      <c r="C103" s="5461" t="s">
        <v>96</v>
      </c>
      <c r="D103" s="88">
        <v>1</v>
      </c>
      <c r="E103" s="6581"/>
      <c r="F103" s="6583"/>
      <c r="G103" s="6585"/>
      <c r="H103" s="6587"/>
      <c r="I103" s="247"/>
      <c r="K103" s="248" t="s">
        <v>96</v>
      </c>
      <c r="L103" s="88">
        <v>1</v>
      </c>
      <c r="M103" s="6608"/>
      <c r="N103" s="6583"/>
      <c r="O103" s="6585"/>
      <c r="P103" s="6587"/>
      <c r="Q103" s="247"/>
      <c r="S103" s="5461" t="s">
        <v>96</v>
      </c>
      <c r="T103" s="88">
        <v>1</v>
      </c>
      <c r="U103" s="6608"/>
      <c r="V103" s="6583"/>
      <c r="W103" s="6585"/>
      <c r="X103" s="6587"/>
      <c r="Y103" s="247"/>
      <c r="AA103" s="627"/>
      <c r="AB103" s="627"/>
      <c r="AC103" s="627"/>
      <c r="AD103" s="627"/>
      <c r="AE103" s="627"/>
      <c r="AF103" s="627"/>
      <c r="AG103" s="627"/>
      <c r="AH103" s="627"/>
      <c r="AI103" s="627"/>
      <c r="AJ103" s="627"/>
      <c r="AK103" s="627"/>
      <c r="AL103" s="627"/>
      <c r="AM103" s="627"/>
      <c r="AN103" s="627"/>
      <c r="AO103" s="627"/>
      <c r="AP103" s="627"/>
      <c r="AQ103" s="627"/>
      <c r="AR103" s="627"/>
      <c r="AS103" s="627"/>
      <c r="AT103" s="627"/>
      <c r="AU103" s="627"/>
      <c r="AV103" s="627"/>
      <c r="AW103" s="627"/>
      <c r="AX103" s="627"/>
      <c r="AZ103" s="3">
        <v>1</v>
      </c>
    </row>
    <row r="104" spans="2:52" ht="21" customHeight="1">
      <c r="B104" s="1333" t="s">
        <v>21</v>
      </c>
      <c r="C104" s="249">
        <v>58.445353594389253</v>
      </c>
      <c r="D104" s="5462">
        <v>0.58445353594389249</v>
      </c>
      <c r="E104" s="97">
        <v>0.2</v>
      </c>
      <c r="F104" s="5441">
        <v>4</v>
      </c>
      <c r="G104" s="99">
        <v>0.4</v>
      </c>
      <c r="H104" s="250" t="s">
        <v>99</v>
      </c>
      <c r="I104" s="247"/>
      <c r="K104" s="249">
        <v>58.445353594389253</v>
      </c>
      <c r="L104" s="96">
        <v>0.58445353594389249</v>
      </c>
      <c r="M104" s="97">
        <v>0.2</v>
      </c>
      <c r="N104" s="98">
        <v>4</v>
      </c>
      <c r="O104" s="99">
        <v>0.4</v>
      </c>
      <c r="P104" s="250" t="s">
        <v>99</v>
      </c>
      <c r="Q104" s="247"/>
      <c r="S104" s="249">
        <v>58.445353594389253</v>
      </c>
      <c r="T104" s="5462">
        <v>0.58445353594389249</v>
      </c>
      <c r="U104" s="97">
        <v>0.2</v>
      </c>
      <c r="V104" s="5441">
        <v>4</v>
      </c>
      <c r="W104" s="99">
        <v>0.4</v>
      </c>
      <c r="X104" s="250" t="s">
        <v>99</v>
      </c>
      <c r="Y104" s="247"/>
      <c r="AA104" s="627"/>
      <c r="AB104" s="627"/>
      <c r="AC104" s="627"/>
      <c r="AD104" s="627"/>
      <c r="AE104" s="627"/>
      <c r="AF104" s="627"/>
      <c r="AG104" s="627"/>
      <c r="AH104" s="627"/>
      <c r="AI104" s="627"/>
      <c r="AJ104" s="627"/>
      <c r="AK104" s="627"/>
      <c r="AL104" s="627"/>
      <c r="AM104" s="627"/>
      <c r="AN104" s="627"/>
      <c r="AO104" s="627"/>
      <c r="AP104" s="627"/>
      <c r="AQ104" s="627"/>
      <c r="AR104" s="627"/>
      <c r="AS104" s="627"/>
      <c r="AT104" s="627"/>
      <c r="AU104" s="627"/>
      <c r="AV104" s="627"/>
      <c r="AW104" s="627"/>
      <c r="AX104" s="627"/>
      <c r="AZ104" s="3">
        <v>1</v>
      </c>
    </row>
    <row r="105" spans="2:52" ht="21" customHeight="1">
      <c r="B105" s="1333" t="s">
        <v>21</v>
      </c>
      <c r="C105" s="249">
        <v>5.8445353594389253</v>
      </c>
      <c r="D105" s="5534">
        <v>0.58445353594389249</v>
      </c>
      <c r="E105" s="97">
        <v>0.02</v>
      </c>
      <c r="F105" s="106">
        <v>4</v>
      </c>
      <c r="G105" s="99">
        <v>0.04</v>
      </c>
      <c r="H105" s="5535" t="s">
        <v>102</v>
      </c>
      <c r="I105" s="247"/>
      <c r="K105" s="249">
        <v>5.8445353594389253</v>
      </c>
      <c r="L105" s="105">
        <v>0.58445353594389249</v>
      </c>
      <c r="M105" s="97">
        <v>0.02</v>
      </c>
      <c r="N105" s="106">
        <v>4</v>
      </c>
      <c r="O105" s="99">
        <v>0.04</v>
      </c>
      <c r="P105" s="251" t="s">
        <v>102</v>
      </c>
      <c r="Q105" s="247"/>
      <c r="S105" s="249">
        <v>5.8445353594389253</v>
      </c>
      <c r="T105" s="105">
        <v>0.58445353594389249</v>
      </c>
      <c r="U105" s="97">
        <v>0.02</v>
      </c>
      <c r="V105" s="106">
        <v>4</v>
      </c>
      <c r="W105" s="99">
        <v>0.04</v>
      </c>
      <c r="X105" s="251" t="s">
        <v>102</v>
      </c>
      <c r="Y105" s="247"/>
      <c r="AA105" s="627"/>
      <c r="AB105" s="627"/>
      <c r="AC105" s="627"/>
      <c r="AD105" s="627"/>
      <c r="AE105" s="627"/>
      <c r="AF105" s="627"/>
      <c r="AG105" s="627"/>
      <c r="AH105" s="627"/>
      <c r="AI105" s="627"/>
      <c r="AJ105" s="627"/>
      <c r="AK105" s="627"/>
      <c r="AL105" s="627"/>
      <c r="AM105" s="627"/>
      <c r="AN105" s="627"/>
      <c r="AO105" s="627"/>
      <c r="AP105" s="627"/>
      <c r="AQ105" s="627"/>
      <c r="AR105" s="627"/>
      <c r="AS105" s="627"/>
      <c r="AT105" s="627"/>
      <c r="AU105" s="627"/>
      <c r="AV105" s="627"/>
      <c r="AW105" s="627"/>
      <c r="AX105" s="627"/>
      <c r="AZ105" s="3">
        <v>1</v>
      </c>
    </row>
    <row r="106" spans="2:52" ht="21" customHeight="1">
      <c r="B106" s="1333" t="s">
        <v>21</v>
      </c>
      <c r="C106" s="249"/>
      <c r="D106" s="1326"/>
      <c r="E106" s="97"/>
      <c r="F106" s="1327"/>
      <c r="G106" s="99"/>
      <c r="H106" s="1328"/>
      <c r="I106" s="247"/>
      <c r="K106" s="249"/>
      <c r="L106" s="1326"/>
      <c r="M106" s="97"/>
      <c r="N106" s="1327"/>
      <c r="O106" s="99"/>
      <c r="P106" s="1328"/>
      <c r="Q106" s="247"/>
      <c r="S106" s="252"/>
      <c r="T106" s="253"/>
      <c r="U106" s="254" t="s">
        <v>256</v>
      </c>
      <c r="V106" s="255"/>
      <c r="W106" s="256"/>
      <c r="X106" s="253"/>
      <c r="Y106" s="247"/>
      <c r="AA106" s="627"/>
      <c r="AB106" s="627"/>
      <c r="AC106" s="627"/>
      <c r="AD106" s="627"/>
      <c r="AE106" s="627"/>
      <c r="AF106" s="627"/>
      <c r="AG106" s="627"/>
      <c r="AH106" s="627"/>
      <c r="AI106" s="627"/>
      <c r="AJ106" s="627"/>
      <c r="AK106" s="627"/>
      <c r="AL106" s="627"/>
      <c r="AM106" s="627"/>
      <c r="AN106" s="627"/>
      <c r="AO106" s="627"/>
      <c r="AP106" s="627"/>
      <c r="AQ106" s="627"/>
      <c r="AR106" s="627"/>
      <c r="AS106" s="627"/>
      <c r="AT106" s="627"/>
      <c r="AU106" s="627"/>
      <c r="AV106" s="627"/>
      <c r="AW106" s="627"/>
      <c r="AX106" s="627"/>
      <c r="AZ106" s="3">
        <v>1</v>
      </c>
    </row>
    <row r="107" spans="2:52" ht="21" customHeight="1">
      <c r="B107" s="1333" t="s">
        <v>21</v>
      </c>
      <c r="C107" s="252"/>
      <c r="D107" s="253"/>
      <c r="E107" s="254" t="s">
        <v>255</v>
      </c>
      <c r="F107" s="255"/>
      <c r="G107" s="256"/>
      <c r="H107" s="253"/>
      <c r="I107" s="247"/>
      <c r="K107" s="252"/>
      <c r="L107" s="253"/>
      <c r="M107" s="254" t="s">
        <v>255</v>
      </c>
      <c r="N107" s="255"/>
      <c r="O107" s="256"/>
      <c r="P107" s="253"/>
      <c r="Q107" s="247"/>
      <c r="S107" s="252"/>
      <c r="T107" s="253"/>
      <c r="U107" s="257" t="s">
        <v>8942</v>
      </c>
      <c r="V107" s="255"/>
      <c r="W107" s="256"/>
      <c r="X107" s="253"/>
      <c r="Y107" s="247"/>
      <c r="AA107" s="627"/>
      <c r="AB107" s="627"/>
      <c r="AC107" s="627"/>
      <c r="AD107" s="627"/>
      <c r="AE107" s="627"/>
      <c r="AF107" s="627"/>
      <c r="AG107" s="627"/>
      <c r="AH107" s="627"/>
      <c r="AI107" s="627"/>
      <c r="AJ107" s="627"/>
      <c r="AK107" s="627"/>
      <c r="AL107" s="627"/>
      <c r="AM107" s="627"/>
      <c r="AN107" s="627"/>
      <c r="AO107" s="627"/>
      <c r="AP107" s="627"/>
      <c r="AQ107" s="627"/>
      <c r="AR107" s="627"/>
      <c r="AS107" s="627"/>
      <c r="AT107" s="627"/>
      <c r="AU107" s="627"/>
      <c r="AV107" s="627"/>
      <c r="AW107" s="627"/>
      <c r="AX107" s="627"/>
      <c r="AZ107" s="3">
        <v>1</v>
      </c>
    </row>
    <row r="108" spans="2:52" ht="21" customHeight="1">
      <c r="B108" s="1333" t="s">
        <v>21</v>
      </c>
      <c r="C108" s="252"/>
      <c r="D108" s="253"/>
      <c r="E108" s="257" t="s">
        <v>8942</v>
      </c>
      <c r="F108" s="255"/>
      <c r="G108" s="256"/>
      <c r="H108" s="253"/>
      <c r="I108" s="247"/>
      <c r="K108" s="252"/>
      <c r="L108" s="253"/>
      <c r="M108" s="257" t="s">
        <v>8942</v>
      </c>
      <c r="N108" s="255"/>
      <c r="O108" s="256"/>
      <c r="P108" s="253"/>
      <c r="Q108" s="247"/>
      <c r="S108" s="252"/>
      <c r="T108" s="253"/>
      <c r="U108" s="259"/>
      <c r="V108" s="255"/>
      <c r="W108" s="256"/>
      <c r="X108" s="253"/>
      <c r="Y108" s="247"/>
      <c r="AA108" s="627"/>
      <c r="AB108" s="627"/>
      <c r="AC108" s="627"/>
      <c r="AD108" s="627"/>
      <c r="AE108" s="627"/>
      <c r="AF108" s="627"/>
      <c r="AG108" s="627"/>
      <c r="AH108" s="627"/>
      <c r="AI108" s="627"/>
      <c r="AJ108" s="627"/>
      <c r="AK108" s="627"/>
      <c r="AL108" s="627"/>
      <c r="AM108" s="627"/>
      <c r="AN108" s="627"/>
      <c r="AO108" s="627"/>
      <c r="AP108" s="627"/>
      <c r="AQ108" s="627"/>
      <c r="AR108" s="627"/>
      <c r="AS108" s="627"/>
      <c r="AT108" s="627"/>
      <c r="AU108" s="627"/>
      <c r="AV108" s="627"/>
      <c r="AW108" s="627"/>
      <c r="AX108" s="627"/>
      <c r="AZ108" s="3">
        <v>1</v>
      </c>
    </row>
    <row r="109" spans="2:52" ht="21" customHeight="1">
      <c r="B109" s="1333" t="s">
        <v>21</v>
      </c>
      <c r="C109" s="252"/>
      <c r="D109" s="253"/>
      <c r="E109" s="259"/>
      <c r="F109" s="255"/>
      <c r="G109" s="256"/>
      <c r="H109" s="260" t="s">
        <v>87</v>
      </c>
      <c r="I109" s="247"/>
      <c r="K109" s="252"/>
      <c r="L109" s="253"/>
      <c r="M109" s="259"/>
      <c r="N109" s="255"/>
      <c r="O109" s="256"/>
      <c r="P109" s="260" t="s">
        <v>87</v>
      </c>
      <c r="Q109" s="247"/>
      <c r="S109" s="252"/>
      <c r="T109" s="253"/>
      <c r="U109" s="259"/>
      <c r="V109" s="255"/>
      <c r="W109" s="256"/>
      <c r="X109" s="260" t="s">
        <v>250</v>
      </c>
      <c r="Y109" s="247"/>
      <c r="AA109" s="627"/>
      <c r="AB109" s="627"/>
      <c r="AC109" s="627"/>
      <c r="AD109" s="627"/>
      <c r="AE109" s="627"/>
      <c r="AF109" s="627"/>
      <c r="AG109" s="627"/>
      <c r="AH109" s="627"/>
      <c r="AI109" s="627"/>
      <c r="AJ109" s="627"/>
      <c r="AK109" s="627"/>
      <c r="AL109" s="627"/>
      <c r="AM109" s="627"/>
      <c r="AN109" s="627"/>
      <c r="AO109" s="627"/>
      <c r="AP109" s="627"/>
      <c r="AQ109" s="627"/>
      <c r="AR109" s="627"/>
      <c r="AS109" s="627"/>
      <c r="AT109" s="627"/>
      <c r="AU109" s="627"/>
      <c r="AV109" s="627"/>
      <c r="AW109" s="627"/>
      <c r="AX109" s="627"/>
      <c r="AZ109" s="3">
        <v>1</v>
      </c>
    </row>
    <row r="110" spans="2:52" ht="21" customHeight="1">
      <c r="B110" s="1333" t="s">
        <v>21</v>
      </c>
      <c r="C110" s="252"/>
      <c r="D110" s="253"/>
      <c r="E110" s="259"/>
      <c r="F110" s="255"/>
      <c r="G110" s="6478" t="s">
        <v>8943</v>
      </c>
      <c r="H110" s="6478"/>
      <c r="I110" s="6479"/>
      <c r="K110" s="252"/>
      <c r="L110" s="253"/>
      <c r="M110" s="259"/>
      <c r="N110" s="255"/>
      <c r="O110" s="6478" t="s">
        <v>8943</v>
      </c>
      <c r="P110" s="6478"/>
      <c r="Q110" s="6479"/>
      <c r="S110" s="252"/>
      <c r="T110" s="253"/>
      <c r="U110" s="259"/>
      <c r="V110" s="255"/>
      <c r="W110" s="6478" t="s">
        <v>8943</v>
      </c>
      <c r="X110" s="6478"/>
      <c r="Y110" s="6479"/>
      <c r="AA110" s="627"/>
      <c r="AB110" s="627"/>
      <c r="AC110" s="627"/>
      <c r="AD110" s="627"/>
      <c r="AE110" s="627"/>
      <c r="AF110" s="627"/>
      <c r="AG110" s="627"/>
      <c r="AH110" s="627"/>
      <c r="AI110" s="627"/>
      <c r="AJ110" s="627"/>
      <c r="AK110" s="627"/>
      <c r="AL110" s="627"/>
      <c r="AM110" s="627"/>
      <c r="AN110" s="627"/>
      <c r="AO110" s="627"/>
      <c r="AP110" s="627"/>
      <c r="AQ110" s="627"/>
      <c r="AR110" s="627"/>
      <c r="AS110" s="627"/>
      <c r="AT110" s="627"/>
      <c r="AU110" s="627"/>
      <c r="AV110" s="627"/>
      <c r="AW110" s="627"/>
      <c r="AX110" s="627"/>
      <c r="AZ110" s="3">
        <v>1</v>
      </c>
    </row>
    <row r="111" spans="2:52" ht="21" customHeight="1">
      <c r="B111" s="1333" t="s">
        <v>21</v>
      </c>
      <c r="C111" s="252"/>
      <c r="D111" s="253"/>
      <c r="E111" s="259"/>
      <c r="F111" s="255"/>
      <c r="G111" s="6478"/>
      <c r="H111" s="6478"/>
      <c r="I111" s="6479"/>
      <c r="K111" s="252"/>
      <c r="L111" s="253"/>
      <c r="M111" s="259"/>
      <c r="N111" s="255"/>
      <c r="O111" s="6478"/>
      <c r="P111" s="6478"/>
      <c r="Q111" s="6479"/>
      <c r="S111" s="252"/>
      <c r="T111" s="253"/>
      <c r="U111" s="259"/>
      <c r="V111" s="255"/>
      <c r="W111" s="6478"/>
      <c r="X111" s="6478"/>
      <c r="Y111" s="6479"/>
      <c r="AA111" s="627"/>
      <c r="AB111" s="627"/>
      <c r="AC111" s="627"/>
      <c r="AD111" s="627"/>
      <c r="AE111" s="627"/>
      <c r="AF111" s="627"/>
      <c r="AG111" s="627"/>
      <c r="AH111" s="627"/>
      <c r="AI111" s="627"/>
      <c r="AJ111" s="627"/>
      <c r="AK111" s="627"/>
      <c r="AL111" s="627"/>
      <c r="AM111" s="627"/>
      <c r="AN111" s="627"/>
      <c r="AO111" s="627"/>
      <c r="AP111" s="627"/>
      <c r="AQ111" s="627"/>
      <c r="AR111" s="627"/>
      <c r="AS111" s="627"/>
      <c r="AT111" s="627"/>
      <c r="AU111" s="627"/>
      <c r="AV111" s="627"/>
      <c r="AW111" s="627"/>
      <c r="AX111" s="627"/>
      <c r="AZ111" s="3">
        <v>1</v>
      </c>
    </row>
    <row r="112" spans="2:52" ht="21" customHeight="1">
      <c r="B112" s="1333" t="s">
        <v>21</v>
      </c>
      <c r="C112" s="252"/>
      <c r="D112" s="235"/>
      <c r="E112" s="259"/>
      <c r="F112" s="255"/>
      <c r="G112" s="6478"/>
      <c r="H112" s="6478"/>
      <c r="I112" s="6479"/>
      <c r="K112" s="252"/>
      <c r="L112" s="235"/>
      <c r="M112" s="259"/>
      <c r="N112" s="255"/>
      <c r="O112" s="6478"/>
      <c r="P112" s="6478"/>
      <c r="Q112" s="6479"/>
      <c r="S112" s="252"/>
      <c r="T112" s="235"/>
      <c r="U112" s="259"/>
      <c r="V112" s="255"/>
      <c r="W112" s="6478"/>
      <c r="X112" s="6478"/>
      <c r="Y112" s="6479"/>
      <c r="AA112" s="627"/>
      <c r="AB112" s="627"/>
      <c r="AC112" s="627"/>
      <c r="AD112" s="627"/>
      <c r="AE112" s="627"/>
      <c r="AF112" s="627"/>
      <c r="AG112" s="627"/>
      <c r="AH112" s="627"/>
      <c r="AI112" s="627"/>
      <c r="AJ112" s="627"/>
      <c r="AK112" s="627"/>
      <c r="AL112" s="627"/>
      <c r="AM112" s="627"/>
      <c r="AN112" s="627"/>
      <c r="AO112" s="627"/>
      <c r="AP112" s="627"/>
      <c r="AQ112" s="627"/>
      <c r="AR112" s="627"/>
      <c r="AS112" s="627"/>
      <c r="AT112" s="627"/>
      <c r="AU112" s="627"/>
      <c r="AV112" s="627"/>
      <c r="AW112" s="627"/>
      <c r="AX112" s="627"/>
      <c r="AZ112" s="3">
        <v>1</v>
      </c>
    </row>
    <row r="113" spans="2:52" ht="21" customHeight="1">
      <c r="B113" s="1333" t="s">
        <v>21</v>
      </c>
      <c r="C113" s="264"/>
      <c r="D113" s="265" t="s">
        <v>94</v>
      </c>
      <c r="E113" s="266" t="s">
        <v>259</v>
      </c>
      <c r="F113" s="267"/>
      <c r="G113" s="45"/>
      <c r="H113" s="45"/>
      <c r="I113" s="46"/>
      <c r="K113" s="264"/>
      <c r="L113" s="265" t="s">
        <v>94</v>
      </c>
      <c r="M113" s="267"/>
      <c r="N113" s="45"/>
      <c r="O113" s="45"/>
      <c r="P113" s="45"/>
      <c r="Q113" s="46"/>
      <c r="S113" s="264"/>
      <c r="T113" s="265" t="s">
        <v>94</v>
      </c>
      <c r="U113" s="266" t="s">
        <v>259</v>
      </c>
      <c r="V113" s="267"/>
      <c r="W113" s="45"/>
      <c r="X113" s="45"/>
      <c r="Y113" s="46"/>
      <c r="AA113" s="627"/>
      <c r="AB113" s="627"/>
      <c r="AC113" s="627"/>
      <c r="AD113" s="627"/>
      <c r="AE113" s="627"/>
      <c r="AF113" s="627"/>
      <c r="AG113" s="627"/>
      <c r="AH113" s="627"/>
      <c r="AI113" s="627"/>
      <c r="AJ113" s="627"/>
      <c r="AK113" s="627"/>
      <c r="AL113" s="627"/>
      <c r="AM113" s="627"/>
      <c r="AN113" s="627"/>
      <c r="AO113" s="627"/>
      <c r="AP113" s="627"/>
      <c r="AQ113" s="627"/>
      <c r="AR113" s="627"/>
      <c r="AS113" s="627"/>
      <c r="AT113" s="627"/>
      <c r="AU113" s="627"/>
      <c r="AV113" s="627"/>
      <c r="AW113" s="627"/>
      <c r="AX113" s="627"/>
      <c r="AZ113" s="3">
        <v>1</v>
      </c>
    </row>
    <row r="114" spans="2:52" ht="21" customHeight="1">
      <c r="B114" s="1333" t="s">
        <v>21</v>
      </c>
      <c r="C114" s="264"/>
      <c r="D114" s="223" t="s">
        <v>261</v>
      </c>
      <c r="E114" s="223"/>
      <c r="F114" s="268"/>
      <c r="G114" s="45"/>
      <c r="H114" s="45"/>
      <c r="I114" s="46"/>
      <c r="K114" s="264"/>
      <c r="L114" s="223" t="s">
        <v>262</v>
      </c>
      <c r="M114" s="268"/>
      <c r="N114" s="45"/>
      <c r="O114" s="45"/>
      <c r="P114" s="45"/>
      <c r="Q114" s="46"/>
      <c r="S114" s="264"/>
      <c r="T114" s="223" t="s">
        <v>263</v>
      </c>
      <c r="U114" s="223"/>
      <c r="V114" s="268"/>
      <c r="W114" s="45"/>
      <c r="X114" s="45"/>
      <c r="Y114" s="46"/>
      <c r="AA114" s="627"/>
      <c r="AB114" s="627"/>
      <c r="AC114" s="627"/>
      <c r="AD114" s="627"/>
      <c r="AE114" s="627"/>
      <c r="AF114" s="627"/>
      <c r="AG114" s="627"/>
      <c r="AH114" s="627"/>
      <c r="AI114" s="627"/>
      <c r="AJ114" s="627"/>
      <c r="AK114" s="627"/>
      <c r="AL114" s="627"/>
      <c r="AM114" s="627"/>
      <c r="AN114" s="627"/>
      <c r="AO114" s="627"/>
      <c r="AP114" s="627"/>
      <c r="AQ114" s="627"/>
      <c r="AR114" s="627"/>
      <c r="AS114" s="627"/>
      <c r="AT114" s="627"/>
      <c r="AU114" s="627"/>
      <c r="AV114" s="627"/>
      <c r="AW114" s="627"/>
      <c r="AX114" s="627"/>
      <c r="AZ114" s="3">
        <v>1</v>
      </c>
    </row>
    <row r="115" spans="2:52" ht="21" customHeight="1">
      <c r="B115" s="1333" t="s">
        <v>21</v>
      </c>
      <c r="C115" s="252"/>
      <c r="D115" s="235"/>
      <c r="E115" s="259"/>
      <c r="F115" s="255"/>
      <c r="G115" s="270"/>
      <c r="H115" s="270"/>
      <c r="I115" s="271"/>
      <c r="K115" s="252"/>
      <c r="L115" s="235"/>
      <c r="M115" s="259"/>
      <c r="N115" s="255"/>
      <c r="O115" s="270"/>
      <c r="P115" s="270"/>
      <c r="Q115" s="271"/>
      <c r="S115" s="252"/>
      <c r="T115" s="235"/>
      <c r="U115" s="259"/>
      <c r="V115" s="255"/>
      <c r="W115" s="270"/>
      <c r="X115" s="270"/>
      <c r="Y115" s="271"/>
      <c r="AA115" s="627"/>
      <c r="AB115" s="627"/>
      <c r="AC115" s="627"/>
      <c r="AD115" s="627"/>
      <c r="AE115" s="627"/>
      <c r="AF115" s="627"/>
      <c r="AG115" s="627"/>
      <c r="AH115" s="627"/>
      <c r="AI115" s="627"/>
      <c r="AJ115" s="627"/>
      <c r="AK115" s="627"/>
      <c r="AL115" s="627"/>
      <c r="AM115" s="627"/>
      <c r="AN115" s="627"/>
      <c r="AO115" s="627"/>
      <c r="AP115" s="627"/>
      <c r="AQ115" s="627"/>
      <c r="AR115" s="627"/>
      <c r="AS115" s="627"/>
      <c r="AT115" s="627"/>
      <c r="AU115" s="627"/>
      <c r="AV115" s="627"/>
      <c r="AW115" s="627"/>
      <c r="AX115" s="627"/>
      <c r="AZ115" s="3">
        <v>1</v>
      </c>
    </row>
    <row r="116" spans="2:52" ht="21" customHeight="1">
      <c r="B116" s="1333" t="s">
        <v>21</v>
      </c>
      <c r="C116" s="252"/>
      <c r="D116" s="235" t="s">
        <v>266</v>
      </c>
      <c r="E116" s="259"/>
      <c r="F116" s="255"/>
      <c r="G116" s="270"/>
      <c r="H116" s="270"/>
      <c r="I116" s="271"/>
      <c r="K116" s="252"/>
      <c r="L116" s="235" t="s">
        <v>267</v>
      </c>
      <c r="M116" s="259"/>
      <c r="N116" s="255"/>
      <c r="O116" s="270"/>
      <c r="P116" s="270"/>
      <c r="Q116" s="271"/>
      <c r="S116" s="252"/>
      <c r="T116" s="235" t="s">
        <v>268</v>
      </c>
      <c r="U116" s="259"/>
      <c r="V116" s="255"/>
      <c r="W116" s="270"/>
      <c r="X116" s="270"/>
      <c r="Y116" s="271"/>
      <c r="AA116" s="627"/>
      <c r="AB116" s="627"/>
      <c r="AC116" s="627"/>
      <c r="AD116" s="627"/>
      <c r="AE116" s="627"/>
      <c r="AF116" s="627"/>
      <c r="AG116" s="627"/>
      <c r="AH116" s="627"/>
      <c r="AI116" s="627"/>
      <c r="AJ116" s="627"/>
      <c r="AK116" s="627"/>
      <c r="AL116" s="627"/>
      <c r="AM116" s="627"/>
      <c r="AN116" s="627"/>
      <c r="AO116" s="627"/>
      <c r="AP116" s="627"/>
      <c r="AQ116" s="627"/>
      <c r="AR116" s="627"/>
      <c r="AS116" s="627"/>
      <c r="AT116" s="627"/>
      <c r="AU116" s="627"/>
      <c r="AV116" s="627"/>
      <c r="AW116" s="627"/>
      <c r="AX116" s="627"/>
      <c r="AZ116" s="3">
        <v>1</v>
      </c>
    </row>
    <row r="117" spans="2:52" ht="21" customHeight="1" thickBot="1">
      <c r="B117" s="1333" t="s">
        <v>21</v>
      </c>
      <c r="C117" s="234"/>
      <c r="D117" s="45"/>
      <c r="E117" s="45"/>
      <c r="F117" s="45"/>
      <c r="G117" s="45"/>
      <c r="H117" s="45"/>
      <c r="I117" s="46"/>
      <c r="K117" s="234"/>
      <c r="L117" s="45"/>
      <c r="M117" s="45"/>
      <c r="N117" s="45"/>
      <c r="O117" s="45"/>
      <c r="P117" s="45"/>
      <c r="Q117" s="46"/>
      <c r="S117" s="234"/>
      <c r="T117" s="45"/>
      <c r="U117" s="45"/>
      <c r="V117" s="45"/>
      <c r="W117" s="45"/>
      <c r="X117" s="45"/>
      <c r="Y117" s="46"/>
      <c r="AA117" s="627"/>
      <c r="AB117" s="627"/>
      <c r="AC117" s="627"/>
      <c r="AD117" s="627"/>
      <c r="AE117" s="627"/>
      <c r="AF117" s="627"/>
      <c r="AG117" s="627"/>
      <c r="AH117" s="627"/>
      <c r="AI117" s="627"/>
      <c r="AJ117" s="627"/>
      <c r="AK117" s="627"/>
      <c r="AL117" s="627"/>
      <c r="AM117" s="627"/>
      <c r="AN117" s="627"/>
      <c r="AO117" s="627"/>
      <c r="AP117" s="627"/>
      <c r="AQ117" s="627"/>
      <c r="AR117" s="627"/>
      <c r="AS117" s="627"/>
      <c r="AT117" s="627"/>
      <c r="AU117" s="627"/>
      <c r="AV117" s="627"/>
      <c r="AW117" s="627"/>
      <c r="AX117" s="627"/>
      <c r="AZ117" s="3">
        <v>1</v>
      </c>
    </row>
    <row r="118" spans="2:52" ht="21" customHeight="1" thickTop="1">
      <c r="B118" s="1333" t="s">
        <v>21</v>
      </c>
      <c r="C118" s="272" t="s">
        <v>83</v>
      </c>
      <c r="D118" s="6480" t="s">
        <v>269</v>
      </c>
      <c r="E118" s="6481"/>
      <c r="F118" s="6481"/>
      <c r="G118" s="6484" t="s">
        <v>270</v>
      </c>
      <c r="H118" s="6486" t="s">
        <v>271</v>
      </c>
      <c r="I118" s="6487"/>
      <c r="K118" s="272" t="s">
        <v>83</v>
      </c>
      <c r="L118" s="6480" t="s">
        <v>272</v>
      </c>
      <c r="M118" s="6481"/>
      <c r="N118" s="6481"/>
      <c r="O118" s="6611" t="s">
        <v>273</v>
      </c>
      <c r="P118" s="6486" t="s">
        <v>274</v>
      </c>
      <c r="Q118" s="6487"/>
      <c r="S118" s="272" t="s">
        <v>83</v>
      </c>
      <c r="T118" s="6480" t="s">
        <v>275</v>
      </c>
      <c r="U118" s="6481"/>
      <c r="V118" s="6481"/>
      <c r="W118" s="6611" t="s">
        <v>276</v>
      </c>
      <c r="X118" s="6486" t="s">
        <v>277</v>
      </c>
      <c r="Y118" s="6487"/>
      <c r="AA118" s="627"/>
      <c r="AB118" s="627"/>
      <c r="AC118" s="627"/>
      <c r="AD118" s="627"/>
      <c r="AE118" s="627"/>
      <c r="AF118" s="627"/>
      <c r="AG118" s="627"/>
      <c r="AH118" s="627"/>
      <c r="AI118" s="627"/>
      <c r="AJ118" s="627"/>
      <c r="AK118" s="627"/>
      <c r="AL118" s="627"/>
      <c r="AM118" s="627"/>
      <c r="AN118" s="627"/>
      <c r="AO118" s="627"/>
      <c r="AP118" s="627"/>
      <c r="AQ118" s="627"/>
      <c r="AR118" s="627"/>
      <c r="AS118" s="627"/>
      <c r="AT118" s="627"/>
      <c r="AU118" s="627"/>
      <c r="AV118" s="627"/>
      <c r="AW118" s="627"/>
      <c r="AX118" s="627"/>
      <c r="AZ118" s="3">
        <v>1</v>
      </c>
    </row>
    <row r="119" spans="2:52" ht="21" customHeight="1">
      <c r="B119" s="1333" t="s">
        <v>21</v>
      </c>
      <c r="C119" s="5463" t="s">
        <v>95</v>
      </c>
      <c r="D119" s="6482"/>
      <c r="E119" s="6483"/>
      <c r="F119" s="6483"/>
      <c r="G119" s="6485"/>
      <c r="H119" s="6488"/>
      <c r="I119" s="6489"/>
      <c r="K119" s="273" t="s">
        <v>231</v>
      </c>
      <c r="L119" s="6610"/>
      <c r="M119" s="6483"/>
      <c r="N119" s="6483"/>
      <c r="O119" s="6485"/>
      <c r="P119" s="6488"/>
      <c r="Q119" s="6489"/>
      <c r="S119" s="5463" t="s">
        <v>279</v>
      </c>
      <c r="T119" s="6610"/>
      <c r="U119" s="6483"/>
      <c r="V119" s="6483"/>
      <c r="W119" s="6485"/>
      <c r="X119" s="6488"/>
      <c r="Y119" s="6489"/>
      <c r="AA119" s="627"/>
      <c r="AB119" s="627"/>
      <c r="AC119" s="627"/>
      <c r="AD119" s="627"/>
      <c r="AE119" s="627"/>
      <c r="AF119" s="627"/>
      <c r="AG119" s="627"/>
      <c r="AH119" s="627"/>
      <c r="AI119" s="627"/>
      <c r="AJ119" s="627"/>
      <c r="AK119" s="627"/>
      <c r="AL119" s="627"/>
      <c r="AM119" s="627"/>
      <c r="AN119" s="627"/>
      <c r="AO119" s="627"/>
      <c r="AP119" s="627"/>
      <c r="AQ119" s="627"/>
      <c r="AR119" s="627"/>
      <c r="AS119" s="627"/>
      <c r="AT119" s="627"/>
      <c r="AU119" s="627"/>
      <c r="AV119" s="627"/>
      <c r="AW119" s="627"/>
      <c r="AX119" s="627"/>
      <c r="AZ119" s="3">
        <v>1</v>
      </c>
    </row>
    <row r="120" spans="2:52" ht="21" customHeight="1">
      <c r="B120" s="1333" t="s">
        <v>21</v>
      </c>
      <c r="C120" s="274" t="s">
        <v>281</v>
      </c>
      <c r="D120" s="275">
        <v>1.1100000000000001</v>
      </c>
      <c r="E120" s="276" t="s">
        <v>282</v>
      </c>
      <c r="F120" s="277" t="s">
        <v>283</v>
      </c>
      <c r="G120" s="278">
        <v>20</v>
      </c>
      <c r="H120" s="279">
        <v>0.88800000000000012</v>
      </c>
      <c r="I120" s="280" t="s">
        <v>284</v>
      </c>
      <c r="K120" s="274" t="s">
        <v>285</v>
      </c>
      <c r="L120" s="275">
        <v>1.1100000000000001</v>
      </c>
      <c r="M120" s="276" t="s">
        <v>282</v>
      </c>
      <c r="N120" s="277" t="s">
        <v>283</v>
      </c>
      <c r="O120" s="278">
        <v>20</v>
      </c>
      <c r="P120" s="279">
        <v>0.88800000000000012</v>
      </c>
      <c r="Q120" s="280" t="s">
        <v>284</v>
      </c>
      <c r="S120" s="274" t="s">
        <v>286</v>
      </c>
      <c r="T120" s="275">
        <v>1.1100000000000001</v>
      </c>
      <c r="U120" s="276" t="s">
        <v>282</v>
      </c>
      <c r="V120" s="277" t="s">
        <v>283</v>
      </c>
      <c r="W120" s="278">
        <v>20</v>
      </c>
      <c r="X120" s="279">
        <v>0.88800000000000012</v>
      </c>
      <c r="Y120" s="280" t="s">
        <v>284</v>
      </c>
      <c r="AA120" s="627"/>
      <c r="AB120" s="627"/>
      <c r="AC120" s="627"/>
      <c r="AD120" s="627"/>
      <c r="AE120" s="627"/>
      <c r="AF120" s="627"/>
      <c r="AG120" s="627"/>
      <c r="AH120" s="627"/>
      <c r="AI120" s="627"/>
      <c r="AJ120" s="627"/>
      <c r="AK120" s="627"/>
      <c r="AL120" s="627"/>
      <c r="AM120" s="627"/>
      <c r="AN120" s="627"/>
      <c r="AO120" s="627"/>
      <c r="AP120" s="627"/>
      <c r="AQ120" s="627"/>
      <c r="AR120" s="627"/>
      <c r="AS120" s="627"/>
      <c r="AT120" s="627"/>
      <c r="AU120" s="627"/>
      <c r="AV120" s="627"/>
      <c r="AW120" s="627"/>
      <c r="AX120" s="627"/>
      <c r="AZ120" s="3">
        <v>1</v>
      </c>
    </row>
    <row r="121" spans="2:52" ht="21" customHeight="1">
      <c r="B121" s="1333" t="s">
        <v>21</v>
      </c>
      <c r="C121" s="274" t="s">
        <v>288</v>
      </c>
      <c r="D121" s="281">
        <v>0.13319999999999999</v>
      </c>
      <c r="E121" s="276" t="s">
        <v>289</v>
      </c>
      <c r="F121" s="277" t="s">
        <v>290</v>
      </c>
      <c r="G121" s="278">
        <v>10</v>
      </c>
      <c r="H121" s="282">
        <v>0.11987999999999999</v>
      </c>
      <c r="I121" s="283" t="s">
        <v>291</v>
      </c>
      <c r="K121" s="274" t="s">
        <v>292</v>
      </c>
      <c r="L121" s="281">
        <v>0.13319999999999999</v>
      </c>
      <c r="M121" s="276" t="s">
        <v>289</v>
      </c>
      <c r="N121" s="277" t="s">
        <v>290</v>
      </c>
      <c r="O121" s="278">
        <v>10</v>
      </c>
      <c r="P121" s="282">
        <v>0.11987999999999999</v>
      </c>
      <c r="Q121" s="283" t="s">
        <v>291</v>
      </c>
      <c r="S121" s="274" t="s">
        <v>292</v>
      </c>
      <c r="T121" s="281">
        <v>0.13319999999999999</v>
      </c>
      <c r="U121" s="276" t="s">
        <v>289</v>
      </c>
      <c r="V121" s="277" t="s">
        <v>290</v>
      </c>
      <c r="W121" s="278">
        <v>10</v>
      </c>
      <c r="X121" s="282">
        <v>0.11987999999999999</v>
      </c>
      <c r="Y121" s="283" t="s">
        <v>291</v>
      </c>
      <c r="AA121" s="627"/>
      <c r="AB121" s="627"/>
      <c r="AC121" s="627"/>
      <c r="AD121" s="627"/>
      <c r="AE121" s="627"/>
      <c r="AF121" s="627"/>
      <c r="AG121" s="627"/>
      <c r="AH121" s="627"/>
      <c r="AI121" s="627"/>
      <c r="AJ121" s="627"/>
      <c r="AK121" s="627"/>
      <c r="AL121" s="627"/>
      <c r="AM121" s="627"/>
      <c r="AN121" s="627"/>
      <c r="AO121" s="627"/>
      <c r="AP121" s="627"/>
      <c r="AQ121" s="627"/>
      <c r="AR121" s="627"/>
      <c r="AS121" s="627"/>
      <c r="AT121" s="627"/>
      <c r="AU121" s="627"/>
      <c r="AV121" s="627"/>
      <c r="AW121" s="627"/>
      <c r="AX121" s="627"/>
      <c r="AZ121" s="3">
        <v>1</v>
      </c>
    </row>
    <row r="122" spans="2:52" ht="21" customHeight="1">
      <c r="B122" s="1333" t="s">
        <v>21</v>
      </c>
      <c r="C122" s="274" t="s">
        <v>293</v>
      </c>
      <c r="D122" s="281">
        <v>8.3249999999999993</v>
      </c>
      <c r="E122" s="276" t="s">
        <v>294</v>
      </c>
      <c r="F122" s="277" t="s">
        <v>295</v>
      </c>
      <c r="G122" s="278">
        <v>30</v>
      </c>
      <c r="H122" s="282">
        <v>5.8274999999999997</v>
      </c>
      <c r="I122" s="283" t="s">
        <v>296</v>
      </c>
      <c r="K122" s="274" t="s">
        <v>297</v>
      </c>
      <c r="L122" s="281">
        <v>8.3249999999999993</v>
      </c>
      <c r="M122" s="276" t="s">
        <v>294</v>
      </c>
      <c r="N122" s="277" t="s">
        <v>295</v>
      </c>
      <c r="O122" s="278">
        <v>30</v>
      </c>
      <c r="P122" s="282">
        <v>5.8274999999999997</v>
      </c>
      <c r="Q122" s="283" t="s">
        <v>296</v>
      </c>
      <c r="S122" s="274" t="s">
        <v>298</v>
      </c>
      <c r="T122" s="281">
        <v>8.3249999999999993</v>
      </c>
      <c r="U122" s="276" t="s">
        <v>294</v>
      </c>
      <c r="V122" s="277" t="s">
        <v>295</v>
      </c>
      <c r="W122" s="278">
        <v>30</v>
      </c>
      <c r="X122" s="282">
        <v>5.8274999999999997</v>
      </c>
      <c r="Y122" s="283" t="s">
        <v>296</v>
      </c>
      <c r="AA122" s="627"/>
      <c r="AB122" s="627"/>
      <c r="AC122" s="627"/>
      <c r="AD122" s="627"/>
      <c r="AE122" s="627"/>
      <c r="AF122" s="627"/>
      <c r="AG122" s="627"/>
      <c r="AH122" s="627"/>
      <c r="AI122" s="627"/>
      <c r="AJ122" s="627"/>
      <c r="AK122" s="627"/>
      <c r="AL122" s="627"/>
      <c r="AM122" s="627"/>
      <c r="AN122" s="627"/>
      <c r="AO122" s="627"/>
      <c r="AP122" s="627"/>
      <c r="AQ122" s="627"/>
      <c r="AR122" s="627"/>
      <c r="AS122" s="627"/>
      <c r="AT122" s="627"/>
      <c r="AU122" s="627"/>
      <c r="AV122" s="627"/>
      <c r="AW122" s="627"/>
      <c r="AX122" s="627"/>
      <c r="AZ122" s="3">
        <v>1</v>
      </c>
    </row>
    <row r="123" spans="2:52" ht="21" customHeight="1">
      <c r="B123" s="1333" t="s">
        <v>21</v>
      </c>
      <c r="C123" s="284"/>
      <c r="D123" s="285"/>
      <c r="E123" s="286"/>
      <c r="F123" s="277"/>
      <c r="G123" s="287"/>
      <c r="H123" s="288"/>
      <c r="I123" s="289"/>
      <c r="K123" s="284"/>
      <c r="L123" s="285"/>
      <c r="M123" s="286"/>
      <c r="N123" s="277"/>
      <c r="O123" s="287"/>
      <c r="P123" s="288"/>
      <c r="Q123" s="289"/>
      <c r="S123" s="284"/>
      <c r="T123" s="285"/>
      <c r="U123" s="286"/>
      <c r="V123" s="277"/>
      <c r="W123" s="287"/>
      <c r="X123" s="288"/>
      <c r="Y123" s="289"/>
      <c r="AA123" s="627"/>
      <c r="AB123" s="627"/>
      <c r="AC123" s="627"/>
      <c r="AD123" s="627"/>
      <c r="AE123" s="627"/>
      <c r="AF123" s="627"/>
      <c r="AG123" s="627"/>
      <c r="AH123" s="627"/>
      <c r="AI123" s="627"/>
      <c r="AJ123" s="627"/>
      <c r="AK123" s="627"/>
      <c r="AL123" s="627"/>
      <c r="AM123" s="627"/>
      <c r="AN123" s="627"/>
      <c r="AO123" s="627"/>
      <c r="AP123" s="627"/>
      <c r="AQ123" s="627"/>
      <c r="AR123" s="627"/>
      <c r="AS123" s="627"/>
      <c r="AT123" s="627"/>
      <c r="AU123" s="627"/>
      <c r="AV123" s="627"/>
      <c r="AW123" s="627"/>
      <c r="AX123" s="627"/>
      <c r="AZ123" s="3">
        <v>1</v>
      </c>
    </row>
    <row r="124" spans="2:52" ht="21" customHeight="1">
      <c r="B124" s="1333" t="s">
        <v>21</v>
      </c>
      <c r="C124" s="264"/>
      <c r="D124" s="290"/>
      <c r="E124" s="291"/>
      <c r="F124" s="290"/>
      <c r="G124" s="290"/>
      <c r="H124" s="290"/>
      <c r="I124" s="292"/>
      <c r="K124" s="264"/>
      <c r="L124" s="290"/>
      <c r="M124" s="291"/>
      <c r="N124" s="290"/>
      <c r="O124" s="290"/>
      <c r="P124" s="290"/>
      <c r="Q124" s="292"/>
      <c r="S124" s="264"/>
      <c r="T124" s="290"/>
      <c r="U124" s="291"/>
      <c r="V124" s="290"/>
      <c r="W124" s="290"/>
      <c r="X124" s="290"/>
      <c r="Y124" s="292"/>
      <c r="AA124" s="627"/>
      <c r="AB124" s="627"/>
      <c r="AC124" s="627"/>
      <c r="AD124" s="627"/>
      <c r="AE124" s="627"/>
      <c r="AF124" s="627"/>
      <c r="AG124" s="627"/>
      <c r="AH124" s="627"/>
      <c r="AI124" s="627"/>
      <c r="AJ124" s="627"/>
      <c r="AK124" s="627"/>
      <c r="AL124" s="627"/>
      <c r="AM124" s="627"/>
      <c r="AN124" s="627"/>
      <c r="AO124" s="627"/>
      <c r="AP124" s="627"/>
      <c r="AQ124" s="627"/>
      <c r="AR124" s="627"/>
      <c r="AS124" s="627"/>
      <c r="AT124" s="627"/>
      <c r="AU124" s="627"/>
      <c r="AV124" s="627"/>
      <c r="AW124" s="627"/>
      <c r="AX124" s="627"/>
      <c r="AZ124" s="3">
        <v>1</v>
      </c>
    </row>
    <row r="125" spans="2:52" ht="21" customHeight="1">
      <c r="B125" s="1333" t="s">
        <v>21</v>
      </c>
      <c r="C125" s="44"/>
      <c r="D125" s="45"/>
      <c r="E125" s="45"/>
      <c r="F125" s="45"/>
      <c r="G125" s="45"/>
      <c r="H125" s="45"/>
      <c r="I125" s="46"/>
      <c r="K125" s="44"/>
      <c r="L125" s="45"/>
      <c r="M125" s="45"/>
      <c r="N125" s="45"/>
      <c r="O125" s="45"/>
      <c r="P125" s="45"/>
      <c r="Q125" s="46"/>
      <c r="S125" s="44"/>
      <c r="T125" s="45"/>
      <c r="U125" s="45"/>
      <c r="V125" s="45"/>
      <c r="W125" s="45"/>
      <c r="X125" s="45"/>
      <c r="Y125" s="46"/>
      <c r="AA125" s="627"/>
      <c r="AB125" s="627"/>
      <c r="AC125" s="627"/>
      <c r="AD125" s="627"/>
      <c r="AE125" s="627"/>
      <c r="AF125" s="627"/>
      <c r="AG125" s="627"/>
      <c r="AH125" s="627"/>
      <c r="AI125" s="627"/>
      <c r="AJ125" s="627"/>
      <c r="AK125" s="627"/>
      <c r="AL125" s="627"/>
      <c r="AM125" s="627"/>
      <c r="AN125" s="627"/>
      <c r="AO125" s="627"/>
      <c r="AP125" s="627"/>
      <c r="AQ125" s="627"/>
      <c r="AR125" s="627"/>
      <c r="AS125" s="627"/>
      <c r="AT125" s="627"/>
      <c r="AU125" s="627"/>
      <c r="AV125" s="627"/>
      <c r="AW125" s="627"/>
      <c r="AX125" s="627"/>
      <c r="AZ125" s="3">
        <v>1</v>
      </c>
    </row>
    <row r="126" spans="2:52" ht="21" customHeight="1">
      <c r="B126" s="1333" t="s">
        <v>21</v>
      </c>
      <c r="C126" s="226"/>
      <c r="D126" s="293" t="s">
        <v>299</v>
      </c>
      <c r="E126" s="158"/>
      <c r="F126" s="158"/>
      <c r="G126" s="294"/>
      <c r="H126" s="268"/>
      <c r="I126" s="46"/>
      <c r="K126" s="226"/>
      <c r="L126" s="293" t="s">
        <v>300</v>
      </c>
      <c r="M126" s="158"/>
      <c r="N126" s="158"/>
      <c r="O126" s="294"/>
      <c r="P126" s="268"/>
      <c r="Q126" s="46"/>
      <c r="S126" s="226"/>
      <c r="T126" s="293" t="s">
        <v>301</v>
      </c>
      <c r="U126" s="158"/>
      <c r="V126" s="158"/>
      <c r="W126" s="294"/>
      <c r="X126" s="268"/>
      <c r="Y126" s="46"/>
      <c r="AA126" s="627"/>
      <c r="AB126" s="627"/>
      <c r="AC126" s="627"/>
      <c r="AD126" s="627"/>
      <c r="AE126" s="627"/>
      <c r="AF126" s="627"/>
      <c r="AG126" s="627"/>
      <c r="AH126" s="627"/>
      <c r="AI126" s="627"/>
      <c r="AJ126" s="627"/>
      <c r="AK126" s="627"/>
      <c r="AL126" s="627"/>
      <c r="AM126" s="627"/>
      <c r="AN126" s="627"/>
      <c r="AO126" s="627"/>
      <c r="AP126" s="627"/>
      <c r="AQ126" s="627"/>
      <c r="AR126" s="627"/>
      <c r="AS126" s="627"/>
      <c r="AT126" s="627"/>
      <c r="AU126" s="627"/>
      <c r="AV126" s="627"/>
      <c r="AW126" s="627"/>
      <c r="AX126" s="627"/>
      <c r="AZ126" s="3">
        <v>1</v>
      </c>
    </row>
    <row r="127" spans="2:52" ht="21" customHeight="1">
      <c r="B127" s="1333" t="s">
        <v>21</v>
      </c>
      <c r="C127" s="222" t="s">
        <v>208</v>
      </c>
      <c r="D127" s="268"/>
      <c r="E127" s="268"/>
      <c r="F127" s="268"/>
      <c r="G127" s="45"/>
      <c r="H127" s="268"/>
      <c r="I127" s="46"/>
      <c r="K127" s="222" t="s">
        <v>209</v>
      </c>
      <c r="L127" s="268"/>
      <c r="M127" s="268"/>
      <c r="N127" s="268"/>
      <c r="O127" s="45"/>
      <c r="P127" s="268"/>
      <c r="Q127" s="46"/>
      <c r="S127" s="222" t="s">
        <v>302</v>
      </c>
      <c r="T127" s="268"/>
      <c r="U127" s="268"/>
      <c r="V127" s="268"/>
      <c r="W127" s="45"/>
      <c r="X127" s="268"/>
      <c r="Y127" s="46"/>
      <c r="AA127" s="627"/>
      <c r="AB127" s="627"/>
      <c r="AC127" s="627"/>
      <c r="AD127" s="627"/>
      <c r="AE127" s="627"/>
      <c r="AF127" s="627"/>
      <c r="AG127" s="627"/>
      <c r="AH127" s="627"/>
      <c r="AI127" s="627"/>
      <c r="AJ127" s="627"/>
      <c r="AK127" s="627"/>
      <c r="AL127" s="627"/>
      <c r="AM127" s="627"/>
      <c r="AN127" s="627"/>
      <c r="AO127" s="627"/>
      <c r="AP127" s="627"/>
      <c r="AQ127" s="627"/>
      <c r="AR127" s="627"/>
      <c r="AS127" s="627"/>
      <c r="AT127" s="627"/>
      <c r="AU127" s="627"/>
      <c r="AV127" s="627"/>
      <c r="AW127" s="627"/>
      <c r="AX127" s="627"/>
      <c r="AZ127" s="3">
        <v>1</v>
      </c>
    </row>
    <row r="128" spans="2:52" ht="21" customHeight="1" thickBot="1">
      <c r="B128" s="1333" t="s">
        <v>21</v>
      </c>
      <c r="C128" s="226" t="s">
        <v>211</v>
      </c>
      <c r="D128" s="45"/>
      <c r="E128" s="45"/>
      <c r="F128" s="45"/>
      <c r="G128" s="45"/>
      <c r="H128" s="45"/>
      <c r="I128" s="46"/>
      <c r="K128" s="226" t="s">
        <v>212</v>
      </c>
      <c r="L128" s="45"/>
      <c r="M128" s="45"/>
      <c r="N128" s="45"/>
      <c r="O128" s="45"/>
      <c r="P128" s="45"/>
      <c r="Q128" s="46"/>
      <c r="S128" s="226" t="s">
        <v>213</v>
      </c>
      <c r="T128" s="45"/>
      <c r="U128" s="45"/>
      <c r="V128" s="45"/>
      <c r="W128" s="45"/>
      <c r="X128" s="45"/>
      <c r="Y128" s="46"/>
      <c r="AA128" s="627"/>
      <c r="AB128" s="627"/>
      <c r="AC128" s="627"/>
      <c r="AD128" s="627"/>
      <c r="AE128" s="627"/>
      <c r="AF128" s="627"/>
      <c r="AG128" s="627"/>
      <c r="AH128" s="627"/>
      <c r="AI128" s="627"/>
      <c r="AJ128" s="627"/>
      <c r="AK128" s="627"/>
      <c r="AL128" s="627"/>
      <c r="AM128" s="627"/>
      <c r="AN128" s="627"/>
      <c r="AO128" s="627"/>
      <c r="AP128" s="627"/>
      <c r="AQ128" s="627"/>
      <c r="AR128" s="627"/>
      <c r="AS128" s="627"/>
      <c r="AT128" s="627"/>
      <c r="AU128" s="627"/>
      <c r="AV128" s="627"/>
      <c r="AW128" s="627"/>
      <c r="AX128" s="627"/>
      <c r="AZ128" s="3">
        <v>1</v>
      </c>
    </row>
    <row r="129" spans="2:52" ht="21" customHeight="1" thickTop="1">
      <c r="B129" s="1333" t="s">
        <v>21</v>
      </c>
      <c r="C129" s="295" t="s">
        <v>78</v>
      </c>
      <c r="D129" s="296" t="s">
        <v>79</v>
      </c>
      <c r="E129" s="297"/>
      <c r="F129" s="6490" t="s">
        <v>80</v>
      </c>
      <c r="G129" s="6492" t="s">
        <v>81</v>
      </c>
      <c r="H129" s="298" t="s">
        <v>83</v>
      </c>
      <c r="I129" s="46"/>
      <c r="K129" s="295" t="s">
        <v>78</v>
      </c>
      <c r="L129" s="296" t="s">
        <v>79</v>
      </c>
      <c r="M129" s="297"/>
      <c r="N129" s="6490" t="s">
        <v>226</v>
      </c>
      <c r="O129" s="6613" t="s">
        <v>81</v>
      </c>
      <c r="P129" s="298" t="s">
        <v>83</v>
      </c>
      <c r="Q129" s="46"/>
      <c r="S129" s="295" t="s">
        <v>78</v>
      </c>
      <c r="T129" s="296" t="s">
        <v>79</v>
      </c>
      <c r="U129" s="297"/>
      <c r="V129" s="6490" t="s">
        <v>227</v>
      </c>
      <c r="W129" s="6613" t="s">
        <v>81</v>
      </c>
      <c r="X129" s="298" t="s">
        <v>83</v>
      </c>
      <c r="Y129" s="46"/>
      <c r="AA129" s="627"/>
      <c r="AB129" s="627"/>
      <c r="AC129" s="627"/>
      <c r="AD129" s="627"/>
      <c r="AE129" s="627"/>
      <c r="AF129" s="627"/>
      <c r="AG129" s="627"/>
      <c r="AH129" s="627"/>
      <c r="AI129" s="627"/>
      <c r="AJ129" s="627"/>
      <c r="AK129" s="627"/>
      <c r="AL129" s="627"/>
      <c r="AM129" s="627"/>
      <c r="AN129" s="627"/>
      <c r="AO129" s="627"/>
      <c r="AP129" s="627"/>
      <c r="AQ129" s="627"/>
      <c r="AR129" s="627"/>
      <c r="AS129" s="627"/>
      <c r="AT129" s="627"/>
      <c r="AU129" s="627"/>
      <c r="AV129" s="627"/>
      <c r="AW129" s="627"/>
      <c r="AX129" s="627"/>
      <c r="AZ129" s="3">
        <v>1</v>
      </c>
    </row>
    <row r="130" spans="2:52" ht="21" customHeight="1">
      <c r="B130" s="1333" t="s">
        <v>21</v>
      </c>
      <c r="C130" s="299" t="s">
        <v>92</v>
      </c>
      <c r="D130" s="243" t="s">
        <v>93</v>
      </c>
      <c r="E130" s="91" t="s">
        <v>94</v>
      </c>
      <c r="F130" s="6491"/>
      <c r="G130" s="6493"/>
      <c r="H130" s="300" t="s">
        <v>95</v>
      </c>
      <c r="I130" s="46"/>
      <c r="K130" s="241" t="s">
        <v>229</v>
      </c>
      <c r="L130" s="243" t="s">
        <v>230</v>
      </c>
      <c r="M130" s="91" t="s">
        <v>94</v>
      </c>
      <c r="N130" s="6612"/>
      <c r="O130" s="6614"/>
      <c r="P130" s="300" t="s">
        <v>231</v>
      </c>
      <c r="Q130" s="46"/>
      <c r="S130" s="299" t="s">
        <v>232</v>
      </c>
      <c r="T130" s="243" t="s">
        <v>233</v>
      </c>
      <c r="U130" s="91" t="s">
        <v>94</v>
      </c>
      <c r="V130" s="6612"/>
      <c r="W130" s="6614"/>
      <c r="X130" s="300" t="s">
        <v>279</v>
      </c>
      <c r="Y130" s="46"/>
      <c r="AA130" s="627"/>
      <c r="AB130" s="627"/>
      <c r="AC130" s="627"/>
      <c r="AD130" s="627"/>
      <c r="AE130" s="627"/>
      <c r="AF130" s="627"/>
      <c r="AG130" s="627"/>
      <c r="AH130" s="627"/>
      <c r="AI130" s="627"/>
      <c r="AJ130" s="627"/>
      <c r="AK130" s="627"/>
      <c r="AL130" s="627"/>
      <c r="AM130" s="627"/>
      <c r="AN130" s="627"/>
      <c r="AO130" s="627"/>
      <c r="AP130" s="627"/>
      <c r="AQ130" s="627"/>
      <c r="AR130" s="627"/>
      <c r="AS130" s="627"/>
      <c r="AT130" s="627"/>
      <c r="AU130" s="627"/>
      <c r="AV130" s="627"/>
      <c r="AW130" s="627"/>
      <c r="AX130" s="627"/>
      <c r="AZ130" s="3">
        <v>1</v>
      </c>
    </row>
    <row r="131" spans="2:52" ht="21" customHeight="1">
      <c r="B131" s="1333" t="s">
        <v>21</v>
      </c>
      <c r="C131" s="301">
        <v>0.25</v>
      </c>
      <c r="D131" s="302" t="s">
        <v>303</v>
      </c>
      <c r="E131" s="303"/>
      <c r="F131" s="304"/>
      <c r="G131" s="305"/>
      <c r="H131" s="306" t="s">
        <v>304</v>
      </c>
      <c r="I131" s="46"/>
      <c r="K131" s="301">
        <v>0.25</v>
      </c>
      <c r="L131" s="302" t="s">
        <v>305</v>
      </c>
      <c r="M131" s="303"/>
      <c r="N131" s="304"/>
      <c r="O131" s="305"/>
      <c r="P131" s="306" t="s">
        <v>306</v>
      </c>
      <c r="Q131" s="46"/>
      <c r="S131" s="301">
        <v>0.25</v>
      </c>
      <c r="T131" s="302" t="s">
        <v>307</v>
      </c>
      <c r="U131" s="303"/>
      <c r="V131" s="304"/>
      <c r="W131" s="305"/>
      <c r="X131" s="306" t="s">
        <v>308</v>
      </c>
      <c r="Y131" s="46"/>
      <c r="AA131" s="627"/>
      <c r="AB131" s="627"/>
      <c r="AC131" s="627"/>
      <c r="AD131" s="627"/>
      <c r="AE131" s="627"/>
      <c r="AF131" s="627"/>
      <c r="AG131" s="627"/>
      <c r="AH131" s="627"/>
      <c r="AI131" s="627"/>
      <c r="AJ131" s="627"/>
      <c r="AK131" s="627"/>
      <c r="AL131" s="627"/>
      <c r="AM131" s="627"/>
      <c r="AN131" s="627"/>
      <c r="AO131" s="627"/>
      <c r="AP131" s="627"/>
      <c r="AQ131" s="627"/>
      <c r="AR131" s="627"/>
      <c r="AS131" s="627"/>
      <c r="AT131" s="627"/>
      <c r="AU131" s="627"/>
      <c r="AV131" s="627"/>
      <c r="AW131" s="627"/>
      <c r="AX131" s="627"/>
      <c r="AZ131" s="3">
        <v>1</v>
      </c>
    </row>
    <row r="132" spans="2:52" ht="21" customHeight="1">
      <c r="B132" s="1333" t="s">
        <v>21</v>
      </c>
      <c r="C132" s="301">
        <v>0.5</v>
      </c>
      <c r="D132" s="302" t="s">
        <v>309</v>
      </c>
      <c r="E132" s="303"/>
      <c r="F132" s="304"/>
      <c r="G132" s="305"/>
      <c r="H132" s="306" t="s">
        <v>310</v>
      </c>
      <c r="I132" s="46"/>
      <c r="K132" s="301">
        <v>0.5</v>
      </c>
      <c r="L132" s="302" t="s">
        <v>311</v>
      </c>
      <c r="M132" s="303"/>
      <c r="N132" s="304"/>
      <c r="O132" s="305"/>
      <c r="P132" s="306" t="s">
        <v>312</v>
      </c>
      <c r="Q132" s="46"/>
      <c r="S132" s="301">
        <v>0.5</v>
      </c>
      <c r="T132" s="302" t="s">
        <v>313</v>
      </c>
      <c r="U132" s="303"/>
      <c r="V132" s="304"/>
      <c r="W132" s="305"/>
      <c r="X132" s="306" t="s">
        <v>314</v>
      </c>
      <c r="Y132" s="46"/>
      <c r="AA132" s="627"/>
      <c r="AB132" s="627"/>
      <c r="AC132" s="627"/>
      <c r="AD132" s="627"/>
      <c r="AE132" s="627"/>
      <c r="AF132" s="627"/>
      <c r="AG132" s="627"/>
      <c r="AH132" s="627"/>
      <c r="AI132" s="627"/>
      <c r="AJ132" s="627"/>
      <c r="AK132" s="627"/>
      <c r="AL132" s="627"/>
      <c r="AM132" s="627"/>
      <c r="AN132" s="627"/>
      <c r="AO132" s="627"/>
      <c r="AP132" s="627"/>
      <c r="AQ132" s="627"/>
      <c r="AR132" s="627"/>
      <c r="AS132" s="627"/>
      <c r="AT132" s="627"/>
      <c r="AU132" s="627"/>
      <c r="AV132" s="627"/>
      <c r="AW132" s="627"/>
      <c r="AX132" s="627"/>
      <c r="AZ132" s="3">
        <v>1</v>
      </c>
    </row>
    <row r="133" spans="2:52" ht="21" customHeight="1">
      <c r="B133" s="1333" t="s">
        <v>21</v>
      </c>
      <c r="C133" s="301">
        <v>0.75</v>
      </c>
      <c r="D133" s="302" t="s">
        <v>316</v>
      </c>
      <c r="E133" s="303"/>
      <c r="F133" s="304"/>
      <c r="G133" s="305"/>
      <c r="H133" s="306" t="s">
        <v>317</v>
      </c>
      <c r="I133" s="46"/>
      <c r="K133" s="301">
        <v>0.75</v>
      </c>
      <c r="L133" s="302" t="s">
        <v>318</v>
      </c>
      <c r="M133" s="303"/>
      <c r="N133" s="304"/>
      <c r="O133" s="305"/>
      <c r="P133" s="306" t="s">
        <v>319</v>
      </c>
      <c r="Q133" s="46"/>
      <c r="S133" s="301">
        <v>0.75</v>
      </c>
      <c r="T133" s="302" t="s">
        <v>320</v>
      </c>
      <c r="U133" s="303"/>
      <c r="V133" s="304"/>
      <c r="W133" s="305"/>
      <c r="X133" s="306" t="s">
        <v>321</v>
      </c>
      <c r="Y133" s="46"/>
      <c r="AA133" s="627"/>
      <c r="AB133" s="627"/>
      <c r="AC133" s="627"/>
      <c r="AD133" s="627"/>
      <c r="AE133" s="627"/>
      <c r="AF133" s="627"/>
      <c r="AG133" s="627"/>
      <c r="AH133" s="627"/>
      <c r="AI133" s="627"/>
      <c r="AJ133" s="627"/>
      <c r="AK133" s="627"/>
      <c r="AL133" s="627"/>
      <c r="AM133" s="627"/>
      <c r="AN133" s="627"/>
      <c r="AO133" s="627"/>
      <c r="AP133" s="627"/>
      <c r="AQ133" s="627"/>
      <c r="AR133" s="627"/>
      <c r="AS133" s="627"/>
      <c r="AT133" s="627"/>
      <c r="AU133" s="627"/>
      <c r="AV133" s="627"/>
      <c r="AW133" s="627"/>
      <c r="AX133" s="627"/>
      <c r="AZ133" s="3">
        <v>1</v>
      </c>
    </row>
    <row r="134" spans="2:52" ht="21" customHeight="1">
      <c r="B134" s="1333" t="s">
        <v>21</v>
      </c>
      <c r="C134" s="311">
        <v>2</v>
      </c>
      <c r="D134" s="312" t="s">
        <v>293</v>
      </c>
      <c r="E134" s="303"/>
      <c r="F134" s="304"/>
      <c r="G134" s="305"/>
      <c r="H134" s="306"/>
      <c r="I134" s="46"/>
      <c r="K134" s="311">
        <v>2</v>
      </c>
      <c r="L134" s="312" t="s">
        <v>297</v>
      </c>
      <c r="M134" s="303"/>
      <c r="N134" s="304"/>
      <c r="O134" s="305"/>
      <c r="P134" s="306"/>
      <c r="Q134" s="46"/>
      <c r="S134" s="311">
        <v>2</v>
      </c>
      <c r="T134" s="312" t="s">
        <v>298</v>
      </c>
      <c r="U134" s="303"/>
      <c r="V134" s="304"/>
      <c r="W134" s="305"/>
      <c r="X134" s="306"/>
      <c r="Y134" s="46"/>
      <c r="AA134" s="627"/>
      <c r="AB134" s="627"/>
      <c r="AC134" s="627"/>
      <c r="AD134" s="627"/>
      <c r="AE134" s="627"/>
      <c r="AF134" s="627"/>
      <c r="AG134" s="627"/>
      <c r="AH134" s="627"/>
      <c r="AI134" s="627"/>
      <c r="AJ134" s="627"/>
      <c r="AK134" s="627"/>
      <c r="AL134" s="627"/>
      <c r="AM134" s="627"/>
      <c r="AN134" s="627"/>
      <c r="AO134" s="627"/>
      <c r="AP134" s="627"/>
      <c r="AQ134" s="627"/>
      <c r="AR134" s="627"/>
      <c r="AS134" s="627"/>
      <c r="AT134" s="627"/>
      <c r="AU134" s="627"/>
      <c r="AV134" s="627"/>
      <c r="AW134" s="627"/>
      <c r="AX134" s="627"/>
      <c r="AZ134" s="3">
        <v>1</v>
      </c>
    </row>
    <row r="135" spans="2:52" ht="21" customHeight="1">
      <c r="B135" s="1333" t="s">
        <v>21</v>
      </c>
      <c r="C135" s="314"/>
      <c r="D135" s="315"/>
      <c r="E135" s="316"/>
      <c r="F135" s="317"/>
      <c r="G135" s="318"/>
      <c r="H135" s="319"/>
      <c r="I135" s="46"/>
      <c r="K135" s="314"/>
      <c r="L135" s="315"/>
      <c r="M135" s="316"/>
      <c r="N135" s="317"/>
      <c r="O135" s="318"/>
      <c r="P135" s="319"/>
      <c r="Q135" s="46"/>
      <c r="S135" s="314"/>
      <c r="T135" s="315"/>
      <c r="U135" s="316"/>
      <c r="V135" s="317"/>
      <c r="W135" s="318"/>
      <c r="X135" s="319"/>
      <c r="Y135" s="46"/>
      <c r="AA135" s="627"/>
      <c r="AB135" s="627"/>
      <c r="AC135" s="627"/>
      <c r="AD135" s="627"/>
      <c r="AE135" s="627"/>
      <c r="AF135" s="627"/>
      <c r="AG135" s="627"/>
      <c r="AH135" s="627"/>
      <c r="AI135" s="627"/>
      <c r="AJ135" s="627"/>
      <c r="AK135" s="627"/>
      <c r="AL135" s="627"/>
      <c r="AM135" s="627"/>
      <c r="AN135" s="627"/>
      <c r="AO135" s="627"/>
      <c r="AP135" s="627"/>
      <c r="AQ135" s="627"/>
      <c r="AR135" s="627"/>
      <c r="AS135" s="627"/>
      <c r="AT135" s="627"/>
      <c r="AU135" s="627"/>
      <c r="AV135" s="627"/>
      <c r="AW135" s="627"/>
      <c r="AX135" s="627"/>
      <c r="AZ135" s="3">
        <v>1</v>
      </c>
    </row>
    <row r="136" spans="2:52" ht="21" customHeight="1">
      <c r="B136" s="1333" t="s">
        <v>21</v>
      </c>
      <c r="C136" s="321" t="s">
        <v>215</v>
      </c>
      <c r="D136" s="148"/>
      <c r="E136" s="148"/>
      <c r="F136" s="45"/>
      <c r="G136" s="45"/>
      <c r="H136" s="45"/>
      <c r="I136" s="46"/>
      <c r="K136" s="321" t="s">
        <v>216</v>
      </c>
      <c r="L136" s="148"/>
      <c r="M136" s="148"/>
      <c r="N136" s="45"/>
      <c r="O136" s="45"/>
      <c r="P136" s="45"/>
      <c r="Q136" s="46"/>
      <c r="S136" s="321" t="s">
        <v>217</v>
      </c>
      <c r="T136" s="148"/>
      <c r="U136" s="148"/>
      <c r="V136" s="45"/>
      <c r="W136" s="45"/>
      <c r="X136" s="45"/>
      <c r="Y136" s="46"/>
      <c r="AA136" s="627"/>
      <c r="AB136" s="627"/>
      <c r="AC136" s="627"/>
      <c r="AD136" s="627"/>
      <c r="AE136" s="627"/>
      <c r="AF136" s="627"/>
      <c r="AG136" s="627"/>
      <c r="AH136" s="627"/>
      <c r="AI136" s="627"/>
      <c r="AJ136" s="627"/>
      <c r="AK136" s="627"/>
      <c r="AL136" s="627"/>
      <c r="AM136" s="627"/>
      <c r="AN136" s="627"/>
      <c r="AO136" s="627"/>
      <c r="AP136" s="627"/>
      <c r="AQ136" s="627"/>
      <c r="AR136" s="627"/>
      <c r="AS136" s="627"/>
      <c r="AT136" s="627"/>
      <c r="AU136" s="627"/>
      <c r="AV136" s="627"/>
      <c r="AW136" s="627"/>
      <c r="AX136" s="627"/>
      <c r="AZ136" s="3">
        <v>1</v>
      </c>
    </row>
    <row r="137" spans="2:52" ht="21" customHeight="1">
      <c r="B137" s="1333" t="s">
        <v>21</v>
      </c>
      <c r="C137" s="321"/>
      <c r="D137" s="148"/>
      <c r="E137" s="148"/>
      <c r="F137" s="45"/>
      <c r="G137" s="45"/>
      <c r="H137" s="45"/>
      <c r="I137" s="46"/>
      <c r="K137" s="321"/>
      <c r="L137" s="148"/>
      <c r="M137" s="148"/>
      <c r="N137" s="45"/>
      <c r="O137" s="45"/>
      <c r="P137" s="45"/>
      <c r="Q137" s="46"/>
      <c r="S137" s="321"/>
      <c r="T137" s="148"/>
      <c r="U137" s="148"/>
      <c r="V137" s="45"/>
      <c r="W137" s="45"/>
      <c r="X137" s="45"/>
      <c r="Y137" s="46"/>
      <c r="AA137" s="627"/>
      <c r="AB137" s="627"/>
      <c r="AC137" s="627"/>
      <c r="AD137" s="627"/>
      <c r="AE137" s="627"/>
      <c r="AF137" s="627"/>
      <c r="AG137" s="627"/>
      <c r="AH137" s="627"/>
      <c r="AI137" s="627"/>
      <c r="AJ137" s="627"/>
      <c r="AK137" s="627"/>
      <c r="AL137" s="627"/>
      <c r="AM137" s="627"/>
      <c r="AN137" s="627"/>
      <c r="AO137" s="627"/>
      <c r="AP137" s="627"/>
      <c r="AQ137" s="627"/>
      <c r="AR137" s="627"/>
      <c r="AS137" s="627"/>
      <c r="AT137" s="627"/>
      <c r="AU137" s="627"/>
      <c r="AV137" s="627"/>
      <c r="AW137" s="627"/>
      <c r="AX137" s="627"/>
      <c r="AZ137" s="3">
        <v>1</v>
      </c>
    </row>
    <row r="138" spans="2:52" ht="21" customHeight="1">
      <c r="B138" s="1333" t="s">
        <v>21</v>
      </c>
      <c r="C138" s="322"/>
      <c r="D138" s="323" t="s">
        <v>331</v>
      </c>
      <c r="E138" s="148"/>
      <c r="F138" s="45"/>
      <c r="G138" s="45"/>
      <c r="H138" s="45"/>
      <c r="I138" s="46"/>
      <c r="K138" s="322"/>
      <c r="L138" s="323" t="s">
        <v>332</v>
      </c>
      <c r="M138" s="148"/>
      <c r="N138" s="45"/>
      <c r="O138" s="45"/>
      <c r="P138" s="45"/>
      <c r="Q138" s="46"/>
      <c r="S138" s="322"/>
      <c r="T138" s="323" t="s">
        <v>333</v>
      </c>
      <c r="U138" s="148"/>
      <c r="V138" s="45"/>
      <c r="W138" s="45"/>
      <c r="X138" s="45"/>
      <c r="Y138" s="46"/>
      <c r="AA138" s="627"/>
      <c r="AB138" s="627"/>
      <c r="AC138" s="627"/>
      <c r="AD138" s="627"/>
      <c r="AE138" s="627"/>
      <c r="AF138" s="627"/>
      <c r="AG138" s="627"/>
      <c r="AH138" s="627"/>
      <c r="AI138" s="627"/>
      <c r="AJ138" s="627"/>
      <c r="AK138" s="627"/>
      <c r="AL138" s="627"/>
      <c r="AM138" s="627"/>
      <c r="AN138" s="627"/>
      <c r="AO138" s="627"/>
      <c r="AP138" s="627"/>
      <c r="AQ138" s="627"/>
      <c r="AR138" s="627"/>
      <c r="AS138" s="627"/>
      <c r="AT138" s="627"/>
      <c r="AU138" s="627"/>
      <c r="AV138" s="627"/>
      <c r="AW138" s="627"/>
      <c r="AX138" s="627"/>
      <c r="AZ138" s="3">
        <v>1</v>
      </c>
    </row>
    <row r="139" spans="2:52" ht="21" customHeight="1">
      <c r="B139" s="1333" t="s">
        <v>21</v>
      </c>
      <c r="C139" s="324" t="s">
        <v>336</v>
      </c>
      <c r="D139" s="323"/>
      <c r="E139" s="148"/>
      <c r="F139" s="45"/>
      <c r="G139" s="45"/>
      <c r="H139" s="45"/>
      <c r="I139" s="46"/>
      <c r="K139" s="324" t="s">
        <v>337</v>
      </c>
      <c r="L139" s="323"/>
      <c r="M139" s="148"/>
      <c r="N139" s="45"/>
      <c r="O139" s="45"/>
      <c r="P139" s="45"/>
      <c r="Q139" s="46"/>
      <c r="S139" s="324" t="s">
        <v>338</v>
      </c>
      <c r="T139" s="323"/>
      <c r="U139" s="148"/>
      <c r="V139" s="45"/>
      <c r="W139" s="45"/>
      <c r="X139" s="45"/>
      <c r="Y139" s="46"/>
      <c r="AA139" s="627"/>
      <c r="AB139" s="627"/>
      <c r="AC139" s="627"/>
      <c r="AD139" s="627"/>
      <c r="AE139" s="627"/>
      <c r="AF139" s="627"/>
      <c r="AG139" s="627"/>
      <c r="AH139" s="627"/>
      <c r="AI139" s="627"/>
      <c r="AJ139" s="627"/>
      <c r="AK139" s="627"/>
      <c r="AL139" s="627"/>
      <c r="AM139" s="627"/>
      <c r="AN139" s="627"/>
      <c r="AO139" s="627"/>
      <c r="AP139" s="627"/>
      <c r="AQ139" s="627"/>
      <c r="AR139" s="627"/>
      <c r="AS139" s="627"/>
      <c r="AT139" s="627"/>
      <c r="AU139" s="627"/>
      <c r="AV139" s="627"/>
      <c r="AW139" s="627"/>
      <c r="AX139" s="627"/>
      <c r="AZ139" s="3">
        <v>1</v>
      </c>
    </row>
    <row r="140" spans="2:52" ht="21" customHeight="1">
      <c r="B140" s="1333" t="s">
        <v>21</v>
      </c>
      <c r="C140" s="44"/>
      <c r="D140" s="325" t="s">
        <v>341</v>
      </c>
      <c r="E140" s="45"/>
      <c r="F140" s="45"/>
      <c r="G140" s="45"/>
      <c r="H140" s="45"/>
      <c r="I140" s="46"/>
      <c r="K140" s="44"/>
      <c r="L140" s="325" t="s">
        <v>194</v>
      </c>
      <c r="M140" s="45"/>
      <c r="N140" s="45"/>
      <c r="O140" s="45"/>
      <c r="P140" s="45"/>
      <c r="Q140" s="46"/>
      <c r="S140" s="44"/>
      <c r="T140" s="325" t="s">
        <v>195</v>
      </c>
      <c r="U140" s="45"/>
      <c r="V140" s="45"/>
      <c r="W140" s="45"/>
      <c r="X140" s="45"/>
      <c r="Y140" s="46"/>
      <c r="AA140" s="627"/>
      <c r="AB140" s="627"/>
      <c r="AC140" s="627"/>
      <c r="AD140" s="627"/>
      <c r="AE140" s="627"/>
      <c r="AF140" s="627"/>
      <c r="AG140" s="627"/>
      <c r="AH140" s="627"/>
      <c r="AI140" s="627"/>
      <c r="AJ140" s="627"/>
      <c r="AK140" s="627"/>
      <c r="AL140" s="627"/>
      <c r="AM140" s="627"/>
      <c r="AN140" s="627"/>
      <c r="AO140" s="627"/>
      <c r="AP140" s="627"/>
      <c r="AQ140" s="627"/>
      <c r="AR140" s="627"/>
      <c r="AS140" s="627"/>
      <c r="AT140" s="627"/>
      <c r="AU140" s="627"/>
      <c r="AV140" s="627"/>
      <c r="AW140" s="627"/>
      <c r="AX140" s="627"/>
      <c r="AZ140" s="3">
        <v>1</v>
      </c>
    </row>
    <row r="141" spans="2:52" ht="21" customHeight="1">
      <c r="B141" s="1333" t="s">
        <v>21</v>
      </c>
      <c r="C141" s="327" t="s">
        <v>344</v>
      </c>
      <c r="D141" s="45"/>
      <c r="E141" s="45"/>
      <c r="F141" s="45"/>
      <c r="G141" s="45"/>
      <c r="H141" s="45"/>
      <c r="I141" s="46"/>
      <c r="K141" s="327" t="s">
        <v>345</v>
      </c>
      <c r="L141" s="45"/>
      <c r="M141" s="45"/>
      <c r="N141" s="45"/>
      <c r="O141" s="45"/>
      <c r="P141" s="45"/>
      <c r="Q141" s="46"/>
      <c r="S141" s="327" t="s">
        <v>346</v>
      </c>
      <c r="T141" s="45"/>
      <c r="U141" s="45"/>
      <c r="V141" s="45"/>
      <c r="W141" s="45"/>
      <c r="X141" s="45"/>
      <c r="Y141" s="46"/>
      <c r="AA141" s="627"/>
      <c r="AB141" s="627"/>
      <c r="AC141" s="627"/>
      <c r="AD141" s="627"/>
      <c r="AE141" s="627"/>
      <c r="AF141" s="627"/>
      <c r="AG141" s="627"/>
      <c r="AH141" s="627"/>
      <c r="AI141" s="627"/>
      <c r="AJ141" s="627"/>
      <c r="AK141" s="627"/>
      <c r="AL141" s="627"/>
      <c r="AM141" s="627"/>
      <c r="AN141" s="627"/>
      <c r="AO141" s="627"/>
      <c r="AP141" s="627"/>
      <c r="AQ141" s="627"/>
      <c r="AR141" s="627"/>
      <c r="AS141" s="627"/>
      <c r="AT141" s="627"/>
      <c r="AU141" s="627"/>
      <c r="AV141" s="627"/>
      <c r="AW141" s="627"/>
      <c r="AX141" s="627"/>
      <c r="AZ141" s="3">
        <v>1</v>
      </c>
    </row>
    <row r="142" spans="2:52" ht="21" customHeight="1" thickBot="1">
      <c r="B142" s="1333" t="s">
        <v>21</v>
      </c>
      <c r="C142" s="44"/>
      <c r="D142" s="45"/>
      <c r="E142" s="45"/>
      <c r="F142" s="45"/>
      <c r="G142" s="45"/>
      <c r="H142" s="45"/>
      <c r="I142" s="46"/>
      <c r="K142" s="44"/>
      <c r="L142" s="45"/>
      <c r="M142" s="45"/>
      <c r="N142" s="45"/>
      <c r="O142" s="45"/>
      <c r="P142" s="45"/>
      <c r="Q142" s="46"/>
      <c r="S142" s="44"/>
      <c r="T142" s="45"/>
      <c r="U142" s="45"/>
      <c r="V142" s="45"/>
      <c r="W142" s="45"/>
      <c r="X142" s="45"/>
      <c r="Y142" s="46"/>
      <c r="AA142" s="627"/>
      <c r="AB142" s="627"/>
      <c r="AC142" s="627"/>
      <c r="AD142" s="627"/>
      <c r="AE142" s="627"/>
      <c r="AF142" s="627"/>
      <c r="AG142" s="627"/>
      <c r="AH142" s="627"/>
      <c r="AI142" s="627"/>
      <c r="AJ142" s="627"/>
      <c r="AK142" s="627"/>
      <c r="AL142" s="627"/>
      <c r="AM142" s="627"/>
      <c r="AN142" s="627"/>
      <c r="AO142" s="627"/>
      <c r="AP142" s="627"/>
      <c r="AQ142" s="627"/>
      <c r="AR142" s="627"/>
      <c r="AS142" s="627"/>
      <c r="AT142" s="627"/>
      <c r="AU142" s="627"/>
      <c r="AV142" s="627"/>
      <c r="AW142" s="627"/>
      <c r="AX142" s="627"/>
      <c r="AZ142" s="3">
        <v>1</v>
      </c>
    </row>
    <row r="143" spans="2:52" ht="21" customHeight="1" thickTop="1">
      <c r="B143" s="1333" t="s">
        <v>21</v>
      </c>
      <c r="C143" s="44"/>
      <c r="D143" s="6494" t="s">
        <v>351</v>
      </c>
      <c r="E143" s="6495"/>
      <c r="F143" s="6496" t="s">
        <v>352</v>
      </c>
      <c r="G143" s="6496"/>
      <c r="H143" s="45"/>
      <c r="I143" s="46"/>
      <c r="K143" s="44"/>
      <c r="L143" s="6497" t="s">
        <v>353</v>
      </c>
      <c r="M143" s="6498"/>
      <c r="N143" s="6496" t="s">
        <v>354</v>
      </c>
      <c r="O143" s="6496"/>
      <c r="P143" s="45"/>
      <c r="Q143" s="46"/>
      <c r="S143" s="44"/>
      <c r="T143" s="6497" t="s">
        <v>355</v>
      </c>
      <c r="U143" s="6498"/>
      <c r="V143" s="6496" t="s">
        <v>356</v>
      </c>
      <c r="W143" s="6496"/>
      <c r="X143" s="45"/>
      <c r="Y143" s="46"/>
      <c r="AA143" s="627"/>
      <c r="AB143" s="627"/>
      <c r="AC143" s="627"/>
      <c r="AD143" s="627"/>
      <c r="AE143" s="627"/>
      <c r="AF143" s="627"/>
      <c r="AG143" s="627"/>
      <c r="AH143" s="627"/>
      <c r="AI143" s="627"/>
      <c r="AJ143" s="627"/>
      <c r="AK143" s="627"/>
      <c r="AL143" s="627"/>
      <c r="AM143" s="627"/>
      <c r="AN143" s="627"/>
      <c r="AO143" s="627"/>
      <c r="AP143" s="627"/>
      <c r="AQ143" s="627"/>
      <c r="AR143" s="627"/>
      <c r="AS143" s="627"/>
      <c r="AT143" s="627"/>
      <c r="AU143" s="627"/>
      <c r="AV143" s="627"/>
      <c r="AW143" s="627"/>
      <c r="AX143" s="627"/>
      <c r="AZ143" s="3">
        <v>1</v>
      </c>
    </row>
    <row r="144" spans="2:52" ht="21" customHeight="1">
      <c r="B144" s="1333" t="s">
        <v>21</v>
      </c>
      <c r="C144" s="44"/>
      <c r="D144" s="5442" t="s">
        <v>104</v>
      </c>
      <c r="E144" s="5464" t="s">
        <v>359</v>
      </c>
      <c r="F144" s="5443" t="s">
        <v>360</v>
      </c>
      <c r="G144" s="338" t="s">
        <v>361</v>
      </c>
      <c r="H144" s="45"/>
      <c r="I144" s="46"/>
      <c r="K144" s="44"/>
      <c r="L144" s="335" t="s">
        <v>104</v>
      </c>
      <c r="M144" s="336" t="s">
        <v>359</v>
      </c>
      <c r="N144" s="337" t="s">
        <v>360</v>
      </c>
      <c r="O144" s="338" t="s">
        <v>361</v>
      </c>
      <c r="P144" s="45"/>
      <c r="Q144" s="46"/>
      <c r="S144" s="44"/>
      <c r="T144" s="5442" t="s">
        <v>1304</v>
      </c>
      <c r="U144" s="5464" t="s">
        <v>359</v>
      </c>
      <c r="V144" s="5443" t="s">
        <v>360</v>
      </c>
      <c r="W144" s="338" t="s">
        <v>361</v>
      </c>
      <c r="X144" s="45"/>
      <c r="Y144" s="46"/>
      <c r="AA144" s="627"/>
      <c r="AB144" s="627"/>
      <c r="AC144" s="627"/>
      <c r="AD144" s="627"/>
      <c r="AE144" s="627"/>
      <c r="AF144" s="627"/>
      <c r="AG144" s="627"/>
      <c r="AH144" s="627"/>
      <c r="AI144" s="627"/>
      <c r="AJ144" s="627"/>
      <c r="AK144" s="627"/>
      <c r="AL144" s="627"/>
      <c r="AM144" s="627"/>
      <c r="AN144" s="627"/>
      <c r="AO144" s="627"/>
      <c r="AP144" s="627"/>
      <c r="AQ144" s="627"/>
      <c r="AR144" s="627"/>
      <c r="AS144" s="627"/>
      <c r="AT144" s="627"/>
      <c r="AU144" s="627"/>
      <c r="AV144" s="627"/>
      <c r="AW144" s="627"/>
      <c r="AX144" s="627"/>
      <c r="AZ144" s="3">
        <v>1</v>
      </c>
    </row>
    <row r="145" spans="2:52" ht="21" customHeight="1">
      <c r="B145" s="1333" t="s">
        <v>21</v>
      </c>
      <c r="C145" s="44"/>
      <c r="D145" s="339">
        <v>0.25</v>
      </c>
      <c r="E145" s="340">
        <v>0.5</v>
      </c>
      <c r="F145" s="341" t="s">
        <v>364</v>
      </c>
      <c r="G145" s="342"/>
      <c r="H145" s="45"/>
      <c r="I145" s="46"/>
      <c r="K145" s="44"/>
      <c r="L145" s="339">
        <v>0.25</v>
      </c>
      <c r="M145" s="340">
        <v>0.5</v>
      </c>
      <c r="N145" s="341" t="s">
        <v>364</v>
      </c>
      <c r="O145" s="342"/>
      <c r="P145" s="45"/>
      <c r="Q145" s="46"/>
      <c r="S145" s="44"/>
      <c r="T145" s="339">
        <v>0.25</v>
      </c>
      <c r="U145" s="340">
        <v>0.5</v>
      </c>
      <c r="V145" s="341" t="s">
        <v>364</v>
      </c>
      <c r="W145" s="342"/>
      <c r="X145" s="45"/>
      <c r="Y145" s="46"/>
      <c r="AA145" s="627"/>
      <c r="AB145" s="627"/>
      <c r="AC145" s="627"/>
      <c r="AD145" s="627"/>
      <c r="AE145" s="627"/>
      <c r="AF145" s="627"/>
      <c r="AG145" s="627"/>
      <c r="AH145" s="627"/>
      <c r="AI145" s="627"/>
      <c r="AJ145" s="627"/>
      <c r="AK145" s="627"/>
      <c r="AL145" s="627"/>
      <c r="AM145" s="627"/>
      <c r="AN145" s="627"/>
      <c r="AO145" s="627"/>
      <c r="AP145" s="627"/>
      <c r="AQ145" s="627"/>
      <c r="AR145" s="627"/>
      <c r="AS145" s="627"/>
      <c r="AT145" s="627"/>
      <c r="AU145" s="627"/>
      <c r="AV145" s="627"/>
      <c r="AW145" s="627"/>
      <c r="AX145" s="627"/>
      <c r="AZ145" s="3">
        <v>1</v>
      </c>
    </row>
    <row r="146" spans="2:52" ht="21" customHeight="1">
      <c r="B146" s="1333" t="s">
        <v>21</v>
      </c>
      <c r="C146" s="44"/>
      <c r="D146" s="5444" t="s">
        <v>366</v>
      </c>
      <c r="E146" s="5465" t="s">
        <v>367</v>
      </c>
      <c r="F146" s="5443" t="s">
        <v>368</v>
      </c>
      <c r="G146" s="5445" t="s">
        <v>369</v>
      </c>
      <c r="H146" s="45"/>
      <c r="I146" s="46"/>
      <c r="K146" s="44"/>
      <c r="L146" s="343" t="s">
        <v>366</v>
      </c>
      <c r="M146" s="344" t="s">
        <v>367</v>
      </c>
      <c r="N146" s="337" t="s">
        <v>368</v>
      </c>
      <c r="O146" s="345" t="s">
        <v>369</v>
      </c>
      <c r="P146" s="45"/>
      <c r="Q146" s="46"/>
      <c r="S146" s="44"/>
      <c r="T146" s="5444" t="s">
        <v>366</v>
      </c>
      <c r="U146" s="5465" t="s">
        <v>367</v>
      </c>
      <c r="V146" s="5443" t="s">
        <v>368</v>
      </c>
      <c r="W146" s="5445" t="s">
        <v>369</v>
      </c>
      <c r="X146" s="45"/>
      <c r="Y146" s="46"/>
      <c r="AA146" s="627"/>
      <c r="AB146" s="627"/>
      <c r="AC146" s="627"/>
      <c r="AD146" s="627"/>
      <c r="AE146" s="627"/>
      <c r="AF146" s="627"/>
      <c r="AG146" s="627"/>
      <c r="AH146" s="627"/>
      <c r="AI146" s="627"/>
      <c r="AJ146" s="627"/>
      <c r="AK146" s="627"/>
      <c r="AL146" s="627"/>
      <c r="AM146" s="627"/>
      <c r="AN146" s="627"/>
      <c r="AO146" s="627"/>
      <c r="AP146" s="627"/>
      <c r="AQ146" s="627"/>
      <c r="AR146" s="627"/>
      <c r="AS146" s="627"/>
      <c r="AT146" s="627"/>
      <c r="AU146" s="627"/>
      <c r="AV146" s="627"/>
      <c r="AW146" s="627"/>
      <c r="AX146" s="627"/>
      <c r="AZ146" s="3">
        <v>1</v>
      </c>
    </row>
    <row r="147" spans="2:52" ht="21" customHeight="1">
      <c r="B147" s="1333" t="s">
        <v>21</v>
      </c>
      <c r="C147" s="44"/>
      <c r="D147" s="339">
        <v>0.25</v>
      </c>
      <c r="E147" s="340">
        <v>0.5</v>
      </c>
      <c r="F147" s="341" t="s">
        <v>370</v>
      </c>
      <c r="G147" s="342"/>
      <c r="H147" s="45"/>
      <c r="I147" s="46"/>
      <c r="K147" s="44"/>
      <c r="L147" s="339">
        <v>0.25</v>
      </c>
      <c r="M147" s="340">
        <v>0.5</v>
      </c>
      <c r="N147" s="341" t="s">
        <v>370</v>
      </c>
      <c r="O147" s="342"/>
      <c r="P147" s="45"/>
      <c r="Q147" s="46"/>
      <c r="S147" s="44"/>
      <c r="T147" s="339">
        <v>0.25</v>
      </c>
      <c r="U147" s="340">
        <v>0.5</v>
      </c>
      <c r="V147" s="341" t="s">
        <v>370</v>
      </c>
      <c r="W147" s="342"/>
      <c r="X147" s="45"/>
      <c r="Y147" s="46"/>
      <c r="AA147" s="627"/>
      <c r="AB147" s="627"/>
      <c r="AC147" s="627"/>
      <c r="AD147" s="627"/>
      <c r="AE147" s="627"/>
      <c r="AF147" s="627"/>
      <c r="AG147" s="627"/>
      <c r="AH147" s="627"/>
      <c r="AI147" s="627"/>
      <c r="AJ147" s="627"/>
      <c r="AK147" s="627"/>
      <c r="AL147" s="627"/>
      <c r="AM147" s="627"/>
      <c r="AN147" s="627"/>
      <c r="AO147" s="627"/>
      <c r="AP147" s="627"/>
      <c r="AQ147" s="627"/>
      <c r="AR147" s="627"/>
      <c r="AS147" s="627"/>
      <c r="AT147" s="627"/>
      <c r="AU147" s="627"/>
      <c r="AV147" s="627"/>
      <c r="AW147" s="627"/>
      <c r="AX147" s="627"/>
      <c r="AZ147" s="3">
        <v>1</v>
      </c>
    </row>
    <row r="148" spans="2:52" ht="21" customHeight="1">
      <c r="B148" s="1333" t="s">
        <v>21</v>
      </c>
      <c r="C148" s="44"/>
      <c r="D148" s="349" t="s">
        <v>371</v>
      </c>
      <c r="E148" s="350" t="s">
        <v>372</v>
      </c>
      <c r="F148" s="350"/>
      <c r="G148" s="350"/>
      <c r="H148" s="45"/>
      <c r="I148" s="46"/>
      <c r="K148" s="44"/>
      <c r="L148" s="349" t="s">
        <v>373</v>
      </c>
      <c r="M148" s="350" t="s">
        <v>374</v>
      </c>
      <c r="N148" s="350"/>
      <c r="O148" s="350"/>
      <c r="P148" s="45"/>
      <c r="Q148" s="46"/>
      <c r="S148" s="44"/>
      <c r="T148" s="349" t="s">
        <v>375</v>
      </c>
      <c r="U148" s="350" t="s">
        <v>376</v>
      </c>
      <c r="V148" s="350"/>
      <c r="W148" s="350"/>
      <c r="X148" s="45"/>
      <c r="Y148" s="46"/>
      <c r="AA148" s="627"/>
      <c r="AB148" s="627"/>
      <c r="AC148" s="627"/>
      <c r="AD148" s="627"/>
      <c r="AE148" s="627"/>
      <c r="AF148" s="627"/>
      <c r="AG148" s="627"/>
      <c r="AH148" s="627"/>
      <c r="AI148" s="627"/>
      <c r="AJ148" s="627"/>
      <c r="AK148" s="627"/>
      <c r="AL148" s="627"/>
      <c r="AM148" s="627"/>
      <c r="AN148" s="627"/>
      <c r="AO148" s="627"/>
      <c r="AP148" s="627"/>
      <c r="AQ148" s="627"/>
      <c r="AR148" s="627"/>
      <c r="AS148" s="627"/>
      <c r="AT148" s="627"/>
      <c r="AU148" s="627"/>
      <c r="AV148" s="627"/>
      <c r="AW148" s="627"/>
      <c r="AX148" s="627"/>
      <c r="AZ148" s="3">
        <v>1</v>
      </c>
    </row>
    <row r="149" spans="2:52" ht="21" customHeight="1">
      <c r="B149" s="1333" t="s">
        <v>21</v>
      </c>
      <c r="C149" s="44"/>
      <c r="D149" s="351" t="s">
        <v>377</v>
      </c>
      <c r="E149" s="352"/>
      <c r="F149" s="353"/>
      <c r="G149" s="353"/>
      <c r="H149" s="45"/>
      <c r="I149" s="46"/>
      <c r="K149" s="44"/>
      <c r="L149" s="351" t="s">
        <v>378</v>
      </c>
      <c r="M149" s="352"/>
      <c r="N149" s="353"/>
      <c r="O149" s="353"/>
      <c r="P149" s="45"/>
      <c r="Q149" s="46"/>
      <c r="S149" s="44"/>
      <c r="T149" s="351" t="s">
        <v>379</v>
      </c>
      <c r="U149" s="352"/>
      <c r="V149" s="353"/>
      <c r="W149" s="353"/>
      <c r="X149" s="45"/>
      <c r="Y149" s="46"/>
      <c r="AA149" s="627"/>
      <c r="AB149" s="627"/>
      <c r="AC149" s="627"/>
      <c r="AD149" s="627"/>
      <c r="AE149" s="627"/>
      <c r="AF149" s="627"/>
      <c r="AG149" s="627"/>
      <c r="AH149" s="627"/>
      <c r="AI149" s="627"/>
      <c r="AJ149" s="627"/>
      <c r="AK149" s="627"/>
      <c r="AL149" s="627"/>
      <c r="AM149" s="627"/>
      <c r="AN149" s="627"/>
      <c r="AO149" s="627"/>
      <c r="AP149" s="627"/>
      <c r="AQ149" s="627"/>
      <c r="AR149" s="627"/>
      <c r="AS149" s="627"/>
      <c r="AT149" s="627"/>
      <c r="AU149" s="627"/>
      <c r="AV149" s="627"/>
      <c r="AW149" s="627"/>
      <c r="AX149" s="627"/>
      <c r="AZ149" s="3">
        <v>1</v>
      </c>
    </row>
    <row r="150" spans="2:52" ht="21" customHeight="1">
      <c r="B150" s="1333" t="s">
        <v>21</v>
      </c>
      <c r="C150" s="44"/>
      <c r="D150" s="45"/>
      <c r="E150" s="45"/>
      <c r="F150" s="45"/>
      <c r="G150" s="45"/>
      <c r="H150" s="45"/>
      <c r="I150" s="46"/>
      <c r="K150" s="44"/>
      <c r="L150" s="45"/>
      <c r="M150" s="45"/>
      <c r="N150" s="45"/>
      <c r="O150" s="45"/>
      <c r="P150" s="45"/>
      <c r="Q150" s="46"/>
      <c r="S150" s="44"/>
      <c r="T150" s="45"/>
      <c r="U150" s="45"/>
      <c r="V150" s="45"/>
      <c r="W150" s="45"/>
      <c r="X150" s="45"/>
      <c r="Y150" s="46"/>
      <c r="AA150" s="627"/>
      <c r="AB150" s="627"/>
      <c r="AC150" s="627"/>
      <c r="AD150" s="627"/>
      <c r="AE150" s="627"/>
      <c r="AF150" s="627"/>
      <c r="AG150" s="627"/>
      <c r="AH150" s="627"/>
      <c r="AI150" s="627"/>
      <c r="AJ150" s="627"/>
      <c r="AK150" s="627"/>
      <c r="AL150" s="627"/>
      <c r="AM150" s="627"/>
      <c r="AN150" s="627"/>
      <c r="AO150" s="627"/>
      <c r="AP150" s="627"/>
      <c r="AQ150" s="627"/>
      <c r="AR150" s="627"/>
      <c r="AS150" s="627"/>
      <c r="AT150" s="627"/>
      <c r="AU150" s="627"/>
      <c r="AV150" s="627"/>
      <c r="AW150" s="627"/>
      <c r="AX150" s="627"/>
      <c r="AZ150" s="3">
        <v>1</v>
      </c>
    </row>
    <row r="151" spans="2:52" ht="21" customHeight="1">
      <c r="B151" s="1333" t="s">
        <v>21</v>
      </c>
      <c r="C151" s="157"/>
      <c r="D151" s="158"/>
      <c r="E151" s="159"/>
      <c r="F151" s="158"/>
      <c r="G151" s="158"/>
      <c r="H151" s="158"/>
      <c r="I151" s="160"/>
      <c r="K151" s="157"/>
      <c r="L151" s="158"/>
      <c r="M151" s="159"/>
      <c r="N151" s="158"/>
      <c r="O151" s="158"/>
      <c r="P151" s="158"/>
      <c r="Q151" s="160"/>
      <c r="S151" s="157"/>
      <c r="T151" s="158"/>
      <c r="U151" s="159"/>
      <c r="V151" s="158"/>
      <c r="W151" s="158"/>
      <c r="X151" s="158"/>
      <c r="Y151" s="160"/>
      <c r="AA151" s="627"/>
      <c r="AB151" s="627"/>
      <c r="AC151" s="627"/>
      <c r="AD151" s="627"/>
      <c r="AE151" s="627"/>
      <c r="AF151" s="627"/>
      <c r="AG151" s="627"/>
      <c r="AH151" s="627"/>
      <c r="AI151" s="627"/>
      <c r="AJ151" s="627"/>
      <c r="AK151" s="627"/>
      <c r="AL151" s="627"/>
      <c r="AM151" s="627"/>
      <c r="AN151" s="627"/>
      <c r="AO151" s="627"/>
      <c r="AP151" s="627"/>
      <c r="AQ151" s="627"/>
      <c r="AR151" s="627"/>
      <c r="AS151" s="627"/>
      <c r="AT151" s="627"/>
      <c r="AU151" s="627"/>
      <c r="AV151" s="627"/>
      <c r="AW151" s="627"/>
      <c r="AX151" s="627"/>
      <c r="AZ151" s="3">
        <v>1</v>
      </c>
    </row>
    <row r="152" spans="2:52" ht="21" customHeight="1">
      <c r="B152" s="1333" t="s">
        <v>21</v>
      </c>
      <c r="C152" s="264"/>
      <c r="D152" s="290"/>
      <c r="E152" s="291"/>
      <c r="F152" s="290"/>
      <c r="G152" s="290"/>
      <c r="H152" s="290"/>
      <c r="I152" s="292"/>
      <c r="K152" s="264"/>
      <c r="L152" s="290"/>
      <c r="M152" s="291"/>
      <c r="N152" s="290"/>
      <c r="O152" s="290"/>
      <c r="P152" s="290"/>
      <c r="Q152" s="292"/>
      <c r="S152" s="264"/>
      <c r="T152" s="290"/>
      <c r="U152" s="291"/>
      <c r="V152" s="290"/>
      <c r="W152" s="290"/>
      <c r="X152" s="290"/>
      <c r="Y152" s="292"/>
      <c r="AA152" s="627"/>
      <c r="AB152" s="627"/>
      <c r="AC152" s="627"/>
      <c r="AD152" s="627"/>
      <c r="AE152" s="627"/>
      <c r="AF152" s="627"/>
      <c r="AG152" s="627"/>
      <c r="AH152" s="627"/>
      <c r="AI152" s="627"/>
      <c r="AJ152" s="627"/>
      <c r="AK152" s="627"/>
      <c r="AL152" s="627"/>
      <c r="AM152" s="627"/>
      <c r="AN152" s="627"/>
      <c r="AO152" s="627"/>
      <c r="AP152" s="627"/>
      <c r="AQ152" s="627"/>
      <c r="AR152" s="627"/>
      <c r="AS152" s="627"/>
      <c r="AT152" s="627"/>
      <c r="AU152" s="627"/>
      <c r="AV152" s="627"/>
      <c r="AW152" s="627"/>
      <c r="AX152" s="627"/>
      <c r="AZ152" s="3">
        <v>1</v>
      </c>
    </row>
    <row r="153" spans="2:52" ht="21" customHeight="1">
      <c r="B153" s="1333" t="s">
        <v>21</v>
      </c>
      <c r="C153" s="356" t="s">
        <v>69</v>
      </c>
      <c r="D153" s="357" t="s">
        <v>381</v>
      </c>
      <c r="E153" s="45"/>
      <c r="F153" s="45"/>
      <c r="G153" s="45"/>
      <c r="H153" s="45"/>
      <c r="I153" s="46"/>
      <c r="K153" s="356" t="s">
        <v>69</v>
      </c>
      <c r="L153" s="357" t="s">
        <v>382</v>
      </c>
      <c r="M153" s="45"/>
      <c r="N153" s="45"/>
      <c r="O153" s="45"/>
      <c r="P153" s="45"/>
      <c r="Q153" s="46"/>
      <c r="S153" s="356" t="s">
        <v>69</v>
      </c>
      <c r="T153" s="357" t="s">
        <v>383</v>
      </c>
      <c r="U153" s="45"/>
      <c r="V153" s="45"/>
      <c r="W153" s="45"/>
      <c r="X153" s="45"/>
      <c r="Y153" s="46"/>
      <c r="AA153" s="627"/>
      <c r="AB153" s="627"/>
      <c r="AC153" s="627"/>
      <c r="AD153" s="627"/>
      <c r="AE153" s="627"/>
      <c r="AF153" s="627"/>
      <c r="AG153" s="627"/>
      <c r="AH153" s="627"/>
      <c r="AI153" s="627"/>
      <c r="AJ153" s="627"/>
      <c r="AK153" s="627"/>
      <c r="AL153" s="627"/>
      <c r="AM153" s="627"/>
      <c r="AN153" s="627"/>
      <c r="AO153" s="627"/>
      <c r="AP153" s="627"/>
      <c r="AQ153" s="627"/>
      <c r="AR153" s="627"/>
      <c r="AS153" s="627"/>
      <c r="AT153" s="627"/>
      <c r="AU153" s="627"/>
      <c r="AV153" s="627"/>
      <c r="AW153" s="627"/>
      <c r="AX153" s="627"/>
      <c r="AZ153" s="3">
        <v>1</v>
      </c>
    </row>
    <row r="154" spans="2:52" ht="21" customHeight="1">
      <c r="B154" s="1333" t="s">
        <v>21</v>
      </c>
      <c r="C154" s="324" t="s">
        <v>336</v>
      </c>
      <c r="D154" s="45"/>
      <c r="E154" s="45"/>
      <c r="F154" s="45"/>
      <c r="G154" s="45"/>
      <c r="H154" s="45"/>
      <c r="I154" s="46"/>
      <c r="K154" s="324" t="s">
        <v>337</v>
      </c>
      <c r="L154" s="45"/>
      <c r="M154" s="45"/>
      <c r="N154" s="45"/>
      <c r="O154" s="45"/>
      <c r="P154" s="45"/>
      <c r="Q154" s="46"/>
      <c r="S154" s="324" t="s">
        <v>338</v>
      </c>
      <c r="T154" s="45"/>
      <c r="U154" s="45"/>
      <c r="V154" s="45"/>
      <c r="W154" s="45"/>
      <c r="X154" s="45"/>
      <c r="Y154" s="46"/>
      <c r="AA154" s="627"/>
      <c r="AB154" s="627"/>
      <c r="AC154" s="627"/>
      <c r="AD154" s="627"/>
      <c r="AE154" s="627"/>
      <c r="AF154" s="627"/>
      <c r="AG154" s="627"/>
      <c r="AH154" s="627"/>
      <c r="AI154" s="627"/>
      <c r="AJ154" s="627"/>
      <c r="AK154" s="627"/>
      <c r="AL154" s="627"/>
      <c r="AM154" s="627"/>
      <c r="AN154" s="627"/>
      <c r="AO154" s="627"/>
      <c r="AP154" s="627"/>
      <c r="AQ154" s="627"/>
      <c r="AR154" s="627"/>
      <c r="AS154" s="627"/>
      <c r="AT154" s="627"/>
      <c r="AU154" s="627"/>
      <c r="AV154" s="627"/>
      <c r="AW154" s="627"/>
      <c r="AX154" s="627"/>
      <c r="AZ154" s="3">
        <v>1</v>
      </c>
    </row>
    <row r="155" spans="2:52" ht="21" customHeight="1">
      <c r="B155" s="1333" t="s">
        <v>21</v>
      </c>
      <c r="C155" s="44"/>
      <c r="D155" s="45"/>
      <c r="E155" s="45"/>
      <c r="F155" s="45"/>
      <c r="G155" s="45"/>
      <c r="H155" s="45"/>
      <c r="I155" s="46"/>
      <c r="K155" s="44"/>
      <c r="L155" s="45"/>
      <c r="M155" s="45"/>
      <c r="N155" s="45"/>
      <c r="O155" s="45"/>
      <c r="P155" s="45"/>
      <c r="Q155" s="46"/>
      <c r="S155" s="44"/>
      <c r="T155" s="45"/>
      <c r="U155" s="45"/>
      <c r="V155" s="45"/>
      <c r="W155" s="45"/>
      <c r="X155" s="45"/>
      <c r="Y155" s="46"/>
      <c r="AH155" s="627"/>
      <c r="AP155" s="627"/>
      <c r="AX155" s="627"/>
      <c r="AZ155" s="3">
        <v>1</v>
      </c>
    </row>
    <row r="156" spans="2:52" ht="21" customHeight="1">
      <c r="B156" s="1333" t="s">
        <v>21</v>
      </c>
      <c r="C156" s="157"/>
      <c r="D156" s="158"/>
      <c r="E156" s="159"/>
      <c r="F156" s="158"/>
      <c r="G156" s="158"/>
      <c r="H156" s="158"/>
      <c r="I156" s="160"/>
      <c r="K156" s="157"/>
      <c r="L156" s="158"/>
      <c r="M156" s="159"/>
      <c r="N156" s="158"/>
      <c r="O156" s="158"/>
      <c r="P156" s="158"/>
      <c r="Q156" s="160"/>
      <c r="S156" s="157"/>
      <c r="T156" s="158"/>
      <c r="U156" s="159"/>
      <c r="V156" s="158"/>
      <c r="W156" s="158"/>
      <c r="X156" s="158"/>
      <c r="Y156" s="160"/>
      <c r="AH156" s="627"/>
      <c r="AP156" s="627"/>
      <c r="AX156" s="627"/>
      <c r="AZ156" s="3">
        <v>1</v>
      </c>
    </row>
    <row r="157" spans="2:52" ht="21" customHeight="1">
      <c r="B157" s="1333" t="s">
        <v>21</v>
      </c>
      <c r="C157" s="264"/>
      <c r="D157" s="290"/>
      <c r="E157" s="291"/>
      <c r="F157" s="290"/>
      <c r="G157" s="290"/>
      <c r="H157" s="290"/>
      <c r="I157" s="292"/>
      <c r="K157" s="264"/>
      <c r="L157" s="290"/>
      <c r="M157" s="291"/>
      <c r="N157" s="290"/>
      <c r="O157" s="290"/>
      <c r="P157" s="290"/>
      <c r="Q157" s="292"/>
      <c r="S157" s="264"/>
      <c r="T157" s="290"/>
      <c r="U157" s="291"/>
      <c r="V157" s="290"/>
      <c r="W157" s="290"/>
      <c r="X157" s="290"/>
      <c r="Y157" s="292"/>
      <c r="AH157" s="627"/>
      <c r="AP157" s="627"/>
      <c r="AX157" s="627"/>
      <c r="AZ157" s="3">
        <v>1</v>
      </c>
    </row>
    <row r="158" spans="2:52" ht="21" customHeight="1">
      <c r="B158" s="1333" t="s">
        <v>21</v>
      </c>
      <c r="C158" s="6588" t="s">
        <v>388</v>
      </c>
      <c r="D158" s="365">
        <v>1</v>
      </c>
      <c r="E158" s="366" t="s">
        <v>389</v>
      </c>
      <c r="F158" s="45"/>
      <c r="G158" s="45"/>
      <c r="H158" s="45"/>
      <c r="I158" s="46"/>
      <c r="K158" s="6588" t="s">
        <v>388</v>
      </c>
      <c r="L158" s="365">
        <v>1</v>
      </c>
      <c r="M158" s="366" t="s">
        <v>390</v>
      </c>
      <c r="N158" s="45"/>
      <c r="O158" s="45"/>
      <c r="P158" s="45"/>
      <c r="Q158" s="46"/>
      <c r="S158" s="6588" t="s">
        <v>388</v>
      </c>
      <c r="T158" s="365">
        <v>1</v>
      </c>
      <c r="U158" s="366" t="s">
        <v>392</v>
      </c>
      <c r="V158" s="45"/>
      <c r="W158" s="45"/>
      <c r="X158" s="45"/>
      <c r="Y158" s="46"/>
      <c r="AH158" s="627"/>
      <c r="AP158" s="627"/>
      <c r="AX158" s="627"/>
      <c r="AZ158" s="3">
        <v>1</v>
      </c>
    </row>
    <row r="159" spans="2:52" ht="21" customHeight="1">
      <c r="B159" s="1333" t="s">
        <v>21</v>
      </c>
      <c r="C159" s="6588"/>
      <c r="D159" s="94">
        <v>2</v>
      </c>
      <c r="E159" s="366" t="s">
        <v>393</v>
      </c>
      <c r="F159" s="45"/>
      <c r="G159" s="45"/>
      <c r="H159" s="45"/>
      <c r="I159" s="46"/>
      <c r="K159" s="6588"/>
      <c r="L159" s="94">
        <v>2</v>
      </c>
      <c r="M159" s="366" t="s">
        <v>394</v>
      </c>
      <c r="N159" s="45"/>
      <c r="O159" s="45"/>
      <c r="P159" s="45"/>
      <c r="Q159" s="46"/>
      <c r="S159" s="6588"/>
      <c r="T159" s="94">
        <v>2</v>
      </c>
      <c r="U159" s="366" t="s">
        <v>395</v>
      </c>
      <c r="V159" s="45"/>
      <c r="W159" s="45"/>
      <c r="X159" s="45"/>
      <c r="Y159" s="46"/>
      <c r="AH159" s="627"/>
      <c r="AP159" s="627"/>
      <c r="AX159" s="627"/>
      <c r="AZ159" s="3">
        <v>1</v>
      </c>
    </row>
    <row r="160" spans="2:52" ht="21" customHeight="1">
      <c r="B160" s="1333" t="s">
        <v>21</v>
      </c>
      <c r="C160" s="6588"/>
      <c r="D160" s="369" t="s">
        <v>396</v>
      </c>
      <c r="E160" s="370"/>
      <c r="F160" s="45"/>
      <c r="G160" s="45"/>
      <c r="H160" s="45"/>
      <c r="I160" s="46"/>
      <c r="K160" s="6588"/>
      <c r="L160" s="369" t="s">
        <v>9036</v>
      </c>
      <c r="M160" s="370"/>
      <c r="N160" s="45"/>
      <c r="O160" s="45"/>
      <c r="P160" s="45"/>
      <c r="Q160" s="46"/>
      <c r="S160" s="6588"/>
      <c r="T160" s="369" t="s">
        <v>9037</v>
      </c>
      <c r="U160" s="370"/>
      <c r="V160" s="45"/>
      <c r="W160" s="45"/>
      <c r="X160" s="45"/>
      <c r="Y160" s="46"/>
      <c r="AH160" s="627"/>
      <c r="AP160" s="627"/>
      <c r="AX160" s="627"/>
      <c r="AZ160" s="3">
        <v>1</v>
      </c>
    </row>
    <row r="161" spans="2:52" ht="21" customHeight="1">
      <c r="B161" s="1333" t="s">
        <v>21</v>
      </c>
      <c r="C161" s="6588"/>
      <c r="D161" s="373" t="s">
        <v>397</v>
      </c>
      <c r="E161" s="374"/>
      <c r="F161" s="45"/>
      <c r="G161" s="45"/>
      <c r="H161" s="45"/>
      <c r="I161" s="46"/>
      <c r="K161" s="6588"/>
      <c r="L161" s="373" t="s">
        <v>398</v>
      </c>
      <c r="M161" s="374"/>
      <c r="N161" s="45"/>
      <c r="O161" s="45"/>
      <c r="P161" s="45"/>
      <c r="Q161" s="46"/>
      <c r="S161" s="6588"/>
      <c r="T161" s="373" t="s">
        <v>399</v>
      </c>
      <c r="U161" s="374"/>
      <c r="V161" s="45"/>
      <c r="W161" s="45"/>
      <c r="X161" s="45"/>
      <c r="Y161" s="46"/>
      <c r="AH161" s="627"/>
      <c r="AP161" s="627"/>
      <c r="AX161" s="627"/>
      <c r="AZ161" s="3">
        <v>1</v>
      </c>
    </row>
    <row r="162" spans="2:52" ht="21" customHeight="1">
      <c r="B162" s="1333" t="s">
        <v>21</v>
      </c>
      <c r="C162" s="6588"/>
      <c r="D162" s="373" t="s">
        <v>400</v>
      </c>
      <c r="E162" s="374"/>
      <c r="F162" s="45"/>
      <c r="G162" s="45"/>
      <c r="H162" s="45"/>
      <c r="I162" s="46"/>
      <c r="K162" s="6588"/>
      <c r="L162" s="373" t="s">
        <v>401</v>
      </c>
      <c r="M162" s="374"/>
      <c r="N162" s="45"/>
      <c r="O162" s="45"/>
      <c r="P162" s="45"/>
      <c r="Q162" s="46"/>
      <c r="S162" s="6588"/>
      <c r="T162" s="373" t="s">
        <v>402</v>
      </c>
      <c r="U162" s="374"/>
      <c r="V162" s="45"/>
      <c r="W162" s="45"/>
      <c r="X162" s="45"/>
      <c r="Y162" s="46"/>
      <c r="AH162" s="627"/>
      <c r="AP162" s="627"/>
      <c r="AX162" s="627"/>
      <c r="AZ162" s="3">
        <v>1</v>
      </c>
    </row>
    <row r="163" spans="2:52" ht="21" customHeight="1">
      <c r="B163" s="1333" t="s">
        <v>21</v>
      </c>
      <c r="C163" s="6588"/>
      <c r="D163" s="148" t="s">
        <v>404</v>
      </c>
      <c r="E163" s="374"/>
      <c r="F163" s="45"/>
      <c r="G163" s="45"/>
      <c r="H163" s="45"/>
      <c r="I163" s="46"/>
      <c r="K163" s="6588"/>
      <c r="L163" s="148" t="s">
        <v>405</v>
      </c>
      <c r="M163" s="374"/>
      <c r="N163" s="45"/>
      <c r="O163" s="45"/>
      <c r="P163" s="45"/>
      <c r="Q163" s="46"/>
      <c r="S163" s="6588"/>
      <c r="T163" s="148" t="s">
        <v>406</v>
      </c>
      <c r="U163" s="374"/>
      <c r="V163" s="45"/>
      <c r="W163" s="45"/>
      <c r="X163" s="45"/>
      <c r="Y163" s="46"/>
      <c r="AH163" s="627"/>
      <c r="AP163" s="627"/>
      <c r="AX163" s="627"/>
      <c r="AZ163" s="3">
        <v>1</v>
      </c>
    </row>
    <row r="164" spans="2:52" ht="21" customHeight="1">
      <c r="B164" s="1333" t="s">
        <v>21</v>
      </c>
      <c r="C164" s="6588"/>
      <c r="D164" s="378" t="s">
        <v>408</v>
      </c>
      <c r="E164" s="374"/>
      <c r="F164" s="45"/>
      <c r="G164" s="45"/>
      <c r="H164" s="45"/>
      <c r="I164" s="46"/>
      <c r="K164" s="6588"/>
      <c r="L164" s="378" t="s">
        <v>409</v>
      </c>
      <c r="M164" s="374"/>
      <c r="N164" s="45"/>
      <c r="O164" s="45"/>
      <c r="P164" s="45"/>
      <c r="Q164" s="46"/>
      <c r="S164" s="6588"/>
      <c r="T164" s="378" t="s">
        <v>410</v>
      </c>
      <c r="U164" s="374"/>
      <c r="V164" s="45"/>
      <c r="W164" s="45"/>
      <c r="X164" s="45"/>
      <c r="Y164" s="46"/>
      <c r="AH164" s="627"/>
      <c r="AP164" s="627"/>
      <c r="AX164" s="627"/>
      <c r="AZ164" s="3">
        <v>1</v>
      </c>
    </row>
    <row r="165" spans="2:52" ht="21" customHeight="1">
      <c r="B165" s="1333" t="s">
        <v>21</v>
      </c>
      <c r="C165" s="6588"/>
      <c r="D165" s="373" t="s">
        <v>412</v>
      </c>
      <c r="E165" s="379"/>
      <c r="F165" s="45"/>
      <c r="G165" s="45"/>
      <c r="H165" s="45"/>
      <c r="I165" s="46"/>
      <c r="K165" s="6588"/>
      <c r="L165" s="373" t="s">
        <v>413</v>
      </c>
      <c r="M165" s="379"/>
      <c r="N165" s="45"/>
      <c r="O165" s="45"/>
      <c r="P165" s="45"/>
      <c r="Q165" s="46"/>
      <c r="S165" s="6588"/>
      <c r="T165" s="373" t="s">
        <v>414</v>
      </c>
      <c r="U165" s="379"/>
      <c r="V165" s="45"/>
      <c r="W165" s="45"/>
      <c r="X165" s="45"/>
      <c r="Y165" s="46"/>
      <c r="AH165" s="627"/>
      <c r="AP165" s="627"/>
      <c r="AX165" s="627"/>
      <c r="AZ165" s="3">
        <v>1</v>
      </c>
    </row>
    <row r="166" spans="2:52" ht="21" customHeight="1">
      <c r="B166" s="1333" t="s">
        <v>21</v>
      </c>
      <c r="C166" s="44"/>
      <c r="D166" s="45"/>
      <c r="E166" s="45"/>
      <c r="F166" s="45"/>
      <c r="G166" s="45"/>
      <c r="H166" s="45"/>
      <c r="I166" s="46"/>
      <c r="K166" s="44"/>
      <c r="L166" s="45"/>
      <c r="M166" s="45"/>
      <c r="N166" s="45"/>
      <c r="O166" s="45"/>
      <c r="P166" s="45"/>
      <c r="Q166" s="46"/>
      <c r="S166" s="44"/>
      <c r="T166" s="45"/>
      <c r="U166" s="45"/>
      <c r="V166" s="45"/>
      <c r="W166" s="45"/>
      <c r="X166" s="45"/>
      <c r="Y166" s="46"/>
      <c r="AH166" s="627"/>
      <c r="AP166" s="627"/>
      <c r="AX166" s="627"/>
      <c r="AZ166" s="3">
        <v>1</v>
      </c>
    </row>
    <row r="167" spans="2:52" ht="21" customHeight="1">
      <c r="B167" s="1333" t="s">
        <v>21</v>
      </c>
      <c r="C167" s="44"/>
      <c r="D167" s="45"/>
      <c r="E167" s="45"/>
      <c r="F167" s="45"/>
      <c r="G167" s="45"/>
      <c r="H167" s="45"/>
      <c r="I167" s="46"/>
      <c r="K167" s="44"/>
      <c r="L167" s="45"/>
      <c r="M167" s="45"/>
      <c r="N167" s="45"/>
      <c r="O167" s="45"/>
      <c r="P167" s="45"/>
      <c r="Q167" s="46"/>
      <c r="S167" s="44"/>
      <c r="T167" s="45"/>
      <c r="U167" s="45"/>
      <c r="V167" s="45"/>
      <c r="W167" s="45"/>
      <c r="X167" s="45"/>
      <c r="Y167" s="46"/>
      <c r="AH167" s="627"/>
      <c r="AP167" s="627"/>
      <c r="AX167" s="627"/>
      <c r="AZ167" s="3">
        <v>1</v>
      </c>
    </row>
    <row r="168" spans="2:52" ht="21" customHeight="1">
      <c r="B168" s="1333" t="s">
        <v>21</v>
      </c>
      <c r="C168" s="44"/>
      <c r="D168" s="45"/>
      <c r="E168" s="45"/>
      <c r="F168" s="45"/>
      <c r="G168" s="45"/>
      <c r="H168" s="45"/>
      <c r="I168" s="46"/>
      <c r="K168" s="44"/>
      <c r="L168" s="45"/>
      <c r="M168" s="45"/>
      <c r="N168" s="45"/>
      <c r="O168" s="45"/>
      <c r="P168" s="45"/>
      <c r="Q168" s="46"/>
      <c r="S168" s="44"/>
      <c r="T168" s="45"/>
      <c r="U168" s="45"/>
      <c r="V168" s="45"/>
      <c r="W168" s="45"/>
      <c r="X168" s="45"/>
      <c r="Y168" s="46"/>
      <c r="AH168" s="627"/>
      <c r="AP168" s="627"/>
      <c r="AX168" s="627"/>
      <c r="AZ168" s="3">
        <v>1</v>
      </c>
    </row>
    <row r="169" spans="2:52" ht="21" customHeight="1">
      <c r="B169" s="1333" t="s">
        <v>21</v>
      </c>
      <c r="C169" s="44"/>
      <c r="D169" s="45"/>
      <c r="E169" s="45"/>
      <c r="F169" s="45"/>
      <c r="G169" s="45"/>
      <c r="H169" s="45"/>
      <c r="I169" s="46"/>
      <c r="K169" s="44"/>
      <c r="L169" s="45"/>
      <c r="M169" s="45"/>
      <c r="N169" s="45"/>
      <c r="O169" s="45"/>
      <c r="P169" s="45"/>
      <c r="Q169" s="46"/>
      <c r="S169" s="44"/>
      <c r="T169" s="45"/>
      <c r="U169" s="45"/>
      <c r="V169" s="45"/>
      <c r="W169" s="45"/>
      <c r="X169" s="45"/>
      <c r="Y169" s="46"/>
      <c r="AH169" s="627"/>
      <c r="AP169" s="627"/>
      <c r="AX169" s="627"/>
      <c r="AZ169" s="3">
        <v>1</v>
      </c>
    </row>
    <row r="170" spans="2:52" ht="21" customHeight="1">
      <c r="B170" s="1333" t="s">
        <v>21</v>
      </c>
      <c r="C170" s="44"/>
      <c r="D170" s="45"/>
      <c r="E170" s="45"/>
      <c r="F170" s="45"/>
      <c r="G170" s="45"/>
      <c r="H170" s="45"/>
      <c r="I170" s="46"/>
      <c r="K170" s="44"/>
      <c r="L170" s="45"/>
      <c r="M170" s="45"/>
      <c r="N170" s="45"/>
      <c r="O170" s="45"/>
      <c r="P170" s="45"/>
      <c r="Q170" s="46"/>
      <c r="S170" s="44"/>
      <c r="T170" s="45"/>
      <c r="U170" s="45"/>
      <c r="V170" s="45"/>
      <c r="W170" s="45"/>
      <c r="X170" s="45"/>
      <c r="Y170" s="46"/>
      <c r="AH170" s="627"/>
      <c r="AP170" s="627"/>
      <c r="AX170" s="627"/>
      <c r="AZ170" s="3">
        <v>1</v>
      </c>
    </row>
    <row r="171" spans="2:52" ht="21" customHeight="1">
      <c r="B171" s="1333" t="s">
        <v>21</v>
      </c>
      <c r="C171" s="44"/>
      <c r="D171" s="45"/>
      <c r="E171" s="45"/>
      <c r="F171" s="45"/>
      <c r="G171" s="45"/>
      <c r="H171" s="45"/>
      <c r="I171" s="46"/>
      <c r="K171" s="44"/>
      <c r="L171" s="45"/>
      <c r="M171" s="45"/>
      <c r="N171" s="45"/>
      <c r="O171" s="45"/>
      <c r="P171" s="45"/>
      <c r="Q171" s="46"/>
      <c r="S171" s="44"/>
      <c r="T171" s="45"/>
      <c r="U171" s="45"/>
      <c r="V171" s="45"/>
      <c r="W171" s="45"/>
      <c r="X171" s="45"/>
      <c r="Y171" s="46"/>
      <c r="AH171" s="627"/>
      <c r="AP171" s="627"/>
      <c r="AX171" s="627"/>
      <c r="AZ171" s="3">
        <v>1</v>
      </c>
    </row>
    <row r="172" spans="2:52" ht="21" customHeight="1">
      <c r="B172" s="1333" t="s">
        <v>21</v>
      </c>
      <c r="C172" s="44"/>
      <c r="D172" s="45"/>
      <c r="E172" s="45"/>
      <c r="F172" s="45"/>
      <c r="G172" s="45"/>
      <c r="H172" s="45"/>
      <c r="I172" s="46"/>
      <c r="K172" s="44"/>
      <c r="L172" s="45"/>
      <c r="M172" s="45"/>
      <c r="N172" s="45"/>
      <c r="O172" s="45"/>
      <c r="P172" s="45"/>
      <c r="Q172" s="46"/>
      <c r="S172" s="44"/>
      <c r="T172" s="45"/>
      <c r="U172" s="45"/>
      <c r="V172" s="45"/>
      <c r="W172" s="45"/>
      <c r="X172" s="45"/>
      <c r="Y172" s="46"/>
      <c r="AH172" s="627"/>
      <c r="AP172" s="627"/>
      <c r="AX172" s="627"/>
      <c r="AZ172" s="3">
        <v>1</v>
      </c>
    </row>
    <row r="173" spans="2:52" ht="21" customHeight="1">
      <c r="B173" s="1333" t="s">
        <v>21</v>
      </c>
      <c r="C173" s="44"/>
      <c r="D173" s="45"/>
      <c r="E173" s="45"/>
      <c r="F173" s="45"/>
      <c r="G173" s="45"/>
      <c r="H173" s="45"/>
      <c r="I173" s="46"/>
      <c r="K173" s="44"/>
      <c r="L173" s="45"/>
      <c r="M173" s="45"/>
      <c r="N173" s="45"/>
      <c r="O173" s="45"/>
      <c r="P173" s="45"/>
      <c r="Q173" s="46"/>
      <c r="S173" s="44"/>
      <c r="T173" s="45"/>
      <c r="U173" s="45"/>
      <c r="V173" s="45"/>
      <c r="W173" s="45"/>
      <c r="X173" s="45"/>
      <c r="Y173" s="46"/>
      <c r="AH173" s="627"/>
      <c r="AP173" s="627"/>
      <c r="AX173" s="627"/>
      <c r="AZ173" s="3">
        <v>1</v>
      </c>
    </row>
    <row r="174" spans="2:52" ht="21" customHeight="1">
      <c r="B174" s="1333" t="s">
        <v>21</v>
      </c>
      <c r="C174" s="44"/>
      <c r="D174" s="45"/>
      <c r="E174" s="45"/>
      <c r="F174" s="45"/>
      <c r="G174" s="45"/>
      <c r="H174" s="45"/>
      <c r="I174" s="46"/>
      <c r="K174" s="44"/>
      <c r="L174" s="45"/>
      <c r="M174" s="45"/>
      <c r="N174" s="45"/>
      <c r="O174" s="45"/>
      <c r="P174" s="45"/>
      <c r="Q174" s="46"/>
      <c r="S174" s="44"/>
      <c r="T174" s="45"/>
      <c r="U174" s="45"/>
      <c r="V174" s="45"/>
      <c r="W174" s="45"/>
      <c r="X174" s="45"/>
      <c r="Y174" s="46"/>
      <c r="AH174" s="627"/>
      <c r="AP174" s="627"/>
      <c r="AX174" s="627"/>
      <c r="AZ174" s="3">
        <v>1</v>
      </c>
    </row>
    <row r="175" spans="2:52" ht="21" customHeight="1">
      <c r="B175" s="1333" t="s">
        <v>21</v>
      </c>
      <c r="C175" s="44"/>
      <c r="D175" s="45"/>
      <c r="E175" s="45"/>
      <c r="F175" s="45"/>
      <c r="G175" s="45"/>
      <c r="H175" s="45"/>
      <c r="I175" s="46"/>
      <c r="K175" s="44"/>
      <c r="L175" s="45"/>
      <c r="M175" s="45"/>
      <c r="N175" s="45"/>
      <c r="O175" s="45"/>
      <c r="P175" s="45"/>
      <c r="Q175" s="46"/>
      <c r="S175" s="44"/>
      <c r="T175" s="45"/>
      <c r="U175" s="45"/>
      <c r="V175" s="45"/>
      <c r="W175" s="45"/>
      <c r="X175" s="45"/>
      <c r="Y175" s="46"/>
      <c r="AH175" s="627"/>
      <c r="AP175" s="627"/>
      <c r="AX175" s="627"/>
      <c r="AZ175" s="3">
        <v>1</v>
      </c>
    </row>
    <row r="176" spans="2:52" ht="21" customHeight="1">
      <c r="B176" s="1333" t="s">
        <v>21</v>
      </c>
      <c r="C176" s="44"/>
      <c r="D176" s="45"/>
      <c r="E176" s="45"/>
      <c r="F176" s="45"/>
      <c r="G176" s="45"/>
      <c r="H176" s="45"/>
      <c r="I176" s="46"/>
      <c r="K176" s="44"/>
      <c r="L176" s="45"/>
      <c r="M176" s="45"/>
      <c r="N176" s="45"/>
      <c r="O176" s="45"/>
      <c r="P176" s="45"/>
      <c r="Q176" s="46"/>
      <c r="S176" s="44"/>
      <c r="T176" s="45"/>
      <c r="U176" s="45"/>
      <c r="V176" s="45"/>
      <c r="W176" s="45"/>
      <c r="X176" s="45"/>
      <c r="Y176" s="46"/>
      <c r="AH176" s="627"/>
      <c r="AP176" s="627"/>
      <c r="AX176" s="627"/>
      <c r="AZ176" s="3">
        <v>1</v>
      </c>
    </row>
    <row r="177" spans="2:52" ht="21" customHeight="1">
      <c r="B177" s="1333" t="s">
        <v>21</v>
      </c>
      <c r="C177" s="44"/>
      <c r="D177" s="45"/>
      <c r="E177" s="45"/>
      <c r="F177" s="45"/>
      <c r="G177" s="45"/>
      <c r="H177" s="45"/>
      <c r="I177" s="46"/>
      <c r="K177" s="44"/>
      <c r="L177" s="45"/>
      <c r="M177" s="45"/>
      <c r="N177" s="45"/>
      <c r="O177" s="45"/>
      <c r="P177" s="45"/>
      <c r="Q177" s="46"/>
      <c r="S177" s="44"/>
      <c r="T177" s="45"/>
      <c r="U177" s="45"/>
      <c r="V177" s="45"/>
      <c r="W177" s="45"/>
      <c r="X177" s="45"/>
      <c r="Y177" s="46"/>
      <c r="AH177" s="627"/>
      <c r="AP177" s="627"/>
      <c r="AX177" s="627"/>
      <c r="AZ177" s="3">
        <v>1</v>
      </c>
    </row>
    <row r="178" spans="2:52" ht="21" customHeight="1">
      <c r="B178" s="1333" t="s">
        <v>21</v>
      </c>
      <c r="C178" s="44"/>
      <c r="D178" s="386" t="s">
        <v>70</v>
      </c>
      <c r="E178" s="350" t="s">
        <v>82</v>
      </c>
      <c r="F178" s="45"/>
      <c r="G178" s="45"/>
      <c r="H178" s="45"/>
      <c r="I178" s="46"/>
      <c r="K178" s="44"/>
      <c r="L178" s="386" t="s">
        <v>70</v>
      </c>
      <c r="M178" s="350" t="s">
        <v>82</v>
      </c>
      <c r="N178" s="45"/>
      <c r="O178" s="45"/>
      <c r="P178" s="45"/>
      <c r="Q178" s="46"/>
      <c r="S178" s="44"/>
      <c r="T178" s="386" t="s">
        <v>70</v>
      </c>
      <c r="U178" s="350" t="s">
        <v>82</v>
      </c>
      <c r="V178" s="45"/>
      <c r="W178" s="45"/>
      <c r="X178" s="45"/>
      <c r="Y178" s="46"/>
      <c r="AH178" s="627"/>
      <c r="AP178" s="627"/>
      <c r="AX178" s="627"/>
      <c r="AZ178" s="3">
        <v>1</v>
      </c>
    </row>
    <row r="179" spans="2:52" ht="21" customHeight="1">
      <c r="B179" s="1333" t="s">
        <v>21</v>
      </c>
      <c r="C179" s="44"/>
      <c r="D179" s="350"/>
      <c r="E179" s="350"/>
      <c r="F179" s="45"/>
      <c r="G179" s="45"/>
      <c r="H179" s="45"/>
      <c r="I179" s="46"/>
      <c r="K179" s="44"/>
      <c r="L179" s="350"/>
      <c r="M179" s="388"/>
      <c r="N179" s="45"/>
      <c r="O179" s="45"/>
      <c r="P179" s="45"/>
      <c r="Q179" s="46"/>
      <c r="S179" s="44"/>
      <c r="T179" s="350"/>
      <c r="U179" s="350"/>
      <c r="V179" s="45"/>
      <c r="W179" s="45"/>
      <c r="X179" s="45"/>
      <c r="Y179" s="46"/>
      <c r="AH179" s="627"/>
      <c r="AP179" s="627"/>
      <c r="AX179" s="627"/>
      <c r="AZ179" s="3">
        <v>1</v>
      </c>
    </row>
    <row r="180" spans="2:52" ht="21" customHeight="1">
      <c r="B180" s="1333" t="s">
        <v>21</v>
      </c>
      <c r="C180" s="44"/>
      <c r="D180" s="387" t="s">
        <v>428</v>
      </c>
      <c r="E180" s="388" t="s">
        <v>429</v>
      </c>
      <c r="F180" s="45"/>
      <c r="G180" s="45"/>
      <c r="H180" s="45"/>
      <c r="I180" s="46"/>
      <c r="K180" s="44"/>
      <c r="L180" s="2317" t="s">
        <v>428</v>
      </c>
      <c r="M180" s="388" t="s">
        <v>9038</v>
      </c>
      <c r="N180" s="45"/>
      <c r="O180" s="45"/>
      <c r="P180" s="45"/>
      <c r="Q180" s="46"/>
      <c r="S180" s="44"/>
      <c r="T180" s="387" t="s">
        <v>431</v>
      </c>
      <c r="U180" s="388" t="s">
        <v>9039</v>
      </c>
      <c r="V180" s="45"/>
      <c r="W180" s="45"/>
      <c r="X180" s="45"/>
      <c r="Y180" s="46"/>
      <c r="AH180" s="627"/>
      <c r="AP180" s="627"/>
      <c r="AX180" s="627"/>
      <c r="AZ180" s="3">
        <v>1</v>
      </c>
    </row>
    <row r="181" spans="2:52" ht="21" customHeight="1">
      <c r="B181" s="1333" t="s">
        <v>21</v>
      </c>
      <c r="C181" s="44"/>
      <c r="D181" s="389"/>
      <c r="E181" s="388" t="s">
        <v>433</v>
      </c>
      <c r="F181" s="45"/>
      <c r="G181" s="45"/>
      <c r="H181" s="45"/>
      <c r="I181" s="46"/>
      <c r="K181" s="44"/>
      <c r="L181" s="389"/>
      <c r="M181" s="388" t="s">
        <v>9040</v>
      </c>
      <c r="N181" s="45"/>
      <c r="O181" s="45"/>
      <c r="P181" s="45"/>
      <c r="Q181" s="46"/>
      <c r="S181" s="44"/>
      <c r="T181" s="389"/>
      <c r="U181" s="388" t="s">
        <v>9041</v>
      </c>
      <c r="V181" s="45"/>
      <c r="W181" s="45"/>
      <c r="X181" s="45"/>
      <c r="Y181" s="46"/>
      <c r="AH181" s="627"/>
      <c r="AP181" s="627"/>
      <c r="AX181" s="627"/>
      <c r="AZ181" s="3">
        <v>1</v>
      </c>
    </row>
    <row r="182" spans="2:52" ht="21" customHeight="1">
      <c r="B182" s="1333" t="s">
        <v>21</v>
      </c>
      <c r="C182" s="44"/>
      <c r="D182" s="388"/>
      <c r="E182" s="350"/>
      <c r="F182" s="45"/>
      <c r="G182" s="45"/>
      <c r="H182" s="45"/>
      <c r="I182" s="46"/>
      <c r="K182" s="44"/>
      <c r="L182" s="388"/>
      <c r="M182" s="350"/>
      <c r="N182" s="45"/>
      <c r="O182" s="45"/>
      <c r="P182" s="45"/>
      <c r="Q182" s="46"/>
      <c r="S182" s="44"/>
      <c r="T182" s="388"/>
      <c r="U182" s="350"/>
      <c r="V182" s="45"/>
      <c r="W182" s="45"/>
      <c r="X182" s="45"/>
      <c r="Y182" s="46"/>
      <c r="AH182" s="627"/>
      <c r="AP182" s="627"/>
      <c r="AX182" s="627"/>
      <c r="AZ182" s="3">
        <v>1</v>
      </c>
    </row>
    <row r="183" spans="2:52" ht="21" customHeight="1">
      <c r="B183" s="1333" t="s">
        <v>21</v>
      </c>
      <c r="C183" s="157"/>
      <c r="D183" s="158"/>
      <c r="E183" s="159"/>
      <c r="F183" s="158"/>
      <c r="G183" s="158"/>
      <c r="H183" s="158"/>
      <c r="I183" s="160"/>
      <c r="K183" s="157"/>
      <c r="L183" s="158"/>
      <c r="M183" s="159"/>
      <c r="N183" s="158"/>
      <c r="O183" s="158"/>
      <c r="P183" s="158"/>
      <c r="Q183" s="160"/>
      <c r="S183" s="157"/>
      <c r="T183" s="158"/>
      <c r="U183" s="159"/>
      <c r="V183" s="158"/>
      <c r="W183" s="158"/>
      <c r="X183" s="158"/>
      <c r="Y183" s="160"/>
      <c r="AH183" s="627"/>
      <c r="AP183" s="627"/>
      <c r="AX183" s="627"/>
      <c r="AZ183" s="3">
        <v>1</v>
      </c>
    </row>
    <row r="184" spans="2:52" ht="21" customHeight="1" thickBot="1">
      <c r="B184" s="1333" t="s">
        <v>21</v>
      </c>
      <c r="C184" s="390"/>
      <c r="D184" s="391"/>
      <c r="E184" s="392"/>
      <c r="F184" s="391"/>
      <c r="G184" s="391"/>
      <c r="H184" s="391"/>
      <c r="I184" s="393"/>
      <c r="K184" s="390"/>
      <c r="L184" s="391"/>
      <c r="M184" s="392"/>
      <c r="N184" s="391"/>
      <c r="O184" s="391"/>
      <c r="P184" s="391"/>
      <c r="Q184" s="393"/>
      <c r="S184" s="390"/>
      <c r="T184" s="391"/>
      <c r="U184" s="392"/>
      <c r="V184" s="391"/>
      <c r="W184" s="391"/>
      <c r="X184" s="391"/>
      <c r="Y184" s="393"/>
      <c r="AH184" s="627"/>
      <c r="AP184" s="627"/>
      <c r="AX184" s="627"/>
      <c r="AZ184" s="3">
        <v>1</v>
      </c>
    </row>
    <row r="185" spans="2:52" ht="21" customHeight="1" thickTop="1">
      <c r="B185" s="1333" t="s">
        <v>21</v>
      </c>
      <c r="C185" s="394"/>
      <c r="D185" s="395" t="s">
        <v>84</v>
      </c>
      <c r="E185" s="396" t="s">
        <v>49</v>
      </c>
      <c r="F185" s="186"/>
      <c r="G185" s="9"/>
      <c r="H185" s="186"/>
      <c r="I185" s="191"/>
      <c r="K185" s="394"/>
      <c r="L185" s="395" t="s">
        <v>84</v>
      </c>
      <c r="M185" s="396" t="s">
        <v>49</v>
      </c>
      <c r="N185" s="186"/>
      <c r="O185" s="9"/>
      <c r="P185" s="186"/>
      <c r="Q185" s="191"/>
      <c r="S185" s="394"/>
      <c r="T185" s="395" t="s">
        <v>247</v>
      </c>
      <c r="U185" s="396" t="s">
        <v>246</v>
      </c>
      <c r="V185" s="186"/>
      <c r="W185" s="9"/>
      <c r="X185" s="186"/>
      <c r="Y185" s="191"/>
      <c r="AH185" s="627"/>
      <c r="AP185" s="627"/>
      <c r="AX185" s="627"/>
      <c r="AZ185" s="3">
        <v>1</v>
      </c>
    </row>
    <row r="186" spans="2:52" ht="21" customHeight="1">
      <c r="B186" s="1333" t="s">
        <v>21</v>
      </c>
      <c r="C186" s="394"/>
      <c r="D186" s="5536" t="s">
        <v>96</v>
      </c>
      <c r="E186" s="88">
        <v>1</v>
      </c>
      <c r="F186" s="186"/>
      <c r="G186" s="9"/>
      <c r="H186" s="186"/>
      <c r="I186" s="191"/>
      <c r="K186" s="394"/>
      <c r="L186" s="397" t="s">
        <v>96</v>
      </c>
      <c r="M186" s="88">
        <v>1</v>
      </c>
      <c r="N186" s="186"/>
      <c r="O186" s="9"/>
      <c r="P186" s="186"/>
      <c r="Q186" s="191"/>
      <c r="S186" s="394"/>
      <c r="T186" s="397" t="s">
        <v>437</v>
      </c>
      <c r="U186" s="88">
        <v>1</v>
      </c>
      <c r="V186" s="186"/>
      <c r="W186" s="9"/>
      <c r="X186" s="186"/>
      <c r="Y186" s="191"/>
      <c r="AH186" s="627"/>
      <c r="AP186" s="627"/>
      <c r="AX186" s="627"/>
      <c r="AZ186" s="3">
        <v>1</v>
      </c>
    </row>
    <row r="187" spans="2:52" ht="21" customHeight="1">
      <c r="B187" s="1333" t="s">
        <v>21</v>
      </c>
      <c r="C187" s="394"/>
      <c r="D187" s="398" t="s">
        <v>438</v>
      </c>
      <c r="E187" s="9"/>
      <c r="F187" s="9"/>
      <c r="G187" s="9"/>
      <c r="H187" s="186"/>
      <c r="I187" s="191"/>
      <c r="K187" s="394"/>
      <c r="L187" s="398" t="s">
        <v>439</v>
      </c>
      <c r="M187" s="9"/>
      <c r="N187" s="9"/>
      <c r="O187" s="9"/>
      <c r="P187" s="186"/>
      <c r="Q187" s="191"/>
      <c r="S187" s="394"/>
      <c r="T187" s="398" t="s">
        <v>440</v>
      </c>
      <c r="U187" s="9"/>
      <c r="V187" s="9"/>
      <c r="W187" s="9"/>
      <c r="X187" s="186"/>
      <c r="Y187" s="191"/>
      <c r="AH187" s="627"/>
      <c r="AP187" s="627"/>
      <c r="AX187" s="627"/>
      <c r="AZ187" s="3">
        <v>1</v>
      </c>
    </row>
    <row r="188" spans="2:52" ht="21" customHeight="1">
      <c r="B188" s="1333" t="s">
        <v>21</v>
      </c>
      <c r="C188" s="394"/>
      <c r="D188" s="398" t="s">
        <v>441</v>
      </c>
      <c r="E188" s="9"/>
      <c r="F188" s="9"/>
      <c r="G188" s="9"/>
      <c r="H188" s="186"/>
      <c r="I188" s="191"/>
      <c r="K188" s="394"/>
      <c r="L188" s="398" t="s">
        <v>442</v>
      </c>
      <c r="M188" s="9"/>
      <c r="N188" s="9"/>
      <c r="O188" s="9"/>
      <c r="P188" s="186"/>
      <c r="Q188" s="191"/>
      <c r="S188" s="394"/>
      <c r="T188" s="398" t="s">
        <v>443</v>
      </c>
      <c r="U188" s="9"/>
      <c r="V188" s="9"/>
      <c r="W188" s="9"/>
      <c r="X188" s="186"/>
      <c r="Y188" s="191"/>
      <c r="AH188" s="627"/>
      <c r="AP188" s="627"/>
      <c r="AX188" s="627"/>
      <c r="AZ188" s="3">
        <v>1</v>
      </c>
    </row>
    <row r="189" spans="2:52" ht="21" customHeight="1">
      <c r="B189" s="1333" t="s">
        <v>21</v>
      </c>
      <c r="C189" s="394"/>
      <c r="D189" s="398" t="s">
        <v>444</v>
      </c>
      <c r="E189" s="9"/>
      <c r="F189" s="9"/>
      <c r="G189" s="9"/>
      <c r="H189" s="186"/>
      <c r="I189" s="191"/>
      <c r="K189" s="394"/>
      <c r="L189" s="398" t="s">
        <v>445</v>
      </c>
      <c r="M189" s="9"/>
      <c r="N189" s="9"/>
      <c r="O189" s="9"/>
      <c r="P189" s="186"/>
      <c r="Q189" s="191"/>
      <c r="S189" s="394"/>
      <c r="T189" s="398" t="s">
        <v>446</v>
      </c>
      <c r="U189" s="9"/>
      <c r="V189" s="9"/>
      <c r="W189" s="9"/>
      <c r="X189" s="186"/>
      <c r="Y189" s="191"/>
      <c r="AH189" s="627"/>
      <c r="AP189" s="627"/>
      <c r="AX189" s="627"/>
      <c r="AZ189" s="3">
        <v>1</v>
      </c>
    </row>
    <row r="190" spans="2:52" ht="21" customHeight="1">
      <c r="B190" s="1333" t="s">
        <v>21</v>
      </c>
      <c r="C190" s="394"/>
      <c r="D190" s="398" t="s">
        <v>447</v>
      </c>
      <c r="E190" s="9"/>
      <c r="F190" s="9"/>
      <c r="G190" s="9"/>
      <c r="H190" s="186"/>
      <c r="I190" s="191"/>
      <c r="K190" s="394"/>
      <c r="L190" s="398" t="s">
        <v>448</v>
      </c>
      <c r="M190" s="9"/>
      <c r="N190" s="9"/>
      <c r="O190" s="9"/>
      <c r="P190" s="186"/>
      <c r="Q190" s="191"/>
      <c r="S190" s="394"/>
      <c r="T190" s="398" t="s">
        <v>449</v>
      </c>
      <c r="U190" s="9"/>
      <c r="V190" s="9"/>
      <c r="W190" s="9"/>
      <c r="X190" s="186"/>
      <c r="Y190" s="191"/>
      <c r="AH190" s="627"/>
      <c r="AP190" s="627"/>
      <c r="AX190" s="627"/>
      <c r="AZ190" s="3">
        <v>1</v>
      </c>
    </row>
    <row r="191" spans="2:52" ht="21" customHeight="1">
      <c r="B191" s="1333" t="s">
        <v>21</v>
      </c>
      <c r="C191" s="394"/>
      <c r="D191" s="398"/>
      <c r="E191" s="9"/>
      <c r="F191" s="9"/>
      <c r="G191" s="9"/>
      <c r="H191" s="186"/>
      <c r="I191" s="191"/>
      <c r="K191" s="394"/>
      <c r="L191" s="398"/>
      <c r="M191" s="9"/>
      <c r="N191" s="9"/>
      <c r="O191" s="9"/>
      <c r="P191" s="186"/>
      <c r="Q191" s="191"/>
      <c r="S191" s="394"/>
      <c r="T191" s="398"/>
      <c r="U191" s="9"/>
      <c r="V191" s="9"/>
      <c r="W191" s="9"/>
      <c r="X191" s="186"/>
      <c r="Y191" s="191"/>
      <c r="AH191" s="627"/>
      <c r="AP191" s="627"/>
      <c r="AX191" s="627"/>
      <c r="AZ191" s="3">
        <v>1</v>
      </c>
    </row>
    <row r="192" spans="2:52" ht="21" customHeight="1">
      <c r="B192" s="1333" t="s">
        <v>21</v>
      </c>
      <c r="C192" s="157"/>
      <c r="D192" s="158"/>
      <c r="E192" s="159"/>
      <c r="F192" s="158"/>
      <c r="G192" s="158"/>
      <c r="H192" s="158"/>
      <c r="I192" s="160"/>
      <c r="K192" s="157"/>
      <c r="L192" s="158"/>
      <c r="M192" s="159"/>
      <c r="N192" s="158"/>
      <c r="O192" s="158"/>
      <c r="P192" s="158"/>
      <c r="Q192" s="160"/>
      <c r="S192" s="157"/>
      <c r="T192" s="158"/>
      <c r="U192" s="159"/>
      <c r="V192" s="158"/>
      <c r="W192" s="158"/>
      <c r="X192" s="158"/>
      <c r="Y192" s="160"/>
      <c r="AH192" s="627"/>
      <c r="AP192" s="627"/>
      <c r="AX192" s="627"/>
      <c r="AZ192" s="3">
        <v>1</v>
      </c>
    </row>
    <row r="193" spans="2:52" ht="21" customHeight="1">
      <c r="B193" s="1333" t="s">
        <v>21</v>
      </c>
      <c r="C193" s="390"/>
      <c r="D193" s="391"/>
      <c r="E193" s="392"/>
      <c r="F193" s="391"/>
      <c r="G193" s="391"/>
      <c r="H193" s="391"/>
      <c r="I193" s="393"/>
      <c r="K193" s="390"/>
      <c r="L193" s="391"/>
      <c r="M193" s="392"/>
      <c r="N193" s="391"/>
      <c r="O193" s="391"/>
      <c r="P193" s="391"/>
      <c r="Q193" s="393"/>
      <c r="S193" s="390"/>
      <c r="T193" s="391"/>
      <c r="U193" s="392"/>
      <c r="V193" s="391"/>
      <c r="W193" s="391"/>
      <c r="X193" s="391"/>
      <c r="Y193" s="393"/>
      <c r="AH193" s="627"/>
      <c r="AP193" s="627"/>
      <c r="AX193" s="627"/>
      <c r="AZ193" s="3">
        <v>1</v>
      </c>
    </row>
    <row r="194" spans="2:52" ht="21" customHeight="1">
      <c r="B194" s="1333" t="s">
        <v>21</v>
      </c>
      <c r="C194" s="2318"/>
      <c r="D194" s="404" t="s">
        <v>455</v>
      </c>
      <c r="E194" s="405"/>
      <c r="F194" s="406"/>
      <c r="G194" s="9"/>
      <c r="H194" s="186"/>
      <c r="I194" s="191"/>
      <c r="K194" s="2318"/>
      <c r="L194" s="404" t="s">
        <v>455</v>
      </c>
      <c r="M194" s="405"/>
      <c r="N194" s="406"/>
      <c r="O194" s="9"/>
      <c r="P194" s="186"/>
      <c r="Q194" s="191"/>
      <c r="S194" s="2318"/>
      <c r="T194" s="404" t="s">
        <v>456</v>
      </c>
      <c r="U194" s="405"/>
      <c r="V194" s="406"/>
      <c r="W194" s="9"/>
      <c r="X194" s="186"/>
      <c r="Y194" s="191"/>
      <c r="AH194" s="627"/>
      <c r="AP194" s="627"/>
      <c r="AX194" s="627"/>
      <c r="AZ194" s="3">
        <v>1</v>
      </c>
    </row>
    <row r="195" spans="2:52" ht="21" customHeight="1">
      <c r="B195" s="1333" t="s">
        <v>21</v>
      </c>
      <c r="C195" s="2318"/>
      <c r="D195" s="407" t="s">
        <v>134</v>
      </c>
      <c r="E195" s="405"/>
      <c r="F195" s="406"/>
      <c r="G195" s="9"/>
      <c r="H195" s="186"/>
      <c r="I195" s="191"/>
      <c r="K195" s="2318"/>
      <c r="L195" s="407" t="s">
        <v>134</v>
      </c>
      <c r="M195" s="405"/>
      <c r="N195" s="406"/>
      <c r="O195" s="9"/>
      <c r="P195" s="186"/>
      <c r="Q195" s="191"/>
      <c r="S195" s="2318"/>
      <c r="T195" s="5466" t="s">
        <v>137</v>
      </c>
      <c r="U195" s="405"/>
      <c r="V195" s="406"/>
      <c r="W195" s="9"/>
      <c r="X195" s="186"/>
      <c r="Y195" s="191"/>
      <c r="AH195" s="627"/>
      <c r="AP195" s="627"/>
      <c r="AX195" s="627"/>
      <c r="AZ195" s="3">
        <v>1</v>
      </c>
    </row>
    <row r="196" spans="2:52" ht="21" customHeight="1">
      <c r="B196" s="1333" t="s">
        <v>21</v>
      </c>
      <c r="C196" s="2318"/>
      <c r="D196" s="408">
        <v>1</v>
      </c>
      <c r="E196" s="409" t="s">
        <v>471</v>
      </c>
      <c r="F196" s="406"/>
      <c r="G196" s="9"/>
      <c r="H196" s="186"/>
      <c r="I196" s="191"/>
      <c r="K196" s="2318"/>
      <c r="L196" s="408">
        <v>1</v>
      </c>
      <c r="M196" s="409" t="s">
        <v>471</v>
      </c>
      <c r="N196" s="406"/>
      <c r="O196" s="9"/>
      <c r="P196" s="186"/>
      <c r="Q196" s="191"/>
      <c r="S196" s="2318"/>
      <c r="T196" s="408">
        <v>1</v>
      </c>
      <c r="U196" s="409" t="s">
        <v>472</v>
      </c>
      <c r="V196" s="406"/>
      <c r="W196" s="9"/>
      <c r="X196" s="186"/>
      <c r="Y196" s="191"/>
      <c r="AH196" s="627"/>
      <c r="AP196" s="627"/>
      <c r="AX196" s="627"/>
      <c r="AZ196" s="3">
        <v>1</v>
      </c>
    </row>
    <row r="197" spans="2:52" ht="21" customHeight="1">
      <c r="B197" s="1333" t="s">
        <v>21</v>
      </c>
      <c r="C197" s="2318"/>
      <c r="D197" s="408">
        <v>3</v>
      </c>
      <c r="E197" s="409" t="s">
        <v>459</v>
      </c>
      <c r="F197" s="406"/>
      <c r="G197" s="9"/>
      <c r="H197" s="186"/>
      <c r="I197" s="191"/>
      <c r="K197" s="2318"/>
      <c r="L197" s="408">
        <v>3</v>
      </c>
      <c r="M197" s="409" t="s">
        <v>459</v>
      </c>
      <c r="N197" s="406"/>
      <c r="O197" s="9"/>
      <c r="P197" s="186"/>
      <c r="Q197" s="191"/>
      <c r="S197" s="2318"/>
      <c r="T197" s="408">
        <v>3</v>
      </c>
      <c r="U197" s="409" t="s">
        <v>460</v>
      </c>
      <c r="V197" s="406"/>
      <c r="W197" s="9"/>
      <c r="X197" s="186"/>
      <c r="Y197" s="191"/>
      <c r="AH197" s="627"/>
      <c r="AP197" s="627"/>
      <c r="AX197" s="627"/>
      <c r="AZ197" s="3">
        <v>1</v>
      </c>
    </row>
    <row r="198" spans="2:52" ht="21" customHeight="1">
      <c r="B198" s="1333" t="s">
        <v>21</v>
      </c>
      <c r="C198" s="403"/>
      <c r="D198" s="408">
        <v>1</v>
      </c>
      <c r="E198" s="409" t="s">
        <v>468</v>
      </c>
      <c r="F198" s="406"/>
      <c r="G198" s="9"/>
      <c r="H198" s="186"/>
      <c r="I198" s="191"/>
      <c r="K198" s="403"/>
      <c r="L198" s="408">
        <v>1</v>
      </c>
      <c r="M198" s="409" t="s">
        <v>468</v>
      </c>
      <c r="N198" s="406"/>
      <c r="O198" s="9"/>
      <c r="P198" s="186"/>
      <c r="Q198" s="191"/>
      <c r="S198" s="403"/>
      <c r="T198" s="408">
        <v>1</v>
      </c>
      <c r="U198" s="409" t="s">
        <v>469</v>
      </c>
      <c r="V198" s="406"/>
      <c r="W198" s="9"/>
      <c r="X198" s="186"/>
      <c r="Y198" s="191"/>
      <c r="AH198" s="627"/>
      <c r="AP198" s="627"/>
      <c r="AX198" s="627"/>
      <c r="AZ198" s="3">
        <v>1</v>
      </c>
    </row>
    <row r="199" spans="2:52" ht="21" customHeight="1">
      <c r="B199" s="1333" t="s">
        <v>21</v>
      </c>
      <c r="C199" s="394"/>
      <c r="D199" s="398" t="s">
        <v>476</v>
      </c>
      <c r="E199" s="414"/>
      <c r="F199" s="414"/>
      <c r="G199" s="414"/>
      <c r="H199" s="414"/>
      <c r="I199" s="418"/>
      <c r="K199" s="394"/>
      <c r="L199" s="398" t="s">
        <v>476</v>
      </c>
      <c r="M199" s="414"/>
      <c r="N199" s="414"/>
      <c r="O199" s="414"/>
      <c r="P199" s="414"/>
      <c r="Q199" s="418"/>
      <c r="S199" s="394"/>
      <c r="T199" s="398" t="s">
        <v>477</v>
      </c>
      <c r="U199" s="414"/>
      <c r="V199" s="414"/>
      <c r="W199" s="414"/>
      <c r="X199" s="414"/>
      <c r="Y199" s="418"/>
      <c r="AH199" s="627"/>
      <c r="AP199" s="627"/>
      <c r="AX199" s="627"/>
      <c r="AZ199" s="3">
        <v>1</v>
      </c>
    </row>
    <row r="200" spans="2:52" ht="21" customHeight="1">
      <c r="B200" s="1333" t="s">
        <v>21</v>
      </c>
      <c r="C200" s="394"/>
      <c r="D200" s="2319" t="s">
        <v>479</v>
      </c>
      <c r="E200" s="2319"/>
      <c r="F200" s="2319"/>
      <c r="G200" s="2319"/>
      <c r="H200" s="2319"/>
      <c r="I200" s="2320"/>
      <c r="K200" s="394"/>
      <c r="L200" s="2319" t="s">
        <v>479</v>
      </c>
      <c r="M200" s="2319"/>
      <c r="N200" s="2319"/>
      <c r="O200" s="2319"/>
      <c r="P200" s="2319"/>
      <c r="Q200" s="2320"/>
      <c r="S200" s="394"/>
      <c r="T200" s="2319" t="s">
        <v>480</v>
      </c>
      <c r="U200" s="2319"/>
      <c r="V200" s="2319"/>
      <c r="W200" s="2319"/>
      <c r="X200" s="2319"/>
      <c r="Y200" s="2320"/>
      <c r="AH200" s="627"/>
      <c r="AP200" s="627"/>
      <c r="AX200" s="627"/>
      <c r="AZ200" s="3">
        <v>1</v>
      </c>
    </row>
    <row r="201" spans="2:52" ht="21" customHeight="1">
      <c r="B201" s="1333" t="s">
        <v>21</v>
      </c>
      <c r="C201" s="394"/>
      <c r="D201" s="408">
        <v>10</v>
      </c>
      <c r="E201" s="409" t="s">
        <v>473</v>
      </c>
      <c r="F201" s="9"/>
      <c r="G201" s="9"/>
      <c r="H201" s="186"/>
      <c r="I201" s="191"/>
      <c r="K201" s="394"/>
      <c r="L201" s="408">
        <v>10</v>
      </c>
      <c r="M201" s="409" t="s">
        <v>473</v>
      </c>
      <c r="N201" s="9"/>
      <c r="O201" s="9"/>
      <c r="P201" s="186"/>
      <c r="Q201" s="191"/>
      <c r="S201" s="394"/>
      <c r="T201" s="408">
        <v>10</v>
      </c>
      <c r="U201" s="409" t="s">
        <v>474</v>
      </c>
      <c r="V201" s="9"/>
      <c r="W201" s="9"/>
      <c r="X201" s="186"/>
      <c r="Y201" s="191"/>
      <c r="AH201" s="627"/>
      <c r="AP201" s="627"/>
      <c r="AX201" s="627"/>
      <c r="AZ201" s="3">
        <v>1</v>
      </c>
    </row>
    <row r="202" spans="2:52" ht="21" customHeight="1">
      <c r="B202" s="1333" t="s">
        <v>21</v>
      </c>
      <c r="C202" s="394"/>
      <c r="D202" s="408">
        <v>5</v>
      </c>
      <c r="E202" s="409" t="s">
        <v>482</v>
      </c>
      <c r="F202" s="9"/>
      <c r="G202" s="9"/>
      <c r="H202" s="186"/>
      <c r="I202" s="191"/>
      <c r="K202" s="394"/>
      <c r="L202" s="408">
        <v>5</v>
      </c>
      <c r="M202" s="409" t="s">
        <v>482</v>
      </c>
      <c r="N202" s="9"/>
      <c r="O202" s="9"/>
      <c r="P202" s="186"/>
      <c r="Q202" s="191"/>
      <c r="S202" s="394"/>
      <c r="T202" s="408">
        <v>5</v>
      </c>
      <c r="U202" s="409" t="s">
        <v>483</v>
      </c>
      <c r="V202" s="9"/>
      <c r="W202" s="9"/>
      <c r="X202" s="186"/>
      <c r="Y202" s="191"/>
      <c r="AH202" s="627"/>
      <c r="AP202" s="627"/>
      <c r="AX202" s="627"/>
      <c r="AZ202" s="3">
        <v>1</v>
      </c>
    </row>
    <row r="203" spans="2:52" ht="21" customHeight="1">
      <c r="B203" s="1333" t="s">
        <v>21</v>
      </c>
      <c r="C203" s="394"/>
      <c r="D203" s="408">
        <v>8</v>
      </c>
      <c r="E203" s="409" t="s">
        <v>485</v>
      </c>
      <c r="F203" s="9"/>
      <c r="G203" s="9"/>
      <c r="H203" s="186"/>
      <c r="I203" s="191"/>
      <c r="K203" s="394"/>
      <c r="L203" s="408">
        <v>8</v>
      </c>
      <c r="M203" s="409" t="s">
        <v>485</v>
      </c>
      <c r="N203" s="9"/>
      <c r="O203" s="9"/>
      <c r="P203" s="186"/>
      <c r="Q203" s="191"/>
      <c r="S203" s="394"/>
      <c r="T203" s="408">
        <v>8</v>
      </c>
      <c r="U203" s="409" t="s">
        <v>486</v>
      </c>
      <c r="V203" s="9"/>
      <c r="W203" s="9"/>
      <c r="X203" s="186"/>
      <c r="Y203" s="191"/>
      <c r="AH203" s="627"/>
      <c r="AP203" s="627"/>
      <c r="AX203" s="627"/>
      <c r="AZ203" s="3">
        <v>1</v>
      </c>
    </row>
    <row r="204" spans="2:52" ht="21" customHeight="1">
      <c r="B204" s="1333" t="s">
        <v>21</v>
      </c>
      <c r="C204" s="394"/>
      <c r="D204" s="408">
        <v>1.5</v>
      </c>
      <c r="E204" s="409" t="s">
        <v>488</v>
      </c>
      <c r="F204" s="9"/>
      <c r="G204" s="9"/>
      <c r="H204" s="186"/>
      <c r="I204" s="191"/>
      <c r="K204" s="394"/>
      <c r="L204" s="408">
        <v>1.5</v>
      </c>
      <c r="M204" s="409" t="s">
        <v>488</v>
      </c>
      <c r="N204" s="9"/>
      <c r="O204" s="9"/>
      <c r="P204" s="186"/>
      <c r="Q204" s="191"/>
      <c r="S204" s="394"/>
      <c r="T204" s="408">
        <v>1.5</v>
      </c>
      <c r="U204" s="409" t="s">
        <v>489</v>
      </c>
      <c r="V204" s="9"/>
      <c r="W204" s="9"/>
      <c r="X204" s="186"/>
      <c r="Y204" s="191"/>
      <c r="AH204" s="627"/>
      <c r="AP204" s="627"/>
      <c r="AX204" s="627"/>
      <c r="AZ204" s="3">
        <v>1</v>
      </c>
    </row>
    <row r="205" spans="2:52" ht="21" customHeight="1">
      <c r="B205" s="1333" t="s">
        <v>21</v>
      </c>
      <c r="C205" s="394"/>
      <c r="D205" s="408">
        <v>3</v>
      </c>
      <c r="E205" s="409" t="s">
        <v>492</v>
      </c>
      <c r="F205" s="9"/>
      <c r="G205" s="9"/>
      <c r="H205" s="186"/>
      <c r="I205" s="191"/>
      <c r="K205" s="394"/>
      <c r="L205" s="408">
        <v>3</v>
      </c>
      <c r="M205" s="409" t="s">
        <v>492</v>
      </c>
      <c r="N205" s="9"/>
      <c r="O205" s="9"/>
      <c r="P205" s="186"/>
      <c r="Q205" s="191"/>
      <c r="S205" s="394"/>
      <c r="T205" s="408">
        <v>3</v>
      </c>
      <c r="U205" s="409" t="s">
        <v>493</v>
      </c>
      <c r="V205" s="9"/>
      <c r="W205" s="9"/>
      <c r="X205" s="186"/>
      <c r="Y205" s="191"/>
      <c r="AH205" s="627"/>
      <c r="AP205" s="627"/>
      <c r="AX205" s="627"/>
      <c r="AZ205" s="3">
        <v>1</v>
      </c>
    </row>
    <row r="206" spans="2:52" ht="21" customHeight="1">
      <c r="B206" s="1333" t="s">
        <v>21</v>
      </c>
      <c r="C206" s="394"/>
      <c r="D206" s="398"/>
      <c r="E206" s="9"/>
      <c r="F206" s="9"/>
      <c r="G206" s="9"/>
      <c r="H206" s="186"/>
      <c r="I206" s="191"/>
      <c r="K206" s="394"/>
      <c r="L206" s="398"/>
      <c r="M206" s="9"/>
      <c r="N206" s="9"/>
      <c r="O206" s="9"/>
      <c r="P206" s="186"/>
      <c r="Q206" s="191"/>
      <c r="S206" s="394"/>
      <c r="T206" s="398"/>
      <c r="U206" s="9"/>
      <c r="V206" s="9"/>
      <c r="W206" s="9"/>
      <c r="X206" s="186"/>
      <c r="Y206" s="191"/>
      <c r="AH206" s="627"/>
      <c r="AP206" s="627"/>
      <c r="AX206" s="627"/>
      <c r="AZ206" s="3">
        <v>1</v>
      </c>
    </row>
    <row r="207" spans="2:52" ht="21" customHeight="1">
      <c r="B207" s="1333" t="s">
        <v>21</v>
      </c>
      <c r="C207" s="157"/>
      <c r="D207" s="158"/>
      <c r="E207" s="159"/>
      <c r="F207" s="158"/>
      <c r="G207" s="158"/>
      <c r="H207" s="158"/>
      <c r="I207" s="160"/>
      <c r="K207" s="157"/>
      <c r="L207" s="158"/>
      <c r="M207" s="159"/>
      <c r="N207" s="158"/>
      <c r="O207" s="158"/>
      <c r="P207" s="158"/>
      <c r="Q207" s="160"/>
      <c r="S207" s="157"/>
      <c r="T207" s="158"/>
      <c r="U207" s="159"/>
      <c r="V207" s="158"/>
      <c r="W207" s="158"/>
      <c r="X207" s="158"/>
      <c r="Y207" s="160"/>
      <c r="AH207" s="627"/>
      <c r="AP207" s="627"/>
      <c r="AX207" s="627"/>
      <c r="AZ207" s="3">
        <v>1</v>
      </c>
    </row>
    <row r="208" spans="2:52" ht="21" customHeight="1">
      <c r="B208" s="1333" t="s">
        <v>21</v>
      </c>
      <c r="C208" s="390"/>
      <c r="D208" s="391"/>
      <c r="E208" s="392"/>
      <c r="F208" s="391"/>
      <c r="G208" s="391"/>
      <c r="H208" s="391"/>
      <c r="I208" s="393"/>
      <c r="K208" s="390"/>
      <c r="L208" s="391"/>
      <c r="M208" s="392"/>
      <c r="N208" s="391"/>
      <c r="O208" s="391"/>
      <c r="P208" s="391"/>
      <c r="Q208" s="393"/>
      <c r="S208" s="390"/>
      <c r="T208" s="391"/>
      <c r="U208" s="392"/>
      <c r="V208" s="391"/>
      <c r="W208" s="391"/>
      <c r="X208" s="391"/>
      <c r="Y208" s="393"/>
      <c r="AH208" s="627"/>
      <c r="AP208" s="627"/>
      <c r="AX208" s="627"/>
      <c r="AZ208" s="3">
        <v>1</v>
      </c>
    </row>
    <row r="209" spans="2:52" ht="21" customHeight="1">
      <c r="B209" s="1333" t="s">
        <v>21</v>
      </c>
      <c r="C209" s="412"/>
      <c r="D209" s="413" t="s">
        <v>50</v>
      </c>
      <c r="E209" s="414"/>
      <c r="F209" s="9"/>
      <c r="G209" s="9"/>
      <c r="H209" s="186"/>
      <c r="I209" s="191"/>
      <c r="K209" s="412"/>
      <c r="L209" s="413" t="s">
        <v>153</v>
      </c>
      <c r="M209" s="414"/>
      <c r="N209" s="9"/>
      <c r="O209" s="9"/>
      <c r="P209" s="186"/>
      <c r="Q209" s="191"/>
      <c r="S209" s="412"/>
      <c r="T209" s="413" t="s">
        <v>154</v>
      </c>
      <c r="U209" s="414"/>
      <c r="V209" s="9"/>
      <c r="W209" s="9"/>
      <c r="X209" s="186"/>
      <c r="Y209" s="191"/>
      <c r="AH209" s="627"/>
      <c r="AP209" s="627"/>
      <c r="AX209" s="627"/>
      <c r="AZ209" s="3">
        <v>1</v>
      </c>
    </row>
    <row r="210" spans="2:52" ht="21" customHeight="1">
      <c r="B210" s="1333" t="s">
        <v>21</v>
      </c>
      <c r="C210" s="412"/>
      <c r="D210" s="404" t="s">
        <v>461</v>
      </c>
      <c r="E210" s="414"/>
      <c r="F210" s="9"/>
      <c r="G210" s="9"/>
      <c r="H210" s="186"/>
      <c r="I210" s="191"/>
      <c r="K210" s="412"/>
      <c r="L210" s="404" t="s">
        <v>462</v>
      </c>
      <c r="M210" s="414"/>
      <c r="N210" s="9"/>
      <c r="O210" s="9"/>
      <c r="P210" s="186"/>
      <c r="Q210" s="191"/>
      <c r="S210" s="412"/>
      <c r="T210" s="404" t="s">
        <v>463</v>
      </c>
      <c r="U210" s="414"/>
      <c r="V210" s="9"/>
      <c r="W210" s="9"/>
      <c r="X210" s="186"/>
      <c r="Y210" s="191"/>
      <c r="AH210" s="627"/>
      <c r="AP210" s="627"/>
      <c r="AX210" s="627"/>
      <c r="AZ210" s="3">
        <v>1</v>
      </c>
    </row>
    <row r="211" spans="2:52" ht="21" customHeight="1">
      <c r="B211" s="1333" t="s">
        <v>21</v>
      </c>
      <c r="C211" s="412"/>
      <c r="D211" s="398" t="s">
        <v>464</v>
      </c>
      <c r="E211" s="415"/>
      <c r="F211" s="9"/>
      <c r="G211" s="9"/>
      <c r="H211" s="186"/>
      <c r="I211" s="191"/>
      <c r="K211" s="412"/>
      <c r="L211" s="398" t="s">
        <v>465</v>
      </c>
      <c r="M211" s="415"/>
      <c r="N211" s="9"/>
      <c r="O211" s="9"/>
      <c r="P211" s="186"/>
      <c r="Q211" s="191"/>
      <c r="S211" s="412"/>
      <c r="T211" s="398" t="s">
        <v>466</v>
      </c>
      <c r="U211" s="415"/>
      <c r="V211" s="9"/>
      <c r="W211" s="9"/>
      <c r="X211" s="186"/>
      <c r="Y211" s="191"/>
      <c r="AH211" s="627"/>
      <c r="AP211" s="627"/>
      <c r="AX211" s="627"/>
      <c r="AZ211" s="3">
        <v>1</v>
      </c>
    </row>
    <row r="212" spans="2:52" ht="21" customHeight="1">
      <c r="B212" s="1333" t="s">
        <v>21</v>
      </c>
      <c r="C212" s="412"/>
      <c r="D212" s="416">
        <v>1</v>
      </c>
      <c r="E212" s="417" t="s">
        <v>467</v>
      </c>
      <c r="F212" s="9"/>
      <c r="G212" s="9"/>
      <c r="H212" s="186"/>
      <c r="I212" s="191"/>
      <c r="K212" s="412"/>
      <c r="L212" s="416">
        <v>1</v>
      </c>
      <c r="M212" s="417" t="s">
        <v>468</v>
      </c>
      <c r="N212" s="9"/>
      <c r="O212" s="9"/>
      <c r="P212" s="186"/>
      <c r="Q212" s="191"/>
      <c r="S212" s="412"/>
      <c r="T212" s="416">
        <v>1</v>
      </c>
      <c r="U212" s="417" t="s">
        <v>469</v>
      </c>
      <c r="V212" s="9"/>
      <c r="W212" s="9"/>
      <c r="X212" s="186"/>
      <c r="Y212" s="191"/>
      <c r="AH212" s="627"/>
      <c r="AP212" s="627"/>
      <c r="AX212" s="627"/>
      <c r="AZ212" s="3">
        <v>1</v>
      </c>
    </row>
    <row r="213" spans="2:52" ht="21" customHeight="1">
      <c r="B213" s="1333" t="s">
        <v>21</v>
      </c>
      <c r="C213" s="412"/>
      <c r="D213" s="416">
        <v>4</v>
      </c>
      <c r="E213" s="417" t="s">
        <v>470</v>
      </c>
      <c r="F213" s="9"/>
      <c r="G213" s="9"/>
      <c r="H213" s="186"/>
      <c r="I213" s="191"/>
      <c r="K213" s="412"/>
      <c r="L213" s="416">
        <v>4</v>
      </c>
      <c r="M213" s="417" t="s">
        <v>471</v>
      </c>
      <c r="N213" s="9"/>
      <c r="O213" s="9"/>
      <c r="P213" s="186"/>
      <c r="Q213" s="191"/>
      <c r="S213" s="412"/>
      <c r="T213" s="416">
        <v>4</v>
      </c>
      <c r="U213" s="417" t="s">
        <v>472</v>
      </c>
      <c r="V213" s="9"/>
      <c r="W213" s="9"/>
      <c r="X213" s="186"/>
      <c r="Y213" s="191"/>
      <c r="AH213" s="627"/>
      <c r="AP213" s="627"/>
      <c r="AX213" s="627"/>
      <c r="AZ213" s="3">
        <v>1</v>
      </c>
    </row>
    <row r="214" spans="2:52" ht="21" customHeight="1">
      <c r="B214" s="1333" t="s">
        <v>21</v>
      </c>
      <c r="C214" s="412"/>
      <c r="D214" s="416">
        <v>10</v>
      </c>
      <c r="E214" s="417" t="s">
        <v>36</v>
      </c>
      <c r="F214" s="9"/>
      <c r="G214" s="9"/>
      <c r="H214" s="186"/>
      <c r="I214" s="191"/>
      <c r="K214" s="412"/>
      <c r="L214" s="416">
        <v>10</v>
      </c>
      <c r="M214" s="417" t="s">
        <v>473</v>
      </c>
      <c r="N214" s="9"/>
      <c r="O214" s="9"/>
      <c r="P214" s="186"/>
      <c r="Q214" s="191"/>
      <c r="S214" s="412"/>
      <c r="T214" s="416">
        <v>10</v>
      </c>
      <c r="U214" s="417" t="s">
        <v>474</v>
      </c>
      <c r="V214" s="9"/>
      <c r="W214" s="9"/>
      <c r="X214" s="186"/>
      <c r="Y214" s="191"/>
      <c r="AH214" s="627"/>
      <c r="AP214" s="627"/>
      <c r="AX214" s="627"/>
      <c r="AZ214" s="3">
        <v>1</v>
      </c>
    </row>
    <row r="215" spans="2:52" ht="21" customHeight="1">
      <c r="B215" s="1333" t="s">
        <v>21</v>
      </c>
      <c r="C215" s="412"/>
      <c r="D215" s="398" t="s">
        <v>475</v>
      </c>
      <c r="E215" s="414"/>
      <c r="F215" s="414"/>
      <c r="G215" s="414"/>
      <c r="H215" s="414"/>
      <c r="I215" s="418"/>
      <c r="K215" s="412"/>
      <c r="L215" s="398" t="s">
        <v>476</v>
      </c>
      <c r="M215" s="414"/>
      <c r="N215" s="414"/>
      <c r="O215" s="414"/>
      <c r="P215" s="414"/>
      <c r="Q215" s="418"/>
      <c r="S215" s="412"/>
      <c r="T215" s="398" t="s">
        <v>477</v>
      </c>
      <c r="U215" s="414"/>
      <c r="V215" s="414"/>
      <c r="W215" s="414"/>
      <c r="X215" s="414"/>
      <c r="Y215" s="418"/>
      <c r="AH215" s="627"/>
      <c r="AP215" s="627"/>
      <c r="AX215" s="627"/>
      <c r="AZ215" s="3">
        <v>1</v>
      </c>
    </row>
    <row r="216" spans="2:52" ht="21" customHeight="1">
      <c r="B216" s="1333" t="s">
        <v>21</v>
      </c>
      <c r="C216" s="412"/>
      <c r="D216" s="6468" t="s">
        <v>478</v>
      </c>
      <c r="E216" s="6468"/>
      <c r="F216" s="6468"/>
      <c r="G216" s="6468"/>
      <c r="H216" s="6468"/>
      <c r="I216" s="6469"/>
      <c r="K216" s="412"/>
      <c r="L216" s="6468" t="s">
        <v>479</v>
      </c>
      <c r="M216" s="6468"/>
      <c r="N216" s="6468"/>
      <c r="O216" s="6468"/>
      <c r="P216" s="6468"/>
      <c r="Q216" s="6469"/>
      <c r="S216" s="412"/>
      <c r="T216" s="6468" t="s">
        <v>13787</v>
      </c>
      <c r="U216" s="6468"/>
      <c r="V216" s="6468"/>
      <c r="W216" s="6468"/>
      <c r="X216" s="6468"/>
      <c r="Y216" s="6469"/>
      <c r="AH216" s="627"/>
      <c r="AP216" s="627"/>
      <c r="AX216" s="627"/>
      <c r="AZ216" s="3">
        <v>1</v>
      </c>
    </row>
    <row r="217" spans="2:52" ht="21" customHeight="1">
      <c r="B217" s="1333" t="s">
        <v>21</v>
      </c>
      <c r="C217" s="412"/>
      <c r="D217" s="416">
        <v>5</v>
      </c>
      <c r="E217" s="417" t="s">
        <v>481</v>
      </c>
      <c r="F217" s="9"/>
      <c r="G217" s="9"/>
      <c r="H217" s="9"/>
      <c r="I217" s="191"/>
      <c r="K217" s="412"/>
      <c r="L217" s="416">
        <v>5</v>
      </c>
      <c r="M217" s="417" t="s">
        <v>482</v>
      </c>
      <c r="N217" s="9"/>
      <c r="O217" s="9"/>
      <c r="P217" s="9"/>
      <c r="Q217" s="191"/>
      <c r="S217" s="412"/>
      <c r="T217" s="416">
        <v>5</v>
      </c>
      <c r="U217" s="417" t="s">
        <v>483</v>
      </c>
      <c r="V217" s="9"/>
      <c r="W217" s="9"/>
      <c r="X217" s="9"/>
      <c r="Y217" s="191"/>
      <c r="AH217" s="627"/>
      <c r="AP217" s="627"/>
      <c r="AX217" s="627"/>
      <c r="AZ217" s="3">
        <v>1</v>
      </c>
    </row>
    <row r="218" spans="2:52" ht="21" customHeight="1">
      <c r="B218" s="1333" t="s">
        <v>21</v>
      </c>
      <c r="C218" s="412"/>
      <c r="D218" s="416">
        <v>8</v>
      </c>
      <c r="E218" s="417" t="s">
        <v>484</v>
      </c>
      <c r="F218" s="9"/>
      <c r="G218" s="9"/>
      <c r="H218" s="9"/>
      <c r="I218" s="191"/>
      <c r="K218" s="412"/>
      <c r="L218" s="416">
        <v>8</v>
      </c>
      <c r="M218" s="417" t="s">
        <v>485</v>
      </c>
      <c r="N218" s="9"/>
      <c r="O218" s="9"/>
      <c r="P218" s="9"/>
      <c r="Q218" s="191"/>
      <c r="S218" s="412"/>
      <c r="T218" s="416">
        <v>8</v>
      </c>
      <c r="U218" s="417" t="s">
        <v>486</v>
      </c>
      <c r="V218" s="9"/>
      <c r="W218" s="9"/>
      <c r="X218" s="9"/>
      <c r="Y218" s="191"/>
      <c r="AH218" s="627"/>
      <c r="AP218" s="627"/>
      <c r="AX218" s="627"/>
      <c r="AZ218" s="3">
        <v>1</v>
      </c>
    </row>
    <row r="219" spans="2:52" ht="21" customHeight="1">
      <c r="B219" s="1333" t="s">
        <v>21</v>
      </c>
      <c r="C219" s="412"/>
      <c r="D219" s="416">
        <v>1.5</v>
      </c>
      <c r="E219" s="417" t="s">
        <v>487</v>
      </c>
      <c r="F219" s="9"/>
      <c r="G219" s="9"/>
      <c r="H219" s="9"/>
      <c r="I219" s="191"/>
      <c r="K219" s="412"/>
      <c r="L219" s="416">
        <v>1.5</v>
      </c>
      <c r="M219" s="417" t="s">
        <v>488</v>
      </c>
      <c r="N219" s="9"/>
      <c r="O219" s="9"/>
      <c r="P219" s="9"/>
      <c r="Q219" s="191"/>
      <c r="S219" s="412"/>
      <c r="T219" s="416">
        <v>1.5</v>
      </c>
      <c r="U219" s="417" t="s">
        <v>489</v>
      </c>
      <c r="V219" s="9"/>
      <c r="W219" s="9"/>
      <c r="X219" s="9"/>
      <c r="Y219" s="191"/>
      <c r="AH219" s="627"/>
      <c r="AP219" s="627"/>
      <c r="AX219" s="627"/>
      <c r="AZ219" s="3">
        <v>1</v>
      </c>
    </row>
    <row r="220" spans="2:52" ht="21" customHeight="1">
      <c r="B220" s="1333" t="s">
        <v>21</v>
      </c>
      <c r="C220" s="412"/>
      <c r="D220" s="416">
        <v>3</v>
      </c>
      <c r="E220" s="417" t="s">
        <v>491</v>
      </c>
      <c r="F220" s="9"/>
      <c r="G220" s="9"/>
      <c r="H220" s="9"/>
      <c r="I220" s="191"/>
      <c r="K220" s="412"/>
      <c r="L220" s="416">
        <v>3</v>
      </c>
      <c r="M220" s="417" t="s">
        <v>492</v>
      </c>
      <c r="N220" s="9"/>
      <c r="O220" s="9"/>
      <c r="P220" s="9"/>
      <c r="Q220" s="191"/>
      <c r="S220" s="412"/>
      <c r="T220" s="416">
        <v>3</v>
      </c>
      <c r="U220" s="417" t="s">
        <v>493</v>
      </c>
      <c r="V220" s="9"/>
      <c r="W220" s="9"/>
      <c r="X220" s="9"/>
      <c r="Y220" s="191"/>
      <c r="AH220" s="627"/>
      <c r="AP220" s="627"/>
      <c r="AX220" s="627"/>
      <c r="AZ220" s="3">
        <v>1</v>
      </c>
    </row>
    <row r="221" spans="2:52" ht="21" customHeight="1">
      <c r="B221" s="1333" t="s">
        <v>21</v>
      </c>
      <c r="C221" s="412"/>
      <c r="D221" s="423" t="s">
        <v>495</v>
      </c>
      <c r="E221" s="423"/>
      <c r="F221" s="9"/>
      <c r="G221" s="9"/>
      <c r="H221" s="9"/>
      <c r="I221" s="191"/>
      <c r="K221" s="412"/>
      <c r="L221" s="423" t="s">
        <v>496</v>
      </c>
      <c r="M221" s="423"/>
      <c r="N221" s="9"/>
      <c r="O221" s="9"/>
      <c r="P221" s="9"/>
      <c r="Q221" s="191"/>
      <c r="S221" s="412"/>
      <c r="T221" s="423" t="s">
        <v>497</v>
      </c>
      <c r="U221" s="423"/>
      <c r="V221" s="9"/>
      <c r="W221" s="9"/>
      <c r="X221" s="9"/>
      <c r="Y221" s="191"/>
      <c r="AH221" s="627"/>
      <c r="AP221" s="627"/>
      <c r="AX221" s="627"/>
      <c r="AZ221" s="3">
        <v>1</v>
      </c>
    </row>
    <row r="222" spans="2:52" ht="21" customHeight="1">
      <c r="B222" s="1333" t="s">
        <v>21</v>
      </c>
      <c r="C222" s="424"/>
      <c r="D222" s="425" t="s">
        <v>498</v>
      </c>
      <c r="E222" s="426" t="s">
        <v>499</v>
      </c>
      <c r="F222" s="9"/>
      <c r="G222" s="9"/>
      <c r="H222" s="9"/>
      <c r="I222" s="191"/>
      <c r="K222" s="424"/>
      <c r="L222" s="425" t="s">
        <v>500</v>
      </c>
      <c r="M222" s="426" t="s">
        <v>501</v>
      </c>
      <c r="N222" s="9"/>
      <c r="O222" s="9"/>
      <c r="P222" s="9"/>
      <c r="Q222" s="191"/>
      <c r="S222" s="424"/>
      <c r="T222" s="425" t="s">
        <v>502</v>
      </c>
      <c r="U222" s="426" t="s">
        <v>503</v>
      </c>
      <c r="V222" s="9"/>
      <c r="W222" s="9"/>
      <c r="X222" s="9"/>
      <c r="Y222" s="191"/>
      <c r="AH222" s="627"/>
      <c r="AP222" s="627"/>
      <c r="AX222" s="627"/>
      <c r="AZ222" s="3">
        <v>1</v>
      </c>
    </row>
    <row r="223" spans="2:52" ht="21" customHeight="1">
      <c r="B223" s="1333" t="s">
        <v>21</v>
      </c>
      <c r="C223" s="6547" t="s">
        <v>505</v>
      </c>
      <c r="D223" s="6548"/>
      <c r="E223" s="6548"/>
      <c r="F223" s="6548"/>
      <c r="G223" s="6548"/>
      <c r="H223" s="6548"/>
      <c r="I223" s="6549"/>
      <c r="K223" s="6547" t="s">
        <v>13786</v>
      </c>
      <c r="L223" s="6548"/>
      <c r="M223" s="6548"/>
      <c r="N223" s="6548"/>
      <c r="O223" s="6548"/>
      <c r="P223" s="6548"/>
      <c r="Q223" s="6549"/>
      <c r="S223" s="6547" t="s">
        <v>507</v>
      </c>
      <c r="T223" s="6548"/>
      <c r="U223" s="6548"/>
      <c r="V223" s="6548"/>
      <c r="W223" s="6548"/>
      <c r="X223" s="6548"/>
      <c r="Y223" s="6549"/>
      <c r="AH223" s="627"/>
      <c r="AP223" s="627"/>
      <c r="AX223" s="627"/>
      <c r="AZ223" s="3">
        <v>1</v>
      </c>
    </row>
    <row r="224" spans="2:52" ht="21" customHeight="1">
      <c r="B224" s="1333" t="s">
        <v>21</v>
      </c>
      <c r="C224" s="6547"/>
      <c r="D224" s="6548"/>
      <c r="E224" s="6548"/>
      <c r="F224" s="6548"/>
      <c r="G224" s="6548"/>
      <c r="H224" s="6548"/>
      <c r="I224" s="6549"/>
      <c r="K224" s="6547"/>
      <c r="L224" s="6548"/>
      <c r="M224" s="6548"/>
      <c r="N224" s="6548"/>
      <c r="O224" s="6548"/>
      <c r="P224" s="6548"/>
      <c r="Q224" s="6549"/>
      <c r="S224" s="6547"/>
      <c r="T224" s="6548"/>
      <c r="U224" s="6548"/>
      <c r="V224" s="6548"/>
      <c r="W224" s="6548"/>
      <c r="X224" s="6548"/>
      <c r="Y224" s="6549"/>
      <c r="AH224" s="627"/>
      <c r="AP224" s="627"/>
      <c r="AX224" s="627"/>
      <c r="AZ224" s="3">
        <v>1</v>
      </c>
    </row>
    <row r="225" spans="2:52" ht="21" customHeight="1">
      <c r="B225" s="1333" t="s">
        <v>21</v>
      </c>
      <c r="C225" s="6547"/>
      <c r="D225" s="6548"/>
      <c r="E225" s="6548"/>
      <c r="F225" s="6548"/>
      <c r="G225" s="6548"/>
      <c r="H225" s="6548"/>
      <c r="I225" s="6549"/>
      <c r="K225" s="6547"/>
      <c r="L225" s="6548"/>
      <c r="M225" s="6548"/>
      <c r="N225" s="6548"/>
      <c r="O225" s="6548"/>
      <c r="P225" s="6548"/>
      <c r="Q225" s="6549"/>
      <c r="S225" s="6547"/>
      <c r="T225" s="6548"/>
      <c r="U225" s="6548"/>
      <c r="V225" s="6548"/>
      <c r="W225" s="6548"/>
      <c r="X225" s="6548"/>
      <c r="Y225" s="6549"/>
      <c r="AH225" s="627"/>
      <c r="AP225" s="627"/>
      <c r="AX225" s="627"/>
      <c r="AZ225" s="3">
        <v>1</v>
      </c>
    </row>
    <row r="226" spans="2:52" ht="21" customHeight="1">
      <c r="B226" s="1333" t="s">
        <v>21</v>
      </c>
      <c r="C226" s="157"/>
      <c r="D226" s="158"/>
      <c r="E226" s="159"/>
      <c r="F226" s="158"/>
      <c r="G226" s="158"/>
      <c r="H226" s="158"/>
      <c r="I226" s="160"/>
      <c r="K226" s="157"/>
      <c r="L226" s="158"/>
      <c r="M226" s="159"/>
      <c r="N226" s="158"/>
      <c r="O226" s="158"/>
      <c r="P226" s="158"/>
      <c r="Q226" s="160"/>
      <c r="S226" s="157"/>
      <c r="T226" s="158"/>
      <c r="U226" s="159"/>
      <c r="V226" s="158"/>
      <c r="W226" s="158"/>
      <c r="X226" s="158"/>
      <c r="Y226" s="160"/>
      <c r="AH226" s="627"/>
      <c r="AP226" s="627"/>
      <c r="AX226" s="627"/>
      <c r="AZ226" s="3">
        <v>1</v>
      </c>
    </row>
    <row r="227" spans="2:52" ht="21" customHeight="1">
      <c r="B227" s="1333" t="s">
        <v>21</v>
      </c>
      <c r="C227" s="390"/>
      <c r="D227" s="391"/>
      <c r="E227" s="392"/>
      <c r="F227" s="391"/>
      <c r="G227" s="391"/>
      <c r="H227" s="391"/>
      <c r="I227" s="393"/>
      <c r="K227" s="390"/>
      <c r="L227" s="391"/>
      <c r="M227" s="392"/>
      <c r="N227" s="391"/>
      <c r="O227" s="391"/>
      <c r="P227" s="391"/>
      <c r="Q227" s="393"/>
      <c r="S227" s="390"/>
      <c r="T227" s="391"/>
      <c r="U227" s="392"/>
      <c r="V227" s="391"/>
      <c r="W227" s="391"/>
      <c r="X227" s="391"/>
      <c r="Y227" s="393"/>
      <c r="AH227" s="627"/>
      <c r="AP227" s="627"/>
      <c r="AX227" s="627"/>
      <c r="AZ227" s="3">
        <v>1</v>
      </c>
    </row>
    <row r="228" spans="2:52" ht="21" customHeight="1">
      <c r="B228" s="1333" t="s">
        <v>21</v>
      </c>
      <c r="C228" s="6550" t="s">
        <v>509</v>
      </c>
      <c r="D228" s="428" t="s">
        <v>510</v>
      </c>
      <c r="E228" s="429"/>
      <c r="F228" s="430"/>
      <c r="G228" s="430"/>
      <c r="H228" s="9"/>
      <c r="I228" s="191"/>
      <c r="K228" s="6550" t="s">
        <v>509</v>
      </c>
      <c r="L228" s="428" t="s">
        <v>511</v>
      </c>
      <c r="M228" s="429"/>
      <c r="N228" s="430"/>
      <c r="O228" s="430"/>
      <c r="P228" s="9"/>
      <c r="Q228" s="191"/>
      <c r="S228" s="6550" t="s">
        <v>509</v>
      </c>
      <c r="T228" s="428" t="s">
        <v>512</v>
      </c>
      <c r="U228" s="429"/>
      <c r="V228" s="430"/>
      <c r="W228" s="430"/>
      <c r="X228" s="9"/>
      <c r="Y228" s="191"/>
      <c r="AH228" s="627"/>
      <c r="AP228" s="627"/>
      <c r="AX228" s="627"/>
      <c r="AZ228" s="3">
        <v>1</v>
      </c>
    </row>
    <row r="229" spans="2:52" ht="21" customHeight="1">
      <c r="B229" s="1333" t="s">
        <v>21</v>
      </c>
      <c r="C229" s="6550"/>
      <c r="D229" s="431" t="s">
        <v>513</v>
      </c>
      <c r="E229" s="432"/>
      <c r="F229" s="432"/>
      <c r="G229" s="433"/>
      <c r="H229" s="9"/>
      <c r="I229" s="191"/>
      <c r="K229" s="6550"/>
      <c r="L229" s="431" t="s">
        <v>514</v>
      </c>
      <c r="M229" s="432"/>
      <c r="N229" s="432"/>
      <c r="O229" s="433"/>
      <c r="P229" s="9"/>
      <c r="Q229" s="191"/>
      <c r="S229" s="6550"/>
      <c r="T229" s="431" t="s">
        <v>515</v>
      </c>
      <c r="U229" s="432"/>
      <c r="V229" s="432"/>
      <c r="W229" s="433"/>
      <c r="X229" s="9"/>
      <c r="Y229" s="191"/>
      <c r="AH229" s="627"/>
      <c r="AP229" s="627"/>
      <c r="AX229" s="627"/>
      <c r="AZ229" s="3">
        <v>1</v>
      </c>
    </row>
    <row r="230" spans="2:52" ht="21" customHeight="1">
      <c r="B230" s="1333" t="s">
        <v>21</v>
      </c>
      <c r="C230" s="6550"/>
      <c r="D230" s="434">
        <v>16</v>
      </c>
      <c r="E230" s="435" t="s">
        <v>481</v>
      </c>
      <c r="F230" s="433"/>
      <c r="G230" s="433"/>
      <c r="H230" s="9"/>
      <c r="I230" s="191"/>
      <c r="K230" s="6550"/>
      <c r="L230" s="434">
        <v>16</v>
      </c>
      <c r="M230" s="435" t="s">
        <v>482</v>
      </c>
      <c r="N230" s="433"/>
      <c r="O230" s="433"/>
      <c r="P230" s="9"/>
      <c r="Q230" s="191"/>
      <c r="S230" s="6550"/>
      <c r="T230" s="434">
        <v>16</v>
      </c>
      <c r="U230" s="435" t="s">
        <v>483</v>
      </c>
      <c r="V230" s="433"/>
      <c r="W230" s="433"/>
      <c r="X230" s="9"/>
      <c r="Y230" s="191"/>
      <c r="AH230" s="627"/>
      <c r="AP230" s="627"/>
      <c r="AX230" s="627"/>
      <c r="AZ230" s="3">
        <v>1</v>
      </c>
    </row>
    <row r="231" spans="2:52" ht="21" customHeight="1">
      <c r="B231" s="1333" t="s">
        <v>21</v>
      </c>
      <c r="C231" s="6550"/>
      <c r="D231" s="434">
        <v>25</v>
      </c>
      <c r="E231" s="435" t="s">
        <v>484</v>
      </c>
      <c r="F231" s="433"/>
      <c r="G231" s="433"/>
      <c r="H231" s="9"/>
      <c r="I231" s="191"/>
      <c r="K231" s="6550"/>
      <c r="L231" s="434">
        <v>25</v>
      </c>
      <c r="M231" s="435" t="s">
        <v>485</v>
      </c>
      <c r="N231" s="433"/>
      <c r="O231" s="433"/>
      <c r="P231" s="9"/>
      <c r="Q231" s="191"/>
      <c r="S231" s="6550"/>
      <c r="T231" s="434">
        <v>25</v>
      </c>
      <c r="U231" s="435" t="s">
        <v>486</v>
      </c>
      <c r="V231" s="433"/>
      <c r="W231" s="433"/>
      <c r="X231" s="9"/>
      <c r="Y231" s="191"/>
      <c r="AH231" s="627"/>
      <c r="AP231" s="627"/>
      <c r="AX231" s="627"/>
      <c r="AZ231" s="3">
        <v>1</v>
      </c>
    </row>
    <row r="232" spans="2:52" ht="21" customHeight="1">
      <c r="B232" s="1333" t="s">
        <v>21</v>
      </c>
      <c r="C232" s="6550"/>
      <c r="D232" s="434">
        <v>12</v>
      </c>
      <c r="E232" s="437" t="s">
        <v>487</v>
      </c>
      <c r="F232" s="433"/>
      <c r="G232" s="433"/>
      <c r="H232" s="9"/>
      <c r="I232" s="191"/>
      <c r="K232" s="6550"/>
      <c r="L232" s="434">
        <v>12</v>
      </c>
      <c r="M232" s="437" t="s">
        <v>488</v>
      </c>
      <c r="N232" s="433"/>
      <c r="O232" s="433"/>
      <c r="P232" s="9"/>
      <c r="Q232" s="191"/>
      <c r="S232" s="6550"/>
      <c r="T232" s="434">
        <v>12</v>
      </c>
      <c r="U232" s="437" t="s">
        <v>489</v>
      </c>
      <c r="V232" s="433"/>
      <c r="W232" s="433"/>
      <c r="X232" s="9"/>
      <c r="Y232" s="191"/>
      <c r="AH232" s="627"/>
      <c r="AP232" s="627"/>
      <c r="AX232" s="627"/>
      <c r="AZ232" s="3">
        <v>1</v>
      </c>
    </row>
    <row r="233" spans="2:52" ht="21" customHeight="1">
      <c r="B233" s="1333" t="s">
        <v>21</v>
      </c>
      <c r="C233" s="6550"/>
      <c r="D233" s="434">
        <v>7</v>
      </c>
      <c r="E233" s="437" t="s">
        <v>491</v>
      </c>
      <c r="F233" s="433"/>
      <c r="G233" s="433"/>
      <c r="H233" s="9"/>
      <c r="I233" s="191"/>
      <c r="K233" s="6550"/>
      <c r="L233" s="434">
        <v>7</v>
      </c>
      <c r="M233" s="437" t="s">
        <v>492</v>
      </c>
      <c r="N233" s="433"/>
      <c r="O233" s="433"/>
      <c r="P233" s="9"/>
      <c r="Q233" s="191"/>
      <c r="S233" s="6550"/>
      <c r="T233" s="434">
        <v>7</v>
      </c>
      <c r="U233" s="437" t="s">
        <v>493</v>
      </c>
      <c r="V233" s="433"/>
      <c r="W233" s="433"/>
      <c r="X233" s="9"/>
      <c r="Y233" s="191"/>
      <c r="AH233" s="627"/>
      <c r="AP233" s="627"/>
      <c r="AX233" s="627"/>
      <c r="AZ233" s="3">
        <v>1</v>
      </c>
    </row>
    <row r="234" spans="2:52" ht="21" customHeight="1">
      <c r="B234" s="1333" t="s">
        <v>21</v>
      </c>
      <c r="C234" s="6550"/>
      <c r="D234" s="438" t="s">
        <v>516</v>
      </c>
      <c r="E234" s="438"/>
      <c r="F234" s="438"/>
      <c r="G234" s="438"/>
      <c r="H234" s="9"/>
      <c r="I234" s="191"/>
      <c r="K234" s="6550"/>
      <c r="L234" s="438" t="s">
        <v>517</v>
      </c>
      <c r="M234" s="438"/>
      <c r="N234" s="438"/>
      <c r="O234" s="438"/>
      <c r="P234" s="9"/>
      <c r="Q234" s="191"/>
      <c r="S234" s="6550"/>
      <c r="T234" s="438" t="s">
        <v>518</v>
      </c>
      <c r="U234" s="438"/>
      <c r="V234" s="438"/>
      <c r="W234" s="438"/>
      <c r="X234" s="9"/>
      <c r="Y234" s="191"/>
      <c r="AH234" s="627"/>
      <c r="AP234" s="627"/>
      <c r="AX234" s="627"/>
      <c r="AZ234" s="3">
        <v>1</v>
      </c>
    </row>
    <row r="235" spans="2:52" ht="21" customHeight="1">
      <c r="B235" s="1333" t="s">
        <v>21</v>
      </c>
      <c r="C235" s="427"/>
      <c r="D235" s="438"/>
      <c r="E235" s="438"/>
      <c r="F235" s="438"/>
      <c r="G235" s="438"/>
      <c r="H235" s="9"/>
      <c r="I235" s="191"/>
      <c r="K235" s="427"/>
      <c r="L235" s="438"/>
      <c r="M235" s="438"/>
      <c r="N235" s="438"/>
      <c r="O235" s="438"/>
      <c r="P235" s="9"/>
      <c r="Q235" s="191"/>
      <c r="S235" s="427"/>
      <c r="T235" s="438"/>
      <c r="U235" s="438"/>
      <c r="V235" s="438"/>
      <c r="W235" s="438"/>
      <c r="X235" s="9"/>
      <c r="Y235" s="191"/>
      <c r="AH235" s="627"/>
      <c r="AP235" s="627"/>
      <c r="AX235" s="627"/>
      <c r="AZ235" s="3">
        <v>1</v>
      </c>
    </row>
    <row r="236" spans="2:52" ht="21" customHeight="1">
      <c r="B236" s="1333" t="s">
        <v>21</v>
      </c>
      <c r="C236" s="157"/>
      <c r="D236" s="158"/>
      <c r="E236" s="159"/>
      <c r="F236" s="158"/>
      <c r="G236" s="158"/>
      <c r="H236" s="158"/>
      <c r="I236" s="160"/>
      <c r="K236" s="157"/>
      <c r="L236" s="158"/>
      <c r="M236" s="159"/>
      <c r="N236" s="158"/>
      <c r="O236" s="158"/>
      <c r="P236" s="158"/>
      <c r="Q236" s="160"/>
      <c r="S236" s="157"/>
      <c r="T236" s="158"/>
      <c r="U236" s="159"/>
      <c r="V236" s="158"/>
      <c r="W236" s="158"/>
      <c r="X236" s="158"/>
      <c r="Y236" s="160"/>
      <c r="AH236" s="627"/>
      <c r="AP236" s="627"/>
      <c r="AX236" s="627"/>
      <c r="AZ236" s="3">
        <v>1</v>
      </c>
    </row>
    <row r="237" spans="2:52" ht="21" customHeight="1">
      <c r="B237" s="1333" t="s">
        <v>21</v>
      </c>
      <c r="C237" s="6551" t="s">
        <v>522</v>
      </c>
      <c r="D237" s="6552"/>
      <c r="E237" s="6552"/>
      <c r="F237" s="6552"/>
      <c r="G237" s="6552"/>
      <c r="H237" s="6552"/>
      <c r="I237" s="6553"/>
      <c r="K237" s="6551" t="s">
        <v>523</v>
      </c>
      <c r="L237" s="6552"/>
      <c r="M237" s="6552"/>
      <c r="N237" s="6552"/>
      <c r="O237" s="6552"/>
      <c r="P237" s="6552"/>
      <c r="Q237" s="6553"/>
      <c r="S237" s="6551" t="s">
        <v>524</v>
      </c>
      <c r="T237" s="6552"/>
      <c r="U237" s="6552"/>
      <c r="V237" s="6552"/>
      <c r="W237" s="6552"/>
      <c r="X237" s="6552"/>
      <c r="Y237" s="6553"/>
      <c r="AH237" s="627"/>
      <c r="AP237" s="627"/>
      <c r="AX237" s="627"/>
      <c r="AZ237" s="3">
        <v>1</v>
      </c>
    </row>
    <row r="238" spans="2:52" ht="21" customHeight="1">
      <c r="B238" s="1333" t="s">
        <v>21</v>
      </c>
      <c r="C238" s="6551"/>
      <c r="D238" s="6552"/>
      <c r="E238" s="6552"/>
      <c r="F238" s="6552"/>
      <c r="G238" s="6552"/>
      <c r="H238" s="6552"/>
      <c r="I238" s="6553"/>
      <c r="K238" s="6551"/>
      <c r="L238" s="6552"/>
      <c r="M238" s="6552"/>
      <c r="N238" s="6552"/>
      <c r="O238" s="6552"/>
      <c r="P238" s="6552"/>
      <c r="Q238" s="6553"/>
      <c r="S238" s="6551"/>
      <c r="T238" s="6552"/>
      <c r="U238" s="6552"/>
      <c r="V238" s="6552"/>
      <c r="W238" s="6552"/>
      <c r="X238" s="6552"/>
      <c r="Y238" s="6553"/>
      <c r="AH238" s="627"/>
      <c r="AP238" s="627"/>
      <c r="AX238" s="627"/>
      <c r="AZ238" s="3">
        <v>1</v>
      </c>
    </row>
    <row r="239" spans="2:52" ht="21" customHeight="1" thickBot="1">
      <c r="B239" s="1333" t="s">
        <v>21</v>
      </c>
      <c r="C239" s="412"/>
      <c r="D239" s="449" t="s">
        <v>529</v>
      </c>
      <c r="E239" s="398" t="s">
        <v>530</v>
      </c>
      <c r="F239" s="229"/>
      <c r="G239" s="9"/>
      <c r="H239" s="9"/>
      <c r="I239" s="191"/>
      <c r="K239" s="412"/>
      <c r="L239" s="449" t="s">
        <v>531</v>
      </c>
      <c r="M239" s="398" t="s">
        <v>532</v>
      </c>
      <c r="N239" s="229"/>
      <c r="O239" s="9"/>
      <c r="P239" s="9"/>
      <c r="Q239" s="191"/>
      <c r="S239" s="412"/>
      <c r="T239" s="449" t="s">
        <v>533</v>
      </c>
      <c r="U239" s="398" t="s">
        <v>534</v>
      </c>
      <c r="V239" s="229"/>
      <c r="W239" s="9"/>
      <c r="X239" s="9"/>
      <c r="Y239" s="191"/>
      <c r="AH239" s="627"/>
      <c r="AP239" s="627"/>
      <c r="AX239" s="627"/>
      <c r="AZ239" s="3">
        <v>1</v>
      </c>
    </row>
    <row r="240" spans="2:52" ht="21" customHeight="1" thickTop="1">
      <c r="B240" s="1333" t="s">
        <v>21</v>
      </c>
      <c r="C240" s="454"/>
      <c r="D240" s="455" t="s">
        <v>182</v>
      </c>
      <c r="E240" s="456">
        <v>18.824999999999999</v>
      </c>
      <c r="F240" s="457" t="s">
        <v>537</v>
      </c>
      <c r="G240" s="5537">
        <v>0.15687499999999999</v>
      </c>
      <c r="H240" s="9"/>
      <c r="I240" s="38"/>
      <c r="K240" s="454"/>
      <c r="L240" s="455" t="s">
        <v>182</v>
      </c>
      <c r="M240" s="456">
        <v>18.824999999999999</v>
      </c>
      <c r="N240" s="457" t="s">
        <v>819</v>
      </c>
      <c r="O240" s="458">
        <v>0.15687499999999999</v>
      </c>
      <c r="P240" s="9"/>
      <c r="Q240" s="38"/>
      <c r="S240" s="454"/>
      <c r="T240" s="455" t="s">
        <v>182</v>
      </c>
      <c r="U240" s="456">
        <v>18.824999999999999</v>
      </c>
      <c r="V240" s="457" t="s">
        <v>538</v>
      </c>
      <c r="W240" s="458">
        <v>0.15687499999999999</v>
      </c>
      <c r="X240" s="9"/>
      <c r="Y240" s="38"/>
      <c r="AH240" s="627"/>
      <c r="AP240" s="627"/>
      <c r="AX240" s="627"/>
      <c r="AZ240" s="3">
        <v>1</v>
      </c>
    </row>
    <row r="241" spans="2:52" ht="21" customHeight="1">
      <c r="B241" s="1333" t="s">
        <v>21</v>
      </c>
      <c r="C241" s="459"/>
      <c r="D241" s="460" t="s">
        <v>529</v>
      </c>
      <c r="E241" s="461" t="s">
        <v>539</v>
      </c>
      <c r="F241" s="437"/>
      <c r="G241" s="437"/>
      <c r="H241" s="9"/>
      <c r="I241" s="38"/>
      <c r="K241" s="459"/>
      <c r="L241" s="460" t="s">
        <v>531</v>
      </c>
      <c r="M241" s="461" t="s">
        <v>540</v>
      </c>
      <c r="N241" s="437"/>
      <c r="O241" s="437"/>
      <c r="P241" s="9"/>
      <c r="Q241" s="38"/>
      <c r="S241" s="459"/>
      <c r="T241" s="460" t="s">
        <v>533</v>
      </c>
      <c r="U241" s="461" t="s">
        <v>541</v>
      </c>
      <c r="V241" s="437"/>
      <c r="W241" s="437"/>
      <c r="X241" s="9"/>
      <c r="Y241" s="38"/>
      <c r="AH241" s="627"/>
      <c r="AP241" s="627"/>
      <c r="AX241" s="627"/>
      <c r="AZ241" s="3">
        <v>1</v>
      </c>
    </row>
    <row r="242" spans="2:52" ht="21" customHeight="1">
      <c r="B242" s="1333" t="s">
        <v>21</v>
      </c>
      <c r="C242" s="459"/>
      <c r="D242" s="462">
        <v>1</v>
      </c>
      <c r="E242" s="463">
        <v>1.5</v>
      </c>
      <c r="F242" s="437"/>
      <c r="G242" s="437"/>
      <c r="H242" s="9"/>
      <c r="I242" s="38"/>
      <c r="K242" s="459"/>
      <c r="L242" s="462">
        <v>1</v>
      </c>
      <c r="M242" s="463">
        <v>1.5</v>
      </c>
      <c r="N242" s="437"/>
      <c r="O242" s="437"/>
      <c r="P242" s="9"/>
      <c r="Q242" s="38"/>
      <c r="S242" s="459"/>
      <c r="T242" s="462">
        <v>1</v>
      </c>
      <c r="U242" s="463">
        <v>1.5</v>
      </c>
      <c r="V242" s="437"/>
      <c r="W242" s="437"/>
      <c r="X242" s="9"/>
      <c r="Y242" s="38"/>
      <c r="AH242" s="627"/>
      <c r="AP242" s="627"/>
      <c r="AX242" s="627"/>
      <c r="AZ242" s="3">
        <v>1</v>
      </c>
    </row>
    <row r="243" spans="2:52" ht="21" customHeight="1">
      <c r="B243" s="1333" t="s">
        <v>21</v>
      </c>
      <c r="C243" s="459"/>
      <c r="D243" s="9"/>
      <c r="E243" s="9"/>
      <c r="F243" s="9"/>
      <c r="G243" s="9"/>
      <c r="H243" s="9"/>
      <c r="I243" s="38"/>
      <c r="K243" s="459"/>
      <c r="L243" s="9"/>
      <c r="M243" s="9"/>
      <c r="N243" s="9"/>
      <c r="O243" s="9"/>
      <c r="P243" s="9"/>
      <c r="Q243" s="38"/>
      <c r="S243" s="459"/>
      <c r="T243" s="9"/>
      <c r="U243" s="9"/>
      <c r="V243" s="9"/>
      <c r="W243" s="9"/>
      <c r="X243" s="9"/>
      <c r="Y243" s="38"/>
      <c r="AH243" s="627"/>
      <c r="AP243" s="627"/>
      <c r="AX243" s="627"/>
      <c r="AZ243" s="3">
        <v>1</v>
      </c>
    </row>
    <row r="244" spans="2:52" ht="21" customHeight="1">
      <c r="B244" s="1333" t="s">
        <v>21</v>
      </c>
      <c r="C244" s="412"/>
      <c r="D244" s="464" t="s">
        <v>544</v>
      </c>
      <c r="E244" s="465"/>
      <c r="F244" s="229"/>
      <c r="G244" s="9"/>
      <c r="H244" s="9"/>
      <c r="I244" s="191"/>
      <c r="K244" s="412"/>
      <c r="L244" s="464" t="s">
        <v>545</v>
      </c>
      <c r="M244" s="465"/>
      <c r="N244" s="229"/>
      <c r="O244" s="9"/>
      <c r="P244" s="9"/>
      <c r="Q244" s="191"/>
      <c r="S244" s="412"/>
      <c r="T244" s="464" t="s">
        <v>13788</v>
      </c>
      <c r="U244" s="465"/>
      <c r="V244" s="229"/>
      <c r="W244" s="9"/>
      <c r="X244" s="9"/>
      <c r="Y244" s="191"/>
      <c r="AH244" s="627"/>
      <c r="AP244" s="627"/>
      <c r="AX244" s="627"/>
      <c r="AZ244" s="3">
        <v>1</v>
      </c>
    </row>
    <row r="245" spans="2:52" ht="21" customHeight="1" thickBot="1">
      <c r="B245" s="1333" t="s">
        <v>21</v>
      </c>
      <c r="C245" s="412"/>
      <c r="D245" s="465" t="s">
        <v>547</v>
      </c>
      <c r="E245" s="437"/>
      <c r="F245" s="437"/>
      <c r="G245" s="9"/>
      <c r="H245" s="9"/>
      <c r="I245" s="191"/>
      <c r="K245" s="412"/>
      <c r="L245" s="465" t="s">
        <v>548</v>
      </c>
      <c r="M245" s="437"/>
      <c r="N245" s="437"/>
      <c r="O245" s="9"/>
      <c r="P245" s="9"/>
      <c r="Q245" s="191"/>
      <c r="S245" s="412"/>
      <c r="T245" s="465" t="s">
        <v>13789</v>
      </c>
      <c r="U245" s="437"/>
      <c r="V245" s="437"/>
      <c r="W245" s="9"/>
      <c r="X245" s="9"/>
      <c r="Y245" s="191"/>
      <c r="AH245" s="627"/>
      <c r="AP245" s="627"/>
      <c r="AX245" s="627"/>
      <c r="AZ245" s="3">
        <v>1</v>
      </c>
    </row>
    <row r="246" spans="2:52" ht="21" customHeight="1" thickTop="1">
      <c r="B246" s="1333" t="s">
        <v>21</v>
      </c>
      <c r="C246" s="412"/>
      <c r="D246" s="466"/>
      <c r="E246" s="467"/>
      <c r="F246" s="6554" t="s">
        <v>549</v>
      </c>
      <c r="G246" s="9"/>
      <c r="H246" s="9"/>
      <c r="I246" s="191"/>
      <c r="K246" s="412"/>
      <c r="L246" s="466"/>
      <c r="M246" s="467"/>
      <c r="N246" s="6554" t="s">
        <v>245</v>
      </c>
      <c r="O246" s="9"/>
      <c r="P246" s="9"/>
      <c r="Q246" s="191"/>
      <c r="S246" s="412"/>
      <c r="T246" s="466"/>
      <c r="U246" s="467"/>
      <c r="V246" s="6554" t="s">
        <v>551</v>
      </c>
      <c r="W246" s="9"/>
      <c r="X246" s="9"/>
      <c r="Y246" s="191"/>
      <c r="AH246" s="627"/>
      <c r="AP246" s="627"/>
      <c r="AX246" s="627"/>
      <c r="AZ246" s="3">
        <v>1</v>
      </c>
    </row>
    <row r="247" spans="2:52" ht="21" customHeight="1">
      <c r="B247" s="1333" t="s">
        <v>21</v>
      </c>
      <c r="C247" s="412"/>
      <c r="D247" s="5446" t="s">
        <v>270</v>
      </c>
      <c r="E247" s="469" t="s">
        <v>553</v>
      </c>
      <c r="F247" s="6555"/>
      <c r="G247" s="229"/>
      <c r="H247" s="9"/>
      <c r="I247" s="191"/>
      <c r="K247" s="412"/>
      <c r="L247" s="468" t="s">
        <v>545</v>
      </c>
      <c r="M247" s="469" t="s">
        <v>554</v>
      </c>
      <c r="N247" s="6555"/>
      <c r="O247" s="229"/>
      <c r="P247" s="9"/>
      <c r="Q247" s="191"/>
      <c r="S247" s="412"/>
      <c r="T247" s="5446" t="s">
        <v>13788</v>
      </c>
      <c r="U247" s="469" t="s">
        <v>555</v>
      </c>
      <c r="V247" s="6555"/>
      <c r="W247" s="229"/>
      <c r="X247" s="9"/>
      <c r="Y247" s="191"/>
      <c r="AH247" s="627"/>
      <c r="AP247" s="627"/>
      <c r="AX247" s="627"/>
      <c r="AZ247" s="3">
        <v>1</v>
      </c>
    </row>
    <row r="248" spans="2:52" ht="21" customHeight="1">
      <c r="B248" s="1333" t="s">
        <v>21</v>
      </c>
      <c r="C248" s="412"/>
      <c r="D248" s="470">
        <v>20</v>
      </c>
      <c r="E248" s="99">
        <v>0.75</v>
      </c>
      <c r="F248" s="471" t="s">
        <v>556</v>
      </c>
      <c r="G248" s="229"/>
      <c r="H248" s="9"/>
      <c r="I248" s="191"/>
      <c r="K248" s="412"/>
      <c r="L248" s="470">
        <v>20</v>
      </c>
      <c r="M248" s="99">
        <v>0.75</v>
      </c>
      <c r="N248" s="471" t="s">
        <v>556</v>
      </c>
      <c r="O248" s="229"/>
      <c r="P248" s="9"/>
      <c r="Q248" s="191"/>
      <c r="S248" s="412"/>
      <c r="T248" s="470">
        <v>20</v>
      </c>
      <c r="U248" s="99">
        <v>0.75</v>
      </c>
      <c r="V248" s="471" t="s">
        <v>556</v>
      </c>
      <c r="W248" s="229"/>
      <c r="X248" s="9"/>
      <c r="Y248" s="191"/>
      <c r="AH248" s="627"/>
      <c r="AP248" s="627"/>
      <c r="AX248" s="627"/>
      <c r="AZ248" s="3">
        <v>1</v>
      </c>
    </row>
    <row r="249" spans="2:52" ht="21" customHeight="1">
      <c r="B249" s="1333" t="s">
        <v>21</v>
      </c>
      <c r="C249" s="412"/>
      <c r="D249" s="433" t="s">
        <v>557</v>
      </c>
      <c r="E249" s="472"/>
      <c r="F249" s="472"/>
      <c r="G249" s="229"/>
      <c r="H249" s="9"/>
      <c r="I249" s="191"/>
      <c r="K249" s="412"/>
      <c r="L249" s="433" t="s">
        <v>557</v>
      </c>
      <c r="M249" s="472"/>
      <c r="N249" s="472"/>
      <c r="O249" s="229"/>
      <c r="P249" s="9"/>
      <c r="Q249" s="191"/>
      <c r="S249" s="412"/>
      <c r="T249" s="433" t="s">
        <v>559</v>
      </c>
      <c r="U249" s="472"/>
      <c r="V249" s="472"/>
      <c r="W249" s="229"/>
      <c r="X249" s="9"/>
      <c r="Y249" s="191"/>
      <c r="AH249" s="627"/>
      <c r="AP249" s="627"/>
      <c r="AX249" s="627"/>
      <c r="AZ249" s="3">
        <v>1</v>
      </c>
    </row>
    <row r="250" spans="2:52" ht="21" customHeight="1">
      <c r="B250" s="1333" t="s">
        <v>21</v>
      </c>
      <c r="C250" s="412"/>
      <c r="D250" s="433" t="s">
        <v>560</v>
      </c>
      <c r="E250" s="472"/>
      <c r="F250" s="472"/>
      <c r="G250" s="229"/>
      <c r="H250" s="9"/>
      <c r="I250" s="191"/>
      <c r="K250" s="412"/>
      <c r="L250" s="433" t="s">
        <v>560</v>
      </c>
      <c r="M250" s="472"/>
      <c r="N250" s="472"/>
      <c r="O250" s="229"/>
      <c r="P250" s="9"/>
      <c r="Q250" s="191"/>
      <c r="S250" s="412"/>
      <c r="T250" s="433" t="s">
        <v>562</v>
      </c>
      <c r="U250" s="472"/>
      <c r="V250" s="472"/>
      <c r="W250" s="229"/>
      <c r="X250" s="9"/>
      <c r="Y250" s="191"/>
      <c r="AH250" s="627"/>
      <c r="AP250" s="627"/>
      <c r="AX250" s="627"/>
      <c r="AZ250" s="3">
        <v>1</v>
      </c>
    </row>
    <row r="251" spans="2:52" ht="21" customHeight="1">
      <c r="B251" s="1333" t="s">
        <v>21</v>
      </c>
      <c r="C251" s="412"/>
      <c r="G251" s="229"/>
      <c r="H251" s="9"/>
      <c r="I251" s="191"/>
      <c r="K251" s="412"/>
      <c r="O251" s="229"/>
      <c r="P251" s="9"/>
      <c r="Q251" s="191"/>
      <c r="S251" s="412"/>
      <c r="W251" s="229"/>
      <c r="X251" s="9"/>
      <c r="Y251" s="191"/>
      <c r="AH251" s="627"/>
      <c r="AP251" s="627"/>
      <c r="AX251" s="627"/>
      <c r="AZ251" s="3">
        <v>1</v>
      </c>
    </row>
    <row r="252" spans="2:52" ht="21" customHeight="1">
      <c r="B252" s="1333" t="s">
        <v>21</v>
      </c>
      <c r="C252" s="473" t="s">
        <v>563</v>
      </c>
      <c r="D252" s="474"/>
      <c r="E252" s="474"/>
      <c r="F252" s="474"/>
      <c r="G252" s="474"/>
      <c r="H252" s="474"/>
      <c r="I252" s="46"/>
      <c r="K252" s="473" t="s">
        <v>563</v>
      </c>
      <c r="L252" s="474"/>
      <c r="M252" s="474"/>
      <c r="N252" s="474"/>
      <c r="O252" s="474"/>
      <c r="P252" s="474"/>
      <c r="Q252" s="46"/>
      <c r="S252" s="473" t="s">
        <v>563</v>
      </c>
      <c r="T252" s="474"/>
      <c r="U252" s="474"/>
      <c r="V252" s="474"/>
      <c r="W252" s="474"/>
      <c r="X252" s="474"/>
      <c r="Y252" s="46"/>
      <c r="AH252" s="627"/>
      <c r="AP252" s="627"/>
      <c r="AX252" s="627"/>
      <c r="AZ252" s="3">
        <v>1</v>
      </c>
    </row>
    <row r="253" spans="2:52" ht="21" customHeight="1">
      <c r="B253" s="1333" t="s">
        <v>21</v>
      </c>
      <c r="C253" s="476" t="s">
        <v>9042</v>
      </c>
      <c r="D253" s="45"/>
      <c r="E253" s="45"/>
      <c r="F253" s="45"/>
      <c r="G253" s="357" t="s">
        <v>589</v>
      </c>
      <c r="H253" s="45"/>
      <c r="I253" s="46"/>
      <c r="K253" s="476" t="s">
        <v>9042</v>
      </c>
      <c r="L253" s="45"/>
      <c r="M253" s="45"/>
      <c r="N253" s="45"/>
      <c r="O253" s="357" t="s">
        <v>589</v>
      </c>
      <c r="P253" s="45"/>
      <c r="Q253" s="46"/>
      <c r="S253" s="476" t="s">
        <v>9043</v>
      </c>
      <c r="T253" s="45"/>
      <c r="U253" s="45"/>
      <c r="V253" s="45"/>
      <c r="W253" s="357" t="s">
        <v>590</v>
      </c>
      <c r="X253" s="45"/>
      <c r="Y253" s="46"/>
      <c r="AH253" s="627"/>
      <c r="AP253" s="627"/>
      <c r="AX253" s="627"/>
      <c r="AZ253" s="3">
        <v>1</v>
      </c>
    </row>
    <row r="254" spans="2:52" ht="21" customHeight="1">
      <c r="B254" s="1333" t="s">
        <v>21</v>
      </c>
      <c r="C254" s="44"/>
      <c r="D254" s="45"/>
      <c r="E254" s="45"/>
      <c r="F254" s="45"/>
      <c r="G254" s="45"/>
      <c r="H254" s="45"/>
      <c r="I254" s="46"/>
      <c r="K254" s="44"/>
      <c r="L254" s="45"/>
      <c r="M254" s="45"/>
      <c r="N254" s="45"/>
      <c r="O254" s="45"/>
      <c r="P254" s="45"/>
      <c r="Q254" s="46"/>
      <c r="S254" s="44"/>
      <c r="T254" s="45"/>
      <c r="U254" s="45"/>
      <c r="V254" s="45"/>
      <c r="W254" s="45"/>
      <c r="X254" s="45"/>
      <c r="Y254" s="46"/>
      <c r="AH254" s="627"/>
      <c r="AP254" s="627"/>
      <c r="AX254" s="627"/>
      <c r="AZ254" s="3">
        <v>1</v>
      </c>
    </row>
    <row r="255" spans="2:52" ht="21" customHeight="1">
      <c r="B255" s="1333" t="s">
        <v>21</v>
      </c>
      <c r="C255" s="5467" t="s">
        <v>65</v>
      </c>
      <c r="D255" s="5468" t="s">
        <v>66</v>
      </c>
      <c r="E255" s="5469" t="s">
        <v>9044</v>
      </c>
      <c r="F255" s="5469"/>
      <c r="G255" s="5469"/>
      <c r="H255" s="5469"/>
      <c r="I255" s="191"/>
      <c r="K255" s="2321" t="s">
        <v>65</v>
      </c>
      <c r="L255" s="2322" t="s">
        <v>66</v>
      </c>
      <c r="M255" s="2323" t="s">
        <v>9044</v>
      </c>
      <c r="N255" s="2323"/>
      <c r="O255" s="2323"/>
      <c r="P255" s="2323"/>
      <c r="Q255" s="191"/>
      <c r="S255" s="5467" t="s">
        <v>65</v>
      </c>
      <c r="T255" s="5468" t="s">
        <v>66</v>
      </c>
      <c r="U255" s="5469" t="s">
        <v>9044</v>
      </c>
      <c r="V255" s="5469"/>
      <c r="W255" s="5469"/>
      <c r="X255" s="5469"/>
      <c r="Y255" s="191"/>
      <c r="AH255" s="627"/>
      <c r="AP255" s="627"/>
      <c r="AX255" s="627"/>
      <c r="AZ255" s="3">
        <v>1</v>
      </c>
    </row>
    <row r="256" spans="2:52" ht="21" customHeight="1">
      <c r="B256" s="1333" t="s">
        <v>21</v>
      </c>
      <c r="C256" s="5447" t="s">
        <v>140</v>
      </c>
      <c r="D256" s="5440" t="s">
        <v>100</v>
      </c>
      <c r="E256" s="5448" t="s">
        <v>141</v>
      </c>
      <c r="F256" s="5439" t="s">
        <v>0</v>
      </c>
      <c r="G256" s="5439" t="s">
        <v>97</v>
      </c>
      <c r="H256" s="5439" t="s">
        <v>144</v>
      </c>
      <c r="I256" s="5470" t="s">
        <v>145</v>
      </c>
      <c r="K256" s="481" t="s">
        <v>140</v>
      </c>
      <c r="L256" s="104" t="s">
        <v>100</v>
      </c>
      <c r="M256" s="143" t="s">
        <v>141</v>
      </c>
      <c r="N256" s="93" t="s">
        <v>0</v>
      </c>
      <c r="O256" s="93" t="s">
        <v>97</v>
      </c>
      <c r="P256" s="93" t="s">
        <v>144</v>
      </c>
      <c r="Q256" s="2324" t="s">
        <v>145</v>
      </c>
      <c r="S256" s="5447" t="s">
        <v>140</v>
      </c>
      <c r="T256" s="5440" t="s">
        <v>100</v>
      </c>
      <c r="U256" s="5448" t="s">
        <v>141</v>
      </c>
      <c r="V256" s="5439" t="s">
        <v>0</v>
      </c>
      <c r="W256" s="5439" t="s">
        <v>97</v>
      </c>
      <c r="X256" s="5439" t="s">
        <v>144</v>
      </c>
      <c r="Y256" s="5470" t="s">
        <v>145</v>
      </c>
      <c r="AH256" s="627"/>
      <c r="AP256" s="627"/>
      <c r="AX256" s="627"/>
      <c r="AZ256" s="3">
        <v>1</v>
      </c>
    </row>
    <row r="257" spans="2:52" ht="21" customHeight="1">
      <c r="B257" s="1333" t="s">
        <v>21</v>
      </c>
      <c r="C257" s="5471">
        <v>1</v>
      </c>
      <c r="D257" s="5472">
        <v>1E-3</v>
      </c>
      <c r="E257" s="5473">
        <v>0</v>
      </c>
      <c r="F257" s="5474">
        <v>1</v>
      </c>
      <c r="G257" s="5474">
        <v>0.1</v>
      </c>
      <c r="H257" s="5474">
        <v>0.01</v>
      </c>
      <c r="I257" s="5475">
        <v>1E-3</v>
      </c>
      <c r="K257" s="2325">
        <v>1</v>
      </c>
      <c r="L257" s="686">
        <v>1E-3</v>
      </c>
      <c r="M257" s="687">
        <v>0</v>
      </c>
      <c r="N257" s="688">
        <v>1</v>
      </c>
      <c r="O257" s="688">
        <v>0.1</v>
      </c>
      <c r="P257" s="688">
        <v>0.01</v>
      </c>
      <c r="Q257" s="689">
        <v>1E-3</v>
      </c>
      <c r="S257" s="5471">
        <v>1</v>
      </c>
      <c r="T257" s="5472">
        <v>1E-3</v>
      </c>
      <c r="U257" s="5473">
        <v>0</v>
      </c>
      <c r="V257" s="5474">
        <v>1</v>
      </c>
      <c r="W257" s="5474">
        <v>0.1</v>
      </c>
      <c r="X257" s="5474">
        <v>0.01</v>
      </c>
      <c r="Y257" s="5475">
        <v>1E-3</v>
      </c>
      <c r="AH257" s="627"/>
      <c r="AP257" s="627"/>
      <c r="AX257" s="627"/>
      <c r="AZ257" s="3">
        <v>1</v>
      </c>
    </row>
    <row r="258" spans="2:52" ht="21" customHeight="1">
      <c r="B258" s="1333" t="s">
        <v>21</v>
      </c>
      <c r="C258" s="5538" t="s">
        <v>142</v>
      </c>
      <c r="D258" s="5449" t="s">
        <v>143</v>
      </c>
      <c r="E258" s="5448" t="s">
        <v>141</v>
      </c>
      <c r="F258" s="5450" t="s">
        <v>1325</v>
      </c>
      <c r="G258" s="5450" t="s">
        <v>1334</v>
      </c>
      <c r="H258" s="5450" t="s">
        <v>1335</v>
      </c>
      <c r="I258" s="5451" t="s">
        <v>1333</v>
      </c>
      <c r="K258" s="2326" t="s">
        <v>1320</v>
      </c>
      <c r="L258" s="118" t="s">
        <v>1322</v>
      </c>
      <c r="M258" s="143" t="s">
        <v>141</v>
      </c>
      <c r="N258" s="109" t="s">
        <v>1325</v>
      </c>
      <c r="O258" s="109" t="s">
        <v>1334</v>
      </c>
      <c r="P258" s="109" t="s">
        <v>1335</v>
      </c>
      <c r="Q258" s="494" t="s">
        <v>1333</v>
      </c>
      <c r="S258" s="5476" t="s">
        <v>142</v>
      </c>
      <c r="T258" s="5449" t="s">
        <v>143</v>
      </c>
      <c r="U258" s="5448" t="s">
        <v>141</v>
      </c>
      <c r="V258" s="5450" t="s">
        <v>1306</v>
      </c>
      <c r="W258" s="5450" t="s">
        <v>1317</v>
      </c>
      <c r="X258" s="5450" t="s">
        <v>1318</v>
      </c>
      <c r="Y258" s="5451" t="s">
        <v>1316</v>
      </c>
      <c r="AH258" s="627"/>
      <c r="AP258" s="627"/>
      <c r="AX258" s="627"/>
      <c r="AZ258" s="3">
        <v>1</v>
      </c>
    </row>
    <row r="259" spans="2:52" ht="21" customHeight="1">
      <c r="B259" s="1333" t="s">
        <v>21</v>
      </c>
      <c r="C259" s="5471">
        <v>0.25</v>
      </c>
      <c r="D259" s="5472">
        <v>0.5</v>
      </c>
      <c r="E259" s="5473">
        <v>0</v>
      </c>
      <c r="F259" s="5474">
        <v>0.2</v>
      </c>
      <c r="G259" s="5474">
        <v>0.1</v>
      </c>
      <c r="H259" s="5474">
        <v>0.22500000000000001</v>
      </c>
      <c r="I259" s="5475">
        <v>1.4999999999999999E-2</v>
      </c>
      <c r="K259" s="2325">
        <v>0.25</v>
      </c>
      <c r="L259" s="686">
        <v>0.5</v>
      </c>
      <c r="M259" s="687">
        <v>0</v>
      </c>
      <c r="N259" s="688">
        <v>0.2</v>
      </c>
      <c r="O259" s="688">
        <v>0.1</v>
      </c>
      <c r="P259" s="688">
        <v>0.22500000000000001</v>
      </c>
      <c r="Q259" s="689">
        <v>1.4999999999999999E-2</v>
      </c>
      <c r="S259" s="5471">
        <v>0.25</v>
      </c>
      <c r="T259" s="5472">
        <v>0.5</v>
      </c>
      <c r="U259" s="5473">
        <v>0</v>
      </c>
      <c r="V259" s="5474">
        <v>0.2</v>
      </c>
      <c r="W259" s="5474">
        <v>0.1</v>
      </c>
      <c r="X259" s="5474">
        <v>0.22500000000000001</v>
      </c>
      <c r="Y259" s="5475">
        <v>1.4999999999999999E-2</v>
      </c>
      <c r="AH259" s="627"/>
      <c r="AP259" s="627"/>
      <c r="AX259" s="627"/>
      <c r="AZ259" s="3">
        <v>1</v>
      </c>
    </row>
    <row r="260" spans="2:52" ht="21" customHeight="1">
      <c r="B260" s="1333" t="s">
        <v>21</v>
      </c>
      <c r="C260" s="44"/>
      <c r="D260" s="45"/>
      <c r="E260" s="45"/>
      <c r="F260" s="45"/>
      <c r="G260" s="45"/>
      <c r="H260" s="45"/>
      <c r="I260" s="46"/>
      <c r="K260" s="44"/>
      <c r="L260" s="45"/>
      <c r="M260" s="45"/>
      <c r="N260" s="45"/>
      <c r="O260" s="45"/>
      <c r="P260" s="45"/>
      <c r="Q260" s="46"/>
      <c r="S260" s="44"/>
      <c r="T260" s="45"/>
      <c r="U260" s="45"/>
      <c r="V260" s="45"/>
      <c r="W260" s="45"/>
      <c r="X260" s="45"/>
      <c r="Y260" s="46"/>
      <c r="AZ260" s="3">
        <v>1</v>
      </c>
    </row>
    <row r="261" spans="2:52" ht="21" customHeight="1">
      <c r="B261" s="1333" t="s">
        <v>21</v>
      </c>
      <c r="C261" s="44"/>
      <c r="D261" s="483" t="s">
        <v>571</v>
      </c>
      <c r="E261" s="45"/>
      <c r="F261" s="45"/>
      <c r="G261" s="5450" t="s">
        <v>1341</v>
      </c>
      <c r="H261" s="5450" t="s">
        <v>1323</v>
      </c>
      <c r="I261" s="5451" t="s">
        <v>1324</v>
      </c>
      <c r="K261" s="44"/>
      <c r="L261" s="357" t="s">
        <v>9045</v>
      </c>
      <c r="M261" s="45"/>
      <c r="N261" s="45"/>
      <c r="O261" s="109" t="s">
        <v>1341</v>
      </c>
      <c r="P261" s="109" t="s">
        <v>1323</v>
      </c>
      <c r="Q261" s="494" t="s">
        <v>1324</v>
      </c>
      <c r="S261" s="44"/>
      <c r="T261" s="357" t="s">
        <v>9046</v>
      </c>
      <c r="U261" s="45"/>
      <c r="V261" s="45"/>
      <c r="W261" s="5450" t="s">
        <v>1342</v>
      </c>
      <c r="X261" s="5450" t="s">
        <v>1304</v>
      </c>
      <c r="Y261" s="5451" t="s">
        <v>1305</v>
      </c>
      <c r="AZ261" s="3">
        <v>1</v>
      </c>
    </row>
    <row r="262" spans="2:52" ht="21" customHeight="1">
      <c r="B262" s="1333" t="s">
        <v>21</v>
      </c>
      <c r="C262" s="44"/>
      <c r="D262" s="268" t="s">
        <v>573</v>
      </c>
      <c r="E262" s="45"/>
      <c r="F262" s="45"/>
      <c r="G262" s="5474">
        <v>0.25</v>
      </c>
      <c r="H262" s="5474">
        <v>0.5</v>
      </c>
      <c r="I262" s="5475">
        <v>0.33300000000000002</v>
      </c>
      <c r="K262" s="44"/>
      <c r="L262" s="268" t="s">
        <v>574</v>
      </c>
      <c r="M262" s="45"/>
      <c r="N262" s="45"/>
      <c r="O262" s="688">
        <v>0.25</v>
      </c>
      <c r="P262" s="688">
        <v>0.5</v>
      </c>
      <c r="Q262" s="689">
        <v>0.33300000000000002</v>
      </c>
      <c r="S262" s="44"/>
      <c r="T262" s="268" t="s">
        <v>575</v>
      </c>
      <c r="U262" s="45"/>
      <c r="V262" s="45"/>
      <c r="W262" s="5474">
        <v>0.25</v>
      </c>
      <c r="X262" s="5474">
        <v>0.5</v>
      </c>
      <c r="Y262" s="5475">
        <v>0.33300000000000002</v>
      </c>
      <c r="AZ262" s="3">
        <v>1</v>
      </c>
    </row>
    <row r="263" spans="2:52" ht="21" customHeight="1">
      <c r="B263" s="1333" t="s">
        <v>21</v>
      </c>
      <c r="C263" s="44"/>
      <c r="D263" s="486" t="s">
        <v>576</v>
      </c>
      <c r="E263" s="45"/>
      <c r="F263" s="45"/>
      <c r="G263" s="5452" t="s">
        <v>1331</v>
      </c>
      <c r="H263" s="5477" t="s">
        <v>1330</v>
      </c>
      <c r="I263" s="5478" t="s">
        <v>1639</v>
      </c>
      <c r="K263" s="44"/>
      <c r="L263" s="486" t="s">
        <v>577</v>
      </c>
      <c r="M263" s="45"/>
      <c r="N263" s="45"/>
      <c r="O263" s="155" t="s">
        <v>1331</v>
      </c>
      <c r="P263" s="125" t="s">
        <v>1330</v>
      </c>
      <c r="Q263" s="2327" t="s">
        <v>1639</v>
      </c>
      <c r="S263" s="44"/>
      <c r="T263" s="486" t="s">
        <v>578</v>
      </c>
      <c r="U263" s="45"/>
      <c r="V263" s="45"/>
      <c r="W263" s="5452" t="s">
        <v>1314</v>
      </c>
      <c r="X263" s="5477" t="s">
        <v>1313</v>
      </c>
      <c r="Y263" s="5478" t="s">
        <v>1640</v>
      </c>
      <c r="AZ263" s="3">
        <v>1</v>
      </c>
    </row>
    <row r="264" spans="2:52" ht="21" customHeight="1">
      <c r="B264" s="1333" t="s">
        <v>21</v>
      </c>
      <c r="C264" s="44"/>
      <c r="D264" s="486" t="s">
        <v>580</v>
      </c>
      <c r="E264" s="45"/>
      <c r="F264" s="45"/>
      <c r="G264" s="5474">
        <v>4.9299999999999995E-3</v>
      </c>
      <c r="H264" s="5474">
        <v>0.35</v>
      </c>
      <c r="I264" s="5475">
        <v>0.25</v>
      </c>
      <c r="K264" s="44"/>
      <c r="L264" s="486" t="s">
        <v>581</v>
      </c>
      <c r="M264" s="45"/>
      <c r="N264" s="45"/>
      <c r="O264" s="688">
        <v>4.9299999999999995E-3</v>
      </c>
      <c r="P264" s="688">
        <v>0.35</v>
      </c>
      <c r="Q264" s="689">
        <v>0.25</v>
      </c>
      <c r="S264" s="44"/>
      <c r="T264" s="486" t="s">
        <v>582</v>
      </c>
      <c r="U264" s="45"/>
      <c r="V264" s="45"/>
      <c r="W264" s="5474">
        <v>4.9299999999999995E-3</v>
      </c>
      <c r="X264" s="5474">
        <v>0.35</v>
      </c>
      <c r="Y264" s="5475">
        <v>0.25</v>
      </c>
      <c r="AZ264" s="3">
        <v>1</v>
      </c>
    </row>
    <row r="265" spans="2:52" ht="21" customHeight="1">
      <c r="B265" s="1333" t="s">
        <v>21</v>
      </c>
      <c r="C265" s="44"/>
      <c r="D265" s="45"/>
      <c r="E265" s="45"/>
      <c r="F265" s="45"/>
      <c r="G265" s="45"/>
      <c r="H265" s="45"/>
      <c r="I265" s="46"/>
      <c r="K265" s="44"/>
      <c r="L265" s="45"/>
      <c r="M265" s="45"/>
      <c r="N265" s="45"/>
      <c r="O265" s="45"/>
      <c r="P265" s="45"/>
      <c r="Q265" s="46"/>
      <c r="S265" s="44"/>
      <c r="T265" s="45"/>
      <c r="U265" s="45"/>
      <c r="V265" s="45"/>
      <c r="W265" s="45"/>
      <c r="X265" s="45"/>
      <c r="Y265" s="46"/>
      <c r="AZ265" s="3">
        <v>1</v>
      </c>
    </row>
    <row r="266" spans="2:52" ht="21" customHeight="1">
      <c r="B266" s="1333" t="s">
        <v>21</v>
      </c>
      <c r="C266" s="157"/>
      <c r="D266" s="158"/>
      <c r="E266" s="159"/>
      <c r="F266" s="158"/>
      <c r="G266" s="158"/>
      <c r="H266" s="158"/>
      <c r="I266" s="160"/>
      <c r="K266" s="157"/>
      <c r="L266" s="158"/>
      <c r="M266" s="159"/>
      <c r="N266" s="158"/>
      <c r="O266" s="158"/>
      <c r="P266" s="158"/>
      <c r="Q266" s="160"/>
      <c r="S266" s="157"/>
      <c r="T266" s="158"/>
      <c r="U266" s="159"/>
      <c r="V266" s="158"/>
      <c r="W266" s="158"/>
      <c r="X266" s="158"/>
      <c r="Y266" s="160"/>
      <c r="AZ266" s="3">
        <v>1</v>
      </c>
    </row>
    <row r="267" spans="2:52" ht="21" customHeight="1">
      <c r="B267" s="1333" t="s">
        <v>21</v>
      </c>
      <c r="C267" s="485"/>
      <c r="D267" s="45"/>
      <c r="E267" s="45"/>
      <c r="F267" s="45"/>
      <c r="G267" s="45"/>
      <c r="H267" s="45"/>
      <c r="I267" s="46"/>
      <c r="K267" s="485"/>
      <c r="L267" s="45"/>
      <c r="M267" s="45"/>
      <c r="N267" s="45"/>
      <c r="O267" s="45"/>
      <c r="P267" s="45"/>
      <c r="Q267" s="46"/>
      <c r="S267" s="485"/>
      <c r="T267" s="45"/>
      <c r="U267" s="45"/>
      <c r="V267" s="45"/>
      <c r="W267" s="45"/>
      <c r="X267" s="45"/>
      <c r="Y267" s="46"/>
      <c r="AZ267" s="3">
        <v>1</v>
      </c>
    </row>
    <row r="268" spans="2:52" ht="21" customHeight="1">
      <c r="B268" s="1333" t="s">
        <v>21</v>
      </c>
      <c r="C268" s="496" t="s">
        <v>604</v>
      </c>
      <c r="D268" s="45"/>
      <c r="E268" s="45"/>
      <c r="F268" s="45"/>
      <c r="G268" s="45"/>
      <c r="H268" s="45"/>
      <c r="I268" s="46"/>
      <c r="K268" s="496" t="s">
        <v>604</v>
      </c>
      <c r="L268" s="45"/>
      <c r="M268" s="45"/>
      <c r="N268" s="45"/>
      <c r="O268" s="45"/>
      <c r="P268" s="45"/>
      <c r="Q268" s="46"/>
      <c r="S268" s="496" t="s">
        <v>605</v>
      </c>
      <c r="T268" s="45"/>
      <c r="U268" s="45"/>
      <c r="V268" s="45"/>
      <c r="W268" s="45"/>
      <c r="X268" s="45"/>
      <c r="Y268" s="46"/>
      <c r="AZ268" s="3">
        <v>1</v>
      </c>
    </row>
    <row r="269" spans="2:52" ht="21" customHeight="1">
      <c r="B269" s="1333" t="s">
        <v>21</v>
      </c>
      <c r="C269" s="500" t="s">
        <v>607</v>
      </c>
      <c r="D269" s="480" t="s">
        <v>5</v>
      </c>
      <c r="E269" s="480" t="s">
        <v>6</v>
      </c>
      <c r="F269" s="480" t="s">
        <v>7</v>
      </c>
      <c r="G269" s="480" t="s">
        <v>8</v>
      </c>
      <c r="H269" s="5479" t="s">
        <v>608</v>
      </c>
      <c r="I269" s="46"/>
      <c r="K269" s="500" t="s">
        <v>609</v>
      </c>
      <c r="L269" s="480" t="s">
        <v>5</v>
      </c>
      <c r="M269" s="480" t="s">
        <v>6</v>
      </c>
      <c r="N269" s="480" t="s">
        <v>7</v>
      </c>
      <c r="O269" s="480" t="s">
        <v>8</v>
      </c>
      <c r="P269" s="501" t="s">
        <v>608</v>
      </c>
      <c r="Q269" s="46"/>
      <c r="S269" s="500" t="s">
        <v>610</v>
      </c>
      <c r="T269" s="480" t="s">
        <v>5</v>
      </c>
      <c r="U269" s="480" t="s">
        <v>6</v>
      </c>
      <c r="V269" s="480" t="s">
        <v>7</v>
      </c>
      <c r="W269" s="480" t="s">
        <v>8</v>
      </c>
      <c r="X269" s="5479" t="s">
        <v>608</v>
      </c>
      <c r="Y269" s="46"/>
      <c r="AZ269" s="3">
        <v>1</v>
      </c>
    </row>
    <row r="270" spans="2:52" ht="21" customHeight="1">
      <c r="B270" s="1333" t="s">
        <v>21</v>
      </c>
      <c r="C270" s="504"/>
      <c r="D270" s="505" t="s">
        <v>612</v>
      </c>
      <c r="E270" s="506"/>
      <c r="F270" s="506"/>
      <c r="G270" s="45"/>
      <c r="H270" s="45"/>
      <c r="I270" s="46"/>
      <c r="K270" s="504"/>
      <c r="L270" s="505" t="s">
        <v>613</v>
      </c>
      <c r="M270" s="506"/>
      <c r="N270" s="506"/>
      <c r="O270" s="45"/>
      <c r="P270" s="45"/>
      <c r="Q270" s="46"/>
      <c r="S270" s="504"/>
      <c r="T270" s="505" t="s">
        <v>612</v>
      </c>
      <c r="U270" s="506"/>
      <c r="V270" s="506"/>
      <c r="W270" s="45"/>
      <c r="X270" s="45"/>
      <c r="Y270" s="46"/>
      <c r="AZ270" s="3">
        <v>1</v>
      </c>
    </row>
    <row r="271" spans="2:52" ht="21" customHeight="1">
      <c r="B271" s="1333" t="s">
        <v>21</v>
      </c>
      <c r="C271" s="485"/>
      <c r="D271" s="6589" t="s">
        <v>18</v>
      </c>
      <c r="E271" s="6590">
        <v>10</v>
      </c>
      <c r="F271" s="6591" t="s">
        <v>19</v>
      </c>
      <c r="G271" s="6589" t="s">
        <v>20</v>
      </c>
      <c r="H271" s="45"/>
      <c r="I271" s="46"/>
      <c r="K271" s="485"/>
      <c r="L271" s="6589" t="s">
        <v>18</v>
      </c>
      <c r="M271" s="6590">
        <v>10</v>
      </c>
      <c r="N271" s="6591" t="s">
        <v>19</v>
      </c>
      <c r="O271" s="6589" t="s">
        <v>20</v>
      </c>
      <c r="P271" s="45"/>
      <c r="Q271" s="46"/>
      <c r="S271" s="485"/>
      <c r="T271" s="6589" t="s">
        <v>18</v>
      </c>
      <c r="U271" s="6590">
        <v>10</v>
      </c>
      <c r="V271" s="6591" t="s">
        <v>19</v>
      </c>
      <c r="W271" s="6589" t="s">
        <v>20</v>
      </c>
      <c r="X271" s="45"/>
      <c r="Y271" s="46"/>
      <c r="AZ271" s="3">
        <v>1</v>
      </c>
    </row>
    <row r="272" spans="2:52" ht="21" customHeight="1">
      <c r="B272" s="1333" t="s">
        <v>21</v>
      </c>
      <c r="C272" s="485"/>
      <c r="D272" s="6589"/>
      <c r="E272" s="6590"/>
      <c r="F272" s="6591"/>
      <c r="G272" s="6589"/>
      <c r="H272" s="45"/>
      <c r="I272" s="46"/>
      <c r="K272" s="485"/>
      <c r="L272" s="6589"/>
      <c r="M272" s="6590"/>
      <c r="N272" s="6591"/>
      <c r="O272" s="6589"/>
      <c r="P272" s="45"/>
      <c r="Q272" s="46"/>
      <c r="S272" s="485"/>
      <c r="T272" s="6589"/>
      <c r="U272" s="6590"/>
      <c r="V272" s="6591"/>
      <c r="W272" s="6589"/>
      <c r="X272" s="45"/>
      <c r="Y272" s="46"/>
      <c r="AZ272" s="3">
        <v>1</v>
      </c>
    </row>
    <row r="273" spans="2:52" ht="21" customHeight="1">
      <c r="B273" s="1333" t="s">
        <v>21</v>
      </c>
      <c r="C273" s="485"/>
      <c r="D273" s="6589"/>
      <c r="E273" s="6590"/>
      <c r="F273" s="6591"/>
      <c r="G273" s="6589"/>
      <c r="H273" s="45"/>
      <c r="I273" s="46"/>
      <c r="K273" s="485"/>
      <c r="L273" s="6589"/>
      <c r="M273" s="6590"/>
      <c r="N273" s="6591"/>
      <c r="O273" s="6589"/>
      <c r="P273" s="45"/>
      <c r="Q273" s="46"/>
      <c r="S273" s="485"/>
      <c r="T273" s="6589"/>
      <c r="U273" s="6590"/>
      <c r="V273" s="6591"/>
      <c r="W273" s="6589"/>
      <c r="X273" s="45"/>
      <c r="Y273" s="46"/>
      <c r="AZ273" s="3">
        <v>1</v>
      </c>
    </row>
    <row r="274" spans="2:52" ht="21" customHeight="1">
      <c r="B274" s="1333" t="s">
        <v>21</v>
      </c>
      <c r="C274" s="485"/>
      <c r="D274" s="6589"/>
      <c r="E274" s="6590"/>
      <c r="F274" s="6591"/>
      <c r="G274" s="6589"/>
      <c r="H274" s="45"/>
      <c r="I274" s="46"/>
      <c r="K274" s="485"/>
      <c r="L274" s="6589"/>
      <c r="M274" s="6590"/>
      <c r="N274" s="6591"/>
      <c r="O274" s="6589"/>
      <c r="P274" s="45"/>
      <c r="Q274" s="46"/>
      <c r="S274" s="485"/>
      <c r="T274" s="6589"/>
      <c r="U274" s="6590"/>
      <c r="V274" s="6591"/>
      <c r="W274" s="6589"/>
      <c r="X274" s="45"/>
      <c r="Y274" s="46"/>
      <c r="AZ274" s="3">
        <v>1</v>
      </c>
    </row>
    <row r="275" spans="2:52" ht="21" customHeight="1">
      <c r="B275" s="1333" t="s">
        <v>21</v>
      </c>
      <c r="C275" s="485"/>
      <c r="D275" s="6589"/>
      <c r="E275" s="6590"/>
      <c r="F275" s="6591"/>
      <c r="G275" s="6589"/>
      <c r="H275" s="45"/>
      <c r="I275" s="46"/>
      <c r="K275" s="485"/>
      <c r="L275" s="6589"/>
      <c r="M275" s="6590"/>
      <c r="N275" s="6591"/>
      <c r="O275" s="6589"/>
      <c r="P275" s="45"/>
      <c r="Q275" s="46"/>
      <c r="S275" s="485"/>
      <c r="T275" s="6589"/>
      <c r="U275" s="6590"/>
      <c r="V275" s="6591"/>
      <c r="W275" s="6589"/>
      <c r="X275" s="45"/>
      <c r="Y275" s="46"/>
      <c r="AZ275" s="3">
        <v>1</v>
      </c>
    </row>
    <row r="276" spans="2:52" ht="21" customHeight="1">
      <c r="B276" s="1333" t="s">
        <v>21</v>
      </c>
      <c r="C276" s="485"/>
      <c r="D276" s="6589"/>
      <c r="E276" s="6590"/>
      <c r="F276" s="6591"/>
      <c r="G276" s="6589"/>
      <c r="H276" s="45"/>
      <c r="I276" s="46"/>
      <c r="K276" s="485"/>
      <c r="L276" s="6589"/>
      <c r="M276" s="6590"/>
      <c r="N276" s="6591"/>
      <c r="O276" s="6589"/>
      <c r="P276" s="45"/>
      <c r="Q276" s="46"/>
      <c r="S276" s="485"/>
      <c r="T276" s="6589"/>
      <c r="U276" s="6590"/>
      <c r="V276" s="6591"/>
      <c r="W276" s="6589"/>
      <c r="X276" s="45"/>
      <c r="Y276" s="46"/>
      <c r="AZ276" s="3">
        <v>1</v>
      </c>
    </row>
    <row r="277" spans="2:52" ht="21" customHeight="1">
      <c r="B277" s="1333" t="s">
        <v>21</v>
      </c>
      <c r="C277" s="485"/>
      <c r="D277" s="6589"/>
      <c r="E277" s="6590"/>
      <c r="F277" s="6591"/>
      <c r="G277" s="6589"/>
      <c r="H277" s="45"/>
      <c r="I277" s="46"/>
      <c r="K277" s="485"/>
      <c r="L277" s="6589"/>
      <c r="M277" s="6590"/>
      <c r="N277" s="6591"/>
      <c r="O277" s="6589"/>
      <c r="P277" s="45"/>
      <c r="Q277" s="46"/>
      <c r="S277" s="485"/>
      <c r="T277" s="6589"/>
      <c r="U277" s="6590"/>
      <c r="V277" s="6591"/>
      <c r="W277" s="6589"/>
      <c r="X277" s="45"/>
      <c r="Y277" s="46"/>
      <c r="AZ277" s="3">
        <v>1</v>
      </c>
    </row>
    <row r="278" spans="2:52" ht="21" customHeight="1">
      <c r="B278" s="1333" t="s">
        <v>21</v>
      </c>
      <c r="C278" s="485"/>
      <c r="D278" s="6589"/>
      <c r="E278" s="508"/>
      <c r="F278" s="508"/>
      <c r="G278" s="6589"/>
      <c r="H278" s="45"/>
      <c r="I278" s="46"/>
      <c r="K278" s="485"/>
      <c r="L278" s="6589"/>
      <c r="M278" s="508"/>
      <c r="N278" s="508"/>
      <c r="O278" s="6589"/>
      <c r="P278" s="45"/>
      <c r="Q278" s="46"/>
      <c r="S278" s="485"/>
      <c r="T278" s="6589"/>
      <c r="U278" s="508"/>
      <c r="V278" s="508"/>
      <c r="W278" s="6589"/>
      <c r="X278" s="45"/>
      <c r="Y278" s="46"/>
      <c r="AZ278" s="3">
        <v>1</v>
      </c>
    </row>
    <row r="279" spans="2:52" ht="21" customHeight="1">
      <c r="B279" s="1333" t="s">
        <v>21</v>
      </c>
      <c r="C279" s="887" t="s">
        <v>794</v>
      </c>
      <c r="D279" s="1204" t="s">
        <v>3082</v>
      </c>
      <c r="E279" s="1202"/>
      <c r="F279" s="1202"/>
      <c r="G279" s="1203" t="s">
        <v>3049</v>
      </c>
      <c r="H279" s="1202"/>
      <c r="I279" s="46"/>
      <c r="K279" s="887" t="s">
        <v>794</v>
      </c>
      <c r="L279" s="1204" t="s">
        <v>3082</v>
      </c>
      <c r="M279" s="1202"/>
      <c r="N279" s="1202"/>
      <c r="O279" s="1203" t="s">
        <v>3049</v>
      </c>
      <c r="P279" s="1202"/>
      <c r="Q279" s="46"/>
      <c r="S279" s="887" t="s">
        <v>796</v>
      </c>
      <c r="T279" s="1204" t="s">
        <v>3082</v>
      </c>
      <c r="U279" s="1202"/>
      <c r="V279" s="1202"/>
      <c r="W279" s="5480" t="s">
        <v>3049</v>
      </c>
      <c r="X279" s="1202"/>
      <c r="Y279" s="46"/>
      <c r="AZ279" s="3">
        <v>1</v>
      </c>
    </row>
    <row r="280" spans="2:52" ht="21" customHeight="1">
      <c r="B280" s="1333" t="s">
        <v>21</v>
      </c>
      <c r="C280" s="888" t="s">
        <v>1776</v>
      </c>
      <c r="D280" s="45"/>
      <c r="E280" s="45"/>
      <c r="F280" s="45"/>
      <c r="G280" s="45"/>
      <c r="H280" s="45"/>
      <c r="I280" s="46"/>
      <c r="K280" s="888" t="s">
        <v>1778</v>
      </c>
      <c r="L280" s="45"/>
      <c r="M280" s="45"/>
      <c r="N280" s="45"/>
      <c r="O280" s="45"/>
      <c r="P280" s="45"/>
      <c r="Q280" s="46"/>
      <c r="S280" s="888" t="s">
        <v>1780</v>
      </c>
      <c r="T280" s="45"/>
      <c r="U280" s="45"/>
      <c r="V280" s="45"/>
      <c r="W280" s="45"/>
      <c r="X280" s="45"/>
      <c r="Y280" s="46"/>
      <c r="AZ280" s="3">
        <v>1</v>
      </c>
    </row>
    <row r="281" spans="2:52" ht="21" customHeight="1">
      <c r="B281" s="1333" t="s">
        <v>21</v>
      </c>
      <c r="C281" s="6592" t="s">
        <v>1785</v>
      </c>
      <c r="D281" s="6593"/>
      <c r="E281" s="6593"/>
      <c r="F281" s="6593"/>
      <c r="G281" s="6593"/>
      <c r="H281" s="6593"/>
      <c r="I281" s="6594"/>
      <c r="K281" s="6592" t="s">
        <v>1779</v>
      </c>
      <c r="L281" s="6593"/>
      <c r="M281" s="6593"/>
      <c r="N281" s="6593"/>
      <c r="O281" s="6593"/>
      <c r="P281" s="6593"/>
      <c r="Q281" s="6594"/>
      <c r="S281" s="6592" t="s">
        <v>1781</v>
      </c>
      <c r="T281" s="6593"/>
      <c r="U281" s="6593"/>
      <c r="V281" s="6593"/>
      <c r="W281" s="6593"/>
      <c r="X281" s="6593"/>
      <c r="Y281" s="6594"/>
      <c r="AZ281" s="3">
        <v>1</v>
      </c>
    </row>
    <row r="282" spans="2:52" ht="21" customHeight="1">
      <c r="B282" s="1333" t="s">
        <v>21</v>
      </c>
      <c r="C282" s="6592"/>
      <c r="D282" s="6593"/>
      <c r="E282" s="6593"/>
      <c r="F282" s="6593"/>
      <c r="G282" s="6593"/>
      <c r="H282" s="6593"/>
      <c r="I282" s="6594"/>
      <c r="K282" s="6592"/>
      <c r="L282" s="6593"/>
      <c r="M282" s="6593"/>
      <c r="N282" s="6593"/>
      <c r="O282" s="6593"/>
      <c r="P282" s="6593"/>
      <c r="Q282" s="6594"/>
      <c r="S282" s="6592"/>
      <c r="T282" s="6593"/>
      <c r="U282" s="6593"/>
      <c r="V282" s="6593"/>
      <c r="W282" s="6593"/>
      <c r="X282" s="6593"/>
      <c r="Y282" s="6594"/>
      <c r="AZ282" s="3">
        <v>1</v>
      </c>
    </row>
    <row r="283" spans="2:52" ht="21" customHeight="1">
      <c r="B283" s="1333" t="s">
        <v>21</v>
      </c>
      <c r="C283" s="888" t="s">
        <v>1786</v>
      </c>
      <c r="D283" s="45"/>
      <c r="E283" s="45"/>
      <c r="F283" s="45"/>
      <c r="G283" s="45"/>
      <c r="H283" s="45"/>
      <c r="I283" s="46"/>
      <c r="K283" s="888" t="s">
        <v>1786</v>
      </c>
      <c r="L283" s="45"/>
      <c r="M283" s="45"/>
      <c r="N283" s="45"/>
      <c r="O283" s="45"/>
      <c r="P283" s="45"/>
      <c r="Q283" s="46"/>
      <c r="S283" s="888" t="s">
        <v>1786</v>
      </c>
      <c r="T283" s="45"/>
      <c r="U283" s="45"/>
      <c r="V283" s="45"/>
      <c r="W283" s="45"/>
      <c r="X283" s="45"/>
      <c r="Y283" s="46"/>
      <c r="AZ283" s="3">
        <v>1</v>
      </c>
    </row>
    <row r="284" spans="2:52" ht="21" customHeight="1">
      <c r="B284" s="1333" t="s">
        <v>21</v>
      </c>
      <c r="C284" s="888" t="s">
        <v>8192</v>
      </c>
      <c r="D284" s="45"/>
      <c r="E284" s="45"/>
      <c r="F284" s="45"/>
      <c r="G284" s="45"/>
      <c r="H284" s="45"/>
      <c r="I284" s="46"/>
      <c r="K284" s="888" t="s">
        <v>8192</v>
      </c>
      <c r="L284" s="45"/>
      <c r="M284" s="45"/>
      <c r="N284" s="45"/>
      <c r="O284" s="45"/>
      <c r="P284" s="45"/>
      <c r="Q284" s="46"/>
      <c r="S284" s="888" t="s">
        <v>8192</v>
      </c>
      <c r="T284" s="45"/>
      <c r="U284" s="45"/>
      <c r="V284" s="45"/>
      <c r="W284" s="45"/>
      <c r="X284" s="45"/>
      <c r="Y284" s="46"/>
      <c r="AZ284" s="3">
        <v>1</v>
      </c>
    </row>
    <row r="285" spans="2:52" ht="21" customHeight="1">
      <c r="B285" s="1333" t="s">
        <v>21</v>
      </c>
      <c r="C285" s="888" t="s">
        <v>1787</v>
      </c>
      <c r="D285" s="509"/>
      <c r="E285" s="45"/>
      <c r="F285" s="45"/>
      <c r="G285" s="45"/>
      <c r="H285" s="45"/>
      <c r="I285" s="46"/>
      <c r="K285" s="888" t="s">
        <v>1787</v>
      </c>
      <c r="L285" s="509"/>
      <c r="M285" s="45"/>
      <c r="N285" s="45"/>
      <c r="O285" s="45"/>
      <c r="P285" s="45"/>
      <c r="Q285" s="46"/>
      <c r="S285" s="888" t="s">
        <v>1787</v>
      </c>
      <c r="T285" s="509"/>
      <c r="U285" s="45"/>
      <c r="V285" s="45"/>
      <c r="W285" s="45"/>
      <c r="X285" s="45"/>
      <c r="Y285" s="46"/>
      <c r="AZ285" s="3">
        <v>1</v>
      </c>
    </row>
    <row r="286" spans="2:52" ht="21" customHeight="1">
      <c r="B286" s="1333" t="s">
        <v>21</v>
      </c>
      <c r="C286" s="510" t="s">
        <v>8</v>
      </c>
      <c r="D286" s="511"/>
      <c r="E286" s="512"/>
      <c r="F286" s="513"/>
      <c r="G286" s="513"/>
      <c r="H286" s="514"/>
      <c r="I286" s="515"/>
      <c r="K286" s="510" t="s">
        <v>8</v>
      </c>
      <c r="L286" s="511"/>
      <c r="M286" s="512"/>
      <c r="N286" s="513"/>
      <c r="O286" s="513"/>
      <c r="P286" s="514"/>
      <c r="Q286" s="515"/>
      <c r="S286" s="510" t="s">
        <v>8</v>
      </c>
      <c r="T286" s="511"/>
      <c r="U286" s="512"/>
      <c r="V286" s="513"/>
      <c r="W286" s="513"/>
      <c r="X286" s="514"/>
      <c r="Y286" s="515"/>
      <c r="AZ286" s="3">
        <v>1</v>
      </c>
    </row>
    <row r="287" spans="2:52" ht="21" customHeight="1">
      <c r="B287" s="1333" t="s">
        <v>21</v>
      </c>
      <c r="C287" s="5481" t="s">
        <v>8346</v>
      </c>
      <c r="D287" s="5482"/>
      <c r="E287" s="5482"/>
      <c r="F287" s="167"/>
      <c r="G287" s="167"/>
      <c r="H287" s="167"/>
      <c r="I287" s="516"/>
      <c r="K287" s="1690" t="s">
        <v>8346</v>
      </c>
      <c r="L287" s="1691"/>
      <c r="M287" s="1691"/>
      <c r="N287" s="167"/>
      <c r="O287" s="167"/>
      <c r="P287" s="167"/>
      <c r="Q287" s="516"/>
      <c r="S287" s="5481" t="s">
        <v>8346</v>
      </c>
      <c r="T287" s="5482"/>
      <c r="U287" s="5482"/>
      <c r="V287" s="167"/>
      <c r="W287" s="167"/>
      <c r="X287" s="167"/>
      <c r="Y287" s="516"/>
      <c r="AZ287" s="3">
        <v>1</v>
      </c>
    </row>
    <row r="288" spans="2:52" ht="21" customHeight="1">
      <c r="B288" s="1333" t="s">
        <v>21</v>
      </c>
      <c r="C288" s="517" t="s">
        <v>821</v>
      </c>
      <c r="D288" s="173"/>
      <c r="E288" s="173"/>
      <c r="F288" s="173"/>
      <c r="G288" s="173"/>
      <c r="H288" s="173"/>
      <c r="I288" s="518"/>
      <c r="K288" s="517" t="s">
        <v>625</v>
      </c>
      <c r="L288" s="173"/>
      <c r="M288" s="173"/>
      <c r="N288" s="173"/>
      <c r="O288" s="173"/>
      <c r="P288" s="173"/>
      <c r="Q288" s="518"/>
      <c r="S288" s="517" t="s">
        <v>626</v>
      </c>
      <c r="T288" s="173"/>
      <c r="U288" s="173"/>
      <c r="V288" s="173"/>
      <c r="W288" s="173"/>
      <c r="X288" s="173"/>
      <c r="Y288" s="518"/>
      <c r="AZ288" s="3">
        <v>1</v>
      </c>
    </row>
    <row r="289" spans="2:52" ht="21" customHeight="1">
      <c r="B289" s="1333" t="s">
        <v>21</v>
      </c>
      <c r="C289" s="519" t="s">
        <v>172</v>
      </c>
      <c r="D289" s="176"/>
      <c r="E289" s="176"/>
      <c r="F289" s="176"/>
      <c r="G289" s="176"/>
      <c r="H289" s="176"/>
      <c r="I289" s="520"/>
      <c r="K289" s="519" t="s">
        <v>627</v>
      </c>
      <c r="L289" s="176"/>
      <c r="M289" s="176"/>
      <c r="N289" s="176"/>
      <c r="O289" s="176"/>
      <c r="P289" s="176"/>
      <c r="Q289" s="520"/>
      <c r="S289" s="519" t="s">
        <v>628</v>
      </c>
      <c r="T289" s="176"/>
      <c r="U289" s="176"/>
      <c r="V289" s="176"/>
      <c r="W289" s="176"/>
      <c r="X289" s="176"/>
      <c r="Y289" s="520"/>
      <c r="AZ289" s="3">
        <v>1</v>
      </c>
    </row>
    <row r="290" spans="2:52" ht="21" customHeight="1">
      <c r="B290" s="1333" t="s">
        <v>21</v>
      </c>
      <c r="C290" s="519" t="s">
        <v>180</v>
      </c>
      <c r="D290" s="176"/>
      <c r="E290" s="176"/>
      <c r="F290" s="176"/>
      <c r="G290" s="176"/>
      <c r="H290" s="176"/>
      <c r="I290" s="520"/>
      <c r="K290" s="519" t="s">
        <v>629</v>
      </c>
      <c r="L290" s="176"/>
      <c r="M290" s="176"/>
      <c r="N290" s="176"/>
      <c r="O290" s="176"/>
      <c r="P290" s="176"/>
      <c r="Q290" s="520"/>
      <c r="S290" s="519" t="s">
        <v>630</v>
      </c>
      <c r="T290" s="176"/>
      <c r="U290" s="176"/>
      <c r="V290" s="176"/>
      <c r="W290" s="176"/>
      <c r="X290" s="176"/>
      <c r="Y290" s="520"/>
      <c r="AZ290" s="3">
        <v>1</v>
      </c>
    </row>
    <row r="291" spans="2:52" ht="21" customHeight="1">
      <c r="B291" s="1333" t="s">
        <v>21</v>
      </c>
      <c r="C291" s="521" t="s">
        <v>196</v>
      </c>
      <c r="D291" s="176"/>
      <c r="E291" s="176"/>
      <c r="F291" s="176"/>
      <c r="G291" s="176"/>
      <c r="H291" s="176"/>
      <c r="I291" s="522"/>
      <c r="K291" s="521" t="s">
        <v>632</v>
      </c>
      <c r="L291" s="176"/>
      <c r="M291" s="176"/>
      <c r="N291" s="176"/>
      <c r="O291" s="176"/>
      <c r="P291" s="176"/>
      <c r="Q291" s="522"/>
      <c r="S291" s="521" t="s">
        <v>633</v>
      </c>
      <c r="T291" s="176"/>
      <c r="U291" s="176"/>
      <c r="V291" s="176"/>
      <c r="W291" s="176"/>
      <c r="X291" s="176"/>
      <c r="Y291" s="522"/>
      <c r="AZ291" s="3">
        <v>1</v>
      </c>
    </row>
    <row r="292" spans="2:52" ht="21" customHeight="1">
      <c r="B292" s="1333" t="s">
        <v>21</v>
      </c>
      <c r="C292" s="521"/>
      <c r="D292" s="176"/>
      <c r="E292" s="176"/>
      <c r="F292" s="176"/>
      <c r="G292" s="176"/>
      <c r="H292" s="176"/>
      <c r="I292" s="522"/>
      <c r="K292" s="521"/>
      <c r="L292" s="176"/>
      <c r="M292" s="176"/>
      <c r="N292" s="176"/>
      <c r="O292" s="176"/>
      <c r="P292" s="176"/>
      <c r="Q292" s="522"/>
      <c r="S292" s="521"/>
      <c r="T292" s="176"/>
      <c r="U292" s="176"/>
      <c r="V292" s="176"/>
      <c r="W292" s="176"/>
      <c r="X292" s="176"/>
      <c r="Y292" s="522"/>
      <c r="AH292" s="633"/>
      <c r="AP292" s="633"/>
      <c r="AX292" s="633"/>
      <c r="AZ292" s="3">
        <v>1</v>
      </c>
    </row>
    <row r="293" spans="2:52" ht="21" customHeight="1">
      <c r="B293" s="1333" t="s">
        <v>21</v>
      </c>
      <c r="C293" s="528"/>
      <c r="D293" s="204"/>
      <c r="E293" s="204" t="s">
        <v>200</v>
      </c>
      <c r="F293" s="1205" t="s">
        <v>637</v>
      </c>
      <c r="G293" s="206"/>
      <c r="H293" s="206"/>
      <c r="I293" s="529"/>
      <c r="K293" s="528"/>
      <c r="L293" s="204"/>
      <c r="M293" s="204" t="s">
        <v>638</v>
      </c>
      <c r="N293" s="1205" t="s">
        <v>639</v>
      </c>
      <c r="O293" s="206"/>
      <c r="P293" s="206"/>
      <c r="Q293" s="529"/>
      <c r="S293" s="5483"/>
      <c r="T293" s="204"/>
      <c r="U293" s="204" t="s">
        <v>640</v>
      </c>
      <c r="V293" s="2328" t="s">
        <v>641</v>
      </c>
      <c r="W293" s="206"/>
      <c r="X293" s="206"/>
      <c r="Y293" s="5484"/>
      <c r="AH293" s="633"/>
      <c r="AP293" s="633"/>
      <c r="AX293" s="633"/>
      <c r="AZ293" s="3">
        <v>1</v>
      </c>
    </row>
    <row r="294" spans="2:52" ht="21" customHeight="1">
      <c r="B294" s="1333" t="s">
        <v>21</v>
      </c>
      <c r="C294" s="533"/>
      <c r="D294" s="534"/>
      <c r="E294" s="535"/>
      <c r="F294" s="536"/>
      <c r="G294" s="472"/>
      <c r="H294" s="472"/>
      <c r="I294" s="537"/>
      <c r="K294" s="533"/>
      <c r="L294" s="534"/>
      <c r="M294" s="535"/>
      <c r="N294" s="536"/>
      <c r="O294" s="472"/>
      <c r="P294" s="472"/>
      <c r="Q294" s="537"/>
      <c r="S294" s="533"/>
      <c r="T294" s="534"/>
      <c r="U294" s="535"/>
      <c r="V294" s="536"/>
      <c r="W294" s="472"/>
      <c r="X294" s="472"/>
      <c r="Y294" s="537"/>
      <c r="AH294" s="633"/>
      <c r="AP294" s="633"/>
      <c r="AX294" s="633"/>
      <c r="AZ294" s="3">
        <v>1</v>
      </c>
    </row>
    <row r="295" spans="2:52" ht="21" customHeight="1">
      <c r="B295" s="1333" t="s">
        <v>21</v>
      </c>
      <c r="C295" s="540"/>
      <c r="D295" s="212"/>
      <c r="E295" s="213"/>
      <c r="F295" s="214"/>
      <c r="G295" s="213"/>
      <c r="H295" s="213"/>
      <c r="I295" s="541"/>
      <c r="K295" s="540"/>
      <c r="L295" s="212"/>
      <c r="M295" s="213"/>
      <c r="N295" s="214"/>
      <c r="O295" s="213"/>
      <c r="P295" s="213"/>
      <c r="Q295" s="541"/>
      <c r="S295" s="540"/>
      <c r="T295" s="212"/>
      <c r="U295" s="213"/>
      <c r="V295" s="214"/>
      <c r="W295" s="213"/>
      <c r="X295" s="213"/>
      <c r="Y295" s="541"/>
      <c r="AH295" s="633"/>
      <c r="AP295" s="633"/>
      <c r="AX295" s="633"/>
      <c r="AZ295" s="3">
        <v>1</v>
      </c>
    </row>
    <row r="296" spans="2:52" ht="21" customHeight="1">
      <c r="B296" s="1333" t="s">
        <v>21</v>
      </c>
      <c r="C296" s="459"/>
      <c r="H296" s="9"/>
      <c r="I296" s="38"/>
      <c r="K296" s="459"/>
      <c r="P296" s="9"/>
      <c r="Q296" s="38"/>
      <c r="S296" s="459"/>
      <c r="X296" s="9"/>
      <c r="Y296" s="38"/>
      <c r="AH296" s="633"/>
      <c r="AP296" s="633"/>
      <c r="AX296" s="633"/>
      <c r="AZ296" s="3">
        <v>1</v>
      </c>
    </row>
    <row r="297" spans="2:52" ht="21" customHeight="1">
      <c r="B297" s="1333" t="s">
        <v>21</v>
      </c>
      <c r="C297" s="459"/>
      <c r="D297" s="5485"/>
      <c r="E297" s="544"/>
      <c r="F297" s="545" t="s">
        <v>164</v>
      </c>
      <c r="G297" s="546" t="s">
        <v>643</v>
      </c>
      <c r="H297" s="9"/>
      <c r="I297" s="38"/>
      <c r="K297" s="459"/>
      <c r="L297" s="543"/>
      <c r="M297" s="544"/>
      <c r="N297" s="545" t="s">
        <v>644</v>
      </c>
      <c r="O297" s="546" t="s">
        <v>643</v>
      </c>
      <c r="P297" s="9"/>
      <c r="Q297" s="38"/>
      <c r="S297" s="459"/>
      <c r="T297" s="5485"/>
      <c r="U297" s="544"/>
      <c r="V297" s="545" t="s">
        <v>645</v>
      </c>
      <c r="W297" s="5486" t="s">
        <v>643</v>
      </c>
      <c r="X297" s="9"/>
      <c r="Y297" s="38"/>
      <c r="AH297" s="633"/>
      <c r="AP297" s="633"/>
      <c r="AX297" s="633"/>
      <c r="AZ297" s="3">
        <v>1</v>
      </c>
    </row>
    <row r="298" spans="2:52" ht="21" customHeight="1">
      <c r="B298" s="1333" t="s">
        <v>21</v>
      </c>
      <c r="C298" s="459"/>
      <c r="D298" s="549"/>
      <c r="E298" s="168"/>
      <c r="F298" s="169" t="s">
        <v>167</v>
      </c>
      <c r="G298" s="550" t="s">
        <v>165</v>
      </c>
      <c r="H298" s="9"/>
      <c r="I298" s="38"/>
      <c r="K298" s="459"/>
      <c r="L298" s="549"/>
      <c r="M298" s="168"/>
      <c r="N298" s="169" t="s">
        <v>646</v>
      </c>
      <c r="O298" s="550" t="s">
        <v>165</v>
      </c>
      <c r="P298" s="9"/>
      <c r="Q298" s="38"/>
      <c r="S298" s="459"/>
      <c r="T298" s="549"/>
      <c r="U298" s="168"/>
      <c r="V298" s="169" t="s">
        <v>647</v>
      </c>
      <c r="W298" s="550" t="s">
        <v>165</v>
      </c>
      <c r="X298" s="9"/>
      <c r="Y298" s="38"/>
      <c r="AH298" s="633"/>
      <c r="AP298" s="633"/>
      <c r="AX298" s="633"/>
      <c r="AZ298" s="3">
        <v>1</v>
      </c>
    </row>
    <row r="299" spans="2:52" ht="21" customHeight="1">
      <c r="B299" s="1333" t="s">
        <v>21</v>
      </c>
      <c r="C299" s="459"/>
      <c r="D299" s="5487"/>
      <c r="E299" s="9"/>
      <c r="F299" s="174" t="s">
        <v>171</v>
      </c>
      <c r="G299" s="5539">
        <v>1.7361111111111112E-2</v>
      </c>
      <c r="H299" s="9"/>
      <c r="I299" s="38"/>
      <c r="K299" s="459"/>
      <c r="L299" s="553"/>
      <c r="M299" s="9"/>
      <c r="N299" s="174" t="s">
        <v>650</v>
      </c>
      <c r="O299" s="554">
        <v>1.7361111111111112E-2</v>
      </c>
      <c r="P299" s="9"/>
      <c r="Q299" s="38"/>
      <c r="S299" s="459"/>
      <c r="T299" s="5487"/>
      <c r="U299" s="9"/>
      <c r="V299" s="174" t="s">
        <v>651</v>
      </c>
      <c r="W299" s="554">
        <v>1.7361111111111112E-2</v>
      </c>
      <c r="X299" s="9"/>
      <c r="Y299" s="38"/>
      <c r="AH299" s="633"/>
      <c r="AP299" s="633"/>
      <c r="AX299" s="633"/>
      <c r="AZ299" s="3">
        <v>1</v>
      </c>
    </row>
    <row r="300" spans="2:52" ht="21" customHeight="1">
      <c r="B300" s="1333" t="s">
        <v>21</v>
      </c>
      <c r="C300" s="459"/>
      <c r="D300" s="5487"/>
      <c r="E300" s="9"/>
      <c r="F300" s="174" t="s">
        <v>173</v>
      </c>
      <c r="G300" s="5540">
        <v>1.0416666666666666E-2</v>
      </c>
      <c r="H300" s="9"/>
      <c r="I300" s="38"/>
      <c r="K300" s="459"/>
      <c r="L300" s="553"/>
      <c r="M300" s="9"/>
      <c r="N300" s="174" t="s">
        <v>655</v>
      </c>
      <c r="O300" s="556">
        <v>1.0416666666666666E-2</v>
      </c>
      <c r="P300" s="9"/>
      <c r="Q300" s="38"/>
      <c r="S300" s="459"/>
      <c r="T300" s="5487"/>
      <c r="U300" s="9"/>
      <c r="V300" s="174" t="s">
        <v>656</v>
      </c>
      <c r="W300" s="556">
        <v>1.0416666666666666E-2</v>
      </c>
      <c r="X300" s="9"/>
      <c r="Y300" s="38"/>
      <c r="AH300" s="633"/>
      <c r="AP300" s="633"/>
      <c r="AX300" s="633"/>
      <c r="AZ300" s="3">
        <v>1</v>
      </c>
    </row>
    <row r="301" spans="2:52" ht="21" customHeight="1">
      <c r="B301" s="1333" t="s">
        <v>21</v>
      </c>
      <c r="C301" s="459"/>
      <c r="D301" s="5487"/>
      <c r="E301" s="9"/>
      <c r="F301" s="174" t="s">
        <v>181</v>
      </c>
      <c r="G301" s="5541">
        <v>6.25E-2</v>
      </c>
      <c r="H301" s="9"/>
      <c r="I301" s="38"/>
      <c r="K301" s="459"/>
      <c r="L301" s="553"/>
      <c r="M301" s="9"/>
      <c r="N301" s="174" t="s">
        <v>657</v>
      </c>
      <c r="O301" s="557">
        <v>6.25E-2</v>
      </c>
      <c r="P301" s="9"/>
      <c r="Q301" s="38"/>
      <c r="S301" s="459"/>
      <c r="T301" s="5487"/>
      <c r="U301" s="9"/>
      <c r="V301" s="174" t="s">
        <v>658</v>
      </c>
      <c r="W301" s="557">
        <v>6.25E-2</v>
      </c>
      <c r="X301" s="9"/>
      <c r="Y301" s="38"/>
      <c r="AH301" s="633"/>
      <c r="AP301" s="633"/>
      <c r="AX301" s="633"/>
      <c r="AZ301" s="3">
        <v>1</v>
      </c>
    </row>
    <row r="302" spans="2:52" ht="21" customHeight="1">
      <c r="B302" s="1333" t="s">
        <v>21</v>
      </c>
      <c r="C302" s="459"/>
      <c r="D302" s="5487"/>
      <c r="E302" s="9"/>
      <c r="F302" s="179" t="s">
        <v>182</v>
      </c>
      <c r="G302" s="5542">
        <f>G299+G300+G301</f>
        <v>9.0277777777777776E-2</v>
      </c>
      <c r="H302" s="9"/>
      <c r="I302" s="38"/>
      <c r="K302" s="459"/>
      <c r="L302" s="553"/>
      <c r="M302" s="9"/>
      <c r="N302" s="179" t="s">
        <v>182</v>
      </c>
      <c r="O302" s="558">
        <f>O299+O300+O301</f>
        <v>9.0277777777777776E-2</v>
      </c>
      <c r="P302" s="9"/>
      <c r="Q302" s="38"/>
      <c r="S302" s="459"/>
      <c r="T302" s="5487"/>
      <c r="U302" s="9"/>
      <c r="V302" s="179" t="s">
        <v>182</v>
      </c>
      <c r="W302" s="558">
        <f>W299+W300+W301</f>
        <v>9.0277777777777776E-2</v>
      </c>
      <c r="X302" s="9"/>
      <c r="Y302" s="38"/>
      <c r="AH302" s="633"/>
      <c r="AP302" s="633"/>
      <c r="AX302" s="633"/>
      <c r="AZ302" s="3">
        <v>1</v>
      </c>
    </row>
    <row r="303" spans="2:52" ht="21" customHeight="1">
      <c r="B303" s="1333" t="s">
        <v>21</v>
      </c>
      <c r="C303" s="459"/>
      <c r="D303" s="6595" t="s">
        <v>1651</v>
      </c>
      <c r="E303" s="6596"/>
      <c r="F303" s="6596"/>
      <c r="G303" s="6597"/>
      <c r="H303" s="9"/>
      <c r="I303" s="38"/>
      <c r="K303" s="459"/>
      <c r="L303" s="6622" t="s">
        <v>659</v>
      </c>
      <c r="M303" s="6596"/>
      <c r="N303" s="6596"/>
      <c r="O303" s="6623"/>
      <c r="P303" s="9"/>
      <c r="Q303" s="38"/>
      <c r="S303" s="459"/>
      <c r="T303" s="6595" t="s">
        <v>660</v>
      </c>
      <c r="U303" s="6596"/>
      <c r="V303" s="6596"/>
      <c r="W303" s="6618"/>
      <c r="X303" s="9"/>
      <c r="Y303" s="38"/>
      <c r="AH303" s="633"/>
      <c r="AP303" s="633"/>
      <c r="AX303" s="633"/>
      <c r="AZ303" s="3">
        <v>1</v>
      </c>
    </row>
    <row r="304" spans="2:52" ht="21" customHeight="1">
      <c r="B304" s="1333" t="s">
        <v>21</v>
      </c>
      <c r="C304" s="459"/>
      <c r="D304" s="5543" t="s">
        <v>190</v>
      </c>
      <c r="E304" s="186"/>
      <c r="F304" s="819" t="s">
        <v>191</v>
      </c>
      <c r="G304" s="195">
        <f>D307*D305</f>
        <v>225</v>
      </c>
      <c r="H304" s="9"/>
      <c r="I304" s="38"/>
      <c r="K304" s="459"/>
      <c r="L304" s="559" t="s">
        <v>661</v>
      </c>
      <c r="M304" s="186"/>
      <c r="N304" s="6616" t="s">
        <v>662</v>
      </c>
      <c r="O304" s="6617"/>
      <c r="P304" s="9"/>
      <c r="Q304" s="38"/>
      <c r="S304" s="459"/>
      <c r="T304" s="5488" t="s">
        <v>663</v>
      </c>
      <c r="U304" s="186"/>
      <c r="V304" s="6616" t="s">
        <v>664</v>
      </c>
      <c r="W304" s="6617"/>
      <c r="X304" s="9"/>
      <c r="Y304" s="38"/>
      <c r="AH304" s="633"/>
      <c r="AP304" s="633"/>
      <c r="AX304" s="633"/>
      <c r="AZ304" s="3">
        <v>1</v>
      </c>
    </row>
    <row r="305" spans="2:52" ht="21" customHeight="1">
      <c r="B305" s="1333" t="s">
        <v>21</v>
      </c>
      <c r="C305" s="459"/>
      <c r="D305" s="5453">
        <v>150</v>
      </c>
      <c r="E305" s="188" t="s">
        <v>192</v>
      </c>
      <c r="F305" s="6598" t="s">
        <v>884</v>
      </c>
      <c r="G305" s="6599"/>
      <c r="H305" s="9"/>
      <c r="I305" s="38"/>
      <c r="K305" s="459"/>
      <c r="L305" s="187">
        <v>100</v>
      </c>
      <c r="M305" s="186"/>
      <c r="N305" s="6598" t="s">
        <v>136</v>
      </c>
      <c r="O305" s="6619"/>
      <c r="P305" s="9"/>
      <c r="Q305" s="38"/>
      <c r="S305" s="459"/>
      <c r="T305" s="5453">
        <v>100</v>
      </c>
      <c r="U305" s="186"/>
      <c r="V305" s="6598" t="s">
        <v>139</v>
      </c>
      <c r="W305" s="6619"/>
      <c r="X305" s="9"/>
      <c r="Y305" s="38"/>
      <c r="AH305" s="633"/>
      <c r="AP305" s="633"/>
      <c r="AX305" s="633"/>
      <c r="AZ305" s="3">
        <v>1</v>
      </c>
    </row>
    <row r="306" spans="2:52" ht="21" customHeight="1">
      <c r="B306" s="1333" t="s">
        <v>21</v>
      </c>
      <c r="C306" s="459"/>
      <c r="D306" s="6600" t="s">
        <v>422</v>
      </c>
      <c r="E306" s="6601"/>
      <c r="F306" s="821" t="s">
        <v>1652</v>
      </c>
      <c r="G306" s="191"/>
      <c r="H306" s="9"/>
      <c r="I306" s="38"/>
      <c r="K306" s="459"/>
      <c r="L306" s="6620" t="s">
        <v>666</v>
      </c>
      <c r="M306" s="6536"/>
      <c r="N306" s="2329" t="s">
        <v>667</v>
      </c>
      <c r="O306" s="2330"/>
      <c r="P306" s="9"/>
      <c r="Q306" s="38"/>
      <c r="S306" s="459"/>
      <c r="T306" s="6535" t="s">
        <v>666</v>
      </c>
      <c r="U306" s="6536"/>
      <c r="V306" s="2329" t="s">
        <v>668</v>
      </c>
      <c r="W306" s="2330"/>
      <c r="X306" s="9"/>
      <c r="Y306" s="38"/>
      <c r="AH306" s="633"/>
      <c r="AP306" s="633"/>
      <c r="AX306" s="633"/>
      <c r="AZ306" s="3">
        <v>1</v>
      </c>
    </row>
    <row r="307" spans="2:52" ht="21" customHeight="1">
      <c r="B307" s="1333" t="s">
        <v>21</v>
      </c>
      <c r="C307" s="459"/>
      <c r="D307" s="5454">
        <v>1.5</v>
      </c>
      <c r="E307" s="193" t="str">
        <f>"&lt; Nb de "&amp;F305&amp;" par personne "</f>
        <v xml:space="preserve">&lt; Nb de tranches par personne </v>
      </c>
      <c r="F307" s="194"/>
      <c r="G307" s="592"/>
      <c r="H307" s="9"/>
      <c r="I307" s="38"/>
      <c r="K307" s="459"/>
      <c r="L307" s="192">
        <v>1</v>
      </c>
      <c r="M307" s="2331" t="s">
        <v>670</v>
      </c>
      <c r="N307" s="194"/>
      <c r="O307" s="2332">
        <f>L307*L305</f>
        <v>100</v>
      </c>
      <c r="P307" s="9"/>
      <c r="Q307" s="38"/>
      <c r="S307" s="459"/>
      <c r="T307" s="5454">
        <v>1</v>
      </c>
      <c r="U307" s="2331" t="s">
        <v>671</v>
      </c>
      <c r="V307" s="194"/>
      <c r="W307" s="2332">
        <f>T307*T305</f>
        <v>100</v>
      </c>
      <c r="X307" s="9"/>
      <c r="Y307" s="38"/>
      <c r="AH307" s="633"/>
      <c r="AP307" s="633"/>
      <c r="AX307" s="633"/>
      <c r="AZ307" s="3">
        <v>1</v>
      </c>
    </row>
    <row r="308" spans="2:52" ht="21" customHeight="1">
      <c r="B308" s="1333" t="s">
        <v>21</v>
      </c>
      <c r="C308" s="459"/>
      <c r="D308" s="5455">
        <v>27</v>
      </c>
      <c r="E308" s="193" t="str">
        <f>"&lt; Nb "&amp;F305&amp;" dans 1 " &amp;D306</f>
        <v>&lt; Nb tranches dans 1 Gastro 1/1</v>
      </c>
      <c r="F308" s="197"/>
      <c r="G308" s="195"/>
      <c r="H308" s="9"/>
      <c r="I308" s="38"/>
      <c r="K308" s="459"/>
      <c r="L308" s="196">
        <v>12</v>
      </c>
      <c r="M308" s="193" t="str">
        <f>"&lt; Nb "&amp;N305&amp;" dans 1 " &amp;L306</f>
        <v>&lt; Nb plates dans 1 GN 1/1</v>
      </c>
      <c r="N308" s="197"/>
      <c r="O308" s="2332"/>
      <c r="P308" s="9"/>
      <c r="Q308" s="38"/>
      <c r="S308" s="459"/>
      <c r="T308" s="5455">
        <v>12</v>
      </c>
      <c r="U308" s="193" t="str">
        <f>"&lt; Nb "&amp;V305&amp;" dans 1 " &amp;T306</f>
        <v>&lt; Nb platos dans 1 GN 1/1</v>
      </c>
      <c r="V308" s="197"/>
      <c r="W308" s="2332"/>
      <c r="X308" s="9"/>
      <c r="Y308" s="38"/>
      <c r="AH308" s="633"/>
      <c r="AP308" s="633"/>
      <c r="AX308" s="633"/>
      <c r="AZ308" s="3">
        <v>1</v>
      </c>
    </row>
    <row r="309" spans="2:52" ht="21" customHeight="1">
      <c r="B309" s="1333" t="s">
        <v>21</v>
      </c>
      <c r="C309" s="459"/>
      <c r="D309" s="6556" t="str">
        <f>IF(OR(D308="",G304=0),"",INT(G304/D308) &amp; " " &amp; D306 &amp; " de " &amp; D308 &amp; " " &amp; F305 &amp; IF(MOD(G304,D308)&gt;0," + 1 " &amp; D306 &amp; " de " &amp; TEXT(MOD(G304,D308),"0.00") &amp; " " &amp; F305,""))</f>
        <v>8 Gastro 1/1 de 27 tranches + 1 Gastro 1/1 de 9.00 tranches</v>
      </c>
      <c r="E309" s="6557"/>
      <c r="F309" s="6557"/>
      <c r="G309" s="6558"/>
      <c r="H309" s="9"/>
      <c r="I309" s="38"/>
      <c r="K309" s="459"/>
      <c r="L309" s="6621" t="str">
        <f>IF(OR(L308="",O307=0),"",INT(O307/L308) &amp; " " &amp; L306 &amp; " de " &amp; L308 &amp; " " &amp; N305 &amp; IF(MOD(O307,L308)&gt;0," + 1 " &amp; L306 &amp; " de " &amp; TEXT(MOD(O307,L308),"0.00") &amp; " " &amp; N305,""))</f>
        <v>8 GN 1/1 de 12 plates + 1 GN 1/1 de 4.00 plates</v>
      </c>
      <c r="M309" s="6538"/>
      <c r="N309" s="6538"/>
      <c r="O309" s="6539"/>
      <c r="P309" s="9"/>
      <c r="Q309" s="38"/>
      <c r="S309" s="459"/>
      <c r="T309" s="6537" t="str">
        <f>IF(OR(T308="",W307=0),"",INT(W307/T308) &amp; " " &amp; T306 &amp; " de " &amp; T308 &amp; " " &amp; V305 &amp; IF(MOD(W307,T308)&gt;0," + 1 " &amp; T306 &amp; " de " &amp; TEXT(MOD(W307,T308),"0.00") &amp; " " &amp; V305,""))</f>
        <v>8 GN 1/1 de 12 platos + 1 GN 1/1 de 4.00 platos</v>
      </c>
      <c r="U309" s="6538"/>
      <c r="V309" s="6538"/>
      <c r="W309" s="6539"/>
      <c r="X309" s="9"/>
      <c r="Y309" s="38"/>
      <c r="AH309" s="633"/>
      <c r="AP309" s="633"/>
      <c r="AX309" s="633"/>
      <c r="AZ309" s="3">
        <v>1</v>
      </c>
    </row>
    <row r="310" spans="2:52" ht="21" customHeight="1">
      <c r="B310" s="1333" t="s">
        <v>21</v>
      </c>
      <c r="C310" s="459"/>
      <c r="D310" s="6559"/>
      <c r="E310" s="6560"/>
      <c r="F310" s="6560"/>
      <c r="G310" s="6561"/>
      <c r="H310" s="9"/>
      <c r="I310" s="38"/>
      <c r="K310" s="459"/>
      <c r="L310" s="6540"/>
      <c r="M310" s="6541"/>
      <c r="N310" s="6541"/>
      <c r="O310" s="6542"/>
      <c r="P310" s="9"/>
      <c r="Q310" s="38"/>
      <c r="S310" s="459"/>
      <c r="T310" s="6540"/>
      <c r="U310" s="6541"/>
      <c r="V310" s="6541"/>
      <c r="W310" s="6542"/>
      <c r="X310" s="9"/>
      <c r="Y310" s="38"/>
      <c r="AH310" s="633"/>
      <c r="AP310" s="633"/>
      <c r="AX310" s="633"/>
      <c r="AZ310" s="3">
        <v>1</v>
      </c>
    </row>
    <row r="311" spans="2:52" ht="21" customHeight="1">
      <c r="B311" s="1333" t="s">
        <v>21</v>
      </c>
      <c r="C311" s="459"/>
      <c r="D311" s="5456">
        <v>120</v>
      </c>
      <c r="E311" s="200" t="s">
        <v>198</v>
      </c>
      <c r="F311" s="186"/>
      <c r="G311" s="201">
        <f>(D311*D305)/1000</f>
        <v>18</v>
      </c>
      <c r="H311" s="9"/>
      <c r="I311" s="38"/>
      <c r="K311" s="459"/>
      <c r="L311" s="199">
        <v>18</v>
      </c>
      <c r="M311" s="200" t="s">
        <v>674</v>
      </c>
      <c r="N311" s="186"/>
      <c r="O311" s="2333">
        <f>(L311*L305)/1000</f>
        <v>1.8</v>
      </c>
      <c r="P311" s="9"/>
      <c r="Q311" s="38"/>
      <c r="S311" s="459"/>
      <c r="T311" s="5456">
        <v>18</v>
      </c>
      <c r="U311" s="200" t="s">
        <v>675</v>
      </c>
      <c r="V311" s="186"/>
      <c r="W311" s="2333">
        <f>(T311*T305)/1000</f>
        <v>1.8</v>
      </c>
      <c r="X311" s="9"/>
      <c r="Y311" s="38"/>
      <c r="AH311" s="633"/>
      <c r="AP311" s="633"/>
      <c r="AX311" s="633"/>
      <c r="AZ311" s="3">
        <v>1</v>
      </c>
    </row>
    <row r="312" spans="2:52" ht="21" customHeight="1">
      <c r="B312" s="1333" t="s">
        <v>21</v>
      </c>
      <c r="C312" s="459"/>
      <c r="D312" s="5544">
        <v>2.7</v>
      </c>
      <c r="E312" s="203" t="str">
        <f>"poids par "&amp; D306</f>
        <v>poids par Gastro 1/1</v>
      </c>
      <c r="F312" s="186"/>
      <c r="G312" s="191"/>
      <c r="H312" s="9"/>
      <c r="I312" s="38"/>
      <c r="K312" s="459"/>
      <c r="L312" s="2334">
        <v>1.1200000000000001</v>
      </c>
      <c r="M312" s="203" t="str">
        <f>"poids par "&amp; L306</f>
        <v>poids par GN 1/1</v>
      </c>
      <c r="N312" s="186"/>
      <c r="O312" s="2330"/>
      <c r="P312" s="9"/>
      <c r="Q312" s="38"/>
      <c r="S312" s="459"/>
      <c r="T312" s="5489">
        <v>1.1200000000000001</v>
      </c>
      <c r="U312" s="203" t="str">
        <f>"peso par "&amp; T306</f>
        <v>peso par GN 1/1</v>
      </c>
      <c r="V312" s="186"/>
      <c r="W312" s="2330"/>
      <c r="X312" s="9"/>
      <c r="Y312" s="38"/>
      <c r="AH312" s="633"/>
      <c r="AP312" s="633"/>
      <c r="AX312" s="633"/>
      <c r="AZ312" s="3">
        <v>1</v>
      </c>
    </row>
    <row r="313" spans="2:52" ht="21" customHeight="1">
      <c r="B313" s="1333" t="s">
        <v>21</v>
      </c>
      <c r="C313" s="459"/>
      <c r="D313" s="6523" t="str">
        <f>IF(OR(G311&lt;=0,D312&lt;=0),"",_xlfn.LET(_xlpm.n,ROUND(G311/D312,9),_xlpm.q,INT(_xlpm.n),_xlpm.r,ROUND(G311-_xlpm.q*D312,9),_xlpm.base,_xlpm.q&amp;" "&amp;D306&amp;" de "&amp;TEXT(D312,"0.000")&amp;" kg",IF(_xlpm.r&lt;=0.000000001,_xlpm.base,_xlpm.base&amp;" + 1 "&amp;D306&amp;" de "&amp;TEXT(_xlpm.r,"0.000")&amp;" kg")))</f>
        <v>6 Gastro 1/1 de 2.700 kg + 1 Gastro 1/1 de 1.800 kg</v>
      </c>
      <c r="E313" s="6524"/>
      <c r="F313" s="6524"/>
      <c r="G313" s="6525"/>
      <c r="H313" s="9"/>
      <c r="I313" s="38"/>
      <c r="K313" s="459"/>
      <c r="L313" s="6529" t="str">
        <f>IF(O311=0,"",IF(L312=0,"",INT(O311/L312) &amp; " " &amp; L306 &amp; " de " &amp; L312 &amp; " kg" &amp; IF(MOD(O311,L312)=0,"",IF(MOD(O311,L312)=L312,""," + 1 " &amp; L306 &amp; " de " &amp; TEXT(MOD(O311,L312),"0.000") &amp; " kg"))))</f>
        <v>1 GN 1/1 de 1.12 kg + 1 GN 1/1 de 0.680 kg</v>
      </c>
      <c r="M313" s="6530"/>
      <c r="N313" s="6530"/>
      <c r="O313" s="6531"/>
      <c r="P313" s="9"/>
      <c r="Q313" s="38"/>
      <c r="S313" s="459"/>
      <c r="T313" s="6543" t="str">
        <f>IF(W311=0,"",IF(T312=0,"",INT(W311/T312) &amp; " " &amp; T306 &amp; " de " &amp; T312 &amp; " kg" &amp; IF(MOD(W311,T312)=0,"",IF(MOD(W311,T312)=T312,""," + 1 " &amp; T306 &amp; " de " &amp; TEXT(MOD(W311,T312),"0.000") &amp; " kg"))))</f>
        <v>1 GN 1/1 de 1.12 kg + 1 GN 1/1 de 0.680 kg</v>
      </c>
      <c r="U313" s="6530"/>
      <c r="V313" s="6530"/>
      <c r="W313" s="6531"/>
      <c r="X313" s="9"/>
      <c r="Y313" s="38"/>
      <c r="AH313" s="633"/>
      <c r="AP313" s="633"/>
      <c r="AX313" s="633"/>
      <c r="AZ313" s="3">
        <v>1</v>
      </c>
    </row>
    <row r="314" spans="2:52" ht="21" customHeight="1">
      <c r="B314" s="1333" t="s">
        <v>21</v>
      </c>
      <c r="C314" s="459"/>
      <c r="D314" s="6526"/>
      <c r="E314" s="6527"/>
      <c r="F314" s="6527"/>
      <c r="G314" s="6528"/>
      <c r="H314" s="9"/>
      <c r="I314" s="38"/>
      <c r="K314" s="459"/>
      <c r="L314" s="6532"/>
      <c r="M314" s="6533"/>
      <c r="N314" s="6533"/>
      <c r="O314" s="6534"/>
      <c r="P314" s="9"/>
      <c r="Q314" s="38"/>
      <c r="S314" s="459"/>
      <c r="T314" s="6544"/>
      <c r="U314" s="6545"/>
      <c r="V314" s="6545"/>
      <c r="W314" s="6546"/>
      <c r="X314" s="9"/>
      <c r="Y314" s="38"/>
      <c r="AH314" s="633"/>
      <c r="AP314" s="633"/>
      <c r="AX314" s="633"/>
      <c r="AZ314" s="3">
        <v>1</v>
      </c>
    </row>
    <row r="315" spans="2:52" ht="21" customHeight="1">
      <c r="B315" s="1333" t="s">
        <v>21</v>
      </c>
      <c r="C315" s="459"/>
      <c r="D315" s="9"/>
      <c r="E315" s="9"/>
      <c r="F315" s="9"/>
      <c r="G315" s="9"/>
      <c r="H315" s="9"/>
      <c r="I315" s="38"/>
      <c r="K315" s="459"/>
      <c r="L315" s="9"/>
      <c r="M315" s="9"/>
      <c r="N315" s="9"/>
      <c r="O315" s="9"/>
      <c r="P315" s="9"/>
      <c r="Q315" s="38"/>
      <c r="S315" s="459"/>
      <c r="T315" s="9"/>
      <c r="U315" s="9"/>
      <c r="V315" s="9"/>
      <c r="W315" s="9"/>
      <c r="X315" s="9"/>
      <c r="Y315" s="38"/>
      <c r="AH315" s="633"/>
      <c r="AP315" s="633"/>
      <c r="AX315" s="633"/>
      <c r="AZ315" s="3">
        <v>1</v>
      </c>
    </row>
    <row r="316" spans="2:52" ht="21" customHeight="1">
      <c r="B316" s="1333" t="s">
        <v>21</v>
      </c>
      <c r="C316" s="459"/>
      <c r="D316" s="570" t="s">
        <v>186</v>
      </c>
      <c r="E316" s="9"/>
      <c r="F316" s="9"/>
      <c r="G316" s="188" t="s">
        <v>684</v>
      </c>
      <c r="H316" s="9"/>
      <c r="I316" s="38"/>
      <c r="K316" s="459"/>
      <c r="L316" s="570" t="s">
        <v>659</v>
      </c>
      <c r="M316" s="9"/>
      <c r="N316" s="9"/>
      <c r="O316" s="188" t="s">
        <v>685</v>
      </c>
      <c r="P316" s="9"/>
      <c r="Q316" s="38"/>
      <c r="S316" s="459"/>
      <c r="T316" s="570" t="s">
        <v>660</v>
      </c>
      <c r="U316" s="9"/>
      <c r="V316" s="9"/>
      <c r="W316" s="188" t="s">
        <v>686</v>
      </c>
      <c r="X316" s="9"/>
      <c r="Y316" s="38"/>
      <c r="AH316" s="633"/>
      <c r="AP316" s="633"/>
      <c r="AX316" s="633"/>
      <c r="AZ316" s="3">
        <v>1</v>
      </c>
    </row>
    <row r="317" spans="2:52" ht="21" customHeight="1">
      <c r="B317" s="1333" t="s">
        <v>21</v>
      </c>
      <c r="C317" s="459"/>
      <c r="D317" s="572" t="s">
        <v>687</v>
      </c>
      <c r="E317" s="9"/>
      <c r="F317" s="9"/>
      <c r="G317" s="573" t="s">
        <v>197</v>
      </c>
      <c r="H317" s="9"/>
      <c r="I317" s="38"/>
      <c r="K317" s="459"/>
      <c r="L317" s="572" t="s">
        <v>688</v>
      </c>
      <c r="M317" s="9"/>
      <c r="N317" s="9"/>
      <c r="O317" s="573" t="s">
        <v>689</v>
      </c>
      <c r="P317" s="9"/>
      <c r="Q317" s="38"/>
      <c r="S317" s="459"/>
      <c r="T317" s="572" t="s">
        <v>690</v>
      </c>
      <c r="U317" s="9"/>
      <c r="V317" s="9"/>
      <c r="W317" s="573" t="s">
        <v>9048</v>
      </c>
      <c r="X317" s="9"/>
      <c r="Y317" s="38"/>
      <c r="AH317" s="633"/>
      <c r="AP317" s="633"/>
      <c r="AX317" s="633"/>
      <c r="AZ317" s="3">
        <v>1</v>
      </c>
    </row>
    <row r="318" spans="2:52" ht="21" customHeight="1">
      <c r="B318" s="1333" t="s">
        <v>21</v>
      </c>
      <c r="C318" s="459"/>
      <c r="D318" s="574" t="s">
        <v>692</v>
      </c>
      <c r="E318" s="9"/>
      <c r="F318" s="9"/>
      <c r="G318" s="573" t="s">
        <v>199</v>
      </c>
      <c r="H318" s="9"/>
      <c r="I318" s="38"/>
      <c r="K318" s="459"/>
      <c r="L318" s="574" t="s">
        <v>693</v>
      </c>
      <c r="M318" s="9"/>
      <c r="N318" s="9"/>
      <c r="O318" s="573" t="s">
        <v>694</v>
      </c>
      <c r="P318" s="9"/>
      <c r="Q318" s="38"/>
      <c r="S318" s="459"/>
      <c r="T318" s="574" t="s">
        <v>695</v>
      </c>
      <c r="U318" s="9"/>
      <c r="V318" s="9"/>
      <c r="W318" s="573" t="s">
        <v>696</v>
      </c>
      <c r="X318" s="9"/>
      <c r="Y318" s="38"/>
      <c r="AH318" s="633"/>
      <c r="AP318" s="633"/>
      <c r="AX318" s="633"/>
      <c r="AZ318" s="3">
        <v>1</v>
      </c>
    </row>
    <row r="319" spans="2:52" ht="21" customHeight="1">
      <c r="B319" s="1333" t="s">
        <v>21</v>
      </c>
      <c r="C319" s="459"/>
      <c r="D319" s="188" t="s">
        <v>697</v>
      </c>
      <c r="E319" s="9"/>
      <c r="F319" s="9"/>
      <c r="G319" s="573" t="s">
        <v>698</v>
      </c>
      <c r="H319" s="9"/>
      <c r="I319" s="38"/>
      <c r="K319" s="459"/>
      <c r="L319" s="188" t="s">
        <v>699</v>
      </c>
      <c r="M319" s="9"/>
      <c r="N319" s="9"/>
      <c r="O319" s="573" t="s">
        <v>700</v>
      </c>
      <c r="P319" s="9"/>
      <c r="Q319" s="38"/>
      <c r="S319" s="459"/>
      <c r="T319" s="188" t="s">
        <v>701</v>
      </c>
      <c r="U319" s="9"/>
      <c r="V319" s="9"/>
      <c r="W319" s="573" t="s">
        <v>702</v>
      </c>
      <c r="X319" s="9"/>
      <c r="Y319" s="38"/>
      <c r="AH319" s="633"/>
      <c r="AP319" s="633"/>
      <c r="AX319" s="633"/>
      <c r="AZ319" s="3">
        <v>1</v>
      </c>
    </row>
    <row r="320" spans="2:52" ht="21" customHeight="1">
      <c r="B320" s="1333" t="s">
        <v>21</v>
      </c>
      <c r="C320" s="459"/>
      <c r="D320" s="188"/>
      <c r="E320" s="9"/>
      <c r="F320" s="9"/>
      <c r="G320" s="573" t="s">
        <v>703</v>
      </c>
      <c r="H320" s="9"/>
      <c r="I320" s="38"/>
      <c r="K320" s="459"/>
      <c r="L320" s="188"/>
      <c r="M320" s="9"/>
      <c r="N320" s="9"/>
      <c r="O320" s="573" t="s">
        <v>704</v>
      </c>
      <c r="P320" s="9"/>
      <c r="Q320" s="38"/>
      <c r="S320" s="459"/>
      <c r="T320" s="188"/>
      <c r="U320" s="9"/>
      <c r="V320" s="9"/>
      <c r="W320" s="573" t="s">
        <v>705</v>
      </c>
      <c r="X320" s="9"/>
      <c r="Y320" s="38"/>
      <c r="AH320" s="633"/>
      <c r="AP320" s="633"/>
      <c r="AX320" s="633"/>
      <c r="AZ320" s="3">
        <v>1</v>
      </c>
    </row>
    <row r="321" spans="2:52" ht="21" customHeight="1">
      <c r="B321" s="1333" t="s">
        <v>21</v>
      </c>
      <c r="C321" s="575"/>
      <c r="D321" s="9"/>
      <c r="E321" s="9"/>
      <c r="F321" s="9"/>
      <c r="G321" s="9"/>
      <c r="H321" s="9"/>
      <c r="I321" s="38"/>
      <c r="K321" s="575"/>
      <c r="L321" s="9"/>
      <c r="M321" s="9"/>
      <c r="N321" s="9"/>
      <c r="O321" s="9"/>
      <c r="P321" s="9"/>
      <c r="Q321" s="38"/>
      <c r="S321" s="575"/>
      <c r="T321" s="9"/>
      <c r="U321" s="9"/>
      <c r="V321" s="9"/>
      <c r="W321" s="9"/>
      <c r="X321" s="9"/>
      <c r="Y321" s="38"/>
      <c r="AH321" s="633"/>
      <c r="AP321" s="633"/>
      <c r="AX321" s="633"/>
      <c r="AZ321" s="3">
        <v>1</v>
      </c>
    </row>
    <row r="322" spans="2:52" ht="21" customHeight="1">
      <c r="B322" s="1333" t="s">
        <v>21</v>
      </c>
      <c r="C322" s="576"/>
      <c r="D322" s="577"/>
      <c r="E322" s="577" t="s">
        <v>207</v>
      </c>
      <c r="F322" s="578"/>
      <c r="G322" s="578"/>
      <c r="H322" s="578"/>
      <c r="I322" s="38"/>
      <c r="K322" s="576"/>
      <c r="L322" s="577"/>
      <c r="M322" s="577" t="s">
        <v>207</v>
      </c>
      <c r="N322" s="578"/>
      <c r="O322" s="578"/>
      <c r="P322" s="578"/>
      <c r="Q322" s="38"/>
      <c r="S322" s="576"/>
      <c r="T322" s="577"/>
      <c r="U322" s="577" t="s">
        <v>207</v>
      </c>
      <c r="V322" s="578"/>
      <c r="W322" s="578"/>
      <c r="X322" s="578"/>
      <c r="Y322" s="38"/>
      <c r="AH322" s="633"/>
      <c r="AP322" s="633"/>
      <c r="AX322" s="633"/>
      <c r="AZ322" s="3">
        <v>1</v>
      </c>
    </row>
    <row r="323" spans="2:52" ht="21" customHeight="1">
      <c r="B323" s="1333" t="s">
        <v>21</v>
      </c>
      <c r="C323" s="575"/>
      <c r="D323" s="9"/>
      <c r="E323" s="535" t="s">
        <v>706</v>
      </c>
      <c r="F323" s="9"/>
      <c r="G323" s="9"/>
      <c r="H323" s="9"/>
      <c r="I323" s="38"/>
      <c r="K323" s="575"/>
      <c r="L323" s="9"/>
      <c r="M323" s="535" t="s">
        <v>707</v>
      </c>
      <c r="N323" s="9"/>
      <c r="O323" s="9"/>
      <c r="P323" s="9"/>
      <c r="Q323" s="38"/>
      <c r="S323" s="575"/>
      <c r="T323" s="9"/>
      <c r="U323" s="535" t="s">
        <v>708</v>
      </c>
      <c r="V323" s="9"/>
      <c r="W323" s="9"/>
      <c r="X323" s="9"/>
      <c r="Y323" s="38"/>
      <c r="AH323" s="633"/>
      <c r="AP323" s="633"/>
      <c r="AX323" s="633"/>
      <c r="AZ323" s="3">
        <v>1</v>
      </c>
    </row>
    <row r="324" spans="2:52" ht="21" customHeight="1">
      <c r="B324" s="1333" t="s">
        <v>21</v>
      </c>
      <c r="C324" s="575"/>
      <c r="D324" s="9"/>
      <c r="E324" s="579" t="s">
        <v>709</v>
      </c>
      <c r="F324" s="9"/>
      <c r="G324" s="9"/>
      <c r="H324" s="9"/>
      <c r="I324" s="38"/>
      <c r="K324" s="575"/>
      <c r="L324" s="9"/>
      <c r="M324" s="579" t="s">
        <v>709</v>
      </c>
      <c r="N324" s="9"/>
      <c r="O324" s="9"/>
      <c r="P324" s="9"/>
      <c r="Q324" s="38"/>
      <c r="S324" s="575"/>
      <c r="T324" s="9"/>
      <c r="U324" s="579" t="s">
        <v>711</v>
      </c>
      <c r="V324" s="9"/>
      <c r="W324" s="9"/>
      <c r="X324" s="9"/>
      <c r="Y324" s="38"/>
      <c r="AH324" s="633"/>
      <c r="AP324" s="633"/>
      <c r="AX324" s="633"/>
      <c r="AZ324" s="3">
        <v>1</v>
      </c>
    </row>
    <row r="325" spans="2:52" ht="21" customHeight="1">
      <c r="B325" s="1333" t="s">
        <v>21</v>
      </c>
      <c r="C325" s="575"/>
      <c r="D325" s="9"/>
      <c r="E325" s="9"/>
      <c r="F325" s="9"/>
      <c r="G325" s="9"/>
      <c r="H325" s="9"/>
      <c r="I325" s="38"/>
      <c r="K325" s="575"/>
      <c r="L325" s="9"/>
      <c r="M325" s="9"/>
      <c r="N325" s="9"/>
      <c r="O325" s="9"/>
      <c r="P325" s="9"/>
      <c r="Q325" s="38"/>
      <c r="S325" s="575"/>
      <c r="T325" s="9"/>
      <c r="U325" s="9"/>
      <c r="V325" s="9"/>
      <c r="W325" s="9"/>
      <c r="X325" s="9"/>
      <c r="Y325" s="38"/>
      <c r="AH325" s="633"/>
      <c r="AP325" s="633"/>
      <c r="AX325" s="633"/>
      <c r="AZ325" s="3">
        <v>1</v>
      </c>
    </row>
    <row r="326" spans="2:52" ht="21" customHeight="1">
      <c r="B326" s="1333" t="s">
        <v>21</v>
      </c>
      <c r="C326" s="157"/>
      <c r="D326" s="158"/>
      <c r="E326" s="159"/>
      <c r="F326" s="158"/>
      <c r="G326" s="158"/>
      <c r="H326" s="158"/>
      <c r="I326" s="160"/>
      <c r="K326" s="157"/>
      <c r="L326" s="158"/>
      <c r="M326" s="159"/>
      <c r="N326" s="158"/>
      <c r="O326" s="158"/>
      <c r="P326" s="158"/>
      <c r="Q326" s="160"/>
      <c r="S326" s="157"/>
      <c r="T326" s="158"/>
      <c r="U326" s="159"/>
      <c r="V326" s="158"/>
      <c r="W326" s="158"/>
      <c r="X326" s="158"/>
      <c r="Y326" s="160"/>
      <c r="AH326" s="633"/>
      <c r="AP326" s="633"/>
      <c r="AX326" s="633"/>
      <c r="AZ326" s="3">
        <v>1</v>
      </c>
    </row>
    <row r="327" spans="2:52" ht="21" customHeight="1">
      <c r="B327" s="1333" t="s">
        <v>21</v>
      </c>
      <c r="C327" s="2191" t="s">
        <v>8882</v>
      </c>
      <c r="D327" s="9"/>
      <c r="E327" s="9"/>
      <c r="F327" s="9"/>
      <c r="G327" s="9"/>
      <c r="H327" s="9"/>
      <c r="I327" s="38"/>
      <c r="K327" s="2191" t="s">
        <v>13886</v>
      </c>
      <c r="L327" s="9"/>
      <c r="M327" s="9"/>
      <c r="N327" s="9"/>
      <c r="O327" s="9"/>
      <c r="P327" s="9"/>
      <c r="Q327" s="38"/>
      <c r="S327" s="2191" t="s">
        <v>13889</v>
      </c>
      <c r="T327" s="9"/>
      <c r="U327" s="9"/>
      <c r="V327" s="9"/>
      <c r="W327" s="9"/>
      <c r="X327" s="9"/>
      <c r="Y327" s="38"/>
      <c r="AH327" s="633"/>
      <c r="AP327" s="633"/>
      <c r="AX327" s="633"/>
      <c r="AZ327" s="3">
        <v>1</v>
      </c>
    </row>
    <row r="328" spans="2:52" ht="21" customHeight="1">
      <c r="B328" s="1333" t="s">
        <v>21</v>
      </c>
      <c r="C328" s="2212" t="s">
        <v>8940</v>
      </c>
      <c r="D328" s="9"/>
      <c r="E328" s="2213" t="s">
        <v>8883</v>
      </c>
      <c r="F328" s="9"/>
      <c r="G328" s="9"/>
      <c r="H328" s="9"/>
      <c r="I328" s="38"/>
      <c r="K328" s="2212" t="s">
        <v>13887</v>
      </c>
      <c r="L328" s="9"/>
      <c r="M328" s="2213" t="s">
        <v>13888</v>
      </c>
      <c r="N328" s="9"/>
      <c r="O328" s="9"/>
      <c r="P328" s="9"/>
      <c r="Q328" s="38"/>
      <c r="S328" s="2212" t="s">
        <v>13890</v>
      </c>
      <c r="T328" s="9"/>
      <c r="U328" s="2213" t="s">
        <v>13891</v>
      </c>
      <c r="V328" s="9"/>
      <c r="W328" s="9"/>
      <c r="X328" s="9"/>
      <c r="Y328" s="38"/>
      <c r="AH328" s="633"/>
      <c r="AP328" s="633"/>
      <c r="AX328" s="633"/>
      <c r="AZ328" s="3">
        <v>1</v>
      </c>
    </row>
    <row r="329" spans="2:52" ht="21" customHeight="1">
      <c r="B329" s="1333" t="s">
        <v>21</v>
      </c>
      <c r="C329" s="394" t="str">
        <f t="shared" ref="C329:C355" si="7">TRIM(LEFT(E329,FIND(" .",E329&amp;" .")-1))</f>
        <v>Navarin d’agneau</v>
      </c>
      <c r="D329" s="186"/>
      <c r="E329" s="186" t="s">
        <v>8884</v>
      </c>
      <c r="F329" s="186"/>
      <c r="G329" s="186"/>
      <c r="H329" s="186"/>
      <c r="I329" s="191"/>
      <c r="K329" s="394" t="str">
        <f t="shared" ref="K329:K355" si="8">TRIM(LEFT(M329,FIND(" .",M329&amp;" .")-1))</f>
        <v>Navarin of lamb</v>
      </c>
      <c r="L329" s="186"/>
      <c r="M329" s="186" t="s">
        <v>13827</v>
      </c>
      <c r="N329" s="186"/>
      <c r="O329" s="186"/>
      <c r="P329" s="186"/>
      <c r="Q329" s="191"/>
      <c r="S329" s="394" t="str">
        <f t="shared" ref="S329:S355" si="9">TRIM(LEFT(U329,FIND(" .",U329&amp;" .")-1))</f>
        <v>Navarín de cordero.</v>
      </c>
      <c r="T329" s="186"/>
      <c r="U329" s="186" t="s">
        <v>13848</v>
      </c>
      <c r="V329" s="186"/>
      <c r="W329" s="186"/>
      <c r="X329" s="186" t="s">
        <v>13849</v>
      </c>
      <c r="Y329" s="191"/>
      <c r="AH329" s="633"/>
      <c r="AP329" s="633"/>
      <c r="AX329" s="633"/>
      <c r="AZ329" s="3">
        <v>1</v>
      </c>
    </row>
    <row r="330" spans="2:52" ht="21" customHeight="1">
      <c r="B330" s="1333" t="s">
        <v>21</v>
      </c>
      <c r="C330" s="394" t="str">
        <f t="shared" si="7"/>
        <v>Éléments pour la cuisson du navarin</v>
      </c>
      <c r="D330" s="186"/>
      <c r="E330" s="186" t="s">
        <v>8885</v>
      </c>
      <c r="F330" s="186"/>
      <c r="G330" s="186"/>
      <c r="H330" s="186"/>
      <c r="I330" s="191"/>
      <c r="K330" s="394" t="str">
        <f t="shared" si="8"/>
        <v>Ingredients for cooking the navarin</v>
      </c>
      <c r="L330" s="186"/>
      <c r="M330" s="186" t="s">
        <v>13828</v>
      </c>
      <c r="N330" s="186"/>
      <c r="O330" s="186"/>
      <c r="P330" s="186"/>
      <c r="Q330" s="191"/>
      <c r="S330" s="394" t="str">
        <f t="shared" si="9"/>
        <v>Ingredientes para la cocción del navarín</v>
      </c>
      <c r="T330" s="186"/>
      <c r="U330" s="186" t="s">
        <v>13850</v>
      </c>
      <c r="V330" s="186"/>
      <c r="W330" s="186"/>
      <c r="X330" s="186" t="s">
        <v>13850</v>
      </c>
      <c r="Y330" s="191"/>
      <c r="AH330" s="633"/>
      <c r="AP330" s="633"/>
      <c r="AX330" s="633"/>
      <c r="AZ330" s="3">
        <v>1</v>
      </c>
    </row>
    <row r="331" spans="2:52" ht="21" customHeight="1">
      <c r="B331" s="1333" t="s">
        <v>21</v>
      </c>
      <c r="C331" s="394" t="str">
        <f t="shared" si="7"/>
        <v>Oignons</v>
      </c>
      <c r="D331" s="186"/>
      <c r="E331" s="186" t="s">
        <v>8886</v>
      </c>
      <c r="F331" s="186"/>
      <c r="G331" s="186"/>
      <c r="H331" s="186"/>
      <c r="I331" s="191"/>
      <c r="K331" s="394" t="str">
        <f t="shared" si="8"/>
        <v>Oignons</v>
      </c>
      <c r="L331" s="186"/>
      <c r="M331" s="186" t="s">
        <v>8886</v>
      </c>
      <c r="N331" s="186"/>
      <c r="O331" s="186"/>
      <c r="P331" s="186"/>
      <c r="Q331" s="191"/>
      <c r="S331" s="394" t="str">
        <f t="shared" si="9"/>
        <v>Cebollas</v>
      </c>
      <c r="T331" s="186"/>
      <c r="U331" s="186" t="s">
        <v>13851</v>
      </c>
      <c r="V331" s="186"/>
      <c r="W331" s="186"/>
      <c r="X331" s="186" t="s">
        <v>13858</v>
      </c>
      <c r="Y331" s="191"/>
      <c r="AH331" s="633"/>
      <c r="AP331" s="633"/>
      <c r="AX331" s="633"/>
      <c r="AZ331" s="3">
        <v>1</v>
      </c>
    </row>
    <row r="332" spans="2:52" ht="21" customHeight="1">
      <c r="B332" s="1333" t="s">
        <v>21</v>
      </c>
      <c r="C332" s="394" t="str">
        <f t="shared" si="7"/>
        <v>Concentré de tomate</v>
      </c>
      <c r="D332" s="186"/>
      <c r="E332" s="186" t="s">
        <v>8887</v>
      </c>
      <c r="F332" s="186"/>
      <c r="G332" s="186"/>
      <c r="H332" s="186"/>
      <c r="I332" s="191"/>
      <c r="K332" s="394" t="str">
        <f t="shared" si="8"/>
        <v>Tomato paste</v>
      </c>
      <c r="L332" s="186"/>
      <c r="M332" s="186" t="s">
        <v>13829</v>
      </c>
      <c r="N332" s="186"/>
      <c r="O332" s="186"/>
      <c r="P332" s="186"/>
      <c r="Q332" s="191"/>
      <c r="S332" s="394" t="str">
        <f t="shared" si="9"/>
        <v>Concentrado de tomate</v>
      </c>
      <c r="T332" s="186"/>
      <c r="U332" s="186" t="s">
        <v>13852</v>
      </c>
      <c r="V332" s="186"/>
      <c r="W332" s="186"/>
      <c r="X332" s="186" t="s">
        <v>13861</v>
      </c>
      <c r="Y332" s="191"/>
      <c r="AH332" s="633"/>
      <c r="AP332" s="633"/>
      <c r="AX332" s="633"/>
      <c r="AZ332" s="3">
        <v>1</v>
      </c>
    </row>
    <row r="333" spans="2:52" ht="21" customHeight="1">
      <c r="B333" s="1333" t="s">
        <v>21</v>
      </c>
      <c r="C333" s="394" t="str">
        <f t="shared" si="7"/>
        <v>Ail haché surgelé</v>
      </c>
      <c r="D333" s="186"/>
      <c r="E333" s="186" t="s">
        <v>8888</v>
      </c>
      <c r="F333" s="186"/>
      <c r="G333" s="186"/>
      <c r="H333" s="186"/>
      <c r="I333" s="191"/>
      <c r="K333" s="394" t="str">
        <f t="shared" si="8"/>
        <v>Frozen chopped garlic</v>
      </c>
      <c r="L333" s="186"/>
      <c r="M333" s="186" t="s">
        <v>13830</v>
      </c>
      <c r="N333" s="186"/>
      <c r="O333" s="186"/>
      <c r="P333" s="186"/>
      <c r="Q333" s="191"/>
      <c r="S333" s="394" t="str">
        <f t="shared" si="9"/>
        <v>Ajo picado congelado</v>
      </c>
      <c r="T333" s="186"/>
      <c r="U333" s="186" t="s">
        <v>13853</v>
      </c>
      <c r="V333" s="186"/>
      <c r="W333" s="186"/>
      <c r="X333" s="186" t="s">
        <v>13862</v>
      </c>
      <c r="Y333" s="191"/>
      <c r="AZ333" s="3">
        <v>1</v>
      </c>
    </row>
    <row r="334" spans="2:52" ht="21" customHeight="1">
      <c r="B334" s="1333" t="s">
        <v>21</v>
      </c>
      <c r="C334" s="394" t="str">
        <f t="shared" si="7"/>
        <v>Farine</v>
      </c>
      <c r="D334" s="186"/>
      <c r="E334" s="186" t="s">
        <v>8889</v>
      </c>
      <c r="F334" s="186"/>
      <c r="G334" s="186"/>
      <c r="H334" s="186"/>
      <c r="I334" s="191"/>
      <c r="K334" s="394" t="str">
        <f t="shared" si="8"/>
        <v>Flour</v>
      </c>
      <c r="L334" s="186"/>
      <c r="M334" s="186" t="s">
        <v>13831</v>
      </c>
      <c r="N334" s="186"/>
      <c r="O334" s="186"/>
      <c r="P334" s="186"/>
      <c r="Q334" s="191"/>
      <c r="S334" s="394" t="str">
        <f t="shared" si="9"/>
        <v>Harina</v>
      </c>
      <c r="T334" s="186"/>
      <c r="U334" s="186" t="s">
        <v>13854</v>
      </c>
      <c r="V334" s="186"/>
      <c r="W334" s="186"/>
      <c r="X334" s="186" t="s">
        <v>13863</v>
      </c>
      <c r="Y334" s="191"/>
      <c r="AZ334" s="3">
        <v>1</v>
      </c>
    </row>
    <row r="335" spans="2:52" ht="21" customHeight="1">
      <c r="B335" s="1333" t="s">
        <v>21</v>
      </c>
      <c r="C335" s="394" t="str">
        <f t="shared" si="7"/>
        <v>Bouquet garni</v>
      </c>
      <c r="D335" s="186"/>
      <c r="E335" s="186" t="s">
        <v>8890</v>
      </c>
      <c r="F335" s="186"/>
      <c r="G335" s="186"/>
      <c r="H335" s="186"/>
      <c r="I335" s="191"/>
      <c r="K335" s="394" t="str">
        <f t="shared" si="8"/>
        <v>Bouquet garni</v>
      </c>
      <c r="L335" s="186"/>
      <c r="M335" s="186" t="s">
        <v>8890</v>
      </c>
      <c r="N335" s="186"/>
      <c r="O335" s="186"/>
      <c r="P335" s="186"/>
      <c r="Q335" s="191"/>
      <c r="S335" s="394" t="str">
        <f t="shared" si="9"/>
        <v>Ramillete de hierbas</v>
      </c>
      <c r="T335" s="186"/>
      <c r="U335" s="186" t="s">
        <v>13855</v>
      </c>
      <c r="V335" s="186"/>
      <c r="W335" s="186"/>
      <c r="X335" s="186" t="s">
        <v>13864</v>
      </c>
      <c r="Y335" s="191"/>
      <c r="AZ335" s="3">
        <v>1</v>
      </c>
    </row>
    <row r="336" spans="2:52" ht="21" customHeight="1">
      <c r="B336" s="1333" t="s">
        <v>21</v>
      </c>
      <c r="C336" s="394" t="str">
        <f t="shared" si="7"/>
        <v>Fond brun clair de veau</v>
      </c>
      <c r="D336" s="186"/>
      <c r="E336" s="186" t="s">
        <v>8891</v>
      </c>
      <c r="F336" s="186"/>
      <c r="G336" s="186"/>
      <c r="H336" s="186"/>
      <c r="I336" s="191"/>
      <c r="K336" s="394" t="str">
        <f t="shared" si="8"/>
        <v>Light veal stock.</v>
      </c>
      <c r="L336" s="186"/>
      <c r="M336" s="186" t="s">
        <v>13832</v>
      </c>
      <c r="N336" s="186"/>
      <c r="O336" s="186"/>
      <c r="P336" s="186"/>
      <c r="Q336" s="191"/>
      <c r="S336" s="394" t="str">
        <f t="shared" si="9"/>
        <v>Fondo claro de ternera</v>
      </c>
      <c r="T336" s="186"/>
      <c r="U336" s="186" t="s">
        <v>13856</v>
      </c>
      <c r="V336" s="186"/>
      <c r="W336" s="186"/>
      <c r="X336" s="186" t="s">
        <v>13865</v>
      </c>
      <c r="Y336" s="191"/>
      <c r="AZ336" s="3">
        <v>1</v>
      </c>
    </row>
    <row r="337" spans="2:52" ht="21" customHeight="1">
      <c r="B337" s="1333" t="s">
        <v>21</v>
      </c>
      <c r="C337" s="394" t="str">
        <f t="shared" si="7"/>
        <v>Haricots blancs (coco)</v>
      </c>
      <c r="D337" s="186"/>
      <c r="E337" s="186" t="s">
        <v>8892</v>
      </c>
      <c r="F337" s="186"/>
      <c r="G337" s="186"/>
      <c r="H337" s="186"/>
      <c r="I337" s="191"/>
      <c r="K337" s="394" t="str">
        <f t="shared" si="8"/>
        <v>White (coco) beans</v>
      </c>
      <c r="L337" s="186"/>
      <c r="M337" s="186" t="s">
        <v>13833</v>
      </c>
      <c r="N337" s="186"/>
      <c r="O337" s="186"/>
      <c r="P337" s="186"/>
      <c r="Q337" s="191"/>
      <c r="S337" s="394" t="str">
        <f t="shared" si="9"/>
        <v>Judías blancas (coco)</v>
      </c>
      <c r="T337" s="186"/>
      <c r="U337" s="186" t="s">
        <v>13876</v>
      </c>
      <c r="V337" s="186"/>
      <c r="W337" s="186"/>
      <c r="X337" s="186" t="s">
        <v>13866</v>
      </c>
      <c r="Y337" s="191"/>
      <c r="AZ337" s="3">
        <v>1</v>
      </c>
    </row>
    <row r="338" spans="2:52" ht="21" customHeight="1">
      <c r="B338" s="1333" t="s">
        <v>21</v>
      </c>
      <c r="C338" s="394" t="str">
        <f t="shared" si="7"/>
        <v>Éléments de la garniture aromatique des</v>
      </c>
      <c r="D338" s="186"/>
      <c r="E338" s="186" t="s">
        <v>8893</v>
      </c>
      <c r="F338" s="186"/>
      <c r="G338" s="186"/>
      <c r="H338" s="186"/>
      <c r="I338" s="191"/>
      <c r="K338" s="394" t="str">
        <f t="shared" si="8"/>
        <v>Aromatic garnish elements for the</v>
      </c>
      <c r="L338" s="186"/>
      <c r="M338" s="186" t="s">
        <v>13836</v>
      </c>
      <c r="N338" s="186"/>
      <c r="O338" s="186"/>
      <c r="P338" s="186"/>
      <c r="Q338" s="191"/>
      <c r="S338" s="394" t="str">
        <f t="shared" si="9"/>
        <v>Elementos del sofrito aromático para las judías</v>
      </c>
      <c r="T338" s="186"/>
      <c r="U338" s="186" t="s">
        <v>13857</v>
      </c>
      <c r="V338" s="186"/>
      <c r="W338" s="186"/>
      <c r="X338" s="186" t="s">
        <v>13857</v>
      </c>
      <c r="Y338" s="191"/>
      <c r="AZ338" s="3">
        <v>1</v>
      </c>
    </row>
    <row r="339" spans="2:52" ht="21" customHeight="1">
      <c r="B339" s="1333" t="s">
        <v>21</v>
      </c>
      <c r="C339" s="394" t="str">
        <f t="shared" si="7"/>
        <v>haricots</v>
      </c>
      <c r="D339" s="186"/>
      <c r="E339" s="186" t="s">
        <v>8894</v>
      </c>
      <c r="F339" s="186"/>
      <c r="G339" s="186"/>
      <c r="H339" s="186"/>
      <c r="I339" s="191"/>
      <c r="K339" s="394" t="str">
        <f t="shared" si="8"/>
        <v>beans</v>
      </c>
      <c r="L339" s="186"/>
      <c r="M339" s="186" t="s">
        <v>13835</v>
      </c>
      <c r="N339" s="186"/>
      <c r="O339" s="186"/>
      <c r="P339" s="186"/>
      <c r="Q339" s="191"/>
      <c r="S339" s="394" t="str">
        <f t="shared" si="9"/>
        <v>Cebollas</v>
      </c>
      <c r="T339" s="186"/>
      <c r="U339" s="186" t="s">
        <v>13858</v>
      </c>
      <c r="V339" s="186"/>
      <c r="W339" s="186"/>
      <c r="X339" s="186" t="s">
        <v>13858</v>
      </c>
      <c r="Y339" s="191"/>
      <c r="AZ339" s="3">
        <v>1</v>
      </c>
    </row>
    <row r="340" spans="2:52" ht="21" customHeight="1">
      <c r="B340" s="1333" t="s">
        <v>21</v>
      </c>
      <c r="C340" s="394" t="str">
        <f t="shared" si="7"/>
        <v>Oignons</v>
      </c>
      <c r="D340" s="186"/>
      <c r="E340" s="186" t="s">
        <v>8895</v>
      </c>
      <c r="F340" s="186"/>
      <c r="G340" s="186"/>
      <c r="H340" s="186"/>
      <c r="I340" s="191"/>
      <c r="K340" s="394" t="str">
        <f t="shared" si="8"/>
        <v>Onions</v>
      </c>
      <c r="L340" s="186"/>
      <c r="M340" s="186" t="s">
        <v>13834</v>
      </c>
      <c r="N340" s="186"/>
      <c r="O340" s="186"/>
      <c r="P340" s="186"/>
      <c r="Q340" s="191"/>
      <c r="S340" s="394" t="str">
        <f t="shared" si="9"/>
        <v>Zanahorias</v>
      </c>
      <c r="T340" s="186"/>
      <c r="U340" s="186" t="s">
        <v>13859</v>
      </c>
      <c r="V340" s="186"/>
      <c r="W340" s="186"/>
      <c r="X340" s="186" t="s">
        <v>13867</v>
      </c>
      <c r="Y340" s="191"/>
      <c r="AZ340" s="3">
        <v>1</v>
      </c>
    </row>
    <row r="341" spans="2:52" ht="21" customHeight="1">
      <c r="B341" s="1333" t="s">
        <v>21</v>
      </c>
      <c r="C341" s="394" t="str">
        <f t="shared" si="7"/>
        <v>Carottes</v>
      </c>
      <c r="D341" s="186"/>
      <c r="E341" s="186" t="s">
        <v>8896</v>
      </c>
      <c r="F341" s="186"/>
      <c r="G341" s="186"/>
      <c r="H341" s="186"/>
      <c r="I341" s="191"/>
      <c r="K341" s="394" t="str">
        <f t="shared" si="8"/>
        <v>Carrots</v>
      </c>
      <c r="L341" s="186"/>
      <c r="M341" s="186" t="s">
        <v>13837</v>
      </c>
      <c r="N341" s="186"/>
      <c r="O341" s="186"/>
      <c r="P341" s="186"/>
      <c r="Q341" s="191"/>
      <c r="S341" s="394" t="str">
        <f t="shared" si="9"/>
        <v>Ramillete de hierbas</v>
      </c>
      <c r="T341" s="186"/>
      <c r="U341" s="186" t="s">
        <v>13877</v>
      </c>
      <c r="V341" s="186"/>
      <c r="W341" s="186"/>
      <c r="X341" s="186" t="s">
        <v>13864</v>
      </c>
      <c r="Y341" s="191"/>
      <c r="AZ341" s="3">
        <v>1</v>
      </c>
    </row>
    <row r="342" spans="2:52" ht="21" customHeight="1">
      <c r="B342" s="1333" t="s">
        <v>21</v>
      </c>
      <c r="C342" s="394" t="str">
        <f t="shared" si="7"/>
        <v>Bouquet garni</v>
      </c>
      <c r="D342" s="186"/>
      <c r="E342" s="186" t="s">
        <v>8890</v>
      </c>
      <c r="F342" s="186"/>
      <c r="G342" s="186"/>
      <c r="H342" s="186"/>
      <c r="I342" s="191"/>
      <c r="K342" s="394" t="str">
        <f t="shared" si="8"/>
        <v>Bouquet garni</v>
      </c>
      <c r="L342" s="186"/>
      <c r="M342" s="186" t="s">
        <v>8890</v>
      </c>
      <c r="N342" s="186"/>
      <c r="O342" s="186"/>
      <c r="P342" s="186"/>
      <c r="Q342" s="191"/>
      <c r="S342" s="394" t="str">
        <f t="shared" si="9"/>
        <v/>
      </c>
      <c r="T342" s="186"/>
      <c r="U342" s="186"/>
      <c r="V342" s="186"/>
      <c r="W342" s="186"/>
      <c r="X342" s="186"/>
      <c r="Y342" s="191"/>
      <c r="AZ342" s="3">
        <v>1</v>
      </c>
    </row>
    <row r="343" spans="2:52" ht="21" customHeight="1">
      <c r="B343" s="1333" t="s">
        <v>21</v>
      </c>
      <c r="C343" s="394" t="str">
        <f t="shared" si="7"/>
        <v>Clous de girofle</v>
      </c>
      <c r="D343" s="186"/>
      <c r="E343" s="186" t="s">
        <v>8897</v>
      </c>
      <c r="F343" s="186"/>
      <c r="G343" s="186"/>
      <c r="H343" s="186"/>
      <c r="I343" s="191"/>
      <c r="K343" s="394" t="str">
        <f t="shared" si="8"/>
        <v>Cloves</v>
      </c>
      <c r="L343" s="186"/>
      <c r="M343" s="186" t="s">
        <v>13838</v>
      </c>
      <c r="N343" s="186"/>
      <c r="O343" s="186"/>
      <c r="P343" s="186"/>
      <c r="Q343" s="191"/>
      <c r="S343" s="394" t="str">
        <f t="shared" si="9"/>
        <v>Clavos de olor</v>
      </c>
      <c r="T343" s="186"/>
      <c r="U343" s="186" t="s">
        <v>13878</v>
      </c>
      <c r="V343" s="186"/>
      <c r="W343" s="186"/>
      <c r="X343" s="186" t="s">
        <v>13868</v>
      </c>
      <c r="Y343" s="191"/>
      <c r="AZ343" s="3">
        <v>1</v>
      </c>
    </row>
    <row r="344" spans="2:52" ht="21" customHeight="1">
      <c r="B344" s="1333" t="s">
        <v>21</v>
      </c>
      <c r="C344" s="394" t="str">
        <f t="shared" si="7"/>
        <v>Éléments de la garniture du cassoulet</v>
      </c>
      <c r="D344" s="186"/>
      <c r="E344" s="186" t="s">
        <v>8898</v>
      </c>
      <c r="F344" s="186"/>
      <c r="G344" s="186"/>
      <c r="H344" s="186"/>
      <c r="I344" s="191"/>
      <c r="K344" s="394" t="str">
        <f t="shared" si="8"/>
        <v>Cassoulet garnish elements</v>
      </c>
      <c r="L344" s="186"/>
      <c r="M344" s="186" t="s">
        <v>13839</v>
      </c>
      <c r="N344" s="186"/>
      <c r="O344" s="186"/>
      <c r="P344" s="186"/>
      <c r="Q344" s="191"/>
      <c r="S344" s="394" t="str">
        <f t="shared" si="9"/>
        <v>Elementos del acompañamiento del cassoulet</v>
      </c>
      <c r="T344" s="186"/>
      <c r="U344" s="186" t="s">
        <v>13868</v>
      </c>
      <c r="V344" s="186"/>
      <c r="W344" s="186"/>
      <c r="X344" s="186" t="s">
        <v>13868</v>
      </c>
      <c r="Y344" s="191"/>
      <c r="AZ344" s="3">
        <v>1</v>
      </c>
    </row>
    <row r="345" spans="2:52" ht="21" customHeight="1">
      <c r="B345" s="1333" t="s">
        <v>21</v>
      </c>
      <c r="C345" s="394" t="str">
        <f t="shared" si="7"/>
        <v>Poitrine fraîche</v>
      </c>
      <c r="D345" s="186"/>
      <c r="E345" s="186" t="s">
        <v>8899</v>
      </c>
      <c r="F345" s="186"/>
      <c r="G345" s="186"/>
      <c r="H345" s="186"/>
      <c r="I345" s="191"/>
      <c r="K345" s="394" t="str">
        <f t="shared" si="8"/>
        <v>Fresh pork belly</v>
      </c>
      <c r="L345" s="186"/>
      <c r="M345" s="186" t="s">
        <v>13840</v>
      </c>
      <c r="N345" s="186"/>
      <c r="O345" s="186"/>
      <c r="P345" s="186"/>
      <c r="Q345" s="191"/>
      <c r="S345" s="394" t="str">
        <f t="shared" si="9"/>
        <v>Panceta fresca</v>
      </c>
      <c r="T345" s="186"/>
      <c r="U345" s="186" t="s">
        <v>13879</v>
      </c>
      <c r="V345" s="186"/>
      <c r="W345" s="186"/>
      <c r="X345" s="186" t="s">
        <v>13860</v>
      </c>
      <c r="Y345" s="191"/>
      <c r="AZ345" s="3">
        <v>1</v>
      </c>
    </row>
    <row r="346" spans="2:52" ht="21" customHeight="1">
      <c r="B346" s="1333" t="s">
        <v>21</v>
      </c>
      <c r="C346" s="394" t="str">
        <f t="shared" si="7"/>
        <v>Saucisson à l’ail</v>
      </c>
      <c r="D346" s="186"/>
      <c r="E346" s="186" t="s">
        <v>8900</v>
      </c>
      <c r="F346" s="186"/>
      <c r="G346" s="186"/>
      <c r="H346" s="186"/>
      <c r="I346" s="191"/>
      <c r="K346" s="394" t="str">
        <f t="shared" si="8"/>
        <v>Garlic sausage</v>
      </c>
      <c r="L346" s="186"/>
      <c r="M346" s="186" t="s">
        <v>13841</v>
      </c>
      <c r="N346" s="186"/>
      <c r="O346" s="186"/>
      <c r="P346" s="186"/>
      <c r="Q346" s="191"/>
      <c r="S346" s="394" t="str">
        <f t="shared" si="9"/>
        <v>Salchicha de ajo</v>
      </c>
      <c r="T346" s="186"/>
      <c r="U346" s="186" t="s">
        <v>13869</v>
      </c>
      <c r="V346" s="186"/>
      <c r="W346" s="186"/>
      <c r="X346" s="186" t="s">
        <v>13869</v>
      </c>
      <c r="Y346" s="191"/>
      <c r="AZ346" s="3">
        <v>1</v>
      </c>
    </row>
    <row r="347" spans="2:52" ht="21" customHeight="1">
      <c r="B347" s="1333" t="s">
        <v>21</v>
      </c>
      <c r="C347" s="394" t="str">
        <f t="shared" si="7"/>
        <v>ou saucisse de Toulouse</v>
      </c>
      <c r="D347" s="186"/>
      <c r="E347" s="186" t="s">
        <v>8901</v>
      </c>
      <c r="F347" s="186"/>
      <c r="G347" s="186"/>
      <c r="H347" s="186"/>
      <c r="I347" s="191"/>
      <c r="K347" s="394" t="str">
        <f t="shared" si="8"/>
        <v>or Toulouse sausage</v>
      </c>
      <c r="L347" s="186"/>
      <c r="M347" s="186" t="s">
        <v>13842</v>
      </c>
      <c r="N347" s="186"/>
      <c r="O347" s="186"/>
      <c r="P347" s="186"/>
      <c r="Q347" s="191"/>
      <c r="S347" s="394" t="str">
        <f t="shared" si="9"/>
        <v>o salchicha de Toulouse</v>
      </c>
      <c r="T347" s="186"/>
      <c r="U347" s="186" t="s">
        <v>13880</v>
      </c>
      <c r="V347" s="186"/>
      <c r="W347" s="186"/>
      <c r="X347" s="186" t="s">
        <v>13870</v>
      </c>
      <c r="Y347" s="191"/>
      <c r="AZ347" s="3">
        <v>1</v>
      </c>
    </row>
    <row r="348" spans="2:52" ht="21" customHeight="1">
      <c r="B348" s="1333" t="s">
        <v>21</v>
      </c>
      <c r="C348" s="394" t="str">
        <f t="shared" si="7"/>
        <v>Oignons</v>
      </c>
      <c r="D348" s="186"/>
      <c r="E348" s="186" t="s">
        <v>8886</v>
      </c>
      <c r="F348" s="186"/>
      <c r="G348" s="186"/>
      <c r="H348" s="186"/>
      <c r="I348" s="191"/>
      <c r="K348" s="394" t="str">
        <f t="shared" si="8"/>
        <v>Onions</v>
      </c>
      <c r="L348" s="186"/>
      <c r="M348" s="186" t="s">
        <v>13843</v>
      </c>
      <c r="N348" s="186"/>
      <c r="O348" s="186"/>
      <c r="P348" s="186"/>
      <c r="Q348" s="191"/>
      <c r="S348" s="394" t="str">
        <f t="shared" si="9"/>
        <v>Cebollas</v>
      </c>
      <c r="T348" s="186"/>
      <c r="U348" s="186" t="s">
        <v>13851</v>
      </c>
      <c r="V348" s="186"/>
      <c r="W348" s="186"/>
      <c r="X348" s="186" t="s">
        <v>13858</v>
      </c>
      <c r="Y348" s="191"/>
      <c r="AZ348" s="3">
        <v>1</v>
      </c>
    </row>
    <row r="349" spans="2:52" ht="21" customHeight="1">
      <c r="B349" s="1333" t="s">
        <v>21</v>
      </c>
      <c r="C349" s="394" t="str">
        <f t="shared" si="7"/>
        <v>Dés de tomates surgelés</v>
      </c>
      <c r="D349" s="186"/>
      <c r="E349" s="186" t="s">
        <v>8902</v>
      </c>
      <c r="F349" s="186"/>
      <c r="G349" s="186"/>
      <c r="H349" s="186"/>
      <c r="I349" s="191"/>
      <c r="K349" s="394" t="str">
        <f t="shared" si="8"/>
        <v>Frozen diced tomatoes</v>
      </c>
      <c r="L349" s="186"/>
      <c r="M349" s="186" t="s">
        <v>13844</v>
      </c>
      <c r="N349" s="186"/>
      <c r="O349" s="186"/>
      <c r="P349" s="186"/>
      <c r="Q349" s="191"/>
      <c r="S349" s="394" t="str">
        <f t="shared" si="9"/>
        <v>Tomates en dados congelados</v>
      </c>
      <c r="T349" s="186"/>
      <c r="U349" s="186" t="s">
        <v>13881</v>
      </c>
      <c r="V349" s="186"/>
      <c r="W349" s="186"/>
      <c r="X349" s="186" t="s">
        <v>13871</v>
      </c>
      <c r="Y349" s="191"/>
      <c r="AZ349" s="3">
        <v>1</v>
      </c>
    </row>
    <row r="350" spans="2:52" ht="21" customHeight="1">
      <c r="B350" s="1333" t="s">
        <v>21</v>
      </c>
      <c r="C350" s="394" t="str">
        <f t="shared" si="7"/>
        <v>Tomate concentrée</v>
      </c>
      <c r="D350" s="186"/>
      <c r="E350" s="186" t="s">
        <v>8903</v>
      </c>
      <c r="F350" s="186"/>
      <c r="G350" s="186"/>
      <c r="H350" s="186"/>
      <c r="I350" s="191"/>
      <c r="K350" s="394" t="str">
        <f t="shared" si="8"/>
        <v>Tomato paste</v>
      </c>
      <c r="L350" s="186"/>
      <c r="M350" s="186" t="s">
        <v>13845</v>
      </c>
      <c r="N350" s="186"/>
      <c r="O350" s="186"/>
      <c r="P350" s="186"/>
      <c r="Q350" s="191"/>
      <c r="S350" s="394" t="str">
        <f t="shared" si="9"/>
        <v>Concentrado de tomate</v>
      </c>
      <c r="T350" s="186"/>
      <c r="U350" s="186" t="s">
        <v>13882</v>
      </c>
      <c r="V350" s="186"/>
      <c r="W350" s="186"/>
      <c r="X350" s="186" t="s">
        <v>13861</v>
      </c>
      <c r="Y350" s="191"/>
      <c r="AZ350" s="3">
        <v>1</v>
      </c>
    </row>
    <row r="351" spans="2:52" ht="21" customHeight="1">
      <c r="B351" s="1333" t="s">
        <v>21</v>
      </c>
      <c r="C351" s="394" t="str">
        <f t="shared" si="7"/>
        <v>Ail haché surgelé</v>
      </c>
      <c r="D351" s="186"/>
      <c r="E351" s="186" t="s">
        <v>8904</v>
      </c>
      <c r="F351" s="186"/>
      <c r="G351" s="186"/>
      <c r="H351" s="186"/>
      <c r="I351" s="191"/>
      <c r="K351" s="394" t="str">
        <f t="shared" si="8"/>
        <v>Frozen chopped garlic</v>
      </c>
      <c r="L351" s="186"/>
      <c r="M351" s="186" t="s">
        <v>13846</v>
      </c>
      <c r="N351" s="186"/>
      <c r="O351" s="186"/>
      <c r="P351" s="186"/>
      <c r="Q351" s="191"/>
      <c r="S351" s="394" t="str">
        <f t="shared" si="9"/>
        <v>Ajo picado congelado</v>
      </c>
      <c r="T351" s="186"/>
      <c r="U351" s="186" t="s">
        <v>13883</v>
      </c>
      <c r="V351" s="186"/>
      <c r="W351" s="186"/>
      <c r="X351" s="186" t="s">
        <v>13862</v>
      </c>
      <c r="Y351" s="191"/>
      <c r="AZ351" s="3">
        <v>1</v>
      </c>
    </row>
    <row r="352" spans="2:52" ht="21" customHeight="1">
      <c r="B352" s="1333" t="s">
        <v>21</v>
      </c>
      <c r="C352" s="394" t="str">
        <f t="shared" si="7"/>
        <v>Herbes de Provence</v>
      </c>
      <c r="D352" s="186"/>
      <c r="E352" s="186" t="s">
        <v>8905</v>
      </c>
      <c r="F352" s="186"/>
      <c r="G352" s="186"/>
      <c r="H352" s="186"/>
      <c r="I352" s="191"/>
      <c r="K352" s="394" t="str">
        <f t="shared" si="8"/>
        <v>Herbes de Provence</v>
      </c>
      <c r="L352" s="186"/>
      <c r="M352" s="186" t="s">
        <v>8905</v>
      </c>
      <c r="N352" s="186"/>
      <c r="O352" s="186"/>
      <c r="P352" s="186"/>
      <c r="Q352" s="191"/>
      <c r="S352" s="394" t="str">
        <f t="shared" si="9"/>
        <v>Hierbas provenzales</v>
      </c>
      <c r="T352" s="186"/>
      <c r="U352" s="186" t="s">
        <v>13884</v>
      </c>
      <c r="V352" s="186"/>
      <c r="W352" s="186"/>
      <c r="X352" s="186" t="s">
        <v>13872</v>
      </c>
      <c r="Y352" s="191"/>
      <c r="AZ352" s="3">
        <v>1</v>
      </c>
    </row>
    <row r="353" spans="2:52" ht="21" customHeight="1">
      <c r="B353" s="1333" t="s">
        <v>21</v>
      </c>
      <c r="C353" s="394" t="str">
        <f t="shared" si="7"/>
        <v>Sel</v>
      </c>
      <c r="D353" s="186"/>
      <c r="E353" s="186" t="s">
        <v>8906</v>
      </c>
      <c r="F353" s="186"/>
      <c r="G353" s="186"/>
      <c r="H353" s="186"/>
      <c r="I353" s="191"/>
      <c r="K353" s="394" t="str">
        <f t="shared" si="8"/>
        <v>Salt</v>
      </c>
      <c r="L353" s="186"/>
      <c r="M353" s="186" t="s">
        <v>13892</v>
      </c>
      <c r="N353" s="186"/>
      <c r="O353" s="186"/>
      <c r="P353" s="186"/>
      <c r="Q353" s="191"/>
      <c r="S353" s="394" t="str">
        <f t="shared" si="9"/>
        <v>Sal</v>
      </c>
      <c r="T353" s="186"/>
      <c r="U353" s="186" t="s">
        <v>13894</v>
      </c>
      <c r="V353" s="186"/>
      <c r="W353" s="186"/>
      <c r="X353" s="186" t="s">
        <v>13873</v>
      </c>
      <c r="Y353" s="191"/>
      <c r="AZ353" s="3">
        <v>1</v>
      </c>
    </row>
    <row r="354" spans="2:52" ht="21" customHeight="1">
      <c r="B354" s="1333" t="s">
        <v>21</v>
      </c>
      <c r="C354" s="394" t="str">
        <f t="shared" si="7"/>
        <v>Poivre</v>
      </c>
      <c r="D354" s="186"/>
      <c r="E354" s="186" t="s">
        <v>8907</v>
      </c>
      <c r="F354" s="186"/>
      <c r="G354" s="186"/>
      <c r="H354" s="186"/>
      <c r="I354" s="191"/>
      <c r="K354" s="394" t="str">
        <f t="shared" si="8"/>
        <v>Pepper</v>
      </c>
      <c r="L354" s="186"/>
      <c r="M354" s="186" t="s">
        <v>13893</v>
      </c>
      <c r="N354" s="186"/>
      <c r="O354" s="186"/>
      <c r="P354" s="186"/>
      <c r="Q354" s="191"/>
      <c r="S354" s="394" t="str">
        <f t="shared" si="9"/>
        <v>Pimienta</v>
      </c>
      <c r="T354" s="186"/>
      <c r="U354" s="186" t="s">
        <v>13895</v>
      </c>
      <c r="V354" s="186"/>
      <c r="W354" s="186"/>
      <c r="X354" s="186" t="s">
        <v>13874</v>
      </c>
      <c r="Y354" s="191"/>
      <c r="AZ354" s="3">
        <v>1</v>
      </c>
    </row>
    <row r="355" spans="2:52" ht="21" customHeight="1">
      <c r="B355" s="1333" t="s">
        <v>21</v>
      </c>
      <c r="C355" s="394" t="str">
        <f t="shared" si="7"/>
        <v>Chapelure</v>
      </c>
      <c r="D355" s="186"/>
      <c r="E355" s="186" t="s">
        <v>8908</v>
      </c>
      <c r="F355" s="186"/>
      <c r="G355" s="186"/>
      <c r="H355" s="186"/>
      <c r="I355" s="191"/>
      <c r="K355" s="394" t="str">
        <f t="shared" si="8"/>
        <v>Breadcrumbs</v>
      </c>
      <c r="L355" s="186"/>
      <c r="M355" s="186" t="s">
        <v>13847</v>
      </c>
      <c r="N355" s="186"/>
      <c r="O355" s="186"/>
      <c r="P355" s="186"/>
      <c r="Q355" s="191"/>
      <c r="S355" s="394" t="str">
        <f t="shared" si="9"/>
        <v>Pan rallado</v>
      </c>
      <c r="T355" s="186"/>
      <c r="U355" s="186" t="s">
        <v>13885</v>
      </c>
      <c r="V355" s="186"/>
      <c r="W355" s="186"/>
      <c r="X355" s="186" t="s">
        <v>13875</v>
      </c>
      <c r="Y355" s="191"/>
      <c r="AZ355" s="3">
        <v>1</v>
      </c>
    </row>
    <row r="356" spans="2:52" ht="21" customHeight="1">
      <c r="B356" s="1333" t="s">
        <v>21</v>
      </c>
      <c r="C356" s="394"/>
      <c r="D356" s="186"/>
      <c r="E356" s="186"/>
      <c r="F356" s="186"/>
      <c r="G356" s="186"/>
      <c r="H356" s="186"/>
      <c r="I356" s="191"/>
      <c r="K356" s="394"/>
      <c r="L356" s="186"/>
      <c r="M356" s="186"/>
      <c r="N356" s="186"/>
      <c r="O356" s="186"/>
      <c r="P356" s="186"/>
      <c r="Q356" s="191"/>
      <c r="S356" s="394"/>
      <c r="T356" s="186"/>
      <c r="U356" s="186"/>
      <c r="V356" s="186"/>
      <c r="W356" s="186"/>
      <c r="X356" s="186"/>
      <c r="Y356" s="191"/>
      <c r="AZ356" s="3">
        <v>1</v>
      </c>
    </row>
    <row r="357" spans="2:52" ht="21" customHeight="1">
      <c r="B357" s="1333" t="s">
        <v>21</v>
      </c>
      <c r="C357" s="2212" t="s">
        <v>8909</v>
      </c>
      <c r="D357" s="186"/>
      <c r="E357" s="186"/>
      <c r="F357" s="186"/>
      <c r="G357" s="186"/>
      <c r="H357" s="186"/>
      <c r="I357" s="191"/>
      <c r="K357" s="2212" t="s">
        <v>13896</v>
      </c>
      <c r="L357" s="186"/>
      <c r="M357" s="186"/>
      <c r="N357" s="186"/>
      <c r="O357" s="186"/>
      <c r="P357" s="186"/>
      <c r="Q357" s="191"/>
      <c r="S357" s="2212" t="s">
        <v>13912</v>
      </c>
      <c r="T357" s="186"/>
      <c r="U357" s="186"/>
      <c r="V357" s="186"/>
      <c r="W357" s="186"/>
      <c r="X357" s="186"/>
      <c r="Y357" s="191"/>
      <c r="AZ357" s="3">
        <v>1</v>
      </c>
    </row>
    <row r="358" spans="2:52" ht="21" customHeight="1">
      <c r="B358" s="1333" t="s">
        <v>21</v>
      </c>
      <c r="C358" s="394" t="s">
        <v>8910</v>
      </c>
      <c r="D358" s="186"/>
      <c r="E358" s="186"/>
      <c r="F358" s="186"/>
      <c r="G358" s="186"/>
      <c r="H358" s="186"/>
      <c r="I358" s="191"/>
      <c r="K358" s="394" t="s">
        <v>13897</v>
      </c>
      <c r="L358" s="186"/>
      <c r="M358" s="186"/>
      <c r="N358" s="186"/>
      <c r="O358" s="186"/>
      <c r="P358" s="186"/>
      <c r="Q358" s="191"/>
      <c r="S358" s="394" t="s">
        <v>13913</v>
      </c>
      <c r="T358" s="186"/>
      <c r="U358" s="186"/>
      <c r="V358" s="186"/>
      <c r="W358" s="186"/>
      <c r="X358" s="186"/>
      <c r="Y358" s="191"/>
      <c r="AZ358" s="3">
        <v>1</v>
      </c>
    </row>
    <row r="359" spans="2:52" ht="21" customHeight="1">
      <c r="B359" s="1333" t="s">
        <v>21</v>
      </c>
      <c r="C359" s="394" t="e" cm="1">
        <f t="array" ref="C359">- La veille : faire tremper les haricots.</f>
        <v>#NAME?</v>
      </c>
      <c r="D359" s="186"/>
      <c r="E359" s="186" t="str">
        <f ca="1">_xlfn.FORMULATEXT(C359)</f>
        <v>=- La veille : faire tremper les haricots.</v>
      </c>
      <c r="F359" s="186"/>
      <c r="G359" s="186"/>
      <c r="H359" s="186"/>
      <c r="I359" s="191"/>
      <c r="K359" s="394" t="e" cm="1">
        <f t="array" ref="K359">- The day before: soak The beans</f>
        <v>#NAME?</v>
      </c>
      <c r="L359" s="186"/>
      <c r="M359" s="186" t="str">
        <f ca="1">_xlfn.FORMULATEXT(K359)</f>
        <v>=- The day before: soak The beans</v>
      </c>
      <c r="N359" s="186"/>
      <c r="O359" s="186"/>
      <c r="P359" s="186"/>
      <c r="Q359" s="191"/>
      <c r="S359" s="394" t="e" cm="1">
        <f t="array" ref="S359">- La víspera: poner las alubias en remojo..</f>
        <v>#NAME?</v>
      </c>
      <c r="T359" s="186"/>
      <c r="U359" s="186" t="str">
        <f ca="1">_xlfn.FORMULATEXT(S359)</f>
        <v>=- La víspera: poner las alubias en remojo..</v>
      </c>
      <c r="V359" s="186"/>
      <c r="W359" s="186"/>
      <c r="X359" s="186"/>
      <c r="Y359" s="191"/>
      <c r="AZ359" s="3">
        <v>1</v>
      </c>
    </row>
    <row r="360" spans="2:52" ht="21" customHeight="1">
      <c r="B360" s="1333" t="s">
        <v>21</v>
      </c>
      <c r="C360" s="394" t="s">
        <v>8911</v>
      </c>
      <c r="D360" s="186"/>
      <c r="E360" s="186"/>
      <c r="F360" s="186"/>
      <c r="G360" s="186"/>
      <c r="H360" s="186"/>
      <c r="I360" s="191"/>
      <c r="K360" s="394" t="s">
        <v>13898</v>
      </c>
      <c r="L360" s="186"/>
      <c r="M360" s="186"/>
      <c r="N360" s="186"/>
      <c r="O360" s="186"/>
      <c r="P360" s="186"/>
      <c r="Q360" s="191"/>
      <c r="S360" s="394" t="s">
        <v>13914</v>
      </c>
      <c r="T360" s="186"/>
      <c r="U360" s="186"/>
      <c r="V360" s="186"/>
      <c r="W360" s="186"/>
      <c r="X360" s="186"/>
      <c r="Y360" s="191"/>
      <c r="AZ360" s="3">
        <v>1</v>
      </c>
    </row>
    <row r="361" spans="2:52" ht="21" customHeight="1">
      <c r="B361" s="1333" t="s">
        <v>21</v>
      </c>
      <c r="C361" s="5503"/>
      <c r="D361" s="168"/>
      <c r="E361" s="168"/>
      <c r="F361" s="168"/>
      <c r="G361" s="168"/>
      <c r="H361" s="168"/>
      <c r="I361" s="5505"/>
      <c r="K361" s="5503"/>
      <c r="L361" s="168"/>
      <c r="M361" s="168"/>
      <c r="N361" s="168"/>
      <c r="O361" s="168"/>
      <c r="P361" s="168"/>
      <c r="Q361" s="5505"/>
      <c r="S361" s="5503"/>
      <c r="T361" s="168"/>
      <c r="U361" s="168"/>
      <c r="V361" s="168"/>
      <c r="W361" s="168"/>
      <c r="X361" s="168"/>
      <c r="Y361" s="5505"/>
      <c r="AZ361" s="3">
        <v>1</v>
      </c>
    </row>
    <row r="362" spans="2:52" ht="21" customHeight="1">
      <c r="B362" s="1333" t="s">
        <v>21</v>
      </c>
      <c r="C362" s="459"/>
      <c r="D362" s="2211" t="s">
        <v>8912</v>
      </c>
      <c r="E362" s="2192"/>
      <c r="F362" s="2192"/>
      <c r="G362" s="9"/>
      <c r="H362" s="9"/>
      <c r="I362" s="38"/>
      <c r="K362" s="459"/>
      <c r="L362" s="2211" t="s">
        <v>13900</v>
      </c>
      <c r="M362" s="2192"/>
      <c r="N362" s="2192"/>
      <c r="O362" s="9"/>
      <c r="P362" s="9"/>
      <c r="Q362" s="38"/>
      <c r="S362" s="459"/>
      <c r="T362" s="2211" t="s">
        <v>13916</v>
      </c>
      <c r="U362" s="2192"/>
      <c r="V362" s="2192"/>
      <c r="W362" s="9"/>
      <c r="X362" s="9"/>
      <c r="Y362" s="38"/>
      <c r="AZ362" s="3">
        <v>1</v>
      </c>
    </row>
    <row r="363" spans="2:52" ht="21" customHeight="1">
      <c r="B363" s="1333" t="s">
        <v>21</v>
      </c>
      <c r="C363" s="459"/>
      <c r="D363" s="6602" t="s">
        <v>8913</v>
      </c>
      <c r="E363" s="2193" t="s">
        <v>8914</v>
      </c>
      <c r="F363" s="2194"/>
      <c r="G363" s="9"/>
      <c r="H363" s="9"/>
      <c r="I363" s="38"/>
      <c r="K363" s="459"/>
      <c r="L363" s="6602" t="s">
        <v>13904</v>
      </c>
      <c r="M363" s="2193" t="s">
        <v>13901</v>
      </c>
      <c r="N363" s="2194"/>
      <c r="O363" s="9"/>
      <c r="P363" s="9"/>
      <c r="Q363" s="38"/>
      <c r="S363" s="459"/>
      <c r="T363" s="6602" t="s">
        <v>13920</v>
      </c>
      <c r="U363" s="2193" t="s">
        <v>13917</v>
      </c>
      <c r="V363" s="2194"/>
      <c r="W363" s="9"/>
      <c r="X363" s="9"/>
      <c r="Y363" s="38"/>
      <c r="AZ363" s="3">
        <v>1</v>
      </c>
    </row>
    <row r="364" spans="2:52" ht="21" customHeight="1">
      <c r="B364" s="1333" t="s">
        <v>21</v>
      </c>
      <c r="C364" s="459"/>
      <c r="D364" s="6602"/>
      <c r="E364" s="2193" t="s">
        <v>8915</v>
      </c>
      <c r="F364" s="2194"/>
      <c r="G364" s="9"/>
      <c r="H364" s="9"/>
      <c r="I364" s="38"/>
      <c r="K364" s="459"/>
      <c r="L364" s="6602"/>
      <c r="M364" s="2193" t="s">
        <v>13902</v>
      </c>
      <c r="N364" s="2194"/>
      <c r="O364" s="9"/>
      <c r="P364" s="9"/>
      <c r="Q364" s="38"/>
      <c r="S364" s="459"/>
      <c r="T364" s="6602"/>
      <c r="U364" s="2193" t="s">
        <v>13918</v>
      </c>
      <c r="V364" s="2194"/>
      <c r="W364" s="9"/>
      <c r="X364" s="9"/>
      <c r="Y364" s="38"/>
      <c r="AZ364" s="3">
        <v>1</v>
      </c>
    </row>
    <row r="365" spans="2:52" ht="21" customHeight="1">
      <c r="B365" s="1333" t="s">
        <v>21</v>
      </c>
      <c r="C365" s="459"/>
      <c r="D365" s="6602"/>
      <c r="E365" s="2193" t="s">
        <v>8916</v>
      </c>
      <c r="F365" s="2194"/>
      <c r="G365" s="9"/>
      <c r="H365" s="9"/>
      <c r="I365" s="38"/>
      <c r="K365" s="459"/>
      <c r="L365" s="6602"/>
      <c r="M365" s="2193" t="s">
        <v>13903</v>
      </c>
      <c r="N365" s="2194"/>
      <c r="O365" s="9"/>
      <c r="P365" s="9"/>
      <c r="Q365" s="38"/>
      <c r="S365" s="459"/>
      <c r="T365" s="6602"/>
      <c r="U365" s="2193" t="s">
        <v>13919</v>
      </c>
      <c r="V365" s="2194"/>
      <c r="W365" s="9"/>
      <c r="X365" s="9"/>
      <c r="Y365" s="38"/>
      <c r="AZ365" s="3">
        <v>1</v>
      </c>
    </row>
    <row r="366" spans="2:52" ht="21" customHeight="1">
      <c r="B366" s="1333" t="s">
        <v>21</v>
      </c>
      <c r="C366" s="459"/>
      <c r="D366" s="6602"/>
      <c r="E366" s="6603" t="s">
        <v>8917</v>
      </c>
      <c r="F366" s="6603"/>
      <c r="G366" s="9"/>
      <c r="H366" s="9"/>
      <c r="I366" s="38"/>
      <c r="K366" s="459"/>
      <c r="L366" s="6602"/>
      <c r="M366" s="6603" t="s">
        <v>13905</v>
      </c>
      <c r="N366" s="6603"/>
      <c r="O366" s="9"/>
      <c r="P366" s="9"/>
      <c r="Q366" s="38"/>
      <c r="S366" s="459"/>
      <c r="T366" s="6602"/>
      <c r="U366" s="6603" t="s">
        <v>13921</v>
      </c>
      <c r="V366" s="6603"/>
      <c r="W366" s="9"/>
      <c r="X366" s="9"/>
      <c r="Y366" s="38"/>
      <c r="AZ366" s="3">
        <v>1</v>
      </c>
    </row>
    <row r="367" spans="2:52" ht="21" customHeight="1">
      <c r="B367" s="1333" t="s">
        <v>21</v>
      </c>
      <c r="C367" s="459"/>
      <c r="D367" s="6602"/>
      <c r="E367" s="6603"/>
      <c r="F367" s="6603"/>
      <c r="G367" s="2210"/>
      <c r="H367" s="9"/>
      <c r="I367" s="38"/>
      <c r="K367" s="459"/>
      <c r="L367" s="6602"/>
      <c r="M367" s="6603"/>
      <c r="N367" s="6603"/>
      <c r="O367" s="2210"/>
      <c r="P367" s="9"/>
      <c r="Q367" s="38"/>
      <c r="S367" s="459"/>
      <c r="T367" s="6602"/>
      <c r="U367" s="6603"/>
      <c r="V367" s="6603"/>
      <c r="W367" s="2210"/>
      <c r="X367" s="9"/>
      <c r="Y367" s="38"/>
      <c r="AZ367" s="3">
        <v>1</v>
      </c>
    </row>
    <row r="368" spans="2:52" ht="21" customHeight="1">
      <c r="B368" s="1333" t="s">
        <v>21</v>
      </c>
      <c r="C368" s="459"/>
      <c r="D368" s="6602"/>
      <c r="E368" s="2195" t="s">
        <v>8918</v>
      </c>
      <c r="F368" s="2194"/>
      <c r="G368" s="2210"/>
      <c r="H368" s="9"/>
      <c r="I368" s="38"/>
      <c r="K368" s="459"/>
      <c r="L368" s="6602"/>
      <c r="M368" s="2195" t="s">
        <v>13906</v>
      </c>
      <c r="N368" s="2194"/>
      <c r="O368" s="2210"/>
      <c r="P368" s="9"/>
      <c r="Q368" s="38"/>
      <c r="S368" s="459"/>
      <c r="T368" s="6602"/>
      <c r="U368" s="2195" t="s">
        <v>13922</v>
      </c>
      <c r="V368" s="2194"/>
      <c r="W368" s="2210"/>
      <c r="X368" s="9"/>
      <c r="Y368" s="38"/>
      <c r="AZ368" s="3">
        <v>1</v>
      </c>
    </row>
    <row r="369" spans="2:52" ht="21" customHeight="1">
      <c r="B369" s="1333" t="s">
        <v>21</v>
      </c>
      <c r="C369" s="459"/>
      <c r="D369" s="6602"/>
      <c r="E369" s="2195" t="s">
        <v>8919</v>
      </c>
      <c r="F369" s="2196"/>
      <c r="G369" s="2210"/>
      <c r="H369" s="9"/>
      <c r="I369" s="38"/>
      <c r="K369" s="459"/>
      <c r="L369" s="6602"/>
      <c r="M369" s="2195" t="s">
        <v>13907</v>
      </c>
      <c r="N369" s="2196"/>
      <c r="O369" s="2210"/>
      <c r="P369" s="9"/>
      <c r="Q369" s="38"/>
      <c r="S369" s="459"/>
      <c r="T369" s="6602"/>
      <c r="U369" s="2195" t="s">
        <v>13923</v>
      </c>
      <c r="V369" s="2196"/>
      <c r="W369" s="2210"/>
      <c r="X369" s="9"/>
      <c r="Y369" s="38"/>
      <c r="AZ369" s="3">
        <v>1</v>
      </c>
    </row>
    <row r="370" spans="2:52" ht="21" customHeight="1">
      <c r="B370" s="1333" t="s">
        <v>21</v>
      </c>
      <c r="C370" s="459"/>
      <c r="D370" s="6602"/>
      <c r="E370" s="2197" t="s">
        <v>8920</v>
      </c>
      <c r="F370" s="2196"/>
      <c r="G370" s="2210"/>
      <c r="H370" s="9"/>
      <c r="I370" s="38"/>
      <c r="K370" s="459"/>
      <c r="L370" s="6602"/>
      <c r="M370" s="2197" t="s">
        <v>13908</v>
      </c>
      <c r="N370" s="2196"/>
      <c r="O370" s="2210"/>
      <c r="P370" s="9"/>
      <c r="Q370" s="38"/>
      <c r="S370" s="459"/>
      <c r="T370" s="6602"/>
      <c r="U370" s="2197" t="s">
        <v>13924</v>
      </c>
      <c r="V370" s="2196"/>
      <c r="W370" s="2210"/>
      <c r="X370" s="9"/>
      <c r="Y370" s="38"/>
      <c r="AZ370" s="3">
        <v>1</v>
      </c>
    </row>
    <row r="371" spans="2:52" ht="21" customHeight="1">
      <c r="B371" s="1333" t="s">
        <v>21</v>
      </c>
      <c r="C371" s="459"/>
      <c r="D371" s="6602"/>
      <c r="E371" s="2197" t="s">
        <v>8921</v>
      </c>
      <c r="F371" s="2194"/>
      <c r="G371" s="2210"/>
      <c r="H371" s="9"/>
      <c r="I371" s="38"/>
      <c r="K371" s="459"/>
      <c r="L371" s="6602"/>
      <c r="M371" s="2197" t="s">
        <v>8921</v>
      </c>
      <c r="N371" s="2194"/>
      <c r="O371" s="2210"/>
      <c r="P371" s="9"/>
      <c r="Q371" s="38"/>
      <c r="S371" s="459"/>
      <c r="T371" s="6602"/>
      <c r="U371" s="2197" t="s">
        <v>13925</v>
      </c>
      <c r="V371" s="2194"/>
      <c r="W371" s="2210"/>
      <c r="X371" s="9"/>
      <c r="Y371" s="38"/>
      <c r="AZ371" s="3">
        <v>1</v>
      </c>
    </row>
    <row r="372" spans="2:52" ht="21" customHeight="1">
      <c r="B372" s="1333" t="s">
        <v>21</v>
      </c>
      <c r="C372" s="459"/>
      <c r="D372" s="6602"/>
      <c r="E372" s="2198" t="s">
        <v>8922</v>
      </c>
      <c r="F372" s="2194"/>
      <c r="G372" s="2210"/>
      <c r="H372" s="9"/>
      <c r="I372" s="38"/>
      <c r="K372" s="459"/>
      <c r="L372" s="6602"/>
      <c r="M372" s="2198" t="s">
        <v>13909</v>
      </c>
      <c r="N372" s="2194"/>
      <c r="O372" s="2210"/>
      <c r="P372" s="9"/>
      <c r="Q372" s="38"/>
      <c r="S372" s="459"/>
      <c r="T372" s="6602"/>
      <c r="U372" s="2198" t="s">
        <v>13926</v>
      </c>
      <c r="V372" s="2194"/>
      <c r="W372" s="2210"/>
      <c r="X372" s="9"/>
      <c r="Y372" s="38"/>
      <c r="AZ372" s="3">
        <v>1</v>
      </c>
    </row>
    <row r="373" spans="2:52" ht="21" customHeight="1">
      <c r="B373" s="1333" t="s">
        <v>21</v>
      </c>
      <c r="C373" s="459"/>
      <c r="D373" s="6602"/>
      <c r="E373" s="2198" t="s">
        <v>8923</v>
      </c>
      <c r="F373" s="2194"/>
      <c r="G373" s="2210"/>
      <c r="H373" s="9"/>
      <c r="I373" s="38"/>
      <c r="K373" s="459"/>
      <c r="L373" s="6602"/>
      <c r="M373" s="2198" t="s">
        <v>13910</v>
      </c>
      <c r="N373" s="2194"/>
      <c r="O373" s="2210"/>
      <c r="P373" s="9"/>
      <c r="Q373" s="38"/>
      <c r="S373" s="459"/>
      <c r="T373" s="6602"/>
      <c r="U373" s="2198" t="s">
        <v>13927</v>
      </c>
      <c r="V373" s="2194"/>
      <c r="W373" s="2210"/>
      <c r="X373" s="9"/>
      <c r="Y373" s="38"/>
      <c r="AZ373" s="3">
        <v>1</v>
      </c>
    </row>
    <row r="374" spans="2:52" ht="21" customHeight="1">
      <c r="B374" s="1333" t="s">
        <v>21</v>
      </c>
      <c r="C374" s="459"/>
      <c r="D374" s="6602"/>
      <c r="E374" s="2199"/>
      <c r="F374" s="2194"/>
      <c r="G374" s="2210"/>
      <c r="H374" s="9"/>
      <c r="I374" s="38"/>
      <c r="K374" s="459"/>
      <c r="L374" s="6602"/>
      <c r="M374" s="2199"/>
      <c r="N374" s="2194"/>
      <c r="O374" s="2210"/>
      <c r="P374" s="9"/>
      <c r="Q374" s="38"/>
      <c r="S374" s="459"/>
      <c r="T374" s="6602"/>
      <c r="U374" s="2199"/>
      <c r="V374" s="2194"/>
      <c r="W374" s="2210"/>
      <c r="X374" s="9"/>
      <c r="Y374" s="38"/>
      <c r="AZ374" s="3">
        <v>1</v>
      </c>
    </row>
    <row r="375" spans="2:52" ht="21" customHeight="1">
      <c r="B375" s="1333" t="s">
        <v>21</v>
      </c>
      <c r="C375" s="459"/>
      <c r="D375" s="2216" t="s">
        <v>8924</v>
      </c>
      <c r="E375" s="2200"/>
      <c r="F375" s="2200"/>
      <c r="G375" s="2210"/>
      <c r="H375" s="9"/>
      <c r="I375" s="38"/>
      <c r="K375" s="459"/>
      <c r="L375" s="2216" t="s">
        <v>13911</v>
      </c>
      <c r="M375" s="2200"/>
      <c r="N375" s="2200"/>
      <c r="O375" s="2210"/>
      <c r="P375" s="9"/>
      <c r="Q375" s="38"/>
      <c r="S375" s="459"/>
      <c r="T375" s="2216" t="s">
        <v>13928</v>
      </c>
      <c r="U375" s="2200"/>
      <c r="V375" s="2200"/>
      <c r="W375" s="2210"/>
      <c r="X375" s="9"/>
      <c r="Y375" s="38"/>
      <c r="AZ375" s="3">
        <v>1</v>
      </c>
    </row>
    <row r="376" spans="2:52" ht="21" customHeight="1">
      <c r="B376" s="1333" t="s">
        <v>21</v>
      </c>
      <c r="C376" s="459"/>
      <c r="D376" s="9"/>
      <c r="E376" s="9"/>
      <c r="F376" s="9"/>
      <c r="G376" s="9"/>
      <c r="H376" s="9"/>
      <c r="I376" s="38"/>
      <c r="K376" s="459"/>
      <c r="L376" s="9"/>
      <c r="M376" s="9"/>
      <c r="N376" s="9"/>
      <c r="O376" s="9"/>
      <c r="P376" s="9"/>
      <c r="Q376" s="38"/>
      <c r="S376" s="459"/>
      <c r="T376" s="9"/>
      <c r="U376" s="9"/>
      <c r="V376" s="9"/>
      <c r="W376" s="9"/>
      <c r="X376" s="9"/>
      <c r="Y376" s="38"/>
      <c r="AZ376" s="3">
        <v>1</v>
      </c>
    </row>
    <row r="377" spans="2:52" ht="21" customHeight="1">
      <c r="B377" s="1333" t="s">
        <v>21</v>
      </c>
      <c r="C377" s="459"/>
      <c r="D377" s="2214" t="s">
        <v>8925</v>
      </c>
      <c r="E377" s="2192"/>
      <c r="F377" s="9"/>
      <c r="G377" s="9"/>
      <c r="H377" s="9"/>
      <c r="I377" s="38"/>
      <c r="K377" s="459"/>
      <c r="L377" s="2214" t="s">
        <v>13929</v>
      </c>
      <c r="M377" s="2192"/>
      <c r="N377" s="9"/>
      <c r="O377" s="9"/>
      <c r="P377" s="9"/>
      <c r="Q377" s="38"/>
      <c r="S377" s="459"/>
      <c r="T377" s="2214" t="s">
        <v>13944</v>
      </c>
      <c r="U377" s="2192"/>
      <c r="V377" s="9"/>
      <c r="W377" s="9"/>
      <c r="X377" s="9"/>
      <c r="Y377" s="38"/>
      <c r="AZ377" s="3">
        <v>1</v>
      </c>
    </row>
    <row r="378" spans="2:52" ht="21" customHeight="1">
      <c r="B378" s="1333" t="s">
        <v>21</v>
      </c>
      <c r="C378" s="459"/>
      <c r="D378" s="2215" t="s">
        <v>2535</v>
      </c>
      <c r="E378" s="2192"/>
      <c r="F378" s="9"/>
      <c r="G378" s="9"/>
      <c r="H378" s="9"/>
      <c r="I378" s="38"/>
      <c r="K378" s="459"/>
      <c r="L378" s="2215" t="s">
        <v>2535</v>
      </c>
      <c r="M378" s="2192"/>
      <c r="N378" s="9"/>
      <c r="O378" s="9"/>
      <c r="P378" s="9"/>
      <c r="Q378" s="38"/>
      <c r="S378" s="459"/>
      <c r="T378" s="2215" t="s">
        <v>2535</v>
      </c>
      <c r="U378" s="2192"/>
      <c r="V378" s="9"/>
      <c r="W378" s="9"/>
      <c r="X378" s="9"/>
      <c r="Y378" s="38"/>
      <c r="AZ378" s="3">
        <v>1</v>
      </c>
    </row>
    <row r="379" spans="2:52" ht="21" customHeight="1">
      <c r="B379" s="1333" t="s">
        <v>21</v>
      </c>
      <c r="C379" s="459"/>
      <c r="D379" s="2192"/>
      <c r="E379" s="2192"/>
      <c r="F379" s="9"/>
      <c r="G379" s="9"/>
      <c r="H379" s="9"/>
      <c r="I379" s="38"/>
      <c r="K379" s="459"/>
      <c r="L379" s="2192"/>
      <c r="M379" s="2192"/>
      <c r="N379" s="9"/>
      <c r="O379" s="9"/>
      <c r="P379" s="9"/>
      <c r="Q379" s="38"/>
      <c r="S379" s="459"/>
      <c r="T379" s="2192"/>
      <c r="U379" s="2192"/>
      <c r="V379" s="9"/>
      <c r="W379" s="9"/>
      <c r="X379" s="9"/>
      <c r="Y379" s="38"/>
      <c r="AZ379" s="3">
        <v>1</v>
      </c>
    </row>
    <row r="380" spans="2:52" ht="21" customHeight="1">
      <c r="B380" s="1333" t="s">
        <v>21</v>
      </c>
      <c r="C380" s="2201"/>
      <c r="D380" s="186" t="s">
        <v>8926</v>
      </c>
      <c r="E380" s="186"/>
      <c r="F380" s="186"/>
      <c r="G380" s="9"/>
      <c r="H380" s="9"/>
      <c r="I380" s="38"/>
      <c r="K380" s="2201"/>
      <c r="L380" s="186" t="s">
        <v>13930</v>
      </c>
      <c r="M380" s="186"/>
      <c r="N380" s="186"/>
      <c r="O380" s="9"/>
      <c r="P380" s="9"/>
      <c r="Q380" s="38"/>
      <c r="S380" s="2201"/>
      <c r="T380" s="186" t="s">
        <v>13945</v>
      </c>
      <c r="U380" s="186"/>
      <c r="V380" s="186"/>
      <c r="W380" s="9"/>
      <c r="X380" s="9"/>
      <c r="Y380" s="38"/>
      <c r="AZ380" s="3">
        <v>1</v>
      </c>
    </row>
    <row r="381" spans="2:52" ht="21" customHeight="1" thickBot="1">
      <c r="B381" s="1333" t="s">
        <v>21</v>
      </c>
      <c r="C381" s="2201"/>
      <c r="D381" s="2202">
        <v>12</v>
      </c>
      <c r="E381" s="186" t="s">
        <v>8927</v>
      </c>
      <c r="F381" s="186"/>
      <c r="G381" s="9"/>
      <c r="H381" s="9"/>
      <c r="I381" s="38"/>
      <c r="K381" s="2201"/>
      <c r="L381" s="2202">
        <v>12</v>
      </c>
      <c r="M381" s="186" t="s">
        <v>13931</v>
      </c>
      <c r="N381" s="186"/>
      <c r="O381" s="9"/>
      <c r="P381" s="9"/>
      <c r="Q381" s="38"/>
      <c r="S381" s="2201"/>
      <c r="T381" s="2202">
        <v>12</v>
      </c>
      <c r="U381" s="186" t="s">
        <v>13946</v>
      </c>
      <c r="V381" s="186"/>
      <c r="W381" s="9"/>
      <c r="X381" s="9"/>
      <c r="Y381" s="38"/>
      <c r="AZ381" s="3">
        <v>1</v>
      </c>
    </row>
    <row r="382" spans="2:52" ht="21" customHeight="1">
      <c r="C382" s="2201"/>
      <c r="D382" s="632">
        <f ca="1">CELL("largeur",D382)</f>
        <v>18</v>
      </c>
      <c r="E382" s="186" t="s">
        <v>8928</v>
      </c>
      <c r="F382" s="186"/>
      <c r="G382" s="9"/>
      <c r="H382" s="9"/>
      <c r="I382" s="38"/>
      <c r="K382" s="2201"/>
      <c r="L382" s="632">
        <f ca="1">CELL("largeur",L382)</f>
        <v>18</v>
      </c>
      <c r="M382" s="186" t="s">
        <v>13932</v>
      </c>
      <c r="N382" s="186"/>
      <c r="O382" s="9"/>
      <c r="P382" s="9"/>
      <c r="Q382" s="38"/>
      <c r="S382" s="2201"/>
      <c r="T382" s="632">
        <f ca="1">CELL("largeur",T382)</f>
        <v>18</v>
      </c>
      <c r="U382" s="186" t="s">
        <v>13947</v>
      </c>
      <c r="V382" s="186"/>
      <c r="W382" s="9"/>
      <c r="X382" s="9"/>
      <c r="Y382" s="38"/>
      <c r="AZ382" s="3">
        <v>1</v>
      </c>
    </row>
    <row r="383" spans="2:52" ht="21" customHeight="1">
      <c r="C383" s="2201"/>
      <c r="D383" s="186" t="s">
        <v>8929</v>
      </c>
      <c r="E383" s="186"/>
      <c r="F383" s="186"/>
      <c r="G383" s="9"/>
      <c r="H383" s="9"/>
      <c r="I383" s="38"/>
      <c r="K383" s="2201"/>
      <c r="L383" s="186" t="s">
        <v>13933</v>
      </c>
      <c r="M383" s="186"/>
      <c r="N383" s="186"/>
      <c r="O383" s="9"/>
      <c r="P383" s="9"/>
      <c r="Q383" s="38"/>
      <c r="S383" s="2201"/>
      <c r="T383" s="186" t="s">
        <v>13948</v>
      </c>
      <c r="U383" s="186"/>
      <c r="V383" s="186"/>
      <c r="W383" s="9"/>
      <c r="X383" s="9"/>
      <c r="Y383" s="38"/>
      <c r="AZ383" s="3">
        <v>1</v>
      </c>
    </row>
    <row r="384" spans="2:52" ht="21" customHeight="1">
      <c r="C384" s="2201"/>
      <c r="D384" s="186" t="s">
        <v>8930</v>
      </c>
      <c r="E384" s="186"/>
      <c r="F384" s="186"/>
      <c r="G384" s="9"/>
      <c r="H384" s="9"/>
      <c r="I384" s="38"/>
      <c r="K384" s="2201"/>
      <c r="L384" s="186" t="s">
        <v>13934</v>
      </c>
      <c r="M384" s="186"/>
      <c r="N384" s="186"/>
      <c r="O384" s="9"/>
      <c r="P384" s="9"/>
      <c r="Q384" s="38"/>
      <c r="S384" s="2201"/>
      <c r="T384" s="186" t="s">
        <v>13949</v>
      </c>
      <c r="U384" s="186"/>
      <c r="V384" s="186"/>
      <c r="W384" s="9"/>
      <c r="X384" s="9"/>
      <c r="Y384" s="38"/>
      <c r="AZ384" s="3">
        <v>1</v>
      </c>
    </row>
    <row r="385" spans="3:52" ht="21" customHeight="1">
      <c r="C385" s="2201"/>
      <c r="D385" s="186" t="s">
        <v>8931</v>
      </c>
      <c r="E385" s="2203"/>
      <c r="F385" s="2203"/>
      <c r="G385" s="9"/>
      <c r="H385" s="9"/>
      <c r="I385" s="38"/>
      <c r="K385" s="2201"/>
      <c r="L385" s="186" t="s">
        <v>13935</v>
      </c>
      <c r="M385" s="2203"/>
      <c r="N385" s="2203"/>
      <c r="O385" s="9"/>
      <c r="P385" s="9"/>
      <c r="Q385" s="38"/>
      <c r="S385" s="2201"/>
      <c r="T385" s="186" t="s">
        <v>13950</v>
      </c>
      <c r="U385" s="2203"/>
      <c r="V385" s="2203"/>
      <c r="W385" s="9"/>
      <c r="X385" s="9"/>
      <c r="Y385" s="38"/>
      <c r="AZ385" s="3">
        <v>1</v>
      </c>
    </row>
    <row r="386" spans="3:52" ht="21" customHeight="1">
      <c r="C386" s="2201"/>
      <c r="D386" s="2203"/>
      <c r="E386" s="2203"/>
      <c r="F386" s="2203"/>
      <c r="G386" s="9"/>
      <c r="H386" s="9"/>
      <c r="I386" s="38"/>
      <c r="K386" s="2201"/>
      <c r="L386" s="2203"/>
      <c r="M386" s="2203"/>
      <c r="N386" s="2203"/>
      <c r="O386" s="9"/>
      <c r="P386" s="9"/>
      <c r="Q386" s="38"/>
      <c r="S386" s="2201"/>
      <c r="T386" s="2203"/>
      <c r="U386" s="2203"/>
      <c r="V386" s="2203"/>
      <c r="W386" s="9"/>
      <c r="X386" s="9"/>
      <c r="Y386" s="38"/>
      <c r="AZ386" s="3">
        <v>1</v>
      </c>
    </row>
    <row r="387" spans="3:52" ht="21" customHeight="1">
      <c r="C387" s="394"/>
      <c r="D387" s="2204" t="s">
        <v>15</v>
      </c>
      <c r="E387" s="1265" t="s">
        <v>8932</v>
      </c>
      <c r="F387" s="2203"/>
      <c r="G387" s="9"/>
      <c r="H387" s="9"/>
      <c r="I387" s="38"/>
      <c r="K387" s="394"/>
      <c r="L387" s="2204" t="s">
        <v>15</v>
      </c>
      <c r="M387" s="1265" t="s">
        <v>13936</v>
      </c>
      <c r="N387" s="2203"/>
      <c r="O387" s="9"/>
      <c r="P387" s="9"/>
      <c r="Q387" s="38"/>
      <c r="S387" s="394"/>
      <c r="T387" s="2204" t="s">
        <v>15</v>
      </c>
      <c r="U387" s="1265" t="s">
        <v>13951</v>
      </c>
      <c r="V387" s="2203"/>
      <c r="W387" s="9"/>
      <c r="X387" s="9"/>
      <c r="Y387" s="38"/>
      <c r="AZ387" s="3">
        <v>1</v>
      </c>
    </row>
    <row r="388" spans="3:52" ht="21" customHeight="1">
      <c r="C388" s="394"/>
      <c r="D388" s="1298" t="s">
        <v>8933</v>
      </c>
      <c r="E388" s="9"/>
      <c r="F388" s="2203"/>
      <c r="G388" s="9"/>
      <c r="H388" s="9"/>
      <c r="I388" s="38"/>
      <c r="K388" s="394"/>
      <c r="L388" s="1298" t="s">
        <v>13937</v>
      </c>
      <c r="M388" s="9"/>
      <c r="N388" s="2203"/>
      <c r="O388" s="9"/>
      <c r="P388" s="9"/>
      <c r="Q388" s="38"/>
      <c r="S388" s="394"/>
      <c r="T388" s="1298" t="s">
        <v>13952</v>
      </c>
      <c r="U388" s="9"/>
      <c r="V388" s="2203"/>
      <c r="W388" s="9"/>
      <c r="X388" s="9"/>
      <c r="Y388" s="38"/>
      <c r="AZ388" s="3">
        <v>1</v>
      </c>
    </row>
    <row r="389" spans="3:52" ht="21" customHeight="1">
      <c r="C389" s="394"/>
      <c r="D389" s="2205" t="s">
        <v>8934</v>
      </c>
      <c r="E389" s="9"/>
      <c r="F389" s="2203"/>
      <c r="G389" s="9"/>
      <c r="H389" s="9"/>
      <c r="I389" s="38"/>
      <c r="K389" s="394"/>
      <c r="L389" s="2205" t="s">
        <v>13938</v>
      </c>
      <c r="M389" s="9"/>
      <c r="N389" s="2203"/>
      <c r="O389" s="9"/>
      <c r="P389" s="9"/>
      <c r="Q389" s="38"/>
      <c r="S389" s="394"/>
      <c r="T389" s="2205" t="s">
        <v>13953</v>
      </c>
      <c r="U389" s="9"/>
      <c r="V389" s="2203"/>
      <c r="W389" s="9"/>
      <c r="X389" s="9"/>
      <c r="Y389" s="38"/>
      <c r="AZ389" s="3">
        <v>1</v>
      </c>
    </row>
    <row r="390" spans="3:52" ht="21" customHeight="1">
      <c r="C390" s="394"/>
      <c r="D390" s="2206"/>
      <c r="E390" s="2203"/>
      <c r="F390" s="2203"/>
      <c r="G390" s="9"/>
      <c r="H390" s="9"/>
      <c r="I390" s="38"/>
      <c r="K390" s="394"/>
      <c r="L390" s="2206"/>
      <c r="M390" s="2203"/>
      <c r="N390" s="2203"/>
      <c r="O390" s="9"/>
      <c r="P390" s="9"/>
      <c r="Q390" s="38"/>
      <c r="S390" s="394"/>
      <c r="T390" s="2206"/>
      <c r="U390" s="2203"/>
      <c r="V390" s="2203"/>
      <c r="W390" s="9"/>
      <c r="X390" s="9"/>
      <c r="Y390" s="38"/>
      <c r="AZ390" s="3">
        <v>1</v>
      </c>
    </row>
    <row r="391" spans="3:52" ht="21" customHeight="1">
      <c r="C391" s="394"/>
      <c r="D391" s="1298" t="s">
        <v>8935</v>
      </c>
      <c r="E391" s="2203"/>
      <c r="F391" s="9"/>
      <c r="G391" s="9"/>
      <c r="H391" s="9"/>
      <c r="I391" s="38"/>
      <c r="K391" s="394"/>
      <c r="L391" s="1298" t="s">
        <v>13939</v>
      </c>
      <c r="M391" s="2203"/>
      <c r="N391" s="9"/>
      <c r="O391" s="9"/>
      <c r="P391" s="9"/>
      <c r="Q391" s="38"/>
      <c r="S391" s="394"/>
      <c r="T391" s="1298" t="s">
        <v>13954</v>
      </c>
      <c r="U391" s="2203"/>
      <c r="V391" s="9"/>
      <c r="W391" s="9"/>
      <c r="X391" s="9"/>
      <c r="Y391" s="38"/>
      <c r="AZ391" s="3">
        <v>1</v>
      </c>
    </row>
    <row r="392" spans="3:52" ht="21" customHeight="1">
      <c r="C392" s="394"/>
      <c r="D392" s="1298"/>
      <c r="E392" s="2203"/>
      <c r="F392" s="9"/>
      <c r="G392" s="9"/>
      <c r="H392" s="9"/>
      <c r="I392" s="38"/>
      <c r="K392" s="394"/>
      <c r="L392" s="1298"/>
      <c r="M392" s="2203"/>
      <c r="N392" s="9"/>
      <c r="O392" s="9"/>
      <c r="P392" s="9"/>
      <c r="Q392" s="38"/>
      <c r="S392" s="394"/>
      <c r="T392" s="1298"/>
      <c r="U392" s="2203"/>
      <c r="V392" s="9"/>
      <c r="W392" s="9"/>
      <c r="X392" s="9"/>
      <c r="Y392" s="38"/>
      <c r="AZ392" s="3">
        <v>1</v>
      </c>
    </row>
    <row r="393" spans="3:52" ht="21" customHeight="1">
      <c r="C393" s="394"/>
      <c r="D393" s="1298" t="s">
        <v>8936</v>
      </c>
      <c r="E393" s="2203"/>
      <c r="F393" s="9"/>
      <c r="G393" s="9"/>
      <c r="H393" s="9"/>
      <c r="I393" s="38"/>
      <c r="K393" s="394"/>
      <c r="L393" s="1298" t="s">
        <v>13940</v>
      </c>
      <c r="M393" s="2203"/>
      <c r="N393" s="9"/>
      <c r="O393" s="9"/>
      <c r="P393" s="9"/>
      <c r="Q393" s="38"/>
      <c r="S393" s="394"/>
      <c r="T393" s="1298" t="s">
        <v>13955</v>
      </c>
      <c r="U393" s="2203"/>
      <c r="V393" s="9"/>
      <c r="W393" s="9"/>
      <c r="X393" s="9"/>
      <c r="Y393" s="38"/>
      <c r="AZ393" s="3">
        <v>1</v>
      </c>
    </row>
    <row r="394" spans="3:52" ht="21" customHeight="1">
      <c r="C394" s="394"/>
      <c r="D394" s="1298" t="s">
        <v>8937</v>
      </c>
      <c r="E394" s="2203"/>
      <c r="F394" s="9"/>
      <c r="G394" s="9"/>
      <c r="H394" s="9"/>
      <c r="I394" s="38"/>
      <c r="K394" s="394"/>
      <c r="L394" s="1298" t="s">
        <v>13941</v>
      </c>
      <c r="M394" s="2203"/>
      <c r="N394" s="9"/>
      <c r="O394" s="9"/>
      <c r="P394" s="9"/>
      <c r="Q394" s="38"/>
      <c r="S394" s="394"/>
      <c r="T394" s="1298" t="s">
        <v>13956</v>
      </c>
      <c r="U394" s="2203"/>
      <c r="V394" s="9"/>
      <c r="W394" s="9"/>
      <c r="X394" s="9"/>
      <c r="Y394" s="38"/>
      <c r="AZ394" s="3">
        <v>1</v>
      </c>
    </row>
    <row r="395" spans="3:52" ht="21" customHeight="1">
      <c r="C395" s="394"/>
      <c r="D395" s="2207" t="s">
        <v>10</v>
      </c>
      <c r="E395" s="2208" t="s">
        <v>15</v>
      </c>
      <c r="F395" s="9"/>
      <c r="G395" s="9"/>
      <c r="H395" s="9"/>
      <c r="I395" s="38"/>
      <c r="K395" s="394"/>
      <c r="L395" s="2207" t="s">
        <v>10</v>
      </c>
      <c r="M395" s="2208" t="s">
        <v>15</v>
      </c>
      <c r="N395" s="9"/>
      <c r="O395" s="9"/>
      <c r="P395" s="9"/>
      <c r="Q395" s="38"/>
      <c r="S395" s="394"/>
      <c r="T395" s="2207" t="s">
        <v>10</v>
      </c>
      <c r="U395" s="2208" t="s">
        <v>15</v>
      </c>
      <c r="V395" s="9"/>
      <c r="W395" s="9"/>
      <c r="X395" s="9"/>
      <c r="Y395" s="38"/>
      <c r="AZ395" s="3">
        <v>1</v>
      </c>
    </row>
    <row r="396" spans="3:52" ht="21" customHeight="1">
      <c r="C396" s="394"/>
      <c r="D396" s="186"/>
      <c r="E396" s="186"/>
      <c r="F396" s="9"/>
      <c r="G396" s="9"/>
      <c r="H396" s="9"/>
      <c r="I396" s="38"/>
      <c r="K396" s="394"/>
      <c r="L396" s="186"/>
      <c r="M396" s="186"/>
      <c r="N396" s="9"/>
      <c r="O396" s="9"/>
      <c r="P396" s="9"/>
      <c r="Q396" s="38"/>
      <c r="S396" s="394"/>
      <c r="T396" s="186"/>
      <c r="U396" s="186"/>
      <c r="V396" s="9"/>
      <c r="W396" s="9"/>
      <c r="X396" s="9"/>
      <c r="Y396" s="38"/>
      <c r="AZ396" s="3">
        <v>1</v>
      </c>
    </row>
    <row r="397" spans="3:52" ht="21" customHeight="1">
      <c r="C397" s="2209"/>
      <c r="D397" s="437" t="s">
        <v>8938</v>
      </c>
      <c r="E397" s="437"/>
      <c r="F397" s="437"/>
      <c r="G397" s="9"/>
      <c r="H397" s="9"/>
      <c r="I397" s="38"/>
      <c r="K397" s="2209"/>
      <c r="L397" s="437" t="s">
        <v>13942</v>
      </c>
      <c r="M397" s="437"/>
      <c r="N397" s="437"/>
      <c r="O397" s="9"/>
      <c r="P397" s="9"/>
      <c r="Q397" s="38"/>
      <c r="S397" s="2209"/>
      <c r="T397" s="437" t="s">
        <v>13957</v>
      </c>
      <c r="U397" s="437"/>
      <c r="V397" s="437"/>
      <c r="W397" s="9"/>
      <c r="X397" s="9"/>
      <c r="Y397" s="38"/>
      <c r="AZ397" s="3">
        <v>1</v>
      </c>
    </row>
    <row r="398" spans="3:52" ht="21" customHeight="1">
      <c r="C398" s="2209"/>
      <c r="D398" s="437" t="s">
        <v>8939</v>
      </c>
      <c r="E398" s="437"/>
      <c r="F398" s="437"/>
      <c r="G398" s="9"/>
      <c r="H398" s="9"/>
      <c r="I398" s="38"/>
      <c r="K398" s="2209"/>
      <c r="L398" s="437" t="s">
        <v>13943</v>
      </c>
      <c r="M398" s="437"/>
      <c r="N398" s="437"/>
      <c r="O398" s="9"/>
      <c r="P398" s="9"/>
      <c r="Q398" s="38"/>
      <c r="S398" s="2209"/>
      <c r="T398" s="437" t="s">
        <v>13958</v>
      </c>
      <c r="U398" s="437"/>
      <c r="V398" s="437"/>
      <c r="W398" s="9"/>
      <c r="X398" s="9"/>
      <c r="Y398" s="38"/>
      <c r="AZ398" s="3">
        <v>1</v>
      </c>
    </row>
    <row r="399" spans="3:52" ht="21" customHeight="1">
      <c r="C399" s="157"/>
      <c r="D399" s="158"/>
      <c r="E399" s="159"/>
      <c r="F399" s="158"/>
      <c r="G399" s="158"/>
      <c r="H399" s="158"/>
      <c r="I399" s="160"/>
      <c r="K399" s="157"/>
      <c r="L399" s="158"/>
      <c r="M399" s="159"/>
      <c r="N399" s="158"/>
      <c r="O399" s="158"/>
      <c r="P399" s="158"/>
      <c r="Q399" s="160"/>
      <c r="S399" s="157"/>
      <c r="T399" s="158"/>
      <c r="U399" s="159"/>
      <c r="V399" s="158"/>
      <c r="W399" s="158"/>
      <c r="X399" s="158"/>
      <c r="Y399" s="160"/>
      <c r="AZ399" s="3">
        <v>1</v>
      </c>
    </row>
    <row r="400" spans="3:52" ht="21" customHeight="1">
      <c r="C400" s="394"/>
      <c r="D400" s="1994" t="s">
        <v>13761</v>
      </c>
      <c r="E400" s="186"/>
      <c r="F400" s="186"/>
      <c r="G400" s="186"/>
      <c r="H400" s="186"/>
      <c r="I400" s="191"/>
      <c r="K400" s="394"/>
      <c r="L400" s="630" t="s">
        <v>13769</v>
      </c>
      <c r="M400" s="630"/>
      <c r="N400" s="186"/>
      <c r="O400" s="186"/>
      <c r="P400" s="186"/>
      <c r="Q400" s="191"/>
      <c r="S400" s="394"/>
      <c r="T400" s="630" t="s">
        <v>13777</v>
      </c>
      <c r="U400" s="630"/>
      <c r="V400" s="186"/>
      <c r="W400" s="186"/>
      <c r="X400" s="186"/>
      <c r="Y400" s="191"/>
      <c r="AZ400" s="3">
        <v>1</v>
      </c>
    </row>
    <row r="401" spans="3:52" ht="21" customHeight="1">
      <c r="C401" s="394"/>
      <c r="D401" s="186" t="s">
        <v>13762</v>
      </c>
      <c r="E401" s="186"/>
      <c r="F401" s="186"/>
      <c r="G401" s="186"/>
      <c r="H401" s="186"/>
      <c r="I401" s="191"/>
      <c r="K401" s="394"/>
      <c r="L401" s="630" t="s">
        <v>13770</v>
      </c>
      <c r="M401" s="630"/>
      <c r="N401" s="186"/>
      <c r="O401" s="186"/>
      <c r="P401" s="186"/>
      <c r="Q401" s="191"/>
      <c r="S401" s="394"/>
      <c r="T401" s="630" t="s">
        <v>13778</v>
      </c>
      <c r="U401" s="630"/>
      <c r="V401" s="186"/>
      <c r="W401" s="186"/>
      <c r="X401" s="186"/>
      <c r="Y401" s="191"/>
      <c r="AZ401" s="3">
        <v>1</v>
      </c>
    </row>
    <row r="402" spans="3:52" ht="21" customHeight="1">
      <c r="C402" s="394"/>
      <c r="D402" s="186" t="s">
        <v>13763</v>
      </c>
      <c r="E402" s="186"/>
      <c r="F402" s="186"/>
      <c r="G402" s="186"/>
      <c r="H402" s="186"/>
      <c r="I402" s="191"/>
      <c r="K402" s="394"/>
      <c r="L402" s="630" t="s">
        <v>13771</v>
      </c>
      <c r="M402" s="630"/>
      <c r="N402" s="186"/>
      <c r="O402" s="186"/>
      <c r="P402" s="186"/>
      <c r="Q402" s="191"/>
      <c r="S402" s="394"/>
      <c r="T402" s="630" t="s">
        <v>13779</v>
      </c>
      <c r="U402" s="630"/>
      <c r="V402" s="186"/>
      <c r="W402" s="186"/>
      <c r="X402" s="186"/>
      <c r="Y402" s="191"/>
      <c r="AZ402" s="3">
        <v>1</v>
      </c>
    </row>
    <row r="403" spans="3:52" ht="21" customHeight="1">
      <c r="C403" s="394"/>
      <c r="D403" s="186" t="s">
        <v>13764</v>
      </c>
      <c r="E403" s="186"/>
      <c r="F403" s="186"/>
      <c r="G403" s="186"/>
      <c r="H403" s="186"/>
      <c r="I403" s="191"/>
      <c r="K403" s="394"/>
      <c r="L403" s="630" t="s">
        <v>13772</v>
      </c>
      <c r="M403" s="630"/>
      <c r="N403" s="186"/>
      <c r="O403" s="186"/>
      <c r="P403" s="186"/>
      <c r="Q403" s="191"/>
      <c r="S403" s="394"/>
      <c r="T403" s="630" t="s">
        <v>13780</v>
      </c>
      <c r="U403" s="630"/>
      <c r="V403" s="186"/>
      <c r="W403" s="186"/>
      <c r="X403" s="186"/>
      <c r="Y403" s="191"/>
      <c r="AZ403" s="3">
        <v>1</v>
      </c>
    </row>
    <row r="404" spans="3:52" ht="21" customHeight="1">
      <c r="C404" s="394"/>
      <c r="D404" s="186" t="s">
        <v>13765</v>
      </c>
      <c r="E404" s="186"/>
      <c r="F404" s="186"/>
      <c r="G404" s="186"/>
      <c r="H404" s="186"/>
      <c r="I404" s="191"/>
      <c r="K404" s="394"/>
      <c r="L404" s="630" t="s">
        <v>13773</v>
      </c>
      <c r="M404" s="630"/>
      <c r="N404" s="186"/>
      <c r="O404" s="186"/>
      <c r="P404" s="186"/>
      <c r="Q404" s="191"/>
      <c r="S404" s="394"/>
      <c r="T404" s="630" t="s">
        <v>13781</v>
      </c>
      <c r="U404" s="630"/>
      <c r="V404" s="186"/>
      <c r="W404" s="186"/>
      <c r="X404" s="186"/>
      <c r="Y404" s="191"/>
      <c r="AZ404" s="3">
        <v>1</v>
      </c>
    </row>
    <row r="405" spans="3:52" ht="21" customHeight="1">
      <c r="C405" s="394"/>
      <c r="D405" s="186" t="s">
        <v>13766</v>
      </c>
      <c r="E405" s="186"/>
      <c r="F405" s="186"/>
      <c r="G405" s="186"/>
      <c r="H405" s="186"/>
      <c r="I405" s="191"/>
      <c r="K405" s="394"/>
      <c r="L405" s="630" t="s">
        <v>13774</v>
      </c>
      <c r="M405" s="630"/>
      <c r="N405" s="186"/>
      <c r="O405" s="186"/>
      <c r="P405" s="186"/>
      <c r="Q405" s="191"/>
      <c r="S405" s="394"/>
      <c r="T405" s="630" t="s">
        <v>13782</v>
      </c>
      <c r="U405" s="630"/>
      <c r="V405" s="186"/>
      <c r="W405" s="186"/>
      <c r="X405" s="186"/>
      <c r="Y405" s="191"/>
      <c r="AZ405" s="3">
        <v>1</v>
      </c>
    </row>
    <row r="406" spans="3:52" ht="21" customHeight="1">
      <c r="C406" s="394"/>
      <c r="D406" s="186" t="s">
        <v>13767</v>
      </c>
      <c r="E406" s="186"/>
      <c r="F406" s="186"/>
      <c r="G406" s="186"/>
      <c r="H406" s="186"/>
      <c r="I406" s="191"/>
      <c r="K406" s="394"/>
      <c r="L406" s="630" t="s">
        <v>13775</v>
      </c>
      <c r="M406" s="630"/>
      <c r="N406" s="186"/>
      <c r="O406" s="186"/>
      <c r="P406" s="186"/>
      <c r="Q406" s="191"/>
      <c r="S406" s="394"/>
      <c r="T406" s="630" t="s">
        <v>13783</v>
      </c>
      <c r="U406" s="630"/>
      <c r="V406" s="186"/>
      <c r="W406" s="186"/>
      <c r="X406" s="186"/>
      <c r="Y406" s="191"/>
      <c r="AZ406" s="3">
        <v>1</v>
      </c>
    </row>
    <row r="407" spans="3:52" ht="21" customHeight="1">
      <c r="C407" s="394"/>
      <c r="D407" s="186" t="s">
        <v>13768</v>
      </c>
      <c r="E407" s="186"/>
      <c r="F407" s="186"/>
      <c r="G407" s="186"/>
      <c r="H407" s="186"/>
      <c r="I407" s="191"/>
      <c r="K407" s="394"/>
      <c r="L407" s="630" t="s">
        <v>13776</v>
      </c>
      <c r="M407" s="630"/>
      <c r="N407" s="186"/>
      <c r="O407" s="186"/>
      <c r="P407" s="186"/>
      <c r="Q407" s="191"/>
      <c r="S407" s="394"/>
      <c r="T407" s="630" t="s">
        <v>13784</v>
      </c>
      <c r="U407" s="630"/>
      <c r="V407" s="186"/>
      <c r="W407" s="186"/>
      <c r="X407" s="186"/>
      <c r="Y407" s="191"/>
      <c r="AZ407" s="3">
        <v>1</v>
      </c>
    </row>
    <row r="408" spans="3:52" ht="21" customHeight="1">
      <c r="C408" s="394"/>
      <c r="D408" s="5434" t="s">
        <v>8575</v>
      </c>
      <c r="E408" s="186"/>
      <c r="F408" s="186"/>
      <c r="G408" s="186"/>
      <c r="H408" s="186"/>
      <c r="I408" s="191"/>
      <c r="K408" s="394"/>
      <c r="L408" s="5430" t="s">
        <v>8575</v>
      </c>
      <c r="M408" s="630"/>
      <c r="N408" s="186"/>
      <c r="O408" s="186"/>
      <c r="P408" s="186"/>
      <c r="Q408" s="191"/>
      <c r="S408" s="394"/>
      <c r="T408" s="5490" t="s">
        <v>8575</v>
      </c>
      <c r="U408" s="630"/>
      <c r="V408" s="186"/>
      <c r="W408" s="186"/>
      <c r="X408" s="186"/>
      <c r="Y408" s="191"/>
      <c r="AZ408" s="3">
        <v>1</v>
      </c>
    </row>
    <row r="409" spans="3:52" ht="21" customHeight="1">
      <c r="C409" s="394"/>
      <c r="D409" s="1969" t="str">
        <f>ROWS(D409:D409)&amp;" ►"</f>
        <v>1 ►</v>
      </c>
      <c r="E409" s="186" t="str">
        <f ca="1">_xlfn.FORMULATEXT(D409)</f>
        <v>=LIGNES(D409:D409)&amp;" ►"</v>
      </c>
      <c r="F409" s="186"/>
      <c r="G409" s="186"/>
      <c r="H409" s="186"/>
      <c r="I409" s="191"/>
      <c r="K409" s="394"/>
      <c r="L409" s="1812" t="str">
        <f>ROWS(L409:L409)&amp;" ►"</f>
        <v>1 ►</v>
      </c>
      <c r="M409" s="630" t="str">
        <f ca="1">_xlfn.FORMULATEXT(L409)</f>
        <v>=LIGNES(L409:L409)&amp;" ►"</v>
      </c>
      <c r="N409" s="186"/>
      <c r="O409" s="186"/>
      <c r="P409" s="186"/>
      <c r="Q409" s="191"/>
      <c r="S409" s="394"/>
      <c r="T409" s="5491" t="str">
        <f>ROWS(T409:T409)&amp;" ►"</f>
        <v>1 ►</v>
      </c>
      <c r="U409" s="630" t="str">
        <f ca="1">_xlfn.FORMULATEXT(T409)</f>
        <v>=LIGNES(T409:T409)&amp;" ►"</v>
      </c>
      <c r="V409" s="186"/>
      <c r="W409" s="186"/>
      <c r="X409" s="186"/>
      <c r="Y409" s="191"/>
      <c r="AZ409" s="3">
        <v>1</v>
      </c>
    </row>
    <row r="410" spans="3:52" ht="21" customHeight="1">
      <c r="C410" s="394"/>
      <c r="D410" s="1969" t="str">
        <f>ROWS(D409:D410)&amp;" ►"</f>
        <v>2 ►</v>
      </c>
      <c r="E410" s="186" t="str">
        <f t="shared" ref="E410:E411" ca="1" si="10">_xlfn.FORMULATEXT(D410)</f>
        <v>=LIGNES(D409:D410)&amp;" ►"</v>
      </c>
      <c r="F410" s="186"/>
      <c r="G410" s="186"/>
      <c r="H410" s="186"/>
      <c r="I410" s="191"/>
      <c r="K410" s="394"/>
      <c r="L410" s="1813" t="str">
        <f>ROWS(L409:L410)&amp;" ►"</f>
        <v>2 ►</v>
      </c>
      <c r="M410" s="630" t="str">
        <f t="shared" ref="M410:M411" ca="1" si="11">_xlfn.FORMULATEXT(L410)</f>
        <v>=LIGNES(L409:L410)&amp;" ►"</v>
      </c>
      <c r="N410" s="186"/>
      <c r="O410" s="186"/>
      <c r="P410" s="186"/>
      <c r="Q410" s="191"/>
      <c r="S410" s="394"/>
      <c r="T410" s="1813" t="str">
        <f>ROWS(T409:T410)&amp;" ►"</f>
        <v>2 ►</v>
      </c>
      <c r="U410" s="630" t="str">
        <f t="shared" ref="U410:U411" ca="1" si="12">_xlfn.FORMULATEXT(T410)</f>
        <v>=LIGNES(T409:T410)&amp;" ►"</v>
      </c>
      <c r="V410" s="186"/>
      <c r="W410" s="186"/>
      <c r="X410" s="186"/>
      <c r="Y410" s="191"/>
      <c r="AZ410" s="3">
        <v>1</v>
      </c>
    </row>
    <row r="411" spans="3:52" ht="21" customHeight="1">
      <c r="C411" s="394"/>
      <c r="D411" s="1969" t="str">
        <f>ROWS(D409:D411)&amp;" ►"</f>
        <v>3 ►</v>
      </c>
      <c r="E411" s="186" t="str">
        <f t="shared" ca="1" si="10"/>
        <v>=LIGNES(D409:D411)&amp;" ►"</v>
      </c>
      <c r="F411" s="186"/>
      <c r="G411" s="186"/>
      <c r="H411" s="186"/>
      <c r="I411" s="191"/>
      <c r="K411" s="394"/>
      <c r="L411" s="1813" t="str">
        <f>ROWS(L409:L411)&amp;" ►"</f>
        <v>3 ►</v>
      </c>
      <c r="M411" s="630" t="str">
        <f t="shared" ca="1" si="11"/>
        <v>=LIGNES(L409:L411)&amp;" ►"</v>
      </c>
      <c r="N411" s="186"/>
      <c r="O411" s="186"/>
      <c r="P411" s="186"/>
      <c r="Q411" s="191"/>
      <c r="S411" s="394"/>
      <c r="T411" s="1813" t="str">
        <f>ROWS(T409:T411)&amp;" ►"</f>
        <v>3 ►</v>
      </c>
      <c r="U411" s="630" t="str">
        <f t="shared" ca="1" si="12"/>
        <v>=LIGNES(T409:T411)&amp;" ►"</v>
      </c>
      <c r="V411" s="186"/>
      <c r="W411" s="186"/>
      <c r="X411" s="186"/>
      <c r="Y411" s="191"/>
      <c r="AZ411" s="3">
        <v>1</v>
      </c>
    </row>
    <row r="412" spans="3:52" ht="21" customHeight="1">
      <c r="C412" s="394"/>
      <c r="D412" s="186"/>
      <c r="E412" s="186"/>
      <c r="F412" s="186"/>
      <c r="G412" s="186"/>
      <c r="H412" s="186"/>
      <c r="I412" s="191"/>
      <c r="K412" s="394"/>
      <c r="L412" s="186"/>
      <c r="M412" s="186"/>
      <c r="N412" s="186"/>
      <c r="O412" s="186"/>
      <c r="P412" s="186"/>
      <c r="Q412" s="191"/>
      <c r="S412" s="394"/>
      <c r="T412" s="186"/>
      <c r="U412" s="186"/>
      <c r="V412" s="186"/>
      <c r="W412" s="186"/>
      <c r="X412" s="186"/>
      <c r="Y412" s="191"/>
      <c r="AZ412" s="3">
        <v>1</v>
      </c>
    </row>
    <row r="413" spans="3:52" ht="21" customHeight="1" thickBot="1">
      <c r="C413" s="157"/>
      <c r="D413" s="158"/>
      <c r="E413" s="159"/>
      <c r="F413" s="158"/>
      <c r="G413" s="158"/>
      <c r="H413" s="158"/>
      <c r="I413" s="160"/>
      <c r="K413" s="157"/>
      <c r="L413" s="158"/>
      <c r="M413" s="159"/>
      <c r="N413" s="158"/>
      <c r="O413" s="158"/>
      <c r="P413" s="158"/>
      <c r="Q413" s="160"/>
      <c r="S413" s="157"/>
      <c r="T413" s="158"/>
      <c r="U413" s="159"/>
      <c r="V413" s="158"/>
      <c r="W413" s="158"/>
      <c r="X413" s="158"/>
      <c r="Y413" s="160"/>
      <c r="AZ413" s="3">
        <v>1</v>
      </c>
    </row>
    <row r="414" spans="3:52" ht="21" customHeight="1">
      <c r="C414" s="5435"/>
      <c r="D414" s="5436"/>
      <c r="E414" s="5436"/>
      <c r="F414" s="5436"/>
      <c r="G414" s="5436"/>
      <c r="H414" s="5436"/>
      <c r="I414" s="5437"/>
      <c r="K414" s="5435"/>
      <c r="L414" s="5436"/>
      <c r="M414" s="5436"/>
      <c r="N414" s="5436"/>
      <c r="O414" s="5436"/>
      <c r="P414" s="5436"/>
      <c r="Q414" s="5437"/>
      <c r="S414" s="5435"/>
      <c r="T414" s="5436"/>
      <c r="U414" s="5436"/>
      <c r="V414" s="5436"/>
      <c r="W414" s="5436"/>
      <c r="X414" s="5436"/>
      <c r="Y414" s="5437"/>
      <c r="AZ414" s="3">
        <v>1</v>
      </c>
    </row>
    <row r="415" spans="3:52" ht="21" customHeight="1">
      <c r="C415" s="5438" t="s">
        <v>792</v>
      </c>
      <c r="D415" s="186"/>
      <c r="E415" s="186"/>
      <c r="F415" s="186"/>
      <c r="G415" s="186"/>
      <c r="H415" s="186"/>
      <c r="I415" s="191"/>
      <c r="K415" s="5438" t="s">
        <v>792</v>
      </c>
      <c r="L415" s="186"/>
      <c r="M415" s="186"/>
      <c r="N415" s="186"/>
      <c r="O415" s="186"/>
      <c r="P415" s="186"/>
      <c r="Q415" s="191"/>
      <c r="S415" s="5438" t="s">
        <v>792</v>
      </c>
      <c r="T415" s="186"/>
      <c r="U415" s="186"/>
      <c r="V415" s="186"/>
      <c r="W415" s="186"/>
      <c r="X415" s="186"/>
      <c r="Y415" s="191"/>
      <c r="AZ415" s="3">
        <v>1</v>
      </c>
    </row>
    <row r="416" spans="3:52" ht="21" customHeight="1">
      <c r="C416" s="394"/>
      <c r="D416" s="186"/>
      <c r="E416" s="186"/>
      <c r="F416" s="186"/>
      <c r="G416" s="186"/>
      <c r="H416" s="186"/>
      <c r="I416" s="191"/>
      <c r="K416" s="394"/>
      <c r="L416" s="186"/>
      <c r="M416" s="186"/>
      <c r="N416" s="186"/>
      <c r="O416" s="186"/>
      <c r="P416" s="186"/>
      <c r="Q416" s="191"/>
      <c r="S416" s="394"/>
      <c r="T416" s="186"/>
      <c r="U416" s="186"/>
      <c r="V416" s="186"/>
      <c r="W416" s="186"/>
      <c r="X416" s="186"/>
      <c r="Y416" s="191"/>
      <c r="AZ416" s="3">
        <v>1</v>
      </c>
    </row>
    <row r="417" spans="3:52" ht="21" customHeight="1">
      <c r="C417" s="1722" t="str">
        <f>"▼ colonne "&amp;SUBSTITUTE(ADDRESS(1,COLUMN(),4),"1","")</f>
        <v>▼ colonne C</v>
      </c>
      <c r="D417" s="186"/>
      <c r="E417" s="186"/>
      <c r="F417" s="186"/>
      <c r="G417" s="186"/>
      <c r="H417" s="186"/>
      <c r="I417" s="191"/>
      <c r="K417" s="1722" t="str">
        <f>"▼ Column "&amp;SUBSTITUTE(ADDRESS(1,COLUMN(),4),"1","")</f>
        <v>▼ Column K</v>
      </c>
      <c r="L417" s="186"/>
      <c r="M417" s="186"/>
      <c r="N417" s="186"/>
      <c r="O417" s="186"/>
      <c r="P417" s="186"/>
      <c r="Q417" s="191"/>
      <c r="S417" s="1722" t="str">
        <f>"▼ Columna "&amp;SUBSTITUTE(ADDRESS(1,COLUMN(),4),"1","")</f>
        <v>▼ Columna S</v>
      </c>
      <c r="T417" s="186"/>
      <c r="U417" s="186"/>
      <c r="V417" s="186"/>
      <c r="W417" s="186"/>
      <c r="X417" s="186"/>
      <c r="Y417" s="191"/>
      <c r="AZ417" s="3">
        <v>1</v>
      </c>
    </row>
    <row r="418" spans="3:52" ht="21" customHeight="1">
      <c r="C418" s="1723" t="s">
        <v>838</v>
      </c>
      <c r="D418" s="1724"/>
      <c r="E418" s="1724"/>
      <c r="F418" s="1724"/>
      <c r="G418" s="1724"/>
      <c r="H418" s="1724"/>
      <c r="I418" s="1725"/>
      <c r="K418" s="1723" t="s">
        <v>838</v>
      </c>
      <c r="L418" s="1724"/>
      <c r="M418" s="1724"/>
      <c r="N418" s="1724"/>
      <c r="O418" s="1724"/>
      <c r="P418" s="1724"/>
      <c r="Q418" s="1725"/>
      <c r="S418" s="1723" t="s">
        <v>838</v>
      </c>
      <c r="T418" s="1724"/>
      <c r="U418" s="1724"/>
      <c r="V418" s="1724"/>
      <c r="W418" s="1724"/>
      <c r="X418" s="1724"/>
      <c r="Y418" s="1725"/>
      <c r="AZ418" s="3">
        <v>1</v>
      </c>
    </row>
    <row r="419" spans="3:52" ht="21" customHeight="1">
      <c r="C419" s="2219" t="str">
        <f>"cliquez sur la colonne "&amp;SUBSTITUTE(ADDRESS(1,COLUMN(),4),"1","")</f>
        <v>cliquez sur la colonne C</v>
      </c>
      <c r="D419" s="1727"/>
      <c r="E419" s="1727"/>
      <c r="F419" s="1727"/>
      <c r="G419" s="1727"/>
      <c r="H419" s="1724"/>
      <c r="I419" s="1725"/>
      <c r="K419" s="2219" t="str">
        <f>"Click on column "&amp;SUBSTITUTE(ADDRESS(1,COLUMN(),4),"1","")</f>
        <v>Click on column K</v>
      </c>
      <c r="L419" s="1727"/>
      <c r="M419" s="1727"/>
      <c r="N419" s="1727"/>
      <c r="O419" s="1727"/>
      <c r="P419" s="1724"/>
      <c r="Q419" s="1725"/>
      <c r="S419" s="2219" t="str">
        <f>"Haz clic en la columna "&amp;SUBSTITUTE(ADDRESS(1,COLUMN(),4),"1","")</f>
        <v>Haz clic en la columna S</v>
      </c>
      <c r="T419" s="1727"/>
      <c r="U419" s="1727"/>
      <c r="V419" s="1727"/>
      <c r="W419" s="1727"/>
      <c r="X419" s="1724"/>
      <c r="Y419" s="1725"/>
      <c r="AZ419" s="3">
        <v>1</v>
      </c>
    </row>
    <row r="420" spans="3:52" ht="21" customHeight="1">
      <c r="C420" s="2218" t="s">
        <v>14058</v>
      </c>
      <c r="D420" s="1727"/>
      <c r="E420" s="1727"/>
      <c r="F420" s="1727"/>
      <c r="G420" s="1727"/>
      <c r="H420" s="1724"/>
      <c r="I420" s="1725"/>
      <c r="K420" s="2218" t="s">
        <v>14054</v>
      </c>
      <c r="L420" s="1727"/>
      <c r="M420" s="1727"/>
      <c r="N420" s="1727"/>
      <c r="O420" s="1727"/>
      <c r="P420" s="1724"/>
      <c r="Q420" s="1725"/>
      <c r="S420" s="2218" t="s">
        <v>14056</v>
      </c>
      <c r="T420" s="1727"/>
      <c r="U420" s="1727"/>
      <c r="V420" s="1727"/>
      <c r="W420" s="1727"/>
      <c r="X420" s="1724"/>
      <c r="Y420" s="1725"/>
      <c r="AZ420" s="3">
        <v>1</v>
      </c>
    </row>
    <row r="421" spans="3:52" ht="21" customHeight="1">
      <c r="C421" s="1726" t="s">
        <v>14059</v>
      </c>
      <c r="D421" s="1727"/>
      <c r="E421" s="1727"/>
      <c r="F421" s="1727"/>
      <c r="G421" s="1727"/>
      <c r="H421" s="1724"/>
      <c r="I421" s="1725"/>
      <c r="K421" s="1726" t="s">
        <v>14055</v>
      </c>
      <c r="L421" s="1727"/>
      <c r="M421" s="1727"/>
      <c r="N421" s="1727"/>
      <c r="O421" s="1727"/>
      <c r="P421" s="1724"/>
      <c r="Q421" s="1725"/>
      <c r="S421" s="1726" t="s">
        <v>14057</v>
      </c>
      <c r="T421" s="1727"/>
      <c r="U421" s="1727"/>
      <c r="V421" s="1727"/>
      <c r="W421" s="1727"/>
      <c r="X421" s="1724"/>
      <c r="Y421" s="1725"/>
      <c r="AZ421" s="3">
        <v>1</v>
      </c>
    </row>
    <row r="422" spans="3:52" ht="21" customHeight="1">
      <c r="C422" s="1728" t="s">
        <v>839</v>
      </c>
      <c r="D422" s="1729"/>
      <c r="E422" s="1729"/>
      <c r="F422" s="1729"/>
      <c r="G422" s="1729"/>
      <c r="H422" s="1724"/>
      <c r="I422" s="1725"/>
      <c r="K422" s="1728" t="s">
        <v>839</v>
      </c>
      <c r="L422" s="1729"/>
      <c r="M422" s="1729"/>
      <c r="N422" s="1729"/>
      <c r="O422" s="1729"/>
      <c r="P422" s="1724"/>
      <c r="Q422" s="1725"/>
      <c r="S422" s="1728" t="s">
        <v>839</v>
      </c>
      <c r="T422" s="1729"/>
      <c r="U422" s="1729"/>
      <c r="V422" s="1729"/>
      <c r="W422" s="1729"/>
      <c r="X422" s="1724"/>
      <c r="Y422" s="1725"/>
      <c r="AZ422" s="3">
        <v>1</v>
      </c>
    </row>
    <row r="423" spans="3:52" ht="21" customHeight="1">
      <c r="C423" s="1730" t="s">
        <v>2532</v>
      </c>
      <c r="D423" s="1731"/>
      <c r="E423" s="1731"/>
      <c r="F423" s="1731"/>
      <c r="G423" s="1731"/>
      <c r="H423" s="1724"/>
      <c r="I423" s="1725"/>
      <c r="K423" s="1730" t="s">
        <v>2939</v>
      </c>
      <c r="L423" s="1731"/>
      <c r="M423" s="1731"/>
      <c r="N423" s="1731"/>
      <c r="O423" s="1731"/>
      <c r="P423" s="1724"/>
      <c r="Q423" s="1725"/>
      <c r="S423" s="1730" t="s">
        <v>2942</v>
      </c>
      <c r="T423" s="1731"/>
      <c r="U423" s="1731"/>
      <c r="V423" s="1731"/>
      <c r="W423" s="1731"/>
      <c r="X423" s="1724"/>
      <c r="Y423" s="1725"/>
      <c r="AZ423" s="3">
        <v>1</v>
      </c>
    </row>
    <row r="424" spans="3:52" ht="21" customHeight="1">
      <c r="C424" s="1730" t="s">
        <v>2534</v>
      </c>
      <c r="D424" s="1731"/>
      <c r="E424" s="1731"/>
      <c r="F424" s="1731"/>
      <c r="G424" s="1731"/>
      <c r="H424" s="1724"/>
      <c r="I424" s="1725"/>
      <c r="K424" s="1730" t="s">
        <v>2940</v>
      </c>
      <c r="L424" s="1731"/>
      <c r="M424" s="1731"/>
      <c r="N424" s="1731"/>
      <c r="O424" s="1731"/>
      <c r="P424" s="1724"/>
      <c r="Q424" s="1725"/>
      <c r="S424" s="1730" t="s">
        <v>2943</v>
      </c>
      <c r="T424" s="1731"/>
      <c r="U424" s="1731"/>
      <c r="V424" s="1731"/>
      <c r="W424" s="1731"/>
      <c r="X424" s="1724"/>
      <c r="Y424" s="1725"/>
      <c r="AZ424" s="3">
        <v>1</v>
      </c>
    </row>
    <row r="425" spans="3:52" ht="21" customHeight="1">
      <c r="C425" s="1728" t="s">
        <v>2536</v>
      </c>
      <c r="D425" s="1729"/>
      <c r="E425" s="1729"/>
      <c r="F425" s="1729"/>
      <c r="G425" s="1729"/>
      <c r="H425" s="1724"/>
      <c r="I425" s="1725"/>
      <c r="K425" s="1728" t="s">
        <v>2536</v>
      </c>
      <c r="L425" s="1729"/>
      <c r="M425" s="1729"/>
      <c r="N425" s="1729"/>
      <c r="O425" s="1729"/>
      <c r="P425" s="1724"/>
      <c r="Q425" s="1725"/>
      <c r="S425" s="1728" t="s">
        <v>2536</v>
      </c>
      <c r="T425" s="1729"/>
      <c r="U425" s="1729"/>
      <c r="V425" s="1729"/>
      <c r="W425" s="1729"/>
      <c r="X425" s="1724"/>
      <c r="Y425" s="1725"/>
      <c r="AZ425" s="3">
        <v>1</v>
      </c>
    </row>
    <row r="426" spans="3:52" ht="21" customHeight="1">
      <c r="C426" s="1728" t="s">
        <v>2537</v>
      </c>
      <c r="D426" s="1729"/>
      <c r="E426" s="1729"/>
      <c r="F426" s="1729"/>
      <c r="G426" s="1729"/>
      <c r="H426" s="1724"/>
      <c r="I426" s="1725"/>
      <c r="K426" s="1728" t="s">
        <v>2537</v>
      </c>
      <c r="L426" s="1729"/>
      <c r="M426" s="1729"/>
      <c r="N426" s="1729"/>
      <c r="O426" s="1729"/>
      <c r="P426" s="1724"/>
      <c r="Q426" s="1725"/>
      <c r="S426" s="1728" t="s">
        <v>2537</v>
      </c>
      <c r="T426" s="1729"/>
      <c r="U426" s="1729"/>
      <c r="V426" s="1729"/>
      <c r="W426" s="1729"/>
      <c r="X426" s="1724"/>
      <c r="Y426" s="1725"/>
      <c r="AZ426" s="3">
        <v>1</v>
      </c>
    </row>
    <row r="427" spans="3:52" ht="21" customHeight="1">
      <c r="C427" s="1732"/>
      <c r="D427" s="1733" t="s">
        <v>15</v>
      </c>
      <c r="E427" s="1733" t="s">
        <v>1755</v>
      </c>
      <c r="F427" s="1733" t="s">
        <v>1756</v>
      </c>
      <c r="G427" s="1733" t="s">
        <v>829</v>
      </c>
      <c r="H427" s="1724"/>
      <c r="I427" s="1725"/>
      <c r="K427" s="1732"/>
      <c r="L427" s="1733" t="s">
        <v>15</v>
      </c>
      <c r="M427" s="1733" t="s">
        <v>1755</v>
      </c>
      <c r="N427" s="1733" t="s">
        <v>1756</v>
      </c>
      <c r="O427" s="1733" t="s">
        <v>829</v>
      </c>
      <c r="P427" s="1724"/>
      <c r="Q427" s="1725"/>
      <c r="S427" s="1732"/>
      <c r="T427" s="1733" t="s">
        <v>15</v>
      </c>
      <c r="U427" s="1733" t="s">
        <v>1755</v>
      </c>
      <c r="V427" s="1733" t="s">
        <v>1756</v>
      </c>
      <c r="W427" s="1733" t="s">
        <v>829</v>
      </c>
      <c r="X427" s="1724"/>
      <c r="Y427" s="1725"/>
      <c r="AZ427" s="3">
        <v>1</v>
      </c>
    </row>
    <row r="428" spans="3:52" ht="21" customHeight="1">
      <c r="C428" s="620">
        <v>19</v>
      </c>
      <c r="D428" s="621">
        <v>18</v>
      </c>
      <c r="E428" s="621">
        <v>25</v>
      </c>
      <c r="F428" s="621">
        <v>16</v>
      </c>
      <c r="G428" s="621">
        <v>16</v>
      </c>
      <c r="H428" s="621">
        <v>31</v>
      </c>
      <c r="I428" s="622">
        <v>36</v>
      </c>
      <c r="K428" s="620">
        <v>19</v>
      </c>
      <c r="L428" s="621">
        <v>18</v>
      </c>
      <c r="M428" s="621">
        <v>25</v>
      </c>
      <c r="N428" s="621">
        <v>16</v>
      </c>
      <c r="O428" s="621">
        <v>16</v>
      </c>
      <c r="P428" s="621">
        <v>31</v>
      </c>
      <c r="Q428" s="622">
        <v>36</v>
      </c>
      <c r="S428" s="620">
        <v>19</v>
      </c>
      <c r="T428" s="621">
        <v>18</v>
      </c>
      <c r="U428" s="621">
        <v>25</v>
      </c>
      <c r="V428" s="621">
        <v>16</v>
      </c>
      <c r="W428" s="621">
        <v>16</v>
      </c>
      <c r="X428" s="621">
        <v>31</v>
      </c>
      <c r="Y428" s="622">
        <v>36</v>
      </c>
      <c r="AZ428" s="3">
        <v>1</v>
      </c>
    </row>
    <row r="429" spans="3:52" ht="21" customHeight="1" thickBot="1">
      <c r="C429" s="623">
        <f t="shared" ref="C429:Y429" ca="1" si="13">CELL("largeur",C429)</f>
        <v>19</v>
      </c>
      <c r="D429" s="624">
        <f t="shared" ca="1" si="13"/>
        <v>18</v>
      </c>
      <c r="E429" s="624">
        <f t="shared" ca="1" si="13"/>
        <v>25</v>
      </c>
      <c r="F429" s="624">
        <f t="shared" ca="1" si="13"/>
        <v>18</v>
      </c>
      <c r="G429" s="624">
        <f t="shared" ca="1" si="13"/>
        <v>16</v>
      </c>
      <c r="H429" s="624">
        <f t="shared" ca="1" si="13"/>
        <v>31</v>
      </c>
      <c r="I429" s="625">
        <f t="shared" ca="1" si="13"/>
        <v>46</v>
      </c>
      <c r="K429" s="623">
        <f t="shared" ca="1" si="13"/>
        <v>19</v>
      </c>
      <c r="L429" s="624">
        <f t="shared" ca="1" si="13"/>
        <v>18</v>
      </c>
      <c r="M429" s="624">
        <f t="shared" ca="1" si="13"/>
        <v>25</v>
      </c>
      <c r="N429" s="624">
        <f t="shared" ca="1" si="13"/>
        <v>18</v>
      </c>
      <c r="O429" s="624">
        <f t="shared" ca="1" si="13"/>
        <v>16</v>
      </c>
      <c r="P429" s="624">
        <f t="shared" ca="1" si="13"/>
        <v>31</v>
      </c>
      <c r="Q429" s="625">
        <f t="shared" ca="1" si="13"/>
        <v>46</v>
      </c>
      <c r="S429" s="623">
        <f t="shared" ca="1" si="13"/>
        <v>19</v>
      </c>
      <c r="T429" s="624">
        <f t="shared" ca="1" si="13"/>
        <v>18</v>
      </c>
      <c r="U429" s="624">
        <f t="shared" ca="1" si="13"/>
        <v>25</v>
      </c>
      <c r="V429" s="624">
        <f t="shared" ca="1" si="13"/>
        <v>18</v>
      </c>
      <c r="W429" s="624">
        <f t="shared" ca="1" si="13"/>
        <v>16</v>
      </c>
      <c r="X429" s="624">
        <f t="shared" ca="1" si="13"/>
        <v>31</v>
      </c>
      <c r="Y429" s="625">
        <f t="shared" ca="1" si="13"/>
        <v>46</v>
      </c>
      <c r="AZ429" s="3">
        <v>1</v>
      </c>
    </row>
    <row r="430" spans="3:52">
      <c r="AZ430" s="3">
        <v>1</v>
      </c>
    </row>
    <row r="431" spans="3:52" ht="21">
      <c r="D431" s="9"/>
      <c r="E431" s="2086" t="s">
        <v>14136</v>
      </c>
      <c r="F431" s="5551"/>
      <c r="AZ431" s="3">
        <v>1</v>
      </c>
    </row>
    <row r="432" spans="3:52" ht="21">
      <c r="D432" s="886" t="s">
        <v>200</v>
      </c>
      <c r="E432" s="5552" t="s">
        <v>14137</v>
      </c>
      <c r="F432" s="1044"/>
      <c r="AZ432" s="3">
        <v>1</v>
      </c>
    </row>
    <row r="433" spans="1:52" ht="15.75">
      <c r="D433" s="886" t="s">
        <v>200</v>
      </c>
      <c r="E433" s="5552" t="s">
        <v>14138</v>
      </c>
      <c r="F433" s="227"/>
      <c r="AZ433" s="3">
        <v>1</v>
      </c>
    </row>
    <row r="434" spans="1:52" ht="15.75">
      <c r="D434" s="886" t="s">
        <v>200</v>
      </c>
      <c r="E434" s="5552" t="s">
        <v>14139</v>
      </c>
      <c r="F434" s="696"/>
      <c r="AZ434" s="3">
        <v>1</v>
      </c>
    </row>
    <row r="435" spans="1:52" ht="15.75">
      <c r="D435" s="886" t="s">
        <v>200</v>
      </c>
      <c r="E435" s="5552" t="s">
        <v>14140</v>
      </c>
      <c r="F435" s="2086"/>
      <c r="AZ435" s="3">
        <v>1</v>
      </c>
    </row>
    <row r="436" spans="1:52" ht="15.75">
      <c r="D436" s="886" t="s">
        <v>200</v>
      </c>
      <c r="E436" s="5552" t="s">
        <v>14141</v>
      </c>
      <c r="F436" s="227"/>
      <c r="AZ436" s="3">
        <v>1</v>
      </c>
    </row>
    <row r="437" spans="1:52" ht="15.75">
      <c r="D437" s="696"/>
      <c r="E437" s="5553"/>
      <c r="F437" s="5554"/>
      <c r="AZ437" s="3">
        <v>1</v>
      </c>
    </row>
    <row r="438" spans="1:52" ht="15.75">
      <c r="D438" s="886" t="s">
        <v>200</v>
      </c>
      <c r="E438" s="666" t="s">
        <v>14142</v>
      </c>
      <c r="F438" s="5555" t="s">
        <v>14143</v>
      </c>
      <c r="AZ438" s="3">
        <v>1</v>
      </c>
    </row>
    <row r="439" spans="1:52" ht="15.75">
      <c r="D439" s="886" t="s">
        <v>200</v>
      </c>
      <c r="E439" s="666" t="s">
        <v>14144</v>
      </c>
      <c r="F439" s="5555" t="s">
        <v>14145</v>
      </c>
      <c r="AZ439" s="3">
        <v>1</v>
      </c>
    </row>
    <row r="440" spans="1:52" ht="21" customHeight="1">
      <c r="AZ440" s="3">
        <v>1</v>
      </c>
    </row>
    <row r="441" spans="1:52">
      <c r="AZ441" s="1148" t="s">
        <v>793</v>
      </c>
    </row>
    <row r="442" spans="1:52">
      <c r="A442" s="3">
        <v>1</v>
      </c>
      <c r="B442" s="3">
        <v>1</v>
      </c>
      <c r="C442" s="3">
        <v>1</v>
      </c>
      <c r="D442" s="3">
        <v>1</v>
      </c>
      <c r="E442" s="3">
        <v>1</v>
      </c>
      <c r="F442" s="3">
        <v>1</v>
      </c>
      <c r="G442" s="3">
        <v>1</v>
      </c>
      <c r="H442" s="3">
        <v>1</v>
      </c>
      <c r="I442" s="3">
        <v>1</v>
      </c>
      <c r="J442" s="3">
        <v>1</v>
      </c>
      <c r="K442" s="3">
        <v>1</v>
      </c>
      <c r="L442" s="3">
        <v>1</v>
      </c>
      <c r="M442" s="3">
        <v>1</v>
      </c>
      <c r="N442" s="3">
        <v>1</v>
      </c>
      <c r="O442" s="3">
        <v>1</v>
      </c>
      <c r="P442" s="3">
        <v>1</v>
      </c>
      <c r="Q442" s="3">
        <v>1</v>
      </c>
      <c r="R442" s="3">
        <v>1</v>
      </c>
      <c r="S442" s="3">
        <v>1</v>
      </c>
      <c r="T442" s="3">
        <v>1</v>
      </c>
      <c r="U442" s="3">
        <v>1</v>
      </c>
      <c r="V442" s="3">
        <v>1</v>
      </c>
      <c r="W442" s="3">
        <v>1</v>
      </c>
      <c r="X442" s="3">
        <v>1</v>
      </c>
      <c r="Y442" s="3">
        <v>1</v>
      </c>
      <c r="Z442" s="3">
        <v>1</v>
      </c>
      <c r="AA442" s="3">
        <v>1</v>
      </c>
      <c r="AB442" s="3">
        <v>1</v>
      </c>
      <c r="AC442" s="3">
        <v>1</v>
      </c>
      <c r="AD442" s="3">
        <v>1</v>
      </c>
      <c r="AE442" s="3">
        <v>1</v>
      </c>
      <c r="AF442" s="3">
        <v>1</v>
      </c>
      <c r="AG442" s="3">
        <v>1</v>
      </c>
      <c r="AH442" s="3">
        <v>1</v>
      </c>
      <c r="AI442" s="3">
        <v>1</v>
      </c>
      <c r="AJ442" s="3">
        <v>1</v>
      </c>
      <c r="AK442" s="3">
        <v>1</v>
      </c>
      <c r="AL442" s="3">
        <v>1</v>
      </c>
      <c r="AM442" s="3">
        <v>1</v>
      </c>
      <c r="AN442" s="3">
        <v>1</v>
      </c>
      <c r="AO442" s="3">
        <v>1</v>
      </c>
      <c r="AP442" s="3">
        <v>1</v>
      </c>
      <c r="AQ442" s="3">
        <v>1</v>
      </c>
      <c r="AR442" s="3">
        <v>1</v>
      </c>
      <c r="AS442" s="3">
        <v>1</v>
      </c>
      <c r="AT442" s="3">
        <v>1</v>
      </c>
      <c r="AU442" s="3">
        <v>1</v>
      </c>
      <c r="AV442" s="3">
        <v>1</v>
      </c>
      <c r="AW442" s="3">
        <v>1</v>
      </c>
      <c r="AX442" s="3">
        <v>1</v>
      </c>
      <c r="AY442" s="3">
        <v>1</v>
      </c>
      <c r="AZ442" s="1" t="str">
        <f>ADDRESS(ROW(),COLUMN(),4)</f>
        <v>AZ442</v>
      </c>
    </row>
  </sheetData>
  <mergeCells count="147">
    <mergeCell ref="L363:L374"/>
    <mergeCell ref="M366:N367"/>
    <mergeCell ref="V304:W304"/>
    <mergeCell ref="T363:T374"/>
    <mergeCell ref="U366:V367"/>
    <mergeCell ref="S237:Y238"/>
    <mergeCell ref="V246:V247"/>
    <mergeCell ref="T271:T278"/>
    <mergeCell ref="U271:U277"/>
    <mergeCell ref="V271:V277"/>
    <mergeCell ref="W271:W278"/>
    <mergeCell ref="S281:Y282"/>
    <mergeCell ref="T303:W303"/>
    <mergeCell ref="V305:W305"/>
    <mergeCell ref="N305:O305"/>
    <mergeCell ref="L306:M306"/>
    <mergeCell ref="L309:O310"/>
    <mergeCell ref="N304:O304"/>
    <mergeCell ref="K281:Q282"/>
    <mergeCell ref="L303:O303"/>
    <mergeCell ref="X102:X103"/>
    <mergeCell ref="W110:Y112"/>
    <mergeCell ref="T118:V119"/>
    <mergeCell ref="W118:W119"/>
    <mergeCell ref="X118:Y119"/>
    <mergeCell ref="V129:V130"/>
    <mergeCell ref="W129:W130"/>
    <mergeCell ref="S7:Y9"/>
    <mergeCell ref="Y50:Y52"/>
    <mergeCell ref="T52:W53"/>
    <mergeCell ref="T61:T66"/>
    <mergeCell ref="S76:S79"/>
    <mergeCell ref="T76:Y77"/>
    <mergeCell ref="V97:V98"/>
    <mergeCell ref="W97:W98"/>
    <mergeCell ref="X97:X98"/>
    <mergeCell ref="V143:W143"/>
    <mergeCell ref="S158:S165"/>
    <mergeCell ref="L271:L278"/>
    <mergeCell ref="M271:M277"/>
    <mergeCell ref="N271:N277"/>
    <mergeCell ref="O271:O278"/>
    <mergeCell ref="U102:U103"/>
    <mergeCell ref="V102:V103"/>
    <mergeCell ref="W102:W103"/>
    <mergeCell ref="D363:D374"/>
    <mergeCell ref="E366:F367"/>
    <mergeCell ref="K7:Q9"/>
    <mergeCell ref="Q50:Q52"/>
    <mergeCell ref="L52:O53"/>
    <mergeCell ref="L61:L66"/>
    <mergeCell ref="K76:K79"/>
    <mergeCell ref="L76:Q77"/>
    <mergeCell ref="N97:N98"/>
    <mergeCell ref="O97:O98"/>
    <mergeCell ref="P97:P98"/>
    <mergeCell ref="M102:M103"/>
    <mergeCell ref="N102:N103"/>
    <mergeCell ref="O102:O103"/>
    <mergeCell ref="P102:P103"/>
    <mergeCell ref="O110:Q112"/>
    <mergeCell ref="L118:N119"/>
    <mergeCell ref="O118:O119"/>
    <mergeCell ref="P118:Q119"/>
    <mergeCell ref="N129:N130"/>
    <mergeCell ref="O129:O130"/>
    <mergeCell ref="L143:M143"/>
    <mergeCell ref="N143:O143"/>
    <mergeCell ref="K158:K165"/>
    <mergeCell ref="C158:C165"/>
    <mergeCell ref="D271:D278"/>
    <mergeCell ref="E271:E277"/>
    <mergeCell ref="F271:F277"/>
    <mergeCell ref="G271:G278"/>
    <mergeCell ref="C281:I282"/>
    <mergeCell ref="D303:G303"/>
    <mergeCell ref="F305:G305"/>
    <mergeCell ref="D306:E306"/>
    <mergeCell ref="C7:I9"/>
    <mergeCell ref="I50:I52"/>
    <mergeCell ref="D52:G53"/>
    <mergeCell ref="D61:D66"/>
    <mergeCell ref="C76:C79"/>
    <mergeCell ref="D76:I77"/>
    <mergeCell ref="F97:F98"/>
    <mergeCell ref="H97:H98"/>
    <mergeCell ref="E102:E103"/>
    <mergeCell ref="F102:F103"/>
    <mergeCell ref="G102:G103"/>
    <mergeCell ref="H102:H103"/>
    <mergeCell ref="H32:I33"/>
    <mergeCell ref="H34:I35"/>
    <mergeCell ref="D313:G314"/>
    <mergeCell ref="L313:O314"/>
    <mergeCell ref="T306:U306"/>
    <mergeCell ref="T309:W310"/>
    <mergeCell ref="T313:W314"/>
    <mergeCell ref="C223:I225"/>
    <mergeCell ref="C228:C234"/>
    <mergeCell ref="C237:I238"/>
    <mergeCell ref="F246:F247"/>
    <mergeCell ref="K223:Q225"/>
    <mergeCell ref="K228:K234"/>
    <mergeCell ref="K237:Q238"/>
    <mergeCell ref="N246:N247"/>
    <mergeCell ref="S223:Y225"/>
    <mergeCell ref="S228:S234"/>
    <mergeCell ref="D309:G310"/>
    <mergeCell ref="AA6:AG8"/>
    <mergeCell ref="AI6:AO8"/>
    <mergeCell ref="AQ6:AW8"/>
    <mergeCell ref="AA9:AG9"/>
    <mergeCell ref="AI9:AO9"/>
    <mergeCell ref="AQ9:AW9"/>
    <mergeCell ref="AA37:AG39"/>
    <mergeCell ref="AI37:AO39"/>
    <mergeCell ref="AQ37:AW39"/>
    <mergeCell ref="AA10:AG11"/>
    <mergeCell ref="AI10:AO11"/>
    <mergeCell ref="AQ10:AW11"/>
    <mergeCell ref="AA12:AG12"/>
    <mergeCell ref="AI12:AO12"/>
    <mergeCell ref="AQ12:AW12"/>
    <mergeCell ref="P32:Q33"/>
    <mergeCell ref="P34:Q35"/>
    <mergeCell ref="X32:Y33"/>
    <mergeCell ref="X34:Y35"/>
    <mergeCell ref="AI49:AO50"/>
    <mergeCell ref="AQ49:AW50"/>
    <mergeCell ref="D216:I216"/>
    <mergeCell ref="L216:Q216"/>
    <mergeCell ref="T216:Y216"/>
    <mergeCell ref="G97:G98"/>
    <mergeCell ref="AA49:AG50"/>
    <mergeCell ref="AA70:AG71"/>
    <mergeCell ref="AI70:AO71"/>
    <mergeCell ref="AQ70:AW71"/>
    <mergeCell ref="AQ75:AW76"/>
    <mergeCell ref="G110:I112"/>
    <mergeCell ref="D118:F119"/>
    <mergeCell ref="G118:G119"/>
    <mergeCell ref="H118:I119"/>
    <mergeCell ref="F129:F130"/>
    <mergeCell ref="G129:G130"/>
    <mergeCell ref="D143:E143"/>
    <mergeCell ref="F143:G143"/>
    <mergeCell ref="T143:U143"/>
  </mergeCells>
  <conditionalFormatting sqref="D158:D159">
    <cfRule type="cellIs" dxfId="69" priority="10" operator="notEqual">
      <formula>1</formula>
    </cfRule>
  </conditionalFormatting>
  <conditionalFormatting sqref="H99:H100">
    <cfRule type="cellIs" dxfId="68" priority="9" operator="notEqual">
      <formula>1</formula>
    </cfRule>
  </conditionalFormatting>
  <conditionalFormatting sqref="L158:L159">
    <cfRule type="cellIs" dxfId="67" priority="3" operator="notEqual">
      <formula>1</formula>
    </cfRule>
  </conditionalFormatting>
  <conditionalFormatting sqref="P99:P100">
    <cfRule type="cellIs" dxfId="66" priority="4" operator="notEqual">
      <formula>1</formula>
    </cfRule>
  </conditionalFormatting>
  <conditionalFormatting sqref="T158:T159">
    <cfRule type="cellIs" dxfId="65" priority="1" operator="notEqual">
      <formula>1</formula>
    </cfRule>
  </conditionalFormatting>
  <conditionalFormatting sqref="X99:X100">
    <cfRule type="cellIs" dxfId="64" priority="2" operator="notEqual">
      <formula>1</formula>
    </cfRule>
  </conditionalFormatting>
  <hyperlinks>
    <hyperlink ref="G279" r:id="rId1" xr:uid="{7D25CA83-9B00-47A8-AE4A-AB6510148DC6}"/>
    <hyperlink ref="D378" r:id="rId2" xr:uid="{6EA42C20-687F-4509-B801-C292B9E4E60B}"/>
    <hyperlink ref="O279" r:id="rId3" xr:uid="{95E723C9-12EB-4356-B644-E6B1C565C4DF}"/>
    <hyperlink ref="L378" r:id="rId4" xr:uid="{33B6AE29-4691-4DF3-A9BB-94C091E6BF3F}"/>
    <hyperlink ref="W279" r:id="rId5" xr:uid="{2800A57A-05B9-4781-9A64-7AD8EE1961CB}"/>
    <hyperlink ref="T378" r:id="rId6" xr:uid="{7DE849A2-FB69-4CC2-9253-733DD67582B5}"/>
    <hyperlink ref="E436" r:id="rId7" xr:uid="{270504A4-51A6-487A-A8C9-FE494B350D2B}"/>
    <hyperlink ref="F438" r:id="rId8" xr:uid="{588E00D0-B5F1-4F6A-AA34-DBFD3120548C}"/>
    <hyperlink ref="E432" r:id="rId9" xr:uid="{F7E39C60-019A-42B2-9364-361971963B3E}"/>
    <hyperlink ref="E433" r:id="rId10" xr:uid="{3A039288-8FBE-4109-A481-2C7BF635B78B}"/>
    <hyperlink ref="E434" r:id="rId11" xr:uid="{FE04CE51-0DF6-4A1A-B099-F6524BB06DD8}"/>
    <hyperlink ref="E435" r:id="rId12" xr:uid="{458D3F66-23DA-43C4-A36F-B6F4BAF7EA6D}"/>
    <hyperlink ref="F439" r:id="rId13" xr:uid="{0A9E51A8-07BD-4FA4-BB05-F2E18A3397FC}"/>
  </hyperlinks>
  <pageMargins left="0.7" right="0.7" top="0.75" bottom="0.75" header="0.3" footer="0.3"/>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02AE3-25A0-4787-83B3-1E5FE082AEBC}">
  <dimension ref="A1:DL193"/>
  <sheetViews>
    <sheetView workbookViewId="0">
      <selection activeCell="N17" sqref="N17"/>
    </sheetView>
  </sheetViews>
  <sheetFormatPr baseColWidth="10" defaultColWidth="11.5703125" defaultRowHeight="15"/>
  <cols>
    <col min="1" max="1" width="6.7109375" customWidth="1"/>
    <col min="2" max="3" width="13.7109375" style="633" customWidth="1"/>
    <col min="4" max="4" width="2.140625" style="633" customWidth="1"/>
    <col min="5" max="6" width="13.7109375" style="633" customWidth="1"/>
    <col min="7" max="7" width="2.140625" style="633" customWidth="1"/>
    <col min="8" max="9" width="13.7109375" style="633" customWidth="1"/>
    <col min="10" max="10" width="2.140625" style="633" customWidth="1"/>
    <col min="11" max="12" width="13.7109375" style="633" customWidth="1"/>
    <col min="13" max="13" width="2.140625" style="633" customWidth="1"/>
    <col min="14" max="15" width="13.7109375" style="633" customWidth="1"/>
    <col min="16" max="16" width="2.140625" style="633" customWidth="1"/>
    <col min="17" max="18" width="13.7109375" style="633" customWidth="1"/>
    <col min="19" max="19" width="2.140625" style="633" customWidth="1"/>
    <col min="20" max="21" width="13.7109375" style="633" customWidth="1"/>
    <col min="22" max="22" width="2.140625" style="633" customWidth="1"/>
    <col min="23" max="24" width="13.7109375" style="633" customWidth="1"/>
    <col min="25" max="25" width="2.140625" style="633" customWidth="1"/>
    <col min="26" max="27" width="13.7109375" style="633" customWidth="1"/>
    <col min="28" max="28" width="4.85546875" style="227" customWidth="1"/>
    <col min="29" max="30" width="13.7109375" style="633" customWidth="1"/>
    <col min="31" max="31" width="4.85546875" style="227" customWidth="1"/>
    <col min="32" max="33" width="13.7109375" style="633" customWidth="1"/>
    <col min="34" max="34" width="4.85546875" style="227" customWidth="1"/>
    <col min="35" max="35" width="11.7109375" style="633" customWidth="1"/>
    <col min="36" max="36" width="12.7109375" style="633" customWidth="1"/>
    <col min="37" max="37" width="4.5703125" style="633" customWidth="1"/>
    <col min="38" max="38" width="11.7109375" style="633" customWidth="1"/>
    <col min="39" max="39" width="12.5703125" style="633" customWidth="1"/>
    <col min="40" max="40" width="2.140625" style="633" customWidth="1"/>
    <col min="41" max="42" width="12.7109375" style="633" customWidth="1"/>
    <col min="43" max="43" width="14.28515625" style="633" customWidth="1"/>
    <col min="44" max="45" width="13.7109375" customWidth="1"/>
    <col min="46" max="46" width="4.42578125" customWidth="1"/>
    <col min="47" max="48" width="13.7109375" customWidth="1"/>
    <col min="49" max="49" width="4.42578125" customWidth="1"/>
    <col min="50" max="51" width="13.7109375" customWidth="1"/>
    <col min="52" max="52" width="4.42578125" customWidth="1"/>
    <col min="53" max="54" width="13.7109375" customWidth="1"/>
    <col min="55" max="55" width="4.42578125" customWidth="1"/>
    <col min="56" max="57" width="13.7109375" customWidth="1"/>
    <col min="58" max="58" width="4.42578125" customWidth="1"/>
    <col min="59" max="60" width="13.7109375" customWidth="1"/>
    <col min="61" max="61" width="4.42578125" customWidth="1"/>
    <col min="62" max="63" width="13.7109375" customWidth="1"/>
    <col min="64" max="64" width="4.42578125" customWidth="1"/>
    <col min="65" max="66" width="13.7109375" customWidth="1"/>
    <col min="67" max="67" width="4.42578125" customWidth="1"/>
    <col min="68" max="69" width="13.7109375" customWidth="1"/>
    <col min="70" max="70" width="4.42578125" customWidth="1"/>
    <col min="71" max="72" width="13.7109375" customWidth="1"/>
    <col min="73" max="73" width="4.42578125" customWidth="1"/>
    <col min="74" max="76" width="13.7109375" customWidth="1"/>
    <col min="77" max="77" width="33" customWidth="1"/>
    <col min="78" max="80" width="13.7109375" customWidth="1"/>
    <col min="81" max="81" width="4.42578125" customWidth="1"/>
    <col min="82" max="83" width="13.7109375" customWidth="1"/>
    <col min="84" max="84" width="4.42578125" customWidth="1"/>
    <col min="85" max="86" width="13.7109375" customWidth="1"/>
    <col min="87" max="87" width="4.42578125" customWidth="1"/>
    <col min="88" max="89" width="13.7109375" customWidth="1"/>
    <col min="90" max="90" width="4.42578125" customWidth="1"/>
    <col min="91" max="92" width="13.7109375" customWidth="1"/>
    <col min="93" max="93" width="4.42578125" customWidth="1"/>
    <col min="94" max="95" width="13.7109375" customWidth="1"/>
    <col min="96" max="96" width="4.42578125" customWidth="1"/>
    <col min="97" max="98" width="13.7109375" customWidth="1"/>
    <col min="99" max="99" width="4.42578125" customWidth="1"/>
    <col min="100" max="101" width="13.7109375" customWidth="1"/>
    <col min="102" max="102" width="4.42578125" customWidth="1"/>
    <col min="103" max="104" width="13.7109375" customWidth="1"/>
    <col min="105" max="105" width="4.42578125" customWidth="1"/>
    <col min="106" max="107" width="13.7109375" customWidth="1"/>
    <col min="108" max="108" width="4.42578125" customWidth="1"/>
    <col min="109" max="110" width="13.7109375" customWidth="1"/>
    <col min="111" max="111" width="4.42578125" customWidth="1"/>
    <col min="112" max="112" width="32" customWidth="1"/>
    <col min="113" max="113" width="17.5703125" customWidth="1"/>
    <col min="114" max="114" width="8.7109375" style="633" customWidth="1"/>
    <col min="115" max="115" width="11.5703125" style="627"/>
    <col min="116" max="116" width="43.5703125" style="627" customWidth="1"/>
  </cols>
  <sheetData>
    <row r="1" spans="1:116" ht="21" customHeight="1">
      <c r="A1" s="1" t="str">
        <f>ADDRESS(ROW(),COLUMN(),4)</f>
        <v>A1</v>
      </c>
      <c r="B1" s="657" t="str">
        <f t="shared" ref="B1:C1" si="0">SUBSTITUTE(ADDRESS(1,COLUMN(),4),"1","")</f>
        <v>B</v>
      </c>
      <c r="C1" s="657" t="str">
        <f t="shared" si="0"/>
        <v>C</v>
      </c>
      <c r="E1" s="657" t="str">
        <f>SUBSTITUTE(ADDRESS(1,COLUMN(),4),"1","")</f>
        <v>E</v>
      </c>
      <c r="F1" s="657" t="str">
        <f>SUBSTITUTE(ADDRESS(1,COLUMN(),4),"1","")</f>
        <v>F</v>
      </c>
      <c r="H1" s="657" t="str">
        <f>SUBSTITUTE(ADDRESS(1,COLUMN(),4),"1","")</f>
        <v>H</v>
      </c>
      <c r="I1" s="657" t="str">
        <f>SUBSTITUTE(ADDRESS(1,COLUMN(),4),"1","")</f>
        <v>I</v>
      </c>
      <c r="K1" s="657" t="str">
        <f>SUBSTITUTE(ADDRESS(1,COLUMN(),4),"1","")</f>
        <v>K</v>
      </c>
      <c r="L1" s="657" t="str">
        <f>SUBSTITUTE(ADDRESS(1,COLUMN(),4),"1","")</f>
        <v>L</v>
      </c>
      <c r="N1" s="657" t="str">
        <f>SUBSTITUTE(ADDRESS(1,COLUMN(),4),"1","")</f>
        <v>N</v>
      </c>
      <c r="O1" s="657" t="str">
        <f>SUBSTITUTE(ADDRESS(1,COLUMN(),4),"1","")</f>
        <v>O</v>
      </c>
      <c r="Q1" s="657" t="str">
        <f>SUBSTITUTE(ADDRESS(1,COLUMN(),4),"1","")</f>
        <v>Q</v>
      </c>
      <c r="R1" s="657" t="str">
        <f>SUBSTITUTE(ADDRESS(1,COLUMN(),4),"1","")</f>
        <v>R</v>
      </c>
      <c r="T1" s="657" t="str">
        <f>SUBSTITUTE(ADDRESS(1,COLUMN(),4),"1","")</f>
        <v>T</v>
      </c>
      <c r="U1" s="657" t="str">
        <f>SUBSTITUTE(ADDRESS(1,COLUMN(),4),"1","")</f>
        <v>U</v>
      </c>
      <c r="W1" s="657" t="str">
        <f>SUBSTITUTE(ADDRESS(1,COLUMN(),4),"1","")</f>
        <v>W</v>
      </c>
      <c r="X1" s="657" t="str">
        <f>SUBSTITUTE(ADDRESS(1,COLUMN(),4),"1","")</f>
        <v>X</v>
      </c>
      <c r="Z1" s="657" t="str">
        <f>SUBSTITUTE(ADDRESS(1,COLUMN(),4),"1","")</f>
        <v>Z</v>
      </c>
      <c r="AA1" s="657" t="str">
        <f>SUBSTITUTE(ADDRESS(1,COLUMN(),4),"1","")</f>
        <v>AA</v>
      </c>
      <c r="AC1" s="657" t="str">
        <f>SUBSTITUTE(ADDRESS(1,COLUMN(),4),"1","")</f>
        <v>AC</v>
      </c>
      <c r="AD1" s="657" t="str">
        <f>SUBSTITUTE(ADDRESS(1,COLUMN(),4),"1","")</f>
        <v>AD</v>
      </c>
      <c r="AF1" s="657" t="str">
        <f>SUBSTITUTE(ADDRESS(1,COLUMN(),4),"1","")</f>
        <v>AF</v>
      </c>
      <c r="AG1" s="657" t="str">
        <f>SUBSTITUTE(ADDRESS(1,COLUMN(),4),"1","")</f>
        <v>AG</v>
      </c>
      <c r="AI1" s="657" t="str">
        <f>SUBSTITUTE(ADDRESS(1,COLUMN(),4),"1","")</f>
        <v>AI</v>
      </c>
      <c r="AJ1" s="657" t="str">
        <f>SUBSTITUTE(ADDRESS(1,COLUMN(),4),"1","")</f>
        <v>AJ</v>
      </c>
      <c r="AL1" s="657" t="str">
        <f>SUBSTITUTE(ADDRESS(1,COLUMN(),4),"1","")</f>
        <v>AL</v>
      </c>
      <c r="AM1" s="657" t="str">
        <f>SUBSTITUTE(ADDRESS(1,COLUMN(),4),"1","")</f>
        <v>AM</v>
      </c>
      <c r="AN1"/>
      <c r="AO1" s="657" t="str">
        <f>SUBSTITUTE(ADDRESS(1,COLUMN(),4),"1","")</f>
        <v>AO</v>
      </c>
      <c r="AP1" s="657" t="str">
        <f>SUBSTITUTE(ADDRESS(1,COLUMN(),4),"1","")</f>
        <v>AP</v>
      </c>
      <c r="AQ1" s="6627" t="s">
        <v>8774</v>
      </c>
      <c r="AR1" s="657" t="str">
        <f>SUBSTITUTE(ADDRESS(1,COLUMN(),4),"1","")</f>
        <v>AR</v>
      </c>
      <c r="AS1" s="657" t="str">
        <f>SUBSTITUTE(ADDRESS(1,COLUMN(),4),"1","")</f>
        <v>AS</v>
      </c>
      <c r="AU1" s="657" t="str">
        <f>SUBSTITUTE(ADDRESS(1,COLUMN(),4),"1","")</f>
        <v>AU</v>
      </c>
      <c r="AV1" s="657" t="str">
        <f>SUBSTITUTE(ADDRESS(1,COLUMN(),4),"1","")</f>
        <v>AV</v>
      </c>
      <c r="AX1" s="657" t="str">
        <f>SUBSTITUTE(ADDRESS(1,COLUMN(),4),"1","")</f>
        <v>AX</v>
      </c>
      <c r="AY1" s="657" t="str">
        <f>SUBSTITUTE(ADDRESS(1,COLUMN(),4),"1","")</f>
        <v>AY</v>
      </c>
      <c r="BA1" s="657" t="str">
        <f>SUBSTITUTE(ADDRESS(1,COLUMN(),4),"1","")</f>
        <v>BA</v>
      </c>
      <c r="BB1" s="657" t="str">
        <f>SUBSTITUTE(ADDRESS(1,COLUMN(),4),"1","")</f>
        <v>BB</v>
      </c>
      <c r="BD1" s="657" t="str">
        <f>SUBSTITUTE(ADDRESS(1,COLUMN(),4),"1","")</f>
        <v>BD</v>
      </c>
      <c r="BE1" s="657" t="str">
        <f>SUBSTITUTE(ADDRESS(1,COLUMN(),4),"1","")</f>
        <v>BE</v>
      </c>
      <c r="BG1" s="657" t="str">
        <f>SUBSTITUTE(ADDRESS(1,COLUMN(),4),"1","")</f>
        <v>BG</v>
      </c>
      <c r="BH1" s="657" t="str">
        <f>SUBSTITUTE(ADDRESS(1,COLUMN(),4),"1","")</f>
        <v>BH</v>
      </c>
      <c r="BJ1" s="657" t="str">
        <f>SUBSTITUTE(ADDRESS(1,COLUMN(),4),"1","")</f>
        <v>BJ</v>
      </c>
      <c r="BK1" s="657" t="str">
        <f>SUBSTITUTE(ADDRESS(1,COLUMN(),4),"1","")</f>
        <v>BK</v>
      </c>
      <c r="BM1" s="657" t="str">
        <f>SUBSTITUTE(ADDRESS(1,COLUMN(),4),"1","")</f>
        <v>BM</v>
      </c>
      <c r="BN1" s="657" t="str">
        <f>SUBSTITUTE(ADDRESS(1,COLUMN(),4),"1","")</f>
        <v>BN</v>
      </c>
      <c r="BP1" s="657" t="str">
        <f>SUBSTITUTE(ADDRESS(1,COLUMN(),4),"1","")</f>
        <v>BP</v>
      </c>
      <c r="BQ1" s="657" t="str">
        <f>SUBSTITUTE(ADDRESS(1,COLUMN(),4),"1","")</f>
        <v>BQ</v>
      </c>
      <c r="BS1" s="657" t="str">
        <f>SUBSTITUTE(ADDRESS(1,COLUMN(),4),"1","")</f>
        <v>BS</v>
      </c>
      <c r="BT1" s="657" t="str">
        <f>SUBSTITUTE(ADDRESS(1,COLUMN(),4),"1","")</f>
        <v>BT</v>
      </c>
      <c r="BV1" s="657" t="str">
        <f>SUBSTITUTE(ADDRESS(1,COLUMN(),4),"1","")</f>
        <v>BV</v>
      </c>
      <c r="BW1" s="657" t="str">
        <f>SUBSTITUTE(ADDRESS(1,COLUMN(),4),"1","")</f>
        <v>BW</v>
      </c>
      <c r="BX1" s="6627" t="s">
        <v>8774</v>
      </c>
      <c r="BY1" s="9"/>
      <c r="BZ1" s="9"/>
      <c r="CA1" s="657" t="str">
        <f>SUBSTITUTE(ADDRESS(1,COLUMN(),4),"1","")</f>
        <v>CA</v>
      </c>
      <c r="CB1" s="657" t="str">
        <f>SUBSTITUTE(ADDRESS(1,COLUMN(),4),"1","")</f>
        <v>CB</v>
      </c>
      <c r="CD1" s="657" t="str">
        <f>SUBSTITUTE(ADDRESS(1,COLUMN(),4),"1","")</f>
        <v>CD</v>
      </c>
      <c r="CE1" s="657" t="str">
        <f>SUBSTITUTE(ADDRESS(1,COLUMN(),4),"1","")</f>
        <v>CE</v>
      </c>
      <c r="CG1" s="657" t="str">
        <f>SUBSTITUTE(ADDRESS(1,COLUMN(),4),"1","")</f>
        <v>CG</v>
      </c>
      <c r="CH1" s="657" t="str">
        <f>SUBSTITUTE(ADDRESS(1,COLUMN(),4),"1","")</f>
        <v>CH</v>
      </c>
      <c r="CJ1" s="657" t="str">
        <f>SUBSTITUTE(ADDRESS(1,COLUMN(),4),"1","")</f>
        <v>CJ</v>
      </c>
      <c r="CK1" s="657" t="str">
        <f>SUBSTITUTE(ADDRESS(1,COLUMN(),4),"1","")</f>
        <v>CK</v>
      </c>
      <c r="CM1" s="657" t="str">
        <f>SUBSTITUTE(ADDRESS(1,COLUMN(),4),"1","")</f>
        <v>CM</v>
      </c>
      <c r="CN1" s="657" t="str">
        <f>SUBSTITUTE(ADDRESS(1,COLUMN(),4),"1","")</f>
        <v>CN</v>
      </c>
      <c r="CP1" s="657" t="str">
        <f>SUBSTITUTE(ADDRESS(1,COLUMN(),4),"1","")</f>
        <v>CP</v>
      </c>
      <c r="CQ1" s="657" t="str">
        <f>SUBSTITUTE(ADDRESS(1,COLUMN(),4),"1","")</f>
        <v>CQ</v>
      </c>
      <c r="CS1" s="657" t="str">
        <f>SUBSTITUTE(ADDRESS(1,COLUMN(),4),"1","")</f>
        <v>CS</v>
      </c>
      <c r="CT1" s="657" t="str">
        <f>SUBSTITUTE(ADDRESS(1,COLUMN(),4),"1","")</f>
        <v>CT</v>
      </c>
      <c r="CV1" s="657" t="str">
        <f>SUBSTITUTE(ADDRESS(1,COLUMN(),4),"1","")</f>
        <v>CV</v>
      </c>
      <c r="CW1" s="657" t="str">
        <f>SUBSTITUTE(ADDRESS(1,COLUMN(),4),"1","")</f>
        <v>CW</v>
      </c>
      <c r="CY1" s="657" t="str">
        <f>SUBSTITUTE(ADDRESS(1,COLUMN(),4),"1","")</f>
        <v>CY</v>
      </c>
      <c r="CZ1" s="657" t="str">
        <f>SUBSTITUTE(ADDRESS(1,COLUMN(),4),"1","")</f>
        <v>CZ</v>
      </c>
      <c r="DB1" s="657" t="str">
        <f>SUBSTITUTE(ADDRESS(1,COLUMN(),4),"1","")</f>
        <v>DB</v>
      </c>
      <c r="DC1" s="657" t="str">
        <f>SUBSTITUTE(ADDRESS(1,COLUMN(),4),"1","")</f>
        <v>DC</v>
      </c>
      <c r="DE1" s="657" t="str">
        <f>SUBSTITUTE(ADDRESS(1,COLUMN(),4),"1","")</f>
        <v>DE</v>
      </c>
      <c r="DF1" s="657" t="str">
        <f>SUBSTITUTE(ADDRESS(1,COLUMN(),4),"1","")</f>
        <v>DF</v>
      </c>
      <c r="DH1" s="657" t="str">
        <f>SUBSTITUTE(ADDRESS(1,COLUMN(),4),"1","")</f>
        <v>DH</v>
      </c>
      <c r="DI1" s="6628" t="s">
        <v>8774</v>
      </c>
      <c r="DJ1" s="3">
        <v>1</v>
      </c>
      <c r="DK1" s="657" t="str">
        <f>SUBSTITUTE(ADDRESS(1,COLUMN(),4),"1","")</f>
        <v>DK</v>
      </c>
      <c r="DL1" s="658" t="str">
        <f>SUBSTITUTE(ADDRESS(1,COLUMN(),4),"1","")</f>
        <v>DL</v>
      </c>
    </row>
    <row r="2" spans="1:116" ht="21" customHeight="1">
      <c r="A2" s="659"/>
      <c r="B2" s="694">
        <f t="shared" ref="B2:F3" ca="1" si="1">CELL("largeur",B2)</f>
        <v>13</v>
      </c>
      <c r="C2" s="694">
        <f t="shared" ca="1" si="1"/>
        <v>13</v>
      </c>
      <c r="E2" s="632">
        <f ca="1">CELL("largeur",E2)</f>
        <v>13</v>
      </c>
      <c r="F2" s="632">
        <f ca="1">CELL("largeur",F2)</f>
        <v>13</v>
      </c>
      <c r="H2" s="632">
        <f ca="1">CELL("largeur",H2)</f>
        <v>13</v>
      </c>
      <c r="I2" s="632">
        <f ca="1">CELL("largeur",I2)</f>
        <v>13</v>
      </c>
      <c r="K2" s="632">
        <f ca="1">CELL("largeur",K2)</f>
        <v>13</v>
      </c>
      <c r="L2" s="632">
        <f ca="1">CELL("largeur",L2)</f>
        <v>13</v>
      </c>
      <c r="N2" s="632">
        <f ca="1">CELL("largeur",N2)</f>
        <v>13</v>
      </c>
      <c r="O2" s="632">
        <f ca="1">CELL("largeur",O2)</f>
        <v>13</v>
      </c>
      <c r="Q2" s="632">
        <f ca="1">CELL("largeur",Q2)</f>
        <v>13</v>
      </c>
      <c r="R2" s="632">
        <f ca="1">CELL("largeur",R2)</f>
        <v>13</v>
      </c>
      <c r="T2" s="632">
        <f ca="1">CELL("largeur",T2)</f>
        <v>13</v>
      </c>
      <c r="U2" s="632">
        <f ca="1">CELL("largeur",U2)</f>
        <v>13</v>
      </c>
      <c r="W2" s="632">
        <f ca="1">CELL("largeur",W2)</f>
        <v>13</v>
      </c>
      <c r="X2" s="632">
        <f ca="1">CELL("largeur",X2)</f>
        <v>13</v>
      </c>
      <c r="Z2" s="632">
        <f ca="1">CELL("largeur",Z2)</f>
        <v>13</v>
      </c>
      <c r="AA2" s="632">
        <f ca="1">CELL("largeur",AA2)</f>
        <v>13</v>
      </c>
      <c r="AC2" s="632">
        <f ca="1">CELL("largeur",AC2)</f>
        <v>13</v>
      </c>
      <c r="AD2" s="632">
        <f ca="1">CELL("largeur",AD2)</f>
        <v>13</v>
      </c>
      <c r="AF2" s="632">
        <f ca="1">CELL("largeur",AF2)</f>
        <v>13</v>
      </c>
      <c r="AG2" s="632">
        <f ca="1">CELL("largeur",AG2)</f>
        <v>13</v>
      </c>
      <c r="AI2" s="632">
        <f ca="1">CELL("largeur",AI2)</f>
        <v>11</v>
      </c>
      <c r="AJ2" s="632">
        <f ca="1">CELL("largeur",AJ2)</f>
        <v>12</v>
      </c>
      <c r="AL2" s="632">
        <f ca="1">CELL("largeur",AL2)</f>
        <v>11</v>
      </c>
      <c r="AM2" s="632">
        <f ca="1">CELL("largeur",AM2)</f>
        <v>12</v>
      </c>
      <c r="AN2"/>
      <c r="AO2" s="632">
        <f ca="1">CELL("largeur",AO2)</f>
        <v>12</v>
      </c>
      <c r="AP2" s="632">
        <f ca="1">CELL("largeur",AP2)</f>
        <v>12</v>
      </c>
      <c r="AQ2" s="6627"/>
      <c r="AR2" s="632">
        <f ca="1">CELL("largeur",AR2)</f>
        <v>13</v>
      </c>
      <c r="AS2" s="632">
        <f ca="1">CELL("largeur",AS2)</f>
        <v>13</v>
      </c>
      <c r="AU2" s="632">
        <f ca="1">CELL("largeur",AU2)</f>
        <v>13</v>
      </c>
      <c r="AV2" s="632">
        <f ca="1">CELL("largeur",AV2)</f>
        <v>13</v>
      </c>
      <c r="AX2" s="632">
        <f ca="1">CELL("largeur",AX2)</f>
        <v>13</v>
      </c>
      <c r="AY2" s="632">
        <f ca="1">CELL("largeur",AY2)</f>
        <v>13</v>
      </c>
      <c r="BA2" s="632">
        <f ca="1">CELL("largeur",BA2)</f>
        <v>13</v>
      </c>
      <c r="BB2" s="632">
        <f ca="1">CELL("largeur",BB2)</f>
        <v>13</v>
      </c>
      <c r="BD2" s="632">
        <f ca="1">CELL("largeur",BD2)</f>
        <v>13</v>
      </c>
      <c r="BE2" s="632">
        <f ca="1">CELL("largeur",BE2)</f>
        <v>13</v>
      </c>
      <c r="BG2" s="632">
        <f ca="1">CELL("largeur",BG2)</f>
        <v>13</v>
      </c>
      <c r="BH2" s="632">
        <f ca="1">CELL("largeur",BH2)</f>
        <v>13</v>
      </c>
      <c r="BJ2" s="632">
        <f ca="1">CELL("largeur",BJ2)</f>
        <v>13</v>
      </c>
      <c r="BK2" s="632">
        <f ca="1">CELL("largeur",BK2)</f>
        <v>13</v>
      </c>
      <c r="BM2" s="632">
        <f ca="1">CELL("largeur",BM2)</f>
        <v>13</v>
      </c>
      <c r="BN2" s="632">
        <f ca="1">CELL("largeur",BN2)</f>
        <v>13</v>
      </c>
      <c r="BP2" s="632">
        <f ca="1">CELL("largeur",BP2)</f>
        <v>13</v>
      </c>
      <c r="BQ2" s="632">
        <f ca="1">CELL("largeur",BQ2)</f>
        <v>13</v>
      </c>
      <c r="BS2" s="632">
        <f ca="1">CELL("largeur",BS2)</f>
        <v>13</v>
      </c>
      <c r="BT2" s="632">
        <f ca="1">CELL("largeur",BT2)</f>
        <v>13</v>
      </c>
      <c r="BV2" s="632">
        <f ca="1">CELL("largeur",BV2)</f>
        <v>13</v>
      </c>
      <c r="BW2" s="632">
        <f ca="1">CELL("largeur",BW2)</f>
        <v>13</v>
      </c>
      <c r="BX2" s="6627"/>
      <c r="BY2" s="9"/>
      <c r="BZ2" s="9"/>
      <c r="CA2" s="632">
        <f ca="1">CELL("largeur",CA2)</f>
        <v>13</v>
      </c>
      <c r="CB2" s="632">
        <f ca="1">CELL("largeur",CB2)</f>
        <v>13</v>
      </c>
      <c r="CD2" s="632">
        <f ca="1">CELL("largeur",CD2)</f>
        <v>13</v>
      </c>
      <c r="CE2" s="632">
        <f ca="1">CELL("largeur",CE2)</f>
        <v>13</v>
      </c>
      <c r="CG2" s="632">
        <f ca="1">CELL("largeur",CG2)</f>
        <v>13</v>
      </c>
      <c r="CH2" s="632">
        <f ca="1">CELL("largeur",CH2)</f>
        <v>13</v>
      </c>
      <c r="CJ2" s="632">
        <f ca="1">CELL("largeur",CJ2)</f>
        <v>13</v>
      </c>
      <c r="CK2" s="632">
        <f ca="1">CELL("largeur",CK2)</f>
        <v>13</v>
      </c>
      <c r="CM2" s="632">
        <f ca="1">CELL("largeur",CM2)</f>
        <v>13</v>
      </c>
      <c r="CN2" s="632">
        <f ca="1">CELL("largeur",CN2)</f>
        <v>13</v>
      </c>
      <c r="CP2" s="632">
        <f ca="1">CELL("largeur",CP2)</f>
        <v>13</v>
      </c>
      <c r="CQ2" s="632">
        <f ca="1">CELL("largeur",CQ2)</f>
        <v>13</v>
      </c>
      <c r="CS2" s="632">
        <f ca="1">CELL("largeur",CS2)</f>
        <v>13</v>
      </c>
      <c r="CT2" s="632">
        <f ca="1">CELL("largeur",CT2)</f>
        <v>13</v>
      </c>
      <c r="CV2" s="632">
        <f ca="1">CELL("largeur",CV2)</f>
        <v>13</v>
      </c>
      <c r="CW2" s="632">
        <f ca="1">CELL("largeur",CW2)</f>
        <v>13</v>
      </c>
      <c r="CY2" s="632">
        <f ca="1">CELL("largeur",CY2)</f>
        <v>13</v>
      </c>
      <c r="CZ2" s="632">
        <f ca="1">CELL("largeur",CZ2)</f>
        <v>13</v>
      </c>
      <c r="DB2" s="632">
        <f ca="1">CELL("largeur",DB2)</f>
        <v>13</v>
      </c>
      <c r="DC2" s="632">
        <f ca="1">CELL("largeur",DC2)</f>
        <v>13</v>
      </c>
      <c r="DE2" s="632">
        <f ca="1">CELL("largeur",DE2)</f>
        <v>13</v>
      </c>
      <c r="DF2" s="632">
        <f ca="1">CELL("largeur",DF2)</f>
        <v>13</v>
      </c>
      <c r="DH2" s="632">
        <f ca="1">CELL("largeur",DH2)</f>
        <v>31</v>
      </c>
      <c r="DI2" s="6628"/>
      <c r="DJ2" s="3">
        <v>1</v>
      </c>
      <c r="DK2" s="8"/>
      <c r="DL2" s="8" t="s">
        <v>846</v>
      </c>
    </row>
    <row r="3" spans="1:116" ht="21" customHeight="1">
      <c r="A3" s="659"/>
      <c r="B3" s="2069">
        <f t="shared" ca="1" si="1"/>
        <v>13</v>
      </c>
      <c r="C3" s="2069">
        <f t="shared" ca="1" si="1"/>
        <v>13</v>
      </c>
      <c r="E3" s="2069">
        <f t="shared" ca="1" si="1"/>
        <v>13</v>
      </c>
      <c r="F3" s="2069">
        <f t="shared" ca="1" si="1"/>
        <v>13</v>
      </c>
      <c r="H3" s="2069">
        <v>13</v>
      </c>
      <c r="I3" s="2069">
        <v>13</v>
      </c>
      <c r="K3" s="2069">
        <v>13</v>
      </c>
      <c r="L3" s="2069">
        <v>13</v>
      </c>
      <c r="N3" s="2069">
        <v>13</v>
      </c>
      <c r="O3" s="2069">
        <v>13</v>
      </c>
      <c r="Q3" s="2069">
        <v>13</v>
      </c>
      <c r="R3" s="2069">
        <v>13</v>
      </c>
      <c r="T3" s="2069">
        <v>13</v>
      </c>
      <c r="U3" s="2069">
        <v>13</v>
      </c>
      <c r="W3" s="2069">
        <v>13</v>
      </c>
      <c r="X3" s="2069">
        <v>13</v>
      </c>
      <c r="Z3" s="2069">
        <v>13</v>
      </c>
      <c r="AA3" s="2069">
        <v>13</v>
      </c>
      <c r="AC3" s="2069">
        <v>13</v>
      </c>
      <c r="AD3" s="2069">
        <v>13</v>
      </c>
      <c r="AF3" s="2069">
        <v>13</v>
      </c>
      <c r="AG3" s="2069">
        <v>13</v>
      </c>
      <c r="AI3" s="2069">
        <v>11</v>
      </c>
      <c r="AJ3" s="2069">
        <v>12</v>
      </c>
      <c r="AL3" s="2069">
        <v>11</v>
      </c>
      <c r="AM3" s="2069">
        <v>12</v>
      </c>
      <c r="AN3"/>
      <c r="AO3" s="2069">
        <v>12</v>
      </c>
      <c r="AP3" s="2069">
        <v>12</v>
      </c>
      <c r="AQ3" s="2070" t="s">
        <v>8779</v>
      </c>
      <c r="AR3" s="2069">
        <v>13</v>
      </c>
      <c r="AS3" s="2069">
        <v>13</v>
      </c>
      <c r="AU3" s="2069">
        <v>13</v>
      </c>
      <c r="AV3" s="2069">
        <v>13</v>
      </c>
      <c r="AX3" s="2069">
        <v>13</v>
      </c>
      <c r="AY3" s="2069">
        <v>13</v>
      </c>
      <c r="BA3" s="2069">
        <v>13</v>
      </c>
      <c r="BB3" s="2069">
        <v>13</v>
      </c>
      <c r="BD3" s="2069">
        <v>13</v>
      </c>
      <c r="BE3" s="2069">
        <v>13</v>
      </c>
      <c r="BG3" s="2069">
        <v>13</v>
      </c>
      <c r="BH3" s="2069">
        <v>13</v>
      </c>
      <c r="BJ3" s="2069">
        <v>13</v>
      </c>
      <c r="BK3" s="2069">
        <v>13</v>
      </c>
      <c r="BM3" s="2069">
        <v>13</v>
      </c>
      <c r="BN3" s="2069">
        <v>13</v>
      </c>
      <c r="BP3" s="2069">
        <v>13</v>
      </c>
      <c r="BQ3" s="2069">
        <v>13</v>
      </c>
      <c r="BS3" s="2069">
        <v>13</v>
      </c>
      <c r="BT3" s="2069">
        <v>13</v>
      </c>
      <c r="BV3" s="2069">
        <v>13</v>
      </c>
      <c r="BW3" s="2069">
        <v>13</v>
      </c>
      <c r="BX3" s="2070" t="s">
        <v>8779</v>
      </c>
      <c r="BY3" s="9"/>
      <c r="BZ3" s="9"/>
      <c r="CA3" s="2069">
        <v>13</v>
      </c>
      <c r="CB3" s="2069">
        <v>13</v>
      </c>
      <c r="CD3" s="2069">
        <v>13</v>
      </c>
      <c r="CE3" s="2069">
        <v>13</v>
      </c>
      <c r="CG3" s="2069">
        <v>13</v>
      </c>
      <c r="CH3" s="2069">
        <v>13</v>
      </c>
      <c r="CJ3" s="2069">
        <v>13</v>
      </c>
      <c r="CK3" s="2069">
        <v>13</v>
      </c>
      <c r="CM3" s="2069">
        <v>13</v>
      </c>
      <c r="CN3" s="2069">
        <v>13</v>
      </c>
      <c r="CP3" s="2069">
        <v>13</v>
      </c>
      <c r="CQ3" s="2069">
        <v>13</v>
      </c>
      <c r="CS3" s="2069">
        <v>13</v>
      </c>
      <c r="CT3" s="2069">
        <v>13</v>
      </c>
      <c r="CV3" s="2069">
        <v>13</v>
      </c>
      <c r="CW3" s="2069">
        <v>13</v>
      </c>
      <c r="CY3" s="2069">
        <v>13</v>
      </c>
      <c r="CZ3" s="2069">
        <v>13</v>
      </c>
      <c r="DB3" s="2069">
        <v>13</v>
      </c>
      <c r="DC3" s="2069">
        <v>13</v>
      </c>
      <c r="DE3" s="2069">
        <v>13</v>
      </c>
      <c r="DF3" s="2069">
        <v>13</v>
      </c>
      <c r="DH3" s="2069">
        <v>31</v>
      </c>
      <c r="DI3" s="2066" t="s">
        <v>8779</v>
      </c>
      <c r="DJ3" s="3">
        <v>1</v>
      </c>
      <c r="DK3" s="10">
        <f ca="1">COUNTA(A1:DJ193)+COUNTBLANK(A1:DJ193)</f>
        <v>23323</v>
      </c>
      <c r="DL3" s="650" t="str">
        <f>"cellules entre"&amp;" " &amp;A1&amp;" et  "&amp;DJ193</f>
        <v>cellules entre A1 et  DJ193</v>
      </c>
    </row>
    <row r="4" spans="1:116" ht="15.75">
      <c r="B4" s="9" t="s">
        <v>2398</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472"/>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3">
        <v>1</v>
      </c>
      <c r="DK4" s="10">
        <f ca="1">COUNTA(A1:DJ193)</f>
        <v>3093</v>
      </c>
      <c r="DL4" s="650" t="s">
        <v>847</v>
      </c>
    </row>
    <row r="5" spans="1:116" ht="21.75" customHeight="1">
      <c r="B5" s="472"/>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14"/>
      <c r="AC5" s="472"/>
      <c r="AD5" s="472"/>
      <c r="AE5" s="14"/>
      <c r="AF5" s="472"/>
      <c r="AG5" s="472"/>
      <c r="AH5" s="14"/>
      <c r="AI5" s="472"/>
      <c r="AJ5" s="472"/>
      <c r="AK5" s="472"/>
      <c r="AL5" s="472"/>
      <c r="AM5" s="472"/>
      <c r="AN5" s="472"/>
      <c r="AO5" s="472"/>
      <c r="AP5" s="472"/>
      <c r="AQ5" s="472"/>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3">
        <v>1</v>
      </c>
      <c r="DK5" s="10">
        <f ca="1">COUNTBLANK(A1:DJ193)</f>
        <v>20230</v>
      </c>
      <c r="DL5" s="650" t="s">
        <v>848</v>
      </c>
    </row>
    <row r="6" spans="1:116" ht="21.75" customHeight="1">
      <c r="B6" s="6633" t="s">
        <v>1295</v>
      </c>
      <c r="C6" s="6633"/>
      <c r="D6" s="6633"/>
      <c r="E6" s="6633"/>
      <c r="F6" s="6633"/>
      <c r="G6" s="6633"/>
      <c r="H6" s="6633"/>
      <c r="I6" s="6633"/>
      <c r="J6" s="6633"/>
      <c r="K6" s="6633"/>
      <c r="L6" s="6633"/>
      <c r="M6" s="6633"/>
      <c r="N6" s="6633"/>
      <c r="O6" s="6633"/>
      <c r="P6" s="6633"/>
      <c r="Q6" s="6633"/>
      <c r="R6" s="660" t="str">
        <f ca="1">"Page N°"&amp;_xlfn.SHEET()</f>
        <v>Page N°9</v>
      </c>
      <c r="S6" s="472"/>
      <c r="T6" s="661" t="s">
        <v>8858</v>
      </c>
      <c r="U6" s="472"/>
      <c r="V6" s="472"/>
      <c r="W6" s="472"/>
      <c r="X6" s="472"/>
      <c r="Y6" s="472"/>
      <c r="Z6" s="472"/>
      <c r="AA6" s="472"/>
      <c r="AB6" s="631"/>
      <c r="AC6" s="472"/>
      <c r="AD6" s="472"/>
      <c r="AE6" s="631"/>
      <c r="AF6" s="472"/>
      <c r="AG6" s="472"/>
      <c r="AH6" s="631"/>
      <c r="AI6" s="472"/>
      <c r="AJ6" s="472"/>
      <c r="AK6" s="472"/>
      <c r="AL6" s="472"/>
      <c r="AM6" s="472"/>
      <c r="AN6" s="472"/>
      <c r="AO6" s="472"/>
      <c r="AP6" s="472"/>
      <c r="AQ6" s="472"/>
      <c r="AR6" s="6633" t="s">
        <v>1788</v>
      </c>
      <c r="AS6" s="6633"/>
      <c r="AT6" s="6633"/>
      <c r="AU6" s="6633"/>
      <c r="AV6" s="6633"/>
      <c r="AW6" s="6633"/>
      <c r="AX6" s="6633"/>
      <c r="AY6" s="6633"/>
      <c r="AZ6" s="6633"/>
      <c r="BA6" s="6633"/>
      <c r="BB6" s="6633"/>
      <c r="BC6" s="6633"/>
      <c r="BD6" s="6633"/>
      <c r="BE6" s="6633"/>
      <c r="BF6" s="6633"/>
      <c r="BG6" s="6633"/>
      <c r="BH6" s="9"/>
      <c r="BI6" s="9"/>
      <c r="BJ6" s="9"/>
      <c r="BK6" s="9"/>
      <c r="BL6" s="9"/>
      <c r="BM6" s="9"/>
      <c r="BN6" s="9"/>
      <c r="BO6" s="9"/>
      <c r="BP6" s="9"/>
      <c r="BQ6" s="9"/>
      <c r="BR6" s="9"/>
      <c r="BS6" s="9"/>
      <c r="BT6" s="9"/>
      <c r="BU6" s="9"/>
      <c r="BV6" s="9"/>
      <c r="BW6" s="9"/>
      <c r="BX6" s="9"/>
      <c r="BY6" s="9"/>
      <c r="BZ6" s="9"/>
      <c r="CA6" s="6633" t="s">
        <v>1789</v>
      </c>
      <c r="CB6" s="6633"/>
      <c r="CC6" s="6633"/>
      <c r="CD6" s="6633"/>
      <c r="CE6" s="6633"/>
      <c r="CF6" s="6633"/>
      <c r="CG6" s="6633"/>
      <c r="CH6" s="6633"/>
      <c r="CI6" s="6633"/>
      <c r="CJ6" s="6633"/>
      <c r="CK6" s="6633"/>
      <c r="CL6" s="6633"/>
      <c r="CM6" s="6633"/>
      <c r="CN6" s="6633"/>
      <c r="CO6" s="6633"/>
      <c r="CP6" s="6633"/>
      <c r="CQ6" s="9"/>
      <c r="CR6" s="9"/>
      <c r="CS6" s="9"/>
      <c r="CT6" s="9"/>
      <c r="CU6" s="9"/>
      <c r="CV6" s="9"/>
      <c r="CW6" s="9"/>
      <c r="CX6" s="9"/>
      <c r="CY6" s="9"/>
      <c r="CZ6" s="9"/>
      <c r="DA6" s="9"/>
      <c r="DB6" s="9"/>
      <c r="DC6" s="9"/>
      <c r="DD6" s="9"/>
      <c r="DE6" s="705" t="s">
        <v>1491</v>
      </c>
      <c r="DF6" s="706" t="str">
        <f>DJ193</f>
        <v>DJ193</v>
      </c>
      <c r="DG6" s="9"/>
      <c r="DH6" s="9"/>
      <c r="DI6" s="9"/>
      <c r="DJ6" s="3">
        <v>1</v>
      </c>
      <c r="DK6" s="10">
        <f>SUM(DJ1:DJ191)+2</f>
        <v>193</v>
      </c>
      <c r="DL6" s="650" t="s">
        <v>849</v>
      </c>
    </row>
    <row r="7" spans="1:116" ht="22.5" customHeight="1">
      <c r="B7" s="6633"/>
      <c r="C7" s="6633"/>
      <c r="D7" s="6633"/>
      <c r="E7" s="6633"/>
      <c r="F7" s="6633"/>
      <c r="G7" s="6633"/>
      <c r="H7" s="6633"/>
      <c r="I7" s="6633"/>
      <c r="J7" s="6633"/>
      <c r="K7" s="6633"/>
      <c r="L7" s="6633"/>
      <c r="M7" s="6633"/>
      <c r="N7" s="6633"/>
      <c r="O7" s="6633"/>
      <c r="P7" s="6633"/>
      <c r="Q7" s="6633"/>
      <c r="S7" s="472"/>
      <c r="T7" s="472"/>
      <c r="U7" s="472"/>
      <c r="V7" s="472"/>
      <c r="W7" s="472"/>
      <c r="X7" s="662"/>
      <c r="Y7" s="472"/>
      <c r="Z7" s="472"/>
      <c r="AA7" s="472"/>
      <c r="AB7" s="14"/>
      <c r="AC7" s="472"/>
      <c r="AD7" s="472"/>
      <c r="AE7" s="14"/>
      <c r="AF7" s="472"/>
      <c r="AG7" s="662"/>
      <c r="AH7" s="14"/>
      <c r="AI7" s="472"/>
      <c r="AJ7" s="472"/>
      <c r="AK7" s="472"/>
      <c r="AL7" s="472"/>
      <c r="AM7" s="472"/>
      <c r="AN7" s="472"/>
      <c r="AO7" s="472"/>
      <c r="AP7" s="472"/>
      <c r="AQ7" s="472"/>
      <c r="AR7" s="6633"/>
      <c r="AS7" s="6633"/>
      <c r="AT7" s="6633"/>
      <c r="AU7" s="6633"/>
      <c r="AV7" s="6633"/>
      <c r="AW7" s="6633"/>
      <c r="AX7" s="6633"/>
      <c r="AY7" s="6633"/>
      <c r="AZ7" s="6633"/>
      <c r="BA7" s="6633"/>
      <c r="BB7" s="6633"/>
      <c r="BC7" s="6633"/>
      <c r="BD7" s="6633"/>
      <c r="BE7" s="6633"/>
      <c r="BF7" s="6633"/>
      <c r="BG7" s="6633"/>
      <c r="BH7" s="9"/>
      <c r="BI7" s="9"/>
      <c r="BJ7" s="9"/>
      <c r="BK7" s="9"/>
      <c r="BL7" s="9"/>
      <c r="BM7" s="9"/>
      <c r="BN7" s="9"/>
      <c r="BO7" s="9"/>
      <c r="BP7" s="9"/>
      <c r="BQ7" s="9"/>
      <c r="BR7" s="9"/>
      <c r="BS7" s="9"/>
      <c r="BT7" s="9"/>
      <c r="BU7" s="9"/>
      <c r="BV7" s="9"/>
      <c r="BW7" s="9"/>
      <c r="BX7" s="9"/>
      <c r="BY7" s="9"/>
      <c r="BZ7" s="9"/>
      <c r="CA7" s="6633"/>
      <c r="CB7" s="6633"/>
      <c r="CC7" s="6633"/>
      <c r="CD7" s="6633"/>
      <c r="CE7" s="6633"/>
      <c r="CF7" s="6633"/>
      <c r="CG7" s="6633"/>
      <c r="CH7" s="6633"/>
      <c r="CI7" s="6633"/>
      <c r="CJ7" s="6633"/>
      <c r="CK7" s="6633"/>
      <c r="CL7" s="6633"/>
      <c r="CM7" s="6633"/>
      <c r="CN7" s="6633"/>
      <c r="CO7" s="6633"/>
      <c r="CP7" s="6633"/>
      <c r="CQ7" s="9"/>
      <c r="CR7" s="9"/>
      <c r="CS7" s="9"/>
      <c r="CT7" s="9"/>
      <c r="CU7" s="9"/>
      <c r="CV7" s="9"/>
      <c r="CW7" s="9"/>
      <c r="CX7" s="9"/>
      <c r="CY7" s="9"/>
      <c r="CZ7" s="9"/>
      <c r="DA7" s="9"/>
      <c r="DB7" s="9"/>
      <c r="DC7" s="9"/>
      <c r="DD7" s="9"/>
      <c r="DE7" s="9"/>
      <c r="DF7" s="9"/>
      <c r="DG7" s="9"/>
      <c r="DH7" s="9"/>
      <c r="DI7" s="9"/>
      <c r="DJ7" s="3">
        <v>1</v>
      </c>
      <c r="DK7" s="10">
        <f>SUM(A193:AQ193)+1</f>
        <v>44</v>
      </c>
      <c r="DL7" s="650" t="s">
        <v>850</v>
      </c>
    </row>
    <row r="8" spans="1:116" ht="22.5" customHeight="1">
      <c r="A8" s="9"/>
      <c r="B8" s="203" t="s">
        <v>8815</v>
      </c>
      <c r="C8" s="433"/>
      <c r="D8" s="433"/>
      <c r="E8" s="433"/>
      <c r="F8" s="433"/>
      <c r="G8" s="433"/>
      <c r="H8" s="433"/>
      <c r="I8" s="472"/>
      <c r="J8" s="472"/>
      <c r="K8" s="472"/>
      <c r="L8" s="472"/>
      <c r="M8" s="472"/>
      <c r="N8" s="472"/>
      <c r="O8" s="472"/>
      <c r="P8" s="472"/>
      <c r="Q8" s="9"/>
      <c r="R8" s="9"/>
      <c r="S8" s="9"/>
      <c r="T8" s="472"/>
      <c r="U8" s="9" t="s">
        <v>8820</v>
      </c>
      <c r="V8" s="472"/>
      <c r="W8" s="472"/>
      <c r="X8" s="662"/>
      <c r="Y8" s="472"/>
      <c r="Z8" s="472"/>
      <c r="AA8" s="472"/>
      <c r="AB8" s="14"/>
      <c r="AC8" s="472"/>
      <c r="AD8" s="472"/>
      <c r="AE8" s="14"/>
      <c r="AF8" s="472"/>
      <c r="AG8" s="662"/>
      <c r="AH8" s="14"/>
      <c r="AI8" s="472"/>
      <c r="AJ8" s="472"/>
      <c r="AK8" s="472"/>
      <c r="AL8" s="472"/>
      <c r="AM8" s="472"/>
      <c r="AN8" s="472"/>
      <c r="AO8" s="472"/>
      <c r="AP8" s="472"/>
      <c r="AQ8" s="472"/>
      <c r="AR8" s="696" t="s">
        <v>8809</v>
      </c>
      <c r="AS8" s="9"/>
      <c r="AT8" s="9"/>
      <c r="AU8" s="9"/>
      <c r="AV8" s="9"/>
      <c r="AW8" s="9"/>
      <c r="AX8" s="9"/>
      <c r="AY8" s="9"/>
      <c r="AZ8" s="9"/>
      <c r="BA8" s="9"/>
      <c r="BB8" s="9"/>
      <c r="BC8" s="9"/>
      <c r="BD8" s="9"/>
      <c r="BE8" s="9"/>
      <c r="BF8" s="9"/>
      <c r="BG8" s="9"/>
      <c r="BH8" s="9" t="s">
        <v>8822</v>
      </c>
      <c r="BI8" s="9"/>
      <c r="BJ8" s="472"/>
      <c r="BK8" s="9"/>
      <c r="BL8" s="9"/>
      <c r="BM8" s="9"/>
      <c r="BN8" s="9"/>
      <c r="BO8" s="9"/>
      <c r="BP8" s="9"/>
      <c r="BQ8" s="9"/>
      <c r="BR8" s="9"/>
      <c r="BS8" s="9"/>
      <c r="BT8" s="9"/>
      <c r="BU8" s="9"/>
      <c r="BV8" s="9"/>
      <c r="BW8" s="9"/>
      <c r="BX8" s="9"/>
      <c r="BY8" s="9"/>
      <c r="BZ8" s="9"/>
      <c r="CA8" s="696" t="s">
        <v>8803</v>
      </c>
      <c r="CB8" s="2084"/>
      <c r="CC8" s="2084"/>
      <c r="CD8" s="2084"/>
      <c r="CE8" s="2084"/>
      <c r="CF8" s="2084"/>
      <c r="CG8" s="2084"/>
      <c r="CH8" s="2084"/>
      <c r="CI8" s="2084"/>
      <c r="CJ8" s="2084"/>
      <c r="CK8" s="2084"/>
      <c r="CL8" s="2084"/>
      <c r="CM8" s="2084"/>
      <c r="CN8" s="9"/>
      <c r="CO8" s="9"/>
      <c r="CP8" s="9"/>
      <c r="CQ8" s="9" t="s">
        <v>8824</v>
      </c>
      <c r="CR8" s="9"/>
      <c r="CS8" s="9"/>
      <c r="CT8" s="9"/>
      <c r="CU8" s="9"/>
      <c r="CV8" s="9"/>
      <c r="CW8" s="9"/>
      <c r="CX8" s="9"/>
      <c r="CY8" s="9"/>
      <c r="CZ8" s="9"/>
      <c r="DA8" s="9"/>
      <c r="DB8" s="9"/>
      <c r="DC8" s="9"/>
      <c r="DD8" s="9"/>
      <c r="DE8" s="9"/>
      <c r="DF8" s="9"/>
      <c r="DG8" s="9"/>
      <c r="DH8" s="9"/>
      <c r="DI8" s="9"/>
      <c r="DJ8" s="3">
        <v>1</v>
      </c>
      <c r="DK8" s="10"/>
      <c r="DL8" s="650"/>
    </row>
    <row r="9" spans="1:116" ht="22.5" customHeight="1">
      <c r="A9" s="9"/>
      <c r="B9" s="203" t="s">
        <v>8780</v>
      </c>
      <c r="C9" s="433"/>
      <c r="D9" s="433"/>
      <c r="E9" s="433"/>
      <c r="F9" s="433"/>
      <c r="G9" s="433"/>
      <c r="H9" s="433"/>
      <c r="I9" s="472"/>
      <c r="J9" s="472"/>
      <c r="K9" s="472"/>
      <c r="L9" s="472"/>
      <c r="M9" s="472"/>
      <c r="N9" s="472"/>
      <c r="O9" s="472"/>
      <c r="P9" s="472"/>
      <c r="Q9" s="9"/>
      <c r="R9" s="9"/>
      <c r="S9"/>
      <c r="T9" s="472"/>
      <c r="U9" s="2095" t="s">
        <v>8821</v>
      </c>
      <c r="V9" s="472"/>
      <c r="W9" s="472"/>
      <c r="X9" s="662"/>
      <c r="Y9" s="472"/>
      <c r="Z9" s="472"/>
      <c r="AA9" s="472"/>
      <c r="AB9" s="14"/>
      <c r="AC9" s="472"/>
      <c r="AD9" s="472"/>
      <c r="AE9" s="14"/>
      <c r="AF9" s="472"/>
      <c r="AG9" s="662"/>
      <c r="AH9" s="14"/>
      <c r="AI9" s="472"/>
      <c r="AJ9" s="472"/>
      <c r="AK9" s="472"/>
      <c r="AL9" s="472"/>
      <c r="AM9" s="472"/>
      <c r="AN9" s="472"/>
      <c r="AO9" s="472"/>
      <c r="AP9" s="472"/>
      <c r="AQ9" s="472"/>
      <c r="AR9" s="696" t="s">
        <v>8788</v>
      </c>
      <c r="AS9" s="9"/>
      <c r="AT9" s="9"/>
      <c r="AU9" s="9"/>
      <c r="AV9" s="9"/>
      <c r="AW9" s="9"/>
      <c r="AX9" s="9"/>
      <c r="AY9" s="9"/>
      <c r="AZ9" s="9"/>
      <c r="BA9" s="9"/>
      <c r="BB9" s="9"/>
      <c r="BC9" s="9"/>
      <c r="BD9" s="9"/>
      <c r="BE9" s="9"/>
      <c r="BF9" s="9"/>
      <c r="BH9" s="2095" t="s">
        <v>8823</v>
      </c>
      <c r="BI9" s="9"/>
      <c r="BJ9" s="472"/>
      <c r="BK9" s="9"/>
      <c r="BL9" s="9"/>
      <c r="BM9" s="9"/>
      <c r="BN9" s="9"/>
      <c r="BO9" s="9"/>
      <c r="BP9" s="9"/>
      <c r="BQ9" s="9"/>
      <c r="BR9" s="9"/>
      <c r="BS9" s="9"/>
      <c r="BT9" s="9"/>
      <c r="BU9" s="9"/>
      <c r="BV9" s="9"/>
      <c r="BW9" s="9"/>
      <c r="BX9" s="9"/>
      <c r="BY9" s="9"/>
      <c r="BZ9" s="9"/>
      <c r="CA9" s="696" t="s">
        <v>8794</v>
      </c>
      <c r="CB9" s="2084"/>
      <c r="CC9" s="2084"/>
      <c r="CD9" s="2084"/>
      <c r="CE9" s="2084"/>
      <c r="CF9" s="2084"/>
      <c r="CG9" s="2084"/>
      <c r="CH9" s="2084"/>
      <c r="CI9" s="2084"/>
      <c r="CJ9" s="2084"/>
      <c r="CK9" s="2084"/>
      <c r="CL9" s="2084"/>
      <c r="CM9" s="2084"/>
      <c r="CN9" s="9"/>
      <c r="CO9" s="9"/>
      <c r="CQ9" s="2095" t="s">
        <v>8825</v>
      </c>
      <c r="CR9" s="9"/>
      <c r="CS9" s="9"/>
      <c r="CT9" s="9"/>
      <c r="CU9" s="9"/>
      <c r="CV9" s="9"/>
      <c r="CW9" s="9"/>
      <c r="CX9" s="9"/>
      <c r="CY9" s="9"/>
      <c r="CZ9" s="9"/>
      <c r="DA9" s="9"/>
      <c r="DB9" s="9"/>
      <c r="DC9" s="9"/>
      <c r="DD9" s="9"/>
      <c r="DE9" s="9"/>
      <c r="DF9" s="9"/>
      <c r="DG9" s="9"/>
      <c r="DH9" s="9"/>
      <c r="DI9" s="9"/>
      <c r="DJ9" s="3">
        <v>1</v>
      </c>
    </row>
    <row r="10" spans="1:116" ht="22.5" customHeight="1">
      <c r="A10" s="9"/>
      <c r="B10" s="203" t="s">
        <v>8781</v>
      </c>
      <c r="C10" s="433"/>
      <c r="D10" s="433"/>
      <c r="E10" s="433"/>
      <c r="F10" s="433"/>
      <c r="G10" s="433"/>
      <c r="H10" s="433"/>
      <c r="I10" s="472"/>
      <c r="J10" s="472"/>
      <c r="K10" s="472"/>
      <c r="L10" s="472"/>
      <c r="M10" s="472"/>
      <c r="N10" s="472"/>
      <c r="O10" s="472"/>
      <c r="P10" s="472"/>
      <c r="Q10" s="6624" t="s">
        <v>945</v>
      </c>
      <c r="R10" s="6624"/>
      <c r="S10"/>
      <c r="T10" s="2096" t="s">
        <v>15</v>
      </c>
      <c r="U10" s="2091" t="str">
        <f>IFERROR(LOWER(LEFT(TRIM(LEFT(Q10,FIND("-",Q10)-1)),4))&amp;"-"&amp;UPPER(LEFT(TRIM(MID(Q10,FIND("-",Q10)+1,99)),4)),"")</f>
        <v>cuis-CRUD</v>
      </c>
      <c r="V10" s="472"/>
      <c r="W10" s="472"/>
      <c r="X10" s="662"/>
      <c r="Y10" s="472"/>
      <c r="Z10" s="472"/>
      <c r="AA10" s="472"/>
      <c r="AB10" s="14"/>
      <c r="AC10" s="472"/>
      <c r="AD10" s="472"/>
      <c r="AE10" s="14"/>
      <c r="AF10" s="472"/>
      <c r="AG10" s="662"/>
      <c r="AH10" s="14"/>
      <c r="AI10" s="472"/>
      <c r="AJ10" s="472"/>
      <c r="AK10" s="472"/>
      <c r="AL10" s="472"/>
      <c r="AM10" s="472"/>
      <c r="AN10" s="472"/>
      <c r="AO10" s="472"/>
      <c r="AP10" s="472"/>
      <c r="AQ10" s="472"/>
      <c r="AR10" s="696" t="s">
        <v>8789</v>
      </c>
      <c r="AS10" s="9"/>
      <c r="AT10" s="9"/>
      <c r="AU10" s="9"/>
      <c r="AV10" s="9"/>
      <c r="AW10" s="9"/>
      <c r="AX10" s="9"/>
      <c r="AY10" s="9"/>
      <c r="AZ10" s="9"/>
      <c r="BA10" s="9"/>
      <c r="BB10" s="9"/>
      <c r="BC10" s="9"/>
      <c r="BD10" s="9"/>
      <c r="BE10" s="6625" t="s">
        <v>1890</v>
      </c>
      <c r="BF10" s="6625"/>
      <c r="BG10" s="2096" t="s">
        <v>15</v>
      </c>
      <c r="BH10" s="2089" t="str">
        <f>IFERROR(LOWER(LEFT(TRIM(LEFT(BE10,FIND("-",BE10)-1)),4))&amp;"-"&amp;UPPER(LEFT(TRIM(MID(BE10,FIND("-",BE10)+1,99)),4)),"")</f>
        <v>cuis-PROT</v>
      </c>
      <c r="BI10" s="186" t="str">
        <f ca="1">_xlfn.FORMULATEXT(BH10)</f>
        <v>=SIERREUR(MINUSCULE(GAUCHE(SUPPRESPACE(GAUCHE(BE10;TROUVE("-";BE10)-1));4))&amp;"-"&amp;MAJUSCULE(GAUCHE(SUPPRESPACE(STXT(BE10;TROUVE("-";BE10)+1;99));4));"")</v>
      </c>
      <c r="BJ10" s="472"/>
      <c r="BK10" s="9"/>
      <c r="BL10" s="9"/>
      <c r="BM10" s="9"/>
      <c r="BN10" s="9"/>
      <c r="BO10" s="9"/>
      <c r="BP10" s="9"/>
      <c r="BQ10" s="9"/>
      <c r="BR10" s="9"/>
      <c r="BS10" s="9"/>
      <c r="BT10" s="9"/>
      <c r="BU10" s="9"/>
      <c r="BV10" s="9"/>
      <c r="BW10" s="9"/>
      <c r="BX10" s="9"/>
      <c r="BY10" s="9"/>
      <c r="BZ10" s="9"/>
      <c r="CA10" s="696" t="s">
        <v>8795</v>
      </c>
      <c r="CB10" s="2084"/>
      <c r="CC10" s="2084"/>
      <c r="CD10" s="2084"/>
      <c r="CE10" s="2084"/>
      <c r="CF10" s="2084"/>
      <c r="CG10" s="2084"/>
      <c r="CH10" s="2084"/>
      <c r="CI10" s="2084"/>
      <c r="CJ10" s="2084"/>
      <c r="CK10" s="2084"/>
      <c r="CL10" s="2084"/>
      <c r="CM10" s="2084"/>
      <c r="CN10" s="6626" t="s">
        <v>1903</v>
      </c>
      <c r="CO10" s="6626"/>
      <c r="CP10" s="2096" t="s">
        <v>15</v>
      </c>
      <c r="CQ10" s="2093" t="str">
        <f>IFERROR(LOWER(LEFT(TRIM(LEFT(CN10,FIND("-",CN10)-1)),4))&amp;"-"&amp;UPPER(LEFT(TRIM(MID(CN10,FIND("-",CN10)+1,99)),4)),"")</f>
        <v>cuis-COCI</v>
      </c>
      <c r="CR10" s="186" t="str">
        <f ca="1">_xlfn.FORMULATEXT(CQ10)</f>
        <v>=SIERREUR(MINUSCULE(GAUCHE(SUPPRESPACE(GAUCHE(CN10;TROUVE("-";CN10)-1));4))&amp;"-"&amp;MAJUSCULE(GAUCHE(SUPPRESPACE(STXT(CN10;TROUVE("-";CN10)+1;99));4));"")</v>
      </c>
      <c r="CS10" s="9"/>
      <c r="CT10" s="9"/>
      <c r="CU10" s="9"/>
      <c r="CV10" s="9"/>
      <c r="CW10" s="9"/>
      <c r="CX10" s="9"/>
      <c r="CY10" s="9"/>
      <c r="CZ10" s="9"/>
      <c r="DA10" s="9"/>
      <c r="DB10" s="9"/>
      <c r="DC10" s="9"/>
      <c r="DD10" s="9"/>
      <c r="DE10" s="9"/>
      <c r="DF10" s="9"/>
      <c r="DG10" s="9"/>
      <c r="DH10" s="9"/>
      <c r="DI10" s="9"/>
      <c r="DJ10" s="3">
        <v>1</v>
      </c>
    </row>
    <row r="11" spans="1:116" ht="22.5" customHeight="1">
      <c r="A11" s="9"/>
      <c r="B11" s="2010" t="s">
        <v>8782</v>
      </c>
      <c r="C11" s="433"/>
      <c r="D11" s="433"/>
      <c r="E11" s="433"/>
      <c r="F11" s="433"/>
      <c r="G11" s="433"/>
      <c r="H11" s="433"/>
      <c r="I11" s="472"/>
      <c r="J11" s="472"/>
      <c r="K11" s="472"/>
      <c r="L11" s="472"/>
      <c r="M11" s="472"/>
      <c r="N11" s="472"/>
      <c r="O11" s="472"/>
      <c r="P11" s="472"/>
      <c r="Q11" s="6624"/>
      <c r="R11" s="6624"/>
      <c r="S11"/>
      <c r="T11" s="9"/>
      <c r="U11" s="2092" t="str">
        <f>IFERROR(LOWER(TRIM(MID(Q10, FIND("-",Q10, FIND("-",Q10)+1)+1, 999))), "")</f>
        <v>céléri branche</v>
      </c>
      <c r="V11" s="472"/>
      <c r="W11" s="472"/>
      <c r="X11" s="662"/>
      <c r="Y11" s="472"/>
      <c r="Z11" s="472"/>
      <c r="AA11" s="472"/>
      <c r="AB11" s="14"/>
      <c r="AC11" s="472"/>
      <c r="AD11" s="472"/>
      <c r="AE11" s="14"/>
      <c r="AF11" s="472"/>
      <c r="AG11" s="662"/>
      <c r="AH11" s="14"/>
      <c r="AI11" s="472"/>
      <c r="AJ11" s="472"/>
      <c r="AK11" s="472"/>
      <c r="AL11" s="472"/>
      <c r="AM11" s="472"/>
      <c r="AN11" s="472"/>
      <c r="AO11" s="472"/>
      <c r="AP11" s="472"/>
      <c r="AQ11" s="472"/>
      <c r="AR11" s="2086" t="s">
        <v>8790</v>
      </c>
      <c r="AS11" s="9"/>
      <c r="AT11" s="9"/>
      <c r="AU11" s="9"/>
      <c r="AV11" s="9"/>
      <c r="AW11" s="9"/>
      <c r="AX11" s="9"/>
      <c r="AY11" s="9"/>
      <c r="AZ11" s="9"/>
      <c r="BA11" s="9"/>
      <c r="BB11" s="9"/>
      <c r="BC11" s="9"/>
      <c r="BD11" s="9"/>
      <c r="BE11" s="6625" t="s">
        <v>114</v>
      </c>
      <c r="BF11" s="6625"/>
      <c r="BG11" s="9"/>
      <c r="BH11" s="2090" t="str">
        <f>IFERROR(LOWER(TRIM(MID(BE10, FIND("-",BE10, FIND("-",BE10)+1)+1, 999))), "")</f>
        <v>lamb</v>
      </c>
      <c r="BI11" s="186" t="str">
        <f ca="1">_xlfn.FORMULATEXT(BH11)</f>
        <v>=SIERREUR(MINUSCULE(SUPPRESPACE(STXT(BE10; TROUVE("-";BE10; TROUVE("-";BE10)+1)+1; 999))); "")</v>
      </c>
      <c r="BJ11" s="472"/>
      <c r="BK11" s="9"/>
      <c r="BL11" s="9"/>
      <c r="BM11" s="9"/>
      <c r="BN11" s="9"/>
      <c r="BO11" s="9"/>
      <c r="BP11" s="9"/>
      <c r="BQ11" s="9"/>
      <c r="BR11" s="9"/>
      <c r="BS11" s="9"/>
      <c r="BT11" s="9"/>
      <c r="BU11" s="9"/>
      <c r="BV11" s="9"/>
      <c r="BW11" s="9"/>
      <c r="BX11" s="9"/>
      <c r="BY11" s="9"/>
      <c r="BZ11" s="9"/>
      <c r="CA11" s="2086" t="s">
        <v>8796</v>
      </c>
      <c r="CB11" s="2084"/>
      <c r="CC11" s="2084"/>
      <c r="CD11" s="2084"/>
      <c r="CE11" s="2084"/>
      <c r="CF11" s="2084"/>
      <c r="CG11" s="2084"/>
      <c r="CH11" s="2084"/>
      <c r="CI11" s="2084"/>
      <c r="CJ11" s="2084"/>
      <c r="CK11" s="2084"/>
      <c r="CL11" s="2084"/>
      <c r="CM11" s="2084"/>
      <c r="CN11" s="6626" t="s">
        <v>114</v>
      </c>
      <c r="CO11" s="6626"/>
      <c r="CP11" s="9"/>
      <c r="CQ11" s="2094" t="str">
        <f>IFERROR(LOWER(TRIM(MID(CN10, FIND("-",CN10, FIND("-",CN10)+1)+1, 999))), "")</f>
        <v>espárragos</v>
      </c>
      <c r="CR11" s="186" t="str">
        <f ca="1">_xlfn.FORMULATEXT(CQ11)</f>
        <v>=SIERREUR(MINUSCULE(SUPPRESPACE(STXT(CN10; TROUVE("-";CN10; TROUVE("-";CN10)+1)+1; 999))); "")</v>
      </c>
      <c r="CS11" s="9"/>
      <c r="CT11" s="9"/>
      <c r="CU11" s="9"/>
      <c r="CV11" s="9"/>
      <c r="CW11" s="9"/>
      <c r="CX11" s="9"/>
      <c r="CY11" s="9"/>
      <c r="CZ11" s="9"/>
      <c r="DA11" s="9"/>
      <c r="DB11" s="9"/>
      <c r="DC11" s="9"/>
      <c r="DD11" s="9"/>
      <c r="DE11" s="9"/>
      <c r="DF11" s="9"/>
      <c r="DG11" s="9"/>
      <c r="DH11" s="9"/>
      <c r="DI11" s="9"/>
      <c r="DJ11" s="3">
        <v>1</v>
      </c>
    </row>
    <row r="12" spans="1:116" ht="22.5" customHeight="1">
      <c r="A12" s="9"/>
      <c r="B12" s="203" t="s">
        <v>8787</v>
      </c>
      <c r="C12" s="433"/>
      <c r="D12" s="433"/>
      <c r="E12" s="433"/>
      <c r="F12" s="433"/>
      <c r="G12" s="433"/>
      <c r="H12" s="433"/>
      <c r="I12" s="472"/>
      <c r="J12" s="472"/>
      <c r="K12" s="472"/>
      <c r="L12" s="472"/>
      <c r="M12" s="472"/>
      <c r="N12" s="472"/>
      <c r="O12" s="472"/>
      <c r="P12" s="472"/>
      <c r="Q12" s="472"/>
      <c r="R12" s="472"/>
      <c r="S12" s="472"/>
      <c r="T12" s="472"/>
      <c r="U12" s="472"/>
      <c r="V12" s="472"/>
      <c r="W12" s="472"/>
      <c r="X12" s="662"/>
      <c r="Y12" s="472"/>
      <c r="Z12" s="472"/>
      <c r="AA12" s="472"/>
      <c r="AB12" s="14"/>
      <c r="AC12" s="472"/>
      <c r="AD12" s="472"/>
      <c r="AE12" s="14"/>
      <c r="AF12" s="472"/>
      <c r="AG12" s="662"/>
      <c r="AH12" s="14"/>
      <c r="AI12" s="472"/>
      <c r="AJ12" s="472"/>
      <c r="AK12" s="472"/>
      <c r="AL12" s="472"/>
      <c r="AM12" s="472"/>
      <c r="AN12" s="472"/>
      <c r="AO12" s="472"/>
      <c r="AP12" s="472"/>
      <c r="AQ12" s="472"/>
      <c r="AR12" s="696" t="s">
        <v>8810</v>
      </c>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696" t="s">
        <v>8804</v>
      </c>
      <c r="CB12" s="2084"/>
      <c r="CC12" s="2084"/>
      <c r="CD12" s="2084"/>
      <c r="CE12" s="2084"/>
      <c r="CF12" s="2084"/>
      <c r="CG12" s="2084"/>
      <c r="CH12" s="2084"/>
      <c r="CI12" s="2084"/>
      <c r="CJ12" s="2084"/>
      <c r="CK12" s="2084"/>
      <c r="CL12" s="2084"/>
      <c r="CM12" s="2084"/>
      <c r="CN12" s="2084"/>
      <c r="CO12" s="2084"/>
      <c r="CP12" s="2084"/>
      <c r="CQ12" s="9"/>
      <c r="CR12" s="9"/>
      <c r="CS12" s="9"/>
      <c r="CT12" s="9"/>
      <c r="CU12" s="9"/>
      <c r="CV12" s="9"/>
      <c r="CW12" s="9"/>
      <c r="CX12" s="9"/>
      <c r="CY12" s="9"/>
      <c r="CZ12" s="9"/>
      <c r="DA12" s="9"/>
      <c r="DB12" s="9"/>
      <c r="DC12" s="9"/>
      <c r="DD12" s="9"/>
      <c r="DE12" s="9"/>
      <c r="DF12" s="9"/>
      <c r="DG12" s="9"/>
      <c r="DH12" s="9"/>
      <c r="DI12" s="9"/>
      <c r="DJ12" s="3">
        <v>1</v>
      </c>
      <c r="DL12" s="198" t="s">
        <v>14241</v>
      </c>
    </row>
    <row r="13" spans="1:116" ht="22.5" customHeight="1">
      <c r="A13" s="9"/>
      <c r="B13" s="203" t="s">
        <v>8816</v>
      </c>
      <c r="C13" s="433"/>
      <c r="D13" s="433"/>
      <c r="E13" s="433"/>
      <c r="F13" s="433"/>
      <c r="G13" s="433"/>
      <c r="H13" s="433"/>
      <c r="I13" s="472"/>
      <c r="J13" s="472"/>
      <c r="K13" s="472"/>
      <c r="L13" s="472"/>
      <c r="M13" s="472"/>
      <c r="N13" s="472"/>
      <c r="O13" s="472"/>
      <c r="P13" s="472"/>
      <c r="Q13" s="472"/>
      <c r="R13" s="472"/>
      <c r="S13" s="472"/>
      <c r="T13" s="472"/>
      <c r="U13" s="472"/>
      <c r="V13" s="472"/>
      <c r="W13" s="472"/>
      <c r="X13" s="662"/>
      <c r="Y13" s="472"/>
      <c r="Z13" s="472"/>
      <c r="AA13" s="472"/>
      <c r="AB13" s="14"/>
      <c r="AC13" s="472"/>
      <c r="AD13" s="472"/>
      <c r="AE13" s="14"/>
      <c r="AF13" s="472"/>
      <c r="AG13" s="662"/>
      <c r="AH13" s="14"/>
      <c r="AI13" s="472"/>
      <c r="AJ13" s="472"/>
      <c r="AK13" s="472"/>
      <c r="AL13" s="472"/>
      <c r="AM13" s="472"/>
      <c r="AN13" s="472"/>
      <c r="AO13" s="472"/>
      <c r="AP13" s="472"/>
      <c r="AQ13" s="472"/>
      <c r="AR13" s="696" t="s">
        <v>8811</v>
      </c>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696" t="s">
        <v>8805</v>
      </c>
      <c r="CB13" s="2084"/>
      <c r="CC13" s="2084"/>
      <c r="CD13" s="2084"/>
      <c r="CE13" s="2084"/>
      <c r="CF13" s="2084"/>
      <c r="CG13" s="2084"/>
      <c r="CH13" s="2084"/>
      <c r="CI13" s="2084"/>
      <c r="CJ13" s="2084"/>
      <c r="CK13" s="2084"/>
      <c r="CL13" s="2084"/>
      <c r="CM13" s="2084"/>
      <c r="CN13" s="2084"/>
      <c r="CO13" s="2084"/>
      <c r="CP13" s="2084"/>
      <c r="CQ13" s="9"/>
      <c r="CR13" s="9"/>
      <c r="CS13" s="9"/>
      <c r="CT13" s="9"/>
      <c r="CU13" s="9"/>
      <c r="CV13" s="9"/>
      <c r="CW13" s="9"/>
      <c r="CX13" s="9"/>
      <c r="CY13" s="9"/>
      <c r="CZ13" s="9"/>
      <c r="DA13" s="9"/>
      <c r="DB13" s="9"/>
      <c r="DC13" s="9"/>
      <c r="DD13" s="9"/>
      <c r="DE13" s="9"/>
      <c r="DF13" s="9"/>
      <c r="DG13" s="9"/>
      <c r="DH13" s="9"/>
      <c r="DI13" s="9"/>
      <c r="DJ13" s="3">
        <v>1</v>
      </c>
      <c r="DL13" s="198" t="s">
        <v>14229</v>
      </c>
    </row>
    <row r="14" spans="1:116" ht="22.5" customHeight="1" thickBot="1">
      <c r="A14" s="9"/>
      <c r="B14" s="203" t="s">
        <v>8783</v>
      </c>
      <c r="C14" s="433"/>
      <c r="D14" s="433"/>
      <c r="E14" s="433"/>
      <c r="F14" s="433"/>
      <c r="G14" s="433"/>
      <c r="H14" s="433"/>
      <c r="I14" s="472"/>
      <c r="J14" s="472"/>
      <c r="K14" s="472"/>
      <c r="L14" s="472"/>
      <c r="M14" s="472"/>
      <c r="N14" s="472"/>
      <c r="O14" s="472"/>
      <c r="P14" s="472"/>
      <c r="Q14" s="9"/>
      <c r="R14" s="9"/>
      <c r="S14" s="472"/>
      <c r="T14" s="472"/>
      <c r="U14" s="472"/>
      <c r="V14" s="472"/>
      <c r="W14" s="472"/>
      <c r="X14" s="2097" t="s">
        <v>941</v>
      </c>
      <c r="Y14" s="472"/>
      <c r="AH14" s="14"/>
      <c r="AI14" s="472"/>
      <c r="AJ14" s="472"/>
      <c r="AK14" s="472"/>
      <c r="AL14" s="472"/>
      <c r="AM14" s="472"/>
      <c r="AN14" s="472"/>
      <c r="AO14" s="472"/>
      <c r="AP14" s="472"/>
      <c r="AQ14" s="472"/>
      <c r="AR14" s="696" t="s">
        <v>8791</v>
      </c>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696" t="s">
        <v>8797</v>
      </c>
      <c r="CB14" s="2084"/>
      <c r="CC14" s="2084"/>
      <c r="CD14" s="2084"/>
      <c r="CE14" s="2084"/>
      <c r="CF14" s="2084"/>
      <c r="CG14" s="2084"/>
      <c r="CH14" s="2084"/>
      <c r="CI14" s="2084"/>
      <c r="CJ14" s="2084"/>
      <c r="CK14" s="2084"/>
      <c r="CL14" s="2084"/>
      <c r="CM14" s="2084"/>
      <c r="CN14" s="2084"/>
      <c r="CO14" s="2084"/>
      <c r="CP14" s="2084"/>
      <c r="CQ14" s="9"/>
      <c r="CR14" s="9"/>
      <c r="CS14" s="9"/>
      <c r="CT14" s="9"/>
      <c r="CU14" s="9"/>
      <c r="CV14" s="9"/>
      <c r="CW14" s="9"/>
      <c r="CX14" s="9"/>
      <c r="CY14" s="9"/>
      <c r="CZ14" s="9"/>
      <c r="DA14" s="9"/>
      <c r="DB14" s="9"/>
      <c r="DC14" s="9"/>
      <c r="DD14" s="9"/>
      <c r="DE14" s="9"/>
      <c r="DF14" s="9"/>
      <c r="DG14" s="9"/>
      <c r="DH14" s="9"/>
      <c r="DI14" s="9"/>
      <c r="DJ14" s="3">
        <v>1</v>
      </c>
      <c r="DL14" s="198"/>
    </row>
    <row r="15" spans="1:116" ht="22.5" customHeight="1">
      <c r="A15" s="9"/>
      <c r="B15" s="203" t="s">
        <v>8817</v>
      </c>
      <c r="C15" s="433"/>
      <c r="D15" s="433"/>
      <c r="E15" s="433"/>
      <c r="F15" s="433"/>
      <c r="G15" s="433"/>
      <c r="H15" s="433"/>
      <c r="I15" s="472"/>
      <c r="J15" s="472"/>
      <c r="K15" s="472"/>
      <c r="L15" s="472"/>
      <c r="M15" s="472"/>
      <c r="N15" s="472"/>
      <c r="O15" s="472"/>
      <c r="P15" s="472"/>
      <c r="Q15" s="6634" t="s">
        <v>23</v>
      </c>
      <c r="R15" s="6634"/>
      <c r="S15" s="6634"/>
      <c r="T15" s="6634"/>
      <c r="U15" s="6634"/>
      <c r="V15" s="6636" t="s">
        <v>24</v>
      </c>
      <c r="W15" s="6636"/>
      <c r="X15" s="6638" t="str">
        <f>UPPER(LEFT(Q15,1))</f>
        <v>C</v>
      </c>
      <c r="AH15" s="14"/>
      <c r="AI15" s="472"/>
      <c r="AJ15" s="472"/>
      <c r="AK15" s="472"/>
      <c r="AL15" s="472"/>
      <c r="AM15" s="472"/>
      <c r="AN15" s="472"/>
      <c r="AO15" s="472"/>
      <c r="AP15" s="472"/>
      <c r="AQ15" s="472"/>
      <c r="AR15" s="2087" t="s">
        <v>8812</v>
      </c>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2087" t="s">
        <v>8806</v>
      </c>
      <c r="CB15" s="2084"/>
      <c r="CC15" s="2084"/>
      <c r="CD15" s="2084"/>
      <c r="CE15" s="2084"/>
      <c r="CF15" s="2084"/>
      <c r="CG15" s="2084"/>
      <c r="CH15" s="2084"/>
      <c r="CI15" s="2084"/>
      <c r="CJ15" s="2084"/>
      <c r="CK15" s="2084"/>
      <c r="CL15" s="2084"/>
      <c r="CM15" s="2084"/>
      <c r="CN15" s="2084"/>
      <c r="CO15" s="2084"/>
      <c r="CP15" s="2084"/>
      <c r="CQ15" s="9"/>
      <c r="CR15" s="9"/>
      <c r="CS15" s="9"/>
      <c r="CT15" s="9"/>
      <c r="CU15" s="9"/>
      <c r="CV15" s="9"/>
      <c r="CW15" s="9"/>
      <c r="CX15" s="9"/>
      <c r="CY15" s="9"/>
      <c r="CZ15" s="9"/>
      <c r="DA15" s="9"/>
      <c r="DB15" s="9"/>
      <c r="DC15" s="9"/>
      <c r="DD15" s="9"/>
      <c r="DE15" s="9"/>
      <c r="DF15" s="9"/>
      <c r="DG15" s="9"/>
      <c r="DH15" s="9"/>
      <c r="DI15" s="9"/>
      <c r="DJ15" s="3">
        <v>1</v>
      </c>
      <c r="DL15" s="198" t="s">
        <v>14232</v>
      </c>
    </row>
    <row r="16" spans="1:116" ht="22.5" customHeight="1">
      <c r="A16" s="9"/>
      <c r="B16" s="203" t="s">
        <v>8784</v>
      </c>
      <c r="C16" s="433"/>
      <c r="D16" s="433"/>
      <c r="E16" s="433"/>
      <c r="F16" s="433"/>
      <c r="G16" s="433"/>
      <c r="H16" s="433"/>
      <c r="I16" s="472"/>
      <c r="J16" s="472"/>
      <c r="K16" s="472"/>
      <c r="L16" s="472"/>
      <c r="M16" s="472"/>
      <c r="N16" s="472"/>
      <c r="O16" s="472"/>
      <c r="P16" s="472"/>
      <c r="Q16" s="6635"/>
      <c r="R16" s="6635"/>
      <c r="S16" s="6635"/>
      <c r="T16" s="6635"/>
      <c r="U16" s="6635"/>
      <c r="V16" s="6637"/>
      <c r="W16" s="6637"/>
      <c r="X16" s="6639"/>
      <c r="AH16" s="14"/>
      <c r="AI16" s="472"/>
      <c r="AJ16" s="472"/>
      <c r="AK16" s="472"/>
      <c r="AL16" s="472"/>
      <c r="AM16" s="472"/>
      <c r="AN16" s="472"/>
      <c r="AO16" s="472"/>
      <c r="AP16" s="472"/>
      <c r="AQ16" s="472"/>
      <c r="AR16" s="2087" t="s">
        <v>8792</v>
      </c>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2087" t="s">
        <v>8798</v>
      </c>
      <c r="CB16" s="2084"/>
      <c r="CC16" s="2084"/>
      <c r="CD16" s="2084"/>
      <c r="CE16" s="2084"/>
      <c r="CF16" s="2084"/>
      <c r="CG16" s="2084"/>
      <c r="CH16" s="2084"/>
      <c r="CI16" s="2084"/>
      <c r="CJ16" s="2084"/>
      <c r="CK16" s="2084"/>
      <c r="CL16" s="2084"/>
      <c r="CM16" s="2084"/>
      <c r="CN16" s="2084"/>
      <c r="CO16" s="2084"/>
      <c r="CP16" s="2084"/>
      <c r="CQ16" s="9"/>
      <c r="CR16" s="9"/>
      <c r="CS16" s="9"/>
      <c r="CT16" s="9"/>
      <c r="CU16" s="9"/>
      <c r="CV16" s="9"/>
      <c r="CW16" s="9"/>
      <c r="CX16" s="9"/>
      <c r="CY16" s="9"/>
      <c r="CZ16" s="9"/>
      <c r="DA16" s="9"/>
      <c r="DB16" s="9"/>
      <c r="DC16" s="9"/>
      <c r="DD16" s="9"/>
      <c r="DE16" s="9"/>
      <c r="DF16" s="9"/>
      <c r="DG16" s="9"/>
      <c r="DH16" s="9"/>
      <c r="DI16" s="9"/>
      <c r="DJ16" s="3">
        <v>1</v>
      </c>
      <c r="DL16" s="198" t="s">
        <v>14235</v>
      </c>
    </row>
    <row r="17" spans="1:116" ht="22.5" customHeight="1">
      <c r="A17" s="9"/>
      <c r="B17" s="203" t="s">
        <v>8818</v>
      </c>
      <c r="C17" s="433"/>
      <c r="D17" s="433"/>
      <c r="E17" s="433"/>
      <c r="F17" s="433"/>
      <c r="G17" s="433"/>
      <c r="H17" s="433"/>
      <c r="I17" s="472"/>
      <c r="J17" s="472"/>
      <c r="K17" s="472"/>
      <c r="L17" s="472"/>
      <c r="M17" s="472"/>
      <c r="N17" s="472"/>
      <c r="O17" s="472"/>
      <c r="P17" s="472"/>
      <c r="Q17" s="9"/>
      <c r="R17" s="9"/>
      <c r="S17" s="9"/>
      <c r="T17" s="9"/>
      <c r="V17" s="9"/>
      <c r="W17" s="666" t="str">
        <f>X15&amp;"  Formule ►"</f>
        <v>C  Formule ►</v>
      </c>
      <c r="X17" s="54" t="str">
        <f ca="1">_xlfn.FORMULATEXT(X15)</f>
        <v>=MAJUSCULE(GAUCHE(Q15;1))</v>
      </c>
      <c r="Y17" s="9"/>
      <c r="Z17" s="9"/>
      <c r="AA17" s="9"/>
      <c r="AB17" s="9"/>
      <c r="AC17" s="9"/>
      <c r="AD17" s="9"/>
      <c r="AE17" s="9"/>
      <c r="AF17" s="9"/>
      <c r="AG17" s="9"/>
      <c r="AH17" s="14"/>
      <c r="AI17" s="472"/>
      <c r="AJ17" s="472"/>
      <c r="AK17" s="472"/>
      <c r="AL17" s="472"/>
      <c r="AM17" s="472"/>
      <c r="AN17" s="472"/>
      <c r="AO17" s="472"/>
      <c r="AP17" s="472"/>
      <c r="AQ17" s="472"/>
      <c r="AR17" s="2087" t="s">
        <v>8813</v>
      </c>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2087" t="s">
        <v>8807</v>
      </c>
      <c r="CB17" s="2084"/>
      <c r="CC17" s="2084"/>
      <c r="CD17" s="2084"/>
      <c r="CE17" s="2084"/>
      <c r="CF17" s="2084"/>
      <c r="CG17" s="2084"/>
      <c r="CH17" s="2084"/>
      <c r="CI17" s="2084"/>
      <c r="CJ17" s="2084"/>
      <c r="CK17" s="2084"/>
      <c r="CL17" s="2084"/>
      <c r="CM17" s="2084"/>
      <c r="CN17" s="2084"/>
      <c r="CO17" s="2084"/>
      <c r="CP17" s="2084"/>
      <c r="CQ17" s="9"/>
      <c r="CR17" s="9"/>
      <c r="CS17" s="9"/>
      <c r="CT17" s="9"/>
      <c r="CU17" s="9"/>
      <c r="CV17" s="9"/>
      <c r="CW17" s="9"/>
      <c r="CX17" s="9"/>
      <c r="CY17" s="9"/>
      <c r="CZ17" s="9"/>
      <c r="DA17" s="9"/>
      <c r="DB17" s="9"/>
      <c r="DC17" s="9"/>
      <c r="DD17" s="9"/>
      <c r="DE17" s="9"/>
      <c r="DF17" s="9"/>
      <c r="DG17" s="9"/>
      <c r="DH17" s="9"/>
      <c r="DI17" s="9"/>
      <c r="DJ17" s="3">
        <v>1</v>
      </c>
      <c r="DL17"/>
    </row>
    <row r="18" spans="1:116" ht="22.5" customHeight="1" thickBot="1">
      <c r="A18" s="9"/>
      <c r="B18" s="203" t="s">
        <v>8785</v>
      </c>
      <c r="C18" s="433"/>
      <c r="D18" s="433"/>
      <c r="E18" s="433"/>
      <c r="F18" s="433"/>
      <c r="G18" s="433"/>
      <c r="H18" s="433"/>
      <c r="I18" s="472"/>
      <c r="J18" s="472"/>
      <c r="K18" s="472"/>
      <c r="L18" s="472"/>
      <c r="M18" s="472"/>
      <c r="N18" s="472"/>
      <c r="O18" s="472"/>
      <c r="P18" s="472"/>
      <c r="Q18" s="472"/>
      <c r="R18" s="472"/>
      <c r="S18" s="14"/>
      <c r="T18" s="472"/>
      <c r="U18" s="472"/>
      <c r="V18" s="14"/>
      <c r="W18" s="472"/>
      <c r="X18" s="2097" t="s">
        <v>942</v>
      </c>
      <c r="Y18" s="472"/>
      <c r="Z18" s="472"/>
      <c r="AA18" s="472"/>
      <c r="AB18" s="14"/>
      <c r="AC18" s="472"/>
      <c r="AD18" s="472"/>
      <c r="AE18" s="14"/>
      <c r="AF18" s="472"/>
      <c r="AG18" s="662"/>
      <c r="AH18" s="14"/>
      <c r="AI18" s="472"/>
      <c r="AJ18" s="472"/>
      <c r="AK18" s="472"/>
      <c r="AL18" s="472"/>
      <c r="AM18" s="472"/>
      <c r="AN18" s="472"/>
      <c r="AO18" s="472"/>
      <c r="AP18" s="472"/>
      <c r="AQ18" s="472"/>
      <c r="AR18" s="2086" t="s">
        <v>8793</v>
      </c>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2086" t="s">
        <v>8799</v>
      </c>
      <c r="CB18" s="2084"/>
      <c r="CC18" s="2084"/>
      <c r="CD18" s="2084"/>
      <c r="CE18" s="2084"/>
      <c r="CF18" s="2084"/>
      <c r="CG18" s="2084"/>
      <c r="CH18" s="2084"/>
      <c r="CI18" s="2084"/>
      <c r="CJ18" s="2084"/>
      <c r="CK18" s="2084"/>
      <c r="CL18" s="2084"/>
      <c r="CM18" s="2084"/>
      <c r="CN18" s="2084"/>
      <c r="CO18" s="2084"/>
      <c r="CP18" s="2084"/>
      <c r="CQ18" s="9"/>
      <c r="CR18" s="9"/>
      <c r="CS18" s="9"/>
      <c r="CT18" s="9"/>
      <c r="CU18" s="9"/>
      <c r="CV18" s="9"/>
      <c r="CW18" s="9"/>
      <c r="CX18" s="9"/>
      <c r="CY18" s="9"/>
      <c r="CZ18" s="9"/>
      <c r="DA18" s="9"/>
      <c r="DB18" s="9"/>
      <c r="DC18" s="9"/>
      <c r="DD18" s="9"/>
      <c r="DE18" s="9"/>
      <c r="DF18" s="9"/>
      <c r="DG18" s="9"/>
      <c r="DH18" s="9"/>
      <c r="DI18" s="9"/>
      <c r="DJ18" s="3">
        <v>1</v>
      </c>
      <c r="DL18"/>
    </row>
    <row r="19" spans="1:116" ht="22.5" customHeight="1">
      <c r="A19" s="9"/>
      <c r="B19" s="2010" t="s">
        <v>8819</v>
      </c>
      <c r="C19" s="433"/>
      <c r="D19" s="433"/>
      <c r="E19" s="433"/>
      <c r="F19" s="433"/>
      <c r="G19" s="433"/>
      <c r="H19" s="433"/>
      <c r="I19" s="472"/>
      <c r="J19" s="472"/>
      <c r="K19" s="472"/>
      <c r="L19" s="472"/>
      <c r="M19" s="472"/>
      <c r="N19" s="472"/>
      <c r="O19" s="472"/>
      <c r="P19" s="472"/>
      <c r="Q19" s="6634" t="s">
        <v>23</v>
      </c>
      <c r="R19" s="6634"/>
      <c r="S19" s="6634"/>
      <c r="T19" s="6634"/>
      <c r="U19" s="6634"/>
      <c r="V19" s="6636" t="s">
        <v>24</v>
      </c>
      <c r="W19" s="6636"/>
      <c r="X19" s="663" t="str">
        <f>IFERROR(LOWER(LEFT(TRIM(LEFT(V19,FIND("-",V19)-1)),4))&amp;"-"&amp;UPPER(LEFT(TRIM(MID(V19,FIND("-",V19)+1,99)),4)),"")</f>
        <v>pâti--ENT</v>
      </c>
      <c r="Y19" s="472"/>
      <c r="Z19" s="229" t="str">
        <f ca="1">X19&amp;"  Formule ► "&amp;_xlfn.FORMULATEXT(X19)</f>
        <v>pâti--ENT  Formule ► =SIERREUR(MINUSCULE(GAUCHE(SUPPRESPACE(GAUCHE(V19;TROUVE("-";V19)-1));4))&amp;"-"&amp;MAJUSCULE(GAUCHE(SUPPRESPACE(STXT(V19;TROUVE("-";V19)+1;99));4));"")</v>
      </c>
      <c r="AA19" s="229"/>
      <c r="AB19" s="229"/>
      <c r="AC19" s="229"/>
      <c r="AD19" s="229"/>
      <c r="AE19" s="229"/>
      <c r="AF19" s="229"/>
      <c r="AG19" s="229"/>
      <c r="AH19" s="14"/>
      <c r="AI19" s="472"/>
      <c r="AJ19" s="472"/>
      <c r="AK19" s="472"/>
      <c r="AL19" s="472"/>
      <c r="AM19" s="472"/>
      <c r="AN19" s="472"/>
      <c r="AO19" s="472"/>
      <c r="AP19" s="472"/>
      <c r="AQ19" s="472"/>
      <c r="AR19" s="2088" t="s">
        <v>8814</v>
      </c>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2088" t="s">
        <v>8808</v>
      </c>
      <c r="CB19" s="2084"/>
      <c r="CC19" s="2084"/>
      <c r="CD19" s="2084"/>
      <c r="CE19" s="2084"/>
      <c r="CF19" s="2084"/>
      <c r="CG19" s="2084"/>
      <c r="CH19" s="2084"/>
      <c r="CI19" s="2084"/>
      <c r="CJ19" s="2084"/>
      <c r="CK19" s="2084"/>
      <c r="CL19" s="2084"/>
      <c r="CM19" s="2084"/>
      <c r="CN19" s="2084"/>
      <c r="CO19" s="2084"/>
      <c r="CP19" s="2084"/>
      <c r="CQ19" s="9"/>
      <c r="CR19" s="9"/>
      <c r="CS19" s="9"/>
      <c r="CT19" s="9"/>
      <c r="CU19" s="9"/>
      <c r="CV19" s="9"/>
      <c r="CW19" s="9"/>
      <c r="CX19" s="9"/>
      <c r="CY19" s="9"/>
      <c r="CZ19" s="9"/>
      <c r="DA19" s="9"/>
      <c r="DB19" s="9"/>
      <c r="DC19" s="9"/>
      <c r="DD19" s="9"/>
      <c r="DE19" s="9"/>
      <c r="DF19" s="9"/>
      <c r="DG19" s="9"/>
      <c r="DH19" s="9"/>
      <c r="DI19" s="9"/>
      <c r="DJ19" s="3">
        <v>1</v>
      </c>
      <c r="DL19" s="198" t="s">
        <v>14242</v>
      </c>
    </row>
    <row r="20" spans="1:116" ht="22.5" customHeight="1">
      <c r="A20" s="9"/>
      <c r="B20" s="1994" t="s">
        <v>8640</v>
      </c>
      <c r="C20" s="433"/>
      <c r="D20" s="433"/>
      <c r="E20" s="433"/>
      <c r="F20" s="433"/>
      <c r="G20" s="433"/>
      <c r="H20" s="433"/>
      <c r="I20" s="472"/>
      <c r="J20" s="472"/>
      <c r="K20" s="472"/>
      <c r="L20" s="472"/>
      <c r="M20" s="472"/>
      <c r="N20" s="472"/>
      <c r="O20" s="472"/>
      <c r="P20" s="472"/>
      <c r="Q20" s="6635"/>
      <c r="R20" s="6635"/>
      <c r="S20" s="6635"/>
      <c r="T20" s="6635"/>
      <c r="U20" s="6635"/>
      <c r="V20" s="6637"/>
      <c r="W20" s="6637"/>
      <c r="X20" s="665" t="str">
        <f>IFERROR(LOWER(TRIM(MID(V19, FIND("-",V19, FIND("-",V19)+1)+1, 999))), "")</f>
        <v>entremet</v>
      </c>
      <c r="Y20" s="472"/>
      <c r="Z20" s="229" t="str">
        <f ca="1">X20&amp;"  Formule ► "&amp;_xlfn.FORMULATEXT(X20)</f>
        <v>entremet  Formule ► =SIERREUR(MINUSCULE(SUPPRESPACE(STXT(V19; TROUVE("-";V19; TROUVE("-";V19)+1)+1; 999))); "")</v>
      </c>
      <c r="AA20" s="229"/>
      <c r="AB20" s="229"/>
      <c r="AC20" s="229"/>
      <c r="AD20" s="229"/>
      <c r="AE20" s="229"/>
      <c r="AF20" s="229"/>
      <c r="AG20" s="229"/>
      <c r="AH20" s="14"/>
      <c r="AI20" s="472"/>
      <c r="AJ20" s="472"/>
      <c r="AK20" s="472"/>
      <c r="AL20" s="472"/>
      <c r="AM20" s="472"/>
      <c r="AN20" s="472"/>
      <c r="AO20" s="472"/>
      <c r="AP20" s="472"/>
      <c r="AQ20" s="472"/>
      <c r="AR20" s="1994" t="s">
        <v>8651</v>
      </c>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1994" t="s">
        <v>8650</v>
      </c>
      <c r="CB20" s="2084"/>
      <c r="CC20" s="2084"/>
      <c r="CD20" s="2084"/>
      <c r="CE20" s="2084"/>
      <c r="CF20" s="2084"/>
      <c r="CG20" s="2084"/>
      <c r="CH20" s="2084"/>
      <c r="CI20" s="2084"/>
      <c r="CJ20" s="2084"/>
      <c r="CK20" s="2084"/>
      <c r="CL20" s="2084"/>
      <c r="CM20" s="2084"/>
      <c r="CN20" s="2084"/>
      <c r="CO20" s="2084"/>
      <c r="CP20" s="2084"/>
      <c r="CQ20" s="9"/>
      <c r="CR20" s="9"/>
      <c r="CS20" s="9"/>
      <c r="CT20" s="9"/>
      <c r="CU20" s="9"/>
      <c r="CV20" s="9"/>
      <c r="CW20" s="9"/>
      <c r="CX20" s="9"/>
      <c r="CY20" s="9"/>
      <c r="CZ20" s="9"/>
      <c r="DA20" s="9"/>
      <c r="DB20" s="9"/>
      <c r="DC20" s="9"/>
      <c r="DD20" s="9"/>
      <c r="DE20" s="9"/>
      <c r="DF20" s="9"/>
      <c r="DG20" s="9"/>
      <c r="DH20" s="9"/>
      <c r="DI20" s="9"/>
      <c r="DJ20" s="3">
        <v>1</v>
      </c>
      <c r="DL20" s="198" t="s">
        <v>14230</v>
      </c>
    </row>
    <row r="21" spans="1:116" ht="22.5" customHeight="1">
      <c r="A21" s="9"/>
      <c r="B21" s="1387" t="s">
        <v>8800</v>
      </c>
      <c r="C21" s="472"/>
      <c r="D21" s="472"/>
      <c r="E21" s="472"/>
      <c r="F21" s="472"/>
      <c r="G21" s="472"/>
      <c r="H21" s="472"/>
      <c r="I21" s="472"/>
      <c r="J21" s="472"/>
      <c r="K21" s="472"/>
      <c r="L21" s="472"/>
      <c r="M21" s="472"/>
      <c r="N21" s="472"/>
      <c r="O21" s="472"/>
      <c r="P21" s="472"/>
      <c r="Q21" s="472"/>
      <c r="R21" s="472"/>
      <c r="S21" s="472"/>
      <c r="T21" s="472"/>
      <c r="U21" s="472"/>
      <c r="V21" s="472"/>
      <c r="W21" s="472"/>
      <c r="X21" s="662"/>
      <c r="Y21" s="472"/>
      <c r="Z21" s="229"/>
      <c r="AA21" s="229"/>
      <c r="AB21" s="229"/>
      <c r="AC21" s="229"/>
      <c r="AD21" s="229"/>
      <c r="AE21" s="229"/>
      <c r="AF21" s="229"/>
      <c r="AG21" s="229"/>
      <c r="AH21" s="14"/>
      <c r="AI21" s="472"/>
      <c r="AJ21" s="472"/>
      <c r="AK21" s="472"/>
      <c r="AL21" s="472"/>
      <c r="AM21" s="472"/>
      <c r="AN21" s="472"/>
      <c r="AO21" s="472"/>
      <c r="AP21" s="472"/>
      <c r="AQ21" s="472"/>
      <c r="AR21" s="2085" t="s">
        <v>8801</v>
      </c>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2085" t="s">
        <v>8802</v>
      </c>
      <c r="CB21" s="2084"/>
      <c r="CC21" s="2084"/>
      <c r="CD21" s="2084"/>
      <c r="CE21" s="2084"/>
      <c r="CF21" s="2084"/>
      <c r="CG21" s="2084"/>
      <c r="CH21" s="2084"/>
      <c r="CI21" s="2084"/>
      <c r="CJ21" s="2084"/>
      <c r="CK21" s="2084"/>
      <c r="CL21" s="2084"/>
      <c r="CM21" s="2084"/>
      <c r="CN21" s="2084"/>
      <c r="CO21" s="2084"/>
      <c r="CP21" s="2084"/>
      <c r="CQ21" s="9"/>
      <c r="CR21" s="9"/>
      <c r="CS21" s="9"/>
      <c r="CT21" s="9"/>
      <c r="CU21" s="9"/>
      <c r="CV21" s="9"/>
      <c r="CW21" s="9"/>
      <c r="CX21" s="9"/>
      <c r="CY21" s="9"/>
      <c r="CZ21" s="9"/>
      <c r="DA21" s="9"/>
      <c r="DB21" s="9"/>
      <c r="DC21" s="9"/>
      <c r="DD21" s="9"/>
      <c r="DE21" s="9"/>
      <c r="DF21" s="9"/>
      <c r="DG21" s="9"/>
      <c r="DH21" s="9"/>
      <c r="DI21" s="9"/>
      <c r="DJ21" s="3">
        <v>1</v>
      </c>
      <c r="DL21" s="198"/>
    </row>
    <row r="22" spans="1:116" ht="22.5" customHeight="1">
      <c r="A22" s="9"/>
      <c r="B22" s="437" t="s">
        <v>8228</v>
      </c>
      <c r="C22" s="472"/>
      <c r="D22" s="472"/>
      <c r="E22" s="472"/>
      <c r="F22" s="472"/>
      <c r="G22" s="472"/>
      <c r="H22" s="472"/>
      <c r="I22" s="472"/>
      <c r="J22" s="472"/>
      <c r="K22" s="472"/>
      <c r="L22" s="472"/>
      <c r="M22" s="472"/>
      <c r="N22" s="472"/>
      <c r="O22" s="472"/>
      <c r="P22" s="472"/>
      <c r="Q22" s="472"/>
      <c r="R22" s="472"/>
      <c r="S22" s="472"/>
      <c r="T22" s="472"/>
      <c r="U22" s="472"/>
      <c r="V22" s="472"/>
      <c r="W22" s="472"/>
      <c r="X22" s="662"/>
      <c r="Y22" s="472"/>
      <c r="Z22" s="472"/>
      <c r="AA22" s="472"/>
      <c r="AB22" s="14"/>
      <c r="AC22" s="472"/>
      <c r="AD22" s="472"/>
      <c r="AE22" s="14"/>
      <c r="AF22" s="472"/>
      <c r="AG22" s="662"/>
      <c r="AH22" s="14"/>
      <c r="AI22" s="472"/>
      <c r="AJ22" s="472"/>
      <c r="AK22" s="472"/>
      <c r="AL22" s="472"/>
      <c r="AM22" s="472"/>
      <c r="AN22" s="472"/>
      <c r="AO22" s="472"/>
      <c r="AP22" s="472"/>
      <c r="AQ22" s="472"/>
      <c r="AR22" s="1994" t="s">
        <v>8403</v>
      </c>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1994" t="s">
        <v>8404</v>
      </c>
      <c r="CB22" s="2084"/>
      <c r="CC22" s="2084"/>
      <c r="CD22" s="2084"/>
      <c r="CE22" s="2084"/>
      <c r="CF22" s="2084"/>
      <c r="CG22" s="2084"/>
      <c r="CH22" s="2084"/>
      <c r="CI22" s="2084"/>
      <c r="CJ22" s="2084"/>
      <c r="CK22" s="2084"/>
      <c r="CL22" s="2084"/>
      <c r="CM22" s="2084"/>
      <c r="CN22" s="2084"/>
      <c r="CO22" s="2084"/>
      <c r="CP22" s="2084"/>
      <c r="CQ22" s="9"/>
      <c r="CR22" s="9"/>
      <c r="CS22" s="9"/>
      <c r="CT22" s="9"/>
      <c r="CU22" s="9"/>
      <c r="CV22" s="9"/>
      <c r="CW22" s="9"/>
      <c r="CX22" s="9"/>
      <c r="CY22" s="9"/>
      <c r="CZ22" s="9"/>
      <c r="DA22" s="9"/>
      <c r="DB22" s="9"/>
      <c r="DC22" s="9"/>
      <c r="DD22" s="9"/>
      <c r="DE22" s="9"/>
      <c r="DF22" s="9"/>
      <c r="DG22" s="9"/>
      <c r="DH22" s="9"/>
      <c r="DI22" s="9"/>
      <c r="DJ22" s="3">
        <v>1</v>
      </c>
      <c r="DL22" s="198" t="s">
        <v>14233</v>
      </c>
    </row>
    <row r="23" spans="1:116" ht="22.5" customHeight="1">
      <c r="A23" s="9"/>
      <c r="B23" s="503" t="s">
        <v>943</v>
      </c>
      <c r="C23" s="472"/>
      <c r="D23" s="472"/>
      <c r="E23" s="472"/>
      <c r="F23" s="472"/>
      <c r="G23" s="472"/>
      <c r="H23" s="472"/>
      <c r="I23" s="472"/>
      <c r="J23" s="472"/>
      <c r="K23" s="472"/>
      <c r="L23" s="472"/>
      <c r="M23" s="472"/>
      <c r="N23" s="472"/>
      <c r="O23" s="472"/>
      <c r="P23" s="472"/>
      <c r="Q23" s="472"/>
      <c r="R23" s="472"/>
      <c r="S23" s="472"/>
      <c r="T23" s="472"/>
      <c r="U23" s="472"/>
      <c r="V23" s="472"/>
      <c r="W23" s="472"/>
      <c r="X23" s="662"/>
      <c r="Y23" s="472"/>
      <c r="Z23" s="472"/>
      <c r="AA23" s="472"/>
      <c r="AB23" s="14"/>
      <c r="AC23" s="472"/>
      <c r="AD23" s="472"/>
      <c r="AE23" s="14"/>
      <c r="AF23" s="472"/>
      <c r="AG23" s="662"/>
      <c r="AH23" s="14"/>
      <c r="AI23" s="472"/>
      <c r="AJ23" s="472"/>
      <c r="AK23" s="472"/>
      <c r="AL23" s="472"/>
      <c r="AM23" s="472"/>
      <c r="AN23" s="472"/>
      <c r="AO23" s="472"/>
      <c r="AP23" s="472"/>
      <c r="AQ23" s="472"/>
      <c r="AR23" s="503" t="s">
        <v>8854</v>
      </c>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503" t="s">
        <v>8856</v>
      </c>
      <c r="CT23" s="9"/>
      <c r="CU23" s="9"/>
      <c r="CV23" s="9"/>
      <c r="CW23" s="9"/>
      <c r="CX23" s="9"/>
      <c r="CY23" s="9"/>
      <c r="CZ23" s="9"/>
      <c r="DA23" s="9"/>
      <c r="DB23" s="9"/>
      <c r="DC23" s="9"/>
      <c r="DD23" s="9"/>
      <c r="DE23" s="9"/>
      <c r="DF23" s="9"/>
      <c r="DG23" s="9"/>
      <c r="DH23" s="9"/>
      <c r="DI23" s="9"/>
      <c r="DJ23" s="3">
        <v>1</v>
      </c>
      <c r="DL23" s="198" t="s">
        <v>14236</v>
      </c>
    </row>
    <row r="24" spans="1:116" ht="22.5" customHeight="1">
      <c r="A24" s="9"/>
      <c r="B24" s="664" t="s">
        <v>944</v>
      </c>
      <c r="C24" s="472"/>
      <c r="D24" s="472"/>
      <c r="E24" s="472"/>
      <c r="F24" s="472"/>
      <c r="G24" s="472"/>
      <c r="H24" s="472"/>
      <c r="I24" s="472"/>
      <c r="J24" s="472"/>
      <c r="K24" s="472"/>
      <c r="L24" s="472"/>
      <c r="M24" s="472"/>
      <c r="N24" s="472"/>
      <c r="O24" s="472"/>
      <c r="P24" s="472"/>
      <c r="Q24" s="472"/>
      <c r="R24" s="472"/>
      <c r="S24" s="472"/>
      <c r="T24" s="472"/>
      <c r="U24" s="472"/>
      <c r="V24" s="472"/>
      <c r="W24" s="472"/>
      <c r="X24" s="472"/>
      <c r="Y24" s="472"/>
      <c r="Z24" s="472"/>
      <c r="AA24" s="472"/>
      <c r="AB24" s="472"/>
      <c r="AC24" s="472"/>
      <c r="AD24" s="472"/>
      <c r="AE24" s="472"/>
      <c r="AF24" s="472"/>
      <c r="AG24" s="472"/>
      <c r="AH24" s="472"/>
      <c r="AI24" s="472"/>
      <c r="AJ24" s="472"/>
      <c r="AK24" s="472"/>
      <c r="AL24" s="472"/>
      <c r="AM24" s="472"/>
      <c r="AN24" s="472"/>
      <c r="AO24" s="472"/>
      <c r="AP24" s="472"/>
      <c r="AQ24" s="472"/>
      <c r="AR24" s="664" t="s">
        <v>8855</v>
      </c>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664" t="s">
        <v>8857</v>
      </c>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3">
        <v>1</v>
      </c>
      <c r="DL24"/>
    </row>
    <row r="25" spans="1:116" ht="18" customHeight="1">
      <c r="A25" s="9"/>
      <c r="B25" s="472"/>
      <c r="C25" s="472"/>
      <c r="D25" s="472"/>
      <c r="E25" s="472"/>
      <c r="F25" s="472"/>
      <c r="G25" s="472"/>
      <c r="H25" s="472"/>
      <c r="I25" s="472"/>
      <c r="J25" s="472"/>
      <c r="K25" s="472"/>
      <c r="L25" s="9"/>
      <c r="M25" s="9"/>
      <c r="N25" s="9"/>
      <c r="O25" s="9"/>
      <c r="P25" s="472"/>
      <c r="Q25" s="472"/>
      <c r="R25" s="472"/>
      <c r="S25" s="472"/>
      <c r="T25" s="472"/>
      <c r="U25" s="472"/>
      <c r="V25" s="472"/>
      <c r="W25" s="472"/>
      <c r="X25" s="472"/>
      <c r="Y25" s="472"/>
      <c r="Z25" s="472"/>
      <c r="AA25" s="472"/>
      <c r="AB25" s="14"/>
      <c r="AC25" s="9"/>
      <c r="AD25" s="9"/>
      <c r="AE25" s="14"/>
      <c r="AF25" s="9"/>
      <c r="AG25" s="9"/>
      <c r="AH25" s="14"/>
      <c r="AI25" s="667"/>
      <c r="AJ25" s="667"/>
      <c r="AK25" s="472"/>
      <c r="AL25" s="472"/>
      <c r="AM25" s="472"/>
      <c r="AN25" s="472"/>
      <c r="AO25" s="472"/>
      <c r="AP25" s="472"/>
      <c r="AQ25" s="472"/>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3">
        <v>1</v>
      </c>
      <c r="DL25"/>
    </row>
    <row r="26" spans="1:116" ht="18" customHeight="1" thickBo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14"/>
      <c r="AC26" s="9"/>
      <c r="AD26" s="9"/>
      <c r="AE26" s="14"/>
      <c r="AF26" s="9"/>
      <c r="AG26" s="9"/>
      <c r="AH26" s="14"/>
      <c r="AI26" s="472"/>
      <c r="AJ26" s="472"/>
      <c r="AK26" s="472"/>
      <c r="AL26" s="472"/>
      <c r="AM26" s="472"/>
      <c r="AN26" s="472"/>
      <c r="AO26" s="472"/>
      <c r="AP26" s="472"/>
      <c r="AQ26" s="472"/>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3">
        <v>1</v>
      </c>
      <c r="DL26" s="198" t="s">
        <v>14243</v>
      </c>
    </row>
    <row r="27" spans="1:116" ht="18" customHeight="1">
      <c r="A27" s="9"/>
      <c r="B27" s="6644" t="s">
        <v>1340</v>
      </c>
      <c r="C27" s="6644"/>
      <c r="D27" s="9"/>
      <c r="E27" s="6636" t="s">
        <v>1340</v>
      </c>
      <c r="F27" s="6636"/>
      <c r="G27" s="9"/>
      <c r="H27" s="6646" t="s">
        <v>1340</v>
      </c>
      <c r="I27" s="6646"/>
      <c r="J27" s="9"/>
      <c r="K27" s="6648" t="s">
        <v>1340</v>
      </c>
      <c r="L27" s="6648"/>
      <c r="M27" s="9"/>
      <c r="N27" s="6650" t="s">
        <v>1340</v>
      </c>
      <c r="O27" s="6650"/>
      <c r="P27" s="9"/>
      <c r="Q27" s="6652" t="s">
        <v>1340</v>
      </c>
      <c r="R27" s="6652"/>
      <c r="S27" s="9"/>
      <c r="T27" s="6657" t="s">
        <v>1340</v>
      </c>
      <c r="U27" s="6657"/>
      <c r="V27" s="9"/>
      <c r="W27" s="6653" t="s">
        <v>1340</v>
      </c>
      <c r="X27" s="6653"/>
      <c r="Y27" s="9"/>
      <c r="Z27" s="6629" t="s">
        <v>1340</v>
      </c>
      <c r="AA27" s="6629"/>
      <c r="AB27" s="14"/>
      <c r="AC27" s="6631" t="s">
        <v>1340</v>
      </c>
      <c r="AD27" s="6631"/>
      <c r="AE27" s="14"/>
      <c r="AF27" s="6640" t="s">
        <v>1340</v>
      </c>
      <c r="AG27" s="6640"/>
      <c r="AH27" s="14"/>
      <c r="AI27" s="6654" t="s">
        <v>946</v>
      </c>
      <c r="AJ27" s="6654"/>
      <c r="AL27" s="6654" t="s">
        <v>946</v>
      </c>
      <c r="AM27" s="6654"/>
      <c r="AO27" s="472"/>
      <c r="AP27" s="472"/>
      <c r="AR27" s="6644" t="s">
        <v>1790</v>
      </c>
      <c r="AS27" s="6644"/>
      <c r="AU27" s="6636" t="s">
        <v>1791</v>
      </c>
      <c r="AV27" s="6636"/>
      <c r="AX27" s="6646" t="s">
        <v>1792</v>
      </c>
      <c r="AY27" s="6646"/>
      <c r="BA27" s="6648" t="s">
        <v>1793</v>
      </c>
      <c r="BB27" s="6648"/>
      <c r="BD27" s="6650" t="s">
        <v>1793</v>
      </c>
      <c r="BE27" s="6650"/>
      <c r="BG27" s="6652" t="s">
        <v>1793</v>
      </c>
      <c r="BH27" s="6652"/>
      <c r="BJ27" s="6657" t="s">
        <v>1793</v>
      </c>
      <c r="BK27" s="6657"/>
      <c r="BM27" s="6653" t="s">
        <v>1793</v>
      </c>
      <c r="BN27" s="6653"/>
      <c r="BP27" s="6629" t="s">
        <v>1793</v>
      </c>
      <c r="BQ27" s="6629"/>
      <c r="BS27" s="6631" t="s">
        <v>1793</v>
      </c>
      <c r="BT27" s="6631"/>
      <c r="BV27" s="6640" t="s">
        <v>1794</v>
      </c>
      <c r="BW27" s="6640"/>
      <c r="BY27" s="889" t="s">
        <v>1795</v>
      </c>
      <c r="CA27" s="6642" t="s">
        <v>1796</v>
      </c>
      <c r="CB27" s="6642"/>
      <c r="CD27" s="6636" t="s">
        <v>1797</v>
      </c>
      <c r="CE27" s="6636"/>
      <c r="CG27" s="6646" t="s">
        <v>1798</v>
      </c>
      <c r="CH27" s="6646"/>
      <c r="CJ27" s="6648" t="s">
        <v>1799</v>
      </c>
      <c r="CK27" s="6648"/>
      <c r="CM27" s="6650" t="s">
        <v>1799</v>
      </c>
      <c r="CN27" s="6650"/>
      <c r="CP27" s="6652" t="s">
        <v>1799</v>
      </c>
      <c r="CQ27" s="6652"/>
      <c r="CS27" s="6657" t="s">
        <v>1799</v>
      </c>
      <c r="CT27" s="6657"/>
      <c r="CV27" s="6653" t="s">
        <v>1799</v>
      </c>
      <c r="CW27" s="6653"/>
      <c r="CY27" s="6629" t="s">
        <v>1799</v>
      </c>
      <c r="CZ27" s="6629"/>
      <c r="DB27" s="6631" t="s">
        <v>1800</v>
      </c>
      <c r="DC27" s="6631"/>
      <c r="DE27" s="6640" t="s">
        <v>1801</v>
      </c>
      <c r="DF27" s="6640"/>
      <c r="DH27" s="889" t="s">
        <v>1795</v>
      </c>
      <c r="DJ27" s="3">
        <v>1</v>
      </c>
      <c r="DL27" s="198" t="s">
        <v>14231</v>
      </c>
    </row>
    <row r="28" spans="1:116" ht="18" customHeight="1">
      <c r="A28" s="9"/>
      <c r="B28" s="6645"/>
      <c r="C28" s="6645"/>
      <c r="D28" s="9"/>
      <c r="E28" s="6637"/>
      <c r="F28" s="6637"/>
      <c r="G28" s="9"/>
      <c r="H28" s="6647"/>
      <c r="I28" s="6647"/>
      <c r="J28" s="9"/>
      <c r="K28" s="6649"/>
      <c r="L28" s="6649"/>
      <c r="M28" s="9"/>
      <c r="N28" s="6651"/>
      <c r="O28" s="6651"/>
      <c r="P28" s="9"/>
      <c r="Q28" s="6625"/>
      <c r="R28" s="6625"/>
      <c r="S28" s="9"/>
      <c r="T28" s="6626"/>
      <c r="U28" s="6626"/>
      <c r="V28" s="9"/>
      <c r="W28" s="6624"/>
      <c r="X28" s="6624"/>
      <c r="Y28" s="9"/>
      <c r="Z28" s="6630"/>
      <c r="AA28" s="6630"/>
      <c r="AB28" s="14"/>
      <c r="AC28" s="6632"/>
      <c r="AD28" s="6632"/>
      <c r="AE28" s="14"/>
      <c r="AF28" s="6641"/>
      <c r="AG28" s="6641"/>
      <c r="AH28" s="14"/>
      <c r="AI28" s="6654"/>
      <c r="AJ28" s="6654"/>
      <c r="AL28" s="6654"/>
      <c r="AM28" s="6654"/>
      <c r="AO28" s="472"/>
      <c r="AP28" s="472"/>
      <c r="AR28" s="6645" t="s">
        <v>114</v>
      </c>
      <c r="AS28" s="6645"/>
      <c r="AU28" s="6637" t="s">
        <v>114</v>
      </c>
      <c r="AV28" s="6637"/>
      <c r="AX28" s="6647" t="s">
        <v>114</v>
      </c>
      <c r="AY28" s="6647"/>
      <c r="BA28" s="6649" t="s">
        <v>114</v>
      </c>
      <c r="BB28" s="6649"/>
      <c r="BD28" s="6651" t="s">
        <v>114</v>
      </c>
      <c r="BE28" s="6651"/>
      <c r="BG28" s="6625" t="s">
        <v>114</v>
      </c>
      <c r="BH28" s="6625"/>
      <c r="BJ28" s="6626" t="s">
        <v>114</v>
      </c>
      <c r="BK28" s="6626"/>
      <c r="BM28" s="6624" t="s">
        <v>114</v>
      </c>
      <c r="BN28" s="6624"/>
      <c r="BP28" s="6630" t="s">
        <v>114</v>
      </c>
      <c r="BQ28" s="6630"/>
      <c r="BS28" s="6632" t="s">
        <v>114</v>
      </c>
      <c r="BT28" s="6632"/>
      <c r="BV28" s="6641" t="s">
        <v>114</v>
      </c>
      <c r="BW28" s="6641"/>
      <c r="BY28" s="889" t="s">
        <v>1802</v>
      </c>
      <c r="CA28" s="6643" t="s">
        <v>114</v>
      </c>
      <c r="CB28" s="6643"/>
      <c r="CD28" s="6637" t="s">
        <v>114</v>
      </c>
      <c r="CE28" s="6637"/>
      <c r="CG28" s="6647" t="s">
        <v>114</v>
      </c>
      <c r="CH28" s="6647"/>
      <c r="CJ28" s="6649" t="s">
        <v>114</v>
      </c>
      <c r="CK28" s="6649"/>
      <c r="CM28" s="6651" t="s">
        <v>114</v>
      </c>
      <c r="CN28" s="6651"/>
      <c r="CP28" s="6625" t="s">
        <v>114</v>
      </c>
      <c r="CQ28" s="6625"/>
      <c r="CS28" s="6626" t="s">
        <v>114</v>
      </c>
      <c r="CT28" s="6626"/>
      <c r="CV28" s="6624" t="s">
        <v>114</v>
      </c>
      <c r="CW28" s="6624"/>
      <c r="CY28" s="6630" t="s">
        <v>114</v>
      </c>
      <c r="CZ28" s="6630"/>
      <c r="DB28" s="6632" t="s">
        <v>114</v>
      </c>
      <c r="DC28" s="6632"/>
      <c r="DE28" s="6641" t="s">
        <v>114</v>
      </c>
      <c r="DF28" s="6641"/>
      <c r="DH28" s="889" t="s">
        <v>1802</v>
      </c>
      <c r="DJ28" s="3">
        <v>1</v>
      </c>
      <c r="DL28" s="198"/>
    </row>
    <row r="29" spans="1:116" ht="18" customHeight="1" thickBot="1">
      <c r="A29" s="9"/>
      <c r="B29" s="668" t="s">
        <v>947</v>
      </c>
      <c r="C29" s="669"/>
      <c r="D29" s="472"/>
      <c r="E29" s="668"/>
      <c r="F29" s="669"/>
      <c r="G29" s="472"/>
      <c r="H29" s="668"/>
      <c r="I29" s="669"/>
      <c r="J29" s="472"/>
      <c r="K29" s="668"/>
      <c r="L29" s="669"/>
      <c r="M29" s="472"/>
      <c r="N29" s="668"/>
      <c r="O29" s="669"/>
      <c r="P29" s="472"/>
      <c r="Q29" s="668" t="s">
        <v>947</v>
      </c>
      <c r="R29" s="669"/>
      <c r="S29" s="472"/>
      <c r="T29" s="668" t="s">
        <v>947</v>
      </c>
      <c r="U29" s="669"/>
      <c r="V29" s="472"/>
      <c r="W29" s="668" t="s">
        <v>947</v>
      </c>
      <c r="X29" s="669"/>
      <c r="Y29" s="472"/>
      <c r="Z29" s="668" t="s">
        <v>947</v>
      </c>
      <c r="AA29" s="669"/>
      <c r="AB29" s="14"/>
      <c r="AC29" s="668"/>
      <c r="AD29" s="669"/>
      <c r="AE29" s="14"/>
      <c r="AF29" s="668"/>
      <c r="AG29" s="669"/>
      <c r="AH29" s="14"/>
      <c r="AL29" s="472"/>
      <c r="AM29" s="472"/>
      <c r="AO29" s="472"/>
      <c r="AP29" s="472"/>
      <c r="AR29" s="668" t="s">
        <v>114</v>
      </c>
      <c r="AS29" s="669"/>
      <c r="AU29" s="668" t="s">
        <v>114</v>
      </c>
      <c r="AV29" s="669"/>
      <c r="AX29" s="668" t="s">
        <v>114</v>
      </c>
      <c r="AY29" s="669"/>
      <c r="BA29" t="s">
        <v>114</v>
      </c>
      <c r="BD29" s="668" t="s">
        <v>114</v>
      </c>
      <c r="BE29" s="669"/>
      <c r="BG29" s="668" t="s">
        <v>114</v>
      </c>
      <c r="BH29" s="669"/>
      <c r="BJ29" s="668" t="s">
        <v>114</v>
      </c>
      <c r="BK29" s="669"/>
      <c r="BM29" t="s">
        <v>114</v>
      </c>
      <c r="BP29" t="s">
        <v>114</v>
      </c>
      <c r="BS29" t="s">
        <v>114</v>
      </c>
      <c r="BV29" s="668" t="s">
        <v>114</v>
      </c>
      <c r="BW29" s="669"/>
      <c r="BY29" s="890" t="s">
        <v>1803</v>
      </c>
      <c r="CA29" s="668" t="s">
        <v>114</v>
      </c>
      <c r="CB29" s="669"/>
      <c r="CD29" s="633" t="s">
        <v>114</v>
      </c>
      <c r="CE29" s="633"/>
      <c r="CG29" s="633" t="s">
        <v>114</v>
      </c>
      <c r="CH29" s="633"/>
      <c r="CJ29" s="633" t="s">
        <v>114</v>
      </c>
      <c r="CK29" s="633"/>
      <c r="CM29" s="633" t="s">
        <v>114</v>
      </c>
      <c r="CN29" s="633"/>
      <c r="CP29" s="670" t="s">
        <v>114</v>
      </c>
      <c r="CQ29" s="670"/>
      <c r="CS29" s="633" t="s">
        <v>114</v>
      </c>
      <c r="CT29" s="633"/>
      <c r="CV29" s="633" t="s">
        <v>114</v>
      </c>
      <c r="CW29" s="633"/>
      <c r="CY29" s="633" t="s">
        <v>114</v>
      </c>
      <c r="CZ29" s="633"/>
      <c r="DB29" s="668" t="s">
        <v>114</v>
      </c>
      <c r="DC29" s="669"/>
      <c r="DE29" s="633" t="s">
        <v>114</v>
      </c>
      <c r="DF29" s="633"/>
      <c r="DH29" s="890" t="s">
        <v>1803</v>
      </c>
      <c r="DJ29" s="3">
        <v>1</v>
      </c>
      <c r="DL29" s="198" t="s">
        <v>14234</v>
      </c>
    </row>
    <row r="30" spans="1:116" ht="18" customHeight="1">
      <c r="B30" s="6644" t="s">
        <v>948</v>
      </c>
      <c r="C30" s="6644"/>
      <c r="E30" s="6655" t="s">
        <v>830</v>
      </c>
      <c r="F30" s="6655"/>
      <c r="H30" s="6646" t="s">
        <v>949</v>
      </c>
      <c r="I30" s="6646"/>
      <c r="K30" s="6648" t="s">
        <v>950</v>
      </c>
      <c r="L30" s="6648"/>
      <c r="N30" s="6650" t="s">
        <v>951</v>
      </c>
      <c r="O30" s="6650"/>
      <c r="Q30" s="6652" t="s">
        <v>952</v>
      </c>
      <c r="R30" s="6652"/>
      <c r="T30" s="6657" t="s">
        <v>953</v>
      </c>
      <c r="U30" s="6657"/>
      <c r="W30" s="6653" t="s">
        <v>954</v>
      </c>
      <c r="X30" s="6653"/>
      <c r="Z30" s="6629" t="s">
        <v>955</v>
      </c>
      <c r="AA30" s="6629"/>
      <c r="AC30" s="6631" t="s">
        <v>956</v>
      </c>
      <c r="AD30" s="6631"/>
      <c r="AF30" s="6640" t="s">
        <v>957</v>
      </c>
      <c r="AG30" s="6640"/>
      <c r="AI30" s="6658" t="s">
        <v>958</v>
      </c>
      <c r="AJ30" s="6658"/>
      <c r="AL30" s="472"/>
      <c r="AM30" s="472"/>
      <c r="AO30" s="472"/>
      <c r="AP30" s="472"/>
      <c r="AR30" s="6642" t="s">
        <v>1804</v>
      </c>
      <c r="AS30" s="6642"/>
      <c r="AU30" s="6636" t="s">
        <v>1805</v>
      </c>
      <c r="AV30" s="6636"/>
      <c r="AX30" s="6646" t="s">
        <v>8826</v>
      </c>
      <c r="AY30" s="6646"/>
      <c r="BA30" s="6648" t="s">
        <v>950</v>
      </c>
      <c r="BB30" s="6648"/>
      <c r="BD30" s="6650" t="s">
        <v>1806</v>
      </c>
      <c r="BE30" s="6650"/>
      <c r="BG30" s="6652" t="s">
        <v>1807</v>
      </c>
      <c r="BH30" s="6652"/>
      <c r="BJ30" s="6657" t="s">
        <v>1807</v>
      </c>
      <c r="BK30" s="6657"/>
      <c r="BM30" s="6653" t="s">
        <v>1807</v>
      </c>
      <c r="BN30" s="6653"/>
      <c r="BP30" s="6629" t="s">
        <v>1807</v>
      </c>
      <c r="BQ30" s="6629"/>
      <c r="BS30" s="6631" t="s">
        <v>1808</v>
      </c>
      <c r="BT30" s="6631"/>
      <c r="BV30" s="6640" t="s">
        <v>1809</v>
      </c>
      <c r="BW30" s="6640"/>
      <c r="BY30" s="891" t="s">
        <v>1810</v>
      </c>
      <c r="CA30" s="6642" t="s">
        <v>1811</v>
      </c>
      <c r="CB30" s="6642"/>
      <c r="CD30" s="6636" t="s">
        <v>1812</v>
      </c>
      <c r="CE30" s="6636"/>
      <c r="CG30" s="6646" t="s">
        <v>1813</v>
      </c>
      <c r="CH30" s="6646"/>
      <c r="CJ30" s="6648" t="s">
        <v>1814</v>
      </c>
      <c r="CK30" s="6648"/>
      <c r="CM30" s="6650" t="s">
        <v>1815</v>
      </c>
      <c r="CN30" s="6650"/>
      <c r="CP30" s="6652" t="s">
        <v>1816</v>
      </c>
      <c r="CQ30" s="6652"/>
      <c r="CS30" s="6657" t="s">
        <v>1816</v>
      </c>
      <c r="CT30" s="6657"/>
      <c r="CV30" s="6653" t="s">
        <v>1816</v>
      </c>
      <c r="CW30" s="6653"/>
      <c r="CY30" s="6629" t="s">
        <v>1816</v>
      </c>
      <c r="CZ30" s="6629"/>
      <c r="DB30" s="6631" t="s">
        <v>1817</v>
      </c>
      <c r="DC30" s="6631"/>
      <c r="DE30" s="6640" t="s">
        <v>1818</v>
      </c>
      <c r="DF30" s="6640"/>
      <c r="DH30" s="891" t="s">
        <v>1810</v>
      </c>
      <c r="DJ30" s="3">
        <v>1</v>
      </c>
      <c r="DL30" s="198" t="s">
        <v>14237</v>
      </c>
    </row>
    <row r="31" spans="1:116" ht="18" customHeight="1">
      <c r="B31" s="6645"/>
      <c r="C31" s="6645"/>
      <c r="E31" s="6656"/>
      <c r="F31" s="6656"/>
      <c r="H31" s="6647"/>
      <c r="I31" s="6647"/>
      <c r="K31" s="6649"/>
      <c r="L31" s="6649"/>
      <c r="N31" s="6651"/>
      <c r="O31" s="6651"/>
      <c r="Q31" s="6625"/>
      <c r="R31" s="6625"/>
      <c r="T31" s="6626"/>
      <c r="U31" s="6626"/>
      <c r="W31" s="6624"/>
      <c r="X31" s="6624"/>
      <c r="Z31" s="6630"/>
      <c r="AA31" s="6630"/>
      <c r="AC31" s="6632"/>
      <c r="AD31" s="6632"/>
      <c r="AF31" s="6641"/>
      <c r="AG31" s="6641"/>
      <c r="AI31" s="6658"/>
      <c r="AJ31" s="6658"/>
      <c r="AL31" s="472"/>
      <c r="AM31" s="472"/>
      <c r="AO31" s="406">
        <v>1</v>
      </c>
      <c r="AP31" s="406">
        <v>1</v>
      </c>
      <c r="AR31" s="6643" t="s">
        <v>114</v>
      </c>
      <c r="AS31" s="6643"/>
      <c r="AU31" s="6637" t="s">
        <v>114</v>
      </c>
      <c r="AV31" s="6637"/>
      <c r="AX31" s="6647" t="s">
        <v>114</v>
      </c>
      <c r="AY31" s="6647"/>
      <c r="BA31" s="6649" t="s">
        <v>114</v>
      </c>
      <c r="BB31" s="6649"/>
      <c r="BD31" s="6651" t="s">
        <v>114</v>
      </c>
      <c r="BE31" s="6651"/>
      <c r="BG31" s="6625" t="s">
        <v>114</v>
      </c>
      <c r="BH31" s="6625"/>
      <c r="BJ31" s="6626" t="s">
        <v>114</v>
      </c>
      <c r="BK31" s="6626"/>
      <c r="BM31" s="6624" t="s">
        <v>114</v>
      </c>
      <c r="BN31" s="6624"/>
      <c r="BP31" s="6630" t="s">
        <v>114</v>
      </c>
      <c r="BQ31" s="6630"/>
      <c r="BS31" s="6632" t="s">
        <v>114</v>
      </c>
      <c r="BT31" s="6632"/>
      <c r="BV31" s="6641" t="s">
        <v>114</v>
      </c>
      <c r="BW31" s="6641"/>
      <c r="BY31" s="892" t="s">
        <v>1819</v>
      </c>
      <c r="CA31" s="6643" t="s">
        <v>114</v>
      </c>
      <c r="CB31" s="6643"/>
      <c r="CD31" s="6637" t="s">
        <v>114</v>
      </c>
      <c r="CE31" s="6637"/>
      <c r="CG31" s="6647" t="s">
        <v>114</v>
      </c>
      <c r="CH31" s="6647"/>
      <c r="CJ31" s="6649" t="s">
        <v>114</v>
      </c>
      <c r="CK31" s="6649"/>
      <c r="CM31" s="6651" t="s">
        <v>114</v>
      </c>
      <c r="CN31" s="6651"/>
      <c r="CP31" s="6625" t="s">
        <v>114</v>
      </c>
      <c r="CQ31" s="6625"/>
      <c r="CS31" s="6626" t="s">
        <v>114</v>
      </c>
      <c r="CT31" s="6626"/>
      <c r="CV31" s="6624" t="s">
        <v>114</v>
      </c>
      <c r="CW31" s="6624"/>
      <c r="CY31" s="6630" t="s">
        <v>114</v>
      </c>
      <c r="CZ31" s="6630"/>
      <c r="DB31" s="6632" t="s">
        <v>114</v>
      </c>
      <c r="DC31" s="6632"/>
      <c r="DE31" s="6641" t="s">
        <v>114</v>
      </c>
      <c r="DF31" s="6641"/>
      <c r="DH31" s="892" t="s">
        <v>1819</v>
      </c>
      <c r="DJ31" s="3">
        <v>1</v>
      </c>
    </row>
    <row r="32" spans="1:116" s="627" customFormat="1" ht="18" customHeight="1" thickBot="1">
      <c r="A32"/>
      <c r="B32" s="633"/>
      <c r="C32" s="633"/>
      <c r="D32" s="633"/>
      <c r="E32" s="633"/>
      <c r="F32" s="633"/>
      <c r="G32" s="633"/>
      <c r="H32" s="633"/>
      <c r="I32" s="633"/>
      <c r="J32" s="633"/>
      <c r="K32" s="633"/>
      <c r="L32" s="633"/>
      <c r="M32" s="633"/>
      <c r="N32" s="633"/>
      <c r="O32" s="633"/>
      <c r="P32" s="633"/>
      <c r="Q32" s="670"/>
      <c r="R32" s="670"/>
      <c r="S32" s="633"/>
      <c r="T32" s="633"/>
      <c r="U32" s="633"/>
      <c r="V32" s="633"/>
      <c r="W32" s="633"/>
      <c r="X32" s="633"/>
      <c r="Y32" s="633"/>
      <c r="Z32" s="633"/>
      <c r="AA32" s="633"/>
      <c r="AB32" s="227"/>
      <c r="AC32" s="633"/>
      <c r="AD32" s="633"/>
      <c r="AE32" s="227"/>
      <c r="AF32" s="633"/>
      <c r="AG32" s="633"/>
      <c r="AH32" s="227"/>
      <c r="AI32" s="633"/>
      <c r="AJ32" s="633"/>
      <c r="AK32" s="633"/>
      <c r="AL32" s="472"/>
      <c r="AM32" s="472"/>
      <c r="AN32" s="633"/>
      <c r="AO32" s="671" t="s">
        <v>959</v>
      </c>
      <c r="AP32" s="472"/>
      <c r="AQ32" s="633"/>
      <c r="AR32" s="633" t="s">
        <v>114</v>
      </c>
      <c r="AS32" s="633"/>
      <c r="AU32" s="633" t="s">
        <v>114</v>
      </c>
      <c r="AV32" s="633"/>
      <c r="AX32" s="633" t="s">
        <v>114</v>
      </c>
      <c r="AY32" s="633"/>
      <c r="BA32" s="668" t="s">
        <v>114</v>
      </c>
      <c r="BB32" s="669"/>
      <c r="BD32" s="633" t="s">
        <v>114</v>
      </c>
      <c r="BE32" s="633"/>
      <c r="BG32" s="670" t="s">
        <v>114</v>
      </c>
      <c r="BH32" s="670"/>
      <c r="BJ32" s="633" t="s">
        <v>114</v>
      </c>
      <c r="BK32" s="633"/>
      <c r="BM32" t="s">
        <v>114</v>
      </c>
      <c r="BN32"/>
      <c r="BP32" t="s">
        <v>114</v>
      </c>
      <c r="BQ32"/>
      <c r="BS32" t="s">
        <v>114</v>
      </c>
      <c r="BT32"/>
      <c r="BV32" s="633" t="s">
        <v>114</v>
      </c>
      <c r="BW32" s="633"/>
      <c r="BX32"/>
      <c r="BY32" s="893" t="s">
        <v>1820</v>
      </c>
      <c r="BZ32"/>
      <c r="CA32" s="633" t="s">
        <v>114</v>
      </c>
      <c r="CB32" s="633"/>
      <c r="CD32" s="633" t="s">
        <v>114</v>
      </c>
      <c r="CE32" s="633"/>
      <c r="CG32" t="s">
        <v>114</v>
      </c>
      <c r="CH32"/>
      <c r="CJ32" s="633" t="s">
        <v>114</v>
      </c>
      <c r="CK32" s="633"/>
      <c r="CM32" s="633" t="s">
        <v>114</v>
      </c>
      <c r="CN32" s="633"/>
      <c r="CP32" s="670" t="s">
        <v>114</v>
      </c>
      <c r="CQ32" s="670"/>
      <c r="CS32" s="633" t="s">
        <v>114</v>
      </c>
      <c r="CT32" s="633"/>
      <c r="CV32" s="633" t="s">
        <v>114</v>
      </c>
      <c r="CW32" s="633"/>
      <c r="CY32" s="633" t="s">
        <v>114</v>
      </c>
      <c r="CZ32" s="633"/>
      <c r="DB32" s="633" t="s">
        <v>114</v>
      </c>
      <c r="DC32" s="633"/>
      <c r="DE32" s="633" t="s">
        <v>114</v>
      </c>
      <c r="DF32" s="633"/>
      <c r="DH32" s="893" t="s">
        <v>1820</v>
      </c>
      <c r="DI32"/>
      <c r="DJ32" s="3">
        <v>1</v>
      </c>
    </row>
    <row r="33" spans="1:114" s="627" customFormat="1" ht="18" customHeight="1">
      <c r="A33"/>
      <c r="B33" s="6659" t="s">
        <v>960</v>
      </c>
      <c r="C33" s="6659"/>
      <c r="D33" s="633"/>
      <c r="E33" s="6636" t="s">
        <v>961</v>
      </c>
      <c r="F33" s="6636"/>
      <c r="G33" s="633"/>
      <c r="H33" s="6646" t="s">
        <v>962</v>
      </c>
      <c r="I33" s="6646"/>
      <c r="J33" s="633"/>
      <c r="K33" s="6648" t="s">
        <v>963</v>
      </c>
      <c r="L33" s="6648"/>
      <c r="M33" s="633"/>
      <c r="N33" s="6650" t="s">
        <v>964</v>
      </c>
      <c r="O33" s="6650"/>
      <c r="P33" s="633"/>
      <c r="Q33" s="6652" t="s">
        <v>965</v>
      </c>
      <c r="R33" s="6652"/>
      <c r="S33" s="633"/>
      <c r="T33" s="6657" t="s">
        <v>966</v>
      </c>
      <c r="U33" s="6657"/>
      <c r="V33" s="633"/>
      <c r="W33" s="6653" t="s">
        <v>967</v>
      </c>
      <c r="X33" s="6653"/>
      <c r="Y33" s="633"/>
      <c r="Z33" s="6629" t="s">
        <v>968</v>
      </c>
      <c r="AA33" s="6629"/>
      <c r="AB33" s="227"/>
      <c r="AC33" s="6631" t="s">
        <v>969</v>
      </c>
      <c r="AD33" s="6631"/>
      <c r="AE33" s="227"/>
      <c r="AF33" s="6640" t="s">
        <v>970</v>
      </c>
      <c r="AG33" s="6640"/>
      <c r="AH33" s="227"/>
      <c r="AI33" s="6626" t="s">
        <v>971</v>
      </c>
      <c r="AJ33" s="6626"/>
      <c r="AK33" s="633"/>
      <c r="AL33" s="6624" t="s">
        <v>972</v>
      </c>
      <c r="AM33" s="6624"/>
      <c r="AN33" s="633"/>
      <c r="AO33" s="6661" t="s">
        <v>973</v>
      </c>
      <c r="AP33" s="6661"/>
      <c r="AQ33" s="633"/>
      <c r="AR33" s="6659" t="s">
        <v>990</v>
      </c>
      <c r="AS33" s="6659"/>
      <c r="AU33" s="6636" t="s">
        <v>1821</v>
      </c>
      <c r="AV33" s="6636"/>
      <c r="AX33" s="6646" t="s">
        <v>8827</v>
      </c>
      <c r="AY33" s="6646"/>
      <c r="BA33" s="6648" t="s">
        <v>1822</v>
      </c>
      <c r="BB33" s="6648"/>
      <c r="BD33" s="6650" t="s">
        <v>1823</v>
      </c>
      <c r="BE33" s="6650"/>
      <c r="BG33" s="6652" t="s">
        <v>1824</v>
      </c>
      <c r="BH33" s="6652"/>
      <c r="BJ33" s="6657" t="s">
        <v>1825</v>
      </c>
      <c r="BK33" s="6657"/>
      <c r="BM33" s="6653" t="s">
        <v>1826</v>
      </c>
      <c r="BN33" s="6653"/>
      <c r="BP33" s="6629" t="s">
        <v>1827</v>
      </c>
      <c r="BQ33" s="6629"/>
      <c r="BS33" s="6631" t="s">
        <v>1828</v>
      </c>
      <c r="BT33" s="6631"/>
      <c r="BV33" s="6640" t="s">
        <v>1829</v>
      </c>
      <c r="BW33" s="6640"/>
      <c r="BX33"/>
      <c r="BY33" s="894" t="s">
        <v>1830</v>
      </c>
      <c r="BZ33"/>
      <c r="CA33" s="6659" t="s">
        <v>1831</v>
      </c>
      <c r="CB33" s="6659"/>
      <c r="CD33" s="6636" t="s">
        <v>1832</v>
      </c>
      <c r="CE33" s="6636"/>
      <c r="CG33" s="6646" t="s">
        <v>1833</v>
      </c>
      <c r="CH33" s="6646"/>
      <c r="CJ33" s="6648" t="s">
        <v>1834</v>
      </c>
      <c r="CK33" s="6648"/>
      <c r="CM33" s="6650" t="s">
        <v>1835</v>
      </c>
      <c r="CN33" s="6650"/>
      <c r="CP33" s="6652" t="s">
        <v>1836</v>
      </c>
      <c r="CQ33" s="6652"/>
      <c r="CS33" s="6657" t="s">
        <v>1837</v>
      </c>
      <c r="CT33" s="6657"/>
      <c r="CV33" s="6653" t="s">
        <v>1838</v>
      </c>
      <c r="CW33" s="6653"/>
      <c r="CY33" s="6629" t="s">
        <v>1839</v>
      </c>
      <c r="CZ33" s="6629"/>
      <c r="DB33" s="6631" t="s">
        <v>1840</v>
      </c>
      <c r="DC33" s="6631"/>
      <c r="DE33" s="6640" t="s">
        <v>1841</v>
      </c>
      <c r="DF33" s="6640"/>
      <c r="DH33" s="894" t="s">
        <v>1830</v>
      </c>
      <c r="DI33"/>
      <c r="DJ33" s="3">
        <v>1</v>
      </c>
    </row>
    <row r="34" spans="1:114" s="627" customFormat="1" ht="18" customHeight="1">
      <c r="A34" s="630"/>
      <c r="B34" s="6660"/>
      <c r="C34" s="6660"/>
      <c r="D34" s="633"/>
      <c r="E34" s="6637"/>
      <c r="F34" s="6637"/>
      <c r="G34" s="633"/>
      <c r="H34" s="6647"/>
      <c r="I34" s="6647"/>
      <c r="J34" s="633"/>
      <c r="K34" s="6649"/>
      <c r="L34" s="6649"/>
      <c r="M34" s="633"/>
      <c r="N34" s="6651"/>
      <c r="O34" s="6651"/>
      <c r="P34" s="633"/>
      <c r="Q34" s="6625"/>
      <c r="R34" s="6625"/>
      <c r="S34" s="633"/>
      <c r="T34" s="6626"/>
      <c r="U34" s="6626"/>
      <c r="V34" s="633"/>
      <c r="W34" s="6624"/>
      <c r="X34" s="6624"/>
      <c r="Y34" s="633"/>
      <c r="Z34" s="6630"/>
      <c r="AA34" s="6630"/>
      <c r="AB34" s="227"/>
      <c r="AC34" s="6632"/>
      <c r="AD34" s="6632"/>
      <c r="AE34" s="227"/>
      <c r="AF34" s="6641"/>
      <c r="AG34" s="6641"/>
      <c r="AH34" s="227"/>
      <c r="AI34" s="6626"/>
      <c r="AJ34" s="6626"/>
      <c r="AK34" s="633"/>
      <c r="AL34" s="6624"/>
      <c r="AM34" s="6624"/>
      <c r="AN34" s="633"/>
      <c r="AO34" s="6662" t="s">
        <v>974</v>
      </c>
      <c r="AP34" s="6663"/>
      <c r="AQ34" s="633"/>
      <c r="AR34" s="6660" t="s">
        <v>114</v>
      </c>
      <c r="AS34" s="6660"/>
      <c r="AU34" s="6637" t="s">
        <v>114</v>
      </c>
      <c r="AV34" s="6637"/>
      <c r="AX34" s="6647" t="s">
        <v>114</v>
      </c>
      <c r="AY34" s="6647"/>
      <c r="BA34" s="6649" t="s">
        <v>114</v>
      </c>
      <c r="BB34" s="6649"/>
      <c r="BD34" s="6651" t="s">
        <v>114</v>
      </c>
      <c r="BE34" s="6651"/>
      <c r="BG34" s="6625" t="s">
        <v>114</v>
      </c>
      <c r="BH34" s="6625"/>
      <c r="BJ34" s="6626" t="s">
        <v>114</v>
      </c>
      <c r="BK34" s="6626"/>
      <c r="BM34" s="6624" t="s">
        <v>114</v>
      </c>
      <c r="BN34" s="6624"/>
      <c r="BP34" s="6630" t="s">
        <v>114</v>
      </c>
      <c r="BQ34" s="6630"/>
      <c r="BS34" s="6632" t="s">
        <v>114</v>
      </c>
      <c r="BT34" s="6632"/>
      <c r="BV34" s="6641" t="s">
        <v>114</v>
      </c>
      <c r="BW34" s="6641"/>
      <c r="BX34"/>
      <c r="BY34" s="895" t="s">
        <v>1842</v>
      </c>
      <c r="BZ34"/>
      <c r="CA34" s="6660" t="s">
        <v>114</v>
      </c>
      <c r="CB34" s="6660"/>
      <c r="CD34" s="6637" t="s">
        <v>114</v>
      </c>
      <c r="CE34" s="6637"/>
      <c r="CG34" s="6647" t="s">
        <v>114</v>
      </c>
      <c r="CH34" s="6647"/>
      <c r="CJ34" s="6649" t="s">
        <v>114</v>
      </c>
      <c r="CK34" s="6649"/>
      <c r="CM34" s="6651" t="s">
        <v>114</v>
      </c>
      <c r="CN34" s="6651"/>
      <c r="CP34" s="6625" t="s">
        <v>114</v>
      </c>
      <c r="CQ34" s="6625"/>
      <c r="CS34" s="6626" t="s">
        <v>114</v>
      </c>
      <c r="CT34" s="6626"/>
      <c r="CV34" s="6624" t="s">
        <v>114</v>
      </c>
      <c r="CW34" s="6624"/>
      <c r="CY34" s="6630" t="s">
        <v>114</v>
      </c>
      <c r="CZ34" s="6630"/>
      <c r="DB34" s="6632" t="s">
        <v>114</v>
      </c>
      <c r="DC34" s="6632"/>
      <c r="DE34" s="6641" t="s">
        <v>114</v>
      </c>
      <c r="DF34" s="6641"/>
      <c r="DH34" s="895" t="s">
        <v>1842</v>
      </c>
      <c r="DI34"/>
      <c r="DJ34" s="3">
        <v>1</v>
      </c>
    </row>
    <row r="35" spans="1:114" s="627" customFormat="1" ht="18" customHeight="1" thickBot="1">
      <c r="A35"/>
      <c r="B35" s="633"/>
      <c r="C35" s="633"/>
      <c r="D35" s="633"/>
      <c r="E35" s="633"/>
      <c r="F35" s="633"/>
      <c r="G35" s="633"/>
      <c r="H35" s="633"/>
      <c r="I35" s="633"/>
      <c r="J35" s="633"/>
      <c r="K35" s="633"/>
      <c r="L35" s="633"/>
      <c r="M35" s="633"/>
      <c r="N35" s="633"/>
      <c r="O35" s="633"/>
      <c r="P35" s="633"/>
      <c r="Q35" s="670"/>
      <c r="R35" s="670"/>
      <c r="S35" s="633"/>
      <c r="T35" s="633"/>
      <c r="U35" s="633"/>
      <c r="V35" s="633"/>
      <c r="W35" s="633"/>
      <c r="X35" s="633"/>
      <c r="Y35" s="633"/>
      <c r="Z35" s="633"/>
      <c r="AA35" s="633"/>
      <c r="AB35" s="227"/>
      <c r="AC35" s="633"/>
      <c r="AD35" s="633"/>
      <c r="AE35" s="227"/>
      <c r="AF35" s="633"/>
      <c r="AG35" s="633"/>
      <c r="AH35" s="227"/>
      <c r="AI35" s="633"/>
      <c r="AJ35" s="633"/>
      <c r="AK35" s="633"/>
      <c r="AL35" s="633"/>
      <c r="AM35" s="633"/>
      <c r="AN35" s="633"/>
      <c r="AO35" s="6664"/>
      <c r="AP35" s="6665"/>
      <c r="AQ35" s="633"/>
      <c r="AR35" s="633" t="s">
        <v>114</v>
      </c>
      <c r="AS35" s="633"/>
      <c r="AU35" s="633" t="s">
        <v>114</v>
      </c>
      <c r="AV35" s="633"/>
      <c r="AX35" s="633" t="s">
        <v>114</v>
      </c>
      <c r="AY35" s="633"/>
      <c r="BA35" s="633" t="s">
        <v>114</v>
      </c>
      <c r="BB35" s="633"/>
      <c r="BD35" s="633" t="s">
        <v>114</v>
      </c>
      <c r="BE35" s="633"/>
      <c r="BG35" s="670" t="s">
        <v>114</v>
      </c>
      <c r="BH35" s="670"/>
      <c r="BJ35" s="633" t="s">
        <v>114</v>
      </c>
      <c r="BK35" s="633"/>
      <c r="BM35" s="633" t="s">
        <v>114</v>
      </c>
      <c r="BN35" s="633"/>
      <c r="BP35" s="633" t="s">
        <v>114</v>
      </c>
      <c r="BQ35" s="633"/>
      <c r="BS35" s="668" t="s">
        <v>114</v>
      </c>
      <c r="BT35" s="669"/>
      <c r="BV35" s="633" t="s">
        <v>114</v>
      </c>
      <c r="BW35" s="633"/>
      <c r="BX35"/>
      <c r="BY35" s="896" t="s">
        <v>1843</v>
      </c>
      <c r="BZ35"/>
      <c r="CA35" s="633" t="s">
        <v>114</v>
      </c>
      <c r="CB35" s="633"/>
      <c r="CD35" s="633" t="s">
        <v>114</v>
      </c>
      <c r="CE35" s="633"/>
      <c r="CG35" s="633" t="s">
        <v>114</v>
      </c>
      <c r="CH35" s="633"/>
      <c r="CJ35" s="633" t="s">
        <v>114</v>
      </c>
      <c r="CK35" s="633"/>
      <c r="CM35" s="633" t="s">
        <v>114</v>
      </c>
      <c r="CN35" s="633"/>
      <c r="CP35" s="670" t="s">
        <v>114</v>
      </c>
      <c r="CQ35" s="670"/>
      <c r="CS35" s="633" t="s">
        <v>114</v>
      </c>
      <c r="CT35" s="633"/>
      <c r="CV35" s="633" t="s">
        <v>114</v>
      </c>
      <c r="CW35" s="633"/>
      <c r="CY35" s="633" t="s">
        <v>114</v>
      </c>
      <c r="CZ35" s="633"/>
      <c r="DB35" s="633" t="s">
        <v>114</v>
      </c>
      <c r="DC35" s="633"/>
      <c r="DE35" s="633" t="s">
        <v>114</v>
      </c>
      <c r="DF35" s="633"/>
      <c r="DH35" s="896" t="s">
        <v>1843</v>
      </c>
      <c r="DI35"/>
      <c r="DJ35" s="3">
        <v>1</v>
      </c>
    </row>
    <row r="36" spans="1:114" s="627" customFormat="1" ht="18" customHeight="1">
      <c r="A36"/>
      <c r="B36" s="6668" t="s">
        <v>975</v>
      </c>
      <c r="C36" s="6668"/>
      <c r="D36" s="633"/>
      <c r="E36" s="6655" t="s">
        <v>976</v>
      </c>
      <c r="F36" s="6655"/>
      <c r="G36" s="633"/>
      <c r="H36" s="6646" t="s">
        <v>977</v>
      </c>
      <c r="I36" s="6646"/>
      <c r="J36" s="633"/>
      <c r="K36" s="6648" t="s">
        <v>978</v>
      </c>
      <c r="L36" s="6648"/>
      <c r="M36" s="633"/>
      <c r="N36" s="6650" t="s">
        <v>979</v>
      </c>
      <c r="O36" s="6650"/>
      <c r="P36" s="633"/>
      <c r="Q36" s="6652" t="s">
        <v>980</v>
      </c>
      <c r="R36" s="6652"/>
      <c r="S36" s="633"/>
      <c r="T36" s="6657" t="s">
        <v>981</v>
      </c>
      <c r="U36" s="6657"/>
      <c r="V36" s="633"/>
      <c r="W36" s="6653" t="s">
        <v>982</v>
      </c>
      <c r="X36" s="6653"/>
      <c r="Y36" s="633"/>
      <c r="Z36" s="6629" t="s">
        <v>983</v>
      </c>
      <c r="AA36" s="6629"/>
      <c r="AB36" s="227"/>
      <c r="AC36" s="6631" t="s">
        <v>984</v>
      </c>
      <c r="AD36" s="6631"/>
      <c r="AE36" s="227"/>
      <c r="AF36" s="6640" t="s">
        <v>985</v>
      </c>
      <c r="AG36" s="6640"/>
      <c r="AH36" s="227"/>
      <c r="AI36" s="6630" t="s">
        <v>986</v>
      </c>
      <c r="AJ36" s="6630"/>
      <c r="AK36" s="633"/>
      <c r="AL36" s="6660" t="s">
        <v>987</v>
      </c>
      <c r="AM36" s="6660"/>
      <c r="AN36" s="633"/>
      <c r="AO36" s="6666"/>
      <c r="AP36" s="6667"/>
      <c r="AQ36" s="633"/>
      <c r="AR36" s="6668" t="s">
        <v>1844</v>
      </c>
      <c r="AS36" s="6668"/>
      <c r="AU36" s="6655" t="s">
        <v>1845</v>
      </c>
      <c r="AV36" s="6655"/>
      <c r="AX36" s="6646" t="s">
        <v>8828</v>
      </c>
      <c r="AY36" s="6646"/>
      <c r="BA36" s="6648" t="s">
        <v>1846</v>
      </c>
      <c r="BB36" s="6648"/>
      <c r="BD36" s="6650" t="s">
        <v>1847</v>
      </c>
      <c r="BE36" s="6650"/>
      <c r="BG36" s="6652" t="s">
        <v>1848</v>
      </c>
      <c r="BH36" s="6652"/>
      <c r="BJ36" s="6657" t="s">
        <v>1849</v>
      </c>
      <c r="BK36" s="6657"/>
      <c r="BM36" s="6672" t="s">
        <v>1850</v>
      </c>
      <c r="BN36" s="6672"/>
      <c r="BP36" s="6629" t="s">
        <v>1851</v>
      </c>
      <c r="BQ36" s="6629"/>
      <c r="BS36" s="6631" t="s">
        <v>1852</v>
      </c>
      <c r="BT36" s="6631"/>
      <c r="BV36" s="6640" t="s">
        <v>1853</v>
      </c>
      <c r="BW36" s="6640"/>
      <c r="BX36"/>
      <c r="BY36" s="897" t="s">
        <v>1854</v>
      </c>
      <c r="BZ36"/>
      <c r="CA36" s="6668" t="s">
        <v>1855</v>
      </c>
      <c r="CB36" s="6668"/>
      <c r="CD36" s="6636" t="s">
        <v>1856</v>
      </c>
      <c r="CE36" s="6636"/>
      <c r="CG36" s="6646" t="s">
        <v>992</v>
      </c>
      <c r="CH36" s="6646"/>
      <c r="CJ36" s="6648" t="s">
        <v>1857</v>
      </c>
      <c r="CK36" s="6648"/>
      <c r="CM36" s="6650" t="s">
        <v>1858</v>
      </c>
      <c r="CN36" s="6650"/>
      <c r="CP36" s="6652" t="s">
        <v>1859</v>
      </c>
      <c r="CQ36" s="6652"/>
      <c r="CS36" s="6657" t="s">
        <v>1860</v>
      </c>
      <c r="CT36" s="6657"/>
      <c r="CV36" s="6653" t="s">
        <v>1861</v>
      </c>
      <c r="CW36" s="6653"/>
      <c r="CY36" s="6629" t="s">
        <v>1862</v>
      </c>
      <c r="CZ36" s="6629"/>
      <c r="DB36" s="6631" t="s">
        <v>1863</v>
      </c>
      <c r="DC36" s="6631"/>
      <c r="DE36" s="6640" t="s">
        <v>1864</v>
      </c>
      <c r="DF36" s="6640"/>
      <c r="DH36" s="897" t="s">
        <v>1854</v>
      </c>
      <c r="DI36"/>
      <c r="DJ36" s="3">
        <v>1</v>
      </c>
    </row>
    <row r="37" spans="1:114" s="627" customFormat="1" ht="18" customHeight="1">
      <c r="A37"/>
      <c r="B37" s="6669"/>
      <c r="C37" s="6669"/>
      <c r="D37" s="633"/>
      <c r="E37" s="6656"/>
      <c r="F37" s="6656"/>
      <c r="G37" s="633"/>
      <c r="H37" s="6647"/>
      <c r="I37" s="6647"/>
      <c r="J37" s="633"/>
      <c r="K37" s="6649"/>
      <c r="L37" s="6649"/>
      <c r="M37" s="633"/>
      <c r="N37" s="6651"/>
      <c r="O37" s="6651"/>
      <c r="P37" s="633"/>
      <c r="Q37" s="6625"/>
      <c r="R37" s="6625"/>
      <c r="S37" s="633"/>
      <c r="T37" s="6626"/>
      <c r="U37" s="6626"/>
      <c r="V37" s="633"/>
      <c r="W37" s="6624"/>
      <c r="X37" s="6624"/>
      <c r="Y37" s="633"/>
      <c r="Z37" s="6630"/>
      <c r="AA37" s="6630"/>
      <c r="AB37" s="227"/>
      <c r="AC37" s="6632"/>
      <c r="AD37" s="6632"/>
      <c r="AE37" s="227"/>
      <c r="AF37" s="6641"/>
      <c r="AG37" s="6641"/>
      <c r="AH37" s="227"/>
      <c r="AI37" s="6630"/>
      <c r="AJ37" s="6630"/>
      <c r="AK37" s="633"/>
      <c r="AL37" s="6660"/>
      <c r="AM37" s="6660"/>
      <c r="AN37" s="633"/>
      <c r="AO37" s="672" t="s">
        <v>988</v>
      </c>
      <c r="AP37" s="672"/>
      <c r="AQ37" s="633"/>
      <c r="AR37" s="6669" t="s">
        <v>114</v>
      </c>
      <c r="AS37" s="6669"/>
      <c r="AU37" s="6656" t="s">
        <v>114</v>
      </c>
      <c r="AV37" s="6656"/>
      <c r="AX37" s="6647" t="s">
        <v>114</v>
      </c>
      <c r="AY37" s="6647"/>
      <c r="BA37" s="6649" t="s">
        <v>114</v>
      </c>
      <c r="BB37" s="6649"/>
      <c r="BD37" s="6651" t="s">
        <v>114</v>
      </c>
      <c r="BE37" s="6651"/>
      <c r="BG37" s="6625" t="s">
        <v>114</v>
      </c>
      <c r="BH37" s="6625"/>
      <c r="BJ37" s="6626" t="s">
        <v>114</v>
      </c>
      <c r="BK37" s="6626"/>
      <c r="BM37" s="6673" t="s">
        <v>114</v>
      </c>
      <c r="BN37" s="6673"/>
      <c r="BP37" s="6630" t="s">
        <v>114</v>
      </c>
      <c r="BQ37" s="6630"/>
      <c r="BS37" s="6632" t="s">
        <v>114</v>
      </c>
      <c r="BT37" s="6632"/>
      <c r="BV37" s="6641" t="s">
        <v>114</v>
      </c>
      <c r="BW37" s="6641"/>
      <c r="BX37"/>
      <c r="BY37" s="898" t="s">
        <v>1865</v>
      </c>
      <c r="BZ37"/>
      <c r="CA37" s="6669" t="s">
        <v>114</v>
      </c>
      <c r="CB37" s="6669"/>
      <c r="CD37" s="6637" t="s">
        <v>114</v>
      </c>
      <c r="CE37" s="6637"/>
      <c r="CG37" s="6647" t="s">
        <v>114</v>
      </c>
      <c r="CH37" s="6647"/>
      <c r="CJ37" s="6649" t="s">
        <v>114</v>
      </c>
      <c r="CK37" s="6649"/>
      <c r="CM37" s="6651" t="s">
        <v>114</v>
      </c>
      <c r="CN37" s="6651"/>
      <c r="CP37" s="6625" t="s">
        <v>114</v>
      </c>
      <c r="CQ37" s="6625"/>
      <c r="CS37" s="6626" t="s">
        <v>114</v>
      </c>
      <c r="CT37" s="6626"/>
      <c r="CV37" s="6624" t="s">
        <v>114</v>
      </c>
      <c r="CW37" s="6624"/>
      <c r="CY37" s="6630" t="s">
        <v>114</v>
      </c>
      <c r="CZ37" s="6630"/>
      <c r="DB37" s="6632" t="s">
        <v>114</v>
      </c>
      <c r="DC37" s="6632"/>
      <c r="DE37" s="6641" t="s">
        <v>114</v>
      </c>
      <c r="DF37" s="6641"/>
      <c r="DH37" s="898" t="s">
        <v>1865</v>
      </c>
      <c r="DI37"/>
      <c r="DJ37" s="3">
        <v>1</v>
      </c>
    </row>
    <row r="38" spans="1:114" s="627" customFormat="1" ht="18" customHeight="1" thickBot="1">
      <c r="A38"/>
      <c r="B38" s="633"/>
      <c r="C38" s="633"/>
      <c r="D38" s="633"/>
      <c r="E38" s="633"/>
      <c r="F38" s="633"/>
      <c r="G38" s="633"/>
      <c r="H38"/>
      <c r="I38"/>
      <c r="J38" s="633"/>
      <c r="K38" s="633"/>
      <c r="L38" s="633"/>
      <c r="M38" s="633"/>
      <c r="N38" s="633"/>
      <c r="O38" s="633"/>
      <c r="P38" s="633"/>
      <c r="Q38" s="670"/>
      <c r="R38" s="670"/>
      <c r="S38" s="633"/>
      <c r="T38" s="633"/>
      <c r="U38" s="633"/>
      <c r="V38" s="633"/>
      <c r="W38" s="633"/>
      <c r="X38" s="633"/>
      <c r="Y38" s="633"/>
      <c r="Z38" s="633"/>
      <c r="AA38" s="633"/>
      <c r="AB38" s="227"/>
      <c r="AC38" s="633"/>
      <c r="AD38" s="633"/>
      <c r="AE38" s="227"/>
      <c r="AF38" s="633"/>
      <c r="AG38" s="633"/>
      <c r="AH38" s="227"/>
      <c r="AI38" s="633"/>
      <c r="AJ38" s="633"/>
      <c r="AK38" s="633"/>
      <c r="AL38" s="633"/>
      <c r="AM38" s="633"/>
      <c r="AN38" s="633"/>
      <c r="AO38" s="6680" t="s">
        <v>989</v>
      </c>
      <c r="AP38" s="6681"/>
      <c r="AQ38" s="633"/>
      <c r="AR38" s="633" t="s">
        <v>114</v>
      </c>
      <c r="AS38" s="633"/>
      <c r="AU38" s="633" t="s">
        <v>114</v>
      </c>
      <c r="AV38" s="633"/>
      <c r="AX38" t="s">
        <v>114</v>
      </c>
      <c r="AY38"/>
      <c r="BA38" s="633" t="s">
        <v>114</v>
      </c>
      <c r="BB38" s="633"/>
      <c r="BD38" s="633" t="s">
        <v>114</v>
      </c>
      <c r="BE38" s="633"/>
      <c r="BG38" s="670" t="s">
        <v>114</v>
      </c>
      <c r="BH38" s="670"/>
      <c r="BJ38" s="633" t="s">
        <v>114</v>
      </c>
      <c r="BK38" s="633"/>
      <c r="BM38" s="633" t="s">
        <v>114</v>
      </c>
      <c r="BN38" s="633"/>
      <c r="BP38" s="633" t="s">
        <v>114</v>
      </c>
      <c r="BQ38" s="633"/>
      <c r="BS38" s="633" t="s">
        <v>114</v>
      </c>
      <c r="BT38" s="633"/>
      <c r="BV38" s="633" t="s">
        <v>114</v>
      </c>
      <c r="BW38" s="633"/>
      <c r="BX38"/>
      <c r="BY38" s="633"/>
      <c r="BZ38"/>
      <c r="CA38" s="633" t="s">
        <v>114</v>
      </c>
      <c r="CB38" s="633"/>
      <c r="CD38" s="633" t="s">
        <v>114</v>
      </c>
      <c r="CE38" s="633"/>
      <c r="CG38" s="633" t="s">
        <v>114</v>
      </c>
      <c r="CH38" s="633"/>
      <c r="CJ38" s="633" t="s">
        <v>114</v>
      </c>
      <c r="CK38" s="633"/>
      <c r="CM38" s="633" t="s">
        <v>114</v>
      </c>
      <c r="CN38" s="633"/>
      <c r="CP38" s="670" t="s">
        <v>114</v>
      </c>
      <c r="CQ38" s="670"/>
      <c r="CS38" s="633" t="s">
        <v>114</v>
      </c>
      <c r="CT38" s="633"/>
      <c r="CV38" s="633" t="s">
        <v>114</v>
      </c>
      <c r="CW38" s="633"/>
      <c r="CY38" s="633" t="s">
        <v>114</v>
      </c>
      <c r="CZ38" s="633"/>
      <c r="DB38" s="633" t="s">
        <v>114</v>
      </c>
      <c r="DC38" s="633"/>
      <c r="DE38" s="633" t="s">
        <v>114</v>
      </c>
      <c r="DF38" s="633"/>
      <c r="DH38" s="633"/>
      <c r="DI38"/>
      <c r="DJ38" s="3">
        <v>1</v>
      </c>
    </row>
    <row r="39" spans="1:114" s="627" customFormat="1" ht="18" customHeight="1">
      <c r="A39"/>
      <c r="B39" s="6670" t="s">
        <v>990</v>
      </c>
      <c r="C39" s="6670"/>
      <c r="D39" s="633"/>
      <c r="E39" s="6636" t="s">
        <v>991</v>
      </c>
      <c r="F39" s="6636"/>
      <c r="G39" s="633"/>
      <c r="H39" s="6646" t="s">
        <v>992</v>
      </c>
      <c r="I39" s="6646"/>
      <c r="J39" s="633"/>
      <c r="K39" s="6648" t="s">
        <v>993</v>
      </c>
      <c r="L39" s="6648"/>
      <c r="M39" s="633"/>
      <c r="N39" s="6650" t="s">
        <v>994</v>
      </c>
      <c r="O39" s="6650"/>
      <c r="P39" s="633"/>
      <c r="Q39" s="6652" t="s">
        <v>995</v>
      </c>
      <c r="R39" s="6652"/>
      <c r="S39" s="633"/>
      <c r="T39" s="6657" t="s">
        <v>996</v>
      </c>
      <c r="U39" s="6657"/>
      <c r="V39" s="633"/>
      <c r="W39" s="6653" t="s">
        <v>997</v>
      </c>
      <c r="X39" s="6653"/>
      <c r="Y39" s="633"/>
      <c r="Z39" s="6629" t="s">
        <v>998</v>
      </c>
      <c r="AA39" s="6629"/>
      <c r="AB39" s="227"/>
      <c r="AC39" s="6631" t="s">
        <v>999</v>
      </c>
      <c r="AD39" s="6631"/>
      <c r="AE39" s="227"/>
      <c r="AF39" s="6640" t="s">
        <v>1000</v>
      </c>
      <c r="AG39" s="6640"/>
      <c r="AH39" s="227"/>
      <c r="AI39" s="6674" t="s">
        <v>1001</v>
      </c>
      <c r="AJ39" s="6674"/>
      <c r="AK39" s="633"/>
      <c r="AL39" s="6675" t="s">
        <v>1002</v>
      </c>
      <c r="AM39" s="6675"/>
      <c r="AN39" s="633"/>
      <c r="AO39" s="6682"/>
      <c r="AP39" s="6683"/>
      <c r="AQ39" s="633"/>
      <c r="AR39" s="6670" t="s">
        <v>1866</v>
      </c>
      <c r="AS39" s="6670"/>
      <c r="AU39" s="6636" t="s">
        <v>1867</v>
      </c>
      <c r="AV39" s="6636"/>
      <c r="AX39" s="6646" t="s">
        <v>8829</v>
      </c>
      <c r="AY39" s="6646"/>
      <c r="BA39" s="6648" t="s">
        <v>1868</v>
      </c>
      <c r="BB39" s="6648"/>
      <c r="BD39" s="6650" t="s">
        <v>1869</v>
      </c>
      <c r="BE39" s="6650"/>
      <c r="BG39" s="6652" t="s">
        <v>1870</v>
      </c>
      <c r="BH39" s="6652"/>
      <c r="BJ39" s="6657" t="s">
        <v>1871</v>
      </c>
      <c r="BK39" s="6657"/>
      <c r="BM39" s="6653" t="s">
        <v>1872</v>
      </c>
      <c r="BN39" s="6653"/>
      <c r="BP39" s="6629" t="s">
        <v>1873</v>
      </c>
      <c r="BQ39" s="6629"/>
      <c r="BS39" s="6631" t="s">
        <v>1874</v>
      </c>
      <c r="BT39" s="6631"/>
      <c r="BV39" s="6640" t="s">
        <v>1875</v>
      </c>
      <c r="BW39" s="6640"/>
      <c r="BX39"/>
      <c r="BY39" s="633"/>
      <c r="BZ39"/>
      <c r="CA39" s="6670" t="s">
        <v>1876</v>
      </c>
      <c r="CB39" s="6670"/>
      <c r="CD39" s="6636" t="s">
        <v>1877</v>
      </c>
      <c r="CE39" s="6636"/>
      <c r="CG39" s="6646" t="s">
        <v>1006</v>
      </c>
      <c r="CH39" s="6646"/>
      <c r="CJ39" s="6648" t="s">
        <v>1878</v>
      </c>
      <c r="CK39" s="6648"/>
      <c r="CM39" s="6650" t="s">
        <v>1879</v>
      </c>
      <c r="CN39" s="6650"/>
      <c r="CP39" s="6652" t="s">
        <v>1880</v>
      </c>
      <c r="CQ39" s="6652"/>
      <c r="CS39" s="6657" t="s">
        <v>1881</v>
      </c>
      <c r="CT39" s="6657"/>
      <c r="CV39" s="6653" t="s">
        <v>1882</v>
      </c>
      <c r="CW39" s="6653"/>
      <c r="CY39" s="6629" t="s">
        <v>1883</v>
      </c>
      <c r="CZ39" s="6629"/>
      <c r="DB39" s="6631" t="s">
        <v>1884</v>
      </c>
      <c r="DC39" s="6631"/>
      <c r="DE39" s="6640" t="s">
        <v>1885</v>
      </c>
      <c r="DF39" s="6640"/>
      <c r="DH39" s="633"/>
      <c r="DI39"/>
      <c r="DJ39" s="3">
        <v>1</v>
      </c>
    </row>
    <row r="40" spans="1:114" s="627" customFormat="1" ht="18" customHeight="1">
      <c r="A40"/>
      <c r="B40" s="6671"/>
      <c r="C40" s="6671"/>
      <c r="D40" s="633"/>
      <c r="E40" s="6637"/>
      <c r="F40" s="6637"/>
      <c r="G40" s="633"/>
      <c r="H40" s="6647"/>
      <c r="I40" s="6647"/>
      <c r="J40" s="633"/>
      <c r="K40" s="6649"/>
      <c r="L40" s="6649"/>
      <c r="M40" s="633"/>
      <c r="N40" s="6651"/>
      <c r="O40" s="6651"/>
      <c r="P40" s="633"/>
      <c r="Q40" s="6625"/>
      <c r="R40" s="6625"/>
      <c r="S40" s="633"/>
      <c r="T40" s="6626"/>
      <c r="U40" s="6626"/>
      <c r="V40" s="633"/>
      <c r="W40" s="6624"/>
      <c r="X40" s="6624"/>
      <c r="Y40" s="633"/>
      <c r="Z40" s="6630"/>
      <c r="AA40" s="6630"/>
      <c r="AB40" s="227"/>
      <c r="AC40" s="6632"/>
      <c r="AD40" s="6632"/>
      <c r="AE40" s="227"/>
      <c r="AF40" s="6641"/>
      <c r="AG40" s="6641"/>
      <c r="AH40" s="227"/>
      <c r="AI40" s="6674"/>
      <c r="AJ40" s="6674"/>
      <c r="AK40" s="633"/>
      <c r="AL40" s="6675"/>
      <c r="AM40" s="6675"/>
      <c r="AN40" s="633"/>
      <c r="AO40" s="649">
        <v>1</v>
      </c>
      <c r="AP40" s="649">
        <v>1</v>
      </c>
      <c r="AQ40" s="633"/>
      <c r="AR40" s="6671" t="s">
        <v>114</v>
      </c>
      <c r="AS40" s="6671"/>
      <c r="AU40" s="6637" t="s">
        <v>114</v>
      </c>
      <c r="AV40" s="6637"/>
      <c r="AX40" s="6647" t="s">
        <v>114</v>
      </c>
      <c r="AY40" s="6647"/>
      <c r="BA40" s="6649" t="s">
        <v>114</v>
      </c>
      <c r="BB40" s="6649"/>
      <c r="BD40" s="6651" t="s">
        <v>114</v>
      </c>
      <c r="BE40" s="6651"/>
      <c r="BG40" s="6625" t="s">
        <v>114</v>
      </c>
      <c r="BH40" s="6625"/>
      <c r="BJ40" s="6626" t="s">
        <v>114</v>
      </c>
      <c r="BK40" s="6626"/>
      <c r="BM40" s="6624" t="s">
        <v>114</v>
      </c>
      <c r="BN40" s="6624"/>
      <c r="BP40" s="6630" t="s">
        <v>114</v>
      </c>
      <c r="BQ40" s="6630"/>
      <c r="BS40" s="6632" t="s">
        <v>114</v>
      </c>
      <c r="BT40" s="6632"/>
      <c r="BV40" s="6641" t="s">
        <v>114</v>
      </c>
      <c r="BW40" s="6641"/>
      <c r="BX40"/>
      <c r="BY40" s="889" t="s">
        <v>1886</v>
      </c>
      <c r="BZ40"/>
      <c r="CA40" s="6671" t="s">
        <v>114</v>
      </c>
      <c r="CB40" s="6671"/>
      <c r="CD40" s="6637" t="s">
        <v>114</v>
      </c>
      <c r="CE40" s="6637"/>
      <c r="CG40" s="6647" t="s">
        <v>114</v>
      </c>
      <c r="CH40" s="6647"/>
      <c r="CJ40" s="6649" t="s">
        <v>114</v>
      </c>
      <c r="CK40" s="6649"/>
      <c r="CM40" s="6651" t="s">
        <v>114</v>
      </c>
      <c r="CN40" s="6651"/>
      <c r="CP40" s="6625" t="s">
        <v>114</v>
      </c>
      <c r="CQ40" s="6625"/>
      <c r="CS40" s="6626" t="s">
        <v>114</v>
      </c>
      <c r="CT40" s="6626"/>
      <c r="CV40" s="6624" t="s">
        <v>114</v>
      </c>
      <c r="CW40" s="6624"/>
      <c r="CY40" s="6630" t="s">
        <v>114</v>
      </c>
      <c r="CZ40" s="6630"/>
      <c r="DB40" s="6632" t="s">
        <v>114</v>
      </c>
      <c r="DC40" s="6632"/>
      <c r="DE40" s="6641" t="s">
        <v>114</v>
      </c>
      <c r="DF40" s="6641"/>
      <c r="DH40" s="889" t="s">
        <v>1886</v>
      </c>
      <c r="DI40"/>
      <c r="DJ40" s="3">
        <v>1</v>
      </c>
    </row>
    <row r="41" spans="1:114" s="627" customFormat="1" ht="18" customHeight="1" thickBot="1">
      <c r="A41"/>
      <c r="B41" s="633"/>
      <c r="C41" s="633"/>
      <c r="D41" s="633"/>
      <c r="E41" s="633"/>
      <c r="F41" s="633"/>
      <c r="G41" s="633"/>
      <c r="H41" s="633"/>
      <c r="I41" s="633"/>
      <c r="J41" s="633"/>
      <c r="K41" s="633"/>
      <c r="L41" s="633"/>
      <c r="M41" s="633"/>
      <c r="N41" s="633"/>
      <c r="O41" s="633"/>
      <c r="P41" s="633"/>
      <c r="Q41" s="670"/>
      <c r="R41" s="670"/>
      <c r="S41" s="633"/>
      <c r="T41" s="633"/>
      <c r="U41" s="633"/>
      <c r="V41" s="633"/>
      <c r="W41" s="633"/>
      <c r="X41" s="633"/>
      <c r="Y41" s="633"/>
      <c r="Z41" s="633"/>
      <c r="AA41" s="633"/>
      <c r="AB41" s="227"/>
      <c r="AC41" s="633"/>
      <c r="AD41" s="633"/>
      <c r="AE41" s="227"/>
      <c r="AF41" s="633"/>
      <c r="AG41" s="633"/>
      <c r="AH41" s="227"/>
      <c r="AI41" s="633"/>
      <c r="AJ41" s="633"/>
      <c r="AK41" s="633"/>
      <c r="AL41" s="633"/>
      <c r="AM41" s="633"/>
      <c r="AN41" s="633"/>
      <c r="AO41" s="6684" t="s">
        <v>1003</v>
      </c>
      <c r="AP41" s="6685"/>
      <c r="AQ41" s="633"/>
      <c r="AR41" s="633" t="s">
        <v>114</v>
      </c>
      <c r="AS41" s="633"/>
      <c r="AU41" s="633" t="s">
        <v>114</v>
      </c>
      <c r="AV41" s="633"/>
      <c r="AX41" s="633" t="s">
        <v>114</v>
      </c>
      <c r="AY41" s="633"/>
      <c r="BA41" s="633" t="s">
        <v>114</v>
      </c>
      <c r="BB41" s="633"/>
      <c r="BD41" s="633" t="s">
        <v>114</v>
      </c>
      <c r="BE41" s="633"/>
      <c r="BG41" s="670" t="s">
        <v>114</v>
      </c>
      <c r="BH41" s="670"/>
      <c r="BJ41" s="633" t="s">
        <v>114</v>
      </c>
      <c r="BK41" s="633"/>
      <c r="BM41" s="633" t="s">
        <v>114</v>
      </c>
      <c r="BN41" s="633"/>
      <c r="BP41" s="633" t="s">
        <v>114</v>
      </c>
      <c r="BQ41" s="633"/>
      <c r="BS41" s="633" t="s">
        <v>114</v>
      </c>
      <c r="BT41" s="633"/>
      <c r="BV41" s="633" t="s">
        <v>114</v>
      </c>
      <c r="BW41" s="633"/>
      <c r="BX41"/>
      <c r="BY41" s="889" t="s">
        <v>1802</v>
      </c>
      <c r="BZ41"/>
      <c r="CA41" s="633" t="s">
        <v>114</v>
      </c>
      <c r="CB41" s="633"/>
      <c r="CD41" s="633" t="s">
        <v>114</v>
      </c>
      <c r="CE41" s="633"/>
      <c r="CG41" s="633" t="s">
        <v>114</v>
      </c>
      <c r="CH41" s="633"/>
      <c r="CJ41" s="633" t="s">
        <v>114</v>
      </c>
      <c r="CK41" s="633"/>
      <c r="CM41" s="633" t="s">
        <v>114</v>
      </c>
      <c r="CN41" s="633"/>
      <c r="CP41" s="670" t="s">
        <v>114</v>
      </c>
      <c r="CQ41" s="670"/>
      <c r="CS41" s="633" t="s">
        <v>114</v>
      </c>
      <c r="CT41" s="633"/>
      <c r="CV41" s="633" t="s">
        <v>114</v>
      </c>
      <c r="CW41" s="633"/>
      <c r="CY41" s="633" t="s">
        <v>114</v>
      </c>
      <c r="CZ41" s="633"/>
      <c r="DB41" s="633" t="s">
        <v>114</v>
      </c>
      <c r="DC41" s="633"/>
      <c r="DE41" s="633" t="s">
        <v>114</v>
      </c>
      <c r="DF41" s="633"/>
      <c r="DH41" s="889" t="s">
        <v>1802</v>
      </c>
      <c r="DI41"/>
      <c r="DJ41" s="3">
        <v>1</v>
      </c>
    </row>
    <row r="42" spans="1:114" s="627" customFormat="1" ht="18" customHeight="1">
      <c r="A42"/>
      <c r="B42" s="6686" t="s">
        <v>1004</v>
      </c>
      <c r="C42" s="6686"/>
      <c r="D42" s="633"/>
      <c r="E42" s="6636" t="s">
        <v>1005</v>
      </c>
      <c r="F42" s="6636"/>
      <c r="G42" s="633"/>
      <c r="H42" s="6646" t="s">
        <v>1006</v>
      </c>
      <c r="I42" s="6646"/>
      <c r="J42" s="633"/>
      <c r="K42" s="6648" t="s">
        <v>1007</v>
      </c>
      <c r="L42" s="6648"/>
      <c r="M42" s="633"/>
      <c r="N42" s="6650" t="s">
        <v>1008</v>
      </c>
      <c r="O42" s="6650"/>
      <c r="P42" s="633"/>
      <c r="Q42" s="6652" t="s">
        <v>1009</v>
      </c>
      <c r="R42" s="6652"/>
      <c r="S42" s="633"/>
      <c r="T42" s="6657" t="s">
        <v>1010</v>
      </c>
      <c r="U42" s="6657"/>
      <c r="V42" s="633"/>
      <c r="W42" s="6653" t="s">
        <v>1011</v>
      </c>
      <c r="X42" s="6653"/>
      <c r="Y42" s="633"/>
      <c r="Z42" s="6629" t="s">
        <v>1012</v>
      </c>
      <c r="AA42" s="6629"/>
      <c r="AB42" s="227"/>
      <c r="AC42" s="6631" t="s">
        <v>1013</v>
      </c>
      <c r="AD42" s="6631"/>
      <c r="AE42" s="227"/>
      <c r="AF42" s="6640" t="s">
        <v>1014</v>
      </c>
      <c r="AG42" s="6640"/>
      <c r="AH42" s="227"/>
      <c r="AI42" s="6676" t="s">
        <v>1015</v>
      </c>
      <c r="AJ42" s="6676"/>
      <c r="AK42" s="633"/>
      <c r="AL42" s="6677" t="s">
        <v>1016</v>
      </c>
      <c r="AM42" s="6677"/>
      <c r="AN42" s="633"/>
      <c r="AO42" s="6678" t="s">
        <v>1017</v>
      </c>
      <c r="AP42" s="6679"/>
      <c r="AQ42" s="633"/>
      <c r="AR42" s="6686" t="s">
        <v>1035</v>
      </c>
      <c r="AS42" s="6686"/>
      <c r="AU42" s="6636" t="s">
        <v>1887</v>
      </c>
      <c r="AV42" s="6636"/>
      <c r="AX42" s="6646" t="s">
        <v>8830</v>
      </c>
      <c r="AY42" s="6646"/>
      <c r="BA42" s="6648" t="s">
        <v>1888</v>
      </c>
      <c r="BB42" s="6648"/>
      <c r="BD42" s="6650" t="s">
        <v>1889</v>
      </c>
      <c r="BE42" s="6650"/>
      <c r="BG42" s="6652" t="s">
        <v>1890</v>
      </c>
      <c r="BH42" s="6652"/>
      <c r="BJ42" s="6657" t="s">
        <v>1891</v>
      </c>
      <c r="BK42" s="6657"/>
      <c r="BM42" s="6653" t="s">
        <v>1892</v>
      </c>
      <c r="BN42" s="6653"/>
      <c r="BP42" s="6629" t="s">
        <v>1893</v>
      </c>
      <c r="BQ42" s="6629"/>
      <c r="BS42" s="6631" t="s">
        <v>1894</v>
      </c>
      <c r="BT42" s="6631"/>
      <c r="BV42" s="6640" t="s">
        <v>1895</v>
      </c>
      <c r="BW42" s="6640"/>
      <c r="BX42"/>
      <c r="BY42" s="890" t="s">
        <v>1896</v>
      </c>
      <c r="BZ42"/>
      <c r="CA42" s="6686" t="s">
        <v>1897</v>
      </c>
      <c r="CB42" s="6686"/>
      <c r="CD42" s="6636" t="s">
        <v>1898</v>
      </c>
      <c r="CE42" s="6636"/>
      <c r="CG42" s="6646" t="s">
        <v>1899</v>
      </c>
      <c r="CH42" s="6646"/>
      <c r="CJ42" s="6648" t="s">
        <v>1900</v>
      </c>
      <c r="CK42" s="6648"/>
      <c r="CM42" s="6650" t="s">
        <v>1901</v>
      </c>
      <c r="CN42" s="6650"/>
      <c r="CP42" s="6652" t="s">
        <v>1902</v>
      </c>
      <c r="CQ42" s="6652"/>
      <c r="CS42" s="6657" t="s">
        <v>1903</v>
      </c>
      <c r="CT42" s="6657"/>
      <c r="CV42" s="6653" t="s">
        <v>1904</v>
      </c>
      <c r="CW42" s="6653"/>
      <c r="CY42" s="6629" t="s">
        <v>1905</v>
      </c>
      <c r="CZ42" s="6629"/>
      <c r="DB42" s="6631" t="s">
        <v>1906</v>
      </c>
      <c r="DC42" s="6631"/>
      <c r="DE42" s="6640" t="s">
        <v>1907</v>
      </c>
      <c r="DF42" s="6640"/>
      <c r="DH42" s="890" t="s">
        <v>1896</v>
      </c>
      <c r="DI42"/>
      <c r="DJ42" s="3">
        <v>1</v>
      </c>
    </row>
    <row r="43" spans="1:114" s="627" customFormat="1" ht="18" customHeight="1">
      <c r="A43"/>
      <c r="B43" s="6687"/>
      <c r="C43" s="6687"/>
      <c r="D43" s="633"/>
      <c r="E43" s="6637"/>
      <c r="F43" s="6637"/>
      <c r="G43" s="633"/>
      <c r="H43" s="6647"/>
      <c r="I43" s="6647"/>
      <c r="J43" s="633"/>
      <c r="K43" s="6649"/>
      <c r="L43" s="6649"/>
      <c r="M43" s="633"/>
      <c r="N43" s="6651"/>
      <c r="O43" s="6651"/>
      <c r="P43" s="633"/>
      <c r="Q43" s="6625"/>
      <c r="R43" s="6625"/>
      <c r="S43" s="633"/>
      <c r="T43" s="6626"/>
      <c r="U43" s="6626"/>
      <c r="V43" s="633"/>
      <c r="W43" s="6624"/>
      <c r="X43" s="6624"/>
      <c r="Y43" s="633"/>
      <c r="Z43" s="6630"/>
      <c r="AA43" s="6630"/>
      <c r="AB43" s="227"/>
      <c r="AC43" s="6632"/>
      <c r="AD43" s="6632"/>
      <c r="AE43" s="227"/>
      <c r="AF43" s="6641"/>
      <c r="AG43" s="6641"/>
      <c r="AH43" s="227"/>
      <c r="AI43" s="6676"/>
      <c r="AJ43" s="6676"/>
      <c r="AK43" s="633"/>
      <c r="AL43" s="6677"/>
      <c r="AM43" s="6677"/>
      <c r="AN43" s="633"/>
      <c r="AO43" s="673" t="s">
        <v>1018</v>
      </c>
      <c r="AP43" s="674"/>
      <c r="AQ43" s="633"/>
      <c r="AR43" s="6687" t="s">
        <v>114</v>
      </c>
      <c r="AS43" s="6687"/>
      <c r="AU43" s="6637" t="s">
        <v>114</v>
      </c>
      <c r="AV43" s="6637"/>
      <c r="AX43" s="6647" t="s">
        <v>114</v>
      </c>
      <c r="AY43" s="6647"/>
      <c r="BA43" s="6649" t="s">
        <v>114</v>
      </c>
      <c r="BB43" s="6649"/>
      <c r="BD43" s="6651" t="s">
        <v>114</v>
      </c>
      <c r="BE43" s="6651"/>
      <c r="BG43" s="6625" t="s">
        <v>114</v>
      </c>
      <c r="BH43" s="6625"/>
      <c r="BJ43" s="6626" t="s">
        <v>114</v>
      </c>
      <c r="BK43" s="6626"/>
      <c r="BM43" s="6624" t="s">
        <v>114</v>
      </c>
      <c r="BN43" s="6624"/>
      <c r="BP43" s="6630" t="s">
        <v>114</v>
      </c>
      <c r="BQ43" s="6630"/>
      <c r="BS43" s="6632" t="s">
        <v>114</v>
      </c>
      <c r="BT43" s="6632"/>
      <c r="BV43" s="6641" t="s">
        <v>114</v>
      </c>
      <c r="BW43" s="6641"/>
      <c r="BX43"/>
      <c r="BY43" s="891" t="s">
        <v>1908</v>
      </c>
      <c r="BZ43"/>
      <c r="CA43" s="6687" t="s">
        <v>114</v>
      </c>
      <c r="CB43" s="6687"/>
      <c r="CD43" s="6637" t="s">
        <v>114</v>
      </c>
      <c r="CE43" s="6637"/>
      <c r="CG43" s="6647" t="s">
        <v>114</v>
      </c>
      <c r="CH43" s="6647"/>
      <c r="CJ43" s="6649" t="s">
        <v>114</v>
      </c>
      <c r="CK43" s="6649"/>
      <c r="CM43" s="6651" t="s">
        <v>114</v>
      </c>
      <c r="CN43" s="6651"/>
      <c r="CP43" s="6625" t="s">
        <v>114</v>
      </c>
      <c r="CQ43" s="6625"/>
      <c r="CS43" s="6626" t="s">
        <v>114</v>
      </c>
      <c r="CT43" s="6626"/>
      <c r="CV43" s="6624" t="s">
        <v>114</v>
      </c>
      <c r="CW43" s="6624"/>
      <c r="CY43" s="6630" t="s">
        <v>114</v>
      </c>
      <c r="CZ43" s="6630"/>
      <c r="DB43" s="6632" t="s">
        <v>114</v>
      </c>
      <c r="DC43" s="6632"/>
      <c r="DE43" s="6641" t="s">
        <v>114</v>
      </c>
      <c r="DF43" s="6641"/>
      <c r="DH43" s="891" t="s">
        <v>1908</v>
      </c>
      <c r="DI43"/>
      <c r="DJ43" s="3">
        <v>1</v>
      </c>
    </row>
    <row r="44" spans="1:114" s="627" customFormat="1" ht="18" customHeight="1" thickBot="1">
      <c r="A44"/>
      <c r="B44" s="633"/>
      <c r="C44" s="633"/>
      <c r="D44" s="633"/>
      <c r="E44" s="633"/>
      <c r="F44" s="633"/>
      <c r="G44" s="633"/>
      <c r="H44" s="633"/>
      <c r="I44" s="633"/>
      <c r="J44" s="633"/>
      <c r="K44" s="633"/>
      <c r="L44" s="633"/>
      <c r="M44" s="633"/>
      <c r="N44" s="633"/>
      <c r="O44" s="633"/>
      <c r="P44" s="633"/>
      <c r="Q44" s="670"/>
      <c r="R44" s="670"/>
      <c r="S44" s="633"/>
      <c r="T44" s="633"/>
      <c r="U44" s="633"/>
      <c r="V44" s="633"/>
      <c r="W44" s="633"/>
      <c r="X44" s="633"/>
      <c r="Y44" s="633"/>
      <c r="Z44" s="633"/>
      <c r="AA44" s="633"/>
      <c r="AB44" s="227"/>
      <c r="AC44" s="633"/>
      <c r="AD44" s="633"/>
      <c r="AE44" s="227"/>
      <c r="AF44" s="633"/>
      <c r="AG44" s="633"/>
      <c r="AH44" s="227"/>
      <c r="AI44" s="633"/>
      <c r="AJ44" s="633"/>
      <c r="AK44" s="633"/>
      <c r="AL44" s="633"/>
      <c r="AM44" s="633"/>
      <c r="AN44" s="633"/>
      <c r="AO44" s="6692" t="s">
        <v>1019</v>
      </c>
      <c r="AP44" s="6693"/>
      <c r="AQ44" s="633"/>
      <c r="AR44" s="633" t="s">
        <v>114</v>
      </c>
      <c r="AS44" s="633"/>
      <c r="AU44" s="633" t="s">
        <v>114</v>
      </c>
      <c r="AV44" s="633"/>
      <c r="AX44" s="633" t="s">
        <v>114</v>
      </c>
      <c r="AY44" s="633"/>
      <c r="BA44" s="633" t="s">
        <v>114</v>
      </c>
      <c r="BB44" s="633"/>
      <c r="BD44" s="633" t="s">
        <v>114</v>
      </c>
      <c r="BE44" s="633"/>
      <c r="BG44" s="670" t="s">
        <v>114</v>
      </c>
      <c r="BH44" s="670"/>
      <c r="BJ44" s="633" t="s">
        <v>114</v>
      </c>
      <c r="BK44" s="633"/>
      <c r="BM44" s="633" t="s">
        <v>114</v>
      </c>
      <c r="BN44" s="633"/>
      <c r="BP44" s="633" t="s">
        <v>114</v>
      </c>
      <c r="BQ44" s="633"/>
      <c r="BS44" s="633" t="s">
        <v>114</v>
      </c>
      <c r="BT44" s="633"/>
      <c r="BV44" s="633" t="s">
        <v>114</v>
      </c>
      <c r="BW44" s="633"/>
      <c r="BX44"/>
      <c r="BY44" s="892" t="s">
        <v>1909</v>
      </c>
      <c r="BZ44"/>
      <c r="CA44" s="633" t="s">
        <v>114</v>
      </c>
      <c r="CB44" s="633"/>
      <c r="CD44" s="633" t="s">
        <v>114</v>
      </c>
      <c r="CE44" s="633"/>
      <c r="CG44" s="633" t="s">
        <v>114</v>
      </c>
      <c r="CH44" s="633"/>
      <c r="CJ44" s="633" t="s">
        <v>114</v>
      </c>
      <c r="CK44" s="633"/>
      <c r="CM44" s="633" t="s">
        <v>114</v>
      </c>
      <c r="CN44" s="633"/>
      <c r="CP44" s="670" t="s">
        <v>114</v>
      </c>
      <c r="CQ44" s="670"/>
      <c r="CS44" s="633" t="s">
        <v>114</v>
      </c>
      <c r="CT44" s="633"/>
      <c r="CV44" s="633" t="s">
        <v>114</v>
      </c>
      <c r="CW44" s="633"/>
      <c r="CY44" s="633" t="s">
        <v>114</v>
      </c>
      <c r="CZ44" s="633"/>
      <c r="DB44" s="633" t="s">
        <v>114</v>
      </c>
      <c r="DC44" s="633"/>
      <c r="DE44" s="633" t="s">
        <v>114</v>
      </c>
      <c r="DF44" s="633"/>
      <c r="DH44" s="892" t="s">
        <v>1909</v>
      </c>
      <c r="DI44"/>
      <c r="DJ44" s="3">
        <v>1</v>
      </c>
    </row>
    <row r="45" spans="1:114" s="627" customFormat="1" ht="18" customHeight="1">
      <c r="A45"/>
      <c r="B45" s="6690" t="s">
        <v>1020</v>
      </c>
      <c r="C45" s="6690"/>
      <c r="D45" s="633"/>
      <c r="E45" s="6636" t="s">
        <v>1021</v>
      </c>
      <c r="F45" s="6636"/>
      <c r="G45" s="633"/>
      <c r="H45" s="6646" t="s">
        <v>1022</v>
      </c>
      <c r="I45" s="6646"/>
      <c r="J45" s="633"/>
      <c r="K45" s="6648" t="s">
        <v>1023</v>
      </c>
      <c r="L45" s="6648"/>
      <c r="M45" s="633"/>
      <c r="N45" s="6650" t="s">
        <v>1024</v>
      </c>
      <c r="O45" s="6650"/>
      <c r="P45" s="633"/>
      <c r="Q45" s="6652" t="s">
        <v>1025</v>
      </c>
      <c r="R45" s="6652"/>
      <c r="S45" s="633"/>
      <c r="T45" s="6657" t="s">
        <v>1026</v>
      </c>
      <c r="U45" s="6657"/>
      <c r="V45" s="633"/>
      <c r="W45" s="6653" t="s">
        <v>945</v>
      </c>
      <c r="X45" s="6653"/>
      <c r="Y45" s="633"/>
      <c r="Z45" s="6629" t="s">
        <v>1027</v>
      </c>
      <c r="AA45" s="6629"/>
      <c r="AB45" s="227"/>
      <c r="AC45" s="6631" t="s">
        <v>1028</v>
      </c>
      <c r="AD45" s="6631"/>
      <c r="AE45" s="227"/>
      <c r="AF45" s="6640" t="s">
        <v>1029</v>
      </c>
      <c r="AG45" s="6640"/>
      <c r="AH45" s="227"/>
      <c r="AI45" s="6688" t="s">
        <v>1030</v>
      </c>
      <c r="AJ45" s="6625"/>
      <c r="AK45" s="633"/>
      <c r="AL45" s="6689" t="s">
        <v>1031</v>
      </c>
      <c r="AM45" s="6689"/>
      <c r="AN45" s="633"/>
      <c r="AO45" s="673" t="s">
        <v>1032</v>
      </c>
      <c r="AP45" s="674"/>
      <c r="AQ45" s="633"/>
      <c r="AR45" s="6690" t="s">
        <v>1910</v>
      </c>
      <c r="AS45" s="6690"/>
      <c r="AU45" s="6636" t="s">
        <v>1911</v>
      </c>
      <c r="AV45" s="6636"/>
      <c r="AX45" s="6646" t="s">
        <v>8831</v>
      </c>
      <c r="AY45" s="6646"/>
      <c r="BA45" s="6648" t="s">
        <v>1912</v>
      </c>
      <c r="BB45" s="6648"/>
      <c r="BD45" s="6650" t="s">
        <v>1913</v>
      </c>
      <c r="BE45" s="6650"/>
      <c r="BG45" s="6652" t="s">
        <v>1914</v>
      </c>
      <c r="BH45" s="6652"/>
      <c r="BJ45" s="6657" t="s">
        <v>1915</v>
      </c>
      <c r="BK45" s="6657"/>
      <c r="BM45" s="6653" t="s">
        <v>1916</v>
      </c>
      <c r="BN45" s="6653"/>
      <c r="BP45" s="6629" t="s">
        <v>1917</v>
      </c>
      <c r="BQ45" s="6629"/>
      <c r="BS45" s="6631" t="s">
        <v>1918</v>
      </c>
      <c r="BT45" s="6631"/>
      <c r="BV45" s="6640" t="s">
        <v>1919</v>
      </c>
      <c r="BW45" s="6640"/>
      <c r="BX45"/>
      <c r="BY45" s="893" t="s">
        <v>1920</v>
      </c>
      <c r="BZ45"/>
      <c r="CA45" s="6690" t="s">
        <v>1921</v>
      </c>
      <c r="CB45" s="6690"/>
      <c r="CD45" s="6636" t="s">
        <v>1922</v>
      </c>
      <c r="CE45" s="6636"/>
      <c r="CG45" s="6646" t="s">
        <v>1923</v>
      </c>
      <c r="CH45" s="6646"/>
      <c r="CJ45" s="6648" t="s">
        <v>1924</v>
      </c>
      <c r="CK45" s="6648"/>
      <c r="CM45" s="6697" t="s">
        <v>1925</v>
      </c>
      <c r="CN45" s="6697"/>
      <c r="CP45" s="6652" t="s">
        <v>1926</v>
      </c>
      <c r="CQ45" s="6652"/>
      <c r="CS45" s="6657" t="s">
        <v>1927</v>
      </c>
      <c r="CT45" s="6657"/>
      <c r="CV45" s="6653" t="s">
        <v>1928</v>
      </c>
      <c r="CW45" s="6653"/>
      <c r="CY45" s="6629" t="s">
        <v>1929</v>
      </c>
      <c r="CZ45" s="6629"/>
      <c r="DB45" s="6631" t="s">
        <v>1930</v>
      </c>
      <c r="DC45" s="6631"/>
      <c r="DE45" s="6640" t="s">
        <v>1931</v>
      </c>
      <c r="DF45" s="6640"/>
      <c r="DH45" s="893" t="s">
        <v>1920</v>
      </c>
      <c r="DI45"/>
      <c r="DJ45" s="3">
        <v>1</v>
      </c>
    </row>
    <row r="46" spans="1:114" s="627" customFormat="1" ht="18" customHeight="1">
      <c r="A46"/>
      <c r="B46" s="6691"/>
      <c r="C46" s="6691"/>
      <c r="D46" s="633"/>
      <c r="E46" s="6637"/>
      <c r="F46" s="6637"/>
      <c r="G46" s="633"/>
      <c r="H46" s="6647"/>
      <c r="I46" s="6647"/>
      <c r="J46" s="633"/>
      <c r="K46" s="6649"/>
      <c r="L46" s="6649"/>
      <c r="M46" s="633"/>
      <c r="N46" s="6651"/>
      <c r="O46" s="6651"/>
      <c r="P46" s="633"/>
      <c r="Q46" s="6625"/>
      <c r="R46" s="6625"/>
      <c r="S46" s="633"/>
      <c r="T46" s="6626"/>
      <c r="U46" s="6626"/>
      <c r="V46" s="633"/>
      <c r="W46" s="6624"/>
      <c r="X46" s="6624"/>
      <c r="Y46" s="633"/>
      <c r="Z46" s="6630"/>
      <c r="AA46" s="6630"/>
      <c r="AB46" s="227"/>
      <c r="AC46" s="6632"/>
      <c r="AD46" s="6632"/>
      <c r="AE46" s="227"/>
      <c r="AF46" s="6641"/>
      <c r="AG46" s="6641"/>
      <c r="AH46" s="227"/>
      <c r="AI46" s="6625"/>
      <c r="AJ46" s="6625"/>
      <c r="AK46" s="633"/>
      <c r="AL46" s="6689"/>
      <c r="AM46" s="6689"/>
      <c r="AN46" s="633"/>
      <c r="AO46" s="6692" t="s">
        <v>1033</v>
      </c>
      <c r="AP46" s="6693"/>
      <c r="AQ46" s="633"/>
      <c r="AR46" s="6691" t="s">
        <v>114</v>
      </c>
      <c r="AS46" s="6691"/>
      <c r="AU46" s="6637" t="s">
        <v>114</v>
      </c>
      <c r="AV46" s="6637"/>
      <c r="AX46" s="6647" t="s">
        <v>114</v>
      </c>
      <c r="AY46" s="6647"/>
      <c r="BA46" s="6649" t="s">
        <v>114</v>
      </c>
      <c r="BB46" s="6649"/>
      <c r="BD46" s="6651" t="s">
        <v>114</v>
      </c>
      <c r="BE46" s="6651"/>
      <c r="BG46" s="6625" t="s">
        <v>114</v>
      </c>
      <c r="BH46" s="6625"/>
      <c r="BJ46" s="6626" t="s">
        <v>114</v>
      </c>
      <c r="BK46" s="6626"/>
      <c r="BM46" s="6624" t="s">
        <v>114</v>
      </c>
      <c r="BN46" s="6624"/>
      <c r="BP46" s="6630" t="s">
        <v>114</v>
      </c>
      <c r="BQ46" s="6630"/>
      <c r="BS46" s="6632" t="s">
        <v>114</v>
      </c>
      <c r="BT46" s="6632"/>
      <c r="BV46" s="6641" t="s">
        <v>114</v>
      </c>
      <c r="BW46" s="6641"/>
      <c r="BX46"/>
      <c r="BY46" s="894" t="s">
        <v>1932</v>
      </c>
      <c r="BZ46"/>
      <c r="CA46" s="6691" t="s">
        <v>114</v>
      </c>
      <c r="CB46" s="6691"/>
      <c r="CD46" s="6637" t="s">
        <v>114</v>
      </c>
      <c r="CE46" s="6637"/>
      <c r="CG46" s="6647" t="s">
        <v>114</v>
      </c>
      <c r="CH46" s="6647"/>
      <c r="CJ46" s="6649" t="s">
        <v>114</v>
      </c>
      <c r="CK46" s="6649"/>
      <c r="CM46" s="6698" t="s">
        <v>114</v>
      </c>
      <c r="CN46" s="6698"/>
      <c r="CP46" s="6625" t="s">
        <v>114</v>
      </c>
      <c r="CQ46" s="6625"/>
      <c r="CS46" s="6626" t="s">
        <v>114</v>
      </c>
      <c r="CT46" s="6626"/>
      <c r="CV46" s="6624" t="s">
        <v>114</v>
      </c>
      <c r="CW46" s="6624"/>
      <c r="CY46" s="6630" t="s">
        <v>114</v>
      </c>
      <c r="CZ46" s="6630"/>
      <c r="DB46" s="6632" t="s">
        <v>114</v>
      </c>
      <c r="DC46" s="6632"/>
      <c r="DE46" s="6641" t="s">
        <v>114</v>
      </c>
      <c r="DF46" s="6641"/>
      <c r="DH46" s="894" t="s">
        <v>1932</v>
      </c>
      <c r="DI46"/>
      <c r="DJ46" s="3">
        <v>1</v>
      </c>
    </row>
    <row r="47" spans="1:114" s="627" customFormat="1" ht="18" customHeight="1" thickBot="1">
      <c r="A47"/>
      <c r="B47" s="633"/>
      <c r="C47" s="633"/>
      <c r="D47" s="633"/>
      <c r="E47" s="633"/>
      <c r="F47" s="633"/>
      <c r="G47" s="633"/>
      <c r="H47" s="633"/>
      <c r="I47" s="633"/>
      <c r="J47" s="633"/>
      <c r="K47" s="633"/>
      <c r="L47" s="633"/>
      <c r="M47" s="633"/>
      <c r="N47" s="633"/>
      <c r="O47" s="633"/>
      <c r="P47" s="633"/>
      <c r="Q47" s="670"/>
      <c r="R47" s="670"/>
      <c r="S47" s="633"/>
      <c r="T47" s="633"/>
      <c r="U47" s="633"/>
      <c r="V47" s="633"/>
      <c r="W47" s="633"/>
      <c r="X47" s="633"/>
      <c r="Y47" s="633"/>
      <c r="Z47" s="633"/>
      <c r="AA47" s="633"/>
      <c r="AB47" s="227"/>
      <c r="AC47" s="633"/>
      <c r="AD47" s="633"/>
      <c r="AE47" s="227"/>
      <c r="AF47" s="633"/>
      <c r="AG47" s="633"/>
      <c r="AH47" s="227"/>
      <c r="AI47" s="633"/>
      <c r="AJ47" s="633"/>
      <c r="AK47" s="633"/>
      <c r="AL47" s="633"/>
      <c r="AM47" s="633"/>
      <c r="AN47" s="633"/>
      <c r="AO47" s="673" t="s">
        <v>1034</v>
      </c>
      <c r="AP47" s="674"/>
      <c r="AQ47" s="633"/>
      <c r="AR47" s="633" t="s">
        <v>114</v>
      </c>
      <c r="AS47" s="633"/>
      <c r="AU47" s="633" t="s">
        <v>114</v>
      </c>
      <c r="AV47" s="633"/>
      <c r="AX47" s="633" t="s">
        <v>114</v>
      </c>
      <c r="AY47" s="633"/>
      <c r="BA47" s="633" t="s">
        <v>114</v>
      </c>
      <c r="BB47" s="633"/>
      <c r="BD47" s="633" t="s">
        <v>114</v>
      </c>
      <c r="BE47" s="633"/>
      <c r="BG47" s="670" t="s">
        <v>114</v>
      </c>
      <c r="BH47" s="670"/>
      <c r="BJ47" s="633" t="s">
        <v>114</v>
      </c>
      <c r="BK47" s="633"/>
      <c r="BM47" s="633" t="s">
        <v>114</v>
      </c>
      <c r="BN47" s="633"/>
      <c r="BP47" s="633" t="s">
        <v>114</v>
      </c>
      <c r="BQ47" s="633"/>
      <c r="BS47" s="633" t="s">
        <v>114</v>
      </c>
      <c r="BT47" s="633"/>
      <c r="BV47" s="633" t="s">
        <v>114</v>
      </c>
      <c r="BW47" s="633"/>
      <c r="BX47"/>
      <c r="BY47" s="895" t="s">
        <v>1933</v>
      </c>
      <c r="BZ47"/>
      <c r="CA47" s="633" t="s">
        <v>114</v>
      </c>
      <c r="CB47" s="633"/>
      <c r="CD47" s="633" t="s">
        <v>114</v>
      </c>
      <c r="CE47" s="633"/>
      <c r="CG47" s="633" t="s">
        <v>114</v>
      </c>
      <c r="CH47" s="633"/>
      <c r="CJ47" s="633" t="s">
        <v>114</v>
      </c>
      <c r="CK47" s="633"/>
      <c r="CM47" s="633" t="s">
        <v>114</v>
      </c>
      <c r="CN47" s="633"/>
      <c r="CP47" s="670" t="s">
        <v>114</v>
      </c>
      <c r="CQ47" s="670"/>
      <c r="CS47" s="633" t="s">
        <v>114</v>
      </c>
      <c r="CT47" s="633"/>
      <c r="CV47" s="633" t="s">
        <v>114</v>
      </c>
      <c r="CW47" s="633"/>
      <c r="CY47" s="633" t="s">
        <v>114</v>
      </c>
      <c r="CZ47" s="633"/>
      <c r="DB47" s="633" t="s">
        <v>114</v>
      </c>
      <c r="DC47" s="633"/>
      <c r="DE47" s="633" t="s">
        <v>114</v>
      </c>
      <c r="DF47" s="633"/>
      <c r="DH47" s="895" t="s">
        <v>1933</v>
      </c>
      <c r="DI47"/>
      <c r="DJ47" s="3">
        <v>1</v>
      </c>
    </row>
    <row r="48" spans="1:114" s="627" customFormat="1" ht="18" customHeight="1">
      <c r="B48" s="6695" t="s">
        <v>1035</v>
      </c>
      <c r="C48" s="6695"/>
      <c r="D48" s="633"/>
      <c r="E48" s="6636" t="s">
        <v>24</v>
      </c>
      <c r="F48" s="6636"/>
      <c r="G48" s="633"/>
      <c r="H48" s="6646" t="s">
        <v>1036</v>
      </c>
      <c r="I48" s="6646"/>
      <c r="J48" s="633"/>
      <c r="K48" s="6648" t="s">
        <v>1037</v>
      </c>
      <c r="L48" s="6648"/>
      <c r="M48" s="633"/>
      <c r="N48" s="6650" t="s">
        <v>1038</v>
      </c>
      <c r="O48" s="6650"/>
      <c r="P48" s="633"/>
      <c r="Q48" s="6652" t="s">
        <v>1039</v>
      </c>
      <c r="R48" s="6652"/>
      <c r="S48" s="633"/>
      <c r="T48" s="6657" t="s">
        <v>1040</v>
      </c>
      <c r="U48" s="6657"/>
      <c r="V48" s="633"/>
      <c r="W48" s="6653" t="s">
        <v>1041</v>
      </c>
      <c r="X48" s="6653"/>
      <c r="Y48" s="633"/>
      <c r="Z48" s="6629" t="s">
        <v>1042</v>
      </c>
      <c r="AA48" s="6629"/>
      <c r="AB48" s="227"/>
      <c r="AC48" s="6631" t="s">
        <v>1043</v>
      </c>
      <c r="AD48" s="6631"/>
      <c r="AE48" s="227"/>
      <c r="AF48" s="6640" t="s">
        <v>1044</v>
      </c>
      <c r="AG48" s="6640"/>
      <c r="AH48" s="227"/>
      <c r="AI48" s="6694" t="s">
        <v>1045</v>
      </c>
      <c r="AJ48" s="6694"/>
      <c r="AK48" s="633"/>
      <c r="AL48" s="6660" t="s">
        <v>987</v>
      </c>
      <c r="AM48" s="6660"/>
      <c r="AN48" s="633"/>
      <c r="AO48" s="673" t="s">
        <v>1046</v>
      </c>
      <c r="AP48" s="674"/>
      <c r="AQ48" s="633"/>
      <c r="AR48" s="6695" t="s">
        <v>1934</v>
      </c>
      <c r="AS48" s="6695"/>
      <c r="AU48" s="6636" t="s">
        <v>1935</v>
      </c>
      <c r="AV48" s="6636"/>
      <c r="AX48" s="6646" t="s">
        <v>8832</v>
      </c>
      <c r="AY48" s="6646"/>
      <c r="BA48" s="6648" t="s">
        <v>1936</v>
      </c>
      <c r="BB48" s="6648"/>
      <c r="BD48" s="6650" t="s">
        <v>1937</v>
      </c>
      <c r="BE48" s="6650"/>
      <c r="BG48" s="6652" t="s">
        <v>1938</v>
      </c>
      <c r="BH48" s="6652"/>
      <c r="BJ48" s="6657" t="s">
        <v>1939</v>
      </c>
      <c r="BK48" s="6657"/>
      <c r="BM48" s="6653" t="s">
        <v>1940</v>
      </c>
      <c r="BN48" s="6653"/>
      <c r="BP48" s="6629" t="s">
        <v>1941</v>
      </c>
      <c r="BQ48" s="6629"/>
      <c r="BS48" s="6631" t="s">
        <v>1942</v>
      </c>
      <c r="BT48" s="6631"/>
      <c r="BV48" s="6640" t="s">
        <v>1943</v>
      </c>
      <c r="BW48" s="6640"/>
      <c r="BX48"/>
      <c r="BY48" s="896" t="s">
        <v>1944</v>
      </c>
      <c r="BZ48"/>
      <c r="CA48" s="6695" t="s">
        <v>1934</v>
      </c>
      <c r="CB48" s="6695"/>
      <c r="CD48" s="6655" t="s">
        <v>1945</v>
      </c>
      <c r="CE48" s="6655"/>
      <c r="CG48" s="6646" t="s">
        <v>1946</v>
      </c>
      <c r="CH48" s="6646"/>
      <c r="CJ48" s="6648" t="s">
        <v>1947</v>
      </c>
      <c r="CK48" s="6648"/>
      <c r="CM48" s="6697" t="s">
        <v>1948</v>
      </c>
      <c r="CN48" s="6697"/>
      <c r="CP48" s="6652" t="s">
        <v>1949</v>
      </c>
      <c r="CQ48" s="6652"/>
      <c r="CS48" s="6657" t="s">
        <v>1950</v>
      </c>
      <c r="CT48" s="6657"/>
      <c r="CV48" s="6653" t="s">
        <v>1951</v>
      </c>
      <c r="CW48" s="6653"/>
      <c r="CY48" s="6629" t="s">
        <v>1952</v>
      </c>
      <c r="CZ48" s="6629"/>
      <c r="DB48" s="6631" t="s">
        <v>1953</v>
      </c>
      <c r="DC48" s="6631"/>
      <c r="DE48" s="6640" t="s">
        <v>1954</v>
      </c>
      <c r="DF48" s="6640"/>
      <c r="DH48" s="896" t="s">
        <v>1944</v>
      </c>
      <c r="DI48"/>
      <c r="DJ48" s="3">
        <v>1</v>
      </c>
    </row>
    <row r="49" spans="1:114" s="627" customFormat="1" ht="18" customHeight="1">
      <c r="B49" s="6696"/>
      <c r="C49" s="6696"/>
      <c r="D49" s="633"/>
      <c r="E49" s="6637"/>
      <c r="F49" s="6637"/>
      <c r="G49" s="633"/>
      <c r="H49" s="6647"/>
      <c r="I49" s="6647"/>
      <c r="J49" s="633"/>
      <c r="K49" s="6649"/>
      <c r="L49" s="6649"/>
      <c r="M49" s="633"/>
      <c r="N49" s="6651"/>
      <c r="O49" s="6651"/>
      <c r="P49" s="633"/>
      <c r="Q49" s="6625"/>
      <c r="R49" s="6625"/>
      <c r="S49" s="633"/>
      <c r="T49" s="6626"/>
      <c r="U49" s="6626"/>
      <c r="V49" s="633"/>
      <c r="W49" s="6624"/>
      <c r="X49" s="6624"/>
      <c r="Y49" s="633"/>
      <c r="Z49" s="6630"/>
      <c r="AA49" s="6630"/>
      <c r="AB49" s="227"/>
      <c r="AC49" s="6632"/>
      <c r="AD49" s="6632"/>
      <c r="AE49" s="227"/>
      <c r="AF49" s="6641"/>
      <c r="AG49" s="6641"/>
      <c r="AH49" s="227"/>
      <c r="AI49" s="6694"/>
      <c r="AJ49" s="6694"/>
      <c r="AK49" s="633"/>
      <c r="AL49" s="6660"/>
      <c r="AM49" s="6660"/>
      <c r="AN49" s="633"/>
      <c r="AO49" s="6692" t="s">
        <v>1047</v>
      </c>
      <c r="AP49" s="6693"/>
      <c r="AQ49" s="633"/>
      <c r="AR49" s="6696" t="s">
        <v>114</v>
      </c>
      <c r="AS49" s="6696"/>
      <c r="AU49" s="6637" t="s">
        <v>114</v>
      </c>
      <c r="AV49" s="6637"/>
      <c r="AX49" s="6647" t="s">
        <v>114</v>
      </c>
      <c r="AY49" s="6647"/>
      <c r="BA49" s="6649" t="s">
        <v>114</v>
      </c>
      <c r="BB49" s="6649"/>
      <c r="BD49" s="6651" t="s">
        <v>114</v>
      </c>
      <c r="BE49" s="6651"/>
      <c r="BG49" s="6625" t="s">
        <v>114</v>
      </c>
      <c r="BH49" s="6625"/>
      <c r="BJ49" s="6626" t="s">
        <v>114</v>
      </c>
      <c r="BK49" s="6626"/>
      <c r="BM49" s="6624" t="s">
        <v>114</v>
      </c>
      <c r="BN49" s="6624"/>
      <c r="BP49" s="6630" t="s">
        <v>114</v>
      </c>
      <c r="BQ49" s="6630"/>
      <c r="BS49" s="6632" t="s">
        <v>114</v>
      </c>
      <c r="BT49" s="6632"/>
      <c r="BV49" s="6641" t="s">
        <v>114</v>
      </c>
      <c r="BW49" s="6641"/>
      <c r="BX49"/>
      <c r="BY49" s="897" t="s">
        <v>1955</v>
      </c>
      <c r="BZ49"/>
      <c r="CA49" s="6696" t="s">
        <v>114</v>
      </c>
      <c r="CB49" s="6696"/>
      <c r="CD49" s="6656" t="s">
        <v>114</v>
      </c>
      <c r="CE49" s="6656"/>
      <c r="CG49" s="6647" t="s">
        <v>114</v>
      </c>
      <c r="CH49" s="6647"/>
      <c r="CJ49" s="6649" t="s">
        <v>114</v>
      </c>
      <c r="CK49" s="6649"/>
      <c r="CM49" s="6698" t="s">
        <v>114</v>
      </c>
      <c r="CN49" s="6698"/>
      <c r="CP49" s="6625" t="s">
        <v>114</v>
      </c>
      <c r="CQ49" s="6625"/>
      <c r="CS49" s="6626" t="s">
        <v>114</v>
      </c>
      <c r="CT49" s="6626"/>
      <c r="CV49" s="6624" t="s">
        <v>114</v>
      </c>
      <c r="CW49" s="6624"/>
      <c r="CY49" s="6630" t="s">
        <v>114</v>
      </c>
      <c r="CZ49" s="6630"/>
      <c r="DB49" s="6632" t="s">
        <v>114</v>
      </c>
      <c r="DC49" s="6632"/>
      <c r="DE49" s="6641" t="s">
        <v>114</v>
      </c>
      <c r="DF49" s="6641"/>
      <c r="DH49" s="897" t="s">
        <v>1955</v>
      </c>
      <c r="DI49"/>
      <c r="DJ49" s="3">
        <v>1</v>
      </c>
    </row>
    <row r="50" spans="1:114" s="627" customFormat="1" ht="18" customHeight="1" thickBot="1">
      <c r="B50" s="633"/>
      <c r="C50" s="633"/>
      <c r="D50" s="633"/>
      <c r="E50" s="633"/>
      <c r="F50" s="633"/>
      <c r="G50" s="633"/>
      <c r="H50" s="633"/>
      <c r="I50" s="633"/>
      <c r="J50" s="633"/>
      <c r="K50" s="633"/>
      <c r="L50" s="633"/>
      <c r="M50" s="633"/>
      <c r="N50" s="633"/>
      <c r="O50" s="633"/>
      <c r="P50" s="633"/>
      <c r="Q50" s="670"/>
      <c r="R50" s="670"/>
      <c r="S50" s="633"/>
      <c r="T50" s="633"/>
      <c r="U50" s="633"/>
      <c r="V50" s="633"/>
      <c r="W50" s="633"/>
      <c r="X50" s="633"/>
      <c r="Y50" s="633"/>
      <c r="Z50" s="633"/>
      <c r="AA50" s="633"/>
      <c r="AB50" s="227"/>
      <c r="AC50" s="633"/>
      <c r="AD50" s="633"/>
      <c r="AE50" s="227"/>
      <c r="AF50" s="633"/>
      <c r="AG50" s="633"/>
      <c r="AH50" s="227"/>
      <c r="AI50" s="633"/>
      <c r="AJ50" s="633"/>
      <c r="AK50" s="633"/>
      <c r="AL50" s="633"/>
      <c r="AM50" s="633"/>
      <c r="AN50" s="633"/>
      <c r="AO50" s="673" t="s">
        <v>1048</v>
      </c>
      <c r="AP50" s="674"/>
      <c r="AQ50" s="633"/>
      <c r="AR50" s="633" t="s">
        <v>114</v>
      </c>
      <c r="AS50" s="633"/>
      <c r="AU50" s="633" t="s">
        <v>114</v>
      </c>
      <c r="AV50" s="633"/>
      <c r="AX50" s="633" t="s">
        <v>114</v>
      </c>
      <c r="AY50" s="633"/>
      <c r="BA50" s="633" t="s">
        <v>114</v>
      </c>
      <c r="BB50" s="633"/>
      <c r="BD50" s="633" t="s">
        <v>114</v>
      </c>
      <c r="BE50" s="633"/>
      <c r="BG50" s="670" t="s">
        <v>114</v>
      </c>
      <c r="BH50" s="670"/>
      <c r="BJ50" s="633" t="s">
        <v>114</v>
      </c>
      <c r="BK50" s="633"/>
      <c r="BM50" s="633" t="s">
        <v>114</v>
      </c>
      <c r="BN50" s="633"/>
      <c r="BP50" s="633" t="s">
        <v>114</v>
      </c>
      <c r="BQ50" s="633"/>
      <c r="BS50" s="633" t="s">
        <v>114</v>
      </c>
      <c r="BT50" s="633"/>
      <c r="BV50" s="633" t="s">
        <v>114</v>
      </c>
      <c r="BW50" s="633"/>
      <c r="BX50"/>
      <c r="BY50" s="898" t="s">
        <v>1956</v>
      </c>
      <c r="BZ50"/>
      <c r="CA50" s="633" t="s">
        <v>114</v>
      </c>
      <c r="CB50" s="633"/>
      <c r="CD50" s="633" t="s">
        <v>114</v>
      </c>
      <c r="CE50" s="633"/>
      <c r="CG50" s="633" t="s">
        <v>114</v>
      </c>
      <c r="CH50" s="633"/>
      <c r="CJ50" s="633" t="s">
        <v>114</v>
      </c>
      <c r="CK50" s="633"/>
      <c r="CM50" s="633" t="s">
        <v>114</v>
      </c>
      <c r="CN50" s="633"/>
      <c r="CP50" s="670" t="s">
        <v>114</v>
      </c>
      <c r="CQ50" s="670"/>
      <c r="CS50" s="633" t="s">
        <v>114</v>
      </c>
      <c r="CT50" s="633"/>
      <c r="CV50" s="633" t="s">
        <v>114</v>
      </c>
      <c r="CW50" s="633"/>
      <c r="CY50" s="633" t="s">
        <v>114</v>
      </c>
      <c r="CZ50" s="633"/>
      <c r="DB50" s="633" t="s">
        <v>114</v>
      </c>
      <c r="DC50" s="633"/>
      <c r="DE50" s="633" t="s">
        <v>114</v>
      </c>
      <c r="DF50" s="633"/>
      <c r="DH50" s="898" t="s">
        <v>1956</v>
      </c>
      <c r="DI50"/>
      <c r="DJ50" s="3">
        <v>1</v>
      </c>
    </row>
    <row r="51" spans="1:114" s="627" customFormat="1" ht="18" customHeight="1">
      <c r="B51" s="6699" t="s">
        <v>1049</v>
      </c>
      <c r="C51" s="6699"/>
      <c r="D51" s="633"/>
      <c r="E51" s="6636" t="s">
        <v>1050</v>
      </c>
      <c r="F51" s="6636"/>
      <c r="G51" s="633"/>
      <c r="H51" s="6646" t="s">
        <v>1051</v>
      </c>
      <c r="I51" s="6646"/>
      <c r="J51" s="633"/>
      <c r="K51" s="6648" t="s">
        <v>1052</v>
      </c>
      <c r="L51" s="6648"/>
      <c r="M51" s="633"/>
      <c r="N51" s="6650" t="s">
        <v>1053</v>
      </c>
      <c r="O51" s="6650"/>
      <c r="P51" s="633"/>
      <c r="Q51" s="6652" t="s">
        <v>1054</v>
      </c>
      <c r="R51" s="6652"/>
      <c r="S51" s="633"/>
      <c r="T51" s="6657" t="s">
        <v>1055</v>
      </c>
      <c r="U51" s="6657"/>
      <c r="V51" s="633"/>
      <c r="W51" s="6653" t="s">
        <v>1056</v>
      </c>
      <c r="X51" s="6653"/>
      <c r="Y51" s="633"/>
      <c r="Z51" s="6629" t="s">
        <v>1057</v>
      </c>
      <c r="AA51" s="6629"/>
      <c r="AB51" s="227"/>
      <c r="AC51" s="6631" t="s">
        <v>1058</v>
      </c>
      <c r="AD51" s="6631"/>
      <c r="AE51" s="227"/>
      <c r="AF51" s="6640" t="s">
        <v>1059</v>
      </c>
      <c r="AG51" s="6640"/>
      <c r="AH51" s="227"/>
      <c r="AI51" s="6705" t="s">
        <v>1060</v>
      </c>
      <c r="AJ51" s="6705"/>
      <c r="AK51" s="633"/>
      <c r="AL51" s="6702" t="s">
        <v>1061</v>
      </c>
      <c r="AM51" s="6702"/>
      <c r="AN51" s="633"/>
      <c r="AO51" s="6692" t="s">
        <v>1062</v>
      </c>
      <c r="AP51" s="6693"/>
      <c r="AQ51" s="633"/>
      <c r="AR51" s="6699" t="s">
        <v>1957</v>
      </c>
      <c r="AS51" s="6699"/>
      <c r="AU51" s="6636" t="s">
        <v>1958</v>
      </c>
      <c r="AV51" s="6636"/>
      <c r="AX51" s="6646" t="s">
        <v>8833</v>
      </c>
      <c r="AY51" s="6646"/>
      <c r="BA51" s="6648" t="s">
        <v>1960</v>
      </c>
      <c r="BB51" s="6648"/>
      <c r="BD51" s="6650" t="s">
        <v>1961</v>
      </c>
      <c r="BE51" s="6650"/>
      <c r="BG51" s="6652" t="s">
        <v>1962</v>
      </c>
      <c r="BH51" s="6652"/>
      <c r="BJ51" s="6657" t="s">
        <v>1963</v>
      </c>
      <c r="BK51" s="6657"/>
      <c r="BM51" s="6653" t="s">
        <v>1964</v>
      </c>
      <c r="BN51" s="6653"/>
      <c r="BP51" s="6629" t="s">
        <v>1965</v>
      </c>
      <c r="BQ51" s="6629"/>
      <c r="BS51" s="6631" t="s">
        <v>1966</v>
      </c>
      <c r="BT51" s="6631"/>
      <c r="BV51" s="6640" t="s">
        <v>1074</v>
      </c>
      <c r="BW51" s="6640"/>
      <c r="BX51"/>
      <c r="BY51"/>
      <c r="BZ51"/>
      <c r="CA51" s="6699" t="s">
        <v>1967</v>
      </c>
      <c r="CB51" s="6699"/>
      <c r="CD51" s="6655" t="s">
        <v>1968</v>
      </c>
      <c r="CE51" s="6655"/>
      <c r="CG51" s="6646" t="s">
        <v>1959</v>
      </c>
      <c r="CH51" s="6646"/>
      <c r="CJ51" s="6648" t="s">
        <v>1969</v>
      </c>
      <c r="CK51" s="6648"/>
      <c r="CM51" s="6697" t="s">
        <v>1970</v>
      </c>
      <c r="CN51" s="6697"/>
      <c r="CP51" s="6652" t="s">
        <v>1971</v>
      </c>
      <c r="CQ51" s="6652"/>
      <c r="CS51" s="6657" t="s">
        <v>1972</v>
      </c>
      <c r="CT51" s="6657"/>
      <c r="CV51" s="6653" t="s">
        <v>1973</v>
      </c>
      <c r="CW51" s="6653"/>
      <c r="CY51" s="6629" t="s">
        <v>1974</v>
      </c>
      <c r="CZ51" s="6629"/>
      <c r="DB51" s="6631" t="s">
        <v>1975</v>
      </c>
      <c r="DC51" s="6631"/>
      <c r="DE51" s="6640" t="s">
        <v>1074</v>
      </c>
      <c r="DF51" s="6640"/>
      <c r="DH51"/>
      <c r="DI51"/>
      <c r="DJ51" s="3">
        <v>1</v>
      </c>
    </row>
    <row r="52" spans="1:114" s="627" customFormat="1" ht="18" customHeight="1">
      <c r="B52" s="6700"/>
      <c r="C52" s="6700"/>
      <c r="D52" s="633"/>
      <c r="E52" s="6637"/>
      <c r="F52" s="6637"/>
      <c r="G52" s="633"/>
      <c r="H52" s="6647"/>
      <c r="I52" s="6647"/>
      <c r="J52" s="633"/>
      <c r="K52" s="6649"/>
      <c r="L52" s="6649"/>
      <c r="M52" s="633"/>
      <c r="N52" s="6651"/>
      <c r="O52" s="6651"/>
      <c r="P52" s="633"/>
      <c r="Q52" s="6625"/>
      <c r="R52" s="6625"/>
      <c r="S52" s="633"/>
      <c r="T52" s="6626"/>
      <c r="U52" s="6626"/>
      <c r="V52" s="633"/>
      <c r="W52" s="6624"/>
      <c r="X52" s="6624"/>
      <c r="Y52" s="633"/>
      <c r="Z52" s="6630"/>
      <c r="AA52" s="6630"/>
      <c r="AB52" s="227"/>
      <c r="AC52" s="6632"/>
      <c r="AD52" s="6632"/>
      <c r="AE52" s="227"/>
      <c r="AF52" s="6641"/>
      <c r="AG52" s="6641"/>
      <c r="AH52" s="227"/>
      <c r="AI52" s="6705"/>
      <c r="AJ52" s="6705"/>
      <c r="AK52" s="633"/>
      <c r="AL52" s="6702"/>
      <c r="AM52" s="6702"/>
      <c r="AN52" s="633"/>
      <c r="AO52" s="6703" t="s">
        <v>1063</v>
      </c>
      <c r="AP52" s="6704"/>
      <c r="AQ52" s="633"/>
      <c r="AR52" s="6700" t="s">
        <v>114</v>
      </c>
      <c r="AS52" s="6700"/>
      <c r="AU52" s="6637" t="s">
        <v>114</v>
      </c>
      <c r="AV52" s="6637"/>
      <c r="AX52" s="6647" t="s">
        <v>114</v>
      </c>
      <c r="AY52" s="6647"/>
      <c r="BA52" s="6649" t="s">
        <v>114</v>
      </c>
      <c r="BB52" s="6649"/>
      <c r="BD52" s="6651" t="s">
        <v>114</v>
      </c>
      <c r="BE52" s="6651"/>
      <c r="BG52" s="6625" t="s">
        <v>114</v>
      </c>
      <c r="BH52" s="6625"/>
      <c r="BJ52" s="6626" t="s">
        <v>114</v>
      </c>
      <c r="BK52" s="6626"/>
      <c r="BM52" s="6624" t="s">
        <v>114</v>
      </c>
      <c r="BN52" s="6624"/>
      <c r="BP52" s="6630" t="s">
        <v>114</v>
      </c>
      <c r="BQ52" s="6630"/>
      <c r="BS52" s="6632" t="s">
        <v>114</v>
      </c>
      <c r="BT52" s="6632"/>
      <c r="BV52" s="6641" t="s">
        <v>114</v>
      </c>
      <c r="BW52" s="6641"/>
      <c r="BX52"/>
      <c r="BY52"/>
      <c r="BZ52"/>
      <c r="CA52" s="6700" t="s">
        <v>114</v>
      </c>
      <c r="CB52" s="6700"/>
      <c r="CD52" s="6656" t="s">
        <v>114</v>
      </c>
      <c r="CE52" s="6656"/>
      <c r="CG52" s="6647" t="s">
        <v>114</v>
      </c>
      <c r="CH52" s="6647"/>
      <c r="CJ52" s="6649" t="s">
        <v>114</v>
      </c>
      <c r="CK52" s="6649"/>
      <c r="CM52" s="6698" t="s">
        <v>114</v>
      </c>
      <c r="CN52" s="6698"/>
      <c r="CP52" s="6625" t="s">
        <v>114</v>
      </c>
      <c r="CQ52" s="6625"/>
      <c r="CS52" s="6626" t="s">
        <v>114</v>
      </c>
      <c r="CT52" s="6626"/>
      <c r="CV52" s="6624" t="s">
        <v>114</v>
      </c>
      <c r="CW52" s="6624"/>
      <c r="CY52" s="6630" t="s">
        <v>114</v>
      </c>
      <c r="CZ52" s="6630"/>
      <c r="DB52" s="6632" t="s">
        <v>114</v>
      </c>
      <c r="DC52" s="6632"/>
      <c r="DE52" s="6641" t="s">
        <v>114</v>
      </c>
      <c r="DF52" s="6641"/>
      <c r="DH52"/>
      <c r="DI52"/>
      <c r="DJ52" s="3">
        <v>1</v>
      </c>
    </row>
    <row r="53" spans="1:114" s="627" customFormat="1" ht="18" customHeight="1" thickBot="1">
      <c r="B53" s="633"/>
      <c r="C53" s="633"/>
      <c r="D53" s="633"/>
      <c r="E53" s="633"/>
      <c r="F53" s="633"/>
      <c r="G53" s="633"/>
      <c r="H53" s="633"/>
      <c r="I53" s="633"/>
      <c r="J53" s="633"/>
      <c r="K53" s="633"/>
      <c r="L53" s="633"/>
      <c r="M53" s="633"/>
      <c r="N53" s="633"/>
      <c r="O53" s="633"/>
      <c r="P53" s="633"/>
      <c r="Q53" s="670"/>
      <c r="R53" s="670"/>
      <c r="S53" s="633"/>
      <c r="T53" s="633"/>
      <c r="U53" s="633"/>
      <c r="V53" s="633"/>
      <c r="W53" s="633"/>
      <c r="X53" s="633"/>
      <c r="Y53" s="633"/>
      <c r="Z53" s="633"/>
      <c r="AA53" s="633"/>
      <c r="AB53" s="227"/>
      <c r="AC53" s="633"/>
      <c r="AD53" s="633"/>
      <c r="AE53" s="227"/>
      <c r="AF53" s="633"/>
      <c r="AG53" s="633"/>
      <c r="AH53" s="227"/>
      <c r="AI53" s="633"/>
      <c r="AJ53" s="633"/>
      <c r="AK53" s="633"/>
      <c r="AL53" s="633"/>
      <c r="AM53" s="633"/>
      <c r="AN53" s="633"/>
      <c r="AO53" s="675">
        <v>12</v>
      </c>
      <c r="AP53" s="676">
        <v>12</v>
      </c>
      <c r="AQ53" s="633"/>
      <c r="AR53" s="633" t="s">
        <v>114</v>
      </c>
      <c r="AS53" s="633"/>
      <c r="AU53" s="633" t="s">
        <v>114</v>
      </c>
      <c r="AV53" s="633"/>
      <c r="AX53" s="633" t="s">
        <v>114</v>
      </c>
      <c r="AY53" s="633"/>
      <c r="BA53" s="633" t="s">
        <v>114</v>
      </c>
      <c r="BB53" s="633"/>
      <c r="BD53" s="633" t="s">
        <v>114</v>
      </c>
      <c r="BE53" s="633"/>
      <c r="BG53" s="670" t="s">
        <v>114</v>
      </c>
      <c r="BH53" s="670"/>
      <c r="BJ53" s="633" t="s">
        <v>114</v>
      </c>
      <c r="BK53" s="633"/>
      <c r="BM53" s="633" t="s">
        <v>114</v>
      </c>
      <c r="BN53" s="633"/>
      <c r="BP53" s="633" t="s">
        <v>114</v>
      </c>
      <c r="BQ53" s="633"/>
      <c r="BS53" s="633" t="s">
        <v>114</v>
      </c>
      <c r="BT53" s="633"/>
      <c r="BV53" s="633" t="s">
        <v>114</v>
      </c>
      <c r="BW53" s="633"/>
      <c r="BX53"/>
      <c r="BY53"/>
      <c r="BZ53"/>
      <c r="CA53" s="633" t="s">
        <v>114</v>
      </c>
      <c r="CB53" s="633"/>
      <c r="CD53" s="633" t="s">
        <v>114</v>
      </c>
      <c r="CE53" s="633"/>
      <c r="CG53" s="633" t="s">
        <v>114</v>
      </c>
      <c r="CH53" s="633"/>
      <c r="CJ53" s="633" t="s">
        <v>114</v>
      </c>
      <c r="CK53" s="633"/>
      <c r="CM53" s="633" t="s">
        <v>114</v>
      </c>
      <c r="CN53" s="633"/>
      <c r="CP53" s="670" t="s">
        <v>114</v>
      </c>
      <c r="CQ53" s="670"/>
      <c r="CS53" s="633" t="s">
        <v>114</v>
      </c>
      <c r="CT53" s="633"/>
      <c r="CV53" s="633" t="s">
        <v>114</v>
      </c>
      <c r="CW53" s="633"/>
      <c r="CY53" s="633" t="s">
        <v>114</v>
      </c>
      <c r="CZ53" s="633"/>
      <c r="DB53" s="633" t="s">
        <v>114</v>
      </c>
      <c r="DC53" s="633"/>
      <c r="DE53" s="633" t="s">
        <v>114</v>
      </c>
      <c r="DF53" s="633"/>
      <c r="DH53"/>
      <c r="DI53"/>
      <c r="DJ53" s="3">
        <v>1</v>
      </c>
    </row>
    <row r="54" spans="1:114" s="627" customFormat="1" ht="18" customHeight="1">
      <c r="B54" s="6655" t="s">
        <v>1064</v>
      </c>
      <c r="C54" s="6655"/>
      <c r="D54" s="633"/>
      <c r="E54" s="6655" t="s">
        <v>1065</v>
      </c>
      <c r="F54" s="6655"/>
      <c r="G54" s="633"/>
      <c r="H54" s="6646" t="s">
        <v>1066</v>
      </c>
      <c r="I54" s="6646"/>
      <c r="J54" s="633"/>
      <c r="K54" s="6648" t="s">
        <v>1067</v>
      </c>
      <c r="L54" s="6648"/>
      <c r="M54" s="633"/>
      <c r="N54" s="6650" t="s">
        <v>1068</v>
      </c>
      <c r="O54" s="6650"/>
      <c r="P54" s="633"/>
      <c r="Q54" s="6652" t="s">
        <v>1069</v>
      </c>
      <c r="R54" s="6652"/>
      <c r="S54" s="633"/>
      <c r="T54" s="6657" t="s">
        <v>1070</v>
      </c>
      <c r="U54" s="6657"/>
      <c r="V54" s="633"/>
      <c r="W54" s="6653" t="s">
        <v>1071</v>
      </c>
      <c r="X54" s="6653"/>
      <c r="Y54" s="633"/>
      <c r="Z54" s="6629" t="s">
        <v>1072</v>
      </c>
      <c r="AA54" s="6629"/>
      <c r="AB54" s="227"/>
      <c r="AC54" s="6631" t="s">
        <v>1073</v>
      </c>
      <c r="AD54" s="6631"/>
      <c r="AE54" s="227"/>
      <c r="AF54" s="6640" t="s">
        <v>1074</v>
      </c>
      <c r="AG54" s="6640"/>
      <c r="AH54" s="227"/>
      <c r="AI54" s="6701" t="s">
        <v>1075</v>
      </c>
      <c r="AJ54" s="6701"/>
      <c r="AK54" s="633"/>
      <c r="AL54" s="6708" t="s">
        <v>1076</v>
      </c>
      <c r="AM54" s="6708"/>
      <c r="AN54" s="633"/>
      <c r="AO54" s="633"/>
      <c r="AP54" s="633"/>
      <c r="AQ54" s="633"/>
      <c r="AR54" s="6655" t="s">
        <v>1976</v>
      </c>
      <c r="AS54" s="6655"/>
      <c r="AU54" s="6655" t="s">
        <v>1977</v>
      </c>
      <c r="AV54" s="6655"/>
      <c r="AX54" s="6646" t="s">
        <v>8839</v>
      </c>
      <c r="AY54" s="6646"/>
      <c r="BA54" s="6648" t="s">
        <v>1978</v>
      </c>
      <c r="BB54" s="6648"/>
      <c r="BD54" s="6650" t="s">
        <v>1979</v>
      </c>
      <c r="BE54" s="6650"/>
      <c r="BG54" s="6652" t="s">
        <v>1980</v>
      </c>
      <c r="BH54" s="6652"/>
      <c r="BJ54" s="6657" t="s">
        <v>1981</v>
      </c>
      <c r="BK54" s="6657"/>
      <c r="BM54" s="6653" t="s">
        <v>1982</v>
      </c>
      <c r="BN54" s="6653"/>
      <c r="BP54" s="6629" t="s">
        <v>1983</v>
      </c>
      <c r="BQ54" s="6629"/>
      <c r="BS54" s="6631" t="s">
        <v>1984</v>
      </c>
      <c r="BT54" s="6631"/>
      <c r="BV54" s="6640" t="s">
        <v>1985</v>
      </c>
      <c r="BW54" s="6640"/>
      <c r="BX54"/>
      <c r="BY54"/>
      <c r="BZ54"/>
      <c r="CA54" s="6655" t="s">
        <v>1986</v>
      </c>
      <c r="CB54" s="6655"/>
      <c r="CD54" s="6636" t="s">
        <v>1987</v>
      </c>
      <c r="CE54" s="6636"/>
      <c r="CG54" s="6646" t="s">
        <v>1988</v>
      </c>
      <c r="CH54" s="6646"/>
      <c r="CJ54" s="6648" t="s">
        <v>1989</v>
      </c>
      <c r="CK54" s="6648"/>
      <c r="CM54" s="6697" t="s">
        <v>1990</v>
      </c>
      <c r="CN54" s="6697"/>
      <c r="CP54" s="6652" t="s">
        <v>1991</v>
      </c>
      <c r="CQ54" s="6652"/>
      <c r="CS54" s="6657" t="s">
        <v>1992</v>
      </c>
      <c r="CT54" s="6657"/>
      <c r="CV54" s="6653" t="s">
        <v>1993</v>
      </c>
      <c r="CW54" s="6653"/>
      <c r="CY54" s="6629" t="s">
        <v>1994</v>
      </c>
      <c r="CZ54" s="6629"/>
      <c r="DB54" s="6631" t="s">
        <v>1995</v>
      </c>
      <c r="DC54" s="6631"/>
      <c r="DE54" s="6640" t="s">
        <v>1996</v>
      </c>
      <c r="DF54" s="6640"/>
      <c r="DH54"/>
      <c r="DI54"/>
      <c r="DJ54" s="3">
        <v>1</v>
      </c>
    </row>
    <row r="55" spans="1:114" s="627" customFormat="1" ht="18" customHeight="1">
      <c r="B55" s="6656"/>
      <c r="C55" s="6656"/>
      <c r="D55" s="633"/>
      <c r="E55" s="6656"/>
      <c r="F55" s="6656"/>
      <c r="G55" s="633"/>
      <c r="H55" s="6647"/>
      <c r="I55" s="6647"/>
      <c r="J55" s="633"/>
      <c r="K55" s="6649"/>
      <c r="L55" s="6649"/>
      <c r="M55" s="633"/>
      <c r="N55" s="6651"/>
      <c r="O55" s="6651"/>
      <c r="P55" s="633"/>
      <c r="Q55" s="6625"/>
      <c r="R55" s="6625"/>
      <c r="S55" s="633"/>
      <c r="T55" s="6626"/>
      <c r="U55" s="6626"/>
      <c r="V55" s="633"/>
      <c r="W55" s="6624"/>
      <c r="X55" s="6624"/>
      <c r="Y55" s="633"/>
      <c r="Z55" s="6630"/>
      <c r="AA55" s="6630"/>
      <c r="AB55" s="227"/>
      <c r="AC55" s="6632"/>
      <c r="AD55" s="6632"/>
      <c r="AE55" s="227"/>
      <c r="AF55" s="6641"/>
      <c r="AG55" s="6641"/>
      <c r="AH55" s="227"/>
      <c r="AI55" s="6701"/>
      <c r="AJ55" s="6701"/>
      <c r="AK55" s="633"/>
      <c r="AL55" s="6708"/>
      <c r="AM55" s="6708"/>
      <c r="AN55" s="633"/>
      <c r="AO55" s="633"/>
      <c r="AP55" s="633"/>
      <c r="AQ55" s="633"/>
      <c r="AR55" s="6656" t="s">
        <v>114</v>
      </c>
      <c r="AS55" s="6656"/>
      <c r="AU55" s="6656" t="s">
        <v>114</v>
      </c>
      <c r="AV55" s="6656"/>
      <c r="AX55" s="6647" t="s">
        <v>114</v>
      </c>
      <c r="AY55" s="6647"/>
      <c r="BA55" s="6649" t="s">
        <v>114</v>
      </c>
      <c r="BB55" s="6649"/>
      <c r="BD55" s="6651" t="s">
        <v>114</v>
      </c>
      <c r="BE55" s="6651"/>
      <c r="BG55" s="6625" t="s">
        <v>114</v>
      </c>
      <c r="BH55" s="6625"/>
      <c r="BJ55" s="6626" t="s">
        <v>114</v>
      </c>
      <c r="BK55" s="6626"/>
      <c r="BM55" s="6624" t="s">
        <v>114</v>
      </c>
      <c r="BN55" s="6624"/>
      <c r="BP55" s="6630" t="s">
        <v>114</v>
      </c>
      <c r="BQ55" s="6630"/>
      <c r="BS55" s="6632" t="s">
        <v>114</v>
      </c>
      <c r="BT55" s="6632"/>
      <c r="BV55" s="6641" t="s">
        <v>114</v>
      </c>
      <c r="BW55" s="6641"/>
      <c r="BX55"/>
      <c r="BY55"/>
      <c r="BZ55"/>
      <c r="CA55" s="6656" t="s">
        <v>114</v>
      </c>
      <c r="CB55" s="6656"/>
      <c r="CD55" s="6637" t="s">
        <v>114</v>
      </c>
      <c r="CE55" s="6637"/>
      <c r="CG55" s="6647" t="s">
        <v>114</v>
      </c>
      <c r="CH55" s="6647"/>
      <c r="CJ55" s="6649" t="s">
        <v>114</v>
      </c>
      <c r="CK55" s="6649"/>
      <c r="CM55" s="6698" t="s">
        <v>114</v>
      </c>
      <c r="CN55" s="6698"/>
      <c r="CP55" s="6625" t="s">
        <v>114</v>
      </c>
      <c r="CQ55" s="6625"/>
      <c r="CS55" s="6626" t="s">
        <v>114</v>
      </c>
      <c r="CT55" s="6626"/>
      <c r="CV55" s="6624" t="s">
        <v>114</v>
      </c>
      <c r="CW55" s="6624"/>
      <c r="CY55" s="6630" t="s">
        <v>114</v>
      </c>
      <c r="CZ55" s="6630"/>
      <c r="DB55" s="6632" t="s">
        <v>114</v>
      </c>
      <c r="DC55" s="6632"/>
      <c r="DE55" s="6641" t="s">
        <v>114</v>
      </c>
      <c r="DF55" s="6641"/>
      <c r="DH55"/>
      <c r="DI55"/>
      <c r="DJ55" s="3">
        <v>1</v>
      </c>
    </row>
    <row r="56" spans="1:114" s="627" customFormat="1" ht="18" customHeight="1" thickBot="1">
      <c r="B56" s="633"/>
      <c r="C56" s="633"/>
      <c r="D56" s="633"/>
      <c r="E56" s="633"/>
      <c r="F56" s="633"/>
      <c r="G56" s="633"/>
      <c r="H56" s="633"/>
      <c r="I56" s="633"/>
      <c r="J56" s="633"/>
      <c r="K56" s="633"/>
      <c r="L56" s="633"/>
      <c r="M56" s="633"/>
      <c r="N56" s="633"/>
      <c r="O56" s="633"/>
      <c r="P56" s="633"/>
      <c r="Q56" s="670"/>
      <c r="R56" s="670"/>
      <c r="S56" s="633"/>
      <c r="T56" s="633"/>
      <c r="U56" s="633"/>
      <c r="V56" s="633"/>
      <c r="W56" s="633"/>
      <c r="X56" s="633"/>
      <c r="Y56" s="633"/>
      <c r="Z56" s="633"/>
      <c r="AA56" s="633"/>
      <c r="AB56" s="227"/>
      <c r="AC56" s="633"/>
      <c r="AD56" s="633"/>
      <c r="AE56" s="227"/>
      <c r="AF56" s="633"/>
      <c r="AG56" s="633"/>
      <c r="AH56" s="227"/>
      <c r="AI56" s="633"/>
      <c r="AJ56" s="633"/>
      <c r="AK56" s="633"/>
      <c r="AL56" s="633"/>
      <c r="AM56" s="633"/>
      <c r="AN56" s="633"/>
      <c r="AO56" s="633"/>
      <c r="AP56" s="633"/>
      <c r="AQ56" s="633"/>
      <c r="AR56" s="633" t="s">
        <v>114</v>
      </c>
      <c r="AS56" s="633"/>
      <c r="AU56" s="633" t="s">
        <v>114</v>
      </c>
      <c r="AV56" s="633"/>
      <c r="AX56" s="633" t="s">
        <v>114</v>
      </c>
      <c r="AY56" s="633"/>
      <c r="BA56" s="633" t="s">
        <v>114</v>
      </c>
      <c r="BB56" s="633"/>
      <c r="BD56" s="633" t="s">
        <v>114</v>
      </c>
      <c r="BE56" s="633"/>
      <c r="BG56" s="670" t="s">
        <v>114</v>
      </c>
      <c r="BH56" s="670"/>
      <c r="BJ56" s="633" t="s">
        <v>114</v>
      </c>
      <c r="BK56" s="633"/>
      <c r="BM56" s="633" t="s">
        <v>114</v>
      </c>
      <c r="BN56" s="633"/>
      <c r="BP56" s="633" t="s">
        <v>114</v>
      </c>
      <c r="BQ56" s="633"/>
      <c r="BS56" s="633" t="s">
        <v>114</v>
      </c>
      <c r="BT56" s="633"/>
      <c r="BV56" s="633" t="s">
        <v>114</v>
      </c>
      <c r="BW56" s="633"/>
      <c r="BX56"/>
      <c r="BY56"/>
      <c r="BZ56"/>
      <c r="CA56" s="633" t="s">
        <v>114</v>
      </c>
      <c r="CB56" s="633"/>
      <c r="CD56" s="633" t="s">
        <v>114</v>
      </c>
      <c r="CE56" s="633"/>
      <c r="CG56" s="633" t="s">
        <v>114</v>
      </c>
      <c r="CH56" s="633"/>
      <c r="CJ56" s="633" t="s">
        <v>114</v>
      </c>
      <c r="CK56" s="633"/>
      <c r="CM56" s="633" t="s">
        <v>114</v>
      </c>
      <c r="CN56" s="633"/>
      <c r="CP56" s="670" t="s">
        <v>114</v>
      </c>
      <c r="CQ56" s="670"/>
      <c r="CS56" s="633" t="s">
        <v>114</v>
      </c>
      <c r="CT56" s="633"/>
      <c r="CV56" s="633" t="s">
        <v>114</v>
      </c>
      <c r="CW56" s="633"/>
      <c r="CY56" s="633" t="s">
        <v>114</v>
      </c>
      <c r="CZ56" s="633"/>
      <c r="DB56" s="633" t="s">
        <v>114</v>
      </c>
      <c r="DC56" s="633"/>
      <c r="DE56" s="633" t="s">
        <v>114</v>
      </c>
      <c r="DF56" s="633"/>
      <c r="DH56"/>
      <c r="DI56"/>
      <c r="DJ56" s="3">
        <v>1</v>
      </c>
    </row>
    <row r="57" spans="1:114" s="627" customFormat="1" ht="18" customHeight="1">
      <c r="B57" s="6706" t="s">
        <v>1077</v>
      </c>
      <c r="C57" s="6706"/>
      <c r="D57" s="633"/>
      <c r="E57" s="6655" t="s">
        <v>1078</v>
      </c>
      <c r="F57" s="6655"/>
      <c r="G57" s="633"/>
      <c r="H57" s="6646" t="s">
        <v>1079</v>
      </c>
      <c r="I57" s="6646"/>
      <c r="J57" s="633"/>
      <c r="K57" s="6648" t="s">
        <v>1080</v>
      </c>
      <c r="L57" s="6648"/>
      <c r="M57" s="633"/>
      <c r="N57" s="6650" t="s">
        <v>1081</v>
      </c>
      <c r="O57" s="6650"/>
      <c r="P57" s="633"/>
      <c r="Q57" s="6652" t="s">
        <v>1082</v>
      </c>
      <c r="R57" s="6652"/>
      <c r="S57" s="633"/>
      <c r="T57" s="6657" t="s">
        <v>1083</v>
      </c>
      <c r="U57" s="6657"/>
      <c r="V57" s="633"/>
      <c r="W57" s="6653" t="s">
        <v>1084</v>
      </c>
      <c r="X57" s="6653"/>
      <c r="Y57" s="633"/>
      <c r="Z57" s="6629" t="s">
        <v>1085</v>
      </c>
      <c r="AA57" s="6629"/>
      <c r="AB57" s="227"/>
      <c r="AC57" s="6631" t="s">
        <v>1086</v>
      </c>
      <c r="AD57" s="6631"/>
      <c r="AE57" s="227"/>
      <c r="AF57" s="6640" t="s">
        <v>1087</v>
      </c>
      <c r="AG57" s="6640"/>
      <c r="AH57" s="227"/>
      <c r="AI57" s="633"/>
      <c r="AJ57" s="633"/>
      <c r="AK57" s="633"/>
      <c r="AL57" s="633"/>
      <c r="AM57" s="633"/>
      <c r="AN57" s="633"/>
      <c r="AO57" s="633"/>
      <c r="AP57" s="633"/>
      <c r="AQ57" s="633"/>
      <c r="AR57" s="6706" t="s">
        <v>1997</v>
      </c>
      <c r="AS57" s="6706"/>
      <c r="AU57" s="6655" t="s">
        <v>1998</v>
      </c>
      <c r="AV57" s="6655"/>
      <c r="AX57" s="6646" t="s">
        <v>8834</v>
      </c>
      <c r="AY57" s="6646"/>
      <c r="BA57" s="6648" t="s">
        <v>1999</v>
      </c>
      <c r="BB57" s="6648"/>
      <c r="BD57" s="6650" t="s">
        <v>2000</v>
      </c>
      <c r="BE57" s="6650"/>
      <c r="BG57" s="6652" t="s">
        <v>2001</v>
      </c>
      <c r="BH57" s="6652"/>
      <c r="BJ57" s="6657" t="s">
        <v>2002</v>
      </c>
      <c r="BK57" s="6657"/>
      <c r="BM57" s="6653" t="s">
        <v>2003</v>
      </c>
      <c r="BN57" s="6653"/>
      <c r="BP57" s="6629" t="s">
        <v>2004</v>
      </c>
      <c r="BQ57" s="6629"/>
      <c r="BS57" s="6631" t="s">
        <v>2005</v>
      </c>
      <c r="BT57" s="6631"/>
      <c r="BV57" s="6640" t="s">
        <v>2006</v>
      </c>
      <c r="BW57" s="6640"/>
      <c r="BX57"/>
      <c r="BY57"/>
      <c r="BZ57"/>
      <c r="CA57" s="6706" t="s">
        <v>2007</v>
      </c>
      <c r="CB57" s="6706"/>
      <c r="CD57" s="6655" t="s">
        <v>2008</v>
      </c>
      <c r="CE57" s="6655"/>
      <c r="CG57" s="6646" t="s">
        <v>2009</v>
      </c>
      <c r="CH57" s="6646"/>
      <c r="CJ57" s="6648" t="s">
        <v>2010</v>
      </c>
      <c r="CK57" s="6648"/>
      <c r="CM57" s="6697" t="s">
        <v>2011</v>
      </c>
      <c r="CN57" s="6697"/>
      <c r="CP57" s="6652" t="s">
        <v>2012</v>
      </c>
      <c r="CQ57" s="6652"/>
      <c r="CS57" s="6657" t="s">
        <v>2013</v>
      </c>
      <c r="CT57" s="6657"/>
      <c r="CV57" s="6653" t="s">
        <v>2014</v>
      </c>
      <c r="CW57" s="6653"/>
      <c r="CY57" s="6629" t="s">
        <v>2015</v>
      </c>
      <c r="CZ57" s="6629"/>
      <c r="DB57" s="6631" t="s">
        <v>2016</v>
      </c>
      <c r="DC57" s="6631"/>
      <c r="DE57" s="6640" t="s">
        <v>2017</v>
      </c>
      <c r="DF57" s="6640"/>
      <c r="DH57"/>
      <c r="DI57"/>
      <c r="DJ57" s="3">
        <v>1</v>
      </c>
    </row>
    <row r="58" spans="1:114" s="627" customFormat="1" ht="18" customHeight="1">
      <c r="B58" s="6707"/>
      <c r="C58" s="6707"/>
      <c r="D58" s="633"/>
      <c r="E58" s="6656"/>
      <c r="F58" s="6656"/>
      <c r="G58" s="633"/>
      <c r="H58" s="6647"/>
      <c r="I58" s="6647"/>
      <c r="J58" s="633"/>
      <c r="K58" s="6649"/>
      <c r="L58" s="6649"/>
      <c r="M58" s="633"/>
      <c r="N58" s="6651"/>
      <c r="O58" s="6651"/>
      <c r="P58" s="633"/>
      <c r="Q58" s="6625"/>
      <c r="R58" s="6625"/>
      <c r="S58" s="633"/>
      <c r="T58" s="6626"/>
      <c r="U58" s="6626"/>
      <c r="V58" s="633"/>
      <c r="W58" s="6624"/>
      <c r="X58" s="6624"/>
      <c r="Y58" s="633"/>
      <c r="Z58" s="6630"/>
      <c r="AA58" s="6630"/>
      <c r="AB58" s="227"/>
      <c r="AC58" s="6632"/>
      <c r="AD58" s="6632"/>
      <c r="AE58" s="227"/>
      <c r="AF58" s="6641"/>
      <c r="AG58" s="6641"/>
      <c r="AH58" s="227"/>
      <c r="AI58" s="633"/>
      <c r="AJ58" s="633"/>
      <c r="AK58" s="633"/>
      <c r="AL58" s="633"/>
      <c r="AM58" s="633"/>
      <c r="AN58" s="633"/>
      <c r="AO58" s="633"/>
      <c r="AP58" s="633"/>
      <c r="AQ58" s="633"/>
      <c r="AR58" s="6707" t="s">
        <v>114</v>
      </c>
      <c r="AS58" s="6707"/>
      <c r="AU58" s="6656" t="s">
        <v>114</v>
      </c>
      <c r="AV58" s="6656"/>
      <c r="AX58" s="6647" t="s">
        <v>114</v>
      </c>
      <c r="AY58" s="6647"/>
      <c r="BA58" s="6649" t="s">
        <v>114</v>
      </c>
      <c r="BB58" s="6649"/>
      <c r="BD58" s="6651" t="s">
        <v>114</v>
      </c>
      <c r="BE58" s="6651"/>
      <c r="BG58" s="6625" t="s">
        <v>114</v>
      </c>
      <c r="BH58" s="6625"/>
      <c r="BJ58" s="6626" t="s">
        <v>114</v>
      </c>
      <c r="BK58" s="6626"/>
      <c r="BM58" s="6624" t="s">
        <v>114</v>
      </c>
      <c r="BN58" s="6624"/>
      <c r="BP58" s="6630" t="s">
        <v>114</v>
      </c>
      <c r="BQ58" s="6630"/>
      <c r="BS58" s="6632" t="s">
        <v>114</v>
      </c>
      <c r="BT58" s="6632"/>
      <c r="BV58" s="6641" t="s">
        <v>114</v>
      </c>
      <c r="BW58" s="6641"/>
      <c r="BX58"/>
      <c r="BY58"/>
      <c r="BZ58"/>
      <c r="CA58" s="6707" t="s">
        <v>114</v>
      </c>
      <c r="CB58" s="6707"/>
      <c r="CD58" s="6656" t="s">
        <v>114</v>
      </c>
      <c r="CE58" s="6656"/>
      <c r="CG58" s="6647" t="s">
        <v>114</v>
      </c>
      <c r="CH58" s="6647"/>
      <c r="CJ58" s="6649" t="s">
        <v>114</v>
      </c>
      <c r="CK58" s="6649"/>
      <c r="CM58" s="6698" t="s">
        <v>114</v>
      </c>
      <c r="CN58" s="6698"/>
      <c r="CP58" s="6625" t="s">
        <v>114</v>
      </c>
      <c r="CQ58" s="6625"/>
      <c r="CS58" s="6626" t="s">
        <v>114</v>
      </c>
      <c r="CT58" s="6626"/>
      <c r="CV58" s="6624" t="s">
        <v>114</v>
      </c>
      <c r="CW58" s="6624"/>
      <c r="CY58" s="6630" t="s">
        <v>114</v>
      </c>
      <c r="CZ58" s="6630"/>
      <c r="DB58" s="6632" t="s">
        <v>114</v>
      </c>
      <c r="DC58" s="6632"/>
      <c r="DE58" s="6641" t="s">
        <v>114</v>
      </c>
      <c r="DF58" s="6641"/>
      <c r="DH58"/>
      <c r="DI58"/>
      <c r="DJ58" s="3">
        <v>1</v>
      </c>
    </row>
    <row r="59" spans="1:114" s="627" customFormat="1" ht="18" customHeight="1" thickBot="1">
      <c r="B59" s="633"/>
      <c r="C59" s="633"/>
      <c r="D59" s="633"/>
      <c r="E59" s="633"/>
      <c r="F59" s="633"/>
      <c r="G59" s="633"/>
      <c r="H59" s="633"/>
      <c r="I59" s="633"/>
      <c r="J59" s="633"/>
      <c r="K59" s="633"/>
      <c r="L59" s="633"/>
      <c r="M59" s="633"/>
      <c r="N59" s="633"/>
      <c r="O59" s="633"/>
      <c r="P59" s="633"/>
      <c r="Q59" s="670"/>
      <c r="R59" s="670"/>
      <c r="S59" s="633"/>
      <c r="T59" s="633"/>
      <c r="U59" s="633"/>
      <c r="V59" s="633"/>
      <c r="W59" s="633"/>
      <c r="X59" s="633"/>
      <c r="Y59" s="633"/>
      <c r="Z59" s="633"/>
      <c r="AA59" s="633"/>
      <c r="AB59" s="227"/>
      <c r="AC59" s="633"/>
      <c r="AD59" s="633"/>
      <c r="AE59" s="227"/>
      <c r="AF59" s="633"/>
      <c r="AG59" s="633"/>
      <c r="AH59" s="227"/>
      <c r="AI59" s="633"/>
      <c r="AJ59" s="633"/>
      <c r="AK59" s="633"/>
      <c r="AL59" s="633"/>
      <c r="AM59" s="633"/>
      <c r="AN59" s="633"/>
      <c r="AO59" s="633"/>
      <c r="AP59" s="633"/>
      <c r="AQ59" s="633"/>
      <c r="AR59" s="633" t="s">
        <v>114</v>
      </c>
      <c r="AS59" s="633"/>
      <c r="AU59" s="633" t="s">
        <v>114</v>
      </c>
      <c r="AV59" s="633"/>
      <c r="AX59" s="633" t="s">
        <v>114</v>
      </c>
      <c r="AY59" s="633"/>
      <c r="BA59" s="633" t="s">
        <v>114</v>
      </c>
      <c r="BB59" s="633"/>
      <c r="BD59" s="633" t="s">
        <v>114</v>
      </c>
      <c r="BE59" s="633"/>
      <c r="BG59" s="670" t="s">
        <v>114</v>
      </c>
      <c r="BH59" s="670"/>
      <c r="BJ59" s="633" t="s">
        <v>114</v>
      </c>
      <c r="BK59" s="633"/>
      <c r="BM59" s="633" t="s">
        <v>114</v>
      </c>
      <c r="BN59" s="633"/>
      <c r="BP59" s="633" t="s">
        <v>114</v>
      </c>
      <c r="BQ59" s="633"/>
      <c r="BS59" s="633" t="s">
        <v>114</v>
      </c>
      <c r="BT59" s="633"/>
      <c r="BV59" s="633" t="s">
        <v>114</v>
      </c>
      <c r="BW59" s="633"/>
      <c r="BX59"/>
      <c r="BY59"/>
      <c r="BZ59"/>
      <c r="CA59" s="633" t="s">
        <v>114</v>
      </c>
      <c r="CB59" s="633"/>
      <c r="CD59" s="633" t="s">
        <v>114</v>
      </c>
      <c r="CE59" s="633"/>
      <c r="CG59" s="633" t="s">
        <v>114</v>
      </c>
      <c r="CH59" s="633"/>
      <c r="CJ59" s="633" t="s">
        <v>114</v>
      </c>
      <c r="CK59" s="633"/>
      <c r="CM59" s="633" t="s">
        <v>114</v>
      </c>
      <c r="CN59" s="633"/>
      <c r="CP59" s="670" t="s">
        <v>114</v>
      </c>
      <c r="CQ59" s="670"/>
      <c r="CS59" s="633" t="s">
        <v>114</v>
      </c>
      <c r="CT59" s="633"/>
      <c r="CV59" s="633" t="s">
        <v>114</v>
      </c>
      <c r="CW59" s="633"/>
      <c r="CY59" s="633" t="s">
        <v>114</v>
      </c>
      <c r="CZ59" s="633"/>
      <c r="DB59" s="633" t="s">
        <v>114</v>
      </c>
      <c r="DC59" s="633"/>
      <c r="DE59" s="633" t="s">
        <v>114</v>
      </c>
      <c r="DF59" s="633"/>
      <c r="DH59"/>
      <c r="DI59"/>
      <c r="DJ59" s="3">
        <v>1</v>
      </c>
    </row>
    <row r="60" spans="1:114" s="627" customFormat="1" ht="18" customHeight="1">
      <c r="B60" s="6709" t="s">
        <v>1088</v>
      </c>
      <c r="C60" s="6709"/>
      <c r="D60" s="633"/>
      <c r="E60" s="6636" t="s">
        <v>1089</v>
      </c>
      <c r="F60" s="6636"/>
      <c r="G60" s="633"/>
      <c r="H60" s="6646" t="s">
        <v>1090</v>
      </c>
      <c r="I60" s="6646"/>
      <c r="J60" s="633"/>
      <c r="K60" s="6648" t="s">
        <v>1091</v>
      </c>
      <c r="L60" s="6648"/>
      <c r="M60" s="633"/>
      <c r="N60" s="6650" t="s">
        <v>1092</v>
      </c>
      <c r="O60" s="6650"/>
      <c r="P60" s="633"/>
      <c r="Q60" s="6652" t="s">
        <v>1093</v>
      </c>
      <c r="R60" s="6652"/>
      <c r="S60" s="633"/>
      <c r="T60" s="6657" t="s">
        <v>1094</v>
      </c>
      <c r="U60" s="6657"/>
      <c r="V60" s="633"/>
      <c r="W60" s="6653" t="s">
        <v>1095</v>
      </c>
      <c r="X60" s="6653"/>
      <c r="Y60" s="633"/>
      <c r="Z60" s="6629" t="s">
        <v>1096</v>
      </c>
      <c r="AA60" s="6629"/>
      <c r="AB60" s="227"/>
      <c r="AC60" s="6631" t="s">
        <v>1097</v>
      </c>
      <c r="AD60" s="6631"/>
      <c r="AE60" s="227"/>
      <c r="AF60" s="6640" t="s">
        <v>1098</v>
      </c>
      <c r="AG60" s="6640"/>
      <c r="AH60" s="227"/>
      <c r="AI60" s="633"/>
      <c r="AJ60" s="633"/>
      <c r="AK60" s="633"/>
      <c r="AL60" s="633"/>
      <c r="AM60" s="633"/>
      <c r="AN60" s="633"/>
      <c r="AO60" s="633"/>
      <c r="AP60" s="633"/>
      <c r="AQ60" s="633"/>
      <c r="AR60" s="6709" t="s">
        <v>2018</v>
      </c>
      <c r="AS60" s="6709"/>
      <c r="AU60" s="6636" t="s">
        <v>2019</v>
      </c>
      <c r="AV60" s="6636"/>
      <c r="AX60" s="6646" t="s">
        <v>8835</v>
      </c>
      <c r="AY60" s="6646"/>
      <c r="BA60" s="6648" t="s">
        <v>2020</v>
      </c>
      <c r="BB60" s="6648"/>
      <c r="BD60" s="6650" t="s">
        <v>2021</v>
      </c>
      <c r="BE60" s="6650"/>
      <c r="BG60" s="6652" t="s">
        <v>2022</v>
      </c>
      <c r="BH60" s="6652"/>
      <c r="BJ60" s="6657" t="s">
        <v>2023</v>
      </c>
      <c r="BK60" s="6657"/>
      <c r="BM60" s="6653" t="s">
        <v>2024</v>
      </c>
      <c r="BN60" s="6653"/>
      <c r="BP60" s="6629" t="s">
        <v>2025</v>
      </c>
      <c r="BQ60" s="6629"/>
      <c r="BS60" s="6631" t="s">
        <v>2026</v>
      </c>
      <c r="BT60" s="6631"/>
      <c r="BV60" s="6640" t="s">
        <v>2027</v>
      </c>
      <c r="BW60" s="6640"/>
      <c r="BX60"/>
      <c r="BY60"/>
      <c r="BZ60"/>
      <c r="CA60" s="6709" t="s">
        <v>2028</v>
      </c>
      <c r="CB60" s="6709"/>
      <c r="CD60" s="6636" t="s">
        <v>2029</v>
      </c>
      <c r="CE60" s="6636"/>
      <c r="CG60" s="6646" t="s">
        <v>2030</v>
      </c>
      <c r="CH60" s="6646"/>
      <c r="CJ60" s="6648" t="s">
        <v>2031</v>
      </c>
      <c r="CK60" s="6648"/>
      <c r="CM60" s="6697" t="s">
        <v>2032</v>
      </c>
      <c r="CN60" s="6697"/>
      <c r="CP60" s="6652" t="s">
        <v>2033</v>
      </c>
      <c r="CQ60" s="6652"/>
      <c r="CS60" s="6657" t="s">
        <v>2034</v>
      </c>
      <c r="CT60" s="6657"/>
      <c r="CV60" s="6653" t="s">
        <v>2035</v>
      </c>
      <c r="CW60" s="6653"/>
      <c r="CY60" s="6629" t="s">
        <v>2036</v>
      </c>
      <c r="CZ60" s="6629"/>
      <c r="DB60" s="6631" t="s">
        <v>2037</v>
      </c>
      <c r="DC60" s="6631"/>
      <c r="DE60" s="6640" t="s">
        <v>2038</v>
      </c>
      <c r="DF60" s="6640"/>
      <c r="DH60"/>
      <c r="DI60"/>
      <c r="DJ60" s="3">
        <v>1</v>
      </c>
    </row>
    <row r="61" spans="1:114" s="627" customFormat="1" ht="18" customHeight="1">
      <c r="B61" s="6710"/>
      <c r="C61" s="6710"/>
      <c r="D61" s="633"/>
      <c r="E61" s="6637"/>
      <c r="F61" s="6637"/>
      <c r="G61" s="633"/>
      <c r="H61" s="6647"/>
      <c r="I61" s="6647"/>
      <c r="J61" s="633"/>
      <c r="K61" s="6649"/>
      <c r="L61" s="6649"/>
      <c r="M61" s="633"/>
      <c r="N61" s="6651"/>
      <c r="O61" s="6651"/>
      <c r="P61" s="633"/>
      <c r="Q61" s="6625"/>
      <c r="R61" s="6625"/>
      <c r="S61" s="633"/>
      <c r="T61" s="6626"/>
      <c r="U61" s="6626"/>
      <c r="V61" s="633"/>
      <c r="W61" s="6624"/>
      <c r="X61" s="6624"/>
      <c r="Y61" s="633"/>
      <c r="Z61" s="6630"/>
      <c r="AA61" s="6630"/>
      <c r="AB61" s="227"/>
      <c r="AC61" s="6632"/>
      <c r="AD61" s="6632"/>
      <c r="AE61" s="227"/>
      <c r="AF61" s="6641"/>
      <c r="AG61" s="6641"/>
      <c r="AH61" s="227"/>
      <c r="AI61" s="633"/>
      <c r="AJ61" s="633"/>
      <c r="AK61" s="633"/>
      <c r="AL61" s="633"/>
      <c r="AM61" s="633"/>
      <c r="AN61" s="633"/>
      <c r="AO61" s="633"/>
      <c r="AP61" s="633"/>
      <c r="AQ61" s="633"/>
      <c r="AR61" s="6710" t="s">
        <v>114</v>
      </c>
      <c r="AS61" s="6710"/>
      <c r="AU61" s="6637" t="s">
        <v>114</v>
      </c>
      <c r="AV61" s="6637"/>
      <c r="AX61" s="6647" t="s">
        <v>114</v>
      </c>
      <c r="AY61" s="6647"/>
      <c r="BA61" s="6649" t="s">
        <v>114</v>
      </c>
      <c r="BB61" s="6649"/>
      <c r="BD61" s="6651" t="s">
        <v>114</v>
      </c>
      <c r="BE61" s="6651"/>
      <c r="BG61" s="6625" t="s">
        <v>114</v>
      </c>
      <c r="BH61" s="6625"/>
      <c r="BJ61" s="6626" t="s">
        <v>114</v>
      </c>
      <c r="BK61" s="6626"/>
      <c r="BM61" s="6624" t="s">
        <v>114</v>
      </c>
      <c r="BN61" s="6624"/>
      <c r="BP61" s="6630" t="s">
        <v>114</v>
      </c>
      <c r="BQ61" s="6630"/>
      <c r="BS61" s="6632" t="s">
        <v>114</v>
      </c>
      <c r="BT61" s="6632"/>
      <c r="BV61" s="6641" t="s">
        <v>114</v>
      </c>
      <c r="BW61" s="6641"/>
      <c r="BX61"/>
      <c r="BY61"/>
      <c r="BZ61"/>
      <c r="CA61" s="6710" t="s">
        <v>114</v>
      </c>
      <c r="CB61" s="6710"/>
      <c r="CD61" s="6637" t="s">
        <v>114</v>
      </c>
      <c r="CE61" s="6637"/>
      <c r="CG61" s="6647" t="s">
        <v>114</v>
      </c>
      <c r="CH61" s="6647"/>
      <c r="CJ61" s="6649" t="s">
        <v>114</v>
      </c>
      <c r="CK61" s="6649"/>
      <c r="CM61" s="6698" t="s">
        <v>114</v>
      </c>
      <c r="CN61" s="6698"/>
      <c r="CP61" s="6625" t="s">
        <v>114</v>
      </c>
      <c r="CQ61" s="6625"/>
      <c r="CS61" s="6626" t="s">
        <v>114</v>
      </c>
      <c r="CT61" s="6626"/>
      <c r="CV61" s="6624" t="s">
        <v>114</v>
      </c>
      <c r="CW61" s="6624"/>
      <c r="CY61" s="6630" t="s">
        <v>114</v>
      </c>
      <c r="CZ61" s="6630"/>
      <c r="DB61" s="6632" t="s">
        <v>114</v>
      </c>
      <c r="DC61" s="6632"/>
      <c r="DE61" s="6641" t="s">
        <v>114</v>
      </c>
      <c r="DF61" s="6641"/>
      <c r="DH61"/>
      <c r="DI61"/>
      <c r="DJ61" s="3">
        <v>1</v>
      </c>
    </row>
    <row r="62" spans="1:114" s="627" customFormat="1" ht="18" customHeight="1" thickBot="1">
      <c r="B62" s="633"/>
      <c r="C62" s="633"/>
      <c r="D62" s="633"/>
      <c r="E62" s="633"/>
      <c r="F62" s="633"/>
      <c r="G62" s="633"/>
      <c r="H62" s="633"/>
      <c r="I62" s="633"/>
      <c r="J62" s="633"/>
      <c r="K62" s="633"/>
      <c r="L62" s="633"/>
      <c r="M62" s="633"/>
      <c r="N62" s="633"/>
      <c r="O62" s="633"/>
      <c r="P62" s="633"/>
      <c r="Q62" s="670"/>
      <c r="R62" s="670"/>
      <c r="S62" s="633"/>
      <c r="T62" s="633"/>
      <c r="U62" s="633"/>
      <c r="V62" s="633"/>
      <c r="W62" s="633"/>
      <c r="X62" s="633"/>
      <c r="Y62" s="633"/>
      <c r="Z62" s="633"/>
      <c r="AA62" s="633"/>
      <c r="AB62" s="227"/>
      <c r="AC62" s="633"/>
      <c r="AD62" s="633"/>
      <c r="AE62" s="227"/>
      <c r="AF62" s="633"/>
      <c r="AG62" s="633"/>
      <c r="AH62" s="227"/>
      <c r="AI62" s="633"/>
      <c r="AJ62" s="633"/>
      <c r="AK62" s="633"/>
      <c r="AL62" s="633"/>
      <c r="AM62" s="633"/>
      <c r="AN62" s="633"/>
      <c r="AO62" s="633"/>
      <c r="AP62" s="633"/>
      <c r="AQ62" s="633"/>
      <c r="AR62" s="633" t="s">
        <v>114</v>
      </c>
      <c r="AS62" s="633"/>
      <c r="AU62" s="633" t="s">
        <v>114</v>
      </c>
      <c r="AV62" s="633"/>
      <c r="AX62" s="633" t="s">
        <v>114</v>
      </c>
      <c r="AY62" s="633"/>
      <c r="BA62" s="633" t="s">
        <v>114</v>
      </c>
      <c r="BB62" s="633"/>
      <c r="BD62" s="633" t="s">
        <v>114</v>
      </c>
      <c r="BE62" s="633"/>
      <c r="BG62" s="670" t="s">
        <v>114</v>
      </c>
      <c r="BH62" s="670"/>
      <c r="BJ62" s="633" t="s">
        <v>114</v>
      </c>
      <c r="BK62" s="633"/>
      <c r="BM62" s="633" t="s">
        <v>114</v>
      </c>
      <c r="BN62" s="633"/>
      <c r="BP62" s="633" t="s">
        <v>114</v>
      </c>
      <c r="BQ62" s="633"/>
      <c r="BS62" s="633" t="s">
        <v>114</v>
      </c>
      <c r="BT62" s="633"/>
      <c r="BV62" s="633" t="s">
        <v>114</v>
      </c>
      <c r="BW62" s="633"/>
      <c r="BX62"/>
      <c r="BY62"/>
      <c r="BZ62"/>
      <c r="CA62" s="633" t="s">
        <v>114</v>
      </c>
      <c r="CB62" s="633"/>
      <c r="CD62" s="633" t="s">
        <v>114</v>
      </c>
      <c r="CE62" s="633"/>
      <c r="CG62" s="633" t="s">
        <v>114</v>
      </c>
      <c r="CH62" s="633"/>
      <c r="CJ62" s="633" t="s">
        <v>114</v>
      </c>
      <c r="CK62" s="633"/>
      <c r="CM62" s="633" t="s">
        <v>114</v>
      </c>
      <c r="CN62" s="633"/>
      <c r="CP62" s="670" t="s">
        <v>114</v>
      </c>
      <c r="CQ62" s="670"/>
      <c r="CS62" s="633" t="s">
        <v>114</v>
      </c>
      <c r="CT62" s="633"/>
      <c r="CV62" s="633" t="s">
        <v>114</v>
      </c>
      <c r="CW62" s="633"/>
      <c r="CY62" s="633" t="s">
        <v>114</v>
      </c>
      <c r="CZ62" s="633"/>
      <c r="DB62" s="633" t="s">
        <v>114</v>
      </c>
      <c r="DC62" s="633"/>
      <c r="DE62" s="633" t="s">
        <v>114</v>
      </c>
      <c r="DF62" s="633"/>
      <c r="DH62"/>
      <c r="DI62"/>
      <c r="DJ62" s="3">
        <v>1</v>
      </c>
    </row>
    <row r="63" spans="1:114" s="627" customFormat="1" ht="18" customHeight="1">
      <c r="B63" s="6711" t="s">
        <v>1099</v>
      </c>
      <c r="C63" s="6711"/>
      <c r="D63" s="633"/>
      <c r="E63" s="6655" t="s">
        <v>1100</v>
      </c>
      <c r="F63" s="6655"/>
      <c r="G63" s="633"/>
      <c r="H63" s="6646" t="s">
        <v>1101</v>
      </c>
      <c r="I63" s="6646"/>
      <c r="J63" s="633"/>
      <c r="K63" s="6648" t="s">
        <v>1102</v>
      </c>
      <c r="L63" s="6648"/>
      <c r="M63" s="633"/>
      <c r="N63" s="6650" t="s">
        <v>1103</v>
      </c>
      <c r="O63" s="6650"/>
      <c r="P63" s="633"/>
      <c r="Q63" s="6652" t="s">
        <v>1104</v>
      </c>
      <c r="R63" s="6652"/>
      <c r="S63" s="633"/>
      <c r="T63" s="6657" t="s">
        <v>1105</v>
      </c>
      <c r="U63" s="6657"/>
      <c r="V63" s="633"/>
      <c r="W63" s="6653" t="s">
        <v>1106</v>
      </c>
      <c r="X63" s="6653"/>
      <c r="Y63" s="633"/>
      <c r="Z63" s="6629" t="s">
        <v>1107</v>
      </c>
      <c r="AA63" s="6629"/>
      <c r="AB63" s="227"/>
      <c r="AC63" s="6631" t="s">
        <v>1108</v>
      </c>
      <c r="AD63" s="6631"/>
      <c r="AE63" s="227"/>
      <c r="AF63" s="6640" t="s">
        <v>1109</v>
      </c>
      <c r="AG63" s="6640"/>
      <c r="AH63" s="227"/>
      <c r="AI63" s="633"/>
      <c r="AJ63" s="633"/>
      <c r="AK63" s="633"/>
      <c r="AL63" s="633"/>
      <c r="AM63" s="633"/>
      <c r="AN63" s="633"/>
      <c r="AO63" s="633"/>
      <c r="AP63" s="633"/>
      <c r="AQ63" s="633"/>
      <c r="AR63" s="6711" t="s">
        <v>2039</v>
      </c>
      <c r="AS63" s="6711"/>
      <c r="AU63" s="6655" t="s">
        <v>2040</v>
      </c>
      <c r="AV63" s="6655"/>
      <c r="AX63" s="6646" t="s">
        <v>8836</v>
      </c>
      <c r="AY63" s="6646"/>
      <c r="BA63" s="6648" t="s">
        <v>2041</v>
      </c>
      <c r="BB63" s="6648"/>
      <c r="BD63" s="6650" t="s">
        <v>2042</v>
      </c>
      <c r="BE63" s="6650"/>
      <c r="BG63" s="6652" t="s">
        <v>2043</v>
      </c>
      <c r="BH63" s="6652"/>
      <c r="BJ63" s="6657" t="s">
        <v>2044</v>
      </c>
      <c r="BK63" s="6657"/>
      <c r="BM63" s="6653" t="s">
        <v>2045</v>
      </c>
      <c r="BN63" s="6653"/>
      <c r="BP63" s="6629" t="s">
        <v>2046</v>
      </c>
      <c r="BQ63" s="6629"/>
      <c r="BS63" s="6631" t="s">
        <v>2047</v>
      </c>
      <c r="BT63" s="6631"/>
      <c r="BV63" s="6640" t="s">
        <v>2048</v>
      </c>
      <c r="BW63" s="6640"/>
      <c r="BX63"/>
      <c r="BY63"/>
      <c r="BZ63"/>
      <c r="CA63" s="6711" t="s">
        <v>2049</v>
      </c>
      <c r="CB63" s="6711"/>
      <c r="CD63" s="6636" t="s">
        <v>2050</v>
      </c>
      <c r="CE63" s="6636"/>
      <c r="CG63" s="6646" t="s">
        <v>2051</v>
      </c>
      <c r="CH63" s="6646"/>
      <c r="CJ63" s="6648" t="s">
        <v>2052</v>
      </c>
      <c r="CK63" s="6648"/>
      <c r="CM63" s="6650" t="s">
        <v>2053</v>
      </c>
      <c r="CN63" s="6650"/>
      <c r="CP63" s="6652" t="s">
        <v>2054</v>
      </c>
      <c r="CQ63" s="6652"/>
      <c r="CS63" s="6657" t="s">
        <v>2055</v>
      </c>
      <c r="CT63" s="6657"/>
      <c r="CV63" s="6653" t="s">
        <v>2056</v>
      </c>
      <c r="CW63" s="6653"/>
      <c r="CY63" s="6629" t="s">
        <v>2057</v>
      </c>
      <c r="CZ63" s="6629"/>
      <c r="DB63" s="6631" t="s">
        <v>2058</v>
      </c>
      <c r="DC63" s="6631"/>
      <c r="DE63" s="6640" t="s">
        <v>2059</v>
      </c>
      <c r="DF63" s="6640"/>
      <c r="DH63"/>
      <c r="DI63"/>
      <c r="DJ63" s="3">
        <v>1</v>
      </c>
    </row>
    <row r="64" spans="1:114" s="627" customFormat="1" ht="18" customHeight="1">
      <c r="A64"/>
      <c r="B64" s="6712"/>
      <c r="C64" s="6712"/>
      <c r="D64" s="633"/>
      <c r="E64" s="6656"/>
      <c r="F64" s="6656"/>
      <c r="G64" s="633"/>
      <c r="H64" s="6647"/>
      <c r="I64" s="6647"/>
      <c r="J64" s="633"/>
      <c r="K64" s="6649"/>
      <c r="L64" s="6649"/>
      <c r="M64" s="633"/>
      <c r="N64" s="6651"/>
      <c r="O64" s="6651"/>
      <c r="P64" s="633"/>
      <c r="Q64" s="6625"/>
      <c r="R64" s="6625"/>
      <c r="S64" s="633"/>
      <c r="T64" s="6626"/>
      <c r="U64" s="6626"/>
      <c r="V64" s="633"/>
      <c r="W64" s="6624"/>
      <c r="X64" s="6624"/>
      <c r="Y64" s="633"/>
      <c r="Z64" s="6630"/>
      <c r="AA64" s="6630"/>
      <c r="AB64" s="227"/>
      <c r="AC64" s="6632"/>
      <c r="AD64" s="6632"/>
      <c r="AE64" s="227"/>
      <c r="AF64" s="6641"/>
      <c r="AG64" s="6641"/>
      <c r="AH64" s="227"/>
      <c r="AI64" s="633"/>
      <c r="AJ64" s="633"/>
      <c r="AK64" s="633"/>
      <c r="AL64" s="633"/>
      <c r="AM64" s="633"/>
      <c r="AN64" s="633"/>
      <c r="AO64" s="633"/>
      <c r="AP64" s="633"/>
      <c r="AQ64" s="633"/>
      <c r="AR64" s="6712" t="s">
        <v>114</v>
      </c>
      <c r="AS64" s="6712"/>
      <c r="AU64" s="6656" t="s">
        <v>114</v>
      </c>
      <c r="AV64" s="6656"/>
      <c r="AX64" s="6647" t="s">
        <v>114</v>
      </c>
      <c r="AY64" s="6647"/>
      <c r="BA64" s="6649" t="s">
        <v>114</v>
      </c>
      <c r="BB64" s="6649"/>
      <c r="BD64" s="6651" t="s">
        <v>114</v>
      </c>
      <c r="BE64" s="6651"/>
      <c r="BG64" s="6625" t="s">
        <v>114</v>
      </c>
      <c r="BH64" s="6625"/>
      <c r="BJ64" s="6626" t="s">
        <v>114</v>
      </c>
      <c r="BK64" s="6626"/>
      <c r="BM64" s="6624" t="s">
        <v>114</v>
      </c>
      <c r="BN64" s="6624"/>
      <c r="BP64" s="6630" t="s">
        <v>114</v>
      </c>
      <c r="BQ64" s="6630"/>
      <c r="BS64" s="6632" t="s">
        <v>114</v>
      </c>
      <c r="BT64" s="6632"/>
      <c r="BV64" s="6641" t="s">
        <v>114</v>
      </c>
      <c r="BW64" s="6641"/>
      <c r="BX64"/>
      <c r="BY64"/>
      <c r="BZ64"/>
      <c r="CA64" s="6712" t="s">
        <v>114</v>
      </c>
      <c r="CB64" s="6712"/>
      <c r="CD64" s="6637" t="s">
        <v>114</v>
      </c>
      <c r="CE64" s="6637"/>
      <c r="CG64" s="6647" t="s">
        <v>114</v>
      </c>
      <c r="CH64" s="6647"/>
      <c r="CJ64" s="6649" t="s">
        <v>114</v>
      </c>
      <c r="CK64" s="6649"/>
      <c r="CM64" s="6651" t="s">
        <v>114</v>
      </c>
      <c r="CN64" s="6651"/>
      <c r="CP64" s="6625" t="s">
        <v>114</v>
      </c>
      <c r="CQ64" s="6625"/>
      <c r="CS64" s="6626" t="s">
        <v>114</v>
      </c>
      <c r="CT64" s="6626"/>
      <c r="CV64" s="6624" t="s">
        <v>114</v>
      </c>
      <c r="CW64" s="6624"/>
      <c r="CY64" s="6630" t="s">
        <v>114</v>
      </c>
      <c r="CZ64" s="6630"/>
      <c r="DB64" s="6632" t="s">
        <v>114</v>
      </c>
      <c r="DC64" s="6632"/>
      <c r="DE64" s="6641" t="s">
        <v>114</v>
      </c>
      <c r="DF64" s="6641"/>
      <c r="DH64"/>
      <c r="DI64"/>
      <c r="DJ64" s="3">
        <v>1</v>
      </c>
    </row>
    <row r="65" spans="1:114" s="627" customFormat="1" ht="18" customHeight="1" thickBot="1">
      <c r="A65"/>
      <c r="B65" s="633"/>
      <c r="C65" s="633"/>
      <c r="D65" s="633"/>
      <c r="E65" s="633"/>
      <c r="F65" s="633"/>
      <c r="G65" s="633"/>
      <c r="H65" s="633"/>
      <c r="I65" s="633"/>
      <c r="J65" s="633"/>
      <c r="K65" s="633"/>
      <c r="L65" s="633"/>
      <c r="M65" s="633"/>
      <c r="N65" s="633"/>
      <c r="O65" s="633"/>
      <c r="P65" s="633"/>
      <c r="Q65" s="670"/>
      <c r="R65" s="670"/>
      <c r="S65" s="633"/>
      <c r="T65" s="633"/>
      <c r="U65" s="633"/>
      <c r="V65" s="633"/>
      <c r="W65" s="633"/>
      <c r="X65" s="633"/>
      <c r="Y65" s="633"/>
      <c r="Z65" s="633"/>
      <c r="AA65" s="633"/>
      <c r="AB65" s="227"/>
      <c r="AC65" s="633"/>
      <c r="AD65" s="633"/>
      <c r="AE65" s="227"/>
      <c r="AF65" s="633"/>
      <c r="AG65" s="633"/>
      <c r="AH65" s="227"/>
      <c r="AI65" s="633"/>
      <c r="AJ65" s="633"/>
      <c r="AK65" s="633"/>
      <c r="AL65" s="633"/>
      <c r="AM65" s="633"/>
      <c r="AN65" s="633"/>
      <c r="AO65" s="633"/>
      <c r="AP65" s="633"/>
      <c r="AQ65" s="633"/>
      <c r="AR65" s="633" t="s">
        <v>114</v>
      </c>
      <c r="AS65" s="633"/>
      <c r="AU65" s="633" t="s">
        <v>114</v>
      </c>
      <c r="AV65" s="633"/>
      <c r="AX65" s="633" t="s">
        <v>114</v>
      </c>
      <c r="AY65" s="633"/>
      <c r="BA65" s="633" t="s">
        <v>114</v>
      </c>
      <c r="BB65" s="633"/>
      <c r="BD65" s="633" t="s">
        <v>114</v>
      </c>
      <c r="BE65" s="633"/>
      <c r="BG65" s="670" t="s">
        <v>114</v>
      </c>
      <c r="BH65" s="670"/>
      <c r="BJ65" s="633" t="s">
        <v>114</v>
      </c>
      <c r="BK65" s="633"/>
      <c r="BM65" s="633" t="s">
        <v>114</v>
      </c>
      <c r="BN65" s="633"/>
      <c r="BP65" s="633" t="s">
        <v>114</v>
      </c>
      <c r="BQ65" s="633"/>
      <c r="BS65" s="633" t="s">
        <v>114</v>
      </c>
      <c r="BT65" s="633"/>
      <c r="BV65" s="633" t="s">
        <v>114</v>
      </c>
      <c r="BW65" s="633"/>
      <c r="BX65"/>
      <c r="BY65"/>
      <c r="BZ65"/>
      <c r="CA65" s="633" t="s">
        <v>114</v>
      </c>
      <c r="CB65" s="633"/>
      <c r="CD65" s="633" t="s">
        <v>114</v>
      </c>
      <c r="CE65" s="633"/>
      <c r="CG65" s="633" t="s">
        <v>114</v>
      </c>
      <c r="CH65" s="633"/>
      <c r="CJ65" s="633" t="s">
        <v>114</v>
      </c>
      <c r="CK65" s="633"/>
      <c r="CM65" s="633" t="s">
        <v>114</v>
      </c>
      <c r="CN65" s="633"/>
      <c r="CP65" s="670" t="s">
        <v>114</v>
      </c>
      <c r="CQ65" s="670"/>
      <c r="CS65" s="633" t="s">
        <v>114</v>
      </c>
      <c r="CT65" s="633"/>
      <c r="CV65" s="633" t="s">
        <v>114</v>
      </c>
      <c r="CW65" s="633"/>
      <c r="CY65" s="633" t="s">
        <v>114</v>
      </c>
      <c r="CZ65" s="633"/>
      <c r="DB65" s="633" t="s">
        <v>114</v>
      </c>
      <c r="DC65" s="633"/>
      <c r="DE65" s="633" t="s">
        <v>114</v>
      </c>
      <c r="DF65" s="633"/>
      <c r="DH65"/>
      <c r="DI65"/>
      <c r="DJ65" s="3">
        <v>1</v>
      </c>
    </row>
    <row r="66" spans="1:114" s="627" customFormat="1" ht="18" customHeight="1">
      <c r="A66"/>
      <c r="B66" s="6713" t="s">
        <v>1110</v>
      </c>
      <c r="C66" s="6713"/>
      <c r="D66" s="633"/>
      <c r="E66" s="6636" t="s">
        <v>1111</v>
      </c>
      <c r="F66" s="6636"/>
      <c r="G66" s="633"/>
      <c r="H66" s="6646" t="s">
        <v>1112</v>
      </c>
      <c r="I66" s="6646"/>
      <c r="J66" s="633"/>
      <c r="K66" s="6648" t="s">
        <v>1113</v>
      </c>
      <c r="L66" s="6648"/>
      <c r="M66" s="633"/>
      <c r="N66" s="6697" t="s">
        <v>1114</v>
      </c>
      <c r="O66" s="6697"/>
      <c r="P66" s="633"/>
      <c r="Q66" s="6652" t="s">
        <v>1115</v>
      </c>
      <c r="R66" s="6652"/>
      <c r="S66" s="633"/>
      <c r="T66" s="6657" t="s">
        <v>1116</v>
      </c>
      <c r="U66" s="6657"/>
      <c r="V66" s="633"/>
      <c r="W66" s="6653" t="s">
        <v>1117</v>
      </c>
      <c r="X66" s="6653"/>
      <c r="Y66" s="633"/>
      <c r="Z66" s="6629" t="s">
        <v>1118</v>
      </c>
      <c r="AA66" s="6629"/>
      <c r="AB66" s="227"/>
      <c r="AC66" s="6631" t="s">
        <v>1119</v>
      </c>
      <c r="AD66" s="6631"/>
      <c r="AE66" s="227"/>
      <c r="AF66" s="6640" t="s">
        <v>1120</v>
      </c>
      <c r="AG66" s="6640"/>
      <c r="AH66" s="227"/>
      <c r="AI66" s="633"/>
      <c r="AJ66" s="633"/>
      <c r="AK66" s="633"/>
      <c r="AL66" s="633"/>
      <c r="AM66" s="633"/>
      <c r="AN66" s="633"/>
      <c r="AO66" s="633"/>
      <c r="AP66" s="633"/>
      <c r="AQ66" s="633"/>
      <c r="AR66" s="6713" t="s">
        <v>2060</v>
      </c>
      <c r="AS66" s="6713"/>
      <c r="AU66" s="6636" t="s">
        <v>2061</v>
      </c>
      <c r="AV66" s="6636"/>
      <c r="AX66" s="6646" t="s">
        <v>8837</v>
      </c>
      <c r="AY66" s="6646"/>
      <c r="BA66" s="6648" t="s">
        <v>2062</v>
      </c>
      <c r="BB66" s="6648"/>
      <c r="BD66" s="6697" t="s">
        <v>2063</v>
      </c>
      <c r="BE66" s="6697"/>
      <c r="BG66" s="6652" t="s">
        <v>2064</v>
      </c>
      <c r="BH66" s="6652"/>
      <c r="BJ66" s="6657" t="s">
        <v>2065</v>
      </c>
      <c r="BK66" s="6657"/>
      <c r="BM66" s="6653" t="s">
        <v>2066</v>
      </c>
      <c r="BN66" s="6653"/>
      <c r="BP66" s="6629" t="s">
        <v>2067</v>
      </c>
      <c r="BQ66" s="6629"/>
      <c r="BS66" s="6631" t="s">
        <v>2068</v>
      </c>
      <c r="BT66" s="6631"/>
      <c r="BV66" s="6640" t="s">
        <v>1131</v>
      </c>
      <c r="BW66" s="6640"/>
      <c r="BX66"/>
      <c r="BY66"/>
      <c r="BZ66"/>
      <c r="CA66" s="6713" t="s">
        <v>2069</v>
      </c>
      <c r="CB66" s="6713"/>
      <c r="CD66" s="6636" t="s">
        <v>2070</v>
      </c>
      <c r="CE66" s="6636"/>
      <c r="CG66" s="6646" t="s">
        <v>2071</v>
      </c>
      <c r="CH66" s="6646"/>
      <c r="CJ66" s="6648" t="s">
        <v>2072</v>
      </c>
      <c r="CK66" s="6648"/>
      <c r="CM66" s="6697" t="s">
        <v>2073</v>
      </c>
      <c r="CN66" s="6697"/>
      <c r="CP66" s="6652" t="s">
        <v>2074</v>
      </c>
      <c r="CQ66" s="6652"/>
      <c r="CS66" s="6657" t="s">
        <v>2075</v>
      </c>
      <c r="CT66" s="6657"/>
      <c r="CV66" s="6653" t="s">
        <v>2076</v>
      </c>
      <c r="CW66" s="6653"/>
      <c r="CY66" s="6629" t="s">
        <v>2077</v>
      </c>
      <c r="CZ66" s="6629"/>
      <c r="DB66" s="6631" t="s">
        <v>2078</v>
      </c>
      <c r="DC66" s="6631"/>
      <c r="DE66" s="6640" t="s">
        <v>1131</v>
      </c>
      <c r="DF66" s="6640"/>
      <c r="DH66"/>
      <c r="DI66"/>
      <c r="DJ66" s="3">
        <v>1</v>
      </c>
    </row>
    <row r="67" spans="1:114" s="627" customFormat="1" ht="18" customHeight="1">
      <c r="A67"/>
      <c r="B67" s="6694"/>
      <c r="C67" s="6694"/>
      <c r="D67" s="633"/>
      <c r="E67" s="6637"/>
      <c r="F67" s="6637"/>
      <c r="G67" s="633"/>
      <c r="H67" s="6647"/>
      <c r="I67" s="6647"/>
      <c r="J67" s="633"/>
      <c r="K67" s="6649"/>
      <c r="L67" s="6649"/>
      <c r="M67" s="633"/>
      <c r="N67" s="6698"/>
      <c r="O67" s="6698"/>
      <c r="P67" s="633"/>
      <c r="Q67" s="6625"/>
      <c r="R67" s="6625"/>
      <c r="S67" s="633"/>
      <c r="T67" s="6626"/>
      <c r="U67" s="6626"/>
      <c r="V67" s="633"/>
      <c r="W67" s="6624"/>
      <c r="X67" s="6624"/>
      <c r="Y67" s="633"/>
      <c r="Z67" s="6630"/>
      <c r="AA67" s="6630"/>
      <c r="AB67" s="227"/>
      <c r="AC67" s="6632"/>
      <c r="AD67" s="6632"/>
      <c r="AE67" s="227"/>
      <c r="AF67" s="6641"/>
      <c r="AG67" s="6641"/>
      <c r="AH67" s="227"/>
      <c r="AI67" s="633"/>
      <c r="AJ67" s="633"/>
      <c r="AK67" s="633"/>
      <c r="AL67" s="633"/>
      <c r="AM67" s="633"/>
      <c r="AN67" s="633"/>
      <c r="AO67" s="633"/>
      <c r="AP67" s="633"/>
      <c r="AQ67" s="633"/>
      <c r="AR67" s="6694" t="s">
        <v>114</v>
      </c>
      <c r="AS67" s="6694"/>
      <c r="AU67" s="6637" t="s">
        <v>114</v>
      </c>
      <c r="AV67" s="6637"/>
      <c r="AX67" s="6647" t="s">
        <v>114</v>
      </c>
      <c r="AY67" s="6647"/>
      <c r="BA67" s="6649" t="s">
        <v>114</v>
      </c>
      <c r="BB67" s="6649"/>
      <c r="BD67" s="6698" t="s">
        <v>114</v>
      </c>
      <c r="BE67" s="6698"/>
      <c r="BG67" s="6625" t="s">
        <v>114</v>
      </c>
      <c r="BH67" s="6625"/>
      <c r="BJ67" s="6626" t="s">
        <v>114</v>
      </c>
      <c r="BK67" s="6626"/>
      <c r="BM67" s="6624" t="s">
        <v>114</v>
      </c>
      <c r="BN67" s="6624"/>
      <c r="BP67" s="6630" t="s">
        <v>114</v>
      </c>
      <c r="BQ67" s="6630"/>
      <c r="BS67" s="6632" t="s">
        <v>114</v>
      </c>
      <c r="BT67" s="6632"/>
      <c r="BV67" s="6641" t="s">
        <v>114</v>
      </c>
      <c r="BW67" s="6641"/>
      <c r="BX67"/>
      <c r="BY67"/>
      <c r="BZ67"/>
      <c r="CA67" s="6694" t="s">
        <v>114</v>
      </c>
      <c r="CB67" s="6694"/>
      <c r="CD67" s="6637" t="s">
        <v>114</v>
      </c>
      <c r="CE67" s="6637"/>
      <c r="CG67" s="6647" t="s">
        <v>114</v>
      </c>
      <c r="CH67" s="6647"/>
      <c r="CJ67" s="6649" t="s">
        <v>114</v>
      </c>
      <c r="CK67" s="6649"/>
      <c r="CM67" s="6698" t="s">
        <v>114</v>
      </c>
      <c r="CN67" s="6698"/>
      <c r="CP67" s="6625" t="s">
        <v>114</v>
      </c>
      <c r="CQ67" s="6625"/>
      <c r="CS67" s="6626" t="s">
        <v>114</v>
      </c>
      <c r="CT67" s="6626"/>
      <c r="CV67" s="6624" t="s">
        <v>114</v>
      </c>
      <c r="CW67" s="6624"/>
      <c r="CY67" s="6630" t="s">
        <v>114</v>
      </c>
      <c r="CZ67" s="6630"/>
      <c r="DB67" s="6632" t="s">
        <v>114</v>
      </c>
      <c r="DC67" s="6632"/>
      <c r="DE67" s="6641" t="s">
        <v>114</v>
      </c>
      <c r="DF67" s="6641"/>
      <c r="DH67"/>
      <c r="DI67"/>
      <c r="DJ67" s="3">
        <v>1</v>
      </c>
    </row>
    <row r="68" spans="1:114" s="627" customFormat="1" ht="18" customHeight="1" thickBot="1">
      <c r="A68"/>
      <c r="B68" s="633"/>
      <c r="C68" s="633"/>
      <c r="D68" s="633"/>
      <c r="E68" s="633"/>
      <c r="F68" s="633"/>
      <c r="G68" s="633"/>
      <c r="H68" s="633"/>
      <c r="I68" s="633"/>
      <c r="J68" s="633"/>
      <c r="K68" s="633"/>
      <c r="L68" s="633"/>
      <c r="M68" s="633"/>
      <c r="N68" s="633"/>
      <c r="O68" s="633"/>
      <c r="P68" s="633"/>
      <c r="Q68" s="670"/>
      <c r="R68" s="670"/>
      <c r="S68" s="633"/>
      <c r="T68" s="633"/>
      <c r="U68" s="633"/>
      <c r="V68" s="633"/>
      <c r="W68" s="633"/>
      <c r="X68" s="633"/>
      <c r="Y68" s="633"/>
      <c r="Z68" s="633"/>
      <c r="AA68" s="633"/>
      <c r="AB68" s="227"/>
      <c r="AC68" s="633"/>
      <c r="AD68" s="633"/>
      <c r="AE68" s="227"/>
      <c r="AF68" s="633"/>
      <c r="AG68" s="633"/>
      <c r="AH68" s="227"/>
      <c r="AI68" s="633"/>
      <c r="AJ68" s="633"/>
      <c r="AK68" s="633"/>
      <c r="AL68" s="633"/>
      <c r="AM68" s="633"/>
      <c r="AN68" s="633"/>
      <c r="AO68" s="633"/>
      <c r="AP68" s="633"/>
      <c r="AQ68" s="633"/>
      <c r="AR68" s="633" t="s">
        <v>114</v>
      </c>
      <c r="AS68" s="633"/>
      <c r="AU68" s="633" t="s">
        <v>114</v>
      </c>
      <c r="AV68" s="633"/>
      <c r="AX68" s="633" t="s">
        <v>114</v>
      </c>
      <c r="AY68" s="633"/>
      <c r="BA68" s="633" t="s">
        <v>114</v>
      </c>
      <c r="BB68" s="633"/>
      <c r="BD68" s="633" t="s">
        <v>114</v>
      </c>
      <c r="BE68" s="633"/>
      <c r="BG68" s="670" t="s">
        <v>114</v>
      </c>
      <c r="BH68" s="670"/>
      <c r="BJ68" s="633" t="s">
        <v>114</v>
      </c>
      <c r="BK68" s="633"/>
      <c r="BM68" s="633" t="s">
        <v>114</v>
      </c>
      <c r="BN68" s="633"/>
      <c r="BP68" s="633" t="s">
        <v>114</v>
      </c>
      <c r="BQ68" s="633"/>
      <c r="BS68" s="633" t="s">
        <v>114</v>
      </c>
      <c r="BT68" s="633"/>
      <c r="BV68" s="633" t="s">
        <v>114</v>
      </c>
      <c r="BW68" s="633"/>
      <c r="BX68"/>
      <c r="BY68"/>
      <c r="BZ68"/>
      <c r="CA68" s="633" t="s">
        <v>114</v>
      </c>
      <c r="CB68" s="633"/>
      <c r="CD68" s="633" t="s">
        <v>114</v>
      </c>
      <c r="CE68" s="633"/>
      <c r="CG68" s="633" t="s">
        <v>114</v>
      </c>
      <c r="CH68" s="633"/>
      <c r="CJ68" s="633" t="s">
        <v>114</v>
      </c>
      <c r="CK68" s="633"/>
      <c r="CM68" s="633" t="s">
        <v>114</v>
      </c>
      <c r="CN68" s="633"/>
      <c r="CP68" s="670" t="s">
        <v>114</v>
      </c>
      <c r="CQ68" s="670"/>
      <c r="CS68" s="633" t="s">
        <v>114</v>
      </c>
      <c r="CT68" s="633"/>
      <c r="CV68" s="633" t="s">
        <v>114</v>
      </c>
      <c r="CW68" s="633"/>
      <c r="CY68" s="633" t="s">
        <v>114</v>
      </c>
      <c r="CZ68" s="633"/>
      <c r="DB68" s="633" t="s">
        <v>114</v>
      </c>
      <c r="DC68" s="633"/>
      <c r="DE68" s="633" t="s">
        <v>114</v>
      </c>
      <c r="DF68" s="633"/>
      <c r="DH68"/>
      <c r="DI68"/>
      <c r="DJ68" s="3">
        <v>1</v>
      </c>
    </row>
    <row r="69" spans="1:114" s="627" customFormat="1" ht="18" customHeight="1">
      <c r="A69"/>
      <c r="B69" s="6714" t="s">
        <v>1121</v>
      </c>
      <c r="C69" s="6714"/>
      <c r="D69" s="633"/>
      <c r="E69" s="6636" t="s">
        <v>1122</v>
      </c>
      <c r="F69" s="6636"/>
      <c r="G69" s="633"/>
      <c r="H69" s="6646" t="s">
        <v>1123</v>
      </c>
      <c r="I69" s="6646"/>
      <c r="J69" s="633"/>
      <c r="K69" s="6648" t="s">
        <v>1124</v>
      </c>
      <c r="L69" s="6648"/>
      <c r="M69" s="633"/>
      <c r="N69" s="6697" t="s">
        <v>1125</v>
      </c>
      <c r="O69" s="6697"/>
      <c r="P69" s="633"/>
      <c r="Q69" s="6652" t="s">
        <v>1126</v>
      </c>
      <c r="R69" s="6652"/>
      <c r="S69" s="633"/>
      <c r="T69" s="6657" t="s">
        <v>1127</v>
      </c>
      <c r="U69" s="6657"/>
      <c r="V69" s="633"/>
      <c r="W69" s="6653" t="s">
        <v>1128</v>
      </c>
      <c r="X69" s="6653"/>
      <c r="Y69" s="633"/>
      <c r="Z69" s="6629" t="s">
        <v>1129</v>
      </c>
      <c r="AA69" s="6629"/>
      <c r="AB69" s="227"/>
      <c r="AC69" s="6631" t="s">
        <v>1130</v>
      </c>
      <c r="AD69" s="6631"/>
      <c r="AE69" s="227"/>
      <c r="AF69" s="6640" t="s">
        <v>1131</v>
      </c>
      <c r="AG69" s="6640"/>
      <c r="AH69" s="227"/>
      <c r="AI69" s="633"/>
      <c r="AJ69" s="633"/>
      <c r="AK69" s="633"/>
      <c r="AL69" s="633"/>
      <c r="AM69" s="633"/>
      <c r="AN69" s="633"/>
      <c r="AO69" s="633"/>
      <c r="AP69" s="633"/>
      <c r="AQ69" s="633"/>
      <c r="AR69" s="6714" t="s">
        <v>2079</v>
      </c>
      <c r="AS69" s="6714"/>
      <c r="AU69" s="6636" t="s">
        <v>2080</v>
      </c>
      <c r="AV69" s="6636"/>
      <c r="AX69" s="6646" t="s">
        <v>8838</v>
      </c>
      <c r="AY69" s="6646"/>
      <c r="BA69" s="6648" t="s">
        <v>2081</v>
      </c>
      <c r="BB69" s="6648"/>
      <c r="BD69" s="6697" t="s">
        <v>2082</v>
      </c>
      <c r="BE69" s="6697"/>
      <c r="BG69" s="6652" t="s">
        <v>2083</v>
      </c>
      <c r="BH69" s="6652"/>
      <c r="BJ69" s="6657" t="s">
        <v>2084</v>
      </c>
      <c r="BK69" s="6657"/>
      <c r="BM69" s="6653" t="s">
        <v>2085</v>
      </c>
      <c r="BN69" s="6653"/>
      <c r="BP69" s="6629" t="s">
        <v>2086</v>
      </c>
      <c r="BQ69" s="6629"/>
      <c r="BS69" s="6631" t="s">
        <v>2087</v>
      </c>
      <c r="BT69" s="6631"/>
      <c r="BV69" s="6640" t="s">
        <v>2088</v>
      </c>
      <c r="BW69" s="6640"/>
      <c r="BX69"/>
      <c r="BY69"/>
      <c r="BZ69"/>
      <c r="CA69" s="6714" t="s">
        <v>2089</v>
      </c>
      <c r="CB69" s="6714"/>
      <c r="CD69" s="6655" t="s">
        <v>2090</v>
      </c>
      <c r="CE69" s="6655"/>
      <c r="CG69" s="6646" t="s">
        <v>2091</v>
      </c>
      <c r="CH69" s="6646"/>
      <c r="CJ69" s="6648" t="s">
        <v>2092</v>
      </c>
      <c r="CK69" s="6648"/>
      <c r="CM69" s="6697" t="s">
        <v>2093</v>
      </c>
      <c r="CN69" s="6697"/>
      <c r="CP69" s="6652" t="s">
        <v>2094</v>
      </c>
      <c r="CQ69" s="6652"/>
      <c r="CS69" s="6657" t="s">
        <v>2095</v>
      </c>
      <c r="CT69" s="6657"/>
      <c r="CV69" s="6653" t="s">
        <v>2096</v>
      </c>
      <c r="CW69" s="6653"/>
      <c r="CY69" s="6629" t="s">
        <v>2097</v>
      </c>
      <c r="CZ69" s="6629"/>
      <c r="DB69" s="6631" t="s">
        <v>2098</v>
      </c>
      <c r="DC69" s="6631"/>
      <c r="DE69" s="6640" t="s">
        <v>2099</v>
      </c>
      <c r="DF69" s="6640"/>
      <c r="DH69"/>
      <c r="DI69"/>
      <c r="DJ69" s="3">
        <v>1</v>
      </c>
    </row>
    <row r="70" spans="1:114" s="627" customFormat="1" ht="18" customHeight="1">
      <c r="A70"/>
      <c r="B70" s="6715"/>
      <c r="C70" s="6715"/>
      <c r="D70" s="633"/>
      <c r="E70" s="6637"/>
      <c r="F70" s="6637"/>
      <c r="G70" s="633"/>
      <c r="H70" s="6647"/>
      <c r="I70" s="6647"/>
      <c r="J70" s="633"/>
      <c r="K70" s="6649"/>
      <c r="L70" s="6649"/>
      <c r="M70" s="633"/>
      <c r="N70" s="6698"/>
      <c r="O70" s="6698"/>
      <c r="P70" s="633"/>
      <c r="Q70" s="6625"/>
      <c r="R70" s="6625"/>
      <c r="S70" s="633"/>
      <c r="T70" s="6626"/>
      <c r="U70" s="6626"/>
      <c r="V70" s="633"/>
      <c r="W70" s="6624"/>
      <c r="X70" s="6624"/>
      <c r="Y70" s="633"/>
      <c r="Z70" s="6630"/>
      <c r="AA70" s="6630"/>
      <c r="AB70" s="227"/>
      <c r="AC70" s="6632"/>
      <c r="AD70" s="6632"/>
      <c r="AE70" s="227"/>
      <c r="AF70" s="6641"/>
      <c r="AG70" s="6641"/>
      <c r="AH70" s="227"/>
      <c r="AI70" s="633"/>
      <c r="AJ70" s="633"/>
      <c r="AK70" s="633"/>
      <c r="AL70" s="633"/>
      <c r="AM70" s="633"/>
      <c r="AN70" s="633"/>
      <c r="AO70" s="633"/>
      <c r="AP70" s="633"/>
      <c r="AQ70" s="633"/>
      <c r="AR70" s="6715" t="s">
        <v>114</v>
      </c>
      <c r="AS70" s="6715"/>
      <c r="AU70" s="6637" t="s">
        <v>114</v>
      </c>
      <c r="AV70" s="6637"/>
      <c r="AX70" s="6647" t="s">
        <v>114</v>
      </c>
      <c r="AY70" s="6647"/>
      <c r="BA70" s="6649" t="s">
        <v>114</v>
      </c>
      <c r="BB70" s="6649"/>
      <c r="BD70" s="6698" t="s">
        <v>114</v>
      </c>
      <c r="BE70" s="6698"/>
      <c r="BG70" s="6625" t="s">
        <v>114</v>
      </c>
      <c r="BH70" s="6625"/>
      <c r="BJ70" s="6626" t="s">
        <v>114</v>
      </c>
      <c r="BK70" s="6626"/>
      <c r="BM70" s="6624" t="s">
        <v>114</v>
      </c>
      <c r="BN70" s="6624"/>
      <c r="BP70" s="6630" t="s">
        <v>114</v>
      </c>
      <c r="BQ70" s="6630"/>
      <c r="BS70" s="6632" t="s">
        <v>114</v>
      </c>
      <c r="BT70" s="6632"/>
      <c r="BV70" s="6641" t="s">
        <v>114</v>
      </c>
      <c r="BW70" s="6641"/>
      <c r="BX70"/>
      <c r="BY70"/>
      <c r="BZ70"/>
      <c r="CA70" s="6715" t="s">
        <v>114</v>
      </c>
      <c r="CB70" s="6715"/>
      <c r="CD70" s="6656" t="s">
        <v>114</v>
      </c>
      <c r="CE70" s="6656"/>
      <c r="CG70" s="6647" t="s">
        <v>114</v>
      </c>
      <c r="CH70" s="6647"/>
      <c r="CJ70" s="6649" t="s">
        <v>114</v>
      </c>
      <c r="CK70" s="6649"/>
      <c r="CM70" s="6698" t="s">
        <v>114</v>
      </c>
      <c r="CN70" s="6698"/>
      <c r="CP70" s="6625" t="s">
        <v>114</v>
      </c>
      <c r="CQ70" s="6625"/>
      <c r="CS70" s="6626" t="s">
        <v>114</v>
      </c>
      <c r="CT70" s="6626"/>
      <c r="CV70" s="6624" t="s">
        <v>114</v>
      </c>
      <c r="CW70" s="6624"/>
      <c r="CY70" s="6630" t="s">
        <v>114</v>
      </c>
      <c r="CZ70" s="6630"/>
      <c r="DB70" s="6632" t="s">
        <v>114</v>
      </c>
      <c r="DC70" s="6632"/>
      <c r="DE70" s="6641" t="s">
        <v>114</v>
      </c>
      <c r="DF70" s="6641"/>
      <c r="DH70"/>
      <c r="DI70"/>
      <c r="DJ70" s="3">
        <v>1</v>
      </c>
    </row>
    <row r="71" spans="1:114" s="627" customFormat="1" ht="18" customHeight="1" thickBot="1">
      <c r="A71"/>
      <c r="B71" s="633"/>
      <c r="C71" s="633"/>
      <c r="D71" s="633"/>
      <c r="E71" s="633"/>
      <c r="F71" s="633"/>
      <c r="G71" s="633"/>
      <c r="H71" s="633"/>
      <c r="I71" s="633"/>
      <c r="J71" s="633"/>
      <c r="K71" s="633"/>
      <c r="L71" s="633"/>
      <c r="M71" s="633"/>
      <c r="N71" s="633"/>
      <c r="O71" s="633"/>
      <c r="P71" s="633"/>
      <c r="Q71" s="670"/>
      <c r="R71" s="670"/>
      <c r="S71" s="633"/>
      <c r="T71" s="633"/>
      <c r="U71" s="633"/>
      <c r="V71" s="633"/>
      <c r="W71" s="633"/>
      <c r="X71" s="633"/>
      <c r="Y71" s="633"/>
      <c r="Z71" s="633"/>
      <c r="AA71" s="633"/>
      <c r="AB71" s="227"/>
      <c r="AC71" s="633"/>
      <c r="AD71" s="633"/>
      <c r="AE71" s="227"/>
      <c r="AF71" s="633"/>
      <c r="AG71" s="633"/>
      <c r="AH71" s="227"/>
      <c r="AI71" s="633"/>
      <c r="AJ71" s="633"/>
      <c r="AK71" s="633"/>
      <c r="AL71" s="633"/>
      <c r="AM71" s="633"/>
      <c r="AN71" s="633"/>
      <c r="AO71" s="633"/>
      <c r="AP71" s="633"/>
      <c r="AQ71" s="633"/>
      <c r="AR71" s="633" t="s">
        <v>114</v>
      </c>
      <c r="AS71" s="633"/>
      <c r="AU71" s="633" t="s">
        <v>114</v>
      </c>
      <c r="AV71" s="633"/>
      <c r="AX71" s="633" t="s">
        <v>114</v>
      </c>
      <c r="AY71" s="633"/>
      <c r="BA71" s="633" t="s">
        <v>114</v>
      </c>
      <c r="BB71" s="633"/>
      <c r="BD71" s="633" t="s">
        <v>114</v>
      </c>
      <c r="BE71" s="633"/>
      <c r="BG71" s="670" t="s">
        <v>114</v>
      </c>
      <c r="BH71" s="670"/>
      <c r="BJ71" s="633" t="s">
        <v>114</v>
      </c>
      <c r="BK71" s="633"/>
      <c r="BM71" s="633" t="s">
        <v>114</v>
      </c>
      <c r="BN71" s="633"/>
      <c r="BP71" s="633" t="s">
        <v>114</v>
      </c>
      <c r="BQ71" s="633"/>
      <c r="BS71" s="633" t="s">
        <v>114</v>
      </c>
      <c r="BT71" s="633"/>
      <c r="BV71" s="633" t="s">
        <v>114</v>
      </c>
      <c r="BW71" s="633"/>
      <c r="BX71"/>
      <c r="BY71"/>
      <c r="BZ71"/>
      <c r="CA71" s="633" t="s">
        <v>114</v>
      </c>
      <c r="CB71" s="633"/>
      <c r="CD71" s="633" t="s">
        <v>114</v>
      </c>
      <c r="CE71" s="633"/>
      <c r="CG71" s="633" t="s">
        <v>114</v>
      </c>
      <c r="CH71" s="633"/>
      <c r="CJ71" s="633" t="s">
        <v>114</v>
      </c>
      <c r="CK71" s="633"/>
      <c r="CM71" s="633" t="s">
        <v>114</v>
      </c>
      <c r="CN71" s="633"/>
      <c r="CP71" s="670" t="s">
        <v>114</v>
      </c>
      <c r="CQ71" s="670"/>
      <c r="CS71" s="633" t="s">
        <v>114</v>
      </c>
      <c r="CT71" s="633"/>
      <c r="CV71" s="633" t="s">
        <v>114</v>
      </c>
      <c r="CW71" s="633"/>
      <c r="CY71" s="633" t="s">
        <v>114</v>
      </c>
      <c r="CZ71" s="633"/>
      <c r="DB71" s="633" t="s">
        <v>114</v>
      </c>
      <c r="DC71" s="633"/>
      <c r="DE71" s="633" t="s">
        <v>114</v>
      </c>
      <c r="DF71" s="633"/>
      <c r="DH71"/>
      <c r="DI71"/>
      <c r="DJ71" s="3">
        <v>1</v>
      </c>
    </row>
    <row r="72" spans="1:114" s="627" customFormat="1" ht="18" customHeight="1">
      <c r="A72"/>
      <c r="B72" s="6716" t="s">
        <v>1132</v>
      </c>
      <c r="C72" s="6716"/>
      <c r="D72" s="633"/>
      <c r="E72" s="6636" t="s">
        <v>1133</v>
      </c>
      <c r="F72" s="6636"/>
      <c r="G72" s="633"/>
      <c r="H72" s="6646" t="s">
        <v>1134</v>
      </c>
      <c r="I72" s="6646"/>
      <c r="J72" s="633"/>
      <c r="K72" s="6648" t="s">
        <v>1135</v>
      </c>
      <c r="L72" s="6648"/>
      <c r="M72" s="633"/>
      <c r="N72" s="6697" t="s">
        <v>1136</v>
      </c>
      <c r="O72" s="6697"/>
      <c r="P72" s="633"/>
      <c r="Q72" s="6652" t="s">
        <v>1137</v>
      </c>
      <c r="R72" s="6652"/>
      <c r="S72" s="633"/>
      <c r="T72" s="6657" t="s">
        <v>1138</v>
      </c>
      <c r="U72" s="6657"/>
      <c r="V72" s="633"/>
      <c r="W72" s="6653" t="s">
        <v>1139</v>
      </c>
      <c r="X72" s="6653"/>
      <c r="Y72" s="633"/>
      <c r="Z72" s="6629" t="s">
        <v>1140</v>
      </c>
      <c r="AA72" s="6629"/>
      <c r="AB72" s="227"/>
      <c r="AC72" s="6631" t="s">
        <v>1141</v>
      </c>
      <c r="AD72" s="6631"/>
      <c r="AE72" s="227"/>
      <c r="AF72" s="6640" t="s">
        <v>1142</v>
      </c>
      <c r="AG72" s="6640"/>
      <c r="AH72" s="227"/>
      <c r="AI72" s="633"/>
      <c r="AJ72" s="633"/>
      <c r="AK72" s="633"/>
      <c r="AL72" s="633"/>
      <c r="AM72" s="633"/>
      <c r="AN72" s="633"/>
      <c r="AO72" s="633"/>
      <c r="AP72" s="633"/>
      <c r="AQ72" s="633"/>
      <c r="AR72" s="6716" t="s">
        <v>2100</v>
      </c>
      <c r="AS72" s="6716"/>
      <c r="AU72" s="6636" t="s">
        <v>2101</v>
      </c>
      <c r="AV72" s="6636"/>
      <c r="AX72" s="6646" t="s">
        <v>8840</v>
      </c>
      <c r="AY72" s="6646"/>
      <c r="BA72" s="6648" t="s">
        <v>2102</v>
      </c>
      <c r="BB72" s="6648"/>
      <c r="BD72" s="6697" t="s">
        <v>2103</v>
      </c>
      <c r="BE72" s="6697"/>
      <c r="BG72" s="6652" t="s">
        <v>2104</v>
      </c>
      <c r="BH72" s="6652"/>
      <c r="BJ72" s="6657" t="s">
        <v>2105</v>
      </c>
      <c r="BK72" s="6657"/>
      <c r="BM72" s="6653" t="s">
        <v>2106</v>
      </c>
      <c r="BN72" s="6653"/>
      <c r="BP72" s="6629" t="s">
        <v>2107</v>
      </c>
      <c r="BQ72" s="6629"/>
      <c r="BS72" s="6631" t="s">
        <v>2108</v>
      </c>
      <c r="BT72" s="6631"/>
      <c r="BV72" s="6640" t="s">
        <v>2109</v>
      </c>
      <c r="BW72" s="6640"/>
      <c r="BX72"/>
      <c r="BY72"/>
      <c r="BZ72"/>
      <c r="CA72" s="6716" t="s">
        <v>2110</v>
      </c>
      <c r="CB72" s="6716"/>
      <c r="CD72" s="6636" t="s">
        <v>2111</v>
      </c>
      <c r="CE72" s="6636"/>
      <c r="CG72" s="6646" t="s">
        <v>2112</v>
      </c>
      <c r="CH72" s="6646"/>
      <c r="CJ72" s="6648" t="s">
        <v>2113</v>
      </c>
      <c r="CK72" s="6648"/>
      <c r="CM72" s="6697" t="s">
        <v>2114</v>
      </c>
      <c r="CN72" s="6697"/>
      <c r="CP72" s="6652" t="s">
        <v>2115</v>
      </c>
      <c r="CQ72" s="6652"/>
      <c r="CS72" s="6657" t="s">
        <v>2116</v>
      </c>
      <c r="CT72" s="6657"/>
      <c r="CV72" s="6653" t="s">
        <v>2117</v>
      </c>
      <c r="CW72" s="6653"/>
      <c r="CY72" s="6629" t="s">
        <v>2118</v>
      </c>
      <c r="CZ72" s="6629"/>
      <c r="DB72" s="6631" t="s">
        <v>2119</v>
      </c>
      <c r="DC72" s="6631"/>
      <c r="DE72" s="6640" t="s">
        <v>2120</v>
      </c>
      <c r="DF72" s="6640"/>
      <c r="DH72"/>
      <c r="DI72"/>
      <c r="DJ72" s="3">
        <v>1</v>
      </c>
    </row>
    <row r="73" spans="1:114" s="627" customFormat="1" ht="18" customHeight="1">
      <c r="A73"/>
      <c r="B73" s="6717"/>
      <c r="C73" s="6717"/>
      <c r="D73" s="633"/>
      <c r="E73" s="6637"/>
      <c r="F73" s="6637"/>
      <c r="G73" s="633"/>
      <c r="H73" s="6647"/>
      <c r="I73" s="6647"/>
      <c r="J73" s="633"/>
      <c r="K73" s="6649"/>
      <c r="L73" s="6649"/>
      <c r="M73" s="633"/>
      <c r="N73" s="6698"/>
      <c r="O73" s="6698"/>
      <c r="P73" s="633"/>
      <c r="Q73" s="6625"/>
      <c r="R73" s="6625"/>
      <c r="S73" s="633"/>
      <c r="T73" s="6626"/>
      <c r="U73" s="6626"/>
      <c r="V73" s="633"/>
      <c r="W73" s="6624"/>
      <c r="X73" s="6624"/>
      <c r="Y73" s="633"/>
      <c r="Z73" s="6630"/>
      <c r="AA73" s="6630"/>
      <c r="AB73" s="227"/>
      <c r="AC73" s="6632"/>
      <c r="AD73" s="6632"/>
      <c r="AE73" s="227"/>
      <c r="AF73" s="6641"/>
      <c r="AG73" s="6641"/>
      <c r="AH73" s="227"/>
      <c r="AI73" s="633"/>
      <c r="AJ73" s="633"/>
      <c r="AK73" s="633"/>
      <c r="AL73" s="633"/>
      <c r="AM73" s="633"/>
      <c r="AN73" s="633"/>
      <c r="AO73" s="633"/>
      <c r="AP73" s="633"/>
      <c r="AQ73" s="633"/>
      <c r="AR73" s="6717" t="s">
        <v>114</v>
      </c>
      <c r="AS73" s="6717"/>
      <c r="AU73" s="6637" t="s">
        <v>114</v>
      </c>
      <c r="AV73" s="6637"/>
      <c r="AX73" s="6647" t="s">
        <v>114</v>
      </c>
      <c r="AY73" s="6647"/>
      <c r="BA73" s="6649" t="s">
        <v>114</v>
      </c>
      <c r="BB73" s="6649"/>
      <c r="BD73" s="6698" t="s">
        <v>114</v>
      </c>
      <c r="BE73" s="6698"/>
      <c r="BG73" s="6625" t="s">
        <v>114</v>
      </c>
      <c r="BH73" s="6625"/>
      <c r="BJ73" s="6626" t="s">
        <v>114</v>
      </c>
      <c r="BK73" s="6626"/>
      <c r="BM73" s="6624" t="s">
        <v>114</v>
      </c>
      <c r="BN73" s="6624"/>
      <c r="BP73" s="6630" t="s">
        <v>114</v>
      </c>
      <c r="BQ73" s="6630"/>
      <c r="BS73" s="6632" t="s">
        <v>114</v>
      </c>
      <c r="BT73" s="6632"/>
      <c r="BV73" s="6641" t="s">
        <v>114</v>
      </c>
      <c r="BW73" s="6641"/>
      <c r="BX73"/>
      <c r="BY73"/>
      <c r="BZ73"/>
      <c r="CA73" s="6717" t="s">
        <v>114</v>
      </c>
      <c r="CB73" s="6717"/>
      <c r="CD73" s="6637" t="s">
        <v>114</v>
      </c>
      <c r="CE73" s="6637"/>
      <c r="CG73" s="6647" t="s">
        <v>114</v>
      </c>
      <c r="CH73" s="6647"/>
      <c r="CJ73" s="6649" t="s">
        <v>114</v>
      </c>
      <c r="CK73" s="6649"/>
      <c r="CM73" s="6698" t="s">
        <v>114</v>
      </c>
      <c r="CN73" s="6698"/>
      <c r="CP73" s="6625" t="s">
        <v>114</v>
      </c>
      <c r="CQ73" s="6625"/>
      <c r="CS73" s="6626" t="s">
        <v>114</v>
      </c>
      <c r="CT73" s="6626"/>
      <c r="CV73" s="6624" t="s">
        <v>114</v>
      </c>
      <c r="CW73" s="6624"/>
      <c r="CY73" s="6630" t="s">
        <v>114</v>
      </c>
      <c r="CZ73" s="6630"/>
      <c r="DB73" s="6632" t="s">
        <v>114</v>
      </c>
      <c r="DC73" s="6632"/>
      <c r="DE73" s="6641" t="s">
        <v>114</v>
      </c>
      <c r="DF73" s="6641"/>
      <c r="DH73"/>
      <c r="DI73"/>
      <c r="DJ73" s="3">
        <v>1</v>
      </c>
    </row>
    <row r="74" spans="1:114" s="627" customFormat="1" ht="18" customHeight="1" thickBot="1">
      <c r="A74"/>
      <c r="B74" s="633"/>
      <c r="C74" s="633"/>
      <c r="D74" s="633"/>
      <c r="E74" s="633"/>
      <c r="F74" s="633"/>
      <c r="G74" s="633"/>
      <c r="H74" s="633"/>
      <c r="I74" s="633"/>
      <c r="J74" s="633"/>
      <c r="K74" s="633"/>
      <c r="L74" s="633"/>
      <c r="M74" s="633"/>
      <c r="N74" s="633"/>
      <c r="O74" s="633"/>
      <c r="P74" s="633"/>
      <c r="Q74" s="670"/>
      <c r="R74" s="670"/>
      <c r="S74" s="633"/>
      <c r="T74" s="633"/>
      <c r="U74" s="633"/>
      <c r="V74" s="633"/>
      <c r="W74" s="633"/>
      <c r="X74" s="633"/>
      <c r="Y74" s="633"/>
      <c r="Z74" s="633"/>
      <c r="AA74" s="633"/>
      <c r="AB74" s="227"/>
      <c r="AC74" s="633"/>
      <c r="AD74" s="633"/>
      <c r="AE74" s="227"/>
      <c r="AF74" s="633"/>
      <c r="AG74" s="633"/>
      <c r="AH74" s="227"/>
      <c r="AI74" s="633"/>
      <c r="AJ74" s="633"/>
      <c r="AK74" s="633"/>
      <c r="AL74" s="633"/>
      <c r="AM74" s="633"/>
      <c r="AN74" s="633"/>
      <c r="AO74" s="633"/>
      <c r="AP74" s="633"/>
      <c r="AQ74" s="633"/>
      <c r="AR74" s="633" t="s">
        <v>114</v>
      </c>
      <c r="AS74" s="633"/>
      <c r="AU74" s="633" t="s">
        <v>114</v>
      </c>
      <c r="AV74" s="633"/>
      <c r="AX74" s="633" t="s">
        <v>114</v>
      </c>
      <c r="AY74" s="633"/>
      <c r="BA74" s="633" t="s">
        <v>114</v>
      </c>
      <c r="BB74" s="633"/>
      <c r="BD74" s="633" t="s">
        <v>114</v>
      </c>
      <c r="BE74" s="633"/>
      <c r="BG74" s="670" t="s">
        <v>114</v>
      </c>
      <c r="BH74" s="670"/>
      <c r="BJ74" s="633" t="s">
        <v>114</v>
      </c>
      <c r="BK74" s="633"/>
      <c r="BM74" s="633" t="s">
        <v>114</v>
      </c>
      <c r="BN74" s="633"/>
      <c r="BP74" s="633" t="s">
        <v>114</v>
      </c>
      <c r="BQ74" s="633"/>
      <c r="BS74" s="633" t="s">
        <v>114</v>
      </c>
      <c r="BT74" s="633"/>
      <c r="BV74" s="633" t="s">
        <v>114</v>
      </c>
      <c r="BW74" s="633"/>
      <c r="BX74"/>
      <c r="BY74"/>
      <c r="BZ74"/>
      <c r="CA74" s="633" t="s">
        <v>114</v>
      </c>
      <c r="CB74" s="633"/>
      <c r="CD74" s="633" t="s">
        <v>114</v>
      </c>
      <c r="CE74" s="633"/>
      <c r="CG74" s="633" t="s">
        <v>114</v>
      </c>
      <c r="CH74" s="633"/>
      <c r="CJ74" s="633" t="s">
        <v>114</v>
      </c>
      <c r="CK74" s="633"/>
      <c r="CM74" s="633" t="s">
        <v>114</v>
      </c>
      <c r="CN74" s="633"/>
      <c r="CP74" s="670" t="s">
        <v>114</v>
      </c>
      <c r="CQ74" s="670"/>
      <c r="CS74" s="633" t="s">
        <v>114</v>
      </c>
      <c r="CT74" s="633"/>
      <c r="CV74" s="633" t="s">
        <v>114</v>
      </c>
      <c r="CW74" s="633"/>
      <c r="CY74" s="633" t="s">
        <v>114</v>
      </c>
      <c r="CZ74" s="633"/>
      <c r="DB74" s="633" t="s">
        <v>114</v>
      </c>
      <c r="DC74" s="633"/>
      <c r="DE74" s="633" t="s">
        <v>114</v>
      </c>
      <c r="DF74" s="633"/>
      <c r="DH74"/>
      <c r="DI74"/>
      <c r="DJ74" s="3">
        <v>1</v>
      </c>
    </row>
    <row r="75" spans="1:114" s="627" customFormat="1" ht="18" customHeight="1">
      <c r="A75"/>
      <c r="B75" s="6718" t="s">
        <v>1143</v>
      </c>
      <c r="C75" s="6718"/>
      <c r="D75" s="633"/>
      <c r="E75" s="6655" t="s">
        <v>1144</v>
      </c>
      <c r="F75" s="6655"/>
      <c r="G75" s="633"/>
      <c r="H75" s="6646" t="s">
        <v>1145</v>
      </c>
      <c r="I75" s="6646"/>
      <c r="J75" s="633"/>
      <c r="K75" s="6648" t="s">
        <v>1146</v>
      </c>
      <c r="L75" s="6648"/>
      <c r="M75" s="633"/>
      <c r="N75" s="6650" t="s">
        <v>1147</v>
      </c>
      <c r="O75" s="6650"/>
      <c r="P75" s="633"/>
      <c r="Q75" s="6652" t="s">
        <v>1148</v>
      </c>
      <c r="R75" s="6652"/>
      <c r="S75" s="633"/>
      <c r="T75" s="6657" t="s">
        <v>1149</v>
      </c>
      <c r="U75" s="6657"/>
      <c r="V75" s="633"/>
      <c r="W75" s="6653" t="s">
        <v>1150</v>
      </c>
      <c r="X75" s="6653"/>
      <c r="Y75" s="633"/>
      <c r="Z75" s="6629" t="s">
        <v>1151</v>
      </c>
      <c r="AA75" s="6629"/>
      <c r="AB75" s="227"/>
      <c r="AC75" s="6631" t="s">
        <v>1152</v>
      </c>
      <c r="AD75" s="6631"/>
      <c r="AE75" s="227"/>
      <c r="AF75" s="6640" t="s">
        <v>1153</v>
      </c>
      <c r="AG75" s="6640"/>
      <c r="AH75" s="227"/>
      <c r="AI75" s="633"/>
      <c r="AJ75" s="633"/>
      <c r="AK75" s="633"/>
      <c r="AL75" s="633"/>
      <c r="AM75" s="633"/>
      <c r="AN75" s="633"/>
      <c r="AO75" s="633"/>
      <c r="AP75" s="633"/>
      <c r="AQ75" s="633"/>
      <c r="AR75" s="6718" t="s">
        <v>2121</v>
      </c>
      <c r="AS75" s="6718"/>
      <c r="AU75" s="6655" t="s">
        <v>2122</v>
      </c>
      <c r="AV75" s="6655"/>
      <c r="AX75" s="6646" t="s">
        <v>8841</v>
      </c>
      <c r="AY75" s="6646"/>
      <c r="BA75" s="6648" t="s">
        <v>2123</v>
      </c>
      <c r="BB75" s="6648"/>
      <c r="BD75" s="6650" t="s">
        <v>2124</v>
      </c>
      <c r="BE75" s="6650"/>
      <c r="BG75" s="6652" t="s">
        <v>2125</v>
      </c>
      <c r="BH75" s="6652"/>
      <c r="BJ75" s="6657" t="s">
        <v>2126</v>
      </c>
      <c r="BK75" s="6657"/>
      <c r="BM75" s="6653" t="s">
        <v>2127</v>
      </c>
      <c r="BN75" s="6653"/>
      <c r="BP75" s="6629" t="s">
        <v>2128</v>
      </c>
      <c r="BQ75" s="6629"/>
      <c r="BS75" s="6631" t="s">
        <v>2129</v>
      </c>
      <c r="BT75" s="6631"/>
      <c r="BV75" s="6640" t="s">
        <v>2130</v>
      </c>
      <c r="BW75" s="6640"/>
      <c r="BX75"/>
      <c r="BY75"/>
      <c r="BZ75"/>
      <c r="CA75" s="6718" t="s">
        <v>2131</v>
      </c>
      <c r="CB75" s="6718"/>
      <c r="CD75" s="6636" t="s">
        <v>2132</v>
      </c>
      <c r="CE75" s="6636"/>
      <c r="CG75" s="6646" t="s">
        <v>2133</v>
      </c>
      <c r="CH75" s="6646"/>
      <c r="CJ75" s="6648" t="s">
        <v>2134</v>
      </c>
      <c r="CK75" s="6648"/>
      <c r="CM75" s="6697" t="s">
        <v>2135</v>
      </c>
      <c r="CN75" s="6697"/>
      <c r="CP75" s="6652" t="s">
        <v>2136</v>
      </c>
      <c r="CQ75" s="6652"/>
      <c r="CS75" s="6657" t="s">
        <v>2137</v>
      </c>
      <c r="CT75" s="6657"/>
      <c r="CV75" s="6653" t="s">
        <v>2138</v>
      </c>
      <c r="CW75" s="6653"/>
      <c r="CY75" s="6629" t="s">
        <v>2139</v>
      </c>
      <c r="CZ75" s="6629"/>
      <c r="DB75" s="6631" t="s">
        <v>2140</v>
      </c>
      <c r="DC75" s="6631"/>
      <c r="DE75" s="6640" t="s">
        <v>2141</v>
      </c>
      <c r="DF75" s="6640"/>
      <c r="DH75"/>
      <c r="DI75"/>
      <c r="DJ75" s="3">
        <v>1</v>
      </c>
    </row>
    <row r="76" spans="1:114" s="627" customFormat="1" ht="18" customHeight="1">
      <c r="A76" s="630"/>
      <c r="B76" s="6719"/>
      <c r="C76" s="6719"/>
      <c r="D76" s="633"/>
      <c r="E76" s="6656"/>
      <c r="F76" s="6656"/>
      <c r="G76" s="633"/>
      <c r="H76" s="6647"/>
      <c r="I76" s="6647"/>
      <c r="J76" s="633"/>
      <c r="K76" s="6649"/>
      <c r="L76" s="6649"/>
      <c r="M76" s="633"/>
      <c r="N76" s="6651"/>
      <c r="O76" s="6651"/>
      <c r="P76" s="633"/>
      <c r="Q76" s="6625"/>
      <c r="R76" s="6625"/>
      <c r="S76" s="633"/>
      <c r="T76" s="6626"/>
      <c r="U76" s="6626"/>
      <c r="V76" s="633"/>
      <c r="W76" s="6624"/>
      <c r="X76" s="6624"/>
      <c r="Y76" s="633"/>
      <c r="Z76" s="6630"/>
      <c r="AA76" s="6630"/>
      <c r="AB76" s="227"/>
      <c r="AC76" s="6632"/>
      <c r="AD76" s="6632"/>
      <c r="AE76" s="227"/>
      <c r="AF76" s="6641"/>
      <c r="AG76" s="6641"/>
      <c r="AH76" s="227"/>
      <c r="AI76" s="633"/>
      <c r="AJ76" s="633"/>
      <c r="AK76" s="633"/>
      <c r="AL76" s="633"/>
      <c r="AM76" s="633"/>
      <c r="AN76" s="633"/>
      <c r="AO76" s="633"/>
      <c r="AP76" s="633"/>
      <c r="AQ76" s="633"/>
      <c r="AR76" s="6719" t="s">
        <v>114</v>
      </c>
      <c r="AS76" s="6719"/>
      <c r="AU76" s="6656" t="s">
        <v>114</v>
      </c>
      <c r="AV76" s="6656"/>
      <c r="AX76" s="6647" t="s">
        <v>114</v>
      </c>
      <c r="AY76" s="6647"/>
      <c r="BA76" s="6649" t="s">
        <v>114</v>
      </c>
      <c r="BB76" s="6649"/>
      <c r="BD76" s="6651" t="s">
        <v>114</v>
      </c>
      <c r="BE76" s="6651"/>
      <c r="BG76" s="6625" t="s">
        <v>114</v>
      </c>
      <c r="BH76" s="6625"/>
      <c r="BJ76" s="6626" t="s">
        <v>114</v>
      </c>
      <c r="BK76" s="6626"/>
      <c r="BM76" s="6624" t="s">
        <v>114</v>
      </c>
      <c r="BN76" s="6624"/>
      <c r="BP76" s="6630" t="s">
        <v>114</v>
      </c>
      <c r="BQ76" s="6630"/>
      <c r="BS76" s="6632" t="s">
        <v>114</v>
      </c>
      <c r="BT76" s="6632"/>
      <c r="BV76" s="6641" t="s">
        <v>114</v>
      </c>
      <c r="BW76" s="6641"/>
      <c r="BX76"/>
      <c r="BY76"/>
      <c r="BZ76"/>
      <c r="CA76" s="6719" t="s">
        <v>114</v>
      </c>
      <c r="CB76" s="6719"/>
      <c r="CD76" s="6637" t="s">
        <v>114</v>
      </c>
      <c r="CE76" s="6637"/>
      <c r="CG76" s="6647" t="s">
        <v>114</v>
      </c>
      <c r="CH76" s="6647"/>
      <c r="CJ76" s="6649" t="s">
        <v>114</v>
      </c>
      <c r="CK76" s="6649"/>
      <c r="CM76" s="6698" t="s">
        <v>114</v>
      </c>
      <c r="CN76" s="6698"/>
      <c r="CP76" s="6625" t="s">
        <v>114</v>
      </c>
      <c r="CQ76" s="6625"/>
      <c r="CS76" s="6626" t="s">
        <v>114</v>
      </c>
      <c r="CT76" s="6626"/>
      <c r="CV76" s="6624" t="s">
        <v>114</v>
      </c>
      <c r="CW76" s="6624"/>
      <c r="CY76" s="6630" t="s">
        <v>114</v>
      </c>
      <c r="CZ76" s="6630"/>
      <c r="DB76" s="6632" t="s">
        <v>114</v>
      </c>
      <c r="DC76" s="6632"/>
      <c r="DE76" s="6641" t="s">
        <v>114</v>
      </c>
      <c r="DF76" s="6641"/>
      <c r="DH76"/>
      <c r="DI76"/>
      <c r="DJ76" s="3">
        <v>1</v>
      </c>
    </row>
    <row r="77" spans="1:114" s="627" customFormat="1" ht="18" customHeight="1" thickBot="1">
      <c r="A77" s="630"/>
      <c r="B77" s="633"/>
      <c r="C77" s="633"/>
      <c r="D77" s="633"/>
      <c r="E77" s="633"/>
      <c r="F77" s="633"/>
      <c r="G77" s="633"/>
      <c r="H77" s="633"/>
      <c r="I77" s="633"/>
      <c r="J77" s="633"/>
      <c r="K77" s="633"/>
      <c r="L77" s="633"/>
      <c r="M77" s="633"/>
      <c r="N77" s="633"/>
      <c r="O77" s="633"/>
      <c r="P77" s="633"/>
      <c r="Q77" s="670"/>
      <c r="R77" s="670"/>
      <c r="S77" s="633"/>
      <c r="T77" s="633"/>
      <c r="U77" s="633"/>
      <c r="V77" s="633"/>
      <c r="W77" s="633"/>
      <c r="X77" s="633"/>
      <c r="Y77" s="633"/>
      <c r="Z77" s="633"/>
      <c r="AA77" s="633"/>
      <c r="AB77" s="227"/>
      <c r="AC77" s="633"/>
      <c r="AD77" s="633"/>
      <c r="AE77" s="227"/>
      <c r="AF77" s="633"/>
      <c r="AG77" s="633"/>
      <c r="AH77" s="227"/>
      <c r="AI77" s="633"/>
      <c r="AJ77" s="633"/>
      <c r="AK77" s="633"/>
      <c r="AL77" s="633"/>
      <c r="AM77" s="633"/>
      <c r="AN77" s="633"/>
      <c r="AO77" s="633"/>
      <c r="AP77" s="633"/>
      <c r="AQ77" s="633"/>
      <c r="AR77" s="633" t="s">
        <v>114</v>
      </c>
      <c r="AS77" s="633"/>
      <c r="AU77" s="633" t="s">
        <v>114</v>
      </c>
      <c r="AV77" s="633"/>
      <c r="AX77" s="633" t="s">
        <v>114</v>
      </c>
      <c r="AY77" s="633"/>
      <c r="BA77" s="633" t="s">
        <v>114</v>
      </c>
      <c r="BB77" s="633"/>
      <c r="BD77" s="633" t="s">
        <v>114</v>
      </c>
      <c r="BE77" s="633"/>
      <c r="BG77" s="670" t="s">
        <v>114</v>
      </c>
      <c r="BH77" s="670"/>
      <c r="BJ77" s="633" t="s">
        <v>114</v>
      </c>
      <c r="BK77" s="633"/>
      <c r="BM77" s="633" t="s">
        <v>114</v>
      </c>
      <c r="BN77" s="633"/>
      <c r="BP77" s="633" t="s">
        <v>114</v>
      </c>
      <c r="BQ77" s="633"/>
      <c r="BS77" s="633" t="s">
        <v>114</v>
      </c>
      <c r="BT77" s="633"/>
      <c r="BV77" s="633" t="s">
        <v>114</v>
      </c>
      <c r="BW77" s="633"/>
      <c r="BX77"/>
      <c r="BY77"/>
      <c r="BZ77"/>
      <c r="CA77" s="633" t="s">
        <v>114</v>
      </c>
      <c r="CB77" s="633"/>
      <c r="CD77" s="633" t="s">
        <v>114</v>
      </c>
      <c r="CE77" s="633"/>
      <c r="CG77" s="633" t="s">
        <v>114</v>
      </c>
      <c r="CH77" s="633"/>
      <c r="CJ77" s="633" t="s">
        <v>114</v>
      </c>
      <c r="CK77" s="633"/>
      <c r="CM77" s="633" t="s">
        <v>114</v>
      </c>
      <c r="CN77" s="633"/>
      <c r="CP77" s="670" t="s">
        <v>114</v>
      </c>
      <c r="CQ77" s="670"/>
      <c r="CS77" s="633" t="s">
        <v>114</v>
      </c>
      <c r="CT77" s="633"/>
      <c r="CV77" s="633" t="s">
        <v>114</v>
      </c>
      <c r="CW77" s="633"/>
      <c r="CY77" s="633" t="s">
        <v>114</v>
      </c>
      <c r="CZ77" s="633"/>
      <c r="DB77" s="633" t="s">
        <v>114</v>
      </c>
      <c r="DC77" s="633"/>
      <c r="DE77" t="s">
        <v>114</v>
      </c>
      <c r="DF77"/>
      <c r="DH77"/>
      <c r="DI77"/>
      <c r="DJ77" s="3">
        <v>1</v>
      </c>
    </row>
    <row r="78" spans="1:114" s="627" customFormat="1" ht="18" customHeight="1">
      <c r="A78" s="630"/>
      <c r="B78" s="6720" t="s">
        <v>1154</v>
      </c>
      <c r="C78" s="6720"/>
      <c r="D78" s="633"/>
      <c r="E78" s="6636" t="s">
        <v>1155</v>
      </c>
      <c r="F78" s="6636"/>
      <c r="G78" s="633"/>
      <c r="H78" s="6646" t="s">
        <v>1156</v>
      </c>
      <c r="I78" s="6646"/>
      <c r="J78" s="633"/>
      <c r="K78" s="6648" t="s">
        <v>1157</v>
      </c>
      <c r="L78" s="6648"/>
      <c r="M78" s="633"/>
      <c r="N78" s="6650"/>
      <c r="O78" s="6650"/>
      <c r="P78" s="633"/>
      <c r="Q78" s="6652" t="s">
        <v>1158</v>
      </c>
      <c r="R78" s="6652"/>
      <c r="S78" s="633"/>
      <c r="T78" s="6657" t="s">
        <v>1159</v>
      </c>
      <c r="U78" s="6657"/>
      <c r="V78" s="633"/>
      <c r="W78" s="6653" t="s">
        <v>1160</v>
      </c>
      <c r="X78" s="6653"/>
      <c r="Y78" s="633"/>
      <c r="Z78" s="6629" t="s">
        <v>1161</v>
      </c>
      <c r="AA78" s="6629"/>
      <c r="AB78" s="227"/>
      <c r="AC78" s="6631" t="s">
        <v>1162</v>
      </c>
      <c r="AD78" s="6631"/>
      <c r="AE78" s="227"/>
      <c r="AF78" s="6640" t="s">
        <v>1163</v>
      </c>
      <c r="AG78" s="6640"/>
      <c r="AH78" s="227"/>
      <c r="AI78" s="633"/>
      <c r="AJ78" s="633"/>
      <c r="AK78" s="633"/>
      <c r="AL78" s="633"/>
      <c r="AM78" s="633"/>
      <c r="AN78" s="633"/>
      <c r="AO78" s="633"/>
      <c r="AP78" s="633"/>
      <c r="AQ78" s="633"/>
      <c r="AR78" s="6720" t="s">
        <v>2142</v>
      </c>
      <c r="AS78" s="6720"/>
      <c r="AU78" s="6636" t="s">
        <v>2143</v>
      </c>
      <c r="AV78" s="6636"/>
      <c r="AX78" s="6646" t="s">
        <v>8842</v>
      </c>
      <c r="AY78" s="6646"/>
      <c r="BA78" s="6648" t="s">
        <v>2144</v>
      </c>
      <c r="BB78" s="6648"/>
      <c r="BD78" s="6650"/>
      <c r="BE78" s="6650"/>
      <c r="BG78" s="6652" t="s">
        <v>2145</v>
      </c>
      <c r="BH78" s="6652"/>
      <c r="BJ78" s="6657" t="s">
        <v>2146</v>
      </c>
      <c r="BK78" s="6657"/>
      <c r="BM78" s="6653" t="s">
        <v>2147</v>
      </c>
      <c r="BN78" s="6653"/>
      <c r="BP78" s="6629" t="s">
        <v>2148</v>
      </c>
      <c r="BQ78" s="6629"/>
      <c r="BS78" s="6631" t="s">
        <v>2149</v>
      </c>
      <c r="BT78" s="6631"/>
      <c r="BV78" s="6640" t="s">
        <v>1173</v>
      </c>
      <c r="BW78" s="6640"/>
      <c r="BX78"/>
      <c r="BY78"/>
      <c r="BZ78"/>
      <c r="CA78" s="6720" t="s">
        <v>2150</v>
      </c>
      <c r="CB78" s="6720"/>
      <c r="CD78" s="6636" t="s">
        <v>2151</v>
      </c>
      <c r="CE78" s="6636"/>
      <c r="CG78" s="6646" t="s">
        <v>2152</v>
      </c>
      <c r="CH78" s="6646"/>
      <c r="CJ78" s="6648" t="s">
        <v>2153</v>
      </c>
      <c r="CK78" s="6648"/>
      <c r="CM78" s="6697"/>
      <c r="CN78" s="6697"/>
      <c r="CP78" s="6652" t="s">
        <v>2154</v>
      </c>
      <c r="CQ78" s="6652"/>
      <c r="CS78" s="6657" t="s">
        <v>2155</v>
      </c>
      <c r="CT78" s="6657"/>
      <c r="CV78" s="6653" t="s">
        <v>2156</v>
      </c>
      <c r="CW78" s="6653"/>
      <c r="CY78" s="6629" t="s">
        <v>2157</v>
      </c>
      <c r="CZ78" s="6629"/>
      <c r="DB78" s="6631" t="s">
        <v>2158</v>
      </c>
      <c r="DC78" s="6631"/>
      <c r="DE78" s="6640" t="s">
        <v>2159</v>
      </c>
      <c r="DF78" s="6640"/>
      <c r="DH78"/>
      <c r="DI78"/>
      <c r="DJ78" s="3">
        <v>1</v>
      </c>
    </row>
    <row r="79" spans="1:114" s="627" customFormat="1" ht="18" customHeight="1">
      <c r="A79" s="630"/>
      <c r="B79" s="6721"/>
      <c r="C79" s="6721"/>
      <c r="D79" s="633"/>
      <c r="E79" s="6637"/>
      <c r="F79" s="6637"/>
      <c r="G79" s="633"/>
      <c r="H79" s="6647"/>
      <c r="I79" s="6647"/>
      <c r="J79" s="633"/>
      <c r="K79" s="6649"/>
      <c r="L79" s="6649"/>
      <c r="M79" s="633"/>
      <c r="N79" s="6651"/>
      <c r="O79" s="6651"/>
      <c r="P79" s="633"/>
      <c r="Q79" s="6625"/>
      <c r="R79" s="6625"/>
      <c r="S79" s="633"/>
      <c r="T79" s="6626"/>
      <c r="U79" s="6626"/>
      <c r="V79" s="633"/>
      <c r="W79" s="6624"/>
      <c r="X79" s="6624"/>
      <c r="Y79" s="633"/>
      <c r="Z79" s="6630"/>
      <c r="AA79" s="6630"/>
      <c r="AB79" s="227"/>
      <c r="AC79" s="6632"/>
      <c r="AD79" s="6632"/>
      <c r="AE79" s="227"/>
      <c r="AF79" s="6641"/>
      <c r="AG79" s="6641"/>
      <c r="AH79" s="227"/>
      <c r="AI79" s="633"/>
      <c r="AJ79" s="633"/>
      <c r="AK79" s="633"/>
      <c r="AL79" s="633"/>
      <c r="AM79" s="633"/>
      <c r="AN79" s="633"/>
      <c r="AO79" s="633"/>
      <c r="AP79" s="633"/>
      <c r="AQ79" s="633"/>
      <c r="AR79" s="6721" t="s">
        <v>114</v>
      </c>
      <c r="AS79" s="6721"/>
      <c r="AU79" s="6637" t="s">
        <v>114</v>
      </c>
      <c r="AV79" s="6637"/>
      <c r="AX79" s="6647" t="s">
        <v>114</v>
      </c>
      <c r="AY79" s="6647"/>
      <c r="BA79" s="6649" t="s">
        <v>114</v>
      </c>
      <c r="BB79" s="6649"/>
      <c r="BD79" s="6651"/>
      <c r="BE79" s="6651"/>
      <c r="BG79" s="6625" t="s">
        <v>114</v>
      </c>
      <c r="BH79" s="6625"/>
      <c r="BJ79" s="6626" t="s">
        <v>114</v>
      </c>
      <c r="BK79" s="6626"/>
      <c r="BM79" s="6624" t="s">
        <v>114</v>
      </c>
      <c r="BN79" s="6624"/>
      <c r="BP79" s="6630" t="s">
        <v>114</v>
      </c>
      <c r="BQ79" s="6630"/>
      <c r="BS79" s="6632" t="s">
        <v>114</v>
      </c>
      <c r="BT79" s="6632"/>
      <c r="BV79" s="6641" t="s">
        <v>114</v>
      </c>
      <c r="BW79" s="6641"/>
      <c r="BX79"/>
      <c r="BY79"/>
      <c r="BZ79"/>
      <c r="CA79" s="6721" t="s">
        <v>114</v>
      </c>
      <c r="CB79" s="6721"/>
      <c r="CD79" s="6637" t="s">
        <v>114</v>
      </c>
      <c r="CE79" s="6637"/>
      <c r="CG79" s="6647" t="s">
        <v>114</v>
      </c>
      <c r="CH79" s="6647"/>
      <c r="CJ79" s="6649" t="s">
        <v>114</v>
      </c>
      <c r="CK79" s="6649"/>
      <c r="CM79" s="6698"/>
      <c r="CN79" s="6698"/>
      <c r="CP79" s="6625" t="s">
        <v>114</v>
      </c>
      <c r="CQ79" s="6625"/>
      <c r="CS79" s="6626" t="s">
        <v>114</v>
      </c>
      <c r="CT79" s="6626"/>
      <c r="CV79" s="6624" t="s">
        <v>114</v>
      </c>
      <c r="CW79" s="6624"/>
      <c r="CY79" s="6630" t="s">
        <v>114</v>
      </c>
      <c r="CZ79" s="6630"/>
      <c r="DB79" s="6632" t="s">
        <v>114</v>
      </c>
      <c r="DC79" s="6632"/>
      <c r="DE79" s="6641" t="s">
        <v>114</v>
      </c>
      <c r="DF79" s="6641"/>
      <c r="DH79"/>
      <c r="DI79"/>
      <c r="DJ79" s="3">
        <v>1</v>
      </c>
    </row>
    <row r="80" spans="1:114" s="627" customFormat="1" ht="18" customHeight="1" thickBot="1">
      <c r="A80" s="630"/>
      <c r="B80" s="633"/>
      <c r="C80" s="633"/>
      <c r="D80" s="633"/>
      <c r="E80" s="633"/>
      <c r="F80" s="633"/>
      <c r="G80" s="633"/>
      <c r="H80" s="633"/>
      <c r="I80" s="633"/>
      <c r="J80" s="633"/>
      <c r="K80" s="633"/>
      <c r="L80" s="633"/>
      <c r="M80" s="633"/>
      <c r="N80" s="633"/>
      <c r="O80" s="633"/>
      <c r="P80" s="633"/>
      <c r="Q80" s="670"/>
      <c r="R80" s="670"/>
      <c r="S80" s="633"/>
      <c r="T80" s="633"/>
      <c r="U80" s="633"/>
      <c r="V80" s="633"/>
      <c r="W80" s="633"/>
      <c r="X80" s="633"/>
      <c r="Y80" s="633"/>
      <c r="Z80" s="633"/>
      <c r="AA80" s="633"/>
      <c r="AB80" s="227"/>
      <c r="AC80" s="633"/>
      <c r="AD80" s="633"/>
      <c r="AE80" s="227"/>
      <c r="AF80" s="633"/>
      <c r="AG80" s="633"/>
      <c r="AH80" s="227"/>
      <c r="AI80" s="633"/>
      <c r="AJ80" s="633"/>
      <c r="AK80" s="633"/>
      <c r="AL80" s="633"/>
      <c r="AM80" s="633"/>
      <c r="AN80" s="633"/>
      <c r="AO80" s="633"/>
      <c r="AP80" s="633"/>
      <c r="AQ80" s="633"/>
      <c r="AR80" s="633" t="s">
        <v>114</v>
      </c>
      <c r="AS80" s="633"/>
      <c r="AU80" s="633" t="s">
        <v>114</v>
      </c>
      <c r="AV80" s="633"/>
      <c r="AX80" s="633" t="s">
        <v>114</v>
      </c>
      <c r="AY80" s="633"/>
      <c r="BA80" s="633" t="s">
        <v>114</v>
      </c>
      <c r="BB80" s="633"/>
      <c r="BD80" s="633"/>
      <c r="BE80" s="633"/>
      <c r="BG80" s="670" t="s">
        <v>114</v>
      </c>
      <c r="BH80" s="670"/>
      <c r="BJ80" s="633" t="s">
        <v>114</v>
      </c>
      <c r="BK80" s="633"/>
      <c r="BM80" s="633" t="s">
        <v>114</v>
      </c>
      <c r="BN80" s="633"/>
      <c r="BP80" s="633" t="s">
        <v>114</v>
      </c>
      <c r="BQ80" s="633"/>
      <c r="BS80" s="633" t="s">
        <v>114</v>
      </c>
      <c r="BT80" s="633"/>
      <c r="BV80" s="633" t="s">
        <v>114</v>
      </c>
      <c r="BW80" s="633"/>
      <c r="BX80"/>
      <c r="BY80"/>
      <c r="BZ80"/>
      <c r="CA80" s="633" t="s">
        <v>114</v>
      </c>
      <c r="CB80" s="633"/>
      <c r="CD80" s="633" t="s">
        <v>114</v>
      </c>
      <c r="CE80" s="633"/>
      <c r="CG80" s="633" t="s">
        <v>114</v>
      </c>
      <c r="CH80" s="633"/>
      <c r="CJ80" s="633" t="s">
        <v>114</v>
      </c>
      <c r="CK80" s="633"/>
      <c r="CM80"/>
      <c r="CN80"/>
      <c r="CP80" s="670" t="s">
        <v>114</v>
      </c>
      <c r="CQ80" s="670"/>
      <c r="CS80" s="633" t="s">
        <v>114</v>
      </c>
      <c r="CT80" s="633"/>
      <c r="CV80" s="633" t="s">
        <v>114</v>
      </c>
      <c r="CW80" s="633"/>
      <c r="CY80" s="633" t="s">
        <v>114</v>
      </c>
      <c r="CZ80" s="633"/>
      <c r="DB80" s="633" t="s">
        <v>114</v>
      </c>
      <c r="DC80" s="633"/>
      <c r="DE80" t="s">
        <v>114</v>
      </c>
      <c r="DF80"/>
      <c r="DH80"/>
      <c r="DI80"/>
      <c r="DJ80" s="3">
        <v>1</v>
      </c>
    </row>
    <row r="81" spans="1:114" s="627" customFormat="1" ht="18" customHeight="1">
      <c r="A81" s="630"/>
      <c r="B81" s="6722" t="s">
        <v>1164</v>
      </c>
      <c r="C81" s="6722"/>
      <c r="D81" s="633"/>
      <c r="E81" s="6636" t="s">
        <v>1165</v>
      </c>
      <c r="F81" s="6636"/>
      <c r="G81" s="633"/>
      <c r="H81" s="6646" t="s">
        <v>1166</v>
      </c>
      <c r="I81" s="6646"/>
      <c r="J81" s="633"/>
      <c r="K81" s="6648" t="s">
        <v>1167</v>
      </c>
      <c r="L81" s="6648"/>
      <c r="M81" s="633"/>
      <c r="N81" s="633"/>
      <c r="O81" s="633"/>
      <c r="P81" s="633"/>
      <c r="Q81" s="6652" t="s">
        <v>1168</v>
      </c>
      <c r="R81" s="6652"/>
      <c r="S81" s="633"/>
      <c r="T81" s="6657" t="s">
        <v>1169</v>
      </c>
      <c r="U81" s="6657"/>
      <c r="V81" s="633"/>
      <c r="W81" s="6653" t="s">
        <v>1170</v>
      </c>
      <c r="X81" s="6653"/>
      <c r="Y81" s="633"/>
      <c r="Z81" s="6629" t="s">
        <v>1171</v>
      </c>
      <c r="AA81" s="6629"/>
      <c r="AB81" s="227"/>
      <c r="AC81" s="6631" t="s">
        <v>1172</v>
      </c>
      <c r="AD81" s="6631"/>
      <c r="AE81" s="227"/>
      <c r="AF81" s="6640" t="s">
        <v>1173</v>
      </c>
      <c r="AG81" s="6640"/>
      <c r="AH81" s="227"/>
      <c r="AI81" s="633"/>
      <c r="AJ81" s="633"/>
      <c r="AK81" s="633"/>
      <c r="AL81" s="633"/>
      <c r="AM81" s="633"/>
      <c r="AN81" s="633"/>
      <c r="AO81" s="633"/>
      <c r="AP81" s="633"/>
      <c r="AQ81" s="633"/>
      <c r="AR81" s="6722" t="s">
        <v>2160</v>
      </c>
      <c r="AS81" s="6722"/>
      <c r="AU81" s="6636" t="s">
        <v>2161</v>
      </c>
      <c r="AV81" s="6636"/>
      <c r="AX81" s="6646" t="s">
        <v>8843</v>
      </c>
      <c r="AY81" s="6646"/>
      <c r="BA81" s="6648" t="s">
        <v>2162</v>
      </c>
      <c r="BB81" s="6648"/>
      <c r="BD81"/>
      <c r="BE81"/>
      <c r="BG81" s="6652" t="s">
        <v>2163</v>
      </c>
      <c r="BH81" s="6652"/>
      <c r="BJ81" s="6657" t="s">
        <v>2164</v>
      </c>
      <c r="BK81" s="6657"/>
      <c r="BM81" s="6653" t="s">
        <v>2165</v>
      </c>
      <c r="BN81" s="6653"/>
      <c r="BP81" s="6629" t="s">
        <v>2166</v>
      </c>
      <c r="BQ81" s="6629"/>
      <c r="BS81" s="6631" t="s">
        <v>2167</v>
      </c>
      <c r="BT81" s="6631"/>
      <c r="BV81" s="6640" t="s">
        <v>1183</v>
      </c>
      <c r="BW81" s="6640"/>
      <c r="BX81"/>
      <c r="BY81"/>
      <c r="BZ81"/>
      <c r="CA81" s="6722" t="s">
        <v>2168</v>
      </c>
      <c r="CB81" s="6722"/>
      <c r="CD81" s="6636" t="s">
        <v>2169</v>
      </c>
      <c r="CE81" s="6636"/>
      <c r="CG81" s="6646" t="s">
        <v>2170</v>
      </c>
      <c r="CH81" s="6646"/>
      <c r="CJ81" s="6648" t="s">
        <v>2171</v>
      </c>
      <c r="CK81" s="6648"/>
      <c r="CM81"/>
      <c r="CN81"/>
      <c r="CP81" s="6652" t="s">
        <v>2172</v>
      </c>
      <c r="CQ81" s="6652"/>
      <c r="CS81" s="6657" t="s">
        <v>2173</v>
      </c>
      <c r="CT81" s="6657"/>
      <c r="CV81" s="6653" t="s">
        <v>2174</v>
      </c>
      <c r="CW81" s="6653"/>
      <c r="CY81" s="6629" t="s">
        <v>1161</v>
      </c>
      <c r="CZ81" s="6629"/>
      <c r="DB81" s="6631" t="s">
        <v>2175</v>
      </c>
      <c r="DC81" s="6631"/>
      <c r="DE81" s="6640" t="s">
        <v>2176</v>
      </c>
      <c r="DF81" s="6640"/>
      <c r="DH81"/>
      <c r="DI81"/>
      <c r="DJ81" s="3">
        <v>1</v>
      </c>
    </row>
    <row r="82" spans="1:114" s="627" customFormat="1" ht="18" customHeight="1">
      <c r="A82" s="630"/>
      <c r="B82" s="6675"/>
      <c r="C82" s="6675"/>
      <c r="D82" s="633"/>
      <c r="E82" s="6637"/>
      <c r="F82" s="6637"/>
      <c r="G82" s="633"/>
      <c r="H82" s="6647"/>
      <c r="I82" s="6647"/>
      <c r="J82" s="633"/>
      <c r="K82" s="6649"/>
      <c r="L82" s="6649"/>
      <c r="M82" s="633"/>
      <c r="N82" s="633"/>
      <c r="O82" s="633"/>
      <c r="P82" s="633"/>
      <c r="Q82" s="6625"/>
      <c r="R82" s="6625"/>
      <c r="S82" s="633"/>
      <c r="T82" s="6626"/>
      <c r="U82" s="6626"/>
      <c r="V82" s="633"/>
      <c r="W82" s="6624"/>
      <c r="X82" s="6624"/>
      <c r="Y82" s="633"/>
      <c r="Z82" s="6630"/>
      <c r="AA82" s="6630"/>
      <c r="AB82" s="227"/>
      <c r="AC82" s="6632"/>
      <c r="AD82" s="6632"/>
      <c r="AE82" s="227"/>
      <c r="AF82" s="6641"/>
      <c r="AG82" s="6641"/>
      <c r="AH82" s="227"/>
      <c r="AI82" s="633"/>
      <c r="AJ82" s="633"/>
      <c r="AK82" s="633"/>
      <c r="AL82" s="633"/>
      <c r="AM82" s="633"/>
      <c r="AN82" s="633"/>
      <c r="AO82" s="633"/>
      <c r="AP82" s="633"/>
      <c r="AQ82" s="633"/>
      <c r="AR82" s="6675" t="s">
        <v>114</v>
      </c>
      <c r="AS82" s="6675"/>
      <c r="AU82" s="6637" t="s">
        <v>114</v>
      </c>
      <c r="AV82" s="6637"/>
      <c r="AX82" s="6647" t="s">
        <v>114</v>
      </c>
      <c r="AY82" s="6647"/>
      <c r="BA82" s="6649" t="s">
        <v>114</v>
      </c>
      <c r="BB82" s="6649"/>
      <c r="BD82"/>
      <c r="BE82"/>
      <c r="BG82" s="6625" t="s">
        <v>114</v>
      </c>
      <c r="BH82" s="6625"/>
      <c r="BJ82" s="6626" t="s">
        <v>114</v>
      </c>
      <c r="BK82" s="6626"/>
      <c r="BM82" s="6624" t="s">
        <v>114</v>
      </c>
      <c r="BN82" s="6624"/>
      <c r="BP82" s="6630" t="s">
        <v>114</v>
      </c>
      <c r="BQ82" s="6630"/>
      <c r="BS82" s="6632" t="s">
        <v>114</v>
      </c>
      <c r="BT82" s="6632"/>
      <c r="BV82" s="6641" t="s">
        <v>114</v>
      </c>
      <c r="BW82" s="6641"/>
      <c r="BX82"/>
      <c r="BY82"/>
      <c r="BZ82"/>
      <c r="CA82" s="6675" t="s">
        <v>114</v>
      </c>
      <c r="CB82" s="6675"/>
      <c r="CD82" s="6637" t="s">
        <v>114</v>
      </c>
      <c r="CE82" s="6637"/>
      <c r="CG82" s="6647" t="s">
        <v>114</v>
      </c>
      <c r="CH82" s="6647"/>
      <c r="CJ82" s="6649" t="s">
        <v>114</v>
      </c>
      <c r="CK82" s="6649"/>
      <c r="CM82"/>
      <c r="CN82"/>
      <c r="CP82" s="6625" t="s">
        <v>114</v>
      </c>
      <c r="CQ82" s="6625"/>
      <c r="CS82" s="6626" t="s">
        <v>114</v>
      </c>
      <c r="CT82" s="6626"/>
      <c r="CV82" s="6624" t="s">
        <v>114</v>
      </c>
      <c r="CW82" s="6624"/>
      <c r="CY82" s="6630" t="s">
        <v>114</v>
      </c>
      <c r="CZ82" s="6630"/>
      <c r="DB82" s="6632" t="s">
        <v>114</v>
      </c>
      <c r="DC82" s="6632"/>
      <c r="DE82" s="6641" t="s">
        <v>114</v>
      </c>
      <c r="DF82" s="6641"/>
      <c r="DH82"/>
      <c r="DI82"/>
      <c r="DJ82" s="3">
        <v>1</v>
      </c>
    </row>
    <row r="83" spans="1:114" s="627" customFormat="1" ht="18" customHeight="1" thickBot="1">
      <c r="A83" s="630"/>
      <c r="B83" s="633"/>
      <c r="C83" s="633"/>
      <c r="D83" s="633"/>
      <c r="E83" s="633"/>
      <c r="F83" s="633"/>
      <c r="G83" s="633"/>
      <c r="H83" s="633"/>
      <c r="I83" s="633"/>
      <c r="J83" s="633"/>
      <c r="K83" s="633"/>
      <c r="L83" s="633"/>
      <c r="M83" s="633"/>
      <c r="N83" s="633"/>
      <c r="O83" s="633"/>
      <c r="P83" s="633"/>
      <c r="Q83" s="670"/>
      <c r="R83" s="670"/>
      <c r="S83" s="633"/>
      <c r="T83" s="633"/>
      <c r="U83" s="633"/>
      <c r="V83" s="633"/>
      <c r="W83" s="633"/>
      <c r="X83" s="633"/>
      <c r="Y83" s="633"/>
      <c r="Z83" s="633"/>
      <c r="AA83" s="633"/>
      <c r="AB83" s="227"/>
      <c r="AC83"/>
      <c r="AD83"/>
      <c r="AE83" s="227"/>
      <c r="AF83"/>
      <c r="AG83"/>
      <c r="AH83" s="227"/>
      <c r="AI83" s="633"/>
      <c r="AJ83" s="633"/>
      <c r="AK83" s="633"/>
      <c r="AL83" s="633"/>
      <c r="AM83" s="633"/>
      <c r="AN83" s="633"/>
      <c r="AO83" s="633"/>
      <c r="AP83" s="633"/>
      <c r="AQ83" s="633"/>
      <c r="AR83" s="633" t="s">
        <v>114</v>
      </c>
      <c r="AS83" s="633"/>
      <c r="AU83" s="633" t="s">
        <v>114</v>
      </c>
      <c r="AV83" s="633"/>
      <c r="AX83" s="633" t="s">
        <v>114</v>
      </c>
      <c r="AY83" s="633"/>
      <c r="BA83" s="633" t="s">
        <v>114</v>
      </c>
      <c r="BB83" s="633"/>
      <c r="BD83"/>
      <c r="BE83"/>
      <c r="BG83" s="670" t="s">
        <v>114</v>
      </c>
      <c r="BH83" s="670"/>
      <c r="BJ83" s="633" t="s">
        <v>114</v>
      </c>
      <c r="BK83" s="633"/>
      <c r="BM83" s="633" t="s">
        <v>114</v>
      </c>
      <c r="BN83" s="633"/>
      <c r="BP83" s="633" t="s">
        <v>114</v>
      </c>
      <c r="BQ83" s="633"/>
      <c r="BS83" s="633" t="s">
        <v>114</v>
      </c>
      <c r="BT83" s="633"/>
      <c r="BV83" t="s">
        <v>114</v>
      </c>
      <c r="BW83"/>
      <c r="BX83"/>
      <c r="BY83"/>
      <c r="BZ83"/>
      <c r="CA83" s="633" t="s">
        <v>114</v>
      </c>
      <c r="CB83" s="633"/>
      <c r="CD83" s="633" t="s">
        <v>114</v>
      </c>
      <c r="CE83" s="633"/>
      <c r="CG83" t="s">
        <v>114</v>
      </c>
      <c r="CH83"/>
      <c r="CJ83" t="s">
        <v>114</v>
      </c>
      <c r="CK83"/>
      <c r="CM83"/>
      <c r="CN83"/>
      <c r="CP83" s="670" t="s">
        <v>114</v>
      </c>
      <c r="CQ83" s="670"/>
      <c r="CS83" s="633" t="s">
        <v>114</v>
      </c>
      <c r="CT83" s="633"/>
      <c r="CV83" s="633" t="s">
        <v>114</v>
      </c>
      <c r="CW83" s="633"/>
      <c r="CY83" s="633" t="s">
        <v>114</v>
      </c>
      <c r="CZ83" s="633"/>
      <c r="DB83" t="s">
        <v>114</v>
      </c>
      <c r="DC83"/>
      <c r="DE83" t="s">
        <v>114</v>
      </c>
      <c r="DF83"/>
      <c r="DH83"/>
      <c r="DI83"/>
      <c r="DJ83" s="3">
        <v>1</v>
      </c>
    </row>
    <row r="84" spans="1:114" s="627" customFormat="1" ht="18" customHeight="1">
      <c r="A84" s="630"/>
      <c r="B84" s="6723" t="s">
        <v>1174</v>
      </c>
      <c r="C84" s="6723"/>
      <c r="D84" s="633"/>
      <c r="E84" s="6636" t="s">
        <v>1175</v>
      </c>
      <c r="F84" s="6636"/>
      <c r="G84" s="633"/>
      <c r="H84" s="6646" t="s">
        <v>1176</v>
      </c>
      <c r="I84" s="6646"/>
      <c r="J84" s="633"/>
      <c r="K84" s="6648" t="s">
        <v>1177</v>
      </c>
      <c r="L84" s="6648"/>
      <c r="M84" s="633"/>
      <c r="N84" s="633"/>
      <c r="O84" s="633"/>
      <c r="P84" s="633"/>
      <c r="Q84" s="6652" t="s">
        <v>1178</v>
      </c>
      <c r="R84" s="6652"/>
      <c r="S84" s="633"/>
      <c r="T84" s="6657" t="s">
        <v>1179</v>
      </c>
      <c r="U84" s="6657"/>
      <c r="V84" s="633"/>
      <c r="W84" s="6653" t="s">
        <v>1180</v>
      </c>
      <c r="X84" s="6653"/>
      <c r="Y84" s="633"/>
      <c r="Z84" s="6629" t="s">
        <v>1181</v>
      </c>
      <c r="AA84" s="6629"/>
      <c r="AB84" s="227"/>
      <c r="AC84" s="6631" t="s">
        <v>1182</v>
      </c>
      <c r="AD84" s="6631"/>
      <c r="AE84" s="227"/>
      <c r="AF84" s="6640" t="s">
        <v>1183</v>
      </c>
      <c r="AG84" s="6640"/>
      <c r="AH84" s="227"/>
      <c r="AI84" s="633"/>
      <c r="AJ84" s="633"/>
      <c r="AK84" s="633"/>
      <c r="AL84" s="633"/>
      <c r="AM84" s="633"/>
      <c r="AN84" s="633"/>
      <c r="AO84" s="633"/>
      <c r="AP84" s="633"/>
      <c r="AQ84" s="633"/>
      <c r="AR84" s="6723" t="s">
        <v>2177</v>
      </c>
      <c r="AS84" s="6723"/>
      <c r="AU84" s="6636" t="s">
        <v>2178</v>
      </c>
      <c r="AV84" s="6636"/>
      <c r="AX84" s="6646" t="s">
        <v>8844</v>
      </c>
      <c r="AY84" s="6646"/>
      <c r="BA84" s="6648" t="s">
        <v>2179</v>
      </c>
      <c r="BB84" s="6648"/>
      <c r="BD84"/>
      <c r="BE84"/>
      <c r="BG84" s="6652" t="s">
        <v>2180</v>
      </c>
      <c r="BH84" s="6652"/>
      <c r="BJ84" s="6657" t="s">
        <v>2181</v>
      </c>
      <c r="BK84" s="6657"/>
      <c r="BM84" s="6653" t="s">
        <v>2182</v>
      </c>
      <c r="BN84" s="6653"/>
      <c r="BP84" s="6629" t="s">
        <v>2183</v>
      </c>
      <c r="BQ84" s="6629"/>
      <c r="BS84" s="6631" t="s">
        <v>2184</v>
      </c>
      <c r="BT84" s="6631"/>
      <c r="BV84" s="6640" t="s">
        <v>1193</v>
      </c>
      <c r="BW84" s="6640"/>
      <c r="BX84"/>
      <c r="BY84"/>
      <c r="BZ84"/>
      <c r="CA84" s="6723" t="s">
        <v>2185</v>
      </c>
      <c r="CB84" s="6723"/>
      <c r="CD84" s="6636" t="s">
        <v>2186</v>
      </c>
      <c r="CE84" s="6636"/>
      <c r="CG84" s="6646" t="s">
        <v>2187</v>
      </c>
      <c r="CH84" s="6646"/>
      <c r="CJ84" s="6648" t="s">
        <v>2188</v>
      </c>
      <c r="CK84" s="6648"/>
      <c r="CM84"/>
      <c r="CN84"/>
      <c r="CP84" s="6652" t="s">
        <v>2189</v>
      </c>
      <c r="CQ84" s="6652"/>
      <c r="CS84" s="6657" t="s">
        <v>2190</v>
      </c>
      <c r="CT84" s="6657"/>
      <c r="CV84" s="6653" t="s">
        <v>2191</v>
      </c>
      <c r="CW84" s="6653"/>
      <c r="CY84" s="6629" t="s">
        <v>2192</v>
      </c>
      <c r="CZ84" s="6629"/>
      <c r="DB84" s="6631" t="s">
        <v>2193</v>
      </c>
      <c r="DC84" s="6631"/>
      <c r="DE84" s="6640" t="s">
        <v>2194</v>
      </c>
      <c r="DF84" s="6640"/>
      <c r="DH84"/>
      <c r="DI84"/>
      <c r="DJ84" s="3">
        <v>1</v>
      </c>
    </row>
    <row r="85" spans="1:114" s="627" customFormat="1" ht="18" customHeight="1">
      <c r="A85" s="630"/>
      <c r="B85" s="6724"/>
      <c r="C85" s="6724"/>
      <c r="D85" s="633"/>
      <c r="E85" s="6637"/>
      <c r="F85" s="6637"/>
      <c r="G85" s="633"/>
      <c r="H85" s="6647"/>
      <c r="I85" s="6647"/>
      <c r="J85" s="633"/>
      <c r="K85" s="6649"/>
      <c r="L85" s="6649"/>
      <c r="M85" s="633"/>
      <c r="N85" s="633"/>
      <c r="O85" s="633"/>
      <c r="P85" s="633"/>
      <c r="Q85" s="6625"/>
      <c r="R85" s="6625"/>
      <c r="S85" s="633"/>
      <c r="T85" s="6626"/>
      <c r="U85" s="6626"/>
      <c r="V85" s="633"/>
      <c r="W85" s="6624"/>
      <c r="X85" s="6624"/>
      <c r="Y85" s="633"/>
      <c r="Z85" s="6630"/>
      <c r="AA85" s="6630"/>
      <c r="AB85" s="227"/>
      <c r="AC85" s="6632"/>
      <c r="AD85" s="6632"/>
      <c r="AE85" s="227"/>
      <c r="AF85" s="6641"/>
      <c r="AG85" s="6641"/>
      <c r="AH85" s="227"/>
      <c r="AI85" s="633"/>
      <c r="AJ85" s="633"/>
      <c r="AK85" s="633"/>
      <c r="AL85" s="633"/>
      <c r="AM85" s="633"/>
      <c r="AN85" s="633"/>
      <c r="AO85" s="633"/>
      <c r="AP85" s="633"/>
      <c r="AQ85" s="633"/>
      <c r="AR85" s="6724" t="s">
        <v>114</v>
      </c>
      <c r="AS85" s="6724"/>
      <c r="AU85" s="6637" t="s">
        <v>114</v>
      </c>
      <c r="AV85" s="6637"/>
      <c r="AX85" s="6647" t="s">
        <v>114</v>
      </c>
      <c r="AY85" s="6647"/>
      <c r="BA85" s="6649" t="s">
        <v>114</v>
      </c>
      <c r="BB85" s="6649"/>
      <c r="BD85"/>
      <c r="BE85"/>
      <c r="BG85" s="6625" t="s">
        <v>114</v>
      </c>
      <c r="BH85" s="6625"/>
      <c r="BJ85" s="6626" t="s">
        <v>114</v>
      </c>
      <c r="BK85" s="6626"/>
      <c r="BM85" s="6624" t="s">
        <v>114</v>
      </c>
      <c r="BN85" s="6624"/>
      <c r="BP85" s="6630" t="s">
        <v>114</v>
      </c>
      <c r="BQ85" s="6630"/>
      <c r="BS85" s="6632" t="s">
        <v>114</v>
      </c>
      <c r="BT85" s="6632"/>
      <c r="BV85" s="6641" t="s">
        <v>114</v>
      </c>
      <c r="BW85" s="6641"/>
      <c r="BX85"/>
      <c r="BY85"/>
      <c r="BZ85"/>
      <c r="CA85" s="6724" t="s">
        <v>114</v>
      </c>
      <c r="CB85" s="6724"/>
      <c r="CD85" s="6637" t="s">
        <v>114</v>
      </c>
      <c r="CE85" s="6637"/>
      <c r="CG85" s="6647" t="s">
        <v>114</v>
      </c>
      <c r="CH85" s="6647"/>
      <c r="CJ85" s="6649" t="s">
        <v>114</v>
      </c>
      <c r="CK85" s="6649"/>
      <c r="CM85"/>
      <c r="CN85"/>
      <c r="CP85" s="6625" t="s">
        <v>114</v>
      </c>
      <c r="CQ85" s="6625"/>
      <c r="CS85" s="6626" t="s">
        <v>114</v>
      </c>
      <c r="CT85" s="6626"/>
      <c r="CV85" s="6624" t="s">
        <v>114</v>
      </c>
      <c r="CW85" s="6624"/>
      <c r="CY85" s="6630" t="s">
        <v>114</v>
      </c>
      <c r="CZ85" s="6630"/>
      <c r="DB85" s="6632" t="s">
        <v>114</v>
      </c>
      <c r="DC85" s="6632"/>
      <c r="DE85" s="6641" t="s">
        <v>114</v>
      </c>
      <c r="DF85" s="6641"/>
      <c r="DH85"/>
      <c r="DI85"/>
      <c r="DJ85" s="3">
        <v>1</v>
      </c>
    </row>
    <row r="86" spans="1:114" s="627" customFormat="1" ht="18" customHeight="1" thickBot="1">
      <c r="A86" s="630"/>
      <c r="B86" s="633"/>
      <c r="C86" s="633"/>
      <c r="D86" s="633"/>
      <c r="E86" s="633"/>
      <c r="F86" s="633"/>
      <c r="G86" s="633"/>
      <c r="H86" s="633"/>
      <c r="I86" s="633"/>
      <c r="J86" s="633"/>
      <c r="K86"/>
      <c r="L86"/>
      <c r="M86" s="633"/>
      <c r="N86" s="633"/>
      <c r="O86" s="633"/>
      <c r="P86" s="633"/>
      <c r="Q86" s="670"/>
      <c r="R86" s="670"/>
      <c r="S86" s="633"/>
      <c r="T86" s="633"/>
      <c r="U86" s="633"/>
      <c r="V86" s="633"/>
      <c r="W86" s="633"/>
      <c r="X86" s="633"/>
      <c r="Y86" s="633"/>
      <c r="Z86" s="633"/>
      <c r="AA86" s="633"/>
      <c r="AB86" s="227"/>
      <c r="AC86"/>
      <c r="AD86"/>
      <c r="AE86" s="227"/>
      <c r="AF86"/>
      <c r="AG86"/>
      <c r="AH86" s="227"/>
      <c r="AI86" s="633"/>
      <c r="AJ86" s="633"/>
      <c r="AK86" s="633"/>
      <c r="AL86" s="633"/>
      <c r="AM86" s="633"/>
      <c r="AN86" s="633"/>
      <c r="AO86" s="633"/>
      <c r="AP86" s="633"/>
      <c r="AQ86" s="633"/>
      <c r="AR86" s="633" t="s">
        <v>114</v>
      </c>
      <c r="AS86" s="633"/>
      <c r="AU86" s="633" t="s">
        <v>114</v>
      </c>
      <c r="AV86" s="633"/>
      <c r="AX86" s="633" t="s">
        <v>114</v>
      </c>
      <c r="AY86" s="633"/>
      <c r="BA86" s="633" t="s">
        <v>114</v>
      </c>
      <c r="BB86" s="633"/>
      <c r="BD86"/>
      <c r="BE86"/>
      <c r="BG86" s="670" t="s">
        <v>114</v>
      </c>
      <c r="BH86" s="670"/>
      <c r="BJ86" s="633" t="s">
        <v>114</v>
      </c>
      <c r="BK86" s="633"/>
      <c r="BM86" s="633" t="s">
        <v>114</v>
      </c>
      <c r="BN86" s="633"/>
      <c r="BP86" s="633" t="s">
        <v>114</v>
      </c>
      <c r="BQ86" s="633"/>
      <c r="BS86" s="633" t="s">
        <v>114</v>
      </c>
      <c r="BT86" s="633"/>
      <c r="BV86" t="s">
        <v>114</v>
      </c>
      <c r="BW86"/>
      <c r="BX86"/>
      <c r="BY86"/>
      <c r="BZ86"/>
      <c r="CA86" s="633" t="s">
        <v>114</v>
      </c>
      <c r="CB86" s="633"/>
      <c r="CD86" s="633" t="s">
        <v>114</v>
      </c>
      <c r="CE86" s="633"/>
      <c r="CG86" t="s">
        <v>114</v>
      </c>
      <c r="CH86"/>
      <c r="CJ86" t="s">
        <v>114</v>
      </c>
      <c r="CK86"/>
      <c r="CM86"/>
      <c r="CN86"/>
      <c r="CP86" s="670" t="s">
        <v>114</v>
      </c>
      <c r="CQ86" s="670"/>
      <c r="CS86" s="633" t="s">
        <v>114</v>
      </c>
      <c r="CT86" s="633"/>
      <c r="CV86" s="633" t="s">
        <v>114</v>
      </c>
      <c r="CW86" s="633"/>
      <c r="CY86" s="633" t="s">
        <v>114</v>
      </c>
      <c r="CZ86" s="633"/>
      <c r="DB86" t="s">
        <v>114</v>
      </c>
      <c r="DC86"/>
      <c r="DE86" t="s">
        <v>114</v>
      </c>
      <c r="DF86"/>
      <c r="DH86"/>
      <c r="DI86"/>
      <c r="DJ86" s="3">
        <v>1</v>
      </c>
    </row>
    <row r="87" spans="1:114" s="627" customFormat="1" ht="18" customHeight="1">
      <c r="A87" s="630"/>
      <c r="B87" s="6725" t="s">
        <v>1184</v>
      </c>
      <c r="C87" s="6725"/>
      <c r="D87" s="633"/>
      <c r="E87" s="6636" t="s">
        <v>1185</v>
      </c>
      <c r="F87" s="6636"/>
      <c r="G87" s="633"/>
      <c r="H87" s="6646" t="s">
        <v>1186</v>
      </c>
      <c r="I87" s="6646"/>
      <c r="J87" s="633"/>
      <c r="K87" s="6648" t="s">
        <v>1187</v>
      </c>
      <c r="L87" s="6648"/>
      <c r="M87" s="633"/>
      <c r="N87" s="633"/>
      <c r="O87" s="633"/>
      <c r="P87" s="633"/>
      <c r="Q87" s="6652" t="s">
        <v>1188</v>
      </c>
      <c r="R87" s="6652"/>
      <c r="S87" s="633"/>
      <c r="T87" s="6657" t="s">
        <v>1189</v>
      </c>
      <c r="U87" s="6657"/>
      <c r="V87" s="633"/>
      <c r="W87" s="6653" t="s">
        <v>1190</v>
      </c>
      <c r="X87" s="6653"/>
      <c r="Y87" s="633"/>
      <c r="Z87" s="6629" t="s">
        <v>1191</v>
      </c>
      <c r="AA87" s="6629"/>
      <c r="AB87" s="227"/>
      <c r="AC87" s="6631" t="s">
        <v>1192</v>
      </c>
      <c r="AD87" s="6631"/>
      <c r="AE87" s="227"/>
      <c r="AF87" s="6640" t="s">
        <v>1193</v>
      </c>
      <c r="AG87" s="6640"/>
      <c r="AH87" s="227"/>
      <c r="AI87" s="633"/>
      <c r="AJ87" s="633"/>
      <c r="AK87" s="633"/>
      <c r="AL87" s="633"/>
      <c r="AM87" s="633"/>
      <c r="AN87" s="633"/>
      <c r="AO87" s="633"/>
      <c r="AP87" s="633"/>
      <c r="AQ87" s="633"/>
      <c r="AR87" s="6725" t="s">
        <v>2195</v>
      </c>
      <c r="AS87" s="6725"/>
      <c r="AU87" s="6636" t="s">
        <v>2196</v>
      </c>
      <c r="AV87" s="6636"/>
      <c r="AX87" s="6646" t="s">
        <v>8845</v>
      </c>
      <c r="AY87" s="6646"/>
      <c r="BA87" s="6648" t="s">
        <v>2197</v>
      </c>
      <c r="BB87" s="6648"/>
      <c r="BD87"/>
      <c r="BE87"/>
      <c r="BG87" s="6652" t="s">
        <v>2198</v>
      </c>
      <c r="BH87" s="6652"/>
      <c r="BJ87" s="6657" t="s">
        <v>2199</v>
      </c>
      <c r="BK87" s="6657"/>
      <c r="BM87" s="6653" t="s">
        <v>2200</v>
      </c>
      <c r="BN87" s="6653"/>
      <c r="BP87" s="6629" t="s">
        <v>2201</v>
      </c>
      <c r="BQ87" s="6629"/>
      <c r="BS87" s="6631" t="s">
        <v>2202</v>
      </c>
      <c r="BT87" s="6631"/>
      <c r="BV87" s="6640" t="s">
        <v>2027</v>
      </c>
      <c r="BW87" s="6640"/>
      <c r="BX87"/>
      <c r="BY87"/>
      <c r="BZ87"/>
      <c r="CA87" s="6725" t="s">
        <v>2203</v>
      </c>
      <c r="CB87" s="6725"/>
      <c r="CD87" s="6655" t="s">
        <v>2204</v>
      </c>
      <c r="CE87" s="6655"/>
      <c r="CG87" s="6646" t="s">
        <v>2205</v>
      </c>
      <c r="CH87" s="6646"/>
      <c r="CJ87" s="6648" t="s">
        <v>2206</v>
      </c>
      <c r="CK87" s="6648"/>
      <c r="CM87"/>
      <c r="CN87"/>
      <c r="CP87" s="6652" t="s">
        <v>2207</v>
      </c>
      <c r="CQ87" s="6652"/>
      <c r="CS87" s="6657" t="s">
        <v>2208</v>
      </c>
      <c r="CT87" s="6657"/>
      <c r="CV87" s="6653" t="s">
        <v>2209</v>
      </c>
      <c r="CW87" s="6653"/>
      <c r="CY87" s="6629" t="s">
        <v>2210</v>
      </c>
      <c r="CZ87" s="6629"/>
      <c r="DB87" s="6631" t="s">
        <v>2211</v>
      </c>
      <c r="DC87" s="6631"/>
      <c r="DE87" s="6640" t="s">
        <v>2038</v>
      </c>
      <c r="DF87" s="6640"/>
      <c r="DH87"/>
      <c r="DI87"/>
      <c r="DJ87" s="3">
        <v>1</v>
      </c>
    </row>
    <row r="88" spans="1:114" s="627" customFormat="1" ht="18" customHeight="1">
      <c r="A88" s="630"/>
      <c r="B88" s="6726"/>
      <c r="C88" s="6726"/>
      <c r="D88" s="633"/>
      <c r="E88" s="6637"/>
      <c r="F88" s="6637"/>
      <c r="G88" s="633"/>
      <c r="H88" s="6647"/>
      <c r="I88" s="6647"/>
      <c r="J88" s="633"/>
      <c r="K88" s="6649"/>
      <c r="L88" s="6649"/>
      <c r="M88" s="633"/>
      <c r="N88" s="633"/>
      <c r="O88" s="633"/>
      <c r="P88" s="633"/>
      <c r="Q88" s="6625"/>
      <c r="R88" s="6625"/>
      <c r="S88" s="633"/>
      <c r="T88" s="6626"/>
      <c r="U88" s="6626"/>
      <c r="V88" s="633"/>
      <c r="W88" s="6624"/>
      <c r="X88" s="6624"/>
      <c r="Y88" s="633"/>
      <c r="Z88" s="6630"/>
      <c r="AA88" s="6630"/>
      <c r="AB88" s="227"/>
      <c r="AC88" s="6632"/>
      <c r="AD88" s="6632"/>
      <c r="AE88" s="227"/>
      <c r="AF88" s="6641"/>
      <c r="AG88" s="6641"/>
      <c r="AH88" s="227"/>
      <c r="AI88" s="633"/>
      <c r="AJ88" s="633"/>
      <c r="AK88" s="633"/>
      <c r="AL88" s="633"/>
      <c r="AM88" s="633"/>
      <c r="AN88" s="633"/>
      <c r="AO88" s="633"/>
      <c r="AP88" s="633"/>
      <c r="AQ88" s="633"/>
      <c r="AR88" s="6726" t="s">
        <v>114</v>
      </c>
      <c r="AS88" s="6726"/>
      <c r="AU88" s="6637" t="s">
        <v>114</v>
      </c>
      <c r="AV88" s="6637"/>
      <c r="AX88" s="6647" t="s">
        <v>114</v>
      </c>
      <c r="AY88" s="6647"/>
      <c r="BA88" s="6649" t="s">
        <v>114</v>
      </c>
      <c r="BB88" s="6649"/>
      <c r="BD88"/>
      <c r="BE88"/>
      <c r="BG88" s="6625" t="s">
        <v>114</v>
      </c>
      <c r="BH88" s="6625"/>
      <c r="BJ88" s="6626" t="s">
        <v>114</v>
      </c>
      <c r="BK88" s="6626"/>
      <c r="BM88" s="6624" t="s">
        <v>114</v>
      </c>
      <c r="BN88" s="6624"/>
      <c r="BP88" s="6630" t="s">
        <v>114</v>
      </c>
      <c r="BQ88" s="6630"/>
      <c r="BS88" s="6632" t="s">
        <v>114</v>
      </c>
      <c r="BT88" s="6632"/>
      <c r="BV88" s="6641" t="s">
        <v>114</v>
      </c>
      <c r="BW88" s="6641"/>
      <c r="BX88"/>
      <c r="BY88"/>
      <c r="BZ88"/>
      <c r="CA88" s="6726" t="s">
        <v>114</v>
      </c>
      <c r="CB88" s="6726"/>
      <c r="CD88" s="6656" t="s">
        <v>114</v>
      </c>
      <c r="CE88" s="6656"/>
      <c r="CG88" s="6647" t="s">
        <v>114</v>
      </c>
      <c r="CH88" s="6647"/>
      <c r="CJ88" s="6649" t="s">
        <v>114</v>
      </c>
      <c r="CK88" s="6649"/>
      <c r="CM88"/>
      <c r="CN88"/>
      <c r="CP88" s="6625" t="s">
        <v>114</v>
      </c>
      <c r="CQ88" s="6625"/>
      <c r="CS88" s="6626" t="s">
        <v>114</v>
      </c>
      <c r="CT88" s="6626"/>
      <c r="CV88" s="6624" t="s">
        <v>114</v>
      </c>
      <c r="CW88" s="6624"/>
      <c r="CY88" s="6630" t="s">
        <v>114</v>
      </c>
      <c r="CZ88" s="6630"/>
      <c r="DB88" s="6632" t="s">
        <v>114</v>
      </c>
      <c r="DC88" s="6632"/>
      <c r="DE88" s="6641" t="s">
        <v>114</v>
      </c>
      <c r="DF88" s="6641"/>
      <c r="DH88"/>
      <c r="DI88"/>
      <c r="DJ88" s="3">
        <v>1</v>
      </c>
    </row>
    <row r="89" spans="1:114" s="627" customFormat="1" ht="18" customHeight="1" thickBot="1">
      <c r="A89" s="630"/>
      <c r="B89" s="633"/>
      <c r="C89" s="633"/>
      <c r="D89" s="633"/>
      <c r="E89" s="633"/>
      <c r="F89" s="633"/>
      <c r="G89" s="633"/>
      <c r="H89"/>
      <c r="I89"/>
      <c r="J89" s="633"/>
      <c r="K89"/>
      <c r="L89"/>
      <c r="M89" s="633"/>
      <c r="N89" s="633"/>
      <c r="O89" s="633"/>
      <c r="P89" s="633"/>
      <c r="Q89" s="670"/>
      <c r="R89" s="670"/>
      <c r="S89" s="633"/>
      <c r="T89" s="633"/>
      <c r="U89" s="633"/>
      <c r="V89" s="633"/>
      <c r="W89" s="633"/>
      <c r="X89" s="633"/>
      <c r="Y89" s="633"/>
      <c r="Z89" s="633"/>
      <c r="AA89" s="633"/>
      <c r="AB89" s="227"/>
      <c r="AC89"/>
      <c r="AD89"/>
      <c r="AE89" s="227"/>
      <c r="AF89"/>
      <c r="AG89"/>
      <c r="AH89" s="227"/>
      <c r="AI89" s="633"/>
      <c r="AJ89" s="633"/>
      <c r="AK89" s="633"/>
      <c r="AL89" s="633"/>
      <c r="AM89" s="633"/>
      <c r="AN89" s="633"/>
      <c r="AO89" s="633"/>
      <c r="AP89" s="633"/>
      <c r="AQ89" s="633"/>
      <c r="AR89" s="633" t="s">
        <v>114</v>
      </c>
      <c r="AS89" s="633"/>
      <c r="AU89" s="633" t="s">
        <v>114</v>
      </c>
      <c r="AV89" s="633"/>
      <c r="AX89" t="s">
        <v>114</v>
      </c>
      <c r="AY89"/>
      <c r="BA89" t="s">
        <v>114</v>
      </c>
      <c r="BB89"/>
      <c r="BD89"/>
      <c r="BE89"/>
      <c r="BG89" s="670" t="s">
        <v>114</v>
      </c>
      <c r="BH89" s="670"/>
      <c r="BJ89" s="633" t="s">
        <v>114</v>
      </c>
      <c r="BK89" s="633"/>
      <c r="BM89" s="633" t="s">
        <v>114</v>
      </c>
      <c r="BN89" s="633"/>
      <c r="BP89" s="633" t="s">
        <v>114</v>
      </c>
      <c r="BQ89" s="633"/>
      <c r="BS89" t="s">
        <v>114</v>
      </c>
      <c r="BT89"/>
      <c r="BV89" t="s">
        <v>114</v>
      </c>
      <c r="BW89"/>
      <c r="BX89"/>
      <c r="BY89"/>
      <c r="BZ89"/>
      <c r="CA89" s="633" t="s">
        <v>114</v>
      </c>
      <c r="CB89" s="633"/>
      <c r="CD89" s="633" t="s">
        <v>114</v>
      </c>
      <c r="CE89" s="633"/>
      <c r="CG89" t="s">
        <v>114</v>
      </c>
      <c r="CH89"/>
      <c r="CJ89" t="s">
        <v>114</v>
      </c>
      <c r="CK89"/>
      <c r="CM89"/>
      <c r="CN89"/>
      <c r="CP89" s="670" t="s">
        <v>114</v>
      </c>
      <c r="CQ89" s="670"/>
      <c r="CS89" s="633" t="s">
        <v>114</v>
      </c>
      <c r="CT89" s="633"/>
      <c r="CV89" s="633" t="s">
        <v>114</v>
      </c>
      <c r="CW89" s="633"/>
      <c r="CY89" t="s">
        <v>114</v>
      </c>
      <c r="CZ89"/>
      <c r="DB89" t="s">
        <v>114</v>
      </c>
      <c r="DC89"/>
      <c r="DE89" t="s">
        <v>114</v>
      </c>
      <c r="DF89"/>
      <c r="DH89"/>
      <c r="DI89"/>
      <c r="DJ89" s="3">
        <v>1</v>
      </c>
    </row>
    <row r="90" spans="1:114" s="627" customFormat="1" ht="18" customHeight="1">
      <c r="A90" s="630"/>
      <c r="B90" s="6644" t="s">
        <v>1194</v>
      </c>
      <c r="C90" s="6644"/>
      <c r="D90" s="633"/>
      <c r="E90" s="6636" t="s">
        <v>1195</v>
      </c>
      <c r="F90" s="6636"/>
      <c r="G90" s="633"/>
      <c r="H90" s="6646" t="s">
        <v>1196</v>
      </c>
      <c r="I90" s="6646"/>
      <c r="J90" s="633"/>
      <c r="K90" s="6648" t="s">
        <v>1197</v>
      </c>
      <c r="L90" s="6648"/>
      <c r="M90" s="633"/>
      <c r="N90" s="633"/>
      <c r="O90" s="633"/>
      <c r="P90" s="633"/>
      <c r="Q90" s="6652" t="s">
        <v>1198</v>
      </c>
      <c r="R90" s="6652"/>
      <c r="S90" s="633"/>
      <c r="T90" s="6657" t="s">
        <v>1199</v>
      </c>
      <c r="U90" s="6657"/>
      <c r="V90" s="633"/>
      <c r="W90" s="6653" t="s">
        <v>1200</v>
      </c>
      <c r="X90" s="6653"/>
      <c r="Y90" s="633"/>
      <c r="Z90" s="6629" t="s">
        <v>1201</v>
      </c>
      <c r="AA90" s="6629"/>
      <c r="AB90" s="227"/>
      <c r="AC90" s="6631" t="s">
        <v>1202</v>
      </c>
      <c r="AD90" s="6631"/>
      <c r="AE90" s="227"/>
      <c r="AF90" s="6640" t="s">
        <v>1203</v>
      </c>
      <c r="AG90" s="6640"/>
      <c r="AH90" s="227"/>
      <c r="AI90" s="633"/>
      <c r="AJ90" s="633"/>
      <c r="AK90" s="633"/>
      <c r="AL90" s="633"/>
      <c r="AM90" s="633"/>
      <c r="AN90" s="633"/>
      <c r="AO90" s="633"/>
      <c r="AP90" s="633"/>
      <c r="AQ90" s="633"/>
      <c r="AR90" s="6644" t="s">
        <v>2212</v>
      </c>
      <c r="AS90" s="6644"/>
      <c r="AU90" s="6636" t="s">
        <v>2213</v>
      </c>
      <c r="AV90" s="6636"/>
      <c r="AX90" s="6646" t="s">
        <v>8846</v>
      </c>
      <c r="AY90" s="6646"/>
      <c r="BA90" s="6648" t="s">
        <v>2214</v>
      </c>
      <c r="BB90" s="6648"/>
      <c r="BD90"/>
      <c r="BE90"/>
      <c r="BG90" s="6652" t="s">
        <v>2215</v>
      </c>
      <c r="BH90" s="6652"/>
      <c r="BJ90" s="6657" t="s">
        <v>2216</v>
      </c>
      <c r="BK90" s="6657"/>
      <c r="BM90" s="6653" t="s">
        <v>2217</v>
      </c>
      <c r="BN90" s="6653"/>
      <c r="BP90" s="6629" t="s">
        <v>2218</v>
      </c>
      <c r="BQ90" s="6629"/>
      <c r="BS90" s="6631"/>
      <c r="BT90" s="6631"/>
      <c r="BV90" s="6640"/>
      <c r="BW90" s="6640"/>
      <c r="BX90"/>
      <c r="BY90"/>
      <c r="BZ90"/>
      <c r="CA90" s="6644" t="s">
        <v>2219</v>
      </c>
      <c r="CB90" s="6644"/>
      <c r="CD90" s="6636" t="s">
        <v>2220</v>
      </c>
      <c r="CE90" s="6636"/>
      <c r="CG90" s="6646" t="s">
        <v>2221</v>
      </c>
      <c r="CH90" s="6646"/>
      <c r="CJ90" s="6648" t="s">
        <v>2222</v>
      </c>
      <c r="CK90" s="6648"/>
      <c r="CM90"/>
      <c r="CN90"/>
      <c r="CP90" s="6652" t="s">
        <v>2223</v>
      </c>
      <c r="CQ90" s="6652"/>
      <c r="CS90" s="6657" t="s">
        <v>2224</v>
      </c>
      <c r="CT90" s="6657"/>
      <c r="CV90" s="6653" t="s">
        <v>2225</v>
      </c>
      <c r="CW90" s="6653"/>
      <c r="CY90" s="6629" t="s">
        <v>2226</v>
      </c>
      <c r="CZ90" s="6629"/>
      <c r="DB90" s="6631"/>
      <c r="DC90" s="6631"/>
      <c r="DE90" s="6640"/>
      <c r="DF90" s="6640"/>
      <c r="DH90"/>
      <c r="DI90"/>
      <c r="DJ90" s="3">
        <v>1</v>
      </c>
    </row>
    <row r="91" spans="1:114" s="627" customFormat="1" ht="18" customHeight="1">
      <c r="A91" s="630"/>
      <c r="B91" s="6645"/>
      <c r="C91" s="6645"/>
      <c r="D91" s="633"/>
      <c r="E91" s="6637"/>
      <c r="F91" s="6637"/>
      <c r="G91" s="633"/>
      <c r="H91" s="6647"/>
      <c r="I91" s="6647"/>
      <c r="J91" s="633"/>
      <c r="K91" s="6649"/>
      <c r="L91" s="6649"/>
      <c r="M91" s="633"/>
      <c r="N91" s="633"/>
      <c r="O91" s="633"/>
      <c r="P91" s="633"/>
      <c r="Q91" s="6625"/>
      <c r="R91" s="6625"/>
      <c r="S91" s="633"/>
      <c r="T91" s="6626"/>
      <c r="U91" s="6626"/>
      <c r="V91" s="633"/>
      <c r="W91" s="6624"/>
      <c r="X91" s="6624"/>
      <c r="Y91" s="633"/>
      <c r="Z91" s="6630"/>
      <c r="AA91" s="6630"/>
      <c r="AB91" s="227"/>
      <c r="AC91" s="6632"/>
      <c r="AD91" s="6632"/>
      <c r="AE91" s="227"/>
      <c r="AF91" s="6641"/>
      <c r="AG91" s="6641"/>
      <c r="AH91" s="227"/>
      <c r="AI91" s="633"/>
      <c r="AJ91" s="633"/>
      <c r="AK91" s="633"/>
      <c r="AL91" s="633"/>
      <c r="AM91" s="633"/>
      <c r="AN91" s="633"/>
      <c r="AO91" s="633"/>
      <c r="AP91" s="633"/>
      <c r="AQ91" s="633"/>
      <c r="AR91" s="6645" t="s">
        <v>114</v>
      </c>
      <c r="AS91" s="6645"/>
      <c r="AU91" s="6637" t="s">
        <v>114</v>
      </c>
      <c r="AV91" s="6637"/>
      <c r="AX91" s="6647" t="s">
        <v>114</v>
      </c>
      <c r="AY91" s="6647"/>
      <c r="BA91" s="6649" t="s">
        <v>114</v>
      </c>
      <c r="BB91" s="6649"/>
      <c r="BD91"/>
      <c r="BE91"/>
      <c r="BG91" s="6625" t="s">
        <v>114</v>
      </c>
      <c r="BH91" s="6625"/>
      <c r="BJ91" s="6626" t="s">
        <v>114</v>
      </c>
      <c r="BK91" s="6626"/>
      <c r="BM91" s="6624" t="s">
        <v>114</v>
      </c>
      <c r="BN91" s="6624"/>
      <c r="BP91" s="6630" t="s">
        <v>114</v>
      </c>
      <c r="BQ91" s="6630"/>
      <c r="BS91" s="6632"/>
      <c r="BT91" s="6632"/>
      <c r="BV91" s="6641"/>
      <c r="BW91" s="6641"/>
      <c r="BX91"/>
      <c r="BY91"/>
      <c r="BZ91"/>
      <c r="CA91" s="6645" t="s">
        <v>114</v>
      </c>
      <c r="CB91" s="6645"/>
      <c r="CD91" s="6637" t="s">
        <v>114</v>
      </c>
      <c r="CE91" s="6637"/>
      <c r="CG91" s="6647" t="s">
        <v>114</v>
      </c>
      <c r="CH91" s="6647"/>
      <c r="CJ91" s="6649" t="s">
        <v>114</v>
      </c>
      <c r="CK91" s="6649"/>
      <c r="CM91"/>
      <c r="CN91"/>
      <c r="CP91" s="6625" t="s">
        <v>114</v>
      </c>
      <c r="CQ91" s="6625"/>
      <c r="CS91" s="6626" t="s">
        <v>114</v>
      </c>
      <c r="CT91" s="6626"/>
      <c r="CV91" s="6624" t="s">
        <v>114</v>
      </c>
      <c r="CW91" s="6624"/>
      <c r="CY91" s="6630" t="s">
        <v>114</v>
      </c>
      <c r="CZ91" s="6630"/>
      <c r="DB91" s="6632"/>
      <c r="DC91" s="6632"/>
      <c r="DE91" s="6641"/>
      <c r="DF91" s="6641"/>
      <c r="DH91"/>
      <c r="DI91"/>
      <c r="DJ91" s="3">
        <v>1</v>
      </c>
    </row>
    <row r="92" spans="1:114" s="627" customFormat="1" ht="18" customHeight="1" thickBot="1">
      <c r="A92" s="630"/>
      <c r="B92" s="633"/>
      <c r="C92" s="633"/>
      <c r="D92" s="633"/>
      <c r="E92" s="633"/>
      <c r="F92" s="633"/>
      <c r="G92" s="633"/>
      <c r="H92"/>
      <c r="I92"/>
      <c r="J92" s="633"/>
      <c r="K92"/>
      <c r="L92"/>
      <c r="M92" s="633"/>
      <c r="N92" s="633"/>
      <c r="O92" s="633"/>
      <c r="P92" s="633"/>
      <c r="Q92" s="670"/>
      <c r="R92" s="670"/>
      <c r="S92" s="633"/>
      <c r="T92" s="633"/>
      <c r="U92" s="633"/>
      <c r="V92" s="633"/>
      <c r="W92" s="633"/>
      <c r="X92" s="633"/>
      <c r="Y92" s="633"/>
      <c r="Z92" s="633"/>
      <c r="AA92" s="633"/>
      <c r="AB92" s="227"/>
      <c r="AC92"/>
      <c r="AD92"/>
      <c r="AE92" s="227"/>
      <c r="AF92"/>
      <c r="AG92"/>
      <c r="AH92" s="227"/>
      <c r="AI92" s="633"/>
      <c r="AJ92" s="633"/>
      <c r="AK92" s="633"/>
      <c r="AL92" s="633"/>
      <c r="AM92" s="633"/>
      <c r="AN92" s="633"/>
      <c r="AO92" s="633"/>
      <c r="AP92" s="633"/>
      <c r="AQ92" s="633"/>
      <c r="AR92" s="633" t="s">
        <v>114</v>
      </c>
      <c r="AS92" s="633"/>
      <c r="AU92" s="633" t="s">
        <v>114</v>
      </c>
      <c r="AV92" s="633"/>
      <c r="AX92" t="s">
        <v>114</v>
      </c>
      <c r="AY92"/>
      <c r="BA92" t="s">
        <v>114</v>
      </c>
      <c r="BB92"/>
      <c r="BD92"/>
      <c r="BE92"/>
      <c r="BG92" s="670" t="s">
        <v>114</v>
      </c>
      <c r="BH92" s="670"/>
      <c r="BJ92" s="633" t="s">
        <v>114</v>
      </c>
      <c r="BK92" s="633"/>
      <c r="BM92" s="633" t="s">
        <v>114</v>
      </c>
      <c r="BN92" s="633"/>
      <c r="BP92" s="633" t="s">
        <v>114</v>
      </c>
      <c r="BQ92" s="633"/>
      <c r="BS92" t="s">
        <v>114</v>
      </c>
      <c r="BT92"/>
      <c r="BV92"/>
      <c r="BW92"/>
      <c r="BX92"/>
      <c r="BY92"/>
      <c r="BZ92"/>
      <c r="CA92" s="633" t="s">
        <v>114</v>
      </c>
      <c r="CB92" s="633"/>
      <c r="CD92" s="633" t="s">
        <v>114</v>
      </c>
      <c r="CE92" s="633"/>
      <c r="CG92" t="s">
        <v>114</v>
      </c>
      <c r="CH92"/>
      <c r="CJ92" t="s">
        <v>114</v>
      </c>
      <c r="CK92"/>
      <c r="CM92"/>
      <c r="CN92"/>
      <c r="CP92" s="670" t="s">
        <v>114</v>
      </c>
      <c r="CQ92" s="670"/>
      <c r="CS92" s="633" t="s">
        <v>114</v>
      </c>
      <c r="CT92" s="633"/>
      <c r="CV92" s="633" t="s">
        <v>114</v>
      </c>
      <c r="CW92" s="633"/>
      <c r="CY92" t="s">
        <v>114</v>
      </c>
      <c r="CZ92"/>
      <c r="DB92"/>
      <c r="DC92"/>
      <c r="DE92"/>
      <c r="DF92"/>
      <c r="DH92"/>
      <c r="DI92"/>
      <c r="DJ92" s="3">
        <v>1</v>
      </c>
    </row>
    <row r="93" spans="1:114" s="627" customFormat="1" ht="18" customHeight="1">
      <c r="A93" s="630"/>
      <c r="B93" s="6644" t="s">
        <v>1204</v>
      </c>
      <c r="C93" s="6644"/>
      <c r="D93" s="633"/>
      <c r="E93" s="6655" t="s">
        <v>1205</v>
      </c>
      <c r="F93" s="6655"/>
      <c r="G93" s="633"/>
      <c r="H93" s="6646" t="s">
        <v>1206</v>
      </c>
      <c r="I93" s="6646"/>
      <c r="J93" s="633"/>
      <c r="K93" s="6648" t="s">
        <v>1113</v>
      </c>
      <c r="L93" s="6648"/>
      <c r="M93" s="633"/>
      <c r="N93" s="633"/>
      <c r="O93" s="633"/>
      <c r="P93" s="633"/>
      <c r="Q93" s="6652" t="s">
        <v>1207</v>
      </c>
      <c r="R93" s="6652"/>
      <c r="S93" s="633"/>
      <c r="T93" s="6657" t="s">
        <v>1208</v>
      </c>
      <c r="U93" s="6657"/>
      <c r="V93" s="633"/>
      <c r="W93" s="6653" t="s">
        <v>1209</v>
      </c>
      <c r="X93" s="6653"/>
      <c r="Y93" s="633"/>
      <c r="Z93" s="6629"/>
      <c r="AA93" s="6629"/>
      <c r="AB93" s="227"/>
      <c r="AC93" s="6631"/>
      <c r="AD93" s="6631"/>
      <c r="AE93" s="227"/>
      <c r="AF93" s="6640"/>
      <c r="AG93" s="6640"/>
      <c r="AH93" s="227"/>
      <c r="AI93" s="633"/>
      <c r="AJ93" s="633"/>
      <c r="AK93" s="633"/>
      <c r="AL93" s="633"/>
      <c r="AM93" s="633"/>
      <c r="AN93" s="633"/>
      <c r="AO93" s="633"/>
      <c r="AP93" s="633"/>
      <c r="AQ93" s="633"/>
      <c r="AR93" s="6644" t="s">
        <v>2227</v>
      </c>
      <c r="AS93" s="6644"/>
      <c r="AU93" s="6655" t="s">
        <v>2228</v>
      </c>
      <c r="AV93" s="6655"/>
      <c r="AX93" s="6646" t="s">
        <v>8847</v>
      </c>
      <c r="AY93" s="6646"/>
      <c r="BA93" s="6648" t="s">
        <v>2062</v>
      </c>
      <c r="BB93" s="6648"/>
      <c r="BD93"/>
      <c r="BE93"/>
      <c r="BG93" s="6652" t="s">
        <v>2229</v>
      </c>
      <c r="BH93" s="6652"/>
      <c r="BJ93" s="6657" t="s">
        <v>2230</v>
      </c>
      <c r="BK93" s="6657"/>
      <c r="BM93" s="6653" t="s">
        <v>2231</v>
      </c>
      <c r="BN93" s="6653"/>
      <c r="BP93" s="6629" t="s">
        <v>2232</v>
      </c>
      <c r="BQ93" s="6629"/>
      <c r="BS93"/>
      <c r="BT93"/>
      <c r="BV93"/>
      <c r="BW93"/>
      <c r="BX93"/>
      <c r="BY93"/>
      <c r="BZ93"/>
      <c r="CA93" s="6644" t="s">
        <v>2233</v>
      </c>
      <c r="CB93" s="6644"/>
      <c r="CD93" s="6636" t="s">
        <v>2234</v>
      </c>
      <c r="CE93" s="6636"/>
      <c r="CG93" s="6646" t="s">
        <v>2235</v>
      </c>
      <c r="CH93" s="6646"/>
      <c r="CJ93" s="6648" t="s">
        <v>2072</v>
      </c>
      <c r="CK93" s="6648"/>
      <c r="CM93"/>
      <c r="CN93"/>
      <c r="CP93" s="6652" t="s">
        <v>2236</v>
      </c>
      <c r="CQ93" s="6652"/>
      <c r="CS93" s="6657" t="s">
        <v>2237</v>
      </c>
      <c r="CT93" s="6657"/>
      <c r="CV93" s="6653" t="s">
        <v>2238</v>
      </c>
      <c r="CW93" s="6653"/>
      <c r="CY93" s="6629" t="s">
        <v>2239</v>
      </c>
      <c r="CZ93" s="6629"/>
      <c r="DB93"/>
      <c r="DC93"/>
      <c r="DE93"/>
      <c r="DF93"/>
      <c r="DH93"/>
      <c r="DI93"/>
      <c r="DJ93" s="3">
        <v>1</v>
      </c>
    </row>
    <row r="94" spans="1:114" s="627" customFormat="1" ht="18" customHeight="1">
      <c r="A94" s="630"/>
      <c r="B94" s="6645"/>
      <c r="C94" s="6645"/>
      <c r="D94" s="633"/>
      <c r="E94" s="6656"/>
      <c r="F94" s="6656"/>
      <c r="G94" s="633"/>
      <c r="H94" s="6647"/>
      <c r="I94" s="6647"/>
      <c r="J94" s="633"/>
      <c r="K94" s="6649"/>
      <c r="L94" s="6649"/>
      <c r="M94" s="633"/>
      <c r="N94" s="633"/>
      <c r="O94" s="633"/>
      <c r="P94" s="633"/>
      <c r="Q94" s="6625"/>
      <c r="R94" s="6625"/>
      <c r="S94" s="633"/>
      <c r="T94" s="6626"/>
      <c r="U94" s="6626"/>
      <c r="V94" s="633"/>
      <c r="W94" s="6624"/>
      <c r="X94" s="6624"/>
      <c r="Y94" s="633"/>
      <c r="Z94" s="6630"/>
      <c r="AA94" s="6630"/>
      <c r="AB94" s="227"/>
      <c r="AC94" s="6632"/>
      <c r="AD94" s="6632"/>
      <c r="AE94" s="227"/>
      <c r="AF94" s="6641"/>
      <c r="AG94" s="6641"/>
      <c r="AH94" s="227"/>
      <c r="AI94" s="633"/>
      <c r="AJ94" s="633"/>
      <c r="AK94" s="633"/>
      <c r="AL94" s="633"/>
      <c r="AM94" s="633"/>
      <c r="AN94" s="633"/>
      <c r="AO94" s="633"/>
      <c r="AP94" s="633"/>
      <c r="AQ94" s="633"/>
      <c r="AR94" s="6645" t="s">
        <v>114</v>
      </c>
      <c r="AS94" s="6645"/>
      <c r="AU94" s="6656" t="s">
        <v>114</v>
      </c>
      <c r="AV94" s="6656"/>
      <c r="AX94" s="6647" t="s">
        <v>114</v>
      </c>
      <c r="AY94" s="6647"/>
      <c r="BA94" s="6649" t="s">
        <v>114</v>
      </c>
      <c r="BB94" s="6649"/>
      <c r="BD94"/>
      <c r="BE94"/>
      <c r="BG94" s="6625" t="s">
        <v>114</v>
      </c>
      <c r="BH94" s="6625"/>
      <c r="BJ94" s="6626" t="s">
        <v>114</v>
      </c>
      <c r="BK94" s="6626"/>
      <c r="BM94" s="6624" t="s">
        <v>114</v>
      </c>
      <c r="BN94" s="6624"/>
      <c r="BP94" s="6630" t="s">
        <v>114</v>
      </c>
      <c r="BQ94" s="6630"/>
      <c r="BS94"/>
      <c r="BT94"/>
      <c r="BV94"/>
      <c r="BW94"/>
      <c r="BX94"/>
      <c r="BY94"/>
      <c r="BZ94"/>
      <c r="CA94" s="6645" t="s">
        <v>114</v>
      </c>
      <c r="CB94" s="6645"/>
      <c r="CD94" s="6637" t="s">
        <v>114</v>
      </c>
      <c r="CE94" s="6637"/>
      <c r="CG94" s="6647" t="s">
        <v>114</v>
      </c>
      <c r="CH94" s="6647"/>
      <c r="CJ94" s="6649" t="s">
        <v>114</v>
      </c>
      <c r="CK94" s="6649"/>
      <c r="CM94"/>
      <c r="CN94"/>
      <c r="CP94" s="6625" t="s">
        <v>114</v>
      </c>
      <c r="CQ94" s="6625"/>
      <c r="CS94" s="6626" t="s">
        <v>114</v>
      </c>
      <c r="CT94" s="6626"/>
      <c r="CV94" s="6624" t="s">
        <v>114</v>
      </c>
      <c r="CW94" s="6624"/>
      <c r="CY94" s="6630" t="s">
        <v>114</v>
      </c>
      <c r="CZ94" s="6630"/>
      <c r="DB94" t="s">
        <v>114</v>
      </c>
      <c r="DC94"/>
      <c r="DE94"/>
      <c r="DF94"/>
      <c r="DH94"/>
      <c r="DI94"/>
      <c r="DJ94" s="3">
        <v>1</v>
      </c>
    </row>
    <row r="95" spans="1:114" s="627" customFormat="1" ht="18" customHeight="1" thickBot="1">
      <c r="A95"/>
      <c r="B95" s="633"/>
      <c r="C95" s="633"/>
      <c r="D95" s="633"/>
      <c r="E95" s="633"/>
      <c r="F95" s="633"/>
      <c r="G95" s="633"/>
      <c r="H95"/>
      <c r="I95"/>
      <c r="J95" s="633"/>
      <c r="K95"/>
      <c r="L95"/>
      <c r="M95" s="633"/>
      <c r="N95" s="633"/>
      <c r="O95" s="633"/>
      <c r="P95" s="633"/>
      <c r="Q95" s="670"/>
      <c r="R95" s="670"/>
      <c r="S95" s="633"/>
      <c r="T95" s="633"/>
      <c r="U95" s="633"/>
      <c r="V95" s="633"/>
      <c r="W95" s="633"/>
      <c r="X95" s="633"/>
      <c r="Y95" s="633"/>
      <c r="Z95" s="633"/>
      <c r="AA95" s="633"/>
      <c r="AB95" s="227"/>
      <c r="AC95"/>
      <c r="AD95"/>
      <c r="AE95" s="227"/>
      <c r="AF95"/>
      <c r="AG95"/>
      <c r="AH95" s="227"/>
      <c r="AI95" s="633"/>
      <c r="AJ95" s="633"/>
      <c r="AK95" s="633"/>
      <c r="AL95" s="633"/>
      <c r="AM95" s="633"/>
      <c r="AN95" s="633"/>
      <c r="AO95" s="633"/>
      <c r="AP95" s="633"/>
      <c r="AQ95" s="633"/>
      <c r="AR95" s="633" t="s">
        <v>114</v>
      </c>
      <c r="AS95" s="633"/>
      <c r="AU95" s="633" t="s">
        <v>114</v>
      </c>
      <c r="AV95" s="633"/>
      <c r="AX95" t="s">
        <v>114</v>
      </c>
      <c r="AY95"/>
      <c r="BA95" t="s">
        <v>114</v>
      </c>
      <c r="BB95"/>
      <c r="BD95"/>
      <c r="BE95"/>
      <c r="BG95" s="670" t="s">
        <v>114</v>
      </c>
      <c r="BH95" s="670"/>
      <c r="BJ95" s="633" t="s">
        <v>114</v>
      </c>
      <c r="BK95" s="633"/>
      <c r="BM95" s="633" t="s">
        <v>114</v>
      </c>
      <c r="BN95" s="633"/>
      <c r="BP95"/>
      <c r="BQ95"/>
      <c r="BS95"/>
      <c r="BT95"/>
      <c r="BV95"/>
      <c r="BW95"/>
      <c r="BX95"/>
      <c r="BY95"/>
      <c r="BZ95"/>
      <c r="CA95" s="633" t="s">
        <v>114</v>
      </c>
      <c r="CB95" s="633"/>
      <c r="CD95" s="633" t="s">
        <v>114</v>
      </c>
      <c r="CE95" s="633"/>
      <c r="CG95" t="s">
        <v>114</v>
      </c>
      <c r="CH95"/>
      <c r="CJ95" t="s">
        <v>114</v>
      </c>
      <c r="CK95"/>
      <c r="CM95"/>
      <c r="CN95"/>
      <c r="CP95" s="670" t="s">
        <v>114</v>
      </c>
      <c r="CQ95" s="670"/>
      <c r="CS95" s="633" t="s">
        <v>114</v>
      </c>
      <c r="CT95" s="633"/>
      <c r="CV95" s="633" t="s">
        <v>114</v>
      </c>
      <c r="CW95" s="633"/>
      <c r="CY95" t="s">
        <v>114</v>
      </c>
      <c r="CZ95"/>
      <c r="DB95" t="s">
        <v>114</v>
      </c>
      <c r="DC95"/>
      <c r="DE95"/>
      <c r="DF95"/>
      <c r="DH95"/>
      <c r="DI95"/>
      <c r="DJ95" s="3">
        <v>1</v>
      </c>
    </row>
    <row r="96" spans="1:114" s="627" customFormat="1" ht="18" customHeight="1">
      <c r="B96" s="6644" t="s">
        <v>1210</v>
      </c>
      <c r="C96" s="6644"/>
      <c r="D96" s="633"/>
      <c r="E96" s="6636" t="s">
        <v>1211</v>
      </c>
      <c r="F96" s="6636"/>
      <c r="G96" s="633"/>
      <c r="H96" s="6646" t="s">
        <v>1212</v>
      </c>
      <c r="I96" s="6646"/>
      <c r="J96" s="633"/>
      <c r="K96" s="6648" t="s">
        <v>1213</v>
      </c>
      <c r="L96" s="6648"/>
      <c r="M96" s="633"/>
      <c r="N96" s="633"/>
      <c r="O96" s="633"/>
      <c r="P96" s="633"/>
      <c r="Q96" s="6652" t="s">
        <v>1214</v>
      </c>
      <c r="R96" s="6652"/>
      <c r="S96" s="633"/>
      <c r="T96" s="6657" t="s">
        <v>1215</v>
      </c>
      <c r="U96" s="6657"/>
      <c r="V96" s="633"/>
      <c r="W96" s="6653" t="s">
        <v>1216</v>
      </c>
      <c r="X96" s="6653"/>
      <c r="Y96" s="633"/>
      <c r="Z96" s="633"/>
      <c r="AA96" s="633"/>
      <c r="AB96" s="227"/>
      <c r="AC96" s="633"/>
      <c r="AD96" s="633"/>
      <c r="AE96" s="227"/>
      <c r="AF96" s="633"/>
      <c r="AG96" s="633"/>
      <c r="AH96" s="227"/>
      <c r="AI96" s="633"/>
      <c r="AJ96" s="633"/>
      <c r="AK96" s="633"/>
      <c r="AL96" s="633"/>
      <c r="AM96" s="633"/>
      <c r="AN96" s="633"/>
      <c r="AO96" s="633"/>
      <c r="AP96" s="633"/>
      <c r="AQ96" s="633"/>
      <c r="AR96" s="6644" t="s">
        <v>2240</v>
      </c>
      <c r="AS96" s="6644"/>
      <c r="AU96" s="6636" t="s">
        <v>2241</v>
      </c>
      <c r="AV96" s="6636"/>
      <c r="AX96" s="6646" t="s">
        <v>8848</v>
      </c>
      <c r="AY96" s="6646"/>
      <c r="BA96" s="6648" t="s">
        <v>2242</v>
      </c>
      <c r="BB96" s="6648"/>
      <c r="BD96"/>
      <c r="BE96"/>
      <c r="BG96" s="6652" t="s">
        <v>2243</v>
      </c>
      <c r="BH96" s="6652"/>
      <c r="BJ96" s="6657" t="s">
        <v>2244</v>
      </c>
      <c r="BK96" s="6657"/>
      <c r="BM96" s="6653" t="s">
        <v>2245</v>
      </c>
      <c r="BN96" s="6653"/>
      <c r="BP96" s="6629"/>
      <c r="BQ96" s="6629"/>
      <c r="BS96"/>
      <c r="BT96"/>
      <c r="BV96"/>
      <c r="BW96"/>
      <c r="BX96"/>
      <c r="BY96"/>
      <c r="BZ96"/>
      <c r="CA96" s="6644" t="s">
        <v>2246</v>
      </c>
      <c r="CB96" s="6644"/>
      <c r="CD96" s="6636" t="s">
        <v>2247</v>
      </c>
      <c r="CE96" s="6636"/>
      <c r="CG96" s="6646" t="s">
        <v>2248</v>
      </c>
      <c r="CH96" s="6646"/>
      <c r="CJ96" s="6648" t="s">
        <v>2249</v>
      </c>
      <c r="CK96" s="6648"/>
      <c r="CM96"/>
      <c r="CN96"/>
      <c r="CP96" s="6652" t="s">
        <v>2250</v>
      </c>
      <c r="CQ96" s="6652"/>
      <c r="CS96" s="6657" t="s">
        <v>2251</v>
      </c>
      <c r="CT96" s="6657"/>
      <c r="CV96" s="6653" t="s">
        <v>2252</v>
      </c>
      <c r="CW96" s="6653"/>
      <c r="CY96" s="6629"/>
      <c r="CZ96" s="6629"/>
      <c r="DB96"/>
      <c r="DC96"/>
      <c r="DE96"/>
      <c r="DF96"/>
      <c r="DH96"/>
      <c r="DI96"/>
      <c r="DJ96" s="3">
        <v>1</v>
      </c>
    </row>
    <row r="97" spans="2:114" s="627" customFormat="1" ht="18" customHeight="1">
      <c r="B97" s="6645"/>
      <c r="C97" s="6645"/>
      <c r="D97" s="633"/>
      <c r="E97" s="6637"/>
      <c r="F97" s="6637"/>
      <c r="G97" s="633"/>
      <c r="H97" s="6647"/>
      <c r="I97" s="6647"/>
      <c r="J97" s="633"/>
      <c r="K97" s="6649"/>
      <c r="L97" s="6649"/>
      <c r="M97" s="633"/>
      <c r="N97" s="633"/>
      <c r="O97" s="633"/>
      <c r="P97" s="633"/>
      <c r="Q97" s="6625"/>
      <c r="R97" s="6625"/>
      <c r="S97" s="633"/>
      <c r="T97" s="6626"/>
      <c r="U97" s="6626"/>
      <c r="V97" s="633"/>
      <c r="W97" s="6624"/>
      <c r="X97" s="6624"/>
      <c r="Y97" s="633"/>
      <c r="Z97" s="633"/>
      <c r="AA97" s="633"/>
      <c r="AB97" s="227"/>
      <c r="AC97" s="633"/>
      <c r="AD97" s="633"/>
      <c r="AE97" s="227"/>
      <c r="AF97" s="633"/>
      <c r="AG97" s="633"/>
      <c r="AH97" s="227"/>
      <c r="AI97" s="633"/>
      <c r="AJ97" s="633"/>
      <c r="AK97" s="633"/>
      <c r="AL97" s="633"/>
      <c r="AM97" s="633"/>
      <c r="AN97" s="633"/>
      <c r="AO97" s="633"/>
      <c r="AP97" s="633"/>
      <c r="AQ97" s="633"/>
      <c r="AR97" s="6645" t="s">
        <v>114</v>
      </c>
      <c r="AS97" s="6645"/>
      <c r="AU97" s="6637" t="s">
        <v>114</v>
      </c>
      <c r="AV97" s="6637"/>
      <c r="AX97" s="6647" t="s">
        <v>114</v>
      </c>
      <c r="AY97" s="6647"/>
      <c r="BA97" s="6649" t="s">
        <v>114</v>
      </c>
      <c r="BB97" s="6649"/>
      <c r="BD97"/>
      <c r="BE97"/>
      <c r="BG97" s="6625" t="s">
        <v>114</v>
      </c>
      <c r="BH97" s="6625"/>
      <c r="BJ97" s="6626" t="s">
        <v>114</v>
      </c>
      <c r="BK97" s="6626"/>
      <c r="BM97" s="6624" t="s">
        <v>114</v>
      </c>
      <c r="BN97" s="6624"/>
      <c r="BP97" s="6630"/>
      <c r="BQ97" s="6630"/>
      <c r="BS97"/>
      <c r="BT97"/>
      <c r="BV97"/>
      <c r="BW97"/>
      <c r="BX97"/>
      <c r="BY97"/>
      <c r="BZ97"/>
      <c r="CA97" s="6645" t="s">
        <v>114</v>
      </c>
      <c r="CB97" s="6645"/>
      <c r="CD97" s="6637" t="s">
        <v>114</v>
      </c>
      <c r="CE97" s="6637"/>
      <c r="CG97" s="6647" t="s">
        <v>114</v>
      </c>
      <c r="CH97" s="6647"/>
      <c r="CJ97" s="6649" t="s">
        <v>114</v>
      </c>
      <c r="CK97" s="6649"/>
      <c r="CM97"/>
      <c r="CN97"/>
      <c r="CP97" s="6625" t="s">
        <v>114</v>
      </c>
      <c r="CQ97" s="6625"/>
      <c r="CS97" s="6626" t="s">
        <v>114</v>
      </c>
      <c r="CT97" s="6626"/>
      <c r="CV97" s="6624" t="s">
        <v>114</v>
      </c>
      <c r="CW97" s="6624"/>
      <c r="CY97" s="6630"/>
      <c r="CZ97" s="6630"/>
      <c r="DB97"/>
      <c r="DC97"/>
      <c r="DE97"/>
      <c r="DF97"/>
      <c r="DH97"/>
      <c r="DI97"/>
      <c r="DJ97" s="3">
        <v>1</v>
      </c>
    </row>
    <row r="98" spans="2:114" s="627" customFormat="1" ht="18" customHeight="1" thickBot="1">
      <c r="B98" s="633"/>
      <c r="C98" s="633"/>
      <c r="D98" s="633"/>
      <c r="E98" s="633"/>
      <c r="F98" s="633"/>
      <c r="G98" s="633"/>
      <c r="H98"/>
      <c r="I98"/>
      <c r="J98" s="633"/>
      <c r="K98"/>
      <c r="L98"/>
      <c r="M98" s="633"/>
      <c r="N98" s="633"/>
      <c r="O98" s="633"/>
      <c r="P98" s="633"/>
      <c r="Q98" s="670"/>
      <c r="R98" s="670"/>
      <c r="S98" s="633"/>
      <c r="T98" s="633"/>
      <c r="U98" s="633"/>
      <c r="V98" s="633"/>
      <c r="W98" s="633"/>
      <c r="X98" s="633"/>
      <c r="Y98" s="633"/>
      <c r="Z98" s="633"/>
      <c r="AA98" s="633"/>
      <c r="AB98" s="227"/>
      <c r="AC98" s="633"/>
      <c r="AD98" s="633"/>
      <c r="AE98" s="227"/>
      <c r="AF98" s="633"/>
      <c r="AG98" s="633"/>
      <c r="AH98" s="227"/>
      <c r="AI98" s="633"/>
      <c r="AJ98" s="633"/>
      <c r="AK98" s="633"/>
      <c r="AL98" s="633"/>
      <c r="AM98" s="633"/>
      <c r="AN98" s="633"/>
      <c r="AO98" s="633"/>
      <c r="AP98" s="633"/>
      <c r="AQ98" s="633"/>
      <c r="AR98" s="633" t="s">
        <v>114</v>
      </c>
      <c r="AS98" s="633"/>
      <c r="AU98" s="633" t="s">
        <v>114</v>
      </c>
      <c r="AV98" s="633"/>
      <c r="AX98" t="s">
        <v>114</v>
      </c>
      <c r="AY98"/>
      <c r="BA98" t="s">
        <v>114</v>
      </c>
      <c r="BB98"/>
      <c r="BD98"/>
      <c r="BE98"/>
      <c r="BG98" s="670" t="s">
        <v>114</v>
      </c>
      <c r="BH98" s="670"/>
      <c r="BJ98" s="633" t="s">
        <v>114</v>
      </c>
      <c r="BK98" s="633"/>
      <c r="BM98" s="633" t="s">
        <v>114</v>
      </c>
      <c r="BN98" s="633"/>
      <c r="BP98"/>
      <c r="BQ98"/>
      <c r="BS98" t="s">
        <v>114</v>
      </c>
      <c r="BT98"/>
      <c r="BV98"/>
      <c r="BW98"/>
      <c r="BX98"/>
      <c r="BY98"/>
      <c r="BZ98"/>
      <c r="CA98" s="633" t="s">
        <v>114</v>
      </c>
      <c r="CB98" s="633"/>
      <c r="CD98" s="633" t="s">
        <v>114</v>
      </c>
      <c r="CE98" s="633"/>
      <c r="CG98" t="s">
        <v>114</v>
      </c>
      <c r="CH98"/>
      <c r="CJ98" t="s">
        <v>114</v>
      </c>
      <c r="CK98"/>
      <c r="CM98"/>
      <c r="CN98"/>
      <c r="CP98" s="670" t="s">
        <v>114</v>
      </c>
      <c r="CQ98" s="670"/>
      <c r="CS98" s="633" t="s">
        <v>114</v>
      </c>
      <c r="CT98" s="633"/>
      <c r="CV98" s="633" t="s">
        <v>114</v>
      </c>
      <c r="CW98" s="633"/>
      <c r="CY98"/>
      <c r="CZ98"/>
      <c r="DB98"/>
      <c r="DC98"/>
      <c r="DE98"/>
      <c r="DF98"/>
      <c r="DH98"/>
      <c r="DI98"/>
      <c r="DJ98" s="3">
        <v>1</v>
      </c>
    </row>
    <row r="99" spans="2:114" s="627" customFormat="1" ht="18" customHeight="1">
      <c r="B99" s="6644" t="s">
        <v>1217</v>
      </c>
      <c r="C99" s="6644"/>
      <c r="D99" s="633"/>
      <c r="E99" s="6636" t="s">
        <v>1218</v>
      </c>
      <c r="F99" s="6636"/>
      <c r="G99" s="633"/>
      <c r="H99" s="6646" t="s">
        <v>1219</v>
      </c>
      <c r="I99" s="6646"/>
      <c r="J99" s="633"/>
      <c r="K99" s="6648" t="s">
        <v>1220</v>
      </c>
      <c r="L99" s="6648"/>
      <c r="M99" s="633"/>
      <c r="N99" s="633"/>
      <c r="O99" s="633"/>
      <c r="P99" s="633"/>
      <c r="Q99" s="6652"/>
      <c r="R99" s="6652"/>
      <c r="S99" s="633"/>
      <c r="T99" s="6657" t="s">
        <v>1221</v>
      </c>
      <c r="U99" s="6657"/>
      <c r="V99" s="633"/>
      <c r="W99" s="6653" t="s">
        <v>1222</v>
      </c>
      <c r="X99" s="6653"/>
      <c r="Y99" s="633"/>
      <c r="Z99" s="633"/>
      <c r="AA99" s="633"/>
      <c r="AB99" s="227"/>
      <c r="AC99" s="633"/>
      <c r="AD99" s="633"/>
      <c r="AE99" s="227"/>
      <c r="AF99" s="633"/>
      <c r="AG99" s="633"/>
      <c r="AH99" s="227"/>
      <c r="AI99" s="633"/>
      <c r="AJ99" s="633"/>
      <c r="AK99" s="633"/>
      <c r="AL99" s="633"/>
      <c r="AM99" s="633"/>
      <c r="AN99" s="633"/>
      <c r="AO99" s="633"/>
      <c r="AP99" s="633"/>
      <c r="AQ99" s="633"/>
      <c r="AR99" s="6644" t="s">
        <v>1229</v>
      </c>
      <c r="AS99" s="6644"/>
      <c r="AU99" s="6636" t="s">
        <v>2253</v>
      </c>
      <c r="AV99" s="6636"/>
      <c r="AX99" s="6646" t="s">
        <v>8849</v>
      </c>
      <c r="AY99" s="6646"/>
      <c r="BA99" s="6648" t="s">
        <v>2254</v>
      </c>
      <c r="BB99" s="6648"/>
      <c r="BD99"/>
      <c r="BE99"/>
      <c r="BG99" s="6652" t="s">
        <v>2255</v>
      </c>
      <c r="BH99" s="6652"/>
      <c r="BJ99" s="6657" t="s">
        <v>2256</v>
      </c>
      <c r="BK99" s="6657"/>
      <c r="BM99" s="6653" t="s">
        <v>2257</v>
      </c>
      <c r="BN99" s="6653"/>
      <c r="BP99"/>
      <c r="BQ99"/>
      <c r="BS99"/>
      <c r="BT99"/>
      <c r="BV99"/>
      <c r="BW99"/>
      <c r="BX99"/>
      <c r="BY99"/>
      <c r="BZ99"/>
      <c r="CA99" s="6644" t="s">
        <v>2258</v>
      </c>
      <c r="CB99" s="6644"/>
      <c r="CD99" s="6636" t="s">
        <v>2259</v>
      </c>
      <c r="CE99" s="6636"/>
      <c r="CG99" s="6646" t="s">
        <v>1225</v>
      </c>
      <c r="CH99" s="6646"/>
      <c r="CJ99" s="6648" t="s">
        <v>2260</v>
      </c>
      <c r="CK99" s="6648"/>
      <c r="CM99"/>
      <c r="CN99"/>
      <c r="CP99" s="6652" t="s">
        <v>2261</v>
      </c>
      <c r="CQ99" s="6652"/>
      <c r="CS99" s="6657" t="s">
        <v>2262</v>
      </c>
      <c r="CT99" s="6657"/>
      <c r="CV99" s="6653" t="s">
        <v>2263</v>
      </c>
      <c r="CW99" s="6653"/>
      <c r="CY99"/>
      <c r="CZ99"/>
      <c r="DB99"/>
      <c r="DC99"/>
      <c r="DE99"/>
      <c r="DF99"/>
      <c r="DH99"/>
      <c r="DI99"/>
      <c r="DJ99" s="3">
        <v>1</v>
      </c>
    </row>
    <row r="100" spans="2:114" s="627" customFormat="1" ht="18" customHeight="1">
      <c r="B100" s="6645"/>
      <c r="C100" s="6645"/>
      <c r="D100" s="633"/>
      <c r="E100" s="6637"/>
      <c r="F100" s="6637"/>
      <c r="G100" s="633"/>
      <c r="H100" s="6647"/>
      <c r="I100" s="6647"/>
      <c r="J100" s="633"/>
      <c r="K100" s="6649"/>
      <c r="L100" s="6649"/>
      <c r="M100" s="633"/>
      <c r="N100" s="633"/>
      <c r="O100" s="633"/>
      <c r="P100" s="633"/>
      <c r="Q100" s="6625"/>
      <c r="R100" s="6625"/>
      <c r="S100" s="633"/>
      <c r="T100" s="6626"/>
      <c r="U100" s="6626"/>
      <c r="V100" s="633"/>
      <c r="W100" s="6624"/>
      <c r="X100" s="6624"/>
      <c r="Y100" s="633"/>
      <c r="Z100" s="633"/>
      <c r="AA100" s="633"/>
      <c r="AB100" s="227"/>
      <c r="AC100" s="633"/>
      <c r="AD100" s="633"/>
      <c r="AE100" s="227"/>
      <c r="AF100" s="633"/>
      <c r="AG100" s="633"/>
      <c r="AH100" s="227"/>
      <c r="AI100" s="633"/>
      <c r="AJ100" s="633"/>
      <c r="AK100" s="633"/>
      <c r="AL100" s="633"/>
      <c r="AM100" s="633"/>
      <c r="AN100" s="633"/>
      <c r="AO100" s="633"/>
      <c r="AP100" s="633"/>
      <c r="AQ100" s="633"/>
      <c r="AR100" s="6645" t="s">
        <v>114</v>
      </c>
      <c r="AS100" s="6645"/>
      <c r="AU100" s="6637" t="s">
        <v>114</v>
      </c>
      <c r="AV100" s="6637"/>
      <c r="AX100" s="6647" t="s">
        <v>114</v>
      </c>
      <c r="AY100" s="6647"/>
      <c r="BA100" s="6649" t="s">
        <v>114</v>
      </c>
      <c r="BB100" s="6649"/>
      <c r="BD100"/>
      <c r="BE100"/>
      <c r="BG100" s="6625" t="s">
        <v>114</v>
      </c>
      <c r="BH100" s="6625"/>
      <c r="BJ100" s="6626" t="s">
        <v>114</v>
      </c>
      <c r="BK100" s="6626"/>
      <c r="BM100" s="6624" t="s">
        <v>114</v>
      </c>
      <c r="BN100" s="6624"/>
      <c r="BP100"/>
      <c r="BQ100"/>
      <c r="BS100"/>
      <c r="BT100"/>
      <c r="BV100"/>
      <c r="BW100"/>
      <c r="BX100"/>
      <c r="BY100"/>
      <c r="BZ100"/>
      <c r="CA100" s="6645" t="s">
        <v>114</v>
      </c>
      <c r="CB100" s="6645"/>
      <c r="CD100" s="6637" t="s">
        <v>114</v>
      </c>
      <c r="CE100" s="6637"/>
      <c r="CG100" s="6647" t="s">
        <v>114</v>
      </c>
      <c r="CH100" s="6647"/>
      <c r="CJ100" s="6649" t="s">
        <v>114</v>
      </c>
      <c r="CK100" s="6649"/>
      <c r="CM100"/>
      <c r="CN100"/>
      <c r="CP100" s="6625" t="s">
        <v>114</v>
      </c>
      <c r="CQ100" s="6625"/>
      <c r="CS100" s="6626" t="s">
        <v>114</v>
      </c>
      <c r="CT100" s="6626"/>
      <c r="CV100" s="6624" t="s">
        <v>114</v>
      </c>
      <c r="CW100" s="6624"/>
      <c r="CY100"/>
      <c r="CZ100"/>
      <c r="DB100"/>
      <c r="DC100"/>
      <c r="DE100"/>
      <c r="DF100"/>
      <c r="DH100"/>
      <c r="DI100"/>
      <c r="DJ100" s="3">
        <v>1</v>
      </c>
    </row>
    <row r="101" spans="2:114" s="627" customFormat="1" ht="18" customHeight="1" thickBot="1">
      <c r="B101" s="633"/>
      <c r="C101" s="633"/>
      <c r="D101" s="633"/>
      <c r="E101" s="633"/>
      <c r="F101" s="633"/>
      <c r="G101" s="633"/>
      <c r="H101"/>
      <c r="I101"/>
      <c r="J101" s="633"/>
      <c r="K101"/>
      <c r="L101"/>
      <c r="M101" s="633"/>
      <c r="N101" s="633"/>
      <c r="O101" s="633"/>
      <c r="P101" s="633"/>
      <c r="Q101" s="670"/>
      <c r="R101" s="670"/>
      <c r="S101" s="633"/>
      <c r="T101" s="633"/>
      <c r="U101" s="633"/>
      <c r="V101" s="633"/>
      <c r="W101" s="633"/>
      <c r="X101" s="633"/>
      <c r="Y101" s="633"/>
      <c r="Z101" s="633"/>
      <c r="AA101" s="633"/>
      <c r="AB101" s="227"/>
      <c r="AC101" s="633"/>
      <c r="AD101" s="633"/>
      <c r="AE101" s="227"/>
      <c r="AF101" s="633"/>
      <c r="AG101" s="633"/>
      <c r="AH101" s="227"/>
      <c r="AI101" s="633"/>
      <c r="AJ101" s="633"/>
      <c r="AK101" s="633"/>
      <c r="AL101" s="633"/>
      <c r="AM101" s="633"/>
      <c r="AN101" s="633"/>
      <c r="AO101" s="633"/>
      <c r="AP101" s="633"/>
      <c r="AQ101" s="633"/>
      <c r="AR101" s="633" t="s">
        <v>114</v>
      </c>
      <c r="AS101" s="633"/>
      <c r="AU101" s="633" t="s">
        <v>114</v>
      </c>
      <c r="AV101" s="633"/>
      <c r="AX101" t="s">
        <v>114</v>
      </c>
      <c r="AY101"/>
      <c r="BA101" t="s">
        <v>114</v>
      </c>
      <c r="BB101"/>
      <c r="BD101"/>
      <c r="BE101"/>
      <c r="BG101" s="670" t="s">
        <v>114</v>
      </c>
      <c r="BH101" s="670"/>
      <c r="BJ101" s="633" t="s">
        <v>114</v>
      </c>
      <c r="BK101" s="633"/>
      <c r="BM101" s="633" t="s">
        <v>114</v>
      </c>
      <c r="BN101" s="633"/>
      <c r="BP101"/>
      <c r="BQ101"/>
      <c r="BS101"/>
      <c r="BT101"/>
      <c r="BV101"/>
      <c r="BW101"/>
      <c r="BX101"/>
      <c r="BY101"/>
      <c r="BZ101"/>
      <c r="CA101" s="633" t="s">
        <v>114</v>
      </c>
      <c r="CB101" s="633"/>
      <c r="CD101" s="633" t="s">
        <v>114</v>
      </c>
      <c r="CE101" s="633"/>
      <c r="CG101" t="s">
        <v>114</v>
      </c>
      <c r="CH101"/>
      <c r="CJ101" t="s">
        <v>114</v>
      </c>
      <c r="CK101"/>
      <c r="CM101"/>
      <c r="CN101"/>
      <c r="CP101"/>
      <c r="CQ101"/>
      <c r="CS101" s="633" t="s">
        <v>114</v>
      </c>
      <c r="CT101" s="633"/>
      <c r="CV101" s="633" t="s">
        <v>114</v>
      </c>
      <c r="CW101" s="633"/>
      <c r="CY101"/>
      <c r="CZ101"/>
      <c r="DB101"/>
      <c r="DC101"/>
      <c r="DE101"/>
      <c r="DF101"/>
      <c r="DH101"/>
      <c r="DI101"/>
      <c r="DJ101" s="3">
        <v>1</v>
      </c>
    </row>
    <row r="102" spans="2:114" s="627" customFormat="1" ht="18" customHeight="1">
      <c r="B102" s="6644" t="s">
        <v>1223</v>
      </c>
      <c r="C102" s="6644"/>
      <c r="D102" s="633"/>
      <c r="E102" s="6636" t="s">
        <v>1224</v>
      </c>
      <c r="F102" s="6636"/>
      <c r="G102" s="633"/>
      <c r="H102" s="6646" t="s">
        <v>1225</v>
      </c>
      <c r="I102" s="6646"/>
      <c r="J102" s="633"/>
      <c r="K102" s="6648" t="s">
        <v>1226</v>
      </c>
      <c r="L102" s="6648"/>
      <c r="M102" s="633"/>
      <c r="N102" s="633"/>
      <c r="O102" s="633"/>
      <c r="P102" s="633"/>
      <c r="Q102" s="633"/>
      <c r="R102" s="633"/>
      <c r="S102" s="633"/>
      <c r="T102" s="6657" t="s">
        <v>1227</v>
      </c>
      <c r="U102" s="6657"/>
      <c r="V102" s="633"/>
      <c r="W102" s="6653" t="s">
        <v>1228</v>
      </c>
      <c r="X102" s="6653"/>
      <c r="Y102" s="633"/>
      <c r="Z102" s="633"/>
      <c r="AA102" s="633"/>
      <c r="AB102" s="227"/>
      <c r="AC102" s="633"/>
      <c r="AD102" s="633"/>
      <c r="AE102" s="227"/>
      <c r="AF102" s="633"/>
      <c r="AG102" s="633"/>
      <c r="AH102" s="227"/>
      <c r="AI102" s="633"/>
      <c r="AJ102" s="633"/>
      <c r="AK102" s="633"/>
      <c r="AL102" s="633"/>
      <c r="AM102" s="633"/>
      <c r="AN102" s="633"/>
      <c r="AO102" s="633"/>
      <c r="AP102" s="633"/>
      <c r="AQ102" s="633"/>
      <c r="AR102" s="6644" t="s">
        <v>2264</v>
      </c>
      <c r="AS102" s="6644"/>
      <c r="AU102" s="6636" t="s">
        <v>2265</v>
      </c>
      <c r="AV102" s="6636"/>
      <c r="AX102" s="6646" t="s">
        <v>8850</v>
      </c>
      <c r="AY102" s="6646"/>
      <c r="BA102" s="6648" t="s">
        <v>2266</v>
      </c>
      <c r="BB102" s="6648"/>
      <c r="BD102"/>
      <c r="BE102"/>
      <c r="BG102" s="6652"/>
      <c r="BH102" s="6652"/>
      <c r="BJ102" s="6657" t="s">
        <v>2267</v>
      </c>
      <c r="BK102" s="6657"/>
      <c r="BM102" s="6653" t="s">
        <v>2268</v>
      </c>
      <c r="BN102" s="6653"/>
      <c r="BP102"/>
      <c r="BQ102"/>
      <c r="BS102"/>
      <c r="BT102"/>
      <c r="BV102"/>
      <c r="BW102"/>
      <c r="BX102"/>
      <c r="BY102"/>
      <c r="BZ102"/>
      <c r="CA102" s="6644" t="s">
        <v>2269</v>
      </c>
      <c r="CB102" s="6644"/>
      <c r="CD102" s="6636" t="s">
        <v>2270</v>
      </c>
      <c r="CE102" s="6636"/>
      <c r="CG102" s="6646" t="s">
        <v>2271</v>
      </c>
      <c r="CH102" s="6646"/>
      <c r="CJ102" s="6648" t="s">
        <v>2272</v>
      </c>
      <c r="CK102" s="6648"/>
      <c r="CM102"/>
      <c r="CN102"/>
      <c r="CP102" s="6652"/>
      <c r="CQ102" s="6652"/>
      <c r="CS102" s="6657" t="s">
        <v>2273</v>
      </c>
      <c r="CT102" s="6657"/>
      <c r="CV102" s="6653" t="s">
        <v>2274</v>
      </c>
      <c r="CW102" s="6653"/>
      <c r="CY102"/>
      <c r="CZ102"/>
      <c r="DB102"/>
      <c r="DC102"/>
      <c r="DE102"/>
      <c r="DF102"/>
      <c r="DH102"/>
      <c r="DI102"/>
      <c r="DJ102" s="3">
        <v>1</v>
      </c>
    </row>
    <row r="103" spans="2:114" s="627" customFormat="1" ht="18" customHeight="1">
      <c r="B103" s="6645"/>
      <c r="C103" s="6645"/>
      <c r="D103" s="633"/>
      <c r="E103" s="6637"/>
      <c r="F103" s="6637"/>
      <c r="G103" s="633"/>
      <c r="H103" s="6647"/>
      <c r="I103" s="6647"/>
      <c r="J103" s="633"/>
      <c r="K103" s="6649"/>
      <c r="L103" s="6649"/>
      <c r="M103" s="633"/>
      <c r="N103" s="633"/>
      <c r="O103" s="633"/>
      <c r="P103" s="633"/>
      <c r="Q103" s="633"/>
      <c r="R103" s="633"/>
      <c r="S103" s="633"/>
      <c r="T103" s="6626"/>
      <c r="U103" s="6626"/>
      <c r="V103" s="633"/>
      <c r="W103" s="6624"/>
      <c r="X103" s="6624"/>
      <c r="Y103" s="633"/>
      <c r="Z103" s="633"/>
      <c r="AA103" s="633"/>
      <c r="AB103" s="227"/>
      <c r="AC103" s="633"/>
      <c r="AD103" s="633"/>
      <c r="AE103" s="227"/>
      <c r="AF103" s="633"/>
      <c r="AG103" s="633"/>
      <c r="AH103" s="227"/>
      <c r="AI103" s="633"/>
      <c r="AJ103" s="633"/>
      <c r="AK103" s="633"/>
      <c r="AL103" s="633"/>
      <c r="AM103" s="633"/>
      <c r="AN103" s="633"/>
      <c r="AO103" s="633"/>
      <c r="AP103" s="633"/>
      <c r="AQ103" s="633"/>
      <c r="AR103" s="6645" t="s">
        <v>114</v>
      </c>
      <c r="AS103" s="6645"/>
      <c r="AU103" s="6637" t="s">
        <v>114</v>
      </c>
      <c r="AV103" s="6637"/>
      <c r="AX103" s="6647" t="s">
        <v>114</v>
      </c>
      <c r="AY103" s="6647"/>
      <c r="BA103" s="6649" t="s">
        <v>114</v>
      </c>
      <c r="BB103" s="6649"/>
      <c r="BD103"/>
      <c r="BE103"/>
      <c r="BG103" s="6625"/>
      <c r="BH103" s="6625"/>
      <c r="BJ103" s="6626" t="s">
        <v>114</v>
      </c>
      <c r="BK103" s="6626"/>
      <c r="BM103" s="6624" t="s">
        <v>114</v>
      </c>
      <c r="BN103" s="6624"/>
      <c r="BP103"/>
      <c r="BQ103"/>
      <c r="BS103"/>
      <c r="BT103"/>
      <c r="BV103"/>
      <c r="BW103"/>
      <c r="BX103"/>
      <c r="BY103"/>
      <c r="BZ103"/>
      <c r="CA103" s="6645" t="s">
        <v>114</v>
      </c>
      <c r="CB103" s="6645"/>
      <c r="CD103" s="6637" t="s">
        <v>114</v>
      </c>
      <c r="CE103" s="6637"/>
      <c r="CG103" s="6647" t="s">
        <v>114</v>
      </c>
      <c r="CH103" s="6647"/>
      <c r="CJ103" s="6649" t="s">
        <v>114</v>
      </c>
      <c r="CK103" s="6649"/>
      <c r="CM103"/>
      <c r="CN103"/>
      <c r="CP103" s="6625"/>
      <c r="CQ103" s="6625"/>
      <c r="CS103" s="6626" t="s">
        <v>114</v>
      </c>
      <c r="CT103" s="6626"/>
      <c r="CV103" s="6624" t="s">
        <v>114</v>
      </c>
      <c r="CW103" s="6624"/>
      <c r="CY103"/>
      <c r="CZ103"/>
      <c r="DB103"/>
      <c r="DC103"/>
      <c r="DE103"/>
      <c r="DF103"/>
      <c r="DH103"/>
      <c r="DI103"/>
      <c r="DJ103" s="3">
        <v>1</v>
      </c>
    </row>
    <row r="104" spans="2:114" s="627" customFormat="1" ht="18" customHeight="1" thickBot="1">
      <c r="B104" s="633"/>
      <c r="C104" s="633"/>
      <c r="D104" s="633"/>
      <c r="E104" s="633"/>
      <c r="F104" s="633"/>
      <c r="G104" s="633"/>
      <c r="H104"/>
      <c r="I104"/>
      <c r="J104" s="633"/>
      <c r="K104"/>
      <c r="L104"/>
      <c r="M104" s="633"/>
      <c r="N104" s="633"/>
      <c r="O104" s="633"/>
      <c r="P104" s="633"/>
      <c r="Q104" s="633"/>
      <c r="R104" s="633"/>
      <c r="S104" s="633"/>
      <c r="T104" s="633"/>
      <c r="U104" s="633"/>
      <c r="V104" s="633"/>
      <c r="W104" s="633"/>
      <c r="X104" s="633"/>
      <c r="Y104" s="633"/>
      <c r="Z104" s="633"/>
      <c r="AA104" s="633"/>
      <c r="AB104" s="227"/>
      <c r="AC104" s="633"/>
      <c r="AD104" s="633"/>
      <c r="AE104" s="227"/>
      <c r="AF104" s="633"/>
      <c r="AG104" s="633"/>
      <c r="AH104" s="227"/>
      <c r="AI104" s="633"/>
      <c r="AJ104" s="633"/>
      <c r="AK104" s="633"/>
      <c r="AL104" s="633"/>
      <c r="AM104" s="633"/>
      <c r="AN104" s="633"/>
      <c r="AO104" s="633"/>
      <c r="AP104" s="633"/>
      <c r="AQ104" s="633"/>
      <c r="AR104" s="633" t="s">
        <v>114</v>
      </c>
      <c r="AS104" s="633"/>
      <c r="AU104" s="633" t="s">
        <v>114</v>
      </c>
      <c r="AV104" s="633"/>
      <c r="AX104" t="s">
        <v>114</v>
      </c>
      <c r="AY104"/>
      <c r="BA104" t="s">
        <v>114</v>
      </c>
      <c r="BB104"/>
      <c r="BD104"/>
      <c r="BE104"/>
      <c r="BG104" s="670"/>
      <c r="BH104" s="670"/>
      <c r="BJ104" s="633" t="s">
        <v>114</v>
      </c>
      <c r="BK104" s="633"/>
      <c r="BM104" s="633" t="s">
        <v>114</v>
      </c>
      <c r="BN104" s="633"/>
      <c r="BP104"/>
      <c r="BQ104"/>
      <c r="BS104"/>
      <c r="BT104"/>
      <c r="BV104"/>
      <c r="BW104"/>
      <c r="BX104"/>
      <c r="BY104"/>
      <c r="BZ104"/>
      <c r="CA104" s="633" t="s">
        <v>114</v>
      </c>
      <c r="CB104" s="633"/>
      <c r="CD104" s="633" t="s">
        <v>114</v>
      </c>
      <c r="CE104" s="633"/>
      <c r="CG104" t="s">
        <v>114</v>
      </c>
      <c r="CH104"/>
      <c r="CJ104" t="s">
        <v>114</v>
      </c>
      <c r="CK104"/>
      <c r="CM104"/>
      <c r="CN104"/>
      <c r="CP104"/>
      <c r="CQ104"/>
      <c r="CS104" s="633" t="s">
        <v>114</v>
      </c>
      <c r="CT104" s="633"/>
      <c r="CV104" s="633" t="s">
        <v>114</v>
      </c>
      <c r="CW104" s="633"/>
      <c r="CY104"/>
      <c r="CZ104"/>
      <c r="DB104"/>
      <c r="DC104"/>
      <c r="DE104"/>
      <c r="DF104"/>
      <c r="DH104"/>
      <c r="DI104"/>
      <c r="DJ104" s="3">
        <v>1</v>
      </c>
    </row>
    <row r="105" spans="2:114" s="627" customFormat="1" ht="18" customHeight="1">
      <c r="B105" s="6644" t="s">
        <v>1229</v>
      </c>
      <c r="C105" s="6644"/>
      <c r="D105" s="633"/>
      <c r="E105" s="6636" t="s">
        <v>1230</v>
      </c>
      <c r="F105" s="6636"/>
      <c r="G105" s="633"/>
      <c r="H105" s="6646" t="s">
        <v>1231</v>
      </c>
      <c r="I105" s="6646"/>
      <c r="J105" s="633"/>
      <c r="K105" s="6648" t="s">
        <v>1232</v>
      </c>
      <c r="L105" s="6648"/>
      <c r="M105" s="633"/>
      <c r="N105" s="633"/>
      <c r="O105" s="633"/>
      <c r="P105" s="633"/>
      <c r="Q105" s="633"/>
      <c r="R105" s="633"/>
      <c r="S105" s="633"/>
      <c r="T105" s="6657" t="s">
        <v>1233</v>
      </c>
      <c r="U105" s="6657"/>
      <c r="V105" s="633"/>
      <c r="W105" s="6653" t="s">
        <v>1234</v>
      </c>
      <c r="X105" s="6653"/>
      <c r="Y105" s="633"/>
      <c r="Z105" s="633"/>
      <c r="AA105" s="633"/>
      <c r="AB105" s="227"/>
      <c r="AC105" s="633"/>
      <c r="AD105" s="633"/>
      <c r="AE105" s="227"/>
      <c r="AF105" s="633"/>
      <c r="AG105" s="633"/>
      <c r="AH105" s="227"/>
      <c r="AI105" s="633"/>
      <c r="AJ105" s="633"/>
      <c r="AK105" s="633"/>
      <c r="AL105" s="633"/>
      <c r="AM105" s="633"/>
      <c r="AN105" s="633"/>
      <c r="AO105" s="633"/>
      <c r="AP105" s="633"/>
      <c r="AQ105" s="633"/>
      <c r="AR105" s="6644" t="s">
        <v>2275</v>
      </c>
      <c r="AS105" s="6644"/>
      <c r="AU105" s="6636" t="s">
        <v>2276</v>
      </c>
      <c r="AV105" s="6636"/>
      <c r="AX105" s="6646" t="s">
        <v>8851</v>
      </c>
      <c r="AY105" s="6646"/>
      <c r="BA105" s="6648" t="s">
        <v>2277</v>
      </c>
      <c r="BB105" s="6648"/>
      <c r="BD105"/>
      <c r="BE105"/>
      <c r="BG105" s="6652"/>
      <c r="BH105" s="6652"/>
      <c r="BJ105" s="6657" t="s">
        <v>2278</v>
      </c>
      <c r="BK105" s="6657"/>
      <c r="BM105" s="6653" t="s">
        <v>2279</v>
      </c>
      <c r="BN105" s="6653"/>
      <c r="BP105"/>
      <c r="BQ105"/>
      <c r="BS105"/>
      <c r="BT105"/>
      <c r="BV105"/>
      <c r="BW105"/>
      <c r="BX105"/>
      <c r="BY105"/>
      <c r="BZ105"/>
      <c r="CA105" s="6644" t="s">
        <v>2280</v>
      </c>
      <c r="CB105" s="6644"/>
      <c r="CD105" s="6636" t="s">
        <v>2281</v>
      </c>
      <c r="CE105" s="6636"/>
      <c r="CG105" s="6646" t="s">
        <v>1237</v>
      </c>
      <c r="CH105" s="6646"/>
      <c r="CJ105" s="6648" t="s">
        <v>2282</v>
      </c>
      <c r="CK105" s="6648"/>
      <c r="CM105"/>
      <c r="CN105"/>
      <c r="CP105"/>
      <c r="CQ105"/>
      <c r="CS105" s="6657" t="s">
        <v>2283</v>
      </c>
      <c r="CT105" s="6657"/>
      <c r="CV105" s="6653" t="s">
        <v>2284</v>
      </c>
      <c r="CW105" s="6653"/>
      <c r="CY105"/>
      <c r="CZ105"/>
      <c r="DB105"/>
      <c r="DC105"/>
      <c r="DE105"/>
      <c r="DF105"/>
      <c r="DH105"/>
      <c r="DI105"/>
      <c r="DJ105" s="3">
        <v>1</v>
      </c>
    </row>
    <row r="106" spans="2:114" s="627" customFormat="1" ht="18" customHeight="1">
      <c r="B106" s="6645"/>
      <c r="C106" s="6645"/>
      <c r="D106" s="633"/>
      <c r="E106" s="6637"/>
      <c r="F106" s="6637"/>
      <c r="G106" s="633"/>
      <c r="H106" s="6647"/>
      <c r="I106" s="6647"/>
      <c r="J106" s="633"/>
      <c r="K106" s="6649"/>
      <c r="L106" s="6649"/>
      <c r="M106" s="633"/>
      <c r="N106" s="633"/>
      <c r="O106" s="633"/>
      <c r="P106" s="633"/>
      <c r="Q106" s="633"/>
      <c r="R106" s="633"/>
      <c r="S106" s="633"/>
      <c r="T106" s="6626"/>
      <c r="U106" s="6626"/>
      <c r="V106" s="633"/>
      <c r="W106" s="6624"/>
      <c r="X106" s="6624"/>
      <c r="Y106" s="633"/>
      <c r="Z106" s="633"/>
      <c r="AA106" s="633"/>
      <c r="AB106" s="227"/>
      <c r="AC106" s="633"/>
      <c r="AD106" s="633"/>
      <c r="AE106" s="227"/>
      <c r="AF106" s="633"/>
      <c r="AG106" s="633"/>
      <c r="AH106" s="227"/>
      <c r="AI106" s="633"/>
      <c r="AJ106" s="633"/>
      <c r="AK106" s="633"/>
      <c r="AL106" s="633"/>
      <c r="AM106" s="633"/>
      <c r="AN106" s="633"/>
      <c r="AO106" s="633"/>
      <c r="AP106" s="633"/>
      <c r="AQ106" s="633"/>
      <c r="AR106" s="6645" t="s">
        <v>114</v>
      </c>
      <c r="AS106" s="6645"/>
      <c r="AU106" s="6637" t="s">
        <v>114</v>
      </c>
      <c r="AV106" s="6637"/>
      <c r="AX106" s="6647" t="s">
        <v>114</v>
      </c>
      <c r="AY106" s="6647"/>
      <c r="BA106" s="6649" t="s">
        <v>114</v>
      </c>
      <c r="BB106" s="6649"/>
      <c r="BD106"/>
      <c r="BE106"/>
      <c r="BG106" s="6625"/>
      <c r="BH106" s="6625"/>
      <c r="BJ106" s="6626" t="s">
        <v>114</v>
      </c>
      <c r="BK106" s="6626"/>
      <c r="BM106" s="6624" t="s">
        <v>114</v>
      </c>
      <c r="BN106" s="6624"/>
      <c r="BP106"/>
      <c r="BQ106"/>
      <c r="BS106"/>
      <c r="BT106"/>
      <c r="BV106"/>
      <c r="BW106"/>
      <c r="BX106"/>
      <c r="BY106"/>
      <c r="BZ106"/>
      <c r="CA106" s="6645" t="s">
        <v>114</v>
      </c>
      <c r="CB106" s="6645"/>
      <c r="CD106" s="6637" t="s">
        <v>114</v>
      </c>
      <c r="CE106" s="6637"/>
      <c r="CG106" s="6647" t="s">
        <v>114</v>
      </c>
      <c r="CH106" s="6647"/>
      <c r="CJ106" s="6649" t="s">
        <v>114</v>
      </c>
      <c r="CK106" s="6649"/>
      <c r="CM106"/>
      <c r="CN106"/>
      <c r="CP106"/>
      <c r="CQ106"/>
      <c r="CS106" s="6626" t="s">
        <v>114</v>
      </c>
      <c r="CT106" s="6626"/>
      <c r="CV106" s="6624" t="s">
        <v>114</v>
      </c>
      <c r="CW106" s="6624"/>
      <c r="CY106"/>
      <c r="CZ106"/>
      <c r="DB106"/>
      <c r="DC106"/>
      <c r="DE106"/>
      <c r="DF106"/>
      <c r="DH106"/>
      <c r="DI106"/>
      <c r="DJ106" s="3">
        <v>1</v>
      </c>
    </row>
    <row r="107" spans="2:114" s="627" customFormat="1" ht="18" customHeight="1" thickBot="1">
      <c r="B107" s="633"/>
      <c r="C107" s="633"/>
      <c r="D107" s="633"/>
      <c r="E107" s="633"/>
      <c r="F107" s="633"/>
      <c r="G107" s="633"/>
      <c r="H107"/>
      <c r="I107"/>
      <c r="J107" s="633"/>
      <c r="K107"/>
      <c r="L107"/>
      <c r="M107" s="633"/>
      <c r="N107" s="633"/>
      <c r="O107" s="633"/>
      <c r="P107" s="633"/>
      <c r="Q107" s="633"/>
      <c r="R107" s="633"/>
      <c r="S107" s="633"/>
      <c r="T107" s="633"/>
      <c r="U107" s="633"/>
      <c r="V107" s="633"/>
      <c r="W107" s="633"/>
      <c r="X107" s="633"/>
      <c r="Y107" s="633"/>
      <c r="Z107" s="633"/>
      <c r="AA107" s="633"/>
      <c r="AB107" s="227"/>
      <c r="AC107" s="633"/>
      <c r="AD107" s="633"/>
      <c r="AE107" s="227"/>
      <c r="AF107" s="633"/>
      <c r="AG107" s="633"/>
      <c r="AH107" s="227"/>
      <c r="AI107" s="633"/>
      <c r="AJ107" s="633"/>
      <c r="AK107" s="633"/>
      <c r="AL107" s="633"/>
      <c r="AM107" s="633"/>
      <c r="AN107" s="633"/>
      <c r="AO107" s="633"/>
      <c r="AP107" s="633"/>
      <c r="AQ107" s="633"/>
      <c r="AR107" s="633" t="s">
        <v>114</v>
      </c>
      <c r="AS107" s="633"/>
      <c r="AU107" s="633" t="s">
        <v>114</v>
      </c>
      <c r="AV107" s="633"/>
      <c r="AX107" t="s">
        <v>114</v>
      </c>
      <c r="AY107"/>
      <c r="BA107" t="s">
        <v>114</v>
      </c>
      <c r="BB107"/>
      <c r="BD107"/>
      <c r="BE107"/>
      <c r="BG107"/>
      <c r="BH107"/>
      <c r="BJ107" s="633" t="s">
        <v>114</v>
      </c>
      <c r="BK107" s="633"/>
      <c r="BM107" s="633" t="s">
        <v>114</v>
      </c>
      <c r="BN107" s="633"/>
      <c r="BP107"/>
      <c r="BQ107"/>
      <c r="BS107"/>
      <c r="BT107"/>
      <c r="BV107"/>
      <c r="BW107"/>
      <c r="BX107"/>
      <c r="BY107"/>
      <c r="BZ107"/>
      <c r="CA107" s="633" t="s">
        <v>114</v>
      </c>
      <c r="CB107" s="633"/>
      <c r="CD107" s="633" t="s">
        <v>114</v>
      </c>
      <c r="CE107" s="633"/>
      <c r="CG107" t="s">
        <v>114</v>
      </c>
      <c r="CH107"/>
      <c r="CJ107" t="s">
        <v>114</v>
      </c>
      <c r="CK107"/>
      <c r="CM107"/>
      <c r="CN107"/>
      <c r="CP107"/>
      <c r="CQ107"/>
      <c r="CS107" s="633" t="s">
        <v>114</v>
      </c>
      <c r="CT107" s="633"/>
      <c r="CV107" s="633" t="s">
        <v>114</v>
      </c>
      <c r="CW107" s="633"/>
      <c r="CY107"/>
      <c r="CZ107"/>
      <c r="DB107"/>
      <c r="DC107"/>
      <c r="DE107"/>
      <c r="DF107"/>
      <c r="DH107"/>
      <c r="DI107"/>
      <c r="DJ107" s="3">
        <v>1</v>
      </c>
    </row>
    <row r="108" spans="2:114" s="627" customFormat="1" ht="18" customHeight="1">
      <c r="B108" s="6644" t="s">
        <v>1235</v>
      </c>
      <c r="C108" s="6644"/>
      <c r="D108" s="633"/>
      <c r="E108" s="6636" t="s">
        <v>1236</v>
      </c>
      <c r="F108" s="6636"/>
      <c r="G108" s="633"/>
      <c r="H108" s="6646" t="s">
        <v>1237</v>
      </c>
      <c r="I108" s="6646"/>
      <c r="J108" s="633"/>
      <c r="K108" s="6648" t="s">
        <v>1238</v>
      </c>
      <c r="L108" s="6648"/>
      <c r="M108" s="633"/>
      <c r="N108" s="633"/>
      <c r="O108" s="633"/>
      <c r="P108" s="633"/>
      <c r="Q108" s="633"/>
      <c r="R108" s="633"/>
      <c r="S108" s="633"/>
      <c r="T108" s="6657" t="s">
        <v>1239</v>
      </c>
      <c r="U108" s="6657"/>
      <c r="V108" s="633"/>
      <c r="W108" s="6653" t="s">
        <v>1240</v>
      </c>
      <c r="X108" s="6653"/>
      <c r="Y108" s="633"/>
      <c r="Z108" s="633"/>
      <c r="AA108" s="633"/>
      <c r="AB108" s="227"/>
      <c r="AC108" s="633"/>
      <c r="AD108" s="633"/>
      <c r="AE108" s="227"/>
      <c r="AF108" s="633"/>
      <c r="AG108" s="633"/>
      <c r="AH108" s="227"/>
      <c r="AI108" s="633"/>
      <c r="AJ108" s="633"/>
      <c r="AK108" s="633"/>
      <c r="AL108" s="633"/>
      <c r="AM108" s="633"/>
      <c r="AN108" s="633"/>
      <c r="AO108" s="633"/>
      <c r="AP108" s="633"/>
      <c r="AQ108" s="633"/>
      <c r="AR108" s="6644" t="s">
        <v>2285</v>
      </c>
      <c r="AS108" s="6644"/>
      <c r="AU108" s="6636" t="s">
        <v>2286</v>
      </c>
      <c r="AV108" s="6636"/>
      <c r="AX108" s="6646" t="s">
        <v>8852</v>
      </c>
      <c r="AY108" s="6646"/>
      <c r="BA108" s="6648" t="s">
        <v>2287</v>
      </c>
      <c r="BB108" s="6648"/>
      <c r="BD108"/>
      <c r="BE108"/>
      <c r="BG108"/>
      <c r="BH108"/>
      <c r="BJ108" s="6657" t="s">
        <v>2288</v>
      </c>
      <c r="BK108" s="6657"/>
      <c r="BM108" s="6653" t="s">
        <v>2289</v>
      </c>
      <c r="BN108" s="6653"/>
      <c r="BP108"/>
      <c r="BQ108"/>
      <c r="BS108"/>
      <c r="BT108"/>
      <c r="BV108"/>
      <c r="BW108"/>
      <c r="BX108"/>
      <c r="BY108"/>
      <c r="BZ108"/>
      <c r="CA108" s="6644" t="s">
        <v>2290</v>
      </c>
      <c r="CB108" s="6644"/>
      <c r="CD108" s="6636" t="s">
        <v>2291</v>
      </c>
      <c r="CE108" s="6636"/>
      <c r="CG108" s="6646" t="s">
        <v>2292</v>
      </c>
      <c r="CH108" s="6646"/>
      <c r="CJ108" s="6648" t="s">
        <v>2293</v>
      </c>
      <c r="CK108" s="6648"/>
      <c r="CM108"/>
      <c r="CN108"/>
      <c r="CP108"/>
      <c r="CQ108"/>
      <c r="CS108" s="6657" t="s">
        <v>2294</v>
      </c>
      <c r="CT108" s="6657"/>
      <c r="CV108" s="6653" t="s">
        <v>2295</v>
      </c>
      <c r="CW108" s="6653"/>
      <c r="CY108"/>
      <c r="CZ108"/>
      <c r="DB108"/>
      <c r="DC108"/>
      <c r="DE108"/>
      <c r="DF108"/>
      <c r="DH108"/>
      <c r="DI108"/>
      <c r="DJ108" s="3">
        <v>1</v>
      </c>
    </row>
    <row r="109" spans="2:114" s="627" customFormat="1" ht="18" customHeight="1">
      <c r="B109" s="6645"/>
      <c r="C109" s="6645"/>
      <c r="D109" s="633"/>
      <c r="E109" s="6637"/>
      <c r="F109" s="6637"/>
      <c r="G109" s="633"/>
      <c r="H109" s="6647"/>
      <c r="I109" s="6647"/>
      <c r="J109" s="633"/>
      <c r="K109" s="6649"/>
      <c r="L109" s="6649"/>
      <c r="M109" s="633"/>
      <c r="N109" s="633"/>
      <c r="O109" s="633"/>
      <c r="P109" s="633"/>
      <c r="Q109" s="633"/>
      <c r="R109" s="633"/>
      <c r="S109" s="633"/>
      <c r="T109" s="6626"/>
      <c r="U109" s="6626"/>
      <c r="V109" s="633"/>
      <c r="W109" s="6624"/>
      <c r="X109" s="6624"/>
      <c r="Y109" s="633"/>
      <c r="Z109" s="633"/>
      <c r="AA109" s="633"/>
      <c r="AB109" s="227"/>
      <c r="AC109" s="633"/>
      <c r="AD109" s="633"/>
      <c r="AE109" s="227"/>
      <c r="AF109" s="633"/>
      <c r="AG109" s="633"/>
      <c r="AH109" s="227"/>
      <c r="AI109" s="633"/>
      <c r="AJ109" s="633"/>
      <c r="AK109" s="633"/>
      <c r="AL109" s="633"/>
      <c r="AM109" s="633"/>
      <c r="AN109" s="633"/>
      <c r="AO109" s="633"/>
      <c r="AP109" s="633"/>
      <c r="AQ109" s="633"/>
      <c r="AR109" s="6645" t="s">
        <v>114</v>
      </c>
      <c r="AS109" s="6645"/>
      <c r="AU109" s="6637" t="s">
        <v>114</v>
      </c>
      <c r="AV109" s="6637"/>
      <c r="AX109" s="6647" t="s">
        <v>114</v>
      </c>
      <c r="AY109" s="6647"/>
      <c r="BA109" s="6649" t="s">
        <v>114</v>
      </c>
      <c r="BB109" s="6649"/>
      <c r="BD109"/>
      <c r="BE109"/>
      <c r="BG109"/>
      <c r="BH109"/>
      <c r="BJ109" s="6626" t="s">
        <v>114</v>
      </c>
      <c r="BK109" s="6626"/>
      <c r="BM109" s="6624" t="s">
        <v>114</v>
      </c>
      <c r="BN109" s="6624"/>
      <c r="BP109"/>
      <c r="BQ109"/>
      <c r="BS109"/>
      <c r="BT109"/>
      <c r="BV109"/>
      <c r="BW109"/>
      <c r="BX109"/>
      <c r="BY109"/>
      <c r="BZ109"/>
      <c r="CA109" s="6645" t="s">
        <v>114</v>
      </c>
      <c r="CB109" s="6645"/>
      <c r="CD109" s="6637" t="s">
        <v>114</v>
      </c>
      <c r="CE109" s="6637"/>
      <c r="CG109" s="6647" t="s">
        <v>114</v>
      </c>
      <c r="CH109" s="6647"/>
      <c r="CJ109" s="6649" t="s">
        <v>114</v>
      </c>
      <c r="CK109" s="6649"/>
      <c r="CM109"/>
      <c r="CN109"/>
      <c r="CP109"/>
      <c r="CQ109"/>
      <c r="CS109" s="6626" t="s">
        <v>114</v>
      </c>
      <c r="CT109" s="6626"/>
      <c r="CV109" s="6624" t="s">
        <v>114</v>
      </c>
      <c r="CW109" s="6624"/>
      <c r="CY109"/>
      <c r="CZ109"/>
      <c r="DB109"/>
      <c r="DC109"/>
      <c r="DE109"/>
      <c r="DF109"/>
      <c r="DH109"/>
      <c r="DI109"/>
      <c r="DJ109" s="3">
        <v>1</v>
      </c>
    </row>
    <row r="110" spans="2:114" s="627" customFormat="1" ht="18" customHeight="1" thickBot="1">
      <c r="B110" s="633"/>
      <c r="C110" s="633"/>
      <c r="D110" s="633"/>
      <c r="E110" s="633"/>
      <c r="F110" s="633"/>
      <c r="G110" s="633"/>
      <c r="H110"/>
      <c r="I110"/>
      <c r="J110" s="633"/>
      <c r="K110"/>
      <c r="L110"/>
      <c r="M110" s="633"/>
      <c r="N110" s="633"/>
      <c r="O110" s="633"/>
      <c r="P110" s="633"/>
      <c r="Q110" s="633"/>
      <c r="R110" s="633"/>
      <c r="S110" s="633"/>
      <c r="T110" s="633"/>
      <c r="U110" s="633"/>
      <c r="V110" s="633"/>
      <c r="W110" s="633"/>
      <c r="X110" s="633"/>
      <c r="Y110" s="633"/>
      <c r="Z110" s="633"/>
      <c r="AA110" s="633"/>
      <c r="AB110" s="227"/>
      <c r="AC110" s="633"/>
      <c r="AD110" s="633"/>
      <c r="AE110" s="227"/>
      <c r="AF110" s="633"/>
      <c r="AG110" s="633"/>
      <c r="AH110" s="227"/>
      <c r="AI110" s="633"/>
      <c r="AJ110" s="633"/>
      <c r="AK110" s="633"/>
      <c r="AL110" s="633"/>
      <c r="AM110" s="633"/>
      <c r="AN110" s="633"/>
      <c r="AO110" s="633"/>
      <c r="AP110" s="633"/>
      <c r="AQ110" s="633"/>
      <c r="AR110" s="633" t="s">
        <v>114</v>
      </c>
      <c r="AS110" s="633"/>
      <c r="AU110" s="633" t="s">
        <v>114</v>
      </c>
      <c r="AV110" s="633"/>
      <c r="AX110" t="s">
        <v>114</v>
      </c>
      <c r="AY110"/>
      <c r="BA110" t="s">
        <v>114</v>
      </c>
      <c r="BB110"/>
      <c r="BD110"/>
      <c r="BE110"/>
      <c r="BG110"/>
      <c r="BH110"/>
      <c r="BJ110" s="633" t="s">
        <v>114</v>
      </c>
      <c r="BK110" s="633"/>
      <c r="BM110" s="633" t="s">
        <v>114</v>
      </c>
      <c r="BN110" s="633"/>
      <c r="BP110"/>
      <c r="BQ110"/>
      <c r="BS110"/>
      <c r="BT110"/>
      <c r="BV110"/>
      <c r="BW110"/>
      <c r="BX110"/>
      <c r="BY110"/>
      <c r="BZ110"/>
      <c r="CA110" s="633" t="s">
        <v>114</v>
      </c>
      <c r="CB110" s="633"/>
      <c r="CD110" s="633" t="s">
        <v>114</v>
      </c>
      <c r="CE110" s="633"/>
      <c r="CG110" t="s">
        <v>114</v>
      </c>
      <c r="CH110"/>
      <c r="CJ110" t="s">
        <v>114</v>
      </c>
      <c r="CK110"/>
      <c r="CM110"/>
      <c r="CN110"/>
      <c r="CP110"/>
      <c r="CQ110"/>
      <c r="CS110" s="633" t="s">
        <v>114</v>
      </c>
      <c r="CT110" s="633"/>
      <c r="CV110" s="633" t="s">
        <v>114</v>
      </c>
      <c r="CW110" s="633"/>
      <c r="CY110"/>
      <c r="CZ110"/>
      <c r="DB110"/>
      <c r="DC110"/>
      <c r="DE110"/>
      <c r="DF110"/>
      <c r="DH110"/>
      <c r="DI110"/>
      <c r="DJ110" s="3">
        <v>1</v>
      </c>
    </row>
    <row r="111" spans="2:114" s="627" customFormat="1" ht="18" customHeight="1">
      <c r="B111" s="6644" t="s">
        <v>1241</v>
      </c>
      <c r="C111" s="6644"/>
      <c r="D111" s="633"/>
      <c r="E111" s="6636" t="s">
        <v>1242</v>
      </c>
      <c r="F111" s="6636"/>
      <c r="G111" s="633"/>
      <c r="H111" s="6646" t="s">
        <v>1243</v>
      </c>
      <c r="I111" s="6646"/>
      <c r="J111" s="633"/>
      <c r="K111" s="6648" t="s">
        <v>1244</v>
      </c>
      <c r="L111" s="6648"/>
      <c r="M111" s="633"/>
      <c r="N111" s="633"/>
      <c r="O111" s="633"/>
      <c r="P111" s="633"/>
      <c r="Q111" s="633"/>
      <c r="R111" s="633"/>
      <c r="S111" s="633"/>
      <c r="T111" s="6657" t="s">
        <v>1245</v>
      </c>
      <c r="U111" s="6657"/>
      <c r="V111" s="633"/>
      <c r="W111" s="6653" t="s">
        <v>1246</v>
      </c>
      <c r="X111" s="6653"/>
      <c r="Y111" s="633"/>
      <c r="Z111" s="633"/>
      <c r="AA111" s="633"/>
      <c r="AB111" s="227"/>
      <c r="AC111" s="633"/>
      <c r="AD111" s="633"/>
      <c r="AE111" s="227"/>
      <c r="AF111" s="633"/>
      <c r="AG111" s="633"/>
      <c r="AH111" s="227"/>
      <c r="AI111" s="633"/>
      <c r="AJ111" s="633"/>
      <c r="AK111" s="633"/>
      <c r="AL111" s="633"/>
      <c r="AM111" s="633"/>
      <c r="AN111" s="633"/>
      <c r="AO111" s="633"/>
      <c r="AP111" s="633"/>
      <c r="AQ111" s="633"/>
      <c r="AR111" s="6644"/>
      <c r="AS111" s="6644"/>
      <c r="AU111" s="6636" t="s">
        <v>2296</v>
      </c>
      <c r="AV111" s="6636"/>
      <c r="AX111" s="6646" t="s">
        <v>8853</v>
      </c>
      <c r="AY111" s="6646"/>
      <c r="BA111" s="6648" t="s">
        <v>2297</v>
      </c>
      <c r="BB111" s="6648"/>
      <c r="BD111"/>
      <c r="BE111"/>
      <c r="BG111"/>
      <c r="BH111"/>
      <c r="BJ111" s="6657" t="s">
        <v>2298</v>
      </c>
      <c r="BK111" s="6657"/>
      <c r="BM111" s="6653" t="s">
        <v>2299</v>
      </c>
      <c r="BN111" s="6653"/>
      <c r="BP111"/>
      <c r="BQ111"/>
      <c r="BS111"/>
      <c r="BT111"/>
      <c r="BV111"/>
      <c r="BW111"/>
      <c r="BX111"/>
      <c r="BY111"/>
      <c r="BZ111"/>
      <c r="CA111" s="6644"/>
      <c r="CB111" s="6644"/>
      <c r="CD111" s="6636" t="s">
        <v>2300</v>
      </c>
      <c r="CE111" s="6636"/>
      <c r="CG111" s="6646" t="s">
        <v>2301</v>
      </c>
      <c r="CH111" s="6646"/>
      <c r="CJ111" s="6648" t="s">
        <v>2302</v>
      </c>
      <c r="CK111" s="6648"/>
      <c r="CM111"/>
      <c r="CN111"/>
      <c r="CP111"/>
      <c r="CQ111"/>
      <c r="CS111" s="6657" t="s">
        <v>2303</v>
      </c>
      <c r="CT111" s="6657"/>
      <c r="CV111" s="6653" t="s">
        <v>2304</v>
      </c>
      <c r="CW111" s="6653"/>
      <c r="CY111"/>
      <c r="CZ111"/>
      <c r="DB111"/>
      <c r="DC111"/>
      <c r="DE111"/>
      <c r="DF111"/>
      <c r="DH111"/>
      <c r="DI111"/>
      <c r="DJ111" s="3">
        <v>1</v>
      </c>
    </row>
    <row r="112" spans="2:114" s="627" customFormat="1" ht="18" customHeight="1">
      <c r="B112" s="6645"/>
      <c r="C112" s="6645"/>
      <c r="D112" s="633"/>
      <c r="E112" s="6637"/>
      <c r="F112" s="6637"/>
      <c r="G112" s="633"/>
      <c r="H112" s="6647"/>
      <c r="I112" s="6647"/>
      <c r="J112" s="633"/>
      <c r="K112" s="6649"/>
      <c r="L112" s="6649"/>
      <c r="M112" s="633"/>
      <c r="N112" s="633"/>
      <c r="O112" s="633"/>
      <c r="P112" s="633"/>
      <c r="Q112" s="633"/>
      <c r="R112" s="633"/>
      <c r="S112" s="633"/>
      <c r="T112" s="6626"/>
      <c r="U112" s="6626"/>
      <c r="V112" s="633"/>
      <c r="W112" s="6624"/>
      <c r="X112" s="6624"/>
      <c r="Y112" s="633"/>
      <c r="Z112" s="633"/>
      <c r="AA112" s="633"/>
      <c r="AB112" s="227"/>
      <c r="AC112" s="633"/>
      <c r="AD112" s="633"/>
      <c r="AE112" s="227"/>
      <c r="AF112" s="633"/>
      <c r="AG112" s="633"/>
      <c r="AH112" s="227"/>
      <c r="AI112" s="633"/>
      <c r="AJ112" s="633"/>
      <c r="AK112" s="633"/>
      <c r="AL112" s="633"/>
      <c r="AM112" s="633"/>
      <c r="AN112" s="633"/>
      <c r="AO112" s="633"/>
      <c r="AP112" s="633"/>
      <c r="AQ112" s="633"/>
      <c r="AR112" s="6645"/>
      <c r="AS112" s="6645"/>
      <c r="AU112" s="6637" t="s">
        <v>114</v>
      </c>
      <c r="AV112" s="6637"/>
      <c r="AX112" s="6647" t="s">
        <v>114</v>
      </c>
      <c r="AY112" s="6647"/>
      <c r="BA112" s="6649" t="s">
        <v>114</v>
      </c>
      <c r="BB112" s="6649"/>
      <c r="BD112"/>
      <c r="BE112"/>
      <c r="BG112"/>
      <c r="BH112"/>
      <c r="BJ112" s="6626" t="s">
        <v>114</v>
      </c>
      <c r="BK112" s="6626"/>
      <c r="BM112" s="6624" t="s">
        <v>114</v>
      </c>
      <c r="BN112" s="6624"/>
      <c r="BP112"/>
      <c r="BQ112"/>
      <c r="BS112"/>
      <c r="BT112"/>
      <c r="BV112"/>
      <c r="BW112"/>
      <c r="BX112"/>
      <c r="BY112"/>
      <c r="BZ112"/>
      <c r="CA112" s="6645"/>
      <c r="CB112" s="6645"/>
      <c r="CD112" s="6637" t="s">
        <v>114</v>
      </c>
      <c r="CE112" s="6637"/>
      <c r="CG112" s="6647" t="s">
        <v>114</v>
      </c>
      <c r="CH112" s="6647"/>
      <c r="CJ112" s="6649" t="s">
        <v>114</v>
      </c>
      <c r="CK112" s="6649"/>
      <c r="CM112"/>
      <c r="CN112"/>
      <c r="CP112"/>
      <c r="CQ112"/>
      <c r="CS112" s="6626" t="s">
        <v>114</v>
      </c>
      <c r="CT112" s="6626"/>
      <c r="CV112" s="6624" t="s">
        <v>114</v>
      </c>
      <c r="CW112" s="6624"/>
      <c r="CY112"/>
      <c r="CZ112"/>
      <c r="DB112"/>
      <c r="DC112"/>
      <c r="DE112"/>
      <c r="DF112"/>
      <c r="DH112"/>
      <c r="DI112"/>
      <c r="DJ112" s="3">
        <v>1</v>
      </c>
    </row>
    <row r="113" spans="2:114" s="627" customFormat="1" ht="18" customHeight="1" thickBot="1">
      <c r="B113" s="633"/>
      <c r="C113" s="633"/>
      <c r="D113" s="633"/>
      <c r="E113" s="633"/>
      <c r="F113" s="633"/>
      <c r="G113" s="633"/>
      <c r="H113"/>
      <c r="I113"/>
      <c r="J113" s="633"/>
      <c r="K113"/>
      <c r="L113"/>
      <c r="M113" s="633"/>
      <c r="N113" s="633"/>
      <c r="O113" s="633"/>
      <c r="P113" s="633"/>
      <c r="Q113" s="633"/>
      <c r="R113" s="633"/>
      <c r="S113" s="633"/>
      <c r="T113" s="633"/>
      <c r="U113" s="633"/>
      <c r="V113" s="633"/>
      <c r="W113" s="633"/>
      <c r="X113" s="633"/>
      <c r="Y113" s="633"/>
      <c r="Z113" s="633"/>
      <c r="AA113" s="633"/>
      <c r="AB113" s="227"/>
      <c r="AC113" s="633"/>
      <c r="AD113" s="633"/>
      <c r="AE113" s="227"/>
      <c r="AF113" s="633"/>
      <c r="AG113" s="633"/>
      <c r="AH113" s="227"/>
      <c r="AI113" s="633"/>
      <c r="AJ113" s="633"/>
      <c r="AK113" s="633"/>
      <c r="AL113" s="633"/>
      <c r="AM113" s="633"/>
      <c r="AN113" s="633"/>
      <c r="AO113" s="633"/>
      <c r="AP113" s="633"/>
      <c r="AQ113" s="633"/>
      <c r="AR113"/>
      <c r="AS113"/>
      <c r="AU113" s="633" t="s">
        <v>114</v>
      </c>
      <c r="AV113" s="633"/>
      <c r="AX113" t="s">
        <v>114</v>
      </c>
      <c r="AY113"/>
      <c r="BA113" t="s">
        <v>114</v>
      </c>
      <c r="BB113"/>
      <c r="BD113"/>
      <c r="BE113"/>
      <c r="BG113"/>
      <c r="BH113"/>
      <c r="BJ113" s="633" t="s">
        <v>114</v>
      </c>
      <c r="BK113" s="633"/>
      <c r="BM113" s="633" t="s">
        <v>114</v>
      </c>
      <c r="BN113" s="633"/>
      <c r="BP113"/>
      <c r="BQ113"/>
      <c r="BS113"/>
      <c r="BT113"/>
      <c r="BV113"/>
      <c r="BW113"/>
      <c r="BX113"/>
      <c r="BY113"/>
      <c r="BZ113"/>
      <c r="CA113"/>
      <c r="CB113"/>
      <c r="CD113" s="633" t="s">
        <v>114</v>
      </c>
      <c r="CE113" s="633"/>
      <c r="CG113" t="s">
        <v>114</v>
      </c>
      <c r="CH113"/>
      <c r="CJ113" t="s">
        <v>114</v>
      </c>
      <c r="CK113"/>
      <c r="CM113"/>
      <c r="CN113"/>
      <c r="CP113"/>
      <c r="CQ113"/>
      <c r="CS113" s="648" t="s">
        <v>114</v>
      </c>
      <c r="CT113" s="648"/>
      <c r="CV113" s="633" t="s">
        <v>114</v>
      </c>
      <c r="CW113" s="633"/>
      <c r="CY113"/>
      <c r="CZ113"/>
      <c r="DB113"/>
      <c r="DC113"/>
      <c r="DE113" s="633"/>
      <c r="DF113" s="633"/>
      <c r="DH113"/>
      <c r="DI113"/>
      <c r="DJ113" s="3">
        <v>1</v>
      </c>
    </row>
    <row r="114" spans="2:114" s="627" customFormat="1" ht="18" customHeight="1">
      <c r="B114" s="6644" t="s">
        <v>1247</v>
      </c>
      <c r="C114" s="6644"/>
      <c r="D114" s="633"/>
      <c r="E114" s="6636" t="s">
        <v>1248</v>
      </c>
      <c r="F114" s="6636"/>
      <c r="G114" s="633"/>
      <c r="H114" s="6646" t="s">
        <v>1249</v>
      </c>
      <c r="I114" s="6646"/>
      <c r="J114" s="633"/>
      <c r="K114" s="6648" t="s">
        <v>1250</v>
      </c>
      <c r="L114" s="6648"/>
      <c r="M114" s="633"/>
      <c r="N114" s="633"/>
      <c r="O114" s="633"/>
      <c r="P114" s="633"/>
      <c r="Q114" s="633"/>
      <c r="R114" s="633"/>
      <c r="S114" s="633"/>
      <c r="T114" s="6657" t="s">
        <v>1251</v>
      </c>
      <c r="U114" s="6657"/>
      <c r="V114" s="633"/>
      <c r="W114" s="6653" t="s">
        <v>1252</v>
      </c>
      <c r="X114" s="6653"/>
      <c r="Y114" s="633"/>
      <c r="Z114" s="633"/>
      <c r="AA114" s="633"/>
      <c r="AB114" s="227"/>
      <c r="AC114" s="633"/>
      <c r="AD114" s="633"/>
      <c r="AE114" s="227"/>
      <c r="AF114" s="633"/>
      <c r="AG114" s="633"/>
      <c r="AH114" s="227"/>
      <c r="AI114" s="633"/>
      <c r="AJ114" s="633"/>
      <c r="AK114" s="633"/>
      <c r="AL114" s="633"/>
      <c r="AM114" s="633"/>
      <c r="AN114" s="633"/>
      <c r="AO114" s="633"/>
      <c r="AP114" s="633"/>
      <c r="AQ114" s="633"/>
      <c r="AR114"/>
      <c r="AS114"/>
      <c r="AU114" s="6636" t="s">
        <v>2305</v>
      </c>
      <c r="AV114" s="6636"/>
      <c r="AX114" s="6646" t="s">
        <v>8826</v>
      </c>
      <c r="AY114" s="6646"/>
      <c r="BA114" s="6648" t="s">
        <v>2306</v>
      </c>
      <c r="BB114" s="6648"/>
      <c r="BD114"/>
      <c r="BE114"/>
      <c r="BG114"/>
      <c r="BH114"/>
      <c r="BJ114" s="6657" t="s">
        <v>2307</v>
      </c>
      <c r="BK114" s="6657"/>
      <c r="BM114" s="6653" t="s">
        <v>2308</v>
      </c>
      <c r="BN114" s="6653"/>
      <c r="BP114"/>
      <c r="BQ114"/>
      <c r="BS114"/>
      <c r="BT114"/>
      <c r="BV114"/>
      <c r="BW114"/>
      <c r="BX114"/>
      <c r="BY114"/>
      <c r="BZ114"/>
      <c r="CA114"/>
      <c r="CB114"/>
      <c r="CD114" s="6636" t="s">
        <v>2309</v>
      </c>
      <c r="CE114" s="6636"/>
      <c r="CG114" s="6646" t="s">
        <v>1813</v>
      </c>
      <c r="CH114" s="6646"/>
      <c r="CJ114" s="6648" t="s">
        <v>2310</v>
      </c>
      <c r="CK114" s="6648"/>
      <c r="CM114"/>
      <c r="CN114"/>
      <c r="CP114"/>
      <c r="CQ114"/>
      <c r="CS114" s="6657" t="s">
        <v>2311</v>
      </c>
      <c r="CT114" s="6657"/>
      <c r="CV114" s="6653" t="s">
        <v>2312</v>
      </c>
      <c r="CW114" s="6653"/>
      <c r="CY114"/>
      <c r="CZ114"/>
      <c r="DB114"/>
      <c r="DC114"/>
      <c r="DE114"/>
      <c r="DF114"/>
      <c r="DH114"/>
      <c r="DI114"/>
      <c r="DJ114" s="3">
        <v>1</v>
      </c>
    </row>
    <row r="115" spans="2:114" s="627" customFormat="1" ht="18" customHeight="1">
      <c r="B115" s="6645"/>
      <c r="C115" s="6645"/>
      <c r="D115" s="633"/>
      <c r="E115" s="6637"/>
      <c r="F115" s="6637"/>
      <c r="G115" s="633"/>
      <c r="H115" s="6647"/>
      <c r="I115" s="6647"/>
      <c r="J115" s="633"/>
      <c r="K115" s="6649"/>
      <c r="L115" s="6649"/>
      <c r="M115" s="633"/>
      <c r="N115" s="633"/>
      <c r="O115" s="633"/>
      <c r="P115" s="633"/>
      <c r="Q115" s="633"/>
      <c r="R115" s="633"/>
      <c r="S115" s="633"/>
      <c r="T115" s="6626"/>
      <c r="U115" s="6626"/>
      <c r="V115" s="633"/>
      <c r="W115" s="6624"/>
      <c r="X115" s="6624"/>
      <c r="Y115" s="633"/>
      <c r="Z115" s="633"/>
      <c r="AA115" s="633"/>
      <c r="AB115" s="227"/>
      <c r="AC115" s="633"/>
      <c r="AD115" s="633"/>
      <c r="AE115" s="227"/>
      <c r="AF115" s="633"/>
      <c r="AG115" s="633"/>
      <c r="AH115" s="227"/>
      <c r="AI115" s="633"/>
      <c r="AJ115" s="633"/>
      <c r="AK115" s="633"/>
      <c r="AL115" s="633"/>
      <c r="AM115" s="633"/>
      <c r="AN115" s="633"/>
      <c r="AO115" s="633"/>
      <c r="AP115" s="633"/>
      <c r="AQ115" s="633"/>
      <c r="AR115"/>
      <c r="AS115"/>
      <c r="AU115" s="6637" t="s">
        <v>114</v>
      </c>
      <c r="AV115" s="6637"/>
      <c r="AX115" s="6647" t="s">
        <v>114</v>
      </c>
      <c r="AY115" s="6647"/>
      <c r="BA115" s="6649" t="s">
        <v>114</v>
      </c>
      <c r="BB115" s="6649"/>
      <c r="BD115"/>
      <c r="BE115"/>
      <c r="BG115"/>
      <c r="BH115"/>
      <c r="BJ115" s="6626" t="s">
        <v>114</v>
      </c>
      <c r="BK115" s="6626"/>
      <c r="BM115" s="6624" t="s">
        <v>114</v>
      </c>
      <c r="BN115" s="6624"/>
      <c r="BP115"/>
      <c r="BQ115"/>
      <c r="BS115"/>
      <c r="BT115"/>
      <c r="BV115"/>
      <c r="BW115"/>
      <c r="BX115"/>
      <c r="BY115"/>
      <c r="BZ115"/>
      <c r="CA115"/>
      <c r="CB115"/>
      <c r="CD115" s="6637" t="s">
        <v>114</v>
      </c>
      <c r="CE115" s="6637"/>
      <c r="CG115" s="6647" t="s">
        <v>114</v>
      </c>
      <c r="CH115" s="6647"/>
      <c r="CJ115" s="6649" t="s">
        <v>114</v>
      </c>
      <c r="CK115" s="6649"/>
      <c r="CM115"/>
      <c r="CN115"/>
      <c r="CP115"/>
      <c r="CQ115"/>
      <c r="CS115" s="6626" t="s">
        <v>114</v>
      </c>
      <c r="CT115" s="6626"/>
      <c r="CV115" s="6624" t="s">
        <v>114</v>
      </c>
      <c r="CW115" s="6624"/>
      <c r="CY115"/>
      <c r="CZ115"/>
      <c r="DB115"/>
      <c r="DC115"/>
      <c r="DE115"/>
      <c r="DF115"/>
      <c r="DH115"/>
      <c r="DI115"/>
      <c r="DJ115" s="3">
        <v>1</v>
      </c>
    </row>
    <row r="116" spans="2:114" s="627" customFormat="1" ht="18" customHeight="1" thickBot="1">
      <c r="B116" s="633"/>
      <c r="C116" s="633"/>
      <c r="D116" s="633"/>
      <c r="E116" s="633"/>
      <c r="F116" s="633"/>
      <c r="G116" s="633"/>
      <c r="H116"/>
      <c r="I116"/>
      <c r="J116" s="633"/>
      <c r="K116"/>
      <c r="L116"/>
      <c r="M116" s="633"/>
      <c r="N116" s="633"/>
      <c r="O116" s="633"/>
      <c r="P116" s="633"/>
      <c r="Q116" s="633"/>
      <c r="R116" s="633"/>
      <c r="S116" s="633"/>
      <c r="T116" s="633"/>
      <c r="U116" s="633"/>
      <c r="V116" s="633"/>
      <c r="W116" s="633"/>
      <c r="X116" s="633"/>
      <c r="Y116" s="633"/>
      <c r="Z116" s="633"/>
      <c r="AA116" s="633"/>
      <c r="AB116" s="227"/>
      <c r="AC116" s="633"/>
      <c r="AD116" s="633"/>
      <c r="AE116" s="227"/>
      <c r="AF116" s="633"/>
      <c r="AG116" s="633"/>
      <c r="AH116" s="227"/>
      <c r="AI116" s="633"/>
      <c r="AJ116" s="633"/>
      <c r="AK116" s="633"/>
      <c r="AL116" s="633"/>
      <c r="AM116" s="633"/>
      <c r="AN116" s="633"/>
      <c r="AO116" s="633"/>
      <c r="AP116" s="633"/>
      <c r="AQ116" s="633"/>
      <c r="AR116"/>
      <c r="AS116"/>
      <c r="AU116" s="633" t="s">
        <v>114</v>
      </c>
      <c r="AV116" s="633"/>
      <c r="AX116" t="s">
        <v>114</v>
      </c>
      <c r="AY116"/>
      <c r="BA116" t="s">
        <v>114</v>
      </c>
      <c r="BB116"/>
      <c r="BD116"/>
      <c r="BE116"/>
      <c r="BG116"/>
      <c r="BH116"/>
      <c r="BJ116" s="633" t="s">
        <v>114</v>
      </c>
      <c r="BK116" s="633"/>
      <c r="BM116" s="633" t="s">
        <v>114</v>
      </c>
      <c r="BN116" s="633"/>
      <c r="BP116"/>
      <c r="BQ116"/>
      <c r="BS116"/>
      <c r="BT116"/>
      <c r="BV116"/>
      <c r="BW116"/>
      <c r="BX116"/>
      <c r="BY116"/>
      <c r="BZ116"/>
      <c r="CA116"/>
      <c r="CB116"/>
      <c r="CD116" s="633" t="s">
        <v>114</v>
      </c>
      <c r="CE116" s="633"/>
      <c r="CG116"/>
      <c r="CH116"/>
      <c r="CJ116" t="s">
        <v>114</v>
      </c>
      <c r="CK116"/>
      <c r="CM116"/>
      <c r="CN116"/>
      <c r="CP116"/>
      <c r="CQ116"/>
      <c r="CS116" s="648" t="s">
        <v>114</v>
      </c>
      <c r="CT116" s="648"/>
      <c r="CV116" s="648" t="s">
        <v>114</v>
      </c>
      <c r="CW116" s="648"/>
      <c r="CY116"/>
      <c r="CZ116"/>
      <c r="DB116"/>
      <c r="DC116"/>
      <c r="DE116"/>
      <c r="DF116"/>
      <c r="DH116"/>
      <c r="DI116"/>
      <c r="DJ116" s="3">
        <v>1</v>
      </c>
    </row>
    <row r="117" spans="2:114" s="627" customFormat="1" ht="18" customHeight="1">
      <c r="B117" s="6644"/>
      <c r="C117" s="6644"/>
      <c r="D117" s="633"/>
      <c r="E117" s="6636" t="s">
        <v>1253</v>
      </c>
      <c r="F117" s="6636"/>
      <c r="G117" s="633"/>
      <c r="H117" s="6646" t="s">
        <v>962</v>
      </c>
      <c r="I117" s="6646"/>
      <c r="J117" s="633"/>
      <c r="K117" s="6648" t="s">
        <v>1254</v>
      </c>
      <c r="L117" s="6648"/>
      <c r="M117" s="633"/>
      <c r="N117" s="633"/>
      <c r="O117" s="633"/>
      <c r="P117" s="633"/>
      <c r="Q117" s="633"/>
      <c r="R117" s="633"/>
      <c r="S117" s="633"/>
      <c r="T117" s="6657" t="s">
        <v>1255</v>
      </c>
      <c r="U117" s="6657"/>
      <c r="V117" s="633"/>
      <c r="W117" s="6653" t="s">
        <v>1256</v>
      </c>
      <c r="X117" s="6653"/>
      <c r="Y117" s="633"/>
      <c r="Z117" s="633"/>
      <c r="AA117" s="633"/>
      <c r="AB117" s="227"/>
      <c r="AC117" s="633"/>
      <c r="AD117" s="633"/>
      <c r="AE117" s="227"/>
      <c r="AF117" s="633"/>
      <c r="AG117" s="633"/>
      <c r="AH117" s="227"/>
      <c r="AI117" s="633"/>
      <c r="AJ117" s="633"/>
      <c r="AK117" s="633"/>
      <c r="AL117" s="633"/>
      <c r="AM117" s="633"/>
      <c r="AN117" s="633"/>
      <c r="AO117" s="633"/>
      <c r="AP117" s="633"/>
      <c r="AQ117" s="633"/>
      <c r="AR117"/>
      <c r="AS117"/>
      <c r="AU117" s="6636" t="s">
        <v>2313</v>
      </c>
      <c r="AV117" s="6636"/>
      <c r="AX117" s="6646"/>
      <c r="AY117" s="6646"/>
      <c r="BA117" s="6648" t="s">
        <v>2314</v>
      </c>
      <c r="BB117" s="6648"/>
      <c r="BD117"/>
      <c r="BE117"/>
      <c r="BG117"/>
      <c r="BH117"/>
      <c r="BJ117" s="6657" t="s">
        <v>2315</v>
      </c>
      <c r="BK117" s="6657"/>
      <c r="BM117" s="6653" t="s">
        <v>2316</v>
      </c>
      <c r="BN117" s="6653"/>
      <c r="BP117"/>
      <c r="BQ117"/>
      <c r="BS117"/>
      <c r="BT117"/>
      <c r="BV117"/>
      <c r="BW117"/>
      <c r="BX117"/>
      <c r="BY117"/>
      <c r="BZ117"/>
      <c r="CA117"/>
      <c r="CB117"/>
      <c r="CD117" s="6636" t="s">
        <v>2317</v>
      </c>
      <c r="CE117" s="6636"/>
      <c r="CG117" s="6646"/>
      <c r="CH117" s="6646"/>
      <c r="CJ117" s="6648" t="s">
        <v>2318</v>
      </c>
      <c r="CK117" s="6648"/>
      <c r="CM117"/>
      <c r="CN117"/>
      <c r="CP117"/>
      <c r="CQ117"/>
      <c r="CS117" s="6657" t="s">
        <v>2319</v>
      </c>
      <c r="CT117" s="6657"/>
      <c r="CV117" s="6653" t="s">
        <v>2320</v>
      </c>
      <c r="CW117" s="6653"/>
      <c r="CY117"/>
      <c r="CZ117"/>
      <c r="DB117"/>
      <c r="DC117"/>
      <c r="DE117"/>
      <c r="DF117"/>
      <c r="DH117"/>
      <c r="DI117"/>
      <c r="DJ117" s="3">
        <v>1</v>
      </c>
    </row>
    <row r="118" spans="2:114" s="627" customFormat="1" ht="18" customHeight="1">
      <c r="B118" s="6645"/>
      <c r="C118" s="6645"/>
      <c r="D118" s="633"/>
      <c r="E118" s="6637"/>
      <c r="F118" s="6637"/>
      <c r="G118" s="633"/>
      <c r="H118" s="6647"/>
      <c r="I118" s="6647"/>
      <c r="J118" s="633"/>
      <c r="K118" s="6649"/>
      <c r="L118" s="6649"/>
      <c r="M118" s="633"/>
      <c r="N118" s="633"/>
      <c r="O118" s="633"/>
      <c r="P118" s="633"/>
      <c r="Q118" s="633"/>
      <c r="R118" s="633"/>
      <c r="S118" s="633"/>
      <c r="T118" s="6626"/>
      <c r="U118" s="6626"/>
      <c r="V118" s="633"/>
      <c r="W118" s="6624"/>
      <c r="X118" s="6624"/>
      <c r="Y118" s="633"/>
      <c r="Z118" s="633"/>
      <c r="AA118" s="633"/>
      <c r="AB118" s="227"/>
      <c r="AC118" s="633"/>
      <c r="AD118" s="633"/>
      <c r="AE118" s="227"/>
      <c r="AF118" s="633"/>
      <c r="AG118" s="633"/>
      <c r="AH118" s="227"/>
      <c r="AI118" s="633"/>
      <c r="AJ118" s="633"/>
      <c r="AK118" s="633"/>
      <c r="AL118" s="633"/>
      <c r="AM118" s="633"/>
      <c r="AN118" s="633"/>
      <c r="AO118" s="633"/>
      <c r="AP118" s="633"/>
      <c r="AQ118" s="633"/>
      <c r="AR118"/>
      <c r="AS118"/>
      <c r="AU118" s="6637" t="s">
        <v>114</v>
      </c>
      <c r="AV118" s="6637"/>
      <c r="AX118" s="6647"/>
      <c r="AY118" s="6647"/>
      <c r="BA118" s="6649" t="s">
        <v>114</v>
      </c>
      <c r="BB118" s="6649"/>
      <c r="BD118"/>
      <c r="BE118"/>
      <c r="BG118"/>
      <c r="BH118"/>
      <c r="BJ118" s="6626" t="s">
        <v>114</v>
      </c>
      <c r="BK118" s="6626"/>
      <c r="BM118" s="6624" t="s">
        <v>114</v>
      </c>
      <c r="BN118" s="6624"/>
      <c r="BP118"/>
      <c r="BQ118"/>
      <c r="BS118"/>
      <c r="BT118"/>
      <c r="BV118"/>
      <c r="BW118"/>
      <c r="BX118"/>
      <c r="BY118"/>
      <c r="BZ118"/>
      <c r="CA118"/>
      <c r="CB118"/>
      <c r="CD118" s="6637" t="s">
        <v>114</v>
      </c>
      <c r="CE118" s="6637"/>
      <c r="CG118" s="6647"/>
      <c r="CH118" s="6647"/>
      <c r="CJ118" s="6649" t="s">
        <v>114</v>
      </c>
      <c r="CK118" s="6649"/>
      <c r="CM118"/>
      <c r="CN118"/>
      <c r="CP118"/>
      <c r="CQ118"/>
      <c r="CS118" s="6626" t="s">
        <v>114</v>
      </c>
      <c r="CT118" s="6626"/>
      <c r="CV118" s="6624" t="s">
        <v>114</v>
      </c>
      <c r="CW118" s="6624"/>
      <c r="CY118"/>
      <c r="CZ118"/>
      <c r="DB118"/>
      <c r="DC118"/>
      <c r="DE118"/>
      <c r="DF118"/>
      <c r="DH118"/>
      <c r="DI118"/>
      <c r="DJ118" s="3">
        <v>1</v>
      </c>
    </row>
    <row r="119" spans="2:114" s="627" customFormat="1" ht="18" customHeight="1" thickBot="1">
      <c r="B119" s="633"/>
      <c r="C119" s="633"/>
      <c r="D119" s="633"/>
      <c r="E119" s="633"/>
      <c r="F119" s="633"/>
      <c r="G119" s="633"/>
      <c r="H119" s="633"/>
      <c r="I119" s="633"/>
      <c r="J119" s="633"/>
      <c r="K119"/>
      <c r="L119"/>
      <c r="M119" s="633"/>
      <c r="N119" s="633"/>
      <c r="O119" s="633"/>
      <c r="P119" s="633"/>
      <c r="Q119" s="633"/>
      <c r="R119" s="633"/>
      <c r="S119" s="633"/>
      <c r="T119" s="648">
        <v>1</v>
      </c>
      <c r="U119" s="648">
        <v>1</v>
      </c>
      <c r="V119" s="633"/>
      <c r="W119" s="648">
        <v>1</v>
      </c>
      <c r="X119" s="648">
        <v>1</v>
      </c>
      <c r="Y119" s="633"/>
      <c r="Z119" s="633"/>
      <c r="AA119" s="633"/>
      <c r="AB119" s="227"/>
      <c r="AC119" s="633"/>
      <c r="AD119" s="633"/>
      <c r="AE119" s="227"/>
      <c r="AF119" s="633"/>
      <c r="AG119" s="633"/>
      <c r="AH119" s="227"/>
      <c r="AI119" s="633"/>
      <c r="AJ119" s="633"/>
      <c r="AK119" s="633"/>
      <c r="AL119" s="633"/>
      <c r="AM119" s="633"/>
      <c r="AN119" s="633"/>
      <c r="AO119" s="633"/>
      <c r="AP119" s="633"/>
      <c r="AQ119" s="633"/>
      <c r="AR119"/>
      <c r="AS119"/>
      <c r="AU119" s="633" t="s">
        <v>114</v>
      </c>
      <c r="AV119" s="633"/>
      <c r="AX119"/>
      <c r="AY119"/>
      <c r="BA119" t="s">
        <v>114</v>
      </c>
      <c r="BB119"/>
      <c r="BD119"/>
      <c r="BE119"/>
      <c r="BG119"/>
      <c r="BH119"/>
      <c r="BJ119" s="648" t="s">
        <v>114</v>
      </c>
      <c r="BK119" s="648"/>
      <c r="BM119" s="633" t="s">
        <v>114</v>
      </c>
      <c r="BN119" s="633"/>
      <c r="BP119"/>
      <c r="BQ119"/>
      <c r="BS119"/>
      <c r="BT119"/>
      <c r="BV119"/>
      <c r="BW119"/>
      <c r="BX119"/>
      <c r="BY119"/>
      <c r="BZ119"/>
      <c r="CA119"/>
      <c r="CB119"/>
      <c r="CD119" s="633" t="s">
        <v>114</v>
      </c>
      <c r="CE119" s="633"/>
      <c r="CG119"/>
      <c r="CH119"/>
      <c r="CJ119" s="633" t="s">
        <v>114</v>
      </c>
      <c r="CK119" s="633"/>
      <c r="CM119"/>
      <c r="CN119"/>
      <c r="CP119"/>
      <c r="CQ119"/>
      <c r="CS119" s="648" t="s">
        <v>114</v>
      </c>
      <c r="CT119" s="648"/>
      <c r="CV119" s="648" t="s">
        <v>114</v>
      </c>
      <c r="CW119" s="648"/>
      <c r="CY119"/>
      <c r="CZ119"/>
      <c r="DB119"/>
      <c r="DC119"/>
      <c r="DE119"/>
      <c r="DF119"/>
      <c r="DH119"/>
      <c r="DI119"/>
      <c r="DJ119" s="3">
        <v>1</v>
      </c>
    </row>
    <row r="120" spans="2:114" s="627" customFormat="1" ht="18" customHeight="1">
      <c r="B120" s="633"/>
      <c r="C120" s="633"/>
      <c r="D120" s="633"/>
      <c r="E120" s="6636" t="s">
        <v>1257</v>
      </c>
      <c r="F120" s="6636"/>
      <c r="G120" s="633"/>
      <c r="H120" s="6646"/>
      <c r="I120" s="6646"/>
      <c r="J120" s="633"/>
      <c r="K120" s="6648" t="s">
        <v>963</v>
      </c>
      <c r="L120" s="6648"/>
      <c r="M120" s="633"/>
      <c r="N120" s="633"/>
      <c r="O120" s="633"/>
      <c r="P120" s="633"/>
      <c r="Q120" s="633"/>
      <c r="R120" s="633"/>
      <c r="S120" s="633"/>
      <c r="T120" s="6657" t="s">
        <v>1258</v>
      </c>
      <c r="U120" s="6657"/>
      <c r="V120" s="633"/>
      <c r="W120" s="6653" t="s">
        <v>1259</v>
      </c>
      <c r="X120" s="6653"/>
      <c r="Y120" s="633"/>
      <c r="Z120" s="633"/>
      <c r="AA120" s="633"/>
      <c r="AB120" s="227"/>
      <c r="AC120" s="633"/>
      <c r="AD120" s="633"/>
      <c r="AE120" s="227"/>
      <c r="AF120" s="633"/>
      <c r="AG120" s="633"/>
      <c r="AH120" s="227"/>
      <c r="AI120" s="633"/>
      <c r="AJ120" s="633"/>
      <c r="AK120" s="633"/>
      <c r="AL120" s="633"/>
      <c r="AM120" s="633"/>
      <c r="AN120" s="633"/>
      <c r="AO120" s="633"/>
      <c r="AP120" s="633"/>
      <c r="AQ120" s="633"/>
      <c r="AR120"/>
      <c r="AS120"/>
      <c r="AU120" s="6636" t="s">
        <v>2321</v>
      </c>
      <c r="AV120" s="6636"/>
      <c r="AX120"/>
      <c r="AY120"/>
      <c r="BA120" s="6648" t="s">
        <v>1822</v>
      </c>
      <c r="BB120" s="6648"/>
      <c r="BD120"/>
      <c r="BE120"/>
      <c r="BG120"/>
      <c r="BH120"/>
      <c r="BJ120" s="6657" t="s">
        <v>2322</v>
      </c>
      <c r="BK120" s="6657"/>
      <c r="BM120" s="6653" t="s">
        <v>2323</v>
      </c>
      <c r="BN120" s="6653"/>
      <c r="BP120"/>
      <c r="BQ120"/>
      <c r="BS120"/>
      <c r="BT120"/>
      <c r="BV120"/>
      <c r="BW120"/>
      <c r="BX120"/>
      <c r="BY120"/>
      <c r="BZ120"/>
      <c r="CA120"/>
      <c r="CB120"/>
      <c r="CD120" s="6636" t="s">
        <v>2324</v>
      </c>
      <c r="CE120" s="6636"/>
      <c r="CG120"/>
      <c r="CH120"/>
      <c r="CJ120" s="6648" t="s">
        <v>1834</v>
      </c>
      <c r="CK120" s="6648"/>
      <c r="CM120"/>
      <c r="CN120"/>
      <c r="CP120"/>
      <c r="CQ120"/>
      <c r="CS120" s="6657" t="s">
        <v>2325</v>
      </c>
      <c r="CT120" s="6657"/>
      <c r="CV120" s="6653" t="s">
        <v>2326</v>
      </c>
      <c r="CW120" s="6653"/>
      <c r="CY120"/>
      <c r="CZ120"/>
      <c r="DB120"/>
      <c r="DC120"/>
      <c r="DE120"/>
      <c r="DF120"/>
      <c r="DH120"/>
      <c r="DI120"/>
      <c r="DJ120" s="3">
        <v>1</v>
      </c>
    </row>
    <row r="121" spans="2:114" s="627" customFormat="1" ht="18" customHeight="1">
      <c r="B121" s="633"/>
      <c r="C121" s="633"/>
      <c r="D121" s="633"/>
      <c r="E121" s="6637"/>
      <c r="F121" s="6637"/>
      <c r="G121" s="633"/>
      <c r="H121" s="6647"/>
      <c r="I121" s="6647"/>
      <c r="J121" s="633"/>
      <c r="K121" s="6649"/>
      <c r="L121" s="6649"/>
      <c r="M121" s="633"/>
      <c r="N121" s="633"/>
      <c r="O121" s="633"/>
      <c r="P121" s="633"/>
      <c r="Q121" s="633"/>
      <c r="R121" s="633"/>
      <c r="S121" s="633"/>
      <c r="T121" s="6626"/>
      <c r="U121" s="6626"/>
      <c r="V121" s="633"/>
      <c r="W121" s="6624"/>
      <c r="X121" s="6624"/>
      <c r="Y121" s="633"/>
      <c r="Z121" s="633"/>
      <c r="AA121" s="633"/>
      <c r="AB121" s="227"/>
      <c r="AC121" s="633"/>
      <c r="AD121" s="633"/>
      <c r="AE121" s="227"/>
      <c r="AF121" s="633"/>
      <c r="AG121" s="633"/>
      <c r="AH121" s="227"/>
      <c r="AI121" s="633"/>
      <c r="AJ121" s="633"/>
      <c r="AK121" s="633"/>
      <c r="AL121" s="633"/>
      <c r="AM121" s="633"/>
      <c r="AN121" s="633"/>
      <c r="AO121" s="633"/>
      <c r="AP121" s="633"/>
      <c r="AQ121" s="633"/>
      <c r="AR121"/>
      <c r="AS121"/>
      <c r="AU121" s="6637" t="s">
        <v>114</v>
      </c>
      <c r="AV121" s="6637"/>
      <c r="AX121"/>
      <c r="AY121"/>
      <c r="BA121" s="6649" t="s">
        <v>114</v>
      </c>
      <c r="BB121" s="6649"/>
      <c r="BD121"/>
      <c r="BE121"/>
      <c r="BG121"/>
      <c r="BH121"/>
      <c r="BJ121" s="6626" t="s">
        <v>114</v>
      </c>
      <c r="BK121" s="6626"/>
      <c r="BM121" s="6624" t="s">
        <v>114</v>
      </c>
      <c r="BN121" s="6624"/>
      <c r="BP121"/>
      <c r="BQ121"/>
      <c r="BS121"/>
      <c r="BT121"/>
      <c r="BV121"/>
      <c r="BW121"/>
      <c r="BX121"/>
      <c r="BY121"/>
      <c r="BZ121"/>
      <c r="CA121"/>
      <c r="CB121"/>
      <c r="CD121" s="6637" t="s">
        <v>114</v>
      </c>
      <c r="CE121" s="6637"/>
      <c r="CG121"/>
      <c r="CH121"/>
      <c r="CJ121" s="6649" t="s">
        <v>114</v>
      </c>
      <c r="CK121" s="6649"/>
      <c r="CM121"/>
      <c r="CN121"/>
      <c r="CP121"/>
      <c r="CQ121"/>
      <c r="CS121" s="6626" t="s">
        <v>114</v>
      </c>
      <c r="CT121" s="6626"/>
      <c r="CV121" s="6624" t="s">
        <v>114</v>
      </c>
      <c r="CW121" s="6624"/>
      <c r="CY121"/>
      <c r="CZ121"/>
      <c r="DB121"/>
      <c r="DC121"/>
      <c r="DE121"/>
      <c r="DF121"/>
      <c r="DH121"/>
      <c r="DI121"/>
      <c r="DJ121" s="3">
        <v>1</v>
      </c>
    </row>
    <row r="122" spans="2:114" s="627" customFormat="1" ht="18" customHeight="1" thickBot="1">
      <c r="B122" s="633"/>
      <c r="C122" s="633"/>
      <c r="D122" s="633"/>
      <c r="E122" s="633"/>
      <c r="F122" s="633"/>
      <c r="G122" s="633"/>
      <c r="H122" s="633"/>
      <c r="I122" s="633"/>
      <c r="J122" s="633"/>
      <c r="K122" s="633"/>
      <c r="L122" s="633"/>
      <c r="M122" s="633"/>
      <c r="N122" s="633"/>
      <c r="O122" s="633"/>
      <c r="P122" s="633"/>
      <c r="Q122" s="633"/>
      <c r="R122" s="633"/>
      <c r="S122" s="633"/>
      <c r="T122" s="648">
        <v>1</v>
      </c>
      <c r="U122" s="648">
        <v>1</v>
      </c>
      <c r="V122" s="633"/>
      <c r="W122" s="648">
        <v>1</v>
      </c>
      <c r="X122" s="648">
        <v>1</v>
      </c>
      <c r="Y122" s="633"/>
      <c r="Z122" s="633"/>
      <c r="AA122" s="633"/>
      <c r="AB122" s="227"/>
      <c r="AC122" s="633"/>
      <c r="AD122" s="633"/>
      <c r="AE122" s="227"/>
      <c r="AF122" s="633"/>
      <c r="AG122" s="633"/>
      <c r="AH122" s="227"/>
      <c r="AI122" s="633"/>
      <c r="AJ122" s="633"/>
      <c r="AK122" s="633"/>
      <c r="AL122" s="633"/>
      <c r="AM122" s="633"/>
      <c r="AN122" s="633"/>
      <c r="AO122" s="633"/>
      <c r="AP122" s="633"/>
      <c r="AQ122" s="633"/>
      <c r="AR122"/>
      <c r="AS122"/>
      <c r="AU122" s="633" t="s">
        <v>114</v>
      </c>
      <c r="AV122" s="633"/>
      <c r="AX122"/>
      <c r="AY122"/>
      <c r="BA122" t="s">
        <v>114</v>
      </c>
      <c r="BB122"/>
      <c r="BD122"/>
      <c r="BE122"/>
      <c r="BG122"/>
      <c r="BH122"/>
      <c r="BJ122" s="648" t="s">
        <v>114</v>
      </c>
      <c r="BK122" s="648"/>
      <c r="BM122" s="648" t="s">
        <v>114</v>
      </c>
      <c r="BN122" s="648"/>
      <c r="BP122"/>
      <c r="BQ122"/>
      <c r="BS122"/>
      <c r="BT122"/>
      <c r="BV122"/>
      <c r="BW122"/>
      <c r="BX122"/>
      <c r="BY122"/>
      <c r="BZ122"/>
      <c r="CA122"/>
      <c r="CB122"/>
      <c r="CD122" s="633" t="s">
        <v>114</v>
      </c>
      <c r="CE122" s="633"/>
      <c r="CG122"/>
      <c r="CH122"/>
      <c r="CJ122"/>
      <c r="CK122"/>
      <c r="CM122"/>
      <c r="CN122"/>
      <c r="CP122"/>
      <c r="CQ122"/>
      <c r="CS122" s="648" t="s">
        <v>114</v>
      </c>
      <c r="CT122" s="648"/>
      <c r="CV122" s="648" t="s">
        <v>114</v>
      </c>
      <c r="CW122" s="648"/>
      <c r="CY122"/>
      <c r="CZ122"/>
      <c r="DB122"/>
      <c r="DC122"/>
      <c r="DE122"/>
      <c r="DF122"/>
      <c r="DH122"/>
      <c r="DI122"/>
      <c r="DJ122" s="3">
        <v>1</v>
      </c>
    </row>
    <row r="123" spans="2:114" s="627" customFormat="1" ht="18" customHeight="1">
      <c r="B123" s="633"/>
      <c r="C123" s="633"/>
      <c r="D123" s="633"/>
      <c r="E123" s="6636" t="s">
        <v>1260</v>
      </c>
      <c r="F123" s="6636"/>
      <c r="G123" s="633"/>
      <c r="H123" s="633"/>
      <c r="I123" s="633"/>
      <c r="J123" s="633"/>
      <c r="K123" s="6648"/>
      <c r="L123" s="6648"/>
      <c r="M123" s="633"/>
      <c r="N123" s="633"/>
      <c r="O123" s="633"/>
      <c r="P123" s="633"/>
      <c r="Q123" s="633"/>
      <c r="R123" s="633"/>
      <c r="S123" s="633"/>
      <c r="T123" s="6657" t="s">
        <v>1261</v>
      </c>
      <c r="U123" s="6657"/>
      <c r="V123" s="633"/>
      <c r="W123" s="6653" t="s">
        <v>1262</v>
      </c>
      <c r="X123" s="6653"/>
      <c r="Y123" s="633"/>
      <c r="Z123" s="633"/>
      <c r="AA123" s="633"/>
      <c r="AB123" s="227"/>
      <c r="AC123" s="633"/>
      <c r="AD123" s="633"/>
      <c r="AE123" s="227"/>
      <c r="AF123" s="633"/>
      <c r="AG123" s="633"/>
      <c r="AH123" s="227"/>
      <c r="AI123" s="633"/>
      <c r="AJ123" s="633"/>
      <c r="AK123" s="633"/>
      <c r="AL123" s="633"/>
      <c r="AM123" s="633"/>
      <c r="AN123" s="633"/>
      <c r="AO123" s="633"/>
      <c r="AP123" s="633"/>
      <c r="AQ123" s="633"/>
      <c r="AR123"/>
      <c r="AS123"/>
      <c r="AU123" s="6636" t="s">
        <v>2241</v>
      </c>
      <c r="AV123" s="6636"/>
      <c r="AX123"/>
      <c r="AY123"/>
      <c r="BA123" s="6648"/>
      <c r="BB123" s="6648"/>
      <c r="BD123"/>
      <c r="BE123"/>
      <c r="BG123"/>
      <c r="BH123"/>
      <c r="BJ123" s="6657" t="s">
        <v>2327</v>
      </c>
      <c r="BK123" s="6657"/>
      <c r="BM123" s="6653" t="s">
        <v>2328</v>
      </c>
      <c r="BN123" s="6653"/>
      <c r="BP123"/>
      <c r="BQ123"/>
      <c r="BS123"/>
      <c r="BT123"/>
      <c r="BV123"/>
      <c r="BW123"/>
      <c r="BX123"/>
      <c r="BY123"/>
      <c r="BZ123"/>
      <c r="CA123"/>
      <c r="CB123"/>
      <c r="CD123" s="6636" t="s">
        <v>2247</v>
      </c>
      <c r="CE123" s="6636"/>
      <c r="CG123"/>
      <c r="CH123"/>
      <c r="CJ123" s="6648"/>
      <c r="CK123" s="6648"/>
      <c r="CM123"/>
      <c r="CN123"/>
      <c r="CP123"/>
      <c r="CQ123"/>
      <c r="CS123" s="6657" t="s">
        <v>2329</v>
      </c>
      <c r="CT123" s="6657"/>
      <c r="CV123" s="6653" t="s">
        <v>2330</v>
      </c>
      <c r="CW123" s="6653"/>
      <c r="CY123"/>
      <c r="CZ123"/>
      <c r="DB123"/>
      <c r="DC123"/>
      <c r="DE123"/>
      <c r="DF123"/>
      <c r="DH123"/>
      <c r="DI123"/>
      <c r="DJ123" s="3">
        <v>1</v>
      </c>
    </row>
    <row r="124" spans="2:114" s="627" customFormat="1" ht="18" customHeight="1">
      <c r="B124" s="633"/>
      <c r="C124" s="633"/>
      <c r="D124" s="633"/>
      <c r="E124" s="6637"/>
      <c r="F124" s="6637"/>
      <c r="G124" s="633"/>
      <c r="H124" s="633"/>
      <c r="I124" s="633"/>
      <c r="J124" s="633"/>
      <c r="K124" s="6649"/>
      <c r="L124" s="6649"/>
      <c r="M124" s="633"/>
      <c r="N124" s="633"/>
      <c r="O124" s="633"/>
      <c r="P124" s="633"/>
      <c r="Q124" s="633"/>
      <c r="R124" s="633"/>
      <c r="S124" s="633"/>
      <c r="T124" s="6626"/>
      <c r="U124" s="6626"/>
      <c r="V124" s="633"/>
      <c r="W124" s="6624"/>
      <c r="X124" s="6624"/>
      <c r="Y124" s="633"/>
      <c r="Z124" s="633"/>
      <c r="AA124" s="633"/>
      <c r="AB124" s="227"/>
      <c r="AC124" s="633"/>
      <c r="AD124" s="633"/>
      <c r="AE124" s="227"/>
      <c r="AF124" s="633"/>
      <c r="AG124" s="633"/>
      <c r="AH124" s="227"/>
      <c r="AI124" s="633"/>
      <c r="AJ124" s="633"/>
      <c r="AK124" s="633"/>
      <c r="AL124" s="633"/>
      <c r="AM124" s="633"/>
      <c r="AN124" s="633"/>
      <c r="AO124" s="633"/>
      <c r="AP124" s="633"/>
      <c r="AQ124" s="633"/>
      <c r="AR124"/>
      <c r="AS124"/>
      <c r="AU124" s="6637" t="s">
        <v>114</v>
      </c>
      <c r="AV124" s="6637"/>
      <c r="AX124"/>
      <c r="AY124"/>
      <c r="BA124" s="6649"/>
      <c r="BB124" s="6649"/>
      <c r="BD124"/>
      <c r="BE124"/>
      <c r="BG124"/>
      <c r="BH124"/>
      <c r="BJ124" s="6626" t="s">
        <v>114</v>
      </c>
      <c r="BK124" s="6626"/>
      <c r="BM124" s="6624" t="s">
        <v>114</v>
      </c>
      <c r="BN124" s="6624"/>
      <c r="BP124"/>
      <c r="BQ124"/>
      <c r="BS124"/>
      <c r="BT124"/>
      <c r="BV124"/>
      <c r="BW124"/>
      <c r="BX124"/>
      <c r="BY124"/>
      <c r="BZ124"/>
      <c r="CA124"/>
      <c r="CB124"/>
      <c r="CD124" s="6637" t="s">
        <v>114</v>
      </c>
      <c r="CE124" s="6637"/>
      <c r="CG124"/>
      <c r="CH124"/>
      <c r="CJ124" s="6649"/>
      <c r="CK124" s="6649"/>
      <c r="CM124"/>
      <c r="CN124"/>
      <c r="CP124"/>
      <c r="CQ124"/>
      <c r="CS124" s="6626" t="s">
        <v>114</v>
      </c>
      <c r="CT124" s="6626"/>
      <c r="CV124" s="6624" t="s">
        <v>114</v>
      </c>
      <c r="CW124" s="6624"/>
      <c r="CY124"/>
      <c r="CZ124"/>
      <c r="DB124"/>
      <c r="DC124"/>
      <c r="DE124"/>
      <c r="DF124"/>
      <c r="DH124"/>
      <c r="DI124"/>
      <c r="DJ124" s="3">
        <v>1</v>
      </c>
    </row>
    <row r="125" spans="2:114" s="627" customFormat="1" ht="18" customHeight="1" thickBot="1">
      <c r="B125" s="633"/>
      <c r="C125" s="633"/>
      <c r="D125" s="633"/>
      <c r="E125" s="633"/>
      <c r="F125" s="633"/>
      <c r="G125" s="633"/>
      <c r="H125" s="633"/>
      <c r="I125" s="633"/>
      <c r="J125" s="633"/>
      <c r="K125" s="633"/>
      <c r="L125" s="633"/>
      <c r="M125" s="633"/>
      <c r="N125" s="633"/>
      <c r="O125" s="633"/>
      <c r="P125" s="633"/>
      <c r="Q125" s="633"/>
      <c r="R125" s="633"/>
      <c r="S125" s="633"/>
      <c r="T125" s="648">
        <v>1</v>
      </c>
      <c r="U125" s="648">
        <v>1</v>
      </c>
      <c r="V125" s="633"/>
      <c r="W125" s="648">
        <v>1</v>
      </c>
      <c r="X125" s="648">
        <v>1</v>
      </c>
      <c r="Y125" s="633"/>
      <c r="Z125" s="633"/>
      <c r="AA125" s="633"/>
      <c r="AB125" s="227"/>
      <c r="AC125" s="633"/>
      <c r="AD125" s="633"/>
      <c r="AE125" s="227"/>
      <c r="AF125" s="633"/>
      <c r="AG125" s="633"/>
      <c r="AH125" s="227"/>
      <c r="AI125" s="633"/>
      <c r="AJ125" s="633"/>
      <c r="AK125" s="633"/>
      <c r="AL125" s="633"/>
      <c r="AM125" s="633"/>
      <c r="AN125" s="633"/>
      <c r="AO125" s="633"/>
      <c r="AP125" s="633"/>
      <c r="AQ125" s="633"/>
      <c r="AR125"/>
      <c r="AS125"/>
      <c r="AU125" s="633" t="s">
        <v>114</v>
      </c>
      <c r="AV125" s="633"/>
      <c r="AX125"/>
      <c r="AY125"/>
      <c r="BA125" s="633"/>
      <c r="BB125" s="633"/>
      <c r="BD125"/>
      <c r="BE125"/>
      <c r="BG125"/>
      <c r="BH125"/>
      <c r="BJ125" s="648" t="s">
        <v>114</v>
      </c>
      <c r="BK125" s="648"/>
      <c r="BM125" s="648" t="s">
        <v>114</v>
      </c>
      <c r="BN125" s="648"/>
      <c r="BP125"/>
      <c r="BQ125"/>
      <c r="BS125"/>
      <c r="BT125"/>
      <c r="BV125"/>
      <c r="BW125"/>
      <c r="BX125"/>
      <c r="BY125"/>
      <c r="BZ125"/>
      <c r="CA125"/>
      <c r="CB125"/>
      <c r="CD125" s="633" t="s">
        <v>114</v>
      </c>
      <c r="CE125" s="633"/>
      <c r="CG125"/>
      <c r="CH125"/>
      <c r="CJ125"/>
      <c r="CK125"/>
      <c r="CM125"/>
      <c r="CN125"/>
      <c r="CP125"/>
      <c r="CQ125"/>
      <c r="CS125" s="648" t="s">
        <v>114</v>
      </c>
      <c r="CT125" s="648"/>
      <c r="CV125" s="648" t="s">
        <v>114</v>
      </c>
      <c r="CW125" s="648"/>
      <c r="CY125"/>
      <c r="CZ125"/>
      <c r="DB125"/>
      <c r="DC125"/>
      <c r="DE125"/>
      <c r="DF125"/>
      <c r="DH125"/>
      <c r="DI125"/>
      <c r="DJ125" s="3">
        <v>1</v>
      </c>
    </row>
    <row r="126" spans="2:114" s="627" customFormat="1" ht="18" customHeight="1">
      <c r="B126" s="633"/>
      <c r="C126" s="633"/>
      <c r="D126" s="633"/>
      <c r="E126" s="6636" t="s">
        <v>1263</v>
      </c>
      <c r="F126" s="6636"/>
      <c r="G126" s="633"/>
      <c r="H126" s="633"/>
      <c r="I126" s="633"/>
      <c r="J126" s="633"/>
      <c r="K126" s="633"/>
      <c r="L126" s="633"/>
      <c r="M126" s="633"/>
      <c r="N126" s="633"/>
      <c r="O126" s="633"/>
      <c r="P126" s="633"/>
      <c r="Q126" s="633"/>
      <c r="R126" s="633"/>
      <c r="S126" s="633"/>
      <c r="T126" s="6657" t="s">
        <v>1264</v>
      </c>
      <c r="U126" s="6657"/>
      <c r="V126" s="633"/>
      <c r="W126" s="6653" t="s">
        <v>1265</v>
      </c>
      <c r="X126" s="6653"/>
      <c r="Y126" s="633"/>
      <c r="Z126" s="633"/>
      <c r="AA126" s="633"/>
      <c r="AB126" s="227"/>
      <c r="AC126" s="633"/>
      <c r="AD126" s="633"/>
      <c r="AE126" s="227"/>
      <c r="AF126" s="633"/>
      <c r="AG126" s="633"/>
      <c r="AH126" s="227"/>
      <c r="AI126" s="633"/>
      <c r="AJ126" s="633"/>
      <c r="AK126" s="633"/>
      <c r="AL126" s="633"/>
      <c r="AM126" s="633"/>
      <c r="AN126" s="633"/>
      <c r="AO126" s="633"/>
      <c r="AP126" s="633"/>
      <c r="AQ126" s="633"/>
      <c r="AR126"/>
      <c r="AS126"/>
      <c r="AU126" s="6636" t="s">
        <v>2331</v>
      </c>
      <c r="AV126" s="6636"/>
      <c r="AX126"/>
      <c r="AY126"/>
      <c r="BA126"/>
      <c r="BB126"/>
      <c r="BD126"/>
      <c r="BE126"/>
      <c r="BG126"/>
      <c r="BH126"/>
      <c r="BJ126" s="6657" t="s">
        <v>2332</v>
      </c>
      <c r="BK126" s="6657"/>
      <c r="BM126" s="6653" t="s">
        <v>2333</v>
      </c>
      <c r="BN126" s="6653"/>
      <c r="BP126"/>
      <c r="BQ126"/>
      <c r="BS126"/>
      <c r="BT126"/>
      <c r="BV126"/>
      <c r="BW126"/>
      <c r="BX126"/>
      <c r="BY126"/>
      <c r="BZ126"/>
      <c r="CA126"/>
      <c r="CB126"/>
      <c r="CD126" s="6636" t="s">
        <v>2334</v>
      </c>
      <c r="CE126" s="6636"/>
      <c r="CG126"/>
      <c r="CH126"/>
      <c r="CJ126"/>
      <c r="CK126"/>
      <c r="CM126"/>
      <c r="CN126"/>
      <c r="CP126"/>
      <c r="CQ126"/>
      <c r="CS126" s="6657" t="s">
        <v>2335</v>
      </c>
      <c r="CT126" s="6657"/>
      <c r="CV126" s="6653" t="s">
        <v>2336</v>
      </c>
      <c r="CW126" s="6653"/>
      <c r="CY126"/>
      <c r="CZ126"/>
      <c r="DB126"/>
      <c r="DC126"/>
      <c r="DE126"/>
      <c r="DF126"/>
      <c r="DH126"/>
      <c r="DI126"/>
      <c r="DJ126" s="3">
        <v>1</v>
      </c>
    </row>
    <row r="127" spans="2:114" s="627" customFormat="1" ht="18" customHeight="1">
      <c r="B127" s="633"/>
      <c r="C127" s="633"/>
      <c r="D127" s="633"/>
      <c r="E127" s="6637"/>
      <c r="F127" s="6637"/>
      <c r="G127" s="633"/>
      <c r="H127" s="633"/>
      <c r="I127" s="633"/>
      <c r="J127" s="633"/>
      <c r="K127" s="633"/>
      <c r="L127" s="633"/>
      <c r="M127" s="633"/>
      <c r="N127" s="633"/>
      <c r="O127" s="633"/>
      <c r="P127" s="633"/>
      <c r="Q127" s="633"/>
      <c r="R127" s="633"/>
      <c r="S127" s="633"/>
      <c r="T127" s="6626"/>
      <c r="U127" s="6626"/>
      <c r="V127" s="633"/>
      <c r="W127" s="6624"/>
      <c r="X127" s="6624"/>
      <c r="Y127" s="633"/>
      <c r="Z127" s="633"/>
      <c r="AA127" s="633"/>
      <c r="AB127" s="227"/>
      <c r="AC127" s="633"/>
      <c r="AD127" s="633"/>
      <c r="AE127" s="227"/>
      <c r="AF127" s="633"/>
      <c r="AG127" s="633"/>
      <c r="AH127" s="227"/>
      <c r="AI127" s="633"/>
      <c r="AJ127" s="633"/>
      <c r="AK127" s="633"/>
      <c r="AL127" s="633"/>
      <c r="AM127" s="633"/>
      <c r="AN127" s="633"/>
      <c r="AO127" s="633"/>
      <c r="AP127" s="633"/>
      <c r="AQ127" s="633"/>
      <c r="AR127"/>
      <c r="AS127"/>
      <c r="AU127" s="6637" t="s">
        <v>114</v>
      </c>
      <c r="AV127" s="6637"/>
      <c r="AX127"/>
      <c r="AY127"/>
      <c r="BA127"/>
      <c r="BB127"/>
      <c r="BD127"/>
      <c r="BE127"/>
      <c r="BG127"/>
      <c r="BH127"/>
      <c r="BJ127" s="6626" t="s">
        <v>114</v>
      </c>
      <c r="BK127" s="6626"/>
      <c r="BM127" s="6624" t="s">
        <v>114</v>
      </c>
      <c r="BN127" s="6624"/>
      <c r="BP127"/>
      <c r="BQ127"/>
      <c r="BS127"/>
      <c r="BT127"/>
      <c r="BV127"/>
      <c r="BW127"/>
      <c r="BX127"/>
      <c r="BY127"/>
      <c r="BZ127"/>
      <c r="CA127"/>
      <c r="CB127"/>
      <c r="CD127" s="6637" t="s">
        <v>114</v>
      </c>
      <c r="CE127" s="6637"/>
      <c r="CG127"/>
      <c r="CH127"/>
      <c r="CJ127"/>
      <c r="CK127"/>
      <c r="CM127"/>
      <c r="CN127"/>
      <c r="CP127"/>
      <c r="CQ127"/>
      <c r="CS127" s="6626" t="s">
        <v>114</v>
      </c>
      <c r="CT127" s="6626"/>
      <c r="CV127" s="6624" t="s">
        <v>114</v>
      </c>
      <c r="CW127" s="6624"/>
      <c r="CY127"/>
      <c r="CZ127"/>
      <c r="DB127"/>
      <c r="DC127"/>
      <c r="DE127"/>
      <c r="DF127"/>
      <c r="DH127"/>
      <c r="DI127"/>
      <c r="DJ127" s="3">
        <v>1</v>
      </c>
    </row>
    <row r="128" spans="2:114" s="627" customFormat="1" ht="18" customHeight="1" thickBot="1">
      <c r="B128" s="633"/>
      <c r="C128" s="633"/>
      <c r="D128" s="633"/>
      <c r="E128" s="633"/>
      <c r="F128" s="633"/>
      <c r="G128" s="633"/>
      <c r="H128" s="633"/>
      <c r="I128" s="633"/>
      <c r="J128" s="633"/>
      <c r="K128" s="633"/>
      <c r="L128" s="633"/>
      <c r="M128" s="633"/>
      <c r="N128" s="633"/>
      <c r="O128" s="633"/>
      <c r="P128" s="633"/>
      <c r="Q128" s="633"/>
      <c r="R128" s="633"/>
      <c r="S128" s="633"/>
      <c r="T128" s="648">
        <v>1</v>
      </c>
      <c r="U128" s="648">
        <v>1</v>
      </c>
      <c r="V128" s="633"/>
      <c r="W128" s="648">
        <v>1</v>
      </c>
      <c r="X128" s="648">
        <v>1</v>
      </c>
      <c r="Y128" s="633"/>
      <c r="Z128" s="633"/>
      <c r="AA128" s="633"/>
      <c r="AB128" s="227"/>
      <c r="AC128" s="633"/>
      <c r="AD128" s="633"/>
      <c r="AE128" s="227"/>
      <c r="AF128" s="633"/>
      <c r="AG128" s="633"/>
      <c r="AH128" s="227"/>
      <c r="AI128" s="633"/>
      <c r="AJ128" s="633"/>
      <c r="AK128" s="633"/>
      <c r="AL128" s="633"/>
      <c r="AM128" s="633"/>
      <c r="AN128" s="633"/>
      <c r="AO128" s="633"/>
      <c r="AP128" s="633"/>
      <c r="AQ128" s="633"/>
      <c r="AR128"/>
      <c r="AS128"/>
      <c r="AU128" s="633" t="s">
        <v>114</v>
      </c>
      <c r="AV128" s="633"/>
      <c r="AX128"/>
      <c r="AY128"/>
      <c r="BA128"/>
      <c r="BB128"/>
      <c r="BD128"/>
      <c r="BE128"/>
      <c r="BG128"/>
      <c r="BH128"/>
      <c r="BJ128" s="648" t="s">
        <v>114</v>
      </c>
      <c r="BK128" s="648"/>
      <c r="BM128" s="648" t="s">
        <v>114</v>
      </c>
      <c r="BN128" s="648"/>
      <c r="BP128"/>
      <c r="BQ128"/>
      <c r="BS128"/>
      <c r="BT128"/>
      <c r="BV128"/>
      <c r="BW128"/>
      <c r="BX128"/>
      <c r="BY128"/>
      <c r="BZ128"/>
      <c r="CA128"/>
      <c r="CB128"/>
      <c r="CD128" t="s">
        <v>114</v>
      </c>
      <c r="CE128"/>
      <c r="CG128"/>
      <c r="CH128"/>
      <c r="CJ128"/>
      <c r="CK128"/>
      <c r="CM128"/>
      <c r="CN128"/>
      <c r="CP128"/>
      <c r="CQ128"/>
      <c r="CS128" s="648" t="s">
        <v>114</v>
      </c>
      <c r="CT128" s="648"/>
      <c r="CV128" s="648" t="s">
        <v>114</v>
      </c>
      <c r="CW128" s="648"/>
      <c r="CY128"/>
      <c r="CZ128"/>
      <c r="DB128"/>
      <c r="DC128"/>
      <c r="DE128"/>
      <c r="DF128"/>
      <c r="DH128"/>
      <c r="DI128"/>
      <c r="DJ128" s="3">
        <v>1</v>
      </c>
    </row>
    <row r="129" spans="2:114" s="627" customFormat="1" ht="18" customHeight="1">
      <c r="B129" s="633"/>
      <c r="C129" s="633"/>
      <c r="D129" s="633"/>
      <c r="E129" s="6636" t="s">
        <v>1266</v>
      </c>
      <c r="F129" s="6636"/>
      <c r="G129" s="633"/>
      <c r="H129" s="633"/>
      <c r="I129" s="633"/>
      <c r="J129" s="633"/>
      <c r="K129" s="633"/>
      <c r="L129" s="633"/>
      <c r="M129" s="633"/>
      <c r="N129" s="633"/>
      <c r="O129" s="633"/>
      <c r="P129" s="633"/>
      <c r="Q129" s="633"/>
      <c r="R129" s="633"/>
      <c r="S129" s="633"/>
      <c r="T129" s="6657" t="s">
        <v>1267</v>
      </c>
      <c r="U129" s="6657"/>
      <c r="V129" s="633"/>
      <c r="W129" s="6653" t="s">
        <v>1268</v>
      </c>
      <c r="X129" s="6653"/>
      <c r="Y129" s="633"/>
      <c r="Z129" s="633"/>
      <c r="AA129" s="633"/>
      <c r="AB129" s="227"/>
      <c r="AC129" s="633"/>
      <c r="AD129" s="633"/>
      <c r="AE129" s="227"/>
      <c r="AF129" s="633"/>
      <c r="AG129" s="633"/>
      <c r="AH129" s="227"/>
      <c r="AI129" s="633"/>
      <c r="AJ129" s="633"/>
      <c r="AK129" s="633"/>
      <c r="AL129" s="633"/>
      <c r="AM129" s="633"/>
      <c r="AN129" s="633"/>
      <c r="AO129" s="633"/>
      <c r="AP129" s="633"/>
      <c r="AQ129" s="633"/>
      <c r="AR129"/>
      <c r="AS129"/>
      <c r="AU129" s="6636" t="s">
        <v>2337</v>
      </c>
      <c r="AV129" s="6636"/>
      <c r="AX129"/>
      <c r="AY129"/>
      <c r="BA129"/>
      <c r="BB129"/>
      <c r="BD129"/>
      <c r="BE129"/>
      <c r="BG129"/>
      <c r="BH129"/>
      <c r="BJ129" s="6657" t="s">
        <v>2338</v>
      </c>
      <c r="BK129" s="6657"/>
      <c r="BM129" s="6653" t="s">
        <v>2339</v>
      </c>
      <c r="BN129" s="6653"/>
      <c r="BP129"/>
      <c r="BQ129"/>
      <c r="BS129"/>
      <c r="BT129"/>
      <c r="BV129"/>
      <c r="BW129"/>
      <c r="BX129"/>
      <c r="BY129"/>
      <c r="BZ129"/>
      <c r="CA129"/>
      <c r="CB129"/>
      <c r="CD129" s="6636" t="s">
        <v>2340</v>
      </c>
      <c r="CE129" s="6636"/>
      <c r="CG129"/>
      <c r="CH129"/>
      <c r="CJ129"/>
      <c r="CK129"/>
      <c r="CM129"/>
      <c r="CN129"/>
      <c r="CP129"/>
      <c r="CQ129"/>
      <c r="CS129" s="6657" t="s">
        <v>2341</v>
      </c>
      <c r="CT129" s="6657"/>
      <c r="CV129" s="6653" t="s">
        <v>2342</v>
      </c>
      <c r="CW129" s="6653"/>
      <c r="CY129"/>
      <c r="CZ129"/>
      <c r="DB129"/>
      <c r="DC129"/>
      <c r="DE129"/>
      <c r="DF129"/>
      <c r="DH129"/>
      <c r="DI129"/>
      <c r="DJ129" s="3">
        <v>1</v>
      </c>
    </row>
    <row r="130" spans="2:114" s="627" customFormat="1" ht="18" customHeight="1">
      <c r="B130" s="633"/>
      <c r="C130" s="633"/>
      <c r="D130" s="633"/>
      <c r="E130" s="6637"/>
      <c r="F130" s="6637"/>
      <c r="G130" s="633"/>
      <c r="H130" s="633"/>
      <c r="I130" s="633"/>
      <c r="J130" s="633"/>
      <c r="K130" s="633"/>
      <c r="L130" s="633"/>
      <c r="M130" s="633"/>
      <c r="N130" s="633"/>
      <c r="O130" s="633"/>
      <c r="P130" s="633"/>
      <c r="Q130" s="633"/>
      <c r="R130" s="633"/>
      <c r="S130" s="633"/>
      <c r="T130" s="6626"/>
      <c r="U130" s="6626"/>
      <c r="V130" s="633"/>
      <c r="W130" s="6624"/>
      <c r="X130" s="6624"/>
      <c r="Y130" s="633"/>
      <c r="Z130" s="633"/>
      <c r="AA130" s="633"/>
      <c r="AB130" s="227"/>
      <c r="AC130" s="633"/>
      <c r="AD130" s="633"/>
      <c r="AE130" s="227"/>
      <c r="AF130" s="633"/>
      <c r="AG130" s="633"/>
      <c r="AH130" s="227"/>
      <c r="AI130" s="633"/>
      <c r="AJ130" s="633"/>
      <c r="AK130" s="633"/>
      <c r="AL130" s="633"/>
      <c r="AM130" s="633"/>
      <c r="AN130" s="633"/>
      <c r="AO130" s="633"/>
      <c r="AP130" s="633"/>
      <c r="AQ130" s="633"/>
      <c r="AR130"/>
      <c r="AS130"/>
      <c r="AU130" s="6637" t="s">
        <v>114</v>
      </c>
      <c r="AV130" s="6637"/>
      <c r="AX130"/>
      <c r="AY130"/>
      <c r="BA130"/>
      <c r="BB130"/>
      <c r="BD130"/>
      <c r="BE130"/>
      <c r="BG130"/>
      <c r="BH130"/>
      <c r="BJ130" s="6626" t="s">
        <v>114</v>
      </c>
      <c r="BK130" s="6626"/>
      <c r="BM130" s="6624" t="s">
        <v>114</v>
      </c>
      <c r="BN130" s="6624"/>
      <c r="BP130"/>
      <c r="BQ130"/>
      <c r="BS130"/>
      <c r="BT130"/>
      <c r="BV130"/>
      <c r="BW130"/>
      <c r="BX130"/>
      <c r="BY130"/>
      <c r="BZ130"/>
      <c r="CA130"/>
      <c r="CB130"/>
      <c r="CD130" s="6637" t="s">
        <v>114</v>
      </c>
      <c r="CE130" s="6637"/>
      <c r="CG130"/>
      <c r="CH130"/>
      <c r="CJ130"/>
      <c r="CK130"/>
      <c r="CM130"/>
      <c r="CN130"/>
      <c r="CP130"/>
      <c r="CQ130"/>
      <c r="CS130" s="6626" t="s">
        <v>114</v>
      </c>
      <c r="CT130" s="6626"/>
      <c r="CV130" s="6624" t="s">
        <v>114</v>
      </c>
      <c r="CW130" s="6624"/>
      <c r="CY130"/>
      <c r="CZ130"/>
      <c r="DB130"/>
      <c r="DC130"/>
      <c r="DE130"/>
      <c r="DF130"/>
      <c r="DH130"/>
      <c r="DI130"/>
      <c r="DJ130" s="3">
        <v>1</v>
      </c>
    </row>
    <row r="131" spans="2:114" s="627" customFormat="1" ht="18" customHeight="1" thickBot="1">
      <c r="B131" s="633"/>
      <c r="C131" s="633"/>
      <c r="D131" s="633"/>
      <c r="E131" s="633"/>
      <c r="F131" s="633"/>
      <c r="G131" s="633"/>
      <c r="H131" s="633"/>
      <c r="I131" s="633"/>
      <c r="J131" s="633"/>
      <c r="K131" s="633"/>
      <c r="L131" s="633"/>
      <c r="M131" s="633"/>
      <c r="N131" s="633"/>
      <c r="O131" s="633"/>
      <c r="P131" s="633"/>
      <c r="Q131" s="633"/>
      <c r="R131" s="633"/>
      <c r="S131" s="633"/>
      <c r="T131" s="648">
        <v>1</v>
      </c>
      <c r="U131" s="648">
        <v>1</v>
      </c>
      <c r="V131" s="633"/>
      <c r="W131" s="648">
        <v>1</v>
      </c>
      <c r="X131" s="648">
        <v>1</v>
      </c>
      <c r="Y131" s="633"/>
      <c r="Z131" s="633"/>
      <c r="AA131" s="633"/>
      <c r="AB131" s="227"/>
      <c r="AC131" s="633"/>
      <c r="AD131" s="633"/>
      <c r="AE131" s="227"/>
      <c r="AF131" s="633"/>
      <c r="AG131" s="633"/>
      <c r="AH131" s="227"/>
      <c r="AI131" s="633"/>
      <c r="AJ131" s="633"/>
      <c r="AK131" s="633"/>
      <c r="AL131" s="633"/>
      <c r="AM131" s="633"/>
      <c r="AN131" s="633"/>
      <c r="AO131" s="633"/>
      <c r="AP131" s="633"/>
      <c r="AQ131" s="633"/>
      <c r="AR131"/>
      <c r="AS131"/>
      <c r="AU131" s="633" t="s">
        <v>114</v>
      </c>
      <c r="AV131" s="633"/>
      <c r="AX131"/>
      <c r="AY131"/>
      <c r="BA131"/>
      <c r="BB131"/>
      <c r="BD131"/>
      <c r="BE131"/>
      <c r="BG131"/>
      <c r="BH131"/>
      <c r="BJ131" s="648" t="s">
        <v>114</v>
      </c>
      <c r="BK131" s="648"/>
      <c r="BM131" s="648" t="s">
        <v>114</v>
      </c>
      <c r="BN131" s="648"/>
      <c r="BP131"/>
      <c r="BQ131"/>
      <c r="BS131"/>
      <c r="BT131"/>
      <c r="BV131"/>
      <c r="BW131"/>
      <c r="BX131"/>
      <c r="BY131"/>
      <c r="BZ131"/>
      <c r="CA131"/>
      <c r="CB131"/>
      <c r="CD131"/>
      <c r="CE131"/>
      <c r="CG131"/>
      <c r="CH131"/>
      <c r="CJ131"/>
      <c r="CK131"/>
      <c r="CM131"/>
      <c r="CN131"/>
      <c r="CP131"/>
      <c r="CQ131"/>
      <c r="CS131" s="648" t="s">
        <v>114</v>
      </c>
      <c r="CT131" s="648"/>
      <c r="CV131" s="648" t="s">
        <v>114</v>
      </c>
      <c r="CW131" s="648"/>
      <c r="CY131"/>
      <c r="CZ131"/>
      <c r="DB131"/>
      <c r="DC131"/>
      <c r="DE131"/>
      <c r="DF131"/>
      <c r="DH131"/>
      <c r="DI131"/>
      <c r="DJ131" s="3">
        <v>1</v>
      </c>
    </row>
    <row r="132" spans="2:114" s="627" customFormat="1" ht="18" customHeight="1">
      <c r="B132" s="633"/>
      <c r="C132" s="633"/>
      <c r="D132" s="633"/>
      <c r="E132" s="6636" t="s">
        <v>1269</v>
      </c>
      <c r="F132" s="6636"/>
      <c r="G132" s="633"/>
      <c r="H132" s="633"/>
      <c r="I132" s="633"/>
      <c r="J132" s="633"/>
      <c r="K132" s="633"/>
      <c r="L132" s="633"/>
      <c r="M132" s="633"/>
      <c r="N132" s="633"/>
      <c r="O132" s="633"/>
      <c r="P132" s="633"/>
      <c r="Q132" s="633"/>
      <c r="R132" s="633"/>
      <c r="S132" s="633"/>
      <c r="T132" s="6657" t="s">
        <v>1270</v>
      </c>
      <c r="U132" s="6657"/>
      <c r="V132" s="633"/>
      <c r="W132" s="6653" t="s">
        <v>1271</v>
      </c>
      <c r="X132" s="6653"/>
      <c r="Y132" s="633"/>
      <c r="Z132" s="633"/>
      <c r="AA132" s="633"/>
      <c r="AB132" s="227"/>
      <c r="AC132" s="633"/>
      <c r="AD132" s="633"/>
      <c r="AE132" s="227"/>
      <c r="AF132" s="633"/>
      <c r="AG132" s="633"/>
      <c r="AH132" s="227"/>
      <c r="AI132" s="633"/>
      <c r="AJ132" s="633"/>
      <c r="AK132" s="633"/>
      <c r="AL132" s="633"/>
      <c r="AM132" s="633"/>
      <c r="AN132" s="633"/>
      <c r="AO132" s="633"/>
      <c r="AP132" s="633"/>
      <c r="AQ132" s="633"/>
      <c r="AR132"/>
      <c r="AS132"/>
      <c r="AU132" s="6636"/>
      <c r="AV132" s="6636"/>
      <c r="AX132"/>
      <c r="AY132"/>
      <c r="BA132"/>
      <c r="BB132"/>
      <c r="BD132"/>
      <c r="BE132"/>
      <c r="BG132"/>
      <c r="BH132"/>
      <c r="BJ132" s="6657" t="s">
        <v>2343</v>
      </c>
      <c r="BK132" s="6657"/>
      <c r="BM132" s="6653" t="s">
        <v>2344</v>
      </c>
      <c r="BN132" s="6653"/>
      <c r="BP132"/>
      <c r="BQ132"/>
      <c r="BS132"/>
      <c r="BT132"/>
      <c r="BV132"/>
      <c r="BW132"/>
      <c r="BX132"/>
      <c r="BY132"/>
      <c r="BZ132"/>
      <c r="CA132"/>
      <c r="CB132"/>
      <c r="CD132" s="6636"/>
      <c r="CE132" s="6636"/>
      <c r="CG132"/>
      <c r="CH132"/>
      <c r="CJ132"/>
      <c r="CK132"/>
      <c r="CM132"/>
      <c r="CN132"/>
      <c r="CP132"/>
      <c r="CQ132"/>
      <c r="CS132" s="6657" t="s">
        <v>2345</v>
      </c>
      <c r="CT132" s="6657"/>
      <c r="CV132" s="6653" t="s">
        <v>2346</v>
      </c>
      <c r="CW132" s="6653"/>
      <c r="CY132"/>
      <c r="CZ132"/>
      <c r="DB132"/>
      <c r="DC132"/>
      <c r="DE132"/>
      <c r="DF132"/>
      <c r="DH132"/>
      <c r="DI132"/>
      <c r="DJ132" s="3">
        <v>1</v>
      </c>
    </row>
    <row r="133" spans="2:114" s="627" customFormat="1" ht="18" customHeight="1">
      <c r="B133" s="633"/>
      <c r="C133" s="633"/>
      <c r="D133" s="633"/>
      <c r="E133" s="6637"/>
      <c r="F133" s="6637"/>
      <c r="G133" s="633"/>
      <c r="H133" s="633"/>
      <c r="I133" s="633"/>
      <c r="J133" s="633"/>
      <c r="K133" s="633"/>
      <c r="L133" s="633"/>
      <c r="M133" s="633"/>
      <c r="N133" s="633"/>
      <c r="O133" s="633"/>
      <c r="P133" s="633"/>
      <c r="Q133" s="633"/>
      <c r="R133" s="633"/>
      <c r="S133" s="633"/>
      <c r="T133" s="6626"/>
      <c r="U133" s="6626"/>
      <c r="V133" s="633"/>
      <c r="W133" s="6624"/>
      <c r="X133" s="6624"/>
      <c r="Y133" s="633"/>
      <c r="Z133" s="633"/>
      <c r="AA133" s="633"/>
      <c r="AB133" s="227"/>
      <c r="AC133" s="633"/>
      <c r="AD133" s="633"/>
      <c r="AE133" s="227"/>
      <c r="AF133" s="633"/>
      <c r="AG133" s="633"/>
      <c r="AH133" s="227"/>
      <c r="AI133" s="633"/>
      <c r="AJ133" s="633"/>
      <c r="AK133" s="633"/>
      <c r="AL133" s="633"/>
      <c r="AM133" s="633"/>
      <c r="AN133" s="633"/>
      <c r="AO133" s="633"/>
      <c r="AP133" s="633"/>
      <c r="AQ133" s="633"/>
      <c r="AR133"/>
      <c r="AS133"/>
      <c r="AU133" s="6637"/>
      <c r="AV133" s="6637"/>
      <c r="AX133"/>
      <c r="AY133"/>
      <c r="BA133"/>
      <c r="BB133"/>
      <c r="BD133"/>
      <c r="BE133"/>
      <c r="BG133"/>
      <c r="BH133"/>
      <c r="BJ133" s="6626" t="s">
        <v>114</v>
      </c>
      <c r="BK133" s="6626"/>
      <c r="BM133" s="6624" t="s">
        <v>114</v>
      </c>
      <c r="BN133" s="6624"/>
      <c r="BP133"/>
      <c r="BQ133"/>
      <c r="BS133"/>
      <c r="BT133"/>
      <c r="BV133"/>
      <c r="BW133"/>
      <c r="BX133"/>
      <c r="BY133"/>
      <c r="BZ133"/>
      <c r="CA133"/>
      <c r="CB133"/>
      <c r="CD133" s="6637"/>
      <c r="CE133" s="6637"/>
      <c r="CG133"/>
      <c r="CH133"/>
      <c r="CJ133"/>
      <c r="CK133"/>
      <c r="CM133"/>
      <c r="CN133"/>
      <c r="CP133"/>
      <c r="CQ133"/>
      <c r="CS133" s="6626" t="s">
        <v>114</v>
      </c>
      <c r="CT133" s="6626"/>
      <c r="CV133" s="6624" t="s">
        <v>114</v>
      </c>
      <c r="CW133" s="6624"/>
      <c r="CY133"/>
      <c r="CZ133"/>
      <c r="DB133"/>
      <c r="DC133"/>
      <c r="DE133"/>
      <c r="DF133"/>
      <c r="DH133"/>
      <c r="DI133"/>
      <c r="DJ133" s="3">
        <v>1</v>
      </c>
    </row>
    <row r="134" spans="2:114" s="627" customFormat="1" ht="18" customHeight="1" thickBot="1">
      <c r="B134" s="633"/>
      <c r="C134" s="633"/>
      <c r="D134" s="633"/>
      <c r="E134" s="633"/>
      <c r="F134" s="633"/>
      <c r="G134" s="633"/>
      <c r="H134" s="633"/>
      <c r="I134" s="633"/>
      <c r="J134" s="633"/>
      <c r="K134" s="633"/>
      <c r="L134" s="633"/>
      <c r="M134" s="633"/>
      <c r="N134" s="633"/>
      <c r="O134" s="633"/>
      <c r="P134" s="633"/>
      <c r="Q134" s="633"/>
      <c r="R134" s="633"/>
      <c r="S134" s="633"/>
      <c r="T134" s="648">
        <v>1</v>
      </c>
      <c r="U134" s="648">
        <v>1</v>
      </c>
      <c r="V134" s="633"/>
      <c r="W134" s="648">
        <v>1</v>
      </c>
      <c r="X134" s="648">
        <v>1</v>
      </c>
      <c r="Y134" s="633"/>
      <c r="Z134" s="633"/>
      <c r="AA134" s="633"/>
      <c r="AB134" s="227"/>
      <c r="AC134" s="633"/>
      <c r="AD134" s="633"/>
      <c r="AE134" s="227"/>
      <c r="AF134" s="633"/>
      <c r="AG134" s="633"/>
      <c r="AH134" s="227"/>
      <c r="AI134" s="633"/>
      <c r="AJ134" s="633"/>
      <c r="AK134" s="633"/>
      <c r="AL134" s="633"/>
      <c r="AM134" s="633"/>
      <c r="AN134" s="633"/>
      <c r="AO134" s="633"/>
      <c r="AP134" s="633"/>
      <c r="AQ134" s="633"/>
      <c r="AR134"/>
      <c r="AS134"/>
      <c r="AU134"/>
      <c r="AV134"/>
      <c r="AX134"/>
      <c r="AY134"/>
      <c r="BA134"/>
      <c r="BB134"/>
      <c r="BD134"/>
      <c r="BE134"/>
      <c r="BG134"/>
      <c r="BH134"/>
      <c r="BJ134" s="648" t="s">
        <v>114</v>
      </c>
      <c r="BK134" s="648"/>
      <c r="BM134" s="648" t="s">
        <v>114</v>
      </c>
      <c r="BN134" s="648"/>
      <c r="BP134"/>
      <c r="BQ134"/>
      <c r="BS134"/>
      <c r="BT134"/>
      <c r="BV134"/>
      <c r="BW134"/>
      <c r="BX134"/>
      <c r="BY134"/>
      <c r="BZ134"/>
      <c r="CA134"/>
      <c r="CB134"/>
      <c r="CD134"/>
      <c r="CE134"/>
      <c r="CG134"/>
      <c r="CH134"/>
      <c r="CJ134"/>
      <c r="CK134"/>
      <c r="CM134"/>
      <c r="CN134"/>
      <c r="CP134"/>
      <c r="CQ134"/>
      <c r="CS134" s="648" t="s">
        <v>114</v>
      </c>
      <c r="CT134" s="648"/>
      <c r="CV134" s="648" t="s">
        <v>114</v>
      </c>
      <c r="CW134" s="648"/>
      <c r="CY134"/>
      <c r="CZ134"/>
      <c r="DB134"/>
      <c r="DC134"/>
      <c r="DE134"/>
      <c r="DF134"/>
      <c r="DH134"/>
      <c r="DI134"/>
      <c r="DJ134" s="3">
        <v>1</v>
      </c>
    </row>
    <row r="135" spans="2:114" s="627" customFormat="1" ht="18" customHeight="1">
      <c r="B135" s="633"/>
      <c r="C135" s="633"/>
      <c r="D135" s="633"/>
      <c r="E135" s="6636"/>
      <c r="F135" s="6636"/>
      <c r="G135" s="633"/>
      <c r="H135" s="633"/>
      <c r="I135" s="633"/>
      <c r="J135" s="633"/>
      <c r="K135" s="633"/>
      <c r="L135" s="633"/>
      <c r="M135" s="633"/>
      <c r="N135" s="633"/>
      <c r="O135" s="633"/>
      <c r="P135" s="633"/>
      <c r="Q135" s="633"/>
      <c r="R135" s="633"/>
      <c r="S135" s="633"/>
      <c r="T135" s="6657" t="s">
        <v>1272</v>
      </c>
      <c r="U135" s="6657"/>
      <c r="V135" s="633"/>
      <c r="W135" s="6653" t="s">
        <v>1273</v>
      </c>
      <c r="X135" s="6653"/>
      <c r="Y135" s="633"/>
      <c r="Z135" s="633"/>
      <c r="AA135" s="633"/>
      <c r="AB135" s="227"/>
      <c r="AC135" s="633"/>
      <c r="AD135" s="633"/>
      <c r="AE135" s="227"/>
      <c r="AF135" s="633"/>
      <c r="AG135" s="633"/>
      <c r="AH135" s="227"/>
      <c r="AI135" s="633"/>
      <c r="AJ135" s="633"/>
      <c r="AK135" s="633"/>
      <c r="AL135" s="633"/>
      <c r="AM135" s="633"/>
      <c r="AN135" s="633"/>
      <c r="AO135" s="633"/>
      <c r="AP135" s="633"/>
      <c r="AQ135" s="633"/>
      <c r="AR135"/>
      <c r="AS135"/>
      <c r="AU135"/>
      <c r="AV135"/>
      <c r="AX135"/>
      <c r="AY135"/>
      <c r="BA135"/>
      <c r="BB135"/>
      <c r="BD135"/>
      <c r="BE135"/>
      <c r="BG135"/>
      <c r="BH135"/>
      <c r="BJ135" s="6657" t="s">
        <v>2347</v>
      </c>
      <c r="BK135" s="6657"/>
      <c r="BM135" s="6653" t="s">
        <v>2348</v>
      </c>
      <c r="BN135" s="6653"/>
      <c r="BP135"/>
      <c r="BQ135"/>
      <c r="BS135"/>
      <c r="BT135"/>
      <c r="BV135"/>
      <c r="BW135"/>
      <c r="BX135"/>
      <c r="BY135"/>
      <c r="BZ135"/>
      <c r="CA135"/>
      <c r="CB135"/>
      <c r="CD135"/>
      <c r="CE135"/>
      <c r="CG135"/>
      <c r="CH135"/>
      <c r="CJ135"/>
      <c r="CK135"/>
      <c r="CM135"/>
      <c r="CN135"/>
      <c r="CP135"/>
      <c r="CQ135"/>
      <c r="CS135" s="6657" t="s">
        <v>2349</v>
      </c>
      <c r="CT135" s="6657"/>
      <c r="CV135" s="6653" t="s">
        <v>2350</v>
      </c>
      <c r="CW135" s="6653"/>
      <c r="CY135"/>
      <c r="CZ135"/>
      <c r="DB135"/>
      <c r="DC135"/>
      <c r="DE135"/>
      <c r="DF135"/>
      <c r="DH135"/>
      <c r="DI135"/>
      <c r="DJ135" s="3">
        <v>1</v>
      </c>
    </row>
    <row r="136" spans="2:114" s="627" customFormat="1" ht="18" customHeight="1">
      <c r="B136" s="633"/>
      <c r="C136" s="633"/>
      <c r="D136" s="633"/>
      <c r="E136" s="6637"/>
      <c r="F136" s="6637"/>
      <c r="G136" s="633"/>
      <c r="H136" s="633"/>
      <c r="I136" s="633"/>
      <c r="J136" s="633"/>
      <c r="K136" s="633"/>
      <c r="L136" s="633"/>
      <c r="M136" s="633"/>
      <c r="N136" s="633"/>
      <c r="O136" s="633"/>
      <c r="P136" s="633"/>
      <c r="Q136" s="633"/>
      <c r="R136" s="633"/>
      <c r="S136" s="633"/>
      <c r="T136" s="6626"/>
      <c r="U136" s="6626"/>
      <c r="V136" s="633"/>
      <c r="W136" s="6624"/>
      <c r="X136" s="6624"/>
      <c r="Y136" s="633"/>
      <c r="Z136" s="633"/>
      <c r="AA136" s="633"/>
      <c r="AB136" s="227"/>
      <c r="AC136" s="633"/>
      <c r="AD136" s="633"/>
      <c r="AE136" s="227"/>
      <c r="AF136" s="633"/>
      <c r="AG136" s="633"/>
      <c r="AH136" s="227"/>
      <c r="AI136" s="633"/>
      <c r="AJ136" s="633"/>
      <c r="AK136" s="633"/>
      <c r="AL136" s="633"/>
      <c r="AM136" s="633"/>
      <c r="AN136" s="633"/>
      <c r="AO136" s="633"/>
      <c r="AP136" s="633"/>
      <c r="AQ136" s="633"/>
      <c r="AR136"/>
      <c r="AS136"/>
      <c r="AU136"/>
      <c r="AV136"/>
      <c r="AX136"/>
      <c r="AY136"/>
      <c r="BA136"/>
      <c r="BB136"/>
      <c r="BD136"/>
      <c r="BE136"/>
      <c r="BG136"/>
      <c r="BH136"/>
      <c r="BJ136" s="6626" t="s">
        <v>114</v>
      </c>
      <c r="BK136" s="6626"/>
      <c r="BM136" s="6624" t="s">
        <v>114</v>
      </c>
      <c r="BN136" s="6624"/>
      <c r="BP136"/>
      <c r="BQ136"/>
      <c r="BS136"/>
      <c r="BT136"/>
      <c r="BV136"/>
      <c r="BW136"/>
      <c r="BX136"/>
      <c r="BY136"/>
      <c r="BZ136"/>
      <c r="CA136"/>
      <c r="CB136"/>
      <c r="CD136"/>
      <c r="CE136"/>
      <c r="CG136"/>
      <c r="CH136"/>
      <c r="CJ136"/>
      <c r="CK136"/>
      <c r="CM136"/>
      <c r="CN136"/>
      <c r="CP136"/>
      <c r="CQ136"/>
      <c r="CS136" s="6626" t="s">
        <v>114</v>
      </c>
      <c r="CT136" s="6626"/>
      <c r="CV136" s="6624" t="s">
        <v>114</v>
      </c>
      <c r="CW136" s="6624"/>
      <c r="CY136"/>
      <c r="CZ136"/>
      <c r="DB136"/>
      <c r="DC136"/>
      <c r="DE136"/>
      <c r="DF136"/>
      <c r="DH136"/>
      <c r="DI136"/>
      <c r="DJ136" s="3">
        <v>1</v>
      </c>
    </row>
    <row r="137" spans="2:114" s="627" customFormat="1" ht="18" customHeight="1" thickBot="1">
      <c r="B137" s="633"/>
      <c r="C137" s="633"/>
      <c r="D137" s="633"/>
      <c r="E137" s="633"/>
      <c r="F137" s="633"/>
      <c r="G137" s="633"/>
      <c r="H137" s="633"/>
      <c r="I137" s="633"/>
      <c r="J137" s="633"/>
      <c r="K137" s="633"/>
      <c r="L137" s="633"/>
      <c r="M137" s="633"/>
      <c r="N137" s="633"/>
      <c r="O137" s="633"/>
      <c r="P137" s="633"/>
      <c r="Q137" s="633"/>
      <c r="R137" s="633"/>
      <c r="S137" s="633"/>
      <c r="T137" s="648">
        <v>1</v>
      </c>
      <c r="U137" s="648">
        <v>1</v>
      </c>
      <c r="V137" s="633"/>
      <c r="W137" s="648">
        <v>1</v>
      </c>
      <c r="X137" s="648">
        <v>1</v>
      </c>
      <c r="Y137" s="633"/>
      <c r="Z137" s="633"/>
      <c r="AA137" s="633"/>
      <c r="AB137" s="227"/>
      <c r="AC137" s="633"/>
      <c r="AD137" s="633"/>
      <c r="AE137" s="227"/>
      <c r="AF137" s="633"/>
      <c r="AG137" s="633"/>
      <c r="AH137" s="227"/>
      <c r="AI137" s="633"/>
      <c r="AJ137" s="633"/>
      <c r="AK137" s="633"/>
      <c r="AL137" s="633"/>
      <c r="AM137" s="633"/>
      <c r="AN137" s="633"/>
      <c r="AO137" s="633"/>
      <c r="AP137" s="633"/>
      <c r="AQ137" s="633"/>
      <c r="AR137"/>
      <c r="AS137"/>
      <c r="AU137"/>
      <c r="AV137"/>
      <c r="AX137"/>
      <c r="AY137"/>
      <c r="BA137"/>
      <c r="BB137"/>
      <c r="BD137"/>
      <c r="BE137"/>
      <c r="BG137"/>
      <c r="BH137"/>
      <c r="BJ137" s="648" t="s">
        <v>114</v>
      </c>
      <c r="BK137" s="648"/>
      <c r="BM137" s="648" t="s">
        <v>114</v>
      </c>
      <c r="BN137" s="648"/>
      <c r="BP137"/>
      <c r="BQ137"/>
      <c r="BS137"/>
      <c r="BT137"/>
      <c r="BV137"/>
      <c r="BW137"/>
      <c r="BX137"/>
      <c r="BY137"/>
      <c r="BZ137"/>
      <c r="CA137"/>
      <c r="CB137"/>
      <c r="CD137"/>
      <c r="CE137"/>
      <c r="CG137"/>
      <c r="CH137"/>
      <c r="CJ137"/>
      <c r="CK137"/>
      <c r="CM137"/>
      <c r="CN137"/>
      <c r="CP137"/>
      <c r="CQ137"/>
      <c r="CS137" s="648" t="s">
        <v>114</v>
      </c>
      <c r="CT137" s="648"/>
      <c r="CV137" s="648" t="s">
        <v>114</v>
      </c>
      <c r="CW137" s="648"/>
      <c r="CY137"/>
      <c r="CZ137"/>
      <c r="DB137"/>
      <c r="DC137"/>
      <c r="DE137"/>
      <c r="DF137"/>
      <c r="DH137"/>
      <c r="DI137"/>
      <c r="DJ137" s="3">
        <v>1</v>
      </c>
    </row>
    <row r="138" spans="2:114" s="627" customFormat="1" ht="18" customHeight="1">
      <c r="B138" s="633"/>
      <c r="C138" s="633"/>
      <c r="D138" s="633"/>
      <c r="E138" s="633"/>
      <c r="F138" s="633"/>
      <c r="G138" s="633"/>
      <c r="H138" s="633"/>
      <c r="I138" s="633"/>
      <c r="J138" s="633"/>
      <c r="K138" s="633"/>
      <c r="L138" s="633"/>
      <c r="M138" s="633"/>
      <c r="N138" s="633"/>
      <c r="O138" s="633"/>
      <c r="P138" s="633"/>
      <c r="Q138" s="633"/>
      <c r="R138" s="633"/>
      <c r="S138" s="633"/>
      <c r="T138" s="6657" t="s">
        <v>1274</v>
      </c>
      <c r="U138" s="6657"/>
      <c r="V138" s="633"/>
      <c r="W138" s="6653" t="s">
        <v>1275</v>
      </c>
      <c r="X138" s="6653"/>
      <c r="Y138" s="633"/>
      <c r="Z138" s="633"/>
      <c r="AA138" s="633"/>
      <c r="AB138" s="227"/>
      <c r="AC138" s="633"/>
      <c r="AD138" s="633"/>
      <c r="AE138" s="227"/>
      <c r="AF138" s="633"/>
      <c r="AG138" s="633"/>
      <c r="AH138" s="227"/>
      <c r="AI138" s="633"/>
      <c r="AJ138" s="633"/>
      <c r="AK138" s="633"/>
      <c r="AL138" s="633"/>
      <c r="AM138" s="633"/>
      <c r="AN138" s="633"/>
      <c r="AO138" s="633"/>
      <c r="AP138" s="633"/>
      <c r="AQ138" s="633"/>
      <c r="AR138"/>
      <c r="AS138"/>
      <c r="AU138"/>
      <c r="AV138"/>
      <c r="AX138"/>
      <c r="AY138"/>
      <c r="BA138"/>
      <c r="BB138"/>
      <c r="BD138"/>
      <c r="BE138"/>
      <c r="BG138"/>
      <c r="BH138"/>
      <c r="BJ138" s="6657" t="s">
        <v>2351</v>
      </c>
      <c r="BK138" s="6657"/>
      <c r="BM138" s="6653" t="s">
        <v>2352</v>
      </c>
      <c r="BN138" s="6653"/>
      <c r="BP138"/>
      <c r="BQ138"/>
      <c r="BS138"/>
      <c r="BT138"/>
      <c r="BV138"/>
      <c r="BW138"/>
      <c r="BX138"/>
      <c r="BY138"/>
      <c r="BZ138"/>
      <c r="CA138"/>
      <c r="CB138"/>
      <c r="CD138"/>
      <c r="CE138"/>
      <c r="CG138"/>
      <c r="CH138"/>
      <c r="CJ138"/>
      <c r="CK138"/>
      <c r="CM138"/>
      <c r="CN138"/>
      <c r="CP138"/>
      <c r="CQ138"/>
      <c r="CS138" s="6657" t="s">
        <v>2353</v>
      </c>
      <c r="CT138" s="6657"/>
      <c r="CV138" s="6653" t="s">
        <v>2354</v>
      </c>
      <c r="CW138" s="6653"/>
      <c r="CY138"/>
      <c r="CZ138"/>
      <c r="DB138"/>
      <c r="DC138"/>
      <c r="DE138"/>
      <c r="DF138"/>
      <c r="DH138"/>
      <c r="DI138"/>
      <c r="DJ138" s="3">
        <v>1</v>
      </c>
    </row>
    <row r="139" spans="2:114" s="627" customFormat="1" ht="18" customHeight="1">
      <c r="B139" s="633"/>
      <c r="C139" s="633"/>
      <c r="D139" s="633"/>
      <c r="E139" s="633"/>
      <c r="F139" s="633"/>
      <c r="G139" s="633"/>
      <c r="H139" s="633"/>
      <c r="I139" s="633"/>
      <c r="J139" s="633"/>
      <c r="K139" s="633"/>
      <c r="L139" s="633"/>
      <c r="M139" s="633"/>
      <c r="N139" s="633"/>
      <c r="O139" s="633"/>
      <c r="P139" s="633"/>
      <c r="Q139" s="633"/>
      <c r="R139" s="633"/>
      <c r="S139" s="633"/>
      <c r="T139" s="6626"/>
      <c r="U139" s="6626"/>
      <c r="V139" s="633"/>
      <c r="W139" s="6624"/>
      <c r="X139" s="6624"/>
      <c r="Y139" s="633"/>
      <c r="Z139" s="633"/>
      <c r="AA139" s="633"/>
      <c r="AB139" s="227"/>
      <c r="AC139" s="633"/>
      <c r="AD139" s="633"/>
      <c r="AE139" s="227"/>
      <c r="AF139" s="633"/>
      <c r="AG139" s="633"/>
      <c r="AH139" s="227"/>
      <c r="AI139" s="633"/>
      <c r="AJ139" s="633"/>
      <c r="AK139" s="633"/>
      <c r="AL139" s="633"/>
      <c r="AM139" s="633"/>
      <c r="AN139" s="633"/>
      <c r="AO139" s="633"/>
      <c r="AP139" s="633"/>
      <c r="AQ139" s="633"/>
      <c r="AR139"/>
      <c r="AS139"/>
      <c r="AU139"/>
      <c r="AV139"/>
      <c r="AX139"/>
      <c r="AY139"/>
      <c r="BA139"/>
      <c r="BB139"/>
      <c r="BD139"/>
      <c r="BE139"/>
      <c r="BG139"/>
      <c r="BH139"/>
      <c r="BJ139" s="6626" t="s">
        <v>114</v>
      </c>
      <c r="BK139" s="6626"/>
      <c r="BM139" s="6624" t="s">
        <v>114</v>
      </c>
      <c r="BN139" s="6624"/>
      <c r="BP139"/>
      <c r="BQ139"/>
      <c r="BS139"/>
      <c r="BT139"/>
      <c r="BV139"/>
      <c r="BW139"/>
      <c r="BX139"/>
      <c r="BY139"/>
      <c r="BZ139"/>
      <c r="CA139"/>
      <c r="CB139"/>
      <c r="CD139"/>
      <c r="CE139"/>
      <c r="CG139"/>
      <c r="CH139"/>
      <c r="CJ139"/>
      <c r="CK139"/>
      <c r="CM139"/>
      <c r="CN139"/>
      <c r="CP139"/>
      <c r="CQ139"/>
      <c r="CS139" s="6626" t="s">
        <v>114</v>
      </c>
      <c r="CT139" s="6626"/>
      <c r="CV139" s="6624" t="s">
        <v>114</v>
      </c>
      <c r="CW139" s="6624"/>
      <c r="CY139"/>
      <c r="CZ139"/>
      <c r="DB139"/>
      <c r="DC139"/>
      <c r="DE139"/>
      <c r="DF139"/>
      <c r="DH139"/>
      <c r="DI139"/>
      <c r="DJ139" s="3">
        <v>1</v>
      </c>
    </row>
    <row r="140" spans="2:114" s="627" customFormat="1" ht="18" customHeight="1" thickBot="1">
      <c r="B140" s="633"/>
      <c r="C140" s="633"/>
      <c r="D140" s="633"/>
      <c r="E140" s="633"/>
      <c r="F140" s="633"/>
      <c r="G140" s="633"/>
      <c r="H140" s="633"/>
      <c r="I140" s="633"/>
      <c r="J140" s="633"/>
      <c r="K140" s="633"/>
      <c r="L140" s="633"/>
      <c r="M140" s="633"/>
      <c r="N140" s="633"/>
      <c r="O140" s="633"/>
      <c r="P140" s="633"/>
      <c r="Q140" s="633"/>
      <c r="R140" s="633"/>
      <c r="S140" s="633"/>
      <c r="T140" s="648">
        <v>1</v>
      </c>
      <c r="U140" s="648">
        <v>1</v>
      </c>
      <c r="V140" s="633"/>
      <c r="W140" s="648">
        <v>1</v>
      </c>
      <c r="X140" s="648">
        <v>1</v>
      </c>
      <c r="Y140" s="633"/>
      <c r="Z140" s="633"/>
      <c r="AA140" s="633"/>
      <c r="AB140" s="227"/>
      <c r="AC140" s="633"/>
      <c r="AD140" s="633"/>
      <c r="AE140" s="227"/>
      <c r="AF140" s="633"/>
      <c r="AG140" s="633"/>
      <c r="AH140" s="227"/>
      <c r="AI140" s="633"/>
      <c r="AJ140" s="633"/>
      <c r="AK140" s="633"/>
      <c r="AL140" s="633"/>
      <c r="AM140" s="633"/>
      <c r="AN140" s="633"/>
      <c r="AO140" s="633"/>
      <c r="AP140" s="633"/>
      <c r="AQ140" s="633"/>
      <c r="AR140"/>
      <c r="AS140"/>
      <c r="AU140"/>
      <c r="AV140"/>
      <c r="AX140"/>
      <c r="AY140"/>
      <c r="BA140"/>
      <c r="BB140"/>
      <c r="BD140"/>
      <c r="BE140"/>
      <c r="BG140"/>
      <c r="BH140"/>
      <c r="BJ140" s="648" t="s">
        <v>114</v>
      </c>
      <c r="BK140" s="648"/>
      <c r="BM140" s="648" t="s">
        <v>114</v>
      </c>
      <c r="BN140" s="648"/>
      <c r="BP140"/>
      <c r="BQ140"/>
      <c r="BS140"/>
      <c r="BT140"/>
      <c r="BV140"/>
      <c r="BW140"/>
      <c r="BX140"/>
      <c r="BY140"/>
      <c r="BZ140"/>
      <c r="CA140"/>
      <c r="CB140"/>
      <c r="CD140"/>
      <c r="CE140"/>
      <c r="CG140"/>
      <c r="CH140"/>
      <c r="CJ140"/>
      <c r="CK140"/>
      <c r="CM140"/>
      <c r="CN140"/>
      <c r="CP140"/>
      <c r="CQ140"/>
      <c r="CS140" s="648" t="s">
        <v>114</v>
      </c>
      <c r="CT140" s="648"/>
      <c r="CV140" s="648" t="s">
        <v>114</v>
      </c>
      <c r="CW140" s="648"/>
      <c r="CY140"/>
      <c r="CZ140"/>
      <c r="DB140"/>
      <c r="DC140"/>
      <c r="DE140"/>
      <c r="DF140"/>
      <c r="DH140"/>
      <c r="DI140"/>
      <c r="DJ140" s="3">
        <v>1</v>
      </c>
    </row>
    <row r="141" spans="2:114" s="627" customFormat="1" ht="18" customHeight="1">
      <c r="B141" s="633"/>
      <c r="C141" s="633"/>
      <c r="D141" s="633"/>
      <c r="E141" s="633"/>
      <c r="F141" s="633"/>
      <c r="G141" s="633"/>
      <c r="H141" s="633"/>
      <c r="I141" s="633"/>
      <c r="J141" s="633"/>
      <c r="K141" s="633"/>
      <c r="L141" s="633"/>
      <c r="M141" s="633"/>
      <c r="N141" s="633"/>
      <c r="O141" s="633"/>
      <c r="P141" s="633"/>
      <c r="Q141" s="633"/>
      <c r="R141" s="633"/>
      <c r="S141" s="633"/>
      <c r="T141" s="6657" t="s">
        <v>1276</v>
      </c>
      <c r="U141" s="6657"/>
      <c r="V141" s="633"/>
      <c r="W141" s="6653" t="s">
        <v>1277</v>
      </c>
      <c r="X141" s="6653"/>
      <c r="Y141" s="633"/>
      <c r="Z141" s="633"/>
      <c r="AA141" s="633"/>
      <c r="AB141" s="227"/>
      <c r="AC141" s="633"/>
      <c r="AD141" s="633"/>
      <c r="AE141" s="227"/>
      <c r="AF141" s="633"/>
      <c r="AG141" s="633"/>
      <c r="AH141" s="227"/>
      <c r="AI141" s="633"/>
      <c r="AJ141" s="633"/>
      <c r="AK141" s="633"/>
      <c r="AL141" s="633"/>
      <c r="AM141" s="633"/>
      <c r="AN141" s="633"/>
      <c r="AO141" s="633"/>
      <c r="AP141" s="633"/>
      <c r="AQ141" s="633"/>
      <c r="AR141"/>
      <c r="AS141"/>
      <c r="AU141"/>
      <c r="AV141"/>
      <c r="AX141"/>
      <c r="AY141"/>
      <c r="BA141"/>
      <c r="BB141"/>
      <c r="BD141"/>
      <c r="BE141"/>
      <c r="BG141"/>
      <c r="BH141"/>
      <c r="BJ141" s="6657" t="s">
        <v>2355</v>
      </c>
      <c r="BK141" s="6657"/>
      <c r="BM141" s="6653" t="s">
        <v>2356</v>
      </c>
      <c r="BN141" s="6653"/>
      <c r="BP141"/>
      <c r="BQ141"/>
      <c r="BS141"/>
      <c r="BT141"/>
      <c r="BV141"/>
      <c r="BW141"/>
      <c r="BX141"/>
      <c r="BY141"/>
      <c r="BZ141"/>
      <c r="CA141"/>
      <c r="CB141"/>
      <c r="CD141"/>
      <c r="CE141"/>
      <c r="CG141"/>
      <c r="CH141"/>
      <c r="CJ141"/>
      <c r="CK141"/>
      <c r="CM141"/>
      <c r="CN141"/>
      <c r="CP141"/>
      <c r="CQ141"/>
      <c r="CS141" s="6657" t="s">
        <v>2357</v>
      </c>
      <c r="CT141" s="6657"/>
      <c r="CV141" s="6653" t="s">
        <v>2358</v>
      </c>
      <c r="CW141" s="6653"/>
      <c r="CY141"/>
      <c r="CZ141"/>
      <c r="DB141"/>
      <c r="DC141"/>
      <c r="DE141"/>
      <c r="DF141"/>
      <c r="DH141"/>
      <c r="DI141"/>
      <c r="DJ141" s="3">
        <v>1</v>
      </c>
    </row>
    <row r="142" spans="2:114" s="627" customFormat="1" ht="18" customHeight="1">
      <c r="B142" s="633"/>
      <c r="C142" s="633"/>
      <c r="D142" s="633"/>
      <c r="E142" s="633"/>
      <c r="F142" s="633"/>
      <c r="G142" s="633"/>
      <c r="H142" s="633"/>
      <c r="I142" s="633"/>
      <c r="J142" s="633"/>
      <c r="K142" s="633"/>
      <c r="L142" s="633"/>
      <c r="M142" s="633"/>
      <c r="N142" s="633"/>
      <c r="O142" s="633"/>
      <c r="P142" s="633"/>
      <c r="Q142" s="633"/>
      <c r="R142" s="633"/>
      <c r="S142" s="633"/>
      <c r="T142" s="6626"/>
      <c r="U142" s="6626"/>
      <c r="V142" s="633"/>
      <c r="W142" s="6624"/>
      <c r="X142" s="6624"/>
      <c r="Y142" s="633"/>
      <c r="Z142" s="633"/>
      <c r="AA142" s="633"/>
      <c r="AB142" s="227"/>
      <c r="AC142" s="633"/>
      <c r="AD142" s="633"/>
      <c r="AE142" s="227"/>
      <c r="AF142" s="633"/>
      <c r="AG142" s="633"/>
      <c r="AH142" s="227"/>
      <c r="AI142" s="633"/>
      <c r="AJ142" s="633"/>
      <c r="AK142" s="633"/>
      <c r="AL142" s="633"/>
      <c r="AM142" s="633"/>
      <c r="AN142" s="633"/>
      <c r="AO142" s="633"/>
      <c r="AP142" s="633"/>
      <c r="AQ142" s="633"/>
      <c r="AR142"/>
      <c r="AS142"/>
      <c r="AU142"/>
      <c r="AV142"/>
      <c r="AX142"/>
      <c r="AY142"/>
      <c r="BA142"/>
      <c r="BB142"/>
      <c r="BD142"/>
      <c r="BE142"/>
      <c r="BG142"/>
      <c r="BH142"/>
      <c r="BJ142" s="6626" t="s">
        <v>114</v>
      </c>
      <c r="BK142" s="6626"/>
      <c r="BM142" s="6624" t="s">
        <v>114</v>
      </c>
      <c r="BN142" s="6624"/>
      <c r="BP142"/>
      <c r="BQ142"/>
      <c r="BS142"/>
      <c r="BT142"/>
      <c r="BV142"/>
      <c r="BW142"/>
      <c r="BX142"/>
      <c r="BY142"/>
      <c r="BZ142"/>
      <c r="CA142"/>
      <c r="CB142"/>
      <c r="CD142"/>
      <c r="CE142"/>
      <c r="CG142"/>
      <c r="CH142"/>
      <c r="CJ142"/>
      <c r="CK142"/>
      <c r="CM142"/>
      <c r="CN142"/>
      <c r="CP142"/>
      <c r="CQ142"/>
      <c r="CS142" s="6626" t="s">
        <v>114</v>
      </c>
      <c r="CT142" s="6626"/>
      <c r="CV142" s="6624" t="s">
        <v>114</v>
      </c>
      <c r="CW142" s="6624"/>
      <c r="CY142"/>
      <c r="CZ142"/>
      <c r="DB142"/>
      <c r="DC142"/>
      <c r="DE142"/>
      <c r="DF142"/>
      <c r="DH142"/>
      <c r="DI142"/>
      <c r="DJ142" s="3">
        <v>1</v>
      </c>
    </row>
    <row r="143" spans="2:114" s="627" customFormat="1" ht="18" customHeight="1" thickBot="1">
      <c r="B143" s="633"/>
      <c r="C143" s="633"/>
      <c r="D143" s="633"/>
      <c r="E143" s="633"/>
      <c r="F143" s="633"/>
      <c r="G143" s="633"/>
      <c r="H143" s="633"/>
      <c r="I143" s="633"/>
      <c r="J143" s="633"/>
      <c r="K143" s="633"/>
      <c r="L143" s="633"/>
      <c r="M143" s="633"/>
      <c r="N143" s="633"/>
      <c r="O143" s="633"/>
      <c r="P143" s="633"/>
      <c r="Q143" s="633"/>
      <c r="R143" s="633"/>
      <c r="S143" s="633"/>
      <c r="T143" s="648">
        <v>1</v>
      </c>
      <c r="U143" s="648">
        <v>1</v>
      </c>
      <c r="V143" s="633"/>
      <c r="W143" s="648">
        <v>1</v>
      </c>
      <c r="X143" s="648">
        <v>1</v>
      </c>
      <c r="Y143" s="633"/>
      <c r="Z143" s="633"/>
      <c r="AA143" s="633"/>
      <c r="AB143" s="227"/>
      <c r="AC143" s="633"/>
      <c r="AD143" s="633"/>
      <c r="AE143" s="227"/>
      <c r="AF143" s="633"/>
      <c r="AG143" s="633"/>
      <c r="AH143" s="227"/>
      <c r="AI143" s="633"/>
      <c r="AJ143" s="633"/>
      <c r="AK143" s="633"/>
      <c r="AL143" s="633"/>
      <c r="AM143" s="633"/>
      <c r="AN143" s="633"/>
      <c r="AO143" s="633"/>
      <c r="AP143" s="633"/>
      <c r="AQ143" s="633"/>
      <c r="AR143"/>
      <c r="AS143"/>
      <c r="AU143"/>
      <c r="AV143"/>
      <c r="AX143"/>
      <c r="AY143"/>
      <c r="BA143"/>
      <c r="BB143"/>
      <c r="BD143"/>
      <c r="BE143"/>
      <c r="BG143"/>
      <c r="BH143"/>
      <c r="BJ143" s="648" t="s">
        <v>114</v>
      </c>
      <c r="BK143" s="648"/>
      <c r="BM143" s="648" t="s">
        <v>114</v>
      </c>
      <c r="BN143" s="648"/>
      <c r="BP143"/>
      <c r="BQ143"/>
      <c r="BS143"/>
      <c r="BT143"/>
      <c r="BV143"/>
      <c r="BW143"/>
      <c r="BX143"/>
      <c r="BY143"/>
      <c r="BZ143"/>
      <c r="CA143"/>
      <c r="CB143"/>
      <c r="CD143"/>
      <c r="CE143"/>
      <c r="CG143"/>
      <c r="CH143"/>
      <c r="CJ143"/>
      <c r="CK143"/>
      <c r="CM143"/>
      <c r="CN143"/>
      <c r="CP143"/>
      <c r="CQ143"/>
      <c r="CS143" s="648" t="s">
        <v>114</v>
      </c>
      <c r="CT143" s="648"/>
      <c r="CV143" s="648" t="s">
        <v>114</v>
      </c>
      <c r="CW143" s="648"/>
      <c r="CY143"/>
      <c r="CZ143"/>
      <c r="DB143"/>
      <c r="DC143"/>
      <c r="DE143"/>
      <c r="DF143"/>
      <c r="DH143"/>
      <c r="DI143"/>
      <c r="DJ143" s="3">
        <v>1</v>
      </c>
    </row>
    <row r="144" spans="2:114" s="627" customFormat="1" ht="18" customHeight="1">
      <c r="B144" s="633"/>
      <c r="C144" s="633"/>
      <c r="D144" s="633"/>
      <c r="E144" s="633"/>
      <c r="F144" s="633"/>
      <c r="G144" s="633"/>
      <c r="H144" s="633"/>
      <c r="I144" s="633"/>
      <c r="J144" s="633"/>
      <c r="K144" s="633"/>
      <c r="L144" s="633"/>
      <c r="M144" s="633"/>
      <c r="N144" s="633"/>
      <c r="O144" s="633"/>
      <c r="P144" s="633"/>
      <c r="Q144" s="633"/>
      <c r="R144" s="633"/>
      <c r="S144" s="633"/>
      <c r="T144" s="6657" t="s">
        <v>1278</v>
      </c>
      <c r="U144" s="6657"/>
      <c r="V144" s="633"/>
      <c r="W144" s="6653" t="s">
        <v>1279</v>
      </c>
      <c r="X144" s="6653"/>
      <c r="Y144" s="633"/>
      <c r="Z144" s="633"/>
      <c r="AA144" s="633"/>
      <c r="AB144" s="227"/>
      <c r="AC144" s="633"/>
      <c r="AD144" s="633"/>
      <c r="AE144" s="227"/>
      <c r="AF144" s="633"/>
      <c r="AG144" s="633"/>
      <c r="AH144" s="227"/>
      <c r="AI144" s="633"/>
      <c r="AJ144" s="633"/>
      <c r="AK144" s="633"/>
      <c r="AL144" s="633"/>
      <c r="AM144" s="633"/>
      <c r="AN144" s="633"/>
      <c r="AO144" s="633"/>
      <c r="AP144" s="633"/>
      <c r="AQ144" s="633"/>
      <c r="AR144"/>
      <c r="AS144"/>
      <c r="AU144"/>
      <c r="AV144"/>
      <c r="AX144"/>
      <c r="AY144"/>
      <c r="BA144"/>
      <c r="BB144"/>
      <c r="BD144"/>
      <c r="BE144"/>
      <c r="BG144"/>
      <c r="BH144"/>
      <c r="BJ144" s="6657" t="s">
        <v>2359</v>
      </c>
      <c r="BK144" s="6657"/>
      <c r="BM144" s="6653" t="s">
        <v>2360</v>
      </c>
      <c r="BN144" s="6653"/>
      <c r="BP144"/>
      <c r="BQ144"/>
      <c r="BS144"/>
      <c r="BT144"/>
      <c r="BV144"/>
      <c r="BW144"/>
      <c r="BX144"/>
      <c r="BY144"/>
      <c r="BZ144"/>
      <c r="CA144"/>
      <c r="CB144"/>
      <c r="CD144"/>
      <c r="CE144"/>
      <c r="CG144"/>
      <c r="CH144"/>
      <c r="CJ144"/>
      <c r="CK144"/>
      <c r="CM144"/>
      <c r="CN144"/>
      <c r="CP144"/>
      <c r="CQ144"/>
      <c r="CS144" s="6657" t="s">
        <v>2361</v>
      </c>
      <c r="CT144" s="6657"/>
      <c r="CV144" s="6653" t="s">
        <v>2362</v>
      </c>
      <c r="CW144" s="6653"/>
      <c r="CY144"/>
      <c r="CZ144"/>
      <c r="DB144"/>
      <c r="DC144"/>
      <c r="DE144"/>
      <c r="DF144"/>
      <c r="DH144"/>
      <c r="DI144"/>
      <c r="DJ144" s="3">
        <v>1</v>
      </c>
    </row>
    <row r="145" spans="2:114" s="627" customFormat="1" ht="18" customHeight="1">
      <c r="B145" s="633"/>
      <c r="C145" s="633"/>
      <c r="D145" s="633"/>
      <c r="E145" s="633"/>
      <c r="F145" s="633"/>
      <c r="G145" s="633"/>
      <c r="H145" s="633"/>
      <c r="I145" s="633"/>
      <c r="J145" s="633"/>
      <c r="K145" s="633"/>
      <c r="L145" s="633"/>
      <c r="M145" s="633"/>
      <c r="N145" s="633"/>
      <c r="O145" s="633"/>
      <c r="P145" s="633"/>
      <c r="Q145" s="633"/>
      <c r="R145" s="633"/>
      <c r="S145" s="633"/>
      <c r="T145" s="6626"/>
      <c r="U145" s="6626"/>
      <c r="V145" s="633"/>
      <c r="W145" s="6624"/>
      <c r="X145" s="6624"/>
      <c r="Y145" s="633"/>
      <c r="Z145" s="633"/>
      <c r="AA145" s="633"/>
      <c r="AB145" s="227"/>
      <c r="AC145" s="633"/>
      <c r="AD145" s="633"/>
      <c r="AE145" s="227"/>
      <c r="AF145" s="633"/>
      <c r="AG145" s="633"/>
      <c r="AH145" s="227"/>
      <c r="AI145" s="633"/>
      <c r="AJ145" s="633"/>
      <c r="AK145" s="633"/>
      <c r="AL145" s="633"/>
      <c r="AM145" s="633"/>
      <c r="AN145" s="633"/>
      <c r="AO145" s="633"/>
      <c r="AP145" s="633"/>
      <c r="AQ145" s="633"/>
      <c r="AR145"/>
      <c r="AS145"/>
      <c r="AU145"/>
      <c r="AV145"/>
      <c r="AX145"/>
      <c r="AY145"/>
      <c r="BA145"/>
      <c r="BB145"/>
      <c r="BD145"/>
      <c r="BE145"/>
      <c r="BG145"/>
      <c r="BH145"/>
      <c r="BJ145" s="6626" t="s">
        <v>114</v>
      </c>
      <c r="BK145" s="6626"/>
      <c r="BM145" s="6624" t="s">
        <v>114</v>
      </c>
      <c r="BN145" s="6624"/>
      <c r="BP145"/>
      <c r="BQ145"/>
      <c r="BS145"/>
      <c r="BT145"/>
      <c r="BV145"/>
      <c r="BW145"/>
      <c r="BX145"/>
      <c r="BY145"/>
      <c r="BZ145"/>
      <c r="CA145"/>
      <c r="CB145"/>
      <c r="CD145"/>
      <c r="CE145"/>
      <c r="CG145"/>
      <c r="CH145"/>
      <c r="CJ145"/>
      <c r="CK145"/>
      <c r="CM145"/>
      <c r="CN145"/>
      <c r="CP145"/>
      <c r="CQ145"/>
      <c r="CS145" s="6626" t="s">
        <v>114</v>
      </c>
      <c r="CT145" s="6626"/>
      <c r="CV145" s="6624" t="s">
        <v>114</v>
      </c>
      <c r="CW145" s="6624"/>
      <c r="CY145"/>
      <c r="CZ145"/>
      <c r="DB145"/>
      <c r="DC145"/>
      <c r="DE145"/>
      <c r="DF145"/>
      <c r="DH145"/>
      <c r="DI145"/>
      <c r="DJ145" s="3">
        <v>1</v>
      </c>
    </row>
    <row r="146" spans="2:114" s="627" customFormat="1" ht="18" customHeight="1" thickBot="1">
      <c r="B146" s="633"/>
      <c r="C146" s="633"/>
      <c r="D146" s="633"/>
      <c r="E146" s="633"/>
      <c r="F146" s="633"/>
      <c r="G146" s="633"/>
      <c r="H146" s="633"/>
      <c r="I146" s="633"/>
      <c r="J146" s="633"/>
      <c r="K146" s="633"/>
      <c r="L146" s="633"/>
      <c r="M146" s="633"/>
      <c r="N146" s="633"/>
      <c r="O146" s="633"/>
      <c r="P146" s="633"/>
      <c r="Q146" s="633"/>
      <c r="R146" s="633"/>
      <c r="S146" s="633"/>
      <c r="T146" s="648">
        <v>1</v>
      </c>
      <c r="U146" s="648">
        <v>1</v>
      </c>
      <c r="V146" s="633"/>
      <c r="W146" s="648">
        <v>1</v>
      </c>
      <c r="X146" s="648">
        <v>1</v>
      </c>
      <c r="Y146" s="633"/>
      <c r="Z146" s="633"/>
      <c r="AA146" s="633"/>
      <c r="AB146" s="227"/>
      <c r="AC146" s="633"/>
      <c r="AD146" s="633"/>
      <c r="AE146" s="227"/>
      <c r="AF146" s="633"/>
      <c r="AG146" s="633"/>
      <c r="AH146" s="227"/>
      <c r="AI146" s="633"/>
      <c r="AJ146" s="633"/>
      <c r="AK146" s="633"/>
      <c r="AL146" s="633"/>
      <c r="AM146" s="633"/>
      <c r="AN146" s="633"/>
      <c r="AO146" s="633"/>
      <c r="AP146" s="633"/>
      <c r="AQ146" s="633"/>
      <c r="AR146"/>
      <c r="AS146"/>
      <c r="AU146"/>
      <c r="AV146"/>
      <c r="AX146"/>
      <c r="AY146"/>
      <c r="BA146"/>
      <c r="BB146"/>
      <c r="BD146"/>
      <c r="BE146"/>
      <c r="BG146"/>
      <c r="BH146"/>
      <c r="BJ146" s="648" t="s">
        <v>114</v>
      </c>
      <c r="BK146" s="648"/>
      <c r="BM146" s="648" t="s">
        <v>114</v>
      </c>
      <c r="BN146" s="648"/>
      <c r="BP146"/>
      <c r="BQ146"/>
      <c r="BS146"/>
      <c r="BT146"/>
      <c r="BV146"/>
      <c r="BW146"/>
      <c r="BX146"/>
      <c r="BY146"/>
      <c r="BZ146"/>
      <c r="CA146"/>
      <c r="CB146"/>
      <c r="CD146"/>
      <c r="CE146"/>
      <c r="CG146"/>
      <c r="CH146"/>
      <c r="CJ146"/>
      <c r="CK146"/>
      <c r="CM146"/>
      <c r="CN146"/>
      <c r="CP146"/>
      <c r="CQ146"/>
      <c r="CS146" s="648" t="s">
        <v>114</v>
      </c>
      <c r="CT146" s="648"/>
      <c r="CV146" s="648" t="s">
        <v>114</v>
      </c>
      <c r="CW146" s="648"/>
      <c r="CY146"/>
      <c r="CZ146"/>
      <c r="DB146"/>
      <c r="DC146"/>
      <c r="DE146"/>
      <c r="DF146"/>
      <c r="DH146"/>
      <c r="DI146"/>
      <c r="DJ146" s="3">
        <v>1</v>
      </c>
    </row>
    <row r="147" spans="2:114" s="627" customFormat="1" ht="18" customHeight="1">
      <c r="B147" s="633"/>
      <c r="C147" s="633"/>
      <c r="D147" s="633"/>
      <c r="E147" s="633"/>
      <c r="F147" s="633"/>
      <c r="G147" s="633"/>
      <c r="H147" s="633"/>
      <c r="I147" s="633"/>
      <c r="J147" s="633"/>
      <c r="K147" s="633"/>
      <c r="L147" s="633"/>
      <c r="M147" s="633"/>
      <c r="N147" s="633"/>
      <c r="O147" s="633"/>
      <c r="P147" s="633"/>
      <c r="Q147" s="633"/>
      <c r="R147" s="633"/>
      <c r="S147" s="633"/>
      <c r="T147" s="6657" t="s">
        <v>1280</v>
      </c>
      <c r="U147" s="6657"/>
      <c r="V147" s="633"/>
      <c r="W147" s="6653" t="s">
        <v>1281</v>
      </c>
      <c r="X147" s="6653"/>
      <c r="Y147" s="633"/>
      <c r="Z147" s="633"/>
      <c r="AA147" s="633"/>
      <c r="AB147" s="227"/>
      <c r="AC147" s="633"/>
      <c r="AD147" s="633"/>
      <c r="AE147" s="227"/>
      <c r="AF147" s="633"/>
      <c r="AG147" s="633"/>
      <c r="AH147" s="227"/>
      <c r="AI147" s="633"/>
      <c r="AJ147" s="633"/>
      <c r="AK147" s="633"/>
      <c r="AL147" s="633"/>
      <c r="AM147" s="633"/>
      <c r="AN147" s="633"/>
      <c r="AO147" s="633"/>
      <c r="AP147" s="633"/>
      <c r="AQ147" s="633"/>
      <c r="AR147"/>
      <c r="AS147"/>
      <c r="AU147"/>
      <c r="AV147"/>
      <c r="AX147"/>
      <c r="AY147"/>
      <c r="BA147"/>
      <c r="BB147"/>
      <c r="BD147"/>
      <c r="BE147"/>
      <c r="BG147"/>
      <c r="BH147"/>
      <c r="BJ147" s="6657" t="s">
        <v>2363</v>
      </c>
      <c r="BK147" s="6657"/>
      <c r="BM147" s="6653" t="s">
        <v>2364</v>
      </c>
      <c r="BN147" s="6653"/>
      <c r="BP147"/>
      <c r="BQ147"/>
      <c r="BS147"/>
      <c r="BT147"/>
      <c r="BV147"/>
      <c r="BW147"/>
      <c r="BX147"/>
      <c r="BY147"/>
      <c r="BZ147"/>
      <c r="CA147"/>
      <c r="CB147"/>
      <c r="CD147"/>
      <c r="CE147"/>
      <c r="CG147"/>
      <c r="CH147"/>
      <c r="CJ147"/>
      <c r="CK147"/>
      <c r="CM147"/>
      <c r="CN147"/>
      <c r="CP147"/>
      <c r="CQ147"/>
      <c r="CS147" s="6657" t="s">
        <v>2365</v>
      </c>
      <c r="CT147" s="6657"/>
      <c r="CV147" s="6653" t="s">
        <v>2366</v>
      </c>
      <c r="CW147" s="6653"/>
      <c r="CY147"/>
      <c r="CZ147"/>
      <c r="DB147"/>
      <c r="DC147"/>
      <c r="DE147"/>
      <c r="DF147"/>
      <c r="DH147"/>
      <c r="DI147"/>
      <c r="DJ147" s="3">
        <v>1</v>
      </c>
    </row>
    <row r="148" spans="2:114" s="627" customFormat="1" ht="18" customHeight="1">
      <c r="B148" s="633"/>
      <c r="C148" s="633"/>
      <c r="D148" s="633"/>
      <c r="E148" s="633"/>
      <c r="F148" s="633"/>
      <c r="G148" s="633"/>
      <c r="H148" s="633"/>
      <c r="I148" s="633"/>
      <c r="J148" s="633"/>
      <c r="K148" s="633"/>
      <c r="L148" s="633"/>
      <c r="M148" s="633"/>
      <c r="N148" s="633"/>
      <c r="O148" s="633"/>
      <c r="P148" s="633"/>
      <c r="Q148" s="633"/>
      <c r="R148" s="633"/>
      <c r="S148" s="633"/>
      <c r="T148" s="6626"/>
      <c r="U148" s="6626"/>
      <c r="V148" s="633"/>
      <c r="W148" s="6624"/>
      <c r="X148" s="6624"/>
      <c r="Y148" s="633"/>
      <c r="Z148" s="633"/>
      <c r="AA148" s="633"/>
      <c r="AB148" s="227"/>
      <c r="AC148" s="633"/>
      <c r="AD148" s="633"/>
      <c r="AE148" s="227"/>
      <c r="AF148" s="633"/>
      <c r="AG148" s="633"/>
      <c r="AH148" s="227"/>
      <c r="AI148" s="633"/>
      <c r="AJ148" s="633"/>
      <c r="AK148" s="633"/>
      <c r="AL148" s="633"/>
      <c r="AM148" s="633"/>
      <c r="AN148" s="633"/>
      <c r="AO148" s="633"/>
      <c r="AP148" s="633"/>
      <c r="AQ148" s="633"/>
      <c r="AR148"/>
      <c r="AS148"/>
      <c r="AU148"/>
      <c r="AV148"/>
      <c r="AX148"/>
      <c r="AY148"/>
      <c r="BA148"/>
      <c r="BB148"/>
      <c r="BD148"/>
      <c r="BE148"/>
      <c r="BG148"/>
      <c r="BH148"/>
      <c r="BJ148" s="6626" t="s">
        <v>114</v>
      </c>
      <c r="BK148" s="6626"/>
      <c r="BM148" s="6624" t="s">
        <v>114</v>
      </c>
      <c r="BN148" s="6624"/>
      <c r="BP148"/>
      <c r="BQ148"/>
      <c r="BS148"/>
      <c r="BT148"/>
      <c r="BV148"/>
      <c r="BW148"/>
      <c r="BX148"/>
      <c r="BY148"/>
      <c r="BZ148"/>
      <c r="CA148"/>
      <c r="CB148"/>
      <c r="CD148"/>
      <c r="CE148"/>
      <c r="CG148"/>
      <c r="CH148"/>
      <c r="CJ148"/>
      <c r="CK148"/>
      <c r="CM148"/>
      <c r="CN148"/>
      <c r="CP148"/>
      <c r="CQ148"/>
      <c r="CS148" s="6626" t="s">
        <v>114</v>
      </c>
      <c r="CT148" s="6626"/>
      <c r="CV148" s="6624" t="s">
        <v>114</v>
      </c>
      <c r="CW148" s="6624"/>
      <c r="CY148"/>
      <c r="CZ148"/>
      <c r="DB148"/>
      <c r="DC148"/>
      <c r="DE148"/>
      <c r="DF148"/>
      <c r="DH148"/>
      <c r="DI148"/>
      <c r="DJ148" s="3">
        <v>1</v>
      </c>
    </row>
    <row r="149" spans="2:114" s="627" customFormat="1" ht="18" customHeight="1" thickBot="1">
      <c r="B149" s="633"/>
      <c r="C149" s="633"/>
      <c r="D149" s="633"/>
      <c r="E149" s="633"/>
      <c r="F149" s="633"/>
      <c r="G149" s="633"/>
      <c r="H149" s="633"/>
      <c r="I149" s="633"/>
      <c r="J149" s="633"/>
      <c r="K149" s="633"/>
      <c r="L149" s="633"/>
      <c r="M149" s="633"/>
      <c r="N149" s="633"/>
      <c r="O149" s="633"/>
      <c r="P149" s="633"/>
      <c r="Q149" s="633"/>
      <c r="R149" s="633"/>
      <c r="S149" s="633"/>
      <c r="T149" s="648">
        <v>1</v>
      </c>
      <c r="U149" s="648">
        <v>1</v>
      </c>
      <c r="V149" s="633"/>
      <c r="W149" s="648">
        <v>1</v>
      </c>
      <c r="X149" s="648">
        <v>1</v>
      </c>
      <c r="Y149" s="633"/>
      <c r="Z149" s="633"/>
      <c r="AA149" s="633"/>
      <c r="AB149" s="227"/>
      <c r="AC149" s="633"/>
      <c r="AD149" s="633"/>
      <c r="AE149" s="227"/>
      <c r="AF149" s="633"/>
      <c r="AG149" s="633"/>
      <c r="AH149" s="227"/>
      <c r="AI149" s="633"/>
      <c r="AJ149" s="633"/>
      <c r="AK149" s="633"/>
      <c r="AL149" s="633"/>
      <c r="AM149" s="633"/>
      <c r="AN149" s="633"/>
      <c r="AO149" s="633"/>
      <c r="AP149" s="633"/>
      <c r="AQ149" s="633"/>
      <c r="AR149"/>
      <c r="AS149"/>
      <c r="AU149"/>
      <c r="AV149"/>
      <c r="AX149"/>
      <c r="AY149"/>
      <c r="BA149"/>
      <c r="BB149"/>
      <c r="BD149"/>
      <c r="BE149"/>
      <c r="BG149"/>
      <c r="BH149"/>
      <c r="BJ149" s="648" t="s">
        <v>114</v>
      </c>
      <c r="BK149" s="648"/>
      <c r="BM149" s="648" t="s">
        <v>114</v>
      </c>
      <c r="BN149" s="648"/>
      <c r="BP149"/>
      <c r="BQ149"/>
      <c r="BS149"/>
      <c r="BT149"/>
      <c r="BV149"/>
      <c r="BW149"/>
      <c r="BX149"/>
      <c r="BY149"/>
      <c r="BZ149"/>
      <c r="CA149"/>
      <c r="CB149"/>
      <c r="CD149"/>
      <c r="CE149"/>
      <c r="CG149"/>
      <c r="CH149"/>
      <c r="CJ149"/>
      <c r="CK149"/>
      <c r="CM149"/>
      <c r="CN149"/>
      <c r="CP149"/>
      <c r="CQ149"/>
      <c r="CS149" t="s">
        <v>114</v>
      </c>
      <c r="CT149"/>
      <c r="CV149" s="648" t="s">
        <v>114</v>
      </c>
      <c r="CW149" s="648"/>
      <c r="CY149"/>
      <c r="CZ149"/>
      <c r="DB149"/>
      <c r="DC149"/>
      <c r="DE149"/>
      <c r="DF149"/>
      <c r="DH149"/>
      <c r="DI149"/>
      <c r="DJ149" s="3">
        <v>1</v>
      </c>
    </row>
    <row r="150" spans="2:114" s="627" customFormat="1" ht="18" customHeight="1">
      <c r="B150" s="633"/>
      <c r="C150" s="633"/>
      <c r="D150" s="633"/>
      <c r="E150" s="633"/>
      <c r="F150" s="633"/>
      <c r="G150" s="633"/>
      <c r="H150" s="633"/>
      <c r="I150" s="633"/>
      <c r="J150" s="633"/>
      <c r="K150" s="633"/>
      <c r="L150" s="633"/>
      <c r="M150" s="633"/>
      <c r="N150" s="633"/>
      <c r="O150" s="633"/>
      <c r="P150" s="633"/>
      <c r="Q150" s="633"/>
      <c r="R150" s="633"/>
      <c r="S150" s="633"/>
      <c r="T150" s="6657" t="s">
        <v>1282</v>
      </c>
      <c r="U150" s="6657"/>
      <c r="V150" s="633"/>
      <c r="W150" s="6653" t="s">
        <v>1283</v>
      </c>
      <c r="X150" s="6653"/>
      <c r="Y150" s="633"/>
      <c r="Z150" s="633"/>
      <c r="AA150" s="633"/>
      <c r="AB150" s="227"/>
      <c r="AC150" s="633"/>
      <c r="AD150" s="633"/>
      <c r="AE150" s="227"/>
      <c r="AF150" s="633"/>
      <c r="AG150" s="633"/>
      <c r="AH150" s="227"/>
      <c r="AI150" s="633"/>
      <c r="AJ150" s="633"/>
      <c r="AK150" s="633"/>
      <c r="AL150" s="633"/>
      <c r="AM150" s="633"/>
      <c r="AN150" s="633"/>
      <c r="AO150" s="633"/>
      <c r="AP150" s="633"/>
      <c r="AQ150" s="633"/>
      <c r="AR150"/>
      <c r="AS150"/>
      <c r="AU150"/>
      <c r="AV150"/>
      <c r="AX150"/>
      <c r="AY150"/>
      <c r="BA150"/>
      <c r="BB150"/>
      <c r="BD150"/>
      <c r="BE150"/>
      <c r="BG150"/>
      <c r="BH150"/>
      <c r="BJ150" s="6657" t="s">
        <v>2367</v>
      </c>
      <c r="BK150" s="6657"/>
      <c r="BM150" s="6653" t="s">
        <v>2368</v>
      </c>
      <c r="BN150" s="6653"/>
      <c r="BP150"/>
      <c r="BQ150"/>
      <c r="BS150"/>
      <c r="BT150"/>
      <c r="BV150"/>
      <c r="BW150"/>
      <c r="BX150"/>
      <c r="BY150"/>
      <c r="BZ150"/>
      <c r="CA150"/>
      <c r="CB150"/>
      <c r="CD150"/>
      <c r="CE150"/>
      <c r="CG150"/>
      <c r="CH150"/>
      <c r="CJ150"/>
      <c r="CK150"/>
      <c r="CM150"/>
      <c r="CN150"/>
      <c r="CP150"/>
      <c r="CQ150"/>
      <c r="CS150" s="6657" t="s">
        <v>2369</v>
      </c>
      <c r="CT150" s="6657"/>
      <c r="CV150" s="6653" t="s">
        <v>2370</v>
      </c>
      <c r="CW150" s="6653"/>
      <c r="CY150"/>
      <c r="CZ150"/>
      <c r="DB150"/>
      <c r="DC150"/>
      <c r="DE150"/>
      <c r="DF150"/>
      <c r="DH150"/>
      <c r="DI150"/>
      <c r="DJ150" s="3">
        <v>1</v>
      </c>
    </row>
    <row r="151" spans="2:114" s="627" customFormat="1" ht="18" customHeight="1">
      <c r="B151" s="633"/>
      <c r="C151" s="633"/>
      <c r="D151" s="633"/>
      <c r="E151" s="633"/>
      <c r="F151" s="633"/>
      <c r="G151" s="633"/>
      <c r="H151" s="633"/>
      <c r="I151" s="633"/>
      <c r="J151" s="633"/>
      <c r="K151" s="633"/>
      <c r="L151" s="633"/>
      <c r="M151" s="633"/>
      <c r="N151" s="633"/>
      <c r="O151" s="633"/>
      <c r="P151" s="633"/>
      <c r="Q151" s="633"/>
      <c r="R151" s="633"/>
      <c r="S151" s="633"/>
      <c r="T151" s="6626"/>
      <c r="U151" s="6626"/>
      <c r="V151" s="633"/>
      <c r="W151" s="6624"/>
      <c r="X151" s="6624"/>
      <c r="Y151" s="633"/>
      <c r="Z151" s="633"/>
      <c r="AA151" s="633"/>
      <c r="AB151" s="227"/>
      <c r="AC151" s="633"/>
      <c r="AD151" s="633"/>
      <c r="AE151" s="227"/>
      <c r="AF151" s="633"/>
      <c r="AG151" s="633"/>
      <c r="AH151" s="227"/>
      <c r="AI151" s="633"/>
      <c r="AJ151" s="633"/>
      <c r="AK151" s="633"/>
      <c r="AL151" s="633"/>
      <c r="AM151" s="633"/>
      <c r="AN151" s="633"/>
      <c r="AO151" s="633"/>
      <c r="AP151" s="633"/>
      <c r="AQ151" s="633"/>
      <c r="AR151"/>
      <c r="AS151"/>
      <c r="AU151"/>
      <c r="AV151"/>
      <c r="AX151"/>
      <c r="AY151"/>
      <c r="BA151"/>
      <c r="BB151"/>
      <c r="BD151"/>
      <c r="BE151"/>
      <c r="BG151"/>
      <c r="BH151"/>
      <c r="BJ151" s="6626" t="s">
        <v>114</v>
      </c>
      <c r="BK151" s="6626"/>
      <c r="BM151" s="6624" t="s">
        <v>114</v>
      </c>
      <c r="BN151" s="6624"/>
      <c r="BP151"/>
      <c r="BQ151"/>
      <c r="BS151"/>
      <c r="BT151"/>
      <c r="BV151"/>
      <c r="BW151"/>
      <c r="BX151"/>
      <c r="BY151"/>
      <c r="BZ151"/>
      <c r="CA151"/>
      <c r="CB151"/>
      <c r="CD151"/>
      <c r="CE151"/>
      <c r="CG151"/>
      <c r="CH151"/>
      <c r="CJ151"/>
      <c r="CK151"/>
      <c r="CM151"/>
      <c r="CN151"/>
      <c r="CP151"/>
      <c r="CQ151"/>
      <c r="CS151" s="6626" t="s">
        <v>114</v>
      </c>
      <c r="CT151" s="6626"/>
      <c r="CV151" s="6624" t="s">
        <v>114</v>
      </c>
      <c r="CW151" s="6624"/>
      <c r="CY151"/>
      <c r="CZ151"/>
      <c r="DB151"/>
      <c r="DC151"/>
      <c r="DE151"/>
      <c r="DF151"/>
      <c r="DH151"/>
      <c r="DI151"/>
      <c r="DJ151" s="3">
        <v>1</v>
      </c>
    </row>
    <row r="152" spans="2:114" s="627" customFormat="1" ht="18" customHeight="1" thickBot="1">
      <c r="B152" s="633"/>
      <c r="C152" s="633"/>
      <c r="D152" s="633"/>
      <c r="E152" s="633"/>
      <c r="F152" s="633"/>
      <c r="G152" s="633"/>
      <c r="H152" s="633"/>
      <c r="I152" s="633"/>
      <c r="J152" s="633"/>
      <c r="K152" s="633"/>
      <c r="L152" s="633"/>
      <c r="M152" s="633"/>
      <c r="N152" s="633"/>
      <c r="O152" s="633"/>
      <c r="P152" s="633"/>
      <c r="Q152" s="633"/>
      <c r="R152" s="633"/>
      <c r="S152" s="633"/>
      <c r="T152" s="648">
        <v>1</v>
      </c>
      <c r="U152" s="648">
        <v>1</v>
      </c>
      <c r="V152" s="633"/>
      <c r="W152" s="648">
        <v>1</v>
      </c>
      <c r="X152" s="648">
        <v>1</v>
      </c>
      <c r="Y152" s="633"/>
      <c r="Z152" s="633"/>
      <c r="AA152" s="633"/>
      <c r="AB152" s="227"/>
      <c r="AC152" s="633"/>
      <c r="AD152" s="633"/>
      <c r="AE152" s="227"/>
      <c r="AF152" s="633"/>
      <c r="AG152" s="633"/>
      <c r="AH152" s="227"/>
      <c r="AI152" s="633"/>
      <c r="AJ152" s="633"/>
      <c r="AK152" s="633"/>
      <c r="AL152" s="633"/>
      <c r="AM152" s="633"/>
      <c r="AN152" s="633"/>
      <c r="AO152" s="633"/>
      <c r="AP152" s="633"/>
      <c r="AQ152" s="633"/>
      <c r="AR152"/>
      <c r="AS152"/>
      <c r="AU152"/>
      <c r="AV152"/>
      <c r="AX152"/>
      <c r="AY152"/>
      <c r="BA152"/>
      <c r="BB152"/>
      <c r="BD152"/>
      <c r="BE152"/>
      <c r="BG152"/>
      <c r="BH152"/>
      <c r="BJ152" s="648" t="s">
        <v>114</v>
      </c>
      <c r="BK152" s="648"/>
      <c r="BM152" s="648" t="s">
        <v>114</v>
      </c>
      <c r="BN152" s="648"/>
      <c r="BP152"/>
      <c r="BQ152"/>
      <c r="BS152"/>
      <c r="BT152"/>
      <c r="BV152"/>
      <c r="BW152"/>
      <c r="BX152"/>
      <c r="BY152"/>
      <c r="BZ152"/>
      <c r="CA152"/>
      <c r="CB152"/>
      <c r="CD152"/>
      <c r="CE152"/>
      <c r="CG152"/>
      <c r="CH152"/>
      <c r="CJ152"/>
      <c r="CK152"/>
      <c r="CM152"/>
      <c r="CN152"/>
      <c r="CP152"/>
      <c r="CQ152"/>
      <c r="CS152" t="s">
        <v>114</v>
      </c>
      <c r="CT152"/>
      <c r="CV152" s="648" t="s">
        <v>114</v>
      </c>
      <c r="CW152" s="648"/>
      <c r="CY152"/>
      <c r="CZ152"/>
      <c r="DB152"/>
      <c r="DC152"/>
      <c r="DE152"/>
      <c r="DF152"/>
      <c r="DH152"/>
      <c r="DI152"/>
      <c r="DJ152" s="3">
        <v>1</v>
      </c>
    </row>
    <row r="153" spans="2:114" s="627" customFormat="1" ht="18" customHeight="1">
      <c r="B153" s="633"/>
      <c r="C153" s="633"/>
      <c r="D153" s="633"/>
      <c r="E153" s="633"/>
      <c r="F153" s="633"/>
      <c r="G153" s="633"/>
      <c r="H153" s="633"/>
      <c r="I153" s="633"/>
      <c r="J153" s="633"/>
      <c r="K153" s="633"/>
      <c r="L153" s="633"/>
      <c r="M153" s="633"/>
      <c r="N153" s="633"/>
      <c r="O153" s="633"/>
      <c r="P153" s="633"/>
      <c r="Q153" s="633"/>
      <c r="R153" s="633"/>
      <c r="S153" s="633"/>
      <c r="T153" s="6657" t="s">
        <v>1284</v>
      </c>
      <c r="U153" s="6657"/>
      <c r="V153" s="633"/>
      <c r="W153" s="6653" t="s">
        <v>1285</v>
      </c>
      <c r="X153" s="6653"/>
      <c r="Y153" s="633"/>
      <c r="Z153" s="633"/>
      <c r="AA153" s="633"/>
      <c r="AB153" s="227"/>
      <c r="AC153" s="633"/>
      <c r="AD153" s="633"/>
      <c r="AE153" s="227"/>
      <c r="AF153" s="633"/>
      <c r="AG153" s="633"/>
      <c r="AH153" s="227"/>
      <c r="AI153" s="633"/>
      <c r="AJ153" s="633"/>
      <c r="AK153" s="633"/>
      <c r="AL153" s="633"/>
      <c r="AM153" s="633"/>
      <c r="AN153" s="633"/>
      <c r="AO153" s="633"/>
      <c r="AP153" s="633"/>
      <c r="AQ153" s="633"/>
      <c r="AR153"/>
      <c r="AS153"/>
      <c r="AU153"/>
      <c r="AV153"/>
      <c r="AX153"/>
      <c r="AY153"/>
      <c r="BA153"/>
      <c r="BB153"/>
      <c r="BD153"/>
      <c r="BE153"/>
      <c r="BG153"/>
      <c r="BH153"/>
      <c r="BJ153" s="6657" t="s">
        <v>2371</v>
      </c>
      <c r="BK153" s="6657"/>
      <c r="BM153" s="6653" t="s">
        <v>2372</v>
      </c>
      <c r="BN153" s="6653"/>
      <c r="BP153"/>
      <c r="BQ153"/>
      <c r="BS153"/>
      <c r="BT153"/>
      <c r="BV153"/>
      <c r="BW153"/>
      <c r="BX153"/>
      <c r="BY153"/>
      <c r="BZ153"/>
      <c r="CA153"/>
      <c r="CB153"/>
      <c r="CD153"/>
      <c r="CE153"/>
      <c r="CG153"/>
      <c r="CH153"/>
      <c r="CJ153"/>
      <c r="CK153"/>
      <c r="CM153"/>
      <c r="CN153"/>
      <c r="CP153"/>
      <c r="CQ153"/>
      <c r="CS153" s="6657" t="s">
        <v>2373</v>
      </c>
      <c r="CT153" s="6657"/>
      <c r="CV153" s="6653" t="s">
        <v>2374</v>
      </c>
      <c r="CW153" s="6653"/>
      <c r="CY153"/>
      <c r="CZ153"/>
      <c r="DB153"/>
      <c r="DC153"/>
      <c r="DE153"/>
      <c r="DF153"/>
      <c r="DH153"/>
      <c r="DI153"/>
      <c r="DJ153" s="3">
        <v>1</v>
      </c>
    </row>
    <row r="154" spans="2:114" s="627" customFormat="1" ht="18" customHeight="1">
      <c r="B154" s="633"/>
      <c r="C154" s="633"/>
      <c r="D154" s="633"/>
      <c r="E154" s="633"/>
      <c r="F154" s="633"/>
      <c r="G154" s="633"/>
      <c r="H154" s="633"/>
      <c r="I154" s="633"/>
      <c r="J154" s="633"/>
      <c r="K154" s="633"/>
      <c r="L154" s="633"/>
      <c r="M154" s="633"/>
      <c r="N154" s="633"/>
      <c r="O154" s="633"/>
      <c r="P154" s="633"/>
      <c r="Q154" s="633"/>
      <c r="R154" s="633"/>
      <c r="S154" s="633"/>
      <c r="T154" s="6626"/>
      <c r="U154" s="6626"/>
      <c r="V154" s="633"/>
      <c r="W154" s="6624"/>
      <c r="X154" s="6624"/>
      <c r="Y154" s="633"/>
      <c r="Z154" s="633"/>
      <c r="AA154" s="633"/>
      <c r="AB154" s="227"/>
      <c r="AC154" s="633"/>
      <c r="AD154" s="633"/>
      <c r="AE154" s="227"/>
      <c r="AF154" s="633"/>
      <c r="AG154" s="633"/>
      <c r="AH154" s="227"/>
      <c r="AI154" s="633"/>
      <c r="AJ154" s="633"/>
      <c r="AK154" s="633"/>
      <c r="AL154" s="633"/>
      <c r="AM154" s="633"/>
      <c r="AN154" s="633"/>
      <c r="AO154" s="633"/>
      <c r="AP154" s="633"/>
      <c r="AQ154" s="633"/>
      <c r="AR154"/>
      <c r="AS154"/>
      <c r="AU154"/>
      <c r="AV154"/>
      <c r="AX154"/>
      <c r="AY154"/>
      <c r="BA154"/>
      <c r="BB154"/>
      <c r="BD154"/>
      <c r="BE154"/>
      <c r="BG154"/>
      <c r="BH154"/>
      <c r="BJ154" s="6626" t="s">
        <v>114</v>
      </c>
      <c r="BK154" s="6626"/>
      <c r="BM154" s="6624" t="s">
        <v>114</v>
      </c>
      <c r="BN154" s="6624"/>
      <c r="BP154"/>
      <c r="BQ154"/>
      <c r="BS154"/>
      <c r="BT154"/>
      <c r="BV154"/>
      <c r="BW154"/>
      <c r="BX154"/>
      <c r="BY154"/>
      <c r="BZ154"/>
      <c r="CA154"/>
      <c r="CB154"/>
      <c r="CD154"/>
      <c r="CE154"/>
      <c r="CG154"/>
      <c r="CH154"/>
      <c r="CJ154"/>
      <c r="CK154"/>
      <c r="CM154"/>
      <c r="CN154"/>
      <c r="CP154"/>
      <c r="CQ154"/>
      <c r="CS154" s="6626" t="s">
        <v>114</v>
      </c>
      <c r="CT154" s="6626"/>
      <c r="CV154" s="6624" t="s">
        <v>114</v>
      </c>
      <c r="CW154" s="6624"/>
      <c r="CY154"/>
      <c r="CZ154"/>
      <c r="DB154"/>
      <c r="DC154"/>
      <c r="DE154"/>
      <c r="DF154"/>
      <c r="DH154"/>
      <c r="DI154"/>
      <c r="DJ154" s="3">
        <v>1</v>
      </c>
    </row>
    <row r="155" spans="2:114" s="627" customFormat="1" ht="18" customHeight="1" thickBot="1">
      <c r="B155" s="633"/>
      <c r="C155" s="633"/>
      <c r="D155" s="633"/>
      <c r="E155" s="633"/>
      <c r="F155" s="633"/>
      <c r="G155" s="633"/>
      <c r="H155" s="633"/>
      <c r="I155" s="633"/>
      <c r="J155" s="633"/>
      <c r="K155" s="633"/>
      <c r="L155" s="633"/>
      <c r="M155" s="633"/>
      <c r="N155" s="633"/>
      <c r="O155" s="633"/>
      <c r="P155" s="633"/>
      <c r="Q155" s="633"/>
      <c r="R155" s="633"/>
      <c r="S155" s="633"/>
      <c r="T155" s="633"/>
      <c r="U155" s="633"/>
      <c r="V155" s="633"/>
      <c r="W155" s="648">
        <v>1</v>
      </c>
      <c r="X155" s="648">
        <v>1</v>
      </c>
      <c r="Y155" s="633"/>
      <c r="Z155" s="633"/>
      <c r="AA155" s="633"/>
      <c r="AB155" s="227"/>
      <c r="AC155" s="633"/>
      <c r="AD155" s="633"/>
      <c r="AE155" s="227"/>
      <c r="AF155" s="633"/>
      <c r="AG155" s="633"/>
      <c r="AH155" s="227"/>
      <c r="AI155" s="633"/>
      <c r="AJ155" s="633"/>
      <c r="AK155" s="633"/>
      <c r="AL155" s="633"/>
      <c r="AM155" s="633"/>
      <c r="AN155" s="633"/>
      <c r="AO155" s="633"/>
      <c r="AP155" s="633"/>
      <c r="AQ155" s="633"/>
      <c r="AR155"/>
      <c r="AS155"/>
      <c r="AU155"/>
      <c r="AV155"/>
      <c r="AX155"/>
      <c r="AY155"/>
      <c r="BA155"/>
      <c r="BB155"/>
      <c r="BD155"/>
      <c r="BE155"/>
      <c r="BG155"/>
      <c r="BH155"/>
      <c r="BJ155" t="s">
        <v>114</v>
      </c>
      <c r="BK155"/>
      <c r="BM155" s="648" t="s">
        <v>114</v>
      </c>
      <c r="BN155" s="648"/>
      <c r="BP155"/>
      <c r="BQ155"/>
      <c r="BS155"/>
      <c r="BT155"/>
      <c r="BV155"/>
      <c r="BW155"/>
      <c r="BX155"/>
      <c r="BY155"/>
      <c r="BZ155"/>
      <c r="CA155"/>
      <c r="CB155"/>
      <c r="CD155"/>
      <c r="CE155"/>
      <c r="CG155"/>
      <c r="CH155"/>
      <c r="CJ155"/>
      <c r="CK155"/>
      <c r="CM155"/>
      <c r="CN155"/>
      <c r="CP155"/>
      <c r="CQ155"/>
      <c r="CS155" t="s">
        <v>114</v>
      </c>
      <c r="CT155"/>
      <c r="CV155" s="648" t="s">
        <v>114</v>
      </c>
      <c r="CW155" s="648"/>
      <c r="CY155"/>
      <c r="CZ155"/>
      <c r="DB155"/>
      <c r="DC155"/>
      <c r="DE155"/>
      <c r="DF155"/>
      <c r="DH155"/>
      <c r="DI155"/>
      <c r="DJ155" s="3">
        <v>1</v>
      </c>
    </row>
    <row r="156" spans="2:114" s="627" customFormat="1" ht="18" customHeight="1">
      <c r="B156" s="633"/>
      <c r="C156" s="633"/>
      <c r="D156" s="633"/>
      <c r="E156" s="633"/>
      <c r="F156" s="633"/>
      <c r="G156" s="633"/>
      <c r="H156" s="633"/>
      <c r="I156" s="633"/>
      <c r="J156" s="633"/>
      <c r="K156" s="633"/>
      <c r="L156" s="633"/>
      <c r="M156" s="633"/>
      <c r="N156" s="633"/>
      <c r="O156" s="633"/>
      <c r="P156" s="633"/>
      <c r="Q156" s="633"/>
      <c r="R156" s="633"/>
      <c r="S156" s="633"/>
      <c r="T156" s="6657"/>
      <c r="U156" s="6657"/>
      <c r="V156" s="633"/>
      <c r="W156" s="6653" t="s">
        <v>1286</v>
      </c>
      <c r="X156" s="6653"/>
      <c r="Y156" s="633"/>
      <c r="Z156" s="633"/>
      <c r="AA156" s="633"/>
      <c r="AB156" s="227"/>
      <c r="AC156" s="633"/>
      <c r="AD156" s="633"/>
      <c r="AE156" s="227"/>
      <c r="AF156" s="633"/>
      <c r="AG156" s="633"/>
      <c r="AH156" s="227"/>
      <c r="AI156" s="633"/>
      <c r="AJ156" s="633"/>
      <c r="AK156" s="633"/>
      <c r="AL156" s="633"/>
      <c r="AM156" s="633"/>
      <c r="AN156" s="633"/>
      <c r="AO156" s="633"/>
      <c r="AP156" s="633"/>
      <c r="AQ156" s="633"/>
      <c r="AR156"/>
      <c r="AS156"/>
      <c r="AU156"/>
      <c r="AV156"/>
      <c r="AX156"/>
      <c r="AY156"/>
      <c r="BA156"/>
      <c r="BB156"/>
      <c r="BD156"/>
      <c r="BE156"/>
      <c r="BG156"/>
      <c r="BH156"/>
      <c r="BJ156" s="6657" t="s">
        <v>2375</v>
      </c>
      <c r="BK156" s="6657"/>
      <c r="BM156" s="6653" t="s">
        <v>2376</v>
      </c>
      <c r="BN156" s="6653"/>
      <c r="BP156"/>
      <c r="BQ156"/>
      <c r="BS156"/>
      <c r="BT156"/>
      <c r="BV156"/>
      <c r="BW156"/>
      <c r="BX156"/>
      <c r="BY156"/>
      <c r="BZ156"/>
      <c r="CA156"/>
      <c r="CB156"/>
      <c r="CD156"/>
      <c r="CE156"/>
      <c r="CG156"/>
      <c r="CH156"/>
      <c r="CJ156"/>
      <c r="CK156"/>
      <c r="CM156"/>
      <c r="CN156"/>
      <c r="CP156"/>
      <c r="CQ156"/>
      <c r="CS156" s="6657" t="s">
        <v>2377</v>
      </c>
      <c r="CT156" s="6657"/>
      <c r="CV156" s="6653" t="s">
        <v>2378</v>
      </c>
      <c r="CW156" s="6653"/>
      <c r="CY156"/>
      <c r="CZ156"/>
      <c r="DB156"/>
      <c r="DC156"/>
      <c r="DE156"/>
      <c r="DF156"/>
      <c r="DH156"/>
      <c r="DI156"/>
      <c r="DJ156" s="3">
        <v>1</v>
      </c>
    </row>
    <row r="157" spans="2:114" s="627" customFormat="1" ht="18" customHeight="1">
      <c r="B157" s="633"/>
      <c r="C157" s="633"/>
      <c r="D157" s="633"/>
      <c r="E157" s="633"/>
      <c r="F157" s="633"/>
      <c r="G157" s="633"/>
      <c r="H157" s="633"/>
      <c r="I157" s="633"/>
      <c r="J157" s="633"/>
      <c r="K157" s="633"/>
      <c r="L157" s="633"/>
      <c r="M157" s="633"/>
      <c r="N157" s="633"/>
      <c r="O157" s="633"/>
      <c r="P157" s="633"/>
      <c r="Q157" s="633"/>
      <c r="R157" s="633"/>
      <c r="S157" s="633"/>
      <c r="T157" s="6626"/>
      <c r="U157" s="6626"/>
      <c r="V157" s="633"/>
      <c r="W157" s="6624"/>
      <c r="X157" s="6624"/>
      <c r="Y157" s="633"/>
      <c r="Z157" s="633"/>
      <c r="AA157" s="633"/>
      <c r="AB157" s="227"/>
      <c r="AC157" s="633"/>
      <c r="AD157" s="633"/>
      <c r="AE157" s="227"/>
      <c r="AF157" s="633"/>
      <c r="AG157" s="633"/>
      <c r="AH157" s="227"/>
      <c r="AI157" s="633"/>
      <c r="AJ157" s="633"/>
      <c r="AK157" s="633"/>
      <c r="AL157" s="633"/>
      <c r="AM157" s="633"/>
      <c r="AN157" s="633"/>
      <c r="AO157" s="633"/>
      <c r="AP157" s="633"/>
      <c r="AQ157" s="633"/>
      <c r="AR157"/>
      <c r="AS157"/>
      <c r="AU157"/>
      <c r="AV157"/>
      <c r="AX157"/>
      <c r="AY157"/>
      <c r="BA157"/>
      <c r="BB157"/>
      <c r="BD157"/>
      <c r="BE157"/>
      <c r="BG157"/>
      <c r="BH157"/>
      <c r="BJ157" s="6626" t="s">
        <v>114</v>
      </c>
      <c r="BK157" s="6626"/>
      <c r="BM157" s="6624" t="s">
        <v>114</v>
      </c>
      <c r="BN157" s="6624"/>
      <c r="BP157"/>
      <c r="BQ157"/>
      <c r="BS157"/>
      <c r="BT157"/>
      <c r="BV157"/>
      <c r="BW157"/>
      <c r="BX157"/>
      <c r="BY157"/>
      <c r="BZ157"/>
      <c r="CA157"/>
      <c r="CB157"/>
      <c r="CD157"/>
      <c r="CE157"/>
      <c r="CG157"/>
      <c r="CH157"/>
      <c r="CJ157" t="s">
        <v>114</v>
      </c>
      <c r="CK157"/>
      <c r="CM157"/>
      <c r="CN157"/>
      <c r="CP157" t="s">
        <v>114</v>
      </c>
      <c r="CQ157"/>
      <c r="CS157" s="6626" t="s">
        <v>114</v>
      </c>
      <c r="CT157" s="6626"/>
      <c r="CV157" s="6624" t="s">
        <v>114</v>
      </c>
      <c r="CW157" s="6624"/>
      <c r="CY157"/>
      <c r="CZ157"/>
      <c r="DB157"/>
      <c r="DC157"/>
      <c r="DE157"/>
      <c r="DF157"/>
      <c r="DH157"/>
      <c r="DI157"/>
      <c r="DJ157" s="3">
        <v>1</v>
      </c>
    </row>
    <row r="158" spans="2:114" s="627" customFormat="1" ht="18" customHeight="1" thickBot="1">
      <c r="B158" s="633"/>
      <c r="C158" s="633"/>
      <c r="D158" s="633"/>
      <c r="E158" s="633"/>
      <c r="F158" s="633"/>
      <c r="G158" s="633"/>
      <c r="H158" s="633"/>
      <c r="I158" s="633"/>
      <c r="J158" s="633"/>
      <c r="K158" s="633"/>
      <c r="L158" s="633"/>
      <c r="M158" s="633"/>
      <c r="N158" s="633"/>
      <c r="O158" s="633"/>
      <c r="P158" s="633"/>
      <c r="Q158" s="633"/>
      <c r="R158" s="633"/>
      <c r="S158" s="633"/>
      <c r="T158" s="633"/>
      <c r="U158" s="633"/>
      <c r="V158" s="633"/>
      <c r="W158" s="648">
        <v>1</v>
      </c>
      <c r="X158" s="648">
        <v>1</v>
      </c>
      <c r="Y158" s="633"/>
      <c r="Z158" s="633"/>
      <c r="AA158" s="633"/>
      <c r="AB158" s="227"/>
      <c r="AC158" s="633"/>
      <c r="AD158" s="633"/>
      <c r="AE158" s="227"/>
      <c r="AF158" s="633"/>
      <c r="AG158" s="633"/>
      <c r="AH158" s="227"/>
      <c r="AI158" s="633"/>
      <c r="AJ158" s="633"/>
      <c r="AK158" s="633"/>
      <c r="AL158" s="633"/>
      <c r="AM158" s="633"/>
      <c r="AN158" s="633"/>
      <c r="AO158" s="633"/>
      <c r="AP158" s="633"/>
      <c r="AQ158" s="633"/>
      <c r="AR158"/>
      <c r="AS158"/>
      <c r="AU158"/>
      <c r="AV158"/>
      <c r="AX158"/>
      <c r="AY158"/>
      <c r="BA158"/>
      <c r="BB158"/>
      <c r="BD158"/>
      <c r="BE158"/>
      <c r="BG158"/>
      <c r="BH158"/>
      <c r="BK158"/>
      <c r="BM158" s="648" t="s">
        <v>114</v>
      </c>
      <c r="BN158" s="648"/>
      <c r="BP158"/>
      <c r="BQ158"/>
      <c r="BS158"/>
      <c r="BT158"/>
      <c r="BV158"/>
      <c r="BW158"/>
      <c r="BX158"/>
      <c r="BY158"/>
      <c r="BZ158"/>
      <c r="CA158"/>
      <c r="CB158"/>
      <c r="CD158"/>
      <c r="CE158"/>
      <c r="CG158"/>
      <c r="CH158"/>
      <c r="CJ158" t="s">
        <v>114</v>
      </c>
      <c r="CK158"/>
      <c r="CM158"/>
      <c r="CN158"/>
      <c r="CP158" t="s">
        <v>114</v>
      </c>
      <c r="CQ158"/>
      <c r="CS158" t="s">
        <v>114</v>
      </c>
      <c r="CT158"/>
      <c r="CV158" s="648" t="s">
        <v>114</v>
      </c>
      <c r="CW158" s="648"/>
      <c r="CY158"/>
      <c r="CZ158"/>
      <c r="DB158"/>
      <c r="DC158"/>
      <c r="DE158"/>
      <c r="DF158"/>
      <c r="DH158"/>
      <c r="DI158"/>
      <c r="DJ158" s="3">
        <v>1</v>
      </c>
    </row>
    <row r="159" spans="2:114" s="627" customFormat="1" ht="18" customHeight="1">
      <c r="B159" s="633"/>
      <c r="C159" s="633"/>
      <c r="D159" s="633"/>
      <c r="E159" s="633"/>
      <c r="F159" s="633"/>
      <c r="G159" s="633"/>
      <c r="H159" s="633"/>
      <c r="I159" s="633"/>
      <c r="J159" s="633"/>
      <c r="K159" s="633"/>
      <c r="L159" s="633"/>
      <c r="M159" s="633"/>
      <c r="N159" s="633"/>
      <c r="O159" s="633"/>
      <c r="P159" s="633"/>
      <c r="Q159" s="633"/>
      <c r="R159" s="633"/>
      <c r="S159" s="633"/>
      <c r="T159" s="633"/>
      <c r="U159" s="633"/>
      <c r="V159" s="633"/>
      <c r="W159" s="6653" t="s">
        <v>1287</v>
      </c>
      <c r="X159" s="6653"/>
      <c r="Y159" s="633"/>
      <c r="Z159" s="633"/>
      <c r="AA159" s="633"/>
      <c r="AB159" s="227"/>
      <c r="AC159" s="633"/>
      <c r="AD159" s="633"/>
      <c r="AE159" s="227"/>
      <c r="AF159" s="633"/>
      <c r="AG159" s="633"/>
      <c r="AH159" s="227"/>
      <c r="AI159" s="633"/>
      <c r="AJ159" s="633"/>
      <c r="AK159" s="633"/>
      <c r="AL159" s="633"/>
      <c r="AM159" s="633"/>
      <c r="AN159" s="633"/>
      <c r="AO159" s="633"/>
      <c r="AP159" s="633"/>
      <c r="AQ159" s="633"/>
      <c r="AR159"/>
      <c r="AS159"/>
      <c r="AU159"/>
      <c r="AV159"/>
      <c r="AX159"/>
      <c r="AY159"/>
      <c r="BA159"/>
      <c r="BB159"/>
      <c r="BD159"/>
      <c r="BE159"/>
      <c r="BG159"/>
      <c r="BH159"/>
      <c r="BJ159" s="6657"/>
      <c r="BK159" s="6657"/>
      <c r="BM159" s="6653" t="s">
        <v>2379</v>
      </c>
      <c r="BN159" s="6653"/>
      <c r="BP159"/>
      <c r="BQ159"/>
      <c r="BS159"/>
      <c r="BT159"/>
      <c r="BV159"/>
      <c r="BW159"/>
      <c r="BX159"/>
      <c r="BY159"/>
      <c r="BZ159"/>
      <c r="CA159"/>
      <c r="CB159"/>
      <c r="CD159"/>
      <c r="CE159"/>
      <c r="CG159"/>
      <c r="CH159"/>
      <c r="CJ159"/>
      <c r="CK159"/>
      <c r="CM159"/>
      <c r="CN159"/>
      <c r="CP159"/>
      <c r="CQ159"/>
      <c r="CS159" s="6657"/>
      <c r="CT159" s="6657"/>
      <c r="CV159" s="6653" t="s">
        <v>2380</v>
      </c>
      <c r="CW159" s="6653"/>
      <c r="CY159"/>
      <c r="CZ159"/>
      <c r="DB159"/>
      <c r="DC159"/>
      <c r="DE159"/>
      <c r="DF159"/>
      <c r="DH159"/>
      <c r="DI159"/>
      <c r="DJ159" s="3">
        <v>1</v>
      </c>
    </row>
    <row r="160" spans="2:114" s="627" customFormat="1" ht="18" customHeight="1">
      <c r="B160" s="633"/>
      <c r="C160" s="633"/>
      <c r="D160" s="633"/>
      <c r="E160" s="633"/>
      <c r="F160" s="633"/>
      <c r="G160" s="633"/>
      <c r="H160" s="633"/>
      <c r="I160" s="633"/>
      <c r="J160" s="633"/>
      <c r="K160" s="633"/>
      <c r="L160" s="633"/>
      <c r="M160" s="633"/>
      <c r="N160" s="633"/>
      <c r="O160" s="633"/>
      <c r="P160" s="633"/>
      <c r="Q160" s="633"/>
      <c r="R160" s="633"/>
      <c r="S160" s="633"/>
      <c r="T160" s="633"/>
      <c r="U160" s="633"/>
      <c r="V160" s="633"/>
      <c r="W160" s="6624"/>
      <c r="X160" s="6624"/>
      <c r="Y160" s="633"/>
      <c r="Z160" s="633"/>
      <c r="AA160" s="633"/>
      <c r="AB160" s="227"/>
      <c r="AC160" s="633"/>
      <c r="AD160" s="633"/>
      <c r="AE160" s="227"/>
      <c r="AF160" s="633"/>
      <c r="AG160" s="633"/>
      <c r="AH160" s="227"/>
      <c r="AI160" s="633"/>
      <c r="AJ160" s="633"/>
      <c r="AK160" s="633"/>
      <c r="AL160" s="633"/>
      <c r="AM160" s="633"/>
      <c r="AN160" s="633"/>
      <c r="AO160" s="633"/>
      <c r="AP160" s="633"/>
      <c r="AQ160" s="633"/>
      <c r="AR160"/>
      <c r="AS160"/>
      <c r="AU160"/>
      <c r="AV160"/>
      <c r="AX160"/>
      <c r="AY160"/>
      <c r="BA160"/>
      <c r="BB160"/>
      <c r="BD160"/>
      <c r="BE160"/>
      <c r="BG160"/>
      <c r="BH160"/>
      <c r="BJ160" s="6626"/>
      <c r="BK160" s="6626"/>
      <c r="BM160" s="6624" t="s">
        <v>114</v>
      </c>
      <c r="BN160" s="6624"/>
      <c r="BP160"/>
      <c r="BQ160"/>
      <c r="BS160"/>
      <c r="BT160"/>
      <c r="BV160"/>
      <c r="BW160"/>
      <c r="BX160"/>
      <c r="BY160"/>
      <c r="BZ160"/>
      <c r="CA160"/>
      <c r="CB160"/>
      <c r="CD160"/>
      <c r="CE160"/>
      <c r="CG160"/>
      <c r="CH160"/>
      <c r="CJ160"/>
      <c r="CK160"/>
      <c r="CM160"/>
      <c r="CN160"/>
      <c r="CP160"/>
      <c r="CQ160"/>
      <c r="CS160" s="6626"/>
      <c r="CT160" s="6626"/>
      <c r="CV160" s="6624" t="s">
        <v>114</v>
      </c>
      <c r="CW160" s="6624"/>
      <c r="CY160"/>
      <c r="CZ160"/>
      <c r="DB160"/>
      <c r="DC160"/>
      <c r="DE160"/>
      <c r="DF160"/>
      <c r="DH160"/>
      <c r="DI160"/>
      <c r="DJ160" s="3">
        <v>1</v>
      </c>
    </row>
    <row r="161" spans="2:114" s="627" customFormat="1" ht="18" customHeight="1" thickBot="1">
      <c r="B161" s="633"/>
      <c r="C161" s="633"/>
      <c r="D161" s="633"/>
      <c r="E161" s="633"/>
      <c r="F161" s="633"/>
      <c r="G161" s="633"/>
      <c r="H161" s="633"/>
      <c r="I161" s="633"/>
      <c r="J161" s="633"/>
      <c r="K161" s="633"/>
      <c r="L161" s="633"/>
      <c r="M161" s="633"/>
      <c r="N161" s="633"/>
      <c r="O161" s="633"/>
      <c r="P161" s="633"/>
      <c r="Q161" s="633"/>
      <c r="R161" s="633"/>
      <c r="S161" s="633"/>
      <c r="T161" s="633"/>
      <c r="U161" s="633"/>
      <c r="V161" s="633"/>
      <c r="W161" s="648">
        <v>1</v>
      </c>
      <c r="X161" s="648">
        <v>1</v>
      </c>
      <c r="Y161" s="633"/>
      <c r="Z161" s="633"/>
      <c r="AA161" s="633"/>
      <c r="AB161" s="227"/>
      <c r="AC161" s="633"/>
      <c r="AD161" s="633"/>
      <c r="AE161" s="227"/>
      <c r="AF161" s="633"/>
      <c r="AG161" s="633"/>
      <c r="AH161" s="227"/>
      <c r="AI161" s="633"/>
      <c r="AJ161" s="633"/>
      <c r="AK161" s="633"/>
      <c r="AL161" s="633"/>
      <c r="AM161" s="633"/>
      <c r="AN161" s="633"/>
      <c r="AO161" s="633"/>
      <c r="AP161" s="633"/>
      <c r="AQ161" s="633"/>
      <c r="AR161"/>
      <c r="AS161"/>
      <c r="AU161"/>
      <c r="AV161"/>
      <c r="AX161"/>
      <c r="AY161"/>
      <c r="BA161"/>
      <c r="BB161"/>
      <c r="BD161"/>
      <c r="BE161"/>
      <c r="BG161"/>
      <c r="BH161"/>
      <c r="BJ161"/>
      <c r="BK161"/>
      <c r="BM161" s="648" t="s">
        <v>114</v>
      </c>
      <c r="BN161" s="648"/>
      <c r="BP161"/>
      <c r="BQ161"/>
      <c r="BS161"/>
      <c r="BT161"/>
      <c r="BV161"/>
      <c r="BW161"/>
      <c r="BX161"/>
      <c r="BY161"/>
      <c r="BZ161"/>
      <c r="CA161"/>
      <c r="CB161"/>
      <c r="CD161"/>
      <c r="CE161"/>
      <c r="CG161"/>
      <c r="CH161"/>
      <c r="CJ161"/>
      <c r="CK161"/>
      <c r="CM161"/>
      <c r="CN161"/>
      <c r="CP161"/>
      <c r="CQ161"/>
      <c r="CS161"/>
      <c r="CT161"/>
      <c r="CV161" s="648" t="s">
        <v>114</v>
      </c>
      <c r="CW161" s="648"/>
      <c r="CY161"/>
      <c r="CZ161"/>
      <c r="DB161"/>
      <c r="DC161"/>
      <c r="DE161"/>
      <c r="DF161"/>
      <c r="DH161"/>
      <c r="DI161"/>
      <c r="DJ161" s="3">
        <v>1</v>
      </c>
    </row>
    <row r="162" spans="2:114" s="627" customFormat="1" ht="18" customHeight="1">
      <c r="B162" s="633"/>
      <c r="C162" s="633"/>
      <c r="D162" s="633"/>
      <c r="E162" s="633"/>
      <c r="F162" s="633"/>
      <c r="G162" s="633"/>
      <c r="H162" s="633"/>
      <c r="I162" s="633"/>
      <c r="J162" s="633"/>
      <c r="K162" s="633"/>
      <c r="L162" s="633"/>
      <c r="M162" s="633"/>
      <c r="N162" s="633"/>
      <c r="O162" s="633"/>
      <c r="P162" s="633"/>
      <c r="Q162" s="633"/>
      <c r="R162" s="633"/>
      <c r="S162" s="633"/>
      <c r="T162" s="633"/>
      <c r="U162" s="633"/>
      <c r="V162" s="633"/>
      <c r="W162" s="6653" t="s">
        <v>1288</v>
      </c>
      <c r="X162" s="6653"/>
      <c r="Y162" s="633"/>
      <c r="Z162" s="633"/>
      <c r="AA162" s="633"/>
      <c r="AB162" s="227"/>
      <c r="AC162" s="633"/>
      <c r="AD162" s="633"/>
      <c r="AE162" s="227"/>
      <c r="AF162" s="633"/>
      <c r="AG162" s="633"/>
      <c r="AH162" s="227"/>
      <c r="AI162" s="633"/>
      <c r="AJ162" s="633"/>
      <c r="AK162" s="633"/>
      <c r="AL162" s="633"/>
      <c r="AM162" s="633"/>
      <c r="AN162" s="633"/>
      <c r="AO162" s="633"/>
      <c r="AP162" s="633"/>
      <c r="AQ162" s="633"/>
      <c r="AR162"/>
      <c r="AS162"/>
      <c r="AU162"/>
      <c r="AV162"/>
      <c r="AX162"/>
      <c r="AY162"/>
      <c r="BA162"/>
      <c r="BB162"/>
      <c r="BD162"/>
      <c r="BE162"/>
      <c r="BG162"/>
      <c r="BH162"/>
      <c r="BJ162"/>
      <c r="BK162"/>
      <c r="BM162" s="6653" t="s">
        <v>2381</v>
      </c>
      <c r="BN162" s="6653"/>
      <c r="BP162"/>
      <c r="BQ162"/>
      <c r="BS162"/>
      <c r="BT162"/>
      <c r="BV162"/>
      <c r="BW162"/>
      <c r="BX162"/>
      <c r="BY162"/>
      <c r="BZ162"/>
      <c r="CA162"/>
      <c r="CB162"/>
      <c r="CD162"/>
      <c r="CE162"/>
      <c r="CG162"/>
      <c r="CH162"/>
      <c r="CJ162"/>
      <c r="CK162"/>
      <c r="CM162"/>
      <c r="CN162"/>
      <c r="CP162"/>
      <c r="CQ162"/>
      <c r="CS162"/>
      <c r="CT162"/>
      <c r="CV162" s="6653" t="s">
        <v>2382</v>
      </c>
      <c r="CW162" s="6653"/>
      <c r="CY162"/>
      <c r="CZ162"/>
      <c r="DB162"/>
      <c r="DC162"/>
      <c r="DE162"/>
      <c r="DF162"/>
      <c r="DH162"/>
      <c r="DI162"/>
      <c r="DJ162" s="3">
        <v>1</v>
      </c>
    </row>
    <row r="163" spans="2:114" s="627" customFormat="1" ht="18" customHeight="1">
      <c r="B163" s="633"/>
      <c r="C163" s="633"/>
      <c r="D163" s="633"/>
      <c r="E163" s="633"/>
      <c r="F163" s="633"/>
      <c r="G163" s="633"/>
      <c r="H163" s="633"/>
      <c r="I163" s="633"/>
      <c r="J163" s="633"/>
      <c r="K163" s="633"/>
      <c r="L163" s="633"/>
      <c r="M163" s="633"/>
      <c r="N163" s="633"/>
      <c r="O163" s="633"/>
      <c r="P163" s="633"/>
      <c r="Q163" s="633"/>
      <c r="R163" s="633"/>
      <c r="S163" s="633"/>
      <c r="T163" s="633"/>
      <c r="U163" s="633"/>
      <c r="V163" s="633"/>
      <c r="W163" s="6624"/>
      <c r="X163" s="6624"/>
      <c r="Y163" s="633"/>
      <c r="Z163" s="633"/>
      <c r="AA163" s="633"/>
      <c r="AB163" s="227"/>
      <c r="AC163" s="633"/>
      <c r="AD163" s="633"/>
      <c r="AE163" s="227"/>
      <c r="AF163" s="633"/>
      <c r="AG163" s="633"/>
      <c r="AH163" s="227"/>
      <c r="AI163" s="633"/>
      <c r="AJ163" s="633"/>
      <c r="AK163" s="633"/>
      <c r="AL163" s="633"/>
      <c r="AM163" s="633"/>
      <c r="AN163" s="633"/>
      <c r="AO163" s="633"/>
      <c r="AP163" s="633"/>
      <c r="AQ163" s="633"/>
      <c r="AR163"/>
      <c r="AS163"/>
      <c r="AU163"/>
      <c r="AV163"/>
      <c r="AX163"/>
      <c r="AY163"/>
      <c r="BA163"/>
      <c r="BB163"/>
      <c r="BD163"/>
      <c r="BE163"/>
      <c r="BG163"/>
      <c r="BH163"/>
      <c r="BJ163"/>
      <c r="BK163"/>
      <c r="BM163" s="6624" t="s">
        <v>114</v>
      </c>
      <c r="BN163" s="6624"/>
      <c r="BP163"/>
      <c r="BQ163"/>
      <c r="BS163"/>
      <c r="BT163"/>
      <c r="BV163"/>
      <c r="BW163"/>
      <c r="BX163"/>
      <c r="BY163"/>
      <c r="BZ163"/>
      <c r="CA163"/>
      <c r="CB163"/>
      <c r="CD163"/>
      <c r="CE163"/>
      <c r="CG163"/>
      <c r="CH163"/>
      <c r="CJ163"/>
      <c r="CK163"/>
      <c r="CM163"/>
      <c r="CN163"/>
      <c r="CP163"/>
      <c r="CQ163"/>
      <c r="CS163"/>
      <c r="CT163"/>
      <c r="CV163" s="6624" t="s">
        <v>114</v>
      </c>
      <c r="CW163" s="6624"/>
      <c r="CY163"/>
      <c r="CZ163"/>
      <c r="DB163"/>
      <c r="DC163"/>
      <c r="DE163"/>
      <c r="DF163"/>
      <c r="DH163"/>
      <c r="DI163"/>
      <c r="DJ163" s="3">
        <v>1</v>
      </c>
    </row>
    <row r="164" spans="2:114" s="627" customFormat="1" ht="18" customHeight="1" thickBot="1">
      <c r="B164" s="633"/>
      <c r="C164" s="633"/>
      <c r="D164" s="633"/>
      <c r="E164" s="633"/>
      <c r="F164" s="633"/>
      <c r="G164" s="633"/>
      <c r="H164" s="633"/>
      <c r="I164" s="633"/>
      <c r="J164" s="633"/>
      <c r="K164" s="633"/>
      <c r="L164" s="633"/>
      <c r="M164" s="633"/>
      <c r="N164" s="633"/>
      <c r="O164" s="633"/>
      <c r="P164" s="633"/>
      <c r="Q164" s="633"/>
      <c r="R164" s="633"/>
      <c r="S164" s="633"/>
      <c r="T164" s="633"/>
      <c r="U164" s="633"/>
      <c r="V164" s="633"/>
      <c r="W164" s="648">
        <v>1</v>
      </c>
      <c r="X164" s="648">
        <v>1</v>
      </c>
      <c r="Y164" s="633"/>
      <c r="Z164" s="633"/>
      <c r="AA164" s="633"/>
      <c r="AB164" s="227"/>
      <c r="AC164" s="633"/>
      <c r="AD164" s="633"/>
      <c r="AE164" s="227"/>
      <c r="AF164" s="633"/>
      <c r="AG164" s="633"/>
      <c r="AH164" s="227"/>
      <c r="AI164" s="633"/>
      <c r="AJ164" s="633"/>
      <c r="AK164" s="633"/>
      <c r="AL164" s="633"/>
      <c r="AM164" s="633"/>
      <c r="AN164" s="633"/>
      <c r="AO164" s="633"/>
      <c r="AP164" s="633"/>
      <c r="AQ164" s="633"/>
      <c r="AR164"/>
      <c r="AS164"/>
      <c r="AU164"/>
      <c r="AV164"/>
      <c r="AX164"/>
      <c r="AY164"/>
      <c r="BA164"/>
      <c r="BB164"/>
      <c r="BD164"/>
      <c r="BE164"/>
      <c r="BG164"/>
      <c r="BH164"/>
      <c r="BJ164"/>
      <c r="BK164"/>
      <c r="BM164" s="648" t="s">
        <v>114</v>
      </c>
      <c r="BN164" s="648"/>
      <c r="BP164"/>
      <c r="BQ164"/>
      <c r="BS164"/>
      <c r="BT164"/>
      <c r="BV164"/>
      <c r="BW164"/>
      <c r="BX164"/>
      <c r="BY164"/>
      <c r="BZ164"/>
      <c r="CA164"/>
      <c r="CB164"/>
      <c r="CD164"/>
      <c r="CE164"/>
      <c r="CG164"/>
      <c r="CH164"/>
      <c r="CJ164"/>
      <c r="CK164"/>
      <c r="CM164"/>
      <c r="CN164"/>
      <c r="CP164"/>
      <c r="CQ164"/>
      <c r="CS164"/>
      <c r="CT164"/>
      <c r="CV164" s="648" t="s">
        <v>114</v>
      </c>
      <c r="CW164" s="648"/>
      <c r="CY164"/>
      <c r="CZ164"/>
      <c r="DB164"/>
      <c r="DC164"/>
      <c r="DE164"/>
      <c r="DF164"/>
      <c r="DH164"/>
      <c r="DI164"/>
      <c r="DJ164" s="3">
        <v>1</v>
      </c>
    </row>
    <row r="165" spans="2:114" s="627" customFormat="1" ht="18" customHeight="1">
      <c r="B165" s="633"/>
      <c r="C165" s="633"/>
      <c r="D165" s="633"/>
      <c r="E165" s="633"/>
      <c r="F165" s="633"/>
      <c r="G165" s="633"/>
      <c r="H165" s="633"/>
      <c r="I165" s="633"/>
      <c r="J165" s="633"/>
      <c r="K165" s="633"/>
      <c r="L165" s="633"/>
      <c r="M165" s="633"/>
      <c r="N165" s="633"/>
      <c r="O165" s="633"/>
      <c r="P165" s="633"/>
      <c r="Q165" s="633"/>
      <c r="R165" s="633"/>
      <c r="S165" s="633"/>
      <c r="T165" s="633"/>
      <c r="U165" s="633"/>
      <c r="V165" s="633"/>
      <c r="W165" s="6653" t="s">
        <v>1289</v>
      </c>
      <c r="X165" s="6653"/>
      <c r="Y165" s="633"/>
      <c r="Z165" s="633"/>
      <c r="AA165" s="633"/>
      <c r="AB165" s="227"/>
      <c r="AC165" s="633"/>
      <c r="AD165" s="633"/>
      <c r="AE165" s="227"/>
      <c r="AF165" s="633"/>
      <c r="AG165" s="633"/>
      <c r="AH165" s="227"/>
      <c r="AI165" s="633"/>
      <c r="AJ165" s="633"/>
      <c r="AK165" s="633"/>
      <c r="AL165" s="633"/>
      <c r="AM165" s="633"/>
      <c r="AN165" s="633"/>
      <c r="AO165" s="633"/>
      <c r="AP165" s="633"/>
      <c r="AQ165" s="633"/>
      <c r="AR165"/>
      <c r="AS165"/>
      <c r="AU165"/>
      <c r="AV165"/>
      <c r="AX165"/>
      <c r="AY165"/>
      <c r="BA165"/>
      <c r="BB165"/>
      <c r="BD165"/>
      <c r="BE165"/>
      <c r="BG165"/>
      <c r="BH165"/>
      <c r="BJ165"/>
      <c r="BK165"/>
      <c r="BM165" s="6653" t="s">
        <v>2383</v>
      </c>
      <c r="BN165" s="6653"/>
      <c r="BP165"/>
      <c r="BQ165"/>
      <c r="BS165"/>
      <c r="BT165"/>
      <c r="BV165"/>
      <c r="BW165"/>
      <c r="BX165"/>
      <c r="BY165"/>
      <c r="BZ165"/>
      <c r="CA165"/>
      <c r="CB165"/>
      <c r="CD165"/>
      <c r="CE165"/>
      <c r="CG165"/>
      <c r="CH165"/>
      <c r="CJ165"/>
      <c r="CK165"/>
      <c r="CM165"/>
      <c r="CN165"/>
      <c r="CP165"/>
      <c r="CQ165"/>
      <c r="CS165"/>
      <c r="CT165"/>
      <c r="CV165" s="6653" t="s">
        <v>2384</v>
      </c>
      <c r="CW165" s="6653"/>
      <c r="CY165"/>
      <c r="CZ165"/>
      <c r="DB165"/>
      <c r="DC165"/>
      <c r="DE165"/>
      <c r="DF165"/>
      <c r="DH165"/>
      <c r="DI165"/>
      <c r="DJ165" s="3">
        <v>1</v>
      </c>
    </row>
    <row r="166" spans="2:114" s="627" customFormat="1" ht="18" customHeight="1">
      <c r="B166" s="633"/>
      <c r="C166" s="633"/>
      <c r="D166" s="633"/>
      <c r="E166" s="633"/>
      <c r="F166" s="633"/>
      <c r="G166" s="633"/>
      <c r="H166" s="633"/>
      <c r="I166" s="633"/>
      <c r="J166" s="633"/>
      <c r="K166" s="633"/>
      <c r="L166" s="633"/>
      <c r="M166" s="633"/>
      <c r="N166" s="633"/>
      <c r="O166" s="633"/>
      <c r="P166" s="633"/>
      <c r="Q166" s="633"/>
      <c r="R166" s="633"/>
      <c r="S166" s="633"/>
      <c r="T166" s="633"/>
      <c r="U166" s="633"/>
      <c r="V166" s="633"/>
      <c r="W166" s="6624"/>
      <c r="X166" s="6624"/>
      <c r="Y166" s="633"/>
      <c r="Z166" s="633"/>
      <c r="AA166" s="633"/>
      <c r="AB166" s="227"/>
      <c r="AC166" s="633"/>
      <c r="AD166" s="633"/>
      <c r="AE166" s="227"/>
      <c r="AF166" s="633"/>
      <c r="AG166" s="633"/>
      <c r="AH166" s="227"/>
      <c r="AI166" s="633"/>
      <c r="AJ166" s="633"/>
      <c r="AK166" s="633"/>
      <c r="AL166" s="633"/>
      <c r="AM166" s="633"/>
      <c r="AN166" s="633"/>
      <c r="AO166" s="633"/>
      <c r="AP166" s="633"/>
      <c r="AQ166" s="633"/>
      <c r="AR166"/>
      <c r="AS166"/>
      <c r="AU166"/>
      <c r="AV166"/>
      <c r="AX166"/>
      <c r="AY166"/>
      <c r="BA166"/>
      <c r="BB166"/>
      <c r="BD166"/>
      <c r="BE166"/>
      <c r="BG166"/>
      <c r="BH166"/>
      <c r="BJ166"/>
      <c r="BK166" t="s">
        <v>114</v>
      </c>
      <c r="BM166" s="6624" t="s">
        <v>114</v>
      </c>
      <c r="BN166" s="6624"/>
      <c r="BP166"/>
      <c r="BQ166"/>
      <c r="BS166"/>
      <c r="BT166"/>
      <c r="BV166"/>
      <c r="BW166"/>
      <c r="BX166"/>
      <c r="BY166"/>
      <c r="BZ166"/>
      <c r="CA166"/>
      <c r="CB166"/>
      <c r="CD166"/>
      <c r="CE166"/>
      <c r="CG166"/>
      <c r="CH166"/>
      <c r="CJ166"/>
      <c r="CK166"/>
      <c r="CM166"/>
      <c r="CN166"/>
      <c r="CP166"/>
      <c r="CQ166"/>
      <c r="CS166"/>
      <c r="CT166"/>
      <c r="CV166" s="6624" t="s">
        <v>114</v>
      </c>
      <c r="CW166" s="6624"/>
      <c r="CY166"/>
      <c r="CZ166"/>
      <c r="DB166"/>
      <c r="DC166"/>
      <c r="DE166"/>
      <c r="DF166"/>
      <c r="DH166"/>
      <c r="DI166"/>
      <c r="DJ166" s="3">
        <v>1</v>
      </c>
    </row>
    <row r="167" spans="2:114" s="627" customFormat="1" ht="18" customHeight="1" thickBot="1">
      <c r="B167" s="633"/>
      <c r="C167" s="633"/>
      <c r="D167" s="633"/>
      <c r="E167" s="633"/>
      <c r="F167" s="633"/>
      <c r="G167" s="633"/>
      <c r="H167" s="633"/>
      <c r="I167" s="633"/>
      <c r="J167" s="633"/>
      <c r="K167" s="633"/>
      <c r="L167" s="633"/>
      <c r="M167" s="633"/>
      <c r="N167" s="633"/>
      <c r="O167" s="633"/>
      <c r="P167" s="633"/>
      <c r="Q167" s="633"/>
      <c r="R167" s="633"/>
      <c r="S167" s="633"/>
      <c r="T167" s="633"/>
      <c r="U167" s="633"/>
      <c r="V167" s="633"/>
      <c r="W167" s="648">
        <v>1</v>
      </c>
      <c r="X167" s="648">
        <v>1</v>
      </c>
      <c r="Y167" s="633"/>
      <c r="Z167" s="633"/>
      <c r="AA167" s="633"/>
      <c r="AB167" s="227"/>
      <c r="AC167" s="633"/>
      <c r="AD167" s="633"/>
      <c r="AE167" s="227"/>
      <c r="AF167" s="633"/>
      <c r="AG167" s="633"/>
      <c r="AH167" s="227"/>
      <c r="AI167" s="633"/>
      <c r="AJ167" s="633"/>
      <c r="AK167" s="633"/>
      <c r="AL167" s="633"/>
      <c r="AM167" s="633"/>
      <c r="AN167" s="633"/>
      <c r="AO167" s="633"/>
      <c r="AP167" s="633"/>
      <c r="AQ167" s="633"/>
      <c r="AR167"/>
      <c r="AS167"/>
      <c r="AU167"/>
      <c r="AV167"/>
      <c r="AX167"/>
      <c r="AY167"/>
      <c r="BA167"/>
      <c r="BB167"/>
      <c r="BD167"/>
      <c r="BE167"/>
      <c r="BG167"/>
      <c r="BH167"/>
      <c r="BJ167"/>
      <c r="BK167"/>
      <c r="BM167" s="648" t="s">
        <v>114</v>
      </c>
      <c r="BN167" s="648"/>
      <c r="BP167"/>
      <c r="BQ167"/>
      <c r="BS167"/>
      <c r="BT167"/>
      <c r="BV167"/>
      <c r="BW167"/>
      <c r="BX167"/>
      <c r="BY167"/>
      <c r="BZ167"/>
      <c r="CA167"/>
      <c r="CB167"/>
      <c r="CD167"/>
      <c r="CE167"/>
      <c r="CG167"/>
      <c r="CH167"/>
      <c r="CJ167"/>
      <c r="CK167"/>
      <c r="CM167"/>
      <c r="CN167"/>
      <c r="CP167"/>
      <c r="CQ167"/>
      <c r="CS167"/>
      <c r="CT167"/>
      <c r="CV167" s="648" t="s">
        <v>114</v>
      </c>
      <c r="CW167" s="648"/>
      <c r="CY167"/>
      <c r="CZ167"/>
      <c r="DB167"/>
      <c r="DC167"/>
      <c r="DE167"/>
      <c r="DF167"/>
      <c r="DH167"/>
      <c r="DI167"/>
      <c r="DJ167" s="3">
        <v>1</v>
      </c>
    </row>
    <row r="168" spans="2:114" s="627" customFormat="1" ht="18" customHeight="1">
      <c r="B168" s="633"/>
      <c r="C168" s="633"/>
      <c r="D168" s="633"/>
      <c r="E168" s="633"/>
      <c r="F168" s="633"/>
      <c r="G168" s="633"/>
      <c r="H168" s="633"/>
      <c r="I168" s="633"/>
      <c r="J168" s="633"/>
      <c r="K168" s="633"/>
      <c r="L168" s="633"/>
      <c r="M168" s="633"/>
      <c r="N168" s="633"/>
      <c r="O168" s="633"/>
      <c r="P168" s="633"/>
      <c r="Q168" s="633"/>
      <c r="R168" s="633"/>
      <c r="S168" s="633"/>
      <c r="T168" s="633"/>
      <c r="U168" s="633"/>
      <c r="V168" s="633"/>
      <c r="W168" s="6653" t="s">
        <v>1290</v>
      </c>
      <c r="X168" s="6653"/>
      <c r="Y168" s="633"/>
      <c r="Z168" s="633"/>
      <c r="AA168" s="633"/>
      <c r="AB168" s="227"/>
      <c r="AC168" s="633"/>
      <c r="AD168" s="633"/>
      <c r="AE168" s="227"/>
      <c r="AF168" s="633"/>
      <c r="AG168" s="633"/>
      <c r="AH168" s="227"/>
      <c r="AI168" s="633"/>
      <c r="AJ168" s="633"/>
      <c r="AK168" s="633"/>
      <c r="AL168" s="633"/>
      <c r="AM168" s="633"/>
      <c r="AN168" s="633"/>
      <c r="AO168" s="633"/>
      <c r="AP168" s="633"/>
      <c r="AQ168" s="633"/>
      <c r="AR168"/>
      <c r="AS168"/>
      <c r="AU168"/>
      <c r="AV168"/>
      <c r="AX168"/>
      <c r="AY168"/>
      <c r="BA168"/>
      <c r="BB168"/>
      <c r="BD168"/>
      <c r="BE168"/>
      <c r="BG168"/>
      <c r="BH168"/>
      <c r="BJ168"/>
      <c r="BK168"/>
      <c r="BM168" s="6653" t="s">
        <v>2385</v>
      </c>
      <c r="BN168" s="6653"/>
      <c r="BP168"/>
      <c r="BQ168"/>
      <c r="BS168"/>
      <c r="BT168"/>
      <c r="BV168"/>
      <c r="BW168"/>
      <c r="BX168"/>
      <c r="BY168"/>
      <c r="BZ168"/>
      <c r="CA168"/>
      <c r="CB168"/>
      <c r="CD168"/>
      <c r="CE168"/>
      <c r="CG168"/>
      <c r="CH168"/>
      <c r="CJ168"/>
      <c r="CK168"/>
      <c r="CM168"/>
      <c r="CN168"/>
      <c r="CP168"/>
      <c r="CQ168"/>
      <c r="CS168"/>
      <c r="CT168"/>
      <c r="CV168" s="6653" t="s">
        <v>1289</v>
      </c>
      <c r="CW168" s="6653"/>
      <c r="CY168"/>
      <c r="CZ168"/>
      <c r="DB168"/>
      <c r="DC168"/>
      <c r="DE168"/>
      <c r="DF168"/>
      <c r="DH168"/>
      <c r="DI168"/>
      <c r="DJ168" s="3">
        <v>1</v>
      </c>
    </row>
    <row r="169" spans="2:114" s="627" customFormat="1" ht="18" customHeight="1">
      <c r="B169" s="633"/>
      <c r="C169" s="633"/>
      <c r="D169" s="633"/>
      <c r="E169" s="633"/>
      <c r="F169" s="633"/>
      <c r="G169" s="633"/>
      <c r="H169" s="633"/>
      <c r="I169" s="633"/>
      <c r="J169" s="633"/>
      <c r="K169" s="633"/>
      <c r="L169" s="633"/>
      <c r="M169" s="633"/>
      <c r="N169" s="633"/>
      <c r="O169" s="633"/>
      <c r="P169" s="633"/>
      <c r="Q169" s="633"/>
      <c r="R169" s="633"/>
      <c r="S169" s="633"/>
      <c r="T169" s="633"/>
      <c r="U169" s="633"/>
      <c r="V169" s="633"/>
      <c r="W169" s="6624"/>
      <c r="X169" s="6624"/>
      <c r="Y169" s="633"/>
      <c r="Z169" s="633"/>
      <c r="AA169" s="633"/>
      <c r="AB169" s="227"/>
      <c r="AC169" s="633"/>
      <c r="AD169" s="633"/>
      <c r="AE169" s="227"/>
      <c r="AF169" s="633"/>
      <c r="AG169" s="633"/>
      <c r="AH169" s="227"/>
      <c r="AI169" s="633"/>
      <c r="AJ169" s="633"/>
      <c r="AK169" s="633"/>
      <c r="AL169" s="633"/>
      <c r="AM169" s="633"/>
      <c r="AN169" s="633"/>
      <c r="AO169" s="633"/>
      <c r="AP169" s="633"/>
      <c r="AQ169" s="633"/>
      <c r="AR169"/>
      <c r="AS169"/>
      <c r="AU169"/>
      <c r="AV169"/>
      <c r="AX169"/>
      <c r="AY169"/>
      <c r="BA169"/>
      <c r="BB169"/>
      <c r="BD169"/>
      <c r="BE169"/>
      <c r="BG169"/>
      <c r="BH169"/>
      <c r="BJ169"/>
      <c r="BK169"/>
      <c r="BM169" s="6624" t="s">
        <v>114</v>
      </c>
      <c r="BN169" s="6624"/>
      <c r="BP169"/>
      <c r="BQ169"/>
      <c r="BS169"/>
      <c r="BT169"/>
      <c r="BV169"/>
      <c r="BW169"/>
      <c r="BX169"/>
      <c r="BY169"/>
      <c r="BZ169"/>
      <c r="CA169"/>
      <c r="CB169"/>
      <c r="CD169"/>
      <c r="CE169"/>
      <c r="CG169"/>
      <c r="CH169"/>
      <c r="CJ169"/>
      <c r="CK169"/>
      <c r="CM169"/>
      <c r="CN169"/>
      <c r="CP169"/>
      <c r="CQ169"/>
      <c r="CS169"/>
      <c r="CT169"/>
      <c r="CV169" s="6624" t="s">
        <v>114</v>
      </c>
      <c r="CW169" s="6624"/>
      <c r="CY169"/>
      <c r="CZ169"/>
      <c r="DB169"/>
      <c r="DC169"/>
      <c r="DE169"/>
      <c r="DF169"/>
      <c r="DH169"/>
      <c r="DI169"/>
      <c r="DJ169" s="3">
        <v>1</v>
      </c>
    </row>
    <row r="170" spans="2:114" s="627" customFormat="1" ht="18" customHeight="1" thickBot="1">
      <c r="B170" s="633"/>
      <c r="C170" s="633"/>
      <c r="D170" s="633"/>
      <c r="E170" s="633"/>
      <c r="F170" s="633"/>
      <c r="G170" s="633"/>
      <c r="H170" s="633"/>
      <c r="I170" s="633"/>
      <c r="J170" s="633"/>
      <c r="K170" s="633"/>
      <c r="L170" s="633"/>
      <c r="M170" s="633"/>
      <c r="N170" s="633"/>
      <c r="O170" s="633"/>
      <c r="P170" s="633"/>
      <c r="Q170" s="633"/>
      <c r="R170" s="633"/>
      <c r="S170" s="633"/>
      <c r="T170" s="633"/>
      <c r="U170" s="633"/>
      <c r="V170" s="633"/>
      <c r="W170" s="648">
        <v>1</v>
      </c>
      <c r="X170" s="648">
        <v>1</v>
      </c>
      <c r="Y170" s="633"/>
      <c r="Z170" s="633"/>
      <c r="AA170" s="633"/>
      <c r="AB170" s="227"/>
      <c r="AC170" s="633"/>
      <c r="AD170" s="633"/>
      <c r="AE170" s="227"/>
      <c r="AF170" s="633"/>
      <c r="AG170" s="633"/>
      <c r="AH170" s="227"/>
      <c r="AI170" s="633"/>
      <c r="AJ170" s="633"/>
      <c r="AK170" s="633"/>
      <c r="AL170" s="633"/>
      <c r="AM170" s="633"/>
      <c r="AN170" s="633"/>
      <c r="AO170" s="633"/>
      <c r="AP170" s="633"/>
      <c r="AQ170" s="633"/>
      <c r="AR170"/>
      <c r="AS170"/>
      <c r="AU170"/>
      <c r="AV170"/>
      <c r="AX170"/>
      <c r="AY170"/>
      <c r="BA170"/>
      <c r="BB170"/>
      <c r="BD170"/>
      <c r="BE170"/>
      <c r="BG170"/>
      <c r="BH170"/>
      <c r="BJ170"/>
      <c r="BK170"/>
      <c r="BM170" s="648" t="s">
        <v>114</v>
      </c>
      <c r="BN170" s="648"/>
      <c r="BP170"/>
      <c r="BQ170"/>
      <c r="BS170"/>
      <c r="BT170"/>
      <c r="BV170"/>
      <c r="BW170"/>
      <c r="BX170"/>
      <c r="BY170"/>
      <c r="BZ170"/>
      <c r="CA170"/>
      <c r="CB170"/>
      <c r="CD170"/>
      <c r="CE170"/>
      <c r="CG170"/>
      <c r="CH170"/>
      <c r="CJ170"/>
      <c r="CK170"/>
      <c r="CM170"/>
      <c r="CN170"/>
      <c r="CP170"/>
      <c r="CQ170"/>
      <c r="CS170"/>
      <c r="CT170"/>
      <c r="CV170" s="648" t="s">
        <v>114</v>
      </c>
      <c r="CW170" s="648"/>
      <c r="CY170"/>
      <c r="CZ170"/>
      <c r="DB170"/>
      <c r="DC170"/>
      <c r="DE170"/>
      <c r="DF170"/>
      <c r="DH170"/>
      <c r="DI170"/>
      <c r="DJ170" s="3">
        <v>1</v>
      </c>
    </row>
    <row r="171" spans="2:114" s="627" customFormat="1" ht="18" customHeight="1">
      <c r="B171" s="633"/>
      <c r="C171" s="633"/>
      <c r="D171" s="633"/>
      <c r="E171" s="633"/>
      <c r="F171" s="633"/>
      <c r="G171" s="633"/>
      <c r="H171" s="633"/>
      <c r="I171" s="633"/>
      <c r="J171" s="633"/>
      <c r="K171" s="633"/>
      <c r="L171" s="633"/>
      <c r="M171" s="633"/>
      <c r="N171" s="633"/>
      <c r="O171" s="633"/>
      <c r="P171" s="633"/>
      <c r="Q171" s="633"/>
      <c r="R171" s="633"/>
      <c r="S171" s="633"/>
      <c r="T171" s="633"/>
      <c r="U171" s="633"/>
      <c r="V171" s="633"/>
      <c r="W171" s="6653" t="s">
        <v>1291</v>
      </c>
      <c r="X171" s="6653"/>
      <c r="Y171" s="633"/>
      <c r="Z171" s="633"/>
      <c r="AA171" s="633"/>
      <c r="AB171" s="227"/>
      <c r="AC171" s="633"/>
      <c r="AD171" s="633"/>
      <c r="AE171" s="227"/>
      <c r="AF171" s="633"/>
      <c r="AG171" s="633"/>
      <c r="AH171" s="227"/>
      <c r="AI171" s="633"/>
      <c r="AJ171" s="633"/>
      <c r="AK171" s="633"/>
      <c r="AL171" s="633"/>
      <c r="AM171" s="633"/>
      <c r="AN171" s="633"/>
      <c r="AO171" s="633"/>
      <c r="AP171" s="633"/>
      <c r="AQ171" s="633"/>
      <c r="AR171"/>
      <c r="AS171"/>
      <c r="AU171"/>
      <c r="AV171"/>
      <c r="AX171"/>
      <c r="AY171"/>
      <c r="BA171"/>
      <c r="BB171"/>
      <c r="BD171"/>
      <c r="BE171"/>
      <c r="BG171"/>
      <c r="BH171"/>
      <c r="BJ171"/>
      <c r="BK171"/>
      <c r="BM171" s="6653" t="s">
        <v>2386</v>
      </c>
      <c r="BN171" s="6653"/>
      <c r="BP171"/>
      <c r="BQ171"/>
      <c r="BS171"/>
      <c r="BT171"/>
      <c r="BV171"/>
      <c r="BW171"/>
      <c r="BX171"/>
      <c r="BY171"/>
      <c r="BZ171"/>
      <c r="CA171"/>
      <c r="CB171"/>
      <c r="CD171"/>
      <c r="CE171"/>
      <c r="CG171"/>
      <c r="CH171"/>
      <c r="CJ171"/>
      <c r="CK171"/>
      <c r="CM171"/>
      <c r="CN171"/>
      <c r="CP171"/>
      <c r="CQ171"/>
      <c r="CS171"/>
      <c r="CT171"/>
      <c r="CV171" s="6653" t="s">
        <v>1290</v>
      </c>
      <c r="CW171" s="6653"/>
      <c r="CY171"/>
      <c r="CZ171"/>
      <c r="DB171"/>
      <c r="DC171"/>
      <c r="DE171"/>
      <c r="DF171"/>
      <c r="DH171"/>
      <c r="DI171"/>
      <c r="DJ171" s="3">
        <v>1</v>
      </c>
    </row>
    <row r="172" spans="2:114" s="627" customFormat="1" ht="18" customHeight="1">
      <c r="B172" s="633"/>
      <c r="C172" s="633"/>
      <c r="D172" s="633"/>
      <c r="E172" s="633"/>
      <c r="F172" s="633"/>
      <c r="G172" s="633"/>
      <c r="H172" s="633"/>
      <c r="I172" s="633"/>
      <c r="J172" s="633"/>
      <c r="K172" s="633"/>
      <c r="L172" s="633"/>
      <c r="M172" s="633"/>
      <c r="N172" s="633"/>
      <c r="O172" s="633"/>
      <c r="P172" s="633"/>
      <c r="Q172" s="633"/>
      <c r="R172" s="633"/>
      <c r="S172" s="633"/>
      <c r="T172" s="633"/>
      <c r="U172" s="633"/>
      <c r="V172" s="633"/>
      <c r="W172" s="6624"/>
      <c r="X172" s="6624"/>
      <c r="Y172" s="633"/>
      <c r="Z172" s="633"/>
      <c r="AA172" s="633"/>
      <c r="AB172" s="227"/>
      <c r="AC172" s="633"/>
      <c r="AD172" s="633"/>
      <c r="AE172" s="227"/>
      <c r="AF172" s="633"/>
      <c r="AG172" s="633"/>
      <c r="AH172" s="227"/>
      <c r="AI172" s="633"/>
      <c r="AJ172" s="633"/>
      <c r="AK172" s="633"/>
      <c r="AL172" s="633"/>
      <c r="AM172" s="633"/>
      <c r="AN172" s="633"/>
      <c r="AO172" s="633"/>
      <c r="AP172" s="633"/>
      <c r="AQ172" s="633"/>
      <c r="AR172"/>
      <c r="AS172"/>
      <c r="AU172"/>
      <c r="AV172"/>
      <c r="AX172"/>
      <c r="AY172"/>
      <c r="BA172"/>
      <c r="BB172"/>
      <c r="BD172"/>
      <c r="BE172"/>
      <c r="BG172"/>
      <c r="BH172"/>
      <c r="BJ172"/>
      <c r="BK172"/>
      <c r="BM172" s="6624" t="s">
        <v>114</v>
      </c>
      <c r="BN172" s="6624"/>
      <c r="BP172"/>
      <c r="BQ172"/>
      <c r="BS172"/>
      <c r="BT172"/>
      <c r="BV172"/>
      <c r="BW172"/>
      <c r="BX172"/>
      <c r="BY172"/>
      <c r="BZ172"/>
      <c r="CA172"/>
      <c r="CB172"/>
      <c r="CD172"/>
      <c r="CE172"/>
      <c r="CG172"/>
      <c r="CH172"/>
      <c r="CJ172"/>
      <c r="CK172"/>
      <c r="CM172"/>
      <c r="CN172"/>
      <c r="CP172"/>
      <c r="CQ172"/>
      <c r="CS172"/>
      <c r="CT172"/>
      <c r="CV172" s="6624" t="s">
        <v>114</v>
      </c>
      <c r="CW172" s="6624"/>
      <c r="CY172"/>
      <c r="CZ172"/>
      <c r="DB172"/>
      <c r="DC172"/>
      <c r="DE172"/>
      <c r="DF172"/>
      <c r="DH172"/>
      <c r="DI172"/>
      <c r="DJ172" s="3">
        <v>1</v>
      </c>
    </row>
    <row r="173" spans="2:114" s="627" customFormat="1" ht="18" customHeight="1" thickBot="1">
      <c r="B173" s="633"/>
      <c r="C173" s="633"/>
      <c r="D173" s="633"/>
      <c r="E173" s="633"/>
      <c r="F173" s="633"/>
      <c r="G173" s="633"/>
      <c r="H173" s="633"/>
      <c r="I173" s="633"/>
      <c r="J173" s="633"/>
      <c r="K173" s="633"/>
      <c r="L173" s="633"/>
      <c r="M173" s="633"/>
      <c r="N173" s="633"/>
      <c r="O173" s="633"/>
      <c r="P173" s="633"/>
      <c r="Q173" s="633"/>
      <c r="R173" s="633"/>
      <c r="S173" s="633"/>
      <c r="T173" s="633"/>
      <c r="U173" s="633"/>
      <c r="V173" s="633"/>
      <c r="W173" s="648">
        <v>1</v>
      </c>
      <c r="X173" s="648">
        <v>1</v>
      </c>
      <c r="Y173" s="633"/>
      <c r="Z173" s="633"/>
      <c r="AA173" s="633"/>
      <c r="AB173" s="227"/>
      <c r="AC173" s="633"/>
      <c r="AD173" s="633"/>
      <c r="AE173" s="227"/>
      <c r="AF173" s="633"/>
      <c r="AG173" s="633"/>
      <c r="AH173" s="227"/>
      <c r="AI173" s="633"/>
      <c r="AJ173" s="633"/>
      <c r="AK173" s="633"/>
      <c r="AL173" s="633"/>
      <c r="AM173" s="633"/>
      <c r="AN173" s="633"/>
      <c r="AO173" s="633"/>
      <c r="AP173" s="633"/>
      <c r="AQ173" s="633"/>
      <c r="AR173"/>
      <c r="AS173"/>
      <c r="AU173"/>
      <c r="AV173"/>
      <c r="AX173"/>
      <c r="AY173"/>
      <c r="BA173"/>
      <c r="BB173"/>
      <c r="BD173"/>
      <c r="BE173"/>
      <c r="BG173"/>
      <c r="BH173"/>
      <c r="BJ173"/>
      <c r="BK173"/>
      <c r="BM173" s="648" t="s">
        <v>114</v>
      </c>
      <c r="BN173" s="648"/>
      <c r="BP173"/>
      <c r="BQ173"/>
      <c r="BS173"/>
      <c r="BT173"/>
      <c r="BV173"/>
      <c r="BW173"/>
      <c r="BX173"/>
      <c r="BY173"/>
      <c r="BZ173"/>
      <c r="CA173"/>
      <c r="CB173"/>
      <c r="CD173"/>
      <c r="CE173"/>
      <c r="CG173"/>
      <c r="CH173"/>
      <c r="CJ173"/>
      <c r="CK173"/>
      <c r="CM173"/>
      <c r="CN173"/>
      <c r="CP173"/>
      <c r="CQ173"/>
      <c r="CS173"/>
      <c r="CT173"/>
      <c r="CV173" s="648" t="s">
        <v>114</v>
      </c>
      <c r="CW173" s="648"/>
      <c r="CY173"/>
      <c r="CZ173"/>
      <c r="DB173"/>
      <c r="DC173"/>
      <c r="DE173"/>
      <c r="DF173"/>
      <c r="DH173"/>
      <c r="DI173"/>
      <c r="DJ173" s="3">
        <v>1</v>
      </c>
    </row>
    <row r="174" spans="2:114" s="627" customFormat="1" ht="18" customHeight="1">
      <c r="B174" s="633"/>
      <c r="C174" s="633"/>
      <c r="D174" s="633"/>
      <c r="E174" s="633"/>
      <c r="F174" s="633"/>
      <c r="G174" s="633"/>
      <c r="H174" s="633"/>
      <c r="I174" s="633"/>
      <c r="J174" s="633"/>
      <c r="K174" s="633"/>
      <c r="L174" s="633"/>
      <c r="M174" s="633"/>
      <c r="N174" s="633"/>
      <c r="O174" s="633"/>
      <c r="P174" s="633"/>
      <c r="Q174" s="633"/>
      <c r="R174" s="633"/>
      <c r="S174" s="633"/>
      <c r="T174" s="633"/>
      <c r="U174" s="633"/>
      <c r="V174" s="633"/>
      <c r="W174" s="6653" t="s">
        <v>1292</v>
      </c>
      <c r="X174" s="6653"/>
      <c r="Y174" s="633"/>
      <c r="Z174" s="633"/>
      <c r="AA174" s="633"/>
      <c r="AB174" s="227"/>
      <c r="AC174" s="633"/>
      <c r="AD174" s="633"/>
      <c r="AE174" s="227"/>
      <c r="AF174" s="633"/>
      <c r="AG174" s="633"/>
      <c r="AH174" s="227"/>
      <c r="AI174" s="633"/>
      <c r="AJ174" s="633"/>
      <c r="AK174" s="633"/>
      <c r="AL174" s="633"/>
      <c r="AM174" s="633"/>
      <c r="AN174" s="633"/>
      <c r="AO174" s="633"/>
      <c r="AP174" s="633"/>
      <c r="AQ174" s="633"/>
      <c r="AR174"/>
      <c r="AS174"/>
      <c r="AU174"/>
      <c r="AV174"/>
      <c r="AX174"/>
      <c r="AY174"/>
      <c r="BA174"/>
      <c r="BB174"/>
      <c r="BD174"/>
      <c r="BE174"/>
      <c r="BG174"/>
      <c r="BH174"/>
      <c r="BJ174"/>
      <c r="BK174"/>
      <c r="BM174" s="6653" t="s">
        <v>2387</v>
      </c>
      <c r="BN174" s="6653"/>
      <c r="BP174"/>
      <c r="BQ174"/>
      <c r="BS174"/>
      <c r="BT174"/>
      <c r="BV174"/>
      <c r="BW174"/>
      <c r="BX174"/>
      <c r="BY174"/>
      <c r="BZ174"/>
      <c r="CA174"/>
      <c r="CB174"/>
      <c r="CD174"/>
      <c r="CE174"/>
      <c r="CG174"/>
      <c r="CH174"/>
      <c r="CJ174"/>
      <c r="CK174"/>
      <c r="CM174"/>
      <c r="CN174"/>
      <c r="CP174"/>
      <c r="CQ174"/>
      <c r="CS174"/>
      <c r="CT174"/>
      <c r="CV174" s="6653" t="s">
        <v>2388</v>
      </c>
      <c r="CW174" s="6653"/>
      <c r="CY174"/>
      <c r="CZ174"/>
      <c r="DB174"/>
      <c r="DC174"/>
      <c r="DE174"/>
      <c r="DF174"/>
      <c r="DH174"/>
      <c r="DI174"/>
      <c r="DJ174" s="3">
        <v>1</v>
      </c>
    </row>
    <row r="175" spans="2:114" s="627" customFormat="1" ht="18" customHeight="1">
      <c r="B175" s="633"/>
      <c r="C175" s="633"/>
      <c r="D175" s="633"/>
      <c r="E175" s="633"/>
      <c r="F175" s="633"/>
      <c r="G175" s="633"/>
      <c r="H175" s="633"/>
      <c r="I175" s="633"/>
      <c r="J175" s="633"/>
      <c r="K175" s="633"/>
      <c r="L175" s="633"/>
      <c r="M175" s="633"/>
      <c r="N175" s="633"/>
      <c r="O175" s="633"/>
      <c r="P175" s="633"/>
      <c r="Q175" s="633"/>
      <c r="R175" s="633"/>
      <c r="S175" s="633"/>
      <c r="T175" s="633"/>
      <c r="U175" s="633"/>
      <c r="V175" s="633"/>
      <c r="W175" s="6624"/>
      <c r="X175" s="6624"/>
      <c r="Y175" s="633"/>
      <c r="Z175" s="633"/>
      <c r="AA175" s="633"/>
      <c r="AB175" s="227"/>
      <c r="AC175" s="633"/>
      <c r="AD175" s="633"/>
      <c r="AE175" s="227"/>
      <c r="AF175" s="633"/>
      <c r="AG175" s="633"/>
      <c r="AH175" s="227"/>
      <c r="AI175" s="633"/>
      <c r="AJ175" s="633"/>
      <c r="AK175" s="633"/>
      <c r="AL175" s="633"/>
      <c r="AM175" s="633"/>
      <c r="AN175" s="633"/>
      <c r="AO175" s="633"/>
      <c r="AP175" s="633"/>
      <c r="AQ175" s="633"/>
      <c r="AR175"/>
      <c r="AS175"/>
      <c r="AU175"/>
      <c r="AV175"/>
      <c r="AX175"/>
      <c r="AY175"/>
      <c r="BA175"/>
      <c r="BB175"/>
      <c r="BD175"/>
      <c r="BE175"/>
      <c r="BG175"/>
      <c r="BH175"/>
      <c r="BJ175"/>
      <c r="BK175"/>
      <c r="BM175" s="6624" t="s">
        <v>114</v>
      </c>
      <c r="BN175" s="6624"/>
      <c r="BP175"/>
      <c r="BQ175"/>
      <c r="BS175"/>
      <c r="BT175"/>
      <c r="BV175"/>
      <c r="BW175"/>
      <c r="BX175"/>
      <c r="BY175"/>
      <c r="BZ175"/>
      <c r="CA175"/>
      <c r="CB175"/>
      <c r="CD175"/>
      <c r="CE175"/>
      <c r="CG175"/>
      <c r="CH175"/>
      <c r="CJ175"/>
      <c r="CK175"/>
      <c r="CM175"/>
      <c r="CN175"/>
      <c r="CP175"/>
      <c r="CQ175"/>
      <c r="CS175"/>
      <c r="CT175"/>
      <c r="CV175" s="6624" t="s">
        <v>114</v>
      </c>
      <c r="CW175" s="6624"/>
      <c r="CY175"/>
      <c r="CZ175"/>
      <c r="DB175"/>
      <c r="DC175"/>
      <c r="DE175"/>
      <c r="DF175"/>
      <c r="DH175"/>
      <c r="DI175"/>
      <c r="DJ175" s="3">
        <v>1</v>
      </c>
    </row>
    <row r="176" spans="2:114" ht="18" customHeight="1" thickBot="1">
      <c r="W176" s="648">
        <v>1</v>
      </c>
      <c r="X176" s="648">
        <v>1</v>
      </c>
      <c r="BM176" s="648" t="s">
        <v>114</v>
      </c>
      <c r="BN176" s="648"/>
      <c r="CV176" s="648" t="s">
        <v>114</v>
      </c>
      <c r="CW176" s="648"/>
      <c r="DJ176" s="3">
        <v>1</v>
      </c>
    </row>
    <row r="177" spans="1:116" ht="18" customHeight="1">
      <c r="W177" s="6653" t="s">
        <v>1293</v>
      </c>
      <c r="X177" s="6653"/>
      <c r="BM177" s="6653" t="s">
        <v>2389</v>
      </c>
      <c r="BN177" s="6653"/>
      <c r="CV177" s="6653" t="s">
        <v>1292</v>
      </c>
      <c r="CW177" s="6653"/>
      <c r="DJ177" s="3">
        <v>1</v>
      </c>
    </row>
    <row r="178" spans="1:116" ht="18" customHeight="1">
      <c r="W178" s="6624"/>
      <c r="X178" s="6624"/>
      <c r="BM178" s="6624" t="s">
        <v>114</v>
      </c>
      <c r="BN178" s="6624"/>
      <c r="CV178" s="6624" t="s">
        <v>114</v>
      </c>
      <c r="CW178" s="6624"/>
      <c r="DJ178" s="3">
        <v>1</v>
      </c>
    </row>
    <row r="179" spans="1:116" ht="15.75" thickBot="1">
      <c r="A179" s="633"/>
      <c r="W179" s="648">
        <v>1</v>
      </c>
      <c r="X179" s="648">
        <v>1</v>
      </c>
      <c r="BM179" s="648" t="s">
        <v>114</v>
      </c>
      <c r="BN179" s="648"/>
      <c r="CV179" t="s">
        <v>114</v>
      </c>
      <c r="DJ179" s="3">
        <v>1</v>
      </c>
    </row>
    <row r="180" spans="1:116">
      <c r="A180" s="633"/>
      <c r="W180" s="6653" t="s">
        <v>1294</v>
      </c>
      <c r="X180" s="6653"/>
      <c r="BM180" s="6653" t="s">
        <v>2390</v>
      </c>
      <c r="BN180" s="6653"/>
      <c r="CV180" s="6653" t="s">
        <v>2391</v>
      </c>
      <c r="CW180" s="6653"/>
      <c r="DJ180" s="3">
        <v>1</v>
      </c>
    </row>
    <row r="181" spans="1:116">
      <c r="W181" s="6624"/>
      <c r="X181" s="6624"/>
      <c r="BM181" s="6624" t="s">
        <v>114</v>
      </c>
      <c r="BN181" s="6624"/>
      <c r="CV181" s="6624" t="s">
        <v>114</v>
      </c>
      <c r="CW181" s="6624"/>
      <c r="DJ181" s="3">
        <v>1</v>
      </c>
    </row>
    <row r="182" spans="1:116" ht="15.75" thickBot="1">
      <c r="BM182" s="648" t="s">
        <v>114</v>
      </c>
      <c r="BN182" s="648"/>
      <c r="CV182" t="s">
        <v>114</v>
      </c>
      <c r="DJ182" s="3">
        <v>1</v>
      </c>
    </row>
    <row r="183" spans="1:116">
      <c r="W183" s="6653"/>
      <c r="X183" s="6653"/>
      <c r="BM183" s="6653" t="s">
        <v>2392</v>
      </c>
      <c r="BN183" s="6653"/>
      <c r="CV183" s="6653" t="s">
        <v>2393</v>
      </c>
      <c r="CW183" s="6653"/>
      <c r="DJ183" s="3">
        <v>1</v>
      </c>
    </row>
    <row r="184" spans="1:116">
      <c r="W184" s="6624"/>
      <c r="X184" s="6624"/>
      <c r="AB184" s="633"/>
      <c r="AE184" s="633"/>
      <c r="AH184" s="633"/>
      <c r="AU184" t="s">
        <v>114</v>
      </c>
      <c r="AX184" t="s">
        <v>114</v>
      </c>
      <c r="BM184" s="6624" t="s">
        <v>114</v>
      </c>
      <c r="BN184" s="6624"/>
      <c r="CV184" s="6624" t="s">
        <v>114</v>
      </c>
      <c r="CW184" s="6624"/>
      <c r="DJ184" s="3">
        <v>1</v>
      </c>
    </row>
    <row r="185" spans="1:116" ht="15.75">
      <c r="AB185" s="633"/>
      <c r="AE185" s="633"/>
      <c r="AH185" s="633"/>
      <c r="BM185" s="693"/>
      <c r="BN185" s="693"/>
      <c r="CV185" s="693"/>
      <c r="CW185" s="693"/>
      <c r="DJ185" s="3">
        <v>1</v>
      </c>
    </row>
    <row r="186" spans="1:116" ht="15.75" thickBot="1">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DJ186" s="3">
        <v>1</v>
      </c>
    </row>
    <row r="187" spans="1:116">
      <c r="BM187" s="6653"/>
      <c r="BN187" s="6653"/>
      <c r="CV187" s="6653"/>
      <c r="CW187" s="6653"/>
      <c r="DJ187" s="3">
        <v>1</v>
      </c>
    </row>
    <row r="188" spans="1:116">
      <c r="BM188" s="6624"/>
      <c r="BN188" s="6624"/>
      <c r="CV188" s="6624"/>
      <c r="CW188" s="6624"/>
      <c r="DJ188" s="3">
        <v>1</v>
      </c>
    </row>
    <row r="189" spans="1:116">
      <c r="DJ189" s="3">
        <v>1</v>
      </c>
    </row>
    <row r="190" spans="1:116">
      <c r="DJ190" s="3">
        <v>1</v>
      </c>
    </row>
    <row r="191" spans="1:116">
      <c r="DJ191" s="3">
        <v>1</v>
      </c>
      <c r="DK191" s="633"/>
      <c r="DL191" s="633"/>
    </row>
    <row r="192" spans="1:116">
      <c r="DJ192" s="626" t="s">
        <v>793</v>
      </c>
      <c r="DK192" s="633"/>
      <c r="DL192" s="633"/>
    </row>
    <row r="193" spans="1:116">
      <c r="A193" s="3">
        <v>1</v>
      </c>
      <c r="B193" s="3">
        <v>1</v>
      </c>
      <c r="C193" s="3">
        <v>1</v>
      </c>
      <c r="D193" s="3">
        <v>1</v>
      </c>
      <c r="E193" s="3">
        <v>1</v>
      </c>
      <c r="F193" s="3">
        <v>1</v>
      </c>
      <c r="G193" s="3">
        <v>1</v>
      </c>
      <c r="H193" s="3">
        <v>1</v>
      </c>
      <c r="I193" s="3">
        <v>1</v>
      </c>
      <c r="J193" s="3">
        <v>1</v>
      </c>
      <c r="K193" s="3">
        <v>1</v>
      </c>
      <c r="L193" s="3">
        <v>1</v>
      </c>
      <c r="M193" s="3">
        <v>1</v>
      </c>
      <c r="N193" s="3">
        <v>1</v>
      </c>
      <c r="O193" s="3">
        <v>1</v>
      </c>
      <c r="P193" s="3">
        <v>1</v>
      </c>
      <c r="Q193" s="3">
        <v>1</v>
      </c>
      <c r="R193" s="3">
        <v>1</v>
      </c>
      <c r="S193" s="3">
        <v>1</v>
      </c>
      <c r="T193" s="3">
        <v>1</v>
      </c>
      <c r="U193" s="3">
        <v>1</v>
      </c>
      <c r="V193" s="3">
        <v>1</v>
      </c>
      <c r="W193" s="3">
        <v>1</v>
      </c>
      <c r="X193" s="3">
        <v>1</v>
      </c>
      <c r="Y193" s="3">
        <v>1</v>
      </c>
      <c r="Z193" s="3">
        <v>1</v>
      </c>
      <c r="AA193" s="3">
        <v>1</v>
      </c>
      <c r="AB193" s="3">
        <v>1</v>
      </c>
      <c r="AC193" s="3">
        <v>1</v>
      </c>
      <c r="AD193" s="3">
        <v>1</v>
      </c>
      <c r="AE193" s="3">
        <v>1</v>
      </c>
      <c r="AF193" s="3">
        <v>1</v>
      </c>
      <c r="AG193" s="3">
        <v>1</v>
      </c>
      <c r="AH193" s="3">
        <v>1</v>
      </c>
      <c r="AI193" s="3">
        <v>1</v>
      </c>
      <c r="AJ193" s="3">
        <v>1</v>
      </c>
      <c r="AK193" s="3">
        <v>1</v>
      </c>
      <c r="AL193" s="3">
        <v>1</v>
      </c>
      <c r="AM193" s="3">
        <v>1</v>
      </c>
      <c r="AN193" s="3">
        <v>1</v>
      </c>
      <c r="AO193" s="3">
        <v>1</v>
      </c>
      <c r="AP193" s="3">
        <v>1</v>
      </c>
      <c r="AQ193" s="3">
        <v>1</v>
      </c>
      <c r="AR193" s="3">
        <v>1</v>
      </c>
      <c r="AS193" s="3">
        <v>1</v>
      </c>
      <c r="AT193" s="3">
        <v>1</v>
      </c>
      <c r="AU193" s="3">
        <v>1</v>
      </c>
      <c r="AV193" s="3">
        <v>1</v>
      </c>
      <c r="AW193" s="3">
        <v>1</v>
      </c>
      <c r="AX193" s="3">
        <v>1</v>
      </c>
      <c r="AY193" s="3">
        <v>1</v>
      </c>
      <c r="AZ193" s="3">
        <v>1</v>
      </c>
      <c r="BA193" s="3">
        <v>1</v>
      </c>
      <c r="BB193" s="3">
        <v>1</v>
      </c>
      <c r="BC193" s="3">
        <v>1</v>
      </c>
      <c r="BD193" s="3">
        <v>1</v>
      </c>
      <c r="BE193" s="3">
        <v>1</v>
      </c>
      <c r="BF193" s="3">
        <v>1</v>
      </c>
      <c r="BG193" s="3">
        <v>1</v>
      </c>
      <c r="BH193" s="3">
        <v>1</v>
      </c>
      <c r="BI193" s="3">
        <v>1</v>
      </c>
      <c r="BJ193" s="3">
        <v>1</v>
      </c>
      <c r="BK193" s="3">
        <v>1</v>
      </c>
      <c r="BL193" s="3">
        <v>1</v>
      </c>
      <c r="BM193" s="3">
        <v>1</v>
      </c>
      <c r="BN193" s="3">
        <v>1</v>
      </c>
      <c r="BO193" s="3">
        <v>1</v>
      </c>
      <c r="BP193" s="3">
        <v>1</v>
      </c>
      <c r="BQ193" s="3">
        <v>1</v>
      </c>
      <c r="BR193" s="3">
        <v>1</v>
      </c>
      <c r="BS193" s="3">
        <v>1</v>
      </c>
      <c r="BT193" s="3">
        <v>1</v>
      </c>
      <c r="BU193" s="3">
        <v>1</v>
      </c>
      <c r="BV193" s="3">
        <v>1</v>
      </c>
      <c r="BW193" s="3">
        <v>1</v>
      </c>
      <c r="BX193" s="3">
        <v>1</v>
      </c>
      <c r="BY193" s="3">
        <v>1</v>
      </c>
      <c r="BZ193" s="3">
        <v>1</v>
      </c>
      <c r="CA193" s="3">
        <v>1</v>
      </c>
      <c r="CB193" s="3">
        <v>1</v>
      </c>
      <c r="CC193" s="3">
        <v>1</v>
      </c>
      <c r="CD193" s="3">
        <v>1</v>
      </c>
      <c r="CE193" s="3">
        <v>1</v>
      </c>
      <c r="CF193" s="3">
        <v>1</v>
      </c>
      <c r="CG193" s="3">
        <v>1</v>
      </c>
      <c r="CH193" s="3">
        <v>1</v>
      </c>
      <c r="CI193" s="3">
        <v>1</v>
      </c>
      <c r="CJ193" s="3">
        <v>1</v>
      </c>
      <c r="CK193" s="3">
        <v>1</v>
      </c>
      <c r="CL193" s="3">
        <v>1</v>
      </c>
      <c r="CM193" s="3">
        <v>1</v>
      </c>
      <c r="CN193" s="3">
        <v>1</v>
      </c>
      <c r="CO193" s="3">
        <v>1</v>
      </c>
      <c r="CP193" s="3">
        <v>1</v>
      </c>
      <c r="CQ193" s="3">
        <v>1</v>
      </c>
      <c r="CR193" s="3">
        <v>1</v>
      </c>
      <c r="CS193" s="3">
        <v>1</v>
      </c>
      <c r="CT193" s="3">
        <v>1</v>
      </c>
      <c r="CU193" s="3">
        <v>1</v>
      </c>
      <c r="CV193" s="3">
        <v>1</v>
      </c>
      <c r="CW193" s="3">
        <v>1</v>
      </c>
      <c r="CX193" s="3">
        <v>1</v>
      </c>
      <c r="CY193" s="3">
        <v>1</v>
      </c>
      <c r="CZ193" s="3">
        <v>1</v>
      </c>
      <c r="DA193" s="3">
        <v>1</v>
      </c>
      <c r="DB193" s="3">
        <v>1</v>
      </c>
      <c r="DC193" s="3">
        <v>1</v>
      </c>
      <c r="DD193" s="3">
        <v>1</v>
      </c>
      <c r="DE193" s="3">
        <v>1</v>
      </c>
      <c r="DF193" s="3">
        <v>1</v>
      </c>
      <c r="DG193" s="3">
        <v>1</v>
      </c>
      <c r="DH193" s="3">
        <v>1</v>
      </c>
      <c r="DI193" s="3">
        <v>1</v>
      </c>
      <c r="DJ193" s="1" t="str">
        <f>ADDRESS(ROW(),COLUMN(),4)</f>
        <v>DJ193</v>
      </c>
      <c r="DK193" s="628"/>
      <c r="DL193" s="629" t="str">
        <f>ADDRESS(ROW(),COLUMN(),4)</f>
        <v>DL193</v>
      </c>
    </row>
  </sheetData>
  <mergeCells count="1066">
    <mergeCell ref="W183:X184"/>
    <mergeCell ref="BM183:BN184"/>
    <mergeCell ref="CV183:CW184"/>
    <mergeCell ref="BM187:BN188"/>
    <mergeCell ref="CV187:CW188"/>
    <mergeCell ref="W177:X178"/>
    <mergeCell ref="BM177:BN178"/>
    <mergeCell ref="CV177:CW178"/>
    <mergeCell ref="W180:X181"/>
    <mergeCell ref="BM180:BN181"/>
    <mergeCell ref="CV180:CW181"/>
    <mergeCell ref="W171:X172"/>
    <mergeCell ref="BM171:BN172"/>
    <mergeCell ref="CV171:CW172"/>
    <mergeCell ref="W174:X175"/>
    <mergeCell ref="BM174:BN175"/>
    <mergeCell ref="CV174:CW175"/>
    <mergeCell ref="W165:X166"/>
    <mergeCell ref="BM165:BN166"/>
    <mergeCell ref="CV165:CW166"/>
    <mergeCell ref="W168:X169"/>
    <mergeCell ref="BM168:BN169"/>
    <mergeCell ref="CV168:CW169"/>
    <mergeCell ref="W159:X160"/>
    <mergeCell ref="BJ159:BK160"/>
    <mergeCell ref="BM159:BN160"/>
    <mergeCell ref="CS159:CT160"/>
    <mergeCell ref="CV159:CW160"/>
    <mergeCell ref="W162:X163"/>
    <mergeCell ref="BM162:BN163"/>
    <mergeCell ref="CV162:CW163"/>
    <mergeCell ref="T156:U157"/>
    <mergeCell ref="W156:X157"/>
    <mergeCell ref="BJ156:BK157"/>
    <mergeCell ref="BM156:BN157"/>
    <mergeCell ref="CS156:CT157"/>
    <mergeCell ref="CV156:CW157"/>
    <mergeCell ref="T153:U154"/>
    <mergeCell ref="W153:X154"/>
    <mergeCell ref="BJ153:BK154"/>
    <mergeCell ref="BM153:BN154"/>
    <mergeCell ref="CS153:CT154"/>
    <mergeCell ref="CV153:CW154"/>
    <mergeCell ref="T150:U151"/>
    <mergeCell ref="W150:X151"/>
    <mergeCell ref="BJ150:BK151"/>
    <mergeCell ref="BM150:BN151"/>
    <mergeCell ref="CS150:CT151"/>
    <mergeCell ref="CV150:CW151"/>
    <mergeCell ref="T147:U148"/>
    <mergeCell ref="W147:X148"/>
    <mergeCell ref="BJ147:BK148"/>
    <mergeCell ref="BM147:BN148"/>
    <mergeCell ref="CS147:CT148"/>
    <mergeCell ref="CV147:CW148"/>
    <mergeCell ref="T144:U145"/>
    <mergeCell ref="W144:X145"/>
    <mergeCell ref="BJ144:BK145"/>
    <mergeCell ref="BM144:BN145"/>
    <mergeCell ref="CS144:CT145"/>
    <mergeCell ref="CV144:CW145"/>
    <mergeCell ref="T141:U142"/>
    <mergeCell ref="W141:X142"/>
    <mergeCell ref="BJ141:BK142"/>
    <mergeCell ref="BM141:BN142"/>
    <mergeCell ref="CS141:CT142"/>
    <mergeCell ref="CV141:CW142"/>
    <mergeCell ref="CV135:CW136"/>
    <mergeCell ref="T138:U139"/>
    <mergeCell ref="W138:X139"/>
    <mergeCell ref="BJ138:BK139"/>
    <mergeCell ref="BM138:BN139"/>
    <mergeCell ref="CS138:CT139"/>
    <mergeCell ref="CV138:CW139"/>
    <mergeCell ref="E135:F136"/>
    <mergeCell ref="T135:U136"/>
    <mergeCell ref="W135:X136"/>
    <mergeCell ref="BJ135:BK136"/>
    <mergeCell ref="BM135:BN136"/>
    <mergeCell ref="CS135:CT136"/>
    <mergeCell ref="CV129:CW130"/>
    <mergeCell ref="E132:F133"/>
    <mergeCell ref="T132:U133"/>
    <mergeCell ref="W132:X133"/>
    <mergeCell ref="AU132:AV133"/>
    <mergeCell ref="BJ132:BK133"/>
    <mergeCell ref="BM132:BN133"/>
    <mergeCell ref="CD132:CE133"/>
    <mergeCell ref="CS132:CT133"/>
    <mergeCell ref="CV132:CW133"/>
    <mergeCell ref="CS126:CT127"/>
    <mergeCell ref="CV126:CW127"/>
    <mergeCell ref="E129:F130"/>
    <mergeCell ref="T129:U130"/>
    <mergeCell ref="W129:X130"/>
    <mergeCell ref="AU129:AV130"/>
    <mergeCell ref="BJ129:BK130"/>
    <mergeCell ref="BM129:BN130"/>
    <mergeCell ref="CD129:CE130"/>
    <mergeCell ref="CS129:CT130"/>
    <mergeCell ref="CJ123:CK124"/>
    <mergeCell ref="CS123:CT124"/>
    <mergeCell ref="CV123:CW124"/>
    <mergeCell ref="E126:F127"/>
    <mergeCell ref="T126:U127"/>
    <mergeCell ref="W126:X127"/>
    <mergeCell ref="AU126:AV127"/>
    <mergeCell ref="BJ126:BK127"/>
    <mergeCell ref="BM126:BN127"/>
    <mergeCell ref="CD126:CE127"/>
    <mergeCell ref="CV120:CW121"/>
    <mergeCell ref="E123:F124"/>
    <mergeCell ref="K123:L124"/>
    <mergeCell ref="T123:U124"/>
    <mergeCell ref="W123:X124"/>
    <mergeCell ref="AU123:AV124"/>
    <mergeCell ref="BA123:BB124"/>
    <mergeCell ref="BJ123:BK124"/>
    <mergeCell ref="BM123:BN124"/>
    <mergeCell ref="CD123:CE124"/>
    <mergeCell ref="BA120:BB121"/>
    <mergeCell ref="BJ120:BK121"/>
    <mergeCell ref="BM120:BN121"/>
    <mergeCell ref="CD120:CE121"/>
    <mergeCell ref="CJ120:CK121"/>
    <mergeCell ref="CS120:CT121"/>
    <mergeCell ref="CG117:CH118"/>
    <mergeCell ref="CJ117:CK118"/>
    <mergeCell ref="CS117:CT118"/>
    <mergeCell ref="CV117:CW118"/>
    <mergeCell ref="E120:F121"/>
    <mergeCell ref="H120:I121"/>
    <mergeCell ref="K120:L121"/>
    <mergeCell ref="T120:U121"/>
    <mergeCell ref="W120:X121"/>
    <mergeCell ref="AU120:AV121"/>
    <mergeCell ref="AU117:AV118"/>
    <mergeCell ref="AX117:AY118"/>
    <mergeCell ref="BA117:BB118"/>
    <mergeCell ref="BJ117:BK118"/>
    <mergeCell ref="BM117:BN118"/>
    <mergeCell ref="CD117:CE118"/>
    <mergeCell ref="CG114:CH115"/>
    <mergeCell ref="CJ114:CK115"/>
    <mergeCell ref="CS114:CT115"/>
    <mergeCell ref="CV114:CW115"/>
    <mergeCell ref="B117:C118"/>
    <mergeCell ref="E117:F118"/>
    <mergeCell ref="H117:I118"/>
    <mergeCell ref="K117:L118"/>
    <mergeCell ref="T117:U118"/>
    <mergeCell ref="W117:X118"/>
    <mergeCell ref="AU114:AV115"/>
    <mergeCell ref="AX114:AY115"/>
    <mergeCell ref="BA114:BB115"/>
    <mergeCell ref="BJ114:BK115"/>
    <mergeCell ref="BM114:BN115"/>
    <mergeCell ref="CD114:CE115"/>
    <mergeCell ref="B114:C115"/>
    <mergeCell ref="E114:F115"/>
    <mergeCell ref="H114:I115"/>
    <mergeCell ref="K114:L115"/>
    <mergeCell ref="T114:U115"/>
    <mergeCell ref="W114:X115"/>
    <mergeCell ref="CA111:CB112"/>
    <mergeCell ref="CD111:CE112"/>
    <mergeCell ref="CG111:CH112"/>
    <mergeCell ref="CJ111:CK112"/>
    <mergeCell ref="CS111:CT112"/>
    <mergeCell ref="CV111:CW112"/>
    <mergeCell ref="AR111:AS112"/>
    <mergeCell ref="AU111:AV112"/>
    <mergeCell ref="AX111:AY112"/>
    <mergeCell ref="BA111:BB112"/>
    <mergeCell ref="BJ111:BK112"/>
    <mergeCell ref="BM111:BN112"/>
    <mergeCell ref="CG108:CH109"/>
    <mergeCell ref="CJ108:CK109"/>
    <mergeCell ref="CS108:CT109"/>
    <mergeCell ref="CV108:CW109"/>
    <mergeCell ref="B111:C112"/>
    <mergeCell ref="E111:F112"/>
    <mergeCell ref="H111:I112"/>
    <mergeCell ref="K111:L112"/>
    <mergeCell ref="T111:U112"/>
    <mergeCell ref="W111:X112"/>
    <mergeCell ref="AX108:AY109"/>
    <mergeCell ref="BA108:BB109"/>
    <mergeCell ref="BJ108:BK109"/>
    <mergeCell ref="BM108:BN109"/>
    <mergeCell ref="CA108:CB109"/>
    <mergeCell ref="CD108:CE109"/>
    <mergeCell ref="CS105:CT106"/>
    <mergeCell ref="CV105:CW106"/>
    <mergeCell ref="B108:C109"/>
    <mergeCell ref="E108:F109"/>
    <mergeCell ref="H108:I109"/>
    <mergeCell ref="K108:L109"/>
    <mergeCell ref="T108:U109"/>
    <mergeCell ref="W108:X109"/>
    <mergeCell ref="AR108:AS109"/>
    <mergeCell ref="AU108:AV109"/>
    <mergeCell ref="BJ105:BK106"/>
    <mergeCell ref="BM105:BN106"/>
    <mergeCell ref="CA105:CB106"/>
    <mergeCell ref="CD105:CE106"/>
    <mergeCell ref="CG105:CH106"/>
    <mergeCell ref="CJ105:CK106"/>
    <mergeCell ref="W105:X106"/>
    <mergeCell ref="AR105:AS106"/>
    <mergeCell ref="AU105:AV106"/>
    <mergeCell ref="AX105:AY106"/>
    <mergeCell ref="BA105:BB106"/>
    <mergeCell ref="BG105:BH106"/>
    <mergeCell ref="CG102:CH103"/>
    <mergeCell ref="CJ102:CK103"/>
    <mergeCell ref="CP102:CQ103"/>
    <mergeCell ref="CS102:CT103"/>
    <mergeCell ref="CV102:CW103"/>
    <mergeCell ref="B105:C106"/>
    <mergeCell ref="E105:F106"/>
    <mergeCell ref="H105:I106"/>
    <mergeCell ref="K105:L106"/>
    <mergeCell ref="T105:U106"/>
    <mergeCell ref="BA102:BB103"/>
    <mergeCell ref="BG102:BH103"/>
    <mergeCell ref="BJ102:BK103"/>
    <mergeCell ref="BM102:BN103"/>
    <mergeCell ref="CA102:CB103"/>
    <mergeCell ref="CD102:CE103"/>
    <mergeCell ref="CV99:CW100"/>
    <mergeCell ref="B102:C103"/>
    <mergeCell ref="E102:F103"/>
    <mergeCell ref="H102:I103"/>
    <mergeCell ref="K102:L103"/>
    <mergeCell ref="T102:U103"/>
    <mergeCell ref="W102:X103"/>
    <mergeCell ref="AR102:AS103"/>
    <mergeCell ref="AU102:AV103"/>
    <mergeCell ref="AX102:AY103"/>
    <mergeCell ref="CA99:CB100"/>
    <mergeCell ref="CD99:CE100"/>
    <mergeCell ref="CG99:CH100"/>
    <mergeCell ref="CJ99:CK100"/>
    <mergeCell ref="CP99:CQ100"/>
    <mergeCell ref="CS99:CT100"/>
    <mergeCell ref="AU99:AV100"/>
    <mergeCell ref="AX99:AY100"/>
    <mergeCell ref="BA99:BB100"/>
    <mergeCell ref="BG99:BH100"/>
    <mergeCell ref="BJ99:BK100"/>
    <mergeCell ref="BM99:BN100"/>
    <mergeCell ref="CV96:CW97"/>
    <mergeCell ref="CY96:CZ97"/>
    <mergeCell ref="B99:C100"/>
    <mergeCell ref="E99:F100"/>
    <mergeCell ref="H99:I100"/>
    <mergeCell ref="K99:L100"/>
    <mergeCell ref="Q99:R100"/>
    <mergeCell ref="T99:U100"/>
    <mergeCell ref="W99:X100"/>
    <mergeCell ref="AR99:AS100"/>
    <mergeCell ref="CA96:CB97"/>
    <mergeCell ref="CD96:CE97"/>
    <mergeCell ref="CG96:CH97"/>
    <mergeCell ref="CJ96:CK97"/>
    <mergeCell ref="CP96:CQ97"/>
    <mergeCell ref="CS96:CT97"/>
    <mergeCell ref="AX96:AY97"/>
    <mergeCell ref="BA96:BB97"/>
    <mergeCell ref="BG96:BH97"/>
    <mergeCell ref="BJ96:BK97"/>
    <mergeCell ref="BM96:BN97"/>
    <mergeCell ref="BP96:BQ97"/>
    <mergeCell ref="B96:C97"/>
    <mergeCell ref="E96:F97"/>
    <mergeCell ref="H96:I97"/>
    <mergeCell ref="K96:L97"/>
    <mergeCell ref="Q96:R97"/>
    <mergeCell ref="T96:U97"/>
    <mergeCell ref="W96:X97"/>
    <mergeCell ref="AR96:AS97"/>
    <mergeCell ref="AU96:AV97"/>
    <mergeCell ref="CD93:CE94"/>
    <mergeCell ref="CG93:CH94"/>
    <mergeCell ref="CJ93:CK94"/>
    <mergeCell ref="CP93:CQ94"/>
    <mergeCell ref="CS93:CT94"/>
    <mergeCell ref="CV93:CW94"/>
    <mergeCell ref="BA93:BB94"/>
    <mergeCell ref="BG93:BH94"/>
    <mergeCell ref="BJ93:BK94"/>
    <mergeCell ref="BM93:BN94"/>
    <mergeCell ref="BP93:BQ94"/>
    <mergeCell ref="CA93:CB94"/>
    <mergeCell ref="Z93:AA94"/>
    <mergeCell ref="AC93:AD94"/>
    <mergeCell ref="AF93:AG94"/>
    <mergeCell ref="AR93:AS94"/>
    <mergeCell ref="AU93:AV94"/>
    <mergeCell ref="AX93:AY94"/>
    <mergeCell ref="DE90:DF91"/>
    <mergeCell ref="B93:C94"/>
    <mergeCell ref="E93:F94"/>
    <mergeCell ref="H93:I94"/>
    <mergeCell ref="K93:L94"/>
    <mergeCell ref="Q93:R94"/>
    <mergeCell ref="T93:U94"/>
    <mergeCell ref="W93:X94"/>
    <mergeCell ref="CD90:CE91"/>
    <mergeCell ref="CG90:CH91"/>
    <mergeCell ref="CJ90:CK91"/>
    <mergeCell ref="CP90:CQ91"/>
    <mergeCell ref="CS90:CT91"/>
    <mergeCell ref="CV90:CW91"/>
    <mergeCell ref="BJ90:BK91"/>
    <mergeCell ref="BM90:BN91"/>
    <mergeCell ref="BP90:BQ91"/>
    <mergeCell ref="BS90:BT91"/>
    <mergeCell ref="BV90:BW91"/>
    <mergeCell ref="CA90:CB91"/>
    <mergeCell ref="AF90:AG91"/>
    <mergeCell ref="AR90:AS91"/>
    <mergeCell ref="AU90:AV91"/>
    <mergeCell ref="AX90:AY91"/>
    <mergeCell ref="BA90:BB91"/>
    <mergeCell ref="BG90:BH91"/>
    <mergeCell ref="CY93:CZ94"/>
    <mergeCell ref="B90:C91"/>
    <mergeCell ref="E90:F91"/>
    <mergeCell ref="H90:I91"/>
    <mergeCell ref="K90:L91"/>
    <mergeCell ref="Q90:R91"/>
    <mergeCell ref="T90:U91"/>
    <mergeCell ref="W90:X91"/>
    <mergeCell ref="Z90:AA91"/>
    <mergeCell ref="AC90:AD91"/>
    <mergeCell ref="CJ87:CK88"/>
    <mergeCell ref="CP87:CQ88"/>
    <mergeCell ref="CS87:CT88"/>
    <mergeCell ref="CV87:CW88"/>
    <mergeCell ref="CY87:CZ88"/>
    <mergeCell ref="DB87:DC88"/>
    <mergeCell ref="BP87:BQ88"/>
    <mergeCell ref="BS87:BT88"/>
    <mergeCell ref="BV87:BW88"/>
    <mergeCell ref="CA87:CB88"/>
    <mergeCell ref="CD87:CE88"/>
    <mergeCell ref="CG87:CH88"/>
    <mergeCell ref="AU87:AV88"/>
    <mergeCell ref="AX87:AY88"/>
    <mergeCell ref="BA87:BB88"/>
    <mergeCell ref="BG87:BH88"/>
    <mergeCell ref="BJ87:BK88"/>
    <mergeCell ref="BM87:BN88"/>
    <mergeCell ref="T87:U88"/>
    <mergeCell ref="W87:X88"/>
    <mergeCell ref="Z87:AA88"/>
    <mergeCell ref="AC87:AD88"/>
    <mergeCell ref="CY90:CZ91"/>
    <mergeCell ref="AF87:AG88"/>
    <mergeCell ref="AR87:AS88"/>
    <mergeCell ref="DB90:DC91"/>
    <mergeCell ref="DE84:DF85"/>
    <mergeCell ref="B87:C88"/>
    <mergeCell ref="E87:F88"/>
    <mergeCell ref="H87:I88"/>
    <mergeCell ref="K87:L88"/>
    <mergeCell ref="Q87:R88"/>
    <mergeCell ref="BV84:BW85"/>
    <mergeCell ref="CA84:CB85"/>
    <mergeCell ref="CD84:CE85"/>
    <mergeCell ref="CG84:CH85"/>
    <mergeCell ref="CJ84:CK85"/>
    <mergeCell ref="CP84:CQ85"/>
    <mergeCell ref="BA84:BB85"/>
    <mergeCell ref="BG84:BH85"/>
    <mergeCell ref="BJ84:BK85"/>
    <mergeCell ref="BM84:BN85"/>
    <mergeCell ref="BP84:BQ85"/>
    <mergeCell ref="BS84:BT85"/>
    <mergeCell ref="Z84:AA85"/>
    <mergeCell ref="AC84:AD85"/>
    <mergeCell ref="AF84:AG85"/>
    <mergeCell ref="AR84:AS85"/>
    <mergeCell ref="AU84:AV85"/>
    <mergeCell ref="AX84:AY85"/>
    <mergeCell ref="DE87:DF88"/>
    <mergeCell ref="CY81:CZ82"/>
    <mergeCell ref="DB81:DC82"/>
    <mergeCell ref="DE81:DF82"/>
    <mergeCell ref="B84:C85"/>
    <mergeCell ref="E84:F85"/>
    <mergeCell ref="H84:I85"/>
    <mergeCell ref="K84:L85"/>
    <mergeCell ref="Q84:R85"/>
    <mergeCell ref="T84:U85"/>
    <mergeCell ref="W84:X85"/>
    <mergeCell ref="CD81:CE82"/>
    <mergeCell ref="CG81:CH82"/>
    <mergeCell ref="CJ81:CK82"/>
    <mergeCell ref="CP81:CQ82"/>
    <mergeCell ref="CS81:CT82"/>
    <mergeCell ref="CV81:CW82"/>
    <mergeCell ref="BJ81:BK82"/>
    <mergeCell ref="BM81:BN82"/>
    <mergeCell ref="BP81:BQ82"/>
    <mergeCell ref="BS81:BT82"/>
    <mergeCell ref="BV81:BW82"/>
    <mergeCell ref="CA81:CB82"/>
    <mergeCell ref="AF81:AG82"/>
    <mergeCell ref="AR81:AS82"/>
    <mergeCell ref="AU81:AV82"/>
    <mergeCell ref="AX81:AY82"/>
    <mergeCell ref="BA81:BB82"/>
    <mergeCell ref="BG81:BH82"/>
    <mergeCell ref="CS84:CT85"/>
    <mergeCell ref="CV84:CW85"/>
    <mergeCell ref="CY84:CZ85"/>
    <mergeCell ref="DB84:DC85"/>
    <mergeCell ref="DE78:DF79"/>
    <mergeCell ref="B81:C82"/>
    <mergeCell ref="E81:F82"/>
    <mergeCell ref="H81:I82"/>
    <mergeCell ref="K81:L82"/>
    <mergeCell ref="Q81:R82"/>
    <mergeCell ref="T81:U82"/>
    <mergeCell ref="W81:X82"/>
    <mergeCell ref="Z81:AA82"/>
    <mergeCell ref="AC81:AD82"/>
    <mergeCell ref="CM78:CN79"/>
    <mergeCell ref="CP78:CQ79"/>
    <mergeCell ref="CS78:CT79"/>
    <mergeCell ref="CV78:CW79"/>
    <mergeCell ref="CY78:CZ79"/>
    <mergeCell ref="DB78:DC79"/>
    <mergeCell ref="BS78:BT79"/>
    <mergeCell ref="BV78:BW79"/>
    <mergeCell ref="CA78:CB79"/>
    <mergeCell ref="CD78:CE79"/>
    <mergeCell ref="CG78:CH79"/>
    <mergeCell ref="CJ78:CK79"/>
    <mergeCell ref="BA78:BB79"/>
    <mergeCell ref="BD78:BE79"/>
    <mergeCell ref="BG78:BH79"/>
    <mergeCell ref="BJ78:BK79"/>
    <mergeCell ref="BM78:BN79"/>
    <mergeCell ref="BP78:BQ79"/>
    <mergeCell ref="Z78:AA79"/>
    <mergeCell ref="AC78:AD79"/>
    <mergeCell ref="AF78:AG79"/>
    <mergeCell ref="AR78:AS79"/>
    <mergeCell ref="AU78:AV79"/>
    <mergeCell ref="AX78:AY79"/>
    <mergeCell ref="DB75:DC76"/>
    <mergeCell ref="DE75:DF76"/>
    <mergeCell ref="B78:C79"/>
    <mergeCell ref="E78:F79"/>
    <mergeCell ref="H78:I79"/>
    <mergeCell ref="K78:L79"/>
    <mergeCell ref="N78:O79"/>
    <mergeCell ref="Q78:R79"/>
    <mergeCell ref="T78:U79"/>
    <mergeCell ref="W78:X79"/>
    <mergeCell ref="CJ75:CK76"/>
    <mergeCell ref="CM75:CN76"/>
    <mergeCell ref="CP75:CQ76"/>
    <mergeCell ref="CS75:CT76"/>
    <mergeCell ref="CV75:CW76"/>
    <mergeCell ref="CY75:CZ76"/>
    <mergeCell ref="BP75:BQ76"/>
    <mergeCell ref="BS75:BT76"/>
    <mergeCell ref="BV75:BW76"/>
    <mergeCell ref="CA75:CB76"/>
    <mergeCell ref="CD75:CE76"/>
    <mergeCell ref="CG75:CH76"/>
    <mergeCell ref="AX75:AY76"/>
    <mergeCell ref="BA75:BB76"/>
    <mergeCell ref="BD75:BE76"/>
    <mergeCell ref="BG75:BH76"/>
    <mergeCell ref="BJ75:BK76"/>
    <mergeCell ref="BM75:BN76"/>
    <mergeCell ref="W75:X76"/>
    <mergeCell ref="Z75:AA76"/>
    <mergeCell ref="AC75:AD76"/>
    <mergeCell ref="AF75:AG76"/>
    <mergeCell ref="AR75:AS76"/>
    <mergeCell ref="AU75:AV76"/>
    <mergeCell ref="CY72:CZ73"/>
    <mergeCell ref="DB72:DC73"/>
    <mergeCell ref="DE72:DF73"/>
    <mergeCell ref="B75:C76"/>
    <mergeCell ref="E75:F76"/>
    <mergeCell ref="H75:I76"/>
    <mergeCell ref="K75:L76"/>
    <mergeCell ref="N75:O76"/>
    <mergeCell ref="Q75:R76"/>
    <mergeCell ref="T75:U76"/>
    <mergeCell ref="CG72:CH73"/>
    <mergeCell ref="CJ72:CK73"/>
    <mergeCell ref="CM72:CN73"/>
    <mergeCell ref="CP72:CQ73"/>
    <mergeCell ref="CS72:CT73"/>
    <mergeCell ref="CV72:CW73"/>
    <mergeCell ref="BM72:BN73"/>
    <mergeCell ref="BP72:BQ73"/>
    <mergeCell ref="BS72:BT73"/>
    <mergeCell ref="BV72:BW73"/>
    <mergeCell ref="CA72:CB73"/>
    <mergeCell ref="CD72:CE73"/>
    <mergeCell ref="AU72:AV73"/>
    <mergeCell ref="AX72:AY73"/>
    <mergeCell ref="BA72:BB73"/>
    <mergeCell ref="BD72:BE73"/>
    <mergeCell ref="BG72:BH73"/>
    <mergeCell ref="BJ72:BK73"/>
    <mergeCell ref="T72:U73"/>
    <mergeCell ref="W72:X73"/>
    <mergeCell ref="Z72:AA73"/>
    <mergeCell ref="AC72:AD73"/>
    <mergeCell ref="AF72:AG73"/>
    <mergeCell ref="AR72:AS73"/>
    <mergeCell ref="B72:C73"/>
    <mergeCell ref="E72:F73"/>
    <mergeCell ref="H72:I73"/>
    <mergeCell ref="K72:L73"/>
    <mergeCell ref="N72:O73"/>
    <mergeCell ref="Q72:R73"/>
    <mergeCell ref="CP69:CQ70"/>
    <mergeCell ref="CS69:CT70"/>
    <mergeCell ref="CV69:CW70"/>
    <mergeCell ref="CY69:CZ70"/>
    <mergeCell ref="DB69:DC70"/>
    <mergeCell ref="DE69:DF70"/>
    <mergeCell ref="BV69:BW70"/>
    <mergeCell ref="CA69:CB70"/>
    <mergeCell ref="CD69:CE70"/>
    <mergeCell ref="CG69:CH70"/>
    <mergeCell ref="CJ69:CK70"/>
    <mergeCell ref="CM69:CN70"/>
    <mergeCell ref="BD69:BE70"/>
    <mergeCell ref="BG69:BH70"/>
    <mergeCell ref="BJ69:BK70"/>
    <mergeCell ref="BM69:BN70"/>
    <mergeCell ref="BP69:BQ70"/>
    <mergeCell ref="BS69:BT70"/>
    <mergeCell ref="AC69:AD70"/>
    <mergeCell ref="AF69:AG70"/>
    <mergeCell ref="AR69:AS70"/>
    <mergeCell ref="AU69:AV70"/>
    <mergeCell ref="AX69:AY70"/>
    <mergeCell ref="BA69:BB70"/>
    <mergeCell ref="DE66:DF67"/>
    <mergeCell ref="B69:C70"/>
    <mergeCell ref="E69:F70"/>
    <mergeCell ref="H69:I70"/>
    <mergeCell ref="K69:L70"/>
    <mergeCell ref="N69:O70"/>
    <mergeCell ref="Q69:R70"/>
    <mergeCell ref="T69:U70"/>
    <mergeCell ref="W69:X70"/>
    <mergeCell ref="Z69:AA70"/>
    <mergeCell ref="CM66:CN67"/>
    <mergeCell ref="CP66:CQ67"/>
    <mergeCell ref="CS66:CT67"/>
    <mergeCell ref="CV66:CW67"/>
    <mergeCell ref="CY66:CZ67"/>
    <mergeCell ref="DB66:DC67"/>
    <mergeCell ref="BS66:BT67"/>
    <mergeCell ref="BV66:BW67"/>
    <mergeCell ref="CA66:CB67"/>
    <mergeCell ref="CD66:CE67"/>
    <mergeCell ref="CG66:CH67"/>
    <mergeCell ref="CJ66:CK67"/>
    <mergeCell ref="BA66:BB67"/>
    <mergeCell ref="BD66:BE67"/>
    <mergeCell ref="BG66:BH67"/>
    <mergeCell ref="BJ66:BK67"/>
    <mergeCell ref="BM66:BN67"/>
    <mergeCell ref="BP66:BQ67"/>
    <mergeCell ref="Z66:AA67"/>
    <mergeCell ref="AC66:AD67"/>
    <mergeCell ref="AF66:AG67"/>
    <mergeCell ref="AR66:AS67"/>
    <mergeCell ref="AU66:AV67"/>
    <mergeCell ref="AX66:AY67"/>
    <mergeCell ref="DB63:DC64"/>
    <mergeCell ref="DE63:DF64"/>
    <mergeCell ref="B66:C67"/>
    <mergeCell ref="E66:F67"/>
    <mergeCell ref="H66:I67"/>
    <mergeCell ref="K66:L67"/>
    <mergeCell ref="N66:O67"/>
    <mergeCell ref="Q66:R67"/>
    <mergeCell ref="T66:U67"/>
    <mergeCell ref="W66:X67"/>
    <mergeCell ref="CJ63:CK64"/>
    <mergeCell ref="CM63:CN64"/>
    <mergeCell ref="CP63:CQ64"/>
    <mergeCell ref="CS63:CT64"/>
    <mergeCell ref="CV63:CW64"/>
    <mergeCell ref="CY63:CZ64"/>
    <mergeCell ref="BP63:BQ64"/>
    <mergeCell ref="BS63:BT64"/>
    <mergeCell ref="BV63:BW64"/>
    <mergeCell ref="CA63:CB64"/>
    <mergeCell ref="CD63:CE64"/>
    <mergeCell ref="CG63:CH64"/>
    <mergeCell ref="AX63:AY64"/>
    <mergeCell ref="BA63:BB64"/>
    <mergeCell ref="BD63:BE64"/>
    <mergeCell ref="BG63:BH64"/>
    <mergeCell ref="BJ63:BK64"/>
    <mergeCell ref="BM63:BN64"/>
    <mergeCell ref="W63:X64"/>
    <mergeCell ref="Z63:AA64"/>
    <mergeCell ref="AC63:AD64"/>
    <mergeCell ref="AF63:AG64"/>
    <mergeCell ref="AR63:AS64"/>
    <mergeCell ref="AU63:AV64"/>
    <mergeCell ref="CY60:CZ61"/>
    <mergeCell ref="DB60:DC61"/>
    <mergeCell ref="DE60:DF61"/>
    <mergeCell ref="B63:C64"/>
    <mergeCell ref="E63:F64"/>
    <mergeCell ref="H63:I64"/>
    <mergeCell ref="K63:L64"/>
    <mergeCell ref="N63:O64"/>
    <mergeCell ref="Q63:R64"/>
    <mergeCell ref="T63:U64"/>
    <mergeCell ref="CG60:CH61"/>
    <mergeCell ref="CJ60:CK61"/>
    <mergeCell ref="CM60:CN61"/>
    <mergeCell ref="CP60:CQ61"/>
    <mergeCell ref="CS60:CT61"/>
    <mergeCell ref="CV60:CW61"/>
    <mergeCell ref="BM60:BN61"/>
    <mergeCell ref="BP60:BQ61"/>
    <mergeCell ref="BS60:BT61"/>
    <mergeCell ref="BV60:BW61"/>
    <mergeCell ref="CA60:CB61"/>
    <mergeCell ref="CD60:CE61"/>
    <mergeCell ref="AU60:AV61"/>
    <mergeCell ref="AX60:AY61"/>
    <mergeCell ref="BA60:BB61"/>
    <mergeCell ref="BD60:BE61"/>
    <mergeCell ref="BG60:BH61"/>
    <mergeCell ref="BJ60:BK61"/>
    <mergeCell ref="T60:U61"/>
    <mergeCell ref="W60:X61"/>
    <mergeCell ref="Z60:AA61"/>
    <mergeCell ref="AC60:AD61"/>
    <mergeCell ref="AF60:AG61"/>
    <mergeCell ref="AR60:AS61"/>
    <mergeCell ref="CV57:CW58"/>
    <mergeCell ref="CY57:CZ58"/>
    <mergeCell ref="DB57:DC58"/>
    <mergeCell ref="DE57:DF58"/>
    <mergeCell ref="B60:C61"/>
    <mergeCell ref="E60:F61"/>
    <mergeCell ref="H60:I61"/>
    <mergeCell ref="K60:L61"/>
    <mergeCell ref="N60:O61"/>
    <mergeCell ref="Q60:R61"/>
    <mergeCell ref="CD57:CE58"/>
    <mergeCell ref="CG57:CH58"/>
    <mergeCell ref="CJ57:CK58"/>
    <mergeCell ref="CM57:CN58"/>
    <mergeCell ref="CP57:CQ58"/>
    <mergeCell ref="CS57:CT58"/>
    <mergeCell ref="BJ57:BK58"/>
    <mergeCell ref="BM57:BN58"/>
    <mergeCell ref="BP57:BQ58"/>
    <mergeCell ref="BS57:BT58"/>
    <mergeCell ref="BV57:BW58"/>
    <mergeCell ref="CA57:CB58"/>
    <mergeCell ref="AR57:AS58"/>
    <mergeCell ref="AU57:AV58"/>
    <mergeCell ref="AX57:AY58"/>
    <mergeCell ref="BA57:BB58"/>
    <mergeCell ref="BD57:BE58"/>
    <mergeCell ref="BG57:BH58"/>
    <mergeCell ref="Q57:R58"/>
    <mergeCell ref="T57:U58"/>
    <mergeCell ref="W57:X58"/>
    <mergeCell ref="Z57:AA58"/>
    <mergeCell ref="AC57:AD58"/>
    <mergeCell ref="AF57:AG58"/>
    <mergeCell ref="CS54:CT55"/>
    <mergeCell ref="CV54:CW55"/>
    <mergeCell ref="CY54:CZ55"/>
    <mergeCell ref="DB54:DC55"/>
    <mergeCell ref="DE54:DF55"/>
    <mergeCell ref="B57:C58"/>
    <mergeCell ref="E57:F58"/>
    <mergeCell ref="H57:I58"/>
    <mergeCell ref="K57:L58"/>
    <mergeCell ref="N57:O58"/>
    <mergeCell ref="CA54:CB55"/>
    <mergeCell ref="CD54:CE55"/>
    <mergeCell ref="CG54:CH55"/>
    <mergeCell ref="CJ54:CK55"/>
    <mergeCell ref="CM54:CN55"/>
    <mergeCell ref="CP54:CQ55"/>
    <mergeCell ref="BG54:BH55"/>
    <mergeCell ref="BJ54:BK55"/>
    <mergeCell ref="BM54:BN55"/>
    <mergeCell ref="BP54:BQ55"/>
    <mergeCell ref="BS54:BT55"/>
    <mergeCell ref="BV54:BW55"/>
    <mergeCell ref="AL54:AM55"/>
    <mergeCell ref="AR54:AS55"/>
    <mergeCell ref="AU54:AV55"/>
    <mergeCell ref="AX54:AY55"/>
    <mergeCell ref="BA54:BB55"/>
    <mergeCell ref="BD54:BE55"/>
    <mergeCell ref="T54:U55"/>
    <mergeCell ref="W54:X55"/>
    <mergeCell ref="Z54:AA55"/>
    <mergeCell ref="AC54:AD55"/>
    <mergeCell ref="AF54:AG55"/>
    <mergeCell ref="AI54:AJ55"/>
    <mergeCell ref="B54:C55"/>
    <mergeCell ref="E54:F55"/>
    <mergeCell ref="H54:I55"/>
    <mergeCell ref="K54:L55"/>
    <mergeCell ref="N54:O55"/>
    <mergeCell ref="Q54:R55"/>
    <mergeCell ref="CP51:CQ52"/>
    <mergeCell ref="AL51:AM52"/>
    <mergeCell ref="AO51:AP51"/>
    <mergeCell ref="AR51:AS52"/>
    <mergeCell ref="AU51:AV52"/>
    <mergeCell ref="AX51:AY52"/>
    <mergeCell ref="BA51:BB52"/>
    <mergeCell ref="AO52:AP52"/>
    <mergeCell ref="T51:U52"/>
    <mergeCell ref="W51:X52"/>
    <mergeCell ref="Z51:AA52"/>
    <mergeCell ref="AC51:AD52"/>
    <mergeCell ref="AF51:AG52"/>
    <mergeCell ref="AI51:AJ52"/>
    <mergeCell ref="B51:C52"/>
    <mergeCell ref="E51:F52"/>
    <mergeCell ref="CS51:CT52"/>
    <mergeCell ref="CV51:CW52"/>
    <mergeCell ref="CY51:CZ52"/>
    <mergeCell ref="DB51:DC52"/>
    <mergeCell ref="DE51:DF52"/>
    <mergeCell ref="BV51:BW52"/>
    <mergeCell ref="CA51:CB52"/>
    <mergeCell ref="CD51:CE52"/>
    <mergeCell ref="CG51:CH52"/>
    <mergeCell ref="CJ51:CK52"/>
    <mergeCell ref="CM51:CN52"/>
    <mergeCell ref="BD51:BE52"/>
    <mergeCell ref="BG51:BH52"/>
    <mergeCell ref="BJ51:BK52"/>
    <mergeCell ref="BM51:BN52"/>
    <mergeCell ref="BP51:BQ52"/>
    <mergeCell ref="BS51:BT52"/>
    <mergeCell ref="H51:I52"/>
    <mergeCell ref="K51:L52"/>
    <mergeCell ref="N51:O52"/>
    <mergeCell ref="Q51:R52"/>
    <mergeCell ref="CS48:CT49"/>
    <mergeCell ref="CV48:CW49"/>
    <mergeCell ref="CY48:CZ49"/>
    <mergeCell ref="DB48:DC49"/>
    <mergeCell ref="DE48:DF49"/>
    <mergeCell ref="AO49:AP49"/>
    <mergeCell ref="CA48:CB49"/>
    <mergeCell ref="CD48:CE49"/>
    <mergeCell ref="CG48:CH49"/>
    <mergeCell ref="CJ48:CK49"/>
    <mergeCell ref="CM48:CN49"/>
    <mergeCell ref="CP48:CQ49"/>
    <mergeCell ref="BG48:BH49"/>
    <mergeCell ref="BJ48:BK49"/>
    <mergeCell ref="BM48:BN49"/>
    <mergeCell ref="BP48:BQ49"/>
    <mergeCell ref="BS48:BT49"/>
    <mergeCell ref="BV48:BW49"/>
    <mergeCell ref="AL48:AM49"/>
    <mergeCell ref="AR48:AS49"/>
    <mergeCell ref="AU48:AV49"/>
    <mergeCell ref="AX48:AY49"/>
    <mergeCell ref="BA48:BB49"/>
    <mergeCell ref="BD48:BE49"/>
    <mergeCell ref="T48:U49"/>
    <mergeCell ref="W48:X49"/>
    <mergeCell ref="Z48:AA49"/>
    <mergeCell ref="AC48:AD49"/>
    <mergeCell ref="AF48:AG49"/>
    <mergeCell ref="AI48:AJ49"/>
    <mergeCell ref="CY45:CZ46"/>
    <mergeCell ref="DB45:DC46"/>
    <mergeCell ref="DE45:DF46"/>
    <mergeCell ref="AO46:AP46"/>
    <mergeCell ref="B48:C49"/>
    <mergeCell ref="E48:F49"/>
    <mergeCell ref="H48:I49"/>
    <mergeCell ref="K48:L49"/>
    <mergeCell ref="N48:O49"/>
    <mergeCell ref="Q48:R49"/>
    <mergeCell ref="CG45:CH46"/>
    <mergeCell ref="CJ45:CK46"/>
    <mergeCell ref="CM45:CN46"/>
    <mergeCell ref="CP45:CQ46"/>
    <mergeCell ref="CS45:CT46"/>
    <mergeCell ref="CV45:CW46"/>
    <mergeCell ref="BM45:BN46"/>
    <mergeCell ref="BP45:BQ46"/>
    <mergeCell ref="BS45:BT46"/>
    <mergeCell ref="BV45:BW46"/>
    <mergeCell ref="CA45:CB46"/>
    <mergeCell ref="CD45:CE46"/>
    <mergeCell ref="AU45:AV46"/>
    <mergeCell ref="AX45:AY46"/>
    <mergeCell ref="BA45:BB46"/>
    <mergeCell ref="BD45:BE46"/>
    <mergeCell ref="BG45:BH46"/>
    <mergeCell ref="BJ45:BK46"/>
    <mergeCell ref="Z45:AA46"/>
    <mergeCell ref="AC45:AD46"/>
    <mergeCell ref="AF45:AG46"/>
    <mergeCell ref="AI45:AJ46"/>
    <mergeCell ref="AL45:AM46"/>
    <mergeCell ref="AR45:AS46"/>
    <mergeCell ref="DE42:DF43"/>
    <mergeCell ref="AO44:AP44"/>
    <mergeCell ref="B42:C43"/>
    <mergeCell ref="E42:F43"/>
    <mergeCell ref="H42:I43"/>
    <mergeCell ref="K42:L43"/>
    <mergeCell ref="N42:O43"/>
    <mergeCell ref="CD39:CE40"/>
    <mergeCell ref="CG39:CH40"/>
    <mergeCell ref="CJ39:CK40"/>
    <mergeCell ref="CM39:CN40"/>
    <mergeCell ref="CP39:CQ40"/>
    <mergeCell ref="CS39:CT40"/>
    <mergeCell ref="BJ39:BK40"/>
    <mergeCell ref="BM39:BN40"/>
    <mergeCell ref="BP39:BQ40"/>
    <mergeCell ref="BS39:BT40"/>
    <mergeCell ref="BV39:BW40"/>
    <mergeCell ref="CA39:CB40"/>
    <mergeCell ref="AR39:AS40"/>
    <mergeCell ref="B45:C46"/>
    <mergeCell ref="E45:F46"/>
    <mergeCell ref="H45:I46"/>
    <mergeCell ref="K45:L46"/>
    <mergeCell ref="N45:O46"/>
    <mergeCell ref="Q45:R46"/>
    <mergeCell ref="T45:U46"/>
    <mergeCell ref="W45:X46"/>
    <mergeCell ref="DB36:DC37"/>
    <mergeCell ref="DE36:DF37"/>
    <mergeCell ref="AO38:AP39"/>
    <mergeCell ref="AU36:AV37"/>
    <mergeCell ref="Z42:AA43"/>
    <mergeCell ref="AC42:AD43"/>
    <mergeCell ref="AF42:AG43"/>
    <mergeCell ref="CV39:CW40"/>
    <mergeCell ref="CY39:CZ40"/>
    <mergeCell ref="DB39:DC40"/>
    <mergeCell ref="DE39:DF40"/>
    <mergeCell ref="AO41:AP41"/>
    <mergeCell ref="CM42:CN43"/>
    <mergeCell ref="CP42:CQ43"/>
    <mergeCell ref="CS42:CT43"/>
    <mergeCell ref="CV42:CW43"/>
    <mergeCell ref="CY42:CZ43"/>
    <mergeCell ref="DB42:DC43"/>
    <mergeCell ref="BS42:BT43"/>
    <mergeCell ref="BV42:BW43"/>
    <mergeCell ref="CA42:CB43"/>
    <mergeCell ref="CD42:CE43"/>
    <mergeCell ref="CG42:CH43"/>
    <mergeCell ref="CJ42:CK43"/>
    <mergeCell ref="BA42:BB43"/>
    <mergeCell ref="BD42:BE43"/>
    <mergeCell ref="BG42:BH43"/>
    <mergeCell ref="BJ42:BK43"/>
    <mergeCell ref="BM42:BN43"/>
    <mergeCell ref="BP42:BQ43"/>
    <mergeCell ref="AR42:AS43"/>
    <mergeCell ref="AU42:AV43"/>
    <mergeCell ref="AU39:AV40"/>
    <mergeCell ref="AX39:AY40"/>
    <mergeCell ref="BA39:BB40"/>
    <mergeCell ref="BD39:BE40"/>
    <mergeCell ref="BG39:BH40"/>
    <mergeCell ref="W39:X40"/>
    <mergeCell ref="Z39:AA40"/>
    <mergeCell ref="AC39:AD40"/>
    <mergeCell ref="AF39:AG40"/>
    <mergeCell ref="AI39:AJ40"/>
    <mergeCell ref="AL39:AM40"/>
    <mergeCell ref="AI42:AJ43"/>
    <mergeCell ref="AL42:AM43"/>
    <mergeCell ref="AO42:AP42"/>
    <mergeCell ref="AX42:AY43"/>
    <mergeCell ref="Q42:R43"/>
    <mergeCell ref="T42:U43"/>
    <mergeCell ref="W42:X43"/>
    <mergeCell ref="B39:C40"/>
    <mergeCell ref="E39:F40"/>
    <mergeCell ref="H39:I40"/>
    <mergeCell ref="K39:L40"/>
    <mergeCell ref="N39:O40"/>
    <mergeCell ref="Q39:R40"/>
    <mergeCell ref="T39:U40"/>
    <mergeCell ref="CJ36:CK37"/>
    <mergeCell ref="CM36:CN37"/>
    <mergeCell ref="CP36:CQ37"/>
    <mergeCell ref="CS36:CT37"/>
    <mergeCell ref="CV36:CW37"/>
    <mergeCell ref="CY36:CZ37"/>
    <mergeCell ref="BP36:BQ37"/>
    <mergeCell ref="BS36:BT37"/>
    <mergeCell ref="BV36:BW37"/>
    <mergeCell ref="CA36:CB37"/>
    <mergeCell ref="CD36:CE37"/>
    <mergeCell ref="CG36:CH37"/>
    <mergeCell ref="AX36:AY37"/>
    <mergeCell ref="BA36:BB37"/>
    <mergeCell ref="BD36:BE37"/>
    <mergeCell ref="BG36:BH37"/>
    <mergeCell ref="BJ36:BK37"/>
    <mergeCell ref="BM36:BN37"/>
    <mergeCell ref="T36:U37"/>
    <mergeCell ref="W36:X37"/>
    <mergeCell ref="Z36:AA37"/>
    <mergeCell ref="AC36:AD37"/>
    <mergeCell ref="AF36:AG37"/>
    <mergeCell ref="AI36:AJ37"/>
    <mergeCell ref="B36:C37"/>
    <mergeCell ref="E36:F37"/>
    <mergeCell ref="H36:I37"/>
    <mergeCell ref="K36:L37"/>
    <mergeCell ref="N36:O37"/>
    <mergeCell ref="Q36:R37"/>
    <mergeCell ref="CP33:CQ34"/>
    <mergeCell ref="CS33:CT34"/>
    <mergeCell ref="CV33:CW34"/>
    <mergeCell ref="CY33:CZ34"/>
    <mergeCell ref="DB33:DC34"/>
    <mergeCell ref="DE33:DF34"/>
    <mergeCell ref="BV33:BW34"/>
    <mergeCell ref="CA33:CB34"/>
    <mergeCell ref="CD33:CE34"/>
    <mergeCell ref="CG33:CH34"/>
    <mergeCell ref="CJ33:CK34"/>
    <mergeCell ref="CM33:CN34"/>
    <mergeCell ref="BD33:BE34"/>
    <mergeCell ref="BG33:BH34"/>
    <mergeCell ref="BJ33:BK34"/>
    <mergeCell ref="BM33:BN34"/>
    <mergeCell ref="BP33:BQ34"/>
    <mergeCell ref="BS33:BT34"/>
    <mergeCell ref="AL33:AM34"/>
    <mergeCell ref="AO33:AP33"/>
    <mergeCell ref="AR33:AS34"/>
    <mergeCell ref="AU33:AV34"/>
    <mergeCell ref="AX33:AY34"/>
    <mergeCell ref="BA33:BB34"/>
    <mergeCell ref="AO34:AP36"/>
    <mergeCell ref="AL36:AM37"/>
    <mergeCell ref="AR36:AS37"/>
    <mergeCell ref="CV27:CW28"/>
    <mergeCell ref="T33:U34"/>
    <mergeCell ref="W33:X34"/>
    <mergeCell ref="Z33:AA34"/>
    <mergeCell ref="AC33:AD34"/>
    <mergeCell ref="AF33:AG34"/>
    <mergeCell ref="AI33:AJ34"/>
    <mergeCell ref="CV30:CW31"/>
    <mergeCell ref="CY30:CZ31"/>
    <mergeCell ref="DB30:DC31"/>
    <mergeCell ref="DE30:DF31"/>
    <mergeCell ref="B33:C34"/>
    <mergeCell ref="E33:F34"/>
    <mergeCell ref="H33:I34"/>
    <mergeCell ref="K33:L34"/>
    <mergeCell ref="N33:O34"/>
    <mergeCell ref="Q33:R34"/>
    <mergeCell ref="CD30:CE31"/>
    <mergeCell ref="CG30:CH31"/>
    <mergeCell ref="CJ30:CK31"/>
    <mergeCell ref="CM30:CN31"/>
    <mergeCell ref="CP30:CQ31"/>
    <mergeCell ref="CS30:CT31"/>
    <mergeCell ref="BJ30:BK31"/>
    <mergeCell ref="BM30:BN31"/>
    <mergeCell ref="BP30:BQ31"/>
    <mergeCell ref="BS30:BT31"/>
    <mergeCell ref="BV30:BW31"/>
    <mergeCell ref="CA30:CB31"/>
    <mergeCell ref="E27:F28"/>
    <mergeCell ref="H27:I28"/>
    <mergeCell ref="B30:C31"/>
    <mergeCell ref="E30:F31"/>
    <mergeCell ref="H30:I31"/>
    <mergeCell ref="K30:L31"/>
    <mergeCell ref="N30:O31"/>
    <mergeCell ref="Q30:R31"/>
    <mergeCell ref="CD27:CE28"/>
    <mergeCell ref="CG27:CH28"/>
    <mergeCell ref="CJ27:CK28"/>
    <mergeCell ref="CM27:CN28"/>
    <mergeCell ref="CP27:CQ28"/>
    <mergeCell ref="CS27:CT28"/>
    <mergeCell ref="BJ27:BK28"/>
    <mergeCell ref="BM27:BN28"/>
    <mergeCell ref="BP27:BQ28"/>
    <mergeCell ref="BS27:BT28"/>
    <mergeCell ref="Q27:R28"/>
    <mergeCell ref="T27:U28"/>
    <mergeCell ref="AR30:AS31"/>
    <mergeCell ref="AU30:AV31"/>
    <mergeCell ref="AX30:AY31"/>
    <mergeCell ref="BA30:BB31"/>
    <mergeCell ref="BD30:BE31"/>
    <mergeCell ref="BG30:BH31"/>
    <mergeCell ref="T30:U31"/>
    <mergeCell ref="W30:X31"/>
    <mergeCell ref="Z30:AA31"/>
    <mergeCell ref="AC30:AD31"/>
    <mergeCell ref="AF30:AG31"/>
    <mergeCell ref="K27:L28"/>
    <mergeCell ref="N27:O28"/>
    <mergeCell ref="AI30:AJ31"/>
    <mergeCell ref="Q10:R11"/>
    <mergeCell ref="BE10:BF11"/>
    <mergeCell ref="CN10:CO11"/>
    <mergeCell ref="AQ1:AQ2"/>
    <mergeCell ref="BX1:BX2"/>
    <mergeCell ref="DI1:DI2"/>
    <mergeCell ref="CY27:CZ28"/>
    <mergeCell ref="DB27:DC28"/>
    <mergeCell ref="B6:Q7"/>
    <mergeCell ref="AR6:BG7"/>
    <mergeCell ref="CA6:CP7"/>
    <mergeCell ref="Q15:U16"/>
    <mergeCell ref="V15:W16"/>
    <mergeCell ref="X15:X16"/>
    <mergeCell ref="Q19:U20"/>
    <mergeCell ref="BV27:BW28"/>
    <mergeCell ref="CA27:CB28"/>
    <mergeCell ref="AR27:AS28"/>
    <mergeCell ref="AU27:AV28"/>
    <mergeCell ref="AX27:AY28"/>
    <mergeCell ref="BA27:BB28"/>
    <mergeCell ref="BD27:BE28"/>
    <mergeCell ref="BG27:BH28"/>
    <mergeCell ref="W27:X28"/>
    <mergeCell ref="Z27:AA28"/>
    <mergeCell ref="AC27:AD28"/>
    <mergeCell ref="AF27:AG28"/>
    <mergeCell ref="AI27:AJ28"/>
    <mergeCell ref="AL27:AM28"/>
    <mergeCell ref="V19:W20"/>
    <mergeCell ref="B27:C28"/>
    <mergeCell ref="DE27:DF2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27</vt:i4>
      </vt:variant>
    </vt:vector>
  </HeadingPairs>
  <TitlesOfParts>
    <vt:vector size="27" baseType="lpstr">
      <vt:lpstr>Joël.Leboucher</vt:lpstr>
      <vt:lpstr>Nota.FR</vt:lpstr>
      <vt:lpstr>Note.EN</vt:lpstr>
      <vt:lpstr>Nota.ES</vt:lpstr>
      <vt:lpstr>Couleurs.pour.vos.documents</vt:lpstr>
      <vt:lpstr>IMPORTANT</vt:lpstr>
      <vt:lpstr>Notice.utilisateur</vt:lpstr>
      <vt:lpstr>Modes.d.emploi</vt:lpstr>
      <vt:lpstr>Identité.FR-EN-ES.</vt:lpstr>
      <vt:lpstr>OK.à.dupliquer</vt:lpstr>
      <vt:lpstr>20.col.de.6.à.55.lignes</vt:lpstr>
      <vt:lpstr>Créez.vos.fiches.05.01.2026</vt:lpstr>
      <vt:lpstr>Créez.vos.fiches.2</vt:lpstr>
      <vt:lpstr>Recette.Mille.feuille.05.01.26</vt:lpstr>
      <vt:lpstr>7.recettes.beignets.acacia</vt:lpstr>
      <vt:lpstr>Fiche.préformatée.Modèle</vt:lpstr>
      <vt:lpstr>Répertoire.Modèle</vt:lpstr>
      <vt:lpstr>Répertoire.J</vt:lpstr>
      <vt:lpstr>quelques.traductions</vt:lpstr>
      <vt:lpstr>Vocabulaire.(1).2025</vt:lpstr>
      <vt:lpstr>Vocabulaire.(2).2025</vt:lpstr>
      <vt:lpstr>peser.sans.balance.31.01.2025</vt:lpstr>
      <vt:lpstr>ChatGPT</vt:lpstr>
      <vt:lpstr>aides cuisine </vt:lpstr>
      <vt:lpstr>pourcentages </vt:lpstr>
      <vt:lpstr>Couleurs </vt:lpstr>
      <vt:lpstr>Transmission des savoirs.2025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2025-10-12T16:25:18Z</cp:lastPrinted>
  <dcterms:created xsi:type="dcterms:W3CDTF">2025-10-05T17:27:37Z</dcterms:created>
  <dcterms:modified xsi:type="dcterms:W3CDTF">2026-01-15T19:02:06Z</dcterms:modified>
</cp:coreProperties>
</file>